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Perkuliahan\Semester 8\Metopen\"/>
    </mc:Choice>
  </mc:AlternateContent>
  <xr:revisionPtr revIDLastSave="0" documentId="13_ncr:20001_{F1E4EB8B-43B0-411F-BE7E-042C3FB6B693}" xr6:coauthVersionLast="47" xr6:coauthVersionMax="47" xr10:uidLastSave="{00000000-0000-0000-0000-000000000000}"/>
  <bookViews>
    <workbookView xWindow="-110" yWindow="-110" windowWidth="19420" windowHeight="11020" activeTab="3" xr2:uid="{00000000-000D-0000-FFFF-FFFF00000000}"/>
  </bookViews>
  <sheets>
    <sheet name="Template 1 Template" sheetId="1" r:id="rId1"/>
    <sheet name="NVScriptsProperties" sheetId="2" state="hidden" r:id="rId2"/>
    <sheet name="Sheet1" sheetId="3" r:id="rId3"/>
    <sheet name="Sheet2" sheetId="8" r:id="rId4"/>
    <sheet name="Sheet6" sheetId="4" r:id="rId5"/>
    <sheet name="GMAP" sheetId="5" r:id="rId6"/>
    <sheet name="Kirim DPL" sheetId="6" r:id="rId7"/>
    <sheet name="DO NOT DELETE - AutoCrat Job Se" sheetId="7" state="hidden" r:id="rId8"/>
  </sheets>
  <definedNames>
    <definedName name="_xlnm._FilterDatabase" localSheetId="5" hidden="1">GMAP!$A$1:$AB$40576</definedName>
    <definedName name="_xlnm._FilterDatabase" localSheetId="6" hidden="1">'Kirim DPL'!$A$1:$AA$760</definedName>
    <definedName name="_xlnm._FilterDatabase" localSheetId="2" hidden="1">Sheet1!$A$1:$BU$1705</definedName>
    <definedName name="_xlnm._FilterDatabase" localSheetId="4" hidden="1">Sheet6!$A$1:$Z$1001</definedName>
    <definedName name="GeocodeAddressColumn_GMAP">GMAP!$F$1</definedName>
  </definedNames>
  <calcPr calcId="191029"/>
  <fileRecoveryPr repairLoad="1"/>
</workbook>
</file>

<file path=xl/calcChain.xml><?xml version="1.0" encoding="utf-8"?>
<calcChain xmlns="http://schemas.openxmlformats.org/spreadsheetml/2006/main">
  <c r="F3" i="8" l="1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" i="8"/>
  <c r="CE3" i="8"/>
  <c r="CE4" i="8"/>
  <c r="CE5" i="8"/>
  <c r="CE6" i="8"/>
  <c r="CE7" i="8"/>
  <c r="CE8" i="8"/>
  <c r="CE9" i="8"/>
  <c r="CE10" i="8"/>
  <c r="CE11" i="8"/>
  <c r="CE12" i="8"/>
  <c r="CE13" i="8"/>
  <c r="CE14" i="8"/>
  <c r="CE15" i="8"/>
  <c r="CE16" i="8"/>
  <c r="CE17" i="8"/>
  <c r="CE18" i="8"/>
  <c r="CE19" i="8"/>
  <c r="CE20" i="8"/>
  <c r="CE21" i="8"/>
  <c r="CE22" i="8"/>
  <c r="CE23" i="8"/>
  <c r="CE24" i="8"/>
  <c r="CE25" i="8"/>
  <c r="CE26" i="8"/>
  <c r="CE27" i="8"/>
  <c r="CE28" i="8"/>
  <c r="CE2" i="8"/>
  <c r="BR3" i="8"/>
  <c r="BT3" i="8"/>
  <c r="BU3" i="8"/>
  <c r="BV3" i="8"/>
  <c r="BW3" i="8"/>
  <c r="BX3" i="8"/>
  <c r="BY3" i="8"/>
  <c r="BZ3" i="8"/>
  <c r="CA3" i="8"/>
  <c r="CB3" i="8"/>
  <c r="CC3" i="8"/>
  <c r="BR4" i="8"/>
  <c r="BT4" i="8"/>
  <c r="BU4" i="8"/>
  <c r="BV4" i="8"/>
  <c r="BW4" i="8"/>
  <c r="BX4" i="8"/>
  <c r="BY4" i="8"/>
  <c r="BZ4" i="8"/>
  <c r="CA4" i="8"/>
  <c r="CB4" i="8"/>
  <c r="CC4" i="8"/>
  <c r="BR5" i="8"/>
  <c r="BT5" i="8"/>
  <c r="BU5" i="8"/>
  <c r="BV5" i="8"/>
  <c r="BW5" i="8"/>
  <c r="BX5" i="8"/>
  <c r="BY5" i="8"/>
  <c r="BZ5" i="8"/>
  <c r="CA5" i="8"/>
  <c r="CB5" i="8"/>
  <c r="CC5" i="8"/>
  <c r="BR6" i="8"/>
  <c r="BT6" i="8"/>
  <c r="BU6" i="8"/>
  <c r="BV6" i="8"/>
  <c r="BW6" i="8"/>
  <c r="BX6" i="8"/>
  <c r="BY6" i="8"/>
  <c r="BZ6" i="8"/>
  <c r="CA6" i="8"/>
  <c r="CB6" i="8"/>
  <c r="CC6" i="8"/>
  <c r="BR7" i="8"/>
  <c r="BT7" i="8"/>
  <c r="BU7" i="8"/>
  <c r="BV7" i="8"/>
  <c r="BW7" i="8"/>
  <c r="BX7" i="8"/>
  <c r="BY7" i="8"/>
  <c r="BZ7" i="8"/>
  <c r="CA7" i="8"/>
  <c r="CB7" i="8"/>
  <c r="CC7" i="8"/>
  <c r="BR8" i="8"/>
  <c r="BT8" i="8"/>
  <c r="BU8" i="8"/>
  <c r="BV8" i="8"/>
  <c r="BW8" i="8"/>
  <c r="BX8" i="8"/>
  <c r="BY8" i="8"/>
  <c r="BZ8" i="8"/>
  <c r="CA8" i="8"/>
  <c r="CB8" i="8"/>
  <c r="CC8" i="8"/>
  <c r="BR9" i="8"/>
  <c r="BT9" i="8"/>
  <c r="BU9" i="8"/>
  <c r="BV9" i="8"/>
  <c r="BW9" i="8"/>
  <c r="BX9" i="8"/>
  <c r="BY9" i="8"/>
  <c r="BZ9" i="8"/>
  <c r="CA9" i="8"/>
  <c r="CB9" i="8"/>
  <c r="CC9" i="8"/>
  <c r="BR10" i="8"/>
  <c r="BT10" i="8"/>
  <c r="BU10" i="8"/>
  <c r="BV10" i="8"/>
  <c r="BW10" i="8"/>
  <c r="BX10" i="8"/>
  <c r="BY10" i="8"/>
  <c r="BZ10" i="8"/>
  <c r="CA10" i="8"/>
  <c r="CB10" i="8"/>
  <c r="CC10" i="8"/>
  <c r="BR11" i="8"/>
  <c r="BT11" i="8"/>
  <c r="BU11" i="8"/>
  <c r="BV11" i="8"/>
  <c r="BW11" i="8"/>
  <c r="BX11" i="8"/>
  <c r="BY11" i="8"/>
  <c r="BZ11" i="8"/>
  <c r="CA11" i="8"/>
  <c r="CB11" i="8"/>
  <c r="CC11" i="8"/>
  <c r="BR12" i="8"/>
  <c r="BT12" i="8"/>
  <c r="BU12" i="8"/>
  <c r="BV12" i="8"/>
  <c r="BW12" i="8"/>
  <c r="BX12" i="8"/>
  <c r="BY12" i="8"/>
  <c r="BZ12" i="8"/>
  <c r="CA12" i="8"/>
  <c r="CB12" i="8"/>
  <c r="CC12" i="8"/>
  <c r="BR13" i="8"/>
  <c r="BT13" i="8"/>
  <c r="BU13" i="8"/>
  <c r="BV13" i="8"/>
  <c r="BW13" i="8"/>
  <c r="BX13" i="8"/>
  <c r="BY13" i="8"/>
  <c r="BZ13" i="8"/>
  <c r="CA13" i="8"/>
  <c r="CB13" i="8"/>
  <c r="CC13" i="8"/>
  <c r="BR14" i="8"/>
  <c r="BT14" i="8"/>
  <c r="BU14" i="8"/>
  <c r="BV14" i="8"/>
  <c r="BW14" i="8"/>
  <c r="BX14" i="8"/>
  <c r="BY14" i="8"/>
  <c r="BZ14" i="8"/>
  <c r="CA14" i="8"/>
  <c r="CB14" i="8"/>
  <c r="CC14" i="8"/>
  <c r="BR15" i="8"/>
  <c r="BT15" i="8"/>
  <c r="BU15" i="8"/>
  <c r="BV15" i="8"/>
  <c r="BW15" i="8"/>
  <c r="BX15" i="8"/>
  <c r="BY15" i="8"/>
  <c r="BZ15" i="8"/>
  <c r="CA15" i="8"/>
  <c r="CB15" i="8"/>
  <c r="CC15" i="8"/>
  <c r="BR16" i="8"/>
  <c r="BT16" i="8"/>
  <c r="BU16" i="8"/>
  <c r="BV16" i="8"/>
  <c r="BW16" i="8"/>
  <c r="BX16" i="8"/>
  <c r="BY16" i="8"/>
  <c r="BZ16" i="8"/>
  <c r="CA16" i="8"/>
  <c r="CB16" i="8"/>
  <c r="CC16" i="8"/>
  <c r="BR17" i="8"/>
  <c r="BT17" i="8"/>
  <c r="BU17" i="8"/>
  <c r="BV17" i="8"/>
  <c r="BW17" i="8"/>
  <c r="BX17" i="8"/>
  <c r="BY17" i="8"/>
  <c r="BZ17" i="8"/>
  <c r="CA17" i="8"/>
  <c r="CB17" i="8"/>
  <c r="CC17" i="8"/>
  <c r="BR18" i="8"/>
  <c r="BT18" i="8"/>
  <c r="BU18" i="8"/>
  <c r="BV18" i="8"/>
  <c r="BW18" i="8"/>
  <c r="BX18" i="8"/>
  <c r="BY18" i="8"/>
  <c r="BZ18" i="8"/>
  <c r="CA18" i="8"/>
  <c r="CB18" i="8"/>
  <c r="CC18" i="8"/>
  <c r="BR19" i="8"/>
  <c r="BT19" i="8"/>
  <c r="BU19" i="8"/>
  <c r="BV19" i="8"/>
  <c r="BW19" i="8"/>
  <c r="BX19" i="8"/>
  <c r="BY19" i="8"/>
  <c r="BZ19" i="8"/>
  <c r="CA19" i="8"/>
  <c r="CB19" i="8"/>
  <c r="CC19" i="8"/>
  <c r="BR20" i="8"/>
  <c r="BT20" i="8"/>
  <c r="BU20" i="8"/>
  <c r="BV20" i="8"/>
  <c r="BW20" i="8"/>
  <c r="BX20" i="8"/>
  <c r="BY20" i="8"/>
  <c r="BZ20" i="8"/>
  <c r="CA20" i="8"/>
  <c r="CB20" i="8"/>
  <c r="CC20" i="8"/>
  <c r="BT21" i="8"/>
  <c r="BU21" i="8"/>
  <c r="BV21" i="8"/>
  <c r="BW21" i="8"/>
  <c r="BX21" i="8"/>
  <c r="BY21" i="8"/>
  <c r="BZ21" i="8"/>
  <c r="CA21" i="8"/>
  <c r="CB21" i="8"/>
  <c r="CC21" i="8"/>
  <c r="BT22" i="8"/>
  <c r="BU22" i="8"/>
  <c r="BV22" i="8"/>
  <c r="BW22" i="8"/>
  <c r="BX22" i="8"/>
  <c r="BY22" i="8"/>
  <c r="BZ22" i="8"/>
  <c r="CA22" i="8"/>
  <c r="CB22" i="8"/>
  <c r="CC22" i="8"/>
  <c r="BT23" i="8"/>
  <c r="BU23" i="8"/>
  <c r="BV23" i="8"/>
  <c r="BW23" i="8"/>
  <c r="BX23" i="8"/>
  <c r="BY23" i="8"/>
  <c r="BZ23" i="8"/>
  <c r="CA23" i="8"/>
  <c r="CB23" i="8"/>
  <c r="CC23" i="8"/>
  <c r="BT24" i="8"/>
  <c r="BU24" i="8"/>
  <c r="BV24" i="8"/>
  <c r="BW24" i="8"/>
  <c r="BX24" i="8"/>
  <c r="BY24" i="8"/>
  <c r="BZ24" i="8"/>
  <c r="CA24" i="8"/>
  <c r="CB24" i="8"/>
  <c r="CC24" i="8"/>
  <c r="BT25" i="8"/>
  <c r="BU25" i="8"/>
  <c r="BV25" i="8"/>
  <c r="BW25" i="8"/>
  <c r="BX25" i="8"/>
  <c r="BY25" i="8"/>
  <c r="BZ25" i="8"/>
  <c r="CA25" i="8"/>
  <c r="CB25" i="8"/>
  <c r="CC25" i="8"/>
  <c r="BT26" i="8"/>
  <c r="BU26" i="8"/>
  <c r="BV26" i="8"/>
  <c r="BW26" i="8"/>
  <c r="BX26" i="8"/>
  <c r="BY26" i="8"/>
  <c r="BZ26" i="8"/>
  <c r="CA26" i="8"/>
  <c r="CB26" i="8"/>
  <c r="CC26" i="8"/>
  <c r="BT27" i="8"/>
  <c r="BU27" i="8"/>
  <c r="BV27" i="8"/>
  <c r="BW27" i="8"/>
  <c r="BX27" i="8"/>
  <c r="BY27" i="8"/>
  <c r="BZ27" i="8"/>
  <c r="CA27" i="8"/>
  <c r="CB27" i="8"/>
  <c r="CC27" i="8"/>
  <c r="BT28" i="8"/>
  <c r="BU28" i="8"/>
  <c r="BV28" i="8"/>
  <c r="BW28" i="8"/>
  <c r="BX28" i="8"/>
  <c r="BY28" i="8"/>
  <c r="BZ28" i="8"/>
  <c r="CA28" i="8"/>
  <c r="CB28" i="8"/>
  <c r="CC28" i="8"/>
  <c r="BT29" i="8"/>
  <c r="BU29" i="8"/>
  <c r="BV29" i="8"/>
  <c r="BW29" i="8"/>
  <c r="BX29" i="8"/>
  <c r="BY29" i="8"/>
  <c r="BZ29" i="8"/>
  <c r="CA29" i="8"/>
  <c r="CB29" i="8"/>
  <c r="CC29" i="8"/>
  <c r="BT30" i="8"/>
  <c r="BU30" i="8"/>
  <c r="BV30" i="8"/>
  <c r="BW30" i="8"/>
  <c r="BX30" i="8"/>
  <c r="BY30" i="8"/>
  <c r="BZ30" i="8"/>
  <c r="CA30" i="8"/>
  <c r="CB30" i="8"/>
  <c r="CC30" i="8"/>
  <c r="BT31" i="8"/>
  <c r="BU31" i="8"/>
  <c r="BV31" i="8"/>
  <c r="BW31" i="8"/>
  <c r="BX31" i="8"/>
  <c r="BY31" i="8"/>
  <c r="BZ31" i="8"/>
  <c r="CA31" i="8"/>
  <c r="CB31" i="8"/>
  <c r="CC31" i="8"/>
  <c r="BT32" i="8"/>
  <c r="BU32" i="8"/>
  <c r="BV32" i="8"/>
  <c r="BW32" i="8"/>
  <c r="BX32" i="8"/>
  <c r="BY32" i="8"/>
  <c r="BZ32" i="8"/>
  <c r="CA32" i="8"/>
  <c r="CB32" i="8"/>
  <c r="CC32" i="8"/>
  <c r="BU2" i="8"/>
  <c r="BV2" i="8"/>
  <c r="BW2" i="8"/>
  <c r="BX2" i="8"/>
  <c r="BY2" i="8"/>
  <c r="BZ2" i="8"/>
  <c r="CA2" i="8"/>
  <c r="CB2" i="8"/>
  <c r="CC2" i="8"/>
  <c r="BT2" i="8"/>
  <c r="BR21" i="8"/>
  <c r="BR2" i="8"/>
  <c r="F40576" i="5"/>
  <c r="F40575" i="5"/>
  <c r="F40574" i="5"/>
  <c r="F40573" i="5"/>
  <c r="F40572" i="5"/>
  <c r="F40571" i="5"/>
  <c r="F40570" i="5"/>
  <c r="F40569" i="5"/>
  <c r="F40568" i="5"/>
  <c r="F40567" i="5"/>
  <c r="F40566" i="5"/>
  <c r="F40565" i="5"/>
  <c r="F40564" i="5"/>
  <c r="F40563" i="5"/>
  <c r="F40562" i="5"/>
  <c r="F40561" i="5"/>
  <c r="F40560" i="5"/>
  <c r="F40559" i="5"/>
  <c r="F40558" i="5"/>
  <c r="F40557" i="5"/>
  <c r="F40556" i="5"/>
  <c r="F40555" i="5"/>
  <c r="F40554" i="5"/>
  <c r="F40553" i="5"/>
  <c r="F40552" i="5"/>
  <c r="F40551" i="5"/>
  <c r="F40550" i="5"/>
  <c r="F40549" i="5"/>
  <c r="F40548" i="5"/>
  <c r="F40547" i="5"/>
  <c r="F40546" i="5"/>
  <c r="F40545" i="5"/>
  <c r="F40544" i="5"/>
  <c r="F40543" i="5"/>
  <c r="F40542" i="5"/>
  <c r="F40541" i="5"/>
  <c r="F40540" i="5"/>
  <c r="F40539" i="5"/>
  <c r="F40538" i="5"/>
  <c r="F40537" i="5"/>
  <c r="F40536" i="5"/>
  <c r="F40535" i="5"/>
  <c r="F40534" i="5"/>
  <c r="F40533" i="5"/>
  <c r="F40532" i="5"/>
  <c r="F40531" i="5"/>
  <c r="F40530" i="5"/>
  <c r="F40529" i="5"/>
  <c r="F40528" i="5"/>
  <c r="F40527" i="5"/>
  <c r="F40526" i="5"/>
  <c r="F40525" i="5"/>
  <c r="F40524" i="5"/>
  <c r="F40523" i="5"/>
  <c r="F40522" i="5"/>
  <c r="F40521" i="5"/>
  <c r="F40520" i="5"/>
  <c r="F40519" i="5"/>
  <c r="F40518" i="5"/>
  <c r="F40517" i="5"/>
  <c r="F40516" i="5"/>
  <c r="F40515" i="5"/>
  <c r="F40514" i="5"/>
  <c r="F40513" i="5"/>
  <c r="F40512" i="5"/>
  <c r="F40511" i="5"/>
  <c r="F40510" i="5"/>
  <c r="F40509" i="5"/>
  <c r="F40508" i="5"/>
  <c r="F40507" i="5"/>
  <c r="F40506" i="5"/>
  <c r="F40505" i="5"/>
  <c r="F40504" i="5"/>
  <c r="F40503" i="5"/>
  <c r="F40502" i="5"/>
  <c r="F40501" i="5"/>
  <c r="F40500" i="5"/>
  <c r="F40499" i="5"/>
  <c r="F40498" i="5"/>
  <c r="F40497" i="5"/>
  <c r="F40496" i="5"/>
  <c r="F40495" i="5"/>
  <c r="F40494" i="5"/>
  <c r="F40493" i="5"/>
  <c r="F40492" i="5"/>
  <c r="F40491" i="5"/>
  <c r="F40490" i="5"/>
  <c r="F40489" i="5"/>
  <c r="F40488" i="5"/>
  <c r="F40487" i="5"/>
  <c r="F40486" i="5"/>
  <c r="F40485" i="5"/>
  <c r="F40484" i="5"/>
  <c r="F40483" i="5"/>
  <c r="F40482" i="5"/>
  <c r="F40481" i="5"/>
  <c r="F40480" i="5"/>
  <c r="F40479" i="5"/>
  <c r="F40478" i="5"/>
  <c r="F40477" i="5"/>
  <c r="F40476" i="5"/>
  <c r="F40475" i="5"/>
  <c r="F40474" i="5"/>
  <c r="F40473" i="5"/>
  <c r="F40472" i="5"/>
  <c r="F40471" i="5"/>
  <c r="F40470" i="5"/>
  <c r="F40469" i="5"/>
  <c r="F40468" i="5"/>
  <c r="F40467" i="5"/>
  <c r="F40466" i="5"/>
  <c r="F40465" i="5"/>
  <c r="F40464" i="5"/>
  <c r="F40463" i="5"/>
  <c r="F40462" i="5"/>
  <c r="F40461" i="5"/>
  <c r="F40460" i="5"/>
  <c r="F40459" i="5"/>
  <c r="F40458" i="5"/>
  <c r="F40457" i="5"/>
  <c r="F40456" i="5"/>
  <c r="F40455" i="5"/>
  <c r="F40454" i="5"/>
  <c r="F40453" i="5"/>
  <c r="F40452" i="5"/>
  <c r="F40451" i="5"/>
  <c r="F40450" i="5"/>
  <c r="F40449" i="5"/>
  <c r="F40448" i="5"/>
  <c r="F40447" i="5"/>
  <c r="F40446" i="5"/>
  <c r="F40445" i="5"/>
  <c r="F40444" i="5"/>
  <c r="F40443" i="5"/>
  <c r="F40442" i="5"/>
  <c r="F40441" i="5"/>
  <c r="F40440" i="5"/>
  <c r="F40439" i="5"/>
  <c r="F40438" i="5"/>
  <c r="F40437" i="5"/>
  <c r="F40436" i="5"/>
  <c r="F40435" i="5"/>
  <c r="F40434" i="5"/>
  <c r="F40433" i="5"/>
  <c r="F40432" i="5"/>
  <c r="F40431" i="5"/>
  <c r="F40430" i="5"/>
  <c r="F40429" i="5"/>
  <c r="F40428" i="5"/>
  <c r="F40427" i="5"/>
  <c r="F40426" i="5"/>
  <c r="F40425" i="5"/>
  <c r="F40424" i="5"/>
  <c r="F40423" i="5"/>
  <c r="F40422" i="5"/>
  <c r="F40421" i="5"/>
  <c r="F40420" i="5"/>
  <c r="F40419" i="5"/>
  <c r="F40418" i="5"/>
  <c r="F40417" i="5"/>
  <c r="F40416" i="5"/>
  <c r="F40415" i="5"/>
  <c r="F40414" i="5"/>
  <c r="F40413" i="5"/>
  <c r="F40412" i="5"/>
  <c r="F40411" i="5"/>
  <c r="F40410" i="5"/>
  <c r="F40409" i="5"/>
  <c r="F40408" i="5"/>
  <c r="F40407" i="5"/>
  <c r="F40406" i="5"/>
  <c r="F40405" i="5"/>
  <c r="F40404" i="5"/>
  <c r="F40403" i="5"/>
  <c r="F40402" i="5"/>
  <c r="F40401" i="5"/>
  <c r="F40400" i="5"/>
  <c r="F40399" i="5"/>
  <c r="F40398" i="5"/>
  <c r="F40397" i="5"/>
  <c r="F40396" i="5"/>
  <c r="F40395" i="5"/>
  <c r="F40394" i="5"/>
  <c r="F40393" i="5"/>
  <c r="F40392" i="5"/>
  <c r="F40391" i="5"/>
  <c r="F40390" i="5"/>
  <c r="F40389" i="5"/>
  <c r="F40388" i="5"/>
  <c r="F40387" i="5"/>
  <c r="F40386" i="5"/>
  <c r="F40385" i="5"/>
  <c r="F40384" i="5"/>
  <c r="F40383" i="5"/>
  <c r="F40382" i="5"/>
  <c r="F40381" i="5"/>
  <c r="F40380" i="5"/>
  <c r="F40379" i="5"/>
  <c r="F40378" i="5"/>
  <c r="F40377" i="5"/>
  <c r="F40376" i="5"/>
  <c r="F40375" i="5"/>
  <c r="F40374" i="5"/>
  <c r="F40373" i="5"/>
  <c r="F40372" i="5"/>
  <c r="F40371" i="5"/>
  <c r="F40370" i="5"/>
  <c r="F40369" i="5"/>
  <c r="F40368" i="5"/>
  <c r="F40367" i="5"/>
  <c r="F40366" i="5"/>
  <c r="F40365" i="5"/>
  <c r="F40364" i="5"/>
  <c r="F40363" i="5"/>
  <c r="F40362" i="5"/>
  <c r="F40361" i="5"/>
  <c r="F40360" i="5"/>
  <c r="F40359" i="5"/>
  <c r="F40358" i="5"/>
  <c r="F40357" i="5"/>
  <c r="F40356" i="5"/>
  <c r="F40355" i="5"/>
  <c r="F40354" i="5"/>
  <c r="F40353" i="5"/>
  <c r="F40352" i="5"/>
  <c r="F40351" i="5"/>
  <c r="F40350" i="5"/>
  <c r="F40349" i="5"/>
  <c r="F40348" i="5"/>
  <c r="F40347" i="5"/>
  <c r="F40346" i="5"/>
  <c r="F40345" i="5"/>
  <c r="F40344" i="5"/>
  <c r="F40343" i="5"/>
  <c r="F40342" i="5"/>
  <c r="F40341" i="5"/>
  <c r="F40340" i="5"/>
  <c r="F40339" i="5"/>
  <c r="F40338" i="5"/>
  <c r="F40337" i="5"/>
  <c r="F40336" i="5"/>
  <c r="F40335" i="5"/>
  <c r="F40334" i="5"/>
  <c r="F40333" i="5"/>
  <c r="F40332" i="5"/>
  <c r="F40331" i="5"/>
  <c r="F40330" i="5"/>
  <c r="F40329" i="5"/>
  <c r="F40328" i="5"/>
  <c r="F40327" i="5"/>
  <c r="F40326" i="5"/>
  <c r="F40325" i="5"/>
  <c r="F40324" i="5"/>
  <c r="F40323" i="5"/>
  <c r="F40322" i="5"/>
  <c r="F40321" i="5"/>
  <c r="F40320" i="5"/>
  <c r="F40319" i="5"/>
  <c r="F40318" i="5"/>
  <c r="F40317" i="5"/>
  <c r="F40316" i="5"/>
  <c r="F40315" i="5"/>
  <c r="F40314" i="5"/>
  <c r="F40313" i="5"/>
  <c r="F40312" i="5"/>
  <c r="F40311" i="5"/>
  <c r="F40310" i="5"/>
  <c r="F40309" i="5"/>
  <c r="F40308" i="5"/>
  <c r="F40307" i="5"/>
  <c r="F40306" i="5"/>
  <c r="F40305" i="5"/>
  <c r="F40304" i="5"/>
  <c r="F40303" i="5"/>
  <c r="F40302" i="5"/>
  <c r="F40301" i="5"/>
  <c r="F40300" i="5"/>
  <c r="F40299" i="5"/>
  <c r="F40298" i="5"/>
  <c r="F40297" i="5"/>
  <c r="F40296" i="5"/>
  <c r="F40295" i="5"/>
  <c r="F40294" i="5"/>
  <c r="F40293" i="5"/>
  <c r="F40292" i="5"/>
  <c r="F40291" i="5"/>
  <c r="F40290" i="5"/>
  <c r="F40289" i="5"/>
  <c r="F40288" i="5"/>
  <c r="F40287" i="5"/>
  <c r="F40286" i="5"/>
  <c r="F40285" i="5"/>
  <c r="F40284" i="5"/>
  <c r="F40283" i="5"/>
  <c r="F40282" i="5"/>
  <c r="F40281" i="5"/>
  <c r="F40280" i="5"/>
  <c r="F40279" i="5"/>
  <c r="F40278" i="5"/>
  <c r="F40277" i="5"/>
  <c r="F40276" i="5"/>
  <c r="F40275" i="5"/>
  <c r="F40274" i="5"/>
  <c r="F40273" i="5"/>
  <c r="F40272" i="5"/>
  <c r="F40271" i="5"/>
  <c r="F40270" i="5"/>
  <c r="F40269" i="5"/>
  <c r="F40268" i="5"/>
  <c r="F40267" i="5"/>
  <c r="F40266" i="5"/>
  <c r="F40265" i="5"/>
  <c r="F40264" i="5"/>
  <c r="F40263" i="5"/>
  <c r="F40262" i="5"/>
  <c r="F40261" i="5"/>
  <c r="F40260" i="5"/>
  <c r="F40259" i="5"/>
  <c r="F40258" i="5"/>
  <c r="F40257" i="5"/>
  <c r="F40256" i="5"/>
  <c r="F40255" i="5"/>
  <c r="F40254" i="5"/>
  <c r="F40253" i="5"/>
  <c r="F40252" i="5"/>
  <c r="F40251" i="5"/>
  <c r="F40250" i="5"/>
  <c r="F40249" i="5"/>
  <c r="F40248" i="5"/>
  <c r="F40247" i="5"/>
  <c r="F40246" i="5"/>
  <c r="F40245" i="5"/>
  <c r="F40244" i="5"/>
  <c r="F40243" i="5"/>
  <c r="F40242" i="5"/>
  <c r="F40241" i="5"/>
  <c r="F40240" i="5"/>
  <c r="F40239" i="5"/>
  <c r="F40238" i="5"/>
  <c r="F40237" i="5"/>
  <c r="F40236" i="5"/>
  <c r="F40235" i="5"/>
  <c r="F40234" i="5"/>
  <c r="F40233" i="5"/>
  <c r="F40232" i="5"/>
  <c r="F40231" i="5"/>
  <c r="F40230" i="5"/>
  <c r="F40229" i="5"/>
  <c r="F40228" i="5"/>
  <c r="F40227" i="5"/>
  <c r="F40226" i="5"/>
  <c r="F40225" i="5"/>
  <c r="F40224" i="5"/>
  <c r="F40223" i="5"/>
  <c r="F40222" i="5"/>
  <c r="F40221" i="5"/>
  <c r="F40220" i="5"/>
  <c r="F40219" i="5"/>
  <c r="F40218" i="5"/>
  <c r="F40217" i="5"/>
  <c r="F40216" i="5"/>
  <c r="F40215" i="5"/>
  <c r="F40214" i="5"/>
  <c r="F40213" i="5"/>
  <c r="F40212" i="5"/>
  <c r="F40211" i="5"/>
  <c r="F40210" i="5"/>
  <c r="F40209" i="5"/>
  <c r="F40208" i="5"/>
  <c r="F40207" i="5"/>
  <c r="F40206" i="5"/>
  <c r="F40205" i="5"/>
  <c r="F40204" i="5"/>
  <c r="F40203" i="5"/>
  <c r="F40202" i="5"/>
  <c r="F40201" i="5"/>
  <c r="F40200" i="5"/>
  <c r="F40199" i="5"/>
  <c r="F40198" i="5"/>
  <c r="F40197" i="5"/>
  <c r="F40196" i="5"/>
  <c r="F40195" i="5"/>
  <c r="F40194" i="5"/>
  <c r="F40193" i="5"/>
  <c r="F40192" i="5"/>
  <c r="F40191" i="5"/>
  <c r="F40190" i="5"/>
  <c r="F40189" i="5"/>
  <c r="F40188" i="5"/>
  <c r="F40187" i="5"/>
  <c r="F40186" i="5"/>
  <c r="F40185" i="5"/>
  <c r="F40184" i="5"/>
  <c r="F40183" i="5"/>
  <c r="F40182" i="5"/>
  <c r="F40181" i="5"/>
  <c r="F40180" i="5"/>
  <c r="F40179" i="5"/>
  <c r="F40178" i="5"/>
  <c r="F40177" i="5"/>
  <c r="F40176" i="5"/>
  <c r="F40175" i="5"/>
  <c r="F40174" i="5"/>
  <c r="F40173" i="5"/>
  <c r="F40172" i="5"/>
  <c r="F40171" i="5"/>
  <c r="F40170" i="5"/>
  <c r="F40169" i="5"/>
  <c r="F40168" i="5"/>
  <c r="F40167" i="5"/>
  <c r="F40166" i="5"/>
  <c r="F40165" i="5"/>
  <c r="F40164" i="5"/>
  <c r="F40163" i="5"/>
  <c r="F40162" i="5"/>
  <c r="F40161" i="5"/>
  <c r="F40160" i="5"/>
  <c r="F40159" i="5"/>
  <c r="F40158" i="5"/>
  <c r="F40157" i="5"/>
  <c r="F40156" i="5"/>
  <c r="F40155" i="5"/>
  <c r="F40154" i="5"/>
  <c r="F40153" i="5"/>
  <c r="F40152" i="5"/>
  <c r="F40151" i="5"/>
  <c r="F40150" i="5"/>
  <c r="F40149" i="5"/>
  <c r="F40148" i="5"/>
  <c r="F40147" i="5"/>
  <c r="F40146" i="5"/>
  <c r="F40145" i="5"/>
  <c r="F40144" i="5"/>
  <c r="F40143" i="5"/>
  <c r="F40142" i="5"/>
  <c r="F40141" i="5"/>
  <c r="F40140" i="5"/>
  <c r="F40139" i="5"/>
  <c r="F40138" i="5"/>
  <c r="F40137" i="5"/>
  <c r="F40136" i="5"/>
  <c r="F40135" i="5"/>
  <c r="F40134" i="5"/>
  <c r="F40133" i="5"/>
  <c r="F40132" i="5"/>
  <c r="F40131" i="5"/>
  <c r="F40130" i="5"/>
  <c r="F40129" i="5"/>
  <c r="F40128" i="5"/>
  <c r="F40127" i="5"/>
  <c r="F40126" i="5"/>
  <c r="F40125" i="5"/>
  <c r="F40124" i="5"/>
  <c r="F40123" i="5"/>
  <c r="F40122" i="5"/>
  <c r="F40121" i="5"/>
  <c r="F40120" i="5"/>
  <c r="F40119" i="5"/>
  <c r="F40118" i="5"/>
  <c r="F40117" i="5"/>
  <c r="F40116" i="5"/>
  <c r="F40115" i="5"/>
  <c r="F40114" i="5"/>
  <c r="F40113" i="5"/>
  <c r="F40112" i="5"/>
  <c r="F40111" i="5"/>
  <c r="F40110" i="5"/>
  <c r="F40109" i="5"/>
  <c r="F40108" i="5"/>
  <c r="F40107" i="5"/>
  <c r="F40106" i="5"/>
  <c r="F40105" i="5"/>
  <c r="F40104" i="5"/>
  <c r="F40103" i="5"/>
  <c r="F40102" i="5"/>
  <c r="F40101" i="5"/>
  <c r="F40100" i="5"/>
  <c r="F40099" i="5"/>
  <c r="F40098" i="5"/>
  <c r="F40097" i="5"/>
  <c r="F40096" i="5"/>
  <c r="F40095" i="5"/>
  <c r="F40094" i="5"/>
  <c r="F40093" i="5"/>
  <c r="F40092" i="5"/>
  <c r="F40091" i="5"/>
  <c r="F40090" i="5"/>
  <c r="F40089" i="5"/>
  <c r="F40088" i="5"/>
  <c r="F40087" i="5"/>
  <c r="F40086" i="5"/>
  <c r="F40085" i="5"/>
  <c r="F40084" i="5"/>
  <c r="F40083" i="5"/>
  <c r="F40082" i="5"/>
  <c r="F40081" i="5"/>
  <c r="F40080" i="5"/>
  <c r="F40079" i="5"/>
  <c r="F40078" i="5"/>
  <c r="F40077" i="5"/>
  <c r="F40076" i="5"/>
  <c r="F40075" i="5"/>
  <c r="F40074" i="5"/>
  <c r="F40073" i="5"/>
  <c r="F40072" i="5"/>
  <c r="F40071" i="5"/>
  <c r="F40070" i="5"/>
  <c r="F40069" i="5"/>
  <c r="F40068" i="5"/>
  <c r="F40067" i="5"/>
  <c r="F40066" i="5"/>
  <c r="F40065" i="5"/>
  <c r="F40064" i="5"/>
  <c r="F40063" i="5"/>
  <c r="F40062" i="5"/>
  <c r="F40061" i="5"/>
  <c r="F40060" i="5"/>
  <c r="F40059" i="5"/>
  <c r="F40058" i="5"/>
  <c r="F40057" i="5"/>
  <c r="F40056" i="5"/>
  <c r="F40055" i="5"/>
  <c r="F40054" i="5"/>
  <c r="F40053" i="5"/>
  <c r="F40052" i="5"/>
  <c r="F40051" i="5"/>
  <c r="F40050" i="5"/>
  <c r="F40049" i="5"/>
  <c r="F40048" i="5"/>
  <c r="F40047" i="5"/>
  <c r="F40046" i="5"/>
  <c r="F40045" i="5"/>
  <c r="F40044" i="5"/>
  <c r="F40043" i="5"/>
  <c r="F40042" i="5"/>
  <c r="F40041" i="5"/>
  <c r="F40040" i="5"/>
  <c r="F40039" i="5"/>
  <c r="F40038" i="5"/>
  <c r="F40037" i="5"/>
  <c r="F40036" i="5"/>
  <c r="F40035" i="5"/>
  <c r="F40034" i="5"/>
  <c r="F40033" i="5"/>
  <c r="F40032" i="5"/>
  <c r="F40031" i="5"/>
  <c r="F40030" i="5"/>
  <c r="F40029" i="5"/>
  <c r="F40028" i="5"/>
  <c r="F40027" i="5"/>
  <c r="F40026" i="5"/>
  <c r="F40025" i="5"/>
  <c r="F40024" i="5"/>
  <c r="F40023" i="5"/>
  <c r="F40022" i="5"/>
  <c r="F40021" i="5"/>
  <c r="F40020" i="5"/>
  <c r="F40019" i="5"/>
  <c r="F40018" i="5"/>
  <c r="F40017" i="5"/>
  <c r="F40016" i="5"/>
  <c r="F40015" i="5"/>
  <c r="F40014" i="5"/>
  <c r="F40013" i="5"/>
  <c r="F40012" i="5"/>
  <c r="F40011" i="5"/>
  <c r="F40010" i="5"/>
  <c r="F40009" i="5"/>
  <c r="F40008" i="5"/>
  <c r="F40007" i="5"/>
  <c r="F40006" i="5"/>
  <c r="F40005" i="5"/>
  <c r="F40004" i="5"/>
  <c r="F40003" i="5"/>
  <c r="F40002" i="5"/>
  <c r="F40001" i="5"/>
  <c r="F40000" i="5"/>
  <c r="F39999" i="5"/>
  <c r="F39998" i="5"/>
  <c r="F39997" i="5"/>
  <c r="F39996" i="5"/>
  <c r="F39995" i="5"/>
  <c r="F39994" i="5"/>
  <c r="F39993" i="5"/>
  <c r="F39992" i="5"/>
  <c r="F39991" i="5"/>
  <c r="F39990" i="5"/>
  <c r="F39989" i="5"/>
  <c r="F39988" i="5"/>
  <c r="F39987" i="5"/>
  <c r="F39986" i="5"/>
  <c r="F39985" i="5"/>
  <c r="F39984" i="5"/>
  <c r="F39983" i="5"/>
  <c r="F39982" i="5"/>
  <c r="F39981" i="5"/>
  <c r="F39980" i="5"/>
  <c r="F39979" i="5"/>
  <c r="F39978" i="5"/>
  <c r="F39977" i="5"/>
  <c r="F39976" i="5"/>
  <c r="F39975" i="5"/>
  <c r="F39974" i="5"/>
  <c r="F39973" i="5"/>
  <c r="F39972" i="5"/>
  <c r="F39971" i="5"/>
  <c r="F39970" i="5"/>
  <c r="F39969" i="5"/>
  <c r="F39968" i="5"/>
  <c r="F39967" i="5"/>
  <c r="F39966" i="5"/>
  <c r="F39965" i="5"/>
  <c r="F39964" i="5"/>
  <c r="F39963" i="5"/>
  <c r="F39962" i="5"/>
  <c r="F39961" i="5"/>
  <c r="F39960" i="5"/>
  <c r="F39959" i="5"/>
  <c r="F39958" i="5"/>
  <c r="F39957" i="5"/>
  <c r="F39956" i="5"/>
  <c r="F39955" i="5"/>
  <c r="F39954" i="5"/>
  <c r="F39953" i="5"/>
  <c r="F39952" i="5"/>
  <c r="F39951" i="5"/>
  <c r="F39950" i="5"/>
  <c r="F39949" i="5"/>
  <c r="F39948" i="5"/>
  <c r="F39947" i="5"/>
  <c r="F39946" i="5"/>
  <c r="F39945" i="5"/>
  <c r="F39944" i="5"/>
  <c r="F39943" i="5"/>
  <c r="F39942" i="5"/>
  <c r="F39941" i="5"/>
  <c r="F39940" i="5"/>
  <c r="F39939" i="5"/>
  <c r="F39938" i="5"/>
  <c r="F39937" i="5"/>
  <c r="F39936" i="5"/>
  <c r="F39935" i="5"/>
  <c r="F39934" i="5"/>
  <c r="F39933" i="5"/>
  <c r="F39932" i="5"/>
  <c r="F39931" i="5"/>
  <c r="F39930" i="5"/>
  <c r="F39929" i="5"/>
  <c r="F39928" i="5"/>
  <c r="F39927" i="5"/>
  <c r="F39926" i="5"/>
  <c r="F39925" i="5"/>
  <c r="F39924" i="5"/>
  <c r="F39923" i="5"/>
  <c r="F39922" i="5"/>
  <c r="F39921" i="5"/>
  <c r="F39920" i="5"/>
  <c r="F39919" i="5"/>
  <c r="F39918" i="5"/>
  <c r="F39917" i="5"/>
  <c r="F39916" i="5"/>
  <c r="F39915" i="5"/>
  <c r="F39914" i="5"/>
  <c r="F39913" i="5"/>
  <c r="F39912" i="5"/>
  <c r="F39911" i="5"/>
  <c r="F39910" i="5"/>
  <c r="F39909" i="5"/>
  <c r="F39908" i="5"/>
  <c r="F39907" i="5"/>
  <c r="F39906" i="5"/>
  <c r="F39905" i="5"/>
  <c r="F39904" i="5"/>
  <c r="F39903" i="5"/>
  <c r="F39902" i="5"/>
  <c r="F39901" i="5"/>
  <c r="F39900" i="5"/>
  <c r="F39899" i="5"/>
  <c r="F39898" i="5"/>
  <c r="F39897" i="5"/>
  <c r="F39896" i="5"/>
  <c r="F39895" i="5"/>
  <c r="F39894" i="5"/>
  <c r="F39893" i="5"/>
  <c r="F39892" i="5"/>
  <c r="F39891" i="5"/>
  <c r="F39890" i="5"/>
  <c r="F39889" i="5"/>
  <c r="F39888" i="5"/>
  <c r="F39887" i="5"/>
  <c r="F39886" i="5"/>
  <c r="F39885" i="5"/>
  <c r="F39884" i="5"/>
  <c r="F39883" i="5"/>
  <c r="F39882" i="5"/>
  <c r="F39881" i="5"/>
  <c r="F39880" i="5"/>
  <c r="F39879" i="5"/>
  <c r="F39878" i="5"/>
  <c r="F39877" i="5"/>
  <c r="F39876" i="5"/>
  <c r="F39875" i="5"/>
  <c r="F39874" i="5"/>
  <c r="F39873" i="5"/>
  <c r="F39872" i="5"/>
  <c r="F39871" i="5"/>
  <c r="F39870" i="5"/>
  <c r="F39869" i="5"/>
  <c r="F39868" i="5"/>
  <c r="F39867" i="5"/>
  <c r="F39866" i="5"/>
  <c r="F39865" i="5"/>
  <c r="F39864" i="5"/>
  <c r="F39863" i="5"/>
  <c r="F39862" i="5"/>
  <c r="F39861" i="5"/>
  <c r="F39860" i="5"/>
  <c r="F39859" i="5"/>
  <c r="F39858" i="5"/>
  <c r="F39857" i="5"/>
  <c r="F39856" i="5"/>
  <c r="F39855" i="5"/>
  <c r="F39854" i="5"/>
  <c r="F39853" i="5"/>
  <c r="F39852" i="5"/>
  <c r="F39851" i="5"/>
  <c r="F39850" i="5"/>
  <c r="F39849" i="5"/>
  <c r="F39848" i="5"/>
  <c r="F39847" i="5"/>
  <c r="F39846" i="5"/>
  <c r="F39845" i="5"/>
  <c r="F39844" i="5"/>
  <c r="F39843" i="5"/>
  <c r="F39842" i="5"/>
  <c r="F39841" i="5"/>
  <c r="F39840" i="5"/>
  <c r="F39839" i="5"/>
  <c r="F39838" i="5"/>
  <c r="F39837" i="5"/>
  <c r="F39836" i="5"/>
  <c r="F39835" i="5"/>
  <c r="F39834" i="5"/>
  <c r="F39833" i="5"/>
  <c r="F39832" i="5"/>
  <c r="F39831" i="5"/>
  <c r="F39830" i="5"/>
  <c r="F39829" i="5"/>
  <c r="F39828" i="5"/>
  <c r="F39827" i="5"/>
  <c r="F39826" i="5"/>
  <c r="F39825" i="5"/>
  <c r="F39824" i="5"/>
  <c r="F39823" i="5"/>
  <c r="F39822" i="5"/>
  <c r="F39821" i="5"/>
  <c r="F39820" i="5"/>
  <c r="F39819" i="5"/>
  <c r="F39818" i="5"/>
  <c r="F39817" i="5"/>
  <c r="F39816" i="5"/>
  <c r="F39815" i="5"/>
  <c r="F39814" i="5"/>
  <c r="F39813" i="5"/>
  <c r="F39812" i="5"/>
  <c r="F39811" i="5"/>
  <c r="F39810" i="5"/>
  <c r="F39809" i="5"/>
  <c r="F39808" i="5"/>
  <c r="F39807" i="5"/>
  <c r="F39806" i="5"/>
  <c r="F39805" i="5"/>
  <c r="F39804" i="5"/>
  <c r="F39803" i="5"/>
  <c r="F39802" i="5"/>
  <c r="F39801" i="5"/>
  <c r="F39800" i="5"/>
  <c r="F39799" i="5"/>
  <c r="F39798" i="5"/>
  <c r="F39797" i="5"/>
  <c r="F39796" i="5"/>
  <c r="F39795" i="5"/>
  <c r="F39794" i="5"/>
  <c r="F39793" i="5"/>
  <c r="F39792" i="5"/>
  <c r="F39791" i="5"/>
  <c r="F39790" i="5"/>
  <c r="F39789" i="5"/>
  <c r="F39788" i="5"/>
  <c r="F39787" i="5"/>
  <c r="F39786" i="5"/>
  <c r="F39785" i="5"/>
  <c r="F39784" i="5"/>
  <c r="F39783" i="5"/>
  <c r="F39782" i="5"/>
  <c r="F39781" i="5"/>
  <c r="F39780" i="5"/>
  <c r="F39779" i="5"/>
  <c r="F39778" i="5"/>
  <c r="F39777" i="5"/>
  <c r="F39776" i="5"/>
  <c r="F39775" i="5"/>
  <c r="F39774" i="5"/>
  <c r="F39773" i="5"/>
  <c r="F39772" i="5"/>
  <c r="F39771" i="5"/>
  <c r="F39770" i="5"/>
  <c r="F39769" i="5"/>
  <c r="F39768" i="5"/>
  <c r="F39767" i="5"/>
  <c r="F39766" i="5"/>
  <c r="F39765" i="5"/>
  <c r="F39764" i="5"/>
  <c r="F39763" i="5"/>
  <c r="F39762" i="5"/>
  <c r="F39761" i="5"/>
  <c r="F39760" i="5"/>
  <c r="F39759" i="5"/>
  <c r="F39758" i="5"/>
  <c r="F39757" i="5"/>
  <c r="F39756" i="5"/>
  <c r="F39755" i="5"/>
  <c r="F39754" i="5"/>
  <c r="F39753" i="5"/>
  <c r="F39752" i="5"/>
  <c r="F39751" i="5"/>
  <c r="F39750" i="5"/>
  <c r="F39749" i="5"/>
  <c r="F39748" i="5"/>
  <c r="F39747" i="5"/>
  <c r="F39746" i="5"/>
  <c r="F39745" i="5"/>
  <c r="F39744" i="5"/>
  <c r="F39743" i="5"/>
  <c r="F39742" i="5"/>
  <c r="F39741" i="5"/>
  <c r="F39740" i="5"/>
  <c r="F39739" i="5"/>
  <c r="F39738" i="5"/>
  <c r="F39737" i="5"/>
  <c r="F39736" i="5"/>
  <c r="F39735" i="5"/>
  <c r="F39734" i="5"/>
  <c r="F39733" i="5"/>
  <c r="F39732" i="5"/>
  <c r="F39731" i="5"/>
  <c r="F39730" i="5"/>
  <c r="F39729" i="5"/>
  <c r="F39728" i="5"/>
  <c r="F39727" i="5"/>
  <c r="F39726" i="5"/>
  <c r="F39725" i="5"/>
  <c r="F39724" i="5"/>
  <c r="F39723" i="5"/>
  <c r="F39722" i="5"/>
  <c r="F39721" i="5"/>
  <c r="F39720" i="5"/>
  <c r="F39719" i="5"/>
  <c r="F39718" i="5"/>
  <c r="F39717" i="5"/>
  <c r="F39716" i="5"/>
  <c r="F39715" i="5"/>
  <c r="F39714" i="5"/>
  <c r="F39713" i="5"/>
  <c r="F39712" i="5"/>
  <c r="F39711" i="5"/>
  <c r="F39710" i="5"/>
  <c r="F39709" i="5"/>
  <c r="F39708" i="5"/>
  <c r="F39707" i="5"/>
  <c r="F39706" i="5"/>
  <c r="F39705" i="5"/>
  <c r="F39704" i="5"/>
  <c r="F39703" i="5"/>
  <c r="F39702" i="5"/>
  <c r="F39701" i="5"/>
  <c r="F39700" i="5"/>
  <c r="F39699" i="5"/>
  <c r="F39698" i="5"/>
  <c r="F39697" i="5"/>
  <c r="F39696" i="5"/>
  <c r="F39695" i="5"/>
  <c r="F39694" i="5"/>
  <c r="F39693" i="5"/>
  <c r="F39692" i="5"/>
  <c r="F39691" i="5"/>
  <c r="F39690" i="5"/>
  <c r="F39689" i="5"/>
  <c r="F39688" i="5"/>
  <c r="F39687" i="5"/>
  <c r="F39686" i="5"/>
  <c r="F39685" i="5"/>
  <c r="F39684" i="5"/>
  <c r="F39683" i="5"/>
  <c r="F39682" i="5"/>
  <c r="F39681" i="5"/>
  <c r="F39680" i="5"/>
  <c r="F39679" i="5"/>
  <c r="F39678" i="5"/>
  <c r="F39677" i="5"/>
  <c r="F39676" i="5"/>
  <c r="F39675" i="5"/>
  <c r="F39674" i="5"/>
  <c r="F39673" i="5"/>
  <c r="F39672" i="5"/>
  <c r="F39671" i="5"/>
  <c r="F39670" i="5"/>
  <c r="F39669" i="5"/>
  <c r="F39668" i="5"/>
  <c r="F39667" i="5"/>
  <c r="F39666" i="5"/>
  <c r="F39665" i="5"/>
  <c r="F39664" i="5"/>
  <c r="F39663" i="5"/>
  <c r="F39662" i="5"/>
  <c r="F39661" i="5"/>
  <c r="F39660" i="5"/>
  <c r="F39659" i="5"/>
  <c r="F39658" i="5"/>
  <c r="F39657" i="5"/>
  <c r="F39656" i="5"/>
  <c r="F39655" i="5"/>
  <c r="F39654" i="5"/>
  <c r="F39653" i="5"/>
  <c r="F39652" i="5"/>
  <c r="F39651" i="5"/>
  <c r="F39650" i="5"/>
  <c r="F39649" i="5"/>
  <c r="F39648" i="5"/>
  <c r="F39647" i="5"/>
  <c r="F39646" i="5"/>
  <c r="F39645" i="5"/>
  <c r="F39644" i="5"/>
  <c r="F39643" i="5"/>
  <c r="F39642" i="5"/>
  <c r="F39641" i="5"/>
  <c r="F39640" i="5"/>
  <c r="F39639" i="5"/>
  <c r="F39638" i="5"/>
  <c r="F39637" i="5"/>
  <c r="F39636" i="5"/>
  <c r="F39635" i="5"/>
  <c r="F39634" i="5"/>
  <c r="F39633" i="5"/>
  <c r="F39632" i="5"/>
  <c r="F39631" i="5"/>
  <c r="F39630" i="5"/>
  <c r="F39629" i="5"/>
  <c r="F39628" i="5"/>
  <c r="F39627" i="5"/>
  <c r="F39626" i="5"/>
  <c r="F39625" i="5"/>
  <c r="F39624" i="5"/>
  <c r="F39623" i="5"/>
  <c r="F39622" i="5"/>
  <c r="F39621" i="5"/>
  <c r="F39620" i="5"/>
  <c r="F39619" i="5"/>
  <c r="F39618" i="5"/>
  <c r="F39617" i="5"/>
  <c r="F39616" i="5"/>
  <c r="F39615" i="5"/>
  <c r="F39614" i="5"/>
  <c r="F39613" i="5"/>
  <c r="F39612" i="5"/>
  <c r="F39611" i="5"/>
  <c r="F39610" i="5"/>
  <c r="F39609" i="5"/>
  <c r="F39608" i="5"/>
  <c r="F39607" i="5"/>
  <c r="F39606" i="5"/>
  <c r="F39605" i="5"/>
  <c r="F39604" i="5"/>
  <c r="F39603" i="5"/>
  <c r="F39602" i="5"/>
  <c r="F39601" i="5"/>
  <c r="F39600" i="5"/>
  <c r="F39599" i="5"/>
  <c r="F39598" i="5"/>
  <c r="F39597" i="5"/>
  <c r="F39596" i="5"/>
  <c r="F39595" i="5"/>
  <c r="F39594" i="5"/>
  <c r="F39593" i="5"/>
  <c r="F39592" i="5"/>
  <c r="F39591" i="5"/>
  <c r="F39590" i="5"/>
  <c r="F39589" i="5"/>
  <c r="F39588" i="5"/>
  <c r="F39587" i="5"/>
  <c r="F39586" i="5"/>
  <c r="F39585" i="5"/>
  <c r="F39584" i="5"/>
  <c r="F39583" i="5"/>
  <c r="F39582" i="5"/>
  <c r="F39581" i="5"/>
  <c r="F39580" i="5"/>
  <c r="F39579" i="5"/>
  <c r="F39578" i="5"/>
  <c r="F39577" i="5"/>
  <c r="F39576" i="5"/>
  <c r="F39575" i="5"/>
  <c r="F39574" i="5"/>
  <c r="F39573" i="5"/>
  <c r="F39572" i="5"/>
  <c r="F39571" i="5"/>
  <c r="F39570" i="5"/>
  <c r="F39569" i="5"/>
  <c r="F39568" i="5"/>
  <c r="F39567" i="5"/>
  <c r="F39566" i="5"/>
  <c r="F39565" i="5"/>
  <c r="F39564" i="5"/>
  <c r="F39563" i="5"/>
  <c r="F39562" i="5"/>
  <c r="F39561" i="5"/>
  <c r="F39560" i="5"/>
  <c r="F39559" i="5"/>
  <c r="F39558" i="5"/>
  <c r="F39557" i="5"/>
  <c r="F39556" i="5"/>
  <c r="F39555" i="5"/>
  <c r="F39554" i="5"/>
  <c r="F39553" i="5"/>
  <c r="F39552" i="5"/>
  <c r="F39551" i="5"/>
  <c r="F39550" i="5"/>
  <c r="F39549" i="5"/>
  <c r="F39548" i="5"/>
  <c r="F39547" i="5"/>
  <c r="F39546" i="5"/>
  <c r="F39545" i="5"/>
  <c r="F39544" i="5"/>
  <c r="F39543" i="5"/>
  <c r="F39542" i="5"/>
  <c r="F39541" i="5"/>
  <c r="F39540" i="5"/>
  <c r="F39539" i="5"/>
  <c r="F39538" i="5"/>
  <c r="F39537" i="5"/>
  <c r="F39536" i="5"/>
  <c r="F39535" i="5"/>
  <c r="F39534" i="5"/>
  <c r="F39533" i="5"/>
  <c r="F39532" i="5"/>
  <c r="F39531" i="5"/>
  <c r="F39530" i="5"/>
  <c r="F39529" i="5"/>
  <c r="F39528" i="5"/>
  <c r="F39527" i="5"/>
  <c r="F39526" i="5"/>
  <c r="F39525" i="5"/>
  <c r="F39524" i="5"/>
  <c r="F39523" i="5"/>
  <c r="F39522" i="5"/>
  <c r="F39521" i="5"/>
  <c r="F39520" i="5"/>
  <c r="F39519" i="5"/>
  <c r="F39518" i="5"/>
  <c r="F39517" i="5"/>
  <c r="F39516" i="5"/>
  <c r="F39515" i="5"/>
  <c r="F39514" i="5"/>
  <c r="F39513" i="5"/>
  <c r="F39512" i="5"/>
  <c r="F39511" i="5"/>
  <c r="F39510" i="5"/>
  <c r="F39509" i="5"/>
  <c r="F39508" i="5"/>
  <c r="F39507" i="5"/>
  <c r="F39506" i="5"/>
  <c r="F39505" i="5"/>
  <c r="F39504" i="5"/>
  <c r="F39503" i="5"/>
  <c r="F39502" i="5"/>
  <c r="F39501" i="5"/>
  <c r="F39500" i="5"/>
  <c r="F39499" i="5"/>
  <c r="F39498" i="5"/>
  <c r="F39497" i="5"/>
  <c r="F39496" i="5"/>
  <c r="F39495" i="5"/>
  <c r="F39494" i="5"/>
  <c r="F39493" i="5"/>
  <c r="F39492" i="5"/>
  <c r="F39491" i="5"/>
  <c r="F39490" i="5"/>
  <c r="F39489" i="5"/>
  <c r="F39488" i="5"/>
  <c r="F39487" i="5"/>
  <c r="F39486" i="5"/>
  <c r="F39485" i="5"/>
  <c r="F39484" i="5"/>
  <c r="F39483" i="5"/>
  <c r="F39482" i="5"/>
  <c r="F39481" i="5"/>
  <c r="F39480" i="5"/>
  <c r="F39479" i="5"/>
  <c r="F39478" i="5"/>
  <c r="F39477" i="5"/>
  <c r="F39476" i="5"/>
  <c r="F39475" i="5"/>
  <c r="F39474" i="5"/>
  <c r="F39473" i="5"/>
  <c r="F39472" i="5"/>
  <c r="F39471" i="5"/>
  <c r="F39470" i="5"/>
  <c r="F39469" i="5"/>
  <c r="F39468" i="5"/>
  <c r="F39467" i="5"/>
  <c r="F39466" i="5"/>
  <c r="F39465" i="5"/>
  <c r="F39464" i="5"/>
  <c r="F39463" i="5"/>
  <c r="F39462" i="5"/>
  <c r="F39461" i="5"/>
  <c r="F39460" i="5"/>
  <c r="F39459" i="5"/>
  <c r="F39458" i="5"/>
  <c r="F39457" i="5"/>
  <c r="F39456" i="5"/>
  <c r="F39455" i="5"/>
  <c r="F39454" i="5"/>
  <c r="F39453" i="5"/>
  <c r="F39452" i="5"/>
  <c r="F39451" i="5"/>
  <c r="F39450" i="5"/>
  <c r="F39449" i="5"/>
  <c r="F39448" i="5"/>
  <c r="F39447" i="5"/>
  <c r="F39446" i="5"/>
  <c r="F39445" i="5"/>
  <c r="F39444" i="5"/>
  <c r="F39443" i="5"/>
  <c r="F39442" i="5"/>
  <c r="F39441" i="5"/>
  <c r="F39440" i="5"/>
  <c r="F39439" i="5"/>
  <c r="F39438" i="5"/>
  <c r="F39437" i="5"/>
  <c r="F39436" i="5"/>
  <c r="F39435" i="5"/>
  <c r="F39434" i="5"/>
  <c r="F39433" i="5"/>
  <c r="F39432" i="5"/>
  <c r="F39431" i="5"/>
  <c r="F39430" i="5"/>
  <c r="F39429" i="5"/>
  <c r="F39428" i="5"/>
  <c r="F39427" i="5"/>
  <c r="F39426" i="5"/>
  <c r="F39425" i="5"/>
  <c r="F39424" i="5"/>
  <c r="F39423" i="5"/>
  <c r="F39422" i="5"/>
  <c r="F39421" i="5"/>
  <c r="F39420" i="5"/>
  <c r="F39419" i="5"/>
  <c r="F39418" i="5"/>
  <c r="F39417" i="5"/>
  <c r="F39416" i="5"/>
  <c r="F39415" i="5"/>
  <c r="F39414" i="5"/>
  <c r="F39413" i="5"/>
  <c r="F39412" i="5"/>
  <c r="F39411" i="5"/>
  <c r="F39410" i="5"/>
  <c r="F39409" i="5"/>
  <c r="F39408" i="5"/>
  <c r="F39407" i="5"/>
  <c r="F39406" i="5"/>
  <c r="F39405" i="5"/>
  <c r="F39404" i="5"/>
  <c r="F39403" i="5"/>
  <c r="F39402" i="5"/>
  <c r="F39401" i="5"/>
  <c r="F39400" i="5"/>
  <c r="F39399" i="5"/>
  <c r="F39398" i="5"/>
  <c r="F39397" i="5"/>
  <c r="F39396" i="5"/>
  <c r="F39395" i="5"/>
  <c r="F39394" i="5"/>
  <c r="F39393" i="5"/>
  <c r="F39392" i="5"/>
  <c r="F39391" i="5"/>
  <c r="F39390" i="5"/>
  <c r="F39389" i="5"/>
  <c r="F39388" i="5"/>
  <c r="F39387" i="5"/>
  <c r="F39386" i="5"/>
  <c r="F39385" i="5"/>
  <c r="F39384" i="5"/>
  <c r="F39383" i="5"/>
  <c r="F39382" i="5"/>
  <c r="F39381" i="5"/>
  <c r="F39380" i="5"/>
  <c r="F39379" i="5"/>
  <c r="F39378" i="5"/>
  <c r="F39377" i="5"/>
  <c r="F39376" i="5"/>
  <c r="F39375" i="5"/>
  <c r="F39374" i="5"/>
  <c r="F39373" i="5"/>
  <c r="F39372" i="5"/>
  <c r="F39371" i="5"/>
  <c r="F39370" i="5"/>
  <c r="F39369" i="5"/>
  <c r="F39368" i="5"/>
  <c r="F39367" i="5"/>
  <c r="F39366" i="5"/>
  <c r="F39365" i="5"/>
  <c r="F39364" i="5"/>
  <c r="F39363" i="5"/>
  <c r="F39362" i="5"/>
  <c r="F39361" i="5"/>
  <c r="F39360" i="5"/>
  <c r="F39359" i="5"/>
  <c r="F39358" i="5"/>
  <c r="F39357" i="5"/>
  <c r="F39356" i="5"/>
  <c r="F39355" i="5"/>
  <c r="F39354" i="5"/>
  <c r="F39353" i="5"/>
  <c r="F39352" i="5"/>
  <c r="F39351" i="5"/>
  <c r="F39350" i="5"/>
  <c r="F39349" i="5"/>
  <c r="F39348" i="5"/>
  <c r="F39347" i="5"/>
  <c r="F39346" i="5"/>
  <c r="F39345" i="5"/>
  <c r="F39344" i="5"/>
  <c r="F39343" i="5"/>
  <c r="F39342" i="5"/>
  <c r="F39341" i="5"/>
  <c r="F39340" i="5"/>
  <c r="F39339" i="5"/>
  <c r="F39338" i="5"/>
  <c r="F39337" i="5"/>
  <c r="F39336" i="5"/>
  <c r="F39335" i="5"/>
  <c r="F39334" i="5"/>
  <c r="F39333" i="5"/>
  <c r="F39332" i="5"/>
  <c r="F39331" i="5"/>
  <c r="F39330" i="5"/>
  <c r="F39329" i="5"/>
  <c r="F39328" i="5"/>
  <c r="F39327" i="5"/>
  <c r="F39326" i="5"/>
  <c r="F39325" i="5"/>
  <c r="F39324" i="5"/>
  <c r="F39323" i="5"/>
  <c r="F39322" i="5"/>
  <c r="F39321" i="5"/>
  <c r="F39320" i="5"/>
  <c r="F39319" i="5"/>
  <c r="F39318" i="5"/>
  <c r="F39317" i="5"/>
  <c r="F39316" i="5"/>
  <c r="F39315" i="5"/>
  <c r="F39314" i="5"/>
  <c r="F39313" i="5"/>
  <c r="F39312" i="5"/>
  <c r="F39311" i="5"/>
  <c r="F39310" i="5"/>
  <c r="F39309" i="5"/>
  <c r="F39308" i="5"/>
  <c r="F39307" i="5"/>
  <c r="F39306" i="5"/>
  <c r="F39305" i="5"/>
  <c r="F39304" i="5"/>
  <c r="F39303" i="5"/>
  <c r="F39302" i="5"/>
  <c r="F39301" i="5"/>
  <c r="F39300" i="5"/>
  <c r="F39299" i="5"/>
  <c r="F39298" i="5"/>
  <c r="F39297" i="5"/>
  <c r="F39296" i="5"/>
  <c r="F39295" i="5"/>
  <c r="F39294" i="5"/>
  <c r="F39293" i="5"/>
  <c r="F39292" i="5"/>
  <c r="F39291" i="5"/>
  <c r="F39290" i="5"/>
  <c r="F39289" i="5"/>
  <c r="F39288" i="5"/>
  <c r="F39287" i="5"/>
  <c r="F39286" i="5"/>
  <c r="F39285" i="5"/>
  <c r="F39284" i="5"/>
  <c r="F39283" i="5"/>
  <c r="F39282" i="5"/>
  <c r="F39281" i="5"/>
  <c r="F39280" i="5"/>
  <c r="F39279" i="5"/>
  <c r="F39278" i="5"/>
  <c r="F39277" i="5"/>
  <c r="F39276" i="5"/>
  <c r="F39275" i="5"/>
  <c r="F39274" i="5"/>
  <c r="F39273" i="5"/>
  <c r="F39272" i="5"/>
  <c r="F39271" i="5"/>
  <c r="F39270" i="5"/>
  <c r="F39269" i="5"/>
  <c r="F39268" i="5"/>
  <c r="F39267" i="5"/>
  <c r="F39266" i="5"/>
  <c r="F39265" i="5"/>
  <c r="F39264" i="5"/>
  <c r="F39263" i="5"/>
  <c r="F39262" i="5"/>
  <c r="F39261" i="5"/>
  <c r="F39260" i="5"/>
  <c r="F39259" i="5"/>
  <c r="F39258" i="5"/>
  <c r="F39257" i="5"/>
  <c r="F39256" i="5"/>
  <c r="F39255" i="5"/>
  <c r="F39254" i="5"/>
  <c r="F39253" i="5"/>
  <c r="F39252" i="5"/>
  <c r="F39251" i="5"/>
  <c r="F39250" i="5"/>
  <c r="F39249" i="5"/>
  <c r="F39248" i="5"/>
  <c r="F39247" i="5"/>
  <c r="F39246" i="5"/>
  <c r="F39245" i="5"/>
  <c r="F39244" i="5"/>
  <c r="F39243" i="5"/>
  <c r="F39242" i="5"/>
  <c r="F39241" i="5"/>
  <c r="F39240" i="5"/>
  <c r="F39239" i="5"/>
  <c r="F39238" i="5"/>
  <c r="F39237" i="5"/>
  <c r="F39236" i="5"/>
  <c r="F39235" i="5"/>
  <c r="F39234" i="5"/>
  <c r="F39233" i="5"/>
  <c r="F39232" i="5"/>
  <c r="F39231" i="5"/>
  <c r="F39230" i="5"/>
  <c r="F39229" i="5"/>
  <c r="F39228" i="5"/>
  <c r="F39227" i="5"/>
  <c r="F39226" i="5"/>
  <c r="F39225" i="5"/>
  <c r="F39224" i="5"/>
  <c r="F39223" i="5"/>
  <c r="F39222" i="5"/>
  <c r="F39221" i="5"/>
  <c r="F39220" i="5"/>
  <c r="F39219" i="5"/>
  <c r="F39218" i="5"/>
  <c r="F39217" i="5"/>
  <c r="F39216" i="5"/>
  <c r="F39215" i="5"/>
  <c r="F39214" i="5"/>
  <c r="F39213" i="5"/>
  <c r="F39212" i="5"/>
  <c r="F39211" i="5"/>
  <c r="F39210" i="5"/>
  <c r="F39209" i="5"/>
  <c r="F39208" i="5"/>
  <c r="F39207" i="5"/>
  <c r="F39206" i="5"/>
  <c r="F39205" i="5"/>
  <c r="F39204" i="5"/>
  <c r="F39203" i="5"/>
  <c r="F39202" i="5"/>
  <c r="F39201" i="5"/>
  <c r="F39200" i="5"/>
  <c r="F39199" i="5"/>
  <c r="F39198" i="5"/>
  <c r="F39197" i="5"/>
  <c r="F39196" i="5"/>
  <c r="F39195" i="5"/>
  <c r="F39194" i="5"/>
  <c r="F39193" i="5"/>
  <c r="F39192" i="5"/>
  <c r="F39191" i="5"/>
  <c r="F39190" i="5"/>
  <c r="F39189" i="5"/>
  <c r="F39188" i="5"/>
  <c r="F39187" i="5"/>
  <c r="F39186" i="5"/>
  <c r="F39185" i="5"/>
  <c r="F39184" i="5"/>
  <c r="F39183" i="5"/>
  <c r="F39182" i="5"/>
  <c r="F39181" i="5"/>
  <c r="F39180" i="5"/>
  <c r="F39179" i="5"/>
  <c r="F39178" i="5"/>
  <c r="F39177" i="5"/>
  <c r="F39176" i="5"/>
  <c r="F39175" i="5"/>
  <c r="F39174" i="5"/>
  <c r="F39173" i="5"/>
  <c r="F39172" i="5"/>
  <c r="F39171" i="5"/>
  <c r="F39170" i="5"/>
  <c r="F39169" i="5"/>
  <c r="F39168" i="5"/>
  <c r="F39167" i="5"/>
  <c r="F39166" i="5"/>
  <c r="F39165" i="5"/>
  <c r="F39164" i="5"/>
  <c r="F39163" i="5"/>
  <c r="F39162" i="5"/>
  <c r="F39161" i="5"/>
  <c r="F39160" i="5"/>
  <c r="F39159" i="5"/>
  <c r="F39158" i="5"/>
  <c r="F39157" i="5"/>
  <c r="F39156" i="5"/>
  <c r="F39155" i="5"/>
  <c r="F39154" i="5"/>
  <c r="F39153" i="5"/>
  <c r="F39152" i="5"/>
  <c r="F39151" i="5"/>
  <c r="F39150" i="5"/>
  <c r="F39149" i="5"/>
  <c r="F39148" i="5"/>
  <c r="F39147" i="5"/>
  <c r="F39146" i="5"/>
  <c r="F39145" i="5"/>
  <c r="F39144" i="5"/>
  <c r="F39143" i="5"/>
  <c r="F39142" i="5"/>
  <c r="F39141" i="5"/>
  <c r="F39140" i="5"/>
  <c r="F39139" i="5"/>
  <c r="F39138" i="5"/>
  <c r="F39137" i="5"/>
  <c r="F39136" i="5"/>
  <c r="F39135" i="5"/>
  <c r="F39134" i="5"/>
  <c r="F39133" i="5"/>
  <c r="F39132" i="5"/>
  <c r="F39131" i="5"/>
  <c r="F39130" i="5"/>
  <c r="F39129" i="5"/>
  <c r="F39128" i="5"/>
  <c r="F39127" i="5"/>
  <c r="F39126" i="5"/>
  <c r="F39125" i="5"/>
  <c r="F39124" i="5"/>
  <c r="F39123" i="5"/>
  <c r="F39122" i="5"/>
  <c r="F39121" i="5"/>
  <c r="F39120" i="5"/>
  <c r="F39119" i="5"/>
  <c r="F39118" i="5"/>
  <c r="F39117" i="5"/>
  <c r="F39116" i="5"/>
  <c r="F39115" i="5"/>
  <c r="F39114" i="5"/>
  <c r="F39113" i="5"/>
  <c r="F39112" i="5"/>
  <c r="F39111" i="5"/>
  <c r="F39110" i="5"/>
  <c r="F39109" i="5"/>
  <c r="F39108" i="5"/>
  <c r="F39107" i="5"/>
  <c r="F39106" i="5"/>
  <c r="F39105" i="5"/>
  <c r="F39104" i="5"/>
  <c r="F39103" i="5"/>
  <c r="F39102" i="5"/>
  <c r="F39101" i="5"/>
  <c r="F39100" i="5"/>
  <c r="F39099" i="5"/>
  <c r="F39098" i="5"/>
  <c r="F39097" i="5"/>
  <c r="F39096" i="5"/>
  <c r="F39095" i="5"/>
  <c r="F39094" i="5"/>
  <c r="F39093" i="5"/>
  <c r="F39092" i="5"/>
  <c r="F39091" i="5"/>
  <c r="F39090" i="5"/>
  <c r="F39089" i="5"/>
  <c r="F39088" i="5"/>
  <c r="F39087" i="5"/>
  <c r="F39086" i="5"/>
  <c r="F39085" i="5"/>
  <c r="F39084" i="5"/>
  <c r="F39083" i="5"/>
  <c r="F39082" i="5"/>
  <c r="F39081" i="5"/>
  <c r="F39080" i="5"/>
  <c r="F39079" i="5"/>
  <c r="F39078" i="5"/>
  <c r="F39077" i="5"/>
  <c r="F39076" i="5"/>
  <c r="F39075" i="5"/>
  <c r="F39074" i="5"/>
  <c r="F39073" i="5"/>
  <c r="F39072" i="5"/>
  <c r="F39071" i="5"/>
  <c r="F39070" i="5"/>
  <c r="F39069" i="5"/>
  <c r="F39068" i="5"/>
  <c r="F39067" i="5"/>
  <c r="F39066" i="5"/>
  <c r="F39065" i="5"/>
  <c r="F39064" i="5"/>
  <c r="F39063" i="5"/>
  <c r="F39062" i="5"/>
  <c r="F39061" i="5"/>
  <c r="F39060" i="5"/>
  <c r="F39059" i="5"/>
  <c r="F39058" i="5"/>
  <c r="F39057" i="5"/>
  <c r="F39056" i="5"/>
  <c r="F39055" i="5"/>
  <c r="F39054" i="5"/>
  <c r="F39053" i="5"/>
  <c r="F39052" i="5"/>
  <c r="F39051" i="5"/>
  <c r="F39050" i="5"/>
  <c r="F39049" i="5"/>
  <c r="F39048" i="5"/>
  <c r="F39047" i="5"/>
  <c r="F39046" i="5"/>
  <c r="F39045" i="5"/>
  <c r="F39044" i="5"/>
  <c r="F39043" i="5"/>
  <c r="F39042" i="5"/>
  <c r="F39041" i="5"/>
  <c r="F39040" i="5"/>
  <c r="F39039" i="5"/>
  <c r="F39038" i="5"/>
  <c r="F39037" i="5"/>
  <c r="F39036" i="5"/>
  <c r="F39035" i="5"/>
  <c r="F39034" i="5"/>
  <c r="F39033" i="5"/>
  <c r="F39032" i="5"/>
  <c r="F39031" i="5"/>
  <c r="F39030" i="5"/>
  <c r="F39029" i="5"/>
  <c r="F39028" i="5"/>
  <c r="F39027" i="5"/>
  <c r="F39026" i="5"/>
  <c r="F39025" i="5"/>
  <c r="F39024" i="5"/>
  <c r="F39023" i="5"/>
  <c r="F39022" i="5"/>
  <c r="F39021" i="5"/>
  <c r="F39020" i="5"/>
  <c r="F39019" i="5"/>
  <c r="F39018" i="5"/>
  <c r="F39017" i="5"/>
  <c r="F39016" i="5"/>
  <c r="F39015" i="5"/>
  <c r="F39014" i="5"/>
  <c r="F39013" i="5"/>
  <c r="F39012" i="5"/>
  <c r="F39011" i="5"/>
  <c r="F39010" i="5"/>
  <c r="F39009" i="5"/>
  <c r="F39008" i="5"/>
  <c r="F39007" i="5"/>
  <c r="F39006" i="5"/>
  <c r="F39005" i="5"/>
  <c r="F39004" i="5"/>
  <c r="F39003" i="5"/>
  <c r="F39002" i="5"/>
  <c r="F39001" i="5"/>
  <c r="F39000" i="5"/>
  <c r="F38999" i="5"/>
  <c r="F38998" i="5"/>
  <c r="F38997" i="5"/>
  <c r="F38996" i="5"/>
  <c r="F38995" i="5"/>
  <c r="F38994" i="5"/>
  <c r="F38993" i="5"/>
  <c r="F38992" i="5"/>
  <c r="F38991" i="5"/>
  <c r="F38990" i="5"/>
  <c r="F38989" i="5"/>
  <c r="F38988" i="5"/>
  <c r="F38987" i="5"/>
  <c r="F38986" i="5"/>
  <c r="F38985" i="5"/>
  <c r="F38984" i="5"/>
  <c r="F38983" i="5"/>
  <c r="F38982" i="5"/>
  <c r="F38981" i="5"/>
  <c r="F38980" i="5"/>
  <c r="F38979" i="5"/>
  <c r="F38978" i="5"/>
  <c r="F38977" i="5"/>
  <c r="F38976" i="5"/>
  <c r="F38975" i="5"/>
  <c r="F38974" i="5"/>
  <c r="F38973" i="5"/>
  <c r="F38972" i="5"/>
  <c r="F38971" i="5"/>
  <c r="F38970" i="5"/>
  <c r="F38969" i="5"/>
  <c r="F38968" i="5"/>
  <c r="F38967" i="5"/>
  <c r="F38966" i="5"/>
  <c r="F38965" i="5"/>
  <c r="F38964" i="5"/>
  <c r="F38963" i="5"/>
  <c r="F38962" i="5"/>
  <c r="F38961" i="5"/>
  <c r="F38960" i="5"/>
  <c r="F38959" i="5"/>
  <c r="F38958" i="5"/>
  <c r="F38957" i="5"/>
  <c r="F38956" i="5"/>
  <c r="F38955" i="5"/>
  <c r="F38954" i="5"/>
  <c r="F38953" i="5"/>
  <c r="F38952" i="5"/>
  <c r="F38951" i="5"/>
  <c r="F38950" i="5"/>
  <c r="F38949" i="5"/>
  <c r="F38948" i="5"/>
  <c r="F38947" i="5"/>
  <c r="F38946" i="5"/>
  <c r="F38945" i="5"/>
  <c r="F38944" i="5"/>
  <c r="F38943" i="5"/>
  <c r="F38942" i="5"/>
  <c r="F38941" i="5"/>
  <c r="F38940" i="5"/>
  <c r="F38939" i="5"/>
  <c r="F38938" i="5"/>
  <c r="F38937" i="5"/>
  <c r="F38936" i="5"/>
  <c r="F38935" i="5"/>
  <c r="F38934" i="5"/>
  <c r="F38933" i="5"/>
  <c r="F38932" i="5"/>
  <c r="F38931" i="5"/>
  <c r="F38930" i="5"/>
  <c r="F38929" i="5"/>
  <c r="F38928" i="5"/>
  <c r="F38927" i="5"/>
  <c r="F38926" i="5"/>
  <c r="F38925" i="5"/>
  <c r="F38924" i="5"/>
  <c r="F38923" i="5"/>
  <c r="F38922" i="5"/>
  <c r="F38921" i="5"/>
  <c r="F38920" i="5"/>
  <c r="F38919" i="5"/>
  <c r="F38918" i="5"/>
  <c r="F38917" i="5"/>
  <c r="F38916" i="5"/>
  <c r="F38915" i="5"/>
  <c r="F38914" i="5"/>
  <c r="F38913" i="5"/>
  <c r="F38912" i="5"/>
  <c r="F38911" i="5"/>
  <c r="F38910" i="5"/>
  <c r="F38909" i="5"/>
  <c r="F38908" i="5"/>
  <c r="F38907" i="5"/>
  <c r="F38906" i="5"/>
  <c r="F38905" i="5"/>
  <c r="F38904" i="5"/>
  <c r="F38903" i="5"/>
  <c r="F38902" i="5"/>
  <c r="F38901" i="5"/>
  <c r="F38900" i="5"/>
  <c r="F38899" i="5"/>
  <c r="F38898" i="5"/>
  <c r="F38897" i="5"/>
  <c r="F38896" i="5"/>
  <c r="F38895" i="5"/>
  <c r="F38894" i="5"/>
  <c r="F38893" i="5"/>
  <c r="F38892" i="5"/>
  <c r="F38891" i="5"/>
  <c r="F38890" i="5"/>
  <c r="F38889" i="5"/>
  <c r="F38888" i="5"/>
  <c r="F38887" i="5"/>
  <c r="F38886" i="5"/>
  <c r="F38885" i="5"/>
  <c r="F38884" i="5"/>
  <c r="F38883" i="5"/>
  <c r="F38882" i="5"/>
  <c r="F38881" i="5"/>
  <c r="F38880" i="5"/>
  <c r="F38879" i="5"/>
  <c r="F38878" i="5"/>
  <c r="F38877" i="5"/>
  <c r="F38876" i="5"/>
  <c r="F38875" i="5"/>
  <c r="F38874" i="5"/>
  <c r="F38873" i="5"/>
  <c r="F38872" i="5"/>
  <c r="F38871" i="5"/>
  <c r="F38870" i="5"/>
  <c r="F38869" i="5"/>
  <c r="F38868" i="5"/>
  <c r="F38867" i="5"/>
  <c r="F38866" i="5"/>
  <c r="F38865" i="5"/>
  <c r="F38864" i="5"/>
  <c r="F38863" i="5"/>
  <c r="F38862" i="5"/>
  <c r="F38861" i="5"/>
  <c r="F38860" i="5"/>
  <c r="F38859" i="5"/>
  <c r="F38858" i="5"/>
  <c r="F38857" i="5"/>
  <c r="F38856" i="5"/>
  <c r="F38855" i="5"/>
  <c r="F38854" i="5"/>
  <c r="F38853" i="5"/>
  <c r="F38852" i="5"/>
  <c r="F38851" i="5"/>
  <c r="F38850" i="5"/>
  <c r="F38849" i="5"/>
  <c r="F38848" i="5"/>
  <c r="F38847" i="5"/>
  <c r="F38846" i="5"/>
  <c r="F38845" i="5"/>
  <c r="F38844" i="5"/>
  <c r="F38843" i="5"/>
  <c r="F38842" i="5"/>
  <c r="F38841" i="5"/>
  <c r="F38840" i="5"/>
  <c r="F38839" i="5"/>
  <c r="F38838" i="5"/>
  <c r="F38837" i="5"/>
  <c r="F38836" i="5"/>
  <c r="F38835" i="5"/>
  <c r="F38834" i="5"/>
  <c r="F38833" i="5"/>
  <c r="F38832" i="5"/>
  <c r="F38831" i="5"/>
  <c r="F38830" i="5"/>
  <c r="F38829" i="5"/>
  <c r="F38828" i="5"/>
  <c r="F38827" i="5"/>
  <c r="F38826" i="5"/>
  <c r="F38825" i="5"/>
  <c r="F38824" i="5"/>
  <c r="F38823" i="5"/>
  <c r="F38822" i="5"/>
  <c r="F38821" i="5"/>
  <c r="F38820" i="5"/>
  <c r="F38819" i="5"/>
  <c r="F38818" i="5"/>
  <c r="F38817" i="5"/>
  <c r="F38816" i="5"/>
  <c r="F38815" i="5"/>
  <c r="F38814" i="5"/>
  <c r="F38813" i="5"/>
  <c r="F38812" i="5"/>
  <c r="F38811" i="5"/>
  <c r="F38810" i="5"/>
  <c r="F38809" i="5"/>
  <c r="F38808" i="5"/>
  <c r="F38807" i="5"/>
  <c r="F38806" i="5"/>
  <c r="F38805" i="5"/>
  <c r="F38804" i="5"/>
  <c r="F38803" i="5"/>
  <c r="F38802" i="5"/>
  <c r="F38801" i="5"/>
  <c r="F38800" i="5"/>
  <c r="F38799" i="5"/>
  <c r="F38798" i="5"/>
  <c r="F38797" i="5"/>
  <c r="F38796" i="5"/>
  <c r="F38795" i="5"/>
  <c r="F38794" i="5"/>
  <c r="F38793" i="5"/>
  <c r="F38792" i="5"/>
  <c r="F38791" i="5"/>
  <c r="F38790" i="5"/>
  <c r="F38789" i="5"/>
  <c r="F38788" i="5"/>
  <c r="F38787" i="5"/>
  <c r="F38786" i="5"/>
  <c r="F38785" i="5"/>
  <c r="F38784" i="5"/>
  <c r="F38783" i="5"/>
  <c r="F38782" i="5"/>
  <c r="F38781" i="5"/>
  <c r="F38780" i="5"/>
  <c r="F38779" i="5"/>
  <c r="F38778" i="5"/>
  <c r="F38777" i="5"/>
  <c r="F38776" i="5"/>
  <c r="F38775" i="5"/>
  <c r="F38774" i="5"/>
  <c r="F38773" i="5"/>
  <c r="F38772" i="5"/>
  <c r="F38771" i="5"/>
  <c r="F38770" i="5"/>
  <c r="F38769" i="5"/>
  <c r="F38768" i="5"/>
  <c r="F38767" i="5"/>
  <c r="F38766" i="5"/>
  <c r="F38765" i="5"/>
  <c r="F38764" i="5"/>
  <c r="F38763" i="5"/>
  <c r="F38762" i="5"/>
  <c r="F38761" i="5"/>
  <c r="F38760" i="5"/>
  <c r="F38759" i="5"/>
  <c r="F38758" i="5"/>
  <c r="F38757" i="5"/>
  <c r="F38756" i="5"/>
  <c r="F38755" i="5"/>
  <c r="F38754" i="5"/>
  <c r="F38753" i="5"/>
  <c r="F38752" i="5"/>
  <c r="F38751" i="5"/>
  <c r="F38750" i="5"/>
  <c r="F38749" i="5"/>
  <c r="F38748" i="5"/>
  <c r="F38747" i="5"/>
  <c r="F38746" i="5"/>
  <c r="F38745" i="5"/>
  <c r="F38744" i="5"/>
  <c r="F38743" i="5"/>
  <c r="F38742" i="5"/>
  <c r="F38741" i="5"/>
  <c r="F38740" i="5"/>
  <c r="F38739" i="5"/>
  <c r="F38738" i="5"/>
  <c r="F38737" i="5"/>
  <c r="F38736" i="5"/>
  <c r="F38735" i="5"/>
  <c r="F38734" i="5"/>
  <c r="F38733" i="5"/>
  <c r="F38732" i="5"/>
  <c r="F38731" i="5"/>
  <c r="F38730" i="5"/>
  <c r="F38729" i="5"/>
  <c r="F38728" i="5"/>
  <c r="F38727" i="5"/>
  <c r="F38726" i="5"/>
  <c r="F38725" i="5"/>
  <c r="F38724" i="5"/>
  <c r="F38723" i="5"/>
  <c r="F38722" i="5"/>
  <c r="F38721" i="5"/>
  <c r="F38720" i="5"/>
  <c r="F38719" i="5"/>
  <c r="F38718" i="5"/>
  <c r="F38717" i="5"/>
  <c r="F38716" i="5"/>
  <c r="F38715" i="5"/>
  <c r="F38714" i="5"/>
  <c r="F38713" i="5"/>
  <c r="F38712" i="5"/>
  <c r="F38711" i="5"/>
  <c r="F38710" i="5"/>
  <c r="F38709" i="5"/>
  <c r="F38708" i="5"/>
  <c r="F38707" i="5"/>
  <c r="F38706" i="5"/>
  <c r="F38705" i="5"/>
  <c r="F38704" i="5"/>
  <c r="F38703" i="5"/>
  <c r="F38702" i="5"/>
  <c r="F38701" i="5"/>
  <c r="F38700" i="5"/>
  <c r="F38699" i="5"/>
  <c r="F38698" i="5"/>
  <c r="F38697" i="5"/>
  <c r="F38696" i="5"/>
  <c r="F38695" i="5"/>
  <c r="F38694" i="5"/>
  <c r="F38693" i="5"/>
  <c r="F38692" i="5"/>
  <c r="F38691" i="5"/>
  <c r="F38690" i="5"/>
  <c r="F38689" i="5"/>
  <c r="F38688" i="5"/>
  <c r="F38687" i="5"/>
  <c r="F38686" i="5"/>
  <c r="F38685" i="5"/>
  <c r="F38684" i="5"/>
  <c r="F38683" i="5"/>
  <c r="F38682" i="5"/>
  <c r="F38681" i="5"/>
  <c r="F38680" i="5"/>
  <c r="F38679" i="5"/>
  <c r="F38678" i="5"/>
  <c r="F38677" i="5"/>
  <c r="F38676" i="5"/>
  <c r="F38675" i="5"/>
  <c r="F38674" i="5"/>
  <c r="F38673" i="5"/>
  <c r="F38672" i="5"/>
  <c r="F38671" i="5"/>
  <c r="F38670" i="5"/>
  <c r="F38669" i="5"/>
  <c r="F38668" i="5"/>
  <c r="F38667" i="5"/>
  <c r="F38666" i="5"/>
  <c r="F38665" i="5"/>
  <c r="F38664" i="5"/>
  <c r="F38663" i="5"/>
  <c r="F38662" i="5"/>
  <c r="F38661" i="5"/>
  <c r="F38660" i="5"/>
  <c r="F38659" i="5"/>
  <c r="F38658" i="5"/>
  <c r="F38657" i="5"/>
  <c r="F38656" i="5"/>
  <c r="F38655" i="5"/>
  <c r="F38654" i="5"/>
  <c r="F38653" i="5"/>
  <c r="F38652" i="5"/>
  <c r="F38651" i="5"/>
  <c r="F38650" i="5"/>
  <c r="F38649" i="5"/>
  <c r="F38648" i="5"/>
  <c r="F38647" i="5"/>
  <c r="F38646" i="5"/>
  <c r="F38645" i="5"/>
  <c r="F38644" i="5"/>
  <c r="F38643" i="5"/>
  <c r="F38642" i="5"/>
  <c r="F38641" i="5"/>
  <c r="F38640" i="5"/>
  <c r="F38639" i="5"/>
  <c r="F38638" i="5"/>
  <c r="F38637" i="5"/>
  <c r="F38636" i="5"/>
  <c r="F38635" i="5"/>
  <c r="F38634" i="5"/>
  <c r="F38633" i="5"/>
  <c r="F38632" i="5"/>
  <c r="F38631" i="5"/>
  <c r="F38630" i="5"/>
  <c r="F38629" i="5"/>
  <c r="F38628" i="5"/>
  <c r="F38627" i="5"/>
  <c r="F38626" i="5"/>
  <c r="F38625" i="5"/>
  <c r="F38624" i="5"/>
  <c r="F38623" i="5"/>
  <c r="F38622" i="5"/>
  <c r="F38621" i="5"/>
  <c r="F38620" i="5"/>
  <c r="F38619" i="5"/>
  <c r="F38618" i="5"/>
  <c r="F38617" i="5"/>
  <c r="F38616" i="5"/>
  <c r="F38615" i="5"/>
  <c r="F38614" i="5"/>
  <c r="F38613" i="5"/>
  <c r="F38612" i="5"/>
  <c r="F38611" i="5"/>
  <c r="F38610" i="5"/>
  <c r="F38609" i="5"/>
  <c r="F38608" i="5"/>
  <c r="F38607" i="5"/>
  <c r="F38606" i="5"/>
  <c r="F38605" i="5"/>
  <c r="F38604" i="5"/>
  <c r="F38603" i="5"/>
  <c r="F38602" i="5"/>
  <c r="F38601" i="5"/>
  <c r="F38600" i="5"/>
  <c r="F38599" i="5"/>
  <c r="F38598" i="5"/>
  <c r="F38597" i="5"/>
  <c r="F38596" i="5"/>
  <c r="F38595" i="5"/>
  <c r="F38594" i="5"/>
  <c r="F38593" i="5"/>
  <c r="F38592" i="5"/>
  <c r="F38591" i="5"/>
  <c r="F38590" i="5"/>
  <c r="F38589" i="5"/>
  <c r="F38588" i="5"/>
  <c r="F38587" i="5"/>
  <c r="F38586" i="5"/>
  <c r="F38585" i="5"/>
  <c r="F38584" i="5"/>
  <c r="F38583" i="5"/>
  <c r="F38582" i="5"/>
  <c r="F38581" i="5"/>
  <c r="F38580" i="5"/>
  <c r="F38579" i="5"/>
  <c r="F38578" i="5"/>
  <c r="F38577" i="5"/>
  <c r="F38576" i="5"/>
  <c r="F38575" i="5"/>
  <c r="F38574" i="5"/>
  <c r="F38573" i="5"/>
  <c r="F38572" i="5"/>
  <c r="F38571" i="5"/>
  <c r="F38570" i="5"/>
  <c r="F38569" i="5"/>
  <c r="F38568" i="5"/>
  <c r="F38567" i="5"/>
  <c r="F38566" i="5"/>
  <c r="F38565" i="5"/>
  <c r="F38564" i="5"/>
  <c r="F38563" i="5"/>
  <c r="F38562" i="5"/>
  <c r="F38561" i="5"/>
  <c r="F38560" i="5"/>
  <c r="F38559" i="5"/>
  <c r="F38558" i="5"/>
  <c r="F38557" i="5"/>
  <c r="F38556" i="5"/>
  <c r="F38555" i="5"/>
  <c r="F38554" i="5"/>
  <c r="F38553" i="5"/>
  <c r="F38552" i="5"/>
  <c r="F38551" i="5"/>
  <c r="F38550" i="5"/>
  <c r="F38549" i="5"/>
  <c r="F38548" i="5"/>
  <c r="F38547" i="5"/>
  <c r="F38546" i="5"/>
  <c r="F38545" i="5"/>
  <c r="F38544" i="5"/>
  <c r="F38543" i="5"/>
  <c r="F38542" i="5"/>
  <c r="F38541" i="5"/>
  <c r="F38540" i="5"/>
  <c r="F38539" i="5"/>
  <c r="F38538" i="5"/>
  <c r="F38537" i="5"/>
  <c r="F38536" i="5"/>
  <c r="F38535" i="5"/>
  <c r="F38534" i="5"/>
  <c r="F38533" i="5"/>
  <c r="F38532" i="5"/>
  <c r="F38531" i="5"/>
  <c r="F38530" i="5"/>
  <c r="F38529" i="5"/>
  <c r="F38528" i="5"/>
  <c r="F38527" i="5"/>
  <c r="F38526" i="5"/>
  <c r="F38525" i="5"/>
  <c r="F38524" i="5"/>
  <c r="F38523" i="5"/>
  <c r="F38522" i="5"/>
  <c r="F38521" i="5"/>
  <c r="F38520" i="5"/>
  <c r="F38519" i="5"/>
  <c r="F38518" i="5"/>
  <c r="F38517" i="5"/>
  <c r="F38516" i="5"/>
  <c r="F38515" i="5"/>
  <c r="F38514" i="5"/>
  <c r="F38513" i="5"/>
  <c r="F38512" i="5"/>
  <c r="F38511" i="5"/>
  <c r="F38510" i="5"/>
  <c r="F38509" i="5"/>
  <c r="F38508" i="5"/>
  <c r="F38507" i="5"/>
  <c r="F38506" i="5"/>
  <c r="F38505" i="5"/>
  <c r="F38504" i="5"/>
  <c r="F38503" i="5"/>
  <c r="F38502" i="5"/>
  <c r="F38501" i="5"/>
  <c r="F38500" i="5"/>
  <c r="F38499" i="5"/>
  <c r="F38498" i="5"/>
  <c r="F38497" i="5"/>
  <c r="F38496" i="5"/>
  <c r="F38495" i="5"/>
  <c r="F38494" i="5"/>
  <c r="F38493" i="5"/>
  <c r="F38492" i="5"/>
  <c r="F38491" i="5"/>
  <c r="F38490" i="5"/>
  <c r="F38489" i="5"/>
  <c r="F38488" i="5"/>
  <c r="F38487" i="5"/>
  <c r="F38486" i="5"/>
  <c r="F38485" i="5"/>
  <c r="F38484" i="5"/>
  <c r="F38483" i="5"/>
  <c r="F38482" i="5"/>
  <c r="F38481" i="5"/>
  <c r="F38480" i="5"/>
  <c r="F38479" i="5"/>
  <c r="F38478" i="5"/>
  <c r="F38477" i="5"/>
  <c r="F38476" i="5"/>
  <c r="F38475" i="5"/>
  <c r="F38474" i="5"/>
  <c r="F38473" i="5"/>
  <c r="F38472" i="5"/>
  <c r="F38471" i="5"/>
  <c r="F38470" i="5"/>
  <c r="F38469" i="5"/>
  <c r="F38468" i="5"/>
  <c r="F38467" i="5"/>
  <c r="F38466" i="5"/>
  <c r="F38465" i="5"/>
  <c r="F38464" i="5"/>
  <c r="F38463" i="5"/>
  <c r="F38462" i="5"/>
  <c r="F38461" i="5"/>
  <c r="F38460" i="5"/>
  <c r="F38459" i="5"/>
  <c r="F38458" i="5"/>
  <c r="F38457" i="5"/>
  <c r="F38456" i="5"/>
  <c r="F38455" i="5"/>
  <c r="F38454" i="5"/>
  <c r="F38453" i="5"/>
  <c r="F38452" i="5"/>
  <c r="F38451" i="5"/>
  <c r="F38450" i="5"/>
  <c r="F38449" i="5"/>
  <c r="F38448" i="5"/>
  <c r="F38447" i="5"/>
  <c r="F38446" i="5"/>
  <c r="F38445" i="5"/>
  <c r="F38444" i="5"/>
  <c r="F38443" i="5"/>
  <c r="F38442" i="5"/>
  <c r="F38441" i="5"/>
  <c r="F38440" i="5"/>
  <c r="F38439" i="5"/>
  <c r="F38438" i="5"/>
  <c r="F38437" i="5"/>
  <c r="F38436" i="5"/>
  <c r="F38435" i="5"/>
  <c r="F38434" i="5"/>
  <c r="F38433" i="5"/>
  <c r="F38432" i="5"/>
  <c r="F38431" i="5"/>
  <c r="F38430" i="5"/>
  <c r="F38429" i="5"/>
  <c r="F38428" i="5"/>
  <c r="F38427" i="5"/>
  <c r="F38426" i="5"/>
  <c r="F38425" i="5"/>
  <c r="F38424" i="5"/>
  <c r="F38423" i="5"/>
  <c r="F38422" i="5"/>
  <c r="F38421" i="5"/>
  <c r="F38420" i="5"/>
  <c r="F38419" i="5"/>
  <c r="F38418" i="5"/>
  <c r="F38417" i="5"/>
  <c r="F38416" i="5"/>
  <c r="F38415" i="5"/>
  <c r="F38414" i="5"/>
  <c r="F38413" i="5"/>
  <c r="F38412" i="5"/>
  <c r="F38411" i="5"/>
  <c r="F38410" i="5"/>
  <c r="F38409" i="5"/>
  <c r="F38408" i="5"/>
  <c r="F38407" i="5"/>
  <c r="F38406" i="5"/>
  <c r="F38405" i="5"/>
  <c r="F38404" i="5"/>
  <c r="F38403" i="5"/>
  <c r="F38402" i="5"/>
  <c r="F38401" i="5"/>
  <c r="F38400" i="5"/>
  <c r="F38399" i="5"/>
  <c r="F38398" i="5"/>
  <c r="F38397" i="5"/>
  <c r="F38396" i="5"/>
  <c r="F38395" i="5"/>
  <c r="F38394" i="5"/>
  <c r="F38393" i="5"/>
  <c r="F38392" i="5"/>
  <c r="F38391" i="5"/>
  <c r="F38390" i="5"/>
  <c r="F38389" i="5"/>
  <c r="F38388" i="5"/>
  <c r="F38387" i="5"/>
  <c r="F38386" i="5"/>
  <c r="F38385" i="5"/>
  <c r="F38384" i="5"/>
  <c r="F38383" i="5"/>
  <c r="F38382" i="5"/>
  <c r="F38381" i="5"/>
  <c r="F38380" i="5"/>
  <c r="F38379" i="5"/>
  <c r="F38378" i="5"/>
  <c r="F38377" i="5"/>
  <c r="F38376" i="5"/>
  <c r="F38375" i="5"/>
  <c r="F38374" i="5"/>
  <c r="F38373" i="5"/>
  <c r="F38372" i="5"/>
  <c r="F38371" i="5"/>
  <c r="F38370" i="5"/>
  <c r="F38369" i="5"/>
  <c r="F38368" i="5"/>
  <c r="F38367" i="5"/>
  <c r="F38366" i="5"/>
  <c r="F38365" i="5"/>
  <c r="F38364" i="5"/>
  <c r="F38363" i="5"/>
  <c r="F38362" i="5"/>
  <c r="F38361" i="5"/>
  <c r="F38360" i="5"/>
  <c r="F38359" i="5"/>
  <c r="F38358" i="5"/>
  <c r="F38357" i="5"/>
  <c r="F38356" i="5"/>
  <c r="F38355" i="5"/>
  <c r="F38354" i="5"/>
  <c r="F38353" i="5"/>
  <c r="F38352" i="5"/>
  <c r="F38351" i="5"/>
  <c r="F38350" i="5"/>
  <c r="F38349" i="5"/>
  <c r="F38348" i="5"/>
  <c r="F38347" i="5"/>
  <c r="F38346" i="5"/>
  <c r="F38345" i="5"/>
  <c r="F38344" i="5"/>
  <c r="F38343" i="5"/>
  <c r="F38342" i="5"/>
  <c r="F38341" i="5"/>
  <c r="F38340" i="5"/>
  <c r="F38339" i="5"/>
  <c r="F38338" i="5"/>
  <c r="F38337" i="5"/>
  <c r="F38336" i="5"/>
  <c r="F38335" i="5"/>
  <c r="F38334" i="5"/>
  <c r="F38333" i="5"/>
  <c r="F38332" i="5"/>
  <c r="F38331" i="5"/>
  <c r="F38330" i="5"/>
  <c r="F38329" i="5"/>
  <c r="F38328" i="5"/>
  <c r="F38327" i="5"/>
  <c r="F38326" i="5"/>
  <c r="F38325" i="5"/>
  <c r="F38324" i="5"/>
  <c r="F38323" i="5"/>
  <c r="F38322" i="5"/>
  <c r="F38321" i="5"/>
  <c r="F38320" i="5"/>
  <c r="F38319" i="5"/>
  <c r="F38318" i="5"/>
  <c r="F38317" i="5"/>
  <c r="F38316" i="5"/>
  <c r="F38315" i="5"/>
  <c r="F38314" i="5"/>
  <c r="F38313" i="5"/>
  <c r="F38312" i="5"/>
  <c r="F38311" i="5"/>
  <c r="F38310" i="5"/>
  <c r="F38309" i="5"/>
  <c r="F38308" i="5"/>
  <c r="F38307" i="5"/>
  <c r="F38306" i="5"/>
  <c r="F38305" i="5"/>
  <c r="F38304" i="5"/>
  <c r="F38303" i="5"/>
  <c r="F38302" i="5"/>
  <c r="F38301" i="5"/>
  <c r="F38300" i="5"/>
  <c r="F38299" i="5"/>
  <c r="F38298" i="5"/>
  <c r="F38297" i="5"/>
  <c r="F38296" i="5"/>
  <c r="F38295" i="5"/>
  <c r="F38294" i="5"/>
  <c r="F38293" i="5"/>
  <c r="F38292" i="5"/>
  <c r="F38291" i="5"/>
  <c r="F38290" i="5"/>
  <c r="F38289" i="5"/>
  <c r="F38288" i="5"/>
  <c r="F38287" i="5"/>
  <c r="F38286" i="5"/>
  <c r="F38285" i="5"/>
  <c r="F38284" i="5"/>
  <c r="F38283" i="5"/>
  <c r="F38282" i="5"/>
  <c r="F38281" i="5"/>
  <c r="F38280" i="5"/>
  <c r="F38279" i="5"/>
  <c r="F38278" i="5"/>
  <c r="F38277" i="5"/>
  <c r="F38276" i="5"/>
  <c r="F38275" i="5"/>
  <c r="F38274" i="5"/>
  <c r="F38273" i="5"/>
  <c r="F38272" i="5"/>
  <c r="F38271" i="5"/>
  <c r="F38270" i="5"/>
  <c r="F38269" i="5"/>
  <c r="F38268" i="5"/>
  <c r="F38267" i="5"/>
  <c r="F38266" i="5"/>
  <c r="F38265" i="5"/>
  <c r="F38264" i="5"/>
  <c r="F38263" i="5"/>
  <c r="F38262" i="5"/>
  <c r="F38261" i="5"/>
  <c r="F38260" i="5"/>
  <c r="F38259" i="5"/>
  <c r="F38258" i="5"/>
  <c r="F38257" i="5"/>
  <c r="F38256" i="5"/>
  <c r="F38255" i="5"/>
  <c r="F38254" i="5"/>
  <c r="F38253" i="5"/>
  <c r="F38252" i="5"/>
  <c r="F38251" i="5"/>
  <c r="F38250" i="5"/>
  <c r="F38249" i="5"/>
  <c r="F38248" i="5"/>
  <c r="F38247" i="5"/>
  <c r="F38246" i="5"/>
  <c r="F38245" i="5"/>
  <c r="F38244" i="5"/>
  <c r="F38243" i="5"/>
  <c r="F38242" i="5"/>
  <c r="F38241" i="5"/>
  <c r="F38240" i="5"/>
  <c r="F38239" i="5"/>
  <c r="F38238" i="5"/>
  <c r="F38237" i="5"/>
  <c r="F38236" i="5"/>
  <c r="F38235" i="5"/>
  <c r="F38234" i="5"/>
  <c r="F38233" i="5"/>
  <c r="F38232" i="5"/>
  <c r="F38231" i="5"/>
  <c r="F38230" i="5"/>
  <c r="F38229" i="5"/>
  <c r="F38228" i="5"/>
  <c r="F38227" i="5"/>
  <c r="F38226" i="5"/>
  <c r="F38225" i="5"/>
  <c r="F38224" i="5"/>
  <c r="F38223" i="5"/>
  <c r="F38222" i="5"/>
  <c r="F38221" i="5"/>
  <c r="F38220" i="5"/>
  <c r="F38219" i="5"/>
  <c r="F38218" i="5"/>
  <c r="F38217" i="5"/>
  <c r="F38216" i="5"/>
  <c r="F38215" i="5"/>
  <c r="F38214" i="5"/>
  <c r="F38213" i="5"/>
  <c r="F38212" i="5"/>
  <c r="F38211" i="5"/>
  <c r="F38210" i="5"/>
  <c r="F38209" i="5"/>
  <c r="F38208" i="5"/>
  <c r="F38207" i="5"/>
  <c r="F38206" i="5"/>
  <c r="F38205" i="5"/>
  <c r="F38204" i="5"/>
  <c r="F38203" i="5"/>
  <c r="F38202" i="5"/>
  <c r="F38201" i="5"/>
  <c r="F38200" i="5"/>
  <c r="F38199" i="5"/>
  <c r="F38198" i="5"/>
  <c r="F38197" i="5"/>
  <c r="F38196" i="5"/>
  <c r="F38195" i="5"/>
  <c r="F38194" i="5"/>
  <c r="F38193" i="5"/>
  <c r="F38192" i="5"/>
  <c r="F38191" i="5"/>
  <c r="F38190" i="5"/>
  <c r="F38189" i="5"/>
  <c r="F38188" i="5"/>
  <c r="F38187" i="5"/>
  <c r="F38186" i="5"/>
  <c r="F38185" i="5"/>
  <c r="F38184" i="5"/>
  <c r="F38183" i="5"/>
  <c r="F38182" i="5"/>
  <c r="F38181" i="5"/>
  <c r="F38180" i="5"/>
  <c r="F38179" i="5"/>
  <c r="F38178" i="5"/>
  <c r="F38177" i="5"/>
  <c r="F38176" i="5"/>
  <c r="F38175" i="5"/>
  <c r="F38174" i="5"/>
  <c r="F38173" i="5"/>
  <c r="F38172" i="5"/>
  <c r="F38171" i="5"/>
  <c r="F38170" i="5"/>
  <c r="F38169" i="5"/>
  <c r="F38168" i="5"/>
  <c r="F38167" i="5"/>
  <c r="F38166" i="5"/>
  <c r="F38165" i="5"/>
  <c r="F38164" i="5"/>
  <c r="F38163" i="5"/>
  <c r="F38162" i="5"/>
  <c r="F38161" i="5"/>
  <c r="F38160" i="5"/>
  <c r="F38159" i="5"/>
  <c r="F38158" i="5"/>
  <c r="F38157" i="5"/>
  <c r="F38156" i="5"/>
  <c r="F38155" i="5"/>
  <c r="F38154" i="5"/>
  <c r="F38153" i="5"/>
  <c r="F38152" i="5"/>
  <c r="F38151" i="5"/>
  <c r="F38150" i="5"/>
  <c r="F38149" i="5"/>
  <c r="F38148" i="5"/>
  <c r="F38147" i="5"/>
  <c r="F38146" i="5"/>
  <c r="F38145" i="5"/>
  <c r="F38144" i="5"/>
  <c r="F38143" i="5"/>
  <c r="F38142" i="5"/>
  <c r="F38141" i="5"/>
  <c r="F38140" i="5"/>
  <c r="F38139" i="5"/>
  <c r="F38138" i="5"/>
  <c r="F38137" i="5"/>
  <c r="F38136" i="5"/>
  <c r="F38135" i="5"/>
  <c r="F38134" i="5"/>
  <c r="F38133" i="5"/>
  <c r="F38132" i="5"/>
  <c r="F38131" i="5"/>
  <c r="F38130" i="5"/>
  <c r="F38129" i="5"/>
  <c r="F38128" i="5"/>
  <c r="F38127" i="5"/>
  <c r="F38126" i="5"/>
  <c r="F38125" i="5"/>
  <c r="F38124" i="5"/>
  <c r="F38123" i="5"/>
  <c r="F38122" i="5"/>
  <c r="F38121" i="5"/>
  <c r="F38120" i="5"/>
  <c r="F38119" i="5"/>
  <c r="F38118" i="5"/>
  <c r="F38117" i="5"/>
  <c r="F38116" i="5"/>
  <c r="F38115" i="5"/>
  <c r="F38114" i="5"/>
  <c r="F38113" i="5"/>
  <c r="F38112" i="5"/>
  <c r="F38111" i="5"/>
  <c r="F38110" i="5"/>
  <c r="F38109" i="5"/>
  <c r="F38108" i="5"/>
  <c r="F38107" i="5"/>
  <c r="F38106" i="5"/>
  <c r="F38105" i="5"/>
  <c r="F38104" i="5"/>
  <c r="F38103" i="5"/>
  <c r="F38102" i="5"/>
  <c r="F38101" i="5"/>
  <c r="F38100" i="5"/>
  <c r="F38099" i="5"/>
  <c r="F38098" i="5"/>
  <c r="F38097" i="5"/>
  <c r="F38096" i="5"/>
  <c r="F38095" i="5"/>
  <c r="F38094" i="5"/>
  <c r="F38093" i="5"/>
  <c r="F38092" i="5"/>
  <c r="F38091" i="5"/>
  <c r="F38090" i="5"/>
  <c r="F38089" i="5"/>
  <c r="F38088" i="5"/>
  <c r="F38087" i="5"/>
  <c r="F38086" i="5"/>
  <c r="F38085" i="5"/>
  <c r="F38084" i="5"/>
  <c r="F38083" i="5"/>
  <c r="F38082" i="5"/>
  <c r="F38081" i="5"/>
  <c r="F38080" i="5"/>
  <c r="F38079" i="5"/>
  <c r="F38078" i="5"/>
  <c r="F38077" i="5"/>
  <c r="F38076" i="5"/>
  <c r="F38075" i="5"/>
  <c r="F38074" i="5"/>
  <c r="F38073" i="5"/>
  <c r="F38072" i="5"/>
  <c r="F38071" i="5"/>
  <c r="F38070" i="5"/>
  <c r="F38069" i="5"/>
  <c r="F38068" i="5"/>
  <c r="F38067" i="5"/>
  <c r="F38066" i="5"/>
  <c r="F38065" i="5"/>
  <c r="F38064" i="5"/>
  <c r="F38063" i="5"/>
  <c r="F38062" i="5"/>
  <c r="F38061" i="5"/>
  <c r="F38060" i="5"/>
  <c r="F38059" i="5"/>
  <c r="F38058" i="5"/>
  <c r="F38057" i="5"/>
  <c r="F38056" i="5"/>
  <c r="F38055" i="5"/>
  <c r="F38054" i="5"/>
  <c r="F38053" i="5"/>
  <c r="F38052" i="5"/>
  <c r="F38051" i="5"/>
  <c r="F38050" i="5"/>
  <c r="F38049" i="5"/>
  <c r="F38048" i="5"/>
  <c r="F38047" i="5"/>
  <c r="F38046" i="5"/>
  <c r="F38045" i="5"/>
  <c r="F38044" i="5"/>
  <c r="F38043" i="5"/>
  <c r="F38042" i="5"/>
  <c r="F38041" i="5"/>
  <c r="F38040" i="5"/>
  <c r="F38039" i="5"/>
  <c r="F38038" i="5"/>
  <c r="F38037" i="5"/>
  <c r="F38036" i="5"/>
  <c r="F38035" i="5"/>
  <c r="F38034" i="5"/>
  <c r="F38033" i="5"/>
  <c r="F38032" i="5"/>
  <c r="F38031" i="5"/>
  <c r="F38030" i="5"/>
  <c r="F38029" i="5"/>
  <c r="F38028" i="5"/>
  <c r="F38027" i="5"/>
  <c r="F38026" i="5"/>
  <c r="F38025" i="5"/>
  <c r="F38024" i="5"/>
  <c r="F38023" i="5"/>
  <c r="F38022" i="5"/>
  <c r="F38021" i="5"/>
  <c r="F38020" i="5"/>
  <c r="F38019" i="5"/>
  <c r="F38018" i="5"/>
  <c r="F38017" i="5"/>
  <c r="F38016" i="5"/>
  <c r="F38015" i="5"/>
  <c r="F38014" i="5"/>
  <c r="F38013" i="5"/>
  <c r="F38012" i="5"/>
  <c r="F38011" i="5"/>
  <c r="F38010" i="5"/>
  <c r="F38009" i="5"/>
  <c r="F38008" i="5"/>
  <c r="F38007" i="5"/>
  <c r="F38006" i="5"/>
  <c r="F38005" i="5"/>
  <c r="F38004" i="5"/>
  <c r="F38003" i="5"/>
  <c r="F38002" i="5"/>
  <c r="F38001" i="5"/>
  <c r="F38000" i="5"/>
  <c r="F37999" i="5"/>
  <c r="F37998" i="5"/>
  <c r="F37997" i="5"/>
  <c r="F37996" i="5"/>
  <c r="F37995" i="5"/>
  <c r="F37994" i="5"/>
  <c r="F37993" i="5"/>
  <c r="F37992" i="5"/>
  <c r="F37991" i="5"/>
  <c r="F37990" i="5"/>
  <c r="F37989" i="5"/>
  <c r="F37988" i="5"/>
  <c r="F37987" i="5"/>
  <c r="F37986" i="5"/>
  <c r="F37985" i="5"/>
  <c r="F37984" i="5"/>
  <c r="F37983" i="5"/>
  <c r="F37982" i="5"/>
  <c r="F37981" i="5"/>
  <c r="F37980" i="5"/>
  <c r="F37979" i="5"/>
  <c r="F37978" i="5"/>
  <c r="F37977" i="5"/>
  <c r="F37976" i="5"/>
  <c r="F37975" i="5"/>
  <c r="F37974" i="5"/>
  <c r="F37973" i="5"/>
  <c r="F37972" i="5"/>
  <c r="F37971" i="5"/>
  <c r="F37970" i="5"/>
  <c r="F37969" i="5"/>
  <c r="F37968" i="5"/>
  <c r="F37967" i="5"/>
  <c r="F37966" i="5"/>
  <c r="F37965" i="5"/>
  <c r="F37964" i="5"/>
  <c r="F37963" i="5"/>
  <c r="F37962" i="5"/>
  <c r="F37961" i="5"/>
  <c r="F37960" i="5"/>
  <c r="F37959" i="5"/>
  <c r="F37958" i="5"/>
  <c r="F37957" i="5"/>
  <c r="F37956" i="5"/>
  <c r="F37955" i="5"/>
  <c r="F37954" i="5"/>
  <c r="F37953" i="5"/>
  <c r="F37952" i="5"/>
  <c r="F37951" i="5"/>
  <c r="F37950" i="5"/>
  <c r="F37949" i="5"/>
  <c r="F37948" i="5"/>
  <c r="F37947" i="5"/>
  <c r="F37946" i="5"/>
  <c r="F37945" i="5"/>
  <c r="F37944" i="5"/>
  <c r="F37943" i="5"/>
  <c r="F37942" i="5"/>
  <c r="F37941" i="5"/>
  <c r="F37940" i="5"/>
  <c r="F37939" i="5"/>
  <c r="F37938" i="5"/>
  <c r="F37937" i="5"/>
  <c r="F37936" i="5"/>
  <c r="F37935" i="5"/>
  <c r="F37934" i="5"/>
  <c r="F37933" i="5"/>
  <c r="F37932" i="5"/>
  <c r="F37931" i="5"/>
  <c r="F37930" i="5"/>
  <c r="F37929" i="5"/>
  <c r="F37928" i="5"/>
  <c r="F37927" i="5"/>
  <c r="F37926" i="5"/>
  <c r="F37925" i="5"/>
  <c r="F37924" i="5"/>
  <c r="F37923" i="5"/>
  <c r="F37922" i="5"/>
  <c r="F37921" i="5"/>
  <c r="F37920" i="5"/>
  <c r="F37919" i="5"/>
  <c r="F37918" i="5"/>
  <c r="F37917" i="5"/>
  <c r="F37916" i="5"/>
  <c r="F37915" i="5"/>
  <c r="F37914" i="5"/>
  <c r="F37913" i="5"/>
  <c r="F37912" i="5"/>
  <c r="F37911" i="5"/>
  <c r="F37910" i="5"/>
  <c r="F37909" i="5"/>
  <c r="F37908" i="5"/>
  <c r="F37907" i="5"/>
  <c r="F37906" i="5"/>
  <c r="F37905" i="5"/>
  <c r="F37904" i="5"/>
  <c r="F37903" i="5"/>
  <c r="F37902" i="5"/>
  <c r="F37901" i="5"/>
  <c r="F37900" i="5"/>
  <c r="F37899" i="5"/>
  <c r="F37898" i="5"/>
  <c r="F37897" i="5"/>
  <c r="F37896" i="5"/>
  <c r="F37895" i="5"/>
  <c r="F37894" i="5"/>
  <c r="F37893" i="5"/>
  <c r="F37892" i="5"/>
  <c r="F37891" i="5"/>
  <c r="F37890" i="5"/>
  <c r="F37889" i="5"/>
  <c r="F37888" i="5"/>
  <c r="F37887" i="5"/>
  <c r="F37886" i="5"/>
  <c r="F37885" i="5"/>
  <c r="F37884" i="5"/>
  <c r="F37883" i="5"/>
  <c r="F37882" i="5"/>
  <c r="F37881" i="5"/>
  <c r="F37880" i="5"/>
  <c r="F37879" i="5"/>
  <c r="F37878" i="5"/>
  <c r="F37877" i="5"/>
  <c r="F37876" i="5"/>
  <c r="F37875" i="5"/>
  <c r="F37874" i="5"/>
  <c r="F37873" i="5"/>
  <c r="F37872" i="5"/>
  <c r="F37871" i="5"/>
  <c r="F37870" i="5"/>
  <c r="F37869" i="5"/>
  <c r="F37868" i="5"/>
  <c r="F37867" i="5"/>
  <c r="F37866" i="5"/>
  <c r="F37865" i="5"/>
  <c r="F37864" i="5"/>
  <c r="F37863" i="5"/>
  <c r="F37862" i="5"/>
  <c r="F37861" i="5"/>
  <c r="F37860" i="5"/>
  <c r="F37859" i="5"/>
  <c r="F37858" i="5"/>
  <c r="F37857" i="5"/>
  <c r="F37856" i="5"/>
  <c r="F37855" i="5"/>
  <c r="F37854" i="5"/>
  <c r="F37853" i="5"/>
  <c r="F37852" i="5"/>
  <c r="F37851" i="5"/>
  <c r="F37850" i="5"/>
  <c r="F37849" i="5"/>
  <c r="F37848" i="5"/>
  <c r="F37847" i="5"/>
  <c r="F37846" i="5"/>
  <c r="F37845" i="5"/>
  <c r="F37844" i="5"/>
  <c r="F37843" i="5"/>
  <c r="F37842" i="5"/>
  <c r="F37841" i="5"/>
  <c r="F37840" i="5"/>
  <c r="F37839" i="5"/>
  <c r="F37838" i="5"/>
  <c r="F37837" i="5"/>
  <c r="F37836" i="5"/>
  <c r="F37835" i="5"/>
  <c r="F37834" i="5"/>
  <c r="F37833" i="5"/>
  <c r="F37832" i="5"/>
  <c r="F37831" i="5"/>
  <c r="F37830" i="5"/>
  <c r="F37829" i="5"/>
  <c r="F37828" i="5"/>
  <c r="F37827" i="5"/>
  <c r="F37826" i="5"/>
  <c r="F37825" i="5"/>
  <c r="F37824" i="5"/>
  <c r="F37823" i="5"/>
  <c r="F37822" i="5"/>
  <c r="F37821" i="5"/>
  <c r="F37820" i="5"/>
  <c r="F37819" i="5"/>
  <c r="F37818" i="5"/>
  <c r="F37817" i="5"/>
  <c r="F37816" i="5"/>
  <c r="F37815" i="5"/>
  <c r="F37814" i="5"/>
  <c r="F37813" i="5"/>
  <c r="F37812" i="5"/>
  <c r="F37811" i="5"/>
  <c r="F37810" i="5"/>
  <c r="F37809" i="5"/>
  <c r="F37808" i="5"/>
  <c r="F37807" i="5"/>
  <c r="F37806" i="5"/>
  <c r="F37805" i="5"/>
  <c r="F37804" i="5"/>
  <c r="F37803" i="5"/>
  <c r="F37802" i="5"/>
  <c r="F37801" i="5"/>
  <c r="F37800" i="5"/>
  <c r="F37799" i="5"/>
  <c r="F37798" i="5"/>
  <c r="F37797" i="5"/>
  <c r="F37796" i="5"/>
  <c r="F37795" i="5"/>
  <c r="F37794" i="5"/>
  <c r="F37793" i="5"/>
  <c r="F37792" i="5"/>
  <c r="F37791" i="5"/>
  <c r="F37790" i="5"/>
  <c r="F37789" i="5"/>
  <c r="F37788" i="5"/>
  <c r="F37787" i="5"/>
  <c r="F37786" i="5"/>
  <c r="F37785" i="5"/>
  <c r="F37784" i="5"/>
  <c r="F37783" i="5"/>
  <c r="F37782" i="5"/>
  <c r="F37781" i="5"/>
  <c r="F37780" i="5"/>
  <c r="F37779" i="5"/>
  <c r="F37778" i="5"/>
  <c r="F37777" i="5"/>
  <c r="F37776" i="5"/>
  <c r="F37775" i="5"/>
  <c r="F37774" i="5"/>
  <c r="F37773" i="5"/>
  <c r="F37772" i="5"/>
  <c r="F37771" i="5"/>
  <c r="F37770" i="5"/>
  <c r="F37769" i="5"/>
  <c r="F37768" i="5"/>
  <c r="F37767" i="5"/>
  <c r="F37766" i="5"/>
  <c r="F37765" i="5"/>
  <c r="F37764" i="5"/>
  <c r="F37763" i="5"/>
  <c r="F37762" i="5"/>
  <c r="F37761" i="5"/>
  <c r="F37760" i="5"/>
  <c r="F37759" i="5"/>
  <c r="F37758" i="5"/>
  <c r="F37757" i="5"/>
  <c r="F37756" i="5"/>
  <c r="F37755" i="5"/>
  <c r="F37754" i="5"/>
  <c r="F37753" i="5"/>
  <c r="F37752" i="5"/>
  <c r="F37751" i="5"/>
  <c r="F37750" i="5"/>
  <c r="F37749" i="5"/>
  <c r="F37748" i="5"/>
  <c r="F37747" i="5"/>
  <c r="F37746" i="5"/>
  <c r="F37745" i="5"/>
  <c r="F37744" i="5"/>
  <c r="F37743" i="5"/>
  <c r="F37742" i="5"/>
  <c r="F37741" i="5"/>
  <c r="F37740" i="5"/>
  <c r="F37739" i="5"/>
  <c r="F37738" i="5"/>
  <c r="F37737" i="5"/>
  <c r="F37736" i="5"/>
  <c r="F37735" i="5"/>
  <c r="F37734" i="5"/>
  <c r="F37733" i="5"/>
  <c r="F37732" i="5"/>
  <c r="F37731" i="5"/>
  <c r="F37730" i="5"/>
  <c r="F37729" i="5"/>
  <c r="F37728" i="5"/>
  <c r="F37727" i="5"/>
  <c r="F37726" i="5"/>
  <c r="F37725" i="5"/>
  <c r="F37724" i="5"/>
  <c r="F37723" i="5"/>
  <c r="F37722" i="5"/>
  <c r="F37721" i="5"/>
  <c r="F37720" i="5"/>
  <c r="F37719" i="5"/>
  <c r="F37718" i="5"/>
  <c r="F37717" i="5"/>
  <c r="F37716" i="5"/>
  <c r="F37715" i="5"/>
  <c r="F37714" i="5"/>
  <c r="F37713" i="5"/>
  <c r="F37712" i="5"/>
  <c r="F37711" i="5"/>
  <c r="F37710" i="5"/>
  <c r="F37709" i="5"/>
  <c r="F37708" i="5"/>
  <c r="F37707" i="5"/>
  <c r="F37706" i="5"/>
  <c r="F37705" i="5"/>
  <c r="F37704" i="5"/>
  <c r="F37703" i="5"/>
  <c r="F37702" i="5"/>
  <c r="F37701" i="5"/>
  <c r="F37700" i="5"/>
  <c r="F37699" i="5"/>
  <c r="F37698" i="5"/>
  <c r="F37697" i="5"/>
  <c r="F37696" i="5"/>
  <c r="F37695" i="5"/>
  <c r="F37694" i="5"/>
  <c r="F37693" i="5"/>
  <c r="F37692" i="5"/>
  <c r="F37691" i="5"/>
  <c r="F37690" i="5"/>
  <c r="F37689" i="5"/>
  <c r="F37688" i="5"/>
  <c r="F37687" i="5"/>
  <c r="F37686" i="5"/>
  <c r="F37685" i="5"/>
  <c r="F37684" i="5"/>
  <c r="F37683" i="5"/>
  <c r="F37682" i="5"/>
  <c r="F37681" i="5"/>
  <c r="F37680" i="5"/>
  <c r="F37679" i="5"/>
  <c r="F37678" i="5"/>
  <c r="F37677" i="5"/>
  <c r="F37676" i="5"/>
  <c r="F37675" i="5"/>
  <c r="F37674" i="5"/>
  <c r="F37673" i="5"/>
  <c r="F37672" i="5"/>
  <c r="F37671" i="5"/>
  <c r="F37670" i="5"/>
  <c r="F37669" i="5"/>
  <c r="F37668" i="5"/>
  <c r="F37667" i="5"/>
  <c r="F37666" i="5"/>
  <c r="F37665" i="5"/>
  <c r="F37664" i="5"/>
  <c r="F37663" i="5"/>
  <c r="F37662" i="5"/>
  <c r="F37661" i="5"/>
  <c r="F37660" i="5"/>
  <c r="F37659" i="5"/>
  <c r="F37658" i="5"/>
  <c r="F37657" i="5"/>
  <c r="F37656" i="5"/>
  <c r="F37655" i="5"/>
  <c r="F37654" i="5"/>
  <c r="F37653" i="5"/>
  <c r="F37652" i="5"/>
  <c r="F37651" i="5"/>
  <c r="F37650" i="5"/>
  <c r="F37649" i="5"/>
  <c r="F37648" i="5"/>
  <c r="F37647" i="5"/>
  <c r="F37646" i="5"/>
  <c r="F37645" i="5"/>
  <c r="F37644" i="5"/>
  <c r="F37643" i="5"/>
  <c r="F37642" i="5"/>
  <c r="F37641" i="5"/>
  <c r="F37640" i="5"/>
  <c r="F37639" i="5"/>
  <c r="F37638" i="5"/>
  <c r="F37637" i="5"/>
  <c r="F37636" i="5"/>
  <c r="F37635" i="5"/>
  <c r="F37634" i="5"/>
  <c r="F37633" i="5"/>
  <c r="F37632" i="5"/>
  <c r="F37631" i="5"/>
  <c r="F37630" i="5"/>
  <c r="F37629" i="5"/>
  <c r="F37628" i="5"/>
  <c r="F37627" i="5"/>
  <c r="F37626" i="5"/>
  <c r="F37625" i="5"/>
  <c r="F37624" i="5"/>
  <c r="F37623" i="5"/>
  <c r="F37622" i="5"/>
  <c r="F37621" i="5"/>
  <c r="F37620" i="5"/>
  <c r="F37619" i="5"/>
  <c r="F37618" i="5"/>
  <c r="F37617" i="5"/>
  <c r="F37616" i="5"/>
  <c r="F37615" i="5"/>
  <c r="F37614" i="5"/>
  <c r="F37613" i="5"/>
  <c r="F37612" i="5"/>
  <c r="F37611" i="5"/>
  <c r="F37610" i="5"/>
  <c r="F37609" i="5"/>
  <c r="F37608" i="5"/>
  <c r="F37607" i="5"/>
  <c r="F37606" i="5"/>
  <c r="F37605" i="5"/>
  <c r="F37604" i="5"/>
  <c r="F37603" i="5"/>
  <c r="F37602" i="5"/>
  <c r="F37601" i="5"/>
  <c r="F37600" i="5"/>
  <c r="F37599" i="5"/>
  <c r="F37598" i="5"/>
  <c r="F37597" i="5"/>
  <c r="F37596" i="5"/>
  <c r="F37595" i="5"/>
  <c r="F37594" i="5"/>
  <c r="F37593" i="5"/>
  <c r="F37592" i="5"/>
  <c r="F37591" i="5"/>
  <c r="F37590" i="5"/>
  <c r="F37589" i="5"/>
  <c r="F37588" i="5"/>
  <c r="F37587" i="5"/>
  <c r="F37586" i="5"/>
  <c r="F37585" i="5"/>
  <c r="F37584" i="5"/>
  <c r="F37583" i="5"/>
  <c r="F37582" i="5"/>
  <c r="F37581" i="5"/>
  <c r="F37580" i="5"/>
  <c r="F37579" i="5"/>
  <c r="F37578" i="5"/>
  <c r="F37577" i="5"/>
  <c r="F37576" i="5"/>
  <c r="F37575" i="5"/>
  <c r="F37574" i="5"/>
  <c r="F37573" i="5"/>
  <c r="F37572" i="5"/>
  <c r="F37571" i="5"/>
  <c r="F37570" i="5"/>
  <c r="F37569" i="5"/>
  <c r="F37568" i="5"/>
  <c r="F37567" i="5"/>
  <c r="F37566" i="5"/>
  <c r="F37565" i="5"/>
  <c r="F37564" i="5"/>
  <c r="F37563" i="5"/>
  <c r="F37562" i="5"/>
  <c r="F37561" i="5"/>
  <c r="F37560" i="5"/>
  <c r="F37559" i="5"/>
  <c r="F37558" i="5"/>
  <c r="F37557" i="5"/>
  <c r="F37556" i="5"/>
  <c r="F37555" i="5"/>
  <c r="F37554" i="5"/>
  <c r="F37553" i="5"/>
  <c r="F37552" i="5"/>
  <c r="F37551" i="5"/>
  <c r="F37550" i="5"/>
  <c r="F37549" i="5"/>
  <c r="F37548" i="5"/>
  <c r="F37547" i="5"/>
  <c r="F37546" i="5"/>
  <c r="F37545" i="5"/>
  <c r="F37544" i="5"/>
  <c r="F37543" i="5"/>
  <c r="F37542" i="5"/>
  <c r="F37541" i="5"/>
  <c r="F37540" i="5"/>
  <c r="F37539" i="5"/>
  <c r="F37538" i="5"/>
  <c r="F37537" i="5"/>
  <c r="F37536" i="5"/>
  <c r="F37535" i="5"/>
  <c r="F37534" i="5"/>
  <c r="F37533" i="5"/>
  <c r="F37532" i="5"/>
  <c r="F37531" i="5"/>
  <c r="F37530" i="5"/>
  <c r="F37529" i="5"/>
  <c r="F37528" i="5"/>
  <c r="F37527" i="5"/>
  <c r="F37526" i="5"/>
  <c r="F37525" i="5"/>
  <c r="F37524" i="5"/>
  <c r="F37523" i="5"/>
  <c r="F37522" i="5"/>
  <c r="F37521" i="5"/>
  <c r="F37520" i="5"/>
  <c r="F37519" i="5"/>
  <c r="F37518" i="5"/>
  <c r="F37517" i="5"/>
  <c r="F37516" i="5"/>
  <c r="F37515" i="5"/>
  <c r="F37514" i="5"/>
  <c r="F37513" i="5"/>
  <c r="F37512" i="5"/>
  <c r="F37511" i="5"/>
  <c r="F37510" i="5"/>
  <c r="F37509" i="5"/>
  <c r="F37508" i="5"/>
  <c r="F37507" i="5"/>
  <c r="F37506" i="5"/>
  <c r="F37505" i="5"/>
  <c r="F37504" i="5"/>
  <c r="F37503" i="5"/>
  <c r="F37502" i="5"/>
  <c r="F37501" i="5"/>
  <c r="F37500" i="5"/>
  <c r="F37499" i="5"/>
  <c r="F37498" i="5"/>
  <c r="F37497" i="5"/>
  <c r="F37496" i="5"/>
  <c r="F37495" i="5"/>
  <c r="F37494" i="5"/>
  <c r="F37493" i="5"/>
  <c r="F37492" i="5"/>
  <c r="F37491" i="5"/>
  <c r="F37490" i="5"/>
  <c r="F37489" i="5"/>
  <c r="F37488" i="5"/>
  <c r="F37487" i="5"/>
  <c r="F37486" i="5"/>
  <c r="F37485" i="5"/>
  <c r="F37484" i="5"/>
  <c r="F37483" i="5"/>
  <c r="F37482" i="5"/>
  <c r="F37481" i="5"/>
  <c r="F37480" i="5"/>
  <c r="F37479" i="5"/>
  <c r="F37478" i="5"/>
  <c r="F37477" i="5"/>
  <c r="F37476" i="5"/>
  <c r="F37475" i="5"/>
  <c r="F37474" i="5"/>
  <c r="F37473" i="5"/>
  <c r="F37472" i="5"/>
  <c r="F37471" i="5"/>
  <c r="F37470" i="5"/>
  <c r="F37469" i="5"/>
  <c r="F37468" i="5"/>
  <c r="F37467" i="5"/>
  <c r="F37466" i="5"/>
  <c r="F37465" i="5"/>
  <c r="F37464" i="5"/>
  <c r="F37463" i="5"/>
  <c r="F37462" i="5"/>
  <c r="F37461" i="5"/>
  <c r="F37460" i="5"/>
  <c r="F37459" i="5"/>
  <c r="F37458" i="5"/>
  <c r="F37457" i="5"/>
  <c r="F37456" i="5"/>
  <c r="F37455" i="5"/>
  <c r="F37454" i="5"/>
  <c r="F37453" i="5"/>
  <c r="F37452" i="5"/>
  <c r="F37451" i="5"/>
  <c r="F37450" i="5"/>
  <c r="F37449" i="5"/>
  <c r="F37448" i="5"/>
  <c r="F37447" i="5"/>
  <c r="F37446" i="5"/>
  <c r="F37445" i="5"/>
  <c r="F37444" i="5"/>
  <c r="F37443" i="5"/>
  <c r="F37442" i="5"/>
  <c r="F37441" i="5"/>
  <c r="F37440" i="5"/>
  <c r="F37439" i="5"/>
  <c r="F37438" i="5"/>
  <c r="F37437" i="5"/>
  <c r="F37436" i="5"/>
  <c r="F37435" i="5"/>
  <c r="F37434" i="5"/>
  <c r="F37433" i="5"/>
  <c r="F37432" i="5"/>
  <c r="F37431" i="5"/>
  <c r="F37430" i="5"/>
  <c r="F37429" i="5"/>
  <c r="F37428" i="5"/>
  <c r="F37427" i="5"/>
  <c r="F37426" i="5"/>
  <c r="F37425" i="5"/>
  <c r="F37424" i="5"/>
  <c r="F37423" i="5"/>
  <c r="F37422" i="5"/>
  <c r="F37421" i="5"/>
  <c r="F37420" i="5"/>
  <c r="F37419" i="5"/>
  <c r="F37418" i="5"/>
  <c r="F37417" i="5"/>
  <c r="F37416" i="5"/>
  <c r="F37415" i="5"/>
  <c r="F37414" i="5"/>
  <c r="F37413" i="5"/>
  <c r="F37412" i="5"/>
  <c r="F37411" i="5"/>
  <c r="F37410" i="5"/>
  <c r="F37409" i="5"/>
  <c r="F37408" i="5"/>
  <c r="F37407" i="5"/>
  <c r="F37406" i="5"/>
  <c r="F37405" i="5"/>
  <c r="F37404" i="5"/>
  <c r="F37403" i="5"/>
  <c r="F37402" i="5"/>
  <c r="F37401" i="5"/>
  <c r="F37400" i="5"/>
  <c r="F37399" i="5"/>
  <c r="F37398" i="5"/>
  <c r="F37397" i="5"/>
  <c r="F37396" i="5"/>
  <c r="F37395" i="5"/>
  <c r="F37394" i="5"/>
  <c r="F37393" i="5"/>
  <c r="F37392" i="5"/>
  <c r="F37391" i="5"/>
  <c r="F37390" i="5"/>
  <c r="F37389" i="5"/>
  <c r="F37388" i="5"/>
  <c r="F37387" i="5"/>
  <c r="F37386" i="5"/>
  <c r="F37385" i="5"/>
  <c r="F37384" i="5"/>
  <c r="F37383" i="5"/>
  <c r="F37382" i="5"/>
  <c r="F37381" i="5"/>
  <c r="F37380" i="5"/>
  <c r="F37379" i="5"/>
  <c r="F37378" i="5"/>
  <c r="F37377" i="5"/>
  <c r="F37376" i="5"/>
  <c r="F37375" i="5"/>
  <c r="F37374" i="5"/>
  <c r="F37373" i="5"/>
  <c r="F37372" i="5"/>
  <c r="F37371" i="5"/>
  <c r="F37370" i="5"/>
  <c r="F37369" i="5"/>
  <c r="F37368" i="5"/>
  <c r="F37367" i="5"/>
  <c r="F37366" i="5"/>
  <c r="F37365" i="5"/>
  <c r="F37364" i="5"/>
  <c r="F37363" i="5"/>
  <c r="F37362" i="5"/>
  <c r="F37361" i="5"/>
  <c r="F37360" i="5"/>
  <c r="F37359" i="5"/>
  <c r="F37358" i="5"/>
  <c r="F37357" i="5"/>
  <c r="F37356" i="5"/>
  <c r="F37355" i="5"/>
  <c r="F37354" i="5"/>
  <c r="F37353" i="5"/>
  <c r="F37352" i="5"/>
  <c r="F37351" i="5"/>
  <c r="F37350" i="5"/>
  <c r="F37349" i="5"/>
  <c r="F37348" i="5"/>
  <c r="F37347" i="5"/>
  <c r="F37346" i="5"/>
  <c r="F37345" i="5"/>
  <c r="F37344" i="5"/>
  <c r="F37343" i="5"/>
  <c r="F37342" i="5"/>
  <c r="F37341" i="5"/>
  <c r="F37340" i="5"/>
  <c r="F37339" i="5"/>
  <c r="F37338" i="5"/>
  <c r="F37337" i="5"/>
  <c r="F37336" i="5"/>
  <c r="F37335" i="5"/>
  <c r="F37334" i="5"/>
  <c r="F37333" i="5"/>
  <c r="F37332" i="5"/>
  <c r="F37331" i="5"/>
  <c r="F37330" i="5"/>
  <c r="F37329" i="5"/>
  <c r="F37328" i="5"/>
  <c r="F37327" i="5"/>
  <c r="F37326" i="5"/>
  <c r="F37325" i="5"/>
  <c r="F37324" i="5"/>
  <c r="F37323" i="5"/>
  <c r="F37322" i="5"/>
  <c r="F37321" i="5"/>
  <c r="F37320" i="5"/>
  <c r="F37319" i="5"/>
  <c r="F37318" i="5"/>
  <c r="F37317" i="5"/>
  <c r="F37316" i="5"/>
  <c r="F37315" i="5"/>
  <c r="F37314" i="5"/>
  <c r="F37313" i="5"/>
  <c r="F37312" i="5"/>
  <c r="F37311" i="5"/>
  <c r="F37310" i="5"/>
  <c r="F37309" i="5"/>
  <c r="F37308" i="5"/>
  <c r="F37307" i="5"/>
  <c r="F37306" i="5"/>
  <c r="F37305" i="5"/>
  <c r="F37304" i="5"/>
  <c r="F37303" i="5"/>
  <c r="F37302" i="5"/>
  <c r="F37301" i="5"/>
  <c r="F37300" i="5"/>
  <c r="F37299" i="5"/>
  <c r="F37298" i="5"/>
  <c r="F37297" i="5"/>
  <c r="F37296" i="5"/>
  <c r="F37295" i="5"/>
  <c r="F37294" i="5"/>
  <c r="F37293" i="5"/>
  <c r="F37292" i="5"/>
  <c r="F37291" i="5"/>
  <c r="F37290" i="5"/>
  <c r="F37289" i="5"/>
  <c r="F37288" i="5"/>
  <c r="F37287" i="5"/>
  <c r="F37286" i="5"/>
  <c r="F37285" i="5"/>
  <c r="F37284" i="5"/>
  <c r="F37283" i="5"/>
  <c r="F37282" i="5"/>
  <c r="F37281" i="5"/>
  <c r="F37280" i="5"/>
  <c r="F37279" i="5"/>
  <c r="F37278" i="5"/>
  <c r="F37277" i="5"/>
  <c r="F37276" i="5"/>
  <c r="F37275" i="5"/>
  <c r="F37274" i="5"/>
  <c r="F37273" i="5"/>
  <c r="F37272" i="5"/>
  <c r="F37271" i="5"/>
  <c r="F37270" i="5"/>
  <c r="F37269" i="5"/>
  <c r="F37268" i="5"/>
  <c r="F37267" i="5"/>
  <c r="F37266" i="5"/>
  <c r="F37265" i="5"/>
  <c r="F37264" i="5"/>
  <c r="F37263" i="5"/>
  <c r="F37262" i="5"/>
  <c r="F37261" i="5"/>
  <c r="F37260" i="5"/>
  <c r="F37259" i="5"/>
  <c r="F37258" i="5"/>
  <c r="F37257" i="5"/>
  <c r="F37256" i="5"/>
  <c r="F37255" i="5"/>
  <c r="F37254" i="5"/>
  <c r="F37253" i="5"/>
  <c r="F37252" i="5"/>
  <c r="F37251" i="5"/>
  <c r="F37250" i="5"/>
  <c r="F37249" i="5"/>
  <c r="F37248" i="5"/>
  <c r="F37247" i="5"/>
  <c r="F37246" i="5"/>
  <c r="F37245" i="5"/>
  <c r="F37244" i="5"/>
  <c r="F37243" i="5"/>
  <c r="F37242" i="5"/>
  <c r="F37241" i="5"/>
  <c r="F37240" i="5"/>
  <c r="F37239" i="5"/>
  <c r="F37238" i="5"/>
  <c r="F37237" i="5"/>
  <c r="F37236" i="5"/>
  <c r="F37235" i="5"/>
  <c r="F37234" i="5"/>
  <c r="F37233" i="5"/>
  <c r="F37232" i="5"/>
  <c r="F37231" i="5"/>
  <c r="F37230" i="5"/>
  <c r="F37229" i="5"/>
  <c r="F37228" i="5"/>
  <c r="F37227" i="5"/>
  <c r="F37226" i="5"/>
  <c r="F37225" i="5"/>
  <c r="F37224" i="5"/>
  <c r="F37223" i="5"/>
  <c r="F37222" i="5"/>
  <c r="F37221" i="5"/>
  <c r="F37220" i="5"/>
  <c r="F37219" i="5"/>
  <c r="F37218" i="5"/>
  <c r="F37217" i="5"/>
  <c r="F37216" i="5"/>
  <c r="F37215" i="5"/>
  <c r="F37214" i="5"/>
  <c r="F37213" i="5"/>
  <c r="F37212" i="5"/>
  <c r="F37211" i="5"/>
  <c r="F37210" i="5"/>
  <c r="F37209" i="5"/>
  <c r="F37208" i="5"/>
  <c r="F37207" i="5"/>
  <c r="F37206" i="5"/>
  <c r="F37205" i="5"/>
  <c r="F37204" i="5"/>
  <c r="F37203" i="5"/>
  <c r="F37202" i="5"/>
  <c r="F37201" i="5"/>
  <c r="F37200" i="5"/>
  <c r="F37199" i="5"/>
  <c r="F37198" i="5"/>
  <c r="F37197" i="5"/>
  <c r="F37196" i="5"/>
  <c r="F37195" i="5"/>
  <c r="F37194" i="5"/>
  <c r="F37193" i="5"/>
  <c r="F37192" i="5"/>
  <c r="F37191" i="5"/>
  <c r="F37190" i="5"/>
  <c r="F37189" i="5"/>
  <c r="F37188" i="5"/>
  <c r="F37187" i="5"/>
  <c r="F37186" i="5"/>
  <c r="F37185" i="5"/>
  <c r="F37184" i="5"/>
  <c r="F37183" i="5"/>
  <c r="F37182" i="5"/>
  <c r="F37181" i="5"/>
  <c r="F37180" i="5"/>
  <c r="F37179" i="5"/>
  <c r="F37178" i="5"/>
  <c r="F37177" i="5"/>
  <c r="F37176" i="5"/>
  <c r="F37175" i="5"/>
  <c r="F37174" i="5"/>
  <c r="F37173" i="5"/>
  <c r="F37172" i="5"/>
  <c r="F37171" i="5"/>
  <c r="F37170" i="5"/>
  <c r="F37169" i="5"/>
  <c r="F37168" i="5"/>
  <c r="F37167" i="5"/>
  <c r="F37166" i="5"/>
  <c r="F37165" i="5"/>
  <c r="F37164" i="5"/>
  <c r="F37163" i="5"/>
  <c r="F37162" i="5"/>
  <c r="F37161" i="5"/>
  <c r="F37160" i="5"/>
  <c r="F37159" i="5"/>
  <c r="F37158" i="5"/>
  <c r="F37157" i="5"/>
  <c r="F37156" i="5"/>
  <c r="F37155" i="5"/>
  <c r="F37154" i="5"/>
  <c r="F37153" i="5"/>
  <c r="F37152" i="5"/>
  <c r="F37151" i="5"/>
  <c r="F37150" i="5"/>
  <c r="F37149" i="5"/>
  <c r="F37148" i="5"/>
  <c r="F37147" i="5"/>
  <c r="F37146" i="5"/>
  <c r="F37145" i="5"/>
  <c r="F37144" i="5"/>
  <c r="F37143" i="5"/>
  <c r="F37142" i="5"/>
  <c r="F37141" i="5"/>
  <c r="F37140" i="5"/>
  <c r="F37139" i="5"/>
  <c r="F37138" i="5"/>
  <c r="F37137" i="5"/>
  <c r="F37136" i="5"/>
  <c r="F37135" i="5"/>
  <c r="F37134" i="5"/>
  <c r="F37133" i="5"/>
  <c r="F37132" i="5"/>
  <c r="F37131" i="5"/>
  <c r="F37130" i="5"/>
  <c r="F37129" i="5"/>
  <c r="F37128" i="5"/>
  <c r="F37127" i="5"/>
  <c r="F37126" i="5"/>
  <c r="F37125" i="5"/>
  <c r="F37124" i="5"/>
  <c r="F37123" i="5"/>
  <c r="F37122" i="5"/>
  <c r="F37121" i="5"/>
  <c r="F37120" i="5"/>
  <c r="F37119" i="5"/>
  <c r="F37118" i="5"/>
  <c r="F37117" i="5"/>
  <c r="F37116" i="5"/>
  <c r="F37115" i="5"/>
  <c r="F37114" i="5"/>
  <c r="F37113" i="5"/>
  <c r="F37112" i="5"/>
  <c r="F37111" i="5"/>
  <c r="F37110" i="5"/>
  <c r="F37109" i="5"/>
  <c r="F37108" i="5"/>
  <c r="F37107" i="5"/>
  <c r="F37106" i="5"/>
  <c r="F37105" i="5"/>
  <c r="F37104" i="5"/>
  <c r="F37103" i="5"/>
  <c r="F37102" i="5"/>
  <c r="F37101" i="5"/>
  <c r="F37100" i="5"/>
  <c r="F37099" i="5"/>
  <c r="F37098" i="5"/>
  <c r="F37097" i="5"/>
  <c r="F37096" i="5"/>
  <c r="F37095" i="5"/>
  <c r="F37094" i="5"/>
  <c r="F37093" i="5"/>
  <c r="F37092" i="5"/>
  <c r="F37091" i="5"/>
  <c r="F37090" i="5"/>
  <c r="F37089" i="5"/>
  <c r="F37088" i="5"/>
  <c r="F37087" i="5"/>
  <c r="F37086" i="5"/>
  <c r="F37085" i="5"/>
  <c r="F37084" i="5"/>
  <c r="F37083" i="5"/>
  <c r="F37082" i="5"/>
  <c r="F37081" i="5"/>
  <c r="F37080" i="5"/>
  <c r="F37079" i="5"/>
  <c r="F37078" i="5"/>
  <c r="F37077" i="5"/>
  <c r="F37076" i="5"/>
  <c r="F37075" i="5"/>
  <c r="F37074" i="5"/>
  <c r="F37073" i="5"/>
  <c r="F37072" i="5"/>
  <c r="F37071" i="5"/>
  <c r="F37070" i="5"/>
  <c r="F37069" i="5"/>
  <c r="F37068" i="5"/>
  <c r="F37067" i="5"/>
  <c r="F37066" i="5"/>
  <c r="F37065" i="5"/>
  <c r="F37064" i="5"/>
  <c r="F37063" i="5"/>
  <c r="F37062" i="5"/>
  <c r="F37061" i="5"/>
  <c r="F37060" i="5"/>
  <c r="F37059" i="5"/>
  <c r="F37058" i="5"/>
  <c r="F37057" i="5"/>
  <c r="F37056" i="5"/>
  <c r="F37055" i="5"/>
  <c r="F37054" i="5"/>
  <c r="F37053" i="5"/>
  <c r="F37052" i="5"/>
  <c r="F37051" i="5"/>
  <c r="F37050" i="5"/>
  <c r="F37049" i="5"/>
  <c r="F37048" i="5"/>
  <c r="F37047" i="5"/>
  <c r="F37046" i="5"/>
  <c r="F37045" i="5"/>
  <c r="F37044" i="5"/>
  <c r="F37043" i="5"/>
  <c r="F37042" i="5"/>
  <c r="F37041" i="5"/>
  <c r="F37040" i="5"/>
  <c r="F37039" i="5"/>
  <c r="F37038" i="5"/>
  <c r="F37037" i="5"/>
  <c r="F37036" i="5"/>
  <c r="F37035" i="5"/>
  <c r="F37034" i="5"/>
  <c r="F37033" i="5"/>
  <c r="F37032" i="5"/>
  <c r="F37031" i="5"/>
  <c r="F37030" i="5"/>
  <c r="F37029" i="5"/>
  <c r="F37028" i="5"/>
  <c r="F37027" i="5"/>
  <c r="F37026" i="5"/>
  <c r="F37025" i="5"/>
  <c r="F37024" i="5"/>
  <c r="F37023" i="5"/>
  <c r="F37022" i="5"/>
  <c r="F37021" i="5"/>
  <c r="F37020" i="5"/>
  <c r="F37019" i="5"/>
  <c r="F37018" i="5"/>
  <c r="F37017" i="5"/>
  <c r="F37016" i="5"/>
  <c r="F37015" i="5"/>
  <c r="F37014" i="5"/>
  <c r="F37013" i="5"/>
  <c r="F37012" i="5"/>
  <c r="F37011" i="5"/>
  <c r="F37010" i="5"/>
  <c r="F37009" i="5"/>
  <c r="F37008" i="5"/>
  <c r="F37007" i="5"/>
  <c r="F37006" i="5"/>
  <c r="F37005" i="5"/>
  <c r="F37004" i="5"/>
  <c r="F37003" i="5"/>
  <c r="F37002" i="5"/>
  <c r="F37001" i="5"/>
  <c r="F37000" i="5"/>
  <c r="F36999" i="5"/>
  <c r="F36998" i="5"/>
  <c r="F36997" i="5"/>
  <c r="F36996" i="5"/>
  <c r="F36995" i="5"/>
  <c r="F36994" i="5"/>
  <c r="F36993" i="5"/>
  <c r="F36992" i="5"/>
  <c r="F36991" i="5"/>
  <c r="F36990" i="5"/>
  <c r="F36989" i="5"/>
  <c r="F36988" i="5"/>
  <c r="F36987" i="5"/>
  <c r="F36986" i="5"/>
  <c r="F36985" i="5"/>
  <c r="F36984" i="5"/>
  <c r="F36983" i="5"/>
  <c r="F36982" i="5"/>
  <c r="F36981" i="5"/>
  <c r="F36980" i="5"/>
  <c r="F36979" i="5"/>
  <c r="F36978" i="5"/>
  <c r="F36977" i="5"/>
  <c r="F36976" i="5"/>
  <c r="F36975" i="5"/>
  <c r="F36974" i="5"/>
  <c r="F36973" i="5"/>
  <c r="F36972" i="5"/>
  <c r="F36971" i="5"/>
  <c r="F36970" i="5"/>
  <c r="F36969" i="5"/>
  <c r="F36968" i="5"/>
  <c r="F36967" i="5"/>
  <c r="F36966" i="5"/>
  <c r="F36965" i="5"/>
  <c r="F36964" i="5"/>
  <c r="F36963" i="5"/>
  <c r="F36962" i="5"/>
  <c r="F36961" i="5"/>
  <c r="F36960" i="5"/>
  <c r="F36959" i="5"/>
  <c r="F36958" i="5"/>
  <c r="F36957" i="5"/>
  <c r="F36956" i="5"/>
  <c r="F36955" i="5"/>
  <c r="F36954" i="5"/>
  <c r="F36953" i="5"/>
  <c r="F36952" i="5"/>
  <c r="F36951" i="5"/>
  <c r="F36950" i="5"/>
  <c r="F36949" i="5"/>
  <c r="F36948" i="5"/>
  <c r="F36947" i="5"/>
  <c r="F36946" i="5"/>
  <c r="F36945" i="5"/>
  <c r="F36944" i="5"/>
  <c r="F36943" i="5"/>
  <c r="F36942" i="5"/>
  <c r="F36941" i="5"/>
  <c r="F36940" i="5"/>
  <c r="F36939" i="5"/>
  <c r="F36938" i="5"/>
  <c r="F36937" i="5"/>
  <c r="F36936" i="5"/>
  <c r="F36935" i="5"/>
  <c r="F36934" i="5"/>
  <c r="F36933" i="5"/>
  <c r="F36932" i="5"/>
  <c r="F36931" i="5"/>
  <c r="F36930" i="5"/>
  <c r="F36929" i="5"/>
  <c r="F36928" i="5"/>
  <c r="F36927" i="5"/>
  <c r="F36926" i="5"/>
  <c r="F36925" i="5"/>
  <c r="F36924" i="5"/>
  <c r="F36923" i="5"/>
  <c r="F36922" i="5"/>
  <c r="F36921" i="5"/>
  <c r="F36920" i="5"/>
  <c r="F36919" i="5"/>
  <c r="F36918" i="5"/>
  <c r="F36917" i="5"/>
  <c r="F36916" i="5"/>
  <c r="F36915" i="5"/>
  <c r="F36914" i="5"/>
  <c r="F36913" i="5"/>
  <c r="F36912" i="5"/>
  <c r="F36911" i="5"/>
  <c r="F36910" i="5"/>
  <c r="F36909" i="5"/>
  <c r="F36908" i="5"/>
  <c r="F36907" i="5"/>
  <c r="F36906" i="5"/>
  <c r="F36905" i="5"/>
  <c r="F36904" i="5"/>
  <c r="F36903" i="5"/>
  <c r="F36902" i="5"/>
  <c r="F36901" i="5"/>
  <c r="F36900" i="5"/>
  <c r="F36899" i="5"/>
  <c r="F36898" i="5"/>
  <c r="F36897" i="5"/>
  <c r="F36896" i="5"/>
  <c r="F36895" i="5"/>
  <c r="F36894" i="5"/>
  <c r="F36893" i="5"/>
  <c r="F36892" i="5"/>
  <c r="F36891" i="5"/>
  <c r="F36890" i="5"/>
  <c r="F36889" i="5"/>
  <c r="F36888" i="5"/>
  <c r="F36887" i="5"/>
  <c r="F36886" i="5"/>
  <c r="F36885" i="5"/>
  <c r="F36884" i="5"/>
  <c r="F36883" i="5"/>
  <c r="F36882" i="5"/>
  <c r="F36881" i="5"/>
  <c r="F36880" i="5"/>
  <c r="F36879" i="5"/>
  <c r="F36878" i="5"/>
  <c r="F36877" i="5"/>
  <c r="F36876" i="5"/>
  <c r="F36875" i="5"/>
  <c r="F36874" i="5"/>
  <c r="F36873" i="5"/>
  <c r="F36872" i="5"/>
  <c r="F36871" i="5"/>
  <c r="F36870" i="5"/>
  <c r="F36869" i="5"/>
  <c r="F36868" i="5"/>
  <c r="F36867" i="5"/>
  <c r="F36866" i="5"/>
  <c r="F36865" i="5"/>
  <c r="F36864" i="5"/>
  <c r="F36863" i="5"/>
  <c r="F36862" i="5"/>
  <c r="F36861" i="5"/>
  <c r="F36860" i="5"/>
  <c r="F36859" i="5"/>
  <c r="F36858" i="5"/>
  <c r="F36857" i="5"/>
  <c r="F36856" i="5"/>
  <c r="F36855" i="5"/>
  <c r="F36854" i="5"/>
  <c r="F36853" i="5"/>
  <c r="F36852" i="5"/>
  <c r="F36851" i="5"/>
  <c r="F36850" i="5"/>
  <c r="F36849" i="5"/>
  <c r="F36848" i="5"/>
  <c r="F36847" i="5"/>
  <c r="F36846" i="5"/>
  <c r="F36845" i="5"/>
  <c r="F36844" i="5"/>
  <c r="F36843" i="5"/>
  <c r="F36842" i="5"/>
  <c r="F36841" i="5"/>
  <c r="F36840" i="5"/>
  <c r="F36839" i="5"/>
  <c r="F36838" i="5"/>
  <c r="F36837" i="5"/>
  <c r="F36836" i="5"/>
  <c r="F36835" i="5"/>
  <c r="F36834" i="5"/>
  <c r="F36833" i="5"/>
  <c r="F36832" i="5"/>
  <c r="F36831" i="5"/>
  <c r="F36830" i="5"/>
  <c r="F36829" i="5"/>
  <c r="F36828" i="5"/>
  <c r="F36827" i="5"/>
  <c r="F36826" i="5"/>
  <c r="F36825" i="5"/>
  <c r="F36824" i="5"/>
  <c r="F36823" i="5"/>
  <c r="F36822" i="5"/>
  <c r="F36821" i="5"/>
  <c r="F36820" i="5"/>
  <c r="F36819" i="5"/>
  <c r="F36818" i="5"/>
  <c r="F36817" i="5"/>
  <c r="F36816" i="5"/>
  <c r="F36815" i="5"/>
  <c r="F36814" i="5"/>
  <c r="F36813" i="5"/>
  <c r="F36812" i="5"/>
  <c r="F36811" i="5"/>
  <c r="F36810" i="5"/>
  <c r="F36809" i="5"/>
  <c r="F36808" i="5"/>
  <c r="F36807" i="5"/>
  <c r="F36806" i="5"/>
  <c r="F36805" i="5"/>
  <c r="F36804" i="5"/>
  <c r="F36803" i="5"/>
  <c r="F36802" i="5"/>
  <c r="F36801" i="5"/>
  <c r="F36800" i="5"/>
  <c r="F36799" i="5"/>
  <c r="F36798" i="5"/>
  <c r="F36797" i="5"/>
  <c r="F36796" i="5"/>
  <c r="F36795" i="5"/>
  <c r="F36794" i="5"/>
  <c r="F36793" i="5"/>
  <c r="F36792" i="5"/>
  <c r="F36791" i="5"/>
  <c r="F36790" i="5"/>
  <c r="F36789" i="5"/>
  <c r="F36788" i="5"/>
  <c r="F36787" i="5"/>
  <c r="F36786" i="5"/>
  <c r="F36785" i="5"/>
  <c r="F36784" i="5"/>
  <c r="F36783" i="5"/>
  <c r="F36782" i="5"/>
  <c r="F36781" i="5"/>
  <c r="F36780" i="5"/>
  <c r="F36779" i="5"/>
  <c r="F36778" i="5"/>
  <c r="F36777" i="5"/>
  <c r="F36776" i="5"/>
  <c r="F36775" i="5"/>
  <c r="F36774" i="5"/>
  <c r="F36773" i="5"/>
  <c r="F36772" i="5"/>
  <c r="F36771" i="5"/>
  <c r="F36770" i="5"/>
  <c r="F36769" i="5"/>
  <c r="F36768" i="5"/>
  <c r="F36767" i="5"/>
  <c r="F36766" i="5"/>
  <c r="F36765" i="5"/>
  <c r="F36764" i="5"/>
  <c r="F36763" i="5"/>
  <c r="F36762" i="5"/>
  <c r="F36761" i="5"/>
  <c r="F36760" i="5"/>
  <c r="F36759" i="5"/>
  <c r="F36758" i="5"/>
  <c r="F36757" i="5"/>
  <c r="F36756" i="5"/>
  <c r="F36755" i="5"/>
  <c r="F36754" i="5"/>
  <c r="F36753" i="5"/>
  <c r="F36752" i="5"/>
  <c r="F36751" i="5"/>
  <c r="F36750" i="5"/>
  <c r="F36749" i="5"/>
  <c r="F36748" i="5"/>
  <c r="F36747" i="5"/>
  <c r="F36746" i="5"/>
  <c r="F36745" i="5"/>
  <c r="F36744" i="5"/>
  <c r="F36743" i="5"/>
  <c r="F36742" i="5"/>
  <c r="F36741" i="5"/>
  <c r="F36740" i="5"/>
  <c r="F36739" i="5"/>
  <c r="F36738" i="5"/>
  <c r="F36737" i="5"/>
  <c r="F36736" i="5"/>
  <c r="F36735" i="5"/>
  <c r="F36734" i="5"/>
  <c r="F36733" i="5"/>
  <c r="F36732" i="5"/>
  <c r="F36731" i="5"/>
  <c r="F36730" i="5"/>
  <c r="F36729" i="5"/>
  <c r="F36728" i="5"/>
  <c r="F36727" i="5"/>
  <c r="F36726" i="5"/>
  <c r="F36725" i="5"/>
  <c r="F36724" i="5"/>
  <c r="F36723" i="5"/>
  <c r="F36722" i="5"/>
  <c r="F36721" i="5"/>
  <c r="F36720" i="5"/>
  <c r="F36719" i="5"/>
  <c r="F36718" i="5"/>
  <c r="F36717" i="5"/>
  <c r="F36716" i="5"/>
  <c r="F36715" i="5"/>
  <c r="F36714" i="5"/>
  <c r="F36713" i="5"/>
  <c r="F36712" i="5"/>
  <c r="F36711" i="5"/>
  <c r="F36710" i="5"/>
  <c r="F36709" i="5"/>
  <c r="F36708" i="5"/>
  <c r="F36707" i="5"/>
  <c r="F36706" i="5"/>
  <c r="F36705" i="5"/>
  <c r="F36704" i="5"/>
  <c r="F36703" i="5"/>
  <c r="F36702" i="5"/>
  <c r="F36701" i="5"/>
  <c r="F36700" i="5"/>
  <c r="F36699" i="5"/>
  <c r="F36698" i="5"/>
  <c r="F36697" i="5"/>
  <c r="F36696" i="5"/>
  <c r="F36695" i="5"/>
  <c r="F36694" i="5"/>
  <c r="F36693" i="5"/>
  <c r="F36692" i="5"/>
  <c r="F36691" i="5"/>
  <c r="F36690" i="5"/>
  <c r="F36689" i="5"/>
  <c r="F36688" i="5"/>
  <c r="F36687" i="5"/>
  <c r="F36686" i="5"/>
  <c r="F36685" i="5"/>
  <c r="F36684" i="5"/>
  <c r="F36683" i="5"/>
  <c r="F36682" i="5"/>
  <c r="F36681" i="5"/>
  <c r="F36680" i="5"/>
  <c r="F36679" i="5"/>
  <c r="F36678" i="5"/>
  <c r="F36677" i="5"/>
  <c r="F36676" i="5"/>
  <c r="F36675" i="5"/>
  <c r="F36674" i="5"/>
  <c r="F36673" i="5"/>
  <c r="F36672" i="5"/>
  <c r="F36671" i="5"/>
  <c r="F36670" i="5"/>
  <c r="F36669" i="5"/>
  <c r="F36668" i="5"/>
  <c r="F36667" i="5"/>
  <c r="F36666" i="5"/>
  <c r="F36665" i="5"/>
  <c r="F36664" i="5"/>
  <c r="F36663" i="5"/>
  <c r="F36662" i="5"/>
  <c r="F36661" i="5"/>
  <c r="F36660" i="5"/>
  <c r="F36659" i="5"/>
  <c r="F36658" i="5"/>
  <c r="F36657" i="5"/>
  <c r="F36656" i="5"/>
  <c r="F36655" i="5"/>
  <c r="F36654" i="5"/>
  <c r="F36653" i="5"/>
  <c r="F36652" i="5"/>
  <c r="F36651" i="5"/>
  <c r="F36650" i="5"/>
  <c r="F36649" i="5"/>
  <c r="F36648" i="5"/>
  <c r="F36647" i="5"/>
  <c r="F36646" i="5"/>
  <c r="F36645" i="5"/>
  <c r="F36644" i="5"/>
  <c r="F36643" i="5"/>
  <c r="F36642" i="5"/>
  <c r="F36641" i="5"/>
  <c r="F36640" i="5"/>
  <c r="F36639" i="5"/>
  <c r="F36638" i="5"/>
  <c r="F36637" i="5"/>
  <c r="F36636" i="5"/>
  <c r="F36635" i="5"/>
  <c r="F36634" i="5"/>
  <c r="F36633" i="5"/>
  <c r="F36632" i="5"/>
  <c r="F36631" i="5"/>
  <c r="F36630" i="5"/>
  <c r="F36629" i="5"/>
  <c r="F36628" i="5"/>
  <c r="F36627" i="5"/>
  <c r="F36626" i="5"/>
  <c r="F36625" i="5"/>
  <c r="F36624" i="5"/>
  <c r="F36623" i="5"/>
  <c r="F36622" i="5"/>
  <c r="F36621" i="5"/>
  <c r="F36620" i="5"/>
  <c r="F36619" i="5"/>
  <c r="F36618" i="5"/>
  <c r="F36617" i="5"/>
  <c r="F36616" i="5"/>
  <c r="F36615" i="5"/>
  <c r="F36614" i="5"/>
  <c r="F36613" i="5"/>
  <c r="F36612" i="5"/>
  <c r="F36611" i="5"/>
  <c r="F36610" i="5"/>
  <c r="F36609" i="5"/>
  <c r="F36608" i="5"/>
  <c r="F36607" i="5"/>
  <c r="F36606" i="5"/>
  <c r="F36605" i="5"/>
  <c r="F36604" i="5"/>
  <c r="F36603" i="5"/>
  <c r="F36602" i="5"/>
  <c r="F36601" i="5"/>
  <c r="F36600" i="5"/>
  <c r="F36599" i="5"/>
  <c r="F36598" i="5"/>
  <c r="F36597" i="5"/>
  <c r="F36596" i="5"/>
  <c r="F36595" i="5"/>
  <c r="F36594" i="5"/>
  <c r="F36593" i="5"/>
  <c r="F36592" i="5"/>
  <c r="F36591" i="5"/>
  <c r="F36590" i="5"/>
  <c r="F36589" i="5"/>
  <c r="F36588" i="5"/>
  <c r="F36587" i="5"/>
  <c r="F36586" i="5"/>
  <c r="F36585" i="5"/>
  <c r="F36584" i="5"/>
  <c r="F36583" i="5"/>
  <c r="F36582" i="5"/>
  <c r="F36581" i="5"/>
  <c r="F36580" i="5"/>
  <c r="F36579" i="5"/>
  <c r="F36578" i="5"/>
  <c r="F36577" i="5"/>
  <c r="F36576" i="5"/>
  <c r="F36575" i="5"/>
  <c r="F36574" i="5"/>
  <c r="F36573" i="5"/>
  <c r="F36572" i="5"/>
  <c r="F36571" i="5"/>
  <c r="F36570" i="5"/>
  <c r="F36569" i="5"/>
  <c r="F36568" i="5"/>
  <c r="F36567" i="5"/>
  <c r="F36566" i="5"/>
  <c r="F36565" i="5"/>
  <c r="F36564" i="5"/>
  <c r="F36563" i="5"/>
  <c r="F36562" i="5"/>
  <c r="F36561" i="5"/>
  <c r="F36560" i="5"/>
  <c r="F36559" i="5"/>
  <c r="F36558" i="5"/>
  <c r="F36557" i="5"/>
  <c r="F36556" i="5"/>
  <c r="F36555" i="5"/>
  <c r="F36554" i="5"/>
  <c r="F36553" i="5"/>
  <c r="F36552" i="5"/>
  <c r="F36551" i="5"/>
  <c r="F36550" i="5"/>
  <c r="F36549" i="5"/>
  <c r="F36548" i="5"/>
  <c r="F36547" i="5"/>
  <c r="F36546" i="5"/>
  <c r="F36545" i="5"/>
  <c r="F36544" i="5"/>
  <c r="F36543" i="5"/>
  <c r="F36542" i="5"/>
  <c r="F36541" i="5"/>
  <c r="F36540" i="5"/>
  <c r="F36539" i="5"/>
  <c r="F36538" i="5"/>
  <c r="F36537" i="5"/>
  <c r="F36536" i="5"/>
  <c r="F36535" i="5"/>
  <c r="F36534" i="5"/>
  <c r="F36533" i="5"/>
  <c r="F36532" i="5"/>
  <c r="F36531" i="5"/>
  <c r="F36530" i="5"/>
  <c r="F36529" i="5"/>
  <c r="F36528" i="5"/>
  <c r="F36527" i="5"/>
  <c r="F36526" i="5"/>
  <c r="F36525" i="5"/>
  <c r="F36524" i="5"/>
  <c r="F36523" i="5"/>
  <c r="F36522" i="5"/>
  <c r="F36521" i="5"/>
  <c r="F36520" i="5"/>
  <c r="F36519" i="5"/>
  <c r="F36518" i="5"/>
  <c r="F36517" i="5"/>
  <c r="F36516" i="5"/>
  <c r="F36515" i="5"/>
  <c r="F36514" i="5"/>
  <c r="F36513" i="5"/>
  <c r="F36512" i="5"/>
  <c r="F36511" i="5"/>
  <c r="F36510" i="5"/>
  <c r="F36509" i="5"/>
  <c r="F36508" i="5"/>
  <c r="F36507" i="5"/>
  <c r="F36506" i="5"/>
  <c r="F36505" i="5"/>
  <c r="F36504" i="5"/>
  <c r="F36503" i="5"/>
  <c r="F36502" i="5"/>
  <c r="F36501" i="5"/>
  <c r="F36500" i="5"/>
  <c r="F36499" i="5"/>
  <c r="F36498" i="5"/>
  <c r="F36497" i="5"/>
  <c r="F36496" i="5"/>
  <c r="F36495" i="5"/>
  <c r="F36494" i="5"/>
  <c r="F36493" i="5"/>
  <c r="F36492" i="5"/>
  <c r="F36491" i="5"/>
  <c r="F36490" i="5"/>
  <c r="F36489" i="5"/>
  <c r="F36488" i="5"/>
  <c r="F36487" i="5"/>
  <c r="F36486" i="5"/>
  <c r="F36485" i="5"/>
  <c r="F36484" i="5"/>
  <c r="F36483" i="5"/>
  <c r="F36482" i="5"/>
  <c r="F36481" i="5"/>
  <c r="F36480" i="5"/>
  <c r="F36479" i="5"/>
  <c r="F36478" i="5"/>
  <c r="F36477" i="5"/>
  <c r="F36476" i="5"/>
  <c r="F36475" i="5"/>
  <c r="F36474" i="5"/>
  <c r="F36473" i="5"/>
  <c r="F36472" i="5"/>
  <c r="F36471" i="5"/>
  <c r="F36470" i="5"/>
  <c r="F36469" i="5"/>
  <c r="F36468" i="5"/>
  <c r="F36467" i="5"/>
  <c r="F36466" i="5"/>
  <c r="F36465" i="5"/>
  <c r="F36464" i="5"/>
  <c r="F36463" i="5"/>
  <c r="F36462" i="5"/>
  <c r="F36461" i="5"/>
  <c r="F36460" i="5"/>
  <c r="F36459" i="5"/>
  <c r="F36458" i="5"/>
  <c r="F36457" i="5"/>
  <c r="F36456" i="5"/>
  <c r="F36455" i="5"/>
  <c r="F36454" i="5"/>
  <c r="F36453" i="5"/>
  <c r="F36452" i="5"/>
  <c r="F36451" i="5"/>
  <c r="F36450" i="5"/>
  <c r="F36449" i="5"/>
  <c r="F36448" i="5"/>
  <c r="F36447" i="5"/>
  <c r="F36446" i="5"/>
  <c r="F36445" i="5"/>
  <c r="F36444" i="5"/>
  <c r="F36443" i="5"/>
  <c r="F36442" i="5"/>
  <c r="F36441" i="5"/>
  <c r="F36440" i="5"/>
  <c r="F36439" i="5"/>
  <c r="F36438" i="5"/>
  <c r="F36437" i="5"/>
  <c r="F36436" i="5"/>
  <c r="F36435" i="5"/>
  <c r="F36434" i="5"/>
  <c r="F36433" i="5"/>
  <c r="F36432" i="5"/>
  <c r="F36431" i="5"/>
  <c r="F36430" i="5"/>
  <c r="F36429" i="5"/>
  <c r="F36428" i="5"/>
  <c r="F36427" i="5"/>
  <c r="F36426" i="5"/>
  <c r="F36425" i="5"/>
  <c r="F36424" i="5"/>
  <c r="F36423" i="5"/>
  <c r="F36422" i="5"/>
  <c r="F36421" i="5"/>
  <c r="F36420" i="5"/>
  <c r="F36419" i="5"/>
  <c r="F36418" i="5"/>
  <c r="F36417" i="5"/>
  <c r="F36416" i="5"/>
  <c r="F36415" i="5"/>
  <c r="F36414" i="5"/>
  <c r="F36413" i="5"/>
  <c r="F36412" i="5"/>
  <c r="F36411" i="5"/>
  <c r="F36410" i="5"/>
  <c r="F36409" i="5"/>
  <c r="F36408" i="5"/>
  <c r="F36407" i="5"/>
  <c r="F36406" i="5"/>
  <c r="F36405" i="5"/>
  <c r="F36404" i="5"/>
  <c r="F36403" i="5"/>
  <c r="F36402" i="5"/>
  <c r="F36401" i="5"/>
  <c r="F36400" i="5"/>
  <c r="F36399" i="5"/>
  <c r="F36398" i="5"/>
  <c r="F36397" i="5"/>
  <c r="F36396" i="5"/>
  <c r="F36395" i="5"/>
  <c r="F36394" i="5"/>
  <c r="F36393" i="5"/>
  <c r="F36392" i="5"/>
  <c r="F36391" i="5"/>
  <c r="F36390" i="5"/>
  <c r="F36389" i="5"/>
  <c r="F36388" i="5"/>
  <c r="F36387" i="5"/>
  <c r="F36386" i="5"/>
  <c r="F36385" i="5"/>
  <c r="F36384" i="5"/>
  <c r="F36383" i="5"/>
  <c r="F36382" i="5"/>
  <c r="F36381" i="5"/>
  <c r="F36380" i="5"/>
  <c r="F36379" i="5"/>
  <c r="F36378" i="5"/>
  <c r="F36377" i="5"/>
  <c r="F36376" i="5"/>
  <c r="F36375" i="5"/>
  <c r="F36374" i="5"/>
  <c r="F36373" i="5"/>
  <c r="F36372" i="5"/>
  <c r="F36371" i="5"/>
  <c r="F36370" i="5"/>
  <c r="F36369" i="5"/>
  <c r="F36368" i="5"/>
  <c r="F36367" i="5"/>
  <c r="F36366" i="5"/>
  <c r="F36365" i="5"/>
  <c r="F36364" i="5"/>
  <c r="F36363" i="5"/>
  <c r="F36362" i="5"/>
  <c r="F36361" i="5"/>
  <c r="F36360" i="5"/>
  <c r="F36359" i="5"/>
  <c r="F36358" i="5"/>
  <c r="F36357" i="5"/>
  <c r="F36356" i="5"/>
  <c r="F36355" i="5"/>
  <c r="F36354" i="5"/>
  <c r="F36353" i="5"/>
  <c r="F36352" i="5"/>
  <c r="F36351" i="5"/>
  <c r="F36350" i="5"/>
  <c r="F36349" i="5"/>
  <c r="F36348" i="5"/>
  <c r="F36347" i="5"/>
  <c r="F36346" i="5"/>
  <c r="F36345" i="5"/>
  <c r="F36344" i="5"/>
  <c r="F36343" i="5"/>
  <c r="F36342" i="5"/>
  <c r="F36341" i="5"/>
  <c r="F36340" i="5"/>
  <c r="F36339" i="5"/>
  <c r="F36338" i="5"/>
  <c r="F36337" i="5"/>
  <c r="F36336" i="5"/>
  <c r="F36335" i="5"/>
  <c r="F36334" i="5"/>
  <c r="F36333" i="5"/>
  <c r="F36332" i="5"/>
  <c r="F36331" i="5"/>
  <c r="F36330" i="5"/>
  <c r="F36329" i="5"/>
  <c r="F36328" i="5"/>
  <c r="F36327" i="5"/>
  <c r="F36326" i="5"/>
  <c r="F36325" i="5"/>
  <c r="F36324" i="5"/>
  <c r="F36323" i="5"/>
  <c r="F36322" i="5"/>
  <c r="F36321" i="5"/>
  <c r="F36320" i="5"/>
  <c r="F36319" i="5"/>
  <c r="F36318" i="5"/>
  <c r="F36317" i="5"/>
  <c r="F36316" i="5"/>
  <c r="F36315" i="5"/>
  <c r="F36314" i="5"/>
  <c r="F36313" i="5"/>
  <c r="F36312" i="5"/>
  <c r="F36311" i="5"/>
  <c r="F36310" i="5"/>
  <c r="F36309" i="5"/>
  <c r="F36308" i="5"/>
  <c r="F36307" i="5"/>
  <c r="F36306" i="5"/>
  <c r="F36305" i="5"/>
  <c r="F36304" i="5"/>
  <c r="F36303" i="5"/>
  <c r="F36302" i="5"/>
  <c r="F36301" i="5"/>
  <c r="F36300" i="5"/>
  <c r="F36299" i="5"/>
  <c r="F36298" i="5"/>
  <c r="F36297" i="5"/>
  <c r="F36296" i="5"/>
  <c r="F36295" i="5"/>
  <c r="F36294" i="5"/>
  <c r="F36293" i="5"/>
  <c r="F36292" i="5"/>
  <c r="F36291" i="5"/>
  <c r="F36290" i="5"/>
  <c r="F36289" i="5"/>
  <c r="F36288" i="5"/>
  <c r="F36287" i="5"/>
  <c r="F36286" i="5"/>
  <c r="F36285" i="5"/>
  <c r="F36284" i="5"/>
  <c r="F36283" i="5"/>
  <c r="F36282" i="5"/>
  <c r="F36281" i="5"/>
  <c r="F36280" i="5"/>
  <c r="F36279" i="5"/>
  <c r="F36278" i="5"/>
  <c r="F36277" i="5"/>
  <c r="F36276" i="5"/>
  <c r="F36275" i="5"/>
  <c r="F36274" i="5"/>
  <c r="F36273" i="5"/>
  <c r="F36272" i="5"/>
  <c r="F36271" i="5"/>
  <c r="F36270" i="5"/>
  <c r="F36269" i="5"/>
  <c r="F36268" i="5"/>
  <c r="F36267" i="5"/>
  <c r="F36266" i="5"/>
  <c r="F36265" i="5"/>
  <c r="F36264" i="5"/>
  <c r="F36263" i="5"/>
  <c r="F36262" i="5"/>
  <c r="F36261" i="5"/>
  <c r="F36260" i="5"/>
  <c r="F36259" i="5"/>
  <c r="F36258" i="5"/>
  <c r="F36257" i="5"/>
  <c r="F36256" i="5"/>
  <c r="F36255" i="5"/>
  <c r="F36254" i="5"/>
  <c r="F36253" i="5"/>
  <c r="F36252" i="5"/>
  <c r="F36251" i="5"/>
  <c r="F36250" i="5"/>
  <c r="F36249" i="5"/>
  <c r="F36248" i="5"/>
  <c r="F36247" i="5"/>
  <c r="F36246" i="5"/>
  <c r="F36245" i="5"/>
  <c r="F36244" i="5"/>
  <c r="F36243" i="5"/>
  <c r="F36242" i="5"/>
  <c r="F36241" i="5"/>
  <c r="F36240" i="5"/>
  <c r="F36239" i="5"/>
  <c r="F36238" i="5"/>
  <c r="F36237" i="5"/>
  <c r="F36236" i="5"/>
  <c r="F36235" i="5"/>
  <c r="F36234" i="5"/>
  <c r="F36233" i="5"/>
  <c r="F36232" i="5"/>
  <c r="F36231" i="5"/>
  <c r="F36230" i="5"/>
  <c r="F36229" i="5"/>
  <c r="F36228" i="5"/>
  <c r="F36227" i="5"/>
  <c r="F36226" i="5"/>
  <c r="F36225" i="5"/>
  <c r="F36224" i="5"/>
  <c r="F36223" i="5"/>
  <c r="F36222" i="5"/>
  <c r="F36221" i="5"/>
  <c r="F36220" i="5"/>
  <c r="F36219" i="5"/>
  <c r="F36218" i="5"/>
  <c r="F36217" i="5"/>
  <c r="F36216" i="5"/>
  <c r="F36215" i="5"/>
  <c r="F36214" i="5"/>
  <c r="F36213" i="5"/>
  <c r="F36212" i="5"/>
  <c r="F36211" i="5"/>
  <c r="F36210" i="5"/>
  <c r="F36209" i="5"/>
  <c r="F36208" i="5"/>
  <c r="F36207" i="5"/>
  <c r="F36206" i="5"/>
  <c r="F36205" i="5"/>
  <c r="F36204" i="5"/>
  <c r="F36203" i="5"/>
  <c r="F36202" i="5"/>
  <c r="F36201" i="5"/>
  <c r="F36200" i="5"/>
  <c r="F36199" i="5"/>
  <c r="F36198" i="5"/>
  <c r="F36197" i="5"/>
  <c r="F36196" i="5"/>
  <c r="F36195" i="5"/>
  <c r="F36194" i="5"/>
  <c r="F36193" i="5"/>
  <c r="F36192" i="5"/>
  <c r="F36191" i="5"/>
  <c r="F36190" i="5"/>
  <c r="F36189" i="5"/>
  <c r="F36188" i="5"/>
  <c r="F36187" i="5"/>
  <c r="F36186" i="5"/>
  <c r="F36185" i="5"/>
  <c r="F36184" i="5"/>
  <c r="F36183" i="5"/>
  <c r="F36182" i="5"/>
  <c r="F36181" i="5"/>
  <c r="F36180" i="5"/>
  <c r="F36179" i="5"/>
  <c r="F36178" i="5"/>
  <c r="F36177" i="5"/>
  <c r="F36176" i="5"/>
  <c r="F36175" i="5"/>
  <c r="F36174" i="5"/>
  <c r="F36173" i="5"/>
  <c r="F36172" i="5"/>
  <c r="F36171" i="5"/>
  <c r="F36170" i="5"/>
  <c r="F36169" i="5"/>
  <c r="F36168" i="5"/>
  <c r="F36167" i="5"/>
  <c r="F36166" i="5"/>
  <c r="F36165" i="5"/>
  <c r="F36164" i="5"/>
  <c r="F36163" i="5"/>
  <c r="F36162" i="5"/>
  <c r="F36161" i="5"/>
  <c r="F36160" i="5"/>
  <c r="F36159" i="5"/>
  <c r="F36158" i="5"/>
  <c r="F36157" i="5"/>
  <c r="F36156" i="5"/>
  <c r="F36155" i="5"/>
  <c r="F36154" i="5"/>
  <c r="F36153" i="5"/>
  <c r="F36152" i="5"/>
  <c r="F36151" i="5"/>
  <c r="F36150" i="5"/>
  <c r="F36149" i="5"/>
  <c r="F36148" i="5"/>
  <c r="F36147" i="5"/>
  <c r="F36146" i="5"/>
  <c r="F36145" i="5"/>
  <c r="F36144" i="5"/>
  <c r="F36143" i="5"/>
  <c r="F36142" i="5"/>
  <c r="F36141" i="5"/>
  <c r="F36140" i="5"/>
  <c r="F36139" i="5"/>
  <c r="F36138" i="5"/>
  <c r="F36137" i="5"/>
  <c r="F36136" i="5"/>
  <c r="F36135" i="5"/>
  <c r="F36134" i="5"/>
  <c r="F36133" i="5"/>
  <c r="F36132" i="5"/>
  <c r="F36131" i="5"/>
  <c r="F36130" i="5"/>
  <c r="F36129" i="5"/>
  <c r="F36128" i="5"/>
  <c r="F36127" i="5"/>
  <c r="F36126" i="5"/>
  <c r="F36125" i="5"/>
  <c r="F36124" i="5"/>
  <c r="F36123" i="5"/>
  <c r="F36122" i="5"/>
  <c r="F36121" i="5"/>
  <c r="F36120" i="5"/>
  <c r="F36119" i="5"/>
  <c r="F36118" i="5"/>
  <c r="F36117" i="5"/>
  <c r="F36116" i="5"/>
  <c r="F36115" i="5"/>
  <c r="F36114" i="5"/>
  <c r="F36113" i="5"/>
  <c r="F36112" i="5"/>
  <c r="F36111" i="5"/>
  <c r="F36110" i="5"/>
  <c r="F36109" i="5"/>
  <c r="F36108" i="5"/>
  <c r="F36107" i="5"/>
  <c r="F36106" i="5"/>
  <c r="F36105" i="5"/>
  <c r="F36104" i="5"/>
  <c r="F36103" i="5"/>
  <c r="F36102" i="5"/>
  <c r="F36101" i="5"/>
  <c r="F36100" i="5"/>
  <c r="F36099" i="5"/>
  <c r="F36098" i="5"/>
  <c r="F36097" i="5"/>
  <c r="F36096" i="5"/>
  <c r="F36095" i="5"/>
  <c r="F36094" i="5"/>
  <c r="F36093" i="5"/>
  <c r="F36092" i="5"/>
  <c r="F36091" i="5"/>
  <c r="F36090" i="5"/>
  <c r="F36089" i="5"/>
  <c r="F36088" i="5"/>
  <c r="F36087" i="5"/>
  <c r="F36086" i="5"/>
  <c r="F36085" i="5"/>
  <c r="F36084" i="5"/>
  <c r="F36083" i="5"/>
  <c r="F36082" i="5"/>
  <c r="F36081" i="5"/>
  <c r="F36080" i="5"/>
  <c r="F36079" i="5"/>
  <c r="F36078" i="5"/>
  <c r="F36077" i="5"/>
  <c r="F36076" i="5"/>
  <c r="F36075" i="5"/>
  <c r="F36074" i="5"/>
  <c r="F36073" i="5"/>
  <c r="F36072" i="5"/>
  <c r="F36071" i="5"/>
  <c r="F36070" i="5"/>
  <c r="F36069" i="5"/>
  <c r="F36068" i="5"/>
  <c r="F36067" i="5"/>
  <c r="F36066" i="5"/>
  <c r="F36065" i="5"/>
  <c r="F36064" i="5"/>
  <c r="F36063" i="5"/>
  <c r="F36062" i="5"/>
  <c r="F36061" i="5"/>
  <c r="F36060" i="5"/>
  <c r="F36059" i="5"/>
  <c r="F36058" i="5"/>
  <c r="F36057" i="5"/>
  <c r="F36056" i="5"/>
  <c r="F36055" i="5"/>
  <c r="F36054" i="5"/>
  <c r="F36053" i="5"/>
  <c r="F36052" i="5"/>
  <c r="F36051" i="5"/>
  <c r="F36050" i="5"/>
  <c r="F36049" i="5"/>
  <c r="F36048" i="5"/>
  <c r="F36047" i="5"/>
  <c r="F36046" i="5"/>
  <c r="F36045" i="5"/>
  <c r="F36044" i="5"/>
  <c r="F36043" i="5"/>
  <c r="F36042" i="5"/>
  <c r="F36041" i="5"/>
  <c r="F36040" i="5"/>
  <c r="F36039" i="5"/>
  <c r="F36038" i="5"/>
  <c r="F36037" i="5"/>
  <c r="F36036" i="5"/>
  <c r="F36035" i="5"/>
  <c r="F36034" i="5"/>
  <c r="F36033" i="5"/>
  <c r="F36032" i="5"/>
  <c r="F36031" i="5"/>
  <c r="F36030" i="5"/>
  <c r="F36029" i="5"/>
  <c r="F36028" i="5"/>
  <c r="F36027" i="5"/>
  <c r="F36026" i="5"/>
  <c r="F36025" i="5"/>
  <c r="F36024" i="5"/>
  <c r="F36023" i="5"/>
  <c r="F36022" i="5"/>
  <c r="F36021" i="5"/>
  <c r="F36020" i="5"/>
  <c r="F36019" i="5"/>
  <c r="F36018" i="5"/>
  <c r="F36017" i="5"/>
  <c r="F36016" i="5"/>
  <c r="F36015" i="5"/>
  <c r="F36014" i="5"/>
  <c r="F36013" i="5"/>
  <c r="F36012" i="5"/>
  <c r="F36011" i="5"/>
  <c r="F36010" i="5"/>
  <c r="F36009" i="5"/>
  <c r="F36008" i="5"/>
  <c r="F36007" i="5"/>
  <c r="F36006" i="5"/>
  <c r="F36005" i="5"/>
  <c r="F36004" i="5"/>
  <c r="F36003" i="5"/>
  <c r="F36002" i="5"/>
  <c r="F36001" i="5"/>
  <c r="F36000" i="5"/>
  <c r="F35999" i="5"/>
  <c r="F35998" i="5"/>
  <c r="F35997" i="5"/>
  <c r="F35996" i="5"/>
  <c r="F35995" i="5"/>
  <c r="F35994" i="5"/>
  <c r="F35993" i="5"/>
  <c r="F35992" i="5"/>
  <c r="F35991" i="5"/>
  <c r="F35990" i="5"/>
  <c r="F35989" i="5"/>
  <c r="F35988" i="5"/>
  <c r="F35987" i="5"/>
  <c r="F35986" i="5"/>
  <c r="F35985" i="5"/>
  <c r="F35984" i="5"/>
  <c r="F35983" i="5"/>
  <c r="F35982" i="5"/>
  <c r="F35981" i="5"/>
  <c r="F35980" i="5"/>
  <c r="F35979" i="5"/>
  <c r="F35978" i="5"/>
  <c r="F35977" i="5"/>
  <c r="F35976" i="5"/>
  <c r="F35975" i="5"/>
  <c r="F35974" i="5"/>
  <c r="F35973" i="5"/>
  <c r="F35972" i="5"/>
  <c r="F35971" i="5"/>
  <c r="F35970" i="5"/>
  <c r="F35969" i="5"/>
  <c r="F35968" i="5"/>
  <c r="F35967" i="5"/>
  <c r="F35966" i="5"/>
  <c r="F35965" i="5"/>
  <c r="F35964" i="5"/>
  <c r="F35963" i="5"/>
  <c r="F35962" i="5"/>
  <c r="F35961" i="5"/>
  <c r="F35960" i="5"/>
  <c r="F35959" i="5"/>
  <c r="F35958" i="5"/>
  <c r="F35957" i="5"/>
  <c r="F35956" i="5"/>
  <c r="F35955" i="5"/>
  <c r="F35954" i="5"/>
  <c r="F35953" i="5"/>
  <c r="F35952" i="5"/>
  <c r="F35951" i="5"/>
  <c r="F35950" i="5"/>
  <c r="F35949" i="5"/>
  <c r="F35948" i="5"/>
  <c r="F35947" i="5"/>
  <c r="F35946" i="5"/>
  <c r="F35945" i="5"/>
  <c r="F35944" i="5"/>
  <c r="F35943" i="5"/>
  <c r="F35942" i="5"/>
  <c r="F35941" i="5"/>
  <c r="F35940" i="5"/>
  <c r="F35939" i="5"/>
  <c r="F35938" i="5"/>
  <c r="F35937" i="5"/>
  <c r="F35936" i="5"/>
  <c r="F35935" i="5"/>
  <c r="F35934" i="5"/>
  <c r="F35933" i="5"/>
  <c r="F35932" i="5"/>
  <c r="F35931" i="5"/>
  <c r="F35930" i="5"/>
  <c r="F35929" i="5"/>
  <c r="F35928" i="5"/>
  <c r="F35927" i="5"/>
  <c r="F35926" i="5"/>
  <c r="F35925" i="5"/>
  <c r="F35924" i="5"/>
  <c r="F35923" i="5"/>
  <c r="F35922" i="5"/>
  <c r="F35921" i="5"/>
  <c r="F35920" i="5"/>
  <c r="F35919" i="5"/>
  <c r="F35918" i="5"/>
  <c r="F35917" i="5"/>
  <c r="F35916" i="5"/>
  <c r="F35915" i="5"/>
  <c r="F35914" i="5"/>
  <c r="F35913" i="5"/>
  <c r="F35912" i="5"/>
  <c r="F35911" i="5"/>
  <c r="F35910" i="5"/>
  <c r="F35909" i="5"/>
  <c r="F35908" i="5"/>
  <c r="F35907" i="5"/>
  <c r="F35906" i="5"/>
  <c r="F35905" i="5"/>
  <c r="F35904" i="5"/>
  <c r="F35903" i="5"/>
  <c r="F35902" i="5"/>
  <c r="F35901" i="5"/>
  <c r="F35900" i="5"/>
  <c r="F35899" i="5"/>
  <c r="F35898" i="5"/>
  <c r="F35897" i="5"/>
  <c r="F35896" i="5"/>
  <c r="F35895" i="5"/>
  <c r="F35894" i="5"/>
  <c r="F35893" i="5"/>
  <c r="F35892" i="5"/>
  <c r="F35891" i="5"/>
  <c r="F35890" i="5"/>
  <c r="F35889" i="5"/>
  <c r="F35888" i="5"/>
  <c r="F35887" i="5"/>
  <c r="F35886" i="5"/>
  <c r="F35885" i="5"/>
  <c r="F35884" i="5"/>
  <c r="F35883" i="5"/>
  <c r="F35882" i="5"/>
  <c r="F35881" i="5"/>
  <c r="F35880" i="5"/>
  <c r="F35879" i="5"/>
  <c r="F35878" i="5"/>
  <c r="F35877" i="5"/>
  <c r="F35876" i="5"/>
  <c r="F35875" i="5"/>
  <c r="F35874" i="5"/>
  <c r="F35873" i="5"/>
  <c r="F35872" i="5"/>
  <c r="F35871" i="5"/>
  <c r="F35870" i="5"/>
  <c r="F35869" i="5"/>
  <c r="F35868" i="5"/>
  <c r="F35867" i="5"/>
  <c r="F35866" i="5"/>
  <c r="F35865" i="5"/>
  <c r="F35864" i="5"/>
  <c r="F35863" i="5"/>
  <c r="F35862" i="5"/>
  <c r="F35861" i="5"/>
  <c r="F35860" i="5"/>
  <c r="F35859" i="5"/>
  <c r="F35858" i="5"/>
  <c r="F35857" i="5"/>
  <c r="F35856" i="5"/>
  <c r="F35855" i="5"/>
  <c r="F35854" i="5"/>
  <c r="F35853" i="5"/>
  <c r="F35852" i="5"/>
  <c r="F35851" i="5"/>
  <c r="F35850" i="5"/>
  <c r="F35849" i="5"/>
  <c r="F35848" i="5"/>
  <c r="F35847" i="5"/>
  <c r="F35846" i="5"/>
  <c r="F35845" i="5"/>
  <c r="F35844" i="5"/>
  <c r="F35843" i="5"/>
  <c r="F35842" i="5"/>
  <c r="F35841" i="5"/>
  <c r="F35840" i="5"/>
  <c r="F35839" i="5"/>
  <c r="F35838" i="5"/>
  <c r="F35837" i="5"/>
  <c r="F35836" i="5"/>
  <c r="F35835" i="5"/>
  <c r="F35834" i="5"/>
  <c r="F35833" i="5"/>
  <c r="F35832" i="5"/>
  <c r="F35831" i="5"/>
  <c r="F35830" i="5"/>
  <c r="F35829" i="5"/>
  <c r="F35828" i="5"/>
  <c r="F35827" i="5"/>
  <c r="F35826" i="5"/>
  <c r="F35825" i="5"/>
  <c r="F35824" i="5"/>
  <c r="F35823" i="5"/>
  <c r="F35822" i="5"/>
  <c r="F35821" i="5"/>
  <c r="F35820" i="5"/>
  <c r="F35819" i="5"/>
  <c r="F35818" i="5"/>
  <c r="F35817" i="5"/>
  <c r="F35816" i="5"/>
  <c r="F35815" i="5"/>
  <c r="F35814" i="5"/>
  <c r="F35813" i="5"/>
  <c r="F35812" i="5"/>
  <c r="F35811" i="5"/>
  <c r="F35810" i="5"/>
  <c r="F35809" i="5"/>
  <c r="F35808" i="5"/>
  <c r="F35807" i="5"/>
  <c r="F35806" i="5"/>
  <c r="F35805" i="5"/>
  <c r="F35804" i="5"/>
  <c r="F35803" i="5"/>
  <c r="F35802" i="5"/>
  <c r="F35801" i="5"/>
  <c r="F35800" i="5"/>
  <c r="F35799" i="5"/>
  <c r="F35798" i="5"/>
  <c r="F35797" i="5"/>
  <c r="F35796" i="5"/>
  <c r="F35795" i="5"/>
  <c r="F35794" i="5"/>
  <c r="F35793" i="5"/>
  <c r="F35792" i="5"/>
  <c r="F35791" i="5"/>
  <c r="F35790" i="5"/>
  <c r="F35789" i="5"/>
  <c r="F35788" i="5"/>
  <c r="F35787" i="5"/>
  <c r="F35786" i="5"/>
  <c r="F35785" i="5"/>
  <c r="F35784" i="5"/>
  <c r="F35783" i="5"/>
  <c r="F35782" i="5"/>
  <c r="F35781" i="5"/>
  <c r="F35780" i="5"/>
  <c r="F35779" i="5"/>
  <c r="F35778" i="5"/>
  <c r="F35777" i="5"/>
  <c r="F35776" i="5"/>
  <c r="F35775" i="5"/>
  <c r="F35774" i="5"/>
  <c r="F35773" i="5"/>
  <c r="F35772" i="5"/>
  <c r="F35771" i="5"/>
  <c r="F35770" i="5"/>
  <c r="F35769" i="5"/>
  <c r="F35768" i="5"/>
  <c r="F35767" i="5"/>
  <c r="F35766" i="5"/>
  <c r="F35765" i="5"/>
  <c r="F35764" i="5"/>
  <c r="F35763" i="5"/>
  <c r="F35762" i="5"/>
  <c r="F35761" i="5"/>
  <c r="F35760" i="5"/>
  <c r="F35759" i="5"/>
  <c r="F35758" i="5"/>
  <c r="F35757" i="5"/>
  <c r="F35756" i="5"/>
  <c r="F35755" i="5"/>
  <c r="F35754" i="5"/>
  <c r="F35753" i="5"/>
  <c r="F35752" i="5"/>
  <c r="F35751" i="5"/>
  <c r="F35750" i="5"/>
  <c r="F35749" i="5"/>
  <c r="F35748" i="5"/>
  <c r="F35747" i="5"/>
  <c r="F35746" i="5"/>
  <c r="F35745" i="5"/>
  <c r="F35744" i="5"/>
  <c r="F35743" i="5"/>
  <c r="F35742" i="5"/>
  <c r="F35741" i="5"/>
  <c r="F35740" i="5"/>
  <c r="F35739" i="5"/>
  <c r="F35738" i="5"/>
  <c r="F35737" i="5"/>
  <c r="F35736" i="5"/>
  <c r="F35735" i="5"/>
  <c r="F35734" i="5"/>
  <c r="F35733" i="5"/>
  <c r="F35732" i="5"/>
  <c r="F35731" i="5"/>
  <c r="F35730" i="5"/>
  <c r="F35729" i="5"/>
  <c r="F35728" i="5"/>
  <c r="F35727" i="5"/>
  <c r="F35726" i="5"/>
  <c r="F35725" i="5"/>
  <c r="F35724" i="5"/>
  <c r="F35723" i="5"/>
  <c r="F35722" i="5"/>
  <c r="F35721" i="5"/>
  <c r="F35720" i="5"/>
  <c r="F35719" i="5"/>
  <c r="F35718" i="5"/>
  <c r="F35717" i="5"/>
  <c r="F35716" i="5"/>
  <c r="F35715" i="5"/>
  <c r="F35714" i="5"/>
  <c r="F35713" i="5"/>
  <c r="F35712" i="5"/>
  <c r="F35711" i="5"/>
  <c r="F35710" i="5"/>
  <c r="F35709" i="5"/>
  <c r="F35708" i="5"/>
  <c r="F35707" i="5"/>
  <c r="F35706" i="5"/>
  <c r="F35705" i="5"/>
  <c r="F35704" i="5"/>
  <c r="F35703" i="5"/>
  <c r="F35702" i="5"/>
  <c r="F35701" i="5"/>
  <c r="F35700" i="5"/>
  <c r="F35699" i="5"/>
  <c r="F35698" i="5"/>
  <c r="F35697" i="5"/>
  <c r="F35696" i="5"/>
  <c r="F35695" i="5"/>
  <c r="F35694" i="5"/>
  <c r="F35693" i="5"/>
  <c r="F35692" i="5"/>
  <c r="F35691" i="5"/>
  <c r="F35690" i="5"/>
  <c r="F35689" i="5"/>
  <c r="F35688" i="5"/>
  <c r="F35687" i="5"/>
  <c r="F35686" i="5"/>
  <c r="F35685" i="5"/>
  <c r="F35684" i="5"/>
  <c r="F35683" i="5"/>
  <c r="F35682" i="5"/>
  <c r="F35681" i="5"/>
  <c r="F35680" i="5"/>
  <c r="F35679" i="5"/>
  <c r="F35678" i="5"/>
  <c r="F35677" i="5"/>
  <c r="F35676" i="5"/>
  <c r="F35675" i="5"/>
  <c r="F35674" i="5"/>
  <c r="F35673" i="5"/>
  <c r="F35672" i="5"/>
  <c r="F35671" i="5"/>
  <c r="F35670" i="5"/>
  <c r="F35669" i="5"/>
  <c r="F35668" i="5"/>
  <c r="F35667" i="5"/>
  <c r="F35666" i="5"/>
  <c r="F35665" i="5"/>
  <c r="F35664" i="5"/>
  <c r="F35663" i="5"/>
  <c r="F35662" i="5"/>
  <c r="F35661" i="5"/>
  <c r="F35660" i="5"/>
  <c r="F35659" i="5"/>
  <c r="F35658" i="5"/>
  <c r="F35657" i="5"/>
  <c r="F35656" i="5"/>
  <c r="F35655" i="5"/>
  <c r="F35654" i="5"/>
  <c r="F35653" i="5"/>
  <c r="F35652" i="5"/>
  <c r="F35651" i="5"/>
  <c r="F35650" i="5"/>
  <c r="F35649" i="5"/>
  <c r="F35648" i="5"/>
  <c r="F35647" i="5"/>
  <c r="F35646" i="5"/>
  <c r="F35645" i="5"/>
  <c r="F35644" i="5"/>
  <c r="F35643" i="5"/>
  <c r="F35642" i="5"/>
  <c r="F35641" i="5"/>
  <c r="F35640" i="5"/>
  <c r="F35639" i="5"/>
  <c r="F35638" i="5"/>
  <c r="F35637" i="5"/>
  <c r="F35636" i="5"/>
  <c r="F35635" i="5"/>
  <c r="F35634" i="5"/>
  <c r="F35633" i="5"/>
  <c r="F35632" i="5"/>
  <c r="F35631" i="5"/>
  <c r="F35630" i="5"/>
  <c r="F35629" i="5"/>
  <c r="F35628" i="5"/>
  <c r="F35627" i="5"/>
  <c r="F35626" i="5"/>
  <c r="F35625" i="5"/>
  <c r="F35624" i="5"/>
  <c r="F35623" i="5"/>
  <c r="F35622" i="5"/>
  <c r="F35621" i="5"/>
  <c r="F35620" i="5"/>
  <c r="F35619" i="5"/>
  <c r="F35618" i="5"/>
  <c r="F35617" i="5"/>
  <c r="F35616" i="5"/>
  <c r="F35615" i="5"/>
  <c r="F35614" i="5"/>
  <c r="F35613" i="5"/>
  <c r="F35612" i="5"/>
  <c r="F35611" i="5"/>
  <c r="F35610" i="5"/>
  <c r="F35609" i="5"/>
  <c r="F35608" i="5"/>
  <c r="F35607" i="5"/>
  <c r="F35606" i="5"/>
  <c r="F35605" i="5"/>
  <c r="F35604" i="5"/>
  <c r="F35603" i="5"/>
  <c r="F35602" i="5"/>
  <c r="F35601" i="5"/>
  <c r="F35600" i="5"/>
  <c r="F35599" i="5"/>
  <c r="F35598" i="5"/>
  <c r="F35597" i="5"/>
  <c r="F35596" i="5"/>
  <c r="F35595" i="5"/>
  <c r="F35594" i="5"/>
  <c r="F35593" i="5"/>
  <c r="F35592" i="5"/>
  <c r="F35591" i="5"/>
  <c r="F35590" i="5"/>
  <c r="F35589" i="5"/>
  <c r="F35588" i="5"/>
  <c r="F35587" i="5"/>
  <c r="F35586" i="5"/>
  <c r="F35585" i="5"/>
  <c r="F35584" i="5"/>
  <c r="F35583" i="5"/>
  <c r="F35582" i="5"/>
  <c r="F35581" i="5"/>
  <c r="F35580" i="5"/>
  <c r="F35579" i="5"/>
  <c r="F35578" i="5"/>
  <c r="F35577" i="5"/>
  <c r="F35576" i="5"/>
  <c r="F35575" i="5"/>
  <c r="F35574" i="5"/>
  <c r="F35573" i="5"/>
  <c r="F35572" i="5"/>
  <c r="F35571" i="5"/>
  <c r="F35570" i="5"/>
  <c r="F35569" i="5"/>
  <c r="F35568" i="5"/>
  <c r="F35567" i="5"/>
  <c r="F35566" i="5"/>
  <c r="F35565" i="5"/>
  <c r="F35564" i="5"/>
  <c r="F35563" i="5"/>
  <c r="F35562" i="5"/>
  <c r="F35561" i="5"/>
  <c r="F35560" i="5"/>
  <c r="F35559" i="5"/>
  <c r="F35558" i="5"/>
  <c r="F35557" i="5"/>
  <c r="F35556" i="5"/>
  <c r="F35555" i="5"/>
  <c r="F35554" i="5"/>
  <c r="F35553" i="5"/>
  <c r="F35552" i="5"/>
  <c r="F35551" i="5"/>
  <c r="F35550" i="5"/>
  <c r="F35549" i="5"/>
  <c r="F35548" i="5"/>
  <c r="F35547" i="5"/>
  <c r="F35546" i="5"/>
  <c r="F35545" i="5"/>
  <c r="F35544" i="5"/>
  <c r="F35543" i="5"/>
  <c r="F35542" i="5"/>
  <c r="F35541" i="5"/>
  <c r="F35540" i="5"/>
  <c r="F35539" i="5"/>
  <c r="F35538" i="5"/>
  <c r="F35537" i="5"/>
  <c r="F35536" i="5"/>
  <c r="F35535" i="5"/>
  <c r="F35534" i="5"/>
  <c r="F35533" i="5"/>
  <c r="F35532" i="5"/>
  <c r="F35531" i="5"/>
  <c r="F35530" i="5"/>
  <c r="F35529" i="5"/>
  <c r="F35528" i="5"/>
  <c r="F35527" i="5"/>
  <c r="F35526" i="5"/>
  <c r="F35525" i="5"/>
  <c r="F35524" i="5"/>
  <c r="F35523" i="5"/>
  <c r="F35522" i="5"/>
  <c r="F35521" i="5"/>
  <c r="F35520" i="5"/>
  <c r="F35519" i="5"/>
  <c r="F35518" i="5"/>
  <c r="F35517" i="5"/>
  <c r="F35516" i="5"/>
  <c r="F35515" i="5"/>
  <c r="F35514" i="5"/>
  <c r="F35513" i="5"/>
  <c r="F35512" i="5"/>
  <c r="F35511" i="5"/>
  <c r="F35510" i="5"/>
  <c r="F35509" i="5"/>
  <c r="F35508" i="5"/>
  <c r="F35507" i="5"/>
  <c r="F35506" i="5"/>
  <c r="F35505" i="5"/>
  <c r="F35504" i="5"/>
  <c r="F35503" i="5"/>
  <c r="F35502" i="5"/>
  <c r="F35501" i="5"/>
  <c r="F35500" i="5"/>
  <c r="F35499" i="5"/>
  <c r="F35498" i="5"/>
  <c r="F35497" i="5"/>
  <c r="F35496" i="5"/>
  <c r="F35495" i="5"/>
  <c r="F35494" i="5"/>
  <c r="F35493" i="5"/>
  <c r="F35492" i="5"/>
  <c r="F35491" i="5"/>
  <c r="F35490" i="5"/>
  <c r="F35489" i="5"/>
  <c r="F35488" i="5"/>
  <c r="F35487" i="5"/>
  <c r="F35486" i="5"/>
  <c r="F35485" i="5"/>
  <c r="F35484" i="5"/>
  <c r="F35483" i="5"/>
  <c r="F35482" i="5"/>
  <c r="F35481" i="5"/>
  <c r="F35480" i="5"/>
  <c r="F35479" i="5"/>
  <c r="F35478" i="5"/>
  <c r="F35477" i="5"/>
  <c r="F35476" i="5"/>
  <c r="F35475" i="5"/>
  <c r="F35474" i="5"/>
  <c r="F35473" i="5"/>
  <c r="F35472" i="5"/>
  <c r="F35471" i="5"/>
  <c r="F35470" i="5"/>
  <c r="F35469" i="5"/>
  <c r="F35468" i="5"/>
  <c r="F35467" i="5"/>
  <c r="F35466" i="5"/>
  <c r="F35465" i="5"/>
  <c r="F35464" i="5"/>
  <c r="F35463" i="5"/>
  <c r="F35462" i="5"/>
  <c r="F35461" i="5"/>
  <c r="F35460" i="5"/>
  <c r="F35459" i="5"/>
  <c r="F35458" i="5"/>
  <c r="F35457" i="5"/>
  <c r="F35456" i="5"/>
  <c r="F35455" i="5"/>
  <c r="F35454" i="5"/>
  <c r="F35453" i="5"/>
  <c r="F35452" i="5"/>
  <c r="F35451" i="5"/>
  <c r="F35450" i="5"/>
  <c r="F35449" i="5"/>
  <c r="F35448" i="5"/>
  <c r="F35447" i="5"/>
  <c r="F35446" i="5"/>
  <c r="F35445" i="5"/>
  <c r="F35444" i="5"/>
  <c r="F35443" i="5"/>
  <c r="F35442" i="5"/>
  <c r="F35441" i="5"/>
  <c r="F35440" i="5"/>
  <c r="F35439" i="5"/>
  <c r="F35438" i="5"/>
  <c r="F35437" i="5"/>
  <c r="F35436" i="5"/>
  <c r="F35435" i="5"/>
  <c r="F35434" i="5"/>
  <c r="F35433" i="5"/>
  <c r="F35432" i="5"/>
  <c r="F35431" i="5"/>
  <c r="F35430" i="5"/>
  <c r="F35429" i="5"/>
  <c r="F35428" i="5"/>
  <c r="F35427" i="5"/>
  <c r="F35426" i="5"/>
  <c r="F35425" i="5"/>
  <c r="F35424" i="5"/>
  <c r="F35423" i="5"/>
  <c r="F35422" i="5"/>
  <c r="F35421" i="5"/>
  <c r="F35420" i="5"/>
  <c r="F35419" i="5"/>
  <c r="F35418" i="5"/>
  <c r="F35417" i="5"/>
  <c r="F35416" i="5"/>
  <c r="F35415" i="5"/>
  <c r="F35414" i="5"/>
  <c r="F35413" i="5"/>
  <c r="F35412" i="5"/>
  <c r="F35411" i="5"/>
  <c r="F35410" i="5"/>
  <c r="F35409" i="5"/>
  <c r="F35408" i="5"/>
  <c r="F35407" i="5"/>
  <c r="F35406" i="5"/>
  <c r="F35405" i="5"/>
  <c r="F35404" i="5"/>
  <c r="F35403" i="5"/>
  <c r="F35402" i="5"/>
  <c r="F35401" i="5"/>
  <c r="F35400" i="5"/>
  <c r="F35399" i="5"/>
  <c r="F35398" i="5"/>
  <c r="F35397" i="5"/>
  <c r="F35396" i="5"/>
  <c r="F35395" i="5"/>
  <c r="F35394" i="5"/>
  <c r="F35393" i="5"/>
  <c r="F35392" i="5"/>
  <c r="F35391" i="5"/>
  <c r="F35390" i="5"/>
  <c r="F35389" i="5"/>
  <c r="F35388" i="5"/>
  <c r="F35387" i="5"/>
  <c r="F35386" i="5"/>
  <c r="F35385" i="5"/>
  <c r="F35384" i="5"/>
  <c r="F35383" i="5"/>
  <c r="F35382" i="5"/>
  <c r="F35381" i="5"/>
  <c r="F35380" i="5"/>
  <c r="F35379" i="5"/>
  <c r="F35378" i="5"/>
  <c r="F35377" i="5"/>
  <c r="F35376" i="5"/>
  <c r="F35375" i="5"/>
  <c r="F35374" i="5"/>
  <c r="F35373" i="5"/>
  <c r="F35372" i="5"/>
  <c r="F35371" i="5"/>
  <c r="F35370" i="5"/>
  <c r="F35369" i="5"/>
  <c r="F35368" i="5"/>
  <c r="F35367" i="5"/>
  <c r="F35366" i="5"/>
  <c r="F35365" i="5"/>
  <c r="F35364" i="5"/>
  <c r="F35363" i="5"/>
  <c r="F35362" i="5"/>
  <c r="F35361" i="5"/>
  <c r="F35360" i="5"/>
  <c r="F35359" i="5"/>
  <c r="F35358" i="5"/>
  <c r="F35357" i="5"/>
  <c r="F35356" i="5"/>
  <c r="F35355" i="5"/>
  <c r="F35354" i="5"/>
  <c r="F35353" i="5"/>
  <c r="F35352" i="5"/>
  <c r="F35351" i="5"/>
  <c r="F35350" i="5"/>
  <c r="F35349" i="5"/>
  <c r="F35348" i="5"/>
  <c r="F35347" i="5"/>
  <c r="F35346" i="5"/>
  <c r="F35345" i="5"/>
  <c r="F35344" i="5"/>
  <c r="F35343" i="5"/>
  <c r="F35342" i="5"/>
  <c r="F35341" i="5"/>
  <c r="F35340" i="5"/>
  <c r="F35339" i="5"/>
  <c r="F35338" i="5"/>
  <c r="F35337" i="5"/>
  <c r="F35336" i="5"/>
  <c r="F35335" i="5"/>
  <c r="F35334" i="5"/>
  <c r="F35333" i="5"/>
  <c r="F35332" i="5"/>
  <c r="F35331" i="5"/>
  <c r="F35330" i="5"/>
  <c r="F35329" i="5"/>
  <c r="F35328" i="5"/>
  <c r="F35327" i="5"/>
  <c r="F35326" i="5"/>
  <c r="F35325" i="5"/>
  <c r="F35324" i="5"/>
  <c r="F35323" i="5"/>
  <c r="F35322" i="5"/>
  <c r="F35321" i="5"/>
  <c r="F35320" i="5"/>
  <c r="F35319" i="5"/>
  <c r="F35318" i="5"/>
  <c r="F35317" i="5"/>
  <c r="F35316" i="5"/>
  <c r="F35315" i="5"/>
  <c r="F35314" i="5"/>
  <c r="F35313" i="5"/>
  <c r="F35312" i="5"/>
  <c r="F35311" i="5"/>
  <c r="F35310" i="5"/>
  <c r="F35309" i="5"/>
  <c r="F35308" i="5"/>
  <c r="F35307" i="5"/>
  <c r="F35306" i="5"/>
  <c r="F35305" i="5"/>
  <c r="F35304" i="5"/>
  <c r="F35303" i="5"/>
  <c r="F35302" i="5"/>
  <c r="F35301" i="5"/>
  <c r="F35300" i="5"/>
  <c r="F35299" i="5"/>
  <c r="F35298" i="5"/>
  <c r="F35297" i="5"/>
  <c r="F35296" i="5"/>
  <c r="F35295" i="5"/>
  <c r="F35294" i="5"/>
  <c r="F35293" i="5"/>
  <c r="F35292" i="5"/>
  <c r="F35291" i="5"/>
  <c r="F35290" i="5"/>
  <c r="F35289" i="5"/>
  <c r="F35288" i="5"/>
  <c r="F35287" i="5"/>
  <c r="F35286" i="5"/>
  <c r="F35285" i="5"/>
  <c r="F35284" i="5"/>
  <c r="F35283" i="5"/>
  <c r="F35282" i="5"/>
  <c r="F35281" i="5"/>
  <c r="F35280" i="5"/>
  <c r="F35279" i="5"/>
  <c r="F35278" i="5"/>
  <c r="F35277" i="5"/>
  <c r="F35276" i="5"/>
  <c r="F35275" i="5"/>
  <c r="F35274" i="5"/>
  <c r="F35273" i="5"/>
  <c r="F35272" i="5"/>
  <c r="F35271" i="5"/>
  <c r="F35270" i="5"/>
  <c r="F35269" i="5"/>
  <c r="F35268" i="5"/>
  <c r="F35267" i="5"/>
  <c r="F35266" i="5"/>
  <c r="F35265" i="5"/>
  <c r="F35264" i="5"/>
  <c r="F35263" i="5"/>
  <c r="F35262" i="5"/>
  <c r="F35261" i="5"/>
  <c r="F35260" i="5"/>
  <c r="F35259" i="5"/>
  <c r="F35258" i="5"/>
  <c r="F35257" i="5"/>
  <c r="F35256" i="5"/>
  <c r="F35255" i="5"/>
  <c r="F35254" i="5"/>
  <c r="F35253" i="5"/>
  <c r="F35252" i="5"/>
  <c r="F35251" i="5"/>
  <c r="F35250" i="5"/>
  <c r="F35249" i="5"/>
  <c r="F35248" i="5"/>
  <c r="F35247" i="5"/>
  <c r="F35246" i="5"/>
  <c r="F35245" i="5"/>
  <c r="F35244" i="5"/>
  <c r="F35243" i="5"/>
  <c r="F35242" i="5"/>
  <c r="F35241" i="5"/>
  <c r="F35240" i="5"/>
  <c r="F35239" i="5"/>
  <c r="F35238" i="5"/>
  <c r="F35237" i="5"/>
  <c r="F35236" i="5"/>
  <c r="F35235" i="5"/>
  <c r="F35234" i="5"/>
  <c r="F35233" i="5"/>
  <c r="F35232" i="5"/>
  <c r="F35231" i="5"/>
  <c r="F35230" i="5"/>
  <c r="F35229" i="5"/>
  <c r="F35228" i="5"/>
  <c r="F35227" i="5"/>
  <c r="F35226" i="5"/>
  <c r="F35225" i="5"/>
  <c r="F35224" i="5"/>
  <c r="F35223" i="5"/>
  <c r="F35222" i="5"/>
  <c r="F35221" i="5"/>
  <c r="F35220" i="5"/>
  <c r="F35219" i="5"/>
  <c r="F35218" i="5"/>
  <c r="F35217" i="5"/>
  <c r="F35216" i="5"/>
  <c r="F35215" i="5"/>
  <c r="F35214" i="5"/>
  <c r="F35213" i="5"/>
  <c r="F35212" i="5"/>
  <c r="F35211" i="5"/>
  <c r="F35210" i="5"/>
  <c r="F35209" i="5"/>
  <c r="F35208" i="5"/>
  <c r="F35207" i="5"/>
  <c r="F35206" i="5"/>
  <c r="F35205" i="5"/>
  <c r="F35204" i="5"/>
  <c r="F35203" i="5"/>
  <c r="F35202" i="5"/>
  <c r="F35201" i="5"/>
  <c r="F35200" i="5"/>
  <c r="F35199" i="5"/>
  <c r="F35198" i="5"/>
  <c r="F35197" i="5"/>
  <c r="F35196" i="5"/>
  <c r="F35195" i="5"/>
  <c r="F35194" i="5"/>
  <c r="F35193" i="5"/>
  <c r="F35192" i="5"/>
  <c r="F35191" i="5"/>
  <c r="F35190" i="5"/>
  <c r="F35189" i="5"/>
  <c r="F35188" i="5"/>
  <c r="F35187" i="5"/>
  <c r="F35186" i="5"/>
  <c r="F35185" i="5"/>
  <c r="F35184" i="5"/>
  <c r="F35183" i="5"/>
  <c r="F35182" i="5"/>
  <c r="F35181" i="5"/>
  <c r="F35180" i="5"/>
  <c r="F35179" i="5"/>
  <c r="F35178" i="5"/>
  <c r="F35177" i="5"/>
  <c r="F35176" i="5"/>
  <c r="F35175" i="5"/>
  <c r="F35174" i="5"/>
  <c r="F35173" i="5"/>
  <c r="F35172" i="5"/>
  <c r="F35171" i="5"/>
  <c r="F35170" i="5"/>
  <c r="F35169" i="5"/>
  <c r="F35168" i="5"/>
  <c r="F35167" i="5"/>
  <c r="F35166" i="5"/>
  <c r="F35165" i="5"/>
  <c r="F35164" i="5"/>
  <c r="F35163" i="5"/>
  <c r="F35162" i="5"/>
  <c r="F35161" i="5"/>
  <c r="F35160" i="5"/>
  <c r="F35159" i="5"/>
  <c r="F35158" i="5"/>
  <c r="F35157" i="5"/>
  <c r="F35156" i="5"/>
  <c r="F35155" i="5"/>
  <c r="F35154" i="5"/>
  <c r="F35153" i="5"/>
  <c r="F35152" i="5"/>
  <c r="F35151" i="5"/>
  <c r="F35150" i="5"/>
  <c r="F35149" i="5"/>
  <c r="F35148" i="5"/>
  <c r="F35147" i="5"/>
  <c r="F35146" i="5"/>
  <c r="F35145" i="5"/>
  <c r="F35144" i="5"/>
  <c r="F35143" i="5"/>
  <c r="F35142" i="5"/>
  <c r="F35141" i="5"/>
  <c r="F35140" i="5"/>
  <c r="F35139" i="5"/>
  <c r="F35138" i="5"/>
  <c r="F35137" i="5"/>
  <c r="F35136" i="5"/>
  <c r="F35135" i="5"/>
  <c r="F35134" i="5"/>
  <c r="F35133" i="5"/>
  <c r="F35132" i="5"/>
  <c r="F35131" i="5"/>
  <c r="F35130" i="5"/>
  <c r="F35129" i="5"/>
  <c r="F35128" i="5"/>
  <c r="F35127" i="5"/>
  <c r="F35126" i="5"/>
  <c r="F35125" i="5"/>
  <c r="F35124" i="5"/>
  <c r="F35123" i="5"/>
  <c r="F35122" i="5"/>
  <c r="F35121" i="5"/>
  <c r="F35120" i="5"/>
  <c r="F35119" i="5"/>
  <c r="F35118" i="5"/>
  <c r="F35117" i="5"/>
  <c r="F35116" i="5"/>
  <c r="F35115" i="5"/>
  <c r="F35114" i="5"/>
  <c r="F35113" i="5"/>
  <c r="F35112" i="5"/>
  <c r="F35111" i="5"/>
  <c r="F35110" i="5"/>
  <c r="F35109" i="5"/>
  <c r="F35108" i="5"/>
  <c r="F35107" i="5"/>
  <c r="F35106" i="5"/>
  <c r="F35105" i="5"/>
  <c r="F35104" i="5"/>
  <c r="F35103" i="5"/>
  <c r="F35102" i="5"/>
  <c r="F35101" i="5"/>
  <c r="F35100" i="5"/>
  <c r="F35099" i="5"/>
  <c r="F35098" i="5"/>
  <c r="F35097" i="5"/>
  <c r="F35096" i="5"/>
  <c r="F35095" i="5"/>
  <c r="F35094" i="5"/>
  <c r="F35093" i="5"/>
  <c r="F35092" i="5"/>
  <c r="F35091" i="5"/>
  <c r="F35090" i="5"/>
  <c r="F35089" i="5"/>
  <c r="F35088" i="5"/>
  <c r="F35087" i="5"/>
  <c r="F35086" i="5"/>
  <c r="F35085" i="5"/>
  <c r="F35084" i="5"/>
  <c r="F35083" i="5"/>
  <c r="F35082" i="5"/>
  <c r="F35081" i="5"/>
  <c r="F35080" i="5"/>
  <c r="F35079" i="5"/>
  <c r="F35078" i="5"/>
  <c r="F35077" i="5"/>
  <c r="F35076" i="5"/>
  <c r="F35075" i="5"/>
  <c r="F35074" i="5"/>
  <c r="F35073" i="5"/>
  <c r="F35072" i="5"/>
  <c r="F35071" i="5"/>
  <c r="F35070" i="5"/>
  <c r="F35069" i="5"/>
  <c r="F35068" i="5"/>
  <c r="F35067" i="5"/>
  <c r="F35066" i="5"/>
  <c r="F35065" i="5"/>
  <c r="F35064" i="5"/>
  <c r="F35063" i="5"/>
  <c r="F35062" i="5"/>
  <c r="F35061" i="5"/>
  <c r="F35060" i="5"/>
  <c r="F35059" i="5"/>
  <c r="F35058" i="5"/>
  <c r="F35057" i="5"/>
  <c r="F35056" i="5"/>
  <c r="F35055" i="5"/>
  <c r="F35054" i="5"/>
  <c r="F35053" i="5"/>
  <c r="F35052" i="5"/>
  <c r="F35051" i="5"/>
  <c r="F35050" i="5"/>
  <c r="F35049" i="5"/>
  <c r="F35048" i="5"/>
  <c r="F35047" i="5"/>
  <c r="F35046" i="5"/>
  <c r="F35045" i="5"/>
  <c r="F35044" i="5"/>
  <c r="F35043" i="5"/>
  <c r="F35042" i="5"/>
  <c r="F35041" i="5"/>
  <c r="F35040" i="5"/>
  <c r="F35039" i="5"/>
  <c r="F35038" i="5"/>
  <c r="F35037" i="5"/>
  <c r="F35036" i="5"/>
  <c r="F35035" i="5"/>
  <c r="F35034" i="5"/>
  <c r="F35033" i="5"/>
  <c r="F35032" i="5"/>
  <c r="F35031" i="5"/>
  <c r="F35030" i="5"/>
  <c r="F35029" i="5"/>
  <c r="F35028" i="5"/>
  <c r="F35027" i="5"/>
  <c r="F35026" i="5"/>
  <c r="F35025" i="5"/>
  <c r="F35024" i="5"/>
  <c r="F35023" i="5"/>
  <c r="F35022" i="5"/>
  <c r="F35021" i="5"/>
  <c r="F35020" i="5"/>
  <c r="F35019" i="5"/>
  <c r="F35018" i="5"/>
  <c r="F35017" i="5"/>
  <c r="F35016" i="5"/>
  <c r="F35015" i="5"/>
  <c r="F35014" i="5"/>
  <c r="F35013" i="5"/>
  <c r="F35012" i="5"/>
  <c r="F35011" i="5"/>
  <c r="F35010" i="5"/>
  <c r="F35009" i="5"/>
  <c r="F35008" i="5"/>
  <c r="F35007" i="5"/>
  <c r="F35006" i="5"/>
  <c r="F35005" i="5"/>
  <c r="F35004" i="5"/>
  <c r="F35003" i="5"/>
  <c r="F35002" i="5"/>
  <c r="F35001" i="5"/>
  <c r="F35000" i="5"/>
  <c r="F34999" i="5"/>
  <c r="F34998" i="5"/>
  <c r="F34997" i="5"/>
  <c r="F34996" i="5"/>
  <c r="F34995" i="5"/>
  <c r="F34994" i="5"/>
  <c r="F34993" i="5"/>
  <c r="F34992" i="5"/>
  <c r="F34991" i="5"/>
  <c r="F34990" i="5"/>
  <c r="F34989" i="5"/>
  <c r="F34988" i="5"/>
  <c r="F34987" i="5"/>
  <c r="F34986" i="5"/>
  <c r="F34985" i="5"/>
  <c r="F34984" i="5"/>
  <c r="F34983" i="5"/>
  <c r="F34982" i="5"/>
  <c r="F34981" i="5"/>
  <c r="F34980" i="5"/>
  <c r="F34979" i="5"/>
  <c r="F34978" i="5"/>
  <c r="F34977" i="5"/>
  <c r="F34976" i="5"/>
  <c r="F34975" i="5"/>
  <c r="F34974" i="5"/>
  <c r="F34973" i="5"/>
  <c r="F34972" i="5"/>
  <c r="F34971" i="5"/>
  <c r="F34970" i="5"/>
  <c r="F34969" i="5"/>
  <c r="F34968" i="5"/>
  <c r="F34967" i="5"/>
  <c r="F34966" i="5"/>
  <c r="F34965" i="5"/>
  <c r="F34964" i="5"/>
  <c r="F34963" i="5"/>
  <c r="F34962" i="5"/>
  <c r="F34961" i="5"/>
  <c r="F34960" i="5"/>
  <c r="F34959" i="5"/>
  <c r="F34958" i="5"/>
  <c r="F34957" i="5"/>
  <c r="F34956" i="5"/>
  <c r="F34955" i="5"/>
  <c r="F34954" i="5"/>
  <c r="F34953" i="5"/>
  <c r="F34952" i="5"/>
  <c r="F34951" i="5"/>
  <c r="F34950" i="5"/>
  <c r="F34949" i="5"/>
  <c r="F34948" i="5"/>
  <c r="F34947" i="5"/>
  <c r="F34946" i="5"/>
  <c r="F34945" i="5"/>
  <c r="F34944" i="5"/>
  <c r="F34943" i="5"/>
  <c r="F34942" i="5"/>
  <c r="F34941" i="5"/>
  <c r="F34940" i="5"/>
  <c r="F34939" i="5"/>
  <c r="F34938" i="5"/>
  <c r="F34937" i="5"/>
  <c r="F34936" i="5"/>
  <c r="F34935" i="5"/>
  <c r="F34934" i="5"/>
  <c r="F34933" i="5"/>
  <c r="F34932" i="5"/>
  <c r="F34931" i="5"/>
  <c r="F34930" i="5"/>
  <c r="F34929" i="5"/>
  <c r="F34928" i="5"/>
  <c r="F34927" i="5"/>
  <c r="F34926" i="5"/>
  <c r="F34925" i="5"/>
  <c r="F34924" i="5"/>
  <c r="F34923" i="5"/>
  <c r="F34922" i="5"/>
  <c r="F34921" i="5"/>
  <c r="F34920" i="5"/>
  <c r="F34919" i="5"/>
  <c r="F34918" i="5"/>
  <c r="F34917" i="5"/>
  <c r="F34916" i="5"/>
  <c r="F34915" i="5"/>
  <c r="F34914" i="5"/>
  <c r="F34913" i="5"/>
  <c r="F34912" i="5"/>
  <c r="F34911" i="5"/>
  <c r="F34910" i="5"/>
  <c r="F34909" i="5"/>
  <c r="F34908" i="5"/>
  <c r="F34907" i="5"/>
  <c r="F34906" i="5"/>
  <c r="F34905" i="5"/>
  <c r="F34904" i="5"/>
  <c r="F34903" i="5"/>
  <c r="F34902" i="5"/>
  <c r="F34901" i="5"/>
  <c r="F34900" i="5"/>
  <c r="F34899" i="5"/>
  <c r="F34898" i="5"/>
  <c r="F34897" i="5"/>
  <c r="F34896" i="5"/>
  <c r="F34895" i="5"/>
  <c r="F34894" i="5"/>
  <c r="F34893" i="5"/>
  <c r="F34892" i="5"/>
  <c r="F34891" i="5"/>
  <c r="F34890" i="5"/>
  <c r="F34889" i="5"/>
  <c r="F34888" i="5"/>
  <c r="F34887" i="5"/>
  <c r="F34886" i="5"/>
  <c r="F34885" i="5"/>
  <c r="F34884" i="5"/>
  <c r="F34883" i="5"/>
  <c r="F34882" i="5"/>
  <c r="F34881" i="5"/>
  <c r="F34880" i="5"/>
  <c r="F34879" i="5"/>
  <c r="F34878" i="5"/>
  <c r="F34877" i="5"/>
  <c r="F34876" i="5"/>
  <c r="F34875" i="5"/>
  <c r="F34874" i="5"/>
  <c r="F34873" i="5"/>
  <c r="F34872" i="5"/>
  <c r="F34871" i="5"/>
  <c r="F34870" i="5"/>
  <c r="F34869" i="5"/>
  <c r="F34868" i="5"/>
  <c r="F34867" i="5"/>
  <c r="F34866" i="5"/>
  <c r="F34865" i="5"/>
  <c r="F34864" i="5"/>
  <c r="F34863" i="5"/>
  <c r="F34862" i="5"/>
  <c r="F34861" i="5"/>
  <c r="F34860" i="5"/>
  <c r="F34859" i="5"/>
  <c r="F34858" i="5"/>
  <c r="F34857" i="5"/>
  <c r="F34856" i="5"/>
  <c r="F34855" i="5"/>
  <c r="F34854" i="5"/>
  <c r="F34853" i="5"/>
  <c r="F34852" i="5"/>
  <c r="F34851" i="5"/>
  <c r="F34850" i="5"/>
  <c r="F34849" i="5"/>
  <c r="F34848" i="5"/>
  <c r="F34847" i="5"/>
  <c r="F34846" i="5"/>
  <c r="F34845" i="5"/>
  <c r="F34844" i="5"/>
  <c r="F34843" i="5"/>
  <c r="F34842" i="5"/>
  <c r="F34841" i="5"/>
  <c r="F34840" i="5"/>
  <c r="F34839" i="5"/>
  <c r="F34838" i="5"/>
  <c r="F34837" i="5"/>
  <c r="F34836" i="5"/>
  <c r="F34835" i="5"/>
  <c r="F34834" i="5"/>
  <c r="F34833" i="5"/>
  <c r="F34832" i="5"/>
  <c r="F34831" i="5"/>
  <c r="F34830" i="5"/>
  <c r="F34829" i="5"/>
  <c r="F34828" i="5"/>
  <c r="F34827" i="5"/>
  <c r="F34826" i="5"/>
  <c r="F34825" i="5"/>
  <c r="F34824" i="5"/>
  <c r="F34823" i="5"/>
  <c r="F34822" i="5"/>
  <c r="F34821" i="5"/>
  <c r="F34820" i="5"/>
  <c r="F34819" i="5"/>
  <c r="F34818" i="5"/>
  <c r="F34817" i="5"/>
  <c r="F34816" i="5"/>
  <c r="F34815" i="5"/>
  <c r="F34814" i="5"/>
  <c r="F34813" i="5"/>
  <c r="F34812" i="5"/>
  <c r="F34811" i="5"/>
  <c r="F34810" i="5"/>
  <c r="F34809" i="5"/>
  <c r="F34808" i="5"/>
  <c r="F34807" i="5"/>
  <c r="F34806" i="5"/>
  <c r="F34805" i="5"/>
  <c r="F34804" i="5"/>
  <c r="F34803" i="5"/>
  <c r="F34802" i="5"/>
  <c r="F34801" i="5"/>
  <c r="F34800" i="5"/>
  <c r="F34799" i="5"/>
  <c r="F34798" i="5"/>
  <c r="F34797" i="5"/>
  <c r="F34796" i="5"/>
  <c r="F34795" i="5"/>
  <c r="F34794" i="5"/>
  <c r="F34793" i="5"/>
  <c r="F34792" i="5"/>
  <c r="F34791" i="5"/>
  <c r="F34790" i="5"/>
  <c r="F34789" i="5"/>
  <c r="F34788" i="5"/>
  <c r="F34787" i="5"/>
  <c r="F34786" i="5"/>
  <c r="F34785" i="5"/>
  <c r="F34784" i="5"/>
  <c r="F34783" i="5"/>
  <c r="F34782" i="5"/>
  <c r="F34781" i="5"/>
  <c r="F34780" i="5"/>
  <c r="F34779" i="5"/>
  <c r="F34778" i="5"/>
  <c r="F34777" i="5"/>
  <c r="F34776" i="5"/>
  <c r="F34775" i="5"/>
  <c r="F34774" i="5"/>
  <c r="F34773" i="5"/>
  <c r="F34772" i="5"/>
  <c r="F34771" i="5"/>
  <c r="F34770" i="5"/>
  <c r="F34769" i="5"/>
  <c r="F34768" i="5"/>
  <c r="F34767" i="5"/>
  <c r="F34766" i="5"/>
  <c r="F34765" i="5"/>
  <c r="F34764" i="5"/>
  <c r="F34763" i="5"/>
  <c r="F34762" i="5"/>
  <c r="F34761" i="5"/>
  <c r="F34760" i="5"/>
  <c r="F34759" i="5"/>
  <c r="F34758" i="5"/>
  <c r="F34757" i="5"/>
  <c r="F34756" i="5"/>
  <c r="F34755" i="5"/>
  <c r="F34754" i="5"/>
  <c r="F34753" i="5"/>
  <c r="F34752" i="5"/>
  <c r="F34751" i="5"/>
  <c r="F34750" i="5"/>
  <c r="F34749" i="5"/>
  <c r="F34748" i="5"/>
  <c r="F34747" i="5"/>
  <c r="F34746" i="5"/>
  <c r="F34745" i="5"/>
  <c r="F34744" i="5"/>
  <c r="F34743" i="5"/>
  <c r="F34742" i="5"/>
  <c r="F34741" i="5"/>
  <c r="F34740" i="5"/>
  <c r="F34739" i="5"/>
  <c r="F34738" i="5"/>
  <c r="F34737" i="5"/>
  <c r="F34736" i="5"/>
  <c r="F34735" i="5"/>
  <c r="F34734" i="5"/>
  <c r="F34733" i="5"/>
  <c r="F34732" i="5"/>
  <c r="F34731" i="5"/>
  <c r="F34730" i="5"/>
  <c r="F34729" i="5"/>
  <c r="F34728" i="5"/>
  <c r="F34727" i="5"/>
  <c r="F34726" i="5"/>
  <c r="F34725" i="5"/>
  <c r="F34724" i="5"/>
  <c r="F34723" i="5"/>
  <c r="F34722" i="5"/>
  <c r="F34721" i="5"/>
  <c r="F34720" i="5"/>
  <c r="F34719" i="5"/>
  <c r="F34718" i="5"/>
  <c r="F34717" i="5"/>
  <c r="F34716" i="5"/>
  <c r="F34715" i="5"/>
  <c r="F34714" i="5"/>
  <c r="F34713" i="5"/>
  <c r="F34712" i="5"/>
  <c r="F34711" i="5"/>
  <c r="F34710" i="5"/>
  <c r="F34709" i="5"/>
  <c r="F34708" i="5"/>
  <c r="F34707" i="5"/>
  <c r="F34706" i="5"/>
  <c r="F34705" i="5"/>
  <c r="F34704" i="5"/>
  <c r="F34703" i="5"/>
  <c r="F34702" i="5"/>
  <c r="F34701" i="5"/>
  <c r="F34700" i="5"/>
  <c r="F34699" i="5"/>
  <c r="F34698" i="5"/>
  <c r="F34697" i="5"/>
  <c r="F34696" i="5"/>
  <c r="F34695" i="5"/>
  <c r="F34694" i="5"/>
  <c r="F34693" i="5"/>
  <c r="F34692" i="5"/>
  <c r="F34691" i="5"/>
  <c r="F34690" i="5"/>
  <c r="F34689" i="5"/>
  <c r="F34688" i="5"/>
  <c r="F34687" i="5"/>
  <c r="F34686" i="5"/>
  <c r="F34685" i="5"/>
  <c r="F34684" i="5"/>
  <c r="F34683" i="5"/>
  <c r="F34682" i="5"/>
  <c r="F34681" i="5"/>
  <c r="F34680" i="5"/>
  <c r="F34679" i="5"/>
  <c r="F34678" i="5"/>
  <c r="F34677" i="5"/>
  <c r="F34676" i="5"/>
  <c r="F34675" i="5"/>
  <c r="F34674" i="5"/>
  <c r="F34673" i="5"/>
  <c r="F34672" i="5"/>
  <c r="F34671" i="5"/>
  <c r="F34670" i="5"/>
  <c r="F34669" i="5"/>
  <c r="F34668" i="5"/>
  <c r="F34667" i="5"/>
  <c r="F34666" i="5"/>
  <c r="F34665" i="5"/>
  <c r="F34664" i="5"/>
  <c r="F34663" i="5"/>
  <c r="F34662" i="5"/>
  <c r="F34661" i="5"/>
  <c r="F34660" i="5"/>
  <c r="F34659" i="5"/>
  <c r="F34658" i="5"/>
  <c r="F34657" i="5"/>
  <c r="F34656" i="5"/>
  <c r="F34655" i="5"/>
  <c r="F34654" i="5"/>
  <c r="F34653" i="5"/>
  <c r="F34652" i="5"/>
  <c r="F34651" i="5"/>
  <c r="F34650" i="5"/>
  <c r="F34649" i="5"/>
  <c r="F34648" i="5"/>
  <c r="F34647" i="5"/>
  <c r="F34646" i="5"/>
  <c r="F34645" i="5"/>
  <c r="F34644" i="5"/>
  <c r="F34643" i="5"/>
  <c r="F34642" i="5"/>
  <c r="F34641" i="5"/>
  <c r="F34640" i="5"/>
  <c r="F34639" i="5"/>
  <c r="F34638" i="5"/>
  <c r="F34637" i="5"/>
  <c r="F34636" i="5"/>
  <c r="F34635" i="5"/>
  <c r="F34634" i="5"/>
  <c r="F34633" i="5"/>
  <c r="F34632" i="5"/>
  <c r="F34631" i="5"/>
  <c r="F34630" i="5"/>
  <c r="F34629" i="5"/>
  <c r="F34628" i="5"/>
  <c r="F34627" i="5"/>
  <c r="F34626" i="5"/>
  <c r="F34625" i="5"/>
  <c r="F34624" i="5"/>
  <c r="F34623" i="5"/>
  <c r="F34622" i="5"/>
  <c r="F34621" i="5"/>
  <c r="F34620" i="5"/>
  <c r="F34619" i="5"/>
  <c r="F34618" i="5"/>
  <c r="F34617" i="5"/>
  <c r="F34616" i="5"/>
  <c r="F34615" i="5"/>
  <c r="F34614" i="5"/>
  <c r="F34613" i="5"/>
  <c r="F34612" i="5"/>
  <c r="F34611" i="5"/>
  <c r="F34610" i="5"/>
  <c r="F34609" i="5"/>
  <c r="F34608" i="5"/>
  <c r="F34607" i="5"/>
  <c r="F34606" i="5"/>
  <c r="F34605" i="5"/>
  <c r="F34604" i="5"/>
  <c r="F34603" i="5"/>
  <c r="F34602" i="5"/>
  <c r="F34601" i="5"/>
  <c r="F34600" i="5"/>
  <c r="F34599" i="5"/>
  <c r="F34598" i="5"/>
  <c r="F34597" i="5"/>
  <c r="F34596" i="5"/>
  <c r="F34595" i="5"/>
  <c r="F34594" i="5"/>
  <c r="F34593" i="5"/>
  <c r="F34592" i="5"/>
  <c r="F34591" i="5"/>
  <c r="F34590" i="5"/>
  <c r="F34589" i="5"/>
  <c r="F34588" i="5"/>
  <c r="F34587" i="5"/>
  <c r="F34586" i="5"/>
  <c r="F34585" i="5"/>
  <c r="F34584" i="5"/>
  <c r="F34583" i="5"/>
  <c r="F34582" i="5"/>
  <c r="F34581" i="5"/>
  <c r="F34580" i="5"/>
  <c r="F34579" i="5"/>
  <c r="F34578" i="5"/>
  <c r="F34577" i="5"/>
  <c r="F34576" i="5"/>
  <c r="F34575" i="5"/>
  <c r="F34574" i="5"/>
  <c r="F34573" i="5"/>
  <c r="F34572" i="5"/>
  <c r="F34571" i="5"/>
  <c r="F34570" i="5"/>
  <c r="F34569" i="5"/>
  <c r="F34568" i="5"/>
  <c r="F34567" i="5"/>
  <c r="F34566" i="5"/>
  <c r="F34565" i="5"/>
  <c r="F34564" i="5"/>
  <c r="F34563" i="5"/>
  <c r="F34562" i="5"/>
  <c r="F34561" i="5"/>
  <c r="F34560" i="5"/>
  <c r="F34559" i="5"/>
  <c r="F34558" i="5"/>
  <c r="F34557" i="5"/>
  <c r="F34556" i="5"/>
  <c r="F34555" i="5"/>
  <c r="F34554" i="5"/>
  <c r="F34553" i="5"/>
  <c r="F34552" i="5"/>
  <c r="F34551" i="5"/>
  <c r="F34550" i="5"/>
  <c r="F34549" i="5"/>
  <c r="F34548" i="5"/>
  <c r="F34547" i="5"/>
  <c r="F34546" i="5"/>
  <c r="F34545" i="5"/>
  <c r="F34544" i="5"/>
  <c r="F34543" i="5"/>
  <c r="F34542" i="5"/>
  <c r="F34541" i="5"/>
  <c r="F34540" i="5"/>
  <c r="F34539" i="5"/>
  <c r="F34538" i="5"/>
  <c r="F34537" i="5"/>
  <c r="F34536" i="5"/>
  <c r="F34535" i="5"/>
  <c r="F34534" i="5"/>
  <c r="F34533" i="5"/>
  <c r="F34532" i="5"/>
  <c r="F34531" i="5"/>
  <c r="F34530" i="5"/>
  <c r="F34529" i="5"/>
  <c r="F34528" i="5"/>
  <c r="F34527" i="5"/>
  <c r="F34526" i="5"/>
  <c r="F34525" i="5"/>
  <c r="F34524" i="5"/>
  <c r="F34523" i="5"/>
  <c r="F34522" i="5"/>
  <c r="F34521" i="5"/>
  <c r="F34520" i="5"/>
  <c r="F34519" i="5"/>
  <c r="F34518" i="5"/>
  <c r="F34517" i="5"/>
  <c r="F34516" i="5"/>
  <c r="F34515" i="5"/>
  <c r="F34514" i="5"/>
  <c r="F34513" i="5"/>
  <c r="F34512" i="5"/>
  <c r="F34511" i="5"/>
  <c r="F34510" i="5"/>
  <c r="F34509" i="5"/>
  <c r="F34508" i="5"/>
  <c r="F34507" i="5"/>
  <c r="F34506" i="5"/>
  <c r="F34505" i="5"/>
  <c r="F34504" i="5"/>
  <c r="F34503" i="5"/>
  <c r="F34502" i="5"/>
  <c r="F34501" i="5"/>
  <c r="F34500" i="5"/>
  <c r="F34499" i="5"/>
  <c r="F34498" i="5"/>
  <c r="F34497" i="5"/>
  <c r="F34496" i="5"/>
  <c r="F34495" i="5"/>
  <c r="F34494" i="5"/>
  <c r="F34493" i="5"/>
  <c r="F34492" i="5"/>
  <c r="F34491" i="5"/>
  <c r="F34490" i="5"/>
  <c r="F34489" i="5"/>
  <c r="F34488" i="5"/>
  <c r="F34487" i="5"/>
  <c r="F34486" i="5"/>
  <c r="F34485" i="5"/>
  <c r="F34484" i="5"/>
  <c r="F34483" i="5"/>
  <c r="F34482" i="5"/>
  <c r="F34481" i="5"/>
  <c r="F34480" i="5"/>
  <c r="F34479" i="5"/>
  <c r="F34478" i="5"/>
  <c r="F34477" i="5"/>
  <c r="F34476" i="5"/>
  <c r="F34475" i="5"/>
  <c r="F34474" i="5"/>
  <c r="F34473" i="5"/>
  <c r="F34472" i="5"/>
  <c r="F34471" i="5"/>
  <c r="F34470" i="5"/>
  <c r="F34469" i="5"/>
  <c r="F34468" i="5"/>
  <c r="F34467" i="5"/>
  <c r="F34466" i="5"/>
  <c r="F34465" i="5"/>
  <c r="F34464" i="5"/>
  <c r="F34463" i="5"/>
  <c r="F34462" i="5"/>
  <c r="F34461" i="5"/>
  <c r="F34460" i="5"/>
  <c r="F34459" i="5"/>
  <c r="F34458" i="5"/>
  <c r="F34457" i="5"/>
  <c r="F34456" i="5"/>
  <c r="F34455" i="5"/>
  <c r="F34454" i="5"/>
  <c r="F34453" i="5"/>
  <c r="F34452" i="5"/>
  <c r="F34451" i="5"/>
  <c r="F34450" i="5"/>
  <c r="F34449" i="5"/>
  <c r="F34448" i="5"/>
  <c r="F34447" i="5"/>
  <c r="F34446" i="5"/>
  <c r="F34445" i="5"/>
  <c r="F34444" i="5"/>
  <c r="F34443" i="5"/>
  <c r="F34442" i="5"/>
  <c r="F34441" i="5"/>
  <c r="F34440" i="5"/>
  <c r="F34439" i="5"/>
  <c r="F34438" i="5"/>
  <c r="F34437" i="5"/>
  <c r="F34436" i="5"/>
  <c r="F34435" i="5"/>
  <c r="F34434" i="5"/>
  <c r="F34433" i="5"/>
  <c r="F34432" i="5"/>
  <c r="F34431" i="5"/>
  <c r="F34430" i="5"/>
  <c r="F34429" i="5"/>
  <c r="F34428" i="5"/>
  <c r="F34427" i="5"/>
  <c r="F34426" i="5"/>
  <c r="F34425" i="5"/>
  <c r="F34424" i="5"/>
  <c r="F34423" i="5"/>
  <c r="F34422" i="5"/>
  <c r="F34421" i="5"/>
  <c r="F34420" i="5"/>
  <c r="F34419" i="5"/>
  <c r="F34418" i="5"/>
  <c r="F34417" i="5"/>
  <c r="F34416" i="5"/>
  <c r="F34415" i="5"/>
  <c r="F34414" i="5"/>
  <c r="F34413" i="5"/>
  <c r="F34412" i="5"/>
  <c r="F34411" i="5"/>
  <c r="F34410" i="5"/>
  <c r="F34409" i="5"/>
  <c r="F34408" i="5"/>
  <c r="F34407" i="5"/>
  <c r="F34406" i="5"/>
  <c r="F34405" i="5"/>
  <c r="F34404" i="5"/>
  <c r="F34403" i="5"/>
  <c r="F34402" i="5"/>
  <c r="F34401" i="5"/>
  <c r="F34400" i="5"/>
  <c r="F34399" i="5"/>
  <c r="F34398" i="5"/>
  <c r="F34397" i="5"/>
  <c r="F34396" i="5"/>
  <c r="F34395" i="5"/>
  <c r="F34394" i="5"/>
  <c r="F34393" i="5"/>
  <c r="F34392" i="5"/>
  <c r="F34391" i="5"/>
  <c r="F34390" i="5"/>
  <c r="F34389" i="5"/>
  <c r="F34388" i="5"/>
  <c r="F34387" i="5"/>
  <c r="F34386" i="5"/>
  <c r="F34385" i="5"/>
  <c r="F34384" i="5"/>
  <c r="F34383" i="5"/>
  <c r="F34382" i="5"/>
  <c r="F34381" i="5"/>
  <c r="F34380" i="5"/>
  <c r="F34379" i="5"/>
  <c r="F34378" i="5"/>
  <c r="F34377" i="5"/>
  <c r="F34376" i="5"/>
  <c r="F34375" i="5"/>
  <c r="F34374" i="5"/>
  <c r="F34373" i="5"/>
  <c r="F34372" i="5"/>
  <c r="F34371" i="5"/>
  <c r="F34370" i="5"/>
  <c r="F34369" i="5"/>
  <c r="F34368" i="5"/>
  <c r="F34367" i="5"/>
  <c r="F34366" i="5"/>
  <c r="F34365" i="5"/>
  <c r="F34364" i="5"/>
  <c r="F34363" i="5"/>
  <c r="F34362" i="5"/>
  <c r="F34361" i="5"/>
  <c r="F34360" i="5"/>
  <c r="F34359" i="5"/>
  <c r="F34358" i="5"/>
  <c r="F34357" i="5"/>
  <c r="F34356" i="5"/>
  <c r="F34355" i="5"/>
  <c r="F34354" i="5"/>
  <c r="F34353" i="5"/>
  <c r="F34352" i="5"/>
  <c r="F34351" i="5"/>
  <c r="F34350" i="5"/>
  <c r="F34349" i="5"/>
  <c r="F34348" i="5"/>
  <c r="F34347" i="5"/>
  <c r="F34346" i="5"/>
  <c r="F34345" i="5"/>
  <c r="F34344" i="5"/>
  <c r="F34343" i="5"/>
  <c r="F34342" i="5"/>
  <c r="F34341" i="5"/>
  <c r="F34340" i="5"/>
  <c r="F34339" i="5"/>
  <c r="F34338" i="5"/>
  <c r="F34337" i="5"/>
  <c r="F34336" i="5"/>
  <c r="F34335" i="5"/>
  <c r="F34334" i="5"/>
  <c r="F34333" i="5"/>
  <c r="F34332" i="5"/>
  <c r="F34331" i="5"/>
  <c r="F34330" i="5"/>
  <c r="F34329" i="5"/>
  <c r="F34328" i="5"/>
  <c r="F34327" i="5"/>
  <c r="F34326" i="5"/>
  <c r="F34325" i="5"/>
  <c r="F34324" i="5"/>
  <c r="F34323" i="5"/>
  <c r="F34322" i="5"/>
  <c r="F34321" i="5"/>
  <c r="F34320" i="5"/>
  <c r="F34319" i="5"/>
  <c r="F34318" i="5"/>
  <c r="F34317" i="5"/>
  <c r="F34316" i="5"/>
  <c r="F34315" i="5"/>
  <c r="F34314" i="5"/>
  <c r="F34313" i="5"/>
  <c r="F34312" i="5"/>
  <c r="F34311" i="5"/>
  <c r="F34310" i="5"/>
  <c r="F34309" i="5"/>
  <c r="F34308" i="5"/>
  <c r="F34307" i="5"/>
  <c r="F34306" i="5"/>
  <c r="F34305" i="5"/>
  <c r="F34304" i="5"/>
  <c r="F34303" i="5"/>
  <c r="F34302" i="5"/>
  <c r="F34301" i="5"/>
  <c r="F34300" i="5"/>
  <c r="F34299" i="5"/>
  <c r="F34298" i="5"/>
  <c r="F34297" i="5"/>
  <c r="F34296" i="5"/>
  <c r="F34295" i="5"/>
  <c r="F34294" i="5"/>
  <c r="F34293" i="5"/>
  <c r="F34292" i="5"/>
  <c r="F34291" i="5"/>
  <c r="F34290" i="5"/>
  <c r="F34289" i="5"/>
  <c r="F34288" i="5"/>
  <c r="F34287" i="5"/>
  <c r="F34286" i="5"/>
  <c r="F34285" i="5"/>
  <c r="F34284" i="5"/>
  <c r="F34283" i="5"/>
  <c r="F34282" i="5"/>
  <c r="F34281" i="5"/>
  <c r="F34280" i="5"/>
  <c r="F34279" i="5"/>
  <c r="F34278" i="5"/>
  <c r="F34277" i="5"/>
  <c r="F34276" i="5"/>
  <c r="F34275" i="5"/>
  <c r="F34274" i="5"/>
  <c r="F34273" i="5"/>
  <c r="F34272" i="5"/>
  <c r="F34271" i="5"/>
  <c r="F34270" i="5"/>
  <c r="F34269" i="5"/>
  <c r="F34268" i="5"/>
  <c r="F34267" i="5"/>
  <c r="F34266" i="5"/>
  <c r="F34265" i="5"/>
  <c r="F34264" i="5"/>
  <c r="F34263" i="5"/>
  <c r="F34262" i="5"/>
  <c r="F34261" i="5"/>
  <c r="F34260" i="5"/>
  <c r="F34259" i="5"/>
  <c r="F34258" i="5"/>
  <c r="F34257" i="5"/>
  <c r="F34256" i="5"/>
  <c r="F34255" i="5"/>
  <c r="F34254" i="5"/>
  <c r="F34253" i="5"/>
  <c r="F34252" i="5"/>
  <c r="F34251" i="5"/>
  <c r="F34250" i="5"/>
  <c r="F34249" i="5"/>
  <c r="F34248" i="5"/>
  <c r="F34247" i="5"/>
  <c r="F34246" i="5"/>
  <c r="F34245" i="5"/>
  <c r="F34244" i="5"/>
  <c r="F34243" i="5"/>
  <c r="F34242" i="5"/>
  <c r="F34241" i="5"/>
  <c r="F34240" i="5"/>
  <c r="F34239" i="5"/>
  <c r="F34238" i="5"/>
  <c r="F34237" i="5"/>
  <c r="F34236" i="5"/>
  <c r="F34235" i="5"/>
  <c r="F34234" i="5"/>
  <c r="F34233" i="5"/>
  <c r="F34232" i="5"/>
  <c r="F34231" i="5"/>
  <c r="F34230" i="5"/>
  <c r="F34229" i="5"/>
  <c r="F34228" i="5"/>
  <c r="F34227" i="5"/>
  <c r="F34226" i="5"/>
  <c r="F34225" i="5"/>
  <c r="F34224" i="5"/>
  <c r="F34223" i="5"/>
  <c r="F34222" i="5"/>
  <c r="F34221" i="5"/>
  <c r="F34220" i="5"/>
  <c r="F34219" i="5"/>
  <c r="F34218" i="5"/>
  <c r="F34217" i="5"/>
  <c r="F34216" i="5"/>
  <c r="F34215" i="5"/>
  <c r="F34214" i="5"/>
  <c r="F34213" i="5"/>
  <c r="F34212" i="5"/>
  <c r="F34211" i="5"/>
  <c r="F34210" i="5"/>
  <c r="F34209" i="5"/>
  <c r="F34208" i="5"/>
  <c r="F34207" i="5"/>
  <c r="F34206" i="5"/>
  <c r="F34205" i="5"/>
  <c r="F34204" i="5"/>
  <c r="F34203" i="5"/>
  <c r="F34202" i="5"/>
  <c r="F34201" i="5"/>
  <c r="F34200" i="5"/>
  <c r="F34199" i="5"/>
  <c r="F34198" i="5"/>
  <c r="F34197" i="5"/>
  <c r="F34196" i="5"/>
  <c r="F34195" i="5"/>
  <c r="F34194" i="5"/>
  <c r="F34193" i="5"/>
  <c r="F34192" i="5"/>
  <c r="F34191" i="5"/>
  <c r="F34190" i="5"/>
  <c r="F34189" i="5"/>
  <c r="F34188" i="5"/>
  <c r="F34187" i="5"/>
  <c r="F34186" i="5"/>
  <c r="F34185" i="5"/>
  <c r="F34184" i="5"/>
  <c r="F34183" i="5"/>
  <c r="F34182" i="5"/>
  <c r="F34181" i="5"/>
  <c r="F34180" i="5"/>
  <c r="F34179" i="5"/>
  <c r="F34178" i="5"/>
  <c r="F34177" i="5"/>
  <c r="F34176" i="5"/>
  <c r="F34175" i="5"/>
  <c r="F34174" i="5"/>
  <c r="F34173" i="5"/>
  <c r="F34172" i="5"/>
  <c r="F34171" i="5"/>
  <c r="F34170" i="5"/>
  <c r="F34169" i="5"/>
  <c r="F34168" i="5"/>
  <c r="F34167" i="5"/>
  <c r="F34166" i="5"/>
  <c r="F34165" i="5"/>
  <c r="F34164" i="5"/>
  <c r="F34163" i="5"/>
  <c r="F34162" i="5"/>
  <c r="F34161" i="5"/>
  <c r="F34160" i="5"/>
  <c r="F34159" i="5"/>
  <c r="F34158" i="5"/>
  <c r="F34157" i="5"/>
  <c r="F34156" i="5"/>
  <c r="F34155" i="5"/>
  <c r="F34154" i="5"/>
  <c r="F34153" i="5"/>
  <c r="F34152" i="5"/>
  <c r="F34151" i="5"/>
  <c r="F34150" i="5"/>
  <c r="F34149" i="5"/>
  <c r="F34148" i="5"/>
  <c r="F34147" i="5"/>
  <c r="F34146" i="5"/>
  <c r="F34145" i="5"/>
  <c r="F34144" i="5"/>
  <c r="F34143" i="5"/>
  <c r="F34142" i="5"/>
  <c r="F34141" i="5"/>
  <c r="F34140" i="5"/>
  <c r="F34139" i="5"/>
  <c r="F34138" i="5"/>
  <c r="F34137" i="5"/>
  <c r="F34136" i="5"/>
  <c r="F34135" i="5"/>
  <c r="F34134" i="5"/>
  <c r="F34133" i="5"/>
  <c r="F34132" i="5"/>
  <c r="F34131" i="5"/>
  <c r="F34130" i="5"/>
  <c r="F34129" i="5"/>
  <c r="F34128" i="5"/>
  <c r="F34127" i="5"/>
  <c r="F34126" i="5"/>
  <c r="F34125" i="5"/>
  <c r="F34124" i="5"/>
  <c r="F34123" i="5"/>
  <c r="F34122" i="5"/>
  <c r="F34121" i="5"/>
  <c r="F34120" i="5"/>
  <c r="F34119" i="5"/>
  <c r="F34118" i="5"/>
  <c r="F34117" i="5"/>
  <c r="F34116" i="5"/>
  <c r="F34115" i="5"/>
  <c r="F34114" i="5"/>
  <c r="F34113" i="5"/>
  <c r="F34112" i="5"/>
  <c r="F34111" i="5"/>
  <c r="F34110" i="5"/>
  <c r="F34109" i="5"/>
  <c r="F34108" i="5"/>
  <c r="F34107" i="5"/>
  <c r="F34106" i="5"/>
  <c r="F34105" i="5"/>
  <c r="F34104" i="5"/>
  <c r="F34103" i="5"/>
  <c r="F34102" i="5"/>
  <c r="F34101" i="5"/>
  <c r="F34100" i="5"/>
  <c r="F34099" i="5"/>
  <c r="F34098" i="5"/>
  <c r="F34097" i="5"/>
  <c r="F34096" i="5"/>
  <c r="F34095" i="5"/>
  <c r="F34094" i="5"/>
  <c r="F34093" i="5"/>
  <c r="F34092" i="5"/>
  <c r="F34091" i="5"/>
  <c r="F34090" i="5"/>
  <c r="F34089" i="5"/>
  <c r="F34088" i="5"/>
  <c r="F34087" i="5"/>
  <c r="F34086" i="5"/>
  <c r="F34085" i="5"/>
  <c r="F34084" i="5"/>
  <c r="F34083" i="5"/>
  <c r="F34082" i="5"/>
  <c r="F34081" i="5"/>
  <c r="F34080" i="5"/>
  <c r="F34079" i="5"/>
  <c r="F34078" i="5"/>
  <c r="F34077" i="5"/>
  <c r="F34076" i="5"/>
  <c r="F34075" i="5"/>
  <c r="F34074" i="5"/>
  <c r="F34073" i="5"/>
  <c r="F34072" i="5"/>
  <c r="F34071" i="5"/>
  <c r="F34070" i="5"/>
  <c r="F34069" i="5"/>
  <c r="F34068" i="5"/>
  <c r="F34067" i="5"/>
  <c r="F34066" i="5"/>
  <c r="F34065" i="5"/>
  <c r="F34064" i="5"/>
  <c r="F34063" i="5"/>
  <c r="F34062" i="5"/>
  <c r="F34061" i="5"/>
  <c r="F34060" i="5"/>
  <c r="F34059" i="5"/>
  <c r="F34058" i="5"/>
  <c r="F34057" i="5"/>
  <c r="F34056" i="5"/>
  <c r="F34055" i="5"/>
  <c r="F34054" i="5"/>
  <c r="F34053" i="5"/>
  <c r="F34052" i="5"/>
  <c r="F34051" i="5"/>
  <c r="F34050" i="5"/>
  <c r="F34049" i="5"/>
  <c r="F34048" i="5"/>
  <c r="F34047" i="5"/>
  <c r="F34046" i="5"/>
  <c r="F34045" i="5"/>
  <c r="F34044" i="5"/>
  <c r="F34043" i="5"/>
  <c r="F34042" i="5"/>
  <c r="F34041" i="5"/>
  <c r="F34040" i="5"/>
  <c r="F34039" i="5"/>
  <c r="F34038" i="5"/>
  <c r="F34037" i="5"/>
  <c r="F34036" i="5"/>
  <c r="F34035" i="5"/>
  <c r="F34034" i="5"/>
  <c r="F34033" i="5"/>
  <c r="F34032" i="5"/>
  <c r="F34031" i="5"/>
  <c r="F34030" i="5"/>
  <c r="F34029" i="5"/>
  <c r="F34028" i="5"/>
  <c r="F34027" i="5"/>
  <c r="F34026" i="5"/>
  <c r="F34025" i="5"/>
  <c r="F34024" i="5"/>
  <c r="F34023" i="5"/>
  <c r="F34022" i="5"/>
  <c r="F34021" i="5"/>
  <c r="F34020" i="5"/>
  <c r="F34019" i="5"/>
  <c r="F34018" i="5"/>
  <c r="F34017" i="5"/>
  <c r="F34016" i="5"/>
  <c r="F34015" i="5"/>
  <c r="F34014" i="5"/>
  <c r="F34013" i="5"/>
  <c r="F34012" i="5"/>
  <c r="F34011" i="5"/>
  <c r="F34010" i="5"/>
  <c r="F34009" i="5"/>
  <c r="F34008" i="5"/>
  <c r="F34007" i="5"/>
  <c r="F34006" i="5"/>
  <c r="F34005" i="5"/>
  <c r="F34004" i="5"/>
  <c r="F34003" i="5"/>
  <c r="F34002" i="5"/>
  <c r="F34001" i="5"/>
  <c r="F34000" i="5"/>
  <c r="F33999" i="5"/>
  <c r="F33998" i="5"/>
  <c r="F33997" i="5"/>
  <c r="F33996" i="5"/>
  <c r="F33995" i="5"/>
  <c r="F33994" i="5"/>
  <c r="F33993" i="5"/>
  <c r="F33992" i="5"/>
  <c r="F33991" i="5"/>
  <c r="F33990" i="5"/>
  <c r="F33989" i="5"/>
  <c r="F33988" i="5"/>
  <c r="F33987" i="5"/>
  <c r="F33986" i="5"/>
  <c r="F33985" i="5"/>
  <c r="F33984" i="5"/>
  <c r="F33983" i="5"/>
  <c r="F33982" i="5"/>
  <c r="F33981" i="5"/>
  <c r="F33980" i="5"/>
  <c r="F33979" i="5"/>
  <c r="F33978" i="5"/>
  <c r="F33977" i="5"/>
  <c r="F33976" i="5"/>
  <c r="F33975" i="5"/>
  <c r="F33974" i="5"/>
  <c r="F33973" i="5"/>
  <c r="F33972" i="5"/>
  <c r="F33971" i="5"/>
  <c r="F33970" i="5"/>
  <c r="F33969" i="5"/>
  <c r="F33968" i="5"/>
  <c r="F33967" i="5"/>
  <c r="F33966" i="5"/>
  <c r="F33965" i="5"/>
  <c r="F33964" i="5"/>
  <c r="F33963" i="5"/>
  <c r="F33962" i="5"/>
  <c r="F33961" i="5"/>
  <c r="F33960" i="5"/>
  <c r="F33959" i="5"/>
  <c r="F33958" i="5"/>
  <c r="F33957" i="5"/>
  <c r="F33956" i="5"/>
  <c r="F33955" i="5"/>
  <c r="F33954" i="5"/>
  <c r="F33953" i="5"/>
  <c r="F33952" i="5"/>
  <c r="F33951" i="5"/>
  <c r="F33950" i="5"/>
  <c r="F33949" i="5"/>
  <c r="F33948" i="5"/>
  <c r="F33947" i="5"/>
  <c r="F33946" i="5"/>
  <c r="F33945" i="5"/>
  <c r="F33944" i="5"/>
  <c r="F33943" i="5"/>
  <c r="F33942" i="5"/>
  <c r="F33941" i="5"/>
  <c r="F33940" i="5"/>
  <c r="F33939" i="5"/>
  <c r="F33938" i="5"/>
  <c r="F33937" i="5"/>
  <c r="F33936" i="5"/>
  <c r="F33935" i="5"/>
  <c r="F33934" i="5"/>
  <c r="F33933" i="5"/>
  <c r="F33932" i="5"/>
  <c r="F33931" i="5"/>
  <c r="F33930" i="5"/>
  <c r="F33929" i="5"/>
  <c r="F33928" i="5"/>
  <c r="F33927" i="5"/>
  <c r="F33926" i="5"/>
  <c r="F33925" i="5"/>
  <c r="F33924" i="5"/>
  <c r="F33923" i="5"/>
  <c r="F33922" i="5"/>
  <c r="F33921" i="5"/>
  <c r="F33920" i="5"/>
  <c r="F33919" i="5"/>
  <c r="F33918" i="5"/>
  <c r="F33917" i="5"/>
  <c r="F33916" i="5"/>
  <c r="F33915" i="5"/>
  <c r="F33914" i="5"/>
  <c r="F33913" i="5"/>
  <c r="F33912" i="5"/>
  <c r="F33911" i="5"/>
  <c r="F33910" i="5"/>
  <c r="F33909" i="5"/>
  <c r="F33908" i="5"/>
  <c r="F33907" i="5"/>
  <c r="F33906" i="5"/>
  <c r="F33905" i="5"/>
  <c r="F33904" i="5"/>
  <c r="F33903" i="5"/>
  <c r="F33902" i="5"/>
  <c r="F33901" i="5"/>
  <c r="F33900" i="5"/>
  <c r="F33899" i="5"/>
  <c r="F33898" i="5"/>
  <c r="F33897" i="5"/>
  <c r="F33896" i="5"/>
  <c r="F33895" i="5"/>
  <c r="F33894" i="5"/>
  <c r="F33893" i="5"/>
  <c r="F33892" i="5"/>
  <c r="F33891" i="5"/>
  <c r="F33890" i="5"/>
  <c r="F33889" i="5"/>
  <c r="F33888" i="5"/>
  <c r="F33887" i="5"/>
  <c r="F33886" i="5"/>
  <c r="F33885" i="5"/>
  <c r="F33884" i="5"/>
  <c r="F33883" i="5"/>
  <c r="F33882" i="5"/>
  <c r="F33881" i="5"/>
  <c r="F33880" i="5"/>
  <c r="F33879" i="5"/>
  <c r="F33878" i="5"/>
  <c r="F33877" i="5"/>
  <c r="F33876" i="5"/>
  <c r="F33875" i="5"/>
  <c r="F33874" i="5"/>
  <c r="F33873" i="5"/>
  <c r="F33872" i="5"/>
  <c r="F33871" i="5"/>
  <c r="F33870" i="5"/>
  <c r="F33869" i="5"/>
  <c r="F33868" i="5"/>
  <c r="F33867" i="5"/>
  <c r="F33866" i="5"/>
  <c r="F33865" i="5"/>
  <c r="F33864" i="5"/>
  <c r="F33863" i="5"/>
  <c r="F33862" i="5"/>
  <c r="F33861" i="5"/>
  <c r="F33860" i="5"/>
  <c r="F33859" i="5"/>
  <c r="F33858" i="5"/>
  <c r="F33857" i="5"/>
  <c r="F33856" i="5"/>
  <c r="F33855" i="5"/>
  <c r="F33854" i="5"/>
  <c r="F33853" i="5"/>
  <c r="F33852" i="5"/>
  <c r="F33851" i="5"/>
  <c r="F33850" i="5"/>
  <c r="F33849" i="5"/>
  <c r="F33848" i="5"/>
  <c r="F33847" i="5"/>
  <c r="F33846" i="5"/>
  <c r="F33845" i="5"/>
  <c r="F33844" i="5"/>
  <c r="F33843" i="5"/>
  <c r="F33842" i="5"/>
  <c r="F33841" i="5"/>
  <c r="F33840" i="5"/>
  <c r="F33839" i="5"/>
  <c r="F33838" i="5"/>
  <c r="F33837" i="5"/>
  <c r="F33836" i="5"/>
  <c r="F33835" i="5"/>
  <c r="F33834" i="5"/>
  <c r="F33833" i="5"/>
  <c r="F33832" i="5"/>
  <c r="F33831" i="5"/>
  <c r="F33830" i="5"/>
  <c r="F33829" i="5"/>
  <c r="F33828" i="5"/>
  <c r="F33827" i="5"/>
  <c r="F33826" i="5"/>
  <c r="F33825" i="5"/>
  <c r="F33824" i="5"/>
  <c r="F33823" i="5"/>
  <c r="F33822" i="5"/>
  <c r="F33821" i="5"/>
  <c r="F33820" i="5"/>
  <c r="F33819" i="5"/>
  <c r="F33818" i="5"/>
  <c r="F33817" i="5"/>
  <c r="F33816" i="5"/>
  <c r="F33815" i="5"/>
  <c r="F33814" i="5"/>
  <c r="F33813" i="5"/>
  <c r="F33812" i="5"/>
  <c r="F33811" i="5"/>
  <c r="F33810" i="5"/>
  <c r="F33809" i="5"/>
  <c r="F33808" i="5"/>
  <c r="F33807" i="5"/>
  <c r="F33806" i="5"/>
  <c r="F33805" i="5"/>
  <c r="F33804" i="5"/>
  <c r="F33803" i="5"/>
  <c r="F33802" i="5"/>
  <c r="F33801" i="5"/>
  <c r="F33800" i="5"/>
  <c r="F33799" i="5"/>
  <c r="F33798" i="5"/>
  <c r="F33797" i="5"/>
  <c r="F33796" i="5"/>
  <c r="F33795" i="5"/>
  <c r="F33794" i="5"/>
  <c r="F33793" i="5"/>
  <c r="F33792" i="5"/>
  <c r="F33791" i="5"/>
  <c r="F33790" i="5"/>
  <c r="F33789" i="5"/>
  <c r="F33788" i="5"/>
  <c r="F33787" i="5"/>
  <c r="F33786" i="5"/>
  <c r="F33785" i="5"/>
  <c r="F33784" i="5"/>
  <c r="F33783" i="5"/>
  <c r="F33782" i="5"/>
  <c r="F33781" i="5"/>
  <c r="F33780" i="5"/>
  <c r="F33779" i="5"/>
  <c r="F33778" i="5"/>
  <c r="F33777" i="5"/>
  <c r="F33776" i="5"/>
  <c r="F33775" i="5"/>
  <c r="F33774" i="5"/>
  <c r="F33773" i="5"/>
  <c r="F33772" i="5"/>
  <c r="F33771" i="5"/>
  <c r="F33770" i="5"/>
  <c r="F33769" i="5"/>
  <c r="F33768" i="5"/>
  <c r="F33767" i="5"/>
  <c r="F33766" i="5"/>
  <c r="F33765" i="5"/>
  <c r="F33764" i="5"/>
  <c r="F33763" i="5"/>
  <c r="F33762" i="5"/>
  <c r="F33761" i="5"/>
  <c r="F33760" i="5"/>
  <c r="F33759" i="5"/>
  <c r="F33758" i="5"/>
  <c r="F33757" i="5"/>
  <c r="F33756" i="5"/>
  <c r="F33755" i="5"/>
  <c r="F33754" i="5"/>
  <c r="F33753" i="5"/>
  <c r="F33752" i="5"/>
  <c r="F33751" i="5"/>
  <c r="F33750" i="5"/>
  <c r="F33749" i="5"/>
  <c r="F33748" i="5"/>
  <c r="F33747" i="5"/>
  <c r="F33746" i="5"/>
  <c r="F33745" i="5"/>
  <c r="F33744" i="5"/>
  <c r="F33743" i="5"/>
  <c r="F33742" i="5"/>
  <c r="F33741" i="5"/>
  <c r="F33740" i="5"/>
  <c r="F33739" i="5"/>
  <c r="F33738" i="5"/>
  <c r="F33737" i="5"/>
  <c r="F33736" i="5"/>
  <c r="F33735" i="5"/>
  <c r="F33734" i="5"/>
  <c r="F33733" i="5"/>
  <c r="F33732" i="5"/>
  <c r="F33731" i="5"/>
  <c r="F33730" i="5"/>
  <c r="F33729" i="5"/>
  <c r="F33728" i="5"/>
  <c r="F33727" i="5"/>
  <c r="F33726" i="5"/>
  <c r="F33725" i="5"/>
  <c r="F33724" i="5"/>
  <c r="F33723" i="5"/>
  <c r="F33722" i="5"/>
  <c r="F33721" i="5"/>
  <c r="F33720" i="5"/>
  <c r="F33719" i="5"/>
  <c r="F33718" i="5"/>
  <c r="F33717" i="5"/>
  <c r="F33716" i="5"/>
  <c r="F33715" i="5"/>
  <c r="F33714" i="5"/>
  <c r="F33713" i="5"/>
  <c r="F33712" i="5"/>
  <c r="F33711" i="5"/>
  <c r="F33710" i="5"/>
  <c r="F33709" i="5"/>
  <c r="F33708" i="5"/>
  <c r="F33707" i="5"/>
  <c r="F33706" i="5"/>
  <c r="F33705" i="5"/>
  <c r="F33704" i="5"/>
  <c r="F33703" i="5"/>
  <c r="F33702" i="5"/>
  <c r="F33701" i="5"/>
  <c r="F33700" i="5"/>
  <c r="F33699" i="5"/>
  <c r="F33698" i="5"/>
  <c r="F33697" i="5"/>
  <c r="F33696" i="5"/>
  <c r="F33695" i="5"/>
  <c r="F33694" i="5"/>
  <c r="F33693" i="5"/>
  <c r="F33692" i="5"/>
  <c r="F33691" i="5"/>
  <c r="F33690" i="5"/>
  <c r="F33689" i="5"/>
  <c r="F33688" i="5"/>
  <c r="F33687" i="5"/>
  <c r="F33686" i="5"/>
  <c r="F33685" i="5"/>
  <c r="F33684" i="5"/>
  <c r="F33683" i="5"/>
  <c r="F33682" i="5"/>
  <c r="F33681" i="5"/>
  <c r="F33680" i="5"/>
  <c r="F33679" i="5"/>
  <c r="F33678" i="5"/>
  <c r="F33677" i="5"/>
  <c r="F33676" i="5"/>
  <c r="F33675" i="5"/>
  <c r="F33674" i="5"/>
  <c r="F33673" i="5"/>
  <c r="F33672" i="5"/>
  <c r="F33671" i="5"/>
  <c r="F33670" i="5"/>
  <c r="F33669" i="5"/>
  <c r="F33668" i="5"/>
  <c r="F33667" i="5"/>
  <c r="F33666" i="5"/>
  <c r="F33665" i="5"/>
  <c r="F33664" i="5"/>
  <c r="F33663" i="5"/>
  <c r="F33662" i="5"/>
  <c r="F33661" i="5"/>
  <c r="F33660" i="5"/>
  <c r="F33659" i="5"/>
  <c r="F33658" i="5"/>
  <c r="F33657" i="5"/>
  <c r="F33656" i="5"/>
  <c r="F33655" i="5"/>
  <c r="F33654" i="5"/>
  <c r="F33653" i="5"/>
  <c r="F33652" i="5"/>
  <c r="F33651" i="5"/>
  <c r="F33650" i="5"/>
  <c r="F33649" i="5"/>
  <c r="F33648" i="5"/>
  <c r="F33647" i="5"/>
  <c r="F33646" i="5"/>
  <c r="F33645" i="5"/>
  <c r="F33644" i="5"/>
  <c r="F33643" i="5"/>
  <c r="F33642" i="5"/>
  <c r="F33641" i="5"/>
  <c r="F33640" i="5"/>
  <c r="F33639" i="5"/>
  <c r="F33638" i="5"/>
  <c r="F33637" i="5"/>
  <c r="F33636" i="5"/>
  <c r="F33635" i="5"/>
  <c r="F33634" i="5"/>
  <c r="F33633" i="5"/>
  <c r="F33632" i="5"/>
  <c r="F33631" i="5"/>
  <c r="F33630" i="5"/>
  <c r="F33629" i="5"/>
  <c r="F33628" i="5"/>
  <c r="F33627" i="5"/>
  <c r="F33626" i="5"/>
  <c r="F33625" i="5"/>
  <c r="F33624" i="5"/>
  <c r="F33623" i="5"/>
  <c r="F33622" i="5"/>
  <c r="F33621" i="5"/>
  <c r="F33620" i="5"/>
  <c r="F33619" i="5"/>
  <c r="F33618" i="5"/>
  <c r="F33617" i="5"/>
  <c r="F33616" i="5"/>
  <c r="F33615" i="5"/>
  <c r="F33614" i="5"/>
  <c r="F33613" i="5"/>
  <c r="F33612" i="5"/>
  <c r="F33611" i="5"/>
  <c r="F33610" i="5"/>
  <c r="F33609" i="5"/>
  <c r="F33608" i="5"/>
  <c r="F33607" i="5"/>
  <c r="F33606" i="5"/>
  <c r="F33605" i="5"/>
  <c r="F33604" i="5"/>
  <c r="F33603" i="5"/>
  <c r="F33602" i="5"/>
  <c r="F33601" i="5"/>
  <c r="F33600" i="5"/>
  <c r="F33599" i="5"/>
  <c r="F33598" i="5"/>
  <c r="F33597" i="5"/>
  <c r="F33596" i="5"/>
  <c r="F33595" i="5"/>
  <c r="F33594" i="5"/>
  <c r="F33593" i="5"/>
  <c r="F33592" i="5"/>
  <c r="F33591" i="5"/>
  <c r="F33590" i="5"/>
  <c r="F33589" i="5"/>
  <c r="F33588" i="5"/>
  <c r="F33587" i="5"/>
  <c r="F33586" i="5"/>
  <c r="F33585" i="5"/>
  <c r="F33584" i="5"/>
  <c r="F33583" i="5"/>
  <c r="F33582" i="5"/>
  <c r="F33581" i="5"/>
  <c r="F33580" i="5"/>
  <c r="F33579" i="5"/>
  <c r="F33578" i="5"/>
  <c r="F33577" i="5"/>
  <c r="F33576" i="5"/>
  <c r="F33575" i="5"/>
  <c r="F33574" i="5"/>
  <c r="F33573" i="5"/>
  <c r="F33572" i="5"/>
  <c r="F33571" i="5"/>
  <c r="F33570" i="5"/>
  <c r="F33569" i="5"/>
  <c r="F33568" i="5"/>
  <c r="F33567" i="5"/>
  <c r="F33566" i="5"/>
  <c r="F33565" i="5"/>
  <c r="F33564" i="5"/>
  <c r="F33563" i="5"/>
  <c r="F33562" i="5"/>
  <c r="F33561" i="5"/>
  <c r="F33560" i="5"/>
  <c r="F33559" i="5"/>
  <c r="F33558" i="5"/>
  <c r="F33557" i="5"/>
  <c r="F33556" i="5"/>
  <c r="F33555" i="5"/>
  <c r="F33554" i="5"/>
  <c r="F33553" i="5"/>
  <c r="F33552" i="5"/>
  <c r="F33551" i="5"/>
  <c r="F33550" i="5"/>
  <c r="F33549" i="5"/>
  <c r="F33548" i="5"/>
  <c r="F33547" i="5"/>
  <c r="F33546" i="5"/>
  <c r="F33545" i="5"/>
  <c r="F33544" i="5"/>
  <c r="F33543" i="5"/>
  <c r="F33542" i="5"/>
  <c r="F33541" i="5"/>
  <c r="F33540" i="5"/>
  <c r="F33539" i="5"/>
  <c r="F33538" i="5"/>
  <c r="F33537" i="5"/>
  <c r="F33536" i="5"/>
  <c r="F33535" i="5"/>
  <c r="F33534" i="5"/>
  <c r="F33533" i="5"/>
  <c r="F33532" i="5"/>
  <c r="F33531" i="5"/>
  <c r="F33530" i="5"/>
  <c r="F33529" i="5"/>
  <c r="F33528" i="5"/>
  <c r="F33527" i="5"/>
  <c r="F33526" i="5"/>
  <c r="F33525" i="5"/>
  <c r="F33524" i="5"/>
  <c r="F33523" i="5"/>
  <c r="F33522" i="5"/>
  <c r="F33521" i="5"/>
  <c r="F33520" i="5"/>
  <c r="F33519" i="5"/>
  <c r="F33518" i="5"/>
  <c r="F33517" i="5"/>
  <c r="F33516" i="5"/>
  <c r="F33515" i="5"/>
  <c r="F33514" i="5"/>
  <c r="F33513" i="5"/>
  <c r="F33512" i="5"/>
  <c r="F33511" i="5"/>
  <c r="F33510" i="5"/>
  <c r="F33509" i="5"/>
  <c r="F33508" i="5"/>
  <c r="F33507" i="5"/>
  <c r="F33506" i="5"/>
  <c r="F33505" i="5"/>
  <c r="F33504" i="5"/>
  <c r="F33503" i="5"/>
  <c r="F33502" i="5"/>
  <c r="F33501" i="5"/>
  <c r="F33500" i="5"/>
  <c r="F33499" i="5"/>
  <c r="F33498" i="5"/>
  <c r="F33497" i="5"/>
  <c r="F33496" i="5"/>
  <c r="F33495" i="5"/>
  <c r="F33494" i="5"/>
  <c r="F33493" i="5"/>
  <c r="F33492" i="5"/>
  <c r="F33491" i="5"/>
  <c r="F33490" i="5"/>
  <c r="F33489" i="5"/>
  <c r="F33488" i="5"/>
  <c r="F33487" i="5"/>
  <c r="F33486" i="5"/>
  <c r="F33485" i="5"/>
  <c r="F33484" i="5"/>
  <c r="F33483" i="5"/>
  <c r="F33482" i="5"/>
  <c r="F33481" i="5"/>
  <c r="F33480" i="5"/>
  <c r="F33479" i="5"/>
  <c r="F33478" i="5"/>
  <c r="F33477" i="5"/>
  <c r="F33476" i="5"/>
  <c r="F33475" i="5"/>
  <c r="F33474" i="5"/>
  <c r="F33473" i="5"/>
  <c r="F33472" i="5"/>
  <c r="F33471" i="5"/>
  <c r="F33470" i="5"/>
  <c r="F33469" i="5"/>
  <c r="F33468" i="5"/>
  <c r="F33467" i="5"/>
  <c r="F33466" i="5"/>
  <c r="F33465" i="5"/>
  <c r="F33464" i="5"/>
  <c r="F33463" i="5"/>
  <c r="F33462" i="5"/>
  <c r="F33461" i="5"/>
  <c r="F33460" i="5"/>
  <c r="F33459" i="5"/>
  <c r="F33458" i="5"/>
  <c r="F33457" i="5"/>
  <c r="F33456" i="5"/>
  <c r="F33455" i="5"/>
  <c r="F33454" i="5"/>
  <c r="F33453" i="5"/>
  <c r="F33452" i="5"/>
  <c r="F33451" i="5"/>
  <c r="F33450" i="5"/>
  <c r="F33449" i="5"/>
  <c r="F33448" i="5"/>
  <c r="F33447" i="5"/>
  <c r="F33446" i="5"/>
  <c r="F33445" i="5"/>
  <c r="F33444" i="5"/>
  <c r="F33443" i="5"/>
  <c r="F33442" i="5"/>
  <c r="F33441" i="5"/>
  <c r="F33440" i="5"/>
  <c r="F33439" i="5"/>
  <c r="F33438" i="5"/>
  <c r="F33437" i="5"/>
  <c r="F33436" i="5"/>
  <c r="F33435" i="5"/>
  <c r="F33434" i="5"/>
  <c r="F33433" i="5"/>
  <c r="F33432" i="5"/>
  <c r="F33431" i="5"/>
  <c r="F33430" i="5"/>
  <c r="F33429" i="5"/>
  <c r="F33428" i="5"/>
  <c r="F33427" i="5"/>
  <c r="F33426" i="5"/>
  <c r="F33425" i="5"/>
  <c r="F33424" i="5"/>
  <c r="F33423" i="5"/>
  <c r="F33422" i="5"/>
  <c r="F33421" i="5"/>
  <c r="F33420" i="5"/>
  <c r="F33419" i="5"/>
  <c r="F33418" i="5"/>
  <c r="F33417" i="5"/>
  <c r="F33416" i="5"/>
  <c r="F33415" i="5"/>
  <c r="F33414" i="5"/>
  <c r="F33413" i="5"/>
  <c r="F33412" i="5"/>
  <c r="F33411" i="5"/>
  <c r="F33410" i="5"/>
  <c r="F33409" i="5"/>
  <c r="F33408" i="5"/>
  <c r="F33407" i="5"/>
  <c r="F33406" i="5"/>
  <c r="F33405" i="5"/>
  <c r="F33404" i="5"/>
  <c r="F33403" i="5"/>
  <c r="F33402" i="5"/>
  <c r="F33401" i="5"/>
  <c r="F33400" i="5"/>
  <c r="F33399" i="5"/>
  <c r="F33398" i="5"/>
  <c r="F33397" i="5"/>
  <c r="F33396" i="5"/>
  <c r="F33395" i="5"/>
  <c r="F33394" i="5"/>
  <c r="F33393" i="5"/>
  <c r="F33392" i="5"/>
  <c r="F33391" i="5"/>
  <c r="F33390" i="5"/>
  <c r="F33389" i="5"/>
  <c r="F33388" i="5"/>
  <c r="F33387" i="5"/>
  <c r="F33386" i="5"/>
  <c r="F33385" i="5"/>
  <c r="F33384" i="5"/>
  <c r="F33383" i="5"/>
  <c r="F33382" i="5"/>
  <c r="F33381" i="5"/>
  <c r="F33380" i="5"/>
  <c r="F33379" i="5"/>
  <c r="F33378" i="5"/>
  <c r="F33377" i="5"/>
  <c r="F33376" i="5"/>
  <c r="F33375" i="5"/>
  <c r="F33374" i="5"/>
  <c r="F33373" i="5"/>
  <c r="F33372" i="5"/>
  <c r="F33371" i="5"/>
  <c r="F33370" i="5"/>
  <c r="F33369" i="5"/>
  <c r="F33368" i="5"/>
  <c r="F33367" i="5"/>
  <c r="F33366" i="5"/>
  <c r="F33365" i="5"/>
  <c r="F33364" i="5"/>
  <c r="F33363" i="5"/>
  <c r="F33362" i="5"/>
  <c r="F33361" i="5"/>
  <c r="F33360" i="5"/>
  <c r="F33359" i="5"/>
  <c r="F33358" i="5"/>
  <c r="F33357" i="5"/>
  <c r="F33356" i="5"/>
  <c r="F33355" i="5"/>
  <c r="F33354" i="5"/>
  <c r="F33353" i="5"/>
  <c r="F33352" i="5"/>
  <c r="F33351" i="5"/>
  <c r="F33350" i="5"/>
  <c r="F33349" i="5"/>
  <c r="F33348" i="5"/>
  <c r="F33347" i="5"/>
  <c r="F33346" i="5"/>
  <c r="F33345" i="5"/>
  <c r="F33344" i="5"/>
  <c r="F33343" i="5"/>
  <c r="F33342" i="5"/>
  <c r="F33341" i="5"/>
  <c r="F33340" i="5"/>
  <c r="F33339" i="5"/>
  <c r="F33338" i="5"/>
  <c r="F33337" i="5"/>
  <c r="F33336" i="5"/>
  <c r="F33335" i="5"/>
  <c r="F33334" i="5"/>
  <c r="F33333" i="5"/>
  <c r="F33332" i="5"/>
  <c r="F33331" i="5"/>
  <c r="F33330" i="5"/>
  <c r="F33329" i="5"/>
  <c r="F33328" i="5"/>
  <c r="F33327" i="5"/>
  <c r="F33326" i="5"/>
  <c r="F33325" i="5"/>
  <c r="F33324" i="5"/>
  <c r="F33323" i="5"/>
  <c r="F33322" i="5"/>
  <c r="F33321" i="5"/>
  <c r="F33320" i="5"/>
  <c r="F33319" i="5"/>
  <c r="F33318" i="5"/>
  <c r="F33317" i="5"/>
  <c r="F33316" i="5"/>
  <c r="F33315" i="5"/>
  <c r="F33314" i="5"/>
  <c r="F33313" i="5"/>
  <c r="F33312" i="5"/>
  <c r="F33311" i="5"/>
  <c r="F33310" i="5"/>
  <c r="F33309" i="5"/>
  <c r="F33308" i="5"/>
  <c r="F33307" i="5"/>
  <c r="F33306" i="5"/>
  <c r="F33305" i="5"/>
  <c r="F33304" i="5"/>
  <c r="F33303" i="5"/>
  <c r="F33302" i="5"/>
  <c r="F33301" i="5"/>
  <c r="F33300" i="5"/>
  <c r="F33299" i="5"/>
  <c r="F33298" i="5"/>
  <c r="F33297" i="5"/>
  <c r="F33296" i="5"/>
  <c r="F33295" i="5"/>
  <c r="F33294" i="5"/>
  <c r="F33293" i="5"/>
  <c r="F33292" i="5"/>
  <c r="F33291" i="5"/>
  <c r="F33290" i="5"/>
  <c r="F33289" i="5"/>
  <c r="F33288" i="5"/>
  <c r="F33287" i="5"/>
  <c r="F33286" i="5"/>
  <c r="F33285" i="5"/>
  <c r="F33284" i="5"/>
  <c r="F33283" i="5"/>
  <c r="F33282" i="5"/>
  <c r="F33281" i="5"/>
  <c r="F33280" i="5"/>
  <c r="F33279" i="5"/>
  <c r="F33278" i="5"/>
  <c r="F33277" i="5"/>
  <c r="F33276" i="5"/>
  <c r="F33275" i="5"/>
  <c r="F33274" i="5"/>
  <c r="F33273" i="5"/>
  <c r="F33272" i="5"/>
  <c r="F33271" i="5"/>
  <c r="F33270" i="5"/>
  <c r="F33269" i="5"/>
  <c r="F33268" i="5"/>
  <c r="F33267" i="5"/>
  <c r="F33266" i="5"/>
  <c r="F33265" i="5"/>
  <c r="F33264" i="5"/>
  <c r="F33263" i="5"/>
  <c r="F33262" i="5"/>
  <c r="F33261" i="5"/>
  <c r="F33260" i="5"/>
  <c r="F33259" i="5"/>
  <c r="F33258" i="5"/>
  <c r="F33257" i="5"/>
  <c r="F33256" i="5"/>
  <c r="F33255" i="5"/>
  <c r="F33254" i="5"/>
  <c r="F33253" i="5"/>
  <c r="F33252" i="5"/>
  <c r="F33251" i="5"/>
  <c r="F33250" i="5"/>
  <c r="F33249" i="5"/>
  <c r="F33248" i="5"/>
  <c r="F33247" i="5"/>
  <c r="F33246" i="5"/>
  <c r="F33245" i="5"/>
  <c r="F33244" i="5"/>
  <c r="F33243" i="5"/>
  <c r="F33242" i="5"/>
  <c r="F33241" i="5"/>
  <c r="F33240" i="5"/>
  <c r="F33239" i="5"/>
  <c r="F33238" i="5"/>
  <c r="F33237" i="5"/>
  <c r="F33236" i="5"/>
  <c r="F33235" i="5"/>
  <c r="F33234" i="5"/>
  <c r="F33233" i="5"/>
  <c r="F33232" i="5"/>
  <c r="F33231" i="5"/>
  <c r="F33230" i="5"/>
  <c r="F33229" i="5"/>
  <c r="F33228" i="5"/>
  <c r="F33227" i="5"/>
  <c r="F33226" i="5"/>
  <c r="F33225" i="5"/>
  <c r="F33224" i="5"/>
  <c r="F33223" i="5"/>
  <c r="F33222" i="5"/>
  <c r="F33221" i="5"/>
  <c r="F33220" i="5"/>
  <c r="F33219" i="5"/>
  <c r="F33218" i="5"/>
  <c r="F33217" i="5"/>
  <c r="F33216" i="5"/>
  <c r="F33215" i="5"/>
  <c r="F33214" i="5"/>
  <c r="F33213" i="5"/>
  <c r="F33212" i="5"/>
  <c r="F33211" i="5"/>
  <c r="F33210" i="5"/>
  <c r="F33209" i="5"/>
  <c r="F33208" i="5"/>
  <c r="F33207" i="5"/>
  <c r="F33206" i="5"/>
  <c r="F33205" i="5"/>
  <c r="F33204" i="5"/>
  <c r="F33203" i="5"/>
  <c r="F33202" i="5"/>
  <c r="F33201" i="5"/>
  <c r="F33200" i="5"/>
  <c r="F33199" i="5"/>
  <c r="F33198" i="5"/>
  <c r="F33197" i="5"/>
  <c r="F33196" i="5"/>
  <c r="F33195" i="5"/>
  <c r="F33194" i="5"/>
  <c r="F33193" i="5"/>
  <c r="F33192" i="5"/>
  <c r="F33191" i="5"/>
  <c r="F33190" i="5"/>
  <c r="F33189" i="5"/>
  <c r="F33188" i="5"/>
  <c r="F33187" i="5"/>
  <c r="F33186" i="5"/>
  <c r="F33185" i="5"/>
  <c r="F33184" i="5"/>
  <c r="F33183" i="5"/>
  <c r="F33182" i="5"/>
  <c r="F33181" i="5"/>
  <c r="F33180" i="5"/>
  <c r="F33179" i="5"/>
  <c r="F33178" i="5"/>
  <c r="F33177" i="5"/>
  <c r="F33176" i="5"/>
  <c r="F33175" i="5"/>
  <c r="F33174" i="5"/>
  <c r="F33173" i="5"/>
  <c r="F33172" i="5"/>
  <c r="F33171" i="5"/>
  <c r="F33170" i="5"/>
  <c r="F33169" i="5"/>
  <c r="F33168" i="5"/>
  <c r="F33167" i="5"/>
  <c r="F33166" i="5"/>
  <c r="F33165" i="5"/>
  <c r="F33164" i="5"/>
  <c r="F33163" i="5"/>
  <c r="F33162" i="5"/>
  <c r="F33161" i="5"/>
  <c r="F33160" i="5"/>
  <c r="F33159" i="5"/>
  <c r="F33158" i="5"/>
  <c r="F33157" i="5"/>
  <c r="F33156" i="5"/>
  <c r="F33155" i="5"/>
  <c r="F33154" i="5"/>
  <c r="F33153" i="5"/>
  <c r="F33152" i="5"/>
  <c r="F33151" i="5"/>
  <c r="F33150" i="5"/>
  <c r="F33149" i="5"/>
  <c r="F33148" i="5"/>
  <c r="F33147" i="5"/>
  <c r="F33146" i="5"/>
  <c r="F33145" i="5"/>
  <c r="F33144" i="5"/>
  <c r="F33143" i="5"/>
  <c r="F33142" i="5"/>
  <c r="F33141" i="5"/>
  <c r="F33140" i="5"/>
  <c r="F33139" i="5"/>
  <c r="F33138" i="5"/>
  <c r="F33137" i="5"/>
  <c r="F33136" i="5"/>
  <c r="F33135" i="5"/>
  <c r="F33134" i="5"/>
  <c r="F33133" i="5"/>
  <c r="F33132" i="5"/>
  <c r="F33131" i="5"/>
  <c r="F33130" i="5"/>
  <c r="F33129" i="5"/>
  <c r="F33128" i="5"/>
  <c r="F33127" i="5"/>
  <c r="F33126" i="5"/>
  <c r="F33125" i="5"/>
  <c r="F33124" i="5"/>
  <c r="F33123" i="5"/>
  <c r="F33122" i="5"/>
  <c r="F33121" i="5"/>
  <c r="F33120" i="5"/>
  <c r="F33119" i="5"/>
  <c r="F33118" i="5"/>
  <c r="F33117" i="5"/>
  <c r="F33116" i="5"/>
  <c r="F33115" i="5"/>
  <c r="F33114" i="5"/>
  <c r="F33113" i="5"/>
  <c r="F33112" i="5"/>
  <c r="F33111" i="5"/>
  <c r="F33110" i="5"/>
  <c r="F33109" i="5"/>
  <c r="F33108" i="5"/>
  <c r="F33107" i="5"/>
  <c r="F33106" i="5"/>
  <c r="F33105" i="5"/>
  <c r="F33104" i="5"/>
  <c r="F33103" i="5"/>
  <c r="F33102" i="5"/>
  <c r="F33101" i="5"/>
  <c r="F33100" i="5"/>
  <c r="F33099" i="5"/>
  <c r="F33098" i="5"/>
  <c r="F33097" i="5"/>
  <c r="F33096" i="5"/>
  <c r="F33095" i="5"/>
  <c r="F33094" i="5"/>
  <c r="F33093" i="5"/>
  <c r="F33092" i="5"/>
  <c r="F33091" i="5"/>
  <c r="F33090" i="5"/>
  <c r="F33089" i="5"/>
  <c r="F33088" i="5"/>
  <c r="F33087" i="5"/>
  <c r="F33086" i="5"/>
  <c r="F33085" i="5"/>
  <c r="F33084" i="5"/>
  <c r="F33083" i="5"/>
  <c r="F33082" i="5"/>
  <c r="F33081" i="5"/>
  <c r="F33080" i="5"/>
  <c r="F33079" i="5"/>
  <c r="F33078" i="5"/>
  <c r="F33077" i="5"/>
  <c r="F33076" i="5"/>
  <c r="F33075" i="5"/>
  <c r="F33074" i="5"/>
  <c r="F33073" i="5"/>
  <c r="F33072" i="5"/>
  <c r="F33071" i="5"/>
  <c r="F33070" i="5"/>
  <c r="F33069" i="5"/>
  <c r="F33068" i="5"/>
  <c r="F33067" i="5"/>
  <c r="F33066" i="5"/>
  <c r="F33065" i="5"/>
  <c r="F33064" i="5"/>
  <c r="F33063" i="5"/>
  <c r="F33062" i="5"/>
  <c r="F33061" i="5"/>
  <c r="F33060" i="5"/>
  <c r="F33059" i="5"/>
  <c r="F33058" i="5"/>
  <c r="F33057" i="5"/>
  <c r="F33056" i="5"/>
  <c r="F33055" i="5"/>
  <c r="F33054" i="5"/>
  <c r="F33053" i="5"/>
  <c r="F33052" i="5"/>
  <c r="F33051" i="5"/>
  <c r="F33050" i="5"/>
  <c r="F33049" i="5"/>
  <c r="F33048" i="5"/>
  <c r="F33047" i="5"/>
  <c r="F33046" i="5"/>
  <c r="F33045" i="5"/>
  <c r="F33044" i="5"/>
  <c r="F33043" i="5"/>
  <c r="F33042" i="5"/>
  <c r="F33041" i="5"/>
  <c r="F33040" i="5"/>
  <c r="F33039" i="5"/>
  <c r="F33038" i="5"/>
  <c r="F33037" i="5"/>
  <c r="F33036" i="5"/>
  <c r="F33035" i="5"/>
  <c r="F33034" i="5"/>
  <c r="F33033" i="5"/>
  <c r="F33032" i="5"/>
  <c r="F33031" i="5"/>
  <c r="F33030" i="5"/>
  <c r="F33029" i="5"/>
  <c r="F33028" i="5"/>
  <c r="F33027" i="5"/>
  <c r="F33026" i="5"/>
  <c r="F33025" i="5"/>
  <c r="F33024" i="5"/>
  <c r="F33023" i="5"/>
  <c r="F33022" i="5"/>
  <c r="F33021" i="5"/>
  <c r="F33020" i="5"/>
  <c r="F33019" i="5"/>
  <c r="F33018" i="5"/>
  <c r="F33017" i="5"/>
  <c r="F33016" i="5"/>
  <c r="F33015" i="5"/>
  <c r="F33014" i="5"/>
  <c r="F33013" i="5"/>
  <c r="F33012" i="5"/>
  <c r="F33011" i="5"/>
  <c r="F33010" i="5"/>
  <c r="F33009" i="5"/>
  <c r="F33008" i="5"/>
  <c r="F33007" i="5"/>
  <c r="F33006" i="5"/>
  <c r="F33005" i="5"/>
  <c r="F33004" i="5"/>
  <c r="F33003" i="5"/>
  <c r="F33002" i="5"/>
  <c r="F33001" i="5"/>
  <c r="F33000" i="5"/>
  <c r="F32999" i="5"/>
  <c r="F32998" i="5"/>
  <c r="F32997" i="5"/>
  <c r="F32996" i="5"/>
  <c r="F32995" i="5"/>
  <c r="F32994" i="5"/>
  <c r="F32993" i="5"/>
  <c r="F32992" i="5"/>
  <c r="F32991" i="5"/>
  <c r="F32990" i="5"/>
  <c r="F32989" i="5"/>
  <c r="F32988" i="5"/>
  <c r="F32987" i="5"/>
  <c r="F32986" i="5"/>
  <c r="F32985" i="5"/>
  <c r="F32984" i="5"/>
  <c r="F32983" i="5"/>
  <c r="F32982" i="5"/>
  <c r="F32981" i="5"/>
  <c r="F32980" i="5"/>
  <c r="F32979" i="5"/>
  <c r="F32978" i="5"/>
  <c r="F32977" i="5"/>
  <c r="F32976" i="5"/>
  <c r="F32975" i="5"/>
  <c r="F32974" i="5"/>
  <c r="F32973" i="5"/>
  <c r="F32972" i="5"/>
  <c r="F32971" i="5"/>
  <c r="F32970" i="5"/>
  <c r="F32969" i="5"/>
  <c r="F32968" i="5"/>
  <c r="F32967" i="5"/>
  <c r="F32966" i="5"/>
  <c r="F32965" i="5"/>
  <c r="F32964" i="5"/>
  <c r="F32963" i="5"/>
  <c r="F32962" i="5"/>
  <c r="F32961" i="5"/>
  <c r="F32960" i="5"/>
  <c r="F32959" i="5"/>
  <c r="F32958" i="5"/>
  <c r="F32957" i="5"/>
  <c r="F32956" i="5"/>
  <c r="F32955" i="5"/>
  <c r="F32954" i="5"/>
  <c r="F32953" i="5"/>
  <c r="F32952" i="5"/>
  <c r="F32951" i="5"/>
  <c r="F32950" i="5"/>
  <c r="F32949" i="5"/>
  <c r="F32948" i="5"/>
  <c r="F32947" i="5"/>
  <c r="F32946" i="5"/>
  <c r="F32945" i="5"/>
  <c r="F32944" i="5"/>
  <c r="F32943" i="5"/>
  <c r="F32942" i="5"/>
  <c r="F32941" i="5"/>
  <c r="F32940" i="5"/>
  <c r="F32939" i="5"/>
  <c r="F32938" i="5"/>
  <c r="F32937" i="5"/>
  <c r="F32936" i="5"/>
  <c r="F32935" i="5"/>
  <c r="F32934" i="5"/>
  <c r="F32933" i="5"/>
  <c r="F32932" i="5"/>
  <c r="F32931" i="5"/>
  <c r="F32930" i="5"/>
  <c r="F32929" i="5"/>
  <c r="F32928" i="5"/>
  <c r="F32927" i="5"/>
  <c r="F32926" i="5"/>
  <c r="F32925" i="5"/>
  <c r="F32924" i="5"/>
  <c r="F32923" i="5"/>
  <c r="F32922" i="5"/>
  <c r="F32921" i="5"/>
  <c r="F32920" i="5"/>
  <c r="F32919" i="5"/>
  <c r="F32918" i="5"/>
  <c r="F32917" i="5"/>
  <c r="F32916" i="5"/>
  <c r="F32915" i="5"/>
  <c r="F32914" i="5"/>
  <c r="F32913" i="5"/>
  <c r="F32912" i="5"/>
  <c r="F32911" i="5"/>
  <c r="F32910" i="5"/>
  <c r="F32909" i="5"/>
  <c r="F32908" i="5"/>
  <c r="F32907" i="5"/>
  <c r="F32906" i="5"/>
  <c r="F32905" i="5"/>
  <c r="F32904" i="5"/>
  <c r="F32903" i="5"/>
  <c r="F32902" i="5"/>
  <c r="F32901" i="5"/>
  <c r="F32900" i="5"/>
  <c r="F32899" i="5"/>
  <c r="F32898" i="5"/>
  <c r="F32897" i="5"/>
  <c r="F32896" i="5"/>
  <c r="F32895" i="5"/>
  <c r="F32894" i="5"/>
  <c r="F32893" i="5"/>
  <c r="F32892" i="5"/>
  <c r="F32891" i="5"/>
  <c r="F32890" i="5"/>
  <c r="F32889" i="5"/>
  <c r="F32888" i="5"/>
  <c r="F32887" i="5"/>
  <c r="F32886" i="5"/>
  <c r="F32885" i="5"/>
  <c r="F32884" i="5"/>
  <c r="F32883" i="5"/>
  <c r="F32882" i="5"/>
  <c r="F32881" i="5"/>
  <c r="F32880" i="5"/>
  <c r="F32879" i="5"/>
  <c r="F32878" i="5"/>
  <c r="F32877" i="5"/>
  <c r="F32876" i="5"/>
  <c r="F32875" i="5"/>
  <c r="F32874" i="5"/>
  <c r="F32873" i="5"/>
  <c r="F32872" i="5"/>
  <c r="F32871" i="5"/>
  <c r="F32870" i="5"/>
  <c r="F32869" i="5"/>
  <c r="F32868" i="5"/>
  <c r="F32867" i="5"/>
  <c r="F32866" i="5"/>
  <c r="F32865" i="5"/>
  <c r="F32864" i="5"/>
  <c r="F32863" i="5"/>
  <c r="F32862" i="5"/>
  <c r="F32861" i="5"/>
  <c r="F32860" i="5"/>
  <c r="F32859" i="5"/>
  <c r="F32858" i="5"/>
  <c r="F32857" i="5"/>
  <c r="F32856" i="5"/>
  <c r="F32855" i="5"/>
  <c r="F32854" i="5"/>
  <c r="F32853" i="5"/>
  <c r="F32852" i="5"/>
  <c r="F32851" i="5"/>
  <c r="F32850" i="5"/>
  <c r="F32849" i="5"/>
  <c r="F32848" i="5"/>
  <c r="F32847" i="5"/>
  <c r="F32846" i="5"/>
  <c r="F32845" i="5"/>
  <c r="F32844" i="5"/>
  <c r="F32843" i="5"/>
  <c r="F32842" i="5"/>
  <c r="F32841" i="5"/>
  <c r="F32840" i="5"/>
  <c r="F32839" i="5"/>
  <c r="F32838" i="5"/>
  <c r="F32837" i="5"/>
  <c r="F32836" i="5"/>
  <c r="F32835" i="5"/>
  <c r="F32834" i="5"/>
  <c r="F32833" i="5"/>
  <c r="F32832" i="5"/>
  <c r="F32831" i="5"/>
  <c r="F32830" i="5"/>
  <c r="F32829" i="5"/>
  <c r="F32828" i="5"/>
  <c r="F32827" i="5"/>
  <c r="F32826" i="5"/>
  <c r="F32825" i="5"/>
  <c r="F32824" i="5"/>
  <c r="F32823" i="5"/>
  <c r="F32822" i="5"/>
  <c r="F32821" i="5"/>
  <c r="F32820" i="5"/>
  <c r="F32819" i="5"/>
  <c r="F32818" i="5"/>
  <c r="F32817" i="5"/>
  <c r="F32816" i="5"/>
  <c r="F32815" i="5"/>
  <c r="F32814" i="5"/>
  <c r="F32813" i="5"/>
  <c r="F32812" i="5"/>
  <c r="F32811" i="5"/>
  <c r="F32810" i="5"/>
  <c r="F32809" i="5"/>
  <c r="F32808" i="5"/>
  <c r="F32807" i="5"/>
  <c r="F32806" i="5"/>
  <c r="F32805" i="5"/>
  <c r="F32804" i="5"/>
  <c r="F32803" i="5"/>
  <c r="F32802" i="5"/>
  <c r="F32801" i="5"/>
  <c r="F32800" i="5"/>
  <c r="F32799" i="5"/>
  <c r="F32798" i="5"/>
  <c r="F32797" i="5"/>
  <c r="F32796" i="5"/>
  <c r="F32795" i="5"/>
  <c r="F32794" i="5"/>
  <c r="F32793" i="5"/>
  <c r="F32792" i="5"/>
  <c r="F32791" i="5"/>
  <c r="F32790" i="5"/>
  <c r="F32789" i="5"/>
  <c r="F32788" i="5"/>
  <c r="F32787" i="5"/>
  <c r="F32786" i="5"/>
  <c r="F32785" i="5"/>
  <c r="F32784" i="5"/>
  <c r="F32783" i="5"/>
  <c r="F32782" i="5"/>
  <c r="F32781" i="5"/>
  <c r="F32780" i="5"/>
  <c r="F32779" i="5"/>
  <c r="F32778" i="5"/>
  <c r="F32777" i="5"/>
  <c r="F32776" i="5"/>
  <c r="F32775" i="5"/>
  <c r="F32774" i="5"/>
  <c r="F32773" i="5"/>
  <c r="F32772" i="5"/>
  <c r="F32771" i="5"/>
  <c r="F32770" i="5"/>
  <c r="F32769" i="5"/>
  <c r="F32768" i="5"/>
  <c r="F32767" i="5"/>
  <c r="F32766" i="5"/>
  <c r="F32765" i="5"/>
  <c r="F32764" i="5"/>
  <c r="F32763" i="5"/>
  <c r="F32762" i="5"/>
  <c r="F32761" i="5"/>
  <c r="F32760" i="5"/>
  <c r="F32759" i="5"/>
  <c r="F32758" i="5"/>
  <c r="F32757" i="5"/>
  <c r="F32756" i="5"/>
  <c r="F32755" i="5"/>
  <c r="F32754" i="5"/>
  <c r="F32753" i="5"/>
  <c r="F32752" i="5"/>
  <c r="F32751" i="5"/>
  <c r="F32750" i="5"/>
  <c r="F32749" i="5"/>
  <c r="F32748" i="5"/>
  <c r="F32747" i="5"/>
  <c r="F32746" i="5"/>
  <c r="F32745" i="5"/>
  <c r="F32744" i="5"/>
  <c r="F32743" i="5"/>
  <c r="F32742" i="5"/>
  <c r="F32741" i="5"/>
  <c r="F32740" i="5"/>
  <c r="F32739" i="5"/>
  <c r="F32738" i="5"/>
  <c r="F32737" i="5"/>
  <c r="F32736" i="5"/>
  <c r="F32735" i="5"/>
  <c r="F32734" i="5"/>
  <c r="F32733" i="5"/>
  <c r="F32732" i="5"/>
  <c r="F32731" i="5"/>
  <c r="F32730" i="5"/>
  <c r="F32729" i="5"/>
  <c r="F32728" i="5"/>
  <c r="F32727" i="5"/>
  <c r="F32726" i="5"/>
  <c r="F32725" i="5"/>
  <c r="F32724" i="5"/>
  <c r="F32723" i="5"/>
  <c r="F32722" i="5"/>
  <c r="F32721" i="5"/>
  <c r="F32720" i="5"/>
  <c r="F32719" i="5"/>
  <c r="F32718" i="5"/>
  <c r="F32717" i="5"/>
  <c r="F32716" i="5"/>
  <c r="F32715" i="5"/>
  <c r="F32714" i="5"/>
  <c r="F32713" i="5"/>
  <c r="F32712" i="5"/>
  <c r="F32711" i="5"/>
  <c r="F32710" i="5"/>
  <c r="F32709" i="5"/>
  <c r="F32708" i="5"/>
  <c r="F32707" i="5"/>
  <c r="F32706" i="5"/>
  <c r="F32705" i="5"/>
  <c r="F32704" i="5"/>
  <c r="F32703" i="5"/>
  <c r="F32702" i="5"/>
  <c r="F32701" i="5"/>
  <c r="F32700" i="5"/>
  <c r="F32699" i="5"/>
  <c r="F32698" i="5"/>
  <c r="F32697" i="5"/>
  <c r="F32696" i="5"/>
  <c r="F32695" i="5"/>
  <c r="F32694" i="5"/>
  <c r="F32693" i="5"/>
  <c r="F32692" i="5"/>
  <c r="F32691" i="5"/>
  <c r="F32690" i="5"/>
  <c r="F32689" i="5"/>
  <c r="F32688" i="5"/>
  <c r="F32687" i="5"/>
  <c r="F32686" i="5"/>
  <c r="F32685" i="5"/>
  <c r="F32684" i="5"/>
  <c r="F32683" i="5"/>
  <c r="F32682" i="5"/>
  <c r="F32681" i="5"/>
  <c r="F32680" i="5"/>
  <c r="F32679" i="5"/>
  <c r="F32678" i="5"/>
  <c r="F32677" i="5"/>
  <c r="F32676" i="5"/>
  <c r="F32675" i="5"/>
  <c r="F32674" i="5"/>
  <c r="F32673" i="5"/>
  <c r="F32672" i="5"/>
  <c r="F32671" i="5"/>
  <c r="F32670" i="5"/>
  <c r="F32669" i="5"/>
  <c r="F32668" i="5"/>
  <c r="F32667" i="5"/>
  <c r="F32666" i="5"/>
  <c r="F32665" i="5"/>
  <c r="F32664" i="5"/>
  <c r="F32663" i="5"/>
  <c r="F32662" i="5"/>
  <c r="F32661" i="5"/>
  <c r="F32660" i="5"/>
  <c r="F32659" i="5"/>
  <c r="F32658" i="5"/>
  <c r="F32657" i="5"/>
  <c r="F32656" i="5"/>
  <c r="F32655" i="5"/>
  <c r="F32654" i="5"/>
  <c r="F32653" i="5"/>
  <c r="F32652" i="5"/>
  <c r="F32651" i="5"/>
  <c r="F32650" i="5"/>
  <c r="F32649" i="5"/>
  <c r="F32648" i="5"/>
  <c r="F32647" i="5"/>
  <c r="F32646" i="5"/>
  <c r="F32645" i="5"/>
  <c r="F32644" i="5"/>
  <c r="F32643" i="5"/>
  <c r="F32642" i="5"/>
  <c r="F32641" i="5"/>
  <c r="F32640" i="5"/>
  <c r="F32639" i="5"/>
  <c r="F32638" i="5"/>
  <c r="F32637" i="5"/>
  <c r="F32636" i="5"/>
  <c r="F32635" i="5"/>
  <c r="F32634" i="5"/>
  <c r="F32633" i="5"/>
  <c r="F32632" i="5"/>
  <c r="F32631" i="5"/>
  <c r="F32630" i="5"/>
  <c r="F32629" i="5"/>
  <c r="F32628" i="5"/>
  <c r="F32627" i="5"/>
  <c r="F32626" i="5"/>
  <c r="F32625" i="5"/>
  <c r="F32624" i="5"/>
  <c r="F32623" i="5"/>
  <c r="F32622" i="5"/>
  <c r="F32621" i="5"/>
  <c r="F32620" i="5"/>
  <c r="F32619" i="5"/>
  <c r="F32618" i="5"/>
  <c r="F32617" i="5"/>
  <c r="F32616" i="5"/>
  <c r="F32615" i="5"/>
  <c r="F32614" i="5"/>
  <c r="F32613" i="5"/>
  <c r="F32612" i="5"/>
  <c r="F32611" i="5"/>
  <c r="F32610" i="5"/>
  <c r="F32609" i="5"/>
  <c r="F32608" i="5"/>
  <c r="F32607" i="5"/>
  <c r="F32606" i="5"/>
  <c r="F32605" i="5"/>
  <c r="F32604" i="5"/>
  <c r="F32603" i="5"/>
  <c r="F32602" i="5"/>
  <c r="F32601" i="5"/>
  <c r="F32600" i="5"/>
  <c r="F32599" i="5"/>
  <c r="F32598" i="5"/>
  <c r="F32597" i="5"/>
  <c r="F32596" i="5"/>
  <c r="F32595" i="5"/>
  <c r="F32594" i="5"/>
  <c r="F32593" i="5"/>
  <c r="F32592" i="5"/>
  <c r="F32591" i="5"/>
  <c r="F32590" i="5"/>
  <c r="F32589" i="5"/>
  <c r="F32588" i="5"/>
  <c r="F32587" i="5"/>
  <c r="F32586" i="5"/>
  <c r="F32585" i="5"/>
  <c r="F32584" i="5"/>
  <c r="F32583" i="5"/>
  <c r="F32582" i="5"/>
  <c r="F32581" i="5"/>
  <c r="F32580" i="5"/>
  <c r="F32579" i="5"/>
  <c r="F32578" i="5"/>
  <c r="F32577" i="5"/>
  <c r="F32576" i="5"/>
  <c r="F32575" i="5"/>
  <c r="F32574" i="5"/>
  <c r="F32573" i="5"/>
  <c r="F32572" i="5"/>
  <c r="F32571" i="5"/>
  <c r="F32570" i="5"/>
  <c r="F32569" i="5"/>
  <c r="F32568" i="5"/>
  <c r="F32567" i="5"/>
  <c r="F32566" i="5"/>
  <c r="F32565" i="5"/>
  <c r="F32564" i="5"/>
  <c r="F32563" i="5"/>
  <c r="F32562" i="5"/>
  <c r="F32561" i="5"/>
  <c r="F32560" i="5"/>
  <c r="F32559" i="5"/>
  <c r="F32558" i="5"/>
  <c r="F32557" i="5"/>
  <c r="F32556" i="5"/>
  <c r="F32555" i="5"/>
  <c r="F32554" i="5"/>
  <c r="F32553" i="5"/>
  <c r="F32552" i="5"/>
  <c r="F32551" i="5"/>
  <c r="F32550" i="5"/>
  <c r="F32549" i="5"/>
  <c r="F32548" i="5"/>
  <c r="F32547" i="5"/>
  <c r="F32546" i="5"/>
  <c r="F32545" i="5"/>
  <c r="F32544" i="5"/>
  <c r="F32543" i="5"/>
  <c r="F32542" i="5"/>
  <c r="F32541" i="5"/>
  <c r="F32540" i="5"/>
  <c r="F32539" i="5"/>
  <c r="F32538" i="5"/>
  <c r="F32537" i="5"/>
  <c r="F32536" i="5"/>
  <c r="F32535" i="5"/>
  <c r="F32534" i="5"/>
  <c r="F32533" i="5"/>
  <c r="F32532" i="5"/>
  <c r="F32531" i="5"/>
  <c r="F32530" i="5"/>
  <c r="F32529" i="5"/>
  <c r="F32528" i="5"/>
  <c r="F32527" i="5"/>
  <c r="F32526" i="5"/>
  <c r="F32525" i="5"/>
  <c r="F32524" i="5"/>
  <c r="F32523" i="5"/>
  <c r="F32522" i="5"/>
  <c r="F32521" i="5"/>
  <c r="F32520" i="5"/>
  <c r="F32519" i="5"/>
  <c r="F32518" i="5"/>
  <c r="F32517" i="5"/>
  <c r="F32516" i="5"/>
  <c r="F32515" i="5"/>
  <c r="F32514" i="5"/>
  <c r="F32513" i="5"/>
  <c r="F32512" i="5"/>
  <c r="F32511" i="5"/>
  <c r="F32510" i="5"/>
  <c r="F32509" i="5"/>
  <c r="F32508" i="5"/>
  <c r="F32507" i="5"/>
  <c r="F32506" i="5"/>
  <c r="F32505" i="5"/>
  <c r="F32504" i="5"/>
  <c r="F32503" i="5"/>
  <c r="F32502" i="5"/>
  <c r="F32501" i="5"/>
  <c r="F32500" i="5"/>
  <c r="F32499" i="5"/>
  <c r="F32498" i="5"/>
  <c r="F32497" i="5"/>
  <c r="F32496" i="5"/>
  <c r="F32495" i="5"/>
  <c r="F32494" i="5"/>
  <c r="F32493" i="5"/>
  <c r="F32492" i="5"/>
  <c r="F32491" i="5"/>
  <c r="F32490" i="5"/>
  <c r="F32489" i="5"/>
  <c r="F32488" i="5"/>
  <c r="F32487" i="5"/>
  <c r="F32486" i="5"/>
  <c r="F32485" i="5"/>
  <c r="F32484" i="5"/>
  <c r="F32483" i="5"/>
  <c r="F32482" i="5"/>
  <c r="F32481" i="5"/>
  <c r="F32480" i="5"/>
  <c r="F32479" i="5"/>
  <c r="F32478" i="5"/>
  <c r="F32477" i="5"/>
  <c r="F32476" i="5"/>
  <c r="F32475" i="5"/>
  <c r="F32474" i="5"/>
  <c r="F32473" i="5"/>
  <c r="F32472" i="5"/>
  <c r="F32471" i="5"/>
  <c r="F32470" i="5"/>
  <c r="F32469" i="5"/>
  <c r="F32468" i="5"/>
  <c r="F32467" i="5"/>
  <c r="F32466" i="5"/>
  <c r="F32465" i="5"/>
  <c r="F32464" i="5"/>
  <c r="F32463" i="5"/>
  <c r="F32462" i="5"/>
  <c r="F32461" i="5"/>
  <c r="F32460" i="5"/>
  <c r="F32459" i="5"/>
  <c r="F32458" i="5"/>
  <c r="F32457" i="5"/>
  <c r="F32456" i="5"/>
  <c r="F32455" i="5"/>
  <c r="F32454" i="5"/>
  <c r="F32453" i="5"/>
  <c r="F32452" i="5"/>
  <c r="F32451" i="5"/>
  <c r="F32450" i="5"/>
  <c r="F32449" i="5"/>
  <c r="F32448" i="5"/>
  <c r="F32447" i="5"/>
  <c r="F32446" i="5"/>
  <c r="F32445" i="5"/>
  <c r="F32444" i="5"/>
  <c r="F32443" i="5"/>
  <c r="F32442" i="5"/>
  <c r="F32441" i="5"/>
  <c r="F32440" i="5"/>
  <c r="F32439" i="5"/>
  <c r="F32438" i="5"/>
  <c r="F32437" i="5"/>
  <c r="F32436" i="5"/>
  <c r="F32435" i="5"/>
  <c r="F32434" i="5"/>
  <c r="F32433" i="5"/>
  <c r="F32432" i="5"/>
  <c r="F32431" i="5"/>
  <c r="F32430" i="5"/>
  <c r="F32429" i="5"/>
  <c r="F32428" i="5"/>
  <c r="F32427" i="5"/>
  <c r="F32426" i="5"/>
  <c r="F32425" i="5"/>
  <c r="F32424" i="5"/>
  <c r="F32423" i="5"/>
  <c r="F32422" i="5"/>
  <c r="F32421" i="5"/>
  <c r="F32420" i="5"/>
  <c r="F32419" i="5"/>
  <c r="F32418" i="5"/>
  <c r="F32417" i="5"/>
  <c r="F32416" i="5"/>
  <c r="F32415" i="5"/>
  <c r="F32414" i="5"/>
  <c r="F32413" i="5"/>
  <c r="F32412" i="5"/>
  <c r="F32411" i="5"/>
  <c r="F32410" i="5"/>
  <c r="F32409" i="5"/>
  <c r="F32408" i="5"/>
  <c r="F32407" i="5"/>
  <c r="F32406" i="5"/>
  <c r="F32405" i="5"/>
  <c r="F32404" i="5"/>
  <c r="F32403" i="5"/>
  <c r="F32402" i="5"/>
  <c r="F32401" i="5"/>
  <c r="F32400" i="5"/>
  <c r="F32399" i="5"/>
  <c r="F32398" i="5"/>
  <c r="F32397" i="5"/>
  <c r="F32396" i="5"/>
  <c r="F32395" i="5"/>
  <c r="F32394" i="5"/>
  <c r="F32393" i="5"/>
  <c r="F32392" i="5"/>
  <c r="F32391" i="5"/>
  <c r="F32390" i="5"/>
  <c r="F32389" i="5"/>
  <c r="F32388" i="5"/>
  <c r="F32387" i="5"/>
  <c r="F32386" i="5"/>
  <c r="F32385" i="5"/>
  <c r="F32384" i="5"/>
  <c r="F32383" i="5"/>
  <c r="F32382" i="5"/>
  <c r="F32381" i="5"/>
  <c r="F32380" i="5"/>
  <c r="F32379" i="5"/>
  <c r="F32378" i="5"/>
  <c r="F32377" i="5"/>
  <c r="F32376" i="5"/>
  <c r="F32375" i="5"/>
  <c r="F32374" i="5"/>
  <c r="F32373" i="5"/>
  <c r="F32372" i="5"/>
  <c r="F32371" i="5"/>
  <c r="F32370" i="5"/>
  <c r="F32369" i="5"/>
  <c r="F32368" i="5"/>
  <c r="F32367" i="5"/>
  <c r="F32366" i="5"/>
  <c r="F32365" i="5"/>
  <c r="F32364" i="5"/>
  <c r="F32363" i="5"/>
  <c r="F32362" i="5"/>
  <c r="F32361" i="5"/>
  <c r="F32360" i="5"/>
  <c r="F32359" i="5"/>
  <c r="F32358" i="5"/>
  <c r="F32357" i="5"/>
  <c r="F32356" i="5"/>
  <c r="F32355" i="5"/>
  <c r="F32354" i="5"/>
  <c r="F32353" i="5"/>
  <c r="F32352" i="5"/>
  <c r="F32351" i="5"/>
  <c r="F32350" i="5"/>
  <c r="F32349" i="5"/>
  <c r="F32348" i="5"/>
  <c r="F32347" i="5"/>
  <c r="F32346" i="5"/>
  <c r="F32345" i="5"/>
  <c r="F32344" i="5"/>
  <c r="F32343" i="5"/>
  <c r="F32342" i="5"/>
  <c r="F32341" i="5"/>
  <c r="F32340" i="5"/>
  <c r="F32339" i="5"/>
  <c r="F32338" i="5"/>
  <c r="F32337" i="5"/>
  <c r="F32336" i="5"/>
  <c r="F32335" i="5"/>
  <c r="F32334" i="5"/>
  <c r="F32333" i="5"/>
  <c r="F32332" i="5"/>
  <c r="F32331" i="5"/>
  <c r="F32330" i="5"/>
  <c r="F32329" i="5"/>
  <c r="F32328" i="5"/>
  <c r="F32327" i="5"/>
  <c r="F32326" i="5"/>
  <c r="F32325" i="5"/>
  <c r="F32324" i="5"/>
  <c r="F32323" i="5"/>
  <c r="F32322" i="5"/>
  <c r="F32321" i="5"/>
  <c r="F32320" i="5"/>
  <c r="F32319" i="5"/>
  <c r="F32318" i="5"/>
  <c r="F32317" i="5"/>
  <c r="F32316" i="5"/>
  <c r="F32315" i="5"/>
  <c r="F32314" i="5"/>
  <c r="F32313" i="5"/>
  <c r="F32312" i="5"/>
  <c r="F32311" i="5"/>
  <c r="F32310" i="5"/>
  <c r="F32309" i="5"/>
  <c r="F32308" i="5"/>
  <c r="F32307" i="5"/>
  <c r="F32306" i="5"/>
  <c r="F32305" i="5"/>
  <c r="F32304" i="5"/>
  <c r="F32303" i="5"/>
  <c r="F32302" i="5"/>
  <c r="F32301" i="5"/>
  <c r="F32300" i="5"/>
  <c r="F32299" i="5"/>
  <c r="F32298" i="5"/>
  <c r="F32297" i="5"/>
  <c r="F32296" i="5"/>
  <c r="F32295" i="5"/>
  <c r="F32294" i="5"/>
  <c r="F32293" i="5"/>
  <c r="F32292" i="5"/>
  <c r="F32291" i="5"/>
  <c r="F32290" i="5"/>
  <c r="F32289" i="5"/>
  <c r="F32288" i="5"/>
  <c r="F32287" i="5"/>
  <c r="F32286" i="5"/>
  <c r="F32285" i="5"/>
  <c r="F32284" i="5"/>
  <c r="F32283" i="5"/>
  <c r="F32282" i="5"/>
  <c r="F32281" i="5"/>
  <c r="F32280" i="5"/>
  <c r="F32279" i="5"/>
  <c r="F32278" i="5"/>
  <c r="F32277" i="5"/>
  <c r="F32276" i="5"/>
  <c r="F32275" i="5"/>
  <c r="F32274" i="5"/>
  <c r="F32273" i="5"/>
  <c r="F32272" i="5"/>
  <c r="F32271" i="5"/>
  <c r="F32270" i="5"/>
  <c r="F32269" i="5"/>
  <c r="F32268" i="5"/>
  <c r="F32267" i="5"/>
  <c r="F32266" i="5"/>
  <c r="F32265" i="5"/>
  <c r="F32264" i="5"/>
  <c r="F32263" i="5"/>
  <c r="F32262" i="5"/>
  <c r="F32261" i="5"/>
  <c r="F32260" i="5"/>
  <c r="F32259" i="5"/>
  <c r="F32258" i="5"/>
  <c r="F32257" i="5"/>
  <c r="F32256" i="5"/>
  <c r="F32255" i="5"/>
  <c r="F32254" i="5"/>
  <c r="F32253" i="5"/>
  <c r="F32252" i="5"/>
  <c r="F32251" i="5"/>
  <c r="F32250" i="5"/>
  <c r="F32249" i="5"/>
  <c r="F32248" i="5"/>
  <c r="F32247" i="5"/>
  <c r="F32246" i="5"/>
  <c r="F32245" i="5"/>
  <c r="F32244" i="5"/>
  <c r="F32243" i="5"/>
  <c r="F32242" i="5"/>
  <c r="F32241" i="5"/>
  <c r="F32240" i="5"/>
  <c r="F32239" i="5"/>
  <c r="F32238" i="5"/>
  <c r="F32237" i="5"/>
  <c r="F32236" i="5"/>
  <c r="F32235" i="5"/>
  <c r="F32234" i="5"/>
  <c r="F32233" i="5"/>
  <c r="F32232" i="5"/>
  <c r="F32231" i="5"/>
  <c r="F32230" i="5"/>
  <c r="F32229" i="5"/>
  <c r="F32228" i="5"/>
  <c r="F32227" i="5"/>
  <c r="F32226" i="5"/>
  <c r="F32225" i="5"/>
  <c r="F32224" i="5"/>
  <c r="F32223" i="5"/>
  <c r="F32222" i="5"/>
  <c r="F32221" i="5"/>
  <c r="F32220" i="5"/>
  <c r="F32219" i="5"/>
  <c r="F32218" i="5"/>
  <c r="F32217" i="5"/>
  <c r="F32216" i="5"/>
  <c r="F32215" i="5"/>
  <c r="F32214" i="5"/>
  <c r="F32213" i="5"/>
  <c r="F32212" i="5"/>
  <c r="F32211" i="5"/>
  <c r="F32210" i="5"/>
  <c r="F32209" i="5"/>
  <c r="F32208" i="5"/>
  <c r="F32207" i="5"/>
  <c r="F32206" i="5"/>
  <c r="F32205" i="5"/>
  <c r="F32204" i="5"/>
  <c r="F32203" i="5"/>
  <c r="F32202" i="5"/>
  <c r="F32201" i="5"/>
  <c r="F32200" i="5"/>
  <c r="F32199" i="5"/>
  <c r="F32198" i="5"/>
  <c r="F32197" i="5"/>
  <c r="F32196" i="5"/>
  <c r="F32195" i="5"/>
  <c r="F32194" i="5"/>
  <c r="F32193" i="5"/>
  <c r="F32192" i="5"/>
  <c r="F32191" i="5"/>
  <c r="F32190" i="5"/>
  <c r="F32189" i="5"/>
  <c r="F32188" i="5"/>
  <c r="F32187" i="5"/>
  <c r="F32186" i="5"/>
  <c r="F32185" i="5"/>
  <c r="F32184" i="5"/>
  <c r="F32183" i="5"/>
  <c r="F32182" i="5"/>
  <c r="F32181" i="5"/>
  <c r="F32180" i="5"/>
  <c r="F32179" i="5"/>
  <c r="F32178" i="5"/>
  <c r="F32177" i="5"/>
  <c r="F32176" i="5"/>
  <c r="F32175" i="5"/>
  <c r="F32174" i="5"/>
  <c r="F32173" i="5"/>
  <c r="F32172" i="5"/>
  <c r="F32171" i="5"/>
  <c r="F32170" i="5"/>
  <c r="F32169" i="5"/>
  <c r="F32168" i="5"/>
  <c r="F32167" i="5"/>
  <c r="F32166" i="5"/>
  <c r="F32165" i="5"/>
  <c r="F32164" i="5"/>
  <c r="F32163" i="5"/>
  <c r="F32162" i="5"/>
  <c r="F32161" i="5"/>
  <c r="F32160" i="5"/>
  <c r="F32159" i="5"/>
  <c r="F32158" i="5"/>
  <c r="F32157" i="5"/>
  <c r="F32156" i="5"/>
  <c r="F32155" i="5"/>
  <c r="F32154" i="5"/>
  <c r="F32153" i="5"/>
  <c r="F32152" i="5"/>
  <c r="F32151" i="5"/>
  <c r="F32150" i="5"/>
  <c r="F32149" i="5"/>
  <c r="F32148" i="5"/>
  <c r="F32147" i="5"/>
  <c r="F32146" i="5"/>
  <c r="F32145" i="5"/>
  <c r="F32144" i="5"/>
  <c r="F32143" i="5"/>
  <c r="F32142" i="5"/>
  <c r="F32141" i="5"/>
  <c r="F32140" i="5"/>
  <c r="F32139" i="5"/>
  <c r="F32138" i="5"/>
  <c r="F32137" i="5"/>
  <c r="F32136" i="5"/>
  <c r="F32135" i="5"/>
  <c r="F32134" i="5"/>
  <c r="F32133" i="5"/>
  <c r="F32132" i="5"/>
  <c r="F32131" i="5"/>
  <c r="F32130" i="5"/>
  <c r="F32129" i="5"/>
  <c r="F32128" i="5"/>
  <c r="F32127" i="5"/>
  <c r="F32126" i="5"/>
  <c r="F32125" i="5"/>
  <c r="F32124" i="5"/>
  <c r="F32123" i="5"/>
  <c r="F32122" i="5"/>
  <c r="F32121" i="5"/>
  <c r="F32120" i="5"/>
  <c r="F32119" i="5"/>
  <c r="F32118" i="5"/>
  <c r="F32117" i="5"/>
  <c r="F32116" i="5"/>
  <c r="F32115" i="5"/>
  <c r="F32114" i="5"/>
  <c r="F32113" i="5"/>
  <c r="F32112" i="5"/>
  <c r="F32111" i="5"/>
  <c r="F32110" i="5"/>
  <c r="F32109" i="5"/>
  <c r="F32108" i="5"/>
  <c r="F32107" i="5"/>
  <c r="F32106" i="5"/>
  <c r="F32105" i="5"/>
  <c r="F32104" i="5"/>
  <c r="F32103" i="5"/>
  <c r="F32102" i="5"/>
  <c r="F32101" i="5"/>
  <c r="F32100" i="5"/>
  <c r="F32099" i="5"/>
  <c r="F32098" i="5"/>
  <c r="F32097" i="5"/>
  <c r="F32096" i="5"/>
  <c r="F32095" i="5"/>
  <c r="F32094" i="5"/>
  <c r="F32093" i="5"/>
  <c r="F32092" i="5"/>
  <c r="F32091" i="5"/>
  <c r="F32090" i="5"/>
  <c r="F32089" i="5"/>
  <c r="F32088" i="5"/>
  <c r="F32087" i="5"/>
  <c r="F32086" i="5"/>
  <c r="F32085" i="5"/>
  <c r="F32084" i="5"/>
  <c r="F32083" i="5"/>
  <c r="F32082" i="5"/>
  <c r="F32081" i="5"/>
  <c r="F32080" i="5"/>
  <c r="F32079" i="5"/>
  <c r="F32078" i="5"/>
  <c r="F32077" i="5"/>
  <c r="F32076" i="5"/>
  <c r="F32075" i="5"/>
  <c r="F32074" i="5"/>
  <c r="F32073" i="5"/>
  <c r="F32072" i="5"/>
  <c r="F32071" i="5"/>
  <c r="F32070" i="5"/>
  <c r="F32069" i="5"/>
  <c r="F32068" i="5"/>
  <c r="F32067" i="5"/>
  <c r="F32066" i="5"/>
  <c r="F32065" i="5"/>
  <c r="F32064" i="5"/>
  <c r="F32063" i="5"/>
  <c r="F32062" i="5"/>
  <c r="F32061" i="5"/>
  <c r="F32060" i="5"/>
  <c r="F32059" i="5"/>
  <c r="F32058" i="5"/>
  <c r="F32057" i="5"/>
  <c r="F32056" i="5"/>
  <c r="F32055" i="5"/>
  <c r="F32054" i="5"/>
  <c r="F32053" i="5"/>
  <c r="F32052" i="5"/>
  <c r="F32051" i="5"/>
  <c r="F32050" i="5"/>
  <c r="F32049" i="5"/>
  <c r="F32048" i="5"/>
  <c r="F32047" i="5"/>
  <c r="F32046" i="5"/>
  <c r="F32045" i="5"/>
  <c r="F32044" i="5"/>
  <c r="F32043" i="5"/>
  <c r="F32042" i="5"/>
  <c r="F32041" i="5"/>
  <c r="F32040" i="5"/>
  <c r="F32039" i="5"/>
  <c r="F32038" i="5"/>
  <c r="F32037" i="5"/>
  <c r="F32036" i="5"/>
  <c r="F32035" i="5"/>
  <c r="F32034" i="5"/>
  <c r="F32033" i="5"/>
  <c r="F32032" i="5"/>
  <c r="F32031" i="5"/>
  <c r="F32030" i="5"/>
  <c r="F32029" i="5"/>
  <c r="F32028" i="5"/>
  <c r="F32027" i="5"/>
  <c r="F32026" i="5"/>
  <c r="F32025" i="5"/>
  <c r="F32024" i="5"/>
  <c r="F32023" i="5"/>
  <c r="F32022" i="5"/>
  <c r="F32021" i="5"/>
  <c r="F32020" i="5"/>
  <c r="F32019" i="5"/>
  <c r="F32018" i="5"/>
  <c r="F32017" i="5"/>
  <c r="F32016" i="5"/>
  <c r="F32015" i="5"/>
  <c r="F32014" i="5"/>
  <c r="F32013" i="5"/>
  <c r="F32012" i="5"/>
  <c r="F32011" i="5"/>
  <c r="F32010" i="5"/>
  <c r="F32009" i="5"/>
  <c r="F32008" i="5"/>
  <c r="F32007" i="5"/>
  <c r="F32006" i="5"/>
  <c r="F32005" i="5"/>
  <c r="F32004" i="5"/>
  <c r="F32003" i="5"/>
  <c r="F32002" i="5"/>
  <c r="F32001" i="5"/>
  <c r="F32000" i="5"/>
  <c r="F31999" i="5"/>
  <c r="F31998" i="5"/>
  <c r="F31997" i="5"/>
  <c r="F31996" i="5"/>
  <c r="F31995" i="5"/>
  <c r="F31994" i="5"/>
  <c r="F31993" i="5"/>
  <c r="F31992" i="5"/>
  <c r="F31991" i="5"/>
  <c r="F31990" i="5"/>
  <c r="F31989" i="5"/>
  <c r="F31988" i="5"/>
  <c r="F31987" i="5"/>
  <c r="F31986" i="5"/>
  <c r="F31985" i="5"/>
  <c r="F31984" i="5"/>
  <c r="F31983" i="5"/>
  <c r="F31982" i="5"/>
  <c r="F31981" i="5"/>
  <c r="F31980" i="5"/>
  <c r="F31979" i="5"/>
  <c r="F31978" i="5"/>
  <c r="F31977" i="5"/>
  <c r="F31976" i="5"/>
  <c r="F31975" i="5"/>
  <c r="F31974" i="5"/>
  <c r="F31973" i="5"/>
  <c r="F31972" i="5"/>
  <c r="F31971" i="5"/>
  <c r="F31970" i="5"/>
  <c r="F31969" i="5"/>
  <c r="F31968" i="5"/>
  <c r="F31967" i="5"/>
  <c r="F31966" i="5"/>
  <c r="F31965" i="5"/>
  <c r="F31964" i="5"/>
  <c r="F31963" i="5"/>
  <c r="F31962" i="5"/>
  <c r="F31961" i="5"/>
  <c r="F31960" i="5"/>
  <c r="F31959" i="5"/>
  <c r="F31958" i="5"/>
  <c r="F31957" i="5"/>
  <c r="F31956" i="5"/>
  <c r="F31955" i="5"/>
  <c r="F31954" i="5"/>
  <c r="F31953" i="5"/>
  <c r="F31952" i="5"/>
  <c r="F31951" i="5"/>
  <c r="F31950" i="5"/>
  <c r="F31949" i="5"/>
  <c r="F31948" i="5"/>
  <c r="F31947" i="5"/>
  <c r="F31946" i="5"/>
  <c r="F31945" i="5"/>
  <c r="F31944" i="5"/>
  <c r="F31943" i="5"/>
  <c r="F31942" i="5"/>
  <c r="F31941" i="5"/>
  <c r="F31940" i="5"/>
  <c r="F31939" i="5"/>
  <c r="F31938" i="5"/>
  <c r="F31937" i="5"/>
  <c r="F31936" i="5"/>
  <c r="F31935" i="5"/>
  <c r="F31934" i="5"/>
  <c r="F31933" i="5"/>
  <c r="F31932" i="5"/>
  <c r="F31931" i="5"/>
  <c r="F31930" i="5"/>
  <c r="F31929" i="5"/>
  <c r="F31928" i="5"/>
  <c r="F31927" i="5"/>
  <c r="F31926" i="5"/>
  <c r="F31925" i="5"/>
  <c r="F31924" i="5"/>
  <c r="F31923" i="5"/>
  <c r="F31922" i="5"/>
  <c r="F31921" i="5"/>
  <c r="F31920" i="5"/>
  <c r="F31919" i="5"/>
  <c r="F31918" i="5"/>
  <c r="F31917" i="5"/>
  <c r="F31916" i="5"/>
  <c r="F31915" i="5"/>
  <c r="F31914" i="5"/>
  <c r="F31913" i="5"/>
  <c r="F31912" i="5"/>
  <c r="F31911" i="5"/>
  <c r="F31910" i="5"/>
  <c r="F31909" i="5"/>
  <c r="F31908" i="5"/>
  <c r="F31907" i="5"/>
  <c r="F31906" i="5"/>
  <c r="F31905" i="5"/>
  <c r="F31904" i="5"/>
  <c r="F31903" i="5"/>
  <c r="F31902" i="5"/>
  <c r="F31901" i="5"/>
  <c r="F31900" i="5"/>
  <c r="F31899" i="5"/>
  <c r="F31898" i="5"/>
  <c r="F31897" i="5"/>
  <c r="F31896" i="5"/>
  <c r="F31895" i="5"/>
  <c r="F31894" i="5"/>
  <c r="F31893" i="5"/>
  <c r="F31892" i="5"/>
  <c r="F31891" i="5"/>
  <c r="F31890" i="5"/>
  <c r="F31889" i="5"/>
  <c r="F31888" i="5"/>
  <c r="F31887" i="5"/>
  <c r="F31886" i="5"/>
  <c r="F31885" i="5"/>
  <c r="F31884" i="5"/>
  <c r="F31883" i="5"/>
  <c r="F31882" i="5"/>
  <c r="F31881" i="5"/>
  <c r="F31880" i="5"/>
  <c r="F31879" i="5"/>
  <c r="F31878" i="5"/>
  <c r="F31877" i="5"/>
  <c r="F31876" i="5"/>
  <c r="F31875" i="5"/>
  <c r="F31874" i="5"/>
  <c r="F31873" i="5"/>
  <c r="F31872" i="5"/>
  <c r="F31871" i="5"/>
  <c r="F31870" i="5"/>
  <c r="F31869" i="5"/>
  <c r="F31868" i="5"/>
  <c r="F31867" i="5"/>
  <c r="F31866" i="5"/>
  <c r="F31865" i="5"/>
  <c r="F31864" i="5"/>
  <c r="F31863" i="5"/>
  <c r="F31862" i="5"/>
  <c r="F31861" i="5"/>
  <c r="F31860" i="5"/>
  <c r="F31859" i="5"/>
  <c r="F31858" i="5"/>
  <c r="F31857" i="5"/>
  <c r="F31856" i="5"/>
  <c r="F31855" i="5"/>
  <c r="F31854" i="5"/>
  <c r="F31853" i="5"/>
  <c r="F31852" i="5"/>
  <c r="F31851" i="5"/>
  <c r="F31850" i="5"/>
  <c r="F31849" i="5"/>
  <c r="F31848" i="5"/>
  <c r="F31847" i="5"/>
  <c r="F31846" i="5"/>
  <c r="F31845" i="5"/>
  <c r="F31844" i="5"/>
  <c r="F31843" i="5"/>
  <c r="F31842" i="5"/>
  <c r="F31841" i="5"/>
  <c r="F31840" i="5"/>
  <c r="F31839" i="5"/>
  <c r="F31838" i="5"/>
  <c r="F31837" i="5"/>
  <c r="F31836" i="5"/>
  <c r="F31835" i="5"/>
  <c r="F31834" i="5"/>
  <c r="F31833" i="5"/>
  <c r="F31832" i="5"/>
  <c r="F31831" i="5"/>
  <c r="F31830" i="5"/>
  <c r="F31829" i="5"/>
  <c r="F31828" i="5"/>
  <c r="F31827" i="5"/>
  <c r="F31826" i="5"/>
  <c r="F31825" i="5"/>
  <c r="F31824" i="5"/>
  <c r="F31823" i="5"/>
  <c r="F31822" i="5"/>
  <c r="F31821" i="5"/>
  <c r="F31820" i="5"/>
  <c r="F31819" i="5"/>
  <c r="F31818" i="5"/>
  <c r="F31817" i="5"/>
  <c r="F31816" i="5"/>
  <c r="F31815" i="5"/>
  <c r="F31814" i="5"/>
  <c r="F31813" i="5"/>
  <c r="F31812" i="5"/>
  <c r="F31811" i="5"/>
  <c r="F31810" i="5"/>
  <c r="F31809" i="5"/>
  <c r="F31808" i="5"/>
  <c r="F31807" i="5"/>
  <c r="F31806" i="5"/>
  <c r="F31805" i="5"/>
  <c r="F31804" i="5"/>
  <c r="F31803" i="5"/>
  <c r="F31802" i="5"/>
  <c r="F31801" i="5"/>
  <c r="F31800" i="5"/>
  <c r="F31799" i="5"/>
  <c r="F31798" i="5"/>
  <c r="F31797" i="5"/>
  <c r="F31796" i="5"/>
  <c r="F31795" i="5"/>
  <c r="F31794" i="5"/>
  <c r="F31793" i="5"/>
  <c r="F31792" i="5"/>
  <c r="F31791" i="5"/>
  <c r="F31790" i="5"/>
  <c r="F31789" i="5"/>
  <c r="F31788" i="5"/>
  <c r="F31787" i="5"/>
  <c r="F31786" i="5"/>
  <c r="F31785" i="5"/>
  <c r="F31784" i="5"/>
  <c r="F31783" i="5"/>
  <c r="F31782" i="5"/>
  <c r="F31781" i="5"/>
  <c r="F31780" i="5"/>
  <c r="F31779" i="5"/>
  <c r="F31778" i="5"/>
  <c r="F31777" i="5"/>
  <c r="F31776" i="5"/>
  <c r="F31775" i="5"/>
  <c r="F31774" i="5"/>
  <c r="F31773" i="5"/>
  <c r="F31772" i="5"/>
  <c r="F31771" i="5"/>
  <c r="F31770" i="5"/>
  <c r="F31769" i="5"/>
  <c r="F31768" i="5"/>
  <c r="F31767" i="5"/>
  <c r="F31766" i="5"/>
  <c r="F31765" i="5"/>
  <c r="F31764" i="5"/>
  <c r="F31763" i="5"/>
  <c r="F31762" i="5"/>
  <c r="F31761" i="5"/>
  <c r="F31760" i="5"/>
  <c r="F31759" i="5"/>
  <c r="F31758" i="5"/>
  <c r="F31757" i="5"/>
  <c r="F31756" i="5"/>
  <c r="F31755" i="5"/>
  <c r="F31754" i="5"/>
  <c r="F31753" i="5"/>
  <c r="F31752" i="5"/>
  <c r="F31751" i="5"/>
  <c r="F31750" i="5"/>
  <c r="F31749" i="5"/>
  <c r="F31748" i="5"/>
  <c r="F31747" i="5"/>
  <c r="F31746" i="5"/>
  <c r="F31745" i="5"/>
  <c r="F31744" i="5"/>
  <c r="F31743" i="5"/>
  <c r="F31742" i="5"/>
  <c r="F31741" i="5"/>
  <c r="F31740" i="5"/>
  <c r="F31739" i="5"/>
  <c r="F31738" i="5"/>
  <c r="F31737" i="5"/>
  <c r="F31736" i="5"/>
  <c r="F31735" i="5"/>
  <c r="F31734" i="5"/>
  <c r="F31733" i="5"/>
  <c r="F31732" i="5"/>
  <c r="F31731" i="5"/>
  <c r="F31730" i="5"/>
  <c r="F31729" i="5"/>
  <c r="F31728" i="5"/>
  <c r="F31727" i="5"/>
  <c r="F31726" i="5"/>
  <c r="F31725" i="5"/>
  <c r="F31724" i="5"/>
  <c r="F31723" i="5"/>
  <c r="F31722" i="5"/>
  <c r="F31721" i="5"/>
  <c r="F31720" i="5"/>
  <c r="F31719" i="5"/>
  <c r="F31718" i="5"/>
  <c r="F31717" i="5"/>
  <c r="F31716" i="5"/>
  <c r="F31715" i="5"/>
  <c r="F31714" i="5"/>
  <c r="F31713" i="5"/>
  <c r="F31712" i="5"/>
  <c r="F31711" i="5"/>
  <c r="F31710" i="5"/>
  <c r="F31709" i="5"/>
  <c r="F31708" i="5"/>
  <c r="F31707" i="5"/>
  <c r="F31706" i="5"/>
  <c r="F31705" i="5"/>
  <c r="F31704" i="5"/>
  <c r="F31703" i="5"/>
  <c r="F31702" i="5"/>
  <c r="F31701" i="5"/>
  <c r="F31700" i="5"/>
  <c r="F31699" i="5"/>
  <c r="F31698" i="5"/>
  <c r="F31697" i="5"/>
  <c r="F31696" i="5"/>
  <c r="F31695" i="5"/>
  <c r="F31694" i="5"/>
  <c r="F31693" i="5"/>
  <c r="F31692" i="5"/>
  <c r="F31691" i="5"/>
  <c r="F31690" i="5"/>
  <c r="F31689" i="5"/>
  <c r="F31688" i="5"/>
  <c r="F31687" i="5"/>
  <c r="F31686" i="5"/>
  <c r="F31685" i="5"/>
  <c r="F31684" i="5"/>
  <c r="F31683" i="5"/>
  <c r="F31682" i="5"/>
  <c r="F31681" i="5"/>
  <c r="F31680" i="5"/>
  <c r="F31679" i="5"/>
  <c r="F31678" i="5"/>
  <c r="F31677" i="5"/>
  <c r="F31676" i="5"/>
  <c r="F31675" i="5"/>
  <c r="F31674" i="5"/>
  <c r="F31673" i="5"/>
  <c r="F31672" i="5"/>
  <c r="F31671" i="5"/>
  <c r="F31670" i="5"/>
  <c r="F31669" i="5"/>
  <c r="F31668" i="5"/>
  <c r="F31667" i="5"/>
  <c r="F31666" i="5"/>
  <c r="F31665" i="5"/>
  <c r="F31664" i="5"/>
  <c r="F31663" i="5"/>
  <c r="F31662" i="5"/>
  <c r="F31661" i="5"/>
  <c r="F31660" i="5"/>
  <c r="F31659" i="5"/>
  <c r="F31658" i="5"/>
  <c r="F31657" i="5"/>
  <c r="F31656" i="5"/>
  <c r="F31655" i="5"/>
  <c r="F31654" i="5"/>
  <c r="F31653" i="5"/>
  <c r="F31652" i="5"/>
  <c r="F31651" i="5"/>
  <c r="F31650" i="5"/>
  <c r="F31649" i="5"/>
  <c r="F31648" i="5"/>
  <c r="F31647" i="5"/>
  <c r="F31646" i="5"/>
  <c r="F31645" i="5"/>
  <c r="F31644" i="5"/>
  <c r="F31643" i="5"/>
  <c r="F31642" i="5"/>
  <c r="F31641" i="5"/>
  <c r="F31640" i="5"/>
  <c r="F31639" i="5"/>
  <c r="F31638" i="5"/>
  <c r="F31637" i="5"/>
  <c r="F31636" i="5"/>
  <c r="F31635" i="5"/>
  <c r="F31634" i="5"/>
  <c r="F31633" i="5"/>
  <c r="F31632" i="5"/>
  <c r="F31631" i="5"/>
  <c r="F31630" i="5"/>
  <c r="F31629" i="5"/>
  <c r="F31628" i="5"/>
  <c r="F31627" i="5"/>
  <c r="F31626" i="5"/>
  <c r="F31625" i="5"/>
  <c r="F31624" i="5"/>
  <c r="F31623" i="5"/>
  <c r="F31622" i="5"/>
  <c r="F31621" i="5"/>
  <c r="F31620" i="5"/>
  <c r="F31619" i="5"/>
  <c r="F31618" i="5"/>
  <c r="F31617" i="5"/>
  <c r="F31616" i="5"/>
  <c r="F31615" i="5"/>
  <c r="F31614" i="5"/>
  <c r="F31613" i="5"/>
  <c r="F31612" i="5"/>
  <c r="F31611" i="5"/>
  <c r="F31610" i="5"/>
  <c r="F31609" i="5"/>
  <c r="F31608" i="5"/>
  <c r="F31607" i="5"/>
  <c r="F31606" i="5"/>
  <c r="F31605" i="5"/>
  <c r="F31604" i="5"/>
  <c r="F31603" i="5"/>
  <c r="F31602" i="5"/>
  <c r="F31601" i="5"/>
  <c r="F31600" i="5"/>
  <c r="F31599" i="5"/>
  <c r="F31598" i="5"/>
  <c r="F31597" i="5"/>
  <c r="F31596" i="5"/>
  <c r="F31595" i="5"/>
  <c r="F31594" i="5"/>
  <c r="F31593" i="5"/>
  <c r="F31592" i="5"/>
  <c r="F31591" i="5"/>
  <c r="F31590" i="5"/>
  <c r="F31589" i="5"/>
  <c r="F31588" i="5"/>
  <c r="F31587" i="5"/>
  <c r="F31586" i="5"/>
  <c r="F31585" i="5"/>
  <c r="F31584" i="5"/>
  <c r="F31583" i="5"/>
  <c r="F31582" i="5"/>
  <c r="F31581" i="5"/>
  <c r="F31580" i="5"/>
  <c r="F31579" i="5"/>
  <c r="F31578" i="5"/>
  <c r="F31577" i="5"/>
  <c r="F31576" i="5"/>
  <c r="F31575" i="5"/>
  <c r="F31574" i="5"/>
  <c r="F31573" i="5"/>
  <c r="F31572" i="5"/>
  <c r="F31571" i="5"/>
  <c r="F31570" i="5"/>
  <c r="F31569" i="5"/>
  <c r="F31568" i="5"/>
  <c r="F31567" i="5"/>
  <c r="F31566" i="5"/>
  <c r="F31565" i="5"/>
  <c r="F31564" i="5"/>
  <c r="F31563" i="5"/>
  <c r="F31562" i="5"/>
  <c r="F31561" i="5"/>
  <c r="F31560" i="5"/>
  <c r="F31559" i="5"/>
  <c r="F31558" i="5"/>
  <c r="F31557" i="5"/>
  <c r="F31556" i="5"/>
  <c r="F31555" i="5"/>
  <c r="F31554" i="5"/>
  <c r="F31553" i="5"/>
  <c r="F31552" i="5"/>
  <c r="F31551" i="5"/>
  <c r="F31550" i="5"/>
  <c r="F31549" i="5"/>
  <c r="F31548" i="5"/>
  <c r="F31547" i="5"/>
  <c r="F31546" i="5"/>
  <c r="F31545" i="5"/>
  <c r="F31544" i="5"/>
  <c r="F31543" i="5"/>
  <c r="F31542" i="5"/>
  <c r="F31541" i="5"/>
  <c r="F31540" i="5"/>
  <c r="F31539" i="5"/>
  <c r="F31538" i="5"/>
  <c r="F31537" i="5"/>
  <c r="F31536" i="5"/>
  <c r="F31535" i="5"/>
  <c r="F31534" i="5"/>
  <c r="F31533" i="5"/>
  <c r="F31532" i="5"/>
  <c r="F31531" i="5"/>
  <c r="F31530" i="5"/>
  <c r="F31529" i="5"/>
  <c r="F31528" i="5"/>
  <c r="F31527" i="5"/>
  <c r="F31526" i="5"/>
  <c r="F31525" i="5"/>
  <c r="F31524" i="5"/>
  <c r="F31523" i="5"/>
  <c r="F31522" i="5"/>
  <c r="F31521" i="5"/>
  <c r="F31520" i="5"/>
  <c r="F31519" i="5"/>
  <c r="F31518" i="5"/>
  <c r="F31517" i="5"/>
  <c r="F31516" i="5"/>
  <c r="F31515" i="5"/>
  <c r="F31514" i="5"/>
  <c r="F31513" i="5"/>
  <c r="F31512" i="5"/>
  <c r="F31511" i="5"/>
  <c r="F31510" i="5"/>
  <c r="F31509" i="5"/>
  <c r="F31508" i="5"/>
  <c r="F31507" i="5"/>
  <c r="F31506" i="5"/>
  <c r="F31505" i="5"/>
  <c r="F31504" i="5"/>
  <c r="F31503" i="5"/>
  <c r="F31502" i="5"/>
  <c r="F31501" i="5"/>
  <c r="F31500" i="5"/>
  <c r="F31499" i="5"/>
  <c r="F31498" i="5"/>
  <c r="F31497" i="5"/>
  <c r="F31496" i="5"/>
  <c r="F31495" i="5"/>
  <c r="F31494" i="5"/>
  <c r="F31493" i="5"/>
  <c r="F31492" i="5"/>
  <c r="F31491" i="5"/>
  <c r="F31490" i="5"/>
  <c r="F31489" i="5"/>
  <c r="F31488" i="5"/>
  <c r="F31487" i="5"/>
  <c r="F31486" i="5"/>
  <c r="F31485" i="5"/>
  <c r="F31484" i="5"/>
  <c r="F31483" i="5"/>
  <c r="F31482" i="5"/>
  <c r="F31481" i="5"/>
  <c r="F31480" i="5"/>
  <c r="F31479" i="5"/>
  <c r="F31478" i="5"/>
  <c r="F31477" i="5"/>
  <c r="F31476" i="5"/>
  <c r="F31475" i="5"/>
  <c r="F31474" i="5"/>
  <c r="F31473" i="5"/>
  <c r="F31472" i="5"/>
  <c r="F31471" i="5"/>
  <c r="F31470" i="5"/>
  <c r="F31469" i="5"/>
  <c r="F31468" i="5"/>
  <c r="F31467" i="5"/>
  <c r="F31466" i="5"/>
  <c r="F31465" i="5"/>
  <c r="F31464" i="5"/>
  <c r="F31463" i="5"/>
  <c r="F31462" i="5"/>
  <c r="F31461" i="5"/>
  <c r="F31460" i="5"/>
  <c r="F31459" i="5"/>
  <c r="F31458" i="5"/>
  <c r="F31457" i="5"/>
  <c r="F31456" i="5"/>
  <c r="F31455" i="5"/>
  <c r="F31454" i="5"/>
  <c r="F31453" i="5"/>
  <c r="F31452" i="5"/>
  <c r="F31451" i="5"/>
  <c r="F31450" i="5"/>
  <c r="F31449" i="5"/>
  <c r="F31448" i="5"/>
  <c r="F31447" i="5"/>
  <c r="F31446" i="5"/>
  <c r="F31445" i="5"/>
  <c r="F31444" i="5"/>
  <c r="F31443" i="5"/>
  <c r="F31442" i="5"/>
  <c r="F31441" i="5"/>
  <c r="F31440" i="5"/>
  <c r="F31439" i="5"/>
  <c r="F31438" i="5"/>
  <c r="F31437" i="5"/>
  <c r="F31436" i="5"/>
  <c r="F31435" i="5"/>
  <c r="F31434" i="5"/>
  <c r="F31433" i="5"/>
  <c r="F31432" i="5"/>
  <c r="F31431" i="5"/>
  <c r="F31430" i="5"/>
  <c r="F31429" i="5"/>
  <c r="F31428" i="5"/>
  <c r="F31427" i="5"/>
  <c r="F31426" i="5"/>
  <c r="F31425" i="5"/>
  <c r="F31424" i="5"/>
  <c r="F31423" i="5"/>
  <c r="F31422" i="5"/>
  <c r="F31421" i="5"/>
  <c r="F31420" i="5"/>
  <c r="F31419" i="5"/>
  <c r="F31418" i="5"/>
  <c r="F31417" i="5"/>
  <c r="F31416" i="5"/>
  <c r="F31415" i="5"/>
  <c r="F31414" i="5"/>
  <c r="F31413" i="5"/>
  <c r="F31412" i="5"/>
  <c r="F31411" i="5"/>
  <c r="F31410" i="5"/>
  <c r="F31409" i="5"/>
  <c r="F31408" i="5"/>
  <c r="F31407" i="5"/>
  <c r="F31406" i="5"/>
  <c r="F31405" i="5"/>
  <c r="F31404" i="5"/>
  <c r="F31403" i="5"/>
  <c r="F31402" i="5"/>
  <c r="F31401" i="5"/>
  <c r="F31400" i="5"/>
  <c r="F31399" i="5"/>
  <c r="F31398" i="5"/>
  <c r="F31397" i="5"/>
  <c r="F31396" i="5"/>
  <c r="F31395" i="5"/>
  <c r="F31394" i="5"/>
  <c r="F31393" i="5"/>
  <c r="F31392" i="5"/>
  <c r="F31391" i="5"/>
  <c r="F31390" i="5"/>
  <c r="F31389" i="5"/>
  <c r="F31388" i="5"/>
  <c r="F31387" i="5"/>
  <c r="F31386" i="5"/>
  <c r="F31385" i="5"/>
  <c r="F31384" i="5"/>
  <c r="F31383" i="5"/>
  <c r="F31382" i="5"/>
  <c r="F31381" i="5"/>
  <c r="F31380" i="5"/>
  <c r="F31379" i="5"/>
  <c r="F31378" i="5"/>
  <c r="F31377" i="5"/>
  <c r="F31376" i="5"/>
  <c r="F31375" i="5"/>
  <c r="F31374" i="5"/>
  <c r="F31373" i="5"/>
  <c r="F31372" i="5"/>
  <c r="F31371" i="5"/>
  <c r="F31370" i="5"/>
  <c r="F31369" i="5"/>
  <c r="F31368" i="5"/>
  <c r="F31367" i="5"/>
  <c r="F31366" i="5"/>
  <c r="F31365" i="5"/>
  <c r="F31364" i="5"/>
  <c r="F31363" i="5"/>
  <c r="F31362" i="5"/>
  <c r="F31361" i="5"/>
  <c r="F31360" i="5"/>
  <c r="F31359" i="5"/>
  <c r="F31358" i="5"/>
  <c r="F31357" i="5"/>
  <c r="F31356" i="5"/>
  <c r="F31355" i="5"/>
  <c r="F31354" i="5"/>
  <c r="F31353" i="5"/>
  <c r="F31352" i="5"/>
  <c r="F31351" i="5"/>
  <c r="F31350" i="5"/>
  <c r="F31349" i="5"/>
  <c r="F31348" i="5"/>
  <c r="F31347" i="5"/>
  <c r="F31346" i="5"/>
  <c r="F31345" i="5"/>
  <c r="F31344" i="5"/>
  <c r="F31343" i="5"/>
  <c r="F31342" i="5"/>
  <c r="F31341" i="5"/>
  <c r="F31340" i="5"/>
  <c r="F31339" i="5"/>
  <c r="F31338" i="5"/>
  <c r="F31337" i="5"/>
  <c r="F31336" i="5"/>
  <c r="F31335" i="5"/>
  <c r="F31334" i="5"/>
  <c r="F31333" i="5"/>
  <c r="F31332" i="5"/>
  <c r="F31331" i="5"/>
  <c r="F31330" i="5"/>
  <c r="F31329" i="5"/>
  <c r="F31328" i="5"/>
  <c r="F31327" i="5"/>
  <c r="F31326" i="5"/>
  <c r="F31325" i="5"/>
  <c r="F31324" i="5"/>
  <c r="F31323" i="5"/>
  <c r="F31322" i="5"/>
  <c r="F31321" i="5"/>
  <c r="F31320" i="5"/>
  <c r="F31319" i="5"/>
  <c r="F31318" i="5"/>
  <c r="F31317" i="5"/>
  <c r="F31316" i="5"/>
  <c r="F31315" i="5"/>
  <c r="F31314" i="5"/>
  <c r="F31313" i="5"/>
  <c r="F31312" i="5"/>
  <c r="F31311" i="5"/>
  <c r="F31310" i="5"/>
  <c r="F31309" i="5"/>
  <c r="F31308" i="5"/>
  <c r="F31307" i="5"/>
  <c r="F31306" i="5"/>
  <c r="F31305" i="5"/>
  <c r="F31304" i="5"/>
  <c r="F31303" i="5"/>
  <c r="F31302" i="5"/>
  <c r="F31301" i="5"/>
  <c r="F31300" i="5"/>
  <c r="F31299" i="5"/>
  <c r="F31298" i="5"/>
  <c r="F31297" i="5"/>
  <c r="F31296" i="5"/>
  <c r="F31295" i="5"/>
  <c r="F31294" i="5"/>
  <c r="F31293" i="5"/>
  <c r="F31292" i="5"/>
  <c r="F31291" i="5"/>
  <c r="F31290" i="5"/>
  <c r="F31289" i="5"/>
  <c r="F31288" i="5"/>
  <c r="F31287" i="5"/>
  <c r="F31286" i="5"/>
  <c r="F31285" i="5"/>
  <c r="F31284" i="5"/>
  <c r="F31283" i="5"/>
  <c r="F31282" i="5"/>
  <c r="F31281" i="5"/>
  <c r="F31280" i="5"/>
  <c r="F31279" i="5"/>
  <c r="F31278" i="5"/>
  <c r="F31277" i="5"/>
  <c r="F31276" i="5"/>
  <c r="F31275" i="5"/>
  <c r="F31274" i="5"/>
  <c r="F31273" i="5"/>
  <c r="F31272" i="5"/>
  <c r="F31271" i="5"/>
  <c r="F31270" i="5"/>
  <c r="F31269" i="5"/>
  <c r="F31268" i="5"/>
  <c r="F31267" i="5"/>
  <c r="F31266" i="5"/>
  <c r="F31265" i="5"/>
  <c r="F31264" i="5"/>
  <c r="F31263" i="5"/>
  <c r="F31262" i="5"/>
  <c r="F31261" i="5"/>
  <c r="F31260" i="5"/>
  <c r="F31259" i="5"/>
  <c r="F31258" i="5"/>
  <c r="F31257" i="5"/>
  <c r="F31256" i="5"/>
  <c r="F31255" i="5"/>
  <c r="F31254" i="5"/>
  <c r="F31253" i="5"/>
  <c r="F31252" i="5"/>
  <c r="F31251" i="5"/>
  <c r="F31250" i="5"/>
  <c r="F31249" i="5"/>
  <c r="F31248" i="5"/>
  <c r="F31247" i="5"/>
  <c r="F31246" i="5"/>
  <c r="F31245" i="5"/>
  <c r="F31244" i="5"/>
  <c r="F31243" i="5"/>
  <c r="F31242" i="5"/>
  <c r="F31241" i="5"/>
  <c r="F31240" i="5"/>
  <c r="F31239" i="5"/>
  <c r="F31238" i="5"/>
  <c r="F31237" i="5"/>
  <c r="F31236" i="5"/>
  <c r="F31235" i="5"/>
  <c r="F31234" i="5"/>
  <c r="F31233" i="5"/>
  <c r="F31232" i="5"/>
  <c r="F31231" i="5"/>
  <c r="F31230" i="5"/>
  <c r="F31229" i="5"/>
  <c r="F31228" i="5"/>
  <c r="F31227" i="5"/>
  <c r="F31226" i="5"/>
  <c r="F31225" i="5"/>
  <c r="F31224" i="5"/>
  <c r="F31223" i="5"/>
  <c r="F31222" i="5"/>
  <c r="F31221" i="5"/>
  <c r="F31220" i="5"/>
  <c r="F31219" i="5"/>
  <c r="F31218" i="5"/>
  <c r="F31217" i="5"/>
  <c r="F31216" i="5"/>
  <c r="F31215" i="5"/>
  <c r="F31214" i="5"/>
  <c r="F31213" i="5"/>
  <c r="F31212" i="5"/>
  <c r="F31211" i="5"/>
  <c r="F31210" i="5"/>
  <c r="F31209" i="5"/>
  <c r="F31208" i="5"/>
  <c r="F31207" i="5"/>
  <c r="F31206" i="5"/>
  <c r="F31205" i="5"/>
  <c r="F31204" i="5"/>
  <c r="F31203" i="5"/>
  <c r="F31202" i="5"/>
  <c r="F31201" i="5"/>
  <c r="F31200" i="5"/>
  <c r="F31199" i="5"/>
  <c r="F31198" i="5"/>
  <c r="F31197" i="5"/>
  <c r="F31196" i="5"/>
  <c r="F31195" i="5"/>
  <c r="F31194" i="5"/>
  <c r="F31193" i="5"/>
  <c r="F31192" i="5"/>
  <c r="F31191" i="5"/>
  <c r="F31190" i="5"/>
  <c r="F31189" i="5"/>
  <c r="F31188" i="5"/>
  <c r="F31187" i="5"/>
  <c r="F31186" i="5"/>
  <c r="F31185" i="5"/>
  <c r="F31184" i="5"/>
  <c r="F31183" i="5"/>
  <c r="F31182" i="5"/>
  <c r="F31181" i="5"/>
  <c r="F31180" i="5"/>
  <c r="F31179" i="5"/>
  <c r="F31178" i="5"/>
  <c r="F31177" i="5"/>
  <c r="F31176" i="5"/>
  <c r="F31175" i="5"/>
  <c r="F31174" i="5"/>
  <c r="F31173" i="5"/>
  <c r="F31172" i="5"/>
  <c r="F31171" i="5"/>
  <c r="F31170" i="5"/>
  <c r="F31169" i="5"/>
  <c r="F31168" i="5"/>
  <c r="F31167" i="5"/>
  <c r="F31166" i="5"/>
  <c r="F31165" i="5"/>
  <c r="F31164" i="5"/>
  <c r="F31163" i="5"/>
  <c r="F31162" i="5"/>
  <c r="F31161" i="5"/>
  <c r="F31160" i="5"/>
  <c r="F31159" i="5"/>
  <c r="F31158" i="5"/>
  <c r="F31157" i="5"/>
  <c r="F31156" i="5"/>
  <c r="F31155" i="5"/>
  <c r="F31154" i="5"/>
  <c r="F31153" i="5"/>
  <c r="F31152" i="5"/>
  <c r="F31151" i="5"/>
  <c r="F31150" i="5"/>
  <c r="F31149" i="5"/>
  <c r="F31148" i="5"/>
  <c r="F31147" i="5"/>
  <c r="F31146" i="5"/>
  <c r="F31145" i="5"/>
  <c r="F31144" i="5"/>
  <c r="F31143" i="5"/>
  <c r="F31142" i="5"/>
  <c r="F31141" i="5"/>
  <c r="F31140" i="5"/>
  <c r="F31139" i="5"/>
  <c r="F31138" i="5"/>
  <c r="F31137" i="5"/>
  <c r="F31136" i="5"/>
  <c r="F31135" i="5"/>
  <c r="F31134" i="5"/>
  <c r="F31133" i="5"/>
  <c r="F31132" i="5"/>
  <c r="F31131" i="5"/>
  <c r="F31130" i="5"/>
  <c r="F31129" i="5"/>
  <c r="F31128" i="5"/>
  <c r="F31127" i="5"/>
  <c r="F31126" i="5"/>
  <c r="F31125" i="5"/>
  <c r="F31124" i="5"/>
  <c r="F31123" i="5"/>
  <c r="F31122" i="5"/>
  <c r="F31121" i="5"/>
  <c r="F31120" i="5"/>
  <c r="F31119" i="5"/>
  <c r="F31118" i="5"/>
  <c r="F31117" i="5"/>
  <c r="F31116" i="5"/>
  <c r="F31115" i="5"/>
  <c r="F31114" i="5"/>
  <c r="F31113" i="5"/>
  <c r="F31112" i="5"/>
  <c r="F31111" i="5"/>
  <c r="F31110" i="5"/>
  <c r="F31109" i="5"/>
  <c r="F31108" i="5"/>
  <c r="F31107" i="5"/>
  <c r="F31106" i="5"/>
  <c r="F31105" i="5"/>
  <c r="F31104" i="5"/>
  <c r="F31103" i="5"/>
  <c r="F31102" i="5"/>
  <c r="F31101" i="5"/>
  <c r="F31100" i="5"/>
  <c r="F31099" i="5"/>
  <c r="F31098" i="5"/>
  <c r="F31097" i="5"/>
  <c r="F31096" i="5"/>
  <c r="F31095" i="5"/>
  <c r="F31094" i="5"/>
  <c r="F31093" i="5"/>
  <c r="F31092" i="5"/>
  <c r="F31091" i="5"/>
  <c r="F31090" i="5"/>
  <c r="F31089" i="5"/>
  <c r="F31088" i="5"/>
  <c r="F31087" i="5"/>
  <c r="F31086" i="5"/>
  <c r="F31085" i="5"/>
  <c r="F31084" i="5"/>
  <c r="F31083" i="5"/>
  <c r="F31082" i="5"/>
  <c r="F31081" i="5"/>
  <c r="F31080" i="5"/>
  <c r="F31079" i="5"/>
  <c r="F31078" i="5"/>
  <c r="F31077" i="5"/>
  <c r="F31076" i="5"/>
  <c r="F31075" i="5"/>
  <c r="F31074" i="5"/>
  <c r="F31073" i="5"/>
  <c r="F31072" i="5"/>
  <c r="F31071" i="5"/>
  <c r="F31070" i="5"/>
  <c r="F31069" i="5"/>
  <c r="F31068" i="5"/>
  <c r="F31067" i="5"/>
  <c r="F31066" i="5"/>
  <c r="F31065" i="5"/>
  <c r="F31064" i="5"/>
  <c r="F31063" i="5"/>
  <c r="F31062" i="5"/>
  <c r="F31061" i="5"/>
  <c r="F31060" i="5"/>
  <c r="F31059" i="5"/>
  <c r="F31058" i="5"/>
  <c r="F31057" i="5"/>
  <c r="F31056" i="5"/>
  <c r="F31055" i="5"/>
  <c r="F31054" i="5"/>
  <c r="F31053" i="5"/>
  <c r="F31052" i="5"/>
  <c r="F31051" i="5"/>
  <c r="F31050" i="5"/>
  <c r="F31049" i="5"/>
  <c r="F31048" i="5"/>
  <c r="F31047" i="5"/>
  <c r="F31046" i="5"/>
  <c r="F31045" i="5"/>
  <c r="F31044" i="5"/>
  <c r="F31043" i="5"/>
  <c r="F31042" i="5"/>
  <c r="F31041" i="5"/>
  <c r="F31040" i="5"/>
  <c r="F31039" i="5"/>
  <c r="F31038" i="5"/>
  <c r="F31037" i="5"/>
  <c r="F31036" i="5"/>
  <c r="F31035" i="5"/>
  <c r="F31034" i="5"/>
  <c r="F31033" i="5"/>
  <c r="F31032" i="5"/>
  <c r="F31031" i="5"/>
  <c r="F31030" i="5"/>
  <c r="F31029" i="5"/>
  <c r="F31028" i="5"/>
  <c r="F31027" i="5"/>
  <c r="F31026" i="5"/>
  <c r="F31025" i="5"/>
  <c r="F31024" i="5"/>
  <c r="F31023" i="5"/>
  <c r="F31022" i="5"/>
  <c r="F31021" i="5"/>
  <c r="F31020" i="5"/>
  <c r="F31019" i="5"/>
  <c r="F31018" i="5"/>
  <c r="F31017" i="5"/>
  <c r="F31016" i="5"/>
  <c r="F31015" i="5"/>
  <c r="F31014" i="5"/>
  <c r="F31013" i="5"/>
  <c r="F31012" i="5"/>
  <c r="F31011" i="5"/>
  <c r="F31010" i="5"/>
  <c r="F31009" i="5"/>
  <c r="F31008" i="5"/>
  <c r="F31007" i="5"/>
  <c r="F31006" i="5"/>
  <c r="F31005" i="5"/>
  <c r="F31004" i="5"/>
  <c r="F31003" i="5"/>
  <c r="F31002" i="5"/>
  <c r="F31001" i="5"/>
  <c r="F31000" i="5"/>
  <c r="F30999" i="5"/>
  <c r="F30998" i="5"/>
  <c r="F30997" i="5"/>
  <c r="F30996" i="5"/>
  <c r="F30995" i="5"/>
  <c r="F30994" i="5"/>
  <c r="F30993" i="5"/>
  <c r="F30992" i="5"/>
  <c r="F30991" i="5"/>
  <c r="F30990" i="5"/>
  <c r="F30989" i="5"/>
  <c r="F30988" i="5"/>
  <c r="F30987" i="5"/>
  <c r="F30986" i="5"/>
  <c r="F30985" i="5"/>
  <c r="F30984" i="5"/>
  <c r="F30983" i="5"/>
  <c r="F30982" i="5"/>
  <c r="F30981" i="5"/>
  <c r="F30980" i="5"/>
  <c r="F30979" i="5"/>
  <c r="F30978" i="5"/>
  <c r="F30977" i="5"/>
  <c r="F30976" i="5"/>
  <c r="F30975" i="5"/>
  <c r="F30974" i="5"/>
  <c r="F30973" i="5"/>
  <c r="F30972" i="5"/>
  <c r="F30971" i="5"/>
  <c r="F30970" i="5"/>
  <c r="F30969" i="5"/>
  <c r="F30968" i="5"/>
  <c r="F30967" i="5"/>
  <c r="F30966" i="5"/>
  <c r="F30965" i="5"/>
  <c r="F30964" i="5"/>
  <c r="F30963" i="5"/>
  <c r="F30962" i="5"/>
  <c r="F30961" i="5"/>
  <c r="F30960" i="5"/>
  <c r="F30959" i="5"/>
  <c r="F30958" i="5"/>
  <c r="F30957" i="5"/>
  <c r="F30956" i="5"/>
  <c r="F30955" i="5"/>
  <c r="F30954" i="5"/>
  <c r="F30953" i="5"/>
  <c r="F30952" i="5"/>
  <c r="F30951" i="5"/>
  <c r="F30950" i="5"/>
  <c r="F30949" i="5"/>
  <c r="F30948" i="5"/>
  <c r="F30947" i="5"/>
  <c r="F30946" i="5"/>
  <c r="F30945" i="5"/>
  <c r="F30944" i="5"/>
  <c r="F30943" i="5"/>
  <c r="F30942" i="5"/>
  <c r="F30941" i="5"/>
  <c r="F30940" i="5"/>
  <c r="F30939" i="5"/>
  <c r="F30938" i="5"/>
  <c r="F30937" i="5"/>
  <c r="F30936" i="5"/>
  <c r="F30935" i="5"/>
  <c r="F30934" i="5"/>
  <c r="F30933" i="5"/>
  <c r="F30932" i="5"/>
  <c r="F30931" i="5"/>
  <c r="F30930" i="5"/>
  <c r="F30929" i="5"/>
  <c r="F30928" i="5"/>
  <c r="F30927" i="5"/>
  <c r="F30926" i="5"/>
  <c r="F30925" i="5"/>
  <c r="F30924" i="5"/>
  <c r="F30923" i="5"/>
  <c r="F30922" i="5"/>
  <c r="F30921" i="5"/>
  <c r="F30920" i="5"/>
  <c r="F30919" i="5"/>
  <c r="F30918" i="5"/>
  <c r="F30917" i="5"/>
  <c r="F30916" i="5"/>
  <c r="F30915" i="5"/>
  <c r="F30914" i="5"/>
  <c r="F30913" i="5"/>
  <c r="F30912" i="5"/>
  <c r="F30911" i="5"/>
  <c r="F30910" i="5"/>
  <c r="F30909" i="5"/>
  <c r="F30908" i="5"/>
  <c r="F30907" i="5"/>
  <c r="F30906" i="5"/>
  <c r="F30905" i="5"/>
  <c r="F30904" i="5"/>
  <c r="F30903" i="5"/>
  <c r="F30902" i="5"/>
  <c r="F30901" i="5"/>
  <c r="F30900" i="5"/>
  <c r="F30899" i="5"/>
  <c r="F30898" i="5"/>
  <c r="F30897" i="5"/>
  <c r="F30896" i="5"/>
  <c r="F30895" i="5"/>
  <c r="F30894" i="5"/>
  <c r="F30893" i="5"/>
  <c r="F30892" i="5"/>
  <c r="F30891" i="5"/>
  <c r="F30890" i="5"/>
  <c r="F30889" i="5"/>
  <c r="F30888" i="5"/>
  <c r="F30887" i="5"/>
  <c r="F30886" i="5"/>
  <c r="F30885" i="5"/>
  <c r="F30884" i="5"/>
  <c r="F30883" i="5"/>
  <c r="F30882" i="5"/>
  <c r="F30881" i="5"/>
  <c r="F30880" i="5"/>
  <c r="F30879" i="5"/>
  <c r="F30878" i="5"/>
  <c r="F30877" i="5"/>
  <c r="F30876" i="5"/>
  <c r="F30875" i="5"/>
  <c r="F30874" i="5"/>
  <c r="F30873" i="5"/>
  <c r="F30872" i="5"/>
  <c r="F30871" i="5"/>
  <c r="F30870" i="5"/>
  <c r="F30869" i="5"/>
  <c r="F30868" i="5"/>
  <c r="F30867" i="5"/>
  <c r="F30866" i="5"/>
  <c r="F30865" i="5"/>
  <c r="F30864" i="5"/>
  <c r="F30863" i="5"/>
  <c r="F30862" i="5"/>
  <c r="F30861" i="5"/>
  <c r="F30860" i="5"/>
  <c r="F30859" i="5"/>
  <c r="F30858" i="5"/>
  <c r="F30857" i="5"/>
  <c r="F30856" i="5"/>
  <c r="F30855" i="5"/>
  <c r="F30854" i="5"/>
  <c r="F30853" i="5"/>
  <c r="F30852" i="5"/>
  <c r="F30851" i="5"/>
  <c r="F30850" i="5"/>
  <c r="F30849" i="5"/>
  <c r="F30848" i="5"/>
  <c r="F30847" i="5"/>
  <c r="F30846" i="5"/>
  <c r="F30845" i="5"/>
  <c r="F30844" i="5"/>
  <c r="F30843" i="5"/>
  <c r="F30842" i="5"/>
  <c r="F30841" i="5"/>
  <c r="F30840" i="5"/>
  <c r="F30839" i="5"/>
  <c r="F30838" i="5"/>
  <c r="F30837" i="5"/>
  <c r="F30836" i="5"/>
  <c r="F30835" i="5"/>
  <c r="F30834" i="5"/>
  <c r="F30833" i="5"/>
  <c r="F30832" i="5"/>
  <c r="F30831" i="5"/>
  <c r="F30830" i="5"/>
  <c r="F30829" i="5"/>
  <c r="F30828" i="5"/>
  <c r="F30827" i="5"/>
  <c r="F30826" i="5"/>
  <c r="F30825" i="5"/>
  <c r="F30824" i="5"/>
  <c r="F30823" i="5"/>
  <c r="F30822" i="5"/>
  <c r="F30821" i="5"/>
  <c r="F30820" i="5"/>
  <c r="F30819" i="5"/>
  <c r="F30818" i="5"/>
  <c r="F30817" i="5"/>
  <c r="F30816" i="5"/>
  <c r="F30815" i="5"/>
  <c r="F30814" i="5"/>
  <c r="F30813" i="5"/>
  <c r="F30812" i="5"/>
  <c r="F30811" i="5"/>
  <c r="F30810" i="5"/>
  <c r="F30809" i="5"/>
  <c r="F30808" i="5"/>
  <c r="F30807" i="5"/>
  <c r="F30806" i="5"/>
  <c r="F30805" i="5"/>
  <c r="F30804" i="5"/>
  <c r="F30803" i="5"/>
  <c r="F30802" i="5"/>
  <c r="F30801" i="5"/>
  <c r="F30800" i="5"/>
  <c r="F30799" i="5"/>
  <c r="F30798" i="5"/>
  <c r="F30797" i="5"/>
  <c r="F30796" i="5"/>
  <c r="F30795" i="5"/>
  <c r="F30794" i="5"/>
  <c r="F30793" i="5"/>
  <c r="F30792" i="5"/>
  <c r="F30791" i="5"/>
  <c r="F30790" i="5"/>
  <c r="F30789" i="5"/>
  <c r="F30788" i="5"/>
  <c r="F30787" i="5"/>
  <c r="F30786" i="5"/>
  <c r="F30785" i="5"/>
  <c r="F30784" i="5"/>
  <c r="F30783" i="5"/>
  <c r="F30782" i="5"/>
  <c r="F30781" i="5"/>
  <c r="F30780" i="5"/>
  <c r="F30779" i="5"/>
  <c r="F30778" i="5"/>
  <c r="F30777" i="5"/>
  <c r="F30776" i="5"/>
  <c r="F30775" i="5"/>
  <c r="F30774" i="5"/>
  <c r="F30773" i="5"/>
  <c r="F30772" i="5"/>
  <c r="F30771" i="5"/>
  <c r="F30770" i="5"/>
  <c r="F30769" i="5"/>
  <c r="F30768" i="5"/>
  <c r="F30767" i="5"/>
  <c r="F30766" i="5"/>
  <c r="F30765" i="5"/>
  <c r="F30764" i="5"/>
  <c r="F30763" i="5"/>
  <c r="F30762" i="5"/>
  <c r="F30761" i="5"/>
  <c r="F30760" i="5"/>
  <c r="F30759" i="5"/>
  <c r="F30758" i="5"/>
  <c r="F30757" i="5"/>
  <c r="F30756" i="5"/>
  <c r="F30755" i="5"/>
  <c r="F30754" i="5"/>
  <c r="F30753" i="5"/>
  <c r="F30752" i="5"/>
  <c r="F30751" i="5"/>
  <c r="F30750" i="5"/>
  <c r="F30749" i="5"/>
  <c r="F30748" i="5"/>
  <c r="F30747" i="5"/>
  <c r="F30746" i="5"/>
  <c r="F30745" i="5"/>
  <c r="F30744" i="5"/>
  <c r="F30743" i="5"/>
  <c r="F30742" i="5"/>
  <c r="F30741" i="5"/>
  <c r="F30740" i="5"/>
  <c r="F30739" i="5"/>
  <c r="F30738" i="5"/>
  <c r="F30737" i="5"/>
  <c r="F30736" i="5"/>
  <c r="F30735" i="5"/>
  <c r="F30734" i="5"/>
  <c r="F30733" i="5"/>
  <c r="F30732" i="5"/>
  <c r="F30731" i="5"/>
  <c r="F30730" i="5"/>
  <c r="F30729" i="5"/>
  <c r="F30728" i="5"/>
  <c r="F30727" i="5"/>
  <c r="F30726" i="5"/>
  <c r="F30725" i="5"/>
  <c r="F30724" i="5"/>
  <c r="F30723" i="5"/>
  <c r="F30722" i="5"/>
  <c r="F30721" i="5"/>
  <c r="F30720" i="5"/>
  <c r="F30719" i="5"/>
  <c r="F30718" i="5"/>
  <c r="F30717" i="5"/>
  <c r="F30716" i="5"/>
  <c r="F30715" i="5"/>
  <c r="F30714" i="5"/>
  <c r="F30713" i="5"/>
  <c r="F30712" i="5"/>
  <c r="F30711" i="5"/>
  <c r="F30710" i="5"/>
  <c r="F30709" i="5"/>
  <c r="F30708" i="5"/>
  <c r="F30707" i="5"/>
  <c r="F30706" i="5"/>
  <c r="F30705" i="5"/>
  <c r="F30704" i="5"/>
  <c r="F30703" i="5"/>
  <c r="F30702" i="5"/>
  <c r="F30701" i="5"/>
  <c r="F30700" i="5"/>
  <c r="F30699" i="5"/>
  <c r="F30698" i="5"/>
  <c r="F30697" i="5"/>
  <c r="F30696" i="5"/>
  <c r="F30695" i="5"/>
  <c r="F30694" i="5"/>
  <c r="F30693" i="5"/>
  <c r="F30692" i="5"/>
  <c r="F30691" i="5"/>
  <c r="F30690" i="5"/>
  <c r="F30689" i="5"/>
  <c r="F30688" i="5"/>
  <c r="F30687" i="5"/>
  <c r="F30686" i="5"/>
  <c r="F30685" i="5"/>
  <c r="F30684" i="5"/>
  <c r="F30683" i="5"/>
  <c r="F30682" i="5"/>
  <c r="F30681" i="5"/>
  <c r="F30680" i="5"/>
  <c r="F30679" i="5"/>
  <c r="F30678" i="5"/>
  <c r="F30677" i="5"/>
  <c r="F30676" i="5"/>
  <c r="F30675" i="5"/>
  <c r="F30674" i="5"/>
  <c r="F30673" i="5"/>
  <c r="F30672" i="5"/>
  <c r="F30671" i="5"/>
  <c r="F30670" i="5"/>
  <c r="F30669" i="5"/>
  <c r="F30668" i="5"/>
  <c r="F30667" i="5"/>
  <c r="F30666" i="5"/>
  <c r="F30665" i="5"/>
  <c r="F30664" i="5"/>
  <c r="F30663" i="5"/>
  <c r="F30662" i="5"/>
  <c r="F30661" i="5"/>
  <c r="F30660" i="5"/>
  <c r="F30659" i="5"/>
  <c r="F30658" i="5"/>
  <c r="F30657" i="5"/>
  <c r="F30656" i="5"/>
  <c r="F30655" i="5"/>
  <c r="F30654" i="5"/>
  <c r="F30653" i="5"/>
  <c r="F30652" i="5"/>
  <c r="F30651" i="5"/>
  <c r="F30650" i="5"/>
  <c r="F30649" i="5"/>
  <c r="F30648" i="5"/>
  <c r="F30647" i="5"/>
  <c r="F30646" i="5"/>
  <c r="F30645" i="5"/>
  <c r="F30644" i="5"/>
  <c r="F30643" i="5"/>
  <c r="F30642" i="5"/>
  <c r="F30641" i="5"/>
  <c r="F30640" i="5"/>
  <c r="F30639" i="5"/>
  <c r="F30638" i="5"/>
  <c r="F30637" i="5"/>
  <c r="F30636" i="5"/>
  <c r="F30635" i="5"/>
  <c r="F30634" i="5"/>
  <c r="F30633" i="5"/>
  <c r="F30632" i="5"/>
  <c r="F30631" i="5"/>
  <c r="F30630" i="5"/>
  <c r="F30629" i="5"/>
  <c r="F30628" i="5"/>
  <c r="F30627" i="5"/>
  <c r="F30626" i="5"/>
  <c r="F30625" i="5"/>
  <c r="F30624" i="5"/>
  <c r="F30623" i="5"/>
  <c r="F30622" i="5"/>
  <c r="F30621" i="5"/>
  <c r="F30620" i="5"/>
  <c r="F30619" i="5"/>
  <c r="F30618" i="5"/>
  <c r="F30617" i="5"/>
  <c r="F30616" i="5"/>
  <c r="F30615" i="5"/>
  <c r="F30614" i="5"/>
  <c r="F30613" i="5"/>
  <c r="F30612" i="5"/>
  <c r="F30611" i="5"/>
  <c r="F30610" i="5"/>
  <c r="F30609" i="5"/>
  <c r="F30608" i="5"/>
  <c r="F30607" i="5"/>
  <c r="F30606" i="5"/>
  <c r="F30605" i="5"/>
  <c r="F30604" i="5"/>
  <c r="F30603" i="5"/>
  <c r="F30602" i="5"/>
  <c r="F30601" i="5"/>
  <c r="F30600" i="5"/>
  <c r="F30599" i="5"/>
  <c r="F30598" i="5"/>
  <c r="F30597" i="5"/>
  <c r="F30596" i="5"/>
  <c r="F30595" i="5"/>
  <c r="F30594" i="5"/>
  <c r="F30593" i="5"/>
  <c r="F30592" i="5"/>
  <c r="F30591" i="5"/>
  <c r="F30590" i="5"/>
  <c r="F30589" i="5"/>
  <c r="F30588" i="5"/>
  <c r="F30587" i="5"/>
  <c r="F30586" i="5"/>
  <c r="F30585" i="5"/>
  <c r="F30584" i="5"/>
  <c r="F30583" i="5"/>
  <c r="F30582" i="5"/>
  <c r="F30581" i="5"/>
  <c r="F30580" i="5"/>
  <c r="F30579" i="5"/>
  <c r="F30578" i="5"/>
  <c r="F30577" i="5"/>
  <c r="F30576" i="5"/>
  <c r="F30575" i="5"/>
  <c r="F30574" i="5"/>
  <c r="F30573" i="5"/>
  <c r="F30572" i="5"/>
  <c r="F30571" i="5"/>
  <c r="F30570" i="5"/>
  <c r="F30569" i="5"/>
  <c r="F30568" i="5"/>
  <c r="F30567" i="5"/>
  <c r="F30566" i="5"/>
  <c r="F30565" i="5"/>
  <c r="F30564" i="5"/>
  <c r="F30563" i="5"/>
  <c r="F30562" i="5"/>
  <c r="F30561" i="5"/>
  <c r="F30560" i="5"/>
  <c r="F30559" i="5"/>
  <c r="F30558" i="5"/>
  <c r="F30557" i="5"/>
  <c r="F30556" i="5"/>
  <c r="F30555" i="5"/>
  <c r="F30554" i="5"/>
  <c r="F30553" i="5"/>
  <c r="F30552" i="5"/>
  <c r="F30551" i="5"/>
  <c r="F30550" i="5"/>
  <c r="F30549" i="5"/>
  <c r="F30548" i="5"/>
  <c r="F30547" i="5"/>
  <c r="F30546" i="5"/>
  <c r="F30545" i="5"/>
  <c r="F30544" i="5"/>
  <c r="F30543" i="5"/>
  <c r="F30542" i="5"/>
  <c r="F30541" i="5"/>
  <c r="F30540" i="5"/>
  <c r="F30539" i="5"/>
  <c r="F30538" i="5"/>
  <c r="F30537" i="5"/>
  <c r="F30536" i="5"/>
  <c r="F30535" i="5"/>
  <c r="F30534" i="5"/>
  <c r="F30533" i="5"/>
  <c r="F30532" i="5"/>
  <c r="F30531" i="5"/>
  <c r="F30530" i="5"/>
  <c r="F30529" i="5"/>
  <c r="F30528" i="5"/>
  <c r="F30527" i="5"/>
  <c r="F30526" i="5"/>
  <c r="F30525" i="5"/>
  <c r="F30524" i="5"/>
  <c r="F30523" i="5"/>
  <c r="F30522" i="5"/>
  <c r="F30521" i="5"/>
  <c r="F30520" i="5"/>
  <c r="F30519" i="5"/>
  <c r="F30518" i="5"/>
  <c r="F30517" i="5"/>
  <c r="F30516" i="5"/>
  <c r="F30515" i="5"/>
  <c r="F30514" i="5"/>
  <c r="F30513" i="5"/>
  <c r="F30512" i="5"/>
  <c r="F30511" i="5"/>
  <c r="F30510" i="5"/>
  <c r="F30509" i="5"/>
  <c r="F30508" i="5"/>
  <c r="F30507" i="5"/>
  <c r="F30506" i="5"/>
  <c r="F30505" i="5"/>
  <c r="F30504" i="5"/>
  <c r="F30503" i="5"/>
  <c r="F30502" i="5"/>
  <c r="F30501" i="5"/>
  <c r="F30500" i="5"/>
  <c r="F30499" i="5"/>
  <c r="F30498" i="5"/>
  <c r="F30497" i="5"/>
  <c r="F30496" i="5"/>
  <c r="F30495" i="5"/>
  <c r="F30494" i="5"/>
  <c r="F30493" i="5"/>
  <c r="F30492" i="5"/>
  <c r="F30491" i="5"/>
  <c r="F30490" i="5"/>
  <c r="F30489" i="5"/>
  <c r="F30488" i="5"/>
  <c r="F30487" i="5"/>
  <c r="F30486" i="5"/>
  <c r="F30485" i="5"/>
  <c r="F30484" i="5"/>
  <c r="F30483" i="5"/>
  <c r="F30482" i="5"/>
  <c r="F30481" i="5"/>
  <c r="F30480" i="5"/>
  <c r="F30479" i="5"/>
  <c r="F30478" i="5"/>
  <c r="F30477" i="5"/>
  <c r="F30476" i="5"/>
  <c r="F30475" i="5"/>
  <c r="F30474" i="5"/>
  <c r="F30473" i="5"/>
  <c r="F30472" i="5"/>
  <c r="F30471" i="5"/>
  <c r="F30470" i="5"/>
  <c r="F30469" i="5"/>
  <c r="F30468" i="5"/>
  <c r="F30467" i="5"/>
  <c r="F30466" i="5"/>
  <c r="F30465" i="5"/>
  <c r="F30464" i="5"/>
  <c r="F30463" i="5"/>
  <c r="F30462" i="5"/>
  <c r="F30461" i="5"/>
  <c r="F30460" i="5"/>
  <c r="F30459" i="5"/>
  <c r="F30458" i="5"/>
  <c r="F30457" i="5"/>
  <c r="F30456" i="5"/>
  <c r="F30455" i="5"/>
  <c r="F30454" i="5"/>
  <c r="F30453" i="5"/>
  <c r="F30452" i="5"/>
  <c r="F30451" i="5"/>
  <c r="F30450" i="5"/>
  <c r="F30449" i="5"/>
  <c r="F30448" i="5"/>
  <c r="F30447" i="5"/>
  <c r="F30446" i="5"/>
  <c r="F30445" i="5"/>
  <c r="F30444" i="5"/>
  <c r="F30443" i="5"/>
  <c r="F30442" i="5"/>
  <c r="F30441" i="5"/>
  <c r="F30440" i="5"/>
  <c r="F30439" i="5"/>
  <c r="F30438" i="5"/>
  <c r="F30437" i="5"/>
  <c r="F30436" i="5"/>
  <c r="F30435" i="5"/>
  <c r="F30434" i="5"/>
  <c r="F30433" i="5"/>
  <c r="F30432" i="5"/>
  <c r="F30431" i="5"/>
  <c r="F30430" i="5"/>
  <c r="F30429" i="5"/>
  <c r="F30428" i="5"/>
  <c r="F30427" i="5"/>
  <c r="F30426" i="5"/>
  <c r="F30425" i="5"/>
  <c r="F30424" i="5"/>
  <c r="F30423" i="5"/>
  <c r="F30422" i="5"/>
  <c r="F30421" i="5"/>
  <c r="F30420" i="5"/>
  <c r="F30419" i="5"/>
  <c r="F30418" i="5"/>
  <c r="F30417" i="5"/>
  <c r="F30416" i="5"/>
  <c r="F30415" i="5"/>
  <c r="F30414" i="5"/>
  <c r="F30413" i="5"/>
  <c r="F30412" i="5"/>
  <c r="F30411" i="5"/>
  <c r="F30410" i="5"/>
  <c r="F30409" i="5"/>
  <c r="F30408" i="5"/>
  <c r="F30407" i="5"/>
  <c r="F30406" i="5"/>
  <c r="F30405" i="5"/>
  <c r="F30404" i="5"/>
  <c r="F30403" i="5"/>
  <c r="F30402" i="5"/>
  <c r="F30401" i="5"/>
  <c r="F30400" i="5"/>
  <c r="F30399" i="5"/>
  <c r="F30398" i="5"/>
  <c r="F30397" i="5"/>
  <c r="F30396" i="5"/>
  <c r="F30395" i="5"/>
  <c r="F30394" i="5"/>
  <c r="F30393" i="5"/>
  <c r="F30392" i="5"/>
  <c r="F30391" i="5"/>
  <c r="F30390" i="5"/>
  <c r="F30389" i="5"/>
  <c r="F30388" i="5"/>
  <c r="F30387" i="5"/>
  <c r="F30386" i="5"/>
  <c r="F30385" i="5"/>
  <c r="F30384" i="5"/>
  <c r="F30383" i="5"/>
  <c r="F30382" i="5"/>
  <c r="F30381" i="5"/>
  <c r="F30380" i="5"/>
  <c r="F30379" i="5"/>
  <c r="F30378" i="5"/>
  <c r="F30377" i="5"/>
  <c r="F30376" i="5"/>
  <c r="F30375" i="5"/>
  <c r="F30374" i="5"/>
  <c r="F30373" i="5"/>
  <c r="F30372" i="5"/>
  <c r="F30371" i="5"/>
  <c r="F30370" i="5"/>
  <c r="F30369" i="5"/>
  <c r="F30368" i="5"/>
  <c r="F30367" i="5"/>
  <c r="F30366" i="5"/>
  <c r="F30365" i="5"/>
  <c r="F30364" i="5"/>
  <c r="F30363" i="5"/>
  <c r="F30362" i="5"/>
  <c r="F30361" i="5"/>
  <c r="F30360" i="5"/>
  <c r="F30359" i="5"/>
  <c r="F30358" i="5"/>
  <c r="F30357" i="5"/>
  <c r="F30356" i="5"/>
  <c r="F30355" i="5"/>
  <c r="F30354" i="5"/>
  <c r="F30353" i="5"/>
  <c r="F30352" i="5"/>
  <c r="F30351" i="5"/>
  <c r="F30350" i="5"/>
  <c r="F30349" i="5"/>
  <c r="F30348" i="5"/>
  <c r="F30347" i="5"/>
  <c r="F30346" i="5"/>
  <c r="F30345" i="5"/>
  <c r="F30344" i="5"/>
  <c r="F30343" i="5"/>
  <c r="F30342" i="5"/>
  <c r="F30341" i="5"/>
  <c r="F30340" i="5"/>
  <c r="F30339" i="5"/>
  <c r="F30338" i="5"/>
  <c r="F30337" i="5"/>
  <c r="F30336" i="5"/>
  <c r="F30335" i="5"/>
  <c r="F30334" i="5"/>
  <c r="F30333" i="5"/>
  <c r="F30332" i="5"/>
  <c r="F30331" i="5"/>
  <c r="F30330" i="5"/>
  <c r="F30329" i="5"/>
  <c r="F30328" i="5"/>
  <c r="F30327" i="5"/>
  <c r="F30326" i="5"/>
  <c r="F30325" i="5"/>
  <c r="F30324" i="5"/>
  <c r="F30323" i="5"/>
  <c r="F30322" i="5"/>
  <c r="F30321" i="5"/>
  <c r="F30320" i="5"/>
  <c r="F30319" i="5"/>
  <c r="F30318" i="5"/>
  <c r="F30317" i="5"/>
  <c r="F30316" i="5"/>
  <c r="F30315" i="5"/>
  <c r="F30314" i="5"/>
  <c r="F30313" i="5"/>
  <c r="F30312" i="5"/>
  <c r="F30311" i="5"/>
  <c r="F30310" i="5"/>
  <c r="F30309" i="5"/>
  <c r="F30308" i="5"/>
  <c r="F30307" i="5"/>
  <c r="F30306" i="5"/>
  <c r="F30305" i="5"/>
  <c r="F30304" i="5"/>
  <c r="F30303" i="5"/>
  <c r="F30302" i="5"/>
  <c r="F30301" i="5"/>
  <c r="F30300" i="5"/>
  <c r="F30299" i="5"/>
  <c r="F30298" i="5"/>
  <c r="F30297" i="5"/>
  <c r="F30296" i="5"/>
  <c r="F30295" i="5"/>
  <c r="F30294" i="5"/>
  <c r="F30293" i="5"/>
  <c r="F30292" i="5"/>
  <c r="F30291" i="5"/>
  <c r="F30290" i="5"/>
  <c r="F30289" i="5"/>
  <c r="F30288" i="5"/>
  <c r="F30287" i="5"/>
  <c r="F30286" i="5"/>
  <c r="F30285" i="5"/>
  <c r="F30284" i="5"/>
  <c r="F30283" i="5"/>
  <c r="F30282" i="5"/>
  <c r="F30281" i="5"/>
  <c r="F30280" i="5"/>
  <c r="F30279" i="5"/>
  <c r="F30278" i="5"/>
  <c r="F30277" i="5"/>
  <c r="F30276" i="5"/>
  <c r="F30275" i="5"/>
  <c r="F30274" i="5"/>
  <c r="F30273" i="5"/>
  <c r="F30272" i="5"/>
  <c r="F30271" i="5"/>
  <c r="F30270" i="5"/>
  <c r="F30269" i="5"/>
  <c r="F30268" i="5"/>
  <c r="F30267" i="5"/>
  <c r="F30266" i="5"/>
  <c r="F30265" i="5"/>
  <c r="F30264" i="5"/>
  <c r="F30263" i="5"/>
  <c r="F30262" i="5"/>
  <c r="F30261" i="5"/>
  <c r="F30260" i="5"/>
  <c r="F30259" i="5"/>
  <c r="F30258" i="5"/>
  <c r="F30257" i="5"/>
  <c r="F30256" i="5"/>
  <c r="F30255" i="5"/>
  <c r="F30254" i="5"/>
  <c r="F30253" i="5"/>
  <c r="F30252" i="5"/>
  <c r="F30251" i="5"/>
  <c r="F30250" i="5"/>
  <c r="F30249" i="5"/>
  <c r="F30248" i="5"/>
  <c r="F30247" i="5"/>
  <c r="F30246" i="5"/>
  <c r="F30245" i="5"/>
  <c r="F30244" i="5"/>
  <c r="F30243" i="5"/>
  <c r="F30242" i="5"/>
  <c r="F30241" i="5"/>
  <c r="F30240" i="5"/>
  <c r="F30239" i="5"/>
  <c r="F30238" i="5"/>
  <c r="F30237" i="5"/>
  <c r="F30236" i="5"/>
  <c r="F30235" i="5"/>
  <c r="F30234" i="5"/>
  <c r="F30233" i="5"/>
  <c r="F30232" i="5"/>
  <c r="F30231" i="5"/>
  <c r="F30230" i="5"/>
  <c r="F30229" i="5"/>
  <c r="F30228" i="5"/>
  <c r="F30227" i="5"/>
  <c r="F30226" i="5"/>
  <c r="F30225" i="5"/>
  <c r="F30224" i="5"/>
  <c r="F30223" i="5"/>
  <c r="F30222" i="5"/>
  <c r="F30221" i="5"/>
  <c r="F30220" i="5"/>
  <c r="F30219" i="5"/>
  <c r="F30218" i="5"/>
  <c r="F30217" i="5"/>
  <c r="F30216" i="5"/>
  <c r="F30215" i="5"/>
  <c r="F30214" i="5"/>
  <c r="F30213" i="5"/>
  <c r="F30212" i="5"/>
  <c r="F30211" i="5"/>
  <c r="F30210" i="5"/>
  <c r="F30209" i="5"/>
  <c r="F30208" i="5"/>
  <c r="F30207" i="5"/>
  <c r="F30206" i="5"/>
  <c r="F30205" i="5"/>
  <c r="F30204" i="5"/>
  <c r="F30203" i="5"/>
  <c r="F30202" i="5"/>
  <c r="F30201" i="5"/>
  <c r="F30200" i="5"/>
  <c r="F30199" i="5"/>
  <c r="F30198" i="5"/>
  <c r="F30197" i="5"/>
  <c r="F30196" i="5"/>
  <c r="F30195" i="5"/>
  <c r="F30194" i="5"/>
  <c r="F30193" i="5"/>
  <c r="F30192" i="5"/>
  <c r="F30191" i="5"/>
  <c r="F30190" i="5"/>
  <c r="F30189" i="5"/>
  <c r="F30188" i="5"/>
  <c r="F30187" i="5"/>
  <c r="F30186" i="5"/>
  <c r="F30185" i="5"/>
  <c r="F30184" i="5"/>
  <c r="F30183" i="5"/>
  <c r="F30182" i="5"/>
  <c r="F30181" i="5"/>
  <c r="F30180" i="5"/>
  <c r="F30179" i="5"/>
  <c r="F30178" i="5"/>
  <c r="F30177" i="5"/>
  <c r="F30176" i="5"/>
  <c r="F30175" i="5"/>
  <c r="F30174" i="5"/>
  <c r="F30173" i="5"/>
  <c r="F30172" i="5"/>
  <c r="F30171" i="5"/>
  <c r="F30170" i="5"/>
  <c r="F30169" i="5"/>
  <c r="F30168" i="5"/>
  <c r="F30167" i="5"/>
  <c r="F30166" i="5"/>
  <c r="F30165" i="5"/>
  <c r="F30164" i="5"/>
  <c r="F30163" i="5"/>
  <c r="F30162" i="5"/>
  <c r="F30161" i="5"/>
  <c r="F30160" i="5"/>
  <c r="F30159" i="5"/>
  <c r="F30158" i="5"/>
  <c r="F30157" i="5"/>
  <c r="F30156" i="5"/>
  <c r="F30155" i="5"/>
  <c r="F30154" i="5"/>
  <c r="F30153" i="5"/>
  <c r="F30152" i="5"/>
  <c r="F30151" i="5"/>
  <c r="F30150" i="5"/>
  <c r="F30149" i="5"/>
  <c r="F30148" i="5"/>
  <c r="F30147" i="5"/>
  <c r="F30146" i="5"/>
  <c r="F30145" i="5"/>
  <c r="F30144" i="5"/>
  <c r="F30143" i="5"/>
  <c r="F30142" i="5"/>
  <c r="F30141" i="5"/>
  <c r="F30140" i="5"/>
  <c r="F30139" i="5"/>
  <c r="F30138" i="5"/>
  <c r="F30137" i="5"/>
  <c r="F30136" i="5"/>
  <c r="F30135" i="5"/>
  <c r="F30134" i="5"/>
  <c r="F30133" i="5"/>
  <c r="F30132" i="5"/>
  <c r="F30131" i="5"/>
  <c r="F30130" i="5"/>
  <c r="F30129" i="5"/>
  <c r="F30128" i="5"/>
  <c r="F30127" i="5"/>
  <c r="F30126" i="5"/>
  <c r="F30125" i="5"/>
  <c r="F30124" i="5"/>
  <c r="F30123" i="5"/>
  <c r="F30122" i="5"/>
  <c r="F30121" i="5"/>
  <c r="F30120" i="5"/>
  <c r="F30119" i="5"/>
  <c r="F30118" i="5"/>
  <c r="F30117" i="5"/>
  <c r="F30116" i="5"/>
  <c r="F30115" i="5"/>
  <c r="F30114" i="5"/>
  <c r="F30113" i="5"/>
  <c r="F30112" i="5"/>
  <c r="F30111" i="5"/>
  <c r="F30110" i="5"/>
  <c r="F30109" i="5"/>
  <c r="F30108" i="5"/>
  <c r="F30107" i="5"/>
  <c r="F30106" i="5"/>
  <c r="F30105" i="5"/>
  <c r="F30104" i="5"/>
  <c r="F30103" i="5"/>
  <c r="F30102" i="5"/>
  <c r="F30101" i="5"/>
  <c r="F30100" i="5"/>
  <c r="F30099" i="5"/>
  <c r="F30098" i="5"/>
  <c r="F30097" i="5"/>
  <c r="F30096" i="5"/>
  <c r="F30095" i="5"/>
  <c r="F30094" i="5"/>
  <c r="F30093" i="5"/>
  <c r="F30092" i="5"/>
  <c r="F30091" i="5"/>
  <c r="F30090" i="5"/>
  <c r="F30089" i="5"/>
  <c r="F30088" i="5"/>
  <c r="F30087" i="5"/>
  <c r="F30086" i="5"/>
  <c r="F30085" i="5"/>
  <c r="F30084" i="5"/>
  <c r="F30083" i="5"/>
  <c r="F30082" i="5"/>
  <c r="F30081" i="5"/>
  <c r="F30080" i="5"/>
  <c r="F30079" i="5"/>
  <c r="F30078" i="5"/>
  <c r="F30077" i="5"/>
  <c r="F30076" i="5"/>
  <c r="F30075" i="5"/>
  <c r="F30074" i="5"/>
  <c r="F30073" i="5"/>
  <c r="F30072" i="5"/>
  <c r="F30071" i="5"/>
  <c r="F30070" i="5"/>
  <c r="F30069" i="5"/>
  <c r="F30068" i="5"/>
  <c r="F30067" i="5"/>
  <c r="F30066" i="5"/>
  <c r="F30065" i="5"/>
  <c r="F30064" i="5"/>
  <c r="F30063" i="5"/>
  <c r="F30062" i="5"/>
  <c r="F30061" i="5"/>
  <c r="F30060" i="5"/>
  <c r="F30059" i="5"/>
  <c r="F30058" i="5"/>
  <c r="F30057" i="5"/>
  <c r="F30056" i="5"/>
  <c r="F30055" i="5"/>
  <c r="F30054" i="5"/>
  <c r="F30053" i="5"/>
  <c r="F30052" i="5"/>
  <c r="F30051" i="5"/>
  <c r="F30050" i="5"/>
  <c r="F30049" i="5"/>
  <c r="F30048" i="5"/>
  <c r="F30047" i="5"/>
  <c r="F30046" i="5"/>
  <c r="F30045" i="5"/>
  <c r="F30044" i="5"/>
  <c r="F30043" i="5"/>
  <c r="F30042" i="5"/>
  <c r="F30041" i="5"/>
  <c r="F30040" i="5"/>
  <c r="F30039" i="5"/>
  <c r="F30038" i="5"/>
  <c r="F30037" i="5"/>
  <c r="F30036" i="5"/>
  <c r="F30035" i="5"/>
  <c r="F30034" i="5"/>
  <c r="F30033" i="5"/>
  <c r="F30032" i="5"/>
  <c r="F30031" i="5"/>
  <c r="F30030" i="5"/>
  <c r="F30029" i="5"/>
  <c r="F30028" i="5"/>
  <c r="F30027" i="5"/>
  <c r="F30026" i="5"/>
  <c r="F30025" i="5"/>
  <c r="F30024" i="5"/>
  <c r="F30023" i="5"/>
  <c r="F30022" i="5"/>
  <c r="F30021" i="5"/>
  <c r="F30020" i="5"/>
  <c r="F30019" i="5"/>
  <c r="F30018" i="5"/>
  <c r="F30017" i="5"/>
  <c r="F30016" i="5"/>
  <c r="F30015" i="5"/>
  <c r="F30014" i="5"/>
  <c r="F30013" i="5"/>
  <c r="F30012" i="5"/>
  <c r="F30011" i="5"/>
  <c r="F30010" i="5"/>
  <c r="F30009" i="5"/>
  <c r="F30008" i="5"/>
  <c r="F30007" i="5"/>
  <c r="F30006" i="5"/>
  <c r="F30005" i="5"/>
  <c r="F30004" i="5"/>
  <c r="F30003" i="5"/>
  <c r="F30002" i="5"/>
  <c r="F30001" i="5"/>
  <c r="F30000" i="5"/>
  <c r="F29999" i="5"/>
  <c r="F29998" i="5"/>
  <c r="F29997" i="5"/>
  <c r="F29996" i="5"/>
  <c r="F29995" i="5"/>
  <c r="F29994" i="5"/>
  <c r="F29993" i="5"/>
  <c r="F29992" i="5"/>
  <c r="F29991" i="5"/>
  <c r="F29990" i="5"/>
  <c r="F29989" i="5"/>
  <c r="F29988" i="5"/>
  <c r="F29987" i="5"/>
  <c r="F29986" i="5"/>
  <c r="F29985" i="5"/>
  <c r="F29984" i="5"/>
  <c r="F29983" i="5"/>
  <c r="F29982" i="5"/>
  <c r="F29981" i="5"/>
  <c r="F29980" i="5"/>
  <c r="F29979" i="5"/>
  <c r="F29978" i="5"/>
  <c r="F29977" i="5"/>
  <c r="F29976" i="5"/>
  <c r="F29975" i="5"/>
  <c r="F29974" i="5"/>
  <c r="F29973" i="5"/>
  <c r="F29972" i="5"/>
  <c r="F29971" i="5"/>
  <c r="F29970" i="5"/>
  <c r="F29969" i="5"/>
  <c r="F29968" i="5"/>
  <c r="F29967" i="5"/>
  <c r="F29966" i="5"/>
  <c r="F29965" i="5"/>
  <c r="F29964" i="5"/>
  <c r="F29963" i="5"/>
  <c r="F29962" i="5"/>
  <c r="F29961" i="5"/>
  <c r="F29960" i="5"/>
  <c r="F29959" i="5"/>
  <c r="F29958" i="5"/>
  <c r="F29957" i="5"/>
  <c r="F29956" i="5"/>
  <c r="F29955" i="5"/>
  <c r="F29954" i="5"/>
  <c r="F29953" i="5"/>
  <c r="F29952" i="5"/>
  <c r="F29951" i="5"/>
  <c r="F29950" i="5"/>
  <c r="F29949" i="5"/>
  <c r="F29948" i="5"/>
  <c r="F29947" i="5"/>
  <c r="F29946" i="5"/>
  <c r="F29945" i="5"/>
  <c r="F29944" i="5"/>
  <c r="F29943" i="5"/>
  <c r="F29942" i="5"/>
  <c r="F29941" i="5"/>
  <c r="F29940" i="5"/>
  <c r="F29939" i="5"/>
  <c r="F29938" i="5"/>
  <c r="F29937" i="5"/>
  <c r="F29936" i="5"/>
  <c r="F29935" i="5"/>
  <c r="F29934" i="5"/>
  <c r="F29933" i="5"/>
  <c r="F29932" i="5"/>
  <c r="F29931" i="5"/>
  <c r="F29930" i="5"/>
  <c r="F29929" i="5"/>
  <c r="F29928" i="5"/>
  <c r="F29927" i="5"/>
  <c r="F29926" i="5"/>
  <c r="F29925" i="5"/>
  <c r="F29924" i="5"/>
  <c r="F29923" i="5"/>
  <c r="F29922" i="5"/>
  <c r="F29921" i="5"/>
  <c r="F29920" i="5"/>
  <c r="F29919" i="5"/>
  <c r="F29918" i="5"/>
  <c r="F29917" i="5"/>
  <c r="F29916" i="5"/>
  <c r="F29915" i="5"/>
  <c r="F29914" i="5"/>
  <c r="F29913" i="5"/>
  <c r="F29912" i="5"/>
  <c r="F29911" i="5"/>
  <c r="F29910" i="5"/>
  <c r="F29909" i="5"/>
  <c r="F29908" i="5"/>
  <c r="F29907" i="5"/>
  <c r="F29906" i="5"/>
  <c r="F29905" i="5"/>
  <c r="F29904" i="5"/>
  <c r="F29903" i="5"/>
  <c r="F29902" i="5"/>
  <c r="F29901" i="5"/>
  <c r="F29900" i="5"/>
  <c r="F29899" i="5"/>
  <c r="F29898" i="5"/>
  <c r="F29897" i="5"/>
  <c r="F29896" i="5"/>
  <c r="F29895" i="5"/>
  <c r="F29894" i="5"/>
  <c r="F29893" i="5"/>
  <c r="F29892" i="5"/>
  <c r="F29891" i="5"/>
  <c r="F29890" i="5"/>
  <c r="F29889" i="5"/>
  <c r="F29888" i="5"/>
  <c r="F29887" i="5"/>
  <c r="F29886" i="5"/>
  <c r="F29885" i="5"/>
  <c r="F29884" i="5"/>
  <c r="F29883" i="5"/>
  <c r="F29882" i="5"/>
  <c r="F29881" i="5"/>
  <c r="F29880" i="5"/>
  <c r="F29879" i="5"/>
  <c r="F29878" i="5"/>
  <c r="F29877" i="5"/>
  <c r="F29876" i="5"/>
  <c r="F29875" i="5"/>
  <c r="F29874" i="5"/>
  <c r="F29873" i="5"/>
  <c r="F29872" i="5"/>
  <c r="F29871" i="5"/>
  <c r="F29870" i="5"/>
  <c r="F29869" i="5"/>
  <c r="F29868" i="5"/>
  <c r="F29867" i="5"/>
  <c r="F29866" i="5"/>
  <c r="F29865" i="5"/>
  <c r="F29864" i="5"/>
  <c r="F29863" i="5"/>
  <c r="F29862" i="5"/>
  <c r="F29861" i="5"/>
  <c r="F29860" i="5"/>
  <c r="F29859" i="5"/>
  <c r="F29858" i="5"/>
  <c r="F29857" i="5"/>
  <c r="F29856" i="5"/>
  <c r="F29855" i="5"/>
  <c r="F29854" i="5"/>
  <c r="F29853" i="5"/>
  <c r="F29852" i="5"/>
  <c r="F29851" i="5"/>
  <c r="F29850" i="5"/>
  <c r="F29849" i="5"/>
  <c r="F29848" i="5"/>
  <c r="F29847" i="5"/>
  <c r="F29846" i="5"/>
  <c r="F29845" i="5"/>
  <c r="F29844" i="5"/>
  <c r="F29843" i="5"/>
  <c r="F29842" i="5"/>
  <c r="F29841" i="5"/>
  <c r="F29840" i="5"/>
  <c r="F29839" i="5"/>
  <c r="F29838" i="5"/>
  <c r="F29837" i="5"/>
  <c r="F29836" i="5"/>
  <c r="F29835" i="5"/>
  <c r="F29834" i="5"/>
  <c r="F29833" i="5"/>
  <c r="F29832" i="5"/>
  <c r="F29831" i="5"/>
  <c r="F29830" i="5"/>
  <c r="F29829" i="5"/>
  <c r="F29828" i="5"/>
  <c r="F29827" i="5"/>
  <c r="F29826" i="5"/>
  <c r="F29825" i="5"/>
  <c r="F29824" i="5"/>
  <c r="F29823" i="5"/>
  <c r="F29822" i="5"/>
  <c r="F29821" i="5"/>
  <c r="F29820" i="5"/>
  <c r="F29819" i="5"/>
  <c r="F29818" i="5"/>
  <c r="F29817" i="5"/>
  <c r="F29816" i="5"/>
  <c r="F29815" i="5"/>
  <c r="F29814" i="5"/>
  <c r="F29813" i="5"/>
  <c r="F29812" i="5"/>
  <c r="F29811" i="5"/>
  <c r="F29810" i="5"/>
  <c r="F29809" i="5"/>
  <c r="F29808" i="5"/>
  <c r="F29807" i="5"/>
  <c r="F29806" i="5"/>
  <c r="F29805" i="5"/>
  <c r="F29804" i="5"/>
  <c r="F29803" i="5"/>
  <c r="F29802" i="5"/>
  <c r="F29801" i="5"/>
  <c r="F29800" i="5"/>
  <c r="F29799" i="5"/>
  <c r="F29798" i="5"/>
  <c r="F29797" i="5"/>
  <c r="F29796" i="5"/>
  <c r="F29795" i="5"/>
  <c r="F29794" i="5"/>
  <c r="F29793" i="5"/>
  <c r="F29792" i="5"/>
  <c r="F29791" i="5"/>
  <c r="F29790" i="5"/>
  <c r="F29789" i="5"/>
  <c r="F29788" i="5"/>
  <c r="F29787" i="5"/>
  <c r="F29786" i="5"/>
  <c r="F29785" i="5"/>
  <c r="F29784" i="5"/>
  <c r="F29783" i="5"/>
  <c r="F29782" i="5"/>
  <c r="F29781" i="5"/>
  <c r="F29780" i="5"/>
  <c r="F29779" i="5"/>
  <c r="F29778" i="5"/>
  <c r="F29777" i="5"/>
  <c r="F29776" i="5"/>
  <c r="F29775" i="5"/>
  <c r="F29774" i="5"/>
  <c r="F29773" i="5"/>
  <c r="F29772" i="5"/>
  <c r="F29771" i="5"/>
  <c r="F29770" i="5"/>
  <c r="F29769" i="5"/>
  <c r="F29768" i="5"/>
  <c r="F29767" i="5"/>
  <c r="F29766" i="5"/>
  <c r="F29765" i="5"/>
  <c r="F29764" i="5"/>
  <c r="F29763" i="5"/>
  <c r="F29762" i="5"/>
  <c r="F29761" i="5"/>
  <c r="F29760" i="5"/>
  <c r="F29759" i="5"/>
  <c r="F29758" i="5"/>
  <c r="F29757" i="5"/>
  <c r="F29756" i="5"/>
  <c r="F29755" i="5"/>
  <c r="F29754" i="5"/>
  <c r="F29753" i="5"/>
  <c r="F29752" i="5"/>
  <c r="F29751" i="5"/>
  <c r="F29750" i="5"/>
  <c r="F29749" i="5"/>
  <c r="F29748" i="5"/>
  <c r="F29747" i="5"/>
  <c r="F29746" i="5"/>
  <c r="F29745" i="5"/>
  <c r="F29744" i="5"/>
  <c r="F29743" i="5"/>
  <c r="F29742" i="5"/>
  <c r="F29741" i="5"/>
  <c r="F29740" i="5"/>
  <c r="F29739" i="5"/>
  <c r="F29738" i="5"/>
  <c r="F29737" i="5"/>
  <c r="F29736" i="5"/>
  <c r="F29735" i="5"/>
  <c r="F29734" i="5"/>
  <c r="F29733" i="5"/>
  <c r="F29732" i="5"/>
  <c r="F29731" i="5"/>
  <c r="F29730" i="5"/>
  <c r="F29729" i="5"/>
  <c r="F29728" i="5"/>
  <c r="F29727" i="5"/>
  <c r="F29726" i="5"/>
  <c r="F29725" i="5"/>
  <c r="F29724" i="5"/>
  <c r="F29723" i="5"/>
  <c r="F29722" i="5"/>
  <c r="F29721" i="5"/>
  <c r="F29720" i="5"/>
  <c r="F29719" i="5"/>
  <c r="F29718" i="5"/>
  <c r="F29717" i="5"/>
  <c r="F29716" i="5"/>
  <c r="F29715" i="5"/>
  <c r="F29714" i="5"/>
  <c r="F29713" i="5"/>
  <c r="F29712" i="5"/>
  <c r="F29711" i="5"/>
  <c r="F29710" i="5"/>
  <c r="F29709" i="5"/>
  <c r="F29708" i="5"/>
  <c r="F29707" i="5"/>
  <c r="F29706" i="5"/>
  <c r="F29705" i="5"/>
  <c r="F29704" i="5"/>
  <c r="F29703" i="5"/>
  <c r="F29702" i="5"/>
  <c r="F29701" i="5"/>
  <c r="F29700" i="5"/>
  <c r="F29699" i="5"/>
  <c r="F29698" i="5"/>
  <c r="F29697" i="5"/>
  <c r="F29696" i="5"/>
  <c r="F29695" i="5"/>
  <c r="F29694" i="5"/>
  <c r="F29693" i="5"/>
  <c r="F29692" i="5"/>
  <c r="F29691" i="5"/>
  <c r="F29690" i="5"/>
  <c r="F29689" i="5"/>
  <c r="F29688" i="5"/>
  <c r="F29687" i="5"/>
  <c r="F29686" i="5"/>
  <c r="F29685" i="5"/>
  <c r="F29684" i="5"/>
  <c r="F29683" i="5"/>
  <c r="F29682" i="5"/>
  <c r="F29681" i="5"/>
  <c r="F29680" i="5"/>
  <c r="F29679" i="5"/>
  <c r="F29678" i="5"/>
  <c r="F29677" i="5"/>
  <c r="F29676" i="5"/>
  <c r="F29675" i="5"/>
  <c r="F29674" i="5"/>
  <c r="F29673" i="5"/>
  <c r="F29672" i="5"/>
  <c r="F29671" i="5"/>
  <c r="F29670" i="5"/>
  <c r="F29669" i="5"/>
  <c r="F29668" i="5"/>
  <c r="F29667" i="5"/>
  <c r="F29666" i="5"/>
  <c r="F29665" i="5"/>
  <c r="F29664" i="5"/>
  <c r="F29663" i="5"/>
  <c r="F29662" i="5"/>
  <c r="F29661" i="5"/>
  <c r="F29660" i="5"/>
  <c r="F29659" i="5"/>
  <c r="F29658" i="5"/>
  <c r="F29657" i="5"/>
  <c r="F29656" i="5"/>
  <c r="F29655" i="5"/>
  <c r="F29654" i="5"/>
  <c r="F29653" i="5"/>
  <c r="F29652" i="5"/>
  <c r="F29651" i="5"/>
  <c r="F29650" i="5"/>
  <c r="F29649" i="5"/>
  <c r="F29648" i="5"/>
  <c r="F29647" i="5"/>
  <c r="F29646" i="5"/>
  <c r="F29645" i="5"/>
  <c r="F29644" i="5"/>
  <c r="F29643" i="5"/>
  <c r="F29642" i="5"/>
  <c r="F29641" i="5"/>
  <c r="F29640" i="5"/>
  <c r="F29639" i="5"/>
  <c r="F29638" i="5"/>
  <c r="F29637" i="5"/>
  <c r="F29636" i="5"/>
  <c r="F29635" i="5"/>
  <c r="F29634" i="5"/>
  <c r="F29633" i="5"/>
  <c r="F29632" i="5"/>
  <c r="F29631" i="5"/>
  <c r="F29630" i="5"/>
  <c r="F29629" i="5"/>
  <c r="F29628" i="5"/>
  <c r="F29627" i="5"/>
  <c r="F29626" i="5"/>
  <c r="F29625" i="5"/>
  <c r="F29624" i="5"/>
  <c r="F29623" i="5"/>
  <c r="F29622" i="5"/>
  <c r="F29621" i="5"/>
  <c r="F29620" i="5"/>
  <c r="F29619" i="5"/>
  <c r="F29618" i="5"/>
  <c r="F29617" i="5"/>
  <c r="F29616" i="5"/>
  <c r="F29615" i="5"/>
  <c r="F29614" i="5"/>
  <c r="F29613" i="5"/>
  <c r="F29612" i="5"/>
  <c r="F29611" i="5"/>
  <c r="F29610" i="5"/>
  <c r="F29609" i="5"/>
  <c r="F29608" i="5"/>
  <c r="F29607" i="5"/>
  <c r="F29606" i="5"/>
  <c r="F29605" i="5"/>
  <c r="F29604" i="5"/>
  <c r="F29603" i="5"/>
  <c r="F29602" i="5"/>
  <c r="F29601" i="5"/>
  <c r="F29600" i="5"/>
  <c r="F29599" i="5"/>
  <c r="F29598" i="5"/>
  <c r="F29597" i="5"/>
  <c r="F29596" i="5"/>
  <c r="F29595" i="5"/>
  <c r="F29594" i="5"/>
  <c r="F29593" i="5"/>
  <c r="F29592" i="5"/>
  <c r="F29591" i="5"/>
  <c r="F29590" i="5"/>
  <c r="F29589" i="5"/>
  <c r="F29588" i="5"/>
  <c r="F29587" i="5"/>
  <c r="F29586" i="5"/>
  <c r="F29585" i="5"/>
  <c r="F29584" i="5"/>
  <c r="F29583" i="5"/>
  <c r="F29582" i="5"/>
  <c r="F29581" i="5"/>
  <c r="F29580" i="5"/>
  <c r="F29579" i="5"/>
  <c r="F29578" i="5"/>
  <c r="F29577" i="5"/>
  <c r="F29576" i="5"/>
  <c r="F29575" i="5"/>
  <c r="F29574" i="5"/>
  <c r="F29573" i="5"/>
  <c r="F29572" i="5"/>
  <c r="F29571" i="5"/>
  <c r="F29570" i="5"/>
  <c r="F29569" i="5"/>
  <c r="F29568" i="5"/>
  <c r="F29567" i="5"/>
  <c r="F29566" i="5"/>
  <c r="F29565" i="5"/>
  <c r="F29564" i="5"/>
  <c r="F29563" i="5"/>
  <c r="F29562" i="5"/>
  <c r="F29561" i="5"/>
  <c r="F29560" i="5"/>
  <c r="F29559" i="5"/>
  <c r="F29558" i="5"/>
  <c r="F29557" i="5"/>
  <c r="F29556" i="5"/>
  <c r="F29555" i="5"/>
  <c r="F29554" i="5"/>
  <c r="F29553" i="5"/>
  <c r="F29552" i="5"/>
  <c r="F29551" i="5"/>
  <c r="F29550" i="5"/>
  <c r="F29549" i="5"/>
  <c r="F29548" i="5"/>
  <c r="F29547" i="5"/>
  <c r="F29546" i="5"/>
  <c r="F29545" i="5"/>
  <c r="F29544" i="5"/>
  <c r="F29543" i="5"/>
  <c r="F29542" i="5"/>
  <c r="F29541" i="5"/>
  <c r="F29540" i="5"/>
  <c r="F29539" i="5"/>
  <c r="F29538" i="5"/>
  <c r="F29537" i="5"/>
  <c r="F29536" i="5"/>
  <c r="F29535" i="5"/>
  <c r="F29534" i="5"/>
  <c r="F29533" i="5"/>
  <c r="F29532" i="5"/>
  <c r="F29531" i="5"/>
  <c r="F29530" i="5"/>
  <c r="F29529" i="5"/>
  <c r="F29528" i="5"/>
  <c r="F29527" i="5"/>
  <c r="F29526" i="5"/>
  <c r="F29525" i="5"/>
  <c r="F29524" i="5"/>
  <c r="F29523" i="5"/>
  <c r="F29522" i="5"/>
  <c r="F29521" i="5"/>
  <c r="F29520" i="5"/>
  <c r="F29519" i="5"/>
  <c r="F29518" i="5"/>
  <c r="F29517" i="5"/>
  <c r="F29516" i="5"/>
  <c r="F29515" i="5"/>
  <c r="F29514" i="5"/>
  <c r="F29513" i="5"/>
  <c r="F29512" i="5"/>
  <c r="F29511" i="5"/>
  <c r="F29510" i="5"/>
  <c r="F29509" i="5"/>
  <c r="F29508" i="5"/>
  <c r="F29507" i="5"/>
  <c r="F29506" i="5"/>
  <c r="F29505" i="5"/>
  <c r="F29504" i="5"/>
  <c r="F29503" i="5"/>
  <c r="F29502" i="5"/>
  <c r="F29501" i="5"/>
  <c r="F29500" i="5"/>
  <c r="F29499" i="5"/>
  <c r="F29498" i="5"/>
  <c r="F29497" i="5"/>
  <c r="F29496" i="5"/>
  <c r="F29495" i="5"/>
  <c r="F29494" i="5"/>
  <c r="F29493" i="5"/>
  <c r="F29492" i="5"/>
  <c r="F29491" i="5"/>
  <c r="F29490" i="5"/>
  <c r="F29489" i="5"/>
  <c r="F29488" i="5"/>
  <c r="F29487" i="5"/>
  <c r="F29486" i="5"/>
  <c r="F29485" i="5"/>
  <c r="F29484" i="5"/>
  <c r="F29483" i="5"/>
  <c r="F29482" i="5"/>
  <c r="F29481" i="5"/>
  <c r="F29480" i="5"/>
  <c r="F29479" i="5"/>
  <c r="F29478" i="5"/>
  <c r="F29477" i="5"/>
  <c r="F29476" i="5"/>
  <c r="F29475" i="5"/>
  <c r="F29474" i="5"/>
  <c r="F29473" i="5"/>
  <c r="F29472" i="5"/>
  <c r="F29471" i="5"/>
  <c r="F29470" i="5"/>
  <c r="F29469" i="5"/>
  <c r="F29468" i="5"/>
  <c r="F29467" i="5"/>
  <c r="F29466" i="5"/>
  <c r="F29465" i="5"/>
  <c r="F29464" i="5"/>
  <c r="F29463" i="5"/>
  <c r="F29462" i="5"/>
  <c r="F29461" i="5"/>
  <c r="F29460" i="5"/>
  <c r="F29459" i="5"/>
  <c r="F29458" i="5"/>
  <c r="F29457" i="5"/>
  <c r="F29456" i="5"/>
  <c r="F29455" i="5"/>
  <c r="F29454" i="5"/>
  <c r="F29453" i="5"/>
  <c r="F29452" i="5"/>
  <c r="F29451" i="5"/>
  <c r="F29450" i="5"/>
  <c r="F29449" i="5"/>
  <c r="F29448" i="5"/>
  <c r="F29447" i="5"/>
  <c r="F29446" i="5"/>
  <c r="F29445" i="5"/>
  <c r="F29444" i="5"/>
  <c r="F29443" i="5"/>
  <c r="F29442" i="5"/>
  <c r="F29441" i="5"/>
  <c r="F29440" i="5"/>
  <c r="F29439" i="5"/>
  <c r="F29438" i="5"/>
  <c r="F29437" i="5"/>
  <c r="F29436" i="5"/>
  <c r="F29435" i="5"/>
  <c r="F29434" i="5"/>
  <c r="F29433" i="5"/>
  <c r="F29432" i="5"/>
  <c r="F29431" i="5"/>
  <c r="F29430" i="5"/>
  <c r="F29429" i="5"/>
  <c r="F29428" i="5"/>
  <c r="F29427" i="5"/>
  <c r="F29426" i="5"/>
  <c r="F29425" i="5"/>
  <c r="F29424" i="5"/>
  <c r="F29423" i="5"/>
  <c r="F29422" i="5"/>
  <c r="F29421" i="5"/>
  <c r="F29420" i="5"/>
  <c r="F29419" i="5"/>
  <c r="F29418" i="5"/>
  <c r="F29417" i="5"/>
  <c r="F29416" i="5"/>
  <c r="F29415" i="5"/>
  <c r="F29414" i="5"/>
  <c r="F29413" i="5"/>
  <c r="F29412" i="5"/>
  <c r="F29411" i="5"/>
  <c r="F29410" i="5"/>
  <c r="F29409" i="5"/>
  <c r="F29408" i="5"/>
  <c r="F29407" i="5"/>
  <c r="F29406" i="5"/>
  <c r="F29405" i="5"/>
  <c r="F29404" i="5"/>
  <c r="F29403" i="5"/>
  <c r="F29402" i="5"/>
  <c r="F29401" i="5"/>
  <c r="F29400" i="5"/>
  <c r="F29399" i="5"/>
  <c r="F29398" i="5"/>
  <c r="F29397" i="5"/>
  <c r="F29396" i="5"/>
  <c r="F29395" i="5"/>
  <c r="F29394" i="5"/>
  <c r="F29393" i="5"/>
  <c r="F29392" i="5"/>
  <c r="F29391" i="5"/>
  <c r="F29390" i="5"/>
  <c r="F29389" i="5"/>
  <c r="F29388" i="5"/>
  <c r="F29387" i="5"/>
  <c r="F29386" i="5"/>
  <c r="F29385" i="5"/>
  <c r="F29384" i="5"/>
  <c r="F29383" i="5"/>
  <c r="F29382" i="5"/>
  <c r="F29381" i="5"/>
  <c r="F29380" i="5"/>
  <c r="F29379" i="5"/>
  <c r="F29378" i="5"/>
  <c r="F29377" i="5"/>
  <c r="F29376" i="5"/>
  <c r="F29375" i="5"/>
  <c r="F29374" i="5"/>
  <c r="F29373" i="5"/>
  <c r="F29372" i="5"/>
  <c r="F29371" i="5"/>
  <c r="F29370" i="5"/>
  <c r="F29369" i="5"/>
  <c r="F29368" i="5"/>
  <c r="F29367" i="5"/>
  <c r="F29366" i="5"/>
  <c r="F29365" i="5"/>
  <c r="F29364" i="5"/>
  <c r="F29363" i="5"/>
  <c r="F29362" i="5"/>
  <c r="F29361" i="5"/>
  <c r="F29360" i="5"/>
  <c r="F29359" i="5"/>
  <c r="F29358" i="5"/>
  <c r="F29357" i="5"/>
  <c r="F29356" i="5"/>
  <c r="F29355" i="5"/>
  <c r="F29354" i="5"/>
  <c r="F29353" i="5"/>
  <c r="F29352" i="5"/>
  <c r="F29351" i="5"/>
  <c r="F29350" i="5"/>
  <c r="F29349" i="5"/>
  <c r="F29348" i="5"/>
  <c r="F29347" i="5"/>
  <c r="F29346" i="5"/>
  <c r="F29345" i="5"/>
  <c r="F29344" i="5"/>
  <c r="F29343" i="5"/>
  <c r="F29342" i="5"/>
  <c r="F29341" i="5"/>
  <c r="F29340" i="5"/>
  <c r="F29339" i="5"/>
  <c r="F29338" i="5"/>
  <c r="F29337" i="5"/>
  <c r="F29336" i="5"/>
  <c r="F29335" i="5"/>
  <c r="F29334" i="5"/>
  <c r="F29333" i="5"/>
  <c r="F29332" i="5"/>
  <c r="F29331" i="5"/>
  <c r="F29330" i="5"/>
  <c r="F29329" i="5"/>
  <c r="F29328" i="5"/>
  <c r="F29327" i="5"/>
  <c r="F29326" i="5"/>
  <c r="F29325" i="5"/>
  <c r="F29324" i="5"/>
  <c r="F29323" i="5"/>
  <c r="F29322" i="5"/>
  <c r="F29321" i="5"/>
  <c r="F29320" i="5"/>
  <c r="F29319" i="5"/>
  <c r="F29318" i="5"/>
  <c r="F29317" i="5"/>
  <c r="F29316" i="5"/>
  <c r="F29315" i="5"/>
  <c r="F29314" i="5"/>
  <c r="F29313" i="5"/>
  <c r="F29312" i="5"/>
  <c r="F29311" i="5"/>
  <c r="F29310" i="5"/>
  <c r="F29309" i="5"/>
  <c r="F29308" i="5"/>
  <c r="F29307" i="5"/>
  <c r="F29306" i="5"/>
  <c r="F29305" i="5"/>
  <c r="F29304" i="5"/>
  <c r="F29303" i="5"/>
  <c r="F29302" i="5"/>
  <c r="F29301" i="5"/>
  <c r="F29300" i="5"/>
  <c r="F29299" i="5"/>
  <c r="F29298" i="5"/>
  <c r="F29297" i="5"/>
  <c r="F29296" i="5"/>
  <c r="F29295" i="5"/>
  <c r="F29294" i="5"/>
  <c r="F29293" i="5"/>
  <c r="F29292" i="5"/>
  <c r="F29291" i="5"/>
  <c r="F29290" i="5"/>
  <c r="F29289" i="5"/>
  <c r="F29288" i="5"/>
  <c r="F29287" i="5"/>
  <c r="F29286" i="5"/>
  <c r="F29285" i="5"/>
  <c r="F29284" i="5"/>
  <c r="F29283" i="5"/>
  <c r="F29282" i="5"/>
  <c r="F29281" i="5"/>
  <c r="F29280" i="5"/>
  <c r="F29279" i="5"/>
  <c r="F29278" i="5"/>
  <c r="F29277" i="5"/>
  <c r="F29276" i="5"/>
  <c r="F29275" i="5"/>
  <c r="F29274" i="5"/>
  <c r="F29273" i="5"/>
  <c r="F29272" i="5"/>
  <c r="F29271" i="5"/>
  <c r="F29270" i="5"/>
  <c r="F29269" i="5"/>
  <c r="F29268" i="5"/>
  <c r="F29267" i="5"/>
  <c r="F29266" i="5"/>
  <c r="F29265" i="5"/>
  <c r="F29264" i="5"/>
  <c r="F29263" i="5"/>
  <c r="F29262" i="5"/>
  <c r="F29261" i="5"/>
  <c r="F29260" i="5"/>
  <c r="F29259" i="5"/>
  <c r="F29258" i="5"/>
  <c r="F29257" i="5"/>
  <c r="F29256" i="5"/>
  <c r="F29255" i="5"/>
  <c r="F29254" i="5"/>
  <c r="F29253" i="5"/>
  <c r="F29252" i="5"/>
  <c r="F29251" i="5"/>
  <c r="F29250" i="5"/>
  <c r="F29249" i="5"/>
  <c r="F29248" i="5"/>
  <c r="F29247" i="5"/>
  <c r="F29246" i="5"/>
  <c r="F29245" i="5"/>
  <c r="F29244" i="5"/>
  <c r="F29243" i="5"/>
  <c r="F29242" i="5"/>
  <c r="F29241" i="5"/>
  <c r="F29240" i="5"/>
  <c r="F29239" i="5"/>
  <c r="F29238" i="5"/>
  <c r="F29237" i="5"/>
  <c r="F29236" i="5"/>
  <c r="F29235" i="5"/>
  <c r="F29234" i="5"/>
  <c r="F29233" i="5"/>
  <c r="F29232" i="5"/>
  <c r="F29231" i="5"/>
  <c r="F29230" i="5"/>
  <c r="F29229" i="5"/>
  <c r="F29228" i="5"/>
  <c r="F29227" i="5"/>
  <c r="F29226" i="5"/>
  <c r="F29225" i="5"/>
  <c r="F29224" i="5"/>
  <c r="F29223" i="5"/>
  <c r="F29222" i="5"/>
  <c r="F29221" i="5"/>
  <c r="F29220" i="5"/>
  <c r="F29219" i="5"/>
  <c r="F29218" i="5"/>
  <c r="F29217" i="5"/>
  <c r="F29216" i="5"/>
  <c r="F29215" i="5"/>
  <c r="F29214" i="5"/>
  <c r="F29213" i="5"/>
  <c r="F29212" i="5"/>
  <c r="F29211" i="5"/>
  <c r="F29210" i="5"/>
  <c r="F29209" i="5"/>
  <c r="F29208" i="5"/>
  <c r="F29207" i="5"/>
  <c r="F29206" i="5"/>
  <c r="F29205" i="5"/>
  <c r="F29204" i="5"/>
  <c r="F29203" i="5"/>
  <c r="F29202" i="5"/>
  <c r="F29201" i="5"/>
  <c r="F29200" i="5"/>
  <c r="F29199" i="5"/>
  <c r="F29198" i="5"/>
  <c r="F29197" i="5"/>
  <c r="F29196" i="5"/>
  <c r="F29195" i="5"/>
  <c r="F29194" i="5"/>
  <c r="F29193" i="5"/>
  <c r="F29192" i="5"/>
  <c r="F29191" i="5"/>
  <c r="F29190" i="5"/>
  <c r="F29189" i="5"/>
  <c r="F29188" i="5"/>
  <c r="F29187" i="5"/>
  <c r="F29186" i="5"/>
  <c r="F29185" i="5"/>
  <c r="F29184" i="5"/>
  <c r="F29183" i="5"/>
  <c r="F29182" i="5"/>
  <c r="F29181" i="5"/>
  <c r="F29180" i="5"/>
  <c r="F29179" i="5"/>
  <c r="F29178" i="5"/>
  <c r="F29177" i="5"/>
  <c r="F29176" i="5"/>
  <c r="F29175" i="5"/>
  <c r="F29174" i="5"/>
  <c r="F29173" i="5"/>
  <c r="F29172" i="5"/>
  <c r="F29171" i="5"/>
  <c r="F29170" i="5"/>
  <c r="F29169" i="5"/>
  <c r="F29168" i="5"/>
  <c r="F29167" i="5"/>
  <c r="F29166" i="5"/>
  <c r="F29165" i="5"/>
  <c r="F29164" i="5"/>
  <c r="F29163" i="5"/>
  <c r="F29162" i="5"/>
  <c r="F29161" i="5"/>
  <c r="F29160" i="5"/>
  <c r="F29159" i="5"/>
  <c r="F29158" i="5"/>
  <c r="F29157" i="5"/>
  <c r="F29156" i="5"/>
  <c r="F29155" i="5"/>
  <c r="F29154" i="5"/>
  <c r="F29153" i="5"/>
  <c r="F29152" i="5"/>
  <c r="F29151" i="5"/>
  <c r="F29150" i="5"/>
  <c r="F29149" i="5"/>
  <c r="F29148" i="5"/>
  <c r="F29147" i="5"/>
  <c r="F29146" i="5"/>
  <c r="F29145" i="5"/>
  <c r="F29144" i="5"/>
  <c r="F29143" i="5"/>
  <c r="F29142" i="5"/>
  <c r="F29141" i="5"/>
  <c r="F29140" i="5"/>
  <c r="F29139" i="5"/>
  <c r="F29138" i="5"/>
  <c r="F29137" i="5"/>
  <c r="F29136" i="5"/>
  <c r="F29135" i="5"/>
  <c r="F29134" i="5"/>
  <c r="F29133" i="5"/>
  <c r="F29132" i="5"/>
  <c r="F29131" i="5"/>
  <c r="F29130" i="5"/>
  <c r="F29129" i="5"/>
  <c r="F29128" i="5"/>
  <c r="F29127" i="5"/>
  <c r="F29126" i="5"/>
  <c r="F29125" i="5"/>
  <c r="F29124" i="5"/>
  <c r="F29123" i="5"/>
  <c r="F29122" i="5"/>
  <c r="F29121" i="5"/>
  <c r="F29120" i="5"/>
  <c r="F29119" i="5"/>
  <c r="F29118" i="5"/>
  <c r="F29117" i="5"/>
  <c r="F29116" i="5"/>
  <c r="F29115" i="5"/>
  <c r="F29114" i="5"/>
  <c r="F29113" i="5"/>
  <c r="F29112" i="5"/>
  <c r="F29111" i="5"/>
  <c r="F29110" i="5"/>
  <c r="F29109" i="5"/>
  <c r="F29108" i="5"/>
  <c r="F29107" i="5"/>
  <c r="F29106" i="5"/>
  <c r="F29105" i="5"/>
  <c r="F29104" i="5"/>
  <c r="F29103" i="5"/>
  <c r="F29102" i="5"/>
  <c r="F29101" i="5"/>
  <c r="F29100" i="5"/>
  <c r="F29099" i="5"/>
  <c r="F29098" i="5"/>
  <c r="F29097" i="5"/>
  <c r="F29096" i="5"/>
  <c r="F29095" i="5"/>
  <c r="F29094" i="5"/>
  <c r="F29093" i="5"/>
  <c r="F29092" i="5"/>
  <c r="F29091" i="5"/>
  <c r="F29090" i="5"/>
  <c r="F29089" i="5"/>
  <c r="F29088" i="5"/>
  <c r="F29087" i="5"/>
  <c r="F29086" i="5"/>
  <c r="F29085" i="5"/>
  <c r="F29084" i="5"/>
  <c r="F29083" i="5"/>
  <c r="F29082" i="5"/>
  <c r="F29081" i="5"/>
  <c r="F29080" i="5"/>
  <c r="F29079" i="5"/>
  <c r="F29078" i="5"/>
  <c r="F29077" i="5"/>
  <c r="F29076" i="5"/>
  <c r="F29075" i="5"/>
  <c r="F29074" i="5"/>
  <c r="F29073" i="5"/>
  <c r="F29072" i="5"/>
  <c r="F29071" i="5"/>
  <c r="F29070" i="5"/>
  <c r="F29069" i="5"/>
  <c r="F29068" i="5"/>
  <c r="F29067" i="5"/>
  <c r="F29066" i="5"/>
  <c r="F29065" i="5"/>
  <c r="F29064" i="5"/>
  <c r="F29063" i="5"/>
  <c r="F29062" i="5"/>
  <c r="F29061" i="5"/>
  <c r="F29060" i="5"/>
  <c r="F29059" i="5"/>
  <c r="F29058" i="5"/>
  <c r="F29057" i="5"/>
  <c r="F29056" i="5"/>
  <c r="F29055" i="5"/>
  <c r="F29054" i="5"/>
  <c r="F29053" i="5"/>
  <c r="F29052" i="5"/>
  <c r="F29051" i="5"/>
  <c r="F29050" i="5"/>
  <c r="F29049" i="5"/>
  <c r="F29048" i="5"/>
  <c r="F29047" i="5"/>
  <c r="F29046" i="5"/>
  <c r="F29045" i="5"/>
  <c r="F29044" i="5"/>
  <c r="F29043" i="5"/>
  <c r="F29042" i="5"/>
  <c r="F29041" i="5"/>
  <c r="F29040" i="5"/>
  <c r="F29039" i="5"/>
  <c r="F29038" i="5"/>
  <c r="F29037" i="5"/>
  <c r="F29036" i="5"/>
  <c r="F29035" i="5"/>
  <c r="F29034" i="5"/>
  <c r="F29033" i="5"/>
  <c r="F29032" i="5"/>
  <c r="F29031" i="5"/>
  <c r="F29030" i="5"/>
  <c r="F29029" i="5"/>
  <c r="F29028" i="5"/>
  <c r="F29027" i="5"/>
  <c r="F29026" i="5"/>
  <c r="F29025" i="5"/>
  <c r="F29024" i="5"/>
  <c r="F29023" i="5"/>
  <c r="F29022" i="5"/>
  <c r="F29021" i="5"/>
  <c r="F29020" i="5"/>
  <c r="F29019" i="5"/>
  <c r="F29018" i="5"/>
  <c r="F29017" i="5"/>
  <c r="F29016" i="5"/>
  <c r="F29015" i="5"/>
  <c r="F29014" i="5"/>
  <c r="F29013" i="5"/>
  <c r="F29012" i="5"/>
  <c r="F29011" i="5"/>
  <c r="F29010" i="5"/>
  <c r="F29009" i="5"/>
  <c r="F29008" i="5"/>
  <c r="F29007" i="5"/>
  <c r="F29006" i="5"/>
  <c r="F29005" i="5"/>
  <c r="F29004" i="5"/>
  <c r="F29003" i="5"/>
  <c r="F29002" i="5"/>
  <c r="F29001" i="5"/>
  <c r="F29000" i="5"/>
  <c r="F28999" i="5"/>
  <c r="F28998" i="5"/>
  <c r="F28997" i="5"/>
  <c r="F28996" i="5"/>
  <c r="F28995" i="5"/>
  <c r="F28994" i="5"/>
  <c r="F28993" i="5"/>
  <c r="F28992" i="5"/>
  <c r="F28991" i="5"/>
  <c r="F28990" i="5"/>
  <c r="F28989" i="5"/>
  <c r="F28988" i="5"/>
  <c r="F28987" i="5"/>
  <c r="F28986" i="5"/>
  <c r="F28985" i="5"/>
  <c r="F28984" i="5"/>
  <c r="F28983" i="5"/>
  <c r="F28982" i="5"/>
  <c r="F28981" i="5"/>
  <c r="F28980" i="5"/>
  <c r="F28979" i="5"/>
  <c r="F28978" i="5"/>
  <c r="F28977" i="5"/>
  <c r="F28976" i="5"/>
  <c r="F28975" i="5"/>
  <c r="F28974" i="5"/>
  <c r="F28973" i="5"/>
  <c r="F28972" i="5"/>
  <c r="F28971" i="5"/>
  <c r="F28970" i="5"/>
  <c r="F28969" i="5"/>
  <c r="F28968" i="5"/>
  <c r="F28967" i="5"/>
  <c r="F28966" i="5"/>
  <c r="F28965" i="5"/>
  <c r="F28964" i="5"/>
  <c r="F28963" i="5"/>
  <c r="F28962" i="5"/>
  <c r="F28961" i="5"/>
  <c r="F28960" i="5"/>
  <c r="F28959" i="5"/>
  <c r="F28958" i="5"/>
  <c r="F28957" i="5"/>
  <c r="F28956" i="5"/>
  <c r="F28955" i="5"/>
  <c r="F28954" i="5"/>
  <c r="F28953" i="5"/>
  <c r="F28952" i="5"/>
  <c r="F28951" i="5"/>
  <c r="F28950" i="5"/>
  <c r="F28949" i="5"/>
  <c r="F28948" i="5"/>
  <c r="F28947" i="5"/>
  <c r="F28946" i="5"/>
  <c r="F28945" i="5"/>
  <c r="F28944" i="5"/>
  <c r="F28943" i="5"/>
  <c r="F28942" i="5"/>
  <c r="F28941" i="5"/>
  <c r="F28940" i="5"/>
  <c r="F28939" i="5"/>
  <c r="F28938" i="5"/>
  <c r="F28937" i="5"/>
  <c r="F28936" i="5"/>
  <c r="F28935" i="5"/>
  <c r="F28934" i="5"/>
  <c r="F28933" i="5"/>
  <c r="F28932" i="5"/>
  <c r="F28931" i="5"/>
  <c r="F28930" i="5"/>
  <c r="F28929" i="5"/>
  <c r="F28928" i="5"/>
  <c r="F28927" i="5"/>
  <c r="F28926" i="5"/>
  <c r="F28925" i="5"/>
  <c r="F28924" i="5"/>
  <c r="F28923" i="5"/>
  <c r="F28922" i="5"/>
  <c r="F28921" i="5"/>
  <c r="F28920" i="5"/>
  <c r="F28919" i="5"/>
  <c r="F28918" i="5"/>
  <c r="F28917" i="5"/>
  <c r="F28916" i="5"/>
  <c r="F28915" i="5"/>
  <c r="F28914" i="5"/>
  <c r="F28913" i="5"/>
  <c r="F28912" i="5"/>
  <c r="F28911" i="5"/>
  <c r="F28910" i="5"/>
  <c r="F28909" i="5"/>
  <c r="F28908" i="5"/>
  <c r="F28907" i="5"/>
  <c r="F28906" i="5"/>
  <c r="F28905" i="5"/>
  <c r="F28904" i="5"/>
  <c r="F28903" i="5"/>
  <c r="F28902" i="5"/>
  <c r="F28901" i="5"/>
  <c r="F28900" i="5"/>
  <c r="F28899" i="5"/>
  <c r="F28898" i="5"/>
  <c r="F28897" i="5"/>
  <c r="F28896" i="5"/>
  <c r="F28895" i="5"/>
  <c r="F28894" i="5"/>
  <c r="F28893" i="5"/>
  <c r="F28892" i="5"/>
  <c r="F28891" i="5"/>
  <c r="F28890" i="5"/>
  <c r="F28889" i="5"/>
  <c r="F28888" i="5"/>
  <c r="F28887" i="5"/>
  <c r="F28886" i="5"/>
  <c r="F28885" i="5"/>
  <c r="F28884" i="5"/>
  <c r="F28883" i="5"/>
  <c r="F28882" i="5"/>
  <c r="F28881" i="5"/>
  <c r="F28880" i="5"/>
  <c r="F28879" i="5"/>
  <c r="F28878" i="5"/>
  <c r="F28877" i="5"/>
  <c r="F28876" i="5"/>
  <c r="F28875" i="5"/>
  <c r="F28874" i="5"/>
  <c r="F28873" i="5"/>
  <c r="F28872" i="5"/>
  <c r="F28871" i="5"/>
  <c r="F28870" i="5"/>
  <c r="F28869" i="5"/>
  <c r="F28868" i="5"/>
  <c r="F28867" i="5"/>
  <c r="F28866" i="5"/>
  <c r="F28865" i="5"/>
  <c r="F28864" i="5"/>
  <c r="F28863" i="5"/>
  <c r="F28862" i="5"/>
  <c r="F28861" i="5"/>
  <c r="F28860" i="5"/>
  <c r="F28859" i="5"/>
  <c r="F28858" i="5"/>
  <c r="F28857" i="5"/>
  <c r="F28856" i="5"/>
  <c r="F28855" i="5"/>
  <c r="F28854" i="5"/>
  <c r="F28853" i="5"/>
  <c r="F28852" i="5"/>
  <c r="F28851" i="5"/>
  <c r="F28850" i="5"/>
  <c r="F28849" i="5"/>
  <c r="F28848" i="5"/>
  <c r="F28847" i="5"/>
  <c r="F28846" i="5"/>
  <c r="F28845" i="5"/>
  <c r="F28844" i="5"/>
  <c r="F28843" i="5"/>
  <c r="F28842" i="5"/>
  <c r="F28841" i="5"/>
  <c r="F28840" i="5"/>
  <c r="F28839" i="5"/>
  <c r="F28838" i="5"/>
  <c r="F28837" i="5"/>
  <c r="F28836" i="5"/>
  <c r="F28835" i="5"/>
  <c r="F28834" i="5"/>
  <c r="F28833" i="5"/>
  <c r="F28832" i="5"/>
  <c r="F28831" i="5"/>
  <c r="F28830" i="5"/>
  <c r="F28829" i="5"/>
  <c r="F28828" i="5"/>
  <c r="F28827" i="5"/>
  <c r="F28826" i="5"/>
  <c r="F28825" i="5"/>
  <c r="F28824" i="5"/>
  <c r="F28823" i="5"/>
  <c r="F28822" i="5"/>
  <c r="F28821" i="5"/>
  <c r="F28820" i="5"/>
  <c r="F28819" i="5"/>
  <c r="F28818" i="5"/>
  <c r="F28817" i="5"/>
  <c r="F28816" i="5"/>
  <c r="F28815" i="5"/>
  <c r="F28814" i="5"/>
  <c r="F28813" i="5"/>
  <c r="F28812" i="5"/>
  <c r="F28811" i="5"/>
  <c r="F28810" i="5"/>
  <c r="F28809" i="5"/>
  <c r="F28808" i="5"/>
  <c r="F28807" i="5"/>
  <c r="F28806" i="5"/>
  <c r="F28805" i="5"/>
  <c r="F28804" i="5"/>
  <c r="F28803" i="5"/>
  <c r="F28802" i="5"/>
  <c r="F28801" i="5"/>
  <c r="F28800" i="5"/>
  <c r="F28799" i="5"/>
  <c r="F28798" i="5"/>
  <c r="F28797" i="5"/>
  <c r="F28796" i="5"/>
  <c r="F28795" i="5"/>
  <c r="F28794" i="5"/>
  <c r="F28793" i="5"/>
  <c r="F28792" i="5"/>
  <c r="F28791" i="5"/>
  <c r="F28790" i="5"/>
  <c r="F28789" i="5"/>
  <c r="F28788" i="5"/>
  <c r="F28787" i="5"/>
  <c r="F28786" i="5"/>
  <c r="F28785" i="5"/>
  <c r="F28784" i="5"/>
  <c r="F28783" i="5"/>
  <c r="F28782" i="5"/>
  <c r="F28781" i="5"/>
  <c r="F28780" i="5"/>
  <c r="F28779" i="5"/>
  <c r="F28778" i="5"/>
  <c r="F28777" i="5"/>
  <c r="F28776" i="5"/>
  <c r="F28775" i="5"/>
  <c r="F28774" i="5"/>
  <c r="F28773" i="5"/>
  <c r="F28772" i="5"/>
  <c r="F28771" i="5"/>
  <c r="F28770" i="5"/>
  <c r="F28769" i="5"/>
  <c r="F28768" i="5"/>
  <c r="F28767" i="5"/>
  <c r="F28766" i="5"/>
  <c r="F28765" i="5"/>
  <c r="F28764" i="5"/>
  <c r="F28763" i="5"/>
  <c r="F28762" i="5"/>
  <c r="F28761" i="5"/>
  <c r="F28760" i="5"/>
  <c r="F28759" i="5"/>
  <c r="F28758" i="5"/>
  <c r="F28757" i="5"/>
  <c r="F28756" i="5"/>
  <c r="F28755" i="5"/>
  <c r="F28754" i="5"/>
  <c r="F28753" i="5"/>
  <c r="F28752" i="5"/>
  <c r="F28751" i="5"/>
  <c r="F28750" i="5"/>
  <c r="F28749" i="5"/>
  <c r="F28748" i="5"/>
  <c r="F28747" i="5"/>
  <c r="F28746" i="5"/>
  <c r="F28745" i="5"/>
  <c r="F28744" i="5"/>
  <c r="F28743" i="5"/>
  <c r="F28742" i="5"/>
  <c r="F28741" i="5"/>
  <c r="F28740" i="5"/>
  <c r="F28739" i="5"/>
  <c r="F28738" i="5"/>
  <c r="F28737" i="5"/>
  <c r="F28736" i="5"/>
  <c r="F28735" i="5"/>
  <c r="F28734" i="5"/>
  <c r="F28733" i="5"/>
  <c r="F28732" i="5"/>
  <c r="F28731" i="5"/>
  <c r="F28730" i="5"/>
  <c r="F28729" i="5"/>
  <c r="F28728" i="5"/>
  <c r="F28727" i="5"/>
  <c r="F28726" i="5"/>
  <c r="F28725" i="5"/>
  <c r="F28724" i="5"/>
  <c r="F28723" i="5"/>
  <c r="F28722" i="5"/>
  <c r="F28721" i="5"/>
  <c r="F28720" i="5"/>
  <c r="F28719" i="5"/>
  <c r="F28718" i="5"/>
  <c r="F28717" i="5"/>
  <c r="F28716" i="5"/>
  <c r="F28715" i="5"/>
  <c r="F28714" i="5"/>
  <c r="F28713" i="5"/>
  <c r="F28712" i="5"/>
  <c r="F28711" i="5"/>
  <c r="F28710" i="5"/>
  <c r="F28709" i="5"/>
  <c r="F28708" i="5"/>
  <c r="F28707" i="5"/>
  <c r="F28706" i="5"/>
  <c r="F28705" i="5"/>
  <c r="F28704" i="5"/>
  <c r="F28703" i="5"/>
  <c r="F28702" i="5"/>
  <c r="F28701" i="5"/>
  <c r="F28700" i="5"/>
  <c r="F28699" i="5"/>
  <c r="F28698" i="5"/>
  <c r="F28697" i="5"/>
  <c r="F28696" i="5"/>
  <c r="F28695" i="5"/>
  <c r="F28694" i="5"/>
  <c r="F28693" i="5"/>
  <c r="F28692" i="5"/>
  <c r="F28691" i="5"/>
  <c r="F28690" i="5"/>
  <c r="F28689" i="5"/>
  <c r="F28688" i="5"/>
  <c r="F28687" i="5"/>
  <c r="F28686" i="5"/>
  <c r="F28685" i="5"/>
  <c r="F28684" i="5"/>
  <c r="F28683" i="5"/>
  <c r="F28682" i="5"/>
  <c r="F28681" i="5"/>
  <c r="F28680" i="5"/>
  <c r="F28679" i="5"/>
  <c r="F28678" i="5"/>
  <c r="F28677" i="5"/>
  <c r="F28676" i="5"/>
  <c r="F28675" i="5"/>
  <c r="F28674" i="5"/>
  <c r="F28673" i="5"/>
  <c r="F28672" i="5"/>
  <c r="F28671" i="5"/>
  <c r="F28670" i="5"/>
  <c r="F28669" i="5"/>
  <c r="F28668" i="5"/>
  <c r="F28667" i="5"/>
  <c r="F28666" i="5"/>
  <c r="F28665" i="5"/>
  <c r="F28664" i="5"/>
  <c r="F28663" i="5"/>
  <c r="F28662" i="5"/>
  <c r="F28661" i="5"/>
  <c r="F28660" i="5"/>
  <c r="F28659" i="5"/>
  <c r="F28658" i="5"/>
  <c r="F28657" i="5"/>
  <c r="F28656" i="5"/>
  <c r="F28655" i="5"/>
  <c r="F28654" i="5"/>
  <c r="F28653" i="5"/>
  <c r="F28652" i="5"/>
  <c r="F28651" i="5"/>
  <c r="F28650" i="5"/>
  <c r="F28649" i="5"/>
  <c r="F28648" i="5"/>
  <c r="F28647" i="5"/>
  <c r="F28646" i="5"/>
  <c r="F28645" i="5"/>
  <c r="F28644" i="5"/>
  <c r="F28643" i="5"/>
  <c r="F28642" i="5"/>
  <c r="F28641" i="5"/>
  <c r="F28640" i="5"/>
  <c r="F28639" i="5"/>
  <c r="F28638" i="5"/>
  <c r="F28637" i="5"/>
  <c r="F28636" i="5"/>
  <c r="F28635" i="5"/>
  <c r="F28634" i="5"/>
  <c r="F28633" i="5"/>
  <c r="F28632" i="5"/>
  <c r="F28631" i="5"/>
  <c r="F28630" i="5"/>
  <c r="F28629" i="5"/>
  <c r="F28628" i="5"/>
  <c r="F28627" i="5"/>
  <c r="F28626" i="5"/>
  <c r="F28625" i="5"/>
  <c r="F28624" i="5"/>
  <c r="F28623" i="5"/>
  <c r="F28622" i="5"/>
  <c r="F28621" i="5"/>
  <c r="F28620" i="5"/>
  <c r="F28619" i="5"/>
  <c r="F28618" i="5"/>
  <c r="F28617" i="5"/>
  <c r="F28616" i="5"/>
  <c r="F28615" i="5"/>
  <c r="F28614" i="5"/>
  <c r="F28613" i="5"/>
  <c r="F28612" i="5"/>
  <c r="F28611" i="5"/>
  <c r="F28610" i="5"/>
  <c r="F28609" i="5"/>
  <c r="F28608" i="5"/>
  <c r="F28607" i="5"/>
  <c r="F28606" i="5"/>
  <c r="F28605" i="5"/>
  <c r="F28604" i="5"/>
  <c r="F28603" i="5"/>
  <c r="F28602" i="5"/>
  <c r="F28601" i="5"/>
  <c r="F28600" i="5"/>
  <c r="F28599" i="5"/>
  <c r="F28598" i="5"/>
  <c r="F28597" i="5"/>
  <c r="F28596" i="5"/>
  <c r="F28595" i="5"/>
  <c r="F28594" i="5"/>
  <c r="F28593" i="5"/>
  <c r="F28592" i="5"/>
  <c r="F28591" i="5"/>
  <c r="F28590" i="5"/>
  <c r="F28589" i="5"/>
  <c r="F28588" i="5"/>
  <c r="F28587" i="5"/>
  <c r="F28586" i="5"/>
  <c r="F28585" i="5"/>
  <c r="F28584" i="5"/>
  <c r="F28583" i="5"/>
  <c r="F28582" i="5"/>
  <c r="F28581" i="5"/>
  <c r="F28580" i="5"/>
  <c r="F28579" i="5"/>
  <c r="F28578" i="5"/>
  <c r="F28577" i="5"/>
  <c r="F28576" i="5"/>
  <c r="F28575" i="5"/>
  <c r="F28574" i="5"/>
  <c r="F28573" i="5"/>
  <c r="F28572" i="5"/>
  <c r="F28571" i="5"/>
  <c r="F28570" i="5"/>
  <c r="F28569" i="5"/>
  <c r="F28568" i="5"/>
  <c r="F28567" i="5"/>
  <c r="F28566" i="5"/>
  <c r="F28565" i="5"/>
  <c r="F28564" i="5"/>
  <c r="F28563" i="5"/>
  <c r="F28562" i="5"/>
  <c r="F28561" i="5"/>
  <c r="F28560" i="5"/>
  <c r="F28559" i="5"/>
  <c r="F28558" i="5"/>
  <c r="F28557" i="5"/>
  <c r="F28556" i="5"/>
  <c r="F28555" i="5"/>
  <c r="F28554" i="5"/>
  <c r="F28553" i="5"/>
  <c r="F28552" i="5"/>
  <c r="F28551" i="5"/>
  <c r="F28550" i="5"/>
  <c r="F28549" i="5"/>
  <c r="F28548" i="5"/>
  <c r="F28547" i="5"/>
  <c r="F28546" i="5"/>
  <c r="F28545" i="5"/>
  <c r="F28544" i="5"/>
  <c r="F28543" i="5"/>
  <c r="F28542" i="5"/>
  <c r="F28541" i="5"/>
  <c r="F28540" i="5"/>
  <c r="F28539" i="5"/>
  <c r="F28538" i="5"/>
  <c r="F28537" i="5"/>
  <c r="F28536" i="5"/>
  <c r="F28535" i="5"/>
  <c r="F28534" i="5"/>
  <c r="F28533" i="5"/>
  <c r="F28532" i="5"/>
  <c r="F28531" i="5"/>
  <c r="F28530" i="5"/>
  <c r="F28529" i="5"/>
  <c r="F28528" i="5"/>
  <c r="F28527" i="5"/>
  <c r="F28526" i="5"/>
  <c r="F28525" i="5"/>
  <c r="F28524" i="5"/>
  <c r="F28523" i="5"/>
  <c r="F28522" i="5"/>
  <c r="F28521" i="5"/>
  <c r="F28520" i="5"/>
  <c r="F28519" i="5"/>
  <c r="F28518" i="5"/>
  <c r="F28517" i="5"/>
  <c r="F28516" i="5"/>
  <c r="F28515" i="5"/>
  <c r="F28514" i="5"/>
  <c r="F28513" i="5"/>
  <c r="F28512" i="5"/>
  <c r="F28511" i="5"/>
  <c r="F28510" i="5"/>
  <c r="F28509" i="5"/>
  <c r="F28508" i="5"/>
  <c r="F28507" i="5"/>
  <c r="F28506" i="5"/>
  <c r="F28505" i="5"/>
  <c r="F28504" i="5"/>
  <c r="F28503" i="5"/>
  <c r="F28502" i="5"/>
  <c r="F28501" i="5"/>
  <c r="F28500" i="5"/>
  <c r="F28499" i="5"/>
  <c r="F28498" i="5"/>
  <c r="F28497" i="5"/>
  <c r="F28496" i="5"/>
  <c r="F28495" i="5"/>
  <c r="F28494" i="5"/>
  <c r="F28493" i="5"/>
  <c r="F28492" i="5"/>
  <c r="F28491" i="5"/>
  <c r="F28490" i="5"/>
  <c r="F28489" i="5"/>
  <c r="F28488" i="5"/>
  <c r="F28487" i="5"/>
  <c r="F28486" i="5"/>
  <c r="F28485" i="5"/>
  <c r="F28484" i="5"/>
  <c r="F28483" i="5"/>
  <c r="F28482" i="5"/>
  <c r="F28481" i="5"/>
  <c r="F28480" i="5"/>
  <c r="F28479" i="5"/>
  <c r="F28478" i="5"/>
  <c r="F28477" i="5"/>
  <c r="F28476" i="5"/>
  <c r="F28475" i="5"/>
  <c r="F28474" i="5"/>
  <c r="F28473" i="5"/>
  <c r="F28472" i="5"/>
  <c r="F28471" i="5"/>
  <c r="F28470" i="5"/>
  <c r="F28469" i="5"/>
  <c r="F28468" i="5"/>
  <c r="F28467" i="5"/>
  <c r="F28466" i="5"/>
  <c r="F28465" i="5"/>
  <c r="F28464" i="5"/>
  <c r="F28463" i="5"/>
  <c r="F28462" i="5"/>
  <c r="F28461" i="5"/>
  <c r="F28460" i="5"/>
  <c r="F28459" i="5"/>
  <c r="F28458" i="5"/>
  <c r="F28457" i="5"/>
  <c r="F28456" i="5"/>
  <c r="F28455" i="5"/>
  <c r="F28454" i="5"/>
  <c r="F28453" i="5"/>
  <c r="F28452" i="5"/>
  <c r="F28451" i="5"/>
  <c r="F28450" i="5"/>
  <c r="F28449" i="5"/>
  <c r="F28448" i="5"/>
  <c r="F28447" i="5"/>
  <c r="F28446" i="5"/>
  <c r="F28445" i="5"/>
  <c r="F28444" i="5"/>
  <c r="F28443" i="5"/>
  <c r="F28442" i="5"/>
  <c r="F28441" i="5"/>
  <c r="F28440" i="5"/>
  <c r="F28439" i="5"/>
  <c r="F28438" i="5"/>
  <c r="F28437" i="5"/>
  <c r="F28436" i="5"/>
  <c r="F28435" i="5"/>
  <c r="F28434" i="5"/>
  <c r="F28433" i="5"/>
  <c r="F28432" i="5"/>
  <c r="F28431" i="5"/>
  <c r="F28430" i="5"/>
  <c r="F28429" i="5"/>
  <c r="F28428" i="5"/>
  <c r="F28427" i="5"/>
  <c r="F28426" i="5"/>
  <c r="F28425" i="5"/>
  <c r="F28424" i="5"/>
  <c r="F28423" i="5"/>
  <c r="F28422" i="5"/>
  <c r="F28421" i="5"/>
  <c r="F28420" i="5"/>
  <c r="F28419" i="5"/>
  <c r="F28418" i="5"/>
  <c r="F28417" i="5"/>
  <c r="F28416" i="5"/>
  <c r="F28415" i="5"/>
  <c r="F28414" i="5"/>
  <c r="F28413" i="5"/>
  <c r="F28412" i="5"/>
  <c r="F28411" i="5"/>
  <c r="F28410" i="5"/>
  <c r="F28409" i="5"/>
  <c r="F28408" i="5"/>
  <c r="F28407" i="5"/>
  <c r="F28406" i="5"/>
  <c r="F28405" i="5"/>
  <c r="F28404" i="5"/>
  <c r="F28403" i="5"/>
  <c r="F28402" i="5"/>
  <c r="F28401" i="5"/>
  <c r="F28400" i="5"/>
  <c r="F28399" i="5"/>
  <c r="F28398" i="5"/>
  <c r="F28397" i="5"/>
  <c r="F28396" i="5"/>
  <c r="F28395" i="5"/>
  <c r="F28394" i="5"/>
  <c r="F28393" i="5"/>
  <c r="F28392" i="5"/>
  <c r="F28391" i="5"/>
  <c r="F28390" i="5"/>
  <c r="F28389" i="5"/>
  <c r="F28388" i="5"/>
  <c r="F28387" i="5"/>
  <c r="F28386" i="5"/>
  <c r="F28385" i="5"/>
  <c r="F28384" i="5"/>
  <c r="F28383" i="5"/>
  <c r="F28382" i="5"/>
  <c r="F28381" i="5"/>
  <c r="F28380" i="5"/>
  <c r="F28379" i="5"/>
  <c r="F28378" i="5"/>
  <c r="F28377" i="5"/>
  <c r="F28376" i="5"/>
  <c r="F28375" i="5"/>
  <c r="F28374" i="5"/>
  <c r="F28373" i="5"/>
  <c r="F28372" i="5"/>
  <c r="F28371" i="5"/>
  <c r="F28370" i="5"/>
  <c r="F28369" i="5"/>
  <c r="F28368" i="5"/>
  <c r="F28367" i="5"/>
  <c r="F28366" i="5"/>
  <c r="F28365" i="5"/>
  <c r="F28364" i="5"/>
  <c r="F28363" i="5"/>
  <c r="F28362" i="5"/>
  <c r="F28361" i="5"/>
  <c r="F28360" i="5"/>
  <c r="F28359" i="5"/>
  <c r="F28358" i="5"/>
  <c r="F28357" i="5"/>
  <c r="F28356" i="5"/>
  <c r="F28355" i="5"/>
  <c r="F28354" i="5"/>
  <c r="F28353" i="5"/>
  <c r="F28352" i="5"/>
  <c r="F28351" i="5"/>
  <c r="F28350" i="5"/>
  <c r="F28349" i="5"/>
  <c r="F28348" i="5"/>
  <c r="F28347" i="5"/>
  <c r="F28346" i="5"/>
  <c r="F28345" i="5"/>
  <c r="F28344" i="5"/>
  <c r="F28343" i="5"/>
  <c r="F28342" i="5"/>
  <c r="F28341" i="5"/>
  <c r="F28340" i="5"/>
  <c r="F28339" i="5"/>
  <c r="F28338" i="5"/>
  <c r="F28337" i="5"/>
  <c r="F28336" i="5"/>
  <c r="F28335" i="5"/>
  <c r="F28334" i="5"/>
  <c r="F28333" i="5"/>
  <c r="F28332" i="5"/>
  <c r="F28331" i="5"/>
  <c r="F28330" i="5"/>
  <c r="F28329" i="5"/>
  <c r="F28328" i="5"/>
  <c r="F28327" i="5"/>
  <c r="F28326" i="5"/>
  <c r="F28325" i="5"/>
  <c r="F28324" i="5"/>
  <c r="F28323" i="5"/>
  <c r="F28322" i="5"/>
  <c r="F28321" i="5"/>
  <c r="F28320" i="5"/>
  <c r="F28319" i="5"/>
  <c r="F28318" i="5"/>
  <c r="F28317" i="5"/>
  <c r="F28316" i="5"/>
  <c r="F28315" i="5"/>
  <c r="F28314" i="5"/>
  <c r="F28313" i="5"/>
  <c r="F28312" i="5"/>
  <c r="F28311" i="5"/>
  <c r="F28310" i="5"/>
  <c r="F28309" i="5"/>
  <c r="F28308" i="5"/>
  <c r="F28307" i="5"/>
  <c r="F28306" i="5"/>
  <c r="F28305" i="5"/>
  <c r="F28304" i="5"/>
  <c r="F28303" i="5"/>
  <c r="F28302" i="5"/>
  <c r="F28301" i="5"/>
  <c r="F28300" i="5"/>
  <c r="F28299" i="5"/>
  <c r="F28298" i="5"/>
  <c r="F28297" i="5"/>
  <c r="F28296" i="5"/>
  <c r="F28295" i="5"/>
  <c r="F28294" i="5"/>
  <c r="F28293" i="5"/>
  <c r="F28292" i="5"/>
  <c r="F28291" i="5"/>
  <c r="F28290" i="5"/>
  <c r="F28289" i="5"/>
  <c r="F28288" i="5"/>
  <c r="F28287" i="5"/>
  <c r="F28286" i="5"/>
  <c r="F28285" i="5"/>
  <c r="F28284" i="5"/>
  <c r="F28283" i="5"/>
  <c r="F28282" i="5"/>
  <c r="F28281" i="5"/>
  <c r="F28280" i="5"/>
  <c r="F28279" i="5"/>
  <c r="F28278" i="5"/>
  <c r="F28277" i="5"/>
  <c r="F28276" i="5"/>
  <c r="F28275" i="5"/>
  <c r="F28274" i="5"/>
  <c r="F28273" i="5"/>
  <c r="F28272" i="5"/>
  <c r="F28271" i="5"/>
  <c r="F28270" i="5"/>
  <c r="F28269" i="5"/>
  <c r="F28268" i="5"/>
  <c r="F28267" i="5"/>
  <c r="F28266" i="5"/>
  <c r="F28265" i="5"/>
  <c r="F28264" i="5"/>
  <c r="F28263" i="5"/>
  <c r="F28262" i="5"/>
  <c r="F28261" i="5"/>
  <c r="F28260" i="5"/>
  <c r="F28259" i="5"/>
  <c r="F28258" i="5"/>
  <c r="F28257" i="5"/>
  <c r="F28256" i="5"/>
  <c r="F28255" i="5"/>
  <c r="F28254" i="5"/>
  <c r="F28253" i="5"/>
  <c r="F28252" i="5"/>
  <c r="F28251" i="5"/>
  <c r="F28250" i="5"/>
  <c r="F28249" i="5"/>
  <c r="F28248" i="5"/>
  <c r="F28247" i="5"/>
  <c r="F28246" i="5"/>
  <c r="F28245" i="5"/>
  <c r="F28244" i="5"/>
  <c r="F28243" i="5"/>
  <c r="F28242" i="5"/>
  <c r="F28241" i="5"/>
  <c r="F28240" i="5"/>
  <c r="F28239" i="5"/>
  <c r="F28238" i="5"/>
  <c r="F28237" i="5"/>
  <c r="F28236" i="5"/>
  <c r="F28235" i="5"/>
  <c r="F28234" i="5"/>
  <c r="F28233" i="5"/>
  <c r="F28232" i="5"/>
  <c r="F28231" i="5"/>
  <c r="F28230" i="5"/>
  <c r="F28229" i="5"/>
  <c r="F28228" i="5"/>
  <c r="F28227" i="5"/>
  <c r="F28226" i="5"/>
  <c r="F28225" i="5"/>
  <c r="F28224" i="5"/>
  <c r="F28223" i="5"/>
  <c r="F28222" i="5"/>
  <c r="F28221" i="5"/>
  <c r="F28220" i="5"/>
  <c r="F28219" i="5"/>
  <c r="F28218" i="5"/>
  <c r="F28217" i="5"/>
  <c r="F28216" i="5"/>
  <c r="F28215" i="5"/>
  <c r="F28214" i="5"/>
  <c r="F28213" i="5"/>
  <c r="F28212" i="5"/>
  <c r="F28211" i="5"/>
  <c r="F28210" i="5"/>
  <c r="F28209" i="5"/>
  <c r="F28208" i="5"/>
  <c r="F28207" i="5"/>
  <c r="F28206" i="5"/>
  <c r="F28205" i="5"/>
  <c r="F28204" i="5"/>
  <c r="F28203" i="5"/>
  <c r="F28202" i="5"/>
  <c r="F28201" i="5"/>
  <c r="F28200" i="5"/>
  <c r="F28199" i="5"/>
  <c r="F28198" i="5"/>
  <c r="F28197" i="5"/>
  <c r="F28196" i="5"/>
  <c r="F28195" i="5"/>
  <c r="F28194" i="5"/>
  <c r="F28193" i="5"/>
  <c r="F28192" i="5"/>
  <c r="F28191" i="5"/>
  <c r="F28190" i="5"/>
  <c r="F28189" i="5"/>
  <c r="F28188" i="5"/>
  <c r="F28187" i="5"/>
  <c r="F28186" i="5"/>
  <c r="F28185" i="5"/>
  <c r="F28184" i="5"/>
  <c r="F28183" i="5"/>
  <c r="F28182" i="5"/>
  <c r="F28181" i="5"/>
  <c r="F28180" i="5"/>
  <c r="F28179" i="5"/>
  <c r="F28178" i="5"/>
  <c r="F28177" i="5"/>
  <c r="F28176" i="5"/>
  <c r="F28175" i="5"/>
  <c r="F28174" i="5"/>
  <c r="F28173" i="5"/>
  <c r="F28172" i="5"/>
  <c r="F28171" i="5"/>
  <c r="F28170" i="5"/>
  <c r="F28169" i="5"/>
  <c r="F28168" i="5"/>
  <c r="F28167" i="5"/>
  <c r="F28166" i="5"/>
  <c r="F28165" i="5"/>
  <c r="F28164" i="5"/>
  <c r="F28163" i="5"/>
  <c r="F28162" i="5"/>
  <c r="F28161" i="5"/>
  <c r="F28160" i="5"/>
  <c r="F28159" i="5"/>
  <c r="F28158" i="5"/>
  <c r="F28157" i="5"/>
  <c r="F28156" i="5"/>
  <c r="F28155" i="5"/>
  <c r="F28154" i="5"/>
  <c r="F28153" i="5"/>
  <c r="F28152" i="5"/>
  <c r="F28151" i="5"/>
  <c r="F28150" i="5"/>
  <c r="F28149" i="5"/>
  <c r="F28148" i="5"/>
  <c r="F28147" i="5"/>
  <c r="F28146" i="5"/>
  <c r="F28145" i="5"/>
  <c r="F28144" i="5"/>
  <c r="F28143" i="5"/>
  <c r="F28142" i="5"/>
  <c r="F28141" i="5"/>
  <c r="F28140" i="5"/>
  <c r="F28139" i="5"/>
  <c r="F28138" i="5"/>
  <c r="F28137" i="5"/>
  <c r="F28136" i="5"/>
  <c r="F28135" i="5"/>
  <c r="F28134" i="5"/>
  <c r="F28133" i="5"/>
  <c r="F28132" i="5"/>
  <c r="F28131" i="5"/>
  <c r="F28130" i="5"/>
  <c r="F28129" i="5"/>
  <c r="F28128" i="5"/>
  <c r="F28127" i="5"/>
  <c r="F28126" i="5"/>
  <c r="F28125" i="5"/>
  <c r="F28124" i="5"/>
  <c r="F28123" i="5"/>
  <c r="F28122" i="5"/>
  <c r="F28121" i="5"/>
  <c r="F28120" i="5"/>
  <c r="F28119" i="5"/>
  <c r="F28118" i="5"/>
  <c r="F28117" i="5"/>
  <c r="F28116" i="5"/>
  <c r="F28115" i="5"/>
  <c r="F28114" i="5"/>
  <c r="F28113" i="5"/>
  <c r="F28112" i="5"/>
  <c r="F28111" i="5"/>
  <c r="F28110" i="5"/>
  <c r="F28109" i="5"/>
  <c r="F28108" i="5"/>
  <c r="F28107" i="5"/>
  <c r="F28106" i="5"/>
  <c r="F28105" i="5"/>
  <c r="F28104" i="5"/>
  <c r="F28103" i="5"/>
  <c r="F28102" i="5"/>
  <c r="F28101" i="5"/>
  <c r="F28100" i="5"/>
  <c r="F28099" i="5"/>
  <c r="F28098" i="5"/>
  <c r="F28097" i="5"/>
  <c r="F28096" i="5"/>
  <c r="F28095" i="5"/>
  <c r="F28094" i="5"/>
  <c r="F28093" i="5"/>
  <c r="F28092" i="5"/>
  <c r="F28091" i="5"/>
  <c r="F28090" i="5"/>
  <c r="F28089" i="5"/>
  <c r="F28088" i="5"/>
  <c r="F28087" i="5"/>
  <c r="F28086" i="5"/>
  <c r="F28085" i="5"/>
  <c r="F28084" i="5"/>
  <c r="F28083" i="5"/>
  <c r="F28082" i="5"/>
  <c r="F28081" i="5"/>
  <c r="F28080" i="5"/>
  <c r="F28079" i="5"/>
  <c r="F28078" i="5"/>
  <c r="F28077" i="5"/>
  <c r="F28076" i="5"/>
  <c r="F28075" i="5"/>
  <c r="F28074" i="5"/>
  <c r="F28073" i="5"/>
  <c r="F28072" i="5"/>
  <c r="F28071" i="5"/>
  <c r="F28070" i="5"/>
  <c r="F28069" i="5"/>
  <c r="F28068" i="5"/>
  <c r="F28067" i="5"/>
  <c r="F28066" i="5"/>
  <c r="F28065" i="5"/>
  <c r="F28064" i="5"/>
  <c r="F28063" i="5"/>
  <c r="F28062" i="5"/>
  <c r="F28061" i="5"/>
  <c r="F28060" i="5"/>
  <c r="F28059" i="5"/>
  <c r="F28058" i="5"/>
  <c r="F28057" i="5"/>
  <c r="F28056" i="5"/>
  <c r="F28055" i="5"/>
  <c r="F28054" i="5"/>
  <c r="F28053" i="5"/>
  <c r="F28052" i="5"/>
  <c r="F28051" i="5"/>
  <c r="F28050" i="5"/>
  <c r="F28049" i="5"/>
  <c r="F28048" i="5"/>
  <c r="F28047" i="5"/>
  <c r="F28046" i="5"/>
  <c r="F28045" i="5"/>
  <c r="F28044" i="5"/>
  <c r="F28043" i="5"/>
  <c r="F28042" i="5"/>
  <c r="F28041" i="5"/>
  <c r="F28040" i="5"/>
  <c r="F28039" i="5"/>
  <c r="F28038" i="5"/>
  <c r="F28037" i="5"/>
  <c r="F28036" i="5"/>
  <c r="F28035" i="5"/>
  <c r="F28034" i="5"/>
  <c r="F28033" i="5"/>
  <c r="F28032" i="5"/>
  <c r="F28031" i="5"/>
  <c r="F28030" i="5"/>
  <c r="F28029" i="5"/>
  <c r="F28028" i="5"/>
  <c r="F28027" i="5"/>
  <c r="F28026" i="5"/>
  <c r="F28025" i="5"/>
  <c r="F28024" i="5"/>
  <c r="F28023" i="5"/>
  <c r="F28022" i="5"/>
  <c r="F28021" i="5"/>
  <c r="F28020" i="5"/>
  <c r="F28019" i="5"/>
  <c r="F28018" i="5"/>
  <c r="F28017" i="5"/>
  <c r="F28016" i="5"/>
  <c r="F28015" i="5"/>
  <c r="F28014" i="5"/>
  <c r="F28013" i="5"/>
  <c r="F28012" i="5"/>
  <c r="F28011" i="5"/>
  <c r="F28010" i="5"/>
  <c r="F28009" i="5"/>
  <c r="F28008" i="5"/>
  <c r="F28007" i="5"/>
  <c r="F28006" i="5"/>
  <c r="F28005" i="5"/>
  <c r="F28004" i="5"/>
  <c r="F28003" i="5"/>
  <c r="F28002" i="5"/>
  <c r="F28001" i="5"/>
  <c r="F28000" i="5"/>
  <c r="F27999" i="5"/>
  <c r="F27998" i="5"/>
  <c r="F27997" i="5"/>
  <c r="F27996" i="5"/>
  <c r="F27995" i="5"/>
  <c r="F27994" i="5"/>
  <c r="F27993" i="5"/>
  <c r="F27992" i="5"/>
  <c r="F27991" i="5"/>
  <c r="F27990" i="5"/>
  <c r="F27989" i="5"/>
  <c r="F27988" i="5"/>
  <c r="F27987" i="5"/>
  <c r="F27986" i="5"/>
  <c r="F27985" i="5"/>
  <c r="F27984" i="5"/>
  <c r="F27983" i="5"/>
  <c r="F27982" i="5"/>
  <c r="F27981" i="5"/>
  <c r="F27980" i="5"/>
  <c r="F27979" i="5"/>
  <c r="F27978" i="5"/>
  <c r="F27977" i="5"/>
  <c r="F27976" i="5"/>
  <c r="F27975" i="5"/>
  <c r="F27974" i="5"/>
  <c r="F27973" i="5"/>
  <c r="F27972" i="5"/>
  <c r="F27971" i="5"/>
  <c r="F27970" i="5"/>
  <c r="F27969" i="5"/>
  <c r="F27968" i="5"/>
  <c r="F27967" i="5"/>
  <c r="F27966" i="5"/>
  <c r="F27965" i="5"/>
  <c r="F27964" i="5"/>
  <c r="F27963" i="5"/>
  <c r="F27962" i="5"/>
  <c r="F27961" i="5"/>
  <c r="F27960" i="5"/>
  <c r="F27959" i="5"/>
  <c r="F27958" i="5"/>
  <c r="F27957" i="5"/>
  <c r="F27956" i="5"/>
  <c r="F27955" i="5"/>
  <c r="F27954" i="5"/>
  <c r="F27953" i="5"/>
  <c r="F27952" i="5"/>
  <c r="F27951" i="5"/>
  <c r="F27950" i="5"/>
  <c r="F27949" i="5"/>
  <c r="F27948" i="5"/>
  <c r="F27947" i="5"/>
  <c r="F27946" i="5"/>
  <c r="F27945" i="5"/>
  <c r="F27944" i="5"/>
  <c r="F27943" i="5"/>
  <c r="F27942" i="5"/>
  <c r="F27941" i="5"/>
  <c r="F27940" i="5"/>
  <c r="F27939" i="5"/>
  <c r="F27938" i="5"/>
  <c r="F27937" i="5"/>
  <c r="F27936" i="5"/>
  <c r="F27935" i="5"/>
  <c r="F27934" i="5"/>
  <c r="F27933" i="5"/>
  <c r="F27932" i="5"/>
  <c r="F27931" i="5"/>
  <c r="F27930" i="5"/>
  <c r="F27929" i="5"/>
  <c r="F27928" i="5"/>
  <c r="F27927" i="5"/>
  <c r="F27926" i="5"/>
  <c r="F27925" i="5"/>
  <c r="F27924" i="5"/>
  <c r="F27923" i="5"/>
  <c r="F27922" i="5"/>
  <c r="F27921" i="5"/>
  <c r="F27920" i="5"/>
  <c r="F27919" i="5"/>
  <c r="F27918" i="5"/>
  <c r="F27917" i="5"/>
  <c r="F27916" i="5"/>
  <c r="F27915" i="5"/>
  <c r="F27914" i="5"/>
  <c r="F27913" i="5"/>
  <c r="F27912" i="5"/>
  <c r="F27911" i="5"/>
  <c r="F27910" i="5"/>
  <c r="F27909" i="5"/>
  <c r="F27908" i="5"/>
  <c r="F27907" i="5"/>
  <c r="F27906" i="5"/>
  <c r="F27905" i="5"/>
  <c r="F27904" i="5"/>
  <c r="F27903" i="5"/>
  <c r="F27902" i="5"/>
  <c r="F27901" i="5"/>
  <c r="F27900" i="5"/>
  <c r="F27899" i="5"/>
  <c r="F27898" i="5"/>
  <c r="F27897" i="5"/>
  <c r="F27896" i="5"/>
  <c r="F27895" i="5"/>
  <c r="F27894" i="5"/>
  <c r="F27893" i="5"/>
  <c r="F27892" i="5"/>
  <c r="F27891" i="5"/>
  <c r="F27890" i="5"/>
  <c r="F27889" i="5"/>
  <c r="F27888" i="5"/>
  <c r="F27887" i="5"/>
  <c r="F27886" i="5"/>
  <c r="F27885" i="5"/>
  <c r="F27884" i="5"/>
  <c r="F27883" i="5"/>
  <c r="F27882" i="5"/>
  <c r="F27881" i="5"/>
  <c r="F27880" i="5"/>
  <c r="F27879" i="5"/>
  <c r="F27878" i="5"/>
  <c r="F27877" i="5"/>
  <c r="F27876" i="5"/>
  <c r="F27875" i="5"/>
  <c r="F27874" i="5"/>
  <c r="F27873" i="5"/>
  <c r="F27872" i="5"/>
  <c r="F27871" i="5"/>
  <c r="F27870" i="5"/>
  <c r="F27869" i="5"/>
  <c r="F27868" i="5"/>
  <c r="F27867" i="5"/>
  <c r="F27866" i="5"/>
  <c r="F27865" i="5"/>
  <c r="F27864" i="5"/>
  <c r="F27863" i="5"/>
  <c r="F27862" i="5"/>
  <c r="F27861" i="5"/>
  <c r="F27860" i="5"/>
  <c r="F27859" i="5"/>
  <c r="F27858" i="5"/>
  <c r="F27857" i="5"/>
  <c r="F27856" i="5"/>
  <c r="F27855" i="5"/>
  <c r="F27854" i="5"/>
  <c r="F27853" i="5"/>
  <c r="F27852" i="5"/>
  <c r="F27851" i="5"/>
  <c r="F27850" i="5"/>
  <c r="F27849" i="5"/>
  <c r="F27848" i="5"/>
  <c r="F27847" i="5"/>
  <c r="F27846" i="5"/>
  <c r="F27845" i="5"/>
  <c r="F27844" i="5"/>
  <c r="F27843" i="5"/>
  <c r="F27842" i="5"/>
  <c r="F27841" i="5"/>
  <c r="F27840" i="5"/>
  <c r="F27839" i="5"/>
  <c r="F27838" i="5"/>
  <c r="F27837" i="5"/>
  <c r="F27836" i="5"/>
  <c r="F27835" i="5"/>
  <c r="F27834" i="5"/>
  <c r="F27833" i="5"/>
  <c r="F27832" i="5"/>
  <c r="F27831" i="5"/>
  <c r="F27830" i="5"/>
  <c r="F27829" i="5"/>
  <c r="F27828" i="5"/>
  <c r="F27827" i="5"/>
  <c r="F27826" i="5"/>
  <c r="F27825" i="5"/>
  <c r="F27824" i="5"/>
  <c r="F27823" i="5"/>
  <c r="F27822" i="5"/>
  <c r="F27821" i="5"/>
  <c r="F27820" i="5"/>
  <c r="F27819" i="5"/>
  <c r="F27818" i="5"/>
  <c r="F27817" i="5"/>
  <c r="F27816" i="5"/>
  <c r="F27815" i="5"/>
  <c r="F27814" i="5"/>
  <c r="F27813" i="5"/>
  <c r="F27812" i="5"/>
  <c r="F27811" i="5"/>
  <c r="F27810" i="5"/>
  <c r="F27809" i="5"/>
  <c r="F27808" i="5"/>
  <c r="F27807" i="5"/>
  <c r="F27806" i="5"/>
  <c r="F27805" i="5"/>
  <c r="F27804" i="5"/>
  <c r="F27803" i="5"/>
  <c r="F27802" i="5"/>
  <c r="F27801" i="5"/>
  <c r="F27800" i="5"/>
  <c r="F27799" i="5"/>
  <c r="F27798" i="5"/>
  <c r="F27797" i="5"/>
  <c r="F27796" i="5"/>
  <c r="F27795" i="5"/>
  <c r="F27794" i="5"/>
  <c r="F27793" i="5"/>
  <c r="F27792" i="5"/>
  <c r="F27791" i="5"/>
  <c r="F27790" i="5"/>
  <c r="F27789" i="5"/>
  <c r="F27788" i="5"/>
  <c r="F27787" i="5"/>
  <c r="F27786" i="5"/>
  <c r="F27785" i="5"/>
  <c r="F27784" i="5"/>
  <c r="F27783" i="5"/>
  <c r="F27782" i="5"/>
  <c r="F27781" i="5"/>
  <c r="F27780" i="5"/>
  <c r="F27779" i="5"/>
  <c r="F27778" i="5"/>
  <c r="F27777" i="5"/>
  <c r="F27776" i="5"/>
  <c r="F27775" i="5"/>
  <c r="F27774" i="5"/>
  <c r="F27773" i="5"/>
  <c r="F27772" i="5"/>
  <c r="F27771" i="5"/>
  <c r="F27770" i="5"/>
  <c r="F27769" i="5"/>
  <c r="F27768" i="5"/>
  <c r="F27767" i="5"/>
  <c r="F27766" i="5"/>
  <c r="F27765" i="5"/>
  <c r="F27764" i="5"/>
  <c r="F27763" i="5"/>
  <c r="F27762" i="5"/>
  <c r="F27761" i="5"/>
  <c r="F27760" i="5"/>
  <c r="F27759" i="5"/>
  <c r="F27758" i="5"/>
  <c r="F27757" i="5"/>
  <c r="F27756" i="5"/>
  <c r="F27755" i="5"/>
  <c r="F27754" i="5"/>
  <c r="F27753" i="5"/>
  <c r="F27752" i="5"/>
  <c r="F27751" i="5"/>
  <c r="F27750" i="5"/>
  <c r="F27749" i="5"/>
  <c r="F27748" i="5"/>
  <c r="F27747" i="5"/>
  <c r="F27746" i="5"/>
  <c r="F27745" i="5"/>
  <c r="F27744" i="5"/>
  <c r="F27743" i="5"/>
  <c r="F27742" i="5"/>
  <c r="F27741" i="5"/>
  <c r="F27740" i="5"/>
  <c r="F27739" i="5"/>
  <c r="F27738" i="5"/>
  <c r="F27737" i="5"/>
  <c r="F27736" i="5"/>
  <c r="F27735" i="5"/>
  <c r="F27734" i="5"/>
  <c r="F27733" i="5"/>
  <c r="F27732" i="5"/>
  <c r="F27731" i="5"/>
  <c r="F27730" i="5"/>
  <c r="F27729" i="5"/>
  <c r="F27728" i="5"/>
  <c r="F27727" i="5"/>
  <c r="F27726" i="5"/>
  <c r="F27725" i="5"/>
  <c r="F27724" i="5"/>
  <c r="F27723" i="5"/>
  <c r="F27722" i="5"/>
  <c r="F27721" i="5"/>
  <c r="F27720" i="5"/>
  <c r="F27719" i="5"/>
  <c r="F27718" i="5"/>
  <c r="F27717" i="5"/>
  <c r="F27716" i="5"/>
  <c r="F27715" i="5"/>
  <c r="F27714" i="5"/>
  <c r="F27713" i="5"/>
  <c r="F27712" i="5"/>
  <c r="F27711" i="5"/>
  <c r="F27710" i="5"/>
  <c r="F27709" i="5"/>
  <c r="F27708" i="5"/>
  <c r="F27707" i="5"/>
  <c r="F27706" i="5"/>
  <c r="F27705" i="5"/>
  <c r="F27704" i="5"/>
  <c r="F27703" i="5"/>
  <c r="F27702" i="5"/>
  <c r="F27701" i="5"/>
  <c r="F27700" i="5"/>
  <c r="F27699" i="5"/>
  <c r="F27698" i="5"/>
  <c r="F27697" i="5"/>
  <c r="F27696" i="5"/>
  <c r="F27695" i="5"/>
  <c r="F27694" i="5"/>
  <c r="F27693" i="5"/>
  <c r="F27692" i="5"/>
  <c r="F27691" i="5"/>
  <c r="F27690" i="5"/>
  <c r="F27689" i="5"/>
  <c r="F27688" i="5"/>
  <c r="F27687" i="5"/>
  <c r="F27686" i="5"/>
  <c r="F27685" i="5"/>
  <c r="F27684" i="5"/>
  <c r="F27683" i="5"/>
  <c r="F27682" i="5"/>
  <c r="F27681" i="5"/>
  <c r="F27680" i="5"/>
  <c r="F27679" i="5"/>
  <c r="F27678" i="5"/>
  <c r="F27677" i="5"/>
  <c r="F27676" i="5"/>
  <c r="F27675" i="5"/>
  <c r="F27674" i="5"/>
  <c r="F27673" i="5"/>
  <c r="F27672" i="5"/>
  <c r="F27671" i="5"/>
  <c r="F27670" i="5"/>
  <c r="F27669" i="5"/>
  <c r="F27668" i="5"/>
  <c r="F27667" i="5"/>
  <c r="F27666" i="5"/>
  <c r="F27665" i="5"/>
  <c r="F27664" i="5"/>
  <c r="F27663" i="5"/>
  <c r="F27662" i="5"/>
  <c r="F27661" i="5"/>
  <c r="F27660" i="5"/>
  <c r="F27659" i="5"/>
  <c r="F27658" i="5"/>
  <c r="F27657" i="5"/>
  <c r="F27656" i="5"/>
  <c r="F27655" i="5"/>
  <c r="F27654" i="5"/>
  <c r="F27653" i="5"/>
  <c r="F27652" i="5"/>
  <c r="F27651" i="5"/>
  <c r="F27650" i="5"/>
  <c r="F27649" i="5"/>
  <c r="F27648" i="5"/>
  <c r="F27647" i="5"/>
  <c r="F27646" i="5"/>
  <c r="F27645" i="5"/>
  <c r="F27644" i="5"/>
  <c r="F27643" i="5"/>
  <c r="F27642" i="5"/>
  <c r="F27641" i="5"/>
  <c r="F27640" i="5"/>
  <c r="F27639" i="5"/>
  <c r="F27638" i="5"/>
  <c r="F27637" i="5"/>
  <c r="F27636" i="5"/>
  <c r="F27635" i="5"/>
  <c r="F27634" i="5"/>
  <c r="F27633" i="5"/>
  <c r="F27632" i="5"/>
  <c r="F27631" i="5"/>
  <c r="F27630" i="5"/>
  <c r="F27629" i="5"/>
  <c r="F27628" i="5"/>
  <c r="F27627" i="5"/>
  <c r="F27626" i="5"/>
  <c r="F27625" i="5"/>
  <c r="F27624" i="5"/>
  <c r="F27623" i="5"/>
  <c r="F27622" i="5"/>
  <c r="F27621" i="5"/>
  <c r="F27620" i="5"/>
  <c r="F27619" i="5"/>
  <c r="F27618" i="5"/>
  <c r="F27617" i="5"/>
  <c r="F27616" i="5"/>
  <c r="F27615" i="5"/>
  <c r="F27614" i="5"/>
  <c r="F27613" i="5"/>
  <c r="F27612" i="5"/>
  <c r="F27611" i="5"/>
  <c r="F27610" i="5"/>
  <c r="F27609" i="5"/>
  <c r="F27608" i="5"/>
  <c r="F27607" i="5"/>
  <c r="F27606" i="5"/>
  <c r="F27605" i="5"/>
  <c r="F27604" i="5"/>
  <c r="F27603" i="5"/>
  <c r="F27602" i="5"/>
  <c r="F27601" i="5"/>
  <c r="F27600" i="5"/>
  <c r="F27599" i="5"/>
  <c r="F27598" i="5"/>
  <c r="F27597" i="5"/>
  <c r="F27596" i="5"/>
  <c r="F27595" i="5"/>
  <c r="F27594" i="5"/>
  <c r="F27593" i="5"/>
  <c r="F27592" i="5"/>
  <c r="F27591" i="5"/>
  <c r="F27590" i="5"/>
  <c r="F27589" i="5"/>
  <c r="F27588" i="5"/>
  <c r="F27587" i="5"/>
  <c r="F27586" i="5"/>
  <c r="F27585" i="5"/>
  <c r="F27584" i="5"/>
  <c r="F27583" i="5"/>
  <c r="F27582" i="5"/>
  <c r="F27581" i="5"/>
  <c r="F27580" i="5"/>
  <c r="F27579" i="5"/>
  <c r="F27578" i="5"/>
  <c r="F27577" i="5"/>
  <c r="F27576" i="5"/>
  <c r="F27575" i="5"/>
  <c r="F27574" i="5"/>
  <c r="F27573" i="5"/>
  <c r="F27572" i="5"/>
  <c r="F27571" i="5"/>
  <c r="F27570" i="5"/>
  <c r="F27569" i="5"/>
  <c r="F27568" i="5"/>
  <c r="F27567" i="5"/>
  <c r="F27566" i="5"/>
  <c r="F27565" i="5"/>
  <c r="F27564" i="5"/>
  <c r="F27563" i="5"/>
  <c r="F27562" i="5"/>
  <c r="F27561" i="5"/>
  <c r="F27560" i="5"/>
  <c r="F27559" i="5"/>
  <c r="F27558" i="5"/>
  <c r="F27557" i="5"/>
  <c r="F27556" i="5"/>
  <c r="F27555" i="5"/>
  <c r="F27554" i="5"/>
  <c r="F27553" i="5"/>
  <c r="F27552" i="5"/>
  <c r="F27551" i="5"/>
  <c r="F27550" i="5"/>
  <c r="F27549" i="5"/>
  <c r="F27548" i="5"/>
  <c r="F27547" i="5"/>
  <c r="F27546" i="5"/>
  <c r="F27545" i="5"/>
  <c r="F27544" i="5"/>
  <c r="F27543" i="5"/>
  <c r="F27542" i="5"/>
  <c r="F27541" i="5"/>
  <c r="F27540" i="5"/>
  <c r="F27539" i="5"/>
  <c r="F27538" i="5"/>
  <c r="F27537" i="5"/>
  <c r="F27536" i="5"/>
  <c r="F27535" i="5"/>
  <c r="F27534" i="5"/>
  <c r="F27533" i="5"/>
  <c r="F27532" i="5"/>
  <c r="F27531" i="5"/>
  <c r="F27530" i="5"/>
  <c r="F27529" i="5"/>
  <c r="F27528" i="5"/>
  <c r="F27527" i="5"/>
  <c r="F27526" i="5"/>
  <c r="F27525" i="5"/>
  <c r="F27524" i="5"/>
  <c r="F27523" i="5"/>
  <c r="F27522" i="5"/>
  <c r="F27521" i="5"/>
  <c r="F27520" i="5"/>
  <c r="F27519" i="5"/>
  <c r="F27518" i="5"/>
  <c r="F27517" i="5"/>
  <c r="F27516" i="5"/>
  <c r="F27515" i="5"/>
  <c r="F27514" i="5"/>
  <c r="F27513" i="5"/>
  <c r="F27512" i="5"/>
  <c r="F27511" i="5"/>
  <c r="F27510" i="5"/>
  <c r="F27509" i="5"/>
  <c r="F27508" i="5"/>
  <c r="F27507" i="5"/>
  <c r="F27506" i="5"/>
  <c r="F27505" i="5"/>
  <c r="F27504" i="5"/>
  <c r="F27503" i="5"/>
  <c r="F27502" i="5"/>
  <c r="F27501" i="5"/>
  <c r="F27500" i="5"/>
  <c r="F27499" i="5"/>
  <c r="F27498" i="5"/>
  <c r="F27497" i="5"/>
  <c r="F27496" i="5"/>
  <c r="F27495" i="5"/>
  <c r="F27494" i="5"/>
  <c r="F27493" i="5"/>
  <c r="F27492" i="5"/>
  <c r="F27491" i="5"/>
  <c r="F27490" i="5"/>
  <c r="F27489" i="5"/>
  <c r="F27488" i="5"/>
  <c r="F27487" i="5"/>
  <c r="F27486" i="5"/>
  <c r="F27485" i="5"/>
  <c r="F27484" i="5"/>
  <c r="F27483" i="5"/>
  <c r="F27482" i="5"/>
  <c r="F27481" i="5"/>
  <c r="F27480" i="5"/>
  <c r="F27479" i="5"/>
  <c r="F27478" i="5"/>
  <c r="F27477" i="5"/>
  <c r="F27476" i="5"/>
  <c r="F27475" i="5"/>
  <c r="F27474" i="5"/>
  <c r="F27473" i="5"/>
  <c r="F27472" i="5"/>
  <c r="F27471" i="5"/>
  <c r="F27470" i="5"/>
  <c r="F27469" i="5"/>
  <c r="F27468" i="5"/>
  <c r="F27467" i="5"/>
  <c r="F27466" i="5"/>
  <c r="F27465" i="5"/>
  <c r="F27464" i="5"/>
  <c r="F27463" i="5"/>
  <c r="F27462" i="5"/>
  <c r="F27461" i="5"/>
  <c r="F27460" i="5"/>
  <c r="F27459" i="5"/>
  <c r="F27458" i="5"/>
  <c r="F27457" i="5"/>
  <c r="F27456" i="5"/>
  <c r="F27455" i="5"/>
  <c r="F27454" i="5"/>
  <c r="F27453" i="5"/>
  <c r="F27452" i="5"/>
  <c r="F27451" i="5"/>
  <c r="F27450" i="5"/>
  <c r="F27449" i="5"/>
  <c r="F27448" i="5"/>
  <c r="F27447" i="5"/>
  <c r="F27446" i="5"/>
  <c r="F27445" i="5"/>
  <c r="F27444" i="5"/>
  <c r="F27443" i="5"/>
  <c r="F27442" i="5"/>
  <c r="F27441" i="5"/>
  <c r="F27440" i="5"/>
  <c r="F27439" i="5"/>
  <c r="F27438" i="5"/>
  <c r="F27437" i="5"/>
  <c r="F27436" i="5"/>
  <c r="F27435" i="5"/>
  <c r="F27434" i="5"/>
  <c r="F27433" i="5"/>
  <c r="F27432" i="5"/>
  <c r="F27431" i="5"/>
  <c r="F27430" i="5"/>
  <c r="F27429" i="5"/>
  <c r="F27428" i="5"/>
  <c r="F27427" i="5"/>
  <c r="F27426" i="5"/>
  <c r="F27425" i="5"/>
  <c r="F27424" i="5"/>
  <c r="F27423" i="5"/>
  <c r="F27422" i="5"/>
  <c r="F27421" i="5"/>
  <c r="F27420" i="5"/>
  <c r="F27419" i="5"/>
  <c r="F27418" i="5"/>
  <c r="F27417" i="5"/>
  <c r="F27416" i="5"/>
  <c r="F27415" i="5"/>
  <c r="F27414" i="5"/>
  <c r="F27413" i="5"/>
  <c r="F27412" i="5"/>
  <c r="F27411" i="5"/>
  <c r="F27410" i="5"/>
  <c r="F27409" i="5"/>
  <c r="F27408" i="5"/>
  <c r="F27407" i="5"/>
  <c r="F27406" i="5"/>
  <c r="F27405" i="5"/>
  <c r="F27404" i="5"/>
  <c r="F27403" i="5"/>
  <c r="F27402" i="5"/>
  <c r="F27401" i="5"/>
  <c r="F27400" i="5"/>
  <c r="F27399" i="5"/>
  <c r="F27398" i="5"/>
  <c r="F27397" i="5"/>
  <c r="F27396" i="5"/>
  <c r="F27395" i="5"/>
  <c r="F27394" i="5"/>
  <c r="F27393" i="5"/>
  <c r="F27392" i="5"/>
  <c r="F27391" i="5"/>
  <c r="F27390" i="5"/>
  <c r="F27389" i="5"/>
  <c r="F27388" i="5"/>
  <c r="F27387" i="5"/>
  <c r="F27386" i="5"/>
  <c r="F27385" i="5"/>
  <c r="F27384" i="5"/>
  <c r="F27383" i="5"/>
  <c r="F27382" i="5"/>
  <c r="F27381" i="5"/>
  <c r="F27380" i="5"/>
  <c r="F27379" i="5"/>
  <c r="F27378" i="5"/>
  <c r="F27377" i="5"/>
  <c r="F27376" i="5"/>
  <c r="F27375" i="5"/>
  <c r="F27374" i="5"/>
  <c r="F27373" i="5"/>
  <c r="F27372" i="5"/>
  <c r="F27371" i="5"/>
  <c r="F27370" i="5"/>
  <c r="F27369" i="5"/>
  <c r="F27368" i="5"/>
  <c r="F27367" i="5"/>
  <c r="F27366" i="5"/>
  <c r="F27365" i="5"/>
  <c r="F27364" i="5"/>
  <c r="F27363" i="5"/>
  <c r="F27362" i="5"/>
  <c r="F27361" i="5"/>
  <c r="F27360" i="5"/>
  <c r="F27359" i="5"/>
  <c r="F27358" i="5"/>
  <c r="F27357" i="5"/>
  <c r="F27356" i="5"/>
  <c r="F27355" i="5"/>
  <c r="F27354" i="5"/>
  <c r="F27353" i="5"/>
  <c r="F27352" i="5"/>
  <c r="F27351" i="5"/>
  <c r="F27350" i="5"/>
  <c r="F27349" i="5"/>
  <c r="F27348" i="5"/>
  <c r="F27347" i="5"/>
  <c r="F27346" i="5"/>
  <c r="F27345" i="5"/>
  <c r="F27344" i="5"/>
  <c r="F27343" i="5"/>
  <c r="F27342" i="5"/>
  <c r="F27341" i="5"/>
  <c r="F27340" i="5"/>
  <c r="F27339" i="5"/>
  <c r="F27338" i="5"/>
  <c r="F27337" i="5"/>
  <c r="F27336" i="5"/>
  <c r="F27335" i="5"/>
  <c r="F27334" i="5"/>
  <c r="F27333" i="5"/>
  <c r="F27332" i="5"/>
  <c r="F27331" i="5"/>
  <c r="F27330" i="5"/>
  <c r="F27329" i="5"/>
  <c r="F27328" i="5"/>
  <c r="F27327" i="5"/>
  <c r="F27326" i="5"/>
  <c r="F27325" i="5"/>
  <c r="F27324" i="5"/>
  <c r="F27323" i="5"/>
  <c r="F27322" i="5"/>
  <c r="F27321" i="5"/>
  <c r="F27320" i="5"/>
  <c r="F27319" i="5"/>
  <c r="F27318" i="5"/>
  <c r="F27317" i="5"/>
  <c r="F27316" i="5"/>
  <c r="F27315" i="5"/>
  <c r="F27314" i="5"/>
  <c r="F27313" i="5"/>
  <c r="F27312" i="5"/>
  <c r="F27311" i="5"/>
  <c r="F27310" i="5"/>
  <c r="F27309" i="5"/>
  <c r="F27308" i="5"/>
  <c r="F27307" i="5"/>
  <c r="F27306" i="5"/>
  <c r="F27305" i="5"/>
  <c r="F27304" i="5"/>
  <c r="F27303" i="5"/>
  <c r="F27302" i="5"/>
  <c r="F27301" i="5"/>
  <c r="F27300" i="5"/>
  <c r="F27299" i="5"/>
  <c r="F27298" i="5"/>
  <c r="F27297" i="5"/>
  <c r="F27296" i="5"/>
  <c r="F27295" i="5"/>
  <c r="F27294" i="5"/>
  <c r="F27293" i="5"/>
  <c r="F27292" i="5"/>
  <c r="F27291" i="5"/>
  <c r="F27290" i="5"/>
  <c r="F27289" i="5"/>
  <c r="F27288" i="5"/>
  <c r="F27287" i="5"/>
  <c r="F27286" i="5"/>
  <c r="F27285" i="5"/>
  <c r="F27284" i="5"/>
  <c r="F27283" i="5"/>
  <c r="F27282" i="5"/>
  <c r="F27281" i="5"/>
  <c r="F27280" i="5"/>
  <c r="F27279" i="5"/>
  <c r="F27278" i="5"/>
  <c r="F27277" i="5"/>
  <c r="F27276" i="5"/>
  <c r="F27275" i="5"/>
  <c r="F27274" i="5"/>
  <c r="F27273" i="5"/>
  <c r="F27272" i="5"/>
  <c r="F27271" i="5"/>
  <c r="F27270" i="5"/>
  <c r="F27269" i="5"/>
  <c r="F27268" i="5"/>
  <c r="F27267" i="5"/>
  <c r="F27266" i="5"/>
  <c r="F27265" i="5"/>
  <c r="F27264" i="5"/>
  <c r="F27263" i="5"/>
  <c r="F27262" i="5"/>
  <c r="F27261" i="5"/>
  <c r="F27260" i="5"/>
  <c r="F27259" i="5"/>
  <c r="F27258" i="5"/>
  <c r="F27257" i="5"/>
  <c r="F27256" i="5"/>
  <c r="F27255" i="5"/>
  <c r="F27254" i="5"/>
  <c r="F27253" i="5"/>
  <c r="F27252" i="5"/>
  <c r="F27251" i="5"/>
  <c r="F27250" i="5"/>
  <c r="F27249" i="5"/>
  <c r="F27248" i="5"/>
  <c r="F27247" i="5"/>
  <c r="F27246" i="5"/>
  <c r="F27245" i="5"/>
  <c r="F27244" i="5"/>
  <c r="F27243" i="5"/>
  <c r="F27242" i="5"/>
  <c r="F27241" i="5"/>
  <c r="F27240" i="5"/>
  <c r="F27239" i="5"/>
  <c r="F27238" i="5"/>
  <c r="F27237" i="5"/>
  <c r="F27236" i="5"/>
  <c r="F27235" i="5"/>
  <c r="F27234" i="5"/>
  <c r="F27233" i="5"/>
  <c r="F27232" i="5"/>
  <c r="F27231" i="5"/>
  <c r="F27230" i="5"/>
  <c r="F27229" i="5"/>
  <c r="F27228" i="5"/>
  <c r="F27227" i="5"/>
  <c r="F27226" i="5"/>
  <c r="F27225" i="5"/>
  <c r="F27224" i="5"/>
  <c r="F27223" i="5"/>
  <c r="F27222" i="5"/>
  <c r="F27221" i="5"/>
  <c r="F27220" i="5"/>
  <c r="F27219" i="5"/>
  <c r="F27218" i="5"/>
  <c r="F27217" i="5"/>
  <c r="F27216" i="5"/>
  <c r="F27215" i="5"/>
  <c r="F27214" i="5"/>
  <c r="F27213" i="5"/>
  <c r="F27212" i="5"/>
  <c r="F27211" i="5"/>
  <c r="F27210" i="5"/>
  <c r="F27209" i="5"/>
  <c r="F27208" i="5"/>
  <c r="F27207" i="5"/>
  <c r="F27206" i="5"/>
  <c r="F27205" i="5"/>
  <c r="F27204" i="5"/>
  <c r="F27203" i="5"/>
  <c r="F27202" i="5"/>
  <c r="F27201" i="5"/>
  <c r="F27200" i="5"/>
  <c r="F27199" i="5"/>
  <c r="F27198" i="5"/>
  <c r="F27197" i="5"/>
  <c r="F27196" i="5"/>
  <c r="F27195" i="5"/>
  <c r="F27194" i="5"/>
  <c r="F27193" i="5"/>
  <c r="F27192" i="5"/>
  <c r="F27191" i="5"/>
  <c r="F27190" i="5"/>
  <c r="F27189" i="5"/>
  <c r="F27188" i="5"/>
  <c r="F27187" i="5"/>
  <c r="F27186" i="5"/>
  <c r="F27185" i="5"/>
  <c r="F27184" i="5"/>
  <c r="F27183" i="5"/>
  <c r="F27182" i="5"/>
  <c r="F27181" i="5"/>
  <c r="F27180" i="5"/>
  <c r="F27179" i="5"/>
  <c r="F27178" i="5"/>
  <c r="F27177" i="5"/>
  <c r="F27176" i="5"/>
  <c r="F27175" i="5"/>
  <c r="F27174" i="5"/>
  <c r="F27173" i="5"/>
  <c r="F27172" i="5"/>
  <c r="F27171" i="5"/>
  <c r="F27170" i="5"/>
  <c r="F27169" i="5"/>
  <c r="F27168" i="5"/>
  <c r="F27167" i="5"/>
  <c r="F27166" i="5"/>
  <c r="F27165" i="5"/>
  <c r="F27164" i="5"/>
  <c r="F27163" i="5"/>
  <c r="F27162" i="5"/>
  <c r="F27161" i="5"/>
  <c r="F27160" i="5"/>
  <c r="F27159" i="5"/>
  <c r="F27158" i="5"/>
  <c r="F27157" i="5"/>
  <c r="F27156" i="5"/>
  <c r="F27155" i="5"/>
  <c r="F27154" i="5"/>
  <c r="F27153" i="5"/>
  <c r="F27152" i="5"/>
  <c r="F27151" i="5"/>
  <c r="F27150" i="5"/>
  <c r="F27149" i="5"/>
  <c r="F27148" i="5"/>
  <c r="F27147" i="5"/>
  <c r="F27146" i="5"/>
  <c r="F27145" i="5"/>
  <c r="F27144" i="5"/>
  <c r="F27143" i="5"/>
  <c r="F27142" i="5"/>
  <c r="F27141" i="5"/>
  <c r="F27140" i="5"/>
  <c r="F27139" i="5"/>
  <c r="F27138" i="5"/>
  <c r="F27137" i="5"/>
  <c r="F27136" i="5"/>
  <c r="F27135" i="5"/>
  <c r="F27134" i="5"/>
  <c r="F27133" i="5"/>
  <c r="F27132" i="5"/>
  <c r="F27131" i="5"/>
  <c r="F27130" i="5"/>
  <c r="F27129" i="5"/>
  <c r="F27128" i="5"/>
  <c r="F27127" i="5"/>
  <c r="F27126" i="5"/>
  <c r="F27125" i="5"/>
  <c r="F27124" i="5"/>
  <c r="F27123" i="5"/>
  <c r="F27122" i="5"/>
  <c r="F27121" i="5"/>
  <c r="F27120" i="5"/>
  <c r="F27119" i="5"/>
  <c r="F27118" i="5"/>
  <c r="F27117" i="5"/>
  <c r="F27116" i="5"/>
  <c r="F27115" i="5"/>
  <c r="F27114" i="5"/>
  <c r="F27113" i="5"/>
  <c r="F27112" i="5"/>
  <c r="F27111" i="5"/>
  <c r="F27110" i="5"/>
  <c r="F27109" i="5"/>
  <c r="F27108" i="5"/>
  <c r="F27107" i="5"/>
  <c r="F27106" i="5"/>
  <c r="F27105" i="5"/>
  <c r="F27104" i="5"/>
  <c r="F27103" i="5"/>
  <c r="F27102" i="5"/>
  <c r="F27101" i="5"/>
  <c r="F27100" i="5"/>
  <c r="F27099" i="5"/>
  <c r="F27098" i="5"/>
  <c r="F27097" i="5"/>
  <c r="F27096" i="5"/>
  <c r="F27095" i="5"/>
  <c r="F27094" i="5"/>
  <c r="F27093" i="5"/>
  <c r="F27092" i="5"/>
  <c r="F27091" i="5"/>
  <c r="F27090" i="5"/>
  <c r="F27089" i="5"/>
  <c r="F27088" i="5"/>
  <c r="F27087" i="5"/>
  <c r="F27086" i="5"/>
  <c r="F27085" i="5"/>
  <c r="F27084" i="5"/>
  <c r="F27083" i="5"/>
  <c r="F27082" i="5"/>
  <c r="F27081" i="5"/>
  <c r="F27080" i="5"/>
  <c r="F27079" i="5"/>
  <c r="F27078" i="5"/>
  <c r="F27077" i="5"/>
  <c r="F27076" i="5"/>
  <c r="F27075" i="5"/>
  <c r="F27074" i="5"/>
  <c r="F27073" i="5"/>
  <c r="F27072" i="5"/>
  <c r="F27071" i="5"/>
  <c r="F27070" i="5"/>
  <c r="F27069" i="5"/>
  <c r="F27068" i="5"/>
  <c r="F27067" i="5"/>
  <c r="F27066" i="5"/>
  <c r="F27065" i="5"/>
  <c r="F27064" i="5"/>
  <c r="F27063" i="5"/>
  <c r="F27062" i="5"/>
  <c r="F27061" i="5"/>
  <c r="F27060" i="5"/>
  <c r="F27059" i="5"/>
  <c r="F27058" i="5"/>
  <c r="F27057" i="5"/>
  <c r="F27056" i="5"/>
  <c r="F27055" i="5"/>
  <c r="F27054" i="5"/>
  <c r="F27053" i="5"/>
  <c r="F27052" i="5"/>
  <c r="F27051" i="5"/>
  <c r="F27050" i="5"/>
  <c r="F27049" i="5"/>
  <c r="F27048" i="5"/>
  <c r="F27047" i="5"/>
  <c r="F27046" i="5"/>
  <c r="F27045" i="5"/>
  <c r="F27044" i="5"/>
  <c r="F27043" i="5"/>
  <c r="F27042" i="5"/>
  <c r="F27041" i="5"/>
  <c r="F27040" i="5"/>
  <c r="F27039" i="5"/>
  <c r="F27038" i="5"/>
  <c r="F27037" i="5"/>
  <c r="F27036" i="5"/>
  <c r="F27035" i="5"/>
  <c r="F27034" i="5"/>
  <c r="F27033" i="5"/>
  <c r="F27032" i="5"/>
  <c r="F27031" i="5"/>
  <c r="F27030" i="5"/>
  <c r="F27029" i="5"/>
  <c r="F27028" i="5"/>
  <c r="F27027" i="5"/>
  <c r="F27026" i="5"/>
  <c r="F27025" i="5"/>
  <c r="F27024" i="5"/>
  <c r="F27023" i="5"/>
  <c r="F27022" i="5"/>
  <c r="F27021" i="5"/>
  <c r="F27020" i="5"/>
  <c r="F27019" i="5"/>
  <c r="F27018" i="5"/>
  <c r="F27017" i="5"/>
  <c r="F27016" i="5"/>
  <c r="F27015" i="5"/>
  <c r="F27014" i="5"/>
  <c r="F27013" i="5"/>
  <c r="F27012" i="5"/>
  <c r="F27011" i="5"/>
  <c r="F27010" i="5"/>
  <c r="F27009" i="5"/>
  <c r="F27008" i="5"/>
  <c r="F27007" i="5"/>
  <c r="F27006" i="5"/>
  <c r="F27005" i="5"/>
  <c r="F27004" i="5"/>
  <c r="F27003" i="5"/>
  <c r="F27002" i="5"/>
  <c r="F27001" i="5"/>
  <c r="F27000" i="5"/>
  <c r="F26999" i="5"/>
  <c r="F26998" i="5"/>
  <c r="F26997" i="5"/>
  <c r="F26996" i="5"/>
  <c r="F26995" i="5"/>
  <c r="F26994" i="5"/>
  <c r="F26993" i="5"/>
  <c r="F26992" i="5"/>
  <c r="F26991" i="5"/>
  <c r="F26990" i="5"/>
  <c r="F26989" i="5"/>
  <c r="F26988" i="5"/>
  <c r="F26987" i="5"/>
  <c r="F26986" i="5"/>
  <c r="F26985" i="5"/>
  <c r="F26984" i="5"/>
  <c r="F26983" i="5"/>
  <c r="F26982" i="5"/>
  <c r="F26981" i="5"/>
  <c r="F26980" i="5"/>
  <c r="F26979" i="5"/>
  <c r="F26978" i="5"/>
  <c r="F26977" i="5"/>
  <c r="F26976" i="5"/>
  <c r="F26975" i="5"/>
  <c r="F26974" i="5"/>
  <c r="F26973" i="5"/>
  <c r="F26972" i="5"/>
  <c r="F26971" i="5"/>
  <c r="F26970" i="5"/>
  <c r="F26969" i="5"/>
  <c r="F26968" i="5"/>
  <c r="F26967" i="5"/>
  <c r="F26966" i="5"/>
  <c r="F26965" i="5"/>
  <c r="F26964" i="5"/>
  <c r="F26963" i="5"/>
  <c r="F26962" i="5"/>
  <c r="F26961" i="5"/>
  <c r="F26960" i="5"/>
  <c r="F26959" i="5"/>
  <c r="F26958" i="5"/>
  <c r="F26957" i="5"/>
  <c r="F26956" i="5"/>
  <c r="F26955" i="5"/>
  <c r="F26954" i="5"/>
  <c r="F26953" i="5"/>
  <c r="F26952" i="5"/>
  <c r="F26951" i="5"/>
  <c r="F26950" i="5"/>
  <c r="F26949" i="5"/>
  <c r="F26948" i="5"/>
  <c r="F26947" i="5"/>
  <c r="F26946" i="5"/>
  <c r="F26945" i="5"/>
  <c r="F26944" i="5"/>
  <c r="F26943" i="5"/>
  <c r="F26942" i="5"/>
  <c r="F26941" i="5"/>
  <c r="F26940" i="5"/>
  <c r="F26939" i="5"/>
  <c r="F26938" i="5"/>
  <c r="F26937" i="5"/>
  <c r="F26936" i="5"/>
  <c r="F26935" i="5"/>
  <c r="F26934" i="5"/>
  <c r="F26933" i="5"/>
  <c r="F26932" i="5"/>
  <c r="F26931" i="5"/>
  <c r="F26930" i="5"/>
  <c r="F26929" i="5"/>
  <c r="F26928" i="5"/>
  <c r="F26927" i="5"/>
  <c r="F26926" i="5"/>
  <c r="F26925" i="5"/>
  <c r="F26924" i="5"/>
  <c r="F26923" i="5"/>
  <c r="F26922" i="5"/>
  <c r="F26921" i="5"/>
  <c r="F26920" i="5"/>
  <c r="F26919" i="5"/>
  <c r="F26918" i="5"/>
  <c r="F26917" i="5"/>
  <c r="F26916" i="5"/>
  <c r="F26915" i="5"/>
  <c r="F26914" i="5"/>
  <c r="F26913" i="5"/>
  <c r="F26912" i="5"/>
  <c r="F26911" i="5"/>
  <c r="F26910" i="5"/>
  <c r="F26909" i="5"/>
  <c r="F26908" i="5"/>
  <c r="F26907" i="5"/>
  <c r="F26906" i="5"/>
  <c r="F26905" i="5"/>
  <c r="F26904" i="5"/>
  <c r="F26903" i="5"/>
  <c r="F26902" i="5"/>
  <c r="F26901" i="5"/>
  <c r="F26900" i="5"/>
  <c r="F26899" i="5"/>
  <c r="F26898" i="5"/>
  <c r="F26897" i="5"/>
  <c r="F26896" i="5"/>
  <c r="F26895" i="5"/>
  <c r="F26894" i="5"/>
  <c r="F26893" i="5"/>
  <c r="F26892" i="5"/>
  <c r="F26891" i="5"/>
  <c r="F26890" i="5"/>
  <c r="F26889" i="5"/>
  <c r="F26888" i="5"/>
  <c r="F26887" i="5"/>
  <c r="F26886" i="5"/>
  <c r="F26885" i="5"/>
  <c r="F26884" i="5"/>
  <c r="F26883" i="5"/>
  <c r="F26882" i="5"/>
  <c r="F26881" i="5"/>
  <c r="F26880" i="5"/>
  <c r="F26879" i="5"/>
  <c r="F26878" i="5"/>
  <c r="F26877" i="5"/>
  <c r="F26876" i="5"/>
  <c r="F26875" i="5"/>
  <c r="F26874" i="5"/>
  <c r="F26873" i="5"/>
  <c r="F26872" i="5"/>
  <c r="F26871" i="5"/>
  <c r="F26870" i="5"/>
  <c r="F26869" i="5"/>
  <c r="F26868" i="5"/>
  <c r="F26867" i="5"/>
  <c r="F26866" i="5"/>
  <c r="F26865" i="5"/>
  <c r="F26864" i="5"/>
  <c r="F26863" i="5"/>
  <c r="F26862" i="5"/>
  <c r="F26861" i="5"/>
  <c r="F26860" i="5"/>
  <c r="F26859" i="5"/>
  <c r="F26858" i="5"/>
  <c r="F26857" i="5"/>
  <c r="F26856" i="5"/>
  <c r="F26855" i="5"/>
  <c r="F26854" i="5"/>
  <c r="F26853" i="5"/>
  <c r="F26852" i="5"/>
  <c r="F26851" i="5"/>
  <c r="F26850" i="5"/>
  <c r="F26849" i="5"/>
  <c r="F26848" i="5"/>
  <c r="F26847" i="5"/>
  <c r="F26846" i="5"/>
  <c r="F26845" i="5"/>
  <c r="F26844" i="5"/>
  <c r="F26843" i="5"/>
  <c r="F26842" i="5"/>
  <c r="F26841" i="5"/>
  <c r="F26840" i="5"/>
  <c r="F26839" i="5"/>
  <c r="F26838" i="5"/>
  <c r="F26837" i="5"/>
  <c r="F26836" i="5"/>
  <c r="F26835" i="5"/>
  <c r="F26834" i="5"/>
  <c r="F26833" i="5"/>
  <c r="F26832" i="5"/>
  <c r="F26831" i="5"/>
  <c r="F26830" i="5"/>
  <c r="F26829" i="5"/>
  <c r="F26828" i="5"/>
  <c r="F26827" i="5"/>
  <c r="F26826" i="5"/>
  <c r="F26825" i="5"/>
  <c r="F26824" i="5"/>
  <c r="F26823" i="5"/>
  <c r="F26822" i="5"/>
  <c r="F26821" i="5"/>
  <c r="F26820" i="5"/>
  <c r="F26819" i="5"/>
  <c r="F26818" i="5"/>
  <c r="F26817" i="5"/>
  <c r="F26816" i="5"/>
  <c r="F26815" i="5"/>
  <c r="F26814" i="5"/>
  <c r="F26813" i="5"/>
  <c r="F26812" i="5"/>
  <c r="F26811" i="5"/>
  <c r="F26810" i="5"/>
  <c r="F26809" i="5"/>
  <c r="F26808" i="5"/>
  <c r="F26807" i="5"/>
  <c r="F26806" i="5"/>
  <c r="F26805" i="5"/>
  <c r="F26804" i="5"/>
  <c r="F26803" i="5"/>
  <c r="F26802" i="5"/>
  <c r="F26801" i="5"/>
  <c r="F26800" i="5"/>
  <c r="F26799" i="5"/>
  <c r="F26798" i="5"/>
  <c r="F26797" i="5"/>
  <c r="F26796" i="5"/>
  <c r="F26795" i="5"/>
  <c r="F26794" i="5"/>
  <c r="F26793" i="5"/>
  <c r="F26792" i="5"/>
  <c r="F26791" i="5"/>
  <c r="F26790" i="5"/>
  <c r="F26789" i="5"/>
  <c r="F26788" i="5"/>
  <c r="F26787" i="5"/>
  <c r="F26786" i="5"/>
  <c r="F26785" i="5"/>
  <c r="F26784" i="5"/>
  <c r="F26783" i="5"/>
  <c r="F26782" i="5"/>
  <c r="F26781" i="5"/>
  <c r="F26780" i="5"/>
  <c r="F26779" i="5"/>
  <c r="F26778" i="5"/>
  <c r="F26777" i="5"/>
  <c r="F26776" i="5"/>
  <c r="F26775" i="5"/>
  <c r="F26774" i="5"/>
  <c r="F26773" i="5"/>
  <c r="F26772" i="5"/>
  <c r="F26771" i="5"/>
  <c r="F26770" i="5"/>
  <c r="F26769" i="5"/>
  <c r="F26768" i="5"/>
  <c r="F26767" i="5"/>
  <c r="F26766" i="5"/>
  <c r="F26765" i="5"/>
  <c r="F26764" i="5"/>
  <c r="F26763" i="5"/>
  <c r="F26762" i="5"/>
  <c r="F26761" i="5"/>
  <c r="F26760" i="5"/>
  <c r="F26759" i="5"/>
  <c r="F26758" i="5"/>
  <c r="F26757" i="5"/>
  <c r="F26756" i="5"/>
  <c r="F26755" i="5"/>
  <c r="F26754" i="5"/>
  <c r="F26753" i="5"/>
  <c r="F26752" i="5"/>
  <c r="F26751" i="5"/>
  <c r="F26750" i="5"/>
  <c r="F26749" i="5"/>
  <c r="F26748" i="5"/>
  <c r="F26747" i="5"/>
  <c r="F26746" i="5"/>
  <c r="F26745" i="5"/>
  <c r="F26744" i="5"/>
  <c r="F26743" i="5"/>
  <c r="F26742" i="5"/>
  <c r="F26741" i="5"/>
  <c r="F26740" i="5"/>
  <c r="F26739" i="5"/>
  <c r="F26738" i="5"/>
  <c r="F26737" i="5"/>
  <c r="F26736" i="5"/>
  <c r="F26735" i="5"/>
  <c r="F26734" i="5"/>
  <c r="F26733" i="5"/>
  <c r="F26732" i="5"/>
  <c r="F26731" i="5"/>
  <c r="F26730" i="5"/>
  <c r="F26729" i="5"/>
  <c r="F26728" i="5"/>
  <c r="F26727" i="5"/>
  <c r="F26726" i="5"/>
  <c r="F26725" i="5"/>
  <c r="F26724" i="5"/>
  <c r="F26723" i="5"/>
  <c r="F26722" i="5"/>
  <c r="F26721" i="5"/>
  <c r="F26720" i="5"/>
  <c r="F26719" i="5"/>
  <c r="F26718" i="5"/>
  <c r="F26717" i="5"/>
  <c r="F26716" i="5"/>
  <c r="F26715" i="5"/>
  <c r="F26714" i="5"/>
  <c r="F26713" i="5"/>
  <c r="F26712" i="5"/>
  <c r="F26711" i="5"/>
  <c r="F26710" i="5"/>
  <c r="F26709" i="5"/>
  <c r="F26708" i="5"/>
  <c r="F26707" i="5"/>
  <c r="F26706" i="5"/>
  <c r="F26705" i="5"/>
  <c r="F26704" i="5"/>
  <c r="F26703" i="5"/>
  <c r="F26702" i="5"/>
  <c r="F26701" i="5"/>
  <c r="F26700" i="5"/>
  <c r="F26699" i="5"/>
  <c r="F26698" i="5"/>
  <c r="F26697" i="5"/>
  <c r="F26696" i="5"/>
  <c r="F26695" i="5"/>
  <c r="F26694" i="5"/>
  <c r="F26693" i="5"/>
  <c r="F26692" i="5"/>
  <c r="F26691" i="5"/>
  <c r="F26690" i="5"/>
  <c r="F26689" i="5"/>
  <c r="F26688" i="5"/>
  <c r="F26687" i="5"/>
  <c r="F26686" i="5"/>
  <c r="F26685" i="5"/>
  <c r="F26684" i="5"/>
  <c r="F26683" i="5"/>
  <c r="F26682" i="5"/>
  <c r="F26681" i="5"/>
  <c r="F26680" i="5"/>
  <c r="F26679" i="5"/>
  <c r="F26678" i="5"/>
  <c r="F26677" i="5"/>
  <c r="F26676" i="5"/>
  <c r="F26675" i="5"/>
  <c r="F26674" i="5"/>
  <c r="F26673" i="5"/>
  <c r="F26672" i="5"/>
  <c r="F26671" i="5"/>
  <c r="F26670" i="5"/>
  <c r="F26669" i="5"/>
  <c r="F26668" i="5"/>
  <c r="F26667" i="5"/>
  <c r="F26666" i="5"/>
  <c r="F26665" i="5"/>
  <c r="F26664" i="5"/>
  <c r="F26663" i="5"/>
  <c r="F26662" i="5"/>
  <c r="F26661" i="5"/>
  <c r="F26660" i="5"/>
  <c r="F26659" i="5"/>
  <c r="F26658" i="5"/>
  <c r="F26657" i="5"/>
  <c r="F26656" i="5"/>
  <c r="F26655" i="5"/>
  <c r="F26654" i="5"/>
  <c r="F26653" i="5"/>
  <c r="F26652" i="5"/>
  <c r="F26651" i="5"/>
  <c r="F26650" i="5"/>
  <c r="F26649" i="5"/>
  <c r="F26648" i="5"/>
  <c r="F26647" i="5"/>
  <c r="F26646" i="5"/>
  <c r="F26645" i="5"/>
  <c r="F26644" i="5"/>
  <c r="F26643" i="5"/>
  <c r="F26642" i="5"/>
  <c r="F26641" i="5"/>
  <c r="F26640" i="5"/>
  <c r="F26639" i="5"/>
  <c r="F26638" i="5"/>
  <c r="F26637" i="5"/>
  <c r="F26636" i="5"/>
  <c r="F26635" i="5"/>
  <c r="F26634" i="5"/>
  <c r="F26633" i="5"/>
  <c r="F26632" i="5"/>
  <c r="F26631" i="5"/>
  <c r="F26630" i="5"/>
  <c r="F26629" i="5"/>
  <c r="F26628" i="5"/>
  <c r="F26627" i="5"/>
  <c r="F26626" i="5"/>
  <c r="F26625" i="5"/>
  <c r="F26624" i="5"/>
  <c r="F26623" i="5"/>
  <c r="F26622" i="5"/>
  <c r="F26621" i="5"/>
  <c r="F26620" i="5"/>
  <c r="F26619" i="5"/>
  <c r="F26618" i="5"/>
  <c r="F26617" i="5"/>
  <c r="F26616" i="5"/>
  <c r="F26615" i="5"/>
  <c r="F26614" i="5"/>
  <c r="F26613" i="5"/>
  <c r="F26612" i="5"/>
  <c r="F26611" i="5"/>
  <c r="F26610" i="5"/>
  <c r="F26609" i="5"/>
  <c r="F26608" i="5"/>
  <c r="F26607" i="5"/>
  <c r="F26606" i="5"/>
  <c r="F26605" i="5"/>
  <c r="F26604" i="5"/>
  <c r="F26603" i="5"/>
  <c r="F26602" i="5"/>
  <c r="F26601" i="5"/>
  <c r="F26600" i="5"/>
  <c r="F26599" i="5"/>
  <c r="F26598" i="5"/>
  <c r="F26597" i="5"/>
  <c r="F26596" i="5"/>
  <c r="F26595" i="5"/>
  <c r="F26594" i="5"/>
  <c r="F26593" i="5"/>
  <c r="F26592" i="5"/>
  <c r="F26591" i="5"/>
  <c r="F26590" i="5"/>
  <c r="F26589" i="5"/>
  <c r="F26588" i="5"/>
  <c r="F26587" i="5"/>
  <c r="F26586" i="5"/>
  <c r="F26585" i="5"/>
  <c r="F26584" i="5"/>
  <c r="F26583" i="5"/>
  <c r="F26582" i="5"/>
  <c r="F26581" i="5"/>
  <c r="F26580" i="5"/>
  <c r="F26579" i="5"/>
  <c r="F26578" i="5"/>
  <c r="F26577" i="5"/>
  <c r="F26576" i="5"/>
  <c r="F26575" i="5"/>
  <c r="F26574" i="5"/>
  <c r="F26573" i="5"/>
  <c r="F26572" i="5"/>
  <c r="F26571" i="5"/>
  <c r="F26570" i="5"/>
  <c r="F26569" i="5"/>
  <c r="F26568" i="5"/>
  <c r="F26567" i="5"/>
  <c r="F26566" i="5"/>
  <c r="F26565" i="5"/>
  <c r="F26564" i="5"/>
  <c r="F26563" i="5"/>
  <c r="F26562" i="5"/>
  <c r="F26561" i="5"/>
  <c r="F26560" i="5"/>
  <c r="F26559" i="5"/>
  <c r="F26558" i="5"/>
  <c r="F26557" i="5"/>
  <c r="F26556" i="5"/>
  <c r="F26555" i="5"/>
  <c r="F26554" i="5"/>
  <c r="F26553" i="5"/>
  <c r="F26552" i="5"/>
  <c r="F26551" i="5"/>
  <c r="F26550" i="5"/>
  <c r="F26549" i="5"/>
  <c r="F26548" i="5"/>
  <c r="F26547" i="5"/>
  <c r="F26546" i="5"/>
  <c r="F26545" i="5"/>
  <c r="F26544" i="5"/>
  <c r="F26543" i="5"/>
  <c r="F26542" i="5"/>
  <c r="F26541" i="5"/>
  <c r="F26540" i="5"/>
  <c r="F26539" i="5"/>
  <c r="F26538" i="5"/>
  <c r="F26537" i="5"/>
  <c r="F26536" i="5"/>
  <c r="F26535" i="5"/>
  <c r="F26534" i="5"/>
  <c r="F26533" i="5"/>
  <c r="F26532" i="5"/>
  <c r="F26531" i="5"/>
  <c r="F26530" i="5"/>
  <c r="F26529" i="5"/>
  <c r="F26528" i="5"/>
  <c r="F26527" i="5"/>
  <c r="F26526" i="5"/>
  <c r="F26525" i="5"/>
  <c r="F26524" i="5"/>
  <c r="F26523" i="5"/>
  <c r="F26522" i="5"/>
  <c r="F26521" i="5"/>
  <c r="F26520" i="5"/>
  <c r="F26519" i="5"/>
  <c r="F26518" i="5"/>
  <c r="F26517" i="5"/>
  <c r="F26516" i="5"/>
  <c r="F26515" i="5"/>
  <c r="F26514" i="5"/>
  <c r="F26513" i="5"/>
  <c r="F26512" i="5"/>
  <c r="F26511" i="5"/>
  <c r="F26510" i="5"/>
  <c r="F26509" i="5"/>
  <c r="F26508" i="5"/>
  <c r="F26507" i="5"/>
  <c r="F26506" i="5"/>
  <c r="F26505" i="5"/>
  <c r="F26504" i="5"/>
  <c r="F26503" i="5"/>
  <c r="F26502" i="5"/>
  <c r="F26501" i="5"/>
  <c r="F26500" i="5"/>
  <c r="F26499" i="5"/>
  <c r="F26498" i="5"/>
  <c r="F26497" i="5"/>
  <c r="F26496" i="5"/>
  <c r="F26495" i="5"/>
  <c r="F26494" i="5"/>
  <c r="F26493" i="5"/>
  <c r="F26492" i="5"/>
  <c r="F26491" i="5"/>
  <c r="F26490" i="5"/>
  <c r="F26489" i="5"/>
  <c r="F26488" i="5"/>
  <c r="F26487" i="5"/>
  <c r="F26486" i="5"/>
  <c r="F26485" i="5"/>
  <c r="F26484" i="5"/>
  <c r="F26483" i="5"/>
  <c r="F26482" i="5"/>
  <c r="F26481" i="5"/>
  <c r="F26480" i="5"/>
  <c r="F26479" i="5"/>
  <c r="F26478" i="5"/>
  <c r="F26477" i="5"/>
  <c r="F26476" i="5"/>
  <c r="F26475" i="5"/>
  <c r="F26474" i="5"/>
  <c r="F26473" i="5"/>
  <c r="F26472" i="5"/>
  <c r="F26471" i="5"/>
  <c r="F26470" i="5"/>
  <c r="F26469" i="5"/>
  <c r="F26468" i="5"/>
  <c r="F26467" i="5"/>
  <c r="F26466" i="5"/>
  <c r="F26465" i="5"/>
  <c r="F26464" i="5"/>
  <c r="F26463" i="5"/>
  <c r="F26462" i="5"/>
  <c r="F26461" i="5"/>
  <c r="F26460" i="5"/>
  <c r="F26459" i="5"/>
  <c r="F26458" i="5"/>
  <c r="F26457" i="5"/>
  <c r="F26456" i="5"/>
  <c r="F26455" i="5"/>
  <c r="F26454" i="5"/>
  <c r="F26453" i="5"/>
  <c r="F26452" i="5"/>
  <c r="F26451" i="5"/>
  <c r="F26450" i="5"/>
  <c r="F26449" i="5"/>
  <c r="F26448" i="5"/>
  <c r="F26447" i="5"/>
  <c r="F26446" i="5"/>
  <c r="F26445" i="5"/>
  <c r="F26444" i="5"/>
  <c r="F26443" i="5"/>
  <c r="F26442" i="5"/>
  <c r="F26441" i="5"/>
  <c r="F26440" i="5"/>
  <c r="F26439" i="5"/>
  <c r="F26438" i="5"/>
  <c r="F26437" i="5"/>
  <c r="F26436" i="5"/>
  <c r="F26435" i="5"/>
  <c r="F26434" i="5"/>
  <c r="F26433" i="5"/>
  <c r="F26432" i="5"/>
  <c r="F26431" i="5"/>
  <c r="F26430" i="5"/>
  <c r="F26429" i="5"/>
  <c r="F26428" i="5"/>
  <c r="F26427" i="5"/>
  <c r="F26426" i="5"/>
  <c r="F26425" i="5"/>
  <c r="F26424" i="5"/>
  <c r="F26423" i="5"/>
  <c r="F26422" i="5"/>
  <c r="F26421" i="5"/>
  <c r="F26420" i="5"/>
  <c r="F26419" i="5"/>
  <c r="F26418" i="5"/>
  <c r="F26417" i="5"/>
  <c r="F26416" i="5"/>
  <c r="F26415" i="5"/>
  <c r="F26414" i="5"/>
  <c r="F26413" i="5"/>
  <c r="F26412" i="5"/>
  <c r="F26411" i="5"/>
  <c r="F26410" i="5"/>
  <c r="F26409" i="5"/>
  <c r="F26408" i="5"/>
  <c r="F26407" i="5"/>
  <c r="F26406" i="5"/>
  <c r="F26405" i="5"/>
  <c r="F26404" i="5"/>
  <c r="F26403" i="5"/>
  <c r="F26402" i="5"/>
  <c r="F26401" i="5"/>
  <c r="F26400" i="5"/>
  <c r="F26399" i="5"/>
  <c r="F26398" i="5"/>
  <c r="F26397" i="5"/>
  <c r="F26396" i="5"/>
  <c r="F26395" i="5"/>
  <c r="F26394" i="5"/>
  <c r="F26393" i="5"/>
  <c r="F26392" i="5"/>
  <c r="F26391" i="5"/>
  <c r="F26390" i="5"/>
  <c r="F26389" i="5"/>
  <c r="F26388" i="5"/>
  <c r="F26387" i="5"/>
  <c r="F26386" i="5"/>
  <c r="F26385" i="5"/>
  <c r="F26384" i="5"/>
  <c r="F26383" i="5"/>
  <c r="F26382" i="5"/>
  <c r="F26381" i="5"/>
  <c r="F26380" i="5"/>
  <c r="F26379" i="5"/>
  <c r="F26378" i="5"/>
  <c r="F26377" i="5"/>
  <c r="F26376" i="5"/>
  <c r="F26375" i="5"/>
  <c r="F26374" i="5"/>
  <c r="F26373" i="5"/>
  <c r="F26372" i="5"/>
  <c r="F26371" i="5"/>
  <c r="F26370" i="5"/>
  <c r="F26369" i="5"/>
  <c r="F26368" i="5"/>
  <c r="F26367" i="5"/>
  <c r="F26366" i="5"/>
  <c r="F26365" i="5"/>
  <c r="F26364" i="5"/>
  <c r="F26363" i="5"/>
  <c r="F26362" i="5"/>
  <c r="F26361" i="5"/>
  <c r="F26360" i="5"/>
  <c r="F26359" i="5"/>
  <c r="F26358" i="5"/>
  <c r="F26357" i="5"/>
  <c r="F26356" i="5"/>
  <c r="F26355" i="5"/>
  <c r="F26354" i="5"/>
  <c r="F26353" i="5"/>
  <c r="F26352" i="5"/>
  <c r="F26351" i="5"/>
  <c r="F26350" i="5"/>
  <c r="F26349" i="5"/>
  <c r="F26348" i="5"/>
  <c r="F26347" i="5"/>
  <c r="F26346" i="5"/>
  <c r="F26345" i="5"/>
  <c r="F26344" i="5"/>
  <c r="F26343" i="5"/>
  <c r="F26342" i="5"/>
  <c r="F26341" i="5"/>
  <c r="F26340" i="5"/>
  <c r="F26339" i="5"/>
  <c r="F26338" i="5"/>
  <c r="F26337" i="5"/>
  <c r="F26336" i="5"/>
  <c r="F26335" i="5"/>
  <c r="F26334" i="5"/>
  <c r="F26333" i="5"/>
  <c r="F26332" i="5"/>
  <c r="F26331" i="5"/>
  <c r="F26330" i="5"/>
  <c r="F26329" i="5"/>
  <c r="F26328" i="5"/>
  <c r="F26327" i="5"/>
  <c r="F26326" i="5"/>
  <c r="F26325" i="5"/>
  <c r="F26324" i="5"/>
  <c r="F26323" i="5"/>
  <c r="F26322" i="5"/>
  <c r="F26321" i="5"/>
  <c r="F26320" i="5"/>
  <c r="F26319" i="5"/>
  <c r="F26318" i="5"/>
  <c r="F26317" i="5"/>
  <c r="F26316" i="5"/>
  <c r="F26315" i="5"/>
  <c r="F26314" i="5"/>
  <c r="F26313" i="5"/>
  <c r="F26312" i="5"/>
  <c r="F26311" i="5"/>
  <c r="F26310" i="5"/>
  <c r="F26309" i="5"/>
  <c r="F26308" i="5"/>
  <c r="F26307" i="5"/>
  <c r="F26306" i="5"/>
  <c r="F26305" i="5"/>
  <c r="F26304" i="5"/>
  <c r="F26303" i="5"/>
  <c r="F26302" i="5"/>
  <c r="F26301" i="5"/>
  <c r="F26300" i="5"/>
  <c r="F26299" i="5"/>
  <c r="F26298" i="5"/>
  <c r="F26297" i="5"/>
  <c r="F26296" i="5"/>
  <c r="F26295" i="5"/>
  <c r="F26294" i="5"/>
  <c r="F26293" i="5"/>
  <c r="F26292" i="5"/>
  <c r="F26291" i="5"/>
  <c r="F26290" i="5"/>
  <c r="F26289" i="5"/>
  <c r="F26288" i="5"/>
  <c r="F26287" i="5"/>
  <c r="F26286" i="5"/>
  <c r="F26285" i="5"/>
  <c r="F26284" i="5"/>
  <c r="F26283" i="5"/>
  <c r="F26282" i="5"/>
  <c r="F26281" i="5"/>
  <c r="F26280" i="5"/>
  <c r="F26279" i="5"/>
  <c r="F26278" i="5"/>
  <c r="F26277" i="5"/>
  <c r="F26276" i="5"/>
  <c r="F26275" i="5"/>
  <c r="F26274" i="5"/>
  <c r="F26273" i="5"/>
  <c r="F26272" i="5"/>
  <c r="F26271" i="5"/>
  <c r="F26270" i="5"/>
  <c r="F26269" i="5"/>
  <c r="F26268" i="5"/>
  <c r="F26267" i="5"/>
  <c r="F26266" i="5"/>
  <c r="F26265" i="5"/>
  <c r="F26264" i="5"/>
  <c r="F26263" i="5"/>
  <c r="F26262" i="5"/>
  <c r="F26261" i="5"/>
  <c r="F26260" i="5"/>
  <c r="F26259" i="5"/>
  <c r="F26258" i="5"/>
  <c r="F26257" i="5"/>
  <c r="F26256" i="5"/>
  <c r="F26255" i="5"/>
  <c r="F26254" i="5"/>
  <c r="F26253" i="5"/>
  <c r="F26252" i="5"/>
  <c r="F26251" i="5"/>
  <c r="F26250" i="5"/>
  <c r="F26249" i="5"/>
  <c r="F26248" i="5"/>
  <c r="F26247" i="5"/>
  <c r="F26246" i="5"/>
  <c r="F26245" i="5"/>
  <c r="F26244" i="5"/>
  <c r="F26243" i="5"/>
  <c r="F26242" i="5"/>
  <c r="F26241" i="5"/>
  <c r="F26240" i="5"/>
  <c r="F26239" i="5"/>
  <c r="F26238" i="5"/>
  <c r="F26237" i="5"/>
  <c r="F26236" i="5"/>
  <c r="F26235" i="5"/>
  <c r="F26234" i="5"/>
  <c r="F26233" i="5"/>
  <c r="F26232" i="5"/>
  <c r="F26231" i="5"/>
  <c r="F26230" i="5"/>
  <c r="F26229" i="5"/>
  <c r="F26228" i="5"/>
  <c r="F26227" i="5"/>
  <c r="F26226" i="5"/>
  <c r="F26225" i="5"/>
  <c r="F26224" i="5"/>
  <c r="F26223" i="5"/>
  <c r="F26222" i="5"/>
  <c r="F26221" i="5"/>
  <c r="F26220" i="5"/>
  <c r="F26219" i="5"/>
  <c r="F26218" i="5"/>
  <c r="F26217" i="5"/>
  <c r="F26216" i="5"/>
  <c r="F26215" i="5"/>
  <c r="F26214" i="5"/>
  <c r="F26213" i="5"/>
  <c r="F26212" i="5"/>
  <c r="F26211" i="5"/>
  <c r="F26210" i="5"/>
  <c r="F26209" i="5"/>
  <c r="F26208" i="5"/>
  <c r="F26207" i="5"/>
  <c r="F26206" i="5"/>
  <c r="F26205" i="5"/>
  <c r="F26204" i="5"/>
  <c r="F26203" i="5"/>
  <c r="F26202" i="5"/>
  <c r="F26201" i="5"/>
  <c r="F26200" i="5"/>
  <c r="F26199" i="5"/>
  <c r="F26198" i="5"/>
  <c r="F26197" i="5"/>
  <c r="F26196" i="5"/>
  <c r="F26195" i="5"/>
  <c r="F26194" i="5"/>
  <c r="F26193" i="5"/>
  <c r="F26192" i="5"/>
  <c r="F26191" i="5"/>
  <c r="F26190" i="5"/>
  <c r="F26189" i="5"/>
  <c r="F26188" i="5"/>
  <c r="F26187" i="5"/>
  <c r="F26186" i="5"/>
  <c r="F26185" i="5"/>
  <c r="F26184" i="5"/>
  <c r="F26183" i="5"/>
  <c r="F26182" i="5"/>
  <c r="F26181" i="5"/>
  <c r="F26180" i="5"/>
  <c r="F26179" i="5"/>
  <c r="F26178" i="5"/>
  <c r="F26177" i="5"/>
  <c r="F26176" i="5"/>
  <c r="F26175" i="5"/>
  <c r="F26174" i="5"/>
  <c r="F26173" i="5"/>
  <c r="F26172" i="5"/>
  <c r="F26171" i="5"/>
  <c r="F26170" i="5"/>
  <c r="F26169" i="5"/>
  <c r="F26168" i="5"/>
  <c r="F26167" i="5"/>
  <c r="F26166" i="5"/>
  <c r="F26165" i="5"/>
  <c r="F26164" i="5"/>
  <c r="F26163" i="5"/>
  <c r="F26162" i="5"/>
  <c r="F26161" i="5"/>
  <c r="F26160" i="5"/>
  <c r="F26159" i="5"/>
  <c r="F26158" i="5"/>
  <c r="F26157" i="5"/>
  <c r="F26156" i="5"/>
  <c r="F26155" i="5"/>
  <c r="F26154" i="5"/>
  <c r="F26153" i="5"/>
  <c r="F26152" i="5"/>
  <c r="F26151" i="5"/>
  <c r="F26150" i="5"/>
  <c r="F26149" i="5"/>
  <c r="F26148" i="5"/>
  <c r="F26147" i="5"/>
  <c r="F26146" i="5"/>
  <c r="F26145" i="5"/>
  <c r="F26144" i="5"/>
  <c r="F26143" i="5"/>
  <c r="F26142" i="5"/>
  <c r="F26141" i="5"/>
  <c r="F26140" i="5"/>
  <c r="F26139" i="5"/>
  <c r="F26138" i="5"/>
  <c r="F26137" i="5"/>
  <c r="F26136" i="5"/>
  <c r="F26135" i="5"/>
  <c r="F26134" i="5"/>
  <c r="F26133" i="5"/>
  <c r="F26132" i="5"/>
  <c r="F26131" i="5"/>
  <c r="F26130" i="5"/>
  <c r="F26129" i="5"/>
  <c r="F26128" i="5"/>
  <c r="F26127" i="5"/>
  <c r="F26126" i="5"/>
  <c r="F26125" i="5"/>
  <c r="F26124" i="5"/>
  <c r="F26123" i="5"/>
  <c r="F26122" i="5"/>
  <c r="F26121" i="5"/>
  <c r="F26120" i="5"/>
  <c r="F26119" i="5"/>
  <c r="F26118" i="5"/>
  <c r="F26117" i="5"/>
  <c r="F26116" i="5"/>
  <c r="F26115" i="5"/>
  <c r="F26114" i="5"/>
  <c r="F26113" i="5"/>
  <c r="F26112" i="5"/>
  <c r="F26111" i="5"/>
  <c r="F26110" i="5"/>
  <c r="F26109" i="5"/>
  <c r="F26108" i="5"/>
  <c r="F26107" i="5"/>
  <c r="F26106" i="5"/>
  <c r="F26105" i="5"/>
  <c r="F26104" i="5"/>
  <c r="F26103" i="5"/>
  <c r="F26102" i="5"/>
  <c r="F26101" i="5"/>
  <c r="F26100" i="5"/>
  <c r="F26099" i="5"/>
  <c r="F26098" i="5"/>
  <c r="F26097" i="5"/>
  <c r="F26096" i="5"/>
  <c r="F26095" i="5"/>
  <c r="F26094" i="5"/>
  <c r="F26093" i="5"/>
  <c r="F26092" i="5"/>
  <c r="F26091" i="5"/>
  <c r="F26090" i="5"/>
  <c r="F26089" i="5"/>
  <c r="F26088" i="5"/>
  <c r="F26087" i="5"/>
  <c r="F26086" i="5"/>
  <c r="F26085" i="5"/>
  <c r="F26084" i="5"/>
  <c r="F26083" i="5"/>
  <c r="F26082" i="5"/>
  <c r="F26081" i="5"/>
  <c r="F26080" i="5"/>
  <c r="F26079" i="5"/>
  <c r="F26078" i="5"/>
  <c r="F26077" i="5"/>
  <c r="F26076" i="5"/>
  <c r="F26075" i="5"/>
  <c r="F26074" i="5"/>
  <c r="F26073" i="5"/>
  <c r="F26072" i="5"/>
  <c r="F26071" i="5"/>
  <c r="F26070" i="5"/>
  <c r="F26069" i="5"/>
  <c r="F26068" i="5"/>
  <c r="F26067" i="5"/>
  <c r="F26066" i="5"/>
  <c r="F26065" i="5"/>
  <c r="F26064" i="5"/>
  <c r="F26063" i="5"/>
  <c r="F26062" i="5"/>
  <c r="F26061" i="5"/>
  <c r="F26060" i="5"/>
  <c r="F26059" i="5"/>
  <c r="F26058" i="5"/>
  <c r="F26057" i="5"/>
  <c r="F26056" i="5"/>
  <c r="F26055" i="5"/>
  <c r="F26054" i="5"/>
  <c r="F26053" i="5"/>
  <c r="F26052" i="5"/>
  <c r="F26051" i="5"/>
  <c r="F26050" i="5"/>
  <c r="F26049" i="5"/>
  <c r="F26048" i="5"/>
  <c r="F26047" i="5"/>
  <c r="F26046" i="5"/>
  <c r="F26045" i="5"/>
  <c r="F26044" i="5"/>
  <c r="F26043" i="5"/>
  <c r="F26042" i="5"/>
  <c r="F26041" i="5"/>
  <c r="F26040" i="5"/>
  <c r="F26039" i="5"/>
  <c r="F26038" i="5"/>
  <c r="F26037" i="5"/>
  <c r="F26036" i="5"/>
  <c r="F26035" i="5"/>
  <c r="F26034" i="5"/>
  <c r="F26033" i="5"/>
  <c r="F26032" i="5"/>
  <c r="F26031" i="5"/>
  <c r="F26030" i="5"/>
  <c r="F26029" i="5"/>
  <c r="F26028" i="5"/>
  <c r="F26027" i="5"/>
  <c r="F26026" i="5"/>
  <c r="F26025" i="5"/>
  <c r="F26024" i="5"/>
  <c r="F26023" i="5"/>
  <c r="F26022" i="5"/>
  <c r="F26021" i="5"/>
  <c r="F26020" i="5"/>
  <c r="F26019" i="5"/>
  <c r="F26018" i="5"/>
  <c r="F26017" i="5"/>
  <c r="F26016" i="5"/>
  <c r="F26015" i="5"/>
  <c r="F26014" i="5"/>
  <c r="F26013" i="5"/>
  <c r="F26012" i="5"/>
  <c r="F26011" i="5"/>
  <c r="F26010" i="5"/>
  <c r="F26009" i="5"/>
  <c r="F26008" i="5"/>
  <c r="F26007" i="5"/>
  <c r="F26006" i="5"/>
  <c r="F26005" i="5"/>
  <c r="F26004" i="5"/>
  <c r="F26003" i="5"/>
  <c r="F26002" i="5"/>
  <c r="F26001" i="5"/>
  <c r="F26000" i="5"/>
  <c r="F25999" i="5"/>
  <c r="F25998" i="5"/>
  <c r="F25997" i="5"/>
  <c r="F25996" i="5"/>
  <c r="F25995" i="5"/>
  <c r="F25994" i="5"/>
  <c r="F25993" i="5"/>
  <c r="F25992" i="5"/>
  <c r="F25991" i="5"/>
  <c r="F25990" i="5"/>
  <c r="F25989" i="5"/>
  <c r="F25988" i="5"/>
  <c r="F25987" i="5"/>
  <c r="F25986" i="5"/>
  <c r="F25985" i="5"/>
  <c r="F25984" i="5"/>
  <c r="F25983" i="5"/>
  <c r="F25982" i="5"/>
  <c r="F25981" i="5"/>
  <c r="F25980" i="5"/>
  <c r="F25979" i="5"/>
  <c r="F25978" i="5"/>
  <c r="F25977" i="5"/>
  <c r="F25976" i="5"/>
  <c r="F25975" i="5"/>
  <c r="F25974" i="5"/>
  <c r="F25973" i="5"/>
  <c r="F25972" i="5"/>
  <c r="F25971" i="5"/>
  <c r="F25970" i="5"/>
  <c r="F25969" i="5"/>
  <c r="F25968" i="5"/>
  <c r="F25967" i="5"/>
  <c r="F25966" i="5"/>
  <c r="F25965" i="5"/>
  <c r="F25964" i="5"/>
  <c r="F25963" i="5"/>
  <c r="F25962" i="5"/>
  <c r="F25961" i="5"/>
  <c r="F25960" i="5"/>
  <c r="F25959" i="5"/>
  <c r="F25958" i="5"/>
  <c r="F25957" i="5"/>
  <c r="F25956" i="5"/>
  <c r="F25955" i="5"/>
  <c r="F25954" i="5"/>
  <c r="F25953" i="5"/>
  <c r="F25952" i="5"/>
  <c r="F25951" i="5"/>
  <c r="F25950" i="5"/>
  <c r="F25949" i="5"/>
  <c r="F25948" i="5"/>
  <c r="F25947" i="5"/>
  <c r="F25946" i="5"/>
  <c r="F25945" i="5"/>
  <c r="F25944" i="5"/>
  <c r="F25943" i="5"/>
  <c r="F25942" i="5"/>
  <c r="F25941" i="5"/>
  <c r="F25940" i="5"/>
  <c r="F25939" i="5"/>
  <c r="F25938" i="5"/>
  <c r="F25937" i="5"/>
  <c r="F25936" i="5"/>
  <c r="F25935" i="5"/>
  <c r="F25934" i="5"/>
  <c r="F25933" i="5"/>
  <c r="F25932" i="5"/>
  <c r="F25931" i="5"/>
  <c r="F25930" i="5"/>
  <c r="F25929" i="5"/>
  <c r="F25928" i="5"/>
  <c r="F25927" i="5"/>
  <c r="F25926" i="5"/>
  <c r="F25925" i="5"/>
  <c r="F25924" i="5"/>
  <c r="F25923" i="5"/>
  <c r="F25922" i="5"/>
  <c r="F25921" i="5"/>
  <c r="F25920" i="5"/>
  <c r="F25919" i="5"/>
  <c r="F25918" i="5"/>
  <c r="F25917" i="5"/>
  <c r="F25916" i="5"/>
  <c r="F25915" i="5"/>
  <c r="F25914" i="5"/>
  <c r="F25913" i="5"/>
  <c r="F25912" i="5"/>
  <c r="F25911" i="5"/>
  <c r="F25910" i="5"/>
  <c r="F25909" i="5"/>
  <c r="F25908" i="5"/>
  <c r="F25907" i="5"/>
  <c r="F25906" i="5"/>
  <c r="F25905" i="5"/>
  <c r="F25904" i="5"/>
  <c r="F25903" i="5"/>
  <c r="F25902" i="5"/>
  <c r="F25901" i="5"/>
  <c r="F25900" i="5"/>
  <c r="F25899" i="5"/>
  <c r="F25898" i="5"/>
  <c r="F25897" i="5"/>
  <c r="F25896" i="5"/>
  <c r="F25895" i="5"/>
  <c r="F25894" i="5"/>
  <c r="F25893" i="5"/>
  <c r="F25892" i="5"/>
  <c r="F25891" i="5"/>
  <c r="F25890" i="5"/>
  <c r="F25889" i="5"/>
  <c r="F25888" i="5"/>
  <c r="F25887" i="5"/>
  <c r="F25886" i="5"/>
  <c r="F25885" i="5"/>
  <c r="F25884" i="5"/>
  <c r="F25883" i="5"/>
  <c r="F25882" i="5"/>
  <c r="F25881" i="5"/>
  <c r="F25880" i="5"/>
  <c r="F25879" i="5"/>
  <c r="F25878" i="5"/>
  <c r="F25877" i="5"/>
  <c r="F25876" i="5"/>
  <c r="F25875" i="5"/>
  <c r="F25874" i="5"/>
  <c r="F25873" i="5"/>
  <c r="F25872" i="5"/>
  <c r="F25871" i="5"/>
  <c r="F25870" i="5"/>
  <c r="F25869" i="5"/>
  <c r="F25868" i="5"/>
  <c r="F25867" i="5"/>
  <c r="F25866" i="5"/>
  <c r="F25865" i="5"/>
  <c r="F25864" i="5"/>
  <c r="F25863" i="5"/>
  <c r="F25862" i="5"/>
  <c r="F25861" i="5"/>
  <c r="F25860" i="5"/>
  <c r="F25859" i="5"/>
  <c r="F25858" i="5"/>
  <c r="F25857" i="5"/>
  <c r="F25856" i="5"/>
  <c r="F25855" i="5"/>
  <c r="F25854" i="5"/>
  <c r="F25853" i="5"/>
  <c r="F25852" i="5"/>
  <c r="F25851" i="5"/>
  <c r="F25850" i="5"/>
  <c r="F25849" i="5"/>
  <c r="F25848" i="5"/>
  <c r="F25847" i="5"/>
  <c r="F25846" i="5"/>
  <c r="F25845" i="5"/>
  <c r="F25844" i="5"/>
  <c r="F25843" i="5"/>
  <c r="F25842" i="5"/>
  <c r="F25841" i="5"/>
  <c r="F25840" i="5"/>
  <c r="F25839" i="5"/>
  <c r="F25838" i="5"/>
  <c r="F25837" i="5"/>
  <c r="F25836" i="5"/>
  <c r="F25835" i="5"/>
  <c r="F25834" i="5"/>
  <c r="F25833" i="5"/>
  <c r="F25832" i="5"/>
  <c r="F25831" i="5"/>
  <c r="F25830" i="5"/>
  <c r="F25829" i="5"/>
  <c r="F25828" i="5"/>
  <c r="F25827" i="5"/>
  <c r="F25826" i="5"/>
  <c r="F25825" i="5"/>
  <c r="F25824" i="5"/>
  <c r="F25823" i="5"/>
  <c r="F25822" i="5"/>
  <c r="F25821" i="5"/>
  <c r="F25820" i="5"/>
  <c r="F25819" i="5"/>
  <c r="F25818" i="5"/>
  <c r="F25817" i="5"/>
  <c r="F25816" i="5"/>
  <c r="F25815" i="5"/>
  <c r="F25814" i="5"/>
  <c r="F25813" i="5"/>
  <c r="F25812" i="5"/>
  <c r="F25811" i="5"/>
  <c r="F25810" i="5"/>
  <c r="F25809" i="5"/>
  <c r="F25808" i="5"/>
  <c r="F25807" i="5"/>
  <c r="F25806" i="5"/>
  <c r="F25805" i="5"/>
  <c r="F25804" i="5"/>
  <c r="F25803" i="5"/>
  <c r="F25802" i="5"/>
  <c r="F25801" i="5"/>
  <c r="F25800" i="5"/>
  <c r="F25799" i="5"/>
  <c r="F25798" i="5"/>
  <c r="F25797" i="5"/>
  <c r="F25796" i="5"/>
  <c r="F25795" i="5"/>
  <c r="F25794" i="5"/>
  <c r="F25793" i="5"/>
  <c r="F25792" i="5"/>
  <c r="F25791" i="5"/>
  <c r="F25790" i="5"/>
  <c r="F25789" i="5"/>
  <c r="F25788" i="5"/>
  <c r="F25787" i="5"/>
  <c r="F25786" i="5"/>
  <c r="F25785" i="5"/>
  <c r="F25784" i="5"/>
  <c r="F25783" i="5"/>
  <c r="F25782" i="5"/>
  <c r="F25781" i="5"/>
  <c r="F25780" i="5"/>
  <c r="F25779" i="5"/>
  <c r="F25778" i="5"/>
  <c r="F25777" i="5"/>
  <c r="F25776" i="5"/>
  <c r="F25775" i="5"/>
  <c r="F25774" i="5"/>
  <c r="F25773" i="5"/>
  <c r="F25772" i="5"/>
  <c r="F25771" i="5"/>
  <c r="F25770" i="5"/>
  <c r="F25769" i="5"/>
  <c r="F25768" i="5"/>
  <c r="F25767" i="5"/>
  <c r="F25766" i="5"/>
  <c r="F25765" i="5"/>
  <c r="F25764" i="5"/>
  <c r="F25763" i="5"/>
  <c r="F25762" i="5"/>
  <c r="F25761" i="5"/>
  <c r="F25760" i="5"/>
  <c r="F25759" i="5"/>
  <c r="F25758" i="5"/>
  <c r="F25757" i="5"/>
  <c r="F25756" i="5"/>
  <c r="F25755" i="5"/>
  <c r="F25754" i="5"/>
  <c r="F25753" i="5"/>
  <c r="F25752" i="5"/>
  <c r="F25751" i="5"/>
  <c r="F25750" i="5"/>
  <c r="F25749" i="5"/>
  <c r="F25748" i="5"/>
  <c r="F25747" i="5"/>
  <c r="F25746" i="5"/>
  <c r="F25745" i="5"/>
  <c r="F25744" i="5"/>
  <c r="F25743" i="5"/>
  <c r="F25742" i="5"/>
  <c r="F25741" i="5"/>
  <c r="F25740" i="5"/>
  <c r="F25739" i="5"/>
  <c r="F25738" i="5"/>
  <c r="F25737" i="5"/>
  <c r="F25736" i="5"/>
  <c r="F25735" i="5"/>
  <c r="F25734" i="5"/>
  <c r="F25733" i="5"/>
  <c r="F25732" i="5"/>
  <c r="F25731" i="5"/>
  <c r="F25730" i="5"/>
  <c r="F25729" i="5"/>
  <c r="F25728" i="5"/>
  <c r="F25727" i="5"/>
  <c r="F25726" i="5"/>
  <c r="F25725" i="5"/>
  <c r="F25724" i="5"/>
  <c r="F25723" i="5"/>
  <c r="F25722" i="5"/>
  <c r="F25721" i="5"/>
  <c r="F25720" i="5"/>
  <c r="F25719" i="5"/>
  <c r="F25718" i="5"/>
  <c r="F25717" i="5"/>
  <c r="F25716" i="5"/>
  <c r="F25715" i="5"/>
  <c r="F25714" i="5"/>
  <c r="F25713" i="5"/>
  <c r="F25712" i="5"/>
  <c r="F25711" i="5"/>
  <c r="F25710" i="5"/>
  <c r="F25709" i="5"/>
  <c r="F25708" i="5"/>
  <c r="F25707" i="5"/>
  <c r="F25706" i="5"/>
  <c r="F25705" i="5"/>
  <c r="F25704" i="5"/>
  <c r="F25703" i="5"/>
  <c r="F25702" i="5"/>
  <c r="F25701" i="5"/>
  <c r="F25700" i="5"/>
  <c r="F25699" i="5"/>
  <c r="F25698" i="5"/>
  <c r="F25697" i="5"/>
  <c r="F25696" i="5"/>
  <c r="F25695" i="5"/>
  <c r="F25694" i="5"/>
  <c r="F25693" i="5"/>
  <c r="F25692" i="5"/>
  <c r="F25691" i="5"/>
  <c r="F25690" i="5"/>
  <c r="F25689" i="5"/>
  <c r="F25688" i="5"/>
  <c r="F25687" i="5"/>
  <c r="F25686" i="5"/>
  <c r="F25685" i="5"/>
  <c r="F25684" i="5"/>
  <c r="F25683" i="5"/>
  <c r="F25682" i="5"/>
  <c r="F25681" i="5"/>
  <c r="F25680" i="5"/>
  <c r="F25679" i="5"/>
  <c r="F25678" i="5"/>
  <c r="F25677" i="5"/>
  <c r="F25676" i="5"/>
  <c r="F25675" i="5"/>
  <c r="F25674" i="5"/>
  <c r="F25673" i="5"/>
  <c r="F25672" i="5"/>
  <c r="F25671" i="5"/>
  <c r="F25670" i="5"/>
  <c r="F25669" i="5"/>
  <c r="F25668" i="5"/>
  <c r="F25667" i="5"/>
  <c r="F25666" i="5"/>
  <c r="F25665" i="5"/>
  <c r="F25664" i="5"/>
  <c r="F25663" i="5"/>
  <c r="F25662" i="5"/>
  <c r="F25661" i="5"/>
  <c r="F25660" i="5"/>
  <c r="F25659" i="5"/>
  <c r="F25658" i="5"/>
  <c r="F25657" i="5"/>
  <c r="F25656" i="5"/>
  <c r="F25655" i="5"/>
  <c r="F25654" i="5"/>
  <c r="F25653" i="5"/>
  <c r="F25652" i="5"/>
  <c r="F25651" i="5"/>
  <c r="F25650" i="5"/>
  <c r="F25649" i="5"/>
  <c r="F25648" i="5"/>
  <c r="F25647" i="5"/>
  <c r="F25646" i="5"/>
  <c r="F25645" i="5"/>
  <c r="F25644" i="5"/>
  <c r="F25643" i="5"/>
  <c r="F25642" i="5"/>
  <c r="F25641" i="5"/>
  <c r="F25640" i="5"/>
  <c r="F25639" i="5"/>
  <c r="F25638" i="5"/>
  <c r="F25637" i="5"/>
  <c r="F25636" i="5"/>
  <c r="F25635" i="5"/>
  <c r="F25634" i="5"/>
  <c r="F25633" i="5"/>
  <c r="F25632" i="5"/>
  <c r="F25631" i="5"/>
  <c r="F25630" i="5"/>
  <c r="F25629" i="5"/>
  <c r="F25628" i="5"/>
  <c r="F25627" i="5"/>
  <c r="F25626" i="5"/>
  <c r="F25625" i="5"/>
  <c r="F25624" i="5"/>
  <c r="F25623" i="5"/>
  <c r="F25622" i="5"/>
  <c r="F25621" i="5"/>
  <c r="F25620" i="5"/>
  <c r="F25619" i="5"/>
  <c r="F25618" i="5"/>
  <c r="F25617" i="5"/>
  <c r="F25616" i="5"/>
  <c r="F25615" i="5"/>
  <c r="F25614" i="5"/>
  <c r="F25613" i="5"/>
  <c r="F25612" i="5"/>
  <c r="F25611" i="5"/>
  <c r="F25610" i="5"/>
  <c r="F25609" i="5"/>
  <c r="F25608" i="5"/>
  <c r="F25607" i="5"/>
  <c r="F25606" i="5"/>
  <c r="F25605" i="5"/>
  <c r="F25604" i="5"/>
  <c r="F25603" i="5"/>
  <c r="F25602" i="5"/>
  <c r="F25601" i="5"/>
  <c r="F25600" i="5"/>
  <c r="F25599" i="5"/>
  <c r="F25598" i="5"/>
  <c r="F25597" i="5"/>
  <c r="F25596" i="5"/>
  <c r="F25595" i="5"/>
  <c r="F25594" i="5"/>
  <c r="F25593" i="5"/>
  <c r="F25592" i="5"/>
  <c r="F25591" i="5"/>
  <c r="F25590" i="5"/>
  <c r="F25589" i="5"/>
  <c r="F25588" i="5"/>
  <c r="F25587" i="5"/>
  <c r="F25586" i="5"/>
  <c r="F25585" i="5"/>
  <c r="F25584" i="5"/>
  <c r="F25583" i="5"/>
  <c r="F25582" i="5"/>
  <c r="F25581" i="5"/>
  <c r="F25580" i="5"/>
  <c r="F25579" i="5"/>
  <c r="F25578" i="5"/>
  <c r="F25577" i="5"/>
  <c r="F25576" i="5"/>
  <c r="F25575" i="5"/>
  <c r="F25574" i="5"/>
  <c r="F25573" i="5"/>
  <c r="F25572" i="5"/>
  <c r="F25571" i="5"/>
  <c r="F25570" i="5"/>
  <c r="F25569" i="5"/>
  <c r="F25568" i="5"/>
  <c r="F25567" i="5"/>
  <c r="F25566" i="5"/>
  <c r="F25565" i="5"/>
  <c r="F25564" i="5"/>
  <c r="F25563" i="5"/>
  <c r="F25562" i="5"/>
  <c r="F25561" i="5"/>
  <c r="F25560" i="5"/>
  <c r="F25559" i="5"/>
  <c r="F25558" i="5"/>
  <c r="F25557" i="5"/>
  <c r="F25556" i="5"/>
  <c r="F25555" i="5"/>
  <c r="F25554" i="5"/>
  <c r="F25553" i="5"/>
  <c r="F25552" i="5"/>
  <c r="F25551" i="5"/>
  <c r="F25550" i="5"/>
  <c r="F25549" i="5"/>
  <c r="F25548" i="5"/>
  <c r="F25547" i="5"/>
  <c r="F25546" i="5"/>
  <c r="F25545" i="5"/>
  <c r="F25544" i="5"/>
  <c r="F25543" i="5"/>
  <c r="F25542" i="5"/>
  <c r="F25541" i="5"/>
  <c r="F25540" i="5"/>
  <c r="F25539" i="5"/>
  <c r="F25538" i="5"/>
  <c r="F25537" i="5"/>
  <c r="F25536" i="5"/>
  <c r="F25535" i="5"/>
  <c r="F25534" i="5"/>
  <c r="F25533" i="5"/>
  <c r="F25532" i="5"/>
  <c r="F25531" i="5"/>
  <c r="F25530" i="5"/>
  <c r="F25529" i="5"/>
  <c r="F25528" i="5"/>
  <c r="F25527" i="5"/>
  <c r="F25526" i="5"/>
  <c r="F25525" i="5"/>
  <c r="F25524" i="5"/>
  <c r="F25523" i="5"/>
  <c r="F25522" i="5"/>
  <c r="F25521" i="5"/>
  <c r="F25520" i="5"/>
  <c r="F25519" i="5"/>
  <c r="F25518" i="5"/>
  <c r="F25517" i="5"/>
  <c r="F25516" i="5"/>
  <c r="F25515" i="5"/>
  <c r="F25514" i="5"/>
  <c r="F25513" i="5"/>
  <c r="F25512" i="5"/>
  <c r="F25511" i="5"/>
  <c r="F25510" i="5"/>
  <c r="F25509" i="5"/>
  <c r="F25508" i="5"/>
  <c r="F25507" i="5"/>
  <c r="F25506" i="5"/>
  <c r="F25505" i="5"/>
  <c r="F25504" i="5"/>
  <c r="F25503" i="5"/>
  <c r="F25502" i="5"/>
  <c r="F25501" i="5"/>
  <c r="F25500" i="5"/>
  <c r="F25499" i="5"/>
  <c r="F25498" i="5"/>
  <c r="F25497" i="5"/>
  <c r="F25496" i="5"/>
  <c r="F25495" i="5"/>
  <c r="F25494" i="5"/>
  <c r="F25493" i="5"/>
  <c r="F25492" i="5"/>
  <c r="F25491" i="5"/>
  <c r="F25490" i="5"/>
  <c r="F25489" i="5"/>
  <c r="F25488" i="5"/>
  <c r="F25487" i="5"/>
  <c r="F25486" i="5"/>
  <c r="F25485" i="5"/>
  <c r="F25484" i="5"/>
  <c r="F25483" i="5"/>
  <c r="F25482" i="5"/>
  <c r="F25481" i="5"/>
  <c r="F25480" i="5"/>
  <c r="F25479" i="5"/>
  <c r="F25478" i="5"/>
  <c r="F25477" i="5"/>
  <c r="F25476" i="5"/>
  <c r="F25475" i="5"/>
  <c r="F25474" i="5"/>
  <c r="F25473" i="5"/>
  <c r="F25472" i="5"/>
  <c r="F25471" i="5"/>
  <c r="F25470" i="5"/>
  <c r="F25469" i="5"/>
  <c r="F25468" i="5"/>
  <c r="F25467" i="5"/>
  <c r="F25466" i="5"/>
  <c r="F25465" i="5"/>
  <c r="F25464" i="5"/>
  <c r="F25463" i="5"/>
  <c r="F25462" i="5"/>
  <c r="F25461" i="5"/>
  <c r="F25460" i="5"/>
  <c r="F25459" i="5"/>
  <c r="F25458" i="5"/>
  <c r="F25457" i="5"/>
  <c r="F25456" i="5"/>
  <c r="F25455" i="5"/>
  <c r="F25454" i="5"/>
  <c r="F25453" i="5"/>
  <c r="F25452" i="5"/>
  <c r="F25451" i="5"/>
  <c r="F25450" i="5"/>
  <c r="F25449" i="5"/>
  <c r="F25448" i="5"/>
  <c r="F25447" i="5"/>
  <c r="F25446" i="5"/>
  <c r="F25445" i="5"/>
  <c r="F25444" i="5"/>
  <c r="F25443" i="5"/>
  <c r="F25442" i="5"/>
  <c r="F25441" i="5"/>
  <c r="F25440" i="5"/>
  <c r="F25439" i="5"/>
  <c r="F25438" i="5"/>
  <c r="F25437" i="5"/>
  <c r="F25436" i="5"/>
  <c r="F25435" i="5"/>
  <c r="F25434" i="5"/>
  <c r="F25433" i="5"/>
  <c r="F25432" i="5"/>
  <c r="F25431" i="5"/>
  <c r="F25430" i="5"/>
  <c r="F25429" i="5"/>
  <c r="F25428" i="5"/>
  <c r="F25427" i="5"/>
  <c r="F25426" i="5"/>
  <c r="F25425" i="5"/>
  <c r="F25424" i="5"/>
  <c r="F25423" i="5"/>
  <c r="F25422" i="5"/>
  <c r="F25421" i="5"/>
  <c r="F25420" i="5"/>
  <c r="F25419" i="5"/>
  <c r="F25418" i="5"/>
  <c r="F25417" i="5"/>
  <c r="F25416" i="5"/>
  <c r="F25415" i="5"/>
  <c r="F25414" i="5"/>
  <c r="F25413" i="5"/>
  <c r="F25412" i="5"/>
  <c r="F25411" i="5"/>
  <c r="F25410" i="5"/>
  <c r="F25409" i="5"/>
  <c r="F25408" i="5"/>
  <c r="F25407" i="5"/>
  <c r="F25406" i="5"/>
  <c r="F25405" i="5"/>
  <c r="F25404" i="5"/>
  <c r="F25403" i="5"/>
  <c r="F25402" i="5"/>
  <c r="F25401" i="5"/>
  <c r="F25400" i="5"/>
  <c r="F25399" i="5"/>
  <c r="F25398" i="5"/>
  <c r="F25397" i="5"/>
  <c r="F25396" i="5"/>
  <c r="F25395" i="5"/>
  <c r="F25394" i="5"/>
  <c r="F25393" i="5"/>
  <c r="F25392" i="5"/>
  <c r="F25391" i="5"/>
  <c r="F25390" i="5"/>
  <c r="F25389" i="5"/>
  <c r="F25388" i="5"/>
  <c r="F25387" i="5"/>
  <c r="F25386" i="5"/>
  <c r="F25385" i="5"/>
  <c r="F25384" i="5"/>
  <c r="F25383" i="5"/>
  <c r="F25382" i="5"/>
  <c r="F25381" i="5"/>
  <c r="F25380" i="5"/>
  <c r="F25379" i="5"/>
  <c r="F25378" i="5"/>
  <c r="F25377" i="5"/>
  <c r="F25376" i="5"/>
  <c r="F25375" i="5"/>
  <c r="F25374" i="5"/>
  <c r="F25373" i="5"/>
  <c r="F25372" i="5"/>
  <c r="F25371" i="5"/>
  <c r="F25370" i="5"/>
  <c r="F25369" i="5"/>
  <c r="F25368" i="5"/>
  <c r="F25367" i="5"/>
  <c r="F25366" i="5"/>
  <c r="F25365" i="5"/>
  <c r="F25364" i="5"/>
  <c r="F25363" i="5"/>
  <c r="F25362" i="5"/>
  <c r="F25361" i="5"/>
  <c r="F25360" i="5"/>
  <c r="F25359" i="5"/>
  <c r="F25358" i="5"/>
  <c r="F25357" i="5"/>
  <c r="F25356" i="5"/>
  <c r="F25355" i="5"/>
  <c r="F25354" i="5"/>
  <c r="F25353" i="5"/>
  <c r="F25352" i="5"/>
  <c r="F25351" i="5"/>
  <c r="F25350" i="5"/>
  <c r="F25349" i="5"/>
  <c r="F25348" i="5"/>
  <c r="F25347" i="5"/>
  <c r="F25346" i="5"/>
  <c r="F25345" i="5"/>
  <c r="F25344" i="5"/>
  <c r="F25343" i="5"/>
  <c r="F25342" i="5"/>
  <c r="F25341" i="5"/>
  <c r="F25340" i="5"/>
  <c r="F25339" i="5"/>
  <c r="F25338" i="5"/>
  <c r="F25337" i="5"/>
  <c r="F25336" i="5"/>
  <c r="F25335" i="5"/>
  <c r="F25334" i="5"/>
  <c r="F25333" i="5"/>
  <c r="F25332" i="5"/>
  <c r="F25331" i="5"/>
  <c r="F25330" i="5"/>
  <c r="F25329" i="5"/>
  <c r="F25328" i="5"/>
  <c r="F25327" i="5"/>
  <c r="F25326" i="5"/>
  <c r="F25325" i="5"/>
  <c r="F25324" i="5"/>
  <c r="F25323" i="5"/>
  <c r="F25322" i="5"/>
  <c r="F25321" i="5"/>
  <c r="F25320" i="5"/>
  <c r="F25319" i="5"/>
  <c r="F25318" i="5"/>
  <c r="F25317" i="5"/>
  <c r="F25316" i="5"/>
  <c r="F25315" i="5"/>
  <c r="F25314" i="5"/>
  <c r="F25313" i="5"/>
  <c r="F25312" i="5"/>
  <c r="F25311" i="5"/>
  <c r="F25310" i="5"/>
  <c r="F25309" i="5"/>
  <c r="F25308" i="5"/>
  <c r="F25307" i="5"/>
  <c r="F25306" i="5"/>
  <c r="F25305" i="5"/>
  <c r="F25304" i="5"/>
  <c r="F25303" i="5"/>
  <c r="F25302" i="5"/>
  <c r="F25301" i="5"/>
  <c r="F25300" i="5"/>
  <c r="F25299" i="5"/>
  <c r="F25298" i="5"/>
  <c r="F25297" i="5"/>
  <c r="F25296" i="5"/>
  <c r="F25295" i="5"/>
  <c r="F25294" i="5"/>
  <c r="F25293" i="5"/>
  <c r="F25292" i="5"/>
  <c r="F25291" i="5"/>
  <c r="F25290" i="5"/>
  <c r="F25289" i="5"/>
  <c r="F25288" i="5"/>
  <c r="F25287" i="5"/>
  <c r="F25286" i="5"/>
  <c r="F25285" i="5"/>
  <c r="F25284" i="5"/>
  <c r="F25283" i="5"/>
  <c r="F25282" i="5"/>
  <c r="F25281" i="5"/>
  <c r="F25280" i="5"/>
  <c r="F25279" i="5"/>
  <c r="F25278" i="5"/>
  <c r="F25277" i="5"/>
  <c r="F25276" i="5"/>
  <c r="F25275" i="5"/>
  <c r="F25274" i="5"/>
  <c r="F25273" i="5"/>
  <c r="F25272" i="5"/>
  <c r="F25271" i="5"/>
  <c r="F25270" i="5"/>
  <c r="F25269" i="5"/>
  <c r="F25268" i="5"/>
  <c r="F25267" i="5"/>
  <c r="F25266" i="5"/>
  <c r="F25265" i="5"/>
  <c r="F25264" i="5"/>
  <c r="F25263" i="5"/>
  <c r="F25262" i="5"/>
  <c r="F25261" i="5"/>
  <c r="F25260" i="5"/>
  <c r="F25259" i="5"/>
  <c r="F25258" i="5"/>
  <c r="F25257" i="5"/>
  <c r="F25256" i="5"/>
  <c r="F25255" i="5"/>
  <c r="F25254" i="5"/>
  <c r="F25253" i="5"/>
  <c r="F25252" i="5"/>
  <c r="F25251" i="5"/>
  <c r="F25250" i="5"/>
  <c r="F25249" i="5"/>
  <c r="F25248" i="5"/>
  <c r="F25247" i="5"/>
  <c r="F25246" i="5"/>
  <c r="F25245" i="5"/>
  <c r="F25244" i="5"/>
  <c r="F25243" i="5"/>
  <c r="F25242" i="5"/>
  <c r="F25241" i="5"/>
  <c r="F25240" i="5"/>
  <c r="F25239" i="5"/>
  <c r="F25238" i="5"/>
  <c r="F25237" i="5"/>
  <c r="F25236" i="5"/>
  <c r="F25235" i="5"/>
  <c r="F25234" i="5"/>
  <c r="F25233" i="5"/>
  <c r="F25232" i="5"/>
  <c r="F25231" i="5"/>
  <c r="F25230" i="5"/>
  <c r="F25229" i="5"/>
  <c r="F25228" i="5"/>
  <c r="F25227" i="5"/>
  <c r="F25226" i="5"/>
  <c r="F25225" i="5"/>
  <c r="F25224" i="5"/>
  <c r="F25223" i="5"/>
  <c r="F25222" i="5"/>
  <c r="F25221" i="5"/>
  <c r="F25220" i="5"/>
  <c r="F25219" i="5"/>
  <c r="F25218" i="5"/>
  <c r="F25217" i="5"/>
  <c r="F25216" i="5"/>
  <c r="F25215" i="5"/>
  <c r="F25214" i="5"/>
  <c r="F25213" i="5"/>
  <c r="F25212" i="5"/>
  <c r="F25211" i="5"/>
  <c r="F25210" i="5"/>
  <c r="F25209" i="5"/>
  <c r="F25208" i="5"/>
  <c r="F25207" i="5"/>
  <c r="F25206" i="5"/>
  <c r="F25205" i="5"/>
  <c r="F25204" i="5"/>
  <c r="F25203" i="5"/>
  <c r="F25202" i="5"/>
  <c r="F25201" i="5"/>
  <c r="F25200" i="5"/>
  <c r="F25199" i="5"/>
  <c r="F25198" i="5"/>
  <c r="F25197" i="5"/>
  <c r="F25196" i="5"/>
  <c r="F25195" i="5"/>
  <c r="F25194" i="5"/>
  <c r="F25193" i="5"/>
  <c r="F25192" i="5"/>
  <c r="F25191" i="5"/>
  <c r="F25190" i="5"/>
  <c r="F25189" i="5"/>
  <c r="F25188" i="5"/>
  <c r="F25187" i="5"/>
  <c r="F25186" i="5"/>
  <c r="F25185" i="5"/>
  <c r="F25184" i="5"/>
  <c r="F25183" i="5"/>
  <c r="F25182" i="5"/>
  <c r="F25181" i="5"/>
  <c r="F25180" i="5"/>
  <c r="F25179" i="5"/>
  <c r="F25178" i="5"/>
  <c r="F25177" i="5"/>
  <c r="F25176" i="5"/>
  <c r="F25175" i="5"/>
  <c r="F25174" i="5"/>
  <c r="F25173" i="5"/>
  <c r="F25172" i="5"/>
  <c r="F25171" i="5"/>
  <c r="F25170" i="5"/>
  <c r="F25169" i="5"/>
  <c r="F25168" i="5"/>
  <c r="F25167" i="5"/>
  <c r="F25166" i="5"/>
  <c r="F25165" i="5"/>
  <c r="F25164" i="5"/>
  <c r="F25163" i="5"/>
  <c r="F25162" i="5"/>
  <c r="F25161" i="5"/>
  <c r="F25160" i="5"/>
  <c r="F25159" i="5"/>
  <c r="F25158" i="5"/>
  <c r="F25157" i="5"/>
  <c r="F25156" i="5"/>
  <c r="F25155" i="5"/>
  <c r="F25154" i="5"/>
  <c r="F25153" i="5"/>
  <c r="F25152" i="5"/>
  <c r="F25151" i="5"/>
  <c r="F25150" i="5"/>
  <c r="F25149" i="5"/>
  <c r="F25148" i="5"/>
  <c r="F25147" i="5"/>
  <c r="F25146" i="5"/>
  <c r="F25145" i="5"/>
  <c r="F25144" i="5"/>
  <c r="F25143" i="5"/>
  <c r="F25142" i="5"/>
  <c r="F25141" i="5"/>
  <c r="F25140" i="5"/>
  <c r="F25139" i="5"/>
  <c r="F25138" i="5"/>
  <c r="F25137" i="5"/>
  <c r="F25136" i="5"/>
  <c r="F25135" i="5"/>
  <c r="F25134" i="5"/>
  <c r="F25133" i="5"/>
  <c r="F25132" i="5"/>
  <c r="F25131" i="5"/>
  <c r="F25130" i="5"/>
  <c r="F25129" i="5"/>
  <c r="F25128" i="5"/>
  <c r="F25127" i="5"/>
  <c r="F25126" i="5"/>
  <c r="F25125" i="5"/>
  <c r="F25124" i="5"/>
  <c r="F25123" i="5"/>
  <c r="F25122" i="5"/>
  <c r="F25121" i="5"/>
  <c r="F25120" i="5"/>
  <c r="F25119" i="5"/>
  <c r="F25118" i="5"/>
  <c r="F25117" i="5"/>
  <c r="F25116" i="5"/>
  <c r="F25115" i="5"/>
  <c r="F25114" i="5"/>
  <c r="F25113" i="5"/>
  <c r="F25112" i="5"/>
  <c r="F25111" i="5"/>
  <c r="F25110" i="5"/>
  <c r="F25109" i="5"/>
  <c r="F25108" i="5"/>
  <c r="F25107" i="5"/>
  <c r="F25106" i="5"/>
  <c r="F25105" i="5"/>
  <c r="F25104" i="5"/>
  <c r="F25103" i="5"/>
  <c r="F25102" i="5"/>
  <c r="F25101" i="5"/>
  <c r="F25100" i="5"/>
  <c r="F25099" i="5"/>
  <c r="F25098" i="5"/>
  <c r="F25097" i="5"/>
  <c r="F25096" i="5"/>
  <c r="F25095" i="5"/>
  <c r="F25094" i="5"/>
  <c r="F25093" i="5"/>
  <c r="F25092" i="5"/>
  <c r="F25091" i="5"/>
  <c r="F25090" i="5"/>
  <c r="F25089" i="5"/>
  <c r="F25088" i="5"/>
  <c r="F25087" i="5"/>
  <c r="F25086" i="5"/>
  <c r="F25085" i="5"/>
  <c r="F25084" i="5"/>
  <c r="F25083" i="5"/>
  <c r="F25082" i="5"/>
  <c r="F25081" i="5"/>
  <c r="F25080" i="5"/>
  <c r="F25079" i="5"/>
  <c r="F25078" i="5"/>
  <c r="F25077" i="5"/>
  <c r="F25076" i="5"/>
  <c r="F25075" i="5"/>
  <c r="F25074" i="5"/>
  <c r="F25073" i="5"/>
  <c r="F25072" i="5"/>
  <c r="F25071" i="5"/>
  <c r="F25070" i="5"/>
  <c r="F25069" i="5"/>
  <c r="F25068" i="5"/>
  <c r="F25067" i="5"/>
  <c r="F25066" i="5"/>
  <c r="F25065" i="5"/>
  <c r="F25064" i="5"/>
  <c r="F25063" i="5"/>
  <c r="F25062" i="5"/>
  <c r="F25061" i="5"/>
  <c r="F25060" i="5"/>
  <c r="F25059" i="5"/>
  <c r="F25058" i="5"/>
  <c r="F25057" i="5"/>
  <c r="F25056" i="5"/>
  <c r="F25055" i="5"/>
  <c r="F25054" i="5"/>
  <c r="F25053" i="5"/>
  <c r="F25052" i="5"/>
  <c r="F25051" i="5"/>
  <c r="F25050" i="5"/>
  <c r="F25049" i="5"/>
  <c r="F25048" i="5"/>
  <c r="F25047" i="5"/>
  <c r="F25046" i="5"/>
  <c r="F25045" i="5"/>
  <c r="F25044" i="5"/>
  <c r="F25043" i="5"/>
  <c r="F25042" i="5"/>
  <c r="F25041" i="5"/>
  <c r="F25040" i="5"/>
  <c r="F25039" i="5"/>
  <c r="F25038" i="5"/>
  <c r="F25037" i="5"/>
  <c r="F25036" i="5"/>
  <c r="F25035" i="5"/>
  <c r="F25034" i="5"/>
  <c r="F25033" i="5"/>
  <c r="F25032" i="5"/>
  <c r="F25031" i="5"/>
  <c r="F25030" i="5"/>
  <c r="F25029" i="5"/>
  <c r="F25028" i="5"/>
  <c r="F25027" i="5"/>
  <c r="F25026" i="5"/>
  <c r="F25025" i="5"/>
  <c r="F25024" i="5"/>
  <c r="F25023" i="5"/>
  <c r="F25022" i="5"/>
  <c r="F25021" i="5"/>
  <c r="F25020" i="5"/>
  <c r="F25019" i="5"/>
  <c r="F25018" i="5"/>
  <c r="F25017" i="5"/>
  <c r="F25016" i="5"/>
  <c r="F25015" i="5"/>
  <c r="F25014" i="5"/>
  <c r="F25013" i="5"/>
  <c r="F25012" i="5"/>
  <c r="F25011" i="5"/>
  <c r="F25010" i="5"/>
  <c r="F25009" i="5"/>
  <c r="F25008" i="5"/>
  <c r="F25007" i="5"/>
  <c r="F25006" i="5"/>
  <c r="F25005" i="5"/>
  <c r="F25004" i="5"/>
  <c r="F25003" i="5"/>
  <c r="F25002" i="5"/>
  <c r="F25001" i="5"/>
  <c r="F25000" i="5"/>
  <c r="F24999" i="5"/>
  <c r="F24998" i="5"/>
  <c r="F24997" i="5"/>
  <c r="F24996" i="5"/>
  <c r="F24995" i="5"/>
  <c r="F24994" i="5"/>
  <c r="F24993" i="5"/>
  <c r="F24992" i="5"/>
  <c r="F24991" i="5"/>
  <c r="F24990" i="5"/>
  <c r="F24989" i="5"/>
  <c r="F24988" i="5"/>
  <c r="F24987" i="5"/>
  <c r="F24986" i="5"/>
  <c r="F24985" i="5"/>
  <c r="F24984" i="5"/>
  <c r="F24983" i="5"/>
  <c r="F24982" i="5"/>
  <c r="F24981" i="5"/>
  <c r="F24980" i="5"/>
  <c r="F24979" i="5"/>
  <c r="F24978" i="5"/>
  <c r="F24977" i="5"/>
  <c r="F24976" i="5"/>
  <c r="F24975" i="5"/>
  <c r="F24974" i="5"/>
  <c r="F24973" i="5"/>
  <c r="F24972" i="5"/>
  <c r="F24971" i="5"/>
  <c r="F24970" i="5"/>
  <c r="F24969" i="5"/>
  <c r="F24968" i="5"/>
  <c r="F24967" i="5"/>
  <c r="F24966" i="5"/>
  <c r="F24965" i="5"/>
  <c r="F24964" i="5"/>
  <c r="F24963" i="5"/>
  <c r="F24962" i="5"/>
  <c r="F24961" i="5"/>
  <c r="F24960" i="5"/>
  <c r="F24959" i="5"/>
  <c r="F24958" i="5"/>
  <c r="F24957" i="5"/>
  <c r="F24956" i="5"/>
  <c r="F24955" i="5"/>
  <c r="F24954" i="5"/>
  <c r="F24953" i="5"/>
  <c r="F24952" i="5"/>
  <c r="F24951" i="5"/>
  <c r="F24950" i="5"/>
  <c r="F24949" i="5"/>
  <c r="F24948" i="5"/>
  <c r="F24947" i="5"/>
  <c r="F24946" i="5"/>
  <c r="F24945" i="5"/>
  <c r="F24944" i="5"/>
  <c r="F24943" i="5"/>
  <c r="F24942" i="5"/>
  <c r="F24941" i="5"/>
  <c r="F24940" i="5"/>
  <c r="F24939" i="5"/>
  <c r="F24938" i="5"/>
  <c r="F24937" i="5"/>
  <c r="F24936" i="5"/>
  <c r="F24935" i="5"/>
  <c r="F24934" i="5"/>
  <c r="F24933" i="5"/>
  <c r="F24932" i="5"/>
  <c r="F24931" i="5"/>
  <c r="F24930" i="5"/>
  <c r="F24929" i="5"/>
  <c r="F24928" i="5"/>
  <c r="F24927" i="5"/>
  <c r="F24926" i="5"/>
  <c r="F24925" i="5"/>
  <c r="F24924" i="5"/>
  <c r="F24923" i="5"/>
  <c r="F24922" i="5"/>
  <c r="F24921" i="5"/>
  <c r="F24920" i="5"/>
  <c r="F24919" i="5"/>
  <c r="F24918" i="5"/>
  <c r="F24917" i="5"/>
  <c r="F24916" i="5"/>
  <c r="F24915" i="5"/>
  <c r="F24914" i="5"/>
  <c r="F24913" i="5"/>
  <c r="F24912" i="5"/>
  <c r="F24911" i="5"/>
  <c r="F24910" i="5"/>
  <c r="F24909" i="5"/>
  <c r="F24908" i="5"/>
  <c r="F24907" i="5"/>
  <c r="F24906" i="5"/>
  <c r="F24905" i="5"/>
  <c r="F24904" i="5"/>
  <c r="F24903" i="5"/>
  <c r="F24902" i="5"/>
  <c r="F24901" i="5"/>
  <c r="F24900" i="5"/>
  <c r="F24899" i="5"/>
  <c r="F24898" i="5"/>
  <c r="F24897" i="5"/>
  <c r="F24896" i="5"/>
  <c r="F24895" i="5"/>
  <c r="F24894" i="5"/>
  <c r="F24893" i="5"/>
  <c r="F24892" i="5"/>
  <c r="F24891" i="5"/>
  <c r="F24890" i="5"/>
  <c r="F24889" i="5"/>
  <c r="F24888" i="5"/>
  <c r="F24887" i="5"/>
  <c r="F24886" i="5"/>
  <c r="F24885" i="5"/>
  <c r="F24884" i="5"/>
  <c r="F24883" i="5"/>
  <c r="F24882" i="5"/>
  <c r="F24881" i="5"/>
  <c r="F24880" i="5"/>
  <c r="F24879" i="5"/>
  <c r="F24878" i="5"/>
  <c r="F24877" i="5"/>
  <c r="F24876" i="5"/>
  <c r="F24875" i="5"/>
  <c r="F24874" i="5"/>
  <c r="F24873" i="5"/>
  <c r="F24872" i="5"/>
  <c r="F24871" i="5"/>
  <c r="F24870" i="5"/>
  <c r="F24869" i="5"/>
  <c r="F24868" i="5"/>
  <c r="F24867" i="5"/>
  <c r="F24866" i="5"/>
  <c r="F24865" i="5"/>
  <c r="F24864" i="5"/>
  <c r="F24863" i="5"/>
  <c r="F24862" i="5"/>
  <c r="F24861" i="5"/>
  <c r="F24860" i="5"/>
  <c r="F24859" i="5"/>
  <c r="F24858" i="5"/>
  <c r="F24857" i="5"/>
  <c r="F24856" i="5"/>
  <c r="F24855" i="5"/>
  <c r="F24854" i="5"/>
  <c r="F24853" i="5"/>
  <c r="F24852" i="5"/>
  <c r="F24851" i="5"/>
  <c r="F24850" i="5"/>
  <c r="F24849" i="5"/>
  <c r="F24848" i="5"/>
  <c r="F24847" i="5"/>
  <c r="F24846" i="5"/>
  <c r="F24845" i="5"/>
  <c r="F24844" i="5"/>
  <c r="F24843" i="5"/>
  <c r="F24842" i="5"/>
  <c r="F24841" i="5"/>
  <c r="F24840" i="5"/>
  <c r="F24839" i="5"/>
  <c r="F24838" i="5"/>
  <c r="F24837" i="5"/>
  <c r="F24836" i="5"/>
  <c r="F24835" i="5"/>
  <c r="F24834" i="5"/>
  <c r="F24833" i="5"/>
  <c r="F24832" i="5"/>
  <c r="F24831" i="5"/>
  <c r="F24830" i="5"/>
  <c r="F24829" i="5"/>
  <c r="F24828" i="5"/>
  <c r="F24827" i="5"/>
  <c r="F24826" i="5"/>
  <c r="F24825" i="5"/>
  <c r="F24824" i="5"/>
  <c r="F24823" i="5"/>
  <c r="F24822" i="5"/>
  <c r="F24821" i="5"/>
  <c r="F24820" i="5"/>
  <c r="F24819" i="5"/>
  <c r="F24818" i="5"/>
  <c r="F24817" i="5"/>
  <c r="F24816" i="5"/>
  <c r="F24815" i="5"/>
  <c r="F24814" i="5"/>
  <c r="F24813" i="5"/>
  <c r="F24812" i="5"/>
  <c r="F24811" i="5"/>
  <c r="F24810" i="5"/>
  <c r="F24809" i="5"/>
  <c r="F24808" i="5"/>
  <c r="F24807" i="5"/>
  <c r="F24806" i="5"/>
  <c r="F24805" i="5"/>
  <c r="F24804" i="5"/>
  <c r="F24803" i="5"/>
  <c r="F24802" i="5"/>
  <c r="F24801" i="5"/>
  <c r="F24800" i="5"/>
  <c r="F24799" i="5"/>
  <c r="F24798" i="5"/>
  <c r="F24797" i="5"/>
  <c r="F24796" i="5"/>
  <c r="F24795" i="5"/>
  <c r="F24794" i="5"/>
  <c r="F24793" i="5"/>
  <c r="F24792" i="5"/>
  <c r="F24791" i="5"/>
  <c r="F24790" i="5"/>
  <c r="F24789" i="5"/>
  <c r="F24788" i="5"/>
  <c r="F24787" i="5"/>
  <c r="F24786" i="5"/>
  <c r="F24785" i="5"/>
  <c r="F24784" i="5"/>
  <c r="F24783" i="5"/>
  <c r="F24782" i="5"/>
  <c r="F24781" i="5"/>
  <c r="F24780" i="5"/>
  <c r="F24779" i="5"/>
  <c r="F24778" i="5"/>
  <c r="F24777" i="5"/>
  <c r="F24776" i="5"/>
  <c r="F24775" i="5"/>
  <c r="F24774" i="5"/>
  <c r="F24773" i="5"/>
  <c r="F24772" i="5"/>
  <c r="F24771" i="5"/>
  <c r="F24770" i="5"/>
  <c r="F24769" i="5"/>
  <c r="F24768" i="5"/>
  <c r="F24767" i="5"/>
  <c r="F24766" i="5"/>
  <c r="F24765" i="5"/>
  <c r="F24764" i="5"/>
  <c r="F24763" i="5"/>
  <c r="F24762" i="5"/>
  <c r="F24761" i="5"/>
  <c r="F24760" i="5"/>
  <c r="F24759" i="5"/>
  <c r="F24758" i="5"/>
  <c r="F24757" i="5"/>
  <c r="F24756" i="5"/>
  <c r="F24755" i="5"/>
  <c r="F24754" i="5"/>
  <c r="F24753" i="5"/>
  <c r="F24752" i="5"/>
  <c r="F24751" i="5"/>
  <c r="F24750" i="5"/>
  <c r="F24749" i="5"/>
  <c r="F24748" i="5"/>
  <c r="F24747" i="5"/>
  <c r="F24746" i="5"/>
  <c r="F24745" i="5"/>
  <c r="F24744" i="5"/>
  <c r="F24743" i="5"/>
  <c r="F24742" i="5"/>
  <c r="F24741" i="5"/>
  <c r="F24740" i="5"/>
  <c r="F24739" i="5"/>
  <c r="F24738" i="5"/>
  <c r="F24737" i="5"/>
  <c r="F24736" i="5"/>
  <c r="F24735" i="5"/>
  <c r="F24734" i="5"/>
  <c r="F24733" i="5"/>
  <c r="F24732" i="5"/>
  <c r="F24731" i="5"/>
  <c r="F24730" i="5"/>
  <c r="F24729" i="5"/>
  <c r="F24728" i="5"/>
  <c r="F24727" i="5"/>
  <c r="F24726" i="5"/>
  <c r="F24725" i="5"/>
  <c r="F24724" i="5"/>
  <c r="F24723" i="5"/>
  <c r="F24722" i="5"/>
  <c r="F24721" i="5"/>
  <c r="F24720" i="5"/>
  <c r="F24719" i="5"/>
  <c r="F24718" i="5"/>
  <c r="F24717" i="5"/>
  <c r="F24716" i="5"/>
  <c r="F24715" i="5"/>
  <c r="F24714" i="5"/>
  <c r="F24713" i="5"/>
  <c r="F24712" i="5"/>
  <c r="F24711" i="5"/>
  <c r="F24710" i="5"/>
  <c r="F24709" i="5"/>
  <c r="F24708" i="5"/>
  <c r="F24707" i="5"/>
  <c r="F24706" i="5"/>
  <c r="F24705" i="5"/>
  <c r="F24704" i="5"/>
  <c r="F24703" i="5"/>
  <c r="F24702" i="5"/>
  <c r="F24701" i="5"/>
  <c r="F24700" i="5"/>
  <c r="F24699" i="5"/>
  <c r="F24698" i="5"/>
  <c r="F24697" i="5"/>
  <c r="F24696" i="5"/>
  <c r="F24695" i="5"/>
  <c r="F24694" i="5"/>
  <c r="F24693" i="5"/>
  <c r="F24692" i="5"/>
  <c r="F24691" i="5"/>
  <c r="F24690" i="5"/>
  <c r="F24689" i="5"/>
  <c r="F24688" i="5"/>
  <c r="F24687" i="5"/>
  <c r="F24686" i="5"/>
  <c r="F24685" i="5"/>
  <c r="F24684" i="5"/>
  <c r="F24683" i="5"/>
  <c r="F24682" i="5"/>
  <c r="F24681" i="5"/>
  <c r="F24680" i="5"/>
  <c r="F24679" i="5"/>
  <c r="F24678" i="5"/>
  <c r="F24677" i="5"/>
  <c r="F24676" i="5"/>
  <c r="F24675" i="5"/>
  <c r="F24674" i="5"/>
  <c r="F24673" i="5"/>
  <c r="F24672" i="5"/>
  <c r="F24671" i="5"/>
  <c r="F24670" i="5"/>
  <c r="F24669" i="5"/>
  <c r="F24668" i="5"/>
  <c r="F24667" i="5"/>
  <c r="F24666" i="5"/>
  <c r="F24665" i="5"/>
  <c r="F24664" i="5"/>
  <c r="F24663" i="5"/>
  <c r="F24662" i="5"/>
  <c r="F24661" i="5"/>
  <c r="F24660" i="5"/>
  <c r="F24659" i="5"/>
  <c r="F24658" i="5"/>
  <c r="F24657" i="5"/>
  <c r="F24656" i="5"/>
  <c r="F24655" i="5"/>
  <c r="F24654" i="5"/>
  <c r="F24653" i="5"/>
  <c r="F24652" i="5"/>
  <c r="F24651" i="5"/>
  <c r="F24650" i="5"/>
  <c r="F24649" i="5"/>
  <c r="F24648" i="5"/>
  <c r="F24647" i="5"/>
  <c r="F24646" i="5"/>
  <c r="F24645" i="5"/>
  <c r="F24644" i="5"/>
  <c r="F24643" i="5"/>
  <c r="F24642" i="5"/>
  <c r="F24641" i="5"/>
  <c r="F24640" i="5"/>
  <c r="F24639" i="5"/>
  <c r="F24638" i="5"/>
  <c r="F24637" i="5"/>
  <c r="F24636" i="5"/>
  <c r="F24635" i="5"/>
  <c r="F24634" i="5"/>
  <c r="F24633" i="5"/>
  <c r="F24632" i="5"/>
  <c r="F24631" i="5"/>
  <c r="F24630" i="5"/>
  <c r="F24629" i="5"/>
  <c r="F24628" i="5"/>
  <c r="F24627" i="5"/>
  <c r="F24626" i="5"/>
  <c r="F24625" i="5"/>
  <c r="F24624" i="5"/>
  <c r="F24623" i="5"/>
  <c r="F24622" i="5"/>
  <c r="F24621" i="5"/>
  <c r="F24620" i="5"/>
  <c r="F24619" i="5"/>
  <c r="F24618" i="5"/>
  <c r="F24617" i="5"/>
  <c r="F24616" i="5"/>
  <c r="F24615" i="5"/>
  <c r="F24614" i="5"/>
  <c r="F24613" i="5"/>
  <c r="F24612" i="5"/>
  <c r="F24611" i="5"/>
  <c r="F24610" i="5"/>
  <c r="F24609" i="5"/>
  <c r="F24608" i="5"/>
  <c r="F24607" i="5"/>
  <c r="F24606" i="5"/>
  <c r="F24605" i="5"/>
  <c r="F24604" i="5"/>
  <c r="F24603" i="5"/>
  <c r="F24602" i="5"/>
  <c r="F24601" i="5"/>
  <c r="F24600" i="5"/>
  <c r="F24599" i="5"/>
  <c r="F24598" i="5"/>
  <c r="F24597" i="5"/>
  <c r="F24596" i="5"/>
  <c r="F24595" i="5"/>
  <c r="F24594" i="5"/>
  <c r="F24593" i="5"/>
  <c r="F24592" i="5"/>
  <c r="F24591" i="5"/>
  <c r="F24590" i="5"/>
  <c r="F24589" i="5"/>
  <c r="F24588" i="5"/>
  <c r="F24587" i="5"/>
  <c r="F24586" i="5"/>
  <c r="F24585" i="5"/>
  <c r="F24584" i="5"/>
  <c r="F24583" i="5"/>
  <c r="F24582" i="5"/>
  <c r="F24581" i="5"/>
  <c r="F24580" i="5"/>
  <c r="F24579" i="5"/>
  <c r="F24578" i="5"/>
  <c r="F24577" i="5"/>
  <c r="F24576" i="5"/>
  <c r="F24575" i="5"/>
  <c r="F24574" i="5"/>
  <c r="F24573" i="5"/>
  <c r="F24572" i="5"/>
  <c r="F24571" i="5"/>
  <c r="F24570" i="5"/>
  <c r="F24569" i="5"/>
  <c r="F24568" i="5"/>
  <c r="F24567" i="5"/>
  <c r="F24566" i="5"/>
  <c r="F24565" i="5"/>
  <c r="F24564" i="5"/>
  <c r="F24563" i="5"/>
  <c r="F24562" i="5"/>
  <c r="F24561" i="5"/>
  <c r="F24560" i="5"/>
  <c r="F24559" i="5"/>
  <c r="F24558" i="5"/>
  <c r="F24557" i="5"/>
  <c r="F24556" i="5"/>
  <c r="F24555" i="5"/>
  <c r="F24554" i="5"/>
  <c r="F24553" i="5"/>
  <c r="F24552" i="5"/>
  <c r="F24551" i="5"/>
  <c r="F24550" i="5"/>
  <c r="F24549" i="5"/>
  <c r="F24548" i="5"/>
  <c r="F24547" i="5"/>
  <c r="F24546" i="5"/>
  <c r="F24545" i="5"/>
  <c r="F24544" i="5"/>
  <c r="F24543" i="5"/>
  <c r="F24542" i="5"/>
  <c r="F24541" i="5"/>
  <c r="F24540" i="5"/>
  <c r="F24539" i="5"/>
  <c r="F24538" i="5"/>
  <c r="F24537" i="5"/>
  <c r="F24536" i="5"/>
  <c r="F24535" i="5"/>
  <c r="F24534" i="5"/>
  <c r="F24533" i="5"/>
  <c r="F24532" i="5"/>
  <c r="F24531" i="5"/>
  <c r="F24530" i="5"/>
  <c r="F24529" i="5"/>
  <c r="F24528" i="5"/>
  <c r="F24527" i="5"/>
  <c r="F24526" i="5"/>
  <c r="F24525" i="5"/>
  <c r="F24524" i="5"/>
  <c r="F24523" i="5"/>
  <c r="F24522" i="5"/>
  <c r="F24521" i="5"/>
  <c r="F24520" i="5"/>
  <c r="F24519" i="5"/>
  <c r="F24518" i="5"/>
  <c r="F24517" i="5"/>
  <c r="F24516" i="5"/>
  <c r="F24515" i="5"/>
  <c r="F24514" i="5"/>
  <c r="F24513" i="5"/>
  <c r="F24512" i="5"/>
  <c r="F24511" i="5"/>
  <c r="F24510" i="5"/>
  <c r="F24509" i="5"/>
  <c r="F24508" i="5"/>
  <c r="F24507" i="5"/>
  <c r="F24506" i="5"/>
  <c r="F24505" i="5"/>
  <c r="F24504" i="5"/>
  <c r="F24503" i="5"/>
  <c r="F24502" i="5"/>
  <c r="F24501" i="5"/>
  <c r="F24500" i="5"/>
  <c r="F24499" i="5"/>
  <c r="F24498" i="5"/>
  <c r="F24497" i="5"/>
  <c r="F24496" i="5"/>
  <c r="F24495" i="5"/>
  <c r="F24494" i="5"/>
  <c r="F24493" i="5"/>
  <c r="F24492" i="5"/>
  <c r="F24491" i="5"/>
  <c r="F24490" i="5"/>
  <c r="F24489" i="5"/>
  <c r="F24488" i="5"/>
  <c r="F24487" i="5"/>
  <c r="F24486" i="5"/>
  <c r="F24485" i="5"/>
  <c r="F24484" i="5"/>
  <c r="F24483" i="5"/>
  <c r="F24482" i="5"/>
  <c r="F24481" i="5"/>
  <c r="F24480" i="5"/>
  <c r="F24479" i="5"/>
  <c r="F24478" i="5"/>
  <c r="F24477" i="5"/>
  <c r="F24476" i="5"/>
  <c r="F24475" i="5"/>
  <c r="F24474" i="5"/>
  <c r="F24473" i="5"/>
  <c r="F24472" i="5"/>
  <c r="F24471" i="5"/>
  <c r="F24470" i="5"/>
  <c r="F24469" i="5"/>
  <c r="F24468" i="5"/>
  <c r="F24467" i="5"/>
  <c r="F24466" i="5"/>
  <c r="F24465" i="5"/>
  <c r="F24464" i="5"/>
  <c r="F24463" i="5"/>
  <c r="F24462" i="5"/>
  <c r="F24461" i="5"/>
  <c r="F24460" i="5"/>
  <c r="F24459" i="5"/>
  <c r="F24458" i="5"/>
  <c r="F24457" i="5"/>
  <c r="F24456" i="5"/>
  <c r="F24455" i="5"/>
  <c r="F24454" i="5"/>
  <c r="F24453" i="5"/>
  <c r="F24452" i="5"/>
  <c r="F24451" i="5"/>
  <c r="F24450" i="5"/>
  <c r="F24449" i="5"/>
  <c r="F24448" i="5"/>
  <c r="F24447" i="5"/>
  <c r="F24446" i="5"/>
  <c r="F24445" i="5"/>
  <c r="F24444" i="5"/>
  <c r="F24443" i="5"/>
  <c r="F24442" i="5"/>
  <c r="F24441" i="5"/>
  <c r="F24440" i="5"/>
  <c r="F24439" i="5"/>
  <c r="F24438" i="5"/>
  <c r="F24437" i="5"/>
  <c r="F24436" i="5"/>
  <c r="F24435" i="5"/>
  <c r="F24434" i="5"/>
  <c r="F24433" i="5"/>
  <c r="F24432" i="5"/>
  <c r="F24431" i="5"/>
  <c r="F24430" i="5"/>
  <c r="F24429" i="5"/>
  <c r="F24428" i="5"/>
  <c r="F24427" i="5"/>
  <c r="F24426" i="5"/>
  <c r="F24425" i="5"/>
  <c r="F24424" i="5"/>
  <c r="F24423" i="5"/>
  <c r="F24422" i="5"/>
  <c r="F24421" i="5"/>
  <c r="F24420" i="5"/>
  <c r="F24419" i="5"/>
  <c r="F24418" i="5"/>
  <c r="F24417" i="5"/>
  <c r="F24416" i="5"/>
  <c r="F24415" i="5"/>
  <c r="F24414" i="5"/>
  <c r="F24413" i="5"/>
  <c r="F24412" i="5"/>
  <c r="F24411" i="5"/>
  <c r="F24410" i="5"/>
  <c r="F24409" i="5"/>
  <c r="F24408" i="5"/>
  <c r="F24407" i="5"/>
  <c r="F24406" i="5"/>
  <c r="F24405" i="5"/>
  <c r="F24404" i="5"/>
  <c r="F24403" i="5"/>
  <c r="F24402" i="5"/>
  <c r="F24401" i="5"/>
  <c r="F24400" i="5"/>
  <c r="F24399" i="5"/>
  <c r="F24398" i="5"/>
  <c r="F24397" i="5"/>
  <c r="F24396" i="5"/>
  <c r="F24395" i="5"/>
  <c r="F24394" i="5"/>
  <c r="F24393" i="5"/>
  <c r="F24392" i="5"/>
  <c r="F24391" i="5"/>
  <c r="F24390" i="5"/>
  <c r="F24389" i="5"/>
  <c r="F24388" i="5"/>
  <c r="F24387" i="5"/>
  <c r="F24386" i="5"/>
  <c r="F24385" i="5"/>
  <c r="F24384" i="5"/>
  <c r="F24383" i="5"/>
  <c r="F24382" i="5"/>
  <c r="F24381" i="5"/>
  <c r="F24380" i="5"/>
  <c r="F24379" i="5"/>
  <c r="F24378" i="5"/>
  <c r="F24377" i="5"/>
  <c r="F24376" i="5"/>
  <c r="F24375" i="5"/>
  <c r="F24374" i="5"/>
  <c r="F24373" i="5"/>
  <c r="F24372" i="5"/>
  <c r="F24371" i="5"/>
  <c r="F24370" i="5"/>
  <c r="F24369" i="5"/>
  <c r="F24368" i="5"/>
  <c r="F24367" i="5"/>
  <c r="F24366" i="5"/>
  <c r="F24365" i="5"/>
  <c r="F24364" i="5"/>
  <c r="F24363" i="5"/>
  <c r="F24362" i="5"/>
  <c r="F24361" i="5"/>
  <c r="F24360" i="5"/>
  <c r="F24359" i="5"/>
  <c r="F24358" i="5"/>
  <c r="F24357" i="5"/>
  <c r="F24356" i="5"/>
  <c r="F24355" i="5"/>
  <c r="F24354" i="5"/>
  <c r="F24353" i="5"/>
  <c r="F24352" i="5"/>
  <c r="F24351" i="5"/>
  <c r="F24350" i="5"/>
  <c r="F24349" i="5"/>
  <c r="F24348" i="5"/>
  <c r="F24347" i="5"/>
  <c r="F24346" i="5"/>
  <c r="F24345" i="5"/>
  <c r="F24344" i="5"/>
  <c r="F24343" i="5"/>
  <c r="F24342" i="5"/>
  <c r="F24341" i="5"/>
  <c r="F24340" i="5"/>
  <c r="F24339" i="5"/>
  <c r="F24338" i="5"/>
  <c r="F24337" i="5"/>
  <c r="F24336" i="5"/>
  <c r="F24335" i="5"/>
  <c r="F24334" i="5"/>
  <c r="F24333" i="5"/>
  <c r="F24332" i="5"/>
  <c r="F24331" i="5"/>
  <c r="F24330" i="5"/>
  <c r="F24329" i="5"/>
  <c r="F24328" i="5"/>
  <c r="F24327" i="5"/>
  <c r="F24326" i="5"/>
  <c r="F24325" i="5"/>
  <c r="F24324" i="5"/>
  <c r="F24323" i="5"/>
  <c r="F24322" i="5"/>
  <c r="F24321" i="5"/>
  <c r="F24320" i="5"/>
  <c r="F24319" i="5"/>
  <c r="F24318" i="5"/>
  <c r="F24317" i="5"/>
  <c r="F24316" i="5"/>
  <c r="F24315" i="5"/>
  <c r="F24314" i="5"/>
  <c r="F24313" i="5"/>
  <c r="F24312" i="5"/>
  <c r="F24311" i="5"/>
  <c r="F24310" i="5"/>
  <c r="F24309" i="5"/>
  <c r="F24308" i="5"/>
  <c r="F24307" i="5"/>
  <c r="F24306" i="5"/>
  <c r="F24305" i="5"/>
  <c r="F24304" i="5"/>
  <c r="F24303" i="5"/>
  <c r="F24302" i="5"/>
  <c r="F24301" i="5"/>
  <c r="F24300" i="5"/>
  <c r="F24299" i="5"/>
  <c r="F24298" i="5"/>
  <c r="F24297" i="5"/>
  <c r="F24296" i="5"/>
  <c r="F24295" i="5"/>
  <c r="F24294" i="5"/>
  <c r="F24293" i="5"/>
  <c r="F24292" i="5"/>
  <c r="F24291" i="5"/>
  <c r="F24290" i="5"/>
  <c r="F24289" i="5"/>
  <c r="F24288" i="5"/>
  <c r="F24287" i="5"/>
  <c r="F24286" i="5"/>
  <c r="F24285" i="5"/>
  <c r="F24284" i="5"/>
  <c r="F24283" i="5"/>
  <c r="F24282" i="5"/>
  <c r="F24281" i="5"/>
  <c r="F24280" i="5"/>
  <c r="F24279" i="5"/>
  <c r="F24278" i="5"/>
  <c r="F24277" i="5"/>
  <c r="F24276" i="5"/>
  <c r="F24275" i="5"/>
  <c r="F24274" i="5"/>
  <c r="F24273" i="5"/>
  <c r="F24272" i="5"/>
  <c r="F24271" i="5"/>
  <c r="F24270" i="5"/>
  <c r="F24269" i="5"/>
  <c r="F24268" i="5"/>
  <c r="F24267" i="5"/>
  <c r="F24266" i="5"/>
  <c r="F24265" i="5"/>
  <c r="F24264" i="5"/>
  <c r="F24263" i="5"/>
  <c r="F24262" i="5"/>
  <c r="F24261" i="5"/>
  <c r="F24260" i="5"/>
  <c r="F24259" i="5"/>
  <c r="F24258" i="5"/>
  <c r="F24257" i="5"/>
  <c r="F24256" i="5"/>
  <c r="F24255" i="5"/>
  <c r="F24254" i="5"/>
  <c r="F24253" i="5"/>
  <c r="F24252" i="5"/>
  <c r="F24251" i="5"/>
  <c r="F24250" i="5"/>
  <c r="F24249" i="5"/>
  <c r="F24248" i="5"/>
  <c r="F24247" i="5"/>
  <c r="F24246" i="5"/>
  <c r="F24245" i="5"/>
  <c r="F24244" i="5"/>
  <c r="F24243" i="5"/>
  <c r="F24242" i="5"/>
  <c r="F24241" i="5"/>
  <c r="F24240" i="5"/>
  <c r="F24239" i="5"/>
  <c r="F24238" i="5"/>
  <c r="F24237" i="5"/>
  <c r="F24236" i="5"/>
  <c r="F24235" i="5"/>
  <c r="F24234" i="5"/>
  <c r="F24233" i="5"/>
  <c r="F24232" i="5"/>
  <c r="F24231" i="5"/>
  <c r="F24230" i="5"/>
  <c r="F24229" i="5"/>
  <c r="F24228" i="5"/>
  <c r="F24227" i="5"/>
  <c r="F24226" i="5"/>
  <c r="F24225" i="5"/>
  <c r="F24224" i="5"/>
  <c r="F24223" i="5"/>
  <c r="F24222" i="5"/>
  <c r="F24221" i="5"/>
  <c r="F24220" i="5"/>
  <c r="F24219" i="5"/>
  <c r="F24218" i="5"/>
  <c r="F24217" i="5"/>
  <c r="F24216" i="5"/>
  <c r="F24215" i="5"/>
  <c r="F24214" i="5"/>
  <c r="F24213" i="5"/>
  <c r="F24212" i="5"/>
  <c r="F24211" i="5"/>
  <c r="F24210" i="5"/>
  <c r="F24209" i="5"/>
  <c r="F24208" i="5"/>
  <c r="F24207" i="5"/>
  <c r="F24206" i="5"/>
  <c r="F24205" i="5"/>
  <c r="F24204" i="5"/>
  <c r="F24203" i="5"/>
  <c r="F24202" i="5"/>
  <c r="F24201" i="5"/>
  <c r="F24200" i="5"/>
  <c r="F24199" i="5"/>
  <c r="F24198" i="5"/>
  <c r="F24197" i="5"/>
  <c r="F24196" i="5"/>
  <c r="F24195" i="5"/>
  <c r="F24194" i="5"/>
  <c r="F24193" i="5"/>
  <c r="F24192" i="5"/>
  <c r="F24191" i="5"/>
  <c r="F24190" i="5"/>
  <c r="F24189" i="5"/>
  <c r="F24188" i="5"/>
  <c r="F24187" i="5"/>
  <c r="F24186" i="5"/>
  <c r="F24185" i="5"/>
  <c r="F24184" i="5"/>
  <c r="F24183" i="5"/>
  <c r="F24182" i="5"/>
  <c r="F24181" i="5"/>
  <c r="F24180" i="5"/>
  <c r="F24179" i="5"/>
  <c r="F24178" i="5"/>
  <c r="F24177" i="5"/>
  <c r="F24176" i="5"/>
  <c r="F24175" i="5"/>
  <c r="F24174" i="5"/>
  <c r="F24173" i="5"/>
  <c r="F24172" i="5"/>
  <c r="F24171" i="5"/>
  <c r="F24170" i="5"/>
  <c r="F24169" i="5"/>
  <c r="F24168" i="5"/>
  <c r="F24167" i="5"/>
  <c r="F24166" i="5"/>
  <c r="F24165" i="5"/>
  <c r="F24164" i="5"/>
  <c r="F24163" i="5"/>
  <c r="F24162" i="5"/>
  <c r="F24161" i="5"/>
  <c r="F24160" i="5"/>
  <c r="F24159" i="5"/>
  <c r="F24158" i="5"/>
  <c r="F24157" i="5"/>
  <c r="F24156" i="5"/>
  <c r="F24155" i="5"/>
  <c r="F24154" i="5"/>
  <c r="F24153" i="5"/>
  <c r="F24152" i="5"/>
  <c r="F24151" i="5"/>
  <c r="F24150" i="5"/>
  <c r="F24149" i="5"/>
  <c r="F24148" i="5"/>
  <c r="F24147" i="5"/>
  <c r="F24146" i="5"/>
  <c r="F24145" i="5"/>
  <c r="F24144" i="5"/>
  <c r="F24143" i="5"/>
  <c r="F24142" i="5"/>
  <c r="F24141" i="5"/>
  <c r="F24140" i="5"/>
  <c r="F24139" i="5"/>
  <c r="F24138" i="5"/>
  <c r="F24137" i="5"/>
  <c r="F24136" i="5"/>
  <c r="F24135" i="5"/>
  <c r="F24134" i="5"/>
  <c r="F24133" i="5"/>
  <c r="F24132" i="5"/>
  <c r="F24131" i="5"/>
  <c r="F24130" i="5"/>
  <c r="F24129" i="5"/>
  <c r="F24128" i="5"/>
  <c r="F24127" i="5"/>
  <c r="F24126" i="5"/>
  <c r="F24125" i="5"/>
  <c r="F24124" i="5"/>
  <c r="F24123" i="5"/>
  <c r="F24122" i="5"/>
  <c r="F24121" i="5"/>
  <c r="F24120" i="5"/>
  <c r="F24119" i="5"/>
  <c r="F24118" i="5"/>
  <c r="F24117" i="5"/>
  <c r="F24116" i="5"/>
  <c r="F24115" i="5"/>
  <c r="F24114" i="5"/>
  <c r="F24113" i="5"/>
  <c r="F24112" i="5"/>
  <c r="F24111" i="5"/>
  <c r="F24110" i="5"/>
  <c r="F24109" i="5"/>
  <c r="F24108" i="5"/>
  <c r="F24107" i="5"/>
  <c r="F24106" i="5"/>
  <c r="F24105" i="5"/>
  <c r="F24104" i="5"/>
  <c r="F24103" i="5"/>
  <c r="F24102" i="5"/>
  <c r="F24101" i="5"/>
  <c r="F24100" i="5"/>
  <c r="F24099" i="5"/>
  <c r="F24098" i="5"/>
  <c r="F24097" i="5"/>
  <c r="F24096" i="5"/>
  <c r="F24095" i="5"/>
  <c r="F24094" i="5"/>
  <c r="F24093" i="5"/>
  <c r="F24092" i="5"/>
  <c r="F24091" i="5"/>
  <c r="F24090" i="5"/>
  <c r="F24089" i="5"/>
  <c r="F24088" i="5"/>
  <c r="F24087" i="5"/>
  <c r="F24086" i="5"/>
  <c r="F24085" i="5"/>
  <c r="F24084" i="5"/>
  <c r="F24083" i="5"/>
  <c r="F24082" i="5"/>
  <c r="F24081" i="5"/>
  <c r="F24080" i="5"/>
  <c r="F24079" i="5"/>
  <c r="F24078" i="5"/>
  <c r="F24077" i="5"/>
  <c r="F24076" i="5"/>
  <c r="F24075" i="5"/>
  <c r="F24074" i="5"/>
  <c r="F24073" i="5"/>
  <c r="F24072" i="5"/>
  <c r="F24071" i="5"/>
  <c r="F24070" i="5"/>
  <c r="F24069" i="5"/>
  <c r="F24068" i="5"/>
  <c r="F24067" i="5"/>
  <c r="F24066" i="5"/>
  <c r="F24065" i="5"/>
  <c r="F24064" i="5"/>
  <c r="F24063" i="5"/>
  <c r="F24062" i="5"/>
  <c r="F24061" i="5"/>
  <c r="F24060" i="5"/>
  <c r="F24059" i="5"/>
  <c r="F24058" i="5"/>
  <c r="F24057" i="5"/>
  <c r="F24056" i="5"/>
  <c r="F24055" i="5"/>
  <c r="F24054" i="5"/>
  <c r="F24053" i="5"/>
  <c r="F24052" i="5"/>
  <c r="F24051" i="5"/>
  <c r="F24050" i="5"/>
  <c r="F24049" i="5"/>
  <c r="F24048" i="5"/>
  <c r="F24047" i="5"/>
  <c r="F24046" i="5"/>
  <c r="F24045" i="5"/>
  <c r="F24044" i="5"/>
  <c r="F24043" i="5"/>
  <c r="F24042" i="5"/>
  <c r="F24041" i="5"/>
  <c r="F24040" i="5"/>
  <c r="F24039" i="5"/>
  <c r="F24038" i="5"/>
  <c r="F24037" i="5"/>
  <c r="F24036" i="5"/>
  <c r="F24035" i="5"/>
  <c r="F24034" i="5"/>
  <c r="F24033" i="5"/>
  <c r="F24032" i="5"/>
  <c r="F24031" i="5"/>
  <c r="F24030" i="5"/>
  <c r="F24029" i="5"/>
  <c r="F24028" i="5"/>
  <c r="F24027" i="5"/>
  <c r="F24026" i="5"/>
  <c r="F24025" i="5"/>
  <c r="F24024" i="5"/>
  <c r="F24023" i="5"/>
  <c r="F24022" i="5"/>
  <c r="F24021" i="5"/>
  <c r="F24020" i="5"/>
  <c r="F24019" i="5"/>
  <c r="F24018" i="5"/>
  <c r="F24017" i="5"/>
  <c r="F24016" i="5"/>
  <c r="F24015" i="5"/>
  <c r="F24014" i="5"/>
  <c r="F24013" i="5"/>
  <c r="F24012" i="5"/>
  <c r="F24011" i="5"/>
  <c r="F24010" i="5"/>
  <c r="F24009" i="5"/>
  <c r="F24008" i="5"/>
  <c r="F24007" i="5"/>
  <c r="F24006" i="5"/>
  <c r="F24005" i="5"/>
  <c r="F24004" i="5"/>
  <c r="F24003" i="5"/>
  <c r="F24002" i="5"/>
  <c r="F24001" i="5"/>
  <c r="F24000" i="5"/>
  <c r="F23999" i="5"/>
  <c r="F23998" i="5"/>
  <c r="F23997" i="5"/>
  <c r="F23996" i="5"/>
  <c r="F23995" i="5"/>
  <c r="F23994" i="5"/>
  <c r="F23993" i="5"/>
  <c r="F23992" i="5"/>
  <c r="F23991" i="5"/>
  <c r="F23990" i="5"/>
  <c r="F23989" i="5"/>
  <c r="F23988" i="5"/>
  <c r="F23987" i="5"/>
  <c r="F23986" i="5"/>
  <c r="F23985" i="5"/>
  <c r="F23984" i="5"/>
  <c r="F23983" i="5"/>
  <c r="F23982" i="5"/>
  <c r="F23981" i="5"/>
  <c r="F23980" i="5"/>
  <c r="F23979" i="5"/>
  <c r="F23978" i="5"/>
  <c r="F23977" i="5"/>
  <c r="F23976" i="5"/>
  <c r="F23975" i="5"/>
  <c r="F23974" i="5"/>
  <c r="F23973" i="5"/>
  <c r="F23972" i="5"/>
  <c r="F23971" i="5"/>
  <c r="F23970" i="5"/>
  <c r="F23969" i="5"/>
  <c r="F23968" i="5"/>
  <c r="F23967" i="5"/>
  <c r="F23966" i="5"/>
  <c r="F23965" i="5"/>
  <c r="F23964" i="5"/>
  <c r="F23963" i="5"/>
  <c r="F23962" i="5"/>
  <c r="F23961" i="5"/>
  <c r="F23960" i="5"/>
  <c r="F23959" i="5"/>
  <c r="F23958" i="5"/>
  <c r="F23957" i="5"/>
  <c r="F23956" i="5"/>
  <c r="F23955" i="5"/>
  <c r="F23954" i="5"/>
  <c r="F23953" i="5"/>
  <c r="F23952" i="5"/>
  <c r="F23951" i="5"/>
  <c r="F23950" i="5"/>
  <c r="F23949" i="5"/>
  <c r="F23948" i="5"/>
  <c r="F23947" i="5"/>
  <c r="F23946" i="5"/>
  <c r="F23945" i="5"/>
  <c r="F23944" i="5"/>
  <c r="F23943" i="5"/>
  <c r="F23942" i="5"/>
  <c r="F23941" i="5"/>
  <c r="F23940" i="5"/>
  <c r="F23939" i="5"/>
  <c r="F23938" i="5"/>
  <c r="F23937" i="5"/>
  <c r="F23936" i="5"/>
  <c r="F23935" i="5"/>
  <c r="F23934" i="5"/>
  <c r="F23933" i="5"/>
  <c r="F23932" i="5"/>
  <c r="F23931" i="5"/>
  <c r="F23930" i="5"/>
  <c r="F23929" i="5"/>
  <c r="F23928" i="5"/>
  <c r="F23927" i="5"/>
  <c r="F23926" i="5"/>
  <c r="F23925" i="5"/>
  <c r="F23924" i="5"/>
  <c r="F23923" i="5"/>
  <c r="F23922" i="5"/>
  <c r="F23921" i="5"/>
  <c r="F23920" i="5"/>
  <c r="F23919" i="5"/>
  <c r="F23918" i="5"/>
  <c r="F23917" i="5"/>
  <c r="F23916" i="5"/>
  <c r="F23915" i="5"/>
  <c r="F23914" i="5"/>
  <c r="F23913" i="5"/>
  <c r="F23912" i="5"/>
  <c r="F23911" i="5"/>
  <c r="F23910" i="5"/>
  <c r="F23909" i="5"/>
  <c r="F23908" i="5"/>
  <c r="F23907" i="5"/>
  <c r="F23906" i="5"/>
  <c r="F23905" i="5"/>
  <c r="F23904" i="5"/>
  <c r="F23903" i="5"/>
  <c r="F23902" i="5"/>
  <c r="F23901" i="5"/>
  <c r="F23900" i="5"/>
  <c r="F23899" i="5"/>
  <c r="F23898" i="5"/>
  <c r="F23897" i="5"/>
  <c r="F23896" i="5"/>
  <c r="F23895" i="5"/>
  <c r="F23894" i="5"/>
  <c r="F23893" i="5"/>
  <c r="F23892" i="5"/>
  <c r="F23891" i="5"/>
  <c r="F23890" i="5"/>
  <c r="F23889" i="5"/>
  <c r="F23888" i="5"/>
  <c r="F23887" i="5"/>
  <c r="F23886" i="5"/>
  <c r="F23885" i="5"/>
  <c r="F23884" i="5"/>
  <c r="F23883" i="5"/>
  <c r="F23882" i="5"/>
  <c r="F23881" i="5"/>
  <c r="F23880" i="5"/>
  <c r="F23879" i="5"/>
  <c r="F23878" i="5"/>
  <c r="F23877" i="5"/>
  <c r="F23876" i="5"/>
  <c r="F23875" i="5"/>
  <c r="F23874" i="5"/>
  <c r="F23873" i="5"/>
  <c r="F23872" i="5"/>
  <c r="F23871" i="5"/>
  <c r="F23870" i="5"/>
  <c r="F23869" i="5"/>
  <c r="F23868" i="5"/>
  <c r="F23867" i="5"/>
  <c r="F23866" i="5"/>
  <c r="F23865" i="5"/>
  <c r="F23864" i="5"/>
  <c r="F23863" i="5"/>
  <c r="F23862" i="5"/>
  <c r="F23861" i="5"/>
  <c r="F23860" i="5"/>
  <c r="F23859" i="5"/>
  <c r="F23858" i="5"/>
  <c r="F23857" i="5"/>
  <c r="F23856" i="5"/>
  <c r="F23855" i="5"/>
  <c r="F23854" i="5"/>
  <c r="F23853" i="5"/>
  <c r="F23852" i="5"/>
  <c r="F23851" i="5"/>
  <c r="F23850" i="5"/>
  <c r="F23849" i="5"/>
  <c r="F23848" i="5"/>
  <c r="F23847" i="5"/>
  <c r="F23846" i="5"/>
  <c r="F23845" i="5"/>
  <c r="F23844" i="5"/>
  <c r="F23843" i="5"/>
  <c r="F23842" i="5"/>
  <c r="F23841" i="5"/>
  <c r="F23840" i="5"/>
  <c r="F23839" i="5"/>
  <c r="F23838" i="5"/>
  <c r="F23837" i="5"/>
  <c r="F23836" i="5"/>
  <c r="F23835" i="5"/>
  <c r="F23834" i="5"/>
  <c r="F23833" i="5"/>
  <c r="F23832" i="5"/>
  <c r="F23831" i="5"/>
  <c r="F23830" i="5"/>
  <c r="F23829" i="5"/>
  <c r="F23828" i="5"/>
  <c r="F23827" i="5"/>
  <c r="F23826" i="5"/>
  <c r="F23825" i="5"/>
  <c r="F23824" i="5"/>
  <c r="F23823" i="5"/>
  <c r="F23822" i="5"/>
  <c r="F23821" i="5"/>
  <c r="F23820" i="5"/>
  <c r="F23819" i="5"/>
  <c r="F23818" i="5"/>
  <c r="F23817" i="5"/>
  <c r="F23816" i="5"/>
  <c r="F23815" i="5"/>
  <c r="F23814" i="5"/>
  <c r="F23813" i="5"/>
  <c r="F23812" i="5"/>
  <c r="F23811" i="5"/>
  <c r="F23810" i="5"/>
  <c r="F23809" i="5"/>
  <c r="F23808" i="5"/>
  <c r="F23807" i="5"/>
  <c r="F23806" i="5"/>
  <c r="F23805" i="5"/>
  <c r="F23804" i="5"/>
  <c r="F23803" i="5"/>
  <c r="F23802" i="5"/>
  <c r="F23801" i="5"/>
  <c r="F23800" i="5"/>
  <c r="F23799" i="5"/>
  <c r="F23798" i="5"/>
  <c r="F23797" i="5"/>
  <c r="F23796" i="5"/>
  <c r="F23795" i="5"/>
  <c r="F23794" i="5"/>
  <c r="F23793" i="5"/>
  <c r="F23792" i="5"/>
  <c r="F23791" i="5"/>
  <c r="F23790" i="5"/>
  <c r="F23789" i="5"/>
  <c r="F23788" i="5"/>
  <c r="F23787" i="5"/>
  <c r="F23786" i="5"/>
  <c r="F23785" i="5"/>
  <c r="F23784" i="5"/>
  <c r="F23783" i="5"/>
  <c r="F23782" i="5"/>
  <c r="F23781" i="5"/>
  <c r="F23780" i="5"/>
  <c r="F23779" i="5"/>
  <c r="F23778" i="5"/>
  <c r="F23777" i="5"/>
  <c r="F23776" i="5"/>
  <c r="F23775" i="5"/>
  <c r="F23774" i="5"/>
  <c r="F23773" i="5"/>
  <c r="F23772" i="5"/>
  <c r="F23771" i="5"/>
  <c r="F23770" i="5"/>
  <c r="F23769" i="5"/>
  <c r="F23768" i="5"/>
  <c r="F23767" i="5"/>
  <c r="F23766" i="5"/>
  <c r="F23765" i="5"/>
  <c r="F23764" i="5"/>
  <c r="F23763" i="5"/>
  <c r="F23762" i="5"/>
  <c r="F23761" i="5"/>
  <c r="F23760" i="5"/>
  <c r="F23759" i="5"/>
  <c r="F23758" i="5"/>
  <c r="F23757" i="5"/>
  <c r="F23756" i="5"/>
  <c r="F23755" i="5"/>
  <c r="F23754" i="5"/>
  <c r="F23753" i="5"/>
  <c r="F23752" i="5"/>
  <c r="F23751" i="5"/>
  <c r="F23750" i="5"/>
  <c r="F23749" i="5"/>
  <c r="F23748" i="5"/>
  <c r="F23747" i="5"/>
  <c r="F23746" i="5"/>
  <c r="F23745" i="5"/>
  <c r="F23744" i="5"/>
  <c r="F23743" i="5"/>
  <c r="F23742" i="5"/>
  <c r="F23741" i="5"/>
  <c r="F23740" i="5"/>
  <c r="F23739" i="5"/>
  <c r="F23738" i="5"/>
  <c r="F23737" i="5"/>
  <c r="F23736" i="5"/>
  <c r="F23735" i="5"/>
  <c r="F23734" i="5"/>
  <c r="F23733" i="5"/>
  <c r="F23732" i="5"/>
  <c r="F23731" i="5"/>
  <c r="F23730" i="5"/>
  <c r="F23729" i="5"/>
  <c r="F23728" i="5"/>
  <c r="F23727" i="5"/>
  <c r="F23726" i="5"/>
  <c r="F23725" i="5"/>
  <c r="F23724" i="5"/>
  <c r="F23723" i="5"/>
  <c r="F23722" i="5"/>
  <c r="F23721" i="5"/>
  <c r="F23720" i="5"/>
  <c r="F23719" i="5"/>
  <c r="F23718" i="5"/>
  <c r="F23717" i="5"/>
  <c r="F23716" i="5"/>
  <c r="F23715" i="5"/>
  <c r="F23714" i="5"/>
  <c r="F23713" i="5"/>
  <c r="F23712" i="5"/>
  <c r="F23711" i="5"/>
  <c r="F23710" i="5"/>
  <c r="F23709" i="5"/>
  <c r="F23708" i="5"/>
  <c r="F23707" i="5"/>
  <c r="F23706" i="5"/>
  <c r="F23705" i="5"/>
  <c r="F23704" i="5"/>
  <c r="F23703" i="5"/>
  <c r="F23702" i="5"/>
  <c r="F23701" i="5"/>
  <c r="F23700" i="5"/>
  <c r="F23699" i="5"/>
  <c r="F23698" i="5"/>
  <c r="F23697" i="5"/>
  <c r="F23696" i="5"/>
  <c r="F23695" i="5"/>
  <c r="F23694" i="5"/>
  <c r="F23693" i="5"/>
  <c r="F23692" i="5"/>
  <c r="F23691" i="5"/>
  <c r="F23690" i="5"/>
  <c r="F23689" i="5"/>
  <c r="F23688" i="5"/>
  <c r="F23687" i="5"/>
  <c r="F23686" i="5"/>
  <c r="F23685" i="5"/>
  <c r="F23684" i="5"/>
  <c r="F23683" i="5"/>
  <c r="F23682" i="5"/>
  <c r="F23681" i="5"/>
  <c r="F23680" i="5"/>
  <c r="F23679" i="5"/>
  <c r="F23678" i="5"/>
  <c r="F23677" i="5"/>
  <c r="F23676" i="5"/>
  <c r="F23675" i="5"/>
  <c r="F23674" i="5"/>
  <c r="F23673" i="5"/>
  <c r="F23672" i="5"/>
  <c r="F23671" i="5"/>
  <c r="F23670" i="5"/>
  <c r="F23669" i="5"/>
  <c r="F23668" i="5"/>
  <c r="F23667" i="5"/>
  <c r="F23666" i="5"/>
  <c r="F23665" i="5"/>
  <c r="F23664" i="5"/>
  <c r="F23663" i="5"/>
  <c r="F23662" i="5"/>
  <c r="F23661" i="5"/>
  <c r="F23660" i="5"/>
  <c r="F23659" i="5"/>
  <c r="F23658" i="5"/>
  <c r="F23657" i="5"/>
  <c r="F23656" i="5"/>
  <c r="F23655" i="5"/>
  <c r="F23654" i="5"/>
  <c r="F23653" i="5"/>
  <c r="F23652" i="5"/>
  <c r="F23651" i="5"/>
  <c r="F23650" i="5"/>
  <c r="F23649" i="5"/>
  <c r="F23648" i="5"/>
  <c r="F23647" i="5"/>
  <c r="F23646" i="5"/>
  <c r="F23645" i="5"/>
  <c r="F23644" i="5"/>
  <c r="F23643" i="5"/>
  <c r="F23642" i="5"/>
  <c r="F23641" i="5"/>
  <c r="F23640" i="5"/>
  <c r="F23639" i="5"/>
  <c r="F23638" i="5"/>
  <c r="F23637" i="5"/>
  <c r="F23636" i="5"/>
  <c r="F23635" i="5"/>
  <c r="F23634" i="5"/>
  <c r="F23633" i="5"/>
  <c r="F23632" i="5"/>
  <c r="F23631" i="5"/>
  <c r="F23630" i="5"/>
  <c r="F23629" i="5"/>
  <c r="F23628" i="5"/>
  <c r="F23627" i="5"/>
  <c r="F23626" i="5"/>
  <c r="F23625" i="5"/>
  <c r="F23624" i="5"/>
  <c r="F23623" i="5"/>
  <c r="F23622" i="5"/>
  <c r="F23621" i="5"/>
  <c r="F23620" i="5"/>
  <c r="F23619" i="5"/>
  <c r="F23618" i="5"/>
  <c r="F23617" i="5"/>
  <c r="F23616" i="5"/>
  <c r="F23615" i="5"/>
  <c r="F23614" i="5"/>
  <c r="F23613" i="5"/>
  <c r="F23612" i="5"/>
  <c r="F23611" i="5"/>
  <c r="F23610" i="5"/>
  <c r="F23609" i="5"/>
  <c r="F23608" i="5"/>
  <c r="F23607" i="5"/>
  <c r="F23606" i="5"/>
  <c r="F23605" i="5"/>
  <c r="F23604" i="5"/>
  <c r="F23603" i="5"/>
  <c r="F23602" i="5"/>
  <c r="F23601" i="5"/>
  <c r="F23600" i="5"/>
  <c r="F23599" i="5"/>
  <c r="F23598" i="5"/>
  <c r="F23597" i="5"/>
  <c r="F23596" i="5"/>
  <c r="F23595" i="5"/>
  <c r="F23594" i="5"/>
  <c r="F23593" i="5"/>
  <c r="F23592" i="5"/>
  <c r="F23591" i="5"/>
  <c r="F23590" i="5"/>
  <c r="F23589" i="5"/>
  <c r="F23588" i="5"/>
  <c r="F23587" i="5"/>
  <c r="F23586" i="5"/>
  <c r="F23585" i="5"/>
  <c r="F23584" i="5"/>
  <c r="F23583" i="5"/>
  <c r="F23582" i="5"/>
  <c r="F23581" i="5"/>
  <c r="F23580" i="5"/>
  <c r="F23579" i="5"/>
  <c r="F23578" i="5"/>
  <c r="F23577" i="5"/>
  <c r="F23576" i="5"/>
  <c r="F23575" i="5"/>
  <c r="F23574" i="5"/>
  <c r="F23573" i="5"/>
  <c r="F23572" i="5"/>
  <c r="F23571" i="5"/>
  <c r="F23570" i="5"/>
  <c r="F23569" i="5"/>
  <c r="F23568" i="5"/>
  <c r="F23567" i="5"/>
  <c r="F23566" i="5"/>
  <c r="F23565" i="5"/>
  <c r="F23564" i="5"/>
  <c r="F23563" i="5"/>
  <c r="F23562" i="5"/>
  <c r="F23561" i="5"/>
  <c r="F23560" i="5"/>
  <c r="F23559" i="5"/>
  <c r="F23558" i="5"/>
  <c r="F23557" i="5"/>
  <c r="F23556" i="5"/>
  <c r="F23555" i="5"/>
  <c r="F23554" i="5"/>
  <c r="F23553" i="5"/>
  <c r="F23552" i="5"/>
  <c r="F23551" i="5"/>
  <c r="F23550" i="5"/>
  <c r="F23549" i="5"/>
  <c r="F23548" i="5"/>
  <c r="F23547" i="5"/>
  <c r="F23546" i="5"/>
  <c r="F23545" i="5"/>
  <c r="F23544" i="5"/>
  <c r="F23543" i="5"/>
  <c r="F23542" i="5"/>
  <c r="F23541" i="5"/>
  <c r="F23540" i="5"/>
  <c r="F23539" i="5"/>
  <c r="F23538" i="5"/>
  <c r="F23537" i="5"/>
  <c r="F23536" i="5"/>
  <c r="F23535" i="5"/>
  <c r="F23534" i="5"/>
  <c r="F23533" i="5"/>
  <c r="F23532" i="5"/>
  <c r="F23531" i="5"/>
  <c r="F23530" i="5"/>
  <c r="F23529" i="5"/>
  <c r="F23528" i="5"/>
  <c r="F23527" i="5"/>
  <c r="F23526" i="5"/>
  <c r="F23525" i="5"/>
  <c r="F23524" i="5"/>
  <c r="F23523" i="5"/>
  <c r="F23522" i="5"/>
  <c r="F23521" i="5"/>
  <c r="F23520" i="5"/>
  <c r="F23519" i="5"/>
  <c r="F23518" i="5"/>
  <c r="F23517" i="5"/>
  <c r="F23516" i="5"/>
  <c r="F23515" i="5"/>
  <c r="F23514" i="5"/>
  <c r="F23513" i="5"/>
  <c r="F23512" i="5"/>
  <c r="F23511" i="5"/>
  <c r="F23510" i="5"/>
  <c r="F23509" i="5"/>
  <c r="F23508" i="5"/>
  <c r="F23507" i="5"/>
  <c r="F23506" i="5"/>
  <c r="F23505" i="5"/>
  <c r="F23504" i="5"/>
  <c r="F23503" i="5"/>
  <c r="F23502" i="5"/>
  <c r="F23501" i="5"/>
  <c r="F23500" i="5"/>
  <c r="F23499" i="5"/>
  <c r="F23498" i="5"/>
  <c r="F23497" i="5"/>
  <c r="F23496" i="5"/>
  <c r="F23495" i="5"/>
  <c r="F23494" i="5"/>
  <c r="F23493" i="5"/>
  <c r="F23492" i="5"/>
  <c r="F23491" i="5"/>
  <c r="F23490" i="5"/>
  <c r="F23489" i="5"/>
  <c r="F23488" i="5"/>
  <c r="F23487" i="5"/>
  <c r="F23486" i="5"/>
  <c r="F23485" i="5"/>
  <c r="F23484" i="5"/>
  <c r="F23483" i="5"/>
  <c r="F23482" i="5"/>
  <c r="F23481" i="5"/>
  <c r="F23480" i="5"/>
  <c r="F23479" i="5"/>
  <c r="F23478" i="5"/>
  <c r="F23477" i="5"/>
  <c r="F23476" i="5"/>
  <c r="F23475" i="5"/>
  <c r="F23474" i="5"/>
  <c r="F23473" i="5"/>
  <c r="F23472" i="5"/>
  <c r="F23471" i="5"/>
  <c r="F23470" i="5"/>
  <c r="F23469" i="5"/>
  <c r="F23468" i="5"/>
  <c r="F23467" i="5"/>
  <c r="F23466" i="5"/>
  <c r="F23465" i="5"/>
  <c r="F23464" i="5"/>
  <c r="F23463" i="5"/>
  <c r="F23462" i="5"/>
  <c r="F23461" i="5"/>
  <c r="F23460" i="5"/>
  <c r="F23459" i="5"/>
  <c r="F23458" i="5"/>
  <c r="F23457" i="5"/>
  <c r="F23456" i="5"/>
  <c r="F23455" i="5"/>
  <c r="F23454" i="5"/>
  <c r="F23453" i="5"/>
  <c r="F23452" i="5"/>
  <c r="F23451" i="5"/>
  <c r="F23450" i="5"/>
  <c r="F23449" i="5"/>
  <c r="F23448" i="5"/>
  <c r="F23447" i="5"/>
  <c r="F23446" i="5"/>
  <c r="F23445" i="5"/>
  <c r="F23444" i="5"/>
  <c r="F23443" i="5"/>
  <c r="F23442" i="5"/>
  <c r="F23441" i="5"/>
  <c r="F23440" i="5"/>
  <c r="F23439" i="5"/>
  <c r="F23438" i="5"/>
  <c r="F23437" i="5"/>
  <c r="F23436" i="5"/>
  <c r="F23435" i="5"/>
  <c r="F23434" i="5"/>
  <c r="F23433" i="5"/>
  <c r="F23432" i="5"/>
  <c r="F23431" i="5"/>
  <c r="F23430" i="5"/>
  <c r="F23429" i="5"/>
  <c r="F23428" i="5"/>
  <c r="F23427" i="5"/>
  <c r="F23426" i="5"/>
  <c r="F23425" i="5"/>
  <c r="F23424" i="5"/>
  <c r="F23423" i="5"/>
  <c r="F23422" i="5"/>
  <c r="F23421" i="5"/>
  <c r="F23420" i="5"/>
  <c r="F23419" i="5"/>
  <c r="F23418" i="5"/>
  <c r="F23417" i="5"/>
  <c r="F23416" i="5"/>
  <c r="F23415" i="5"/>
  <c r="F23414" i="5"/>
  <c r="F23413" i="5"/>
  <c r="F23412" i="5"/>
  <c r="F23411" i="5"/>
  <c r="F23410" i="5"/>
  <c r="F23409" i="5"/>
  <c r="F23408" i="5"/>
  <c r="F23407" i="5"/>
  <c r="F23406" i="5"/>
  <c r="F23405" i="5"/>
  <c r="F23404" i="5"/>
  <c r="F23403" i="5"/>
  <c r="F23402" i="5"/>
  <c r="F23401" i="5"/>
  <c r="F23400" i="5"/>
  <c r="F23399" i="5"/>
  <c r="F23398" i="5"/>
  <c r="F23397" i="5"/>
  <c r="F23396" i="5"/>
  <c r="F23395" i="5"/>
  <c r="F23394" i="5"/>
  <c r="F23393" i="5"/>
  <c r="F23392" i="5"/>
  <c r="F23391" i="5"/>
  <c r="F23390" i="5"/>
  <c r="F23389" i="5"/>
  <c r="F23388" i="5"/>
  <c r="F23387" i="5"/>
  <c r="F23386" i="5"/>
  <c r="F23385" i="5"/>
  <c r="F23384" i="5"/>
  <c r="F23383" i="5"/>
  <c r="F23382" i="5"/>
  <c r="F23381" i="5"/>
  <c r="F23380" i="5"/>
  <c r="F23379" i="5"/>
  <c r="F23378" i="5"/>
  <c r="F23377" i="5"/>
  <c r="F23376" i="5"/>
  <c r="F23375" i="5"/>
  <c r="F23374" i="5"/>
  <c r="F23373" i="5"/>
  <c r="F23372" i="5"/>
  <c r="F23371" i="5"/>
  <c r="F23370" i="5"/>
  <c r="F23369" i="5"/>
  <c r="F23368" i="5"/>
  <c r="F23367" i="5"/>
  <c r="F23366" i="5"/>
  <c r="F23365" i="5"/>
  <c r="F23364" i="5"/>
  <c r="F23363" i="5"/>
  <c r="F23362" i="5"/>
  <c r="F23361" i="5"/>
  <c r="F23360" i="5"/>
  <c r="F23359" i="5"/>
  <c r="F23358" i="5"/>
  <c r="F23357" i="5"/>
  <c r="F23356" i="5"/>
  <c r="F23355" i="5"/>
  <c r="F23354" i="5"/>
  <c r="F23353" i="5"/>
  <c r="F23352" i="5"/>
  <c r="F23351" i="5"/>
  <c r="F23350" i="5"/>
  <c r="F23349" i="5"/>
  <c r="F23348" i="5"/>
  <c r="F23347" i="5"/>
  <c r="F23346" i="5"/>
  <c r="F23345" i="5"/>
  <c r="F23344" i="5"/>
  <c r="F23343" i="5"/>
  <c r="F23342" i="5"/>
  <c r="F23341" i="5"/>
  <c r="F23340" i="5"/>
  <c r="F23339" i="5"/>
  <c r="F23338" i="5"/>
  <c r="F23337" i="5"/>
  <c r="F23336" i="5"/>
  <c r="F23335" i="5"/>
  <c r="F23334" i="5"/>
  <c r="F23333" i="5"/>
  <c r="F23332" i="5"/>
  <c r="F23331" i="5"/>
  <c r="F23330" i="5"/>
  <c r="F23329" i="5"/>
  <c r="F23328" i="5"/>
  <c r="F23327" i="5"/>
  <c r="F23326" i="5"/>
  <c r="F23325" i="5"/>
  <c r="F23324" i="5"/>
  <c r="F23323" i="5"/>
  <c r="F23322" i="5"/>
  <c r="F23321" i="5"/>
  <c r="F23320" i="5"/>
  <c r="F23319" i="5"/>
  <c r="F23318" i="5"/>
  <c r="F23317" i="5"/>
  <c r="F23316" i="5"/>
  <c r="F23315" i="5"/>
  <c r="F23314" i="5"/>
  <c r="F23313" i="5"/>
  <c r="F23312" i="5"/>
  <c r="F23311" i="5"/>
  <c r="F23310" i="5"/>
  <c r="F23309" i="5"/>
  <c r="F23308" i="5"/>
  <c r="F23307" i="5"/>
  <c r="F23306" i="5"/>
  <c r="F23305" i="5"/>
  <c r="F23304" i="5"/>
  <c r="F23303" i="5"/>
  <c r="F23302" i="5"/>
  <c r="F23301" i="5"/>
  <c r="F23300" i="5"/>
  <c r="F23299" i="5"/>
  <c r="F23298" i="5"/>
  <c r="F23297" i="5"/>
  <c r="F23296" i="5"/>
  <c r="F23295" i="5"/>
  <c r="F23294" i="5"/>
  <c r="F23293" i="5"/>
  <c r="F23292" i="5"/>
  <c r="F23291" i="5"/>
  <c r="F23290" i="5"/>
  <c r="F23289" i="5"/>
  <c r="F23288" i="5"/>
  <c r="F23287" i="5"/>
  <c r="F23286" i="5"/>
  <c r="F23285" i="5"/>
  <c r="F23284" i="5"/>
  <c r="F23283" i="5"/>
  <c r="F23282" i="5"/>
  <c r="F23281" i="5"/>
  <c r="F23280" i="5"/>
  <c r="F23279" i="5"/>
  <c r="F23278" i="5"/>
  <c r="F23277" i="5"/>
  <c r="F23276" i="5"/>
  <c r="F23275" i="5"/>
  <c r="F23274" i="5"/>
  <c r="F23273" i="5"/>
  <c r="F23272" i="5"/>
  <c r="F23271" i="5"/>
  <c r="F23270" i="5"/>
  <c r="F23269" i="5"/>
  <c r="F23268" i="5"/>
  <c r="F23267" i="5"/>
  <c r="F23266" i="5"/>
  <c r="F23265" i="5"/>
  <c r="F23264" i="5"/>
  <c r="F23263" i="5"/>
  <c r="F23262" i="5"/>
  <c r="F23261" i="5"/>
  <c r="F23260" i="5"/>
  <c r="F23259" i="5"/>
  <c r="F23258" i="5"/>
  <c r="F23257" i="5"/>
  <c r="F23256" i="5"/>
  <c r="F23255" i="5"/>
  <c r="F23254" i="5"/>
  <c r="F23253" i="5"/>
  <c r="F23252" i="5"/>
  <c r="F23251" i="5"/>
  <c r="F23250" i="5"/>
  <c r="F23249" i="5"/>
  <c r="F23248" i="5"/>
  <c r="F23247" i="5"/>
  <c r="F23246" i="5"/>
  <c r="F23245" i="5"/>
  <c r="F23244" i="5"/>
  <c r="F23243" i="5"/>
  <c r="F23242" i="5"/>
  <c r="F23241" i="5"/>
  <c r="F23240" i="5"/>
  <c r="F23239" i="5"/>
  <c r="F23238" i="5"/>
  <c r="F23237" i="5"/>
  <c r="F23236" i="5"/>
  <c r="F23235" i="5"/>
  <c r="F23234" i="5"/>
  <c r="F23233" i="5"/>
  <c r="F23232" i="5"/>
  <c r="F23231" i="5"/>
  <c r="F23230" i="5"/>
  <c r="F23229" i="5"/>
  <c r="F23228" i="5"/>
  <c r="F23227" i="5"/>
  <c r="F23226" i="5"/>
  <c r="F23225" i="5"/>
  <c r="F23224" i="5"/>
  <c r="F23223" i="5"/>
  <c r="F23222" i="5"/>
  <c r="F23221" i="5"/>
  <c r="F23220" i="5"/>
  <c r="F23219" i="5"/>
  <c r="F23218" i="5"/>
  <c r="F23217" i="5"/>
  <c r="F23216" i="5"/>
  <c r="F23215" i="5"/>
  <c r="F23214" i="5"/>
  <c r="F23213" i="5"/>
  <c r="F23212" i="5"/>
  <c r="F23211" i="5"/>
  <c r="F23210" i="5"/>
  <c r="F23209" i="5"/>
  <c r="F23208" i="5"/>
  <c r="F23207" i="5"/>
  <c r="F23206" i="5"/>
  <c r="F23205" i="5"/>
  <c r="F23204" i="5"/>
  <c r="F23203" i="5"/>
  <c r="F23202" i="5"/>
  <c r="F23201" i="5"/>
  <c r="F23200" i="5"/>
  <c r="F23199" i="5"/>
  <c r="F23198" i="5"/>
  <c r="F23197" i="5"/>
  <c r="F23196" i="5"/>
  <c r="F23195" i="5"/>
  <c r="F23194" i="5"/>
  <c r="F23193" i="5"/>
  <c r="F23192" i="5"/>
  <c r="F23191" i="5"/>
  <c r="F23190" i="5"/>
  <c r="F23189" i="5"/>
  <c r="F23188" i="5"/>
  <c r="F23187" i="5"/>
  <c r="F23186" i="5"/>
  <c r="F23185" i="5"/>
  <c r="F23184" i="5"/>
  <c r="F23183" i="5"/>
  <c r="F23182" i="5"/>
  <c r="F23181" i="5"/>
  <c r="F23180" i="5"/>
  <c r="F23179" i="5"/>
  <c r="F23178" i="5"/>
  <c r="F23177" i="5"/>
  <c r="F23176" i="5"/>
  <c r="F23175" i="5"/>
  <c r="F23174" i="5"/>
  <c r="F23173" i="5"/>
  <c r="F23172" i="5"/>
  <c r="F23171" i="5"/>
  <c r="F23170" i="5"/>
  <c r="F23169" i="5"/>
  <c r="F23168" i="5"/>
  <c r="F23167" i="5"/>
  <c r="F23166" i="5"/>
  <c r="F23165" i="5"/>
  <c r="F23164" i="5"/>
  <c r="F23163" i="5"/>
  <c r="F23162" i="5"/>
  <c r="F23161" i="5"/>
  <c r="F23160" i="5"/>
  <c r="F23159" i="5"/>
  <c r="F23158" i="5"/>
  <c r="F23157" i="5"/>
  <c r="F23156" i="5"/>
  <c r="F23155" i="5"/>
  <c r="F23154" i="5"/>
  <c r="F23153" i="5"/>
  <c r="F23152" i="5"/>
  <c r="F23151" i="5"/>
  <c r="F23150" i="5"/>
  <c r="F23149" i="5"/>
  <c r="F23148" i="5"/>
  <c r="F23147" i="5"/>
  <c r="F23146" i="5"/>
  <c r="F23145" i="5"/>
  <c r="F23144" i="5"/>
  <c r="F23143" i="5"/>
  <c r="F23142" i="5"/>
  <c r="F23141" i="5"/>
  <c r="F23140" i="5"/>
  <c r="F23139" i="5"/>
  <c r="F23138" i="5"/>
  <c r="F23137" i="5"/>
  <c r="F23136" i="5"/>
  <c r="F23135" i="5"/>
  <c r="F23134" i="5"/>
  <c r="F23133" i="5"/>
  <c r="F23132" i="5"/>
  <c r="F23131" i="5"/>
  <c r="F23130" i="5"/>
  <c r="F23129" i="5"/>
  <c r="F23128" i="5"/>
  <c r="F23127" i="5"/>
  <c r="F23126" i="5"/>
  <c r="F23125" i="5"/>
  <c r="F23124" i="5"/>
  <c r="F23123" i="5"/>
  <c r="F23122" i="5"/>
  <c r="F23121" i="5"/>
  <c r="F23120" i="5"/>
  <c r="F23119" i="5"/>
  <c r="F23118" i="5"/>
  <c r="F23117" i="5"/>
  <c r="F23116" i="5"/>
  <c r="F23115" i="5"/>
  <c r="F23114" i="5"/>
  <c r="F23113" i="5"/>
  <c r="F23112" i="5"/>
  <c r="F23111" i="5"/>
  <c r="F23110" i="5"/>
  <c r="F23109" i="5"/>
  <c r="F23108" i="5"/>
  <c r="F23107" i="5"/>
  <c r="F23106" i="5"/>
  <c r="F23105" i="5"/>
  <c r="F23104" i="5"/>
  <c r="F23103" i="5"/>
  <c r="F23102" i="5"/>
  <c r="F23101" i="5"/>
  <c r="F23100" i="5"/>
  <c r="F23099" i="5"/>
  <c r="F23098" i="5"/>
  <c r="F23097" i="5"/>
  <c r="F23096" i="5"/>
  <c r="F23095" i="5"/>
  <c r="F23094" i="5"/>
  <c r="F23093" i="5"/>
  <c r="F23092" i="5"/>
  <c r="F23091" i="5"/>
  <c r="F23090" i="5"/>
  <c r="F23089" i="5"/>
  <c r="F23088" i="5"/>
  <c r="F23087" i="5"/>
  <c r="F23086" i="5"/>
  <c r="F23085" i="5"/>
  <c r="F23084" i="5"/>
  <c r="F23083" i="5"/>
  <c r="F23082" i="5"/>
  <c r="F23081" i="5"/>
  <c r="F23080" i="5"/>
  <c r="F23079" i="5"/>
  <c r="F23078" i="5"/>
  <c r="F23077" i="5"/>
  <c r="F23076" i="5"/>
  <c r="F23075" i="5"/>
  <c r="F23074" i="5"/>
  <c r="F23073" i="5"/>
  <c r="F23072" i="5"/>
  <c r="F23071" i="5"/>
  <c r="F23070" i="5"/>
  <c r="F23069" i="5"/>
  <c r="F23068" i="5"/>
  <c r="F23067" i="5"/>
  <c r="F23066" i="5"/>
  <c r="F23065" i="5"/>
  <c r="F23064" i="5"/>
  <c r="F23063" i="5"/>
  <c r="F23062" i="5"/>
  <c r="F23061" i="5"/>
  <c r="F23060" i="5"/>
  <c r="F23059" i="5"/>
  <c r="F23058" i="5"/>
  <c r="F23057" i="5"/>
  <c r="F23056" i="5"/>
  <c r="F23055" i="5"/>
  <c r="F23054" i="5"/>
  <c r="F23053" i="5"/>
  <c r="F23052" i="5"/>
  <c r="F23051" i="5"/>
  <c r="F23050" i="5"/>
  <c r="F23049" i="5"/>
  <c r="F23048" i="5"/>
  <c r="F23047" i="5"/>
  <c r="F23046" i="5"/>
  <c r="F23045" i="5"/>
  <c r="F23044" i="5"/>
  <c r="F23043" i="5"/>
  <c r="F23042" i="5"/>
  <c r="F23041" i="5"/>
  <c r="F23040" i="5"/>
  <c r="F23039" i="5"/>
  <c r="F23038" i="5"/>
  <c r="F23037" i="5"/>
  <c r="F23036" i="5"/>
  <c r="F23035" i="5"/>
  <c r="F23034" i="5"/>
  <c r="F23033" i="5"/>
  <c r="F23032" i="5"/>
  <c r="F23031" i="5"/>
  <c r="F23030" i="5"/>
  <c r="F23029" i="5"/>
  <c r="F23028" i="5"/>
  <c r="F23027" i="5"/>
  <c r="F23026" i="5"/>
  <c r="F23025" i="5"/>
  <c r="F23024" i="5"/>
  <c r="F23023" i="5"/>
  <c r="F23022" i="5"/>
  <c r="F23021" i="5"/>
  <c r="F23020" i="5"/>
  <c r="F23019" i="5"/>
  <c r="F23018" i="5"/>
  <c r="F23017" i="5"/>
  <c r="F23016" i="5"/>
  <c r="F23015" i="5"/>
  <c r="F23014" i="5"/>
  <c r="F23013" i="5"/>
  <c r="F23012" i="5"/>
  <c r="F23011" i="5"/>
  <c r="F23010" i="5"/>
  <c r="F23009" i="5"/>
  <c r="F23008" i="5"/>
  <c r="F23007" i="5"/>
  <c r="F23006" i="5"/>
  <c r="F23005" i="5"/>
  <c r="F23004" i="5"/>
  <c r="F23003" i="5"/>
  <c r="F23002" i="5"/>
  <c r="F23001" i="5"/>
  <c r="F23000" i="5"/>
  <c r="F22999" i="5"/>
  <c r="F22998" i="5"/>
  <c r="F22997" i="5"/>
  <c r="F22996" i="5"/>
  <c r="F22995" i="5"/>
  <c r="F22994" i="5"/>
  <c r="F22993" i="5"/>
  <c r="F22992" i="5"/>
  <c r="F22991" i="5"/>
  <c r="F22990" i="5"/>
  <c r="F22989" i="5"/>
  <c r="F22988" i="5"/>
  <c r="F22987" i="5"/>
  <c r="F22986" i="5"/>
  <c r="F22985" i="5"/>
  <c r="F22984" i="5"/>
  <c r="F22983" i="5"/>
  <c r="F22982" i="5"/>
  <c r="F22981" i="5"/>
  <c r="F22980" i="5"/>
  <c r="F22979" i="5"/>
  <c r="F22978" i="5"/>
  <c r="F22977" i="5"/>
  <c r="F22976" i="5"/>
  <c r="F22975" i="5"/>
  <c r="F22974" i="5"/>
  <c r="F22973" i="5"/>
  <c r="F22972" i="5"/>
  <c r="F22971" i="5"/>
  <c r="F22970" i="5"/>
  <c r="F22969" i="5"/>
  <c r="F22968" i="5"/>
  <c r="F22967" i="5"/>
  <c r="F22966" i="5"/>
  <c r="F22965" i="5"/>
  <c r="F22964" i="5"/>
  <c r="F22963" i="5"/>
  <c r="F22962" i="5"/>
  <c r="F22961" i="5"/>
  <c r="F22960" i="5"/>
  <c r="F22959" i="5"/>
  <c r="F22958" i="5"/>
  <c r="F22957" i="5"/>
  <c r="F22956" i="5"/>
  <c r="F22955" i="5"/>
  <c r="F22954" i="5"/>
  <c r="F22953" i="5"/>
  <c r="F22952" i="5"/>
  <c r="F22951" i="5"/>
  <c r="F22950" i="5"/>
  <c r="F22949" i="5"/>
  <c r="F22948" i="5"/>
  <c r="F22947" i="5"/>
  <c r="F22946" i="5"/>
  <c r="F22945" i="5"/>
  <c r="F22944" i="5"/>
  <c r="F22943" i="5"/>
  <c r="F22942" i="5"/>
  <c r="F22941" i="5"/>
  <c r="F22940" i="5"/>
  <c r="F22939" i="5"/>
  <c r="F22938" i="5"/>
  <c r="F22937" i="5"/>
  <c r="F22936" i="5"/>
  <c r="F22935" i="5"/>
  <c r="F22934" i="5"/>
  <c r="F22933" i="5"/>
  <c r="F22932" i="5"/>
  <c r="F22931" i="5"/>
  <c r="F22930" i="5"/>
  <c r="F22929" i="5"/>
  <c r="F22928" i="5"/>
  <c r="F22927" i="5"/>
  <c r="F22926" i="5"/>
  <c r="F22925" i="5"/>
  <c r="F22924" i="5"/>
  <c r="F22923" i="5"/>
  <c r="F22922" i="5"/>
  <c r="F22921" i="5"/>
  <c r="F22920" i="5"/>
  <c r="F22919" i="5"/>
  <c r="F22918" i="5"/>
  <c r="F22917" i="5"/>
  <c r="F22916" i="5"/>
  <c r="F22915" i="5"/>
  <c r="F22914" i="5"/>
  <c r="F22913" i="5"/>
  <c r="F22912" i="5"/>
  <c r="F22911" i="5"/>
  <c r="F22910" i="5"/>
  <c r="F22909" i="5"/>
  <c r="F22908" i="5"/>
  <c r="F22907" i="5"/>
  <c r="F22906" i="5"/>
  <c r="F22905" i="5"/>
  <c r="F22904" i="5"/>
  <c r="F22903" i="5"/>
  <c r="F22902" i="5"/>
  <c r="F22901" i="5"/>
  <c r="F22900" i="5"/>
  <c r="F22899" i="5"/>
  <c r="F22898" i="5"/>
  <c r="F22897" i="5"/>
  <c r="F22896" i="5"/>
  <c r="F22895" i="5"/>
  <c r="F22894" i="5"/>
  <c r="F22893" i="5"/>
  <c r="F22892" i="5"/>
  <c r="F22891" i="5"/>
  <c r="F22890" i="5"/>
  <c r="F22889" i="5"/>
  <c r="F22888" i="5"/>
  <c r="F22887" i="5"/>
  <c r="F22886" i="5"/>
  <c r="F22885" i="5"/>
  <c r="F22884" i="5"/>
  <c r="F22883" i="5"/>
  <c r="F22882" i="5"/>
  <c r="F22881" i="5"/>
  <c r="F22880" i="5"/>
  <c r="F22879" i="5"/>
  <c r="F22878" i="5"/>
  <c r="F22877" i="5"/>
  <c r="F22876" i="5"/>
  <c r="F22875" i="5"/>
  <c r="F22874" i="5"/>
  <c r="F22873" i="5"/>
  <c r="F22872" i="5"/>
  <c r="F22871" i="5"/>
  <c r="F22870" i="5"/>
  <c r="F22869" i="5"/>
  <c r="F22868" i="5"/>
  <c r="F22867" i="5"/>
  <c r="F22866" i="5"/>
  <c r="F22865" i="5"/>
  <c r="F22864" i="5"/>
  <c r="F22863" i="5"/>
  <c r="F22862" i="5"/>
  <c r="F22861" i="5"/>
  <c r="F22860" i="5"/>
  <c r="F22859" i="5"/>
  <c r="F22858" i="5"/>
  <c r="F22857" i="5"/>
  <c r="F22856" i="5"/>
  <c r="F22855" i="5"/>
  <c r="F22854" i="5"/>
  <c r="F22853" i="5"/>
  <c r="F22852" i="5"/>
  <c r="F22851" i="5"/>
  <c r="F22850" i="5"/>
  <c r="F22849" i="5"/>
  <c r="F22848" i="5"/>
  <c r="F22847" i="5"/>
  <c r="F22846" i="5"/>
  <c r="F22845" i="5"/>
  <c r="F22844" i="5"/>
  <c r="F22843" i="5"/>
  <c r="F22842" i="5"/>
  <c r="F22841" i="5"/>
  <c r="F22840" i="5"/>
  <c r="F22839" i="5"/>
  <c r="F22838" i="5"/>
  <c r="F22837" i="5"/>
  <c r="F22836" i="5"/>
  <c r="F22835" i="5"/>
  <c r="F22834" i="5"/>
  <c r="F22833" i="5"/>
  <c r="F22832" i="5"/>
  <c r="F22831" i="5"/>
  <c r="F22830" i="5"/>
  <c r="F22829" i="5"/>
  <c r="F22828" i="5"/>
  <c r="F22827" i="5"/>
  <c r="F22826" i="5"/>
  <c r="F22825" i="5"/>
  <c r="F22824" i="5"/>
  <c r="F22823" i="5"/>
  <c r="F22822" i="5"/>
  <c r="F22821" i="5"/>
  <c r="F22820" i="5"/>
  <c r="F22819" i="5"/>
  <c r="F22818" i="5"/>
  <c r="F22817" i="5"/>
  <c r="F22816" i="5"/>
  <c r="F22815" i="5"/>
  <c r="F22814" i="5"/>
  <c r="F22813" i="5"/>
  <c r="F22812" i="5"/>
  <c r="F22811" i="5"/>
  <c r="F22810" i="5"/>
  <c r="F22809" i="5"/>
  <c r="F22808" i="5"/>
  <c r="F22807" i="5"/>
  <c r="F22806" i="5"/>
  <c r="F22805" i="5"/>
  <c r="F22804" i="5"/>
  <c r="F22803" i="5"/>
  <c r="F22802" i="5"/>
  <c r="F22801" i="5"/>
  <c r="F22800" i="5"/>
  <c r="F22799" i="5"/>
  <c r="F22798" i="5"/>
  <c r="F22797" i="5"/>
  <c r="F22796" i="5"/>
  <c r="F22795" i="5"/>
  <c r="F22794" i="5"/>
  <c r="F22793" i="5"/>
  <c r="F22792" i="5"/>
  <c r="F22791" i="5"/>
  <c r="F22790" i="5"/>
  <c r="F22789" i="5"/>
  <c r="F22788" i="5"/>
  <c r="F22787" i="5"/>
  <c r="F22786" i="5"/>
  <c r="F22785" i="5"/>
  <c r="F22784" i="5"/>
  <c r="F22783" i="5"/>
  <c r="F22782" i="5"/>
  <c r="F22781" i="5"/>
  <c r="F22780" i="5"/>
  <c r="F22779" i="5"/>
  <c r="F22778" i="5"/>
  <c r="F22777" i="5"/>
  <c r="F22776" i="5"/>
  <c r="F22775" i="5"/>
  <c r="F22774" i="5"/>
  <c r="F22773" i="5"/>
  <c r="F22772" i="5"/>
  <c r="F22771" i="5"/>
  <c r="F22770" i="5"/>
  <c r="F22769" i="5"/>
  <c r="F22768" i="5"/>
  <c r="F22767" i="5"/>
  <c r="F22766" i="5"/>
  <c r="F22765" i="5"/>
  <c r="F22764" i="5"/>
  <c r="F22763" i="5"/>
  <c r="F22762" i="5"/>
  <c r="F22761" i="5"/>
  <c r="F22760" i="5"/>
  <c r="F22759" i="5"/>
  <c r="F22758" i="5"/>
  <c r="F22757" i="5"/>
  <c r="F22756" i="5"/>
  <c r="F22755" i="5"/>
  <c r="F22754" i="5"/>
  <c r="F22753" i="5"/>
  <c r="F22752" i="5"/>
  <c r="F22751" i="5"/>
  <c r="F22750" i="5"/>
  <c r="F22749" i="5"/>
  <c r="F22748" i="5"/>
  <c r="F22747" i="5"/>
  <c r="F22746" i="5"/>
  <c r="F22745" i="5"/>
  <c r="F22744" i="5"/>
  <c r="F22743" i="5"/>
  <c r="F22742" i="5"/>
  <c r="F22741" i="5"/>
  <c r="F22740" i="5"/>
  <c r="F22739" i="5"/>
  <c r="F22738" i="5"/>
  <c r="F22737" i="5"/>
  <c r="F22736" i="5"/>
  <c r="F22735" i="5"/>
  <c r="F22734" i="5"/>
  <c r="F22733" i="5"/>
  <c r="F22732" i="5"/>
  <c r="F22731" i="5"/>
  <c r="F22730" i="5"/>
  <c r="F22729" i="5"/>
  <c r="F22728" i="5"/>
  <c r="F22727" i="5"/>
  <c r="F22726" i="5"/>
  <c r="F22725" i="5"/>
  <c r="F22724" i="5"/>
  <c r="F22723" i="5"/>
  <c r="F22722" i="5"/>
  <c r="F22721" i="5"/>
  <c r="F22720" i="5"/>
  <c r="F22719" i="5"/>
  <c r="F22718" i="5"/>
  <c r="F22717" i="5"/>
  <c r="F22716" i="5"/>
  <c r="F22715" i="5"/>
  <c r="F22714" i="5"/>
  <c r="F22713" i="5"/>
  <c r="F22712" i="5"/>
  <c r="F22711" i="5"/>
  <c r="F22710" i="5"/>
  <c r="F22709" i="5"/>
  <c r="F22708" i="5"/>
  <c r="F22707" i="5"/>
  <c r="F22706" i="5"/>
  <c r="F22705" i="5"/>
  <c r="F22704" i="5"/>
  <c r="F22703" i="5"/>
  <c r="F22702" i="5"/>
  <c r="F22701" i="5"/>
  <c r="F22700" i="5"/>
  <c r="F22699" i="5"/>
  <c r="F22698" i="5"/>
  <c r="F22697" i="5"/>
  <c r="F22696" i="5"/>
  <c r="F22695" i="5"/>
  <c r="F22694" i="5"/>
  <c r="F22693" i="5"/>
  <c r="F22692" i="5"/>
  <c r="F22691" i="5"/>
  <c r="F22690" i="5"/>
  <c r="F22689" i="5"/>
  <c r="F22688" i="5"/>
  <c r="F22687" i="5"/>
  <c r="F22686" i="5"/>
  <c r="F22685" i="5"/>
  <c r="F22684" i="5"/>
  <c r="F22683" i="5"/>
  <c r="F22682" i="5"/>
  <c r="F22681" i="5"/>
  <c r="F22680" i="5"/>
  <c r="F22679" i="5"/>
  <c r="F22678" i="5"/>
  <c r="F22677" i="5"/>
  <c r="F22676" i="5"/>
  <c r="F22675" i="5"/>
  <c r="F22674" i="5"/>
  <c r="F22673" i="5"/>
  <c r="F22672" i="5"/>
  <c r="F22671" i="5"/>
  <c r="F22670" i="5"/>
  <c r="F22669" i="5"/>
  <c r="F22668" i="5"/>
  <c r="F22667" i="5"/>
  <c r="F22666" i="5"/>
  <c r="F22665" i="5"/>
  <c r="F22664" i="5"/>
  <c r="F22663" i="5"/>
  <c r="F22662" i="5"/>
  <c r="F22661" i="5"/>
  <c r="F22660" i="5"/>
  <c r="F22659" i="5"/>
  <c r="F22658" i="5"/>
  <c r="F22657" i="5"/>
  <c r="F22656" i="5"/>
  <c r="F22655" i="5"/>
  <c r="F22654" i="5"/>
  <c r="F22653" i="5"/>
  <c r="F22652" i="5"/>
  <c r="F22651" i="5"/>
  <c r="F22650" i="5"/>
  <c r="F22649" i="5"/>
  <c r="F22648" i="5"/>
  <c r="F22647" i="5"/>
  <c r="F22646" i="5"/>
  <c r="F22645" i="5"/>
  <c r="F22644" i="5"/>
  <c r="F22643" i="5"/>
  <c r="F22642" i="5"/>
  <c r="F22641" i="5"/>
  <c r="F22640" i="5"/>
  <c r="F22639" i="5"/>
  <c r="F22638" i="5"/>
  <c r="F22637" i="5"/>
  <c r="F22636" i="5"/>
  <c r="F22635" i="5"/>
  <c r="F22634" i="5"/>
  <c r="F22633" i="5"/>
  <c r="F22632" i="5"/>
  <c r="F22631" i="5"/>
  <c r="F22630" i="5"/>
  <c r="F22629" i="5"/>
  <c r="F22628" i="5"/>
  <c r="F22627" i="5"/>
  <c r="F22626" i="5"/>
  <c r="F22625" i="5"/>
  <c r="F22624" i="5"/>
  <c r="F22623" i="5"/>
  <c r="F22622" i="5"/>
  <c r="F22621" i="5"/>
  <c r="F22620" i="5"/>
  <c r="F22619" i="5"/>
  <c r="F22618" i="5"/>
  <c r="F22617" i="5"/>
  <c r="F22616" i="5"/>
  <c r="F22615" i="5"/>
  <c r="F22614" i="5"/>
  <c r="F22613" i="5"/>
  <c r="F22612" i="5"/>
  <c r="F22611" i="5"/>
  <c r="F22610" i="5"/>
  <c r="F22609" i="5"/>
  <c r="F22608" i="5"/>
  <c r="F22607" i="5"/>
  <c r="F22606" i="5"/>
  <c r="F22605" i="5"/>
  <c r="F22604" i="5"/>
  <c r="F22603" i="5"/>
  <c r="F22602" i="5"/>
  <c r="F22601" i="5"/>
  <c r="F22600" i="5"/>
  <c r="F22599" i="5"/>
  <c r="F22598" i="5"/>
  <c r="F22597" i="5"/>
  <c r="F22596" i="5"/>
  <c r="F22595" i="5"/>
  <c r="F22594" i="5"/>
  <c r="F22593" i="5"/>
  <c r="F22592" i="5"/>
  <c r="F22591" i="5"/>
  <c r="F22590" i="5"/>
  <c r="F22589" i="5"/>
  <c r="F22588" i="5"/>
  <c r="F22587" i="5"/>
  <c r="F22586" i="5"/>
  <c r="F22585" i="5"/>
  <c r="F22584" i="5"/>
  <c r="F22583" i="5"/>
  <c r="F22582" i="5"/>
  <c r="F22581" i="5"/>
  <c r="F22580" i="5"/>
  <c r="F22579" i="5"/>
  <c r="F22578" i="5"/>
  <c r="F22577" i="5"/>
  <c r="F22576" i="5"/>
  <c r="F22575" i="5"/>
  <c r="F22574" i="5"/>
  <c r="F22573" i="5"/>
  <c r="F22572" i="5"/>
  <c r="F22571" i="5"/>
  <c r="F22570" i="5"/>
  <c r="F22569" i="5"/>
  <c r="F22568" i="5"/>
  <c r="F22567" i="5"/>
  <c r="F22566" i="5"/>
  <c r="F22565" i="5"/>
  <c r="F22564" i="5"/>
  <c r="F22563" i="5"/>
  <c r="F22562" i="5"/>
  <c r="F22561" i="5"/>
  <c r="F22560" i="5"/>
  <c r="F22559" i="5"/>
  <c r="F22558" i="5"/>
  <c r="F22557" i="5"/>
  <c r="F22556" i="5"/>
  <c r="F22555" i="5"/>
  <c r="F22554" i="5"/>
  <c r="F22553" i="5"/>
  <c r="F22552" i="5"/>
  <c r="F22551" i="5"/>
  <c r="F22550" i="5"/>
  <c r="F22549" i="5"/>
  <c r="F22548" i="5"/>
  <c r="F22547" i="5"/>
  <c r="F22546" i="5"/>
  <c r="F22545" i="5"/>
  <c r="F22544" i="5"/>
  <c r="F22543" i="5"/>
  <c r="F22542" i="5"/>
  <c r="F22541" i="5"/>
  <c r="F22540" i="5"/>
  <c r="F22539" i="5"/>
  <c r="F22538" i="5"/>
  <c r="F22537" i="5"/>
  <c r="F22536" i="5"/>
  <c r="F22535" i="5"/>
  <c r="F22534" i="5"/>
  <c r="F22533" i="5"/>
  <c r="F22532" i="5"/>
  <c r="F22531" i="5"/>
  <c r="F22530" i="5"/>
  <c r="F22529" i="5"/>
  <c r="F22528" i="5"/>
  <c r="F22527" i="5"/>
  <c r="F22526" i="5"/>
  <c r="F22525" i="5"/>
  <c r="F22524" i="5"/>
  <c r="F22523" i="5"/>
  <c r="F22522" i="5"/>
  <c r="F22521" i="5"/>
  <c r="F22520" i="5"/>
  <c r="F22519" i="5"/>
  <c r="F22518" i="5"/>
  <c r="F22517" i="5"/>
  <c r="F22516" i="5"/>
  <c r="F22515" i="5"/>
  <c r="F22514" i="5"/>
  <c r="F22513" i="5"/>
  <c r="F22512" i="5"/>
  <c r="F22511" i="5"/>
  <c r="F22510" i="5"/>
  <c r="F22509" i="5"/>
  <c r="F22508" i="5"/>
  <c r="F22507" i="5"/>
  <c r="F22506" i="5"/>
  <c r="F22505" i="5"/>
  <c r="F22504" i="5"/>
  <c r="F22503" i="5"/>
  <c r="F22502" i="5"/>
  <c r="F22501" i="5"/>
  <c r="F22500" i="5"/>
  <c r="F22499" i="5"/>
  <c r="F22498" i="5"/>
  <c r="F22497" i="5"/>
  <c r="F22496" i="5"/>
  <c r="F22495" i="5"/>
  <c r="F22494" i="5"/>
  <c r="F22493" i="5"/>
  <c r="F22492" i="5"/>
  <c r="F22491" i="5"/>
  <c r="F22490" i="5"/>
  <c r="F22489" i="5"/>
  <c r="F22488" i="5"/>
  <c r="F22487" i="5"/>
  <c r="F22486" i="5"/>
  <c r="F22485" i="5"/>
  <c r="F22484" i="5"/>
  <c r="F22483" i="5"/>
  <c r="F22482" i="5"/>
  <c r="F22481" i="5"/>
  <c r="F22480" i="5"/>
  <c r="F22479" i="5"/>
  <c r="F22478" i="5"/>
  <c r="F22477" i="5"/>
  <c r="F22476" i="5"/>
  <c r="F22475" i="5"/>
  <c r="F22474" i="5"/>
  <c r="F22473" i="5"/>
  <c r="F22472" i="5"/>
  <c r="F22471" i="5"/>
  <c r="F22470" i="5"/>
  <c r="F22469" i="5"/>
  <c r="F22468" i="5"/>
  <c r="F22467" i="5"/>
  <c r="F22466" i="5"/>
  <c r="F22465" i="5"/>
  <c r="F22464" i="5"/>
  <c r="F22463" i="5"/>
  <c r="F22462" i="5"/>
  <c r="F22461" i="5"/>
  <c r="F22460" i="5"/>
  <c r="F22459" i="5"/>
  <c r="F22458" i="5"/>
  <c r="F22457" i="5"/>
  <c r="F22456" i="5"/>
  <c r="F22455" i="5"/>
  <c r="F22454" i="5"/>
  <c r="F22453" i="5"/>
  <c r="F22452" i="5"/>
  <c r="F22451" i="5"/>
  <c r="F22450" i="5"/>
  <c r="F22449" i="5"/>
  <c r="F22448" i="5"/>
  <c r="F22447" i="5"/>
  <c r="F22446" i="5"/>
  <c r="F22445" i="5"/>
  <c r="F22444" i="5"/>
  <c r="F22443" i="5"/>
  <c r="F22442" i="5"/>
  <c r="F22441" i="5"/>
  <c r="F22440" i="5"/>
  <c r="F22439" i="5"/>
  <c r="F22438" i="5"/>
  <c r="F22437" i="5"/>
  <c r="F22436" i="5"/>
  <c r="F22435" i="5"/>
  <c r="F22434" i="5"/>
  <c r="F22433" i="5"/>
  <c r="F22432" i="5"/>
  <c r="F22431" i="5"/>
  <c r="F22430" i="5"/>
  <c r="F22429" i="5"/>
  <c r="F22428" i="5"/>
  <c r="F22427" i="5"/>
  <c r="F22426" i="5"/>
  <c r="F22425" i="5"/>
  <c r="F22424" i="5"/>
  <c r="F22423" i="5"/>
  <c r="F22422" i="5"/>
  <c r="F22421" i="5"/>
  <c r="F22420" i="5"/>
  <c r="F22419" i="5"/>
  <c r="F22418" i="5"/>
  <c r="F22417" i="5"/>
  <c r="F22416" i="5"/>
  <c r="F22415" i="5"/>
  <c r="F22414" i="5"/>
  <c r="F22413" i="5"/>
  <c r="F22412" i="5"/>
  <c r="F22411" i="5"/>
  <c r="F22410" i="5"/>
  <c r="F22409" i="5"/>
  <c r="F22408" i="5"/>
  <c r="F22407" i="5"/>
  <c r="F22406" i="5"/>
  <c r="F22405" i="5"/>
  <c r="F22404" i="5"/>
  <c r="F22403" i="5"/>
  <c r="F22402" i="5"/>
  <c r="F22401" i="5"/>
  <c r="F22400" i="5"/>
  <c r="F22399" i="5"/>
  <c r="F22398" i="5"/>
  <c r="F22397" i="5"/>
  <c r="F22396" i="5"/>
  <c r="F22395" i="5"/>
  <c r="F22394" i="5"/>
  <c r="F22393" i="5"/>
  <c r="F22392" i="5"/>
  <c r="F22391" i="5"/>
  <c r="F22390" i="5"/>
  <c r="F22389" i="5"/>
  <c r="F22388" i="5"/>
  <c r="F22387" i="5"/>
  <c r="F22386" i="5"/>
  <c r="F22385" i="5"/>
  <c r="F22384" i="5"/>
  <c r="F22383" i="5"/>
  <c r="F22382" i="5"/>
  <c r="F22381" i="5"/>
  <c r="F22380" i="5"/>
  <c r="F22379" i="5"/>
  <c r="F22378" i="5"/>
  <c r="F22377" i="5"/>
  <c r="F22376" i="5"/>
  <c r="F22375" i="5"/>
  <c r="F22374" i="5"/>
  <c r="F22373" i="5"/>
  <c r="F22372" i="5"/>
  <c r="F22371" i="5"/>
  <c r="F22370" i="5"/>
  <c r="F22369" i="5"/>
  <c r="F22368" i="5"/>
  <c r="F22367" i="5"/>
  <c r="F22366" i="5"/>
  <c r="F22365" i="5"/>
  <c r="F22364" i="5"/>
  <c r="F22363" i="5"/>
  <c r="F22362" i="5"/>
  <c r="F22361" i="5"/>
  <c r="F22360" i="5"/>
  <c r="F22359" i="5"/>
  <c r="F22358" i="5"/>
  <c r="F22357" i="5"/>
  <c r="F22356" i="5"/>
  <c r="F22355" i="5"/>
  <c r="F22354" i="5"/>
  <c r="F22353" i="5"/>
  <c r="F22352" i="5"/>
  <c r="F22351" i="5"/>
  <c r="F22350" i="5"/>
  <c r="F22349" i="5"/>
  <c r="F22348" i="5"/>
  <c r="F22347" i="5"/>
  <c r="F22346" i="5"/>
  <c r="F22345" i="5"/>
  <c r="F22344" i="5"/>
  <c r="F22343" i="5"/>
  <c r="F22342" i="5"/>
  <c r="F22341" i="5"/>
  <c r="F22340" i="5"/>
  <c r="F22339" i="5"/>
  <c r="F22338" i="5"/>
  <c r="F22337" i="5"/>
  <c r="F22336" i="5"/>
  <c r="F22335" i="5"/>
  <c r="F22334" i="5"/>
  <c r="F22333" i="5"/>
  <c r="F22332" i="5"/>
  <c r="F22331" i="5"/>
  <c r="F22330" i="5"/>
  <c r="F22329" i="5"/>
  <c r="F22328" i="5"/>
  <c r="F22327" i="5"/>
  <c r="F22326" i="5"/>
  <c r="F22325" i="5"/>
  <c r="F22324" i="5"/>
  <c r="F22323" i="5"/>
  <c r="F22322" i="5"/>
  <c r="F22321" i="5"/>
  <c r="F22320" i="5"/>
  <c r="F22319" i="5"/>
  <c r="F22318" i="5"/>
  <c r="F22317" i="5"/>
  <c r="F22316" i="5"/>
  <c r="F22315" i="5"/>
  <c r="F22314" i="5"/>
  <c r="F22313" i="5"/>
  <c r="F22312" i="5"/>
  <c r="F22311" i="5"/>
  <c r="F22310" i="5"/>
  <c r="F22309" i="5"/>
  <c r="F22308" i="5"/>
  <c r="F22307" i="5"/>
  <c r="F22306" i="5"/>
  <c r="F22305" i="5"/>
  <c r="F22304" i="5"/>
  <c r="F22303" i="5"/>
  <c r="F22302" i="5"/>
  <c r="F22301" i="5"/>
  <c r="F22300" i="5"/>
  <c r="F22299" i="5"/>
  <c r="F22298" i="5"/>
  <c r="F22297" i="5"/>
  <c r="F22296" i="5"/>
  <c r="F22295" i="5"/>
  <c r="F22294" i="5"/>
  <c r="F22293" i="5"/>
  <c r="F22292" i="5"/>
  <c r="F22291" i="5"/>
  <c r="F22290" i="5"/>
  <c r="F22289" i="5"/>
  <c r="F22288" i="5"/>
  <c r="F22287" i="5"/>
  <c r="F22286" i="5"/>
  <c r="F22285" i="5"/>
  <c r="F22284" i="5"/>
  <c r="F22283" i="5"/>
  <c r="F22282" i="5"/>
  <c r="F22281" i="5"/>
  <c r="F22280" i="5"/>
  <c r="F22279" i="5"/>
  <c r="F22278" i="5"/>
  <c r="F22277" i="5"/>
  <c r="F22276" i="5"/>
  <c r="F22275" i="5"/>
  <c r="F22274" i="5"/>
  <c r="F22273" i="5"/>
  <c r="F22272" i="5"/>
  <c r="F22271" i="5"/>
  <c r="F22270" i="5"/>
  <c r="F22269" i="5"/>
  <c r="F22268" i="5"/>
  <c r="F22267" i="5"/>
  <c r="F22266" i="5"/>
  <c r="F22265" i="5"/>
  <c r="F22264" i="5"/>
  <c r="F22263" i="5"/>
  <c r="F22262" i="5"/>
  <c r="F22261" i="5"/>
  <c r="F22260" i="5"/>
  <c r="F22259" i="5"/>
  <c r="F22258" i="5"/>
  <c r="F22257" i="5"/>
  <c r="F22256" i="5"/>
  <c r="F22255" i="5"/>
  <c r="F22254" i="5"/>
  <c r="F22253" i="5"/>
  <c r="F22252" i="5"/>
  <c r="F22251" i="5"/>
  <c r="F22250" i="5"/>
  <c r="F22249" i="5"/>
  <c r="F22248" i="5"/>
  <c r="F22247" i="5"/>
  <c r="F22246" i="5"/>
  <c r="F22245" i="5"/>
  <c r="F22244" i="5"/>
  <c r="F22243" i="5"/>
  <c r="F22242" i="5"/>
  <c r="F22241" i="5"/>
  <c r="F22240" i="5"/>
  <c r="F22239" i="5"/>
  <c r="F22238" i="5"/>
  <c r="F22237" i="5"/>
  <c r="F22236" i="5"/>
  <c r="F22235" i="5"/>
  <c r="F22234" i="5"/>
  <c r="F22233" i="5"/>
  <c r="F22232" i="5"/>
  <c r="F22231" i="5"/>
  <c r="F22230" i="5"/>
  <c r="F22229" i="5"/>
  <c r="F22228" i="5"/>
  <c r="F22227" i="5"/>
  <c r="F22226" i="5"/>
  <c r="F22225" i="5"/>
  <c r="F22224" i="5"/>
  <c r="F22223" i="5"/>
  <c r="F22222" i="5"/>
  <c r="F22221" i="5"/>
  <c r="F22220" i="5"/>
  <c r="F22219" i="5"/>
  <c r="F22218" i="5"/>
  <c r="F22217" i="5"/>
  <c r="F22216" i="5"/>
  <c r="F22215" i="5"/>
  <c r="F22214" i="5"/>
  <c r="F22213" i="5"/>
  <c r="F22212" i="5"/>
  <c r="F22211" i="5"/>
  <c r="F22210" i="5"/>
  <c r="F22209" i="5"/>
  <c r="F22208" i="5"/>
  <c r="F22207" i="5"/>
  <c r="F22206" i="5"/>
  <c r="F22205" i="5"/>
  <c r="F22204" i="5"/>
  <c r="F22203" i="5"/>
  <c r="F22202" i="5"/>
  <c r="F22201" i="5"/>
  <c r="F22200" i="5"/>
  <c r="F22199" i="5"/>
  <c r="F22198" i="5"/>
  <c r="F22197" i="5"/>
  <c r="F22196" i="5"/>
  <c r="F22195" i="5"/>
  <c r="F22194" i="5"/>
  <c r="F22193" i="5"/>
  <c r="F22192" i="5"/>
  <c r="F22191" i="5"/>
  <c r="F22190" i="5"/>
  <c r="F22189" i="5"/>
  <c r="F22188" i="5"/>
  <c r="F22187" i="5"/>
  <c r="F22186" i="5"/>
  <c r="F22185" i="5"/>
  <c r="F22184" i="5"/>
  <c r="F22183" i="5"/>
  <c r="F22182" i="5"/>
  <c r="F22181" i="5"/>
  <c r="F22180" i="5"/>
  <c r="F22179" i="5"/>
  <c r="F22178" i="5"/>
  <c r="F22177" i="5"/>
  <c r="F22176" i="5"/>
  <c r="F22175" i="5"/>
  <c r="F22174" i="5"/>
  <c r="F22173" i="5"/>
  <c r="F22172" i="5"/>
  <c r="F22171" i="5"/>
  <c r="F22170" i="5"/>
  <c r="F22169" i="5"/>
  <c r="F22168" i="5"/>
  <c r="F22167" i="5"/>
  <c r="F22166" i="5"/>
  <c r="F22165" i="5"/>
  <c r="F22164" i="5"/>
  <c r="F22163" i="5"/>
  <c r="F22162" i="5"/>
  <c r="F22161" i="5"/>
  <c r="F22160" i="5"/>
  <c r="F22159" i="5"/>
  <c r="F22158" i="5"/>
  <c r="F22157" i="5"/>
  <c r="F22156" i="5"/>
  <c r="F22155" i="5"/>
  <c r="F22154" i="5"/>
  <c r="F22153" i="5"/>
  <c r="F22152" i="5"/>
  <c r="F22151" i="5"/>
  <c r="F22150" i="5"/>
  <c r="F22149" i="5"/>
  <c r="F22148" i="5"/>
  <c r="F22147" i="5"/>
  <c r="F22146" i="5"/>
  <c r="F22145" i="5"/>
  <c r="F22144" i="5"/>
  <c r="F22143" i="5"/>
  <c r="F22142" i="5"/>
  <c r="F22141" i="5"/>
  <c r="F22140" i="5"/>
  <c r="F22139" i="5"/>
  <c r="F22138" i="5"/>
  <c r="F22137" i="5"/>
  <c r="F22136" i="5"/>
  <c r="F22135" i="5"/>
  <c r="F22134" i="5"/>
  <c r="F22133" i="5"/>
  <c r="F22132" i="5"/>
  <c r="F22131" i="5"/>
  <c r="F22130" i="5"/>
  <c r="F22129" i="5"/>
  <c r="F22128" i="5"/>
  <c r="F22127" i="5"/>
  <c r="F22126" i="5"/>
  <c r="F22125" i="5"/>
  <c r="F22124" i="5"/>
  <c r="F22123" i="5"/>
  <c r="F22122" i="5"/>
  <c r="F22121" i="5"/>
  <c r="F22120" i="5"/>
  <c r="F22119" i="5"/>
  <c r="F22118" i="5"/>
  <c r="F22117" i="5"/>
  <c r="F22116" i="5"/>
  <c r="F22115" i="5"/>
  <c r="F22114" i="5"/>
  <c r="F22113" i="5"/>
  <c r="F22112" i="5"/>
  <c r="F22111" i="5"/>
  <c r="F22110" i="5"/>
  <c r="F22109" i="5"/>
  <c r="F22108" i="5"/>
  <c r="F22107" i="5"/>
  <c r="F22106" i="5"/>
  <c r="F22105" i="5"/>
  <c r="F22104" i="5"/>
  <c r="F22103" i="5"/>
  <c r="F22102" i="5"/>
  <c r="F22101" i="5"/>
  <c r="F22100" i="5"/>
  <c r="F22099" i="5"/>
  <c r="F22098" i="5"/>
  <c r="F22097" i="5"/>
  <c r="F22096" i="5"/>
  <c r="F22095" i="5"/>
  <c r="F22094" i="5"/>
  <c r="F22093" i="5"/>
  <c r="F22092" i="5"/>
  <c r="F22091" i="5"/>
  <c r="F22090" i="5"/>
  <c r="F22089" i="5"/>
  <c r="F22088" i="5"/>
  <c r="F22087" i="5"/>
  <c r="F22086" i="5"/>
  <c r="F22085" i="5"/>
  <c r="F22084" i="5"/>
  <c r="F22083" i="5"/>
  <c r="F22082" i="5"/>
  <c r="F22081" i="5"/>
  <c r="F22080" i="5"/>
  <c r="F22079" i="5"/>
  <c r="F22078" i="5"/>
  <c r="F22077" i="5"/>
  <c r="F22076" i="5"/>
  <c r="F22075" i="5"/>
  <c r="F22074" i="5"/>
  <c r="F22073" i="5"/>
  <c r="F22072" i="5"/>
  <c r="F22071" i="5"/>
  <c r="F22070" i="5"/>
  <c r="F22069" i="5"/>
  <c r="F22068" i="5"/>
  <c r="F22067" i="5"/>
  <c r="F22066" i="5"/>
  <c r="F22065" i="5"/>
  <c r="F22064" i="5"/>
  <c r="F22063" i="5"/>
  <c r="F22062" i="5"/>
  <c r="F22061" i="5"/>
  <c r="F22060" i="5"/>
  <c r="F22059" i="5"/>
  <c r="F22058" i="5"/>
  <c r="F22057" i="5"/>
  <c r="F22056" i="5"/>
  <c r="F22055" i="5"/>
  <c r="F22054" i="5"/>
  <c r="F22053" i="5"/>
  <c r="F22052" i="5"/>
  <c r="F22051" i="5"/>
  <c r="F22050" i="5"/>
  <c r="F22049" i="5"/>
  <c r="F22048" i="5"/>
  <c r="F22047" i="5"/>
  <c r="F22046" i="5"/>
  <c r="F22045" i="5"/>
  <c r="F22044" i="5"/>
  <c r="F22043" i="5"/>
  <c r="F22042" i="5"/>
  <c r="F22041" i="5"/>
  <c r="F22040" i="5"/>
  <c r="F22039" i="5"/>
  <c r="F22038" i="5"/>
  <c r="F22037" i="5"/>
  <c r="F22036" i="5"/>
  <c r="F22035" i="5"/>
  <c r="F22034" i="5"/>
  <c r="F22033" i="5"/>
  <c r="F22032" i="5"/>
  <c r="F22031" i="5"/>
  <c r="F22030" i="5"/>
  <c r="F22029" i="5"/>
  <c r="F22028" i="5"/>
  <c r="F22027" i="5"/>
  <c r="F22026" i="5"/>
  <c r="F22025" i="5"/>
  <c r="F22024" i="5"/>
  <c r="F22023" i="5"/>
  <c r="F22022" i="5"/>
  <c r="F22021" i="5"/>
  <c r="F22020" i="5"/>
  <c r="F22019" i="5"/>
  <c r="F22018" i="5"/>
  <c r="F22017" i="5"/>
  <c r="F22016" i="5"/>
  <c r="F22015" i="5"/>
  <c r="F22014" i="5"/>
  <c r="F22013" i="5"/>
  <c r="F22012" i="5"/>
  <c r="F22011" i="5"/>
  <c r="F22010" i="5"/>
  <c r="F22009" i="5"/>
  <c r="F22008" i="5"/>
  <c r="F22007" i="5"/>
  <c r="F22006" i="5"/>
  <c r="F22005" i="5"/>
  <c r="F22004" i="5"/>
  <c r="F22003" i="5"/>
  <c r="F22002" i="5"/>
  <c r="F22001" i="5"/>
  <c r="F22000" i="5"/>
  <c r="F21999" i="5"/>
  <c r="F21998" i="5"/>
  <c r="F21997" i="5"/>
  <c r="F21996" i="5"/>
  <c r="F21995" i="5"/>
  <c r="F21994" i="5"/>
  <c r="F21993" i="5"/>
  <c r="F21992" i="5"/>
  <c r="F21991" i="5"/>
  <c r="F21990" i="5"/>
  <c r="F21989" i="5"/>
  <c r="F21988" i="5"/>
  <c r="F21987" i="5"/>
  <c r="F21986" i="5"/>
  <c r="F21985" i="5"/>
  <c r="F21984" i="5"/>
  <c r="F21983" i="5"/>
  <c r="F21982" i="5"/>
  <c r="F21981" i="5"/>
  <c r="F21980" i="5"/>
  <c r="F21979" i="5"/>
  <c r="F21978" i="5"/>
  <c r="F21977" i="5"/>
  <c r="F21976" i="5"/>
  <c r="F21975" i="5"/>
  <c r="F21974" i="5"/>
  <c r="F21973" i="5"/>
  <c r="F21972" i="5"/>
  <c r="F21971" i="5"/>
  <c r="F21970" i="5"/>
  <c r="F21969" i="5"/>
  <c r="F21968" i="5"/>
  <c r="F21967" i="5"/>
  <c r="F21966" i="5"/>
  <c r="F21965" i="5"/>
  <c r="F21964" i="5"/>
  <c r="F21963" i="5"/>
  <c r="F21962" i="5"/>
  <c r="F21961" i="5"/>
  <c r="F21960" i="5"/>
  <c r="F21959" i="5"/>
  <c r="F21958" i="5"/>
  <c r="F21957" i="5"/>
  <c r="F21956" i="5"/>
  <c r="F21955" i="5"/>
  <c r="F21954" i="5"/>
  <c r="F21953" i="5"/>
  <c r="F21952" i="5"/>
  <c r="F21951" i="5"/>
  <c r="F21950" i="5"/>
  <c r="F21949" i="5"/>
  <c r="F21948" i="5"/>
  <c r="F21947" i="5"/>
  <c r="F21946" i="5"/>
  <c r="F21945" i="5"/>
  <c r="F21944" i="5"/>
  <c r="F21943" i="5"/>
  <c r="F21942" i="5"/>
  <c r="F21941" i="5"/>
  <c r="F21940" i="5"/>
  <c r="F21939" i="5"/>
  <c r="F21938" i="5"/>
  <c r="F21937" i="5"/>
  <c r="F21936" i="5"/>
  <c r="F21935" i="5"/>
  <c r="F21934" i="5"/>
  <c r="F21933" i="5"/>
  <c r="F21932" i="5"/>
  <c r="F21931" i="5"/>
  <c r="F21930" i="5"/>
  <c r="F21929" i="5"/>
  <c r="F21928" i="5"/>
  <c r="F21927" i="5"/>
  <c r="F21926" i="5"/>
  <c r="F21925" i="5"/>
  <c r="F21924" i="5"/>
  <c r="F21923" i="5"/>
  <c r="F21922" i="5"/>
  <c r="F21921" i="5"/>
  <c r="F21920" i="5"/>
  <c r="F21919" i="5"/>
  <c r="F21918" i="5"/>
  <c r="F21917" i="5"/>
  <c r="F21916" i="5"/>
  <c r="F21915" i="5"/>
  <c r="F21914" i="5"/>
  <c r="F21913" i="5"/>
  <c r="F21912" i="5"/>
  <c r="F21911" i="5"/>
  <c r="F21910" i="5"/>
  <c r="F21909" i="5"/>
  <c r="F21908" i="5"/>
  <c r="F21907" i="5"/>
  <c r="F21906" i="5"/>
  <c r="F21905" i="5"/>
  <c r="F21904" i="5"/>
  <c r="F21903" i="5"/>
  <c r="F21902" i="5"/>
  <c r="F21901" i="5"/>
  <c r="F21900" i="5"/>
  <c r="F21899" i="5"/>
  <c r="F21898" i="5"/>
  <c r="F21897" i="5"/>
  <c r="F21896" i="5"/>
  <c r="F21895" i="5"/>
  <c r="F21894" i="5"/>
  <c r="F21893" i="5"/>
  <c r="F21892" i="5"/>
  <c r="F21891" i="5"/>
  <c r="F21890" i="5"/>
  <c r="F21889" i="5"/>
  <c r="F21888" i="5"/>
  <c r="F21887" i="5"/>
  <c r="F21886" i="5"/>
  <c r="F21885" i="5"/>
  <c r="F21884" i="5"/>
  <c r="F21883" i="5"/>
  <c r="F21882" i="5"/>
  <c r="F21881" i="5"/>
  <c r="F21880" i="5"/>
  <c r="F21879" i="5"/>
  <c r="F21878" i="5"/>
  <c r="F21877" i="5"/>
  <c r="F21876" i="5"/>
  <c r="F21875" i="5"/>
  <c r="F21874" i="5"/>
  <c r="F21873" i="5"/>
  <c r="F21872" i="5"/>
  <c r="F21871" i="5"/>
  <c r="F21870" i="5"/>
  <c r="F21869" i="5"/>
  <c r="F21868" i="5"/>
  <c r="F21867" i="5"/>
  <c r="F21866" i="5"/>
  <c r="F21865" i="5"/>
  <c r="F21864" i="5"/>
  <c r="F21863" i="5"/>
  <c r="F21862" i="5"/>
  <c r="F21861" i="5"/>
  <c r="F21860" i="5"/>
  <c r="F21859" i="5"/>
  <c r="F21858" i="5"/>
  <c r="F21857" i="5"/>
  <c r="F21856" i="5"/>
  <c r="F21855" i="5"/>
  <c r="F21854" i="5"/>
  <c r="F21853" i="5"/>
  <c r="F21852" i="5"/>
  <c r="F21851" i="5"/>
  <c r="F21850" i="5"/>
  <c r="F21849" i="5"/>
  <c r="F21848" i="5"/>
  <c r="F21847" i="5"/>
  <c r="F21846" i="5"/>
  <c r="F21845" i="5"/>
  <c r="F21844" i="5"/>
  <c r="F21843" i="5"/>
  <c r="F21842" i="5"/>
  <c r="F21841" i="5"/>
  <c r="F21840" i="5"/>
  <c r="F21839" i="5"/>
  <c r="F21838" i="5"/>
  <c r="F21837" i="5"/>
  <c r="F21836" i="5"/>
  <c r="F21835" i="5"/>
  <c r="F21834" i="5"/>
  <c r="F21833" i="5"/>
  <c r="F21832" i="5"/>
  <c r="F21831" i="5"/>
  <c r="F21830" i="5"/>
  <c r="F21829" i="5"/>
  <c r="F21828" i="5"/>
  <c r="F21827" i="5"/>
  <c r="F21826" i="5"/>
  <c r="F21825" i="5"/>
  <c r="F21824" i="5"/>
  <c r="F21823" i="5"/>
  <c r="F21822" i="5"/>
  <c r="F21821" i="5"/>
  <c r="F21820" i="5"/>
  <c r="F21819" i="5"/>
  <c r="F21818" i="5"/>
  <c r="F21817" i="5"/>
  <c r="F21816" i="5"/>
  <c r="F21815" i="5"/>
  <c r="F21814" i="5"/>
  <c r="F21813" i="5"/>
  <c r="F21812" i="5"/>
  <c r="F21811" i="5"/>
  <c r="F21810" i="5"/>
  <c r="F21809" i="5"/>
  <c r="F21808" i="5"/>
  <c r="F21807" i="5"/>
  <c r="F21806" i="5"/>
  <c r="F21805" i="5"/>
  <c r="F21804" i="5"/>
  <c r="F21803" i="5"/>
  <c r="F21802" i="5"/>
  <c r="F21801" i="5"/>
  <c r="F21800" i="5"/>
  <c r="F21799" i="5"/>
  <c r="F21798" i="5"/>
  <c r="F21797" i="5"/>
  <c r="F21796" i="5"/>
  <c r="F21795" i="5"/>
  <c r="F21794" i="5"/>
  <c r="F21793" i="5"/>
  <c r="F21792" i="5"/>
  <c r="F21791" i="5"/>
  <c r="F21790" i="5"/>
  <c r="F21789" i="5"/>
  <c r="F21788" i="5"/>
  <c r="F21787" i="5"/>
  <c r="F21786" i="5"/>
  <c r="F21785" i="5"/>
  <c r="F21784" i="5"/>
  <c r="F21783" i="5"/>
  <c r="F21782" i="5"/>
  <c r="F21781" i="5"/>
  <c r="F21780" i="5"/>
  <c r="F21779" i="5"/>
  <c r="F21778" i="5"/>
  <c r="F21777" i="5"/>
  <c r="F21776" i="5"/>
  <c r="F21775" i="5"/>
  <c r="F21774" i="5"/>
  <c r="F21773" i="5"/>
  <c r="F21772" i="5"/>
  <c r="F21771" i="5"/>
  <c r="F21770" i="5"/>
  <c r="F21769" i="5"/>
  <c r="F21768" i="5"/>
  <c r="F21767" i="5"/>
  <c r="F21766" i="5"/>
  <c r="F21765" i="5"/>
  <c r="F21764" i="5"/>
  <c r="F21763" i="5"/>
  <c r="F21762" i="5"/>
  <c r="F21761" i="5"/>
  <c r="F21760" i="5"/>
  <c r="F21759" i="5"/>
  <c r="F21758" i="5"/>
  <c r="F21757" i="5"/>
  <c r="F21756" i="5"/>
  <c r="F21755" i="5"/>
  <c r="F21754" i="5"/>
  <c r="F21753" i="5"/>
  <c r="F21752" i="5"/>
  <c r="F21751" i="5"/>
  <c r="F21750" i="5"/>
  <c r="F21749" i="5"/>
  <c r="F21748" i="5"/>
  <c r="F21747" i="5"/>
  <c r="F21746" i="5"/>
  <c r="F21745" i="5"/>
  <c r="F21744" i="5"/>
  <c r="F21743" i="5"/>
  <c r="F21742" i="5"/>
  <c r="F21741" i="5"/>
  <c r="F21740" i="5"/>
  <c r="F21739" i="5"/>
  <c r="F21738" i="5"/>
  <c r="F21737" i="5"/>
  <c r="F21736" i="5"/>
  <c r="F21735" i="5"/>
  <c r="F21734" i="5"/>
  <c r="F21733" i="5"/>
  <c r="F21732" i="5"/>
  <c r="F21731" i="5"/>
  <c r="F21730" i="5"/>
  <c r="F21729" i="5"/>
  <c r="F21728" i="5"/>
  <c r="F21727" i="5"/>
  <c r="F21726" i="5"/>
  <c r="F21725" i="5"/>
  <c r="F21724" i="5"/>
  <c r="F21723" i="5"/>
  <c r="F21722" i="5"/>
  <c r="F21721" i="5"/>
  <c r="F21720" i="5"/>
  <c r="F21719" i="5"/>
  <c r="F21718" i="5"/>
  <c r="F21717" i="5"/>
  <c r="F21716" i="5"/>
  <c r="F21715" i="5"/>
  <c r="F21714" i="5"/>
  <c r="F21713" i="5"/>
  <c r="F21712" i="5"/>
  <c r="F21711" i="5"/>
  <c r="F21710" i="5"/>
  <c r="F21709" i="5"/>
  <c r="F21708" i="5"/>
  <c r="F21707" i="5"/>
  <c r="F21706" i="5"/>
  <c r="F21705" i="5"/>
  <c r="F21704" i="5"/>
  <c r="F21703" i="5"/>
  <c r="F21702" i="5"/>
  <c r="F21701" i="5"/>
  <c r="F21700" i="5"/>
  <c r="F21699" i="5"/>
  <c r="F21698" i="5"/>
  <c r="F21697" i="5"/>
  <c r="F21696" i="5"/>
  <c r="F21695" i="5"/>
  <c r="F21694" i="5"/>
  <c r="F21693" i="5"/>
  <c r="F21692" i="5"/>
  <c r="F21691" i="5"/>
  <c r="F21690" i="5"/>
  <c r="F21689" i="5"/>
  <c r="F21688" i="5"/>
  <c r="F21687" i="5"/>
  <c r="F21686" i="5"/>
  <c r="F21685" i="5"/>
  <c r="F21684" i="5"/>
  <c r="F21683" i="5"/>
  <c r="F21682" i="5"/>
  <c r="F21681" i="5"/>
  <c r="F21680" i="5"/>
  <c r="F21679" i="5"/>
  <c r="F21678" i="5"/>
  <c r="F21677" i="5"/>
  <c r="F21676" i="5"/>
  <c r="F21675" i="5"/>
  <c r="F21674" i="5"/>
  <c r="F21673" i="5"/>
  <c r="F21672" i="5"/>
  <c r="F21671" i="5"/>
  <c r="F21670" i="5"/>
  <c r="F21669" i="5"/>
  <c r="F21668" i="5"/>
  <c r="F21667" i="5"/>
  <c r="F21666" i="5"/>
  <c r="F21665" i="5"/>
  <c r="F21664" i="5"/>
  <c r="F21663" i="5"/>
  <c r="F21662" i="5"/>
  <c r="F21661" i="5"/>
  <c r="F21660" i="5"/>
  <c r="F21659" i="5"/>
  <c r="F21658" i="5"/>
  <c r="F21657" i="5"/>
  <c r="F21656" i="5"/>
  <c r="F21655" i="5"/>
  <c r="F21654" i="5"/>
  <c r="F21653" i="5"/>
  <c r="F21652" i="5"/>
  <c r="F21651" i="5"/>
  <c r="F21650" i="5"/>
  <c r="F21649" i="5"/>
  <c r="F21648" i="5"/>
  <c r="F21647" i="5"/>
  <c r="F21646" i="5"/>
  <c r="F21645" i="5"/>
  <c r="F21644" i="5"/>
  <c r="F21643" i="5"/>
  <c r="F21642" i="5"/>
  <c r="F21641" i="5"/>
  <c r="F21640" i="5"/>
  <c r="F21639" i="5"/>
  <c r="F21638" i="5"/>
  <c r="F21637" i="5"/>
  <c r="F21636" i="5"/>
  <c r="F21635" i="5"/>
  <c r="F21634" i="5"/>
  <c r="F21633" i="5"/>
  <c r="F21632" i="5"/>
  <c r="F21631" i="5"/>
  <c r="F21630" i="5"/>
  <c r="F21629" i="5"/>
  <c r="F21628" i="5"/>
  <c r="F21627" i="5"/>
  <c r="F21626" i="5"/>
  <c r="F21625" i="5"/>
  <c r="F21624" i="5"/>
  <c r="F21623" i="5"/>
  <c r="F21622" i="5"/>
  <c r="F21621" i="5"/>
  <c r="F21620" i="5"/>
  <c r="F21619" i="5"/>
  <c r="F21618" i="5"/>
  <c r="F21617" i="5"/>
  <c r="F21616" i="5"/>
  <c r="F21615" i="5"/>
  <c r="F21614" i="5"/>
  <c r="F21613" i="5"/>
  <c r="F21612" i="5"/>
  <c r="F21611" i="5"/>
  <c r="F21610" i="5"/>
  <c r="F21609" i="5"/>
  <c r="F21608" i="5"/>
  <c r="F21607" i="5"/>
  <c r="F21606" i="5"/>
  <c r="F21605" i="5"/>
  <c r="F21604" i="5"/>
  <c r="F21603" i="5"/>
  <c r="F21602" i="5"/>
  <c r="F21601" i="5"/>
  <c r="F21600" i="5"/>
  <c r="F21599" i="5"/>
  <c r="F21598" i="5"/>
  <c r="F21597" i="5"/>
  <c r="F21596" i="5"/>
  <c r="F21595" i="5"/>
  <c r="F21594" i="5"/>
  <c r="F21593" i="5"/>
  <c r="F21592" i="5"/>
  <c r="F21591" i="5"/>
  <c r="F21590" i="5"/>
  <c r="F21589" i="5"/>
  <c r="F21588" i="5"/>
  <c r="F21587" i="5"/>
  <c r="F21586" i="5"/>
  <c r="F21585" i="5"/>
  <c r="F21584" i="5"/>
  <c r="F21583" i="5"/>
  <c r="F21582" i="5"/>
  <c r="F21581" i="5"/>
  <c r="F21580" i="5"/>
  <c r="F21579" i="5"/>
  <c r="F21578" i="5"/>
  <c r="F21577" i="5"/>
  <c r="F21576" i="5"/>
  <c r="F21575" i="5"/>
  <c r="F21574" i="5"/>
  <c r="F21573" i="5"/>
  <c r="F21572" i="5"/>
  <c r="F21571" i="5"/>
  <c r="F21570" i="5"/>
  <c r="F21569" i="5"/>
  <c r="F21568" i="5"/>
  <c r="F21567" i="5"/>
  <c r="F21566" i="5"/>
  <c r="F21565" i="5"/>
  <c r="F21564" i="5"/>
  <c r="F21563" i="5"/>
  <c r="F21562" i="5"/>
  <c r="F21561" i="5"/>
  <c r="F21560" i="5"/>
  <c r="F21559" i="5"/>
  <c r="F21558" i="5"/>
  <c r="F21557" i="5"/>
  <c r="F21556" i="5"/>
  <c r="F21555" i="5"/>
  <c r="F21554" i="5"/>
  <c r="F21553" i="5"/>
  <c r="F21552" i="5"/>
  <c r="F21551" i="5"/>
  <c r="F21550" i="5"/>
  <c r="F21549" i="5"/>
  <c r="F21548" i="5"/>
  <c r="F21547" i="5"/>
  <c r="F21546" i="5"/>
  <c r="F21545" i="5"/>
  <c r="F21544" i="5"/>
  <c r="F21543" i="5"/>
  <c r="F21542" i="5"/>
  <c r="F21541" i="5"/>
  <c r="F21540" i="5"/>
  <c r="F21539" i="5"/>
  <c r="F21538" i="5"/>
  <c r="F21537" i="5"/>
  <c r="F21536" i="5"/>
  <c r="F21535" i="5"/>
  <c r="F21534" i="5"/>
  <c r="F21533" i="5"/>
  <c r="F21532" i="5"/>
  <c r="F21531" i="5"/>
  <c r="F21530" i="5"/>
  <c r="F21529" i="5"/>
  <c r="F21528" i="5"/>
  <c r="F21527" i="5"/>
  <c r="F21526" i="5"/>
  <c r="F21525" i="5"/>
  <c r="F21524" i="5"/>
  <c r="F21523" i="5"/>
  <c r="F21522" i="5"/>
  <c r="F21521" i="5"/>
  <c r="F21520" i="5"/>
  <c r="F21519" i="5"/>
  <c r="F21518" i="5"/>
  <c r="F21517" i="5"/>
  <c r="F21516" i="5"/>
  <c r="F21515" i="5"/>
  <c r="F21514" i="5"/>
  <c r="F21513" i="5"/>
  <c r="F21512" i="5"/>
  <c r="F21511" i="5"/>
  <c r="F21510" i="5"/>
  <c r="F21509" i="5"/>
  <c r="F21508" i="5"/>
  <c r="F21507" i="5"/>
  <c r="F21506" i="5"/>
  <c r="F21505" i="5"/>
  <c r="F21504" i="5"/>
  <c r="F21503" i="5"/>
  <c r="F21502" i="5"/>
  <c r="F21501" i="5"/>
  <c r="F21500" i="5"/>
  <c r="F21499" i="5"/>
  <c r="F21498" i="5"/>
  <c r="F21497" i="5"/>
  <c r="F21496" i="5"/>
  <c r="F21495" i="5"/>
  <c r="F21494" i="5"/>
  <c r="F21493" i="5"/>
  <c r="F21492" i="5"/>
  <c r="F21491" i="5"/>
  <c r="F21490" i="5"/>
  <c r="F21489" i="5"/>
  <c r="F21488" i="5"/>
  <c r="F21487" i="5"/>
  <c r="F21486" i="5"/>
  <c r="F21485" i="5"/>
  <c r="F21484" i="5"/>
  <c r="F21483" i="5"/>
  <c r="F21482" i="5"/>
  <c r="F21481" i="5"/>
  <c r="F21480" i="5"/>
  <c r="F21479" i="5"/>
  <c r="F21478" i="5"/>
  <c r="F21477" i="5"/>
  <c r="F21476" i="5"/>
  <c r="F21475" i="5"/>
  <c r="F21474" i="5"/>
  <c r="F21473" i="5"/>
  <c r="F21472" i="5"/>
  <c r="F21471" i="5"/>
  <c r="F21470" i="5"/>
  <c r="F21469" i="5"/>
  <c r="F21468" i="5"/>
  <c r="F21467" i="5"/>
  <c r="F21466" i="5"/>
  <c r="F21465" i="5"/>
  <c r="F21464" i="5"/>
  <c r="F21463" i="5"/>
  <c r="F21462" i="5"/>
  <c r="F21461" i="5"/>
  <c r="F21460" i="5"/>
  <c r="F21459" i="5"/>
  <c r="F21458" i="5"/>
  <c r="F21457" i="5"/>
  <c r="F21456" i="5"/>
  <c r="F21455" i="5"/>
  <c r="F21454" i="5"/>
  <c r="F21453" i="5"/>
  <c r="F21452" i="5"/>
  <c r="F21451" i="5"/>
  <c r="F21450" i="5"/>
  <c r="F21449" i="5"/>
  <c r="F21448" i="5"/>
  <c r="F21447" i="5"/>
  <c r="F21446" i="5"/>
  <c r="F21445" i="5"/>
  <c r="F21444" i="5"/>
  <c r="F21443" i="5"/>
  <c r="F21442" i="5"/>
  <c r="F21441" i="5"/>
  <c r="F21440" i="5"/>
  <c r="F21439" i="5"/>
  <c r="F21438" i="5"/>
  <c r="F21437" i="5"/>
  <c r="F21436" i="5"/>
  <c r="F21435" i="5"/>
  <c r="F21434" i="5"/>
  <c r="F21433" i="5"/>
  <c r="F21432" i="5"/>
  <c r="F21431" i="5"/>
  <c r="F21430" i="5"/>
  <c r="F21429" i="5"/>
  <c r="F21428" i="5"/>
  <c r="F21427" i="5"/>
  <c r="F21426" i="5"/>
  <c r="F21425" i="5"/>
  <c r="F21424" i="5"/>
  <c r="F21423" i="5"/>
  <c r="F21422" i="5"/>
  <c r="F21421" i="5"/>
  <c r="F21420" i="5"/>
  <c r="F21419" i="5"/>
  <c r="F21418" i="5"/>
  <c r="F21417" i="5"/>
  <c r="F21416" i="5"/>
  <c r="F21415" i="5"/>
  <c r="F21414" i="5"/>
  <c r="F21413" i="5"/>
  <c r="F21412" i="5"/>
  <c r="F21411" i="5"/>
  <c r="F21410" i="5"/>
  <c r="F21409" i="5"/>
  <c r="F21408" i="5"/>
  <c r="F21407" i="5"/>
  <c r="F21406" i="5"/>
  <c r="F21405" i="5"/>
  <c r="F21404" i="5"/>
  <c r="F21403" i="5"/>
  <c r="F21402" i="5"/>
  <c r="F21401" i="5"/>
  <c r="F21400" i="5"/>
  <c r="F21399" i="5"/>
  <c r="F21398" i="5"/>
  <c r="F21397" i="5"/>
  <c r="F21396" i="5"/>
  <c r="F21395" i="5"/>
  <c r="F21394" i="5"/>
  <c r="F21393" i="5"/>
  <c r="F21392" i="5"/>
  <c r="F21391" i="5"/>
  <c r="F21390" i="5"/>
  <c r="F21389" i="5"/>
  <c r="F21388" i="5"/>
  <c r="F21387" i="5"/>
  <c r="F21386" i="5"/>
  <c r="F21385" i="5"/>
  <c r="F21384" i="5"/>
  <c r="F21383" i="5"/>
  <c r="F21382" i="5"/>
  <c r="F21381" i="5"/>
  <c r="F21380" i="5"/>
  <c r="F21379" i="5"/>
  <c r="F21378" i="5"/>
  <c r="F21377" i="5"/>
  <c r="F21376" i="5"/>
  <c r="F21375" i="5"/>
  <c r="F21374" i="5"/>
  <c r="F21373" i="5"/>
  <c r="F21372" i="5"/>
  <c r="F21371" i="5"/>
  <c r="F21370" i="5"/>
  <c r="F21369" i="5"/>
  <c r="F21368" i="5"/>
  <c r="F21367" i="5"/>
  <c r="F21366" i="5"/>
  <c r="F21365" i="5"/>
  <c r="F21364" i="5"/>
  <c r="F21363" i="5"/>
  <c r="F21362" i="5"/>
  <c r="F21361" i="5"/>
  <c r="F21360" i="5"/>
  <c r="F21359" i="5"/>
  <c r="F21358" i="5"/>
  <c r="F21357" i="5"/>
  <c r="F21356" i="5"/>
  <c r="F21355" i="5"/>
  <c r="F21354" i="5"/>
  <c r="F21353" i="5"/>
  <c r="F21352" i="5"/>
  <c r="F21351" i="5"/>
  <c r="F21350" i="5"/>
  <c r="F21349" i="5"/>
  <c r="F21348" i="5"/>
  <c r="F21347" i="5"/>
  <c r="F21346" i="5"/>
  <c r="F21345" i="5"/>
  <c r="F21344" i="5"/>
  <c r="F21343" i="5"/>
  <c r="F21342" i="5"/>
  <c r="F21341" i="5"/>
  <c r="F21340" i="5"/>
  <c r="F21339" i="5"/>
  <c r="F21338" i="5"/>
  <c r="F21337" i="5"/>
  <c r="F21336" i="5"/>
  <c r="F21335" i="5"/>
  <c r="F21334" i="5"/>
  <c r="F21333" i="5"/>
  <c r="F21332" i="5"/>
  <c r="F21331" i="5"/>
  <c r="F21330" i="5"/>
  <c r="F21329" i="5"/>
  <c r="F21328" i="5"/>
  <c r="F21327" i="5"/>
  <c r="F21326" i="5"/>
  <c r="F21325" i="5"/>
  <c r="F21324" i="5"/>
  <c r="F21323" i="5"/>
  <c r="F21322" i="5"/>
  <c r="F21321" i="5"/>
  <c r="F21320" i="5"/>
  <c r="F21319" i="5"/>
  <c r="F21318" i="5"/>
  <c r="F21317" i="5"/>
  <c r="F21316" i="5"/>
  <c r="F21315" i="5"/>
  <c r="F21314" i="5"/>
  <c r="F21313" i="5"/>
  <c r="F21312" i="5"/>
  <c r="F21311" i="5"/>
  <c r="F21310" i="5"/>
  <c r="F21309" i="5"/>
  <c r="F21308" i="5"/>
  <c r="F21307" i="5"/>
  <c r="F21306" i="5"/>
  <c r="F21305" i="5"/>
  <c r="F21304" i="5"/>
  <c r="F21303" i="5"/>
  <c r="F21302" i="5"/>
  <c r="F21301" i="5"/>
  <c r="F21300" i="5"/>
  <c r="F21299" i="5"/>
  <c r="F21298" i="5"/>
  <c r="F21297" i="5"/>
  <c r="F21296" i="5"/>
  <c r="F21295" i="5"/>
  <c r="F21294" i="5"/>
  <c r="F21293" i="5"/>
  <c r="F21292" i="5"/>
  <c r="F21291" i="5"/>
  <c r="F21290" i="5"/>
  <c r="F21289" i="5"/>
  <c r="F21288" i="5"/>
  <c r="F21287" i="5"/>
  <c r="F21286" i="5"/>
  <c r="F21285" i="5"/>
  <c r="F21284" i="5"/>
  <c r="F21283" i="5"/>
  <c r="F21282" i="5"/>
  <c r="F21281" i="5"/>
  <c r="F21280" i="5"/>
  <c r="F21279" i="5"/>
  <c r="F21278" i="5"/>
  <c r="F21277" i="5"/>
  <c r="F21276" i="5"/>
  <c r="F21275" i="5"/>
  <c r="F21274" i="5"/>
  <c r="F21273" i="5"/>
  <c r="F21272" i="5"/>
  <c r="F21271" i="5"/>
  <c r="F21270" i="5"/>
  <c r="F21269" i="5"/>
  <c r="F21268" i="5"/>
  <c r="F21267" i="5"/>
  <c r="F21266" i="5"/>
  <c r="F21265" i="5"/>
  <c r="F21264" i="5"/>
  <c r="F21263" i="5"/>
  <c r="F21262" i="5"/>
  <c r="F21261" i="5"/>
  <c r="F21260" i="5"/>
  <c r="F21259" i="5"/>
  <c r="F21258" i="5"/>
  <c r="F21257" i="5"/>
  <c r="F21256" i="5"/>
  <c r="F21255" i="5"/>
  <c r="F21254" i="5"/>
  <c r="F21253" i="5"/>
  <c r="F21252" i="5"/>
  <c r="F21251" i="5"/>
  <c r="F21250" i="5"/>
  <c r="F21249" i="5"/>
  <c r="F21248" i="5"/>
  <c r="F21247" i="5"/>
  <c r="F21246" i="5"/>
  <c r="F21245" i="5"/>
  <c r="F21244" i="5"/>
  <c r="F21243" i="5"/>
  <c r="F21242" i="5"/>
  <c r="F21241" i="5"/>
  <c r="F21240" i="5"/>
  <c r="F21239" i="5"/>
  <c r="F21238" i="5"/>
  <c r="F21237" i="5"/>
  <c r="F21236" i="5"/>
  <c r="F21235" i="5"/>
  <c r="F21234" i="5"/>
  <c r="F21233" i="5"/>
  <c r="F21232" i="5"/>
  <c r="F21231" i="5"/>
  <c r="F21230" i="5"/>
  <c r="F21229" i="5"/>
  <c r="F21228" i="5"/>
  <c r="F21227" i="5"/>
  <c r="F21226" i="5"/>
  <c r="F21225" i="5"/>
  <c r="F21224" i="5"/>
  <c r="F21223" i="5"/>
  <c r="F21222" i="5"/>
  <c r="F21221" i="5"/>
  <c r="F21220" i="5"/>
  <c r="F21219" i="5"/>
  <c r="F21218" i="5"/>
  <c r="F21217" i="5"/>
  <c r="F21216" i="5"/>
  <c r="F21215" i="5"/>
  <c r="F21214" i="5"/>
  <c r="F21213" i="5"/>
  <c r="F21212" i="5"/>
  <c r="F21211" i="5"/>
  <c r="F21210" i="5"/>
  <c r="F21209" i="5"/>
  <c r="F21208" i="5"/>
  <c r="F21207" i="5"/>
  <c r="F21206" i="5"/>
  <c r="F21205" i="5"/>
  <c r="F21204" i="5"/>
  <c r="F21203" i="5"/>
  <c r="F21202" i="5"/>
  <c r="F21201" i="5"/>
  <c r="F21200" i="5"/>
  <c r="F21199" i="5"/>
  <c r="F21198" i="5"/>
  <c r="F21197" i="5"/>
  <c r="F21196" i="5"/>
  <c r="F21195" i="5"/>
  <c r="F21194" i="5"/>
  <c r="F21193" i="5"/>
  <c r="F21192" i="5"/>
  <c r="F21191" i="5"/>
  <c r="F21190" i="5"/>
  <c r="F21189" i="5"/>
  <c r="F21188" i="5"/>
  <c r="F21187" i="5"/>
  <c r="F21186" i="5"/>
  <c r="F21185" i="5"/>
  <c r="F21184" i="5"/>
  <c r="F21183" i="5"/>
  <c r="F21182" i="5"/>
  <c r="F21181" i="5"/>
  <c r="F21180" i="5"/>
  <c r="F21179" i="5"/>
  <c r="F21178" i="5"/>
  <c r="F21177" i="5"/>
  <c r="F21176" i="5"/>
  <c r="F21175" i="5"/>
  <c r="F21174" i="5"/>
  <c r="F21173" i="5"/>
  <c r="F21172" i="5"/>
  <c r="F21171" i="5"/>
  <c r="F21170" i="5"/>
  <c r="F21169" i="5"/>
  <c r="F21168" i="5"/>
  <c r="F21167" i="5"/>
  <c r="F21166" i="5"/>
  <c r="F21165" i="5"/>
  <c r="F21164" i="5"/>
  <c r="F21163" i="5"/>
  <c r="F21162" i="5"/>
  <c r="F21161" i="5"/>
  <c r="F21160" i="5"/>
  <c r="F21159" i="5"/>
  <c r="F21158" i="5"/>
  <c r="F21157" i="5"/>
  <c r="F21156" i="5"/>
  <c r="F21155" i="5"/>
  <c r="F21154" i="5"/>
  <c r="F21153" i="5"/>
  <c r="F21152" i="5"/>
  <c r="F21151" i="5"/>
  <c r="F21150" i="5"/>
  <c r="F21149" i="5"/>
  <c r="F21148" i="5"/>
  <c r="F21147" i="5"/>
  <c r="F21146" i="5"/>
  <c r="F21145" i="5"/>
  <c r="F21144" i="5"/>
  <c r="F21143" i="5"/>
  <c r="F21142" i="5"/>
  <c r="F21141" i="5"/>
  <c r="F21140" i="5"/>
  <c r="F21139" i="5"/>
  <c r="F21138" i="5"/>
  <c r="F21137" i="5"/>
  <c r="F21136" i="5"/>
  <c r="F21135" i="5"/>
  <c r="F21134" i="5"/>
  <c r="F21133" i="5"/>
  <c r="F21132" i="5"/>
  <c r="F21131" i="5"/>
  <c r="F21130" i="5"/>
  <c r="F21129" i="5"/>
  <c r="F21128" i="5"/>
  <c r="F21127" i="5"/>
  <c r="F21126" i="5"/>
  <c r="F21125" i="5"/>
  <c r="F21124" i="5"/>
  <c r="F21123" i="5"/>
  <c r="F21122" i="5"/>
  <c r="F21121" i="5"/>
  <c r="F21120" i="5"/>
  <c r="F21119" i="5"/>
  <c r="F21118" i="5"/>
  <c r="F21117" i="5"/>
  <c r="F21116" i="5"/>
  <c r="F21115" i="5"/>
  <c r="F21114" i="5"/>
  <c r="F21113" i="5"/>
  <c r="F21112" i="5"/>
  <c r="F21111" i="5"/>
  <c r="F21110" i="5"/>
  <c r="F21109" i="5"/>
  <c r="F21108" i="5"/>
  <c r="F21107" i="5"/>
  <c r="F21106" i="5"/>
  <c r="F21105" i="5"/>
  <c r="F21104" i="5"/>
  <c r="F21103" i="5"/>
  <c r="F21102" i="5"/>
  <c r="F21101" i="5"/>
  <c r="F21100" i="5"/>
  <c r="F21099" i="5"/>
  <c r="F21098" i="5"/>
  <c r="F21097" i="5"/>
  <c r="F21096" i="5"/>
  <c r="F21095" i="5"/>
  <c r="F21094" i="5"/>
  <c r="F21093" i="5"/>
  <c r="F21092" i="5"/>
  <c r="F21091" i="5"/>
  <c r="F21090" i="5"/>
  <c r="F21089" i="5"/>
  <c r="F21088" i="5"/>
  <c r="F21087" i="5"/>
  <c r="F21086" i="5"/>
  <c r="F21085" i="5"/>
  <c r="F21084" i="5"/>
  <c r="F21083" i="5"/>
  <c r="F21082" i="5"/>
  <c r="F21081" i="5"/>
  <c r="F21080" i="5"/>
  <c r="F21079" i="5"/>
  <c r="F21078" i="5"/>
  <c r="F21077" i="5"/>
  <c r="F21076" i="5"/>
  <c r="F21075" i="5"/>
  <c r="F21074" i="5"/>
  <c r="F21073" i="5"/>
  <c r="F21072" i="5"/>
  <c r="F21071" i="5"/>
  <c r="F21070" i="5"/>
  <c r="F21069" i="5"/>
  <c r="F21068" i="5"/>
  <c r="F21067" i="5"/>
  <c r="F21066" i="5"/>
  <c r="F21065" i="5"/>
  <c r="F21064" i="5"/>
  <c r="F21063" i="5"/>
  <c r="F21062" i="5"/>
  <c r="F21061" i="5"/>
  <c r="F21060" i="5"/>
  <c r="F21059" i="5"/>
  <c r="F21058" i="5"/>
  <c r="F21057" i="5"/>
  <c r="F21056" i="5"/>
  <c r="F21055" i="5"/>
  <c r="F21054" i="5"/>
  <c r="F21053" i="5"/>
  <c r="F21052" i="5"/>
  <c r="F21051" i="5"/>
  <c r="F21050" i="5"/>
  <c r="F21049" i="5"/>
  <c r="F21048" i="5"/>
  <c r="F21047" i="5"/>
  <c r="F21046" i="5"/>
  <c r="F21045" i="5"/>
  <c r="F21044" i="5"/>
  <c r="F21043" i="5"/>
  <c r="F21042" i="5"/>
  <c r="F21041" i="5"/>
  <c r="F21040" i="5"/>
  <c r="F21039" i="5"/>
  <c r="F21038" i="5"/>
  <c r="F21037" i="5"/>
  <c r="F21036" i="5"/>
  <c r="F21035" i="5"/>
  <c r="F21034" i="5"/>
  <c r="F21033" i="5"/>
  <c r="F21032" i="5"/>
  <c r="F21031" i="5"/>
  <c r="F21030" i="5"/>
  <c r="F21029" i="5"/>
  <c r="F21028" i="5"/>
  <c r="F21027" i="5"/>
  <c r="F21026" i="5"/>
  <c r="F21025" i="5"/>
  <c r="F21024" i="5"/>
  <c r="F21023" i="5"/>
  <c r="F21022" i="5"/>
  <c r="F21021" i="5"/>
  <c r="F21020" i="5"/>
  <c r="F21019" i="5"/>
  <c r="F21018" i="5"/>
  <c r="F21017" i="5"/>
  <c r="F21016" i="5"/>
  <c r="F21015" i="5"/>
  <c r="F21014" i="5"/>
  <c r="F21013" i="5"/>
  <c r="F21012" i="5"/>
  <c r="F21011" i="5"/>
  <c r="F21010" i="5"/>
  <c r="F21009" i="5"/>
  <c r="F21008" i="5"/>
  <c r="F21007" i="5"/>
  <c r="F21006" i="5"/>
  <c r="F21005" i="5"/>
  <c r="F21004" i="5"/>
  <c r="F21003" i="5"/>
  <c r="F21002" i="5"/>
  <c r="F21001" i="5"/>
  <c r="F21000" i="5"/>
  <c r="F20999" i="5"/>
  <c r="F20998" i="5"/>
  <c r="F20997" i="5"/>
  <c r="F20996" i="5"/>
  <c r="F20995" i="5"/>
  <c r="F20994" i="5"/>
  <c r="F20993" i="5"/>
  <c r="F20992" i="5"/>
  <c r="F20991" i="5"/>
  <c r="F20990" i="5"/>
  <c r="F20989" i="5"/>
  <c r="F20988" i="5"/>
  <c r="F20987" i="5"/>
  <c r="F20986" i="5"/>
  <c r="F20985" i="5"/>
  <c r="F20984" i="5"/>
  <c r="F20983" i="5"/>
  <c r="F20982" i="5"/>
  <c r="F20981" i="5"/>
  <c r="F20980" i="5"/>
  <c r="F20979" i="5"/>
  <c r="F20978" i="5"/>
  <c r="F20977" i="5"/>
  <c r="F20976" i="5"/>
  <c r="F20975" i="5"/>
  <c r="F20974" i="5"/>
  <c r="F20973" i="5"/>
  <c r="F20972" i="5"/>
  <c r="F20971" i="5"/>
  <c r="F20970" i="5"/>
  <c r="F20969" i="5"/>
  <c r="F20968" i="5"/>
  <c r="F20967" i="5"/>
  <c r="F20966" i="5"/>
  <c r="F20965" i="5"/>
  <c r="F20964" i="5"/>
  <c r="F20963" i="5"/>
  <c r="F20962" i="5"/>
  <c r="F20961" i="5"/>
  <c r="F20960" i="5"/>
  <c r="F20959" i="5"/>
  <c r="F20958" i="5"/>
  <c r="F20957" i="5"/>
  <c r="F20956" i="5"/>
  <c r="F20955" i="5"/>
  <c r="F20954" i="5"/>
  <c r="F20953" i="5"/>
  <c r="F20952" i="5"/>
  <c r="F20951" i="5"/>
  <c r="F20950" i="5"/>
  <c r="F20949" i="5"/>
  <c r="F20948" i="5"/>
  <c r="F20947" i="5"/>
  <c r="F20946" i="5"/>
  <c r="F20945" i="5"/>
  <c r="F20944" i="5"/>
  <c r="F20943" i="5"/>
  <c r="F20942" i="5"/>
  <c r="F20941" i="5"/>
  <c r="F20940" i="5"/>
  <c r="F20939" i="5"/>
  <c r="F20938" i="5"/>
  <c r="F20937" i="5"/>
  <c r="F20936" i="5"/>
  <c r="F20935" i="5"/>
  <c r="F20934" i="5"/>
  <c r="F20933" i="5"/>
  <c r="F20932" i="5"/>
  <c r="F20931" i="5"/>
  <c r="F20930" i="5"/>
  <c r="F20929" i="5"/>
  <c r="F20928" i="5"/>
  <c r="F20927" i="5"/>
  <c r="F20926" i="5"/>
  <c r="F20925" i="5"/>
  <c r="F20924" i="5"/>
  <c r="F20923" i="5"/>
  <c r="F20922" i="5"/>
  <c r="F20921" i="5"/>
  <c r="F20920" i="5"/>
  <c r="F20919" i="5"/>
  <c r="F20918" i="5"/>
  <c r="F20917" i="5"/>
  <c r="F20916" i="5"/>
  <c r="F20915" i="5"/>
  <c r="F20914" i="5"/>
  <c r="F20913" i="5"/>
  <c r="F20912" i="5"/>
  <c r="F20911" i="5"/>
  <c r="F20910" i="5"/>
  <c r="F20909" i="5"/>
  <c r="F20908" i="5"/>
  <c r="F20907" i="5"/>
  <c r="F20906" i="5"/>
  <c r="F20905" i="5"/>
  <c r="F20904" i="5"/>
  <c r="F20903" i="5"/>
  <c r="F20902" i="5"/>
  <c r="F20901" i="5"/>
  <c r="F20900" i="5"/>
  <c r="F20899" i="5"/>
  <c r="F20898" i="5"/>
  <c r="F20897" i="5"/>
  <c r="F20896" i="5"/>
  <c r="F20895" i="5"/>
  <c r="F20894" i="5"/>
  <c r="F20893" i="5"/>
  <c r="F20892" i="5"/>
  <c r="F20891" i="5"/>
  <c r="F20890" i="5"/>
  <c r="F20889" i="5"/>
  <c r="F20888" i="5"/>
  <c r="F20887" i="5"/>
  <c r="F20886" i="5"/>
  <c r="F20885" i="5"/>
  <c r="F20884" i="5"/>
  <c r="F20883" i="5"/>
  <c r="F20882" i="5"/>
  <c r="F20881" i="5"/>
  <c r="F20880" i="5"/>
  <c r="F20879" i="5"/>
  <c r="F20878" i="5"/>
  <c r="F20877" i="5"/>
  <c r="F20876" i="5"/>
  <c r="F20875" i="5"/>
  <c r="F20874" i="5"/>
  <c r="F20873" i="5"/>
  <c r="F20872" i="5"/>
  <c r="F20871" i="5"/>
  <c r="F20870" i="5"/>
  <c r="F20869" i="5"/>
  <c r="F20868" i="5"/>
  <c r="F20867" i="5"/>
  <c r="F20866" i="5"/>
  <c r="F20865" i="5"/>
  <c r="F20864" i="5"/>
  <c r="F20863" i="5"/>
  <c r="F20862" i="5"/>
  <c r="F20861" i="5"/>
  <c r="F20860" i="5"/>
  <c r="F20859" i="5"/>
  <c r="F20858" i="5"/>
  <c r="F20857" i="5"/>
  <c r="F20856" i="5"/>
  <c r="F20855" i="5"/>
  <c r="F20854" i="5"/>
  <c r="F20853" i="5"/>
  <c r="F20852" i="5"/>
  <c r="F20851" i="5"/>
  <c r="F20850" i="5"/>
  <c r="F20849" i="5"/>
  <c r="F20848" i="5"/>
  <c r="F20847" i="5"/>
  <c r="F20846" i="5"/>
  <c r="F20845" i="5"/>
  <c r="F20844" i="5"/>
  <c r="F20843" i="5"/>
  <c r="F20842" i="5"/>
  <c r="F20841" i="5"/>
  <c r="F20840" i="5"/>
  <c r="F20839" i="5"/>
  <c r="F20838" i="5"/>
  <c r="F20837" i="5"/>
  <c r="F20836" i="5"/>
  <c r="F20835" i="5"/>
  <c r="F20834" i="5"/>
  <c r="F20833" i="5"/>
  <c r="F20832" i="5"/>
  <c r="F20831" i="5"/>
  <c r="F20830" i="5"/>
  <c r="F20829" i="5"/>
  <c r="F20828" i="5"/>
  <c r="F20827" i="5"/>
  <c r="F20826" i="5"/>
  <c r="F20825" i="5"/>
  <c r="F20824" i="5"/>
  <c r="F20823" i="5"/>
  <c r="F20822" i="5"/>
  <c r="F20821" i="5"/>
  <c r="F20820" i="5"/>
  <c r="F20819" i="5"/>
  <c r="F20818" i="5"/>
  <c r="F20817" i="5"/>
  <c r="F20816" i="5"/>
  <c r="F20815" i="5"/>
  <c r="F20814" i="5"/>
  <c r="F20813" i="5"/>
  <c r="F20812" i="5"/>
  <c r="F20811" i="5"/>
  <c r="F20810" i="5"/>
  <c r="F20809" i="5"/>
  <c r="F20808" i="5"/>
  <c r="F20807" i="5"/>
  <c r="F20806" i="5"/>
  <c r="F20805" i="5"/>
  <c r="F20804" i="5"/>
  <c r="F20803" i="5"/>
  <c r="F20802" i="5"/>
  <c r="F20801" i="5"/>
  <c r="F20800" i="5"/>
  <c r="F20799" i="5"/>
  <c r="F20798" i="5"/>
  <c r="F20797" i="5"/>
  <c r="F20796" i="5"/>
  <c r="F20795" i="5"/>
  <c r="F20794" i="5"/>
  <c r="F20793" i="5"/>
  <c r="F20792" i="5"/>
  <c r="F20791" i="5"/>
  <c r="F20790" i="5"/>
  <c r="F20789" i="5"/>
  <c r="F20788" i="5"/>
  <c r="F20787" i="5"/>
  <c r="F20786" i="5"/>
  <c r="F20785" i="5"/>
  <c r="F20784" i="5"/>
  <c r="F20783" i="5"/>
  <c r="F20782" i="5"/>
  <c r="F20781" i="5"/>
  <c r="F20780" i="5"/>
  <c r="F20779" i="5"/>
  <c r="F20778" i="5"/>
  <c r="F20777" i="5"/>
  <c r="F20776" i="5"/>
  <c r="F20775" i="5"/>
  <c r="F20774" i="5"/>
  <c r="F20773" i="5"/>
  <c r="F20772" i="5"/>
  <c r="F20771" i="5"/>
  <c r="F20770" i="5"/>
  <c r="F20769" i="5"/>
  <c r="F20768" i="5"/>
  <c r="F20767" i="5"/>
  <c r="F20766" i="5"/>
  <c r="F20765" i="5"/>
  <c r="F20764" i="5"/>
  <c r="F20763" i="5"/>
  <c r="F20762" i="5"/>
  <c r="F20761" i="5"/>
  <c r="F20760" i="5"/>
  <c r="F20759" i="5"/>
  <c r="F20758" i="5"/>
  <c r="F20757" i="5"/>
  <c r="F20756" i="5"/>
  <c r="F20755" i="5"/>
  <c r="F20754" i="5"/>
  <c r="F20753" i="5"/>
  <c r="F20752" i="5"/>
  <c r="F20751" i="5"/>
  <c r="F20750" i="5"/>
  <c r="F20749" i="5"/>
  <c r="F20748" i="5"/>
  <c r="F20747" i="5"/>
  <c r="F20746" i="5"/>
  <c r="F20745" i="5"/>
  <c r="F20744" i="5"/>
  <c r="F20743" i="5"/>
  <c r="F20742" i="5"/>
  <c r="F20741" i="5"/>
  <c r="F20740" i="5"/>
  <c r="F20739" i="5"/>
  <c r="F20738" i="5"/>
  <c r="F20737" i="5"/>
  <c r="F20736" i="5"/>
  <c r="F20735" i="5"/>
  <c r="F20734" i="5"/>
  <c r="F20733" i="5"/>
  <c r="F20732" i="5"/>
  <c r="F20731" i="5"/>
  <c r="F20730" i="5"/>
  <c r="F20729" i="5"/>
  <c r="F20728" i="5"/>
  <c r="F20727" i="5"/>
  <c r="F20726" i="5"/>
  <c r="F20725" i="5"/>
  <c r="F20724" i="5"/>
  <c r="F20723" i="5"/>
  <c r="F20722" i="5"/>
  <c r="F20721" i="5"/>
  <c r="F20720" i="5"/>
  <c r="F20719" i="5"/>
  <c r="F20718" i="5"/>
  <c r="F20717" i="5"/>
  <c r="F20716" i="5"/>
  <c r="F20715" i="5"/>
  <c r="F20714" i="5"/>
  <c r="F20713" i="5"/>
  <c r="F20712" i="5"/>
  <c r="F20711" i="5"/>
  <c r="F20710" i="5"/>
  <c r="F20709" i="5"/>
  <c r="F20708" i="5"/>
  <c r="F20707" i="5"/>
  <c r="F20706" i="5"/>
  <c r="F20705" i="5"/>
  <c r="F20704" i="5"/>
  <c r="F20703" i="5"/>
  <c r="F20702" i="5"/>
  <c r="F20701" i="5"/>
  <c r="F20700" i="5"/>
  <c r="F20699" i="5"/>
  <c r="F20698" i="5"/>
  <c r="F20697" i="5"/>
  <c r="F20696" i="5"/>
  <c r="F20695" i="5"/>
  <c r="F20694" i="5"/>
  <c r="F20693" i="5"/>
  <c r="F20692" i="5"/>
  <c r="F20691" i="5"/>
  <c r="F20690" i="5"/>
  <c r="F20689" i="5"/>
  <c r="F20688" i="5"/>
  <c r="F20687" i="5"/>
  <c r="F20686" i="5"/>
  <c r="F20685" i="5"/>
  <c r="F20684" i="5"/>
  <c r="F20683" i="5"/>
  <c r="F20682" i="5"/>
  <c r="F20681" i="5"/>
  <c r="F20680" i="5"/>
  <c r="F20679" i="5"/>
  <c r="F20678" i="5"/>
  <c r="F20677" i="5"/>
  <c r="F20676" i="5"/>
  <c r="F20675" i="5"/>
  <c r="F20674" i="5"/>
  <c r="F20673" i="5"/>
  <c r="F20672" i="5"/>
  <c r="F20671" i="5"/>
  <c r="F20670" i="5"/>
  <c r="F20669" i="5"/>
  <c r="F20668" i="5"/>
  <c r="F20667" i="5"/>
  <c r="F20666" i="5"/>
  <c r="F20665" i="5"/>
  <c r="F20664" i="5"/>
  <c r="F20663" i="5"/>
  <c r="F20662" i="5"/>
  <c r="F20661" i="5"/>
  <c r="F20660" i="5"/>
  <c r="F20659" i="5"/>
  <c r="F20658" i="5"/>
  <c r="F20657" i="5"/>
  <c r="F20656" i="5"/>
  <c r="F20655" i="5"/>
  <c r="F20654" i="5"/>
  <c r="F20653" i="5"/>
  <c r="F20652" i="5"/>
  <c r="F20651" i="5"/>
  <c r="F20650" i="5"/>
  <c r="F20649" i="5"/>
  <c r="F20648" i="5"/>
  <c r="F20647" i="5"/>
  <c r="F20646" i="5"/>
  <c r="F20645" i="5"/>
  <c r="F20644" i="5"/>
  <c r="F20643" i="5"/>
  <c r="F20642" i="5"/>
  <c r="F20641" i="5"/>
  <c r="F20640" i="5"/>
  <c r="F20639" i="5"/>
  <c r="F20638" i="5"/>
  <c r="F20637" i="5"/>
  <c r="F20636" i="5"/>
  <c r="F20635" i="5"/>
  <c r="F20634" i="5"/>
  <c r="F20633" i="5"/>
  <c r="F20632" i="5"/>
  <c r="F20631" i="5"/>
  <c r="F20630" i="5"/>
  <c r="F20629" i="5"/>
  <c r="F20628" i="5"/>
  <c r="F20627" i="5"/>
  <c r="F20626" i="5"/>
  <c r="F20625" i="5"/>
  <c r="F20624" i="5"/>
  <c r="F20623" i="5"/>
  <c r="F20622" i="5"/>
  <c r="F20621" i="5"/>
  <c r="F20620" i="5"/>
  <c r="F20619" i="5"/>
  <c r="F20618" i="5"/>
  <c r="F20617" i="5"/>
  <c r="F20616" i="5"/>
  <c r="F20615" i="5"/>
  <c r="F20614" i="5"/>
  <c r="F20613" i="5"/>
  <c r="F20612" i="5"/>
  <c r="F20611" i="5"/>
  <c r="F20610" i="5"/>
  <c r="F20609" i="5"/>
  <c r="F20608" i="5"/>
  <c r="F20607" i="5"/>
  <c r="F20606" i="5"/>
  <c r="F20605" i="5"/>
  <c r="F20604" i="5"/>
  <c r="F20603" i="5"/>
  <c r="F20602" i="5"/>
  <c r="F20601" i="5"/>
  <c r="F20600" i="5"/>
  <c r="F20599" i="5"/>
  <c r="F20598" i="5"/>
  <c r="F20597" i="5"/>
  <c r="F20596" i="5"/>
  <c r="F20595" i="5"/>
  <c r="F20594" i="5"/>
  <c r="F20593" i="5"/>
  <c r="F20592" i="5"/>
  <c r="F20591" i="5"/>
  <c r="F20590" i="5"/>
  <c r="F20589" i="5"/>
  <c r="F20588" i="5"/>
  <c r="F20587" i="5"/>
  <c r="F20586" i="5"/>
  <c r="F20585" i="5"/>
  <c r="F20584" i="5"/>
  <c r="F20583" i="5"/>
  <c r="F20582" i="5"/>
  <c r="F20581" i="5"/>
  <c r="F20580" i="5"/>
  <c r="F20579" i="5"/>
  <c r="F20578" i="5"/>
  <c r="F20577" i="5"/>
  <c r="F20576" i="5"/>
  <c r="F20575" i="5"/>
  <c r="F20574" i="5"/>
  <c r="F20573" i="5"/>
  <c r="F20572" i="5"/>
  <c r="F20571" i="5"/>
  <c r="F20570" i="5"/>
  <c r="F20569" i="5"/>
  <c r="F20568" i="5"/>
  <c r="F20567" i="5"/>
  <c r="F20566" i="5"/>
  <c r="F20565" i="5"/>
  <c r="F20564" i="5"/>
  <c r="F20563" i="5"/>
  <c r="F20562" i="5"/>
  <c r="F20561" i="5"/>
  <c r="F20560" i="5"/>
  <c r="F20559" i="5"/>
  <c r="F20558" i="5"/>
  <c r="F20557" i="5"/>
  <c r="F20556" i="5"/>
  <c r="F20555" i="5"/>
  <c r="F20554" i="5"/>
  <c r="F20553" i="5"/>
  <c r="F20552" i="5"/>
  <c r="F20551" i="5"/>
  <c r="F20550" i="5"/>
  <c r="F20549" i="5"/>
  <c r="F20548" i="5"/>
  <c r="F20547" i="5"/>
  <c r="F20546" i="5"/>
  <c r="F20545" i="5"/>
  <c r="F20544" i="5"/>
  <c r="F20543" i="5"/>
  <c r="F20542" i="5"/>
  <c r="F20541" i="5"/>
  <c r="F20540" i="5"/>
  <c r="F20539" i="5"/>
  <c r="F20538" i="5"/>
  <c r="F20537" i="5"/>
  <c r="F20536" i="5"/>
  <c r="F20535" i="5"/>
  <c r="F20534" i="5"/>
  <c r="F20533" i="5"/>
  <c r="F20532" i="5"/>
  <c r="F20531" i="5"/>
  <c r="F20530" i="5"/>
  <c r="F20529" i="5"/>
  <c r="F20528" i="5"/>
  <c r="F20527" i="5"/>
  <c r="F20526" i="5"/>
  <c r="F20525" i="5"/>
  <c r="F20524" i="5"/>
  <c r="F20523" i="5"/>
  <c r="F20522" i="5"/>
  <c r="F20521" i="5"/>
  <c r="F20520" i="5"/>
  <c r="F20519" i="5"/>
  <c r="F20518" i="5"/>
  <c r="F20517" i="5"/>
  <c r="F20516" i="5"/>
  <c r="F20515" i="5"/>
  <c r="F20514" i="5"/>
  <c r="F20513" i="5"/>
  <c r="F20512" i="5"/>
  <c r="F20511" i="5"/>
  <c r="F20510" i="5"/>
  <c r="F20509" i="5"/>
  <c r="F20508" i="5"/>
  <c r="F20507" i="5"/>
  <c r="F20506" i="5"/>
  <c r="F20505" i="5"/>
  <c r="F20504" i="5"/>
  <c r="F20503" i="5"/>
  <c r="F20502" i="5"/>
  <c r="F20501" i="5"/>
  <c r="F20500" i="5"/>
  <c r="F20499" i="5"/>
  <c r="F20498" i="5"/>
  <c r="F20497" i="5"/>
  <c r="F20496" i="5"/>
  <c r="F20495" i="5"/>
  <c r="F20494" i="5"/>
  <c r="F20493" i="5"/>
  <c r="F20492" i="5"/>
  <c r="F20491" i="5"/>
  <c r="F20490" i="5"/>
  <c r="F20489" i="5"/>
  <c r="F20488" i="5"/>
  <c r="F20487" i="5"/>
  <c r="F20486" i="5"/>
  <c r="F20485" i="5"/>
  <c r="F20484" i="5"/>
  <c r="F20483" i="5"/>
  <c r="F20482" i="5"/>
  <c r="F20481" i="5"/>
  <c r="F20480" i="5"/>
  <c r="F20479" i="5"/>
  <c r="F20478" i="5"/>
  <c r="F20477" i="5"/>
  <c r="F20476" i="5"/>
  <c r="F20475" i="5"/>
  <c r="F20474" i="5"/>
  <c r="F20473" i="5"/>
  <c r="F20472" i="5"/>
  <c r="F20471" i="5"/>
  <c r="F20470" i="5"/>
  <c r="F20469" i="5"/>
  <c r="F20468" i="5"/>
  <c r="F20467" i="5"/>
  <c r="F20466" i="5"/>
  <c r="F20465" i="5"/>
  <c r="F20464" i="5"/>
  <c r="F20463" i="5"/>
  <c r="F20462" i="5"/>
  <c r="F20461" i="5"/>
  <c r="F20460" i="5"/>
  <c r="F20459" i="5"/>
  <c r="F20458" i="5"/>
  <c r="F20457" i="5"/>
  <c r="F20456" i="5"/>
  <c r="F20455" i="5"/>
  <c r="F20454" i="5"/>
  <c r="F20453" i="5"/>
  <c r="F20452" i="5"/>
  <c r="F20451" i="5"/>
  <c r="F20450" i="5"/>
  <c r="F20449" i="5"/>
  <c r="F20448" i="5"/>
  <c r="F20447" i="5"/>
  <c r="F20446" i="5"/>
  <c r="F20445" i="5"/>
  <c r="F20444" i="5"/>
  <c r="F20443" i="5"/>
  <c r="F20442" i="5"/>
  <c r="F20441" i="5"/>
  <c r="F20440" i="5"/>
  <c r="F20439" i="5"/>
  <c r="F20438" i="5"/>
  <c r="F20437" i="5"/>
  <c r="F20436" i="5"/>
  <c r="F20435" i="5"/>
  <c r="F20434" i="5"/>
  <c r="F20433" i="5"/>
  <c r="F20432" i="5"/>
  <c r="F20431" i="5"/>
  <c r="F20430" i="5"/>
  <c r="F20429" i="5"/>
  <c r="F20428" i="5"/>
  <c r="F20427" i="5"/>
  <c r="F20426" i="5"/>
  <c r="F20425" i="5"/>
  <c r="F20424" i="5"/>
  <c r="F20423" i="5"/>
  <c r="F20422" i="5"/>
  <c r="F20421" i="5"/>
  <c r="F20420" i="5"/>
  <c r="F20419" i="5"/>
  <c r="F20418" i="5"/>
  <c r="F20417" i="5"/>
  <c r="F20416" i="5"/>
  <c r="F20415" i="5"/>
  <c r="F20414" i="5"/>
  <c r="F20413" i="5"/>
  <c r="F20412" i="5"/>
  <c r="F20411" i="5"/>
  <c r="F20410" i="5"/>
  <c r="F20409" i="5"/>
  <c r="F20408" i="5"/>
  <c r="F20407" i="5"/>
  <c r="F20406" i="5"/>
  <c r="F20405" i="5"/>
  <c r="F20404" i="5"/>
  <c r="F20403" i="5"/>
  <c r="F20402" i="5"/>
  <c r="F20401" i="5"/>
  <c r="F20400" i="5"/>
  <c r="F20399" i="5"/>
  <c r="F20398" i="5"/>
  <c r="F20397" i="5"/>
  <c r="F20396" i="5"/>
  <c r="F20395" i="5"/>
  <c r="F20394" i="5"/>
  <c r="F20393" i="5"/>
  <c r="F20392" i="5"/>
  <c r="F20391" i="5"/>
  <c r="F20390" i="5"/>
  <c r="F20389" i="5"/>
  <c r="F20388" i="5"/>
  <c r="F20387" i="5"/>
  <c r="F20386" i="5"/>
  <c r="F20385" i="5"/>
  <c r="F20384" i="5"/>
  <c r="F20383" i="5"/>
  <c r="F20382" i="5"/>
  <c r="F20381" i="5"/>
  <c r="F20380" i="5"/>
  <c r="F20379" i="5"/>
  <c r="F20378" i="5"/>
  <c r="F20377" i="5"/>
  <c r="F20376" i="5"/>
  <c r="F20375" i="5"/>
  <c r="F20374" i="5"/>
  <c r="F20373" i="5"/>
  <c r="F20372" i="5"/>
  <c r="F20371" i="5"/>
  <c r="F20370" i="5"/>
  <c r="F20369" i="5"/>
  <c r="F20368" i="5"/>
  <c r="F20367" i="5"/>
  <c r="F20366" i="5"/>
  <c r="F20365" i="5"/>
  <c r="F20364" i="5"/>
  <c r="F20363" i="5"/>
  <c r="F20362" i="5"/>
  <c r="F20361" i="5"/>
  <c r="F20360" i="5"/>
  <c r="F20359" i="5"/>
  <c r="F20358" i="5"/>
  <c r="F20357" i="5"/>
  <c r="F20356" i="5"/>
  <c r="F20355" i="5"/>
  <c r="F20354" i="5"/>
  <c r="F20353" i="5"/>
  <c r="F20352" i="5"/>
  <c r="F20351" i="5"/>
  <c r="F20350" i="5"/>
  <c r="F20349" i="5"/>
  <c r="F20348" i="5"/>
  <c r="F20347" i="5"/>
  <c r="F20346" i="5"/>
  <c r="F20345" i="5"/>
  <c r="F20344" i="5"/>
  <c r="F20343" i="5"/>
  <c r="F20342" i="5"/>
  <c r="F20341" i="5"/>
  <c r="F20340" i="5"/>
  <c r="F20339" i="5"/>
  <c r="F20338" i="5"/>
  <c r="F20337" i="5"/>
  <c r="F20336" i="5"/>
  <c r="F20335" i="5"/>
  <c r="F20334" i="5"/>
  <c r="F20333" i="5"/>
  <c r="F20332" i="5"/>
  <c r="F20331" i="5"/>
  <c r="F20330" i="5"/>
  <c r="F20329" i="5"/>
  <c r="F20328" i="5"/>
  <c r="F20327" i="5"/>
  <c r="F20326" i="5"/>
  <c r="F20325" i="5"/>
  <c r="F20324" i="5"/>
  <c r="F20323" i="5"/>
  <c r="F20322" i="5"/>
  <c r="F20321" i="5"/>
  <c r="F20320" i="5"/>
  <c r="F20319" i="5"/>
  <c r="F20318" i="5"/>
  <c r="F20317" i="5"/>
  <c r="F20316" i="5"/>
  <c r="F20315" i="5"/>
  <c r="F20314" i="5"/>
  <c r="F20313" i="5"/>
  <c r="F20312" i="5"/>
  <c r="F20311" i="5"/>
  <c r="F20310" i="5"/>
  <c r="F20309" i="5"/>
  <c r="F20308" i="5"/>
  <c r="F20307" i="5"/>
  <c r="F20306" i="5"/>
  <c r="F20305" i="5"/>
  <c r="F20304" i="5"/>
  <c r="F20303" i="5"/>
  <c r="F20302" i="5"/>
  <c r="F20301" i="5"/>
  <c r="F20300" i="5"/>
  <c r="F20299" i="5"/>
  <c r="F20298" i="5"/>
  <c r="F20297" i="5"/>
  <c r="F20296" i="5"/>
  <c r="F20295" i="5"/>
  <c r="F20294" i="5"/>
  <c r="F20293" i="5"/>
  <c r="F20292" i="5"/>
  <c r="F20291" i="5"/>
  <c r="F20290" i="5"/>
  <c r="F20289" i="5"/>
  <c r="F20288" i="5"/>
  <c r="F20287" i="5"/>
  <c r="F20286" i="5"/>
  <c r="F20285" i="5"/>
  <c r="F20284" i="5"/>
  <c r="F20283" i="5"/>
  <c r="F20282" i="5"/>
  <c r="F20281" i="5"/>
  <c r="F20280" i="5"/>
  <c r="F20279" i="5"/>
  <c r="F20278" i="5"/>
  <c r="F20277" i="5"/>
  <c r="F20276" i="5"/>
  <c r="F20275" i="5"/>
  <c r="F20274" i="5"/>
  <c r="F20273" i="5"/>
  <c r="F20272" i="5"/>
  <c r="F20271" i="5"/>
  <c r="F20270" i="5"/>
  <c r="F20269" i="5"/>
  <c r="F20268" i="5"/>
  <c r="F20267" i="5"/>
  <c r="F20266" i="5"/>
  <c r="F20265" i="5"/>
  <c r="F20264" i="5"/>
  <c r="F20263" i="5"/>
  <c r="F20262" i="5"/>
  <c r="F20261" i="5"/>
  <c r="F20260" i="5"/>
  <c r="F20259" i="5"/>
  <c r="F20258" i="5"/>
  <c r="F20257" i="5"/>
  <c r="F20256" i="5"/>
  <c r="F20255" i="5"/>
  <c r="F20254" i="5"/>
  <c r="F20253" i="5"/>
  <c r="F20252" i="5"/>
  <c r="F20251" i="5"/>
  <c r="F20250" i="5"/>
  <c r="F20249" i="5"/>
  <c r="F20248" i="5"/>
  <c r="F20247" i="5"/>
  <c r="F20246" i="5"/>
  <c r="F20245" i="5"/>
  <c r="F20244" i="5"/>
  <c r="F20243" i="5"/>
  <c r="F20242" i="5"/>
  <c r="F20241" i="5"/>
  <c r="F20240" i="5"/>
  <c r="F20239" i="5"/>
  <c r="F20238" i="5"/>
  <c r="F20237" i="5"/>
  <c r="F20236" i="5"/>
  <c r="F20235" i="5"/>
  <c r="F20234" i="5"/>
  <c r="F20233" i="5"/>
  <c r="F20232" i="5"/>
  <c r="F20231" i="5"/>
  <c r="F20230" i="5"/>
  <c r="F20229" i="5"/>
  <c r="F20228" i="5"/>
  <c r="F20227" i="5"/>
  <c r="F20226" i="5"/>
  <c r="F20225" i="5"/>
  <c r="F20224" i="5"/>
  <c r="F20223" i="5"/>
  <c r="F20222" i="5"/>
  <c r="F20221" i="5"/>
  <c r="F20220" i="5"/>
  <c r="F20219" i="5"/>
  <c r="F20218" i="5"/>
  <c r="F20217" i="5"/>
  <c r="F20216" i="5"/>
  <c r="F20215" i="5"/>
  <c r="F20214" i="5"/>
  <c r="F20213" i="5"/>
  <c r="F20212" i="5"/>
  <c r="F20211" i="5"/>
  <c r="F20210" i="5"/>
  <c r="F20209" i="5"/>
  <c r="F20208" i="5"/>
  <c r="F20207" i="5"/>
  <c r="F20206" i="5"/>
  <c r="F20205" i="5"/>
  <c r="F20204" i="5"/>
  <c r="F20203" i="5"/>
  <c r="F20202" i="5"/>
  <c r="F20201" i="5"/>
  <c r="F20200" i="5"/>
  <c r="F20199" i="5"/>
  <c r="F20198" i="5"/>
  <c r="F20197" i="5"/>
  <c r="F20196" i="5"/>
  <c r="F20195" i="5"/>
  <c r="F20194" i="5"/>
  <c r="F20193" i="5"/>
  <c r="F20192" i="5"/>
  <c r="F20191" i="5"/>
  <c r="F20190" i="5"/>
  <c r="F20189" i="5"/>
  <c r="F20188" i="5"/>
  <c r="F20187" i="5"/>
  <c r="F20186" i="5"/>
  <c r="F20185" i="5"/>
  <c r="F20184" i="5"/>
  <c r="F20183" i="5"/>
  <c r="F20182" i="5"/>
  <c r="F20181" i="5"/>
  <c r="F20180" i="5"/>
  <c r="F20179" i="5"/>
  <c r="F20178" i="5"/>
  <c r="F20177" i="5"/>
  <c r="F20176" i="5"/>
  <c r="F20175" i="5"/>
  <c r="F20174" i="5"/>
  <c r="F20173" i="5"/>
  <c r="F20172" i="5"/>
  <c r="F20171" i="5"/>
  <c r="F20170" i="5"/>
  <c r="F20169" i="5"/>
  <c r="F20168" i="5"/>
  <c r="F20167" i="5"/>
  <c r="F20166" i="5"/>
  <c r="F20165" i="5"/>
  <c r="F20164" i="5"/>
  <c r="F20163" i="5"/>
  <c r="F20162" i="5"/>
  <c r="F20161" i="5"/>
  <c r="F20160" i="5"/>
  <c r="F20159" i="5"/>
  <c r="F20158" i="5"/>
  <c r="F20157" i="5"/>
  <c r="F20156" i="5"/>
  <c r="F20155" i="5"/>
  <c r="F20154" i="5"/>
  <c r="F20153" i="5"/>
  <c r="F20152" i="5"/>
  <c r="F20151" i="5"/>
  <c r="F20150" i="5"/>
  <c r="F20149" i="5"/>
  <c r="F20148" i="5"/>
  <c r="F20147" i="5"/>
  <c r="F20146" i="5"/>
  <c r="F20145" i="5"/>
  <c r="F20144" i="5"/>
  <c r="F20143" i="5"/>
  <c r="F20142" i="5"/>
  <c r="F20141" i="5"/>
  <c r="F20140" i="5"/>
  <c r="F20139" i="5"/>
  <c r="F20138" i="5"/>
  <c r="F20137" i="5"/>
  <c r="F20136" i="5"/>
  <c r="F20135" i="5"/>
  <c r="F20134" i="5"/>
  <c r="F20133" i="5"/>
  <c r="F20132" i="5"/>
  <c r="F20131" i="5"/>
  <c r="F20130" i="5"/>
  <c r="F20129" i="5"/>
  <c r="F20128" i="5"/>
  <c r="F20127" i="5"/>
  <c r="F20126" i="5"/>
  <c r="F20125" i="5"/>
  <c r="F20124" i="5"/>
  <c r="F20123" i="5"/>
  <c r="F20122" i="5"/>
  <c r="F20121" i="5"/>
  <c r="F20120" i="5"/>
  <c r="F20119" i="5"/>
  <c r="F20118" i="5"/>
  <c r="F20117" i="5"/>
  <c r="F20116" i="5"/>
  <c r="F20115" i="5"/>
  <c r="F20114" i="5"/>
  <c r="F20113" i="5"/>
  <c r="F20112" i="5"/>
  <c r="F20111" i="5"/>
  <c r="F20110" i="5"/>
  <c r="F20109" i="5"/>
  <c r="F20108" i="5"/>
  <c r="F20107" i="5"/>
  <c r="F20106" i="5"/>
  <c r="F20105" i="5"/>
  <c r="F20104" i="5"/>
  <c r="F20103" i="5"/>
  <c r="F20102" i="5"/>
  <c r="F20101" i="5"/>
  <c r="F20100" i="5"/>
  <c r="F20099" i="5"/>
  <c r="F20098" i="5"/>
  <c r="F20097" i="5"/>
  <c r="F20096" i="5"/>
  <c r="F20095" i="5"/>
  <c r="F20094" i="5"/>
  <c r="F20093" i="5"/>
  <c r="F20092" i="5"/>
  <c r="F20091" i="5"/>
  <c r="F20090" i="5"/>
  <c r="F20089" i="5"/>
  <c r="F20088" i="5"/>
  <c r="F20087" i="5"/>
  <c r="F20086" i="5"/>
  <c r="F20085" i="5"/>
  <c r="F20084" i="5"/>
  <c r="F20083" i="5"/>
  <c r="F20082" i="5"/>
  <c r="F20081" i="5"/>
  <c r="F20080" i="5"/>
  <c r="F20079" i="5"/>
  <c r="F20078" i="5"/>
  <c r="F20077" i="5"/>
  <c r="F20076" i="5"/>
  <c r="F20075" i="5"/>
  <c r="F20074" i="5"/>
  <c r="F20073" i="5"/>
  <c r="F20072" i="5"/>
  <c r="F20071" i="5"/>
  <c r="F20070" i="5"/>
  <c r="F20069" i="5"/>
  <c r="F20068" i="5"/>
  <c r="F20067" i="5"/>
  <c r="F20066" i="5"/>
  <c r="F20065" i="5"/>
  <c r="F20064" i="5"/>
  <c r="F20063" i="5"/>
  <c r="F20062" i="5"/>
  <c r="F20061" i="5"/>
  <c r="F20060" i="5"/>
  <c r="F20059" i="5"/>
  <c r="F20058" i="5"/>
  <c r="F20057" i="5"/>
  <c r="F20056" i="5"/>
  <c r="F20055" i="5"/>
  <c r="F20054" i="5"/>
  <c r="F20053" i="5"/>
  <c r="F20052" i="5"/>
  <c r="F20051" i="5"/>
  <c r="F20050" i="5"/>
  <c r="F20049" i="5"/>
  <c r="F20048" i="5"/>
  <c r="F20047" i="5"/>
  <c r="F20046" i="5"/>
  <c r="F20045" i="5"/>
  <c r="F20044" i="5"/>
  <c r="F20043" i="5"/>
  <c r="F20042" i="5"/>
  <c r="F20041" i="5"/>
  <c r="F20040" i="5"/>
  <c r="F20039" i="5"/>
  <c r="F20038" i="5"/>
  <c r="F20037" i="5"/>
  <c r="F20036" i="5"/>
  <c r="F20035" i="5"/>
  <c r="F20034" i="5"/>
  <c r="F20033" i="5"/>
  <c r="F20032" i="5"/>
  <c r="F20031" i="5"/>
  <c r="F20030" i="5"/>
  <c r="F20029" i="5"/>
  <c r="F20028" i="5"/>
  <c r="F20027" i="5"/>
  <c r="F20026" i="5"/>
  <c r="F20025" i="5"/>
  <c r="F20024" i="5"/>
  <c r="F20023" i="5"/>
  <c r="F20022" i="5"/>
  <c r="F20021" i="5"/>
  <c r="F20020" i="5"/>
  <c r="F20019" i="5"/>
  <c r="F20018" i="5"/>
  <c r="F20017" i="5"/>
  <c r="F20016" i="5"/>
  <c r="F20015" i="5"/>
  <c r="F20014" i="5"/>
  <c r="F20013" i="5"/>
  <c r="F20012" i="5"/>
  <c r="F20011" i="5"/>
  <c r="F20010" i="5"/>
  <c r="F20009" i="5"/>
  <c r="F20008" i="5"/>
  <c r="F20007" i="5"/>
  <c r="F20006" i="5"/>
  <c r="F20005" i="5"/>
  <c r="F20004" i="5"/>
  <c r="F20003" i="5"/>
  <c r="F20002" i="5"/>
  <c r="F20001" i="5"/>
  <c r="F20000" i="5"/>
  <c r="F19999" i="5"/>
  <c r="F19998" i="5"/>
  <c r="F19997" i="5"/>
  <c r="F19996" i="5"/>
  <c r="F19995" i="5"/>
  <c r="F19994" i="5"/>
  <c r="F19993" i="5"/>
  <c r="F19992" i="5"/>
  <c r="F19991" i="5"/>
  <c r="F19990" i="5"/>
  <c r="F19989" i="5"/>
  <c r="F19988" i="5"/>
  <c r="F19987" i="5"/>
  <c r="F19986" i="5"/>
  <c r="F19985" i="5"/>
  <c r="F19984" i="5"/>
  <c r="F19983" i="5"/>
  <c r="F19982" i="5"/>
  <c r="F19981" i="5"/>
  <c r="F19980" i="5"/>
  <c r="F19979" i="5"/>
  <c r="F19978" i="5"/>
  <c r="F19977" i="5"/>
  <c r="F19976" i="5"/>
  <c r="F19975" i="5"/>
  <c r="F19974" i="5"/>
  <c r="F19973" i="5"/>
  <c r="F19972" i="5"/>
  <c r="F19971" i="5"/>
  <c r="F19970" i="5"/>
  <c r="F19969" i="5"/>
  <c r="F19968" i="5"/>
  <c r="F19967" i="5"/>
  <c r="F19966" i="5"/>
  <c r="F19965" i="5"/>
  <c r="F19964" i="5"/>
  <c r="F19963" i="5"/>
  <c r="F19962" i="5"/>
  <c r="F19961" i="5"/>
  <c r="F19960" i="5"/>
  <c r="F19959" i="5"/>
  <c r="F19958" i="5"/>
  <c r="F19957" i="5"/>
  <c r="F19956" i="5"/>
  <c r="F19955" i="5"/>
  <c r="F19954" i="5"/>
  <c r="F19953" i="5"/>
  <c r="F19952" i="5"/>
  <c r="F19951" i="5"/>
  <c r="F19950" i="5"/>
  <c r="F19949" i="5"/>
  <c r="F19948" i="5"/>
  <c r="F19947" i="5"/>
  <c r="F19946" i="5"/>
  <c r="F19945" i="5"/>
  <c r="F19944" i="5"/>
  <c r="F19943" i="5"/>
  <c r="F19942" i="5"/>
  <c r="F19941" i="5"/>
  <c r="F19940" i="5"/>
  <c r="F19939" i="5"/>
  <c r="F19938" i="5"/>
  <c r="F19937" i="5"/>
  <c r="F19936" i="5"/>
  <c r="F19935" i="5"/>
  <c r="F19934" i="5"/>
  <c r="F19933" i="5"/>
  <c r="F19932" i="5"/>
  <c r="F19931" i="5"/>
  <c r="F19930" i="5"/>
  <c r="F19929" i="5"/>
  <c r="F19928" i="5"/>
  <c r="F19927" i="5"/>
  <c r="F19926" i="5"/>
  <c r="F19925" i="5"/>
  <c r="F19924" i="5"/>
  <c r="F19923" i="5"/>
  <c r="F19922" i="5"/>
  <c r="F19921" i="5"/>
  <c r="F19920" i="5"/>
  <c r="F19919" i="5"/>
  <c r="F19918" i="5"/>
  <c r="F19917" i="5"/>
  <c r="F19916" i="5"/>
  <c r="F19915" i="5"/>
  <c r="F19914" i="5"/>
  <c r="F19913" i="5"/>
  <c r="F19912" i="5"/>
  <c r="F19911" i="5"/>
  <c r="F19910" i="5"/>
  <c r="F19909" i="5"/>
  <c r="F19908" i="5"/>
  <c r="F19907" i="5"/>
  <c r="F19906" i="5"/>
  <c r="F19905" i="5"/>
  <c r="F19904" i="5"/>
  <c r="F19903" i="5"/>
  <c r="F19902" i="5"/>
  <c r="F19901" i="5"/>
  <c r="F19900" i="5"/>
  <c r="F19899" i="5"/>
  <c r="F19898" i="5"/>
  <c r="F19897" i="5"/>
  <c r="F19896" i="5"/>
  <c r="F19895" i="5"/>
  <c r="F19894" i="5"/>
  <c r="F19893" i="5"/>
  <c r="F19892" i="5"/>
  <c r="F19891" i="5"/>
  <c r="F19890" i="5"/>
  <c r="F19889" i="5"/>
  <c r="F19888" i="5"/>
  <c r="F19887" i="5"/>
  <c r="F19886" i="5"/>
  <c r="F19885" i="5"/>
  <c r="F19884" i="5"/>
  <c r="F19883" i="5"/>
  <c r="F19882" i="5"/>
  <c r="F19881" i="5"/>
  <c r="F19880" i="5"/>
  <c r="F19879" i="5"/>
  <c r="F19878" i="5"/>
  <c r="F19877" i="5"/>
  <c r="F19876" i="5"/>
  <c r="F19875" i="5"/>
  <c r="F19874" i="5"/>
  <c r="F19873" i="5"/>
  <c r="F19872" i="5"/>
  <c r="F19871" i="5"/>
  <c r="F19870" i="5"/>
  <c r="F19869" i="5"/>
  <c r="F19868" i="5"/>
  <c r="F19867" i="5"/>
  <c r="F19866" i="5"/>
  <c r="F19865" i="5"/>
  <c r="F19864" i="5"/>
  <c r="F19863" i="5"/>
  <c r="F19862" i="5"/>
  <c r="F19861" i="5"/>
  <c r="F19860" i="5"/>
  <c r="F19859" i="5"/>
  <c r="F19858" i="5"/>
  <c r="F19857" i="5"/>
  <c r="F19856" i="5"/>
  <c r="F19855" i="5"/>
  <c r="F19854" i="5"/>
  <c r="F19853" i="5"/>
  <c r="F19852" i="5"/>
  <c r="F19851" i="5"/>
  <c r="F19850" i="5"/>
  <c r="F19849" i="5"/>
  <c r="F19848" i="5"/>
  <c r="F19847" i="5"/>
  <c r="F19846" i="5"/>
  <c r="F19845" i="5"/>
  <c r="F19844" i="5"/>
  <c r="F19843" i="5"/>
  <c r="F19842" i="5"/>
  <c r="F19841" i="5"/>
  <c r="F19840" i="5"/>
  <c r="F19839" i="5"/>
  <c r="F19838" i="5"/>
  <c r="F19837" i="5"/>
  <c r="F19836" i="5"/>
  <c r="F19835" i="5"/>
  <c r="F19834" i="5"/>
  <c r="F19833" i="5"/>
  <c r="F19832" i="5"/>
  <c r="F19831" i="5"/>
  <c r="F19830" i="5"/>
  <c r="F19829" i="5"/>
  <c r="F19828" i="5"/>
  <c r="F19827" i="5"/>
  <c r="F19826" i="5"/>
  <c r="F19825" i="5"/>
  <c r="F19824" i="5"/>
  <c r="F19823" i="5"/>
  <c r="F19822" i="5"/>
  <c r="F19821" i="5"/>
  <c r="F19820" i="5"/>
  <c r="F19819" i="5"/>
  <c r="F19818" i="5"/>
  <c r="F19817" i="5"/>
  <c r="F19816" i="5"/>
  <c r="F19815" i="5"/>
  <c r="F19814" i="5"/>
  <c r="F19813" i="5"/>
  <c r="F19812" i="5"/>
  <c r="F19811" i="5"/>
  <c r="F19810" i="5"/>
  <c r="F19809" i="5"/>
  <c r="F19808" i="5"/>
  <c r="F19807" i="5"/>
  <c r="F19806" i="5"/>
  <c r="F19805" i="5"/>
  <c r="F19804" i="5"/>
  <c r="F19803" i="5"/>
  <c r="F19802" i="5"/>
  <c r="F19801" i="5"/>
  <c r="F19800" i="5"/>
  <c r="F19799" i="5"/>
  <c r="F19798" i="5"/>
  <c r="F19797" i="5"/>
  <c r="F19796" i="5"/>
  <c r="F19795" i="5"/>
  <c r="F19794" i="5"/>
  <c r="F19793" i="5"/>
  <c r="F19792" i="5"/>
  <c r="F19791" i="5"/>
  <c r="F19790" i="5"/>
  <c r="F19789" i="5"/>
  <c r="F19788" i="5"/>
  <c r="F19787" i="5"/>
  <c r="F19786" i="5"/>
  <c r="F19785" i="5"/>
  <c r="F19784" i="5"/>
  <c r="F19783" i="5"/>
  <c r="F19782" i="5"/>
  <c r="F19781" i="5"/>
  <c r="F19780" i="5"/>
  <c r="F19779" i="5"/>
  <c r="F19778" i="5"/>
  <c r="F19777" i="5"/>
  <c r="F19776" i="5"/>
  <c r="F19775" i="5"/>
  <c r="F19774" i="5"/>
  <c r="F19773" i="5"/>
  <c r="F19772" i="5"/>
  <c r="F19771" i="5"/>
  <c r="F19770" i="5"/>
  <c r="F19769" i="5"/>
  <c r="F19768" i="5"/>
  <c r="F19767" i="5"/>
  <c r="F19766" i="5"/>
  <c r="F19765" i="5"/>
  <c r="F19764" i="5"/>
  <c r="F19763" i="5"/>
  <c r="F19762" i="5"/>
  <c r="F19761" i="5"/>
  <c r="F19760" i="5"/>
  <c r="F19759" i="5"/>
  <c r="F19758" i="5"/>
  <c r="F19757" i="5"/>
  <c r="F19756" i="5"/>
  <c r="F19755" i="5"/>
  <c r="F19754" i="5"/>
  <c r="F19753" i="5"/>
  <c r="F19752" i="5"/>
  <c r="F19751" i="5"/>
  <c r="F19750" i="5"/>
  <c r="F19749" i="5"/>
  <c r="F19748" i="5"/>
  <c r="F19747" i="5"/>
  <c r="F19746" i="5"/>
  <c r="F19745" i="5"/>
  <c r="F19744" i="5"/>
  <c r="F19743" i="5"/>
  <c r="F19742" i="5"/>
  <c r="F19741" i="5"/>
  <c r="F19740" i="5"/>
  <c r="F19739" i="5"/>
  <c r="F19738" i="5"/>
  <c r="F19737" i="5"/>
  <c r="F19736" i="5"/>
  <c r="F19735" i="5"/>
  <c r="F19734" i="5"/>
  <c r="F19733" i="5"/>
  <c r="F19732" i="5"/>
  <c r="F19731" i="5"/>
  <c r="F19730" i="5"/>
  <c r="F19729" i="5"/>
  <c r="F19728" i="5"/>
  <c r="F19727" i="5"/>
  <c r="F19726" i="5"/>
  <c r="F19725" i="5"/>
  <c r="F19724" i="5"/>
  <c r="F19723" i="5"/>
  <c r="F19722" i="5"/>
  <c r="F19721" i="5"/>
  <c r="F19720" i="5"/>
  <c r="F19719" i="5"/>
  <c r="F19718" i="5"/>
  <c r="F19717" i="5"/>
  <c r="F19716" i="5"/>
  <c r="F19715" i="5"/>
  <c r="F19714" i="5"/>
  <c r="F19713" i="5"/>
  <c r="F19712" i="5"/>
  <c r="F19711" i="5"/>
  <c r="F19710" i="5"/>
  <c r="F19709" i="5"/>
  <c r="F19708" i="5"/>
  <c r="F19707" i="5"/>
  <c r="F19706" i="5"/>
  <c r="F19705" i="5"/>
  <c r="F19704" i="5"/>
  <c r="F19703" i="5"/>
  <c r="F19702" i="5"/>
  <c r="F19701" i="5"/>
  <c r="F19700" i="5"/>
  <c r="F19699" i="5"/>
  <c r="F19698" i="5"/>
  <c r="F19697" i="5"/>
  <c r="F19696" i="5"/>
  <c r="F19695" i="5"/>
  <c r="F19694" i="5"/>
  <c r="F19693" i="5"/>
  <c r="F19692" i="5"/>
  <c r="F19691" i="5"/>
  <c r="F19690" i="5"/>
  <c r="F19689" i="5"/>
  <c r="F19688" i="5"/>
  <c r="F19687" i="5"/>
  <c r="F19686" i="5"/>
  <c r="F19685" i="5"/>
  <c r="F19684" i="5"/>
  <c r="F19683" i="5"/>
  <c r="F19682" i="5"/>
  <c r="F19681" i="5"/>
  <c r="F19680" i="5"/>
  <c r="F19679" i="5"/>
  <c r="F19678" i="5"/>
  <c r="F19677" i="5"/>
  <c r="F19676" i="5"/>
  <c r="F19675" i="5"/>
  <c r="F19674" i="5"/>
  <c r="F19673" i="5"/>
  <c r="F19672" i="5"/>
  <c r="F19671" i="5"/>
  <c r="F19670" i="5"/>
  <c r="F19669" i="5"/>
  <c r="F19668" i="5"/>
  <c r="F19667" i="5"/>
  <c r="F19666" i="5"/>
  <c r="F19665" i="5"/>
  <c r="F19664" i="5"/>
  <c r="F19663" i="5"/>
  <c r="F19662" i="5"/>
  <c r="F19661" i="5"/>
  <c r="F19660" i="5"/>
  <c r="F19659" i="5"/>
  <c r="F19658" i="5"/>
  <c r="F19657" i="5"/>
  <c r="F19656" i="5"/>
  <c r="F19655" i="5"/>
  <c r="F19654" i="5"/>
  <c r="F19653" i="5"/>
  <c r="F19652" i="5"/>
  <c r="F19651" i="5"/>
  <c r="F19650" i="5"/>
  <c r="F19649" i="5"/>
  <c r="F19648" i="5"/>
  <c r="F19647" i="5"/>
  <c r="F19646" i="5"/>
  <c r="F19645" i="5"/>
  <c r="F19644" i="5"/>
  <c r="F19643" i="5"/>
  <c r="F19642" i="5"/>
  <c r="F19641" i="5"/>
  <c r="F19640" i="5"/>
  <c r="F19639" i="5"/>
  <c r="F19638" i="5"/>
  <c r="F19637" i="5"/>
  <c r="F19636" i="5"/>
  <c r="F19635" i="5"/>
  <c r="F19634" i="5"/>
  <c r="F19633" i="5"/>
  <c r="F19632" i="5"/>
  <c r="F19631" i="5"/>
  <c r="F19630" i="5"/>
  <c r="F19629" i="5"/>
  <c r="F19628" i="5"/>
  <c r="F19627" i="5"/>
  <c r="F19626" i="5"/>
  <c r="F19625" i="5"/>
  <c r="F19624" i="5"/>
  <c r="F19623" i="5"/>
  <c r="F19622" i="5"/>
  <c r="F19621" i="5"/>
  <c r="F19620" i="5"/>
  <c r="F19619" i="5"/>
  <c r="F19618" i="5"/>
  <c r="F19617" i="5"/>
  <c r="F19616" i="5"/>
  <c r="F19615" i="5"/>
  <c r="F19614" i="5"/>
  <c r="F19613" i="5"/>
  <c r="F19612" i="5"/>
  <c r="F19611" i="5"/>
  <c r="F19610" i="5"/>
  <c r="F19609" i="5"/>
  <c r="F19608" i="5"/>
  <c r="F19607" i="5"/>
  <c r="F19606" i="5"/>
  <c r="F19605" i="5"/>
  <c r="F19604" i="5"/>
  <c r="F19603" i="5"/>
  <c r="F19602" i="5"/>
  <c r="F19601" i="5"/>
  <c r="F19600" i="5"/>
  <c r="F19599" i="5"/>
  <c r="F19598" i="5"/>
  <c r="F19597" i="5"/>
  <c r="F19596" i="5"/>
  <c r="F19595" i="5"/>
  <c r="F19594" i="5"/>
  <c r="F19593" i="5"/>
  <c r="F19592" i="5"/>
  <c r="F19591" i="5"/>
  <c r="F19590" i="5"/>
  <c r="F19589" i="5"/>
  <c r="F19588" i="5"/>
  <c r="F19587" i="5"/>
  <c r="F19586" i="5"/>
  <c r="F19585" i="5"/>
  <c r="F19584" i="5"/>
  <c r="F19583" i="5"/>
  <c r="F19582" i="5"/>
  <c r="F19581" i="5"/>
  <c r="F19580" i="5"/>
  <c r="F19579" i="5"/>
  <c r="F19578" i="5"/>
  <c r="F19577" i="5"/>
  <c r="F19576" i="5"/>
  <c r="F19575" i="5"/>
  <c r="F19574" i="5"/>
  <c r="F19573" i="5"/>
  <c r="F19572" i="5"/>
  <c r="F19571" i="5"/>
  <c r="F19570" i="5"/>
  <c r="F19569" i="5"/>
  <c r="F19568" i="5"/>
  <c r="F19567" i="5"/>
  <c r="F19566" i="5"/>
  <c r="F19565" i="5"/>
  <c r="F19564" i="5"/>
  <c r="F19563" i="5"/>
  <c r="F19562" i="5"/>
  <c r="F19561" i="5"/>
  <c r="F19560" i="5"/>
  <c r="F19559" i="5"/>
  <c r="F19558" i="5"/>
  <c r="F19557" i="5"/>
  <c r="F19556" i="5"/>
  <c r="F19555" i="5"/>
  <c r="F19554" i="5"/>
  <c r="F19553" i="5"/>
  <c r="F19552" i="5"/>
  <c r="F19551" i="5"/>
  <c r="F19550" i="5"/>
  <c r="F19549" i="5"/>
  <c r="F19548" i="5"/>
  <c r="F19547" i="5"/>
  <c r="F19546" i="5"/>
  <c r="F19545" i="5"/>
  <c r="F19544" i="5"/>
  <c r="F19543" i="5"/>
  <c r="F19542" i="5"/>
  <c r="F19541" i="5"/>
  <c r="F19540" i="5"/>
  <c r="F19539" i="5"/>
  <c r="F19538" i="5"/>
  <c r="F19537" i="5"/>
  <c r="F19536" i="5"/>
  <c r="F19535" i="5"/>
  <c r="F19534" i="5"/>
  <c r="F19533" i="5"/>
  <c r="F19532" i="5"/>
  <c r="F19531" i="5"/>
  <c r="F19530" i="5"/>
  <c r="F19529" i="5"/>
  <c r="F19528" i="5"/>
  <c r="F19527" i="5"/>
  <c r="F19526" i="5"/>
  <c r="F19525" i="5"/>
  <c r="F19524" i="5"/>
  <c r="F19523" i="5"/>
  <c r="F19522" i="5"/>
  <c r="F19521" i="5"/>
  <c r="F19520" i="5"/>
  <c r="F19519" i="5"/>
  <c r="F19518" i="5"/>
  <c r="F19517" i="5"/>
  <c r="F19516" i="5"/>
  <c r="F19515" i="5"/>
  <c r="F19514" i="5"/>
  <c r="F19513" i="5"/>
  <c r="F19512" i="5"/>
  <c r="F19511" i="5"/>
  <c r="F19510" i="5"/>
  <c r="F19509" i="5"/>
  <c r="F19508" i="5"/>
  <c r="F19507" i="5"/>
  <c r="F19506" i="5"/>
  <c r="F19505" i="5"/>
  <c r="F19504" i="5"/>
  <c r="F19503" i="5"/>
  <c r="F19502" i="5"/>
  <c r="F19501" i="5"/>
  <c r="F19500" i="5"/>
  <c r="F19499" i="5"/>
  <c r="F19498" i="5"/>
  <c r="F19497" i="5"/>
  <c r="F19496" i="5"/>
  <c r="F19495" i="5"/>
  <c r="F19494" i="5"/>
  <c r="F19493" i="5"/>
  <c r="F19492" i="5"/>
  <c r="F19491" i="5"/>
  <c r="F19490" i="5"/>
  <c r="F19489" i="5"/>
  <c r="F19488" i="5"/>
  <c r="F19487" i="5"/>
  <c r="F19486" i="5"/>
  <c r="F19485" i="5"/>
  <c r="F19484" i="5"/>
  <c r="F19483" i="5"/>
  <c r="F19482" i="5"/>
  <c r="F19481" i="5"/>
  <c r="F19480" i="5"/>
  <c r="F19479" i="5"/>
  <c r="F19478" i="5"/>
  <c r="F19477" i="5"/>
  <c r="F19476" i="5"/>
  <c r="F19475" i="5"/>
  <c r="F19474" i="5"/>
  <c r="F19473" i="5"/>
  <c r="F19472" i="5"/>
  <c r="F19471" i="5"/>
  <c r="F19470" i="5"/>
  <c r="F19469" i="5"/>
  <c r="F19468" i="5"/>
  <c r="F19467" i="5"/>
  <c r="F19466" i="5"/>
  <c r="F19465" i="5"/>
  <c r="F19464" i="5"/>
  <c r="F19463" i="5"/>
  <c r="F19462" i="5"/>
  <c r="F19461" i="5"/>
  <c r="F19460" i="5"/>
  <c r="F19459" i="5"/>
  <c r="F19458" i="5"/>
  <c r="F19457" i="5"/>
  <c r="F19456" i="5"/>
  <c r="F19455" i="5"/>
  <c r="F19454" i="5"/>
  <c r="F19453" i="5"/>
  <c r="F19452" i="5"/>
  <c r="F19451" i="5"/>
  <c r="F19450" i="5"/>
  <c r="F19449" i="5"/>
  <c r="F19448" i="5"/>
  <c r="F19447" i="5"/>
  <c r="F19446" i="5"/>
  <c r="F19445" i="5"/>
  <c r="F19444" i="5"/>
  <c r="F19443" i="5"/>
  <c r="F19442" i="5"/>
  <c r="F19441" i="5"/>
  <c r="F19440" i="5"/>
  <c r="F19439" i="5"/>
  <c r="F19438" i="5"/>
  <c r="F19437" i="5"/>
  <c r="F19436" i="5"/>
  <c r="F19435" i="5"/>
  <c r="F19434" i="5"/>
  <c r="F19433" i="5"/>
  <c r="F19432" i="5"/>
  <c r="F19431" i="5"/>
  <c r="F19430" i="5"/>
  <c r="F19429" i="5"/>
  <c r="F19428" i="5"/>
  <c r="F19427" i="5"/>
  <c r="F19426" i="5"/>
  <c r="F19425" i="5"/>
  <c r="F19424" i="5"/>
  <c r="F19423" i="5"/>
  <c r="F19422" i="5"/>
  <c r="F19421" i="5"/>
  <c r="F19420" i="5"/>
  <c r="F19419" i="5"/>
  <c r="F19418" i="5"/>
  <c r="F19417" i="5"/>
  <c r="F19416" i="5"/>
  <c r="F19415" i="5"/>
  <c r="F19414" i="5"/>
  <c r="F19413" i="5"/>
  <c r="F19412" i="5"/>
  <c r="F19411" i="5"/>
  <c r="F19410" i="5"/>
  <c r="F19409" i="5"/>
  <c r="F19408" i="5"/>
  <c r="F19407" i="5"/>
  <c r="F19406" i="5"/>
  <c r="F19405" i="5"/>
  <c r="F19404" i="5"/>
  <c r="F19403" i="5"/>
  <c r="F19402" i="5"/>
  <c r="F19401" i="5"/>
  <c r="F19400" i="5"/>
  <c r="F19399" i="5"/>
  <c r="F19398" i="5"/>
  <c r="F19397" i="5"/>
  <c r="F19396" i="5"/>
  <c r="F19395" i="5"/>
  <c r="F19394" i="5"/>
  <c r="F19393" i="5"/>
  <c r="F19392" i="5"/>
  <c r="F19391" i="5"/>
  <c r="F19390" i="5"/>
  <c r="F19389" i="5"/>
  <c r="F19388" i="5"/>
  <c r="F19387" i="5"/>
  <c r="F19386" i="5"/>
  <c r="F19385" i="5"/>
  <c r="F19384" i="5"/>
  <c r="F19383" i="5"/>
  <c r="F19382" i="5"/>
  <c r="F19381" i="5"/>
  <c r="F19380" i="5"/>
  <c r="F19379" i="5"/>
  <c r="F19378" i="5"/>
  <c r="F19377" i="5"/>
  <c r="F19376" i="5"/>
  <c r="F19375" i="5"/>
  <c r="F19374" i="5"/>
  <c r="F19373" i="5"/>
  <c r="F19372" i="5"/>
  <c r="F19371" i="5"/>
  <c r="F19370" i="5"/>
  <c r="F19369" i="5"/>
  <c r="F19368" i="5"/>
  <c r="F19367" i="5"/>
  <c r="F19366" i="5"/>
  <c r="F19365" i="5"/>
  <c r="F19364" i="5"/>
  <c r="F19363" i="5"/>
  <c r="F19362" i="5"/>
  <c r="F19361" i="5"/>
  <c r="F19360" i="5"/>
  <c r="F19359" i="5"/>
  <c r="F19358" i="5"/>
  <c r="F19357" i="5"/>
  <c r="F19356" i="5"/>
  <c r="F19355" i="5"/>
  <c r="F19354" i="5"/>
  <c r="F19353" i="5"/>
  <c r="F19352" i="5"/>
  <c r="F19351" i="5"/>
  <c r="F19350" i="5"/>
  <c r="F19349" i="5"/>
  <c r="F19348" i="5"/>
  <c r="F19347" i="5"/>
  <c r="F19346" i="5"/>
  <c r="F19345" i="5"/>
  <c r="F19344" i="5"/>
  <c r="F19343" i="5"/>
  <c r="F19342" i="5"/>
  <c r="F19341" i="5"/>
  <c r="F19340" i="5"/>
  <c r="F19339" i="5"/>
  <c r="F19338" i="5"/>
  <c r="F19337" i="5"/>
  <c r="F19336" i="5"/>
  <c r="F19335" i="5"/>
  <c r="F19334" i="5"/>
  <c r="F19333" i="5"/>
  <c r="F19332" i="5"/>
  <c r="F19331" i="5"/>
  <c r="F19330" i="5"/>
  <c r="F19329" i="5"/>
  <c r="F19328" i="5"/>
  <c r="F19327" i="5"/>
  <c r="F19326" i="5"/>
  <c r="F19325" i="5"/>
  <c r="F19324" i="5"/>
  <c r="F19323" i="5"/>
  <c r="F19322" i="5"/>
  <c r="F19321" i="5"/>
  <c r="F19320" i="5"/>
  <c r="F19319" i="5"/>
  <c r="F19318" i="5"/>
  <c r="F19317" i="5"/>
  <c r="F19316" i="5"/>
  <c r="F19315" i="5"/>
  <c r="F19314" i="5"/>
  <c r="F19313" i="5"/>
  <c r="F19312" i="5"/>
  <c r="F19311" i="5"/>
  <c r="F19310" i="5"/>
  <c r="F19309" i="5"/>
  <c r="F19308" i="5"/>
  <c r="F19307" i="5"/>
  <c r="F19306" i="5"/>
  <c r="F19305" i="5"/>
  <c r="F19304" i="5"/>
  <c r="F19303" i="5"/>
  <c r="F19302" i="5"/>
  <c r="F19301" i="5"/>
  <c r="F19300" i="5"/>
  <c r="F19299" i="5"/>
  <c r="F19298" i="5"/>
  <c r="F19297" i="5"/>
  <c r="F19296" i="5"/>
  <c r="F19295" i="5"/>
  <c r="F19294" i="5"/>
  <c r="F19293" i="5"/>
  <c r="F19292" i="5"/>
  <c r="F19291" i="5"/>
  <c r="F19290" i="5"/>
  <c r="F19289" i="5"/>
  <c r="F19288" i="5"/>
  <c r="F19287" i="5"/>
  <c r="F19286" i="5"/>
  <c r="F19285" i="5"/>
  <c r="F19284" i="5"/>
  <c r="F19283" i="5"/>
  <c r="F19282" i="5"/>
  <c r="F19281" i="5"/>
  <c r="F19280" i="5"/>
  <c r="F19279" i="5"/>
  <c r="F19278" i="5"/>
  <c r="F19277" i="5"/>
  <c r="F19276" i="5"/>
  <c r="F19275" i="5"/>
  <c r="F19274" i="5"/>
  <c r="F19273" i="5"/>
  <c r="F19272" i="5"/>
  <c r="F19271" i="5"/>
  <c r="F19270" i="5"/>
  <c r="F19269" i="5"/>
  <c r="F19268" i="5"/>
  <c r="F19267" i="5"/>
  <c r="F19266" i="5"/>
  <c r="F19265" i="5"/>
  <c r="F19264" i="5"/>
  <c r="F19263" i="5"/>
  <c r="F19262" i="5"/>
  <c r="F19261" i="5"/>
  <c r="F19260" i="5"/>
  <c r="F19259" i="5"/>
  <c r="F19258" i="5"/>
  <c r="F19257" i="5"/>
  <c r="F19256" i="5"/>
  <c r="F19255" i="5"/>
  <c r="F19254" i="5"/>
  <c r="F19253" i="5"/>
  <c r="F19252" i="5"/>
  <c r="F19251" i="5"/>
  <c r="F19250" i="5"/>
  <c r="F19249" i="5"/>
  <c r="F19248" i="5"/>
  <c r="F19247" i="5"/>
  <c r="F19246" i="5"/>
  <c r="F19245" i="5"/>
  <c r="F19244" i="5"/>
  <c r="F19243" i="5"/>
  <c r="F19242" i="5"/>
  <c r="F19241" i="5"/>
  <c r="F19240" i="5"/>
  <c r="F19239" i="5"/>
  <c r="F19238" i="5"/>
  <c r="F19237" i="5"/>
  <c r="F19236" i="5"/>
  <c r="F19235" i="5"/>
  <c r="F19234" i="5"/>
  <c r="F19233" i="5"/>
  <c r="F19232" i="5"/>
  <c r="F19231" i="5"/>
  <c r="F19230" i="5"/>
  <c r="F19229" i="5"/>
  <c r="F19228" i="5"/>
  <c r="F19227" i="5"/>
  <c r="F19226" i="5"/>
  <c r="F19225" i="5"/>
  <c r="F19224" i="5"/>
  <c r="F19223" i="5"/>
  <c r="F19222" i="5"/>
  <c r="F19221" i="5"/>
  <c r="F19220" i="5"/>
  <c r="F19219" i="5"/>
  <c r="F19218" i="5"/>
  <c r="F19217" i="5"/>
  <c r="F19216" i="5"/>
  <c r="F19215" i="5"/>
  <c r="F19214" i="5"/>
  <c r="F19213" i="5"/>
  <c r="F19212" i="5"/>
  <c r="F19211" i="5"/>
  <c r="F19210" i="5"/>
  <c r="F19209" i="5"/>
  <c r="F19208" i="5"/>
  <c r="F19207" i="5"/>
  <c r="F19206" i="5"/>
  <c r="F19205" i="5"/>
  <c r="F19204" i="5"/>
  <c r="F19203" i="5"/>
  <c r="F19202" i="5"/>
  <c r="F19201" i="5"/>
  <c r="F19200" i="5"/>
  <c r="F19199" i="5"/>
  <c r="F19198" i="5"/>
  <c r="F19197" i="5"/>
  <c r="F19196" i="5"/>
  <c r="F19195" i="5"/>
  <c r="F19194" i="5"/>
  <c r="F19193" i="5"/>
  <c r="F19192" i="5"/>
  <c r="F19191" i="5"/>
  <c r="F19190" i="5"/>
  <c r="F19189" i="5"/>
  <c r="F19188" i="5"/>
  <c r="F19187" i="5"/>
  <c r="F19186" i="5"/>
  <c r="F19185" i="5"/>
  <c r="F19184" i="5"/>
  <c r="F19183" i="5"/>
  <c r="F19182" i="5"/>
  <c r="F19181" i="5"/>
  <c r="F19180" i="5"/>
  <c r="F19179" i="5"/>
  <c r="F19178" i="5"/>
  <c r="F19177" i="5"/>
  <c r="F19176" i="5"/>
  <c r="F19175" i="5"/>
  <c r="F19174" i="5"/>
  <c r="F19173" i="5"/>
  <c r="F19172" i="5"/>
  <c r="F19171" i="5"/>
  <c r="F19170" i="5"/>
  <c r="F19169" i="5"/>
  <c r="F19168" i="5"/>
  <c r="F19167" i="5"/>
  <c r="F19166" i="5"/>
  <c r="F19165" i="5"/>
  <c r="F19164" i="5"/>
  <c r="F19163" i="5"/>
  <c r="F19162" i="5"/>
  <c r="F19161" i="5"/>
  <c r="F19160" i="5"/>
  <c r="F19159" i="5"/>
  <c r="F19158" i="5"/>
  <c r="F19157" i="5"/>
  <c r="F19156" i="5"/>
  <c r="F19155" i="5"/>
  <c r="F19154" i="5"/>
  <c r="F19153" i="5"/>
  <c r="F19152" i="5"/>
  <c r="F19151" i="5"/>
  <c r="F19150" i="5"/>
  <c r="F19149" i="5"/>
  <c r="F19148" i="5"/>
  <c r="F19147" i="5"/>
  <c r="F19146" i="5"/>
  <c r="F19145" i="5"/>
  <c r="F19144" i="5"/>
  <c r="F19143" i="5"/>
  <c r="F19142" i="5"/>
  <c r="F19141" i="5"/>
  <c r="F19140" i="5"/>
  <c r="F19139" i="5"/>
  <c r="F19138" i="5"/>
  <c r="F19137" i="5"/>
  <c r="F19136" i="5"/>
  <c r="F19135" i="5"/>
  <c r="F19134" i="5"/>
  <c r="F19133" i="5"/>
  <c r="F19132" i="5"/>
  <c r="F19131" i="5"/>
  <c r="F19130" i="5"/>
  <c r="F19129" i="5"/>
  <c r="F19128" i="5"/>
  <c r="F19127" i="5"/>
  <c r="F19126" i="5"/>
  <c r="F19125" i="5"/>
  <c r="F19124" i="5"/>
  <c r="F19123" i="5"/>
  <c r="F19122" i="5"/>
  <c r="F19121" i="5"/>
  <c r="F19120" i="5"/>
  <c r="F19119" i="5"/>
  <c r="F19118" i="5"/>
  <c r="F19117" i="5"/>
  <c r="F19116" i="5"/>
  <c r="F19115" i="5"/>
  <c r="F19114" i="5"/>
  <c r="F19113" i="5"/>
  <c r="F19112" i="5"/>
  <c r="F19111" i="5"/>
  <c r="F19110" i="5"/>
  <c r="F19109" i="5"/>
  <c r="F19108" i="5"/>
  <c r="F19107" i="5"/>
  <c r="F19106" i="5"/>
  <c r="F19105" i="5"/>
  <c r="F19104" i="5"/>
  <c r="F19103" i="5"/>
  <c r="F19102" i="5"/>
  <c r="F19101" i="5"/>
  <c r="F19100" i="5"/>
  <c r="F19099" i="5"/>
  <c r="F19098" i="5"/>
  <c r="F19097" i="5"/>
  <c r="F19096" i="5"/>
  <c r="F19095" i="5"/>
  <c r="F19094" i="5"/>
  <c r="F19093" i="5"/>
  <c r="F19092" i="5"/>
  <c r="F19091" i="5"/>
  <c r="F19090" i="5"/>
  <c r="F19089" i="5"/>
  <c r="F19088" i="5"/>
  <c r="F19087" i="5"/>
  <c r="F19086" i="5"/>
  <c r="F19085" i="5"/>
  <c r="F19084" i="5"/>
  <c r="F19083" i="5"/>
  <c r="F19082" i="5"/>
  <c r="F19081" i="5"/>
  <c r="F19080" i="5"/>
  <c r="F19079" i="5"/>
  <c r="F19078" i="5"/>
  <c r="F19077" i="5"/>
  <c r="F19076" i="5"/>
  <c r="F19075" i="5"/>
  <c r="F19074" i="5"/>
  <c r="F19073" i="5"/>
  <c r="F19072" i="5"/>
  <c r="F19071" i="5"/>
  <c r="F19070" i="5"/>
  <c r="F19069" i="5"/>
  <c r="F19068" i="5"/>
  <c r="F19067" i="5"/>
  <c r="F19066" i="5"/>
  <c r="F19065" i="5"/>
  <c r="F19064" i="5"/>
  <c r="F19063" i="5"/>
  <c r="F19062" i="5"/>
  <c r="F19061" i="5"/>
  <c r="F19060" i="5"/>
  <c r="F19059" i="5"/>
  <c r="F19058" i="5"/>
  <c r="F19057" i="5"/>
  <c r="F19056" i="5"/>
  <c r="F19055" i="5"/>
  <c r="F19054" i="5"/>
  <c r="F19053" i="5"/>
  <c r="F19052" i="5"/>
  <c r="F19051" i="5"/>
  <c r="F19050" i="5"/>
  <c r="F19049" i="5"/>
  <c r="F19048" i="5"/>
  <c r="F19047" i="5"/>
  <c r="F19046" i="5"/>
  <c r="F19045" i="5"/>
  <c r="F19044" i="5"/>
  <c r="F19043" i="5"/>
  <c r="F19042" i="5"/>
  <c r="F19041" i="5"/>
  <c r="F19040" i="5"/>
  <c r="F19039" i="5"/>
  <c r="F19038" i="5"/>
  <c r="F19037" i="5"/>
  <c r="F19036" i="5"/>
  <c r="F19035" i="5"/>
  <c r="F19034" i="5"/>
  <c r="F19033" i="5"/>
  <c r="F19032" i="5"/>
  <c r="F19031" i="5"/>
  <c r="F19030" i="5"/>
  <c r="F19029" i="5"/>
  <c r="F19028" i="5"/>
  <c r="F19027" i="5"/>
  <c r="F19026" i="5"/>
  <c r="F19025" i="5"/>
  <c r="F19024" i="5"/>
  <c r="F19023" i="5"/>
  <c r="F19022" i="5"/>
  <c r="F19021" i="5"/>
  <c r="F19020" i="5"/>
  <c r="F19019" i="5"/>
  <c r="F19018" i="5"/>
  <c r="F19017" i="5"/>
  <c r="F19016" i="5"/>
  <c r="F19015" i="5"/>
  <c r="F19014" i="5"/>
  <c r="F19013" i="5"/>
  <c r="F19012" i="5"/>
  <c r="F19011" i="5"/>
  <c r="F19010" i="5"/>
  <c r="F19009" i="5"/>
  <c r="F19008" i="5"/>
  <c r="F19007" i="5"/>
  <c r="F19006" i="5"/>
  <c r="F19005" i="5"/>
  <c r="F19004" i="5"/>
  <c r="F19003" i="5"/>
  <c r="F19002" i="5"/>
  <c r="F19001" i="5"/>
  <c r="F19000" i="5"/>
  <c r="F18999" i="5"/>
  <c r="F18998" i="5"/>
  <c r="F18997" i="5"/>
  <c r="F18996" i="5"/>
  <c r="F18995" i="5"/>
  <c r="F18994" i="5"/>
  <c r="F18993" i="5"/>
  <c r="F18992" i="5"/>
  <c r="F18991" i="5"/>
  <c r="F18990" i="5"/>
  <c r="F18989" i="5"/>
  <c r="F18988" i="5"/>
  <c r="F18987" i="5"/>
  <c r="F18986" i="5"/>
  <c r="F18985" i="5"/>
  <c r="F18984" i="5"/>
  <c r="F18983" i="5"/>
  <c r="F18982" i="5"/>
  <c r="F18981" i="5"/>
  <c r="F18980" i="5"/>
  <c r="F18979" i="5"/>
  <c r="F18978" i="5"/>
  <c r="F18977" i="5"/>
  <c r="F18976" i="5"/>
  <c r="F18975" i="5"/>
  <c r="F18974" i="5"/>
  <c r="F18973" i="5"/>
  <c r="F18972" i="5"/>
  <c r="F18971" i="5"/>
  <c r="F18970" i="5"/>
  <c r="F18969" i="5"/>
  <c r="F18968" i="5"/>
  <c r="F18967" i="5"/>
  <c r="F18966" i="5"/>
  <c r="F18965" i="5"/>
  <c r="F18964" i="5"/>
  <c r="F18963" i="5"/>
  <c r="F18962" i="5"/>
  <c r="F18961" i="5"/>
  <c r="F18960" i="5"/>
  <c r="F18959" i="5"/>
  <c r="F18958" i="5"/>
  <c r="F18957" i="5"/>
  <c r="F18956" i="5"/>
  <c r="F18955" i="5"/>
  <c r="F18954" i="5"/>
  <c r="F18953" i="5"/>
  <c r="F18952" i="5"/>
  <c r="F18951" i="5"/>
  <c r="F18950" i="5"/>
  <c r="F18949" i="5"/>
  <c r="F18948" i="5"/>
  <c r="F18947" i="5"/>
  <c r="F18946" i="5"/>
  <c r="F18945" i="5"/>
  <c r="F18944" i="5"/>
  <c r="F18943" i="5"/>
  <c r="F18942" i="5"/>
  <c r="F18941" i="5"/>
  <c r="F18940" i="5"/>
  <c r="F18939" i="5"/>
  <c r="F18938" i="5"/>
  <c r="F18937" i="5"/>
  <c r="F18936" i="5"/>
  <c r="F18935" i="5"/>
  <c r="F18934" i="5"/>
  <c r="F18933" i="5"/>
  <c r="F18932" i="5"/>
  <c r="F18931" i="5"/>
  <c r="F18930" i="5"/>
  <c r="F18929" i="5"/>
  <c r="F18928" i="5"/>
  <c r="F18927" i="5"/>
  <c r="F18926" i="5"/>
  <c r="F18925" i="5"/>
  <c r="F18924" i="5"/>
  <c r="F18923" i="5"/>
  <c r="F18922" i="5"/>
  <c r="F18921" i="5"/>
  <c r="F18920" i="5"/>
  <c r="F18919" i="5"/>
  <c r="F18918" i="5"/>
  <c r="F18917" i="5"/>
  <c r="F18916" i="5"/>
  <c r="F18915" i="5"/>
  <c r="F18914" i="5"/>
  <c r="F18913" i="5"/>
  <c r="F18912" i="5"/>
  <c r="F18911" i="5"/>
  <c r="F18910" i="5"/>
  <c r="F18909" i="5"/>
  <c r="F18908" i="5"/>
  <c r="F18907" i="5"/>
  <c r="F18906" i="5"/>
  <c r="F18905" i="5"/>
  <c r="F18904" i="5"/>
  <c r="F18903" i="5"/>
  <c r="F18902" i="5"/>
  <c r="F18901" i="5"/>
  <c r="F18900" i="5"/>
  <c r="F18899" i="5"/>
  <c r="F18898" i="5"/>
  <c r="F18897" i="5"/>
  <c r="F18896" i="5"/>
  <c r="F18895" i="5"/>
  <c r="F18894" i="5"/>
  <c r="F18893" i="5"/>
  <c r="F18892" i="5"/>
  <c r="F18891" i="5"/>
  <c r="F18890" i="5"/>
  <c r="F18889" i="5"/>
  <c r="F18888" i="5"/>
  <c r="F18887" i="5"/>
  <c r="F18886" i="5"/>
  <c r="F18885" i="5"/>
  <c r="F18884" i="5"/>
  <c r="F18883" i="5"/>
  <c r="F18882" i="5"/>
  <c r="F18881" i="5"/>
  <c r="F18880" i="5"/>
  <c r="F18879" i="5"/>
  <c r="F18878" i="5"/>
  <c r="F18877" i="5"/>
  <c r="F18876" i="5"/>
  <c r="F18875" i="5"/>
  <c r="F18874" i="5"/>
  <c r="F18873" i="5"/>
  <c r="F18872" i="5"/>
  <c r="F18871" i="5"/>
  <c r="F18870" i="5"/>
  <c r="F18869" i="5"/>
  <c r="F18868" i="5"/>
  <c r="F18867" i="5"/>
  <c r="F18866" i="5"/>
  <c r="F18865" i="5"/>
  <c r="F18864" i="5"/>
  <c r="F18863" i="5"/>
  <c r="F18862" i="5"/>
  <c r="F18861" i="5"/>
  <c r="F18860" i="5"/>
  <c r="F18859" i="5"/>
  <c r="F18858" i="5"/>
  <c r="F18857" i="5"/>
  <c r="F18856" i="5"/>
  <c r="F18855" i="5"/>
  <c r="F18854" i="5"/>
  <c r="F18853" i="5"/>
  <c r="F18852" i="5"/>
  <c r="F18851" i="5"/>
  <c r="F18850" i="5"/>
  <c r="F18849" i="5"/>
  <c r="F18848" i="5"/>
  <c r="F18847" i="5"/>
  <c r="F18846" i="5"/>
  <c r="F18845" i="5"/>
  <c r="F18844" i="5"/>
  <c r="F18843" i="5"/>
  <c r="F18842" i="5"/>
  <c r="F18841" i="5"/>
  <c r="F18840" i="5"/>
  <c r="F18839" i="5"/>
  <c r="F18838" i="5"/>
  <c r="F18837" i="5"/>
  <c r="F18836" i="5"/>
  <c r="F18835" i="5"/>
  <c r="F18834" i="5"/>
  <c r="F18833" i="5"/>
  <c r="F18832" i="5"/>
  <c r="F18831" i="5"/>
  <c r="F18830" i="5"/>
  <c r="F18829" i="5"/>
  <c r="F18828" i="5"/>
  <c r="F18827" i="5"/>
  <c r="F18826" i="5"/>
  <c r="F18825" i="5"/>
  <c r="F18824" i="5"/>
  <c r="F18823" i="5"/>
  <c r="F18822" i="5"/>
  <c r="F18821" i="5"/>
  <c r="F18820" i="5"/>
  <c r="F18819" i="5"/>
  <c r="F18818" i="5"/>
  <c r="F18817" i="5"/>
  <c r="F18816" i="5"/>
  <c r="F18815" i="5"/>
  <c r="F18814" i="5"/>
  <c r="F18813" i="5"/>
  <c r="F18812" i="5"/>
  <c r="F18811" i="5"/>
  <c r="F18810" i="5"/>
  <c r="F18809" i="5"/>
  <c r="F18808" i="5"/>
  <c r="F18807" i="5"/>
  <c r="F18806" i="5"/>
  <c r="F18805" i="5"/>
  <c r="F18804" i="5"/>
  <c r="F18803" i="5"/>
  <c r="F18802" i="5"/>
  <c r="F18801" i="5"/>
  <c r="F18800" i="5"/>
  <c r="F18799" i="5"/>
  <c r="F18798" i="5"/>
  <c r="F18797" i="5"/>
  <c r="F18796" i="5"/>
  <c r="F18795" i="5"/>
  <c r="F18794" i="5"/>
  <c r="F18793" i="5"/>
  <c r="F18792" i="5"/>
  <c r="F18791" i="5"/>
  <c r="F18790" i="5"/>
  <c r="F18789" i="5"/>
  <c r="F18788" i="5"/>
  <c r="F18787" i="5"/>
  <c r="F18786" i="5"/>
  <c r="F18785" i="5"/>
  <c r="F18784" i="5"/>
  <c r="F18783" i="5"/>
  <c r="F18782" i="5"/>
  <c r="F18781" i="5"/>
  <c r="F18780" i="5"/>
  <c r="F18779" i="5"/>
  <c r="F18778" i="5"/>
  <c r="F18777" i="5"/>
  <c r="F18776" i="5"/>
  <c r="F18775" i="5"/>
  <c r="F18774" i="5"/>
  <c r="F18773" i="5"/>
  <c r="F18772" i="5"/>
  <c r="F18771" i="5"/>
  <c r="F18770" i="5"/>
  <c r="F18769" i="5"/>
  <c r="F18768" i="5"/>
  <c r="F18767" i="5"/>
  <c r="F18766" i="5"/>
  <c r="F18765" i="5"/>
  <c r="F18764" i="5"/>
  <c r="F18763" i="5"/>
  <c r="F18762" i="5"/>
  <c r="F18761" i="5"/>
  <c r="F18760" i="5"/>
  <c r="F18759" i="5"/>
  <c r="F18758" i="5"/>
  <c r="F18757" i="5"/>
  <c r="F18756" i="5"/>
  <c r="F18755" i="5"/>
  <c r="F18754" i="5"/>
  <c r="F18753" i="5"/>
  <c r="F18752" i="5"/>
  <c r="F18751" i="5"/>
  <c r="F18750" i="5"/>
  <c r="F18749" i="5"/>
  <c r="F18748" i="5"/>
  <c r="F18747" i="5"/>
  <c r="F18746" i="5"/>
  <c r="F18745" i="5"/>
  <c r="F18744" i="5"/>
  <c r="F18743" i="5"/>
  <c r="F18742" i="5"/>
  <c r="F18741" i="5"/>
  <c r="F18740" i="5"/>
  <c r="F18739" i="5"/>
  <c r="F18738" i="5"/>
  <c r="F18737" i="5"/>
  <c r="F18736" i="5"/>
  <c r="F18735" i="5"/>
  <c r="F18734" i="5"/>
  <c r="F18733" i="5"/>
  <c r="F18732" i="5"/>
  <c r="F18731" i="5"/>
  <c r="F18730" i="5"/>
  <c r="F18729" i="5"/>
  <c r="F18728" i="5"/>
  <c r="F18727" i="5"/>
  <c r="F18726" i="5"/>
  <c r="F18725" i="5"/>
  <c r="F18724" i="5"/>
  <c r="F18723" i="5"/>
  <c r="F18722" i="5"/>
  <c r="F18721" i="5"/>
  <c r="F18720" i="5"/>
  <c r="F18719" i="5"/>
  <c r="F18718" i="5"/>
  <c r="F18717" i="5"/>
  <c r="F18716" i="5"/>
  <c r="F18715" i="5"/>
  <c r="F18714" i="5"/>
  <c r="F18713" i="5"/>
  <c r="F18712" i="5"/>
  <c r="F18711" i="5"/>
  <c r="F18710" i="5"/>
  <c r="F18709" i="5"/>
  <c r="F18708" i="5"/>
  <c r="F18707" i="5"/>
  <c r="F18706" i="5"/>
  <c r="F18705" i="5"/>
  <c r="F18704" i="5"/>
  <c r="F18703" i="5"/>
  <c r="F18702" i="5"/>
  <c r="F18701" i="5"/>
  <c r="F18700" i="5"/>
  <c r="F18699" i="5"/>
  <c r="F18698" i="5"/>
  <c r="F18697" i="5"/>
  <c r="F18696" i="5"/>
  <c r="F18695" i="5"/>
  <c r="F18694" i="5"/>
  <c r="F18693" i="5"/>
  <c r="F18692" i="5"/>
  <c r="F18691" i="5"/>
  <c r="F18690" i="5"/>
  <c r="F18689" i="5"/>
  <c r="F18688" i="5"/>
  <c r="F18687" i="5"/>
  <c r="F18686" i="5"/>
  <c r="F18685" i="5"/>
  <c r="F18684" i="5"/>
  <c r="F18683" i="5"/>
  <c r="F18682" i="5"/>
  <c r="F18681" i="5"/>
  <c r="F18680" i="5"/>
  <c r="F18679" i="5"/>
  <c r="F18678" i="5"/>
  <c r="F18677" i="5"/>
  <c r="F18676" i="5"/>
  <c r="F18675" i="5"/>
  <c r="F18674" i="5"/>
  <c r="F18673" i="5"/>
  <c r="F18672" i="5"/>
  <c r="F18671" i="5"/>
  <c r="F18670" i="5"/>
  <c r="F18669" i="5"/>
  <c r="F18668" i="5"/>
  <c r="F18667" i="5"/>
  <c r="F18666" i="5"/>
  <c r="F18665" i="5"/>
  <c r="F18664" i="5"/>
  <c r="F18663" i="5"/>
  <c r="F18662" i="5"/>
  <c r="F18661" i="5"/>
  <c r="F18660" i="5"/>
  <c r="F18659" i="5"/>
  <c r="F18658" i="5"/>
  <c r="F18657" i="5"/>
  <c r="F18656" i="5"/>
  <c r="F18655" i="5"/>
  <c r="F18654" i="5"/>
  <c r="F18653" i="5"/>
  <c r="F18652" i="5"/>
  <c r="F18651" i="5"/>
  <c r="F18650" i="5"/>
  <c r="F18649" i="5"/>
  <c r="F18648" i="5"/>
  <c r="F18647" i="5"/>
  <c r="F18646" i="5"/>
  <c r="F18645" i="5"/>
  <c r="F18644" i="5"/>
  <c r="F18643" i="5"/>
  <c r="F18642" i="5"/>
  <c r="F18641" i="5"/>
  <c r="F18640" i="5"/>
  <c r="F18639" i="5"/>
  <c r="F18638" i="5"/>
  <c r="F18637" i="5"/>
  <c r="F18636" i="5"/>
  <c r="F18635" i="5"/>
  <c r="F18634" i="5"/>
  <c r="F18633" i="5"/>
  <c r="F18632" i="5"/>
  <c r="F18631" i="5"/>
  <c r="F18630" i="5"/>
  <c r="F18629" i="5"/>
  <c r="F18628" i="5"/>
  <c r="F18627" i="5"/>
  <c r="F18626" i="5"/>
  <c r="F18625" i="5"/>
  <c r="F18624" i="5"/>
  <c r="F18623" i="5"/>
  <c r="F18622" i="5"/>
  <c r="F18621" i="5"/>
  <c r="F18620" i="5"/>
  <c r="F18619" i="5"/>
  <c r="F18618" i="5"/>
  <c r="F18617" i="5"/>
  <c r="F18616" i="5"/>
  <c r="F18615" i="5"/>
  <c r="F18614" i="5"/>
  <c r="F18613" i="5"/>
  <c r="F18612" i="5"/>
  <c r="F18611" i="5"/>
  <c r="F18610" i="5"/>
  <c r="F18609" i="5"/>
  <c r="F18608" i="5"/>
  <c r="F18607" i="5"/>
  <c r="F18606" i="5"/>
  <c r="F18605" i="5"/>
  <c r="F18604" i="5"/>
  <c r="F18603" i="5"/>
  <c r="F18602" i="5"/>
  <c r="F18601" i="5"/>
  <c r="F18600" i="5"/>
  <c r="F18599" i="5"/>
  <c r="F18598" i="5"/>
  <c r="F18597" i="5"/>
  <c r="F18596" i="5"/>
  <c r="F18595" i="5"/>
  <c r="F18594" i="5"/>
  <c r="F18593" i="5"/>
  <c r="F18592" i="5"/>
  <c r="F18591" i="5"/>
  <c r="F18590" i="5"/>
  <c r="F18589" i="5"/>
  <c r="F18588" i="5"/>
  <c r="F18587" i="5"/>
  <c r="F18586" i="5"/>
  <c r="F18585" i="5"/>
  <c r="F18584" i="5"/>
  <c r="F18583" i="5"/>
  <c r="F18582" i="5"/>
  <c r="F18581" i="5"/>
  <c r="F18580" i="5"/>
  <c r="F18579" i="5"/>
  <c r="F18578" i="5"/>
  <c r="F18577" i="5"/>
  <c r="F18576" i="5"/>
  <c r="F18575" i="5"/>
  <c r="F18574" i="5"/>
  <c r="F18573" i="5"/>
  <c r="F18572" i="5"/>
  <c r="F18571" i="5"/>
  <c r="F18570" i="5"/>
  <c r="F18569" i="5"/>
  <c r="F18568" i="5"/>
  <c r="F18567" i="5"/>
  <c r="F18566" i="5"/>
  <c r="F18565" i="5"/>
  <c r="F18564" i="5"/>
  <c r="F18563" i="5"/>
  <c r="F18562" i="5"/>
  <c r="F18561" i="5"/>
  <c r="F18560" i="5"/>
  <c r="F18559" i="5"/>
  <c r="F18558" i="5"/>
  <c r="F18557" i="5"/>
  <c r="F18556" i="5"/>
  <c r="F18555" i="5"/>
  <c r="F18554" i="5"/>
  <c r="F18553" i="5"/>
  <c r="F18552" i="5"/>
  <c r="F18551" i="5"/>
  <c r="F18550" i="5"/>
  <c r="F18549" i="5"/>
  <c r="F18548" i="5"/>
  <c r="F18547" i="5"/>
  <c r="F18546" i="5"/>
  <c r="F18545" i="5"/>
  <c r="F18544" i="5"/>
  <c r="F18543" i="5"/>
  <c r="F18542" i="5"/>
  <c r="F18541" i="5"/>
  <c r="F18540" i="5"/>
  <c r="F18539" i="5"/>
  <c r="F18538" i="5"/>
  <c r="F18537" i="5"/>
  <c r="F18536" i="5"/>
  <c r="F18535" i="5"/>
  <c r="F18534" i="5"/>
  <c r="F18533" i="5"/>
  <c r="F18532" i="5"/>
  <c r="F18531" i="5"/>
  <c r="F18530" i="5"/>
  <c r="F18529" i="5"/>
  <c r="F18528" i="5"/>
  <c r="F18527" i="5"/>
  <c r="F18526" i="5"/>
  <c r="F18525" i="5"/>
  <c r="F18524" i="5"/>
  <c r="F18523" i="5"/>
  <c r="F18522" i="5"/>
  <c r="F18521" i="5"/>
  <c r="F18520" i="5"/>
  <c r="F18519" i="5"/>
  <c r="F18518" i="5"/>
  <c r="F18517" i="5"/>
  <c r="F18516" i="5"/>
  <c r="F18515" i="5"/>
  <c r="F18514" i="5"/>
  <c r="F18513" i="5"/>
  <c r="F18512" i="5"/>
  <c r="F18511" i="5"/>
  <c r="F18510" i="5"/>
  <c r="F18509" i="5"/>
  <c r="F18508" i="5"/>
  <c r="F18507" i="5"/>
  <c r="F18506" i="5"/>
  <c r="F18505" i="5"/>
  <c r="F18504" i="5"/>
  <c r="F18503" i="5"/>
  <c r="F18502" i="5"/>
  <c r="F18501" i="5"/>
  <c r="F18500" i="5"/>
  <c r="F18499" i="5"/>
  <c r="F18498" i="5"/>
  <c r="F18497" i="5"/>
  <c r="F18496" i="5"/>
  <c r="F18495" i="5"/>
  <c r="F18494" i="5"/>
  <c r="F18493" i="5"/>
  <c r="F18492" i="5"/>
  <c r="F18491" i="5"/>
  <c r="F18490" i="5"/>
  <c r="F18489" i="5"/>
  <c r="F18488" i="5"/>
  <c r="F18487" i="5"/>
  <c r="F18486" i="5"/>
  <c r="F18485" i="5"/>
  <c r="F18484" i="5"/>
  <c r="F18483" i="5"/>
  <c r="F18482" i="5"/>
  <c r="F18481" i="5"/>
  <c r="F18480" i="5"/>
  <c r="F18479" i="5"/>
  <c r="F18478" i="5"/>
  <c r="F18477" i="5"/>
  <c r="F18476" i="5"/>
  <c r="F18475" i="5"/>
  <c r="F18474" i="5"/>
  <c r="F18473" i="5"/>
  <c r="F18472" i="5"/>
  <c r="F18471" i="5"/>
  <c r="F18470" i="5"/>
  <c r="F18469" i="5"/>
  <c r="F18468" i="5"/>
  <c r="F18467" i="5"/>
  <c r="F18466" i="5"/>
  <c r="F18465" i="5"/>
  <c r="F18464" i="5"/>
  <c r="F18463" i="5"/>
  <c r="F18462" i="5"/>
  <c r="F18461" i="5"/>
  <c r="F18460" i="5"/>
  <c r="F18459" i="5"/>
  <c r="F18458" i="5"/>
  <c r="F18457" i="5"/>
  <c r="F18456" i="5"/>
  <c r="F18455" i="5"/>
  <c r="F18454" i="5"/>
  <c r="F18453" i="5"/>
  <c r="F18452" i="5"/>
  <c r="F18451" i="5"/>
  <c r="F18450" i="5"/>
  <c r="F18449" i="5"/>
  <c r="F18448" i="5"/>
  <c r="F18447" i="5"/>
  <c r="F18446" i="5"/>
  <c r="F18445" i="5"/>
  <c r="F18444" i="5"/>
  <c r="F18443" i="5"/>
  <c r="F18442" i="5"/>
  <c r="F18441" i="5"/>
  <c r="F18440" i="5"/>
  <c r="F18439" i="5"/>
  <c r="F18438" i="5"/>
  <c r="F18437" i="5"/>
  <c r="F18436" i="5"/>
  <c r="F18435" i="5"/>
  <c r="F18434" i="5"/>
  <c r="F18433" i="5"/>
  <c r="F18432" i="5"/>
  <c r="F18431" i="5"/>
  <c r="F18430" i="5"/>
  <c r="F18429" i="5"/>
  <c r="F18428" i="5"/>
  <c r="F18427" i="5"/>
  <c r="F18426" i="5"/>
  <c r="F18425" i="5"/>
  <c r="F18424" i="5"/>
  <c r="F18423" i="5"/>
  <c r="F18422" i="5"/>
  <c r="F18421" i="5"/>
  <c r="F18420" i="5"/>
  <c r="F18419" i="5"/>
  <c r="F18418" i="5"/>
  <c r="F18417" i="5"/>
  <c r="F18416" i="5"/>
  <c r="F18415" i="5"/>
  <c r="F18414" i="5"/>
  <c r="F18413" i="5"/>
  <c r="F18412" i="5"/>
  <c r="F18411" i="5"/>
  <c r="F18410" i="5"/>
  <c r="F18409" i="5"/>
  <c r="F18408" i="5"/>
  <c r="F18407" i="5"/>
  <c r="F18406" i="5"/>
  <c r="F18405" i="5"/>
  <c r="F18404" i="5"/>
  <c r="F18403" i="5"/>
  <c r="F18402" i="5"/>
  <c r="F18401" i="5"/>
  <c r="F18400" i="5"/>
  <c r="F18399" i="5"/>
  <c r="F18398" i="5"/>
  <c r="F18397" i="5"/>
  <c r="F18396" i="5"/>
  <c r="F18395" i="5"/>
  <c r="F18394" i="5"/>
  <c r="F18393" i="5"/>
  <c r="F18392" i="5"/>
  <c r="F18391" i="5"/>
  <c r="F18390" i="5"/>
  <c r="F18389" i="5"/>
  <c r="F18388" i="5"/>
  <c r="F18387" i="5"/>
  <c r="F18386" i="5"/>
  <c r="F18385" i="5"/>
  <c r="F18384" i="5"/>
  <c r="F18383" i="5"/>
  <c r="F18382" i="5"/>
  <c r="F18381" i="5"/>
  <c r="F18380" i="5"/>
  <c r="F18379" i="5"/>
  <c r="F18378" i="5"/>
  <c r="F18377" i="5"/>
  <c r="F18376" i="5"/>
  <c r="F18375" i="5"/>
  <c r="F18374" i="5"/>
  <c r="F18373" i="5"/>
  <c r="F18372" i="5"/>
  <c r="F18371" i="5"/>
  <c r="F18370" i="5"/>
  <c r="F18369" i="5"/>
  <c r="F18368" i="5"/>
  <c r="F18367" i="5"/>
  <c r="F18366" i="5"/>
  <c r="F18365" i="5"/>
  <c r="F18364" i="5"/>
  <c r="F18363" i="5"/>
  <c r="F18362" i="5"/>
  <c r="F18361" i="5"/>
  <c r="F18360" i="5"/>
  <c r="F18359" i="5"/>
  <c r="F18358" i="5"/>
  <c r="F18357" i="5"/>
  <c r="F18356" i="5"/>
  <c r="F18355" i="5"/>
  <c r="F18354" i="5"/>
  <c r="F18353" i="5"/>
  <c r="F18352" i="5"/>
  <c r="F18351" i="5"/>
  <c r="F18350" i="5"/>
  <c r="F18349" i="5"/>
  <c r="F18348" i="5"/>
  <c r="F18347" i="5"/>
  <c r="F18346" i="5"/>
  <c r="F18345" i="5"/>
  <c r="F18344" i="5"/>
  <c r="F18343" i="5"/>
  <c r="F18342" i="5"/>
  <c r="F18341" i="5"/>
  <c r="F18340" i="5"/>
  <c r="F18339" i="5"/>
  <c r="F18338" i="5"/>
  <c r="F18337" i="5"/>
  <c r="F18336" i="5"/>
  <c r="F18335" i="5"/>
  <c r="F18334" i="5"/>
  <c r="F18333" i="5"/>
  <c r="F18332" i="5"/>
  <c r="F18331" i="5"/>
  <c r="F18330" i="5"/>
  <c r="F18329" i="5"/>
  <c r="F18328" i="5"/>
  <c r="F18327" i="5"/>
  <c r="F18326" i="5"/>
  <c r="F18325" i="5"/>
  <c r="F18324" i="5"/>
  <c r="F18323" i="5"/>
  <c r="F18322" i="5"/>
  <c r="F18321" i="5"/>
  <c r="F18320" i="5"/>
  <c r="F18319" i="5"/>
  <c r="F18318" i="5"/>
  <c r="F18317" i="5"/>
  <c r="F18316" i="5"/>
  <c r="F18315" i="5"/>
  <c r="F18314" i="5"/>
  <c r="F18313" i="5"/>
  <c r="F18312" i="5"/>
  <c r="F18311" i="5"/>
  <c r="F18310" i="5"/>
  <c r="F18309" i="5"/>
  <c r="F18308" i="5"/>
  <c r="F18307" i="5"/>
  <c r="F18306" i="5"/>
  <c r="F18305" i="5"/>
  <c r="F18304" i="5"/>
  <c r="F18303" i="5"/>
  <c r="F18302" i="5"/>
  <c r="F18301" i="5"/>
  <c r="F18300" i="5"/>
  <c r="F18299" i="5"/>
  <c r="F18298" i="5"/>
  <c r="F18297" i="5"/>
  <c r="F18296" i="5"/>
  <c r="F18295" i="5"/>
  <c r="F18294" i="5"/>
  <c r="F18293" i="5"/>
  <c r="F18292" i="5"/>
  <c r="F18291" i="5"/>
  <c r="F18290" i="5"/>
  <c r="F18289" i="5"/>
  <c r="F18288" i="5"/>
  <c r="F18287" i="5"/>
  <c r="F18286" i="5"/>
  <c r="F18285" i="5"/>
  <c r="F18284" i="5"/>
  <c r="F18283" i="5"/>
  <c r="F18282" i="5"/>
  <c r="F18281" i="5"/>
  <c r="F18280" i="5"/>
  <c r="F18279" i="5"/>
  <c r="F18278" i="5"/>
  <c r="F18277" i="5"/>
  <c r="F18276" i="5"/>
  <c r="F18275" i="5"/>
  <c r="F18274" i="5"/>
  <c r="F18273" i="5"/>
  <c r="F18272" i="5"/>
  <c r="F18271" i="5"/>
  <c r="F18270" i="5"/>
  <c r="F18269" i="5"/>
  <c r="F18268" i="5"/>
  <c r="F18267" i="5"/>
  <c r="F18266" i="5"/>
  <c r="F18265" i="5"/>
  <c r="F18264" i="5"/>
  <c r="F18263" i="5"/>
  <c r="F18262" i="5"/>
  <c r="F18261" i="5"/>
  <c r="F18260" i="5"/>
  <c r="F18259" i="5"/>
  <c r="F18258" i="5"/>
  <c r="F18257" i="5"/>
  <c r="F18256" i="5"/>
  <c r="F18255" i="5"/>
  <c r="F18254" i="5"/>
  <c r="F18253" i="5"/>
  <c r="F18252" i="5"/>
  <c r="F18251" i="5"/>
  <c r="F18250" i="5"/>
  <c r="F18249" i="5"/>
  <c r="F18248" i="5"/>
  <c r="F18247" i="5"/>
  <c r="F18246" i="5"/>
  <c r="F18245" i="5"/>
  <c r="F18244" i="5"/>
  <c r="F18243" i="5"/>
  <c r="F18242" i="5"/>
  <c r="F18241" i="5"/>
  <c r="F18240" i="5"/>
  <c r="F18239" i="5"/>
  <c r="F18238" i="5"/>
  <c r="F18237" i="5"/>
  <c r="F18236" i="5"/>
  <c r="F18235" i="5"/>
  <c r="F18234" i="5"/>
  <c r="F18233" i="5"/>
  <c r="F18232" i="5"/>
  <c r="F18231" i="5"/>
  <c r="F18230" i="5"/>
  <c r="F18229" i="5"/>
  <c r="F18228" i="5"/>
  <c r="F18227" i="5"/>
  <c r="F18226" i="5"/>
  <c r="F18225" i="5"/>
  <c r="F18224" i="5"/>
  <c r="F18223" i="5"/>
  <c r="F18222" i="5"/>
  <c r="F18221" i="5"/>
  <c r="F18220" i="5"/>
  <c r="F18219" i="5"/>
  <c r="F18218" i="5"/>
  <c r="F18217" i="5"/>
  <c r="F18216" i="5"/>
  <c r="F18215" i="5"/>
  <c r="F18214" i="5"/>
  <c r="F18213" i="5"/>
  <c r="F18212" i="5"/>
  <c r="F18211" i="5"/>
  <c r="F18210" i="5"/>
  <c r="F18209" i="5"/>
  <c r="F18208" i="5"/>
  <c r="F18207" i="5"/>
  <c r="F18206" i="5"/>
  <c r="F18205" i="5"/>
  <c r="F18204" i="5"/>
  <c r="F18203" i="5"/>
  <c r="F18202" i="5"/>
  <c r="F18201" i="5"/>
  <c r="F18200" i="5"/>
  <c r="F18199" i="5"/>
  <c r="F18198" i="5"/>
  <c r="F18197" i="5"/>
  <c r="F18196" i="5"/>
  <c r="F18195" i="5"/>
  <c r="F18194" i="5"/>
  <c r="F18193" i="5"/>
  <c r="F18192" i="5"/>
  <c r="F18191" i="5"/>
  <c r="F18190" i="5"/>
  <c r="F18189" i="5"/>
  <c r="F18188" i="5"/>
  <c r="F18187" i="5"/>
  <c r="F18186" i="5"/>
  <c r="F18185" i="5"/>
  <c r="F18184" i="5"/>
  <c r="F18183" i="5"/>
  <c r="F18182" i="5"/>
  <c r="F18181" i="5"/>
  <c r="F18180" i="5"/>
  <c r="F18179" i="5"/>
  <c r="F18178" i="5"/>
  <c r="F18177" i="5"/>
  <c r="F18176" i="5"/>
  <c r="F18175" i="5"/>
  <c r="F18174" i="5"/>
  <c r="F18173" i="5"/>
  <c r="F18172" i="5"/>
  <c r="F18171" i="5"/>
  <c r="F18170" i="5"/>
  <c r="F18169" i="5"/>
  <c r="F18168" i="5"/>
  <c r="F18167" i="5"/>
  <c r="F18166" i="5"/>
  <c r="F18165" i="5"/>
  <c r="F18164" i="5"/>
  <c r="F18163" i="5"/>
  <c r="F18162" i="5"/>
  <c r="F18161" i="5"/>
  <c r="F18160" i="5"/>
  <c r="F18159" i="5"/>
  <c r="F18158" i="5"/>
  <c r="F18157" i="5"/>
  <c r="F18156" i="5"/>
  <c r="F18155" i="5"/>
  <c r="F18154" i="5"/>
  <c r="F18153" i="5"/>
  <c r="F18152" i="5"/>
  <c r="F18151" i="5"/>
  <c r="F18150" i="5"/>
  <c r="F18149" i="5"/>
  <c r="F18148" i="5"/>
  <c r="F18147" i="5"/>
  <c r="F18146" i="5"/>
  <c r="F18145" i="5"/>
  <c r="F18144" i="5"/>
  <c r="F18143" i="5"/>
  <c r="F18142" i="5"/>
  <c r="F18141" i="5"/>
  <c r="F18140" i="5"/>
  <c r="F18139" i="5"/>
  <c r="F18138" i="5"/>
  <c r="F18137" i="5"/>
  <c r="F18136" i="5"/>
  <c r="F18135" i="5"/>
  <c r="F18134" i="5"/>
  <c r="F18133" i="5"/>
  <c r="F18132" i="5"/>
  <c r="F18131" i="5"/>
  <c r="F18130" i="5"/>
  <c r="F18129" i="5"/>
  <c r="F18128" i="5"/>
  <c r="F18127" i="5"/>
  <c r="F18126" i="5"/>
  <c r="F18125" i="5"/>
  <c r="F18124" i="5"/>
  <c r="F18123" i="5"/>
  <c r="F18122" i="5"/>
  <c r="F18121" i="5"/>
  <c r="F18120" i="5"/>
  <c r="F18119" i="5"/>
  <c r="F18118" i="5"/>
  <c r="F18117" i="5"/>
  <c r="F18116" i="5"/>
  <c r="F18115" i="5"/>
  <c r="F18114" i="5"/>
  <c r="F18113" i="5"/>
  <c r="F18112" i="5"/>
  <c r="F18111" i="5"/>
  <c r="F18110" i="5"/>
  <c r="F18109" i="5"/>
  <c r="F18108" i="5"/>
  <c r="F18107" i="5"/>
  <c r="F18106" i="5"/>
  <c r="F18105" i="5"/>
  <c r="F18104" i="5"/>
  <c r="F18103" i="5"/>
  <c r="F18102" i="5"/>
  <c r="F18101" i="5"/>
  <c r="F18100" i="5"/>
  <c r="F18099" i="5"/>
  <c r="F18098" i="5"/>
  <c r="F18097" i="5"/>
  <c r="F18096" i="5"/>
  <c r="F18095" i="5"/>
  <c r="F18094" i="5"/>
  <c r="F18093" i="5"/>
  <c r="F18092" i="5"/>
  <c r="F18091" i="5"/>
  <c r="F18090" i="5"/>
  <c r="F18089" i="5"/>
  <c r="F18088" i="5"/>
  <c r="F18087" i="5"/>
  <c r="F18086" i="5"/>
  <c r="F18085" i="5"/>
  <c r="F18084" i="5"/>
  <c r="F18083" i="5"/>
  <c r="F18082" i="5"/>
  <c r="F18081" i="5"/>
  <c r="F18080" i="5"/>
  <c r="F18079" i="5"/>
  <c r="F18078" i="5"/>
  <c r="F18077" i="5"/>
  <c r="F18076" i="5"/>
  <c r="F18075" i="5"/>
  <c r="F18074" i="5"/>
  <c r="F18073" i="5"/>
  <c r="F18072" i="5"/>
  <c r="F18071" i="5"/>
  <c r="F18070" i="5"/>
  <c r="F18069" i="5"/>
  <c r="F18068" i="5"/>
  <c r="F18067" i="5"/>
  <c r="F18066" i="5"/>
  <c r="F18065" i="5"/>
  <c r="F18064" i="5"/>
  <c r="F18063" i="5"/>
  <c r="F18062" i="5"/>
  <c r="F18061" i="5"/>
  <c r="F18060" i="5"/>
  <c r="F18059" i="5"/>
  <c r="F18058" i="5"/>
  <c r="F18057" i="5"/>
  <c r="F18056" i="5"/>
  <c r="F18055" i="5"/>
  <c r="F18054" i="5"/>
  <c r="F18053" i="5"/>
  <c r="F18052" i="5"/>
  <c r="F18051" i="5"/>
  <c r="F18050" i="5"/>
  <c r="F18049" i="5"/>
  <c r="F18048" i="5"/>
  <c r="F18047" i="5"/>
  <c r="F18046" i="5"/>
  <c r="F18045" i="5"/>
  <c r="F18044" i="5"/>
  <c r="F18043" i="5"/>
  <c r="F18042" i="5"/>
  <c r="F18041" i="5"/>
  <c r="F18040" i="5"/>
  <c r="F18039" i="5"/>
  <c r="F18038" i="5"/>
  <c r="F18037" i="5"/>
  <c r="F18036" i="5"/>
  <c r="F18035" i="5"/>
  <c r="F18034" i="5"/>
  <c r="F18033" i="5"/>
  <c r="F18032" i="5"/>
  <c r="F18031" i="5"/>
  <c r="F18030" i="5"/>
  <c r="F18029" i="5"/>
  <c r="F18028" i="5"/>
  <c r="F18027" i="5"/>
  <c r="F18026" i="5"/>
  <c r="F18025" i="5"/>
  <c r="F18024" i="5"/>
  <c r="F18023" i="5"/>
  <c r="F18022" i="5"/>
  <c r="F18021" i="5"/>
  <c r="F18020" i="5"/>
  <c r="F18019" i="5"/>
  <c r="F18018" i="5"/>
  <c r="F18017" i="5"/>
  <c r="F18016" i="5"/>
  <c r="F18015" i="5"/>
  <c r="F18014" i="5"/>
  <c r="F18013" i="5"/>
  <c r="F18012" i="5"/>
  <c r="F18011" i="5"/>
  <c r="F18010" i="5"/>
  <c r="F18009" i="5"/>
  <c r="F18008" i="5"/>
  <c r="F18007" i="5"/>
  <c r="F18006" i="5"/>
  <c r="F18005" i="5"/>
  <c r="F18004" i="5"/>
  <c r="F18003" i="5"/>
  <c r="F18002" i="5"/>
  <c r="F18001" i="5"/>
  <c r="F18000" i="5"/>
  <c r="F17999" i="5"/>
  <c r="F17998" i="5"/>
  <c r="F17997" i="5"/>
  <c r="F17996" i="5"/>
  <c r="F17995" i="5"/>
  <c r="F17994" i="5"/>
  <c r="F17993" i="5"/>
  <c r="F17992" i="5"/>
  <c r="F17991" i="5"/>
  <c r="F17990" i="5"/>
  <c r="F17989" i="5"/>
  <c r="F17988" i="5"/>
  <c r="F17987" i="5"/>
  <c r="F17986" i="5"/>
  <c r="F17985" i="5"/>
  <c r="F17984" i="5"/>
  <c r="F17983" i="5"/>
  <c r="F17982" i="5"/>
  <c r="F17981" i="5"/>
  <c r="F17980" i="5"/>
  <c r="F17979" i="5"/>
  <c r="F17978" i="5"/>
  <c r="F17977" i="5"/>
  <c r="F17976" i="5"/>
  <c r="F17975" i="5"/>
  <c r="F17974" i="5"/>
  <c r="F17973" i="5"/>
  <c r="F17972" i="5"/>
  <c r="F17971" i="5"/>
  <c r="F17970" i="5"/>
  <c r="F17969" i="5"/>
  <c r="F17968" i="5"/>
  <c r="F17967" i="5"/>
  <c r="F17966" i="5"/>
  <c r="F17965" i="5"/>
  <c r="F17964" i="5"/>
  <c r="F17963" i="5"/>
  <c r="F17962" i="5"/>
  <c r="F17961" i="5"/>
  <c r="F17960" i="5"/>
  <c r="F17959" i="5"/>
  <c r="F17958" i="5"/>
  <c r="F17957" i="5"/>
  <c r="F17956" i="5"/>
  <c r="F17955" i="5"/>
  <c r="F17954" i="5"/>
  <c r="F17953" i="5"/>
  <c r="F17952" i="5"/>
  <c r="F17951" i="5"/>
  <c r="F17950" i="5"/>
  <c r="F17949" i="5"/>
  <c r="F17948" i="5"/>
  <c r="F17947" i="5"/>
  <c r="F17946" i="5"/>
  <c r="F17945" i="5"/>
  <c r="F17944" i="5"/>
  <c r="F17943" i="5"/>
  <c r="F17942" i="5"/>
  <c r="F17941" i="5"/>
  <c r="F17940" i="5"/>
  <c r="F17939" i="5"/>
  <c r="F17938" i="5"/>
  <c r="F17937" i="5"/>
  <c r="F17936" i="5"/>
  <c r="F17935" i="5"/>
  <c r="F17934" i="5"/>
  <c r="F17933" i="5"/>
  <c r="F17932" i="5"/>
  <c r="F17931" i="5"/>
  <c r="F17930" i="5"/>
  <c r="F17929" i="5"/>
  <c r="F17928" i="5"/>
  <c r="F17927" i="5"/>
  <c r="F17926" i="5"/>
  <c r="F17925" i="5"/>
  <c r="F17924" i="5"/>
  <c r="F17923" i="5"/>
  <c r="F17922" i="5"/>
  <c r="F17921" i="5"/>
  <c r="F17920" i="5"/>
  <c r="F17919" i="5"/>
  <c r="F17918" i="5"/>
  <c r="F17917" i="5"/>
  <c r="F17916" i="5"/>
  <c r="F17915" i="5"/>
  <c r="F17914" i="5"/>
  <c r="F17913" i="5"/>
  <c r="F17912" i="5"/>
  <c r="F17911" i="5"/>
  <c r="F17910" i="5"/>
  <c r="F17909" i="5"/>
  <c r="F17908" i="5"/>
  <c r="F17907" i="5"/>
  <c r="F17906" i="5"/>
  <c r="F17905" i="5"/>
  <c r="F17904" i="5"/>
  <c r="F17903" i="5"/>
  <c r="F17902" i="5"/>
  <c r="F17901" i="5"/>
  <c r="F17900" i="5"/>
  <c r="F17899" i="5"/>
  <c r="F17898" i="5"/>
  <c r="F17897" i="5"/>
  <c r="F17896" i="5"/>
  <c r="F17895" i="5"/>
  <c r="F17894" i="5"/>
  <c r="F17893" i="5"/>
  <c r="F17892" i="5"/>
  <c r="F17891" i="5"/>
  <c r="F17890" i="5"/>
  <c r="F17889" i="5"/>
  <c r="F17888" i="5"/>
  <c r="F17887" i="5"/>
  <c r="F17886" i="5"/>
  <c r="F17885" i="5"/>
  <c r="F17884" i="5"/>
  <c r="F17883" i="5"/>
  <c r="F17882" i="5"/>
  <c r="F17881" i="5"/>
  <c r="F17880" i="5"/>
  <c r="F17879" i="5"/>
  <c r="F17878" i="5"/>
  <c r="F17877" i="5"/>
  <c r="F17876" i="5"/>
  <c r="F17875" i="5"/>
  <c r="F17874" i="5"/>
  <c r="F17873" i="5"/>
  <c r="F17872" i="5"/>
  <c r="F17871" i="5"/>
  <c r="F17870" i="5"/>
  <c r="F17869" i="5"/>
  <c r="F17868" i="5"/>
  <c r="F17867" i="5"/>
  <c r="F17866" i="5"/>
  <c r="F17865" i="5"/>
  <c r="F17864" i="5"/>
  <c r="F17863" i="5"/>
  <c r="F17862" i="5"/>
  <c r="F17861" i="5"/>
  <c r="F17860" i="5"/>
  <c r="F17859" i="5"/>
  <c r="F17858" i="5"/>
  <c r="F17857" i="5"/>
  <c r="F17856" i="5"/>
  <c r="F17855" i="5"/>
  <c r="F17854" i="5"/>
  <c r="F17853" i="5"/>
  <c r="F17852" i="5"/>
  <c r="F17851" i="5"/>
  <c r="F17850" i="5"/>
  <c r="F17849" i="5"/>
  <c r="F17848" i="5"/>
  <c r="F17847" i="5"/>
  <c r="F17846" i="5"/>
  <c r="F17845" i="5"/>
  <c r="F17844" i="5"/>
  <c r="F17843" i="5"/>
  <c r="F17842" i="5"/>
  <c r="F17841" i="5"/>
  <c r="F17840" i="5"/>
  <c r="F17839" i="5"/>
  <c r="F17838" i="5"/>
  <c r="F17837" i="5"/>
  <c r="F17836" i="5"/>
  <c r="F17835" i="5"/>
  <c r="F17834" i="5"/>
  <c r="F17833" i="5"/>
  <c r="F17832" i="5"/>
  <c r="F17831" i="5"/>
  <c r="F17830" i="5"/>
  <c r="F17829" i="5"/>
  <c r="F17828" i="5"/>
  <c r="F17827" i="5"/>
  <c r="F17826" i="5"/>
  <c r="F17825" i="5"/>
  <c r="F17824" i="5"/>
  <c r="F17823" i="5"/>
  <c r="F17822" i="5"/>
  <c r="F17821" i="5"/>
  <c r="F17820" i="5"/>
  <c r="F17819" i="5"/>
  <c r="F17818" i="5"/>
  <c r="F17817" i="5"/>
  <c r="F17816" i="5"/>
  <c r="F17815" i="5"/>
  <c r="F17814" i="5"/>
  <c r="F17813" i="5"/>
  <c r="F17812" i="5"/>
  <c r="F17811" i="5"/>
  <c r="F17810" i="5"/>
  <c r="F17809" i="5"/>
  <c r="F17808" i="5"/>
  <c r="F17807" i="5"/>
  <c r="F17806" i="5"/>
  <c r="F17805" i="5"/>
  <c r="F17804" i="5"/>
  <c r="F17803" i="5"/>
  <c r="F17802" i="5"/>
  <c r="F17801" i="5"/>
  <c r="F17800" i="5"/>
  <c r="F17799" i="5"/>
  <c r="F17798" i="5"/>
  <c r="F17797" i="5"/>
  <c r="F17796" i="5"/>
  <c r="F17795" i="5"/>
  <c r="F17794" i="5"/>
  <c r="F17793" i="5"/>
  <c r="F17792" i="5"/>
  <c r="F17791" i="5"/>
  <c r="F17790" i="5"/>
  <c r="F17789" i="5"/>
  <c r="F17788" i="5"/>
  <c r="F17787" i="5"/>
  <c r="F17786" i="5"/>
  <c r="F17785" i="5"/>
  <c r="F17784" i="5"/>
  <c r="F17783" i="5"/>
  <c r="F17782" i="5"/>
  <c r="F17781" i="5"/>
  <c r="F17780" i="5"/>
  <c r="F17779" i="5"/>
  <c r="F17778" i="5"/>
  <c r="F17777" i="5"/>
  <c r="F17776" i="5"/>
  <c r="F17775" i="5"/>
  <c r="F17774" i="5"/>
  <c r="F17773" i="5"/>
  <c r="F17772" i="5"/>
  <c r="F17771" i="5"/>
  <c r="F17770" i="5"/>
  <c r="F17769" i="5"/>
  <c r="F17768" i="5"/>
  <c r="F17767" i="5"/>
  <c r="F17766" i="5"/>
  <c r="F17765" i="5"/>
  <c r="F17764" i="5"/>
  <c r="F17763" i="5"/>
  <c r="F17762" i="5"/>
  <c r="F17761" i="5"/>
  <c r="F17760" i="5"/>
  <c r="F17759" i="5"/>
  <c r="F17758" i="5"/>
  <c r="F17757" i="5"/>
  <c r="F17756" i="5"/>
  <c r="F17755" i="5"/>
  <c r="F17754" i="5"/>
  <c r="F17753" i="5"/>
  <c r="F17752" i="5"/>
  <c r="F17751" i="5"/>
  <c r="F17750" i="5"/>
  <c r="F17749" i="5"/>
  <c r="F17748" i="5"/>
  <c r="F17747" i="5"/>
  <c r="F17746" i="5"/>
  <c r="F17745" i="5"/>
  <c r="F17744" i="5"/>
  <c r="F17743" i="5"/>
  <c r="F17742" i="5"/>
  <c r="F17741" i="5"/>
  <c r="F17740" i="5"/>
  <c r="F17739" i="5"/>
  <c r="F17738" i="5"/>
  <c r="F17737" i="5"/>
  <c r="F17736" i="5"/>
  <c r="F17735" i="5"/>
  <c r="F17734" i="5"/>
  <c r="F17733" i="5"/>
  <c r="F17732" i="5"/>
  <c r="F17731" i="5"/>
  <c r="F17730" i="5"/>
  <c r="F17729" i="5"/>
  <c r="F17728" i="5"/>
  <c r="F17727" i="5"/>
  <c r="F17726" i="5"/>
  <c r="F17725" i="5"/>
  <c r="F17724" i="5"/>
  <c r="F17723" i="5"/>
  <c r="F17722" i="5"/>
  <c r="F17721" i="5"/>
  <c r="F17720" i="5"/>
  <c r="F17719" i="5"/>
  <c r="F17718" i="5"/>
  <c r="F17717" i="5"/>
  <c r="F17716" i="5"/>
  <c r="F17715" i="5"/>
  <c r="F17714" i="5"/>
  <c r="F17713" i="5"/>
  <c r="F17712" i="5"/>
  <c r="F17711" i="5"/>
  <c r="F17710" i="5"/>
  <c r="F17709" i="5"/>
  <c r="F17708" i="5"/>
  <c r="F17707" i="5"/>
  <c r="F17706" i="5"/>
  <c r="F17705" i="5"/>
  <c r="F17704" i="5"/>
  <c r="F17703" i="5"/>
  <c r="F17702" i="5"/>
  <c r="F17701" i="5"/>
  <c r="F17700" i="5"/>
  <c r="F17699" i="5"/>
  <c r="F17698" i="5"/>
  <c r="F17697" i="5"/>
  <c r="F17696" i="5"/>
  <c r="F17695" i="5"/>
  <c r="F17694" i="5"/>
  <c r="F17693" i="5"/>
  <c r="F17692" i="5"/>
  <c r="F17691" i="5"/>
  <c r="F17690" i="5"/>
  <c r="F17689" i="5"/>
  <c r="F17688" i="5"/>
  <c r="F17687" i="5"/>
  <c r="F17686" i="5"/>
  <c r="F17685" i="5"/>
  <c r="F17684" i="5"/>
  <c r="F17683" i="5"/>
  <c r="F17682" i="5"/>
  <c r="F17681" i="5"/>
  <c r="F17680" i="5"/>
  <c r="F17679" i="5"/>
  <c r="F17678" i="5"/>
  <c r="F17677" i="5"/>
  <c r="F17676" i="5"/>
  <c r="F17675" i="5"/>
  <c r="F17674" i="5"/>
  <c r="F17673" i="5"/>
  <c r="F17672" i="5"/>
  <c r="F17671" i="5"/>
  <c r="F17670" i="5"/>
  <c r="F17669" i="5"/>
  <c r="F17668" i="5"/>
  <c r="F17667" i="5"/>
  <c r="F17666" i="5"/>
  <c r="F17665" i="5"/>
  <c r="F17664" i="5"/>
  <c r="F17663" i="5"/>
  <c r="F17662" i="5"/>
  <c r="F17661" i="5"/>
  <c r="F17660" i="5"/>
  <c r="F17659" i="5"/>
  <c r="F17658" i="5"/>
  <c r="F17657" i="5"/>
  <c r="F17656" i="5"/>
  <c r="F17655" i="5"/>
  <c r="F17654" i="5"/>
  <c r="F17653" i="5"/>
  <c r="F17652" i="5"/>
  <c r="F17651" i="5"/>
  <c r="F17650" i="5"/>
  <c r="F17649" i="5"/>
  <c r="F17648" i="5"/>
  <c r="F17647" i="5"/>
  <c r="F17646" i="5"/>
  <c r="F17645" i="5"/>
  <c r="F17644" i="5"/>
  <c r="F17643" i="5"/>
  <c r="F17642" i="5"/>
  <c r="F17641" i="5"/>
  <c r="F17640" i="5"/>
  <c r="F17639" i="5"/>
  <c r="F17638" i="5"/>
  <c r="F17637" i="5"/>
  <c r="F17636" i="5"/>
  <c r="F17635" i="5"/>
  <c r="F17634" i="5"/>
  <c r="F17633" i="5"/>
  <c r="F17632" i="5"/>
  <c r="F17631" i="5"/>
  <c r="F17630" i="5"/>
  <c r="F17629" i="5"/>
  <c r="F17628" i="5"/>
  <c r="F17627" i="5"/>
  <c r="F17626" i="5"/>
  <c r="F17625" i="5"/>
  <c r="F17624" i="5"/>
  <c r="F17623" i="5"/>
  <c r="F17622" i="5"/>
  <c r="F17621" i="5"/>
  <c r="F17620" i="5"/>
  <c r="F17619" i="5"/>
  <c r="F17618" i="5"/>
  <c r="F17617" i="5"/>
  <c r="F17616" i="5"/>
  <c r="F17615" i="5"/>
  <c r="F17614" i="5"/>
  <c r="F17613" i="5"/>
  <c r="F17612" i="5"/>
  <c r="F17611" i="5"/>
  <c r="F17610" i="5"/>
  <c r="F17609" i="5"/>
  <c r="F17608" i="5"/>
  <c r="F17607" i="5"/>
  <c r="F17606" i="5"/>
  <c r="F17605" i="5"/>
  <c r="F17604" i="5"/>
  <c r="F17603" i="5"/>
  <c r="F17602" i="5"/>
  <c r="F17601" i="5"/>
  <c r="F17600" i="5"/>
  <c r="F17599" i="5"/>
  <c r="F17598" i="5"/>
  <c r="F17597" i="5"/>
  <c r="F17596" i="5"/>
  <c r="F17595" i="5"/>
  <c r="F17594" i="5"/>
  <c r="F17593" i="5"/>
  <c r="F17592" i="5"/>
  <c r="F17591" i="5"/>
  <c r="F17590" i="5"/>
  <c r="F17589" i="5"/>
  <c r="F17588" i="5"/>
  <c r="F17587" i="5"/>
  <c r="F17586" i="5"/>
  <c r="F17585" i="5"/>
  <c r="F17584" i="5"/>
  <c r="F17583" i="5"/>
  <c r="F17582" i="5"/>
  <c r="F17581" i="5"/>
  <c r="F17580" i="5"/>
  <c r="F17579" i="5"/>
  <c r="F17578" i="5"/>
  <c r="F17577" i="5"/>
  <c r="F17576" i="5"/>
  <c r="F17575" i="5"/>
  <c r="F17574" i="5"/>
  <c r="F17573" i="5"/>
  <c r="F17572" i="5"/>
  <c r="F17571" i="5"/>
  <c r="F17570" i="5"/>
  <c r="F17569" i="5"/>
  <c r="F17568" i="5"/>
  <c r="F17567" i="5"/>
  <c r="F17566" i="5"/>
  <c r="F17565" i="5"/>
  <c r="F17564" i="5"/>
  <c r="F17563" i="5"/>
  <c r="F17562" i="5"/>
  <c r="F17561" i="5"/>
  <c r="F17560" i="5"/>
  <c r="F17559" i="5"/>
  <c r="F17558" i="5"/>
  <c r="F17557" i="5"/>
  <c r="F17556" i="5"/>
  <c r="F17555" i="5"/>
  <c r="F17554" i="5"/>
  <c r="F17553" i="5"/>
  <c r="F17552" i="5"/>
  <c r="F17551" i="5"/>
  <c r="F17550" i="5"/>
  <c r="F17549" i="5"/>
  <c r="F17548" i="5"/>
  <c r="F17547" i="5"/>
  <c r="F17546" i="5"/>
  <c r="F17545" i="5"/>
  <c r="F17544" i="5"/>
  <c r="F17543" i="5"/>
  <c r="F17542" i="5"/>
  <c r="F17541" i="5"/>
  <c r="F17540" i="5"/>
  <c r="F17539" i="5"/>
  <c r="F17538" i="5"/>
  <c r="F17537" i="5"/>
  <c r="F17536" i="5"/>
  <c r="F17535" i="5"/>
  <c r="F17534" i="5"/>
  <c r="F17533" i="5"/>
  <c r="F17532" i="5"/>
  <c r="F17531" i="5"/>
  <c r="F17530" i="5"/>
  <c r="F17529" i="5"/>
  <c r="F17528" i="5"/>
  <c r="F17527" i="5"/>
  <c r="F17526" i="5"/>
  <c r="F17525" i="5"/>
  <c r="F17524" i="5"/>
  <c r="F17523" i="5"/>
  <c r="F17522" i="5"/>
  <c r="F17521" i="5"/>
  <c r="F17520" i="5"/>
  <c r="F17519" i="5"/>
  <c r="F17518" i="5"/>
  <c r="F17517" i="5"/>
  <c r="F17516" i="5"/>
  <c r="F17515" i="5"/>
  <c r="F17514" i="5"/>
  <c r="F17513" i="5"/>
  <c r="F17512" i="5"/>
  <c r="F17511" i="5"/>
  <c r="F17510" i="5"/>
  <c r="F17509" i="5"/>
  <c r="F17508" i="5"/>
  <c r="F17507" i="5"/>
  <c r="F17506" i="5"/>
  <c r="F17505" i="5"/>
  <c r="F17504" i="5"/>
  <c r="F17503" i="5"/>
  <c r="F17502" i="5"/>
  <c r="F17501" i="5"/>
  <c r="F17500" i="5"/>
  <c r="F17499" i="5"/>
  <c r="F17498" i="5"/>
  <c r="F17497" i="5"/>
  <c r="F17496" i="5"/>
  <c r="F17495" i="5"/>
  <c r="F17494" i="5"/>
  <c r="F17493" i="5"/>
  <c r="F17492" i="5"/>
  <c r="F17491" i="5"/>
  <c r="F17490" i="5"/>
  <c r="F17489" i="5"/>
  <c r="F17488" i="5"/>
  <c r="F17487" i="5"/>
  <c r="F17486" i="5"/>
  <c r="F17485" i="5"/>
  <c r="F17484" i="5"/>
  <c r="F17483" i="5"/>
  <c r="F17482" i="5"/>
  <c r="F17481" i="5"/>
  <c r="F17480" i="5"/>
  <c r="F17479" i="5"/>
  <c r="F17478" i="5"/>
  <c r="F17477" i="5"/>
  <c r="F17476" i="5"/>
  <c r="F17475" i="5"/>
  <c r="F17474" i="5"/>
  <c r="F17473" i="5"/>
  <c r="F17472" i="5"/>
  <c r="F17471" i="5"/>
  <c r="F17470" i="5"/>
  <c r="F17469" i="5"/>
  <c r="F17468" i="5"/>
  <c r="F17467" i="5"/>
  <c r="F17466" i="5"/>
  <c r="F17465" i="5"/>
  <c r="F17464" i="5"/>
  <c r="F17463" i="5"/>
  <c r="F17462" i="5"/>
  <c r="F17461" i="5"/>
  <c r="F17460" i="5"/>
  <c r="F17459" i="5"/>
  <c r="F17458" i="5"/>
  <c r="F17457" i="5"/>
  <c r="F17456" i="5"/>
  <c r="F17455" i="5"/>
  <c r="F17454" i="5"/>
  <c r="F17453" i="5"/>
  <c r="F17452" i="5"/>
  <c r="F17451" i="5"/>
  <c r="F17450" i="5"/>
  <c r="F17449" i="5"/>
  <c r="F17448" i="5"/>
  <c r="F17447" i="5"/>
  <c r="F17446" i="5"/>
  <c r="F17445" i="5"/>
  <c r="F17444" i="5"/>
  <c r="F17443" i="5"/>
  <c r="F17442" i="5"/>
  <c r="F17441" i="5"/>
  <c r="F17440" i="5"/>
  <c r="F17439" i="5"/>
  <c r="F17438" i="5"/>
  <c r="F17437" i="5"/>
  <c r="F17436" i="5"/>
  <c r="F17435" i="5"/>
  <c r="F17434" i="5"/>
  <c r="F17433" i="5"/>
  <c r="F17432" i="5"/>
  <c r="F17431" i="5"/>
  <c r="F17430" i="5"/>
  <c r="F17429" i="5"/>
  <c r="F17428" i="5"/>
  <c r="F17427" i="5"/>
  <c r="F17426" i="5"/>
  <c r="F17425" i="5"/>
  <c r="F17424" i="5"/>
  <c r="F17423" i="5"/>
  <c r="F17422" i="5"/>
  <c r="F17421" i="5"/>
  <c r="F17420" i="5"/>
  <c r="F17419" i="5"/>
  <c r="F17418" i="5"/>
  <c r="F17417" i="5"/>
  <c r="F17416" i="5"/>
  <c r="F17415" i="5"/>
  <c r="F17414" i="5"/>
  <c r="F17413" i="5"/>
  <c r="F17412" i="5"/>
  <c r="F17411" i="5"/>
  <c r="F17410" i="5"/>
  <c r="F17409" i="5"/>
  <c r="F17408" i="5"/>
  <c r="F17407" i="5"/>
  <c r="F17406" i="5"/>
  <c r="F17405" i="5"/>
  <c r="F17404" i="5"/>
  <c r="F17403" i="5"/>
  <c r="F17402" i="5"/>
  <c r="F17401" i="5"/>
  <c r="F17400" i="5"/>
  <c r="F17399" i="5"/>
  <c r="F17398" i="5"/>
  <c r="F17397" i="5"/>
  <c r="F17396" i="5"/>
  <c r="F17395" i="5"/>
  <c r="F17394" i="5"/>
  <c r="F17393" i="5"/>
  <c r="F17392" i="5"/>
  <c r="F17391" i="5"/>
  <c r="F17390" i="5"/>
  <c r="F17389" i="5"/>
  <c r="F17388" i="5"/>
  <c r="F17387" i="5"/>
  <c r="F17386" i="5"/>
  <c r="F17385" i="5"/>
  <c r="F17384" i="5"/>
  <c r="F17383" i="5"/>
  <c r="F17382" i="5"/>
  <c r="F17381" i="5"/>
  <c r="F17380" i="5"/>
  <c r="F17379" i="5"/>
  <c r="F17378" i="5"/>
  <c r="F17377" i="5"/>
  <c r="F17376" i="5"/>
  <c r="F17375" i="5"/>
  <c r="F17374" i="5"/>
  <c r="F17373" i="5"/>
  <c r="F17372" i="5"/>
  <c r="F17371" i="5"/>
  <c r="F17370" i="5"/>
  <c r="F17369" i="5"/>
  <c r="F17368" i="5"/>
  <c r="F17367" i="5"/>
  <c r="F17366" i="5"/>
  <c r="F17365" i="5"/>
  <c r="F17364" i="5"/>
  <c r="F17363" i="5"/>
  <c r="F17362" i="5"/>
  <c r="F17361" i="5"/>
  <c r="F17360" i="5"/>
  <c r="F17359" i="5"/>
  <c r="F17358" i="5"/>
  <c r="F17357" i="5"/>
  <c r="F17356" i="5"/>
  <c r="F17355" i="5"/>
  <c r="F17354" i="5"/>
  <c r="F17353" i="5"/>
  <c r="F17352" i="5"/>
  <c r="F17351" i="5"/>
  <c r="F17350" i="5"/>
  <c r="F17349" i="5"/>
  <c r="F17348" i="5"/>
  <c r="F17347" i="5"/>
  <c r="F17346" i="5"/>
  <c r="F17345" i="5"/>
  <c r="F17344" i="5"/>
  <c r="F17343" i="5"/>
  <c r="F17342" i="5"/>
  <c r="F17341" i="5"/>
  <c r="F17340" i="5"/>
  <c r="F17339" i="5"/>
  <c r="F17338" i="5"/>
  <c r="F17337" i="5"/>
  <c r="F17336" i="5"/>
  <c r="F17335" i="5"/>
  <c r="F17334" i="5"/>
  <c r="F17333" i="5"/>
  <c r="F17332" i="5"/>
  <c r="F17331" i="5"/>
  <c r="F17330" i="5"/>
  <c r="F17329" i="5"/>
  <c r="F17328" i="5"/>
  <c r="F17327" i="5"/>
  <c r="F17326" i="5"/>
  <c r="F17325" i="5"/>
  <c r="F17324" i="5"/>
  <c r="F17323" i="5"/>
  <c r="F17322" i="5"/>
  <c r="F17321" i="5"/>
  <c r="F17320" i="5"/>
  <c r="F17319" i="5"/>
  <c r="F17318" i="5"/>
  <c r="F17317" i="5"/>
  <c r="F17316" i="5"/>
  <c r="F17315" i="5"/>
  <c r="F17314" i="5"/>
  <c r="F17313" i="5"/>
  <c r="F17312" i="5"/>
  <c r="F17311" i="5"/>
  <c r="F17310" i="5"/>
  <c r="F17309" i="5"/>
  <c r="F17308" i="5"/>
  <c r="F17307" i="5"/>
  <c r="F17306" i="5"/>
  <c r="F17305" i="5"/>
  <c r="F17304" i="5"/>
  <c r="F17303" i="5"/>
  <c r="F17302" i="5"/>
  <c r="F17301" i="5"/>
  <c r="F17300" i="5"/>
  <c r="F17299" i="5"/>
  <c r="F17298" i="5"/>
  <c r="F17297" i="5"/>
  <c r="F17296" i="5"/>
  <c r="F17295" i="5"/>
  <c r="F17294" i="5"/>
  <c r="F17293" i="5"/>
  <c r="F17292" i="5"/>
  <c r="F17291" i="5"/>
  <c r="F17290" i="5"/>
  <c r="F17289" i="5"/>
  <c r="F17288" i="5"/>
  <c r="F17287" i="5"/>
  <c r="F17286" i="5"/>
  <c r="F17285" i="5"/>
  <c r="F17284" i="5"/>
  <c r="F17283" i="5"/>
  <c r="F17282" i="5"/>
  <c r="F17281" i="5"/>
  <c r="F17280" i="5"/>
  <c r="F17279" i="5"/>
  <c r="F17278" i="5"/>
  <c r="F17277" i="5"/>
  <c r="F17276" i="5"/>
  <c r="F17275" i="5"/>
  <c r="F17274" i="5"/>
  <c r="F17273" i="5"/>
  <c r="F17272" i="5"/>
  <c r="F17271" i="5"/>
  <c r="F17270" i="5"/>
  <c r="F17269" i="5"/>
  <c r="F17268" i="5"/>
  <c r="F17267" i="5"/>
  <c r="F17266" i="5"/>
  <c r="F17265" i="5"/>
  <c r="F17264" i="5"/>
  <c r="F17263" i="5"/>
  <c r="F17262" i="5"/>
  <c r="F17261" i="5"/>
  <c r="F17260" i="5"/>
  <c r="F17259" i="5"/>
  <c r="F17258" i="5"/>
  <c r="F17257" i="5"/>
  <c r="F17256" i="5"/>
  <c r="F17255" i="5"/>
  <c r="F17254" i="5"/>
  <c r="F17253" i="5"/>
  <c r="F17252" i="5"/>
  <c r="F17251" i="5"/>
  <c r="F17250" i="5"/>
  <c r="F17249" i="5"/>
  <c r="F17248" i="5"/>
  <c r="F17247" i="5"/>
  <c r="F17246" i="5"/>
  <c r="F17245" i="5"/>
  <c r="F17244" i="5"/>
  <c r="F17243" i="5"/>
  <c r="F17242" i="5"/>
  <c r="F17241" i="5"/>
  <c r="F17240" i="5"/>
  <c r="F17239" i="5"/>
  <c r="F17238" i="5"/>
  <c r="F17237" i="5"/>
  <c r="F17236" i="5"/>
  <c r="F17235" i="5"/>
  <c r="F17234" i="5"/>
  <c r="F17233" i="5"/>
  <c r="F17232" i="5"/>
  <c r="F17231" i="5"/>
  <c r="F17230" i="5"/>
  <c r="F17229" i="5"/>
  <c r="F17228" i="5"/>
  <c r="F17227" i="5"/>
  <c r="F17226" i="5"/>
  <c r="F17225" i="5"/>
  <c r="F17224" i="5"/>
  <c r="F17223" i="5"/>
  <c r="F17222" i="5"/>
  <c r="F17221" i="5"/>
  <c r="F17220" i="5"/>
  <c r="F17219" i="5"/>
  <c r="F17218" i="5"/>
  <c r="F17217" i="5"/>
  <c r="F17216" i="5"/>
  <c r="F17215" i="5"/>
  <c r="F17214" i="5"/>
  <c r="F17213" i="5"/>
  <c r="F17212" i="5"/>
  <c r="F17211" i="5"/>
  <c r="F17210" i="5"/>
  <c r="F17209" i="5"/>
  <c r="F17208" i="5"/>
  <c r="F17207" i="5"/>
  <c r="F17206" i="5"/>
  <c r="F17205" i="5"/>
  <c r="F17204" i="5"/>
  <c r="F17203" i="5"/>
  <c r="F17202" i="5"/>
  <c r="F17201" i="5"/>
  <c r="F17200" i="5"/>
  <c r="F17199" i="5"/>
  <c r="F17198" i="5"/>
  <c r="F17197" i="5"/>
  <c r="F17196" i="5"/>
  <c r="F17195" i="5"/>
  <c r="F17194" i="5"/>
  <c r="F17193" i="5"/>
  <c r="F17192" i="5"/>
  <c r="F17191" i="5"/>
  <c r="F17190" i="5"/>
  <c r="F17189" i="5"/>
  <c r="F17188" i="5"/>
  <c r="F17187" i="5"/>
  <c r="F17186" i="5"/>
  <c r="F17185" i="5"/>
  <c r="F17184" i="5"/>
  <c r="F17183" i="5"/>
  <c r="F17182" i="5"/>
  <c r="F17181" i="5"/>
  <c r="F17180" i="5"/>
  <c r="F17179" i="5"/>
  <c r="F17178" i="5"/>
  <c r="F17177" i="5"/>
  <c r="F17176" i="5"/>
  <c r="F17175" i="5"/>
  <c r="F17174" i="5"/>
  <c r="F17173" i="5"/>
  <c r="F17172" i="5"/>
  <c r="F17171" i="5"/>
  <c r="F17170" i="5"/>
  <c r="F17169" i="5"/>
  <c r="F17168" i="5"/>
  <c r="F17167" i="5"/>
  <c r="F17166" i="5"/>
  <c r="F17165" i="5"/>
  <c r="F17164" i="5"/>
  <c r="F17163" i="5"/>
  <c r="F17162" i="5"/>
  <c r="F17161" i="5"/>
  <c r="F17160" i="5"/>
  <c r="F17159" i="5"/>
  <c r="F17158" i="5"/>
  <c r="F17157" i="5"/>
  <c r="F17156" i="5"/>
  <c r="F17155" i="5"/>
  <c r="F17154" i="5"/>
  <c r="F17153" i="5"/>
  <c r="F17152" i="5"/>
  <c r="F17151" i="5"/>
  <c r="F17150" i="5"/>
  <c r="F17149" i="5"/>
  <c r="F17148" i="5"/>
  <c r="F17147" i="5"/>
  <c r="F17146" i="5"/>
  <c r="F17145" i="5"/>
  <c r="F17144" i="5"/>
  <c r="F17143" i="5"/>
  <c r="F17142" i="5"/>
  <c r="F17141" i="5"/>
  <c r="F17140" i="5"/>
  <c r="F17139" i="5"/>
  <c r="F17138" i="5"/>
  <c r="F17137" i="5"/>
  <c r="F17136" i="5"/>
  <c r="F17135" i="5"/>
  <c r="F17134" i="5"/>
  <c r="F17133" i="5"/>
  <c r="F17132" i="5"/>
  <c r="F17131" i="5"/>
  <c r="F17130" i="5"/>
  <c r="F17129" i="5"/>
  <c r="F17128" i="5"/>
  <c r="F17127" i="5"/>
  <c r="F17126" i="5"/>
  <c r="F17125" i="5"/>
  <c r="F17124" i="5"/>
  <c r="F17123" i="5"/>
  <c r="F17122" i="5"/>
  <c r="F17121" i="5"/>
  <c r="F17120" i="5"/>
  <c r="F17119" i="5"/>
  <c r="F17118" i="5"/>
  <c r="F17117" i="5"/>
  <c r="F17116" i="5"/>
  <c r="F17115" i="5"/>
  <c r="F17114" i="5"/>
  <c r="F17113" i="5"/>
  <c r="F17112" i="5"/>
  <c r="F17111" i="5"/>
  <c r="F17110" i="5"/>
  <c r="F17109" i="5"/>
  <c r="F17108" i="5"/>
  <c r="F17107" i="5"/>
  <c r="F17106" i="5"/>
  <c r="F17105" i="5"/>
  <c r="F17104" i="5"/>
  <c r="F17103" i="5"/>
  <c r="F17102" i="5"/>
  <c r="F17101" i="5"/>
  <c r="F17100" i="5"/>
  <c r="F17099" i="5"/>
  <c r="F17098" i="5"/>
  <c r="F17097" i="5"/>
  <c r="F17096" i="5"/>
  <c r="F17095" i="5"/>
  <c r="F17094" i="5"/>
  <c r="F17093" i="5"/>
  <c r="F17092" i="5"/>
  <c r="F17091" i="5"/>
  <c r="F17090" i="5"/>
  <c r="F17089" i="5"/>
  <c r="F17088" i="5"/>
  <c r="F17087" i="5"/>
  <c r="F17086" i="5"/>
  <c r="F17085" i="5"/>
  <c r="F17084" i="5"/>
  <c r="F17083" i="5"/>
  <c r="F17082" i="5"/>
  <c r="F17081" i="5"/>
  <c r="F17080" i="5"/>
  <c r="F17079" i="5"/>
  <c r="F17078" i="5"/>
  <c r="F17077" i="5"/>
  <c r="F17076" i="5"/>
  <c r="F17075" i="5"/>
  <c r="F17074" i="5"/>
  <c r="F17073" i="5"/>
  <c r="F17072" i="5"/>
  <c r="F17071" i="5"/>
  <c r="F17070" i="5"/>
  <c r="F17069" i="5"/>
  <c r="F17068" i="5"/>
  <c r="F17067" i="5"/>
  <c r="F17066" i="5"/>
  <c r="F17065" i="5"/>
  <c r="F17064" i="5"/>
  <c r="F17063" i="5"/>
  <c r="F17062" i="5"/>
  <c r="F17061" i="5"/>
  <c r="F17060" i="5"/>
  <c r="F17059" i="5"/>
  <c r="F17058" i="5"/>
  <c r="F17057" i="5"/>
  <c r="F17056" i="5"/>
  <c r="F17055" i="5"/>
  <c r="F17054" i="5"/>
  <c r="F17053" i="5"/>
  <c r="F17052" i="5"/>
  <c r="F17051" i="5"/>
  <c r="F17050" i="5"/>
  <c r="F17049" i="5"/>
  <c r="F17048" i="5"/>
  <c r="F17047" i="5"/>
  <c r="F17046" i="5"/>
  <c r="F17045" i="5"/>
  <c r="F17044" i="5"/>
  <c r="F17043" i="5"/>
  <c r="F17042" i="5"/>
  <c r="F17041" i="5"/>
  <c r="F17040" i="5"/>
  <c r="F17039" i="5"/>
  <c r="F17038" i="5"/>
  <c r="F17037" i="5"/>
  <c r="F17036" i="5"/>
  <c r="F17035" i="5"/>
  <c r="F17034" i="5"/>
  <c r="F17033" i="5"/>
  <c r="F17032" i="5"/>
  <c r="F17031" i="5"/>
  <c r="F17030" i="5"/>
  <c r="F17029" i="5"/>
  <c r="F17028" i="5"/>
  <c r="F17027" i="5"/>
  <c r="F17026" i="5"/>
  <c r="F17025" i="5"/>
  <c r="F17024" i="5"/>
  <c r="F17023" i="5"/>
  <c r="F17022" i="5"/>
  <c r="F17021" i="5"/>
  <c r="F17020" i="5"/>
  <c r="F17019" i="5"/>
  <c r="F17018" i="5"/>
  <c r="F17017" i="5"/>
  <c r="F17016" i="5"/>
  <c r="F17015" i="5"/>
  <c r="F17014" i="5"/>
  <c r="F17013" i="5"/>
  <c r="F17012" i="5"/>
  <c r="F17011" i="5"/>
  <c r="F17010" i="5"/>
  <c r="F17009" i="5"/>
  <c r="F17008" i="5"/>
  <c r="F17007" i="5"/>
  <c r="F17006" i="5"/>
  <c r="F17005" i="5"/>
  <c r="F17004" i="5"/>
  <c r="F17003" i="5"/>
  <c r="F17002" i="5"/>
  <c r="F17001" i="5"/>
  <c r="F17000" i="5"/>
  <c r="F16999" i="5"/>
  <c r="F16998" i="5"/>
  <c r="F16997" i="5"/>
  <c r="F16996" i="5"/>
  <c r="F16995" i="5"/>
  <c r="F16994" i="5"/>
  <c r="F16993" i="5"/>
  <c r="F16992" i="5"/>
  <c r="F16991" i="5"/>
  <c r="F16990" i="5"/>
  <c r="F16989" i="5"/>
  <c r="F16988" i="5"/>
  <c r="F16987" i="5"/>
  <c r="F16986" i="5"/>
  <c r="F16985" i="5"/>
  <c r="F16984" i="5"/>
  <c r="F16983" i="5"/>
  <c r="F16982" i="5"/>
  <c r="F16981" i="5"/>
  <c r="F16980" i="5"/>
  <c r="F16979" i="5"/>
  <c r="F16978" i="5"/>
  <c r="F16977" i="5"/>
  <c r="F16976" i="5"/>
  <c r="F16975" i="5"/>
  <c r="F16974" i="5"/>
  <c r="F16973" i="5"/>
  <c r="F16972" i="5"/>
  <c r="F16971" i="5"/>
  <c r="F16970" i="5"/>
  <c r="F16969" i="5"/>
  <c r="F16968" i="5"/>
  <c r="F16967" i="5"/>
  <c r="F16966" i="5"/>
  <c r="F16965" i="5"/>
  <c r="F16964" i="5"/>
  <c r="F16963" i="5"/>
  <c r="F16962" i="5"/>
  <c r="F16961" i="5"/>
  <c r="F16960" i="5"/>
  <c r="F16959" i="5"/>
  <c r="F16958" i="5"/>
  <c r="F16957" i="5"/>
  <c r="F16956" i="5"/>
  <c r="F16955" i="5"/>
  <c r="F16954" i="5"/>
  <c r="F16953" i="5"/>
  <c r="F16952" i="5"/>
  <c r="F16951" i="5"/>
  <c r="F16950" i="5"/>
  <c r="F16949" i="5"/>
  <c r="F16948" i="5"/>
  <c r="F16947" i="5"/>
  <c r="F16946" i="5"/>
  <c r="F16945" i="5"/>
  <c r="F16944" i="5"/>
  <c r="F16943" i="5"/>
  <c r="F16942" i="5"/>
  <c r="F16941" i="5"/>
  <c r="F16940" i="5"/>
  <c r="F16939" i="5"/>
  <c r="F16938" i="5"/>
  <c r="F16937" i="5"/>
  <c r="F16936" i="5"/>
  <c r="F16935" i="5"/>
  <c r="F16934" i="5"/>
  <c r="F16933" i="5"/>
  <c r="F16932" i="5"/>
  <c r="F16931" i="5"/>
  <c r="F16930" i="5"/>
  <c r="F16929" i="5"/>
  <c r="F16928" i="5"/>
  <c r="F16927" i="5"/>
  <c r="F16926" i="5"/>
  <c r="F16925" i="5"/>
  <c r="F16924" i="5"/>
  <c r="F16923" i="5"/>
  <c r="F16922" i="5"/>
  <c r="F16921" i="5"/>
  <c r="F16920" i="5"/>
  <c r="F16919" i="5"/>
  <c r="F16918" i="5"/>
  <c r="F16917" i="5"/>
  <c r="F16916" i="5"/>
  <c r="F16915" i="5"/>
  <c r="F16914" i="5"/>
  <c r="F16913" i="5"/>
  <c r="F16912" i="5"/>
  <c r="F16911" i="5"/>
  <c r="F16910" i="5"/>
  <c r="F16909" i="5"/>
  <c r="F16908" i="5"/>
  <c r="F16907" i="5"/>
  <c r="F16906" i="5"/>
  <c r="F16905" i="5"/>
  <c r="F16904" i="5"/>
  <c r="F16903" i="5"/>
  <c r="F16902" i="5"/>
  <c r="F16901" i="5"/>
  <c r="F16900" i="5"/>
  <c r="F16899" i="5"/>
  <c r="F16898" i="5"/>
  <c r="F16897" i="5"/>
  <c r="F16896" i="5"/>
  <c r="F16895" i="5"/>
  <c r="F16894" i="5"/>
  <c r="F16893" i="5"/>
  <c r="F16892" i="5"/>
  <c r="F16891" i="5"/>
  <c r="F16890" i="5"/>
  <c r="F16889" i="5"/>
  <c r="F16888" i="5"/>
  <c r="F16887" i="5"/>
  <c r="F16886" i="5"/>
  <c r="F16885" i="5"/>
  <c r="F16884" i="5"/>
  <c r="F16883" i="5"/>
  <c r="F16882" i="5"/>
  <c r="F16881" i="5"/>
  <c r="F16880" i="5"/>
  <c r="F16879" i="5"/>
  <c r="F16878" i="5"/>
  <c r="F16877" i="5"/>
  <c r="F16876" i="5"/>
  <c r="F16875" i="5"/>
  <c r="F16874" i="5"/>
  <c r="F16873" i="5"/>
  <c r="F16872" i="5"/>
  <c r="F16871" i="5"/>
  <c r="F16870" i="5"/>
  <c r="F16869" i="5"/>
  <c r="F16868" i="5"/>
  <c r="F16867" i="5"/>
  <c r="F16866" i="5"/>
  <c r="F16865" i="5"/>
  <c r="F16864" i="5"/>
  <c r="F16863" i="5"/>
  <c r="F16862" i="5"/>
  <c r="F16861" i="5"/>
  <c r="F16860" i="5"/>
  <c r="F16859" i="5"/>
  <c r="F16858" i="5"/>
  <c r="F16857" i="5"/>
  <c r="F16856" i="5"/>
  <c r="F16855" i="5"/>
  <c r="F16854" i="5"/>
  <c r="F16853" i="5"/>
  <c r="F16852" i="5"/>
  <c r="F16851" i="5"/>
  <c r="F16850" i="5"/>
  <c r="F16849" i="5"/>
  <c r="F16848" i="5"/>
  <c r="F16847" i="5"/>
  <c r="F16846" i="5"/>
  <c r="F16845" i="5"/>
  <c r="F16844" i="5"/>
  <c r="F16843" i="5"/>
  <c r="F16842" i="5"/>
  <c r="F16841" i="5"/>
  <c r="F16840" i="5"/>
  <c r="F16839" i="5"/>
  <c r="F16838" i="5"/>
  <c r="F16837" i="5"/>
  <c r="F16836" i="5"/>
  <c r="F16835" i="5"/>
  <c r="F16834" i="5"/>
  <c r="F16833" i="5"/>
  <c r="F16832" i="5"/>
  <c r="F16831" i="5"/>
  <c r="F16830" i="5"/>
  <c r="F16829" i="5"/>
  <c r="F16828" i="5"/>
  <c r="F16827" i="5"/>
  <c r="F16826" i="5"/>
  <c r="F16825" i="5"/>
  <c r="F16824" i="5"/>
  <c r="F16823" i="5"/>
  <c r="F16822" i="5"/>
  <c r="F16821" i="5"/>
  <c r="F16820" i="5"/>
  <c r="F16819" i="5"/>
  <c r="F16818" i="5"/>
  <c r="F16817" i="5"/>
  <c r="F16816" i="5"/>
  <c r="F16815" i="5"/>
  <c r="F16814" i="5"/>
  <c r="F16813" i="5"/>
  <c r="F16812" i="5"/>
  <c r="F16811" i="5"/>
  <c r="F16810" i="5"/>
  <c r="F16809" i="5"/>
  <c r="F16808" i="5"/>
  <c r="F16807" i="5"/>
  <c r="F16806" i="5"/>
  <c r="F16805" i="5"/>
  <c r="F16804" i="5"/>
  <c r="F16803" i="5"/>
  <c r="F16802" i="5"/>
  <c r="F16801" i="5"/>
  <c r="F16800" i="5"/>
  <c r="F16799" i="5"/>
  <c r="F16798" i="5"/>
  <c r="F16797" i="5"/>
  <c r="F16796" i="5"/>
  <c r="F16795" i="5"/>
  <c r="F16794" i="5"/>
  <c r="F16793" i="5"/>
  <c r="F16792" i="5"/>
  <c r="F16791" i="5"/>
  <c r="F16790" i="5"/>
  <c r="F16789" i="5"/>
  <c r="F16788" i="5"/>
  <c r="F16787" i="5"/>
  <c r="F16786" i="5"/>
  <c r="F16785" i="5"/>
  <c r="F16784" i="5"/>
  <c r="F16783" i="5"/>
  <c r="F16782" i="5"/>
  <c r="F16781" i="5"/>
  <c r="F16780" i="5"/>
  <c r="F16779" i="5"/>
  <c r="F16778" i="5"/>
  <c r="F16777" i="5"/>
  <c r="F16776" i="5"/>
  <c r="F16775" i="5"/>
  <c r="F16774" i="5"/>
  <c r="F16773" i="5"/>
  <c r="F16772" i="5"/>
  <c r="F16771" i="5"/>
  <c r="F16770" i="5"/>
  <c r="F16769" i="5"/>
  <c r="F16768" i="5"/>
  <c r="F16767" i="5"/>
  <c r="F16766" i="5"/>
  <c r="F16765" i="5"/>
  <c r="F16764" i="5"/>
  <c r="F16763" i="5"/>
  <c r="F16762" i="5"/>
  <c r="F16761" i="5"/>
  <c r="F16760" i="5"/>
  <c r="F16759" i="5"/>
  <c r="F16758" i="5"/>
  <c r="F16757" i="5"/>
  <c r="F16756" i="5"/>
  <c r="F16755" i="5"/>
  <c r="F16754" i="5"/>
  <c r="F16753" i="5"/>
  <c r="F16752" i="5"/>
  <c r="F16751" i="5"/>
  <c r="F16750" i="5"/>
  <c r="F16749" i="5"/>
  <c r="F16748" i="5"/>
  <c r="F16747" i="5"/>
  <c r="F16746" i="5"/>
  <c r="F16745" i="5"/>
  <c r="F16744" i="5"/>
  <c r="F16743" i="5"/>
  <c r="F16742" i="5"/>
  <c r="F16741" i="5"/>
  <c r="F16740" i="5"/>
  <c r="F16739" i="5"/>
  <c r="F16738" i="5"/>
  <c r="F16737" i="5"/>
  <c r="F16736" i="5"/>
  <c r="F16735" i="5"/>
  <c r="F16734" i="5"/>
  <c r="F16733" i="5"/>
  <c r="F16732" i="5"/>
  <c r="F16731" i="5"/>
  <c r="F16730" i="5"/>
  <c r="F16729" i="5"/>
  <c r="F16728" i="5"/>
  <c r="F16727" i="5"/>
  <c r="F16726" i="5"/>
  <c r="F16725" i="5"/>
  <c r="F16724" i="5"/>
  <c r="F16723" i="5"/>
  <c r="F16722" i="5"/>
  <c r="F16721" i="5"/>
  <c r="F16720" i="5"/>
  <c r="F16719" i="5"/>
  <c r="F16718" i="5"/>
  <c r="F16717" i="5"/>
  <c r="F16716" i="5"/>
  <c r="F16715" i="5"/>
  <c r="F16714" i="5"/>
  <c r="F16713" i="5"/>
  <c r="F16712" i="5"/>
  <c r="F16711" i="5"/>
  <c r="F16710" i="5"/>
  <c r="F16709" i="5"/>
  <c r="F16708" i="5"/>
  <c r="F16707" i="5"/>
  <c r="F16706" i="5"/>
  <c r="F16705" i="5"/>
  <c r="F16704" i="5"/>
  <c r="F16703" i="5"/>
  <c r="F16702" i="5"/>
  <c r="F16701" i="5"/>
  <c r="F16700" i="5"/>
  <c r="F16699" i="5"/>
  <c r="F16698" i="5"/>
  <c r="F16697" i="5"/>
  <c r="F16696" i="5"/>
  <c r="F16695" i="5"/>
  <c r="F16694" i="5"/>
  <c r="F16693" i="5"/>
  <c r="F16692" i="5"/>
  <c r="F16691" i="5"/>
  <c r="F16690" i="5"/>
  <c r="F16689" i="5"/>
  <c r="F16688" i="5"/>
  <c r="F16687" i="5"/>
  <c r="F16686" i="5"/>
  <c r="F16685" i="5"/>
  <c r="F16684" i="5"/>
  <c r="F16683" i="5"/>
  <c r="F16682" i="5"/>
  <c r="F16681" i="5"/>
  <c r="F16680" i="5"/>
  <c r="F16679" i="5"/>
  <c r="F16678" i="5"/>
  <c r="F16677" i="5"/>
  <c r="F16676" i="5"/>
  <c r="F16675" i="5"/>
  <c r="F16674" i="5"/>
  <c r="F16673" i="5"/>
  <c r="F16672" i="5"/>
  <c r="F16671" i="5"/>
  <c r="F16670" i="5"/>
  <c r="F16669" i="5"/>
  <c r="F16668" i="5"/>
  <c r="F16667" i="5"/>
  <c r="F16666" i="5"/>
  <c r="F16665" i="5"/>
  <c r="F16664" i="5"/>
  <c r="F16663" i="5"/>
  <c r="F16662" i="5"/>
  <c r="F16661" i="5"/>
  <c r="F16660" i="5"/>
  <c r="F16659" i="5"/>
  <c r="F16658" i="5"/>
  <c r="F16657" i="5"/>
  <c r="F16656" i="5"/>
  <c r="F16655" i="5"/>
  <c r="F16654" i="5"/>
  <c r="F16653" i="5"/>
  <c r="F16652" i="5"/>
  <c r="F16651" i="5"/>
  <c r="F16650" i="5"/>
  <c r="F16649" i="5"/>
  <c r="F16648" i="5"/>
  <c r="F16647" i="5"/>
  <c r="F16646" i="5"/>
  <c r="F16645" i="5"/>
  <c r="F16644" i="5"/>
  <c r="F16643" i="5"/>
  <c r="F16642" i="5"/>
  <c r="F16641" i="5"/>
  <c r="F16640" i="5"/>
  <c r="F16639" i="5"/>
  <c r="F16638" i="5"/>
  <c r="F16637" i="5"/>
  <c r="F16636" i="5"/>
  <c r="F16635" i="5"/>
  <c r="F16634" i="5"/>
  <c r="F16633" i="5"/>
  <c r="F16632" i="5"/>
  <c r="F16631" i="5"/>
  <c r="F16630" i="5"/>
  <c r="F16629" i="5"/>
  <c r="F16628" i="5"/>
  <c r="F16627" i="5"/>
  <c r="F16626" i="5"/>
  <c r="F16625" i="5"/>
  <c r="F16624" i="5"/>
  <c r="F16623" i="5"/>
  <c r="F16622" i="5"/>
  <c r="F16621" i="5"/>
  <c r="F16620" i="5"/>
  <c r="F16619" i="5"/>
  <c r="F16618" i="5"/>
  <c r="F16617" i="5"/>
  <c r="F16616" i="5"/>
  <c r="F16615" i="5"/>
  <c r="F16614" i="5"/>
  <c r="F16613" i="5"/>
  <c r="F16612" i="5"/>
  <c r="F16611" i="5"/>
  <c r="F16610" i="5"/>
  <c r="F16609" i="5"/>
  <c r="F16608" i="5"/>
  <c r="F16607" i="5"/>
  <c r="F16606" i="5"/>
  <c r="F16605" i="5"/>
  <c r="F16604" i="5"/>
  <c r="F16603" i="5"/>
  <c r="F16602" i="5"/>
  <c r="F16601" i="5"/>
  <c r="F16600" i="5"/>
  <c r="F16599" i="5"/>
  <c r="F16598" i="5"/>
  <c r="F16597" i="5"/>
  <c r="F16596" i="5"/>
  <c r="F16595" i="5"/>
  <c r="F16594" i="5"/>
  <c r="F16593" i="5"/>
  <c r="F16592" i="5"/>
  <c r="F16591" i="5"/>
  <c r="F16590" i="5"/>
  <c r="F16589" i="5"/>
  <c r="F16588" i="5"/>
  <c r="F16587" i="5"/>
  <c r="F16586" i="5"/>
  <c r="F16585" i="5"/>
  <c r="F16584" i="5"/>
  <c r="F16583" i="5"/>
  <c r="F16582" i="5"/>
  <c r="F16581" i="5"/>
  <c r="F16580" i="5"/>
  <c r="F16579" i="5"/>
  <c r="F16578" i="5"/>
  <c r="F16577" i="5"/>
  <c r="F16576" i="5"/>
  <c r="F16575" i="5"/>
  <c r="F16574" i="5"/>
  <c r="F16573" i="5"/>
  <c r="F16572" i="5"/>
  <c r="F16571" i="5"/>
  <c r="F16570" i="5"/>
  <c r="F16569" i="5"/>
  <c r="F16568" i="5"/>
  <c r="F16567" i="5"/>
  <c r="F16566" i="5"/>
  <c r="F16565" i="5"/>
  <c r="F16564" i="5"/>
  <c r="F16563" i="5"/>
  <c r="F16562" i="5"/>
  <c r="F16561" i="5"/>
  <c r="F16560" i="5"/>
  <c r="F16559" i="5"/>
  <c r="F16558" i="5"/>
  <c r="F16557" i="5"/>
  <c r="F16556" i="5"/>
  <c r="F16555" i="5"/>
  <c r="F16554" i="5"/>
  <c r="F16553" i="5"/>
  <c r="F16552" i="5"/>
  <c r="F16551" i="5"/>
  <c r="F16550" i="5"/>
  <c r="F16549" i="5"/>
  <c r="F16548" i="5"/>
  <c r="F16547" i="5"/>
  <c r="F16546" i="5"/>
  <c r="F16545" i="5"/>
  <c r="F16544" i="5"/>
  <c r="F16543" i="5"/>
  <c r="F16542" i="5"/>
  <c r="F16541" i="5"/>
  <c r="F16540" i="5"/>
  <c r="F16539" i="5"/>
  <c r="F16538" i="5"/>
  <c r="F16537" i="5"/>
  <c r="F16536" i="5"/>
  <c r="F16535" i="5"/>
  <c r="F16534" i="5"/>
  <c r="F16533" i="5"/>
  <c r="F16532" i="5"/>
  <c r="F16531" i="5"/>
  <c r="F16530" i="5"/>
  <c r="F16529" i="5"/>
  <c r="F16528" i="5"/>
  <c r="F16527" i="5"/>
  <c r="F16526" i="5"/>
  <c r="F16525" i="5"/>
  <c r="F16524" i="5"/>
  <c r="F16523" i="5"/>
  <c r="F16522" i="5"/>
  <c r="F16521" i="5"/>
  <c r="F16520" i="5"/>
  <c r="F16519" i="5"/>
  <c r="F16518" i="5"/>
  <c r="F16517" i="5"/>
  <c r="F16516" i="5"/>
  <c r="F16515" i="5"/>
  <c r="F16514" i="5"/>
  <c r="F16513" i="5"/>
  <c r="F16512" i="5"/>
  <c r="F16511" i="5"/>
  <c r="F16510" i="5"/>
  <c r="F16509" i="5"/>
  <c r="F16508" i="5"/>
  <c r="F16507" i="5"/>
  <c r="F16506" i="5"/>
  <c r="F16505" i="5"/>
  <c r="F16504" i="5"/>
  <c r="F16503" i="5"/>
  <c r="F16502" i="5"/>
  <c r="F16501" i="5"/>
  <c r="F16500" i="5"/>
  <c r="F16499" i="5"/>
  <c r="F16498" i="5"/>
  <c r="F16497" i="5"/>
  <c r="F16496" i="5"/>
  <c r="F16495" i="5"/>
  <c r="F16494" i="5"/>
  <c r="F16493" i="5"/>
  <c r="F16492" i="5"/>
  <c r="F16491" i="5"/>
  <c r="F16490" i="5"/>
  <c r="F16489" i="5"/>
  <c r="F16488" i="5"/>
  <c r="F16487" i="5"/>
  <c r="F16486" i="5"/>
  <c r="F16485" i="5"/>
  <c r="F16484" i="5"/>
  <c r="F16483" i="5"/>
  <c r="F16482" i="5"/>
  <c r="F16481" i="5"/>
  <c r="F16480" i="5"/>
  <c r="F16479" i="5"/>
  <c r="F16478" i="5"/>
  <c r="F16477" i="5"/>
  <c r="F16476" i="5"/>
  <c r="F16475" i="5"/>
  <c r="F16474" i="5"/>
  <c r="F16473" i="5"/>
  <c r="F16472" i="5"/>
  <c r="F16471" i="5"/>
  <c r="F16470" i="5"/>
  <c r="F16469" i="5"/>
  <c r="F16468" i="5"/>
  <c r="F16467" i="5"/>
  <c r="F16466" i="5"/>
  <c r="F16465" i="5"/>
  <c r="F16464" i="5"/>
  <c r="F16463" i="5"/>
  <c r="F16462" i="5"/>
  <c r="F16461" i="5"/>
  <c r="F16460" i="5"/>
  <c r="F16459" i="5"/>
  <c r="F16458" i="5"/>
  <c r="F16457" i="5"/>
  <c r="F16456" i="5"/>
  <c r="F16455" i="5"/>
  <c r="F16454" i="5"/>
  <c r="F16453" i="5"/>
  <c r="F16452" i="5"/>
  <c r="F16451" i="5"/>
  <c r="F16450" i="5"/>
  <c r="F16449" i="5"/>
  <c r="F16448" i="5"/>
  <c r="F16447" i="5"/>
  <c r="F16446" i="5"/>
  <c r="F16445" i="5"/>
  <c r="F16444" i="5"/>
  <c r="F16443" i="5"/>
  <c r="F16442" i="5"/>
  <c r="F16441" i="5"/>
  <c r="F16440" i="5"/>
  <c r="F16439" i="5"/>
  <c r="F16438" i="5"/>
  <c r="F16437" i="5"/>
  <c r="F16436" i="5"/>
  <c r="F16435" i="5"/>
  <c r="F16434" i="5"/>
  <c r="F16433" i="5"/>
  <c r="F16432" i="5"/>
  <c r="F16431" i="5"/>
  <c r="F16430" i="5"/>
  <c r="F16429" i="5"/>
  <c r="F16428" i="5"/>
  <c r="F16427" i="5"/>
  <c r="F16426" i="5"/>
  <c r="F16425" i="5"/>
  <c r="F16424" i="5"/>
  <c r="F16423" i="5"/>
  <c r="F16422" i="5"/>
  <c r="F16421" i="5"/>
  <c r="F16420" i="5"/>
  <c r="F16419" i="5"/>
  <c r="F16418" i="5"/>
  <c r="F16417" i="5"/>
  <c r="F16416" i="5"/>
  <c r="F16415" i="5"/>
  <c r="F16414" i="5"/>
  <c r="F16413" i="5"/>
  <c r="F16412" i="5"/>
  <c r="F16411" i="5"/>
  <c r="F16410" i="5"/>
  <c r="F16409" i="5"/>
  <c r="F16408" i="5"/>
  <c r="F16407" i="5"/>
  <c r="F16406" i="5"/>
  <c r="F16405" i="5"/>
  <c r="F16404" i="5"/>
  <c r="F16403" i="5"/>
  <c r="F16402" i="5"/>
  <c r="F16401" i="5"/>
  <c r="F16400" i="5"/>
  <c r="F16399" i="5"/>
  <c r="F16398" i="5"/>
  <c r="F16397" i="5"/>
  <c r="F16396" i="5"/>
  <c r="F16395" i="5"/>
  <c r="F16394" i="5"/>
  <c r="F16393" i="5"/>
  <c r="F16392" i="5"/>
  <c r="F16391" i="5"/>
  <c r="F16390" i="5"/>
  <c r="F16389" i="5"/>
  <c r="F16388" i="5"/>
  <c r="F16387" i="5"/>
  <c r="F16386" i="5"/>
  <c r="F16385" i="5"/>
  <c r="F16384" i="5"/>
  <c r="F16383" i="5"/>
  <c r="F16382" i="5"/>
  <c r="F16381" i="5"/>
  <c r="F16380" i="5"/>
  <c r="F16379" i="5"/>
  <c r="F16378" i="5"/>
  <c r="F16377" i="5"/>
  <c r="F16376" i="5"/>
  <c r="F16375" i="5"/>
  <c r="F16374" i="5"/>
  <c r="F16373" i="5"/>
  <c r="F16372" i="5"/>
  <c r="F16371" i="5"/>
  <c r="F16370" i="5"/>
  <c r="F16369" i="5"/>
  <c r="F16368" i="5"/>
  <c r="F16367" i="5"/>
  <c r="F16366" i="5"/>
  <c r="F16365" i="5"/>
  <c r="F16364" i="5"/>
  <c r="F16363" i="5"/>
  <c r="F16362" i="5"/>
  <c r="F16361" i="5"/>
  <c r="F16360" i="5"/>
  <c r="F16359" i="5"/>
  <c r="F16358" i="5"/>
  <c r="F16357" i="5"/>
  <c r="F16356" i="5"/>
  <c r="F16355" i="5"/>
  <c r="F16354" i="5"/>
  <c r="F16353" i="5"/>
  <c r="F16352" i="5"/>
  <c r="F16351" i="5"/>
  <c r="F16350" i="5"/>
  <c r="F16349" i="5"/>
  <c r="F16348" i="5"/>
  <c r="F16347" i="5"/>
  <c r="F16346" i="5"/>
  <c r="F16345" i="5"/>
  <c r="F16344" i="5"/>
  <c r="F16343" i="5"/>
  <c r="F16342" i="5"/>
  <c r="F16341" i="5"/>
  <c r="F16340" i="5"/>
  <c r="F16339" i="5"/>
  <c r="F16338" i="5"/>
  <c r="F16337" i="5"/>
  <c r="F16336" i="5"/>
  <c r="F16335" i="5"/>
  <c r="F16334" i="5"/>
  <c r="F16333" i="5"/>
  <c r="F16332" i="5"/>
  <c r="F16331" i="5"/>
  <c r="F16330" i="5"/>
  <c r="F16329" i="5"/>
  <c r="F16328" i="5"/>
  <c r="F16327" i="5"/>
  <c r="F16326" i="5"/>
  <c r="F16325" i="5"/>
  <c r="F16324" i="5"/>
  <c r="F16323" i="5"/>
  <c r="F16322" i="5"/>
  <c r="F16321" i="5"/>
  <c r="F16320" i="5"/>
  <c r="F16319" i="5"/>
  <c r="F16318" i="5"/>
  <c r="F16317" i="5"/>
  <c r="F16316" i="5"/>
  <c r="F16315" i="5"/>
  <c r="F16314" i="5"/>
  <c r="F16313" i="5"/>
  <c r="F16312" i="5"/>
  <c r="F16311" i="5"/>
  <c r="F16310" i="5"/>
  <c r="F16309" i="5"/>
  <c r="F16308" i="5"/>
  <c r="F16307" i="5"/>
  <c r="F16306" i="5"/>
  <c r="F16305" i="5"/>
  <c r="F16304" i="5"/>
  <c r="F16303" i="5"/>
  <c r="F16302" i="5"/>
  <c r="F16301" i="5"/>
  <c r="F16300" i="5"/>
  <c r="F16299" i="5"/>
  <c r="F16298" i="5"/>
  <c r="F16297" i="5"/>
  <c r="F16296" i="5"/>
  <c r="F16295" i="5"/>
  <c r="F16294" i="5"/>
  <c r="F16293" i="5"/>
  <c r="F16292" i="5"/>
  <c r="F16291" i="5"/>
  <c r="F16290" i="5"/>
  <c r="F16289" i="5"/>
  <c r="F16288" i="5"/>
  <c r="F16287" i="5"/>
  <c r="F16286" i="5"/>
  <c r="F16285" i="5"/>
  <c r="F16284" i="5"/>
  <c r="F16283" i="5"/>
  <c r="F16282" i="5"/>
  <c r="F16281" i="5"/>
  <c r="F16280" i="5"/>
  <c r="F16279" i="5"/>
  <c r="F16278" i="5"/>
  <c r="F16277" i="5"/>
  <c r="F16276" i="5"/>
  <c r="F16275" i="5"/>
  <c r="F16274" i="5"/>
  <c r="F16273" i="5"/>
  <c r="F16272" i="5"/>
  <c r="F16271" i="5"/>
  <c r="F16270" i="5"/>
  <c r="F16269" i="5"/>
  <c r="F16268" i="5"/>
  <c r="F16267" i="5"/>
  <c r="F16266" i="5"/>
  <c r="F16265" i="5"/>
  <c r="F16264" i="5"/>
  <c r="F16263" i="5"/>
  <c r="F16262" i="5"/>
  <c r="F16261" i="5"/>
  <c r="F16260" i="5"/>
  <c r="F16259" i="5"/>
  <c r="F16258" i="5"/>
  <c r="F16257" i="5"/>
  <c r="F16256" i="5"/>
  <c r="F16255" i="5"/>
  <c r="F16254" i="5"/>
  <c r="F16253" i="5"/>
  <c r="F16252" i="5"/>
  <c r="F16251" i="5"/>
  <c r="F16250" i="5"/>
  <c r="F16249" i="5"/>
  <c r="F16248" i="5"/>
  <c r="F16247" i="5"/>
  <c r="F16246" i="5"/>
  <c r="F16245" i="5"/>
  <c r="F16244" i="5"/>
  <c r="F16243" i="5"/>
  <c r="F16242" i="5"/>
  <c r="F16241" i="5"/>
  <c r="F16240" i="5"/>
  <c r="F16239" i="5"/>
  <c r="F16238" i="5"/>
  <c r="F16237" i="5"/>
  <c r="F16236" i="5"/>
  <c r="F16235" i="5"/>
  <c r="F16234" i="5"/>
  <c r="F16233" i="5"/>
  <c r="F16232" i="5"/>
  <c r="F16231" i="5"/>
  <c r="F16230" i="5"/>
  <c r="F16229" i="5"/>
  <c r="F16228" i="5"/>
  <c r="F16227" i="5"/>
  <c r="F16226" i="5"/>
  <c r="F16225" i="5"/>
  <c r="F16224" i="5"/>
  <c r="F16223" i="5"/>
  <c r="F16222" i="5"/>
  <c r="F16221" i="5"/>
  <c r="F16220" i="5"/>
  <c r="F16219" i="5"/>
  <c r="F16218" i="5"/>
  <c r="F16217" i="5"/>
  <c r="F16216" i="5"/>
  <c r="F16215" i="5"/>
  <c r="F16214" i="5"/>
  <c r="F16213" i="5"/>
  <c r="F16212" i="5"/>
  <c r="F16211" i="5"/>
  <c r="F16210" i="5"/>
  <c r="F16209" i="5"/>
  <c r="F16208" i="5"/>
  <c r="F16207" i="5"/>
  <c r="F16206" i="5"/>
  <c r="F16205" i="5"/>
  <c r="F16204" i="5"/>
  <c r="F16203" i="5"/>
  <c r="F16202" i="5"/>
  <c r="F16201" i="5"/>
  <c r="F16200" i="5"/>
  <c r="F16199" i="5"/>
  <c r="F16198" i="5"/>
  <c r="F16197" i="5"/>
  <c r="F16196" i="5"/>
  <c r="F16195" i="5"/>
  <c r="F16194" i="5"/>
  <c r="F16193" i="5"/>
  <c r="F16192" i="5"/>
  <c r="F16191" i="5"/>
  <c r="F16190" i="5"/>
  <c r="F16189" i="5"/>
  <c r="F16188" i="5"/>
  <c r="F16187" i="5"/>
  <c r="F16186" i="5"/>
  <c r="F16185" i="5"/>
  <c r="F16184" i="5"/>
  <c r="F16183" i="5"/>
  <c r="F16182" i="5"/>
  <c r="F16181" i="5"/>
  <c r="F16180" i="5"/>
  <c r="F16179" i="5"/>
  <c r="F16178" i="5"/>
  <c r="F16177" i="5"/>
  <c r="F16176" i="5"/>
  <c r="F16175" i="5"/>
  <c r="F16174" i="5"/>
  <c r="F16173" i="5"/>
  <c r="F16172" i="5"/>
  <c r="F16171" i="5"/>
  <c r="F16170" i="5"/>
  <c r="F16169" i="5"/>
  <c r="F16168" i="5"/>
  <c r="F16167" i="5"/>
  <c r="F16166" i="5"/>
  <c r="F16165" i="5"/>
  <c r="F16164" i="5"/>
  <c r="F16163" i="5"/>
  <c r="F16162" i="5"/>
  <c r="F16161" i="5"/>
  <c r="F16160" i="5"/>
  <c r="F16159" i="5"/>
  <c r="F16158" i="5"/>
  <c r="F16157" i="5"/>
  <c r="F16156" i="5"/>
  <c r="F16155" i="5"/>
  <c r="F16154" i="5"/>
  <c r="F16153" i="5"/>
  <c r="F16152" i="5"/>
  <c r="F16151" i="5"/>
  <c r="F16150" i="5"/>
  <c r="F16149" i="5"/>
  <c r="F16148" i="5"/>
  <c r="F16147" i="5"/>
  <c r="F16146" i="5"/>
  <c r="F16145" i="5"/>
  <c r="F16144" i="5"/>
  <c r="F16143" i="5"/>
  <c r="F16142" i="5"/>
  <c r="F16141" i="5"/>
  <c r="F16140" i="5"/>
  <c r="F16139" i="5"/>
  <c r="F16138" i="5"/>
  <c r="F16137" i="5"/>
  <c r="F16136" i="5"/>
  <c r="F16135" i="5"/>
  <c r="F16134" i="5"/>
  <c r="F16133" i="5"/>
  <c r="F16132" i="5"/>
  <c r="F16131" i="5"/>
  <c r="F16130" i="5"/>
  <c r="F16129" i="5"/>
  <c r="F16128" i="5"/>
  <c r="F16127" i="5"/>
  <c r="F16126" i="5"/>
  <c r="F16125" i="5"/>
  <c r="F16124" i="5"/>
  <c r="F16123" i="5"/>
  <c r="F16122" i="5"/>
  <c r="F16121" i="5"/>
  <c r="F16120" i="5"/>
  <c r="F16119" i="5"/>
  <c r="F16118" i="5"/>
  <c r="F16117" i="5"/>
  <c r="F16116" i="5"/>
  <c r="F16115" i="5"/>
  <c r="F16114" i="5"/>
  <c r="F16113" i="5"/>
  <c r="F16112" i="5"/>
  <c r="F16111" i="5"/>
  <c r="F16110" i="5"/>
  <c r="F16109" i="5"/>
  <c r="F16108" i="5"/>
  <c r="F16107" i="5"/>
  <c r="F16106" i="5"/>
  <c r="F16105" i="5"/>
  <c r="F16104" i="5"/>
  <c r="F16103" i="5"/>
  <c r="F16102" i="5"/>
  <c r="F16101" i="5"/>
  <c r="F16100" i="5"/>
  <c r="F16099" i="5"/>
  <c r="F16098" i="5"/>
  <c r="F16097" i="5"/>
  <c r="F16096" i="5"/>
  <c r="F16095" i="5"/>
  <c r="F16094" i="5"/>
  <c r="F16093" i="5"/>
  <c r="F16092" i="5"/>
  <c r="F16091" i="5"/>
  <c r="F16090" i="5"/>
  <c r="F16089" i="5"/>
  <c r="F16088" i="5"/>
  <c r="F16087" i="5"/>
  <c r="F16086" i="5"/>
  <c r="F16085" i="5"/>
  <c r="F16084" i="5"/>
  <c r="F16083" i="5"/>
  <c r="F16082" i="5"/>
  <c r="F16081" i="5"/>
  <c r="F16080" i="5"/>
  <c r="F16079" i="5"/>
  <c r="F16078" i="5"/>
  <c r="F16077" i="5"/>
  <c r="F16076" i="5"/>
  <c r="F16075" i="5"/>
  <c r="F16074" i="5"/>
  <c r="F16073" i="5"/>
  <c r="F16072" i="5"/>
  <c r="F16071" i="5"/>
  <c r="F16070" i="5"/>
  <c r="F16069" i="5"/>
  <c r="F16068" i="5"/>
  <c r="F16067" i="5"/>
  <c r="F16066" i="5"/>
  <c r="F16065" i="5"/>
  <c r="F16064" i="5"/>
  <c r="F16063" i="5"/>
  <c r="F16062" i="5"/>
  <c r="F16061" i="5"/>
  <c r="F16060" i="5"/>
  <c r="F16059" i="5"/>
  <c r="F16058" i="5"/>
  <c r="F16057" i="5"/>
  <c r="F16056" i="5"/>
  <c r="F16055" i="5"/>
  <c r="F16054" i="5"/>
  <c r="F16053" i="5"/>
  <c r="F16052" i="5"/>
  <c r="F16051" i="5"/>
  <c r="F16050" i="5"/>
  <c r="F16049" i="5"/>
  <c r="F16048" i="5"/>
  <c r="F16047" i="5"/>
  <c r="F16046" i="5"/>
  <c r="F16045" i="5"/>
  <c r="F16044" i="5"/>
  <c r="F16043" i="5"/>
  <c r="F16042" i="5"/>
  <c r="F16041" i="5"/>
  <c r="F16040" i="5"/>
  <c r="F16039" i="5"/>
  <c r="F16038" i="5"/>
  <c r="F16037" i="5"/>
  <c r="F16036" i="5"/>
  <c r="F16035" i="5"/>
  <c r="F16034" i="5"/>
  <c r="F16033" i="5"/>
  <c r="F16032" i="5"/>
  <c r="F16031" i="5"/>
  <c r="F16030" i="5"/>
  <c r="F16029" i="5"/>
  <c r="F16028" i="5"/>
  <c r="F16027" i="5"/>
  <c r="F16026" i="5"/>
  <c r="F16025" i="5"/>
  <c r="F16024" i="5"/>
  <c r="F16023" i="5"/>
  <c r="F16022" i="5"/>
  <c r="F16021" i="5"/>
  <c r="F16020" i="5"/>
  <c r="F16019" i="5"/>
  <c r="F16018" i="5"/>
  <c r="F16017" i="5"/>
  <c r="F16016" i="5"/>
  <c r="F16015" i="5"/>
  <c r="F16014" i="5"/>
  <c r="F16013" i="5"/>
  <c r="F16012" i="5"/>
  <c r="F16011" i="5"/>
  <c r="F16010" i="5"/>
  <c r="F16009" i="5"/>
  <c r="F16008" i="5"/>
  <c r="F16007" i="5"/>
  <c r="F16006" i="5"/>
  <c r="F16005" i="5"/>
  <c r="F16004" i="5"/>
  <c r="F16003" i="5"/>
  <c r="F16002" i="5"/>
  <c r="F16001" i="5"/>
  <c r="F16000" i="5"/>
  <c r="F15999" i="5"/>
  <c r="F15998" i="5"/>
  <c r="F15997" i="5"/>
  <c r="F15996" i="5"/>
  <c r="F15995" i="5"/>
  <c r="F15994" i="5"/>
  <c r="F15993" i="5"/>
  <c r="F15992" i="5"/>
  <c r="F15991" i="5"/>
  <c r="F15990" i="5"/>
  <c r="F15989" i="5"/>
  <c r="F15988" i="5"/>
  <c r="F15987" i="5"/>
  <c r="F15986" i="5"/>
  <c r="F15985" i="5"/>
  <c r="F15984" i="5"/>
  <c r="F15983" i="5"/>
  <c r="F15982" i="5"/>
  <c r="F15981" i="5"/>
  <c r="F15980" i="5"/>
  <c r="F15979" i="5"/>
  <c r="F15978" i="5"/>
  <c r="F15977" i="5"/>
  <c r="F15976" i="5"/>
  <c r="F15975" i="5"/>
  <c r="F15974" i="5"/>
  <c r="F15973" i="5"/>
  <c r="F15972" i="5"/>
  <c r="F15971" i="5"/>
  <c r="F15970" i="5"/>
  <c r="F15969" i="5"/>
  <c r="F15968" i="5"/>
  <c r="F15967" i="5"/>
  <c r="F15966" i="5"/>
  <c r="F15965" i="5"/>
  <c r="F15964" i="5"/>
  <c r="F15963" i="5"/>
  <c r="F15962" i="5"/>
  <c r="F15961" i="5"/>
  <c r="F15960" i="5"/>
  <c r="F15959" i="5"/>
  <c r="F15958" i="5"/>
  <c r="F15957" i="5"/>
  <c r="F15956" i="5"/>
  <c r="F15955" i="5"/>
  <c r="F15954" i="5"/>
  <c r="F15953" i="5"/>
  <c r="F15952" i="5"/>
  <c r="F15951" i="5"/>
  <c r="F15950" i="5"/>
  <c r="F15949" i="5"/>
  <c r="F15948" i="5"/>
  <c r="F15947" i="5"/>
  <c r="F15946" i="5"/>
  <c r="F15945" i="5"/>
  <c r="F15944" i="5"/>
  <c r="F15943" i="5"/>
  <c r="F15942" i="5"/>
  <c r="F15941" i="5"/>
  <c r="F15940" i="5"/>
  <c r="F15939" i="5"/>
  <c r="F15938" i="5"/>
  <c r="F15937" i="5"/>
  <c r="F15936" i="5"/>
  <c r="F15935" i="5"/>
  <c r="F15934" i="5"/>
  <c r="F15933" i="5"/>
  <c r="F15932" i="5"/>
  <c r="F15931" i="5"/>
  <c r="F15930" i="5"/>
  <c r="F15929" i="5"/>
  <c r="F15928" i="5"/>
  <c r="F15927" i="5"/>
  <c r="F15926" i="5"/>
  <c r="F15925" i="5"/>
  <c r="F15924" i="5"/>
  <c r="F15923" i="5"/>
  <c r="F15922" i="5"/>
  <c r="F15921" i="5"/>
  <c r="F15920" i="5"/>
  <c r="F15919" i="5"/>
  <c r="F15918" i="5"/>
  <c r="F15917" i="5"/>
  <c r="F15916" i="5"/>
  <c r="F15915" i="5"/>
  <c r="F15914" i="5"/>
  <c r="F15913" i="5"/>
  <c r="F15912" i="5"/>
  <c r="F15911" i="5"/>
  <c r="F15910" i="5"/>
  <c r="F15909" i="5"/>
  <c r="F15908" i="5"/>
  <c r="F15907" i="5"/>
  <c r="F15906" i="5"/>
  <c r="F15905" i="5"/>
  <c r="F15904" i="5"/>
  <c r="F15903" i="5"/>
  <c r="F15902" i="5"/>
  <c r="F15901" i="5"/>
  <c r="F15900" i="5"/>
  <c r="F15899" i="5"/>
  <c r="F15898" i="5"/>
  <c r="F15897" i="5"/>
  <c r="F15896" i="5"/>
  <c r="F15895" i="5"/>
  <c r="F15894" i="5"/>
  <c r="F15893" i="5"/>
  <c r="F15892" i="5"/>
  <c r="F15891" i="5"/>
  <c r="F15890" i="5"/>
  <c r="F15889" i="5"/>
  <c r="F15888" i="5"/>
  <c r="F15887" i="5"/>
  <c r="F15886" i="5"/>
  <c r="F15885" i="5"/>
  <c r="F15884" i="5"/>
  <c r="F15883" i="5"/>
  <c r="F15882" i="5"/>
  <c r="F15881" i="5"/>
  <c r="F15880" i="5"/>
  <c r="F15879" i="5"/>
  <c r="F15878" i="5"/>
  <c r="F15877" i="5"/>
  <c r="F15876" i="5"/>
  <c r="F15875" i="5"/>
  <c r="F15874" i="5"/>
  <c r="F15873" i="5"/>
  <c r="F15872" i="5"/>
  <c r="F15871" i="5"/>
  <c r="F15870" i="5"/>
  <c r="F15869" i="5"/>
  <c r="F15868" i="5"/>
  <c r="F15867" i="5"/>
  <c r="F15866" i="5"/>
  <c r="F15865" i="5"/>
  <c r="F15864" i="5"/>
  <c r="F15863" i="5"/>
  <c r="F15862" i="5"/>
  <c r="F15861" i="5"/>
  <c r="F15860" i="5"/>
  <c r="F15859" i="5"/>
  <c r="F15858" i="5"/>
  <c r="F15857" i="5"/>
  <c r="F15856" i="5"/>
  <c r="F15855" i="5"/>
  <c r="F15854" i="5"/>
  <c r="F15853" i="5"/>
  <c r="F15852" i="5"/>
  <c r="F15851" i="5"/>
  <c r="F15850" i="5"/>
  <c r="F15849" i="5"/>
  <c r="F15848" i="5"/>
  <c r="F15847" i="5"/>
  <c r="F15846" i="5"/>
  <c r="F15845" i="5"/>
  <c r="F15844" i="5"/>
  <c r="F15843" i="5"/>
  <c r="F15842" i="5"/>
  <c r="F15841" i="5"/>
  <c r="F15840" i="5"/>
  <c r="F15839" i="5"/>
  <c r="F15838" i="5"/>
  <c r="F15837" i="5"/>
  <c r="F15836" i="5"/>
  <c r="F15835" i="5"/>
  <c r="F15834" i="5"/>
  <c r="F15833" i="5"/>
  <c r="F15832" i="5"/>
  <c r="F15831" i="5"/>
  <c r="F15830" i="5"/>
  <c r="F15829" i="5"/>
  <c r="F15828" i="5"/>
  <c r="F15827" i="5"/>
  <c r="F15826" i="5"/>
  <c r="F15825" i="5"/>
  <c r="F15824" i="5"/>
  <c r="F15823" i="5"/>
  <c r="F15822" i="5"/>
  <c r="F15821" i="5"/>
  <c r="F15820" i="5"/>
  <c r="F15819" i="5"/>
  <c r="F15818" i="5"/>
  <c r="F15817" i="5"/>
  <c r="F15816" i="5"/>
  <c r="F15815" i="5"/>
  <c r="F15814" i="5"/>
  <c r="F15813" i="5"/>
  <c r="F15812" i="5"/>
  <c r="F15811" i="5"/>
  <c r="F15810" i="5"/>
  <c r="F15809" i="5"/>
  <c r="F15808" i="5"/>
  <c r="F15807" i="5"/>
  <c r="F15806" i="5"/>
  <c r="F15805" i="5"/>
  <c r="F15804" i="5"/>
  <c r="F15803" i="5"/>
  <c r="F15802" i="5"/>
  <c r="F15801" i="5"/>
  <c r="F15800" i="5"/>
  <c r="F15799" i="5"/>
  <c r="F15798" i="5"/>
  <c r="F15797" i="5"/>
  <c r="F15796" i="5"/>
  <c r="F15795" i="5"/>
  <c r="F15794" i="5"/>
  <c r="F15793" i="5"/>
  <c r="F15792" i="5"/>
  <c r="F15791" i="5"/>
  <c r="F15790" i="5"/>
  <c r="F15789" i="5"/>
  <c r="F15788" i="5"/>
  <c r="F15787" i="5"/>
  <c r="F15786" i="5"/>
  <c r="F15785" i="5"/>
  <c r="F15784" i="5"/>
  <c r="F15783" i="5"/>
  <c r="F15782" i="5"/>
  <c r="F15781" i="5"/>
  <c r="F15780" i="5"/>
  <c r="F15779" i="5"/>
  <c r="F15778" i="5"/>
  <c r="F15777" i="5"/>
  <c r="F15776" i="5"/>
  <c r="F15775" i="5"/>
  <c r="F15774" i="5"/>
  <c r="F15773" i="5"/>
  <c r="F15772" i="5"/>
  <c r="F15771" i="5"/>
  <c r="F15770" i="5"/>
  <c r="F15769" i="5"/>
  <c r="F15768" i="5"/>
  <c r="F15767" i="5"/>
  <c r="F15766" i="5"/>
  <c r="F15765" i="5"/>
  <c r="F15764" i="5"/>
  <c r="F15763" i="5"/>
  <c r="F15762" i="5"/>
  <c r="F15761" i="5"/>
  <c r="F15760" i="5"/>
  <c r="F15759" i="5"/>
  <c r="F15758" i="5"/>
  <c r="F15757" i="5"/>
  <c r="F15756" i="5"/>
  <c r="F15755" i="5"/>
  <c r="F15754" i="5"/>
  <c r="F15753" i="5"/>
  <c r="F15752" i="5"/>
  <c r="F15751" i="5"/>
  <c r="F15750" i="5"/>
  <c r="F15749" i="5"/>
  <c r="F15748" i="5"/>
  <c r="F15747" i="5"/>
  <c r="F15746" i="5"/>
  <c r="F15745" i="5"/>
  <c r="F15744" i="5"/>
  <c r="F15743" i="5"/>
  <c r="F15742" i="5"/>
  <c r="F15741" i="5"/>
  <c r="F15740" i="5"/>
  <c r="F15739" i="5"/>
  <c r="F15738" i="5"/>
  <c r="F15737" i="5"/>
  <c r="F15736" i="5"/>
  <c r="F15735" i="5"/>
  <c r="F15734" i="5"/>
  <c r="F15733" i="5"/>
  <c r="F15732" i="5"/>
  <c r="F15731" i="5"/>
  <c r="F15730" i="5"/>
  <c r="F15729" i="5"/>
  <c r="F15728" i="5"/>
  <c r="F15727" i="5"/>
  <c r="F15726" i="5"/>
  <c r="F15725" i="5"/>
  <c r="F15724" i="5"/>
  <c r="F15723" i="5"/>
  <c r="F15722" i="5"/>
  <c r="F15721" i="5"/>
  <c r="F15720" i="5"/>
  <c r="F15719" i="5"/>
  <c r="F15718" i="5"/>
  <c r="F15717" i="5"/>
  <c r="F15716" i="5"/>
  <c r="F15715" i="5"/>
  <c r="F15714" i="5"/>
  <c r="F15713" i="5"/>
  <c r="F15712" i="5"/>
  <c r="F15711" i="5"/>
  <c r="F15710" i="5"/>
  <c r="F15709" i="5"/>
  <c r="F15708" i="5"/>
  <c r="F15707" i="5"/>
  <c r="F15706" i="5"/>
  <c r="F15705" i="5"/>
  <c r="F15704" i="5"/>
  <c r="F15703" i="5"/>
  <c r="F15702" i="5"/>
  <c r="F15701" i="5"/>
  <c r="F15700" i="5"/>
  <c r="F15699" i="5"/>
  <c r="F15698" i="5"/>
  <c r="F15697" i="5"/>
  <c r="F15696" i="5"/>
  <c r="F15695" i="5"/>
  <c r="F15694" i="5"/>
  <c r="F15693" i="5"/>
  <c r="F15692" i="5"/>
  <c r="F15691" i="5"/>
  <c r="F15690" i="5"/>
  <c r="F15689" i="5"/>
  <c r="F15688" i="5"/>
  <c r="F15687" i="5"/>
  <c r="F15686" i="5"/>
  <c r="F15685" i="5"/>
  <c r="F15684" i="5"/>
  <c r="F15683" i="5"/>
  <c r="F15682" i="5"/>
  <c r="F15681" i="5"/>
  <c r="F15680" i="5"/>
  <c r="F15679" i="5"/>
  <c r="F15678" i="5"/>
  <c r="F15677" i="5"/>
  <c r="F15676" i="5"/>
  <c r="F15675" i="5"/>
  <c r="F15674" i="5"/>
  <c r="F15673" i="5"/>
  <c r="F15672" i="5"/>
  <c r="F15671" i="5"/>
  <c r="F15670" i="5"/>
  <c r="F15669" i="5"/>
  <c r="F15668" i="5"/>
  <c r="F15667" i="5"/>
  <c r="F15666" i="5"/>
  <c r="F15665" i="5"/>
  <c r="F15664" i="5"/>
  <c r="F15663" i="5"/>
  <c r="F15662" i="5"/>
  <c r="F15661" i="5"/>
  <c r="F15660" i="5"/>
  <c r="F15659" i="5"/>
  <c r="F15658" i="5"/>
  <c r="F15657" i="5"/>
  <c r="F15656" i="5"/>
  <c r="F15655" i="5"/>
  <c r="F15654" i="5"/>
  <c r="F15653" i="5"/>
  <c r="F15652" i="5"/>
  <c r="F15651" i="5"/>
  <c r="F15650" i="5"/>
  <c r="F15649" i="5"/>
  <c r="F15648" i="5"/>
  <c r="F15647" i="5"/>
  <c r="F15646" i="5"/>
  <c r="F15645" i="5"/>
  <c r="F15644" i="5"/>
  <c r="F15643" i="5"/>
  <c r="F15642" i="5"/>
  <c r="F15641" i="5"/>
  <c r="F15640" i="5"/>
  <c r="F15639" i="5"/>
  <c r="F15638" i="5"/>
  <c r="F15637" i="5"/>
  <c r="F15636" i="5"/>
  <c r="F15635" i="5"/>
  <c r="F15634" i="5"/>
  <c r="F15633" i="5"/>
  <c r="F15632" i="5"/>
  <c r="F15631" i="5"/>
  <c r="F15630" i="5"/>
  <c r="F15629" i="5"/>
  <c r="F15628" i="5"/>
  <c r="F15627" i="5"/>
  <c r="F15626" i="5"/>
  <c r="F15625" i="5"/>
  <c r="F15624" i="5"/>
  <c r="F15623" i="5"/>
  <c r="F15622" i="5"/>
  <c r="F15621" i="5"/>
  <c r="F15620" i="5"/>
  <c r="F15619" i="5"/>
  <c r="F15618" i="5"/>
  <c r="F15617" i="5"/>
  <c r="F15616" i="5"/>
  <c r="F15615" i="5"/>
  <c r="F15614" i="5"/>
  <c r="F15613" i="5"/>
  <c r="F15612" i="5"/>
  <c r="F15611" i="5"/>
  <c r="F15610" i="5"/>
  <c r="F15609" i="5"/>
  <c r="F15608" i="5"/>
  <c r="F15607" i="5"/>
  <c r="F15606" i="5"/>
  <c r="F15605" i="5"/>
  <c r="F15604" i="5"/>
  <c r="F15603" i="5"/>
  <c r="F15602" i="5"/>
  <c r="F15601" i="5"/>
  <c r="F15600" i="5"/>
  <c r="F15599" i="5"/>
  <c r="F15598" i="5"/>
  <c r="F15597" i="5"/>
  <c r="F15596" i="5"/>
  <c r="F15595" i="5"/>
  <c r="F15594" i="5"/>
  <c r="F15593" i="5"/>
  <c r="F15592" i="5"/>
  <c r="F15591" i="5"/>
  <c r="F15590" i="5"/>
  <c r="F15589" i="5"/>
  <c r="F15588" i="5"/>
  <c r="F15587" i="5"/>
  <c r="F15586" i="5"/>
  <c r="F15585" i="5"/>
  <c r="F15584" i="5"/>
  <c r="F15583" i="5"/>
  <c r="F15582" i="5"/>
  <c r="F15581" i="5"/>
  <c r="F15580" i="5"/>
  <c r="F15579" i="5"/>
  <c r="F15578" i="5"/>
  <c r="F15577" i="5"/>
  <c r="F15576" i="5"/>
  <c r="F15575" i="5"/>
  <c r="F15574" i="5"/>
  <c r="F15573" i="5"/>
  <c r="F15572" i="5"/>
  <c r="F15571" i="5"/>
  <c r="F15570" i="5"/>
  <c r="F15569" i="5"/>
  <c r="F15568" i="5"/>
  <c r="F15567" i="5"/>
  <c r="F15566" i="5"/>
  <c r="F15565" i="5"/>
  <c r="F15564" i="5"/>
  <c r="F15563" i="5"/>
  <c r="F15562" i="5"/>
  <c r="F15561" i="5"/>
  <c r="F15560" i="5"/>
  <c r="F15559" i="5"/>
  <c r="F15558" i="5"/>
  <c r="F15557" i="5"/>
  <c r="F15556" i="5"/>
  <c r="F15555" i="5"/>
  <c r="F15554" i="5"/>
  <c r="F15553" i="5"/>
  <c r="F15552" i="5"/>
  <c r="F15551" i="5"/>
  <c r="F15550" i="5"/>
  <c r="F15549" i="5"/>
  <c r="F15548" i="5"/>
  <c r="F15547" i="5"/>
  <c r="F15546" i="5"/>
  <c r="F15545" i="5"/>
  <c r="F15544" i="5"/>
  <c r="F15543" i="5"/>
  <c r="F15542" i="5"/>
  <c r="F15541" i="5"/>
  <c r="F15540" i="5"/>
  <c r="F15539" i="5"/>
  <c r="F15538" i="5"/>
  <c r="F15537" i="5"/>
  <c r="F15536" i="5"/>
  <c r="F15535" i="5"/>
  <c r="F15534" i="5"/>
  <c r="F15533" i="5"/>
  <c r="F15532" i="5"/>
  <c r="F15531" i="5"/>
  <c r="F15530" i="5"/>
  <c r="F15529" i="5"/>
  <c r="F15528" i="5"/>
  <c r="F15527" i="5"/>
  <c r="F15526" i="5"/>
  <c r="F15525" i="5"/>
  <c r="F15524" i="5"/>
  <c r="F15523" i="5"/>
  <c r="F15522" i="5"/>
  <c r="F15521" i="5"/>
  <c r="F15520" i="5"/>
  <c r="F15519" i="5"/>
  <c r="F15518" i="5"/>
  <c r="F15517" i="5"/>
  <c r="F15516" i="5"/>
  <c r="F15515" i="5"/>
  <c r="F15514" i="5"/>
  <c r="F15513" i="5"/>
  <c r="F15512" i="5"/>
  <c r="F15511" i="5"/>
  <c r="F15510" i="5"/>
  <c r="F15509" i="5"/>
  <c r="F15508" i="5"/>
  <c r="F15507" i="5"/>
  <c r="F15506" i="5"/>
  <c r="F15505" i="5"/>
  <c r="F15504" i="5"/>
  <c r="F15503" i="5"/>
  <c r="F15502" i="5"/>
  <c r="F15501" i="5"/>
  <c r="F15500" i="5"/>
  <c r="F15499" i="5"/>
  <c r="F15498" i="5"/>
  <c r="F15497" i="5"/>
  <c r="F15496" i="5"/>
  <c r="F15495" i="5"/>
  <c r="F15494" i="5"/>
  <c r="F15493" i="5"/>
  <c r="F15492" i="5"/>
  <c r="F15491" i="5"/>
  <c r="F15490" i="5"/>
  <c r="F15489" i="5"/>
  <c r="F15488" i="5"/>
  <c r="F15487" i="5"/>
  <c r="F15486" i="5"/>
  <c r="F15485" i="5"/>
  <c r="F15484" i="5"/>
  <c r="F15483" i="5"/>
  <c r="F15482" i="5"/>
  <c r="F15481" i="5"/>
  <c r="F15480" i="5"/>
  <c r="F15479" i="5"/>
  <c r="F15478" i="5"/>
  <c r="F15477" i="5"/>
  <c r="F15476" i="5"/>
  <c r="F15475" i="5"/>
  <c r="F15474" i="5"/>
  <c r="F15473" i="5"/>
  <c r="F15472" i="5"/>
  <c r="F15471" i="5"/>
  <c r="F15470" i="5"/>
  <c r="F15469" i="5"/>
  <c r="F15468" i="5"/>
  <c r="F15467" i="5"/>
  <c r="F15466" i="5"/>
  <c r="F15465" i="5"/>
  <c r="F15464" i="5"/>
  <c r="F15463" i="5"/>
  <c r="F15462" i="5"/>
  <c r="F15461" i="5"/>
  <c r="F15460" i="5"/>
  <c r="F15459" i="5"/>
  <c r="F15458" i="5"/>
  <c r="F15457" i="5"/>
  <c r="F15456" i="5"/>
  <c r="F15455" i="5"/>
  <c r="F15454" i="5"/>
  <c r="F15453" i="5"/>
  <c r="F15452" i="5"/>
  <c r="F15451" i="5"/>
  <c r="F15450" i="5"/>
  <c r="F15449" i="5"/>
  <c r="F15448" i="5"/>
  <c r="F15447" i="5"/>
  <c r="F15446" i="5"/>
  <c r="F15445" i="5"/>
  <c r="F15444" i="5"/>
  <c r="F15443" i="5"/>
  <c r="F15442" i="5"/>
  <c r="F15441" i="5"/>
  <c r="F15440" i="5"/>
  <c r="F15439" i="5"/>
  <c r="F15438" i="5"/>
  <c r="F15437" i="5"/>
  <c r="F15436" i="5"/>
  <c r="F15435" i="5"/>
  <c r="F15434" i="5"/>
  <c r="F15433" i="5"/>
  <c r="F15432" i="5"/>
  <c r="F15431" i="5"/>
  <c r="F15430" i="5"/>
  <c r="F15429" i="5"/>
  <c r="F15428" i="5"/>
  <c r="F15427" i="5"/>
  <c r="F15426" i="5"/>
  <c r="F15425" i="5"/>
  <c r="F15424" i="5"/>
  <c r="F15423" i="5"/>
  <c r="F15422" i="5"/>
  <c r="F15421" i="5"/>
  <c r="F15420" i="5"/>
  <c r="F15419" i="5"/>
  <c r="F15418" i="5"/>
  <c r="F15417" i="5"/>
  <c r="F15416" i="5"/>
  <c r="F15415" i="5"/>
  <c r="F15414" i="5"/>
  <c r="F15413" i="5"/>
  <c r="F15412" i="5"/>
  <c r="F15411" i="5"/>
  <c r="F15410" i="5"/>
  <c r="F15409" i="5"/>
  <c r="F15408" i="5"/>
  <c r="F15407" i="5"/>
  <c r="F15406" i="5"/>
  <c r="F15405" i="5"/>
  <c r="F15404" i="5"/>
  <c r="F15403" i="5"/>
  <c r="F15402" i="5"/>
  <c r="F15401" i="5"/>
  <c r="F15400" i="5"/>
  <c r="F15399" i="5"/>
  <c r="F15398" i="5"/>
  <c r="F15397" i="5"/>
  <c r="F15396" i="5"/>
  <c r="F15395" i="5"/>
  <c r="F15394" i="5"/>
  <c r="F15393" i="5"/>
  <c r="F15392" i="5"/>
  <c r="F15391" i="5"/>
  <c r="F15390" i="5"/>
  <c r="F15389" i="5"/>
  <c r="F15388" i="5"/>
  <c r="F15387" i="5"/>
  <c r="F15386" i="5"/>
  <c r="F15385" i="5"/>
  <c r="F15384" i="5"/>
  <c r="F15383" i="5"/>
  <c r="F15382" i="5"/>
  <c r="F15381" i="5"/>
  <c r="F15380" i="5"/>
  <c r="F15379" i="5"/>
  <c r="F15378" i="5"/>
  <c r="F15377" i="5"/>
  <c r="F15376" i="5"/>
  <c r="F15375" i="5"/>
  <c r="F15374" i="5"/>
  <c r="F15373" i="5"/>
  <c r="F15372" i="5"/>
  <c r="F15371" i="5"/>
  <c r="F15370" i="5"/>
  <c r="F15369" i="5"/>
  <c r="F15368" i="5"/>
  <c r="F15367" i="5"/>
  <c r="F15366" i="5"/>
  <c r="F15365" i="5"/>
  <c r="F15364" i="5"/>
  <c r="F15363" i="5"/>
  <c r="F15362" i="5"/>
  <c r="F15361" i="5"/>
  <c r="F15360" i="5"/>
  <c r="F15359" i="5"/>
  <c r="F15358" i="5"/>
  <c r="F15357" i="5"/>
  <c r="F15356" i="5"/>
  <c r="F15355" i="5"/>
  <c r="F15354" i="5"/>
  <c r="F15353" i="5"/>
  <c r="F15352" i="5"/>
  <c r="F15351" i="5"/>
  <c r="F15350" i="5"/>
  <c r="F15349" i="5"/>
  <c r="F15348" i="5"/>
  <c r="F15347" i="5"/>
  <c r="F15346" i="5"/>
  <c r="F15345" i="5"/>
  <c r="F15344" i="5"/>
  <c r="F15343" i="5"/>
  <c r="F15342" i="5"/>
  <c r="F15341" i="5"/>
  <c r="F15340" i="5"/>
  <c r="F15339" i="5"/>
  <c r="F15338" i="5"/>
  <c r="F15337" i="5"/>
  <c r="F15336" i="5"/>
  <c r="F15335" i="5"/>
  <c r="F15334" i="5"/>
  <c r="F15333" i="5"/>
  <c r="F15332" i="5"/>
  <c r="F15331" i="5"/>
  <c r="F15330" i="5"/>
  <c r="F15329" i="5"/>
  <c r="F15328" i="5"/>
  <c r="F15327" i="5"/>
  <c r="F15326" i="5"/>
  <c r="F15325" i="5"/>
  <c r="F15324" i="5"/>
  <c r="F15323" i="5"/>
  <c r="F15322" i="5"/>
  <c r="F15321" i="5"/>
  <c r="F15320" i="5"/>
  <c r="F15319" i="5"/>
  <c r="F15318" i="5"/>
  <c r="F15317" i="5"/>
  <c r="F15316" i="5"/>
  <c r="F15315" i="5"/>
  <c r="F15314" i="5"/>
  <c r="F15313" i="5"/>
  <c r="F15312" i="5"/>
  <c r="F15311" i="5"/>
  <c r="F15310" i="5"/>
  <c r="F15309" i="5"/>
  <c r="F15308" i="5"/>
  <c r="F15307" i="5"/>
  <c r="F15306" i="5"/>
  <c r="F15305" i="5"/>
  <c r="F15304" i="5"/>
  <c r="F15303" i="5"/>
  <c r="F15302" i="5"/>
  <c r="F15301" i="5"/>
  <c r="F15300" i="5"/>
  <c r="F15299" i="5"/>
  <c r="F15298" i="5"/>
  <c r="F15297" i="5"/>
  <c r="F15296" i="5"/>
  <c r="F15295" i="5"/>
  <c r="F15294" i="5"/>
  <c r="F15293" i="5"/>
  <c r="F15292" i="5"/>
  <c r="F15291" i="5"/>
  <c r="F15290" i="5"/>
  <c r="F15289" i="5"/>
  <c r="F15288" i="5"/>
  <c r="F15287" i="5"/>
  <c r="F15286" i="5"/>
  <c r="F15285" i="5"/>
  <c r="F15284" i="5"/>
  <c r="F15283" i="5"/>
  <c r="F15282" i="5"/>
  <c r="F15281" i="5"/>
  <c r="F15280" i="5"/>
  <c r="F15279" i="5"/>
  <c r="F15278" i="5"/>
  <c r="F15277" i="5"/>
  <c r="F15276" i="5"/>
  <c r="F15275" i="5"/>
  <c r="F15274" i="5"/>
  <c r="F15273" i="5"/>
  <c r="F15272" i="5"/>
  <c r="F15271" i="5"/>
  <c r="F15270" i="5"/>
  <c r="F15269" i="5"/>
  <c r="F15268" i="5"/>
  <c r="F15267" i="5"/>
  <c r="F15266" i="5"/>
  <c r="F15265" i="5"/>
  <c r="F15264" i="5"/>
  <c r="F15263" i="5"/>
  <c r="F15262" i="5"/>
  <c r="F15261" i="5"/>
  <c r="F15260" i="5"/>
  <c r="F15259" i="5"/>
  <c r="F15258" i="5"/>
  <c r="F15257" i="5"/>
  <c r="F15256" i="5"/>
  <c r="F15255" i="5"/>
  <c r="F15254" i="5"/>
  <c r="F15253" i="5"/>
  <c r="F15252" i="5"/>
  <c r="F15251" i="5"/>
  <c r="F15250" i="5"/>
  <c r="F15249" i="5"/>
  <c r="F15248" i="5"/>
  <c r="F15247" i="5"/>
  <c r="F15246" i="5"/>
  <c r="F15245" i="5"/>
  <c r="F15244" i="5"/>
  <c r="F15243" i="5"/>
  <c r="F15242" i="5"/>
  <c r="F15241" i="5"/>
  <c r="F15240" i="5"/>
  <c r="F15239" i="5"/>
  <c r="F15238" i="5"/>
  <c r="F15237" i="5"/>
  <c r="F15236" i="5"/>
  <c r="F15235" i="5"/>
  <c r="F15234" i="5"/>
  <c r="F15233" i="5"/>
  <c r="F15232" i="5"/>
  <c r="F15231" i="5"/>
  <c r="F15230" i="5"/>
  <c r="F15229" i="5"/>
  <c r="F15228" i="5"/>
  <c r="F15227" i="5"/>
  <c r="F15226" i="5"/>
  <c r="F15225" i="5"/>
  <c r="F15224" i="5"/>
  <c r="F15223" i="5"/>
  <c r="F15222" i="5"/>
  <c r="F15221" i="5"/>
  <c r="F15220" i="5"/>
  <c r="F15219" i="5"/>
  <c r="F15218" i="5"/>
  <c r="F15217" i="5"/>
  <c r="F15216" i="5"/>
  <c r="F15215" i="5"/>
  <c r="F15214" i="5"/>
  <c r="F15213" i="5"/>
  <c r="F15212" i="5"/>
  <c r="F15211" i="5"/>
  <c r="F15210" i="5"/>
  <c r="F15209" i="5"/>
  <c r="F15208" i="5"/>
  <c r="F15207" i="5"/>
  <c r="F15206" i="5"/>
  <c r="F15205" i="5"/>
  <c r="F15204" i="5"/>
  <c r="F15203" i="5"/>
  <c r="F15202" i="5"/>
  <c r="F15201" i="5"/>
  <c r="F15200" i="5"/>
  <c r="F15199" i="5"/>
  <c r="F15198" i="5"/>
  <c r="F15197" i="5"/>
  <c r="F15196" i="5"/>
  <c r="F15195" i="5"/>
  <c r="F15194" i="5"/>
  <c r="F15193" i="5"/>
  <c r="F15192" i="5"/>
  <c r="F15191" i="5"/>
  <c r="F15190" i="5"/>
  <c r="F15189" i="5"/>
  <c r="F15188" i="5"/>
  <c r="F15187" i="5"/>
  <c r="F15186" i="5"/>
  <c r="F15185" i="5"/>
  <c r="F15184" i="5"/>
  <c r="F15183" i="5"/>
  <c r="F15182" i="5"/>
  <c r="F15181" i="5"/>
  <c r="F15180" i="5"/>
  <c r="F15179" i="5"/>
  <c r="F15178" i="5"/>
  <c r="F15177" i="5"/>
  <c r="F15176" i="5"/>
  <c r="F15175" i="5"/>
  <c r="F15174" i="5"/>
  <c r="F15173" i="5"/>
  <c r="F15172" i="5"/>
  <c r="F15171" i="5"/>
  <c r="F15170" i="5"/>
  <c r="F15169" i="5"/>
  <c r="F15168" i="5"/>
  <c r="F15167" i="5"/>
  <c r="F15166" i="5"/>
  <c r="F15165" i="5"/>
  <c r="F15164" i="5"/>
  <c r="F15163" i="5"/>
  <c r="F15162" i="5"/>
  <c r="F15161" i="5"/>
  <c r="F15160" i="5"/>
  <c r="F15159" i="5"/>
  <c r="F15158" i="5"/>
  <c r="F15157" i="5"/>
  <c r="F15156" i="5"/>
  <c r="F15155" i="5"/>
  <c r="F15154" i="5"/>
  <c r="F15153" i="5"/>
  <c r="F15152" i="5"/>
  <c r="F15151" i="5"/>
  <c r="F15150" i="5"/>
  <c r="F15149" i="5"/>
  <c r="F15148" i="5"/>
  <c r="F15147" i="5"/>
  <c r="F15146" i="5"/>
  <c r="F15145" i="5"/>
  <c r="F15144" i="5"/>
  <c r="F15143" i="5"/>
  <c r="F15142" i="5"/>
  <c r="F15141" i="5"/>
  <c r="F15140" i="5"/>
  <c r="F15139" i="5"/>
  <c r="F15138" i="5"/>
  <c r="F15137" i="5"/>
  <c r="F15136" i="5"/>
  <c r="F15135" i="5"/>
  <c r="F15134" i="5"/>
  <c r="F15133" i="5"/>
  <c r="F15132" i="5"/>
  <c r="F15131" i="5"/>
  <c r="F15130" i="5"/>
  <c r="F15129" i="5"/>
  <c r="F15128" i="5"/>
  <c r="F15127" i="5"/>
  <c r="F15126" i="5"/>
  <c r="F15125" i="5"/>
  <c r="F15124" i="5"/>
  <c r="F15123" i="5"/>
  <c r="F15122" i="5"/>
  <c r="F15121" i="5"/>
  <c r="F15120" i="5"/>
  <c r="F15119" i="5"/>
  <c r="F15118" i="5"/>
  <c r="F15117" i="5"/>
  <c r="F15116" i="5"/>
  <c r="F15115" i="5"/>
  <c r="F15114" i="5"/>
  <c r="F15113" i="5"/>
  <c r="F15112" i="5"/>
  <c r="F15111" i="5"/>
  <c r="F15110" i="5"/>
  <c r="F15109" i="5"/>
  <c r="F15108" i="5"/>
  <c r="F15107" i="5"/>
  <c r="F15106" i="5"/>
  <c r="F15105" i="5"/>
  <c r="F15104" i="5"/>
  <c r="F15103" i="5"/>
  <c r="F15102" i="5"/>
  <c r="F15101" i="5"/>
  <c r="F15100" i="5"/>
  <c r="F15099" i="5"/>
  <c r="F15098" i="5"/>
  <c r="F15097" i="5"/>
  <c r="F15096" i="5"/>
  <c r="F15095" i="5"/>
  <c r="F15094" i="5"/>
  <c r="F15093" i="5"/>
  <c r="F15092" i="5"/>
  <c r="F15091" i="5"/>
  <c r="F15090" i="5"/>
  <c r="F15089" i="5"/>
  <c r="F15088" i="5"/>
  <c r="F15087" i="5"/>
  <c r="F15086" i="5"/>
  <c r="F15085" i="5"/>
  <c r="F15084" i="5"/>
  <c r="F15083" i="5"/>
  <c r="F15082" i="5"/>
  <c r="F15081" i="5"/>
  <c r="F15080" i="5"/>
  <c r="F15079" i="5"/>
  <c r="F15078" i="5"/>
  <c r="F15077" i="5"/>
  <c r="F15076" i="5"/>
  <c r="F15075" i="5"/>
  <c r="F15074" i="5"/>
  <c r="F15073" i="5"/>
  <c r="F15072" i="5"/>
  <c r="F15071" i="5"/>
  <c r="F15070" i="5"/>
  <c r="F15069" i="5"/>
  <c r="F15068" i="5"/>
  <c r="F15067" i="5"/>
  <c r="F15066" i="5"/>
  <c r="F15065" i="5"/>
  <c r="F15064" i="5"/>
  <c r="F15063" i="5"/>
  <c r="F15062" i="5"/>
  <c r="F15061" i="5"/>
  <c r="F15060" i="5"/>
  <c r="F15059" i="5"/>
  <c r="F15058" i="5"/>
  <c r="F15057" i="5"/>
  <c r="F15056" i="5"/>
  <c r="F15055" i="5"/>
  <c r="F15054" i="5"/>
  <c r="F15053" i="5"/>
  <c r="F15052" i="5"/>
  <c r="F15051" i="5"/>
  <c r="F15050" i="5"/>
  <c r="F15049" i="5"/>
  <c r="F15048" i="5"/>
  <c r="F15047" i="5"/>
  <c r="F15046" i="5"/>
  <c r="F15045" i="5"/>
  <c r="F15044" i="5"/>
  <c r="F15043" i="5"/>
  <c r="F15042" i="5"/>
  <c r="F15041" i="5"/>
  <c r="F15040" i="5"/>
  <c r="F15039" i="5"/>
  <c r="F15038" i="5"/>
  <c r="F15037" i="5"/>
  <c r="F15036" i="5"/>
  <c r="F15035" i="5"/>
  <c r="F15034" i="5"/>
  <c r="F15033" i="5"/>
  <c r="F15032" i="5"/>
  <c r="F15031" i="5"/>
  <c r="F15030" i="5"/>
  <c r="F15029" i="5"/>
  <c r="F15028" i="5"/>
  <c r="F15027" i="5"/>
  <c r="F15026" i="5"/>
  <c r="F15025" i="5"/>
  <c r="F15024" i="5"/>
  <c r="F15023" i="5"/>
  <c r="F15022" i="5"/>
  <c r="F15021" i="5"/>
  <c r="F15020" i="5"/>
  <c r="F15019" i="5"/>
  <c r="F15018" i="5"/>
  <c r="F15017" i="5"/>
  <c r="F15016" i="5"/>
  <c r="F15015" i="5"/>
  <c r="F15014" i="5"/>
  <c r="F15013" i="5"/>
  <c r="F15012" i="5"/>
  <c r="F15011" i="5"/>
  <c r="F15010" i="5"/>
  <c r="F15009" i="5"/>
  <c r="F15008" i="5"/>
  <c r="F15007" i="5"/>
  <c r="F15006" i="5"/>
  <c r="F15005" i="5"/>
  <c r="F15004" i="5"/>
  <c r="F15003" i="5"/>
  <c r="F15002" i="5"/>
  <c r="F15001" i="5"/>
  <c r="F15000" i="5"/>
  <c r="F14999" i="5"/>
  <c r="F14998" i="5"/>
  <c r="F14997" i="5"/>
  <c r="F14996" i="5"/>
  <c r="F14995" i="5"/>
  <c r="F14994" i="5"/>
  <c r="F14993" i="5"/>
  <c r="F14992" i="5"/>
  <c r="F14991" i="5"/>
  <c r="F14990" i="5"/>
  <c r="F14989" i="5"/>
  <c r="F14988" i="5"/>
  <c r="F14987" i="5"/>
  <c r="F14986" i="5"/>
  <c r="F14985" i="5"/>
  <c r="F14984" i="5"/>
  <c r="F14983" i="5"/>
  <c r="F14982" i="5"/>
  <c r="F14981" i="5"/>
  <c r="F14980" i="5"/>
  <c r="F14979" i="5"/>
  <c r="F14978" i="5"/>
  <c r="F14977" i="5"/>
  <c r="F14976" i="5"/>
  <c r="F14975" i="5"/>
  <c r="F14974" i="5"/>
  <c r="F14973" i="5"/>
  <c r="F14972" i="5"/>
  <c r="F14971" i="5"/>
  <c r="F14970" i="5"/>
  <c r="F14969" i="5"/>
  <c r="F14968" i="5"/>
  <c r="F14967" i="5"/>
  <c r="F14966" i="5"/>
  <c r="F14965" i="5"/>
  <c r="F14964" i="5"/>
  <c r="F14963" i="5"/>
  <c r="F14962" i="5"/>
  <c r="F14961" i="5"/>
  <c r="F14960" i="5"/>
  <c r="F14959" i="5"/>
  <c r="F14958" i="5"/>
  <c r="F14957" i="5"/>
  <c r="F14956" i="5"/>
  <c r="F14955" i="5"/>
  <c r="F14954" i="5"/>
  <c r="F14953" i="5"/>
  <c r="F14952" i="5"/>
  <c r="F14951" i="5"/>
  <c r="F14950" i="5"/>
  <c r="F14949" i="5"/>
  <c r="F14948" i="5"/>
  <c r="F14947" i="5"/>
  <c r="F14946" i="5"/>
  <c r="F14945" i="5"/>
  <c r="F14944" i="5"/>
  <c r="F14943" i="5"/>
  <c r="F14942" i="5"/>
  <c r="F14941" i="5"/>
  <c r="F14940" i="5"/>
  <c r="F14939" i="5"/>
  <c r="F14938" i="5"/>
  <c r="F14937" i="5"/>
  <c r="F14936" i="5"/>
  <c r="F14935" i="5"/>
  <c r="F14934" i="5"/>
  <c r="F14933" i="5"/>
  <c r="F14932" i="5"/>
  <c r="F14931" i="5"/>
  <c r="F14930" i="5"/>
  <c r="F14929" i="5"/>
  <c r="F14928" i="5"/>
  <c r="F14927" i="5"/>
  <c r="F14926" i="5"/>
  <c r="F14925" i="5"/>
  <c r="F14924" i="5"/>
  <c r="F14923" i="5"/>
  <c r="F14922" i="5"/>
  <c r="F14921" i="5"/>
  <c r="F14920" i="5"/>
  <c r="F14919" i="5"/>
  <c r="F14918" i="5"/>
  <c r="F14917" i="5"/>
  <c r="F14916" i="5"/>
  <c r="F14915" i="5"/>
  <c r="F14914" i="5"/>
  <c r="F14913" i="5"/>
  <c r="F14912" i="5"/>
  <c r="F14911" i="5"/>
  <c r="F14910" i="5"/>
  <c r="F14909" i="5"/>
  <c r="F14908" i="5"/>
  <c r="F14907" i="5"/>
  <c r="F14906" i="5"/>
  <c r="F14905" i="5"/>
  <c r="F14904" i="5"/>
  <c r="F14903" i="5"/>
  <c r="F14902" i="5"/>
  <c r="F14901" i="5"/>
  <c r="F14900" i="5"/>
  <c r="F14899" i="5"/>
  <c r="F14898" i="5"/>
  <c r="F14897" i="5"/>
  <c r="F14896" i="5"/>
  <c r="F14895" i="5"/>
  <c r="F14894" i="5"/>
  <c r="F14893" i="5"/>
  <c r="F14892" i="5"/>
  <c r="F14891" i="5"/>
  <c r="F14890" i="5"/>
  <c r="F14889" i="5"/>
  <c r="F14888" i="5"/>
  <c r="F14887" i="5"/>
  <c r="F14886" i="5"/>
  <c r="F14885" i="5"/>
  <c r="F14884" i="5"/>
  <c r="F14883" i="5"/>
  <c r="F14882" i="5"/>
  <c r="F14881" i="5"/>
  <c r="F14880" i="5"/>
  <c r="F14879" i="5"/>
  <c r="F14878" i="5"/>
  <c r="F14877" i="5"/>
  <c r="F14876" i="5"/>
  <c r="F14875" i="5"/>
  <c r="F14874" i="5"/>
  <c r="F14873" i="5"/>
  <c r="F14872" i="5"/>
  <c r="F14871" i="5"/>
  <c r="F14870" i="5"/>
  <c r="F14869" i="5"/>
  <c r="F14868" i="5"/>
  <c r="F14867" i="5"/>
  <c r="F14866" i="5"/>
  <c r="F14865" i="5"/>
  <c r="F14864" i="5"/>
  <c r="F14863" i="5"/>
  <c r="F14862" i="5"/>
  <c r="F14861" i="5"/>
  <c r="F14860" i="5"/>
  <c r="F14859" i="5"/>
  <c r="F14858" i="5"/>
  <c r="F14857" i="5"/>
  <c r="F14856" i="5"/>
  <c r="F14855" i="5"/>
  <c r="F14854" i="5"/>
  <c r="F14853" i="5"/>
  <c r="F14852" i="5"/>
  <c r="F14851" i="5"/>
  <c r="F14850" i="5"/>
  <c r="F14849" i="5"/>
  <c r="F14848" i="5"/>
  <c r="F14847" i="5"/>
  <c r="F14846" i="5"/>
  <c r="F14845" i="5"/>
  <c r="F14844" i="5"/>
  <c r="F14843" i="5"/>
  <c r="F14842" i="5"/>
  <c r="F14841" i="5"/>
  <c r="F14840" i="5"/>
  <c r="F14839" i="5"/>
  <c r="F14838" i="5"/>
  <c r="F14837" i="5"/>
  <c r="F14836" i="5"/>
  <c r="F14835" i="5"/>
  <c r="F14834" i="5"/>
  <c r="F14833" i="5"/>
  <c r="F14832" i="5"/>
  <c r="F14831" i="5"/>
  <c r="F14830" i="5"/>
  <c r="F14829" i="5"/>
  <c r="F14828" i="5"/>
  <c r="F14827" i="5"/>
  <c r="F14826" i="5"/>
  <c r="F14825" i="5"/>
  <c r="F14824" i="5"/>
  <c r="F14823" i="5"/>
  <c r="F14822" i="5"/>
  <c r="F14821" i="5"/>
  <c r="F14820" i="5"/>
  <c r="F14819" i="5"/>
  <c r="F14818" i="5"/>
  <c r="F14817" i="5"/>
  <c r="F14816" i="5"/>
  <c r="F14815" i="5"/>
  <c r="F14814" i="5"/>
  <c r="F14813" i="5"/>
  <c r="F14812" i="5"/>
  <c r="F14811" i="5"/>
  <c r="F14810" i="5"/>
  <c r="F14809" i="5"/>
  <c r="F14808" i="5"/>
  <c r="F14807" i="5"/>
  <c r="F14806" i="5"/>
  <c r="F14805" i="5"/>
  <c r="F14804" i="5"/>
  <c r="F14803" i="5"/>
  <c r="F14802" i="5"/>
  <c r="F14801" i="5"/>
  <c r="F14800" i="5"/>
  <c r="F14799" i="5"/>
  <c r="F14798" i="5"/>
  <c r="F14797" i="5"/>
  <c r="F14796" i="5"/>
  <c r="F14795" i="5"/>
  <c r="F14794" i="5"/>
  <c r="F14793" i="5"/>
  <c r="F14792" i="5"/>
  <c r="F14791" i="5"/>
  <c r="F14790" i="5"/>
  <c r="F14789" i="5"/>
  <c r="F14788" i="5"/>
  <c r="F14787" i="5"/>
  <c r="F14786" i="5"/>
  <c r="F14785" i="5"/>
  <c r="F14784" i="5"/>
  <c r="F14783" i="5"/>
  <c r="F14782" i="5"/>
  <c r="F14781" i="5"/>
  <c r="F14780" i="5"/>
  <c r="F14779" i="5"/>
  <c r="F14778" i="5"/>
  <c r="F14777" i="5"/>
  <c r="F14776" i="5"/>
  <c r="F14775" i="5"/>
  <c r="F14774" i="5"/>
  <c r="F14773" i="5"/>
  <c r="F14772" i="5"/>
  <c r="F14771" i="5"/>
  <c r="F14770" i="5"/>
  <c r="F14769" i="5"/>
  <c r="F14768" i="5"/>
  <c r="F14767" i="5"/>
  <c r="F14766" i="5"/>
  <c r="F14765" i="5"/>
  <c r="F14764" i="5"/>
  <c r="F14763" i="5"/>
  <c r="F14762" i="5"/>
  <c r="F14761" i="5"/>
  <c r="F14760" i="5"/>
  <c r="F14759" i="5"/>
  <c r="F14758" i="5"/>
  <c r="F14757" i="5"/>
  <c r="F14756" i="5"/>
  <c r="F14755" i="5"/>
  <c r="F14754" i="5"/>
  <c r="F14753" i="5"/>
  <c r="F14752" i="5"/>
  <c r="F14751" i="5"/>
  <c r="F14750" i="5"/>
  <c r="F14749" i="5"/>
  <c r="F14748" i="5"/>
  <c r="F14747" i="5"/>
  <c r="F14746" i="5"/>
  <c r="F14745" i="5"/>
  <c r="F14744" i="5"/>
  <c r="F14743" i="5"/>
  <c r="F14742" i="5"/>
  <c r="F14741" i="5"/>
  <c r="F14740" i="5"/>
  <c r="F14739" i="5"/>
  <c r="F14738" i="5"/>
  <c r="F14737" i="5"/>
  <c r="F14736" i="5"/>
  <c r="F14735" i="5"/>
  <c r="F14734" i="5"/>
  <c r="F14733" i="5"/>
  <c r="F14732" i="5"/>
  <c r="F14731" i="5"/>
  <c r="F14730" i="5"/>
  <c r="F14729" i="5"/>
  <c r="F14728" i="5"/>
  <c r="F14727" i="5"/>
  <c r="F14726" i="5"/>
  <c r="F14725" i="5"/>
  <c r="F14724" i="5"/>
  <c r="F14723" i="5"/>
  <c r="F14722" i="5"/>
  <c r="F14721" i="5"/>
  <c r="F14720" i="5"/>
  <c r="F14719" i="5"/>
  <c r="F14718" i="5"/>
  <c r="F14717" i="5"/>
  <c r="F14716" i="5"/>
  <c r="F14715" i="5"/>
  <c r="F14714" i="5"/>
  <c r="F14713" i="5"/>
  <c r="F14712" i="5"/>
  <c r="F14711" i="5"/>
  <c r="F14710" i="5"/>
  <c r="F14709" i="5"/>
  <c r="F14708" i="5"/>
  <c r="F14707" i="5"/>
  <c r="F14706" i="5"/>
  <c r="F14705" i="5"/>
  <c r="F14704" i="5"/>
  <c r="F14703" i="5"/>
  <c r="F14702" i="5"/>
  <c r="F14701" i="5"/>
  <c r="F14700" i="5"/>
  <c r="F14699" i="5"/>
  <c r="F14698" i="5"/>
  <c r="F14697" i="5"/>
  <c r="F14696" i="5"/>
  <c r="F14695" i="5"/>
  <c r="F14694" i="5"/>
  <c r="F14693" i="5"/>
  <c r="F14692" i="5"/>
  <c r="F14691" i="5"/>
  <c r="F14690" i="5"/>
  <c r="F14689" i="5"/>
  <c r="F14688" i="5"/>
  <c r="F14687" i="5"/>
  <c r="F14686" i="5"/>
  <c r="F14685" i="5"/>
  <c r="F14684" i="5"/>
  <c r="F14683" i="5"/>
  <c r="F14682" i="5"/>
  <c r="F14681" i="5"/>
  <c r="F14680" i="5"/>
  <c r="F14679" i="5"/>
  <c r="F14678" i="5"/>
  <c r="F14677" i="5"/>
  <c r="F14676" i="5"/>
  <c r="F14675" i="5"/>
  <c r="F14674" i="5"/>
  <c r="F14673" i="5"/>
  <c r="F14672" i="5"/>
  <c r="F14671" i="5"/>
  <c r="F14670" i="5"/>
  <c r="F14669" i="5"/>
  <c r="F14668" i="5"/>
  <c r="F14667" i="5"/>
  <c r="F14666" i="5"/>
  <c r="F14665" i="5"/>
  <c r="F14664" i="5"/>
  <c r="F14663" i="5"/>
  <c r="F14662" i="5"/>
  <c r="F14661" i="5"/>
  <c r="F14660" i="5"/>
  <c r="F14659" i="5"/>
  <c r="F14658" i="5"/>
  <c r="F14657" i="5"/>
  <c r="F14656" i="5"/>
  <c r="F14655" i="5"/>
  <c r="F14654" i="5"/>
  <c r="F14653" i="5"/>
  <c r="F14652" i="5"/>
  <c r="F14651" i="5"/>
  <c r="F14650" i="5"/>
  <c r="F14649" i="5"/>
  <c r="F14648" i="5"/>
  <c r="F14647" i="5"/>
  <c r="F14646" i="5"/>
  <c r="F14645" i="5"/>
  <c r="F14644" i="5"/>
  <c r="F14643" i="5"/>
  <c r="F14642" i="5"/>
  <c r="F14641" i="5"/>
  <c r="F14640" i="5"/>
  <c r="F14639" i="5"/>
  <c r="F14638" i="5"/>
  <c r="F14637" i="5"/>
  <c r="F14636" i="5"/>
  <c r="F14635" i="5"/>
  <c r="F14634" i="5"/>
  <c r="F14633" i="5"/>
  <c r="F14632" i="5"/>
  <c r="F14631" i="5"/>
  <c r="F14630" i="5"/>
  <c r="F14629" i="5"/>
  <c r="F14628" i="5"/>
  <c r="F14627" i="5"/>
  <c r="F14626" i="5"/>
  <c r="F14625" i="5"/>
  <c r="F14624" i="5"/>
  <c r="F14623" i="5"/>
  <c r="F14622" i="5"/>
  <c r="F14621" i="5"/>
  <c r="F14620" i="5"/>
  <c r="F14619" i="5"/>
  <c r="F14618" i="5"/>
  <c r="F14617" i="5"/>
  <c r="F14616" i="5"/>
  <c r="F14615" i="5"/>
  <c r="F14614" i="5"/>
  <c r="F14613" i="5"/>
  <c r="F14612" i="5"/>
  <c r="F14611" i="5"/>
  <c r="F14610" i="5"/>
  <c r="F14609" i="5"/>
  <c r="F14608" i="5"/>
  <c r="F14607" i="5"/>
  <c r="F14606" i="5"/>
  <c r="F14605" i="5"/>
  <c r="F14604" i="5"/>
  <c r="F14603" i="5"/>
  <c r="F14602" i="5"/>
  <c r="F14601" i="5"/>
  <c r="F14600" i="5"/>
  <c r="F14599" i="5"/>
  <c r="F14598" i="5"/>
  <c r="F14597" i="5"/>
  <c r="F14596" i="5"/>
  <c r="F14595" i="5"/>
  <c r="F14594" i="5"/>
  <c r="F14593" i="5"/>
  <c r="F14592" i="5"/>
  <c r="F14591" i="5"/>
  <c r="F14590" i="5"/>
  <c r="F14589" i="5"/>
  <c r="F14588" i="5"/>
  <c r="F14587" i="5"/>
  <c r="F14586" i="5"/>
  <c r="F14585" i="5"/>
  <c r="F14584" i="5"/>
  <c r="F14583" i="5"/>
  <c r="F14582" i="5"/>
  <c r="F14581" i="5"/>
  <c r="F14580" i="5"/>
  <c r="F14579" i="5"/>
  <c r="F14578" i="5"/>
  <c r="F14577" i="5"/>
  <c r="F14576" i="5"/>
  <c r="F14575" i="5"/>
  <c r="F14574" i="5"/>
  <c r="F14573" i="5"/>
  <c r="F14572" i="5"/>
  <c r="F14571" i="5"/>
  <c r="F14570" i="5"/>
  <c r="F14569" i="5"/>
  <c r="F14568" i="5"/>
  <c r="F14567" i="5"/>
  <c r="F14566" i="5"/>
  <c r="F14565" i="5"/>
  <c r="F14564" i="5"/>
  <c r="F14563" i="5"/>
  <c r="F14562" i="5"/>
  <c r="F14561" i="5"/>
  <c r="F14560" i="5"/>
  <c r="F14559" i="5"/>
  <c r="F14558" i="5"/>
  <c r="F14557" i="5"/>
  <c r="F14556" i="5"/>
  <c r="F14555" i="5"/>
  <c r="F14554" i="5"/>
  <c r="F14553" i="5"/>
  <c r="F14552" i="5"/>
  <c r="F14551" i="5"/>
  <c r="F14550" i="5"/>
  <c r="F14549" i="5"/>
  <c r="F14548" i="5"/>
  <c r="F14547" i="5"/>
  <c r="F14546" i="5"/>
  <c r="F14545" i="5"/>
  <c r="F14544" i="5"/>
  <c r="F14543" i="5"/>
  <c r="F14542" i="5"/>
  <c r="F14541" i="5"/>
  <c r="F14540" i="5"/>
  <c r="F14539" i="5"/>
  <c r="F14538" i="5"/>
  <c r="F14537" i="5"/>
  <c r="F14536" i="5"/>
  <c r="F14535" i="5"/>
  <c r="F14534" i="5"/>
  <c r="F14533" i="5"/>
  <c r="F14532" i="5"/>
  <c r="F14531" i="5"/>
  <c r="F14530" i="5"/>
  <c r="F14529" i="5"/>
  <c r="F14528" i="5"/>
  <c r="F14527" i="5"/>
  <c r="F14526" i="5"/>
  <c r="F14525" i="5"/>
  <c r="F14524" i="5"/>
  <c r="F14523" i="5"/>
  <c r="F14522" i="5"/>
  <c r="F14521" i="5"/>
  <c r="F14520" i="5"/>
  <c r="F14519" i="5"/>
  <c r="F14518" i="5"/>
  <c r="F14517" i="5"/>
  <c r="F14516" i="5"/>
  <c r="F14515" i="5"/>
  <c r="F14514" i="5"/>
  <c r="F14513" i="5"/>
  <c r="F14512" i="5"/>
  <c r="F14511" i="5"/>
  <c r="F14510" i="5"/>
  <c r="F14509" i="5"/>
  <c r="F14508" i="5"/>
  <c r="F14507" i="5"/>
  <c r="F14506" i="5"/>
  <c r="F14505" i="5"/>
  <c r="F14504" i="5"/>
  <c r="F14503" i="5"/>
  <c r="F14502" i="5"/>
  <c r="F14501" i="5"/>
  <c r="F14500" i="5"/>
  <c r="F14499" i="5"/>
  <c r="F14498" i="5"/>
  <c r="F14497" i="5"/>
  <c r="F14496" i="5"/>
  <c r="F14495" i="5"/>
  <c r="F14494" i="5"/>
  <c r="F14493" i="5"/>
  <c r="F14492" i="5"/>
  <c r="F14491" i="5"/>
  <c r="F14490" i="5"/>
  <c r="F14489" i="5"/>
  <c r="F14488" i="5"/>
  <c r="F14487" i="5"/>
  <c r="F14486" i="5"/>
  <c r="F14485" i="5"/>
  <c r="F14484" i="5"/>
  <c r="F14483" i="5"/>
  <c r="F14482" i="5"/>
  <c r="F14481" i="5"/>
  <c r="F14480" i="5"/>
  <c r="F14479" i="5"/>
  <c r="F14478" i="5"/>
  <c r="F14477" i="5"/>
  <c r="F14476" i="5"/>
  <c r="F14475" i="5"/>
  <c r="F14474" i="5"/>
  <c r="F14473" i="5"/>
  <c r="F14472" i="5"/>
  <c r="F14471" i="5"/>
  <c r="F14470" i="5"/>
  <c r="F14469" i="5"/>
  <c r="F14468" i="5"/>
  <c r="F14467" i="5"/>
  <c r="F14466" i="5"/>
  <c r="F14465" i="5"/>
  <c r="F14464" i="5"/>
  <c r="F14463" i="5"/>
  <c r="F14462" i="5"/>
  <c r="F14461" i="5"/>
  <c r="F14460" i="5"/>
  <c r="F14459" i="5"/>
  <c r="F14458" i="5"/>
  <c r="F14457" i="5"/>
  <c r="F14456" i="5"/>
  <c r="F14455" i="5"/>
  <c r="F14454" i="5"/>
  <c r="F14453" i="5"/>
  <c r="F14452" i="5"/>
  <c r="F14451" i="5"/>
  <c r="F14450" i="5"/>
  <c r="F14449" i="5"/>
  <c r="F14448" i="5"/>
  <c r="F14447" i="5"/>
  <c r="F14446" i="5"/>
  <c r="F14445" i="5"/>
  <c r="F14444" i="5"/>
  <c r="F14443" i="5"/>
  <c r="F14442" i="5"/>
  <c r="F14441" i="5"/>
  <c r="F14440" i="5"/>
  <c r="F14439" i="5"/>
  <c r="F14438" i="5"/>
  <c r="F14437" i="5"/>
  <c r="F14436" i="5"/>
  <c r="F14435" i="5"/>
  <c r="F14434" i="5"/>
  <c r="F14433" i="5"/>
  <c r="F14432" i="5"/>
  <c r="F14431" i="5"/>
  <c r="F14430" i="5"/>
  <c r="F14429" i="5"/>
  <c r="F14428" i="5"/>
  <c r="F14427" i="5"/>
  <c r="F14426" i="5"/>
  <c r="F14425" i="5"/>
  <c r="F14424" i="5"/>
  <c r="F14423" i="5"/>
  <c r="F14422" i="5"/>
  <c r="F14421" i="5"/>
  <c r="F14420" i="5"/>
  <c r="F14419" i="5"/>
  <c r="F14418" i="5"/>
  <c r="F14417" i="5"/>
  <c r="F14416" i="5"/>
  <c r="F14415" i="5"/>
  <c r="F14414" i="5"/>
  <c r="F14413" i="5"/>
  <c r="F14412" i="5"/>
  <c r="F14411" i="5"/>
  <c r="F14410" i="5"/>
  <c r="F14409" i="5"/>
  <c r="F14408" i="5"/>
  <c r="F14407" i="5"/>
  <c r="F14406" i="5"/>
  <c r="F14405" i="5"/>
  <c r="F14404" i="5"/>
  <c r="F14403" i="5"/>
  <c r="F14402" i="5"/>
  <c r="F14401" i="5"/>
  <c r="F14400" i="5"/>
  <c r="F14399" i="5"/>
  <c r="F14398" i="5"/>
  <c r="F14397" i="5"/>
  <c r="F14396" i="5"/>
  <c r="F14395" i="5"/>
  <c r="F14394" i="5"/>
  <c r="F14393" i="5"/>
  <c r="F14392" i="5"/>
  <c r="F14391" i="5"/>
  <c r="F14390" i="5"/>
  <c r="F14389" i="5"/>
  <c r="F14388" i="5"/>
  <c r="F14387" i="5"/>
  <c r="F14386" i="5"/>
  <c r="F14385" i="5"/>
  <c r="F14384" i="5"/>
  <c r="F14383" i="5"/>
  <c r="F14382" i="5"/>
  <c r="F14381" i="5"/>
  <c r="F14380" i="5"/>
  <c r="F14379" i="5"/>
  <c r="F14378" i="5"/>
  <c r="F14377" i="5"/>
  <c r="F14376" i="5"/>
  <c r="F14375" i="5"/>
  <c r="F14374" i="5"/>
  <c r="F14373" i="5"/>
  <c r="F14372" i="5"/>
  <c r="F14371" i="5"/>
  <c r="F14370" i="5"/>
  <c r="F14369" i="5"/>
  <c r="F14368" i="5"/>
  <c r="F14367" i="5"/>
  <c r="F14366" i="5"/>
  <c r="F14365" i="5"/>
  <c r="F14364" i="5"/>
  <c r="F14363" i="5"/>
  <c r="F14362" i="5"/>
  <c r="F14361" i="5"/>
  <c r="F14360" i="5"/>
  <c r="F14359" i="5"/>
  <c r="F14358" i="5"/>
  <c r="F14357" i="5"/>
  <c r="F14356" i="5"/>
  <c r="F14355" i="5"/>
  <c r="F14354" i="5"/>
  <c r="F14353" i="5"/>
  <c r="F14352" i="5"/>
  <c r="F14351" i="5"/>
  <c r="F14350" i="5"/>
  <c r="F14349" i="5"/>
  <c r="F14348" i="5"/>
  <c r="F14347" i="5"/>
  <c r="F14346" i="5"/>
  <c r="F14345" i="5"/>
  <c r="F14344" i="5"/>
  <c r="F14343" i="5"/>
  <c r="F14342" i="5"/>
  <c r="F14341" i="5"/>
  <c r="F14340" i="5"/>
  <c r="F14339" i="5"/>
  <c r="F14338" i="5"/>
  <c r="F14337" i="5"/>
  <c r="F14336" i="5"/>
  <c r="F14335" i="5"/>
  <c r="F14334" i="5"/>
  <c r="F14333" i="5"/>
  <c r="F14332" i="5"/>
  <c r="F14331" i="5"/>
  <c r="F14330" i="5"/>
  <c r="F14329" i="5"/>
  <c r="F14328" i="5"/>
  <c r="F14327" i="5"/>
  <c r="F14326" i="5"/>
  <c r="F14325" i="5"/>
  <c r="F14324" i="5"/>
  <c r="F14323" i="5"/>
  <c r="F14322" i="5"/>
  <c r="F14321" i="5"/>
  <c r="F14320" i="5"/>
  <c r="F14319" i="5"/>
  <c r="F14318" i="5"/>
  <c r="F14317" i="5"/>
  <c r="F14316" i="5"/>
  <c r="F14315" i="5"/>
  <c r="F14314" i="5"/>
  <c r="F14313" i="5"/>
  <c r="F14312" i="5"/>
  <c r="F14311" i="5"/>
  <c r="F14310" i="5"/>
  <c r="F14309" i="5"/>
  <c r="F14308" i="5"/>
  <c r="F14307" i="5"/>
  <c r="F14306" i="5"/>
  <c r="F14305" i="5"/>
  <c r="F14304" i="5"/>
  <c r="F14303" i="5"/>
  <c r="F14302" i="5"/>
  <c r="F14301" i="5"/>
  <c r="F14300" i="5"/>
  <c r="F14299" i="5"/>
  <c r="F14298" i="5"/>
  <c r="F14297" i="5"/>
  <c r="F14296" i="5"/>
  <c r="F14295" i="5"/>
  <c r="F14294" i="5"/>
  <c r="F14293" i="5"/>
  <c r="F14292" i="5"/>
  <c r="F14291" i="5"/>
  <c r="F14290" i="5"/>
  <c r="F14289" i="5"/>
  <c r="F14288" i="5"/>
  <c r="F14287" i="5"/>
  <c r="F14286" i="5"/>
  <c r="F14285" i="5"/>
  <c r="F14284" i="5"/>
  <c r="F14283" i="5"/>
  <c r="F14282" i="5"/>
  <c r="F14281" i="5"/>
  <c r="F14280" i="5"/>
  <c r="F14279" i="5"/>
  <c r="F14278" i="5"/>
  <c r="F14277" i="5"/>
  <c r="F14276" i="5"/>
  <c r="F14275" i="5"/>
  <c r="F14274" i="5"/>
  <c r="F14273" i="5"/>
  <c r="F14272" i="5"/>
  <c r="F14271" i="5"/>
  <c r="F14270" i="5"/>
  <c r="F14269" i="5"/>
  <c r="F14268" i="5"/>
  <c r="F14267" i="5"/>
  <c r="F14266" i="5"/>
  <c r="F14265" i="5"/>
  <c r="F14264" i="5"/>
  <c r="F14263" i="5"/>
  <c r="F14262" i="5"/>
  <c r="F14261" i="5"/>
  <c r="F14260" i="5"/>
  <c r="F14259" i="5"/>
  <c r="F14258" i="5"/>
  <c r="F14257" i="5"/>
  <c r="F14256" i="5"/>
  <c r="F14255" i="5"/>
  <c r="F14254" i="5"/>
  <c r="F14253" i="5"/>
  <c r="F14252" i="5"/>
  <c r="F14251" i="5"/>
  <c r="F14250" i="5"/>
  <c r="F14249" i="5"/>
  <c r="F14248" i="5"/>
  <c r="F14247" i="5"/>
  <c r="F14246" i="5"/>
  <c r="F14245" i="5"/>
  <c r="F14244" i="5"/>
  <c r="F14243" i="5"/>
  <c r="F14242" i="5"/>
  <c r="F14241" i="5"/>
  <c r="F14240" i="5"/>
  <c r="F14239" i="5"/>
  <c r="F14238" i="5"/>
  <c r="F14237" i="5"/>
  <c r="F14236" i="5"/>
  <c r="F14235" i="5"/>
  <c r="F14234" i="5"/>
  <c r="F14233" i="5"/>
  <c r="F14232" i="5"/>
  <c r="F14231" i="5"/>
  <c r="F14230" i="5"/>
  <c r="F14229" i="5"/>
  <c r="F14228" i="5"/>
  <c r="F14227" i="5"/>
  <c r="F14226" i="5"/>
  <c r="F14225" i="5"/>
  <c r="F14224" i="5"/>
  <c r="F14223" i="5"/>
  <c r="F14222" i="5"/>
  <c r="F14221" i="5"/>
  <c r="F14220" i="5"/>
  <c r="F14219" i="5"/>
  <c r="F14218" i="5"/>
  <c r="F14217" i="5"/>
  <c r="F14216" i="5"/>
  <c r="F14215" i="5"/>
  <c r="F14214" i="5"/>
  <c r="F14213" i="5"/>
  <c r="F14212" i="5"/>
  <c r="F14211" i="5"/>
  <c r="F14210" i="5"/>
  <c r="F14209" i="5"/>
  <c r="F14208" i="5"/>
  <c r="F14207" i="5"/>
  <c r="F14206" i="5"/>
  <c r="F14205" i="5"/>
  <c r="F14204" i="5"/>
  <c r="F14203" i="5"/>
  <c r="F14202" i="5"/>
  <c r="F14201" i="5"/>
  <c r="F14200" i="5"/>
  <c r="F14199" i="5"/>
  <c r="F14198" i="5"/>
  <c r="F14197" i="5"/>
  <c r="F14196" i="5"/>
  <c r="F14195" i="5"/>
  <c r="F14194" i="5"/>
  <c r="F14193" i="5"/>
  <c r="F14192" i="5"/>
  <c r="F14191" i="5"/>
  <c r="F14190" i="5"/>
  <c r="F14189" i="5"/>
  <c r="F14188" i="5"/>
  <c r="F14187" i="5"/>
  <c r="F14186" i="5"/>
  <c r="F14185" i="5"/>
  <c r="F14184" i="5"/>
  <c r="F14183" i="5"/>
  <c r="F14182" i="5"/>
  <c r="F14181" i="5"/>
  <c r="F14180" i="5"/>
  <c r="F14179" i="5"/>
  <c r="F14178" i="5"/>
  <c r="F14177" i="5"/>
  <c r="F14176" i="5"/>
  <c r="F14175" i="5"/>
  <c r="F14174" i="5"/>
  <c r="F14173" i="5"/>
  <c r="F14172" i="5"/>
  <c r="F14171" i="5"/>
  <c r="F14170" i="5"/>
  <c r="F14169" i="5"/>
  <c r="F14168" i="5"/>
  <c r="F14167" i="5"/>
  <c r="F14166" i="5"/>
  <c r="F14165" i="5"/>
  <c r="F14164" i="5"/>
  <c r="F14163" i="5"/>
  <c r="F14162" i="5"/>
  <c r="F14161" i="5"/>
  <c r="F14160" i="5"/>
  <c r="F14159" i="5"/>
  <c r="F14158" i="5"/>
  <c r="F14157" i="5"/>
  <c r="F14156" i="5"/>
  <c r="F14155" i="5"/>
  <c r="F14154" i="5"/>
  <c r="F14153" i="5"/>
  <c r="F14152" i="5"/>
  <c r="F14151" i="5"/>
  <c r="F14150" i="5"/>
  <c r="F14149" i="5"/>
  <c r="F14148" i="5"/>
  <c r="F14147" i="5"/>
  <c r="F14146" i="5"/>
  <c r="F14145" i="5"/>
  <c r="F14144" i="5"/>
  <c r="F14143" i="5"/>
  <c r="F14142" i="5"/>
  <c r="F14141" i="5"/>
  <c r="F14140" i="5"/>
  <c r="F14139" i="5"/>
  <c r="F14138" i="5"/>
  <c r="F14137" i="5"/>
  <c r="F14136" i="5"/>
  <c r="F14135" i="5"/>
  <c r="F14134" i="5"/>
  <c r="F14133" i="5"/>
  <c r="F14132" i="5"/>
  <c r="F14131" i="5"/>
  <c r="F14130" i="5"/>
  <c r="F14129" i="5"/>
  <c r="F14128" i="5"/>
  <c r="F14127" i="5"/>
  <c r="F14126" i="5"/>
  <c r="F14125" i="5"/>
  <c r="F14124" i="5"/>
  <c r="F14123" i="5"/>
  <c r="F14122" i="5"/>
  <c r="F14121" i="5"/>
  <c r="F14120" i="5"/>
  <c r="F14119" i="5"/>
  <c r="F14118" i="5"/>
  <c r="F14117" i="5"/>
  <c r="F14116" i="5"/>
  <c r="F14115" i="5"/>
  <c r="F14114" i="5"/>
  <c r="F14113" i="5"/>
  <c r="F14112" i="5"/>
  <c r="F14111" i="5"/>
  <c r="F14110" i="5"/>
  <c r="F14109" i="5"/>
  <c r="F14108" i="5"/>
  <c r="F14107" i="5"/>
  <c r="F14106" i="5"/>
  <c r="F14105" i="5"/>
  <c r="F14104" i="5"/>
  <c r="F14103" i="5"/>
  <c r="F14102" i="5"/>
  <c r="F14101" i="5"/>
  <c r="F14100" i="5"/>
  <c r="F14099" i="5"/>
  <c r="F14098" i="5"/>
  <c r="F14097" i="5"/>
  <c r="F14096" i="5"/>
  <c r="F14095" i="5"/>
  <c r="F14094" i="5"/>
  <c r="F14093" i="5"/>
  <c r="F14092" i="5"/>
  <c r="F14091" i="5"/>
  <c r="F14090" i="5"/>
  <c r="F14089" i="5"/>
  <c r="F14088" i="5"/>
  <c r="F14087" i="5"/>
  <c r="F14086" i="5"/>
  <c r="F14085" i="5"/>
  <c r="F14084" i="5"/>
  <c r="F14083" i="5"/>
  <c r="F14082" i="5"/>
  <c r="F14081" i="5"/>
  <c r="F14080" i="5"/>
  <c r="F14079" i="5"/>
  <c r="F14078" i="5"/>
  <c r="F14077" i="5"/>
  <c r="F14076" i="5"/>
  <c r="F14075" i="5"/>
  <c r="F14074" i="5"/>
  <c r="F14073" i="5"/>
  <c r="F14072" i="5"/>
  <c r="F14071" i="5"/>
  <c r="F14070" i="5"/>
  <c r="F14069" i="5"/>
  <c r="F14068" i="5"/>
  <c r="F14067" i="5"/>
  <c r="F14066" i="5"/>
  <c r="F14065" i="5"/>
  <c r="F14064" i="5"/>
  <c r="F14063" i="5"/>
  <c r="F14062" i="5"/>
  <c r="F14061" i="5"/>
  <c r="F14060" i="5"/>
  <c r="F14059" i="5"/>
  <c r="F14058" i="5"/>
  <c r="F14057" i="5"/>
  <c r="F14056" i="5"/>
  <c r="F14055" i="5"/>
  <c r="F14054" i="5"/>
  <c r="F14053" i="5"/>
  <c r="F14052" i="5"/>
  <c r="F14051" i="5"/>
  <c r="F14050" i="5"/>
  <c r="F14049" i="5"/>
  <c r="F14048" i="5"/>
  <c r="F14047" i="5"/>
  <c r="F14046" i="5"/>
  <c r="F14045" i="5"/>
  <c r="F14044" i="5"/>
  <c r="F14043" i="5"/>
  <c r="F14042" i="5"/>
  <c r="F14041" i="5"/>
  <c r="F14040" i="5"/>
  <c r="F14039" i="5"/>
  <c r="F14038" i="5"/>
  <c r="F14037" i="5"/>
  <c r="F14036" i="5"/>
  <c r="F14035" i="5"/>
  <c r="F14034" i="5"/>
  <c r="F14033" i="5"/>
  <c r="F14032" i="5"/>
  <c r="F14031" i="5"/>
  <c r="F14030" i="5"/>
  <c r="F14029" i="5"/>
  <c r="F14028" i="5"/>
  <c r="F14027" i="5"/>
  <c r="F14026" i="5"/>
  <c r="F14025" i="5"/>
  <c r="F14024" i="5"/>
  <c r="F14023" i="5"/>
  <c r="F14022" i="5"/>
  <c r="F14021" i="5"/>
  <c r="F14020" i="5"/>
  <c r="F14019" i="5"/>
  <c r="F14018" i="5"/>
  <c r="F14017" i="5"/>
  <c r="F14016" i="5"/>
  <c r="F14015" i="5"/>
  <c r="F14014" i="5"/>
  <c r="F14013" i="5"/>
  <c r="F14012" i="5"/>
  <c r="F14011" i="5"/>
  <c r="F14010" i="5"/>
  <c r="F14009" i="5"/>
  <c r="F14008" i="5"/>
  <c r="F14007" i="5"/>
  <c r="F14006" i="5"/>
  <c r="F14005" i="5"/>
  <c r="F14004" i="5"/>
  <c r="F14003" i="5"/>
  <c r="F14002" i="5"/>
  <c r="F14001" i="5"/>
  <c r="F14000" i="5"/>
  <c r="F13999" i="5"/>
  <c r="F13998" i="5"/>
  <c r="F13997" i="5"/>
  <c r="F13996" i="5"/>
  <c r="F13995" i="5"/>
  <c r="F13994" i="5"/>
  <c r="F13993" i="5"/>
  <c r="F13992" i="5"/>
  <c r="F13991" i="5"/>
  <c r="F13990" i="5"/>
  <c r="F13989" i="5"/>
  <c r="F13988" i="5"/>
  <c r="F13987" i="5"/>
  <c r="F13986" i="5"/>
  <c r="F13985" i="5"/>
  <c r="F13984" i="5"/>
  <c r="F13983" i="5"/>
  <c r="F13982" i="5"/>
  <c r="F13981" i="5"/>
  <c r="F13980" i="5"/>
  <c r="F13979" i="5"/>
  <c r="F13978" i="5"/>
  <c r="F13977" i="5"/>
  <c r="F13976" i="5"/>
  <c r="F13975" i="5"/>
  <c r="F13974" i="5"/>
  <c r="F13973" i="5"/>
  <c r="F13972" i="5"/>
  <c r="F13971" i="5"/>
  <c r="F13970" i="5"/>
  <c r="F13969" i="5"/>
  <c r="F13968" i="5"/>
  <c r="F13967" i="5"/>
  <c r="F13966" i="5"/>
  <c r="F13965" i="5"/>
  <c r="F13964" i="5"/>
  <c r="F13963" i="5"/>
  <c r="F13962" i="5"/>
  <c r="F13961" i="5"/>
  <c r="F13960" i="5"/>
  <c r="F13959" i="5"/>
  <c r="F13958" i="5"/>
  <c r="F13957" i="5"/>
  <c r="F13956" i="5"/>
  <c r="F13955" i="5"/>
  <c r="F13954" i="5"/>
  <c r="F13953" i="5"/>
  <c r="F13952" i="5"/>
  <c r="F13951" i="5"/>
  <c r="F13950" i="5"/>
  <c r="F13949" i="5"/>
  <c r="F13948" i="5"/>
  <c r="F13947" i="5"/>
  <c r="F13946" i="5"/>
  <c r="F13945" i="5"/>
  <c r="F13944" i="5"/>
  <c r="F13943" i="5"/>
  <c r="F13942" i="5"/>
  <c r="F13941" i="5"/>
  <c r="F13940" i="5"/>
  <c r="F13939" i="5"/>
  <c r="F13938" i="5"/>
  <c r="F13937" i="5"/>
  <c r="F13936" i="5"/>
  <c r="F13935" i="5"/>
  <c r="F13934" i="5"/>
  <c r="F13933" i="5"/>
  <c r="F13932" i="5"/>
  <c r="F13931" i="5"/>
  <c r="F13930" i="5"/>
  <c r="F13929" i="5"/>
  <c r="F13928" i="5"/>
  <c r="F13927" i="5"/>
  <c r="F13926" i="5"/>
  <c r="F13925" i="5"/>
  <c r="F13924" i="5"/>
  <c r="F13923" i="5"/>
  <c r="F13922" i="5"/>
  <c r="F13921" i="5"/>
  <c r="F13920" i="5"/>
  <c r="F13919" i="5"/>
  <c r="F13918" i="5"/>
  <c r="F13917" i="5"/>
  <c r="F13916" i="5"/>
  <c r="F13915" i="5"/>
  <c r="F13914" i="5"/>
  <c r="F13913" i="5"/>
  <c r="F13912" i="5"/>
  <c r="F13911" i="5"/>
  <c r="F13910" i="5"/>
  <c r="F13909" i="5"/>
  <c r="F13908" i="5"/>
  <c r="F13907" i="5"/>
  <c r="F13906" i="5"/>
  <c r="F13905" i="5"/>
  <c r="F13904" i="5"/>
  <c r="F13903" i="5"/>
  <c r="F13902" i="5"/>
  <c r="F13901" i="5"/>
  <c r="F13900" i="5"/>
  <c r="F13899" i="5"/>
  <c r="F13898" i="5"/>
  <c r="F13897" i="5"/>
  <c r="F13896" i="5"/>
  <c r="F13895" i="5"/>
  <c r="F13894" i="5"/>
  <c r="F13893" i="5"/>
  <c r="F13892" i="5"/>
  <c r="F13891" i="5"/>
  <c r="F13890" i="5"/>
  <c r="F13889" i="5"/>
  <c r="F13888" i="5"/>
  <c r="F13887" i="5"/>
  <c r="F13886" i="5"/>
  <c r="F13885" i="5"/>
  <c r="F13884" i="5"/>
  <c r="F13883" i="5"/>
  <c r="F13882" i="5"/>
  <c r="F13881" i="5"/>
  <c r="F13880" i="5"/>
  <c r="F13879" i="5"/>
  <c r="F13878" i="5"/>
  <c r="F13877" i="5"/>
  <c r="F13876" i="5"/>
  <c r="F13875" i="5"/>
  <c r="F13874" i="5"/>
  <c r="F13873" i="5"/>
  <c r="F13872" i="5"/>
  <c r="F13871" i="5"/>
  <c r="F13870" i="5"/>
  <c r="F13869" i="5"/>
  <c r="F13868" i="5"/>
  <c r="F13867" i="5"/>
  <c r="F13866" i="5"/>
  <c r="F13865" i="5"/>
  <c r="F13864" i="5"/>
  <c r="F13863" i="5"/>
  <c r="F13862" i="5"/>
  <c r="F13861" i="5"/>
  <c r="F13860" i="5"/>
  <c r="F13859" i="5"/>
  <c r="F13858" i="5"/>
  <c r="F13857" i="5"/>
  <c r="F13856" i="5"/>
  <c r="F13855" i="5"/>
  <c r="F13854" i="5"/>
  <c r="F13853" i="5"/>
  <c r="F13852" i="5"/>
  <c r="F13851" i="5"/>
  <c r="F13850" i="5"/>
  <c r="F13849" i="5"/>
  <c r="F13848" i="5"/>
  <c r="F13847" i="5"/>
  <c r="F13846" i="5"/>
  <c r="F13845" i="5"/>
  <c r="F13844" i="5"/>
  <c r="F13843" i="5"/>
  <c r="F13842" i="5"/>
  <c r="F13841" i="5"/>
  <c r="F13840" i="5"/>
  <c r="F13839" i="5"/>
  <c r="F13838" i="5"/>
  <c r="F13837" i="5"/>
  <c r="F13836" i="5"/>
  <c r="F13835" i="5"/>
  <c r="F13834" i="5"/>
  <c r="F13833" i="5"/>
  <c r="F13832" i="5"/>
  <c r="F13831" i="5"/>
  <c r="F13830" i="5"/>
  <c r="F13829" i="5"/>
  <c r="F13828" i="5"/>
  <c r="F13827" i="5"/>
  <c r="F13826" i="5"/>
  <c r="F13825" i="5"/>
  <c r="F13824" i="5"/>
  <c r="F13823" i="5"/>
  <c r="F13822" i="5"/>
  <c r="F13821" i="5"/>
  <c r="F13820" i="5"/>
  <c r="F13819" i="5"/>
  <c r="F13818" i="5"/>
  <c r="F13817" i="5"/>
  <c r="F13816" i="5"/>
  <c r="F13815" i="5"/>
  <c r="F13814" i="5"/>
  <c r="F13813" i="5"/>
  <c r="F13812" i="5"/>
  <c r="F13811" i="5"/>
  <c r="F13810" i="5"/>
  <c r="F13809" i="5"/>
  <c r="F13808" i="5"/>
  <c r="F13807" i="5"/>
  <c r="F13806" i="5"/>
  <c r="F13805" i="5"/>
  <c r="F13804" i="5"/>
  <c r="F13803" i="5"/>
  <c r="F13802" i="5"/>
  <c r="F13801" i="5"/>
  <c r="F13800" i="5"/>
  <c r="F13799" i="5"/>
  <c r="F13798" i="5"/>
  <c r="F13797" i="5"/>
  <c r="F13796" i="5"/>
  <c r="F13795" i="5"/>
  <c r="F13794" i="5"/>
  <c r="F13793" i="5"/>
  <c r="F13792" i="5"/>
  <c r="F13791" i="5"/>
  <c r="F13790" i="5"/>
  <c r="F13789" i="5"/>
  <c r="F13788" i="5"/>
  <c r="F13787" i="5"/>
  <c r="F13786" i="5"/>
  <c r="F13785" i="5"/>
  <c r="F13784" i="5"/>
  <c r="F13783" i="5"/>
  <c r="F13782" i="5"/>
  <c r="F13781" i="5"/>
  <c r="F13780" i="5"/>
  <c r="F13779" i="5"/>
  <c r="F13778" i="5"/>
  <c r="F13777" i="5"/>
  <c r="F13776" i="5"/>
  <c r="F13775" i="5"/>
  <c r="F13774" i="5"/>
  <c r="F13773" i="5"/>
  <c r="F13772" i="5"/>
  <c r="F13771" i="5"/>
  <c r="F13770" i="5"/>
  <c r="F13769" i="5"/>
  <c r="F13768" i="5"/>
  <c r="F13767" i="5"/>
  <c r="F13766" i="5"/>
  <c r="F13765" i="5"/>
  <c r="F13764" i="5"/>
  <c r="F13763" i="5"/>
  <c r="F13762" i="5"/>
  <c r="F13761" i="5"/>
  <c r="F13760" i="5"/>
  <c r="F13759" i="5"/>
  <c r="F13758" i="5"/>
  <c r="F13757" i="5"/>
  <c r="F13756" i="5"/>
  <c r="F13755" i="5"/>
  <c r="F13754" i="5"/>
  <c r="F13753" i="5"/>
  <c r="F13752" i="5"/>
  <c r="F13751" i="5"/>
  <c r="F13750" i="5"/>
  <c r="F13749" i="5"/>
  <c r="F13748" i="5"/>
  <c r="F13747" i="5"/>
  <c r="F13746" i="5"/>
  <c r="F13745" i="5"/>
  <c r="F13744" i="5"/>
  <c r="F13743" i="5"/>
  <c r="F13742" i="5"/>
  <c r="F13741" i="5"/>
  <c r="F13740" i="5"/>
  <c r="F13739" i="5"/>
  <c r="F13738" i="5"/>
  <c r="F13737" i="5"/>
  <c r="F13736" i="5"/>
  <c r="F13735" i="5"/>
  <c r="F13734" i="5"/>
  <c r="F13733" i="5"/>
  <c r="F13732" i="5"/>
  <c r="F13731" i="5"/>
  <c r="F13730" i="5"/>
  <c r="F13729" i="5"/>
  <c r="F13728" i="5"/>
  <c r="F13727" i="5"/>
  <c r="F13726" i="5"/>
  <c r="F13725" i="5"/>
  <c r="F13724" i="5"/>
  <c r="F13723" i="5"/>
  <c r="F13722" i="5"/>
  <c r="F13721" i="5"/>
  <c r="F13720" i="5"/>
  <c r="F13719" i="5"/>
  <c r="F13718" i="5"/>
  <c r="F13717" i="5"/>
  <c r="F13716" i="5"/>
  <c r="F13715" i="5"/>
  <c r="F13714" i="5"/>
  <c r="F13713" i="5"/>
  <c r="F13712" i="5"/>
  <c r="F13711" i="5"/>
  <c r="F13710" i="5"/>
  <c r="F13709" i="5"/>
  <c r="F13708" i="5"/>
  <c r="F13707" i="5"/>
  <c r="F13706" i="5"/>
  <c r="F13705" i="5"/>
  <c r="F13704" i="5"/>
  <c r="F13703" i="5"/>
  <c r="F13702" i="5"/>
  <c r="F13701" i="5"/>
  <c r="F13700" i="5"/>
  <c r="F13699" i="5"/>
  <c r="F13698" i="5"/>
  <c r="F13697" i="5"/>
  <c r="F13696" i="5"/>
  <c r="F13695" i="5"/>
  <c r="F13694" i="5"/>
  <c r="F13693" i="5"/>
  <c r="F13692" i="5"/>
  <c r="F13691" i="5"/>
  <c r="F13690" i="5"/>
  <c r="F13689" i="5"/>
  <c r="F13688" i="5"/>
  <c r="F13687" i="5"/>
  <c r="F13686" i="5"/>
  <c r="F13685" i="5"/>
  <c r="F13684" i="5"/>
  <c r="F13683" i="5"/>
  <c r="F13682" i="5"/>
  <c r="F13681" i="5"/>
  <c r="F13680" i="5"/>
  <c r="F13679" i="5"/>
  <c r="F13678" i="5"/>
  <c r="F13677" i="5"/>
  <c r="F13676" i="5"/>
  <c r="F13675" i="5"/>
  <c r="F13674" i="5"/>
  <c r="F13673" i="5"/>
  <c r="F13672" i="5"/>
  <c r="F13671" i="5"/>
  <c r="F13670" i="5"/>
  <c r="F13669" i="5"/>
  <c r="F13668" i="5"/>
  <c r="F13667" i="5"/>
  <c r="F13666" i="5"/>
  <c r="F13665" i="5"/>
  <c r="F13664" i="5"/>
  <c r="F13663" i="5"/>
  <c r="F13662" i="5"/>
  <c r="F13661" i="5"/>
  <c r="F13660" i="5"/>
  <c r="F13659" i="5"/>
  <c r="F13658" i="5"/>
  <c r="F13657" i="5"/>
  <c r="F13656" i="5"/>
  <c r="F13655" i="5"/>
  <c r="F13654" i="5"/>
  <c r="F13653" i="5"/>
  <c r="F13652" i="5"/>
  <c r="F13651" i="5"/>
  <c r="F13650" i="5"/>
  <c r="F13649" i="5"/>
  <c r="F13648" i="5"/>
  <c r="F13647" i="5"/>
  <c r="F13646" i="5"/>
  <c r="F13645" i="5"/>
  <c r="F13644" i="5"/>
  <c r="F13643" i="5"/>
  <c r="F13642" i="5"/>
  <c r="F13641" i="5"/>
  <c r="F13640" i="5"/>
  <c r="F13639" i="5"/>
  <c r="F13638" i="5"/>
  <c r="F13637" i="5"/>
  <c r="F13636" i="5"/>
  <c r="F13635" i="5"/>
  <c r="F13634" i="5"/>
  <c r="F13633" i="5"/>
  <c r="F13632" i="5"/>
  <c r="F13631" i="5"/>
  <c r="F13630" i="5"/>
  <c r="F13629" i="5"/>
  <c r="F13628" i="5"/>
  <c r="F13627" i="5"/>
  <c r="F13626" i="5"/>
  <c r="F13625" i="5"/>
  <c r="F13624" i="5"/>
  <c r="F13623" i="5"/>
  <c r="F13622" i="5"/>
  <c r="F13621" i="5"/>
  <c r="F13620" i="5"/>
  <c r="F13619" i="5"/>
  <c r="F13618" i="5"/>
  <c r="F13617" i="5"/>
  <c r="F13616" i="5"/>
  <c r="F13615" i="5"/>
  <c r="F13614" i="5"/>
  <c r="F13613" i="5"/>
  <c r="F13612" i="5"/>
  <c r="F13611" i="5"/>
  <c r="F13610" i="5"/>
  <c r="F13609" i="5"/>
  <c r="F13608" i="5"/>
  <c r="F13607" i="5"/>
  <c r="F13606" i="5"/>
  <c r="F13605" i="5"/>
  <c r="F13604" i="5"/>
  <c r="F13603" i="5"/>
  <c r="F13602" i="5"/>
  <c r="F13601" i="5"/>
  <c r="F13600" i="5"/>
  <c r="F13599" i="5"/>
  <c r="F13598" i="5"/>
  <c r="F13597" i="5"/>
  <c r="F13596" i="5"/>
  <c r="F13595" i="5"/>
  <c r="F13594" i="5"/>
  <c r="F13593" i="5"/>
  <c r="F13592" i="5"/>
  <c r="F13591" i="5"/>
  <c r="F13590" i="5"/>
  <c r="F13589" i="5"/>
  <c r="F13588" i="5"/>
  <c r="F13587" i="5"/>
  <c r="F13586" i="5"/>
  <c r="F13585" i="5"/>
  <c r="F13584" i="5"/>
  <c r="F13583" i="5"/>
  <c r="F13582" i="5"/>
  <c r="F13581" i="5"/>
  <c r="F13580" i="5"/>
  <c r="F13579" i="5"/>
  <c r="F13578" i="5"/>
  <c r="F13577" i="5"/>
  <c r="F13576" i="5"/>
  <c r="F13575" i="5"/>
  <c r="F13574" i="5"/>
  <c r="F13573" i="5"/>
  <c r="F13572" i="5"/>
  <c r="F13571" i="5"/>
  <c r="F13570" i="5"/>
  <c r="F13569" i="5"/>
  <c r="F13568" i="5"/>
  <c r="F13567" i="5"/>
  <c r="F13566" i="5"/>
  <c r="F13565" i="5"/>
  <c r="F13564" i="5"/>
  <c r="F13563" i="5"/>
  <c r="F13562" i="5"/>
  <c r="F13561" i="5"/>
  <c r="F13560" i="5"/>
  <c r="F13559" i="5"/>
  <c r="F13558" i="5"/>
  <c r="F13557" i="5"/>
  <c r="F13556" i="5"/>
  <c r="F13555" i="5"/>
  <c r="F13554" i="5"/>
  <c r="F13553" i="5"/>
  <c r="F13552" i="5"/>
  <c r="F13551" i="5"/>
  <c r="F13550" i="5"/>
  <c r="F13549" i="5"/>
  <c r="F13548" i="5"/>
  <c r="F13547" i="5"/>
  <c r="F13546" i="5"/>
  <c r="F13545" i="5"/>
  <c r="F13544" i="5"/>
  <c r="F13543" i="5"/>
  <c r="F13542" i="5"/>
  <c r="F13541" i="5"/>
  <c r="F13540" i="5"/>
  <c r="F13539" i="5"/>
  <c r="F13538" i="5"/>
  <c r="F13537" i="5"/>
  <c r="F13536" i="5"/>
  <c r="F13535" i="5"/>
  <c r="F13534" i="5"/>
  <c r="F13533" i="5"/>
  <c r="F13532" i="5"/>
  <c r="F13531" i="5"/>
  <c r="F13530" i="5"/>
  <c r="F13529" i="5"/>
  <c r="F13528" i="5"/>
  <c r="F13527" i="5"/>
  <c r="F13526" i="5"/>
  <c r="F13525" i="5"/>
  <c r="F13524" i="5"/>
  <c r="F13523" i="5"/>
  <c r="F13522" i="5"/>
  <c r="F13521" i="5"/>
  <c r="F13520" i="5"/>
  <c r="F13519" i="5"/>
  <c r="F13518" i="5"/>
  <c r="F13517" i="5"/>
  <c r="F13516" i="5"/>
  <c r="F13515" i="5"/>
  <c r="F13514" i="5"/>
  <c r="F13513" i="5"/>
  <c r="F13512" i="5"/>
  <c r="F13511" i="5"/>
  <c r="F13510" i="5"/>
  <c r="F13509" i="5"/>
  <c r="F13508" i="5"/>
  <c r="F13507" i="5"/>
  <c r="F13506" i="5"/>
  <c r="F13505" i="5"/>
  <c r="F13504" i="5"/>
  <c r="F13503" i="5"/>
  <c r="F13502" i="5"/>
  <c r="F13501" i="5"/>
  <c r="F13500" i="5"/>
  <c r="F13499" i="5"/>
  <c r="F13498" i="5"/>
  <c r="F13497" i="5"/>
  <c r="F13496" i="5"/>
  <c r="F13495" i="5"/>
  <c r="F13494" i="5"/>
  <c r="F13493" i="5"/>
  <c r="F13492" i="5"/>
  <c r="F13491" i="5"/>
  <c r="F13490" i="5"/>
  <c r="F13489" i="5"/>
  <c r="F13488" i="5"/>
  <c r="F13487" i="5"/>
  <c r="F13486" i="5"/>
  <c r="F13485" i="5"/>
  <c r="F13484" i="5"/>
  <c r="F13483" i="5"/>
  <c r="F13482" i="5"/>
  <c r="F13481" i="5"/>
  <c r="F13480" i="5"/>
  <c r="F13479" i="5"/>
  <c r="F13478" i="5"/>
  <c r="F13477" i="5"/>
  <c r="F13476" i="5"/>
  <c r="F13475" i="5"/>
  <c r="F13474" i="5"/>
  <c r="F13473" i="5"/>
  <c r="F13472" i="5"/>
  <c r="F13471" i="5"/>
  <c r="F13470" i="5"/>
  <c r="F13469" i="5"/>
  <c r="F13468" i="5"/>
  <c r="F13467" i="5"/>
  <c r="F13466" i="5"/>
  <c r="F13465" i="5"/>
  <c r="F13464" i="5"/>
  <c r="F13463" i="5"/>
  <c r="F13462" i="5"/>
  <c r="F13461" i="5"/>
  <c r="F13460" i="5"/>
  <c r="F13459" i="5"/>
  <c r="F13458" i="5"/>
  <c r="F13457" i="5"/>
  <c r="F13456" i="5"/>
  <c r="F13455" i="5"/>
  <c r="F13454" i="5"/>
  <c r="F13453" i="5"/>
  <c r="F13452" i="5"/>
  <c r="F13451" i="5"/>
  <c r="F13450" i="5"/>
  <c r="F13449" i="5"/>
  <c r="F13448" i="5"/>
  <c r="F13447" i="5"/>
  <c r="F13446" i="5"/>
  <c r="F13445" i="5"/>
  <c r="F13444" i="5"/>
  <c r="F13443" i="5"/>
  <c r="F13442" i="5"/>
  <c r="F13441" i="5"/>
  <c r="F13440" i="5"/>
  <c r="F13439" i="5"/>
  <c r="F13438" i="5"/>
  <c r="F13437" i="5"/>
  <c r="F13436" i="5"/>
  <c r="F13435" i="5"/>
  <c r="F13434" i="5"/>
  <c r="F13433" i="5"/>
  <c r="F13432" i="5"/>
  <c r="F13431" i="5"/>
  <c r="F13430" i="5"/>
  <c r="F13429" i="5"/>
  <c r="F13428" i="5"/>
  <c r="F13427" i="5"/>
  <c r="F13426" i="5"/>
  <c r="F13425" i="5"/>
  <c r="F13424" i="5"/>
  <c r="F13423" i="5"/>
  <c r="F13422" i="5"/>
  <c r="F13421" i="5"/>
  <c r="F13420" i="5"/>
  <c r="F13419" i="5"/>
  <c r="F13418" i="5"/>
  <c r="F13417" i="5"/>
  <c r="F13416" i="5"/>
  <c r="F13415" i="5"/>
  <c r="F13414" i="5"/>
  <c r="F13413" i="5"/>
  <c r="F13412" i="5"/>
  <c r="F13411" i="5"/>
  <c r="F13410" i="5"/>
  <c r="F13409" i="5"/>
  <c r="F13408" i="5"/>
  <c r="F13407" i="5"/>
  <c r="F13406" i="5"/>
  <c r="F13405" i="5"/>
  <c r="F13404" i="5"/>
  <c r="F13403" i="5"/>
  <c r="F13402" i="5"/>
  <c r="F13401" i="5"/>
  <c r="F13400" i="5"/>
  <c r="F13399" i="5"/>
  <c r="F13398" i="5"/>
  <c r="F13397" i="5"/>
  <c r="F13396" i="5"/>
  <c r="F13395" i="5"/>
  <c r="F13394" i="5"/>
  <c r="F13393" i="5"/>
  <c r="F13392" i="5"/>
  <c r="F13391" i="5"/>
  <c r="F13390" i="5"/>
  <c r="F13389" i="5"/>
  <c r="F13388" i="5"/>
  <c r="F13387" i="5"/>
  <c r="F13386" i="5"/>
  <c r="F13385" i="5"/>
  <c r="F13384" i="5"/>
  <c r="F13383" i="5"/>
  <c r="F13382" i="5"/>
  <c r="F13381" i="5"/>
  <c r="F13380" i="5"/>
  <c r="F13379" i="5"/>
  <c r="F13378" i="5"/>
  <c r="F13377" i="5"/>
  <c r="F13376" i="5"/>
  <c r="F13375" i="5"/>
  <c r="F13374" i="5"/>
  <c r="F13373" i="5"/>
  <c r="F13372" i="5"/>
  <c r="F13371" i="5"/>
  <c r="F13370" i="5"/>
  <c r="F13369" i="5"/>
  <c r="F13368" i="5"/>
  <c r="F13367" i="5"/>
  <c r="F13366" i="5"/>
  <c r="F13365" i="5"/>
  <c r="F13364" i="5"/>
  <c r="F13363" i="5"/>
  <c r="F13362" i="5"/>
  <c r="F13361" i="5"/>
  <c r="F13360" i="5"/>
  <c r="F13359" i="5"/>
  <c r="F13358" i="5"/>
  <c r="F13357" i="5"/>
  <c r="F13356" i="5"/>
  <c r="F13355" i="5"/>
  <c r="F13354" i="5"/>
  <c r="F13353" i="5"/>
  <c r="F13352" i="5"/>
  <c r="F13351" i="5"/>
  <c r="F13350" i="5"/>
  <c r="F13349" i="5"/>
  <c r="F13348" i="5"/>
  <c r="F13347" i="5"/>
  <c r="F13346" i="5"/>
  <c r="F13345" i="5"/>
  <c r="F13344" i="5"/>
  <c r="F13343" i="5"/>
  <c r="F13342" i="5"/>
  <c r="F13341" i="5"/>
  <c r="F13340" i="5"/>
  <c r="F13339" i="5"/>
  <c r="F13338" i="5"/>
  <c r="F13337" i="5"/>
  <c r="F13336" i="5"/>
  <c r="F13335" i="5"/>
  <c r="F13334" i="5"/>
  <c r="F13333" i="5"/>
  <c r="F13332" i="5"/>
  <c r="F13331" i="5"/>
  <c r="F13330" i="5"/>
  <c r="F13329" i="5"/>
  <c r="F13328" i="5"/>
  <c r="F13327" i="5"/>
  <c r="F13326" i="5"/>
  <c r="F13325" i="5"/>
  <c r="F13324" i="5"/>
  <c r="F13323" i="5"/>
  <c r="F13322" i="5"/>
  <c r="F13321" i="5"/>
  <c r="F13320" i="5"/>
  <c r="F13319" i="5"/>
  <c r="F13318" i="5"/>
  <c r="F13317" i="5"/>
  <c r="F13316" i="5"/>
  <c r="F13315" i="5"/>
  <c r="F13314" i="5"/>
  <c r="F13313" i="5"/>
  <c r="F13312" i="5"/>
  <c r="F13311" i="5"/>
  <c r="F13310" i="5"/>
  <c r="F13309" i="5"/>
  <c r="F13308" i="5"/>
  <c r="F13307" i="5"/>
  <c r="F13306" i="5"/>
  <c r="F13305" i="5"/>
  <c r="F13304" i="5"/>
  <c r="F13303" i="5"/>
  <c r="F13302" i="5"/>
  <c r="F13301" i="5"/>
  <c r="F13300" i="5"/>
  <c r="F13299" i="5"/>
  <c r="F13298" i="5"/>
  <c r="F13297" i="5"/>
  <c r="F13296" i="5"/>
  <c r="F13295" i="5"/>
  <c r="F13294" i="5"/>
  <c r="F13293" i="5"/>
  <c r="F13292" i="5"/>
  <c r="F13291" i="5"/>
  <c r="F13290" i="5"/>
  <c r="F13289" i="5"/>
  <c r="F13288" i="5"/>
  <c r="F13287" i="5"/>
  <c r="F13286" i="5"/>
  <c r="F13285" i="5"/>
  <c r="F13284" i="5"/>
  <c r="F13283" i="5"/>
  <c r="F13282" i="5"/>
  <c r="F13281" i="5"/>
  <c r="F13280" i="5"/>
  <c r="F13279" i="5"/>
  <c r="F13278" i="5"/>
  <c r="F13277" i="5"/>
  <c r="F13276" i="5"/>
  <c r="F13275" i="5"/>
  <c r="F13274" i="5"/>
  <c r="F13273" i="5"/>
  <c r="F13272" i="5"/>
  <c r="F13271" i="5"/>
  <c r="F13270" i="5"/>
  <c r="F13269" i="5"/>
  <c r="F13268" i="5"/>
  <c r="F13267" i="5"/>
  <c r="F13266" i="5"/>
  <c r="F13265" i="5"/>
  <c r="F13264" i="5"/>
  <c r="F13263" i="5"/>
  <c r="F13262" i="5"/>
  <c r="F13261" i="5"/>
  <c r="F13260" i="5"/>
  <c r="F13259" i="5"/>
  <c r="F13258" i="5"/>
  <c r="F13257" i="5"/>
  <c r="F13256" i="5"/>
  <c r="F13255" i="5"/>
  <c r="F13254" i="5"/>
  <c r="F13253" i="5"/>
  <c r="F13252" i="5"/>
  <c r="F13251" i="5"/>
  <c r="F13250" i="5"/>
  <c r="F13249" i="5"/>
  <c r="F13248" i="5"/>
  <c r="F13247" i="5"/>
  <c r="F13246" i="5"/>
  <c r="F13245" i="5"/>
  <c r="F13244" i="5"/>
  <c r="F13243" i="5"/>
  <c r="F13242" i="5"/>
  <c r="F13241" i="5"/>
  <c r="F13240" i="5"/>
  <c r="F13239" i="5"/>
  <c r="F13238" i="5"/>
  <c r="F13237" i="5"/>
  <c r="F13236" i="5"/>
  <c r="F13235" i="5"/>
  <c r="F13234" i="5"/>
  <c r="F13233" i="5"/>
  <c r="F13232" i="5"/>
  <c r="F13231" i="5"/>
  <c r="F13230" i="5"/>
  <c r="F13229" i="5"/>
  <c r="F13228" i="5"/>
  <c r="F13227" i="5"/>
  <c r="F13226" i="5"/>
  <c r="F13225" i="5"/>
  <c r="F13224" i="5"/>
  <c r="F13223" i="5"/>
  <c r="F13222" i="5"/>
  <c r="F13221" i="5"/>
  <c r="F13220" i="5"/>
  <c r="F13219" i="5"/>
  <c r="F13218" i="5"/>
  <c r="F13217" i="5"/>
  <c r="F13216" i="5"/>
  <c r="F13215" i="5"/>
  <c r="F13214" i="5"/>
  <c r="F13213" i="5"/>
  <c r="F13212" i="5"/>
  <c r="F13211" i="5"/>
  <c r="F13210" i="5"/>
  <c r="F13209" i="5"/>
  <c r="F13208" i="5"/>
  <c r="F13207" i="5"/>
  <c r="F13206" i="5"/>
  <c r="F13205" i="5"/>
  <c r="F13204" i="5"/>
  <c r="F13203" i="5"/>
  <c r="F13202" i="5"/>
  <c r="F13201" i="5"/>
  <c r="F13200" i="5"/>
  <c r="F13199" i="5"/>
  <c r="F13198" i="5"/>
  <c r="F13197" i="5"/>
  <c r="F13196" i="5"/>
  <c r="F13195" i="5"/>
  <c r="F13194" i="5"/>
  <c r="F13193" i="5"/>
  <c r="F13192" i="5"/>
  <c r="F13191" i="5"/>
  <c r="F13190" i="5"/>
  <c r="F13189" i="5"/>
  <c r="F13188" i="5"/>
  <c r="F13187" i="5"/>
  <c r="F13186" i="5"/>
  <c r="F13185" i="5"/>
  <c r="F13184" i="5"/>
  <c r="F13183" i="5"/>
  <c r="F13182" i="5"/>
  <c r="F13181" i="5"/>
  <c r="F13180" i="5"/>
  <c r="F13179" i="5"/>
  <c r="F13178" i="5"/>
  <c r="F13177" i="5"/>
  <c r="F13176" i="5"/>
  <c r="F13175" i="5"/>
  <c r="F13174" i="5"/>
  <c r="F13173" i="5"/>
  <c r="F13172" i="5"/>
  <c r="F13171" i="5"/>
  <c r="F13170" i="5"/>
  <c r="F13169" i="5"/>
  <c r="F13168" i="5"/>
  <c r="F13167" i="5"/>
  <c r="F13166" i="5"/>
  <c r="F13165" i="5"/>
  <c r="F13164" i="5"/>
  <c r="F13163" i="5"/>
  <c r="F13162" i="5"/>
  <c r="F13161" i="5"/>
  <c r="F13160" i="5"/>
  <c r="F13159" i="5"/>
  <c r="F13158" i="5"/>
  <c r="F13157" i="5"/>
  <c r="F13156" i="5"/>
  <c r="F13155" i="5"/>
  <c r="F13154" i="5"/>
  <c r="F13153" i="5"/>
  <c r="F13152" i="5"/>
  <c r="F13151" i="5"/>
  <c r="F13150" i="5"/>
  <c r="F13149" i="5"/>
  <c r="F13148" i="5"/>
  <c r="F13147" i="5"/>
  <c r="F13146" i="5"/>
  <c r="F13145" i="5"/>
  <c r="F13144" i="5"/>
  <c r="F13143" i="5"/>
  <c r="F13142" i="5"/>
  <c r="F13141" i="5"/>
  <c r="F13140" i="5"/>
  <c r="F13139" i="5"/>
  <c r="F13138" i="5"/>
  <c r="F13137" i="5"/>
  <c r="F13136" i="5"/>
  <c r="F13135" i="5"/>
  <c r="F13134" i="5"/>
  <c r="F13133" i="5"/>
  <c r="F13132" i="5"/>
  <c r="F13131" i="5"/>
  <c r="F13130" i="5"/>
  <c r="F13129" i="5"/>
  <c r="F13128" i="5"/>
  <c r="F13127" i="5"/>
  <c r="F13126" i="5"/>
  <c r="F13125" i="5"/>
  <c r="F13124" i="5"/>
  <c r="F13123" i="5"/>
  <c r="F13122" i="5"/>
  <c r="F13121" i="5"/>
  <c r="F13120" i="5"/>
  <c r="F13119" i="5"/>
  <c r="F13118" i="5"/>
  <c r="F13117" i="5"/>
  <c r="F13116" i="5"/>
  <c r="F13115" i="5"/>
  <c r="F13114" i="5"/>
  <c r="F13113" i="5"/>
  <c r="F13112" i="5"/>
  <c r="F13111" i="5"/>
  <c r="F13110" i="5"/>
  <c r="F13109" i="5"/>
  <c r="F13108" i="5"/>
  <c r="F13107" i="5"/>
  <c r="F13106" i="5"/>
  <c r="F13105" i="5"/>
  <c r="F13104" i="5"/>
  <c r="F13103" i="5"/>
  <c r="F13102" i="5"/>
  <c r="F13101" i="5"/>
  <c r="F13100" i="5"/>
  <c r="F13099" i="5"/>
  <c r="F13098" i="5"/>
  <c r="F13097" i="5"/>
  <c r="F13096" i="5"/>
  <c r="F13095" i="5"/>
  <c r="F13094" i="5"/>
  <c r="F13093" i="5"/>
  <c r="F13092" i="5"/>
  <c r="F13091" i="5"/>
  <c r="F13090" i="5"/>
  <c r="F13089" i="5"/>
  <c r="F13088" i="5"/>
  <c r="F13087" i="5"/>
  <c r="F13086" i="5"/>
  <c r="F13085" i="5"/>
  <c r="F13084" i="5"/>
  <c r="F13083" i="5"/>
  <c r="F13082" i="5"/>
  <c r="F13081" i="5"/>
  <c r="F13080" i="5"/>
  <c r="F13079" i="5"/>
  <c r="F13078" i="5"/>
  <c r="F13077" i="5"/>
  <c r="F13076" i="5"/>
  <c r="F13075" i="5"/>
  <c r="F13074" i="5"/>
  <c r="F13073" i="5"/>
  <c r="F13072" i="5"/>
  <c r="F13071" i="5"/>
  <c r="F13070" i="5"/>
  <c r="F13069" i="5"/>
  <c r="F13068" i="5"/>
  <c r="F13067" i="5"/>
  <c r="F13066" i="5"/>
  <c r="F13065" i="5"/>
  <c r="F13064" i="5"/>
  <c r="F13063" i="5"/>
  <c r="F13062" i="5"/>
  <c r="F13061" i="5"/>
  <c r="F13060" i="5"/>
  <c r="F13059" i="5"/>
  <c r="F13058" i="5"/>
  <c r="F13057" i="5"/>
  <c r="F13056" i="5"/>
  <c r="F13055" i="5"/>
  <c r="F13054" i="5"/>
  <c r="F13053" i="5"/>
  <c r="F13052" i="5"/>
  <c r="F13051" i="5"/>
  <c r="F13050" i="5"/>
  <c r="F13049" i="5"/>
  <c r="F13048" i="5"/>
  <c r="F13047" i="5"/>
  <c r="F13046" i="5"/>
  <c r="F13045" i="5"/>
  <c r="F13044" i="5"/>
  <c r="F13043" i="5"/>
  <c r="F13042" i="5"/>
  <c r="F13041" i="5"/>
  <c r="F13040" i="5"/>
  <c r="F13039" i="5"/>
  <c r="F13038" i="5"/>
  <c r="F13037" i="5"/>
  <c r="F13036" i="5"/>
  <c r="F13035" i="5"/>
  <c r="F13034" i="5"/>
  <c r="F13033" i="5"/>
  <c r="F13032" i="5"/>
  <c r="F13031" i="5"/>
  <c r="F13030" i="5"/>
  <c r="F13029" i="5"/>
  <c r="F13028" i="5"/>
  <c r="F13027" i="5"/>
  <c r="F13026" i="5"/>
  <c r="F13025" i="5"/>
  <c r="F13024" i="5"/>
  <c r="F13023" i="5"/>
  <c r="F13022" i="5"/>
  <c r="F13021" i="5"/>
  <c r="F13020" i="5"/>
  <c r="F13019" i="5"/>
  <c r="F13018" i="5"/>
  <c r="F13017" i="5"/>
  <c r="F13016" i="5"/>
  <c r="F13015" i="5"/>
  <c r="F13014" i="5"/>
  <c r="F13013" i="5"/>
  <c r="F13012" i="5"/>
  <c r="F13011" i="5"/>
  <c r="F13010" i="5"/>
  <c r="F13009" i="5"/>
  <c r="F13008" i="5"/>
  <c r="F13007" i="5"/>
  <c r="F13006" i="5"/>
  <c r="F13005" i="5"/>
  <c r="F13004" i="5"/>
  <c r="F13003" i="5"/>
  <c r="F13002" i="5"/>
  <c r="F13001" i="5"/>
  <c r="F13000" i="5"/>
  <c r="F12999" i="5"/>
  <c r="F12998" i="5"/>
  <c r="F12997" i="5"/>
  <c r="F12996" i="5"/>
  <c r="F12995" i="5"/>
  <c r="F12994" i="5"/>
  <c r="F12993" i="5"/>
  <c r="F12992" i="5"/>
  <c r="F12991" i="5"/>
  <c r="F12990" i="5"/>
  <c r="F12989" i="5"/>
  <c r="F12988" i="5"/>
  <c r="F12987" i="5"/>
  <c r="F12986" i="5"/>
  <c r="F12985" i="5"/>
  <c r="F12984" i="5"/>
  <c r="F12983" i="5"/>
  <c r="F12982" i="5"/>
  <c r="F12981" i="5"/>
  <c r="F12980" i="5"/>
  <c r="F12979" i="5"/>
  <c r="F12978" i="5"/>
  <c r="F12977" i="5"/>
  <c r="F12976" i="5"/>
  <c r="F12975" i="5"/>
  <c r="F12974" i="5"/>
  <c r="F12973" i="5"/>
  <c r="F12972" i="5"/>
  <c r="F12971" i="5"/>
  <c r="F12970" i="5"/>
  <c r="F12969" i="5"/>
  <c r="F12968" i="5"/>
  <c r="F12967" i="5"/>
  <c r="F12966" i="5"/>
  <c r="F12965" i="5"/>
  <c r="F12964" i="5"/>
  <c r="F12963" i="5"/>
  <c r="F12962" i="5"/>
  <c r="F12961" i="5"/>
  <c r="F12960" i="5"/>
  <c r="F12959" i="5"/>
  <c r="F12958" i="5"/>
  <c r="F12957" i="5"/>
  <c r="F12956" i="5"/>
  <c r="F12955" i="5"/>
  <c r="F12954" i="5"/>
  <c r="F12953" i="5"/>
  <c r="F12952" i="5"/>
  <c r="F12951" i="5"/>
  <c r="F12950" i="5"/>
  <c r="F12949" i="5"/>
  <c r="F12948" i="5"/>
  <c r="F12947" i="5"/>
  <c r="F12946" i="5"/>
  <c r="F12945" i="5"/>
  <c r="F12944" i="5"/>
  <c r="F12943" i="5"/>
  <c r="F12942" i="5"/>
  <c r="F12941" i="5"/>
  <c r="F12940" i="5"/>
  <c r="F12939" i="5"/>
  <c r="F12938" i="5"/>
  <c r="F12937" i="5"/>
  <c r="F12936" i="5"/>
  <c r="F12935" i="5"/>
  <c r="F12934" i="5"/>
  <c r="F12933" i="5"/>
  <c r="F12932" i="5"/>
  <c r="F12931" i="5"/>
  <c r="F12930" i="5"/>
  <c r="F12929" i="5"/>
  <c r="F12928" i="5"/>
  <c r="F12927" i="5"/>
  <c r="F12926" i="5"/>
  <c r="F12925" i="5"/>
  <c r="F12924" i="5"/>
  <c r="F12923" i="5"/>
  <c r="F12922" i="5"/>
  <c r="F12921" i="5"/>
  <c r="F12920" i="5"/>
  <c r="F12919" i="5"/>
  <c r="F12918" i="5"/>
  <c r="F12917" i="5"/>
  <c r="F12916" i="5"/>
  <c r="F12915" i="5"/>
  <c r="F12914" i="5"/>
  <c r="F12913" i="5"/>
  <c r="F12912" i="5"/>
  <c r="F12911" i="5"/>
  <c r="F12910" i="5"/>
  <c r="F12909" i="5"/>
  <c r="F12908" i="5"/>
  <c r="F12907" i="5"/>
  <c r="F12906" i="5"/>
  <c r="F12905" i="5"/>
  <c r="F12904" i="5"/>
  <c r="F12903" i="5"/>
  <c r="F12902" i="5"/>
  <c r="F12901" i="5"/>
  <c r="F12900" i="5"/>
  <c r="F12899" i="5"/>
  <c r="F12898" i="5"/>
  <c r="F12897" i="5"/>
  <c r="F12896" i="5"/>
  <c r="F12895" i="5"/>
  <c r="F12894" i="5"/>
  <c r="F12893" i="5"/>
  <c r="F12892" i="5"/>
  <c r="F12891" i="5"/>
  <c r="F12890" i="5"/>
  <c r="F12889" i="5"/>
  <c r="F12888" i="5"/>
  <c r="F12887" i="5"/>
  <c r="F12886" i="5"/>
  <c r="F12885" i="5"/>
  <c r="F12884" i="5"/>
  <c r="F12883" i="5"/>
  <c r="F12882" i="5"/>
  <c r="F12881" i="5"/>
  <c r="F12880" i="5"/>
  <c r="F12879" i="5"/>
  <c r="F12878" i="5"/>
  <c r="F12877" i="5"/>
  <c r="F12876" i="5"/>
  <c r="F12875" i="5"/>
  <c r="F12874" i="5"/>
  <c r="F12873" i="5"/>
  <c r="F12872" i="5"/>
  <c r="F12871" i="5"/>
  <c r="F12870" i="5"/>
  <c r="F12869" i="5"/>
  <c r="F12868" i="5"/>
  <c r="F12867" i="5"/>
  <c r="F12866" i="5"/>
  <c r="F12865" i="5"/>
  <c r="F12864" i="5"/>
  <c r="F12863" i="5"/>
  <c r="F12862" i="5"/>
  <c r="F12861" i="5"/>
  <c r="F12860" i="5"/>
  <c r="F12859" i="5"/>
  <c r="F12858" i="5"/>
  <c r="F12857" i="5"/>
  <c r="F12856" i="5"/>
  <c r="F12855" i="5"/>
  <c r="F12854" i="5"/>
  <c r="F12853" i="5"/>
  <c r="F12852" i="5"/>
  <c r="F12851" i="5"/>
  <c r="F12850" i="5"/>
  <c r="F12849" i="5"/>
  <c r="F12848" i="5"/>
  <c r="F12847" i="5"/>
  <c r="F12846" i="5"/>
  <c r="F12845" i="5"/>
  <c r="F12844" i="5"/>
  <c r="F12843" i="5"/>
  <c r="F12842" i="5"/>
  <c r="F12841" i="5"/>
  <c r="F12840" i="5"/>
  <c r="F12839" i="5"/>
  <c r="F12838" i="5"/>
  <c r="F12837" i="5"/>
  <c r="F12836" i="5"/>
  <c r="F12835" i="5"/>
  <c r="F12834" i="5"/>
  <c r="F12833" i="5"/>
  <c r="F12832" i="5"/>
  <c r="F12831" i="5"/>
  <c r="F12830" i="5"/>
  <c r="F12829" i="5"/>
  <c r="F12828" i="5"/>
  <c r="F12827" i="5"/>
  <c r="F12826" i="5"/>
  <c r="F12825" i="5"/>
  <c r="F12824" i="5"/>
  <c r="F12823" i="5"/>
  <c r="F12822" i="5"/>
  <c r="F12821" i="5"/>
  <c r="F12820" i="5"/>
  <c r="F12819" i="5"/>
  <c r="F12818" i="5"/>
  <c r="F12817" i="5"/>
  <c r="F12816" i="5"/>
  <c r="F12815" i="5"/>
  <c r="F12814" i="5"/>
  <c r="F12813" i="5"/>
  <c r="F12812" i="5"/>
  <c r="F12811" i="5"/>
  <c r="F12810" i="5"/>
  <c r="F12809" i="5"/>
  <c r="F12808" i="5"/>
  <c r="F12807" i="5"/>
  <c r="F12806" i="5"/>
  <c r="F12805" i="5"/>
  <c r="F12804" i="5"/>
  <c r="F12803" i="5"/>
  <c r="F12802" i="5"/>
  <c r="F12801" i="5"/>
  <c r="F12800" i="5"/>
  <c r="F12799" i="5"/>
  <c r="F12798" i="5"/>
  <c r="F12797" i="5"/>
  <c r="F12796" i="5"/>
  <c r="F12795" i="5"/>
  <c r="F12794" i="5"/>
  <c r="F12793" i="5"/>
  <c r="F12792" i="5"/>
  <c r="F12791" i="5"/>
  <c r="F12790" i="5"/>
  <c r="F12789" i="5"/>
  <c r="F12788" i="5"/>
  <c r="F12787" i="5"/>
  <c r="F12786" i="5"/>
  <c r="F12785" i="5"/>
  <c r="F12784" i="5"/>
  <c r="F12783" i="5"/>
  <c r="F12782" i="5"/>
  <c r="F12781" i="5"/>
  <c r="F12780" i="5"/>
  <c r="F12779" i="5"/>
  <c r="F12778" i="5"/>
  <c r="F12777" i="5"/>
  <c r="F12776" i="5"/>
  <c r="F12775" i="5"/>
  <c r="F12774" i="5"/>
  <c r="F12773" i="5"/>
  <c r="F12772" i="5"/>
  <c r="F12771" i="5"/>
  <c r="F12770" i="5"/>
  <c r="F12769" i="5"/>
  <c r="F12768" i="5"/>
  <c r="F12767" i="5"/>
  <c r="F12766" i="5"/>
  <c r="F12765" i="5"/>
  <c r="F12764" i="5"/>
  <c r="F12763" i="5"/>
  <c r="F12762" i="5"/>
  <c r="F12761" i="5"/>
  <c r="F12760" i="5"/>
  <c r="F12759" i="5"/>
  <c r="F12758" i="5"/>
  <c r="F12757" i="5"/>
  <c r="F12756" i="5"/>
  <c r="F12755" i="5"/>
  <c r="F12754" i="5"/>
  <c r="F12753" i="5"/>
  <c r="F12752" i="5"/>
  <c r="F12751" i="5"/>
  <c r="F12750" i="5"/>
  <c r="F12749" i="5"/>
  <c r="F12748" i="5"/>
  <c r="F12747" i="5"/>
  <c r="F12746" i="5"/>
  <c r="F12745" i="5"/>
  <c r="F12744" i="5"/>
  <c r="F12743" i="5"/>
  <c r="F12742" i="5"/>
  <c r="F12741" i="5"/>
  <c r="F12740" i="5"/>
  <c r="F12739" i="5"/>
  <c r="F12738" i="5"/>
  <c r="F12737" i="5"/>
  <c r="F12736" i="5"/>
  <c r="F12735" i="5"/>
  <c r="F12734" i="5"/>
  <c r="F12733" i="5"/>
  <c r="F12732" i="5"/>
  <c r="F12731" i="5"/>
  <c r="F12730" i="5"/>
  <c r="F12729" i="5"/>
  <c r="F12728" i="5"/>
  <c r="F12727" i="5"/>
  <c r="F12726" i="5"/>
  <c r="F12725" i="5"/>
  <c r="F12724" i="5"/>
  <c r="F12723" i="5"/>
  <c r="F12722" i="5"/>
  <c r="F12721" i="5"/>
  <c r="F12720" i="5"/>
  <c r="F12719" i="5"/>
  <c r="F12718" i="5"/>
  <c r="F12717" i="5"/>
  <c r="F12716" i="5"/>
  <c r="F12715" i="5"/>
  <c r="F12714" i="5"/>
  <c r="F12713" i="5"/>
  <c r="F12712" i="5"/>
  <c r="F12711" i="5"/>
  <c r="F12710" i="5"/>
  <c r="F12709" i="5"/>
  <c r="F12708" i="5"/>
  <c r="F12707" i="5"/>
  <c r="F12706" i="5"/>
  <c r="F12705" i="5"/>
  <c r="F12704" i="5"/>
  <c r="F12703" i="5"/>
  <c r="F12702" i="5"/>
  <c r="F12701" i="5"/>
  <c r="F12700" i="5"/>
  <c r="F12699" i="5"/>
  <c r="F12698" i="5"/>
  <c r="F12697" i="5"/>
  <c r="F12696" i="5"/>
  <c r="F12695" i="5"/>
  <c r="F12694" i="5"/>
  <c r="F12693" i="5"/>
  <c r="F12692" i="5"/>
  <c r="F12691" i="5"/>
  <c r="F12690" i="5"/>
  <c r="F12689" i="5"/>
  <c r="F12688" i="5"/>
  <c r="F12687" i="5"/>
  <c r="F12686" i="5"/>
  <c r="F12685" i="5"/>
  <c r="F12684" i="5"/>
  <c r="F12683" i="5"/>
  <c r="F12682" i="5"/>
  <c r="F12681" i="5"/>
  <c r="F12680" i="5"/>
  <c r="F12679" i="5"/>
  <c r="F12678" i="5"/>
  <c r="F12677" i="5"/>
  <c r="F12676" i="5"/>
  <c r="F12675" i="5"/>
  <c r="F12674" i="5"/>
  <c r="F12673" i="5"/>
  <c r="F12672" i="5"/>
  <c r="F12671" i="5"/>
  <c r="F12670" i="5"/>
  <c r="F12669" i="5"/>
  <c r="F12668" i="5"/>
  <c r="F12667" i="5"/>
  <c r="F12666" i="5"/>
  <c r="F12665" i="5"/>
  <c r="F12664" i="5"/>
  <c r="F12663" i="5"/>
  <c r="F12662" i="5"/>
  <c r="F12661" i="5"/>
  <c r="F12660" i="5"/>
  <c r="F12659" i="5"/>
  <c r="F12658" i="5"/>
  <c r="F12657" i="5"/>
  <c r="F12656" i="5"/>
  <c r="F12655" i="5"/>
  <c r="F12654" i="5"/>
  <c r="F12653" i="5"/>
  <c r="F12652" i="5"/>
  <c r="F12651" i="5"/>
  <c r="F12650" i="5"/>
  <c r="F12649" i="5"/>
  <c r="F12648" i="5"/>
  <c r="F12647" i="5"/>
  <c r="F12646" i="5"/>
  <c r="F12645" i="5"/>
  <c r="F12644" i="5"/>
  <c r="F12643" i="5"/>
  <c r="F12642" i="5"/>
  <c r="F12641" i="5"/>
  <c r="F12640" i="5"/>
  <c r="F12639" i="5"/>
  <c r="F12638" i="5"/>
  <c r="F12637" i="5"/>
  <c r="F12636" i="5"/>
  <c r="F12635" i="5"/>
  <c r="F12634" i="5"/>
  <c r="F12633" i="5"/>
  <c r="F12632" i="5"/>
  <c r="F12631" i="5"/>
  <c r="F12630" i="5"/>
  <c r="F12629" i="5"/>
  <c r="F12628" i="5"/>
  <c r="F12627" i="5"/>
  <c r="F12626" i="5"/>
  <c r="F12625" i="5"/>
  <c r="F12624" i="5"/>
  <c r="F12623" i="5"/>
  <c r="F12622" i="5"/>
  <c r="F12621" i="5"/>
  <c r="F12620" i="5"/>
  <c r="F12619" i="5"/>
  <c r="F12618" i="5"/>
  <c r="F12617" i="5"/>
  <c r="F12616" i="5"/>
  <c r="F12615" i="5"/>
  <c r="F12614" i="5"/>
  <c r="F12613" i="5"/>
  <c r="F12612" i="5"/>
  <c r="F12611" i="5"/>
  <c r="F12610" i="5"/>
  <c r="F12609" i="5"/>
  <c r="F12608" i="5"/>
  <c r="F12607" i="5"/>
  <c r="F12606" i="5"/>
  <c r="F12605" i="5"/>
  <c r="F12604" i="5"/>
  <c r="F12603" i="5"/>
  <c r="F12602" i="5"/>
  <c r="F12601" i="5"/>
  <c r="F12600" i="5"/>
  <c r="F12599" i="5"/>
  <c r="F12598" i="5"/>
  <c r="F12597" i="5"/>
  <c r="F12596" i="5"/>
  <c r="F12595" i="5"/>
  <c r="F12594" i="5"/>
  <c r="F12593" i="5"/>
  <c r="F12592" i="5"/>
  <c r="F12591" i="5"/>
  <c r="F12590" i="5"/>
  <c r="F12589" i="5"/>
  <c r="F12588" i="5"/>
  <c r="F12587" i="5"/>
  <c r="F12586" i="5"/>
  <c r="F12585" i="5"/>
  <c r="F12584" i="5"/>
  <c r="F12583" i="5"/>
  <c r="F12582" i="5"/>
  <c r="F12581" i="5"/>
  <c r="F12580" i="5"/>
  <c r="F12579" i="5"/>
  <c r="F12578" i="5"/>
  <c r="F12577" i="5"/>
  <c r="F12576" i="5"/>
  <c r="F12575" i="5"/>
  <c r="F12574" i="5"/>
  <c r="F12573" i="5"/>
  <c r="F12572" i="5"/>
  <c r="F12571" i="5"/>
  <c r="F12570" i="5"/>
  <c r="F12569" i="5"/>
  <c r="F12568" i="5"/>
  <c r="F12567" i="5"/>
  <c r="F12566" i="5"/>
  <c r="F12565" i="5"/>
  <c r="F12564" i="5"/>
  <c r="F12563" i="5"/>
  <c r="F12562" i="5"/>
  <c r="F12561" i="5"/>
  <c r="F12560" i="5"/>
  <c r="F12559" i="5"/>
  <c r="F12558" i="5"/>
  <c r="F12557" i="5"/>
  <c r="F12556" i="5"/>
  <c r="F12555" i="5"/>
  <c r="F12554" i="5"/>
  <c r="F12553" i="5"/>
  <c r="F12552" i="5"/>
  <c r="F12551" i="5"/>
  <c r="F12550" i="5"/>
  <c r="F12549" i="5"/>
  <c r="F12548" i="5"/>
  <c r="F12547" i="5"/>
  <c r="F12546" i="5"/>
  <c r="F12545" i="5"/>
  <c r="F12544" i="5"/>
  <c r="F12543" i="5"/>
  <c r="F12542" i="5"/>
  <c r="F12541" i="5"/>
  <c r="F12540" i="5"/>
  <c r="F12539" i="5"/>
  <c r="F12538" i="5"/>
  <c r="F12537" i="5"/>
  <c r="F12536" i="5"/>
  <c r="F12535" i="5"/>
  <c r="F12534" i="5"/>
  <c r="F12533" i="5"/>
  <c r="F12532" i="5"/>
  <c r="F12531" i="5"/>
  <c r="F12530" i="5"/>
  <c r="F12529" i="5"/>
  <c r="F12528" i="5"/>
  <c r="F12527" i="5"/>
  <c r="F12526" i="5"/>
  <c r="F12525" i="5"/>
  <c r="F12524" i="5"/>
  <c r="F12523" i="5"/>
  <c r="F12522" i="5"/>
  <c r="F12521" i="5"/>
  <c r="F12520" i="5"/>
  <c r="F12519" i="5"/>
  <c r="F12518" i="5"/>
  <c r="F12517" i="5"/>
  <c r="F12516" i="5"/>
  <c r="F12515" i="5"/>
  <c r="F12514" i="5"/>
  <c r="F12513" i="5"/>
  <c r="F12512" i="5"/>
  <c r="F12511" i="5"/>
  <c r="F12510" i="5"/>
  <c r="F12509" i="5"/>
  <c r="F12508" i="5"/>
  <c r="F12507" i="5"/>
  <c r="F12506" i="5"/>
  <c r="F12505" i="5"/>
  <c r="F12504" i="5"/>
  <c r="F12503" i="5"/>
  <c r="F12502" i="5"/>
  <c r="F12501" i="5"/>
  <c r="F12500" i="5"/>
  <c r="F12499" i="5"/>
  <c r="F12498" i="5"/>
  <c r="F12497" i="5"/>
  <c r="F12496" i="5"/>
  <c r="F12495" i="5"/>
  <c r="F12494" i="5"/>
  <c r="F12493" i="5"/>
  <c r="F12492" i="5"/>
  <c r="F12491" i="5"/>
  <c r="F12490" i="5"/>
  <c r="F12489" i="5"/>
  <c r="F12488" i="5"/>
  <c r="F12487" i="5"/>
  <c r="F12486" i="5"/>
  <c r="F12485" i="5"/>
  <c r="F12484" i="5"/>
  <c r="F12483" i="5"/>
  <c r="F12482" i="5"/>
  <c r="F12481" i="5"/>
  <c r="F12480" i="5"/>
  <c r="F12479" i="5"/>
  <c r="F12478" i="5"/>
  <c r="F12477" i="5"/>
  <c r="F12476" i="5"/>
  <c r="F12475" i="5"/>
  <c r="F12474" i="5"/>
  <c r="F12473" i="5"/>
  <c r="F12472" i="5"/>
  <c r="F12471" i="5"/>
  <c r="F12470" i="5"/>
  <c r="F12469" i="5"/>
  <c r="F12468" i="5"/>
  <c r="F12467" i="5"/>
  <c r="F12466" i="5"/>
  <c r="F12465" i="5"/>
  <c r="F12464" i="5"/>
  <c r="F12463" i="5"/>
  <c r="F12462" i="5"/>
  <c r="F12461" i="5"/>
  <c r="F12460" i="5"/>
  <c r="F12459" i="5"/>
  <c r="F12458" i="5"/>
  <c r="F12457" i="5"/>
  <c r="F12456" i="5"/>
  <c r="F12455" i="5"/>
  <c r="F12454" i="5"/>
  <c r="F12453" i="5"/>
  <c r="F12452" i="5"/>
  <c r="F12451" i="5"/>
  <c r="F12450" i="5"/>
  <c r="F12449" i="5"/>
  <c r="F12448" i="5"/>
  <c r="F12447" i="5"/>
  <c r="F12446" i="5"/>
  <c r="F12445" i="5"/>
  <c r="F12444" i="5"/>
  <c r="F12443" i="5"/>
  <c r="F12442" i="5"/>
  <c r="F12441" i="5"/>
  <c r="F12440" i="5"/>
  <c r="F12439" i="5"/>
  <c r="F12438" i="5"/>
  <c r="F12437" i="5"/>
  <c r="F12436" i="5"/>
  <c r="F12435" i="5"/>
  <c r="F12434" i="5"/>
  <c r="F12433" i="5"/>
  <c r="F12432" i="5"/>
  <c r="F12431" i="5"/>
  <c r="F12430" i="5"/>
  <c r="F12429" i="5"/>
  <c r="F12428" i="5"/>
  <c r="F12427" i="5"/>
  <c r="F12426" i="5"/>
  <c r="F12425" i="5"/>
  <c r="F12424" i="5"/>
  <c r="F12423" i="5"/>
  <c r="F12422" i="5"/>
  <c r="F12421" i="5"/>
  <c r="F12420" i="5"/>
  <c r="F12419" i="5"/>
  <c r="F12418" i="5"/>
  <c r="F12417" i="5"/>
  <c r="F12416" i="5"/>
  <c r="F12415" i="5"/>
  <c r="F12414" i="5"/>
  <c r="F12413" i="5"/>
  <c r="F12412" i="5"/>
  <c r="F12411" i="5"/>
  <c r="F12410" i="5"/>
  <c r="F12409" i="5"/>
  <c r="F12408" i="5"/>
  <c r="F12407" i="5"/>
  <c r="F12406" i="5"/>
  <c r="F12405" i="5"/>
  <c r="F12404" i="5"/>
  <c r="F12403" i="5"/>
  <c r="F12402" i="5"/>
  <c r="F12401" i="5"/>
  <c r="F12400" i="5"/>
  <c r="F12399" i="5"/>
  <c r="F12398" i="5"/>
  <c r="F12397" i="5"/>
  <c r="F12396" i="5"/>
  <c r="F12395" i="5"/>
  <c r="F12394" i="5"/>
  <c r="F12393" i="5"/>
  <c r="F12392" i="5"/>
  <c r="F12391" i="5"/>
  <c r="F12390" i="5"/>
  <c r="F12389" i="5"/>
  <c r="F12388" i="5"/>
  <c r="F12387" i="5"/>
  <c r="F12386" i="5"/>
  <c r="F12385" i="5"/>
  <c r="F12384" i="5"/>
  <c r="F12383" i="5"/>
  <c r="F12382" i="5"/>
  <c r="F12381" i="5"/>
  <c r="F12380" i="5"/>
  <c r="F12379" i="5"/>
  <c r="F12378" i="5"/>
  <c r="F12377" i="5"/>
  <c r="F12376" i="5"/>
  <c r="F12375" i="5"/>
  <c r="F12374" i="5"/>
  <c r="F12373" i="5"/>
  <c r="F12372" i="5"/>
  <c r="F12371" i="5"/>
  <c r="F12370" i="5"/>
  <c r="F12369" i="5"/>
  <c r="F12368" i="5"/>
  <c r="F12367" i="5"/>
  <c r="F12366" i="5"/>
  <c r="F12365" i="5"/>
  <c r="F12364" i="5"/>
  <c r="F12363" i="5"/>
  <c r="F12362" i="5"/>
  <c r="F12361" i="5"/>
  <c r="F12360" i="5"/>
  <c r="F12359" i="5"/>
  <c r="F12358" i="5"/>
  <c r="F12357" i="5"/>
  <c r="F12356" i="5"/>
  <c r="F12355" i="5"/>
  <c r="F12354" i="5"/>
  <c r="F12353" i="5"/>
  <c r="F12352" i="5"/>
  <c r="F12351" i="5"/>
  <c r="F12350" i="5"/>
  <c r="F12349" i="5"/>
  <c r="F12348" i="5"/>
  <c r="F12347" i="5"/>
  <c r="F12346" i="5"/>
  <c r="F12345" i="5"/>
  <c r="F12344" i="5"/>
  <c r="F12343" i="5"/>
  <c r="F12342" i="5"/>
  <c r="F12341" i="5"/>
  <c r="F12340" i="5"/>
  <c r="F12339" i="5"/>
  <c r="F12338" i="5"/>
  <c r="F12337" i="5"/>
  <c r="F12336" i="5"/>
  <c r="F12335" i="5"/>
  <c r="F12334" i="5"/>
  <c r="F12333" i="5"/>
  <c r="F12332" i="5"/>
  <c r="F12331" i="5"/>
  <c r="F12330" i="5"/>
  <c r="F12329" i="5"/>
  <c r="F12328" i="5"/>
  <c r="F12327" i="5"/>
  <c r="F12326" i="5"/>
  <c r="F12325" i="5"/>
  <c r="F12324" i="5"/>
  <c r="F12323" i="5"/>
  <c r="F12322" i="5"/>
  <c r="F12321" i="5"/>
  <c r="F12320" i="5"/>
  <c r="F12319" i="5"/>
  <c r="F12318" i="5"/>
  <c r="F12317" i="5"/>
  <c r="F12316" i="5"/>
  <c r="F12315" i="5"/>
  <c r="F12314" i="5"/>
  <c r="F12313" i="5"/>
  <c r="F12312" i="5"/>
  <c r="F12311" i="5"/>
  <c r="F12310" i="5"/>
  <c r="F12309" i="5"/>
  <c r="F12308" i="5"/>
  <c r="F12307" i="5"/>
  <c r="F12306" i="5"/>
  <c r="F12305" i="5"/>
  <c r="F12304" i="5"/>
  <c r="F12303" i="5"/>
  <c r="F12302" i="5"/>
  <c r="F12301" i="5"/>
  <c r="F12300" i="5"/>
  <c r="F12299" i="5"/>
  <c r="F12298" i="5"/>
  <c r="F12297" i="5"/>
  <c r="F12296" i="5"/>
  <c r="F12295" i="5"/>
  <c r="F12294" i="5"/>
  <c r="F12293" i="5"/>
  <c r="F12292" i="5"/>
  <c r="F12291" i="5"/>
  <c r="F12290" i="5"/>
  <c r="F12289" i="5"/>
  <c r="F12288" i="5"/>
  <c r="F12287" i="5"/>
  <c r="F12286" i="5"/>
  <c r="F12285" i="5"/>
  <c r="F12284" i="5"/>
  <c r="F12283" i="5"/>
  <c r="F12282" i="5"/>
  <c r="F12281" i="5"/>
  <c r="F12280" i="5"/>
  <c r="F12279" i="5"/>
  <c r="F12278" i="5"/>
  <c r="F12277" i="5"/>
  <c r="F12276" i="5"/>
  <c r="F12275" i="5"/>
  <c r="F12274" i="5"/>
  <c r="F12273" i="5"/>
  <c r="F12272" i="5"/>
  <c r="F12271" i="5"/>
  <c r="F12270" i="5"/>
  <c r="F12269" i="5"/>
  <c r="F12268" i="5"/>
  <c r="F12267" i="5"/>
  <c r="F12266" i="5"/>
  <c r="F12265" i="5"/>
  <c r="F12264" i="5"/>
  <c r="F12263" i="5"/>
  <c r="F12262" i="5"/>
  <c r="F12261" i="5"/>
  <c r="F12260" i="5"/>
  <c r="F12259" i="5"/>
  <c r="F12258" i="5"/>
  <c r="F12257" i="5"/>
  <c r="F12256" i="5"/>
  <c r="F12255" i="5"/>
  <c r="F12254" i="5"/>
  <c r="F12253" i="5"/>
  <c r="F12252" i="5"/>
  <c r="F12251" i="5"/>
  <c r="F12250" i="5"/>
  <c r="F12249" i="5"/>
  <c r="F12248" i="5"/>
  <c r="F12247" i="5"/>
  <c r="F12246" i="5"/>
  <c r="F12245" i="5"/>
  <c r="F12244" i="5"/>
  <c r="F12243" i="5"/>
  <c r="F12242" i="5"/>
  <c r="F12241" i="5"/>
  <c r="F12240" i="5"/>
  <c r="F12239" i="5"/>
  <c r="F12238" i="5"/>
  <c r="F12237" i="5"/>
  <c r="F12236" i="5"/>
  <c r="F12235" i="5"/>
  <c r="F12234" i="5"/>
  <c r="F12233" i="5"/>
  <c r="F12232" i="5"/>
  <c r="F12231" i="5"/>
  <c r="F12230" i="5"/>
  <c r="F12229" i="5"/>
  <c r="F12228" i="5"/>
  <c r="F12227" i="5"/>
  <c r="F12226" i="5"/>
  <c r="F12225" i="5"/>
  <c r="F12224" i="5"/>
  <c r="F12223" i="5"/>
  <c r="F12222" i="5"/>
  <c r="F12221" i="5"/>
  <c r="F12220" i="5"/>
  <c r="F12219" i="5"/>
  <c r="F12218" i="5"/>
  <c r="F12217" i="5"/>
  <c r="F12216" i="5"/>
  <c r="F12215" i="5"/>
  <c r="F12214" i="5"/>
  <c r="F12213" i="5"/>
  <c r="F12212" i="5"/>
  <c r="F12211" i="5"/>
  <c r="F12210" i="5"/>
  <c r="F12209" i="5"/>
  <c r="F12208" i="5"/>
  <c r="F12207" i="5"/>
  <c r="F12206" i="5"/>
  <c r="F12205" i="5"/>
  <c r="F12204" i="5"/>
  <c r="F12203" i="5"/>
  <c r="F12202" i="5"/>
  <c r="F12201" i="5"/>
  <c r="F12200" i="5"/>
  <c r="F12199" i="5"/>
  <c r="F12198" i="5"/>
  <c r="F12197" i="5"/>
  <c r="F12196" i="5"/>
  <c r="F12195" i="5"/>
  <c r="F12194" i="5"/>
  <c r="F12193" i="5"/>
  <c r="F12192" i="5"/>
  <c r="F12191" i="5"/>
  <c r="F12190" i="5"/>
  <c r="F12189" i="5"/>
  <c r="F12188" i="5"/>
  <c r="F12187" i="5"/>
  <c r="F12186" i="5"/>
  <c r="F12185" i="5"/>
  <c r="F12184" i="5"/>
  <c r="F12183" i="5"/>
  <c r="F12182" i="5"/>
  <c r="F12181" i="5"/>
  <c r="F12180" i="5"/>
  <c r="F12179" i="5"/>
  <c r="F12178" i="5"/>
  <c r="F12177" i="5"/>
  <c r="F12176" i="5"/>
  <c r="F12175" i="5"/>
  <c r="F12174" i="5"/>
  <c r="F12173" i="5"/>
  <c r="F12172" i="5"/>
  <c r="F12171" i="5"/>
  <c r="F12170" i="5"/>
  <c r="F12169" i="5"/>
  <c r="F12168" i="5"/>
  <c r="F12167" i="5"/>
  <c r="F12166" i="5"/>
  <c r="F12165" i="5"/>
  <c r="F12164" i="5"/>
  <c r="F12163" i="5"/>
  <c r="F12162" i="5"/>
  <c r="F12161" i="5"/>
  <c r="F12160" i="5"/>
  <c r="F12159" i="5"/>
  <c r="F12158" i="5"/>
  <c r="F12157" i="5"/>
  <c r="F12156" i="5"/>
  <c r="F12155" i="5"/>
  <c r="F12154" i="5"/>
  <c r="F12153" i="5"/>
  <c r="F12152" i="5"/>
  <c r="F12151" i="5"/>
  <c r="F12150" i="5"/>
  <c r="F12149" i="5"/>
  <c r="F12148" i="5"/>
  <c r="F12147" i="5"/>
  <c r="F12146" i="5"/>
  <c r="F12145" i="5"/>
  <c r="F12144" i="5"/>
  <c r="F12143" i="5"/>
  <c r="F12142" i="5"/>
  <c r="F12141" i="5"/>
  <c r="F12140" i="5"/>
  <c r="F12139" i="5"/>
  <c r="F12138" i="5"/>
  <c r="F12137" i="5"/>
  <c r="F12136" i="5"/>
  <c r="F12135" i="5"/>
  <c r="F12134" i="5"/>
  <c r="F12133" i="5"/>
  <c r="F12132" i="5"/>
  <c r="F12131" i="5"/>
  <c r="F12130" i="5"/>
  <c r="F12129" i="5"/>
  <c r="F12128" i="5"/>
  <c r="F12127" i="5"/>
  <c r="F12126" i="5"/>
  <c r="F12125" i="5"/>
  <c r="F12124" i="5"/>
  <c r="F12123" i="5"/>
  <c r="F12122" i="5"/>
  <c r="F12121" i="5"/>
  <c r="F12120" i="5"/>
  <c r="F12119" i="5"/>
  <c r="F12118" i="5"/>
  <c r="F12117" i="5"/>
  <c r="F12116" i="5"/>
  <c r="F12115" i="5"/>
  <c r="F12114" i="5"/>
  <c r="F12113" i="5"/>
  <c r="F12112" i="5"/>
  <c r="F12111" i="5"/>
  <c r="F12110" i="5"/>
  <c r="F12109" i="5"/>
  <c r="F12108" i="5"/>
  <c r="F12107" i="5"/>
  <c r="F12106" i="5"/>
  <c r="F12105" i="5"/>
  <c r="F12104" i="5"/>
  <c r="F12103" i="5"/>
  <c r="F12102" i="5"/>
  <c r="F12101" i="5"/>
  <c r="F12100" i="5"/>
  <c r="F12099" i="5"/>
  <c r="F12098" i="5"/>
  <c r="F12097" i="5"/>
  <c r="F12096" i="5"/>
  <c r="F12095" i="5"/>
  <c r="F12094" i="5"/>
  <c r="F12093" i="5"/>
  <c r="F12092" i="5"/>
  <c r="F12091" i="5"/>
  <c r="F12090" i="5"/>
  <c r="F12089" i="5"/>
  <c r="F12088" i="5"/>
  <c r="F12087" i="5"/>
  <c r="F12086" i="5"/>
  <c r="F12085" i="5"/>
  <c r="F12084" i="5"/>
  <c r="F12083" i="5"/>
  <c r="F12082" i="5"/>
  <c r="F12081" i="5"/>
  <c r="F12080" i="5"/>
  <c r="F12079" i="5"/>
  <c r="F12078" i="5"/>
  <c r="F12077" i="5"/>
  <c r="F12076" i="5"/>
  <c r="F12075" i="5"/>
  <c r="F12074" i="5"/>
  <c r="F12073" i="5"/>
  <c r="F12072" i="5"/>
  <c r="F12071" i="5"/>
  <c r="F12070" i="5"/>
  <c r="F12069" i="5"/>
  <c r="F12068" i="5"/>
  <c r="F12067" i="5"/>
  <c r="F12066" i="5"/>
  <c r="F12065" i="5"/>
  <c r="F12064" i="5"/>
  <c r="F12063" i="5"/>
  <c r="F12062" i="5"/>
  <c r="F12061" i="5"/>
  <c r="F12060" i="5"/>
  <c r="F12059" i="5"/>
  <c r="F12058" i="5"/>
  <c r="F12057" i="5"/>
  <c r="F12056" i="5"/>
  <c r="F12055" i="5"/>
  <c r="F12054" i="5"/>
  <c r="F12053" i="5"/>
  <c r="F12052" i="5"/>
  <c r="F12051" i="5"/>
  <c r="F12050" i="5"/>
  <c r="F12049" i="5"/>
  <c r="F12048" i="5"/>
  <c r="F12047" i="5"/>
  <c r="F12046" i="5"/>
  <c r="F12045" i="5"/>
  <c r="F12044" i="5"/>
  <c r="F12043" i="5"/>
  <c r="F12042" i="5"/>
  <c r="F12041" i="5"/>
  <c r="F12040" i="5"/>
  <c r="F12039" i="5"/>
  <c r="F12038" i="5"/>
  <c r="F12037" i="5"/>
  <c r="F12036" i="5"/>
  <c r="F12035" i="5"/>
  <c r="F12034" i="5"/>
  <c r="F12033" i="5"/>
  <c r="F12032" i="5"/>
  <c r="F12031" i="5"/>
  <c r="F12030" i="5"/>
  <c r="F12029" i="5"/>
  <c r="F12028" i="5"/>
  <c r="F12027" i="5"/>
  <c r="F12026" i="5"/>
  <c r="F12025" i="5"/>
  <c r="F12024" i="5"/>
  <c r="F12023" i="5"/>
  <c r="F12022" i="5"/>
  <c r="F12021" i="5"/>
  <c r="F12020" i="5"/>
  <c r="F12019" i="5"/>
  <c r="F12018" i="5"/>
  <c r="F12017" i="5"/>
  <c r="F12016" i="5"/>
  <c r="F12015" i="5"/>
  <c r="F12014" i="5"/>
  <c r="F12013" i="5"/>
  <c r="F12012" i="5"/>
  <c r="F12011" i="5"/>
  <c r="F12010" i="5"/>
  <c r="F12009" i="5"/>
  <c r="F12008" i="5"/>
  <c r="F12007" i="5"/>
  <c r="F12006" i="5"/>
  <c r="F12005" i="5"/>
  <c r="F12004" i="5"/>
  <c r="F12003" i="5"/>
  <c r="F12002" i="5"/>
  <c r="F12001" i="5"/>
  <c r="F12000" i="5"/>
  <c r="F11999" i="5"/>
  <c r="F11998" i="5"/>
  <c r="F11997" i="5"/>
  <c r="F11996" i="5"/>
  <c r="F11995" i="5"/>
  <c r="F11994" i="5"/>
  <c r="F11993" i="5"/>
  <c r="F11992" i="5"/>
  <c r="F11991" i="5"/>
  <c r="F11990" i="5"/>
  <c r="F11989" i="5"/>
  <c r="F11988" i="5"/>
  <c r="F11987" i="5"/>
  <c r="F11986" i="5"/>
  <c r="F11985" i="5"/>
  <c r="F11984" i="5"/>
  <c r="F11983" i="5"/>
  <c r="F11982" i="5"/>
  <c r="F11981" i="5"/>
  <c r="F11980" i="5"/>
  <c r="F11979" i="5"/>
  <c r="F11978" i="5"/>
  <c r="F11977" i="5"/>
  <c r="F11976" i="5"/>
  <c r="F11975" i="5"/>
  <c r="F11974" i="5"/>
  <c r="F11973" i="5"/>
  <c r="F11972" i="5"/>
  <c r="F11971" i="5"/>
  <c r="F11970" i="5"/>
  <c r="F11969" i="5"/>
  <c r="F11968" i="5"/>
  <c r="F11967" i="5"/>
  <c r="F11966" i="5"/>
  <c r="F11965" i="5"/>
  <c r="F11964" i="5"/>
  <c r="F11963" i="5"/>
  <c r="F11962" i="5"/>
  <c r="F11961" i="5"/>
  <c r="F11960" i="5"/>
  <c r="F11959" i="5"/>
  <c r="F11958" i="5"/>
  <c r="F11957" i="5"/>
  <c r="F11956" i="5"/>
  <c r="F11955" i="5"/>
  <c r="F11954" i="5"/>
  <c r="F11953" i="5"/>
  <c r="F11952" i="5"/>
  <c r="F11951" i="5"/>
  <c r="F11950" i="5"/>
  <c r="F11949" i="5"/>
  <c r="F11948" i="5"/>
  <c r="F11947" i="5"/>
  <c r="F11946" i="5"/>
  <c r="F11945" i="5"/>
  <c r="F11944" i="5"/>
  <c r="F11943" i="5"/>
  <c r="F11942" i="5"/>
  <c r="F11941" i="5"/>
  <c r="F11940" i="5"/>
  <c r="F11939" i="5"/>
  <c r="F11938" i="5"/>
  <c r="F11937" i="5"/>
  <c r="F11936" i="5"/>
  <c r="F11935" i="5"/>
  <c r="F11934" i="5"/>
  <c r="F11933" i="5"/>
  <c r="F11932" i="5"/>
  <c r="F11931" i="5"/>
  <c r="F11930" i="5"/>
  <c r="F11929" i="5"/>
  <c r="F11928" i="5"/>
  <c r="F11927" i="5"/>
  <c r="F11926" i="5"/>
  <c r="F11925" i="5"/>
  <c r="F11924" i="5"/>
  <c r="F11923" i="5"/>
  <c r="F11922" i="5"/>
  <c r="F11921" i="5"/>
  <c r="F11920" i="5"/>
  <c r="F11919" i="5"/>
  <c r="F11918" i="5"/>
  <c r="F11917" i="5"/>
  <c r="F11916" i="5"/>
  <c r="F11915" i="5"/>
  <c r="F11914" i="5"/>
  <c r="F11913" i="5"/>
  <c r="F11912" i="5"/>
  <c r="F11911" i="5"/>
  <c r="F11910" i="5"/>
  <c r="F11909" i="5"/>
  <c r="F11908" i="5"/>
  <c r="F11907" i="5"/>
  <c r="F11906" i="5"/>
  <c r="F11905" i="5"/>
  <c r="F11904" i="5"/>
  <c r="F11903" i="5"/>
  <c r="F11902" i="5"/>
  <c r="F11901" i="5"/>
  <c r="F11900" i="5"/>
  <c r="F11899" i="5"/>
  <c r="F11898" i="5"/>
  <c r="F11897" i="5"/>
  <c r="F11896" i="5"/>
  <c r="F11895" i="5"/>
  <c r="F11894" i="5"/>
  <c r="F11893" i="5"/>
  <c r="F11892" i="5"/>
  <c r="F11891" i="5"/>
  <c r="F11890" i="5"/>
  <c r="F11889" i="5"/>
  <c r="F11888" i="5"/>
  <c r="F11887" i="5"/>
  <c r="F11886" i="5"/>
  <c r="F11885" i="5"/>
  <c r="F11884" i="5"/>
  <c r="F11883" i="5"/>
  <c r="F11882" i="5"/>
  <c r="F11881" i="5"/>
  <c r="F11880" i="5"/>
  <c r="F11879" i="5"/>
  <c r="F11878" i="5"/>
  <c r="F11877" i="5"/>
  <c r="F11876" i="5"/>
  <c r="F11875" i="5"/>
  <c r="F11874" i="5"/>
  <c r="F11873" i="5"/>
  <c r="F11872" i="5"/>
  <c r="F11871" i="5"/>
  <c r="F11870" i="5"/>
  <c r="F11869" i="5"/>
  <c r="F11868" i="5"/>
  <c r="F11867" i="5"/>
  <c r="F11866" i="5"/>
  <c r="F11865" i="5"/>
  <c r="F11864" i="5"/>
  <c r="F11863" i="5"/>
  <c r="F11862" i="5"/>
  <c r="F11861" i="5"/>
  <c r="F11860" i="5"/>
  <c r="F11859" i="5"/>
  <c r="F11858" i="5"/>
  <c r="F11857" i="5"/>
  <c r="F11856" i="5"/>
  <c r="F11855" i="5"/>
  <c r="F11854" i="5"/>
  <c r="F11853" i="5"/>
  <c r="F11852" i="5"/>
  <c r="F11851" i="5"/>
  <c r="F11850" i="5"/>
  <c r="F11849" i="5"/>
  <c r="F11848" i="5"/>
  <c r="F11847" i="5"/>
  <c r="F11846" i="5"/>
  <c r="F11845" i="5"/>
  <c r="F11844" i="5"/>
  <c r="F11843" i="5"/>
  <c r="F11842" i="5"/>
  <c r="F11841" i="5"/>
  <c r="F11840" i="5"/>
  <c r="F11839" i="5"/>
  <c r="F11838" i="5"/>
  <c r="F11837" i="5"/>
  <c r="F11836" i="5"/>
  <c r="F11835" i="5"/>
  <c r="F11834" i="5"/>
  <c r="F11833" i="5"/>
  <c r="F11832" i="5"/>
  <c r="F11831" i="5"/>
  <c r="F11830" i="5"/>
  <c r="F11829" i="5"/>
  <c r="F11828" i="5"/>
  <c r="F11827" i="5"/>
  <c r="F11826" i="5"/>
  <c r="F11825" i="5"/>
  <c r="F11824" i="5"/>
  <c r="F11823" i="5"/>
  <c r="F11822" i="5"/>
  <c r="F11821" i="5"/>
  <c r="F11820" i="5"/>
  <c r="F11819" i="5"/>
  <c r="F11818" i="5"/>
  <c r="F11817" i="5"/>
  <c r="F11816" i="5"/>
  <c r="F11815" i="5"/>
  <c r="F11814" i="5"/>
  <c r="F11813" i="5"/>
  <c r="F11812" i="5"/>
  <c r="F11811" i="5"/>
  <c r="F11810" i="5"/>
  <c r="F11809" i="5"/>
  <c r="F11808" i="5"/>
  <c r="F11807" i="5"/>
  <c r="F11806" i="5"/>
  <c r="F11805" i="5"/>
  <c r="F11804" i="5"/>
  <c r="F11803" i="5"/>
  <c r="F11802" i="5"/>
  <c r="F11801" i="5"/>
  <c r="F11800" i="5"/>
  <c r="F11799" i="5"/>
  <c r="F11798" i="5"/>
  <c r="F11797" i="5"/>
  <c r="F11796" i="5"/>
  <c r="F11795" i="5"/>
  <c r="F11794" i="5"/>
  <c r="F11793" i="5"/>
  <c r="F11792" i="5"/>
  <c r="F11791" i="5"/>
  <c r="F11790" i="5"/>
  <c r="F11789" i="5"/>
  <c r="F11788" i="5"/>
  <c r="F11787" i="5"/>
  <c r="F11786" i="5"/>
  <c r="F11785" i="5"/>
  <c r="F11784" i="5"/>
  <c r="F11783" i="5"/>
  <c r="F11782" i="5"/>
  <c r="F11781" i="5"/>
  <c r="F11780" i="5"/>
  <c r="F11779" i="5"/>
  <c r="F11778" i="5"/>
  <c r="F11777" i="5"/>
  <c r="F11776" i="5"/>
  <c r="F11775" i="5"/>
  <c r="F11774" i="5"/>
  <c r="F11773" i="5"/>
  <c r="F11772" i="5"/>
  <c r="F11771" i="5"/>
  <c r="F11770" i="5"/>
  <c r="F11769" i="5"/>
  <c r="F11768" i="5"/>
  <c r="F11767" i="5"/>
  <c r="F11766" i="5"/>
  <c r="F11765" i="5"/>
  <c r="F11764" i="5"/>
  <c r="F11763" i="5"/>
  <c r="F11762" i="5"/>
  <c r="F11761" i="5"/>
  <c r="F11760" i="5"/>
  <c r="F11759" i="5"/>
  <c r="F11758" i="5"/>
  <c r="F11757" i="5"/>
  <c r="F11756" i="5"/>
  <c r="F11755" i="5"/>
  <c r="F11754" i="5"/>
  <c r="F11753" i="5"/>
  <c r="F11752" i="5"/>
  <c r="F11751" i="5"/>
  <c r="F11750" i="5"/>
  <c r="F11749" i="5"/>
  <c r="F11748" i="5"/>
  <c r="F11747" i="5"/>
  <c r="F11746" i="5"/>
  <c r="F11745" i="5"/>
  <c r="F11744" i="5"/>
  <c r="F11743" i="5"/>
  <c r="F11742" i="5"/>
  <c r="F11741" i="5"/>
  <c r="F11740" i="5"/>
  <c r="F11739" i="5"/>
  <c r="F11738" i="5"/>
  <c r="F11737" i="5"/>
  <c r="F11736" i="5"/>
  <c r="F11735" i="5"/>
  <c r="F11734" i="5"/>
  <c r="F11733" i="5"/>
  <c r="F11732" i="5"/>
  <c r="F11731" i="5"/>
  <c r="F11730" i="5"/>
  <c r="F11729" i="5"/>
  <c r="F11728" i="5"/>
  <c r="F11727" i="5"/>
  <c r="F11726" i="5"/>
  <c r="F11725" i="5"/>
  <c r="F11724" i="5"/>
  <c r="F11723" i="5"/>
  <c r="F11722" i="5"/>
  <c r="F11721" i="5"/>
  <c r="F11720" i="5"/>
  <c r="F11719" i="5"/>
  <c r="F11718" i="5"/>
  <c r="F11717" i="5"/>
  <c r="F11716" i="5"/>
  <c r="F11715" i="5"/>
  <c r="F11714" i="5"/>
  <c r="F11713" i="5"/>
  <c r="F11712" i="5"/>
  <c r="F11711" i="5"/>
  <c r="F11710" i="5"/>
  <c r="F11709" i="5"/>
  <c r="F11708" i="5"/>
  <c r="F11707" i="5"/>
  <c r="F11706" i="5"/>
  <c r="F11705" i="5"/>
  <c r="F11704" i="5"/>
  <c r="F11703" i="5"/>
  <c r="F11702" i="5"/>
  <c r="F11701" i="5"/>
  <c r="F11700" i="5"/>
  <c r="F11699" i="5"/>
  <c r="F11698" i="5"/>
  <c r="F11697" i="5"/>
  <c r="F11696" i="5"/>
  <c r="F11695" i="5"/>
  <c r="F11694" i="5"/>
  <c r="F11693" i="5"/>
  <c r="F11692" i="5"/>
  <c r="F11691" i="5"/>
  <c r="F11690" i="5"/>
  <c r="F11689" i="5"/>
  <c r="F11688" i="5"/>
  <c r="F11687" i="5"/>
  <c r="F11686" i="5"/>
  <c r="F11685" i="5"/>
  <c r="F11684" i="5"/>
  <c r="F11683" i="5"/>
  <c r="F11682" i="5"/>
  <c r="F11681" i="5"/>
  <c r="F11680" i="5"/>
  <c r="F11679" i="5"/>
  <c r="F11678" i="5"/>
  <c r="F11677" i="5"/>
  <c r="F11676" i="5"/>
  <c r="F11675" i="5"/>
  <c r="F11674" i="5"/>
  <c r="F11673" i="5"/>
  <c r="F11672" i="5"/>
  <c r="F11671" i="5"/>
  <c r="F11670" i="5"/>
  <c r="F11669" i="5"/>
  <c r="F11668" i="5"/>
  <c r="F11667" i="5"/>
  <c r="F11666" i="5"/>
  <c r="F11665" i="5"/>
  <c r="F11664" i="5"/>
  <c r="F11663" i="5"/>
  <c r="F11662" i="5"/>
  <c r="F11661" i="5"/>
  <c r="F11660" i="5"/>
  <c r="F11659" i="5"/>
  <c r="F11658" i="5"/>
  <c r="F11657" i="5"/>
  <c r="F11656" i="5"/>
  <c r="F11655" i="5"/>
  <c r="F11654" i="5"/>
  <c r="F11653" i="5"/>
  <c r="F11652" i="5"/>
  <c r="F11651" i="5"/>
  <c r="F11650" i="5"/>
  <c r="F11649" i="5"/>
  <c r="F11648" i="5"/>
  <c r="F11647" i="5"/>
  <c r="F11646" i="5"/>
  <c r="F11645" i="5"/>
  <c r="F11644" i="5"/>
  <c r="F11643" i="5"/>
  <c r="F11642" i="5"/>
  <c r="F11641" i="5"/>
  <c r="F11640" i="5"/>
  <c r="F11639" i="5"/>
  <c r="F11638" i="5"/>
  <c r="F11637" i="5"/>
  <c r="F11636" i="5"/>
  <c r="F11635" i="5"/>
  <c r="F11634" i="5"/>
  <c r="F11633" i="5"/>
  <c r="F11632" i="5"/>
  <c r="F11631" i="5"/>
  <c r="F11630" i="5"/>
  <c r="F11629" i="5"/>
  <c r="F11628" i="5"/>
  <c r="F11627" i="5"/>
  <c r="F11626" i="5"/>
  <c r="F11625" i="5"/>
  <c r="F11624" i="5"/>
  <c r="F11623" i="5"/>
  <c r="F11622" i="5"/>
  <c r="F11621" i="5"/>
  <c r="F11620" i="5"/>
  <c r="F11619" i="5"/>
  <c r="F11618" i="5"/>
  <c r="F11617" i="5"/>
  <c r="F11616" i="5"/>
  <c r="F11615" i="5"/>
  <c r="F11614" i="5"/>
  <c r="F11613" i="5"/>
  <c r="F11612" i="5"/>
  <c r="F11611" i="5"/>
  <c r="F11610" i="5"/>
  <c r="F11609" i="5"/>
  <c r="F11608" i="5"/>
  <c r="F11607" i="5"/>
  <c r="F11606" i="5"/>
  <c r="F11605" i="5"/>
  <c r="F11604" i="5"/>
  <c r="F11603" i="5"/>
  <c r="F11602" i="5"/>
  <c r="F11601" i="5"/>
  <c r="F11600" i="5"/>
  <c r="F11599" i="5"/>
  <c r="F11598" i="5"/>
  <c r="F11597" i="5"/>
  <c r="F11596" i="5"/>
  <c r="F11595" i="5"/>
  <c r="F11594" i="5"/>
  <c r="F11593" i="5"/>
  <c r="F11592" i="5"/>
  <c r="F11591" i="5"/>
  <c r="F11590" i="5"/>
  <c r="F11589" i="5"/>
  <c r="F11588" i="5"/>
  <c r="F11587" i="5"/>
  <c r="F11586" i="5"/>
  <c r="F11585" i="5"/>
  <c r="F11584" i="5"/>
  <c r="F11583" i="5"/>
  <c r="F11582" i="5"/>
  <c r="F11581" i="5"/>
  <c r="F11580" i="5"/>
  <c r="F11579" i="5"/>
  <c r="F11578" i="5"/>
  <c r="F11577" i="5"/>
  <c r="F11576" i="5"/>
  <c r="F11575" i="5"/>
  <c r="F11574" i="5"/>
  <c r="F11573" i="5"/>
  <c r="F11572" i="5"/>
  <c r="F11571" i="5"/>
  <c r="F11570" i="5"/>
  <c r="F11569" i="5"/>
  <c r="F11568" i="5"/>
  <c r="F11567" i="5"/>
  <c r="F11566" i="5"/>
  <c r="F11565" i="5"/>
  <c r="F11564" i="5"/>
  <c r="F11563" i="5"/>
  <c r="F11562" i="5"/>
  <c r="F11561" i="5"/>
  <c r="F11560" i="5"/>
  <c r="F11559" i="5"/>
  <c r="F11558" i="5"/>
  <c r="F11557" i="5"/>
  <c r="F11556" i="5"/>
  <c r="F11555" i="5"/>
  <c r="F11554" i="5"/>
  <c r="F11553" i="5"/>
  <c r="F11552" i="5"/>
  <c r="F11551" i="5"/>
  <c r="F11550" i="5"/>
  <c r="F11549" i="5"/>
  <c r="F11548" i="5"/>
  <c r="F11547" i="5"/>
  <c r="F11546" i="5"/>
  <c r="F11545" i="5"/>
  <c r="F11544" i="5"/>
  <c r="F11543" i="5"/>
  <c r="F11542" i="5"/>
  <c r="F11541" i="5"/>
  <c r="F11540" i="5"/>
  <c r="F11539" i="5"/>
  <c r="F11538" i="5"/>
  <c r="F11537" i="5"/>
  <c r="F11536" i="5"/>
  <c r="F11535" i="5"/>
  <c r="F11534" i="5"/>
  <c r="F11533" i="5"/>
  <c r="F11532" i="5"/>
  <c r="F11531" i="5"/>
  <c r="F11530" i="5"/>
  <c r="F11529" i="5"/>
  <c r="F11528" i="5"/>
  <c r="F11527" i="5"/>
  <c r="F11526" i="5"/>
  <c r="F11525" i="5"/>
  <c r="F11524" i="5"/>
  <c r="F11523" i="5"/>
  <c r="F11522" i="5"/>
  <c r="F11521" i="5"/>
  <c r="F11520" i="5"/>
  <c r="F11519" i="5"/>
  <c r="F11518" i="5"/>
  <c r="F11517" i="5"/>
  <c r="F11516" i="5"/>
  <c r="F11515" i="5"/>
  <c r="F11514" i="5"/>
  <c r="F11513" i="5"/>
  <c r="F11512" i="5"/>
  <c r="F11511" i="5"/>
  <c r="F11510" i="5"/>
  <c r="F11509" i="5"/>
  <c r="F11508" i="5"/>
  <c r="F11507" i="5"/>
  <c r="F11506" i="5"/>
  <c r="F11505" i="5"/>
  <c r="F11504" i="5"/>
  <c r="F11503" i="5"/>
  <c r="F11502" i="5"/>
  <c r="F11501" i="5"/>
  <c r="F11500" i="5"/>
  <c r="F11499" i="5"/>
  <c r="F11498" i="5"/>
  <c r="F11497" i="5"/>
  <c r="F11496" i="5"/>
  <c r="F11495" i="5"/>
  <c r="F11494" i="5"/>
  <c r="F11493" i="5"/>
  <c r="F11492" i="5"/>
  <c r="F11491" i="5"/>
  <c r="F11490" i="5"/>
  <c r="F11489" i="5"/>
  <c r="F11488" i="5"/>
  <c r="F11487" i="5"/>
  <c r="F11486" i="5"/>
  <c r="F11485" i="5"/>
  <c r="F11484" i="5"/>
  <c r="F11483" i="5"/>
  <c r="F11482" i="5"/>
  <c r="F11481" i="5"/>
  <c r="F11480" i="5"/>
  <c r="F11479" i="5"/>
  <c r="F11478" i="5"/>
  <c r="F11477" i="5"/>
  <c r="F11476" i="5"/>
  <c r="F11475" i="5"/>
  <c r="F11474" i="5"/>
  <c r="F11473" i="5"/>
  <c r="F11472" i="5"/>
  <c r="F11471" i="5"/>
  <c r="F11470" i="5"/>
  <c r="F11469" i="5"/>
  <c r="F11468" i="5"/>
  <c r="F11467" i="5"/>
  <c r="F11466" i="5"/>
  <c r="F11465" i="5"/>
  <c r="F11464" i="5"/>
  <c r="F11463" i="5"/>
  <c r="F11462" i="5"/>
  <c r="F11461" i="5"/>
  <c r="F11460" i="5"/>
  <c r="F11459" i="5"/>
  <c r="F11458" i="5"/>
  <c r="F11457" i="5"/>
  <c r="F11456" i="5"/>
  <c r="F11455" i="5"/>
  <c r="F11454" i="5"/>
  <c r="F11453" i="5"/>
  <c r="F11452" i="5"/>
  <c r="F11451" i="5"/>
  <c r="F11450" i="5"/>
  <c r="F11449" i="5"/>
  <c r="F11448" i="5"/>
  <c r="F11447" i="5"/>
  <c r="F11446" i="5"/>
  <c r="F11445" i="5"/>
  <c r="F11444" i="5"/>
  <c r="F11443" i="5"/>
  <c r="F11442" i="5"/>
  <c r="F11441" i="5"/>
  <c r="F11440" i="5"/>
  <c r="F11439" i="5"/>
  <c r="F11438" i="5"/>
  <c r="F11437" i="5"/>
  <c r="F11436" i="5"/>
  <c r="F11435" i="5"/>
  <c r="F11434" i="5"/>
  <c r="F11433" i="5"/>
  <c r="F11432" i="5"/>
  <c r="F11431" i="5"/>
  <c r="F11430" i="5"/>
  <c r="F11429" i="5"/>
  <c r="F11428" i="5"/>
  <c r="F11427" i="5"/>
  <c r="F11426" i="5"/>
  <c r="F11425" i="5"/>
  <c r="F11424" i="5"/>
  <c r="F11423" i="5"/>
  <c r="F11422" i="5"/>
  <c r="F11421" i="5"/>
  <c r="F11420" i="5"/>
  <c r="F11419" i="5"/>
  <c r="F11418" i="5"/>
  <c r="F11417" i="5"/>
  <c r="F11416" i="5"/>
  <c r="F11415" i="5"/>
  <c r="F11414" i="5"/>
  <c r="F11413" i="5"/>
  <c r="F11412" i="5"/>
  <c r="F11411" i="5"/>
  <c r="F11410" i="5"/>
  <c r="F11409" i="5"/>
  <c r="F11408" i="5"/>
  <c r="F11407" i="5"/>
  <c r="F11406" i="5"/>
  <c r="F11405" i="5"/>
  <c r="F11404" i="5"/>
  <c r="F11403" i="5"/>
  <c r="F11402" i="5"/>
  <c r="F11401" i="5"/>
  <c r="F11400" i="5"/>
  <c r="F11399" i="5"/>
  <c r="F11398" i="5"/>
  <c r="F11397" i="5"/>
  <c r="F11396" i="5"/>
  <c r="F11395" i="5"/>
  <c r="F11394" i="5"/>
  <c r="F11393" i="5"/>
  <c r="F11392" i="5"/>
  <c r="F11391" i="5"/>
  <c r="F11390" i="5"/>
  <c r="F11389" i="5"/>
  <c r="F11388" i="5"/>
  <c r="F11387" i="5"/>
  <c r="F11386" i="5"/>
  <c r="F11385" i="5"/>
  <c r="F11384" i="5"/>
  <c r="F11383" i="5"/>
  <c r="F11382" i="5"/>
  <c r="F11381" i="5"/>
  <c r="F11380" i="5"/>
  <c r="F11379" i="5"/>
  <c r="F11378" i="5"/>
  <c r="F11377" i="5"/>
  <c r="F11376" i="5"/>
  <c r="F11375" i="5"/>
  <c r="F11374" i="5"/>
  <c r="F11373" i="5"/>
  <c r="F11372" i="5"/>
  <c r="F11371" i="5"/>
  <c r="F11370" i="5"/>
  <c r="F11369" i="5"/>
  <c r="F11368" i="5"/>
  <c r="F11367" i="5"/>
  <c r="F11366" i="5"/>
  <c r="F11365" i="5"/>
  <c r="F11364" i="5"/>
  <c r="F11363" i="5"/>
  <c r="F11362" i="5"/>
  <c r="F11361" i="5"/>
  <c r="F11360" i="5"/>
  <c r="F11359" i="5"/>
  <c r="F11358" i="5"/>
  <c r="F11357" i="5"/>
  <c r="F11356" i="5"/>
  <c r="F11355" i="5"/>
  <c r="F11354" i="5"/>
  <c r="F11353" i="5"/>
  <c r="F11352" i="5"/>
  <c r="F11351" i="5"/>
  <c r="F11350" i="5"/>
  <c r="F11349" i="5"/>
  <c r="F11348" i="5"/>
  <c r="F11347" i="5"/>
  <c r="F11346" i="5"/>
  <c r="F11345" i="5"/>
  <c r="F11344" i="5"/>
  <c r="F11343" i="5"/>
  <c r="F11342" i="5"/>
  <c r="F11341" i="5"/>
  <c r="F11340" i="5"/>
  <c r="F11339" i="5"/>
  <c r="F11338" i="5"/>
  <c r="F11337" i="5"/>
  <c r="F11336" i="5"/>
  <c r="F11335" i="5"/>
  <c r="F11334" i="5"/>
  <c r="F11333" i="5"/>
  <c r="F11332" i="5"/>
  <c r="F11331" i="5"/>
  <c r="F11330" i="5"/>
  <c r="F11329" i="5"/>
  <c r="F11328" i="5"/>
  <c r="F11327" i="5"/>
  <c r="F11326" i="5"/>
  <c r="F11325" i="5"/>
  <c r="F11324" i="5"/>
  <c r="F11323" i="5"/>
  <c r="F11322" i="5"/>
  <c r="F11321" i="5"/>
  <c r="F11320" i="5"/>
  <c r="F11319" i="5"/>
  <c r="F11318" i="5"/>
  <c r="F11317" i="5"/>
  <c r="F11316" i="5"/>
  <c r="F11315" i="5"/>
  <c r="F11314" i="5"/>
  <c r="F11313" i="5"/>
  <c r="F11312" i="5"/>
  <c r="F11311" i="5"/>
  <c r="F11310" i="5"/>
  <c r="F11309" i="5"/>
  <c r="F11308" i="5"/>
  <c r="F11307" i="5"/>
  <c r="F11306" i="5"/>
  <c r="F11305" i="5"/>
  <c r="F11304" i="5"/>
  <c r="F11303" i="5"/>
  <c r="F11302" i="5"/>
  <c r="F11301" i="5"/>
  <c r="F11300" i="5"/>
  <c r="F11299" i="5"/>
  <c r="F11298" i="5"/>
  <c r="F11297" i="5"/>
  <c r="F11296" i="5"/>
  <c r="F11295" i="5"/>
  <c r="F11294" i="5"/>
  <c r="F11293" i="5"/>
  <c r="F11292" i="5"/>
  <c r="F11291" i="5"/>
  <c r="F11290" i="5"/>
  <c r="F11289" i="5"/>
  <c r="F11288" i="5"/>
  <c r="F11287" i="5"/>
  <c r="F11286" i="5"/>
  <c r="F11285" i="5"/>
  <c r="F11284" i="5"/>
  <c r="F11283" i="5"/>
  <c r="F11282" i="5"/>
  <c r="F11281" i="5"/>
  <c r="F11280" i="5"/>
  <c r="F11279" i="5"/>
  <c r="F11278" i="5"/>
  <c r="F11277" i="5"/>
  <c r="F11276" i="5"/>
  <c r="F11275" i="5"/>
  <c r="F11274" i="5"/>
  <c r="F11273" i="5"/>
  <c r="F11272" i="5"/>
  <c r="F11271" i="5"/>
  <c r="F11270" i="5"/>
  <c r="F11269" i="5"/>
  <c r="F11268" i="5"/>
  <c r="F11267" i="5"/>
  <c r="F11266" i="5"/>
  <c r="F11265" i="5"/>
  <c r="F11264" i="5"/>
  <c r="F11263" i="5"/>
  <c r="F11262" i="5"/>
  <c r="F11261" i="5"/>
  <c r="F11260" i="5"/>
  <c r="F11259" i="5"/>
  <c r="F11258" i="5"/>
  <c r="F11257" i="5"/>
  <c r="F11256" i="5"/>
  <c r="F11255" i="5"/>
  <c r="F11254" i="5"/>
  <c r="F11253" i="5"/>
  <c r="F11252" i="5"/>
  <c r="F11251" i="5"/>
  <c r="F11250" i="5"/>
  <c r="F11249" i="5"/>
  <c r="F11248" i="5"/>
  <c r="F11247" i="5"/>
  <c r="F11246" i="5"/>
  <c r="F11245" i="5"/>
  <c r="F11244" i="5"/>
  <c r="F11243" i="5"/>
  <c r="F11242" i="5"/>
  <c r="F11241" i="5"/>
  <c r="F11240" i="5"/>
  <c r="F11239" i="5"/>
  <c r="F11238" i="5"/>
  <c r="F11237" i="5"/>
  <c r="F11236" i="5"/>
  <c r="F11235" i="5"/>
  <c r="F11234" i="5"/>
  <c r="F11233" i="5"/>
  <c r="F11232" i="5"/>
  <c r="F11231" i="5"/>
  <c r="F11230" i="5"/>
  <c r="F11229" i="5"/>
  <c r="F11228" i="5"/>
  <c r="F11227" i="5"/>
  <c r="F11226" i="5"/>
  <c r="F11225" i="5"/>
  <c r="F11224" i="5"/>
  <c r="F11223" i="5"/>
  <c r="F11222" i="5"/>
  <c r="F11221" i="5"/>
  <c r="F11220" i="5"/>
  <c r="F11219" i="5"/>
  <c r="F11218" i="5"/>
  <c r="F11217" i="5"/>
  <c r="F11216" i="5"/>
  <c r="F11215" i="5"/>
  <c r="F11214" i="5"/>
  <c r="F11213" i="5"/>
  <c r="F11212" i="5"/>
  <c r="F11211" i="5"/>
  <c r="F11210" i="5"/>
  <c r="F11209" i="5"/>
  <c r="F11208" i="5"/>
  <c r="F11207" i="5"/>
  <c r="F11206" i="5"/>
  <c r="F11205" i="5"/>
  <c r="F11204" i="5"/>
  <c r="F11203" i="5"/>
  <c r="F11202" i="5"/>
  <c r="F11201" i="5"/>
  <c r="F11200" i="5"/>
  <c r="F11199" i="5"/>
  <c r="F11198" i="5"/>
  <c r="F11197" i="5"/>
  <c r="F11196" i="5"/>
  <c r="F11195" i="5"/>
  <c r="F11194" i="5"/>
  <c r="F11193" i="5"/>
  <c r="F11192" i="5"/>
  <c r="F11191" i="5"/>
  <c r="F11190" i="5"/>
  <c r="F11189" i="5"/>
  <c r="F11188" i="5"/>
  <c r="F11187" i="5"/>
  <c r="F11186" i="5"/>
  <c r="F11185" i="5"/>
  <c r="F11184" i="5"/>
  <c r="F11183" i="5"/>
  <c r="F11182" i="5"/>
  <c r="F11181" i="5"/>
  <c r="F11180" i="5"/>
  <c r="F11179" i="5"/>
  <c r="F11178" i="5"/>
  <c r="F11177" i="5"/>
  <c r="F11176" i="5"/>
  <c r="F11175" i="5"/>
  <c r="F11174" i="5"/>
  <c r="F11173" i="5"/>
  <c r="F11172" i="5"/>
  <c r="F11171" i="5"/>
  <c r="F11170" i="5"/>
  <c r="F11169" i="5"/>
  <c r="F11168" i="5"/>
  <c r="F11167" i="5"/>
  <c r="F11166" i="5"/>
  <c r="F11165" i="5"/>
  <c r="F11164" i="5"/>
  <c r="F11163" i="5"/>
  <c r="F11162" i="5"/>
  <c r="F11161" i="5"/>
  <c r="F11160" i="5"/>
  <c r="F11159" i="5"/>
  <c r="F11158" i="5"/>
  <c r="F11157" i="5"/>
  <c r="F11156" i="5"/>
  <c r="F11155" i="5"/>
  <c r="F11154" i="5"/>
  <c r="F11153" i="5"/>
  <c r="F11152" i="5"/>
  <c r="F11151" i="5"/>
  <c r="F11150" i="5"/>
  <c r="F11149" i="5"/>
  <c r="F11148" i="5"/>
  <c r="F11147" i="5"/>
  <c r="F11146" i="5"/>
  <c r="F11145" i="5"/>
  <c r="F11144" i="5"/>
  <c r="F11143" i="5"/>
  <c r="F11142" i="5"/>
  <c r="F11141" i="5"/>
  <c r="F11140" i="5"/>
  <c r="F11139" i="5"/>
  <c r="F11138" i="5"/>
  <c r="F11137" i="5"/>
  <c r="F11136" i="5"/>
  <c r="F11135" i="5"/>
  <c r="F11134" i="5"/>
  <c r="F11133" i="5"/>
  <c r="F11132" i="5"/>
  <c r="F11131" i="5"/>
  <c r="F11130" i="5"/>
  <c r="F11129" i="5"/>
  <c r="F11128" i="5"/>
  <c r="F11127" i="5"/>
  <c r="F11126" i="5"/>
  <c r="F11125" i="5"/>
  <c r="F11124" i="5"/>
  <c r="F11123" i="5"/>
  <c r="F11122" i="5"/>
  <c r="F11121" i="5"/>
  <c r="F11120" i="5"/>
  <c r="F11119" i="5"/>
  <c r="F11118" i="5"/>
  <c r="F11117" i="5"/>
  <c r="F11116" i="5"/>
  <c r="F11115" i="5"/>
  <c r="F11114" i="5"/>
  <c r="F11113" i="5"/>
  <c r="F11112" i="5"/>
  <c r="F11111" i="5"/>
  <c r="F11110" i="5"/>
  <c r="F11109" i="5"/>
  <c r="F11108" i="5"/>
  <c r="F11107" i="5"/>
  <c r="F11106" i="5"/>
  <c r="F11105" i="5"/>
  <c r="F11104" i="5"/>
  <c r="F11103" i="5"/>
  <c r="F11102" i="5"/>
  <c r="F11101" i="5"/>
  <c r="F11100" i="5"/>
  <c r="F11099" i="5"/>
  <c r="F11098" i="5"/>
  <c r="F11097" i="5"/>
  <c r="F11096" i="5"/>
  <c r="F11095" i="5"/>
  <c r="F11094" i="5"/>
  <c r="F11093" i="5"/>
  <c r="F11092" i="5"/>
  <c r="F11091" i="5"/>
  <c r="F11090" i="5"/>
  <c r="F11089" i="5"/>
  <c r="F11088" i="5"/>
  <c r="F11087" i="5"/>
  <c r="F11086" i="5"/>
  <c r="F11085" i="5"/>
  <c r="F11084" i="5"/>
  <c r="F11083" i="5"/>
  <c r="F11082" i="5"/>
  <c r="F11081" i="5"/>
  <c r="F11080" i="5"/>
  <c r="F11079" i="5"/>
  <c r="F11078" i="5"/>
  <c r="F11077" i="5"/>
  <c r="F11076" i="5"/>
  <c r="F11075" i="5"/>
  <c r="F11074" i="5"/>
  <c r="F11073" i="5"/>
  <c r="F11072" i="5"/>
  <c r="F11071" i="5"/>
  <c r="F11070" i="5"/>
  <c r="F11069" i="5"/>
  <c r="F11068" i="5"/>
  <c r="F11067" i="5"/>
  <c r="F11066" i="5"/>
  <c r="F11065" i="5"/>
  <c r="F11064" i="5"/>
  <c r="F11063" i="5"/>
  <c r="F11062" i="5"/>
  <c r="F11061" i="5"/>
  <c r="F11060" i="5"/>
  <c r="F11059" i="5"/>
  <c r="F11058" i="5"/>
  <c r="F11057" i="5"/>
  <c r="F11056" i="5"/>
  <c r="F11055" i="5"/>
  <c r="F11054" i="5"/>
  <c r="F11053" i="5"/>
  <c r="F11052" i="5"/>
  <c r="F11051" i="5"/>
  <c r="F11050" i="5"/>
  <c r="F11049" i="5"/>
  <c r="F11048" i="5"/>
  <c r="F11047" i="5"/>
  <c r="F11046" i="5"/>
  <c r="F11045" i="5"/>
  <c r="F11044" i="5"/>
  <c r="F11043" i="5"/>
  <c r="F11042" i="5"/>
  <c r="F11041" i="5"/>
  <c r="F11040" i="5"/>
  <c r="F11039" i="5"/>
  <c r="F11038" i="5"/>
  <c r="F11037" i="5"/>
  <c r="F11036" i="5"/>
  <c r="F11035" i="5"/>
  <c r="F11034" i="5"/>
  <c r="F11033" i="5"/>
  <c r="F11032" i="5"/>
  <c r="F11031" i="5"/>
  <c r="F11030" i="5"/>
  <c r="F11029" i="5"/>
  <c r="F11028" i="5"/>
  <c r="F11027" i="5"/>
  <c r="F11026" i="5"/>
  <c r="F11025" i="5"/>
  <c r="F11024" i="5"/>
  <c r="F11023" i="5"/>
  <c r="F11022" i="5"/>
  <c r="F11021" i="5"/>
  <c r="F11020" i="5"/>
  <c r="F11019" i="5"/>
  <c r="F11018" i="5"/>
  <c r="F11017" i="5"/>
  <c r="F11016" i="5"/>
  <c r="F11015" i="5"/>
  <c r="F11014" i="5"/>
  <c r="F11013" i="5"/>
  <c r="F11012" i="5"/>
  <c r="F11011" i="5"/>
  <c r="F11010" i="5"/>
  <c r="F11009" i="5"/>
  <c r="F11008" i="5"/>
  <c r="F11007" i="5"/>
  <c r="F11006" i="5"/>
  <c r="F11005" i="5"/>
  <c r="F11004" i="5"/>
  <c r="F11003" i="5"/>
  <c r="F11002" i="5"/>
  <c r="F11001" i="5"/>
  <c r="F11000" i="5"/>
  <c r="F10999" i="5"/>
  <c r="F10998" i="5"/>
  <c r="F10997" i="5"/>
  <c r="F10996" i="5"/>
  <c r="F10995" i="5"/>
  <c r="F10994" i="5"/>
  <c r="F10993" i="5"/>
  <c r="F10992" i="5"/>
  <c r="F10991" i="5"/>
  <c r="F10990" i="5"/>
  <c r="F10989" i="5"/>
  <c r="F10988" i="5"/>
  <c r="F10987" i="5"/>
  <c r="F10986" i="5"/>
  <c r="F10985" i="5"/>
  <c r="F10984" i="5"/>
  <c r="F10983" i="5"/>
  <c r="F10982" i="5"/>
  <c r="F10981" i="5"/>
  <c r="F10980" i="5"/>
  <c r="F10979" i="5"/>
  <c r="F10978" i="5"/>
  <c r="F10977" i="5"/>
  <c r="F10976" i="5"/>
  <c r="F10975" i="5"/>
  <c r="F10974" i="5"/>
  <c r="F10973" i="5"/>
  <c r="F10972" i="5"/>
  <c r="F10971" i="5"/>
  <c r="F10970" i="5"/>
  <c r="F10969" i="5"/>
  <c r="F10968" i="5"/>
  <c r="F10967" i="5"/>
  <c r="F10966" i="5"/>
  <c r="F10965" i="5"/>
  <c r="F10964" i="5"/>
  <c r="F10963" i="5"/>
  <c r="F10962" i="5"/>
  <c r="F10961" i="5"/>
  <c r="F10960" i="5"/>
  <c r="F10959" i="5"/>
  <c r="F10958" i="5"/>
  <c r="F10957" i="5"/>
  <c r="F10956" i="5"/>
  <c r="F10955" i="5"/>
  <c r="F10954" i="5"/>
  <c r="F10953" i="5"/>
  <c r="F10952" i="5"/>
  <c r="F10951" i="5"/>
  <c r="F10950" i="5"/>
  <c r="F10949" i="5"/>
  <c r="F10948" i="5"/>
  <c r="F10947" i="5"/>
  <c r="F10946" i="5"/>
  <c r="F10945" i="5"/>
  <c r="F10944" i="5"/>
  <c r="F10943" i="5"/>
  <c r="F10942" i="5"/>
  <c r="F10941" i="5"/>
  <c r="F10940" i="5"/>
  <c r="F10939" i="5"/>
  <c r="F10938" i="5"/>
  <c r="F10937" i="5"/>
  <c r="F10936" i="5"/>
  <c r="F10935" i="5"/>
  <c r="F10934" i="5"/>
  <c r="F10933" i="5"/>
  <c r="F10932" i="5"/>
  <c r="F10931" i="5"/>
  <c r="F10930" i="5"/>
  <c r="F10929" i="5"/>
  <c r="F10928" i="5"/>
  <c r="F10927" i="5"/>
  <c r="F10926" i="5"/>
  <c r="F10925" i="5"/>
  <c r="F10924" i="5"/>
  <c r="F10923" i="5"/>
  <c r="F10922" i="5"/>
  <c r="F10921" i="5"/>
  <c r="F10920" i="5"/>
  <c r="F10919" i="5"/>
  <c r="F10918" i="5"/>
  <c r="F10917" i="5"/>
  <c r="F10916" i="5"/>
  <c r="F10915" i="5"/>
  <c r="F10914" i="5"/>
  <c r="F10913" i="5"/>
  <c r="F10912" i="5"/>
  <c r="F10911" i="5"/>
  <c r="F10910" i="5"/>
  <c r="F10909" i="5"/>
  <c r="F10908" i="5"/>
  <c r="F10907" i="5"/>
  <c r="F10906" i="5"/>
  <c r="F10905" i="5"/>
  <c r="F10904" i="5"/>
  <c r="F10903" i="5"/>
  <c r="F10902" i="5"/>
  <c r="F10901" i="5"/>
  <c r="F10900" i="5"/>
  <c r="F10899" i="5"/>
  <c r="F10898" i="5"/>
  <c r="F10897" i="5"/>
  <c r="F10896" i="5"/>
  <c r="F10895" i="5"/>
  <c r="F10894" i="5"/>
  <c r="F10893" i="5"/>
  <c r="F10892" i="5"/>
  <c r="F10891" i="5"/>
  <c r="F10890" i="5"/>
  <c r="F10889" i="5"/>
  <c r="F10888" i="5"/>
  <c r="F10887" i="5"/>
  <c r="F10886" i="5"/>
  <c r="F10885" i="5"/>
  <c r="F10884" i="5"/>
  <c r="F10883" i="5"/>
  <c r="F10882" i="5"/>
  <c r="F10881" i="5"/>
  <c r="F10880" i="5"/>
  <c r="F10879" i="5"/>
  <c r="F10878" i="5"/>
  <c r="F10877" i="5"/>
  <c r="F10876" i="5"/>
  <c r="F10875" i="5"/>
  <c r="F10874" i="5"/>
  <c r="F10873" i="5"/>
  <c r="F10872" i="5"/>
  <c r="F10871" i="5"/>
  <c r="F10870" i="5"/>
  <c r="F10869" i="5"/>
  <c r="F10868" i="5"/>
  <c r="F10867" i="5"/>
  <c r="F10866" i="5"/>
  <c r="F10865" i="5"/>
  <c r="F10864" i="5"/>
  <c r="F10863" i="5"/>
  <c r="F10862" i="5"/>
  <c r="F10861" i="5"/>
  <c r="F10860" i="5"/>
  <c r="F10859" i="5"/>
  <c r="F10858" i="5"/>
  <c r="F10857" i="5"/>
  <c r="F10856" i="5"/>
  <c r="F10855" i="5"/>
  <c r="F10854" i="5"/>
  <c r="F10853" i="5"/>
  <c r="F10852" i="5"/>
  <c r="F10851" i="5"/>
  <c r="F10850" i="5"/>
  <c r="F10849" i="5"/>
  <c r="F10848" i="5"/>
  <c r="F10847" i="5"/>
  <c r="F10846" i="5"/>
  <c r="F10845" i="5"/>
  <c r="F10844" i="5"/>
  <c r="F10843" i="5"/>
  <c r="F10842" i="5"/>
  <c r="F10841" i="5"/>
  <c r="F10840" i="5"/>
  <c r="F10839" i="5"/>
  <c r="F10838" i="5"/>
  <c r="F10837" i="5"/>
  <c r="F10836" i="5"/>
  <c r="F10835" i="5"/>
  <c r="F10834" i="5"/>
  <c r="F10833" i="5"/>
  <c r="F10832" i="5"/>
  <c r="F10831" i="5"/>
  <c r="F10830" i="5"/>
  <c r="F10829" i="5"/>
  <c r="F10828" i="5"/>
  <c r="F10827" i="5"/>
  <c r="F10826" i="5"/>
  <c r="F10825" i="5"/>
  <c r="F10824" i="5"/>
  <c r="F10823" i="5"/>
  <c r="F10822" i="5"/>
  <c r="F10821" i="5"/>
  <c r="F10820" i="5"/>
  <c r="F10819" i="5"/>
  <c r="F10818" i="5"/>
  <c r="F10817" i="5"/>
  <c r="F10816" i="5"/>
  <c r="F10815" i="5"/>
  <c r="F10814" i="5"/>
  <c r="F10813" i="5"/>
  <c r="F10812" i="5"/>
  <c r="F10811" i="5"/>
  <c r="F10810" i="5"/>
  <c r="F10809" i="5"/>
  <c r="F10808" i="5"/>
  <c r="F10807" i="5"/>
  <c r="F10806" i="5"/>
  <c r="F10805" i="5"/>
  <c r="F10804" i="5"/>
  <c r="F10803" i="5"/>
  <c r="F10802" i="5"/>
  <c r="F10801" i="5"/>
  <c r="F10800" i="5"/>
  <c r="F10799" i="5"/>
  <c r="F10798" i="5"/>
  <c r="F10797" i="5"/>
  <c r="F10796" i="5"/>
  <c r="F10795" i="5"/>
  <c r="F10794" i="5"/>
  <c r="F10793" i="5"/>
  <c r="F10792" i="5"/>
  <c r="F10791" i="5"/>
  <c r="F10790" i="5"/>
  <c r="F10789" i="5"/>
  <c r="F10788" i="5"/>
  <c r="F10787" i="5"/>
  <c r="F10786" i="5"/>
  <c r="F10785" i="5"/>
  <c r="F10784" i="5"/>
  <c r="F10783" i="5"/>
  <c r="F10782" i="5"/>
  <c r="F10781" i="5"/>
  <c r="F10780" i="5"/>
  <c r="F10779" i="5"/>
  <c r="F10778" i="5"/>
  <c r="F10777" i="5"/>
  <c r="F10776" i="5"/>
  <c r="F10775" i="5"/>
  <c r="F10774" i="5"/>
  <c r="F10773" i="5"/>
  <c r="F10772" i="5"/>
  <c r="F10771" i="5"/>
  <c r="F10770" i="5"/>
  <c r="F10769" i="5"/>
  <c r="F10768" i="5"/>
  <c r="F10767" i="5"/>
  <c r="F10766" i="5"/>
  <c r="F10765" i="5"/>
  <c r="F10764" i="5"/>
  <c r="F10763" i="5"/>
  <c r="F10762" i="5"/>
  <c r="F10761" i="5"/>
  <c r="F10760" i="5"/>
  <c r="F10759" i="5"/>
  <c r="F10758" i="5"/>
  <c r="F10757" i="5"/>
  <c r="F10756" i="5"/>
  <c r="F10755" i="5"/>
  <c r="F10754" i="5"/>
  <c r="F10753" i="5"/>
  <c r="F10752" i="5"/>
  <c r="F10751" i="5"/>
  <c r="F10750" i="5"/>
  <c r="F10749" i="5"/>
  <c r="F10748" i="5"/>
  <c r="F10747" i="5"/>
  <c r="F10746" i="5"/>
  <c r="F10745" i="5"/>
  <c r="F10744" i="5"/>
  <c r="F10743" i="5"/>
  <c r="F10742" i="5"/>
  <c r="F10741" i="5"/>
  <c r="F10740" i="5"/>
  <c r="F10739" i="5"/>
  <c r="F10738" i="5"/>
  <c r="F10737" i="5"/>
  <c r="F10736" i="5"/>
  <c r="F10735" i="5"/>
  <c r="F10734" i="5"/>
  <c r="F10733" i="5"/>
  <c r="F10732" i="5"/>
  <c r="F10731" i="5"/>
  <c r="F10730" i="5"/>
  <c r="F10729" i="5"/>
  <c r="F10728" i="5"/>
  <c r="F10727" i="5"/>
  <c r="F10726" i="5"/>
  <c r="F10725" i="5"/>
  <c r="F10724" i="5"/>
  <c r="F10723" i="5"/>
  <c r="F10722" i="5"/>
  <c r="F10721" i="5"/>
  <c r="F10720" i="5"/>
  <c r="F10719" i="5"/>
  <c r="F10718" i="5"/>
  <c r="F10717" i="5"/>
  <c r="F10716" i="5"/>
  <c r="F10715" i="5"/>
  <c r="F10714" i="5"/>
  <c r="F10713" i="5"/>
  <c r="F10712" i="5"/>
  <c r="F10711" i="5"/>
  <c r="F10710" i="5"/>
  <c r="F10709" i="5"/>
  <c r="F10708" i="5"/>
  <c r="F10707" i="5"/>
  <c r="F10706" i="5"/>
  <c r="F10705" i="5"/>
  <c r="F10704" i="5"/>
  <c r="F10703" i="5"/>
  <c r="F10702" i="5"/>
  <c r="F10701" i="5"/>
  <c r="F10700" i="5"/>
  <c r="F10699" i="5"/>
  <c r="F10698" i="5"/>
  <c r="F10697" i="5"/>
  <c r="F10696" i="5"/>
  <c r="F10695" i="5"/>
  <c r="F10694" i="5"/>
  <c r="F10693" i="5"/>
  <c r="F10692" i="5"/>
  <c r="F10691" i="5"/>
  <c r="F10690" i="5"/>
  <c r="F10689" i="5"/>
  <c r="F10688" i="5"/>
  <c r="F10687" i="5"/>
  <c r="F10686" i="5"/>
  <c r="F10685" i="5"/>
  <c r="F10684" i="5"/>
  <c r="F10683" i="5"/>
  <c r="F10682" i="5"/>
  <c r="F10681" i="5"/>
  <c r="F10680" i="5"/>
  <c r="F10679" i="5"/>
  <c r="F10678" i="5"/>
  <c r="F10677" i="5"/>
  <c r="F10676" i="5"/>
  <c r="F10675" i="5"/>
  <c r="F10674" i="5"/>
  <c r="F10673" i="5"/>
  <c r="F10672" i="5"/>
  <c r="F10671" i="5"/>
  <c r="F10670" i="5"/>
  <c r="F10669" i="5"/>
  <c r="F10668" i="5"/>
  <c r="F10667" i="5"/>
  <c r="F10666" i="5"/>
  <c r="F10665" i="5"/>
  <c r="F10664" i="5"/>
  <c r="F10663" i="5"/>
  <c r="F10662" i="5"/>
  <c r="F10661" i="5"/>
  <c r="F10660" i="5"/>
  <c r="F10659" i="5"/>
  <c r="F10658" i="5"/>
  <c r="F10657" i="5"/>
  <c r="F10656" i="5"/>
  <c r="F10655" i="5"/>
  <c r="F10654" i="5"/>
  <c r="F10653" i="5"/>
  <c r="F10652" i="5"/>
  <c r="F10651" i="5"/>
  <c r="F10650" i="5"/>
  <c r="F10649" i="5"/>
  <c r="F10648" i="5"/>
  <c r="F10647" i="5"/>
  <c r="F10646" i="5"/>
  <c r="F10645" i="5"/>
  <c r="F10644" i="5"/>
  <c r="F10643" i="5"/>
  <c r="F10642" i="5"/>
  <c r="F10641" i="5"/>
  <c r="F10640" i="5"/>
  <c r="F10639" i="5"/>
  <c r="F10638" i="5"/>
  <c r="F10637" i="5"/>
  <c r="F10636" i="5"/>
  <c r="F10635" i="5"/>
  <c r="F10634" i="5"/>
  <c r="F10633" i="5"/>
  <c r="F10632" i="5"/>
  <c r="F10631" i="5"/>
  <c r="F10630" i="5"/>
  <c r="F10629" i="5"/>
  <c r="F10628" i="5"/>
  <c r="F10627" i="5"/>
  <c r="F10626" i="5"/>
  <c r="F10625" i="5"/>
  <c r="F10624" i="5"/>
  <c r="F10623" i="5"/>
  <c r="F10622" i="5"/>
  <c r="F10621" i="5"/>
  <c r="F10620" i="5"/>
  <c r="F10619" i="5"/>
  <c r="F10618" i="5"/>
  <c r="F10617" i="5"/>
  <c r="F10616" i="5"/>
  <c r="F10615" i="5"/>
  <c r="F10614" i="5"/>
  <c r="F10613" i="5"/>
  <c r="F10612" i="5"/>
  <c r="F10611" i="5"/>
  <c r="F10610" i="5"/>
  <c r="F10609" i="5"/>
  <c r="F10608" i="5"/>
  <c r="F10607" i="5"/>
  <c r="F10606" i="5"/>
  <c r="F10605" i="5"/>
  <c r="F10604" i="5"/>
  <c r="F10603" i="5"/>
  <c r="F10602" i="5"/>
  <c r="F10601" i="5"/>
  <c r="F10600" i="5"/>
  <c r="F10599" i="5"/>
  <c r="F10598" i="5"/>
  <c r="F10597" i="5"/>
  <c r="F10596" i="5"/>
  <c r="F10595" i="5"/>
  <c r="F10594" i="5"/>
  <c r="F10593" i="5"/>
  <c r="F10592" i="5"/>
  <c r="F10591" i="5"/>
  <c r="F10590" i="5"/>
  <c r="F10589" i="5"/>
  <c r="F10588" i="5"/>
  <c r="F10587" i="5"/>
  <c r="F10586" i="5"/>
  <c r="F10585" i="5"/>
  <c r="F10584" i="5"/>
  <c r="F10583" i="5"/>
  <c r="F10582" i="5"/>
  <c r="F10581" i="5"/>
  <c r="F10580" i="5"/>
  <c r="F10579" i="5"/>
  <c r="F10578" i="5"/>
  <c r="F10577" i="5"/>
  <c r="F10576" i="5"/>
  <c r="F10575" i="5"/>
  <c r="F10574" i="5"/>
  <c r="F10573" i="5"/>
  <c r="F10572" i="5"/>
  <c r="F10571" i="5"/>
  <c r="F10570" i="5"/>
  <c r="F10569" i="5"/>
  <c r="F10568" i="5"/>
  <c r="F10567" i="5"/>
  <c r="F10566" i="5"/>
  <c r="F10565" i="5"/>
  <c r="F10564" i="5"/>
  <c r="F10563" i="5"/>
  <c r="F10562" i="5"/>
  <c r="F10561" i="5"/>
  <c r="F10560" i="5"/>
  <c r="F10559" i="5"/>
  <c r="F10558" i="5"/>
  <c r="F10557" i="5"/>
  <c r="F10556" i="5"/>
  <c r="F10555" i="5"/>
  <c r="F10554" i="5"/>
  <c r="F10553" i="5"/>
  <c r="F10552" i="5"/>
  <c r="F10551" i="5"/>
  <c r="F10550" i="5"/>
  <c r="F10549" i="5"/>
  <c r="F10548" i="5"/>
  <c r="F10547" i="5"/>
  <c r="F10546" i="5"/>
  <c r="F10545" i="5"/>
  <c r="F10544" i="5"/>
  <c r="F10543" i="5"/>
  <c r="F10542" i="5"/>
  <c r="F10541" i="5"/>
  <c r="F10540" i="5"/>
  <c r="F10539" i="5"/>
  <c r="F10538" i="5"/>
  <c r="F10537" i="5"/>
  <c r="F10536" i="5"/>
  <c r="F10535" i="5"/>
  <c r="F10534" i="5"/>
  <c r="F10533" i="5"/>
  <c r="F10532" i="5"/>
  <c r="F10531" i="5"/>
  <c r="F10530" i="5"/>
  <c r="F10529" i="5"/>
  <c r="F10528" i="5"/>
  <c r="F10527" i="5"/>
  <c r="F10526" i="5"/>
  <c r="F10525" i="5"/>
  <c r="F10524" i="5"/>
  <c r="F10523" i="5"/>
  <c r="F10522" i="5"/>
  <c r="F10521" i="5"/>
  <c r="F10520" i="5"/>
  <c r="F10519" i="5"/>
  <c r="F10518" i="5"/>
  <c r="F10517" i="5"/>
  <c r="F10516" i="5"/>
  <c r="F10515" i="5"/>
  <c r="F10514" i="5"/>
  <c r="F10513" i="5"/>
  <c r="F10512" i="5"/>
  <c r="F10511" i="5"/>
  <c r="F10510" i="5"/>
  <c r="F10509" i="5"/>
  <c r="F10508" i="5"/>
  <c r="F10507" i="5"/>
  <c r="F10506" i="5"/>
  <c r="F10505" i="5"/>
  <c r="F10504" i="5"/>
  <c r="F10503" i="5"/>
  <c r="F10502" i="5"/>
  <c r="F10501" i="5"/>
  <c r="F10500" i="5"/>
  <c r="F10499" i="5"/>
  <c r="F10498" i="5"/>
  <c r="F10497" i="5"/>
  <c r="F10496" i="5"/>
  <c r="F10495" i="5"/>
  <c r="F10494" i="5"/>
  <c r="F10493" i="5"/>
  <c r="F10492" i="5"/>
  <c r="F10491" i="5"/>
  <c r="F10490" i="5"/>
  <c r="F10489" i="5"/>
  <c r="F10488" i="5"/>
  <c r="F10487" i="5"/>
  <c r="F10486" i="5"/>
  <c r="F10485" i="5"/>
  <c r="F10484" i="5"/>
  <c r="F10483" i="5"/>
  <c r="F10482" i="5"/>
  <c r="F10481" i="5"/>
  <c r="F10480" i="5"/>
  <c r="F10479" i="5"/>
  <c r="F10478" i="5"/>
  <c r="F10477" i="5"/>
  <c r="F10476" i="5"/>
  <c r="F10475" i="5"/>
  <c r="F10474" i="5"/>
  <c r="F10473" i="5"/>
  <c r="F10472" i="5"/>
  <c r="F10471" i="5"/>
  <c r="F10470" i="5"/>
  <c r="F10469" i="5"/>
  <c r="F10468" i="5"/>
  <c r="F10467" i="5"/>
  <c r="F10466" i="5"/>
  <c r="F10465" i="5"/>
  <c r="F10464" i="5"/>
  <c r="F10463" i="5"/>
  <c r="F10462" i="5"/>
  <c r="F10461" i="5"/>
  <c r="F10460" i="5"/>
  <c r="F10459" i="5"/>
  <c r="F10458" i="5"/>
  <c r="F10457" i="5"/>
  <c r="F10456" i="5"/>
  <c r="F10455" i="5"/>
  <c r="F10454" i="5"/>
  <c r="F10453" i="5"/>
  <c r="F10452" i="5"/>
  <c r="F10451" i="5"/>
  <c r="F10450" i="5"/>
  <c r="F10449" i="5"/>
  <c r="F10448" i="5"/>
  <c r="F10447" i="5"/>
  <c r="F10446" i="5"/>
  <c r="F10445" i="5"/>
  <c r="F10444" i="5"/>
  <c r="F10443" i="5"/>
  <c r="F10442" i="5"/>
  <c r="F10441" i="5"/>
  <c r="F10440" i="5"/>
  <c r="F10439" i="5"/>
  <c r="F10438" i="5"/>
  <c r="F10437" i="5"/>
  <c r="F10436" i="5"/>
  <c r="F10435" i="5"/>
  <c r="F10434" i="5"/>
  <c r="F10433" i="5"/>
  <c r="F10432" i="5"/>
  <c r="F10431" i="5"/>
  <c r="F10430" i="5"/>
  <c r="F10429" i="5"/>
  <c r="F10428" i="5"/>
  <c r="F10427" i="5"/>
  <c r="F10426" i="5"/>
  <c r="F10425" i="5"/>
  <c r="F10424" i="5"/>
  <c r="F10423" i="5"/>
  <c r="F10422" i="5"/>
  <c r="F10421" i="5"/>
  <c r="F10420" i="5"/>
  <c r="F10419" i="5"/>
  <c r="F10418" i="5"/>
  <c r="F10417" i="5"/>
  <c r="F10416" i="5"/>
  <c r="F10415" i="5"/>
  <c r="F10414" i="5"/>
  <c r="F10413" i="5"/>
  <c r="F10412" i="5"/>
  <c r="F10411" i="5"/>
  <c r="F10410" i="5"/>
  <c r="F10409" i="5"/>
  <c r="F10408" i="5"/>
  <c r="F10407" i="5"/>
  <c r="F10406" i="5"/>
  <c r="F10405" i="5"/>
  <c r="F10404" i="5"/>
  <c r="F10403" i="5"/>
  <c r="F10402" i="5"/>
  <c r="F10401" i="5"/>
  <c r="F10400" i="5"/>
  <c r="F10399" i="5"/>
  <c r="F10398" i="5"/>
  <c r="F10397" i="5"/>
  <c r="F10396" i="5"/>
  <c r="F10395" i="5"/>
  <c r="F10394" i="5"/>
  <c r="F10393" i="5"/>
  <c r="F10392" i="5"/>
  <c r="F10391" i="5"/>
  <c r="F10390" i="5"/>
  <c r="F10389" i="5"/>
  <c r="F10388" i="5"/>
  <c r="F10387" i="5"/>
  <c r="F10386" i="5"/>
  <c r="F10385" i="5"/>
  <c r="F10384" i="5"/>
  <c r="F10383" i="5"/>
  <c r="F10382" i="5"/>
  <c r="F10381" i="5"/>
  <c r="F10380" i="5"/>
  <c r="F10379" i="5"/>
  <c r="F10378" i="5"/>
  <c r="F10377" i="5"/>
  <c r="F10376" i="5"/>
  <c r="F10375" i="5"/>
  <c r="F10374" i="5"/>
  <c r="F10373" i="5"/>
  <c r="F10372" i="5"/>
  <c r="F10371" i="5"/>
  <c r="F10370" i="5"/>
  <c r="F10369" i="5"/>
  <c r="F10368" i="5"/>
  <c r="F10367" i="5"/>
  <c r="F10366" i="5"/>
  <c r="F10365" i="5"/>
  <c r="F10364" i="5"/>
  <c r="F10363" i="5"/>
  <c r="F10362" i="5"/>
  <c r="F10361" i="5"/>
  <c r="F10360" i="5"/>
  <c r="F10359" i="5"/>
  <c r="F10358" i="5"/>
  <c r="F10357" i="5"/>
  <c r="F10356" i="5"/>
  <c r="F10355" i="5"/>
  <c r="F10354" i="5"/>
  <c r="F10353" i="5"/>
  <c r="F10352" i="5"/>
  <c r="F10351" i="5"/>
  <c r="F10350" i="5"/>
  <c r="F10349" i="5"/>
  <c r="F10348" i="5"/>
  <c r="F10347" i="5"/>
  <c r="F10346" i="5"/>
  <c r="F10345" i="5"/>
  <c r="F10344" i="5"/>
  <c r="F10343" i="5"/>
  <c r="F10342" i="5"/>
  <c r="F10341" i="5"/>
  <c r="F10340" i="5"/>
  <c r="F10339" i="5"/>
  <c r="F10338" i="5"/>
  <c r="F10337" i="5"/>
  <c r="F10336" i="5"/>
  <c r="F10335" i="5"/>
  <c r="F10334" i="5"/>
  <c r="F10333" i="5"/>
  <c r="F10332" i="5"/>
  <c r="F10331" i="5"/>
  <c r="F10330" i="5"/>
  <c r="F10329" i="5"/>
  <c r="F10328" i="5"/>
  <c r="F10327" i="5"/>
  <c r="F10326" i="5"/>
  <c r="F10325" i="5"/>
  <c r="F10324" i="5"/>
  <c r="F10323" i="5"/>
  <c r="F10322" i="5"/>
  <c r="F10321" i="5"/>
  <c r="F10320" i="5"/>
  <c r="F10319" i="5"/>
  <c r="F10318" i="5"/>
  <c r="F10317" i="5"/>
  <c r="F10316" i="5"/>
  <c r="F10315" i="5"/>
  <c r="F10314" i="5"/>
  <c r="F10313" i="5"/>
  <c r="F10312" i="5"/>
  <c r="F10311" i="5"/>
  <c r="F10310" i="5"/>
  <c r="F10309" i="5"/>
  <c r="F10308" i="5"/>
  <c r="F10307" i="5"/>
  <c r="F10306" i="5"/>
  <c r="F10305" i="5"/>
  <c r="F10304" i="5"/>
  <c r="F10303" i="5"/>
  <c r="F10302" i="5"/>
  <c r="F10301" i="5"/>
  <c r="F10300" i="5"/>
  <c r="F10299" i="5"/>
  <c r="F10298" i="5"/>
  <c r="F10297" i="5"/>
  <c r="F10296" i="5"/>
  <c r="F10295" i="5"/>
  <c r="F10294" i="5"/>
  <c r="F10293" i="5"/>
  <c r="F10292" i="5"/>
  <c r="F10291" i="5"/>
  <c r="F10290" i="5"/>
  <c r="F10289" i="5"/>
  <c r="F10288" i="5"/>
  <c r="F10287" i="5"/>
  <c r="F10286" i="5"/>
  <c r="F10285" i="5"/>
  <c r="F10284" i="5"/>
  <c r="F10283" i="5"/>
  <c r="F10282" i="5"/>
  <c r="F10281" i="5"/>
  <c r="F10280" i="5"/>
  <c r="F10279" i="5"/>
  <c r="F10278" i="5"/>
  <c r="F10277" i="5"/>
  <c r="F10276" i="5"/>
  <c r="F10275" i="5"/>
  <c r="F10274" i="5"/>
  <c r="F10273" i="5"/>
  <c r="F10272" i="5"/>
  <c r="F10271" i="5"/>
  <c r="F10270" i="5"/>
  <c r="F10269" i="5"/>
  <c r="F10268" i="5"/>
  <c r="F10267" i="5"/>
  <c r="F10266" i="5"/>
  <c r="F10265" i="5"/>
  <c r="F10264" i="5"/>
  <c r="F10263" i="5"/>
  <c r="F10262" i="5"/>
  <c r="F10261" i="5"/>
  <c r="F10260" i="5"/>
  <c r="F10259" i="5"/>
  <c r="F10258" i="5"/>
  <c r="F10257" i="5"/>
  <c r="F10256" i="5"/>
  <c r="F10255" i="5"/>
  <c r="F10254" i="5"/>
  <c r="F10253" i="5"/>
  <c r="F10252" i="5"/>
  <c r="F10251" i="5"/>
  <c r="F10250" i="5"/>
  <c r="F10249" i="5"/>
  <c r="F10248" i="5"/>
  <c r="F10247" i="5"/>
  <c r="F10246" i="5"/>
  <c r="F10245" i="5"/>
  <c r="F10244" i="5"/>
  <c r="F10243" i="5"/>
  <c r="F10242" i="5"/>
  <c r="F10241" i="5"/>
  <c r="F10240" i="5"/>
  <c r="F10239" i="5"/>
  <c r="F10238" i="5"/>
  <c r="F10237" i="5"/>
  <c r="F10236" i="5"/>
  <c r="F10235" i="5"/>
  <c r="F10234" i="5"/>
  <c r="F10233" i="5"/>
  <c r="F10232" i="5"/>
  <c r="F10231" i="5"/>
  <c r="F10230" i="5"/>
  <c r="F10229" i="5"/>
  <c r="F10228" i="5"/>
  <c r="F10227" i="5"/>
  <c r="F10226" i="5"/>
  <c r="F10225" i="5"/>
  <c r="F10224" i="5"/>
  <c r="F10223" i="5"/>
  <c r="F10222" i="5"/>
  <c r="F10221" i="5"/>
  <c r="F10220" i="5"/>
  <c r="F10219" i="5"/>
  <c r="F10218" i="5"/>
  <c r="F10217" i="5"/>
  <c r="F10216" i="5"/>
  <c r="F10215" i="5"/>
  <c r="F10214" i="5"/>
  <c r="F10213" i="5"/>
  <c r="F10212" i="5"/>
  <c r="F10211" i="5"/>
  <c r="F10210" i="5"/>
  <c r="F10209" i="5"/>
  <c r="F10208" i="5"/>
  <c r="F10207" i="5"/>
  <c r="F10206" i="5"/>
  <c r="F10205" i="5"/>
  <c r="F10204" i="5"/>
  <c r="F10203" i="5"/>
  <c r="F10202" i="5"/>
  <c r="F10201" i="5"/>
  <c r="F10200" i="5"/>
  <c r="F10199" i="5"/>
  <c r="F10198" i="5"/>
  <c r="F10197" i="5"/>
  <c r="F10196" i="5"/>
  <c r="F10195" i="5"/>
  <c r="F10194" i="5"/>
  <c r="F10193" i="5"/>
  <c r="F10192" i="5"/>
  <c r="F10191" i="5"/>
  <c r="F10190" i="5"/>
  <c r="F10189" i="5"/>
  <c r="F10188" i="5"/>
  <c r="F10187" i="5"/>
  <c r="F10186" i="5"/>
  <c r="F10185" i="5"/>
  <c r="F10184" i="5"/>
  <c r="F10183" i="5"/>
  <c r="F10182" i="5"/>
  <c r="F10181" i="5"/>
  <c r="F10180" i="5"/>
  <c r="F10179" i="5"/>
  <c r="F10178" i="5"/>
  <c r="F10177" i="5"/>
  <c r="F10176" i="5"/>
  <c r="F10175" i="5"/>
  <c r="F10174" i="5"/>
  <c r="F10173" i="5"/>
  <c r="F10172" i="5"/>
  <c r="F10171" i="5"/>
  <c r="F10170" i="5"/>
  <c r="F10169" i="5"/>
  <c r="F10168" i="5"/>
  <c r="F10167" i="5"/>
  <c r="F10166" i="5"/>
  <c r="F10165" i="5"/>
  <c r="F10164" i="5"/>
  <c r="F10163" i="5"/>
  <c r="F10162" i="5"/>
  <c r="F10161" i="5"/>
  <c r="F10160" i="5"/>
  <c r="F10159" i="5"/>
  <c r="F10158" i="5"/>
  <c r="F10157" i="5"/>
  <c r="F10156" i="5"/>
  <c r="F10155" i="5"/>
  <c r="F10154" i="5"/>
  <c r="F10153" i="5"/>
  <c r="F10152" i="5"/>
  <c r="F10151" i="5"/>
  <c r="F10150" i="5"/>
  <c r="F10149" i="5"/>
  <c r="F10148" i="5"/>
  <c r="F10147" i="5"/>
  <c r="F10146" i="5"/>
  <c r="F10145" i="5"/>
  <c r="F10144" i="5"/>
  <c r="F10143" i="5"/>
  <c r="F10142" i="5"/>
  <c r="F10141" i="5"/>
  <c r="F10140" i="5"/>
  <c r="F10139" i="5"/>
  <c r="F10138" i="5"/>
  <c r="F10137" i="5"/>
  <c r="F10136" i="5"/>
  <c r="F10135" i="5"/>
  <c r="F10134" i="5"/>
  <c r="F10133" i="5"/>
  <c r="F10132" i="5"/>
  <c r="F10131" i="5"/>
  <c r="F10130" i="5"/>
  <c r="F10129" i="5"/>
  <c r="F10128" i="5"/>
  <c r="F10127" i="5"/>
  <c r="F10126" i="5"/>
  <c r="F10125" i="5"/>
  <c r="F10124" i="5"/>
  <c r="F10123" i="5"/>
  <c r="F10122" i="5"/>
  <c r="F10121" i="5"/>
  <c r="F10120" i="5"/>
  <c r="F10119" i="5"/>
  <c r="F10118" i="5"/>
  <c r="F10117" i="5"/>
  <c r="F10116" i="5"/>
  <c r="F10115" i="5"/>
  <c r="F10114" i="5"/>
  <c r="F10113" i="5"/>
  <c r="F10112" i="5"/>
  <c r="F10111" i="5"/>
  <c r="F10110" i="5"/>
  <c r="F10109" i="5"/>
  <c r="F10108" i="5"/>
  <c r="F10107" i="5"/>
  <c r="F10106" i="5"/>
  <c r="F10105" i="5"/>
  <c r="F10104" i="5"/>
  <c r="F10103" i="5"/>
  <c r="F10102" i="5"/>
  <c r="F10101" i="5"/>
  <c r="F10100" i="5"/>
  <c r="F10099" i="5"/>
  <c r="F10098" i="5"/>
  <c r="F10097" i="5"/>
  <c r="F10096" i="5"/>
  <c r="F10095" i="5"/>
  <c r="F10094" i="5"/>
  <c r="F10093" i="5"/>
  <c r="F10092" i="5"/>
  <c r="F10091" i="5"/>
  <c r="F10090" i="5"/>
  <c r="F10089" i="5"/>
  <c r="F10088" i="5"/>
  <c r="F10087" i="5"/>
  <c r="F10086" i="5"/>
  <c r="F10085" i="5"/>
  <c r="F10084" i="5"/>
  <c r="F10083" i="5"/>
  <c r="F10082" i="5"/>
  <c r="F10081" i="5"/>
  <c r="F10080" i="5"/>
  <c r="F10079" i="5"/>
  <c r="F10078" i="5"/>
  <c r="F10077" i="5"/>
  <c r="F10076" i="5"/>
  <c r="F10075" i="5"/>
  <c r="F10074" i="5"/>
  <c r="F10073" i="5"/>
  <c r="F10072" i="5"/>
  <c r="F10071" i="5"/>
  <c r="F10070" i="5"/>
  <c r="F10069" i="5"/>
  <c r="F10068" i="5"/>
  <c r="F10067" i="5"/>
  <c r="F10066" i="5"/>
  <c r="F10065" i="5"/>
  <c r="F10064" i="5"/>
  <c r="F10063" i="5"/>
  <c r="F10062" i="5"/>
  <c r="F10061" i="5"/>
  <c r="F10060" i="5"/>
  <c r="F10059" i="5"/>
  <c r="F10058" i="5"/>
  <c r="F10057" i="5"/>
  <c r="F10056" i="5"/>
  <c r="F10055" i="5"/>
  <c r="F10054" i="5"/>
  <c r="F10053" i="5"/>
  <c r="F10052" i="5"/>
  <c r="F10051" i="5"/>
  <c r="F10050" i="5"/>
  <c r="F10049" i="5"/>
  <c r="F10048" i="5"/>
  <c r="F10047" i="5"/>
  <c r="F10046" i="5"/>
  <c r="F10045" i="5"/>
  <c r="F10044" i="5"/>
  <c r="F10043" i="5"/>
  <c r="F10042" i="5"/>
  <c r="F10041" i="5"/>
  <c r="F10040" i="5"/>
  <c r="F10039" i="5"/>
  <c r="F10038" i="5"/>
  <c r="F10037" i="5"/>
  <c r="F10036" i="5"/>
  <c r="F10035" i="5"/>
  <c r="F10034" i="5"/>
  <c r="F10033" i="5"/>
  <c r="F10032" i="5"/>
  <c r="F10031" i="5"/>
  <c r="F10030" i="5"/>
  <c r="F10029" i="5"/>
  <c r="F10028" i="5"/>
  <c r="F10027" i="5"/>
  <c r="F10026" i="5"/>
  <c r="F10025" i="5"/>
  <c r="F10024" i="5"/>
  <c r="F10023" i="5"/>
  <c r="F10022" i="5"/>
  <c r="F10021" i="5"/>
  <c r="F10020" i="5"/>
  <c r="F10019" i="5"/>
  <c r="F10018" i="5"/>
  <c r="F10017" i="5"/>
  <c r="F10016" i="5"/>
  <c r="F10015" i="5"/>
  <c r="F10014" i="5"/>
  <c r="F10013" i="5"/>
  <c r="F10012" i="5"/>
  <c r="F10011" i="5"/>
  <c r="F10010" i="5"/>
  <c r="F10009" i="5"/>
  <c r="F10008" i="5"/>
  <c r="F10007" i="5"/>
  <c r="F10006" i="5"/>
  <c r="F10005" i="5"/>
  <c r="F10004" i="5"/>
  <c r="F10003" i="5"/>
  <c r="F10002" i="5"/>
  <c r="F10001" i="5"/>
  <c r="F10000" i="5"/>
  <c r="F9999" i="5"/>
  <c r="F9998" i="5"/>
  <c r="F9997" i="5"/>
  <c r="F9996" i="5"/>
  <c r="F9995" i="5"/>
  <c r="F9994" i="5"/>
  <c r="F9993" i="5"/>
  <c r="F9992" i="5"/>
  <c r="F9991" i="5"/>
  <c r="F9990" i="5"/>
  <c r="F9989" i="5"/>
  <c r="F9988" i="5"/>
  <c r="F9987" i="5"/>
  <c r="F9986" i="5"/>
  <c r="F9985" i="5"/>
  <c r="F9984" i="5"/>
  <c r="F9983" i="5"/>
  <c r="F9982" i="5"/>
  <c r="F9981" i="5"/>
  <c r="F9980" i="5"/>
  <c r="F9979" i="5"/>
  <c r="F9978" i="5"/>
  <c r="F9977" i="5"/>
  <c r="F9976" i="5"/>
  <c r="F9975" i="5"/>
  <c r="F9974" i="5"/>
  <c r="F9973" i="5"/>
  <c r="F9972" i="5"/>
  <c r="F9971" i="5"/>
  <c r="F9970" i="5"/>
  <c r="F9969" i="5"/>
  <c r="F9968" i="5"/>
  <c r="F9967" i="5"/>
  <c r="F9966" i="5"/>
  <c r="F9965" i="5"/>
  <c r="F9964" i="5"/>
  <c r="F9963" i="5"/>
  <c r="F9962" i="5"/>
  <c r="F9961" i="5"/>
  <c r="F9960" i="5"/>
  <c r="F9959" i="5"/>
  <c r="F9958" i="5"/>
  <c r="F9957" i="5"/>
  <c r="F9956" i="5"/>
  <c r="F9955" i="5"/>
  <c r="F9954" i="5"/>
  <c r="F9953" i="5"/>
  <c r="F9952" i="5"/>
  <c r="F9951" i="5"/>
  <c r="F9950" i="5"/>
  <c r="F9949" i="5"/>
  <c r="F9948" i="5"/>
  <c r="F9947" i="5"/>
  <c r="F9946" i="5"/>
  <c r="F9945" i="5"/>
  <c r="F9944" i="5"/>
  <c r="F9943" i="5"/>
  <c r="F9942" i="5"/>
  <c r="F9941" i="5"/>
  <c r="F9940" i="5"/>
  <c r="F9939" i="5"/>
  <c r="F9938" i="5"/>
  <c r="F9937" i="5"/>
  <c r="F9936" i="5"/>
  <c r="F9935" i="5"/>
  <c r="F9934" i="5"/>
  <c r="F9933" i="5"/>
  <c r="F9932" i="5"/>
  <c r="F9931" i="5"/>
  <c r="F9930" i="5"/>
  <c r="F9929" i="5"/>
  <c r="F9928" i="5"/>
  <c r="F9927" i="5"/>
  <c r="F9926" i="5"/>
  <c r="F9925" i="5"/>
  <c r="F9924" i="5"/>
  <c r="F9923" i="5"/>
  <c r="F9922" i="5"/>
  <c r="F9921" i="5"/>
  <c r="F9920" i="5"/>
  <c r="F9919" i="5"/>
  <c r="F9918" i="5"/>
  <c r="F9917" i="5"/>
  <c r="F9916" i="5"/>
  <c r="F9915" i="5"/>
  <c r="F9914" i="5"/>
  <c r="F9913" i="5"/>
  <c r="F9912" i="5"/>
  <c r="F9911" i="5"/>
  <c r="F9910" i="5"/>
  <c r="F9909" i="5"/>
  <c r="F9908" i="5"/>
  <c r="F9907" i="5"/>
  <c r="F9906" i="5"/>
  <c r="F9905" i="5"/>
  <c r="F9904" i="5"/>
  <c r="F9903" i="5"/>
  <c r="F9902" i="5"/>
  <c r="F9901" i="5"/>
  <c r="F9900" i="5"/>
  <c r="F9899" i="5"/>
  <c r="F9898" i="5"/>
  <c r="F9897" i="5"/>
  <c r="F9896" i="5"/>
  <c r="F9895" i="5"/>
  <c r="F9894" i="5"/>
  <c r="F9893" i="5"/>
  <c r="F9892" i="5"/>
  <c r="F9891" i="5"/>
  <c r="F9890" i="5"/>
  <c r="F9889" i="5"/>
  <c r="F9888" i="5"/>
  <c r="F9887" i="5"/>
  <c r="F9886" i="5"/>
  <c r="F9885" i="5"/>
  <c r="F9884" i="5"/>
  <c r="F9883" i="5"/>
  <c r="F9882" i="5"/>
  <c r="F9881" i="5"/>
  <c r="F9880" i="5"/>
  <c r="F9879" i="5"/>
  <c r="F9878" i="5"/>
  <c r="F9877" i="5"/>
  <c r="F9876" i="5"/>
  <c r="F9875" i="5"/>
  <c r="F9874" i="5"/>
  <c r="F9873" i="5"/>
  <c r="F9872" i="5"/>
  <c r="F9871" i="5"/>
  <c r="F9870" i="5"/>
  <c r="F9869" i="5"/>
  <c r="F9868" i="5"/>
  <c r="F9867" i="5"/>
  <c r="F9866" i="5"/>
  <c r="F9865" i="5"/>
  <c r="F9864" i="5"/>
  <c r="F9863" i="5"/>
  <c r="F9862" i="5"/>
  <c r="F9861" i="5"/>
  <c r="F9860" i="5"/>
  <c r="F9859" i="5"/>
  <c r="F9858" i="5"/>
  <c r="F9857" i="5"/>
  <c r="F9856" i="5"/>
  <c r="F9855" i="5"/>
  <c r="F9854" i="5"/>
  <c r="F9853" i="5"/>
  <c r="F9852" i="5"/>
  <c r="F9851" i="5"/>
  <c r="F9850" i="5"/>
  <c r="F9849" i="5"/>
  <c r="F9848" i="5"/>
  <c r="F9847" i="5"/>
  <c r="F9846" i="5"/>
  <c r="F9845" i="5"/>
  <c r="F9844" i="5"/>
  <c r="F9843" i="5"/>
  <c r="F9842" i="5"/>
  <c r="F9841" i="5"/>
  <c r="F9840" i="5"/>
  <c r="F9839" i="5"/>
  <c r="F9838" i="5"/>
  <c r="F9837" i="5"/>
  <c r="F9836" i="5"/>
  <c r="F9835" i="5"/>
  <c r="F9834" i="5"/>
  <c r="F9833" i="5"/>
  <c r="F9832" i="5"/>
  <c r="F9831" i="5"/>
  <c r="F9830" i="5"/>
  <c r="F9829" i="5"/>
  <c r="F9828" i="5"/>
  <c r="F9827" i="5"/>
  <c r="F9826" i="5"/>
  <c r="F9825" i="5"/>
  <c r="F9824" i="5"/>
  <c r="F9823" i="5"/>
  <c r="F9822" i="5"/>
  <c r="F9821" i="5"/>
  <c r="F9820" i="5"/>
  <c r="F9819" i="5"/>
  <c r="F9818" i="5"/>
  <c r="F9817" i="5"/>
  <c r="F9816" i="5"/>
  <c r="F9815" i="5"/>
  <c r="F9814" i="5"/>
  <c r="F9813" i="5"/>
  <c r="F9812" i="5"/>
  <c r="F9811" i="5"/>
  <c r="F9810" i="5"/>
  <c r="F9809" i="5"/>
  <c r="F9808" i="5"/>
  <c r="F9807" i="5"/>
  <c r="F9806" i="5"/>
  <c r="F9805" i="5"/>
  <c r="F9804" i="5"/>
  <c r="F9803" i="5"/>
  <c r="F9802" i="5"/>
  <c r="F9801" i="5"/>
  <c r="F9800" i="5"/>
  <c r="F9799" i="5"/>
  <c r="F9798" i="5"/>
  <c r="F9797" i="5"/>
  <c r="F9796" i="5"/>
  <c r="F9795" i="5"/>
  <c r="F9794" i="5"/>
  <c r="F9793" i="5"/>
  <c r="F9792" i="5"/>
  <c r="F9791" i="5"/>
  <c r="F9790" i="5"/>
  <c r="F9789" i="5"/>
  <c r="F9788" i="5"/>
  <c r="F9787" i="5"/>
  <c r="F9786" i="5"/>
  <c r="F9785" i="5"/>
  <c r="F9784" i="5"/>
  <c r="F9783" i="5"/>
  <c r="F9782" i="5"/>
  <c r="F9781" i="5"/>
  <c r="F9780" i="5"/>
  <c r="F9779" i="5"/>
  <c r="F9778" i="5"/>
  <c r="F9777" i="5"/>
  <c r="F9776" i="5"/>
  <c r="F9775" i="5"/>
  <c r="F9774" i="5"/>
  <c r="F9773" i="5"/>
  <c r="F9772" i="5"/>
  <c r="F9771" i="5"/>
  <c r="F9770" i="5"/>
  <c r="F9769" i="5"/>
  <c r="F9768" i="5"/>
  <c r="F9767" i="5"/>
  <c r="F9766" i="5"/>
  <c r="F9765" i="5"/>
  <c r="F9764" i="5"/>
  <c r="F9763" i="5"/>
  <c r="F9762" i="5"/>
  <c r="F9761" i="5"/>
  <c r="F9760" i="5"/>
  <c r="F9759" i="5"/>
  <c r="F9758" i="5"/>
  <c r="F9757" i="5"/>
  <c r="F9756" i="5"/>
  <c r="F9755" i="5"/>
  <c r="F9754" i="5"/>
  <c r="F9753" i="5"/>
  <c r="F9752" i="5"/>
  <c r="F9751" i="5"/>
  <c r="F9750" i="5"/>
  <c r="F9749" i="5"/>
  <c r="F9748" i="5"/>
  <c r="F9747" i="5"/>
  <c r="F9746" i="5"/>
  <c r="F9745" i="5"/>
  <c r="F9744" i="5"/>
  <c r="F9743" i="5"/>
  <c r="F9742" i="5"/>
  <c r="F9741" i="5"/>
  <c r="F9740" i="5"/>
  <c r="F9739" i="5"/>
  <c r="F9738" i="5"/>
  <c r="F9737" i="5"/>
  <c r="F9736" i="5"/>
  <c r="F9735" i="5"/>
  <c r="F9734" i="5"/>
  <c r="F9733" i="5"/>
  <c r="F9732" i="5"/>
  <c r="F9731" i="5"/>
  <c r="F9730" i="5"/>
  <c r="F9729" i="5"/>
  <c r="F9728" i="5"/>
  <c r="F9727" i="5"/>
  <c r="F9726" i="5"/>
  <c r="F9725" i="5"/>
  <c r="F9724" i="5"/>
  <c r="F9723" i="5"/>
  <c r="F9722" i="5"/>
  <c r="F9721" i="5"/>
  <c r="F9720" i="5"/>
  <c r="F9719" i="5"/>
  <c r="F9718" i="5"/>
  <c r="F9717" i="5"/>
  <c r="F9716" i="5"/>
  <c r="F9715" i="5"/>
  <c r="F9714" i="5"/>
  <c r="F9713" i="5"/>
  <c r="F9712" i="5"/>
  <c r="F9711" i="5"/>
  <c r="F9710" i="5"/>
  <c r="F9709" i="5"/>
  <c r="F9708" i="5"/>
  <c r="F9707" i="5"/>
  <c r="F9706" i="5"/>
  <c r="F9705" i="5"/>
  <c r="F9704" i="5"/>
  <c r="F9703" i="5"/>
  <c r="F9702" i="5"/>
  <c r="F9701" i="5"/>
  <c r="F9700" i="5"/>
  <c r="F9699" i="5"/>
  <c r="F9698" i="5"/>
  <c r="F9697" i="5"/>
  <c r="F9696" i="5"/>
  <c r="F9695" i="5"/>
  <c r="F9694" i="5"/>
  <c r="F9693" i="5"/>
  <c r="F9692" i="5"/>
  <c r="F9691" i="5"/>
  <c r="F9690" i="5"/>
  <c r="F9689" i="5"/>
  <c r="F9688" i="5"/>
  <c r="F9687" i="5"/>
  <c r="F9686" i="5"/>
  <c r="F9685" i="5"/>
  <c r="F9684" i="5"/>
  <c r="F9683" i="5"/>
  <c r="F9682" i="5"/>
  <c r="F9681" i="5"/>
  <c r="F9680" i="5"/>
  <c r="F9679" i="5"/>
  <c r="F9678" i="5"/>
  <c r="F9677" i="5"/>
  <c r="F9676" i="5"/>
  <c r="F9675" i="5"/>
  <c r="F9674" i="5"/>
  <c r="F9673" i="5"/>
  <c r="F9672" i="5"/>
  <c r="F9671" i="5"/>
  <c r="F9670" i="5"/>
  <c r="F9669" i="5"/>
  <c r="F9668" i="5"/>
  <c r="F9667" i="5"/>
  <c r="F9666" i="5"/>
  <c r="F9665" i="5"/>
  <c r="F9664" i="5"/>
  <c r="F9663" i="5"/>
  <c r="F9662" i="5"/>
  <c r="F9661" i="5"/>
  <c r="F9660" i="5"/>
  <c r="F9659" i="5"/>
  <c r="F9658" i="5"/>
  <c r="F9657" i="5"/>
  <c r="F9656" i="5"/>
  <c r="F9655" i="5"/>
  <c r="F9654" i="5"/>
  <c r="F9653" i="5"/>
  <c r="F9652" i="5"/>
  <c r="F9651" i="5"/>
  <c r="F9650" i="5"/>
  <c r="F9649" i="5"/>
  <c r="F9648" i="5"/>
  <c r="F9647" i="5"/>
  <c r="F9646" i="5"/>
  <c r="F9645" i="5"/>
  <c r="F9644" i="5"/>
  <c r="F9643" i="5"/>
  <c r="F9642" i="5"/>
  <c r="F9641" i="5"/>
  <c r="F9640" i="5"/>
  <c r="F9639" i="5"/>
  <c r="F9638" i="5"/>
  <c r="F9637" i="5"/>
  <c r="F9636" i="5"/>
  <c r="F9635" i="5"/>
  <c r="F9634" i="5"/>
  <c r="F9633" i="5"/>
  <c r="F9632" i="5"/>
  <c r="F9631" i="5"/>
  <c r="F9630" i="5"/>
  <c r="F9629" i="5"/>
  <c r="F9628" i="5"/>
  <c r="F9627" i="5"/>
  <c r="F9626" i="5"/>
  <c r="F9625" i="5"/>
  <c r="F9624" i="5"/>
  <c r="F9623" i="5"/>
  <c r="F9622" i="5"/>
  <c r="F9621" i="5"/>
  <c r="F9620" i="5"/>
  <c r="F9619" i="5"/>
  <c r="F9618" i="5"/>
  <c r="F9617" i="5"/>
  <c r="F9616" i="5"/>
  <c r="F9615" i="5"/>
  <c r="F9614" i="5"/>
  <c r="F9613" i="5"/>
  <c r="F9612" i="5"/>
  <c r="F9611" i="5"/>
  <c r="F9610" i="5"/>
  <c r="F9609" i="5"/>
  <c r="F9608" i="5"/>
  <c r="F9607" i="5"/>
  <c r="F9606" i="5"/>
  <c r="F9605" i="5"/>
  <c r="F9604" i="5"/>
  <c r="F9603" i="5"/>
  <c r="F9602" i="5"/>
  <c r="F9601" i="5"/>
  <c r="F9600" i="5"/>
  <c r="F9599" i="5"/>
  <c r="F9598" i="5"/>
  <c r="F9597" i="5"/>
  <c r="F9596" i="5"/>
  <c r="F9595" i="5"/>
  <c r="F9594" i="5"/>
  <c r="F9593" i="5"/>
  <c r="F9592" i="5"/>
  <c r="F9591" i="5"/>
  <c r="F9590" i="5"/>
  <c r="F9589" i="5"/>
  <c r="F9588" i="5"/>
  <c r="F9587" i="5"/>
  <c r="F9586" i="5"/>
  <c r="F9585" i="5"/>
  <c r="F9584" i="5"/>
  <c r="F9583" i="5"/>
  <c r="F9582" i="5"/>
  <c r="F9581" i="5"/>
  <c r="F9580" i="5"/>
  <c r="F9579" i="5"/>
  <c r="F9578" i="5"/>
  <c r="F9577" i="5"/>
  <c r="F9576" i="5"/>
  <c r="F9575" i="5"/>
  <c r="F9574" i="5"/>
  <c r="F9573" i="5"/>
  <c r="F9572" i="5"/>
  <c r="F9571" i="5"/>
  <c r="F9570" i="5"/>
  <c r="F9569" i="5"/>
  <c r="F9568" i="5"/>
  <c r="F9567" i="5"/>
  <c r="F9566" i="5"/>
  <c r="F9565" i="5"/>
  <c r="F9564" i="5"/>
  <c r="F9563" i="5"/>
  <c r="F9562" i="5"/>
  <c r="F9561" i="5"/>
  <c r="F9560" i="5"/>
  <c r="F9559" i="5"/>
  <c r="F9558" i="5"/>
  <c r="F9557" i="5"/>
  <c r="F9556" i="5"/>
  <c r="F9555" i="5"/>
  <c r="F9554" i="5"/>
  <c r="F9553" i="5"/>
  <c r="F9552" i="5"/>
  <c r="F9551" i="5"/>
  <c r="F9550" i="5"/>
  <c r="F9549" i="5"/>
  <c r="F9548" i="5"/>
  <c r="F9547" i="5"/>
  <c r="F9546" i="5"/>
  <c r="F9545" i="5"/>
  <c r="F9544" i="5"/>
  <c r="F9543" i="5"/>
  <c r="F9542" i="5"/>
  <c r="F9541" i="5"/>
  <c r="F9540" i="5"/>
  <c r="F9539" i="5"/>
  <c r="F9538" i="5"/>
  <c r="F9537" i="5"/>
  <c r="F9536" i="5"/>
  <c r="F9535" i="5"/>
  <c r="F9534" i="5"/>
  <c r="F9533" i="5"/>
  <c r="F9532" i="5"/>
  <c r="F9531" i="5"/>
  <c r="F9530" i="5"/>
  <c r="F9529" i="5"/>
  <c r="F9528" i="5"/>
  <c r="F9527" i="5"/>
  <c r="F9526" i="5"/>
  <c r="F9525" i="5"/>
  <c r="F9524" i="5"/>
  <c r="F9523" i="5"/>
  <c r="F9522" i="5"/>
  <c r="F9521" i="5"/>
  <c r="F9520" i="5"/>
  <c r="F9519" i="5"/>
  <c r="F9518" i="5"/>
  <c r="F9517" i="5"/>
  <c r="F9516" i="5"/>
  <c r="F9515" i="5"/>
  <c r="F9514" i="5"/>
  <c r="F9513" i="5"/>
  <c r="F9512" i="5"/>
  <c r="F9511" i="5"/>
  <c r="F9510" i="5"/>
  <c r="F9509" i="5"/>
  <c r="F9508" i="5"/>
  <c r="F9507" i="5"/>
  <c r="F9506" i="5"/>
  <c r="F9505" i="5"/>
  <c r="F9504" i="5"/>
  <c r="F9503" i="5"/>
  <c r="F9502" i="5"/>
  <c r="F9501" i="5"/>
  <c r="F9500" i="5"/>
  <c r="F9499" i="5"/>
  <c r="F9498" i="5"/>
  <c r="F9497" i="5"/>
  <c r="F9496" i="5"/>
  <c r="F9495" i="5"/>
  <c r="F9494" i="5"/>
  <c r="F9493" i="5"/>
  <c r="F9492" i="5"/>
  <c r="F9491" i="5"/>
  <c r="F9490" i="5"/>
  <c r="F9489" i="5"/>
  <c r="F9488" i="5"/>
  <c r="F9487" i="5"/>
  <c r="F9486" i="5"/>
  <c r="F9485" i="5"/>
  <c r="F9484" i="5"/>
  <c r="F9483" i="5"/>
  <c r="F9482" i="5"/>
  <c r="F9481" i="5"/>
  <c r="F9480" i="5"/>
  <c r="F9479" i="5"/>
  <c r="F9478" i="5"/>
  <c r="F9477" i="5"/>
  <c r="F9476" i="5"/>
  <c r="F9475" i="5"/>
  <c r="F9474" i="5"/>
  <c r="F9473" i="5"/>
  <c r="F9472" i="5"/>
  <c r="F9471" i="5"/>
  <c r="F9470" i="5"/>
  <c r="F9469" i="5"/>
  <c r="F9468" i="5"/>
  <c r="F9467" i="5"/>
  <c r="F9466" i="5"/>
  <c r="F9465" i="5"/>
  <c r="F9464" i="5"/>
  <c r="F9463" i="5"/>
  <c r="F9462" i="5"/>
  <c r="F9461" i="5"/>
  <c r="F9460" i="5"/>
  <c r="F9459" i="5"/>
  <c r="F9458" i="5"/>
  <c r="F9457" i="5"/>
  <c r="F9456" i="5"/>
  <c r="F9455" i="5"/>
  <c r="F9454" i="5"/>
  <c r="F9453" i="5"/>
  <c r="F9452" i="5"/>
  <c r="F9451" i="5"/>
  <c r="F9450" i="5"/>
  <c r="F9449" i="5"/>
  <c r="F9448" i="5"/>
  <c r="F9447" i="5"/>
  <c r="F9446" i="5"/>
  <c r="F9445" i="5"/>
  <c r="F9444" i="5"/>
  <c r="F9443" i="5"/>
  <c r="F9442" i="5"/>
  <c r="F9441" i="5"/>
  <c r="F9440" i="5"/>
  <c r="F9439" i="5"/>
  <c r="F9438" i="5"/>
  <c r="F9437" i="5"/>
  <c r="F9436" i="5"/>
  <c r="F9435" i="5"/>
  <c r="F9434" i="5"/>
  <c r="F9433" i="5"/>
  <c r="F9432" i="5"/>
  <c r="F9431" i="5"/>
  <c r="F9430" i="5"/>
  <c r="F9429" i="5"/>
  <c r="F9428" i="5"/>
  <c r="F9427" i="5"/>
  <c r="F9426" i="5"/>
  <c r="F9425" i="5"/>
  <c r="F9424" i="5"/>
  <c r="F9423" i="5"/>
  <c r="F9422" i="5"/>
  <c r="F9421" i="5"/>
  <c r="F9420" i="5"/>
  <c r="F9419" i="5"/>
  <c r="F9418" i="5"/>
  <c r="F9417" i="5"/>
  <c r="F9416" i="5"/>
  <c r="F9415" i="5"/>
  <c r="F9414" i="5"/>
  <c r="F9413" i="5"/>
  <c r="F9412" i="5"/>
  <c r="F9411" i="5"/>
  <c r="F9410" i="5"/>
  <c r="F9409" i="5"/>
  <c r="F9408" i="5"/>
  <c r="F9407" i="5"/>
  <c r="F9406" i="5"/>
  <c r="F9405" i="5"/>
  <c r="F9404" i="5"/>
  <c r="F9403" i="5"/>
  <c r="F9402" i="5"/>
  <c r="F9401" i="5"/>
  <c r="F9400" i="5"/>
  <c r="F9399" i="5"/>
  <c r="F9398" i="5"/>
  <c r="F9397" i="5"/>
  <c r="F9396" i="5"/>
  <c r="F9395" i="5"/>
  <c r="F9394" i="5"/>
  <c r="F9393" i="5"/>
  <c r="F9392" i="5"/>
  <c r="F9391" i="5"/>
  <c r="F9390" i="5"/>
  <c r="F9389" i="5"/>
  <c r="F9388" i="5"/>
  <c r="F9387" i="5"/>
  <c r="F9386" i="5"/>
  <c r="F9385" i="5"/>
  <c r="F9384" i="5"/>
  <c r="F9383" i="5"/>
  <c r="F9382" i="5"/>
  <c r="F9381" i="5"/>
  <c r="F9380" i="5"/>
  <c r="F9379" i="5"/>
  <c r="F9378" i="5"/>
  <c r="F9377" i="5"/>
  <c r="F9376" i="5"/>
  <c r="F9375" i="5"/>
  <c r="F9374" i="5"/>
  <c r="F9373" i="5"/>
  <c r="F9372" i="5"/>
  <c r="F9371" i="5"/>
  <c r="F9370" i="5"/>
  <c r="F9369" i="5"/>
  <c r="F9368" i="5"/>
  <c r="F9367" i="5"/>
  <c r="F9366" i="5"/>
  <c r="F9365" i="5"/>
  <c r="F9364" i="5"/>
  <c r="F9363" i="5"/>
  <c r="F9362" i="5"/>
  <c r="F9361" i="5"/>
  <c r="F9360" i="5"/>
  <c r="F9359" i="5"/>
  <c r="F9358" i="5"/>
  <c r="F9357" i="5"/>
  <c r="F9356" i="5"/>
  <c r="F9355" i="5"/>
  <c r="F9354" i="5"/>
  <c r="F9353" i="5"/>
  <c r="F9352" i="5"/>
  <c r="F9351" i="5"/>
  <c r="F9350" i="5"/>
  <c r="F9349" i="5"/>
  <c r="F9348" i="5"/>
  <c r="F9347" i="5"/>
  <c r="F9346" i="5"/>
  <c r="F9345" i="5"/>
  <c r="F9344" i="5"/>
  <c r="F9343" i="5"/>
  <c r="F9342" i="5"/>
  <c r="F9341" i="5"/>
  <c r="F9340" i="5"/>
  <c r="F9339" i="5"/>
  <c r="F9338" i="5"/>
  <c r="F9337" i="5"/>
  <c r="F9336" i="5"/>
  <c r="F9335" i="5"/>
  <c r="F9334" i="5"/>
  <c r="F9333" i="5"/>
  <c r="F9332" i="5"/>
  <c r="F9331" i="5"/>
  <c r="F9330" i="5"/>
  <c r="F9329" i="5"/>
  <c r="F9328" i="5"/>
  <c r="F9327" i="5"/>
  <c r="F9326" i="5"/>
  <c r="F9325" i="5"/>
  <c r="F9324" i="5"/>
  <c r="F9323" i="5"/>
  <c r="F9322" i="5"/>
  <c r="F9321" i="5"/>
  <c r="F9320" i="5"/>
  <c r="F9319" i="5"/>
  <c r="F9318" i="5"/>
  <c r="F9317" i="5"/>
  <c r="F9316" i="5"/>
  <c r="F9315" i="5"/>
  <c r="F9314" i="5"/>
  <c r="F9313" i="5"/>
  <c r="F9312" i="5"/>
  <c r="F9311" i="5"/>
  <c r="F9310" i="5"/>
  <c r="F9309" i="5"/>
  <c r="F9308" i="5"/>
  <c r="F9307" i="5"/>
  <c r="F9306" i="5"/>
  <c r="F9305" i="5"/>
  <c r="F9304" i="5"/>
  <c r="F9303" i="5"/>
  <c r="F9302" i="5"/>
  <c r="F9301" i="5"/>
  <c r="F9300" i="5"/>
  <c r="F9299" i="5"/>
  <c r="F9298" i="5"/>
  <c r="F9297" i="5"/>
  <c r="F9296" i="5"/>
  <c r="F9295" i="5"/>
  <c r="F9294" i="5"/>
  <c r="F9293" i="5"/>
  <c r="F9292" i="5"/>
  <c r="F9291" i="5"/>
  <c r="F9290" i="5"/>
  <c r="F9289" i="5"/>
  <c r="F9288" i="5"/>
  <c r="F9287" i="5"/>
  <c r="F9286" i="5"/>
  <c r="F9285" i="5"/>
  <c r="F9284" i="5"/>
  <c r="F9283" i="5"/>
  <c r="F9282" i="5"/>
  <c r="F9281" i="5"/>
  <c r="F9280" i="5"/>
  <c r="F9279" i="5"/>
  <c r="F9278" i="5"/>
  <c r="F9277" i="5"/>
  <c r="F9276" i="5"/>
  <c r="F9275" i="5"/>
  <c r="F9274" i="5"/>
  <c r="F9273" i="5"/>
  <c r="F9272" i="5"/>
  <c r="F9271" i="5"/>
  <c r="F9270" i="5"/>
  <c r="F9269" i="5"/>
  <c r="F9268" i="5"/>
  <c r="F9267" i="5"/>
  <c r="F9266" i="5"/>
  <c r="F9265" i="5"/>
  <c r="F9264" i="5"/>
  <c r="F9263" i="5"/>
  <c r="F9262" i="5"/>
  <c r="F9261" i="5"/>
  <c r="F9260" i="5"/>
  <c r="F9259" i="5"/>
  <c r="F9258" i="5"/>
  <c r="F9257" i="5"/>
  <c r="F9256" i="5"/>
  <c r="F9255" i="5"/>
  <c r="F9254" i="5"/>
  <c r="F9253" i="5"/>
  <c r="F9252" i="5"/>
  <c r="F9251" i="5"/>
  <c r="F9250" i="5"/>
  <c r="F9249" i="5"/>
  <c r="F9248" i="5"/>
  <c r="F9247" i="5"/>
  <c r="F9246" i="5"/>
  <c r="F9245" i="5"/>
  <c r="F9244" i="5"/>
  <c r="F9243" i="5"/>
  <c r="F9242" i="5"/>
  <c r="F9241" i="5"/>
  <c r="F9240" i="5"/>
  <c r="F9239" i="5"/>
  <c r="F9238" i="5"/>
  <c r="F9237" i="5"/>
  <c r="F9236" i="5"/>
  <c r="F9235" i="5"/>
  <c r="F9234" i="5"/>
  <c r="F9233" i="5"/>
  <c r="F9232" i="5"/>
  <c r="F9231" i="5"/>
  <c r="F9230" i="5"/>
  <c r="F9229" i="5"/>
  <c r="F9228" i="5"/>
  <c r="F9227" i="5"/>
  <c r="F9226" i="5"/>
  <c r="F9225" i="5"/>
  <c r="F9224" i="5"/>
  <c r="F9223" i="5"/>
  <c r="F9222" i="5"/>
  <c r="F9221" i="5"/>
  <c r="F9220" i="5"/>
  <c r="F9219" i="5"/>
  <c r="F9218" i="5"/>
  <c r="F9217" i="5"/>
  <c r="F9216" i="5"/>
  <c r="F9215" i="5"/>
  <c r="F9214" i="5"/>
  <c r="F9213" i="5"/>
  <c r="F9212" i="5"/>
  <c r="F9211" i="5"/>
  <c r="F9210" i="5"/>
  <c r="F9209" i="5"/>
  <c r="F9208" i="5"/>
  <c r="F9207" i="5"/>
  <c r="F9206" i="5"/>
  <c r="F9205" i="5"/>
  <c r="F9204" i="5"/>
  <c r="F9203" i="5"/>
  <c r="F9202" i="5"/>
  <c r="F9201" i="5"/>
  <c r="F9200" i="5"/>
  <c r="F9199" i="5"/>
  <c r="F9198" i="5"/>
  <c r="F9197" i="5"/>
  <c r="F9196" i="5"/>
  <c r="F9195" i="5"/>
  <c r="F9194" i="5"/>
  <c r="F9193" i="5"/>
  <c r="F9192" i="5"/>
  <c r="F9191" i="5"/>
  <c r="F9190" i="5"/>
  <c r="F9189" i="5"/>
  <c r="F9188" i="5"/>
  <c r="F9187" i="5"/>
  <c r="F9186" i="5"/>
  <c r="F9185" i="5"/>
  <c r="F9184" i="5"/>
  <c r="F9183" i="5"/>
  <c r="F9182" i="5"/>
  <c r="F9181" i="5"/>
  <c r="F9180" i="5"/>
  <c r="F9179" i="5"/>
  <c r="F9178" i="5"/>
  <c r="F9177" i="5"/>
  <c r="F9176" i="5"/>
  <c r="F9175" i="5"/>
  <c r="F9174" i="5"/>
  <c r="F9173" i="5"/>
  <c r="F9172" i="5"/>
  <c r="F9171" i="5"/>
  <c r="F9170" i="5"/>
  <c r="F9169" i="5"/>
  <c r="F9168" i="5"/>
  <c r="F9167" i="5"/>
  <c r="F9166" i="5"/>
  <c r="F9165" i="5"/>
  <c r="F9164" i="5"/>
  <c r="F9163" i="5"/>
  <c r="F9162" i="5"/>
  <c r="F9161" i="5"/>
  <c r="F9160" i="5"/>
  <c r="F9159" i="5"/>
  <c r="F9158" i="5"/>
  <c r="F9157" i="5"/>
  <c r="F9156" i="5"/>
  <c r="F9155" i="5"/>
  <c r="F9154" i="5"/>
  <c r="F9153" i="5"/>
  <c r="F9152" i="5"/>
  <c r="F9151" i="5"/>
  <c r="F9150" i="5"/>
  <c r="F9149" i="5"/>
  <c r="F9148" i="5"/>
  <c r="F9147" i="5"/>
  <c r="F9146" i="5"/>
  <c r="F9145" i="5"/>
  <c r="F9144" i="5"/>
  <c r="F9143" i="5"/>
  <c r="F9142" i="5"/>
  <c r="F9141" i="5"/>
  <c r="F9140" i="5"/>
  <c r="F9139" i="5"/>
  <c r="F9138" i="5"/>
  <c r="F9137" i="5"/>
  <c r="F9136" i="5"/>
  <c r="F9135" i="5"/>
  <c r="F9134" i="5"/>
  <c r="F9133" i="5"/>
  <c r="F9132" i="5"/>
  <c r="F9131" i="5"/>
  <c r="F9130" i="5"/>
  <c r="F9129" i="5"/>
  <c r="F9128" i="5"/>
  <c r="F9127" i="5"/>
  <c r="F9126" i="5"/>
  <c r="F9125" i="5"/>
  <c r="F9124" i="5"/>
  <c r="F9123" i="5"/>
  <c r="F9122" i="5"/>
  <c r="F9121" i="5"/>
  <c r="F9120" i="5"/>
  <c r="F9119" i="5"/>
  <c r="F9118" i="5"/>
  <c r="F9117" i="5"/>
  <c r="F9116" i="5"/>
  <c r="F9115" i="5"/>
  <c r="F9114" i="5"/>
  <c r="F9113" i="5"/>
  <c r="F9112" i="5"/>
  <c r="F9111" i="5"/>
  <c r="F9110" i="5"/>
  <c r="F9109" i="5"/>
  <c r="F9108" i="5"/>
  <c r="F9107" i="5"/>
  <c r="F9106" i="5"/>
  <c r="F9105" i="5"/>
  <c r="F9104" i="5"/>
  <c r="F9103" i="5"/>
  <c r="F9102" i="5"/>
  <c r="F9101" i="5"/>
  <c r="F9100" i="5"/>
  <c r="F9099" i="5"/>
  <c r="F9098" i="5"/>
  <c r="F9097" i="5"/>
  <c r="F9096" i="5"/>
  <c r="F9095" i="5"/>
  <c r="F9094" i="5"/>
  <c r="F9093" i="5"/>
  <c r="F9092" i="5"/>
  <c r="F9091" i="5"/>
  <c r="F9090" i="5"/>
  <c r="F9089" i="5"/>
  <c r="F9088" i="5"/>
  <c r="F9087" i="5"/>
  <c r="F9086" i="5"/>
  <c r="F9085" i="5"/>
  <c r="F9084" i="5"/>
  <c r="F9083" i="5"/>
  <c r="F9082" i="5"/>
  <c r="F9081" i="5"/>
  <c r="F9080" i="5"/>
  <c r="F9079" i="5"/>
  <c r="F9078" i="5"/>
  <c r="F9077" i="5"/>
  <c r="F9076" i="5"/>
  <c r="F9075" i="5"/>
  <c r="F9074" i="5"/>
  <c r="F9073" i="5"/>
  <c r="F9072" i="5"/>
  <c r="F9071" i="5"/>
  <c r="F9070" i="5"/>
  <c r="F9069" i="5"/>
  <c r="F9068" i="5"/>
  <c r="F9067" i="5"/>
  <c r="F9066" i="5"/>
  <c r="F9065" i="5"/>
  <c r="F9064" i="5"/>
  <c r="F9063" i="5"/>
  <c r="F9062" i="5"/>
  <c r="F9061" i="5"/>
  <c r="F9060" i="5"/>
  <c r="F9059" i="5"/>
  <c r="F9058" i="5"/>
  <c r="F9057" i="5"/>
  <c r="F9056" i="5"/>
  <c r="F9055" i="5"/>
  <c r="F9054" i="5"/>
  <c r="F9053" i="5"/>
  <c r="F9052" i="5"/>
  <c r="F9051" i="5"/>
  <c r="F9050" i="5"/>
  <c r="F9049" i="5"/>
  <c r="F9048" i="5"/>
  <c r="F9047" i="5"/>
  <c r="F9046" i="5"/>
  <c r="F9045" i="5"/>
  <c r="F9044" i="5"/>
  <c r="F9043" i="5"/>
  <c r="F9042" i="5"/>
  <c r="F9041" i="5"/>
  <c r="F9040" i="5"/>
  <c r="F9039" i="5"/>
  <c r="F9038" i="5"/>
  <c r="F9037" i="5"/>
  <c r="F9036" i="5"/>
  <c r="F9035" i="5"/>
  <c r="F9034" i="5"/>
  <c r="F9033" i="5"/>
  <c r="F9032" i="5"/>
  <c r="F9031" i="5"/>
  <c r="F9030" i="5"/>
  <c r="F9029" i="5"/>
  <c r="F9028" i="5"/>
  <c r="F9027" i="5"/>
  <c r="F9026" i="5"/>
  <c r="F9025" i="5"/>
  <c r="F9024" i="5"/>
  <c r="F9023" i="5"/>
  <c r="F9022" i="5"/>
  <c r="F9021" i="5"/>
  <c r="F9020" i="5"/>
  <c r="F9019" i="5"/>
  <c r="F9018" i="5"/>
  <c r="F9017" i="5"/>
  <c r="F9016" i="5"/>
  <c r="F9015" i="5"/>
  <c r="F9014" i="5"/>
  <c r="F9013" i="5"/>
  <c r="F9012" i="5"/>
  <c r="F9011" i="5"/>
  <c r="F9010" i="5"/>
  <c r="F9009" i="5"/>
  <c r="F9008" i="5"/>
  <c r="F9007" i="5"/>
  <c r="F9006" i="5"/>
  <c r="F9005" i="5"/>
  <c r="F9004" i="5"/>
  <c r="F9003" i="5"/>
  <c r="F9002" i="5"/>
  <c r="F9001" i="5"/>
  <c r="F9000" i="5"/>
  <c r="F8999" i="5"/>
  <c r="F8998" i="5"/>
  <c r="F8997" i="5"/>
  <c r="F8996" i="5"/>
  <c r="F8995" i="5"/>
  <c r="F8994" i="5"/>
  <c r="F8993" i="5"/>
  <c r="F8992" i="5"/>
  <c r="F8991" i="5"/>
  <c r="F8990" i="5"/>
  <c r="F8989" i="5"/>
  <c r="F8988" i="5"/>
  <c r="F8987" i="5"/>
  <c r="F8986" i="5"/>
  <c r="F8985" i="5"/>
  <c r="F8984" i="5"/>
  <c r="F8983" i="5"/>
  <c r="F8982" i="5"/>
  <c r="F8981" i="5"/>
  <c r="F8980" i="5"/>
  <c r="F8979" i="5"/>
  <c r="F8978" i="5"/>
  <c r="F8977" i="5"/>
  <c r="F8976" i="5"/>
  <c r="F8975" i="5"/>
  <c r="F8974" i="5"/>
  <c r="F8973" i="5"/>
  <c r="F8972" i="5"/>
  <c r="F8971" i="5"/>
  <c r="F8970" i="5"/>
  <c r="F8969" i="5"/>
  <c r="F8968" i="5"/>
  <c r="F8967" i="5"/>
  <c r="F8966" i="5"/>
  <c r="F8965" i="5"/>
  <c r="F8964" i="5"/>
  <c r="F8963" i="5"/>
  <c r="F8962" i="5"/>
  <c r="F8961" i="5"/>
  <c r="F8960" i="5"/>
  <c r="F8959" i="5"/>
  <c r="F8958" i="5"/>
  <c r="F8957" i="5"/>
  <c r="F8956" i="5"/>
  <c r="F8955" i="5"/>
  <c r="F8954" i="5"/>
  <c r="F8953" i="5"/>
  <c r="F8952" i="5"/>
  <c r="F8951" i="5"/>
  <c r="F8950" i="5"/>
  <c r="F8949" i="5"/>
  <c r="F8948" i="5"/>
  <c r="F8947" i="5"/>
  <c r="F8946" i="5"/>
  <c r="F8945" i="5"/>
  <c r="F8944" i="5"/>
  <c r="F8943" i="5"/>
  <c r="F8942" i="5"/>
  <c r="F8941" i="5"/>
  <c r="F8940" i="5"/>
  <c r="F8939" i="5"/>
  <c r="F8938" i="5"/>
  <c r="F8937" i="5"/>
  <c r="F8936" i="5"/>
  <c r="F8935" i="5"/>
  <c r="F8934" i="5"/>
  <c r="F8933" i="5"/>
  <c r="F8932" i="5"/>
  <c r="F8931" i="5"/>
  <c r="F8930" i="5"/>
  <c r="F8929" i="5"/>
  <c r="F8928" i="5"/>
  <c r="F8927" i="5"/>
  <c r="F8926" i="5"/>
  <c r="F8925" i="5"/>
  <c r="F8924" i="5"/>
  <c r="F8923" i="5"/>
  <c r="F8922" i="5"/>
  <c r="F8921" i="5"/>
  <c r="F8920" i="5"/>
  <c r="F8919" i="5"/>
  <c r="F8918" i="5"/>
  <c r="F8917" i="5"/>
  <c r="F8916" i="5"/>
  <c r="F8915" i="5"/>
  <c r="F8914" i="5"/>
  <c r="F8913" i="5"/>
  <c r="F8912" i="5"/>
  <c r="F8911" i="5"/>
  <c r="F8910" i="5"/>
  <c r="F8909" i="5"/>
  <c r="F8908" i="5"/>
  <c r="F8907" i="5"/>
  <c r="F8906" i="5"/>
  <c r="F8905" i="5"/>
  <c r="F8904" i="5"/>
  <c r="F8903" i="5"/>
  <c r="F8902" i="5"/>
  <c r="F8901" i="5"/>
  <c r="F8900" i="5"/>
  <c r="F8899" i="5"/>
  <c r="F8898" i="5"/>
  <c r="F8897" i="5"/>
  <c r="F8896" i="5"/>
  <c r="F8895" i="5"/>
  <c r="F8894" i="5"/>
  <c r="F8893" i="5"/>
  <c r="F8892" i="5"/>
  <c r="F8891" i="5"/>
  <c r="F8890" i="5"/>
  <c r="F8889" i="5"/>
  <c r="F8888" i="5"/>
  <c r="F8887" i="5"/>
  <c r="F8886" i="5"/>
  <c r="F8885" i="5"/>
  <c r="F8884" i="5"/>
  <c r="F8883" i="5"/>
  <c r="F8882" i="5"/>
  <c r="F8881" i="5"/>
  <c r="F8880" i="5"/>
  <c r="F8879" i="5"/>
  <c r="F8878" i="5"/>
  <c r="F8877" i="5"/>
  <c r="F8876" i="5"/>
  <c r="F8875" i="5"/>
  <c r="F8874" i="5"/>
  <c r="F8873" i="5"/>
  <c r="F8872" i="5"/>
  <c r="F8871" i="5"/>
  <c r="F8870" i="5"/>
  <c r="F8869" i="5"/>
  <c r="F8868" i="5"/>
  <c r="F8867" i="5"/>
  <c r="F8866" i="5"/>
  <c r="F8865" i="5"/>
  <c r="F8864" i="5"/>
  <c r="F8863" i="5"/>
  <c r="F8862" i="5"/>
  <c r="F8861" i="5"/>
  <c r="F8860" i="5"/>
  <c r="F8859" i="5"/>
  <c r="F8858" i="5"/>
  <c r="F8857" i="5"/>
  <c r="F8856" i="5"/>
  <c r="F8855" i="5"/>
  <c r="F8854" i="5"/>
  <c r="F8853" i="5"/>
  <c r="F8852" i="5"/>
  <c r="F8851" i="5"/>
  <c r="F8850" i="5"/>
  <c r="F8849" i="5"/>
  <c r="F8848" i="5"/>
  <c r="F8847" i="5"/>
  <c r="F8846" i="5"/>
  <c r="F8845" i="5"/>
  <c r="F8844" i="5"/>
  <c r="F8843" i="5"/>
  <c r="F8842" i="5"/>
  <c r="F8841" i="5"/>
  <c r="F8840" i="5"/>
  <c r="F8839" i="5"/>
  <c r="F8838" i="5"/>
  <c r="F8837" i="5"/>
  <c r="F8836" i="5"/>
  <c r="F8835" i="5"/>
  <c r="F8834" i="5"/>
  <c r="F8833" i="5"/>
  <c r="F8832" i="5"/>
  <c r="F8831" i="5"/>
  <c r="F8830" i="5"/>
  <c r="F8829" i="5"/>
  <c r="F8828" i="5"/>
  <c r="F8827" i="5"/>
  <c r="F8826" i="5"/>
  <c r="F8825" i="5"/>
  <c r="F8824" i="5"/>
  <c r="F8823" i="5"/>
  <c r="F8822" i="5"/>
  <c r="F8821" i="5"/>
  <c r="F8820" i="5"/>
  <c r="F8819" i="5"/>
  <c r="F8818" i="5"/>
  <c r="F8817" i="5"/>
  <c r="F8816" i="5"/>
  <c r="F8815" i="5"/>
  <c r="F8814" i="5"/>
  <c r="F8813" i="5"/>
  <c r="F8812" i="5"/>
  <c r="F8811" i="5"/>
  <c r="F8810" i="5"/>
  <c r="F8809" i="5"/>
  <c r="F8808" i="5"/>
  <c r="F8807" i="5"/>
  <c r="F8806" i="5"/>
  <c r="F8805" i="5"/>
  <c r="F8804" i="5"/>
  <c r="F8803" i="5"/>
  <c r="F8802" i="5"/>
  <c r="F8801" i="5"/>
  <c r="F8800" i="5"/>
  <c r="F8799" i="5"/>
  <c r="F8798" i="5"/>
  <c r="F8797" i="5"/>
  <c r="F8796" i="5"/>
  <c r="F8795" i="5"/>
  <c r="F8794" i="5"/>
  <c r="F8793" i="5"/>
  <c r="F8792" i="5"/>
  <c r="F8791" i="5"/>
  <c r="F8790" i="5"/>
  <c r="F8789" i="5"/>
  <c r="F8788" i="5"/>
  <c r="F8787" i="5"/>
  <c r="F8786" i="5"/>
  <c r="F8785" i="5"/>
  <c r="F8784" i="5"/>
  <c r="F8783" i="5"/>
  <c r="F8782" i="5"/>
  <c r="F8781" i="5"/>
  <c r="F8780" i="5"/>
  <c r="F8779" i="5"/>
  <c r="F8778" i="5"/>
  <c r="F8777" i="5"/>
  <c r="F8776" i="5"/>
  <c r="F8775" i="5"/>
  <c r="F8774" i="5"/>
  <c r="F8773" i="5"/>
  <c r="F8772" i="5"/>
  <c r="F8771" i="5"/>
  <c r="F8770" i="5"/>
  <c r="F8769" i="5"/>
  <c r="F8768" i="5"/>
  <c r="F8767" i="5"/>
  <c r="F8766" i="5"/>
  <c r="F8765" i="5"/>
  <c r="F8764" i="5"/>
  <c r="F8763" i="5"/>
  <c r="F8762" i="5"/>
  <c r="F8761" i="5"/>
  <c r="F8760" i="5"/>
  <c r="F8759" i="5"/>
  <c r="F8758" i="5"/>
  <c r="F8757" i="5"/>
  <c r="F8756" i="5"/>
  <c r="F8755" i="5"/>
  <c r="F8754" i="5"/>
  <c r="F8753" i="5"/>
  <c r="F8752" i="5"/>
  <c r="F8751" i="5"/>
  <c r="F8750" i="5"/>
  <c r="F8749" i="5"/>
  <c r="F8748" i="5"/>
  <c r="F8747" i="5"/>
  <c r="F8746" i="5"/>
  <c r="F8745" i="5"/>
  <c r="F8744" i="5"/>
  <c r="F8743" i="5"/>
  <c r="F8742" i="5"/>
  <c r="F8741" i="5"/>
  <c r="F8740" i="5"/>
  <c r="F8739" i="5"/>
  <c r="F8738" i="5"/>
  <c r="F8737" i="5"/>
  <c r="F8736" i="5"/>
  <c r="F8735" i="5"/>
  <c r="F8734" i="5"/>
  <c r="F8733" i="5"/>
  <c r="F8732" i="5"/>
  <c r="F8731" i="5"/>
  <c r="F8730" i="5"/>
  <c r="F8729" i="5"/>
  <c r="F8728" i="5"/>
  <c r="F8727" i="5"/>
  <c r="F8726" i="5"/>
  <c r="F8725" i="5"/>
  <c r="F8724" i="5"/>
  <c r="F8723" i="5"/>
  <c r="F8722" i="5"/>
  <c r="F8721" i="5"/>
  <c r="F8720" i="5"/>
  <c r="F8719" i="5"/>
  <c r="F8718" i="5"/>
  <c r="F8717" i="5"/>
  <c r="F8716" i="5"/>
  <c r="F8715" i="5"/>
  <c r="F8714" i="5"/>
  <c r="F8713" i="5"/>
  <c r="F8712" i="5"/>
  <c r="F8711" i="5"/>
  <c r="F8710" i="5"/>
  <c r="F8709" i="5"/>
  <c r="F8708" i="5"/>
  <c r="F8707" i="5"/>
  <c r="F8706" i="5"/>
  <c r="F8705" i="5"/>
  <c r="F8704" i="5"/>
  <c r="F8703" i="5"/>
  <c r="F8702" i="5"/>
  <c r="F8701" i="5"/>
  <c r="F8700" i="5"/>
  <c r="F8699" i="5"/>
  <c r="F8698" i="5"/>
  <c r="F8697" i="5"/>
  <c r="F8696" i="5"/>
  <c r="F8695" i="5"/>
  <c r="F8694" i="5"/>
  <c r="F8693" i="5"/>
  <c r="F8692" i="5"/>
  <c r="F8691" i="5"/>
  <c r="F8690" i="5"/>
  <c r="F8689" i="5"/>
  <c r="F8688" i="5"/>
  <c r="F8687" i="5"/>
  <c r="F8686" i="5"/>
  <c r="F8685" i="5"/>
  <c r="F8684" i="5"/>
  <c r="F8683" i="5"/>
  <c r="F8682" i="5"/>
  <c r="F8681" i="5"/>
  <c r="F8680" i="5"/>
  <c r="F8679" i="5"/>
  <c r="F8678" i="5"/>
  <c r="F8677" i="5"/>
  <c r="F8676" i="5"/>
  <c r="F8675" i="5"/>
  <c r="F8674" i="5"/>
  <c r="F8673" i="5"/>
  <c r="F8672" i="5"/>
  <c r="F8671" i="5"/>
  <c r="F8670" i="5"/>
  <c r="F8669" i="5"/>
  <c r="F8668" i="5"/>
  <c r="F8667" i="5"/>
  <c r="F8666" i="5"/>
  <c r="F8665" i="5"/>
  <c r="F8664" i="5"/>
  <c r="F8663" i="5"/>
  <c r="F8662" i="5"/>
  <c r="F8661" i="5"/>
  <c r="F8660" i="5"/>
  <c r="F8659" i="5"/>
  <c r="F8658" i="5"/>
  <c r="F8657" i="5"/>
  <c r="F8656" i="5"/>
  <c r="F8655" i="5"/>
  <c r="F8654" i="5"/>
  <c r="F8653" i="5"/>
  <c r="F8652" i="5"/>
  <c r="F8651" i="5"/>
  <c r="F8650" i="5"/>
  <c r="F8649" i="5"/>
  <c r="F8648" i="5"/>
  <c r="F8647" i="5"/>
  <c r="F8646" i="5"/>
  <c r="F8645" i="5"/>
  <c r="F8644" i="5"/>
  <c r="F8643" i="5"/>
  <c r="F8642" i="5"/>
  <c r="F8641" i="5"/>
  <c r="F8640" i="5"/>
  <c r="F8639" i="5"/>
  <c r="F8638" i="5"/>
  <c r="F8637" i="5"/>
  <c r="F8636" i="5"/>
  <c r="F8635" i="5"/>
  <c r="F8634" i="5"/>
  <c r="F8633" i="5"/>
  <c r="F8632" i="5"/>
  <c r="F8631" i="5"/>
  <c r="F8630" i="5"/>
  <c r="F8629" i="5"/>
  <c r="F8628" i="5"/>
  <c r="F8627" i="5"/>
  <c r="F8626" i="5"/>
  <c r="F8625" i="5"/>
  <c r="F8624" i="5"/>
  <c r="F8623" i="5"/>
  <c r="F8622" i="5"/>
  <c r="F8621" i="5"/>
  <c r="F8620" i="5"/>
  <c r="F8619" i="5"/>
  <c r="F8618" i="5"/>
  <c r="F8617" i="5"/>
  <c r="F8616" i="5"/>
  <c r="F8615" i="5"/>
  <c r="F8614" i="5"/>
  <c r="F8613" i="5"/>
  <c r="F8612" i="5"/>
  <c r="F8611" i="5"/>
  <c r="F8610" i="5"/>
  <c r="F8609" i="5"/>
  <c r="F8608" i="5"/>
  <c r="F8607" i="5"/>
  <c r="F8606" i="5"/>
  <c r="F8605" i="5"/>
  <c r="F8604" i="5"/>
  <c r="F8603" i="5"/>
  <c r="F8602" i="5"/>
  <c r="F8601" i="5"/>
  <c r="F8600" i="5"/>
  <c r="F8599" i="5"/>
  <c r="F8598" i="5"/>
  <c r="F8597" i="5"/>
  <c r="F8596" i="5"/>
  <c r="F8595" i="5"/>
  <c r="F8594" i="5"/>
  <c r="F8593" i="5"/>
  <c r="F8592" i="5"/>
  <c r="F8591" i="5"/>
  <c r="F8590" i="5"/>
  <c r="F8589" i="5"/>
  <c r="F8588" i="5"/>
  <c r="F8587" i="5"/>
  <c r="F8586" i="5"/>
  <c r="F8585" i="5"/>
  <c r="F8584" i="5"/>
  <c r="F8583" i="5"/>
  <c r="F8582" i="5"/>
  <c r="F8581" i="5"/>
  <c r="F8580" i="5"/>
  <c r="F8579" i="5"/>
  <c r="F8578" i="5"/>
  <c r="F8577" i="5"/>
  <c r="F8576" i="5"/>
  <c r="F8575" i="5"/>
  <c r="F8574" i="5"/>
  <c r="F8573" i="5"/>
  <c r="F8572" i="5"/>
  <c r="F8571" i="5"/>
  <c r="F8570" i="5"/>
  <c r="F8569" i="5"/>
  <c r="F8568" i="5"/>
  <c r="F8567" i="5"/>
  <c r="F8566" i="5"/>
  <c r="F8565" i="5"/>
  <c r="F8564" i="5"/>
  <c r="F8563" i="5"/>
  <c r="F8562" i="5"/>
  <c r="F8561" i="5"/>
  <c r="F8560" i="5"/>
  <c r="F8559" i="5"/>
  <c r="F8558" i="5"/>
  <c r="F8557" i="5"/>
  <c r="F8556" i="5"/>
  <c r="F8555" i="5"/>
  <c r="F8554" i="5"/>
  <c r="F8553" i="5"/>
  <c r="F8552" i="5"/>
  <c r="F8551" i="5"/>
  <c r="F8550" i="5"/>
  <c r="F8549" i="5"/>
  <c r="F8548" i="5"/>
  <c r="F8547" i="5"/>
  <c r="F8546" i="5"/>
  <c r="F8545" i="5"/>
  <c r="F8544" i="5"/>
  <c r="F8543" i="5"/>
  <c r="F8542" i="5"/>
  <c r="F8541" i="5"/>
  <c r="F8540" i="5"/>
  <c r="F8539" i="5"/>
  <c r="F8538" i="5"/>
  <c r="F8537" i="5"/>
  <c r="F8536" i="5"/>
  <c r="F8535" i="5"/>
  <c r="F8534" i="5"/>
  <c r="F8533" i="5"/>
  <c r="F8532" i="5"/>
  <c r="F8531" i="5"/>
  <c r="F8530" i="5"/>
  <c r="F8529" i="5"/>
  <c r="F8528" i="5"/>
  <c r="F8527" i="5"/>
  <c r="F8526" i="5"/>
  <c r="F8525" i="5"/>
  <c r="F8524" i="5"/>
  <c r="F8523" i="5"/>
  <c r="F8522" i="5"/>
  <c r="F8521" i="5"/>
  <c r="F8520" i="5"/>
  <c r="F8519" i="5"/>
  <c r="F8518" i="5"/>
  <c r="F8517" i="5"/>
  <c r="F8516" i="5"/>
  <c r="F8515" i="5"/>
  <c r="F8514" i="5"/>
  <c r="F8513" i="5"/>
  <c r="F8512" i="5"/>
  <c r="F8511" i="5"/>
  <c r="F8510" i="5"/>
  <c r="F8509" i="5"/>
  <c r="F8508" i="5"/>
  <c r="F8507" i="5"/>
  <c r="F8506" i="5"/>
  <c r="F8505" i="5"/>
  <c r="F8504" i="5"/>
  <c r="F8503" i="5"/>
  <c r="F8502" i="5"/>
  <c r="F8501" i="5"/>
  <c r="F8500" i="5"/>
  <c r="F8499" i="5"/>
  <c r="F8498" i="5"/>
  <c r="F8497" i="5"/>
  <c r="F8496" i="5"/>
  <c r="F8495" i="5"/>
  <c r="F8494" i="5"/>
  <c r="F8493" i="5"/>
  <c r="F8492" i="5"/>
  <c r="F8491" i="5"/>
  <c r="F8490" i="5"/>
  <c r="F8489" i="5"/>
  <c r="F8488" i="5"/>
  <c r="F8487" i="5"/>
  <c r="F8486" i="5"/>
  <c r="F8485" i="5"/>
  <c r="F8484" i="5"/>
  <c r="F8483" i="5"/>
  <c r="F8482" i="5"/>
  <c r="F8481" i="5"/>
  <c r="F8480" i="5"/>
  <c r="F8479" i="5"/>
  <c r="F8478" i="5"/>
  <c r="F8477" i="5"/>
  <c r="F8476" i="5"/>
  <c r="F8475" i="5"/>
  <c r="F8474" i="5"/>
  <c r="F8473" i="5"/>
  <c r="F8472" i="5"/>
  <c r="F8471" i="5"/>
  <c r="F8470" i="5"/>
  <c r="F8469" i="5"/>
  <c r="F8468" i="5"/>
  <c r="F8467" i="5"/>
  <c r="F8466" i="5"/>
  <c r="F8465" i="5"/>
  <c r="F8464" i="5"/>
  <c r="F8463" i="5"/>
  <c r="F8462" i="5"/>
  <c r="F8461" i="5"/>
  <c r="F8460" i="5"/>
  <c r="F8459" i="5"/>
  <c r="F8458" i="5"/>
  <c r="F8457" i="5"/>
  <c r="F8456" i="5"/>
  <c r="F8455" i="5"/>
  <c r="F8454" i="5"/>
  <c r="F8453" i="5"/>
  <c r="F8452" i="5"/>
  <c r="F8451" i="5"/>
  <c r="F8450" i="5"/>
  <c r="F8449" i="5"/>
  <c r="F8448" i="5"/>
  <c r="F8447" i="5"/>
  <c r="F8446" i="5"/>
  <c r="F8445" i="5"/>
  <c r="F8444" i="5"/>
  <c r="F8443" i="5"/>
  <c r="F8442" i="5"/>
  <c r="F8441" i="5"/>
  <c r="F8440" i="5"/>
  <c r="F8439" i="5"/>
  <c r="F8438" i="5"/>
  <c r="F8437" i="5"/>
  <c r="F8436" i="5"/>
  <c r="F8435" i="5"/>
  <c r="F8434" i="5"/>
  <c r="F8433" i="5"/>
  <c r="F8432" i="5"/>
  <c r="F8431" i="5"/>
  <c r="F8430" i="5"/>
  <c r="F8429" i="5"/>
  <c r="F8428" i="5"/>
  <c r="F8427" i="5"/>
  <c r="F8426" i="5"/>
  <c r="F8425" i="5"/>
  <c r="F8424" i="5"/>
  <c r="F8423" i="5"/>
  <c r="F8422" i="5"/>
  <c r="F8421" i="5"/>
  <c r="F8420" i="5"/>
  <c r="F8419" i="5"/>
  <c r="F8418" i="5"/>
  <c r="F8417" i="5"/>
  <c r="F8416" i="5"/>
  <c r="F8415" i="5"/>
  <c r="F8414" i="5"/>
  <c r="F8413" i="5"/>
  <c r="F8412" i="5"/>
  <c r="F8411" i="5"/>
  <c r="F8410" i="5"/>
  <c r="F8409" i="5"/>
  <c r="F8408" i="5"/>
  <c r="F8407" i="5"/>
  <c r="F8406" i="5"/>
  <c r="F8405" i="5"/>
  <c r="F8404" i="5"/>
  <c r="F8403" i="5"/>
  <c r="F8402" i="5"/>
  <c r="F8401" i="5"/>
  <c r="F8400" i="5"/>
  <c r="F8399" i="5"/>
  <c r="F8398" i="5"/>
  <c r="F8397" i="5"/>
  <c r="F8396" i="5"/>
  <c r="F8395" i="5"/>
  <c r="F8394" i="5"/>
  <c r="F8393" i="5"/>
  <c r="F8392" i="5"/>
  <c r="F8391" i="5"/>
  <c r="F8390" i="5"/>
  <c r="F8389" i="5"/>
  <c r="F8388" i="5"/>
  <c r="F8387" i="5"/>
  <c r="F8386" i="5"/>
  <c r="F8385" i="5"/>
  <c r="F8384" i="5"/>
  <c r="F8383" i="5"/>
  <c r="F8382" i="5"/>
  <c r="F8381" i="5"/>
  <c r="F8380" i="5"/>
  <c r="F8379" i="5"/>
  <c r="F8378" i="5"/>
  <c r="F8377" i="5"/>
  <c r="F8376" i="5"/>
  <c r="F8375" i="5"/>
  <c r="F8374" i="5"/>
  <c r="F8373" i="5"/>
  <c r="F8372" i="5"/>
  <c r="F8371" i="5"/>
  <c r="F8370" i="5"/>
  <c r="F8369" i="5"/>
  <c r="F8368" i="5"/>
  <c r="F8367" i="5"/>
  <c r="F8366" i="5"/>
  <c r="F8365" i="5"/>
  <c r="F8364" i="5"/>
  <c r="F8363" i="5"/>
  <c r="F8362" i="5"/>
  <c r="F8361" i="5"/>
  <c r="F8360" i="5"/>
  <c r="F8359" i="5"/>
  <c r="F8358" i="5"/>
  <c r="F8357" i="5"/>
  <c r="F8356" i="5"/>
  <c r="F8355" i="5"/>
  <c r="F8354" i="5"/>
  <c r="F8353" i="5"/>
  <c r="F8352" i="5"/>
  <c r="F8351" i="5"/>
  <c r="F8350" i="5"/>
  <c r="F8349" i="5"/>
  <c r="F8348" i="5"/>
  <c r="F8347" i="5"/>
  <c r="F8346" i="5"/>
  <c r="F8345" i="5"/>
  <c r="F8344" i="5"/>
  <c r="F8343" i="5"/>
  <c r="F8342" i="5"/>
  <c r="F8341" i="5"/>
  <c r="F8340" i="5"/>
  <c r="F8339" i="5"/>
  <c r="F8338" i="5"/>
  <c r="F8337" i="5"/>
  <c r="F8336" i="5"/>
  <c r="F8335" i="5"/>
  <c r="F8334" i="5"/>
  <c r="F8333" i="5"/>
  <c r="F8332" i="5"/>
  <c r="F8331" i="5"/>
  <c r="F8330" i="5"/>
  <c r="F8329" i="5"/>
  <c r="F8328" i="5"/>
  <c r="F8327" i="5"/>
  <c r="F8326" i="5"/>
  <c r="F8325" i="5"/>
  <c r="F8324" i="5"/>
  <c r="F8323" i="5"/>
  <c r="F8322" i="5"/>
  <c r="F8321" i="5"/>
  <c r="F8320" i="5"/>
  <c r="F8319" i="5"/>
  <c r="F8318" i="5"/>
  <c r="F8317" i="5"/>
  <c r="F8316" i="5"/>
  <c r="F8315" i="5"/>
  <c r="F8314" i="5"/>
  <c r="F8313" i="5"/>
  <c r="F8312" i="5"/>
  <c r="F8311" i="5"/>
  <c r="F8310" i="5"/>
  <c r="F8309" i="5"/>
  <c r="F8308" i="5"/>
  <c r="F8307" i="5"/>
  <c r="F8306" i="5"/>
  <c r="F8305" i="5"/>
  <c r="F8304" i="5"/>
  <c r="F8303" i="5"/>
  <c r="F8302" i="5"/>
  <c r="F8301" i="5"/>
  <c r="F8300" i="5"/>
  <c r="F8299" i="5"/>
  <c r="F8298" i="5"/>
  <c r="F8297" i="5"/>
  <c r="F8296" i="5"/>
  <c r="F8295" i="5"/>
  <c r="F8294" i="5"/>
  <c r="F8293" i="5"/>
  <c r="F8292" i="5"/>
  <c r="F8291" i="5"/>
  <c r="F8290" i="5"/>
  <c r="F8289" i="5"/>
  <c r="F8288" i="5"/>
  <c r="F8287" i="5"/>
  <c r="F8286" i="5"/>
  <c r="F8285" i="5"/>
  <c r="F8284" i="5"/>
  <c r="F8283" i="5"/>
  <c r="F8282" i="5"/>
  <c r="F8281" i="5"/>
  <c r="F8280" i="5"/>
  <c r="F8279" i="5"/>
  <c r="F8278" i="5"/>
  <c r="F8277" i="5"/>
  <c r="F8276" i="5"/>
  <c r="F8275" i="5"/>
  <c r="F8274" i="5"/>
  <c r="F8273" i="5"/>
  <c r="F8272" i="5"/>
  <c r="F8271" i="5"/>
  <c r="F8270" i="5"/>
  <c r="F8269" i="5"/>
  <c r="F8268" i="5"/>
  <c r="F8267" i="5"/>
  <c r="F8266" i="5"/>
  <c r="F8265" i="5"/>
  <c r="F8264" i="5"/>
  <c r="F8263" i="5"/>
  <c r="F8262" i="5"/>
  <c r="F8261" i="5"/>
  <c r="F8260" i="5"/>
  <c r="F8259" i="5"/>
  <c r="F8258" i="5"/>
  <c r="F8257" i="5"/>
  <c r="F8256" i="5"/>
  <c r="F8255" i="5"/>
  <c r="F8254" i="5"/>
  <c r="F8253" i="5"/>
  <c r="F8252" i="5"/>
  <c r="F8251" i="5"/>
  <c r="F8250" i="5"/>
  <c r="F8249" i="5"/>
  <c r="F8248" i="5"/>
  <c r="F8247" i="5"/>
  <c r="F8246" i="5"/>
  <c r="F8245" i="5"/>
  <c r="F8244" i="5"/>
  <c r="F8243" i="5"/>
  <c r="F8242" i="5"/>
  <c r="F8241" i="5"/>
  <c r="F8240" i="5"/>
  <c r="F8239" i="5"/>
  <c r="F8238" i="5"/>
  <c r="F8237" i="5"/>
  <c r="F8236" i="5"/>
  <c r="F8235" i="5"/>
  <c r="F8234" i="5"/>
  <c r="F8233" i="5"/>
  <c r="F8232" i="5"/>
  <c r="F8231" i="5"/>
  <c r="F8230" i="5"/>
  <c r="F8229" i="5"/>
  <c r="F8228" i="5"/>
  <c r="F8227" i="5"/>
  <c r="F8226" i="5"/>
  <c r="F8225" i="5"/>
  <c r="F8224" i="5"/>
  <c r="F8223" i="5"/>
  <c r="F8222" i="5"/>
  <c r="F8221" i="5"/>
  <c r="F8220" i="5"/>
  <c r="F8219" i="5"/>
  <c r="F8218" i="5"/>
  <c r="F8217" i="5"/>
  <c r="F8216" i="5"/>
  <c r="F8215" i="5"/>
  <c r="F8214" i="5"/>
  <c r="F8213" i="5"/>
  <c r="F8212" i="5"/>
  <c r="F8211" i="5"/>
  <c r="F8210" i="5"/>
  <c r="F8209" i="5"/>
  <c r="F8208" i="5"/>
  <c r="F8207" i="5"/>
  <c r="F8206" i="5"/>
  <c r="F8205" i="5"/>
  <c r="F8204" i="5"/>
  <c r="F8203" i="5"/>
  <c r="F8202" i="5"/>
  <c r="F8201" i="5"/>
  <c r="F8200" i="5"/>
  <c r="F8199" i="5"/>
  <c r="F8198" i="5"/>
  <c r="F8197" i="5"/>
  <c r="F8196" i="5"/>
  <c r="F8195" i="5"/>
  <c r="F8194" i="5"/>
  <c r="F8193" i="5"/>
  <c r="F8192" i="5"/>
  <c r="F8191" i="5"/>
  <c r="F8190" i="5"/>
  <c r="F8189" i="5"/>
  <c r="F8188" i="5"/>
  <c r="F8187" i="5"/>
  <c r="F8186" i="5"/>
  <c r="F8185" i="5"/>
  <c r="F8184" i="5"/>
  <c r="F8183" i="5"/>
  <c r="F8182" i="5"/>
  <c r="F8181" i="5"/>
  <c r="F8180" i="5"/>
  <c r="F8179" i="5"/>
  <c r="F8178" i="5"/>
  <c r="F8177" i="5"/>
  <c r="F8176" i="5"/>
  <c r="F8175" i="5"/>
  <c r="F8174" i="5"/>
  <c r="F8173" i="5"/>
  <c r="F8172" i="5"/>
  <c r="F8171" i="5"/>
  <c r="F8170" i="5"/>
  <c r="F8169" i="5"/>
  <c r="F8168" i="5"/>
  <c r="F8167" i="5"/>
  <c r="F8166" i="5"/>
  <c r="F8165" i="5"/>
  <c r="F8164" i="5"/>
  <c r="F8163" i="5"/>
  <c r="F8162" i="5"/>
  <c r="F8161" i="5"/>
  <c r="F8160" i="5"/>
  <c r="F8159" i="5"/>
  <c r="F8158" i="5"/>
  <c r="F8157" i="5"/>
  <c r="F8156" i="5"/>
  <c r="F8155" i="5"/>
  <c r="F8154" i="5"/>
  <c r="F8153" i="5"/>
  <c r="F8152" i="5"/>
  <c r="F8151" i="5"/>
  <c r="F8150" i="5"/>
  <c r="F8149" i="5"/>
  <c r="F8148" i="5"/>
  <c r="F8147" i="5"/>
  <c r="F8146" i="5"/>
  <c r="F8145" i="5"/>
  <c r="F8144" i="5"/>
  <c r="F8143" i="5"/>
  <c r="F8142" i="5"/>
  <c r="F8141" i="5"/>
  <c r="F8140" i="5"/>
  <c r="F8139" i="5"/>
  <c r="F8138" i="5"/>
  <c r="F8137" i="5"/>
  <c r="F8136" i="5"/>
  <c r="F8135" i="5"/>
  <c r="F8134" i="5"/>
  <c r="F8133" i="5"/>
  <c r="F8132" i="5"/>
  <c r="F8131" i="5"/>
  <c r="F8130" i="5"/>
  <c r="F8129" i="5"/>
  <c r="F8128" i="5"/>
  <c r="F8127" i="5"/>
  <c r="F8126" i="5"/>
  <c r="F8125" i="5"/>
  <c r="F8124" i="5"/>
  <c r="F8123" i="5"/>
  <c r="F8122" i="5"/>
  <c r="F8121" i="5"/>
  <c r="F8120" i="5"/>
  <c r="F8119" i="5"/>
  <c r="F8118" i="5"/>
  <c r="F8117" i="5"/>
  <c r="F8116" i="5"/>
  <c r="F8115" i="5"/>
  <c r="F8114" i="5"/>
  <c r="F8113" i="5"/>
  <c r="F8112" i="5"/>
  <c r="F8111" i="5"/>
  <c r="F8110" i="5"/>
  <c r="F8109" i="5"/>
  <c r="F8108" i="5"/>
  <c r="F8107" i="5"/>
  <c r="F8106" i="5"/>
  <c r="F8105" i="5"/>
  <c r="F8104" i="5"/>
  <c r="F8103" i="5"/>
  <c r="F8102" i="5"/>
  <c r="F8101" i="5"/>
  <c r="F8100" i="5"/>
  <c r="F8099" i="5"/>
  <c r="F8098" i="5"/>
  <c r="F8097" i="5"/>
  <c r="F8096" i="5"/>
  <c r="F8095" i="5"/>
  <c r="F8094" i="5"/>
  <c r="F8093" i="5"/>
  <c r="F8092" i="5"/>
  <c r="F8091" i="5"/>
  <c r="F8090" i="5"/>
  <c r="F8089" i="5"/>
  <c r="F8088" i="5"/>
  <c r="F8087" i="5"/>
  <c r="F8086" i="5"/>
  <c r="F8085" i="5"/>
  <c r="F8084" i="5"/>
  <c r="F8083" i="5"/>
  <c r="F8082" i="5"/>
  <c r="F8081" i="5"/>
  <c r="F8080" i="5"/>
  <c r="F8079" i="5"/>
  <c r="F8078" i="5"/>
  <c r="F8077" i="5"/>
  <c r="F8076" i="5"/>
  <c r="F8075" i="5"/>
  <c r="F8074" i="5"/>
  <c r="F8073" i="5"/>
  <c r="F8072" i="5"/>
  <c r="F8071" i="5"/>
  <c r="F8070" i="5"/>
  <c r="F8069" i="5"/>
  <c r="F8068" i="5"/>
  <c r="F8067" i="5"/>
  <c r="F8066" i="5"/>
  <c r="F8065" i="5"/>
  <c r="F8064" i="5"/>
  <c r="F8063" i="5"/>
  <c r="F8062" i="5"/>
  <c r="F8061" i="5"/>
  <c r="F8060" i="5"/>
  <c r="F8059" i="5"/>
  <c r="F8058" i="5"/>
  <c r="F8057" i="5"/>
  <c r="F8056" i="5"/>
  <c r="F8055" i="5"/>
  <c r="F8054" i="5"/>
  <c r="F8053" i="5"/>
  <c r="F8052" i="5"/>
  <c r="F8051" i="5"/>
  <c r="F8050" i="5"/>
  <c r="F8049" i="5"/>
  <c r="F8048" i="5"/>
  <c r="F8047" i="5"/>
  <c r="F8046" i="5"/>
  <c r="F8045" i="5"/>
  <c r="F8044" i="5"/>
  <c r="F8043" i="5"/>
  <c r="F8042" i="5"/>
  <c r="F8041" i="5"/>
  <c r="F8040" i="5"/>
  <c r="F8039" i="5"/>
  <c r="F8038" i="5"/>
  <c r="F8037" i="5"/>
  <c r="F8036" i="5"/>
  <c r="F8035" i="5"/>
  <c r="F8034" i="5"/>
  <c r="F8033" i="5"/>
  <c r="F8032" i="5"/>
  <c r="F8031" i="5"/>
  <c r="F8030" i="5"/>
  <c r="F8029" i="5"/>
  <c r="F8028" i="5"/>
  <c r="F8027" i="5"/>
  <c r="F8026" i="5"/>
  <c r="F8025" i="5"/>
  <c r="F8024" i="5"/>
  <c r="F8023" i="5"/>
  <c r="F8022" i="5"/>
  <c r="F8021" i="5"/>
  <c r="F8020" i="5"/>
  <c r="F8019" i="5"/>
  <c r="F8018" i="5"/>
  <c r="F8017" i="5"/>
  <c r="F8016" i="5"/>
  <c r="F8015" i="5"/>
  <c r="F8014" i="5"/>
  <c r="F8013" i="5"/>
  <c r="F8012" i="5"/>
  <c r="F8011" i="5"/>
  <c r="F8010" i="5"/>
  <c r="F8009" i="5"/>
  <c r="F8008" i="5"/>
  <c r="F8007" i="5"/>
  <c r="F8006" i="5"/>
  <c r="F8005" i="5"/>
  <c r="F8004" i="5"/>
  <c r="F8003" i="5"/>
  <c r="F8002" i="5"/>
  <c r="F8001" i="5"/>
  <c r="F8000" i="5"/>
  <c r="F7999" i="5"/>
  <c r="F7998" i="5"/>
  <c r="F7997" i="5"/>
  <c r="F7996" i="5"/>
  <c r="F7995" i="5"/>
  <c r="F7994" i="5"/>
  <c r="F7993" i="5"/>
  <c r="F7992" i="5"/>
  <c r="F7991" i="5"/>
  <c r="F7990" i="5"/>
  <c r="F7989" i="5"/>
  <c r="F7988" i="5"/>
  <c r="F7987" i="5"/>
  <c r="F7986" i="5"/>
  <c r="F7985" i="5"/>
  <c r="F7984" i="5"/>
  <c r="F7983" i="5"/>
  <c r="F7982" i="5"/>
  <c r="F7981" i="5"/>
  <c r="F7980" i="5"/>
  <c r="F7979" i="5"/>
  <c r="F7978" i="5"/>
  <c r="F7977" i="5"/>
  <c r="F7976" i="5"/>
  <c r="F7975" i="5"/>
  <c r="F7974" i="5"/>
  <c r="F7973" i="5"/>
  <c r="F7972" i="5"/>
  <c r="F7971" i="5"/>
  <c r="F7970" i="5"/>
  <c r="F7969" i="5"/>
  <c r="F7968" i="5"/>
  <c r="F7967" i="5"/>
  <c r="F7966" i="5"/>
  <c r="F7965" i="5"/>
  <c r="F7964" i="5"/>
  <c r="F7963" i="5"/>
  <c r="F7962" i="5"/>
  <c r="F7961" i="5"/>
  <c r="F7960" i="5"/>
  <c r="F7959" i="5"/>
  <c r="F7958" i="5"/>
  <c r="F7957" i="5"/>
  <c r="F7956" i="5"/>
  <c r="F7955" i="5"/>
  <c r="F7954" i="5"/>
  <c r="F7953" i="5"/>
  <c r="F7952" i="5"/>
  <c r="F7951" i="5"/>
  <c r="F7950" i="5"/>
  <c r="F7949" i="5"/>
  <c r="F7948" i="5"/>
  <c r="F7947" i="5"/>
  <c r="F7946" i="5"/>
  <c r="F7945" i="5"/>
  <c r="F7944" i="5"/>
  <c r="F7943" i="5"/>
  <c r="F7942" i="5"/>
  <c r="F7941" i="5"/>
  <c r="F7940" i="5"/>
  <c r="F7939" i="5"/>
  <c r="F7938" i="5"/>
  <c r="F7937" i="5"/>
  <c r="F7936" i="5"/>
  <c r="F7935" i="5"/>
  <c r="F7934" i="5"/>
  <c r="F7933" i="5"/>
  <c r="F7932" i="5"/>
  <c r="F7931" i="5"/>
  <c r="F7930" i="5"/>
  <c r="F7929" i="5"/>
  <c r="F7928" i="5"/>
  <c r="F7927" i="5"/>
  <c r="F7926" i="5"/>
  <c r="F7925" i="5"/>
  <c r="F7924" i="5"/>
  <c r="F7923" i="5"/>
  <c r="F7922" i="5"/>
  <c r="F7921" i="5"/>
  <c r="F7920" i="5"/>
  <c r="F7919" i="5"/>
  <c r="F7918" i="5"/>
  <c r="F7917" i="5"/>
  <c r="F7916" i="5"/>
  <c r="F7915" i="5"/>
  <c r="F7914" i="5"/>
  <c r="F7913" i="5"/>
  <c r="F7912" i="5"/>
  <c r="F7911" i="5"/>
  <c r="F7910" i="5"/>
  <c r="F7909" i="5"/>
  <c r="F7908" i="5"/>
  <c r="F7907" i="5"/>
  <c r="F7906" i="5"/>
  <c r="F7905" i="5"/>
  <c r="F7904" i="5"/>
  <c r="F7903" i="5"/>
  <c r="F7902" i="5"/>
  <c r="F7901" i="5"/>
  <c r="F7900" i="5"/>
  <c r="F7899" i="5"/>
  <c r="F7898" i="5"/>
  <c r="F7897" i="5"/>
  <c r="F7896" i="5"/>
  <c r="F7895" i="5"/>
  <c r="F7894" i="5"/>
  <c r="F7893" i="5"/>
  <c r="F7892" i="5"/>
  <c r="F7891" i="5"/>
  <c r="F7890" i="5"/>
  <c r="F7889" i="5"/>
  <c r="F7888" i="5"/>
  <c r="F7887" i="5"/>
  <c r="F7886" i="5"/>
  <c r="F7885" i="5"/>
  <c r="F7884" i="5"/>
  <c r="F7883" i="5"/>
  <c r="F7882" i="5"/>
  <c r="F7881" i="5"/>
  <c r="F7880" i="5"/>
  <c r="F7879" i="5"/>
  <c r="F7878" i="5"/>
  <c r="F7877" i="5"/>
  <c r="F7876" i="5"/>
  <c r="F7875" i="5"/>
  <c r="F7874" i="5"/>
  <c r="F7873" i="5"/>
  <c r="F7872" i="5"/>
  <c r="F7871" i="5"/>
  <c r="F7870" i="5"/>
  <c r="F7869" i="5"/>
  <c r="F7868" i="5"/>
  <c r="F7867" i="5"/>
  <c r="F7866" i="5"/>
  <c r="F7865" i="5"/>
  <c r="F7864" i="5"/>
  <c r="F7863" i="5"/>
  <c r="F7862" i="5"/>
  <c r="F7861" i="5"/>
  <c r="F7860" i="5"/>
  <c r="F7859" i="5"/>
  <c r="F7858" i="5"/>
  <c r="F7857" i="5"/>
  <c r="F7856" i="5"/>
  <c r="F7855" i="5"/>
  <c r="F7854" i="5"/>
  <c r="F7853" i="5"/>
  <c r="F7852" i="5"/>
  <c r="F7851" i="5"/>
  <c r="F7850" i="5"/>
  <c r="F7849" i="5"/>
  <c r="F7848" i="5"/>
  <c r="F7847" i="5"/>
  <c r="F7846" i="5"/>
  <c r="F7845" i="5"/>
  <c r="F7844" i="5"/>
  <c r="F7843" i="5"/>
  <c r="F7842" i="5"/>
  <c r="F7841" i="5"/>
  <c r="F7840" i="5"/>
  <c r="F7839" i="5"/>
  <c r="F7838" i="5"/>
  <c r="F7837" i="5"/>
  <c r="F7836" i="5"/>
  <c r="F7835" i="5"/>
  <c r="F7834" i="5"/>
  <c r="F7833" i="5"/>
  <c r="F7832" i="5"/>
  <c r="F7831" i="5"/>
  <c r="F7830" i="5"/>
  <c r="F7829" i="5"/>
  <c r="F7828" i="5"/>
  <c r="F7827" i="5"/>
  <c r="F7826" i="5"/>
  <c r="F7825" i="5"/>
  <c r="F7824" i="5"/>
  <c r="F7823" i="5"/>
  <c r="F7822" i="5"/>
  <c r="F7821" i="5"/>
  <c r="F7820" i="5"/>
  <c r="F7819" i="5"/>
  <c r="F7818" i="5"/>
  <c r="F7817" i="5"/>
  <c r="F7816" i="5"/>
  <c r="F7815" i="5"/>
  <c r="F7814" i="5"/>
  <c r="F7813" i="5"/>
  <c r="F7812" i="5"/>
  <c r="F7811" i="5"/>
  <c r="F7810" i="5"/>
  <c r="F7809" i="5"/>
  <c r="F7808" i="5"/>
  <c r="F7807" i="5"/>
  <c r="F7806" i="5"/>
  <c r="F7805" i="5"/>
  <c r="F7804" i="5"/>
  <c r="F7803" i="5"/>
  <c r="F7802" i="5"/>
  <c r="F7801" i="5"/>
  <c r="F7800" i="5"/>
  <c r="F7799" i="5"/>
  <c r="F7798" i="5"/>
  <c r="F7797" i="5"/>
  <c r="F7796" i="5"/>
  <c r="F7795" i="5"/>
  <c r="F7794" i="5"/>
  <c r="F7793" i="5"/>
  <c r="F7792" i="5"/>
  <c r="F7791" i="5"/>
  <c r="F7790" i="5"/>
  <c r="F7789" i="5"/>
  <c r="F7788" i="5"/>
  <c r="F7787" i="5"/>
  <c r="F7786" i="5"/>
  <c r="F7785" i="5"/>
  <c r="F7784" i="5"/>
  <c r="F7783" i="5"/>
  <c r="F7782" i="5"/>
  <c r="F7781" i="5"/>
  <c r="F7780" i="5"/>
  <c r="F7779" i="5"/>
  <c r="F7778" i="5"/>
  <c r="F7777" i="5"/>
  <c r="F7776" i="5"/>
  <c r="F7775" i="5"/>
  <c r="F7774" i="5"/>
  <c r="F7773" i="5"/>
  <c r="F7772" i="5"/>
  <c r="F7771" i="5"/>
  <c r="F7770" i="5"/>
  <c r="F7769" i="5"/>
  <c r="F7768" i="5"/>
  <c r="F7767" i="5"/>
  <c r="F7766" i="5"/>
  <c r="F7765" i="5"/>
  <c r="F7764" i="5"/>
  <c r="F7763" i="5"/>
  <c r="F7762" i="5"/>
  <c r="F7761" i="5"/>
  <c r="F7760" i="5"/>
  <c r="F7759" i="5"/>
  <c r="F7758" i="5"/>
  <c r="F7757" i="5"/>
  <c r="F7756" i="5"/>
  <c r="F7755" i="5"/>
  <c r="F7754" i="5"/>
  <c r="F7753" i="5"/>
  <c r="F7752" i="5"/>
  <c r="F7751" i="5"/>
  <c r="F7750" i="5"/>
  <c r="F7749" i="5"/>
  <c r="F7748" i="5"/>
  <c r="F7747" i="5"/>
  <c r="F7746" i="5"/>
  <c r="F7745" i="5"/>
  <c r="F7744" i="5"/>
  <c r="F7743" i="5"/>
  <c r="F7742" i="5"/>
  <c r="F7741" i="5"/>
  <c r="F7740" i="5"/>
  <c r="F7739" i="5"/>
  <c r="F7738" i="5"/>
  <c r="F7737" i="5"/>
  <c r="F7736" i="5"/>
  <c r="F7735" i="5"/>
  <c r="F7734" i="5"/>
  <c r="F7733" i="5"/>
  <c r="F7732" i="5"/>
  <c r="F7731" i="5"/>
  <c r="F7730" i="5"/>
  <c r="F7729" i="5"/>
  <c r="F7728" i="5"/>
  <c r="F7727" i="5"/>
  <c r="F7726" i="5"/>
  <c r="F7725" i="5"/>
  <c r="F7724" i="5"/>
  <c r="F7723" i="5"/>
  <c r="F7722" i="5"/>
  <c r="F7721" i="5"/>
  <c r="F7720" i="5"/>
  <c r="F7719" i="5"/>
  <c r="F7718" i="5"/>
  <c r="F7717" i="5"/>
  <c r="F7716" i="5"/>
  <c r="F7715" i="5"/>
  <c r="F7714" i="5"/>
  <c r="F7713" i="5"/>
  <c r="F7712" i="5"/>
  <c r="F7711" i="5"/>
  <c r="F7710" i="5"/>
  <c r="F7709" i="5"/>
  <c r="F7708" i="5"/>
  <c r="F7707" i="5"/>
  <c r="F7706" i="5"/>
  <c r="F7705" i="5"/>
  <c r="F7704" i="5"/>
  <c r="F7703" i="5"/>
  <c r="F7702" i="5"/>
  <c r="F7701" i="5"/>
  <c r="F7700" i="5"/>
  <c r="F7699" i="5"/>
  <c r="F7698" i="5"/>
  <c r="F7697" i="5"/>
  <c r="F7696" i="5"/>
  <c r="F7695" i="5"/>
  <c r="F7694" i="5"/>
  <c r="F7693" i="5"/>
  <c r="F7692" i="5"/>
  <c r="F7691" i="5"/>
  <c r="F7690" i="5"/>
  <c r="F7689" i="5"/>
  <c r="F7688" i="5"/>
  <c r="F7687" i="5"/>
  <c r="F7686" i="5"/>
  <c r="F7685" i="5"/>
  <c r="F7684" i="5"/>
  <c r="F7683" i="5"/>
  <c r="F7682" i="5"/>
  <c r="F7681" i="5"/>
  <c r="F7680" i="5"/>
  <c r="F7679" i="5"/>
  <c r="F7678" i="5"/>
  <c r="F7677" i="5"/>
  <c r="F7676" i="5"/>
  <c r="F7675" i="5"/>
  <c r="F7674" i="5"/>
  <c r="F7673" i="5"/>
  <c r="F7672" i="5"/>
  <c r="F7671" i="5"/>
  <c r="F7670" i="5"/>
  <c r="F7669" i="5"/>
  <c r="F7668" i="5"/>
  <c r="F7667" i="5"/>
  <c r="F7666" i="5"/>
  <c r="F7665" i="5"/>
  <c r="F7664" i="5"/>
  <c r="F7663" i="5"/>
  <c r="F7662" i="5"/>
  <c r="F7661" i="5"/>
  <c r="F7660" i="5"/>
  <c r="F7659" i="5"/>
  <c r="F7658" i="5"/>
  <c r="F7657" i="5"/>
  <c r="F7656" i="5"/>
  <c r="F7655" i="5"/>
  <c r="F7654" i="5"/>
  <c r="F7653" i="5"/>
  <c r="F7652" i="5"/>
  <c r="F7651" i="5"/>
  <c r="F7650" i="5"/>
  <c r="F7649" i="5"/>
  <c r="F7648" i="5"/>
  <c r="F7647" i="5"/>
  <c r="F7646" i="5"/>
  <c r="F7645" i="5"/>
  <c r="F7644" i="5"/>
  <c r="F7643" i="5"/>
  <c r="F7642" i="5"/>
  <c r="F7641" i="5"/>
  <c r="F7640" i="5"/>
  <c r="F7639" i="5"/>
  <c r="F7638" i="5"/>
  <c r="F7637" i="5"/>
  <c r="F7636" i="5"/>
  <c r="F7635" i="5"/>
  <c r="F7634" i="5"/>
  <c r="F7633" i="5"/>
  <c r="F7632" i="5"/>
  <c r="F7631" i="5"/>
  <c r="F7630" i="5"/>
  <c r="F7629" i="5"/>
  <c r="F7628" i="5"/>
  <c r="F7627" i="5"/>
  <c r="F7626" i="5"/>
  <c r="F7625" i="5"/>
  <c r="F7624" i="5"/>
  <c r="F7623" i="5"/>
  <c r="F7622" i="5"/>
  <c r="F7621" i="5"/>
  <c r="F7620" i="5"/>
  <c r="F7619" i="5"/>
  <c r="F7618" i="5"/>
  <c r="F7617" i="5"/>
  <c r="F7616" i="5"/>
  <c r="F7615" i="5"/>
  <c r="F7614" i="5"/>
  <c r="F7613" i="5"/>
  <c r="F7612" i="5"/>
  <c r="F7611" i="5"/>
  <c r="F7610" i="5"/>
  <c r="F7609" i="5"/>
  <c r="F7608" i="5"/>
  <c r="F7607" i="5"/>
  <c r="F7606" i="5"/>
  <c r="F7605" i="5"/>
  <c r="F7604" i="5"/>
  <c r="F7603" i="5"/>
  <c r="F7602" i="5"/>
  <c r="F7601" i="5"/>
  <c r="F7600" i="5"/>
  <c r="F7599" i="5"/>
  <c r="F7598" i="5"/>
  <c r="F7597" i="5"/>
  <c r="F7596" i="5"/>
  <c r="F7595" i="5"/>
  <c r="F7594" i="5"/>
  <c r="F7593" i="5"/>
  <c r="F7592" i="5"/>
  <c r="F7591" i="5"/>
  <c r="F7590" i="5"/>
  <c r="F7589" i="5"/>
  <c r="F7588" i="5"/>
  <c r="F7587" i="5"/>
  <c r="F7586" i="5"/>
  <c r="F7585" i="5"/>
  <c r="F7584" i="5"/>
  <c r="F7583" i="5"/>
  <c r="F7582" i="5"/>
  <c r="F7581" i="5"/>
  <c r="F7580" i="5"/>
  <c r="F7579" i="5"/>
  <c r="F7578" i="5"/>
  <c r="F7577" i="5"/>
  <c r="F7576" i="5"/>
  <c r="F7575" i="5"/>
  <c r="F7574" i="5"/>
  <c r="F7573" i="5"/>
  <c r="F7572" i="5"/>
  <c r="F7571" i="5"/>
  <c r="F7570" i="5"/>
  <c r="F7569" i="5"/>
  <c r="F7568" i="5"/>
  <c r="F7567" i="5"/>
  <c r="F7566" i="5"/>
  <c r="F7565" i="5"/>
  <c r="F7564" i="5"/>
  <c r="F7563" i="5"/>
  <c r="F7562" i="5"/>
  <c r="F7561" i="5"/>
  <c r="F7560" i="5"/>
  <c r="F7559" i="5"/>
  <c r="F7558" i="5"/>
  <c r="F7557" i="5"/>
  <c r="F7556" i="5"/>
  <c r="F7555" i="5"/>
  <c r="F7554" i="5"/>
  <c r="F7553" i="5"/>
  <c r="F7552" i="5"/>
  <c r="F7551" i="5"/>
  <c r="F7550" i="5"/>
  <c r="F7549" i="5"/>
  <c r="F7548" i="5"/>
  <c r="F7547" i="5"/>
  <c r="F7546" i="5"/>
  <c r="F7545" i="5"/>
  <c r="F7544" i="5"/>
  <c r="F7543" i="5"/>
  <c r="F7542" i="5"/>
  <c r="F7541" i="5"/>
  <c r="F7540" i="5"/>
  <c r="F7539" i="5"/>
  <c r="F7538" i="5"/>
  <c r="F7537" i="5"/>
  <c r="F7536" i="5"/>
  <c r="F7535" i="5"/>
  <c r="F7534" i="5"/>
  <c r="F7533" i="5"/>
  <c r="F7532" i="5"/>
  <c r="F7531" i="5"/>
  <c r="F7530" i="5"/>
  <c r="F7529" i="5"/>
  <c r="F7528" i="5"/>
  <c r="F7527" i="5"/>
  <c r="F7526" i="5"/>
  <c r="F7525" i="5"/>
  <c r="F7524" i="5"/>
  <c r="F7523" i="5"/>
  <c r="F7522" i="5"/>
  <c r="F7521" i="5"/>
  <c r="F7520" i="5"/>
  <c r="F7519" i="5"/>
  <c r="F7518" i="5"/>
  <c r="F7517" i="5"/>
  <c r="F7516" i="5"/>
  <c r="F7515" i="5"/>
  <c r="F7514" i="5"/>
  <c r="F7513" i="5"/>
  <c r="F7512" i="5"/>
  <c r="F7511" i="5"/>
  <c r="F7510" i="5"/>
  <c r="F7509" i="5"/>
  <c r="F7508" i="5"/>
  <c r="F7507" i="5"/>
  <c r="F7506" i="5"/>
  <c r="F7505" i="5"/>
  <c r="F7504" i="5"/>
  <c r="F7503" i="5"/>
  <c r="F7502" i="5"/>
  <c r="F7501" i="5"/>
  <c r="F7500" i="5"/>
  <c r="F7499" i="5"/>
  <c r="F7498" i="5"/>
  <c r="F7497" i="5"/>
  <c r="F7496" i="5"/>
  <c r="F7495" i="5"/>
  <c r="F7494" i="5"/>
  <c r="F7493" i="5"/>
  <c r="F7492" i="5"/>
  <c r="F7491" i="5"/>
  <c r="F7490" i="5"/>
  <c r="F7489" i="5"/>
  <c r="F7488" i="5"/>
  <c r="F7487" i="5"/>
  <c r="F7486" i="5"/>
  <c r="F7485" i="5"/>
  <c r="F7484" i="5"/>
  <c r="F7483" i="5"/>
  <c r="F7482" i="5"/>
  <c r="F7481" i="5"/>
  <c r="F7480" i="5"/>
  <c r="F7479" i="5"/>
  <c r="F7478" i="5"/>
  <c r="F7477" i="5"/>
  <c r="F7476" i="5"/>
  <c r="F7475" i="5"/>
  <c r="F7474" i="5"/>
  <c r="F7473" i="5"/>
  <c r="F7472" i="5"/>
  <c r="F7471" i="5"/>
  <c r="F7470" i="5"/>
  <c r="F7469" i="5"/>
  <c r="F7468" i="5"/>
  <c r="F7467" i="5"/>
  <c r="F7466" i="5"/>
  <c r="F7465" i="5"/>
  <c r="F7464" i="5"/>
  <c r="F7463" i="5"/>
  <c r="F7462" i="5"/>
  <c r="F7461" i="5"/>
  <c r="F7460" i="5"/>
  <c r="F7459" i="5"/>
  <c r="F7458" i="5"/>
  <c r="F7457" i="5"/>
  <c r="F7456" i="5"/>
  <c r="F7455" i="5"/>
  <c r="F7454" i="5"/>
  <c r="F7453" i="5"/>
  <c r="F7452" i="5"/>
  <c r="F7451" i="5"/>
  <c r="F7450" i="5"/>
  <c r="F7449" i="5"/>
  <c r="F7448" i="5"/>
  <c r="F7447" i="5"/>
  <c r="F7446" i="5"/>
  <c r="F7445" i="5"/>
  <c r="F7444" i="5"/>
  <c r="F7443" i="5"/>
  <c r="F7442" i="5"/>
  <c r="F7441" i="5"/>
  <c r="F7440" i="5"/>
  <c r="F7439" i="5"/>
  <c r="F7438" i="5"/>
  <c r="F7437" i="5"/>
  <c r="F7436" i="5"/>
  <c r="F7435" i="5"/>
  <c r="F7434" i="5"/>
  <c r="F7433" i="5"/>
  <c r="F7432" i="5"/>
  <c r="F7431" i="5"/>
  <c r="F7430" i="5"/>
  <c r="F7429" i="5"/>
  <c r="F7428" i="5"/>
  <c r="F7427" i="5"/>
  <c r="F7426" i="5"/>
  <c r="F7425" i="5"/>
  <c r="F7424" i="5"/>
  <c r="F7423" i="5"/>
  <c r="F7422" i="5"/>
  <c r="F7421" i="5"/>
  <c r="F7420" i="5"/>
  <c r="F7419" i="5"/>
  <c r="F7418" i="5"/>
  <c r="F7417" i="5"/>
  <c r="F7416" i="5"/>
  <c r="F7415" i="5"/>
  <c r="F7414" i="5"/>
  <c r="F7413" i="5"/>
  <c r="F7412" i="5"/>
  <c r="F7411" i="5"/>
  <c r="F7410" i="5"/>
  <c r="F7409" i="5"/>
  <c r="F7408" i="5"/>
  <c r="F7407" i="5"/>
  <c r="F7406" i="5"/>
  <c r="F7405" i="5"/>
  <c r="F7404" i="5"/>
  <c r="F7403" i="5"/>
  <c r="F7402" i="5"/>
  <c r="F7401" i="5"/>
  <c r="F7400" i="5"/>
  <c r="F7399" i="5"/>
  <c r="F7398" i="5"/>
  <c r="F7397" i="5"/>
  <c r="F7396" i="5"/>
  <c r="F7395" i="5"/>
  <c r="F7394" i="5"/>
  <c r="F7393" i="5"/>
  <c r="F7392" i="5"/>
  <c r="F7391" i="5"/>
  <c r="F7390" i="5"/>
  <c r="F7389" i="5"/>
  <c r="F7388" i="5"/>
  <c r="F7387" i="5"/>
  <c r="F7386" i="5"/>
  <c r="F7385" i="5"/>
  <c r="F7384" i="5"/>
  <c r="F7383" i="5"/>
  <c r="F7382" i="5"/>
  <c r="F7381" i="5"/>
  <c r="F7380" i="5"/>
  <c r="F7379" i="5"/>
  <c r="F7378" i="5"/>
  <c r="F7377" i="5"/>
  <c r="F7376" i="5"/>
  <c r="F7375" i="5"/>
  <c r="F7374" i="5"/>
  <c r="F7373" i="5"/>
  <c r="F7372" i="5"/>
  <c r="F7371" i="5"/>
  <c r="F7370" i="5"/>
  <c r="F7369" i="5"/>
  <c r="F7368" i="5"/>
  <c r="F7367" i="5"/>
  <c r="F7366" i="5"/>
  <c r="F7365" i="5"/>
  <c r="F7364" i="5"/>
  <c r="F7363" i="5"/>
  <c r="F7362" i="5"/>
  <c r="F7361" i="5"/>
  <c r="F7360" i="5"/>
  <c r="F7359" i="5"/>
  <c r="F7358" i="5"/>
  <c r="F7357" i="5"/>
  <c r="F7356" i="5"/>
  <c r="F7355" i="5"/>
  <c r="F7354" i="5"/>
  <c r="F7353" i="5"/>
  <c r="F7352" i="5"/>
  <c r="F7351" i="5"/>
  <c r="F7350" i="5"/>
  <c r="F7349" i="5"/>
  <c r="F7348" i="5"/>
  <c r="F7347" i="5"/>
  <c r="F7346" i="5"/>
  <c r="F7345" i="5"/>
  <c r="F7344" i="5"/>
  <c r="F7343" i="5"/>
  <c r="F7342" i="5"/>
  <c r="F7341" i="5"/>
  <c r="F7340" i="5"/>
  <c r="F7339" i="5"/>
  <c r="F7338" i="5"/>
  <c r="F7337" i="5"/>
  <c r="F7336" i="5"/>
  <c r="F7335" i="5"/>
  <c r="F7334" i="5"/>
  <c r="F7333" i="5"/>
  <c r="F7332" i="5"/>
  <c r="F7331" i="5"/>
  <c r="F7330" i="5"/>
  <c r="F7329" i="5"/>
  <c r="F7328" i="5"/>
  <c r="F7327" i="5"/>
  <c r="F7326" i="5"/>
  <c r="F7325" i="5"/>
  <c r="F7324" i="5"/>
  <c r="F7323" i="5"/>
  <c r="F7322" i="5"/>
  <c r="F7321" i="5"/>
  <c r="F7320" i="5"/>
  <c r="F7319" i="5"/>
  <c r="F7318" i="5"/>
  <c r="F7317" i="5"/>
  <c r="F7316" i="5"/>
  <c r="F7315" i="5"/>
  <c r="F7314" i="5"/>
  <c r="F7313" i="5"/>
  <c r="F7312" i="5"/>
  <c r="F7311" i="5"/>
  <c r="F7310" i="5"/>
  <c r="F7309" i="5"/>
  <c r="F7308" i="5"/>
  <c r="F7307" i="5"/>
  <c r="F7306" i="5"/>
  <c r="F7305" i="5"/>
  <c r="F7304" i="5"/>
  <c r="F7303" i="5"/>
  <c r="F7302" i="5"/>
  <c r="F7301" i="5"/>
  <c r="F7300" i="5"/>
  <c r="F7299" i="5"/>
  <c r="F7298" i="5"/>
  <c r="F7297" i="5"/>
  <c r="F7296" i="5"/>
  <c r="F7295" i="5"/>
  <c r="F7294" i="5"/>
  <c r="F7293" i="5"/>
  <c r="F7292" i="5"/>
  <c r="F7291" i="5"/>
  <c r="F7290" i="5"/>
  <c r="F7289" i="5"/>
  <c r="F7288" i="5"/>
  <c r="F7287" i="5"/>
  <c r="F7286" i="5"/>
  <c r="F7285" i="5"/>
  <c r="F7284" i="5"/>
  <c r="F7283" i="5"/>
  <c r="F7282" i="5"/>
  <c r="F7281" i="5"/>
  <c r="F7280" i="5"/>
  <c r="F7279" i="5"/>
  <c r="F7278" i="5"/>
  <c r="F7277" i="5"/>
  <c r="F7276" i="5"/>
  <c r="F7275" i="5"/>
  <c r="F7274" i="5"/>
  <c r="F7273" i="5"/>
  <c r="F7272" i="5"/>
  <c r="F7271" i="5"/>
  <c r="F7270" i="5"/>
  <c r="F7269" i="5"/>
  <c r="F7268" i="5"/>
  <c r="F7267" i="5"/>
  <c r="F7266" i="5"/>
  <c r="F7265" i="5"/>
  <c r="F7264" i="5"/>
  <c r="F7263" i="5"/>
  <c r="F7262" i="5"/>
  <c r="F7261" i="5"/>
  <c r="F7260" i="5"/>
  <c r="F7259" i="5"/>
  <c r="F7258" i="5"/>
  <c r="F7257" i="5"/>
  <c r="F7256" i="5"/>
  <c r="F7255" i="5"/>
  <c r="F7254" i="5"/>
  <c r="F7253" i="5"/>
  <c r="F7252" i="5"/>
  <c r="F7251" i="5"/>
  <c r="F7250" i="5"/>
  <c r="F7249" i="5"/>
  <c r="F7248" i="5"/>
  <c r="F7247" i="5"/>
  <c r="F7246" i="5"/>
  <c r="F7245" i="5"/>
  <c r="F7244" i="5"/>
  <c r="F7243" i="5"/>
  <c r="F7242" i="5"/>
  <c r="F7241" i="5"/>
  <c r="F7240" i="5"/>
  <c r="F7239" i="5"/>
  <c r="F7238" i="5"/>
  <c r="F7237" i="5"/>
  <c r="F7236" i="5"/>
  <c r="F7235" i="5"/>
  <c r="F7234" i="5"/>
  <c r="F7233" i="5"/>
  <c r="F7232" i="5"/>
  <c r="F7231" i="5"/>
  <c r="F7230" i="5"/>
  <c r="F7229" i="5"/>
  <c r="F7228" i="5"/>
  <c r="F7227" i="5"/>
  <c r="F7226" i="5"/>
  <c r="F7225" i="5"/>
  <c r="F7224" i="5"/>
  <c r="F7223" i="5"/>
  <c r="F7222" i="5"/>
  <c r="F7221" i="5"/>
  <c r="F7220" i="5"/>
  <c r="F7219" i="5"/>
  <c r="F7218" i="5"/>
  <c r="F7217" i="5"/>
  <c r="F7216" i="5"/>
  <c r="F7215" i="5"/>
  <c r="F7214" i="5"/>
  <c r="F7213" i="5"/>
  <c r="F7212" i="5"/>
  <c r="F7211" i="5"/>
  <c r="F7210" i="5"/>
  <c r="F7209" i="5"/>
  <c r="F7208" i="5"/>
  <c r="F7207" i="5"/>
  <c r="F7206" i="5"/>
  <c r="F7205" i="5"/>
  <c r="F7204" i="5"/>
  <c r="F7203" i="5"/>
  <c r="F7202" i="5"/>
  <c r="F7201" i="5"/>
  <c r="F7200" i="5"/>
  <c r="F7199" i="5"/>
  <c r="F7198" i="5"/>
  <c r="F7197" i="5"/>
  <c r="F7196" i="5"/>
  <c r="F7195" i="5"/>
  <c r="F7194" i="5"/>
  <c r="F7193" i="5"/>
  <c r="F7192" i="5"/>
  <c r="F7191" i="5"/>
  <c r="F7190" i="5"/>
  <c r="F7189" i="5"/>
  <c r="F7188" i="5"/>
  <c r="F7187" i="5"/>
  <c r="F7186" i="5"/>
  <c r="F7185" i="5"/>
  <c r="F7184" i="5"/>
  <c r="F7183" i="5"/>
  <c r="F7182" i="5"/>
  <c r="F7181" i="5"/>
  <c r="F7180" i="5"/>
  <c r="F7179" i="5"/>
  <c r="F7178" i="5"/>
  <c r="F7177" i="5"/>
  <c r="F7176" i="5"/>
  <c r="F7175" i="5"/>
  <c r="F7174" i="5"/>
  <c r="F7173" i="5"/>
  <c r="F7172" i="5"/>
  <c r="F7171" i="5"/>
  <c r="F7170" i="5"/>
  <c r="F7169" i="5"/>
  <c r="F7168" i="5"/>
  <c r="F7167" i="5"/>
  <c r="F7166" i="5"/>
  <c r="F7165" i="5"/>
  <c r="F7164" i="5"/>
  <c r="F7163" i="5"/>
  <c r="F7162" i="5"/>
  <c r="F7161" i="5"/>
  <c r="F7160" i="5"/>
  <c r="F7159" i="5"/>
  <c r="F7158" i="5"/>
  <c r="F7157" i="5"/>
  <c r="F7156" i="5"/>
  <c r="F7155" i="5"/>
  <c r="F7154" i="5"/>
  <c r="F7153" i="5"/>
  <c r="F7152" i="5"/>
  <c r="F7151" i="5"/>
  <c r="F7150" i="5"/>
  <c r="F7149" i="5"/>
  <c r="F7148" i="5"/>
  <c r="F7147" i="5"/>
  <c r="F7146" i="5"/>
  <c r="F7145" i="5"/>
  <c r="F7144" i="5"/>
  <c r="F7143" i="5"/>
  <c r="F7142" i="5"/>
  <c r="F7141" i="5"/>
  <c r="F7140" i="5"/>
  <c r="F7139" i="5"/>
  <c r="F7138" i="5"/>
  <c r="F7137" i="5"/>
  <c r="F7136" i="5"/>
  <c r="F7135" i="5"/>
  <c r="F7134" i="5"/>
  <c r="F7133" i="5"/>
  <c r="F7132" i="5"/>
  <c r="F7131" i="5"/>
  <c r="F7130" i="5"/>
  <c r="F7129" i="5"/>
  <c r="F7128" i="5"/>
  <c r="F7127" i="5"/>
  <c r="F7126" i="5"/>
  <c r="F7125" i="5"/>
  <c r="F7124" i="5"/>
  <c r="F7123" i="5"/>
  <c r="F7122" i="5"/>
  <c r="F7121" i="5"/>
  <c r="F7120" i="5"/>
  <c r="F7119" i="5"/>
  <c r="F7118" i="5"/>
  <c r="F7117" i="5"/>
  <c r="F7116" i="5"/>
  <c r="F7115" i="5"/>
  <c r="F7114" i="5"/>
  <c r="F7113" i="5"/>
  <c r="F7112" i="5"/>
  <c r="F7111" i="5"/>
  <c r="F7110" i="5"/>
  <c r="F7109" i="5"/>
  <c r="F7108" i="5"/>
  <c r="F7107" i="5"/>
  <c r="F7106" i="5"/>
  <c r="F7105" i="5"/>
  <c r="F7104" i="5"/>
  <c r="F7103" i="5"/>
  <c r="F7102" i="5"/>
  <c r="F7101" i="5"/>
  <c r="F7100" i="5"/>
  <c r="F7099" i="5"/>
  <c r="F7098" i="5"/>
  <c r="F7097" i="5"/>
  <c r="F7096" i="5"/>
  <c r="F7095" i="5"/>
  <c r="F7094" i="5"/>
  <c r="F7093" i="5"/>
  <c r="F7092" i="5"/>
  <c r="F7091" i="5"/>
  <c r="F7090" i="5"/>
  <c r="F7089" i="5"/>
  <c r="F7088" i="5"/>
  <c r="F7087" i="5"/>
  <c r="F7086" i="5"/>
  <c r="F7085" i="5"/>
  <c r="F7084" i="5"/>
  <c r="F7083" i="5"/>
  <c r="F7082" i="5"/>
  <c r="F7081" i="5"/>
  <c r="F7080" i="5"/>
  <c r="F7079" i="5"/>
  <c r="F7078" i="5"/>
  <c r="F7077" i="5"/>
  <c r="F7076" i="5"/>
  <c r="F7075" i="5"/>
  <c r="F7074" i="5"/>
  <c r="F7073" i="5"/>
  <c r="F7072" i="5"/>
  <c r="F7071" i="5"/>
  <c r="F7070" i="5"/>
  <c r="F7069" i="5"/>
  <c r="F7068" i="5"/>
  <c r="F7067" i="5"/>
  <c r="F7066" i="5"/>
  <c r="F7065" i="5"/>
  <c r="F7064" i="5"/>
  <c r="F7063" i="5"/>
  <c r="F7062" i="5"/>
  <c r="F7061" i="5"/>
  <c r="F7060" i="5"/>
  <c r="F7059" i="5"/>
  <c r="F7058" i="5"/>
  <c r="F7057" i="5"/>
  <c r="F7056" i="5"/>
  <c r="F7055" i="5"/>
  <c r="F7054" i="5"/>
  <c r="F7053" i="5"/>
  <c r="F7052" i="5"/>
  <c r="F7051" i="5"/>
  <c r="F7050" i="5"/>
  <c r="F7049" i="5"/>
  <c r="F7048" i="5"/>
  <c r="F7047" i="5"/>
  <c r="F7046" i="5"/>
  <c r="F7045" i="5"/>
  <c r="F7044" i="5"/>
  <c r="F7043" i="5"/>
  <c r="F7042" i="5"/>
  <c r="F7041" i="5"/>
  <c r="F7040" i="5"/>
  <c r="F7039" i="5"/>
  <c r="F7038" i="5"/>
  <c r="F7037" i="5"/>
  <c r="F7036" i="5"/>
  <c r="F7035" i="5"/>
  <c r="F7034" i="5"/>
  <c r="F7033" i="5"/>
  <c r="F7032" i="5"/>
  <c r="F7031" i="5"/>
  <c r="F7030" i="5"/>
  <c r="F7029" i="5"/>
  <c r="F7028" i="5"/>
  <c r="F7027" i="5"/>
  <c r="F7026" i="5"/>
  <c r="F7025" i="5"/>
  <c r="F7024" i="5"/>
  <c r="F7023" i="5"/>
  <c r="F7022" i="5"/>
  <c r="F7021" i="5"/>
  <c r="F7020" i="5"/>
  <c r="F7019" i="5"/>
  <c r="F7018" i="5"/>
  <c r="F7017" i="5"/>
  <c r="F7016" i="5"/>
  <c r="F7015" i="5"/>
  <c r="F7014" i="5"/>
  <c r="F7013" i="5"/>
  <c r="F7012" i="5"/>
  <c r="F7011" i="5"/>
  <c r="F7010" i="5"/>
  <c r="F7009" i="5"/>
  <c r="F7008" i="5"/>
  <c r="F7007" i="5"/>
  <c r="F7006" i="5"/>
  <c r="F7005" i="5"/>
  <c r="F7004" i="5"/>
  <c r="F7003" i="5"/>
  <c r="F7002" i="5"/>
  <c r="F7001" i="5"/>
  <c r="F7000" i="5"/>
  <c r="F6999" i="5"/>
  <c r="F6998" i="5"/>
  <c r="F6997" i="5"/>
  <c r="F6996" i="5"/>
  <c r="F6995" i="5"/>
  <c r="F6994" i="5"/>
  <c r="F6993" i="5"/>
  <c r="F6992" i="5"/>
  <c r="F6991" i="5"/>
  <c r="F6990" i="5"/>
  <c r="F6989" i="5"/>
  <c r="F6988" i="5"/>
  <c r="F6987" i="5"/>
  <c r="F6986" i="5"/>
  <c r="F6985" i="5"/>
  <c r="F6984" i="5"/>
  <c r="F6983" i="5"/>
  <c r="F6982" i="5"/>
  <c r="F6981" i="5"/>
  <c r="F6980" i="5"/>
  <c r="F6979" i="5"/>
  <c r="F6978" i="5"/>
  <c r="F6977" i="5"/>
  <c r="F6976" i="5"/>
  <c r="F6975" i="5"/>
  <c r="F6974" i="5"/>
  <c r="F6973" i="5"/>
  <c r="F6972" i="5"/>
  <c r="F6971" i="5"/>
  <c r="F6970" i="5"/>
  <c r="F6969" i="5"/>
  <c r="F6968" i="5"/>
  <c r="F6967" i="5"/>
  <c r="F6966" i="5"/>
  <c r="F6965" i="5"/>
  <c r="F6964" i="5"/>
  <c r="F6963" i="5"/>
  <c r="F6962" i="5"/>
  <c r="F6961" i="5"/>
  <c r="F6960" i="5"/>
  <c r="F6959" i="5"/>
  <c r="F6958" i="5"/>
  <c r="F6957" i="5"/>
  <c r="F6956" i="5"/>
  <c r="F6955" i="5"/>
  <c r="F6954" i="5"/>
  <c r="F6953" i="5"/>
  <c r="F6952" i="5"/>
  <c r="F6951" i="5"/>
  <c r="F6950" i="5"/>
  <c r="F6949" i="5"/>
  <c r="F6948" i="5"/>
  <c r="F6947" i="5"/>
  <c r="F6946" i="5"/>
  <c r="F6945" i="5"/>
  <c r="F6944" i="5"/>
  <c r="F6943" i="5"/>
  <c r="F6942" i="5"/>
  <c r="F6941" i="5"/>
  <c r="F6940" i="5"/>
  <c r="F6939" i="5"/>
  <c r="F6938" i="5"/>
  <c r="F6937" i="5"/>
  <c r="F6936" i="5"/>
  <c r="F6935" i="5"/>
  <c r="F6934" i="5"/>
  <c r="F6933" i="5"/>
  <c r="F6932" i="5"/>
  <c r="F6931" i="5"/>
  <c r="F6930" i="5"/>
  <c r="F6929" i="5"/>
  <c r="F6928" i="5"/>
  <c r="F6927" i="5"/>
  <c r="F6926" i="5"/>
  <c r="F6925" i="5"/>
  <c r="F6924" i="5"/>
  <c r="F6923" i="5"/>
  <c r="F6922" i="5"/>
  <c r="F6921" i="5"/>
  <c r="F6920" i="5"/>
  <c r="F6919" i="5"/>
  <c r="F6918" i="5"/>
  <c r="F6917" i="5"/>
  <c r="F6916" i="5"/>
  <c r="F6915" i="5"/>
  <c r="F6914" i="5"/>
  <c r="F6913" i="5"/>
  <c r="F6912" i="5"/>
  <c r="F6911" i="5"/>
  <c r="F6910" i="5"/>
  <c r="F6909" i="5"/>
  <c r="F6908" i="5"/>
  <c r="F6907" i="5"/>
  <c r="F6906" i="5"/>
  <c r="F6905" i="5"/>
  <c r="F6904" i="5"/>
  <c r="F6903" i="5"/>
  <c r="F6902" i="5"/>
  <c r="F6901" i="5"/>
  <c r="F6900" i="5"/>
  <c r="F6899" i="5"/>
  <c r="F6898" i="5"/>
  <c r="F6897" i="5"/>
  <c r="F6896" i="5"/>
  <c r="F6895" i="5"/>
  <c r="F6894" i="5"/>
  <c r="F6893" i="5"/>
  <c r="F6892" i="5"/>
  <c r="F6891" i="5"/>
  <c r="F6890" i="5"/>
  <c r="F6889" i="5"/>
  <c r="F6888" i="5"/>
  <c r="F6887" i="5"/>
  <c r="F6886" i="5"/>
  <c r="F6885" i="5"/>
  <c r="F6884" i="5"/>
  <c r="F6883" i="5"/>
  <c r="F6882" i="5"/>
  <c r="F6881" i="5"/>
  <c r="F6880" i="5"/>
  <c r="F6879" i="5"/>
  <c r="F6878" i="5"/>
  <c r="F6877" i="5"/>
  <c r="F6876" i="5"/>
  <c r="F6875" i="5"/>
  <c r="F6874" i="5"/>
  <c r="F6873" i="5"/>
  <c r="F6872" i="5"/>
  <c r="F6871" i="5"/>
  <c r="F6870" i="5"/>
  <c r="F6869" i="5"/>
  <c r="F6868" i="5"/>
  <c r="F6867" i="5"/>
  <c r="F6866" i="5"/>
  <c r="F6865" i="5"/>
  <c r="F6864" i="5"/>
  <c r="F6863" i="5"/>
  <c r="F6862" i="5"/>
  <c r="F6861" i="5"/>
  <c r="F6860" i="5"/>
  <c r="F6859" i="5"/>
  <c r="F6858" i="5"/>
  <c r="F6857" i="5"/>
  <c r="F6856" i="5"/>
  <c r="F6855" i="5"/>
  <c r="F6854" i="5"/>
  <c r="F6853" i="5"/>
  <c r="F6852" i="5"/>
  <c r="F6851" i="5"/>
  <c r="F6850" i="5"/>
  <c r="F6849" i="5"/>
  <c r="F6848" i="5"/>
  <c r="F6847" i="5"/>
  <c r="F6846" i="5"/>
  <c r="F6845" i="5"/>
  <c r="F6844" i="5"/>
  <c r="F6843" i="5"/>
  <c r="F6842" i="5"/>
  <c r="F6841" i="5"/>
  <c r="F6840" i="5"/>
  <c r="F6839" i="5"/>
  <c r="F6838" i="5"/>
  <c r="F6837" i="5"/>
  <c r="F6836" i="5"/>
  <c r="F6835" i="5"/>
  <c r="F6834" i="5"/>
  <c r="F6833" i="5"/>
  <c r="F6832" i="5"/>
  <c r="F6831" i="5"/>
  <c r="F6830" i="5"/>
  <c r="F6829" i="5"/>
  <c r="F6828" i="5"/>
  <c r="F6827" i="5"/>
  <c r="F6826" i="5"/>
  <c r="F6825" i="5"/>
  <c r="F6824" i="5"/>
  <c r="F6823" i="5"/>
  <c r="F6822" i="5"/>
  <c r="F6821" i="5"/>
  <c r="F6820" i="5"/>
  <c r="F6819" i="5"/>
  <c r="F6818" i="5"/>
  <c r="F6817" i="5"/>
  <c r="F6816" i="5"/>
  <c r="F6815" i="5"/>
  <c r="F6814" i="5"/>
  <c r="F6813" i="5"/>
  <c r="F6812" i="5"/>
  <c r="F6811" i="5"/>
  <c r="F6810" i="5"/>
  <c r="F6809" i="5"/>
  <c r="F6808" i="5"/>
  <c r="F6807" i="5"/>
  <c r="F6806" i="5"/>
  <c r="F6805" i="5"/>
  <c r="F6804" i="5"/>
  <c r="F6803" i="5"/>
  <c r="F6802" i="5"/>
  <c r="F6801" i="5"/>
  <c r="F6800" i="5"/>
  <c r="F6799" i="5"/>
  <c r="F6798" i="5"/>
  <c r="F6797" i="5"/>
  <c r="F6796" i="5"/>
  <c r="F6795" i="5"/>
  <c r="F6794" i="5"/>
  <c r="F6793" i="5"/>
  <c r="F6792" i="5"/>
  <c r="F6791" i="5"/>
  <c r="F6790" i="5"/>
  <c r="F6789" i="5"/>
  <c r="F6788" i="5"/>
  <c r="F6787" i="5"/>
  <c r="F6786" i="5"/>
  <c r="F6785" i="5"/>
  <c r="F6784" i="5"/>
  <c r="F6783" i="5"/>
  <c r="F6782" i="5"/>
  <c r="F6781" i="5"/>
  <c r="F6780" i="5"/>
  <c r="F6779" i="5"/>
  <c r="F6778" i="5"/>
  <c r="F6777" i="5"/>
  <c r="F6776" i="5"/>
  <c r="F6775" i="5"/>
  <c r="F6774" i="5"/>
  <c r="F6773" i="5"/>
  <c r="F6772" i="5"/>
  <c r="F6771" i="5"/>
  <c r="F6770" i="5"/>
  <c r="F6769" i="5"/>
  <c r="F6768" i="5"/>
  <c r="F6767" i="5"/>
  <c r="F6766" i="5"/>
  <c r="F6765" i="5"/>
  <c r="F6764" i="5"/>
  <c r="F6763" i="5"/>
  <c r="F6762" i="5"/>
  <c r="F6761" i="5"/>
  <c r="F6760" i="5"/>
  <c r="F6759" i="5"/>
  <c r="F6758" i="5"/>
  <c r="F6757" i="5"/>
  <c r="F6756" i="5"/>
  <c r="F6755" i="5"/>
  <c r="F6754" i="5"/>
  <c r="F6753" i="5"/>
  <c r="F6752" i="5"/>
  <c r="F6751" i="5"/>
  <c r="F6750" i="5"/>
  <c r="F6749" i="5"/>
  <c r="F6748" i="5"/>
  <c r="F6747" i="5"/>
  <c r="F6746" i="5"/>
  <c r="F6745" i="5"/>
  <c r="F6744" i="5"/>
  <c r="F6743" i="5"/>
  <c r="F6742" i="5"/>
  <c r="F6741" i="5"/>
  <c r="F6740" i="5"/>
  <c r="F6739" i="5"/>
  <c r="F6738" i="5"/>
  <c r="F6737" i="5"/>
  <c r="F6736" i="5"/>
  <c r="F6735" i="5"/>
  <c r="F6734" i="5"/>
  <c r="F6733" i="5"/>
  <c r="F6732" i="5"/>
  <c r="F6731" i="5"/>
  <c r="F6730" i="5"/>
  <c r="F6729" i="5"/>
  <c r="F6728" i="5"/>
  <c r="F6727" i="5"/>
  <c r="F6726" i="5"/>
  <c r="F6725" i="5"/>
  <c r="F6724" i="5"/>
  <c r="F6723" i="5"/>
  <c r="F6722" i="5"/>
  <c r="F6721" i="5"/>
  <c r="F6720" i="5"/>
  <c r="F6719" i="5"/>
  <c r="F6718" i="5"/>
  <c r="F6717" i="5"/>
  <c r="F6716" i="5"/>
  <c r="F6715" i="5"/>
  <c r="F6714" i="5"/>
  <c r="F6713" i="5"/>
  <c r="F6712" i="5"/>
  <c r="F6711" i="5"/>
  <c r="F6710" i="5"/>
  <c r="F6709" i="5"/>
  <c r="F6708" i="5"/>
  <c r="F6707" i="5"/>
  <c r="F6706" i="5"/>
  <c r="F6705" i="5"/>
  <c r="F6704" i="5"/>
  <c r="F6703" i="5"/>
  <c r="F6702" i="5"/>
  <c r="F6701" i="5"/>
  <c r="F6700" i="5"/>
  <c r="F6699" i="5"/>
  <c r="F6698" i="5"/>
  <c r="F6697" i="5"/>
  <c r="F6696" i="5"/>
  <c r="F6695" i="5"/>
  <c r="F6694" i="5"/>
  <c r="F6693" i="5"/>
  <c r="F6692" i="5"/>
  <c r="F6691" i="5"/>
  <c r="F6690" i="5"/>
  <c r="F6689" i="5"/>
  <c r="F6688" i="5"/>
  <c r="F6687" i="5"/>
  <c r="F6686" i="5"/>
  <c r="F6685" i="5"/>
  <c r="F6684" i="5"/>
  <c r="F6683" i="5"/>
  <c r="F6682" i="5"/>
  <c r="F6681" i="5"/>
  <c r="F6680" i="5"/>
  <c r="F6679" i="5"/>
  <c r="F6678" i="5"/>
  <c r="F6677" i="5"/>
  <c r="F6676" i="5"/>
  <c r="F6675" i="5"/>
  <c r="F6674" i="5"/>
  <c r="F6673" i="5"/>
  <c r="F6672" i="5"/>
  <c r="F6671" i="5"/>
  <c r="F6670" i="5"/>
  <c r="F6669" i="5"/>
  <c r="F6668" i="5"/>
  <c r="F6667" i="5"/>
  <c r="F6666" i="5"/>
  <c r="F6665" i="5"/>
  <c r="F6664" i="5"/>
  <c r="F6663" i="5"/>
  <c r="F6662" i="5"/>
  <c r="F6661" i="5"/>
  <c r="F6660" i="5"/>
  <c r="F6659" i="5"/>
  <c r="F6658" i="5"/>
  <c r="F6657" i="5"/>
  <c r="F6656" i="5"/>
  <c r="F6655" i="5"/>
  <c r="F6654" i="5"/>
  <c r="F6653" i="5"/>
  <c r="F6652" i="5"/>
  <c r="F6651" i="5"/>
  <c r="F6650" i="5"/>
  <c r="F6649" i="5"/>
  <c r="F6648" i="5"/>
  <c r="F6647" i="5"/>
  <c r="F6646" i="5"/>
  <c r="F6645" i="5"/>
  <c r="F6644" i="5"/>
  <c r="F6643" i="5"/>
  <c r="F6642" i="5"/>
  <c r="F6641" i="5"/>
  <c r="F6640" i="5"/>
  <c r="F6639" i="5"/>
  <c r="F6638" i="5"/>
  <c r="F6637" i="5"/>
  <c r="F6636" i="5"/>
  <c r="F6635" i="5"/>
  <c r="F6634" i="5"/>
  <c r="F6633" i="5"/>
  <c r="F6632" i="5"/>
  <c r="F6631" i="5"/>
  <c r="F6630" i="5"/>
  <c r="F6629" i="5"/>
  <c r="F6628" i="5"/>
  <c r="F6627" i="5"/>
  <c r="F6626" i="5"/>
  <c r="F6625" i="5"/>
  <c r="F6624" i="5"/>
  <c r="F6623" i="5"/>
  <c r="F6622" i="5"/>
  <c r="F6621" i="5"/>
  <c r="F6620" i="5"/>
  <c r="F6619" i="5"/>
  <c r="F6618" i="5"/>
  <c r="F6617" i="5"/>
  <c r="F6616" i="5"/>
  <c r="F6615" i="5"/>
  <c r="F6614" i="5"/>
  <c r="F6613" i="5"/>
  <c r="F6612" i="5"/>
  <c r="F6611" i="5"/>
  <c r="F6610" i="5"/>
  <c r="F6609" i="5"/>
  <c r="F6608" i="5"/>
  <c r="F6607" i="5"/>
  <c r="F6606" i="5"/>
  <c r="F6605" i="5"/>
  <c r="F6604" i="5"/>
  <c r="F6603" i="5"/>
  <c r="F6602" i="5"/>
  <c r="F6601" i="5"/>
  <c r="F6600" i="5"/>
  <c r="F6599" i="5"/>
  <c r="F6598" i="5"/>
  <c r="F6597" i="5"/>
  <c r="F6596" i="5"/>
  <c r="F6595" i="5"/>
  <c r="F6594" i="5"/>
  <c r="F6593" i="5"/>
  <c r="F6592" i="5"/>
  <c r="F6591" i="5"/>
  <c r="F6590" i="5"/>
  <c r="F6589" i="5"/>
  <c r="F6588" i="5"/>
  <c r="F6587" i="5"/>
  <c r="F6586" i="5"/>
  <c r="F6585" i="5"/>
  <c r="F6584" i="5"/>
  <c r="F6583" i="5"/>
  <c r="F6582" i="5"/>
  <c r="F6581" i="5"/>
  <c r="F6580" i="5"/>
  <c r="F6579" i="5"/>
  <c r="F6578" i="5"/>
  <c r="F6577" i="5"/>
  <c r="F6576" i="5"/>
  <c r="F6575" i="5"/>
  <c r="F6574" i="5"/>
  <c r="F6573" i="5"/>
  <c r="F6572" i="5"/>
  <c r="F6571" i="5"/>
  <c r="F6570" i="5"/>
  <c r="F6569" i="5"/>
  <c r="F6568" i="5"/>
  <c r="F6567" i="5"/>
  <c r="F6566" i="5"/>
  <c r="F6565" i="5"/>
  <c r="F6564" i="5"/>
  <c r="F6563" i="5"/>
  <c r="F6562" i="5"/>
  <c r="F6561" i="5"/>
  <c r="F6560" i="5"/>
  <c r="F6559" i="5"/>
  <c r="F6558" i="5"/>
  <c r="F6557" i="5"/>
  <c r="F6556" i="5"/>
  <c r="F6555" i="5"/>
  <c r="F6554" i="5"/>
  <c r="F6553" i="5"/>
  <c r="F6552" i="5"/>
  <c r="F6551" i="5"/>
  <c r="F6550" i="5"/>
  <c r="F6549" i="5"/>
  <c r="F6548" i="5"/>
  <c r="F6547" i="5"/>
  <c r="F6546" i="5"/>
  <c r="F6545" i="5"/>
  <c r="F6544" i="5"/>
  <c r="F6543" i="5"/>
  <c r="F6542" i="5"/>
  <c r="F6541" i="5"/>
  <c r="F6540" i="5"/>
  <c r="F6539" i="5"/>
  <c r="F6538" i="5"/>
  <c r="F6537" i="5"/>
  <c r="F6536" i="5"/>
  <c r="F6535" i="5"/>
  <c r="F6534" i="5"/>
  <c r="F6533" i="5"/>
  <c r="F6532" i="5"/>
  <c r="F6531" i="5"/>
  <c r="F6530" i="5"/>
  <c r="F6529" i="5"/>
  <c r="F6528" i="5"/>
  <c r="F6527" i="5"/>
  <c r="F6526" i="5"/>
  <c r="F6525" i="5"/>
  <c r="F6524" i="5"/>
  <c r="F6523" i="5"/>
  <c r="F6522" i="5"/>
  <c r="F6521" i="5"/>
  <c r="F6520" i="5"/>
  <c r="F6519" i="5"/>
  <c r="F6518" i="5"/>
  <c r="F6517" i="5"/>
  <c r="F6516" i="5"/>
  <c r="F6515" i="5"/>
  <c r="F6514" i="5"/>
  <c r="F6513" i="5"/>
  <c r="F6512" i="5"/>
  <c r="F6511" i="5"/>
  <c r="F6510" i="5"/>
  <c r="F6509" i="5"/>
  <c r="F6508" i="5"/>
  <c r="F6507" i="5"/>
  <c r="F6506" i="5"/>
  <c r="F6505" i="5"/>
  <c r="F6504" i="5"/>
  <c r="F6503" i="5"/>
  <c r="F6502" i="5"/>
  <c r="F6501" i="5"/>
  <c r="F6500" i="5"/>
  <c r="F6499" i="5"/>
  <c r="F6498" i="5"/>
  <c r="F6497" i="5"/>
  <c r="F6496" i="5"/>
  <c r="F6495" i="5"/>
  <c r="F6494" i="5"/>
  <c r="F6493" i="5"/>
  <c r="F6492" i="5"/>
  <c r="F6491" i="5"/>
  <c r="F6490" i="5"/>
  <c r="F6489" i="5"/>
  <c r="F6488" i="5"/>
  <c r="F6487" i="5"/>
  <c r="F6486" i="5"/>
  <c r="F6485" i="5"/>
  <c r="F6484" i="5"/>
  <c r="F6483" i="5"/>
  <c r="F6482" i="5"/>
  <c r="F6481" i="5"/>
  <c r="F6480" i="5"/>
  <c r="F6479" i="5"/>
  <c r="F6478" i="5"/>
  <c r="F6477" i="5"/>
  <c r="F6476" i="5"/>
  <c r="F6475" i="5"/>
  <c r="F6474" i="5"/>
  <c r="F6473" i="5"/>
  <c r="F6472" i="5"/>
  <c r="F6471" i="5"/>
  <c r="F6470" i="5"/>
  <c r="F6469" i="5"/>
  <c r="F6468" i="5"/>
  <c r="F6467" i="5"/>
  <c r="F6466" i="5"/>
  <c r="F6465" i="5"/>
  <c r="F6464" i="5"/>
  <c r="F6463" i="5"/>
  <c r="F6462" i="5"/>
  <c r="F6461" i="5"/>
  <c r="F6460" i="5"/>
  <c r="F6459" i="5"/>
  <c r="F6458" i="5"/>
  <c r="F6457" i="5"/>
  <c r="F6456" i="5"/>
  <c r="F6455" i="5"/>
  <c r="F6454" i="5"/>
  <c r="F6453" i="5"/>
  <c r="F6452" i="5"/>
  <c r="F6451" i="5"/>
  <c r="F6450" i="5"/>
  <c r="F6449" i="5"/>
  <c r="F6448" i="5"/>
  <c r="F6447" i="5"/>
  <c r="F6446" i="5"/>
  <c r="F6445" i="5"/>
  <c r="F6444" i="5"/>
  <c r="F6443" i="5"/>
  <c r="F6442" i="5"/>
  <c r="F6441" i="5"/>
  <c r="F6440" i="5"/>
  <c r="F6439" i="5"/>
  <c r="F6438" i="5"/>
  <c r="F6437" i="5"/>
  <c r="F6436" i="5"/>
  <c r="F6435" i="5"/>
  <c r="F6434" i="5"/>
  <c r="F6433" i="5"/>
  <c r="F6432" i="5"/>
  <c r="F6431" i="5"/>
  <c r="F6430" i="5"/>
  <c r="F6429" i="5"/>
  <c r="F6428" i="5"/>
  <c r="F6427" i="5"/>
  <c r="F6426" i="5"/>
  <c r="F6425" i="5"/>
  <c r="F6424" i="5"/>
  <c r="F6423" i="5"/>
  <c r="F6422" i="5"/>
  <c r="F6421" i="5"/>
  <c r="F6420" i="5"/>
  <c r="F6419" i="5"/>
  <c r="F6418" i="5"/>
  <c r="F6417" i="5"/>
  <c r="F6416" i="5"/>
  <c r="F6415" i="5"/>
  <c r="F6414" i="5"/>
  <c r="F6413" i="5"/>
  <c r="F6412" i="5"/>
  <c r="F6411" i="5"/>
  <c r="F6410" i="5"/>
  <c r="F6409" i="5"/>
  <c r="F6408" i="5"/>
  <c r="F6407" i="5"/>
  <c r="F6406" i="5"/>
  <c r="F6405" i="5"/>
  <c r="F6404" i="5"/>
  <c r="F6403" i="5"/>
  <c r="F6402" i="5"/>
  <c r="F6401" i="5"/>
  <c r="F6400" i="5"/>
  <c r="F6399" i="5"/>
  <c r="F6398" i="5"/>
  <c r="F6397" i="5"/>
  <c r="F6396" i="5"/>
  <c r="F6395" i="5"/>
  <c r="F6394" i="5"/>
  <c r="F6393" i="5"/>
  <c r="F6392" i="5"/>
  <c r="F6391" i="5"/>
  <c r="F6390" i="5"/>
  <c r="F6389" i="5"/>
  <c r="F6388" i="5"/>
  <c r="F6387" i="5"/>
  <c r="F6386" i="5"/>
  <c r="F6385" i="5"/>
  <c r="F6384" i="5"/>
  <c r="F6383" i="5"/>
  <c r="F6382" i="5"/>
  <c r="F6381" i="5"/>
  <c r="F6380" i="5"/>
  <c r="F6379" i="5"/>
  <c r="F6378" i="5"/>
  <c r="F6377" i="5"/>
  <c r="F6376" i="5"/>
  <c r="F6375" i="5"/>
  <c r="F6374" i="5"/>
  <c r="F6373" i="5"/>
  <c r="F6372" i="5"/>
  <c r="F6371" i="5"/>
  <c r="F6370" i="5"/>
  <c r="F6369" i="5"/>
  <c r="F6368" i="5"/>
  <c r="F6367" i="5"/>
  <c r="F6366" i="5"/>
  <c r="F6365" i="5"/>
  <c r="F6364" i="5"/>
  <c r="F6363" i="5"/>
  <c r="F6362" i="5"/>
  <c r="F6361" i="5"/>
  <c r="F6360" i="5"/>
  <c r="F6359" i="5"/>
  <c r="F6358" i="5"/>
  <c r="F6357" i="5"/>
  <c r="F6356" i="5"/>
  <c r="F6355" i="5"/>
  <c r="F6354" i="5"/>
  <c r="F6353" i="5"/>
  <c r="F6352" i="5"/>
  <c r="F6351" i="5"/>
  <c r="F6350" i="5"/>
  <c r="F6349" i="5"/>
  <c r="F6348" i="5"/>
  <c r="F6347" i="5"/>
  <c r="F6346" i="5"/>
  <c r="F6345" i="5"/>
  <c r="F6344" i="5"/>
  <c r="F6343" i="5"/>
  <c r="F6342" i="5"/>
  <c r="F6341" i="5"/>
  <c r="F6340" i="5"/>
  <c r="F6339" i="5"/>
  <c r="F6338" i="5"/>
  <c r="F6337" i="5"/>
  <c r="F6336" i="5"/>
  <c r="F6335" i="5"/>
  <c r="F6334" i="5"/>
  <c r="F6333" i="5"/>
  <c r="F6332" i="5"/>
  <c r="F6331" i="5"/>
  <c r="F6330" i="5"/>
  <c r="F6329" i="5"/>
  <c r="F6328" i="5"/>
  <c r="F6327" i="5"/>
  <c r="F6326" i="5"/>
  <c r="F6325" i="5"/>
  <c r="F6324" i="5"/>
  <c r="F6323" i="5"/>
  <c r="F6322" i="5"/>
  <c r="F6321" i="5"/>
  <c r="F6320" i="5"/>
  <c r="F6319" i="5"/>
  <c r="F6318" i="5"/>
  <c r="F6317" i="5"/>
  <c r="F6316" i="5"/>
  <c r="F6315" i="5"/>
  <c r="F6314" i="5"/>
  <c r="F6313" i="5"/>
  <c r="F6312" i="5"/>
  <c r="F6311" i="5"/>
  <c r="F6310" i="5"/>
  <c r="F6309" i="5"/>
  <c r="F6308" i="5"/>
  <c r="F6307" i="5"/>
  <c r="F6306" i="5"/>
  <c r="F6305" i="5"/>
  <c r="F6304" i="5"/>
  <c r="F6303" i="5"/>
  <c r="F6302" i="5"/>
  <c r="F6301" i="5"/>
  <c r="F6300" i="5"/>
  <c r="F6299" i="5"/>
  <c r="F6298" i="5"/>
  <c r="F6297" i="5"/>
  <c r="F6296" i="5"/>
  <c r="F6295" i="5"/>
  <c r="F6294" i="5"/>
  <c r="F6293" i="5"/>
  <c r="F6292" i="5"/>
  <c r="F6291" i="5"/>
  <c r="F6290" i="5"/>
  <c r="F6289" i="5"/>
  <c r="F6288" i="5"/>
  <c r="F6287" i="5"/>
  <c r="F6286" i="5"/>
  <c r="F6285" i="5"/>
  <c r="F6284" i="5"/>
  <c r="F6283" i="5"/>
  <c r="F6282" i="5"/>
  <c r="F6281" i="5"/>
  <c r="F6280" i="5"/>
  <c r="F6279" i="5"/>
  <c r="F6278" i="5"/>
  <c r="F6277" i="5"/>
  <c r="F6276" i="5"/>
  <c r="F6275" i="5"/>
  <c r="F6274" i="5"/>
  <c r="F6273" i="5"/>
  <c r="F6272" i="5"/>
  <c r="F6271" i="5"/>
  <c r="F6270" i="5"/>
  <c r="F6269" i="5"/>
  <c r="F6268" i="5"/>
  <c r="F6267" i="5"/>
  <c r="F6266" i="5"/>
  <c r="F6265" i="5"/>
  <c r="F6264" i="5"/>
  <c r="F6263" i="5"/>
  <c r="F6262" i="5"/>
  <c r="F6261" i="5"/>
  <c r="F6260" i="5"/>
  <c r="F6259" i="5"/>
  <c r="F6258" i="5"/>
  <c r="F6257" i="5"/>
  <c r="F6256" i="5"/>
  <c r="F6255" i="5"/>
  <c r="F6254" i="5"/>
  <c r="F6253" i="5"/>
  <c r="F6252" i="5"/>
  <c r="F6251" i="5"/>
  <c r="F6250" i="5"/>
  <c r="F6249" i="5"/>
  <c r="F6248" i="5"/>
  <c r="F6247" i="5"/>
  <c r="F6246" i="5"/>
  <c r="F6245" i="5"/>
  <c r="F6244" i="5"/>
  <c r="F6243" i="5"/>
  <c r="F6242" i="5"/>
  <c r="F6241" i="5"/>
  <c r="F6240" i="5"/>
  <c r="F6239" i="5"/>
  <c r="F6238" i="5"/>
  <c r="F6237" i="5"/>
  <c r="F6236" i="5"/>
  <c r="F6235" i="5"/>
  <c r="F6234" i="5"/>
  <c r="F6233" i="5"/>
  <c r="F6232" i="5"/>
  <c r="F6231" i="5"/>
  <c r="F6230" i="5"/>
  <c r="F6229" i="5"/>
  <c r="F6228" i="5"/>
  <c r="F6227" i="5"/>
  <c r="F6226" i="5"/>
  <c r="F6225" i="5"/>
  <c r="F6224" i="5"/>
  <c r="F6223" i="5"/>
  <c r="F6222" i="5"/>
  <c r="F6221" i="5"/>
  <c r="F6220" i="5"/>
  <c r="F6219" i="5"/>
  <c r="F6218" i="5"/>
  <c r="F6217" i="5"/>
  <c r="F6216" i="5"/>
  <c r="F6215" i="5"/>
  <c r="F6214" i="5"/>
  <c r="F6213" i="5"/>
  <c r="F6212" i="5"/>
  <c r="F6211" i="5"/>
  <c r="F6210" i="5"/>
  <c r="F6209" i="5"/>
  <c r="F6208" i="5"/>
  <c r="F6207" i="5"/>
  <c r="F6206" i="5"/>
  <c r="F6205" i="5"/>
  <c r="F6204" i="5"/>
  <c r="F6203" i="5"/>
  <c r="F6202" i="5"/>
  <c r="F6201" i="5"/>
  <c r="F6200" i="5"/>
  <c r="F6199" i="5"/>
  <c r="F6198" i="5"/>
  <c r="F6197" i="5"/>
  <c r="F6196" i="5"/>
  <c r="F6195" i="5"/>
  <c r="F6194" i="5"/>
  <c r="F6193" i="5"/>
  <c r="F6192" i="5"/>
  <c r="F6191" i="5"/>
  <c r="F6190" i="5"/>
  <c r="F6189" i="5"/>
  <c r="F6188" i="5"/>
  <c r="F6187" i="5"/>
  <c r="F6186" i="5"/>
  <c r="F6185" i="5"/>
  <c r="F6184" i="5"/>
  <c r="F6183" i="5"/>
  <c r="F6182" i="5"/>
  <c r="F6181" i="5"/>
  <c r="F6180" i="5"/>
  <c r="F6179" i="5"/>
  <c r="F6178" i="5"/>
  <c r="F6177" i="5"/>
  <c r="F6176" i="5"/>
  <c r="F6175" i="5"/>
  <c r="F6174" i="5"/>
  <c r="F6173" i="5"/>
  <c r="F6172" i="5"/>
  <c r="F6171" i="5"/>
  <c r="F6170" i="5"/>
  <c r="F6169" i="5"/>
  <c r="F6168" i="5"/>
  <c r="F6167" i="5"/>
  <c r="F6166" i="5"/>
  <c r="F6165" i="5"/>
  <c r="F6164" i="5"/>
  <c r="F6163" i="5"/>
  <c r="F6162" i="5"/>
  <c r="F6161" i="5"/>
  <c r="F6160" i="5"/>
  <c r="F6159" i="5"/>
  <c r="F6158" i="5"/>
  <c r="F6157" i="5"/>
  <c r="F6156" i="5"/>
  <c r="F6155" i="5"/>
  <c r="F6154" i="5"/>
  <c r="F6153" i="5"/>
  <c r="F6152" i="5"/>
  <c r="F6151" i="5"/>
  <c r="F6150" i="5"/>
  <c r="F6149" i="5"/>
  <c r="F6148" i="5"/>
  <c r="F6147" i="5"/>
  <c r="F6146" i="5"/>
  <c r="F6145" i="5"/>
  <c r="F6144" i="5"/>
  <c r="F6143" i="5"/>
  <c r="F6142" i="5"/>
  <c r="F6141" i="5"/>
  <c r="F6140" i="5"/>
  <c r="F6139" i="5"/>
  <c r="F6138" i="5"/>
  <c r="F6137" i="5"/>
  <c r="F6136" i="5"/>
  <c r="F6135" i="5"/>
  <c r="F6134" i="5"/>
  <c r="F6133" i="5"/>
  <c r="F6132" i="5"/>
  <c r="F6131" i="5"/>
  <c r="F6130" i="5"/>
  <c r="F6129" i="5"/>
  <c r="F6128" i="5"/>
  <c r="F6127" i="5"/>
  <c r="F6126" i="5"/>
  <c r="F6125" i="5"/>
  <c r="F6124" i="5"/>
  <c r="F6123" i="5"/>
  <c r="F6122" i="5"/>
  <c r="F6121" i="5"/>
  <c r="F6120" i="5"/>
  <c r="F6119" i="5"/>
  <c r="F6118" i="5"/>
  <c r="F6117" i="5"/>
  <c r="F6116" i="5"/>
  <c r="F6115" i="5"/>
  <c r="F6114" i="5"/>
  <c r="F6113" i="5"/>
  <c r="F6112" i="5"/>
  <c r="F6111" i="5"/>
  <c r="F6110" i="5"/>
  <c r="F6109" i="5"/>
  <c r="F6108" i="5"/>
  <c r="F6107" i="5"/>
  <c r="F6106" i="5"/>
  <c r="F6105" i="5"/>
  <c r="F6104" i="5"/>
  <c r="F6103" i="5"/>
  <c r="F6102" i="5"/>
  <c r="F6101" i="5"/>
  <c r="F6100" i="5"/>
  <c r="F6099" i="5"/>
  <c r="F6098" i="5"/>
  <c r="F6097" i="5"/>
  <c r="F6096" i="5"/>
  <c r="F6095" i="5"/>
  <c r="F6094" i="5"/>
  <c r="F6093" i="5"/>
  <c r="F6092" i="5"/>
  <c r="F6091" i="5"/>
  <c r="F6090" i="5"/>
  <c r="F6089" i="5"/>
  <c r="F6088" i="5"/>
  <c r="F6087" i="5"/>
  <c r="F6086" i="5"/>
  <c r="F6085" i="5"/>
  <c r="F6084" i="5"/>
  <c r="F6083" i="5"/>
  <c r="F6082" i="5"/>
  <c r="F6081" i="5"/>
  <c r="F6080" i="5"/>
  <c r="F6079" i="5"/>
  <c r="F6078" i="5"/>
  <c r="F6077" i="5"/>
  <c r="F6076" i="5"/>
  <c r="F6075" i="5"/>
  <c r="F6074" i="5"/>
  <c r="F6073" i="5"/>
  <c r="F6072" i="5"/>
  <c r="F6071" i="5"/>
  <c r="F6070" i="5"/>
  <c r="F6069" i="5"/>
  <c r="F6068" i="5"/>
  <c r="F6067" i="5"/>
  <c r="F6066" i="5"/>
  <c r="F6065" i="5"/>
  <c r="F6064" i="5"/>
  <c r="F6063" i="5"/>
  <c r="F6062" i="5"/>
  <c r="F6061" i="5"/>
  <c r="F6060" i="5"/>
  <c r="F6059" i="5"/>
  <c r="F6058" i="5"/>
  <c r="F6057" i="5"/>
  <c r="F6056" i="5"/>
  <c r="F6055" i="5"/>
  <c r="F6054" i="5"/>
  <c r="F6053" i="5"/>
  <c r="F6052" i="5"/>
  <c r="F6051" i="5"/>
  <c r="F6050" i="5"/>
  <c r="F6049" i="5"/>
  <c r="F6048" i="5"/>
  <c r="F6047" i="5"/>
  <c r="F6046" i="5"/>
  <c r="F6045" i="5"/>
  <c r="F6044" i="5"/>
  <c r="F6043" i="5"/>
  <c r="F6042" i="5"/>
  <c r="F6041" i="5"/>
  <c r="F6040" i="5"/>
  <c r="F6039" i="5"/>
  <c r="F6038" i="5"/>
  <c r="F6037" i="5"/>
  <c r="F6036" i="5"/>
  <c r="F6035" i="5"/>
  <c r="F6034" i="5"/>
  <c r="F6033" i="5"/>
  <c r="F6032" i="5"/>
  <c r="F6031" i="5"/>
  <c r="F6030" i="5"/>
  <c r="F6029" i="5"/>
  <c r="F6028" i="5"/>
  <c r="F6027" i="5"/>
  <c r="F6026" i="5"/>
  <c r="F6025" i="5"/>
  <c r="F6024" i="5"/>
  <c r="F6023" i="5"/>
  <c r="F6022" i="5"/>
  <c r="F6021" i="5"/>
  <c r="F6020" i="5"/>
  <c r="F6019" i="5"/>
  <c r="F6018" i="5"/>
  <c r="F6017" i="5"/>
  <c r="F6016" i="5"/>
  <c r="F6015" i="5"/>
  <c r="F6014" i="5"/>
  <c r="F6013" i="5"/>
  <c r="F6012" i="5"/>
  <c r="F6011" i="5"/>
  <c r="F6010" i="5"/>
  <c r="F6009" i="5"/>
  <c r="F6008" i="5"/>
  <c r="F6007" i="5"/>
  <c r="F6006" i="5"/>
  <c r="F6005" i="5"/>
  <c r="F6004" i="5"/>
  <c r="F6003" i="5"/>
  <c r="F6002" i="5"/>
  <c r="F6001" i="5"/>
  <c r="F6000" i="5"/>
  <c r="F5999" i="5"/>
  <c r="F5998" i="5"/>
  <c r="F5997" i="5"/>
  <c r="F5996" i="5"/>
  <c r="F5995" i="5"/>
  <c r="F5994" i="5"/>
  <c r="F5993" i="5"/>
  <c r="F5992" i="5"/>
  <c r="F5991" i="5"/>
  <c r="F5990" i="5"/>
  <c r="F5989" i="5"/>
  <c r="F5988" i="5"/>
  <c r="F5987" i="5"/>
  <c r="F5986" i="5"/>
  <c r="F5985" i="5"/>
  <c r="F5984" i="5"/>
  <c r="F5983" i="5"/>
  <c r="F5982" i="5"/>
  <c r="F5981" i="5"/>
  <c r="F5980" i="5"/>
  <c r="F5979" i="5"/>
  <c r="F5978" i="5"/>
  <c r="F5977" i="5"/>
  <c r="F5976" i="5"/>
  <c r="F5975" i="5"/>
  <c r="F5974" i="5"/>
  <c r="F5973" i="5"/>
  <c r="F5972" i="5"/>
  <c r="F5971" i="5"/>
  <c r="F5970" i="5"/>
  <c r="F5969" i="5"/>
  <c r="F5968" i="5"/>
  <c r="F5967" i="5"/>
  <c r="F5966" i="5"/>
  <c r="F5965" i="5"/>
  <c r="F5964" i="5"/>
  <c r="F5963" i="5"/>
  <c r="F5962" i="5"/>
  <c r="F5961" i="5"/>
  <c r="F5960" i="5"/>
  <c r="F5959" i="5"/>
  <c r="F5958" i="5"/>
  <c r="F5957" i="5"/>
  <c r="F5956" i="5"/>
  <c r="F5955" i="5"/>
  <c r="F5954" i="5"/>
  <c r="F5953" i="5"/>
  <c r="F5952" i="5"/>
  <c r="F5951" i="5"/>
  <c r="F5950" i="5"/>
  <c r="F5949" i="5"/>
  <c r="F5948" i="5"/>
  <c r="F5947" i="5"/>
  <c r="F5946" i="5"/>
  <c r="F5945" i="5"/>
  <c r="F5944" i="5"/>
  <c r="F5943" i="5"/>
  <c r="F5942" i="5"/>
  <c r="F5941" i="5"/>
  <c r="F5940" i="5"/>
  <c r="F5939" i="5"/>
  <c r="F5938" i="5"/>
  <c r="F5937" i="5"/>
  <c r="F5936" i="5"/>
  <c r="F5935" i="5"/>
  <c r="F5934" i="5"/>
  <c r="F5933" i="5"/>
  <c r="F5932" i="5"/>
  <c r="F5931" i="5"/>
  <c r="F5930" i="5"/>
  <c r="F5929" i="5"/>
  <c r="F5928" i="5"/>
  <c r="F5927" i="5"/>
  <c r="F5926" i="5"/>
  <c r="F5925" i="5"/>
  <c r="F5924" i="5"/>
  <c r="F5923" i="5"/>
  <c r="F5922" i="5"/>
  <c r="F5921" i="5"/>
  <c r="F5920" i="5"/>
  <c r="F5919" i="5"/>
  <c r="F5918" i="5"/>
  <c r="F5917" i="5"/>
  <c r="F5916" i="5"/>
  <c r="F5915" i="5"/>
  <c r="F5914" i="5"/>
  <c r="F5913" i="5"/>
  <c r="F5912" i="5"/>
  <c r="F5911" i="5"/>
  <c r="F5910" i="5"/>
  <c r="F5909" i="5"/>
  <c r="F5908" i="5"/>
  <c r="F5907" i="5"/>
  <c r="F5906" i="5"/>
  <c r="F5905" i="5"/>
  <c r="F5904" i="5"/>
  <c r="F5903" i="5"/>
  <c r="F5902" i="5"/>
  <c r="F5901" i="5"/>
  <c r="F5900" i="5"/>
  <c r="F5899" i="5"/>
  <c r="F5898" i="5"/>
  <c r="F5897" i="5"/>
  <c r="F5896" i="5"/>
  <c r="F5895" i="5"/>
  <c r="F5894" i="5"/>
  <c r="F5893" i="5"/>
  <c r="F5892" i="5"/>
  <c r="F5891" i="5"/>
  <c r="F5890" i="5"/>
  <c r="F5889" i="5"/>
  <c r="F5888" i="5"/>
  <c r="F5887" i="5"/>
  <c r="F5886" i="5"/>
  <c r="F5885" i="5"/>
  <c r="F5884" i="5"/>
  <c r="F5883" i="5"/>
  <c r="F5882" i="5"/>
  <c r="F5881" i="5"/>
  <c r="F5880" i="5"/>
  <c r="F5879" i="5"/>
  <c r="F5878" i="5"/>
  <c r="F5877" i="5"/>
  <c r="F5876" i="5"/>
  <c r="F5875" i="5"/>
  <c r="F5874" i="5"/>
  <c r="F5873" i="5"/>
  <c r="F5872" i="5"/>
  <c r="F5871" i="5"/>
  <c r="F5870" i="5"/>
  <c r="F5869" i="5"/>
  <c r="F5868" i="5"/>
  <c r="F5867" i="5"/>
  <c r="F5866" i="5"/>
  <c r="F5865" i="5"/>
  <c r="F5864" i="5"/>
  <c r="F5863" i="5"/>
  <c r="F5862" i="5"/>
  <c r="F5861" i="5"/>
  <c r="F5860" i="5"/>
  <c r="F5859" i="5"/>
  <c r="F5858" i="5"/>
  <c r="F5857" i="5"/>
  <c r="F5856" i="5"/>
  <c r="F5855" i="5"/>
  <c r="F5854" i="5"/>
  <c r="F5853" i="5"/>
  <c r="F5852" i="5"/>
  <c r="F5851" i="5"/>
  <c r="F5850" i="5"/>
  <c r="F5849" i="5"/>
  <c r="F5848" i="5"/>
  <c r="F5847" i="5"/>
  <c r="F5846" i="5"/>
  <c r="F5845" i="5"/>
  <c r="F5844" i="5"/>
  <c r="F5843" i="5"/>
  <c r="F5842" i="5"/>
  <c r="F5841" i="5"/>
  <c r="F5840" i="5"/>
  <c r="F5839" i="5"/>
  <c r="F5838" i="5"/>
  <c r="F5837" i="5"/>
  <c r="F5836" i="5"/>
  <c r="F5835" i="5"/>
  <c r="F5834" i="5"/>
  <c r="F5833" i="5"/>
  <c r="F5832" i="5"/>
  <c r="F5831" i="5"/>
  <c r="F5830" i="5"/>
  <c r="F5829" i="5"/>
  <c r="F5828" i="5"/>
  <c r="F5827" i="5"/>
  <c r="F5826" i="5"/>
  <c r="F5825" i="5"/>
  <c r="F5824" i="5"/>
  <c r="F5823" i="5"/>
  <c r="F5822" i="5"/>
  <c r="F5821" i="5"/>
  <c r="F5820" i="5"/>
  <c r="F5819" i="5"/>
  <c r="F5818" i="5"/>
  <c r="F5817" i="5"/>
  <c r="F5816" i="5"/>
  <c r="F5815" i="5"/>
  <c r="F5814" i="5"/>
  <c r="F5813" i="5"/>
  <c r="F5812" i="5"/>
  <c r="F5811" i="5"/>
  <c r="F5810" i="5"/>
  <c r="F5809" i="5"/>
  <c r="F5808" i="5"/>
  <c r="F5807" i="5"/>
  <c r="F5806" i="5"/>
  <c r="F5805" i="5"/>
  <c r="F5804" i="5"/>
  <c r="F5803" i="5"/>
  <c r="F5802" i="5"/>
  <c r="F5801" i="5"/>
  <c r="F5800" i="5"/>
  <c r="F5799" i="5"/>
  <c r="F5798" i="5"/>
  <c r="F5797" i="5"/>
  <c r="F5796" i="5"/>
  <c r="F5795" i="5"/>
  <c r="F5794" i="5"/>
  <c r="F5793" i="5"/>
  <c r="F5792" i="5"/>
  <c r="F5791" i="5"/>
  <c r="F5790" i="5"/>
  <c r="F5789" i="5"/>
  <c r="F5788" i="5"/>
  <c r="F5787" i="5"/>
  <c r="F5786" i="5"/>
  <c r="F5785" i="5"/>
  <c r="F5784" i="5"/>
  <c r="F5783" i="5"/>
  <c r="F5782" i="5"/>
  <c r="F5781" i="5"/>
  <c r="F5780" i="5"/>
  <c r="F5779" i="5"/>
  <c r="F5778" i="5"/>
  <c r="F5777" i="5"/>
  <c r="F5776" i="5"/>
  <c r="F5775" i="5"/>
  <c r="F5774" i="5"/>
  <c r="F5773" i="5"/>
  <c r="F5772" i="5"/>
  <c r="F5771" i="5"/>
  <c r="F5770" i="5"/>
  <c r="F5769" i="5"/>
  <c r="F5768" i="5"/>
  <c r="F5767" i="5"/>
  <c r="F5766" i="5"/>
  <c r="F5765" i="5"/>
  <c r="F5764" i="5"/>
  <c r="F5763" i="5"/>
  <c r="F5762" i="5"/>
  <c r="F5761" i="5"/>
  <c r="F5760" i="5"/>
  <c r="F5759" i="5"/>
  <c r="F5758" i="5"/>
  <c r="F5757" i="5"/>
  <c r="F5756" i="5"/>
  <c r="F5755" i="5"/>
  <c r="F5754" i="5"/>
  <c r="F5753" i="5"/>
  <c r="F5752" i="5"/>
  <c r="F5751" i="5"/>
  <c r="F5750" i="5"/>
  <c r="F5749" i="5"/>
  <c r="F5748" i="5"/>
  <c r="F5747" i="5"/>
  <c r="F5746" i="5"/>
  <c r="F5745" i="5"/>
  <c r="F5744" i="5"/>
  <c r="F5743" i="5"/>
  <c r="F5742" i="5"/>
  <c r="F5741" i="5"/>
  <c r="F5740" i="5"/>
  <c r="F5739" i="5"/>
  <c r="F5738" i="5"/>
  <c r="F5737" i="5"/>
  <c r="F5736" i="5"/>
  <c r="F5735" i="5"/>
  <c r="F5734" i="5"/>
  <c r="F5733" i="5"/>
  <c r="F5732" i="5"/>
  <c r="F5731" i="5"/>
  <c r="F5730" i="5"/>
  <c r="F5729" i="5"/>
  <c r="F5728" i="5"/>
  <c r="F5727" i="5"/>
  <c r="F5726" i="5"/>
  <c r="F5725" i="5"/>
  <c r="F5724" i="5"/>
  <c r="F5723" i="5"/>
  <c r="F5722" i="5"/>
  <c r="F5721" i="5"/>
  <c r="F5720" i="5"/>
  <c r="F5719" i="5"/>
  <c r="F5718" i="5"/>
  <c r="F5717" i="5"/>
  <c r="F5716" i="5"/>
  <c r="F5715" i="5"/>
  <c r="F5714" i="5"/>
  <c r="F5713" i="5"/>
  <c r="F5712" i="5"/>
  <c r="F5711" i="5"/>
  <c r="F5710" i="5"/>
  <c r="F5709" i="5"/>
  <c r="F5708" i="5"/>
  <c r="F5707" i="5"/>
  <c r="F5706" i="5"/>
  <c r="F5705" i="5"/>
  <c r="F5704" i="5"/>
  <c r="F5703" i="5"/>
  <c r="F5702" i="5"/>
  <c r="F5701" i="5"/>
  <c r="F5700" i="5"/>
  <c r="F5699" i="5"/>
  <c r="F5698" i="5"/>
  <c r="F5697" i="5"/>
  <c r="F5696" i="5"/>
  <c r="F5695" i="5"/>
  <c r="F5694" i="5"/>
  <c r="F5693" i="5"/>
  <c r="F5692" i="5"/>
  <c r="F5691" i="5"/>
  <c r="F5690" i="5"/>
  <c r="F5689" i="5"/>
  <c r="F5688" i="5"/>
  <c r="F5687" i="5"/>
  <c r="F5686" i="5"/>
  <c r="F5685" i="5"/>
  <c r="F5684" i="5"/>
  <c r="F5683" i="5"/>
  <c r="F5682" i="5"/>
  <c r="F5681" i="5"/>
  <c r="F5680" i="5"/>
  <c r="F5679" i="5"/>
  <c r="F5678" i="5"/>
  <c r="F5677" i="5"/>
  <c r="F5676" i="5"/>
  <c r="F5675" i="5"/>
  <c r="F5674" i="5"/>
  <c r="F5673" i="5"/>
  <c r="F5672" i="5"/>
  <c r="F5671" i="5"/>
  <c r="F5670" i="5"/>
  <c r="F5669" i="5"/>
  <c r="F5668" i="5"/>
  <c r="F5667" i="5"/>
  <c r="F5666" i="5"/>
  <c r="F5665" i="5"/>
  <c r="F5664" i="5"/>
  <c r="F5663" i="5"/>
  <c r="F5662" i="5"/>
  <c r="F5661" i="5"/>
  <c r="F5660" i="5"/>
  <c r="F5659" i="5"/>
  <c r="F5658" i="5"/>
  <c r="F5657" i="5"/>
  <c r="F5656" i="5"/>
  <c r="F5655" i="5"/>
  <c r="F5654" i="5"/>
  <c r="F5653" i="5"/>
  <c r="F5652" i="5"/>
  <c r="F5651" i="5"/>
  <c r="F5650" i="5"/>
  <c r="F5649" i="5"/>
  <c r="F5648" i="5"/>
  <c r="F5647" i="5"/>
  <c r="F5646" i="5"/>
  <c r="F5645" i="5"/>
  <c r="F5644" i="5"/>
  <c r="F5643" i="5"/>
  <c r="F5642" i="5"/>
  <c r="F5641" i="5"/>
  <c r="F5640" i="5"/>
  <c r="F5639" i="5"/>
  <c r="F5638" i="5"/>
  <c r="F5637" i="5"/>
  <c r="F5636" i="5"/>
  <c r="F5635" i="5"/>
  <c r="F5634" i="5"/>
  <c r="F5633" i="5"/>
  <c r="F5632" i="5"/>
  <c r="F5631" i="5"/>
  <c r="F5630" i="5"/>
  <c r="F5629" i="5"/>
  <c r="F5628" i="5"/>
  <c r="F5627" i="5"/>
  <c r="F5626" i="5"/>
  <c r="F5625" i="5"/>
  <c r="F5624" i="5"/>
  <c r="F5623" i="5"/>
  <c r="F5622" i="5"/>
  <c r="F5621" i="5"/>
  <c r="F5620" i="5"/>
  <c r="F5619" i="5"/>
  <c r="F5618" i="5"/>
  <c r="F5617" i="5"/>
  <c r="F5616" i="5"/>
  <c r="F5615" i="5"/>
  <c r="F5614" i="5"/>
  <c r="F5613" i="5"/>
  <c r="F5612" i="5"/>
  <c r="F5611" i="5"/>
  <c r="F5610" i="5"/>
  <c r="F5609" i="5"/>
  <c r="F5608" i="5"/>
  <c r="F5607" i="5"/>
  <c r="F5606" i="5"/>
  <c r="F5605" i="5"/>
  <c r="F5604" i="5"/>
  <c r="F5603" i="5"/>
  <c r="F5602" i="5"/>
  <c r="F5601" i="5"/>
  <c r="F5600" i="5"/>
  <c r="F5599" i="5"/>
  <c r="F5598" i="5"/>
  <c r="F5597" i="5"/>
  <c r="F5596" i="5"/>
  <c r="F5595" i="5"/>
  <c r="F5594" i="5"/>
  <c r="F5593" i="5"/>
  <c r="F5592" i="5"/>
  <c r="F5591" i="5"/>
  <c r="F5590" i="5"/>
  <c r="F5589" i="5"/>
  <c r="F5588" i="5"/>
  <c r="F5587" i="5"/>
  <c r="F5586" i="5"/>
  <c r="F5585" i="5"/>
  <c r="F5584" i="5"/>
  <c r="F5583" i="5"/>
  <c r="F5582" i="5"/>
  <c r="F5581" i="5"/>
  <c r="F5580" i="5"/>
  <c r="F5579" i="5"/>
  <c r="F5578" i="5"/>
  <c r="F5577" i="5"/>
  <c r="F5576" i="5"/>
  <c r="F5575" i="5"/>
  <c r="F5574" i="5"/>
  <c r="F5573" i="5"/>
  <c r="F5572" i="5"/>
  <c r="F5571" i="5"/>
  <c r="F5570" i="5"/>
  <c r="F5569" i="5"/>
  <c r="F5568" i="5"/>
  <c r="F5567" i="5"/>
  <c r="F5566" i="5"/>
  <c r="F5565" i="5"/>
  <c r="F5564" i="5"/>
  <c r="F5563" i="5"/>
  <c r="F5562" i="5"/>
  <c r="F5561" i="5"/>
  <c r="F5560" i="5"/>
  <c r="F5559" i="5"/>
  <c r="F5558" i="5"/>
  <c r="F5557" i="5"/>
  <c r="F5556" i="5"/>
  <c r="F5555" i="5"/>
  <c r="F5554" i="5"/>
  <c r="F5553" i="5"/>
  <c r="F5552" i="5"/>
  <c r="F5551" i="5"/>
  <c r="F5550" i="5"/>
  <c r="F5549" i="5"/>
  <c r="F5548" i="5"/>
  <c r="F5547" i="5"/>
  <c r="F5546" i="5"/>
  <c r="F5545" i="5"/>
  <c r="F5544" i="5"/>
  <c r="F5543" i="5"/>
  <c r="F5542" i="5"/>
  <c r="F5541" i="5"/>
  <c r="F5540" i="5"/>
  <c r="F5539" i="5"/>
  <c r="F5538" i="5"/>
  <c r="F5537" i="5"/>
  <c r="F5536" i="5"/>
  <c r="F5535" i="5"/>
  <c r="F5534" i="5"/>
  <c r="F5533" i="5"/>
  <c r="F5532" i="5"/>
  <c r="F5531" i="5"/>
  <c r="F5530" i="5"/>
  <c r="F5529" i="5"/>
  <c r="F5528" i="5"/>
  <c r="F5527" i="5"/>
  <c r="F5526" i="5"/>
  <c r="F5525" i="5"/>
  <c r="F5524" i="5"/>
  <c r="F5523" i="5"/>
  <c r="F5522" i="5"/>
  <c r="F5521" i="5"/>
  <c r="F5520" i="5"/>
  <c r="F5519" i="5"/>
  <c r="F5518" i="5"/>
  <c r="F5517" i="5"/>
  <c r="F5516" i="5"/>
  <c r="F5515" i="5"/>
  <c r="F5514" i="5"/>
  <c r="F5513" i="5"/>
  <c r="F5512" i="5"/>
  <c r="F5511" i="5"/>
  <c r="F5510" i="5"/>
  <c r="F5509" i="5"/>
  <c r="F5508" i="5"/>
  <c r="F5507" i="5"/>
  <c r="F5506" i="5"/>
  <c r="F5505" i="5"/>
  <c r="F5504" i="5"/>
  <c r="F5503" i="5"/>
  <c r="F5502" i="5"/>
  <c r="F5501" i="5"/>
  <c r="F5500" i="5"/>
  <c r="F5499" i="5"/>
  <c r="F5498" i="5"/>
  <c r="F5497" i="5"/>
  <c r="F5496" i="5"/>
  <c r="F5495" i="5"/>
  <c r="F5494" i="5"/>
  <c r="F5493" i="5"/>
  <c r="F5492" i="5"/>
  <c r="F5491" i="5"/>
  <c r="F5490" i="5"/>
  <c r="F5489" i="5"/>
  <c r="F5488" i="5"/>
  <c r="F5487" i="5"/>
  <c r="F5486" i="5"/>
  <c r="F5485" i="5"/>
  <c r="F5484" i="5"/>
  <c r="F5483" i="5"/>
  <c r="F5482" i="5"/>
  <c r="F5481" i="5"/>
  <c r="F5480" i="5"/>
  <c r="F5479" i="5"/>
  <c r="F5478" i="5"/>
  <c r="F5477" i="5"/>
  <c r="F5476" i="5"/>
  <c r="F5475" i="5"/>
  <c r="F5474" i="5"/>
  <c r="F5473" i="5"/>
  <c r="F5472" i="5"/>
  <c r="F5471" i="5"/>
  <c r="F5470" i="5"/>
  <c r="F5469" i="5"/>
  <c r="F5468" i="5"/>
  <c r="F5467" i="5"/>
  <c r="F5466" i="5"/>
  <c r="F5465" i="5"/>
  <c r="F5464" i="5"/>
  <c r="F5463" i="5"/>
  <c r="F5462" i="5"/>
  <c r="F5461" i="5"/>
  <c r="F5460" i="5"/>
  <c r="F5459" i="5"/>
  <c r="F5458" i="5"/>
  <c r="F5457" i="5"/>
  <c r="F5456" i="5"/>
  <c r="F5455" i="5"/>
  <c r="F5454" i="5"/>
  <c r="F5453" i="5"/>
  <c r="F5452" i="5"/>
  <c r="F5451" i="5"/>
  <c r="F5450" i="5"/>
  <c r="F5449" i="5"/>
  <c r="F5448" i="5"/>
  <c r="F5447" i="5"/>
  <c r="F5446" i="5"/>
  <c r="F5445" i="5"/>
  <c r="F5444" i="5"/>
  <c r="F5443" i="5"/>
  <c r="F5442" i="5"/>
  <c r="F5441" i="5"/>
  <c r="F5440" i="5"/>
  <c r="F5439" i="5"/>
  <c r="F5438" i="5"/>
  <c r="F5437" i="5"/>
  <c r="F5436" i="5"/>
  <c r="F5435" i="5"/>
  <c r="F5434" i="5"/>
  <c r="F5433" i="5"/>
  <c r="F5432" i="5"/>
  <c r="F5431" i="5"/>
  <c r="F5430" i="5"/>
  <c r="F5429" i="5"/>
  <c r="F5428" i="5"/>
  <c r="F5427" i="5"/>
  <c r="F5426" i="5"/>
  <c r="F5425" i="5"/>
  <c r="F5424" i="5"/>
  <c r="F5423" i="5"/>
  <c r="F5422" i="5"/>
  <c r="F5421" i="5"/>
  <c r="F5420" i="5"/>
  <c r="F5419" i="5"/>
  <c r="F5418" i="5"/>
  <c r="F5417" i="5"/>
  <c r="F5416" i="5"/>
  <c r="F5415" i="5"/>
  <c r="F5414" i="5"/>
  <c r="F5413" i="5"/>
  <c r="F5412" i="5"/>
  <c r="F5411" i="5"/>
  <c r="F5410" i="5"/>
  <c r="F5409" i="5"/>
  <c r="F5408" i="5"/>
  <c r="F5407" i="5"/>
  <c r="F5406" i="5"/>
  <c r="F5405" i="5"/>
  <c r="F5404" i="5"/>
  <c r="F5403" i="5"/>
  <c r="F5402" i="5"/>
  <c r="F5401" i="5"/>
  <c r="F5400" i="5"/>
  <c r="F5399" i="5"/>
  <c r="F5398" i="5"/>
  <c r="F5397" i="5"/>
  <c r="F5396" i="5"/>
  <c r="F5395" i="5"/>
  <c r="F5394" i="5"/>
  <c r="F5393" i="5"/>
  <c r="F5392" i="5"/>
  <c r="F5391" i="5"/>
  <c r="F5390" i="5"/>
  <c r="F5389" i="5"/>
  <c r="F5388" i="5"/>
  <c r="F5387" i="5"/>
  <c r="F5386" i="5"/>
  <c r="F5385" i="5"/>
  <c r="F5384" i="5"/>
  <c r="F5383" i="5"/>
  <c r="F5382" i="5"/>
  <c r="F5381" i="5"/>
  <c r="F5380" i="5"/>
  <c r="F5379" i="5"/>
  <c r="F5378" i="5"/>
  <c r="F5377" i="5"/>
  <c r="F5376" i="5"/>
  <c r="F5375" i="5"/>
  <c r="F5374" i="5"/>
  <c r="F5373" i="5"/>
  <c r="F5372" i="5"/>
  <c r="F5371" i="5"/>
  <c r="F5370" i="5"/>
  <c r="F5369" i="5"/>
  <c r="F5368" i="5"/>
  <c r="F5367" i="5"/>
  <c r="F5366" i="5"/>
  <c r="F5365" i="5"/>
  <c r="F5364" i="5"/>
  <c r="F5363" i="5"/>
  <c r="F5362" i="5"/>
  <c r="F5361" i="5"/>
  <c r="F5360" i="5"/>
  <c r="F5359" i="5"/>
  <c r="F5358" i="5"/>
  <c r="F5357" i="5"/>
  <c r="F5356" i="5"/>
  <c r="F5355" i="5"/>
  <c r="F5354" i="5"/>
  <c r="F5353" i="5"/>
  <c r="F5352" i="5"/>
  <c r="F5351" i="5"/>
  <c r="F5350" i="5"/>
  <c r="F5349" i="5"/>
  <c r="F5348" i="5"/>
  <c r="F5347" i="5"/>
  <c r="F5346" i="5"/>
  <c r="F5345" i="5"/>
  <c r="F5344" i="5"/>
  <c r="F5343" i="5"/>
  <c r="F5342" i="5"/>
  <c r="F5341" i="5"/>
  <c r="F5340" i="5"/>
  <c r="F5339" i="5"/>
  <c r="F5338" i="5"/>
  <c r="F5337" i="5"/>
  <c r="F5336" i="5"/>
  <c r="F5335" i="5"/>
  <c r="F5334" i="5"/>
  <c r="F5333" i="5"/>
  <c r="F5332" i="5"/>
  <c r="F5331" i="5"/>
  <c r="F5330" i="5"/>
  <c r="F5329" i="5"/>
  <c r="F5328" i="5"/>
  <c r="F5327" i="5"/>
  <c r="F5326" i="5"/>
  <c r="F5325" i="5"/>
  <c r="F5324" i="5"/>
  <c r="F5323" i="5"/>
  <c r="F5322" i="5"/>
  <c r="F5321" i="5"/>
  <c r="F5320" i="5"/>
  <c r="F5319" i="5"/>
  <c r="F5318" i="5"/>
  <c r="F5317" i="5"/>
  <c r="F5316" i="5"/>
  <c r="F5315" i="5"/>
  <c r="F5314" i="5"/>
  <c r="F5313" i="5"/>
  <c r="F5312" i="5"/>
  <c r="F5311" i="5"/>
  <c r="F5310" i="5"/>
  <c r="F5309" i="5"/>
  <c r="F5308" i="5"/>
  <c r="F5307" i="5"/>
  <c r="F5306" i="5"/>
  <c r="F5305" i="5"/>
  <c r="F5304" i="5"/>
  <c r="F5303" i="5"/>
  <c r="F5302" i="5"/>
  <c r="F5301" i="5"/>
  <c r="F5300" i="5"/>
  <c r="F5299" i="5"/>
  <c r="F5298" i="5"/>
  <c r="F5297" i="5"/>
  <c r="F5296" i="5"/>
  <c r="F5295" i="5"/>
  <c r="F5294" i="5"/>
  <c r="F5293" i="5"/>
  <c r="F5292" i="5"/>
  <c r="F5291" i="5"/>
  <c r="F5290" i="5"/>
  <c r="F5289" i="5"/>
  <c r="F5288" i="5"/>
  <c r="F5287" i="5"/>
  <c r="F5286" i="5"/>
  <c r="F5285" i="5"/>
  <c r="F5284" i="5"/>
  <c r="F5283" i="5"/>
  <c r="F5282" i="5"/>
  <c r="F5281" i="5"/>
  <c r="F5280" i="5"/>
  <c r="F5279" i="5"/>
  <c r="F5278" i="5"/>
  <c r="F5277" i="5"/>
  <c r="F5276" i="5"/>
  <c r="F5275" i="5"/>
  <c r="F5274" i="5"/>
  <c r="F5273" i="5"/>
  <c r="F5272" i="5"/>
  <c r="F5271" i="5"/>
  <c r="F5270" i="5"/>
  <c r="F5269" i="5"/>
  <c r="F5268" i="5"/>
  <c r="F5267" i="5"/>
  <c r="F5266" i="5"/>
  <c r="F5265" i="5"/>
  <c r="F5264" i="5"/>
  <c r="F5263" i="5"/>
  <c r="F5262" i="5"/>
  <c r="F5261" i="5"/>
  <c r="F5260" i="5"/>
  <c r="F5259" i="5"/>
  <c r="F5258" i="5"/>
  <c r="F5257" i="5"/>
  <c r="F5256" i="5"/>
  <c r="F5255" i="5"/>
  <c r="F5254" i="5"/>
  <c r="F5253" i="5"/>
  <c r="F5252" i="5"/>
  <c r="F5251" i="5"/>
  <c r="F5250" i="5"/>
  <c r="F5249" i="5"/>
  <c r="F5248" i="5"/>
  <c r="F5247" i="5"/>
  <c r="F5246" i="5"/>
  <c r="F5245" i="5"/>
  <c r="F5244" i="5"/>
  <c r="F5243" i="5"/>
  <c r="F5242" i="5"/>
  <c r="F5241" i="5"/>
  <c r="F5240" i="5"/>
  <c r="F5239" i="5"/>
  <c r="F5238" i="5"/>
  <c r="F5237" i="5"/>
  <c r="F5236" i="5"/>
  <c r="F5235" i="5"/>
  <c r="F5234" i="5"/>
  <c r="F5233" i="5"/>
  <c r="F5232" i="5"/>
  <c r="F5231" i="5"/>
  <c r="F5230" i="5"/>
  <c r="F5229" i="5"/>
  <c r="F5228" i="5"/>
  <c r="F5227" i="5"/>
  <c r="F5226" i="5"/>
  <c r="F5225" i="5"/>
  <c r="F5224" i="5"/>
  <c r="F5223" i="5"/>
  <c r="F5222" i="5"/>
  <c r="F5221" i="5"/>
  <c r="F5220" i="5"/>
  <c r="F5219" i="5"/>
  <c r="F5218" i="5"/>
  <c r="F5217" i="5"/>
  <c r="F5216" i="5"/>
  <c r="F5215" i="5"/>
  <c r="F5214" i="5"/>
  <c r="F5213" i="5"/>
  <c r="F5212" i="5"/>
  <c r="F5211" i="5"/>
  <c r="F5210" i="5"/>
  <c r="F5209" i="5"/>
  <c r="F5208" i="5"/>
  <c r="F5207" i="5"/>
  <c r="F5206" i="5"/>
  <c r="F5205" i="5"/>
  <c r="F5204" i="5"/>
  <c r="F5203" i="5"/>
  <c r="F5202" i="5"/>
  <c r="F5201" i="5"/>
  <c r="F5200" i="5"/>
  <c r="F5199" i="5"/>
  <c r="F5198" i="5"/>
  <c r="F5197" i="5"/>
  <c r="F5196" i="5"/>
  <c r="F5195" i="5"/>
  <c r="F5194" i="5"/>
  <c r="F5193" i="5"/>
  <c r="F5192" i="5"/>
  <c r="F5191" i="5"/>
  <c r="F5190" i="5"/>
  <c r="F5189" i="5"/>
  <c r="F5188" i="5"/>
  <c r="F5187" i="5"/>
  <c r="F5186" i="5"/>
  <c r="F5185" i="5"/>
  <c r="F5184" i="5"/>
  <c r="F5183" i="5"/>
  <c r="F5182" i="5"/>
  <c r="F5181" i="5"/>
  <c r="F5180" i="5"/>
  <c r="F5179" i="5"/>
  <c r="F5178" i="5"/>
  <c r="F5177" i="5"/>
  <c r="F5176" i="5"/>
  <c r="F5175" i="5"/>
  <c r="F5174" i="5"/>
  <c r="F5173" i="5"/>
  <c r="F5172" i="5"/>
  <c r="F5171" i="5"/>
  <c r="F5170" i="5"/>
  <c r="F5169" i="5"/>
  <c r="F5168" i="5"/>
  <c r="F5167" i="5"/>
  <c r="F5166" i="5"/>
  <c r="F5165" i="5"/>
  <c r="F5164" i="5"/>
  <c r="F5163" i="5"/>
  <c r="F5162" i="5"/>
  <c r="F5161" i="5"/>
  <c r="F5160" i="5"/>
  <c r="F5159" i="5"/>
  <c r="F5158" i="5"/>
  <c r="F5157" i="5"/>
  <c r="F5156" i="5"/>
  <c r="F5155" i="5"/>
  <c r="F5154" i="5"/>
  <c r="F5153" i="5"/>
  <c r="F5152" i="5"/>
  <c r="F5151" i="5"/>
  <c r="F5150" i="5"/>
  <c r="F5149" i="5"/>
  <c r="F5148" i="5"/>
  <c r="F5147" i="5"/>
  <c r="F5146" i="5"/>
  <c r="F5145" i="5"/>
  <c r="F5144" i="5"/>
  <c r="F5143" i="5"/>
  <c r="F5142" i="5"/>
  <c r="F5141" i="5"/>
  <c r="F5140" i="5"/>
  <c r="F5139" i="5"/>
  <c r="F5138" i="5"/>
  <c r="F5137" i="5"/>
  <c r="F5136" i="5"/>
  <c r="F5135" i="5"/>
  <c r="F5134" i="5"/>
  <c r="F5133" i="5"/>
  <c r="F5132" i="5"/>
  <c r="F5131" i="5"/>
  <c r="F5130" i="5"/>
  <c r="F5129" i="5"/>
  <c r="F5128" i="5"/>
  <c r="F5127" i="5"/>
  <c r="F5126" i="5"/>
  <c r="F5125" i="5"/>
  <c r="F5124" i="5"/>
  <c r="F5123" i="5"/>
  <c r="F5122" i="5"/>
  <c r="F5121" i="5"/>
  <c r="F5120" i="5"/>
  <c r="F5119" i="5"/>
  <c r="F5118" i="5"/>
  <c r="F5117" i="5"/>
  <c r="F5116" i="5"/>
  <c r="F5115" i="5"/>
  <c r="F5114" i="5"/>
  <c r="F5113" i="5"/>
  <c r="F5112" i="5"/>
  <c r="F5111" i="5"/>
  <c r="F5110" i="5"/>
  <c r="F5109" i="5"/>
  <c r="F5108" i="5"/>
  <c r="F5107" i="5"/>
  <c r="F5106" i="5"/>
  <c r="F5105" i="5"/>
  <c r="F5104" i="5"/>
  <c r="F5103" i="5"/>
  <c r="F5102" i="5"/>
  <c r="F5101" i="5"/>
  <c r="F5100" i="5"/>
  <c r="F5099" i="5"/>
  <c r="F5098" i="5"/>
  <c r="F5097" i="5"/>
  <c r="F5096" i="5"/>
  <c r="F5095" i="5"/>
  <c r="F5094" i="5"/>
  <c r="F5093" i="5"/>
  <c r="F5092" i="5"/>
  <c r="F5091" i="5"/>
  <c r="F5090" i="5"/>
  <c r="F5089" i="5"/>
  <c r="F5088" i="5"/>
  <c r="F5087" i="5"/>
  <c r="F5086" i="5"/>
  <c r="F5085" i="5"/>
  <c r="F5084" i="5"/>
  <c r="F5083" i="5"/>
  <c r="F5082" i="5"/>
  <c r="F5081" i="5"/>
  <c r="F5080" i="5"/>
  <c r="F5079" i="5"/>
  <c r="F5078" i="5"/>
  <c r="F5077" i="5"/>
  <c r="F5076" i="5"/>
  <c r="F5075" i="5"/>
  <c r="F5074" i="5"/>
  <c r="F5073" i="5"/>
  <c r="F5072" i="5"/>
  <c r="F5071" i="5"/>
  <c r="F5070" i="5"/>
  <c r="F5069" i="5"/>
  <c r="F5068" i="5"/>
  <c r="F5067" i="5"/>
  <c r="F5066" i="5"/>
  <c r="F5065" i="5"/>
  <c r="F5064" i="5"/>
  <c r="F5063" i="5"/>
  <c r="F5062" i="5"/>
  <c r="F5061" i="5"/>
  <c r="F5060" i="5"/>
  <c r="F5059" i="5"/>
  <c r="F5058" i="5"/>
  <c r="F5057" i="5"/>
  <c r="F5056" i="5"/>
  <c r="F5055" i="5"/>
  <c r="F5054" i="5"/>
  <c r="F5053" i="5"/>
  <c r="F5052" i="5"/>
  <c r="F5051" i="5"/>
  <c r="F5050" i="5"/>
  <c r="F5049" i="5"/>
  <c r="F5048" i="5"/>
  <c r="F5047" i="5"/>
  <c r="F5046" i="5"/>
  <c r="F5045" i="5"/>
  <c r="F5044" i="5"/>
  <c r="F5043" i="5"/>
  <c r="F5042" i="5"/>
  <c r="F5041" i="5"/>
  <c r="F5040" i="5"/>
  <c r="F5039" i="5"/>
  <c r="F5038" i="5"/>
  <c r="F5037" i="5"/>
  <c r="F5036" i="5"/>
  <c r="F5035" i="5"/>
  <c r="F5034" i="5"/>
  <c r="F5033" i="5"/>
  <c r="F5032" i="5"/>
  <c r="F5031" i="5"/>
  <c r="F5030" i="5"/>
  <c r="F5029" i="5"/>
  <c r="F5028" i="5"/>
  <c r="F5027" i="5"/>
  <c r="F5026" i="5"/>
  <c r="F5025" i="5"/>
  <c r="F5024" i="5"/>
  <c r="F5023" i="5"/>
  <c r="F5022" i="5"/>
  <c r="F5021" i="5"/>
  <c r="F5020" i="5"/>
  <c r="F5019" i="5"/>
  <c r="F5018" i="5"/>
  <c r="F5017" i="5"/>
  <c r="F5016" i="5"/>
  <c r="F5015" i="5"/>
  <c r="F5014" i="5"/>
  <c r="F5013" i="5"/>
  <c r="F5012" i="5"/>
  <c r="F5011" i="5"/>
  <c r="F5010" i="5"/>
  <c r="F5009" i="5"/>
  <c r="F5008" i="5"/>
  <c r="F5007" i="5"/>
  <c r="F5006" i="5"/>
  <c r="F5005" i="5"/>
  <c r="F5004" i="5"/>
  <c r="F5003" i="5"/>
  <c r="F5002" i="5"/>
  <c r="F5001" i="5"/>
  <c r="F5000" i="5"/>
  <c r="F4999" i="5"/>
  <c r="F4998" i="5"/>
  <c r="F4997" i="5"/>
  <c r="F4996" i="5"/>
  <c r="F4995" i="5"/>
  <c r="F4994" i="5"/>
  <c r="F4993" i="5"/>
  <c r="F4992" i="5"/>
  <c r="F4991" i="5"/>
  <c r="F4990" i="5"/>
  <c r="F4989" i="5"/>
  <c r="F4988" i="5"/>
  <c r="F4987" i="5"/>
  <c r="F4986" i="5"/>
  <c r="F4985" i="5"/>
  <c r="F4984" i="5"/>
  <c r="F4983" i="5"/>
  <c r="F4982" i="5"/>
  <c r="F4981" i="5"/>
  <c r="F4980" i="5"/>
  <c r="F4979" i="5"/>
  <c r="F4978" i="5"/>
  <c r="F4977" i="5"/>
  <c r="F4976" i="5"/>
  <c r="F4975" i="5"/>
  <c r="F4974" i="5"/>
  <c r="F4973" i="5"/>
  <c r="F4972" i="5"/>
  <c r="F4971" i="5"/>
  <c r="F4970" i="5"/>
  <c r="F4969" i="5"/>
  <c r="F4968" i="5"/>
  <c r="F4967" i="5"/>
  <c r="F4966" i="5"/>
  <c r="F4965" i="5"/>
  <c r="F4964" i="5"/>
  <c r="F4963" i="5"/>
  <c r="F4962" i="5"/>
  <c r="F4961" i="5"/>
  <c r="F4960" i="5"/>
  <c r="F4959" i="5"/>
  <c r="F4958" i="5"/>
  <c r="F4957" i="5"/>
  <c r="F4956" i="5"/>
  <c r="F4955" i="5"/>
  <c r="F4954" i="5"/>
  <c r="F4953" i="5"/>
  <c r="F4952" i="5"/>
  <c r="F4951" i="5"/>
  <c r="F4950" i="5"/>
  <c r="F4949" i="5"/>
  <c r="F4948" i="5"/>
  <c r="F4947" i="5"/>
  <c r="F4946" i="5"/>
  <c r="F4945" i="5"/>
  <c r="F4944" i="5"/>
  <c r="F4943" i="5"/>
  <c r="F4942" i="5"/>
  <c r="F4941" i="5"/>
  <c r="F4940" i="5"/>
  <c r="F4939" i="5"/>
  <c r="F4938" i="5"/>
  <c r="F4937" i="5"/>
  <c r="F4936" i="5"/>
  <c r="F4935" i="5"/>
  <c r="F4934" i="5"/>
  <c r="F4933" i="5"/>
  <c r="F4932" i="5"/>
  <c r="F4931" i="5"/>
  <c r="F4930" i="5"/>
  <c r="F4929" i="5"/>
  <c r="F4928" i="5"/>
  <c r="F4927" i="5"/>
  <c r="F4926" i="5"/>
  <c r="F4925" i="5"/>
  <c r="F4924" i="5"/>
  <c r="F4923" i="5"/>
  <c r="F4922" i="5"/>
  <c r="F4921" i="5"/>
  <c r="F4920" i="5"/>
  <c r="F4919" i="5"/>
  <c r="F4918" i="5"/>
  <c r="F4917" i="5"/>
  <c r="F4916" i="5"/>
  <c r="F4915" i="5"/>
  <c r="F4914" i="5"/>
  <c r="F4913" i="5"/>
  <c r="F4912" i="5"/>
  <c r="F4911" i="5"/>
  <c r="F4910" i="5"/>
  <c r="F4909" i="5"/>
  <c r="F4908" i="5"/>
  <c r="F4907" i="5"/>
  <c r="F4906" i="5"/>
  <c r="F4905" i="5"/>
  <c r="F4904" i="5"/>
  <c r="F4903" i="5"/>
  <c r="F4902" i="5"/>
  <c r="F4901" i="5"/>
  <c r="F4900" i="5"/>
  <c r="F4899" i="5"/>
  <c r="F4898" i="5"/>
  <c r="F4897" i="5"/>
  <c r="F4896" i="5"/>
  <c r="F4895" i="5"/>
  <c r="F4894" i="5"/>
  <c r="F4893" i="5"/>
  <c r="F4892" i="5"/>
  <c r="F4891" i="5"/>
  <c r="F4890" i="5"/>
  <c r="F4889" i="5"/>
  <c r="F4888" i="5"/>
  <c r="F4887" i="5"/>
  <c r="F4886" i="5"/>
  <c r="F4885" i="5"/>
  <c r="F4884" i="5"/>
  <c r="F4883" i="5"/>
  <c r="F4882" i="5"/>
  <c r="F4881" i="5"/>
  <c r="F4880" i="5"/>
  <c r="F4879" i="5"/>
  <c r="F4878" i="5"/>
  <c r="F4877" i="5"/>
  <c r="F4876" i="5"/>
  <c r="F4875" i="5"/>
  <c r="F4874" i="5"/>
  <c r="F4873" i="5"/>
  <c r="F4872" i="5"/>
  <c r="F4871" i="5"/>
  <c r="F4870" i="5"/>
  <c r="F4869" i="5"/>
  <c r="F4868" i="5"/>
  <c r="F4867" i="5"/>
  <c r="F4866" i="5"/>
  <c r="F4865" i="5"/>
  <c r="F4864" i="5"/>
  <c r="F4863" i="5"/>
  <c r="F4862" i="5"/>
  <c r="F4861" i="5"/>
  <c r="F4860" i="5"/>
  <c r="F4859" i="5"/>
  <c r="F4858" i="5"/>
  <c r="F4857" i="5"/>
  <c r="F4856" i="5"/>
  <c r="F4855" i="5"/>
  <c r="F4854" i="5"/>
  <c r="F4853" i="5"/>
  <c r="F4852" i="5"/>
  <c r="F4851" i="5"/>
  <c r="F4850" i="5"/>
  <c r="F4849" i="5"/>
  <c r="F4848" i="5"/>
  <c r="F4847" i="5"/>
  <c r="F4846" i="5"/>
  <c r="F4845" i="5"/>
  <c r="F4844" i="5"/>
  <c r="F4843" i="5"/>
  <c r="F4842" i="5"/>
  <c r="F4841" i="5"/>
  <c r="F4840" i="5"/>
  <c r="F4839" i="5"/>
  <c r="F4838" i="5"/>
  <c r="F4837" i="5"/>
  <c r="F4836" i="5"/>
  <c r="F4835" i="5"/>
  <c r="F4834" i="5"/>
  <c r="F4833" i="5"/>
  <c r="F4832" i="5"/>
  <c r="F4831" i="5"/>
  <c r="F4830" i="5"/>
  <c r="F4829" i="5"/>
  <c r="F4828" i="5"/>
  <c r="F4827" i="5"/>
  <c r="F4826" i="5"/>
  <c r="F4825" i="5"/>
  <c r="F4824" i="5"/>
  <c r="F4823" i="5"/>
  <c r="F4822" i="5"/>
  <c r="F4821" i="5"/>
  <c r="F4820" i="5"/>
  <c r="F4819" i="5"/>
  <c r="F4818" i="5"/>
  <c r="F4817" i="5"/>
  <c r="F4816" i="5"/>
  <c r="F4815" i="5"/>
  <c r="F4814" i="5"/>
  <c r="F4813" i="5"/>
  <c r="F4812" i="5"/>
  <c r="F4811" i="5"/>
  <c r="F4810" i="5"/>
  <c r="F4809" i="5"/>
  <c r="F4808" i="5"/>
  <c r="F4807" i="5"/>
  <c r="F4806" i="5"/>
  <c r="F4805" i="5"/>
  <c r="F4804" i="5"/>
  <c r="F4803" i="5"/>
  <c r="F4802" i="5"/>
  <c r="F4801" i="5"/>
  <c r="F4800" i="5"/>
  <c r="F4799" i="5"/>
  <c r="F4798" i="5"/>
  <c r="F4797" i="5"/>
  <c r="F4796" i="5"/>
  <c r="F4795" i="5"/>
  <c r="F4794" i="5"/>
  <c r="F4793" i="5"/>
  <c r="F4792" i="5"/>
  <c r="F4791" i="5"/>
  <c r="F4790" i="5"/>
  <c r="F4789" i="5"/>
  <c r="F4788" i="5"/>
  <c r="F4787" i="5"/>
  <c r="F4786" i="5"/>
  <c r="F4785" i="5"/>
  <c r="F4784" i="5"/>
  <c r="F4783" i="5"/>
  <c r="F4782" i="5"/>
  <c r="F4781" i="5"/>
  <c r="F4780" i="5"/>
  <c r="F4779" i="5"/>
  <c r="F4778" i="5"/>
  <c r="F4777" i="5"/>
  <c r="F4776" i="5"/>
  <c r="F4775" i="5"/>
  <c r="F4774" i="5"/>
  <c r="F4773" i="5"/>
  <c r="F4772" i="5"/>
  <c r="F4771" i="5"/>
  <c r="F4770" i="5"/>
  <c r="F4769" i="5"/>
  <c r="F4768" i="5"/>
  <c r="F4767" i="5"/>
  <c r="F4766" i="5"/>
  <c r="F4765" i="5"/>
  <c r="F4764" i="5"/>
  <c r="F4763" i="5"/>
  <c r="F4762" i="5"/>
  <c r="F4761" i="5"/>
  <c r="F4760" i="5"/>
  <c r="F4759" i="5"/>
  <c r="F4758" i="5"/>
  <c r="F4757" i="5"/>
  <c r="F4756" i="5"/>
  <c r="F4755" i="5"/>
  <c r="F4754" i="5"/>
  <c r="F4753" i="5"/>
  <c r="F4752" i="5"/>
  <c r="F4751" i="5"/>
  <c r="F4750" i="5"/>
  <c r="F4749" i="5"/>
  <c r="F4748" i="5"/>
  <c r="F4747" i="5"/>
  <c r="F4746" i="5"/>
  <c r="F4745" i="5"/>
  <c r="F4744" i="5"/>
  <c r="F4743" i="5"/>
  <c r="F4742" i="5"/>
  <c r="F4741" i="5"/>
  <c r="F4740" i="5"/>
  <c r="F4739" i="5"/>
  <c r="F4738" i="5"/>
  <c r="F4737" i="5"/>
  <c r="F4736" i="5"/>
  <c r="F4735" i="5"/>
  <c r="F4734" i="5"/>
  <c r="F4733" i="5"/>
  <c r="F4732" i="5"/>
  <c r="F4731" i="5"/>
  <c r="F4730" i="5"/>
  <c r="F4729" i="5"/>
  <c r="F4728" i="5"/>
  <c r="F4727" i="5"/>
  <c r="F4726" i="5"/>
  <c r="F4725" i="5"/>
  <c r="F4724" i="5"/>
  <c r="F4723" i="5"/>
  <c r="F4722" i="5"/>
  <c r="F4721" i="5"/>
  <c r="F4720" i="5"/>
  <c r="F4719" i="5"/>
  <c r="F4718" i="5"/>
  <c r="F4717" i="5"/>
  <c r="F4716" i="5"/>
  <c r="F4715" i="5"/>
  <c r="F4714" i="5"/>
  <c r="F4713" i="5"/>
  <c r="F4712" i="5"/>
  <c r="F4711" i="5"/>
  <c r="F4710" i="5"/>
  <c r="F4709" i="5"/>
  <c r="F4708" i="5"/>
  <c r="F4707" i="5"/>
  <c r="F4706" i="5"/>
  <c r="F4705" i="5"/>
  <c r="F4704" i="5"/>
  <c r="F4703" i="5"/>
  <c r="F4702" i="5"/>
  <c r="F4701" i="5"/>
  <c r="F4700" i="5"/>
  <c r="F4699" i="5"/>
  <c r="F4698" i="5"/>
  <c r="F4697" i="5"/>
  <c r="F4696" i="5"/>
  <c r="F4695" i="5"/>
  <c r="F4694" i="5"/>
  <c r="F4693" i="5"/>
  <c r="F4692" i="5"/>
  <c r="F4691" i="5"/>
  <c r="F4690" i="5"/>
  <c r="F4689" i="5"/>
  <c r="F4688" i="5"/>
  <c r="F4687" i="5"/>
  <c r="F4686" i="5"/>
  <c r="F4685" i="5"/>
  <c r="F4684" i="5"/>
  <c r="F4683" i="5"/>
  <c r="F4682" i="5"/>
  <c r="F4681" i="5"/>
  <c r="F4680" i="5"/>
  <c r="F4679" i="5"/>
  <c r="F4678" i="5"/>
  <c r="F4677" i="5"/>
  <c r="F4676" i="5"/>
  <c r="F4675" i="5"/>
  <c r="F4674" i="5"/>
  <c r="F4673" i="5"/>
  <c r="F4672" i="5"/>
  <c r="F4671" i="5"/>
  <c r="F4670" i="5"/>
  <c r="F4669" i="5"/>
  <c r="F4668" i="5"/>
  <c r="F4667" i="5"/>
  <c r="F4666" i="5"/>
  <c r="F4665" i="5"/>
  <c r="F4664" i="5"/>
  <c r="F4663" i="5"/>
  <c r="F4662" i="5"/>
  <c r="F4661" i="5"/>
  <c r="F4660" i="5"/>
  <c r="F4659" i="5"/>
  <c r="F4658" i="5"/>
  <c r="F4657" i="5"/>
  <c r="F4656" i="5"/>
  <c r="F4655" i="5"/>
  <c r="F4654" i="5"/>
  <c r="F4653" i="5"/>
  <c r="F4652" i="5"/>
  <c r="F4651" i="5"/>
  <c r="F4650" i="5"/>
  <c r="F4649" i="5"/>
  <c r="F4648" i="5"/>
  <c r="F4647" i="5"/>
  <c r="F4646" i="5"/>
  <c r="F4645" i="5"/>
  <c r="F4644" i="5"/>
  <c r="F4643" i="5"/>
  <c r="F4642" i="5"/>
  <c r="F4641" i="5"/>
  <c r="F4640" i="5"/>
  <c r="F4639" i="5"/>
  <c r="F4638" i="5"/>
  <c r="F4637" i="5"/>
  <c r="F4636" i="5"/>
  <c r="F4635" i="5"/>
  <c r="F4634" i="5"/>
  <c r="F4633" i="5"/>
  <c r="F4632" i="5"/>
  <c r="F4631" i="5"/>
  <c r="F4630" i="5"/>
  <c r="F4629" i="5"/>
  <c r="F4628" i="5"/>
  <c r="F4627" i="5"/>
  <c r="F4626" i="5"/>
  <c r="F4625" i="5"/>
  <c r="F4624" i="5"/>
  <c r="F4623" i="5"/>
  <c r="F4622" i="5"/>
  <c r="F4621" i="5"/>
  <c r="F4620" i="5"/>
  <c r="F4619" i="5"/>
  <c r="F4618" i="5"/>
  <c r="F4617" i="5"/>
  <c r="F4616" i="5"/>
  <c r="F4615" i="5"/>
  <c r="F4614" i="5"/>
  <c r="F4613" i="5"/>
  <c r="F4612" i="5"/>
  <c r="F4611" i="5"/>
  <c r="F4610" i="5"/>
  <c r="F4609" i="5"/>
  <c r="F4608" i="5"/>
  <c r="F4607" i="5"/>
  <c r="F4606" i="5"/>
  <c r="F4605" i="5"/>
  <c r="F4604" i="5"/>
  <c r="F4603" i="5"/>
  <c r="F4602" i="5"/>
  <c r="F4601" i="5"/>
  <c r="F4600" i="5"/>
  <c r="F4599" i="5"/>
  <c r="F4598" i="5"/>
  <c r="F4597" i="5"/>
  <c r="F4596" i="5"/>
  <c r="F4595" i="5"/>
  <c r="F4594" i="5"/>
  <c r="F4593" i="5"/>
  <c r="F4592" i="5"/>
  <c r="F4591" i="5"/>
  <c r="F4590" i="5"/>
  <c r="F4589" i="5"/>
  <c r="F4588" i="5"/>
  <c r="F4587" i="5"/>
  <c r="F4586" i="5"/>
  <c r="F4585" i="5"/>
  <c r="F4584" i="5"/>
  <c r="F4583" i="5"/>
  <c r="F4582" i="5"/>
  <c r="F4581" i="5"/>
  <c r="F4580" i="5"/>
  <c r="F4579" i="5"/>
  <c r="F4578" i="5"/>
  <c r="F4577" i="5"/>
  <c r="F4576" i="5"/>
  <c r="F4575" i="5"/>
  <c r="F4574" i="5"/>
  <c r="F4573" i="5"/>
  <c r="F4572" i="5"/>
  <c r="F4571" i="5"/>
  <c r="F4570" i="5"/>
  <c r="F4569" i="5"/>
  <c r="F4568" i="5"/>
  <c r="F4567" i="5"/>
  <c r="F4566" i="5"/>
  <c r="F4565" i="5"/>
  <c r="F4564" i="5"/>
  <c r="F4563" i="5"/>
  <c r="F4562" i="5"/>
  <c r="F4561" i="5"/>
  <c r="F4560" i="5"/>
  <c r="F4559" i="5"/>
  <c r="F4558" i="5"/>
  <c r="F4557" i="5"/>
  <c r="F4556" i="5"/>
  <c r="F4555" i="5"/>
  <c r="F4554" i="5"/>
  <c r="F4553" i="5"/>
  <c r="F4552" i="5"/>
  <c r="F4551" i="5"/>
  <c r="F4550" i="5"/>
  <c r="F4549" i="5"/>
  <c r="F4548" i="5"/>
  <c r="F4547" i="5"/>
  <c r="F4546" i="5"/>
  <c r="F4545" i="5"/>
  <c r="F4544" i="5"/>
  <c r="F4543" i="5"/>
  <c r="F4542" i="5"/>
  <c r="F4541" i="5"/>
  <c r="F4540" i="5"/>
  <c r="F4539" i="5"/>
  <c r="F4538" i="5"/>
  <c r="F4537" i="5"/>
  <c r="F4536" i="5"/>
  <c r="F4535" i="5"/>
  <c r="F4534" i="5"/>
  <c r="F4533" i="5"/>
  <c r="F4532" i="5"/>
  <c r="F4531" i="5"/>
  <c r="F4530" i="5"/>
  <c r="F4529" i="5"/>
  <c r="F4528" i="5"/>
  <c r="F4527" i="5"/>
  <c r="F4526" i="5"/>
  <c r="F4525" i="5"/>
  <c r="F4524" i="5"/>
  <c r="F4523" i="5"/>
  <c r="F4522" i="5"/>
  <c r="F4521" i="5"/>
  <c r="F4520" i="5"/>
  <c r="F4519" i="5"/>
  <c r="F4518" i="5"/>
  <c r="F4517" i="5"/>
  <c r="F4516" i="5"/>
  <c r="F4515" i="5"/>
  <c r="F4514" i="5"/>
  <c r="F4513" i="5"/>
  <c r="F4512" i="5"/>
  <c r="F4511" i="5"/>
  <c r="F4510" i="5"/>
  <c r="F4509" i="5"/>
  <c r="F4508" i="5"/>
  <c r="F4507" i="5"/>
  <c r="F4506" i="5"/>
  <c r="F4505" i="5"/>
  <c r="F4504" i="5"/>
  <c r="F4503" i="5"/>
  <c r="F4502" i="5"/>
  <c r="F4501" i="5"/>
  <c r="F4500" i="5"/>
  <c r="F4499" i="5"/>
  <c r="F4498" i="5"/>
  <c r="F4497" i="5"/>
  <c r="F4496" i="5"/>
  <c r="F4495" i="5"/>
  <c r="F4494" i="5"/>
  <c r="F4493" i="5"/>
  <c r="F4492" i="5"/>
  <c r="F4491" i="5"/>
  <c r="F4490" i="5"/>
  <c r="F4489" i="5"/>
  <c r="F4488" i="5"/>
  <c r="F4487" i="5"/>
  <c r="F4486" i="5"/>
  <c r="F4485" i="5"/>
  <c r="F4484" i="5"/>
  <c r="F4483" i="5"/>
  <c r="F4482" i="5"/>
  <c r="F4481" i="5"/>
  <c r="F4480" i="5"/>
  <c r="F4479" i="5"/>
  <c r="F4478" i="5"/>
  <c r="F4477" i="5"/>
  <c r="F4476" i="5"/>
  <c r="F4475" i="5"/>
  <c r="F4474" i="5"/>
  <c r="F4473" i="5"/>
  <c r="F4472" i="5"/>
  <c r="F4471" i="5"/>
  <c r="F4470" i="5"/>
  <c r="F4469" i="5"/>
  <c r="F4468" i="5"/>
  <c r="F4467" i="5"/>
  <c r="F4466" i="5"/>
  <c r="F4465" i="5"/>
  <c r="F4464" i="5"/>
  <c r="F4463" i="5"/>
  <c r="F4462" i="5"/>
  <c r="F4461" i="5"/>
  <c r="F4460" i="5"/>
  <c r="F4459" i="5"/>
  <c r="F4458" i="5"/>
  <c r="F4457" i="5"/>
  <c r="F4456" i="5"/>
  <c r="F4455" i="5"/>
  <c r="F4454" i="5"/>
  <c r="F4453" i="5"/>
  <c r="F4452" i="5"/>
  <c r="F4451" i="5"/>
  <c r="F4450" i="5"/>
  <c r="F4449" i="5"/>
  <c r="F4448" i="5"/>
  <c r="F4447" i="5"/>
  <c r="F4446" i="5"/>
  <c r="F4445" i="5"/>
  <c r="F4444" i="5"/>
  <c r="F4443" i="5"/>
  <c r="F4442" i="5"/>
  <c r="F4441" i="5"/>
  <c r="F4440" i="5"/>
  <c r="F4439" i="5"/>
  <c r="F4438" i="5"/>
  <c r="F4437" i="5"/>
  <c r="F4436" i="5"/>
  <c r="F4435" i="5"/>
  <c r="F4434" i="5"/>
  <c r="F4433" i="5"/>
  <c r="F4432" i="5"/>
  <c r="F4431" i="5"/>
  <c r="F4430" i="5"/>
  <c r="F4429" i="5"/>
  <c r="F4428" i="5"/>
  <c r="F4427" i="5"/>
  <c r="F4426" i="5"/>
  <c r="F4425" i="5"/>
  <c r="F4424" i="5"/>
  <c r="F4423" i="5"/>
  <c r="F4422" i="5"/>
  <c r="F4421" i="5"/>
  <c r="F4420" i="5"/>
  <c r="F4419" i="5"/>
  <c r="F4418" i="5"/>
  <c r="F4417" i="5"/>
  <c r="F4416" i="5"/>
  <c r="F4415" i="5"/>
  <c r="F4414" i="5"/>
  <c r="F4413" i="5"/>
  <c r="F4412" i="5"/>
  <c r="F4411" i="5"/>
  <c r="F4410" i="5"/>
  <c r="F4409" i="5"/>
  <c r="F4408" i="5"/>
  <c r="F4407" i="5"/>
  <c r="F4406" i="5"/>
  <c r="F4405" i="5"/>
  <c r="F4404" i="5"/>
  <c r="F4403" i="5"/>
  <c r="F4402" i="5"/>
  <c r="F4401" i="5"/>
  <c r="F4400" i="5"/>
  <c r="F4399" i="5"/>
  <c r="F4398" i="5"/>
  <c r="F4397" i="5"/>
  <c r="F4396" i="5"/>
  <c r="F4395" i="5"/>
  <c r="F4394" i="5"/>
  <c r="F4393" i="5"/>
  <c r="F4392" i="5"/>
  <c r="F4391" i="5"/>
  <c r="F4390" i="5"/>
  <c r="F4389" i="5"/>
  <c r="F4388" i="5"/>
  <c r="F4387" i="5"/>
  <c r="F4386" i="5"/>
  <c r="F4385" i="5"/>
  <c r="F4384" i="5"/>
  <c r="F4383" i="5"/>
  <c r="F4382" i="5"/>
  <c r="F4381" i="5"/>
  <c r="F4380" i="5"/>
  <c r="F4379" i="5"/>
  <c r="F4378" i="5"/>
  <c r="F4377" i="5"/>
  <c r="F4376" i="5"/>
  <c r="F4375" i="5"/>
  <c r="F4374" i="5"/>
  <c r="F4373" i="5"/>
  <c r="F4372" i="5"/>
  <c r="F4371" i="5"/>
  <c r="F4370" i="5"/>
  <c r="F4369" i="5"/>
  <c r="F4368" i="5"/>
  <c r="F4367" i="5"/>
  <c r="F4366" i="5"/>
  <c r="F4365" i="5"/>
  <c r="F4364" i="5"/>
  <c r="F4363" i="5"/>
  <c r="F4362" i="5"/>
  <c r="F4361" i="5"/>
  <c r="F4360" i="5"/>
  <c r="F4359" i="5"/>
  <c r="F4358" i="5"/>
  <c r="F4357" i="5"/>
  <c r="F4356" i="5"/>
  <c r="F4355" i="5"/>
  <c r="F4354" i="5"/>
  <c r="F4353" i="5"/>
  <c r="F4352" i="5"/>
  <c r="F4351" i="5"/>
  <c r="F4350" i="5"/>
  <c r="F4349" i="5"/>
  <c r="F4348" i="5"/>
  <c r="F4347" i="5"/>
  <c r="F4346" i="5"/>
  <c r="F4345" i="5"/>
  <c r="F4344" i="5"/>
  <c r="F4343" i="5"/>
  <c r="F4342" i="5"/>
  <c r="F4341" i="5"/>
  <c r="F4340" i="5"/>
  <c r="F4339" i="5"/>
  <c r="F4338" i="5"/>
  <c r="F4337" i="5"/>
  <c r="F4336" i="5"/>
  <c r="F4335" i="5"/>
  <c r="F4334" i="5"/>
  <c r="F4333" i="5"/>
  <c r="F4332" i="5"/>
  <c r="F4331" i="5"/>
  <c r="F4330" i="5"/>
  <c r="F4329" i="5"/>
  <c r="F4328" i="5"/>
  <c r="F4327" i="5"/>
  <c r="F4326" i="5"/>
  <c r="F4325" i="5"/>
  <c r="F4324" i="5"/>
  <c r="F4323" i="5"/>
  <c r="F4322" i="5"/>
  <c r="F4321" i="5"/>
  <c r="F4320" i="5"/>
  <c r="F4319" i="5"/>
  <c r="F4318" i="5"/>
  <c r="F4317" i="5"/>
  <c r="F4316" i="5"/>
  <c r="F4315" i="5"/>
  <c r="F4314" i="5"/>
  <c r="F4313" i="5"/>
  <c r="F4312" i="5"/>
  <c r="F4311" i="5"/>
  <c r="F4310" i="5"/>
  <c r="F4309" i="5"/>
  <c r="F4308" i="5"/>
  <c r="F4307" i="5"/>
  <c r="F4306" i="5"/>
  <c r="F4305" i="5"/>
  <c r="F4304" i="5"/>
  <c r="F4303" i="5"/>
  <c r="F4302" i="5"/>
  <c r="F4301" i="5"/>
  <c r="F4300" i="5"/>
  <c r="F4299" i="5"/>
  <c r="F4298" i="5"/>
  <c r="F4297" i="5"/>
  <c r="F4296" i="5"/>
  <c r="F4295" i="5"/>
  <c r="F4294" i="5"/>
  <c r="F4293" i="5"/>
  <c r="F4292" i="5"/>
  <c r="F4291" i="5"/>
  <c r="F4290" i="5"/>
  <c r="F4289" i="5"/>
  <c r="F4288" i="5"/>
  <c r="F4287" i="5"/>
  <c r="F4286" i="5"/>
  <c r="F4285" i="5"/>
  <c r="F4284" i="5"/>
  <c r="F4283" i="5"/>
  <c r="F4282" i="5"/>
  <c r="F4281" i="5"/>
  <c r="F4280" i="5"/>
  <c r="F4279" i="5"/>
  <c r="F4278" i="5"/>
  <c r="F4277" i="5"/>
  <c r="F4276" i="5"/>
  <c r="F4275" i="5"/>
  <c r="F4274" i="5"/>
  <c r="F4273" i="5"/>
  <c r="F4272" i="5"/>
  <c r="F4271" i="5"/>
  <c r="F4270" i="5"/>
  <c r="F4269" i="5"/>
  <c r="F4268" i="5"/>
  <c r="F4267" i="5"/>
  <c r="F4266" i="5"/>
  <c r="F4265" i="5"/>
  <c r="F4264" i="5"/>
  <c r="F4263" i="5"/>
  <c r="F4262" i="5"/>
  <c r="F4261" i="5"/>
  <c r="F4260" i="5"/>
  <c r="F4259" i="5"/>
  <c r="F4258" i="5"/>
  <c r="F4257" i="5"/>
  <c r="F4256" i="5"/>
  <c r="F4255" i="5"/>
  <c r="F4254" i="5"/>
  <c r="F4253" i="5"/>
  <c r="F4252" i="5"/>
  <c r="F4251" i="5"/>
  <c r="F4250" i="5"/>
  <c r="F4249" i="5"/>
  <c r="F4248" i="5"/>
  <c r="F4247" i="5"/>
  <c r="F4246" i="5"/>
  <c r="F4245" i="5"/>
  <c r="F4244" i="5"/>
  <c r="F4243" i="5"/>
  <c r="F4242" i="5"/>
  <c r="F4241" i="5"/>
  <c r="F4240" i="5"/>
  <c r="F4239" i="5"/>
  <c r="F4238" i="5"/>
  <c r="F4237" i="5"/>
  <c r="F4236" i="5"/>
  <c r="F4235" i="5"/>
  <c r="F4234" i="5"/>
  <c r="F4233" i="5"/>
  <c r="F4232" i="5"/>
  <c r="F4231" i="5"/>
  <c r="F4230" i="5"/>
  <c r="F4229" i="5"/>
  <c r="F4228" i="5"/>
  <c r="F4227" i="5"/>
  <c r="F4226" i="5"/>
  <c r="F4225" i="5"/>
  <c r="F4224" i="5"/>
  <c r="F4223" i="5"/>
  <c r="F4222" i="5"/>
  <c r="F4221" i="5"/>
  <c r="F4220" i="5"/>
  <c r="F4219" i="5"/>
  <c r="F4218" i="5"/>
  <c r="F4217" i="5"/>
  <c r="F4216" i="5"/>
  <c r="F4215" i="5"/>
  <c r="F4214" i="5"/>
  <c r="F4213" i="5"/>
  <c r="F4212" i="5"/>
  <c r="F4211" i="5"/>
  <c r="F4210" i="5"/>
  <c r="F4209" i="5"/>
  <c r="F4208" i="5"/>
  <c r="F4207" i="5"/>
  <c r="F4206" i="5"/>
  <c r="F4205" i="5"/>
  <c r="F4204" i="5"/>
  <c r="F4203" i="5"/>
  <c r="F4202" i="5"/>
  <c r="F4201" i="5"/>
  <c r="F4200" i="5"/>
  <c r="F4199" i="5"/>
  <c r="F4198" i="5"/>
  <c r="F4197" i="5"/>
  <c r="F4196" i="5"/>
  <c r="F4195" i="5"/>
  <c r="F4194" i="5"/>
  <c r="F4193" i="5"/>
  <c r="F4192" i="5"/>
  <c r="F4191" i="5"/>
  <c r="F4190" i="5"/>
  <c r="F4189" i="5"/>
  <c r="F4188" i="5"/>
  <c r="F4187" i="5"/>
  <c r="F4186" i="5"/>
  <c r="F4185" i="5"/>
  <c r="F4184" i="5"/>
  <c r="F4183" i="5"/>
  <c r="F4182" i="5"/>
  <c r="F4181" i="5"/>
  <c r="F4180" i="5"/>
  <c r="F4179" i="5"/>
  <c r="F4178" i="5"/>
  <c r="F4177" i="5"/>
  <c r="F4176" i="5"/>
  <c r="F4175" i="5"/>
  <c r="F4174" i="5"/>
  <c r="F4173" i="5"/>
  <c r="F4172" i="5"/>
  <c r="F4171" i="5"/>
  <c r="F4170" i="5"/>
  <c r="F4169" i="5"/>
  <c r="F4168" i="5"/>
  <c r="F4167" i="5"/>
  <c r="F4166" i="5"/>
  <c r="F4165" i="5"/>
  <c r="F4164" i="5"/>
  <c r="F4163" i="5"/>
  <c r="F4162" i="5"/>
  <c r="F4161" i="5"/>
  <c r="F4160" i="5"/>
  <c r="F4159" i="5"/>
  <c r="F4158" i="5"/>
  <c r="F4157" i="5"/>
  <c r="F4156" i="5"/>
  <c r="F4155" i="5"/>
  <c r="F4154" i="5"/>
  <c r="F4153" i="5"/>
  <c r="F4152" i="5"/>
  <c r="F4151" i="5"/>
  <c r="F4150" i="5"/>
  <c r="F4149" i="5"/>
  <c r="F4148" i="5"/>
  <c r="F4147" i="5"/>
  <c r="F4146" i="5"/>
  <c r="F4145" i="5"/>
  <c r="F4144" i="5"/>
  <c r="F4143" i="5"/>
  <c r="F4142" i="5"/>
  <c r="F4141" i="5"/>
  <c r="F4140" i="5"/>
  <c r="F4139" i="5"/>
  <c r="F4138" i="5"/>
  <c r="F4137" i="5"/>
  <c r="F4136" i="5"/>
  <c r="F4135" i="5"/>
  <c r="F4134" i="5"/>
  <c r="F4133" i="5"/>
  <c r="F4132" i="5"/>
  <c r="F4131" i="5"/>
  <c r="F4130" i="5"/>
  <c r="F4129" i="5"/>
  <c r="F4128" i="5"/>
  <c r="F4127" i="5"/>
  <c r="F4126" i="5"/>
  <c r="F4125" i="5"/>
  <c r="F4124" i="5"/>
  <c r="F4123" i="5"/>
  <c r="F4122" i="5"/>
  <c r="F4121" i="5"/>
  <c r="F4120" i="5"/>
  <c r="F4119" i="5"/>
  <c r="F4118" i="5"/>
  <c r="F4117" i="5"/>
  <c r="F4116" i="5"/>
  <c r="F4115" i="5"/>
  <c r="F4114" i="5"/>
  <c r="F4113" i="5"/>
  <c r="F4112" i="5"/>
  <c r="F4111" i="5"/>
  <c r="F4110" i="5"/>
  <c r="F4109" i="5"/>
  <c r="F4108" i="5"/>
  <c r="F4107" i="5"/>
  <c r="F4106" i="5"/>
  <c r="F4105" i="5"/>
  <c r="F4104" i="5"/>
  <c r="F4103" i="5"/>
  <c r="F4102" i="5"/>
  <c r="F4101" i="5"/>
  <c r="F4100" i="5"/>
  <c r="F4099" i="5"/>
  <c r="F4098" i="5"/>
  <c r="F4097" i="5"/>
  <c r="F4096" i="5"/>
  <c r="F4095" i="5"/>
  <c r="F4094" i="5"/>
  <c r="F4093" i="5"/>
  <c r="F4092" i="5"/>
  <c r="F4091" i="5"/>
  <c r="F4090" i="5"/>
  <c r="F4089" i="5"/>
  <c r="F4088" i="5"/>
  <c r="F4087" i="5"/>
  <c r="F4086" i="5"/>
  <c r="F4085" i="5"/>
  <c r="F4084" i="5"/>
  <c r="F4083" i="5"/>
  <c r="F4082" i="5"/>
  <c r="F4081" i="5"/>
  <c r="F4080" i="5"/>
  <c r="F4079" i="5"/>
  <c r="F4078" i="5"/>
  <c r="F4077" i="5"/>
  <c r="F4076" i="5"/>
  <c r="F4075" i="5"/>
  <c r="F4074" i="5"/>
  <c r="F4073" i="5"/>
  <c r="F4072" i="5"/>
  <c r="F4071" i="5"/>
  <c r="F4070" i="5"/>
  <c r="F4069" i="5"/>
  <c r="F4068" i="5"/>
  <c r="F4067" i="5"/>
  <c r="F4066" i="5"/>
  <c r="F4065" i="5"/>
  <c r="F4064" i="5"/>
  <c r="F4063" i="5"/>
  <c r="F4062" i="5"/>
  <c r="F4061" i="5"/>
  <c r="F4060" i="5"/>
  <c r="F4059" i="5"/>
  <c r="F4058" i="5"/>
  <c r="F4057" i="5"/>
  <c r="F4056" i="5"/>
  <c r="F4055" i="5"/>
  <c r="F4054" i="5"/>
  <c r="F4053" i="5"/>
  <c r="F4052" i="5"/>
  <c r="F4051" i="5"/>
  <c r="F4050" i="5"/>
  <c r="F4049" i="5"/>
  <c r="F4048" i="5"/>
  <c r="F4047" i="5"/>
  <c r="F4046" i="5"/>
  <c r="F4045" i="5"/>
  <c r="F4044" i="5"/>
  <c r="F4043" i="5"/>
  <c r="F4042" i="5"/>
  <c r="F4041" i="5"/>
  <c r="F4040" i="5"/>
  <c r="F4039" i="5"/>
  <c r="F4038" i="5"/>
  <c r="F4037" i="5"/>
  <c r="F4036" i="5"/>
  <c r="F4035" i="5"/>
  <c r="F4034" i="5"/>
  <c r="F4033" i="5"/>
  <c r="F4032" i="5"/>
  <c r="F4031" i="5"/>
  <c r="F4030" i="5"/>
  <c r="F4029" i="5"/>
  <c r="F4028" i="5"/>
  <c r="F4027" i="5"/>
  <c r="F4026" i="5"/>
  <c r="F4025" i="5"/>
  <c r="F4024" i="5"/>
  <c r="F4023" i="5"/>
  <c r="F4022" i="5"/>
  <c r="F4021" i="5"/>
  <c r="F4020" i="5"/>
  <c r="F4019" i="5"/>
  <c r="F4018" i="5"/>
  <c r="F4017" i="5"/>
  <c r="F4016" i="5"/>
  <c r="F4015" i="5"/>
  <c r="F4014" i="5"/>
  <c r="F4013" i="5"/>
  <c r="F4012" i="5"/>
  <c r="F4011" i="5"/>
  <c r="F4010" i="5"/>
  <c r="F4009" i="5"/>
  <c r="F4008" i="5"/>
  <c r="F4007" i="5"/>
  <c r="F4006" i="5"/>
  <c r="F4005" i="5"/>
  <c r="F4004" i="5"/>
  <c r="F4003" i="5"/>
  <c r="F4002" i="5"/>
  <c r="F4001" i="5"/>
  <c r="F4000" i="5"/>
  <c r="F3999" i="5"/>
  <c r="F3998" i="5"/>
  <c r="F3997" i="5"/>
  <c r="F3996" i="5"/>
  <c r="F3995" i="5"/>
  <c r="F3994" i="5"/>
  <c r="F3993" i="5"/>
  <c r="F3992" i="5"/>
  <c r="F3991" i="5"/>
  <c r="F3990" i="5"/>
  <c r="F3989" i="5"/>
  <c r="F3988" i="5"/>
  <c r="F3987" i="5"/>
  <c r="F3986" i="5"/>
  <c r="F3985" i="5"/>
  <c r="F3984" i="5"/>
  <c r="F3983" i="5"/>
  <c r="F3982" i="5"/>
  <c r="F3981" i="5"/>
  <c r="F3980" i="5"/>
  <c r="F3979" i="5"/>
  <c r="F3978" i="5"/>
  <c r="F3977" i="5"/>
  <c r="F3976" i="5"/>
  <c r="F3975" i="5"/>
  <c r="F3974" i="5"/>
  <c r="F3973" i="5"/>
  <c r="F3972" i="5"/>
  <c r="F3971" i="5"/>
  <c r="F3970" i="5"/>
  <c r="F3969" i="5"/>
  <c r="F3968" i="5"/>
  <c r="F3967" i="5"/>
  <c r="F3966" i="5"/>
  <c r="F3965" i="5"/>
  <c r="F3964" i="5"/>
  <c r="F3963" i="5"/>
  <c r="F3962" i="5"/>
  <c r="F3961" i="5"/>
  <c r="F3960" i="5"/>
  <c r="F3959" i="5"/>
  <c r="F3958" i="5"/>
  <c r="F3957" i="5"/>
  <c r="F3956" i="5"/>
  <c r="F3955" i="5"/>
  <c r="F3954" i="5"/>
  <c r="F3953" i="5"/>
  <c r="F3952" i="5"/>
  <c r="F3951" i="5"/>
  <c r="F3950" i="5"/>
  <c r="F3949" i="5"/>
  <c r="F3948" i="5"/>
  <c r="F3947" i="5"/>
  <c r="F3946" i="5"/>
  <c r="F3945" i="5"/>
  <c r="F3944" i="5"/>
  <c r="F3943" i="5"/>
  <c r="F3942" i="5"/>
  <c r="F3941" i="5"/>
  <c r="F3940" i="5"/>
  <c r="F3939" i="5"/>
  <c r="F3938" i="5"/>
  <c r="F3937" i="5"/>
  <c r="F3936" i="5"/>
  <c r="F3935" i="5"/>
  <c r="F3934" i="5"/>
  <c r="F3933" i="5"/>
  <c r="F3932" i="5"/>
  <c r="F3931" i="5"/>
  <c r="F3930" i="5"/>
  <c r="F3929" i="5"/>
  <c r="F3928" i="5"/>
  <c r="F3927" i="5"/>
  <c r="F3926" i="5"/>
  <c r="F3925" i="5"/>
  <c r="F3924" i="5"/>
  <c r="F3923" i="5"/>
  <c r="F3922" i="5"/>
  <c r="F3921" i="5"/>
  <c r="F3920" i="5"/>
  <c r="F3919" i="5"/>
  <c r="F3918" i="5"/>
  <c r="F3917" i="5"/>
  <c r="F3916" i="5"/>
  <c r="F3915" i="5"/>
  <c r="F3914" i="5"/>
  <c r="F3913" i="5"/>
  <c r="F3912" i="5"/>
  <c r="F3911" i="5"/>
  <c r="F3910" i="5"/>
  <c r="F3909" i="5"/>
  <c r="F3908" i="5"/>
  <c r="F3907" i="5"/>
  <c r="F3906" i="5"/>
  <c r="F3905" i="5"/>
  <c r="F3904" i="5"/>
  <c r="F3903" i="5"/>
  <c r="F3902" i="5"/>
  <c r="F3901" i="5"/>
  <c r="F3900" i="5"/>
  <c r="F3899" i="5"/>
  <c r="F3898" i="5"/>
  <c r="F3897" i="5"/>
  <c r="F3896" i="5"/>
  <c r="F3895" i="5"/>
  <c r="F3894" i="5"/>
  <c r="F3893" i="5"/>
  <c r="F3892" i="5"/>
  <c r="F3891" i="5"/>
  <c r="F3890" i="5"/>
  <c r="F3889" i="5"/>
  <c r="F3888" i="5"/>
  <c r="F3887" i="5"/>
  <c r="F3886" i="5"/>
  <c r="F3885" i="5"/>
  <c r="F3884" i="5"/>
  <c r="F3883" i="5"/>
  <c r="F3882" i="5"/>
  <c r="F3881" i="5"/>
  <c r="F3880" i="5"/>
  <c r="F3879" i="5"/>
  <c r="F3878" i="5"/>
  <c r="F3877" i="5"/>
  <c r="F3876" i="5"/>
  <c r="F3875" i="5"/>
  <c r="F3874" i="5"/>
  <c r="F3873" i="5"/>
  <c r="F3872" i="5"/>
  <c r="F3871" i="5"/>
  <c r="F3870" i="5"/>
  <c r="F3869" i="5"/>
  <c r="F3868" i="5"/>
  <c r="F3867" i="5"/>
  <c r="F3866" i="5"/>
  <c r="F3865" i="5"/>
  <c r="F3864" i="5"/>
  <c r="F3863" i="5"/>
  <c r="F3862" i="5"/>
  <c r="F3861" i="5"/>
  <c r="F3860" i="5"/>
  <c r="F3859" i="5"/>
  <c r="F3858" i="5"/>
  <c r="F3857" i="5"/>
  <c r="F3856" i="5"/>
  <c r="F3855" i="5"/>
  <c r="F3854" i="5"/>
  <c r="F3853" i="5"/>
  <c r="F3852" i="5"/>
  <c r="F3851" i="5"/>
  <c r="F3850" i="5"/>
  <c r="F3849" i="5"/>
  <c r="F3848" i="5"/>
  <c r="F3847" i="5"/>
  <c r="F3846" i="5"/>
  <c r="F3845" i="5"/>
  <c r="F3844" i="5"/>
  <c r="F3843" i="5"/>
  <c r="F3842" i="5"/>
  <c r="F3841" i="5"/>
  <c r="F3840" i="5"/>
  <c r="F3839" i="5"/>
  <c r="F3838" i="5"/>
  <c r="F3837" i="5"/>
  <c r="F3836" i="5"/>
  <c r="F3835" i="5"/>
  <c r="F3834" i="5"/>
  <c r="F3833" i="5"/>
  <c r="F3832" i="5"/>
  <c r="F3831" i="5"/>
  <c r="F3830" i="5"/>
  <c r="F3829" i="5"/>
  <c r="F3828" i="5"/>
  <c r="F3827" i="5"/>
  <c r="F3826" i="5"/>
  <c r="F3825" i="5"/>
  <c r="F3824" i="5"/>
  <c r="F3823" i="5"/>
  <c r="F3822" i="5"/>
  <c r="F3821" i="5"/>
  <c r="F3820" i="5"/>
  <c r="F3819" i="5"/>
  <c r="F3818" i="5"/>
  <c r="F3817" i="5"/>
  <c r="F3816" i="5"/>
  <c r="F3815" i="5"/>
  <c r="F3814" i="5"/>
  <c r="F3813" i="5"/>
  <c r="F3812" i="5"/>
  <c r="F3811" i="5"/>
  <c r="F3810" i="5"/>
  <c r="F3809" i="5"/>
  <c r="F3808" i="5"/>
  <c r="F3807" i="5"/>
  <c r="F3806" i="5"/>
  <c r="F3805" i="5"/>
  <c r="F3804" i="5"/>
  <c r="F3803" i="5"/>
  <c r="F3802" i="5"/>
  <c r="F3801" i="5"/>
  <c r="F3800" i="5"/>
  <c r="F3799" i="5"/>
  <c r="F3798" i="5"/>
  <c r="F3797" i="5"/>
  <c r="F3796" i="5"/>
  <c r="F3795" i="5"/>
  <c r="F3794" i="5"/>
  <c r="F3793" i="5"/>
  <c r="F3792" i="5"/>
  <c r="F3791" i="5"/>
  <c r="F3790" i="5"/>
  <c r="F3789" i="5"/>
  <c r="F3788" i="5"/>
  <c r="F3787" i="5"/>
  <c r="F3786" i="5"/>
  <c r="F3785" i="5"/>
  <c r="F3784" i="5"/>
  <c r="F3783" i="5"/>
  <c r="F3782" i="5"/>
  <c r="F3781" i="5"/>
  <c r="F3780" i="5"/>
  <c r="F3779" i="5"/>
  <c r="F3778" i="5"/>
  <c r="F3777" i="5"/>
  <c r="F3776" i="5"/>
  <c r="F3775" i="5"/>
  <c r="F3774" i="5"/>
  <c r="F3773" i="5"/>
  <c r="F3772" i="5"/>
  <c r="F3771" i="5"/>
  <c r="F3770" i="5"/>
  <c r="F3769" i="5"/>
  <c r="F3768" i="5"/>
  <c r="F3767" i="5"/>
  <c r="F3766" i="5"/>
  <c r="F3765" i="5"/>
  <c r="F3764" i="5"/>
  <c r="F3763" i="5"/>
  <c r="F3762" i="5"/>
  <c r="F3761" i="5"/>
  <c r="F3760" i="5"/>
  <c r="F3759" i="5"/>
  <c r="F3758" i="5"/>
  <c r="F3757" i="5"/>
  <c r="F3756" i="5"/>
  <c r="F3755" i="5"/>
  <c r="F3754" i="5"/>
  <c r="F3753" i="5"/>
  <c r="F3752" i="5"/>
  <c r="F3751" i="5"/>
  <c r="F3750" i="5"/>
  <c r="F3749" i="5"/>
  <c r="F3748" i="5"/>
  <c r="F3747" i="5"/>
  <c r="F3746" i="5"/>
  <c r="F3745" i="5"/>
  <c r="F3744" i="5"/>
  <c r="F3743" i="5"/>
  <c r="F3742" i="5"/>
  <c r="F3741" i="5"/>
  <c r="F3740" i="5"/>
  <c r="F3739" i="5"/>
  <c r="F3738" i="5"/>
  <c r="F3737" i="5"/>
  <c r="F3736" i="5"/>
  <c r="F3735" i="5"/>
  <c r="F3734" i="5"/>
  <c r="F3733" i="5"/>
  <c r="F3732" i="5"/>
  <c r="F3731" i="5"/>
  <c r="F3730" i="5"/>
  <c r="F3729" i="5"/>
  <c r="F3728" i="5"/>
  <c r="F3727" i="5"/>
  <c r="F3726" i="5"/>
  <c r="F3725" i="5"/>
  <c r="F3724" i="5"/>
  <c r="F3723" i="5"/>
  <c r="F3722" i="5"/>
  <c r="F3721" i="5"/>
  <c r="F3720" i="5"/>
  <c r="F3719" i="5"/>
  <c r="F3718" i="5"/>
  <c r="F3717" i="5"/>
  <c r="F3716" i="5"/>
  <c r="F3715" i="5"/>
  <c r="F3714" i="5"/>
  <c r="F3713" i="5"/>
  <c r="F3712" i="5"/>
  <c r="F3711" i="5"/>
  <c r="F3710" i="5"/>
  <c r="F3709" i="5"/>
  <c r="F3708" i="5"/>
  <c r="F3707" i="5"/>
  <c r="F3706" i="5"/>
  <c r="F3705" i="5"/>
  <c r="F3704" i="5"/>
  <c r="F3703" i="5"/>
  <c r="F3702" i="5"/>
  <c r="F3701" i="5"/>
  <c r="F3700" i="5"/>
  <c r="F3699" i="5"/>
  <c r="F3698" i="5"/>
  <c r="F3697" i="5"/>
  <c r="F3696" i="5"/>
  <c r="F3695" i="5"/>
  <c r="F3694" i="5"/>
  <c r="F3693" i="5"/>
  <c r="F3692" i="5"/>
  <c r="F3691" i="5"/>
  <c r="F3690" i="5"/>
  <c r="F3689" i="5"/>
  <c r="F3688" i="5"/>
  <c r="F3687" i="5"/>
  <c r="F3686" i="5"/>
  <c r="F3685" i="5"/>
  <c r="F3684" i="5"/>
  <c r="F3683" i="5"/>
  <c r="F3682" i="5"/>
  <c r="F3681" i="5"/>
  <c r="F3680" i="5"/>
  <c r="F3679" i="5"/>
  <c r="F3678" i="5"/>
  <c r="F3677" i="5"/>
  <c r="F3676" i="5"/>
  <c r="F3675" i="5"/>
  <c r="F3674" i="5"/>
  <c r="F3673" i="5"/>
  <c r="F3672" i="5"/>
  <c r="F3671" i="5"/>
  <c r="F3670" i="5"/>
  <c r="F3669" i="5"/>
  <c r="F3668" i="5"/>
  <c r="F3667" i="5"/>
  <c r="F3666" i="5"/>
  <c r="F3665" i="5"/>
  <c r="F3664" i="5"/>
  <c r="F3663" i="5"/>
  <c r="F3662" i="5"/>
  <c r="F3661" i="5"/>
  <c r="F3660" i="5"/>
  <c r="F3659" i="5"/>
  <c r="F3658" i="5"/>
  <c r="F3657" i="5"/>
  <c r="F3656" i="5"/>
  <c r="F3655" i="5"/>
  <c r="F3654" i="5"/>
  <c r="F3653" i="5"/>
  <c r="F3652" i="5"/>
  <c r="F3651" i="5"/>
  <c r="F3650" i="5"/>
  <c r="F3649" i="5"/>
  <c r="F3648" i="5"/>
  <c r="F3647" i="5"/>
  <c r="F3646" i="5"/>
  <c r="F3645" i="5"/>
  <c r="F3644" i="5"/>
  <c r="F3643" i="5"/>
  <c r="F3642" i="5"/>
  <c r="F3641" i="5"/>
  <c r="F3640" i="5"/>
  <c r="F3639" i="5"/>
  <c r="F3638" i="5"/>
  <c r="F3637" i="5"/>
  <c r="F3636" i="5"/>
  <c r="F3635" i="5"/>
  <c r="F3634" i="5"/>
  <c r="F3633" i="5"/>
  <c r="F3632" i="5"/>
  <c r="F3631" i="5"/>
  <c r="F3630" i="5"/>
  <c r="F3629" i="5"/>
  <c r="F3628" i="5"/>
  <c r="F3627" i="5"/>
  <c r="F3626" i="5"/>
  <c r="F3625" i="5"/>
  <c r="F3624" i="5"/>
  <c r="F3623" i="5"/>
  <c r="F3622" i="5"/>
  <c r="F3621" i="5"/>
  <c r="F3620" i="5"/>
  <c r="F3619" i="5"/>
  <c r="F3618" i="5"/>
  <c r="F3617" i="5"/>
  <c r="F3616" i="5"/>
  <c r="F3615" i="5"/>
  <c r="F3614" i="5"/>
  <c r="F3613" i="5"/>
  <c r="F3612" i="5"/>
  <c r="F3611" i="5"/>
  <c r="F3610" i="5"/>
  <c r="F3609" i="5"/>
  <c r="F3608" i="5"/>
  <c r="F3607" i="5"/>
  <c r="F3606" i="5"/>
  <c r="F3605" i="5"/>
  <c r="F3604" i="5"/>
  <c r="F3603" i="5"/>
  <c r="F3602" i="5"/>
  <c r="F3601" i="5"/>
  <c r="F3600" i="5"/>
  <c r="F3599" i="5"/>
  <c r="F3598" i="5"/>
  <c r="F3597" i="5"/>
  <c r="F3596" i="5"/>
  <c r="F3595" i="5"/>
  <c r="F3594" i="5"/>
  <c r="F3593" i="5"/>
  <c r="F3592" i="5"/>
  <c r="F3591" i="5"/>
  <c r="F3590" i="5"/>
  <c r="F3589" i="5"/>
  <c r="F3588" i="5"/>
  <c r="F3587" i="5"/>
  <c r="F3586" i="5"/>
  <c r="F3585" i="5"/>
  <c r="F3584" i="5"/>
  <c r="F3583" i="5"/>
  <c r="F3582" i="5"/>
  <c r="F3581" i="5"/>
  <c r="F3580" i="5"/>
  <c r="F3579" i="5"/>
  <c r="F3578" i="5"/>
  <c r="F3577" i="5"/>
  <c r="F3576" i="5"/>
  <c r="F3575" i="5"/>
  <c r="F3574" i="5"/>
  <c r="F3573" i="5"/>
  <c r="F3572" i="5"/>
  <c r="F3571" i="5"/>
  <c r="F3570" i="5"/>
  <c r="F3569" i="5"/>
  <c r="F3568" i="5"/>
  <c r="F3567" i="5"/>
  <c r="F3566" i="5"/>
  <c r="F3565" i="5"/>
  <c r="F3564" i="5"/>
  <c r="F3563" i="5"/>
  <c r="F3562" i="5"/>
  <c r="F3561" i="5"/>
  <c r="F3560" i="5"/>
  <c r="F3559" i="5"/>
  <c r="F3558" i="5"/>
  <c r="F3557" i="5"/>
  <c r="F3556" i="5"/>
  <c r="F3555" i="5"/>
  <c r="F3554" i="5"/>
  <c r="F3553" i="5"/>
  <c r="F3552" i="5"/>
  <c r="F3551" i="5"/>
  <c r="F3550" i="5"/>
  <c r="F3549" i="5"/>
  <c r="F3548" i="5"/>
  <c r="F3547" i="5"/>
  <c r="F3546" i="5"/>
  <c r="F3545" i="5"/>
  <c r="F3544" i="5"/>
  <c r="F3543" i="5"/>
  <c r="F3542" i="5"/>
  <c r="F3541" i="5"/>
  <c r="F3540" i="5"/>
  <c r="F3539" i="5"/>
  <c r="F3538" i="5"/>
  <c r="F3537" i="5"/>
  <c r="F3536" i="5"/>
  <c r="F3535" i="5"/>
  <c r="F3534" i="5"/>
  <c r="F3533" i="5"/>
  <c r="F3532" i="5"/>
  <c r="F3531" i="5"/>
  <c r="F3530" i="5"/>
  <c r="F3529" i="5"/>
  <c r="F3528" i="5"/>
  <c r="F3527" i="5"/>
  <c r="F3526" i="5"/>
  <c r="F3525" i="5"/>
  <c r="F3524" i="5"/>
  <c r="F3523" i="5"/>
  <c r="F3522" i="5"/>
  <c r="F3521" i="5"/>
  <c r="F3520" i="5"/>
  <c r="F3519" i="5"/>
  <c r="F3518" i="5"/>
  <c r="F3517" i="5"/>
  <c r="F3516" i="5"/>
  <c r="F3515" i="5"/>
  <c r="F3514" i="5"/>
  <c r="F3513" i="5"/>
  <c r="F3512" i="5"/>
  <c r="F3511" i="5"/>
  <c r="F3510" i="5"/>
  <c r="F3509" i="5"/>
  <c r="F3508" i="5"/>
  <c r="F3507" i="5"/>
  <c r="F3506" i="5"/>
  <c r="F3505" i="5"/>
  <c r="F3504" i="5"/>
  <c r="F3503" i="5"/>
  <c r="F3502" i="5"/>
  <c r="F3501" i="5"/>
  <c r="F3500" i="5"/>
  <c r="F3499" i="5"/>
  <c r="F3498" i="5"/>
  <c r="F3497" i="5"/>
  <c r="F3496" i="5"/>
  <c r="F3495" i="5"/>
  <c r="F3494" i="5"/>
  <c r="F3493" i="5"/>
  <c r="F3492" i="5"/>
  <c r="F3491" i="5"/>
  <c r="F3490" i="5"/>
  <c r="F3489" i="5"/>
  <c r="F3488" i="5"/>
  <c r="F3487" i="5"/>
  <c r="F3486" i="5"/>
  <c r="F3485" i="5"/>
  <c r="F3484" i="5"/>
  <c r="F3483" i="5"/>
  <c r="F3482" i="5"/>
  <c r="F3481" i="5"/>
  <c r="F3480" i="5"/>
  <c r="F3479" i="5"/>
  <c r="F3478" i="5"/>
  <c r="F3477" i="5"/>
  <c r="F3476" i="5"/>
  <c r="F3475" i="5"/>
  <c r="F3474" i="5"/>
  <c r="F3473" i="5"/>
  <c r="F3472" i="5"/>
  <c r="F3471" i="5"/>
  <c r="F3470" i="5"/>
  <c r="F3469" i="5"/>
  <c r="F3468" i="5"/>
  <c r="F3467" i="5"/>
  <c r="F3466" i="5"/>
  <c r="F3465" i="5"/>
  <c r="F3464" i="5"/>
  <c r="F3463" i="5"/>
  <c r="F3462" i="5"/>
  <c r="F3461" i="5"/>
  <c r="F3460" i="5"/>
  <c r="F3459" i="5"/>
  <c r="F3458" i="5"/>
  <c r="F3457" i="5"/>
  <c r="F3456" i="5"/>
  <c r="F3455" i="5"/>
  <c r="F3454" i="5"/>
  <c r="F3453" i="5"/>
  <c r="F3452" i="5"/>
  <c r="F3451" i="5"/>
  <c r="F3450" i="5"/>
  <c r="F3449" i="5"/>
  <c r="F3448" i="5"/>
  <c r="F3447" i="5"/>
  <c r="F3446" i="5"/>
  <c r="F3445" i="5"/>
  <c r="F3444" i="5"/>
  <c r="F3443" i="5"/>
  <c r="F3442" i="5"/>
  <c r="F3441" i="5"/>
  <c r="F3440" i="5"/>
  <c r="F3439" i="5"/>
  <c r="F3438" i="5"/>
  <c r="F3437" i="5"/>
  <c r="F3436" i="5"/>
  <c r="F3435" i="5"/>
  <c r="F3434" i="5"/>
  <c r="F3433" i="5"/>
  <c r="F3432" i="5"/>
  <c r="F3431" i="5"/>
  <c r="F3430" i="5"/>
  <c r="F3429" i="5"/>
  <c r="F3428" i="5"/>
  <c r="F3427" i="5"/>
  <c r="F3426" i="5"/>
  <c r="F3425" i="5"/>
  <c r="F3424" i="5"/>
  <c r="F3423" i="5"/>
  <c r="F3422" i="5"/>
  <c r="F3421" i="5"/>
  <c r="F3420" i="5"/>
  <c r="F3419" i="5"/>
  <c r="F3418" i="5"/>
  <c r="F3417" i="5"/>
  <c r="F3416" i="5"/>
  <c r="F3415" i="5"/>
  <c r="F3414" i="5"/>
  <c r="F3413" i="5"/>
  <c r="F3412" i="5"/>
  <c r="F3411" i="5"/>
  <c r="F3410" i="5"/>
  <c r="F3409" i="5"/>
  <c r="F3408" i="5"/>
  <c r="F3407" i="5"/>
  <c r="F3406" i="5"/>
  <c r="F3405" i="5"/>
  <c r="F3404" i="5"/>
  <c r="F3403" i="5"/>
  <c r="F3402" i="5"/>
  <c r="F3401" i="5"/>
  <c r="F3400" i="5"/>
  <c r="F3399" i="5"/>
  <c r="F3398" i="5"/>
  <c r="F3397" i="5"/>
  <c r="F3396" i="5"/>
  <c r="F3395" i="5"/>
  <c r="F3394" i="5"/>
  <c r="F3393" i="5"/>
  <c r="F3392" i="5"/>
  <c r="F3391" i="5"/>
  <c r="F3390" i="5"/>
  <c r="F3389" i="5"/>
  <c r="F3388" i="5"/>
  <c r="F3387" i="5"/>
  <c r="F3386" i="5"/>
  <c r="F3385" i="5"/>
  <c r="F3384" i="5"/>
  <c r="F3383" i="5"/>
  <c r="F3382" i="5"/>
  <c r="F3381" i="5"/>
  <c r="F3380" i="5"/>
  <c r="F3379" i="5"/>
  <c r="F3378" i="5"/>
  <c r="F3377" i="5"/>
  <c r="F3376" i="5"/>
  <c r="F3375" i="5"/>
  <c r="F3374" i="5"/>
  <c r="F3373" i="5"/>
  <c r="F3372" i="5"/>
  <c r="F3371" i="5"/>
  <c r="F3370" i="5"/>
  <c r="F3369" i="5"/>
  <c r="F3368" i="5"/>
  <c r="F3367" i="5"/>
  <c r="F3366" i="5"/>
  <c r="F3365" i="5"/>
  <c r="F3364" i="5"/>
  <c r="F3363" i="5"/>
  <c r="F3362" i="5"/>
  <c r="F3361" i="5"/>
  <c r="F3360" i="5"/>
  <c r="F3359" i="5"/>
  <c r="F3358" i="5"/>
  <c r="F3357" i="5"/>
  <c r="F3356" i="5"/>
  <c r="F3355" i="5"/>
  <c r="F3354" i="5"/>
  <c r="F3353" i="5"/>
  <c r="F3352" i="5"/>
  <c r="F3351" i="5"/>
  <c r="F3350" i="5"/>
  <c r="F3349" i="5"/>
  <c r="F3348" i="5"/>
  <c r="F3347" i="5"/>
  <c r="F3346" i="5"/>
  <c r="F3345" i="5"/>
  <c r="F3344" i="5"/>
  <c r="F3343" i="5"/>
  <c r="F3342" i="5"/>
  <c r="F3341" i="5"/>
  <c r="F3340" i="5"/>
  <c r="F3339" i="5"/>
  <c r="F3338" i="5"/>
  <c r="F3337" i="5"/>
  <c r="F3336" i="5"/>
  <c r="F3335" i="5"/>
  <c r="F3334" i="5"/>
  <c r="F3333" i="5"/>
  <c r="F3332" i="5"/>
  <c r="F3331" i="5"/>
  <c r="F3330" i="5"/>
  <c r="F3329" i="5"/>
  <c r="F3328" i="5"/>
  <c r="F3327" i="5"/>
  <c r="F3326" i="5"/>
  <c r="F3325" i="5"/>
  <c r="F3324" i="5"/>
  <c r="F3323" i="5"/>
  <c r="F3322" i="5"/>
  <c r="F3321" i="5"/>
  <c r="F3320" i="5"/>
  <c r="F3319" i="5"/>
  <c r="F3318" i="5"/>
  <c r="F3317" i="5"/>
  <c r="F3316" i="5"/>
  <c r="F3315" i="5"/>
  <c r="F3314" i="5"/>
  <c r="F3313" i="5"/>
  <c r="F3312" i="5"/>
  <c r="F3311" i="5"/>
  <c r="F3310" i="5"/>
  <c r="F3309" i="5"/>
  <c r="F3308" i="5"/>
  <c r="F3307" i="5"/>
  <c r="F3306" i="5"/>
  <c r="F3305" i="5"/>
  <c r="F3304" i="5"/>
  <c r="F3303" i="5"/>
  <c r="F3302" i="5"/>
  <c r="F3301" i="5"/>
  <c r="F3300" i="5"/>
  <c r="F3299" i="5"/>
  <c r="F3298" i="5"/>
  <c r="F3297" i="5"/>
  <c r="F3296" i="5"/>
  <c r="F3295" i="5"/>
  <c r="F3294" i="5"/>
  <c r="F3293" i="5"/>
  <c r="F3292" i="5"/>
  <c r="F3291" i="5"/>
  <c r="F3290" i="5"/>
  <c r="F3289" i="5"/>
  <c r="F3288" i="5"/>
  <c r="F3287" i="5"/>
  <c r="F3286" i="5"/>
  <c r="F3285" i="5"/>
  <c r="F3284" i="5"/>
  <c r="F3283" i="5"/>
  <c r="F3282" i="5"/>
  <c r="F3281" i="5"/>
  <c r="F3280" i="5"/>
  <c r="F3279" i="5"/>
  <c r="F3278" i="5"/>
  <c r="F3277" i="5"/>
  <c r="F3276" i="5"/>
  <c r="F3275" i="5"/>
  <c r="F3274" i="5"/>
  <c r="F3273" i="5"/>
  <c r="F3272" i="5"/>
  <c r="F3271" i="5"/>
  <c r="F3270" i="5"/>
  <c r="F3269" i="5"/>
  <c r="F3268" i="5"/>
  <c r="F3267" i="5"/>
  <c r="F3266" i="5"/>
  <c r="F3265" i="5"/>
  <c r="F3264" i="5"/>
  <c r="F3263" i="5"/>
  <c r="F3262" i="5"/>
  <c r="F3261" i="5"/>
  <c r="F3260" i="5"/>
  <c r="F3259" i="5"/>
  <c r="F3258" i="5"/>
  <c r="F3257" i="5"/>
  <c r="F3256" i="5"/>
  <c r="F3255" i="5"/>
  <c r="F3254" i="5"/>
  <c r="F3253" i="5"/>
  <c r="F3252" i="5"/>
  <c r="F3251" i="5"/>
  <c r="F3250" i="5"/>
  <c r="F3249" i="5"/>
  <c r="F3248" i="5"/>
  <c r="F3247" i="5"/>
  <c r="F3246" i="5"/>
  <c r="F3245" i="5"/>
  <c r="F3244" i="5"/>
  <c r="F3243" i="5"/>
  <c r="F3242" i="5"/>
  <c r="F3241" i="5"/>
  <c r="F3240" i="5"/>
  <c r="F3239" i="5"/>
  <c r="F3238" i="5"/>
  <c r="F3237" i="5"/>
  <c r="F3236" i="5"/>
  <c r="F3235" i="5"/>
  <c r="F3234" i="5"/>
  <c r="F3233" i="5"/>
  <c r="F3232" i="5"/>
  <c r="F3231" i="5"/>
  <c r="F3230" i="5"/>
  <c r="F3229" i="5"/>
  <c r="F3228" i="5"/>
  <c r="F3227" i="5"/>
  <c r="F3226" i="5"/>
  <c r="F3225" i="5"/>
  <c r="F3224" i="5"/>
  <c r="F3223" i="5"/>
  <c r="F3222" i="5"/>
  <c r="F3221" i="5"/>
  <c r="F3220" i="5"/>
  <c r="F3219" i="5"/>
  <c r="F3218" i="5"/>
  <c r="F3217" i="5"/>
  <c r="F3216" i="5"/>
  <c r="F3215" i="5"/>
  <c r="F3214" i="5"/>
  <c r="F3213" i="5"/>
  <c r="F3212" i="5"/>
  <c r="F3211" i="5"/>
  <c r="F3210" i="5"/>
  <c r="F3209" i="5"/>
  <c r="F3208" i="5"/>
  <c r="F3207" i="5"/>
  <c r="F3206" i="5"/>
  <c r="F3205" i="5"/>
  <c r="F3204" i="5"/>
  <c r="F3203" i="5"/>
  <c r="F3202" i="5"/>
  <c r="F3201" i="5"/>
  <c r="F3200" i="5"/>
  <c r="F3199" i="5"/>
  <c r="F3198" i="5"/>
  <c r="F3197" i="5"/>
  <c r="F3196" i="5"/>
  <c r="F3195" i="5"/>
  <c r="F3194" i="5"/>
  <c r="F3193" i="5"/>
  <c r="F3192" i="5"/>
  <c r="F3191" i="5"/>
  <c r="F3190" i="5"/>
  <c r="F3189" i="5"/>
  <c r="F3188" i="5"/>
  <c r="F3187" i="5"/>
  <c r="F3186" i="5"/>
  <c r="F3185" i="5"/>
  <c r="F3184" i="5"/>
  <c r="F3183" i="5"/>
  <c r="F3182" i="5"/>
  <c r="F3181" i="5"/>
  <c r="F3180" i="5"/>
  <c r="F3179" i="5"/>
  <c r="F3178" i="5"/>
  <c r="F3177" i="5"/>
  <c r="F3176" i="5"/>
  <c r="F3175" i="5"/>
  <c r="F3174" i="5"/>
  <c r="F3173" i="5"/>
  <c r="F3172" i="5"/>
  <c r="F3171" i="5"/>
  <c r="F3170" i="5"/>
  <c r="F3169" i="5"/>
  <c r="F3168" i="5"/>
  <c r="F3167" i="5"/>
  <c r="F3166" i="5"/>
  <c r="F3165" i="5"/>
  <c r="F3164" i="5"/>
  <c r="F3163" i="5"/>
  <c r="F3162" i="5"/>
  <c r="F3161" i="5"/>
  <c r="F3160" i="5"/>
  <c r="F3159" i="5"/>
  <c r="F3158" i="5"/>
  <c r="F3157" i="5"/>
  <c r="F3156" i="5"/>
  <c r="F3155" i="5"/>
  <c r="F3154" i="5"/>
  <c r="F3153" i="5"/>
  <c r="F3152" i="5"/>
  <c r="F3151" i="5"/>
  <c r="F3150" i="5"/>
  <c r="F3149" i="5"/>
  <c r="F3148" i="5"/>
  <c r="F3147" i="5"/>
  <c r="F3146" i="5"/>
  <c r="F3145" i="5"/>
  <c r="F3144" i="5"/>
  <c r="F3143" i="5"/>
  <c r="F3142" i="5"/>
  <c r="F3141" i="5"/>
  <c r="F3140" i="5"/>
  <c r="F3139" i="5"/>
  <c r="F3138" i="5"/>
  <c r="F3137" i="5"/>
  <c r="F3136" i="5"/>
  <c r="F3135" i="5"/>
  <c r="F3134" i="5"/>
  <c r="F3133" i="5"/>
  <c r="F3132" i="5"/>
  <c r="F3131" i="5"/>
  <c r="F3130" i="5"/>
  <c r="F3129" i="5"/>
  <c r="F3128" i="5"/>
  <c r="F3127" i="5"/>
  <c r="F3126" i="5"/>
  <c r="F3125" i="5"/>
  <c r="F3124" i="5"/>
  <c r="F3123" i="5"/>
  <c r="F3122" i="5"/>
  <c r="F3121" i="5"/>
  <c r="F3120" i="5"/>
  <c r="F3119" i="5"/>
  <c r="F3118" i="5"/>
  <c r="F3117" i="5"/>
  <c r="F3116" i="5"/>
  <c r="F3115" i="5"/>
  <c r="F3114" i="5"/>
  <c r="F3113" i="5"/>
  <c r="F3112" i="5"/>
  <c r="F3111" i="5"/>
  <c r="F3110" i="5"/>
  <c r="F3109" i="5"/>
  <c r="F3108" i="5"/>
  <c r="F3107" i="5"/>
  <c r="F3106" i="5"/>
  <c r="F3105" i="5"/>
  <c r="F3104" i="5"/>
  <c r="F3103" i="5"/>
  <c r="F3102" i="5"/>
  <c r="F3101" i="5"/>
  <c r="F3100" i="5"/>
  <c r="F3099" i="5"/>
  <c r="F3098" i="5"/>
  <c r="F3097" i="5"/>
  <c r="F3096" i="5"/>
  <c r="F3095" i="5"/>
  <c r="F3094" i="5"/>
  <c r="F3093" i="5"/>
  <c r="F3092" i="5"/>
  <c r="F3091" i="5"/>
  <c r="F3090" i="5"/>
  <c r="F3089" i="5"/>
  <c r="F3088" i="5"/>
  <c r="F3087" i="5"/>
  <c r="F3086" i="5"/>
  <c r="F3085" i="5"/>
  <c r="F3084" i="5"/>
  <c r="F3083" i="5"/>
  <c r="F3082" i="5"/>
  <c r="F3081" i="5"/>
  <c r="F3080" i="5"/>
  <c r="F3079" i="5"/>
  <c r="F3078" i="5"/>
  <c r="F3077" i="5"/>
  <c r="F3076" i="5"/>
  <c r="F3075" i="5"/>
  <c r="F3074" i="5"/>
  <c r="F3073" i="5"/>
  <c r="F3072" i="5"/>
  <c r="F3071" i="5"/>
  <c r="F3070" i="5"/>
  <c r="F3069" i="5"/>
  <c r="F3068" i="5"/>
  <c r="F3067" i="5"/>
  <c r="F3066" i="5"/>
  <c r="F3065" i="5"/>
  <c r="F3064" i="5"/>
  <c r="F3063" i="5"/>
  <c r="F3062" i="5"/>
  <c r="F3061" i="5"/>
  <c r="F3060" i="5"/>
  <c r="F3059" i="5"/>
  <c r="F3058" i="5"/>
  <c r="F3057" i="5"/>
  <c r="F3056" i="5"/>
  <c r="F3055" i="5"/>
  <c r="F3054" i="5"/>
  <c r="F3053" i="5"/>
  <c r="F3052" i="5"/>
  <c r="F3051" i="5"/>
  <c r="F3050" i="5"/>
  <c r="F3049" i="5"/>
  <c r="F3048" i="5"/>
  <c r="F3047" i="5"/>
  <c r="F3046" i="5"/>
  <c r="F3045" i="5"/>
  <c r="F3044" i="5"/>
  <c r="F3043" i="5"/>
  <c r="F3042" i="5"/>
  <c r="F3041" i="5"/>
  <c r="F3040" i="5"/>
  <c r="F3039" i="5"/>
  <c r="F3038" i="5"/>
  <c r="F3037" i="5"/>
  <c r="F3036" i="5"/>
  <c r="F3035" i="5"/>
  <c r="F3034" i="5"/>
  <c r="F3033" i="5"/>
  <c r="F3032" i="5"/>
  <c r="F3031" i="5"/>
  <c r="F3030" i="5"/>
  <c r="F3029" i="5"/>
  <c r="F3028" i="5"/>
  <c r="F3027" i="5"/>
  <c r="F3026" i="5"/>
  <c r="F3025" i="5"/>
  <c r="F3024" i="5"/>
  <c r="F3023" i="5"/>
  <c r="F3022" i="5"/>
  <c r="F3021" i="5"/>
  <c r="F3020" i="5"/>
  <c r="F3019" i="5"/>
  <c r="F3018" i="5"/>
  <c r="F3017" i="5"/>
  <c r="F3016" i="5"/>
  <c r="F3015" i="5"/>
  <c r="F3014" i="5"/>
  <c r="F3013" i="5"/>
  <c r="F3012" i="5"/>
  <c r="F3011" i="5"/>
  <c r="F3010" i="5"/>
  <c r="F3009" i="5"/>
  <c r="F3008" i="5"/>
  <c r="F3007" i="5"/>
  <c r="F3006" i="5"/>
  <c r="F3005" i="5"/>
  <c r="F3004" i="5"/>
  <c r="F3003" i="5"/>
  <c r="F3002" i="5"/>
  <c r="F3001" i="5"/>
  <c r="F3000" i="5"/>
  <c r="F2999" i="5"/>
  <c r="F2998" i="5"/>
  <c r="F2997" i="5"/>
  <c r="F2996" i="5"/>
  <c r="F2995" i="5"/>
  <c r="F2994" i="5"/>
  <c r="F2993" i="5"/>
  <c r="F2992" i="5"/>
  <c r="F2991" i="5"/>
  <c r="F2990" i="5"/>
  <c r="F2989" i="5"/>
  <c r="F2988" i="5"/>
  <c r="F2987" i="5"/>
  <c r="F2986" i="5"/>
  <c r="F2985" i="5"/>
  <c r="F2984" i="5"/>
  <c r="F2983" i="5"/>
  <c r="F2982" i="5"/>
  <c r="F2981" i="5"/>
  <c r="F2980" i="5"/>
  <c r="F2979" i="5"/>
  <c r="F2978" i="5"/>
  <c r="F2977" i="5"/>
  <c r="F2976" i="5"/>
  <c r="F2975" i="5"/>
  <c r="F2974" i="5"/>
  <c r="F2973" i="5"/>
  <c r="F2972" i="5"/>
  <c r="F2971" i="5"/>
  <c r="F2970" i="5"/>
  <c r="F2969" i="5"/>
  <c r="F2968" i="5"/>
  <c r="F2967" i="5"/>
  <c r="F2966" i="5"/>
  <c r="F2965" i="5"/>
  <c r="F2964" i="5"/>
  <c r="F2963" i="5"/>
  <c r="F2962" i="5"/>
  <c r="F2961" i="5"/>
  <c r="F2960" i="5"/>
  <c r="F2959" i="5"/>
  <c r="F2958" i="5"/>
  <c r="F2957" i="5"/>
  <c r="F2956" i="5"/>
  <c r="F2955" i="5"/>
  <c r="F2954" i="5"/>
  <c r="F2953" i="5"/>
  <c r="F2952" i="5"/>
  <c r="F2951" i="5"/>
  <c r="F2950" i="5"/>
  <c r="F2949" i="5"/>
  <c r="F2948" i="5"/>
  <c r="F2947" i="5"/>
  <c r="F2946" i="5"/>
  <c r="F2945" i="5"/>
  <c r="F2944" i="5"/>
  <c r="F2943" i="5"/>
  <c r="F2942" i="5"/>
  <c r="F2941" i="5"/>
  <c r="F2940" i="5"/>
  <c r="F2939" i="5"/>
  <c r="F2938" i="5"/>
  <c r="F2937" i="5"/>
  <c r="F2936" i="5"/>
  <c r="F2935" i="5"/>
  <c r="F2934" i="5"/>
  <c r="F2933" i="5"/>
  <c r="F2932" i="5"/>
  <c r="F2931" i="5"/>
  <c r="F2930" i="5"/>
  <c r="F2929" i="5"/>
  <c r="F2928" i="5"/>
  <c r="F2927" i="5"/>
  <c r="F2926" i="5"/>
  <c r="F2925" i="5"/>
  <c r="F2924" i="5"/>
  <c r="F2923" i="5"/>
  <c r="F2922" i="5"/>
  <c r="F2921" i="5"/>
  <c r="F2920" i="5"/>
  <c r="F2919" i="5"/>
  <c r="F2918" i="5"/>
  <c r="F2917" i="5"/>
  <c r="F2916" i="5"/>
  <c r="F2915" i="5"/>
  <c r="F2914" i="5"/>
  <c r="F2913" i="5"/>
  <c r="F2912" i="5"/>
  <c r="F2911" i="5"/>
  <c r="F2910" i="5"/>
  <c r="F2909" i="5"/>
  <c r="F2908" i="5"/>
  <c r="F2907" i="5"/>
  <c r="F2906" i="5"/>
  <c r="F2905" i="5"/>
  <c r="F2904" i="5"/>
  <c r="F2903" i="5"/>
  <c r="F2902" i="5"/>
  <c r="F2901" i="5"/>
  <c r="F2900" i="5"/>
  <c r="F2899" i="5"/>
  <c r="F2898" i="5"/>
  <c r="F2897" i="5"/>
  <c r="F2896" i="5"/>
  <c r="F2895" i="5"/>
  <c r="F2894" i="5"/>
  <c r="F2893" i="5"/>
  <c r="F2892" i="5"/>
  <c r="F2891" i="5"/>
  <c r="F2890" i="5"/>
  <c r="F2889" i="5"/>
  <c r="F2888" i="5"/>
  <c r="F2887" i="5"/>
  <c r="F2886" i="5"/>
  <c r="F2885" i="5"/>
  <c r="F2884" i="5"/>
  <c r="F2883" i="5"/>
  <c r="F2882" i="5"/>
  <c r="F2881" i="5"/>
  <c r="F2880" i="5"/>
  <c r="F2879" i="5"/>
  <c r="F2878" i="5"/>
  <c r="F2877" i="5"/>
  <c r="F2876" i="5"/>
  <c r="F2875" i="5"/>
  <c r="F2874" i="5"/>
  <c r="F2873" i="5"/>
  <c r="F2872" i="5"/>
  <c r="F2871" i="5"/>
  <c r="F2870" i="5"/>
  <c r="F2869" i="5"/>
  <c r="F2868" i="5"/>
  <c r="F2867" i="5"/>
  <c r="F2866" i="5"/>
  <c r="F2865" i="5"/>
  <c r="F2864" i="5"/>
  <c r="F2863" i="5"/>
  <c r="F2862" i="5"/>
  <c r="F2861" i="5"/>
  <c r="F2860" i="5"/>
  <c r="F2859" i="5"/>
  <c r="F2858" i="5"/>
  <c r="F2857" i="5"/>
  <c r="F2856" i="5"/>
  <c r="F2855" i="5"/>
  <c r="F2854" i="5"/>
  <c r="F2853" i="5"/>
  <c r="F2852" i="5"/>
  <c r="F2851" i="5"/>
  <c r="F2850" i="5"/>
  <c r="F2849" i="5"/>
  <c r="F2848" i="5"/>
  <c r="F2847" i="5"/>
  <c r="F2846" i="5"/>
  <c r="F2845" i="5"/>
  <c r="F2844" i="5"/>
  <c r="F2843" i="5"/>
  <c r="F2842" i="5"/>
  <c r="F2841" i="5"/>
  <c r="F2840" i="5"/>
  <c r="F2839" i="5"/>
  <c r="F2838" i="5"/>
  <c r="F2837" i="5"/>
  <c r="F2836" i="5"/>
  <c r="F2835" i="5"/>
  <c r="F2834" i="5"/>
  <c r="F2833" i="5"/>
  <c r="F2832" i="5"/>
  <c r="F2831" i="5"/>
  <c r="F2830" i="5"/>
  <c r="F2829" i="5"/>
  <c r="F2828" i="5"/>
  <c r="F2827" i="5"/>
  <c r="F2826" i="5"/>
  <c r="F2825" i="5"/>
  <c r="F2824" i="5"/>
  <c r="F2823" i="5"/>
  <c r="F2822" i="5"/>
  <c r="F2821" i="5"/>
  <c r="F2820" i="5"/>
  <c r="F2819" i="5"/>
  <c r="F2818" i="5"/>
  <c r="F2817" i="5"/>
  <c r="F2816" i="5"/>
  <c r="F2815" i="5"/>
  <c r="F2814" i="5"/>
  <c r="F2813" i="5"/>
  <c r="F2812" i="5"/>
  <c r="F2811" i="5"/>
  <c r="F2810" i="5"/>
  <c r="F2809" i="5"/>
  <c r="F2808" i="5"/>
  <c r="F2807" i="5"/>
  <c r="F2806" i="5"/>
  <c r="F2805" i="5"/>
  <c r="F2804" i="5"/>
  <c r="F2803" i="5"/>
  <c r="F2802" i="5"/>
  <c r="F2801" i="5"/>
  <c r="F2800" i="5"/>
  <c r="F2799" i="5"/>
  <c r="F2798" i="5"/>
  <c r="F2797" i="5"/>
  <c r="F2796" i="5"/>
  <c r="F2795" i="5"/>
  <c r="F2794" i="5"/>
  <c r="F2793" i="5"/>
  <c r="F2792" i="5"/>
  <c r="F2791" i="5"/>
  <c r="F2790" i="5"/>
  <c r="F2789" i="5"/>
  <c r="F2788" i="5"/>
  <c r="F2787" i="5"/>
  <c r="F2786" i="5"/>
  <c r="F2785" i="5"/>
  <c r="F2784" i="5"/>
  <c r="F2783" i="5"/>
  <c r="F2782" i="5"/>
  <c r="F2781" i="5"/>
  <c r="F2780" i="5"/>
  <c r="F2779" i="5"/>
  <c r="F2778" i="5"/>
  <c r="F2777" i="5"/>
  <c r="F2776" i="5"/>
  <c r="F2775" i="5"/>
  <c r="F2774" i="5"/>
  <c r="F2773" i="5"/>
  <c r="F2772" i="5"/>
  <c r="F2771" i="5"/>
  <c r="F2770" i="5"/>
  <c r="F2769" i="5"/>
  <c r="F2768" i="5"/>
  <c r="F2767" i="5"/>
  <c r="F2766" i="5"/>
  <c r="F2765" i="5"/>
  <c r="F2764" i="5"/>
  <c r="F2763" i="5"/>
  <c r="F2762" i="5"/>
  <c r="F2761" i="5"/>
  <c r="F2760" i="5"/>
  <c r="F2759" i="5"/>
  <c r="F2758" i="5"/>
  <c r="F2757" i="5"/>
  <c r="F2756" i="5"/>
  <c r="F2755" i="5"/>
  <c r="F2754" i="5"/>
  <c r="F2753" i="5"/>
  <c r="F2752" i="5"/>
  <c r="F2751" i="5"/>
  <c r="F2750" i="5"/>
  <c r="F2749" i="5"/>
  <c r="F2748" i="5"/>
  <c r="F2747" i="5"/>
  <c r="F2746" i="5"/>
  <c r="F2745" i="5"/>
  <c r="F2744" i="5"/>
  <c r="F2743" i="5"/>
  <c r="F2742" i="5"/>
  <c r="F2741" i="5"/>
  <c r="F2740" i="5"/>
  <c r="F2739" i="5"/>
  <c r="F2738" i="5"/>
  <c r="F2737" i="5"/>
  <c r="F2736" i="5"/>
  <c r="F2735" i="5"/>
  <c r="F2734" i="5"/>
  <c r="F2733" i="5"/>
  <c r="F2732" i="5"/>
  <c r="F2731" i="5"/>
  <c r="F2730" i="5"/>
  <c r="F2729" i="5"/>
  <c r="F2728" i="5"/>
  <c r="F2727" i="5"/>
  <c r="F2726" i="5"/>
  <c r="F2725" i="5"/>
  <c r="F2724" i="5"/>
  <c r="F2723" i="5"/>
  <c r="F2722" i="5"/>
  <c r="F2721" i="5"/>
  <c r="F2720" i="5"/>
  <c r="F2719" i="5"/>
  <c r="F2718" i="5"/>
  <c r="F2717" i="5"/>
  <c r="F2716" i="5"/>
  <c r="F2715" i="5"/>
  <c r="F2714" i="5"/>
  <c r="F2713" i="5"/>
  <c r="F2712" i="5"/>
  <c r="F2711" i="5"/>
  <c r="F2710" i="5"/>
  <c r="F2709" i="5"/>
  <c r="F2708" i="5"/>
  <c r="F2707" i="5"/>
  <c r="F2706" i="5"/>
  <c r="F2705" i="5"/>
  <c r="F2704" i="5"/>
  <c r="F2703" i="5"/>
  <c r="F2702" i="5"/>
  <c r="F2701" i="5"/>
  <c r="F2700" i="5"/>
  <c r="F2699" i="5"/>
  <c r="F2698" i="5"/>
  <c r="F2697" i="5"/>
  <c r="F2696" i="5"/>
  <c r="F2695" i="5"/>
  <c r="F2694" i="5"/>
  <c r="F2693" i="5"/>
  <c r="F2692" i="5"/>
  <c r="F2691" i="5"/>
  <c r="F2690" i="5"/>
  <c r="F2689" i="5"/>
  <c r="F2688" i="5"/>
  <c r="F2687" i="5"/>
  <c r="F2686" i="5"/>
  <c r="F2685" i="5"/>
  <c r="F2684" i="5"/>
  <c r="F2683" i="5"/>
  <c r="F2682" i="5"/>
  <c r="F2681" i="5"/>
  <c r="F2680" i="5"/>
  <c r="F2679" i="5"/>
  <c r="F2678" i="5"/>
  <c r="F2677" i="5"/>
  <c r="F2676" i="5"/>
  <c r="F2675" i="5"/>
  <c r="F2674" i="5"/>
  <c r="F2673" i="5"/>
  <c r="F2672" i="5"/>
  <c r="F2671" i="5"/>
  <c r="F2670" i="5"/>
  <c r="F2669" i="5"/>
  <c r="F2668" i="5"/>
  <c r="F2667" i="5"/>
  <c r="F2666" i="5"/>
  <c r="F2665" i="5"/>
  <c r="F2664" i="5"/>
  <c r="F2663" i="5"/>
  <c r="F2662" i="5"/>
  <c r="F2661" i="5"/>
  <c r="F2660" i="5"/>
  <c r="F2659" i="5"/>
  <c r="F2658" i="5"/>
  <c r="F2657" i="5"/>
  <c r="F2656" i="5"/>
  <c r="F2655" i="5"/>
  <c r="F2654" i="5"/>
  <c r="F2653" i="5"/>
  <c r="F2652" i="5"/>
  <c r="F2651" i="5"/>
  <c r="F2650" i="5"/>
  <c r="F2649" i="5"/>
  <c r="F2648" i="5"/>
  <c r="F2647" i="5"/>
  <c r="F2646" i="5"/>
  <c r="F2645" i="5"/>
  <c r="F2644" i="5"/>
  <c r="F2643" i="5"/>
  <c r="F2642" i="5"/>
  <c r="F2641" i="5"/>
  <c r="F2640" i="5"/>
  <c r="F2639" i="5"/>
  <c r="F2638" i="5"/>
  <c r="F2637" i="5"/>
  <c r="F2636" i="5"/>
  <c r="F2635" i="5"/>
  <c r="F2634" i="5"/>
  <c r="F2633" i="5"/>
  <c r="F2632" i="5"/>
  <c r="F2631" i="5"/>
  <c r="F2630" i="5"/>
  <c r="F2629" i="5"/>
  <c r="F2628" i="5"/>
  <c r="F2627" i="5"/>
  <c r="F2626" i="5"/>
  <c r="F2625" i="5"/>
  <c r="F2624" i="5"/>
  <c r="F2623" i="5"/>
  <c r="F2622" i="5"/>
  <c r="F2621" i="5"/>
  <c r="F2620" i="5"/>
  <c r="F2619" i="5"/>
  <c r="F2618" i="5"/>
  <c r="F2617" i="5"/>
  <c r="F2616" i="5"/>
  <c r="F2615" i="5"/>
  <c r="F2614" i="5"/>
  <c r="F2613" i="5"/>
  <c r="F2612" i="5"/>
  <c r="F2611" i="5"/>
  <c r="F2610" i="5"/>
  <c r="F2609" i="5"/>
  <c r="F2608" i="5"/>
  <c r="F2607" i="5"/>
  <c r="F2606" i="5"/>
  <c r="F2605" i="5"/>
  <c r="F2604" i="5"/>
  <c r="F2603" i="5"/>
  <c r="F2602" i="5"/>
  <c r="F2601" i="5"/>
  <c r="F2600" i="5"/>
  <c r="F2599" i="5"/>
  <c r="F2598" i="5"/>
  <c r="F2597" i="5"/>
  <c r="F2596" i="5"/>
  <c r="F2595" i="5"/>
  <c r="F2594" i="5"/>
  <c r="F2593" i="5"/>
  <c r="F2592" i="5"/>
  <c r="F2591" i="5"/>
  <c r="F2590" i="5"/>
  <c r="F2589" i="5"/>
  <c r="F2588" i="5"/>
  <c r="F2587" i="5"/>
  <c r="F2586" i="5"/>
  <c r="F2585" i="5"/>
  <c r="F2584" i="5"/>
  <c r="F2583" i="5"/>
  <c r="F2582" i="5"/>
  <c r="F2581" i="5"/>
  <c r="F2580" i="5"/>
  <c r="F2579" i="5"/>
  <c r="F2578" i="5"/>
  <c r="F2577" i="5"/>
  <c r="F2576" i="5"/>
  <c r="F2575" i="5"/>
  <c r="F2574" i="5"/>
  <c r="F2573" i="5"/>
  <c r="F2572" i="5"/>
  <c r="F2571" i="5"/>
  <c r="F2570" i="5"/>
  <c r="F2569" i="5"/>
  <c r="F2568" i="5"/>
  <c r="F2567" i="5"/>
  <c r="F2566" i="5"/>
  <c r="F2565" i="5"/>
  <c r="F2564" i="5"/>
  <c r="F2563" i="5"/>
  <c r="F2562" i="5"/>
  <c r="F2561" i="5"/>
  <c r="F2560" i="5"/>
  <c r="F2559" i="5"/>
  <c r="F2558" i="5"/>
  <c r="F2557" i="5"/>
  <c r="F2556" i="5"/>
  <c r="F2555" i="5"/>
  <c r="F2554" i="5"/>
  <c r="F2553" i="5"/>
  <c r="F2552" i="5"/>
  <c r="F2551" i="5"/>
  <c r="F2550" i="5"/>
  <c r="F2549" i="5"/>
  <c r="F2548" i="5"/>
  <c r="F2547" i="5"/>
  <c r="F2546" i="5"/>
  <c r="F2545" i="5"/>
  <c r="F2544" i="5"/>
  <c r="F2543" i="5"/>
  <c r="F2542" i="5"/>
  <c r="F2541" i="5"/>
  <c r="F2540" i="5"/>
  <c r="F2539" i="5"/>
  <c r="F2538" i="5"/>
  <c r="F2537" i="5"/>
  <c r="F2536" i="5"/>
  <c r="F2535" i="5"/>
  <c r="F2534" i="5"/>
  <c r="F2533" i="5"/>
  <c r="F2532" i="5"/>
  <c r="F2531" i="5"/>
  <c r="F2530" i="5"/>
  <c r="F2529" i="5"/>
  <c r="F2528" i="5"/>
  <c r="F2527" i="5"/>
  <c r="F2526" i="5"/>
  <c r="F2525" i="5"/>
  <c r="F2524" i="5"/>
  <c r="F2523" i="5"/>
  <c r="F2522" i="5"/>
  <c r="F2521" i="5"/>
  <c r="F2520" i="5"/>
  <c r="F2519" i="5"/>
  <c r="F2518" i="5"/>
  <c r="F2517" i="5"/>
  <c r="F2516" i="5"/>
  <c r="F2515" i="5"/>
  <c r="F2514" i="5"/>
  <c r="F2513" i="5"/>
  <c r="F2512" i="5"/>
  <c r="F2511" i="5"/>
  <c r="F2510" i="5"/>
  <c r="F2509" i="5"/>
  <c r="F2508" i="5"/>
  <c r="F2507" i="5"/>
  <c r="F2506" i="5"/>
  <c r="F2505" i="5"/>
  <c r="F2504" i="5"/>
  <c r="F2503" i="5"/>
  <c r="F2502" i="5"/>
  <c r="F2501" i="5"/>
  <c r="F2500" i="5"/>
  <c r="F2499" i="5"/>
  <c r="F2498" i="5"/>
  <c r="F2497" i="5"/>
  <c r="F2496" i="5"/>
  <c r="F2495" i="5"/>
  <c r="F2494" i="5"/>
  <c r="F2493" i="5"/>
  <c r="F2492" i="5"/>
  <c r="F2491" i="5"/>
  <c r="F2490" i="5"/>
  <c r="F2489" i="5"/>
  <c r="F2488" i="5"/>
  <c r="F2487" i="5"/>
  <c r="F2486" i="5"/>
  <c r="F2485" i="5"/>
  <c r="F2484" i="5"/>
  <c r="F2483" i="5"/>
  <c r="F2482" i="5"/>
  <c r="F2481" i="5"/>
  <c r="F2480" i="5"/>
  <c r="F2479" i="5"/>
  <c r="F2478" i="5"/>
  <c r="F2477" i="5"/>
  <c r="F2476" i="5"/>
  <c r="F2475" i="5"/>
  <c r="F2474" i="5"/>
  <c r="F2473" i="5"/>
  <c r="F2472" i="5"/>
  <c r="F2471" i="5"/>
  <c r="F2470" i="5"/>
  <c r="F2469" i="5"/>
  <c r="F2468" i="5"/>
  <c r="F2467" i="5"/>
  <c r="F2466" i="5"/>
  <c r="F2465" i="5"/>
  <c r="F2464" i="5"/>
  <c r="F2463" i="5"/>
  <c r="F2462" i="5"/>
  <c r="F2461" i="5"/>
  <c r="F2460" i="5"/>
  <c r="F2459" i="5"/>
  <c r="F2458" i="5"/>
  <c r="F2457" i="5"/>
  <c r="F2456" i="5"/>
  <c r="F2455" i="5"/>
  <c r="F2454" i="5"/>
  <c r="F2453" i="5"/>
  <c r="F2452" i="5"/>
  <c r="F2451" i="5"/>
  <c r="F2450" i="5"/>
  <c r="F2449" i="5"/>
  <c r="F2448" i="5"/>
  <c r="F2447" i="5"/>
  <c r="F2446" i="5"/>
  <c r="F2445" i="5"/>
  <c r="F2444" i="5"/>
  <c r="F2443" i="5"/>
  <c r="F2442" i="5"/>
  <c r="F2441" i="5"/>
  <c r="F2440" i="5"/>
  <c r="F2439" i="5"/>
  <c r="F2438" i="5"/>
  <c r="F2437" i="5"/>
  <c r="F2436" i="5"/>
  <c r="F2435" i="5"/>
  <c r="F2434" i="5"/>
  <c r="F2433" i="5"/>
  <c r="F2432" i="5"/>
  <c r="F2431" i="5"/>
  <c r="F2430" i="5"/>
  <c r="F2429" i="5"/>
  <c r="F2428" i="5"/>
  <c r="F2427" i="5"/>
  <c r="F2426" i="5"/>
  <c r="F2425" i="5"/>
  <c r="F2424" i="5"/>
  <c r="F2423" i="5"/>
  <c r="F2422" i="5"/>
  <c r="F2421" i="5"/>
  <c r="F2420" i="5"/>
  <c r="F2419" i="5"/>
  <c r="F2418" i="5"/>
  <c r="F2417" i="5"/>
  <c r="F2416" i="5"/>
  <c r="F2415" i="5"/>
  <c r="F2414" i="5"/>
  <c r="F2413" i="5"/>
  <c r="F2412" i="5"/>
  <c r="F2411" i="5"/>
  <c r="F2410" i="5"/>
  <c r="F2409" i="5"/>
  <c r="F2408" i="5"/>
  <c r="F2407" i="5"/>
  <c r="F2406" i="5"/>
  <c r="F2405" i="5"/>
  <c r="F2404" i="5"/>
  <c r="F2403" i="5"/>
  <c r="F2402" i="5"/>
  <c r="F2401" i="5"/>
  <c r="F2400" i="5"/>
  <c r="F2399" i="5"/>
  <c r="F2398" i="5"/>
  <c r="F2397" i="5"/>
  <c r="F2396" i="5"/>
  <c r="F2395" i="5"/>
  <c r="F2394" i="5"/>
  <c r="F2393" i="5"/>
  <c r="F2392" i="5"/>
  <c r="F2391" i="5"/>
  <c r="F2390" i="5"/>
  <c r="F2389" i="5"/>
  <c r="F2388" i="5"/>
  <c r="F2387" i="5"/>
  <c r="F2386" i="5"/>
  <c r="F2385" i="5"/>
  <c r="F2384" i="5"/>
  <c r="F2383" i="5"/>
  <c r="F2382" i="5"/>
  <c r="F2381" i="5"/>
  <c r="F2380" i="5"/>
  <c r="F2379" i="5"/>
  <c r="F2378" i="5"/>
  <c r="F2377" i="5"/>
  <c r="F2376" i="5"/>
  <c r="F2375" i="5"/>
  <c r="F2374" i="5"/>
  <c r="F2373" i="5"/>
  <c r="F2372" i="5"/>
  <c r="F2371" i="5"/>
  <c r="F2370" i="5"/>
  <c r="F2369" i="5"/>
  <c r="F2368" i="5"/>
  <c r="F2367" i="5"/>
  <c r="F2366" i="5"/>
  <c r="F2365" i="5"/>
  <c r="F2364" i="5"/>
  <c r="F2363" i="5"/>
  <c r="F2362" i="5"/>
  <c r="F2361" i="5"/>
  <c r="F2360" i="5"/>
  <c r="F2359" i="5"/>
  <c r="F2358" i="5"/>
  <c r="F2357" i="5"/>
  <c r="F2356" i="5"/>
  <c r="F2355" i="5"/>
  <c r="F2354" i="5"/>
  <c r="F2353" i="5"/>
  <c r="F2352" i="5"/>
  <c r="F2351" i="5"/>
  <c r="F2350" i="5"/>
  <c r="F2349" i="5"/>
  <c r="F2348" i="5"/>
  <c r="F2347" i="5"/>
  <c r="F2346" i="5"/>
  <c r="F2345" i="5"/>
  <c r="F2344" i="5"/>
  <c r="F2343" i="5"/>
  <c r="F2342" i="5"/>
  <c r="F2341" i="5"/>
  <c r="F2340" i="5"/>
  <c r="F2339" i="5"/>
  <c r="F2338" i="5"/>
  <c r="F2337" i="5"/>
  <c r="F2336" i="5"/>
  <c r="F2335" i="5"/>
  <c r="F2334" i="5"/>
  <c r="F2333" i="5"/>
  <c r="F2332" i="5"/>
  <c r="F2331" i="5"/>
  <c r="F2330" i="5"/>
  <c r="F2329" i="5"/>
  <c r="F2328" i="5"/>
  <c r="F2327" i="5"/>
  <c r="F2326" i="5"/>
  <c r="F2325" i="5"/>
  <c r="F2324" i="5"/>
  <c r="F2323" i="5"/>
  <c r="F2322" i="5"/>
  <c r="F2321" i="5"/>
  <c r="F2320" i="5"/>
  <c r="F2319" i="5"/>
  <c r="F2318" i="5"/>
  <c r="F2317" i="5"/>
  <c r="F2316" i="5"/>
  <c r="F2315" i="5"/>
  <c r="F2314" i="5"/>
  <c r="F2313" i="5"/>
  <c r="F2312" i="5"/>
  <c r="F2311" i="5"/>
  <c r="F2310" i="5"/>
  <c r="F2309" i="5"/>
  <c r="F2308" i="5"/>
  <c r="F2307" i="5"/>
  <c r="F2306" i="5"/>
  <c r="F2305" i="5"/>
  <c r="F2304" i="5"/>
  <c r="F2303" i="5"/>
  <c r="F2302" i="5"/>
  <c r="F2301" i="5"/>
  <c r="F2300" i="5"/>
  <c r="F2299" i="5"/>
  <c r="F2298" i="5"/>
  <c r="F2297" i="5"/>
  <c r="F2296" i="5"/>
  <c r="F2295" i="5"/>
  <c r="F2294" i="5"/>
  <c r="F2293" i="5"/>
  <c r="F2292" i="5"/>
  <c r="F2291" i="5"/>
  <c r="F2290" i="5"/>
  <c r="F2289" i="5"/>
  <c r="F2288" i="5"/>
  <c r="F2287" i="5"/>
  <c r="F2286" i="5"/>
  <c r="F2285" i="5"/>
  <c r="F2284" i="5"/>
  <c r="F2283" i="5"/>
  <c r="F2282" i="5"/>
  <c r="F2281" i="5"/>
  <c r="F2280" i="5"/>
  <c r="F2279" i="5"/>
  <c r="F2278" i="5"/>
  <c r="F2277" i="5"/>
  <c r="F2276" i="5"/>
  <c r="F2275" i="5"/>
  <c r="F2274" i="5"/>
  <c r="F2273" i="5"/>
  <c r="F2272" i="5"/>
  <c r="F2271" i="5"/>
  <c r="F2270" i="5"/>
  <c r="F2269" i="5"/>
  <c r="F2268" i="5"/>
  <c r="F2267" i="5"/>
  <c r="F2266" i="5"/>
  <c r="F2265" i="5"/>
  <c r="F2264" i="5"/>
  <c r="F2263" i="5"/>
  <c r="F2262" i="5"/>
  <c r="F2261" i="5"/>
  <c r="F2260" i="5"/>
  <c r="F2259" i="5"/>
  <c r="F2258" i="5"/>
  <c r="F2257" i="5"/>
  <c r="F2256" i="5"/>
  <c r="F2255" i="5"/>
  <c r="F2254" i="5"/>
  <c r="F2253" i="5"/>
  <c r="F2252" i="5"/>
  <c r="F2251" i="5"/>
  <c r="F2250" i="5"/>
  <c r="F2249" i="5"/>
  <c r="F2248" i="5"/>
  <c r="F2247" i="5"/>
  <c r="F2246" i="5"/>
  <c r="F2245" i="5"/>
  <c r="F2244" i="5"/>
  <c r="F2243" i="5"/>
  <c r="F2242" i="5"/>
  <c r="F2241" i="5"/>
  <c r="F2240" i="5"/>
  <c r="F2239" i="5"/>
  <c r="F2238" i="5"/>
  <c r="F2237" i="5"/>
  <c r="F2236" i="5"/>
  <c r="F2235" i="5"/>
  <c r="F2234" i="5"/>
  <c r="F2233" i="5"/>
  <c r="F2232" i="5"/>
  <c r="F2231" i="5"/>
  <c r="F2230" i="5"/>
  <c r="F2229" i="5"/>
  <c r="F2228" i="5"/>
  <c r="F2227" i="5"/>
  <c r="F2226" i="5"/>
  <c r="F2225" i="5"/>
  <c r="F2224" i="5"/>
  <c r="F2223" i="5"/>
  <c r="F2222" i="5"/>
  <c r="F2221" i="5"/>
  <c r="F2220" i="5"/>
  <c r="F2219" i="5"/>
  <c r="F2218" i="5"/>
  <c r="F2217" i="5"/>
  <c r="F2216" i="5"/>
  <c r="F2215" i="5"/>
  <c r="F2214" i="5"/>
  <c r="F2213" i="5"/>
  <c r="F2212" i="5"/>
  <c r="F2211" i="5"/>
  <c r="F2210" i="5"/>
  <c r="F2209" i="5"/>
  <c r="F2208" i="5"/>
  <c r="F2207" i="5"/>
  <c r="F2206" i="5"/>
  <c r="F2205" i="5"/>
  <c r="F2204" i="5"/>
  <c r="F2203" i="5"/>
  <c r="F2202" i="5"/>
  <c r="F2201" i="5"/>
  <c r="F2200" i="5"/>
  <c r="F2199" i="5"/>
  <c r="F2198" i="5"/>
  <c r="F2197" i="5"/>
  <c r="F2196" i="5"/>
  <c r="F2195" i="5"/>
  <c r="F2194" i="5"/>
  <c r="F2193" i="5"/>
  <c r="F2192" i="5"/>
  <c r="F2191" i="5"/>
  <c r="F2190" i="5"/>
  <c r="F2189" i="5"/>
  <c r="F2188" i="5"/>
  <c r="F2187" i="5"/>
  <c r="F2186" i="5"/>
  <c r="F2185" i="5"/>
  <c r="F2184" i="5"/>
  <c r="F2183" i="5"/>
  <c r="F2182" i="5"/>
  <c r="F2181" i="5"/>
  <c r="F2180" i="5"/>
  <c r="F2179" i="5"/>
  <c r="F2178" i="5"/>
  <c r="F2177" i="5"/>
  <c r="F2176" i="5"/>
  <c r="F2175" i="5"/>
  <c r="F2174" i="5"/>
  <c r="F2173" i="5"/>
  <c r="F2172" i="5"/>
  <c r="F2171" i="5"/>
  <c r="F2170" i="5"/>
  <c r="F2169" i="5"/>
  <c r="F2168" i="5"/>
  <c r="F2167" i="5"/>
  <c r="F2166" i="5"/>
  <c r="F2165" i="5"/>
  <c r="F2164" i="5"/>
  <c r="F2163" i="5"/>
  <c r="F2162" i="5"/>
  <c r="F2161" i="5"/>
  <c r="F2160" i="5"/>
  <c r="F2159" i="5"/>
  <c r="F2158" i="5"/>
  <c r="F2157" i="5"/>
  <c r="F2156" i="5"/>
  <c r="F2155" i="5"/>
  <c r="F2154" i="5"/>
  <c r="F2153" i="5"/>
  <c r="F2152" i="5"/>
  <c r="F2151" i="5"/>
  <c r="F2150" i="5"/>
  <c r="F2149" i="5"/>
  <c r="F2148" i="5"/>
  <c r="F2147" i="5"/>
  <c r="F2146" i="5"/>
  <c r="F2145" i="5"/>
  <c r="F2144" i="5"/>
  <c r="F2143" i="5"/>
  <c r="F2142" i="5"/>
  <c r="F2141" i="5"/>
  <c r="F2140" i="5"/>
  <c r="F2139" i="5"/>
  <c r="F2138" i="5"/>
  <c r="F2137" i="5"/>
  <c r="F2136" i="5"/>
  <c r="F2135" i="5"/>
  <c r="F2134" i="5"/>
  <c r="F2133" i="5"/>
  <c r="F2132" i="5"/>
  <c r="F2131" i="5"/>
  <c r="F2130" i="5"/>
  <c r="F2129" i="5"/>
  <c r="F2128" i="5"/>
  <c r="F2127" i="5"/>
  <c r="F2126" i="5"/>
  <c r="F2125" i="5"/>
  <c r="F2124" i="5"/>
  <c r="F2123" i="5"/>
  <c r="F2122" i="5"/>
  <c r="F2121" i="5"/>
  <c r="F2120" i="5"/>
  <c r="F2119" i="5"/>
  <c r="F2118" i="5"/>
  <c r="F2117" i="5"/>
  <c r="F2116" i="5"/>
  <c r="F2115" i="5"/>
  <c r="F2114" i="5"/>
  <c r="F2113" i="5"/>
  <c r="F2112" i="5"/>
  <c r="F2111" i="5"/>
  <c r="F2110" i="5"/>
  <c r="F2109" i="5"/>
  <c r="F2108" i="5"/>
  <c r="F2107" i="5"/>
  <c r="F2106" i="5"/>
  <c r="F2105" i="5"/>
  <c r="F2104" i="5"/>
  <c r="F2103" i="5"/>
  <c r="F2102" i="5"/>
  <c r="F2101" i="5"/>
  <c r="F2100" i="5"/>
  <c r="F2099" i="5"/>
  <c r="F2098" i="5"/>
  <c r="F2097" i="5"/>
  <c r="F2096" i="5"/>
  <c r="F2095" i="5"/>
  <c r="F2094" i="5"/>
  <c r="F2093" i="5"/>
  <c r="F2092" i="5"/>
  <c r="F2091" i="5"/>
  <c r="F2090" i="5"/>
  <c r="F2089" i="5"/>
  <c r="F2088" i="5"/>
  <c r="F2087" i="5"/>
  <c r="F2086" i="5"/>
  <c r="F2085" i="5"/>
  <c r="F2084" i="5"/>
  <c r="F2083" i="5"/>
  <c r="F2082" i="5"/>
  <c r="F2081" i="5"/>
  <c r="F2080" i="5"/>
  <c r="F2079" i="5"/>
  <c r="F2078" i="5"/>
  <c r="F2077" i="5"/>
  <c r="F2076" i="5"/>
  <c r="F2075" i="5"/>
  <c r="F2074" i="5"/>
  <c r="F2073" i="5"/>
  <c r="F2072" i="5"/>
  <c r="F2071" i="5"/>
  <c r="F2070" i="5"/>
  <c r="F2069" i="5"/>
  <c r="F2068" i="5"/>
  <c r="F2067" i="5"/>
  <c r="F2066" i="5"/>
  <c r="F2065" i="5"/>
  <c r="F2064" i="5"/>
  <c r="F2063" i="5"/>
  <c r="F2062" i="5"/>
  <c r="F2061" i="5"/>
  <c r="F2060" i="5"/>
  <c r="F2059" i="5"/>
  <c r="F2058" i="5"/>
  <c r="F2057" i="5"/>
  <c r="F2056" i="5"/>
  <c r="F2055" i="5"/>
  <c r="F2054" i="5"/>
  <c r="F2053" i="5"/>
  <c r="F2052" i="5"/>
  <c r="F2051" i="5"/>
  <c r="F2050" i="5"/>
  <c r="F2049" i="5"/>
  <c r="F2048" i="5"/>
  <c r="F2047" i="5"/>
  <c r="F2046" i="5"/>
  <c r="F2045" i="5"/>
  <c r="F2044" i="5"/>
  <c r="F2043" i="5"/>
  <c r="F2042" i="5"/>
  <c r="F2041" i="5"/>
  <c r="F2040" i="5"/>
  <c r="F2039" i="5"/>
  <c r="F2038" i="5"/>
  <c r="F2037" i="5"/>
  <c r="F2036" i="5"/>
  <c r="F2035" i="5"/>
  <c r="F2034" i="5"/>
  <c r="F2033" i="5"/>
  <c r="F2032" i="5"/>
  <c r="F2031" i="5"/>
  <c r="F2030" i="5"/>
  <c r="F2029" i="5"/>
  <c r="F2028" i="5"/>
  <c r="F2027" i="5"/>
  <c r="F2026" i="5"/>
  <c r="F2025" i="5"/>
  <c r="F2024" i="5"/>
  <c r="F2023" i="5"/>
  <c r="F2022" i="5"/>
  <c r="F2021" i="5"/>
  <c r="F2020" i="5"/>
  <c r="F2019" i="5"/>
  <c r="F2018" i="5"/>
  <c r="F2017" i="5"/>
  <c r="F2016" i="5"/>
  <c r="F2015" i="5"/>
  <c r="F2014" i="5"/>
  <c r="F2013" i="5"/>
  <c r="F2012" i="5"/>
  <c r="F2011" i="5"/>
  <c r="F2010" i="5"/>
  <c r="F2009" i="5"/>
  <c r="F2008" i="5"/>
  <c r="F2007" i="5"/>
  <c r="F2006" i="5"/>
  <c r="F2005" i="5"/>
  <c r="F2004" i="5"/>
  <c r="F2003" i="5"/>
  <c r="F2002" i="5"/>
  <c r="F2001" i="5"/>
  <c r="F2000" i="5"/>
  <c r="F1999" i="5"/>
  <c r="F1998" i="5"/>
  <c r="F1997" i="5"/>
  <c r="F1996" i="5"/>
  <c r="F1995" i="5"/>
  <c r="F1994" i="5"/>
  <c r="F1993" i="5"/>
  <c r="F1992" i="5"/>
  <c r="F1991" i="5"/>
  <c r="F1990" i="5"/>
  <c r="F1989" i="5"/>
  <c r="F1988" i="5"/>
  <c r="F1987" i="5"/>
  <c r="F1986" i="5"/>
  <c r="F1985" i="5"/>
  <c r="F1984" i="5"/>
  <c r="F1983" i="5"/>
  <c r="F1982" i="5"/>
  <c r="F1981" i="5"/>
  <c r="F1980" i="5"/>
  <c r="F1979" i="5"/>
  <c r="F1978" i="5"/>
  <c r="F1977" i="5"/>
  <c r="F1976" i="5"/>
  <c r="F1975" i="5"/>
  <c r="F1974" i="5"/>
  <c r="F1973" i="5"/>
  <c r="F1972" i="5"/>
  <c r="F1971" i="5"/>
  <c r="F1970" i="5"/>
  <c r="F1969" i="5"/>
  <c r="F1968" i="5"/>
  <c r="F1967" i="5"/>
  <c r="F1966" i="5"/>
  <c r="F1965" i="5"/>
  <c r="F1964" i="5"/>
  <c r="F1963" i="5"/>
  <c r="F1962" i="5"/>
  <c r="F1961" i="5"/>
  <c r="F1960" i="5"/>
  <c r="F1959" i="5"/>
  <c r="F1958" i="5"/>
  <c r="F1957" i="5"/>
  <c r="F1956" i="5"/>
  <c r="F1955" i="5"/>
  <c r="F1954" i="5"/>
  <c r="F1953" i="5"/>
  <c r="F1952" i="5"/>
  <c r="F1951" i="5"/>
  <c r="F1950" i="5"/>
  <c r="F1949" i="5"/>
  <c r="F1948" i="5"/>
  <c r="F1947" i="5"/>
  <c r="F1946" i="5"/>
  <c r="F1945" i="5"/>
  <c r="F1944" i="5"/>
  <c r="F1943" i="5"/>
  <c r="F1942" i="5"/>
  <c r="F1941" i="5"/>
  <c r="F1940" i="5"/>
  <c r="F1939" i="5"/>
  <c r="F1938" i="5"/>
  <c r="F1937" i="5"/>
  <c r="F1936" i="5"/>
  <c r="F1935" i="5"/>
  <c r="F1934" i="5"/>
  <c r="F1933" i="5"/>
  <c r="F1932" i="5"/>
  <c r="F1931" i="5"/>
  <c r="F1930" i="5"/>
  <c r="F1929" i="5"/>
  <c r="F1928" i="5"/>
  <c r="F1927" i="5"/>
  <c r="F1926" i="5"/>
  <c r="F1925" i="5"/>
  <c r="F1924" i="5"/>
  <c r="F1923" i="5"/>
  <c r="F1922" i="5"/>
  <c r="F1921" i="5"/>
  <c r="F1920" i="5"/>
  <c r="F1919" i="5"/>
  <c r="F1918" i="5"/>
  <c r="F1917" i="5"/>
  <c r="F1916" i="5"/>
  <c r="F1915" i="5"/>
  <c r="F1914" i="5"/>
  <c r="F1913" i="5"/>
  <c r="F1912" i="5"/>
  <c r="F1911" i="5"/>
  <c r="F1910" i="5"/>
  <c r="F1909" i="5"/>
  <c r="F1908" i="5"/>
  <c r="F1907" i="5"/>
  <c r="F1906" i="5"/>
  <c r="F1905" i="5"/>
  <c r="F1904" i="5"/>
  <c r="F1903" i="5"/>
  <c r="F1902" i="5"/>
  <c r="F1901" i="5"/>
  <c r="F1900" i="5"/>
  <c r="F1899" i="5"/>
  <c r="F1898" i="5"/>
  <c r="F1897" i="5"/>
  <c r="F1896" i="5"/>
  <c r="F1895" i="5"/>
  <c r="F1894" i="5"/>
  <c r="F1893" i="5"/>
  <c r="F1892" i="5"/>
  <c r="F1891" i="5"/>
  <c r="F1890" i="5"/>
  <c r="F1889" i="5"/>
  <c r="F1888" i="5"/>
  <c r="F1887" i="5"/>
  <c r="F1886" i="5"/>
  <c r="F1885" i="5"/>
  <c r="F1884" i="5"/>
  <c r="F1883" i="5"/>
  <c r="F1882" i="5"/>
  <c r="F1881" i="5"/>
  <c r="F1880" i="5"/>
  <c r="F1879" i="5"/>
  <c r="F1878" i="5"/>
  <c r="F1877" i="5"/>
  <c r="F1876" i="5"/>
  <c r="F1875" i="5"/>
  <c r="F1874" i="5"/>
  <c r="F1873" i="5"/>
  <c r="F1872" i="5"/>
  <c r="F1871" i="5"/>
  <c r="F1870" i="5"/>
  <c r="F1869" i="5"/>
  <c r="F1868" i="5"/>
  <c r="F1867" i="5"/>
  <c r="F1866" i="5"/>
  <c r="F1865" i="5"/>
  <c r="F1864" i="5"/>
  <c r="F1863" i="5"/>
  <c r="F1862" i="5"/>
  <c r="F1861" i="5"/>
  <c r="F1860" i="5"/>
  <c r="F1859" i="5"/>
  <c r="F1858" i="5"/>
  <c r="F1857" i="5"/>
  <c r="F1856" i="5"/>
  <c r="F1855" i="5"/>
  <c r="F1854" i="5"/>
  <c r="F1853" i="5"/>
  <c r="F1852" i="5"/>
  <c r="F1851" i="5"/>
  <c r="F1850" i="5"/>
  <c r="F1849" i="5"/>
  <c r="F1848" i="5"/>
  <c r="F1847" i="5"/>
  <c r="F1846" i="5"/>
  <c r="F1845" i="5"/>
  <c r="F1844" i="5"/>
  <c r="F1843" i="5"/>
  <c r="F1842" i="5"/>
  <c r="F1841" i="5"/>
  <c r="F1840" i="5"/>
  <c r="F1839" i="5"/>
  <c r="F1838" i="5"/>
  <c r="F1837" i="5"/>
  <c r="F1836" i="5"/>
  <c r="F1835" i="5"/>
  <c r="F1834" i="5"/>
  <c r="F1833" i="5"/>
  <c r="F1832" i="5"/>
  <c r="F1831" i="5"/>
  <c r="F1830" i="5"/>
  <c r="F1829" i="5"/>
  <c r="F1828" i="5"/>
  <c r="F1827" i="5"/>
  <c r="F1826" i="5"/>
  <c r="F1825" i="5"/>
  <c r="F1824" i="5"/>
  <c r="F1823" i="5"/>
  <c r="F1822" i="5"/>
  <c r="F1821" i="5"/>
  <c r="F1820" i="5"/>
  <c r="F1819" i="5"/>
  <c r="F1818" i="5"/>
  <c r="F1817" i="5"/>
  <c r="F1816" i="5"/>
  <c r="F1815" i="5"/>
  <c r="F1814" i="5"/>
  <c r="F1813" i="5"/>
  <c r="F1812" i="5"/>
  <c r="F1811" i="5"/>
  <c r="F1810" i="5"/>
  <c r="F1809" i="5"/>
  <c r="F1808" i="5"/>
  <c r="F1807" i="5"/>
  <c r="F1806" i="5"/>
  <c r="F1805" i="5"/>
  <c r="F1804" i="5"/>
  <c r="F1803" i="5"/>
  <c r="F1802" i="5"/>
  <c r="F1801" i="5"/>
  <c r="F1800" i="5"/>
  <c r="F1799" i="5"/>
  <c r="F1798" i="5"/>
  <c r="F1797" i="5"/>
  <c r="F1796" i="5"/>
  <c r="F1795" i="5"/>
  <c r="F1794" i="5"/>
  <c r="F1793" i="5"/>
  <c r="F1792" i="5"/>
  <c r="F1791" i="5"/>
  <c r="F1790" i="5"/>
  <c r="F1789" i="5"/>
  <c r="F1788" i="5"/>
  <c r="F1787" i="5"/>
  <c r="F1786" i="5"/>
  <c r="F1785" i="5"/>
  <c r="F1784" i="5"/>
  <c r="F1783" i="5"/>
  <c r="F1782" i="5"/>
  <c r="F1781" i="5"/>
  <c r="F1780" i="5"/>
  <c r="F1779" i="5"/>
  <c r="F1778" i="5"/>
  <c r="F1777" i="5"/>
  <c r="F1776" i="5"/>
  <c r="F1775" i="5"/>
  <c r="F1774" i="5"/>
  <c r="F1773" i="5"/>
  <c r="F1772" i="5"/>
  <c r="F1771" i="5"/>
  <c r="F1770" i="5"/>
  <c r="F1769" i="5"/>
  <c r="F1768" i="5"/>
  <c r="F1767" i="5"/>
  <c r="F1766" i="5"/>
  <c r="F1765" i="5"/>
  <c r="F1764" i="5"/>
  <c r="F1763" i="5"/>
  <c r="F1762" i="5"/>
  <c r="F1761" i="5"/>
  <c r="F1760" i="5"/>
  <c r="F1759" i="5"/>
  <c r="F1758" i="5"/>
  <c r="F1757" i="5"/>
  <c r="F1756" i="5"/>
  <c r="F1755" i="5"/>
  <c r="F1754" i="5"/>
  <c r="F1753" i="5"/>
  <c r="F1752" i="5"/>
  <c r="F1751" i="5"/>
  <c r="F1750" i="5"/>
  <c r="F1749" i="5"/>
  <c r="F1748" i="5"/>
  <c r="F1747" i="5"/>
  <c r="F1746" i="5"/>
  <c r="F1745" i="5"/>
  <c r="F1744" i="5"/>
  <c r="F1743" i="5"/>
  <c r="F1742" i="5"/>
  <c r="F1741" i="5"/>
  <c r="F1740" i="5"/>
  <c r="F1739" i="5"/>
  <c r="F1738" i="5"/>
  <c r="F1737" i="5"/>
  <c r="F1736" i="5"/>
  <c r="F1735" i="5"/>
  <c r="F1734" i="5"/>
  <c r="F1733" i="5"/>
  <c r="F1732" i="5"/>
  <c r="F1731" i="5"/>
  <c r="F1730" i="5"/>
  <c r="F1729" i="5"/>
  <c r="F1728" i="5"/>
  <c r="F1727" i="5"/>
  <c r="F1726" i="5"/>
  <c r="F1725" i="5"/>
  <c r="F1724" i="5"/>
  <c r="F1723" i="5"/>
  <c r="F1722" i="5"/>
  <c r="F1721" i="5"/>
  <c r="F1720" i="5"/>
  <c r="F1719" i="5"/>
  <c r="F1718" i="5"/>
  <c r="F1717" i="5"/>
  <c r="F1716" i="5"/>
  <c r="F1715" i="5"/>
  <c r="F1714" i="5"/>
  <c r="F1713" i="5"/>
  <c r="F1712" i="5"/>
  <c r="F1711" i="5"/>
  <c r="F1710" i="5"/>
  <c r="F1709" i="5"/>
  <c r="F1708" i="5"/>
  <c r="F1707" i="5"/>
  <c r="F1706" i="5"/>
  <c r="F1705" i="5"/>
  <c r="F1704" i="5"/>
  <c r="F1703" i="5"/>
  <c r="F1702" i="5"/>
  <c r="F1701" i="5"/>
  <c r="F1700" i="5"/>
  <c r="F1699" i="5"/>
  <c r="F1698" i="5"/>
  <c r="F1697" i="5"/>
  <c r="F1696" i="5"/>
  <c r="F1695" i="5"/>
  <c r="F1694" i="5"/>
  <c r="F1693" i="5"/>
  <c r="F1692" i="5"/>
  <c r="F1691" i="5"/>
  <c r="F1690" i="5"/>
  <c r="F1689" i="5"/>
  <c r="F1688" i="5"/>
  <c r="F1687" i="5"/>
  <c r="F1686" i="5"/>
  <c r="F1685" i="5"/>
  <c r="F1684" i="5"/>
  <c r="F1683" i="5"/>
  <c r="F1682" i="5"/>
  <c r="F1681" i="5"/>
  <c r="F1680" i="5"/>
  <c r="F1679" i="5"/>
  <c r="F1678" i="5"/>
  <c r="F1677" i="5"/>
  <c r="F1676" i="5"/>
  <c r="F1675" i="5"/>
  <c r="F1674" i="5"/>
  <c r="F1673" i="5"/>
  <c r="F1672" i="5"/>
  <c r="F1671" i="5"/>
  <c r="F1670" i="5"/>
  <c r="F1669" i="5"/>
  <c r="F1668" i="5"/>
  <c r="F1667" i="5"/>
  <c r="F1666" i="5"/>
  <c r="F1665" i="5"/>
  <c r="F1664" i="5"/>
  <c r="F1663" i="5"/>
  <c r="F1662" i="5"/>
  <c r="F1661" i="5"/>
  <c r="F1660" i="5"/>
  <c r="F1659" i="5"/>
  <c r="F1658" i="5"/>
  <c r="F1657" i="5"/>
  <c r="F1656" i="5"/>
  <c r="F1655" i="5"/>
  <c r="F1654" i="5"/>
  <c r="F1653" i="5"/>
  <c r="F1652" i="5"/>
  <c r="F1651" i="5"/>
  <c r="F1650" i="5"/>
  <c r="F1649" i="5"/>
  <c r="F1648" i="5"/>
  <c r="F1647" i="5"/>
  <c r="F1646" i="5"/>
  <c r="F1645" i="5"/>
  <c r="F1644" i="5"/>
  <c r="F1643" i="5"/>
  <c r="F1642" i="5"/>
  <c r="F1641" i="5"/>
  <c r="F1640" i="5"/>
  <c r="F1639" i="5"/>
  <c r="F1638" i="5"/>
  <c r="F1637" i="5"/>
  <c r="F1636" i="5"/>
  <c r="F1635" i="5"/>
  <c r="F1634" i="5"/>
  <c r="F1633" i="5"/>
  <c r="F1632" i="5"/>
  <c r="F1631" i="5"/>
  <c r="F1630" i="5"/>
  <c r="F1629" i="5"/>
  <c r="F1628" i="5"/>
  <c r="F1627" i="5"/>
  <c r="F1626" i="5"/>
  <c r="F1625" i="5"/>
  <c r="F1624" i="5"/>
  <c r="F1623" i="5"/>
  <c r="F1622" i="5"/>
  <c r="F1621" i="5"/>
  <c r="F1620" i="5"/>
  <c r="F1619" i="5"/>
  <c r="F1618" i="5"/>
  <c r="F1617" i="5"/>
  <c r="F1616" i="5"/>
  <c r="F1615" i="5"/>
  <c r="F1614" i="5"/>
  <c r="F1613" i="5"/>
  <c r="F1612" i="5"/>
  <c r="F1611" i="5"/>
  <c r="F1610" i="5"/>
  <c r="F1609" i="5"/>
  <c r="F1608" i="5"/>
  <c r="F1607" i="5"/>
  <c r="F1606" i="5"/>
  <c r="F1605" i="5"/>
  <c r="F1604" i="5"/>
  <c r="F1603" i="5"/>
  <c r="F1602" i="5"/>
  <c r="F1601" i="5"/>
  <c r="F1600" i="5"/>
  <c r="F1599" i="5"/>
  <c r="F1598" i="5"/>
  <c r="F1597" i="5"/>
  <c r="F1596" i="5"/>
  <c r="F1595" i="5"/>
  <c r="F1594" i="5"/>
  <c r="F1593" i="5"/>
  <c r="F1592" i="5"/>
  <c r="F1591" i="5"/>
  <c r="F1590" i="5"/>
  <c r="F1589" i="5"/>
  <c r="F1588" i="5"/>
  <c r="F1587" i="5"/>
  <c r="F1586" i="5"/>
  <c r="F1585" i="5"/>
  <c r="F1584" i="5"/>
  <c r="F1583" i="5"/>
  <c r="F1582" i="5"/>
  <c r="F1581" i="5"/>
  <c r="F1580" i="5"/>
  <c r="F1579" i="5"/>
  <c r="F1578" i="5"/>
  <c r="F1577" i="5"/>
  <c r="F1576" i="5"/>
  <c r="F1575" i="5"/>
  <c r="F1574" i="5"/>
  <c r="F1573" i="5"/>
  <c r="F1572" i="5"/>
  <c r="F1571" i="5"/>
  <c r="F1570" i="5"/>
  <c r="F1569" i="5"/>
  <c r="F1568" i="5"/>
  <c r="F1567" i="5"/>
  <c r="F1566" i="5"/>
  <c r="F1565" i="5"/>
  <c r="F1564" i="5"/>
  <c r="F1563" i="5"/>
  <c r="F1562" i="5"/>
  <c r="F1561" i="5"/>
  <c r="F1560" i="5"/>
  <c r="F1559" i="5"/>
  <c r="F1558" i="5"/>
  <c r="F1557" i="5"/>
  <c r="F1556" i="5"/>
  <c r="F1555" i="5"/>
  <c r="F1554" i="5"/>
  <c r="F1553" i="5"/>
  <c r="F1552" i="5"/>
  <c r="F1551" i="5"/>
  <c r="F1550" i="5"/>
  <c r="F1549" i="5"/>
  <c r="F1548" i="5"/>
  <c r="F1547" i="5"/>
  <c r="F1546" i="5"/>
  <c r="F1545" i="5"/>
  <c r="F1544" i="5"/>
  <c r="F1543" i="5"/>
  <c r="F1542" i="5"/>
  <c r="F1541" i="5"/>
  <c r="F1540" i="5"/>
  <c r="F1539" i="5"/>
  <c r="F1538" i="5"/>
  <c r="F1537" i="5"/>
  <c r="F1536" i="5"/>
  <c r="F1535" i="5"/>
  <c r="F1534" i="5"/>
  <c r="F1533" i="5"/>
  <c r="F1532" i="5"/>
  <c r="F1531" i="5"/>
  <c r="F1530" i="5"/>
  <c r="F1529" i="5"/>
  <c r="F1528" i="5"/>
  <c r="F1527" i="5"/>
  <c r="F1526" i="5"/>
  <c r="F1525" i="5"/>
  <c r="F1524" i="5"/>
  <c r="F1523" i="5"/>
  <c r="F1522" i="5"/>
  <c r="F1521" i="5"/>
  <c r="F1520" i="5"/>
  <c r="F1519" i="5"/>
  <c r="F1518" i="5"/>
  <c r="F1517" i="5"/>
  <c r="F1516" i="5"/>
  <c r="F1515" i="5"/>
  <c r="F1514" i="5"/>
  <c r="F1513" i="5"/>
  <c r="F1512" i="5"/>
  <c r="F1511" i="5"/>
  <c r="F1510" i="5"/>
  <c r="F1509" i="5"/>
  <c r="F1508" i="5"/>
  <c r="F1507" i="5"/>
  <c r="F1506" i="5"/>
  <c r="F1505" i="5"/>
  <c r="F1504" i="5"/>
  <c r="F1503" i="5"/>
  <c r="F1502" i="5"/>
  <c r="F1501" i="5"/>
  <c r="F1500" i="5"/>
  <c r="F1499" i="5"/>
  <c r="F1498" i="5"/>
  <c r="F1497" i="5"/>
  <c r="F1496" i="5"/>
  <c r="F1495" i="5"/>
  <c r="F1494" i="5"/>
  <c r="F1493" i="5"/>
  <c r="F1492" i="5"/>
  <c r="F1491" i="5"/>
  <c r="F1490" i="5"/>
  <c r="F1489" i="5"/>
  <c r="F1488" i="5"/>
  <c r="F1487" i="5"/>
  <c r="F1486" i="5"/>
  <c r="F1485" i="5"/>
  <c r="F1484" i="5"/>
  <c r="F1483" i="5"/>
  <c r="F1482" i="5"/>
  <c r="F1481" i="5"/>
  <c r="F1480" i="5"/>
  <c r="F1479" i="5"/>
  <c r="F1478" i="5"/>
  <c r="F1477" i="5"/>
  <c r="F1476" i="5"/>
  <c r="F1475" i="5"/>
  <c r="F1474" i="5"/>
  <c r="F1473" i="5"/>
  <c r="F1472" i="5"/>
  <c r="F1471" i="5"/>
  <c r="F1470" i="5"/>
  <c r="F1469" i="5"/>
  <c r="F1468" i="5"/>
  <c r="F1467" i="5"/>
  <c r="F1466" i="5"/>
  <c r="F1465" i="5"/>
  <c r="F1464" i="5"/>
  <c r="F1463" i="5"/>
  <c r="F1462" i="5"/>
  <c r="F1461" i="5"/>
  <c r="F1460" i="5"/>
  <c r="F1459" i="5"/>
  <c r="F1458" i="5"/>
  <c r="F1457" i="5"/>
  <c r="F1456" i="5"/>
  <c r="F1455" i="5"/>
  <c r="F1454" i="5"/>
  <c r="F1453" i="5"/>
  <c r="F1452" i="5"/>
  <c r="F1451" i="5"/>
  <c r="F1450" i="5"/>
  <c r="F1449" i="5"/>
  <c r="F1448" i="5"/>
  <c r="F1447" i="5"/>
  <c r="F1446" i="5"/>
  <c r="F1445" i="5"/>
  <c r="F1444" i="5"/>
  <c r="F1443" i="5"/>
  <c r="F1442" i="5"/>
  <c r="F1441" i="5"/>
  <c r="F1440" i="5"/>
  <c r="F1439" i="5"/>
  <c r="F1438" i="5"/>
  <c r="F1437" i="5"/>
  <c r="F1436" i="5"/>
  <c r="F1435" i="5"/>
  <c r="F1434" i="5"/>
  <c r="F1433" i="5"/>
  <c r="F1432" i="5"/>
  <c r="F1431" i="5"/>
  <c r="F1430" i="5"/>
  <c r="F1429" i="5"/>
  <c r="F1428" i="5"/>
  <c r="F1427" i="5"/>
  <c r="F1426" i="5"/>
  <c r="F1425" i="5"/>
  <c r="F1424" i="5"/>
  <c r="F1423" i="5"/>
  <c r="F1422" i="5"/>
  <c r="F1421" i="5"/>
  <c r="F1420" i="5"/>
  <c r="F1419" i="5"/>
  <c r="F1418" i="5"/>
  <c r="F1417" i="5"/>
  <c r="F1416" i="5"/>
  <c r="F1415" i="5"/>
  <c r="F1414" i="5"/>
  <c r="F1413" i="5"/>
  <c r="F1412" i="5"/>
  <c r="F1411" i="5"/>
  <c r="F1410" i="5"/>
  <c r="F1409" i="5"/>
  <c r="F1408" i="5"/>
  <c r="F1407" i="5"/>
  <c r="F1406" i="5"/>
  <c r="F1405" i="5"/>
  <c r="F1404" i="5"/>
  <c r="F1403" i="5"/>
  <c r="F1402" i="5"/>
  <c r="F1401" i="5"/>
  <c r="F1400" i="5"/>
  <c r="F1399" i="5"/>
  <c r="F1398" i="5"/>
  <c r="F1397" i="5"/>
  <c r="F1396" i="5"/>
  <c r="F1395" i="5"/>
  <c r="F1394" i="5"/>
  <c r="F1393" i="5"/>
  <c r="F1392" i="5"/>
  <c r="F1391" i="5"/>
  <c r="F1390" i="5"/>
  <c r="F1389" i="5"/>
  <c r="F1388" i="5"/>
  <c r="F1387" i="5"/>
  <c r="F1386" i="5"/>
  <c r="F1385" i="5"/>
  <c r="F1384" i="5"/>
  <c r="F1383" i="5"/>
  <c r="F1382" i="5"/>
  <c r="F1381" i="5"/>
  <c r="F1380" i="5"/>
  <c r="F1379" i="5"/>
  <c r="F1378" i="5"/>
  <c r="F1377" i="5"/>
  <c r="F1376" i="5"/>
  <c r="F1375" i="5"/>
  <c r="F1374" i="5"/>
  <c r="F1373" i="5"/>
  <c r="F1372" i="5"/>
  <c r="F1371" i="5"/>
  <c r="F1370" i="5"/>
  <c r="F1369" i="5"/>
  <c r="F1368" i="5"/>
  <c r="F1367" i="5"/>
  <c r="F1366" i="5"/>
  <c r="F1365" i="5"/>
  <c r="F1364" i="5"/>
  <c r="F1363" i="5"/>
  <c r="F1362" i="5"/>
  <c r="F1361" i="5"/>
  <c r="F1360" i="5"/>
  <c r="F1359" i="5"/>
  <c r="F1358" i="5"/>
  <c r="F1357" i="5"/>
  <c r="F1356" i="5"/>
  <c r="F1355" i="5"/>
  <c r="F1354" i="5"/>
  <c r="F1353" i="5"/>
  <c r="F1352" i="5"/>
  <c r="F1351" i="5"/>
  <c r="F1350" i="5"/>
  <c r="F1349" i="5"/>
  <c r="F1348" i="5"/>
  <c r="F1347" i="5"/>
  <c r="F1346" i="5"/>
  <c r="F1345" i="5"/>
  <c r="F1344" i="5"/>
  <c r="F1343" i="5"/>
  <c r="F1342" i="5"/>
  <c r="F1341" i="5"/>
  <c r="F1340" i="5"/>
  <c r="F1339" i="5"/>
  <c r="F1338" i="5"/>
  <c r="F1337" i="5"/>
  <c r="F1336" i="5"/>
  <c r="F1335" i="5"/>
  <c r="F1334" i="5"/>
  <c r="F1333" i="5"/>
  <c r="F1332" i="5"/>
  <c r="F1331" i="5"/>
  <c r="F1330" i="5"/>
  <c r="F1329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F1298" i="5"/>
  <c r="F1297" i="5"/>
  <c r="F1296" i="5"/>
  <c r="F1295" i="5"/>
  <c r="F1294" i="5"/>
  <c r="F1293" i="5"/>
  <c r="F1292" i="5"/>
  <c r="F1291" i="5"/>
  <c r="F1290" i="5"/>
  <c r="F1289" i="5"/>
  <c r="F1288" i="5"/>
  <c r="F1287" i="5"/>
  <c r="F1286" i="5"/>
  <c r="F1285" i="5"/>
  <c r="F1284" i="5"/>
  <c r="F1283" i="5"/>
  <c r="F1282" i="5"/>
  <c r="F1281" i="5"/>
  <c r="F1280" i="5"/>
  <c r="F1279" i="5"/>
  <c r="F1278" i="5"/>
  <c r="F1277" i="5"/>
  <c r="F1276" i="5"/>
  <c r="F1275" i="5"/>
  <c r="F1274" i="5"/>
  <c r="F1273" i="5"/>
  <c r="F1272" i="5"/>
  <c r="F1271" i="5"/>
  <c r="F1270" i="5"/>
  <c r="F1269" i="5"/>
  <c r="F1268" i="5"/>
  <c r="F1267" i="5"/>
  <c r="F1266" i="5"/>
  <c r="F1265" i="5"/>
  <c r="F1264" i="5"/>
  <c r="F1263" i="5"/>
  <c r="F1262" i="5"/>
  <c r="F1261" i="5"/>
  <c r="F1260" i="5"/>
  <c r="F1259" i="5"/>
  <c r="F1258" i="5"/>
  <c r="F1257" i="5"/>
  <c r="F1256" i="5"/>
  <c r="F1255" i="5"/>
  <c r="F1254" i="5"/>
  <c r="F1253" i="5"/>
  <c r="F1252" i="5"/>
  <c r="F1251" i="5"/>
  <c r="F1250" i="5"/>
  <c r="F1249" i="5"/>
  <c r="F1248" i="5"/>
  <c r="F1247" i="5"/>
  <c r="F1246" i="5"/>
  <c r="F1245" i="5"/>
  <c r="F1244" i="5"/>
  <c r="F1243" i="5"/>
  <c r="F1242" i="5"/>
  <c r="F1241" i="5"/>
  <c r="F1240" i="5"/>
  <c r="F1239" i="5"/>
  <c r="F1238" i="5"/>
  <c r="F1237" i="5"/>
  <c r="F1236" i="5"/>
  <c r="F1235" i="5"/>
  <c r="F1234" i="5"/>
  <c r="F1233" i="5"/>
  <c r="F1232" i="5"/>
  <c r="F1231" i="5"/>
  <c r="F1230" i="5"/>
  <c r="F1229" i="5"/>
  <c r="F1228" i="5"/>
  <c r="F1227" i="5"/>
  <c r="F1226" i="5"/>
  <c r="F1225" i="5"/>
  <c r="F1224" i="5"/>
  <c r="F1223" i="5"/>
  <c r="F1222" i="5"/>
  <c r="F1221" i="5"/>
  <c r="F1220" i="5"/>
  <c r="F1219" i="5"/>
  <c r="F1218" i="5"/>
  <c r="F1217" i="5"/>
  <c r="F1216" i="5"/>
  <c r="F1215" i="5"/>
  <c r="F1214" i="5"/>
  <c r="F1213" i="5"/>
  <c r="F1212" i="5"/>
  <c r="F1211" i="5"/>
  <c r="F1210" i="5"/>
  <c r="F1209" i="5"/>
  <c r="F1208" i="5"/>
  <c r="F1207" i="5"/>
  <c r="F1206" i="5"/>
  <c r="F1205" i="5"/>
  <c r="F1204" i="5"/>
  <c r="F1203" i="5"/>
  <c r="F1202" i="5"/>
  <c r="F1201" i="5"/>
  <c r="F1200" i="5"/>
  <c r="F1199" i="5"/>
  <c r="F1198" i="5"/>
  <c r="F1197" i="5"/>
  <c r="F1196" i="5"/>
  <c r="F1195" i="5"/>
  <c r="F1194" i="5"/>
  <c r="F1193" i="5"/>
  <c r="F1192" i="5"/>
  <c r="F1191" i="5"/>
  <c r="F1190" i="5"/>
  <c r="F1189" i="5"/>
  <c r="F1188" i="5"/>
  <c r="F1187" i="5"/>
  <c r="F1186" i="5"/>
  <c r="F1185" i="5"/>
  <c r="F1184" i="5"/>
  <c r="F1183" i="5"/>
  <c r="F1182" i="5"/>
  <c r="F1181" i="5"/>
  <c r="F1180" i="5"/>
  <c r="F1179" i="5"/>
  <c r="F1178" i="5"/>
  <c r="F1177" i="5"/>
  <c r="F1176" i="5"/>
  <c r="F1175" i="5"/>
  <c r="F1174" i="5"/>
  <c r="F1173" i="5"/>
  <c r="F1172" i="5"/>
  <c r="F1171" i="5"/>
  <c r="F1170" i="5"/>
  <c r="F1169" i="5"/>
  <c r="F1168" i="5"/>
  <c r="F1167" i="5"/>
  <c r="F1166" i="5"/>
  <c r="F1165" i="5"/>
  <c r="F1164" i="5"/>
  <c r="F1163" i="5"/>
  <c r="F1162" i="5"/>
  <c r="F1161" i="5"/>
  <c r="F1160" i="5"/>
  <c r="F1159" i="5"/>
  <c r="F1158" i="5"/>
  <c r="F1157" i="5"/>
  <c r="F1156" i="5"/>
  <c r="F1155" i="5"/>
  <c r="F1154" i="5"/>
  <c r="F1153" i="5"/>
  <c r="F1152" i="5"/>
  <c r="F1151" i="5"/>
  <c r="F1150" i="5"/>
  <c r="F1149" i="5"/>
  <c r="F1148" i="5"/>
  <c r="F1147" i="5"/>
  <c r="F1146" i="5"/>
  <c r="F1145" i="5"/>
  <c r="F1144" i="5"/>
  <c r="F1143" i="5"/>
  <c r="F1142" i="5"/>
  <c r="F1141" i="5"/>
  <c r="F1140" i="5"/>
  <c r="F1139" i="5"/>
  <c r="F1138" i="5"/>
  <c r="F1137" i="5"/>
  <c r="F1136" i="5"/>
  <c r="F1135" i="5"/>
  <c r="F1134" i="5"/>
  <c r="F1133" i="5"/>
  <c r="F1132" i="5"/>
  <c r="F1131" i="5"/>
  <c r="F1130" i="5"/>
  <c r="F1129" i="5"/>
  <c r="F1128" i="5"/>
  <c r="F1127" i="5"/>
  <c r="F1126" i="5"/>
  <c r="F1125" i="5"/>
  <c r="F1124" i="5"/>
  <c r="F1123" i="5"/>
  <c r="F1122" i="5"/>
  <c r="F1121" i="5"/>
  <c r="F1120" i="5"/>
  <c r="F1119" i="5"/>
  <c r="F1118" i="5"/>
  <c r="F1117" i="5"/>
  <c r="F1116" i="5"/>
  <c r="F1115" i="5"/>
  <c r="F1114" i="5"/>
  <c r="F1113" i="5"/>
  <c r="F1112" i="5"/>
  <c r="F1111" i="5"/>
  <c r="F1110" i="5"/>
  <c r="F1109" i="5"/>
  <c r="F1108" i="5"/>
  <c r="F1107" i="5"/>
  <c r="F1106" i="5"/>
  <c r="F1105" i="5"/>
  <c r="F1104" i="5"/>
  <c r="F1103" i="5"/>
  <c r="F1102" i="5"/>
  <c r="F1101" i="5"/>
  <c r="F1100" i="5"/>
  <c r="F1099" i="5"/>
  <c r="F1098" i="5"/>
  <c r="F1097" i="5"/>
  <c r="F1096" i="5"/>
  <c r="F1095" i="5"/>
  <c r="F1094" i="5"/>
  <c r="F1093" i="5"/>
  <c r="F1092" i="5"/>
  <c r="F1091" i="5"/>
  <c r="F1090" i="5"/>
  <c r="F1089" i="5"/>
  <c r="F1088" i="5"/>
  <c r="F1087" i="5"/>
  <c r="F1086" i="5"/>
  <c r="F1085" i="5"/>
  <c r="F1084" i="5"/>
  <c r="F1083" i="5"/>
  <c r="F1082" i="5"/>
  <c r="F1081" i="5"/>
  <c r="F1080" i="5"/>
  <c r="F1079" i="5"/>
  <c r="F1078" i="5"/>
  <c r="F1077" i="5"/>
  <c r="F1076" i="5"/>
  <c r="F1075" i="5"/>
  <c r="F1074" i="5"/>
  <c r="F1073" i="5"/>
  <c r="F1072" i="5"/>
  <c r="F1071" i="5"/>
  <c r="F1070" i="5"/>
  <c r="F1069" i="5"/>
  <c r="F1068" i="5"/>
  <c r="F1067" i="5"/>
  <c r="F1066" i="5"/>
  <c r="F1065" i="5"/>
  <c r="F1064" i="5"/>
  <c r="F1063" i="5"/>
  <c r="F1062" i="5"/>
  <c r="F1061" i="5"/>
  <c r="F1060" i="5"/>
  <c r="F1059" i="5"/>
  <c r="F1058" i="5"/>
  <c r="F1057" i="5"/>
  <c r="F1056" i="5"/>
  <c r="F1055" i="5"/>
  <c r="F1054" i="5"/>
  <c r="L1053" i="5"/>
  <c r="F1053" i="5"/>
  <c r="L1052" i="5"/>
  <c r="F1052" i="5"/>
  <c r="L1051" i="5"/>
  <c r="F1051" i="5"/>
  <c r="L1050" i="5"/>
  <c r="F1050" i="5"/>
  <c r="L1049" i="5"/>
  <c r="F1049" i="5"/>
  <c r="L1048" i="5"/>
  <c r="F1048" i="5"/>
  <c r="L1047" i="5"/>
  <c r="F1047" i="5"/>
  <c r="L1046" i="5"/>
  <c r="F1046" i="5"/>
  <c r="L1045" i="5"/>
  <c r="F1045" i="5"/>
  <c r="L1044" i="5"/>
  <c r="F1044" i="5"/>
  <c r="L1043" i="5"/>
  <c r="F1043" i="5"/>
  <c r="L1042" i="5"/>
  <c r="F1042" i="5"/>
  <c r="L1041" i="5"/>
  <c r="F1041" i="5"/>
  <c r="L1040" i="5"/>
  <c r="F1040" i="5"/>
  <c r="L1039" i="5"/>
  <c r="F1039" i="5"/>
  <c r="L1038" i="5"/>
  <c r="F1038" i="5"/>
  <c r="L1037" i="5"/>
  <c r="F1037" i="5"/>
  <c r="L1036" i="5"/>
  <c r="F1036" i="5"/>
  <c r="L1035" i="5"/>
  <c r="F1035" i="5"/>
  <c r="L1034" i="5"/>
  <c r="F1034" i="5"/>
  <c r="L1033" i="5"/>
  <c r="F1033" i="5"/>
  <c r="M1032" i="5"/>
  <c r="L1032" i="5"/>
  <c r="F1032" i="5"/>
  <c r="M1031" i="5"/>
  <c r="L1031" i="5"/>
  <c r="F1031" i="5"/>
  <c r="M1030" i="5"/>
  <c r="L1030" i="5"/>
  <c r="F1030" i="5"/>
  <c r="M1029" i="5"/>
  <c r="L1029" i="5"/>
  <c r="F1029" i="5"/>
  <c r="M1028" i="5"/>
  <c r="L1028" i="5"/>
  <c r="F1028" i="5"/>
  <c r="M1027" i="5"/>
  <c r="L1027" i="5"/>
  <c r="F1027" i="5"/>
  <c r="M1026" i="5"/>
  <c r="L1026" i="5"/>
  <c r="F1026" i="5"/>
  <c r="M1025" i="5"/>
  <c r="L1025" i="5"/>
  <c r="F1025" i="5"/>
  <c r="M1024" i="5"/>
  <c r="L1024" i="5"/>
  <c r="F1024" i="5"/>
  <c r="M1023" i="5"/>
  <c r="L1023" i="5"/>
  <c r="F1023" i="5"/>
  <c r="M1022" i="5"/>
  <c r="L1022" i="5"/>
  <c r="F1022" i="5"/>
  <c r="M1021" i="5"/>
  <c r="L1021" i="5"/>
  <c r="F1021" i="5"/>
  <c r="M1020" i="5"/>
  <c r="L1020" i="5"/>
  <c r="F1020" i="5"/>
  <c r="M1019" i="5"/>
  <c r="L1019" i="5"/>
  <c r="F1019" i="5"/>
  <c r="M1018" i="5"/>
  <c r="L1018" i="5"/>
  <c r="F1018" i="5"/>
  <c r="M1017" i="5"/>
  <c r="L1017" i="5"/>
  <c r="F1017" i="5"/>
  <c r="M1016" i="5"/>
  <c r="L1016" i="5"/>
  <c r="F1016" i="5"/>
  <c r="M1015" i="5"/>
  <c r="L1015" i="5"/>
  <c r="F1015" i="5"/>
  <c r="M1014" i="5"/>
  <c r="L1014" i="5"/>
  <c r="F1014" i="5"/>
  <c r="M1013" i="5"/>
  <c r="L1013" i="5"/>
  <c r="F1013" i="5"/>
  <c r="M1012" i="5"/>
  <c r="L1012" i="5"/>
  <c r="F1012" i="5"/>
  <c r="M1011" i="5"/>
  <c r="L1011" i="5"/>
  <c r="F1011" i="5"/>
  <c r="M1010" i="5"/>
  <c r="L1010" i="5"/>
  <c r="F1010" i="5"/>
  <c r="M1009" i="5"/>
  <c r="L1009" i="5"/>
  <c r="F1009" i="5"/>
  <c r="M1008" i="5"/>
  <c r="L1008" i="5"/>
  <c r="F1008" i="5"/>
  <c r="M1007" i="5"/>
  <c r="L1007" i="5"/>
  <c r="F1007" i="5"/>
  <c r="M1006" i="5"/>
  <c r="L1006" i="5"/>
  <c r="F1006" i="5"/>
  <c r="M1005" i="5"/>
  <c r="L1005" i="5"/>
  <c r="F1005" i="5"/>
  <c r="M1004" i="5"/>
  <c r="L1004" i="5"/>
  <c r="F1004" i="5"/>
  <c r="M1003" i="5"/>
  <c r="L1003" i="5"/>
  <c r="F1003" i="5"/>
  <c r="M1002" i="5"/>
  <c r="L1002" i="5"/>
  <c r="F1002" i="5"/>
  <c r="M1001" i="5"/>
  <c r="L1001" i="5"/>
  <c r="F1001" i="5"/>
  <c r="M1000" i="5"/>
  <c r="L1000" i="5"/>
  <c r="F1000" i="5"/>
  <c r="M999" i="5"/>
  <c r="L999" i="5"/>
  <c r="F999" i="5"/>
  <c r="M998" i="5"/>
  <c r="L998" i="5"/>
  <c r="F998" i="5"/>
  <c r="M997" i="5"/>
  <c r="L997" i="5"/>
  <c r="F997" i="5"/>
  <c r="M996" i="5"/>
  <c r="L996" i="5"/>
  <c r="F996" i="5"/>
  <c r="M995" i="5"/>
  <c r="L995" i="5"/>
  <c r="F995" i="5"/>
  <c r="M994" i="5"/>
  <c r="L994" i="5"/>
  <c r="F994" i="5"/>
  <c r="M993" i="5"/>
  <c r="L993" i="5"/>
  <c r="F993" i="5"/>
  <c r="M992" i="5"/>
  <c r="L992" i="5"/>
  <c r="F992" i="5"/>
  <c r="M991" i="5"/>
  <c r="L991" i="5"/>
  <c r="F991" i="5"/>
  <c r="M990" i="5"/>
  <c r="L990" i="5"/>
  <c r="F990" i="5"/>
  <c r="M989" i="5"/>
  <c r="L989" i="5"/>
  <c r="F989" i="5"/>
  <c r="M988" i="5"/>
  <c r="L988" i="5"/>
  <c r="F988" i="5"/>
  <c r="M987" i="5"/>
  <c r="L987" i="5"/>
  <c r="F987" i="5"/>
  <c r="M986" i="5"/>
  <c r="L986" i="5"/>
  <c r="F986" i="5"/>
  <c r="M985" i="5"/>
  <c r="L985" i="5"/>
  <c r="F985" i="5"/>
  <c r="M984" i="5"/>
  <c r="L984" i="5"/>
  <c r="F984" i="5"/>
  <c r="M983" i="5"/>
  <c r="L983" i="5"/>
  <c r="F983" i="5"/>
  <c r="M982" i="5"/>
  <c r="L982" i="5"/>
  <c r="F982" i="5"/>
  <c r="M981" i="5"/>
  <c r="L981" i="5"/>
  <c r="F981" i="5"/>
  <c r="M980" i="5"/>
  <c r="L980" i="5"/>
  <c r="F980" i="5"/>
  <c r="M979" i="5"/>
  <c r="L979" i="5"/>
  <c r="F979" i="5"/>
  <c r="M978" i="5"/>
  <c r="L978" i="5"/>
  <c r="F978" i="5"/>
  <c r="M977" i="5"/>
  <c r="L977" i="5"/>
  <c r="F977" i="5"/>
  <c r="M976" i="5"/>
  <c r="L976" i="5"/>
  <c r="F976" i="5"/>
  <c r="M975" i="5"/>
  <c r="L975" i="5"/>
  <c r="F975" i="5"/>
  <c r="M974" i="5"/>
  <c r="L974" i="5"/>
  <c r="F974" i="5"/>
  <c r="M973" i="5"/>
  <c r="L973" i="5"/>
  <c r="F973" i="5"/>
  <c r="M972" i="5"/>
  <c r="L972" i="5"/>
  <c r="F972" i="5"/>
  <c r="M971" i="5"/>
  <c r="L971" i="5"/>
  <c r="F971" i="5"/>
  <c r="M970" i="5"/>
  <c r="L970" i="5"/>
  <c r="F970" i="5"/>
  <c r="M969" i="5"/>
  <c r="L969" i="5"/>
  <c r="F969" i="5"/>
  <c r="M968" i="5"/>
  <c r="L968" i="5"/>
  <c r="F968" i="5"/>
  <c r="M967" i="5"/>
  <c r="L967" i="5"/>
  <c r="F967" i="5"/>
  <c r="M966" i="5"/>
  <c r="L966" i="5"/>
  <c r="F966" i="5"/>
  <c r="M965" i="5"/>
  <c r="L965" i="5"/>
  <c r="F965" i="5"/>
  <c r="M964" i="5"/>
  <c r="L964" i="5"/>
  <c r="F964" i="5"/>
  <c r="M963" i="5"/>
  <c r="L963" i="5"/>
  <c r="F963" i="5"/>
  <c r="M962" i="5"/>
  <c r="L962" i="5"/>
  <c r="F962" i="5"/>
  <c r="M961" i="5"/>
  <c r="L961" i="5"/>
  <c r="F961" i="5"/>
  <c r="M960" i="5"/>
  <c r="L960" i="5"/>
  <c r="F960" i="5"/>
  <c r="M959" i="5"/>
  <c r="L959" i="5"/>
  <c r="F959" i="5"/>
  <c r="M958" i="5"/>
  <c r="L958" i="5"/>
  <c r="F958" i="5"/>
  <c r="M957" i="5"/>
  <c r="L957" i="5"/>
  <c r="F957" i="5"/>
  <c r="M956" i="5"/>
  <c r="L956" i="5"/>
  <c r="F956" i="5"/>
  <c r="M955" i="5"/>
  <c r="L955" i="5"/>
  <c r="F955" i="5"/>
  <c r="M954" i="5"/>
  <c r="L954" i="5"/>
  <c r="F954" i="5"/>
  <c r="M953" i="5"/>
  <c r="L953" i="5"/>
  <c r="F953" i="5"/>
  <c r="M952" i="5"/>
  <c r="L952" i="5"/>
  <c r="F952" i="5"/>
  <c r="M951" i="5"/>
  <c r="L951" i="5"/>
  <c r="F951" i="5"/>
  <c r="M950" i="5"/>
  <c r="L950" i="5"/>
  <c r="F950" i="5"/>
  <c r="M949" i="5"/>
  <c r="L949" i="5"/>
  <c r="F949" i="5"/>
  <c r="M948" i="5"/>
  <c r="L948" i="5"/>
  <c r="F948" i="5"/>
  <c r="M947" i="5"/>
  <c r="L947" i="5"/>
  <c r="F947" i="5"/>
  <c r="M946" i="5"/>
  <c r="L946" i="5"/>
  <c r="F946" i="5"/>
  <c r="M945" i="5"/>
  <c r="L945" i="5"/>
  <c r="F945" i="5"/>
  <c r="M944" i="5"/>
  <c r="L944" i="5"/>
  <c r="F944" i="5"/>
  <c r="M943" i="5"/>
  <c r="L943" i="5"/>
  <c r="F943" i="5"/>
  <c r="M942" i="5"/>
  <c r="L942" i="5"/>
  <c r="F942" i="5"/>
  <c r="M941" i="5"/>
  <c r="L941" i="5"/>
  <c r="F941" i="5"/>
  <c r="M940" i="5"/>
  <c r="L940" i="5"/>
  <c r="F940" i="5"/>
  <c r="M939" i="5"/>
  <c r="L939" i="5"/>
  <c r="F939" i="5"/>
  <c r="M938" i="5"/>
  <c r="L938" i="5"/>
  <c r="F938" i="5"/>
  <c r="M937" i="5"/>
  <c r="L937" i="5"/>
  <c r="F937" i="5"/>
  <c r="M936" i="5"/>
  <c r="L936" i="5"/>
  <c r="F936" i="5"/>
  <c r="M935" i="5"/>
  <c r="L935" i="5"/>
  <c r="F935" i="5"/>
  <c r="M934" i="5"/>
  <c r="L934" i="5"/>
  <c r="F934" i="5"/>
  <c r="M933" i="5"/>
  <c r="L933" i="5"/>
  <c r="F933" i="5"/>
  <c r="M932" i="5"/>
  <c r="L932" i="5"/>
  <c r="F932" i="5"/>
  <c r="M931" i="5"/>
  <c r="L931" i="5"/>
  <c r="F931" i="5"/>
  <c r="M930" i="5"/>
  <c r="L930" i="5"/>
  <c r="F930" i="5"/>
  <c r="M929" i="5"/>
  <c r="L929" i="5"/>
  <c r="F929" i="5"/>
  <c r="M928" i="5"/>
  <c r="L928" i="5"/>
  <c r="F928" i="5"/>
  <c r="M927" i="5"/>
  <c r="L927" i="5"/>
  <c r="F927" i="5"/>
  <c r="M926" i="5"/>
  <c r="L926" i="5"/>
  <c r="F926" i="5"/>
  <c r="M925" i="5"/>
  <c r="L925" i="5"/>
  <c r="F925" i="5"/>
  <c r="M924" i="5"/>
  <c r="L924" i="5"/>
  <c r="F924" i="5"/>
  <c r="M923" i="5"/>
  <c r="L923" i="5"/>
  <c r="F923" i="5"/>
  <c r="M922" i="5"/>
  <c r="L922" i="5"/>
  <c r="F922" i="5"/>
  <c r="M921" i="5"/>
  <c r="L921" i="5"/>
  <c r="F921" i="5"/>
  <c r="M920" i="5"/>
  <c r="L920" i="5"/>
  <c r="F920" i="5"/>
  <c r="M919" i="5"/>
  <c r="L919" i="5"/>
  <c r="F919" i="5"/>
  <c r="M918" i="5"/>
  <c r="L918" i="5"/>
  <c r="F918" i="5"/>
  <c r="M917" i="5"/>
  <c r="L917" i="5"/>
  <c r="F917" i="5"/>
  <c r="M916" i="5"/>
  <c r="L916" i="5"/>
  <c r="F916" i="5"/>
  <c r="M915" i="5"/>
  <c r="L915" i="5"/>
  <c r="F915" i="5"/>
  <c r="M914" i="5"/>
  <c r="L914" i="5"/>
  <c r="F914" i="5"/>
  <c r="M913" i="5"/>
  <c r="L913" i="5"/>
  <c r="F913" i="5"/>
  <c r="M912" i="5"/>
  <c r="L912" i="5"/>
  <c r="F912" i="5"/>
  <c r="M911" i="5"/>
  <c r="L911" i="5"/>
  <c r="F911" i="5"/>
  <c r="M910" i="5"/>
  <c r="L910" i="5"/>
  <c r="F910" i="5"/>
  <c r="M909" i="5"/>
  <c r="L909" i="5"/>
  <c r="F909" i="5"/>
  <c r="M908" i="5"/>
  <c r="L908" i="5"/>
  <c r="F908" i="5"/>
  <c r="M907" i="5"/>
  <c r="L907" i="5"/>
  <c r="F907" i="5"/>
  <c r="M906" i="5"/>
  <c r="L906" i="5"/>
  <c r="F906" i="5"/>
  <c r="M905" i="5"/>
  <c r="L905" i="5"/>
  <c r="F905" i="5"/>
  <c r="M904" i="5"/>
  <c r="L904" i="5"/>
  <c r="F904" i="5"/>
  <c r="M903" i="5"/>
  <c r="L903" i="5"/>
  <c r="F903" i="5"/>
  <c r="M902" i="5"/>
  <c r="L902" i="5"/>
  <c r="F902" i="5"/>
  <c r="M901" i="5"/>
  <c r="L901" i="5"/>
  <c r="F901" i="5"/>
  <c r="M900" i="5"/>
  <c r="L900" i="5"/>
  <c r="F900" i="5"/>
  <c r="M899" i="5"/>
  <c r="L899" i="5"/>
  <c r="F899" i="5"/>
  <c r="M898" i="5"/>
  <c r="L898" i="5"/>
  <c r="F898" i="5"/>
  <c r="M897" i="5"/>
  <c r="L897" i="5"/>
  <c r="F897" i="5"/>
  <c r="M896" i="5"/>
  <c r="L896" i="5"/>
  <c r="F896" i="5"/>
  <c r="M895" i="5"/>
  <c r="L895" i="5"/>
  <c r="F895" i="5"/>
  <c r="M894" i="5"/>
  <c r="L894" i="5"/>
  <c r="F894" i="5"/>
  <c r="M893" i="5"/>
  <c r="L893" i="5"/>
  <c r="F893" i="5"/>
  <c r="M892" i="5"/>
  <c r="L892" i="5"/>
  <c r="F892" i="5"/>
  <c r="M891" i="5"/>
  <c r="L891" i="5"/>
  <c r="F891" i="5"/>
  <c r="M890" i="5"/>
  <c r="L890" i="5"/>
  <c r="F890" i="5"/>
  <c r="M889" i="5"/>
  <c r="L889" i="5"/>
  <c r="F889" i="5"/>
  <c r="M888" i="5"/>
  <c r="L888" i="5"/>
  <c r="F888" i="5"/>
  <c r="M887" i="5"/>
  <c r="L887" i="5"/>
  <c r="F887" i="5"/>
  <c r="M886" i="5"/>
  <c r="L886" i="5"/>
  <c r="F886" i="5"/>
  <c r="M885" i="5"/>
  <c r="L885" i="5"/>
  <c r="F885" i="5"/>
  <c r="M884" i="5"/>
  <c r="L884" i="5"/>
  <c r="F884" i="5"/>
  <c r="M883" i="5"/>
  <c r="L883" i="5"/>
  <c r="F883" i="5"/>
  <c r="M882" i="5"/>
  <c r="L882" i="5"/>
  <c r="F882" i="5"/>
  <c r="M881" i="5"/>
  <c r="L881" i="5"/>
  <c r="F881" i="5"/>
  <c r="M880" i="5"/>
  <c r="L880" i="5"/>
  <c r="F880" i="5"/>
  <c r="M879" i="5"/>
  <c r="L879" i="5"/>
  <c r="F879" i="5"/>
  <c r="M878" i="5"/>
  <c r="L878" i="5"/>
  <c r="F878" i="5"/>
  <c r="M877" i="5"/>
  <c r="L877" i="5"/>
  <c r="F877" i="5"/>
  <c r="M876" i="5"/>
  <c r="L876" i="5"/>
  <c r="F876" i="5"/>
  <c r="M875" i="5"/>
  <c r="L875" i="5"/>
  <c r="F875" i="5"/>
  <c r="M874" i="5"/>
  <c r="L874" i="5"/>
  <c r="F874" i="5"/>
  <c r="M873" i="5"/>
  <c r="L873" i="5"/>
  <c r="F873" i="5"/>
  <c r="M872" i="5"/>
  <c r="L872" i="5"/>
  <c r="F872" i="5"/>
  <c r="M871" i="5"/>
  <c r="L871" i="5"/>
  <c r="F871" i="5"/>
  <c r="M870" i="5"/>
  <c r="L870" i="5"/>
  <c r="F870" i="5"/>
  <c r="M869" i="5"/>
  <c r="L869" i="5"/>
  <c r="F869" i="5"/>
  <c r="M868" i="5"/>
  <c r="L868" i="5"/>
  <c r="F868" i="5"/>
  <c r="M867" i="5"/>
  <c r="L867" i="5"/>
  <c r="F867" i="5"/>
  <c r="M866" i="5"/>
  <c r="L866" i="5"/>
  <c r="F866" i="5"/>
  <c r="M865" i="5"/>
  <c r="L865" i="5"/>
  <c r="F865" i="5"/>
  <c r="M864" i="5"/>
  <c r="L864" i="5"/>
  <c r="F864" i="5"/>
  <c r="M863" i="5"/>
  <c r="L863" i="5"/>
  <c r="F863" i="5"/>
  <c r="M862" i="5"/>
  <c r="L862" i="5"/>
  <c r="F862" i="5"/>
  <c r="M861" i="5"/>
  <c r="L861" i="5"/>
  <c r="F861" i="5"/>
  <c r="M860" i="5"/>
  <c r="L860" i="5"/>
  <c r="F860" i="5"/>
  <c r="M859" i="5"/>
  <c r="L859" i="5"/>
  <c r="F859" i="5"/>
  <c r="M858" i="5"/>
  <c r="L858" i="5"/>
  <c r="F858" i="5"/>
  <c r="M857" i="5"/>
  <c r="L857" i="5"/>
  <c r="F857" i="5"/>
  <c r="M856" i="5"/>
  <c r="L856" i="5"/>
  <c r="F856" i="5"/>
  <c r="M855" i="5"/>
  <c r="L855" i="5"/>
  <c r="F855" i="5"/>
  <c r="M854" i="5"/>
  <c r="L854" i="5"/>
  <c r="F854" i="5"/>
  <c r="M853" i="5"/>
  <c r="L853" i="5"/>
  <c r="F853" i="5"/>
  <c r="M852" i="5"/>
  <c r="L852" i="5"/>
  <c r="F852" i="5"/>
  <c r="M851" i="5"/>
  <c r="L851" i="5"/>
  <c r="F851" i="5"/>
  <c r="M850" i="5"/>
  <c r="L850" i="5"/>
  <c r="F850" i="5"/>
  <c r="M849" i="5"/>
  <c r="L849" i="5"/>
  <c r="F849" i="5"/>
  <c r="M848" i="5"/>
  <c r="L848" i="5"/>
  <c r="F848" i="5"/>
  <c r="M847" i="5"/>
  <c r="L847" i="5"/>
  <c r="F847" i="5"/>
  <c r="M846" i="5"/>
  <c r="L846" i="5"/>
  <c r="F846" i="5"/>
  <c r="M845" i="5"/>
  <c r="L845" i="5"/>
  <c r="F845" i="5"/>
  <c r="M844" i="5"/>
  <c r="L844" i="5"/>
  <c r="F844" i="5"/>
  <c r="M843" i="5"/>
  <c r="L843" i="5"/>
  <c r="F843" i="5"/>
  <c r="M842" i="5"/>
  <c r="L842" i="5"/>
  <c r="F842" i="5"/>
  <c r="M841" i="5"/>
  <c r="L841" i="5"/>
  <c r="F841" i="5"/>
  <c r="M840" i="5"/>
  <c r="L840" i="5"/>
  <c r="F840" i="5"/>
  <c r="M839" i="5"/>
  <c r="L839" i="5"/>
  <c r="F839" i="5"/>
  <c r="M838" i="5"/>
  <c r="L838" i="5"/>
  <c r="F838" i="5"/>
  <c r="M837" i="5"/>
  <c r="L837" i="5"/>
  <c r="F837" i="5"/>
  <c r="M836" i="5"/>
  <c r="L836" i="5"/>
  <c r="F836" i="5"/>
  <c r="M835" i="5"/>
  <c r="L835" i="5"/>
  <c r="F835" i="5"/>
  <c r="M834" i="5"/>
  <c r="L834" i="5"/>
  <c r="F834" i="5"/>
  <c r="M833" i="5"/>
  <c r="L833" i="5"/>
  <c r="F833" i="5"/>
  <c r="M832" i="5"/>
  <c r="L832" i="5"/>
  <c r="F832" i="5"/>
  <c r="M831" i="5"/>
  <c r="L831" i="5"/>
  <c r="F831" i="5"/>
  <c r="M830" i="5"/>
  <c r="L830" i="5"/>
  <c r="F830" i="5"/>
  <c r="M829" i="5"/>
  <c r="L829" i="5"/>
  <c r="F829" i="5"/>
  <c r="M828" i="5"/>
  <c r="L828" i="5"/>
  <c r="F828" i="5"/>
  <c r="M827" i="5"/>
  <c r="L827" i="5"/>
  <c r="F827" i="5"/>
  <c r="M826" i="5"/>
  <c r="L826" i="5"/>
  <c r="F826" i="5"/>
  <c r="M825" i="5"/>
  <c r="L825" i="5"/>
  <c r="F825" i="5"/>
  <c r="M824" i="5"/>
  <c r="L824" i="5"/>
  <c r="F824" i="5"/>
  <c r="M823" i="5"/>
  <c r="L823" i="5"/>
  <c r="F823" i="5"/>
  <c r="M822" i="5"/>
  <c r="L822" i="5"/>
  <c r="F822" i="5"/>
  <c r="M821" i="5"/>
  <c r="L821" i="5"/>
  <c r="F821" i="5"/>
  <c r="M820" i="5"/>
  <c r="L820" i="5"/>
  <c r="F820" i="5"/>
  <c r="M819" i="5"/>
  <c r="L819" i="5"/>
  <c r="F819" i="5"/>
  <c r="M818" i="5"/>
  <c r="L818" i="5"/>
  <c r="F818" i="5"/>
  <c r="M817" i="5"/>
  <c r="L817" i="5"/>
  <c r="F817" i="5"/>
  <c r="M816" i="5"/>
  <c r="L816" i="5"/>
  <c r="F816" i="5"/>
  <c r="M815" i="5"/>
  <c r="L815" i="5"/>
  <c r="F815" i="5"/>
  <c r="M814" i="5"/>
  <c r="L814" i="5"/>
  <c r="F814" i="5"/>
  <c r="M813" i="5"/>
  <c r="L813" i="5"/>
  <c r="F813" i="5"/>
  <c r="M812" i="5"/>
  <c r="L812" i="5"/>
  <c r="F812" i="5"/>
  <c r="M811" i="5"/>
  <c r="L811" i="5"/>
  <c r="F811" i="5"/>
  <c r="M810" i="5"/>
  <c r="L810" i="5"/>
  <c r="F810" i="5"/>
  <c r="M809" i="5"/>
  <c r="L809" i="5"/>
  <c r="F809" i="5"/>
  <c r="M808" i="5"/>
  <c r="L808" i="5"/>
  <c r="F808" i="5"/>
  <c r="M807" i="5"/>
  <c r="L807" i="5"/>
  <c r="F807" i="5"/>
  <c r="M806" i="5"/>
  <c r="L806" i="5"/>
  <c r="F806" i="5"/>
  <c r="M805" i="5"/>
  <c r="L805" i="5"/>
  <c r="F805" i="5"/>
  <c r="M804" i="5"/>
  <c r="L804" i="5"/>
  <c r="F804" i="5"/>
  <c r="M803" i="5"/>
  <c r="L803" i="5"/>
  <c r="F803" i="5"/>
  <c r="M802" i="5"/>
  <c r="L802" i="5"/>
  <c r="F802" i="5"/>
  <c r="M801" i="5"/>
  <c r="L801" i="5"/>
  <c r="F801" i="5"/>
  <c r="M800" i="5"/>
  <c r="L800" i="5"/>
  <c r="F800" i="5"/>
  <c r="M799" i="5"/>
  <c r="L799" i="5"/>
  <c r="F799" i="5"/>
  <c r="M798" i="5"/>
  <c r="L798" i="5"/>
  <c r="F798" i="5"/>
  <c r="M797" i="5"/>
  <c r="L797" i="5"/>
  <c r="F797" i="5"/>
  <c r="M796" i="5"/>
  <c r="L796" i="5"/>
  <c r="F796" i="5"/>
  <c r="M795" i="5"/>
  <c r="L795" i="5"/>
  <c r="F795" i="5"/>
  <c r="M794" i="5"/>
  <c r="L794" i="5"/>
  <c r="F794" i="5"/>
  <c r="M793" i="5"/>
  <c r="L793" i="5"/>
  <c r="F793" i="5"/>
  <c r="M792" i="5"/>
  <c r="L792" i="5"/>
  <c r="F792" i="5"/>
  <c r="M791" i="5"/>
  <c r="L791" i="5"/>
  <c r="F791" i="5"/>
  <c r="M790" i="5"/>
  <c r="L790" i="5"/>
  <c r="F790" i="5"/>
  <c r="M789" i="5"/>
  <c r="L789" i="5"/>
  <c r="F789" i="5"/>
  <c r="M788" i="5"/>
  <c r="L788" i="5"/>
  <c r="F788" i="5"/>
  <c r="M787" i="5"/>
  <c r="L787" i="5"/>
  <c r="F787" i="5"/>
  <c r="M786" i="5"/>
  <c r="L786" i="5"/>
  <c r="F786" i="5"/>
  <c r="M785" i="5"/>
  <c r="L785" i="5"/>
  <c r="F785" i="5"/>
  <c r="M784" i="5"/>
  <c r="L784" i="5"/>
  <c r="F784" i="5"/>
  <c r="M783" i="5"/>
  <c r="L783" i="5"/>
  <c r="F783" i="5"/>
  <c r="L782" i="5"/>
  <c r="F782" i="5"/>
  <c r="L781" i="5"/>
  <c r="F781" i="5"/>
  <c r="L780" i="5"/>
  <c r="F780" i="5"/>
  <c r="L779" i="5"/>
  <c r="F779" i="5"/>
  <c r="L778" i="5"/>
  <c r="F778" i="5"/>
  <c r="L777" i="5"/>
  <c r="F777" i="5"/>
  <c r="L776" i="5"/>
  <c r="F776" i="5"/>
  <c r="L775" i="5"/>
  <c r="F775" i="5"/>
  <c r="L774" i="5"/>
  <c r="F774" i="5"/>
  <c r="L773" i="5"/>
  <c r="F773" i="5"/>
  <c r="L772" i="5"/>
  <c r="F772" i="5"/>
  <c r="L771" i="5"/>
  <c r="F771" i="5"/>
  <c r="L770" i="5"/>
  <c r="F770" i="5"/>
  <c r="L769" i="5"/>
  <c r="F769" i="5"/>
  <c r="L768" i="5"/>
  <c r="F768" i="5"/>
  <c r="L767" i="5"/>
  <c r="F767" i="5"/>
  <c r="L766" i="5"/>
  <c r="F766" i="5"/>
  <c r="L765" i="5"/>
  <c r="F765" i="5"/>
  <c r="L764" i="5"/>
  <c r="F764" i="5"/>
  <c r="L763" i="5"/>
  <c r="F763" i="5"/>
  <c r="L762" i="5"/>
  <c r="F762" i="5"/>
  <c r="L761" i="5"/>
  <c r="F761" i="5"/>
  <c r="L760" i="5"/>
  <c r="F760" i="5"/>
  <c r="L759" i="5"/>
  <c r="F759" i="5"/>
  <c r="L758" i="5"/>
  <c r="F758" i="5"/>
  <c r="L757" i="5"/>
  <c r="F757" i="5"/>
  <c r="L756" i="5"/>
  <c r="F756" i="5"/>
  <c r="L755" i="5"/>
  <c r="F755" i="5"/>
  <c r="L754" i="5"/>
  <c r="F754" i="5"/>
  <c r="L753" i="5"/>
  <c r="F753" i="5"/>
  <c r="L752" i="5"/>
  <c r="F752" i="5"/>
  <c r="L751" i="5"/>
  <c r="F751" i="5"/>
  <c r="L750" i="5"/>
  <c r="F750" i="5"/>
  <c r="L749" i="5"/>
  <c r="F749" i="5"/>
  <c r="L748" i="5"/>
  <c r="F748" i="5"/>
  <c r="L747" i="5"/>
  <c r="F747" i="5"/>
  <c r="L746" i="5"/>
  <c r="F746" i="5"/>
  <c r="L745" i="5"/>
  <c r="F745" i="5"/>
  <c r="L744" i="5"/>
  <c r="F744" i="5"/>
  <c r="L743" i="5"/>
  <c r="F743" i="5"/>
  <c r="L742" i="5"/>
  <c r="F742" i="5"/>
  <c r="L741" i="5"/>
  <c r="F741" i="5"/>
  <c r="L740" i="5"/>
  <c r="F740" i="5"/>
  <c r="L739" i="5"/>
  <c r="F739" i="5"/>
  <c r="L738" i="5"/>
  <c r="F738" i="5"/>
  <c r="L737" i="5"/>
  <c r="F737" i="5"/>
  <c r="L736" i="5"/>
  <c r="F736" i="5"/>
  <c r="L735" i="5"/>
  <c r="F735" i="5"/>
  <c r="L734" i="5"/>
  <c r="F734" i="5"/>
  <c r="L733" i="5"/>
  <c r="F733" i="5"/>
  <c r="L732" i="5"/>
  <c r="F732" i="5"/>
  <c r="L731" i="5"/>
  <c r="F731" i="5"/>
  <c r="L730" i="5"/>
  <c r="F730" i="5"/>
  <c r="L729" i="5"/>
  <c r="F729" i="5"/>
  <c r="L728" i="5"/>
  <c r="F728" i="5"/>
  <c r="L727" i="5"/>
  <c r="F727" i="5"/>
  <c r="L726" i="5"/>
  <c r="F726" i="5"/>
  <c r="L725" i="5"/>
  <c r="F725" i="5"/>
  <c r="L724" i="5"/>
  <c r="F724" i="5"/>
  <c r="L723" i="5"/>
  <c r="F723" i="5"/>
  <c r="L722" i="5"/>
  <c r="F722" i="5"/>
  <c r="L721" i="5"/>
  <c r="F721" i="5"/>
  <c r="L720" i="5"/>
  <c r="F720" i="5"/>
  <c r="L719" i="5"/>
  <c r="F719" i="5"/>
  <c r="L718" i="5"/>
  <c r="F718" i="5"/>
  <c r="L717" i="5"/>
  <c r="F717" i="5"/>
  <c r="L716" i="5"/>
  <c r="F716" i="5"/>
  <c r="L715" i="5"/>
  <c r="F715" i="5"/>
  <c r="L714" i="5"/>
  <c r="F714" i="5"/>
  <c r="L713" i="5"/>
  <c r="F713" i="5"/>
  <c r="L712" i="5"/>
  <c r="F712" i="5"/>
  <c r="L711" i="5"/>
  <c r="F711" i="5"/>
  <c r="L710" i="5"/>
  <c r="F710" i="5"/>
  <c r="L709" i="5"/>
  <c r="F709" i="5"/>
  <c r="L708" i="5"/>
  <c r="F708" i="5"/>
  <c r="L707" i="5"/>
  <c r="F707" i="5"/>
  <c r="L706" i="5"/>
  <c r="F706" i="5"/>
  <c r="L705" i="5"/>
  <c r="F705" i="5"/>
  <c r="L704" i="5"/>
  <c r="F704" i="5"/>
  <c r="L703" i="5"/>
  <c r="F703" i="5"/>
  <c r="L702" i="5"/>
  <c r="F702" i="5"/>
  <c r="L701" i="5"/>
  <c r="F701" i="5"/>
  <c r="L700" i="5"/>
  <c r="F700" i="5"/>
  <c r="L699" i="5"/>
  <c r="F699" i="5"/>
  <c r="L698" i="5"/>
  <c r="F698" i="5"/>
  <c r="L697" i="5"/>
  <c r="F697" i="5"/>
  <c r="L696" i="5"/>
  <c r="F696" i="5"/>
  <c r="L695" i="5"/>
  <c r="F695" i="5"/>
  <c r="L694" i="5"/>
  <c r="F694" i="5"/>
  <c r="L693" i="5"/>
  <c r="F693" i="5"/>
  <c r="L692" i="5"/>
  <c r="F692" i="5"/>
  <c r="L691" i="5"/>
  <c r="F691" i="5"/>
  <c r="L690" i="5"/>
  <c r="F690" i="5"/>
  <c r="L689" i="5"/>
  <c r="F689" i="5"/>
  <c r="L688" i="5"/>
  <c r="F688" i="5"/>
  <c r="L687" i="5"/>
  <c r="F687" i="5"/>
  <c r="L686" i="5"/>
  <c r="F686" i="5"/>
  <c r="L685" i="5"/>
  <c r="F685" i="5"/>
  <c r="L684" i="5"/>
  <c r="F684" i="5"/>
  <c r="L683" i="5"/>
  <c r="F683" i="5"/>
  <c r="L682" i="5"/>
  <c r="F682" i="5"/>
  <c r="L681" i="5"/>
  <c r="F681" i="5"/>
  <c r="L680" i="5"/>
  <c r="F680" i="5"/>
  <c r="L679" i="5"/>
  <c r="F679" i="5"/>
  <c r="L678" i="5"/>
  <c r="F678" i="5"/>
  <c r="L677" i="5"/>
  <c r="F677" i="5"/>
  <c r="L676" i="5"/>
  <c r="F676" i="5"/>
  <c r="L675" i="5"/>
  <c r="F675" i="5"/>
  <c r="L674" i="5"/>
  <c r="F674" i="5"/>
  <c r="L673" i="5"/>
  <c r="F673" i="5"/>
  <c r="L672" i="5"/>
  <c r="F672" i="5"/>
  <c r="L671" i="5"/>
  <c r="F671" i="5"/>
  <c r="L670" i="5"/>
  <c r="F670" i="5"/>
  <c r="L669" i="5"/>
  <c r="F669" i="5"/>
  <c r="L668" i="5"/>
  <c r="F668" i="5"/>
  <c r="L667" i="5"/>
  <c r="F667" i="5"/>
  <c r="L666" i="5"/>
  <c r="F666" i="5"/>
  <c r="L665" i="5"/>
  <c r="F665" i="5"/>
  <c r="L664" i="5"/>
  <c r="F664" i="5"/>
  <c r="L663" i="5"/>
  <c r="F663" i="5"/>
  <c r="L662" i="5"/>
  <c r="F662" i="5"/>
  <c r="L661" i="5"/>
  <c r="F661" i="5"/>
  <c r="L660" i="5"/>
  <c r="F660" i="5"/>
  <c r="L659" i="5"/>
  <c r="F659" i="5"/>
  <c r="L658" i="5"/>
  <c r="F658" i="5"/>
  <c r="L657" i="5"/>
  <c r="F657" i="5"/>
  <c r="L656" i="5"/>
  <c r="F656" i="5"/>
  <c r="L655" i="5"/>
  <c r="F655" i="5"/>
  <c r="L654" i="5"/>
  <c r="F654" i="5"/>
  <c r="L653" i="5"/>
  <c r="F653" i="5"/>
  <c r="L652" i="5"/>
  <c r="F652" i="5"/>
  <c r="L651" i="5"/>
  <c r="F651" i="5"/>
  <c r="L650" i="5"/>
  <c r="F650" i="5"/>
  <c r="L649" i="5"/>
  <c r="F649" i="5"/>
  <c r="L648" i="5"/>
  <c r="F648" i="5"/>
  <c r="L647" i="5"/>
  <c r="F647" i="5"/>
  <c r="L646" i="5"/>
  <c r="F646" i="5"/>
  <c r="L645" i="5"/>
  <c r="F645" i="5"/>
  <c r="L644" i="5"/>
  <c r="F644" i="5"/>
  <c r="L643" i="5"/>
  <c r="F643" i="5"/>
  <c r="L642" i="5"/>
  <c r="F642" i="5"/>
  <c r="L641" i="5"/>
  <c r="F641" i="5"/>
  <c r="L640" i="5"/>
  <c r="F640" i="5"/>
  <c r="L639" i="5"/>
  <c r="F639" i="5"/>
  <c r="L638" i="5"/>
  <c r="F638" i="5"/>
  <c r="L637" i="5"/>
  <c r="F637" i="5"/>
  <c r="L636" i="5"/>
  <c r="F636" i="5"/>
  <c r="L635" i="5"/>
  <c r="F635" i="5"/>
  <c r="L634" i="5"/>
  <c r="F634" i="5"/>
  <c r="L633" i="5"/>
  <c r="F633" i="5"/>
  <c r="L632" i="5"/>
  <c r="F632" i="5"/>
  <c r="L631" i="5"/>
  <c r="F631" i="5"/>
  <c r="L630" i="5"/>
  <c r="F630" i="5"/>
  <c r="L629" i="5"/>
  <c r="F629" i="5"/>
  <c r="L628" i="5"/>
  <c r="F628" i="5"/>
  <c r="L627" i="5"/>
  <c r="F627" i="5"/>
  <c r="L626" i="5"/>
  <c r="F626" i="5"/>
  <c r="L625" i="5"/>
  <c r="F625" i="5"/>
  <c r="L624" i="5"/>
  <c r="F624" i="5"/>
  <c r="L623" i="5"/>
  <c r="F623" i="5"/>
  <c r="L622" i="5"/>
  <c r="F622" i="5"/>
  <c r="L621" i="5"/>
  <c r="F621" i="5"/>
  <c r="L620" i="5"/>
  <c r="F620" i="5"/>
  <c r="L619" i="5"/>
  <c r="F619" i="5"/>
  <c r="L618" i="5"/>
  <c r="F618" i="5"/>
  <c r="L617" i="5"/>
  <c r="F617" i="5"/>
  <c r="L616" i="5"/>
  <c r="F616" i="5"/>
  <c r="L615" i="5"/>
  <c r="F615" i="5"/>
  <c r="L614" i="5"/>
  <c r="F614" i="5"/>
  <c r="L613" i="5"/>
  <c r="F613" i="5"/>
  <c r="L612" i="5"/>
  <c r="F612" i="5"/>
  <c r="L611" i="5"/>
  <c r="F611" i="5"/>
  <c r="L610" i="5"/>
  <c r="F610" i="5"/>
  <c r="L609" i="5"/>
  <c r="F609" i="5"/>
  <c r="L608" i="5"/>
  <c r="F608" i="5"/>
  <c r="L607" i="5"/>
  <c r="F607" i="5"/>
  <c r="L606" i="5"/>
  <c r="F606" i="5"/>
  <c r="L605" i="5"/>
  <c r="F605" i="5"/>
  <c r="L604" i="5"/>
  <c r="F604" i="5"/>
  <c r="L603" i="5"/>
  <c r="F603" i="5"/>
  <c r="L602" i="5"/>
  <c r="F602" i="5"/>
  <c r="L601" i="5"/>
  <c r="F601" i="5"/>
  <c r="L600" i="5"/>
  <c r="F600" i="5"/>
  <c r="L599" i="5"/>
  <c r="F599" i="5"/>
  <c r="L598" i="5"/>
  <c r="F598" i="5"/>
  <c r="L597" i="5"/>
  <c r="F597" i="5"/>
  <c r="L596" i="5"/>
  <c r="F596" i="5"/>
  <c r="L595" i="5"/>
  <c r="F595" i="5"/>
  <c r="L594" i="5"/>
  <c r="F594" i="5"/>
  <c r="L593" i="5"/>
  <c r="F593" i="5"/>
  <c r="L592" i="5"/>
  <c r="F592" i="5"/>
  <c r="L591" i="5"/>
  <c r="F591" i="5"/>
  <c r="L590" i="5"/>
  <c r="F590" i="5"/>
  <c r="L589" i="5"/>
  <c r="F589" i="5"/>
  <c r="L588" i="5"/>
  <c r="F588" i="5"/>
  <c r="L587" i="5"/>
  <c r="F587" i="5"/>
  <c r="L586" i="5"/>
  <c r="F586" i="5"/>
  <c r="L585" i="5"/>
  <c r="F585" i="5"/>
  <c r="L584" i="5"/>
  <c r="F584" i="5"/>
  <c r="L583" i="5"/>
  <c r="F583" i="5"/>
  <c r="L582" i="5"/>
  <c r="F582" i="5"/>
  <c r="L581" i="5"/>
  <c r="F581" i="5"/>
  <c r="L580" i="5"/>
  <c r="F580" i="5"/>
  <c r="L579" i="5"/>
  <c r="F579" i="5"/>
  <c r="L578" i="5"/>
  <c r="F578" i="5"/>
  <c r="L577" i="5"/>
  <c r="F577" i="5"/>
  <c r="L576" i="5"/>
  <c r="F576" i="5"/>
  <c r="L575" i="5"/>
  <c r="F575" i="5"/>
  <c r="L574" i="5"/>
  <c r="F574" i="5"/>
  <c r="L573" i="5"/>
  <c r="F573" i="5"/>
  <c r="L572" i="5"/>
  <c r="F572" i="5"/>
  <c r="L571" i="5"/>
  <c r="F571" i="5"/>
  <c r="L570" i="5"/>
  <c r="F570" i="5"/>
  <c r="L569" i="5"/>
  <c r="F569" i="5"/>
  <c r="L568" i="5"/>
  <c r="F568" i="5"/>
  <c r="L567" i="5"/>
  <c r="F567" i="5"/>
  <c r="L566" i="5"/>
  <c r="F566" i="5"/>
  <c r="L565" i="5"/>
  <c r="F565" i="5"/>
  <c r="L564" i="5"/>
  <c r="F564" i="5"/>
  <c r="L563" i="5"/>
  <c r="F563" i="5"/>
  <c r="L562" i="5"/>
  <c r="F562" i="5"/>
  <c r="L561" i="5"/>
  <c r="F561" i="5"/>
  <c r="L560" i="5"/>
  <c r="F560" i="5"/>
  <c r="L559" i="5"/>
  <c r="F559" i="5"/>
  <c r="L558" i="5"/>
  <c r="F558" i="5"/>
  <c r="L557" i="5"/>
  <c r="F557" i="5"/>
  <c r="L556" i="5"/>
  <c r="F556" i="5"/>
  <c r="L555" i="5"/>
  <c r="F555" i="5"/>
  <c r="L554" i="5"/>
  <c r="F554" i="5"/>
  <c r="L553" i="5"/>
  <c r="F553" i="5"/>
  <c r="L552" i="5"/>
  <c r="F552" i="5"/>
  <c r="L551" i="5"/>
  <c r="F551" i="5"/>
  <c r="L550" i="5"/>
  <c r="F550" i="5"/>
  <c r="L549" i="5"/>
  <c r="F549" i="5"/>
  <c r="L548" i="5"/>
  <c r="F548" i="5"/>
  <c r="L547" i="5"/>
  <c r="F547" i="5"/>
  <c r="L546" i="5"/>
  <c r="F546" i="5"/>
  <c r="L545" i="5"/>
  <c r="F545" i="5"/>
  <c r="L544" i="5"/>
  <c r="F544" i="5"/>
  <c r="L543" i="5"/>
  <c r="F543" i="5"/>
  <c r="L542" i="5"/>
  <c r="F542" i="5"/>
  <c r="L541" i="5"/>
  <c r="F541" i="5"/>
  <c r="L540" i="5"/>
  <c r="F540" i="5"/>
  <c r="L539" i="5"/>
  <c r="F539" i="5"/>
  <c r="L538" i="5"/>
  <c r="F538" i="5"/>
  <c r="L537" i="5"/>
  <c r="F537" i="5"/>
  <c r="L536" i="5"/>
  <c r="F536" i="5"/>
  <c r="L535" i="5"/>
  <c r="F535" i="5"/>
  <c r="L534" i="5"/>
  <c r="F534" i="5"/>
  <c r="L533" i="5"/>
  <c r="F533" i="5"/>
  <c r="L532" i="5"/>
  <c r="F532" i="5"/>
  <c r="L531" i="5"/>
  <c r="F531" i="5"/>
  <c r="L530" i="5"/>
  <c r="F530" i="5"/>
  <c r="L529" i="5"/>
  <c r="F529" i="5"/>
  <c r="L528" i="5"/>
  <c r="F528" i="5"/>
  <c r="L527" i="5"/>
  <c r="F527" i="5"/>
  <c r="L526" i="5"/>
  <c r="F526" i="5"/>
  <c r="L525" i="5"/>
  <c r="F525" i="5"/>
  <c r="L524" i="5"/>
  <c r="F524" i="5"/>
  <c r="L523" i="5"/>
  <c r="F523" i="5"/>
  <c r="L522" i="5"/>
  <c r="F522" i="5"/>
  <c r="L521" i="5"/>
  <c r="F521" i="5"/>
  <c r="L520" i="5"/>
  <c r="F520" i="5"/>
  <c r="L519" i="5"/>
  <c r="F519" i="5"/>
  <c r="L518" i="5"/>
  <c r="F518" i="5"/>
  <c r="L517" i="5"/>
  <c r="F517" i="5"/>
  <c r="L516" i="5"/>
  <c r="F516" i="5"/>
  <c r="L515" i="5"/>
  <c r="F515" i="5"/>
  <c r="L514" i="5"/>
  <c r="F514" i="5"/>
  <c r="L513" i="5"/>
  <c r="F513" i="5"/>
  <c r="L512" i="5"/>
  <c r="F512" i="5"/>
  <c r="L511" i="5"/>
  <c r="F511" i="5"/>
  <c r="L510" i="5"/>
  <c r="F510" i="5"/>
  <c r="L509" i="5"/>
  <c r="F509" i="5"/>
  <c r="L508" i="5"/>
  <c r="F508" i="5"/>
  <c r="L507" i="5"/>
  <c r="F507" i="5"/>
  <c r="L506" i="5"/>
  <c r="F506" i="5"/>
  <c r="L505" i="5"/>
  <c r="F505" i="5"/>
  <c r="L504" i="5"/>
  <c r="F504" i="5"/>
  <c r="L503" i="5"/>
  <c r="F503" i="5"/>
  <c r="L502" i="5"/>
  <c r="F502" i="5"/>
  <c r="L501" i="5"/>
  <c r="F501" i="5"/>
  <c r="L500" i="5"/>
  <c r="F500" i="5"/>
  <c r="L499" i="5"/>
  <c r="F499" i="5"/>
  <c r="L498" i="5"/>
  <c r="F498" i="5"/>
  <c r="L497" i="5"/>
  <c r="F497" i="5"/>
  <c r="L496" i="5"/>
  <c r="F496" i="5"/>
  <c r="L495" i="5"/>
  <c r="F495" i="5"/>
  <c r="L494" i="5"/>
  <c r="F494" i="5"/>
  <c r="L493" i="5"/>
  <c r="F493" i="5"/>
  <c r="L492" i="5"/>
  <c r="F492" i="5"/>
  <c r="L491" i="5"/>
  <c r="F491" i="5"/>
  <c r="L490" i="5"/>
  <c r="F490" i="5"/>
  <c r="L489" i="5"/>
  <c r="F489" i="5"/>
  <c r="L488" i="5"/>
  <c r="F488" i="5"/>
  <c r="L487" i="5"/>
  <c r="F487" i="5"/>
  <c r="L486" i="5"/>
  <c r="F486" i="5"/>
  <c r="L485" i="5"/>
  <c r="F485" i="5"/>
  <c r="L484" i="5"/>
  <c r="F484" i="5"/>
  <c r="L483" i="5"/>
  <c r="F483" i="5"/>
  <c r="L482" i="5"/>
  <c r="F482" i="5"/>
  <c r="L481" i="5"/>
  <c r="F481" i="5"/>
  <c r="L480" i="5"/>
  <c r="F480" i="5"/>
  <c r="L479" i="5"/>
  <c r="F479" i="5"/>
  <c r="L478" i="5"/>
  <c r="F478" i="5"/>
  <c r="L477" i="5"/>
  <c r="F477" i="5"/>
  <c r="L476" i="5"/>
  <c r="F476" i="5"/>
  <c r="L475" i="5"/>
  <c r="F475" i="5"/>
  <c r="L474" i="5"/>
  <c r="F474" i="5"/>
  <c r="L473" i="5"/>
  <c r="F473" i="5"/>
  <c r="L472" i="5"/>
  <c r="F472" i="5"/>
  <c r="L471" i="5"/>
  <c r="F471" i="5"/>
  <c r="L470" i="5"/>
  <c r="F470" i="5"/>
  <c r="L469" i="5"/>
  <c r="F469" i="5"/>
  <c r="L468" i="5"/>
  <c r="F468" i="5"/>
  <c r="L467" i="5"/>
  <c r="F467" i="5"/>
  <c r="L466" i="5"/>
  <c r="F466" i="5"/>
  <c r="L465" i="5"/>
  <c r="F465" i="5"/>
  <c r="L464" i="5"/>
  <c r="F464" i="5"/>
  <c r="L463" i="5"/>
  <c r="F463" i="5"/>
  <c r="L462" i="5"/>
  <c r="F462" i="5"/>
  <c r="L461" i="5"/>
  <c r="F461" i="5"/>
  <c r="L460" i="5"/>
  <c r="F460" i="5"/>
  <c r="L459" i="5"/>
  <c r="F459" i="5"/>
  <c r="L458" i="5"/>
  <c r="F458" i="5"/>
  <c r="L457" i="5"/>
  <c r="F457" i="5"/>
  <c r="L456" i="5"/>
  <c r="F456" i="5"/>
  <c r="L455" i="5"/>
  <c r="F455" i="5"/>
  <c r="L454" i="5"/>
  <c r="F454" i="5"/>
  <c r="L453" i="5"/>
  <c r="F453" i="5"/>
  <c r="L452" i="5"/>
  <c r="F452" i="5"/>
  <c r="L451" i="5"/>
  <c r="F451" i="5"/>
  <c r="L450" i="5"/>
  <c r="F450" i="5"/>
  <c r="L449" i="5"/>
  <c r="F449" i="5"/>
  <c r="L448" i="5"/>
  <c r="F448" i="5"/>
  <c r="L447" i="5"/>
  <c r="F447" i="5"/>
  <c r="L446" i="5"/>
  <c r="F446" i="5"/>
  <c r="L445" i="5"/>
  <c r="F445" i="5"/>
  <c r="L444" i="5"/>
  <c r="F444" i="5"/>
  <c r="L443" i="5"/>
  <c r="F443" i="5"/>
  <c r="L442" i="5"/>
  <c r="F442" i="5"/>
  <c r="L441" i="5"/>
  <c r="F441" i="5"/>
  <c r="L440" i="5"/>
  <c r="F440" i="5"/>
  <c r="L439" i="5"/>
  <c r="F439" i="5"/>
  <c r="L438" i="5"/>
  <c r="F438" i="5"/>
  <c r="L437" i="5"/>
  <c r="F437" i="5"/>
  <c r="L436" i="5"/>
  <c r="F436" i="5"/>
  <c r="L435" i="5"/>
  <c r="F435" i="5"/>
  <c r="L434" i="5"/>
  <c r="F434" i="5"/>
  <c r="L433" i="5"/>
  <c r="F433" i="5"/>
  <c r="L432" i="5"/>
  <c r="F432" i="5"/>
  <c r="L431" i="5"/>
  <c r="F431" i="5"/>
  <c r="L430" i="5"/>
  <c r="F430" i="5"/>
  <c r="L429" i="5"/>
  <c r="F429" i="5"/>
  <c r="L428" i="5"/>
  <c r="F428" i="5"/>
  <c r="L427" i="5"/>
  <c r="F427" i="5"/>
  <c r="L426" i="5"/>
  <c r="F426" i="5"/>
  <c r="L425" i="5"/>
  <c r="F425" i="5"/>
  <c r="L424" i="5"/>
  <c r="F424" i="5"/>
  <c r="L423" i="5"/>
  <c r="F423" i="5"/>
  <c r="L422" i="5"/>
  <c r="F422" i="5"/>
  <c r="L421" i="5"/>
  <c r="F421" i="5"/>
  <c r="L420" i="5"/>
  <c r="F420" i="5"/>
  <c r="L419" i="5"/>
  <c r="F419" i="5"/>
  <c r="L418" i="5"/>
  <c r="F418" i="5"/>
  <c r="L417" i="5"/>
  <c r="F417" i="5"/>
  <c r="L416" i="5"/>
  <c r="F416" i="5"/>
  <c r="L415" i="5"/>
  <c r="F415" i="5"/>
  <c r="L414" i="5"/>
  <c r="F414" i="5"/>
  <c r="L413" i="5"/>
  <c r="F413" i="5"/>
  <c r="L412" i="5"/>
  <c r="F412" i="5"/>
  <c r="L411" i="5"/>
  <c r="F411" i="5"/>
  <c r="L410" i="5"/>
  <c r="F410" i="5"/>
  <c r="L409" i="5"/>
  <c r="F409" i="5"/>
  <c r="L408" i="5"/>
  <c r="F408" i="5"/>
  <c r="L407" i="5"/>
  <c r="F407" i="5"/>
  <c r="L406" i="5"/>
  <c r="F406" i="5"/>
  <c r="L405" i="5"/>
  <c r="F405" i="5"/>
  <c r="L404" i="5"/>
  <c r="F404" i="5"/>
  <c r="L403" i="5"/>
  <c r="F403" i="5"/>
  <c r="L402" i="5"/>
  <c r="F402" i="5"/>
  <c r="L401" i="5"/>
  <c r="F401" i="5"/>
  <c r="L400" i="5"/>
  <c r="F400" i="5"/>
  <c r="L399" i="5"/>
  <c r="F399" i="5"/>
  <c r="L398" i="5"/>
  <c r="F398" i="5"/>
  <c r="L397" i="5"/>
  <c r="F397" i="5"/>
  <c r="L396" i="5"/>
  <c r="F396" i="5"/>
  <c r="L395" i="5"/>
  <c r="F395" i="5"/>
  <c r="L394" i="5"/>
  <c r="F394" i="5"/>
  <c r="L393" i="5"/>
  <c r="F393" i="5"/>
  <c r="L392" i="5"/>
  <c r="F392" i="5"/>
  <c r="L391" i="5"/>
  <c r="F391" i="5"/>
  <c r="L390" i="5"/>
  <c r="F390" i="5"/>
  <c r="L389" i="5"/>
  <c r="F389" i="5"/>
  <c r="L388" i="5"/>
  <c r="F388" i="5"/>
  <c r="L387" i="5"/>
  <c r="F387" i="5"/>
  <c r="L386" i="5"/>
  <c r="F386" i="5"/>
  <c r="L385" i="5"/>
  <c r="F385" i="5"/>
  <c r="L384" i="5"/>
  <c r="F384" i="5"/>
  <c r="L383" i="5"/>
  <c r="F383" i="5"/>
  <c r="L382" i="5"/>
  <c r="F382" i="5"/>
  <c r="L381" i="5"/>
  <c r="F381" i="5"/>
  <c r="L380" i="5"/>
  <c r="F380" i="5"/>
  <c r="L379" i="5"/>
  <c r="F379" i="5"/>
  <c r="L378" i="5"/>
  <c r="F378" i="5"/>
  <c r="L377" i="5"/>
  <c r="F377" i="5"/>
  <c r="L376" i="5"/>
  <c r="F376" i="5"/>
  <c r="L375" i="5"/>
  <c r="F375" i="5"/>
  <c r="L374" i="5"/>
  <c r="F374" i="5"/>
  <c r="L373" i="5"/>
  <c r="F373" i="5"/>
  <c r="L372" i="5"/>
  <c r="F372" i="5"/>
  <c r="L371" i="5"/>
  <c r="F371" i="5"/>
  <c r="L370" i="5"/>
  <c r="F370" i="5"/>
  <c r="L369" i="5"/>
  <c r="F369" i="5"/>
  <c r="L368" i="5"/>
  <c r="F368" i="5"/>
  <c r="L367" i="5"/>
  <c r="F367" i="5"/>
  <c r="L366" i="5"/>
  <c r="F366" i="5"/>
  <c r="L365" i="5"/>
  <c r="F365" i="5"/>
  <c r="L364" i="5"/>
  <c r="F364" i="5"/>
  <c r="L363" i="5"/>
  <c r="F363" i="5"/>
  <c r="L362" i="5"/>
  <c r="F362" i="5"/>
  <c r="L361" i="5"/>
  <c r="F361" i="5"/>
  <c r="L360" i="5"/>
  <c r="F360" i="5"/>
  <c r="L359" i="5"/>
  <c r="F359" i="5"/>
  <c r="L358" i="5"/>
  <c r="F358" i="5"/>
  <c r="L357" i="5"/>
  <c r="F357" i="5"/>
  <c r="L356" i="5"/>
  <c r="F356" i="5"/>
  <c r="L355" i="5"/>
  <c r="F355" i="5"/>
  <c r="L354" i="5"/>
  <c r="F354" i="5"/>
  <c r="L353" i="5"/>
  <c r="F353" i="5"/>
  <c r="L352" i="5"/>
  <c r="F352" i="5"/>
  <c r="L351" i="5"/>
  <c r="F351" i="5"/>
  <c r="L350" i="5"/>
  <c r="F350" i="5"/>
  <c r="L349" i="5"/>
  <c r="F349" i="5"/>
  <c r="L348" i="5"/>
  <c r="F348" i="5"/>
  <c r="L347" i="5"/>
  <c r="F347" i="5"/>
  <c r="L346" i="5"/>
  <c r="F346" i="5"/>
  <c r="L345" i="5"/>
  <c r="F345" i="5"/>
  <c r="L344" i="5"/>
  <c r="F344" i="5"/>
  <c r="L343" i="5"/>
  <c r="F343" i="5"/>
  <c r="L342" i="5"/>
  <c r="F342" i="5"/>
  <c r="L341" i="5"/>
  <c r="F341" i="5"/>
  <c r="L340" i="5"/>
  <c r="F340" i="5"/>
  <c r="L339" i="5"/>
  <c r="F339" i="5"/>
  <c r="L338" i="5"/>
  <c r="F338" i="5"/>
  <c r="L337" i="5"/>
  <c r="F337" i="5"/>
  <c r="L336" i="5"/>
  <c r="F336" i="5"/>
  <c r="L335" i="5"/>
  <c r="F335" i="5"/>
  <c r="L334" i="5"/>
  <c r="F334" i="5"/>
  <c r="L333" i="5"/>
  <c r="F333" i="5"/>
  <c r="L332" i="5"/>
  <c r="F332" i="5"/>
  <c r="L331" i="5"/>
  <c r="F331" i="5"/>
  <c r="L330" i="5"/>
  <c r="F330" i="5"/>
  <c r="L329" i="5"/>
  <c r="F329" i="5"/>
  <c r="L328" i="5"/>
  <c r="F328" i="5"/>
  <c r="L327" i="5"/>
  <c r="F327" i="5"/>
  <c r="L326" i="5"/>
  <c r="F326" i="5"/>
  <c r="L325" i="5"/>
  <c r="F325" i="5"/>
  <c r="L324" i="5"/>
  <c r="F324" i="5"/>
  <c r="L323" i="5"/>
  <c r="F323" i="5"/>
  <c r="L322" i="5"/>
  <c r="F322" i="5"/>
  <c r="L321" i="5"/>
  <c r="F321" i="5"/>
  <c r="L320" i="5"/>
  <c r="F320" i="5"/>
  <c r="L319" i="5"/>
  <c r="F319" i="5"/>
  <c r="L318" i="5"/>
  <c r="F318" i="5"/>
  <c r="L317" i="5"/>
  <c r="F317" i="5"/>
  <c r="L316" i="5"/>
  <c r="F316" i="5"/>
  <c r="L315" i="5"/>
  <c r="F315" i="5"/>
  <c r="L314" i="5"/>
  <c r="F314" i="5"/>
  <c r="L313" i="5"/>
  <c r="F313" i="5"/>
  <c r="L312" i="5"/>
  <c r="F312" i="5"/>
  <c r="L311" i="5"/>
  <c r="F311" i="5"/>
  <c r="L310" i="5"/>
  <c r="F310" i="5"/>
  <c r="L309" i="5"/>
  <c r="F309" i="5"/>
  <c r="L308" i="5"/>
  <c r="F308" i="5"/>
  <c r="L307" i="5"/>
  <c r="F307" i="5"/>
  <c r="L306" i="5"/>
  <c r="F306" i="5"/>
  <c r="L305" i="5"/>
  <c r="F305" i="5"/>
  <c r="L304" i="5"/>
  <c r="F304" i="5"/>
  <c r="L303" i="5"/>
  <c r="F303" i="5"/>
  <c r="L302" i="5"/>
  <c r="F302" i="5"/>
  <c r="L301" i="5"/>
  <c r="F301" i="5"/>
  <c r="L300" i="5"/>
  <c r="F300" i="5"/>
  <c r="L299" i="5"/>
  <c r="F299" i="5"/>
  <c r="L298" i="5"/>
  <c r="F298" i="5"/>
  <c r="L297" i="5"/>
  <c r="F297" i="5"/>
  <c r="L296" i="5"/>
  <c r="F296" i="5"/>
  <c r="L295" i="5"/>
  <c r="F295" i="5"/>
  <c r="L294" i="5"/>
  <c r="F294" i="5"/>
  <c r="L293" i="5"/>
  <c r="F293" i="5"/>
  <c r="L292" i="5"/>
  <c r="F292" i="5"/>
  <c r="L291" i="5"/>
  <c r="F291" i="5"/>
  <c r="L290" i="5"/>
  <c r="F290" i="5"/>
  <c r="L289" i="5"/>
  <c r="F289" i="5"/>
  <c r="L288" i="5"/>
  <c r="F288" i="5"/>
  <c r="L287" i="5"/>
  <c r="F287" i="5"/>
  <c r="L286" i="5"/>
  <c r="F286" i="5"/>
  <c r="L285" i="5"/>
  <c r="F285" i="5"/>
  <c r="L284" i="5"/>
  <c r="F284" i="5"/>
  <c r="L283" i="5"/>
  <c r="F283" i="5"/>
  <c r="L282" i="5"/>
  <c r="F282" i="5"/>
  <c r="L281" i="5"/>
  <c r="F281" i="5"/>
  <c r="L280" i="5"/>
  <c r="F280" i="5"/>
  <c r="L279" i="5"/>
  <c r="F279" i="5"/>
  <c r="L278" i="5"/>
  <c r="F278" i="5"/>
  <c r="L277" i="5"/>
  <c r="F277" i="5"/>
  <c r="L276" i="5"/>
  <c r="F276" i="5"/>
  <c r="L275" i="5"/>
  <c r="F275" i="5"/>
  <c r="L274" i="5"/>
  <c r="F274" i="5"/>
  <c r="L273" i="5"/>
  <c r="F273" i="5"/>
  <c r="L272" i="5"/>
  <c r="F272" i="5"/>
  <c r="L271" i="5"/>
  <c r="F271" i="5"/>
  <c r="L270" i="5"/>
  <c r="F270" i="5"/>
  <c r="L269" i="5"/>
  <c r="F269" i="5"/>
  <c r="L268" i="5"/>
  <c r="F268" i="5"/>
  <c r="L267" i="5"/>
  <c r="F267" i="5"/>
  <c r="L266" i="5"/>
  <c r="F266" i="5"/>
  <c r="L265" i="5"/>
  <c r="F265" i="5"/>
  <c r="L264" i="5"/>
  <c r="F264" i="5"/>
  <c r="L263" i="5"/>
  <c r="F263" i="5"/>
  <c r="L262" i="5"/>
  <c r="F262" i="5"/>
  <c r="L261" i="5"/>
  <c r="F261" i="5"/>
  <c r="L260" i="5"/>
  <c r="F260" i="5"/>
  <c r="L259" i="5"/>
  <c r="F259" i="5"/>
  <c r="L258" i="5"/>
  <c r="F258" i="5"/>
  <c r="L257" i="5"/>
  <c r="F257" i="5"/>
  <c r="L256" i="5"/>
  <c r="F256" i="5"/>
  <c r="L255" i="5"/>
  <c r="F255" i="5"/>
  <c r="L254" i="5"/>
  <c r="F254" i="5"/>
  <c r="L253" i="5"/>
  <c r="F253" i="5"/>
  <c r="L252" i="5"/>
  <c r="F252" i="5"/>
  <c r="L251" i="5"/>
  <c r="F251" i="5"/>
  <c r="L250" i="5"/>
  <c r="F250" i="5"/>
  <c r="L249" i="5"/>
  <c r="F249" i="5"/>
  <c r="L248" i="5"/>
  <c r="F248" i="5"/>
  <c r="L247" i="5"/>
  <c r="F247" i="5"/>
  <c r="L246" i="5"/>
  <c r="F246" i="5"/>
  <c r="L245" i="5"/>
  <c r="F245" i="5"/>
  <c r="L244" i="5"/>
  <c r="F244" i="5"/>
  <c r="L243" i="5"/>
  <c r="F243" i="5"/>
  <c r="L242" i="5"/>
  <c r="F242" i="5"/>
  <c r="L241" i="5"/>
  <c r="F241" i="5"/>
  <c r="L240" i="5"/>
  <c r="F240" i="5"/>
  <c r="L239" i="5"/>
  <c r="F239" i="5"/>
  <c r="L238" i="5"/>
  <c r="F238" i="5"/>
  <c r="L237" i="5"/>
  <c r="F237" i="5"/>
  <c r="L236" i="5"/>
  <c r="F236" i="5"/>
  <c r="L235" i="5"/>
  <c r="F235" i="5"/>
  <c r="L234" i="5"/>
  <c r="F234" i="5"/>
  <c r="L233" i="5"/>
  <c r="F233" i="5"/>
  <c r="L232" i="5"/>
  <c r="F232" i="5"/>
  <c r="L231" i="5"/>
  <c r="F231" i="5"/>
  <c r="L230" i="5"/>
  <c r="F230" i="5"/>
  <c r="L229" i="5"/>
  <c r="F229" i="5"/>
  <c r="L228" i="5"/>
  <c r="F228" i="5"/>
  <c r="L227" i="5"/>
  <c r="F227" i="5"/>
  <c r="L226" i="5"/>
  <c r="F226" i="5"/>
  <c r="L225" i="5"/>
  <c r="F225" i="5"/>
  <c r="L224" i="5"/>
  <c r="F224" i="5"/>
  <c r="L223" i="5"/>
  <c r="F223" i="5"/>
  <c r="L222" i="5"/>
  <c r="F222" i="5"/>
  <c r="L221" i="5"/>
  <c r="F221" i="5"/>
  <c r="L220" i="5"/>
  <c r="F220" i="5"/>
  <c r="L219" i="5"/>
  <c r="F219" i="5"/>
  <c r="L218" i="5"/>
  <c r="F218" i="5"/>
  <c r="L217" i="5"/>
  <c r="F217" i="5"/>
  <c r="L216" i="5"/>
  <c r="F216" i="5"/>
  <c r="L215" i="5"/>
  <c r="F215" i="5"/>
  <c r="L214" i="5"/>
  <c r="F214" i="5"/>
  <c r="L213" i="5"/>
  <c r="F213" i="5"/>
  <c r="L212" i="5"/>
  <c r="F212" i="5"/>
  <c r="L211" i="5"/>
  <c r="F211" i="5"/>
  <c r="L210" i="5"/>
  <c r="F210" i="5"/>
  <c r="L209" i="5"/>
  <c r="F209" i="5"/>
  <c r="L208" i="5"/>
  <c r="F208" i="5"/>
  <c r="L207" i="5"/>
  <c r="F207" i="5"/>
  <c r="L206" i="5"/>
  <c r="F206" i="5"/>
  <c r="L205" i="5"/>
  <c r="F205" i="5"/>
  <c r="L204" i="5"/>
  <c r="F204" i="5"/>
  <c r="L203" i="5"/>
  <c r="F203" i="5"/>
  <c r="L202" i="5"/>
  <c r="F202" i="5"/>
  <c r="L201" i="5"/>
  <c r="F201" i="5"/>
  <c r="L200" i="5"/>
  <c r="F200" i="5"/>
  <c r="L199" i="5"/>
  <c r="F199" i="5"/>
  <c r="L198" i="5"/>
  <c r="F198" i="5"/>
  <c r="L197" i="5"/>
  <c r="F197" i="5"/>
  <c r="L196" i="5"/>
  <c r="F196" i="5"/>
  <c r="L195" i="5"/>
  <c r="F195" i="5"/>
  <c r="L194" i="5"/>
  <c r="F194" i="5"/>
  <c r="L193" i="5"/>
  <c r="F193" i="5"/>
  <c r="L192" i="5"/>
  <c r="F192" i="5"/>
  <c r="L191" i="5"/>
  <c r="F191" i="5"/>
  <c r="L190" i="5"/>
  <c r="F190" i="5"/>
  <c r="L189" i="5"/>
  <c r="F189" i="5"/>
  <c r="L188" i="5"/>
  <c r="F188" i="5"/>
  <c r="L187" i="5"/>
  <c r="F187" i="5"/>
  <c r="L186" i="5"/>
  <c r="F186" i="5"/>
  <c r="L185" i="5"/>
  <c r="F185" i="5"/>
  <c r="L184" i="5"/>
  <c r="F184" i="5"/>
  <c r="L183" i="5"/>
  <c r="F183" i="5"/>
  <c r="L182" i="5"/>
  <c r="F182" i="5"/>
  <c r="L181" i="5"/>
  <c r="F181" i="5"/>
  <c r="L180" i="5"/>
  <c r="F180" i="5"/>
  <c r="L179" i="5"/>
  <c r="F179" i="5"/>
  <c r="L178" i="5"/>
  <c r="F178" i="5"/>
  <c r="L177" i="5"/>
  <c r="F177" i="5"/>
  <c r="L176" i="5"/>
  <c r="F176" i="5"/>
  <c r="L175" i="5"/>
  <c r="F175" i="5"/>
  <c r="L174" i="5"/>
  <c r="F174" i="5"/>
  <c r="L173" i="5"/>
  <c r="F173" i="5"/>
  <c r="L172" i="5"/>
  <c r="F172" i="5"/>
  <c r="L171" i="5"/>
  <c r="F171" i="5"/>
  <c r="L170" i="5"/>
  <c r="F170" i="5"/>
  <c r="L169" i="5"/>
  <c r="F169" i="5"/>
  <c r="L168" i="5"/>
  <c r="F168" i="5"/>
  <c r="L167" i="5"/>
  <c r="F167" i="5"/>
  <c r="L166" i="5"/>
  <c r="F166" i="5"/>
  <c r="L165" i="5"/>
  <c r="F165" i="5"/>
  <c r="L164" i="5"/>
  <c r="F164" i="5"/>
  <c r="L163" i="5"/>
  <c r="F163" i="5"/>
  <c r="L162" i="5"/>
  <c r="F162" i="5"/>
  <c r="L161" i="5"/>
  <c r="F161" i="5"/>
  <c r="L160" i="5"/>
  <c r="F160" i="5"/>
  <c r="L159" i="5"/>
  <c r="F159" i="5"/>
  <c r="L158" i="5"/>
  <c r="F158" i="5"/>
  <c r="L157" i="5"/>
  <c r="F157" i="5"/>
  <c r="L156" i="5"/>
  <c r="F156" i="5"/>
  <c r="L155" i="5"/>
  <c r="F155" i="5"/>
  <c r="L154" i="5"/>
  <c r="F154" i="5"/>
  <c r="L153" i="5"/>
  <c r="F153" i="5"/>
  <c r="L152" i="5"/>
  <c r="F152" i="5"/>
  <c r="L151" i="5"/>
  <c r="F151" i="5"/>
  <c r="L150" i="5"/>
  <c r="F150" i="5"/>
  <c r="L149" i="5"/>
  <c r="F149" i="5"/>
  <c r="L148" i="5"/>
  <c r="F148" i="5"/>
  <c r="L147" i="5"/>
  <c r="F147" i="5"/>
  <c r="L146" i="5"/>
  <c r="F146" i="5"/>
  <c r="L145" i="5"/>
  <c r="F145" i="5"/>
  <c r="L144" i="5"/>
  <c r="F144" i="5"/>
  <c r="L143" i="5"/>
  <c r="F143" i="5"/>
  <c r="L142" i="5"/>
  <c r="F142" i="5"/>
  <c r="L141" i="5"/>
  <c r="F141" i="5"/>
  <c r="L140" i="5"/>
  <c r="F140" i="5"/>
  <c r="L139" i="5"/>
  <c r="F139" i="5"/>
  <c r="L138" i="5"/>
  <c r="F138" i="5"/>
  <c r="L137" i="5"/>
  <c r="F137" i="5"/>
  <c r="L136" i="5"/>
  <c r="F136" i="5"/>
  <c r="L135" i="5"/>
  <c r="F135" i="5"/>
  <c r="L134" i="5"/>
  <c r="F134" i="5"/>
  <c r="L133" i="5"/>
  <c r="F133" i="5"/>
  <c r="L132" i="5"/>
  <c r="F132" i="5"/>
  <c r="L131" i="5"/>
  <c r="F131" i="5"/>
  <c r="L130" i="5"/>
  <c r="F130" i="5"/>
  <c r="L129" i="5"/>
  <c r="F129" i="5"/>
  <c r="L128" i="5"/>
  <c r="F128" i="5"/>
  <c r="L127" i="5"/>
  <c r="F127" i="5"/>
  <c r="L126" i="5"/>
  <c r="F126" i="5"/>
  <c r="L125" i="5"/>
  <c r="F125" i="5"/>
  <c r="L124" i="5"/>
  <c r="F124" i="5"/>
  <c r="L123" i="5"/>
  <c r="F123" i="5"/>
  <c r="L122" i="5"/>
  <c r="F122" i="5"/>
  <c r="L121" i="5"/>
  <c r="F121" i="5"/>
  <c r="L120" i="5"/>
  <c r="F120" i="5"/>
  <c r="L119" i="5"/>
  <c r="F119" i="5"/>
  <c r="L118" i="5"/>
  <c r="F118" i="5"/>
  <c r="L117" i="5"/>
  <c r="F117" i="5"/>
  <c r="L116" i="5"/>
  <c r="F116" i="5"/>
  <c r="L115" i="5"/>
  <c r="F115" i="5"/>
  <c r="L114" i="5"/>
  <c r="F114" i="5"/>
  <c r="L113" i="5"/>
  <c r="F113" i="5"/>
  <c r="L112" i="5"/>
  <c r="F112" i="5"/>
  <c r="L111" i="5"/>
  <c r="F111" i="5"/>
  <c r="L110" i="5"/>
  <c r="F110" i="5"/>
  <c r="L109" i="5"/>
  <c r="F109" i="5"/>
  <c r="L108" i="5"/>
  <c r="F108" i="5"/>
  <c r="L107" i="5"/>
  <c r="F107" i="5"/>
  <c r="L106" i="5"/>
  <c r="F106" i="5"/>
  <c r="L105" i="5"/>
  <c r="F105" i="5"/>
  <c r="L104" i="5"/>
  <c r="F104" i="5"/>
  <c r="L103" i="5"/>
  <c r="F103" i="5"/>
  <c r="L102" i="5"/>
  <c r="F102" i="5"/>
  <c r="L101" i="5"/>
  <c r="F101" i="5"/>
  <c r="L100" i="5"/>
  <c r="F100" i="5"/>
  <c r="L99" i="5"/>
  <c r="F99" i="5"/>
  <c r="L98" i="5"/>
  <c r="F98" i="5"/>
  <c r="L97" i="5"/>
  <c r="F97" i="5"/>
  <c r="L96" i="5"/>
  <c r="F96" i="5"/>
  <c r="L95" i="5"/>
  <c r="F95" i="5"/>
  <c r="L94" i="5"/>
  <c r="F94" i="5"/>
  <c r="L93" i="5"/>
  <c r="F93" i="5"/>
  <c r="L92" i="5"/>
  <c r="F92" i="5"/>
  <c r="L91" i="5"/>
  <c r="F91" i="5"/>
  <c r="L90" i="5"/>
  <c r="F90" i="5"/>
  <c r="L89" i="5"/>
  <c r="F89" i="5"/>
  <c r="L88" i="5"/>
  <c r="F88" i="5"/>
  <c r="L87" i="5"/>
  <c r="F87" i="5"/>
  <c r="L86" i="5"/>
  <c r="F86" i="5"/>
  <c r="L85" i="5"/>
  <c r="F85" i="5"/>
  <c r="L84" i="5"/>
  <c r="F84" i="5"/>
  <c r="L83" i="5"/>
  <c r="F83" i="5"/>
  <c r="L82" i="5"/>
  <c r="F82" i="5"/>
  <c r="L81" i="5"/>
  <c r="F81" i="5"/>
  <c r="L80" i="5"/>
  <c r="F80" i="5"/>
  <c r="L79" i="5"/>
  <c r="F79" i="5"/>
  <c r="L78" i="5"/>
  <c r="F78" i="5"/>
  <c r="L77" i="5"/>
  <c r="F77" i="5"/>
  <c r="L76" i="5"/>
  <c r="F76" i="5"/>
  <c r="L75" i="5"/>
  <c r="F75" i="5"/>
  <c r="L74" i="5"/>
  <c r="F74" i="5"/>
  <c r="L73" i="5"/>
  <c r="F73" i="5"/>
  <c r="L72" i="5"/>
  <c r="F72" i="5"/>
  <c r="L71" i="5"/>
  <c r="F71" i="5"/>
  <c r="L70" i="5"/>
  <c r="F70" i="5"/>
  <c r="L69" i="5"/>
  <c r="F69" i="5"/>
  <c r="L68" i="5"/>
  <c r="F68" i="5"/>
  <c r="L67" i="5"/>
  <c r="F67" i="5"/>
  <c r="L66" i="5"/>
  <c r="F66" i="5"/>
  <c r="L65" i="5"/>
  <c r="F65" i="5"/>
  <c r="L64" i="5"/>
  <c r="F64" i="5"/>
  <c r="L63" i="5"/>
  <c r="F63" i="5"/>
  <c r="L62" i="5"/>
  <c r="F62" i="5"/>
  <c r="L61" i="5"/>
  <c r="F61" i="5"/>
  <c r="L60" i="5"/>
  <c r="F60" i="5"/>
  <c r="L59" i="5"/>
  <c r="F59" i="5"/>
  <c r="L58" i="5"/>
  <c r="F58" i="5"/>
  <c r="L57" i="5"/>
  <c r="F57" i="5"/>
  <c r="L56" i="5"/>
  <c r="F56" i="5"/>
  <c r="L55" i="5"/>
  <c r="F55" i="5"/>
  <c r="L54" i="5"/>
  <c r="F54" i="5"/>
  <c r="L53" i="5"/>
  <c r="F53" i="5"/>
  <c r="L52" i="5"/>
  <c r="F52" i="5"/>
  <c r="L51" i="5"/>
  <c r="F51" i="5"/>
  <c r="L50" i="5"/>
  <c r="F50" i="5"/>
  <c r="L49" i="5"/>
  <c r="F49" i="5"/>
  <c r="L48" i="5"/>
  <c r="F48" i="5"/>
  <c r="L47" i="5"/>
  <c r="F47" i="5"/>
  <c r="L46" i="5"/>
  <c r="F46" i="5"/>
  <c r="L45" i="5"/>
  <c r="F45" i="5"/>
  <c r="L44" i="5"/>
  <c r="F44" i="5"/>
  <c r="L43" i="5"/>
  <c r="F43" i="5"/>
  <c r="L42" i="5"/>
  <c r="F42" i="5"/>
  <c r="L41" i="5"/>
  <c r="F41" i="5"/>
  <c r="L40" i="5"/>
  <c r="F40" i="5"/>
  <c r="L39" i="5"/>
  <c r="F39" i="5"/>
  <c r="L38" i="5"/>
  <c r="F38" i="5"/>
  <c r="L37" i="5"/>
  <c r="F37" i="5"/>
  <c r="L36" i="5"/>
  <c r="F36" i="5"/>
  <c r="L35" i="5"/>
  <c r="F35" i="5"/>
  <c r="L34" i="5"/>
  <c r="F34" i="5"/>
  <c r="L33" i="5"/>
  <c r="F33" i="5"/>
  <c r="L32" i="5"/>
  <c r="F32" i="5"/>
  <c r="L31" i="5"/>
  <c r="F31" i="5"/>
  <c r="L30" i="5"/>
  <c r="F30" i="5"/>
  <c r="L29" i="5"/>
  <c r="F29" i="5"/>
  <c r="L28" i="5"/>
  <c r="F28" i="5"/>
  <c r="L27" i="5"/>
  <c r="F27" i="5"/>
  <c r="L26" i="5"/>
  <c r="F26" i="5"/>
  <c r="L25" i="5"/>
  <c r="F25" i="5"/>
  <c r="L24" i="5"/>
  <c r="F24" i="5"/>
  <c r="L23" i="5"/>
  <c r="F23" i="5"/>
  <c r="L22" i="5"/>
  <c r="F22" i="5"/>
  <c r="L21" i="5"/>
  <c r="F21" i="5"/>
  <c r="L20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F6" i="5"/>
  <c r="F5" i="5"/>
  <c r="J660" i="5"/>
  <c r="J214" i="5"/>
  <c r="J38" i="5"/>
  <c r="J1" i="5" a="1"/>
  <c r="J1694" i="5" s="1"/>
  <c r="D1" i="5" a="1"/>
  <c r="D1597" i="5" s="1"/>
  <c r="C1" i="5" a="1"/>
  <c r="C1666" i="5" s="1"/>
  <c r="B1" i="5" a="1"/>
  <c r="B1647" i="5" s="1"/>
  <c r="B287" i="4" a="1"/>
  <c r="H273" i="4"/>
  <c r="F273" i="4"/>
  <c r="D273" i="4"/>
  <c r="C273" i="4"/>
  <c r="B273" i="4" a="1"/>
  <c r="G273" i="4" s="1"/>
  <c r="B259" i="4" a="1"/>
  <c r="F259" i="4" s="1"/>
  <c r="H245" i="4"/>
  <c r="D245" i="4"/>
  <c r="B245" i="4" a="1"/>
  <c r="J245" i="4" s="1"/>
  <c r="B231" i="4" a="1"/>
  <c r="H217" i="4"/>
  <c r="F217" i="4"/>
  <c r="D217" i="4"/>
  <c r="B217" i="4" a="1"/>
  <c r="G217" i="4" s="1"/>
  <c r="B202" i="4" a="1"/>
  <c r="H188" i="4"/>
  <c r="D188" i="4"/>
  <c r="B188" i="4" a="1"/>
  <c r="J188" i="4" s="1"/>
  <c r="B174" i="4" a="1"/>
  <c r="H159" i="4"/>
  <c r="F159" i="4"/>
  <c r="D159" i="4"/>
  <c r="B159" i="4" a="1"/>
  <c r="G159" i="4" s="1"/>
  <c r="F145" i="4"/>
  <c r="B145" i="4" a="1"/>
  <c r="H131" i="4"/>
  <c r="D131" i="4"/>
  <c r="B131" i="4" a="1"/>
  <c r="J131" i="4" s="1"/>
  <c r="B116" i="4" a="1"/>
  <c r="H102" i="4"/>
  <c r="F102" i="4"/>
  <c r="D102" i="4"/>
  <c r="B102" i="4" a="1"/>
  <c r="G102" i="4" s="1"/>
  <c r="F88" i="4"/>
  <c r="B88" i="4" a="1"/>
  <c r="H73" i="4"/>
  <c r="D73" i="4"/>
  <c r="B73" i="4" a="1"/>
  <c r="J73" i="4" s="1"/>
  <c r="B59" i="4" a="1"/>
  <c r="H45" i="4"/>
  <c r="F45" i="4"/>
  <c r="D45" i="4"/>
  <c r="B45" i="4" a="1"/>
  <c r="G45" i="4" s="1"/>
  <c r="F30" i="4"/>
  <c r="B30" i="4" a="1"/>
  <c r="H16" i="4"/>
  <c r="D16" i="4"/>
  <c r="B16" i="4" a="1"/>
  <c r="J16" i="4" s="1"/>
  <c r="K2" i="4"/>
  <c r="G2" i="4"/>
  <c r="E2" i="4"/>
  <c r="C2" i="4"/>
  <c r="B2" i="4" a="1"/>
  <c r="F2" i="4" s="1"/>
  <c r="BK1055" i="3"/>
  <c r="BR1053" i="3"/>
  <c r="BR1052" i="3"/>
  <c r="BR1051" i="3"/>
  <c r="BR1050" i="3"/>
  <c r="BR1049" i="3"/>
  <c r="BR1048" i="3"/>
  <c r="BR1047" i="3"/>
  <c r="BR1046" i="3"/>
  <c r="BR1045" i="3"/>
  <c r="BR1044" i="3"/>
  <c r="BR1043" i="3"/>
  <c r="BR1042" i="3"/>
  <c r="BR1041" i="3"/>
  <c r="BR1040" i="3"/>
  <c r="BR1039" i="3"/>
  <c r="BR1038" i="3"/>
  <c r="BR1036" i="3"/>
  <c r="BR1034" i="3"/>
  <c r="BR1032" i="3"/>
  <c r="BR1031" i="3"/>
  <c r="BR1030" i="3"/>
  <c r="BR1029" i="3"/>
  <c r="BR1028" i="3"/>
  <c r="BR1027" i="3"/>
  <c r="BR1026" i="3"/>
  <c r="BR1025" i="3"/>
  <c r="BR1024" i="3"/>
  <c r="BR1023" i="3"/>
  <c r="BR1022" i="3"/>
  <c r="BR1021" i="3"/>
  <c r="BR1020" i="3"/>
  <c r="BR1019" i="3"/>
  <c r="BR1018" i="3"/>
  <c r="BR1017" i="3"/>
  <c r="BR1016" i="3"/>
  <c r="BR1015" i="3"/>
  <c r="BR1014" i="3"/>
  <c r="BR1013" i="3"/>
  <c r="BR1012" i="3"/>
  <c r="BR1011" i="3"/>
  <c r="BR1010" i="3"/>
  <c r="BR1009" i="3"/>
  <c r="BR1008" i="3"/>
  <c r="BR1007" i="3"/>
  <c r="BR1006" i="3"/>
  <c r="BR1005" i="3"/>
  <c r="BR1004" i="3"/>
  <c r="BR1003" i="3"/>
  <c r="BR1002" i="3"/>
  <c r="BR1001" i="3"/>
  <c r="BR1000" i="3"/>
  <c r="BR999" i="3"/>
  <c r="BR998" i="3"/>
  <c r="BR997" i="3"/>
  <c r="BR996" i="3"/>
  <c r="BR995" i="3"/>
  <c r="BR994" i="3"/>
  <c r="BR993" i="3"/>
  <c r="BR992" i="3"/>
  <c r="BR991" i="3"/>
  <c r="BR990" i="3"/>
  <c r="BR989" i="3"/>
  <c r="BR988" i="3"/>
  <c r="BR987" i="3"/>
  <c r="BR986" i="3"/>
  <c r="BR985" i="3"/>
  <c r="BR984" i="3"/>
  <c r="BR983" i="3"/>
  <c r="BR982" i="3"/>
  <c r="BR981" i="3"/>
  <c r="BR980" i="3"/>
  <c r="BR979" i="3"/>
  <c r="BR978" i="3"/>
  <c r="BR977" i="3"/>
  <c r="BR976" i="3"/>
  <c r="BR975" i="3"/>
  <c r="BR974" i="3"/>
  <c r="BR973" i="3"/>
  <c r="BR972" i="3"/>
  <c r="BR971" i="3"/>
  <c r="BR970" i="3"/>
  <c r="BR969" i="3"/>
  <c r="BR968" i="3"/>
  <c r="BR967" i="3"/>
  <c r="BR966" i="3"/>
  <c r="BR965" i="3"/>
  <c r="BR964" i="3"/>
  <c r="BR963" i="3"/>
  <c r="BR962" i="3"/>
  <c r="BR961" i="3"/>
  <c r="BR960" i="3"/>
  <c r="BR959" i="3"/>
  <c r="BR958" i="3"/>
  <c r="BR957" i="3"/>
  <c r="BR956" i="3"/>
  <c r="BR955" i="3"/>
  <c r="BR954" i="3"/>
  <c r="BR953" i="3"/>
  <c r="BR952" i="3"/>
  <c r="BR951" i="3"/>
  <c r="BR950" i="3"/>
  <c r="BR949" i="3"/>
  <c r="BR948" i="3"/>
  <c r="BR947" i="3"/>
  <c r="BR946" i="3"/>
  <c r="BR945" i="3"/>
  <c r="BR944" i="3"/>
  <c r="BR943" i="3"/>
  <c r="BR942" i="3"/>
  <c r="BR941" i="3"/>
  <c r="BR940" i="3"/>
  <c r="BR939" i="3"/>
  <c r="BR938" i="3"/>
  <c r="BR937" i="3"/>
  <c r="BR936" i="3"/>
  <c r="BR935" i="3"/>
  <c r="BR934" i="3"/>
  <c r="BR933" i="3"/>
  <c r="BR932" i="3"/>
  <c r="BR931" i="3"/>
  <c r="BR930" i="3"/>
  <c r="BR929" i="3"/>
  <c r="BR928" i="3"/>
  <c r="BR927" i="3"/>
  <c r="BR926" i="3"/>
  <c r="BR925" i="3"/>
  <c r="BR924" i="3"/>
  <c r="BR923" i="3"/>
  <c r="BR922" i="3"/>
  <c r="BR921" i="3"/>
  <c r="BR920" i="3"/>
  <c r="BR919" i="3"/>
  <c r="BR918" i="3"/>
  <c r="BR917" i="3"/>
  <c r="BR916" i="3"/>
  <c r="BR915" i="3"/>
  <c r="BR914" i="3"/>
  <c r="BR913" i="3"/>
  <c r="BR912" i="3"/>
  <c r="BR911" i="3"/>
  <c r="BR910" i="3"/>
  <c r="BR909" i="3"/>
  <c r="BR908" i="3"/>
  <c r="BR907" i="3"/>
  <c r="BR906" i="3"/>
  <c r="BR905" i="3"/>
  <c r="BR904" i="3"/>
  <c r="BR903" i="3"/>
  <c r="BR902" i="3"/>
  <c r="BR901" i="3"/>
  <c r="BR900" i="3"/>
  <c r="BR899" i="3"/>
  <c r="BR898" i="3"/>
  <c r="BR897" i="3"/>
  <c r="BR896" i="3"/>
  <c r="BR895" i="3"/>
  <c r="BR894" i="3"/>
  <c r="BR893" i="3"/>
  <c r="BR892" i="3"/>
  <c r="BR891" i="3"/>
  <c r="BR890" i="3"/>
  <c r="BR889" i="3"/>
  <c r="BR888" i="3"/>
  <c r="BR887" i="3"/>
  <c r="BR886" i="3"/>
  <c r="BR885" i="3"/>
  <c r="BR884" i="3"/>
  <c r="BR883" i="3"/>
  <c r="BR882" i="3"/>
  <c r="BR881" i="3"/>
  <c r="BR880" i="3"/>
  <c r="BR879" i="3"/>
  <c r="BR878" i="3"/>
  <c r="BR877" i="3"/>
  <c r="BR876" i="3"/>
  <c r="BR875" i="3"/>
  <c r="BR874" i="3"/>
  <c r="BR873" i="3"/>
  <c r="BR872" i="3"/>
  <c r="BR871" i="3"/>
  <c r="BR870" i="3"/>
  <c r="BR869" i="3"/>
  <c r="BR868" i="3"/>
  <c r="BR867" i="3"/>
  <c r="BR866" i="3"/>
  <c r="BR865" i="3"/>
  <c r="BR864" i="3"/>
  <c r="BR863" i="3"/>
  <c r="BR862" i="3"/>
  <c r="BR861" i="3"/>
  <c r="BR860" i="3"/>
  <c r="BR859" i="3"/>
  <c r="BR858" i="3"/>
  <c r="BR857" i="3"/>
  <c r="BR856" i="3"/>
  <c r="BR855" i="3"/>
  <c r="BR854" i="3"/>
  <c r="BR853" i="3"/>
  <c r="BR852" i="3"/>
  <c r="BR851" i="3"/>
  <c r="BR850" i="3"/>
  <c r="BR849" i="3"/>
  <c r="BR848" i="3"/>
  <c r="BR847" i="3"/>
  <c r="BR846" i="3"/>
  <c r="BR845" i="3"/>
  <c r="BR844" i="3"/>
  <c r="BR843" i="3"/>
  <c r="BR842" i="3"/>
  <c r="BR841" i="3"/>
  <c r="BR840" i="3"/>
  <c r="BR839" i="3"/>
  <c r="BR838" i="3"/>
  <c r="BR837" i="3"/>
  <c r="BR836" i="3"/>
  <c r="BR835" i="3"/>
  <c r="BR834" i="3"/>
  <c r="BR833" i="3"/>
  <c r="BR832" i="3"/>
  <c r="BR831" i="3"/>
  <c r="BR830" i="3"/>
  <c r="BR829" i="3"/>
  <c r="BR828" i="3"/>
  <c r="BR827" i="3"/>
  <c r="BR826" i="3"/>
  <c r="BR825" i="3"/>
  <c r="BR824" i="3"/>
  <c r="BR823" i="3"/>
  <c r="BR822" i="3"/>
  <c r="BR821" i="3"/>
  <c r="BR820" i="3"/>
  <c r="BR819" i="3"/>
  <c r="BR818" i="3"/>
  <c r="BR817" i="3"/>
  <c r="BR816" i="3"/>
  <c r="BR815" i="3"/>
  <c r="BR814" i="3"/>
  <c r="BR813" i="3"/>
  <c r="BR812" i="3"/>
  <c r="BR811" i="3"/>
  <c r="BR810" i="3"/>
  <c r="BR809" i="3"/>
  <c r="BR808" i="3"/>
  <c r="BR807" i="3"/>
  <c r="BR806" i="3"/>
  <c r="BR805" i="3"/>
  <c r="BR804" i="3"/>
  <c r="BR803" i="3"/>
  <c r="BR802" i="3"/>
  <c r="BR801" i="3"/>
  <c r="BR800" i="3"/>
  <c r="BR799" i="3"/>
  <c r="BR798" i="3"/>
  <c r="BR797" i="3"/>
  <c r="BR796" i="3"/>
  <c r="BR795" i="3"/>
  <c r="BR794" i="3"/>
  <c r="BR793" i="3"/>
  <c r="BR792" i="3"/>
  <c r="BR791" i="3"/>
  <c r="BR790" i="3"/>
  <c r="BR789" i="3"/>
  <c r="BR788" i="3"/>
  <c r="BR787" i="3"/>
  <c r="BR786" i="3"/>
  <c r="BR785" i="3"/>
  <c r="BR784" i="3"/>
  <c r="BR783" i="3"/>
  <c r="BR782" i="3"/>
  <c r="BR781" i="3"/>
  <c r="BR780" i="3"/>
  <c r="BR779" i="3"/>
  <c r="BR778" i="3"/>
  <c r="BR777" i="3"/>
  <c r="BR776" i="3"/>
  <c r="BR775" i="3"/>
  <c r="BR774" i="3"/>
  <c r="BR773" i="3"/>
  <c r="BR772" i="3"/>
  <c r="BR771" i="3"/>
  <c r="BR770" i="3"/>
  <c r="BR769" i="3"/>
  <c r="BR768" i="3"/>
  <c r="BR767" i="3"/>
  <c r="BR766" i="3"/>
  <c r="BR765" i="3"/>
  <c r="BR764" i="3"/>
  <c r="BR763" i="3"/>
  <c r="BR762" i="3"/>
  <c r="BR761" i="3"/>
  <c r="BR760" i="3"/>
  <c r="BR759" i="3"/>
  <c r="BR758" i="3"/>
  <c r="BR757" i="3"/>
  <c r="BR756" i="3"/>
  <c r="BR755" i="3"/>
  <c r="BR754" i="3"/>
  <c r="BR753" i="3"/>
  <c r="BR752" i="3"/>
  <c r="BR751" i="3"/>
  <c r="BR750" i="3"/>
  <c r="BR749" i="3"/>
  <c r="BR748" i="3"/>
  <c r="BR747" i="3"/>
  <c r="BR746" i="3"/>
  <c r="BR745" i="3"/>
  <c r="BR744" i="3"/>
  <c r="BR743" i="3"/>
  <c r="BR742" i="3"/>
  <c r="BR741" i="3"/>
  <c r="BR740" i="3"/>
  <c r="BR739" i="3"/>
  <c r="BR738" i="3"/>
  <c r="BR737" i="3"/>
  <c r="BR736" i="3"/>
  <c r="BR735" i="3"/>
  <c r="BR734" i="3"/>
  <c r="BR733" i="3"/>
  <c r="BR732" i="3"/>
  <c r="BR731" i="3"/>
  <c r="BR730" i="3"/>
  <c r="BR729" i="3"/>
  <c r="BR728" i="3"/>
  <c r="BR727" i="3"/>
  <c r="BR726" i="3"/>
  <c r="BR725" i="3"/>
  <c r="BR724" i="3"/>
  <c r="BR723" i="3"/>
  <c r="BR722" i="3"/>
  <c r="BR721" i="3"/>
  <c r="BR720" i="3"/>
  <c r="BR719" i="3"/>
  <c r="BR718" i="3"/>
  <c r="BR717" i="3"/>
  <c r="BR716" i="3"/>
  <c r="BR715" i="3"/>
  <c r="BR714" i="3"/>
  <c r="BR713" i="3"/>
  <c r="BR712" i="3"/>
  <c r="BJ712" i="3"/>
  <c r="BR711" i="3"/>
  <c r="BR710" i="3"/>
  <c r="BR709" i="3"/>
  <c r="BR708" i="3"/>
  <c r="BR707" i="3"/>
  <c r="BR706" i="3"/>
  <c r="BR705" i="3"/>
  <c r="BR704" i="3"/>
  <c r="BR703" i="3"/>
  <c r="BR702" i="3"/>
  <c r="BR701" i="3"/>
  <c r="BR700" i="3"/>
  <c r="BR699" i="3"/>
  <c r="BR698" i="3"/>
  <c r="BR697" i="3"/>
  <c r="BR696" i="3"/>
  <c r="BR695" i="3"/>
  <c r="BR694" i="3"/>
  <c r="BR693" i="3"/>
  <c r="BR692" i="3"/>
  <c r="BR691" i="3"/>
  <c r="BR690" i="3"/>
  <c r="BR689" i="3"/>
  <c r="BR688" i="3"/>
  <c r="BR687" i="3"/>
  <c r="BR686" i="3"/>
  <c r="BR685" i="3"/>
  <c r="BR684" i="3"/>
  <c r="BR683" i="3"/>
  <c r="BR682" i="3"/>
  <c r="BR681" i="3"/>
  <c r="BR680" i="3"/>
  <c r="BR679" i="3"/>
  <c r="BR678" i="3"/>
  <c r="BR677" i="3"/>
  <c r="BR676" i="3"/>
  <c r="BR675" i="3"/>
  <c r="BR674" i="3"/>
  <c r="BR673" i="3"/>
  <c r="BR672" i="3"/>
  <c r="BR671" i="3"/>
  <c r="BR670" i="3"/>
  <c r="BR669" i="3"/>
  <c r="BR668" i="3"/>
  <c r="BR667" i="3"/>
  <c r="BR666" i="3"/>
  <c r="BR665" i="3"/>
  <c r="BR664" i="3"/>
  <c r="BR663" i="3"/>
  <c r="BR662" i="3"/>
  <c r="BR661" i="3"/>
  <c r="BR660" i="3"/>
  <c r="BR659" i="3"/>
  <c r="BR658" i="3"/>
  <c r="BR657" i="3"/>
  <c r="BR656" i="3"/>
  <c r="BR655" i="3"/>
  <c r="BR654" i="3"/>
  <c r="BR653" i="3"/>
  <c r="BR652" i="3"/>
  <c r="BR651" i="3"/>
  <c r="BR650" i="3"/>
  <c r="BR649" i="3"/>
  <c r="BR648" i="3"/>
  <c r="BR647" i="3"/>
  <c r="BR646" i="3"/>
  <c r="BR645" i="3"/>
  <c r="BR644" i="3"/>
  <c r="BR643" i="3"/>
  <c r="BR642" i="3"/>
  <c r="BR641" i="3"/>
  <c r="BF641" i="3"/>
  <c r="BR640" i="3"/>
  <c r="BR639" i="3"/>
  <c r="BR638" i="3"/>
  <c r="BR637" i="3"/>
  <c r="BR636" i="3"/>
  <c r="BR635" i="3"/>
  <c r="BR634" i="3"/>
  <c r="BR633" i="3"/>
  <c r="BR632" i="3"/>
  <c r="BR631" i="3"/>
  <c r="BR630" i="3"/>
  <c r="BR629" i="3"/>
  <c r="BR628" i="3"/>
  <c r="BR627" i="3"/>
  <c r="BR626" i="3"/>
  <c r="BR625" i="3"/>
  <c r="BR624" i="3"/>
  <c r="BR623" i="3"/>
  <c r="BR622" i="3"/>
  <c r="BR621" i="3"/>
  <c r="BR620" i="3"/>
  <c r="BR619" i="3"/>
  <c r="BR618" i="3"/>
  <c r="BR617" i="3"/>
  <c r="BR616" i="3"/>
  <c r="BR615" i="3"/>
  <c r="BR614" i="3"/>
  <c r="BR613" i="3"/>
  <c r="BR612" i="3"/>
  <c r="BR611" i="3"/>
  <c r="BR610" i="3"/>
  <c r="BR609" i="3"/>
  <c r="BE609" i="3"/>
  <c r="BR608" i="3"/>
  <c r="BR607" i="3"/>
  <c r="BR606" i="3"/>
  <c r="BR605" i="3"/>
  <c r="BR604" i="3"/>
  <c r="BR603" i="3"/>
  <c r="BR602" i="3"/>
  <c r="BR601" i="3"/>
  <c r="BR600" i="3"/>
  <c r="BR599" i="3"/>
  <c r="BR598" i="3"/>
  <c r="BR597" i="3"/>
  <c r="BR596" i="3"/>
  <c r="BR595" i="3"/>
  <c r="BR594" i="3"/>
  <c r="BR593" i="3"/>
  <c r="BR592" i="3"/>
  <c r="BR591" i="3"/>
  <c r="BR590" i="3"/>
  <c r="BR589" i="3"/>
  <c r="BR588" i="3"/>
  <c r="BR587" i="3"/>
  <c r="BR586" i="3"/>
  <c r="BR585" i="3"/>
  <c r="BR584" i="3"/>
  <c r="BR583" i="3"/>
  <c r="BR582" i="3"/>
  <c r="BR581" i="3"/>
  <c r="BR580" i="3"/>
  <c r="BR579" i="3"/>
  <c r="BR578" i="3"/>
  <c r="BR577" i="3"/>
  <c r="BR576" i="3"/>
  <c r="BR575" i="3"/>
  <c r="BR574" i="3"/>
  <c r="BR573" i="3"/>
  <c r="BR572" i="3"/>
  <c r="BR571" i="3"/>
  <c r="BR570" i="3"/>
  <c r="BR569" i="3"/>
  <c r="BR568" i="3"/>
  <c r="BR567" i="3"/>
  <c r="BR566" i="3"/>
  <c r="BR565" i="3"/>
  <c r="BR564" i="3"/>
  <c r="BR563" i="3"/>
  <c r="BR562" i="3"/>
  <c r="BR561" i="3"/>
  <c r="BR560" i="3"/>
  <c r="BR559" i="3"/>
  <c r="BR558" i="3"/>
  <c r="BR557" i="3"/>
  <c r="BR556" i="3"/>
  <c r="BR555" i="3"/>
  <c r="BR554" i="3"/>
  <c r="BR553" i="3"/>
  <c r="BR552" i="3"/>
  <c r="BR551" i="3"/>
  <c r="BR550" i="3"/>
  <c r="BR549" i="3"/>
  <c r="BR548" i="3"/>
  <c r="BR547" i="3"/>
  <c r="BR546" i="3"/>
  <c r="BR545" i="3"/>
  <c r="BR544" i="3"/>
  <c r="BR543" i="3"/>
  <c r="BR542" i="3"/>
  <c r="BR541" i="3"/>
  <c r="BR540" i="3"/>
  <c r="BR539" i="3"/>
  <c r="BR538" i="3"/>
  <c r="BR537" i="3"/>
  <c r="BR536" i="3"/>
  <c r="BR535" i="3"/>
  <c r="BR534" i="3"/>
  <c r="BR533" i="3"/>
  <c r="BR532" i="3"/>
  <c r="BR531" i="3"/>
  <c r="BR530" i="3"/>
  <c r="BR529" i="3"/>
  <c r="BR528" i="3"/>
  <c r="BR527" i="3"/>
  <c r="BR526" i="3"/>
  <c r="BR525" i="3"/>
  <c r="BR524" i="3"/>
  <c r="BR523" i="3"/>
  <c r="BR522" i="3"/>
  <c r="BR521" i="3"/>
  <c r="BR520" i="3"/>
  <c r="BR519" i="3"/>
  <c r="BR518" i="3"/>
  <c r="BR517" i="3"/>
  <c r="BR516" i="3"/>
  <c r="BR515" i="3"/>
  <c r="BR514" i="3"/>
  <c r="BR513" i="3"/>
  <c r="BR512" i="3"/>
  <c r="BR511" i="3"/>
  <c r="BR510" i="3"/>
  <c r="BR509" i="3"/>
  <c r="BR508" i="3"/>
  <c r="BR507" i="3"/>
  <c r="BR506" i="3"/>
  <c r="BR505" i="3"/>
  <c r="BR504" i="3"/>
  <c r="BR503" i="3"/>
  <c r="BR502" i="3"/>
  <c r="BR501" i="3"/>
  <c r="BR500" i="3"/>
  <c r="BR499" i="3"/>
  <c r="BR498" i="3"/>
  <c r="BR497" i="3"/>
  <c r="BR496" i="3"/>
  <c r="BR495" i="3"/>
  <c r="BR494" i="3"/>
  <c r="BR493" i="3"/>
  <c r="BR492" i="3"/>
  <c r="BR491" i="3"/>
  <c r="BR490" i="3"/>
  <c r="BR489" i="3"/>
  <c r="BR488" i="3"/>
  <c r="BR487" i="3"/>
  <c r="BR486" i="3"/>
  <c r="BR485" i="3"/>
  <c r="BR484" i="3"/>
  <c r="BR483" i="3"/>
  <c r="BR482" i="3"/>
  <c r="BR481" i="3"/>
  <c r="BR480" i="3"/>
  <c r="BR479" i="3"/>
  <c r="BR478" i="3"/>
  <c r="BR477" i="3"/>
  <c r="BR476" i="3"/>
  <c r="BR475" i="3"/>
  <c r="BR474" i="3"/>
  <c r="BR473" i="3"/>
  <c r="BR472" i="3"/>
  <c r="BR471" i="3"/>
  <c r="BR470" i="3"/>
  <c r="BR469" i="3"/>
  <c r="BR468" i="3"/>
  <c r="BR467" i="3"/>
  <c r="BR466" i="3"/>
  <c r="BR465" i="3"/>
  <c r="BR464" i="3"/>
  <c r="BR463" i="3"/>
  <c r="BR462" i="3"/>
  <c r="BR461" i="3"/>
  <c r="BR460" i="3"/>
  <c r="BR459" i="3"/>
  <c r="BR458" i="3"/>
  <c r="BR457" i="3"/>
  <c r="BR456" i="3"/>
  <c r="BR455" i="3"/>
  <c r="BR454" i="3"/>
  <c r="BR453" i="3"/>
  <c r="BR452" i="3"/>
  <c r="BR451" i="3"/>
  <c r="BR450" i="3"/>
  <c r="BR449" i="3"/>
  <c r="BR448" i="3"/>
  <c r="BR447" i="3"/>
  <c r="BR446" i="3"/>
  <c r="BR445" i="3"/>
  <c r="BR444" i="3"/>
  <c r="BR443" i="3"/>
  <c r="BR442" i="3"/>
  <c r="BR441" i="3"/>
  <c r="BR440" i="3"/>
  <c r="BR439" i="3"/>
  <c r="BR438" i="3"/>
  <c r="BR437" i="3"/>
  <c r="BR436" i="3"/>
  <c r="BR435" i="3"/>
  <c r="BR434" i="3"/>
  <c r="BR433" i="3"/>
  <c r="BR432" i="3"/>
  <c r="BR431" i="3"/>
  <c r="BR430" i="3"/>
  <c r="BR429" i="3"/>
  <c r="BR428" i="3"/>
  <c r="BR427" i="3"/>
  <c r="BR426" i="3"/>
  <c r="BR425" i="3"/>
  <c r="BR424" i="3"/>
  <c r="BR423" i="3"/>
  <c r="BR422" i="3"/>
  <c r="BR421" i="3"/>
  <c r="BR420" i="3"/>
  <c r="BR419" i="3"/>
  <c r="BR418" i="3"/>
  <c r="BR417" i="3"/>
  <c r="BR416" i="3"/>
  <c r="BR415" i="3"/>
  <c r="BR414" i="3"/>
  <c r="BR413" i="3"/>
  <c r="BR412" i="3"/>
  <c r="BR411" i="3"/>
  <c r="BR410" i="3"/>
  <c r="BR409" i="3"/>
  <c r="BR408" i="3"/>
  <c r="BR407" i="3"/>
  <c r="BR406" i="3"/>
  <c r="BR405" i="3"/>
  <c r="BR404" i="3"/>
  <c r="BR403" i="3"/>
  <c r="BR402" i="3"/>
  <c r="BR401" i="3"/>
  <c r="BR400" i="3"/>
  <c r="BR399" i="3"/>
  <c r="BR398" i="3"/>
  <c r="BR397" i="3"/>
  <c r="BR396" i="3"/>
  <c r="BR395" i="3"/>
  <c r="BR394" i="3"/>
  <c r="BR393" i="3"/>
  <c r="BR392" i="3"/>
  <c r="BR391" i="3"/>
  <c r="BR390" i="3"/>
  <c r="BR389" i="3"/>
  <c r="BR388" i="3"/>
  <c r="BR387" i="3"/>
  <c r="BR386" i="3"/>
  <c r="BR385" i="3"/>
  <c r="BR384" i="3"/>
  <c r="BR383" i="3"/>
  <c r="BR382" i="3"/>
  <c r="BR381" i="3"/>
  <c r="BR380" i="3"/>
  <c r="BR379" i="3"/>
  <c r="BR378" i="3"/>
  <c r="BR377" i="3"/>
  <c r="BR376" i="3"/>
  <c r="BR375" i="3"/>
  <c r="BR374" i="3"/>
  <c r="BR373" i="3"/>
  <c r="BR372" i="3"/>
  <c r="BR371" i="3"/>
  <c r="BR370" i="3"/>
  <c r="BR369" i="3"/>
  <c r="BR368" i="3"/>
  <c r="BR367" i="3"/>
  <c r="BR366" i="3"/>
  <c r="BR365" i="3"/>
  <c r="BR364" i="3"/>
  <c r="BR363" i="3"/>
  <c r="BR362" i="3"/>
  <c r="BR361" i="3"/>
  <c r="BR360" i="3"/>
  <c r="BR359" i="3"/>
  <c r="BR358" i="3"/>
  <c r="BR357" i="3"/>
  <c r="BR356" i="3"/>
  <c r="BR355" i="3"/>
  <c r="BR354" i="3"/>
  <c r="BR353" i="3"/>
  <c r="BR352" i="3"/>
  <c r="BR351" i="3"/>
  <c r="BR350" i="3"/>
  <c r="BR349" i="3"/>
  <c r="BR348" i="3"/>
  <c r="BR347" i="3"/>
  <c r="BR346" i="3"/>
  <c r="BR345" i="3"/>
  <c r="BR344" i="3"/>
  <c r="BR343" i="3"/>
  <c r="BR342" i="3"/>
  <c r="BR341" i="3"/>
  <c r="BD341" i="3"/>
  <c r="BR340" i="3"/>
  <c r="BR339" i="3"/>
  <c r="BR338" i="3"/>
  <c r="BR337" i="3"/>
  <c r="BR336" i="3"/>
  <c r="BR335" i="3"/>
  <c r="BR334" i="3"/>
  <c r="BR333" i="3"/>
  <c r="BR332" i="3"/>
  <c r="BR331" i="3"/>
  <c r="BR330" i="3"/>
  <c r="BR329" i="3"/>
  <c r="BR328" i="3"/>
  <c r="BR327" i="3"/>
  <c r="BF327" i="3"/>
  <c r="BR326" i="3"/>
  <c r="BR325" i="3"/>
  <c r="BR324" i="3"/>
  <c r="BR323" i="3"/>
  <c r="BR322" i="3"/>
  <c r="BR321" i="3"/>
  <c r="BR320" i="3"/>
  <c r="BR319" i="3"/>
  <c r="BR318" i="3"/>
  <c r="BR317" i="3"/>
  <c r="BR316" i="3"/>
  <c r="BR315" i="3"/>
  <c r="BR314" i="3"/>
  <c r="BR313" i="3"/>
  <c r="BR312" i="3"/>
  <c r="BR311" i="3"/>
  <c r="BR310" i="3"/>
  <c r="BR309" i="3"/>
  <c r="BR308" i="3"/>
  <c r="BR307" i="3"/>
  <c r="BR306" i="3"/>
  <c r="BR305" i="3"/>
  <c r="BR304" i="3"/>
  <c r="BR303" i="3"/>
  <c r="BR302" i="3"/>
  <c r="BR301" i="3"/>
  <c r="BR300" i="3"/>
  <c r="BR299" i="3"/>
  <c r="BR298" i="3"/>
  <c r="BR297" i="3"/>
  <c r="BR296" i="3"/>
  <c r="BR295" i="3"/>
  <c r="BR294" i="3"/>
  <c r="BR293" i="3"/>
  <c r="BR292" i="3"/>
  <c r="BR291" i="3"/>
  <c r="BR290" i="3"/>
  <c r="BR289" i="3"/>
  <c r="BR288" i="3"/>
  <c r="BR287" i="3"/>
  <c r="BR286" i="3"/>
  <c r="BR285" i="3"/>
  <c r="BR284" i="3"/>
  <c r="BR283" i="3"/>
  <c r="BR282" i="3"/>
  <c r="BR281" i="3"/>
  <c r="BR280" i="3"/>
  <c r="BR279" i="3"/>
  <c r="BR278" i="3"/>
  <c r="BR277" i="3"/>
  <c r="BR276" i="3"/>
  <c r="BR275" i="3"/>
  <c r="BR274" i="3"/>
  <c r="BR273" i="3"/>
  <c r="BR272" i="3"/>
  <c r="BR271" i="3"/>
  <c r="BR270" i="3"/>
  <c r="BR269" i="3"/>
  <c r="BR268" i="3"/>
  <c r="BR267" i="3"/>
  <c r="BR266" i="3"/>
  <c r="BR265" i="3"/>
  <c r="BR264" i="3"/>
  <c r="BR263" i="3"/>
  <c r="BR262" i="3"/>
  <c r="BR261" i="3"/>
  <c r="BR260" i="3"/>
  <c r="BR259" i="3"/>
  <c r="BR258" i="3"/>
  <c r="BR257" i="3"/>
  <c r="BR256" i="3"/>
  <c r="BR255" i="3"/>
  <c r="BR254" i="3"/>
  <c r="BR253" i="3"/>
  <c r="BR252" i="3"/>
  <c r="BR251" i="3"/>
  <c r="BR250" i="3"/>
  <c r="BR249" i="3"/>
  <c r="BG249" i="3"/>
  <c r="BR248" i="3"/>
  <c r="BR247" i="3"/>
  <c r="BR246" i="3"/>
  <c r="BR245" i="3"/>
  <c r="BR244" i="3"/>
  <c r="BR243" i="3"/>
  <c r="BR242" i="3"/>
  <c r="BR241" i="3"/>
  <c r="BI241" i="3"/>
  <c r="BR240" i="3"/>
  <c r="BR239" i="3"/>
  <c r="BR238" i="3"/>
  <c r="BR237" i="3"/>
  <c r="BR236" i="3"/>
  <c r="BR235" i="3"/>
  <c r="BR234" i="3"/>
  <c r="BR233" i="3"/>
  <c r="BR232" i="3"/>
  <c r="BR231" i="3"/>
  <c r="BR230" i="3"/>
  <c r="BR229" i="3"/>
  <c r="BR228" i="3"/>
  <c r="BR227" i="3"/>
  <c r="BR226" i="3"/>
  <c r="BR225" i="3"/>
  <c r="BR224" i="3"/>
  <c r="BR223" i="3"/>
  <c r="BR222" i="3"/>
  <c r="BR221" i="3"/>
  <c r="BR220" i="3"/>
  <c r="BR219" i="3"/>
  <c r="BR218" i="3"/>
  <c r="BR217" i="3"/>
  <c r="BR216" i="3"/>
  <c r="BR215" i="3"/>
  <c r="BR214" i="3"/>
  <c r="BR213" i="3"/>
  <c r="BR212" i="3"/>
  <c r="BR211" i="3"/>
  <c r="BR210" i="3"/>
  <c r="BR209" i="3"/>
  <c r="BR208" i="3"/>
  <c r="BR207" i="3"/>
  <c r="BR206" i="3"/>
  <c r="BR205" i="3"/>
  <c r="BR204" i="3"/>
  <c r="BR203" i="3"/>
  <c r="BR202" i="3"/>
  <c r="BR201" i="3"/>
  <c r="BR200" i="3"/>
  <c r="BR199" i="3"/>
  <c r="BR198" i="3"/>
  <c r="BR197" i="3"/>
  <c r="BR196" i="3"/>
  <c r="BR195" i="3"/>
  <c r="BR194" i="3"/>
  <c r="BR193" i="3"/>
  <c r="BR192" i="3"/>
  <c r="BR191" i="3"/>
  <c r="BR190" i="3"/>
  <c r="BR189" i="3"/>
  <c r="BR188" i="3"/>
  <c r="BR187" i="3"/>
  <c r="BR186" i="3"/>
  <c r="BR185" i="3"/>
  <c r="BR184" i="3"/>
  <c r="BR183" i="3"/>
  <c r="BR182" i="3"/>
  <c r="BR181" i="3"/>
  <c r="BR180" i="3"/>
  <c r="BR179" i="3"/>
  <c r="BR178" i="3"/>
  <c r="BR177" i="3"/>
  <c r="BR176" i="3"/>
  <c r="BR175" i="3"/>
  <c r="BR174" i="3"/>
  <c r="BR173" i="3"/>
  <c r="BR172" i="3"/>
  <c r="BR171" i="3"/>
  <c r="BR170" i="3"/>
  <c r="BR169" i="3"/>
  <c r="BR168" i="3"/>
  <c r="BR167" i="3"/>
  <c r="BR166" i="3"/>
  <c r="BR165" i="3"/>
  <c r="BR164" i="3"/>
  <c r="BR163" i="3"/>
  <c r="BR162" i="3"/>
  <c r="BR161" i="3"/>
  <c r="BR160" i="3"/>
  <c r="BR159" i="3"/>
  <c r="BR158" i="3"/>
  <c r="BR157" i="3"/>
  <c r="BR156" i="3"/>
  <c r="BR155" i="3"/>
  <c r="BR154" i="3"/>
  <c r="BR153" i="3"/>
  <c r="BR152" i="3"/>
  <c r="BR151" i="3"/>
  <c r="BR150" i="3"/>
  <c r="BR149" i="3"/>
  <c r="BI149" i="3"/>
  <c r="BR148" i="3"/>
  <c r="BR147" i="3"/>
  <c r="BR146" i="3"/>
  <c r="BR145" i="3"/>
  <c r="BR144" i="3"/>
  <c r="BR143" i="3"/>
  <c r="BR142" i="3"/>
  <c r="BR141" i="3"/>
  <c r="BR140" i="3"/>
  <c r="BR139" i="3"/>
  <c r="BR138" i="3"/>
  <c r="BR137" i="3"/>
  <c r="BR136" i="3"/>
  <c r="BR135" i="3"/>
  <c r="BR134" i="3"/>
  <c r="BG134" i="3"/>
  <c r="BR133" i="3"/>
  <c r="BD133" i="3"/>
  <c r="BR132" i="3"/>
  <c r="BR131" i="3"/>
  <c r="BR130" i="3"/>
  <c r="BR129" i="3"/>
  <c r="BR128" i="3"/>
  <c r="BR127" i="3"/>
  <c r="BR126" i="3"/>
  <c r="BR125" i="3"/>
  <c r="BR124" i="3"/>
  <c r="BR123" i="3"/>
  <c r="BR122" i="3"/>
  <c r="BR121" i="3"/>
  <c r="BR120" i="3"/>
  <c r="BR119" i="3"/>
  <c r="BR118" i="3"/>
  <c r="BR117" i="3"/>
  <c r="BR116" i="3"/>
  <c r="BR115" i="3"/>
  <c r="BR114" i="3"/>
  <c r="BR113" i="3"/>
  <c r="BR112" i="3"/>
  <c r="BR111" i="3"/>
  <c r="BS110" i="3"/>
  <c r="BR110" i="3"/>
  <c r="BS109" i="3"/>
  <c r="BR109" i="3"/>
  <c r="BR108" i="3"/>
  <c r="BR107" i="3"/>
  <c r="BR106" i="3"/>
  <c r="BR105" i="3"/>
  <c r="BR104" i="3"/>
  <c r="BR103" i="3"/>
  <c r="BR102" i="3"/>
  <c r="BR101" i="3"/>
  <c r="BR100" i="3"/>
  <c r="BR99" i="3"/>
  <c r="BR98" i="3"/>
  <c r="BR97" i="3"/>
  <c r="BR96" i="3"/>
  <c r="BR95" i="3"/>
  <c r="BR94" i="3"/>
  <c r="BR93" i="3"/>
  <c r="BR92" i="3"/>
  <c r="BR91" i="3"/>
  <c r="BR90" i="3"/>
  <c r="BR89" i="3"/>
  <c r="BR88" i="3"/>
  <c r="BR87" i="3"/>
  <c r="BR86" i="3"/>
  <c r="BR85" i="3"/>
  <c r="BR84" i="3"/>
  <c r="BR83" i="3"/>
  <c r="BR82" i="3"/>
  <c r="BR81" i="3"/>
  <c r="BR80" i="3"/>
  <c r="BR79" i="3"/>
  <c r="BR78" i="3"/>
  <c r="BR77" i="3"/>
  <c r="BR76" i="3"/>
  <c r="BR75" i="3"/>
  <c r="BR74" i="3"/>
  <c r="BR73" i="3"/>
  <c r="BR72" i="3"/>
  <c r="BR71" i="3"/>
  <c r="BR70" i="3"/>
  <c r="BR69" i="3"/>
  <c r="BR68" i="3"/>
  <c r="BR67" i="3"/>
  <c r="BR66" i="3"/>
  <c r="BR65" i="3"/>
  <c r="BR64" i="3"/>
  <c r="BR63" i="3"/>
  <c r="BR62" i="3"/>
  <c r="BR61" i="3"/>
  <c r="BR60" i="3"/>
  <c r="BR59" i="3"/>
  <c r="BR58" i="3"/>
  <c r="BR57" i="3"/>
  <c r="BR56" i="3"/>
  <c r="BR55" i="3"/>
  <c r="BR54" i="3"/>
  <c r="BR53" i="3"/>
  <c r="BR52" i="3"/>
  <c r="BR51" i="3"/>
  <c r="BR50" i="3"/>
  <c r="BR49" i="3"/>
  <c r="BR48" i="3"/>
  <c r="BR47" i="3"/>
  <c r="BR46" i="3"/>
  <c r="BF46" i="3"/>
  <c r="BR45" i="3"/>
  <c r="BR44" i="3"/>
  <c r="BR43" i="3"/>
  <c r="BR42" i="3"/>
  <c r="BR41" i="3"/>
  <c r="BR40" i="3"/>
  <c r="BR39" i="3"/>
  <c r="BR38" i="3"/>
  <c r="BR37" i="3"/>
  <c r="BR36" i="3"/>
  <c r="BR35" i="3"/>
  <c r="BR34" i="3"/>
  <c r="BR33" i="3"/>
  <c r="BR32" i="3"/>
  <c r="BR31" i="3"/>
  <c r="BR30" i="3"/>
  <c r="BR29" i="3"/>
  <c r="BR28" i="3"/>
  <c r="BR27" i="3"/>
  <c r="BR26" i="3"/>
  <c r="BR25" i="3"/>
  <c r="BR24" i="3"/>
  <c r="BR23" i="3"/>
  <c r="BR22" i="3"/>
  <c r="BR21" i="3"/>
  <c r="BR20" i="3"/>
  <c r="BD20" i="3"/>
  <c r="BR19" i="3"/>
  <c r="BR18" i="3"/>
  <c r="BR17" i="3"/>
  <c r="BR16" i="3"/>
  <c r="BR15" i="3"/>
  <c r="BR14" i="3"/>
  <c r="BR13" i="3"/>
  <c r="BR12" i="3"/>
  <c r="BR11" i="3"/>
  <c r="BR10" i="3"/>
  <c r="BR9" i="3"/>
  <c r="BR8" i="3"/>
  <c r="BR7" i="3"/>
  <c r="BR6" i="3"/>
  <c r="BR5" i="3"/>
  <c r="BR4" i="3"/>
  <c r="BR3" i="3"/>
  <c r="BR2" i="3"/>
  <c r="A1" i="3" a="1"/>
  <c r="A1688" i="3" s="1"/>
  <c r="D723" i="5" l="1"/>
  <c r="D811" i="5"/>
  <c r="D451" i="5"/>
  <c r="D237" i="5"/>
  <c r="D493" i="5"/>
  <c r="D1323" i="5"/>
  <c r="D3" i="5"/>
  <c r="D259" i="5"/>
  <c r="D515" i="5"/>
  <c r="D851" i="5"/>
  <c r="D1363" i="5"/>
  <c r="J446" i="5"/>
  <c r="D939" i="5"/>
  <c r="D195" i="5"/>
  <c r="D301" i="5"/>
  <c r="D67" i="5"/>
  <c r="D323" i="5"/>
  <c r="D579" i="5"/>
  <c r="D979" i="5"/>
  <c r="D1491" i="5"/>
  <c r="J886" i="5"/>
  <c r="D1235" i="5"/>
  <c r="D45" i="5"/>
  <c r="D1451" i="5"/>
  <c r="D109" i="5"/>
  <c r="D365" i="5"/>
  <c r="D621" i="5"/>
  <c r="D1067" i="5"/>
  <c r="D1579" i="5"/>
  <c r="J1140" i="5"/>
  <c r="D557" i="5"/>
  <c r="D131" i="5"/>
  <c r="D387" i="5"/>
  <c r="D643" i="5"/>
  <c r="D1107" i="5"/>
  <c r="D1619" i="5"/>
  <c r="J1334" i="5"/>
  <c r="D173" i="5"/>
  <c r="D429" i="5"/>
  <c r="D685" i="5"/>
  <c r="D1195" i="5"/>
  <c r="J1566" i="5"/>
  <c r="A90" i="3"/>
  <c r="A326" i="3"/>
  <c r="A616" i="3"/>
  <c r="A838" i="3"/>
  <c r="A1066" i="3"/>
  <c r="A1350" i="3"/>
  <c r="A1690" i="3"/>
  <c r="A14" i="3"/>
  <c r="A58" i="3"/>
  <c r="A104" i="3"/>
  <c r="A142" i="3"/>
  <c r="A186" i="3"/>
  <c r="A232" i="3"/>
  <c r="A282" i="3"/>
  <c r="A342" i="3"/>
  <c r="A404" i="3"/>
  <c r="A454" i="3"/>
  <c r="A514" i="3"/>
  <c r="A574" i="3"/>
  <c r="A626" i="3"/>
  <c r="A682" i="3"/>
  <c r="A744" i="3"/>
  <c r="A794" i="3"/>
  <c r="A854" i="3"/>
  <c r="A916" i="3"/>
  <c r="A966" i="3"/>
  <c r="A1026" i="3"/>
  <c r="A1086" i="3"/>
  <c r="A1138" i="3"/>
  <c r="A1194" i="3"/>
  <c r="A1256" i="3"/>
  <c r="A1306" i="3"/>
  <c r="A1366" i="3"/>
  <c r="A1428" i="3"/>
  <c r="A1478" i="3"/>
  <c r="A1538" i="3"/>
  <c r="A1598" i="3"/>
  <c r="A1650" i="3"/>
  <c r="D59" i="5"/>
  <c r="D123" i="5"/>
  <c r="D187" i="5"/>
  <c r="D251" i="5"/>
  <c r="D315" i="5"/>
  <c r="D379" i="5"/>
  <c r="D443" i="5"/>
  <c r="D507" i="5"/>
  <c r="D571" i="5"/>
  <c r="D635" i="5"/>
  <c r="D707" i="5"/>
  <c r="D835" i="5"/>
  <c r="D963" i="5"/>
  <c r="D1091" i="5"/>
  <c r="D1219" i="5"/>
  <c r="D1347" i="5"/>
  <c r="D1475" i="5"/>
  <c r="D1603" i="5"/>
  <c r="J22" i="5"/>
  <c r="J212" i="5"/>
  <c r="J404" i="5"/>
  <c r="J630" i="5"/>
  <c r="J884" i="5"/>
  <c r="J1078" i="5"/>
  <c r="J1310" i="5"/>
  <c r="J1558" i="5"/>
  <c r="A8" i="3"/>
  <c r="A174" i="3"/>
  <c r="A446" i="3"/>
  <c r="A666" i="3"/>
  <c r="A1010" i="3"/>
  <c r="A1300" i="3"/>
  <c r="A1640" i="3"/>
  <c r="A106" i="3"/>
  <c r="A234" i="3"/>
  <c r="A406" i="3"/>
  <c r="A578" i="3"/>
  <c r="A746" i="3"/>
  <c r="A918" i="3"/>
  <c r="A1202" i="3"/>
  <c r="A1542" i="3"/>
  <c r="A46" i="3"/>
  <c r="A386" i="3"/>
  <c r="A788" i="3"/>
  <c r="A1128" i="3"/>
  <c r="A1578" i="3"/>
  <c r="A62" i="3"/>
  <c r="A468" i="3"/>
  <c r="A858" i="3"/>
  <c r="A1150" i="3"/>
  <c r="A1370" i="3"/>
  <c r="A1602" i="3"/>
  <c r="A26" i="3"/>
  <c r="A72" i="3"/>
  <c r="A110" i="3"/>
  <c r="A154" i="3"/>
  <c r="A200" i="3"/>
  <c r="A242" i="3"/>
  <c r="A298" i="3"/>
  <c r="A360" i="3"/>
  <c r="A410" i="3"/>
  <c r="A470" i="3"/>
  <c r="A532" i="3"/>
  <c r="A582" i="3"/>
  <c r="A642" i="3"/>
  <c r="A702" i="3"/>
  <c r="A754" i="3"/>
  <c r="A810" i="3"/>
  <c r="A872" i="3"/>
  <c r="A922" i="3"/>
  <c r="A982" i="3"/>
  <c r="A1044" i="3"/>
  <c r="A1094" i="3"/>
  <c r="A1154" i="3"/>
  <c r="A1214" i="3"/>
  <c r="A1266" i="3"/>
  <c r="A1322" i="3"/>
  <c r="A1384" i="3"/>
  <c r="A1434" i="3"/>
  <c r="A1494" i="3"/>
  <c r="A1556" i="3"/>
  <c r="A1606" i="3"/>
  <c r="A1666" i="3"/>
  <c r="D13" i="5"/>
  <c r="D77" i="5"/>
  <c r="D141" i="5"/>
  <c r="D205" i="5"/>
  <c r="D269" i="5"/>
  <c r="D333" i="5"/>
  <c r="D397" i="5"/>
  <c r="D461" i="5"/>
  <c r="D525" i="5"/>
  <c r="D589" i="5"/>
  <c r="D653" i="5"/>
  <c r="D747" i="5"/>
  <c r="D875" i="5"/>
  <c r="D1003" i="5"/>
  <c r="D1131" i="5"/>
  <c r="D1259" i="5"/>
  <c r="D1387" i="5"/>
  <c r="D1515" i="5"/>
  <c r="D1643" i="5"/>
  <c r="J84" i="5"/>
  <c r="J230" i="5"/>
  <c r="J468" i="5"/>
  <c r="J702" i="5"/>
  <c r="J916" i="5"/>
  <c r="J1142" i="5"/>
  <c r="J1396" i="5"/>
  <c r="J1590" i="5"/>
  <c r="A276" i="3"/>
  <c r="A726" i="3"/>
  <c r="A1178" i="3"/>
  <c r="A1470" i="3"/>
  <c r="A24" i="3"/>
  <c r="A152" i="3"/>
  <c r="A190" i="3"/>
  <c r="A296" i="3"/>
  <c r="A518" i="3"/>
  <c r="A638" i="3"/>
  <c r="A808" i="3"/>
  <c r="A980" i="3"/>
  <c r="A1090" i="3"/>
  <c r="A1320" i="3"/>
  <c r="A1430" i="3"/>
  <c r="A1662" i="3"/>
  <c r="A30" i="3"/>
  <c r="A74" i="3"/>
  <c r="A120" i="3"/>
  <c r="A158" i="3"/>
  <c r="A202" i="3"/>
  <c r="A254" i="3"/>
  <c r="A306" i="3"/>
  <c r="A362" i="3"/>
  <c r="A424" i="3"/>
  <c r="A474" i="3"/>
  <c r="A534" i="3"/>
  <c r="A596" i="3"/>
  <c r="A646" i="3"/>
  <c r="A706" i="3"/>
  <c r="A766" i="3"/>
  <c r="A818" i="3"/>
  <c r="A874" i="3"/>
  <c r="A936" i="3"/>
  <c r="A986" i="3"/>
  <c r="A1046" i="3"/>
  <c r="A1108" i="3"/>
  <c r="A1158" i="3"/>
  <c r="A1218" i="3"/>
  <c r="A1278" i="3"/>
  <c r="A1330" i="3"/>
  <c r="A1386" i="3"/>
  <c r="A1448" i="3"/>
  <c r="A1498" i="3"/>
  <c r="A1558" i="3"/>
  <c r="A1620" i="3"/>
  <c r="A1670" i="3"/>
  <c r="D21" i="5"/>
  <c r="D85" i="5"/>
  <c r="D149" i="5"/>
  <c r="D213" i="5"/>
  <c r="D277" i="5"/>
  <c r="D341" i="5"/>
  <c r="D405" i="5"/>
  <c r="D469" i="5"/>
  <c r="D533" i="5"/>
  <c r="D597" i="5"/>
  <c r="D661" i="5"/>
  <c r="D765" i="5"/>
  <c r="D893" i="5"/>
  <c r="D1021" i="5"/>
  <c r="D1149" i="5"/>
  <c r="D1277" i="5"/>
  <c r="D1405" i="5"/>
  <c r="D1533" i="5"/>
  <c r="D1661" i="5"/>
  <c r="J86" i="5"/>
  <c r="J278" i="5"/>
  <c r="J478" i="5"/>
  <c r="J724" i="5"/>
  <c r="J958" i="5"/>
  <c r="J1172" i="5"/>
  <c r="J1398" i="5"/>
  <c r="J1652" i="5"/>
  <c r="A346" i="3"/>
  <c r="A690" i="3"/>
  <c r="A1030" i="3"/>
  <c r="A1258" i="3"/>
  <c r="A1492" i="3"/>
  <c r="A1" i="3"/>
  <c r="A40" i="3"/>
  <c r="A78" i="3"/>
  <c r="A122" i="3"/>
  <c r="A168" i="3"/>
  <c r="A206" i="3"/>
  <c r="A258" i="3"/>
  <c r="A318" i="3"/>
  <c r="A370" i="3"/>
  <c r="A426" i="3"/>
  <c r="A488" i="3"/>
  <c r="A538" i="3"/>
  <c r="A598" i="3"/>
  <c r="A660" i="3"/>
  <c r="A710" i="3"/>
  <c r="A770" i="3"/>
  <c r="A830" i="3"/>
  <c r="A882" i="3"/>
  <c r="A938" i="3"/>
  <c r="A1000" i="3"/>
  <c r="A1050" i="3"/>
  <c r="A1110" i="3"/>
  <c r="A1172" i="3"/>
  <c r="A1222" i="3"/>
  <c r="A1282" i="3"/>
  <c r="A1342" i="3"/>
  <c r="A1394" i="3"/>
  <c r="A1450" i="3"/>
  <c r="A1512" i="3"/>
  <c r="A1562" i="3"/>
  <c r="A1622" i="3"/>
  <c r="A1684" i="3"/>
  <c r="D27" i="5"/>
  <c r="D91" i="5"/>
  <c r="D155" i="5"/>
  <c r="D219" i="5"/>
  <c r="D283" i="5"/>
  <c r="D347" i="5"/>
  <c r="D411" i="5"/>
  <c r="D475" i="5"/>
  <c r="D539" i="5"/>
  <c r="D603" i="5"/>
  <c r="D667" i="5"/>
  <c r="D771" i="5"/>
  <c r="D899" i="5"/>
  <c r="D1027" i="5"/>
  <c r="D1155" i="5"/>
  <c r="D1283" i="5"/>
  <c r="D1411" i="5"/>
  <c r="D1539" i="5"/>
  <c r="D1667" i="5"/>
  <c r="J102" i="5"/>
  <c r="J286" i="5"/>
  <c r="J534" i="5"/>
  <c r="J734" i="5"/>
  <c r="J980" i="5"/>
  <c r="J1214" i="5"/>
  <c r="J1428" i="5"/>
  <c r="J1654" i="5"/>
  <c r="A42" i="3"/>
  <c r="A88" i="3"/>
  <c r="A126" i="3"/>
  <c r="A170" i="3"/>
  <c r="A216" i="3"/>
  <c r="A262" i="3"/>
  <c r="A322" i="3"/>
  <c r="A382" i="3"/>
  <c r="A434" i="3"/>
  <c r="A490" i="3"/>
  <c r="A552" i="3"/>
  <c r="A602" i="3"/>
  <c r="A662" i="3"/>
  <c r="A724" i="3"/>
  <c r="A774" i="3"/>
  <c r="A834" i="3"/>
  <c r="A894" i="3"/>
  <c r="A946" i="3"/>
  <c r="A1002" i="3"/>
  <c r="A1064" i="3"/>
  <c r="A1114" i="3"/>
  <c r="A1174" i="3"/>
  <c r="A1236" i="3"/>
  <c r="A1286" i="3"/>
  <c r="A1346" i="3"/>
  <c r="A1406" i="3"/>
  <c r="A1458" i="3"/>
  <c r="A1514" i="3"/>
  <c r="A1576" i="3"/>
  <c r="A1626" i="3"/>
  <c r="A1686" i="3"/>
  <c r="D35" i="5"/>
  <c r="D99" i="5"/>
  <c r="D163" i="5"/>
  <c r="D227" i="5"/>
  <c r="D291" i="5"/>
  <c r="D355" i="5"/>
  <c r="D419" i="5"/>
  <c r="D483" i="5"/>
  <c r="D547" i="5"/>
  <c r="D611" i="5"/>
  <c r="D675" i="5"/>
  <c r="D787" i="5"/>
  <c r="D915" i="5"/>
  <c r="D1043" i="5"/>
  <c r="D1171" i="5"/>
  <c r="D1299" i="5"/>
  <c r="D1427" i="5"/>
  <c r="D1555" i="5"/>
  <c r="D1683" i="5"/>
  <c r="J148" i="5"/>
  <c r="J310" i="5"/>
  <c r="J542" i="5"/>
  <c r="J790" i="5"/>
  <c r="J990" i="5"/>
  <c r="J1236" i="5"/>
  <c r="J1470" i="5"/>
  <c r="J1684" i="5"/>
  <c r="A218" i="3"/>
  <c r="A554" i="3"/>
  <c r="A958" i="3"/>
  <c r="A1410" i="3"/>
  <c r="J150" i="5"/>
  <c r="J372" i="5"/>
  <c r="J566" i="5"/>
  <c r="J798" i="5"/>
  <c r="J1046" i="5"/>
  <c r="J1246" i="5"/>
  <c r="J1492" i="5"/>
  <c r="A136" i="3"/>
  <c r="A498" i="3"/>
  <c r="A898" i="3"/>
  <c r="A1238" i="3"/>
  <c r="A1522" i="3"/>
  <c r="A10" i="3"/>
  <c r="A56" i="3"/>
  <c r="A94" i="3"/>
  <c r="A138" i="3"/>
  <c r="A184" i="3"/>
  <c r="A222" i="3"/>
  <c r="A278" i="3"/>
  <c r="A340" i="3"/>
  <c r="A390" i="3"/>
  <c r="A450" i="3"/>
  <c r="A510" i="3"/>
  <c r="A562" i="3"/>
  <c r="A618" i="3"/>
  <c r="A680" i="3"/>
  <c r="A730" i="3"/>
  <c r="A790" i="3"/>
  <c r="A852" i="3"/>
  <c r="A902" i="3"/>
  <c r="A962" i="3"/>
  <c r="A1022" i="3"/>
  <c r="A1074" i="3"/>
  <c r="A1130" i="3"/>
  <c r="A1192" i="3"/>
  <c r="A1242" i="3"/>
  <c r="A1302" i="3"/>
  <c r="A1364" i="3"/>
  <c r="A1414" i="3"/>
  <c r="A1474" i="3"/>
  <c r="A1534" i="3"/>
  <c r="A1586" i="3"/>
  <c r="A1642" i="3"/>
  <c r="A1704" i="3"/>
  <c r="D53" i="5"/>
  <c r="D117" i="5"/>
  <c r="D181" i="5"/>
  <c r="D245" i="5"/>
  <c r="D309" i="5"/>
  <c r="D373" i="5"/>
  <c r="D437" i="5"/>
  <c r="D501" i="5"/>
  <c r="D565" i="5"/>
  <c r="D629" i="5"/>
  <c r="D701" i="5"/>
  <c r="D829" i="5"/>
  <c r="D957" i="5"/>
  <c r="D1085" i="5"/>
  <c r="D1213" i="5"/>
  <c r="D1341" i="5"/>
  <c r="D1469" i="5"/>
  <c r="J20" i="5"/>
  <c r="J166" i="5"/>
  <c r="J374" i="5"/>
  <c r="J628" i="5"/>
  <c r="J822" i="5"/>
  <c r="J1054" i="5"/>
  <c r="J1302" i="5"/>
  <c r="J1502" i="5"/>
  <c r="C50" i="5"/>
  <c r="C442" i="5"/>
  <c r="C783" i="5"/>
  <c r="C1355" i="5"/>
  <c r="C322" i="5"/>
  <c r="C663" i="5"/>
  <c r="C1003" i="5"/>
  <c r="C1499" i="5"/>
  <c r="C55" i="5"/>
  <c r="C165" i="5"/>
  <c r="C274" i="5"/>
  <c r="C386" i="5"/>
  <c r="C506" i="5"/>
  <c r="C615" i="5"/>
  <c r="C727" i="5"/>
  <c r="C898" i="5"/>
  <c r="C1067" i="5"/>
  <c r="C1189" i="5"/>
  <c r="C1301" i="5"/>
  <c r="C1434" i="5"/>
  <c r="C1578" i="5"/>
  <c r="C210" i="5"/>
  <c r="C491" i="5"/>
  <c r="C834" i="5"/>
  <c r="C1175" i="5"/>
  <c r="C1562" i="5"/>
  <c r="C11" i="5"/>
  <c r="C106" i="5"/>
  <c r="C215" i="5"/>
  <c r="C335" i="5"/>
  <c r="C443" i="5"/>
  <c r="C555" i="5"/>
  <c r="C677" i="5"/>
  <c r="C786" i="5"/>
  <c r="C847" i="5"/>
  <c r="C955" i="5"/>
  <c r="C1018" i="5"/>
  <c r="C1127" i="5"/>
  <c r="C1239" i="5"/>
  <c r="C1371" i="5"/>
  <c r="C1506" i="5"/>
  <c r="C1639" i="5"/>
  <c r="A12" i="3"/>
  <c r="A28" i="3"/>
  <c r="A44" i="3"/>
  <c r="A60" i="3"/>
  <c r="A76" i="3"/>
  <c r="A92" i="3"/>
  <c r="A108" i="3"/>
  <c r="A124" i="3"/>
  <c r="A140" i="3"/>
  <c r="A156" i="3"/>
  <c r="A172" i="3"/>
  <c r="A188" i="3"/>
  <c r="A204" i="3"/>
  <c r="A220" i="3"/>
  <c r="A238" i="3"/>
  <c r="A260" i="3"/>
  <c r="A280" i="3"/>
  <c r="A302" i="3"/>
  <c r="A324" i="3"/>
  <c r="A344" i="3"/>
  <c r="A366" i="3"/>
  <c r="A388" i="3"/>
  <c r="A408" i="3"/>
  <c r="A430" i="3"/>
  <c r="A452" i="3"/>
  <c r="A472" i="3"/>
  <c r="A494" i="3"/>
  <c r="A516" i="3"/>
  <c r="A536" i="3"/>
  <c r="A558" i="3"/>
  <c r="A580" i="3"/>
  <c r="A600" i="3"/>
  <c r="A622" i="3"/>
  <c r="A644" i="3"/>
  <c r="A664" i="3"/>
  <c r="A686" i="3"/>
  <c r="A708" i="3"/>
  <c r="A728" i="3"/>
  <c r="A750" i="3"/>
  <c r="A772" i="3"/>
  <c r="A792" i="3"/>
  <c r="A814" i="3"/>
  <c r="A836" i="3"/>
  <c r="A856" i="3"/>
  <c r="A878" i="3"/>
  <c r="A900" i="3"/>
  <c r="A920" i="3"/>
  <c r="A942" i="3"/>
  <c r="A964" i="3"/>
  <c r="A984" i="3"/>
  <c r="A1006" i="3"/>
  <c r="A1028" i="3"/>
  <c r="A1048" i="3"/>
  <c r="A1070" i="3"/>
  <c r="A1092" i="3"/>
  <c r="A1112" i="3"/>
  <c r="A1134" i="3"/>
  <c r="A1156" i="3"/>
  <c r="A1176" i="3"/>
  <c r="A1198" i="3"/>
  <c r="A1220" i="3"/>
  <c r="A1240" i="3"/>
  <c r="A1262" i="3"/>
  <c r="A1284" i="3"/>
  <c r="A1304" i="3"/>
  <c r="A1326" i="3"/>
  <c r="A1348" i="3"/>
  <c r="A1368" i="3"/>
  <c r="A1390" i="3"/>
  <c r="A1412" i="3"/>
  <c r="A1432" i="3"/>
  <c r="A1454" i="3"/>
  <c r="A1476" i="3"/>
  <c r="A1496" i="3"/>
  <c r="A1518" i="3"/>
  <c r="A1540" i="3"/>
  <c r="A1560" i="3"/>
  <c r="A1582" i="3"/>
  <c r="A1604" i="3"/>
  <c r="A1624" i="3"/>
  <c r="A1646" i="3"/>
  <c r="A1668" i="3"/>
  <c r="C13" i="5"/>
  <c r="C66" i="5"/>
  <c r="C109" i="5"/>
  <c r="C167" i="5"/>
  <c r="C229" i="5"/>
  <c r="C279" i="5"/>
  <c r="C338" i="5"/>
  <c r="C399" i="5"/>
  <c r="C450" i="5"/>
  <c r="C507" i="5"/>
  <c r="C570" i="5"/>
  <c r="C619" i="5"/>
  <c r="C679" i="5"/>
  <c r="C741" i="5"/>
  <c r="C791" i="5"/>
  <c r="C850" i="5"/>
  <c r="C911" i="5"/>
  <c r="C962" i="5"/>
  <c r="C1019" i="5"/>
  <c r="C1082" i="5"/>
  <c r="C1131" i="5"/>
  <c r="C1191" i="5"/>
  <c r="C1253" i="5"/>
  <c r="C1306" i="5"/>
  <c r="C1378" i="5"/>
  <c r="C1450" i="5"/>
  <c r="C1511" i="5"/>
  <c r="C1579" i="5"/>
  <c r="C1655" i="5"/>
  <c r="C103" i="5"/>
  <c r="C1063" i="5"/>
  <c r="C122" i="5"/>
  <c r="C463" i="5"/>
  <c r="C805" i="5"/>
  <c r="C1146" i="5"/>
  <c r="C1451" i="5"/>
  <c r="C151" i="5"/>
  <c r="C613" i="5"/>
  <c r="C954" i="5"/>
  <c r="C1429" i="5"/>
  <c r="C171" i="5"/>
  <c r="C402" i="5"/>
  <c r="C634" i="5"/>
  <c r="C914" i="5"/>
  <c r="C1195" i="5"/>
  <c r="C1527" i="5"/>
  <c r="A1703" i="3"/>
  <c r="A1696" i="3"/>
  <c r="A1680" i="3"/>
  <c r="A1664" i="3"/>
  <c r="A1648" i="3"/>
  <c r="A1632" i="3"/>
  <c r="A1616" i="3"/>
  <c r="A1600" i="3"/>
  <c r="A1584" i="3"/>
  <c r="A1568" i="3"/>
  <c r="A1552" i="3"/>
  <c r="A1536" i="3"/>
  <c r="A1520" i="3"/>
  <c r="A1504" i="3"/>
  <c r="A1488" i="3"/>
  <c r="A1472" i="3"/>
  <c r="A1456" i="3"/>
  <c r="A1440" i="3"/>
  <c r="A1424" i="3"/>
  <c r="A1408" i="3"/>
  <c r="A1392" i="3"/>
  <c r="A1376" i="3"/>
  <c r="A1360" i="3"/>
  <c r="A1344" i="3"/>
  <c r="A1328" i="3"/>
  <c r="A1312" i="3"/>
  <c r="A1296" i="3"/>
  <c r="A1280" i="3"/>
  <c r="A1264" i="3"/>
  <c r="A1248" i="3"/>
  <c r="A1232" i="3"/>
  <c r="A1216" i="3"/>
  <c r="A1200" i="3"/>
  <c r="A1184" i="3"/>
  <c r="A1168" i="3"/>
  <c r="A1152" i="3"/>
  <c r="A1136" i="3"/>
  <c r="A1120" i="3"/>
  <c r="A1104" i="3"/>
  <c r="A1088" i="3"/>
  <c r="A1072" i="3"/>
  <c r="A1056" i="3"/>
  <c r="A1040" i="3"/>
  <c r="A1024" i="3"/>
  <c r="A1008" i="3"/>
  <c r="A992" i="3"/>
  <c r="A976" i="3"/>
  <c r="A960" i="3"/>
  <c r="A944" i="3"/>
  <c r="A928" i="3"/>
  <c r="A912" i="3"/>
  <c r="A896" i="3"/>
  <c r="A880" i="3"/>
  <c r="A864" i="3"/>
  <c r="A848" i="3"/>
  <c r="A832" i="3"/>
  <c r="A816" i="3"/>
  <c r="A800" i="3"/>
  <c r="A784" i="3"/>
  <c r="A768" i="3"/>
  <c r="A752" i="3"/>
  <c r="A736" i="3"/>
  <c r="A720" i="3"/>
  <c r="A704" i="3"/>
  <c r="A688" i="3"/>
  <c r="A672" i="3"/>
  <c r="A656" i="3"/>
  <c r="A640" i="3"/>
  <c r="A624" i="3"/>
  <c r="A608" i="3"/>
  <c r="A592" i="3"/>
  <c r="A576" i="3"/>
  <c r="A560" i="3"/>
  <c r="A544" i="3"/>
  <c r="A528" i="3"/>
  <c r="A512" i="3"/>
  <c r="A496" i="3"/>
  <c r="A480" i="3"/>
  <c r="A464" i="3"/>
  <c r="A448" i="3"/>
  <c r="A432" i="3"/>
  <c r="A416" i="3"/>
  <c r="A400" i="3"/>
  <c r="A384" i="3"/>
  <c r="A368" i="3"/>
  <c r="A352" i="3"/>
  <c r="A336" i="3"/>
  <c r="A320" i="3"/>
  <c r="A304" i="3"/>
  <c r="A288" i="3"/>
  <c r="A272" i="3"/>
  <c r="A256" i="3"/>
  <c r="A240" i="3"/>
  <c r="A1692" i="3"/>
  <c r="A1676" i="3"/>
  <c r="A1660" i="3"/>
  <c r="A1644" i="3"/>
  <c r="A1628" i="3"/>
  <c r="A1612" i="3"/>
  <c r="A1596" i="3"/>
  <c r="A1580" i="3"/>
  <c r="A1564" i="3"/>
  <c r="A1548" i="3"/>
  <c r="A1532" i="3"/>
  <c r="A1516" i="3"/>
  <c r="A1500" i="3"/>
  <c r="A1484" i="3"/>
  <c r="A1468" i="3"/>
  <c r="A1452" i="3"/>
  <c r="A1436" i="3"/>
  <c r="A1420" i="3"/>
  <c r="A1404" i="3"/>
  <c r="A1388" i="3"/>
  <c r="A1372" i="3"/>
  <c r="A1356" i="3"/>
  <c r="A1340" i="3"/>
  <c r="A1324" i="3"/>
  <c r="A1308" i="3"/>
  <c r="A1292" i="3"/>
  <c r="A1276" i="3"/>
  <c r="A1260" i="3"/>
  <c r="A1244" i="3"/>
  <c r="A1228" i="3"/>
  <c r="A1212" i="3"/>
  <c r="A1196" i="3"/>
  <c r="A1180" i="3"/>
  <c r="A1164" i="3"/>
  <c r="A1148" i="3"/>
  <c r="A1132" i="3"/>
  <c r="A1116" i="3"/>
  <c r="A1100" i="3"/>
  <c r="A1084" i="3"/>
  <c r="A1068" i="3"/>
  <c r="A1052" i="3"/>
  <c r="A1036" i="3"/>
  <c r="A1020" i="3"/>
  <c r="A1004" i="3"/>
  <c r="A988" i="3"/>
  <c r="A972" i="3"/>
  <c r="A956" i="3"/>
  <c r="A940" i="3"/>
  <c r="A924" i="3"/>
  <c r="A908" i="3"/>
  <c r="A892" i="3"/>
  <c r="A876" i="3"/>
  <c r="A860" i="3"/>
  <c r="A844" i="3"/>
  <c r="A828" i="3"/>
  <c r="A812" i="3"/>
  <c r="A796" i="3"/>
  <c r="A780" i="3"/>
  <c r="A764" i="3"/>
  <c r="A748" i="3"/>
  <c r="A732" i="3"/>
  <c r="A716" i="3"/>
  <c r="A700" i="3"/>
  <c r="A684" i="3"/>
  <c r="A668" i="3"/>
  <c r="A652" i="3"/>
  <c r="A636" i="3"/>
  <c r="A620" i="3"/>
  <c r="A604" i="3"/>
  <c r="A588" i="3"/>
  <c r="A572" i="3"/>
  <c r="A556" i="3"/>
  <c r="A540" i="3"/>
  <c r="A524" i="3"/>
  <c r="A508" i="3"/>
  <c r="A492" i="3"/>
  <c r="A476" i="3"/>
  <c r="A460" i="3"/>
  <c r="A444" i="3"/>
  <c r="A428" i="3"/>
  <c r="A412" i="3"/>
  <c r="A396" i="3"/>
  <c r="A380" i="3"/>
  <c r="A364" i="3"/>
  <c r="A348" i="3"/>
  <c r="A332" i="3"/>
  <c r="A316" i="3"/>
  <c r="A300" i="3"/>
  <c r="A284" i="3"/>
  <c r="A268" i="3"/>
  <c r="A252" i="3"/>
  <c r="A236" i="3"/>
  <c r="A16" i="3"/>
  <c r="A32" i="3"/>
  <c r="A48" i="3"/>
  <c r="A64" i="3"/>
  <c r="A80" i="3"/>
  <c r="A96" i="3"/>
  <c r="A112" i="3"/>
  <c r="A128" i="3"/>
  <c r="A144" i="3"/>
  <c r="A160" i="3"/>
  <c r="A176" i="3"/>
  <c r="A192" i="3"/>
  <c r="A208" i="3"/>
  <c r="A224" i="3"/>
  <c r="A244" i="3"/>
  <c r="A264" i="3"/>
  <c r="A286" i="3"/>
  <c r="A308" i="3"/>
  <c r="A328" i="3"/>
  <c r="A350" i="3"/>
  <c r="A372" i="3"/>
  <c r="A392" i="3"/>
  <c r="A414" i="3"/>
  <c r="A436" i="3"/>
  <c r="A456" i="3"/>
  <c r="A478" i="3"/>
  <c r="A500" i="3"/>
  <c r="A520" i="3"/>
  <c r="A542" i="3"/>
  <c r="A564" i="3"/>
  <c r="A584" i="3"/>
  <c r="A606" i="3"/>
  <c r="A628" i="3"/>
  <c r="A648" i="3"/>
  <c r="A670" i="3"/>
  <c r="A692" i="3"/>
  <c r="A712" i="3"/>
  <c r="A734" i="3"/>
  <c r="A756" i="3"/>
  <c r="A776" i="3"/>
  <c r="A798" i="3"/>
  <c r="A820" i="3"/>
  <c r="A840" i="3"/>
  <c r="A862" i="3"/>
  <c r="A884" i="3"/>
  <c r="A904" i="3"/>
  <c r="A926" i="3"/>
  <c r="A948" i="3"/>
  <c r="A968" i="3"/>
  <c r="A990" i="3"/>
  <c r="A1012" i="3"/>
  <c r="A1032" i="3"/>
  <c r="A1054" i="3"/>
  <c r="A1076" i="3"/>
  <c r="A1096" i="3"/>
  <c r="A1118" i="3"/>
  <c r="A1140" i="3"/>
  <c r="A1160" i="3"/>
  <c r="A1182" i="3"/>
  <c r="A1204" i="3"/>
  <c r="A1224" i="3"/>
  <c r="A1246" i="3"/>
  <c r="A1268" i="3"/>
  <c r="A1288" i="3"/>
  <c r="A1310" i="3"/>
  <c r="A1332" i="3"/>
  <c r="A1352" i="3"/>
  <c r="A1374" i="3"/>
  <c r="A1396" i="3"/>
  <c r="A1416" i="3"/>
  <c r="A1438" i="3"/>
  <c r="A1460" i="3"/>
  <c r="A1480" i="3"/>
  <c r="A1502" i="3"/>
  <c r="A1524" i="3"/>
  <c r="A1544" i="3"/>
  <c r="A1566" i="3"/>
  <c r="A1588" i="3"/>
  <c r="A1608" i="3"/>
  <c r="A1630" i="3"/>
  <c r="A1652" i="3"/>
  <c r="A1672" i="3"/>
  <c r="A1694" i="3"/>
  <c r="C29" i="5"/>
  <c r="C74" i="5"/>
  <c r="C123" i="5"/>
  <c r="C186" i="5"/>
  <c r="C235" i="5"/>
  <c r="C295" i="5"/>
  <c r="C357" i="5"/>
  <c r="C407" i="5"/>
  <c r="C466" i="5"/>
  <c r="C527" i="5"/>
  <c r="C578" i="5"/>
  <c r="C635" i="5"/>
  <c r="C698" i="5"/>
  <c r="C747" i="5"/>
  <c r="C807" i="5"/>
  <c r="C869" i="5"/>
  <c r="C919" i="5"/>
  <c r="C978" i="5"/>
  <c r="C1039" i="5"/>
  <c r="C1090" i="5"/>
  <c r="C1147" i="5"/>
  <c r="C1210" i="5"/>
  <c r="C1259" i="5"/>
  <c r="C1323" i="5"/>
  <c r="C1399" i="5"/>
  <c r="C1461" i="5"/>
  <c r="C1530" i="5"/>
  <c r="C1605" i="5"/>
  <c r="C1702" i="5"/>
  <c r="C1699" i="5"/>
  <c r="C1683" i="5"/>
  <c r="C1667" i="5"/>
  <c r="C1651" i="5"/>
  <c r="C1635" i="5"/>
  <c r="C1619" i="5"/>
  <c r="C1603" i="5"/>
  <c r="C1587" i="5"/>
  <c r="C1571" i="5"/>
  <c r="C1555" i="5"/>
  <c r="C1539" i="5"/>
  <c r="C1523" i="5"/>
  <c r="C1507" i="5"/>
  <c r="C1491" i="5"/>
  <c r="C1475" i="5"/>
  <c r="C1459" i="5"/>
  <c r="C1443" i="5"/>
  <c r="C1427" i="5"/>
  <c r="C1411" i="5"/>
  <c r="C1395" i="5"/>
  <c r="C1379" i="5"/>
  <c r="C1363" i="5"/>
  <c r="C1347" i="5"/>
  <c r="C1331" i="5"/>
  <c r="C1315" i="5"/>
  <c r="C1299" i="5"/>
  <c r="C1283" i="5"/>
  <c r="C1267" i="5"/>
  <c r="C1251" i="5"/>
  <c r="C1235" i="5"/>
  <c r="C1219" i="5"/>
  <c r="C1203" i="5"/>
  <c r="C1187" i="5"/>
  <c r="C1171" i="5"/>
  <c r="C1155" i="5"/>
  <c r="C1139" i="5"/>
  <c r="C1123" i="5"/>
  <c r="C1107" i="5"/>
  <c r="C1091" i="5"/>
  <c r="C1075" i="5"/>
  <c r="C1059" i="5"/>
  <c r="C1043" i="5"/>
  <c r="C1027" i="5"/>
  <c r="C1011" i="5"/>
  <c r="C995" i="5"/>
  <c r="C979" i="5"/>
  <c r="C963" i="5"/>
  <c r="C947" i="5"/>
  <c r="C931" i="5"/>
  <c r="C915" i="5"/>
  <c r="C899" i="5"/>
  <c r="C883" i="5"/>
  <c r="C867" i="5"/>
  <c r="C851" i="5"/>
  <c r="C835" i="5"/>
  <c r="C819" i="5"/>
  <c r="C803" i="5"/>
  <c r="C787" i="5"/>
  <c r="C771" i="5"/>
  <c r="C755" i="5"/>
  <c r="C739" i="5"/>
  <c r="C723" i="5"/>
  <c r="C707" i="5"/>
  <c r="C691" i="5"/>
  <c r="C675" i="5"/>
  <c r="C659" i="5"/>
  <c r="C643" i="5"/>
  <c r="C627" i="5"/>
  <c r="C611" i="5"/>
  <c r="C595" i="5"/>
  <c r="C579" i="5"/>
  <c r="C563" i="5"/>
  <c r="C547" i="5"/>
  <c r="C531" i="5"/>
  <c r="C515" i="5"/>
  <c r="C499" i="5"/>
  <c r="C483" i="5"/>
  <c r="C467" i="5"/>
  <c r="C451" i="5"/>
  <c r="C435" i="5"/>
  <c r="C419" i="5"/>
  <c r="C403" i="5"/>
  <c r="C387" i="5"/>
  <c r="C371" i="5"/>
  <c r="C355" i="5"/>
  <c r="C339" i="5"/>
  <c r="C323" i="5"/>
  <c r="C307" i="5"/>
  <c r="C291" i="5"/>
  <c r="C275" i="5"/>
  <c r="C259" i="5"/>
  <c r="C243" i="5"/>
  <c r="C227" i="5"/>
  <c r="C211" i="5"/>
  <c r="C195" i="5"/>
  <c r="C179" i="5"/>
  <c r="C163" i="5"/>
  <c r="C147" i="5"/>
  <c r="C131" i="5"/>
  <c r="C115" i="5"/>
  <c r="C99" i="5"/>
  <c r="C83" i="5"/>
  <c r="C67" i="5"/>
  <c r="C51" i="5"/>
  <c r="C35" i="5"/>
  <c r="C19" i="5"/>
  <c r="C3" i="5"/>
  <c r="C1695" i="5"/>
  <c r="C1679" i="5"/>
  <c r="C1663" i="5"/>
  <c r="C1647" i="5"/>
  <c r="C1631" i="5"/>
  <c r="C1615" i="5"/>
  <c r="C1599" i="5"/>
  <c r="C1583" i="5"/>
  <c r="C1567" i="5"/>
  <c r="C1551" i="5"/>
  <c r="C1535" i="5"/>
  <c r="C1519" i="5"/>
  <c r="C1503" i="5"/>
  <c r="C1487" i="5"/>
  <c r="C1471" i="5"/>
  <c r="C1455" i="5"/>
  <c r="C1439" i="5"/>
  <c r="C1423" i="5"/>
  <c r="C1407" i="5"/>
  <c r="C1391" i="5"/>
  <c r="C1375" i="5"/>
  <c r="C1359" i="5"/>
  <c r="C1343" i="5"/>
  <c r="C1327" i="5"/>
  <c r="C1311" i="5"/>
  <c r="C1295" i="5"/>
  <c r="C1693" i="5"/>
  <c r="C1677" i="5"/>
  <c r="C1661" i="5"/>
  <c r="C1645" i="5"/>
  <c r="C1629" i="5"/>
  <c r="C1613" i="5"/>
  <c r="C1597" i="5"/>
  <c r="C1581" i="5"/>
  <c r="C1565" i="5"/>
  <c r="C1549" i="5"/>
  <c r="C1533" i="5"/>
  <c r="C1517" i="5"/>
  <c r="C1501" i="5"/>
  <c r="C1485" i="5"/>
  <c r="C1469" i="5"/>
  <c r="C1453" i="5"/>
  <c r="C1437" i="5"/>
  <c r="C1421" i="5"/>
  <c r="C1405" i="5"/>
  <c r="C1389" i="5"/>
  <c r="C1373" i="5"/>
  <c r="C1357" i="5"/>
  <c r="C1341" i="5"/>
  <c r="C1325" i="5"/>
  <c r="C1309" i="5"/>
  <c r="C1293" i="5"/>
  <c r="C1277" i="5"/>
  <c r="C1261" i="5"/>
  <c r="C1245" i="5"/>
  <c r="C1229" i="5"/>
  <c r="C1213" i="5"/>
  <c r="C1197" i="5"/>
  <c r="C1181" i="5"/>
  <c r="C1165" i="5"/>
  <c r="C1149" i="5"/>
  <c r="C1133" i="5"/>
  <c r="C1117" i="5"/>
  <c r="C1101" i="5"/>
  <c r="C1085" i="5"/>
  <c r="C1069" i="5"/>
  <c r="C1053" i="5"/>
  <c r="C1037" i="5"/>
  <c r="C1021" i="5"/>
  <c r="C1005" i="5"/>
  <c r="C989" i="5"/>
  <c r="C973" i="5"/>
  <c r="C957" i="5"/>
  <c r="C941" i="5"/>
  <c r="C925" i="5"/>
  <c r="C909" i="5"/>
  <c r="C893" i="5"/>
  <c r="C877" i="5"/>
  <c r="C861" i="5"/>
  <c r="C845" i="5"/>
  <c r="C829" i="5"/>
  <c r="C813" i="5"/>
  <c r="C797" i="5"/>
  <c r="C781" i="5"/>
  <c r="C765" i="5"/>
  <c r="C749" i="5"/>
  <c r="C733" i="5"/>
  <c r="C717" i="5"/>
  <c r="C701" i="5"/>
  <c r="C685" i="5"/>
  <c r="C669" i="5"/>
  <c r="C653" i="5"/>
  <c r="C637" i="5"/>
  <c r="C621" i="5"/>
  <c r="C605" i="5"/>
  <c r="C589" i="5"/>
  <c r="C573" i="5"/>
  <c r="C557" i="5"/>
  <c r="C541" i="5"/>
  <c r="C525" i="5"/>
  <c r="C509" i="5"/>
  <c r="C493" i="5"/>
  <c r="C477" i="5"/>
  <c r="C461" i="5"/>
  <c r="C445" i="5"/>
  <c r="C429" i="5"/>
  <c r="C413" i="5"/>
  <c r="C397" i="5"/>
  <c r="C381" i="5"/>
  <c r="C365" i="5"/>
  <c r="C349" i="5"/>
  <c r="C333" i="5"/>
  <c r="C317" i="5"/>
  <c r="C301" i="5"/>
  <c r="C285" i="5"/>
  <c r="C269" i="5"/>
  <c r="C253" i="5"/>
  <c r="C237" i="5"/>
  <c r="C221" i="5"/>
  <c r="C205" i="5"/>
  <c r="C189" i="5"/>
  <c r="C173" i="5"/>
  <c r="C157" i="5"/>
  <c r="C141" i="5"/>
  <c r="C125" i="5"/>
  <c r="C1703" i="5"/>
  <c r="C1675" i="5"/>
  <c r="C1653" i="5"/>
  <c r="C1626" i="5"/>
  <c r="C1602" i="5"/>
  <c r="C1575" i="5"/>
  <c r="C1547" i="5"/>
  <c r="C1525" i="5"/>
  <c r="C1498" i="5"/>
  <c r="C1474" i="5"/>
  <c r="C1447" i="5"/>
  <c r="C1419" i="5"/>
  <c r="C1397" i="5"/>
  <c r="C1370" i="5"/>
  <c r="C1346" i="5"/>
  <c r="C1319" i="5"/>
  <c r="C1291" i="5"/>
  <c r="C1271" i="5"/>
  <c r="C1250" i="5"/>
  <c r="C1227" i="5"/>
  <c r="C1207" i="5"/>
  <c r="C1186" i="5"/>
  <c r="C1163" i="5"/>
  <c r="C1143" i="5"/>
  <c r="C1122" i="5"/>
  <c r="C1099" i="5"/>
  <c r="C1079" i="5"/>
  <c r="C1058" i="5"/>
  <c r="C1035" i="5"/>
  <c r="C1015" i="5"/>
  <c r="C994" i="5"/>
  <c r="C971" i="5"/>
  <c r="C951" i="5"/>
  <c r="C930" i="5"/>
  <c r="C907" i="5"/>
  <c r="C887" i="5"/>
  <c r="C866" i="5"/>
  <c r="C843" i="5"/>
  <c r="C823" i="5"/>
  <c r="C802" i="5"/>
  <c r="C779" i="5"/>
  <c r="C759" i="5"/>
  <c r="C738" i="5"/>
  <c r="C715" i="5"/>
  <c r="C695" i="5"/>
  <c r="C674" i="5"/>
  <c r="C651" i="5"/>
  <c r="C631" i="5"/>
  <c r="C610" i="5"/>
  <c r="C587" i="5"/>
  <c r="C567" i="5"/>
  <c r="C546" i="5"/>
  <c r="C523" i="5"/>
  <c r="C503" i="5"/>
  <c r="C482" i="5"/>
  <c r="C459" i="5"/>
  <c r="C439" i="5"/>
  <c r="C418" i="5"/>
  <c r="C395" i="5"/>
  <c r="C375" i="5"/>
  <c r="C354" i="5"/>
  <c r="C331" i="5"/>
  <c r="C311" i="5"/>
  <c r="C290" i="5"/>
  <c r="C267" i="5"/>
  <c r="C247" i="5"/>
  <c r="C226" i="5"/>
  <c r="C203" i="5"/>
  <c r="C183" i="5"/>
  <c r="C162" i="5"/>
  <c r="C139" i="5"/>
  <c r="C119" i="5"/>
  <c r="C101" i="5"/>
  <c r="C82" i="5"/>
  <c r="C63" i="5"/>
  <c r="C45" i="5"/>
  <c r="C27" i="5"/>
  <c r="C10" i="5"/>
  <c r="C1701" i="5"/>
  <c r="C1674" i="5"/>
  <c r="C1650" i="5"/>
  <c r="C1623" i="5"/>
  <c r="C1595" i="5"/>
  <c r="C1573" i="5"/>
  <c r="C1546" i="5"/>
  <c r="C1522" i="5"/>
  <c r="C1495" i="5"/>
  <c r="C1467" i="5"/>
  <c r="C1445" i="5"/>
  <c r="C1418" i="5"/>
  <c r="C1394" i="5"/>
  <c r="C1367" i="5"/>
  <c r="C1339" i="5"/>
  <c r="C1317" i="5"/>
  <c r="C1290" i="5"/>
  <c r="C1269" i="5"/>
  <c r="C1247" i="5"/>
  <c r="C1226" i="5"/>
  <c r="C1205" i="5"/>
  <c r="C1183" i="5"/>
  <c r="C1162" i="5"/>
  <c r="C1141" i="5"/>
  <c r="C1119" i="5"/>
  <c r="C1098" i="5"/>
  <c r="C1077" i="5"/>
  <c r="C1055" i="5"/>
  <c r="C1034" i="5"/>
  <c r="C1013" i="5"/>
  <c r="C991" i="5"/>
  <c r="C970" i="5"/>
  <c r="C949" i="5"/>
  <c r="C927" i="5"/>
  <c r="C906" i="5"/>
  <c r="C885" i="5"/>
  <c r="C863" i="5"/>
  <c r="C842" i="5"/>
  <c r="C821" i="5"/>
  <c r="C799" i="5"/>
  <c r="C778" i="5"/>
  <c r="C757" i="5"/>
  <c r="C735" i="5"/>
  <c r="C714" i="5"/>
  <c r="C693" i="5"/>
  <c r="C671" i="5"/>
  <c r="C650" i="5"/>
  <c r="C629" i="5"/>
  <c r="C607" i="5"/>
  <c r="C586" i="5"/>
  <c r="C565" i="5"/>
  <c r="C543" i="5"/>
  <c r="C522" i="5"/>
  <c r="C501" i="5"/>
  <c r="C479" i="5"/>
  <c r="C458" i="5"/>
  <c r="C437" i="5"/>
  <c r="C415" i="5"/>
  <c r="C394" i="5"/>
  <c r="C373" i="5"/>
  <c r="C351" i="5"/>
  <c r="C330" i="5"/>
  <c r="C309" i="5"/>
  <c r="C287" i="5"/>
  <c r="C266" i="5"/>
  <c r="C245" i="5"/>
  <c r="C223" i="5"/>
  <c r="C202" i="5"/>
  <c r="C181" i="5"/>
  <c r="C159" i="5"/>
  <c r="C138" i="5"/>
  <c r="C117" i="5"/>
  <c r="C98" i="5"/>
  <c r="C79" i="5"/>
  <c r="C61" i="5"/>
  <c r="C43" i="5"/>
  <c r="C26" i="5"/>
  <c r="C7" i="5"/>
  <c r="C1698" i="5"/>
  <c r="C1671" i="5"/>
  <c r="C1643" i="5"/>
  <c r="C1621" i="5"/>
  <c r="C1594" i="5"/>
  <c r="C1570" i="5"/>
  <c r="C1543" i="5"/>
  <c r="C1515" i="5"/>
  <c r="C1493" i="5"/>
  <c r="C1466" i="5"/>
  <c r="C1442" i="5"/>
  <c r="C1415" i="5"/>
  <c r="C1387" i="5"/>
  <c r="C1365" i="5"/>
  <c r="C1338" i="5"/>
  <c r="C1314" i="5"/>
  <c r="C1287" i="5"/>
  <c r="C1266" i="5"/>
  <c r="C1243" i="5"/>
  <c r="C1223" i="5"/>
  <c r="C1202" i="5"/>
  <c r="C1179" i="5"/>
  <c r="C1159" i="5"/>
  <c r="C1138" i="5"/>
  <c r="C1115" i="5"/>
  <c r="C1095" i="5"/>
  <c r="C1074" i="5"/>
  <c r="C1051" i="5"/>
  <c r="C1031" i="5"/>
  <c r="C1010" i="5"/>
  <c r="C987" i="5"/>
  <c r="C967" i="5"/>
  <c r="C946" i="5"/>
  <c r="C923" i="5"/>
  <c r="C903" i="5"/>
  <c r="C882" i="5"/>
  <c r="C859" i="5"/>
  <c r="C839" i="5"/>
  <c r="C818" i="5"/>
  <c r="C795" i="5"/>
  <c r="C775" i="5"/>
  <c r="C754" i="5"/>
  <c r="C731" i="5"/>
  <c r="C711" i="5"/>
  <c r="C690" i="5"/>
  <c r="C667" i="5"/>
  <c r="C647" i="5"/>
  <c r="C626" i="5"/>
  <c r="C603" i="5"/>
  <c r="C583" i="5"/>
  <c r="C562" i="5"/>
  <c r="C539" i="5"/>
  <c r="C519" i="5"/>
  <c r="C498" i="5"/>
  <c r="C475" i="5"/>
  <c r="C455" i="5"/>
  <c r="C434" i="5"/>
  <c r="C411" i="5"/>
  <c r="C391" i="5"/>
  <c r="C370" i="5"/>
  <c r="C347" i="5"/>
  <c r="C327" i="5"/>
  <c r="C306" i="5"/>
  <c r="C283" i="5"/>
  <c r="C263" i="5"/>
  <c r="C242" i="5"/>
  <c r="C219" i="5"/>
  <c r="C199" i="5"/>
  <c r="C178" i="5"/>
  <c r="C155" i="5"/>
  <c r="C135" i="5"/>
  <c r="C114" i="5"/>
  <c r="C95" i="5"/>
  <c r="C77" i="5"/>
  <c r="C59" i="5"/>
  <c r="C42" i="5"/>
  <c r="C23" i="5"/>
  <c r="C5" i="5"/>
  <c r="C1691" i="5"/>
  <c r="C1669" i="5"/>
  <c r="C1642" i="5"/>
  <c r="C1618" i="5"/>
  <c r="C1591" i="5"/>
  <c r="C1563" i="5"/>
  <c r="C1541" i="5"/>
  <c r="C1514" i="5"/>
  <c r="C1490" i="5"/>
  <c r="C1463" i="5"/>
  <c r="C1435" i="5"/>
  <c r="C1413" i="5"/>
  <c r="C1386" i="5"/>
  <c r="C1362" i="5"/>
  <c r="C1335" i="5"/>
  <c r="C1307" i="5"/>
  <c r="C1285" i="5"/>
  <c r="C1263" i="5"/>
  <c r="C1242" i="5"/>
  <c r="C1221" i="5"/>
  <c r="C1199" i="5"/>
  <c r="C1178" i="5"/>
  <c r="C1157" i="5"/>
  <c r="C1135" i="5"/>
  <c r="C1114" i="5"/>
  <c r="C1093" i="5"/>
  <c r="C1071" i="5"/>
  <c r="C1050" i="5"/>
  <c r="C1029" i="5"/>
  <c r="C1007" i="5"/>
  <c r="C986" i="5"/>
  <c r="C965" i="5"/>
  <c r="C943" i="5"/>
  <c r="C922" i="5"/>
  <c r="C901" i="5"/>
  <c r="C879" i="5"/>
  <c r="C858" i="5"/>
  <c r="C837" i="5"/>
  <c r="C815" i="5"/>
  <c r="C794" i="5"/>
  <c r="C773" i="5"/>
  <c r="C751" i="5"/>
  <c r="C730" i="5"/>
  <c r="C709" i="5"/>
  <c r="C687" i="5"/>
  <c r="C666" i="5"/>
  <c r="C645" i="5"/>
  <c r="C623" i="5"/>
  <c r="C602" i="5"/>
  <c r="C581" i="5"/>
  <c r="C559" i="5"/>
  <c r="C538" i="5"/>
  <c r="C517" i="5"/>
  <c r="C495" i="5"/>
  <c r="C474" i="5"/>
  <c r="C453" i="5"/>
  <c r="C431" i="5"/>
  <c r="C410" i="5"/>
  <c r="C389" i="5"/>
  <c r="C367" i="5"/>
  <c r="C346" i="5"/>
  <c r="C325" i="5"/>
  <c r="C303" i="5"/>
  <c r="C282" i="5"/>
  <c r="C261" i="5"/>
  <c r="C239" i="5"/>
  <c r="C218" i="5"/>
  <c r="C197" i="5"/>
  <c r="C175" i="5"/>
  <c r="C154" i="5"/>
  <c r="C133" i="5"/>
  <c r="C111" i="5"/>
  <c r="C93" i="5"/>
  <c r="C75" i="5"/>
  <c r="C58" i="5"/>
  <c r="C39" i="5"/>
  <c r="C21" i="5"/>
  <c r="C2" i="5"/>
  <c r="C1687" i="5"/>
  <c r="C1659" i="5"/>
  <c r="C1637" i="5"/>
  <c r="C1610" i="5"/>
  <c r="C1586" i="5"/>
  <c r="C1559" i="5"/>
  <c r="C1531" i="5"/>
  <c r="C1509" i="5"/>
  <c r="C1482" i="5"/>
  <c r="C1458" i="5"/>
  <c r="C1431" i="5"/>
  <c r="C1403" i="5"/>
  <c r="C1381" i="5"/>
  <c r="C1354" i="5"/>
  <c r="C1330" i="5"/>
  <c r="C1303" i="5"/>
  <c r="C1279" i="5"/>
  <c r="C1258" i="5"/>
  <c r="C1237" i="5"/>
  <c r="C1215" i="5"/>
  <c r="C1194" i="5"/>
  <c r="C1173" i="5"/>
  <c r="C1151" i="5"/>
  <c r="C1130" i="5"/>
  <c r="C1109" i="5"/>
  <c r="C1087" i="5"/>
  <c r="C1066" i="5"/>
  <c r="C1045" i="5"/>
  <c r="C1023" i="5"/>
  <c r="C1002" i="5"/>
  <c r="C981" i="5"/>
  <c r="C959" i="5"/>
  <c r="C938" i="5"/>
  <c r="C917" i="5"/>
  <c r="C895" i="5"/>
  <c r="C874" i="5"/>
  <c r="C853" i="5"/>
  <c r="C831" i="5"/>
  <c r="C810" i="5"/>
  <c r="C789" i="5"/>
  <c r="C767" i="5"/>
  <c r="C746" i="5"/>
  <c r="C725" i="5"/>
  <c r="C703" i="5"/>
  <c r="C682" i="5"/>
  <c r="C661" i="5"/>
  <c r="C639" i="5"/>
  <c r="C618" i="5"/>
  <c r="C597" i="5"/>
  <c r="C575" i="5"/>
  <c r="C554" i="5"/>
  <c r="C533" i="5"/>
  <c r="C511" i="5"/>
  <c r="C490" i="5"/>
  <c r="C469" i="5"/>
  <c r="C447" i="5"/>
  <c r="C426" i="5"/>
  <c r="C405" i="5"/>
  <c r="C383" i="5"/>
  <c r="C362" i="5"/>
  <c r="C341" i="5"/>
  <c r="C319" i="5"/>
  <c r="C298" i="5"/>
  <c r="C277" i="5"/>
  <c r="C255" i="5"/>
  <c r="C234" i="5"/>
  <c r="C213" i="5"/>
  <c r="C191" i="5"/>
  <c r="C170" i="5"/>
  <c r="C149" i="5"/>
  <c r="C127" i="5"/>
  <c r="C107" i="5"/>
  <c r="C90" i="5"/>
  <c r="C71" i="5"/>
  <c r="C53" i="5"/>
  <c r="C34" i="5"/>
  <c r="C15" i="5"/>
  <c r="C379" i="5"/>
  <c r="C722" i="5"/>
  <c r="C1298" i="5"/>
  <c r="C18" i="5"/>
  <c r="C231" i="5"/>
  <c r="C514" i="5"/>
  <c r="C743" i="5"/>
  <c r="C975" i="5"/>
  <c r="C1255" i="5"/>
  <c r="C1589" i="5"/>
  <c r="A2" i="3"/>
  <c r="A18" i="3"/>
  <c r="A34" i="3"/>
  <c r="A50" i="3"/>
  <c r="A66" i="3"/>
  <c r="A82" i="3"/>
  <c r="A98" i="3"/>
  <c r="A114" i="3"/>
  <c r="A130" i="3"/>
  <c r="A146" i="3"/>
  <c r="A162" i="3"/>
  <c r="A178" i="3"/>
  <c r="A194" i="3"/>
  <c r="A210" i="3"/>
  <c r="A226" i="3"/>
  <c r="A246" i="3"/>
  <c r="A266" i="3"/>
  <c r="A290" i="3"/>
  <c r="A310" i="3"/>
  <c r="A330" i="3"/>
  <c r="A354" i="3"/>
  <c r="A374" i="3"/>
  <c r="A394" i="3"/>
  <c r="A418" i="3"/>
  <c r="A438" i="3"/>
  <c r="A458" i="3"/>
  <c r="A482" i="3"/>
  <c r="A502" i="3"/>
  <c r="A522" i="3"/>
  <c r="A546" i="3"/>
  <c r="A566" i="3"/>
  <c r="A586" i="3"/>
  <c r="A610" i="3"/>
  <c r="A630" i="3"/>
  <c r="A650" i="3"/>
  <c r="A674" i="3"/>
  <c r="A694" i="3"/>
  <c r="A714" i="3"/>
  <c r="A738" i="3"/>
  <c r="A758" i="3"/>
  <c r="A778" i="3"/>
  <c r="A802" i="3"/>
  <c r="A822" i="3"/>
  <c r="A842" i="3"/>
  <c r="A866" i="3"/>
  <c r="A886" i="3"/>
  <c r="A906" i="3"/>
  <c r="A930" i="3"/>
  <c r="A950" i="3"/>
  <c r="A970" i="3"/>
  <c r="A994" i="3"/>
  <c r="A1014" i="3"/>
  <c r="A1034" i="3"/>
  <c r="A1058" i="3"/>
  <c r="A1078" i="3"/>
  <c r="A1098" i="3"/>
  <c r="A1122" i="3"/>
  <c r="A1142" i="3"/>
  <c r="A1162" i="3"/>
  <c r="A1186" i="3"/>
  <c r="A1206" i="3"/>
  <c r="A1226" i="3"/>
  <c r="A1250" i="3"/>
  <c r="A1270" i="3"/>
  <c r="A1290" i="3"/>
  <c r="A1314" i="3"/>
  <c r="A1334" i="3"/>
  <c r="A1354" i="3"/>
  <c r="A1378" i="3"/>
  <c r="A1398" i="3"/>
  <c r="A1418" i="3"/>
  <c r="A1442" i="3"/>
  <c r="A1462" i="3"/>
  <c r="A1482" i="3"/>
  <c r="A1506" i="3"/>
  <c r="A1526" i="3"/>
  <c r="A1546" i="3"/>
  <c r="A1570" i="3"/>
  <c r="A1590" i="3"/>
  <c r="A1610" i="3"/>
  <c r="A1634" i="3"/>
  <c r="A1654" i="3"/>
  <c r="A1674" i="3"/>
  <c r="A1698" i="3"/>
  <c r="C31" i="5"/>
  <c r="C85" i="5"/>
  <c r="C130" i="5"/>
  <c r="C187" i="5"/>
  <c r="C250" i="5"/>
  <c r="C299" i="5"/>
  <c r="C359" i="5"/>
  <c r="C421" i="5"/>
  <c r="C471" i="5"/>
  <c r="C530" i="5"/>
  <c r="C591" i="5"/>
  <c r="C642" i="5"/>
  <c r="C699" i="5"/>
  <c r="C762" i="5"/>
  <c r="C811" i="5"/>
  <c r="C871" i="5"/>
  <c r="C933" i="5"/>
  <c r="C983" i="5"/>
  <c r="C1042" i="5"/>
  <c r="C1103" i="5"/>
  <c r="C1154" i="5"/>
  <c r="C1211" i="5"/>
  <c r="C1274" i="5"/>
  <c r="C1333" i="5"/>
  <c r="C1402" i="5"/>
  <c r="C1477" i="5"/>
  <c r="C1538" i="5"/>
  <c r="C1607" i="5"/>
  <c r="C1682" i="5"/>
  <c r="C271" i="5"/>
  <c r="C551" i="5"/>
  <c r="C891" i="5"/>
  <c r="C1234" i="5"/>
  <c r="C1634" i="5"/>
  <c r="C69" i="5"/>
  <c r="C293" i="5"/>
  <c r="C571" i="5"/>
  <c r="C855" i="5"/>
  <c r="C1083" i="5"/>
  <c r="C1322" i="5"/>
  <c r="C1658" i="5"/>
  <c r="A4" i="3"/>
  <c r="A20" i="3"/>
  <c r="A36" i="3"/>
  <c r="A52" i="3"/>
  <c r="A68" i="3"/>
  <c r="A84" i="3"/>
  <c r="A100" i="3"/>
  <c r="A116" i="3"/>
  <c r="A132" i="3"/>
  <c r="A148" i="3"/>
  <c r="A164" i="3"/>
  <c r="A180" i="3"/>
  <c r="A196" i="3"/>
  <c r="A212" i="3"/>
  <c r="A228" i="3"/>
  <c r="A248" i="3"/>
  <c r="A270" i="3"/>
  <c r="A292" i="3"/>
  <c r="A312" i="3"/>
  <c r="A334" i="3"/>
  <c r="A356" i="3"/>
  <c r="A376" i="3"/>
  <c r="A398" i="3"/>
  <c r="A420" i="3"/>
  <c r="A440" i="3"/>
  <c r="A462" i="3"/>
  <c r="A484" i="3"/>
  <c r="A504" i="3"/>
  <c r="A526" i="3"/>
  <c r="A548" i="3"/>
  <c r="A568" i="3"/>
  <c r="A590" i="3"/>
  <c r="A612" i="3"/>
  <c r="A632" i="3"/>
  <c r="A654" i="3"/>
  <c r="A676" i="3"/>
  <c r="A696" i="3"/>
  <c r="A718" i="3"/>
  <c r="A740" i="3"/>
  <c r="A760" i="3"/>
  <c r="A782" i="3"/>
  <c r="A804" i="3"/>
  <c r="A824" i="3"/>
  <c r="A846" i="3"/>
  <c r="A868" i="3"/>
  <c r="A888" i="3"/>
  <c r="A910" i="3"/>
  <c r="A932" i="3"/>
  <c r="A952" i="3"/>
  <c r="A974" i="3"/>
  <c r="A996" i="3"/>
  <c r="A1016" i="3"/>
  <c r="A1038" i="3"/>
  <c r="A1060" i="3"/>
  <c r="A1080" i="3"/>
  <c r="A1102" i="3"/>
  <c r="A1124" i="3"/>
  <c r="A1144" i="3"/>
  <c r="A1166" i="3"/>
  <c r="A1188" i="3"/>
  <c r="A1208" i="3"/>
  <c r="A1230" i="3"/>
  <c r="A1252" i="3"/>
  <c r="A1272" i="3"/>
  <c r="A1294" i="3"/>
  <c r="A1316" i="3"/>
  <c r="A1336" i="3"/>
  <c r="A1358" i="3"/>
  <c r="A1380" i="3"/>
  <c r="A1400" i="3"/>
  <c r="A1422" i="3"/>
  <c r="A1444" i="3"/>
  <c r="A1464" i="3"/>
  <c r="A1486" i="3"/>
  <c r="A1508" i="3"/>
  <c r="A1528" i="3"/>
  <c r="A1550" i="3"/>
  <c r="A1572" i="3"/>
  <c r="A1592" i="3"/>
  <c r="A1614" i="3"/>
  <c r="A1636" i="3"/>
  <c r="A1656" i="3"/>
  <c r="A1678" i="3"/>
  <c r="A1700" i="3"/>
  <c r="C37" i="5"/>
  <c r="C87" i="5"/>
  <c r="C143" i="5"/>
  <c r="C194" i="5"/>
  <c r="C251" i="5"/>
  <c r="C314" i="5"/>
  <c r="C363" i="5"/>
  <c r="C423" i="5"/>
  <c r="C485" i="5"/>
  <c r="C535" i="5"/>
  <c r="C594" i="5"/>
  <c r="C655" i="5"/>
  <c r="C706" i="5"/>
  <c r="C763" i="5"/>
  <c r="C826" i="5"/>
  <c r="C875" i="5"/>
  <c r="C935" i="5"/>
  <c r="C997" i="5"/>
  <c r="C1047" i="5"/>
  <c r="C1106" i="5"/>
  <c r="C1167" i="5"/>
  <c r="C1218" i="5"/>
  <c r="C1275" i="5"/>
  <c r="C1349" i="5"/>
  <c r="C1410" i="5"/>
  <c r="C1479" i="5"/>
  <c r="C1554" i="5"/>
  <c r="C1611" i="5"/>
  <c r="C1685" i="5"/>
  <c r="C1125" i="5"/>
  <c r="C343" i="5"/>
  <c r="C683" i="5"/>
  <c r="C1026" i="5"/>
  <c r="C1383" i="5"/>
  <c r="A6" i="3"/>
  <c r="A22" i="3"/>
  <c r="A38" i="3"/>
  <c r="A54" i="3"/>
  <c r="A70" i="3"/>
  <c r="A86" i="3"/>
  <c r="A102" i="3"/>
  <c r="A118" i="3"/>
  <c r="A134" i="3"/>
  <c r="A150" i="3"/>
  <c r="A166" i="3"/>
  <c r="A182" i="3"/>
  <c r="A198" i="3"/>
  <c r="A214" i="3"/>
  <c r="A230" i="3"/>
  <c r="A250" i="3"/>
  <c r="A274" i="3"/>
  <c r="A294" i="3"/>
  <c r="A314" i="3"/>
  <c r="A338" i="3"/>
  <c r="A358" i="3"/>
  <c r="A378" i="3"/>
  <c r="A402" i="3"/>
  <c r="A422" i="3"/>
  <c r="A442" i="3"/>
  <c r="A466" i="3"/>
  <c r="A486" i="3"/>
  <c r="A506" i="3"/>
  <c r="A530" i="3"/>
  <c r="A550" i="3"/>
  <c r="A570" i="3"/>
  <c r="A594" i="3"/>
  <c r="A614" i="3"/>
  <c r="A634" i="3"/>
  <c r="A658" i="3"/>
  <c r="A678" i="3"/>
  <c r="A698" i="3"/>
  <c r="A722" i="3"/>
  <c r="A742" i="3"/>
  <c r="A762" i="3"/>
  <c r="A786" i="3"/>
  <c r="A806" i="3"/>
  <c r="A826" i="3"/>
  <c r="A850" i="3"/>
  <c r="A870" i="3"/>
  <c r="A890" i="3"/>
  <c r="A914" i="3"/>
  <c r="A934" i="3"/>
  <c r="A954" i="3"/>
  <c r="A978" i="3"/>
  <c r="A998" i="3"/>
  <c r="A1018" i="3"/>
  <c r="A1042" i="3"/>
  <c r="A1062" i="3"/>
  <c r="A1082" i="3"/>
  <c r="A1106" i="3"/>
  <c r="A1126" i="3"/>
  <c r="A1146" i="3"/>
  <c r="A1170" i="3"/>
  <c r="A1190" i="3"/>
  <c r="A1210" i="3"/>
  <c r="A1234" i="3"/>
  <c r="A1254" i="3"/>
  <c r="A1274" i="3"/>
  <c r="A1298" i="3"/>
  <c r="A1318" i="3"/>
  <c r="A1338" i="3"/>
  <c r="A1362" i="3"/>
  <c r="A1382" i="3"/>
  <c r="A1402" i="3"/>
  <c r="A1426" i="3"/>
  <c r="A1446" i="3"/>
  <c r="A1466" i="3"/>
  <c r="A1490" i="3"/>
  <c r="A1510" i="3"/>
  <c r="A1530" i="3"/>
  <c r="A1554" i="3"/>
  <c r="A1574" i="3"/>
  <c r="A1594" i="3"/>
  <c r="A1618" i="3"/>
  <c r="A1638" i="3"/>
  <c r="A1658" i="3"/>
  <c r="A1682" i="3"/>
  <c r="A1702" i="3"/>
  <c r="C47" i="5"/>
  <c r="C91" i="5"/>
  <c r="C146" i="5"/>
  <c r="C207" i="5"/>
  <c r="C258" i="5"/>
  <c r="C315" i="5"/>
  <c r="C378" i="5"/>
  <c r="C427" i="5"/>
  <c r="C487" i="5"/>
  <c r="C549" i="5"/>
  <c r="C599" i="5"/>
  <c r="C658" i="5"/>
  <c r="C719" i="5"/>
  <c r="C770" i="5"/>
  <c r="C827" i="5"/>
  <c r="C890" i="5"/>
  <c r="C939" i="5"/>
  <c r="C999" i="5"/>
  <c r="C1061" i="5"/>
  <c r="C1111" i="5"/>
  <c r="C1170" i="5"/>
  <c r="C1231" i="5"/>
  <c r="C1282" i="5"/>
  <c r="C1351" i="5"/>
  <c r="C1426" i="5"/>
  <c r="C1483" i="5"/>
  <c r="C1557" i="5"/>
  <c r="C1627" i="5"/>
  <c r="C1690" i="5"/>
  <c r="D1700" i="5"/>
  <c r="D1691" i="5"/>
  <c r="D1659" i="5"/>
  <c r="D1627" i="5"/>
  <c r="D1595" i="5"/>
  <c r="D1563" i="5"/>
  <c r="D1531" i="5"/>
  <c r="D1499" i="5"/>
  <c r="D1467" i="5"/>
  <c r="D1435" i="5"/>
  <c r="D1403" i="5"/>
  <c r="D1371" i="5"/>
  <c r="D1339" i="5"/>
  <c r="D1307" i="5"/>
  <c r="D1275" i="5"/>
  <c r="D1243" i="5"/>
  <c r="D1211" i="5"/>
  <c r="D1179" i="5"/>
  <c r="D1147" i="5"/>
  <c r="D1115" i="5"/>
  <c r="D1083" i="5"/>
  <c r="D1051" i="5"/>
  <c r="D1019" i="5"/>
  <c r="D987" i="5"/>
  <c r="D955" i="5"/>
  <c r="D923" i="5"/>
  <c r="D891" i="5"/>
  <c r="D859" i="5"/>
  <c r="D827" i="5"/>
  <c r="D795" i="5"/>
  <c r="D763" i="5"/>
  <c r="D731" i="5"/>
  <c r="D699" i="5"/>
  <c r="D1685" i="5"/>
  <c r="D1653" i="5"/>
  <c r="D1621" i="5"/>
  <c r="D1589" i="5"/>
  <c r="D1557" i="5"/>
  <c r="D1525" i="5"/>
  <c r="D1493" i="5"/>
  <c r="D1461" i="5"/>
  <c r="D1429" i="5"/>
  <c r="D1397" i="5"/>
  <c r="D1365" i="5"/>
  <c r="D1333" i="5"/>
  <c r="D1301" i="5"/>
  <c r="D1269" i="5"/>
  <c r="D1237" i="5"/>
  <c r="D1205" i="5"/>
  <c r="D1173" i="5"/>
  <c r="D1141" i="5"/>
  <c r="D1109" i="5"/>
  <c r="D1077" i="5"/>
  <c r="D1045" i="5"/>
  <c r="D1013" i="5"/>
  <c r="D981" i="5"/>
  <c r="D949" i="5"/>
  <c r="D917" i="5"/>
  <c r="D885" i="5"/>
  <c r="D853" i="5"/>
  <c r="D821" i="5"/>
  <c r="D789" i="5"/>
  <c r="D757" i="5"/>
  <c r="D725" i="5"/>
  <c r="D693" i="5"/>
  <c r="D1677" i="5"/>
  <c r="D1645" i="5"/>
  <c r="D1613" i="5"/>
  <c r="D1581" i="5"/>
  <c r="D1549" i="5"/>
  <c r="D1517" i="5"/>
  <c r="D1485" i="5"/>
  <c r="D1453" i="5"/>
  <c r="D1421" i="5"/>
  <c r="D1389" i="5"/>
  <c r="D1357" i="5"/>
  <c r="D1325" i="5"/>
  <c r="D1293" i="5"/>
  <c r="D1261" i="5"/>
  <c r="D1229" i="5"/>
  <c r="D1197" i="5"/>
  <c r="D1165" i="5"/>
  <c r="D1133" i="5"/>
  <c r="D1101" i="5"/>
  <c r="D1069" i="5"/>
  <c r="D1037" i="5"/>
  <c r="D1005" i="5"/>
  <c r="D973" i="5"/>
  <c r="D941" i="5"/>
  <c r="D909" i="5"/>
  <c r="D877" i="5"/>
  <c r="D845" i="5"/>
  <c r="D813" i="5"/>
  <c r="D781" i="5"/>
  <c r="D749" i="5"/>
  <c r="D717" i="5"/>
  <c r="D1701" i="5"/>
  <c r="D1669" i="5"/>
  <c r="D1637" i="5"/>
  <c r="D1605" i="5"/>
  <c r="D1573" i="5"/>
  <c r="D1541" i="5"/>
  <c r="D1509" i="5"/>
  <c r="D1477" i="5"/>
  <c r="D1445" i="5"/>
  <c r="D1413" i="5"/>
  <c r="D1381" i="5"/>
  <c r="D1349" i="5"/>
  <c r="D1317" i="5"/>
  <c r="D1285" i="5"/>
  <c r="D1253" i="5"/>
  <c r="D1221" i="5"/>
  <c r="D1189" i="5"/>
  <c r="D1157" i="5"/>
  <c r="D1125" i="5"/>
  <c r="D1093" i="5"/>
  <c r="D1061" i="5"/>
  <c r="D1029" i="5"/>
  <c r="D997" i="5"/>
  <c r="D965" i="5"/>
  <c r="D933" i="5"/>
  <c r="D901" i="5"/>
  <c r="D869" i="5"/>
  <c r="D837" i="5"/>
  <c r="D805" i="5"/>
  <c r="D773" i="5"/>
  <c r="D741" i="5"/>
  <c r="D709" i="5"/>
  <c r="D29" i="5"/>
  <c r="D61" i="5"/>
  <c r="D93" i="5"/>
  <c r="D125" i="5"/>
  <c r="D157" i="5"/>
  <c r="D189" i="5"/>
  <c r="D221" i="5"/>
  <c r="D253" i="5"/>
  <c r="D285" i="5"/>
  <c r="D317" i="5"/>
  <c r="D349" i="5"/>
  <c r="D381" i="5"/>
  <c r="D413" i="5"/>
  <c r="D445" i="5"/>
  <c r="D477" i="5"/>
  <c r="D509" i="5"/>
  <c r="D541" i="5"/>
  <c r="D573" i="5"/>
  <c r="D605" i="5"/>
  <c r="D637" i="5"/>
  <c r="D669" i="5"/>
  <c r="D715" i="5"/>
  <c r="D779" i="5"/>
  <c r="D843" i="5"/>
  <c r="D907" i="5"/>
  <c r="D971" i="5"/>
  <c r="D1035" i="5"/>
  <c r="D1099" i="5"/>
  <c r="D1163" i="5"/>
  <c r="D1227" i="5"/>
  <c r="D1291" i="5"/>
  <c r="D1355" i="5"/>
  <c r="D1419" i="5"/>
  <c r="D1483" i="5"/>
  <c r="D1547" i="5"/>
  <c r="D1611" i="5"/>
  <c r="D1675" i="5"/>
  <c r="J30" i="5"/>
  <c r="J94" i="5"/>
  <c r="J158" i="5"/>
  <c r="J222" i="5"/>
  <c r="J308" i="5"/>
  <c r="J382" i="5"/>
  <c r="J470" i="5"/>
  <c r="J564" i="5"/>
  <c r="J638" i="5"/>
  <c r="J726" i="5"/>
  <c r="J820" i="5"/>
  <c r="J894" i="5"/>
  <c r="J982" i="5"/>
  <c r="J1076" i="5"/>
  <c r="J1150" i="5"/>
  <c r="J1238" i="5"/>
  <c r="J1332" i="5"/>
  <c r="J1406" i="5"/>
  <c r="J1494" i="5"/>
  <c r="J1588" i="5"/>
  <c r="J1662" i="5"/>
  <c r="D5" i="5"/>
  <c r="D37" i="5"/>
  <c r="D69" i="5"/>
  <c r="D101" i="5"/>
  <c r="D133" i="5"/>
  <c r="D165" i="5"/>
  <c r="D197" i="5"/>
  <c r="D229" i="5"/>
  <c r="D261" i="5"/>
  <c r="D293" i="5"/>
  <c r="D325" i="5"/>
  <c r="D357" i="5"/>
  <c r="D389" i="5"/>
  <c r="D421" i="5"/>
  <c r="D453" i="5"/>
  <c r="D485" i="5"/>
  <c r="D517" i="5"/>
  <c r="D549" i="5"/>
  <c r="D581" i="5"/>
  <c r="D613" i="5"/>
  <c r="D645" i="5"/>
  <c r="D677" i="5"/>
  <c r="D733" i="5"/>
  <c r="D797" i="5"/>
  <c r="D861" i="5"/>
  <c r="D925" i="5"/>
  <c r="D989" i="5"/>
  <c r="D1053" i="5"/>
  <c r="D1117" i="5"/>
  <c r="D1181" i="5"/>
  <c r="D1245" i="5"/>
  <c r="D1309" i="5"/>
  <c r="D1373" i="5"/>
  <c r="D1437" i="5"/>
  <c r="D1501" i="5"/>
  <c r="D1565" i="5"/>
  <c r="D1629" i="5"/>
  <c r="D1693" i="5"/>
  <c r="J52" i="5"/>
  <c r="J116" i="5"/>
  <c r="J180" i="5"/>
  <c r="J244" i="5"/>
  <c r="J318" i="5"/>
  <c r="J406" i="5"/>
  <c r="J500" i="5"/>
  <c r="J574" i="5"/>
  <c r="J662" i="5"/>
  <c r="J756" i="5"/>
  <c r="J830" i="5"/>
  <c r="J918" i="5"/>
  <c r="J1012" i="5"/>
  <c r="J1086" i="5"/>
  <c r="J1174" i="5"/>
  <c r="J1268" i="5"/>
  <c r="J1342" i="5"/>
  <c r="J1430" i="5"/>
  <c r="J1524" i="5"/>
  <c r="J1598" i="5"/>
  <c r="J1686" i="5"/>
  <c r="D11" i="5"/>
  <c r="D43" i="5"/>
  <c r="D75" i="5"/>
  <c r="D107" i="5"/>
  <c r="D139" i="5"/>
  <c r="D171" i="5"/>
  <c r="D203" i="5"/>
  <c r="D235" i="5"/>
  <c r="D267" i="5"/>
  <c r="D299" i="5"/>
  <c r="D331" i="5"/>
  <c r="D363" i="5"/>
  <c r="D395" i="5"/>
  <c r="D427" i="5"/>
  <c r="D459" i="5"/>
  <c r="D491" i="5"/>
  <c r="D523" i="5"/>
  <c r="D555" i="5"/>
  <c r="D587" i="5"/>
  <c r="D619" i="5"/>
  <c r="D651" i="5"/>
  <c r="D683" i="5"/>
  <c r="D739" i="5"/>
  <c r="D803" i="5"/>
  <c r="D867" i="5"/>
  <c r="D931" i="5"/>
  <c r="D995" i="5"/>
  <c r="D1059" i="5"/>
  <c r="D1123" i="5"/>
  <c r="D1187" i="5"/>
  <c r="D1251" i="5"/>
  <c r="D1315" i="5"/>
  <c r="D1379" i="5"/>
  <c r="D1443" i="5"/>
  <c r="D1507" i="5"/>
  <c r="D1571" i="5"/>
  <c r="D1635" i="5"/>
  <c r="D1699" i="5"/>
  <c r="J54" i="5"/>
  <c r="J118" i="5"/>
  <c r="J182" i="5"/>
  <c r="J246" i="5"/>
  <c r="J340" i="5"/>
  <c r="J414" i="5"/>
  <c r="J502" i="5"/>
  <c r="J596" i="5"/>
  <c r="J670" i="5"/>
  <c r="J758" i="5"/>
  <c r="J852" i="5"/>
  <c r="J926" i="5"/>
  <c r="J1014" i="5"/>
  <c r="J1108" i="5"/>
  <c r="J1182" i="5"/>
  <c r="J1270" i="5"/>
  <c r="J1364" i="5"/>
  <c r="J1438" i="5"/>
  <c r="J1526" i="5"/>
  <c r="J1620" i="5"/>
  <c r="J1701" i="5"/>
  <c r="J1678" i="5"/>
  <c r="J1646" i="5"/>
  <c r="J1614" i="5"/>
  <c r="J1582" i="5"/>
  <c r="J1550" i="5"/>
  <c r="J1518" i="5"/>
  <c r="J1486" i="5"/>
  <c r="J1454" i="5"/>
  <c r="J1422" i="5"/>
  <c r="J1390" i="5"/>
  <c r="J1358" i="5"/>
  <c r="J1326" i="5"/>
  <c r="J1294" i="5"/>
  <c r="J1262" i="5"/>
  <c r="J1230" i="5"/>
  <c r="J1198" i="5"/>
  <c r="J1166" i="5"/>
  <c r="J1134" i="5"/>
  <c r="J1102" i="5"/>
  <c r="J1070" i="5"/>
  <c r="J1038" i="5"/>
  <c r="J1006" i="5"/>
  <c r="J974" i="5"/>
  <c r="J942" i="5"/>
  <c r="J910" i="5"/>
  <c r="J878" i="5"/>
  <c r="J846" i="5"/>
  <c r="J814" i="5"/>
  <c r="J782" i="5"/>
  <c r="J750" i="5"/>
  <c r="J718" i="5"/>
  <c r="J686" i="5"/>
  <c r="J654" i="5"/>
  <c r="J622" i="5"/>
  <c r="J590" i="5"/>
  <c r="J558" i="5"/>
  <c r="J526" i="5"/>
  <c r="J494" i="5"/>
  <c r="J462" i="5"/>
  <c r="J430" i="5"/>
  <c r="J398" i="5"/>
  <c r="J366" i="5"/>
  <c r="J334" i="5"/>
  <c r="J302" i="5"/>
  <c r="J270" i="5"/>
  <c r="J238" i="5"/>
  <c r="J206" i="5"/>
  <c r="J174" i="5"/>
  <c r="J142" i="5"/>
  <c r="J110" i="5"/>
  <c r="J78" i="5"/>
  <c r="J46" i="5"/>
  <c r="J14" i="5"/>
  <c r="J1676" i="5"/>
  <c r="J1644" i="5"/>
  <c r="J1612" i="5"/>
  <c r="J1580" i="5"/>
  <c r="J1548" i="5"/>
  <c r="J1516" i="5"/>
  <c r="J1484" i="5"/>
  <c r="J1452" i="5"/>
  <c r="J1420" i="5"/>
  <c r="J1388" i="5"/>
  <c r="J1356" i="5"/>
  <c r="J1324" i="5"/>
  <c r="J1292" i="5"/>
  <c r="J1260" i="5"/>
  <c r="J1228" i="5"/>
  <c r="J1196" i="5"/>
  <c r="J1164" i="5"/>
  <c r="J1132" i="5"/>
  <c r="J1100" i="5"/>
  <c r="J1068" i="5"/>
  <c r="J1036" i="5"/>
  <c r="J1004" i="5"/>
  <c r="J972" i="5"/>
  <c r="J940" i="5"/>
  <c r="J908" i="5"/>
  <c r="J876" i="5"/>
  <c r="J844" i="5"/>
  <c r="J812" i="5"/>
  <c r="J780" i="5"/>
  <c r="J748" i="5"/>
  <c r="J716" i="5"/>
  <c r="J684" i="5"/>
  <c r="J652" i="5"/>
  <c r="J620" i="5"/>
  <c r="J588" i="5"/>
  <c r="J556" i="5"/>
  <c r="J524" i="5"/>
  <c r="J492" i="5"/>
  <c r="J460" i="5"/>
  <c r="J428" i="5"/>
  <c r="J396" i="5"/>
  <c r="J364" i="5"/>
  <c r="J332" i="5"/>
  <c r="J300" i="5"/>
  <c r="J268" i="5"/>
  <c r="J236" i="5"/>
  <c r="J204" i="5"/>
  <c r="J172" i="5"/>
  <c r="J140" i="5"/>
  <c r="J108" i="5"/>
  <c r="J76" i="5"/>
  <c r="J44" i="5"/>
  <c r="J12" i="5"/>
  <c r="J1702" i="5"/>
  <c r="J1670" i="5"/>
  <c r="J1638" i="5"/>
  <c r="J1606" i="5"/>
  <c r="J1574" i="5"/>
  <c r="J1542" i="5"/>
  <c r="J1510" i="5"/>
  <c r="J1478" i="5"/>
  <c r="J1446" i="5"/>
  <c r="J1414" i="5"/>
  <c r="J1382" i="5"/>
  <c r="J1350" i="5"/>
  <c r="J1318" i="5"/>
  <c r="J1286" i="5"/>
  <c r="J1254" i="5"/>
  <c r="J1222" i="5"/>
  <c r="J1190" i="5"/>
  <c r="J1158" i="5"/>
  <c r="J1126" i="5"/>
  <c r="J1094" i="5"/>
  <c r="J1062" i="5"/>
  <c r="J1030" i="5"/>
  <c r="J998" i="5"/>
  <c r="J966" i="5"/>
  <c r="J934" i="5"/>
  <c r="J902" i="5"/>
  <c r="J870" i="5"/>
  <c r="J838" i="5"/>
  <c r="J806" i="5"/>
  <c r="J774" i="5"/>
  <c r="J742" i="5"/>
  <c r="J710" i="5"/>
  <c r="J678" i="5"/>
  <c r="J646" i="5"/>
  <c r="J614" i="5"/>
  <c r="J582" i="5"/>
  <c r="J550" i="5"/>
  <c r="J518" i="5"/>
  <c r="J486" i="5"/>
  <c r="J454" i="5"/>
  <c r="J422" i="5"/>
  <c r="J390" i="5"/>
  <c r="J358" i="5"/>
  <c r="J326" i="5"/>
  <c r="J294" i="5"/>
  <c r="J262" i="5"/>
  <c r="J1700" i="5"/>
  <c r="J1668" i="5"/>
  <c r="J1636" i="5"/>
  <c r="J1604" i="5"/>
  <c r="J1572" i="5"/>
  <c r="J1540" i="5"/>
  <c r="J1508" i="5"/>
  <c r="J1476" i="5"/>
  <c r="J1444" i="5"/>
  <c r="J1412" i="5"/>
  <c r="J1380" i="5"/>
  <c r="J1348" i="5"/>
  <c r="J1316" i="5"/>
  <c r="J1284" i="5"/>
  <c r="J1252" i="5"/>
  <c r="J1220" i="5"/>
  <c r="J1188" i="5"/>
  <c r="J1156" i="5"/>
  <c r="J1124" i="5"/>
  <c r="J1092" i="5"/>
  <c r="J1060" i="5"/>
  <c r="J1028" i="5"/>
  <c r="J996" i="5"/>
  <c r="J964" i="5"/>
  <c r="J932" i="5"/>
  <c r="J900" i="5"/>
  <c r="J868" i="5"/>
  <c r="J836" i="5"/>
  <c r="J804" i="5"/>
  <c r="J772" i="5"/>
  <c r="J740" i="5"/>
  <c r="J708" i="5"/>
  <c r="J676" i="5"/>
  <c r="J644" i="5"/>
  <c r="J612" i="5"/>
  <c r="J580" i="5"/>
  <c r="J548" i="5"/>
  <c r="J516" i="5"/>
  <c r="J484" i="5"/>
  <c r="J452" i="5"/>
  <c r="J420" i="5"/>
  <c r="J388" i="5"/>
  <c r="J356" i="5"/>
  <c r="J324" i="5"/>
  <c r="J292" i="5"/>
  <c r="J260" i="5"/>
  <c r="J228" i="5"/>
  <c r="J196" i="5"/>
  <c r="J164" i="5"/>
  <c r="J132" i="5"/>
  <c r="J100" i="5"/>
  <c r="J68" i="5"/>
  <c r="J36" i="5"/>
  <c r="J4" i="5"/>
  <c r="J1692" i="5"/>
  <c r="J1660" i="5"/>
  <c r="J1628" i="5"/>
  <c r="J1596" i="5"/>
  <c r="J1564" i="5"/>
  <c r="J1532" i="5"/>
  <c r="J1500" i="5"/>
  <c r="J1468" i="5"/>
  <c r="J1436" i="5"/>
  <c r="J1404" i="5"/>
  <c r="J1372" i="5"/>
  <c r="J1340" i="5"/>
  <c r="J1308" i="5"/>
  <c r="J1276" i="5"/>
  <c r="J1244" i="5"/>
  <c r="J1212" i="5"/>
  <c r="J1180" i="5"/>
  <c r="J1148" i="5"/>
  <c r="J1116" i="5"/>
  <c r="J1084" i="5"/>
  <c r="J1052" i="5"/>
  <c r="J1020" i="5"/>
  <c r="J988" i="5"/>
  <c r="J956" i="5"/>
  <c r="J924" i="5"/>
  <c r="J892" i="5"/>
  <c r="J860" i="5"/>
  <c r="J828" i="5"/>
  <c r="J796" i="5"/>
  <c r="J764" i="5"/>
  <c r="J732" i="5"/>
  <c r="J700" i="5"/>
  <c r="J668" i="5"/>
  <c r="J636" i="5"/>
  <c r="J604" i="5"/>
  <c r="J572" i="5"/>
  <c r="J540" i="5"/>
  <c r="J508" i="5"/>
  <c r="J476" i="5"/>
  <c r="J444" i="5"/>
  <c r="J412" i="5"/>
  <c r="J380" i="5"/>
  <c r="J348" i="5"/>
  <c r="J316" i="5"/>
  <c r="J284" i="5"/>
  <c r="J252" i="5"/>
  <c r="J220" i="5"/>
  <c r="J188" i="5"/>
  <c r="J156" i="5"/>
  <c r="J124" i="5"/>
  <c r="J92" i="5"/>
  <c r="J60" i="5"/>
  <c r="J28" i="5"/>
  <c r="J62" i="5"/>
  <c r="J126" i="5"/>
  <c r="J190" i="5"/>
  <c r="J254" i="5"/>
  <c r="J342" i="5"/>
  <c r="J436" i="5"/>
  <c r="J510" i="5"/>
  <c r="J598" i="5"/>
  <c r="J692" i="5"/>
  <c r="J766" i="5"/>
  <c r="J854" i="5"/>
  <c r="J948" i="5"/>
  <c r="J1022" i="5"/>
  <c r="J1110" i="5"/>
  <c r="J1204" i="5"/>
  <c r="J1278" i="5"/>
  <c r="J1366" i="5"/>
  <c r="J1460" i="5"/>
  <c r="J1534" i="5"/>
  <c r="J1622" i="5"/>
  <c r="D19" i="5"/>
  <c r="D51" i="5"/>
  <c r="D83" i="5"/>
  <c r="D115" i="5"/>
  <c r="D147" i="5"/>
  <c r="D179" i="5"/>
  <c r="D211" i="5"/>
  <c r="D243" i="5"/>
  <c r="D275" i="5"/>
  <c r="D307" i="5"/>
  <c r="D339" i="5"/>
  <c r="D371" i="5"/>
  <c r="D403" i="5"/>
  <c r="D435" i="5"/>
  <c r="D467" i="5"/>
  <c r="D499" i="5"/>
  <c r="D531" i="5"/>
  <c r="D563" i="5"/>
  <c r="D595" i="5"/>
  <c r="D627" i="5"/>
  <c r="D659" i="5"/>
  <c r="D691" i="5"/>
  <c r="D755" i="5"/>
  <c r="D819" i="5"/>
  <c r="D883" i="5"/>
  <c r="D947" i="5"/>
  <c r="D1011" i="5"/>
  <c r="D1075" i="5"/>
  <c r="D1139" i="5"/>
  <c r="D1203" i="5"/>
  <c r="D1267" i="5"/>
  <c r="D1331" i="5"/>
  <c r="D1395" i="5"/>
  <c r="D1459" i="5"/>
  <c r="D1523" i="5"/>
  <c r="D1587" i="5"/>
  <c r="D1651" i="5"/>
  <c r="J6" i="5"/>
  <c r="J70" i="5"/>
  <c r="J134" i="5"/>
  <c r="J198" i="5"/>
  <c r="J276" i="5"/>
  <c r="J350" i="5"/>
  <c r="J438" i="5"/>
  <c r="J532" i="5"/>
  <c r="J606" i="5"/>
  <c r="J694" i="5"/>
  <c r="J788" i="5"/>
  <c r="J862" i="5"/>
  <c r="J950" i="5"/>
  <c r="J1044" i="5"/>
  <c r="J1118" i="5"/>
  <c r="J1206" i="5"/>
  <c r="J1300" i="5"/>
  <c r="J1374" i="5"/>
  <c r="J1462" i="5"/>
  <c r="J1556" i="5"/>
  <c r="J1630" i="5"/>
  <c r="E116" i="4"/>
  <c r="C116" i="4"/>
  <c r="I116" i="4"/>
  <c r="B116" i="4"/>
  <c r="H116" i="4"/>
  <c r="G116" i="4"/>
  <c r="J116" i="4"/>
  <c r="F116" i="4"/>
  <c r="I202" i="4"/>
  <c r="B202" i="4"/>
  <c r="G202" i="4"/>
  <c r="E202" i="4"/>
  <c r="D202" i="4"/>
  <c r="C202" i="4"/>
  <c r="J202" i="4"/>
  <c r="H202" i="4"/>
  <c r="B31" i="5"/>
  <c r="B89" i="5"/>
  <c r="B151" i="5"/>
  <c r="B201" i="5"/>
  <c r="B261" i="5"/>
  <c r="B321" i="5"/>
  <c r="B373" i="5"/>
  <c r="B431" i="5"/>
  <c r="B493" i="5"/>
  <c r="B543" i="5"/>
  <c r="B621" i="5"/>
  <c r="B705" i="5"/>
  <c r="B791" i="5"/>
  <c r="B877" i="5"/>
  <c r="B961" i="5"/>
  <c r="B1047" i="5"/>
  <c r="B1133" i="5"/>
  <c r="B1217" i="5"/>
  <c r="B1303" i="5"/>
  <c r="B1389" i="5"/>
  <c r="B1473" i="5"/>
  <c r="B1605" i="5"/>
  <c r="D116" i="4"/>
  <c r="F202" i="4"/>
  <c r="B45" i="5"/>
  <c r="B95" i="5"/>
  <c r="B153" i="5"/>
  <c r="B215" i="5"/>
  <c r="B265" i="5"/>
  <c r="B325" i="5"/>
  <c r="B385" i="5"/>
  <c r="B437" i="5"/>
  <c r="B495" i="5"/>
  <c r="B557" i="5"/>
  <c r="B623" i="5"/>
  <c r="B709" i="5"/>
  <c r="B793" i="5"/>
  <c r="B879" i="5"/>
  <c r="B965" i="5"/>
  <c r="B1049" i="5"/>
  <c r="B1135" i="5"/>
  <c r="B1221" i="5"/>
  <c r="B1305" i="5"/>
  <c r="B1391" i="5"/>
  <c r="B1477" i="5"/>
  <c r="B1625" i="5"/>
  <c r="I88" i="4"/>
  <c r="B88" i="4"/>
  <c r="G88" i="4"/>
  <c r="E88" i="4"/>
  <c r="D88" i="4"/>
  <c r="C88" i="4"/>
  <c r="J88" i="4"/>
  <c r="H88" i="4"/>
  <c r="B47" i="5"/>
  <c r="B109" i="5"/>
  <c r="B159" i="5"/>
  <c r="B217" i="5"/>
  <c r="B279" i="5"/>
  <c r="B329" i="5"/>
  <c r="B389" i="5"/>
  <c r="B449" i="5"/>
  <c r="B501" i="5"/>
  <c r="B559" i="5"/>
  <c r="B641" i="5"/>
  <c r="B727" i="5"/>
  <c r="B813" i="5"/>
  <c r="B897" i="5"/>
  <c r="B983" i="5"/>
  <c r="B1069" i="5"/>
  <c r="B1153" i="5"/>
  <c r="B1239" i="5"/>
  <c r="B1325" i="5"/>
  <c r="B1409" i="5"/>
  <c r="B1495" i="5"/>
  <c r="B1704" i="5"/>
  <c r="B1696" i="5"/>
  <c r="B1688" i="5"/>
  <c r="B1680" i="5"/>
  <c r="B1672" i="5"/>
  <c r="B1664" i="5"/>
  <c r="B1656" i="5"/>
  <c r="B1648" i="5"/>
  <c r="B1640" i="5"/>
  <c r="B1632" i="5"/>
  <c r="B1624" i="5"/>
  <c r="B1616" i="5"/>
  <c r="B1608" i="5"/>
  <c r="B1600" i="5"/>
  <c r="B1592" i="5"/>
  <c r="B1584" i="5"/>
  <c r="B1576" i="5"/>
  <c r="B1568" i="5"/>
  <c r="B1560" i="5"/>
  <c r="B1552" i="5"/>
  <c r="B1544" i="5"/>
  <c r="B1536" i="5"/>
  <c r="B1528" i="5"/>
  <c r="B1520" i="5"/>
  <c r="B1512" i="5"/>
  <c r="B1504" i="5"/>
  <c r="B1496" i="5"/>
  <c r="B1488" i="5"/>
  <c r="B1480" i="5"/>
  <c r="B1472" i="5"/>
  <c r="B1464" i="5"/>
  <c r="B1456" i="5"/>
  <c r="B1448" i="5"/>
  <c r="B1440" i="5"/>
  <c r="B1432" i="5"/>
  <c r="B1424" i="5"/>
  <c r="B1416" i="5"/>
  <c r="B1408" i="5"/>
  <c r="B1400" i="5"/>
  <c r="B1392" i="5"/>
  <c r="B1384" i="5"/>
  <c r="B1376" i="5"/>
  <c r="B1368" i="5"/>
  <c r="B1360" i="5"/>
  <c r="B1352" i="5"/>
  <c r="B1344" i="5"/>
  <c r="B1336" i="5"/>
  <c r="B1328" i="5"/>
  <c r="B1320" i="5"/>
  <c r="B1312" i="5"/>
  <c r="B1304" i="5"/>
  <c r="B1296" i="5"/>
  <c r="B1288" i="5"/>
  <c r="B1280" i="5"/>
  <c r="B1272" i="5"/>
  <c r="B1264" i="5"/>
  <c r="B1256" i="5"/>
  <c r="B1248" i="5"/>
  <c r="B1240" i="5"/>
  <c r="B1232" i="5"/>
  <c r="B1224" i="5"/>
  <c r="B1216" i="5"/>
  <c r="B1208" i="5"/>
  <c r="B1200" i="5"/>
  <c r="B1192" i="5"/>
  <c r="B1184" i="5"/>
  <c r="B1176" i="5"/>
  <c r="B1168" i="5"/>
  <c r="B1160" i="5"/>
  <c r="B1152" i="5"/>
  <c r="B1144" i="5"/>
  <c r="B1136" i="5"/>
  <c r="B1128" i="5"/>
  <c r="B1120" i="5"/>
  <c r="B1112" i="5"/>
  <c r="B1104" i="5"/>
  <c r="B1096" i="5"/>
  <c r="B1088" i="5"/>
  <c r="B1080" i="5"/>
  <c r="B1072" i="5"/>
  <c r="B1064" i="5"/>
  <c r="B1056" i="5"/>
  <c r="B1048" i="5"/>
  <c r="B1040" i="5"/>
  <c r="B1032" i="5"/>
  <c r="B1024" i="5"/>
  <c r="B1016" i="5"/>
  <c r="B1008" i="5"/>
  <c r="B1000" i="5"/>
  <c r="B992" i="5"/>
  <c r="B984" i="5"/>
  <c r="B976" i="5"/>
  <c r="B968" i="5"/>
  <c r="B960" i="5"/>
  <c r="B952" i="5"/>
  <c r="B944" i="5"/>
  <c r="B936" i="5"/>
  <c r="B928" i="5"/>
  <c r="B920" i="5"/>
  <c r="B912" i="5"/>
  <c r="B904" i="5"/>
  <c r="B896" i="5"/>
  <c r="B888" i="5"/>
  <c r="B880" i="5"/>
  <c r="B872" i="5"/>
  <c r="B864" i="5"/>
  <c r="B856" i="5"/>
  <c r="B848" i="5"/>
  <c r="B840" i="5"/>
  <c r="B832" i="5"/>
  <c r="B824" i="5"/>
  <c r="B816" i="5"/>
  <c r="B808" i="5"/>
  <c r="B800" i="5"/>
  <c r="B792" i="5"/>
  <c r="B784" i="5"/>
  <c r="B776" i="5"/>
  <c r="B768" i="5"/>
  <c r="B760" i="5"/>
  <c r="B752" i="5"/>
  <c r="B744" i="5"/>
  <c r="B736" i="5"/>
  <c r="B728" i="5"/>
  <c r="B720" i="5"/>
  <c r="B712" i="5"/>
  <c r="B704" i="5"/>
  <c r="B696" i="5"/>
  <c r="B688" i="5"/>
  <c r="B680" i="5"/>
  <c r="B672" i="5"/>
  <c r="B664" i="5"/>
  <c r="B656" i="5"/>
  <c r="B648" i="5"/>
  <c r="B640" i="5"/>
  <c r="B632" i="5"/>
  <c r="B624" i="5"/>
  <c r="B616" i="5"/>
  <c r="B608" i="5"/>
  <c r="B600" i="5"/>
  <c r="B592" i="5"/>
  <c r="B584" i="5"/>
  <c r="B576" i="5"/>
  <c r="B568" i="5"/>
  <c r="B560" i="5"/>
  <c r="B552" i="5"/>
  <c r="B544" i="5"/>
  <c r="B536" i="5"/>
  <c r="B528" i="5"/>
  <c r="B520" i="5"/>
  <c r="B512" i="5"/>
  <c r="B504" i="5"/>
  <c r="B496" i="5"/>
  <c r="B488" i="5"/>
  <c r="B480" i="5"/>
  <c r="B472" i="5"/>
  <c r="B464" i="5"/>
  <c r="B456" i="5"/>
  <c r="B448" i="5"/>
  <c r="B440" i="5"/>
  <c r="B432" i="5"/>
  <c r="B424" i="5"/>
  <c r="B416" i="5"/>
  <c r="B408" i="5"/>
  <c r="B400" i="5"/>
  <c r="B392" i="5"/>
  <c r="B384" i="5"/>
  <c r="B376" i="5"/>
  <c r="B368" i="5"/>
  <c r="B360" i="5"/>
  <c r="B352" i="5"/>
  <c r="B344" i="5"/>
  <c r="B336" i="5"/>
  <c r="B328" i="5"/>
  <c r="B320" i="5"/>
  <c r="B312" i="5"/>
  <c r="B304" i="5"/>
  <c r="B296" i="5"/>
  <c r="B288" i="5"/>
  <c r="B280" i="5"/>
  <c r="B272" i="5"/>
  <c r="B264" i="5"/>
  <c r="B256" i="5"/>
  <c r="B248" i="5"/>
  <c r="B240" i="5"/>
  <c r="B232" i="5"/>
  <c r="B224" i="5"/>
  <c r="B216" i="5"/>
  <c r="B208" i="5"/>
  <c r="B200" i="5"/>
  <c r="B192" i="5"/>
  <c r="B184" i="5"/>
  <c r="B176" i="5"/>
  <c r="B168" i="5"/>
  <c r="B160" i="5"/>
  <c r="B152" i="5"/>
  <c r="B144" i="5"/>
  <c r="B136" i="5"/>
  <c r="B128" i="5"/>
  <c r="B120" i="5"/>
  <c r="B112" i="5"/>
  <c r="B104" i="5"/>
  <c r="B96" i="5"/>
  <c r="B88" i="5"/>
  <c r="B80" i="5"/>
  <c r="B72" i="5"/>
  <c r="B64" i="5"/>
  <c r="B56" i="5"/>
  <c r="B48" i="5"/>
  <c r="B40" i="5"/>
  <c r="B32" i="5"/>
  <c r="B24" i="5"/>
  <c r="B16" i="5"/>
  <c r="B8" i="5"/>
  <c r="B1" i="5"/>
  <c r="B1702" i="5"/>
  <c r="B1694" i="5"/>
  <c r="B1686" i="5"/>
  <c r="B1678" i="5"/>
  <c r="B1670" i="5"/>
  <c r="B1662" i="5"/>
  <c r="B1654" i="5"/>
  <c r="B1646" i="5"/>
  <c r="B1638" i="5"/>
  <c r="B1630" i="5"/>
  <c r="B1622" i="5"/>
  <c r="B1614" i="5"/>
  <c r="B1606" i="5"/>
  <c r="B1598" i="5"/>
  <c r="B1590" i="5"/>
  <c r="B1582" i="5"/>
  <c r="B1574" i="5"/>
  <c r="B1566" i="5"/>
  <c r="B1558" i="5"/>
  <c r="B1550" i="5"/>
  <c r="B1542" i="5"/>
  <c r="B1534" i="5"/>
  <c r="B1526" i="5"/>
  <c r="B1518" i="5"/>
  <c r="B1510" i="5"/>
  <c r="B1502" i="5"/>
  <c r="B1494" i="5"/>
  <c r="B1486" i="5"/>
  <c r="B1478" i="5"/>
  <c r="B1470" i="5"/>
  <c r="B1462" i="5"/>
  <c r="B1454" i="5"/>
  <c r="B1446" i="5"/>
  <c r="B1438" i="5"/>
  <c r="B1430" i="5"/>
  <c r="B1422" i="5"/>
  <c r="B1414" i="5"/>
  <c r="B1406" i="5"/>
  <c r="B1398" i="5"/>
  <c r="B1390" i="5"/>
  <c r="B1382" i="5"/>
  <c r="B1374" i="5"/>
  <c r="B1366" i="5"/>
  <c r="B1358" i="5"/>
  <c r="B1350" i="5"/>
  <c r="B1342" i="5"/>
  <c r="B1334" i="5"/>
  <c r="B1326" i="5"/>
  <c r="B1318" i="5"/>
  <c r="B1310" i="5"/>
  <c r="B1302" i="5"/>
  <c r="B1294" i="5"/>
  <c r="B1286" i="5"/>
  <c r="B1278" i="5"/>
  <c r="B1270" i="5"/>
  <c r="B1262" i="5"/>
  <c r="B1254" i="5"/>
  <c r="B1246" i="5"/>
  <c r="B1238" i="5"/>
  <c r="B1230" i="5"/>
  <c r="B1222" i="5"/>
  <c r="B1214" i="5"/>
  <c r="B1206" i="5"/>
  <c r="B1198" i="5"/>
  <c r="B1190" i="5"/>
  <c r="B1182" i="5"/>
  <c r="B1174" i="5"/>
  <c r="B1166" i="5"/>
  <c r="B1158" i="5"/>
  <c r="B1150" i="5"/>
  <c r="B1142" i="5"/>
  <c r="B1134" i="5"/>
  <c r="B1126" i="5"/>
  <c r="B1118" i="5"/>
  <c r="B1110" i="5"/>
  <c r="B1102" i="5"/>
  <c r="B1094" i="5"/>
  <c r="B1086" i="5"/>
  <c r="B1078" i="5"/>
  <c r="B1070" i="5"/>
  <c r="B1062" i="5"/>
  <c r="B1054" i="5"/>
  <c r="B1046" i="5"/>
  <c r="B1038" i="5"/>
  <c r="B1030" i="5"/>
  <c r="B1022" i="5"/>
  <c r="B1014" i="5"/>
  <c r="B1006" i="5"/>
  <c r="B998" i="5"/>
  <c r="B990" i="5"/>
  <c r="B982" i="5"/>
  <c r="B974" i="5"/>
  <c r="B966" i="5"/>
  <c r="B958" i="5"/>
  <c r="B950" i="5"/>
  <c r="B942" i="5"/>
  <c r="B934" i="5"/>
  <c r="B926" i="5"/>
  <c r="B918" i="5"/>
  <c r="B910" i="5"/>
  <c r="B902" i="5"/>
  <c r="B894" i="5"/>
  <c r="B886" i="5"/>
  <c r="B878" i="5"/>
  <c r="B870" i="5"/>
  <c r="B862" i="5"/>
  <c r="B854" i="5"/>
  <c r="B846" i="5"/>
  <c r="B838" i="5"/>
  <c r="B830" i="5"/>
  <c r="B822" i="5"/>
  <c r="B814" i="5"/>
  <c r="B806" i="5"/>
  <c r="B798" i="5"/>
  <c r="B790" i="5"/>
  <c r="B782" i="5"/>
  <c r="B774" i="5"/>
  <c r="B766" i="5"/>
  <c r="B758" i="5"/>
  <c r="B750" i="5"/>
  <c r="B742" i="5"/>
  <c r="B734" i="5"/>
  <c r="B726" i="5"/>
  <c r="B718" i="5"/>
  <c r="B710" i="5"/>
  <c r="B702" i="5"/>
  <c r="B694" i="5"/>
  <c r="B686" i="5"/>
  <c r="B678" i="5"/>
  <c r="B670" i="5"/>
  <c r="B662" i="5"/>
  <c r="B654" i="5"/>
  <c r="B646" i="5"/>
  <c r="B638" i="5"/>
  <c r="B630" i="5"/>
  <c r="B622" i="5"/>
  <c r="B614" i="5"/>
  <c r="B606" i="5"/>
  <c r="B598" i="5"/>
  <c r="B590" i="5"/>
  <c r="B582" i="5"/>
  <c r="B574" i="5"/>
  <c r="B566" i="5"/>
  <c r="B558" i="5"/>
  <c r="B550" i="5"/>
  <c r="B542" i="5"/>
  <c r="B534" i="5"/>
  <c r="B526" i="5"/>
  <c r="B518" i="5"/>
  <c r="B510" i="5"/>
  <c r="B502" i="5"/>
  <c r="B494" i="5"/>
  <c r="B486" i="5"/>
  <c r="B478" i="5"/>
  <c r="B470" i="5"/>
  <c r="B462" i="5"/>
  <c r="B454" i="5"/>
  <c r="B446" i="5"/>
  <c r="B438" i="5"/>
  <c r="B430" i="5"/>
  <c r="B422" i="5"/>
  <c r="B414" i="5"/>
  <c r="B406" i="5"/>
  <c r="B398" i="5"/>
  <c r="B390" i="5"/>
  <c r="B382" i="5"/>
  <c r="B374" i="5"/>
  <c r="B366" i="5"/>
  <c r="B358" i="5"/>
  <c r="B350" i="5"/>
  <c r="B342" i="5"/>
  <c r="B334" i="5"/>
  <c r="B326" i="5"/>
  <c r="B318" i="5"/>
  <c r="B310" i="5"/>
  <c r="B302" i="5"/>
  <c r="B294" i="5"/>
  <c r="B286" i="5"/>
  <c r="B278" i="5"/>
  <c r="B270" i="5"/>
  <c r="B262" i="5"/>
  <c r="B254" i="5"/>
  <c r="B246" i="5"/>
  <c r="B238" i="5"/>
  <c r="B230" i="5"/>
  <c r="B222" i="5"/>
  <c r="B214" i="5"/>
  <c r="B206" i="5"/>
  <c r="B198" i="5"/>
  <c r="B190" i="5"/>
  <c r="B182" i="5"/>
  <c r="B174" i="5"/>
  <c r="B166" i="5"/>
  <c r="B158" i="5"/>
  <c r="B150" i="5"/>
  <c r="B142" i="5"/>
  <c r="B134" i="5"/>
  <c r="B126" i="5"/>
  <c r="B118" i="5"/>
  <c r="B110" i="5"/>
  <c r="B102" i="5"/>
  <c r="B94" i="5"/>
  <c r="B86" i="5"/>
  <c r="B78" i="5"/>
  <c r="B70" i="5"/>
  <c r="B62" i="5"/>
  <c r="B54" i="5"/>
  <c r="B46" i="5"/>
  <c r="B38" i="5"/>
  <c r="B30" i="5"/>
  <c r="B22" i="5"/>
  <c r="B14" i="5"/>
  <c r="B6" i="5"/>
  <c r="B1700" i="5"/>
  <c r="B1692" i="5"/>
  <c r="B1684" i="5"/>
  <c r="B1676" i="5"/>
  <c r="B1668" i="5"/>
  <c r="B1660" i="5"/>
  <c r="B1652" i="5"/>
  <c r="B1644" i="5"/>
  <c r="B1636" i="5"/>
  <c r="B1628" i="5"/>
  <c r="B1620" i="5"/>
  <c r="B1612" i="5"/>
  <c r="B1604" i="5"/>
  <c r="B1596" i="5"/>
  <c r="B1588" i="5"/>
  <c r="B1580" i="5"/>
  <c r="B1572" i="5"/>
  <c r="B1564" i="5"/>
  <c r="B1556" i="5"/>
  <c r="B1548" i="5"/>
  <c r="B1540" i="5"/>
  <c r="B1532" i="5"/>
  <c r="B1524" i="5"/>
  <c r="B1516" i="5"/>
  <c r="B1508" i="5"/>
  <c r="B1500" i="5"/>
  <c r="B1492" i="5"/>
  <c r="B1484" i="5"/>
  <c r="B1476" i="5"/>
  <c r="B1468" i="5"/>
  <c r="B1460" i="5"/>
  <c r="B1452" i="5"/>
  <c r="B1444" i="5"/>
  <c r="B1436" i="5"/>
  <c r="B1428" i="5"/>
  <c r="B1420" i="5"/>
  <c r="B1412" i="5"/>
  <c r="B1404" i="5"/>
  <c r="B1396" i="5"/>
  <c r="B1388" i="5"/>
  <c r="B1380" i="5"/>
  <c r="B1372" i="5"/>
  <c r="B1364" i="5"/>
  <c r="B1356" i="5"/>
  <c r="B1348" i="5"/>
  <c r="B1340" i="5"/>
  <c r="B1332" i="5"/>
  <c r="B1324" i="5"/>
  <c r="B1316" i="5"/>
  <c r="B1308" i="5"/>
  <c r="B1300" i="5"/>
  <c r="B1292" i="5"/>
  <c r="B1284" i="5"/>
  <c r="B1276" i="5"/>
  <c r="B1268" i="5"/>
  <c r="B1260" i="5"/>
  <c r="B1252" i="5"/>
  <c r="B1244" i="5"/>
  <c r="B1236" i="5"/>
  <c r="B1228" i="5"/>
  <c r="B1220" i="5"/>
  <c r="B1212" i="5"/>
  <c r="B1204" i="5"/>
  <c r="B1196" i="5"/>
  <c r="B1188" i="5"/>
  <c r="B1180" i="5"/>
  <c r="B1172" i="5"/>
  <c r="B1164" i="5"/>
  <c r="B1156" i="5"/>
  <c r="B1148" i="5"/>
  <c r="B1140" i="5"/>
  <c r="B1132" i="5"/>
  <c r="B1124" i="5"/>
  <c r="B1116" i="5"/>
  <c r="B1108" i="5"/>
  <c r="B1100" i="5"/>
  <c r="B1092" i="5"/>
  <c r="B1084" i="5"/>
  <c r="B1076" i="5"/>
  <c r="B1068" i="5"/>
  <c r="B1060" i="5"/>
  <c r="B1052" i="5"/>
  <c r="B1044" i="5"/>
  <c r="B1036" i="5"/>
  <c r="B1028" i="5"/>
  <c r="B1020" i="5"/>
  <c r="B1012" i="5"/>
  <c r="B1004" i="5"/>
  <c r="B996" i="5"/>
  <c r="B988" i="5"/>
  <c r="B980" i="5"/>
  <c r="B972" i="5"/>
  <c r="B964" i="5"/>
  <c r="B956" i="5"/>
  <c r="B948" i="5"/>
  <c r="B940" i="5"/>
  <c r="B932" i="5"/>
  <c r="B924" i="5"/>
  <c r="B916" i="5"/>
  <c r="B908" i="5"/>
  <c r="B900" i="5"/>
  <c r="B892" i="5"/>
  <c r="B884" i="5"/>
  <c r="B876" i="5"/>
  <c r="B868" i="5"/>
  <c r="B860" i="5"/>
  <c r="B852" i="5"/>
  <c r="B844" i="5"/>
  <c r="B836" i="5"/>
  <c r="B828" i="5"/>
  <c r="B820" i="5"/>
  <c r="B812" i="5"/>
  <c r="B804" i="5"/>
  <c r="B796" i="5"/>
  <c r="B788" i="5"/>
  <c r="B780" i="5"/>
  <c r="B772" i="5"/>
  <c r="B764" i="5"/>
  <c r="B756" i="5"/>
  <c r="B748" i="5"/>
  <c r="B740" i="5"/>
  <c r="B732" i="5"/>
  <c r="B724" i="5"/>
  <c r="B716" i="5"/>
  <c r="B708" i="5"/>
  <c r="B700" i="5"/>
  <c r="B692" i="5"/>
  <c r="B684" i="5"/>
  <c r="B676" i="5"/>
  <c r="B668" i="5"/>
  <c r="B660" i="5"/>
  <c r="B652" i="5"/>
  <c r="B644" i="5"/>
  <c r="B636" i="5"/>
  <c r="B628" i="5"/>
  <c r="B620" i="5"/>
  <c r="B612" i="5"/>
  <c r="B604" i="5"/>
  <c r="B596" i="5"/>
  <c r="B588" i="5"/>
  <c r="B580" i="5"/>
  <c r="B572" i="5"/>
  <c r="B564" i="5"/>
  <c r="B556" i="5"/>
  <c r="B548" i="5"/>
  <c r="B540" i="5"/>
  <c r="B532" i="5"/>
  <c r="B524" i="5"/>
  <c r="B516" i="5"/>
  <c r="B508" i="5"/>
  <c r="B500" i="5"/>
  <c r="B492" i="5"/>
  <c r="B484" i="5"/>
  <c r="B476" i="5"/>
  <c r="B468" i="5"/>
  <c r="B460" i="5"/>
  <c r="B452" i="5"/>
  <c r="B444" i="5"/>
  <c r="B436" i="5"/>
  <c r="B428" i="5"/>
  <c r="B420" i="5"/>
  <c r="B412" i="5"/>
  <c r="B404" i="5"/>
  <c r="B396" i="5"/>
  <c r="B388" i="5"/>
  <c r="B380" i="5"/>
  <c r="B372" i="5"/>
  <c r="B364" i="5"/>
  <c r="B356" i="5"/>
  <c r="B348" i="5"/>
  <c r="B340" i="5"/>
  <c r="B332" i="5"/>
  <c r="B324" i="5"/>
  <c r="B316" i="5"/>
  <c r="B308" i="5"/>
  <c r="B300" i="5"/>
  <c r="B292" i="5"/>
  <c r="B284" i="5"/>
  <c r="B276" i="5"/>
  <c r="B268" i="5"/>
  <c r="B260" i="5"/>
  <c r="B252" i="5"/>
  <c r="B244" i="5"/>
  <c r="B236" i="5"/>
  <c r="B228" i="5"/>
  <c r="B220" i="5"/>
  <c r="B212" i="5"/>
  <c r="B204" i="5"/>
  <c r="B196" i="5"/>
  <c r="B188" i="5"/>
  <c r="B180" i="5"/>
  <c r="B172" i="5"/>
  <c r="B164" i="5"/>
  <c r="B156" i="5"/>
  <c r="B148" i="5"/>
  <c r="B140" i="5"/>
  <c r="B132" i="5"/>
  <c r="B124" i="5"/>
  <c r="B116" i="5"/>
  <c r="B108" i="5"/>
  <c r="B100" i="5"/>
  <c r="B92" i="5"/>
  <c r="B84" i="5"/>
  <c r="B76" i="5"/>
  <c r="B68" i="5"/>
  <c r="B60" i="5"/>
  <c r="B52" i="5"/>
  <c r="B44" i="5"/>
  <c r="B36" i="5"/>
  <c r="B28" i="5"/>
  <c r="B20" i="5"/>
  <c r="B12" i="5"/>
  <c r="B4" i="5"/>
  <c r="B1699" i="5"/>
  <c r="B1691" i="5"/>
  <c r="B1683" i="5"/>
  <c r="B1675" i="5"/>
  <c r="B1667" i="5"/>
  <c r="B1659" i="5"/>
  <c r="B1651" i="5"/>
  <c r="B1643" i="5"/>
  <c r="B1635" i="5"/>
  <c r="B1627" i="5"/>
  <c r="B1619" i="5"/>
  <c r="B1611" i="5"/>
  <c r="B1603" i="5"/>
  <c r="B1595" i="5"/>
  <c r="B1587" i="5"/>
  <c r="B1579" i="5"/>
  <c r="B1571" i="5"/>
  <c r="B1563" i="5"/>
  <c r="B1555" i="5"/>
  <c r="B1547" i="5"/>
  <c r="B1539" i="5"/>
  <c r="B1531" i="5"/>
  <c r="B1523" i="5"/>
  <c r="B1515" i="5"/>
  <c r="B1507" i="5"/>
  <c r="B1499" i="5"/>
  <c r="B1491" i="5"/>
  <c r="B1483" i="5"/>
  <c r="B1475" i="5"/>
  <c r="B1467" i="5"/>
  <c r="B1459" i="5"/>
  <c r="B1451" i="5"/>
  <c r="B1443" i="5"/>
  <c r="B1435" i="5"/>
  <c r="B1427" i="5"/>
  <c r="B1419" i="5"/>
  <c r="B1411" i="5"/>
  <c r="B1403" i="5"/>
  <c r="B1395" i="5"/>
  <c r="B1387" i="5"/>
  <c r="B1379" i="5"/>
  <c r="B1371" i="5"/>
  <c r="B1363" i="5"/>
  <c r="B1355" i="5"/>
  <c r="B1347" i="5"/>
  <c r="B1339" i="5"/>
  <c r="B1331" i="5"/>
  <c r="B1323" i="5"/>
  <c r="B1315" i="5"/>
  <c r="B1307" i="5"/>
  <c r="B1299" i="5"/>
  <c r="B1291" i="5"/>
  <c r="B1283" i="5"/>
  <c r="B1275" i="5"/>
  <c r="B1267" i="5"/>
  <c r="B1259" i="5"/>
  <c r="B1251" i="5"/>
  <c r="B1243" i="5"/>
  <c r="B1235" i="5"/>
  <c r="B1227" i="5"/>
  <c r="B1219" i="5"/>
  <c r="B1211" i="5"/>
  <c r="B1203" i="5"/>
  <c r="B1195" i="5"/>
  <c r="B1187" i="5"/>
  <c r="B1179" i="5"/>
  <c r="B1171" i="5"/>
  <c r="B1163" i="5"/>
  <c r="B1155" i="5"/>
  <c r="B1147" i="5"/>
  <c r="B1139" i="5"/>
  <c r="B1131" i="5"/>
  <c r="B1123" i="5"/>
  <c r="B1115" i="5"/>
  <c r="B1107" i="5"/>
  <c r="B1099" i="5"/>
  <c r="B1091" i="5"/>
  <c r="B1083" i="5"/>
  <c r="B1075" i="5"/>
  <c r="B1067" i="5"/>
  <c r="B1059" i="5"/>
  <c r="B1051" i="5"/>
  <c r="B1043" i="5"/>
  <c r="B1035" i="5"/>
  <c r="B1027" i="5"/>
  <c r="B1019" i="5"/>
  <c r="B1011" i="5"/>
  <c r="B1003" i="5"/>
  <c r="B995" i="5"/>
  <c r="B987" i="5"/>
  <c r="B979" i="5"/>
  <c r="B971" i="5"/>
  <c r="B963" i="5"/>
  <c r="B955" i="5"/>
  <c r="B947" i="5"/>
  <c r="B939" i="5"/>
  <c r="B931" i="5"/>
  <c r="B923" i="5"/>
  <c r="B915" i="5"/>
  <c r="B907" i="5"/>
  <c r="B899" i="5"/>
  <c r="B891" i="5"/>
  <c r="B883" i="5"/>
  <c r="B875" i="5"/>
  <c r="B867" i="5"/>
  <c r="B859" i="5"/>
  <c r="B851" i="5"/>
  <c r="B843" i="5"/>
  <c r="B835" i="5"/>
  <c r="B827" i="5"/>
  <c r="B819" i="5"/>
  <c r="B811" i="5"/>
  <c r="B803" i="5"/>
  <c r="B795" i="5"/>
  <c r="B787" i="5"/>
  <c r="B779" i="5"/>
  <c r="B771" i="5"/>
  <c r="B763" i="5"/>
  <c r="B755" i="5"/>
  <c r="B747" i="5"/>
  <c r="B739" i="5"/>
  <c r="B731" i="5"/>
  <c r="B723" i="5"/>
  <c r="B715" i="5"/>
  <c r="B707" i="5"/>
  <c r="B699" i="5"/>
  <c r="B691" i="5"/>
  <c r="B683" i="5"/>
  <c r="B675" i="5"/>
  <c r="B667" i="5"/>
  <c r="B659" i="5"/>
  <c r="B651" i="5"/>
  <c r="B643" i="5"/>
  <c r="B635" i="5"/>
  <c r="B627" i="5"/>
  <c r="B619" i="5"/>
  <c r="B611" i="5"/>
  <c r="B603" i="5"/>
  <c r="B595" i="5"/>
  <c r="B587" i="5"/>
  <c r="B579" i="5"/>
  <c r="B571" i="5"/>
  <c r="B563" i="5"/>
  <c r="B555" i="5"/>
  <c r="B547" i="5"/>
  <c r="B539" i="5"/>
  <c r="B531" i="5"/>
  <c r="B523" i="5"/>
  <c r="B515" i="5"/>
  <c r="B507" i="5"/>
  <c r="B499" i="5"/>
  <c r="B491" i="5"/>
  <c r="B483" i="5"/>
  <c r="B475" i="5"/>
  <c r="B467" i="5"/>
  <c r="B459" i="5"/>
  <c r="B451" i="5"/>
  <c r="B443" i="5"/>
  <c r="B435" i="5"/>
  <c r="B427" i="5"/>
  <c r="B419" i="5"/>
  <c r="B411" i="5"/>
  <c r="B403" i="5"/>
  <c r="B395" i="5"/>
  <c r="B387" i="5"/>
  <c r="B379" i="5"/>
  <c r="B371" i="5"/>
  <c r="B363" i="5"/>
  <c r="B355" i="5"/>
  <c r="B347" i="5"/>
  <c r="B339" i="5"/>
  <c r="B331" i="5"/>
  <c r="B323" i="5"/>
  <c r="B315" i="5"/>
  <c r="B307" i="5"/>
  <c r="B299" i="5"/>
  <c r="B291" i="5"/>
  <c r="B283" i="5"/>
  <c r="B275" i="5"/>
  <c r="B267" i="5"/>
  <c r="B259" i="5"/>
  <c r="B251" i="5"/>
  <c r="B243" i="5"/>
  <c r="B235" i="5"/>
  <c r="B227" i="5"/>
  <c r="B219" i="5"/>
  <c r="B211" i="5"/>
  <c r="B203" i="5"/>
  <c r="B195" i="5"/>
  <c r="B187" i="5"/>
  <c r="B179" i="5"/>
  <c r="B171" i="5"/>
  <c r="B163" i="5"/>
  <c r="B155" i="5"/>
  <c r="B147" i="5"/>
  <c r="B139" i="5"/>
  <c r="B131" i="5"/>
  <c r="B123" i="5"/>
  <c r="B115" i="5"/>
  <c r="B107" i="5"/>
  <c r="B99" i="5"/>
  <c r="B91" i="5"/>
  <c r="B83" i="5"/>
  <c r="B75" i="5"/>
  <c r="B67" i="5"/>
  <c r="B59" i="5"/>
  <c r="B51" i="5"/>
  <c r="B43" i="5"/>
  <c r="B35" i="5"/>
  <c r="B27" i="5"/>
  <c r="B19" i="5"/>
  <c r="B11" i="5"/>
  <c r="B3" i="5"/>
  <c r="B1698" i="5"/>
  <c r="B1690" i="5"/>
  <c r="B1682" i="5"/>
  <c r="B1674" i="5"/>
  <c r="B1666" i="5"/>
  <c r="B1658" i="5"/>
  <c r="B1650" i="5"/>
  <c r="B1642" i="5"/>
  <c r="B1634" i="5"/>
  <c r="B1626" i="5"/>
  <c r="B1618" i="5"/>
  <c r="B1610" i="5"/>
  <c r="B1602" i="5"/>
  <c r="B1594" i="5"/>
  <c r="B1586" i="5"/>
  <c r="B1578" i="5"/>
  <c r="B1570" i="5"/>
  <c r="B1562" i="5"/>
  <c r="B1554" i="5"/>
  <c r="B1546" i="5"/>
  <c r="B1538" i="5"/>
  <c r="B1530" i="5"/>
  <c r="B1522" i="5"/>
  <c r="B1514" i="5"/>
  <c r="B1506" i="5"/>
  <c r="B1498" i="5"/>
  <c r="B1490" i="5"/>
  <c r="B1482" i="5"/>
  <c r="B1474" i="5"/>
  <c r="B1466" i="5"/>
  <c r="B1458" i="5"/>
  <c r="B1450" i="5"/>
  <c r="B1442" i="5"/>
  <c r="B1434" i="5"/>
  <c r="B1426" i="5"/>
  <c r="B1418" i="5"/>
  <c r="B1410" i="5"/>
  <c r="B1402" i="5"/>
  <c r="B1394" i="5"/>
  <c r="B1386" i="5"/>
  <c r="B1378" i="5"/>
  <c r="B1370" i="5"/>
  <c r="B1362" i="5"/>
  <c r="B1354" i="5"/>
  <c r="B1346" i="5"/>
  <c r="B1338" i="5"/>
  <c r="B1330" i="5"/>
  <c r="B1322" i="5"/>
  <c r="B1314" i="5"/>
  <c r="B1306" i="5"/>
  <c r="B1298" i="5"/>
  <c r="B1290" i="5"/>
  <c r="B1282" i="5"/>
  <c r="B1274" i="5"/>
  <c r="B1266" i="5"/>
  <c r="B1258" i="5"/>
  <c r="B1250" i="5"/>
  <c r="B1242" i="5"/>
  <c r="B1234" i="5"/>
  <c r="B1226" i="5"/>
  <c r="B1218" i="5"/>
  <c r="B1210" i="5"/>
  <c r="B1202" i="5"/>
  <c r="B1194" i="5"/>
  <c r="B1186" i="5"/>
  <c r="B1178" i="5"/>
  <c r="B1170" i="5"/>
  <c r="B1162" i="5"/>
  <c r="B1154" i="5"/>
  <c r="B1146" i="5"/>
  <c r="B1138" i="5"/>
  <c r="B1130" i="5"/>
  <c r="B1122" i="5"/>
  <c r="B1114" i="5"/>
  <c r="B1106" i="5"/>
  <c r="B1098" i="5"/>
  <c r="B1090" i="5"/>
  <c r="B1082" i="5"/>
  <c r="B1074" i="5"/>
  <c r="B1066" i="5"/>
  <c r="B1058" i="5"/>
  <c r="B1050" i="5"/>
  <c r="B1042" i="5"/>
  <c r="B1034" i="5"/>
  <c r="B1026" i="5"/>
  <c r="B1018" i="5"/>
  <c r="B1010" i="5"/>
  <c r="B1002" i="5"/>
  <c r="B994" i="5"/>
  <c r="B986" i="5"/>
  <c r="B978" i="5"/>
  <c r="B970" i="5"/>
  <c r="B962" i="5"/>
  <c r="B954" i="5"/>
  <c r="B946" i="5"/>
  <c r="B938" i="5"/>
  <c r="B930" i="5"/>
  <c r="B922" i="5"/>
  <c r="B914" i="5"/>
  <c r="B906" i="5"/>
  <c r="B898" i="5"/>
  <c r="B890" i="5"/>
  <c r="B882" i="5"/>
  <c r="B874" i="5"/>
  <c r="B866" i="5"/>
  <c r="B858" i="5"/>
  <c r="B850" i="5"/>
  <c r="B842" i="5"/>
  <c r="B834" i="5"/>
  <c r="B826" i="5"/>
  <c r="B818" i="5"/>
  <c r="B810" i="5"/>
  <c r="B802" i="5"/>
  <c r="B794" i="5"/>
  <c r="B786" i="5"/>
  <c r="B778" i="5"/>
  <c r="B770" i="5"/>
  <c r="B762" i="5"/>
  <c r="B754" i="5"/>
  <c r="B746" i="5"/>
  <c r="B738" i="5"/>
  <c r="B730" i="5"/>
  <c r="B722" i="5"/>
  <c r="B714" i="5"/>
  <c r="B706" i="5"/>
  <c r="B698" i="5"/>
  <c r="B690" i="5"/>
  <c r="B682" i="5"/>
  <c r="B674" i="5"/>
  <c r="B666" i="5"/>
  <c r="B658" i="5"/>
  <c r="B650" i="5"/>
  <c r="B642" i="5"/>
  <c r="B634" i="5"/>
  <c r="B626" i="5"/>
  <c r="B618" i="5"/>
  <c r="B610" i="5"/>
  <c r="B602" i="5"/>
  <c r="B594" i="5"/>
  <c r="B586" i="5"/>
  <c r="B578" i="5"/>
  <c r="B570" i="5"/>
  <c r="B562" i="5"/>
  <c r="B554" i="5"/>
  <c r="B546" i="5"/>
  <c r="B538" i="5"/>
  <c r="B530" i="5"/>
  <c r="B522" i="5"/>
  <c r="B514" i="5"/>
  <c r="B506" i="5"/>
  <c r="B498" i="5"/>
  <c r="B490" i="5"/>
  <c r="B482" i="5"/>
  <c r="B474" i="5"/>
  <c r="B466" i="5"/>
  <c r="B458" i="5"/>
  <c r="B450" i="5"/>
  <c r="B442" i="5"/>
  <c r="B434" i="5"/>
  <c r="B426" i="5"/>
  <c r="B418" i="5"/>
  <c r="B410" i="5"/>
  <c r="B402" i="5"/>
  <c r="B394" i="5"/>
  <c r="B386" i="5"/>
  <c r="B378" i="5"/>
  <c r="B370" i="5"/>
  <c r="B362" i="5"/>
  <c r="B354" i="5"/>
  <c r="B346" i="5"/>
  <c r="B338" i="5"/>
  <c r="B330" i="5"/>
  <c r="B322" i="5"/>
  <c r="B314" i="5"/>
  <c r="B306" i="5"/>
  <c r="B298" i="5"/>
  <c r="B290" i="5"/>
  <c r="B282" i="5"/>
  <c r="B274" i="5"/>
  <c r="B266" i="5"/>
  <c r="B258" i="5"/>
  <c r="B250" i="5"/>
  <c r="B242" i="5"/>
  <c r="B234" i="5"/>
  <c r="B226" i="5"/>
  <c r="B218" i="5"/>
  <c r="B210" i="5"/>
  <c r="B202" i="5"/>
  <c r="B194" i="5"/>
  <c r="B186" i="5"/>
  <c r="B178" i="5"/>
  <c r="B170" i="5"/>
  <c r="B162" i="5"/>
  <c r="B154" i="5"/>
  <c r="B146" i="5"/>
  <c r="B138" i="5"/>
  <c r="B130" i="5"/>
  <c r="B122" i="5"/>
  <c r="B114" i="5"/>
  <c r="B106" i="5"/>
  <c r="B98" i="5"/>
  <c r="B90" i="5"/>
  <c r="B82" i="5"/>
  <c r="B74" i="5"/>
  <c r="B66" i="5"/>
  <c r="B58" i="5"/>
  <c r="B50" i="5"/>
  <c r="B42" i="5"/>
  <c r="B34" i="5"/>
  <c r="B26" i="5"/>
  <c r="B18" i="5"/>
  <c r="B10" i="5"/>
  <c r="B2" i="5"/>
  <c r="B1705" i="5"/>
  <c r="B1685" i="5"/>
  <c r="B1663" i="5"/>
  <c r="B1641" i="5"/>
  <c r="B1621" i="5"/>
  <c r="B1599" i="5"/>
  <c r="B1577" i="5"/>
  <c r="B1557" i="5"/>
  <c r="B1535" i="5"/>
  <c r="B1513" i="5"/>
  <c r="B1493" i="5"/>
  <c r="B1471" i="5"/>
  <c r="B1449" i="5"/>
  <c r="B1429" i="5"/>
  <c r="B1407" i="5"/>
  <c r="B1385" i="5"/>
  <c r="B1365" i="5"/>
  <c r="B1343" i="5"/>
  <c r="B1321" i="5"/>
  <c r="B1301" i="5"/>
  <c r="B1279" i="5"/>
  <c r="B1257" i="5"/>
  <c r="B1237" i="5"/>
  <c r="B1215" i="5"/>
  <c r="B1193" i="5"/>
  <c r="B1173" i="5"/>
  <c r="B1151" i="5"/>
  <c r="B1129" i="5"/>
  <c r="B1109" i="5"/>
  <c r="B1087" i="5"/>
  <c r="B1065" i="5"/>
  <c r="B1045" i="5"/>
  <c r="B1023" i="5"/>
  <c r="B1001" i="5"/>
  <c r="B981" i="5"/>
  <c r="B959" i="5"/>
  <c r="B937" i="5"/>
  <c r="B917" i="5"/>
  <c r="B895" i="5"/>
  <c r="B873" i="5"/>
  <c r="B853" i="5"/>
  <c r="B831" i="5"/>
  <c r="B809" i="5"/>
  <c r="B789" i="5"/>
  <c r="B767" i="5"/>
  <c r="B745" i="5"/>
  <c r="B725" i="5"/>
  <c r="B703" i="5"/>
  <c r="B681" i="5"/>
  <c r="B661" i="5"/>
  <c r="B639" i="5"/>
  <c r="B617" i="5"/>
  <c r="B597" i="5"/>
  <c r="B575" i="5"/>
  <c r="B553" i="5"/>
  <c r="B533" i="5"/>
  <c r="B511" i="5"/>
  <c r="B489" i="5"/>
  <c r="B469" i="5"/>
  <c r="B447" i="5"/>
  <c r="B425" i="5"/>
  <c r="B405" i="5"/>
  <c r="B383" i="5"/>
  <c r="B361" i="5"/>
  <c r="B341" i="5"/>
  <c r="B319" i="5"/>
  <c r="B297" i="5"/>
  <c r="B277" i="5"/>
  <c r="B255" i="5"/>
  <c r="B233" i="5"/>
  <c r="B213" i="5"/>
  <c r="B191" i="5"/>
  <c r="B169" i="5"/>
  <c r="B149" i="5"/>
  <c r="B127" i="5"/>
  <c r="B105" i="5"/>
  <c r="B85" i="5"/>
  <c r="B63" i="5"/>
  <c r="B41" i="5"/>
  <c r="B21" i="5"/>
  <c r="B1703" i="5"/>
  <c r="B1681" i="5"/>
  <c r="B1661" i="5"/>
  <c r="B1639" i="5"/>
  <c r="B1617" i="5"/>
  <c r="B1597" i="5"/>
  <c r="B1575" i="5"/>
  <c r="B1553" i="5"/>
  <c r="B1533" i="5"/>
  <c r="B1511" i="5"/>
  <c r="B1489" i="5"/>
  <c r="B1469" i="5"/>
  <c r="B1447" i="5"/>
  <c r="B1425" i="5"/>
  <c r="B1405" i="5"/>
  <c r="B1383" i="5"/>
  <c r="B1361" i="5"/>
  <c r="B1341" i="5"/>
  <c r="B1319" i="5"/>
  <c r="B1297" i="5"/>
  <c r="B1277" i="5"/>
  <c r="B1255" i="5"/>
  <c r="B1233" i="5"/>
  <c r="B1213" i="5"/>
  <c r="B1191" i="5"/>
  <c r="B1169" i="5"/>
  <c r="B1149" i="5"/>
  <c r="B1127" i="5"/>
  <c r="B1105" i="5"/>
  <c r="B1085" i="5"/>
  <c r="B1063" i="5"/>
  <c r="B1041" i="5"/>
  <c r="B1021" i="5"/>
  <c r="B999" i="5"/>
  <c r="B977" i="5"/>
  <c r="B957" i="5"/>
  <c r="B935" i="5"/>
  <c r="B913" i="5"/>
  <c r="B893" i="5"/>
  <c r="B871" i="5"/>
  <c r="B849" i="5"/>
  <c r="B829" i="5"/>
  <c r="B807" i="5"/>
  <c r="B785" i="5"/>
  <c r="B765" i="5"/>
  <c r="B743" i="5"/>
  <c r="B721" i="5"/>
  <c r="B701" i="5"/>
  <c r="B679" i="5"/>
  <c r="B657" i="5"/>
  <c r="B637" i="5"/>
  <c r="B615" i="5"/>
  <c r="B593" i="5"/>
  <c r="B573" i="5"/>
  <c r="B551" i="5"/>
  <c r="B529" i="5"/>
  <c r="B509" i="5"/>
  <c r="B487" i="5"/>
  <c r="B465" i="5"/>
  <c r="B445" i="5"/>
  <c r="B423" i="5"/>
  <c r="B401" i="5"/>
  <c r="B381" i="5"/>
  <c r="B359" i="5"/>
  <c r="B337" i="5"/>
  <c r="B317" i="5"/>
  <c r="B295" i="5"/>
  <c r="B273" i="5"/>
  <c r="B253" i="5"/>
  <c r="B231" i="5"/>
  <c r="B209" i="5"/>
  <c r="B189" i="5"/>
  <c r="B167" i="5"/>
  <c r="B145" i="5"/>
  <c r="B125" i="5"/>
  <c r="B103" i="5"/>
  <c r="B81" i="5"/>
  <c r="B61" i="5"/>
  <c r="B39" i="5"/>
  <c r="B17" i="5"/>
  <c r="B1701" i="5"/>
  <c r="B1679" i="5"/>
  <c r="B1657" i="5"/>
  <c r="B1637" i="5"/>
  <c r="B1615" i="5"/>
  <c r="B1593" i="5"/>
  <c r="B1573" i="5"/>
  <c r="B1551" i="5"/>
  <c r="B1529" i="5"/>
  <c r="B1509" i="5"/>
  <c r="B1487" i="5"/>
  <c r="B1465" i="5"/>
  <c r="B1445" i="5"/>
  <c r="B1423" i="5"/>
  <c r="B1401" i="5"/>
  <c r="B1381" i="5"/>
  <c r="B1359" i="5"/>
  <c r="B1337" i="5"/>
  <c r="B1317" i="5"/>
  <c r="B1295" i="5"/>
  <c r="B1273" i="5"/>
  <c r="B1253" i="5"/>
  <c r="B1231" i="5"/>
  <c r="B1209" i="5"/>
  <c r="B1189" i="5"/>
  <c r="B1167" i="5"/>
  <c r="B1145" i="5"/>
  <c r="B1125" i="5"/>
  <c r="B1103" i="5"/>
  <c r="B1081" i="5"/>
  <c r="B1061" i="5"/>
  <c r="B1039" i="5"/>
  <c r="B1017" i="5"/>
  <c r="B997" i="5"/>
  <c r="B975" i="5"/>
  <c r="B953" i="5"/>
  <c r="B933" i="5"/>
  <c r="B911" i="5"/>
  <c r="B889" i="5"/>
  <c r="B869" i="5"/>
  <c r="B847" i="5"/>
  <c r="B825" i="5"/>
  <c r="B805" i="5"/>
  <c r="B783" i="5"/>
  <c r="B761" i="5"/>
  <c r="B741" i="5"/>
  <c r="B719" i="5"/>
  <c r="B697" i="5"/>
  <c r="B677" i="5"/>
  <c r="B655" i="5"/>
  <c r="B633" i="5"/>
  <c r="B613" i="5"/>
  <c r="B591" i="5"/>
  <c r="B569" i="5"/>
  <c r="B549" i="5"/>
  <c r="B527" i="5"/>
  <c r="B505" i="5"/>
  <c r="B485" i="5"/>
  <c r="B463" i="5"/>
  <c r="B441" i="5"/>
  <c r="B421" i="5"/>
  <c r="B399" i="5"/>
  <c r="B377" i="5"/>
  <c r="B357" i="5"/>
  <c r="B335" i="5"/>
  <c r="B313" i="5"/>
  <c r="B293" i="5"/>
  <c r="B271" i="5"/>
  <c r="B249" i="5"/>
  <c r="B229" i="5"/>
  <c r="B207" i="5"/>
  <c r="B185" i="5"/>
  <c r="B165" i="5"/>
  <c r="B143" i="5"/>
  <c r="B121" i="5"/>
  <c r="B101" i="5"/>
  <c r="B79" i="5"/>
  <c r="B57" i="5"/>
  <c r="B37" i="5"/>
  <c r="B15" i="5"/>
  <c r="B1697" i="5"/>
  <c r="B1677" i="5"/>
  <c r="B1655" i="5"/>
  <c r="B1633" i="5"/>
  <c r="B1613" i="5"/>
  <c r="B1591" i="5"/>
  <c r="B1569" i="5"/>
  <c r="B1549" i="5"/>
  <c r="B1527" i="5"/>
  <c r="B1505" i="5"/>
  <c r="B1485" i="5"/>
  <c r="B1463" i="5"/>
  <c r="B1441" i="5"/>
  <c r="B1421" i="5"/>
  <c r="B1399" i="5"/>
  <c r="B1377" i="5"/>
  <c r="B1357" i="5"/>
  <c r="B1335" i="5"/>
  <c r="B1313" i="5"/>
  <c r="B1293" i="5"/>
  <c r="B1271" i="5"/>
  <c r="B1249" i="5"/>
  <c r="B1229" i="5"/>
  <c r="B1207" i="5"/>
  <c r="B1185" i="5"/>
  <c r="B1165" i="5"/>
  <c r="B1143" i="5"/>
  <c r="B1121" i="5"/>
  <c r="B1101" i="5"/>
  <c r="B1079" i="5"/>
  <c r="B1057" i="5"/>
  <c r="B1037" i="5"/>
  <c r="B1015" i="5"/>
  <c r="B993" i="5"/>
  <c r="B973" i="5"/>
  <c r="B951" i="5"/>
  <c r="B929" i="5"/>
  <c r="B909" i="5"/>
  <c r="B887" i="5"/>
  <c r="B865" i="5"/>
  <c r="B845" i="5"/>
  <c r="B823" i="5"/>
  <c r="B801" i="5"/>
  <c r="B781" i="5"/>
  <c r="B759" i="5"/>
  <c r="B737" i="5"/>
  <c r="B717" i="5"/>
  <c r="B695" i="5"/>
  <c r="B673" i="5"/>
  <c r="B653" i="5"/>
  <c r="B631" i="5"/>
  <c r="B609" i="5"/>
  <c r="B589" i="5"/>
  <c r="B567" i="5"/>
  <c r="B545" i="5"/>
  <c r="B525" i="5"/>
  <c r="B503" i="5"/>
  <c r="B481" i="5"/>
  <c r="B461" i="5"/>
  <c r="B439" i="5"/>
  <c r="B417" i="5"/>
  <c r="B397" i="5"/>
  <c r="B375" i="5"/>
  <c r="B353" i="5"/>
  <c r="B333" i="5"/>
  <c r="B311" i="5"/>
  <c r="B289" i="5"/>
  <c r="B269" i="5"/>
  <c r="B247" i="5"/>
  <c r="B225" i="5"/>
  <c r="B205" i="5"/>
  <c r="B183" i="5"/>
  <c r="B161" i="5"/>
  <c r="B141" i="5"/>
  <c r="B119" i="5"/>
  <c r="B97" i="5"/>
  <c r="B77" i="5"/>
  <c r="B55" i="5"/>
  <c r="B33" i="5"/>
  <c r="B13" i="5"/>
  <c r="B1695" i="5"/>
  <c r="B1673" i="5"/>
  <c r="B1653" i="5"/>
  <c r="B1631" i="5"/>
  <c r="B1609" i="5"/>
  <c r="B1589" i="5"/>
  <c r="B1567" i="5"/>
  <c r="B1545" i="5"/>
  <c r="B1525" i="5"/>
  <c r="B1503" i="5"/>
  <c r="B1481" i="5"/>
  <c r="B1461" i="5"/>
  <c r="B1439" i="5"/>
  <c r="B1417" i="5"/>
  <c r="B1397" i="5"/>
  <c r="B1375" i="5"/>
  <c r="B1353" i="5"/>
  <c r="B1333" i="5"/>
  <c r="B1311" i="5"/>
  <c r="B1289" i="5"/>
  <c r="B1269" i="5"/>
  <c r="B1247" i="5"/>
  <c r="B1225" i="5"/>
  <c r="B1205" i="5"/>
  <c r="B1183" i="5"/>
  <c r="B1161" i="5"/>
  <c r="B1141" i="5"/>
  <c r="B1119" i="5"/>
  <c r="B1097" i="5"/>
  <c r="B1077" i="5"/>
  <c r="B1055" i="5"/>
  <c r="B1033" i="5"/>
  <c r="B1013" i="5"/>
  <c r="B991" i="5"/>
  <c r="B969" i="5"/>
  <c r="B949" i="5"/>
  <c r="B927" i="5"/>
  <c r="B905" i="5"/>
  <c r="B885" i="5"/>
  <c r="B863" i="5"/>
  <c r="B841" i="5"/>
  <c r="B821" i="5"/>
  <c r="B799" i="5"/>
  <c r="B777" i="5"/>
  <c r="B757" i="5"/>
  <c r="B735" i="5"/>
  <c r="B713" i="5"/>
  <c r="B693" i="5"/>
  <c r="B671" i="5"/>
  <c r="B649" i="5"/>
  <c r="B629" i="5"/>
  <c r="B607" i="5"/>
  <c r="B585" i="5"/>
  <c r="B1693" i="5"/>
  <c r="B1671" i="5"/>
  <c r="B1649" i="5"/>
  <c r="B1629" i="5"/>
  <c r="B1607" i="5"/>
  <c r="B1585" i="5"/>
  <c r="B1565" i="5"/>
  <c r="B1543" i="5"/>
  <c r="B1521" i="5"/>
  <c r="B1501" i="5"/>
  <c r="B1479" i="5"/>
  <c r="B1457" i="5"/>
  <c r="B1437" i="5"/>
  <c r="B1415" i="5"/>
  <c r="B1393" i="5"/>
  <c r="B1373" i="5"/>
  <c r="B1351" i="5"/>
  <c r="B1329" i="5"/>
  <c r="B1309" i="5"/>
  <c r="B1287" i="5"/>
  <c r="B1265" i="5"/>
  <c r="B1245" i="5"/>
  <c r="B1223" i="5"/>
  <c r="B1201" i="5"/>
  <c r="B1181" i="5"/>
  <c r="B1159" i="5"/>
  <c r="B1137" i="5"/>
  <c r="B1117" i="5"/>
  <c r="B1095" i="5"/>
  <c r="B1073" i="5"/>
  <c r="B1053" i="5"/>
  <c r="B1031" i="5"/>
  <c r="B1009" i="5"/>
  <c r="B989" i="5"/>
  <c r="B967" i="5"/>
  <c r="B945" i="5"/>
  <c r="B925" i="5"/>
  <c r="B903" i="5"/>
  <c r="B881" i="5"/>
  <c r="B861" i="5"/>
  <c r="B839" i="5"/>
  <c r="B817" i="5"/>
  <c r="B797" i="5"/>
  <c r="B775" i="5"/>
  <c r="B753" i="5"/>
  <c r="B733" i="5"/>
  <c r="B711" i="5"/>
  <c r="B689" i="5"/>
  <c r="B669" i="5"/>
  <c r="B647" i="5"/>
  <c r="B625" i="5"/>
  <c r="B605" i="5"/>
  <c r="B583" i="5"/>
  <c r="B561" i="5"/>
  <c r="B541" i="5"/>
  <c r="B519" i="5"/>
  <c r="B497" i="5"/>
  <c r="B477" i="5"/>
  <c r="B455" i="5"/>
  <c r="B433" i="5"/>
  <c r="B413" i="5"/>
  <c r="B391" i="5"/>
  <c r="B369" i="5"/>
  <c r="B349" i="5"/>
  <c r="B327" i="5"/>
  <c r="B305" i="5"/>
  <c r="B285" i="5"/>
  <c r="B263" i="5"/>
  <c r="B241" i="5"/>
  <c r="B221" i="5"/>
  <c r="B199" i="5"/>
  <c r="B177" i="5"/>
  <c r="B157" i="5"/>
  <c r="B135" i="5"/>
  <c r="B113" i="5"/>
  <c r="B93" i="5"/>
  <c r="B71" i="5"/>
  <c r="B49" i="5"/>
  <c r="B29" i="5"/>
  <c r="B7" i="5"/>
  <c r="B1687" i="5"/>
  <c r="B1665" i="5"/>
  <c r="B1645" i="5"/>
  <c r="B1623" i="5"/>
  <c r="B1601" i="5"/>
  <c r="B1581" i="5"/>
  <c r="B1559" i="5"/>
  <c r="B1537" i="5"/>
  <c r="B1517" i="5"/>
  <c r="B53" i="5"/>
  <c r="B111" i="5"/>
  <c r="B173" i="5"/>
  <c r="B223" i="5"/>
  <c r="B281" i="5"/>
  <c r="B343" i="5"/>
  <c r="B393" i="5"/>
  <c r="B453" i="5"/>
  <c r="B513" i="5"/>
  <c r="B565" i="5"/>
  <c r="B645" i="5"/>
  <c r="B729" i="5"/>
  <c r="B815" i="5"/>
  <c r="B901" i="5"/>
  <c r="B985" i="5"/>
  <c r="B1071" i="5"/>
  <c r="B1157" i="5"/>
  <c r="B1241" i="5"/>
  <c r="B1327" i="5"/>
  <c r="B1413" i="5"/>
  <c r="B1497" i="5"/>
  <c r="B1669" i="5"/>
  <c r="E174" i="4"/>
  <c r="C174" i="4"/>
  <c r="I174" i="4"/>
  <c r="B174" i="4"/>
  <c r="H174" i="4"/>
  <c r="G174" i="4"/>
  <c r="J174" i="4"/>
  <c r="F174" i="4"/>
  <c r="D174" i="4"/>
  <c r="B5" i="5"/>
  <c r="B65" i="5"/>
  <c r="B117" i="5"/>
  <c r="B175" i="5"/>
  <c r="B237" i="5"/>
  <c r="B287" i="5"/>
  <c r="B345" i="5"/>
  <c r="B407" i="5"/>
  <c r="B457" i="5"/>
  <c r="B517" i="5"/>
  <c r="B577" i="5"/>
  <c r="B663" i="5"/>
  <c r="B749" i="5"/>
  <c r="B833" i="5"/>
  <c r="B919" i="5"/>
  <c r="B1005" i="5"/>
  <c r="B1089" i="5"/>
  <c r="B1175" i="5"/>
  <c r="B1261" i="5"/>
  <c r="B1345" i="5"/>
  <c r="B1431" i="5"/>
  <c r="B1519" i="5"/>
  <c r="B1689" i="5"/>
  <c r="I259" i="4"/>
  <c r="B259" i="4"/>
  <c r="G259" i="4"/>
  <c r="E259" i="4"/>
  <c r="D259" i="4"/>
  <c r="C259" i="4"/>
  <c r="J259" i="4"/>
  <c r="H259" i="4"/>
  <c r="E59" i="4"/>
  <c r="C59" i="4"/>
  <c r="I59" i="4"/>
  <c r="B59" i="4"/>
  <c r="H59" i="4"/>
  <c r="G59" i="4"/>
  <c r="J59" i="4"/>
  <c r="F59" i="4"/>
  <c r="I145" i="4"/>
  <c r="B145" i="4"/>
  <c r="G145" i="4"/>
  <c r="E145" i="4"/>
  <c r="D145" i="4"/>
  <c r="C145" i="4"/>
  <c r="J145" i="4"/>
  <c r="H145" i="4"/>
  <c r="B9" i="5"/>
  <c r="B69" i="5"/>
  <c r="B129" i="5"/>
  <c r="B181" i="5"/>
  <c r="B239" i="5"/>
  <c r="B301" i="5"/>
  <c r="B351" i="5"/>
  <c r="B409" i="5"/>
  <c r="B471" i="5"/>
  <c r="B521" i="5"/>
  <c r="B581" i="5"/>
  <c r="B665" i="5"/>
  <c r="B751" i="5"/>
  <c r="B837" i="5"/>
  <c r="B921" i="5"/>
  <c r="B1007" i="5"/>
  <c r="B1093" i="5"/>
  <c r="B1177" i="5"/>
  <c r="B1263" i="5"/>
  <c r="B1349" i="5"/>
  <c r="B1433" i="5"/>
  <c r="B1541" i="5"/>
  <c r="D59" i="4"/>
  <c r="E231" i="4"/>
  <c r="C231" i="4"/>
  <c r="I231" i="4"/>
  <c r="B231" i="4"/>
  <c r="H231" i="4"/>
  <c r="G231" i="4"/>
  <c r="J231" i="4"/>
  <c r="F231" i="4"/>
  <c r="B23" i="5"/>
  <c r="B73" i="5"/>
  <c r="B133" i="5"/>
  <c r="B193" i="5"/>
  <c r="B245" i="5"/>
  <c r="B303" i="5"/>
  <c r="B365" i="5"/>
  <c r="B415" i="5"/>
  <c r="B473" i="5"/>
  <c r="B535" i="5"/>
  <c r="B599" i="5"/>
  <c r="B685" i="5"/>
  <c r="B769" i="5"/>
  <c r="B855" i="5"/>
  <c r="B941" i="5"/>
  <c r="B1025" i="5"/>
  <c r="B1111" i="5"/>
  <c r="B1197" i="5"/>
  <c r="B1281" i="5"/>
  <c r="B1367" i="5"/>
  <c r="B1453" i="5"/>
  <c r="B1561" i="5"/>
  <c r="I30" i="4"/>
  <c r="B30" i="4"/>
  <c r="G30" i="4"/>
  <c r="E30" i="4"/>
  <c r="D30" i="4"/>
  <c r="C30" i="4"/>
  <c r="J30" i="4"/>
  <c r="H30" i="4"/>
  <c r="D231" i="4"/>
  <c r="B25" i="5"/>
  <c r="B87" i="5"/>
  <c r="B137" i="5"/>
  <c r="B197" i="5"/>
  <c r="B257" i="5"/>
  <c r="B309" i="5"/>
  <c r="B367" i="5"/>
  <c r="B429" i="5"/>
  <c r="B479" i="5"/>
  <c r="B537" i="5"/>
  <c r="B601" i="5"/>
  <c r="B687" i="5"/>
  <c r="B773" i="5"/>
  <c r="B857" i="5"/>
  <c r="B943" i="5"/>
  <c r="B1029" i="5"/>
  <c r="B1113" i="5"/>
  <c r="B1199" i="5"/>
  <c r="B1285" i="5"/>
  <c r="B1369" i="5"/>
  <c r="B1455" i="5"/>
  <c r="B1583" i="5"/>
  <c r="E287" i="4"/>
  <c r="C287" i="4"/>
  <c r="I287" i="4"/>
  <c r="B287" i="4"/>
  <c r="H287" i="4"/>
  <c r="G287" i="4"/>
  <c r="D287" i="4"/>
  <c r="F287" i="4"/>
  <c r="C16" i="4"/>
  <c r="I16" i="4"/>
  <c r="B16" i="4"/>
  <c r="G16" i="4"/>
  <c r="F16" i="4"/>
  <c r="E16" i="4"/>
  <c r="C73" i="4"/>
  <c r="I73" i="4"/>
  <c r="B73" i="4"/>
  <c r="G73" i="4"/>
  <c r="F73" i="4"/>
  <c r="E73" i="4"/>
  <c r="C131" i="4"/>
  <c r="I131" i="4"/>
  <c r="B131" i="4"/>
  <c r="G131" i="4"/>
  <c r="F131" i="4"/>
  <c r="E131" i="4"/>
  <c r="C188" i="4"/>
  <c r="I188" i="4"/>
  <c r="B188" i="4"/>
  <c r="G188" i="4"/>
  <c r="F188" i="4"/>
  <c r="E188" i="4"/>
  <c r="C245" i="4"/>
  <c r="I245" i="4"/>
  <c r="B245" i="4"/>
  <c r="G245" i="4"/>
  <c r="F245" i="4"/>
  <c r="E245" i="4"/>
  <c r="J287" i="4"/>
  <c r="A9" i="3"/>
  <c r="A17" i="3"/>
  <c r="A25" i="3"/>
  <c r="A33" i="3"/>
  <c r="A41" i="3"/>
  <c r="A49" i="3"/>
  <c r="A57" i="3"/>
  <c r="A65" i="3"/>
  <c r="A73" i="3"/>
  <c r="A81" i="3"/>
  <c r="A89" i="3"/>
  <c r="A97" i="3"/>
  <c r="A105" i="3"/>
  <c r="A113" i="3"/>
  <c r="A121" i="3"/>
  <c r="A129" i="3"/>
  <c r="A137" i="3"/>
  <c r="A145" i="3"/>
  <c r="A153" i="3"/>
  <c r="A161" i="3"/>
  <c r="A169" i="3"/>
  <c r="A177" i="3"/>
  <c r="A185" i="3"/>
  <c r="A193" i="3"/>
  <c r="A201" i="3"/>
  <c r="A209" i="3"/>
  <c r="A217" i="3"/>
  <c r="A225" i="3"/>
  <c r="A233" i="3"/>
  <c r="A241" i="3"/>
  <c r="A249" i="3"/>
  <c r="A257" i="3"/>
  <c r="A265" i="3"/>
  <c r="A273" i="3"/>
  <c r="A281" i="3"/>
  <c r="A289" i="3"/>
  <c r="A297" i="3"/>
  <c r="A305" i="3"/>
  <c r="A313" i="3"/>
  <c r="A321" i="3"/>
  <c r="A329" i="3"/>
  <c r="A337" i="3"/>
  <c r="A345" i="3"/>
  <c r="A353" i="3"/>
  <c r="A361" i="3"/>
  <c r="A369" i="3"/>
  <c r="A377" i="3"/>
  <c r="A385" i="3"/>
  <c r="A393" i="3"/>
  <c r="A401" i="3"/>
  <c r="A409" i="3"/>
  <c r="A417" i="3"/>
  <c r="A425" i="3"/>
  <c r="A433" i="3"/>
  <c r="A441" i="3"/>
  <c r="A449" i="3"/>
  <c r="A457" i="3"/>
  <c r="A465" i="3"/>
  <c r="A473" i="3"/>
  <c r="A481" i="3"/>
  <c r="A489" i="3"/>
  <c r="A497" i="3"/>
  <c r="A505" i="3"/>
  <c r="A513" i="3"/>
  <c r="A521" i="3"/>
  <c r="A529" i="3"/>
  <c r="A537" i="3"/>
  <c r="A545" i="3"/>
  <c r="A553" i="3"/>
  <c r="A561" i="3"/>
  <c r="A569" i="3"/>
  <c r="A577" i="3"/>
  <c r="A585" i="3"/>
  <c r="A593" i="3"/>
  <c r="A601" i="3"/>
  <c r="A609" i="3"/>
  <c r="A617" i="3"/>
  <c r="A625" i="3"/>
  <c r="A633" i="3"/>
  <c r="A641" i="3"/>
  <c r="A649" i="3"/>
  <c r="A657" i="3"/>
  <c r="A665" i="3"/>
  <c r="A673" i="3"/>
  <c r="A681" i="3"/>
  <c r="A689" i="3"/>
  <c r="A697" i="3"/>
  <c r="A705" i="3"/>
  <c r="A713" i="3"/>
  <c r="A721" i="3"/>
  <c r="A729" i="3"/>
  <c r="A737" i="3"/>
  <c r="A745" i="3"/>
  <c r="A753" i="3"/>
  <c r="A761" i="3"/>
  <c r="A769" i="3"/>
  <c r="A777" i="3"/>
  <c r="A785" i="3"/>
  <c r="A793" i="3"/>
  <c r="A801" i="3"/>
  <c r="A809" i="3"/>
  <c r="A817" i="3"/>
  <c r="A825" i="3"/>
  <c r="A833" i="3"/>
  <c r="A841" i="3"/>
  <c r="A849" i="3"/>
  <c r="A857" i="3"/>
  <c r="A865" i="3"/>
  <c r="A873" i="3"/>
  <c r="A881" i="3"/>
  <c r="A889" i="3"/>
  <c r="A897" i="3"/>
  <c r="A905" i="3"/>
  <c r="A913" i="3"/>
  <c r="A921" i="3"/>
  <c r="A929" i="3"/>
  <c r="A937" i="3"/>
  <c r="A945" i="3"/>
  <c r="A953" i="3"/>
  <c r="A961" i="3"/>
  <c r="A969" i="3"/>
  <c r="A977" i="3"/>
  <c r="A985" i="3"/>
  <c r="A993" i="3"/>
  <c r="A1001" i="3"/>
  <c r="A1009" i="3"/>
  <c r="A1017" i="3"/>
  <c r="A1025" i="3"/>
  <c r="A1033" i="3"/>
  <c r="A1041" i="3"/>
  <c r="A1049" i="3"/>
  <c r="A1057" i="3"/>
  <c r="A1065" i="3"/>
  <c r="A1073" i="3"/>
  <c r="A1081" i="3"/>
  <c r="A1089" i="3"/>
  <c r="A1097" i="3"/>
  <c r="A1105" i="3"/>
  <c r="A1113" i="3"/>
  <c r="A1121" i="3"/>
  <c r="A1129" i="3"/>
  <c r="A1137" i="3"/>
  <c r="A1145" i="3"/>
  <c r="A1153" i="3"/>
  <c r="A1161" i="3"/>
  <c r="A1169" i="3"/>
  <c r="A1177" i="3"/>
  <c r="A1185" i="3"/>
  <c r="A1193" i="3"/>
  <c r="A1201" i="3"/>
  <c r="A1209" i="3"/>
  <c r="A1217" i="3"/>
  <c r="A1225" i="3"/>
  <c r="A1233" i="3"/>
  <c r="A1241" i="3"/>
  <c r="A1249" i="3"/>
  <c r="A1257" i="3"/>
  <c r="A1265" i="3"/>
  <c r="A1273" i="3"/>
  <c r="A1281" i="3"/>
  <c r="A1289" i="3"/>
  <c r="A1297" i="3"/>
  <c r="A1305" i="3"/>
  <c r="A1313" i="3"/>
  <c r="A1321" i="3"/>
  <c r="A1329" i="3"/>
  <c r="A1337" i="3"/>
  <c r="A1345" i="3"/>
  <c r="A1353" i="3"/>
  <c r="A1361" i="3"/>
  <c r="A1369" i="3"/>
  <c r="A1377" i="3"/>
  <c r="A1385" i="3"/>
  <c r="A1393" i="3"/>
  <c r="A1401" i="3"/>
  <c r="A1409" i="3"/>
  <c r="A1417" i="3"/>
  <c r="A1425" i="3"/>
  <c r="A1433" i="3"/>
  <c r="A1441" i="3"/>
  <c r="A1449" i="3"/>
  <c r="A1457" i="3"/>
  <c r="A1465" i="3"/>
  <c r="A1473" i="3"/>
  <c r="A1481" i="3"/>
  <c r="A1489" i="3"/>
  <c r="A1497" i="3"/>
  <c r="A1505" i="3"/>
  <c r="A1513" i="3"/>
  <c r="A1521" i="3"/>
  <c r="A1529" i="3"/>
  <c r="A1537" i="3"/>
  <c r="A1545" i="3"/>
  <c r="A1553" i="3"/>
  <c r="A1561" i="3"/>
  <c r="A1569" i="3"/>
  <c r="A1577" i="3"/>
  <c r="A1585" i="3"/>
  <c r="A1593" i="3"/>
  <c r="A1601" i="3"/>
  <c r="A1609" i="3"/>
  <c r="A1617" i="3"/>
  <c r="A1625" i="3"/>
  <c r="A1633" i="3"/>
  <c r="A1641" i="3"/>
  <c r="A1649" i="3"/>
  <c r="A1657" i="3"/>
  <c r="A1665" i="3"/>
  <c r="A1673" i="3"/>
  <c r="A1681" i="3"/>
  <c r="A1689" i="3"/>
  <c r="A1697" i="3"/>
  <c r="A1705" i="3"/>
  <c r="H2" i="4"/>
  <c r="B45" i="4"/>
  <c r="I45" i="4"/>
  <c r="B102" i="4"/>
  <c r="I102" i="4"/>
  <c r="B159" i="4"/>
  <c r="I159" i="4"/>
  <c r="B217" i="4"/>
  <c r="I217" i="4"/>
  <c r="B273" i="4"/>
  <c r="I273" i="4"/>
  <c r="C1" i="5"/>
  <c r="C8" i="5"/>
  <c r="C16" i="5"/>
  <c r="C24" i="5"/>
  <c r="C32" i="5"/>
  <c r="C40" i="5"/>
  <c r="C48" i="5"/>
  <c r="C56" i="5"/>
  <c r="C64" i="5"/>
  <c r="C72" i="5"/>
  <c r="C80" i="5"/>
  <c r="C88" i="5"/>
  <c r="C96" i="5"/>
  <c r="C104" i="5"/>
  <c r="C112" i="5"/>
  <c r="C120" i="5"/>
  <c r="C128" i="5"/>
  <c r="C136" i="5"/>
  <c r="C144" i="5"/>
  <c r="C152" i="5"/>
  <c r="C160" i="5"/>
  <c r="C168" i="5"/>
  <c r="C176" i="5"/>
  <c r="C184" i="5"/>
  <c r="C192" i="5"/>
  <c r="C200" i="5"/>
  <c r="C208" i="5"/>
  <c r="C216" i="5"/>
  <c r="C224" i="5"/>
  <c r="C232" i="5"/>
  <c r="C240" i="5"/>
  <c r="C248" i="5"/>
  <c r="C256" i="5"/>
  <c r="C264" i="5"/>
  <c r="C272" i="5"/>
  <c r="C280" i="5"/>
  <c r="C288" i="5"/>
  <c r="C296" i="5"/>
  <c r="C304" i="5"/>
  <c r="C312" i="5"/>
  <c r="C320" i="5"/>
  <c r="C328" i="5"/>
  <c r="C336" i="5"/>
  <c r="C344" i="5"/>
  <c r="C352" i="5"/>
  <c r="C360" i="5"/>
  <c r="C368" i="5"/>
  <c r="C376" i="5"/>
  <c r="C384" i="5"/>
  <c r="C392" i="5"/>
  <c r="C400" i="5"/>
  <c r="C408" i="5"/>
  <c r="C416" i="5"/>
  <c r="C424" i="5"/>
  <c r="C432" i="5"/>
  <c r="C440" i="5"/>
  <c r="C448" i="5"/>
  <c r="C456" i="5"/>
  <c r="C464" i="5"/>
  <c r="C472" i="5"/>
  <c r="C480" i="5"/>
  <c r="C488" i="5"/>
  <c r="C496" i="5"/>
  <c r="C504" i="5"/>
  <c r="C512" i="5"/>
  <c r="C520" i="5"/>
  <c r="C528" i="5"/>
  <c r="C536" i="5"/>
  <c r="C544" i="5"/>
  <c r="C552" i="5"/>
  <c r="C560" i="5"/>
  <c r="C568" i="5"/>
  <c r="C576" i="5"/>
  <c r="C584" i="5"/>
  <c r="C592" i="5"/>
  <c r="C600" i="5"/>
  <c r="C608" i="5"/>
  <c r="C616" i="5"/>
  <c r="C624" i="5"/>
  <c r="C632" i="5"/>
  <c r="C640" i="5"/>
  <c r="C648" i="5"/>
  <c r="C656" i="5"/>
  <c r="C664" i="5"/>
  <c r="C672" i="5"/>
  <c r="C680" i="5"/>
  <c r="C688" i="5"/>
  <c r="C696" i="5"/>
  <c r="C704" i="5"/>
  <c r="C712" i="5"/>
  <c r="C720" i="5"/>
  <c r="C728" i="5"/>
  <c r="C736" i="5"/>
  <c r="C744" i="5"/>
  <c r="C752" i="5"/>
  <c r="C760" i="5"/>
  <c r="C768" i="5"/>
  <c r="C776" i="5"/>
  <c r="C784" i="5"/>
  <c r="C792" i="5"/>
  <c r="C800" i="5"/>
  <c r="C808" i="5"/>
  <c r="C816" i="5"/>
  <c r="C824" i="5"/>
  <c r="C832" i="5"/>
  <c r="C840" i="5"/>
  <c r="C848" i="5"/>
  <c r="C856" i="5"/>
  <c r="C864" i="5"/>
  <c r="C872" i="5"/>
  <c r="C880" i="5"/>
  <c r="C888" i="5"/>
  <c r="C896" i="5"/>
  <c r="C904" i="5"/>
  <c r="C912" i="5"/>
  <c r="C920" i="5"/>
  <c r="C928" i="5"/>
  <c r="C936" i="5"/>
  <c r="C944" i="5"/>
  <c r="C952" i="5"/>
  <c r="C960" i="5"/>
  <c r="C968" i="5"/>
  <c r="C976" i="5"/>
  <c r="C984" i="5"/>
  <c r="C992" i="5"/>
  <c r="C1000" i="5"/>
  <c r="C1008" i="5"/>
  <c r="C1016" i="5"/>
  <c r="C1024" i="5"/>
  <c r="C1032" i="5"/>
  <c r="C1040" i="5"/>
  <c r="C1048" i="5"/>
  <c r="C1056" i="5"/>
  <c r="C1064" i="5"/>
  <c r="C1072" i="5"/>
  <c r="C1080" i="5"/>
  <c r="C1088" i="5"/>
  <c r="C1096" i="5"/>
  <c r="C1104" i="5"/>
  <c r="C1112" i="5"/>
  <c r="C1120" i="5"/>
  <c r="C1128" i="5"/>
  <c r="C1136" i="5"/>
  <c r="C1144" i="5"/>
  <c r="C1152" i="5"/>
  <c r="C1160" i="5"/>
  <c r="C1168" i="5"/>
  <c r="C1176" i="5"/>
  <c r="C1184" i="5"/>
  <c r="C1192" i="5"/>
  <c r="C1200" i="5"/>
  <c r="C1208" i="5"/>
  <c r="C1216" i="5"/>
  <c r="C1224" i="5"/>
  <c r="C1232" i="5"/>
  <c r="C1240" i="5"/>
  <c r="C1248" i="5"/>
  <c r="C1256" i="5"/>
  <c r="C1264" i="5"/>
  <c r="C1272" i="5"/>
  <c r="C1280" i="5"/>
  <c r="C1288" i="5"/>
  <c r="C1296" i="5"/>
  <c r="C1304" i="5"/>
  <c r="C1312" i="5"/>
  <c r="C1320" i="5"/>
  <c r="C1328" i="5"/>
  <c r="C1336" i="5"/>
  <c r="C1344" i="5"/>
  <c r="C1352" i="5"/>
  <c r="C1360" i="5"/>
  <c r="C1368" i="5"/>
  <c r="C1376" i="5"/>
  <c r="C1384" i="5"/>
  <c r="C1392" i="5"/>
  <c r="C1400" i="5"/>
  <c r="C1408" i="5"/>
  <c r="C1416" i="5"/>
  <c r="C1424" i="5"/>
  <c r="C1432" i="5"/>
  <c r="C1440" i="5"/>
  <c r="C1448" i="5"/>
  <c r="C1456" i="5"/>
  <c r="C1464" i="5"/>
  <c r="C1472" i="5"/>
  <c r="C1480" i="5"/>
  <c r="C1488" i="5"/>
  <c r="C1496" i="5"/>
  <c r="C1504" i="5"/>
  <c r="C1512" i="5"/>
  <c r="C1520" i="5"/>
  <c r="C1528" i="5"/>
  <c r="C1536" i="5"/>
  <c r="C1544" i="5"/>
  <c r="C1552" i="5"/>
  <c r="C1560" i="5"/>
  <c r="C1568" i="5"/>
  <c r="C1576" i="5"/>
  <c r="C1584" i="5"/>
  <c r="C1592" i="5"/>
  <c r="C1600" i="5"/>
  <c r="C1608" i="5"/>
  <c r="C1616" i="5"/>
  <c r="C1624" i="5"/>
  <c r="C1632" i="5"/>
  <c r="C1640" i="5"/>
  <c r="C1648" i="5"/>
  <c r="C1656" i="5"/>
  <c r="C1664" i="5"/>
  <c r="C1672" i="5"/>
  <c r="C1680" i="5"/>
  <c r="C1688" i="5"/>
  <c r="C1696" i="5"/>
  <c r="C1704" i="5"/>
  <c r="D6" i="5"/>
  <c r="D14" i="5"/>
  <c r="D22" i="5"/>
  <c r="D30" i="5"/>
  <c r="D38" i="5"/>
  <c r="D46" i="5"/>
  <c r="D54" i="5"/>
  <c r="D62" i="5"/>
  <c r="D70" i="5"/>
  <c r="D78" i="5"/>
  <c r="D86" i="5"/>
  <c r="D94" i="5"/>
  <c r="D102" i="5"/>
  <c r="D110" i="5"/>
  <c r="E109" i="5" s="1" a="1"/>
  <c r="D118" i="5"/>
  <c r="D126" i="5"/>
  <c r="D134" i="5"/>
  <c r="D142" i="5"/>
  <c r="D150" i="5"/>
  <c r="D158" i="5"/>
  <c r="D166" i="5"/>
  <c r="D174" i="5"/>
  <c r="D182" i="5"/>
  <c r="D190" i="5"/>
  <c r="D198" i="5"/>
  <c r="D206" i="5"/>
  <c r="D214" i="5"/>
  <c r="D222" i="5"/>
  <c r="D230" i="5"/>
  <c r="D238" i="5"/>
  <c r="D246" i="5"/>
  <c r="D254" i="5"/>
  <c r="D262" i="5"/>
  <c r="D270" i="5"/>
  <c r="D278" i="5"/>
  <c r="D286" i="5"/>
  <c r="D294" i="5"/>
  <c r="D302" i="5"/>
  <c r="D310" i="5"/>
  <c r="D318" i="5"/>
  <c r="D326" i="5"/>
  <c r="D334" i="5"/>
  <c r="D342" i="5"/>
  <c r="D350" i="5"/>
  <c r="D358" i="5"/>
  <c r="D366" i="5"/>
  <c r="D374" i="5"/>
  <c r="D382" i="5"/>
  <c r="D390" i="5"/>
  <c r="D398" i="5"/>
  <c r="D406" i="5"/>
  <c r="D414" i="5"/>
  <c r="D422" i="5"/>
  <c r="D430" i="5"/>
  <c r="D438" i="5"/>
  <c r="D446" i="5"/>
  <c r="D454" i="5"/>
  <c r="D462" i="5"/>
  <c r="D470" i="5"/>
  <c r="D478" i="5"/>
  <c r="D486" i="5"/>
  <c r="D494" i="5"/>
  <c r="D502" i="5"/>
  <c r="D510" i="5"/>
  <c r="D518" i="5"/>
  <c r="D526" i="5"/>
  <c r="D534" i="5"/>
  <c r="D542" i="5"/>
  <c r="D550" i="5"/>
  <c r="D558" i="5"/>
  <c r="D566" i="5"/>
  <c r="D574" i="5"/>
  <c r="D582" i="5"/>
  <c r="D590" i="5"/>
  <c r="D598" i="5"/>
  <c r="D606" i="5"/>
  <c r="D614" i="5"/>
  <c r="D622" i="5"/>
  <c r="D630" i="5"/>
  <c r="D638" i="5"/>
  <c r="D646" i="5"/>
  <c r="D654" i="5"/>
  <c r="D662" i="5"/>
  <c r="D670" i="5"/>
  <c r="D678" i="5"/>
  <c r="D686" i="5"/>
  <c r="D694" i="5"/>
  <c r="D702" i="5"/>
  <c r="D710" i="5"/>
  <c r="D718" i="5"/>
  <c r="D726" i="5"/>
  <c r="D734" i="5"/>
  <c r="D742" i="5"/>
  <c r="D750" i="5"/>
  <c r="D758" i="5"/>
  <c r="D766" i="5"/>
  <c r="D774" i="5"/>
  <c r="D782" i="5"/>
  <c r="D790" i="5"/>
  <c r="D798" i="5"/>
  <c r="D806" i="5"/>
  <c r="D814" i="5"/>
  <c r="D822" i="5"/>
  <c r="D830" i="5"/>
  <c r="D838" i="5"/>
  <c r="D846" i="5"/>
  <c r="D854" i="5"/>
  <c r="D862" i="5"/>
  <c r="D870" i="5"/>
  <c r="D878" i="5"/>
  <c r="D886" i="5"/>
  <c r="D894" i="5"/>
  <c r="D902" i="5"/>
  <c r="D910" i="5"/>
  <c r="D918" i="5"/>
  <c r="D926" i="5"/>
  <c r="D934" i="5"/>
  <c r="D942" i="5"/>
  <c r="D950" i="5"/>
  <c r="D958" i="5"/>
  <c r="D966" i="5"/>
  <c r="D974" i="5"/>
  <c r="D982" i="5"/>
  <c r="D990" i="5"/>
  <c r="D998" i="5"/>
  <c r="D1006" i="5"/>
  <c r="D1014" i="5"/>
  <c r="D1022" i="5"/>
  <c r="D1030" i="5"/>
  <c r="D1038" i="5"/>
  <c r="D1046" i="5"/>
  <c r="D1054" i="5"/>
  <c r="D1062" i="5"/>
  <c r="D1070" i="5"/>
  <c r="D1078" i="5"/>
  <c r="D1086" i="5"/>
  <c r="D1094" i="5"/>
  <c r="D1102" i="5"/>
  <c r="D1110" i="5"/>
  <c r="D1118" i="5"/>
  <c r="D1126" i="5"/>
  <c r="D1134" i="5"/>
  <c r="D1142" i="5"/>
  <c r="D1150" i="5"/>
  <c r="D1158" i="5"/>
  <c r="D1166" i="5"/>
  <c r="D1174" i="5"/>
  <c r="D1182" i="5"/>
  <c r="D1190" i="5"/>
  <c r="D1198" i="5"/>
  <c r="D1206" i="5"/>
  <c r="D1214" i="5"/>
  <c r="D1222" i="5"/>
  <c r="D1230" i="5"/>
  <c r="D1238" i="5"/>
  <c r="D1246" i="5"/>
  <c r="D1254" i="5"/>
  <c r="D1262" i="5"/>
  <c r="D1270" i="5"/>
  <c r="D1278" i="5"/>
  <c r="D1286" i="5"/>
  <c r="D1294" i="5"/>
  <c r="D1302" i="5"/>
  <c r="D1310" i="5"/>
  <c r="D1318" i="5"/>
  <c r="D1326" i="5"/>
  <c r="D1334" i="5"/>
  <c r="D1342" i="5"/>
  <c r="D1350" i="5"/>
  <c r="D1358" i="5"/>
  <c r="D1366" i="5"/>
  <c r="D1374" i="5"/>
  <c r="D1382" i="5"/>
  <c r="D1390" i="5"/>
  <c r="D1398" i="5"/>
  <c r="D1406" i="5"/>
  <c r="D1414" i="5"/>
  <c r="D1422" i="5"/>
  <c r="D1430" i="5"/>
  <c r="D1438" i="5"/>
  <c r="D1446" i="5"/>
  <c r="D1454" i="5"/>
  <c r="D1462" i="5"/>
  <c r="D1470" i="5"/>
  <c r="D1478" i="5"/>
  <c r="D1486" i="5"/>
  <c r="D1494" i="5"/>
  <c r="D1502" i="5"/>
  <c r="D1510" i="5"/>
  <c r="D1518" i="5"/>
  <c r="D1526" i="5"/>
  <c r="D1534" i="5"/>
  <c r="D1542" i="5"/>
  <c r="D1550" i="5"/>
  <c r="D1558" i="5"/>
  <c r="D1566" i="5"/>
  <c r="D1574" i="5"/>
  <c r="D1582" i="5"/>
  <c r="D1590" i="5"/>
  <c r="D1598" i="5"/>
  <c r="D1606" i="5"/>
  <c r="D1614" i="5"/>
  <c r="D1622" i="5"/>
  <c r="D1630" i="5"/>
  <c r="D1638" i="5"/>
  <c r="D1646" i="5"/>
  <c r="D1654" i="5"/>
  <c r="D1662" i="5"/>
  <c r="D1670" i="5"/>
  <c r="D1678" i="5"/>
  <c r="D1686" i="5"/>
  <c r="D1694" i="5"/>
  <c r="D1702" i="5"/>
  <c r="J7" i="5"/>
  <c r="J15" i="5"/>
  <c r="J23" i="5"/>
  <c r="J31" i="5"/>
  <c r="J39" i="5"/>
  <c r="J47" i="5"/>
  <c r="J55" i="5"/>
  <c r="J63" i="5"/>
  <c r="J71" i="5"/>
  <c r="J79" i="5"/>
  <c r="J87" i="5"/>
  <c r="J95" i="5"/>
  <c r="J103" i="5"/>
  <c r="J111" i="5"/>
  <c r="J119" i="5"/>
  <c r="J127" i="5"/>
  <c r="J135" i="5"/>
  <c r="J143" i="5"/>
  <c r="J151" i="5"/>
  <c r="J159" i="5"/>
  <c r="J167" i="5"/>
  <c r="J175" i="5"/>
  <c r="J183" i="5"/>
  <c r="J191" i="5"/>
  <c r="J199" i="5"/>
  <c r="J207" i="5"/>
  <c r="J215" i="5"/>
  <c r="J223" i="5"/>
  <c r="J231" i="5"/>
  <c r="J239" i="5"/>
  <c r="J247" i="5"/>
  <c r="J255" i="5"/>
  <c r="J263" i="5"/>
  <c r="J271" i="5"/>
  <c r="J279" i="5"/>
  <c r="J287" i="5"/>
  <c r="J295" i="5"/>
  <c r="J303" i="5"/>
  <c r="J311" i="5"/>
  <c r="J319" i="5"/>
  <c r="J327" i="5"/>
  <c r="J335" i="5"/>
  <c r="J343" i="5"/>
  <c r="J351" i="5"/>
  <c r="J359" i="5"/>
  <c r="J367" i="5"/>
  <c r="J375" i="5"/>
  <c r="J383" i="5"/>
  <c r="J391" i="5"/>
  <c r="J399" i="5"/>
  <c r="J407" i="5"/>
  <c r="J415" i="5"/>
  <c r="J423" i="5"/>
  <c r="J431" i="5"/>
  <c r="J439" i="5"/>
  <c r="J447" i="5"/>
  <c r="J455" i="5"/>
  <c r="J463" i="5"/>
  <c r="J471" i="5"/>
  <c r="J479" i="5"/>
  <c r="J487" i="5"/>
  <c r="J495" i="5"/>
  <c r="J503" i="5"/>
  <c r="J511" i="5"/>
  <c r="J519" i="5"/>
  <c r="J527" i="5"/>
  <c r="J535" i="5"/>
  <c r="J543" i="5"/>
  <c r="J551" i="5"/>
  <c r="J559" i="5"/>
  <c r="J567" i="5"/>
  <c r="J575" i="5"/>
  <c r="J583" i="5"/>
  <c r="J591" i="5"/>
  <c r="J599" i="5"/>
  <c r="J607" i="5"/>
  <c r="J615" i="5"/>
  <c r="J623" i="5"/>
  <c r="J631" i="5"/>
  <c r="J639" i="5"/>
  <c r="J647" i="5"/>
  <c r="J655" i="5"/>
  <c r="J663" i="5"/>
  <c r="J671" i="5"/>
  <c r="J679" i="5"/>
  <c r="J687" i="5"/>
  <c r="J695" i="5"/>
  <c r="J703" i="5"/>
  <c r="J711" i="5"/>
  <c r="J719" i="5"/>
  <c r="J727" i="5"/>
  <c r="J735" i="5"/>
  <c r="J743" i="5"/>
  <c r="J751" i="5"/>
  <c r="J759" i="5"/>
  <c r="J767" i="5"/>
  <c r="J775" i="5"/>
  <c r="J783" i="5"/>
  <c r="J791" i="5"/>
  <c r="J799" i="5"/>
  <c r="J807" i="5"/>
  <c r="J815" i="5"/>
  <c r="J823" i="5"/>
  <c r="J831" i="5"/>
  <c r="J839" i="5"/>
  <c r="J847" i="5"/>
  <c r="J855" i="5"/>
  <c r="J863" i="5"/>
  <c r="J871" i="5"/>
  <c r="J879" i="5"/>
  <c r="J887" i="5"/>
  <c r="J895" i="5"/>
  <c r="J903" i="5"/>
  <c r="J911" i="5"/>
  <c r="J919" i="5"/>
  <c r="J927" i="5"/>
  <c r="J935" i="5"/>
  <c r="J943" i="5"/>
  <c r="J951" i="5"/>
  <c r="J959" i="5"/>
  <c r="J967" i="5"/>
  <c r="J975" i="5"/>
  <c r="J983" i="5"/>
  <c r="J991" i="5"/>
  <c r="J999" i="5"/>
  <c r="J1007" i="5"/>
  <c r="J1015" i="5"/>
  <c r="J1023" i="5"/>
  <c r="J1031" i="5"/>
  <c r="J1039" i="5"/>
  <c r="J1047" i="5"/>
  <c r="J1055" i="5"/>
  <c r="J1063" i="5"/>
  <c r="J1071" i="5"/>
  <c r="J1079" i="5"/>
  <c r="J1087" i="5"/>
  <c r="J1095" i="5"/>
  <c r="J1103" i="5"/>
  <c r="J1111" i="5"/>
  <c r="J1119" i="5"/>
  <c r="J1127" i="5"/>
  <c r="J1135" i="5"/>
  <c r="J1143" i="5"/>
  <c r="J1151" i="5"/>
  <c r="J1159" i="5"/>
  <c r="J1167" i="5"/>
  <c r="J1175" i="5"/>
  <c r="J1183" i="5"/>
  <c r="J1191" i="5"/>
  <c r="J1199" i="5"/>
  <c r="J1207" i="5"/>
  <c r="J1215" i="5"/>
  <c r="J1223" i="5"/>
  <c r="J1231" i="5"/>
  <c r="J1239" i="5"/>
  <c r="J1247" i="5"/>
  <c r="J1255" i="5"/>
  <c r="J1263" i="5"/>
  <c r="J1271" i="5"/>
  <c r="J1279" i="5"/>
  <c r="J1287" i="5"/>
  <c r="J1295" i="5"/>
  <c r="J1303" i="5"/>
  <c r="J1311" i="5"/>
  <c r="J1319" i="5"/>
  <c r="J1327" i="5"/>
  <c r="J1335" i="5"/>
  <c r="J1343" i="5"/>
  <c r="J1351" i="5"/>
  <c r="J1359" i="5"/>
  <c r="J1367" i="5"/>
  <c r="J1375" i="5"/>
  <c r="J1383" i="5"/>
  <c r="J1391" i="5"/>
  <c r="J1399" i="5"/>
  <c r="J1407" i="5"/>
  <c r="J1415" i="5"/>
  <c r="J1423" i="5"/>
  <c r="J1431" i="5"/>
  <c r="J1439" i="5"/>
  <c r="J1447" i="5"/>
  <c r="J1455" i="5"/>
  <c r="J1463" i="5"/>
  <c r="J1471" i="5"/>
  <c r="J1479" i="5"/>
  <c r="J1487" i="5"/>
  <c r="J1495" i="5"/>
  <c r="J1503" i="5"/>
  <c r="J1511" i="5"/>
  <c r="J1519" i="5"/>
  <c r="J1527" i="5"/>
  <c r="J1535" i="5"/>
  <c r="J1543" i="5"/>
  <c r="J1551" i="5"/>
  <c r="J1559" i="5"/>
  <c r="J1567" i="5"/>
  <c r="J1575" i="5"/>
  <c r="J1583" i="5"/>
  <c r="J1591" i="5"/>
  <c r="J1599" i="5"/>
  <c r="J1607" i="5"/>
  <c r="J1615" i="5"/>
  <c r="J1623" i="5"/>
  <c r="J1631" i="5"/>
  <c r="J1639" i="5"/>
  <c r="J1647" i="5"/>
  <c r="J1655" i="5"/>
  <c r="J1663" i="5"/>
  <c r="J1671" i="5"/>
  <c r="J1679" i="5"/>
  <c r="J1687" i="5"/>
  <c r="J1695" i="5"/>
  <c r="J1703" i="5"/>
  <c r="B2" i="4"/>
  <c r="I2" i="4"/>
  <c r="J45" i="4"/>
  <c r="J102" i="4"/>
  <c r="J159" i="4"/>
  <c r="J217" i="4"/>
  <c r="J273" i="4"/>
  <c r="C9" i="5"/>
  <c r="C17" i="5"/>
  <c r="C25" i="5"/>
  <c r="C33" i="5"/>
  <c r="C41" i="5"/>
  <c r="C49" i="5"/>
  <c r="C57" i="5"/>
  <c r="C65" i="5"/>
  <c r="C73" i="5"/>
  <c r="C81" i="5"/>
  <c r="C89" i="5"/>
  <c r="C97" i="5"/>
  <c r="C105" i="5"/>
  <c r="C113" i="5"/>
  <c r="C121" i="5"/>
  <c r="C129" i="5"/>
  <c r="C137" i="5"/>
  <c r="C145" i="5"/>
  <c r="C153" i="5"/>
  <c r="C161" i="5"/>
  <c r="C169" i="5"/>
  <c r="C177" i="5"/>
  <c r="C185" i="5"/>
  <c r="C193" i="5"/>
  <c r="C201" i="5"/>
  <c r="C209" i="5"/>
  <c r="C217" i="5"/>
  <c r="C225" i="5"/>
  <c r="C233" i="5"/>
  <c r="C241" i="5"/>
  <c r="C249" i="5"/>
  <c r="C257" i="5"/>
  <c r="C265" i="5"/>
  <c r="C273" i="5"/>
  <c r="C281" i="5"/>
  <c r="C289" i="5"/>
  <c r="C297" i="5"/>
  <c r="C305" i="5"/>
  <c r="C313" i="5"/>
  <c r="C321" i="5"/>
  <c r="C329" i="5"/>
  <c r="C337" i="5"/>
  <c r="C345" i="5"/>
  <c r="C353" i="5"/>
  <c r="C361" i="5"/>
  <c r="C369" i="5"/>
  <c r="C377" i="5"/>
  <c r="C385" i="5"/>
  <c r="C393" i="5"/>
  <c r="C401" i="5"/>
  <c r="C409" i="5"/>
  <c r="C417" i="5"/>
  <c r="C425" i="5"/>
  <c r="C433" i="5"/>
  <c r="C441" i="5"/>
  <c r="C449" i="5"/>
  <c r="C457" i="5"/>
  <c r="C465" i="5"/>
  <c r="C473" i="5"/>
  <c r="C481" i="5"/>
  <c r="C489" i="5"/>
  <c r="C497" i="5"/>
  <c r="C505" i="5"/>
  <c r="C513" i="5"/>
  <c r="C521" i="5"/>
  <c r="C529" i="5"/>
  <c r="C537" i="5"/>
  <c r="C545" i="5"/>
  <c r="C553" i="5"/>
  <c r="C561" i="5"/>
  <c r="C569" i="5"/>
  <c r="C577" i="5"/>
  <c r="C585" i="5"/>
  <c r="C593" i="5"/>
  <c r="C601" i="5"/>
  <c r="C609" i="5"/>
  <c r="C617" i="5"/>
  <c r="C625" i="5"/>
  <c r="C633" i="5"/>
  <c r="C641" i="5"/>
  <c r="C649" i="5"/>
  <c r="C657" i="5"/>
  <c r="C665" i="5"/>
  <c r="C673" i="5"/>
  <c r="C681" i="5"/>
  <c r="C689" i="5"/>
  <c r="C697" i="5"/>
  <c r="C705" i="5"/>
  <c r="C713" i="5"/>
  <c r="C721" i="5"/>
  <c r="C729" i="5"/>
  <c r="C737" i="5"/>
  <c r="C745" i="5"/>
  <c r="C753" i="5"/>
  <c r="C761" i="5"/>
  <c r="C769" i="5"/>
  <c r="C777" i="5"/>
  <c r="C785" i="5"/>
  <c r="C793" i="5"/>
  <c r="C801" i="5"/>
  <c r="C809" i="5"/>
  <c r="C817" i="5"/>
  <c r="C825" i="5"/>
  <c r="C833" i="5"/>
  <c r="C841" i="5"/>
  <c r="C849" i="5"/>
  <c r="C857" i="5"/>
  <c r="C865" i="5"/>
  <c r="C873" i="5"/>
  <c r="C881" i="5"/>
  <c r="C889" i="5"/>
  <c r="C897" i="5"/>
  <c r="C905" i="5"/>
  <c r="C913" i="5"/>
  <c r="C921" i="5"/>
  <c r="C929" i="5"/>
  <c r="C937" i="5"/>
  <c r="C945" i="5"/>
  <c r="C953" i="5"/>
  <c r="C961" i="5"/>
  <c r="C969" i="5"/>
  <c r="C977" i="5"/>
  <c r="C985" i="5"/>
  <c r="C993" i="5"/>
  <c r="C1001" i="5"/>
  <c r="C1009" i="5"/>
  <c r="C1017" i="5"/>
  <c r="C1025" i="5"/>
  <c r="C1033" i="5"/>
  <c r="C1041" i="5"/>
  <c r="C1049" i="5"/>
  <c r="C1057" i="5"/>
  <c r="C1065" i="5"/>
  <c r="C1073" i="5"/>
  <c r="C1081" i="5"/>
  <c r="C1089" i="5"/>
  <c r="C1097" i="5"/>
  <c r="C1105" i="5"/>
  <c r="C1113" i="5"/>
  <c r="C1121" i="5"/>
  <c r="C1129" i="5"/>
  <c r="C1137" i="5"/>
  <c r="C1145" i="5"/>
  <c r="C1153" i="5"/>
  <c r="C1161" i="5"/>
  <c r="C1169" i="5"/>
  <c r="C1177" i="5"/>
  <c r="C1185" i="5"/>
  <c r="C1193" i="5"/>
  <c r="C1201" i="5"/>
  <c r="C1209" i="5"/>
  <c r="C1217" i="5"/>
  <c r="C1225" i="5"/>
  <c r="C1233" i="5"/>
  <c r="C1241" i="5"/>
  <c r="C1249" i="5"/>
  <c r="C1257" i="5"/>
  <c r="C1265" i="5"/>
  <c r="C1273" i="5"/>
  <c r="C1281" i="5"/>
  <c r="C1289" i="5"/>
  <c r="C1297" i="5"/>
  <c r="C1305" i="5"/>
  <c r="C1313" i="5"/>
  <c r="C1321" i="5"/>
  <c r="C1329" i="5"/>
  <c r="C1337" i="5"/>
  <c r="C1345" i="5"/>
  <c r="C1353" i="5"/>
  <c r="C1361" i="5"/>
  <c r="C1369" i="5"/>
  <c r="C1377" i="5"/>
  <c r="C1385" i="5"/>
  <c r="C1393" i="5"/>
  <c r="C1401" i="5"/>
  <c r="C1409" i="5"/>
  <c r="C1417" i="5"/>
  <c r="C1425" i="5"/>
  <c r="C1433" i="5"/>
  <c r="C1441" i="5"/>
  <c r="C1449" i="5"/>
  <c r="C1457" i="5"/>
  <c r="C1465" i="5"/>
  <c r="C1473" i="5"/>
  <c r="C1481" i="5"/>
  <c r="C1489" i="5"/>
  <c r="C1497" i="5"/>
  <c r="C1505" i="5"/>
  <c r="C1513" i="5"/>
  <c r="C1521" i="5"/>
  <c r="C1529" i="5"/>
  <c r="C1537" i="5"/>
  <c r="C1545" i="5"/>
  <c r="C1553" i="5"/>
  <c r="C1561" i="5"/>
  <c r="C1569" i="5"/>
  <c r="C1577" i="5"/>
  <c r="C1585" i="5"/>
  <c r="C1593" i="5"/>
  <c r="C1601" i="5"/>
  <c r="C1609" i="5"/>
  <c r="C1617" i="5"/>
  <c r="C1625" i="5"/>
  <c r="C1633" i="5"/>
  <c r="C1641" i="5"/>
  <c r="C1649" i="5"/>
  <c r="C1657" i="5"/>
  <c r="C1665" i="5"/>
  <c r="C1673" i="5"/>
  <c r="C1681" i="5"/>
  <c r="C1689" i="5"/>
  <c r="C1697" i="5"/>
  <c r="C1705" i="5"/>
  <c r="D7" i="5"/>
  <c r="D15" i="5"/>
  <c r="D23" i="5"/>
  <c r="D31" i="5"/>
  <c r="D39" i="5"/>
  <c r="D47" i="5"/>
  <c r="D55" i="5"/>
  <c r="D63" i="5"/>
  <c r="D71" i="5"/>
  <c r="D79" i="5"/>
  <c r="D87" i="5"/>
  <c r="D95" i="5"/>
  <c r="D103" i="5"/>
  <c r="D111" i="5"/>
  <c r="D119" i="5"/>
  <c r="D127" i="5"/>
  <c r="D135" i="5"/>
  <c r="D143" i="5"/>
  <c r="D151" i="5"/>
  <c r="D159" i="5"/>
  <c r="D167" i="5"/>
  <c r="D175" i="5"/>
  <c r="D183" i="5"/>
  <c r="D191" i="5"/>
  <c r="D199" i="5"/>
  <c r="D207" i="5"/>
  <c r="D215" i="5"/>
  <c r="D223" i="5"/>
  <c r="D231" i="5"/>
  <c r="D239" i="5"/>
  <c r="D247" i="5"/>
  <c r="D255" i="5"/>
  <c r="D263" i="5"/>
  <c r="D271" i="5"/>
  <c r="D279" i="5"/>
  <c r="D287" i="5"/>
  <c r="D295" i="5"/>
  <c r="D303" i="5"/>
  <c r="D311" i="5"/>
  <c r="D319" i="5"/>
  <c r="D327" i="5"/>
  <c r="D335" i="5"/>
  <c r="D343" i="5"/>
  <c r="D351" i="5"/>
  <c r="D359" i="5"/>
  <c r="D367" i="5"/>
  <c r="D375" i="5"/>
  <c r="D383" i="5"/>
  <c r="D391" i="5"/>
  <c r="D399" i="5"/>
  <c r="D407" i="5"/>
  <c r="D415" i="5"/>
  <c r="D423" i="5"/>
  <c r="D431" i="5"/>
  <c r="D439" i="5"/>
  <c r="D447" i="5"/>
  <c r="D455" i="5"/>
  <c r="D463" i="5"/>
  <c r="D471" i="5"/>
  <c r="D479" i="5"/>
  <c r="D487" i="5"/>
  <c r="D495" i="5"/>
  <c r="D503" i="5"/>
  <c r="D511" i="5"/>
  <c r="D519" i="5"/>
  <c r="D527" i="5"/>
  <c r="D535" i="5"/>
  <c r="D543" i="5"/>
  <c r="D551" i="5"/>
  <c r="D559" i="5"/>
  <c r="D567" i="5"/>
  <c r="D575" i="5"/>
  <c r="D583" i="5"/>
  <c r="D591" i="5"/>
  <c r="D599" i="5"/>
  <c r="D607" i="5"/>
  <c r="D615" i="5"/>
  <c r="D623" i="5"/>
  <c r="D631" i="5"/>
  <c r="D639" i="5"/>
  <c r="D647" i="5"/>
  <c r="D655" i="5"/>
  <c r="D663" i="5"/>
  <c r="D671" i="5"/>
  <c r="D679" i="5"/>
  <c r="D687" i="5"/>
  <c r="D695" i="5"/>
  <c r="D703" i="5"/>
  <c r="D711" i="5"/>
  <c r="D719" i="5"/>
  <c r="D727" i="5"/>
  <c r="D735" i="5"/>
  <c r="D743" i="5"/>
  <c r="D751" i="5"/>
  <c r="D759" i="5"/>
  <c r="D767" i="5"/>
  <c r="D775" i="5"/>
  <c r="D783" i="5"/>
  <c r="D791" i="5"/>
  <c r="D799" i="5"/>
  <c r="D807" i="5"/>
  <c r="D815" i="5"/>
  <c r="D823" i="5"/>
  <c r="D831" i="5"/>
  <c r="D839" i="5"/>
  <c r="D847" i="5"/>
  <c r="D855" i="5"/>
  <c r="D863" i="5"/>
  <c r="D871" i="5"/>
  <c r="D879" i="5"/>
  <c r="D887" i="5"/>
  <c r="D895" i="5"/>
  <c r="D903" i="5"/>
  <c r="D911" i="5"/>
  <c r="D919" i="5"/>
  <c r="D927" i="5"/>
  <c r="D935" i="5"/>
  <c r="D943" i="5"/>
  <c r="D951" i="5"/>
  <c r="D959" i="5"/>
  <c r="D967" i="5"/>
  <c r="D975" i="5"/>
  <c r="D983" i="5"/>
  <c r="D991" i="5"/>
  <c r="D999" i="5"/>
  <c r="D1007" i="5"/>
  <c r="D1015" i="5"/>
  <c r="D1023" i="5"/>
  <c r="D1031" i="5"/>
  <c r="D1039" i="5"/>
  <c r="D1047" i="5"/>
  <c r="D1055" i="5"/>
  <c r="D1063" i="5"/>
  <c r="D1071" i="5"/>
  <c r="D1079" i="5"/>
  <c r="D1087" i="5"/>
  <c r="D1095" i="5"/>
  <c r="D1103" i="5"/>
  <c r="D1111" i="5"/>
  <c r="D1119" i="5"/>
  <c r="D1127" i="5"/>
  <c r="D1135" i="5"/>
  <c r="D1143" i="5"/>
  <c r="D1151" i="5"/>
  <c r="D1159" i="5"/>
  <c r="D1167" i="5"/>
  <c r="D1175" i="5"/>
  <c r="D1183" i="5"/>
  <c r="D1191" i="5"/>
  <c r="D1199" i="5"/>
  <c r="D1207" i="5"/>
  <c r="D1215" i="5"/>
  <c r="D1223" i="5"/>
  <c r="D1231" i="5"/>
  <c r="D1239" i="5"/>
  <c r="D1247" i="5"/>
  <c r="D1255" i="5"/>
  <c r="D1263" i="5"/>
  <c r="D1271" i="5"/>
  <c r="D1279" i="5"/>
  <c r="D1287" i="5"/>
  <c r="D1295" i="5"/>
  <c r="D1303" i="5"/>
  <c r="D1311" i="5"/>
  <c r="D1319" i="5"/>
  <c r="D1327" i="5"/>
  <c r="D1335" i="5"/>
  <c r="D1343" i="5"/>
  <c r="D1351" i="5"/>
  <c r="D1359" i="5"/>
  <c r="D1367" i="5"/>
  <c r="D1375" i="5"/>
  <c r="D1383" i="5"/>
  <c r="D1391" i="5"/>
  <c r="D1399" i="5"/>
  <c r="D1407" i="5"/>
  <c r="D1415" i="5"/>
  <c r="D1423" i="5"/>
  <c r="D1431" i="5"/>
  <c r="D1439" i="5"/>
  <c r="D1447" i="5"/>
  <c r="D1455" i="5"/>
  <c r="D1463" i="5"/>
  <c r="D1471" i="5"/>
  <c r="D1479" i="5"/>
  <c r="D1487" i="5"/>
  <c r="D1495" i="5"/>
  <c r="D1503" i="5"/>
  <c r="D1511" i="5"/>
  <c r="D1519" i="5"/>
  <c r="D1527" i="5"/>
  <c r="D1535" i="5"/>
  <c r="D1543" i="5"/>
  <c r="D1551" i="5"/>
  <c r="D1559" i="5"/>
  <c r="D1567" i="5"/>
  <c r="D1575" i="5"/>
  <c r="D1583" i="5"/>
  <c r="D1591" i="5"/>
  <c r="D1599" i="5"/>
  <c r="D1607" i="5"/>
  <c r="D1615" i="5"/>
  <c r="D1623" i="5"/>
  <c r="D1631" i="5"/>
  <c r="D1639" i="5"/>
  <c r="D1647" i="5"/>
  <c r="D1655" i="5"/>
  <c r="D1663" i="5"/>
  <c r="D1671" i="5"/>
  <c r="D1679" i="5"/>
  <c r="D1687" i="5"/>
  <c r="D1695" i="5"/>
  <c r="D1703" i="5"/>
  <c r="J1" i="5"/>
  <c r="J8" i="5"/>
  <c r="J16" i="5"/>
  <c r="J24" i="5"/>
  <c r="J32" i="5"/>
  <c r="J40" i="5"/>
  <c r="J48" i="5"/>
  <c r="J56" i="5"/>
  <c r="J64" i="5"/>
  <c r="J72" i="5"/>
  <c r="J80" i="5"/>
  <c r="J88" i="5"/>
  <c r="J96" i="5"/>
  <c r="J104" i="5"/>
  <c r="J112" i="5"/>
  <c r="J120" i="5"/>
  <c r="J128" i="5"/>
  <c r="J136" i="5"/>
  <c r="J144" i="5"/>
  <c r="J152" i="5"/>
  <c r="J160" i="5"/>
  <c r="J168" i="5"/>
  <c r="J176" i="5"/>
  <c r="J184" i="5"/>
  <c r="J192" i="5"/>
  <c r="J200" i="5"/>
  <c r="J208" i="5"/>
  <c r="J216" i="5"/>
  <c r="J224" i="5"/>
  <c r="J232" i="5"/>
  <c r="J240" i="5"/>
  <c r="J248" i="5"/>
  <c r="J256" i="5"/>
  <c r="J264" i="5"/>
  <c r="J272" i="5"/>
  <c r="J280" i="5"/>
  <c r="J288" i="5"/>
  <c r="J296" i="5"/>
  <c r="J304" i="5"/>
  <c r="J312" i="5"/>
  <c r="J320" i="5"/>
  <c r="J328" i="5"/>
  <c r="J336" i="5"/>
  <c r="J344" i="5"/>
  <c r="J352" i="5"/>
  <c r="J360" i="5"/>
  <c r="J368" i="5"/>
  <c r="J376" i="5"/>
  <c r="J384" i="5"/>
  <c r="J392" i="5"/>
  <c r="J400" i="5"/>
  <c r="J408" i="5"/>
  <c r="J416" i="5"/>
  <c r="J424" i="5"/>
  <c r="J432" i="5"/>
  <c r="J440" i="5"/>
  <c r="J448" i="5"/>
  <c r="J456" i="5"/>
  <c r="J464" i="5"/>
  <c r="J472" i="5"/>
  <c r="J480" i="5"/>
  <c r="J488" i="5"/>
  <c r="J496" i="5"/>
  <c r="J504" i="5"/>
  <c r="J512" i="5"/>
  <c r="J520" i="5"/>
  <c r="J528" i="5"/>
  <c r="J536" i="5"/>
  <c r="J544" i="5"/>
  <c r="J552" i="5"/>
  <c r="J560" i="5"/>
  <c r="J568" i="5"/>
  <c r="J576" i="5"/>
  <c r="J584" i="5"/>
  <c r="J592" i="5"/>
  <c r="J600" i="5"/>
  <c r="J608" i="5"/>
  <c r="J616" i="5"/>
  <c r="J624" i="5"/>
  <c r="J632" i="5"/>
  <c r="J640" i="5"/>
  <c r="J648" i="5"/>
  <c r="J656" i="5"/>
  <c r="J664" i="5"/>
  <c r="J672" i="5"/>
  <c r="J680" i="5"/>
  <c r="J688" i="5"/>
  <c r="J696" i="5"/>
  <c r="J704" i="5"/>
  <c r="J712" i="5"/>
  <c r="J720" i="5"/>
  <c r="J728" i="5"/>
  <c r="J736" i="5"/>
  <c r="J744" i="5"/>
  <c r="J752" i="5"/>
  <c r="J760" i="5"/>
  <c r="J768" i="5"/>
  <c r="J776" i="5"/>
  <c r="J784" i="5"/>
  <c r="J792" i="5"/>
  <c r="J800" i="5"/>
  <c r="J808" i="5"/>
  <c r="J816" i="5"/>
  <c r="J824" i="5"/>
  <c r="J832" i="5"/>
  <c r="J840" i="5"/>
  <c r="J848" i="5"/>
  <c r="J856" i="5"/>
  <c r="J864" i="5"/>
  <c r="J872" i="5"/>
  <c r="J880" i="5"/>
  <c r="J888" i="5"/>
  <c r="J896" i="5"/>
  <c r="J904" i="5"/>
  <c r="J912" i="5"/>
  <c r="J920" i="5"/>
  <c r="J928" i="5"/>
  <c r="J936" i="5"/>
  <c r="J944" i="5"/>
  <c r="J952" i="5"/>
  <c r="J960" i="5"/>
  <c r="J968" i="5"/>
  <c r="J976" i="5"/>
  <c r="J984" i="5"/>
  <c r="J992" i="5"/>
  <c r="J1000" i="5"/>
  <c r="J1008" i="5"/>
  <c r="J1016" i="5"/>
  <c r="J1024" i="5"/>
  <c r="J1032" i="5"/>
  <c r="J1040" i="5"/>
  <c r="J1048" i="5"/>
  <c r="J1056" i="5"/>
  <c r="J1064" i="5"/>
  <c r="J1072" i="5"/>
  <c r="J1080" i="5"/>
  <c r="J1088" i="5"/>
  <c r="J1096" i="5"/>
  <c r="J1104" i="5"/>
  <c r="J1112" i="5"/>
  <c r="J1120" i="5"/>
  <c r="J1128" i="5"/>
  <c r="J1136" i="5"/>
  <c r="J1144" i="5"/>
  <c r="J1152" i="5"/>
  <c r="J1160" i="5"/>
  <c r="J1168" i="5"/>
  <c r="J1176" i="5"/>
  <c r="J1184" i="5"/>
  <c r="J1192" i="5"/>
  <c r="J1200" i="5"/>
  <c r="J1208" i="5"/>
  <c r="J1216" i="5"/>
  <c r="J1224" i="5"/>
  <c r="J1232" i="5"/>
  <c r="J1240" i="5"/>
  <c r="J1248" i="5"/>
  <c r="J1256" i="5"/>
  <c r="J1264" i="5"/>
  <c r="J1272" i="5"/>
  <c r="J1280" i="5"/>
  <c r="J1288" i="5"/>
  <c r="J1296" i="5"/>
  <c r="J1304" i="5"/>
  <c r="J1312" i="5"/>
  <c r="J1320" i="5"/>
  <c r="J1328" i="5"/>
  <c r="J1336" i="5"/>
  <c r="J1344" i="5"/>
  <c r="J1352" i="5"/>
  <c r="J1360" i="5"/>
  <c r="J1368" i="5"/>
  <c r="J1376" i="5"/>
  <c r="J1384" i="5"/>
  <c r="J1392" i="5"/>
  <c r="J1400" i="5"/>
  <c r="J1408" i="5"/>
  <c r="J1416" i="5"/>
  <c r="J1424" i="5"/>
  <c r="J1432" i="5"/>
  <c r="J1440" i="5"/>
  <c r="J1448" i="5"/>
  <c r="J1456" i="5"/>
  <c r="J1464" i="5"/>
  <c r="J1472" i="5"/>
  <c r="J1480" i="5"/>
  <c r="J1488" i="5"/>
  <c r="J1496" i="5"/>
  <c r="J1504" i="5"/>
  <c r="J1512" i="5"/>
  <c r="J1520" i="5"/>
  <c r="J1528" i="5"/>
  <c r="J1536" i="5"/>
  <c r="J1544" i="5"/>
  <c r="J1552" i="5"/>
  <c r="J1560" i="5"/>
  <c r="J1568" i="5"/>
  <c r="J1576" i="5"/>
  <c r="J1584" i="5"/>
  <c r="J1592" i="5"/>
  <c r="J1600" i="5"/>
  <c r="J1608" i="5"/>
  <c r="J1616" i="5"/>
  <c r="J1624" i="5"/>
  <c r="J1632" i="5"/>
  <c r="J1640" i="5"/>
  <c r="J1648" i="5"/>
  <c r="J1656" i="5"/>
  <c r="J1664" i="5"/>
  <c r="J1672" i="5"/>
  <c r="J1680" i="5"/>
  <c r="J1688" i="5"/>
  <c r="J1696" i="5"/>
  <c r="J1704" i="5"/>
  <c r="A3" i="3"/>
  <c r="A11" i="3"/>
  <c r="A19" i="3"/>
  <c r="A27" i="3"/>
  <c r="A35" i="3"/>
  <c r="A43" i="3"/>
  <c r="A51" i="3"/>
  <c r="A59" i="3"/>
  <c r="A67" i="3"/>
  <c r="A75" i="3"/>
  <c r="A83" i="3"/>
  <c r="A91" i="3"/>
  <c r="A99" i="3"/>
  <c r="A107" i="3"/>
  <c r="A115" i="3"/>
  <c r="A123" i="3"/>
  <c r="A131" i="3"/>
  <c r="A139" i="3"/>
  <c r="A147" i="3"/>
  <c r="A155" i="3"/>
  <c r="A163" i="3"/>
  <c r="A171" i="3"/>
  <c r="A179" i="3"/>
  <c r="A187" i="3"/>
  <c r="A195" i="3"/>
  <c r="A203" i="3"/>
  <c r="A211" i="3"/>
  <c r="A219" i="3"/>
  <c r="A227" i="3"/>
  <c r="A235" i="3"/>
  <c r="A243" i="3"/>
  <c r="A251" i="3"/>
  <c r="A259" i="3"/>
  <c r="A267" i="3"/>
  <c r="A275" i="3"/>
  <c r="A283" i="3"/>
  <c r="A291" i="3"/>
  <c r="A299" i="3"/>
  <c r="A307" i="3"/>
  <c r="A315" i="3"/>
  <c r="A323" i="3"/>
  <c r="A331" i="3"/>
  <c r="A339" i="3"/>
  <c r="A347" i="3"/>
  <c r="A355" i="3"/>
  <c r="A363" i="3"/>
  <c r="A371" i="3"/>
  <c r="A379" i="3"/>
  <c r="A387" i="3"/>
  <c r="A395" i="3"/>
  <c r="A403" i="3"/>
  <c r="A411" i="3"/>
  <c r="A419" i="3"/>
  <c r="A427" i="3"/>
  <c r="A435" i="3"/>
  <c r="A443" i="3"/>
  <c r="A451" i="3"/>
  <c r="A459" i="3"/>
  <c r="A467" i="3"/>
  <c r="A475" i="3"/>
  <c r="A483" i="3"/>
  <c r="A491" i="3"/>
  <c r="A499" i="3"/>
  <c r="A507" i="3"/>
  <c r="A515" i="3"/>
  <c r="A523" i="3"/>
  <c r="A531" i="3"/>
  <c r="A539" i="3"/>
  <c r="A547" i="3"/>
  <c r="A555" i="3"/>
  <c r="A563" i="3"/>
  <c r="A571" i="3"/>
  <c r="A579" i="3"/>
  <c r="A587" i="3"/>
  <c r="A595" i="3"/>
  <c r="A603" i="3"/>
  <c r="A611" i="3"/>
  <c r="A619" i="3"/>
  <c r="A627" i="3"/>
  <c r="A635" i="3"/>
  <c r="A643" i="3"/>
  <c r="A651" i="3"/>
  <c r="A659" i="3"/>
  <c r="A667" i="3"/>
  <c r="A675" i="3"/>
  <c r="A683" i="3"/>
  <c r="A691" i="3"/>
  <c r="A699" i="3"/>
  <c r="A707" i="3"/>
  <c r="A715" i="3"/>
  <c r="A723" i="3"/>
  <c r="A731" i="3"/>
  <c r="A739" i="3"/>
  <c r="A747" i="3"/>
  <c r="A755" i="3"/>
  <c r="A763" i="3"/>
  <c r="A771" i="3"/>
  <c r="A779" i="3"/>
  <c r="A787" i="3"/>
  <c r="A795" i="3"/>
  <c r="A803" i="3"/>
  <c r="A811" i="3"/>
  <c r="A819" i="3"/>
  <c r="A827" i="3"/>
  <c r="A835" i="3"/>
  <c r="A843" i="3"/>
  <c r="A851" i="3"/>
  <c r="A859" i="3"/>
  <c r="A867" i="3"/>
  <c r="A875" i="3"/>
  <c r="A883" i="3"/>
  <c r="A891" i="3"/>
  <c r="A899" i="3"/>
  <c r="A907" i="3"/>
  <c r="A915" i="3"/>
  <c r="A923" i="3"/>
  <c r="A931" i="3"/>
  <c r="A939" i="3"/>
  <c r="A947" i="3"/>
  <c r="A955" i="3"/>
  <c r="A963" i="3"/>
  <c r="A971" i="3"/>
  <c r="A979" i="3"/>
  <c r="A987" i="3"/>
  <c r="A995" i="3"/>
  <c r="A1003" i="3"/>
  <c r="A1011" i="3"/>
  <c r="A1019" i="3"/>
  <c r="A1027" i="3"/>
  <c r="A1035" i="3"/>
  <c r="A1043" i="3"/>
  <c r="A1051" i="3"/>
  <c r="A1059" i="3"/>
  <c r="A1067" i="3"/>
  <c r="A1075" i="3"/>
  <c r="A1083" i="3"/>
  <c r="A1091" i="3"/>
  <c r="A1099" i="3"/>
  <c r="A1107" i="3"/>
  <c r="A1115" i="3"/>
  <c r="A1123" i="3"/>
  <c r="A1131" i="3"/>
  <c r="A1139" i="3"/>
  <c r="A1147" i="3"/>
  <c r="A1155" i="3"/>
  <c r="A1163" i="3"/>
  <c r="A1171" i="3"/>
  <c r="A1179" i="3"/>
  <c r="A1187" i="3"/>
  <c r="A1195" i="3"/>
  <c r="A1203" i="3"/>
  <c r="A1211" i="3"/>
  <c r="A1219" i="3"/>
  <c r="A1227" i="3"/>
  <c r="A1235" i="3"/>
  <c r="A1243" i="3"/>
  <c r="A1251" i="3"/>
  <c r="A1259" i="3"/>
  <c r="A1267" i="3"/>
  <c r="A1275" i="3"/>
  <c r="A1283" i="3"/>
  <c r="A1291" i="3"/>
  <c r="A1299" i="3"/>
  <c r="A1307" i="3"/>
  <c r="A1315" i="3"/>
  <c r="A1323" i="3"/>
  <c r="A1331" i="3"/>
  <c r="A1339" i="3"/>
  <c r="A1347" i="3"/>
  <c r="A1355" i="3"/>
  <c r="A1363" i="3"/>
  <c r="A1371" i="3"/>
  <c r="A1379" i="3"/>
  <c r="A1387" i="3"/>
  <c r="A1395" i="3"/>
  <c r="A1403" i="3"/>
  <c r="A1411" i="3"/>
  <c r="A1419" i="3"/>
  <c r="A1427" i="3"/>
  <c r="A1435" i="3"/>
  <c r="A1443" i="3"/>
  <c r="A1451" i="3"/>
  <c r="A1459" i="3"/>
  <c r="A1467" i="3"/>
  <c r="A1475" i="3"/>
  <c r="A1483" i="3"/>
  <c r="A1491" i="3"/>
  <c r="A1499" i="3"/>
  <c r="A1507" i="3"/>
  <c r="A1515" i="3"/>
  <c r="A1523" i="3"/>
  <c r="A1531" i="3"/>
  <c r="A1539" i="3"/>
  <c r="A1547" i="3"/>
  <c r="A1555" i="3"/>
  <c r="A1563" i="3"/>
  <c r="A1571" i="3"/>
  <c r="A1579" i="3"/>
  <c r="A1587" i="3"/>
  <c r="A1595" i="3"/>
  <c r="A1603" i="3"/>
  <c r="A1611" i="3"/>
  <c r="A1619" i="3"/>
  <c r="A1627" i="3"/>
  <c r="A1635" i="3"/>
  <c r="A1643" i="3"/>
  <c r="A1651" i="3"/>
  <c r="A1659" i="3"/>
  <c r="A1667" i="3"/>
  <c r="A1675" i="3"/>
  <c r="A1683" i="3"/>
  <c r="A1691" i="3"/>
  <c r="A1699" i="3"/>
  <c r="J2" i="4"/>
  <c r="C45" i="4"/>
  <c r="C102" i="4"/>
  <c r="C159" i="4"/>
  <c r="C217" i="4"/>
  <c r="D1" i="5"/>
  <c r="D8" i="5"/>
  <c r="D16" i="5"/>
  <c r="D24" i="5"/>
  <c r="D32" i="5"/>
  <c r="D40" i="5"/>
  <c r="D48" i="5"/>
  <c r="D56" i="5"/>
  <c r="D64" i="5"/>
  <c r="D72" i="5"/>
  <c r="D80" i="5"/>
  <c r="D88" i="5"/>
  <c r="D96" i="5"/>
  <c r="D104" i="5"/>
  <c r="D112" i="5"/>
  <c r="D120" i="5"/>
  <c r="D128" i="5"/>
  <c r="D136" i="5"/>
  <c r="D144" i="5"/>
  <c r="D152" i="5"/>
  <c r="D160" i="5"/>
  <c r="D168" i="5"/>
  <c r="D176" i="5"/>
  <c r="D184" i="5"/>
  <c r="D192" i="5"/>
  <c r="D200" i="5"/>
  <c r="D208" i="5"/>
  <c r="D216" i="5"/>
  <c r="D224" i="5"/>
  <c r="D232" i="5"/>
  <c r="D240" i="5"/>
  <c r="D248" i="5"/>
  <c r="D256" i="5"/>
  <c r="D264" i="5"/>
  <c r="D272" i="5"/>
  <c r="D280" i="5"/>
  <c r="D288" i="5"/>
  <c r="D296" i="5"/>
  <c r="D304" i="5"/>
  <c r="D312" i="5"/>
  <c r="D320" i="5"/>
  <c r="D328" i="5"/>
  <c r="D336" i="5"/>
  <c r="D344" i="5"/>
  <c r="D352" i="5"/>
  <c r="D360" i="5"/>
  <c r="D368" i="5"/>
  <c r="D376" i="5"/>
  <c r="D384" i="5"/>
  <c r="D392" i="5"/>
  <c r="D400" i="5"/>
  <c r="D408" i="5"/>
  <c r="D416" i="5"/>
  <c r="D424" i="5"/>
  <c r="D432" i="5"/>
  <c r="D440" i="5"/>
  <c r="D448" i="5"/>
  <c r="D456" i="5"/>
  <c r="D464" i="5"/>
  <c r="D472" i="5"/>
  <c r="D480" i="5"/>
  <c r="D488" i="5"/>
  <c r="D496" i="5"/>
  <c r="D504" i="5"/>
  <c r="D512" i="5"/>
  <c r="D520" i="5"/>
  <c r="D528" i="5"/>
  <c r="D536" i="5"/>
  <c r="D544" i="5"/>
  <c r="D552" i="5"/>
  <c r="D560" i="5"/>
  <c r="D568" i="5"/>
  <c r="D576" i="5"/>
  <c r="D584" i="5"/>
  <c r="D592" i="5"/>
  <c r="D600" i="5"/>
  <c r="D608" i="5"/>
  <c r="D616" i="5"/>
  <c r="D624" i="5"/>
  <c r="D632" i="5"/>
  <c r="D640" i="5"/>
  <c r="D648" i="5"/>
  <c r="D656" i="5"/>
  <c r="D664" i="5"/>
  <c r="D672" i="5"/>
  <c r="D680" i="5"/>
  <c r="D688" i="5"/>
  <c r="D696" i="5"/>
  <c r="D704" i="5"/>
  <c r="D712" i="5"/>
  <c r="D720" i="5"/>
  <c r="D728" i="5"/>
  <c r="D736" i="5"/>
  <c r="D744" i="5"/>
  <c r="D752" i="5"/>
  <c r="D760" i="5"/>
  <c r="D768" i="5"/>
  <c r="D776" i="5"/>
  <c r="D784" i="5"/>
  <c r="D792" i="5"/>
  <c r="D800" i="5"/>
  <c r="D808" i="5"/>
  <c r="D816" i="5"/>
  <c r="D824" i="5"/>
  <c r="D832" i="5"/>
  <c r="D840" i="5"/>
  <c r="D848" i="5"/>
  <c r="D856" i="5"/>
  <c r="D864" i="5"/>
  <c r="D872" i="5"/>
  <c r="D880" i="5"/>
  <c r="D888" i="5"/>
  <c r="D896" i="5"/>
  <c r="D904" i="5"/>
  <c r="D912" i="5"/>
  <c r="D920" i="5"/>
  <c r="D928" i="5"/>
  <c r="D936" i="5"/>
  <c r="D944" i="5"/>
  <c r="D952" i="5"/>
  <c r="D960" i="5"/>
  <c r="D968" i="5"/>
  <c r="D976" i="5"/>
  <c r="D984" i="5"/>
  <c r="D992" i="5"/>
  <c r="D1000" i="5"/>
  <c r="D1008" i="5"/>
  <c r="D1016" i="5"/>
  <c r="D1024" i="5"/>
  <c r="D1032" i="5"/>
  <c r="D1040" i="5"/>
  <c r="D1048" i="5"/>
  <c r="D1056" i="5"/>
  <c r="D1064" i="5"/>
  <c r="D1072" i="5"/>
  <c r="D1080" i="5"/>
  <c r="D1088" i="5"/>
  <c r="D1096" i="5"/>
  <c r="D1104" i="5"/>
  <c r="D1112" i="5"/>
  <c r="D1120" i="5"/>
  <c r="D1128" i="5"/>
  <c r="D1136" i="5"/>
  <c r="D1144" i="5"/>
  <c r="D1152" i="5"/>
  <c r="D1160" i="5"/>
  <c r="D1168" i="5"/>
  <c r="D1176" i="5"/>
  <c r="D1184" i="5"/>
  <c r="D1192" i="5"/>
  <c r="D1200" i="5"/>
  <c r="D1208" i="5"/>
  <c r="D1216" i="5"/>
  <c r="D1224" i="5"/>
  <c r="D1232" i="5"/>
  <c r="D1240" i="5"/>
  <c r="D1248" i="5"/>
  <c r="D1256" i="5"/>
  <c r="D1264" i="5"/>
  <c r="D1272" i="5"/>
  <c r="D1280" i="5"/>
  <c r="D1288" i="5"/>
  <c r="D1296" i="5"/>
  <c r="D1304" i="5"/>
  <c r="D1312" i="5"/>
  <c r="D1320" i="5"/>
  <c r="D1328" i="5"/>
  <c r="D1336" i="5"/>
  <c r="D1344" i="5"/>
  <c r="D1352" i="5"/>
  <c r="D1360" i="5"/>
  <c r="D1368" i="5"/>
  <c r="D1376" i="5"/>
  <c r="D1384" i="5"/>
  <c r="D1392" i="5"/>
  <c r="D1400" i="5"/>
  <c r="D1408" i="5"/>
  <c r="D1416" i="5"/>
  <c r="D1424" i="5"/>
  <c r="D1432" i="5"/>
  <c r="D1440" i="5"/>
  <c r="D1448" i="5"/>
  <c r="D1456" i="5"/>
  <c r="D1464" i="5"/>
  <c r="D1472" i="5"/>
  <c r="D1480" i="5"/>
  <c r="D1488" i="5"/>
  <c r="D1496" i="5"/>
  <c r="D1504" i="5"/>
  <c r="D1512" i="5"/>
  <c r="D1520" i="5"/>
  <c r="D1528" i="5"/>
  <c r="D1536" i="5"/>
  <c r="D1544" i="5"/>
  <c r="D1552" i="5"/>
  <c r="D1560" i="5"/>
  <c r="D1568" i="5"/>
  <c r="D1576" i="5"/>
  <c r="D1584" i="5"/>
  <c r="D1592" i="5"/>
  <c r="D1600" i="5"/>
  <c r="D1608" i="5"/>
  <c r="D1616" i="5"/>
  <c r="D1624" i="5"/>
  <c r="D1632" i="5"/>
  <c r="D1640" i="5"/>
  <c r="D1648" i="5"/>
  <c r="D1656" i="5"/>
  <c r="D1664" i="5"/>
  <c r="D1672" i="5"/>
  <c r="D1680" i="5"/>
  <c r="D1688" i="5"/>
  <c r="D1696" i="5"/>
  <c r="D1704" i="5"/>
  <c r="J9" i="5"/>
  <c r="J17" i="5"/>
  <c r="J25" i="5"/>
  <c r="J33" i="5"/>
  <c r="J41" i="5"/>
  <c r="J49" i="5"/>
  <c r="J57" i="5"/>
  <c r="J65" i="5"/>
  <c r="J73" i="5"/>
  <c r="J81" i="5"/>
  <c r="J89" i="5"/>
  <c r="J97" i="5"/>
  <c r="J105" i="5"/>
  <c r="J113" i="5"/>
  <c r="J121" i="5"/>
  <c r="J129" i="5"/>
  <c r="J137" i="5"/>
  <c r="J145" i="5"/>
  <c r="J153" i="5"/>
  <c r="J161" i="5"/>
  <c r="J169" i="5"/>
  <c r="J177" i="5"/>
  <c r="J185" i="5"/>
  <c r="J193" i="5"/>
  <c r="J201" i="5"/>
  <c r="J209" i="5"/>
  <c r="J217" i="5"/>
  <c r="J225" i="5"/>
  <c r="J233" i="5"/>
  <c r="J241" i="5"/>
  <c r="J249" i="5"/>
  <c r="J257" i="5"/>
  <c r="J265" i="5"/>
  <c r="J273" i="5"/>
  <c r="J281" i="5"/>
  <c r="J289" i="5"/>
  <c r="J297" i="5"/>
  <c r="J305" i="5"/>
  <c r="J313" i="5"/>
  <c r="J321" i="5"/>
  <c r="J329" i="5"/>
  <c r="J337" i="5"/>
  <c r="J345" i="5"/>
  <c r="J353" i="5"/>
  <c r="J361" i="5"/>
  <c r="J369" i="5"/>
  <c r="J377" i="5"/>
  <c r="J385" i="5"/>
  <c r="J393" i="5"/>
  <c r="J401" i="5"/>
  <c r="J409" i="5"/>
  <c r="J417" i="5"/>
  <c r="J425" i="5"/>
  <c r="J433" i="5"/>
  <c r="J441" i="5"/>
  <c r="J449" i="5"/>
  <c r="J457" i="5"/>
  <c r="J465" i="5"/>
  <c r="J473" i="5"/>
  <c r="J481" i="5"/>
  <c r="J489" i="5"/>
  <c r="J497" i="5"/>
  <c r="J505" i="5"/>
  <c r="J513" i="5"/>
  <c r="J521" i="5"/>
  <c r="J529" i="5"/>
  <c r="J537" i="5"/>
  <c r="J545" i="5"/>
  <c r="J553" i="5"/>
  <c r="J561" i="5"/>
  <c r="J569" i="5"/>
  <c r="J577" i="5"/>
  <c r="J585" i="5"/>
  <c r="J593" i="5"/>
  <c r="J601" i="5"/>
  <c r="J609" i="5"/>
  <c r="J617" i="5"/>
  <c r="J625" i="5"/>
  <c r="J633" i="5"/>
  <c r="J641" i="5"/>
  <c r="J649" i="5"/>
  <c r="J657" i="5"/>
  <c r="J665" i="5"/>
  <c r="J673" i="5"/>
  <c r="J681" i="5"/>
  <c r="J689" i="5"/>
  <c r="J697" i="5"/>
  <c r="J705" i="5"/>
  <c r="J713" i="5"/>
  <c r="J721" i="5"/>
  <c r="J729" i="5"/>
  <c r="J737" i="5"/>
  <c r="J745" i="5"/>
  <c r="J753" i="5"/>
  <c r="J761" i="5"/>
  <c r="J769" i="5"/>
  <c r="J777" i="5"/>
  <c r="J785" i="5"/>
  <c r="J793" i="5"/>
  <c r="J801" i="5"/>
  <c r="J809" i="5"/>
  <c r="J817" i="5"/>
  <c r="J825" i="5"/>
  <c r="J833" i="5"/>
  <c r="J841" i="5"/>
  <c r="J849" i="5"/>
  <c r="J857" i="5"/>
  <c r="J865" i="5"/>
  <c r="J873" i="5"/>
  <c r="J881" i="5"/>
  <c r="J889" i="5"/>
  <c r="J897" i="5"/>
  <c r="J905" i="5"/>
  <c r="J913" i="5"/>
  <c r="J921" i="5"/>
  <c r="J929" i="5"/>
  <c r="J937" i="5"/>
  <c r="J945" i="5"/>
  <c r="J953" i="5"/>
  <c r="J961" i="5"/>
  <c r="J969" i="5"/>
  <c r="J977" i="5"/>
  <c r="J985" i="5"/>
  <c r="J993" i="5"/>
  <c r="J1001" i="5"/>
  <c r="J1009" i="5"/>
  <c r="J1017" i="5"/>
  <c r="J1025" i="5"/>
  <c r="J1033" i="5"/>
  <c r="J1041" i="5"/>
  <c r="J1049" i="5"/>
  <c r="J1057" i="5"/>
  <c r="J1065" i="5"/>
  <c r="J1073" i="5"/>
  <c r="J1081" i="5"/>
  <c r="J1089" i="5"/>
  <c r="J1097" i="5"/>
  <c r="J1105" i="5"/>
  <c r="J1113" i="5"/>
  <c r="J1121" i="5"/>
  <c r="J1129" i="5"/>
  <c r="J1137" i="5"/>
  <c r="J1145" i="5"/>
  <c r="J1153" i="5"/>
  <c r="J1161" i="5"/>
  <c r="J1169" i="5"/>
  <c r="J1177" i="5"/>
  <c r="J1185" i="5"/>
  <c r="J1193" i="5"/>
  <c r="J1201" i="5"/>
  <c r="J1209" i="5"/>
  <c r="J1217" i="5"/>
  <c r="J1225" i="5"/>
  <c r="J1233" i="5"/>
  <c r="J1241" i="5"/>
  <c r="J1249" i="5"/>
  <c r="J1257" i="5"/>
  <c r="J1265" i="5"/>
  <c r="J1273" i="5"/>
  <c r="J1281" i="5"/>
  <c r="J1289" i="5"/>
  <c r="J1297" i="5"/>
  <c r="J1305" i="5"/>
  <c r="J1313" i="5"/>
  <c r="J1321" i="5"/>
  <c r="J1329" i="5"/>
  <c r="J1337" i="5"/>
  <c r="J1345" i="5"/>
  <c r="J1353" i="5"/>
  <c r="J1361" i="5"/>
  <c r="J1369" i="5"/>
  <c r="J1377" i="5"/>
  <c r="J1385" i="5"/>
  <c r="J1393" i="5"/>
  <c r="J1401" i="5"/>
  <c r="J1409" i="5"/>
  <c r="J1417" i="5"/>
  <c r="J1425" i="5"/>
  <c r="J1433" i="5"/>
  <c r="J1441" i="5"/>
  <c r="J1449" i="5"/>
  <c r="J1457" i="5"/>
  <c r="J1465" i="5"/>
  <c r="J1473" i="5"/>
  <c r="J1481" i="5"/>
  <c r="J1489" i="5"/>
  <c r="J1497" i="5"/>
  <c r="J1505" i="5"/>
  <c r="J1513" i="5"/>
  <c r="J1521" i="5"/>
  <c r="J1529" i="5"/>
  <c r="J1537" i="5"/>
  <c r="J1545" i="5"/>
  <c r="J1553" i="5"/>
  <c r="J1561" i="5"/>
  <c r="J1569" i="5"/>
  <c r="J1577" i="5"/>
  <c r="J1585" i="5"/>
  <c r="J1593" i="5"/>
  <c r="J1601" i="5"/>
  <c r="J1609" i="5"/>
  <c r="J1617" i="5"/>
  <c r="J1625" i="5"/>
  <c r="J1633" i="5"/>
  <c r="J1641" i="5"/>
  <c r="J1649" i="5"/>
  <c r="J1657" i="5"/>
  <c r="J1665" i="5"/>
  <c r="J1673" i="5"/>
  <c r="J1681" i="5"/>
  <c r="J1689" i="5"/>
  <c r="J1697" i="5"/>
  <c r="J1705" i="5"/>
  <c r="D9" i="5"/>
  <c r="D17" i="5"/>
  <c r="D25" i="5"/>
  <c r="D33" i="5"/>
  <c r="D41" i="5"/>
  <c r="D49" i="5"/>
  <c r="D57" i="5"/>
  <c r="D65" i="5"/>
  <c r="D73" i="5"/>
  <c r="D81" i="5"/>
  <c r="D89" i="5"/>
  <c r="D97" i="5"/>
  <c r="D105" i="5"/>
  <c r="D113" i="5"/>
  <c r="D121" i="5"/>
  <c r="D129" i="5"/>
  <c r="D137" i="5"/>
  <c r="D145" i="5"/>
  <c r="D153" i="5"/>
  <c r="D161" i="5"/>
  <c r="D169" i="5"/>
  <c r="D177" i="5"/>
  <c r="D185" i="5"/>
  <c r="D193" i="5"/>
  <c r="D201" i="5"/>
  <c r="D209" i="5"/>
  <c r="D217" i="5"/>
  <c r="D225" i="5"/>
  <c r="D233" i="5"/>
  <c r="D241" i="5"/>
  <c r="D249" i="5"/>
  <c r="D257" i="5"/>
  <c r="D265" i="5"/>
  <c r="D273" i="5"/>
  <c r="D281" i="5"/>
  <c r="D289" i="5"/>
  <c r="D297" i="5"/>
  <c r="D305" i="5"/>
  <c r="D313" i="5"/>
  <c r="D321" i="5"/>
  <c r="D329" i="5"/>
  <c r="D337" i="5"/>
  <c r="D345" i="5"/>
  <c r="D353" i="5"/>
  <c r="D361" i="5"/>
  <c r="D369" i="5"/>
  <c r="D377" i="5"/>
  <c r="D385" i="5"/>
  <c r="D393" i="5"/>
  <c r="D401" i="5"/>
  <c r="D409" i="5"/>
  <c r="D417" i="5"/>
  <c r="D425" i="5"/>
  <c r="D433" i="5"/>
  <c r="D441" i="5"/>
  <c r="D449" i="5"/>
  <c r="D457" i="5"/>
  <c r="D465" i="5"/>
  <c r="D473" i="5"/>
  <c r="D481" i="5"/>
  <c r="D489" i="5"/>
  <c r="D497" i="5"/>
  <c r="D505" i="5"/>
  <c r="D513" i="5"/>
  <c r="D521" i="5"/>
  <c r="D529" i="5"/>
  <c r="D537" i="5"/>
  <c r="D545" i="5"/>
  <c r="D553" i="5"/>
  <c r="D561" i="5"/>
  <c r="D569" i="5"/>
  <c r="D577" i="5"/>
  <c r="D585" i="5"/>
  <c r="D593" i="5"/>
  <c r="D601" i="5"/>
  <c r="D609" i="5"/>
  <c r="D617" i="5"/>
  <c r="D625" i="5"/>
  <c r="D633" i="5"/>
  <c r="D641" i="5"/>
  <c r="D649" i="5"/>
  <c r="D657" i="5"/>
  <c r="D665" i="5"/>
  <c r="D673" i="5"/>
  <c r="D681" i="5"/>
  <c r="D689" i="5"/>
  <c r="D697" i="5"/>
  <c r="D705" i="5"/>
  <c r="D713" i="5"/>
  <c r="D721" i="5"/>
  <c r="D729" i="5"/>
  <c r="D737" i="5"/>
  <c r="D745" i="5"/>
  <c r="D753" i="5"/>
  <c r="D761" i="5"/>
  <c r="D769" i="5"/>
  <c r="D777" i="5"/>
  <c r="D785" i="5"/>
  <c r="D793" i="5"/>
  <c r="D801" i="5"/>
  <c r="D809" i="5"/>
  <c r="D817" i="5"/>
  <c r="D825" i="5"/>
  <c r="D833" i="5"/>
  <c r="D841" i="5"/>
  <c r="D849" i="5"/>
  <c r="D857" i="5"/>
  <c r="D865" i="5"/>
  <c r="D873" i="5"/>
  <c r="D881" i="5"/>
  <c r="D889" i="5"/>
  <c r="D897" i="5"/>
  <c r="D905" i="5"/>
  <c r="D913" i="5"/>
  <c r="D921" i="5"/>
  <c r="D929" i="5"/>
  <c r="D937" i="5"/>
  <c r="D945" i="5"/>
  <c r="D953" i="5"/>
  <c r="D961" i="5"/>
  <c r="D969" i="5"/>
  <c r="D977" i="5"/>
  <c r="D985" i="5"/>
  <c r="D993" i="5"/>
  <c r="D1001" i="5"/>
  <c r="D1009" i="5"/>
  <c r="D1017" i="5"/>
  <c r="D1025" i="5"/>
  <c r="D1033" i="5"/>
  <c r="D1041" i="5"/>
  <c r="D1049" i="5"/>
  <c r="D1057" i="5"/>
  <c r="D1065" i="5"/>
  <c r="D1073" i="5"/>
  <c r="D1081" i="5"/>
  <c r="D1089" i="5"/>
  <c r="D1097" i="5"/>
  <c r="D1105" i="5"/>
  <c r="D1113" i="5"/>
  <c r="D1121" i="5"/>
  <c r="D1129" i="5"/>
  <c r="D1137" i="5"/>
  <c r="D1145" i="5"/>
  <c r="D1153" i="5"/>
  <c r="D1161" i="5"/>
  <c r="D1169" i="5"/>
  <c r="D1177" i="5"/>
  <c r="D1185" i="5"/>
  <c r="D1193" i="5"/>
  <c r="D1201" i="5"/>
  <c r="D1209" i="5"/>
  <c r="D1217" i="5"/>
  <c r="D1225" i="5"/>
  <c r="D1233" i="5"/>
  <c r="D1241" i="5"/>
  <c r="D1249" i="5"/>
  <c r="D1257" i="5"/>
  <c r="D1265" i="5"/>
  <c r="D1273" i="5"/>
  <c r="D1281" i="5"/>
  <c r="D1289" i="5"/>
  <c r="D1297" i="5"/>
  <c r="D1305" i="5"/>
  <c r="D1313" i="5"/>
  <c r="D1321" i="5"/>
  <c r="D1329" i="5"/>
  <c r="D1337" i="5"/>
  <c r="D1345" i="5"/>
  <c r="D1353" i="5"/>
  <c r="D1361" i="5"/>
  <c r="D1369" i="5"/>
  <c r="D1377" i="5"/>
  <c r="D1385" i="5"/>
  <c r="D1393" i="5"/>
  <c r="D1401" i="5"/>
  <c r="D1409" i="5"/>
  <c r="D1417" i="5"/>
  <c r="D1425" i="5"/>
  <c r="D1433" i="5"/>
  <c r="D1441" i="5"/>
  <c r="D1449" i="5"/>
  <c r="D1457" i="5"/>
  <c r="D1465" i="5"/>
  <c r="D1473" i="5"/>
  <c r="D1481" i="5"/>
  <c r="D1489" i="5"/>
  <c r="D1497" i="5"/>
  <c r="D1505" i="5"/>
  <c r="D1513" i="5"/>
  <c r="D1521" i="5"/>
  <c r="D1529" i="5"/>
  <c r="D1537" i="5"/>
  <c r="D1545" i="5"/>
  <c r="D1553" i="5"/>
  <c r="D1561" i="5"/>
  <c r="D1569" i="5"/>
  <c r="D1577" i="5"/>
  <c r="D1585" i="5"/>
  <c r="D1593" i="5"/>
  <c r="D1601" i="5"/>
  <c r="D1609" i="5"/>
  <c r="D1617" i="5"/>
  <c r="D1625" i="5"/>
  <c r="D1633" i="5"/>
  <c r="D1641" i="5"/>
  <c r="D1649" i="5"/>
  <c r="D1657" i="5"/>
  <c r="D1665" i="5"/>
  <c r="D1673" i="5"/>
  <c r="D1681" i="5"/>
  <c r="D1689" i="5"/>
  <c r="D1697" i="5"/>
  <c r="D1705" i="5"/>
  <c r="J2" i="5"/>
  <c r="J10" i="5"/>
  <c r="J18" i="5"/>
  <c r="J26" i="5"/>
  <c r="J34" i="5"/>
  <c r="J42" i="5"/>
  <c r="J50" i="5"/>
  <c r="J58" i="5"/>
  <c r="J66" i="5"/>
  <c r="J74" i="5"/>
  <c r="J82" i="5"/>
  <c r="J90" i="5"/>
  <c r="J98" i="5"/>
  <c r="J106" i="5"/>
  <c r="J114" i="5"/>
  <c r="J122" i="5"/>
  <c r="J130" i="5"/>
  <c r="J138" i="5"/>
  <c r="J146" i="5"/>
  <c r="J154" i="5"/>
  <c r="J162" i="5"/>
  <c r="J170" i="5"/>
  <c r="J178" i="5"/>
  <c r="J186" i="5"/>
  <c r="J194" i="5"/>
  <c r="J202" i="5"/>
  <c r="J210" i="5"/>
  <c r="J218" i="5"/>
  <c r="J226" i="5"/>
  <c r="J234" i="5"/>
  <c r="J242" i="5"/>
  <c r="J250" i="5"/>
  <c r="J258" i="5"/>
  <c r="J266" i="5"/>
  <c r="J274" i="5"/>
  <c r="J282" i="5"/>
  <c r="J290" i="5"/>
  <c r="J298" i="5"/>
  <c r="J306" i="5"/>
  <c r="J314" i="5"/>
  <c r="J322" i="5"/>
  <c r="J330" i="5"/>
  <c r="J338" i="5"/>
  <c r="J346" i="5"/>
  <c r="J354" i="5"/>
  <c r="J362" i="5"/>
  <c r="J370" i="5"/>
  <c r="J378" i="5"/>
  <c r="J386" i="5"/>
  <c r="J394" i="5"/>
  <c r="J402" i="5"/>
  <c r="J410" i="5"/>
  <c r="J418" i="5"/>
  <c r="J426" i="5"/>
  <c r="J434" i="5"/>
  <c r="J442" i="5"/>
  <c r="J450" i="5"/>
  <c r="J458" i="5"/>
  <c r="J466" i="5"/>
  <c r="J474" i="5"/>
  <c r="J482" i="5"/>
  <c r="J490" i="5"/>
  <c r="J498" i="5"/>
  <c r="J506" i="5"/>
  <c r="J514" i="5"/>
  <c r="J522" i="5"/>
  <c r="J530" i="5"/>
  <c r="J538" i="5"/>
  <c r="J546" i="5"/>
  <c r="J554" i="5"/>
  <c r="J562" i="5"/>
  <c r="J570" i="5"/>
  <c r="J578" i="5"/>
  <c r="J586" i="5"/>
  <c r="J594" i="5"/>
  <c r="J602" i="5"/>
  <c r="J610" i="5"/>
  <c r="J618" i="5"/>
  <c r="J626" i="5"/>
  <c r="J634" i="5"/>
  <c r="J642" i="5"/>
  <c r="J650" i="5"/>
  <c r="J658" i="5"/>
  <c r="J666" i="5"/>
  <c r="J674" i="5"/>
  <c r="J682" i="5"/>
  <c r="J690" i="5"/>
  <c r="J698" i="5"/>
  <c r="J706" i="5"/>
  <c r="J714" i="5"/>
  <c r="J722" i="5"/>
  <c r="J730" i="5"/>
  <c r="J738" i="5"/>
  <c r="J746" i="5"/>
  <c r="J754" i="5"/>
  <c r="J762" i="5"/>
  <c r="J770" i="5"/>
  <c r="J778" i="5"/>
  <c r="J786" i="5"/>
  <c r="J794" i="5"/>
  <c r="J802" i="5"/>
  <c r="J810" i="5"/>
  <c r="J818" i="5"/>
  <c r="J826" i="5"/>
  <c r="J834" i="5"/>
  <c r="J842" i="5"/>
  <c r="J850" i="5"/>
  <c r="J858" i="5"/>
  <c r="J866" i="5"/>
  <c r="J874" i="5"/>
  <c r="J882" i="5"/>
  <c r="J890" i="5"/>
  <c r="J898" i="5"/>
  <c r="J906" i="5"/>
  <c r="J914" i="5"/>
  <c r="J922" i="5"/>
  <c r="J930" i="5"/>
  <c r="J938" i="5"/>
  <c r="J946" i="5"/>
  <c r="J954" i="5"/>
  <c r="J962" i="5"/>
  <c r="J970" i="5"/>
  <c r="J978" i="5"/>
  <c r="J986" i="5"/>
  <c r="J994" i="5"/>
  <c r="J1002" i="5"/>
  <c r="J1010" i="5"/>
  <c r="J1018" i="5"/>
  <c r="J1026" i="5"/>
  <c r="J1034" i="5"/>
  <c r="J1042" i="5"/>
  <c r="J1050" i="5"/>
  <c r="J1058" i="5"/>
  <c r="J1066" i="5"/>
  <c r="J1074" i="5"/>
  <c r="J1082" i="5"/>
  <c r="J1090" i="5"/>
  <c r="J1098" i="5"/>
  <c r="J1106" i="5"/>
  <c r="J1114" i="5"/>
  <c r="J1122" i="5"/>
  <c r="J1130" i="5"/>
  <c r="J1138" i="5"/>
  <c r="J1146" i="5"/>
  <c r="J1154" i="5"/>
  <c r="J1162" i="5"/>
  <c r="J1170" i="5"/>
  <c r="J1178" i="5"/>
  <c r="J1186" i="5"/>
  <c r="J1194" i="5"/>
  <c r="J1202" i="5"/>
  <c r="J1210" i="5"/>
  <c r="J1218" i="5"/>
  <c r="J1226" i="5"/>
  <c r="J1234" i="5"/>
  <c r="J1242" i="5"/>
  <c r="J1250" i="5"/>
  <c r="J1258" i="5"/>
  <c r="J1266" i="5"/>
  <c r="J1274" i="5"/>
  <c r="J1282" i="5"/>
  <c r="J1290" i="5"/>
  <c r="J1298" i="5"/>
  <c r="J1306" i="5"/>
  <c r="J1314" i="5"/>
  <c r="J1322" i="5"/>
  <c r="J1330" i="5"/>
  <c r="J1338" i="5"/>
  <c r="J1346" i="5"/>
  <c r="J1354" i="5"/>
  <c r="J1362" i="5"/>
  <c r="J1370" i="5"/>
  <c r="J1378" i="5"/>
  <c r="J1386" i="5"/>
  <c r="J1394" i="5"/>
  <c r="J1402" i="5"/>
  <c r="J1410" i="5"/>
  <c r="J1418" i="5"/>
  <c r="J1426" i="5"/>
  <c r="J1434" i="5"/>
  <c r="J1442" i="5"/>
  <c r="J1450" i="5"/>
  <c r="J1458" i="5"/>
  <c r="J1466" i="5"/>
  <c r="J1474" i="5"/>
  <c r="J1482" i="5"/>
  <c r="J1490" i="5"/>
  <c r="J1498" i="5"/>
  <c r="J1506" i="5"/>
  <c r="J1514" i="5"/>
  <c r="J1522" i="5"/>
  <c r="J1530" i="5"/>
  <c r="J1538" i="5"/>
  <c r="J1546" i="5"/>
  <c r="J1554" i="5"/>
  <c r="J1562" i="5"/>
  <c r="J1570" i="5"/>
  <c r="J1578" i="5"/>
  <c r="J1586" i="5"/>
  <c r="J1594" i="5"/>
  <c r="J1602" i="5"/>
  <c r="J1610" i="5"/>
  <c r="J1618" i="5"/>
  <c r="J1626" i="5"/>
  <c r="J1634" i="5"/>
  <c r="J1642" i="5"/>
  <c r="J1650" i="5"/>
  <c r="J1658" i="5"/>
  <c r="J1666" i="5"/>
  <c r="J1674" i="5"/>
  <c r="J1682" i="5"/>
  <c r="J1690" i="5"/>
  <c r="J1698" i="5"/>
  <c r="A5" i="3"/>
  <c r="A13" i="3"/>
  <c r="A21" i="3"/>
  <c r="A29" i="3"/>
  <c r="A37" i="3"/>
  <c r="A45" i="3"/>
  <c r="A53" i="3"/>
  <c r="A61" i="3"/>
  <c r="A69" i="3"/>
  <c r="A77" i="3"/>
  <c r="A85" i="3"/>
  <c r="A93" i="3"/>
  <c r="A101" i="3"/>
  <c r="A109" i="3"/>
  <c r="A117" i="3"/>
  <c r="A125" i="3"/>
  <c r="A133" i="3"/>
  <c r="A141" i="3"/>
  <c r="A149" i="3"/>
  <c r="A157" i="3"/>
  <c r="A165" i="3"/>
  <c r="A173" i="3"/>
  <c r="A181" i="3"/>
  <c r="A189" i="3"/>
  <c r="A197" i="3"/>
  <c r="A205" i="3"/>
  <c r="A213" i="3"/>
  <c r="A221" i="3"/>
  <c r="A229" i="3"/>
  <c r="A237" i="3"/>
  <c r="A245" i="3"/>
  <c r="A253" i="3"/>
  <c r="A261" i="3"/>
  <c r="A269" i="3"/>
  <c r="A277" i="3"/>
  <c r="A285" i="3"/>
  <c r="A293" i="3"/>
  <c r="A301" i="3"/>
  <c r="A309" i="3"/>
  <c r="A317" i="3"/>
  <c r="A325" i="3"/>
  <c r="A333" i="3"/>
  <c r="A341" i="3"/>
  <c r="A349" i="3"/>
  <c r="A357" i="3"/>
  <c r="A365" i="3"/>
  <c r="A373" i="3"/>
  <c r="A381" i="3"/>
  <c r="A389" i="3"/>
  <c r="A397" i="3"/>
  <c r="A405" i="3"/>
  <c r="A413" i="3"/>
  <c r="A421" i="3"/>
  <c r="A429" i="3"/>
  <c r="A437" i="3"/>
  <c r="A445" i="3"/>
  <c r="A453" i="3"/>
  <c r="A461" i="3"/>
  <c r="A469" i="3"/>
  <c r="A477" i="3"/>
  <c r="A485" i="3"/>
  <c r="A493" i="3"/>
  <c r="A501" i="3"/>
  <c r="A509" i="3"/>
  <c r="A517" i="3"/>
  <c r="A525" i="3"/>
  <c r="A533" i="3"/>
  <c r="A541" i="3"/>
  <c r="A549" i="3"/>
  <c r="A557" i="3"/>
  <c r="A565" i="3"/>
  <c r="A573" i="3"/>
  <c r="A581" i="3"/>
  <c r="A589" i="3"/>
  <c r="A597" i="3"/>
  <c r="A605" i="3"/>
  <c r="A613" i="3"/>
  <c r="A621" i="3"/>
  <c r="A629" i="3"/>
  <c r="A637" i="3"/>
  <c r="A645" i="3"/>
  <c r="A653" i="3"/>
  <c r="A661" i="3"/>
  <c r="A669" i="3"/>
  <c r="A677" i="3"/>
  <c r="A685" i="3"/>
  <c r="A693" i="3"/>
  <c r="A701" i="3"/>
  <c r="A709" i="3"/>
  <c r="A717" i="3"/>
  <c r="A725" i="3"/>
  <c r="A733" i="3"/>
  <c r="A741" i="3"/>
  <c r="A749" i="3"/>
  <c r="A757" i="3"/>
  <c r="A765" i="3"/>
  <c r="A773" i="3"/>
  <c r="A781" i="3"/>
  <c r="A789" i="3"/>
  <c r="A797" i="3"/>
  <c r="A805" i="3"/>
  <c r="A813" i="3"/>
  <c r="A821" i="3"/>
  <c r="A829" i="3"/>
  <c r="A837" i="3"/>
  <c r="A845" i="3"/>
  <c r="A853" i="3"/>
  <c r="A861" i="3"/>
  <c r="A869" i="3"/>
  <c r="A877" i="3"/>
  <c r="A885" i="3"/>
  <c r="A893" i="3"/>
  <c r="A901" i="3"/>
  <c r="A909" i="3"/>
  <c r="A917" i="3"/>
  <c r="A925" i="3"/>
  <c r="A933" i="3"/>
  <c r="A941" i="3"/>
  <c r="A949" i="3"/>
  <c r="A957" i="3"/>
  <c r="A965" i="3"/>
  <c r="A973" i="3"/>
  <c r="A981" i="3"/>
  <c r="A989" i="3"/>
  <c r="A997" i="3"/>
  <c r="A1005" i="3"/>
  <c r="A1013" i="3"/>
  <c r="A1021" i="3"/>
  <c r="A1029" i="3"/>
  <c r="A1037" i="3"/>
  <c r="A1045" i="3"/>
  <c r="A1053" i="3"/>
  <c r="A1061" i="3"/>
  <c r="A1069" i="3"/>
  <c r="A1077" i="3"/>
  <c r="A1085" i="3"/>
  <c r="A1093" i="3"/>
  <c r="A1101" i="3"/>
  <c r="A1109" i="3"/>
  <c r="A1117" i="3"/>
  <c r="A1125" i="3"/>
  <c r="A1133" i="3"/>
  <c r="A1141" i="3"/>
  <c r="A1149" i="3"/>
  <c r="A1157" i="3"/>
  <c r="A1165" i="3"/>
  <c r="A1173" i="3"/>
  <c r="A1181" i="3"/>
  <c r="A1189" i="3"/>
  <c r="A1197" i="3"/>
  <c r="A1205" i="3"/>
  <c r="A1213" i="3"/>
  <c r="A1221" i="3"/>
  <c r="A1229" i="3"/>
  <c r="A1237" i="3"/>
  <c r="A1245" i="3"/>
  <c r="A1253" i="3"/>
  <c r="A1261" i="3"/>
  <c r="A1269" i="3"/>
  <c r="A1277" i="3"/>
  <c r="A1285" i="3"/>
  <c r="A1293" i="3"/>
  <c r="A1301" i="3"/>
  <c r="A1309" i="3"/>
  <c r="A1317" i="3"/>
  <c r="A1325" i="3"/>
  <c r="A1333" i="3"/>
  <c r="A1341" i="3"/>
  <c r="A1349" i="3"/>
  <c r="A1357" i="3"/>
  <c r="A1365" i="3"/>
  <c r="A1373" i="3"/>
  <c r="A1381" i="3"/>
  <c r="A1389" i="3"/>
  <c r="A1397" i="3"/>
  <c r="A1405" i="3"/>
  <c r="A1413" i="3"/>
  <c r="A1421" i="3"/>
  <c r="A1429" i="3"/>
  <c r="A1437" i="3"/>
  <c r="A1445" i="3"/>
  <c r="A1453" i="3"/>
  <c r="A1461" i="3"/>
  <c r="A1469" i="3"/>
  <c r="A1477" i="3"/>
  <c r="A1485" i="3"/>
  <c r="A1493" i="3"/>
  <c r="A1501" i="3"/>
  <c r="A1509" i="3"/>
  <c r="A1517" i="3"/>
  <c r="A1525" i="3"/>
  <c r="A1533" i="3"/>
  <c r="A1541" i="3"/>
  <c r="A1549" i="3"/>
  <c r="A1557" i="3"/>
  <c r="A1565" i="3"/>
  <c r="A1573" i="3"/>
  <c r="A1581" i="3"/>
  <c r="A1589" i="3"/>
  <c r="A1597" i="3"/>
  <c r="A1605" i="3"/>
  <c r="A1613" i="3"/>
  <c r="A1621" i="3"/>
  <c r="A1629" i="3"/>
  <c r="A1637" i="3"/>
  <c r="A1645" i="3"/>
  <c r="A1653" i="3"/>
  <c r="A1661" i="3"/>
  <c r="A1669" i="3"/>
  <c r="A1677" i="3"/>
  <c r="A1685" i="3"/>
  <c r="A1693" i="3"/>
  <c r="A1701" i="3"/>
  <c r="D2" i="4"/>
  <c r="E45" i="4"/>
  <c r="E102" i="4"/>
  <c r="E159" i="4"/>
  <c r="E217" i="4"/>
  <c r="E273" i="4"/>
  <c r="C4" i="5"/>
  <c r="C12" i="5"/>
  <c r="C20" i="5"/>
  <c r="C28" i="5"/>
  <c r="C36" i="5"/>
  <c r="C44" i="5"/>
  <c r="C52" i="5"/>
  <c r="C60" i="5"/>
  <c r="C68" i="5"/>
  <c r="C76" i="5"/>
  <c r="C84" i="5"/>
  <c r="C92" i="5"/>
  <c r="C100" i="5"/>
  <c r="C108" i="5"/>
  <c r="C116" i="5"/>
  <c r="C124" i="5"/>
  <c r="C132" i="5"/>
  <c r="C140" i="5"/>
  <c r="C148" i="5"/>
  <c r="C156" i="5"/>
  <c r="C164" i="5"/>
  <c r="C172" i="5"/>
  <c r="C180" i="5"/>
  <c r="C188" i="5"/>
  <c r="C196" i="5"/>
  <c r="C204" i="5"/>
  <c r="C212" i="5"/>
  <c r="C220" i="5"/>
  <c r="C228" i="5"/>
  <c r="C236" i="5"/>
  <c r="C244" i="5"/>
  <c r="C252" i="5"/>
  <c r="C260" i="5"/>
  <c r="C268" i="5"/>
  <c r="C276" i="5"/>
  <c r="C284" i="5"/>
  <c r="C292" i="5"/>
  <c r="C300" i="5"/>
  <c r="C308" i="5"/>
  <c r="C316" i="5"/>
  <c r="C324" i="5"/>
  <c r="C332" i="5"/>
  <c r="C340" i="5"/>
  <c r="C348" i="5"/>
  <c r="C356" i="5"/>
  <c r="C364" i="5"/>
  <c r="C372" i="5"/>
  <c r="C380" i="5"/>
  <c r="C388" i="5"/>
  <c r="C396" i="5"/>
  <c r="C404" i="5"/>
  <c r="C412" i="5"/>
  <c r="C420" i="5"/>
  <c r="C428" i="5"/>
  <c r="C436" i="5"/>
  <c r="C444" i="5"/>
  <c r="C452" i="5"/>
  <c r="C460" i="5"/>
  <c r="C468" i="5"/>
  <c r="C476" i="5"/>
  <c r="C484" i="5"/>
  <c r="C492" i="5"/>
  <c r="C500" i="5"/>
  <c r="C508" i="5"/>
  <c r="C516" i="5"/>
  <c r="C524" i="5"/>
  <c r="C532" i="5"/>
  <c r="C540" i="5"/>
  <c r="C548" i="5"/>
  <c r="C556" i="5"/>
  <c r="C564" i="5"/>
  <c r="C572" i="5"/>
  <c r="C580" i="5"/>
  <c r="C588" i="5"/>
  <c r="C596" i="5"/>
  <c r="C604" i="5"/>
  <c r="C612" i="5"/>
  <c r="C620" i="5"/>
  <c r="C628" i="5"/>
  <c r="C636" i="5"/>
  <c r="C644" i="5"/>
  <c r="C652" i="5"/>
  <c r="C660" i="5"/>
  <c r="C668" i="5"/>
  <c r="C676" i="5"/>
  <c r="C684" i="5"/>
  <c r="C692" i="5"/>
  <c r="C700" i="5"/>
  <c r="C708" i="5"/>
  <c r="C716" i="5"/>
  <c r="C724" i="5"/>
  <c r="C732" i="5"/>
  <c r="C740" i="5"/>
  <c r="C748" i="5"/>
  <c r="C756" i="5"/>
  <c r="C764" i="5"/>
  <c r="C772" i="5"/>
  <c r="C780" i="5"/>
  <c r="C788" i="5"/>
  <c r="C796" i="5"/>
  <c r="C804" i="5"/>
  <c r="C812" i="5"/>
  <c r="C820" i="5"/>
  <c r="C828" i="5"/>
  <c r="C836" i="5"/>
  <c r="C844" i="5"/>
  <c r="C852" i="5"/>
  <c r="C860" i="5"/>
  <c r="C868" i="5"/>
  <c r="C876" i="5"/>
  <c r="C884" i="5"/>
  <c r="C892" i="5"/>
  <c r="C900" i="5"/>
  <c r="C908" i="5"/>
  <c r="C916" i="5"/>
  <c r="C924" i="5"/>
  <c r="C932" i="5"/>
  <c r="C940" i="5"/>
  <c r="C948" i="5"/>
  <c r="C956" i="5"/>
  <c r="C964" i="5"/>
  <c r="C972" i="5"/>
  <c r="C980" i="5"/>
  <c r="C988" i="5"/>
  <c r="C996" i="5"/>
  <c r="C1004" i="5"/>
  <c r="C1012" i="5"/>
  <c r="C1020" i="5"/>
  <c r="C1028" i="5"/>
  <c r="C1036" i="5"/>
  <c r="C1044" i="5"/>
  <c r="C1052" i="5"/>
  <c r="C1060" i="5"/>
  <c r="C1068" i="5"/>
  <c r="C1076" i="5"/>
  <c r="C1084" i="5"/>
  <c r="C1092" i="5"/>
  <c r="C1100" i="5"/>
  <c r="C1108" i="5"/>
  <c r="C1116" i="5"/>
  <c r="C1124" i="5"/>
  <c r="C1132" i="5"/>
  <c r="C1140" i="5"/>
  <c r="C1148" i="5"/>
  <c r="C1156" i="5"/>
  <c r="C1164" i="5"/>
  <c r="C1172" i="5"/>
  <c r="C1180" i="5"/>
  <c r="C1188" i="5"/>
  <c r="C1196" i="5"/>
  <c r="C1204" i="5"/>
  <c r="C1212" i="5"/>
  <c r="C1220" i="5"/>
  <c r="C1228" i="5"/>
  <c r="C1236" i="5"/>
  <c r="C1244" i="5"/>
  <c r="C1252" i="5"/>
  <c r="C1260" i="5"/>
  <c r="C1268" i="5"/>
  <c r="C1276" i="5"/>
  <c r="C1284" i="5"/>
  <c r="C1292" i="5"/>
  <c r="C1300" i="5"/>
  <c r="C1308" i="5"/>
  <c r="C1316" i="5"/>
  <c r="C1324" i="5"/>
  <c r="C1332" i="5"/>
  <c r="C1340" i="5"/>
  <c r="C1348" i="5"/>
  <c r="C1356" i="5"/>
  <c r="C1364" i="5"/>
  <c r="C1372" i="5"/>
  <c r="C1380" i="5"/>
  <c r="C1388" i="5"/>
  <c r="C1396" i="5"/>
  <c r="C1404" i="5"/>
  <c r="C1412" i="5"/>
  <c r="C1420" i="5"/>
  <c r="C1428" i="5"/>
  <c r="C1436" i="5"/>
  <c r="C1444" i="5"/>
  <c r="C1452" i="5"/>
  <c r="C1460" i="5"/>
  <c r="C1468" i="5"/>
  <c r="C1476" i="5"/>
  <c r="C1484" i="5"/>
  <c r="C1492" i="5"/>
  <c r="C1500" i="5"/>
  <c r="C1508" i="5"/>
  <c r="C1516" i="5"/>
  <c r="C1524" i="5"/>
  <c r="C1532" i="5"/>
  <c r="C1540" i="5"/>
  <c r="C1548" i="5"/>
  <c r="C1556" i="5"/>
  <c r="C1564" i="5"/>
  <c r="C1572" i="5"/>
  <c r="C1580" i="5"/>
  <c r="C1588" i="5"/>
  <c r="C1596" i="5"/>
  <c r="C1604" i="5"/>
  <c r="C1612" i="5"/>
  <c r="C1620" i="5"/>
  <c r="C1628" i="5"/>
  <c r="C1636" i="5"/>
  <c r="C1644" i="5"/>
  <c r="C1652" i="5"/>
  <c r="C1660" i="5"/>
  <c r="C1668" i="5"/>
  <c r="C1676" i="5"/>
  <c r="C1684" i="5"/>
  <c r="C1692" i="5"/>
  <c r="C1700" i="5"/>
  <c r="D2" i="5"/>
  <c r="D10" i="5"/>
  <c r="D18" i="5"/>
  <c r="D26" i="5"/>
  <c r="D34" i="5"/>
  <c r="D42" i="5"/>
  <c r="D50" i="5"/>
  <c r="D58" i="5"/>
  <c r="D66" i="5"/>
  <c r="D74" i="5"/>
  <c r="D82" i="5"/>
  <c r="D90" i="5"/>
  <c r="D98" i="5"/>
  <c r="D106" i="5"/>
  <c r="D114" i="5"/>
  <c r="D122" i="5"/>
  <c r="D130" i="5"/>
  <c r="D138" i="5"/>
  <c r="D146" i="5"/>
  <c r="D154" i="5"/>
  <c r="D162" i="5"/>
  <c r="D170" i="5"/>
  <c r="D178" i="5"/>
  <c r="D186" i="5"/>
  <c r="D194" i="5"/>
  <c r="D202" i="5"/>
  <c r="D210" i="5"/>
  <c r="D218" i="5"/>
  <c r="D226" i="5"/>
  <c r="D234" i="5"/>
  <c r="D242" i="5"/>
  <c r="D250" i="5"/>
  <c r="D258" i="5"/>
  <c r="D266" i="5"/>
  <c r="D274" i="5"/>
  <c r="D282" i="5"/>
  <c r="D290" i="5"/>
  <c r="D298" i="5"/>
  <c r="D306" i="5"/>
  <c r="D314" i="5"/>
  <c r="D322" i="5"/>
  <c r="D330" i="5"/>
  <c r="D338" i="5"/>
  <c r="D346" i="5"/>
  <c r="D354" i="5"/>
  <c r="D362" i="5"/>
  <c r="D370" i="5"/>
  <c r="D378" i="5"/>
  <c r="D386" i="5"/>
  <c r="D394" i="5"/>
  <c r="D402" i="5"/>
  <c r="D410" i="5"/>
  <c r="D418" i="5"/>
  <c r="D426" i="5"/>
  <c r="D434" i="5"/>
  <c r="D442" i="5"/>
  <c r="D450" i="5"/>
  <c r="D458" i="5"/>
  <c r="D466" i="5"/>
  <c r="D474" i="5"/>
  <c r="D482" i="5"/>
  <c r="D490" i="5"/>
  <c r="D498" i="5"/>
  <c r="D506" i="5"/>
  <c r="D514" i="5"/>
  <c r="D522" i="5"/>
  <c r="D530" i="5"/>
  <c r="D538" i="5"/>
  <c r="D546" i="5"/>
  <c r="D554" i="5"/>
  <c r="D562" i="5"/>
  <c r="D570" i="5"/>
  <c r="D578" i="5"/>
  <c r="D586" i="5"/>
  <c r="D594" i="5"/>
  <c r="D602" i="5"/>
  <c r="D610" i="5"/>
  <c r="D618" i="5"/>
  <c r="D626" i="5"/>
  <c r="D634" i="5"/>
  <c r="D642" i="5"/>
  <c r="D650" i="5"/>
  <c r="D658" i="5"/>
  <c r="D666" i="5"/>
  <c r="D674" i="5"/>
  <c r="D682" i="5"/>
  <c r="D690" i="5"/>
  <c r="D698" i="5"/>
  <c r="D706" i="5"/>
  <c r="D714" i="5"/>
  <c r="D722" i="5"/>
  <c r="D730" i="5"/>
  <c r="D738" i="5"/>
  <c r="D746" i="5"/>
  <c r="D754" i="5"/>
  <c r="D762" i="5"/>
  <c r="D770" i="5"/>
  <c r="D778" i="5"/>
  <c r="D786" i="5"/>
  <c r="D794" i="5"/>
  <c r="D802" i="5"/>
  <c r="D810" i="5"/>
  <c r="D818" i="5"/>
  <c r="D826" i="5"/>
  <c r="D834" i="5"/>
  <c r="D842" i="5"/>
  <c r="D850" i="5"/>
  <c r="D858" i="5"/>
  <c r="D866" i="5"/>
  <c r="D874" i="5"/>
  <c r="D882" i="5"/>
  <c r="D890" i="5"/>
  <c r="D898" i="5"/>
  <c r="D906" i="5"/>
  <c r="D914" i="5"/>
  <c r="D922" i="5"/>
  <c r="D930" i="5"/>
  <c r="D938" i="5"/>
  <c r="D946" i="5"/>
  <c r="D954" i="5"/>
  <c r="D962" i="5"/>
  <c r="D970" i="5"/>
  <c r="D978" i="5"/>
  <c r="D986" i="5"/>
  <c r="D994" i="5"/>
  <c r="D1002" i="5"/>
  <c r="D1010" i="5"/>
  <c r="D1018" i="5"/>
  <c r="D1026" i="5"/>
  <c r="D1034" i="5"/>
  <c r="D1042" i="5"/>
  <c r="D1050" i="5"/>
  <c r="D1058" i="5"/>
  <c r="D1066" i="5"/>
  <c r="D1074" i="5"/>
  <c r="D1082" i="5"/>
  <c r="D1090" i="5"/>
  <c r="D1098" i="5"/>
  <c r="D1106" i="5"/>
  <c r="D1114" i="5"/>
  <c r="D1122" i="5"/>
  <c r="D1130" i="5"/>
  <c r="D1138" i="5"/>
  <c r="D1146" i="5"/>
  <c r="D1154" i="5"/>
  <c r="D1162" i="5"/>
  <c r="D1170" i="5"/>
  <c r="D1178" i="5"/>
  <c r="D1186" i="5"/>
  <c r="D1194" i="5"/>
  <c r="D1202" i="5"/>
  <c r="D1210" i="5"/>
  <c r="D1218" i="5"/>
  <c r="D1226" i="5"/>
  <c r="D1234" i="5"/>
  <c r="D1242" i="5"/>
  <c r="D1250" i="5"/>
  <c r="D1258" i="5"/>
  <c r="D1266" i="5"/>
  <c r="D1274" i="5"/>
  <c r="D1282" i="5"/>
  <c r="D1290" i="5"/>
  <c r="D1298" i="5"/>
  <c r="D1306" i="5"/>
  <c r="D1314" i="5"/>
  <c r="D1322" i="5"/>
  <c r="D1330" i="5"/>
  <c r="D1338" i="5"/>
  <c r="D1346" i="5"/>
  <c r="D1354" i="5"/>
  <c r="D1362" i="5"/>
  <c r="D1370" i="5"/>
  <c r="D1378" i="5"/>
  <c r="D1386" i="5"/>
  <c r="D1394" i="5"/>
  <c r="D1402" i="5"/>
  <c r="D1410" i="5"/>
  <c r="D1418" i="5"/>
  <c r="D1426" i="5"/>
  <c r="D1434" i="5"/>
  <c r="D1442" i="5"/>
  <c r="D1450" i="5"/>
  <c r="D1458" i="5"/>
  <c r="D1466" i="5"/>
  <c r="D1474" i="5"/>
  <c r="D1482" i="5"/>
  <c r="D1490" i="5"/>
  <c r="D1498" i="5"/>
  <c r="D1506" i="5"/>
  <c r="D1514" i="5"/>
  <c r="D1522" i="5"/>
  <c r="D1530" i="5"/>
  <c r="D1538" i="5"/>
  <c r="D1546" i="5"/>
  <c r="D1554" i="5"/>
  <c r="D1562" i="5"/>
  <c r="D1570" i="5"/>
  <c r="D1578" i="5"/>
  <c r="D1586" i="5"/>
  <c r="D1594" i="5"/>
  <c r="D1602" i="5"/>
  <c r="D1610" i="5"/>
  <c r="D1618" i="5"/>
  <c r="D1626" i="5"/>
  <c r="D1634" i="5"/>
  <c r="D1642" i="5"/>
  <c r="D1650" i="5"/>
  <c r="D1658" i="5"/>
  <c r="D1666" i="5"/>
  <c r="D1674" i="5"/>
  <c r="D1682" i="5"/>
  <c r="D1690" i="5"/>
  <c r="D1698" i="5"/>
  <c r="J3" i="5"/>
  <c r="J11" i="5"/>
  <c r="J19" i="5"/>
  <c r="J27" i="5"/>
  <c r="J35" i="5"/>
  <c r="J43" i="5"/>
  <c r="J51" i="5"/>
  <c r="J59" i="5"/>
  <c r="J67" i="5"/>
  <c r="J75" i="5"/>
  <c r="J83" i="5"/>
  <c r="J91" i="5"/>
  <c r="J99" i="5"/>
  <c r="J107" i="5"/>
  <c r="J115" i="5"/>
  <c r="J123" i="5"/>
  <c r="J131" i="5"/>
  <c r="J139" i="5"/>
  <c r="J147" i="5"/>
  <c r="J155" i="5"/>
  <c r="J163" i="5"/>
  <c r="J171" i="5"/>
  <c r="J179" i="5"/>
  <c r="J187" i="5"/>
  <c r="J195" i="5"/>
  <c r="J203" i="5"/>
  <c r="J211" i="5"/>
  <c r="J219" i="5"/>
  <c r="J227" i="5"/>
  <c r="J235" i="5"/>
  <c r="J243" i="5"/>
  <c r="J251" i="5"/>
  <c r="J259" i="5"/>
  <c r="J267" i="5"/>
  <c r="J275" i="5"/>
  <c r="J283" i="5"/>
  <c r="J291" i="5"/>
  <c r="J299" i="5"/>
  <c r="J307" i="5"/>
  <c r="J315" i="5"/>
  <c r="J323" i="5"/>
  <c r="J331" i="5"/>
  <c r="J339" i="5"/>
  <c r="J347" i="5"/>
  <c r="J355" i="5"/>
  <c r="J363" i="5"/>
  <c r="J371" i="5"/>
  <c r="J379" i="5"/>
  <c r="J387" i="5"/>
  <c r="J395" i="5"/>
  <c r="J403" i="5"/>
  <c r="J411" i="5"/>
  <c r="J419" i="5"/>
  <c r="J427" i="5"/>
  <c r="J435" i="5"/>
  <c r="J443" i="5"/>
  <c r="J451" i="5"/>
  <c r="J459" i="5"/>
  <c r="J467" i="5"/>
  <c r="J475" i="5"/>
  <c r="J483" i="5"/>
  <c r="J491" i="5"/>
  <c r="J499" i="5"/>
  <c r="J507" i="5"/>
  <c r="J515" i="5"/>
  <c r="J523" i="5"/>
  <c r="J531" i="5"/>
  <c r="J539" i="5"/>
  <c r="J547" i="5"/>
  <c r="J555" i="5"/>
  <c r="J563" i="5"/>
  <c r="J571" i="5"/>
  <c r="J579" i="5"/>
  <c r="J587" i="5"/>
  <c r="J595" i="5"/>
  <c r="J603" i="5"/>
  <c r="J611" i="5"/>
  <c r="J619" i="5"/>
  <c r="J627" i="5"/>
  <c r="J635" i="5"/>
  <c r="J643" i="5"/>
  <c r="J651" i="5"/>
  <c r="J659" i="5"/>
  <c r="J667" i="5"/>
  <c r="J675" i="5"/>
  <c r="J683" i="5"/>
  <c r="J691" i="5"/>
  <c r="J699" i="5"/>
  <c r="J707" i="5"/>
  <c r="J715" i="5"/>
  <c r="J723" i="5"/>
  <c r="J731" i="5"/>
  <c r="J739" i="5"/>
  <c r="J747" i="5"/>
  <c r="J755" i="5"/>
  <c r="J763" i="5"/>
  <c r="J771" i="5"/>
  <c r="J779" i="5"/>
  <c r="J787" i="5"/>
  <c r="J795" i="5"/>
  <c r="J803" i="5"/>
  <c r="J811" i="5"/>
  <c r="J819" i="5"/>
  <c r="J827" i="5"/>
  <c r="J835" i="5"/>
  <c r="J843" i="5"/>
  <c r="J851" i="5"/>
  <c r="J859" i="5"/>
  <c r="J867" i="5"/>
  <c r="J875" i="5"/>
  <c r="J883" i="5"/>
  <c r="J891" i="5"/>
  <c r="J899" i="5"/>
  <c r="J907" i="5"/>
  <c r="J915" i="5"/>
  <c r="J923" i="5"/>
  <c r="J931" i="5"/>
  <c r="J939" i="5"/>
  <c r="J947" i="5"/>
  <c r="J955" i="5"/>
  <c r="J963" i="5"/>
  <c r="J971" i="5"/>
  <c r="J979" i="5"/>
  <c r="J987" i="5"/>
  <c r="J995" i="5"/>
  <c r="J1003" i="5"/>
  <c r="J1011" i="5"/>
  <c r="J1019" i="5"/>
  <c r="J1027" i="5"/>
  <c r="J1035" i="5"/>
  <c r="J1043" i="5"/>
  <c r="J1051" i="5"/>
  <c r="J1059" i="5"/>
  <c r="J1067" i="5"/>
  <c r="J1075" i="5"/>
  <c r="J1083" i="5"/>
  <c r="J1091" i="5"/>
  <c r="J1099" i="5"/>
  <c r="J1107" i="5"/>
  <c r="J1115" i="5"/>
  <c r="J1123" i="5"/>
  <c r="J1131" i="5"/>
  <c r="J1139" i="5"/>
  <c r="J1147" i="5"/>
  <c r="J1155" i="5"/>
  <c r="J1163" i="5"/>
  <c r="J1171" i="5"/>
  <c r="J1179" i="5"/>
  <c r="J1187" i="5"/>
  <c r="J1195" i="5"/>
  <c r="J1203" i="5"/>
  <c r="J1211" i="5"/>
  <c r="J1219" i="5"/>
  <c r="J1227" i="5"/>
  <c r="J1235" i="5"/>
  <c r="J1243" i="5"/>
  <c r="J1251" i="5"/>
  <c r="J1259" i="5"/>
  <c r="J1267" i="5"/>
  <c r="J1275" i="5"/>
  <c r="J1283" i="5"/>
  <c r="J1291" i="5"/>
  <c r="J1299" i="5"/>
  <c r="J1307" i="5"/>
  <c r="J1315" i="5"/>
  <c r="J1323" i="5"/>
  <c r="J1331" i="5"/>
  <c r="J1339" i="5"/>
  <c r="J1347" i="5"/>
  <c r="J1355" i="5"/>
  <c r="J1363" i="5"/>
  <c r="J1371" i="5"/>
  <c r="J1379" i="5"/>
  <c r="J1387" i="5"/>
  <c r="J1395" i="5"/>
  <c r="J1403" i="5"/>
  <c r="J1411" i="5"/>
  <c r="J1419" i="5"/>
  <c r="J1427" i="5"/>
  <c r="J1435" i="5"/>
  <c r="J1443" i="5"/>
  <c r="J1451" i="5"/>
  <c r="J1459" i="5"/>
  <c r="J1467" i="5"/>
  <c r="J1475" i="5"/>
  <c r="J1483" i="5"/>
  <c r="J1491" i="5"/>
  <c r="J1499" i="5"/>
  <c r="J1507" i="5"/>
  <c r="J1515" i="5"/>
  <c r="J1523" i="5"/>
  <c r="J1531" i="5"/>
  <c r="J1539" i="5"/>
  <c r="J1547" i="5"/>
  <c r="J1555" i="5"/>
  <c r="J1563" i="5"/>
  <c r="J1571" i="5"/>
  <c r="J1579" i="5"/>
  <c r="J1587" i="5"/>
  <c r="J1595" i="5"/>
  <c r="J1603" i="5"/>
  <c r="J1611" i="5"/>
  <c r="J1619" i="5"/>
  <c r="J1627" i="5"/>
  <c r="J1635" i="5"/>
  <c r="J1643" i="5"/>
  <c r="J1651" i="5"/>
  <c r="J1659" i="5"/>
  <c r="J1667" i="5"/>
  <c r="J1675" i="5"/>
  <c r="J1683" i="5"/>
  <c r="J1691" i="5"/>
  <c r="J1699" i="5"/>
  <c r="A7" i="3"/>
  <c r="A15" i="3"/>
  <c r="A23" i="3"/>
  <c r="A31" i="3"/>
  <c r="A39" i="3"/>
  <c r="A47" i="3"/>
  <c r="A55" i="3"/>
  <c r="A63" i="3"/>
  <c r="A71" i="3"/>
  <c r="A79" i="3"/>
  <c r="A87" i="3"/>
  <c r="A95" i="3"/>
  <c r="A103" i="3"/>
  <c r="A111" i="3"/>
  <c r="A119" i="3"/>
  <c r="A127" i="3"/>
  <c r="A135" i="3"/>
  <c r="A143" i="3"/>
  <c r="A151" i="3"/>
  <c r="A159" i="3"/>
  <c r="A167" i="3"/>
  <c r="A175" i="3"/>
  <c r="A183" i="3"/>
  <c r="A191" i="3"/>
  <c r="A199" i="3"/>
  <c r="A207" i="3"/>
  <c r="A215" i="3"/>
  <c r="A223" i="3"/>
  <c r="A231" i="3"/>
  <c r="A239" i="3"/>
  <c r="A247" i="3"/>
  <c r="A255" i="3"/>
  <c r="A263" i="3"/>
  <c r="A271" i="3"/>
  <c r="A279" i="3"/>
  <c r="A287" i="3"/>
  <c r="A295" i="3"/>
  <c r="A303" i="3"/>
  <c r="A311" i="3"/>
  <c r="A319" i="3"/>
  <c r="A327" i="3"/>
  <c r="A335" i="3"/>
  <c r="A343" i="3"/>
  <c r="A351" i="3"/>
  <c r="A359" i="3"/>
  <c r="A367" i="3"/>
  <c r="A375" i="3"/>
  <c r="A383" i="3"/>
  <c r="A391" i="3"/>
  <c r="A399" i="3"/>
  <c r="A407" i="3"/>
  <c r="A415" i="3"/>
  <c r="A423" i="3"/>
  <c r="A431" i="3"/>
  <c r="A439" i="3"/>
  <c r="A447" i="3"/>
  <c r="A455" i="3"/>
  <c r="A463" i="3"/>
  <c r="A471" i="3"/>
  <c r="A479" i="3"/>
  <c r="A487" i="3"/>
  <c r="A495" i="3"/>
  <c r="A503" i="3"/>
  <c r="A511" i="3"/>
  <c r="A519" i="3"/>
  <c r="A527" i="3"/>
  <c r="A535" i="3"/>
  <c r="A543" i="3"/>
  <c r="A551" i="3"/>
  <c r="A559" i="3"/>
  <c r="A567" i="3"/>
  <c r="A575" i="3"/>
  <c r="A583" i="3"/>
  <c r="A591" i="3"/>
  <c r="A599" i="3"/>
  <c r="A607" i="3"/>
  <c r="A615" i="3"/>
  <c r="A623" i="3"/>
  <c r="A631" i="3"/>
  <c r="A639" i="3"/>
  <c r="A647" i="3"/>
  <c r="A655" i="3"/>
  <c r="A663" i="3"/>
  <c r="A671" i="3"/>
  <c r="A679" i="3"/>
  <c r="A687" i="3"/>
  <c r="A695" i="3"/>
  <c r="A703" i="3"/>
  <c r="A711" i="3"/>
  <c r="A719" i="3"/>
  <c r="A727" i="3"/>
  <c r="A735" i="3"/>
  <c r="A743" i="3"/>
  <c r="A751" i="3"/>
  <c r="A759" i="3"/>
  <c r="A767" i="3"/>
  <c r="A775" i="3"/>
  <c r="A783" i="3"/>
  <c r="A791" i="3"/>
  <c r="A799" i="3"/>
  <c r="A807" i="3"/>
  <c r="A815" i="3"/>
  <c r="A823" i="3"/>
  <c r="A831" i="3"/>
  <c r="A839" i="3"/>
  <c r="A847" i="3"/>
  <c r="A855" i="3"/>
  <c r="A863" i="3"/>
  <c r="A871" i="3"/>
  <c r="A879" i="3"/>
  <c r="A887" i="3"/>
  <c r="A895" i="3"/>
  <c r="A903" i="3"/>
  <c r="A911" i="3"/>
  <c r="A919" i="3"/>
  <c r="A927" i="3"/>
  <c r="A935" i="3"/>
  <c r="A943" i="3"/>
  <c r="A951" i="3"/>
  <c r="A959" i="3"/>
  <c r="A967" i="3"/>
  <c r="A975" i="3"/>
  <c r="A983" i="3"/>
  <c r="A991" i="3"/>
  <c r="A999" i="3"/>
  <c r="A1007" i="3"/>
  <c r="A1015" i="3"/>
  <c r="A1023" i="3"/>
  <c r="A1031" i="3"/>
  <c r="A1039" i="3"/>
  <c r="A1047" i="3"/>
  <c r="A1055" i="3"/>
  <c r="A1063" i="3"/>
  <c r="A1071" i="3"/>
  <c r="A1079" i="3"/>
  <c r="A1087" i="3"/>
  <c r="A1095" i="3"/>
  <c r="A1103" i="3"/>
  <c r="A1111" i="3"/>
  <c r="A1119" i="3"/>
  <c r="A1127" i="3"/>
  <c r="A1135" i="3"/>
  <c r="A1143" i="3"/>
  <c r="A1151" i="3"/>
  <c r="A1159" i="3"/>
  <c r="A1167" i="3"/>
  <c r="A1175" i="3"/>
  <c r="A1183" i="3"/>
  <c r="A1191" i="3"/>
  <c r="A1199" i="3"/>
  <c r="A1207" i="3"/>
  <c r="A1215" i="3"/>
  <c r="A1223" i="3"/>
  <c r="A1231" i="3"/>
  <c r="A1239" i="3"/>
  <c r="A1247" i="3"/>
  <c r="A1255" i="3"/>
  <c r="A1263" i="3"/>
  <c r="A1271" i="3"/>
  <c r="A1279" i="3"/>
  <c r="A1287" i="3"/>
  <c r="A1295" i="3"/>
  <c r="A1303" i="3"/>
  <c r="A1311" i="3"/>
  <c r="A1319" i="3"/>
  <c r="A1327" i="3"/>
  <c r="A1335" i="3"/>
  <c r="A1343" i="3"/>
  <c r="A1351" i="3"/>
  <c r="A1359" i="3"/>
  <c r="A1367" i="3"/>
  <c r="A1375" i="3"/>
  <c r="A1383" i="3"/>
  <c r="A1391" i="3"/>
  <c r="A1399" i="3"/>
  <c r="A1407" i="3"/>
  <c r="A1415" i="3"/>
  <c r="A1423" i="3"/>
  <c r="A1431" i="3"/>
  <c r="A1439" i="3"/>
  <c r="A1447" i="3"/>
  <c r="A1455" i="3"/>
  <c r="A1463" i="3"/>
  <c r="A1471" i="3"/>
  <c r="A1479" i="3"/>
  <c r="A1487" i="3"/>
  <c r="A1495" i="3"/>
  <c r="A1503" i="3"/>
  <c r="A1511" i="3"/>
  <c r="A1519" i="3"/>
  <c r="A1527" i="3"/>
  <c r="A1535" i="3"/>
  <c r="A1543" i="3"/>
  <c r="A1551" i="3"/>
  <c r="A1559" i="3"/>
  <c r="A1567" i="3"/>
  <c r="A1575" i="3"/>
  <c r="A1583" i="3"/>
  <c r="A1591" i="3"/>
  <c r="A1599" i="3"/>
  <c r="A1607" i="3"/>
  <c r="A1615" i="3"/>
  <c r="A1623" i="3"/>
  <c r="A1631" i="3"/>
  <c r="A1639" i="3"/>
  <c r="A1647" i="3"/>
  <c r="A1655" i="3"/>
  <c r="A1663" i="3"/>
  <c r="A1671" i="3"/>
  <c r="A1679" i="3"/>
  <c r="A1687" i="3"/>
  <c r="A1695" i="3"/>
  <c r="C6" i="5"/>
  <c r="C14" i="5"/>
  <c r="C22" i="5"/>
  <c r="C30" i="5"/>
  <c r="C38" i="5"/>
  <c r="C46" i="5"/>
  <c r="C54" i="5"/>
  <c r="C62" i="5"/>
  <c r="C70" i="5"/>
  <c r="C78" i="5"/>
  <c r="C86" i="5"/>
  <c r="C94" i="5"/>
  <c r="C102" i="5"/>
  <c r="C110" i="5"/>
  <c r="C118" i="5"/>
  <c r="C126" i="5"/>
  <c r="C134" i="5"/>
  <c r="C142" i="5"/>
  <c r="C150" i="5"/>
  <c r="C158" i="5"/>
  <c r="C166" i="5"/>
  <c r="C174" i="5"/>
  <c r="C182" i="5"/>
  <c r="C190" i="5"/>
  <c r="C198" i="5"/>
  <c r="C206" i="5"/>
  <c r="C214" i="5"/>
  <c r="C222" i="5"/>
  <c r="C230" i="5"/>
  <c r="C238" i="5"/>
  <c r="C246" i="5"/>
  <c r="C254" i="5"/>
  <c r="C262" i="5"/>
  <c r="C270" i="5"/>
  <c r="C278" i="5"/>
  <c r="C286" i="5"/>
  <c r="C294" i="5"/>
  <c r="C302" i="5"/>
  <c r="C310" i="5"/>
  <c r="C318" i="5"/>
  <c r="C326" i="5"/>
  <c r="C334" i="5"/>
  <c r="C342" i="5"/>
  <c r="C350" i="5"/>
  <c r="C358" i="5"/>
  <c r="C366" i="5"/>
  <c r="C374" i="5"/>
  <c r="C382" i="5"/>
  <c r="C390" i="5"/>
  <c r="C398" i="5"/>
  <c r="C406" i="5"/>
  <c r="C414" i="5"/>
  <c r="C422" i="5"/>
  <c r="C430" i="5"/>
  <c r="C438" i="5"/>
  <c r="C446" i="5"/>
  <c r="C454" i="5"/>
  <c r="C462" i="5"/>
  <c r="C470" i="5"/>
  <c r="C478" i="5"/>
  <c r="C486" i="5"/>
  <c r="C494" i="5"/>
  <c r="C502" i="5"/>
  <c r="C510" i="5"/>
  <c r="C518" i="5"/>
  <c r="C526" i="5"/>
  <c r="C534" i="5"/>
  <c r="C542" i="5"/>
  <c r="C550" i="5"/>
  <c r="C558" i="5"/>
  <c r="C566" i="5"/>
  <c r="C574" i="5"/>
  <c r="C582" i="5"/>
  <c r="C590" i="5"/>
  <c r="C598" i="5"/>
  <c r="C606" i="5"/>
  <c r="C614" i="5"/>
  <c r="C622" i="5"/>
  <c r="C630" i="5"/>
  <c r="C638" i="5"/>
  <c r="C646" i="5"/>
  <c r="C654" i="5"/>
  <c r="C662" i="5"/>
  <c r="C670" i="5"/>
  <c r="C678" i="5"/>
  <c r="C686" i="5"/>
  <c r="C694" i="5"/>
  <c r="C702" i="5"/>
  <c r="C710" i="5"/>
  <c r="C718" i="5"/>
  <c r="C726" i="5"/>
  <c r="C734" i="5"/>
  <c r="C742" i="5"/>
  <c r="C750" i="5"/>
  <c r="C758" i="5"/>
  <c r="C766" i="5"/>
  <c r="C774" i="5"/>
  <c r="C782" i="5"/>
  <c r="C790" i="5"/>
  <c r="C798" i="5"/>
  <c r="C806" i="5"/>
  <c r="C814" i="5"/>
  <c r="C822" i="5"/>
  <c r="C830" i="5"/>
  <c r="C838" i="5"/>
  <c r="C846" i="5"/>
  <c r="C854" i="5"/>
  <c r="C862" i="5"/>
  <c r="C870" i="5"/>
  <c r="C878" i="5"/>
  <c r="C886" i="5"/>
  <c r="C894" i="5"/>
  <c r="C902" i="5"/>
  <c r="C910" i="5"/>
  <c r="C918" i="5"/>
  <c r="C926" i="5"/>
  <c r="C934" i="5"/>
  <c r="C942" i="5"/>
  <c r="C950" i="5"/>
  <c r="C958" i="5"/>
  <c r="C966" i="5"/>
  <c r="C974" i="5"/>
  <c r="C982" i="5"/>
  <c r="C990" i="5"/>
  <c r="C998" i="5"/>
  <c r="C1006" i="5"/>
  <c r="C1014" i="5"/>
  <c r="C1022" i="5"/>
  <c r="C1030" i="5"/>
  <c r="C1038" i="5"/>
  <c r="C1046" i="5"/>
  <c r="C1054" i="5"/>
  <c r="C1062" i="5"/>
  <c r="C1070" i="5"/>
  <c r="C1078" i="5"/>
  <c r="C1086" i="5"/>
  <c r="C1094" i="5"/>
  <c r="C1102" i="5"/>
  <c r="C1110" i="5"/>
  <c r="C1118" i="5"/>
  <c r="C1126" i="5"/>
  <c r="C1134" i="5"/>
  <c r="C1142" i="5"/>
  <c r="C1150" i="5"/>
  <c r="C1158" i="5"/>
  <c r="C1166" i="5"/>
  <c r="C1174" i="5"/>
  <c r="C1182" i="5"/>
  <c r="C1190" i="5"/>
  <c r="C1198" i="5"/>
  <c r="C1206" i="5"/>
  <c r="C1214" i="5"/>
  <c r="C1222" i="5"/>
  <c r="C1230" i="5"/>
  <c r="C1238" i="5"/>
  <c r="C1246" i="5"/>
  <c r="C1254" i="5"/>
  <c r="C1262" i="5"/>
  <c r="C1270" i="5"/>
  <c r="C1278" i="5"/>
  <c r="C1286" i="5"/>
  <c r="C1294" i="5"/>
  <c r="C1302" i="5"/>
  <c r="C1310" i="5"/>
  <c r="C1318" i="5"/>
  <c r="C1326" i="5"/>
  <c r="C1334" i="5"/>
  <c r="C1342" i="5"/>
  <c r="C1350" i="5"/>
  <c r="C1358" i="5"/>
  <c r="C1366" i="5"/>
  <c r="C1374" i="5"/>
  <c r="C1382" i="5"/>
  <c r="C1390" i="5"/>
  <c r="C1398" i="5"/>
  <c r="C1406" i="5"/>
  <c r="C1414" i="5"/>
  <c r="C1422" i="5"/>
  <c r="C1430" i="5"/>
  <c r="C1438" i="5"/>
  <c r="C1446" i="5"/>
  <c r="C1454" i="5"/>
  <c r="C1462" i="5"/>
  <c r="C1470" i="5"/>
  <c r="C1478" i="5"/>
  <c r="C1486" i="5"/>
  <c r="C1494" i="5"/>
  <c r="C1502" i="5"/>
  <c r="C1510" i="5"/>
  <c r="C1518" i="5"/>
  <c r="C1526" i="5"/>
  <c r="C1534" i="5"/>
  <c r="C1542" i="5"/>
  <c r="C1550" i="5"/>
  <c r="C1558" i="5"/>
  <c r="C1566" i="5"/>
  <c r="C1574" i="5"/>
  <c r="C1582" i="5"/>
  <c r="C1590" i="5"/>
  <c r="C1598" i="5"/>
  <c r="C1606" i="5"/>
  <c r="C1614" i="5"/>
  <c r="C1622" i="5"/>
  <c r="C1630" i="5"/>
  <c r="C1638" i="5"/>
  <c r="C1646" i="5"/>
  <c r="C1654" i="5"/>
  <c r="C1662" i="5"/>
  <c r="C1670" i="5"/>
  <c r="C1678" i="5"/>
  <c r="C1686" i="5"/>
  <c r="C1694" i="5"/>
  <c r="D4" i="5"/>
  <c r="D12" i="5"/>
  <c r="D20" i="5"/>
  <c r="D28" i="5"/>
  <c r="D36" i="5"/>
  <c r="D44" i="5"/>
  <c r="D52" i="5"/>
  <c r="D60" i="5"/>
  <c r="D68" i="5"/>
  <c r="D76" i="5"/>
  <c r="D84" i="5"/>
  <c r="D92" i="5"/>
  <c r="D100" i="5"/>
  <c r="D108" i="5"/>
  <c r="D116" i="5"/>
  <c r="D124" i="5"/>
  <c r="D132" i="5"/>
  <c r="D140" i="5"/>
  <c r="D148" i="5"/>
  <c r="D156" i="5"/>
  <c r="D164" i="5"/>
  <c r="D172" i="5"/>
  <c r="D180" i="5"/>
  <c r="D188" i="5"/>
  <c r="D196" i="5"/>
  <c r="D204" i="5"/>
  <c r="D212" i="5"/>
  <c r="D220" i="5"/>
  <c r="D228" i="5"/>
  <c r="D236" i="5"/>
  <c r="D244" i="5"/>
  <c r="D252" i="5"/>
  <c r="D260" i="5"/>
  <c r="D268" i="5"/>
  <c r="D276" i="5"/>
  <c r="D284" i="5"/>
  <c r="D292" i="5"/>
  <c r="D300" i="5"/>
  <c r="D308" i="5"/>
  <c r="D316" i="5"/>
  <c r="D324" i="5"/>
  <c r="D332" i="5"/>
  <c r="D340" i="5"/>
  <c r="D348" i="5"/>
  <c r="D356" i="5"/>
  <c r="D364" i="5"/>
  <c r="D372" i="5"/>
  <c r="D380" i="5"/>
  <c r="D388" i="5"/>
  <c r="D396" i="5"/>
  <c r="D404" i="5"/>
  <c r="D412" i="5"/>
  <c r="D420" i="5"/>
  <c r="D428" i="5"/>
  <c r="D436" i="5"/>
  <c r="D444" i="5"/>
  <c r="D452" i="5"/>
  <c r="D460" i="5"/>
  <c r="D468" i="5"/>
  <c r="D476" i="5"/>
  <c r="D484" i="5"/>
  <c r="D492" i="5"/>
  <c r="D500" i="5"/>
  <c r="D508" i="5"/>
  <c r="D516" i="5"/>
  <c r="D524" i="5"/>
  <c r="D532" i="5"/>
  <c r="D540" i="5"/>
  <c r="D548" i="5"/>
  <c r="D556" i="5"/>
  <c r="D564" i="5"/>
  <c r="D572" i="5"/>
  <c r="D580" i="5"/>
  <c r="D588" i="5"/>
  <c r="D596" i="5"/>
  <c r="D604" i="5"/>
  <c r="D612" i="5"/>
  <c r="D620" i="5"/>
  <c r="D628" i="5"/>
  <c r="D636" i="5"/>
  <c r="D644" i="5"/>
  <c r="D652" i="5"/>
  <c r="D660" i="5"/>
  <c r="D668" i="5"/>
  <c r="D676" i="5"/>
  <c r="D684" i="5"/>
  <c r="D692" i="5"/>
  <c r="D700" i="5"/>
  <c r="D708" i="5"/>
  <c r="D716" i="5"/>
  <c r="D724" i="5"/>
  <c r="D732" i="5"/>
  <c r="D740" i="5"/>
  <c r="D748" i="5"/>
  <c r="D756" i="5"/>
  <c r="D764" i="5"/>
  <c r="D772" i="5"/>
  <c r="D780" i="5"/>
  <c r="D788" i="5"/>
  <c r="D796" i="5"/>
  <c r="D804" i="5"/>
  <c r="D812" i="5"/>
  <c r="D820" i="5"/>
  <c r="D828" i="5"/>
  <c r="D836" i="5"/>
  <c r="D844" i="5"/>
  <c r="D852" i="5"/>
  <c r="D860" i="5"/>
  <c r="D868" i="5"/>
  <c r="D876" i="5"/>
  <c r="D884" i="5"/>
  <c r="D892" i="5"/>
  <c r="D900" i="5"/>
  <c r="D908" i="5"/>
  <c r="D916" i="5"/>
  <c r="D924" i="5"/>
  <c r="D932" i="5"/>
  <c r="D940" i="5"/>
  <c r="D948" i="5"/>
  <c r="D956" i="5"/>
  <c r="D964" i="5"/>
  <c r="D972" i="5"/>
  <c r="D980" i="5"/>
  <c r="D988" i="5"/>
  <c r="D996" i="5"/>
  <c r="D1004" i="5"/>
  <c r="D1012" i="5"/>
  <c r="D1020" i="5"/>
  <c r="D1028" i="5"/>
  <c r="D1036" i="5"/>
  <c r="D1044" i="5"/>
  <c r="D1052" i="5"/>
  <c r="D1060" i="5"/>
  <c r="D1068" i="5"/>
  <c r="D1076" i="5"/>
  <c r="D1084" i="5"/>
  <c r="D1092" i="5"/>
  <c r="D1100" i="5"/>
  <c r="D1108" i="5"/>
  <c r="D1116" i="5"/>
  <c r="D1124" i="5"/>
  <c r="D1132" i="5"/>
  <c r="D1140" i="5"/>
  <c r="D1148" i="5"/>
  <c r="D1156" i="5"/>
  <c r="D1164" i="5"/>
  <c r="D1172" i="5"/>
  <c r="D1180" i="5"/>
  <c r="D1188" i="5"/>
  <c r="D1196" i="5"/>
  <c r="D1204" i="5"/>
  <c r="D1212" i="5"/>
  <c r="D1220" i="5"/>
  <c r="D1228" i="5"/>
  <c r="D1236" i="5"/>
  <c r="D1244" i="5"/>
  <c r="D1252" i="5"/>
  <c r="D1260" i="5"/>
  <c r="D1268" i="5"/>
  <c r="D1276" i="5"/>
  <c r="D1284" i="5"/>
  <c r="D1292" i="5"/>
  <c r="D1300" i="5"/>
  <c r="D1308" i="5"/>
  <c r="D1316" i="5"/>
  <c r="D1324" i="5"/>
  <c r="D1332" i="5"/>
  <c r="D1340" i="5"/>
  <c r="D1348" i="5"/>
  <c r="D1356" i="5"/>
  <c r="D1364" i="5"/>
  <c r="D1372" i="5"/>
  <c r="D1380" i="5"/>
  <c r="D1388" i="5"/>
  <c r="D1396" i="5"/>
  <c r="D1404" i="5"/>
  <c r="D1412" i="5"/>
  <c r="D1420" i="5"/>
  <c r="D1428" i="5"/>
  <c r="D1436" i="5"/>
  <c r="D1444" i="5"/>
  <c r="D1452" i="5"/>
  <c r="D1460" i="5"/>
  <c r="D1468" i="5"/>
  <c r="D1476" i="5"/>
  <c r="D1484" i="5"/>
  <c r="D1492" i="5"/>
  <c r="D1500" i="5"/>
  <c r="D1508" i="5"/>
  <c r="D1516" i="5"/>
  <c r="D1524" i="5"/>
  <c r="D1532" i="5"/>
  <c r="D1540" i="5"/>
  <c r="D1548" i="5"/>
  <c r="D1556" i="5"/>
  <c r="D1564" i="5"/>
  <c r="D1572" i="5"/>
  <c r="D1580" i="5"/>
  <c r="D1588" i="5"/>
  <c r="D1596" i="5"/>
  <c r="D1604" i="5"/>
  <c r="D1612" i="5"/>
  <c r="D1620" i="5"/>
  <c r="D1628" i="5"/>
  <c r="D1636" i="5"/>
  <c r="D1644" i="5"/>
  <c r="D1652" i="5"/>
  <c r="D1660" i="5"/>
  <c r="D1668" i="5"/>
  <c r="D1676" i="5"/>
  <c r="D1684" i="5"/>
  <c r="D1692" i="5"/>
  <c r="J5" i="5"/>
  <c r="J13" i="5"/>
  <c r="J21" i="5"/>
  <c r="J29" i="5"/>
  <c r="J37" i="5"/>
  <c r="J45" i="5"/>
  <c r="J53" i="5"/>
  <c r="J61" i="5"/>
  <c r="J69" i="5"/>
  <c r="J77" i="5"/>
  <c r="J85" i="5"/>
  <c r="J93" i="5"/>
  <c r="J101" i="5"/>
  <c r="J109" i="5"/>
  <c r="J117" i="5"/>
  <c r="J125" i="5"/>
  <c r="J133" i="5"/>
  <c r="J141" i="5"/>
  <c r="J149" i="5"/>
  <c r="J157" i="5"/>
  <c r="J165" i="5"/>
  <c r="J173" i="5"/>
  <c r="J181" i="5"/>
  <c r="J189" i="5"/>
  <c r="J197" i="5"/>
  <c r="J205" i="5"/>
  <c r="J213" i="5"/>
  <c r="J221" i="5"/>
  <c r="J229" i="5"/>
  <c r="J237" i="5"/>
  <c r="J245" i="5"/>
  <c r="J253" i="5"/>
  <c r="J261" i="5"/>
  <c r="J269" i="5"/>
  <c r="J277" i="5"/>
  <c r="J285" i="5"/>
  <c r="J293" i="5"/>
  <c r="J301" i="5"/>
  <c r="J309" i="5"/>
  <c r="J317" i="5"/>
  <c r="J325" i="5"/>
  <c r="J333" i="5"/>
  <c r="J341" i="5"/>
  <c r="J349" i="5"/>
  <c r="J357" i="5"/>
  <c r="J365" i="5"/>
  <c r="J373" i="5"/>
  <c r="J381" i="5"/>
  <c r="J389" i="5"/>
  <c r="J397" i="5"/>
  <c r="J405" i="5"/>
  <c r="J413" i="5"/>
  <c r="J421" i="5"/>
  <c r="J429" i="5"/>
  <c r="J437" i="5"/>
  <c r="J445" i="5"/>
  <c r="J453" i="5"/>
  <c r="J461" i="5"/>
  <c r="J469" i="5"/>
  <c r="J477" i="5"/>
  <c r="J485" i="5"/>
  <c r="J493" i="5"/>
  <c r="J501" i="5"/>
  <c r="J509" i="5"/>
  <c r="J517" i="5"/>
  <c r="J525" i="5"/>
  <c r="J533" i="5"/>
  <c r="J541" i="5"/>
  <c r="J549" i="5"/>
  <c r="J557" i="5"/>
  <c r="J565" i="5"/>
  <c r="J573" i="5"/>
  <c r="J581" i="5"/>
  <c r="J589" i="5"/>
  <c r="J597" i="5"/>
  <c r="J605" i="5"/>
  <c r="J613" i="5"/>
  <c r="J621" i="5"/>
  <c r="J629" i="5"/>
  <c r="J637" i="5"/>
  <c r="J645" i="5"/>
  <c r="J653" i="5"/>
  <c r="J661" i="5"/>
  <c r="J669" i="5"/>
  <c r="J677" i="5"/>
  <c r="J685" i="5"/>
  <c r="J693" i="5"/>
  <c r="J701" i="5"/>
  <c r="J709" i="5"/>
  <c r="J717" i="5"/>
  <c r="J725" i="5"/>
  <c r="J733" i="5"/>
  <c r="J741" i="5"/>
  <c r="J749" i="5"/>
  <c r="J757" i="5"/>
  <c r="J765" i="5"/>
  <c r="J773" i="5"/>
  <c r="J781" i="5"/>
  <c r="J789" i="5"/>
  <c r="J797" i="5"/>
  <c r="J805" i="5"/>
  <c r="J813" i="5"/>
  <c r="J821" i="5"/>
  <c r="J829" i="5"/>
  <c r="J837" i="5"/>
  <c r="J845" i="5"/>
  <c r="J853" i="5"/>
  <c r="J861" i="5"/>
  <c r="J869" i="5"/>
  <c r="J877" i="5"/>
  <c r="J885" i="5"/>
  <c r="J893" i="5"/>
  <c r="J901" i="5"/>
  <c r="J909" i="5"/>
  <c r="J917" i="5"/>
  <c r="J925" i="5"/>
  <c r="J933" i="5"/>
  <c r="J941" i="5"/>
  <c r="J949" i="5"/>
  <c r="J957" i="5"/>
  <c r="J965" i="5"/>
  <c r="J973" i="5"/>
  <c r="J981" i="5"/>
  <c r="J989" i="5"/>
  <c r="J997" i="5"/>
  <c r="J1005" i="5"/>
  <c r="J1013" i="5"/>
  <c r="J1021" i="5"/>
  <c r="J1029" i="5"/>
  <c r="J1037" i="5"/>
  <c r="J1045" i="5"/>
  <c r="J1053" i="5"/>
  <c r="J1061" i="5"/>
  <c r="J1069" i="5"/>
  <c r="J1077" i="5"/>
  <c r="J1085" i="5"/>
  <c r="J1093" i="5"/>
  <c r="J1101" i="5"/>
  <c r="J1109" i="5"/>
  <c r="J1117" i="5"/>
  <c r="J1125" i="5"/>
  <c r="J1133" i="5"/>
  <c r="J1141" i="5"/>
  <c r="J1149" i="5"/>
  <c r="J1157" i="5"/>
  <c r="J1165" i="5"/>
  <c r="J1173" i="5"/>
  <c r="J1181" i="5"/>
  <c r="J1189" i="5"/>
  <c r="J1197" i="5"/>
  <c r="J1205" i="5"/>
  <c r="J1213" i="5"/>
  <c r="J1221" i="5"/>
  <c r="J1229" i="5"/>
  <c r="J1237" i="5"/>
  <c r="J1245" i="5"/>
  <c r="J1253" i="5"/>
  <c r="J1261" i="5"/>
  <c r="J1269" i="5"/>
  <c r="J1277" i="5"/>
  <c r="J1285" i="5"/>
  <c r="J1293" i="5"/>
  <c r="J1301" i="5"/>
  <c r="J1309" i="5"/>
  <c r="J1317" i="5"/>
  <c r="J1325" i="5"/>
  <c r="J1333" i="5"/>
  <c r="J1341" i="5"/>
  <c r="J1349" i="5"/>
  <c r="J1357" i="5"/>
  <c r="J1365" i="5"/>
  <c r="J1373" i="5"/>
  <c r="J1381" i="5"/>
  <c r="J1389" i="5"/>
  <c r="J1397" i="5"/>
  <c r="J1405" i="5"/>
  <c r="J1413" i="5"/>
  <c r="J1421" i="5"/>
  <c r="J1429" i="5"/>
  <c r="J1437" i="5"/>
  <c r="J1445" i="5"/>
  <c r="J1453" i="5"/>
  <c r="J1461" i="5"/>
  <c r="J1469" i="5"/>
  <c r="J1477" i="5"/>
  <c r="J1485" i="5"/>
  <c r="J1493" i="5"/>
  <c r="J1501" i="5"/>
  <c r="J1509" i="5"/>
  <c r="J1517" i="5"/>
  <c r="J1525" i="5"/>
  <c r="J1533" i="5"/>
  <c r="J1541" i="5"/>
  <c r="J1549" i="5"/>
  <c r="J1557" i="5"/>
  <c r="J1565" i="5"/>
  <c r="J1573" i="5"/>
  <c r="J1581" i="5"/>
  <c r="J1589" i="5"/>
  <c r="J1597" i="5"/>
  <c r="J1605" i="5"/>
  <c r="J1613" i="5"/>
  <c r="J1621" i="5"/>
  <c r="J1629" i="5"/>
  <c r="J1637" i="5"/>
  <c r="J1645" i="5"/>
  <c r="J1653" i="5"/>
  <c r="J1661" i="5"/>
  <c r="J1669" i="5"/>
  <c r="J1677" i="5"/>
  <c r="J1685" i="5"/>
  <c r="J1693" i="5"/>
  <c r="A1" i="5" l="1" a="1"/>
  <c r="E41575" i="5"/>
  <c r="E41567" i="5"/>
  <c r="E41559" i="5"/>
  <c r="E41551" i="5"/>
  <c r="E41543" i="5"/>
  <c r="E41535" i="5"/>
  <c r="E41527" i="5"/>
  <c r="E41519" i="5"/>
  <c r="E41511" i="5"/>
  <c r="E41503" i="5"/>
  <c r="E41495" i="5"/>
  <c r="E41487" i="5"/>
  <c r="E41479" i="5"/>
  <c r="E41471" i="5"/>
  <c r="E41463" i="5"/>
  <c r="E41455" i="5"/>
  <c r="E41447" i="5"/>
  <c r="E41439" i="5"/>
  <c r="E41431" i="5"/>
  <c r="E41423" i="5"/>
  <c r="E41415" i="5"/>
  <c r="E41407" i="5"/>
  <c r="E41399" i="5"/>
  <c r="E41391" i="5"/>
  <c r="E41383" i="5"/>
  <c r="E41375" i="5"/>
  <c r="E41367" i="5"/>
  <c r="E41359" i="5"/>
  <c r="E41351" i="5"/>
  <c r="E41343" i="5"/>
  <c r="E41335" i="5"/>
  <c r="E41327" i="5"/>
  <c r="E41319" i="5"/>
  <c r="E41311" i="5"/>
  <c r="E41303" i="5"/>
  <c r="E41295" i="5"/>
  <c r="E41287" i="5"/>
  <c r="E41279" i="5"/>
  <c r="E41271" i="5"/>
  <c r="E41263" i="5"/>
  <c r="E41255" i="5"/>
  <c r="E41247" i="5"/>
  <c r="E41239" i="5"/>
  <c r="E41231" i="5"/>
  <c r="E41223" i="5"/>
  <c r="E41215" i="5"/>
  <c r="E41207" i="5"/>
  <c r="E41199" i="5"/>
  <c r="E41191" i="5"/>
  <c r="E41183" i="5"/>
  <c r="E41175" i="5"/>
  <c r="E41167" i="5"/>
  <c r="E41159" i="5"/>
  <c r="E41151" i="5"/>
  <c r="E41143" i="5"/>
  <c r="E41135" i="5"/>
  <c r="E41127" i="5"/>
  <c r="E41119" i="5"/>
  <c r="E41111" i="5"/>
  <c r="E41103" i="5"/>
  <c r="E41095" i="5"/>
  <c r="E41087" i="5"/>
  <c r="E41079" i="5"/>
  <c r="E41071" i="5"/>
  <c r="E41063" i="5"/>
  <c r="E41055" i="5"/>
  <c r="E41047" i="5"/>
  <c r="E41039" i="5"/>
  <c r="E41031" i="5"/>
  <c r="E41023" i="5"/>
  <c r="E41015" i="5"/>
  <c r="E41007" i="5"/>
  <c r="E40999" i="5"/>
  <c r="E40991" i="5"/>
  <c r="E40983" i="5"/>
  <c r="E40975" i="5"/>
  <c r="E40967" i="5"/>
  <c r="E40959" i="5"/>
  <c r="E40951" i="5"/>
  <c r="E40943" i="5"/>
  <c r="E40935" i="5"/>
  <c r="E40927" i="5"/>
  <c r="E40919" i="5"/>
  <c r="E40911" i="5"/>
  <c r="E40903" i="5"/>
  <c r="E40895" i="5"/>
  <c r="E40887" i="5"/>
  <c r="E40879" i="5"/>
  <c r="E40871" i="5"/>
  <c r="E40863" i="5"/>
  <c r="E40855" i="5"/>
  <c r="E40847" i="5"/>
  <c r="E40839" i="5"/>
  <c r="E40831" i="5"/>
  <c r="E40823" i="5"/>
  <c r="E40815" i="5"/>
  <c r="E40807" i="5"/>
  <c r="E40799" i="5"/>
  <c r="E40791" i="5"/>
  <c r="E40783" i="5"/>
  <c r="E40775" i="5"/>
  <c r="E40767" i="5"/>
  <c r="E40759" i="5"/>
  <c r="E40751" i="5"/>
  <c r="E40743" i="5"/>
  <c r="E40735" i="5"/>
  <c r="E40727" i="5"/>
  <c r="E40719" i="5"/>
  <c r="E40711" i="5"/>
  <c r="E40703" i="5"/>
  <c r="E40695" i="5"/>
  <c r="E40687" i="5"/>
  <c r="E40679" i="5"/>
  <c r="E40671" i="5"/>
  <c r="E40663" i="5"/>
  <c r="E40655" i="5"/>
  <c r="E40647" i="5"/>
  <c r="E40639" i="5"/>
  <c r="E40631" i="5"/>
  <c r="E40623" i="5"/>
  <c r="E40615" i="5"/>
  <c r="E40607" i="5"/>
  <c r="E40599" i="5"/>
  <c r="E40591" i="5"/>
  <c r="E40583" i="5"/>
  <c r="E40575" i="5"/>
  <c r="E40567" i="5"/>
  <c r="E40559" i="5"/>
  <c r="E40551" i="5"/>
  <c r="E40543" i="5"/>
  <c r="E40535" i="5"/>
  <c r="E40527" i="5"/>
  <c r="E40519" i="5"/>
  <c r="E40511" i="5"/>
  <c r="E40503" i="5"/>
  <c r="E40495" i="5"/>
  <c r="E40487" i="5"/>
  <c r="E40479" i="5"/>
  <c r="E40471" i="5"/>
  <c r="E40463" i="5"/>
  <c r="E40455" i="5"/>
  <c r="E40447" i="5"/>
  <c r="E40439" i="5"/>
  <c r="E40431" i="5"/>
  <c r="E40423" i="5"/>
  <c r="E40415" i="5"/>
  <c r="E40407" i="5"/>
  <c r="E40399" i="5"/>
  <c r="E40391" i="5"/>
  <c r="E40383" i="5"/>
  <c r="E40375" i="5"/>
  <c r="E40367" i="5"/>
  <c r="E40359" i="5"/>
  <c r="E40351" i="5"/>
  <c r="E40343" i="5"/>
  <c r="E40335" i="5"/>
  <c r="E40327" i="5"/>
  <c r="E40319" i="5"/>
  <c r="E40311" i="5"/>
  <c r="E40303" i="5"/>
  <c r="E40295" i="5"/>
  <c r="E40287" i="5"/>
  <c r="E40279" i="5"/>
  <c r="E40271" i="5"/>
  <c r="E40263" i="5"/>
  <c r="E40255" i="5"/>
  <c r="E40247" i="5"/>
  <c r="E40239" i="5"/>
  <c r="E40231" i="5"/>
  <c r="E40223" i="5"/>
  <c r="E40215" i="5"/>
  <c r="E40207" i="5"/>
  <c r="E40199" i="5"/>
  <c r="E40191" i="5"/>
  <c r="E40183" i="5"/>
  <c r="E40175" i="5"/>
  <c r="E40167" i="5"/>
  <c r="E40159" i="5"/>
  <c r="E40151" i="5"/>
  <c r="E40143" i="5"/>
  <c r="E40135" i="5"/>
  <c r="E40127" i="5"/>
  <c r="E40119" i="5"/>
  <c r="E40111" i="5"/>
  <c r="E40103" i="5"/>
  <c r="E40095" i="5"/>
  <c r="E40087" i="5"/>
  <c r="E40079" i="5"/>
  <c r="E40071" i="5"/>
  <c r="E40063" i="5"/>
  <c r="E40055" i="5"/>
  <c r="E40047" i="5"/>
  <c r="E40039" i="5"/>
  <c r="E40031" i="5"/>
  <c r="E40023" i="5"/>
  <c r="E40015" i="5"/>
  <c r="E40007" i="5"/>
  <c r="E39999" i="5"/>
  <c r="E39991" i="5"/>
  <c r="E39983" i="5"/>
  <c r="E39975" i="5"/>
  <c r="E39967" i="5"/>
  <c r="E39959" i="5"/>
  <c r="E39951" i="5"/>
  <c r="E39943" i="5"/>
  <c r="E39935" i="5"/>
  <c r="E39927" i="5"/>
  <c r="E39919" i="5"/>
  <c r="E39911" i="5"/>
  <c r="E39903" i="5"/>
  <c r="E39895" i="5"/>
  <c r="E39887" i="5"/>
  <c r="E39879" i="5"/>
  <c r="E39871" i="5"/>
  <c r="E39863" i="5"/>
  <c r="E39855" i="5"/>
  <c r="E39847" i="5"/>
  <c r="E39839" i="5"/>
  <c r="E39831" i="5"/>
  <c r="E39823" i="5"/>
  <c r="E39815" i="5"/>
  <c r="E39807" i="5"/>
  <c r="E39799" i="5"/>
  <c r="E39791" i="5"/>
  <c r="E39783" i="5"/>
  <c r="E39775" i="5"/>
  <c r="E39767" i="5"/>
  <c r="E39759" i="5"/>
  <c r="E39751" i="5"/>
  <c r="E39743" i="5"/>
  <c r="E39735" i="5"/>
  <c r="E39727" i="5"/>
  <c r="E39719" i="5"/>
  <c r="E39711" i="5"/>
  <c r="E39703" i="5"/>
  <c r="E39695" i="5"/>
  <c r="E39687" i="5"/>
  <c r="E39679" i="5"/>
  <c r="E39671" i="5"/>
  <c r="E39663" i="5"/>
  <c r="E39655" i="5"/>
  <c r="E39647" i="5"/>
  <c r="E39639" i="5"/>
  <c r="E39631" i="5"/>
  <c r="E39623" i="5"/>
  <c r="E39615" i="5"/>
  <c r="E39607" i="5"/>
  <c r="E39599" i="5"/>
  <c r="E39591" i="5"/>
  <c r="E39583" i="5"/>
  <c r="E39575" i="5"/>
  <c r="E39567" i="5"/>
  <c r="E39559" i="5"/>
  <c r="E39551" i="5"/>
  <c r="E39543" i="5"/>
  <c r="E39535" i="5"/>
  <c r="E39527" i="5"/>
  <c r="E39519" i="5"/>
  <c r="E39511" i="5"/>
  <c r="E39503" i="5"/>
  <c r="E39495" i="5"/>
  <c r="E39487" i="5"/>
  <c r="E39479" i="5"/>
  <c r="E39471" i="5"/>
  <c r="E39463" i="5"/>
  <c r="E39455" i="5"/>
  <c r="E39447" i="5"/>
  <c r="E39439" i="5"/>
  <c r="E39431" i="5"/>
  <c r="E39423" i="5"/>
  <c r="E39415" i="5"/>
  <c r="E39407" i="5"/>
  <c r="E39399" i="5"/>
  <c r="E39391" i="5"/>
  <c r="E39383" i="5"/>
  <c r="E39375" i="5"/>
  <c r="E39367" i="5"/>
  <c r="E39359" i="5"/>
  <c r="E39351" i="5"/>
  <c r="E39343" i="5"/>
  <c r="E39335" i="5"/>
  <c r="E39327" i="5"/>
  <c r="E39319" i="5"/>
  <c r="E39311" i="5"/>
  <c r="E39303" i="5"/>
  <c r="E39295" i="5"/>
  <c r="E39287" i="5"/>
  <c r="E39279" i="5"/>
  <c r="E39271" i="5"/>
  <c r="E39263" i="5"/>
  <c r="E39255" i="5"/>
  <c r="E39247" i="5"/>
  <c r="E39239" i="5"/>
  <c r="E39231" i="5"/>
  <c r="E39223" i="5"/>
  <c r="E39215" i="5"/>
  <c r="E39207" i="5"/>
  <c r="E39199" i="5"/>
  <c r="E39191" i="5"/>
  <c r="E39183" i="5"/>
  <c r="E39175" i="5"/>
  <c r="E39167" i="5"/>
  <c r="E39159" i="5"/>
  <c r="E41573" i="5"/>
  <c r="E41565" i="5"/>
  <c r="E41557" i="5"/>
  <c r="E41549" i="5"/>
  <c r="E41541" i="5"/>
  <c r="E41533" i="5"/>
  <c r="E41525" i="5"/>
  <c r="E41517" i="5"/>
  <c r="E41509" i="5"/>
  <c r="E41501" i="5"/>
  <c r="E41493" i="5"/>
  <c r="E41485" i="5"/>
  <c r="E41477" i="5"/>
  <c r="E41469" i="5"/>
  <c r="E41461" i="5"/>
  <c r="E41453" i="5"/>
  <c r="E41445" i="5"/>
  <c r="E41437" i="5"/>
  <c r="E41429" i="5"/>
  <c r="E41421" i="5"/>
  <c r="E41413" i="5"/>
  <c r="E41405" i="5"/>
  <c r="E41397" i="5"/>
  <c r="E41389" i="5"/>
  <c r="E41381" i="5"/>
  <c r="E41373" i="5"/>
  <c r="E41365" i="5"/>
  <c r="E41357" i="5"/>
  <c r="E41349" i="5"/>
  <c r="E41341" i="5"/>
  <c r="E41333" i="5"/>
  <c r="E41325" i="5"/>
  <c r="E41317" i="5"/>
  <c r="E41309" i="5"/>
  <c r="E41301" i="5"/>
  <c r="E41293" i="5"/>
  <c r="E41285" i="5"/>
  <c r="E41277" i="5"/>
  <c r="E41269" i="5"/>
  <c r="E41261" i="5"/>
  <c r="E41253" i="5"/>
  <c r="E41245" i="5"/>
  <c r="E41237" i="5"/>
  <c r="E41229" i="5"/>
  <c r="E41221" i="5"/>
  <c r="E41213" i="5"/>
  <c r="E41205" i="5"/>
  <c r="E41197" i="5"/>
  <c r="E41189" i="5"/>
  <c r="E41181" i="5"/>
  <c r="E41173" i="5"/>
  <c r="E41165" i="5"/>
  <c r="E41157" i="5"/>
  <c r="E41149" i="5"/>
  <c r="E41141" i="5"/>
  <c r="E41133" i="5"/>
  <c r="E41125" i="5"/>
  <c r="E41117" i="5"/>
  <c r="E41109" i="5"/>
  <c r="E41101" i="5"/>
  <c r="E41093" i="5"/>
  <c r="E41085" i="5"/>
  <c r="E41077" i="5"/>
  <c r="E41069" i="5"/>
  <c r="E41061" i="5"/>
  <c r="E41053" i="5"/>
  <c r="E41045" i="5"/>
  <c r="E41037" i="5"/>
  <c r="E41029" i="5"/>
  <c r="E41021" i="5"/>
  <c r="E41013" i="5"/>
  <c r="E41005" i="5"/>
  <c r="E40997" i="5"/>
  <c r="E40989" i="5"/>
  <c r="E40981" i="5"/>
  <c r="E40973" i="5"/>
  <c r="E40965" i="5"/>
  <c r="E40957" i="5"/>
  <c r="E40949" i="5"/>
  <c r="E40941" i="5"/>
  <c r="E40933" i="5"/>
  <c r="E40925" i="5"/>
  <c r="E40917" i="5"/>
  <c r="E40909" i="5"/>
  <c r="E40901" i="5"/>
  <c r="E40893" i="5"/>
  <c r="E40885" i="5"/>
  <c r="E40877" i="5"/>
  <c r="E40869" i="5"/>
  <c r="E40861" i="5"/>
  <c r="E40853" i="5"/>
  <c r="E40845" i="5"/>
  <c r="E40837" i="5"/>
  <c r="E40829" i="5"/>
  <c r="E40821" i="5"/>
  <c r="E40813" i="5"/>
  <c r="E40805" i="5"/>
  <c r="E40797" i="5"/>
  <c r="E40789" i="5"/>
  <c r="E40781" i="5"/>
  <c r="E40773" i="5"/>
  <c r="E40765" i="5"/>
  <c r="E40757" i="5"/>
  <c r="E40749" i="5"/>
  <c r="E40741" i="5"/>
  <c r="E40733" i="5"/>
  <c r="E40725" i="5"/>
  <c r="E40717" i="5"/>
  <c r="E40709" i="5"/>
  <c r="E40701" i="5"/>
  <c r="E40693" i="5"/>
  <c r="E40685" i="5"/>
  <c r="E40677" i="5"/>
  <c r="E40669" i="5"/>
  <c r="E40661" i="5"/>
  <c r="E40653" i="5"/>
  <c r="E40645" i="5"/>
  <c r="E40637" i="5"/>
  <c r="E40629" i="5"/>
  <c r="E40621" i="5"/>
  <c r="E40613" i="5"/>
  <c r="E40605" i="5"/>
  <c r="E40597" i="5"/>
  <c r="E40589" i="5"/>
  <c r="E40581" i="5"/>
  <c r="E40573" i="5"/>
  <c r="E40565" i="5"/>
  <c r="E40557" i="5"/>
  <c r="E40549" i="5"/>
  <c r="E40541" i="5"/>
  <c r="E40533" i="5"/>
  <c r="E40525" i="5"/>
  <c r="E40517" i="5"/>
  <c r="E40509" i="5"/>
  <c r="E40501" i="5"/>
  <c r="E40493" i="5"/>
  <c r="E40485" i="5"/>
  <c r="E40477" i="5"/>
  <c r="E40469" i="5"/>
  <c r="E40461" i="5"/>
  <c r="E40453" i="5"/>
  <c r="E40445" i="5"/>
  <c r="E40437" i="5"/>
  <c r="E40429" i="5"/>
  <c r="E40421" i="5"/>
  <c r="E40413" i="5"/>
  <c r="E40405" i="5"/>
  <c r="E40397" i="5"/>
  <c r="E40389" i="5"/>
  <c r="E40381" i="5"/>
  <c r="E40373" i="5"/>
  <c r="E40365" i="5"/>
  <c r="E40357" i="5"/>
  <c r="E40349" i="5"/>
  <c r="E40341" i="5"/>
  <c r="E40333" i="5"/>
  <c r="E40325" i="5"/>
  <c r="E40317" i="5"/>
  <c r="E40309" i="5"/>
  <c r="E40301" i="5"/>
  <c r="E40293" i="5"/>
  <c r="E40285" i="5"/>
  <c r="E40277" i="5"/>
  <c r="E40269" i="5"/>
  <c r="E40261" i="5"/>
  <c r="E40253" i="5"/>
  <c r="E40245" i="5"/>
  <c r="E40237" i="5"/>
  <c r="E40229" i="5"/>
  <c r="E40221" i="5"/>
  <c r="E40213" i="5"/>
  <c r="E40205" i="5"/>
  <c r="E40197" i="5"/>
  <c r="E40189" i="5"/>
  <c r="E40181" i="5"/>
  <c r="E40173" i="5"/>
  <c r="E40165" i="5"/>
  <c r="E40157" i="5"/>
  <c r="E40149" i="5"/>
  <c r="E40141" i="5"/>
  <c r="E40133" i="5"/>
  <c r="E40125" i="5"/>
  <c r="E40117" i="5"/>
  <c r="E40109" i="5"/>
  <c r="E40101" i="5"/>
  <c r="E40093" i="5"/>
  <c r="E40085" i="5"/>
  <c r="E40077" i="5"/>
  <c r="E40069" i="5"/>
  <c r="E40061" i="5"/>
  <c r="E40053" i="5"/>
  <c r="E40045" i="5"/>
  <c r="E40037" i="5"/>
  <c r="E40029" i="5"/>
  <c r="E40021" i="5"/>
  <c r="E40013" i="5"/>
  <c r="E40005" i="5"/>
  <c r="E39997" i="5"/>
  <c r="E39989" i="5"/>
  <c r="E39981" i="5"/>
  <c r="E39973" i="5"/>
  <c r="E39965" i="5"/>
  <c r="E39957" i="5"/>
  <c r="E39949" i="5"/>
  <c r="E39941" i="5"/>
  <c r="E39933" i="5"/>
  <c r="E39925" i="5"/>
  <c r="E39917" i="5"/>
  <c r="E39909" i="5"/>
  <c r="E39901" i="5"/>
  <c r="E39893" i="5"/>
  <c r="E39885" i="5"/>
  <c r="E39877" i="5"/>
  <c r="E39869" i="5"/>
  <c r="E39861" i="5"/>
  <c r="E39853" i="5"/>
  <c r="E39845" i="5"/>
  <c r="E39837" i="5"/>
  <c r="E39829" i="5"/>
  <c r="E39821" i="5"/>
  <c r="E39813" i="5"/>
  <c r="E39805" i="5"/>
  <c r="E39797" i="5"/>
  <c r="E39789" i="5"/>
  <c r="E39781" i="5"/>
  <c r="E39773" i="5"/>
  <c r="E39765" i="5"/>
  <c r="E39757" i="5"/>
  <c r="E39749" i="5"/>
  <c r="E39741" i="5"/>
  <c r="E39733" i="5"/>
  <c r="E39725" i="5"/>
  <c r="E39717" i="5"/>
  <c r="E39709" i="5"/>
  <c r="E39701" i="5"/>
  <c r="E39693" i="5"/>
  <c r="E39685" i="5"/>
  <c r="E39677" i="5"/>
  <c r="E39669" i="5"/>
  <c r="E39661" i="5"/>
  <c r="E39653" i="5"/>
  <c r="E39645" i="5"/>
  <c r="E39637" i="5"/>
  <c r="E39629" i="5"/>
  <c r="E39621" i="5"/>
  <c r="E39613" i="5"/>
  <c r="E39605" i="5"/>
  <c r="E39597" i="5"/>
  <c r="E39589" i="5"/>
  <c r="E39581" i="5"/>
  <c r="E39573" i="5"/>
  <c r="E39565" i="5"/>
  <c r="E39557" i="5"/>
  <c r="E39549" i="5"/>
  <c r="E39541" i="5"/>
  <c r="E39533" i="5"/>
  <c r="E39525" i="5"/>
  <c r="E39517" i="5"/>
  <c r="E39509" i="5"/>
  <c r="E39501" i="5"/>
  <c r="E39493" i="5"/>
  <c r="E39485" i="5"/>
  <c r="E39477" i="5"/>
  <c r="E39469" i="5"/>
  <c r="E39461" i="5"/>
  <c r="E39453" i="5"/>
  <c r="E39445" i="5"/>
  <c r="E39437" i="5"/>
  <c r="E39429" i="5"/>
  <c r="E39421" i="5"/>
  <c r="E39413" i="5"/>
  <c r="E39405" i="5"/>
  <c r="E39397" i="5"/>
  <c r="E39389" i="5"/>
  <c r="E39381" i="5"/>
  <c r="E39373" i="5"/>
  <c r="E39365" i="5"/>
  <c r="E39357" i="5"/>
  <c r="E39349" i="5"/>
  <c r="E39341" i="5"/>
  <c r="E39333" i="5"/>
  <c r="E39325" i="5"/>
  <c r="E39317" i="5"/>
  <c r="E39309" i="5"/>
  <c r="E39301" i="5"/>
  <c r="E39293" i="5"/>
  <c r="E39285" i="5"/>
  <c r="E39277" i="5"/>
  <c r="E39269" i="5"/>
  <c r="E39261" i="5"/>
  <c r="E39253" i="5"/>
  <c r="E39245" i="5"/>
  <c r="E39237" i="5"/>
  <c r="E39229" i="5"/>
  <c r="E39221" i="5"/>
  <c r="E39213" i="5"/>
  <c r="E39205" i="5"/>
  <c r="E39197" i="5"/>
  <c r="E39189" i="5"/>
  <c r="E39181" i="5"/>
  <c r="E39173" i="5"/>
  <c r="E39165" i="5"/>
  <c r="E39157" i="5"/>
  <c r="E41572" i="5"/>
  <c r="E41564" i="5"/>
  <c r="E41556" i="5"/>
  <c r="E41548" i="5"/>
  <c r="E41540" i="5"/>
  <c r="E41532" i="5"/>
  <c r="E41524" i="5"/>
  <c r="E41516" i="5"/>
  <c r="E41508" i="5"/>
  <c r="E41500" i="5"/>
  <c r="E41492" i="5"/>
  <c r="E41484" i="5"/>
  <c r="E41476" i="5"/>
  <c r="E41468" i="5"/>
  <c r="E41460" i="5"/>
  <c r="E41452" i="5"/>
  <c r="E41444" i="5"/>
  <c r="E41436" i="5"/>
  <c r="E41428" i="5"/>
  <c r="E41420" i="5"/>
  <c r="E41412" i="5"/>
  <c r="E41404" i="5"/>
  <c r="E41396" i="5"/>
  <c r="E41388" i="5"/>
  <c r="E41380" i="5"/>
  <c r="E41372" i="5"/>
  <c r="E41364" i="5"/>
  <c r="E41356" i="5"/>
  <c r="E41348" i="5"/>
  <c r="E41340" i="5"/>
  <c r="E41332" i="5"/>
  <c r="E41324" i="5"/>
  <c r="E41316" i="5"/>
  <c r="E41308" i="5"/>
  <c r="E41300" i="5"/>
  <c r="E41292" i="5"/>
  <c r="E41284" i="5"/>
  <c r="E41276" i="5"/>
  <c r="E41268" i="5"/>
  <c r="E41260" i="5"/>
  <c r="E41252" i="5"/>
  <c r="E41244" i="5"/>
  <c r="E41236" i="5"/>
  <c r="E41228" i="5"/>
  <c r="E41220" i="5"/>
  <c r="E41212" i="5"/>
  <c r="E41204" i="5"/>
  <c r="E41196" i="5"/>
  <c r="E41188" i="5"/>
  <c r="E41180" i="5"/>
  <c r="E41172" i="5"/>
  <c r="E41164" i="5"/>
  <c r="E41156" i="5"/>
  <c r="E41148" i="5"/>
  <c r="E41140" i="5"/>
  <c r="E41132" i="5"/>
  <c r="E41124" i="5"/>
  <c r="E41116" i="5"/>
  <c r="E41108" i="5"/>
  <c r="E41100" i="5"/>
  <c r="E41092" i="5"/>
  <c r="E41084" i="5"/>
  <c r="E41076" i="5"/>
  <c r="E41068" i="5"/>
  <c r="E41060" i="5"/>
  <c r="E41052" i="5"/>
  <c r="E41044" i="5"/>
  <c r="E41036" i="5"/>
  <c r="E41028" i="5"/>
  <c r="E41020" i="5"/>
  <c r="E41012" i="5"/>
  <c r="E41004" i="5"/>
  <c r="E40996" i="5"/>
  <c r="E40988" i="5"/>
  <c r="E40980" i="5"/>
  <c r="E40972" i="5"/>
  <c r="E40964" i="5"/>
  <c r="E40956" i="5"/>
  <c r="E40948" i="5"/>
  <c r="E40940" i="5"/>
  <c r="E40932" i="5"/>
  <c r="E40924" i="5"/>
  <c r="E40916" i="5"/>
  <c r="E40908" i="5"/>
  <c r="E40900" i="5"/>
  <c r="E40892" i="5"/>
  <c r="E40884" i="5"/>
  <c r="E40876" i="5"/>
  <c r="E41570" i="5"/>
  <c r="E41562" i="5"/>
  <c r="E41554" i="5"/>
  <c r="E41546" i="5"/>
  <c r="E41538" i="5"/>
  <c r="E41530" i="5"/>
  <c r="E41522" i="5"/>
  <c r="E41514" i="5"/>
  <c r="E41506" i="5"/>
  <c r="E41498" i="5"/>
  <c r="E41490" i="5"/>
  <c r="E41482" i="5"/>
  <c r="E41474" i="5"/>
  <c r="E41466" i="5"/>
  <c r="E41458" i="5"/>
  <c r="E41450" i="5"/>
  <c r="E41442" i="5"/>
  <c r="E41434" i="5"/>
  <c r="E41426" i="5"/>
  <c r="E41418" i="5"/>
  <c r="E41410" i="5"/>
  <c r="E41402" i="5"/>
  <c r="E41394" i="5"/>
  <c r="E41386" i="5"/>
  <c r="E41378" i="5"/>
  <c r="E41370" i="5"/>
  <c r="E41362" i="5"/>
  <c r="E41354" i="5"/>
  <c r="E41346" i="5"/>
  <c r="E41338" i="5"/>
  <c r="E41330" i="5"/>
  <c r="E41322" i="5"/>
  <c r="E41314" i="5"/>
  <c r="E41306" i="5"/>
  <c r="E41298" i="5"/>
  <c r="E41290" i="5"/>
  <c r="E41282" i="5"/>
  <c r="E41274" i="5"/>
  <c r="E41266" i="5"/>
  <c r="E41258" i="5"/>
  <c r="E41250" i="5"/>
  <c r="E41242" i="5"/>
  <c r="E41234" i="5"/>
  <c r="E41226" i="5"/>
  <c r="E41218" i="5"/>
  <c r="E41210" i="5"/>
  <c r="E41202" i="5"/>
  <c r="E41194" i="5"/>
  <c r="E41186" i="5"/>
  <c r="E41178" i="5"/>
  <c r="E41170" i="5"/>
  <c r="E41162" i="5"/>
  <c r="E41154" i="5"/>
  <c r="E41146" i="5"/>
  <c r="E41138" i="5"/>
  <c r="E41130" i="5"/>
  <c r="E41122" i="5"/>
  <c r="E41114" i="5"/>
  <c r="E41106" i="5"/>
  <c r="E41098" i="5"/>
  <c r="E41090" i="5"/>
  <c r="E41082" i="5"/>
  <c r="E41074" i="5"/>
  <c r="E41066" i="5"/>
  <c r="E41058" i="5"/>
  <c r="E41050" i="5"/>
  <c r="E41042" i="5"/>
  <c r="E41034" i="5"/>
  <c r="E41026" i="5"/>
  <c r="E41018" i="5"/>
  <c r="E41010" i="5"/>
  <c r="E41002" i="5"/>
  <c r="E40994" i="5"/>
  <c r="E40986" i="5"/>
  <c r="E40978" i="5"/>
  <c r="E40970" i="5"/>
  <c r="E40962" i="5"/>
  <c r="E40954" i="5"/>
  <c r="E40946" i="5"/>
  <c r="E40938" i="5"/>
  <c r="E40930" i="5"/>
  <c r="E40922" i="5"/>
  <c r="E40914" i="5"/>
  <c r="E40906" i="5"/>
  <c r="E40898" i="5"/>
  <c r="E40890" i="5"/>
  <c r="E40882" i="5"/>
  <c r="E40874" i="5"/>
  <c r="E40866" i="5"/>
  <c r="E40858" i="5"/>
  <c r="E40850" i="5"/>
  <c r="E40842" i="5"/>
  <c r="E40834" i="5"/>
  <c r="E40826" i="5"/>
  <c r="E40818" i="5"/>
  <c r="E40810" i="5"/>
  <c r="E40802" i="5"/>
  <c r="E40794" i="5"/>
  <c r="E40786" i="5"/>
  <c r="E40778" i="5"/>
  <c r="E40770" i="5"/>
  <c r="E40762" i="5"/>
  <c r="E40754" i="5"/>
  <c r="E40746" i="5"/>
  <c r="E40738" i="5"/>
  <c r="E40730" i="5"/>
  <c r="E40722" i="5"/>
  <c r="E40714" i="5"/>
  <c r="E40706" i="5"/>
  <c r="E40698" i="5"/>
  <c r="E40690" i="5"/>
  <c r="E40682" i="5"/>
  <c r="E40674" i="5"/>
  <c r="E40666" i="5"/>
  <c r="E40658" i="5"/>
  <c r="E40650" i="5"/>
  <c r="E40642" i="5"/>
  <c r="E40634" i="5"/>
  <c r="E40626" i="5"/>
  <c r="E40618" i="5"/>
  <c r="E40610" i="5"/>
  <c r="E40602" i="5"/>
  <c r="E40594" i="5"/>
  <c r="E40586" i="5"/>
  <c r="E40578" i="5"/>
  <c r="E40570" i="5"/>
  <c r="E40562" i="5"/>
  <c r="E40554" i="5"/>
  <c r="E40546" i="5"/>
  <c r="E40538" i="5"/>
  <c r="E40530" i="5"/>
  <c r="E40522" i="5"/>
  <c r="E40514" i="5"/>
  <c r="E40506" i="5"/>
  <c r="E40498" i="5"/>
  <c r="E40490" i="5"/>
  <c r="E40482" i="5"/>
  <c r="E40474" i="5"/>
  <c r="E40466" i="5"/>
  <c r="E40458" i="5"/>
  <c r="E40450" i="5"/>
  <c r="E40442" i="5"/>
  <c r="E40434" i="5"/>
  <c r="E40426" i="5"/>
  <c r="E40418" i="5"/>
  <c r="E40410" i="5"/>
  <c r="E40402" i="5"/>
  <c r="E40394" i="5"/>
  <c r="E40386" i="5"/>
  <c r="E40378" i="5"/>
  <c r="E40370" i="5"/>
  <c r="E40362" i="5"/>
  <c r="E40354" i="5"/>
  <c r="E40346" i="5"/>
  <c r="E40338" i="5"/>
  <c r="E40330" i="5"/>
  <c r="E40322" i="5"/>
  <c r="E40314" i="5"/>
  <c r="E40306" i="5"/>
  <c r="E40298" i="5"/>
  <c r="E40290" i="5"/>
  <c r="E40282" i="5"/>
  <c r="E40274" i="5"/>
  <c r="E40266" i="5"/>
  <c r="E40258" i="5"/>
  <c r="E40250" i="5"/>
  <c r="E40242" i="5"/>
  <c r="E40234" i="5"/>
  <c r="E40226" i="5"/>
  <c r="E40218" i="5"/>
  <c r="E40210" i="5"/>
  <c r="E40202" i="5"/>
  <c r="E40194" i="5"/>
  <c r="E40186" i="5"/>
  <c r="E40178" i="5"/>
  <c r="E40170" i="5"/>
  <c r="E40162" i="5"/>
  <c r="E40154" i="5"/>
  <c r="E40146" i="5"/>
  <c r="E40138" i="5"/>
  <c r="E40130" i="5"/>
  <c r="E40122" i="5"/>
  <c r="E40114" i="5"/>
  <c r="E40106" i="5"/>
  <c r="E40098" i="5"/>
  <c r="E40090" i="5"/>
  <c r="E40082" i="5"/>
  <c r="E40074" i="5"/>
  <c r="E40066" i="5"/>
  <c r="E40058" i="5"/>
  <c r="E40050" i="5"/>
  <c r="E40042" i="5"/>
  <c r="E40034" i="5"/>
  <c r="E40026" i="5"/>
  <c r="E40018" i="5"/>
  <c r="E40010" i="5"/>
  <c r="E40002" i="5"/>
  <c r="E39994" i="5"/>
  <c r="E39986" i="5"/>
  <c r="E39978" i="5"/>
  <c r="E39970" i="5"/>
  <c r="E39962" i="5"/>
  <c r="E39954" i="5"/>
  <c r="E39946" i="5"/>
  <c r="E39938" i="5"/>
  <c r="E39930" i="5"/>
  <c r="E39922" i="5"/>
  <c r="E39914" i="5"/>
  <c r="E39906" i="5"/>
  <c r="E39898" i="5"/>
  <c r="E39890" i="5"/>
  <c r="E39882" i="5"/>
  <c r="E39874" i="5"/>
  <c r="E39866" i="5"/>
  <c r="E39858" i="5"/>
  <c r="E39850" i="5"/>
  <c r="E39842" i="5"/>
  <c r="E39834" i="5"/>
  <c r="E39826" i="5"/>
  <c r="E39818" i="5"/>
  <c r="E39810" i="5"/>
  <c r="E39802" i="5"/>
  <c r="E39794" i="5"/>
  <c r="E39786" i="5"/>
  <c r="E39778" i="5"/>
  <c r="E39770" i="5"/>
  <c r="E39762" i="5"/>
  <c r="E39754" i="5"/>
  <c r="E39746" i="5"/>
  <c r="E39738" i="5"/>
  <c r="E39730" i="5"/>
  <c r="E39722" i="5"/>
  <c r="E39714" i="5"/>
  <c r="E39706" i="5"/>
  <c r="E39698" i="5"/>
  <c r="E39690" i="5"/>
  <c r="E39682" i="5"/>
  <c r="E39674" i="5"/>
  <c r="E39666" i="5"/>
  <c r="E39658" i="5"/>
  <c r="E39650" i="5"/>
  <c r="E39642" i="5"/>
  <c r="E39634" i="5"/>
  <c r="E39626" i="5"/>
  <c r="E39618" i="5"/>
  <c r="E39610" i="5"/>
  <c r="E39602" i="5"/>
  <c r="E39594" i="5"/>
  <c r="E39586" i="5"/>
  <c r="E39578" i="5"/>
  <c r="E39570" i="5"/>
  <c r="E39562" i="5"/>
  <c r="E39554" i="5"/>
  <c r="E39546" i="5"/>
  <c r="E39538" i="5"/>
  <c r="E39530" i="5"/>
  <c r="E39522" i="5"/>
  <c r="E39514" i="5"/>
  <c r="E39506" i="5"/>
  <c r="E39498" i="5"/>
  <c r="E39490" i="5"/>
  <c r="E39482" i="5"/>
  <c r="E39474" i="5"/>
  <c r="E39466" i="5"/>
  <c r="E39458" i="5"/>
  <c r="E39450" i="5"/>
  <c r="E39442" i="5"/>
  <c r="E39434" i="5"/>
  <c r="E39426" i="5"/>
  <c r="E39418" i="5"/>
  <c r="E39410" i="5"/>
  <c r="E39402" i="5"/>
  <c r="E39394" i="5"/>
  <c r="E39386" i="5"/>
  <c r="E39378" i="5"/>
  <c r="E39370" i="5"/>
  <c r="E39362" i="5"/>
  <c r="E39354" i="5"/>
  <c r="E39346" i="5"/>
  <c r="E39338" i="5"/>
  <c r="E39330" i="5"/>
  <c r="E39322" i="5"/>
  <c r="E39314" i="5"/>
  <c r="E39306" i="5"/>
  <c r="E39298" i="5"/>
  <c r="E39290" i="5"/>
  <c r="E39282" i="5"/>
  <c r="E39274" i="5"/>
  <c r="E39266" i="5"/>
  <c r="E41569" i="5"/>
  <c r="E41553" i="5"/>
  <c r="E41537" i="5"/>
  <c r="E41521" i="5"/>
  <c r="E41505" i="5"/>
  <c r="E41489" i="5"/>
  <c r="E41473" i="5"/>
  <c r="E41457" i="5"/>
  <c r="E41441" i="5"/>
  <c r="E41425" i="5"/>
  <c r="E41409" i="5"/>
  <c r="E41393" i="5"/>
  <c r="E41377" i="5"/>
  <c r="E41361" i="5"/>
  <c r="E41345" i="5"/>
  <c r="E41329" i="5"/>
  <c r="E41313" i="5"/>
  <c r="E41297" i="5"/>
  <c r="E41281" i="5"/>
  <c r="E41265" i="5"/>
  <c r="E41249" i="5"/>
  <c r="E41233" i="5"/>
  <c r="E41217" i="5"/>
  <c r="E41201" i="5"/>
  <c r="E41185" i="5"/>
  <c r="E41169" i="5"/>
  <c r="E41153" i="5"/>
  <c r="E41137" i="5"/>
  <c r="E41121" i="5"/>
  <c r="E41105" i="5"/>
  <c r="E41089" i="5"/>
  <c r="E41073" i="5"/>
  <c r="E41057" i="5"/>
  <c r="E41041" i="5"/>
  <c r="E41025" i="5"/>
  <c r="E41009" i="5"/>
  <c r="E40993" i="5"/>
  <c r="E40977" i="5"/>
  <c r="E40961" i="5"/>
  <c r="E40945" i="5"/>
  <c r="E40929" i="5"/>
  <c r="E40913" i="5"/>
  <c r="E40897" i="5"/>
  <c r="E40881" i="5"/>
  <c r="E40867" i="5"/>
  <c r="E40854" i="5"/>
  <c r="E40841" i="5"/>
  <c r="E40828" i="5"/>
  <c r="E40816" i="5"/>
  <c r="E40803" i="5"/>
  <c r="E40790" i="5"/>
  <c r="E40777" i="5"/>
  <c r="E40764" i="5"/>
  <c r="E40752" i="5"/>
  <c r="E40739" i="5"/>
  <c r="E40726" i="5"/>
  <c r="E40713" i="5"/>
  <c r="E40700" i="5"/>
  <c r="E40688" i="5"/>
  <c r="E40675" i="5"/>
  <c r="E40662" i="5"/>
  <c r="E40649" i="5"/>
  <c r="E40636" i="5"/>
  <c r="E40624" i="5"/>
  <c r="E40611" i="5"/>
  <c r="E40598" i="5"/>
  <c r="E40585" i="5"/>
  <c r="E40572" i="5"/>
  <c r="E40560" i="5"/>
  <c r="E40547" i="5"/>
  <c r="E40534" i="5"/>
  <c r="E40521" i="5"/>
  <c r="E40508" i="5"/>
  <c r="E40496" i="5"/>
  <c r="E40483" i="5"/>
  <c r="E40470" i="5"/>
  <c r="E40457" i="5"/>
  <c r="E40444" i="5"/>
  <c r="E40432" i="5"/>
  <c r="E40419" i="5"/>
  <c r="E40406" i="5"/>
  <c r="E40393" i="5"/>
  <c r="E40380" i="5"/>
  <c r="E40368" i="5"/>
  <c r="E40355" i="5"/>
  <c r="E40342" i="5"/>
  <c r="E40329" i="5"/>
  <c r="E40316" i="5"/>
  <c r="E40304" i="5"/>
  <c r="E40291" i="5"/>
  <c r="E40278" i="5"/>
  <c r="E40265" i="5"/>
  <c r="E40252" i="5"/>
  <c r="E40240" i="5"/>
  <c r="E40227" i="5"/>
  <c r="E40214" i="5"/>
  <c r="E40201" i="5"/>
  <c r="E40188" i="5"/>
  <c r="E40176" i="5"/>
  <c r="E40163" i="5"/>
  <c r="E40150" i="5"/>
  <c r="E40137" i="5"/>
  <c r="E40124" i="5"/>
  <c r="E40112" i="5"/>
  <c r="E40099" i="5"/>
  <c r="E40086" i="5"/>
  <c r="E40073" i="5"/>
  <c r="E40060" i="5"/>
  <c r="E40048" i="5"/>
  <c r="E40035" i="5"/>
  <c r="E40022" i="5"/>
  <c r="E40009" i="5"/>
  <c r="E39996" i="5"/>
  <c r="E39984" i="5"/>
  <c r="E39971" i="5"/>
  <c r="E39958" i="5"/>
  <c r="E39945" i="5"/>
  <c r="E39932" i="5"/>
  <c r="E39920" i="5"/>
  <c r="E39907" i="5"/>
  <c r="E39894" i="5"/>
  <c r="E39881" i="5"/>
  <c r="E39868" i="5"/>
  <c r="E39856" i="5"/>
  <c r="E39843" i="5"/>
  <c r="E39830" i="5"/>
  <c r="E39817" i="5"/>
  <c r="E39804" i="5"/>
  <c r="E39792" i="5"/>
  <c r="E39779" i="5"/>
  <c r="E39766" i="5"/>
  <c r="E39753" i="5"/>
  <c r="E39740" i="5"/>
  <c r="E39728" i="5"/>
  <c r="E39715" i="5"/>
  <c r="E39702" i="5"/>
  <c r="E39689" i="5"/>
  <c r="E39676" i="5"/>
  <c r="E39664" i="5"/>
  <c r="E39651" i="5"/>
  <c r="E39638" i="5"/>
  <c r="E39625" i="5"/>
  <c r="E39612" i="5"/>
  <c r="E39600" i="5"/>
  <c r="E39587" i="5"/>
  <c r="E39574" i="5"/>
  <c r="E39561" i="5"/>
  <c r="E39548" i="5"/>
  <c r="E39536" i="5"/>
  <c r="E39523" i="5"/>
  <c r="E39510" i="5"/>
  <c r="E39497" i="5"/>
  <c r="E39484" i="5"/>
  <c r="E39472" i="5"/>
  <c r="E39459" i="5"/>
  <c r="E39446" i="5"/>
  <c r="E39433" i="5"/>
  <c r="E39420" i="5"/>
  <c r="E39408" i="5"/>
  <c r="E39395" i="5"/>
  <c r="E39382" i="5"/>
  <c r="E39369" i="5"/>
  <c r="E39356" i="5"/>
  <c r="E39344" i="5"/>
  <c r="E39331" i="5"/>
  <c r="E39318" i="5"/>
  <c r="E39305" i="5"/>
  <c r="E39292" i="5"/>
  <c r="E39280" i="5"/>
  <c r="E39267" i="5"/>
  <c r="E39256" i="5"/>
  <c r="E39244" i="5"/>
  <c r="E39234" i="5"/>
  <c r="E39224" i="5"/>
  <c r="E39212" i="5"/>
  <c r="E39202" i="5"/>
  <c r="E39192" i="5"/>
  <c r="E39180" i="5"/>
  <c r="E39170" i="5"/>
  <c r="E39160" i="5"/>
  <c r="E39150" i="5"/>
  <c r="E39142" i="5"/>
  <c r="E39134" i="5"/>
  <c r="E39126" i="5"/>
  <c r="E39118" i="5"/>
  <c r="E39110" i="5"/>
  <c r="E39102" i="5"/>
  <c r="E39094" i="5"/>
  <c r="E39086" i="5"/>
  <c r="E39078" i="5"/>
  <c r="E39070" i="5"/>
  <c r="E39062" i="5"/>
  <c r="E39054" i="5"/>
  <c r="E39046" i="5"/>
  <c r="E39038" i="5"/>
  <c r="E39030" i="5"/>
  <c r="E39022" i="5"/>
  <c r="E39014" i="5"/>
  <c r="E39006" i="5"/>
  <c r="E38998" i="5"/>
  <c r="E38990" i="5"/>
  <c r="E38982" i="5"/>
  <c r="E38974" i="5"/>
  <c r="E38966" i="5"/>
  <c r="E38958" i="5"/>
  <c r="E38950" i="5"/>
  <c r="E38942" i="5"/>
  <c r="E38934" i="5"/>
  <c r="E38926" i="5"/>
  <c r="E38918" i="5"/>
  <c r="E38910" i="5"/>
  <c r="E38902" i="5"/>
  <c r="E38894" i="5"/>
  <c r="E38886" i="5"/>
  <c r="E38878" i="5"/>
  <c r="E38870" i="5"/>
  <c r="E38862" i="5"/>
  <c r="E38854" i="5"/>
  <c r="E38846" i="5"/>
  <c r="E38838" i="5"/>
  <c r="E38830" i="5"/>
  <c r="E38822" i="5"/>
  <c r="E38814" i="5"/>
  <c r="E38806" i="5"/>
  <c r="E38798" i="5"/>
  <c r="E38790" i="5"/>
  <c r="E38782" i="5"/>
  <c r="E38774" i="5"/>
  <c r="E38766" i="5"/>
  <c r="E38758" i="5"/>
  <c r="E38750" i="5"/>
  <c r="E38742" i="5"/>
  <c r="E38734" i="5"/>
  <c r="E38726" i="5"/>
  <c r="E38718" i="5"/>
  <c r="E38710" i="5"/>
  <c r="E38702" i="5"/>
  <c r="E38694" i="5"/>
  <c r="E38686" i="5"/>
  <c r="E38678" i="5"/>
  <c r="E38670" i="5"/>
  <c r="E38662" i="5"/>
  <c r="E38654" i="5"/>
  <c r="E38646" i="5"/>
  <c r="E38638" i="5"/>
  <c r="E38630" i="5"/>
  <c r="E38622" i="5"/>
  <c r="E38614" i="5"/>
  <c r="E38606" i="5"/>
  <c r="E38598" i="5"/>
  <c r="E38590" i="5"/>
  <c r="E38582" i="5"/>
  <c r="E38574" i="5"/>
  <c r="E38566" i="5"/>
  <c r="E38558" i="5"/>
  <c r="E38550" i="5"/>
  <c r="E38542" i="5"/>
  <c r="E38534" i="5"/>
  <c r="E38526" i="5"/>
  <c r="E38518" i="5"/>
  <c r="E38510" i="5"/>
  <c r="E38502" i="5"/>
  <c r="E38494" i="5"/>
  <c r="E38486" i="5"/>
  <c r="E38478" i="5"/>
  <c r="E38470" i="5"/>
  <c r="E38462" i="5"/>
  <c r="E38454" i="5"/>
  <c r="E38446" i="5"/>
  <c r="E38438" i="5"/>
  <c r="E38430" i="5"/>
  <c r="E38422" i="5"/>
  <c r="E38414" i="5"/>
  <c r="E38406" i="5"/>
  <c r="E38398" i="5"/>
  <c r="E38390" i="5"/>
  <c r="E38382" i="5"/>
  <c r="E38374" i="5"/>
  <c r="E38366" i="5"/>
  <c r="E38358" i="5"/>
  <c r="E38350" i="5"/>
  <c r="E38342" i="5"/>
  <c r="E38334" i="5"/>
  <c r="E38326" i="5"/>
  <c r="E38318" i="5"/>
  <c r="E38310" i="5"/>
  <c r="E38302" i="5"/>
  <c r="E38294" i="5"/>
  <c r="E38286" i="5"/>
  <c r="E38278" i="5"/>
  <c r="E38270" i="5"/>
  <c r="E38262" i="5"/>
  <c r="E38254" i="5"/>
  <c r="E38246" i="5"/>
  <c r="E38238" i="5"/>
  <c r="E38230" i="5"/>
  <c r="E38222" i="5"/>
  <c r="E38214" i="5"/>
  <c r="E38206" i="5"/>
  <c r="E38198" i="5"/>
  <c r="E38190" i="5"/>
  <c r="E38182" i="5"/>
  <c r="E38174" i="5"/>
  <c r="E38166" i="5"/>
  <c r="E38158" i="5"/>
  <c r="E38150" i="5"/>
  <c r="E38142" i="5"/>
  <c r="E38134" i="5"/>
  <c r="E38126" i="5"/>
  <c r="E38118" i="5"/>
  <c r="E38110" i="5"/>
  <c r="E38102" i="5"/>
  <c r="E38094" i="5"/>
  <c r="E38086" i="5"/>
  <c r="E38078" i="5"/>
  <c r="E38070" i="5"/>
  <c r="E38062" i="5"/>
  <c r="E38054" i="5"/>
  <c r="E38046" i="5"/>
  <c r="E38038" i="5"/>
  <c r="E38030" i="5"/>
  <c r="E38022" i="5"/>
  <c r="E38014" i="5"/>
  <c r="E38006" i="5"/>
  <c r="E37998" i="5"/>
  <c r="E37990" i="5"/>
  <c r="E37982" i="5"/>
  <c r="E37974" i="5"/>
  <c r="E37966" i="5"/>
  <c r="E37958" i="5"/>
  <c r="E37950" i="5"/>
  <c r="E37942" i="5"/>
  <c r="E37934" i="5"/>
  <c r="E37926" i="5"/>
  <c r="E37918" i="5"/>
  <c r="E37910" i="5"/>
  <c r="E37902" i="5"/>
  <c r="E37894" i="5"/>
  <c r="E37886" i="5"/>
  <c r="E37878" i="5"/>
  <c r="E37870" i="5"/>
  <c r="E37862" i="5"/>
  <c r="E37854" i="5"/>
  <c r="E37846" i="5"/>
  <c r="E37838" i="5"/>
  <c r="E37830" i="5"/>
  <c r="E37822" i="5"/>
  <c r="E37814" i="5"/>
  <c r="E37806" i="5"/>
  <c r="E37798" i="5"/>
  <c r="E37790" i="5"/>
  <c r="E37782" i="5"/>
  <c r="E37774" i="5"/>
  <c r="E37766" i="5"/>
  <c r="E37758" i="5"/>
  <c r="E37750" i="5"/>
  <c r="E37742" i="5"/>
  <c r="E37734" i="5"/>
  <c r="E37726" i="5"/>
  <c r="E37718" i="5"/>
  <c r="E37710" i="5"/>
  <c r="E37702" i="5"/>
  <c r="E37694" i="5"/>
  <c r="E37686" i="5"/>
  <c r="E37678" i="5"/>
  <c r="E37670" i="5"/>
  <c r="E37662" i="5"/>
  <c r="E37654" i="5"/>
  <c r="E37646" i="5"/>
  <c r="E37638" i="5"/>
  <c r="E37630" i="5"/>
  <c r="E37622" i="5"/>
  <c r="E37614" i="5"/>
  <c r="E37606" i="5"/>
  <c r="E37598" i="5"/>
  <c r="E37590" i="5"/>
  <c r="E37582" i="5"/>
  <c r="E37574" i="5"/>
  <c r="E37566" i="5"/>
  <c r="E37558" i="5"/>
  <c r="E37550" i="5"/>
  <c r="E37542" i="5"/>
  <c r="E37534" i="5"/>
  <c r="E37526" i="5"/>
  <c r="E37518" i="5"/>
  <c r="E37510" i="5"/>
  <c r="E37502" i="5"/>
  <c r="E37494" i="5"/>
  <c r="E37486" i="5"/>
  <c r="E37478" i="5"/>
  <c r="E37470" i="5"/>
  <c r="E37462" i="5"/>
  <c r="E37454" i="5"/>
  <c r="E37446" i="5"/>
  <c r="E37438" i="5"/>
  <c r="E37430" i="5"/>
  <c r="E37422" i="5"/>
  <c r="E37414" i="5"/>
  <c r="E37406" i="5"/>
  <c r="E37398" i="5"/>
  <c r="E37390" i="5"/>
  <c r="E37382" i="5"/>
  <c r="E37374" i="5"/>
  <c r="E37366" i="5"/>
  <c r="E37358" i="5"/>
  <c r="E37350" i="5"/>
  <c r="E37342" i="5"/>
  <c r="E37334" i="5"/>
  <c r="E37326" i="5"/>
  <c r="E37318" i="5"/>
  <c r="E37310" i="5"/>
  <c r="E37302" i="5"/>
  <c r="E37294" i="5"/>
  <c r="E37286" i="5"/>
  <c r="E37278" i="5"/>
  <c r="E37270" i="5"/>
  <c r="E37262" i="5"/>
  <c r="E37254" i="5"/>
  <c r="E37246" i="5"/>
  <c r="E37238" i="5"/>
  <c r="E37230" i="5"/>
  <c r="E37222" i="5"/>
  <c r="E37214" i="5"/>
  <c r="E37206" i="5"/>
  <c r="E37198" i="5"/>
  <c r="E37190" i="5"/>
  <c r="E37182" i="5"/>
  <c r="E37174" i="5"/>
  <c r="E37166" i="5"/>
  <c r="E37158" i="5"/>
  <c r="E37150" i="5"/>
  <c r="E37142" i="5"/>
  <c r="E37134" i="5"/>
  <c r="E37126" i="5"/>
  <c r="E37118" i="5"/>
  <c r="E37110" i="5"/>
  <c r="E37102" i="5"/>
  <c r="E37094" i="5"/>
  <c r="E37086" i="5"/>
  <c r="E37078" i="5"/>
  <c r="E37070" i="5"/>
  <c r="E37062" i="5"/>
  <c r="E37054" i="5"/>
  <c r="E37046" i="5"/>
  <c r="E37038" i="5"/>
  <c r="E37030" i="5"/>
  <c r="E37022" i="5"/>
  <c r="E37014" i="5"/>
  <c r="E37006" i="5"/>
  <c r="E36998" i="5"/>
  <c r="E36990" i="5"/>
  <c r="E36982" i="5"/>
  <c r="E36974" i="5"/>
  <c r="E36966" i="5"/>
  <c r="E36958" i="5"/>
  <c r="E36950" i="5"/>
  <c r="E36942" i="5"/>
  <c r="E36934" i="5"/>
  <c r="E36926" i="5"/>
  <c r="E36918" i="5"/>
  <c r="E36910" i="5"/>
  <c r="E36902" i="5"/>
  <c r="E36894" i="5"/>
  <c r="E36886" i="5"/>
  <c r="E36878" i="5"/>
  <c r="E36870" i="5"/>
  <c r="E36862" i="5"/>
  <c r="E36854" i="5"/>
  <c r="E36846" i="5"/>
  <c r="E36838" i="5"/>
  <c r="E36830" i="5"/>
  <c r="E36822" i="5"/>
  <c r="E36814" i="5"/>
  <c r="E36806" i="5"/>
  <c r="E36798" i="5"/>
  <c r="E36790" i="5"/>
  <c r="E36782" i="5"/>
  <c r="E36774" i="5"/>
  <c r="E36766" i="5"/>
  <c r="E36758" i="5"/>
  <c r="E36750" i="5"/>
  <c r="E36742" i="5"/>
  <c r="E36734" i="5"/>
  <c r="E36726" i="5"/>
  <c r="E36718" i="5"/>
  <c r="E36710" i="5"/>
  <c r="E36702" i="5"/>
  <c r="E36694" i="5"/>
  <c r="E36686" i="5"/>
  <c r="E36678" i="5"/>
  <c r="E36670" i="5"/>
  <c r="E36662" i="5"/>
  <c r="E36654" i="5"/>
  <c r="E36646" i="5"/>
  <c r="E36638" i="5"/>
  <c r="E36630" i="5"/>
  <c r="E36622" i="5"/>
  <c r="E36614" i="5"/>
  <c r="E36606" i="5"/>
  <c r="E36598" i="5"/>
  <c r="E36590" i="5"/>
  <c r="E36582" i="5"/>
  <c r="E36574" i="5"/>
  <c r="E36566" i="5"/>
  <c r="E36558" i="5"/>
  <c r="E36550" i="5"/>
  <c r="E36542" i="5"/>
  <c r="E36534" i="5"/>
  <c r="E36526" i="5"/>
  <c r="E36518" i="5"/>
  <c r="E36510" i="5"/>
  <c r="E36502" i="5"/>
  <c r="E36494" i="5"/>
  <c r="E36486" i="5"/>
  <c r="E36478" i="5"/>
  <c r="E36470" i="5"/>
  <c r="E36462" i="5"/>
  <c r="E36454" i="5"/>
  <c r="E36446" i="5"/>
  <c r="E36438" i="5"/>
  <c r="E36430" i="5"/>
  <c r="E36422" i="5"/>
  <c r="E36414" i="5"/>
  <c r="E36406" i="5"/>
  <c r="E36398" i="5"/>
  <c r="E36390" i="5"/>
  <c r="E36382" i="5"/>
  <c r="E36374" i="5"/>
  <c r="E36366" i="5"/>
  <c r="E36358" i="5"/>
  <c r="E36350" i="5"/>
  <c r="E36342" i="5"/>
  <c r="E36334" i="5"/>
  <c r="E36326" i="5"/>
  <c r="E36318" i="5"/>
  <c r="E36310" i="5"/>
  <c r="E36302" i="5"/>
  <c r="E36294" i="5"/>
  <c r="E36286" i="5"/>
  <c r="E36278" i="5"/>
  <c r="E36270" i="5"/>
  <c r="E36262" i="5"/>
  <c r="E36254" i="5"/>
  <c r="E36246" i="5"/>
  <c r="E36238" i="5"/>
  <c r="E36230" i="5"/>
  <c r="E36222" i="5"/>
  <c r="E36214" i="5"/>
  <c r="E36206" i="5"/>
  <c r="E36198" i="5"/>
  <c r="E36190" i="5"/>
  <c r="E36182" i="5"/>
  <c r="E36174" i="5"/>
  <c r="E36166" i="5"/>
  <c r="E36158" i="5"/>
  <c r="E36150" i="5"/>
  <c r="E36142" i="5"/>
  <c r="E36134" i="5"/>
  <c r="E36126" i="5"/>
  <c r="E36118" i="5"/>
  <c r="E36110" i="5"/>
  <c r="E36102" i="5"/>
  <c r="E36094" i="5"/>
  <c r="E36086" i="5"/>
  <c r="E36078" i="5"/>
  <c r="E36070" i="5"/>
  <c r="E36062" i="5"/>
  <c r="E36054" i="5"/>
  <c r="E36046" i="5"/>
  <c r="E36038" i="5"/>
  <c r="E36030" i="5"/>
  <c r="E36022" i="5"/>
  <c r="E36014" i="5"/>
  <c r="E36006" i="5"/>
  <c r="E35998" i="5"/>
  <c r="E35990" i="5"/>
  <c r="E35982" i="5"/>
  <c r="E35974" i="5"/>
  <c r="E35966" i="5"/>
  <c r="E35958" i="5"/>
  <c r="E35950" i="5"/>
  <c r="E35942" i="5"/>
  <c r="E35934" i="5"/>
  <c r="E35926" i="5"/>
  <c r="E35918" i="5"/>
  <c r="E35910" i="5"/>
  <c r="E35902" i="5"/>
  <c r="E35894" i="5"/>
  <c r="E35886" i="5"/>
  <c r="E35878" i="5"/>
  <c r="E35870" i="5"/>
  <c r="E35862" i="5"/>
  <c r="E35854" i="5"/>
  <c r="E35846" i="5"/>
  <c r="E35838" i="5"/>
  <c r="E35830" i="5"/>
  <c r="E35822" i="5"/>
  <c r="E35814" i="5"/>
  <c r="E35806" i="5"/>
  <c r="E35798" i="5"/>
  <c r="E35790" i="5"/>
  <c r="E35782" i="5"/>
  <c r="E35774" i="5"/>
  <c r="E35766" i="5"/>
  <c r="E35758" i="5"/>
  <c r="E35750" i="5"/>
  <c r="E35742" i="5"/>
  <c r="E35734" i="5"/>
  <c r="E35726" i="5"/>
  <c r="E35718" i="5"/>
  <c r="E35710" i="5"/>
  <c r="E35702" i="5"/>
  <c r="E35694" i="5"/>
  <c r="E35686" i="5"/>
  <c r="E35678" i="5"/>
  <c r="E35670" i="5"/>
  <c r="E35662" i="5"/>
  <c r="E35654" i="5"/>
  <c r="E35646" i="5"/>
  <c r="E35638" i="5"/>
  <c r="E35630" i="5"/>
  <c r="E35622" i="5"/>
  <c r="E35614" i="5"/>
  <c r="E35606" i="5"/>
  <c r="E35598" i="5"/>
  <c r="E35590" i="5"/>
  <c r="E35582" i="5"/>
  <c r="E35574" i="5"/>
  <c r="E35566" i="5"/>
  <c r="E35558" i="5"/>
  <c r="E35550" i="5"/>
  <c r="E35542" i="5"/>
  <c r="E35534" i="5"/>
  <c r="E35526" i="5"/>
  <c r="E35518" i="5"/>
  <c r="E35510" i="5"/>
  <c r="E35502" i="5"/>
  <c r="E35494" i="5"/>
  <c r="E35486" i="5"/>
  <c r="E35478" i="5"/>
  <c r="E35470" i="5"/>
  <c r="E35462" i="5"/>
  <c r="E35454" i="5"/>
  <c r="E35446" i="5"/>
  <c r="E35438" i="5"/>
  <c r="E35430" i="5"/>
  <c r="E35422" i="5"/>
  <c r="E35414" i="5"/>
  <c r="E35406" i="5"/>
  <c r="E35398" i="5"/>
  <c r="E35390" i="5"/>
  <c r="E35382" i="5"/>
  <c r="E35374" i="5"/>
  <c r="E35366" i="5"/>
  <c r="E35358" i="5"/>
  <c r="E35350" i="5"/>
  <c r="E35342" i="5"/>
  <c r="E35334" i="5"/>
  <c r="E35326" i="5"/>
  <c r="E35318" i="5"/>
  <c r="E35310" i="5"/>
  <c r="E35302" i="5"/>
  <c r="E35294" i="5"/>
  <c r="E35286" i="5"/>
  <c r="E35278" i="5"/>
  <c r="E35270" i="5"/>
  <c r="E35262" i="5"/>
  <c r="E35254" i="5"/>
  <c r="E35246" i="5"/>
  <c r="E35238" i="5"/>
  <c r="E35230" i="5"/>
  <c r="E35222" i="5"/>
  <c r="E35214" i="5"/>
  <c r="E35206" i="5"/>
  <c r="E35198" i="5"/>
  <c r="E35190" i="5"/>
  <c r="E35182" i="5"/>
  <c r="E35174" i="5"/>
  <c r="E35166" i="5"/>
  <c r="E35158" i="5"/>
  <c r="E35150" i="5"/>
  <c r="E35142" i="5"/>
  <c r="E35134" i="5"/>
  <c r="E35126" i="5"/>
  <c r="E35118" i="5"/>
  <c r="E35110" i="5"/>
  <c r="E35102" i="5"/>
  <c r="E35094" i="5"/>
  <c r="E35086" i="5"/>
  <c r="E35078" i="5"/>
  <c r="E35070" i="5"/>
  <c r="E35062" i="5"/>
  <c r="E35054" i="5"/>
  <c r="E35046" i="5"/>
  <c r="E35038" i="5"/>
  <c r="E35030" i="5"/>
  <c r="E35022" i="5"/>
  <c r="E35014" i="5"/>
  <c r="E35006" i="5"/>
  <c r="E34998" i="5"/>
  <c r="E34990" i="5"/>
  <c r="E34982" i="5"/>
  <c r="E34974" i="5"/>
  <c r="E34966" i="5"/>
  <c r="E34958" i="5"/>
  <c r="E34950" i="5"/>
  <c r="E34942" i="5"/>
  <c r="E34934" i="5"/>
  <c r="E34926" i="5"/>
  <c r="E34918" i="5"/>
  <c r="E34910" i="5"/>
  <c r="E34902" i="5"/>
  <c r="E34894" i="5"/>
  <c r="E34886" i="5"/>
  <c r="E34878" i="5"/>
  <c r="E34870" i="5"/>
  <c r="E34862" i="5"/>
  <c r="E34854" i="5"/>
  <c r="E34846" i="5"/>
  <c r="E34838" i="5"/>
  <c r="E34830" i="5"/>
  <c r="E34822" i="5"/>
  <c r="E34814" i="5"/>
  <c r="E34806" i="5"/>
  <c r="E34798" i="5"/>
  <c r="E34790" i="5"/>
  <c r="E34782" i="5"/>
  <c r="E34774" i="5"/>
  <c r="E34766" i="5"/>
  <c r="E34758" i="5"/>
  <c r="E34750" i="5"/>
  <c r="E34742" i="5"/>
  <c r="E34734" i="5"/>
  <c r="E34726" i="5"/>
  <c r="E34718" i="5"/>
  <c r="E34710" i="5"/>
  <c r="E34702" i="5"/>
  <c r="E34694" i="5"/>
  <c r="E34686" i="5"/>
  <c r="E34678" i="5"/>
  <c r="E34670" i="5"/>
  <c r="E34662" i="5"/>
  <c r="E34654" i="5"/>
  <c r="E34646" i="5"/>
  <c r="E34638" i="5"/>
  <c r="E34630" i="5"/>
  <c r="E34622" i="5"/>
  <c r="E34614" i="5"/>
  <c r="E34606" i="5"/>
  <c r="E34598" i="5"/>
  <c r="E34590" i="5"/>
  <c r="E34582" i="5"/>
  <c r="E34574" i="5"/>
  <c r="E34566" i="5"/>
  <c r="E34558" i="5"/>
  <c r="E34550" i="5"/>
  <c r="E34542" i="5"/>
  <c r="E34534" i="5"/>
  <c r="E34526" i="5"/>
  <c r="E34518" i="5"/>
  <c r="E34510" i="5"/>
  <c r="E34502" i="5"/>
  <c r="E34494" i="5"/>
  <c r="E34486" i="5"/>
  <c r="E34478" i="5"/>
  <c r="E34470" i="5"/>
  <c r="E34462" i="5"/>
  <c r="E34454" i="5"/>
  <c r="E34446" i="5"/>
  <c r="E34438" i="5"/>
  <c r="E34430" i="5"/>
  <c r="E34422" i="5"/>
  <c r="E34414" i="5"/>
  <c r="E34406" i="5"/>
  <c r="E34398" i="5"/>
  <c r="E34390" i="5"/>
  <c r="E34382" i="5"/>
  <c r="E34374" i="5"/>
  <c r="E34366" i="5"/>
  <c r="E34358" i="5"/>
  <c r="E34350" i="5"/>
  <c r="E34342" i="5"/>
  <c r="E34334" i="5"/>
  <c r="E34326" i="5"/>
  <c r="E34318" i="5"/>
  <c r="E34310" i="5"/>
  <c r="E34302" i="5"/>
  <c r="E34294" i="5"/>
  <c r="E34286" i="5"/>
  <c r="E34278" i="5"/>
  <c r="E34270" i="5"/>
  <c r="E34262" i="5"/>
  <c r="E34254" i="5"/>
  <c r="E34246" i="5"/>
  <c r="E34238" i="5"/>
  <c r="E34230" i="5"/>
  <c r="E34222" i="5"/>
  <c r="E34214" i="5"/>
  <c r="E34206" i="5"/>
  <c r="E34198" i="5"/>
  <c r="E34190" i="5"/>
  <c r="E34182" i="5"/>
  <c r="E34174" i="5"/>
  <c r="E34166" i="5"/>
  <c r="E34158" i="5"/>
  <c r="E34150" i="5"/>
  <c r="E34142" i="5"/>
  <c r="E34134" i="5"/>
  <c r="E34126" i="5"/>
  <c r="E34118" i="5"/>
  <c r="E34110" i="5"/>
  <c r="E34102" i="5"/>
  <c r="E34094" i="5"/>
  <c r="E34086" i="5"/>
  <c r="E34078" i="5"/>
  <c r="E34070" i="5"/>
  <c r="E34062" i="5"/>
  <c r="E34054" i="5"/>
  <c r="E34046" i="5"/>
  <c r="E34038" i="5"/>
  <c r="E34030" i="5"/>
  <c r="E34022" i="5"/>
  <c r="E34014" i="5"/>
  <c r="E34006" i="5"/>
  <c r="E33998" i="5"/>
  <c r="E33990" i="5"/>
  <c r="E33982" i="5"/>
  <c r="E33974" i="5"/>
  <c r="E33966" i="5"/>
  <c r="E33958" i="5"/>
  <c r="E33950" i="5"/>
  <c r="E33942" i="5"/>
  <c r="E33934" i="5"/>
  <c r="E33926" i="5"/>
  <c r="E33918" i="5"/>
  <c r="E33910" i="5"/>
  <c r="E33902" i="5"/>
  <c r="E33894" i="5"/>
  <c r="E33886" i="5"/>
  <c r="E33878" i="5"/>
  <c r="E33870" i="5"/>
  <c r="E33862" i="5"/>
  <c r="E33854" i="5"/>
  <c r="E33846" i="5"/>
  <c r="E33838" i="5"/>
  <c r="E33830" i="5"/>
  <c r="E33822" i="5"/>
  <c r="E33814" i="5"/>
  <c r="E33806" i="5"/>
  <c r="E33798" i="5"/>
  <c r="E33790" i="5"/>
  <c r="E33782" i="5"/>
  <c r="E33774" i="5"/>
  <c r="E33766" i="5"/>
  <c r="E33758" i="5"/>
  <c r="E33750" i="5"/>
  <c r="E33742" i="5"/>
  <c r="E33734" i="5"/>
  <c r="E33726" i="5"/>
  <c r="E33718" i="5"/>
  <c r="E33710" i="5"/>
  <c r="E33702" i="5"/>
  <c r="E33694" i="5"/>
  <c r="E33686" i="5"/>
  <c r="E33678" i="5"/>
  <c r="E33670" i="5"/>
  <c r="E33662" i="5"/>
  <c r="E33654" i="5"/>
  <c r="E33646" i="5"/>
  <c r="E33638" i="5"/>
  <c r="E33630" i="5"/>
  <c r="E33622" i="5"/>
  <c r="E33614" i="5"/>
  <c r="E33606" i="5"/>
  <c r="E33598" i="5"/>
  <c r="E33590" i="5"/>
  <c r="E33582" i="5"/>
  <c r="E33574" i="5"/>
  <c r="E33566" i="5"/>
  <c r="E33558" i="5"/>
  <c r="E33550" i="5"/>
  <c r="E33542" i="5"/>
  <c r="E33534" i="5"/>
  <c r="E33526" i="5"/>
  <c r="E33518" i="5"/>
  <c r="E33510" i="5"/>
  <c r="E33502" i="5"/>
  <c r="E33494" i="5"/>
  <c r="E33486" i="5"/>
  <c r="E33478" i="5"/>
  <c r="E33470" i="5"/>
  <c r="E33462" i="5"/>
  <c r="E33454" i="5"/>
  <c r="E33446" i="5"/>
  <c r="E33438" i="5"/>
  <c r="E33430" i="5"/>
  <c r="E33422" i="5"/>
  <c r="E33414" i="5"/>
  <c r="E33406" i="5"/>
  <c r="E33398" i="5"/>
  <c r="E33390" i="5"/>
  <c r="E33382" i="5"/>
  <c r="E33374" i="5"/>
  <c r="E33366" i="5"/>
  <c r="E33358" i="5"/>
  <c r="E33350" i="5"/>
  <c r="E33342" i="5"/>
  <c r="E33334" i="5"/>
  <c r="E33326" i="5"/>
  <c r="E33318" i="5"/>
  <c r="E33310" i="5"/>
  <c r="E33302" i="5"/>
  <c r="E33294" i="5"/>
  <c r="E33286" i="5"/>
  <c r="E33278" i="5"/>
  <c r="E33270" i="5"/>
  <c r="E33262" i="5"/>
  <c r="E33254" i="5"/>
  <c r="E33246" i="5"/>
  <c r="E33238" i="5"/>
  <c r="E33230" i="5"/>
  <c r="E33222" i="5"/>
  <c r="E33214" i="5"/>
  <c r="E33206" i="5"/>
  <c r="E33198" i="5"/>
  <c r="E33190" i="5"/>
  <c r="E33182" i="5"/>
  <c r="E33174" i="5"/>
  <c r="E33166" i="5"/>
  <c r="E33158" i="5"/>
  <c r="E33150" i="5"/>
  <c r="E33142" i="5"/>
  <c r="E33134" i="5"/>
  <c r="E33126" i="5"/>
  <c r="E33118" i="5"/>
  <c r="E33110" i="5"/>
  <c r="E33102" i="5"/>
  <c r="E33094" i="5"/>
  <c r="E33086" i="5"/>
  <c r="E33078" i="5"/>
  <c r="E33070" i="5"/>
  <c r="E33062" i="5"/>
  <c r="E33054" i="5"/>
  <c r="E33046" i="5"/>
  <c r="E33038" i="5"/>
  <c r="E33030" i="5"/>
  <c r="E33022" i="5"/>
  <c r="E33014" i="5"/>
  <c r="E33006" i="5"/>
  <c r="E32998" i="5"/>
  <c r="E32990" i="5"/>
  <c r="E32982" i="5"/>
  <c r="E32974" i="5"/>
  <c r="E32966" i="5"/>
  <c r="E32958" i="5"/>
  <c r="E32950" i="5"/>
  <c r="E32942" i="5"/>
  <c r="E32934" i="5"/>
  <c r="E32926" i="5"/>
  <c r="E32918" i="5"/>
  <c r="E32910" i="5"/>
  <c r="E32902" i="5"/>
  <c r="E32894" i="5"/>
  <c r="E32886" i="5"/>
  <c r="E32878" i="5"/>
  <c r="E32870" i="5"/>
  <c r="E32862" i="5"/>
  <c r="E32854" i="5"/>
  <c r="E32846" i="5"/>
  <c r="E32838" i="5"/>
  <c r="E32830" i="5"/>
  <c r="E32822" i="5"/>
  <c r="E32814" i="5"/>
  <c r="E32806" i="5"/>
  <c r="E32798" i="5"/>
  <c r="E32790" i="5"/>
  <c r="E32782" i="5"/>
  <c r="E32774" i="5"/>
  <c r="E32766" i="5"/>
  <c r="E32758" i="5"/>
  <c r="E32750" i="5"/>
  <c r="E32742" i="5"/>
  <c r="E32734" i="5"/>
  <c r="E32726" i="5"/>
  <c r="E32718" i="5"/>
  <c r="E32710" i="5"/>
  <c r="E32702" i="5"/>
  <c r="E32694" i="5"/>
  <c r="E32686" i="5"/>
  <c r="E32678" i="5"/>
  <c r="E32670" i="5"/>
  <c r="E32662" i="5"/>
  <c r="E32654" i="5"/>
  <c r="E32646" i="5"/>
  <c r="E32638" i="5"/>
  <c r="E32630" i="5"/>
  <c r="E32622" i="5"/>
  <c r="E32614" i="5"/>
  <c r="E32606" i="5"/>
  <c r="E32598" i="5"/>
  <c r="E32590" i="5"/>
  <c r="E32582" i="5"/>
  <c r="E32574" i="5"/>
  <c r="E32566" i="5"/>
  <c r="E32558" i="5"/>
  <c r="E32550" i="5"/>
  <c r="E32542" i="5"/>
  <c r="E32534" i="5"/>
  <c r="E32526" i="5"/>
  <c r="E32518" i="5"/>
  <c r="E32510" i="5"/>
  <c r="E32502" i="5"/>
  <c r="E32494" i="5"/>
  <c r="E32486" i="5"/>
  <c r="E32478" i="5"/>
  <c r="E32470" i="5"/>
  <c r="E32462" i="5"/>
  <c r="E32454" i="5"/>
  <c r="E32446" i="5"/>
  <c r="E32438" i="5"/>
  <c r="E32430" i="5"/>
  <c r="E32422" i="5"/>
  <c r="E32414" i="5"/>
  <c r="E32406" i="5"/>
  <c r="E32398" i="5"/>
  <c r="E32390" i="5"/>
  <c r="E32382" i="5"/>
  <c r="E32374" i="5"/>
  <c r="E32366" i="5"/>
  <c r="E32358" i="5"/>
  <c r="E32350" i="5"/>
  <c r="E32342" i="5"/>
  <c r="E32334" i="5"/>
  <c r="E32326" i="5"/>
  <c r="E32318" i="5"/>
  <c r="E32310" i="5"/>
  <c r="E32302" i="5"/>
  <c r="E32294" i="5"/>
  <c r="E32286" i="5"/>
  <c r="E32278" i="5"/>
  <c r="E32270" i="5"/>
  <c r="E32262" i="5"/>
  <c r="E32254" i="5"/>
  <c r="E32246" i="5"/>
  <c r="E32238" i="5"/>
  <c r="E32230" i="5"/>
  <c r="E32222" i="5"/>
  <c r="E32214" i="5"/>
  <c r="E32206" i="5"/>
  <c r="E32198" i="5"/>
  <c r="E32190" i="5"/>
  <c r="E32182" i="5"/>
  <c r="E32174" i="5"/>
  <c r="E32166" i="5"/>
  <c r="E32158" i="5"/>
  <c r="E32150" i="5"/>
  <c r="E32142" i="5"/>
  <c r="E32134" i="5"/>
  <c r="E32126" i="5"/>
  <c r="E32118" i="5"/>
  <c r="E32110" i="5"/>
  <c r="E32102" i="5"/>
  <c r="E32094" i="5"/>
  <c r="E32086" i="5"/>
  <c r="E32078" i="5"/>
  <c r="E32070" i="5"/>
  <c r="E32062" i="5"/>
  <c r="E32054" i="5"/>
  <c r="E32046" i="5"/>
  <c r="E32038" i="5"/>
  <c r="E32030" i="5"/>
  <c r="E32022" i="5"/>
  <c r="E32014" i="5"/>
  <c r="E32006" i="5"/>
  <c r="E31998" i="5"/>
  <c r="E31990" i="5"/>
  <c r="E31982" i="5"/>
  <c r="E31974" i="5"/>
  <c r="E31966" i="5"/>
  <c r="E31958" i="5"/>
  <c r="E31950" i="5"/>
  <c r="E31942" i="5"/>
  <c r="E31934" i="5"/>
  <c r="E31926" i="5"/>
  <c r="E31918" i="5"/>
  <c r="E31910" i="5"/>
  <c r="E31902" i="5"/>
  <c r="E31894" i="5"/>
  <c r="E31886" i="5"/>
  <c r="E31878" i="5"/>
  <c r="E31870" i="5"/>
  <c r="E31862" i="5"/>
  <c r="E31854" i="5"/>
  <c r="E31846" i="5"/>
  <c r="E31838" i="5"/>
  <c r="E31830" i="5"/>
  <c r="E31822" i="5"/>
  <c r="E31814" i="5"/>
  <c r="E31806" i="5"/>
  <c r="E31798" i="5"/>
  <c r="E31790" i="5"/>
  <c r="E31782" i="5"/>
  <c r="E31774" i="5"/>
  <c r="E31766" i="5"/>
  <c r="E31758" i="5"/>
  <c r="E31750" i="5"/>
  <c r="E31742" i="5"/>
  <c r="E31734" i="5"/>
  <c r="E31726" i="5"/>
  <c r="E31718" i="5"/>
  <c r="E31710" i="5"/>
  <c r="E31702" i="5"/>
  <c r="E31694" i="5"/>
  <c r="E31686" i="5"/>
  <c r="E31678" i="5"/>
  <c r="E31670" i="5"/>
  <c r="E31662" i="5"/>
  <c r="E31654" i="5"/>
  <c r="E31646" i="5"/>
  <c r="E31638" i="5"/>
  <c r="E31630" i="5"/>
  <c r="E31622" i="5"/>
  <c r="E31614" i="5"/>
  <c r="E31606" i="5"/>
  <c r="E31598" i="5"/>
  <c r="E31590" i="5"/>
  <c r="E31582" i="5"/>
  <c r="E31574" i="5"/>
  <c r="E31566" i="5"/>
  <c r="E31558" i="5"/>
  <c r="E31550" i="5"/>
  <c r="E31542" i="5"/>
  <c r="E31534" i="5"/>
  <c r="E31526" i="5"/>
  <c r="E31518" i="5"/>
  <c r="E31510" i="5"/>
  <c r="E31502" i="5"/>
  <c r="E31494" i="5"/>
  <c r="E31486" i="5"/>
  <c r="E31478" i="5"/>
  <c r="E31470" i="5"/>
  <c r="E31462" i="5"/>
  <c r="E31454" i="5"/>
  <c r="E31446" i="5"/>
  <c r="E31438" i="5"/>
  <c r="E31430" i="5"/>
  <c r="E31422" i="5"/>
  <c r="E31414" i="5"/>
  <c r="E31406" i="5"/>
  <c r="E31398" i="5"/>
  <c r="E31390" i="5"/>
  <c r="E31382" i="5"/>
  <c r="E31374" i="5"/>
  <c r="E31366" i="5"/>
  <c r="E31358" i="5"/>
  <c r="E31350" i="5"/>
  <c r="E31342" i="5"/>
  <c r="E31334" i="5"/>
  <c r="E31326" i="5"/>
  <c r="E31318" i="5"/>
  <c r="E31310" i="5"/>
  <c r="E31302" i="5"/>
  <c r="E31294" i="5"/>
  <c r="E31286" i="5"/>
  <c r="E31278" i="5"/>
  <c r="E31270" i="5"/>
  <c r="E31262" i="5"/>
  <c r="E31254" i="5"/>
  <c r="E31246" i="5"/>
  <c r="E31238" i="5"/>
  <c r="E31230" i="5"/>
  <c r="E31222" i="5"/>
  <c r="E31214" i="5"/>
  <c r="E31206" i="5"/>
  <c r="E31198" i="5"/>
  <c r="E31190" i="5"/>
  <c r="E31182" i="5"/>
  <c r="E31174" i="5"/>
  <c r="E31166" i="5"/>
  <c r="E31158" i="5"/>
  <c r="E31150" i="5"/>
  <c r="E31142" i="5"/>
  <c r="E31134" i="5"/>
  <c r="E31126" i="5"/>
  <c r="E31118" i="5"/>
  <c r="E31110" i="5"/>
  <c r="E31102" i="5"/>
  <c r="E31094" i="5"/>
  <c r="E31086" i="5"/>
  <c r="E31078" i="5"/>
  <c r="E31070" i="5"/>
  <c r="E31062" i="5"/>
  <c r="E31054" i="5"/>
  <c r="E31046" i="5"/>
  <c r="E31038" i="5"/>
  <c r="E31030" i="5"/>
  <c r="E31022" i="5"/>
  <c r="E31014" i="5"/>
  <c r="E31006" i="5"/>
  <c r="E30998" i="5"/>
  <c r="E30990" i="5"/>
  <c r="E30982" i="5"/>
  <c r="E30974" i="5"/>
  <c r="E30966" i="5"/>
  <c r="E30958" i="5"/>
  <c r="E30950" i="5"/>
  <c r="E30942" i="5"/>
  <c r="E30934" i="5"/>
  <c r="E30926" i="5"/>
  <c r="E30918" i="5"/>
  <c r="E30910" i="5"/>
  <c r="E30902" i="5"/>
  <c r="E30894" i="5"/>
  <c r="E30886" i="5"/>
  <c r="E30878" i="5"/>
  <c r="E30870" i="5"/>
  <c r="E30862" i="5"/>
  <c r="E30854" i="5"/>
  <c r="E30846" i="5"/>
  <c r="E30838" i="5"/>
  <c r="E30830" i="5"/>
  <c r="E30822" i="5"/>
  <c r="E30814" i="5"/>
  <c r="E30806" i="5"/>
  <c r="E30798" i="5"/>
  <c r="E30790" i="5"/>
  <c r="E30782" i="5"/>
  <c r="E30774" i="5"/>
  <c r="E30766" i="5"/>
  <c r="E30758" i="5"/>
  <c r="E30750" i="5"/>
  <c r="E30742" i="5"/>
  <c r="E30734" i="5"/>
  <c r="E30726" i="5"/>
  <c r="E30718" i="5"/>
  <c r="E30710" i="5"/>
  <c r="E30702" i="5"/>
  <c r="E30694" i="5"/>
  <c r="E30686" i="5"/>
  <c r="E30678" i="5"/>
  <c r="E30670" i="5"/>
  <c r="E30662" i="5"/>
  <c r="E30654" i="5"/>
  <c r="E30646" i="5"/>
  <c r="E30638" i="5"/>
  <c r="E30630" i="5"/>
  <c r="E30622" i="5"/>
  <c r="E30614" i="5"/>
  <c r="E30606" i="5"/>
  <c r="E30598" i="5"/>
  <c r="E30590" i="5"/>
  <c r="E30582" i="5"/>
  <c r="E30574" i="5"/>
  <c r="E30566" i="5"/>
  <c r="E30558" i="5"/>
  <c r="E30550" i="5"/>
  <c r="E30542" i="5"/>
  <c r="E30534" i="5"/>
  <c r="E30526" i="5"/>
  <c r="E30518" i="5"/>
  <c r="E30510" i="5"/>
  <c r="E30502" i="5"/>
  <c r="E30494" i="5"/>
  <c r="E30486" i="5"/>
  <c r="E30478" i="5"/>
  <c r="E30470" i="5"/>
  <c r="E30462" i="5"/>
  <c r="E30454" i="5"/>
  <c r="E30446" i="5"/>
  <c r="E30438" i="5"/>
  <c r="E30430" i="5"/>
  <c r="E30422" i="5"/>
  <c r="E30414" i="5"/>
  <c r="E30406" i="5"/>
  <c r="E30398" i="5"/>
  <c r="E30390" i="5"/>
  <c r="E30382" i="5"/>
  <c r="E30374" i="5"/>
  <c r="E30366" i="5"/>
  <c r="E30358" i="5"/>
  <c r="E30350" i="5"/>
  <c r="E30342" i="5"/>
  <c r="E30334" i="5"/>
  <c r="E30326" i="5"/>
  <c r="E30318" i="5"/>
  <c r="E30310" i="5"/>
  <c r="E30302" i="5"/>
  <c r="E30294" i="5"/>
  <c r="E30286" i="5"/>
  <c r="E30278" i="5"/>
  <c r="E30270" i="5"/>
  <c r="E30262" i="5"/>
  <c r="E30254" i="5"/>
  <c r="E30246" i="5"/>
  <c r="E30238" i="5"/>
  <c r="E30230" i="5"/>
  <c r="E30222" i="5"/>
  <c r="E30214" i="5"/>
  <c r="E30206" i="5"/>
  <c r="E30198" i="5"/>
  <c r="E30190" i="5"/>
  <c r="E30182" i="5"/>
  <c r="E30174" i="5"/>
  <c r="E30166" i="5"/>
  <c r="E30158" i="5"/>
  <c r="E30150" i="5"/>
  <c r="E30142" i="5"/>
  <c r="E30134" i="5"/>
  <c r="E30126" i="5"/>
  <c r="E30118" i="5"/>
  <c r="E30110" i="5"/>
  <c r="E30102" i="5"/>
  <c r="E30094" i="5"/>
  <c r="E30086" i="5"/>
  <c r="E30078" i="5"/>
  <c r="E30070" i="5"/>
  <c r="E30062" i="5"/>
  <c r="E30054" i="5"/>
  <c r="E30046" i="5"/>
  <c r="E30038" i="5"/>
  <c r="E30030" i="5"/>
  <c r="E30022" i="5"/>
  <c r="E30014" i="5"/>
  <c r="E30006" i="5"/>
  <c r="E29998" i="5"/>
  <c r="E29990" i="5"/>
  <c r="E29982" i="5"/>
  <c r="E29974" i="5"/>
  <c r="E29966" i="5"/>
  <c r="E29958" i="5"/>
  <c r="E29950" i="5"/>
  <c r="E29942" i="5"/>
  <c r="E29934" i="5"/>
  <c r="E29926" i="5"/>
  <c r="E29918" i="5"/>
  <c r="E29910" i="5"/>
  <c r="E29902" i="5"/>
  <c r="E29894" i="5"/>
  <c r="E29886" i="5"/>
  <c r="E29878" i="5"/>
  <c r="E29870" i="5"/>
  <c r="E29862" i="5"/>
  <c r="E29854" i="5"/>
  <c r="E29846" i="5"/>
  <c r="E29838" i="5"/>
  <c r="E29830" i="5"/>
  <c r="E29822" i="5"/>
  <c r="E29814" i="5"/>
  <c r="E29806" i="5"/>
  <c r="E29798" i="5"/>
  <c r="E29790" i="5"/>
  <c r="E29782" i="5"/>
  <c r="E29774" i="5"/>
  <c r="E29766" i="5"/>
  <c r="E29758" i="5"/>
  <c r="E29750" i="5"/>
  <c r="E29742" i="5"/>
  <c r="E29734" i="5"/>
  <c r="E29726" i="5"/>
  <c r="E29718" i="5"/>
  <c r="E29710" i="5"/>
  <c r="E29702" i="5"/>
  <c r="E29694" i="5"/>
  <c r="E29686" i="5"/>
  <c r="E29678" i="5"/>
  <c r="E29670" i="5"/>
  <c r="E29662" i="5"/>
  <c r="E29654" i="5"/>
  <c r="E29646" i="5"/>
  <c r="E29638" i="5"/>
  <c r="E29630" i="5"/>
  <c r="E29622" i="5"/>
  <c r="E29614" i="5"/>
  <c r="E29606" i="5"/>
  <c r="E29598" i="5"/>
  <c r="E29590" i="5"/>
  <c r="E29582" i="5"/>
  <c r="E29574" i="5"/>
  <c r="E29566" i="5"/>
  <c r="E29558" i="5"/>
  <c r="E29550" i="5"/>
  <c r="E29542" i="5"/>
  <c r="E29534" i="5"/>
  <c r="E29526" i="5"/>
  <c r="E29518" i="5"/>
  <c r="E29510" i="5"/>
  <c r="E29502" i="5"/>
  <c r="E29494" i="5"/>
  <c r="E29486" i="5"/>
  <c r="E29478" i="5"/>
  <c r="E29470" i="5"/>
  <c r="E29462" i="5"/>
  <c r="E29454" i="5"/>
  <c r="E29446" i="5"/>
  <c r="E29438" i="5"/>
  <c r="E29430" i="5"/>
  <c r="E29422" i="5"/>
  <c r="E29414" i="5"/>
  <c r="E29406" i="5"/>
  <c r="E29398" i="5"/>
  <c r="E29390" i="5"/>
  <c r="E29382" i="5"/>
  <c r="E29374" i="5"/>
  <c r="E29366" i="5"/>
  <c r="E29358" i="5"/>
  <c r="E29350" i="5"/>
  <c r="E29342" i="5"/>
  <c r="E29334" i="5"/>
  <c r="E29326" i="5"/>
  <c r="E29318" i="5"/>
  <c r="E29310" i="5"/>
  <c r="E29302" i="5"/>
  <c r="E29294" i="5"/>
  <c r="E29286" i="5"/>
  <c r="E29278" i="5"/>
  <c r="E29270" i="5"/>
  <c r="E29262" i="5"/>
  <c r="E29254" i="5"/>
  <c r="E29246" i="5"/>
  <c r="E29238" i="5"/>
  <c r="E29230" i="5"/>
  <c r="E29222" i="5"/>
  <c r="E29214" i="5"/>
  <c r="E29206" i="5"/>
  <c r="E29198" i="5"/>
  <c r="E29190" i="5"/>
  <c r="E29182" i="5"/>
  <c r="E29174" i="5"/>
  <c r="E29166" i="5"/>
  <c r="E29158" i="5"/>
  <c r="E29150" i="5"/>
  <c r="E29142" i="5"/>
  <c r="E29134" i="5"/>
  <c r="E29126" i="5"/>
  <c r="E29118" i="5"/>
  <c r="E29110" i="5"/>
  <c r="E29102" i="5"/>
  <c r="E29094" i="5"/>
  <c r="E29086" i="5"/>
  <c r="E29078" i="5"/>
  <c r="E29070" i="5"/>
  <c r="E29062" i="5"/>
  <c r="E29054" i="5"/>
  <c r="E29046" i="5"/>
  <c r="E29038" i="5"/>
  <c r="E29030" i="5"/>
  <c r="E29022" i="5"/>
  <c r="E29014" i="5"/>
  <c r="E29006" i="5"/>
  <c r="E28998" i="5"/>
  <c r="E28990" i="5"/>
  <c r="E28982" i="5"/>
  <c r="E28974" i="5"/>
  <c r="E28966" i="5"/>
  <c r="E28958" i="5"/>
  <c r="E28950" i="5"/>
  <c r="E28942" i="5"/>
  <c r="E28934" i="5"/>
  <c r="E28926" i="5"/>
  <c r="E28918" i="5"/>
  <c r="E28910" i="5"/>
  <c r="E28902" i="5"/>
  <c r="E28894" i="5"/>
  <c r="E28886" i="5"/>
  <c r="E28878" i="5"/>
  <c r="E28870" i="5"/>
  <c r="E28862" i="5"/>
  <c r="E28854" i="5"/>
  <c r="E28846" i="5"/>
  <c r="E28838" i="5"/>
  <c r="E28830" i="5"/>
  <c r="E28822" i="5"/>
  <c r="E28814" i="5"/>
  <c r="E28806" i="5"/>
  <c r="E28798" i="5"/>
  <c r="E28790" i="5"/>
  <c r="E28782" i="5"/>
  <c r="E28774" i="5"/>
  <c r="E28766" i="5"/>
  <c r="E28758" i="5"/>
  <c r="E28750" i="5"/>
  <c r="E28742" i="5"/>
  <c r="E28734" i="5"/>
  <c r="E28726" i="5"/>
  <c r="E28718" i="5"/>
  <c r="E28710" i="5"/>
  <c r="E28702" i="5"/>
  <c r="E28694" i="5"/>
  <c r="E28686" i="5"/>
  <c r="E28678" i="5"/>
  <c r="E28670" i="5"/>
  <c r="E28662" i="5"/>
  <c r="E28654" i="5"/>
  <c r="E28646" i="5"/>
  <c r="E28638" i="5"/>
  <c r="E28630" i="5"/>
  <c r="E28622" i="5"/>
  <c r="E28614" i="5"/>
  <c r="E28606" i="5"/>
  <c r="E28598" i="5"/>
  <c r="E28590" i="5"/>
  <c r="E28582" i="5"/>
  <c r="E28574" i="5"/>
  <c r="E28566" i="5"/>
  <c r="E28558" i="5"/>
  <c r="E28550" i="5"/>
  <c r="E28542" i="5"/>
  <c r="E28534" i="5"/>
  <c r="E28526" i="5"/>
  <c r="E28518" i="5"/>
  <c r="E28510" i="5"/>
  <c r="E28502" i="5"/>
  <c r="E28494" i="5"/>
  <c r="E28486" i="5"/>
  <c r="E28478" i="5"/>
  <c r="E28470" i="5"/>
  <c r="E28462" i="5"/>
  <c r="E28454" i="5"/>
  <c r="E28446" i="5"/>
  <c r="E28438" i="5"/>
  <c r="E28430" i="5"/>
  <c r="E28422" i="5"/>
  <c r="E28414" i="5"/>
  <c r="E28406" i="5"/>
  <c r="E28398" i="5"/>
  <c r="E28390" i="5"/>
  <c r="E28382" i="5"/>
  <c r="E28374" i="5"/>
  <c r="E28366" i="5"/>
  <c r="E28358" i="5"/>
  <c r="E28350" i="5"/>
  <c r="E28342" i="5"/>
  <c r="E28334" i="5"/>
  <c r="E28326" i="5"/>
  <c r="E28318" i="5"/>
  <c r="E28310" i="5"/>
  <c r="E28302" i="5"/>
  <c r="E28294" i="5"/>
  <c r="E28286" i="5"/>
  <c r="E28278" i="5"/>
  <c r="E28270" i="5"/>
  <c r="E28262" i="5"/>
  <c r="E28254" i="5"/>
  <c r="E28246" i="5"/>
  <c r="E28238" i="5"/>
  <c r="E28230" i="5"/>
  <c r="E28222" i="5"/>
  <c r="E28214" i="5"/>
  <c r="E28206" i="5"/>
  <c r="E28198" i="5"/>
  <c r="E28190" i="5"/>
  <c r="E28182" i="5"/>
  <c r="E28174" i="5"/>
  <c r="E28166" i="5"/>
  <c r="E28158" i="5"/>
  <c r="E28150" i="5"/>
  <c r="E28142" i="5"/>
  <c r="E28134" i="5"/>
  <c r="E28126" i="5"/>
  <c r="E28118" i="5"/>
  <c r="E28110" i="5"/>
  <c r="E28102" i="5"/>
  <c r="E28094" i="5"/>
  <c r="E28086" i="5"/>
  <c r="E28078" i="5"/>
  <c r="E28070" i="5"/>
  <c r="E28062" i="5"/>
  <c r="E28054" i="5"/>
  <c r="E28046" i="5"/>
  <c r="E28038" i="5"/>
  <c r="E28030" i="5"/>
  <c r="E28022" i="5"/>
  <c r="E28014" i="5"/>
  <c r="E28006" i="5"/>
  <c r="E27998" i="5"/>
  <c r="E27990" i="5"/>
  <c r="E27982" i="5"/>
  <c r="E27974" i="5"/>
  <c r="E27966" i="5"/>
  <c r="E27958" i="5"/>
  <c r="E27950" i="5"/>
  <c r="E27942" i="5"/>
  <c r="E27934" i="5"/>
  <c r="E27926" i="5"/>
  <c r="E27918" i="5"/>
  <c r="E27910" i="5"/>
  <c r="E27902" i="5"/>
  <c r="E27894" i="5"/>
  <c r="E27886" i="5"/>
  <c r="E27878" i="5"/>
  <c r="E27870" i="5"/>
  <c r="E27862" i="5"/>
  <c r="E27854" i="5"/>
  <c r="E27846" i="5"/>
  <c r="E27838" i="5"/>
  <c r="E27830" i="5"/>
  <c r="E27822" i="5"/>
  <c r="E27814" i="5"/>
  <c r="E27806" i="5"/>
  <c r="E27798" i="5"/>
  <c r="E27790" i="5"/>
  <c r="E27782" i="5"/>
  <c r="E27774" i="5"/>
  <c r="E27766" i="5"/>
  <c r="E27758" i="5"/>
  <c r="E27750" i="5"/>
  <c r="E27742" i="5"/>
  <c r="E27734" i="5"/>
  <c r="E27726" i="5"/>
  <c r="E27718" i="5"/>
  <c r="E27710" i="5"/>
  <c r="E27702" i="5"/>
  <c r="E27694" i="5"/>
  <c r="E27686" i="5"/>
  <c r="E27678" i="5"/>
  <c r="E27670" i="5"/>
  <c r="E27662" i="5"/>
  <c r="E27654" i="5"/>
  <c r="E27646" i="5"/>
  <c r="E27638" i="5"/>
  <c r="E27630" i="5"/>
  <c r="E27622" i="5"/>
  <c r="E27614" i="5"/>
  <c r="E27606" i="5"/>
  <c r="E27598" i="5"/>
  <c r="E27590" i="5"/>
  <c r="E27582" i="5"/>
  <c r="E27574" i="5"/>
  <c r="E27566" i="5"/>
  <c r="E27558" i="5"/>
  <c r="E27550" i="5"/>
  <c r="E27542" i="5"/>
  <c r="E27534" i="5"/>
  <c r="E27526" i="5"/>
  <c r="E27518" i="5"/>
  <c r="E27510" i="5"/>
  <c r="E27502" i="5"/>
  <c r="E27494" i="5"/>
  <c r="E27486" i="5"/>
  <c r="E27478" i="5"/>
  <c r="E27470" i="5"/>
  <c r="E27462" i="5"/>
  <c r="E27454" i="5"/>
  <c r="E27446" i="5"/>
  <c r="E27438" i="5"/>
  <c r="E27430" i="5"/>
  <c r="E27422" i="5"/>
  <c r="E27414" i="5"/>
  <c r="E27406" i="5"/>
  <c r="E27398" i="5"/>
  <c r="E27390" i="5"/>
  <c r="E27382" i="5"/>
  <c r="E27374" i="5"/>
  <c r="E27366" i="5"/>
  <c r="E27358" i="5"/>
  <c r="E27350" i="5"/>
  <c r="E27342" i="5"/>
  <c r="E27334" i="5"/>
  <c r="E27326" i="5"/>
  <c r="E27318" i="5"/>
  <c r="E27310" i="5"/>
  <c r="E27302" i="5"/>
  <c r="E27294" i="5"/>
  <c r="E27286" i="5"/>
  <c r="E27278" i="5"/>
  <c r="E27270" i="5"/>
  <c r="E27262" i="5"/>
  <c r="E27254" i="5"/>
  <c r="E27246" i="5"/>
  <c r="E27238" i="5"/>
  <c r="E27230" i="5"/>
  <c r="E27222" i="5"/>
  <c r="E27214" i="5"/>
  <c r="E27206" i="5"/>
  <c r="E27198" i="5"/>
  <c r="E27190" i="5"/>
  <c r="E27182" i="5"/>
  <c r="E27174" i="5"/>
  <c r="E27166" i="5"/>
  <c r="E27158" i="5"/>
  <c r="E27150" i="5"/>
  <c r="E27142" i="5"/>
  <c r="E27134" i="5"/>
  <c r="E27126" i="5"/>
  <c r="E27118" i="5"/>
  <c r="E27110" i="5"/>
  <c r="E27102" i="5"/>
  <c r="E27094" i="5"/>
  <c r="E27086" i="5"/>
  <c r="E27078" i="5"/>
  <c r="E27070" i="5"/>
  <c r="E27062" i="5"/>
  <c r="E27054" i="5"/>
  <c r="E27046" i="5"/>
  <c r="E27038" i="5"/>
  <c r="E27030" i="5"/>
  <c r="E27022" i="5"/>
  <c r="E27014" i="5"/>
  <c r="E27006" i="5"/>
  <c r="E26998" i="5"/>
  <c r="E26990" i="5"/>
  <c r="E26982" i="5"/>
  <c r="E26974" i="5"/>
  <c r="E26966" i="5"/>
  <c r="E26958" i="5"/>
  <c r="E26950" i="5"/>
  <c r="E26942" i="5"/>
  <c r="E26934" i="5"/>
  <c r="E26926" i="5"/>
  <c r="E26918" i="5"/>
  <c r="E26910" i="5"/>
  <c r="E26902" i="5"/>
  <c r="E26894" i="5"/>
  <c r="E26886" i="5"/>
  <c r="E26878" i="5"/>
  <c r="E26870" i="5"/>
  <c r="E26862" i="5"/>
  <c r="E26854" i="5"/>
  <c r="E26846" i="5"/>
  <c r="E26838" i="5"/>
  <c r="E26830" i="5"/>
  <c r="E26822" i="5"/>
  <c r="E26814" i="5"/>
  <c r="E26806" i="5"/>
  <c r="E26798" i="5"/>
  <c r="E26790" i="5"/>
  <c r="E26782" i="5"/>
  <c r="E26774" i="5"/>
  <c r="E26766" i="5"/>
  <c r="E26758" i="5"/>
  <c r="E26750" i="5"/>
  <c r="E26742" i="5"/>
  <c r="E26734" i="5"/>
  <c r="E26726" i="5"/>
  <c r="E26718" i="5"/>
  <c r="E26710" i="5"/>
  <c r="E26702" i="5"/>
  <c r="E26694" i="5"/>
  <c r="E26686" i="5"/>
  <c r="E26678" i="5"/>
  <c r="E26670" i="5"/>
  <c r="E26662" i="5"/>
  <c r="E26654" i="5"/>
  <c r="E26646" i="5"/>
  <c r="E26638" i="5"/>
  <c r="E26630" i="5"/>
  <c r="E26622" i="5"/>
  <c r="E26614" i="5"/>
  <c r="E26606" i="5"/>
  <c r="E26598" i="5"/>
  <c r="E26590" i="5"/>
  <c r="E26582" i="5"/>
  <c r="E26574" i="5"/>
  <c r="E26566" i="5"/>
  <c r="E26558" i="5"/>
  <c r="E26550" i="5"/>
  <c r="E26542" i="5"/>
  <c r="E26534" i="5"/>
  <c r="E26526" i="5"/>
  <c r="E26518" i="5"/>
  <c r="E26510" i="5"/>
  <c r="E26502" i="5"/>
  <c r="E26494" i="5"/>
  <c r="E26486" i="5"/>
  <c r="E26478" i="5"/>
  <c r="E26470" i="5"/>
  <c r="E26462" i="5"/>
  <c r="E26454" i="5"/>
  <c r="E26446" i="5"/>
  <c r="E26438" i="5"/>
  <c r="E26430" i="5"/>
  <c r="E26422" i="5"/>
  <c r="E26414" i="5"/>
  <c r="E26406" i="5"/>
  <c r="E26398" i="5"/>
  <c r="E26390" i="5"/>
  <c r="E26382" i="5"/>
  <c r="E26374" i="5"/>
  <c r="E26366" i="5"/>
  <c r="E26358" i="5"/>
  <c r="E26350" i="5"/>
  <c r="E26342" i="5"/>
  <c r="E26334" i="5"/>
  <c r="E26326" i="5"/>
  <c r="E26318" i="5"/>
  <c r="E26310" i="5"/>
  <c r="E26302" i="5"/>
  <c r="E26294" i="5"/>
  <c r="E26286" i="5"/>
  <c r="E26278" i="5"/>
  <c r="E26270" i="5"/>
  <c r="E26262" i="5"/>
  <c r="E26254" i="5"/>
  <c r="E26246" i="5"/>
  <c r="E26238" i="5"/>
  <c r="E26230" i="5"/>
  <c r="E26222" i="5"/>
  <c r="E26214" i="5"/>
  <c r="E26206" i="5"/>
  <c r="E26198" i="5"/>
  <c r="E26190" i="5"/>
  <c r="E26182" i="5"/>
  <c r="E26174" i="5"/>
  <c r="E26166" i="5"/>
  <c r="E26158" i="5"/>
  <c r="E26150" i="5"/>
  <c r="E26142" i="5"/>
  <c r="E26134" i="5"/>
  <c r="E26126" i="5"/>
  <c r="E26118" i="5"/>
  <c r="E26110" i="5"/>
  <c r="E26102" i="5"/>
  <c r="E26094" i="5"/>
  <c r="E26086" i="5"/>
  <c r="E26078" i="5"/>
  <c r="E26070" i="5"/>
  <c r="E26062" i="5"/>
  <c r="E26054" i="5"/>
  <c r="E26046" i="5"/>
  <c r="E26038" i="5"/>
  <c r="E26030" i="5"/>
  <c r="E26022" i="5"/>
  <c r="E26014" i="5"/>
  <c r="E26006" i="5"/>
  <c r="E25998" i="5"/>
  <c r="E25990" i="5"/>
  <c r="E25982" i="5"/>
  <c r="E25974" i="5"/>
  <c r="E25966" i="5"/>
  <c r="E25958" i="5"/>
  <c r="E25950" i="5"/>
  <c r="E25942" i="5"/>
  <c r="E25934" i="5"/>
  <c r="E25926" i="5"/>
  <c r="E25918" i="5"/>
  <c r="E25910" i="5"/>
  <c r="E25902" i="5"/>
  <c r="E25894" i="5"/>
  <c r="E25886" i="5"/>
  <c r="E25878" i="5"/>
  <c r="E25870" i="5"/>
  <c r="E25862" i="5"/>
  <c r="E25854" i="5"/>
  <c r="E25846" i="5"/>
  <c r="E25838" i="5"/>
  <c r="E25830" i="5"/>
  <c r="E25822" i="5"/>
  <c r="E25814" i="5"/>
  <c r="E25806" i="5"/>
  <c r="E25798" i="5"/>
  <c r="E25790" i="5"/>
  <c r="E25782" i="5"/>
  <c r="E25774" i="5"/>
  <c r="E25766" i="5"/>
  <c r="E25758" i="5"/>
  <c r="E25750" i="5"/>
  <c r="E25742" i="5"/>
  <c r="E25734" i="5"/>
  <c r="E25726" i="5"/>
  <c r="E25718" i="5"/>
  <c r="E25710" i="5"/>
  <c r="E25702" i="5"/>
  <c r="E25694" i="5"/>
  <c r="E25686" i="5"/>
  <c r="E25678" i="5"/>
  <c r="E25670" i="5"/>
  <c r="E25662" i="5"/>
  <c r="E25654" i="5"/>
  <c r="E25646" i="5"/>
  <c r="E25638" i="5"/>
  <c r="E25630" i="5"/>
  <c r="E25622" i="5"/>
  <c r="E25614" i="5"/>
  <c r="E25606" i="5"/>
  <c r="E25598" i="5"/>
  <c r="E25590" i="5"/>
  <c r="E25582" i="5"/>
  <c r="E25574" i="5"/>
  <c r="E25566" i="5"/>
  <c r="E25558" i="5"/>
  <c r="E25550" i="5"/>
  <c r="E25542" i="5"/>
  <c r="E25534" i="5"/>
  <c r="E25526" i="5"/>
  <c r="E25518" i="5"/>
  <c r="E25510" i="5"/>
  <c r="E25502" i="5"/>
  <c r="E25494" i="5"/>
  <c r="E25486" i="5"/>
  <c r="E25478" i="5"/>
  <c r="E25470" i="5"/>
  <c r="E25462" i="5"/>
  <c r="E25454" i="5"/>
  <c r="E25446" i="5"/>
  <c r="E25438" i="5"/>
  <c r="E25430" i="5"/>
  <c r="E25422" i="5"/>
  <c r="E25414" i="5"/>
  <c r="E25406" i="5"/>
  <c r="E25398" i="5"/>
  <c r="E25390" i="5"/>
  <c r="E25382" i="5"/>
  <c r="E25374" i="5"/>
  <c r="E25366" i="5"/>
  <c r="E25358" i="5"/>
  <c r="E25350" i="5"/>
  <c r="E25342" i="5"/>
  <c r="E25334" i="5"/>
  <c r="E25326" i="5"/>
  <c r="E25318" i="5"/>
  <c r="E25310" i="5"/>
  <c r="E25302" i="5"/>
  <c r="E25294" i="5"/>
  <c r="E25286" i="5"/>
  <c r="E25278" i="5"/>
  <c r="E25270" i="5"/>
  <c r="E25262" i="5"/>
  <c r="E25254" i="5"/>
  <c r="E25246" i="5"/>
  <c r="E25238" i="5"/>
  <c r="E25230" i="5"/>
  <c r="E25222" i="5"/>
  <c r="E25214" i="5"/>
  <c r="E25206" i="5"/>
  <c r="E25198" i="5"/>
  <c r="E25190" i="5"/>
  <c r="E25182" i="5"/>
  <c r="E25174" i="5"/>
  <c r="E25166" i="5"/>
  <c r="E25158" i="5"/>
  <c r="E25150" i="5"/>
  <c r="E25142" i="5"/>
  <c r="E25134" i="5"/>
  <c r="E25126" i="5"/>
  <c r="E25118" i="5"/>
  <c r="E25110" i="5"/>
  <c r="E25102" i="5"/>
  <c r="E25094" i="5"/>
  <c r="E25086" i="5"/>
  <c r="E25078" i="5"/>
  <c r="E25070" i="5"/>
  <c r="E25062" i="5"/>
  <c r="E25054" i="5"/>
  <c r="E25046" i="5"/>
  <c r="E25038" i="5"/>
  <c r="E25030" i="5"/>
  <c r="E25022" i="5"/>
  <c r="E25014" i="5"/>
  <c r="E25006" i="5"/>
  <c r="E24998" i="5"/>
  <c r="E24990" i="5"/>
  <c r="E24982" i="5"/>
  <c r="E24974" i="5"/>
  <c r="E24966" i="5"/>
  <c r="E24958" i="5"/>
  <c r="E24950" i="5"/>
  <c r="E24942" i="5"/>
  <c r="E24934" i="5"/>
  <c r="E24926" i="5"/>
  <c r="E24918" i="5"/>
  <c r="E24910" i="5"/>
  <c r="E24902" i="5"/>
  <c r="E24894" i="5"/>
  <c r="E24886" i="5"/>
  <c r="E24878" i="5"/>
  <c r="E24870" i="5"/>
  <c r="E24862" i="5"/>
  <c r="E24854" i="5"/>
  <c r="E24846" i="5"/>
  <c r="E24838" i="5"/>
  <c r="E24830" i="5"/>
  <c r="E24822" i="5"/>
  <c r="E24814" i="5"/>
  <c r="E24806" i="5"/>
  <c r="E24798" i="5"/>
  <c r="E24790" i="5"/>
  <c r="E24782" i="5"/>
  <c r="E24774" i="5"/>
  <c r="E24766" i="5"/>
  <c r="E24758" i="5"/>
  <c r="E24750" i="5"/>
  <c r="E24742" i="5"/>
  <c r="E24734" i="5"/>
  <c r="E24726" i="5"/>
  <c r="E24718" i="5"/>
  <c r="E24710" i="5"/>
  <c r="E24702" i="5"/>
  <c r="E24694" i="5"/>
  <c r="E24686" i="5"/>
  <c r="E24678" i="5"/>
  <c r="E24670" i="5"/>
  <c r="E24662" i="5"/>
  <c r="E24654" i="5"/>
  <c r="E24646" i="5"/>
  <c r="E24638" i="5"/>
  <c r="E24630" i="5"/>
  <c r="E24622" i="5"/>
  <c r="E24614" i="5"/>
  <c r="E24606" i="5"/>
  <c r="E24598" i="5"/>
  <c r="E24590" i="5"/>
  <c r="E24582" i="5"/>
  <c r="E24574" i="5"/>
  <c r="E24566" i="5"/>
  <c r="E24558" i="5"/>
  <c r="E24550" i="5"/>
  <c r="E24542" i="5"/>
  <c r="E24534" i="5"/>
  <c r="E24526" i="5"/>
  <c r="E24518" i="5"/>
  <c r="E24510" i="5"/>
  <c r="E24502" i="5"/>
  <c r="E24494" i="5"/>
  <c r="E24486" i="5"/>
  <c r="E24478" i="5"/>
  <c r="E24470" i="5"/>
  <c r="E24462" i="5"/>
  <c r="E24454" i="5"/>
  <c r="E24446" i="5"/>
  <c r="E24438" i="5"/>
  <c r="E24430" i="5"/>
  <c r="E24422" i="5"/>
  <c r="E24414" i="5"/>
  <c r="E24406" i="5"/>
  <c r="E24398" i="5"/>
  <c r="E24390" i="5"/>
  <c r="E24382" i="5"/>
  <c r="E24374" i="5"/>
  <c r="E24366" i="5"/>
  <c r="E24358" i="5"/>
  <c r="E24350" i="5"/>
  <c r="E24342" i="5"/>
  <c r="E24334" i="5"/>
  <c r="E24326" i="5"/>
  <c r="E24318" i="5"/>
  <c r="E24310" i="5"/>
  <c r="E24302" i="5"/>
  <c r="E24294" i="5"/>
  <c r="E24286" i="5"/>
  <c r="E24278" i="5"/>
  <c r="E24270" i="5"/>
  <c r="E24262" i="5"/>
  <c r="E24254" i="5"/>
  <c r="E24246" i="5"/>
  <c r="E24238" i="5"/>
  <c r="E24230" i="5"/>
  <c r="E24222" i="5"/>
  <c r="E24214" i="5"/>
  <c r="E24206" i="5"/>
  <c r="E24198" i="5"/>
  <c r="E24190" i="5"/>
  <c r="E24182" i="5"/>
  <c r="E24174" i="5"/>
  <c r="E24166" i="5"/>
  <c r="E24158" i="5"/>
  <c r="E24150" i="5"/>
  <c r="E24142" i="5"/>
  <c r="E24134" i="5"/>
  <c r="E24126" i="5"/>
  <c r="E24118" i="5"/>
  <c r="E24110" i="5"/>
  <c r="E24102" i="5"/>
  <c r="E24094" i="5"/>
  <c r="E24086" i="5"/>
  <c r="E24078" i="5"/>
  <c r="E24070" i="5"/>
  <c r="E24062" i="5"/>
  <c r="E24054" i="5"/>
  <c r="E24046" i="5"/>
  <c r="E24038" i="5"/>
  <c r="E24030" i="5"/>
  <c r="E24022" i="5"/>
  <c r="E24014" i="5"/>
  <c r="E24006" i="5"/>
  <c r="E23998" i="5"/>
  <c r="E23990" i="5"/>
  <c r="E23982" i="5"/>
  <c r="E23974" i="5"/>
  <c r="E23966" i="5"/>
  <c r="E23958" i="5"/>
  <c r="E23950" i="5"/>
  <c r="E23942" i="5"/>
  <c r="E23934" i="5"/>
  <c r="E23926" i="5"/>
  <c r="E23918" i="5"/>
  <c r="E23910" i="5"/>
  <c r="E23902" i="5"/>
  <c r="E23894" i="5"/>
  <c r="E23886" i="5"/>
  <c r="E23878" i="5"/>
  <c r="E23870" i="5"/>
  <c r="E23862" i="5"/>
  <c r="E23854" i="5"/>
  <c r="E23846" i="5"/>
  <c r="E23838" i="5"/>
  <c r="E23830" i="5"/>
  <c r="E23822" i="5"/>
  <c r="E23814" i="5"/>
  <c r="E23806" i="5"/>
  <c r="E23798" i="5"/>
  <c r="E23790" i="5"/>
  <c r="E23782" i="5"/>
  <c r="E23774" i="5"/>
  <c r="E23766" i="5"/>
  <c r="E23758" i="5"/>
  <c r="E23750" i="5"/>
  <c r="E41568" i="5"/>
  <c r="E41552" i="5"/>
  <c r="E41536" i="5"/>
  <c r="E41520" i="5"/>
  <c r="E41504" i="5"/>
  <c r="E41488" i="5"/>
  <c r="E41472" i="5"/>
  <c r="E41456" i="5"/>
  <c r="E41440" i="5"/>
  <c r="E41424" i="5"/>
  <c r="E41408" i="5"/>
  <c r="E41392" i="5"/>
  <c r="E41376" i="5"/>
  <c r="E41360" i="5"/>
  <c r="E41344" i="5"/>
  <c r="E41328" i="5"/>
  <c r="E41312" i="5"/>
  <c r="E41296" i="5"/>
  <c r="E41280" i="5"/>
  <c r="E41264" i="5"/>
  <c r="E41248" i="5"/>
  <c r="E41232" i="5"/>
  <c r="E41216" i="5"/>
  <c r="E41200" i="5"/>
  <c r="E41184" i="5"/>
  <c r="E41168" i="5"/>
  <c r="E41152" i="5"/>
  <c r="E41136" i="5"/>
  <c r="E41120" i="5"/>
  <c r="E41104" i="5"/>
  <c r="E41088" i="5"/>
  <c r="E41072" i="5"/>
  <c r="E41056" i="5"/>
  <c r="E41040" i="5"/>
  <c r="E41024" i="5"/>
  <c r="E41008" i="5"/>
  <c r="E40992" i="5"/>
  <c r="E40976" i="5"/>
  <c r="E40960" i="5"/>
  <c r="E40944" i="5"/>
  <c r="E40928" i="5"/>
  <c r="E40912" i="5"/>
  <c r="E40896" i="5"/>
  <c r="E40880" i="5"/>
  <c r="E40865" i="5"/>
  <c r="E40852" i="5"/>
  <c r="E40840" i="5"/>
  <c r="E40827" i="5"/>
  <c r="E40814" i="5"/>
  <c r="E40801" i="5"/>
  <c r="E40788" i="5"/>
  <c r="E40776" i="5"/>
  <c r="E40763" i="5"/>
  <c r="E40750" i="5"/>
  <c r="E40737" i="5"/>
  <c r="E40724" i="5"/>
  <c r="E40712" i="5"/>
  <c r="E40699" i="5"/>
  <c r="E40686" i="5"/>
  <c r="E40673" i="5"/>
  <c r="E40660" i="5"/>
  <c r="E40648" i="5"/>
  <c r="E40635" i="5"/>
  <c r="E40622" i="5"/>
  <c r="E40609" i="5"/>
  <c r="E40596" i="5"/>
  <c r="E40584" i="5"/>
  <c r="E40571" i="5"/>
  <c r="E40558" i="5"/>
  <c r="E40545" i="5"/>
  <c r="E40532" i="5"/>
  <c r="E40520" i="5"/>
  <c r="E40507" i="5"/>
  <c r="E40494" i="5"/>
  <c r="E40481" i="5"/>
  <c r="E40468" i="5"/>
  <c r="E40456" i="5"/>
  <c r="E40443" i="5"/>
  <c r="E40430" i="5"/>
  <c r="E40417" i="5"/>
  <c r="E40404" i="5"/>
  <c r="E40392" i="5"/>
  <c r="E40379" i="5"/>
  <c r="E40366" i="5"/>
  <c r="E40353" i="5"/>
  <c r="E40340" i="5"/>
  <c r="E40328" i="5"/>
  <c r="E40315" i="5"/>
  <c r="E40302" i="5"/>
  <c r="E40289" i="5"/>
  <c r="E40276" i="5"/>
  <c r="E40264" i="5"/>
  <c r="E40251" i="5"/>
  <c r="E40238" i="5"/>
  <c r="E40225" i="5"/>
  <c r="E40212" i="5"/>
  <c r="E40200" i="5"/>
  <c r="E40187" i="5"/>
  <c r="E40174" i="5"/>
  <c r="E40161" i="5"/>
  <c r="E40148" i="5"/>
  <c r="E40136" i="5"/>
  <c r="E40123" i="5"/>
  <c r="E40110" i="5"/>
  <c r="E40097" i="5"/>
  <c r="E40084" i="5"/>
  <c r="E40072" i="5"/>
  <c r="E40059" i="5"/>
  <c r="E40046" i="5"/>
  <c r="E40033" i="5"/>
  <c r="E40020" i="5"/>
  <c r="E40008" i="5"/>
  <c r="E39995" i="5"/>
  <c r="E39982" i="5"/>
  <c r="E39969" i="5"/>
  <c r="E39956" i="5"/>
  <c r="E39944" i="5"/>
  <c r="E39931" i="5"/>
  <c r="E39918" i="5"/>
  <c r="E39905" i="5"/>
  <c r="E39892" i="5"/>
  <c r="E39880" i="5"/>
  <c r="E39867" i="5"/>
  <c r="E39854" i="5"/>
  <c r="E39841" i="5"/>
  <c r="E39828" i="5"/>
  <c r="E39816" i="5"/>
  <c r="E39803" i="5"/>
  <c r="E39790" i="5"/>
  <c r="E39777" i="5"/>
  <c r="E39764" i="5"/>
  <c r="E39752" i="5"/>
  <c r="E39739" i="5"/>
  <c r="E39726" i="5"/>
  <c r="E39713" i="5"/>
  <c r="E39700" i="5"/>
  <c r="E39688" i="5"/>
  <c r="E39675" i="5"/>
  <c r="E39662" i="5"/>
  <c r="E39649" i="5"/>
  <c r="E39636" i="5"/>
  <c r="E39624" i="5"/>
  <c r="E39611" i="5"/>
  <c r="E39598" i="5"/>
  <c r="E39585" i="5"/>
  <c r="E39572" i="5"/>
  <c r="E39560" i="5"/>
  <c r="E39547" i="5"/>
  <c r="E39534" i="5"/>
  <c r="E39521" i="5"/>
  <c r="E39508" i="5"/>
  <c r="E39496" i="5"/>
  <c r="E39483" i="5"/>
  <c r="E39470" i="5"/>
  <c r="E39457" i="5"/>
  <c r="E39444" i="5"/>
  <c r="E39432" i="5"/>
  <c r="E39419" i="5"/>
  <c r="E39406" i="5"/>
  <c r="E39393" i="5"/>
  <c r="E39380" i="5"/>
  <c r="E39368" i="5"/>
  <c r="E39355" i="5"/>
  <c r="E39342" i="5"/>
  <c r="E39329" i="5"/>
  <c r="E39316" i="5"/>
  <c r="E39304" i="5"/>
  <c r="E39291" i="5"/>
  <c r="E39278" i="5"/>
  <c r="E39265" i="5"/>
  <c r="E39254" i="5"/>
  <c r="E39243" i="5"/>
  <c r="E39233" i="5"/>
  <c r="E39222" i="5"/>
  <c r="E39211" i="5"/>
  <c r="E39201" i="5"/>
  <c r="E39190" i="5"/>
  <c r="E39179" i="5"/>
  <c r="E39169" i="5"/>
  <c r="E39158" i="5"/>
  <c r="E39149" i="5"/>
  <c r="E39141" i="5"/>
  <c r="E39133" i="5"/>
  <c r="E39125" i="5"/>
  <c r="E39117" i="5"/>
  <c r="E39109" i="5"/>
  <c r="E39101" i="5"/>
  <c r="E39093" i="5"/>
  <c r="E39085" i="5"/>
  <c r="E39077" i="5"/>
  <c r="E39069" i="5"/>
  <c r="E39061" i="5"/>
  <c r="E39053" i="5"/>
  <c r="E39045" i="5"/>
  <c r="E39037" i="5"/>
  <c r="E39029" i="5"/>
  <c r="E39021" i="5"/>
  <c r="E39013" i="5"/>
  <c r="E39005" i="5"/>
  <c r="E38997" i="5"/>
  <c r="E38989" i="5"/>
  <c r="E38981" i="5"/>
  <c r="E38973" i="5"/>
  <c r="E38965" i="5"/>
  <c r="E38957" i="5"/>
  <c r="E38949" i="5"/>
  <c r="E38941" i="5"/>
  <c r="E38933" i="5"/>
  <c r="E38925" i="5"/>
  <c r="E38917" i="5"/>
  <c r="E38909" i="5"/>
  <c r="E38901" i="5"/>
  <c r="E38893" i="5"/>
  <c r="E38885" i="5"/>
  <c r="E38877" i="5"/>
  <c r="E38869" i="5"/>
  <c r="E38861" i="5"/>
  <c r="E38853" i="5"/>
  <c r="E38845" i="5"/>
  <c r="E38837" i="5"/>
  <c r="E38829" i="5"/>
  <c r="E38821" i="5"/>
  <c r="E38813" i="5"/>
  <c r="E38805" i="5"/>
  <c r="E38797" i="5"/>
  <c r="E38789" i="5"/>
  <c r="E38781" i="5"/>
  <c r="E38773" i="5"/>
  <c r="E38765" i="5"/>
  <c r="E38757" i="5"/>
  <c r="E38749" i="5"/>
  <c r="E38741" i="5"/>
  <c r="E38733" i="5"/>
  <c r="E38725" i="5"/>
  <c r="E38717" i="5"/>
  <c r="E38709" i="5"/>
  <c r="E38701" i="5"/>
  <c r="E38693" i="5"/>
  <c r="E38685" i="5"/>
  <c r="E38677" i="5"/>
  <c r="E38669" i="5"/>
  <c r="E38661" i="5"/>
  <c r="E38653" i="5"/>
  <c r="E38645" i="5"/>
  <c r="E38637" i="5"/>
  <c r="E38629" i="5"/>
  <c r="E38621" i="5"/>
  <c r="E38613" i="5"/>
  <c r="E38605" i="5"/>
  <c r="E38597" i="5"/>
  <c r="E38589" i="5"/>
  <c r="E38581" i="5"/>
  <c r="E38573" i="5"/>
  <c r="E38565" i="5"/>
  <c r="E38557" i="5"/>
  <c r="E38549" i="5"/>
  <c r="E38541" i="5"/>
  <c r="E38533" i="5"/>
  <c r="E38525" i="5"/>
  <c r="E38517" i="5"/>
  <c r="E38509" i="5"/>
  <c r="E38501" i="5"/>
  <c r="E38493" i="5"/>
  <c r="E38485" i="5"/>
  <c r="E38477" i="5"/>
  <c r="E38469" i="5"/>
  <c r="E38461" i="5"/>
  <c r="E38453" i="5"/>
  <c r="E38445" i="5"/>
  <c r="E38437" i="5"/>
  <c r="E38429" i="5"/>
  <c r="E38421" i="5"/>
  <c r="E38413" i="5"/>
  <c r="E38405" i="5"/>
  <c r="E38397" i="5"/>
  <c r="E38389" i="5"/>
  <c r="E38381" i="5"/>
  <c r="E38373" i="5"/>
  <c r="E38365" i="5"/>
  <c r="E38357" i="5"/>
  <c r="E38349" i="5"/>
  <c r="E38341" i="5"/>
  <c r="E38333" i="5"/>
  <c r="E38325" i="5"/>
  <c r="E38317" i="5"/>
  <c r="E38309" i="5"/>
  <c r="E38301" i="5"/>
  <c r="E38293" i="5"/>
  <c r="E38285" i="5"/>
  <c r="E38277" i="5"/>
  <c r="E38269" i="5"/>
  <c r="E38261" i="5"/>
  <c r="E38253" i="5"/>
  <c r="E38245" i="5"/>
  <c r="E38237" i="5"/>
  <c r="E38229" i="5"/>
  <c r="E38221" i="5"/>
  <c r="E38213" i="5"/>
  <c r="E38205" i="5"/>
  <c r="E38197" i="5"/>
  <c r="E38189" i="5"/>
  <c r="E38181" i="5"/>
  <c r="E38173" i="5"/>
  <c r="E38165" i="5"/>
  <c r="E38157" i="5"/>
  <c r="E38149" i="5"/>
  <c r="E38141" i="5"/>
  <c r="E38133" i="5"/>
  <c r="E38125" i="5"/>
  <c r="E38117" i="5"/>
  <c r="E38109" i="5"/>
  <c r="E38101" i="5"/>
  <c r="E38093" i="5"/>
  <c r="E38085" i="5"/>
  <c r="E38077" i="5"/>
  <c r="E38069" i="5"/>
  <c r="E38061" i="5"/>
  <c r="E38053" i="5"/>
  <c r="E38045" i="5"/>
  <c r="E38037" i="5"/>
  <c r="E38029" i="5"/>
  <c r="E38021" i="5"/>
  <c r="E38013" i="5"/>
  <c r="E38005" i="5"/>
  <c r="E37997" i="5"/>
  <c r="E37989" i="5"/>
  <c r="E37981" i="5"/>
  <c r="E37973" i="5"/>
  <c r="E37965" i="5"/>
  <c r="E37957" i="5"/>
  <c r="E37949" i="5"/>
  <c r="E37941" i="5"/>
  <c r="E37933" i="5"/>
  <c r="E37925" i="5"/>
  <c r="E37917" i="5"/>
  <c r="E37909" i="5"/>
  <c r="E37901" i="5"/>
  <c r="E37893" i="5"/>
  <c r="E37885" i="5"/>
  <c r="E37877" i="5"/>
  <c r="E37869" i="5"/>
  <c r="E37861" i="5"/>
  <c r="E37853" i="5"/>
  <c r="E37845" i="5"/>
  <c r="E37837" i="5"/>
  <c r="E37829" i="5"/>
  <c r="E37821" i="5"/>
  <c r="E37813" i="5"/>
  <c r="E37805" i="5"/>
  <c r="E37797" i="5"/>
  <c r="E37789" i="5"/>
  <c r="E37781" i="5"/>
  <c r="E37773" i="5"/>
  <c r="E37765" i="5"/>
  <c r="E37757" i="5"/>
  <c r="E37749" i="5"/>
  <c r="E37741" i="5"/>
  <c r="E37733" i="5"/>
  <c r="E37725" i="5"/>
  <c r="E37717" i="5"/>
  <c r="E37709" i="5"/>
  <c r="E37701" i="5"/>
  <c r="E37693" i="5"/>
  <c r="E37685" i="5"/>
  <c r="E37677" i="5"/>
  <c r="E37669" i="5"/>
  <c r="E37661" i="5"/>
  <c r="E37653" i="5"/>
  <c r="E37645" i="5"/>
  <c r="E37637" i="5"/>
  <c r="E37629" i="5"/>
  <c r="E37621" i="5"/>
  <c r="E37613" i="5"/>
  <c r="E37605" i="5"/>
  <c r="E37597" i="5"/>
  <c r="E37589" i="5"/>
  <c r="E37581" i="5"/>
  <c r="E37573" i="5"/>
  <c r="E37565" i="5"/>
  <c r="E37557" i="5"/>
  <c r="E37549" i="5"/>
  <c r="E37541" i="5"/>
  <c r="E37533" i="5"/>
  <c r="E37525" i="5"/>
  <c r="E37517" i="5"/>
  <c r="E37509" i="5"/>
  <c r="E37501" i="5"/>
  <c r="E37493" i="5"/>
  <c r="E37485" i="5"/>
  <c r="E37477" i="5"/>
  <c r="E37469" i="5"/>
  <c r="E37461" i="5"/>
  <c r="E37453" i="5"/>
  <c r="E37445" i="5"/>
  <c r="E37437" i="5"/>
  <c r="E37429" i="5"/>
  <c r="E37421" i="5"/>
  <c r="E37413" i="5"/>
  <c r="E37405" i="5"/>
  <c r="E37397" i="5"/>
  <c r="E37389" i="5"/>
  <c r="E37381" i="5"/>
  <c r="E37373" i="5"/>
  <c r="E37365" i="5"/>
  <c r="E37357" i="5"/>
  <c r="E37349" i="5"/>
  <c r="E37341" i="5"/>
  <c r="E37333" i="5"/>
  <c r="E37325" i="5"/>
  <c r="E37317" i="5"/>
  <c r="E37309" i="5"/>
  <c r="E37301" i="5"/>
  <c r="E37293" i="5"/>
  <c r="E37285" i="5"/>
  <c r="E37277" i="5"/>
  <c r="E37269" i="5"/>
  <c r="E37261" i="5"/>
  <c r="E37253" i="5"/>
  <c r="E37245" i="5"/>
  <c r="E37237" i="5"/>
  <c r="E37229" i="5"/>
  <c r="E37221" i="5"/>
  <c r="E37213" i="5"/>
  <c r="E37205" i="5"/>
  <c r="E37197" i="5"/>
  <c r="E37189" i="5"/>
  <c r="E37181" i="5"/>
  <c r="E37173" i="5"/>
  <c r="E37165" i="5"/>
  <c r="E37157" i="5"/>
  <c r="E37149" i="5"/>
  <c r="E37141" i="5"/>
  <c r="E37133" i="5"/>
  <c r="E37125" i="5"/>
  <c r="E37117" i="5"/>
  <c r="E37109" i="5"/>
  <c r="E37101" i="5"/>
  <c r="E37093" i="5"/>
  <c r="E37085" i="5"/>
  <c r="E37077" i="5"/>
  <c r="E37069" i="5"/>
  <c r="E37061" i="5"/>
  <c r="E37053" i="5"/>
  <c r="E37045" i="5"/>
  <c r="E37037" i="5"/>
  <c r="E37029" i="5"/>
  <c r="E37021" i="5"/>
  <c r="E37013" i="5"/>
  <c r="E37005" i="5"/>
  <c r="E36997" i="5"/>
  <c r="E36989" i="5"/>
  <c r="E36981" i="5"/>
  <c r="E36973" i="5"/>
  <c r="E36965" i="5"/>
  <c r="E36957" i="5"/>
  <c r="E36949" i="5"/>
  <c r="E36941" i="5"/>
  <c r="E36933" i="5"/>
  <c r="E36925" i="5"/>
  <c r="E36917" i="5"/>
  <c r="E36909" i="5"/>
  <c r="E36901" i="5"/>
  <c r="E36893" i="5"/>
  <c r="E36885" i="5"/>
  <c r="E36877" i="5"/>
  <c r="E36869" i="5"/>
  <c r="E36861" i="5"/>
  <c r="E36853" i="5"/>
  <c r="E36845" i="5"/>
  <c r="E36837" i="5"/>
  <c r="E36829" i="5"/>
  <c r="E36821" i="5"/>
  <c r="E36813" i="5"/>
  <c r="E36805" i="5"/>
  <c r="E36797" i="5"/>
  <c r="E36789" i="5"/>
  <c r="E36781" i="5"/>
  <c r="E36773" i="5"/>
  <c r="E36765" i="5"/>
  <c r="E36757" i="5"/>
  <c r="E36749" i="5"/>
  <c r="E36741" i="5"/>
  <c r="E36733" i="5"/>
  <c r="E36725" i="5"/>
  <c r="E36717" i="5"/>
  <c r="E36709" i="5"/>
  <c r="E36701" i="5"/>
  <c r="E36693" i="5"/>
  <c r="E36685" i="5"/>
  <c r="E36677" i="5"/>
  <c r="E36669" i="5"/>
  <c r="E36661" i="5"/>
  <c r="E36653" i="5"/>
  <c r="E36645" i="5"/>
  <c r="E36637" i="5"/>
  <c r="E36629" i="5"/>
  <c r="E36621" i="5"/>
  <c r="E36613" i="5"/>
  <c r="E36605" i="5"/>
  <c r="E36597" i="5"/>
  <c r="E36589" i="5"/>
  <c r="E36581" i="5"/>
  <c r="E36573" i="5"/>
  <c r="E36565" i="5"/>
  <c r="E36557" i="5"/>
  <c r="E36549" i="5"/>
  <c r="E36541" i="5"/>
  <c r="E36533" i="5"/>
  <c r="E36525" i="5"/>
  <c r="E36517" i="5"/>
  <c r="E36509" i="5"/>
  <c r="E36501" i="5"/>
  <c r="E36493" i="5"/>
  <c r="E36485" i="5"/>
  <c r="E36477" i="5"/>
  <c r="E36469" i="5"/>
  <c r="E36461" i="5"/>
  <c r="E36453" i="5"/>
  <c r="E36445" i="5"/>
  <c r="E36437" i="5"/>
  <c r="E36429" i="5"/>
  <c r="E36421" i="5"/>
  <c r="E36413" i="5"/>
  <c r="E36405" i="5"/>
  <c r="E36397" i="5"/>
  <c r="E36389" i="5"/>
  <c r="E36381" i="5"/>
  <c r="E36373" i="5"/>
  <c r="E36365" i="5"/>
  <c r="E36357" i="5"/>
  <c r="E36349" i="5"/>
  <c r="E36341" i="5"/>
  <c r="E36333" i="5"/>
  <c r="E36325" i="5"/>
  <c r="E36317" i="5"/>
  <c r="E36309" i="5"/>
  <c r="E36301" i="5"/>
  <c r="E36293" i="5"/>
  <c r="E36285" i="5"/>
  <c r="E36277" i="5"/>
  <c r="E36269" i="5"/>
  <c r="E36261" i="5"/>
  <c r="E36253" i="5"/>
  <c r="E36245" i="5"/>
  <c r="E36237" i="5"/>
  <c r="E36229" i="5"/>
  <c r="E36221" i="5"/>
  <c r="E36213" i="5"/>
  <c r="E36205" i="5"/>
  <c r="E36197" i="5"/>
  <c r="E36189" i="5"/>
  <c r="E36181" i="5"/>
  <c r="E36173" i="5"/>
  <c r="E36165" i="5"/>
  <c r="E36157" i="5"/>
  <c r="E36149" i="5"/>
  <c r="E36141" i="5"/>
  <c r="E36133" i="5"/>
  <c r="E36125" i="5"/>
  <c r="E36117" i="5"/>
  <c r="E36109" i="5"/>
  <c r="E36101" i="5"/>
  <c r="E36093" i="5"/>
  <c r="E36085" i="5"/>
  <c r="E36077" i="5"/>
  <c r="E36069" i="5"/>
  <c r="E36061" i="5"/>
  <c r="E36053" i="5"/>
  <c r="E36045" i="5"/>
  <c r="E36037" i="5"/>
  <c r="E36029" i="5"/>
  <c r="E36021" i="5"/>
  <c r="E36013" i="5"/>
  <c r="E36005" i="5"/>
  <c r="E35997" i="5"/>
  <c r="E35989" i="5"/>
  <c r="E35981" i="5"/>
  <c r="E35973" i="5"/>
  <c r="E35965" i="5"/>
  <c r="E35957" i="5"/>
  <c r="E35949" i="5"/>
  <c r="E35941" i="5"/>
  <c r="E35933" i="5"/>
  <c r="E35925" i="5"/>
  <c r="E35917" i="5"/>
  <c r="E35909" i="5"/>
  <c r="E35901" i="5"/>
  <c r="E35893" i="5"/>
  <c r="E35885" i="5"/>
  <c r="E35877" i="5"/>
  <c r="E35869" i="5"/>
  <c r="E35861" i="5"/>
  <c r="E35853" i="5"/>
  <c r="E35845" i="5"/>
  <c r="E35837" i="5"/>
  <c r="E35829" i="5"/>
  <c r="E35821" i="5"/>
  <c r="E35813" i="5"/>
  <c r="E35805" i="5"/>
  <c r="E35797" i="5"/>
  <c r="E35789" i="5"/>
  <c r="E35781" i="5"/>
  <c r="E35773" i="5"/>
  <c r="E35765" i="5"/>
  <c r="E35757" i="5"/>
  <c r="E35749" i="5"/>
  <c r="E35741" i="5"/>
  <c r="E35733" i="5"/>
  <c r="E35725" i="5"/>
  <c r="E35717" i="5"/>
  <c r="E35709" i="5"/>
  <c r="E35701" i="5"/>
  <c r="E35693" i="5"/>
  <c r="E35685" i="5"/>
  <c r="E35677" i="5"/>
  <c r="E35669" i="5"/>
  <c r="E35661" i="5"/>
  <c r="E35653" i="5"/>
  <c r="E35645" i="5"/>
  <c r="E35637" i="5"/>
  <c r="E35629" i="5"/>
  <c r="E35621" i="5"/>
  <c r="E35613" i="5"/>
  <c r="E35605" i="5"/>
  <c r="E35597" i="5"/>
  <c r="E35589" i="5"/>
  <c r="E35581" i="5"/>
  <c r="E35573" i="5"/>
  <c r="E35565" i="5"/>
  <c r="E35557" i="5"/>
  <c r="E35549" i="5"/>
  <c r="E35541" i="5"/>
  <c r="E35533" i="5"/>
  <c r="E35525" i="5"/>
  <c r="E35517" i="5"/>
  <c r="E35509" i="5"/>
  <c r="E35501" i="5"/>
  <c r="E35493" i="5"/>
  <c r="E35485" i="5"/>
  <c r="E35477" i="5"/>
  <c r="E35469" i="5"/>
  <c r="E35461" i="5"/>
  <c r="E35453" i="5"/>
  <c r="E35445" i="5"/>
  <c r="E35437" i="5"/>
  <c r="E35429" i="5"/>
  <c r="E35421" i="5"/>
  <c r="E35413" i="5"/>
  <c r="E35405" i="5"/>
  <c r="E35397" i="5"/>
  <c r="E35389" i="5"/>
  <c r="E35381" i="5"/>
  <c r="E35373" i="5"/>
  <c r="E35365" i="5"/>
  <c r="E35357" i="5"/>
  <c r="E35349" i="5"/>
  <c r="E35341" i="5"/>
  <c r="E35333" i="5"/>
  <c r="E35325" i="5"/>
  <c r="E35317" i="5"/>
  <c r="E35309" i="5"/>
  <c r="E35301" i="5"/>
  <c r="E35293" i="5"/>
  <c r="E35285" i="5"/>
  <c r="E35277" i="5"/>
  <c r="E35269" i="5"/>
  <c r="E35261" i="5"/>
  <c r="E35253" i="5"/>
  <c r="E35245" i="5"/>
  <c r="E35237" i="5"/>
  <c r="E35229" i="5"/>
  <c r="E35221" i="5"/>
  <c r="E35213" i="5"/>
  <c r="E35205" i="5"/>
  <c r="E35197" i="5"/>
  <c r="E35189" i="5"/>
  <c r="E35181" i="5"/>
  <c r="E35173" i="5"/>
  <c r="E35165" i="5"/>
  <c r="E35157" i="5"/>
  <c r="E35149" i="5"/>
  <c r="E35141" i="5"/>
  <c r="E35133" i="5"/>
  <c r="E35125" i="5"/>
  <c r="E35117" i="5"/>
  <c r="E35109" i="5"/>
  <c r="E35101" i="5"/>
  <c r="E35093" i="5"/>
  <c r="E35085" i="5"/>
  <c r="E35077" i="5"/>
  <c r="E35069" i="5"/>
  <c r="E35061" i="5"/>
  <c r="E35053" i="5"/>
  <c r="E35045" i="5"/>
  <c r="E35037" i="5"/>
  <c r="E35029" i="5"/>
  <c r="E35021" i="5"/>
  <c r="E35013" i="5"/>
  <c r="E35005" i="5"/>
  <c r="E34997" i="5"/>
  <c r="E34989" i="5"/>
  <c r="E34981" i="5"/>
  <c r="E34973" i="5"/>
  <c r="E34965" i="5"/>
  <c r="E34957" i="5"/>
  <c r="E34949" i="5"/>
  <c r="E34941" i="5"/>
  <c r="E34933" i="5"/>
  <c r="E34925" i="5"/>
  <c r="E34917" i="5"/>
  <c r="E34909" i="5"/>
  <c r="E34901" i="5"/>
  <c r="E34893" i="5"/>
  <c r="E34885" i="5"/>
  <c r="E34877" i="5"/>
  <c r="E34869" i="5"/>
  <c r="E34861" i="5"/>
  <c r="E34853" i="5"/>
  <c r="E34845" i="5"/>
  <c r="E34837" i="5"/>
  <c r="E34829" i="5"/>
  <c r="E34821" i="5"/>
  <c r="E34813" i="5"/>
  <c r="E34805" i="5"/>
  <c r="E34797" i="5"/>
  <c r="E34789" i="5"/>
  <c r="E34781" i="5"/>
  <c r="E34773" i="5"/>
  <c r="E34765" i="5"/>
  <c r="E34757" i="5"/>
  <c r="E34749" i="5"/>
  <c r="E34741" i="5"/>
  <c r="E34733" i="5"/>
  <c r="E34725" i="5"/>
  <c r="E34717" i="5"/>
  <c r="E34709" i="5"/>
  <c r="E34701" i="5"/>
  <c r="E34693" i="5"/>
  <c r="E34685" i="5"/>
  <c r="E34677" i="5"/>
  <c r="E34669" i="5"/>
  <c r="E34661" i="5"/>
  <c r="E34653" i="5"/>
  <c r="E34645" i="5"/>
  <c r="E34637" i="5"/>
  <c r="E34629" i="5"/>
  <c r="E34621" i="5"/>
  <c r="E34613" i="5"/>
  <c r="E34605" i="5"/>
  <c r="E34597" i="5"/>
  <c r="E34589" i="5"/>
  <c r="E34581" i="5"/>
  <c r="E34573" i="5"/>
  <c r="E34565" i="5"/>
  <c r="E34557" i="5"/>
  <c r="E34549" i="5"/>
  <c r="E34541" i="5"/>
  <c r="E34533" i="5"/>
  <c r="E34525" i="5"/>
  <c r="E34517" i="5"/>
  <c r="E34509" i="5"/>
  <c r="E34501" i="5"/>
  <c r="E34493" i="5"/>
  <c r="E34485" i="5"/>
  <c r="E34477" i="5"/>
  <c r="E34469" i="5"/>
  <c r="E34461" i="5"/>
  <c r="E34453" i="5"/>
  <c r="E34445" i="5"/>
  <c r="E34437" i="5"/>
  <c r="E34429" i="5"/>
  <c r="E34421" i="5"/>
  <c r="E34413" i="5"/>
  <c r="E34405" i="5"/>
  <c r="E34397" i="5"/>
  <c r="E34389" i="5"/>
  <c r="E34381" i="5"/>
  <c r="E34373" i="5"/>
  <c r="E34365" i="5"/>
  <c r="E34357" i="5"/>
  <c r="E34349" i="5"/>
  <c r="E34341" i="5"/>
  <c r="E34333" i="5"/>
  <c r="E34325" i="5"/>
  <c r="E34317" i="5"/>
  <c r="E34309" i="5"/>
  <c r="E34301" i="5"/>
  <c r="E34293" i="5"/>
  <c r="E34285" i="5"/>
  <c r="E34277" i="5"/>
  <c r="E34269" i="5"/>
  <c r="E34261" i="5"/>
  <c r="E34253" i="5"/>
  <c r="E34245" i="5"/>
  <c r="E34237" i="5"/>
  <c r="E34229" i="5"/>
  <c r="E34221" i="5"/>
  <c r="E34213" i="5"/>
  <c r="E34205" i="5"/>
  <c r="E34197" i="5"/>
  <c r="E34189" i="5"/>
  <c r="E34181" i="5"/>
  <c r="E34173" i="5"/>
  <c r="E34165" i="5"/>
  <c r="E34157" i="5"/>
  <c r="E34149" i="5"/>
  <c r="E34141" i="5"/>
  <c r="E34133" i="5"/>
  <c r="E34125" i="5"/>
  <c r="E34117" i="5"/>
  <c r="E34109" i="5"/>
  <c r="E34101" i="5"/>
  <c r="E34093" i="5"/>
  <c r="E34085" i="5"/>
  <c r="E34077" i="5"/>
  <c r="E34069" i="5"/>
  <c r="E34061" i="5"/>
  <c r="E34053" i="5"/>
  <c r="E34045" i="5"/>
  <c r="E34037" i="5"/>
  <c r="E34029" i="5"/>
  <c r="E34021" i="5"/>
  <c r="E34013" i="5"/>
  <c r="E34005" i="5"/>
  <c r="E33997" i="5"/>
  <c r="E33989" i="5"/>
  <c r="E33981" i="5"/>
  <c r="E33973" i="5"/>
  <c r="E33965" i="5"/>
  <c r="E33957" i="5"/>
  <c r="E33949" i="5"/>
  <c r="E33941" i="5"/>
  <c r="E33933" i="5"/>
  <c r="E33925" i="5"/>
  <c r="E33917" i="5"/>
  <c r="E33909" i="5"/>
  <c r="E33901" i="5"/>
  <c r="E33893" i="5"/>
  <c r="E33885" i="5"/>
  <c r="E33877" i="5"/>
  <c r="E33869" i="5"/>
  <c r="E33861" i="5"/>
  <c r="E33853" i="5"/>
  <c r="E33845" i="5"/>
  <c r="E33837" i="5"/>
  <c r="E33829" i="5"/>
  <c r="E33821" i="5"/>
  <c r="E33813" i="5"/>
  <c r="E33805" i="5"/>
  <c r="E33797" i="5"/>
  <c r="E33789" i="5"/>
  <c r="E33781" i="5"/>
  <c r="E33773" i="5"/>
  <c r="E33765" i="5"/>
  <c r="E33757" i="5"/>
  <c r="E33749" i="5"/>
  <c r="E33741" i="5"/>
  <c r="E33733" i="5"/>
  <c r="E33725" i="5"/>
  <c r="E33717" i="5"/>
  <c r="E33709" i="5"/>
  <c r="E33701" i="5"/>
  <c r="E33693" i="5"/>
  <c r="E33685" i="5"/>
  <c r="E33677" i="5"/>
  <c r="E33669" i="5"/>
  <c r="E33661" i="5"/>
  <c r="E33653" i="5"/>
  <c r="E33645" i="5"/>
  <c r="E33637" i="5"/>
  <c r="E33629" i="5"/>
  <c r="E33621" i="5"/>
  <c r="E33613" i="5"/>
  <c r="E33605" i="5"/>
  <c r="E33597" i="5"/>
  <c r="E33589" i="5"/>
  <c r="E33581" i="5"/>
  <c r="E33573" i="5"/>
  <c r="E33565" i="5"/>
  <c r="E33557" i="5"/>
  <c r="E33549" i="5"/>
  <c r="E33541" i="5"/>
  <c r="E33533" i="5"/>
  <c r="E33525" i="5"/>
  <c r="E33517" i="5"/>
  <c r="E33509" i="5"/>
  <c r="E33501" i="5"/>
  <c r="E33493" i="5"/>
  <c r="E33485" i="5"/>
  <c r="E33477" i="5"/>
  <c r="E33469" i="5"/>
  <c r="E33461" i="5"/>
  <c r="E33453" i="5"/>
  <c r="E33445" i="5"/>
  <c r="E33437" i="5"/>
  <c r="E33429" i="5"/>
  <c r="E33421" i="5"/>
  <c r="E33413" i="5"/>
  <c r="E33405" i="5"/>
  <c r="E33397" i="5"/>
  <c r="E33389" i="5"/>
  <c r="E33381" i="5"/>
  <c r="E33373" i="5"/>
  <c r="E33365" i="5"/>
  <c r="E33357" i="5"/>
  <c r="E33349" i="5"/>
  <c r="E33341" i="5"/>
  <c r="E33333" i="5"/>
  <c r="E33325" i="5"/>
  <c r="E33317" i="5"/>
  <c r="E33309" i="5"/>
  <c r="E33301" i="5"/>
  <c r="E33293" i="5"/>
  <c r="E33285" i="5"/>
  <c r="E33277" i="5"/>
  <c r="E33269" i="5"/>
  <c r="E33261" i="5"/>
  <c r="E33253" i="5"/>
  <c r="E33245" i="5"/>
  <c r="E33237" i="5"/>
  <c r="E33229" i="5"/>
  <c r="E33221" i="5"/>
  <c r="E33213" i="5"/>
  <c r="E33205" i="5"/>
  <c r="E33197" i="5"/>
  <c r="E33189" i="5"/>
  <c r="E33181" i="5"/>
  <c r="E33173" i="5"/>
  <c r="E33165" i="5"/>
  <c r="E33157" i="5"/>
  <c r="E33149" i="5"/>
  <c r="E33141" i="5"/>
  <c r="E33133" i="5"/>
  <c r="E33125" i="5"/>
  <c r="E33117" i="5"/>
  <c r="E33109" i="5"/>
  <c r="E33101" i="5"/>
  <c r="E33093" i="5"/>
  <c r="E33085" i="5"/>
  <c r="E33077" i="5"/>
  <c r="E33069" i="5"/>
  <c r="E33061" i="5"/>
  <c r="E33053" i="5"/>
  <c r="E33045" i="5"/>
  <c r="E33037" i="5"/>
  <c r="E33029" i="5"/>
  <c r="E33021" i="5"/>
  <c r="E33013" i="5"/>
  <c r="E33005" i="5"/>
  <c r="E32997" i="5"/>
  <c r="E32989" i="5"/>
  <c r="E32981" i="5"/>
  <c r="E32973" i="5"/>
  <c r="E32965" i="5"/>
  <c r="E32957" i="5"/>
  <c r="E32949" i="5"/>
  <c r="E32941" i="5"/>
  <c r="E32933" i="5"/>
  <c r="E32925" i="5"/>
  <c r="E32917" i="5"/>
  <c r="E32909" i="5"/>
  <c r="E32901" i="5"/>
  <c r="E32893" i="5"/>
  <c r="E32885" i="5"/>
  <c r="E32877" i="5"/>
  <c r="E32869" i="5"/>
  <c r="E32861" i="5"/>
  <c r="E32853" i="5"/>
  <c r="E32845" i="5"/>
  <c r="E32837" i="5"/>
  <c r="E32829" i="5"/>
  <c r="E32821" i="5"/>
  <c r="E32813" i="5"/>
  <c r="E32805" i="5"/>
  <c r="E32797" i="5"/>
  <c r="E32789" i="5"/>
  <c r="E32781" i="5"/>
  <c r="E32773" i="5"/>
  <c r="E32765" i="5"/>
  <c r="E32757" i="5"/>
  <c r="E32749" i="5"/>
  <c r="E32741" i="5"/>
  <c r="E32733" i="5"/>
  <c r="E32725" i="5"/>
  <c r="E32717" i="5"/>
  <c r="E32709" i="5"/>
  <c r="E32701" i="5"/>
  <c r="E32693" i="5"/>
  <c r="E32685" i="5"/>
  <c r="E32677" i="5"/>
  <c r="E32669" i="5"/>
  <c r="E32661" i="5"/>
  <c r="E32653" i="5"/>
  <c r="E32645" i="5"/>
  <c r="E32637" i="5"/>
  <c r="E32629" i="5"/>
  <c r="E32621" i="5"/>
  <c r="E32613" i="5"/>
  <c r="E32605" i="5"/>
  <c r="E32597" i="5"/>
  <c r="E32589" i="5"/>
  <c r="E32581" i="5"/>
  <c r="E32573" i="5"/>
  <c r="E32565" i="5"/>
  <c r="E32557" i="5"/>
  <c r="E32549" i="5"/>
  <c r="E32541" i="5"/>
  <c r="E32533" i="5"/>
  <c r="E32525" i="5"/>
  <c r="E32517" i="5"/>
  <c r="E32509" i="5"/>
  <c r="E32501" i="5"/>
  <c r="E32493" i="5"/>
  <c r="E32485" i="5"/>
  <c r="E32477" i="5"/>
  <c r="E32469" i="5"/>
  <c r="E32461" i="5"/>
  <c r="E32453" i="5"/>
  <c r="E32445" i="5"/>
  <c r="E32437" i="5"/>
  <c r="E32429" i="5"/>
  <c r="E32421" i="5"/>
  <c r="E32413" i="5"/>
  <c r="E32405" i="5"/>
  <c r="E32397" i="5"/>
  <c r="E32389" i="5"/>
  <c r="E32381" i="5"/>
  <c r="E32373" i="5"/>
  <c r="E32365" i="5"/>
  <c r="E32357" i="5"/>
  <c r="E32349" i="5"/>
  <c r="E32341" i="5"/>
  <c r="E32333" i="5"/>
  <c r="E32325" i="5"/>
  <c r="E32317" i="5"/>
  <c r="E32309" i="5"/>
  <c r="E32301" i="5"/>
  <c r="E32293" i="5"/>
  <c r="E32285" i="5"/>
  <c r="E32277" i="5"/>
  <c r="E32269" i="5"/>
  <c r="E32261" i="5"/>
  <c r="E32253" i="5"/>
  <c r="E32245" i="5"/>
  <c r="E32237" i="5"/>
  <c r="E32229" i="5"/>
  <c r="E32221" i="5"/>
  <c r="E32213" i="5"/>
  <c r="E32205" i="5"/>
  <c r="E32197" i="5"/>
  <c r="E32189" i="5"/>
  <c r="E32181" i="5"/>
  <c r="E32173" i="5"/>
  <c r="E32165" i="5"/>
  <c r="E32157" i="5"/>
  <c r="E32149" i="5"/>
  <c r="E32141" i="5"/>
  <c r="E32133" i="5"/>
  <c r="E32125" i="5"/>
  <c r="E32117" i="5"/>
  <c r="E32109" i="5"/>
  <c r="E32101" i="5"/>
  <c r="E32093" i="5"/>
  <c r="E32085" i="5"/>
  <c r="E32077" i="5"/>
  <c r="E32069" i="5"/>
  <c r="E32061" i="5"/>
  <c r="E32053" i="5"/>
  <c r="E32045" i="5"/>
  <c r="E32037" i="5"/>
  <c r="E32029" i="5"/>
  <c r="E32021" i="5"/>
  <c r="E32013" i="5"/>
  <c r="E32005" i="5"/>
  <c r="E31997" i="5"/>
  <c r="E31989" i="5"/>
  <c r="E31981" i="5"/>
  <c r="E31973" i="5"/>
  <c r="E31965" i="5"/>
  <c r="E31957" i="5"/>
  <c r="E31949" i="5"/>
  <c r="E31941" i="5"/>
  <c r="E31933" i="5"/>
  <c r="E31925" i="5"/>
  <c r="E31917" i="5"/>
  <c r="E31909" i="5"/>
  <c r="E31901" i="5"/>
  <c r="E31893" i="5"/>
  <c r="E31885" i="5"/>
  <c r="E31877" i="5"/>
  <c r="E31869" i="5"/>
  <c r="E31861" i="5"/>
  <c r="E31853" i="5"/>
  <c r="E31845" i="5"/>
  <c r="E31837" i="5"/>
  <c r="E31829" i="5"/>
  <c r="E31821" i="5"/>
  <c r="E31813" i="5"/>
  <c r="E31805" i="5"/>
  <c r="E31797" i="5"/>
  <c r="E31789" i="5"/>
  <c r="E31781" i="5"/>
  <c r="E31773" i="5"/>
  <c r="E31765" i="5"/>
  <c r="E31757" i="5"/>
  <c r="E31749" i="5"/>
  <c r="E31741" i="5"/>
  <c r="E31733" i="5"/>
  <c r="E31725" i="5"/>
  <c r="E31717" i="5"/>
  <c r="E31709" i="5"/>
  <c r="E31701" i="5"/>
  <c r="E31693" i="5"/>
  <c r="E31685" i="5"/>
  <c r="E31677" i="5"/>
  <c r="E31669" i="5"/>
  <c r="E31661" i="5"/>
  <c r="E31653" i="5"/>
  <c r="E31645" i="5"/>
  <c r="E31637" i="5"/>
  <c r="E31629" i="5"/>
  <c r="E31621" i="5"/>
  <c r="E31613" i="5"/>
  <c r="E31605" i="5"/>
  <c r="E31597" i="5"/>
  <c r="E31589" i="5"/>
  <c r="E31581" i="5"/>
  <c r="E31573" i="5"/>
  <c r="E31565" i="5"/>
  <c r="E31557" i="5"/>
  <c r="E31549" i="5"/>
  <c r="E31541" i="5"/>
  <c r="E31533" i="5"/>
  <c r="E31525" i="5"/>
  <c r="E31517" i="5"/>
  <c r="E31509" i="5"/>
  <c r="E31501" i="5"/>
  <c r="E31493" i="5"/>
  <c r="E31485" i="5"/>
  <c r="E31477" i="5"/>
  <c r="E31469" i="5"/>
  <c r="E31461" i="5"/>
  <c r="E31453" i="5"/>
  <c r="E31445" i="5"/>
  <c r="E31437" i="5"/>
  <c r="E31429" i="5"/>
  <c r="E31421" i="5"/>
  <c r="E31413" i="5"/>
  <c r="E31405" i="5"/>
  <c r="E31397" i="5"/>
  <c r="E31389" i="5"/>
  <c r="E31381" i="5"/>
  <c r="E31373" i="5"/>
  <c r="E31365" i="5"/>
  <c r="E31357" i="5"/>
  <c r="E31349" i="5"/>
  <c r="E31341" i="5"/>
  <c r="E31333" i="5"/>
  <c r="E31325" i="5"/>
  <c r="E31317" i="5"/>
  <c r="E31309" i="5"/>
  <c r="E31301" i="5"/>
  <c r="E31293" i="5"/>
  <c r="E31285" i="5"/>
  <c r="E31277" i="5"/>
  <c r="E31269" i="5"/>
  <c r="E31261" i="5"/>
  <c r="E31253" i="5"/>
  <c r="E31245" i="5"/>
  <c r="E31237" i="5"/>
  <c r="E31229" i="5"/>
  <c r="E31221" i="5"/>
  <c r="E31213" i="5"/>
  <c r="E31205" i="5"/>
  <c r="E31197" i="5"/>
  <c r="E31189" i="5"/>
  <c r="E31181" i="5"/>
  <c r="E31173" i="5"/>
  <c r="E31165" i="5"/>
  <c r="E31157" i="5"/>
  <c r="E31149" i="5"/>
  <c r="E31141" i="5"/>
  <c r="E31133" i="5"/>
  <c r="E31125" i="5"/>
  <c r="E31117" i="5"/>
  <c r="E31109" i="5"/>
  <c r="E31101" i="5"/>
  <c r="E31093" i="5"/>
  <c r="E31085" i="5"/>
  <c r="E31077" i="5"/>
  <c r="E31069" i="5"/>
  <c r="E31061" i="5"/>
  <c r="E31053" i="5"/>
  <c r="E31045" i="5"/>
  <c r="E31037" i="5"/>
  <c r="E31029" i="5"/>
  <c r="E31021" i="5"/>
  <c r="E31013" i="5"/>
  <c r="E31005" i="5"/>
  <c r="E30997" i="5"/>
  <c r="E30989" i="5"/>
  <c r="E30981" i="5"/>
  <c r="E30973" i="5"/>
  <c r="E30965" i="5"/>
  <c r="E30957" i="5"/>
  <c r="E30949" i="5"/>
  <c r="E30941" i="5"/>
  <c r="E30933" i="5"/>
  <c r="E30925" i="5"/>
  <c r="E30917" i="5"/>
  <c r="E30909" i="5"/>
  <c r="E30901" i="5"/>
  <c r="E30893" i="5"/>
  <c r="E30885" i="5"/>
  <c r="E30877" i="5"/>
  <c r="E30869" i="5"/>
  <c r="E30861" i="5"/>
  <c r="E30853" i="5"/>
  <c r="E30845" i="5"/>
  <c r="E30837" i="5"/>
  <c r="E30829" i="5"/>
  <c r="E30821" i="5"/>
  <c r="E30813" i="5"/>
  <c r="E30805" i="5"/>
  <c r="E30797" i="5"/>
  <c r="E30789" i="5"/>
  <c r="E30781" i="5"/>
  <c r="E30773" i="5"/>
  <c r="E30765" i="5"/>
  <c r="E30757" i="5"/>
  <c r="E30749" i="5"/>
  <c r="E30741" i="5"/>
  <c r="E30733" i="5"/>
  <c r="E30725" i="5"/>
  <c r="E30717" i="5"/>
  <c r="E30709" i="5"/>
  <c r="E30701" i="5"/>
  <c r="E30693" i="5"/>
  <c r="E30685" i="5"/>
  <c r="E30677" i="5"/>
  <c r="E30669" i="5"/>
  <c r="E30661" i="5"/>
  <c r="E30653" i="5"/>
  <c r="E30645" i="5"/>
  <c r="E30637" i="5"/>
  <c r="E30629" i="5"/>
  <c r="E30621" i="5"/>
  <c r="E30613" i="5"/>
  <c r="E30605" i="5"/>
  <c r="E30597" i="5"/>
  <c r="E30589" i="5"/>
  <c r="E30581" i="5"/>
  <c r="E30573" i="5"/>
  <c r="E30565" i="5"/>
  <c r="E30557" i="5"/>
  <c r="E30549" i="5"/>
  <c r="E30541" i="5"/>
  <c r="E30533" i="5"/>
  <c r="E30525" i="5"/>
  <c r="E30517" i="5"/>
  <c r="E30509" i="5"/>
  <c r="E30501" i="5"/>
  <c r="E30493" i="5"/>
  <c r="E30485" i="5"/>
  <c r="E30477" i="5"/>
  <c r="E30469" i="5"/>
  <c r="E30461" i="5"/>
  <c r="E30453" i="5"/>
  <c r="E30445" i="5"/>
  <c r="E30437" i="5"/>
  <c r="E30429" i="5"/>
  <c r="E30421" i="5"/>
  <c r="E30413" i="5"/>
  <c r="E30405" i="5"/>
  <c r="E30397" i="5"/>
  <c r="E30389" i="5"/>
  <c r="E30381" i="5"/>
  <c r="E30373" i="5"/>
  <c r="E30365" i="5"/>
  <c r="E30357" i="5"/>
  <c r="E30349" i="5"/>
  <c r="E30341" i="5"/>
  <c r="E30333" i="5"/>
  <c r="E30325" i="5"/>
  <c r="E30317" i="5"/>
  <c r="E30309" i="5"/>
  <c r="E30301" i="5"/>
  <c r="E30293" i="5"/>
  <c r="E30285" i="5"/>
  <c r="E30277" i="5"/>
  <c r="E30269" i="5"/>
  <c r="E30261" i="5"/>
  <c r="E30253" i="5"/>
  <c r="E30245" i="5"/>
  <c r="E30237" i="5"/>
  <c r="E30229" i="5"/>
  <c r="E30221" i="5"/>
  <c r="E30213" i="5"/>
  <c r="E30205" i="5"/>
  <c r="E30197" i="5"/>
  <c r="E30189" i="5"/>
  <c r="E30181" i="5"/>
  <c r="E30173" i="5"/>
  <c r="E30165" i="5"/>
  <c r="E30157" i="5"/>
  <c r="E30149" i="5"/>
  <c r="E30141" i="5"/>
  <c r="E30133" i="5"/>
  <c r="E30125" i="5"/>
  <c r="E30117" i="5"/>
  <c r="E30109" i="5"/>
  <c r="E30101" i="5"/>
  <c r="E30093" i="5"/>
  <c r="E30085" i="5"/>
  <c r="E30077" i="5"/>
  <c r="E30069" i="5"/>
  <c r="E30061" i="5"/>
  <c r="E30053" i="5"/>
  <c r="E30045" i="5"/>
  <c r="E30037" i="5"/>
  <c r="E30029" i="5"/>
  <c r="E30021" i="5"/>
  <c r="E30013" i="5"/>
  <c r="E30005" i="5"/>
  <c r="E29997" i="5"/>
  <c r="E29989" i="5"/>
  <c r="E29981" i="5"/>
  <c r="E29973" i="5"/>
  <c r="E29965" i="5"/>
  <c r="E29957" i="5"/>
  <c r="E29949" i="5"/>
  <c r="E29941" i="5"/>
  <c r="E29933" i="5"/>
  <c r="E29925" i="5"/>
  <c r="E29917" i="5"/>
  <c r="E29909" i="5"/>
  <c r="E29901" i="5"/>
  <c r="E29893" i="5"/>
  <c r="E29885" i="5"/>
  <c r="E29877" i="5"/>
  <c r="E29869" i="5"/>
  <c r="E29861" i="5"/>
  <c r="E29853" i="5"/>
  <c r="E29845" i="5"/>
  <c r="E29837" i="5"/>
  <c r="E29829" i="5"/>
  <c r="E29821" i="5"/>
  <c r="E29813" i="5"/>
  <c r="E29805" i="5"/>
  <c r="E29797" i="5"/>
  <c r="E29789" i="5"/>
  <c r="E29781" i="5"/>
  <c r="E29773" i="5"/>
  <c r="E29765" i="5"/>
  <c r="E29757" i="5"/>
  <c r="E29749" i="5"/>
  <c r="E29741" i="5"/>
  <c r="E29733" i="5"/>
  <c r="E29725" i="5"/>
  <c r="E29717" i="5"/>
  <c r="E29709" i="5"/>
  <c r="E29701" i="5"/>
  <c r="E29693" i="5"/>
  <c r="E29685" i="5"/>
  <c r="E29677" i="5"/>
  <c r="E29669" i="5"/>
  <c r="E29661" i="5"/>
  <c r="E29653" i="5"/>
  <c r="E29645" i="5"/>
  <c r="E29637" i="5"/>
  <c r="E29629" i="5"/>
  <c r="E29621" i="5"/>
  <c r="E29613" i="5"/>
  <c r="E29605" i="5"/>
  <c r="E29597" i="5"/>
  <c r="E29589" i="5"/>
  <c r="E29581" i="5"/>
  <c r="E29573" i="5"/>
  <c r="E29565" i="5"/>
  <c r="E29557" i="5"/>
  <c r="E29549" i="5"/>
  <c r="E29541" i="5"/>
  <c r="E29533" i="5"/>
  <c r="E29525" i="5"/>
  <c r="E29517" i="5"/>
  <c r="E29509" i="5"/>
  <c r="E29501" i="5"/>
  <c r="E29493" i="5"/>
  <c r="E29485" i="5"/>
  <c r="E29477" i="5"/>
  <c r="E29469" i="5"/>
  <c r="E29461" i="5"/>
  <c r="E29453" i="5"/>
  <c r="E29445" i="5"/>
  <c r="E29437" i="5"/>
  <c r="E29429" i="5"/>
  <c r="E29421" i="5"/>
  <c r="E29413" i="5"/>
  <c r="E29405" i="5"/>
  <c r="E29397" i="5"/>
  <c r="E29389" i="5"/>
  <c r="E29381" i="5"/>
  <c r="E29373" i="5"/>
  <c r="E29365" i="5"/>
  <c r="E29357" i="5"/>
  <c r="E29349" i="5"/>
  <c r="E29341" i="5"/>
  <c r="E29333" i="5"/>
  <c r="E29325" i="5"/>
  <c r="E29317" i="5"/>
  <c r="E29309" i="5"/>
  <c r="E29301" i="5"/>
  <c r="E29293" i="5"/>
  <c r="E29285" i="5"/>
  <c r="E29277" i="5"/>
  <c r="E29269" i="5"/>
  <c r="E29261" i="5"/>
  <c r="E29253" i="5"/>
  <c r="E29245" i="5"/>
  <c r="E29237" i="5"/>
  <c r="E29229" i="5"/>
  <c r="E29221" i="5"/>
  <c r="E29213" i="5"/>
  <c r="E29205" i="5"/>
  <c r="E29197" i="5"/>
  <c r="E29189" i="5"/>
  <c r="E29181" i="5"/>
  <c r="E29173" i="5"/>
  <c r="E29165" i="5"/>
  <c r="E29157" i="5"/>
  <c r="E29149" i="5"/>
  <c r="E29141" i="5"/>
  <c r="E29133" i="5"/>
  <c r="E29125" i="5"/>
  <c r="E29117" i="5"/>
  <c r="E29109" i="5"/>
  <c r="E29101" i="5"/>
  <c r="E29093" i="5"/>
  <c r="E29085" i="5"/>
  <c r="E29077" i="5"/>
  <c r="E29069" i="5"/>
  <c r="E29061" i="5"/>
  <c r="E29053" i="5"/>
  <c r="E29045" i="5"/>
  <c r="E29037" i="5"/>
  <c r="E29029" i="5"/>
  <c r="E29021" i="5"/>
  <c r="E29013" i="5"/>
  <c r="E29005" i="5"/>
  <c r="E28997" i="5"/>
  <c r="E28989" i="5"/>
  <c r="E28981" i="5"/>
  <c r="E28973" i="5"/>
  <c r="E28965" i="5"/>
  <c r="E28957" i="5"/>
  <c r="E28949" i="5"/>
  <c r="E28941" i="5"/>
  <c r="E28933" i="5"/>
  <c r="E28925" i="5"/>
  <c r="E28917" i="5"/>
  <c r="E28909" i="5"/>
  <c r="E28901" i="5"/>
  <c r="E28893" i="5"/>
  <c r="E28885" i="5"/>
  <c r="E28877" i="5"/>
  <c r="E28869" i="5"/>
  <c r="E28861" i="5"/>
  <c r="E28853" i="5"/>
  <c r="E28845" i="5"/>
  <c r="E28837" i="5"/>
  <c r="E28829" i="5"/>
  <c r="E28821" i="5"/>
  <c r="E28813" i="5"/>
  <c r="E28805" i="5"/>
  <c r="E28797" i="5"/>
  <c r="E28789" i="5"/>
  <c r="E28781" i="5"/>
  <c r="E28773" i="5"/>
  <c r="E28765" i="5"/>
  <c r="E28757" i="5"/>
  <c r="E28749" i="5"/>
  <c r="E28741" i="5"/>
  <c r="E28733" i="5"/>
  <c r="E28725" i="5"/>
  <c r="E28717" i="5"/>
  <c r="E28709" i="5"/>
  <c r="E28701" i="5"/>
  <c r="E28693" i="5"/>
  <c r="E28685" i="5"/>
  <c r="E28677" i="5"/>
  <c r="E28669" i="5"/>
  <c r="E28661" i="5"/>
  <c r="E28653" i="5"/>
  <c r="E28645" i="5"/>
  <c r="E28637" i="5"/>
  <c r="E28629" i="5"/>
  <c r="E28621" i="5"/>
  <c r="E28613" i="5"/>
  <c r="E28605" i="5"/>
  <c r="E28597" i="5"/>
  <c r="E28589" i="5"/>
  <c r="E28581" i="5"/>
  <c r="E28573" i="5"/>
  <c r="E28565" i="5"/>
  <c r="E28557" i="5"/>
  <c r="E28549" i="5"/>
  <c r="E28541" i="5"/>
  <c r="E28533" i="5"/>
  <c r="E28525" i="5"/>
  <c r="E28517" i="5"/>
  <c r="E28509" i="5"/>
  <c r="E28501" i="5"/>
  <c r="E28493" i="5"/>
  <c r="E28485" i="5"/>
  <c r="E28477" i="5"/>
  <c r="E28469" i="5"/>
  <c r="E28461" i="5"/>
  <c r="E28453" i="5"/>
  <c r="E28445" i="5"/>
  <c r="E28437" i="5"/>
  <c r="E28429" i="5"/>
  <c r="E28421" i="5"/>
  <c r="E28413" i="5"/>
  <c r="E28405" i="5"/>
  <c r="E28397" i="5"/>
  <c r="E28389" i="5"/>
  <c r="E28381" i="5"/>
  <c r="E28373" i="5"/>
  <c r="E28365" i="5"/>
  <c r="E28357" i="5"/>
  <c r="E28349" i="5"/>
  <c r="E28341" i="5"/>
  <c r="E28333" i="5"/>
  <c r="E28325" i="5"/>
  <c r="E28317" i="5"/>
  <c r="E28309" i="5"/>
  <c r="E28301" i="5"/>
  <c r="E28293" i="5"/>
  <c r="E28285" i="5"/>
  <c r="E28277" i="5"/>
  <c r="E28269" i="5"/>
  <c r="E28261" i="5"/>
  <c r="E28253" i="5"/>
  <c r="E28245" i="5"/>
  <c r="E28237" i="5"/>
  <c r="E28229" i="5"/>
  <c r="E28221" i="5"/>
  <c r="E28213" i="5"/>
  <c r="E28205" i="5"/>
  <c r="E28197" i="5"/>
  <c r="E28189" i="5"/>
  <c r="E28181" i="5"/>
  <c r="E28173" i="5"/>
  <c r="E28165" i="5"/>
  <c r="E28157" i="5"/>
  <c r="E28149" i="5"/>
  <c r="E28141" i="5"/>
  <c r="E28133" i="5"/>
  <c r="E28125" i="5"/>
  <c r="E28117" i="5"/>
  <c r="E28109" i="5"/>
  <c r="E28101" i="5"/>
  <c r="E28093" i="5"/>
  <c r="E28085" i="5"/>
  <c r="E28077" i="5"/>
  <c r="E28069" i="5"/>
  <c r="E28061" i="5"/>
  <c r="E28053" i="5"/>
  <c r="E28045" i="5"/>
  <c r="E28037" i="5"/>
  <c r="E28029" i="5"/>
  <c r="E28021" i="5"/>
  <c r="E28013" i="5"/>
  <c r="E28005" i="5"/>
  <c r="E27997" i="5"/>
  <c r="E27989" i="5"/>
  <c r="E27981" i="5"/>
  <c r="E27973" i="5"/>
  <c r="E27965" i="5"/>
  <c r="E27957" i="5"/>
  <c r="E27949" i="5"/>
  <c r="E27941" i="5"/>
  <c r="E27933" i="5"/>
  <c r="E27925" i="5"/>
  <c r="E27917" i="5"/>
  <c r="E27909" i="5"/>
  <c r="E27901" i="5"/>
  <c r="E27893" i="5"/>
  <c r="E27885" i="5"/>
  <c r="E27877" i="5"/>
  <c r="E27869" i="5"/>
  <c r="E27861" i="5"/>
  <c r="E27853" i="5"/>
  <c r="E27845" i="5"/>
  <c r="E27837" i="5"/>
  <c r="E27829" i="5"/>
  <c r="E27821" i="5"/>
  <c r="E27813" i="5"/>
  <c r="E27805" i="5"/>
  <c r="E27797" i="5"/>
  <c r="E27789" i="5"/>
  <c r="E27781" i="5"/>
  <c r="E27773" i="5"/>
  <c r="E27765" i="5"/>
  <c r="E27757" i="5"/>
  <c r="E27749" i="5"/>
  <c r="E27741" i="5"/>
  <c r="E27733" i="5"/>
  <c r="E27725" i="5"/>
  <c r="E27717" i="5"/>
  <c r="E27709" i="5"/>
  <c r="E27701" i="5"/>
  <c r="E27693" i="5"/>
  <c r="E27685" i="5"/>
  <c r="E27677" i="5"/>
  <c r="E27669" i="5"/>
  <c r="E27661" i="5"/>
  <c r="E27653" i="5"/>
  <c r="E27645" i="5"/>
  <c r="E27637" i="5"/>
  <c r="E27629" i="5"/>
  <c r="E27621" i="5"/>
  <c r="E27613" i="5"/>
  <c r="E27605" i="5"/>
  <c r="E27597" i="5"/>
  <c r="E27589" i="5"/>
  <c r="E27581" i="5"/>
  <c r="E27573" i="5"/>
  <c r="E27565" i="5"/>
  <c r="E27557" i="5"/>
  <c r="E27549" i="5"/>
  <c r="E27541" i="5"/>
  <c r="E27533" i="5"/>
  <c r="E27525" i="5"/>
  <c r="E27517" i="5"/>
  <c r="E27509" i="5"/>
  <c r="E27501" i="5"/>
  <c r="E27493" i="5"/>
  <c r="E27485" i="5"/>
  <c r="E27477" i="5"/>
  <c r="E27469" i="5"/>
  <c r="E27461" i="5"/>
  <c r="E27453" i="5"/>
  <c r="E27445" i="5"/>
  <c r="E27437" i="5"/>
  <c r="E27429" i="5"/>
  <c r="E27421" i="5"/>
  <c r="E27413" i="5"/>
  <c r="E27405" i="5"/>
  <c r="E27397" i="5"/>
  <c r="E27389" i="5"/>
  <c r="E27381" i="5"/>
  <c r="E27373" i="5"/>
  <c r="E27365" i="5"/>
  <c r="E27357" i="5"/>
  <c r="E27349" i="5"/>
  <c r="E27341" i="5"/>
  <c r="E27333" i="5"/>
  <c r="E27325" i="5"/>
  <c r="E27317" i="5"/>
  <c r="E27309" i="5"/>
  <c r="E27301" i="5"/>
  <c r="E27293" i="5"/>
  <c r="E27285" i="5"/>
  <c r="E27277" i="5"/>
  <c r="E27269" i="5"/>
  <c r="E27261" i="5"/>
  <c r="E27253" i="5"/>
  <c r="E27245" i="5"/>
  <c r="E27237" i="5"/>
  <c r="E27229" i="5"/>
  <c r="E27221" i="5"/>
  <c r="E27213" i="5"/>
  <c r="E27205" i="5"/>
  <c r="E27197" i="5"/>
  <c r="E27189" i="5"/>
  <c r="E27181" i="5"/>
  <c r="E27173" i="5"/>
  <c r="E27165" i="5"/>
  <c r="E27157" i="5"/>
  <c r="E27149" i="5"/>
  <c r="E27141" i="5"/>
  <c r="E27133" i="5"/>
  <c r="E27125" i="5"/>
  <c r="E27117" i="5"/>
  <c r="E27109" i="5"/>
  <c r="E27101" i="5"/>
  <c r="E27093" i="5"/>
  <c r="E27085" i="5"/>
  <c r="E27077" i="5"/>
  <c r="E27069" i="5"/>
  <c r="E27061" i="5"/>
  <c r="E27053" i="5"/>
  <c r="E27045" i="5"/>
  <c r="E27037" i="5"/>
  <c r="E27029" i="5"/>
  <c r="E27021" i="5"/>
  <c r="E27013" i="5"/>
  <c r="E27005" i="5"/>
  <c r="E26997" i="5"/>
  <c r="E26989" i="5"/>
  <c r="E26981" i="5"/>
  <c r="E26973" i="5"/>
  <c r="E26965" i="5"/>
  <c r="E26957" i="5"/>
  <c r="E26949" i="5"/>
  <c r="E26941" i="5"/>
  <c r="E26933" i="5"/>
  <c r="E26925" i="5"/>
  <c r="E26917" i="5"/>
  <c r="E26909" i="5"/>
  <c r="E26901" i="5"/>
  <c r="E26893" i="5"/>
  <c r="E26885" i="5"/>
  <c r="E26877" i="5"/>
  <c r="E26869" i="5"/>
  <c r="E26861" i="5"/>
  <c r="E26853" i="5"/>
  <c r="E26845" i="5"/>
  <c r="E26837" i="5"/>
  <c r="E26829" i="5"/>
  <c r="E26821" i="5"/>
  <c r="E26813" i="5"/>
  <c r="E26805" i="5"/>
  <c r="E26797" i="5"/>
  <c r="E26789" i="5"/>
  <c r="E26781" i="5"/>
  <c r="E26773" i="5"/>
  <c r="E26765" i="5"/>
  <c r="E26757" i="5"/>
  <c r="E26749" i="5"/>
  <c r="E26741" i="5"/>
  <c r="E26733" i="5"/>
  <c r="E26725" i="5"/>
  <c r="E26717" i="5"/>
  <c r="E26709" i="5"/>
  <c r="E26701" i="5"/>
  <c r="E26693" i="5"/>
  <c r="E26685" i="5"/>
  <c r="E26677" i="5"/>
  <c r="E26669" i="5"/>
  <c r="E26661" i="5"/>
  <c r="E26653" i="5"/>
  <c r="E26645" i="5"/>
  <c r="E26637" i="5"/>
  <c r="E26629" i="5"/>
  <c r="E26621" i="5"/>
  <c r="E26613" i="5"/>
  <c r="E26605" i="5"/>
  <c r="E26597" i="5"/>
  <c r="E26589" i="5"/>
  <c r="E26581" i="5"/>
  <c r="E26573" i="5"/>
  <c r="E26565" i="5"/>
  <c r="E26557" i="5"/>
  <c r="E26549" i="5"/>
  <c r="E26541" i="5"/>
  <c r="E26533" i="5"/>
  <c r="E26525" i="5"/>
  <c r="E26517" i="5"/>
  <c r="E26509" i="5"/>
  <c r="E26501" i="5"/>
  <c r="E26493" i="5"/>
  <c r="E26485" i="5"/>
  <c r="E26477" i="5"/>
  <c r="E26469" i="5"/>
  <c r="E26461" i="5"/>
  <c r="E26453" i="5"/>
  <c r="E26445" i="5"/>
  <c r="E26437" i="5"/>
  <c r="E26429" i="5"/>
  <c r="E26421" i="5"/>
  <c r="E26413" i="5"/>
  <c r="E26405" i="5"/>
  <c r="E26397" i="5"/>
  <c r="E26389" i="5"/>
  <c r="E26381" i="5"/>
  <c r="E26373" i="5"/>
  <c r="E26365" i="5"/>
  <c r="E26357" i="5"/>
  <c r="E26349" i="5"/>
  <c r="E26341" i="5"/>
  <c r="E26333" i="5"/>
  <c r="E26325" i="5"/>
  <c r="E26317" i="5"/>
  <c r="E26309" i="5"/>
  <c r="E26301" i="5"/>
  <c r="E26293" i="5"/>
  <c r="E26285" i="5"/>
  <c r="E26277" i="5"/>
  <c r="E26269" i="5"/>
  <c r="E26261" i="5"/>
  <c r="E26253" i="5"/>
  <c r="E26245" i="5"/>
  <c r="E26237" i="5"/>
  <c r="E26229" i="5"/>
  <c r="E26221" i="5"/>
  <c r="E26213" i="5"/>
  <c r="E26205" i="5"/>
  <c r="E26197" i="5"/>
  <c r="E26189" i="5"/>
  <c r="E26181" i="5"/>
  <c r="E26173" i="5"/>
  <c r="E26165" i="5"/>
  <c r="E26157" i="5"/>
  <c r="E26149" i="5"/>
  <c r="E26141" i="5"/>
  <c r="E26133" i="5"/>
  <c r="E26125" i="5"/>
  <c r="E26117" i="5"/>
  <c r="E26109" i="5"/>
  <c r="E26101" i="5"/>
  <c r="E26093" i="5"/>
  <c r="E26085" i="5"/>
  <c r="E26077" i="5"/>
  <c r="E26069" i="5"/>
  <c r="E26061" i="5"/>
  <c r="E26053" i="5"/>
  <c r="E26045" i="5"/>
  <c r="E26037" i="5"/>
  <c r="E26029" i="5"/>
  <c r="E26021" i="5"/>
  <c r="E26013" i="5"/>
  <c r="E26005" i="5"/>
  <c r="E25997" i="5"/>
  <c r="E25989" i="5"/>
  <c r="E25981" i="5"/>
  <c r="E25973" i="5"/>
  <c r="E25965" i="5"/>
  <c r="E25957" i="5"/>
  <c r="E25949" i="5"/>
  <c r="E25941" i="5"/>
  <c r="E25933" i="5"/>
  <c r="E25925" i="5"/>
  <c r="E25917" i="5"/>
  <c r="E25909" i="5"/>
  <c r="E25901" i="5"/>
  <c r="E25893" i="5"/>
  <c r="E25885" i="5"/>
  <c r="E25877" i="5"/>
  <c r="E25869" i="5"/>
  <c r="E25861" i="5"/>
  <c r="E25853" i="5"/>
  <c r="E25845" i="5"/>
  <c r="E25837" i="5"/>
  <c r="E25829" i="5"/>
  <c r="E25821" i="5"/>
  <c r="E25813" i="5"/>
  <c r="E25805" i="5"/>
  <c r="E25797" i="5"/>
  <c r="E25789" i="5"/>
  <c r="E25781" i="5"/>
  <c r="E25773" i="5"/>
  <c r="E25765" i="5"/>
  <c r="E25757" i="5"/>
  <c r="E25749" i="5"/>
  <c r="E25741" i="5"/>
  <c r="E25733" i="5"/>
  <c r="E25725" i="5"/>
  <c r="E25717" i="5"/>
  <c r="E25709" i="5"/>
  <c r="E25701" i="5"/>
  <c r="E25693" i="5"/>
  <c r="E25685" i="5"/>
  <c r="E25677" i="5"/>
  <c r="E25669" i="5"/>
  <c r="E25661" i="5"/>
  <c r="E25653" i="5"/>
  <c r="E25645" i="5"/>
  <c r="E25637" i="5"/>
  <c r="E25629" i="5"/>
  <c r="E25621" i="5"/>
  <c r="E25613" i="5"/>
  <c r="E25605" i="5"/>
  <c r="E25597" i="5"/>
  <c r="E25589" i="5"/>
  <c r="E25581" i="5"/>
  <c r="E25573" i="5"/>
  <c r="E25565" i="5"/>
  <c r="E25557" i="5"/>
  <c r="E25549" i="5"/>
  <c r="E25541" i="5"/>
  <c r="E25533" i="5"/>
  <c r="E25525" i="5"/>
  <c r="E25517" i="5"/>
  <c r="E25509" i="5"/>
  <c r="E25501" i="5"/>
  <c r="E25493" i="5"/>
  <c r="E25485" i="5"/>
  <c r="E25477" i="5"/>
  <c r="E25469" i="5"/>
  <c r="E25461" i="5"/>
  <c r="E25453" i="5"/>
  <c r="E25445" i="5"/>
  <c r="E25437" i="5"/>
  <c r="E25429" i="5"/>
  <c r="E25421" i="5"/>
  <c r="E25413" i="5"/>
  <c r="E25405" i="5"/>
  <c r="E25397" i="5"/>
  <c r="E25389" i="5"/>
  <c r="E25381" i="5"/>
  <c r="E25373" i="5"/>
  <c r="E25365" i="5"/>
  <c r="E25357" i="5"/>
  <c r="E25349" i="5"/>
  <c r="E25341" i="5"/>
  <c r="E25333" i="5"/>
  <c r="E25325" i="5"/>
  <c r="E25317" i="5"/>
  <c r="E25309" i="5"/>
  <c r="E25301" i="5"/>
  <c r="E25293" i="5"/>
  <c r="E25285" i="5"/>
  <c r="E25277" i="5"/>
  <c r="E25269" i="5"/>
  <c r="E25261" i="5"/>
  <c r="E25253" i="5"/>
  <c r="E25245" i="5"/>
  <c r="E25237" i="5"/>
  <c r="E25229" i="5"/>
  <c r="E25221" i="5"/>
  <c r="E25213" i="5"/>
  <c r="E25205" i="5"/>
  <c r="E25197" i="5"/>
  <c r="E25189" i="5"/>
  <c r="E25181" i="5"/>
  <c r="E25173" i="5"/>
  <c r="E25165" i="5"/>
  <c r="E25157" i="5"/>
  <c r="E25149" i="5"/>
  <c r="E25141" i="5"/>
  <c r="E25133" i="5"/>
  <c r="E25125" i="5"/>
  <c r="E25117" i="5"/>
  <c r="E41566" i="5"/>
  <c r="E41550" i="5"/>
  <c r="E41534" i="5"/>
  <c r="E41518" i="5"/>
  <c r="E41502" i="5"/>
  <c r="E41486" i="5"/>
  <c r="E41470" i="5"/>
  <c r="E41454" i="5"/>
  <c r="E41438" i="5"/>
  <c r="E41422" i="5"/>
  <c r="E41406" i="5"/>
  <c r="E41390" i="5"/>
  <c r="E41374" i="5"/>
  <c r="E41358" i="5"/>
  <c r="E41342" i="5"/>
  <c r="E41326" i="5"/>
  <c r="E41310" i="5"/>
  <c r="E41294" i="5"/>
  <c r="E41278" i="5"/>
  <c r="E41262" i="5"/>
  <c r="E41246" i="5"/>
  <c r="E41230" i="5"/>
  <c r="E41214" i="5"/>
  <c r="E41198" i="5"/>
  <c r="E41182" i="5"/>
  <c r="E41166" i="5"/>
  <c r="E41150" i="5"/>
  <c r="E41134" i="5"/>
  <c r="E41118" i="5"/>
  <c r="E41102" i="5"/>
  <c r="E41086" i="5"/>
  <c r="E41070" i="5"/>
  <c r="E41054" i="5"/>
  <c r="E41038" i="5"/>
  <c r="E41022" i="5"/>
  <c r="E41006" i="5"/>
  <c r="E40990" i="5"/>
  <c r="E40974" i="5"/>
  <c r="E40958" i="5"/>
  <c r="E40942" i="5"/>
  <c r="E40926" i="5"/>
  <c r="E40910" i="5"/>
  <c r="E40894" i="5"/>
  <c r="E40878" i="5"/>
  <c r="E40864" i="5"/>
  <c r="E40851" i="5"/>
  <c r="E40838" i="5"/>
  <c r="E40825" i="5"/>
  <c r="E40812" i="5"/>
  <c r="E40800" i="5"/>
  <c r="E40787" i="5"/>
  <c r="E40774" i="5"/>
  <c r="E40761" i="5"/>
  <c r="E40748" i="5"/>
  <c r="E40736" i="5"/>
  <c r="E40723" i="5"/>
  <c r="E40710" i="5"/>
  <c r="E40697" i="5"/>
  <c r="E40684" i="5"/>
  <c r="E40672" i="5"/>
  <c r="E40659" i="5"/>
  <c r="E40646" i="5"/>
  <c r="E40633" i="5"/>
  <c r="E40620" i="5"/>
  <c r="E40608" i="5"/>
  <c r="E40595" i="5"/>
  <c r="E40582" i="5"/>
  <c r="E40569" i="5"/>
  <c r="E40556" i="5"/>
  <c r="E40544" i="5"/>
  <c r="E40531" i="5"/>
  <c r="E40518" i="5"/>
  <c r="E40505" i="5"/>
  <c r="E40492" i="5"/>
  <c r="E40480" i="5"/>
  <c r="E40467" i="5"/>
  <c r="E40454" i="5"/>
  <c r="E40441" i="5"/>
  <c r="E40428" i="5"/>
  <c r="E40416" i="5"/>
  <c r="E40403" i="5"/>
  <c r="E40390" i="5"/>
  <c r="E40377" i="5"/>
  <c r="E40364" i="5"/>
  <c r="E40352" i="5"/>
  <c r="E40339" i="5"/>
  <c r="E40326" i="5"/>
  <c r="E40313" i="5"/>
  <c r="E40300" i="5"/>
  <c r="E40288" i="5"/>
  <c r="E40275" i="5"/>
  <c r="E40262" i="5"/>
  <c r="E40249" i="5"/>
  <c r="E40236" i="5"/>
  <c r="E40224" i="5"/>
  <c r="E40211" i="5"/>
  <c r="E40198" i="5"/>
  <c r="E40185" i="5"/>
  <c r="E40172" i="5"/>
  <c r="E40160" i="5"/>
  <c r="E40147" i="5"/>
  <c r="E40134" i="5"/>
  <c r="E40121" i="5"/>
  <c r="E40108" i="5"/>
  <c r="E40096" i="5"/>
  <c r="E40083" i="5"/>
  <c r="E40070" i="5"/>
  <c r="E40057" i="5"/>
  <c r="E40044" i="5"/>
  <c r="E40032" i="5"/>
  <c r="E40019" i="5"/>
  <c r="E40006" i="5"/>
  <c r="E39993" i="5"/>
  <c r="E39980" i="5"/>
  <c r="E39968" i="5"/>
  <c r="E39955" i="5"/>
  <c r="E39942" i="5"/>
  <c r="E39929" i="5"/>
  <c r="E39916" i="5"/>
  <c r="E39904" i="5"/>
  <c r="E39891" i="5"/>
  <c r="E39878" i="5"/>
  <c r="E39865" i="5"/>
  <c r="E39852" i="5"/>
  <c r="E39840" i="5"/>
  <c r="E39827" i="5"/>
  <c r="E39814" i="5"/>
  <c r="E39801" i="5"/>
  <c r="E39788" i="5"/>
  <c r="E39776" i="5"/>
  <c r="E39763" i="5"/>
  <c r="E39750" i="5"/>
  <c r="E39737" i="5"/>
  <c r="E39724" i="5"/>
  <c r="E39712" i="5"/>
  <c r="E39699" i="5"/>
  <c r="E39686" i="5"/>
  <c r="E39673" i="5"/>
  <c r="E39660" i="5"/>
  <c r="E39648" i="5"/>
  <c r="E39635" i="5"/>
  <c r="E39622" i="5"/>
  <c r="E39609" i="5"/>
  <c r="E39596" i="5"/>
  <c r="E39584" i="5"/>
  <c r="E39571" i="5"/>
  <c r="E39558" i="5"/>
  <c r="E39545" i="5"/>
  <c r="E39532" i="5"/>
  <c r="E39520" i="5"/>
  <c r="E39507" i="5"/>
  <c r="E39494" i="5"/>
  <c r="E39481" i="5"/>
  <c r="E39468" i="5"/>
  <c r="E39456" i="5"/>
  <c r="E39443" i="5"/>
  <c r="E39430" i="5"/>
  <c r="E39417" i="5"/>
  <c r="E39404" i="5"/>
  <c r="E39392" i="5"/>
  <c r="E39379" i="5"/>
  <c r="E39366" i="5"/>
  <c r="E39353" i="5"/>
  <c r="E39340" i="5"/>
  <c r="E39328" i="5"/>
  <c r="E39315" i="5"/>
  <c r="E39302" i="5"/>
  <c r="E39289" i="5"/>
  <c r="E39276" i="5"/>
  <c r="E39264" i="5"/>
  <c r="E39252" i="5"/>
  <c r="E39242" i="5"/>
  <c r="E39232" i="5"/>
  <c r="E39220" i="5"/>
  <c r="E39210" i="5"/>
  <c r="E39200" i="5"/>
  <c r="E39188" i="5"/>
  <c r="E39178" i="5"/>
  <c r="E39168" i="5"/>
  <c r="E39156" i="5"/>
  <c r="E39148" i="5"/>
  <c r="E39140" i="5"/>
  <c r="E39132" i="5"/>
  <c r="E39124" i="5"/>
  <c r="E39116" i="5"/>
  <c r="E39108" i="5"/>
  <c r="E39100" i="5"/>
  <c r="E39092" i="5"/>
  <c r="E39084" i="5"/>
  <c r="E39076" i="5"/>
  <c r="E39068" i="5"/>
  <c r="E39060" i="5"/>
  <c r="E39052" i="5"/>
  <c r="E39044" i="5"/>
  <c r="E39036" i="5"/>
  <c r="E39028" i="5"/>
  <c r="E39020" i="5"/>
  <c r="E39012" i="5"/>
  <c r="E39004" i="5"/>
  <c r="E38996" i="5"/>
  <c r="E38988" i="5"/>
  <c r="E38980" i="5"/>
  <c r="E38972" i="5"/>
  <c r="E38964" i="5"/>
  <c r="E38956" i="5"/>
  <c r="E38948" i="5"/>
  <c r="E38940" i="5"/>
  <c r="E38932" i="5"/>
  <c r="E38924" i="5"/>
  <c r="E38916" i="5"/>
  <c r="E38908" i="5"/>
  <c r="E38900" i="5"/>
  <c r="E38892" i="5"/>
  <c r="E38884" i="5"/>
  <c r="E38876" i="5"/>
  <c r="E38868" i="5"/>
  <c r="E38860" i="5"/>
  <c r="E38852" i="5"/>
  <c r="E38844" i="5"/>
  <c r="E38836" i="5"/>
  <c r="E38828" i="5"/>
  <c r="E38820" i="5"/>
  <c r="E38812" i="5"/>
  <c r="E38804" i="5"/>
  <c r="E38796" i="5"/>
  <c r="E38788" i="5"/>
  <c r="E38780" i="5"/>
  <c r="E38772" i="5"/>
  <c r="E38764" i="5"/>
  <c r="E38756" i="5"/>
  <c r="E38748" i="5"/>
  <c r="E38740" i="5"/>
  <c r="E38732" i="5"/>
  <c r="E38724" i="5"/>
  <c r="E38716" i="5"/>
  <c r="E38708" i="5"/>
  <c r="E38700" i="5"/>
  <c r="E38692" i="5"/>
  <c r="E38684" i="5"/>
  <c r="E38676" i="5"/>
  <c r="E38668" i="5"/>
  <c r="E38660" i="5"/>
  <c r="E38652" i="5"/>
  <c r="E38644" i="5"/>
  <c r="E38636" i="5"/>
  <c r="E38628" i="5"/>
  <c r="E38620" i="5"/>
  <c r="E38612" i="5"/>
  <c r="E38604" i="5"/>
  <c r="E38596" i="5"/>
  <c r="E38588" i="5"/>
  <c r="E38580" i="5"/>
  <c r="E38572" i="5"/>
  <c r="E38564" i="5"/>
  <c r="E38556" i="5"/>
  <c r="E38548" i="5"/>
  <c r="E38540" i="5"/>
  <c r="E38532" i="5"/>
  <c r="E38524" i="5"/>
  <c r="E38516" i="5"/>
  <c r="E38508" i="5"/>
  <c r="E38500" i="5"/>
  <c r="E38492" i="5"/>
  <c r="E38484" i="5"/>
  <c r="E38476" i="5"/>
  <c r="E38468" i="5"/>
  <c r="E38460" i="5"/>
  <c r="E38452" i="5"/>
  <c r="E38444" i="5"/>
  <c r="E38436" i="5"/>
  <c r="E38428" i="5"/>
  <c r="E38420" i="5"/>
  <c r="E38412" i="5"/>
  <c r="E38404" i="5"/>
  <c r="E38396" i="5"/>
  <c r="E38388" i="5"/>
  <c r="E38380" i="5"/>
  <c r="E38372" i="5"/>
  <c r="E38364" i="5"/>
  <c r="E38356" i="5"/>
  <c r="E38348" i="5"/>
  <c r="E38340" i="5"/>
  <c r="E38332" i="5"/>
  <c r="E38324" i="5"/>
  <c r="E38316" i="5"/>
  <c r="E38308" i="5"/>
  <c r="E38300" i="5"/>
  <c r="E38292" i="5"/>
  <c r="E38284" i="5"/>
  <c r="E38276" i="5"/>
  <c r="E38268" i="5"/>
  <c r="E38260" i="5"/>
  <c r="E38252" i="5"/>
  <c r="E38244" i="5"/>
  <c r="E38236" i="5"/>
  <c r="E38228" i="5"/>
  <c r="E38220" i="5"/>
  <c r="E38212" i="5"/>
  <c r="E38204" i="5"/>
  <c r="E38196" i="5"/>
  <c r="E38188" i="5"/>
  <c r="E38180" i="5"/>
  <c r="E38172" i="5"/>
  <c r="E38164" i="5"/>
  <c r="E38156" i="5"/>
  <c r="E38148" i="5"/>
  <c r="E38140" i="5"/>
  <c r="E38132" i="5"/>
  <c r="E38124" i="5"/>
  <c r="E38116" i="5"/>
  <c r="E38108" i="5"/>
  <c r="E38100" i="5"/>
  <c r="E38092" i="5"/>
  <c r="E38084" i="5"/>
  <c r="E38076" i="5"/>
  <c r="E38068" i="5"/>
  <c r="E38060" i="5"/>
  <c r="E38052" i="5"/>
  <c r="E38044" i="5"/>
  <c r="E38036" i="5"/>
  <c r="E38028" i="5"/>
  <c r="E38020" i="5"/>
  <c r="E38012" i="5"/>
  <c r="E38004" i="5"/>
  <c r="E37996" i="5"/>
  <c r="E37988" i="5"/>
  <c r="E37980" i="5"/>
  <c r="E37972" i="5"/>
  <c r="E37964" i="5"/>
  <c r="E37956" i="5"/>
  <c r="E37948" i="5"/>
  <c r="E37940" i="5"/>
  <c r="E37932" i="5"/>
  <c r="E37924" i="5"/>
  <c r="E37916" i="5"/>
  <c r="E37908" i="5"/>
  <c r="E37900" i="5"/>
  <c r="E37892" i="5"/>
  <c r="E37884" i="5"/>
  <c r="E37876" i="5"/>
  <c r="E37868" i="5"/>
  <c r="E37860" i="5"/>
  <c r="E37852" i="5"/>
  <c r="E37844" i="5"/>
  <c r="E37836" i="5"/>
  <c r="E37828" i="5"/>
  <c r="E37820" i="5"/>
  <c r="E37812" i="5"/>
  <c r="E37804" i="5"/>
  <c r="E37796" i="5"/>
  <c r="E37788" i="5"/>
  <c r="E37780" i="5"/>
  <c r="E37772" i="5"/>
  <c r="E37764" i="5"/>
  <c r="E37756" i="5"/>
  <c r="E37748" i="5"/>
  <c r="E37740" i="5"/>
  <c r="E37732" i="5"/>
  <c r="E37724" i="5"/>
  <c r="E37716" i="5"/>
  <c r="E37708" i="5"/>
  <c r="E37700" i="5"/>
  <c r="E37692" i="5"/>
  <c r="E37684" i="5"/>
  <c r="E37676" i="5"/>
  <c r="E37668" i="5"/>
  <c r="E37660" i="5"/>
  <c r="E37652" i="5"/>
  <c r="E37644" i="5"/>
  <c r="E37636" i="5"/>
  <c r="E37628" i="5"/>
  <c r="E37620" i="5"/>
  <c r="E37612" i="5"/>
  <c r="E37604" i="5"/>
  <c r="E37596" i="5"/>
  <c r="E37588" i="5"/>
  <c r="E37580" i="5"/>
  <c r="E37572" i="5"/>
  <c r="E37564" i="5"/>
  <c r="E37556" i="5"/>
  <c r="E37548" i="5"/>
  <c r="E37540" i="5"/>
  <c r="E37532" i="5"/>
  <c r="E37524" i="5"/>
  <c r="E37516" i="5"/>
  <c r="E37508" i="5"/>
  <c r="E37500" i="5"/>
  <c r="E37492" i="5"/>
  <c r="E37484" i="5"/>
  <c r="E37476" i="5"/>
  <c r="E37468" i="5"/>
  <c r="E37460" i="5"/>
  <c r="E37452" i="5"/>
  <c r="E37444" i="5"/>
  <c r="E37436" i="5"/>
  <c r="E37428" i="5"/>
  <c r="E37420" i="5"/>
  <c r="E37412" i="5"/>
  <c r="E37404" i="5"/>
  <c r="E37396" i="5"/>
  <c r="E37388" i="5"/>
  <c r="E37380" i="5"/>
  <c r="E37372" i="5"/>
  <c r="E37364" i="5"/>
  <c r="E37356" i="5"/>
  <c r="E37348" i="5"/>
  <c r="E37340" i="5"/>
  <c r="E37332" i="5"/>
  <c r="E37324" i="5"/>
  <c r="E37316" i="5"/>
  <c r="E37308" i="5"/>
  <c r="E37300" i="5"/>
  <c r="E37292" i="5"/>
  <c r="E37284" i="5"/>
  <c r="E37276" i="5"/>
  <c r="E37268" i="5"/>
  <c r="E37260" i="5"/>
  <c r="E37252" i="5"/>
  <c r="E37244" i="5"/>
  <c r="E37236" i="5"/>
  <c r="E37228" i="5"/>
  <c r="E37220" i="5"/>
  <c r="E37212" i="5"/>
  <c r="E37204" i="5"/>
  <c r="E37196" i="5"/>
  <c r="E37188" i="5"/>
  <c r="E37180" i="5"/>
  <c r="E37172" i="5"/>
  <c r="E37164" i="5"/>
  <c r="E37156" i="5"/>
  <c r="E37148" i="5"/>
  <c r="E37140" i="5"/>
  <c r="E37132" i="5"/>
  <c r="E37124" i="5"/>
  <c r="E37116" i="5"/>
  <c r="E37108" i="5"/>
  <c r="E37100" i="5"/>
  <c r="E37092" i="5"/>
  <c r="E37084" i="5"/>
  <c r="E37076" i="5"/>
  <c r="E37068" i="5"/>
  <c r="E37060" i="5"/>
  <c r="E37052" i="5"/>
  <c r="E37044" i="5"/>
  <c r="E37036" i="5"/>
  <c r="E37028" i="5"/>
  <c r="E37020" i="5"/>
  <c r="E37012" i="5"/>
  <c r="E37004" i="5"/>
  <c r="E36996" i="5"/>
  <c r="E36988" i="5"/>
  <c r="E36980" i="5"/>
  <c r="E36972" i="5"/>
  <c r="E36964" i="5"/>
  <c r="E36956" i="5"/>
  <c r="E36948" i="5"/>
  <c r="E36940" i="5"/>
  <c r="E36932" i="5"/>
  <c r="E36924" i="5"/>
  <c r="E36916" i="5"/>
  <c r="E36908" i="5"/>
  <c r="E36900" i="5"/>
  <c r="E36892" i="5"/>
  <c r="E36884" i="5"/>
  <c r="E36876" i="5"/>
  <c r="E36868" i="5"/>
  <c r="E36860" i="5"/>
  <c r="E36852" i="5"/>
  <c r="E36844" i="5"/>
  <c r="E36836" i="5"/>
  <c r="E36828" i="5"/>
  <c r="E36820" i="5"/>
  <c r="E36812" i="5"/>
  <c r="E36804" i="5"/>
  <c r="E36796" i="5"/>
  <c r="E36788" i="5"/>
  <c r="E36780" i="5"/>
  <c r="E36772" i="5"/>
  <c r="E36764" i="5"/>
  <c r="E36756" i="5"/>
  <c r="E36748" i="5"/>
  <c r="E36740" i="5"/>
  <c r="E36732" i="5"/>
  <c r="E36724" i="5"/>
  <c r="E36716" i="5"/>
  <c r="E36708" i="5"/>
  <c r="E36700" i="5"/>
  <c r="E36692" i="5"/>
  <c r="E36684" i="5"/>
  <c r="E36676" i="5"/>
  <c r="E36668" i="5"/>
  <c r="E36660" i="5"/>
  <c r="E36652" i="5"/>
  <c r="E36644" i="5"/>
  <c r="E36636" i="5"/>
  <c r="E36628" i="5"/>
  <c r="E36620" i="5"/>
  <c r="E36612" i="5"/>
  <c r="E36604" i="5"/>
  <c r="E36596" i="5"/>
  <c r="E36588" i="5"/>
  <c r="E36580" i="5"/>
  <c r="E36572" i="5"/>
  <c r="E36564" i="5"/>
  <c r="E36556" i="5"/>
  <c r="E36548" i="5"/>
  <c r="E36540" i="5"/>
  <c r="E36532" i="5"/>
  <c r="E36524" i="5"/>
  <c r="E36516" i="5"/>
  <c r="E36508" i="5"/>
  <c r="E36500" i="5"/>
  <c r="E36492" i="5"/>
  <c r="E36484" i="5"/>
  <c r="E36476" i="5"/>
  <c r="E36468" i="5"/>
  <c r="E36460" i="5"/>
  <c r="E36452" i="5"/>
  <c r="E36444" i="5"/>
  <c r="E36436" i="5"/>
  <c r="E36428" i="5"/>
  <c r="E36420" i="5"/>
  <c r="E36412" i="5"/>
  <c r="E36404" i="5"/>
  <c r="E36396" i="5"/>
  <c r="E36388" i="5"/>
  <c r="E36380" i="5"/>
  <c r="E36372" i="5"/>
  <c r="E36364" i="5"/>
  <c r="E36356" i="5"/>
  <c r="E36348" i="5"/>
  <c r="E36340" i="5"/>
  <c r="E36332" i="5"/>
  <c r="E36324" i="5"/>
  <c r="E36316" i="5"/>
  <c r="E36308" i="5"/>
  <c r="E36300" i="5"/>
  <c r="E36292" i="5"/>
  <c r="E36284" i="5"/>
  <c r="E36276" i="5"/>
  <c r="E36268" i="5"/>
  <c r="E36260" i="5"/>
  <c r="E36252" i="5"/>
  <c r="E36244" i="5"/>
  <c r="E36236" i="5"/>
  <c r="E36228" i="5"/>
  <c r="E36220" i="5"/>
  <c r="E36212" i="5"/>
  <c r="E36204" i="5"/>
  <c r="E36196" i="5"/>
  <c r="E36188" i="5"/>
  <c r="E36180" i="5"/>
  <c r="E36172" i="5"/>
  <c r="E36164" i="5"/>
  <c r="E36156" i="5"/>
  <c r="E36148" i="5"/>
  <c r="E36140" i="5"/>
  <c r="E36132" i="5"/>
  <c r="E36124" i="5"/>
  <c r="E36116" i="5"/>
  <c r="E36108" i="5"/>
  <c r="E36100" i="5"/>
  <c r="E36092" i="5"/>
  <c r="E36084" i="5"/>
  <c r="E36076" i="5"/>
  <c r="E36068" i="5"/>
  <c r="E36060" i="5"/>
  <c r="E36052" i="5"/>
  <c r="E36044" i="5"/>
  <c r="E36036" i="5"/>
  <c r="E36028" i="5"/>
  <c r="E36020" i="5"/>
  <c r="E36012" i="5"/>
  <c r="E36004" i="5"/>
  <c r="E35996" i="5"/>
  <c r="E35988" i="5"/>
  <c r="E35980" i="5"/>
  <c r="E35972" i="5"/>
  <c r="E35964" i="5"/>
  <c r="E35956" i="5"/>
  <c r="E35948" i="5"/>
  <c r="E35940" i="5"/>
  <c r="E35932" i="5"/>
  <c r="E35924" i="5"/>
  <c r="E35916" i="5"/>
  <c r="E35908" i="5"/>
  <c r="E35900" i="5"/>
  <c r="E35892" i="5"/>
  <c r="E35884" i="5"/>
  <c r="E35876" i="5"/>
  <c r="E35868" i="5"/>
  <c r="E35860" i="5"/>
  <c r="E35852" i="5"/>
  <c r="E35844" i="5"/>
  <c r="E35836" i="5"/>
  <c r="E35828" i="5"/>
  <c r="E35820" i="5"/>
  <c r="E35812" i="5"/>
  <c r="E35804" i="5"/>
  <c r="E35796" i="5"/>
  <c r="E35788" i="5"/>
  <c r="E35780" i="5"/>
  <c r="E35772" i="5"/>
  <c r="E35764" i="5"/>
  <c r="E35756" i="5"/>
  <c r="E35748" i="5"/>
  <c r="E35740" i="5"/>
  <c r="E35732" i="5"/>
  <c r="E35724" i="5"/>
  <c r="E35716" i="5"/>
  <c r="E35708" i="5"/>
  <c r="E35700" i="5"/>
  <c r="E35692" i="5"/>
  <c r="E35684" i="5"/>
  <c r="E35676" i="5"/>
  <c r="E35668" i="5"/>
  <c r="E35660" i="5"/>
  <c r="E35652" i="5"/>
  <c r="E35644" i="5"/>
  <c r="E35636" i="5"/>
  <c r="E35628" i="5"/>
  <c r="E35620" i="5"/>
  <c r="E35612" i="5"/>
  <c r="E35604" i="5"/>
  <c r="E35596" i="5"/>
  <c r="E35588" i="5"/>
  <c r="E35580" i="5"/>
  <c r="E35572" i="5"/>
  <c r="E35564" i="5"/>
  <c r="E35556" i="5"/>
  <c r="E35548" i="5"/>
  <c r="E35540" i="5"/>
  <c r="E35532" i="5"/>
  <c r="E35524" i="5"/>
  <c r="E35516" i="5"/>
  <c r="E35508" i="5"/>
  <c r="E35500" i="5"/>
  <c r="E35492" i="5"/>
  <c r="E35484" i="5"/>
  <c r="E35476" i="5"/>
  <c r="E35468" i="5"/>
  <c r="E35460" i="5"/>
  <c r="E35452" i="5"/>
  <c r="E35444" i="5"/>
  <c r="E35436" i="5"/>
  <c r="E35428" i="5"/>
  <c r="E35420" i="5"/>
  <c r="E35412" i="5"/>
  <c r="E35404" i="5"/>
  <c r="E35396" i="5"/>
  <c r="E35388" i="5"/>
  <c r="E35380" i="5"/>
  <c r="E35372" i="5"/>
  <c r="E35364" i="5"/>
  <c r="E35356" i="5"/>
  <c r="E35348" i="5"/>
  <c r="E35340" i="5"/>
  <c r="E35332" i="5"/>
  <c r="E35324" i="5"/>
  <c r="E35316" i="5"/>
  <c r="E35308" i="5"/>
  <c r="E35300" i="5"/>
  <c r="E35292" i="5"/>
  <c r="E35284" i="5"/>
  <c r="E35276" i="5"/>
  <c r="E35268" i="5"/>
  <c r="E35260" i="5"/>
  <c r="E35252" i="5"/>
  <c r="E35244" i="5"/>
  <c r="E35236" i="5"/>
  <c r="E35228" i="5"/>
  <c r="E35220" i="5"/>
  <c r="E35212" i="5"/>
  <c r="E35204" i="5"/>
  <c r="E35196" i="5"/>
  <c r="E35188" i="5"/>
  <c r="E35180" i="5"/>
  <c r="E35172" i="5"/>
  <c r="E35164" i="5"/>
  <c r="E35156" i="5"/>
  <c r="E35148" i="5"/>
  <c r="E35140" i="5"/>
  <c r="E35132" i="5"/>
  <c r="E35124" i="5"/>
  <c r="E35116" i="5"/>
  <c r="E35108" i="5"/>
  <c r="E35100" i="5"/>
  <c r="E35092" i="5"/>
  <c r="E35084" i="5"/>
  <c r="E35076" i="5"/>
  <c r="E35068" i="5"/>
  <c r="E35060" i="5"/>
  <c r="E35052" i="5"/>
  <c r="E35044" i="5"/>
  <c r="E35036" i="5"/>
  <c r="E35028" i="5"/>
  <c r="E35020" i="5"/>
  <c r="E35012" i="5"/>
  <c r="E35004" i="5"/>
  <c r="E34996" i="5"/>
  <c r="E34988" i="5"/>
  <c r="E34980" i="5"/>
  <c r="E34972" i="5"/>
  <c r="E34964" i="5"/>
  <c r="E34956" i="5"/>
  <c r="E34948" i="5"/>
  <c r="E34940" i="5"/>
  <c r="E34932" i="5"/>
  <c r="E34924" i="5"/>
  <c r="E34916" i="5"/>
  <c r="E34908" i="5"/>
  <c r="E34900" i="5"/>
  <c r="E34892" i="5"/>
  <c r="E34884" i="5"/>
  <c r="E34876" i="5"/>
  <c r="E34868" i="5"/>
  <c r="E34860" i="5"/>
  <c r="E34852" i="5"/>
  <c r="E34844" i="5"/>
  <c r="E34836" i="5"/>
  <c r="E34828" i="5"/>
  <c r="E34820" i="5"/>
  <c r="E34812" i="5"/>
  <c r="E34804" i="5"/>
  <c r="E34796" i="5"/>
  <c r="E34788" i="5"/>
  <c r="E34780" i="5"/>
  <c r="E34772" i="5"/>
  <c r="E34764" i="5"/>
  <c r="E34756" i="5"/>
  <c r="E34748" i="5"/>
  <c r="E34740" i="5"/>
  <c r="E34732" i="5"/>
  <c r="E34724" i="5"/>
  <c r="E34716" i="5"/>
  <c r="E34708" i="5"/>
  <c r="E34700" i="5"/>
  <c r="E34692" i="5"/>
  <c r="E34684" i="5"/>
  <c r="E34676" i="5"/>
  <c r="E34668" i="5"/>
  <c r="E34660" i="5"/>
  <c r="E34652" i="5"/>
  <c r="E34644" i="5"/>
  <c r="E34636" i="5"/>
  <c r="E34628" i="5"/>
  <c r="E34620" i="5"/>
  <c r="E34612" i="5"/>
  <c r="E34604" i="5"/>
  <c r="E34596" i="5"/>
  <c r="E34588" i="5"/>
  <c r="E34580" i="5"/>
  <c r="E34572" i="5"/>
  <c r="E34564" i="5"/>
  <c r="E34556" i="5"/>
  <c r="E34548" i="5"/>
  <c r="E34540" i="5"/>
  <c r="E34532" i="5"/>
  <c r="E34524" i="5"/>
  <c r="E34516" i="5"/>
  <c r="E34508" i="5"/>
  <c r="E34500" i="5"/>
  <c r="E34492" i="5"/>
  <c r="E34484" i="5"/>
  <c r="E34476" i="5"/>
  <c r="E34468" i="5"/>
  <c r="E34460" i="5"/>
  <c r="E34452" i="5"/>
  <c r="E34444" i="5"/>
  <c r="E34436" i="5"/>
  <c r="E34428" i="5"/>
  <c r="E34420" i="5"/>
  <c r="E34412" i="5"/>
  <c r="E34404" i="5"/>
  <c r="E34396" i="5"/>
  <c r="E34388" i="5"/>
  <c r="E34380" i="5"/>
  <c r="E34372" i="5"/>
  <c r="E34364" i="5"/>
  <c r="E34356" i="5"/>
  <c r="E34348" i="5"/>
  <c r="E34340" i="5"/>
  <c r="E34332" i="5"/>
  <c r="E34324" i="5"/>
  <c r="E34316" i="5"/>
  <c r="E34308" i="5"/>
  <c r="E34300" i="5"/>
  <c r="E34292" i="5"/>
  <c r="E34284" i="5"/>
  <c r="E34276" i="5"/>
  <c r="E34268" i="5"/>
  <c r="E34260" i="5"/>
  <c r="E34252" i="5"/>
  <c r="E34244" i="5"/>
  <c r="E34236" i="5"/>
  <c r="E34228" i="5"/>
  <c r="E34220" i="5"/>
  <c r="E34212" i="5"/>
  <c r="E34204" i="5"/>
  <c r="E34196" i="5"/>
  <c r="E34188" i="5"/>
  <c r="E34180" i="5"/>
  <c r="E34172" i="5"/>
  <c r="E34164" i="5"/>
  <c r="E34156" i="5"/>
  <c r="E34148" i="5"/>
  <c r="E34140" i="5"/>
  <c r="E34132" i="5"/>
  <c r="E34124" i="5"/>
  <c r="E34116" i="5"/>
  <c r="E34108" i="5"/>
  <c r="E34100" i="5"/>
  <c r="E34092" i="5"/>
  <c r="E34084" i="5"/>
  <c r="E34076" i="5"/>
  <c r="E34068" i="5"/>
  <c r="E34060" i="5"/>
  <c r="E34052" i="5"/>
  <c r="E34044" i="5"/>
  <c r="E34036" i="5"/>
  <c r="E34028" i="5"/>
  <c r="E34020" i="5"/>
  <c r="E34012" i="5"/>
  <c r="E34004" i="5"/>
  <c r="E33996" i="5"/>
  <c r="E33988" i="5"/>
  <c r="E33980" i="5"/>
  <c r="E33972" i="5"/>
  <c r="E33964" i="5"/>
  <c r="E33956" i="5"/>
  <c r="E33948" i="5"/>
  <c r="E33940" i="5"/>
  <c r="E33932" i="5"/>
  <c r="E33924" i="5"/>
  <c r="E33916" i="5"/>
  <c r="E33908" i="5"/>
  <c r="E33900" i="5"/>
  <c r="E33892" i="5"/>
  <c r="E33884" i="5"/>
  <c r="E33876" i="5"/>
  <c r="E33868" i="5"/>
  <c r="E33860" i="5"/>
  <c r="E33852" i="5"/>
  <c r="E33844" i="5"/>
  <c r="E33836" i="5"/>
  <c r="E33828" i="5"/>
  <c r="E33820" i="5"/>
  <c r="E33812" i="5"/>
  <c r="E33804" i="5"/>
  <c r="E33796" i="5"/>
  <c r="E33788" i="5"/>
  <c r="E33780" i="5"/>
  <c r="E33772" i="5"/>
  <c r="E33764" i="5"/>
  <c r="E33756" i="5"/>
  <c r="E33748" i="5"/>
  <c r="E33740" i="5"/>
  <c r="E33732" i="5"/>
  <c r="E33724" i="5"/>
  <c r="E33716" i="5"/>
  <c r="E33708" i="5"/>
  <c r="E33700" i="5"/>
  <c r="E33692" i="5"/>
  <c r="E33684" i="5"/>
  <c r="E33676" i="5"/>
  <c r="E33668" i="5"/>
  <c r="E33660" i="5"/>
  <c r="E33652" i="5"/>
  <c r="E33644" i="5"/>
  <c r="E33636" i="5"/>
  <c r="E33628" i="5"/>
  <c r="E33620" i="5"/>
  <c r="E33612" i="5"/>
  <c r="E33604" i="5"/>
  <c r="E33596" i="5"/>
  <c r="E33588" i="5"/>
  <c r="E33580" i="5"/>
  <c r="E33572" i="5"/>
  <c r="E33564" i="5"/>
  <c r="E33556" i="5"/>
  <c r="E33548" i="5"/>
  <c r="E33540" i="5"/>
  <c r="E33532" i="5"/>
  <c r="E33524" i="5"/>
  <c r="E33516" i="5"/>
  <c r="E33508" i="5"/>
  <c r="E33500" i="5"/>
  <c r="E33492" i="5"/>
  <c r="E33484" i="5"/>
  <c r="E33476" i="5"/>
  <c r="E33468" i="5"/>
  <c r="E33460" i="5"/>
  <c r="E33452" i="5"/>
  <c r="E33444" i="5"/>
  <c r="E33436" i="5"/>
  <c r="E33428" i="5"/>
  <c r="E33420" i="5"/>
  <c r="E33412" i="5"/>
  <c r="E33404" i="5"/>
  <c r="E33396" i="5"/>
  <c r="E33388" i="5"/>
  <c r="E33380" i="5"/>
  <c r="E33372" i="5"/>
  <c r="E33364" i="5"/>
  <c r="E33356" i="5"/>
  <c r="E33348" i="5"/>
  <c r="E33340" i="5"/>
  <c r="E33332" i="5"/>
  <c r="E33324" i="5"/>
  <c r="E33316" i="5"/>
  <c r="E33308" i="5"/>
  <c r="E33300" i="5"/>
  <c r="E33292" i="5"/>
  <c r="E33284" i="5"/>
  <c r="E33276" i="5"/>
  <c r="E33268" i="5"/>
  <c r="E33260" i="5"/>
  <c r="E33252" i="5"/>
  <c r="E33244" i="5"/>
  <c r="E33236" i="5"/>
  <c r="E33228" i="5"/>
  <c r="E33220" i="5"/>
  <c r="E33212" i="5"/>
  <c r="E33204" i="5"/>
  <c r="E33196" i="5"/>
  <c r="E33188" i="5"/>
  <c r="E33180" i="5"/>
  <c r="E33172" i="5"/>
  <c r="E33164" i="5"/>
  <c r="E33156" i="5"/>
  <c r="E33148" i="5"/>
  <c r="E33140" i="5"/>
  <c r="E33132" i="5"/>
  <c r="E33124" i="5"/>
  <c r="E33116" i="5"/>
  <c r="E33108" i="5"/>
  <c r="E33100" i="5"/>
  <c r="E33092" i="5"/>
  <c r="E33084" i="5"/>
  <c r="E33076" i="5"/>
  <c r="E33068" i="5"/>
  <c r="E33060" i="5"/>
  <c r="E33052" i="5"/>
  <c r="E33044" i="5"/>
  <c r="E33036" i="5"/>
  <c r="E33028" i="5"/>
  <c r="E33020" i="5"/>
  <c r="E33012" i="5"/>
  <c r="E33004" i="5"/>
  <c r="E32996" i="5"/>
  <c r="E32988" i="5"/>
  <c r="E32980" i="5"/>
  <c r="E32972" i="5"/>
  <c r="E32964" i="5"/>
  <c r="E32956" i="5"/>
  <c r="E32948" i="5"/>
  <c r="E32940" i="5"/>
  <c r="E32932" i="5"/>
  <c r="E32924" i="5"/>
  <c r="E32916" i="5"/>
  <c r="E32908" i="5"/>
  <c r="E32900" i="5"/>
  <c r="E32892" i="5"/>
  <c r="E32884" i="5"/>
  <c r="E32876" i="5"/>
  <c r="E32868" i="5"/>
  <c r="E32860" i="5"/>
  <c r="E32852" i="5"/>
  <c r="E32844" i="5"/>
  <c r="E32836" i="5"/>
  <c r="E32828" i="5"/>
  <c r="E32820" i="5"/>
  <c r="E32812" i="5"/>
  <c r="E32804" i="5"/>
  <c r="E32796" i="5"/>
  <c r="E32788" i="5"/>
  <c r="E32780" i="5"/>
  <c r="E32772" i="5"/>
  <c r="E32764" i="5"/>
  <c r="E32756" i="5"/>
  <c r="E32748" i="5"/>
  <c r="E32740" i="5"/>
  <c r="E32732" i="5"/>
  <c r="E32724" i="5"/>
  <c r="E32716" i="5"/>
  <c r="E32708" i="5"/>
  <c r="E32700" i="5"/>
  <c r="E32692" i="5"/>
  <c r="E32684" i="5"/>
  <c r="E32676" i="5"/>
  <c r="E32668" i="5"/>
  <c r="E32660" i="5"/>
  <c r="E32652" i="5"/>
  <c r="E32644" i="5"/>
  <c r="E32636" i="5"/>
  <c r="E32628" i="5"/>
  <c r="E32620" i="5"/>
  <c r="E32612" i="5"/>
  <c r="E32604" i="5"/>
  <c r="E32596" i="5"/>
  <c r="E32588" i="5"/>
  <c r="E32580" i="5"/>
  <c r="E32572" i="5"/>
  <c r="E32564" i="5"/>
  <c r="E32556" i="5"/>
  <c r="E32548" i="5"/>
  <c r="E32540" i="5"/>
  <c r="E32532" i="5"/>
  <c r="E32524" i="5"/>
  <c r="E32516" i="5"/>
  <c r="E32508" i="5"/>
  <c r="E32500" i="5"/>
  <c r="E32492" i="5"/>
  <c r="E32484" i="5"/>
  <c r="E32476" i="5"/>
  <c r="E32468" i="5"/>
  <c r="E32460" i="5"/>
  <c r="E32452" i="5"/>
  <c r="E32444" i="5"/>
  <c r="E32436" i="5"/>
  <c r="E32428" i="5"/>
  <c r="E32420" i="5"/>
  <c r="E32412" i="5"/>
  <c r="E32404" i="5"/>
  <c r="E32396" i="5"/>
  <c r="E32388" i="5"/>
  <c r="E32380" i="5"/>
  <c r="E32372" i="5"/>
  <c r="E32364" i="5"/>
  <c r="E32356" i="5"/>
  <c r="E32348" i="5"/>
  <c r="E32340" i="5"/>
  <c r="E32332" i="5"/>
  <c r="E32324" i="5"/>
  <c r="E32316" i="5"/>
  <c r="E32308" i="5"/>
  <c r="E32300" i="5"/>
  <c r="E32292" i="5"/>
  <c r="E32284" i="5"/>
  <c r="E32276" i="5"/>
  <c r="E32268" i="5"/>
  <c r="E32260" i="5"/>
  <c r="E32252" i="5"/>
  <c r="E32244" i="5"/>
  <c r="E32236" i="5"/>
  <c r="E32228" i="5"/>
  <c r="E32220" i="5"/>
  <c r="E32212" i="5"/>
  <c r="E32204" i="5"/>
  <c r="E32196" i="5"/>
  <c r="E32188" i="5"/>
  <c r="E32180" i="5"/>
  <c r="E32172" i="5"/>
  <c r="E32164" i="5"/>
  <c r="E32156" i="5"/>
  <c r="E32148" i="5"/>
  <c r="E32140" i="5"/>
  <c r="E32132" i="5"/>
  <c r="E32124" i="5"/>
  <c r="E32116" i="5"/>
  <c r="E32108" i="5"/>
  <c r="E32100" i="5"/>
  <c r="E32092" i="5"/>
  <c r="E32084" i="5"/>
  <c r="E32076" i="5"/>
  <c r="E32068" i="5"/>
  <c r="E32060" i="5"/>
  <c r="E32052" i="5"/>
  <c r="E32044" i="5"/>
  <c r="E32036" i="5"/>
  <c r="E32028" i="5"/>
  <c r="E32020" i="5"/>
  <c r="E32012" i="5"/>
  <c r="E32004" i="5"/>
  <c r="E31996" i="5"/>
  <c r="E31988" i="5"/>
  <c r="E31980" i="5"/>
  <c r="E31972" i="5"/>
  <c r="E31964" i="5"/>
  <c r="E31956" i="5"/>
  <c r="E31948" i="5"/>
  <c r="E31940" i="5"/>
  <c r="E31932" i="5"/>
  <c r="E31924" i="5"/>
  <c r="E31916" i="5"/>
  <c r="E31908" i="5"/>
  <c r="E31900" i="5"/>
  <c r="E31892" i="5"/>
  <c r="E31884" i="5"/>
  <c r="E31876" i="5"/>
  <c r="E31868" i="5"/>
  <c r="E31860" i="5"/>
  <c r="E31852" i="5"/>
  <c r="E31844" i="5"/>
  <c r="E31836" i="5"/>
  <c r="E31828" i="5"/>
  <c r="E31820" i="5"/>
  <c r="E31812" i="5"/>
  <c r="E31804" i="5"/>
  <c r="E31796" i="5"/>
  <c r="E31788" i="5"/>
  <c r="E31780" i="5"/>
  <c r="E31772" i="5"/>
  <c r="E31764" i="5"/>
  <c r="E31756" i="5"/>
  <c r="E31748" i="5"/>
  <c r="E31740" i="5"/>
  <c r="E31732" i="5"/>
  <c r="E31724" i="5"/>
  <c r="E31716" i="5"/>
  <c r="E31708" i="5"/>
  <c r="E31700" i="5"/>
  <c r="E31692" i="5"/>
  <c r="E31684" i="5"/>
  <c r="E31676" i="5"/>
  <c r="E31668" i="5"/>
  <c r="E31660" i="5"/>
  <c r="E31652" i="5"/>
  <c r="E31644" i="5"/>
  <c r="E31636" i="5"/>
  <c r="E31628" i="5"/>
  <c r="E31620" i="5"/>
  <c r="E31612" i="5"/>
  <c r="E31604" i="5"/>
  <c r="E31596" i="5"/>
  <c r="E31588" i="5"/>
  <c r="E31580" i="5"/>
  <c r="E31572" i="5"/>
  <c r="E31564" i="5"/>
  <c r="E31556" i="5"/>
  <c r="E31548" i="5"/>
  <c r="E31540" i="5"/>
  <c r="E31532" i="5"/>
  <c r="E31524" i="5"/>
  <c r="E31516" i="5"/>
  <c r="E31508" i="5"/>
  <c r="E31500" i="5"/>
  <c r="E31492" i="5"/>
  <c r="E31484" i="5"/>
  <c r="E31476" i="5"/>
  <c r="E31468" i="5"/>
  <c r="E31460" i="5"/>
  <c r="E31452" i="5"/>
  <c r="E31444" i="5"/>
  <c r="E31436" i="5"/>
  <c r="E31428" i="5"/>
  <c r="E31420" i="5"/>
  <c r="E31412" i="5"/>
  <c r="E31404" i="5"/>
  <c r="E31396" i="5"/>
  <c r="E31388" i="5"/>
  <c r="E31380" i="5"/>
  <c r="E31372" i="5"/>
  <c r="E31364" i="5"/>
  <c r="E31356" i="5"/>
  <c r="E31348" i="5"/>
  <c r="E31340" i="5"/>
  <c r="E31332" i="5"/>
  <c r="E31324" i="5"/>
  <c r="E31316" i="5"/>
  <c r="E31308" i="5"/>
  <c r="E31300" i="5"/>
  <c r="E31292" i="5"/>
  <c r="E31284" i="5"/>
  <c r="E31276" i="5"/>
  <c r="E31268" i="5"/>
  <c r="E31260" i="5"/>
  <c r="E31252" i="5"/>
  <c r="E31244" i="5"/>
  <c r="E31236" i="5"/>
  <c r="E31228" i="5"/>
  <c r="E31220" i="5"/>
  <c r="E31212" i="5"/>
  <c r="E31204" i="5"/>
  <c r="E31196" i="5"/>
  <c r="E31188" i="5"/>
  <c r="E31180" i="5"/>
  <c r="E31172" i="5"/>
  <c r="E31164" i="5"/>
  <c r="E31156" i="5"/>
  <c r="E31148" i="5"/>
  <c r="E31140" i="5"/>
  <c r="E31132" i="5"/>
  <c r="E31124" i="5"/>
  <c r="E31116" i="5"/>
  <c r="E31108" i="5"/>
  <c r="E31100" i="5"/>
  <c r="E31092" i="5"/>
  <c r="E31084" i="5"/>
  <c r="E31076" i="5"/>
  <c r="E31068" i="5"/>
  <c r="E31060" i="5"/>
  <c r="E31052" i="5"/>
  <c r="E31044" i="5"/>
  <c r="E31036" i="5"/>
  <c r="E31028" i="5"/>
  <c r="E31020" i="5"/>
  <c r="E31012" i="5"/>
  <c r="E31004" i="5"/>
  <c r="E30996" i="5"/>
  <c r="E30988" i="5"/>
  <c r="E30980" i="5"/>
  <c r="E30972" i="5"/>
  <c r="E30964" i="5"/>
  <c r="E30956" i="5"/>
  <c r="E30948" i="5"/>
  <c r="E30940" i="5"/>
  <c r="E30932" i="5"/>
  <c r="E30924" i="5"/>
  <c r="E30916" i="5"/>
  <c r="E30908" i="5"/>
  <c r="E30900" i="5"/>
  <c r="E30892" i="5"/>
  <c r="E30884" i="5"/>
  <c r="E30876" i="5"/>
  <c r="E30868" i="5"/>
  <c r="E30860" i="5"/>
  <c r="E30852" i="5"/>
  <c r="E30844" i="5"/>
  <c r="E30836" i="5"/>
  <c r="E30828" i="5"/>
  <c r="E30820" i="5"/>
  <c r="E30812" i="5"/>
  <c r="E30804" i="5"/>
  <c r="E30796" i="5"/>
  <c r="E30788" i="5"/>
  <c r="E30780" i="5"/>
  <c r="E30772" i="5"/>
  <c r="E30764" i="5"/>
  <c r="E30756" i="5"/>
  <c r="E30748" i="5"/>
  <c r="E30740" i="5"/>
  <c r="E30732" i="5"/>
  <c r="E30724" i="5"/>
  <c r="E30716" i="5"/>
  <c r="E30708" i="5"/>
  <c r="E30700" i="5"/>
  <c r="E30692" i="5"/>
  <c r="E30684" i="5"/>
  <c r="E30676" i="5"/>
  <c r="E30668" i="5"/>
  <c r="E30660" i="5"/>
  <c r="E30652" i="5"/>
  <c r="E30644" i="5"/>
  <c r="E30636" i="5"/>
  <c r="E30628" i="5"/>
  <c r="E30620" i="5"/>
  <c r="E30612" i="5"/>
  <c r="E30604" i="5"/>
  <c r="E30596" i="5"/>
  <c r="E30588" i="5"/>
  <c r="E30580" i="5"/>
  <c r="E30572" i="5"/>
  <c r="E30564" i="5"/>
  <c r="E30556" i="5"/>
  <c r="E30548" i="5"/>
  <c r="E30540" i="5"/>
  <c r="E30532" i="5"/>
  <c r="E30524" i="5"/>
  <c r="E30516" i="5"/>
  <c r="E30508" i="5"/>
  <c r="E30500" i="5"/>
  <c r="E30492" i="5"/>
  <c r="E30484" i="5"/>
  <c r="E30476" i="5"/>
  <c r="E30468" i="5"/>
  <c r="E30460" i="5"/>
  <c r="E30452" i="5"/>
  <c r="E30444" i="5"/>
  <c r="E30436" i="5"/>
  <c r="E30428" i="5"/>
  <c r="E30420" i="5"/>
  <c r="E30412" i="5"/>
  <c r="E30404" i="5"/>
  <c r="E30396" i="5"/>
  <c r="E30388" i="5"/>
  <c r="E30380" i="5"/>
  <c r="E30372" i="5"/>
  <c r="E30364" i="5"/>
  <c r="E30356" i="5"/>
  <c r="E30348" i="5"/>
  <c r="E30340" i="5"/>
  <c r="E30332" i="5"/>
  <c r="E30324" i="5"/>
  <c r="E30316" i="5"/>
  <c r="E30308" i="5"/>
  <c r="E30300" i="5"/>
  <c r="E30292" i="5"/>
  <c r="E30284" i="5"/>
  <c r="E30276" i="5"/>
  <c r="E30268" i="5"/>
  <c r="E30260" i="5"/>
  <c r="E30252" i="5"/>
  <c r="E30244" i="5"/>
  <c r="E30236" i="5"/>
  <c r="E30228" i="5"/>
  <c r="E30220" i="5"/>
  <c r="E30212" i="5"/>
  <c r="E30204" i="5"/>
  <c r="E30196" i="5"/>
  <c r="E30188" i="5"/>
  <c r="E30180" i="5"/>
  <c r="E30172" i="5"/>
  <c r="E30164" i="5"/>
  <c r="E30156" i="5"/>
  <c r="E30148" i="5"/>
  <c r="E30140" i="5"/>
  <c r="E30132" i="5"/>
  <c r="E30124" i="5"/>
  <c r="E30116" i="5"/>
  <c r="E30108" i="5"/>
  <c r="E30100" i="5"/>
  <c r="E30092" i="5"/>
  <c r="E30084" i="5"/>
  <c r="E30076" i="5"/>
  <c r="E30068" i="5"/>
  <c r="E30060" i="5"/>
  <c r="E30052" i="5"/>
  <c r="E30044" i="5"/>
  <c r="E30036" i="5"/>
  <c r="E30028" i="5"/>
  <c r="E30020" i="5"/>
  <c r="E30012" i="5"/>
  <c r="E30004" i="5"/>
  <c r="E29996" i="5"/>
  <c r="E29988" i="5"/>
  <c r="E29980" i="5"/>
  <c r="E29972" i="5"/>
  <c r="E29964" i="5"/>
  <c r="E29956" i="5"/>
  <c r="E29948" i="5"/>
  <c r="E29940" i="5"/>
  <c r="E29932" i="5"/>
  <c r="E29924" i="5"/>
  <c r="E29916" i="5"/>
  <c r="E29908" i="5"/>
  <c r="E29900" i="5"/>
  <c r="E29892" i="5"/>
  <c r="E29884" i="5"/>
  <c r="E29876" i="5"/>
  <c r="E29868" i="5"/>
  <c r="E29860" i="5"/>
  <c r="E29852" i="5"/>
  <c r="E29844" i="5"/>
  <c r="E29836" i="5"/>
  <c r="E29828" i="5"/>
  <c r="E29820" i="5"/>
  <c r="E29812" i="5"/>
  <c r="E29804" i="5"/>
  <c r="E29796" i="5"/>
  <c r="E29788" i="5"/>
  <c r="E29780" i="5"/>
  <c r="E29772" i="5"/>
  <c r="E29764" i="5"/>
  <c r="E29756" i="5"/>
  <c r="E29748" i="5"/>
  <c r="E29740" i="5"/>
  <c r="E29732" i="5"/>
  <c r="E29724" i="5"/>
  <c r="E29716" i="5"/>
  <c r="E29708" i="5"/>
  <c r="E29700" i="5"/>
  <c r="E29692" i="5"/>
  <c r="E29684" i="5"/>
  <c r="E29676" i="5"/>
  <c r="E29668" i="5"/>
  <c r="E29660" i="5"/>
  <c r="E29652" i="5"/>
  <c r="E29644" i="5"/>
  <c r="E29636" i="5"/>
  <c r="E29628" i="5"/>
  <c r="E29620" i="5"/>
  <c r="E29612" i="5"/>
  <c r="E29604" i="5"/>
  <c r="E29596" i="5"/>
  <c r="E29588" i="5"/>
  <c r="E29580" i="5"/>
  <c r="E29572" i="5"/>
  <c r="E29564" i="5"/>
  <c r="E29556" i="5"/>
  <c r="E29548" i="5"/>
  <c r="E29540" i="5"/>
  <c r="E29532" i="5"/>
  <c r="E29524" i="5"/>
  <c r="E29516" i="5"/>
  <c r="E29508" i="5"/>
  <c r="E29500" i="5"/>
  <c r="E29492" i="5"/>
  <c r="E29484" i="5"/>
  <c r="E29476" i="5"/>
  <c r="E29468" i="5"/>
  <c r="E29460" i="5"/>
  <c r="E29452" i="5"/>
  <c r="E29444" i="5"/>
  <c r="E29436" i="5"/>
  <c r="E29428" i="5"/>
  <c r="E29420" i="5"/>
  <c r="E29412" i="5"/>
  <c r="E29404" i="5"/>
  <c r="E29396" i="5"/>
  <c r="E29388" i="5"/>
  <c r="E29380" i="5"/>
  <c r="E29372" i="5"/>
  <c r="E29364" i="5"/>
  <c r="E29356" i="5"/>
  <c r="E29348" i="5"/>
  <c r="E29340" i="5"/>
  <c r="E29332" i="5"/>
  <c r="E29324" i="5"/>
  <c r="E29316" i="5"/>
  <c r="E29308" i="5"/>
  <c r="E29300" i="5"/>
  <c r="E29292" i="5"/>
  <c r="E29284" i="5"/>
  <c r="E29276" i="5"/>
  <c r="E29268" i="5"/>
  <c r="E29260" i="5"/>
  <c r="E29252" i="5"/>
  <c r="E29244" i="5"/>
  <c r="E29236" i="5"/>
  <c r="E29228" i="5"/>
  <c r="E29220" i="5"/>
  <c r="E29212" i="5"/>
  <c r="E29204" i="5"/>
  <c r="E29196" i="5"/>
  <c r="E29188" i="5"/>
  <c r="E29180" i="5"/>
  <c r="E29172" i="5"/>
  <c r="E29164" i="5"/>
  <c r="E29156" i="5"/>
  <c r="E29148" i="5"/>
  <c r="E29140" i="5"/>
  <c r="E29132" i="5"/>
  <c r="E29124" i="5"/>
  <c r="E29116" i="5"/>
  <c r="E29108" i="5"/>
  <c r="E29100" i="5"/>
  <c r="E29092" i="5"/>
  <c r="E29084" i="5"/>
  <c r="E29076" i="5"/>
  <c r="E29068" i="5"/>
  <c r="E29060" i="5"/>
  <c r="E29052" i="5"/>
  <c r="E29044" i="5"/>
  <c r="E29036" i="5"/>
  <c r="E29028" i="5"/>
  <c r="E29020" i="5"/>
  <c r="E29012" i="5"/>
  <c r="E29004" i="5"/>
  <c r="E28996" i="5"/>
  <c r="E28988" i="5"/>
  <c r="E28980" i="5"/>
  <c r="E28972" i="5"/>
  <c r="E28964" i="5"/>
  <c r="E28956" i="5"/>
  <c r="E28948" i="5"/>
  <c r="E28940" i="5"/>
  <c r="E28932" i="5"/>
  <c r="E28924" i="5"/>
  <c r="E28916" i="5"/>
  <c r="E28908" i="5"/>
  <c r="E28900" i="5"/>
  <c r="E28892" i="5"/>
  <c r="E28884" i="5"/>
  <c r="E28876" i="5"/>
  <c r="E28868" i="5"/>
  <c r="E28860" i="5"/>
  <c r="E28852" i="5"/>
  <c r="E28844" i="5"/>
  <c r="E28836" i="5"/>
  <c r="E28828" i="5"/>
  <c r="E28820" i="5"/>
  <c r="E28812" i="5"/>
  <c r="E28804" i="5"/>
  <c r="E28796" i="5"/>
  <c r="E28788" i="5"/>
  <c r="E28780" i="5"/>
  <c r="E28772" i="5"/>
  <c r="E28764" i="5"/>
  <c r="E28756" i="5"/>
  <c r="E28748" i="5"/>
  <c r="E28740" i="5"/>
  <c r="E28732" i="5"/>
  <c r="E28724" i="5"/>
  <c r="E28716" i="5"/>
  <c r="E28708" i="5"/>
  <c r="E28700" i="5"/>
  <c r="E28692" i="5"/>
  <c r="E28684" i="5"/>
  <c r="E28676" i="5"/>
  <c r="E28668" i="5"/>
  <c r="E28660" i="5"/>
  <c r="E28652" i="5"/>
  <c r="E28644" i="5"/>
  <c r="E28636" i="5"/>
  <c r="E28628" i="5"/>
  <c r="E28620" i="5"/>
  <c r="E28612" i="5"/>
  <c r="E28604" i="5"/>
  <c r="E28596" i="5"/>
  <c r="E28588" i="5"/>
  <c r="E28580" i="5"/>
  <c r="E28572" i="5"/>
  <c r="E28564" i="5"/>
  <c r="E28556" i="5"/>
  <c r="E28548" i="5"/>
  <c r="E28540" i="5"/>
  <c r="E28532" i="5"/>
  <c r="E28524" i="5"/>
  <c r="E28516" i="5"/>
  <c r="E28508" i="5"/>
  <c r="E28500" i="5"/>
  <c r="E28492" i="5"/>
  <c r="E28484" i="5"/>
  <c r="E28476" i="5"/>
  <c r="E28468" i="5"/>
  <c r="E28460" i="5"/>
  <c r="E28452" i="5"/>
  <c r="E28444" i="5"/>
  <c r="E28436" i="5"/>
  <c r="E28428" i="5"/>
  <c r="E28420" i="5"/>
  <c r="E28412" i="5"/>
  <c r="E28404" i="5"/>
  <c r="E28396" i="5"/>
  <c r="E28388" i="5"/>
  <c r="E28380" i="5"/>
  <c r="E28372" i="5"/>
  <c r="E28364" i="5"/>
  <c r="E28356" i="5"/>
  <c r="E28348" i="5"/>
  <c r="E28340" i="5"/>
  <c r="E28332" i="5"/>
  <c r="E28324" i="5"/>
  <c r="E28316" i="5"/>
  <c r="E28308" i="5"/>
  <c r="E28300" i="5"/>
  <c r="E28292" i="5"/>
  <c r="E28284" i="5"/>
  <c r="E28276" i="5"/>
  <c r="E28268" i="5"/>
  <c r="E28260" i="5"/>
  <c r="E28252" i="5"/>
  <c r="E28244" i="5"/>
  <c r="E28236" i="5"/>
  <c r="E28228" i="5"/>
  <c r="E28220" i="5"/>
  <c r="E28212" i="5"/>
  <c r="E28204" i="5"/>
  <c r="E28196" i="5"/>
  <c r="E28188" i="5"/>
  <c r="E28180" i="5"/>
  <c r="E28172" i="5"/>
  <c r="E28164" i="5"/>
  <c r="E28156" i="5"/>
  <c r="E28148" i="5"/>
  <c r="E28140" i="5"/>
  <c r="E28132" i="5"/>
  <c r="E28124" i="5"/>
  <c r="E28116" i="5"/>
  <c r="E28108" i="5"/>
  <c r="E28100" i="5"/>
  <c r="E28092" i="5"/>
  <c r="E28084" i="5"/>
  <c r="E28076" i="5"/>
  <c r="E28068" i="5"/>
  <c r="E28060" i="5"/>
  <c r="E28052" i="5"/>
  <c r="E28044" i="5"/>
  <c r="E28036" i="5"/>
  <c r="E28028" i="5"/>
  <c r="E28020" i="5"/>
  <c r="E28012" i="5"/>
  <c r="E28004" i="5"/>
  <c r="E27996" i="5"/>
  <c r="E27988" i="5"/>
  <c r="E27980" i="5"/>
  <c r="E27972" i="5"/>
  <c r="E27964" i="5"/>
  <c r="E27956" i="5"/>
  <c r="E27948" i="5"/>
  <c r="E27940" i="5"/>
  <c r="E27932" i="5"/>
  <c r="E27924" i="5"/>
  <c r="E27916" i="5"/>
  <c r="E27908" i="5"/>
  <c r="E27900" i="5"/>
  <c r="E27892" i="5"/>
  <c r="E27884" i="5"/>
  <c r="E27876" i="5"/>
  <c r="E27868" i="5"/>
  <c r="E27860" i="5"/>
  <c r="E27852" i="5"/>
  <c r="E27844" i="5"/>
  <c r="E27836" i="5"/>
  <c r="E27828" i="5"/>
  <c r="E27820" i="5"/>
  <c r="E27812" i="5"/>
  <c r="E27804" i="5"/>
  <c r="E27796" i="5"/>
  <c r="E27788" i="5"/>
  <c r="E27780" i="5"/>
  <c r="E27772" i="5"/>
  <c r="E27764" i="5"/>
  <c r="E27756" i="5"/>
  <c r="E27748" i="5"/>
  <c r="E27740" i="5"/>
  <c r="E27732" i="5"/>
  <c r="E27724" i="5"/>
  <c r="E27716" i="5"/>
  <c r="E27708" i="5"/>
  <c r="E27700" i="5"/>
  <c r="E27692" i="5"/>
  <c r="E27684" i="5"/>
  <c r="E27676" i="5"/>
  <c r="E27668" i="5"/>
  <c r="E27660" i="5"/>
  <c r="E27652" i="5"/>
  <c r="E27644" i="5"/>
  <c r="E27636" i="5"/>
  <c r="E27628" i="5"/>
  <c r="E27620" i="5"/>
  <c r="E27612" i="5"/>
  <c r="E27604" i="5"/>
  <c r="E27596" i="5"/>
  <c r="E27588" i="5"/>
  <c r="E27580" i="5"/>
  <c r="E27572" i="5"/>
  <c r="E27564" i="5"/>
  <c r="E27556" i="5"/>
  <c r="E27548" i="5"/>
  <c r="E27540" i="5"/>
  <c r="E27532" i="5"/>
  <c r="E27524" i="5"/>
  <c r="E27516" i="5"/>
  <c r="E27508" i="5"/>
  <c r="E27500" i="5"/>
  <c r="E27492" i="5"/>
  <c r="E27484" i="5"/>
  <c r="E27476" i="5"/>
  <c r="E27468" i="5"/>
  <c r="E27460" i="5"/>
  <c r="E27452" i="5"/>
  <c r="E27444" i="5"/>
  <c r="E27436" i="5"/>
  <c r="E27428" i="5"/>
  <c r="E27420" i="5"/>
  <c r="E27412" i="5"/>
  <c r="E27404" i="5"/>
  <c r="E27396" i="5"/>
  <c r="E27388" i="5"/>
  <c r="E27380" i="5"/>
  <c r="E27372" i="5"/>
  <c r="E27364" i="5"/>
  <c r="E27356" i="5"/>
  <c r="E27348" i="5"/>
  <c r="E27340" i="5"/>
  <c r="E27332" i="5"/>
  <c r="E27324" i="5"/>
  <c r="E27316" i="5"/>
  <c r="E27308" i="5"/>
  <c r="E27300" i="5"/>
  <c r="E27292" i="5"/>
  <c r="E27284" i="5"/>
  <c r="E27276" i="5"/>
  <c r="E27268" i="5"/>
  <c r="E27260" i="5"/>
  <c r="E27252" i="5"/>
  <c r="E27244" i="5"/>
  <c r="E27236" i="5"/>
  <c r="E27228" i="5"/>
  <c r="E27220" i="5"/>
  <c r="E27212" i="5"/>
  <c r="E27204" i="5"/>
  <c r="E27196" i="5"/>
  <c r="E27188" i="5"/>
  <c r="E27180" i="5"/>
  <c r="E27172" i="5"/>
  <c r="E27164" i="5"/>
  <c r="E27156" i="5"/>
  <c r="E27148" i="5"/>
  <c r="E27140" i="5"/>
  <c r="E27132" i="5"/>
  <c r="E27124" i="5"/>
  <c r="E27116" i="5"/>
  <c r="E27108" i="5"/>
  <c r="E27100" i="5"/>
  <c r="E27092" i="5"/>
  <c r="E27084" i="5"/>
  <c r="E27076" i="5"/>
  <c r="E27068" i="5"/>
  <c r="E27060" i="5"/>
  <c r="E27052" i="5"/>
  <c r="E27044" i="5"/>
  <c r="E27036" i="5"/>
  <c r="E27028" i="5"/>
  <c r="E27020" i="5"/>
  <c r="E27012" i="5"/>
  <c r="E27004" i="5"/>
  <c r="E26996" i="5"/>
  <c r="E26988" i="5"/>
  <c r="E26980" i="5"/>
  <c r="E26972" i="5"/>
  <c r="E26964" i="5"/>
  <c r="E26956" i="5"/>
  <c r="E26948" i="5"/>
  <c r="E26940" i="5"/>
  <c r="E26932" i="5"/>
  <c r="E26924" i="5"/>
  <c r="E26916" i="5"/>
  <c r="E26908" i="5"/>
  <c r="E26900" i="5"/>
  <c r="E26892" i="5"/>
  <c r="E26884" i="5"/>
  <c r="E26876" i="5"/>
  <c r="E26868" i="5"/>
  <c r="E26860" i="5"/>
  <c r="E26852" i="5"/>
  <c r="E26844" i="5"/>
  <c r="E26836" i="5"/>
  <c r="E26828" i="5"/>
  <c r="E26820" i="5"/>
  <c r="E26812" i="5"/>
  <c r="E26804" i="5"/>
  <c r="E26796" i="5"/>
  <c r="E26788" i="5"/>
  <c r="E26780" i="5"/>
  <c r="E26772" i="5"/>
  <c r="E26764" i="5"/>
  <c r="E26756" i="5"/>
  <c r="E26748" i="5"/>
  <c r="E26740" i="5"/>
  <c r="E26732" i="5"/>
  <c r="E26724" i="5"/>
  <c r="E26716" i="5"/>
  <c r="E26708" i="5"/>
  <c r="E26700" i="5"/>
  <c r="E26692" i="5"/>
  <c r="E26684" i="5"/>
  <c r="E26676" i="5"/>
  <c r="E26668" i="5"/>
  <c r="E26660" i="5"/>
  <c r="E26652" i="5"/>
  <c r="E26644" i="5"/>
  <c r="E26636" i="5"/>
  <c r="E26628" i="5"/>
  <c r="E26620" i="5"/>
  <c r="E26612" i="5"/>
  <c r="E26604" i="5"/>
  <c r="E26596" i="5"/>
  <c r="E26588" i="5"/>
  <c r="E26580" i="5"/>
  <c r="E26572" i="5"/>
  <c r="E26564" i="5"/>
  <c r="E26556" i="5"/>
  <c r="E26548" i="5"/>
  <c r="E26540" i="5"/>
  <c r="E26532" i="5"/>
  <c r="E26524" i="5"/>
  <c r="E26516" i="5"/>
  <c r="E26508" i="5"/>
  <c r="E26500" i="5"/>
  <c r="E26492" i="5"/>
  <c r="E26484" i="5"/>
  <c r="E26476" i="5"/>
  <c r="E26468" i="5"/>
  <c r="E26460" i="5"/>
  <c r="E26452" i="5"/>
  <c r="E26444" i="5"/>
  <c r="E26436" i="5"/>
  <c r="E26428" i="5"/>
  <c r="E26420" i="5"/>
  <c r="E26412" i="5"/>
  <c r="E26404" i="5"/>
  <c r="E26396" i="5"/>
  <c r="E26388" i="5"/>
  <c r="E26380" i="5"/>
  <c r="E26372" i="5"/>
  <c r="E26364" i="5"/>
  <c r="E26356" i="5"/>
  <c r="E26348" i="5"/>
  <c r="E26340" i="5"/>
  <c r="E26332" i="5"/>
  <c r="E26324" i="5"/>
  <c r="E26316" i="5"/>
  <c r="E26308" i="5"/>
  <c r="E26300" i="5"/>
  <c r="E26292" i="5"/>
  <c r="E26284" i="5"/>
  <c r="E26276" i="5"/>
  <c r="E26268" i="5"/>
  <c r="E26260" i="5"/>
  <c r="E26252" i="5"/>
  <c r="E26244" i="5"/>
  <c r="E26236" i="5"/>
  <c r="E26228" i="5"/>
  <c r="E26220" i="5"/>
  <c r="E26212" i="5"/>
  <c r="E26204" i="5"/>
  <c r="E26196" i="5"/>
  <c r="E26188" i="5"/>
  <c r="E26180" i="5"/>
  <c r="E26172" i="5"/>
  <c r="E26164" i="5"/>
  <c r="E26156" i="5"/>
  <c r="E26148" i="5"/>
  <c r="E26140" i="5"/>
  <c r="E26132" i="5"/>
  <c r="E26124" i="5"/>
  <c r="E26116" i="5"/>
  <c r="E26108" i="5"/>
  <c r="E26100" i="5"/>
  <c r="E26092" i="5"/>
  <c r="E26084" i="5"/>
  <c r="E26076" i="5"/>
  <c r="E26068" i="5"/>
  <c r="E26060" i="5"/>
  <c r="E26052" i="5"/>
  <c r="E26044" i="5"/>
  <c r="E26036" i="5"/>
  <c r="E26028" i="5"/>
  <c r="E26020" i="5"/>
  <c r="E26012" i="5"/>
  <c r="E26004" i="5"/>
  <c r="E25996" i="5"/>
  <c r="E25988" i="5"/>
  <c r="E25980" i="5"/>
  <c r="E25972" i="5"/>
  <c r="E25964" i="5"/>
  <c r="E25956" i="5"/>
  <c r="E25948" i="5"/>
  <c r="E25940" i="5"/>
  <c r="E25932" i="5"/>
  <c r="E25924" i="5"/>
  <c r="E25916" i="5"/>
  <c r="E25908" i="5"/>
  <c r="E25900" i="5"/>
  <c r="E25892" i="5"/>
  <c r="E25884" i="5"/>
  <c r="E25876" i="5"/>
  <c r="E25868" i="5"/>
  <c r="E25860" i="5"/>
  <c r="E25852" i="5"/>
  <c r="E25844" i="5"/>
  <c r="E25836" i="5"/>
  <c r="E25828" i="5"/>
  <c r="E25820" i="5"/>
  <c r="E25812" i="5"/>
  <c r="E25804" i="5"/>
  <c r="E25796" i="5"/>
  <c r="E25788" i="5"/>
  <c r="E25780" i="5"/>
  <c r="E25772" i="5"/>
  <c r="E25764" i="5"/>
  <c r="E25756" i="5"/>
  <c r="E25748" i="5"/>
  <c r="E25740" i="5"/>
  <c r="E25732" i="5"/>
  <c r="E25724" i="5"/>
  <c r="E25716" i="5"/>
  <c r="E25708" i="5"/>
  <c r="E25700" i="5"/>
  <c r="E25692" i="5"/>
  <c r="E25684" i="5"/>
  <c r="E25676" i="5"/>
  <c r="E25668" i="5"/>
  <c r="E25660" i="5"/>
  <c r="E25652" i="5"/>
  <c r="E25644" i="5"/>
  <c r="E25636" i="5"/>
  <c r="E25628" i="5"/>
  <c r="E25620" i="5"/>
  <c r="E25612" i="5"/>
  <c r="E25604" i="5"/>
  <c r="E25596" i="5"/>
  <c r="E25588" i="5"/>
  <c r="E25580" i="5"/>
  <c r="E25572" i="5"/>
  <c r="E25564" i="5"/>
  <c r="E25556" i="5"/>
  <c r="E25548" i="5"/>
  <c r="E25540" i="5"/>
  <c r="E25532" i="5"/>
  <c r="E25524" i="5"/>
  <c r="E25516" i="5"/>
  <c r="E25508" i="5"/>
  <c r="E25500" i="5"/>
  <c r="E25492" i="5"/>
  <c r="E25484" i="5"/>
  <c r="E25476" i="5"/>
  <c r="E25468" i="5"/>
  <c r="E25460" i="5"/>
  <c r="E25452" i="5"/>
  <c r="E25444" i="5"/>
  <c r="E25436" i="5"/>
  <c r="E25428" i="5"/>
  <c r="E25420" i="5"/>
  <c r="E25412" i="5"/>
  <c r="E25404" i="5"/>
  <c r="E25396" i="5"/>
  <c r="E25388" i="5"/>
  <c r="E25380" i="5"/>
  <c r="E25372" i="5"/>
  <c r="E25364" i="5"/>
  <c r="E25356" i="5"/>
  <c r="E25348" i="5"/>
  <c r="E25340" i="5"/>
  <c r="E25332" i="5"/>
  <c r="E25324" i="5"/>
  <c r="E25316" i="5"/>
  <c r="E25308" i="5"/>
  <c r="E25300" i="5"/>
  <c r="E25292" i="5"/>
  <c r="E25284" i="5"/>
  <c r="E25276" i="5"/>
  <c r="E25268" i="5"/>
  <c r="E25260" i="5"/>
  <c r="E25252" i="5"/>
  <c r="E25244" i="5"/>
  <c r="E25236" i="5"/>
  <c r="E25228" i="5"/>
  <c r="E25220" i="5"/>
  <c r="E25212" i="5"/>
  <c r="E25204" i="5"/>
  <c r="E25196" i="5"/>
  <c r="E25188" i="5"/>
  <c r="E25180" i="5"/>
  <c r="E25172" i="5"/>
  <c r="E25164" i="5"/>
  <c r="E25156" i="5"/>
  <c r="E25148" i="5"/>
  <c r="E25140" i="5"/>
  <c r="E25132" i="5"/>
  <c r="E25124" i="5"/>
  <c r="E25116" i="5"/>
  <c r="E25108" i="5"/>
  <c r="E25100" i="5"/>
  <c r="E25092" i="5"/>
  <c r="E25084" i="5"/>
  <c r="E25076" i="5"/>
  <c r="E25068" i="5"/>
  <c r="E25060" i="5"/>
  <c r="E25052" i="5"/>
  <c r="E25044" i="5"/>
  <c r="E25036" i="5"/>
  <c r="E25028" i="5"/>
  <c r="E25020" i="5"/>
  <c r="E25012" i="5"/>
  <c r="E25004" i="5"/>
  <c r="E24996" i="5"/>
  <c r="E24988" i="5"/>
  <c r="E24980" i="5"/>
  <c r="E24972" i="5"/>
  <c r="E24964" i="5"/>
  <c r="E24956" i="5"/>
  <c r="E24948" i="5"/>
  <c r="E24940" i="5"/>
  <c r="E24932" i="5"/>
  <c r="E24924" i="5"/>
  <c r="E24916" i="5"/>
  <c r="E24908" i="5"/>
  <c r="E24900" i="5"/>
  <c r="E24892" i="5"/>
  <c r="E24884" i="5"/>
  <c r="E24876" i="5"/>
  <c r="E24868" i="5"/>
  <c r="E24860" i="5"/>
  <c r="E24852" i="5"/>
  <c r="E24844" i="5"/>
  <c r="E24836" i="5"/>
  <c r="E24828" i="5"/>
  <c r="E24820" i="5"/>
  <c r="E24812" i="5"/>
  <c r="E24804" i="5"/>
  <c r="E24796" i="5"/>
  <c r="E24788" i="5"/>
  <c r="E24780" i="5"/>
  <c r="E24772" i="5"/>
  <c r="E24764" i="5"/>
  <c r="E24756" i="5"/>
  <c r="E24748" i="5"/>
  <c r="E24740" i="5"/>
  <c r="E24732" i="5"/>
  <c r="E24724" i="5"/>
  <c r="E24716" i="5"/>
  <c r="E24708" i="5"/>
  <c r="E24700" i="5"/>
  <c r="E24692" i="5"/>
  <c r="E24684" i="5"/>
  <c r="E24676" i="5"/>
  <c r="E24668" i="5"/>
  <c r="E24660" i="5"/>
  <c r="E24652" i="5"/>
  <c r="E24644" i="5"/>
  <c r="E24636" i="5"/>
  <c r="E24628" i="5"/>
  <c r="E24620" i="5"/>
  <c r="E24612" i="5"/>
  <c r="E24604" i="5"/>
  <c r="E24596" i="5"/>
  <c r="E24588" i="5"/>
  <c r="E24580" i="5"/>
  <c r="E24572" i="5"/>
  <c r="E24564" i="5"/>
  <c r="E24556" i="5"/>
  <c r="E24548" i="5"/>
  <c r="E24540" i="5"/>
  <c r="E24532" i="5"/>
  <c r="E24524" i="5"/>
  <c r="E24516" i="5"/>
  <c r="E24508" i="5"/>
  <c r="E24500" i="5"/>
  <c r="E24492" i="5"/>
  <c r="E24484" i="5"/>
  <c r="E24476" i="5"/>
  <c r="E24468" i="5"/>
  <c r="E24460" i="5"/>
  <c r="E24452" i="5"/>
  <c r="E24444" i="5"/>
  <c r="E24436" i="5"/>
  <c r="E41563" i="5"/>
  <c r="E41547" i="5"/>
  <c r="E41531" i="5"/>
  <c r="E41515" i="5"/>
  <c r="E41499" i="5"/>
  <c r="E41483" i="5"/>
  <c r="E41467" i="5"/>
  <c r="E41451" i="5"/>
  <c r="E41435" i="5"/>
  <c r="E41419" i="5"/>
  <c r="E41403" i="5"/>
  <c r="E41387" i="5"/>
  <c r="E41371" i="5"/>
  <c r="E41355" i="5"/>
  <c r="E41339" i="5"/>
  <c r="E41323" i="5"/>
  <c r="E41307" i="5"/>
  <c r="E41291" i="5"/>
  <c r="E41275" i="5"/>
  <c r="E41259" i="5"/>
  <c r="E41243" i="5"/>
  <c r="E41227" i="5"/>
  <c r="E41211" i="5"/>
  <c r="E41195" i="5"/>
  <c r="E41179" i="5"/>
  <c r="E41163" i="5"/>
  <c r="E41147" i="5"/>
  <c r="E41131" i="5"/>
  <c r="E41115" i="5"/>
  <c r="E41099" i="5"/>
  <c r="E41083" i="5"/>
  <c r="E41067" i="5"/>
  <c r="E41051" i="5"/>
  <c r="E41035" i="5"/>
  <c r="E41019" i="5"/>
  <c r="E41003" i="5"/>
  <c r="E40987" i="5"/>
  <c r="E40971" i="5"/>
  <c r="E40955" i="5"/>
  <c r="E40939" i="5"/>
  <c r="E40923" i="5"/>
  <c r="E40907" i="5"/>
  <c r="E40891" i="5"/>
  <c r="E40875" i="5"/>
  <c r="E40862" i="5"/>
  <c r="E40849" i="5"/>
  <c r="E40836" i="5"/>
  <c r="E40824" i="5"/>
  <c r="E40811" i="5"/>
  <c r="E40798" i="5"/>
  <c r="E40785" i="5"/>
  <c r="E40772" i="5"/>
  <c r="E40760" i="5"/>
  <c r="E40747" i="5"/>
  <c r="E40734" i="5"/>
  <c r="E40721" i="5"/>
  <c r="E40708" i="5"/>
  <c r="E40696" i="5"/>
  <c r="E40683" i="5"/>
  <c r="E40670" i="5"/>
  <c r="E40657" i="5"/>
  <c r="E40644" i="5"/>
  <c r="E40632" i="5"/>
  <c r="E40619" i="5"/>
  <c r="E40606" i="5"/>
  <c r="E40593" i="5"/>
  <c r="E40580" i="5"/>
  <c r="E40568" i="5"/>
  <c r="E40555" i="5"/>
  <c r="E40542" i="5"/>
  <c r="E40529" i="5"/>
  <c r="E40516" i="5"/>
  <c r="E40504" i="5"/>
  <c r="E40491" i="5"/>
  <c r="E40478" i="5"/>
  <c r="E40465" i="5"/>
  <c r="E40452" i="5"/>
  <c r="E40440" i="5"/>
  <c r="E40427" i="5"/>
  <c r="E40414" i="5"/>
  <c r="E40401" i="5"/>
  <c r="E40388" i="5"/>
  <c r="E40376" i="5"/>
  <c r="E40363" i="5"/>
  <c r="E40350" i="5"/>
  <c r="E40337" i="5"/>
  <c r="E40324" i="5"/>
  <c r="E40312" i="5"/>
  <c r="E40299" i="5"/>
  <c r="E40286" i="5"/>
  <c r="E40273" i="5"/>
  <c r="E40260" i="5"/>
  <c r="E40248" i="5"/>
  <c r="E40235" i="5"/>
  <c r="E40222" i="5"/>
  <c r="E40209" i="5"/>
  <c r="E40196" i="5"/>
  <c r="E40184" i="5"/>
  <c r="E40171" i="5"/>
  <c r="E40158" i="5"/>
  <c r="E40145" i="5"/>
  <c r="E40132" i="5"/>
  <c r="E40120" i="5"/>
  <c r="E40107" i="5"/>
  <c r="E40094" i="5"/>
  <c r="E40081" i="5"/>
  <c r="E40068" i="5"/>
  <c r="E40056" i="5"/>
  <c r="E40043" i="5"/>
  <c r="E40030" i="5"/>
  <c r="E40017" i="5"/>
  <c r="E40004" i="5"/>
  <c r="E39992" i="5"/>
  <c r="E39979" i="5"/>
  <c r="E39966" i="5"/>
  <c r="E39953" i="5"/>
  <c r="E39940" i="5"/>
  <c r="E39928" i="5"/>
  <c r="E39915" i="5"/>
  <c r="E39902" i="5"/>
  <c r="E39889" i="5"/>
  <c r="E39876" i="5"/>
  <c r="E39864" i="5"/>
  <c r="E39851" i="5"/>
  <c r="E39838" i="5"/>
  <c r="E39825" i="5"/>
  <c r="E39812" i="5"/>
  <c r="E39800" i="5"/>
  <c r="E39787" i="5"/>
  <c r="E39774" i="5"/>
  <c r="E39761" i="5"/>
  <c r="E39748" i="5"/>
  <c r="E39736" i="5"/>
  <c r="E39723" i="5"/>
  <c r="E39710" i="5"/>
  <c r="E39697" i="5"/>
  <c r="E39684" i="5"/>
  <c r="E39672" i="5"/>
  <c r="E39659" i="5"/>
  <c r="E39646" i="5"/>
  <c r="E39633" i="5"/>
  <c r="E39620" i="5"/>
  <c r="E39608" i="5"/>
  <c r="E39595" i="5"/>
  <c r="E39582" i="5"/>
  <c r="E39569" i="5"/>
  <c r="E39556" i="5"/>
  <c r="E39544" i="5"/>
  <c r="E39531" i="5"/>
  <c r="E39518" i="5"/>
  <c r="E39505" i="5"/>
  <c r="E39492" i="5"/>
  <c r="E39480" i="5"/>
  <c r="E39467" i="5"/>
  <c r="E39454" i="5"/>
  <c r="E39441" i="5"/>
  <c r="E39428" i="5"/>
  <c r="E39416" i="5"/>
  <c r="E39403" i="5"/>
  <c r="E39390" i="5"/>
  <c r="E39377" i="5"/>
  <c r="E39364" i="5"/>
  <c r="E39352" i="5"/>
  <c r="E39339" i="5"/>
  <c r="E39326" i="5"/>
  <c r="E39313" i="5"/>
  <c r="E39300" i="5"/>
  <c r="E39288" i="5"/>
  <c r="E39275" i="5"/>
  <c r="E39262" i="5"/>
  <c r="E39251" i="5"/>
  <c r="E39241" i="5"/>
  <c r="E39230" i="5"/>
  <c r="E39219" i="5"/>
  <c r="E39209" i="5"/>
  <c r="E39198" i="5"/>
  <c r="E39187" i="5"/>
  <c r="E39177" i="5"/>
  <c r="E39166" i="5"/>
  <c r="E39155" i="5"/>
  <c r="E39147" i="5"/>
  <c r="E39139" i="5"/>
  <c r="E39131" i="5"/>
  <c r="E39123" i="5"/>
  <c r="E39115" i="5"/>
  <c r="E39107" i="5"/>
  <c r="E39099" i="5"/>
  <c r="E39091" i="5"/>
  <c r="E39083" i="5"/>
  <c r="E39075" i="5"/>
  <c r="E39067" i="5"/>
  <c r="E39059" i="5"/>
  <c r="E39051" i="5"/>
  <c r="E39043" i="5"/>
  <c r="E39035" i="5"/>
  <c r="E39027" i="5"/>
  <c r="E39019" i="5"/>
  <c r="E39011" i="5"/>
  <c r="E39003" i="5"/>
  <c r="E38995" i="5"/>
  <c r="E38987" i="5"/>
  <c r="E38979" i="5"/>
  <c r="E38971" i="5"/>
  <c r="E38963" i="5"/>
  <c r="E38955" i="5"/>
  <c r="E38947" i="5"/>
  <c r="E38939" i="5"/>
  <c r="E38931" i="5"/>
  <c r="E38923" i="5"/>
  <c r="E38915" i="5"/>
  <c r="E38907" i="5"/>
  <c r="E38899" i="5"/>
  <c r="E38891" i="5"/>
  <c r="E38883" i="5"/>
  <c r="E38875" i="5"/>
  <c r="E38867" i="5"/>
  <c r="E38859" i="5"/>
  <c r="E38851" i="5"/>
  <c r="E38843" i="5"/>
  <c r="E38835" i="5"/>
  <c r="E38827" i="5"/>
  <c r="E38819" i="5"/>
  <c r="E38811" i="5"/>
  <c r="E38803" i="5"/>
  <c r="E38795" i="5"/>
  <c r="E38787" i="5"/>
  <c r="E38779" i="5"/>
  <c r="E38771" i="5"/>
  <c r="E38763" i="5"/>
  <c r="E38755" i="5"/>
  <c r="E38747" i="5"/>
  <c r="E38739" i="5"/>
  <c r="E38731" i="5"/>
  <c r="E38723" i="5"/>
  <c r="E38715" i="5"/>
  <c r="E38707" i="5"/>
  <c r="E38699" i="5"/>
  <c r="E38691" i="5"/>
  <c r="E38683" i="5"/>
  <c r="E38675" i="5"/>
  <c r="E38667" i="5"/>
  <c r="E38659" i="5"/>
  <c r="E38651" i="5"/>
  <c r="E38643" i="5"/>
  <c r="E38635" i="5"/>
  <c r="E38627" i="5"/>
  <c r="E38619" i="5"/>
  <c r="E38611" i="5"/>
  <c r="E38603" i="5"/>
  <c r="E38595" i="5"/>
  <c r="E38587" i="5"/>
  <c r="E38579" i="5"/>
  <c r="E38571" i="5"/>
  <c r="E38563" i="5"/>
  <c r="E38555" i="5"/>
  <c r="E38547" i="5"/>
  <c r="E38539" i="5"/>
  <c r="E38531" i="5"/>
  <c r="E38523" i="5"/>
  <c r="E38515" i="5"/>
  <c r="E38507" i="5"/>
  <c r="E38499" i="5"/>
  <c r="E38491" i="5"/>
  <c r="E38483" i="5"/>
  <c r="E38475" i="5"/>
  <c r="E38467" i="5"/>
  <c r="E38459" i="5"/>
  <c r="E38451" i="5"/>
  <c r="E38443" i="5"/>
  <c r="E38435" i="5"/>
  <c r="E38427" i="5"/>
  <c r="E38419" i="5"/>
  <c r="E38411" i="5"/>
  <c r="E38403" i="5"/>
  <c r="E38395" i="5"/>
  <c r="E38387" i="5"/>
  <c r="E38379" i="5"/>
  <c r="E38371" i="5"/>
  <c r="E38363" i="5"/>
  <c r="E38355" i="5"/>
  <c r="E38347" i="5"/>
  <c r="E38339" i="5"/>
  <c r="E38331" i="5"/>
  <c r="E38323" i="5"/>
  <c r="E38315" i="5"/>
  <c r="E38307" i="5"/>
  <c r="E38299" i="5"/>
  <c r="E38291" i="5"/>
  <c r="E38283" i="5"/>
  <c r="E38275" i="5"/>
  <c r="E38267" i="5"/>
  <c r="E38259" i="5"/>
  <c r="E38251" i="5"/>
  <c r="E38243" i="5"/>
  <c r="E38235" i="5"/>
  <c r="E38227" i="5"/>
  <c r="E38219" i="5"/>
  <c r="E38211" i="5"/>
  <c r="E38203" i="5"/>
  <c r="E38195" i="5"/>
  <c r="E38187" i="5"/>
  <c r="E38179" i="5"/>
  <c r="E38171" i="5"/>
  <c r="E38163" i="5"/>
  <c r="E38155" i="5"/>
  <c r="E38147" i="5"/>
  <c r="E38139" i="5"/>
  <c r="E38131" i="5"/>
  <c r="E38123" i="5"/>
  <c r="E38115" i="5"/>
  <c r="E38107" i="5"/>
  <c r="E38099" i="5"/>
  <c r="E38091" i="5"/>
  <c r="E38083" i="5"/>
  <c r="E38075" i="5"/>
  <c r="E38067" i="5"/>
  <c r="E38059" i="5"/>
  <c r="E38051" i="5"/>
  <c r="E38043" i="5"/>
  <c r="E38035" i="5"/>
  <c r="E38027" i="5"/>
  <c r="E38019" i="5"/>
  <c r="E38011" i="5"/>
  <c r="E38003" i="5"/>
  <c r="E37995" i="5"/>
  <c r="E37987" i="5"/>
  <c r="E37979" i="5"/>
  <c r="E37971" i="5"/>
  <c r="E37963" i="5"/>
  <c r="E37955" i="5"/>
  <c r="E37947" i="5"/>
  <c r="E37939" i="5"/>
  <c r="E37931" i="5"/>
  <c r="E37923" i="5"/>
  <c r="E37915" i="5"/>
  <c r="E37907" i="5"/>
  <c r="E37899" i="5"/>
  <c r="E37891" i="5"/>
  <c r="E37883" i="5"/>
  <c r="E37875" i="5"/>
  <c r="E37867" i="5"/>
  <c r="E37859" i="5"/>
  <c r="E37851" i="5"/>
  <c r="E37843" i="5"/>
  <c r="E37835" i="5"/>
  <c r="E37827" i="5"/>
  <c r="E37819" i="5"/>
  <c r="E37811" i="5"/>
  <c r="E37803" i="5"/>
  <c r="E37795" i="5"/>
  <c r="E37787" i="5"/>
  <c r="E37779" i="5"/>
  <c r="E37771" i="5"/>
  <c r="E37763" i="5"/>
  <c r="E37755" i="5"/>
  <c r="E37747" i="5"/>
  <c r="E37739" i="5"/>
  <c r="E37731" i="5"/>
  <c r="E37723" i="5"/>
  <c r="E37715" i="5"/>
  <c r="E37707" i="5"/>
  <c r="E37699" i="5"/>
  <c r="E37691" i="5"/>
  <c r="E37683" i="5"/>
  <c r="E37675" i="5"/>
  <c r="E37667" i="5"/>
  <c r="E37659" i="5"/>
  <c r="E37651" i="5"/>
  <c r="E37643" i="5"/>
  <c r="E37635" i="5"/>
  <c r="E37627" i="5"/>
  <c r="E37619" i="5"/>
  <c r="E37611" i="5"/>
  <c r="E37603" i="5"/>
  <c r="E37595" i="5"/>
  <c r="E37587" i="5"/>
  <c r="E37579" i="5"/>
  <c r="E37571" i="5"/>
  <c r="E37563" i="5"/>
  <c r="E37555" i="5"/>
  <c r="E37547" i="5"/>
  <c r="E37539" i="5"/>
  <c r="E37531" i="5"/>
  <c r="E37523" i="5"/>
  <c r="E37515" i="5"/>
  <c r="E37507" i="5"/>
  <c r="E37499" i="5"/>
  <c r="E37491" i="5"/>
  <c r="E37483" i="5"/>
  <c r="E37475" i="5"/>
  <c r="E37467" i="5"/>
  <c r="E37459" i="5"/>
  <c r="E37451" i="5"/>
  <c r="E37443" i="5"/>
  <c r="E37435" i="5"/>
  <c r="E37427" i="5"/>
  <c r="E37419" i="5"/>
  <c r="E37411" i="5"/>
  <c r="E37403" i="5"/>
  <c r="E37395" i="5"/>
  <c r="E37387" i="5"/>
  <c r="E37379" i="5"/>
  <c r="E37371" i="5"/>
  <c r="E37363" i="5"/>
  <c r="E37355" i="5"/>
  <c r="E37347" i="5"/>
  <c r="E37339" i="5"/>
  <c r="E37331" i="5"/>
  <c r="E37323" i="5"/>
  <c r="E37315" i="5"/>
  <c r="E37307" i="5"/>
  <c r="E37299" i="5"/>
  <c r="E37291" i="5"/>
  <c r="E37283" i="5"/>
  <c r="E37275" i="5"/>
  <c r="E37267" i="5"/>
  <c r="E37259" i="5"/>
  <c r="E37251" i="5"/>
  <c r="E37243" i="5"/>
  <c r="E37235" i="5"/>
  <c r="E37227" i="5"/>
  <c r="E37219" i="5"/>
  <c r="E37211" i="5"/>
  <c r="E37203" i="5"/>
  <c r="E37195" i="5"/>
  <c r="E37187" i="5"/>
  <c r="E37179" i="5"/>
  <c r="E37171" i="5"/>
  <c r="E37163" i="5"/>
  <c r="E37155" i="5"/>
  <c r="E37147" i="5"/>
  <c r="E37139" i="5"/>
  <c r="E37131" i="5"/>
  <c r="E37123" i="5"/>
  <c r="E37115" i="5"/>
  <c r="E37107" i="5"/>
  <c r="E37099" i="5"/>
  <c r="E37091" i="5"/>
  <c r="E37083" i="5"/>
  <c r="E37075" i="5"/>
  <c r="E37067" i="5"/>
  <c r="E37059" i="5"/>
  <c r="E37051" i="5"/>
  <c r="E37043" i="5"/>
  <c r="E37035" i="5"/>
  <c r="E37027" i="5"/>
  <c r="E37019" i="5"/>
  <c r="E37011" i="5"/>
  <c r="E37003" i="5"/>
  <c r="E36995" i="5"/>
  <c r="E36987" i="5"/>
  <c r="E36979" i="5"/>
  <c r="E36971" i="5"/>
  <c r="E36963" i="5"/>
  <c r="E36955" i="5"/>
  <c r="E36947" i="5"/>
  <c r="E36939" i="5"/>
  <c r="E36931" i="5"/>
  <c r="E36923" i="5"/>
  <c r="E36915" i="5"/>
  <c r="E36907" i="5"/>
  <c r="E36899" i="5"/>
  <c r="E36891" i="5"/>
  <c r="E36883" i="5"/>
  <c r="E36875" i="5"/>
  <c r="E36867" i="5"/>
  <c r="E36859" i="5"/>
  <c r="E36851" i="5"/>
  <c r="E36843" i="5"/>
  <c r="E36835" i="5"/>
  <c r="E36827" i="5"/>
  <c r="E36819" i="5"/>
  <c r="E36811" i="5"/>
  <c r="E36803" i="5"/>
  <c r="E36795" i="5"/>
  <c r="E36787" i="5"/>
  <c r="E36779" i="5"/>
  <c r="E36771" i="5"/>
  <c r="E36763" i="5"/>
  <c r="E36755" i="5"/>
  <c r="E36747" i="5"/>
  <c r="E36739" i="5"/>
  <c r="E36731" i="5"/>
  <c r="E36723" i="5"/>
  <c r="E36715" i="5"/>
  <c r="E36707" i="5"/>
  <c r="E36699" i="5"/>
  <c r="E36691" i="5"/>
  <c r="E36683" i="5"/>
  <c r="E36675" i="5"/>
  <c r="E36667" i="5"/>
  <c r="E36659" i="5"/>
  <c r="E36651" i="5"/>
  <c r="E36643" i="5"/>
  <c r="E36635" i="5"/>
  <c r="E36627" i="5"/>
  <c r="E36619" i="5"/>
  <c r="E36611" i="5"/>
  <c r="E36603" i="5"/>
  <c r="E36595" i="5"/>
  <c r="E36587" i="5"/>
  <c r="E36579" i="5"/>
  <c r="E36571" i="5"/>
  <c r="E36563" i="5"/>
  <c r="E36555" i="5"/>
  <c r="E36547" i="5"/>
  <c r="E36539" i="5"/>
  <c r="E36531" i="5"/>
  <c r="E36523" i="5"/>
  <c r="E36515" i="5"/>
  <c r="E36507" i="5"/>
  <c r="E36499" i="5"/>
  <c r="E36491" i="5"/>
  <c r="E36483" i="5"/>
  <c r="E36475" i="5"/>
  <c r="E36467" i="5"/>
  <c r="E36459" i="5"/>
  <c r="E36451" i="5"/>
  <c r="E36443" i="5"/>
  <c r="E36435" i="5"/>
  <c r="E36427" i="5"/>
  <c r="E36419" i="5"/>
  <c r="E36411" i="5"/>
  <c r="E36403" i="5"/>
  <c r="E36395" i="5"/>
  <c r="E36387" i="5"/>
  <c r="E36379" i="5"/>
  <c r="E36371" i="5"/>
  <c r="E36363" i="5"/>
  <c r="E36355" i="5"/>
  <c r="E36347" i="5"/>
  <c r="E36339" i="5"/>
  <c r="E36331" i="5"/>
  <c r="E36323" i="5"/>
  <c r="E36315" i="5"/>
  <c r="E36307" i="5"/>
  <c r="E36299" i="5"/>
  <c r="E36291" i="5"/>
  <c r="E36283" i="5"/>
  <c r="E36275" i="5"/>
  <c r="E36267" i="5"/>
  <c r="E36259" i="5"/>
  <c r="E36251" i="5"/>
  <c r="E36243" i="5"/>
  <c r="E36235" i="5"/>
  <c r="E36227" i="5"/>
  <c r="E36219" i="5"/>
  <c r="E36211" i="5"/>
  <c r="E36203" i="5"/>
  <c r="E36195" i="5"/>
  <c r="E36187" i="5"/>
  <c r="E36179" i="5"/>
  <c r="E36171" i="5"/>
  <c r="E36163" i="5"/>
  <c r="E36155" i="5"/>
  <c r="E36147" i="5"/>
  <c r="E36139" i="5"/>
  <c r="E36131" i="5"/>
  <c r="E36123" i="5"/>
  <c r="E36115" i="5"/>
  <c r="E36107" i="5"/>
  <c r="E36099" i="5"/>
  <c r="E36091" i="5"/>
  <c r="E36083" i="5"/>
  <c r="E36075" i="5"/>
  <c r="E36067" i="5"/>
  <c r="E36059" i="5"/>
  <c r="E36051" i="5"/>
  <c r="E36043" i="5"/>
  <c r="E36035" i="5"/>
  <c r="E36027" i="5"/>
  <c r="E36019" i="5"/>
  <c r="E36011" i="5"/>
  <c r="E36003" i="5"/>
  <c r="E35995" i="5"/>
  <c r="E35987" i="5"/>
  <c r="E35979" i="5"/>
  <c r="E35971" i="5"/>
  <c r="E35963" i="5"/>
  <c r="E35955" i="5"/>
  <c r="E35947" i="5"/>
  <c r="E35939" i="5"/>
  <c r="E35931" i="5"/>
  <c r="E35923" i="5"/>
  <c r="E35915" i="5"/>
  <c r="E35907" i="5"/>
  <c r="E35899" i="5"/>
  <c r="E35891" i="5"/>
  <c r="E35883" i="5"/>
  <c r="E35875" i="5"/>
  <c r="E35867" i="5"/>
  <c r="E35859" i="5"/>
  <c r="E35851" i="5"/>
  <c r="E35843" i="5"/>
  <c r="E35835" i="5"/>
  <c r="E35827" i="5"/>
  <c r="E35819" i="5"/>
  <c r="E35811" i="5"/>
  <c r="E35803" i="5"/>
  <c r="E35795" i="5"/>
  <c r="E35787" i="5"/>
  <c r="E35779" i="5"/>
  <c r="E35771" i="5"/>
  <c r="E35763" i="5"/>
  <c r="E35755" i="5"/>
  <c r="E35747" i="5"/>
  <c r="E35739" i="5"/>
  <c r="E35731" i="5"/>
  <c r="E35723" i="5"/>
  <c r="E35715" i="5"/>
  <c r="E35707" i="5"/>
  <c r="E35699" i="5"/>
  <c r="E35691" i="5"/>
  <c r="E35683" i="5"/>
  <c r="E35675" i="5"/>
  <c r="E35667" i="5"/>
  <c r="E35659" i="5"/>
  <c r="E35651" i="5"/>
  <c r="E35643" i="5"/>
  <c r="E35635" i="5"/>
  <c r="E35627" i="5"/>
  <c r="E35619" i="5"/>
  <c r="E35611" i="5"/>
  <c r="E35603" i="5"/>
  <c r="E35595" i="5"/>
  <c r="E35587" i="5"/>
  <c r="E35579" i="5"/>
  <c r="E35571" i="5"/>
  <c r="E35563" i="5"/>
  <c r="E35555" i="5"/>
  <c r="E35547" i="5"/>
  <c r="E35539" i="5"/>
  <c r="E35531" i="5"/>
  <c r="E35523" i="5"/>
  <c r="E35515" i="5"/>
  <c r="E35507" i="5"/>
  <c r="E35499" i="5"/>
  <c r="E35491" i="5"/>
  <c r="E35483" i="5"/>
  <c r="E35475" i="5"/>
  <c r="E35467" i="5"/>
  <c r="E35459" i="5"/>
  <c r="E35451" i="5"/>
  <c r="E35443" i="5"/>
  <c r="E35435" i="5"/>
  <c r="E35427" i="5"/>
  <c r="E35419" i="5"/>
  <c r="E35411" i="5"/>
  <c r="E35403" i="5"/>
  <c r="E35395" i="5"/>
  <c r="E35387" i="5"/>
  <c r="E35379" i="5"/>
  <c r="E35371" i="5"/>
  <c r="E35363" i="5"/>
  <c r="E35355" i="5"/>
  <c r="E35347" i="5"/>
  <c r="E35339" i="5"/>
  <c r="E35331" i="5"/>
  <c r="E35323" i="5"/>
  <c r="E35315" i="5"/>
  <c r="E35307" i="5"/>
  <c r="E35299" i="5"/>
  <c r="E35291" i="5"/>
  <c r="E35283" i="5"/>
  <c r="E35275" i="5"/>
  <c r="E35267" i="5"/>
  <c r="E35259" i="5"/>
  <c r="E35251" i="5"/>
  <c r="E35243" i="5"/>
  <c r="E35235" i="5"/>
  <c r="E35227" i="5"/>
  <c r="E35219" i="5"/>
  <c r="E35211" i="5"/>
  <c r="E35203" i="5"/>
  <c r="E35195" i="5"/>
  <c r="E35187" i="5"/>
  <c r="E35179" i="5"/>
  <c r="E35171" i="5"/>
  <c r="E35163" i="5"/>
  <c r="E35155" i="5"/>
  <c r="E35147" i="5"/>
  <c r="E35139" i="5"/>
  <c r="E35131" i="5"/>
  <c r="E35123" i="5"/>
  <c r="E35115" i="5"/>
  <c r="E35107" i="5"/>
  <c r="E35099" i="5"/>
  <c r="E35091" i="5"/>
  <c r="E35083" i="5"/>
  <c r="E35075" i="5"/>
  <c r="E35067" i="5"/>
  <c r="E35059" i="5"/>
  <c r="E35051" i="5"/>
  <c r="E35043" i="5"/>
  <c r="E35035" i="5"/>
  <c r="E35027" i="5"/>
  <c r="E35019" i="5"/>
  <c r="E35011" i="5"/>
  <c r="E35003" i="5"/>
  <c r="E34995" i="5"/>
  <c r="E34987" i="5"/>
  <c r="E34979" i="5"/>
  <c r="E34971" i="5"/>
  <c r="E34963" i="5"/>
  <c r="E34955" i="5"/>
  <c r="E34947" i="5"/>
  <c r="E34939" i="5"/>
  <c r="E34931" i="5"/>
  <c r="E34923" i="5"/>
  <c r="E34915" i="5"/>
  <c r="E34907" i="5"/>
  <c r="E34899" i="5"/>
  <c r="E34891" i="5"/>
  <c r="E34883" i="5"/>
  <c r="E34875" i="5"/>
  <c r="E34867" i="5"/>
  <c r="E34859" i="5"/>
  <c r="E34851" i="5"/>
  <c r="E34843" i="5"/>
  <c r="E34835" i="5"/>
  <c r="E34827" i="5"/>
  <c r="E34819" i="5"/>
  <c r="E34811" i="5"/>
  <c r="E34803" i="5"/>
  <c r="E34795" i="5"/>
  <c r="E34787" i="5"/>
  <c r="E34779" i="5"/>
  <c r="E34771" i="5"/>
  <c r="E34763" i="5"/>
  <c r="E34755" i="5"/>
  <c r="E34747" i="5"/>
  <c r="E34739" i="5"/>
  <c r="E34731" i="5"/>
  <c r="E34723" i="5"/>
  <c r="E34715" i="5"/>
  <c r="E34707" i="5"/>
  <c r="E34699" i="5"/>
  <c r="E34691" i="5"/>
  <c r="E34683" i="5"/>
  <c r="E34675" i="5"/>
  <c r="E34667" i="5"/>
  <c r="E34659" i="5"/>
  <c r="E34651" i="5"/>
  <c r="E34643" i="5"/>
  <c r="E34635" i="5"/>
  <c r="E34627" i="5"/>
  <c r="E34619" i="5"/>
  <c r="E34611" i="5"/>
  <c r="E34603" i="5"/>
  <c r="E34595" i="5"/>
  <c r="E34587" i="5"/>
  <c r="E34579" i="5"/>
  <c r="E34571" i="5"/>
  <c r="E34563" i="5"/>
  <c r="E34555" i="5"/>
  <c r="E34547" i="5"/>
  <c r="E34539" i="5"/>
  <c r="E34531" i="5"/>
  <c r="E34523" i="5"/>
  <c r="E34515" i="5"/>
  <c r="E34507" i="5"/>
  <c r="E34499" i="5"/>
  <c r="E34491" i="5"/>
  <c r="E34483" i="5"/>
  <c r="E34475" i="5"/>
  <c r="E34467" i="5"/>
  <c r="E34459" i="5"/>
  <c r="E34451" i="5"/>
  <c r="E34443" i="5"/>
  <c r="E34435" i="5"/>
  <c r="E34427" i="5"/>
  <c r="E34419" i="5"/>
  <c r="E34411" i="5"/>
  <c r="E34403" i="5"/>
  <c r="E34395" i="5"/>
  <c r="E34387" i="5"/>
  <c r="E34379" i="5"/>
  <c r="E34371" i="5"/>
  <c r="E34363" i="5"/>
  <c r="E34355" i="5"/>
  <c r="E34347" i="5"/>
  <c r="E34339" i="5"/>
  <c r="E34331" i="5"/>
  <c r="E34323" i="5"/>
  <c r="E34315" i="5"/>
  <c r="E34307" i="5"/>
  <c r="E34299" i="5"/>
  <c r="E34291" i="5"/>
  <c r="E34283" i="5"/>
  <c r="E34275" i="5"/>
  <c r="E34267" i="5"/>
  <c r="E34259" i="5"/>
  <c r="E34251" i="5"/>
  <c r="E34243" i="5"/>
  <c r="E34235" i="5"/>
  <c r="E34227" i="5"/>
  <c r="E34219" i="5"/>
  <c r="E34211" i="5"/>
  <c r="E34203" i="5"/>
  <c r="E34195" i="5"/>
  <c r="E34187" i="5"/>
  <c r="E34179" i="5"/>
  <c r="E34171" i="5"/>
  <c r="E34163" i="5"/>
  <c r="E34155" i="5"/>
  <c r="E34147" i="5"/>
  <c r="E34139" i="5"/>
  <c r="E34131" i="5"/>
  <c r="E34123" i="5"/>
  <c r="E34115" i="5"/>
  <c r="E34107" i="5"/>
  <c r="E34099" i="5"/>
  <c r="E34091" i="5"/>
  <c r="E34083" i="5"/>
  <c r="E34075" i="5"/>
  <c r="E34067" i="5"/>
  <c r="E34059" i="5"/>
  <c r="E34051" i="5"/>
  <c r="E34043" i="5"/>
  <c r="E34035" i="5"/>
  <c r="E34027" i="5"/>
  <c r="E34019" i="5"/>
  <c r="E34011" i="5"/>
  <c r="E34003" i="5"/>
  <c r="E33995" i="5"/>
  <c r="E33987" i="5"/>
  <c r="E33979" i="5"/>
  <c r="E33971" i="5"/>
  <c r="E33963" i="5"/>
  <c r="E33955" i="5"/>
  <c r="E33947" i="5"/>
  <c r="E33939" i="5"/>
  <c r="E33931" i="5"/>
  <c r="E33923" i="5"/>
  <c r="E33915" i="5"/>
  <c r="E33907" i="5"/>
  <c r="E33899" i="5"/>
  <c r="E33891" i="5"/>
  <c r="E33883" i="5"/>
  <c r="E33875" i="5"/>
  <c r="E33867" i="5"/>
  <c r="E33859" i="5"/>
  <c r="E33851" i="5"/>
  <c r="E33843" i="5"/>
  <c r="E33835" i="5"/>
  <c r="E33827" i="5"/>
  <c r="E33819" i="5"/>
  <c r="E33811" i="5"/>
  <c r="E33803" i="5"/>
  <c r="E33795" i="5"/>
  <c r="E33787" i="5"/>
  <c r="E33779" i="5"/>
  <c r="E33771" i="5"/>
  <c r="E33763" i="5"/>
  <c r="E33755" i="5"/>
  <c r="E33747" i="5"/>
  <c r="E33739" i="5"/>
  <c r="E33731" i="5"/>
  <c r="E33723" i="5"/>
  <c r="E33715" i="5"/>
  <c r="E33707" i="5"/>
  <c r="E33699" i="5"/>
  <c r="E33691" i="5"/>
  <c r="E33683" i="5"/>
  <c r="E33675" i="5"/>
  <c r="E33667" i="5"/>
  <c r="E33659" i="5"/>
  <c r="E33651" i="5"/>
  <c r="E33643" i="5"/>
  <c r="E33635" i="5"/>
  <c r="E33627" i="5"/>
  <c r="E33619" i="5"/>
  <c r="E33611" i="5"/>
  <c r="E33603" i="5"/>
  <c r="E33595" i="5"/>
  <c r="E33587" i="5"/>
  <c r="E33579" i="5"/>
  <c r="E33571" i="5"/>
  <c r="E33563" i="5"/>
  <c r="E33555" i="5"/>
  <c r="E33547" i="5"/>
  <c r="E33539" i="5"/>
  <c r="E33531" i="5"/>
  <c r="E33523" i="5"/>
  <c r="E33515" i="5"/>
  <c r="E33507" i="5"/>
  <c r="E33499" i="5"/>
  <c r="E33491" i="5"/>
  <c r="E33483" i="5"/>
  <c r="E33475" i="5"/>
  <c r="E33467" i="5"/>
  <c r="E33459" i="5"/>
  <c r="E33451" i="5"/>
  <c r="E33443" i="5"/>
  <c r="E33435" i="5"/>
  <c r="E33427" i="5"/>
  <c r="E33419" i="5"/>
  <c r="E33411" i="5"/>
  <c r="E33403" i="5"/>
  <c r="E33395" i="5"/>
  <c r="E33387" i="5"/>
  <c r="E33379" i="5"/>
  <c r="E33371" i="5"/>
  <c r="E33363" i="5"/>
  <c r="E33355" i="5"/>
  <c r="E33347" i="5"/>
  <c r="E33339" i="5"/>
  <c r="E33331" i="5"/>
  <c r="E33323" i="5"/>
  <c r="E33315" i="5"/>
  <c r="E33307" i="5"/>
  <c r="E33299" i="5"/>
  <c r="E33291" i="5"/>
  <c r="E33283" i="5"/>
  <c r="E33275" i="5"/>
  <c r="E33267" i="5"/>
  <c r="E33259" i="5"/>
  <c r="E33251" i="5"/>
  <c r="E33243" i="5"/>
  <c r="E33235" i="5"/>
  <c r="E33227" i="5"/>
  <c r="E33219" i="5"/>
  <c r="E33211" i="5"/>
  <c r="E33203" i="5"/>
  <c r="E33195" i="5"/>
  <c r="E33187" i="5"/>
  <c r="E33179" i="5"/>
  <c r="E33171" i="5"/>
  <c r="E33163" i="5"/>
  <c r="E33155" i="5"/>
  <c r="E33147" i="5"/>
  <c r="E33139" i="5"/>
  <c r="E33131" i="5"/>
  <c r="E33123" i="5"/>
  <c r="E33115" i="5"/>
  <c r="E33107" i="5"/>
  <c r="E33099" i="5"/>
  <c r="E33091" i="5"/>
  <c r="E33083" i="5"/>
  <c r="E33075" i="5"/>
  <c r="E33067" i="5"/>
  <c r="E33059" i="5"/>
  <c r="E33051" i="5"/>
  <c r="E33043" i="5"/>
  <c r="E33035" i="5"/>
  <c r="E33027" i="5"/>
  <c r="E33019" i="5"/>
  <c r="E33011" i="5"/>
  <c r="E33003" i="5"/>
  <c r="E32995" i="5"/>
  <c r="E32987" i="5"/>
  <c r="E32979" i="5"/>
  <c r="E32971" i="5"/>
  <c r="E32963" i="5"/>
  <c r="E32955" i="5"/>
  <c r="E32947" i="5"/>
  <c r="E32939" i="5"/>
  <c r="E32931" i="5"/>
  <c r="E32923" i="5"/>
  <c r="E32915" i="5"/>
  <c r="E32907" i="5"/>
  <c r="E32899" i="5"/>
  <c r="E32891" i="5"/>
  <c r="E32883" i="5"/>
  <c r="E32875" i="5"/>
  <c r="E32867" i="5"/>
  <c r="E32859" i="5"/>
  <c r="E32851" i="5"/>
  <c r="E32843" i="5"/>
  <c r="E32835" i="5"/>
  <c r="E32827" i="5"/>
  <c r="E32819" i="5"/>
  <c r="E32811" i="5"/>
  <c r="E32803" i="5"/>
  <c r="E32795" i="5"/>
  <c r="E32787" i="5"/>
  <c r="E32779" i="5"/>
  <c r="E32771" i="5"/>
  <c r="E32763" i="5"/>
  <c r="E32755" i="5"/>
  <c r="E32747" i="5"/>
  <c r="E32739" i="5"/>
  <c r="E32731" i="5"/>
  <c r="E32723" i="5"/>
  <c r="E32715" i="5"/>
  <c r="E32707" i="5"/>
  <c r="E32699" i="5"/>
  <c r="E32691" i="5"/>
  <c r="E32683" i="5"/>
  <c r="E32675" i="5"/>
  <c r="E32667" i="5"/>
  <c r="E32659" i="5"/>
  <c r="E32651" i="5"/>
  <c r="E32643" i="5"/>
  <c r="E32635" i="5"/>
  <c r="E32627" i="5"/>
  <c r="E32619" i="5"/>
  <c r="E32611" i="5"/>
  <c r="E32603" i="5"/>
  <c r="E32595" i="5"/>
  <c r="E32587" i="5"/>
  <c r="E32579" i="5"/>
  <c r="E32571" i="5"/>
  <c r="E32563" i="5"/>
  <c r="E32555" i="5"/>
  <c r="E32547" i="5"/>
  <c r="E32539" i="5"/>
  <c r="E32531" i="5"/>
  <c r="E32523" i="5"/>
  <c r="E32515" i="5"/>
  <c r="E32507" i="5"/>
  <c r="E32499" i="5"/>
  <c r="E32491" i="5"/>
  <c r="E32483" i="5"/>
  <c r="E32475" i="5"/>
  <c r="E32467" i="5"/>
  <c r="E32459" i="5"/>
  <c r="E32451" i="5"/>
  <c r="E32443" i="5"/>
  <c r="E32435" i="5"/>
  <c r="E32427" i="5"/>
  <c r="E32419" i="5"/>
  <c r="E32411" i="5"/>
  <c r="E32403" i="5"/>
  <c r="E32395" i="5"/>
  <c r="E32387" i="5"/>
  <c r="E32379" i="5"/>
  <c r="E32371" i="5"/>
  <c r="E32363" i="5"/>
  <c r="E32355" i="5"/>
  <c r="E32347" i="5"/>
  <c r="E32339" i="5"/>
  <c r="E32331" i="5"/>
  <c r="E32323" i="5"/>
  <c r="E32315" i="5"/>
  <c r="E32307" i="5"/>
  <c r="E32299" i="5"/>
  <c r="E32291" i="5"/>
  <c r="E32283" i="5"/>
  <c r="E32275" i="5"/>
  <c r="E32267" i="5"/>
  <c r="E32259" i="5"/>
  <c r="E32251" i="5"/>
  <c r="E32243" i="5"/>
  <c r="E32235" i="5"/>
  <c r="E32227" i="5"/>
  <c r="E32219" i="5"/>
  <c r="E32211" i="5"/>
  <c r="E32203" i="5"/>
  <c r="E32195" i="5"/>
  <c r="E32187" i="5"/>
  <c r="E32179" i="5"/>
  <c r="E32171" i="5"/>
  <c r="E32163" i="5"/>
  <c r="E32155" i="5"/>
  <c r="E32147" i="5"/>
  <c r="E32139" i="5"/>
  <c r="E32131" i="5"/>
  <c r="E32123" i="5"/>
  <c r="E32115" i="5"/>
  <c r="E32107" i="5"/>
  <c r="E32099" i="5"/>
  <c r="E32091" i="5"/>
  <c r="E32083" i="5"/>
  <c r="E32075" i="5"/>
  <c r="E32067" i="5"/>
  <c r="E32059" i="5"/>
  <c r="E32051" i="5"/>
  <c r="E32043" i="5"/>
  <c r="E32035" i="5"/>
  <c r="E32027" i="5"/>
  <c r="E32019" i="5"/>
  <c r="E32011" i="5"/>
  <c r="E32003" i="5"/>
  <c r="E31995" i="5"/>
  <c r="E31987" i="5"/>
  <c r="E31979" i="5"/>
  <c r="E31971" i="5"/>
  <c r="E31963" i="5"/>
  <c r="E31955" i="5"/>
  <c r="E31947" i="5"/>
  <c r="E31939" i="5"/>
  <c r="E31931" i="5"/>
  <c r="E31923" i="5"/>
  <c r="E31915" i="5"/>
  <c r="E31907" i="5"/>
  <c r="E31899" i="5"/>
  <c r="E31891" i="5"/>
  <c r="E31883" i="5"/>
  <c r="E31875" i="5"/>
  <c r="E31867" i="5"/>
  <c r="E31859" i="5"/>
  <c r="E31851" i="5"/>
  <c r="E31843" i="5"/>
  <c r="E31835" i="5"/>
  <c r="E31827" i="5"/>
  <c r="E31819" i="5"/>
  <c r="E31811" i="5"/>
  <c r="E31803" i="5"/>
  <c r="E31795" i="5"/>
  <c r="E31787" i="5"/>
  <c r="E31779" i="5"/>
  <c r="E31771" i="5"/>
  <c r="E31763" i="5"/>
  <c r="E31755" i="5"/>
  <c r="E31747" i="5"/>
  <c r="E31739" i="5"/>
  <c r="E31731" i="5"/>
  <c r="E31723" i="5"/>
  <c r="E31715" i="5"/>
  <c r="E31707" i="5"/>
  <c r="E31699" i="5"/>
  <c r="E31691" i="5"/>
  <c r="E31683" i="5"/>
  <c r="E31675" i="5"/>
  <c r="E31667" i="5"/>
  <c r="E31659" i="5"/>
  <c r="E31651" i="5"/>
  <c r="E31643" i="5"/>
  <c r="E31635" i="5"/>
  <c r="E31627" i="5"/>
  <c r="E31619" i="5"/>
  <c r="E31611" i="5"/>
  <c r="E31603" i="5"/>
  <c r="E31595" i="5"/>
  <c r="E31587" i="5"/>
  <c r="E31579" i="5"/>
  <c r="E31571" i="5"/>
  <c r="E31563" i="5"/>
  <c r="E31555" i="5"/>
  <c r="E31547" i="5"/>
  <c r="E31539" i="5"/>
  <c r="E31531" i="5"/>
  <c r="E31523" i="5"/>
  <c r="E31515" i="5"/>
  <c r="E31507" i="5"/>
  <c r="E31499" i="5"/>
  <c r="E31491" i="5"/>
  <c r="E31483" i="5"/>
  <c r="E31475" i="5"/>
  <c r="E31467" i="5"/>
  <c r="E31459" i="5"/>
  <c r="E31451" i="5"/>
  <c r="E31443" i="5"/>
  <c r="E31435" i="5"/>
  <c r="E31427" i="5"/>
  <c r="E31419" i="5"/>
  <c r="E31411" i="5"/>
  <c r="E31403" i="5"/>
  <c r="E31395" i="5"/>
  <c r="E31387" i="5"/>
  <c r="E31379" i="5"/>
  <c r="E31371" i="5"/>
  <c r="E31363" i="5"/>
  <c r="E31355" i="5"/>
  <c r="E31347" i="5"/>
  <c r="E31339" i="5"/>
  <c r="E31331" i="5"/>
  <c r="E31323" i="5"/>
  <c r="E31315" i="5"/>
  <c r="E31307" i="5"/>
  <c r="E31299" i="5"/>
  <c r="E31291" i="5"/>
  <c r="E31283" i="5"/>
  <c r="E31275" i="5"/>
  <c r="E31267" i="5"/>
  <c r="E31259" i="5"/>
  <c r="E31251" i="5"/>
  <c r="E31243" i="5"/>
  <c r="E31235" i="5"/>
  <c r="E31227" i="5"/>
  <c r="E31219" i="5"/>
  <c r="E31211" i="5"/>
  <c r="E31203" i="5"/>
  <c r="E31195" i="5"/>
  <c r="E31187" i="5"/>
  <c r="E31179" i="5"/>
  <c r="E31171" i="5"/>
  <c r="E31163" i="5"/>
  <c r="E31155" i="5"/>
  <c r="E31147" i="5"/>
  <c r="E31139" i="5"/>
  <c r="E31131" i="5"/>
  <c r="E31123" i="5"/>
  <c r="E31115" i="5"/>
  <c r="E31107" i="5"/>
  <c r="E31099" i="5"/>
  <c r="E31091" i="5"/>
  <c r="E31083" i="5"/>
  <c r="E31075" i="5"/>
  <c r="E31067" i="5"/>
  <c r="E31059" i="5"/>
  <c r="E31051" i="5"/>
  <c r="E31043" i="5"/>
  <c r="E31035" i="5"/>
  <c r="E31027" i="5"/>
  <c r="E31019" i="5"/>
  <c r="E31011" i="5"/>
  <c r="E31003" i="5"/>
  <c r="E30995" i="5"/>
  <c r="E30987" i="5"/>
  <c r="E30979" i="5"/>
  <c r="E30971" i="5"/>
  <c r="E30963" i="5"/>
  <c r="E30955" i="5"/>
  <c r="E30947" i="5"/>
  <c r="E30939" i="5"/>
  <c r="E30931" i="5"/>
  <c r="E30923" i="5"/>
  <c r="E30915" i="5"/>
  <c r="E30907" i="5"/>
  <c r="E30899" i="5"/>
  <c r="E30891" i="5"/>
  <c r="E30883" i="5"/>
  <c r="E30875" i="5"/>
  <c r="E30867" i="5"/>
  <c r="E30859" i="5"/>
  <c r="E30851" i="5"/>
  <c r="E30843" i="5"/>
  <c r="E30835" i="5"/>
  <c r="E30827" i="5"/>
  <c r="E30819" i="5"/>
  <c r="E30811" i="5"/>
  <c r="E30803" i="5"/>
  <c r="E30795" i="5"/>
  <c r="E30787" i="5"/>
  <c r="E30779" i="5"/>
  <c r="E30771" i="5"/>
  <c r="E30763" i="5"/>
  <c r="E30755" i="5"/>
  <c r="E30747" i="5"/>
  <c r="E30739" i="5"/>
  <c r="E30731" i="5"/>
  <c r="E30723" i="5"/>
  <c r="E30715" i="5"/>
  <c r="E30707" i="5"/>
  <c r="E30699" i="5"/>
  <c r="E30691" i="5"/>
  <c r="E30683" i="5"/>
  <c r="E30675" i="5"/>
  <c r="E30667" i="5"/>
  <c r="E30659" i="5"/>
  <c r="E30651" i="5"/>
  <c r="E30643" i="5"/>
  <c r="E30635" i="5"/>
  <c r="E30627" i="5"/>
  <c r="E30619" i="5"/>
  <c r="E30611" i="5"/>
  <c r="E30603" i="5"/>
  <c r="E30595" i="5"/>
  <c r="E30587" i="5"/>
  <c r="E30579" i="5"/>
  <c r="E30571" i="5"/>
  <c r="E30563" i="5"/>
  <c r="E30555" i="5"/>
  <c r="E30547" i="5"/>
  <c r="E30539" i="5"/>
  <c r="E30531" i="5"/>
  <c r="E30523" i="5"/>
  <c r="E30515" i="5"/>
  <c r="E30507" i="5"/>
  <c r="E30499" i="5"/>
  <c r="E30491" i="5"/>
  <c r="E30483" i="5"/>
  <c r="E30475" i="5"/>
  <c r="E30467" i="5"/>
  <c r="E30459" i="5"/>
  <c r="E30451" i="5"/>
  <c r="E30443" i="5"/>
  <c r="E30435" i="5"/>
  <c r="E30427" i="5"/>
  <c r="E30419" i="5"/>
  <c r="E30411" i="5"/>
  <c r="E30403" i="5"/>
  <c r="E30395" i="5"/>
  <c r="E30387" i="5"/>
  <c r="E30379" i="5"/>
  <c r="E30371" i="5"/>
  <c r="E30363" i="5"/>
  <c r="E30355" i="5"/>
  <c r="E30347" i="5"/>
  <c r="E30339" i="5"/>
  <c r="E30331" i="5"/>
  <c r="E30323" i="5"/>
  <c r="E30315" i="5"/>
  <c r="E30307" i="5"/>
  <c r="E30299" i="5"/>
  <c r="E30291" i="5"/>
  <c r="E30283" i="5"/>
  <c r="E30275" i="5"/>
  <c r="E30267" i="5"/>
  <c r="E30259" i="5"/>
  <c r="E30251" i="5"/>
  <c r="E30243" i="5"/>
  <c r="E30235" i="5"/>
  <c r="E30227" i="5"/>
  <c r="E30219" i="5"/>
  <c r="E30211" i="5"/>
  <c r="E30203" i="5"/>
  <c r="E30195" i="5"/>
  <c r="E30187" i="5"/>
  <c r="E30179" i="5"/>
  <c r="E30171" i="5"/>
  <c r="E30163" i="5"/>
  <c r="E30155" i="5"/>
  <c r="E30147" i="5"/>
  <c r="E30139" i="5"/>
  <c r="E30131" i="5"/>
  <c r="E30123" i="5"/>
  <c r="E30115" i="5"/>
  <c r="E30107" i="5"/>
  <c r="E30099" i="5"/>
  <c r="E30091" i="5"/>
  <c r="E30083" i="5"/>
  <c r="E30075" i="5"/>
  <c r="E30067" i="5"/>
  <c r="E30059" i="5"/>
  <c r="E30051" i="5"/>
  <c r="E30043" i="5"/>
  <c r="E30035" i="5"/>
  <c r="E30027" i="5"/>
  <c r="E30019" i="5"/>
  <c r="E30011" i="5"/>
  <c r="E30003" i="5"/>
  <c r="E29995" i="5"/>
  <c r="E29987" i="5"/>
  <c r="E29979" i="5"/>
  <c r="E29971" i="5"/>
  <c r="E29963" i="5"/>
  <c r="E29955" i="5"/>
  <c r="E29947" i="5"/>
  <c r="E29939" i="5"/>
  <c r="E29931" i="5"/>
  <c r="E29923" i="5"/>
  <c r="E29915" i="5"/>
  <c r="E29907" i="5"/>
  <c r="E29899" i="5"/>
  <c r="E29891" i="5"/>
  <c r="E29883" i="5"/>
  <c r="E29875" i="5"/>
  <c r="E29867" i="5"/>
  <c r="E29859" i="5"/>
  <c r="E29851" i="5"/>
  <c r="E29843" i="5"/>
  <c r="E29835" i="5"/>
  <c r="E29827" i="5"/>
  <c r="E29819" i="5"/>
  <c r="E29811" i="5"/>
  <c r="E29803" i="5"/>
  <c r="E29795" i="5"/>
  <c r="E29787" i="5"/>
  <c r="E29779" i="5"/>
  <c r="E29771" i="5"/>
  <c r="E29763" i="5"/>
  <c r="E29755" i="5"/>
  <c r="E29747" i="5"/>
  <c r="E29739" i="5"/>
  <c r="E29731" i="5"/>
  <c r="E29723" i="5"/>
  <c r="E29715" i="5"/>
  <c r="E29707" i="5"/>
  <c r="E29699" i="5"/>
  <c r="E29691" i="5"/>
  <c r="E29683" i="5"/>
  <c r="E29675" i="5"/>
  <c r="E29667" i="5"/>
  <c r="E29659" i="5"/>
  <c r="E29651" i="5"/>
  <c r="E29643" i="5"/>
  <c r="E29635" i="5"/>
  <c r="E29627" i="5"/>
  <c r="E29619" i="5"/>
  <c r="E29611" i="5"/>
  <c r="E29603" i="5"/>
  <c r="E29595" i="5"/>
  <c r="E29587" i="5"/>
  <c r="E29579" i="5"/>
  <c r="E29571" i="5"/>
  <c r="E29563" i="5"/>
  <c r="E29555" i="5"/>
  <c r="E29547" i="5"/>
  <c r="E29539" i="5"/>
  <c r="E29531" i="5"/>
  <c r="E29523" i="5"/>
  <c r="E29515" i="5"/>
  <c r="E29507" i="5"/>
  <c r="E29499" i="5"/>
  <c r="E29491" i="5"/>
  <c r="E29483" i="5"/>
  <c r="E29475" i="5"/>
  <c r="E29467" i="5"/>
  <c r="E29459" i="5"/>
  <c r="E29451" i="5"/>
  <c r="E29443" i="5"/>
  <c r="E29435" i="5"/>
  <c r="E29427" i="5"/>
  <c r="E29419" i="5"/>
  <c r="E29411" i="5"/>
  <c r="E29403" i="5"/>
  <c r="E29395" i="5"/>
  <c r="E29387" i="5"/>
  <c r="E29379" i="5"/>
  <c r="E29371" i="5"/>
  <c r="E29363" i="5"/>
  <c r="E29355" i="5"/>
  <c r="E29347" i="5"/>
  <c r="E29339" i="5"/>
  <c r="E29331" i="5"/>
  <c r="E29323" i="5"/>
  <c r="E29315" i="5"/>
  <c r="E29307" i="5"/>
  <c r="E29299" i="5"/>
  <c r="E29291" i="5"/>
  <c r="E29283" i="5"/>
  <c r="E29275" i="5"/>
  <c r="E29267" i="5"/>
  <c r="E29259" i="5"/>
  <c r="E29251" i="5"/>
  <c r="E29243" i="5"/>
  <c r="E29235" i="5"/>
  <c r="E29227" i="5"/>
  <c r="E29219" i="5"/>
  <c r="E29211" i="5"/>
  <c r="E29203" i="5"/>
  <c r="E29195" i="5"/>
  <c r="E29187" i="5"/>
  <c r="E29179" i="5"/>
  <c r="E29171" i="5"/>
  <c r="E29163" i="5"/>
  <c r="E29155" i="5"/>
  <c r="E29147" i="5"/>
  <c r="E29139" i="5"/>
  <c r="E29131" i="5"/>
  <c r="E29123" i="5"/>
  <c r="E29115" i="5"/>
  <c r="E29107" i="5"/>
  <c r="E29099" i="5"/>
  <c r="E29091" i="5"/>
  <c r="E29083" i="5"/>
  <c r="E29075" i="5"/>
  <c r="E29067" i="5"/>
  <c r="E29059" i="5"/>
  <c r="E29051" i="5"/>
  <c r="E29043" i="5"/>
  <c r="E29035" i="5"/>
  <c r="E29027" i="5"/>
  <c r="E29019" i="5"/>
  <c r="E29011" i="5"/>
  <c r="E29003" i="5"/>
  <c r="E28995" i="5"/>
  <c r="E28987" i="5"/>
  <c r="E28979" i="5"/>
  <c r="E28971" i="5"/>
  <c r="E28963" i="5"/>
  <c r="E28955" i="5"/>
  <c r="E28947" i="5"/>
  <c r="E28939" i="5"/>
  <c r="E28931" i="5"/>
  <c r="E28923" i="5"/>
  <c r="E28915" i="5"/>
  <c r="E28907" i="5"/>
  <c r="E28899" i="5"/>
  <c r="E28891" i="5"/>
  <c r="E28883" i="5"/>
  <c r="E28875" i="5"/>
  <c r="E28867" i="5"/>
  <c r="E28859" i="5"/>
  <c r="E28851" i="5"/>
  <c r="E28843" i="5"/>
  <c r="E28835" i="5"/>
  <c r="E28827" i="5"/>
  <c r="E28819" i="5"/>
  <c r="E28811" i="5"/>
  <c r="E28803" i="5"/>
  <c r="E28795" i="5"/>
  <c r="E28787" i="5"/>
  <c r="E28779" i="5"/>
  <c r="E28771" i="5"/>
  <c r="E28763" i="5"/>
  <c r="E28755" i="5"/>
  <c r="E28747" i="5"/>
  <c r="E28739" i="5"/>
  <c r="E28731" i="5"/>
  <c r="E28723" i="5"/>
  <c r="E28715" i="5"/>
  <c r="E28707" i="5"/>
  <c r="E28699" i="5"/>
  <c r="E28691" i="5"/>
  <c r="E28683" i="5"/>
  <c r="E28675" i="5"/>
  <c r="E28667" i="5"/>
  <c r="E28659" i="5"/>
  <c r="E28651" i="5"/>
  <c r="E28643" i="5"/>
  <c r="E28635" i="5"/>
  <c r="E28627" i="5"/>
  <c r="E28619" i="5"/>
  <c r="E28611" i="5"/>
  <c r="E28603" i="5"/>
  <c r="E28595" i="5"/>
  <c r="E28587" i="5"/>
  <c r="E28579" i="5"/>
  <c r="E28571" i="5"/>
  <c r="E28563" i="5"/>
  <c r="E28555" i="5"/>
  <c r="E28547" i="5"/>
  <c r="E28539" i="5"/>
  <c r="E28531" i="5"/>
  <c r="E28523" i="5"/>
  <c r="E28515" i="5"/>
  <c r="E28507" i="5"/>
  <c r="E28499" i="5"/>
  <c r="E28491" i="5"/>
  <c r="E28483" i="5"/>
  <c r="E28475" i="5"/>
  <c r="E28467" i="5"/>
  <c r="E28459" i="5"/>
  <c r="E28451" i="5"/>
  <c r="E28443" i="5"/>
  <c r="E28435" i="5"/>
  <c r="E28427" i="5"/>
  <c r="E28419" i="5"/>
  <c r="E28411" i="5"/>
  <c r="E28403" i="5"/>
  <c r="E28395" i="5"/>
  <c r="E28387" i="5"/>
  <c r="E28379" i="5"/>
  <c r="E28371" i="5"/>
  <c r="E28363" i="5"/>
  <c r="E28355" i="5"/>
  <c r="E28347" i="5"/>
  <c r="E28339" i="5"/>
  <c r="E28331" i="5"/>
  <c r="E28323" i="5"/>
  <c r="E28315" i="5"/>
  <c r="E28307" i="5"/>
  <c r="E28299" i="5"/>
  <c r="E28291" i="5"/>
  <c r="E28283" i="5"/>
  <c r="E28275" i="5"/>
  <c r="E28267" i="5"/>
  <c r="E28259" i="5"/>
  <c r="E28251" i="5"/>
  <c r="E28243" i="5"/>
  <c r="E28235" i="5"/>
  <c r="E28227" i="5"/>
  <c r="E28219" i="5"/>
  <c r="E28211" i="5"/>
  <c r="E28203" i="5"/>
  <c r="E28195" i="5"/>
  <c r="E28187" i="5"/>
  <c r="E28179" i="5"/>
  <c r="E28171" i="5"/>
  <c r="E28163" i="5"/>
  <c r="E28155" i="5"/>
  <c r="E28147" i="5"/>
  <c r="E28139" i="5"/>
  <c r="E28131" i="5"/>
  <c r="E28123" i="5"/>
  <c r="E28115" i="5"/>
  <c r="E28107" i="5"/>
  <c r="E28099" i="5"/>
  <c r="E28091" i="5"/>
  <c r="E28083" i="5"/>
  <c r="E28075" i="5"/>
  <c r="E28067" i="5"/>
  <c r="E28059" i="5"/>
  <c r="E28051" i="5"/>
  <c r="E28043" i="5"/>
  <c r="E28035" i="5"/>
  <c r="E28027" i="5"/>
  <c r="E28019" i="5"/>
  <c r="E28011" i="5"/>
  <c r="E28003" i="5"/>
  <c r="E27995" i="5"/>
  <c r="E27987" i="5"/>
  <c r="E27979" i="5"/>
  <c r="E27971" i="5"/>
  <c r="E27963" i="5"/>
  <c r="E27955" i="5"/>
  <c r="E27947" i="5"/>
  <c r="E27939" i="5"/>
  <c r="E27931" i="5"/>
  <c r="E27923" i="5"/>
  <c r="E27915" i="5"/>
  <c r="E27907" i="5"/>
  <c r="E27899" i="5"/>
  <c r="E27891" i="5"/>
  <c r="E27883" i="5"/>
  <c r="E27875" i="5"/>
  <c r="E27867" i="5"/>
  <c r="E27859" i="5"/>
  <c r="E27851" i="5"/>
  <c r="E27843" i="5"/>
  <c r="E27835" i="5"/>
  <c r="E27827" i="5"/>
  <c r="E27819" i="5"/>
  <c r="E27811" i="5"/>
  <c r="E27803" i="5"/>
  <c r="E27795" i="5"/>
  <c r="E27787" i="5"/>
  <c r="E27779" i="5"/>
  <c r="E27771" i="5"/>
  <c r="E27763" i="5"/>
  <c r="E27755" i="5"/>
  <c r="E27747" i="5"/>
  <c r="E27739" i="5"/>
  <c r="E27731" i="5"/>
  <c r="E27723" i="5"/>
  <c r="E27715" i="5"/>
  <c r="E27707" i="5"/>
  <c r="E27699" i="5"/>
  <c r="E27691" i="5"/>
  <c r="E27683" i="5"/>
  <c r="E27675" i="5"/>
  <c r="E27667" i="5"/>
  <c r="E27659" i="5"/>
  <c r="E27651" i="5"/>
  <c r="E27643" i="5"/>
  <c r="E27635" i="5"/>
  <c r="E27627" i="5"/>
  <c r="E27619" i="5"/>
  <c r="E27611" i="5"/>
  <c r="E27603" i="5"/>
  <c r="E27595" i="5"/>
  <c r="E27587" i="5"/>
  <c r="E27579" i="5"/>
  <c r="E27571" i="5"/>
  <c r="E27563" i="5"/>
  <c r="E27555" i="5"/>
  <c r="E27547" i="5"/>
  <c r="E27539" i="5"/>
  <c r="E27531" i="5"/>
  <c r="E27523" i="5"/>
  <c r="E27515" i="5"/>
  <c r="E27507" i="5"/>
  <c r="E27499" i="5"/>
  <c r="E27491" i="5"/>
  <c r="E27483" i="5"/>
  <c r="E27475" i="5"/>
  <c r="E27467" i="5"/>
  <c r="E27459" i="5"/>
  <c r="E27451" i="5"/>
  <c r="E27443" i="5"/>
  <c r="E27435" i="5"/>
  <c r="E27427" i="5"/>
  <c r="E27419" i="5"/>
  <c r="E27411" i="5"/>
  <c r="E27403" i="5"/>
  <c r="E27395" i="5"/>
  <c r="E27387" i="5"/>
  <c r="E27379" i="5"/>
  <c r="E27371" i="5"/>
  <c r="E27363" i="5"/>
  <c r="E27355" i="5"/>
  <c r="E27347" i="5"/>
  <c r="E27339" i="5"/>
  <c r="E27331" i="5"/>
  <c r="E27323" i="5"/>
  <c r="E27315" i="5"/>
  <c r="E27307" i="5"/>
  <c r="E27299" i="5"/>
  <c r="E27291" i="5"/>
  <c r="E27283" i="5"/>
  <c r="E27275" i="5"/>
  <c r="E27267" i="5"/>
  <c r="E27259" i="5"/>
  <c r="E27251" i="5"/>
  <c r="E27243" i="5"/>
  <c r="E27235" i="5"/>
  <c r="E27227" i="5"/>
  <c r="E27219" i="5"/>
  <c r="E27211" i="5"/>
  <c r="E27203" i="5"/>
  <c r="E27195" i="5"/>
  <c r="E27187" i="5"/>
  <c r="E27179" i="5"/>
  <c r="E27171" i="5"/>
  <c r="E27163" i="5"/>
  <c r="E27155" i="5"/>
  <c r="E27147" i="5"/>
  <c r="E27139" i="5"/>
  <c r="E27131" i="5"/>
  <c r="E27123" i="5"/>
  <c r="E27115" i="5"/>
  <c r="E27107" i="5"/>
  <c r="E27099" i="5"/>
  <c r="E27091" i="5"/>
  <c r="E27083" i="5"/>
  <c r="E27075" i="5"/>
  <c r="E27067" i="5"/>
  <c r="E27059" i="5"/>
  <c r="E27051" i="5"/>
  <c r="E27043" i="5"/>
  <c r="E27035" i="5"/>
  <c r="E27027" i="5"/>
  <c r="E27019" i="5"/>
  <c r="E27011" i="5"/>
  <c r="E27003" i="5"/>
  <c r="E26995" i="5"/>
  <c r="E26987" i="5"/>
  <c r="E26979" i="5"/>
  <c r="E26971" i="5"/>
  <c r="E26963" i="5"/>
  <c r="E26955" i="5"/>
  <c r="E26947" i="5"/>
  <c r="E26939" i="5"/>
  <c r="E26931" i="5"/>
  <c r="E26923" i="5"/>
  <c r="E26915" i="5"/>
  <c r="E26907" i="5"/>
  <c r="E26899" i="5"/>
  <c r="E26891" i="5"/>
  <c r="E26883" i="5"/>
  <c r="E26875" i="5"/>
  <c r="E26867" i="5"/>
  <c r="E26859" i="5"/>
  <c r="E26851" i="5"/>
  <c r="E26843" i="5"/>
  <c r="E26835" i="5"/>
  <c r="E26827" i="5"/>
  <c r="E26819" i="5"/>
  <c r="E26811" i="5"/>
  <c r="E26803" i="5"/>
  <c r="E26795" i="5"/>
  <c r="E26787" i="5"/>
  <c r="E26779" i="5"/>
  <c r="E26771" i="5"/>
  <c r="E26763" i="5"/>
  <c r="E26755" i="5"/>
  <c r="E26747" i="5"/>
  <c r="E26739" i="5"/>
  <c r="E26731" i="5"/>
  <c r="E26723" i="5"/>
  <c r="E26715" i="5"/>
  <c r="E26707" i="5"/>
  <c r="E26699" i="5"/>
  <c r="E26691" i="5"/>
  <c r="E26683" i="5"/>
  <c r="E26675" i="5"/>
  <c r="E26667" i="5"/>
  <c r="E26659" i="5"/>
  <c r="E26651" i="5"/>
  <c r="E26643" i="5"/>
  <c r="E26635" i="5"/>
  <c r="E26627" i="5"/>
  <c r="E26619" i="5"/>
  <c r="E26611" i="5"/>
  <c r="E26603" i="5"/>
  <c r="E26595" i="5"/>
  <c r="E26587" i="5"/>
  <c r="E26579" i="5"/>
  <c r="E26571" i="5"/>
  <c r="E26563" i="5"/>
  <c r="E26555" i="5"/>
  <c r="E26547" i="5"/>
  <c r="E26539" i="5"/>
  <c r="E26531" i="5"/>
  <c r="E26523" i="5"/>
  <c r="E26515" i="5"/>
  <c r="E26507" i="5"/>
  <c r="E26499" i="5"/>
  <c r="E26491" i="5"/>
  <c r="E26483" i="5"/>
  <c r="E26475" i="5"/>
  <c r="E26467" i="5"/>
  <c r="E26459" i="5"/>
  <c r="E26451" i="5"/>
  <c r="E26443" i="5"/>
  <c r="E26435" i="5"/>
  <c r="E26427" i="5"/>
  <c r="E26419" i="5"/>
  <c r="E26411" i="5"/>
  <c r="E26403" i="5"/>
  <c r="E26395" i="5"/>
  <c r="E26387" i="5"/>
  <c r="E26379" i="5"/>
  <c r="E26371" i="5"/>
  <c r="E26363" i="5"/>
  <c r="E26355" i="5"/>
  <c r="E26347" i="5"/>
  <c r="E26339" i="5"/>
  <c r="E26331" i="5"/>
  <c r="E26323" i="5"/>
  <c r="E26315" i="5"/>
  <c r="E26307" i="5"/>
  <c r="E26299" i="5"/>
  <c r="E26291" i="5"/>
  <c r="E26283" i="5"/>
  <c r="E26275" i="5"/>
  <c r="E26267" i="5"/>
  <c r="E26259" i="5"/>
  <c r="E26251" i="5"/>
  <c r="E26243" i="5"/>
  <c r="E26235" i="5"/>
  <c r="E26227" i="5"/>
  <c r="E26219" i="5"/>
  <c r="E26211" i="5"/>
  <c r="E26203" i="5"/>
  <c r="E26195" i="5"/>
  <c r="E26187" i="5"/>
  <c r="E26179" i="5"/>
  <c r="E26171" i="5"/>
  <c r="E26163" i="5"/>
  <c r="E26155" i="5"/>
  <c r="E26147" i="5"/>
  <c r="E26139" i="5"/>
  <c r="E26131" i="5"/>
  <c r="E26123" i="5"/>
  <c r="E26115" i="5"/>
  <c r="E26107" i="5"/>
  <c r="E26099" i="5"/>
  <c r="E26091" i="5"/>
  <c r="E26083" i="5"/>
  <c r="E26075" i="5"/>
  <c r="E26067" i="5"/>
  <c r="E26059" i="5"/>
  <c r="E26051" i="5"/>
  <c r="E26043" i="5"/>
  <c r="E26035" i="5"/>
  <c r="E26027" i="5"/>
  <c r="E26019" i="5"/>
  <c r="E26011" i="5"/>
  <c r="E26003" i="5"/>
  <c r="E25995" i="5"/>
  <c r="E25987" i="5"/>
  <c r="E25979" i="5"/>
  <c r="E25971" i="5"/>
  <c r="E25963" i="5"/>
  <c r="E25955" i="5"/>
  <c r="E25947" i="5"/>
  <c r="E25939" i="5"/>
  <c r="E25931" i="5"/>
  <c r="E25923" i="5"/>
  <c r="E25915" i="5"/>
  <c r="E25907" i="5"/>
  <c r="E25899" i="5"/>
  <c r="E25891" i="5"/>
  <c r="E25883" i="5"/>
  <c r="E25875" i="5"/>
  <c r="E25867" i="5"/>
  <c r="E25859" i="5"/>
  <c r="E25851" i="5"/>
  <c r="E25843" i="5"/>
  <c r="E25835" i="5"/>
  <c r="E25827" i="5"/>
  <c r="E25819" i="5"/>
  <c r="E25811" i="5"/>
  <c r="E25803" i="5"/>
  <c r="E25795" i="5"/>
  <c r="E25787" i="5"/>
  <c r="E25779" i="5"/>
  <c r="E25771" i="5"/>
  <c r="E25763" i="5"/>
  <c r="E25755" i="5"/>
  <c r="E25747" i="5"/>
  <c r="E25739" i="5"/>
  <c r="E25731" i="5"/>
  <c r="E25723" i="5"/>
  <c r="E25715" i="5"/>
  <c r="E25707" i="5"/>
  <c r="E25699" i="5"/>
  <c r="E25691" i="5"/>
  <c r="E25683" i="5"/>
  <c r="E25675" i="5"/>
  <c r="E25667" i="5"/>
  <c r="E25659" i="5"/>
  <c r="E25651" i="5"/>
  <c r="E25643" i="5"/>
  <c r="E25635" i="5"/>
  <c r="E25627" i="5"/>
  <c r="E25619" i="5"/>
  <c r="E25611" i="5"/>
  <c r="E25603" i="5"/>
  <c r="E25595" i="5"/>
  <c r="E25587" i="5"/>
  <c r="E25579" i="5"/>
  <c r="E25571" i="5"/>
  <c r="E25563" i="5"/>
  <c r="E25555" i="5"/>
  <c r="E25547" i="5"/>
  <c r="E25539" i="5"/>
  <c r="E25531" i="5"/>
  <c r="E25523" i="5"/>
  <c r="E25515" i="5"/>
  <c r="E25507" i="5"/>
  <c r="E25499" i="5"/>
  <c r="E25491" i="5"/>
  <c r="E25483" i="5"/>
  <c r="E25475" i="5"/>
  <c r="E25467" i="5"/>
  <c r="E25459" i="5"/>
  <c r="E25451" i="5"/>
  <c r="E25443" i="5"/>
  <c r="E25435" i="5"/>
  <c r="E25427" i="5"/>
  <c r="E25419" i="5"/>
  <c r="E25411" i="5"/>
  <c r="E25403" i="5"/>
  <c r="E25395" i="5"/>
  <c r="E25387" i="5"/>
  <c r="E25379" i="5"/>
  <c r="E25371" i="5"/>
  <c r="E25363" i="5"/>
  <c r="E25355" i="5"/>
  <c r="E25347" i="5"/>
  <c r="E25339" i="5"/>
  <c r="E25331" i="5"/>
  <c r="E25323" i="5"/>
  <c r="E25315" i="5"/>
  <c r="E25307" i="5"/>
  <c r="E25299" i="5"/>
  <c r="E25291" i="5"/>
  <c r="E25283" i="5"/>
  <c r="E25275" i="5"/>
  <c r="E25267" i="5"/>
  <c r="E25259" i="5"/>
  <c r="E25251" i="5"/>
  <c r="E25243" i="5"/>
  <c r="E25235" i="5"/>
  <c r="E25227" i="5"/>
  <c r="E25219" i="5"/>
  <c r="E25211" i="5"/>
  <c r="E25203" i="5"/>
  <c r="E25195" i="5"/>
  <c r="E25187" i="5"/>
  <c r="E25179" i="5"/>
  <c r="E25171" i="5"/>
  <c r="E25163" i="5"/>
  <c r="E25155" i="5"/>
  <c r="E25147" i="5"/>
  <c r="E25139" i="5"/>
  <c r="E25131" i="5"/>
  <c r="E25123" i="5"/>
  <c r="E25115" i="5"/>
  <c r="E25107" i="5"/>
  <c r="E25099" i="5"/>
  <c r="E25091" i="5"/>
  <c r="E25083" i="5"/>
  <c r="E25075" i="5"/>
  <c r="E25067" i="5"/>
  <c r="E25059" i="5"/>
  <c r="E25051" i="5"/>
  <c r="E25043" i="5"/>
  <c r="E25035" i="5"/>
  <c r="E25027" i="5"/>
  <c r="E25019" i="5"/>
  <c r="E25011" i="5"/>
  <c r="E25003" i="5"/>
  <c r="E24995" i="5"/>
  <c r="E24987" i="5"/>
  <c r="E24979" i="5"/>
  <c r="E24971" i="5"/>
  <c r="E24963" i="5"/>
  <c r="E24955" i="5"/>
  <c r="E24947" i="5"/>
  <c r="E24939" i="5"/>
  <c r="E24931" i="5"/>
  <c r="E24923" i="5"/>
  <c r="E24915" i="5"/>
  <c r="E24907" i="5"/>
  <c r="E41561" i="5"/>
  <c r="E41545" i="5"/>
  <c r="E41529" i="5"/>
  <c r="E41513" i="5"/>
  <c r="E41497" i="5"/>
  <c r="E41481" i="5"/>
  <c r="E41465" i="5"/>
  <c r="E41449" i="5"/>
  <c r="E41433" i="5"/>
  <c r="E41417" i="5"/>
  <c r="E41401" i="5"/>
  <c r="E41385" i="5"/>
  <c r="E41369" i="5"/>
  <c r="E41353" i="5"/>
  <c r="E41337" i="5"/>
  <c r="E41321" i="5"/>
  <c r="E41305" i="5"/>
  <c r="E41289" i="5"/>
  <c r="E41273" i="5"/>
  <c r="E41257" i="5"/>
  <c r="E41241" i="5"/>
  <c r="E41225" i="5"/>
  <c r="E41209" i="5"/>
  <c r="E41193" i="5"/>
  <c r="E41177" i="5"/>
  <c r="E41161" i="5"/>
  <c r="E41145" i="5"/>
  <c r="E41129" i="5"/>
  <c r="E41113" i="5"/>
  <c r="E41097" i="5"/>
  <c r="E41081" i="5"/>
  <c r="E41065" i="5"/>
  <c r="E41049" i="5"/>
  <c r="E41033" i="5"/>
  <c r="E41017" i="5"/>
  <c r="E41001" i="5"/>
  <c r="E40985" i="5"/>
  <c r="E40969" i="5"/>
  <c r="E40953" i="5"/>
  <c r="E40937" i="5"/>
  <c r="E40921" i="5"/>
  <c r="E40905" i="5"/>
  <c r="E40889" i="5"/>
  <c r="E40873" i="5"/>
  <c r="E40860" i="5"/>
  <c r="E40848" i="5"/>
  <c r="E40835" i="5"/>
  <c r="E40822" i="5"/>
  <c r="E40809" i="5"/>
  <c r="E40796" i="5"/>
  <c r="E40784" i="5"/>
  <c r="E40771" i="5"/>
  <c r="E40758" i="5"/>
  <c r="E40745" i="5"/>
  <c r="E40732" i="5"/>
  <c r="E40720" i="5"/>
  <c r="E40707" i="5"/>
  <c r="E40694" i="5"/>
  <c r="E40681" i="5"/>
  <c r="E40668" i="5"/>
  <c r="E40656" i="5"/>
  <c r="E40643" i="5"/>
  <c r="E40630" i="5"/>
  <c r="E40617" i="5"/>
  <c r="E40604" i="5"/>
  <c r="E40592" i="5"/>
  <c r="E40579" i="5"/>
  <c r="E40566" i="5"/>
  <c r="E40553" i="5"/>
  <c r="E40540" i="5"/>
  <c r="E40528" i="5"/>
  <c r="E40515" i="5"/>
  <c r="E40502" i="5"/>
  <c r="E40489" i="5"/>
  <c r="E40476" i="5"/>
  <c r="E40464" i="5"/>
  <c r="E40451" i="5"/>
  <c r="E40438" i="5"/>
  <c r="E40425" i="5"/>
  <c r="E40412" i="5"/>
  <c r="E40400" i="5"/>
  <c r="E40387" i="5"/>
  <c r="E40374" i="5"/>
  <c r="E40361" i="5"/>
  <c r="E40348" i="5"/>
  <c r="E40336" i="5"/>
  <c r="E40323" i="5"/>
  <c r="E40310" i="5"/>
  <c r="E40297" i="5"/>
  <c r="E40284" i="5"/>
  <c r="E40272" i="5"/>
  <c r="E40259" i="5"/>
  <c r="E40246" i="5"/>
  <c r="E40233" i="5"/>
  <c r="E40220" i="5"/>
  <c r="E40208" i="5"/>
  <c r="E40195" i="5"/>
  <c r="E40182" i="5"/>
  <c r="E40169" i="5"/>
  <c r="E40156" i="5"/>
  <c r="E40144" i="5"/>
  <c r="E40131" i="5"/>
  <c r="E40118" i="5"/>
  <c r="E40105" i="5"/>
  <c r="E40092" i="5"/>
  <c r="E40080" i="5"/>
  <c r="E40067" i="5"/>
  <c r="E40054" i="5"/>
  <c r="E40041" i="5"/>
  <c r="E40028" i="5"/>
  <c r="E40016" i="5"/>
  <c r="E40003" i="5"/>
  <c r="E39990" i="5"/>
  <c r="E39977" i="5"/>
  <c r="E39964" i="5"/>
  <c r="E39952" i="5"/>
  <c r="E39939" i="5"/>
  <c r="E39926" i="5"/>
  <c r="E39913" i="5"/>
  <c r="E39900" i="5"/>
  <c r="E39888" i="5"/>
  <c r="E39875" i="5"/>
  <c r="E39862" i="5"/>
  <c r="E39849" i="5"/>
  <c r="E39836" i="5"/>
  <c r="E39824" i="5"/>
  <c r="E39811" i="5"/>
  <c r="E39798" i="5"/>
  <c r="E39785" i="5"/>
  <c r="E39772" i="5"/>
  <c r="E39760" i="5"/>
  <c r="E39747" i="5"/>
  <c r="E39734" i="5"/>
  <c r="E39721" i="5"/>
  <c r="E39708" i="5"/>
  <c r="E39696" i="5"/>
  <c r="E39683" i="5"/>
  <c r="E39670" i="5"/>
  <c r="E39657" i="5"/>
  <c r="E39644" i="5"/>
  <c r="E39632" i="5"/>
  <c r="E39619" i="5"/>
  <c r="E39606" i="5"/>
  <c r="E39593" i="5"/>
  <c r="E39580" i="5"/>
  <c r="E39568" i="5"/>
  <c r="E39555" i="5"/>
  <c r="E39542" i="5"/>
  <c r="E39529" i="5"/>
  <c r="E39516" i="5"/>
  <c r="E39504" i="5"/>
  <c r="E39491" i="5"/>
  <c r="E39478" i="5"/>
  <c r="E39465" i="5"/>
  <c r="E39452" i="5"/>
  <c r="E39440" i="5"/>
  <c r="E39427" i="5"/>
  <c r="E39414" i="5"/>
  <c r="E39401" i="5"/>
  <c r="E39388" i="5"/>
  <c r="E39376" i="5"/>
  <c r="E39363" i="5"/>
  <c r="E39350" i="5"/>
  <c r="E39337" i="5"/>
  <c r="E39324" i="5"/>
  <c r="E39312" i="5"/>
  <c r="E39299" i="5"/>
  <c r="E39286" i="5"/>
  <c r="E39273" i="5"/>
  <c r="E39260" i="5"/>
  <c r="E39250" i="5"/>
  <c r="E39240" i="5"/>
  <c r="E39228" i="5"/>
  <c r="E39218" i="5"/>
  <c r="E39208" i="5"/>
  <c r="E39196" i="5"/>
  <c r="E39186" i="5"/>
  <c r="E39176" i="5"/>
  <c r="E39164" i="5"/>
  <c r="E39154" i="5"/>
  <c r="E39146" i="5"/>
  <c r="E39138" i="5"/>
  <c r="E39130" i="5"/>
  <c r="E39122" i="5"/>
  <c r="E39114" i="5"/>
  <c r="E39106" i="5"/>
  <c r="E39098" i="5"/>
  <c r="E39090" i="5"/>
  <c r="E39082" i="5"/>
  <c r="E39074" i="5"/>
  <c r="E39066" i="5"/>
  <c r="E39058" i="5"/>
  <c r="E39050" i="5"/>
  <c r="E39042" i="5"/>
  <c r="E39034" i="5"/>
  <c r="E39026" i="5"/>
  <c r="E39018" i="5"/>
  <c r="E39010" i="5"/>
  <c r="E39002" i="5"/>
  <c r="E38994" i="5"/>
  <c r="E38986" i="5"/>
  <c r="E38978" i="5"/>
  <c r="E38970" i="5"/>
  <c r="E38962" i="5"/>
  <c r="E38954" i="5"/>
  <c r="E38946" i="5"/>
  <c r="E38938" i="5"/>
  <c r="E38930" i="5"/>
  <c r="E38922" i="5"/>
  <c r="E38914" i="5"/>
  <c r="E38906" i="5"/>
  <c r="E38898" i="5"/>
  <c r="E38890" i="5"/>
  <c r="E38882" i="5"/>
  <c r="E38874" i="5"/>
  <c r="E38866" i="5"/>
  <c r="E38858" i="5"/>
  <c r="E38850" i="5"/>
  <c r="E38842" i="5"/>
  <c r="E38834" i="5"/>
  <c r="E38826" i="5"/>
  <c r="E38818" i="5"/>
  <c r="E38810" i="5"/>
  <c r="E38802" i="5"/>
  <c r="E38794" i="5"/>
  <c r="E38786" i="5"/>
  <c r="E38778" i="5"/>
  <c r="E38770" i="5"/>
  <c r="E38762" i="5"/>
  <c r="E38754" i="5"/>
  <c r="E38746" i="5"/>
  <c r="E38738" i="5"/>
  <c r="E38730" i="5"/>
  <c r="E38722" i="5"/>
  <c r="E38714" i="5"/>
  <c r="E38706" i="5"/>
  <c r="E38698" i="5"/>
  <c r="E38690" i="5"/>
  <c r="E38682" i="5"/>
  <c r="E38674" i="5"/>
  <c r="E38666" i="5"/>
  <c r="E38658" i="5"/>
  <c r="E38650" i="5"/>
  <c r="E38642" i="5"/>
  <c r="E38634" i="5"/>
  <c r="E38626" i="5"/>
  <c r="E38618" i="5"/>
  <c r="E38610" i="5"/>
  <c r="E38602" i="5"/>
  <c r="E38594" i="5"/>
  <c r="E38586" i="5"/>
  <c r="E38578" i="5"/>
  <c r="E38570" i="5"/>
  <c r="E38562" i="5"/>
  <c r="E38554" i="5"/>
  <c r="E38546" i="5"/>
  <c r="E38538" i="5"/>
  <c r="E38530" i="5"/>
  <c r="E38522" i="5"/>
  <c r="E38514" i="5"/>
  <c r="E38506" i="5"/>
  <c r="E38498" i="5"/>
  <c r="E38490" i="5"/>
  <c r="E38482" i="5"/>
  <c r="E38474" i="5"/>
  <c r="E38466" i="5"/>
  <c r="E38458" i="5"/>
  <c r="E38450" i="5"/>
  <c r="E38442" i="5"/>
  <c r="E38434" i="5"/>
  <c r="E38426" i="5"/>
  <c r="E38418" i="5"/>
  <c r="E38410" i="5"/>
  <c r="E38402" i="5"/>
  <c r="E38394" i="5"/>
  <c r="E38386" i="5"/>
  <c r="E38378" i="5"/>
  <c r="E38370" i="5"/>
  <c r="E38362" i="5"/>
  <c r="E38354" i="5"/>
  <c r="E38346" i="5"/>
  <c r="E38338" i="5"/>
  <c r="E38330" i="5"/>
  <c r="E38322" i="5"/>
  <c r="E38314" i="5"/>
  <c r="E38306" i="5"/>
  <c r="E38298" i="5"/>
  <c r="E38290" i="5"/>
  <c r="E38282" i="5"/>
  <c r="E38274" i="5"/>
  <c r="E38266" i="5"/>
  <c r="E38258" i="5"/>
  <c r="E38250" i="5"/>
  <c r="E38242" i="5"/>
  <c r="E38234" i="5"/>
  <c r="E38226" i="5"/>
  <c r="E38218" i="5"/>
  <c r="E38210" i="5"/>
  <c r="E38202" i="5"/>
  <c r="E38194" i="5"/>
  <c r="E38186" i="5"/>
  <c r="E38178" i="5"/>
  <c r="E38170" i="5"/>
  <c r="E38162" i="5"/>
  <c r="E38154" i="5"/>
  <c r="E38146" i="5"/>
  <c r="E38138" i="5"/>
  <c r="E38130" i="5"/>
  <c r="E38122" i="5"/>
  <c r="E38114" i="5"/>
  <c r="E38106" i="5"/>
  <c r="E38098" i="5"/>
  <c r="E38090" i="5"/>
  <c r="E38082" i="5"/>
  <c r="E38074" i="5"/>
  <c r="E38066" i="5"/>
  <c r="E38058" i="5"/>
  <c r="E38050" i="5"/>
  <c r="E38042" i="5"/>
  <c r="E38034" i="5"/>
  <c r="E38026" i="5"/>
  <c r="E38018" i="5"/>
  <c r="E38010" i="5"/>
  <c r="E38002" i="5"/>
  <c r="E37994" i="5"/>
  <c r="E37986" i="5"/>
  <c r="E37978" i="5"/>
  <c r="E37970" i="5"/>
  <c r="E37962" i="5"/>
  <c r="E37954" i="5"/>
  <c r="E37946" i="5"/>
  <c r="E37938" i="5"/>
  <c r="E37930" i="5"/>
  <c r="E37922" i="5"/>
  <c r="E37914" i="5"/>
  <c r="E37906" i="5"/>
  <c r="E37898" i="5"/>
  <c r="E37890" i="5"/>
  <c r="E37882" i="5"/>
  <c r="E37874" i="5"/>
  <c r="E37866" i="5"/>
  <c r="E37858" i="5"/>
  <c r="E37850" i="5"/>
  <c r="E37842" i="5"/>
  <c r="E37834" i="5"/>
  <c r="E37826" i="5"/>
  <c r="E37818" i="5"/>
  <c r="E37810" i="5"/>
  <c r="E37802" i="5"/>
  <c r="E37794" i="5"/>
  <c r="E37786" i="5"/>
  <c r="E37778" i="5"/>
  <c r="E37770" i="5"/>
  <c r="E37762" i="5"/>
  <c r="E37754" i="5"/>
  <c r="E37746" i="5"/>
  <c r="E37738" i="5"/>
  <c r="E37730" i="5"/>
  <c r="E37722" i="5"/>
  <c r="E37714" i="5"/>
  <c r="E37706" i="5"/>
  <c r="E37698" i="5"/>
  <c r="E37690" i="5"/>
  <c r="E37682" i="5"/>
  <c r="E37674" i="5"/>
  <c r="E37666" i="5"/>
  <c r="E37658" i="5"/>
  <c r="E37650" i="5"/>
  <c r="E37642" i="5"/>
  <c r="E37634" i="5"/>
  <c r="E37626" i="5"/>
  <c r="E37618" i="5"/>
  <c r="E37610" i="5"/>
  <c r="E37602" i="5"/>
  <c r="E37594" i="5"/>
  <c r="E37586" i="5"/>
  <c r="E37578" i="5"/>
  <c r="E37570" i="5"/>
  <c r="E37562" i="5"/>
  <c r="E37554" i="5"/>
  <c r="E37546" i="5"/>
  <c r="E37538" i="5"/>
  <c r="E37530" i="5"/>
  <c r="E37522" i="5"/>
  <c r="E37514" i="5"/>
  <c r="E37506" i="5"/>
  <c r="E37498" i="5"/>
  <c r="E37490" i="5"/>
  <c r="E37482" i="5"/>
  <c r="E37474" i="5"/>
  <c r="E37466" i="5"/>
  <c r="E37458" i="5"/>
  <c r="E37450" i="5"/>
  <c r="E37442" i="5"/>
  <c r="E37434" i="5"/>
  <c r="E37426" i="5"/>
  <c r="E37418" i="5"/>
  <c r="E37410" i="5"/>
  <c r="E37402" i="5"/>
  <c r="E37394" i="5"/>
  <c r="E37386" i="5"/>
  <c r="E37378" i="5"/>
  <c r="E37370" i="5"/>
  <c r="E37362" i="5"/>
  <c r="E37354" i="5"/>
  <c r="E37346" i="5"/>
  <c r="E37338" i="5"/>
  <c r="E37330" i="5"/>
  <c r="E37322" i="5"/>
  <c r="E37314" i="5"/>
  <c r="E37306" i="5"/>
  <c r="E37298" i="5"/>
  <c r="E37290" i="5"/>
  <c r="E37282" i="5"/>
  <c r="E37274" i="5"/>
  <c r="E37266" i="5"/>
  <c r="E37258" i="5"/>
  <c r="E37250" i="5"/>
  <c r="E37242" i="5"/>
  <c r="E37234" i="5"/>
  <c r="E37226" i="5"/>
  <c r="E37218" i="5"/>
  <c r="E37210" i="5"/>
  <c r="E37202" i="5"/>
  <c r="E37194" i="5"/>
  <c r="E37186" i="5"/>
  <c r="E37178" i="5"/>
  <c r="E37170" i="5"/>
  <c r="E37162" i="5"/>
  <c r="E37154" i="5"/>
  <c r="E37146" i="5"/>
  <c r="E37138" i="5"/>
  <c r="E37130" i="5"/>
  <c r="E37122" i="5"/>
  <c r="E37114" i="5"/>
  <c r="E37106" i="5"/>
  <c r="E37098" i="5"/>
  <c r="E37090" i="5"/>
  <c r="E37082" i="5"/>
  <c r="E37074" i="5"/>
  <c r="E37066" i="5"/>
  <c r="E37058" i="5"/>
  <c r="E37050" i="5"/>
  <c r="E37042" i="5"/>
  <c r="E37034" i="5"/>
  <c r="E37026" i="5"/>
  <c r="E37018" i="5"/>
  <c r="E37010" i="5"/>
  <c r="E37002" i="5"/>
  <c r="E36994" i="5"/>
  <c r="E36986" i="5"/>
  <c r="E36978" i="5"/>
  <c r="E36970" i="5"/>
  <c r="E36962" i="5"/>
  <c r="E36954" i="5"/>
  <c r="E36946" i="5"/>
  <c r="E36938" i="5"/>
  <c r="E36930" i="5"/>
  <c r="E36922" i="5"/>
  <c r="E36914" i="5"/>
  <c r="E36906" i="5"/>
  <c r="E36898" i="5"/>
  <c r="E36890" i="5"/>
  <c r="E36882" i="5"/>
  <c r="E36874" i="5"/>
  <c r="E36866" i="5"/>
  <c r="E36858" i="5"/>
  <c r="E36850" i="5"/>
  <c r="E36842" i="5"/>
  <c r="E36834" i="5"/>
  <c r="E36826" i="5"/>
  <c r="E36818" i="5"/>
  <c r="E36810" i="5"/>
  <c r="E36802" i="5"/>
  <c r="E36794" i="5"/>
  <c r="E36786" i="5"/>
  <c r="E36778" i="5"/>
  <c r="E36770" i="5"/>
  <c r="E36762" i="5"/>
  <c r="E36754" i="5"/>
  <c r="E36746" i="5"/>
  <c r="E36738" i="5"/>
  <c r="E36730" i="5"/>
  <c r="E36722" i="5"/>
  <c r="E36714" i="5"/>
  <c r="E36706" i="5"/>
  <c r="E36698" i="5"/>
  <c r="E36690" i="5"/>
  <c r="E36682" i="5"/>
  <c r="E36674" i="5"/>
  <c r="E36666" i="5"/>
  <c r="E36658" i="5"/>
  <c r="E36650" i="5"/>
  <c r="E36642" i="5"/>
  <c r="E36634" i="5"/>
  <c r="E36626" i="5"/>
  <c r="E36618" i="5"/>
  <c r="E36610" i="5"/>
  <c r="E36602" i="5"/>
  <c r="E36594" i="5"/>
  <c r="E36586" i="5"/>
  <c r="E36578" i="5"/>
  <c r="E36570" i="5"/>
  <c r="E36562" i="5"/>
  <c r="E36554" i="5"/>
  <c r="E36546" i="5"/>
  <c r="E36538" i="5"/>
  <c r="E36530" i="5"/>
  <c r="E36522" i="5"/>
  <c r="E36514" i="5"/>
  <c r="E36506" i="5"/>
  <c r="E36498" i="5"/>
  <c r="E36490" i="5"/>
  <c r="E36482" i="5"/>
  <c r="E36474" i="5"/>
  <c r="E36466" i="5"/>
  <c r="E36458" i="5"/>
  <c r="E36450" i="5"/>
  <c r="E36442" i="5"/>
  <c r="E36434" i="5"/>
  <c r="E36426" i="5"/>
  <c r="E36418" i="5"/>
  <c r="E36410" i="5"/>
  <c r="E36402" i="5"/>
  <c r="E36394" i="5"/>
  <c r="E36386" i="5"/>
  <c r="E36378" i="5"/>
  <c r="E36370" i="5"/>
  <c r="E36362" i="5"/>
  <c r="E36354" i="5"/>
  <c r="E36346" i="5"/>
  <c r="E36338" i="5"/>
  <c r="E36330" i="5"/>
  <c r="E36322" i="5"/>
  <c r="E36314" i="5"/>
  <c r="E36306" i="5"/>
  <c r="E36298" i="5"/>
  <c r="E36290" i="5"/>
  <c r="E36282" i="5"/>
  <c r="E36274" i="5"/>
  <c r="E36266" i="5"/>
  <c r="E36258" i="5"/>
  <c r="E36250" i="5"/>
  <c r="E36242" i="5"/>
  <c r="E36234" i="5"/>
  <c r="E36226" i="5"/>
  <c r="E36218" i="5"/>
  <c r="E36210" i="5"/>
  <c r="E36202" i="5"/>
  <c r="E36194" i="5"/>
  <c r="E36186" i="5"/>
  <c r="E36178" i="5"/>
  <c r="E36170" i="5"/>
  <c r="E36162" i="5"/>
  <c r="E36154" i="5"/>
  <c r="E36146" i="5"/>
  <c r="E36138" i="5"/>
  <c r="E36130" i="5"/>
  <c r="E36122" i="5"/>
  <c r="E36114" i="5"/>
  <c r="E36106" i="5"/>
  <c r="E36098" i="5"/>
  <c r="E36090" i="5"/>
  <c r="E36082" i="5"/>
  <c r="E36074" i="5"/>
  <c r="E36066" i="5"/>
  <c r="E36058" i="5"/>
  <c r="E36050" i="5"/>
  <c r="E36042" i="5"/>
  <c r="E36034" i="5"/>
  <c r="E36026" i="5"/>
  <c r="E36018" i="5"/>
  <c r="E36010" i="5"/>
  <c r="E36002" i="5"/>
  <c r="E35994" i="5"/>
  <c r="E35986" i="5"/>
  <c r="E35978" i="5"/>
  <c r="E35970" i="5"/>
  <c r="E35962" i="5"/>
  <c r="E35954" i="5"/>
  <c r="E35946" i="5"/>
  <c r="E35938" i="5"/>
  <c r="E35930" i="5"/>
  <c r="E35922" i="5"/>
  <c r="E35914" i="5"/>
  <c r="E35906" i="5"/>
  <c r="E35898" i="5"/>
  <c r="E35890" i="5"/>
  <c r="E35882" i="5"/>
  <c r="E35874" i="5"/>
  <c r="E35866" i="5"/>
  <c r="E35858" i="5"/>
  <c r="E35850" i="5"/>
  <c r="E35842" i="5"/>
  <c r="E35834" i="5"/>
  <c r="E35826" i="5"/>
  <c r="E35818" i="5"/>
  <c r="E35810" i="5"/>
  <c r="E35802" i="5"/>
  <c r="E35794" i="5"/>
  <c r="E35786" i="5"/>
  <c r="E35778" i="5"/>
  <c r="E35770" i="5"/>
  <c r="E35762" i="5"/>
  <c r="E35754" i="5"/>
  <c r="E35746" i="5"/>
  <c r="E35738" i="5"/>
  <c r="E35730" i="5"/>
  <c r="E35722" i="5"/>
  <c r="E35714" i="5"/>
  <c r="E35706" i="5"/>
  <c r="E35698" i="5"/>
  <c r="E35690" i="5"/>
  <c r="E35682" i="5"/>
  <c r="E35674" i="5"/>
  <c r="E35666" i="5"/>
  <c r="E35658" i="5"/>
  <c r="E35650" i="5"/>
  <c r="E35642" i="5"/>
  <c r="E35634" i="5"/>
  <c r="E35626" i="5"/>
  <c r="E35618" i="5"/>
  <c r="E35610" i="5"/>
  <c r="E35602" i="5"/>
  <c r="E35594" i="5"/>
  <c r="E35586" i="5"/>
  <c r="E35578" i="5"/>
  <c r="E35570" i="5"/>
  <c r="E35562" i="5"/>
  <c r="E35554" i="5"/>
  <c r="E35546" i="5"/>
  <c r="E35538" i="5"/>
  <c r="E35530" i="5"/>
  <c r="E35522" i="5"/>
  <c r="E35514" i="5"/>
  <c r="E35506" i="5"/>
  <c r="E35498" i="5"/>
  <c r="E35490" i="5"/>
  <c r="E35482" i="5"/>
  <c r="E35474" i="5"/>
  <c r="E35466" i="5"/>
  <c r="E35458" i="5"/>
  <c r="E35450" i="5"/>
  <c r="E35442" i="5"/>
  <c r="E35434" i="5"/>
  <c r="E35426" i="5"/>
  <c r="E35418" i="5"/>
  <c r="E35410" i="5"/>
  <c r="E35402" i="5"/>
  <c r="E35394" i="5"/>
  <c r="E35386" i="5"/>
  <c r="E35378" i="5"/>
  <c r="E35370" i="5"/>
  <c r="E35362" i="5"/>
  <c r="E35354" i="5"/>
  <c r="E35346" i="5"/>
  <c r="E35338" i="5"/>
  <c r="E35330" i="5"/>
  <c r="E35322" i="5"/>
  <c r="E35314" i="5"/>
  <c r="E35306" i="5"/>
  <c r="E35298" i="5"/>
  <c r="E35290" i="5"/>
  <c r="E35282" i="5"/>
  <c r="E35274" i="5"/>
  <c r="E35266" i="5"/>
  <c r="E35258" i="5"/>
  <c r="E35250" i="5"/>
  <c r="E35242" i="5"/>
  <c r="E35234" i="5"/>
  <c r="E35226" i="5"/>
  <c r="E35218" i="5"/>
  <c r="E35210" i="5"/>
  <c r="E35202" i="5"/>
  <c r="E35194" i="5"/>
  <c r="E35186" i="5"/>
  <c r="E35178" i="5"/>
  <c r="E35170" i="5"/>
  <c r="E35162" i="5"/>
  <c r="E35154" i="5"/>
  <c r="E35146" i="5"/>
  <c r="E35138" i="5"/>
  <c r="E35130" i="5"/>
  <c r="E35122" i="5"/>
  <c r="E35114" i="5"/>
  <c r="E35106" i="5"/>
  <c r="E35098" i="5"/>
  <c r="E35090" i="5"/>
  <c r="E35082" i="5"/>
  <c r="E35074" i="5"/>
  <c r="E35066" i="5"/>
  <c r="E35058" i="5"/>
  <c r="E35050" i="5"/>
  <c r="E35042" i="5"/>
  <c r="E35034" i="5"/>
  <c r="E35026" i="5"/>
  <c r="E35018" i="5"/>
  <c r="E35010" i="5"/>
  <c r="E35002" i="5"/>
  <c r="E34994" i="5"/>
  <c r="E34986" i="5"/>
  <c r="E34978" i="5"/>
  <c r="E34970" i="5"/>
  <c r="E34962" i="5"/>
  <c r="E34954" i="5"/>
  <c r="E34946" i="5"/>
  <c r="E34938" i="5"/>
  <c r="E34930" i="5"/>
  <c r="E34922" i="5"/>
  <c r="E34914" i="5"/>
  <c r="E34906" i="5"/>
  <c r="E34898" i="5"/>
  <c r="E34890" i="5"/>
  <c r="E34882" i="5"/>
  <c r="E34874" i="5"/>
  <c r="E34866" i="5"/>
  <c r="E34858" i="5"/>
  <c r="E34850" i="5"/>
  <c r="E34842" i="5"/>
  <c r="E34834" i="5"/>
  <c r="E34826" i="5"/>
  <c r="E34818" i="5"/>
  <c r="E34810" i="5"/>
  <c r="E34802" i="5"/>
  <c r="E34794" i="5"/>
  <c r="E34786" i="5"/>
  <c r="E34778" i="5"/>
  <c r="E34770" i="5"/>
  <c r="E34762" i="5"/>
  <c r="E34754" i="5"/>
  <c r="E34746" i="5"/>
  <c r="E34738" i="5"/>
  <c r="E34730" i="5"/>
  <c r="E34722" i="5"/>
  <c r="E34714" i="5"/>
  <c r="E34706" i="5"/>
  <c r="E34698" i="5"/>
  <c r="E34690" i="5"/>
  <c r="E34682" i="5"/>
  <c r="E34674" i="5"/>
  <c r="E34666" i="5"/>
  <c r="E34658" i="5"/>
  <c r="E34650" i="5"/>
  <c r="E34642" i="5"/>
  <c r="E34634" i="5"/>
  <c r="E34626" i="5"/>
  <c r="E34618" i="5"/>
  <c r="E34610" i="5"/>
  <c r="E34602" i="5"/>
  <c r="E34594" i="5"/>
  <c r="E34586" i="5"/>
  <c r="E34578" i="5"/>
  <c r="E34570" i="5"/>
  <c r="E34562" i="5"/>
  <c r="E34554" i="5"/>
  <c r="E34546" i="5"/>
  <c r="E34538" i="5"/>
  <c r="E34530" i="5"/>
  <c r="E34522" i="5"/>
  <c r="E34514" i="5"/>
  <c r="E34506" i="5"/>
  <c r="E34498" i="5"/>
  <c r="E34490" i="5"/>
  <c r="E34482" i="5"/>
  <c r="E34474" i="5"/>
  <c r="E34466" i="5"/>
  <c r="E34458" i="5"/>
  <c r="E34450" i="5"/>
  <c r="E34442" i="5"/>
  <c r="E34434" i="5"/>
  <c r="E34426" i="5"/>
  <c r="E34418" i="5"/>
  <c r="E34410" i="5"/>
  <c r="E34402" i="5"/>
  <c r="E34394" i="5"/>
  <c r="E34386" i="5"/>
  <c r="E34378" i="5"/>
  <c r="E34370" i="5"/>
  <c r="E34362" i="5"/>
  <c r="E34354" i="5"/>
  <c r="E34346" i="5"/>
  <c r="E34338" i="5"/>
  <c r="E34330" i="5"/>
  <c r="E34322" i="5"/>
  <c r="E34314" i="5"/>
  <c r="E34306" i="5"/>
  <c r="E34298" i="5"/>
  <c r="E34290" i="5"/>
  <c r="E34282" i="5"/>
  <c r="E34274" i="5"/>
  <c r="E34266" i="5"/>
  <c r="E34258" i="5"/>
  <c r="E34250" i="5"/>
  <c r="E34242" i="5"/>
  <c r="E34234" i="5"/>
  <c r="E34226" i="5"/>
  <c r="E34218" i="5"/>
  <c r="E34210" i="5"/>
  <c r="E34202" i="5"/>
  <c r="E34194" i="5"/>
  <c r="E34186" i="5"/>
  <c r="E34178" i="5"/>
  <c r="E34170" i="5"/>
  <c r="E34162" i="5"/>
  <c r="E34154" i="5"/>
  <c r="E34146" i="5"/>
  <c r="E34138" i="5"/>
  <c r="E34130" i="5"/>
  <c r="E34122" i="5"/>
  <c r="E34114" i="5"/>
  <c r="E34106" i="5"/>
  <c r="E34098" i="5"/>
  <c r="E34090" i="5"/>
  <c r="E34082" i="5"/>
  <c r="E34074" i="5"/>
  <c r="E34066" i="5"/>
  <c r="E34058" i="5"/>
  <c r="E34050" i="5"/>
  <c r="E34042" i="5"/>
  <c r="E34034" i="5"/>
  <c r="E34026" i="5"/>
  <c r="E34018" i="5"/>
  <c r="E34010" i="5"/>
  <c r="E34002" i="5"/>
  <c r="E33994" i="5"/>
  <c r="E33986" i="5"/>
  <c r="E33978" i="5"/>
  <c r="E33970" i="5"/>
  <c r="E33962" i="5"/>
  <c r="E33954" i="5"/>
  <c r="E33946" i="5"/>
  <c r="E33938" i="5"/>
  <c r="E33930" i="5"/>
  <c r="E33922" i="5"/>
  <c r="E33914" i="5"/>
  <c r="E33906" i="5"/>
  <c r="E33898" i="5"/>
  <c r="E33890" i="5"/>
  <c r="E33882" i="5"/>
  <c r="E33874" i="5"/>
  <c r="E33866" i="5"/>
  <c r="E33858" i="5"/>
  <c r="E33850" i="5"/>
  <c r="E33842" i="5"/>
  <c r="E33834" i="5"/>
  <c r="E33826" i="5"/>
  <c r="E33818" i="5"/>
  <c r="E33810" i="5"/>
  <c r="E33802" i="5"/>
  <c r="E33794" i="5"/>
  <c r="E33786" i="5"/>
  <c r="E33778" i="5"/>
  <c r="E33770" i="5"/>
  <c r="E33762" i="5"/>
  <c r="E33754" i="5"/>
  <c r="E33746" i="5"/>
  <c r="E33738" i="5"/>
  <c r="E33730" i="5"/>
  <c r="E33722" i="5"/>
  <c r="E33714" i="5"/>
  <c r="E33706" i="5"/>
  <c r="E33698" i="5"/>
  <c r="E33690" i="5"/>
  <c r="E33682" i="5"/>
  <c r="E33674" i="5"/>
  <c r="E33666" i="5"/>
  <c r="E33658" i="5"/>
  <c r="E33650" i="5"/>
  <c r="E33642" i="5"/>
  <c r="E33634" i="5"/>
  <c r="E33626" i="5"/>
  <c r="E33618" i="5"/>
  <c r="E33610" i="5"/>
  <c r="E33602" i="5"/>
  <c r="E33594" i="5"/>
  <c r="E33586" i="5"/>
  <c r="E33578" i="5"/>
  <c r="E33570" i="5"/>
  <c r="E33562" i="5"/>
  <c r="E33554" i="5"/>
  <c r="E33546" i="5"/>
  <c r="E33538" i="5"/>
  <c r="E33530" i="5"/>
  <c r="E33522" i="5"/>
  <c r="E33514" i="5"/>
  <c r="E33506" i="5"/>
  <c r="E33498" i="5"/>
  <c r="E33490" i="5"/>
  <c r="E33482" i="5"/>
  <c r="E33474" i="5"/>
  <c r="E33466" i="5"/>
  <c r="E33458" i="5"/>
  <c r="E33450" i="5"/>
  <c r="E33442" i="5"/>
  <c r="E33434" i="5"/>
  <c r="E33426" i="5"/>
  <c r="E33418" i="5"/>
  <c r="E33410" i="5"/>
  <c r="E33402" i="5"/>
  <c r="E33394" i="5"/>
  <c r="E33386" i="5"/>
  <c r="E33378" i="5"/>
  <c r="E33370" i="5"/>
  <c r="E33362" i="5"/>
  <c r="E33354" i="5"/>
  <c r="E33346" i="5"/>
  <c r="E33338" i="5"/>
  <c r="E33330" i="5"/>
  <c r="E33322" i="5"/>
  <c r="E33314" i="5"/>
  <c r="E33306" i="5"/>
  <c r="E33298" i="5"/>
  <c r="E33290" i="5"/>
  <c r="E33282" i="5"/>
  <c r="E33274" i="5"/>
  <c r="E33266" i="5"/>
  <c r="E33258" i="5"/>
  <c r="E33250" i="5"/>
  <c r="E33242" i="5"/>
  <c r="E33234" i="5"/>
  <c r="E33226" i="5"/>
  <c r="E33218" i="5"/>
  <c r="E33210" i="5"/>
  <c r="E33202" i="5"/>
  <c r="E33194" i="5"/>
  <c r="E33186" i="5"/>
  <c r="E33178" i="5"/>
  <c r="E33170" i="5"/>
  <c r="E33162" i="5"/>
  <c r="E33154" i="5"/>
  <c r="E33146" i="5"/>
  <c r="E33138" i="5"/>
  <c r="E33130" i="5"/>
  <c r="E33122" i="5"/>
  <c r="E33114" i="5"/>
  <c r="E33106" i="5"/>
  <c r="E33098" i="5"/>
  <c r="E33090" i="5"/>
  <c r="E33082" i="5"/>
  <c r="E33074" i="5"/>
  <c r="E33066" i="5"/>
  <c r="E33058" i="5"/>
  <c r="E33050" i="5"/>
  <c r="E33042" i="5"/>
  <c r="E33034" i="5"/>
  <c r="E33026" i="5"/>
  <c r="E33018" i="5"/>
  <c r="E33010" i="5"/>
  <c r="E33002" i="5"/>
  <c r="E32994" i="5"/>
  <c r="E32986" i="5"/>
  <c r="E32978" i="5"/>
  <c r="E32970" i="5"/>
  <c r="E32962" i="5"/>
  <c r="E32954" i="5"/>
  <c r="E32946" i="5"/>
  <c r="E32938" i="5"/>
  <c r="E32930" i="5"/>
  <c r="E32922" i="5"/>
  <c r="E32914" i="5"/>
  <c r="E32906" i="5"/>
  <c r="E32898" i="5"/>
  <c r="E32890" i="5"/>
  <c r="E32882" i="5"/>
  <c r="E32874" i="5"/>
  <c r="E32866" i="5"/>
  <c r="E32858" i="5"/>
  <c r="E32850" i="5"/>
  <c r="E32842" i="5"/>
  <c r="E32834" i="5"/>
  <c r="E32826" i="5"/>
  <c r="E32818" i="5"/>
  <c r="E32810" i="5"/>
  <c r="E32802" i="5"/>
  <c r="E32794" i="5"/>
  <c r="E32786" i="5"/>
  <c r="E32778" i="5"/>
  <c r="E32770" i="5"/>
  <c r="E32762" i="5"/>
  <c r="E32754" i="5"/>
  <c r="E32746" i="5"/>
  <c r="E32738" i="5"/>
  <c r="E32730" i="5"/>
  <c r="E32722" i="5"/>
  <c r="E32714" i="5"/>
  <c r="E32706" i="5"/>
  <c r="E32698" i="5"/>
  <c r="E32690" i="5"/>
  <c r="E32682" i="5"/>
  <c r="E32674" i="5"/>
  <c r="E32666" i="5"/>
  <c r="E32658" i="5"/>
  <c r="E32650" i="5"/>
  <c r="E32642" i="5"/>
  <c r="E32634" i="5"/>
  <c r="E32626" i="5"/>
  <c r="E32618" i="5"/>
  <c r="E32610" i="5"/>
  <c r="E32602" i="5"/>
  <c r="E32594" i="5"/>
  <c r="E32586" i="5"/>
  <c r="E32578" i="5"/>
  <c r="E32570" i="5"/>
  <c r="E32562" i="5"/>
  <c r="E32554" i="5"/>
  <c r="E32546" i="5"/>
  <c r="E32538" i="5"/>
  <c r="E32530" i="5"/>
  <c r="E32522" i="5"/>
  <c r="E32514" i="5"/>
  <c r="E32506" i="5"/>
  <c r="E32498" i="5"/>
  <c r="E32490" i="5"/>
  <c r="E32482" i="5"/>
  <c r="E32474" i="5"/>
  <c r="E32466" i="5"/>
  <c r="E32458" i="5"/>
  <c r="E32450" i="5"/>
  <c r="E32442" i="5"/>
  <c r="E32434" i="5"/>
  <c r="E32426" i="5"/>
  <c r="E32418" i="5"/>
  <c r="E32410" i="5"/>
  <c r="E32402" i="5"/>
  <c r="E32394" i="5"/>
  <c r="E32386" i="5"/>
  <c r="E32378" i="5"/>
  <c r="E32370" i="5"/>
  <c r="E32362" i="5"/>
  <c r="E32354" i="5"/>
  <c r="E32346" i="5"/>
  <c r="E32338" i="5"/>
  <c r="E32330" i="5"/>
  <c r="E32322" i="5"/>
  <c r="E32314" i="5"/>
  <c r="E32306" i="5"/>
  <c r="E32298" i="5"/>
  <c r="E32290" i="5"/>
  <c r="E32282" i="5"/>
  <c r="E32274" i="5"/>
  <c r="E32266" i="5"/>
  <c r="E32258" i="5"/>
  <c r="E32250" i="5"/>
  <c r="E32242" i="5"/>
  <c r="E32234" i="5"/>
  <c r="E32226" i="5"/>
  <c r="E32218" i="5"/>
  <c r="E32210" i="5"/>
  <c r="E32202" i="5"/>
  <c r="E32194" i="5"/>
  <c r="E32186" i="5"/>
  <c r="E32178" i="5"/>
  <c r="E32170" i="5"/>
  <c r="E32162" i="5"/>
  <c r="E32154" i="5"/>
  <c r="E32146" i="5"/>
  <c r="E32138" i="5"/>
  <c r="E32130" i="5"/>
  <c r="E32122" i="5"/>
  <c r="E32114" i="5"/>
  <c r="E32106" i="5"/>
  <c r="E32098" i="5"/>
  <c r="E32090" i="5"/>
  <c r="E32082" i="5"/>
  <c r="E32074" i="5"/>
  <c r="E32066" i="5"/>
  <c r="E32058" i="5"/>
  <c r="E32050" i="5"/>
  <c r="E32042" i="5"/>
  <c r="E32034" i="5"/>
  <c r="E32026" i="5"/>
  <c r="E32018" i="5"/>
  <c r="E32010" i="5"/>
  <c r="E32002" i="5"/>
  <c r="E31994" i="5"/>
  <c r="E31986" i="5"/>
  <c r="E31978" i="5"/>
  <c r="E31970" i="5"/>
  <c r="E31962" i="5"/>
  <c r="E31954" i="5"/>
  <c r="E31946" i="5"/>
  <c r="E31938" i="5"/>
  <c r="E31930" i="5"/>
  <c r="E31922" i="5"/>
  <c r="E31914" i="5"/>
  <c r="E31906" i="5"/>
  <c r="E31898" i="5"/>
  <c r="E31890" i="5"/>
  <c r="E31882" i="5"/>
  <c r="E31874" i="5"/>
  <c r="E31866" i="5"/>
  <c r="E31858" i="5"/>
  <c r="E31850" i="5"/>
  <c r="E31842" i="5"/>
  <c r="E31834" i="5"/>
  <c r="E31826" i="5"/>
  <c r="E31818" i="5"/>
  <c r="E31810" i="5"/>
  <c r="E31802" i="5"/>
  <c r="E31794" i="5"/>
  <c r="E31786" i="5"/>
  <c r="E31778" i="5"/>
  <c r="E31770" i="5"/>
  <c r="E31762" i="5"/>
  <c r="E31754" i="5"/>
  <c r="E31746" i="5"/>
  <c r="E31738" i="5"/>
  <c r="E31730" i="5"/>
  <c r="E31722" i="5"/>
  <c r="E31714" i="5"/>
  <c r="E31706" i="5"/>
  <c r="E31698" i="5"/>
  <c r="E31690" i="5"/>
  <c r="E31682" i="5"/>
  <c r="E31674" i="5"/>
  <c r="E31666" i="5"/>
  <c r="E31658" i="5"/>
  <c r="E31650" i="5"/>
  <c r="E31642" i="5"/>
  <c r="E31634" i="5"/>
  <c r="E31626" i="5"/>
  <c r="E31618" i="5"/>
  <c r="E31610" i="5"/>
  <c r="E31602" i="5"/>
  <c r="E31594" i="5"/>
  <c r="E31586" i="5"/>
  <c r="E31578" i="5"/>
  <c r="E31570" i="5"/>
  <c r="E31562" i="5"/>
  <c r="E31554" i="5"/>
  <c r="E31546" i="5"/>
  <c r="E31538" i="5"/>
  <c r="E31530" i="5"/>
  <c r="E31522" i="5"/>
  <c r="E31514" i="5"/>
  <c r="E31506" i="5"/>
  <c r="E31498" i="5"/>
  <c r="E31490" i="5"/>
  <c r="E31482" i="5"/>
  <c r="E31474" i="5"/>
  <c r="E31466" i="5"/>
  <c r="E31458" i="5"/>
  <c r="E31450" i="5"/>
  <c r="E31442" i="5"/>
  <c r="E31434" i="5"/>
  <c r="E31426" i="5"/>
  <c r="E31418" i="5"/>
  <c r="E31410" i="5"/>
  <c r="E31402" i="5"/>
  <c r="E31394" i="5"/>
  <c r="E31386" i="5"/>
  <c r="E31378" i="5"/>
  <c r="E31370" i="5"/>
  <c r="E31362" i="5"/>
  <c r="E31354" i="5"/>
  <c r="E31346" i="5"/>
  <c r="E31338" i="5"/>
  <c r="E31330" i="5"/>
  <c r="E31322" i="5"/>
  <c r="E31314" i="5"/>
  <c r="E31306" i="5"/>
  <c r="E31298" i="5"/>
  <c r="E31290" i="5"/>
  <c r="E31282" i="5"/>
  <c r="E31274" i="5"/>
  <c r="E31266" i="5"/>
  <c r="E31258" i="5"/>
  <c r="E31250" i="5"/>
  <c r="E31242" i="5"/>
  <c r="E31234" i="5"/>
  <c r="E31226" i="5"/>
  <c r="E31218" i="5"/>
  <c r="E31210" i="5"/>
  <c r="E31202" i="5"/>
  <c r="E31194" i="5"/>
  <c r="E31186" i="5"/>
  <c r="E31178" i="5"/>
  <c r="E31170" i="5"/>
  <c r="E31162" i="5"/>
  <c r="E31154" i="5"/>
  <c r="E31146" i="5"/>
  <c r="E31138" i="5"/>
  <c r="E31130" i="5"/>
  <c r="E31122" i="5"/>
  <c r="E31114" i="5"/>
  <c r="E31106" i="5"/>
  <c r="E31098" i="5"/>
  <c r="E31090" i="5"/>
  <c r="E31082" i="5"/>
  <c r="E31074" i="5"/>
  <c r="E31066" i="5"/>
  <c r="E31058" i="5"/>
  <c r="E31050" i="5"/>
  <c r="E31042" i="5"/>
  <c r="E31034" i="5"/>
  <c r="E31026" i="5"/>
  <c r="E31018" i="5"/>
  <c r="E31010" i="5"/>
  <c r="E31002" i="5"/>
  <c r="E30994" i="5"/>
  <c r="E30986" i="5"/>
  <c r="E30978" i="5"/>
  <c r="E30970" i="5"/>
  <c r="E30962" i="5"/>
  <c r="E30954" i="5"/>
  <c r="E30946" i="5"/>
  <c r="E30938" i="5"/>
  <c r="E30930" i="5"/>
  <c r="E30922" i="5"/>
  <c r="E30914" i="5"/>
  <c r="E30906" i="5"/>
  <c r="E30898" i="5"/>
  <c r="E30890" i="5"/>
  <c r="E30882" i="5"/>
  <c r="E30874" i="5"/>
  <c r="E30866" i="5"/>
  <c r="E30858" i="5"/>
  <c r="E30850" i="5"/>
  <c r="E30842" i="5"/>
  <c r="E30834" i="5"/>
  <c r="E30826" i="5"/>
  <c r="E30818" i="5"/>
  <c r="E30810" i="5"/>
  <c r="E30802" i="5"/>
  <c r="E30794" i="5"/>
  <c r="E30786" i="5"/>
  <c r="E30778" i="5"/>
  <c r="E30770" i="5"/>
  <c r="E30762" i="5"/>
  <c r="E30754" i="5"/>
  <c r="E30746" i="5"/>
  <c r="E30738" i="5"/>
  <c r="E30730" i="5"/>
  <c r="E30722" i="5"/>
  <c r="E30714" i="5"/>
  <c r="E30706" i="5"/>
  <c r="E30698" i="5"/>
  <c r="E30690" i="5"/>
  <c r="E30682" i="5"/>
  <c r="E30674" i="5"/>
  <c r="E30666" i="5"/>
  <c r="E30658" i="5"/>
  <c r="E30650" i="5"/>
  <c r="E30642" i="5"/>
  <c r="E30634" i="5"/>
  <c r="E30626" i="5"/>
  <c r="E30618" i="5"/>
  <c r="E30610" i="5"/>
  <c r="E30602" i="5"/>
  <c r="E30594" i="5"/>
  <c r="E30586" i="5"/>
  <c r="E30578" i="5"/>
  <c r="E30570" i="5"/>
  <c r="E30562" i="5"/>
  <c r="E30554" i="5"/>
  <c r="E30546" i="5"/>
  <c r="E30538" i="5"/>
  <c r="E30530" i="5"/>
  <c r="E30522" i="5"/>
  <c r="E30514" i="5"/>
  <c r="E30506" i="5"/>
  <c r="E30498" i="5"/>
  <c r="E30490" i="5"/>
  <c r="E30482" i="5"/>
  <c r="E30474" i="5"/>
  <c r="E30466" i="5"/>
  <c r="E30458" i="5"/>
  <c r="E30450" i="5"/>
  <c r="E30442" i="5"/>
  <c r="E30434" i="5"/>
  <c r="E30426" i="5"/>
  <c r="E30418" i="5"/>
  <c r="E30410" i="5"/>
  <c r="E30402" i="5"/>
  <c r="E30394" i="5"/>
  <c r="E30386" i="5"/>
  <c r="E30378" i="5"/>
  <c r="E30370" i="5"/>
  <c r="E30362" i="5"/>
  <c r="E30354" i="5"/>
  <c r="E30346" i="5"/>
  <c r="E30338" i="5"/>
  <c r="E30330" i="5"/>
  <c r="E30322" i="5"/>
  <c r="E30314" i="5"/>
  <c r="E30306" i="5"/>
  <c r="E30298" i="5"/>
  <c r="E30290" i="5"/>
  <c r="E30282" i="5"/>
  <c r="E30274" i="5"/>
  <c r="E30266" i="5"/>
  <c r="E30258" i="5"/>
  <c r="E30250" i="5"/>
  <c r="E30242" i="5"/>
  <c r="E30234" i="5"/>
  <c r="E30226" i="5"/>
  <c r="E30218" i="5"/>
  <c r="E30210" i="5"/>
  <c r="E30202" i="5"/>
  <c r="E30194" i="5"/>
  <c r="E30186" i="5"/>
  <c r="E30178" i="5"/>
  <c r="E30170" i="5"/>
  <c r="E30162" i="5"/>
  <c r="E30154" i="5"/>
  <c r="E30146" i="5"/>
  <c r="E30138" i="5"/>
  <c r="E30130" i="5"/>
  <c r="E30122" i="5"/>
  <c r="E30114" i="5"/>
  <c r="E30106" i="5"/>
  <c r="E30098" i="5"/>
  <c r="E30090" i="5"/>
  <c r="E30082" i="5"/>
  <c r="E30074" i="5"/>
  <c r="E30066" i="5"/>
  <c r="E30058" i="5"/>
  <c r="E30050" i="5"/>
  <c r="E30042" i="5"/>
  <c r="E30034" i="5"/>
  <c r="E30026" i="5"/>
  <c r="E30018" i="5"/>
  <c r="E30010" i="5"/>
  <c r="E30002" i="5"/>
  <c r="E29994" i="5"/>
  <c r="E29986" i="5"/>
  <c r="E29978" i="5"/>
  <c r="E29970" i="5"/>
  <c r="E29962" i="5"/>
  <c r="E29954" i="5"/>
  <c r="E29946" i="5"/>
  <c r="E29938" i="5"/>
  <c r="E29930" i="5"/>
  <c r="E29922" i="5"/>
  <c r="E29914" i="5"/>
  <c r="E29906" i="5"/>
  <c r="E29898" i="5"/>
  <c r="E29890" i="5"/>
  <c r="E29882" i="5"/>
  <c r="E29874" i="5"/>
  <c r="E29866" i="5"/>
  <c r="E29858" i="5"/>
  <c r="E29850" i="5"/>
  <c r="E29842" i="5"/>
  <c r="E29834" i="5"/>
  <c r="E29826" i="5"/>
  <c r="E29818" i="5"/>
  <c r="E29810" i="5"/>
  <c r="E29802" i="5"/>
  <c r="E29794" i="5"/>
  <c r="E29786" i="5"/>
  <c r="E29778" i="5"/>
  <c r="E29770" i="5"/>
  <c r="E29762" i="5"/>
  <c r="E29754" i="5"/>
  <c r="E29746" i="5"/>
  <c r="E29738" i="5"/>
  <c r="E29730" i="5"/>
  <c r="E29722" i="5"/>
  <c r="E29714" i="5"/>
  <c r="E29706" i="5"/>
  <c r="E29698" i="5"/>
  <c r="E29690" i="5"/>
  <c r="E29682" i="5"/>
  <c r="E29674" i="5"/>
  <c r="E29666" i="5"/>
  <c r="E29658" i="5"/>
  <c r="E29650" i="5"/>
  <c r="E29642" i="5"/>
  <c r="E29634" i="5"/>
  <c r="E29626" i="5"/>
  <c r="E29618" i="5"/>
  <c r="E29610" i="5"/>
  <c r="E29602" i="5"/>
  <c r="E29594" i="5"/>
  <c r="E29586" i="5"/>
  <c r="E29578" i="5"/>
  <c r="E29570" i="5"/>
  <c r="E29562" i="5"/>
  <c r="E29554" i="5"/>
  <c r="E29546" i="5"/>
  <c r="E29538" i="5"/>
  <c r="E29530" i="5"/>
  <c r="E29522" i="5"/>
  <c r="E29514" i="5"/>
  <c r="E29506" i="5"/>
  <c r="E29498" i="5"/>
  <c r="E29490" i="5"/>
  <c r="E29482" i="5"/>
  <c r="E29474" i="5"/>
  <c r="E29466" i="5"/>
  <c r="E29458" i="5"/>
  <c r="E29450" i="5"/>
  <c r="E29442" i="5"/>
  <c r="E29434" i="5"/>
  <c r="E29426" i="5"/>
  <c r="E29418" i="5"/>
  <c r="E29410" i="5"/>
  <c r="E29402" i="5"/>
  <c r="E29394" i="5"/>
  <c r="E29386" i="5"/>
  <c r="E29378" i="5"/>
  <c r="E29370" i="5"/>
  <c r="E29362" i="5"/>
  <c r="E29354" i="5"/>
  <c r="E29346" i="5"/>
  <c r="E29338" i="5"/>
  <c r="E29330" i="5"/>
  <c r="E29322" i="5"/>
  <c r="E29314" i="5"/>
  <c r="E29306" i="5"/>
  <c r="E29298" i="5"/>
  <c r="E29290" i="5"/>
  <c r="E29282" i="5"/>
  <c r="E29274" i="5"/>
  <c r="E29266" i="5"/>
  <c r="E29258" i="5"/>
  <c r="E29250" i="5"/>
  <c r="E29242" i="5"/>
  <c r="E29234" i="5"/>
  <c r="E29226" i="5"/>
  <c r="E29218" i="5"/>
  <c r="E29210" i="5"/>
  <c r="E29202" i="5"/>
  <c r="E29194" i="5"/>
  <c r="E29186" i="5"/>
  <c r="E29178" i="5"/>
  <c r="E29170" i="5"/>
  <c r="E29162" i="5"/>
  <c r="E29154" i="5"/>
  <c r="E29146" i="5"/>
  <c r="E29138" i="5"/>
  <c r="E29130" i="5"/>
  <c r="E29122" i="5"/>
  <c r="E29114" i="5"/>
  <c r="E29106" i="5"/>
  <c r="E29098" i="5"/>
  <c r="E29090" i="5"/>
  <c r="E29082" i="5"/>
  <c r="E29074" i="5"/>
  <c r="E29066" i="5"/>
  <c r="E29058" i="5"/>
  <c r="E29050" i="5"/>
  <c r="E29042" i="5"/>
  <c r="E29034" i="5"/>
  <c r="E29026" i="5"/>
  <c r="E29018" i="5"/>
  <c r="E29010" i="5"/>
  <c r="E29002" i="5"/>
  <c r="E28994" i="5"/>
  <c r="E28986" i="5"/>
  <c r="E28978" i="5"/>
  <c r="E28970" i="5"/>
  <c r="E28962" i="5"/>
  <c r="E28954" i="5"/>
  <c r="E28946" i="5"/>
  <c r="E28938" i="5"/>
  <c r="E28930" i="5"/>
  <c r="E28922" i="5"/>
  <c r="E28914" i="5"/>
  <c r="E28906" i="5"/>
  <c r="E28898" i="5"/>
  <c r="E28890" i="5"/>
  <c r="E28882" i="5"/>
  <c r="E28874" i="5"/>
  <c r="E28866" i="5"/>
  <c r="E28858" i="5"/>
  <c r="E28850" i="5"/>
  <c r="E28842" i="5"/>
  <c r="E28834" i="5"/>
  <c r="E28826" i="5"/>
  <c r="E28818" i="5"/>
  <c r="E28810" i="5"/>
  <c r="E28802" i="5"/>
  <c r="E28794" i="5"/>
  <c r="E28786" i="5"/>
  <c r="E28778" i="5"/>
  <c r="E28770" i="5"/>
  <c r="E28762" i="5"/>
  <c r="E28754" i="5"/>
  <c r="E28746" i="5"/>
  <c r="E28738" i="5"/>
  <c r="E28730" i="5"/>
  <c r="E28722" i="5"/>
  <c r="E28714" i="5"/>
  <c r="E28706" i="5"/>
  <c r="E28698" i="5"/>
  <c r="E28690" i="5"/>
  <c r="E28682" i="5"/>
  <c r="E28674" i="5"/>
  <c r="E28666" i="5"/>
  <c r="E28658" i="5"/>
  <c r="E28650" i="5"/>
  <c r="E28642" i="5"/>
  <c r="E28634" i="5"/>
  <c r="E28626" i="5"/>
  <c r="E28618" i="5"/>
  <c r="E28610" i="5"/>
  <c r="E28602" i="5"/>
  <c r="E28594" i="5"/>
  <c r="E28586" i="5"/>
  <c r="E28578" i="5"/>
  <c r="E28570" i="5"/>
  <c r="E28562" i="5"/>
  <c r="E28554" i="5"/>
  <c r="E28546" i="5"/>
  <c r="E28538" i="5"/>
  <c r="E28530" i="5"/>
  <c r="E28522" i="5"/>
  <c r="E28514" i="5"/>
  <c r="E28506" i="5"/>
  <c r="E28498" i="5"/>
  <c r="E28490" i="5"/>
  <c r="E28482" i="5"/>
  <c r="E28474" i="5"/>
  <c r="E28466" i="5"/>
  <c r="E28458" i="5"/>
  <c r="E28450" i="5"/>
  <c r="E28442" i="5"/>
  <c r="E28434" i="5"/>
  <c r="E28426" i="5"/>
  <c r="E28418" i="5"/>
  <c r="E28410" i="5"/>
  <c r="E28402" i="5"/>
  <c r="E28394" i="5"/>
  <c r="E28386" i="5"/>
  <c r="E28378" i="5"/>
  <c r="E28370" i="5"/>
  <c r="E28362" i="5"/>
  <c r="E28354" i="5"/>
  <c r="E28346" i="5"/>
  <c r="E28338" i="5"/>
  <c r="E28330" i="5"/>
  <c r="E28322" i="5"/>
  <c r="E28314" i="5"/>
  <c r="E28306" i="5"/>
  <c r="E28298" i="5"/>
  <c r="E28290" i="5"/>
  <c r="E28282" i="5"/>
  <c r="E28274" i="5"/>
  <c r="E28266" i="5"/>
  <c r="E28258" i="5"/>
  <c r="E28250" i="5"/>
  <c r="E28242" i="5"/>
  <c r="E28234" i="5"/>
  <c r="E28226" i="5"/>
  <c r="E28218" i="5"/>
  <c r="E28210" i="5"/>
  <c r="E28202" i="5"/>
  <c r="E28194" i="5"/>
  <c r="E28186" i="5"/>
  <c r="E28178" i="5"/>
  <c r="E28170" i="5"/>
  <c r="E28162" i="5"/>
  <c r="E28154" i="5"/>
  <c r="E28146" i="5"/>
  <c r="E28138" i="5"/>
  <c r="E28130" i="5"/>
  <c r="E28122" i="5"/>
  <c r="E28114" i="5"/>
  <c r="E28106" i="5"/>
  <c r="E28098" i="5"/>
  <c r="E28090" i="5"/>
  <c r="E28082" i="5"/>
  <c r="E28074" i="5"/>
  <c r="E28066" i="5"/>
  <c r="E28058" i="5"/>
  <c r="E28050" i="5"/>
  <c r="E28042" i="5"/>
  <c r="E28034" i="5"/>
  <c r="E28026" i="5"/>
  <c r="E28018" i="5"/>
  <c r="E28010" i="5"/>
  <c r="E28002" i="5"/>
  <c r="E27994" i="5"/>
  <c r="E27986" i="5"/>
  <c r="E27978" i="5"/>
  <c r="E27970" i="5"/>
  <c r="E27962" i="5"/>
  <c r="E27954" i="5"/>
  <c r="E27946" i="5"/>
  <c r="E27938" i="5"/>
  <c r="E27930" i="5"/>
  <c r="E27922" i="5"/>
  <c r="E27914" i="5"/>
  <c r="E27906" i="5"/>
  <c r="E27898" i="5"/>
  <c r="E27890" i="5"/>
  <c r="E27882" i="5"/>
  <c r="E27874" i="5"/>
  <c r="E27866" i="5"/>
  <c r="E27858" i="5"/>
  <c r="E27850" i="5"/>
  <c r="E27842" i="5"/>
  <c r="E27834" i="5"/>
  <c r="E27826" i="5"/>
  <c r="E27818" i="5"/>
  <c r="E27810" i="5"/>
  <c r="E27802" i="5"/>
  <c r="E27794" i="5"/>
  <c r="E27786" i="5"/>
  <c r="E27778" i="5"/>
  <c r="E27770" i="5"/>
  <c r="E27762" i="5"/>
  <c r="E27754" i="5"/>
  <c r="E27746" i="5"/>
  <c r="E27738" i="5"/>
  <c r="E27730" i="5"/>
  <c r="E27722" i="5"/>
  <c r="E27714" i="5"/>
  <c r="E27706" i="5"/>
  <c r="E27698" i="5"/>
  <c r="E27690" i="5"/>
  <c r="E27682" i="5"/>
  <c r="E27674" i="5"/>
  <c r="E27666" i="5"/>
  <c r="E27658" i="5"/>
  <c r="E27650" i="5"/>
  <c r="E27642" i="5"/>
  <c r="E27634" i="5"/>
  <c r="E27626" i="5"/>
  <c r="E27618" i="5"/>
  <c r="E27610" i="5"/>
  <c r="E27602" i="5"/>
  <c r="E27594" i="5"/>
  <c r="E27586" i="5"/>
  <c r="E27578" i="5"/>
  <c r="E27570" i="5"/>
  <c r="E27562" i="5"/>
  <c r="E27554" i="5"/>
  <c r="E27546" i="5"/>
  <c r="E27538" i="5"/>
  <c r="E27530" i="5"/>
  <c r="E27522" i="5"/>
  <c r="E27514" i="5"/>
  <c r="E27506" i="5"/>
  <c r="E27498" i="5"/>
  <c r="E27490" i="5"/>
  <c r="E27482" i="5"/>
  <c r="E27474" i="5"/>
  <c r="E27466" i="5"/>
  <c r="E27458" i="5"/>
  <c r="E27450" i="5"/>
  <c r="E27442" i="5"/>
  <c r="E27434" i="5"/>
  <c r="E27426" i="5"/>
  <c r="E27418" i="5"/>
  <c r="E27410" i="5"/>
  <c r="E27402" i="5"/>
  <c r="E27394" i="5"/>
  <c r="E27386" i="5"/>
  <c r="E27378" i="5"/>
  <c r="E27370" i="5"/>
  <c r="E27362" i="5"/>
  <c r="E27354" i="5"/>
  <c r="E27346" i="5"/>
  <c r="E27338" i="5"/>
  <c r="E27330" i="5"/>
  <c r="E27322" i="5"/>
  <c r="E27314" i="5"/>
  <c r="E27306" i="5"/>
  <c r="E27298" i="5"/>
  <c r="E27290" i="5"/>
  <c r="E27282" i="5"/>
  <c r="E27274" i="5"/>
  <c r="E27266" i="5"/>
  <c r="E27258" i="5"/>
  <c r="E27250" i="5"/>
  <c r="E27242" i="5"/>
  <c r="E27234" i="5"/>
  <c r="E27226" i="5"/>
  <c r="E27218" i="5"/>
  <c r="E27210" i="5"/>
  <c r="E27202" i="5"/>
  <c r="E27194" i="5"/>
  <c r="E27186" i="5"/>
  <c r="E27178" i="5"/>
  <c r="E27170" i="5"/>
  <c r="E27162" i="5"/>
  <c r="E27154" i="5"/>
  <c r="E27146" i="5"/>
  <c r="E27138" i="5"/>
  <c r="E27130" i="5"/>
  <c r="E27122" i="5"/>
  <c r="E27114" i="5"/>
  <c r="E27106" i="5"/>
  <c r="E27098" i="5"/>
  <c r="E27090" i="5"/>
  <c r="E27082" i="5"/>
  <c r="E27074" i="5"/>
  <c r="E27066" i="5"/>
  <c r="E27058" i="5"/>
  <c r="E27050" i="5"/>
  <c r="E27042" i="5"/>
  <c r="E27034" i="5"/>
  <c r="E27026" i="5"/>
  <c r="E27018" i="5"/>
  <c r="E27010" i="5"/>
  <c r="E27002" i="5"/>
  <c r="E26994" i="5"/>
  <c r="E26986" i="5"/>
  <c r="E26978" i="5"/>
  <c r="E26970" i="5"/>
  <c r="E26962" i="5"/>
  <c r="E26954" i="5"/>
  <c r="E26946" i="5"/>
  <c r="E26938" i="5"/>
  <c r="E26930" i="5"/>
  <c r="E26922" i="5"/>
  <c r="E26914" i="5"/>
  <c r="E26906" i="5"/>
  <c r="E26898" i="5"/>
  <c r="E26890" i="5"/>
  <c r="E26882" i="5"/>
  <c r="E26874" i="5"/>
  <c r="E26866" i="5"/>
  <c r="E26858" i="5"/>
  <c r="E26850" i="5"/>
  <c r="E26842" i="5"/>
  <c r="E26834" i="5"/>
  <c r="E26826" i="5"/>
  <c r="E26818" i="5"/>
  <c r="E26810" i="5"/>
  <c r="E26802" i="5"/>
  <c r="E26794" i="5"/>
  <c r="E26786" i="5"/>
  <c r="E26778" i="5"/>
  <c r="E26770" i="5"/>
  <c r="E26762" i="5"/>
  <c r="E26754" i="5"/>
  <c r="E26746" i="5"/>
  <c r="E26738" i="5"/>
  <c r="E26730" i="5"/>
  <c r="E26722" i="5"/>
  <c r="E26714" i="5"/>
  <c r="E26706" i="5"/>
  <c r="E26698" i="5"/>
  <c r="E26690" i="5"/>
  <c r="E26682" i="5"/>
  <c r="E26674" i="5"/>
  <c r="E26666" i="5"/>
  <c r="E26658" i="5"/>
  <c r="E26650" i="5"/>
  <c r="E26642" i="5"/>
  <c r="E26634" i="5"/>
  <c r="E26626" i="5"/>
  <c r="E26618" i="5"/>
  <c r="E26610" i="5"/>
  <c r="E26602" i="5"/>
  <c r="E26594" i="5"/>
  <c r="E26586" i="5"/>
  <c r="E26578" i="5"/>
  <c r="E26570" i="5"/>
  <c r="E26562" i="5"/>
  <c r="E26554" i="5"/>
  <c r="E26546" i="5"/>
  <c r="E26538" i="5"/>
  <c r="E26530" i="5"/>
  <c r="E26522" i="5"/>
  <c r="E26514" i="5"/>
  <c r="E26506" i="5"/>
  <c r="E26498" i="5"/>
  <c r="E26490" i="5"/>
  <c r="E26482" i="5"/>
  <c r="E26474" i="5"/>
  <c r="E26466" i="5"/>
  <c r="E26458" i="5"/>
  <c r="E26450" i="5"/>
  <c r="E26442" i="5"/>
  <c r="E26434" i="5"/>
  <c r="E26426" i="5"/>
  <c r="E26418" i="5"/>
  <c r="E26410" i="5"/>
  <c r="E26402" i="5"/>
  <c r="E26394" i="5"/>
  <c r="E26386" i="5"/>
  <c r="E26378" i="5"/>
  <c r="E26370" i="5"/>
  <c r="E26362" i="5"/>
  <c r="E26354" i="5"/>
  <c r="E26346" i="5"/>
  <c r="E26338" i="5"/>
  <c r="E26330" i="5"/>
  <c r="E26322" i="5"/>
  <c r="E26314" i="5"/>
  <c r="E26306" i="5"/>
  <c r="E26298" i="5"/>
  <c r="E26290" i="5"/>
  <c r="E26282" i="5"/>
  <c r="E26274" i="5"/>
  <c r="E26266" i="5"/>
  <c r="E26258" i="5"/>
  <c r="E26250" i="5"/>
  <c r="E26242" i="5"/>
  <c r="E26234" i="5"/>
  <c r="E26226" i="5"/>
  <c r="E26218" i="5"/>
  <c r="E26210" i="5"/>
  <c r="E26202" i="5"/>
  <c r="E26194" i="5"/>
  <c r="E26186" i="5"/>
  <c r="E26178" i="5"/>
  <c r="E26170" i="5"/>
  <c r="E26162" i="5"/>
  <c r="E26154" i="5"/>
  <c r="E26146" i="5"/>
  <c r="E26138" i="5"/>
  <c r="E26130" i="5"/>
  <c r="E26122" i="5"/>
  <c r="E26114" i="5"/>
  <c r="E26106" i="5"/>
  <c r="E26098" i="5"/>
  <c r="E26090" i="5"/>
  <c r="E26082" i="5"/>
  <c r="E26074" i="5"/>
  <c r="E26066" i="5"/>
  <c r="E26058" i="5"/>
  <c r="E26050" i="5"/>
  <c r="E26042" i="5"/>
  <c r="E26034" i="5"/>
  <c r="E26026" i="5"/>
  <c r="E26018" i="5"/>
  <c r="E26010" i="5"/>
  <c r="E26002" i="5"/>
  <c r="E25994" i="5"/>
  <c r="E25986" i="5"/>
  <c r="E25978" i="5"/>
  <c r="E25970" i="5"/>
  <c r="E25962" i="5"/>
  <c r="E25954" i="5"/>
  <c r="E25946" i="5"/>
  <c r="E25938" i="5"/>
  <c r="E25930" i="5"/>
  <c r="E25922" i="5"/>
  <c r="E25914" i="5"/>
  <c r="E25906" i="5"/>
  <c r="E25898" i="5"/>
  <c r="E25890" i="5"/>
  <c r="E25882" i="5"/>
  <c r="E25874" i="5"/>
  <c r="E25866" i="5"/>
  <c r="E25858" i="5"/>
  <c r="E25850" i="5"/>
  <c r="E25842" i="5"/>
  <c r="E25834" i="5"/>
  <c r="E25826" i="5"/>
  <c r="E25818" i="5"/>
  <c r="E25810" i="5"/>
  <c r="E25802" i="5"/>
  <c r="E25794" i="5"/>
  <c r="E25786" i="5"/>
  <c r="E25778" i="5"/>
  <c r="E25770" i="5"/>
  <c r="E25762" i="5"/>
  <c r="E25754" i="5"/>
  <c r="E25746" i="5"/>
  <c r="E25738" i="5"/>
  <c r="E25730" i="5"/>
  <c r="E25722" i="5"/>
  <c r="E25714" i="5"/>
  <c r="E25706" i="5"/>
  <c r="E25698" i="5"/>
  <c r="E25690" i="5"/>
  <c r="E25682" i="5"/>
  <c r="E25674" i="5"/>
  <c r="E25666" i="5"/>
  <c r="E25658" i="5"/>
  <c r="E25650" i="5"/>
  <c r="E25642" i="5"/>
  <c r="E25634" i="5"/>
  <c r="E25626" i="5"/>
  <c r="E25618" i="5"/>
  <c r="E41576" i="5"/>
  <c r="E41560" i="5"/>
  <c r="E41544" i="5"/>
  <c r="E41528" i="5"/>
  <c r="E41512" i="5"/>
  <c r="E41496" i="5"/>
  <c r="E41480" i="5"/>
  <c r="E41464" i="5"/>
  <c r="E41448" i="5"/>
  <c r="E41432" i="5"/>
  <c r="E41416" i="5"/>
  <c r="E41400" i="5"/>
  <c r="E41384" i="5"/>
  <c r="E41368" i="5"/>
  <c r="E41352" i="5"/>
  <c r="E41336" i="5"/>
  <c r="E41320" i="5"/>
  <c r="E41304" i="5"/>
  <c r="E41288" i="5"/>
  <c r="E41272" i="5"/>
  <c r="E41256" i="5"/>
  <c r="E41240" i="5"/>
  <c r="E41224" i="5"/>
  <c r="E41208" i="5"/>
  <c r="E41192" i="5"/>
  <c r="E41176" i="5"/>
  <c r="E41160" i="5"/>
  <c r="E41144" i="5"/>
  <c r="E41128" i="5"/>
  <c r="E41112" i="5"/>
  <c r="E41096" i="5"/>
  <c r="E41080" i="5"/>
  <c r="E41064" i="5"/>
  <c r="E41048" i="5"/>
  <c r="E41032" i="5"/>
  <c r="E41016" i="5"/>
  <c r="E41000" i="5"/>
  <c r="E40984" i="5"/>
  <c r="E40968" i="5"/>
  <c r="E40952" i="5"/>
  <c r="E40936" i="5"/>
  <c r="E40920" i="5"/>
  <c r="E40904" i="5"/>
  <c r="E40888" i="5"/>
  <c r="E40872" i="5"/>
  <c r="E40859" i="5"/>
  <c r="E40846" i="5"/>
  <c r="E40833" i="5"/>
  <c r="E40820" i="5"/>
  <c r="E40808" i="5"/>
  <c r="E40795" i="5"/>
  <c r="E40782" i="5"/>
  <c r="E40769" i="5"/>
  <c r="E40756" i="5"/>
  <c r="E40744" i="5"/>
  <c r="E40731" i="5"/>
  <c r="E40718" i="5"/>
  <c r="E40705" i="5"/>
  <c r="E40692" i="5"/>
  <c r="E40680" i="5"/>
  <c r="E40667" i="5"/>
  <c r="E40654" i="5"/>
  <c r="E40641" i="5"/>
  <c r="E40628" i="5"/>
  <c r="E40616" i="5"/>
  <c r="E40603" i="5"/>
  <c r="E40590" i="5"/>
  <c r="E40577" i="5"/>
  <c r="E40564" i="5"/>
  <c r="E40552" i="5"/>
  <c r="E40539" i="5"/>
  <c r="E40526" i="5"/>
  <c r="E40513" i="5"/>
  <c r="E40500" i="5"/>
  <c r="E40488" i="5"/>
  <c r="E40475" i="5"/>
  <c r="E40462" i="5"/>
  <c r="E40449" i="5"/>
  <c r="E40436" i="5"/>
  <c r="E40424" i="5"/>
  <c r="E40411" i="5"/>
  <c r="E40398" i="5"/>
  <c r="E40385" i="5"/>
  <c r="E40372" i="5"/>
  <c r="E40360" i="5"/>
  <c r="E40347" i="5"/>
  <c r="E40334" i="5"/>
  <c r="E40321" i="5"/>
  <c r="E40308" i="5"/>
  <c r="E40296" i="5"/>
  <c r="E40283" i="5"/>
  <c r="E40270" i="5"/>
  <c r="E40257" i="5"/>
  <c r="E40244" i="5"/>
  <c r="E40232" i="5"/>
  <c r="E40219" i="5"/>
  <c r="E40206" i="5"/>
  <c r="E40193" i="5"/>
  <c r="E40180" i="5"/>
  <c r="E40168" i="5"/>
  <c r="E40155" i="5"/>
  <c r="E40142" i="5"/>
  <c r="E40129" i="5"/>
  <c r="E40116" i="5"/>
  <c r="E40104" i="5"/>
  <c r="E40091" i="5"/>
  <c r="E40078" i="5"/>
  <c r="E40065" i="5"/>
  <c r="E40052" i="5"/>
  <c r="E40040" i="5"/>
  <c r="E40027" i="5"/>
  <c r="E40014" i="5"/>
  <c r="E40001" i="5"/>
  <c r="E39988" i="5"/>
  <c r="E39976" i="5"/>
  <c r="E39963" i="5"/>
  <c r="E39950" i="5"/>
  <c r="E39937" i="5"/>
  <c r="E39924" i="5"/>
  <c r="E39912" i="5"/>
  <c r="E39899" i="5"/>
  <c r="E39886" i="5"/>
  <c r="E39873" i="5"/>
  <c r="E39860" i="5"/>
  <c r="E39848" i="5"/>
  <c r="E39835" i="5"/>
  <c r="E39822" i="5"/>
  <c r="E39809" i="5"/>
  <c r="E39796" i="5"/>
  <c r="E39784" i="5"/>
  <c r="E39771" i="5"/>
  <c r="E39758" i="5"/>
  <c r="E39745" i="5"/>
  <c r="E39732" i="5"/>
  <c r="E39720" i="5"/>
  <c r="E39707" i="5"/>
  <c r="E39694" i="5"/>
  <c r="E39681" i="5"/>
  <c r="E39668" i="5"/>
  <c r="E39656" i="5"/>
  <c r="E39643" i="5"/>
  <c r="E39630" i="5"/>
  <c r="E39617" i="5"/>
  <c r="E39604" i="5"/>
  <c r="E39592" i="5"/>
  <c r="E39579" i="5"/>
  <c r="E39566" i="5"/>
  <c r="E39553" i="5"/>
  <c r="E39540" i="5"/>
  <c r="E39528" i="5"/>
  <c r="E39515" i="5"/>
  <c r="E39502" i="5"/>
  <c r="E39489" i="5"/>
  <c r="E39476" i="5"/>
  <c r="E39464" i="5"/>
  <c r="E39451" i="5"/>
  <c r="E39438" i="5"/>
  <c r="E39425" i="5"/>
  <c r="E39412" i="5"/>
  <c r="E39400" i="5"/>
  <c r="E39387" i="5"/>
  <c r="E39374" i="5"/>
  <c r="E39361" i="5"/>
  <c r="E39348" i="5"/>
  <c r="E39336" i="5"/>
  <c r="E39323" i="5"/>
  <c r="E39310" i="5"/>
  <c r="E39297" i="5"/>
  <c r="E39284" i="5"/>
  <c r="E39272" i="5"/>
  <c r="E39259" i="5"/>
  <c r="E39249" i="5"/>
  <c r="E39238" i="5"/>
  <c r="E39227" i="5"/>
  <c r="E39217" i="5"/>
  <c r="E39206" i="5"/>
  <c r="E39195" i="5"/>
  <c r="E39185" i="5"/>
  <c r="E39174" i="5"/>
  <c r="E39163" i="5"/>
  <c r="E39153" i="5"/>
  <c r="E39145" i="5"/>
  <c r="E39137" i="5"/>
  <c r="E39129" i="5"/>
  <c r="E39121" i="5"/>
  <c r="E39113" i="5"/>
  <c r="E39105" i="5"/>
  <c r="E39097" i="5"/>
  <c r="E39089" i="5"/>
  <c r="E39081" i="5"/>
  <c r="E39073" i="5"/>
  <c r="E39065" i="5"/>
  <c r="E39057" i="5"/>
  <c r="E39049" i="5"/>
  <c r="E39041" i="5"/>
  <c r="E39033" i="5"/>
  <c r="E39025" i="5"/>
  <c r="E39017" i="5"/>
  <c r="E39009" i="5"/>
  <c r="E39001" i="5"/>
  <c r="E38993" i="5"/>
  <c r="E38985" i="5"/>
  <c r="E38977" i="5"/>
  <c r="E38969" i="5"/>
  <c r="E38961" i="5"/>
  <c r="E38953" i="5"/>
  <c r="E38945" i="5"/>
  <c r="E38937" i="5"/>
  <c r="E38929" i="5"/>
  <c r="E38921" i="5"/>
  <c r="E38913" i="5"/>
  <c r="E38905" i="5"/>
  <c r="E38897" i="5"/>
  <c r="E38889" i="5"/>
  <c r="E38881" i="5"/>
  <c r="E38873" i="5"/>
  <c r="E38865" i="5"/>
  <c r="E38857" i="5"/>
  <c r="E38849" i="5"/>
  <c r="E38841" i="5"/>
  <c r="E38833" i="5"/>
  <c r="E38825" i="5"/>
  <c r="E38817" i="5"/>
  <c r="E38809" i="5"/>
  <c r="E38801" i="5"/>
  <c r="E38793" i="5"/>
  <c r="E38785" i="5"/>
  <c r="E38777" i="5"/>
  <c r="E38769" i="5"/>
  <c r="E38761" i="5"/>
  <c r="E38753" i="5"/>
  <c r="E38745" i="5"/>
  <c r="E38737" i="5"/>
  <c r="E38729" i="5"/>
  <c r="E38721" i="5"/>
  <c r="E38713" i="5"/>
  <c r="E38705" i="5"/>
  <c r="E38697" i="5"/>
  <c r="E38689" i="5"/>
  <c r="E38681" i="5"/>
  <c r="E38673" i="5"/>
  <c r="E38665" i="5"/>
  <c r="E38657" i="5"/>
  <c r="E38649" i="5"/>
  <c r="E38641" i="5"/>
  <c r="E38633" i="5"/>
  <c r="E38625" i="5"/>
  <c r="E38617" i="5"/>
  <c r="E38609" i="5"/>
  <c r="E38601" i="5"/>
  <c r="E38593" i="5"/>
  <c r="E38585" i="5"/>
  <c r="E38577" i="5"/>
  <c r="E38569" i="5"/>
  <c r="E38561" i="5"/>
  <c r="E38553" i="5"/>
  <c r="E38545" i="5"/>
  <c r="E38537" i="5"/>
  <c r="E38529" i="5"/>
  <c r="E38521" i="5"/>
  <c r="E38513" i="5"/>
  <c r="E38505" i="5"/>
  <c r="E38497" i="5"/>
  <c r="E38489" i="5"/>
  <c r="E38481" i="5"/>
  <c r="E38473" i="5"/>
  <c r="E38465" i="5"/>
  <c r="E38457" i="5"/>
  <c r="E38449" i="5"/>
  <c r="E38441" i="5"/>
  <c r="E38433" i="5"/>
  <c r="E38425" i="5"/>
  <c r="E38417" i="5"/>
  <c r="E38409" i="5"/>
  <c r="E38401" i="5"/>
  <c r="E38393" i="5"/>
  <c r="E38385" i="5"/>
  <c r="E38377" i="5"/>
  <c r="E38369" i="5"/>
  <c r="E38361" i="5"/>
  <c r="E38353" i="5"/>
  <c r="E38345" i="5"/>
  <c r="E38337" i="5"/>
  <c r="E38329" i="5"/>
  <c r="E38321" i="5"/>
  <c r="E38313" i="5"/>
  <c r="E38305" i="5"/>
  <c r="E38297" i="5"/>
  <c r="E38289" i="5"/>
  <c r="E38281" i="5"/>
  <c r="E38273" i="5"/>
  <c r="E38265" i="5"/>
  <c r="E38257" i="5"/>
  <c r="E38249" i="5"/>
  <c r="E38241" i="5"/>
  <c r="E38233" i="5"/>
  <c r="E38225" i="5"/>
  <c r="E38217" i="5"/>
  <c r="E38209" i="5"/>
  <c r="E38201" i="5"/>
  <c r="E38193" i="5"/>
  <c r="E38185" i="5"/>
  <c r="E38177" i="5"/>
  <c r="E38169" i="5"/>
  <c r="E38161" i="5"/>
  <c r="E38153" i="5"/>
  <c r="E38145" i="5"/>
  <c r="E38137" i="5"/>
  <c r="E38129" i="5"/>
  <c r="E38121" i="5"/>
  <c r="E38113" i="5"/>
  <c r="E38105" i="5"/>
  <c r="E38097" i="5"/>
  <c r="E38089" i="5"/>
  <c r="E38081" i="5"/>
  <c r="E38073" i="5"/>
  <c r="E38065" i="5"/>
  <c r="E38057" i="5"/>
  <c r="E38049" i="5"/>
  <c r="E38041" i="5"/>
  <c r="E38033" i="5"/>
  <c r="E38025" i="5"/>
  <c r="E38017" i="5"/>
  <c r="E38009" i="5"/>
  <c r="E38001" i="5"/>
  <c r="E37993" i="5"/>
  <c r="E37985" i="5"/>
  <c r="E37977" i="5"/>
  <c r="E37969" i="5"/>
  <c r="E37961" i="5"/>
  <c r="E37953" i="5"/>
  <c r="E37945" i="5"/>
  <c r="E37937" i="5"/>
  <c r="E37929" i="5"/>
  <c r="E37921" i="5"/>
  <c r="E37913" i="5"/>
  <c r="E37905" i="5"/>
  <c r="E37897" i="5"/>
  <c r="E37889" i="5"/>
  <c r="E37881" i="5"/>
  <c r="E37873" i="5"/>
  <c r="E37865" i="5"/>
  <c r="E37857" i="5"/>
  <c r="E37849" i="5"/>
  <c r="E37841" i="5"/>
  <c r="E37833" i="5"/>
  <c r="E37825" i="5"/>
  <c r="E37817" i="5"/>
  <c r="E37809" i="5"/>
  <c r="E37801" i="5"/>
  <c r="E37793" i="5"/>
  <c r="E37785" i="5"/>
  <c r="E37777" i="5"/>
  <c r="E37769" i="5"/>
  <c r="E37761" i="5"/>
  <c r="E37753" i="5"/>
  <c r="E37745" i="5"/>
  <c r="E37737" i="5"/>
  <c r="E37729" i="5"/>
  <c r="E37721" i="5"/>
  <c r="E37713" i="5"/>
  <c r="E37705" i="5"/>
  <c r="E37697" i="5"/>
  <c r="E37689" i="5"/>
  <c r="E37681" i="5"/>
  <c r="E37673" i="5"/>
  <c r="E37665" i="5"/>
  <c r="E37657" i="5"/>
  <c r="E37649" i="5"/>
  <c r="E37641" i="5"/>
  <c r="E37633" i="5"/>
  <c r="E37625" i="5"/>
  <c r="E37617" i="5"/>
  <c r="E37609" i="5"/>
  <c r="E37601" i="5"/>
  <c r="E37593" i="5"/>
  <c r="E37585" i="5"/>
  <c r="E37577" i="5"/>
  <c r="E37569" i="5"/>
  <c r="E37561" i="5"/>
  <c r="E37553" i="5"/>
  <c r="E37545" i="5"/>
  <c r="E37537" i="5"/>
  <c r="E37529" i="5"/>
  <c r="E37521" i="5"/>
  <c r="E37513" i="5"/>
  <c r="E37505" i="5"/>
  <c r="E37497" i="5"/>
  <c r="E37489" i="5"/>
  <c r="E37481" i="5"/>
  <c r="E37473" i="5"/>
  <c r="E37465" i="5"/>
  <c r="E37457" i="5"/>
  <c r="E37449" i="5"/>
  <c r="E37441" i="5"/>
  <c r="E37433" i="5"/>
  <c r="E37425" i="5"/>
  <c r="E37417" i="5"/>
  <c r="E37409" i="5"/>
  <c r="E37401" i="5"/>
  <c r="E37393" i="5"/>
  <c r="E37385" i="5"/>
  <c r="E37377" i="5"/>
  <c r="E37369" i="5"/>
  <c r="E37361" i="5"/>
  <c r="E37353" i="5"/>
  <c r="E37345" i="5"/>
  <c r="E37337" i="5"/>
  <c r="E37329" i="5"/>
  <c r="E37321" i="5"/>
  <c r="E37313" i="5"/>
  <c r="E37305" i="5"/>
  <c r="E37297" i="5"/>
  <c r="E37289" i="5"/>
  <c r="E37281" i="5"/>
  <c r="E37273" i="5"/>
  <c r="E37265" i="5"/>
  <c r="E37257" i="5"/>
  <c r="E37249" i="5"/>
  <c r="E37241" i="5"/>
  <c r="E37233" i="5"/>
  <c r="E37225" i="5"/>
  <c r="E37217" i="5"/>
  <c r="E37209" i="5"/>
  <c r="E37201" i="5"/>
  <c r="E37193" i="5"/>
  <c r="E37185" i="5"/>
  <c r="E37177" i="5"/>
  <c r="E37169" i="5"/>
  <c r="E37161" i="5"/>
  <c r="E37153" i="5"/>
  <c r="E37145" i="5"/>
  <c r="E37137" i="5"/>
  <c r="E37129" i="5"/>
  <c r="E37121" i="5"/>
  <c r="E37113" i="5"/>
  <c r="E37105" i="5"/>
  <c r="E37097" i="5"/>
  <c r="E37089" i="5"/>
  <c r="E37081" i="5"/>
  <c r="E37073" i="5"/>
  <c r="E37065" i="5"/>
  <c r="E37057" i="5"/>
  <c r="E37049" i="5"/>
  <c r="E37041" i="5"/>
  <c r="E37033" i="5"/>
  <c r="E37025" i="5"/>
  <c r="E37017" i="5"/>
  <c r="E37009" i="5"/>
  <c r="E37001" i="5"/>
  <c r="E36993" i="5"/>
  <c r="E36985" i="5"/>
  <c r="E36977" i="5"/>
  <c r="E36969" i="5"/>
  <c r="E36961" i="5"/>
  <c r="E36953" i="5"/>
  <c r="E36945" i="5"/>
  <c r="E36937" i="5"/>
  <c r="E36929" i="5"/>
  <c r="E36921" i="5"/>
  <c r="E36913" i="5"/>
  <c r="E36905" i="5"/>
  <c r="E36897" i="5"/>
  <c r="E36889" i="5"/>
  <c r="E36881" i="5"/>
  <c r="E36873" i="5"/>
  <c r="E36865" i="5"/>
  <c r="E36857" i="5"/>
  <c r="E36849" i="5"/>
  <c r="E36841" i="5"/>
  <c r="E36833" i="5"/>
  <c r="E36825" i="5"/>
  <c r="E36817" i="5"/>
  <c r="E36809" i="5"/>
  <c r="E36801" i="5"/>
  <c r="E36793" i="5"/>
  <c r="E36785" i="5"/>
  <c r="E36777" i="5"/>
  <c r="E36769" i="5"/>
  <c r="E36761" i="5"/>
  <c r="E36753" i="5"/>
  <c r="E36745" i="5"/>
  <c r="E36737" i="5"/>
  <c r="E36729" i="5"/>
  <c r="E36721" i="5"/>
  <c r="E36713" i="5"/>
  <c r="E36705" i="5"/>
  <c r="E36697" i="5"/>
  <c r="E36689" i="5"/>
  <c r="E36681" i="5"/>
  <c r="E36673" i="5"/>
  <c r="E36665" i="5"/>
  <c r="E36657" i="5"/>
  <c r="E36649" i="5"/>
  <c r="E36641" i="5"/>
  <c r="E36633" i="5"/>
  <c r="E36625" i="5"/>
  <c r="E36617" i="5"/>
  <c r="E36609" i="5"/>
  <c r="E36601" i="5"/>
  <c r="E36593" i="5"/>
  <c r="E36585" i="5"/>
  <c r="E36577" i="5"/>
  <c r="E36569" i="5"/>
  <c r="E36561" i="5"/>
  <c r="E36553" i="5"/>
  <c r="E36545" i="5"/>
  <c r="E36537" i="5"/>
  <c r="E36529" i="5"/>
  <c r="E36521" i="5"/>
  <c r="E36513" i="5"/>
  <c r="E36505" i="5"/>
  <c r="E36497" i="5"/>
  <c r="E36489" i="5"/>
  <c r="E36481" i="5"/>
  <c r="E36473" i="5"/>
  <c r="E36465" i="5"/>
  <c r="E36457" i="5"/>
  <c r="E36449" i="5"/>
  <c r="E36441" i="5"/>
  <c r="E36433" i="5"/>
  <c r="E36425" i="5"/>
  <c r="E36417" i="5"/>
  <c r="E36409" i="5"/>
  <c r="E36401" i="5"/>
  <c r="E36393" i="5"/>
  <c r="E36385" i="5"/>
  <c r="E36377" i="5"/>
  <c r="E36369" i="5"/>
  <c r="E36361" i="5"/>
  <c r="E36353" i="5"/>
  <c r="E36345" i="5"/>
  <c r="E36337" i="5"/>
  <c r="E36329" i="5"/>
  <c r="E36321" i="5"/>
  <c r="E36313" i="5"/>
  <c r="E36305" i="5"/>
  <c r="E36297" i="5"/>
  <c r="E36289" i="5"/>
  <c r="E36281" i="5"/>
  <c r="E36273" i="5"/>
  <c r="E36265" i="5"/>
  <c r="E36257" i="5"/>
  <c r="E36249" i="5"/>
  <c r="E36241" i="5"/>
  <c r="E36233" i="5"/>
  <c r="E36225" i="5"/>
  <c r="E36217" i="5"/>
  <c r="E36209" i="5"/>
  <c r="E36201" i="5"/>
  <c r="E36193" i="5"/>
  <c r="E36185" i="5"/>
  <c r="E36177" i="5"/>
  <c r="E36169" i="5"/>
  <c r="E36161" i="5"/>
  <c r="E36153" i="5"/>
  <c r="E36145" i="5"/>
  <c r="E36137" i="5"/>
  <c r="E36129" i="5"/>
  <c r="E36121" i="5"/>
  <c r="E36113" i="5"/>
  <c r="E36105" i="5"/>
  <c r="E36097" i="5"/>
  <c r="E36089" i="5"/>
  <c r="E36081" i="5"/>
  <c r="E36073" i="5"/>
  <c r="E36065" i="5"/>
  <c r="E36057" i="5"/>
  <c r="E36049" i="5"/>
  <c r="E36041" i="5"/>
  <c r="E36033" i="5"/>
  <c r="E36025" i="5"/>
  <c r="E36017" i="5"/>
  <c r="E36009" i="5"/>
  <c r="E36001" i="5"/>
  <c r="E35993" i="5"/>
  <c r="E35985" i="5"/>
  <c r="E35977" i="5"/>
  <c r="E35969" i="5"/>
  <c r="E35961" i="5"/>
  <c r="E35953" i="5"/>
  <c r="E35945" i="5"/>
  <c r="E35937" i="5"/>
  <c r="E35929" i="5"/>
  <c r="E35921" i="5"/>
  <c r="E35913" i="5"/>
  <c r="E35905" i="5"/>
  <c r="E35897" i="5"/>
  <c r="E35889" i="5"/>
  <c r="E35881" i="5"/>
  <c r="E35873" i="5"/>
  <c r="E35865" i="5"/>
  <c r="E35857" i="5"/>
  <c r="E35849" i="5"/>
  <c r="E35841" i="5"/>
  <c r="E35833" i="5"/>
  <c r="E35825" i="5"/>
  <c r="E35817" i="5"/>
  <c r="E35809" i="5"/>
  <c r="E35801" i="5"/>
  <c r="E35793" i="5"/>
  <c r="E35785" i="5"/>
  <c r="E35777" i="5"/>
  <c r="E35769" i="5"/>
  <c r="E35761" i="5"/>
  <c r="E35753" i="5"/>
  <c r="E35745" i="5"/>
  <c r="E35737" i="5"/>
  <c r="E35729" i="5"/>
  <c r="E35721" i="5"/>
  <c r="E35713" i="5"/>
  <c r="E35705" i="5"/>
  <c r="E35697" i="5"/>
  <c r="E35689" i="5"/>
  <c r="E35681" i="5"/>
  <c r="E35673" i="5"/>
  <c r="E35665" i="5"/>
  <c r="E35657" i="5"/>
  <c r="E35649" i="5"/>
  <c r="E35641" i="5"/>
  <c r="E35633" i="5"/>
  <c r="E35625" i="5"/>
  <c r="E35617" i="5"/>
  <c r="E35609" i="5"/>
  <c r="E35601" i="5"/>
  <c r="E35593" i="5"/>
  <c r="E35585" i="5"/>
  <c r="E35577" i="5"/>
  <c r="E35569" i="5"/>
  <c r="E35561" i="5"/>
  <c r="E35553" i="5"/>
  <c r="E35545" i="5"/>
  <c r="E35537" i="5"/>
  <c r="E35529" i="5"/>
  <c r="E35521" i="5"/>
  <c r="E35513" i="5"/>
  <c r="E35505" i="5"/>
  <c r="E35497" i="5"/>
  <c r="E35489" i="5"/>
  <c r="E35481" i="5"/>
  <c r="E35473" i="5"/>
  <c r="E35465" i="5"/>
  <c r="E35457" i="5"/>
  <c r="E35449" i="5"/>
  <c r="E35441" i="5"/>
  <c r="E35433" i="5"/>
  <c r="E35425" i="5"/>
  <c r="E35417" i="5"/>
  <c r="E35409" i="5"/>
  <c r="E35401" i="5"/>
  <c r="E35393" i="5"/>
  <c r="E35385" i="5"/>
  <c r="E35377" i="5"/>
  <c r="E35369" i="5"/>
  <c r="E35361" i="5"/>
  <c r="E35353" i="5"/>
  <c r="E35345" i="5"/>
  <c r="E35337" i="5"/>
  <c r="E35329" i="5"/>
  <c r="E35321" i="5"/>
  <c r="E35313" i="5"/>
  <c r="E35305" i="5"/>
  <c r="E35297" i="5"/>
  <c r="E35289" i="5"/>
  <c r="E35281" i="5"/>
  <c r="E35273" i="5"/>
  <c r="E35265" i="5"/>
  <c r="E35257" i="5"/>
  <c r="E35249" i="5"/>
  <c r="E35241" i="5"/>
  <c r="E35233" i="5"/>
  <c r="E35225" i="5"/>
  <c r="E35217" i="5"/>
  <c r="E35209" i="5"/>
  <c r="E35201" i="5"/>
  <c r="E35193" i="5"/>
  <c r="E35185" i="5"/>
  <c r="E35177" i="5"/>
  <c r="E35169" i="5"/>
  <c r="E35161" i="5"/>
  <c r="E35153" i="5"/>
  <c r="E35145" i="5"/>
  <c r="E35137" i="5"/>
  <c r="E35129" i="5"/>
  <c r="E35121" i="5"/>
  <c r="E35113" i="5"/>
  <c r="E35105" i="5"/>
  <c r="E35097" i="5"/>
  <c r="E35089" i="5"/>
  <c r="E35081" i="5"/>
  <c r="E35073" i="5"/>
  <c r="E35065" i="5"/>
  <c r="E35057" i="5"/>
  <c r="E35049" i="5"/>
  <c r="E35041" i="5"/>
  <c r="E35033" i="5"/>
  <c r="E35025" i="5"/>
  <c r="E35017" i="5"/>
  <c r="E35009" i="5"/>
  <c r="E35001" i="5"/>
  <c r="E34993" i="5"/>
  <c r="E34985" i="5"/>
  <c r="E34977" i="5"/>
  <c r="E34969" i="5"/>
  <c r="E34961" i="5"/>
  <c r="E34953" i="5"/>
  <c r="E34945" i="5"/>
  <c r="E34937" i="5"/>
  <c r="E34929" i="5"/>
  <c r="E34921" i="5"/>
  <c r="E34913" i="5"/>
  <c r="E34905" i="5"/>
  <c r="E34897" i="5"/>
  <c r="E34889" i="5"/>
  <c r="E34881" i="5"/>
  <c r="E34873" i="5"/>
  <c r="E34865" i="5"/>
  <c r="E34857" i="5"/>
  <c r="E34849" i="5"/>
  <c r="E34841" i="5"/>
  <c r="E34833" i="5"/>
  <c r="E34825" i="5"/>
  <c r="E34817" i="5"/>
  <c r="E34809" i="5"/>
  <c r="E34801" i="5"/>
  <c r="E34793" i="5"/>
  <c r="E34785" i="5"/>
  <c r="E34777" i="5"/>
  <c r="E34769" i="5"/>
  <c r="E34761" i="5"/>
  <c r="E34753" i="5"/>
  <c r="E34745" i="5"/>
  <c r="E34737" i="5"/>
  <c r="E34729" i="5"/>
  <c r="E34721" i="5"/>
  <c r="E34713" i="5"/>
  <c r="E34705" i="5"/>
  <c r="E34697" i="5"/>
  <c r="E34689" i="5"/>
  <c r="E34681" i="5"/>
  <c r="E34673" i="5"/>
  <c r="E34665" i="5"/>
  <c r="E34657" i="5"/>
  <c r="E34649" i="5"/>
  <c r="E34641" i="5"/>
  <c r="E34633" i="5"/>
  <c r="E34625" i="5"/>
  <c r="E34617" i="5"/>
  <c r="E34609" i="5"/>
  <c r="E34601" i="5"/>
  <c r="E34593" i="5"/>
  <c r="E34585" i="5"/>
  <c r="E34577" i="5"/>
  <c r="E34569" i="5"/>
  <c r="E34561" i="5"/>
  <c r="E34553" i="5"/>
  <c r="E34545" i="5"/>
  <c r="E34537" i="5"/>
  <c r="E34529" i="5"/>
  <c r="E34521" i="5"/>
  <c r="E34513" i="5"/>
  <c r="E34505" i="5"/>
  <c r="E34497" i="5"/>
  <c r="E34489" i="5"/>
  <c r="E34481" i="5"/>
  <c r="E34473" i="5"/>
  <c r="E34465" i="5"/>
  <c r="E34457" i="5"/>
  <c r="E34449" i="5"/>
  <c r="E34441" i="5"/>
  <c r="E34433" i="5"/>
  <c r="E34425" i="5"/>
  <c r="E34417" i="5"/>
  <c r="E34409" i="5"/>
  <c r="E34401" i="5"/>
  <c r="E34393" i="5"/>
  <c r="E34385" i="5"/>
  <c r="E34377" i="5"/>
  <c r="E34369" i="5"/>
  <c r="E34361" i="5"/>
  <c r="E34353" i="5"/>
  <c r="E34345" i="5"/>
  <c r="E34337" i="5"/>
  <c r="E34329" i="5"/>
  <c r="E34321" i="5"/>
  <c r="E34313" i="5"/>
  <c r="E34305" i="5"/>
  <c r="E34297" i="5"/>
  <c r="E34289" i="5"/>
  <c r="E34281" i="5"/>
  <c r="E34273" i="5"/>
  <c r="E34265" i="5"/>
  <c r="E34257" i="5"/>
  <c r="E34249" i="5"/>
  <c r="E34241" i="5"/>
  <c r="E34233" i="5"/>
  <c r="E34225" i="5"/>
  <c r="E34217" i="5"/>
  <c r="E34209" i="5"/>
  <c r="E34201" i="5"/>
  <c r="E34193" i="5"/>
  <c r="E34185" i="5"/>
  <c r="E34177" i="5"/>
  <c r="E34169" i="5"/>
  <c r="E34161" i="5"/>
  <c r="E34153" i="5"/>
  <c r="E34145" i="5"/>
  <c r="E34137" i="5"/>
  <c r="E34129" i="5"/>
  <c r="E34121" i="5"/>
  <c r="E34113" i="5"/>
  <c r="E34105" i="5"/>
  <c r="E34097" i="5"/>
  <c r="E34089" i="5"/>
  <c r="E34081" i="5"/>
  <c r="E34073" i="5"/>
  <c r="E34065" i="5"/>
  <c r="E34057" i="5"/>
  <c r="E34049" i="5"/>
  <c r="E34041" i="5"/>
  <c r="E34033" i="5"/>
  <c r="E34025" i="5"/>
  <c r="E34017" i="5"/>
  <c r="E34009" i="5"/>
  <c r="E34001" i="5"/>
  <c r="E33993" i="5"/>
  <c r="E33985" i="5"/>
  <c r="E33977" i="5"/>
  <c r="E33969" i="5"/>
  <c r="E33961" i="5"/>
  <c r="E33953" i="5"/>
  <c r="E33945" i="5"/>
  <c r="E33937" i="5"/>
  <c r="E33929" i="5"/>
  <c r="E33921" i="5"/>
  <c r="E33913" i="5"/>
  <c r="E33905" i="5"/>
  <c r="E33897" i="5"/>
  <c r="E33889" i="5"/>
  <c r="E33881" i="5"/>
  <c r="E33873" i="5"/>
  <c r="E33865" i="5"/>
  <c r="E33857" i="5"/>
  <c r="E33849" i="5"/>
  <c r="E33841" i="5"/>
  <c r="E33833" i="5"/>
  <c r="E33825" i="5"/>
  <c r="E33817" i="5"/>
  <c r="E33809" i="5"/>
  <c r="E33801" i="5"/>
  <c r="E33793" i="5"/>
  <c r="E33785" i="5"/>
  <c r="E33777" i="5"/>
  <c r="E33769" i="5"/>
  <c r="E33761" i="5"/>
  <c r="E33753" i="5"/>
  <c r="E33745" i="5"/>
  <c r="E33737" i="5"/>
  <c r="E33729" i="5"/>
  <c r="E33721" i="5"/>
  <c r="E33713" i="5"/>
  <c r="E33705" i="5"/>
  <c r="E33697" i="5"/>
  <c r="E33689" i="5"/>
  <c r="E33681" i="5"/>
  <c r="E33673" i="5"/>
  <c r="E33665" i="5"/>
  <c r="E33657" i="5"/>
  <c r="E33649" i="5"/>
  <c r="E33641" i="5"/>
  <c r="E33633" i="5"/>
  <c r="E33625" i="5"/>
  <c r="E33617" i="5"/>
  <c r="E33609" i="5"/>
  <c r="E33601" i="5"/>
  <c r="E33593" i="5"/>
  <c r="E33585" i="5"/>
  <c r="E33577" i="5"/>
  <c r="E33569" i="5"/>
  <c r="E33561" i="5"/>
  <c r="E33553" i="5"/>
  <c r="E33545" i="5"/>
  <c r="E33537" i="5"/>
  <c r="E33529" i="5"/>
  <c r="E33521" i="5"/>
  <c r="E33513" i="5"/>
  <c r="E33505" i="5"/>
  <c r="E33497" i="5"/>
  <c r="E33489" i="5"/>
  <c r="E33481" i="5"/>
  <c r="E33473" i="5"/>
  <c r="E33465" i="5"/>
  <c r="E33457" i="5"/>
  <c r="E33449" i="5"/>
  <c r="E33441" i="5"/>
  <c r="E33433" i="5"/>
  <c r="E33425" i="5"/>
  <c r="E33417" i="5"/>
  <c r="E33409" i="5"/>
  <c r="E33401" i="5"/>
  <c r="E33393" i="5"/>
  <c r="E33385" i="5"/>
  <c r="E33377" i="5"/>
  <c r="E33369" i="5"/>
  <c r="E33361" i="5"/>
  <c r="E33353" i="5"/>
  <c r="E33345" i="5"/>
  <c r="E33337" i="5"/>
  <c r="E33329" i="5"/>
  <c r="E33321" i="5"/>
  <c r="E33313" i="5"/>
  <c r="E33305" i="5"/>
  <c r="E33297" i="5"/>
  <c r="E33289" i="5"/>
  <c r="E33281" i="5"/>
  <c r="E33273" i="5"/>
  <c r="E33265" i="5"/>
  <c r="E33257" i="5"/>
  <c r="E33249" i="5"/>
  <c r="E33241" i="5"/>
  <c r="E33233" i="5"/>
  <c r="E33225" i="5"/>
  <c r="E33217" i="5"/>
  <c r="E33209" i="5"/>
  <c r="E33201" i="5"/>
  <c r="E33193" i="5"/>
  <c r="E33185" i="5"/>
  <c r="E33177" i="5"/>
  <c r="E33169" i="5"/>
  <c r="E33161" i="5"/>
  <c r="E33153" i="5"/>
  <c r="E33145" i="5"/>
  <c r="E33137" i="5"/>
  <c r="E33129" i="5"/>
  <c r="E33121" i="5"/>
  <c r="E33113" i="5"/>
  <c r="E33105" i="5"/>
  <c r="E33097" i="5"/>
  <c r="E33089" i="5"/>
  <c r="E33081" i="5"/>
  <c r="E33073" i="5"/>
  <c r="E33065" i="5"/>
  <c r="E33057" i="5"/>
  <c r="E33049" i="5"/>
  <c r="E33041" i="5"/>
  <c r="E33033" i="5"/>
  <c r="E33025" i="5"/>
  <c r="E33017" i="5"/>
  <c r="E33009" i="5"/>
  <c r="E33001" i="5"/>
  <c r="E32993" i="5"/>
  <c r="E32985" i="5"/>
  <c r="E32977" i="5"/>
  <c r="E32969" i="5"/>
  <c r="E32961" i="5"/>
  <c r="E32953" i="5"/>
  <c r="E32945" i="5"/>
  <c r="E32937" i="5"/>
  <c r="E32929" i="5"/>
  <c r="E32921" i="5"/>
  <c r="E32913" i="5"/>
  <c r="E32905" i="5"/>
  <c r="E32897" i="5"/>
  <c r="E32889" i="5"/>
  <c r="E32881" i="5"/>
  <c r="E32873" i="5"/>
  <c r="E32865" i="5"/>
  <c r="E32857" i="5"/>
  <c r="E32849" i="5"/>
  <c r="E32841" i="5"/>
  <c r="E32833" i="5"/>
  <c r="E32825" i="5"/>
  <c r="E32817" i="5"/>
  <c r="E32809" i="5"/>
  <c r="E32801" i="5"/>
  <c r="E32793" i="5"/>
  <c r="E32785" i="5"/>
  <c r="E32777" i="5"/>
  <c r="E32769" i="5"/>
  <c r="E32761" i="5"/>
  <c r="E32753" i="5"/>
  <c r="E32745" i="5"/>
  <c r="E32737" i="5"/>
  <c r="E32729" i="5"/>
  <c r="E32721" i="5"/>
  <c r="E32713" i="5"/>
  <c r="E32705" i="5"/>
  <c r="E32697" i="5"/>
  <c r="E32689" i="5"/>
  <c r="E32681" i="5"/>
  <c r="E32673" i="5"/>
  <c r="E32665" i="5"/>
  <c r="E32657" i="5"/>
  <c r="E32649" i="5"/>
  <c r="E32641" i="5"/>
  <c r="E32633" i="5"/>
  <c r="E32625" i="5"/>
  <c r="E32617" i="5"/>
  <c r="E32609" i="5"/>
  <c r="E32601" i="5"/>
  <c r="E32593" i="5"/>
  <c r="E32585" i="5"/>
  <c r="E32577" i="5"/>
  <c r="E32569" i="5"/>
  <c r="E32561" i="5"/>
  <c r="E32553" i="5"/>
  <c r="E32545" i="5"/>
  <c r="E32537" i="5"/>
  <c r="E32529" i="5"/>
  <c r="E32521" i="5"/>
  <c r="E32513" i="5"/>
  <c r="E32505" i="5"/>
  <c r="E32497" i="5"/>
  <c r="E32489" i="5"/>
  <c r="E32481" i="5"/>
  <c r="E32473" i="5"/>
  <c r="E32465" i="5"/>
  <c r="E32457" i="5"/>
  <c r="E32449" i="5"/>
  <c r="E32441" i="5"/>
  <c r="E32433" i="5"/>
  <c r="E32425" i="5"/>
  <c r="E32417" i="5"/>
  <c r="E32409" i="5"/>
  <c r="E32401" i="5"/>
  <c r="E32393" i="5"/>
  <c r="E32385" i="5"/>
  <c r="E32377" i="5"/>
  <c r="E32369" i="5"/>
  <c r="E32361" i="5"/>
  <c r="E32353" i="5"/>
  <c r="E32345" i="5"/>
  <c r="E32337" i="5"/>
  <c r="E32329" i="5"/>
  <c r="E32321" i="5"/>
  <c r="E32313" i="5"/>
  <c r="E32305" i="5"/>
  <c r="E32297" i="5"/>
  <c r="E32289" i="5"/>
  <c r="E32281" i="5"/>
  <c r="E32273" i="5"/>
  <c r="E32265" i="5"/>
  <c r="E32257" i="5"/>
  <c r="E32249" i="5"/>
  <c r="E32241" i="5"/>
  <c r="E32233" i="5"/>
  <c r="E32225" i="5"/>
  <c r="E32217" i="5"/>
  <c r="E32209" i="5"/>
  <c r="E32201" i="5"/>
  <c r="E32193" i="5"/>
  <c r="E32185" i="5"/>
  <c r="E32177" i="5"/>
  <c r="E32169" i="5"/>
  <c r="E32161" i="5"/>
  <c r="E32153" i="5"/>
  <c r="E32145" i="5"/>
  <c r="E32137" i="5"/>
  <c r="E32129" i="5"/>
  <c r="E32121" i="5"/>
  <c r="E32113" i="5"/>
  <c r="E32105" i="5"/>
  <c r="E32097" i="5"/>
  <c r="E32089" i="5"/>
  <c r="E32081" i="5"/>
  <c r="E32073" i="5"/>
  <c r="E32065" i="5"/>
  <c r="E32057" i="5"/>
  <c r="E32049" i="5"/>
  <c r="E32041" i="5"/>
  <c r="E32033" i="5"/>
  <c r="E32025" i="5"/>
  <c r="E32017" i="5"/>
  <c r="E32009" i="5"/>
  <c r="E32001" i="5"/>
  <c r="E31993" i="5"/>
  <c r="E31985" i="5"/>
  <c r="E31977" i="5"/>
  <c r="E31969" i="5"/>
  <c r="E31961" i="5"/>
  <c r="E31953" i="5"/>
  <c r="E31945" i="5"/>
  <c r="E31937" i="5"/>
  <c r="E31929" i="5"/>
  <c r="E31921" i="5"/>
  <c r="E31913" i="5"/>
  <c r="E31905" i="5"/>
  <c r="E31897" i="5"/>
  <c r="E31889" i="5"/>
  <c r="E31881" i="5"/>
  <c r="E31873" i="5"/>
  <c r="E31865" i="5"/>
  <c r="E31857" i="5"/>
  <c r="E31849" i="5"/>
  <c r="E31841" i="5"/>
  <c r="E31833" i="5"/>
  <c r="E31825" i="5"/>
  <c r="E31817" i="5"/>
  <c r="E31809" i="5"/>
  <c r="E31801" i="5"/>
  <c r="E31793" i="5"/>
  <c r="E31785" i="5"/>
  <c r="E31777" i="5"/>
  <c r="E31769" i="5"/>
  <c r="E31761" i="5"/>
  <c r="E31753" i="5"/>
  <c r="E31745" i="5"/>
  <c r="E31737" i="5"/>
  <c r="E31729" i="5"/>
  <c r="E31721" i="5"/>
  <c r="E31713" i="5"/>
  <c r="E31705" i="5"/>
  <c r="E31697" i="5"/>
  <c r="E31689" i="5"/>
  <c r="E31681" i="5"/>
  <c r="E31673" i="5"/>
  <c r="E31665" i="5"/>
  <c r="E31657" i="5"/>
  <c r="E31649" i="5"/>
  <c r="E31641" i="5"/>
  <c r="E31633" i="5"/>
  <c r="E31625" i="5"/>
  <c r="E31617" i="5"/>
  <c r="E31609" i="5"/>
  <c r="E31601" i="5"/>
  <c r="E31593" i="5"/>
  <c r="E31585" i="5"/>
  <c r="E31577" i="5"/>
  <c r="E31569" i="5"/>
  <c r="E31561" i="5"/>
  <c r="E31553" i="5"/>
  <c r="E31545" i="5"/>
  <c r="E31537" i="5"/>
  <c r="E31529" i="5"/>
  <c r="E31521" i="5"/>
  <c r="E31513" i="5"/>
  <c r="E31505" i="5"/>
  <c r="E31497" i="5"/>
  <c r="E31489" i="5"/>
  <c r="E31481" i="5"/>
  <c r="E31473" i="5"/>
  <c r="E31465" i="5"/>
  <c r="E31457" i="5"/>
  <c r="E31449" i="5"/>
  <c r="E31441" i="5"/>
  <c r="E31433" i="5"/>
  <c r="E31425" i="5"/>
  <c r="E31417" i="5"/>
  <c r="E31409" i="5"/>
  <c r="E31401" i="5"/>
  <c r="E31393" i="5"/>
  <c r="E31385" i="5"/>
  <c r="E31377" i="5"/>
  <c r="E31369" i="5"/>
  <c r="E31361" i="5"/>
  <c r="E31353" i="5"/>
  <c r="E31345" i="5"/>
  <c r="E31337" i="5"/>
  <c r="E31329" i="5"/>
  <c r="E31321" i="5"/>
  <c r="E31313" i="5"/>
  <c r="E31305" i="5"/>
  <c r="E31297" i="5"/>
  <c r="E31289" i="5"/>
  <c r="E31281" i="5"/>
  <c r="E31273" i="5"/>
  <c r="E31265" i="5"/>
  <c r="E31257" i="5"/>
  <c r="E31249" i="5"/>
  <c r="E31241" i="5"/>
  <c r="E31233" i="5"/>
  <c r="E31225" i="5"/>
  <c r="E31217" i="5"/>
  <c r="E31209" i="5"/>
  <c r="E31201" i="5"/>
  <c r="E31193" i="5"/>
  <c r="E31185" i="5"/>
  <c r="E31177" i="5"/>
  <c r="E31169" i="5"/>
  <c r="E31161" i="5"/>
  <c r="E31153" i="5"/>
  <c r="E31145" i="5"/>
  <c r="E31137" i="5"/>
  <c r="E31129" i="5"/>
  <c r="E31121" i="5"/>
  <c r="E31113" i="5"/>
  <c r="E31105" i="5"/>
  <c r="E31097" i="5"/>
  <c r="E31089" i="5"/>
  <c r="E31081" i="5"/>
  <c r="E31073" i="5"/>
  <c r="E31065" i="5"/>
  <c r="E31057" i="5"/>
  <c r="E31049" i="5"/>
  <c r="E31041" i="5"/>
  <c r="E31033" i="5"/>
  <c r="E31025" i="5"/>
  <c r="E31017" i="5"/>
  <c r="E31009" i="5"/>
  <c r="E31001" i="5"/>
  <c r="E30993" i="5"/>
  <c r="E30985" i="5"/>
  <c r="E30977" i="5"/>
  <c r="E30969" i="5"/>
  <c r="E30961" i="5"/>
  <c r="E30953" i="5"/>
  <c r="E30945" i="5"/>
  <c r="E30937" i="5"/>
  <c r="E30929" i="5"/>
  <c r="E30921" i="5"/>
  <c r="E30913" i="5"/>
  <c r="E30905" i="5"/>
  <c r="E30897" i="5"/>
  <c r="E30889" i="5"/>
  <c r="E30881" i="5"/>
  <c r="E30873" i="5"/>
  <c r="E30865" i="5"/>
  <c r="E30857" i="5"/>
  <c r="E30849" i="5"/>
  <c r="E30841" i="5"/>
  <c r="E30833" i="5"/>
  <c r="E30825" i="5"/>
  <c r="E30817" i="5"/>
  <c r="E30809" i="5"/>
  <c r="E30801" i="5"/>
  <c r="E30793" i="5"/>
  <c r="E30785" i="5"/>
  <c r="E30777" i="5"/>
  <c r="E30769" i="5"/>
  <c r="E30761" i="5"/>
  <c r="E30753" i="5"/>
  <c r="E30745" i="5"/>
  <c r="E30737" i="5"/>
  <c r="E30729" i="5"/>
  <c r="E30721" i="5"/>
  <c r="E30713" i="5"/>
  <c r="E30705" i="5"/>
  <c r="E30697" i="5"/>
  <c r="E30689" i="5"/>
  <c r="E30681" i="5"/>
  <c r="E30673" i="5"/>
  <c r="E30665" i="5"/>
  <c r="E30657" i="5"/>
  <c r="E30649" i="5"/>
  <c r="E30641" i="5"/>
  <c r="E30633" i="5"/>
  <c r="E30625" i="5"/>
  <c r="E30617" i="5"/>
  <c r="E30609" i="5"/>
  <c r="E30601" i="5"/>
  <c r="E30593" i="5"/>
  <c r="E30585" i="5"/>
  <c r="E30577" i="5"/>
  <c r="E30569" i="5"/>
  <c r="E30561" i="5"/>
  <c r="E30553" i="5"/>
  <c r="E30545" i="5"/>
  <c r="E30537" i="5"/>
  <c r="E30529" i="5"/>
  <c r="E30521" i="5"/>
  <c r="E30513" i="5"/>
  <c r="E30505" i="5"/>
  <c r="E30497" i="5"/>
  <c r="E30489" i="5"/>
  <c r="E30481" i="5"/>
  <c r="E30473" i="5"/>
  <c r="E30465" i="5"/>
  <c r="E30457" i="5"/>
  <c r="E30449" i="5"/>
  <c r="E30441" i="5"/>
  <c r="E30433" i="5"/>
  <c r="E30425" i="5"/>
  <c r="E30417" i="5"/>
  <c r="E30409" i="5"/>
  <c r="E30401" i="5"/>
  <c r="E30393" i="5"/>
  <c r="E30385" i="5"/>
  <c r="E30377" i="5"/>
  <c r="E30369" i="5"/>
  <c r="E30361" i="5"/>
  <c r="E30353" i="5"/>
  <c r="E30345" i="5"/>
  <c r="E30337" i="5"/>
  <c r="E30329" i="5"/>
  <c r="E30321" i="5"/>
  <c r="E30313" i="5"/>
  <c r="E30305" i="5"/>
  <c r="E30297" i="5"/>
  <c r="E30289" i="5"/>
  <c r="E30281" i="5"/>
  <c r="E30273" i="5"/>
  <c r="E30265" i="5"/>
  <c r="E30257" i="5"/>
  <c r="E30249" i="5"/>
  <c r="E30241" i="5"/>
  <c r="E30233" i="5"/>
  <c r="E30225" i="5"/>
  <c r="E30217" i="5"/>
  <c r="E30209" i="5"/>
  <c r="E30201" i="5"/>
  <c r="E30193" i="5"/>
  <c r="E30185" i="5"/>
  <c r="E30177" i="5"/>
  <c r="E30169" i="5"/>
  <c r="E30161" i="5"/>
  <c r="E30153" i="5"/>
  <c r="E30145" i="5"/>
  <c r="E30137" i="5"/>
  <c r="E30129" i="5"/>
  <c r="E30121" i="5"/>
  <c r="E30113" i="5"/>
  <c r="E30105" i="5"/>
  <c r="E30097" i="5"/>
  <c r="E30089" i="5"/>
  <c r="E30081" i="5"/>
  <c r="E30073" i="5"/>
  <c r="E30065" i="5"/>
  <c r="E30057" i="5"/>
  <c r="E30049" i="5"/>
  <c r="E30041" i="5"/>
  <c r="E30033" i="5"/>
  <c r="E30025" i="5"/>
  <c r="E30017" i="5"/>
  <c r="E30009" i="5"/>
  <c r="E30001" i="5"/>
  <c r="E29993" i="5"/>
  <c r="E29985" i="5"/>
  <c r="E29977" i="5"/>
  <c r="E29969" i="5"/>
  <c r="E29961" i="5"/>
  <c r="E29953" i="5"/>
  <c r="E29945" i="5"/>
  <c r="E29937" i="5"/>
  <c r="E29929" i="5"/>
  <c r="E29921" i="5"/>
  <c r="E29913" i="5"/>
  <c r="E29905" i="5"/>
  <c r="E29897" i="5"/>
  <c r="E29889" i="5"/>
  <c r="E29881" i="5"/>
  <c r="E29873" i="5"/>
  <c r="E29865" i="5"/>
  <c r="E29857" i="5"/>
  <c r="E29849" i="5"/>
  <c r="E29841" i="5"/>
  <c r="E29833" i="5"/>
  <c r="E29825" i="5"/>
  <c r="E29817" i="5"/>
  <c r="E29809" i="5"/>
  <c r="E29801" i="5"/>
  <c r="E29793" i="5"/>
  <c r="E29785" i="5"/>
  <c r="E29777" i="5"/>
  <c r="E29769" i="5"/>
  <c r="E29761" i="5"/>
  <c r="E29753" i="5"/>
  <c r="E29745" i="5"/>
  <c r="E29737" i="5"/>
  <c r="E29729" i="5"/>
  <c r="E29721" i="5"/>
  <c r="E29713" i="5"/>
  <c r="E29705" i="5"/>
  <c r="E29697" i="5"/>
  <c r="E29689" i="5"/>
  <c r="E29681" i="5"/>
  <c r="E29673" i="5"/>
  <c r="E29665" i="5"/>
  <c r="E29657" i="5"/>
  <c r="E29649" i="5"/>
  <c r="E29641" i="5"/>
  <c r="E29633" i="5"/>
  <c r="E29625" i="5"/>
  <c r="E29617" i="5"/>
  <c r="E29609" i="5"/>
  <c r="E29601" i="5"/>
  <c r="E29593" i="5"/>
  <c r="E29585" i="5"/>
  <c r="E29577" i="5"/>
  <c r="E29569" i="5"/>
  <c r="E29561" i="5"/>
  <c r="E29553" i="5"/>
  <c r="E29545" i="5"/>
  <c r="E29537" i="5"/>
  <c r="E29529" i="5"/>
  <c r="E29521" i="5"/>
  <c r="E29513" i="5"/>
  <c r="E29505" i="5"/>
  <c r="E29497" i="5"/>
  <c r="E29489" i="5"/>
  <c r="E29481" i="5"/>
  <c r="E29473" i="5"/>
  <c r="E29465" i="5"/>
  <c r="E29457" i="5"/>
  <c r="E29449" i="5"/>
  <c r="E29441" i="5"/>
  <c r="E29433" i="5"/>
  <c r="E29425" i="5"/>
  <c r="E29417" i="5"/>
  <c r="E29409" i="5"/>
  <c r="E29401" i="5"/>
  <c r="E29393" i="5"/>
  <c r="E29385" i="5"/>
  <c r="E29377" i="5"/>
  <c r="E29369" i="5"/>
  <c r="E29361" i="5"/>
  <c r="E29353" i="5"/>
  <c r="E29345" i="5"/>
  <c r="E29337" i="5"/>
  <c r="E29329" i="5"/>
  <c r="E29321" i="5"/>
  <c r="E29313" i="5"/>
  <c r="E29305" i="5"/>
  <c r="E29297" i="5"/>
  <c r="E29289" i="5"/>
  <c r="E29281" i="5"/>
  <c r="E29273" i="5"/>
  <c r="E29265" i="5"/>
  <c r="E29257" i="5"/>
  <c r="E29249" i="5"/>
  <c r="E29241" i="5"/>
  <c r="E29233" i="5"/>
  <c r="E29225" i="5"/>
  <c r="E29217" i="5"/>
  <c r="E29209" i="5"/>
  <c r="E29201" i="5"/>
  <c r="E29193" i="5"/>
  <c r="E29185" i="5"/>
  <c r="E29177" i="5"/>
  <c r="E29169" i="5"/>
  <c r="E29161" i="5"/>
  <c r="E29153" i="5"/>
  <c r="E29145" i="5"/>
  <c r="E29137" i="5"/>
  <c r="E29129" i="5"/>
  <c r="E29121" i="5"/>
  <c r="E29113" i="5"/>
  <c r="E29105" i="5"/>
  <c r="E29097" i="5"/>
  <c r="E29089" i="5"/>
  <c r="E29081" i="5"/>
  <c r="E29073" i="5"/>
  <c r="E29065" i="5"/>
  <c r="E29057" i="5"/>
  <c r="E29049" i="5"/>
  <c r="E29041" i="5"/>
  <c r="E29033" i="5"/>
  <c r="E29025" i="5"/>
  <c r="E29017" i="5"/>
  <c r="E29009" i="5"/>
  <c r="E29001" i="5"/>
  <c r="E28993" i="5"/>
  <c r="E28985" i="5"/>
  <c r="E28977" i="5"/>
  <c r="E28969" i="5"/>
  <c r="E28961" i="5"/>
  <c r="E28953" i="5"/>
  <c r="E28945" i="5"/>
  <c r="E28937" i="5"/>
  <c r="E28929" i="5"/>
  <c r="E28921" i="5"/>
  <c r="E28913" i="5"/>
  <c r="E28905" i="5"/>
  <c r="E28897" i="5"/>
  <c r="E28889" i="5"/>
  <c r="E28881" i="5"/>
  <c r="E28873" i="5"/>
  <c r="E28865" i="5"/>
  <c r="E28857" i="5"/>
  <c r="E28849" i="5"/>
  <c r="E28841" i="5"/>
  <c r="E28833" i="5"/>
  <c r="E28825" i="5"/>
  <c r="E28817" i="5"/>
  <c r="E28809" i="5"/>
  <c r="E28801" i="5"/>
  <c r="E28793" i="5"/>
  <c r="E28785" i="5"/>
  <c r="E28777" i="5"/>
  <c r="E28769" i="5"/>
  <c r="E28761" i="5"/>
  <c r="E28753" i="5"/>
  <c r="E28745" i="5"/>
  <c r="E28737" i="5"/>
  <c r="E28729" i="5"/>
  <c r="E28721" i="5"/>
  <c r="E28713" i="5"/>
  <c r="E28705" i="5"/>
  <c r="E28697" i="5"/>
  <c r="E28689" i="5"/>
  <c r="E28681" i="5"/>
  <c r="E28673" i="5"/>
  <c r="E28665" i="5"/>
  <c r="E28657" i="5"/>
  <c r="E28649" i="5"/>
  <c r="E28641" i="5"/>
  <c r="E28633" i="5"/>
  <c r="E28625" i="5"/>
  <c r="E28617" i="5"/>
  <c r="E28609" i="5"/>
  <c r="E28601" i="5"/>
  <c r="E28593" i="5"/>
  <c r="E28585" i="5"/>
  <c r="E28577" i="5"/>
  <c r="E28569" i="5"/>
  <c r="E28561" i="5"/>
  <c r="E28553" i="5"/>
  <c r="E28545" i="5"/>
  <c r="E28537" i="5"/>
  <c r="E28529" i="5"/>
  <c r="E28521" i="5"/>
  <c r="E28513" i="5"/>
  <c r="E28505" i="5"/>
  <c r="E28497" i="5"/>
  <c r="E28489" i="5"/>
  <c r="E28481" i="5"/>
  <c r="E28473" i="5"/>
  <c r="E28465" i="5"/>
  <c r="E28457" i="5"/>
  <c r="E28449" i="5"/>
  <c r="E28441" i="5"/>
  <c r="E28433" i="5"/>
  <c r="E28425" i="5"/>
  <c r="E28417" i="5"/>
  <c r="E28409" i="5"/>
  <c r="E28401" i="5"/>
  <c r="E28393" i="5"/>
  <c r="E28385" i="5"/>
  <c r="E28377" i="5"/>
  <c r="E28369" i="5"/>
  <c r="E28361" i="5"/>
  <c r="E28353" i="5"/>
  <c r="E28345" i="5"/>
  <c r="E28337" i="5"/>
  <c r="E28329" i="5"/>
  <c r="E28321" i="5"/>
  <c r="E28313" i="5"/>
  <c r="E28305" i="5"/>
  <c r="E28297" i="5"/>
  <c r="E28289" i="5"/>
  <c r="E28281" i="5"/>
  <c r="E28273" i="5"/>
  <c r="E28265" i="5"/>
  <c r="E28257" i="5"/>
  <c r="E28249" i="5"/>
  <c r="E28241" i="5"/>
  <c r="E28233" i="5"/>
  <c r="E28225" i="5"/>
  <c r="E28217" i="5"/>
  <c r="E28209" i="5"/>
  <c r="E28201" i="5"/>
  <c r="E28193" i="5"/>
  <c r="E28185" i="5"/>
  <c r="E28177" i="5"/>
  <c r="E28169" i="5"/>
  <c r="E28161" i="5"/>
  <c r="E28153" i="5"/>
  <c r="E28145" i="5"/>
  <c r="E28137" i="5"/>
  <c r="E28129" i="5"/>
  <c r="E28121" i="5"/>
  <c r="E28113" i="5"/>
  <c r="E28105" i="5"/>
  <c r="E28097" i="5"/>
  <c r="E28089" i="5"/>
  <c r="E28081" i="5"/>
  <c r="E28073" i="5"/>
  <c r="E28065" i="5"/>
  <c r="E28057" i="5"/>
  <c r="E28049" i="5"/>
  <c r="E28041" i="5"/>
  <c r="E28033" i="5"/>
  <c r="E28025" i="5"/>
  <c r="E28017" i="5"/>
  <c r="E28009" i="5"/>
  <c r="E28001" i="5"/>
  <c r="E27993" i="5"/>
  <c r="E27985" i="5"/>
  <c r="E27977" i="5"/>
  <c r="E27969" i="5"/>
  <c r="E27961" i="5"/>
  <c r="E27953" i="5"/>
  <c r="E27945" i="5"/>
  <c r="E27937" i="5"/>
  <c r="E27929" i="5"/>
  <c r="E27921" i="5"/>
  <c r="E27913" i="5"/>
  <c r="E27905" i="5"/>
  <c r="E27897" i="5"/>
  <c r="E27889" i="5"/>
  <c r="E27881" i="5"/>
  <c r="E27873" i="5"/>
  <c r="E27865" i="5"/>
  <c r="E27857" i="5"/>
  <c r="E27849" i="5"/>
  <c r="E27841" i="5"/>
  <c r="E27833" i="5"/>
  <c r="E27825" i="5"/>
  <c r="E27817" i="5"/>
  <c r="E27809" i="5"/>
  <c r="E27801" i="5"/>
  <c r="E27793" i="5"/>
  <c r="E27785" i="5"/>
  <c r="E27777" i="5"/>
  <c r="E27769" i="5"/>
  <c r="E27761" i="5"/>
  <c r="E27753" i="5"/>
  <c r="E27745" i="5"/>
  <c r="E27737" i="5"/>
  <c r="E27729" i="5"/>
  <c r="E27721" i="5"/>
  <c r="E27713" i="5"/>
  <c r="E27705" i="5"/>
  <c r="E27697" i="5"/>
  <c r="E27689" i="5"/>
  <c r="E27681" i="5"/>
  <c r="E27673" i="5"/>
  <c r="E27665" i="5"/>
  <c r="E27657" i="5"/>
  <c r="E27649" i="5"/>
  <c r="E27641" i="5"/>
  <c r="E27633" i="5"/>
  <c r="E27625" i="5"/>
  <c r="E27617" i="5"/>
  <c r="E27609" i="5"/>
  <c r="E27601" i="5"/>
  <c r="E27593" i="5"/>
  <c r="E27585" i="5"/>
  <c r="E27577" i="5"/>
  <c r="E27569" i="5"/>
  <c r="E27561" i="5"/>
  <c r="E27553" i="5"/>
  <c r="E27545" i="5"/>
  <c r="E27537" i="5"/>
  <c r="E27529" i="5"/>
  <c r="E27521" i="5"/>
  <c r="E27513" i="5"/>
  <c r="E27505" i="5"/>
  <c r="E27497" i="5"/>
  <c r="E27489" i="5"/>
  <c r="E27481" i="5"/>
  <c r="E27473" i="5"/>
  <c r="E27465" i="5"/>
  <c r="E27457" i="5"/>
  <c r="E27449" i="5"/>
  <c r="E27441" i="5"/>
  <c r="E27433" i="5"/>
  <c r="E27425" i="5"/>
  <c r="E27417" i="5"/>
  <c r="E27409" i="5"/>
  <c r="E27401" i="5"/>
  <c r="E27393" i="5"/>
  <c r="E27385" i="5"/>
  <c r="E27377" i="5"/>
  <c r="E27369" i="5"/>
  <c r="E27361" i="5"/>
  <c r="E27353" i="5"/>
  <c r="E27345" i="5"/>
  <c r="E27337" i="5"/>
  <c r="E27329" i="5"/>
  <c r="E27321" i="5"/>
  <c r="E27313" i="5"/>
  <c r="E27305" i="5"/>
  <c r="E27297" i="5"/>
  <c r="E27289" i="5"/>
  <c r="E27281" i="5"/>
  <c r="E27273" i="5"/>
  <c r="E27265" i="5"/>
  <c r="E27257" i="5"/>
  <c r="E27249" i="5"/>
  <c r="E27241" i="5"/>
  <c r="E27233" i="5"/>
  <c r="E27225" i="5"/>
  <c r="E27217" i="5"/>
  <c r="E27209" i="5"/>
  <c r="E27201" i="5"/>
  <c r="E27193" i="5"/>
  <c r="E27185" i="5"/>
  <c r="E27177" i="5"/>
  <c r="E27169" i="5"/>
  <c r="E27161" i="5"/>
  <c r="E27153" i="5"/>
  <c r="E27145" i="5"/>
  <c r="E27137" i="5"/>
  <c r="E27129" i="5"/>
  <c r="E27121" i="5"/>
  <c r="E27113" i="5"/>
  <c r="E27105" i="5"/>
  <c r="E27097" i="5"/>
  <c r="E27089" i="5"/>
  <c r="E27081" i="5"/>
  <c r="E27073" i="5"/>
  <c r="E27065" i="5"/>
  <c r="E27057" i="5"/>
  <c r="E27049" i="5"/>
  <c r="E27041" i="5"/>
  <c r="E27033" i="5"/>
  <c r="E27025" i="5"/>
  <c r="E27017" i="5"/>
  <c r="E27009" i="5"/>
  <c r="E27001" i="5"/>
  <c r="E26993" i="5"/>
  <c r="E26985" i="5"/>
  <c r="E26977" i="5"/>
  <c r="E26969" i="5"/>
  <c r="E26961" i="5"/>
  <c r="E26953" i="5"/>
  <c r="E26945" i="5"/>
  <c r="E26937" i="5"/>
  <c r="E26929" i="5"/>
  <c r="E26921" i="5"/>
  <c r="E26913" i="5"/>
  <c r="E26905" i="5"/>
  <c r="E26897" i="5"/>
  <c r="E26889" i="5"/>
  <c r="E26881" i="5"/>
  <c r="E26873" i="5"/>
  <c r="E26865" i="5"/>
  <c r="E26857" i="5"/>
  <c r="E26849" i="5"/>
  <c r="E26841" i="5"/>
  <c r="E26833" i="5"/>
  <c r="E26825" i="5"/>
  <c r="E26817" i="5"/>
  <c r="E26809" i="5"/>
  <c r="E26801" i="5"/>
  <c r="E26793" i="5"/>
  <c r="E26785" i="5"/>
  <c r="E26777" i="5"/>
  <c r="E26769" i="5"/>
  <c r="E26761" i="5"/>
  <c r="E26753" i="5"/>
  <c r="E26745" i="5"/>
  <c r="E26737" i="5"/>
  <c r="E26729" i="5"/>
  <c r="E26721" i="5"/>
  <c r="E26713" i="5"/>
  <c r="E26705" i="5"/>
  <c r="E26697" i="5"/>
  <c r="E26689" i="5"/>
  <c r="E26681" i="5"/>
  <c r="E26673" i="5"/>
  <c r="E26665" i="5"/>
  <c r="E26657" i="5"/>
  <c r="E26649" i="5"/>
  <c r="E26641" i="5"/>
  <c r="E26633" i="5"/>
  <c r="E26625" i="5"/>
  <c r="E26617" i="5"/>
  <c r="E26609" i="5"/>
  <c r="E26601" i="5"/>
  <c r="E26593" i="5"/>
  <c r="E26585" i="5"/>
  <c r="E26577" i="5"/>
  <c r="E26569" i="5"/>
  <c r="E26561" i="5"/>
  <c r="E26553" i="5"/>
  <c r="E26545" i="5"/>
  <c r="E26537" i="5"/>
  <c r="E26529" i="5"/>
  <c r="E26521" i="5"/>
  <c r="E26513" i="5"/>
  <c r="E26505" i="5"/>
  <c r="E26497" i="5"/>
  <c r="E26489" i="5"/>
  <c r="E26481" i="5"/>
  <c r="E26473" i="5"/>
  <c r="E26465" i="5"/>
  <c r="E26457" i="5"/>
  <c r="E26449" i="5"/>
  <c r="E26441" i="5"/>
  <c r="E26433" i="5"/>
  <c r="E26425" i="5"/>
  <c r="E26417" i="5"/>
  <c r="E26409" i="5"/>
  <c r="E26401" i="5"/>
  <c r="E26393" i="5"/>
  <c r="E26385" i="5"/>
  <c r="E26377" i="5"/>
  <c r="E26369" i="5"/>
  <c r="E26361" i="5"/>
  <c r="E26353" i="5"/>
  <c r="E26345" i="5"/>
  <c r="E26337" i="5"/>
  <c r="E26329" i="5"/>
  <c r="E26321" i="5"/>
  <c r="E26313" i="5"/>
  <c r="E26305" i="5"/>
  <c r="E26297" i="5"/>
  <c r="E26289" i="5"/>
  <c r="E26281" i="5"/>
  <c r="E26273" i="5"/>
  <c r="E26265" i="5"/>
  <c r="E26257" i="5"/>
  <c r="E26249" i="5"/>
  <c r="E26241" i="5"/>
  <c r="E26233" i="5"/>
  <c r="E26225" i="5"/>
  <c r="E26217" i="5"/>
  <c r="E26209" i="5"/>
  <c r="E26201" i="5"/>
  <c r="E26193" i="5"/>
  <c r="E26185" i="5"/>
  <c r="E26177" i="5"/>
  <c r="E26169" i="5"/>
  <c r="E26161" i="5"/>
  <c r="E26153" i="5"/>
  <c r="E26145" i="5"/>
  <c r="E26137" i="5"/>
  <c r="E26129" i="5"/>
  <c r="E26121" i="5"/>
  <c r="E26113" i="5"/>
  <c r="E26105" i="5"/>
  <c r="E26097" i="5"/>
  <c r="E26089" i="5"/>
  <c r="E26081" i="5"/>
  <c r="E26073" i="5"/>
  <c r="E26065" i="5"/>
  <c r="E26057" i="5"/>
  <c r="E26049" i="5"/>
  <c r="E26041" i="5"/>
  <c r="E26033" i="5"/>
  <c r="E26025" i="5"/>
  <c r="E26017" i="5"/>
  <c r="E26009" i="5"/>
  <c r="E26001" i="5"/>
  <c r="E25993" i="5"/>
  <c r="E25985" i="5"/>
  <c r="E25977" i="5"/>
  <c r="E25969" i="5"/>
  <c r="E25961" i="5"/>
  <c r="E25953" i="5"/>
  <c r="E25945" i="5"/>
  <c r="E25937" i="5"/>
  <c r="E25929" i="5"/>
  <c r="E25921" i="5"/>
  <c r="E25913" i="5"/>
  <c r="E25905" i="5"/>
  <c r="E25897" i="5"/>
  <c r="E25889" i="5"/>
  <c r="E25881" i="5"/>
  <c r="E25873" i="5"/>
  <c r="E25865" i="5"/>
  <c r="E25857" i="5"/>
  <c r="E25849" i="5"/>
  <c r="E25841" i="5"/>
  <c r="E25833" i="5"/>
  <c r="E25825" i="5"/>
  <c r="E25817" i="5"/>
  <c r="E25809" i="5"/>
  <c r="E25801" i="5"/>
  <c r="E25793" i="5"/>
  <c r="E25785" i="5"/>
  <c r="E25777" i="5"/>
  <c r="E25769" i="5"/>
  <c r="E25761" i="5"/>
  <c r="E25753" i="5"/>
  <c r="E25745" i="5"/>
  <c r="E25737" i="5"/>
  <c r="E25729" i="5"/>
  <c r="E25721" i="5"/>
  <c r="E25713" i="5"/>
  <c r="E25705" i="5"/>
  <c r="E25697" i="5"/>
  <c r="E25689" i="5"/>
  <c r="E25681" i="5"/>
  <c r="E25673" i="5"/>
  <c r="E25665" i="5"/>
  <c r="E25657" i="5"/>
  <c r="E25649" i="5"/>
  <c r="E25641" i="5"/>
  <c r="E25633" i="5"/>
  <c r="E25625" i="5"/>
  <c r="E25617" i="5"/>
  <c r="E25609" i="5"/>
  <c r="E25601" i="5"/>
  <c r="E25593" i="5"/>
  <c r="E25585" i="5"/>
  <c r="E25577" i="5"/>
  <c r="E25569" i="5"/>
  <c r="E25561" i="5"/>
  <c r="E25553" i="5"/>
  <c r="E25545" i="5"/>
  <c r="E25537" i="5"/>
  <c r="E25529" i="5"/>
  <c r="E25521" i="5"/>
  <c r="E25513" i="5"/>
  <c r="E25505" i="5"/>
  <c r="E25497" i="5"/>
  <c r="E25489" i="5"/>
  <c r="E25481" i="5"/>
  <c r="E25473" i="5"/>
  <c r="E25465" i="5"/>
  <c r="E25457" i="5"/>
  <c r="E25449" i="5"/>
  <c r="E25441" i="5"/>
  <c r="E25433" i="5"/>
  <c r="E25425" i="5"/>
  <c r="E25417" i="5"/>
  <c r="E25409" i="5"/>
  <c r="E25401" i="5"/>
  <c r="E25393" i="5"/>
  <c r="E25385" i="5"/>
  <c r="E25377" i="5"/>
  <c r="E25369" i="5"/>
  <c r="E25361" i="5"/>
  <c r="E25353" i="5"/>
  <c r="E25345" i="5"/>
  <c r="E25337" i="5"/>
  <c r="E25329" i="5"/>
  <c r="E25321" i="5"/>
  <c r="E25313" i="5"/>
  <c r="E25305" i="5"/>
  <c r="E25297" i="5"/>
  <c r="E25289" i="5"/>
  <c r="E25281" i="5"/>
  <c r="E25273" i="5"/>
  <c r="E25265" i="5"/>
  <c r="E25257" i="5"/>
  <c r="E25249" i="5"/>
  <c r="E25241" i="5"/>
  <c r="E25233" i="5"/>
  <c r="E25225" i="5"/>
  <c r="E25217" i="5"/>
  <c r="E25209" i="5"/>
  <c r="E25201" i="5"/>
  <c r="E25193" i="5"/>
  <c r="E25185" i="5"/>
  <c r="E25177" i="5"/>
  <c r="E25169" i="5"/>
  <c r="E25161" i="5"/>
  <c r="E25153" i="5"/>
  <c r="E25145" i="5"/>
  <c r="E25137" i="5"/>
  <c r="E25129" i="5"/>
  <c r="E25121" i="5"/>
  <c r="E25113" i="5"/>
  <c r="E25105" i="5"/>
  <c r="E25097" i="5"/>
  <c r="E25089" i="5"/>
  <c r="E25081" i="5"/>
  <c r="E25073" i="5"/>
  <c r="E25065" i="5"/>
  <c r="E25057" i="5"/>
  <c r="E25049" i="5"/>
  <c r="E25041" i="5"/>
  <c r="E25033" i="5"/>
  <c r="E25025" i="5"/>
  <c r="E25017" i="5"/>
  <c r="E25009" i="5"/>
  <c r="E25001" i="5"/>
  <c r="E24993" i="5"/>
  <c r="E24985" i="5"/>
  <c r="E24977" i="5"/>
  <c r="E24969" i="5"/>
  <c r="E24961" i="5"/>
  <c r="E24953" i="5"/>
  <c r="E24945" i="5"/>
  <c r="E24937" i="5"/>
  <c r="E24929" i="5"/>
  <c r="E24921" i="5"/>
  <c r="E24913" i="5"/>
  <c r="E24905" i="5"/>
  <c r="E24897" i="5"/>
  <c r="E24889" i="5"/>
  <c r="E24881" i="5"/>
  <c r="E24873" i="5"/>
  <c r="E24865" i="5"/>
  <c r="E24857" i="5"/>
  <c r="E24849" i="5"/>
  <c r="E24841" i="5"/>
  <c r="E24833" i="5"/>
  <c r="E24825" i="5"/>
  <c r="E24817" i="5"/>
  <c r="E24809" i="5"/>
  <c r="E24801" i="5"/>
  <c r="E24793" i="5"/>
  <c r="E24785" i="5"/>
  <c r="E24777" i="5"/>
  <c r="E24769" i="5"/>
  <c r="E24761" i="5"/>
  <c r="E24753" i="5"/>
  <c r="E24745" i="5"/>
  <c r="E24737" i="5"/>
  <c r="E24729" i="5"/>
  <c r="E24721" i="5"/>
  <c r="E24713" i="5"/>
  <c r="E24705" i="5"/>
  <c r="E24697" i="5"/>
  <c r="E24689" i="5"/>
  <c r="E24681" i="5"/>
  <c r="E24673" i="5"/>
  <c r="E24665" i="5"/>
  <c r="E24657" i="5"/>
  <c r="E24649" i="5"/>
  <c r="E24641" i="5"/>
  <c r="E24633" i="5"/>
  <c r="E24625" i="5"/>
  <c r="E24617" i="5"/>
  <c r="E24609" i="5"/>
  <c r="E24601" i="5"/>
  <c r="E24593" i="5"/>
  <c r="E24585" i="5"/>
  <c r="E24577" i="5"/>
  <c r="E24569" i="5"/>
  <c r="E24561" i="5"/>
  <c r="E24553" i="5"/>
  <c r="E24545" i="5"/>
  <c r="E24537" i="5"/>
  <c r="E24529" i="5"/>
  <c r="E24521" i="5"/>
  <c r="E24513" i="5"/>
  <c r="E24505" i="5"/>
  <c r="E24497" i="5"/>
  <c r="E24489" i="5"/>
  <c r="E24481" i="5"/>
  <c r="E24473" i="5"/>
  <c r="E24465" i="5"/>
  <c r="E24457" i="5"/>
  <c r="E24449" i="5"/>
  <c r="E24441" i="5"/>
  <c r="E24433" i="5"/>
  <c r="E24425" i="5"/>
  <c r="E24417" i="5"/>
  <c r="E24409" i="5"/>
  <c r="E24401" i="5"/>
  <c r="E24393" i="5"/>
  <c r="E24385" i="5"/>
  <c r="E24377" i="5"/>
  <c r="E24369" i="5"/>
  <c r="E24361" i="5"/>
  <c r="E24353" i="5"/>
  <c r="E24345" i="5"/>
  <c r="E24337" i="5"/>
  <c r="E24329" i="5"/>
  <c r="E24321" i="5"/>
  <c r="E24313" i="5"/>
  <c r="E24305" i="5"/>
  <c r="E24297" i="5"/>
  <c r="E24289" i="5"/>
  <c r="E24281" i="5"/>
  <c r="E24273" i="5"/>
  <c r="E24265" i="5"/>
  <c r="E24257" i="5"/>
  <c r="E24249" i="5"/>
  <c r="E24241" i="5"/>
  <c r="E24233" i="5"/>
  <c r="E24225" i="5"/>
  <c r="E24217" i="5"/>
  <c r="E24209" i="5"/>
  <c r="E24201" i="5"/>
  <c r="E24193" i="5"/>
  <c r="E24185" i="5"/>
  <c r="E24177" i="5"/>
  <c r="E24169" i="5"/>
  <c r="E24161" i="5"/>
  <c r="E24153" i="5"/>
  <c r="E24145" i="5"/>
  <c r="E24137" i="5"/>
  <c r="E24129" i="5"/>
  <c r="E24121" i="5"/>
  <c r="E24113" i="5"/>
  <c r="E24105" i="5"/>
  <c r="E24097" i="5"/>
  <c r="E24089" i="5"/>
  <c r="E24081" i="5"/>
  <c r="E24073" i="5"/>
  <c r="E24065" i="5"/>
  <c r="E24057" i="5"/>
  <c r="E24049" i="5"/>
  <c r="E24041" i="5"/>
  <c r="E24033" i="5"/>
  <c r="E24025" i="5"/>
  <c r="E24017" i="5"/>
  <c r="E24009" i="5"/>
  <c r="E24001" i="5"/>
  <c r="E23993" i="5"/>
  <c r="E23985" i="5"/>
  <c r="E23977" i="5"/>
  <c r="E23969" i="5"/>
  <c r="E41574" i="5"/>
  <c r="E41558" i="5"/>
  <c r="E41542" i="5"/>
  <c r="E41526" i="5"/>
  <c r="E41510" i="5"/>
  <c r="E41494" i="5"/>
  <c r="E41478" i="5"/>
  <c r="E41462" i="5"/>
  <c r="E41446" i="5"/>
  <c r="E41430" i="5"/>
  <c r="E41414" i="5"/>
  <c r="E41398" i="5"/>
  <c r="E41382" i="5"/>
  <c r="E41366" i="5"/>
  <c r="E41350" i="5"/>
  <c r="E41334" i="5"/>
  <c r="E41318" i="5"/>
  <c r="E41302" i="5"/>
  <c r="E41286" i="5"/>
  <c r="E41270" i="5"/>
  <c r="E41254" i="5"/>
  <c r="E41238" i="5"/>
  <c r="E41222" i="5"/>
  <c r="E41206" i="5"/>
  <c r="E41190" i="5"/>
  <c r="E41174" i="5"/>
  <c r="E41158" i="5"/>
  <c r="E41142" i="5"/>
  <c r="E41126" i="5"/>
  <c r="E41110" i="5"/>
  <c r="E41094" i="5"/>
  <c r="E41078" i="5"/>
  <c r="E41062" i="5"/>
  <c r="E41046" i="5"/>
  <c r="E41030" i="5"/>
  <c r="E41014" i="5"/>
  <c r="E40998" i="5"/>
  <c r="E40982" i="5"/>
  <c r="E40966" i="5"/>
  <c r="E40950" i="5"/>
  <c r="E40934" i="5"/>
  <c r="E40918" i="5"/>
  <c r="E40902" i="5"/>
  <c r="E40886" i="5"/>
  <c r="E40870" i="5"/>
  <c r="E40857" i="5"/>
  <c r="E40844" i="5"/>
  <c r="E40832" i="5"/>
  <c r="E40819" i="5"/>
  <c r="E40806" i="5"/>
  <c r="E40793" i="5"/>
  <c r="E40780" i="5"/>
  <c r="E40768" i="5"/>
  <c r="E40755" i="5"/>
  <c r="E40742" i="5"/>
  <c r="E40729" i="5"/>
  <c r="E40716" i="5"/>
  <c r="E40704" i="5"/>
  <c r="E40691" i="5"/>
  <c r="E40678" i="5"/>
  <c r="E40665" i="5"/>
  <c r="E40652" i="5"/>
  <c r="E40640" i="5"/>
  <c r="E40627" i="5"/>
  <c r="E40614" i="5"/>
  <c r="E40601" i="5"/>
  <c r="E40588" i="5"/>
  <c r="E40576" i="5"/>
  <c r="E40563" i="5"/>
  <c r="E40550" i="5"/>
  <c r="E40537" i="5"/>
  <c r="E40524" i="5"/>
  <c r="E40512" i="5"/>
  <c r="E40499" i="5"/>
  <c r="E40486" i="5"/>
  <c r="E40473" i="5"/>
  <c r="E40460" i="5"/>
  <c r="E40448" i="5"/>
  <c r="E40435" i="5"/>
  <c r="E40422" i="5"/>
  <c r="E40409" i="5"/>
  <c r="E40396" i="5"/>
  <c r="E40384" i="5"/>
  <c r="E40371" i="5"/>
  <c r="E40358" i="5"/>
  <c r="E40345" i="5"/>
  <c r="E40332" i="5"/>
  <c r="E40320" i="5"/>
  <c r="E40307" i="5"/>
  <c r="E40294" i="5"/>
  <c r="E40281" i="5"/>
  <c r="E40268" i="5"/>
  <c r="E40256" i="5"/>
  <c r="E40243" i="5"/>
  <c r="E40230" i="5"/>
  <c r="E40217" i="5"/>
  <c r="E40204" i="5"/>
  <c r="E40192" i="5"/>
  <c r="E40179" i="5"/>
  <c r="E40166" i="5"/>
  <c r="E40153" i="5"/>
  <c r="E40140" i="5"/>
  <c r="E40128" i="5"/>
  <c r="E40115" i="5"/>
  <c r="E40102" i="5"/>
  <c r="E40089" i="5"/>
  <c r="E40076" i="5"/>
  <c r="E40064" i="5"/>
  <c r="E40051" i="5"/>
  <c r="E40038" i="5"/>
  <c r="E40025" i="5"/>
  <c r="E40012" i="5"/>
  <c r="E40000" i="5"/>
  <c r="E39987" i="5"/>
  <c r="E39974" i="5"/>
  <c r="E39961" i="5"/>
  <c r="E39948" i="5"/>
  <c r="E39936" i="5"/>
  <c r="E39923" i="5"/>
  <c r="E39910" i="5"/>
  <c r="E39897" i="5"/>
  <c r="E39884" i="5"/>
  <c r="E39872" i="5"/>
  <c r="E39859" i="5"/>
  <c r="E39846" i="5"/>
  <c r="E39833" i="5"/>
  <c r="E39820" i="5"/>
  <c r="E39808" i="5"/>
  <c r="E39795" i="5"/>
  <c r="E39782" i="5"/>
  <c r="E39769" i="5"/>
  <c r="E39756" i="5"/>
  <c r="E39744" i="5"/>
  <c r="E39731" i="5"/>
  <c r="E39718" i="5"/>
  <c r="E39705" i="5"/>
  <c r="E39692" i="5"/>
  <c r="E39680" i="5"/>
  <c r="E39667" i="5"/>
  <c r="E39654" i="5"/>
  <c r="E39641" i="5"/>
  <c r="E39628" i="5"/>
  <c r="E39616" i="5"/>
  <c r="E39603" i="5"/>
  <c r="E39590" i="5"/>
  <c r="E39577" i="5"/>
  <c r="E39564" i="5"/>
  <c r="E39552" i="5"/>
  <c r="E39539" i="5"/>
  <c r="E39526" i="5"/>
  <c r="E39513" i="5"/>
  <c r="E39500" i="5"/>
  <c r="E39488" i="5"/>
  <c r="E39475" i="5"/>
  <c r="E39462" i="5"/>
  <c r="E39449" i="5"/>
  <c r="E39436" i="5"/>
  <c r="E39424" i="5"/>
  <c r="E39411" i="5"/>
  <c r="E39398" i="5"/>
  <c r="E39385" i="5"/>
  <c r="E39372" i="5"/>
  <c r="E39360" i="5"/>
  <c r="E39347" i="5"/>
  <c r="E39334" i="5"/>
  <c r="E39321" i="5"/>
  <c r="E39308" i="5"/>
  <c r="E39296" i="5"/>
  <c r="E39283" i="5"/>
  <c r="E39270" i="5"/>
  <c r="E39258" i="5"/>
  <c r="E39248" i="5"/>
  <c r="E39236" i="5"/>
  <c r="E39226" i="5"/>
  <c r="E39216" i="5"/>
  <c r="E39204" i="5"/>
  <c r="E39194" i="5"/>
  <c r="E39184" i="5"/>
  <c r="E39172" i="5"/>
  <c r="E39162" i="5"/>
  <c r="E39152" i="5"/>
  <c r="E39144" i="5"/>
  <c r="E39136" i="5"/>
  <c r="E39128" i="5"/>
  <c r="E39120" i="5"/>
  <c r="E39112" i="5"/>
  <c r="E39104" i="5"/>
  <c r="E39096" i="5"/>
  <c r="E39088" i="5"/>
  <c r="E39080" i="5"/>
  <c r="E39072" i="5"/>
  <c r="E39064" i="5"/>
  <c r="E39056" i="5"/>
  <c r="E39048" i="5"/>
  <c r="E39040" i="5"/>
  <c r="E39032" i="5"/>
  <c r="E39024" i="5"/>
  <c r="E39016" i="5"/>
  <c r="E39008" i="5"/>
  <c r="E39000" i="5"/>
  <c r="E38992" i="5"/>
  <c r="E38984" i="5"/>
  <c r="E38976" i="5"/>
  <c r="E38968" i="5"/>
  <c r="E38960" i="5"/>
  <c r="E38952" i="5"/>
  <c r="E38944" i="5"/>
  <c r="E38936" i="5"/>
  <c r="E38928" i="5"/>
  <c r="E38920" i="5"/>
  <c r="E38912" i="5"/>
  <c r="E38904" i="5"/>
  <c r="E38896" i="5"/>
  <c r="E38888" i="5"/>
  <c r="E38880" i="5"/>
  <c r="E38872" i="5"/>
  <c r="E38864" i="5"/>
  <c r="E38856" i="5"/>
  <c r="E38848" i="5"/>
  <c r="E38840" i="5"/>
  <c r="E38832" i="5"/>
  <c r="E38824" i="5"/>
  <c r="E38816" i="5"/>
  <c r="E38808" i="5"/>
  <c r="E38800" i="5"/>
  <c r="E38792" i="5"/>
  <c r="E38784" i="5"/>
  <c r="E38776" i="5"/>
  <c r="E38768" i="5"/>
  <c r="E38760" i="5"/>
  <c r="E38752" i="5"/>
  <c r="E38744" i="5"/>
  <c r="E38736" i="5"/>
  <c r="E38728" i="5"/>
  <c r="E38720" i="5"/>
  <c r="E38712" i="5"/>
  <c r="E38704" i="5"/>
  <c r="E38696" i="5"/>
  <c r="E38688" i="5"/>
  <c r="E38680" i="5"/>
  <c r="E38672" i="5"/>
  <c r="E38664" i="5"/>
  <c r="E38656" i="5"/>
  <c r="E38648" i="5"/>
  <c r="E38640" i="5"/>
  <c r="E38632" i="5"/>
  <c r="E38624" i="5"/>
  <c r="E38616" i="5"/>
  <c r="E38608" i="5"/>
  <c r="E38600" i="5"/>
  <c r="E38592" i="5"/>
  <c r="E38584" i="5"/>
  <c r="E38576" i="5"/>
  <c r="E38568" i="5"/>
  <c r="E38560" i="5"/>
  <c r="E38552" i="5"/>
  <c r="E38544" i="5"/>
  <c r="E38536" i="5"/>
  <c r="E38528" i="5"/>
  <c r="E38520" i="5"/>
  <c r="E38512" i="5"/>
  <c r="E38504" i="5"/>
  <c r="E38496" i="5"/>
  <c r="E38488" i="5"/>
  <c r="E38480" i="5"/>
  <c r="E38472" i="5"/>
  <c r="E38464" i="5"/>
  <c r="E38456" i="5"/>
  <c r="E38448" i="5"/>
  <c r="E38440" i="5"/>
  <c r="E38432" i="5"/>
  <c r="E38424" i="5"/>
  <c r="E38416" i="5"/>
  <c r="E38408" i="5"/>
  <c r="E38400" i="5"/>
  <c r="E38392" i="5"/>
  <c r="E38384" i="5"/>
  <c r="E38376" i="5"/>
  <c r="E38368" i="5"/>
  <c r="E38360" i="5"/>
  <c r="E38352" i="5"/>
  <c r="E38344" i="5"/>
  <c r="E38336" i="5"/>
  <c r="E38328" i="5"/>
  <c r="E38320" i="5"/>
  <c r="E38312" i="5"/>
  <c r="E38304" i="5"/>
  <c r="E38296" i="5"/>
  <c r="E38288" i="5"/>
  <c r="E38280" i="5"/>
  <c r="E38272" i="5"/>
  <c r="E38264" i="5"/>
  <c r="E38256" i="5"/>
  <c r="E38248" i="5"/>
  <c r="E38240" i="5"/>
  <c r="E38232" i="5"/>
  <c r="E38224" i="5"/>
  <c r="E38216" i="5"/>
  <c r="E38208" i="5"/>
  <c r="E38200" i="5"/>
  <c r="E38192" i="5"/>
  <c r="E38184" i="5"/>
  <c r="E38176" i="5"/>
  <c r="E38168" i="5"/>
  <c r="E38160" i="5"/>
  <c r="E38152" i="5"/>
  <c r="E38144" i="5"/>
  <c r="E38136" i="5"/>
  <c r="E38128" i="5"/>
  <c r="E38120" i="5"/>
  <c r="E38112" i="5"/>
  <c r="E38104" i="5"/>
  <c r="E38096" i="5"/>
  <c r="E38088" i="5"/>
  <c r="E38080" i="5"/>
  <c r="E38072" i="5"/>
  <c r="E38064" i="5"/>
  <c r="E38056" i="5"/>
  <c r="E38048" i="5"/>
  <c r="E38040" i="5"/>
  <c r="E38032" i="5"/>
  <c r="E38024" i="5"/>
  <c r="E38016" i="5"/>
  <c r="E38008" i="5"/>
  <c r="E38000" i="5"/>
  <c r="E37992" i="5"/>
  <c r="E37984" i="5"/>
  <c r="E37976" i="5"/>
  <c r="E37968" i="5"/>
  <c r="E37960" i="5"/>
  <c r="E37952" i="5"/>
  <c r="E37944" i="5"/>
  <c r="E37936" i="5"/>
  <c r="E37928" i="5"/>
  <c r="E37920" i="5"/>
  <c r="E37912" i="5"/>
  <c r="E37904" i="5"/>
  <c r="E37896" i="5"/>
  <c r="E37888" i="5"/>
  <c r="E37880" i="5"/>
  <c r="E37872" i="5"/>
  <c r="E37864" i="5"/>
  <c r="E37856" i="5"/>
  <c r="E37848" i="5"/>
  <c r="E37840" i="5"/>
  <c r="E37832" i="5"/>
  <c r="E37824" i="5"/>
  <c r="E37816" i="5"/>
  <c r="E37808" i="5"/>
  <c r="E37800" i="5"/>
  <c r="E37792" i="5"/>
  <c r="E37784" i="5"/>
  <c r="E37776" i="5"/>
  <c r="E37768" i="5"/>
  <c r="E37760" i="5"/>
  <c r="E37752" i="5"/>
  <c r="E37744" i="5"/>
  <c r="E37736" i="5"/>
  <c r="E37728" i="5"/>
  <c r="E37720" i="5"/>
  <c r="E37712" i="5"/>
  <c r="E37704" i="5"/>
  <c r="E37696" i="5"/>
  <c r="E37688" i="5"/>
  <c r="E37680" i="5"/>
  <c r="E37672" i="5"/>
  <c r="E37664" i="5"/>
  <c r="E37656" i="5"/>
  <c r="E37648" i="5"/>
  <c r="E37640" i="5"/>
  <c r="E37632" i="5"/>
  <c r="E37624" i="5"/>
  <c r="E37616" i="5"/>
  <c r="E37608" i="5"/>
  <c r="E37600" i="5"/>
  <c r="E37592" i="5"/>
  <c r="E37584" i="5"/>
  <c r="E37576" i="5"/>
  <c r="E37568" i="5"/>
  <c r="E37560" i="5"/>
  <c r="E37552" i="5"/>
  <c r="E37544" i="5"/>
  <c r="E37536" i="5"/>
  <c r="E37528" i="5"/>
  <c r="E37520" i="5"/>
  <c r="E37512" i="5"/>
  <c r="E37504" i="5"/>
  <c r="E37496" i="5"/>
  <c r="E37488" i="5"/>
  <c r="E37480" i="5"/>
  <c r="E37472" i="5"/>
  <c r="E37464" i="5"/>
  <c r="E37456" i="5"/>
  <c r="E37448" i="5"/>
  <c r="E37440" i="5"/>
  <c r="E37432" i="5"/>
  <c r="E37424" i="5"/>
  <c r="E37416" i="5"/>
  <c r="E37408" i="5"/>
  <c r="E37400" i="5"/>
  <c r="E37392" i="5"/>
  <c r="E37384" i="5"/>
  <c r="E37376" i="5"/>
  <c r="E37368" i="5"/>
  <c r="E37360" i="5"/>
  <c r="E37352" i="5"/>
  <c r="E37344" i="5"/>
  <c r="E37336" i="5"/>
  <c r="E37328" i="5"/>
  <c r="E37320" i="5"/>
  <c r="E37312" i="5"/>
  <c r="E37304" i="5"/>
  <c r="E37296" i="5"/>
  <c r="E37288" i="5"/>
  <c r="E37280" i="5"/>
  <c r="E37272" i="5"/>
  <c r="E37264" i="5"/>
  <c r="E37256" i="5"/>
  <c r="E37248" i="5"/>
  <c r="E37240" i="5"/>
  <c r="E37232" i="5"/>
  <c r="E37224" i="5"/>
  <c r="E37216" i="5"/>
  <c r="E37208" i="5"/>
  <c r="E37200" i="5"/>
  <c r="E37192" i="5"/>
  <c r="E37184" i="5"/>
  <c r="E37176" i="5"/>
  <c r="E37168" i="5"/>
  <c r="E37160" i="5"/>
  <c r="E37152" i="5"/>
  <c r="E37144" i="5"/>
  <c r="E37136" i="5"/>
  <c r="E37128" i="5"/>
  <c r="E37120" i="5"/>
  <c r="E37112" i="5"/>
  <c r="E37104" i="5"/>
  <c r="E37096" i="5"/>
  <c r="E37088" i="5"/>
  <c r="E37080" i="5"/>
  <c r="E37072" i="5"/>
  <c r="E37064" i="5"/>
  <c r="E37056" i="5"/>
  <c r="E37048" i="5"/>
  <c r="E37040" i="5"/>
  <c r="E37032" i="5"/>
  <c r="E37024" i="5"/>
  <c r="E37016" i="5"/>
  <c r="E37008" i="5"/>
  <c r="E37000" i="5"/>
  <c r="E36992" i="5"/>
  <c r="E36984" i="5"/>
  <c r="E36976" i="5"/>
  <c r="E36968" i="5"/>
  <c r="E36960" i="5"/>
  <c r="E36952" i="5"/>
  <c r="E36944" i="5"/>
  <c r="E36936" i="5"/>
  <c r="E36928" i="5"/>
  <c r="E36920" i="5"/>
  <c r="E36912" i="5"/>
  <c r="E36904" i="5"/>
  <c r="E36896" i="5"/>
  <c r="E36888" i="5"/>
  <c r="E36880" i="5"/>
  <c r="E36872" i="5"/>
  <c r="E36864" i="5"/>
  <c r="E36856" i="5"/>
  <c r="E36848" i="5"/>
  <c r="E36840" i="5"/>
  <c r="E36832" i="5"/>
  <c r="E36824" i="5"/>
  <c r="E36816" i="5"/>
  <c r="E36808" i="5"/>
  <c r="E36800" i="5"/>
  <c r="E36792" i="5"/>
  <c r="E36784" i="5"/>
  <c r="E36776" i="5"/>
  <c r="E36768" i="5"/>
  <c r="E36760" i="5"/>
  <c r="E36752" i="5"/>
  <c r="E36744" i="5"/>
  <c r="E36736" i="5"/>
  <c r="E36728" i="5"/>
  <c r="E36720" i="5"/>
  <c r="E36712" i="5"/>
  <c r="E36704" i="5"/>
  <c r="E36696" i="5"/>
  <c r="E36688" i="5"/>
  <c r="E36680" i="5"/>
  <c r="E36672" i="5"/>
  <c r="E36664" i="5"/>
  <c r="E36656" i="5"/>
  <c r="E36648" i="5"/>
  <c r="E36640" i="5"/>
  <c r="E36632" i="5"/>
  <c r="E36624" i="5"/>
  <c r="E36616" i="5"/>
  <c r="E36608" i="5"/>
  <c r="E36600" i="5"/>
  <c r="E36592" i="5"/>
  <c r="E36584" i="5"/>
  <c r="E36576" i="5"/>
  <c r="E36568" i="5"/>
  <c r="E36560" i="5"/>
  <c r="E36552" i="5"/>
  <c r="E36544" i="5"/>
  <c r="E36536" i="5"/>
  <c r="E36528" i="5"/>
  <c r="E36520" i="5"/>
  <c r="E36512" i="5"/>
  <c r="E36504" i="5"/>
  <c r="E36496" i="5"/>
  <c r="E36488" i="5"/>
  <c r="E36480" i="5"/>
  <c r="E36472" i="5"/>
  <c r="E36464" i="5"/>
  <c r="E36456" i="5"/>
  <c r="E36448" i="5"/>
  <c r="E36440" i="5"/>
  <c r="E36432" i="5"/>
  <c r="E36424" i="5"/>
  <c r="E36416" i="5"/>
  <c r="E36408" i="5"/>
  <c r="E36400" i="5"/>
  <c r="E36392" i="5"/>
  <c r="E36384" i="5"/>
  <c r="E36376" i="5"/>
  <c r="E36368" i="5"/>
  <c r="E36360" i="5"/>
  <c r="E36352" i="5"/>
  <c r="E36344" i="5"/>
  <c r="E36336" i="5"/>
  <c r="E36328" i="5"/>
  <c r="E36320" i="5"/>
  <c r="E36312" i="5"/>
  <c r="E36304" i="5"/>
  <c r="E36296" i="5"/>
  <c r="E36288" i="5"/>
  <c r="E36280" i="5"/>
  <c r="E36272" i="5"/>
  <c r="E36264" i="5"/>
  <c r="E36256" i="5"/>
  <c r="E36248" i="5"/>
  <c r="E36240" i="5"/>
  <c r="E36232" i="5"/>
  <c r="E36224" i="5"/>
  <c r="E36216" i="5"/>
  <c r="E36208" i="5"/>
  <c r="E36200" i="5"/>
  <c r="E36192" i="5"/>
  <c r="E36184" i="5"/>
  <c r="E36176" i="5"/>
  <c r="E36168" i="5"/>
  <c r="E36160" i="5"/>
  <c r="E36152" i="5"/>
  <c r="E36144" i="5"/>
  <c r="E36136" i="5"/>
  <c r="E36128" i="5"/>
  <c r="E36120" i="5"/>
  <c r="E36112" i="5"/>
  <c r="E36104" i="5"/>
  <c r="E36096" i="5"/>
  <c r="E36088" i="5"/>
  <c r="E36080" i="5"/>
  <c r="E36072" i="5"/>
  <c r="E36064" i="5"/>
  <c r="E36056" i="5"/>
  <c r="E36048" i="5"/>
  <c r="E36040" i="5"/>
  <c r="E36032" i="5"/>
  <c r="E36024" i="5"/>
  <c r="E36016" i="5"/>
  <c r="E36008" i="5"/>
  <c r="E36000" i="5"/>
  <c r="E35992" i="5"/>
  <c r="E35984" i="5"/>
  <c r="E35976" i="5"/>
  <c r="E35968" i="5"/>
  <c r="E35960" i="5"/>
  <c r="E35952" i="5"/>
  <c r="E35944" i="5"/>
  <c r="E35936" i="5"/>
  <c r="E35928" i="5"/>
  <c r="E35920" i="5"/>
  <c r="E35912" i="5"/>
  <c r="E35904" i="5"/>
  <c r="E35896" i="5"/>
  <c r="E35888" i="5"/>
  <c r="E35880" i="5"/>
  <c r="E35872" i="5"/>
  <c r="E35864" i="5"/>
  <c r="E35856" i="5"/>
  <c r="E35848" i="5"/>
  <c r="E35840" i="5"/>
  <c r="E35832" i="5"/>
  <c r="E35824" i="5"/>
  <c r="E35816" i="5"/>
  <c r="E35808" i="5"/>
  <c r="E35800" i="5"/>
  <c r="E35792" i="5"/>
  <c r="E35784" i="5"/>
  <c r="E35776" i="5"/>
  <c r="E35768" i="5"/>
  <c r="E35760" i="5"/>
  <c r="E35752" i="5"/>
  <c r="E35744" i="5"/>
  <c r="E35736" i="5"/>
  <c r="E35728" i="5"/>
  <c r="E35720" i="5"/>
  <c r="E35712" i="5"/>
  <c r="E35704" i="5"/>
  <c r="E35696" i="5"/>
  <c r="E35688" i="5"/>
  <c r="E35680" i="5"/>
  <c r="E35672" i="5"/>
  <c r="E35664" i="5"/>
  <c r="E35656" i="5"/>
  <c r="E35648" i="5"/>
  <c r="E35640" i="5"/>
  <c r="E35632" i="5"/>
  <c r="E35624" i="5"/>
  <c r="E35616" i="5"/>
  <c r="E35608" i="5"/>
  <c r="E35600" i="5"/>
  <c r="E35592" i="5"/>
  <c r="E35584" i="5"/>
  <c r="E35576" i="5"/>
  <c r="E35568" i="5"/>
  <c r="E35560" i="5"/>
  <c r="E35552" i="5"/>
  <c r="E35544" i="5"/>
  <c r="E35536" i="5"/>
  <c r="E35528" i="5"/>
  <c r="E35520" i="5"/>
  <c r="E35512" i="5"/>
  <c r="E35504" i="5"/>
  <c r="E35496" i="5"/>
  <c r="E35488" i="5"/>
  <c r="E35480" i="5"/>
  <c r="E35472" i="5"/>
  <c r="E35464" i="5"/>
  <c r="E35456" i="5"/>
  <c r="E35448" i="5"/>
  <c r="E35440" i="5"/>
  <c r="E35432" i="5"/>
  <c r="E35424" i="5"/>
  <c r="E35416" i="5"/>
  <c r="E35408" i="5"/>
  <c r="E35400" i="5"/>
  <c r="E35392" i="5"/>
  <c r="E35384" i="5"/>
  <c r="E35376" i="5"/>
  <c r="E35368" i="5"/>
  <c r="E35360" i="5"/>
  <c r="E35352" i="5"/>
  <c r="E35344" i="5"/>
  <c r="E35336" i="5"/>
  <c r="E35328" i="5"/>
  <c r="E35320" i="5"/>
  <c r="E35312" i="5"/>
  <c r="E35304" i="5"/>
  <c r="E35296" i="5"/>
  <c r="E35288" i="5"/>
  <c r="E35280" i="5"/>
  <c r="E35272" i="5"/>
  <c r="E35264" i="5"/>
  <c r="E35256" i="5"/>
  <c r="E35248" i="5"/>
  <c r="E35240" i="5"/>
  <c r="E35232" i="5"/>
  <c r="E35224" i="5"/>
  <c r="E35216" i="5"/>
  <c r="E35208" i="5"/>
  <c r="E35200" i="5"/>
  <c r="E35192" i="5"/>
  <c r="E35184" i="5"/>
  <c r="E35176" i="5"/>
  <c r="E35168" i="5"/>
  <c r="E35160" i="5"/>
  <c r="E35152" i="5"/>
  <c r="E35144" i="5"/>
  <c r="E35136" i="5"/>
  <c r="E35128" i="5"/>
  <c r="E35120" i="5"/>
  <c r="E35112" i="5"/>
  <c r="E35104" i="5"/>
  <c r="E35096" i="5"/>
  <c r="E35088" i="5"/>
  <c r="E35080" i="5"/>
  <c r="E35072" i="5"/>
  <c r="E35064" i="5"/>
  <c r="E35056" i="5"/>
  <c r="E35048" i="5"/>
  <c r="E35040" i="5"/>
  <c r="E35032" i="5"/>
  <c r="E35024" i="5"/>
  <c r="E35016" i="5"/>
  <c r="E35008" i="5"/>
  <c r="E35000" i="5"/>
  <c r="E34992" i="5"/>
  <c r="E34984" i="5"/>
  <c r="E34976" i="5"/>
  <c r="E34968" i="5"/>
  <c r="E34960" i="5"/>
  <c r="E34952" i="5"/>
  <c r="E34944" i="5"/>
  <c r="E34936" i="5"/>
  <c r="E34928" i="5"/>
  <c r="E34920" i="5"/>
  <c r="E34912" i="5"/>
  <c r="E34904" i="5"/>
  <c r="E34896" i="5"/>
  <c r="E34888" i="5"/>
  <c r="E34880" i="5"/>
  <c r="E34872" i="5"/>
  <c r="E34864" i="5"/>
  <c r="E34856" i="5"/>
  <c r="E34848" i="5"/>
  <c r="E34840" i="5"/>
  <c r="E34832" i="5"/>
  <c r="E34824" i="5"/>
  <c r="E34816" i="5"/>
  <c r="E34808" i="5"/>
  <c r="E34800" i="5"/>
  <c r="E34792" i="5"/>
  <c r="E34784" i="5"/>
  <c r="E34776" i="5"/>
  <c r="E34768" i="5"/>
  <c r="E34760" i="5"/>
  <c r="E34752" i="5"/>
  <c r="E34744" i="5"/>
  <c r="E34736" i="5"/>
  <c r="E34728" i="5"/>
  <c r="E34720" i="5"/>
  <c r="E34712" i="5"/>
  <c r="E34704" i="5"/>
  <c r="E34696" i="5"/>
  <c r="E34688" i="5"/>
  <c r="E34680" i="5"/>
  <c r="E34672" i="5"/>
  <c r="E34664" i="5"/>
  <c r="E34656" i="5"/>
  <c r="E34648" i="5"/>
  <c r="E34640" i="5"/>
  <c r="E34632" i="5"/>
  <c r="E34624" i="5"/>
  <c r="E34616" i="5"/>
  <c r="E34608" i="5"/>
  <c r="E34600" i="5"/>
  <c r="E34592" i="5"/>
  <c r="E34584" i="5"/>
  <c r="E34576" i="5"/>
  <c r="E34568" i="5"/>
  <c r="E34560" i="5"/>
  <c r="E34552" i="5"/>
  <c r="E34544" i="5"/>
  <c r="E34536" i="5"/>
  <c r="E34528" i="5"/>
  <c r="E34520" i="5"/>
  <c r="E34512" i="5"/>
  <c r="E34504" i="5"/>
  <c r="E34496" i="5"/>
  <c r="E34488" i="5"/>
  <c r="E34480" i="5"/>
  <c r="E34472" i="5"/>
  <c r="E34464" i="5"/>
  <c r="E34456" i="5"/>
  <c r="E34448" i="5"/>
  <c r="E34440" i="5"/>
  <c r="E34432" i="5"/>
  <c r="E34424" i="5"/>
  <c r="E34416" i="5"/>
  <c r="E34408" i="5"/>
  <c r="E34400" i="5"/>
  <c r="E34392" i="5"/>
  <c r="E34384" i="5"/>
  <c r="E34376" i="5"/>
  <c r="E34368" i="5"/>
  <c r="E34360" i="5"/>
  <c r="E34352" i="5"/>
  <c r="E34344" i="5"/>
  <c r="E34336" i="5"/>
  <c r="E34328" i="5"/>
  <c r="E34320" i="5"/>
  <c r="E34312" i="5"/>
  <c r="E34304" i="5"/>
  <c r="E34296" i="5"/>
  <c r="E34288" i="5"/>
  <c r="E34280" i="5"/>
  <c r="E34272" i="5"/>
  <c r="E34264" i="5"/>
  <c r="E34256" i="5"/>
  <c r="E34248" i="5"/>
  <c r="E34240" i="5"/>
  <c r="E34232" i="5"/>
  <c r="E34224" i="5"/>
  <c r="E34216" i="5"/>
  <c r="E34208" i="5"/>
  <c r="E34200" i="5"/>
  <c r="E34192" i="5"/>
  <c r="E34184" i="5"/>
  <c r="E34176" i="5"/>
  <c r="E34168" i="5"/>
  <c r="E34160" i="5"/>
  <c r="E34152" i="5"/>
  <c r="E34144" i="5"/>
  <c r="E34136" i="5"/>
  <c r="E34128" i="5"/>
  <c r="E34120" i="5"/>
  <c r="E34112" i="5"/>
  <c r="E34104" i="5"/>
  <c r="E34096" i="5"/>
  <c r="E34088" i="5"/>
  <c r="E34080" i="5"/>
  <c r="E34072" i="5"/>
  <c r="E34064" i="5"/>
  <c r="E34056" i="5"/>
  <c r="E34048" i="5"/>
  <c r="E34040" i="5"/>
  <c r="E34032" i="5"/>
  <c r="E34024" i="5"/>
  <c r="E34016" i="5"/>
  <c r="E34008" i="5"/>
  <c r="E34000" i="5"/>
  <c r="E33992" i="5"/>
  <c r="E33984" i="5"/>
  <c r="E33976" i="5"/>
  <c r="E33968" i="5"/>
  <c r="E33960" i="5"/>
  <c r="E33952" i="5"/>
  <c r="E33944" i="5"/>
  <c r="E33936" i="5"/>
  <c r="E33928" i="5"/>
  <c r="E33920" i="5"/>
  <c r="E33912" i="5"/>
  <c r="E33904" i="5"/>
  <c r="E33896" i="5"/>
  <c r="E33888" i="5"/>
  <c r="E33880" i="5"/>
  <c r="E33872" i="5"/>
  <c r="E33864" i="5"/>
  <c r="E33856" i="5"/>
  <c r="E33848" i="5"/>
  <c r="E33840" i="5"/>
  <c r="E33832" i="5"/>
  <c r="E33824" i="5"/>
  <c r="E33816" i="5"/>
  <c r="E33808" i="5"/>
  <c r="E33800" i="5"/>
  <c r="E33792" i="5"/>
  <c r="E33784" i="5"/>
  <c r="E33776" i="5"/>
  <c r="E33768" i="5"/>
  <c r="E33760" i="5"/>
  <c r="E33752" i="5"/>
  <c r="E33744" i="5"/>
  <c r="E33736" i="5"/>
  <c r="E33728" i="5"/>
  <c r="E33720" i="5"/>
  <c r="E33712" i="5"/>
  <c r="E33704" i="5"/>
  <c r="E33696" i="5"/>
  <c r="E33688" i="5"/>
  <c r="E33680" i="5"/>
  <c r="E33672" i="5"/>
  <c r="E33664" i="5"/>
  <c r="E33656" i="5"/>
  <c r="E33648" i="5"/>
  <c r="E33640" i="5"/>
  <c r="E33632" i="5"/>
  <c r="E33624" i="5"/>
  <c r="E33616" i="5"/>
  <c r="E33608" i="5"/>
  <c r="E33600" i="5"/>
  <c r="E33592" i="5"/>
  <c r="E33584" i="5"/>
  <c r="E33576" i="5"/>
  <c r="E33568" i="5"/>
  <c r="E33560" i="5"/>
  <c r="E33552" i="5"/>
  <c r="E33544" i="5"/>
  <c r="E33536" i="5"/>
  <c r="E33528" i="5"/>
  <c r="E33520" i="5"/>
  <c r="E33512" i="5"/>
  <c r="E33504" i="5"/>
  <c r="E33496" i="5"/>
  <c r="E33488" i="5"/>
  <c r="E33480" i="5"/>
  <c r="E33472" i="5"/>
  <c r="E33464" i="5"/>
  <c r="E33456" i="5"/>
  <c r="E33448" i="5"/>
  <c r="E33440" i="5"/>
  <c r="E33432" i="5"/>
  <c r="E33424" i="5"/>
  <c r="E33416" i="5"/>
  <c r="E33408" i="5"/>
  <c r="E33400" i="5"/>
  <c r="E33392" i="5"/>
  <c r="E33384" i="5"/>
  <c r="E33376" i="5"/>
  <c r="E33368" i="5"/>
  <c r="E33360" i="5"/>
  <c r="E33352" i="5"/>
  <c r="E33344" i="5"/>
  <c r="E33336" i="5"/>
  <c r="E33328" i="5"/>
  <c r="E33320" i="5"/>
  <c r="E33312" i="5"/>
  <c r="E33304" i="5"/>
  <c r="E33296" i="5"/>
  <c r="E33288" i="5"/>
  <c r="E33280" i="5"/>
  <c r="E33272" i="5"/>
  <c r="E33264" i="5"/>
  <c r="E33256" i="5"/>
  <c r="E33248" i="5"/>
  <c r="E33240" i="5"/>
  <c r="E33232" i="5"/>
  <c r="E33224" i="5"/>
  <c r="E33216" i="5"/>
  <c r="E33208" i="5"/>
  <c r="E33200" i="5"/>
  <c r="E33192" i="5"/>
  <c r="E33184" i="5"/>
  <c r="E33176" i="5"/>
  <c r="E33168" i="5"/>
  <c r="E33160" i="5"/>
  <c r="E33152" i="5"/>
  <c r="E33144" i="5"/>
  <c r="E33136" i="5"/>
  <c r="E33128" i="5"/>
  <c r="E33120" i="5"/>
  <c r="E33112" i="5"/>
  <c r="E33104" i="5"/>
  <c r="E33096" i="5"/>
  <c r="E33088" i="5"/>
  <c r="E33080" i="5"/>
  <c r="E33072" i="5"/>
  <c r="E33064" i="5"/>
  <c r="E33056" i="5"/>
  <c r="E33048" i="5"/>
  <c r="E33040" i="5"/>
  <c r="E33032" i="5"/>
  <c r="E33024" i="5"/>
  <c r="E33016" i="5"/>
  <c r="E33008" i="5"/>
  <c r="E33000" i="5"/>
  <c r="E32992" i="5"/>
  <c r="E32984" i="5"/>
  <c r="E32976" i="5"/>
  <c r="E32968" i="5"/>
  <c r="E32960" i="5"/>
  <c r="E32952" i="5"/>
  <c r="E32944" i="5"/>
  <c r="E32936" i="5"/>
  <c r="E32928" i="5"/>
  <c r="E32920" i="5"/>
  <c r="E32912" i="5"/>
  <c r="E32904" i="5"/>
  <c r="E32896" i="5"/>
  <c r="E32888" i="5"/>
  <c r="E32880" i="5"/>
  <c r="E32872" i="5"/>
  <c r="E32864" i="5"/>
  <c r="E32856" i="5"/>
  <c r="E32848" i="5"/>
  <c r="E32840" i="5"/>
  <c r="E32832" i="5"/>
  <c r="E32824" i="5"/>
  <c r="E32816" i="5"/>
  <c r="E32808" i="5"/>
  <c r="E32800" i="5"/>
  <c r="E32792" i="5"/>
  <c r="E32784" i="5"/>
  <c r="E32776" i="5"/>
  <c r="E32768" i="5"/>
  <c r="E32760" i="5"/>
  <c r="E32752" i="5"/>
  <c r="E32744" i="5"/>
  <c r="E32736" i="5"/>
  <c r="E32728" i="5"/>
  <c r="E32720" i="5"/>
  <c r="E32712" i="5"/>
  <c r="E32704" i="5"/>
  <c r="E32696" i="5"/>
  <c r="E32688" i="5"/>
  <c r="E32680" i="5"/>
  <c r="E32672" i="5"/>
  <c r="E32664" i="5"/>
  <c r="E32656" i="5"/>
  <c r="E32648" i="5"/>
  <c r="E32640" i="5"/>
  <c r="E32632" i="5"/>
  <c r="E32624" i="5"/>
  <c r="E32616" i="5"/>
  <c r="E32608" i="5"/>
  <c r="E32600" i="5"/>
  <c r="E32592" i="5"/>
  <c r="E32584" i="5"/>
  <c r="E32576" i="5"/>
  <c r="E32568" i="5"/>
  <c r="E32560" i="5"/>
  <c r="E32552" i="5"/>
  <c r="E32544" i="5"/>
  <c r="E32536" i="5"/>
  <c r="E32528" i="5"/>
  <c r="E32520" i="5"/>
  <c r="E32512" i="5"/>
  <c r="E32504" i="5"/>
  <c r="E32496" i="5"/>
  <c r="E32488" i="5"/>
  <c r="E32480" i="5"/>
  <c r="E32472" i="5"/>
  <c r="E32464" i="5"/>
  <c r="E32456" i="5"/>
  <c r="E32448" i="5"/>
  <c r="E32440" i="5"/>
  <c r="E32432" i="5"/>
  <c r="E32424" i="5"/>
  <c r="E32416" i="5"/>
  <c r="E32408" i="5"/>
  <c r="E32400" i="5"/>
  <c r="E32392" i="5"/>
  <c r="E32384" i="5"/>
  <c r="E32376" i="5"/>
  <c r="E32368" i="5"/>
  <c r="E32360" i="5"/>
  <c r="E32352" i="5"/>
  <c r="E32344" i="5"/>
  <c r="E32336" i="5"/>
  <c r="E32328" i="5"/>
  <c r="E32320" i="5"/>
  <c r="E32312" i="5"/>
  <c r="E32304" i="5"/>
  <c r="E32296" i="5"/>
  <c r="E32288" i="5"/>
  <c r="E32280" i="5"/>
  <c r="E32272" i="5"/>
  <c r="E32264" i="5"/>
  <c r="E32256" i="5"/>
  <c r="E32248" i="5"/>
  <c r="E32240" i="5"/>
  <c r="E32232" i="5"/>
  <c r="E32224" i="5"/>
  <c r="E32216" i="5"/>
  <c r="E32208" i="5"/>
  <c r="E32200" i="5"/>
  <c r="E32192" i="5"/>
  <c r="E32184" i="5"/>
  <c r="E32176" i="5"/>
  <c r="E32168" i="5"/>
  <c r="E32160" i="5"/>
  <c r="E32152" i="5"/>
  <c r="E32144" i="5"/>
  <c r="E32136" i="5"/>
  <c r="E32128" i="5"/>
  <c r="E32120" i="5"/>
  <c r="E32112" i="5"/>
  <c r="E32104" i="5"/>
  <c r="E32096" i="5"/>
  <c r="E32088" i="5"/>
  <c r="E32080" i="5"/>
  <c r="E32072" i="5"/>
  <c r="E32064" i="5"/>
  <c r="E32056" i="5"/>
  <c r="E32048" i="5"/>
  <c r="E32040" i="5"/>
  <c r="E32032" i="5"/>
  <c r="E32024" i="5"/>
  <c r="E32016" i="5"/>
  <c r="E32008" i="5"/>
  <c r="E32000" i="5"/>
  <c r="E31992" i="5"/>
  <c r="E31984" i="5"/>
  <c r="E31976" i="5"/>
  <c r="E31968" i="5"/>
  <c r="E31960" i="5"/>
  <c r="E31952" i="5"/>
  <c r="E31944" i="5"/>
  <c r="E31936" i="5"/>
  <c r="E31928" i="5"/>
  <c r="E31920" i="5"/>
  <c r="E31912" i="5"/>
  <c r="E31904" i="5"/>
  <c r="E31896" i="5"/>
  <c r="E31888" i="5"/>
  <c r="E31880" i="5"/>
  <c r="E31872" i="5"/>
  <c r="E31864" i="5"/>
  <c r="E31856" i="5"/>
  <c r="E31848" i="5"/>
  <c r="E31840" i="5"/>
  <c r="E31832" i="5"/>
  <c r="E31824" i="5"/>
  <c r="E31816" i="5"/>
  <c r="E31808" i="5"/>
  <c r="E31800" i="5"/>
  <c r="E31792" i="5"/>
  <c r="E31784" i="5"/>
  <c r="E31776" i="5"/>
  <c r="E31768" i="5"/>
  <c r="E31760" i="5"/>
  <c r="E31752" i="5"/>
  <c r="E31744" i="5"/>
  <c r="E31736" i="5"/>
  <c r="E31728" i="5"/>
  <c r="E31720" i="5"/>
  <c r="E31712" i="5"/>
  <c r="E31704" i="5"/>
  <c r="E31696" i="5"/>
  <c r="E31688" i="5"/>
  <c r="E31680" i="5"/>
  <c r="E31672" i="5"/>
  <c r="E31664" i="5"/>
  <c r="E31656" i="5"/>
  <c r="E31648" i="5"/>
  <c r="E31640" i="5"/>
  <c r="E31632" i="5"/>
  <c r="E31624" i="5"/>
  <c r="E31616" i="5"/>
  <c r="E31608" i="5"/>
  <c r="E31600" i="5"/>
  <c r="E31592" i="5"/>
  <c r="E31584" i="5"/>
  <c r="E31576" i="5"/>
  <c r="E31568" i="5"/>
  <c r="E31560" i="5"/>
  <c r="E31552" i="5"/>
  <c r="E31544" i="5"/>
  <c r="E31536" i="5"/>
  <c r="E31528" i="5"/>
  <c r="E31520" i="5"/>
  <c r="E31512" i="5"/>
  <c r="E31504" i="5"/>
  <c r="E31496" i="5"/>
  <c r="E31488" i="5"/>
  <c r="E31480" i="5"/>
  <c r="E31472" i="5"/>
  <c r="E31464" i="5"/>
  <c r="E31456" i="5"/>
  <c r="E31448" i="5"/>
  <c r="E31440" i="5"/>
  <c r="E31432" i="5"/>
  <c r="E31424" i="5"/>
  <c r="E31416" i="5"/>
  <c r="E31408" i="5"/>
  <c r="E31400" i="5"/>
  <c r="E31392" i="5"/>
  <c r="E31384" i="5"/>
  <c r="E31376" i="5"/>
  <c r="E31368" i="5"/>
  <c r="E31360" i="5"/>
  <c r="E31352" i="5"/>
  <c r="E31344" i="5"/>
  <c r="E31336" i="5"/>
  <c r="E31328" i="5"/>
  <c r="E31320" i="5"/>
  <c r="E31312" i="5"/>
  <c r="E31304" i="5"/>
  <c r="E31296" i="5"/>
  <c r="E31288" i="5"/>
  <c r="E31280" i="5"/>
  <c r="E31272" i="5"/>
  <c r="E31264" i="5"/>
  <c r="E31256" i="5"/>
  <c r="E31248" i="5"/>
  <c r="E31240" i="5"/>
  <c r="E31232" i="5"/>
  <c r="E31224" i="5"/>
  <c r="E31216" i="5"/>
  <c r="E31208" i="5"/>
  <c r="E31200" i="5"/>
  <c r="E31192" i="5"/>
  <c r="E31184" i="5"/>
  <c r="E31176" i="5"/>
  <c r="E31168" i="5"/>
  <c r="E31160" i="5"/>
  <c r="E31152" i="5"/>
  <c r="E31144" i="5"/>
  <c r="E31136" i="5"/>
  <c r="E31128" i="5"/>
  <c r="E31120" i="5"/>
  <c r="E31112" i="5"/>
  <c r="E31104" i="5"/>
  <c r="E31096" i="5"/>
  <c r="E31088" i="5"/>
  <c r="E31080" i="5"/>
  <c r="E31072" i="5"/>
  <c r="E31064" i="5"/>
  <c r="E31056" i="5"/>
  <c r="E31048" i="5"/>
  <c r="E31040" i="5"/>
  <c r="E31032" i="5"/>
  <c r="E31024" i="5"/>
  <c r="E31016" i="5"/>
  <c r="E31008" i="5"/>
  <c r="E31000" i="5"/>
  <c r="E30992" i="5"/>
  <c r="E30984" i="5"/>
  <c r="E30976" i="5"/>
  <c r="E30968" i="5"/>
  <c r="E30960" i="5"/>
  <c r="E30952" i="5"/>
  <c r="E30944" i="5"/>
  <c r="E30936" i="5"/>
  <c r="E30928" i="5"/>
  <c r="E30920" i="5"/>
  <c r="E30912" i="5"/>
  <c r="E30904" i="5"/>
  <c r="E30896" i="5"/>
  <c r="E30888" i="5"/>
  <c r="E30880" i="5"/>
  <c r="E30872" i="5"/>
  <c r="E30864" i="5"/>
  <c r="E30856" i="5"/>
  <c r="E30848" i="5"/>
  <c r="E30840" i="5"/>
  <c r="E30832" i="5"/>
  <c r="E30824" i="5"/>
  <c r="E30816" i="5"/>
  <c r="E30808" i="5"/>
  <c r="E30800" i="5"/>
  <c r="E30792" i="5"/>
  <c r="E30784" i="5"/>
  <c r="E30776" i="5"/>
  <c r="E30768" i="5"/>
  <c r="E30760" i="5"/>
  <c r="E30752" i="5"/>
  <c r="E30744" i="5"/>
  <c r="E30736" i="5"/>
  <c r="E30728" i="5"/>
  <c r="E30720" i="5"/>
  <c r="E30712" i="5"/>
  <c r="E30704" i="5"/>
  <c r="E30696" i="5"/>
  <c r="E30688" i="5"/>
  <c r="E30680" i="5"/>
  <c r="E30672" i="5"/>
  <c r="E30664" i="5"/>
  <c r="E30656" i="5"/>
  <c r="E30648" i="5"/>
  <c r="E30640" i="5"/>
  <c r="E30632" i="5"/>
  <c r="E30624" i="5"/>
  <c r="E30616" i="5"/>
  <c r="E30608" i="5"/>
  <c r="E30600" i="5"/>
  <c r="E30592" i="5"/>
  <c r="E30584" i="5"/>
  <c r="E30576" i="5"/>
  <c r="E30568" i="5"/>
  <c r="E30560" i="5"/>
  <c r="E30552" i="5"/>
  <c r="E30544" i="5"/>
  <c r="E30536" i="5"/>
  <c r="E30528" i="5"/>
  <c r="E30520" i="5"/>
  <c r="E30512" i="5"/>
  <c r="E30504" i="5"/>
  <c r="E30496" i="5"/>
  <c r="E30488" i="5"/>
  <c r="E30480" i="5"/>
  <c r="E30472" i="5"/>
  <c r="E30464" i="5"/>
  <c r="E30456" i="5"/>
  <c r="E30448" i="5"/>
  <c r="E30440" i="5"/>
  <c r="E30432" i="5"/>
  <c r="E30424" i="5"/>
  <c r="E30416" i="5"/>
  <c r="E30408" i="5"/>
  <c r="E30400" i="5"/>
  <c r="E30392" i="5"/>
  <c r="E30384" i="5"/>
  <c r="E30376" i="5"/>
  <c r="E30368" i="5"/>
  <c r="E30360" i="5"/>
  <c r="E30352" i="5"/>
  <c r="E30344" i="5"/>
  <c r="E30336" i="5"/>
  <c r="E30328" i="5"/>
  <c r="E30320" i="5"/>
  <c r="E30312" i="5"/>
  <c r="E30304" i="5"/>
  <c r="E30296" i="5"/>
  <c r="E30288" i="5"/>
  <c r="E30280" i="5"/>
  <c r="E30272" i="5"/>
  <c r="E30264" i="5"/>
  <c r="E30256" i="5"/>
  <c r="E30248" i="5"/>
  <c r="E30240" i="5"/>
  <c r="E30232" i="5"/>
  <c r="E30224" i="5"/>
  <c r="E30216" i="5"/>
  <c r="E30208" i="5"/>
  <c r="E30200" i="5"/>
  <c r="E30192" i="5"/>
  <c r="E30184" i="5"/>
  <c r="E30176" i="5"/>
  <c r="E30168" i="5"/>
  <c r="E30160" i="5"/>
  <c r="E30152" i="5"/>
  <c r="E30144" i="5"/>
  <c r="E30136" i="5"/>
  <c r="E30128" i="5"/>
  <c r="E30120" i="5"/>
  <c r="E30112" i="5"/>
  <c r="E30104" i="5"/>
  <c r="E30096" i="5"/>
  <c r="E30088" i="5"/>
  <c r="E30080" i="5"/>
  <c r="E30072" i="5"/>
  <c r="E30064" i="5"/>
  <c r="E30056" i="5"/>
  <c r="E30048" i="5"/>
  <c r="E30040" i="5"/>
  <c r="E30032" i="5"/>
  <c r="E30024" i="5"/>
  <c r="E30016" i="5"/>
  <c r="E30008" i="5"/>
  <c r="E30000" i="5"/>
  <c r="E29992" i="5"/>
  <c r="E29984" i="5"/>
  <c r="E29976" i="5"/>
  <c r="E29968" i="5"/>
  <c r="E29960" i="5"/>
  <c r="E29952" i="5"/>
  <c r="E29944" i="5"/>
  <c r="E29936" i="5"/>
  <c r="E29928" i="5"/>
  <c r="E29920" i="5"/>
  <c r="E29912" i="5"/>
  <c r="E29904" i="5"/>
  <c r="E29896" i="5"/>
  <c r="E29888" i="5"/>
  <c r="E29880" i="5"/>
  <c r="E29872" i="5"/>
  <c r="E29864" i="5"/>
  <c r="E29856" i="5"/>
  <c r="E29848" i="5"/>
  <c r="E29840" i="5"/>
  <c r="E29832" i="5"/>
  <c r="E29824" i="5"/>
  <c r="E29816" i="5"/>
  <c r="E29808" i="5"/>
  <c r="E29800" i="5"/>
  <c r="E29792" i="5"/>
  <c r="E29784" i="5"/>
  <c r="E29776" i="5"/>
  <c r="E29768" i="5"/>
  <c r="E29760" i="5"/>
  <c r="E29752" i="5"/>
  <c r="E29744" i="5"/>
  <c r="E29736" i="5"/>
  <c r="E29728" i="5"/>
  <c r="E29720" i="5"/>
  <c r="E29712" i="5"/>
  <c r="E29704" i="5"/>
  <c r="E29696" i="5"/>
  <c r="E29688" i="5"/>
  <c r="E29680" i="5"/>
  <c r="E29672" i="5"/>
  <c r="E29664" i="5"/>
  <c r="E29656" i="5"/>
  <c r="E29648" i="5"/>
  <c r="E29640" i="5"/>
  <c r="E29632" i="5"/>
  <c r="E29624" i="5"/>
  <c r="E29616" i="5"/>
  <c r="E29608" i="5"/>
  <c r="E29600" i="5"/>
  <c r="E29592" i="5"/>
  <c r="E29584" i="5"/>
  <c r="E29576" i="5"/>
  <c r="E29568" i="5"/>
  <c r="E29560" i="5"/>
  <c r="E29552" i="5"/>
  <c r="E29544" i="5"/>
  <c r="E29536" i="5"/>
  <c r="E29528" i="5"/>
  <c r="E29520" i="5"/>
  <c r="E29512" i="5"/>
  <c r="E29504" i="5"/>
  <c r="E29496" i="5"/>
  <c r="E29488" i="5"/>
  <c r="E29480" i="5"/>
  <c r="E29472" i="5"/>
  <c r="E29464" i="5"/>
  <c r="E29456" i="5"/>
  <c r="E29448" i="5"/>
  <c r="E29440" i="5"/>
  <c r="E29432" i="5"/>
  <c r="E29424" i="5"/>
  <c r="E29416" i="5"/>
  <c r="E29408" i="5"/>
  <c r="E29400" i="5"/>
  <c r="E29392" i="5"/>
  <c r="E29384" i="5"/>
  <c r="E29376" i="5"/>
  <c r="E29368" i="5"/>
  <c r="E29360" i="5"/>
  <c r="E29352" i="5"/>
  <c r="E29344" i="5"/>
  <c r="E29336" i="5"/>
  <c r="E29328" i="5"/>
  <c r="E29320" i="5"/>
  <c r="E29312" i="5"/>
  <c r="E29304" i="5"/>
  <c r="E29296" i="5"/>
  <c r="E29288" i="5"/>
  <c r="E29280" i="5"/>
  <c r="E29272" i="5"/>
  <c r="E29264" i="5"/>
  <c r="E29256" i="5"/>
  <c r="E29248" i="5"/>
  <c r="E29240" i="5"/>
  <c r="E29232" i="5"/>
  <c r="E29224" i="5"/>
  <c r="E29216" i="5"/>
  <c r="E29208" i="5"/>
  <c r="E29200" i="5"/>
  <c r="E29192" i="5"/>
  <c r="E29184" i="5"/>
  <c r="E29176" i="5"/>
  <c r="E29168" i="5"/>
  <c r="E29160" i="5"/>
  <c r="E29152" i="5"/>
  <c r="E29144" i="5"/>
  <c r="E29136" i="5"/>
  <c r="E29128" i="5"/>
  <c r="E29120" i="5"/>
  <c r="E29112" i="5"/>
  <c r="E29104" i="5"/>
  <c r="E29096" i="5"/>
  <c r="E29088" i="5"/>
  <c r="E29080" i="5"/>
  <c r="E29072" i="5"/>
  <c r="E29064" i="5"/>
  <c r="E29056" i="5"/>
  <c r="E29048" i="5"/>
  <c r="E29040" i="5"/>
  <c r="E29032" i="5"/>
  <c r="E29024" i="5"/>
  <c r="E29016" i="5"/>
  <c r="E29008" i="5"/>
  <c r="E29000" i="5"/>
  <c r="E28992" i="5"/>
  <c r="E28984" i="5"/>
  <c r="E28976" i="5"/>
  <c r="E28968" i="5"/>
  <c r="E28960" i="5"/>
  <c r="E28952" i="5"/>
  <c r="E28944" i="5"/>
  <c r="E28936" i="5"/>
  <c r="E28928" i="5"/>
  <c r="E28920" i="5"/>
  <c r="E28912" i="5"/>
  <c r="E28904" i="5"/>
  <c r="E28896" i="5"/>
  <c r="E28888" i="5"/>
  <c r="E28880" i="5"/>
  <c r="E28872" i="5"/>
  <c r="E28864" i="5"/>
  <c r="E28856" i="5"/>
  <c r="E28848" i="5"/>
  <c r="E28840" i="5"/>
  <c r="E28832" i="5"/>
  <c r="E28824" i="5"/>
  <c r="E28816" i="5"/>
  <c r="E28808" i="5"/>
  <c r="E28800" i="5"/>
  <c r="E28792" i="5"/>
  <c r="E28784" i="5"/>
  <c r="E28776" i="5"/>
  <c r="E28768" i="5"/>
  <c r="E28760" i="5"/>
  <c r="E28752" i="5"/>
  <c r="E28744" i="5"/>
  <c r="E28736" i="5"/>
  <c r="E28728" i="5"/>
  <c r="E28720" i="5"/>
  <c r="E28712" i="5"/>
  <c r="E28704" i="5"/>
  <c r="E28696" i="5"/>
  <c r="E28688" i="5"/>
  <c r="E28680" i="5"/>
  <c r="E28672" i="5"/>
  <c r="E28664" i="5"/>
  <c r="E28656" i="5"/>
  <c r="E28648" i="5"/>
  <c r="E28640" i="5"/>
  <c r="E28632" i="5"/>
  <c r="E28624" i="5"/>
  <c r="E28616" i="5"/>
  <c r="E28608" i="5"/>
  <c r="E28600" i="5"/>
  <c r="E28592" i="5"/>
  <c r="E28584" i="5"/>
  <c r="E28576" i="5"/>
  <c r="E28568" i="5"/>
  <c r="E28560" i="5"/>
  <c r="E28552" i="5"/>
  <c r="E28544" i="5"/>
  <c r="E28536" i="5"/>
  <c r="E28528" i="5"/>
  <c r="E28520" i="5"/>
  <c r="E28512" i="5"/>
  <c r="E28504" i="5"/>
  <c r="E28496" i="5"/>
  <c r="E28488" i="5"/>
  <c r="E28480" i="5"/>
  <c r="E28472" i="5"/>
  <c r="E28464" i="5"/>
  <c r="E28456" i="5"/>
  <c r="E28448" i="5"/>
  <c r="E28440" i="5"/>
  <c r="E28432" i="5"/>
  <c r="E28424" i="5"/>
  <c r="E28416" i="5"/>
  <c r="E28408" i="5"/>
  <c r="E28400" i="5"/>
  <c r="E28392" i="5"/>
  <c r="E28384" i="5"/>
  <c r="E28376" i="5"/>
  <c r="E28368" i="5"/>
  <c r="E28360" i="5"/>
  <c r="E28352" i="5"/>
  <c r="E28344" i="5"/>
  <c r="E28336" i="5"/>
  <c r="E28328" i="5"/>
  <c r="E28320" i="5"/>
  <c r="E28312" i="5"/>
  <c r="E28304" i="5"/>
  <c r="E28296" i="5"/>
  <c r="E28288" i="5"/>
  <c r="E28280" i="5"/>
  <c r="E28272" i="5"/>
  <c r="E28264" i="5"/>
  <c r="E28256" i="5"/>
  <c r="E28248" i="5"/>
  <c r="E28240" i="5"/>
  <c r="E28232" i="5"/>
  <c r="E28224" i="5"/>
  <c r="E28216" i="5"/>
  <c r="E28208" i="5"/>
  <c r="E28200" i="5"/>
  <c r="E28192" i="5"/>
  <c r="E28184" i="5"/>
  <c r="E28176" i="5"/>
  <c r="E28168" i="5"/>
  <c r="E28160" i="5"/>
  <c r="E28152" i="5"/>
  <c r="E28144" i="5"/>
  <c r="E28136" i="5"/>
  <c r="E28128" i="5"/>
  <c r="E28120" i="5"/>
  <c r="E28112" i="5"/>
  <c r="E28104" i="5"/>
  <c r="E28096" i="5"/>
  <c r="E28088" i="5"/>
  <c r="E28080" i="5"/>
  <c r="E28072" i="5"/>
  <c r="E28064" i="5"/>
  <c r="E28056" i="5"/>
  <c r="E28048" i="5"/>
  <c r="E28040" i="5"/>
  <c r="E28032" i="5"/>
  <c r="E28024" i="5"/>
  <c r="E28016" i="5"/>
  <c r="E28008" i="5"/>
  <c r="E28000" i="5"/>
  <c r="E27992" i="5"/>
  <c r="E27984" i="5"/>
  <c r="E27976" i="5"/>
  <c r="E27968" i="5"/>
  <c r="E27960" i="5"/>
  <c r="E27952" i="5"/>
  <c r="E27944" i="5"/>
  <c r="E27936" i="5"/>
  <c r="E27928" i="5"/>
  <c r="E27920" i="5"/>
  <c r="E27912" i="5"/>
  <c r="E27904" i="5"/>
  <c r="E27896" i="5"/>
  <c r="E27888" i="5"/>
  <c r="E27880" i="5"/>
  <c r="E27872" i="5"/>
  <c r="E27864" i="5"/>
  <c r="E27856" i="5"/>
  <c r="E27848" i="5"/>
  <c r="E27840" i="5"/>
  <c r="E27832" i="5"/>
  <c r="E27824" i="5"/>
  <c r="E27816" i="5"/>
  <c r="E27808" i="5"/>
  <c r="E27800" i="5"/>
  <c r="E27792" i="5"/>
  <c r="E27784" i="5"/>
  <c r="E27776" i="5"/>
  <c r="E27768" i="5"/>
  <c r="E27760" i="5"/>
  <c r="E27752" i="5"/>
  <c r="E27744" i="5"/>
  <c r="E27736" i="5"/>
  <c r="E27728" i="5"/>
  <c r="E27720" i="5"/>
  <c r="E27712" i="5"/>
  <c r="E27704" i="5"/>
  <c r="E27696" i="5"/>
  <c r="E27688" i="5"/>
  <c r="E27680" i="5"/>
  <c r="E27672" i="5"/>
  <c r="E27664" i="5"/>
  <c r="E27656" i="5"/>
  <c r="E27648" i="5"/>
  <c r="E27640" i="5"/>
  <c r="E27632" i="5"/>
  <c r="E27624" i="5"/>
  <c r="E27616" i="5"/>
  <c r="E27608" i="5"/>
  <c r="E27600" i="5"/>
  <c r="E27592" i="5"/>
  <c r="E27584" i="5"/>
  <c r="E27576" i="5"/>
  <c r="E27568" i="5"/>
  <c r="E27560" i="5"/>
  <c r="E27552" i="5"/>
  <c r="E27544" i="5"/>
  <c r="E27536" i="5"/>
  <c r="E27528" i="5"/>
  <c r="E27520" i="5"/>
  <c r="E27512" i="5"/>
  <c r="E27504" i="5"/>
  <c r="E27496" i="5"/>
  <c r="E27488" i="5"/>
  <c r="E27480" i="5"/>
  <c r="E27472" i="5"/>
  <c r="E27464" i="5"/>
  <c r="E27456" i="5"/>
  <c r="E27448" i="5"/>
  <c r="E27440" i="5"/>
  <c r="E27432" i="5"/>
  <c r="E27424" i="5"/>
  <c r="E27416" i="5"/>
  <c r="E27408" i="5"/>
  <c r="E27400" i="5"/>
  <c r="E27392" i="5"/>
  <c r="E27384" i="5"/>
  <c r="E27376" i="5"/>
  <c r="E27368" i="5"/>
  <c r="E27360" i="5"/>
  <c r="E27352" i="5"/>
  <c r="E27344" i="5"/>
  <c r="E27336" i="5"/>
  <c r="E27328" i="5"/>
  <c r="E27320" i="5"/>
  <c r="E27312" i="5"/>
  <c r="E27304" i="5"/>
  <c r="E27296" i="5"/>
  <c r="E27288" i="5"/>
  <c r="E27280" i="5"/>
  <c r="E27272" i="5"/>
  <c r="E27264" i="5"/>
  <c r="E27256" i="5"/>
  <c r="E27248" i="5"/>
  <c r="E27240" i="5"/>
  <c r="E27232" i="5"/>
  <c r="E27224" i="5"/>
  <c r="E27216" i="5"/>
  <c r="E27208" i="5"/>
  <c r="E27200" i="5"/>
  <c r="E27192" i="5"/>
  <c r="E27184" i="5"/>
  <c r="E27176" i="5"/>
  <c r="E27168" i="5"/>
  <c r="E27160" i="5"/>
  <c r="E27152" i="5"/>
  <c r="E27144" i="5"/>
  <c r="E27136" i="5"/>
  <c r="E27128" i="5"/>
  <c r="E27120" i="5"/>
  <c r="E27112" i="5"/>
  <c r="E27104" i="5"/>
  <c r="E27096" i="5"/>
  <c r="E27088" i="5"/>
  <c r="E27080" i="5"/>
  <c r="E27072" i="5"/>
  <c r="E27064" i="5"/>
  <c r="E27056" i="5"/>
  <c r="E27048" i="5"/>
  <c r="E27040" i="5"/>
  <c r="E27032" i="5"/>
  <c r="E27024" i="5"/>
  <c r="E27016" i="5"/>
  <c r="E27008" i="5"/>
  <c r="E27000" i="5"/>
  <c r="E26992" i="5"/>
  <c r="E26984" i="5"/>
  <c r="E26976" i="5"/>
  <c r="E26968" i="5"/>
  <c r="E26960" i="5"/>
  <c r="E26952" i="5"/>
  <c r="E26944" i="5"/>
  <c r="E26936" i="5"/>
  <c r="E26928" i="5"/>
  <c r="E26920" i="5"/>
  <c r="E26912" i="5"/>
  <c r="E26904" i="5"/>
  <c r="E26896" i="5"/>
  <c r="E26888" i="5"/>
  <c r="E26880" i="5"/>
  <c r="E26872" i="5"/>
  <c r="E26864" i="5"/>
  <c r="E26856" i="5"/>
  <c r="E26848" i="5"/>
  <c r="E26840" i="5"/>
  <c r="E26832" i="5"/>
  <c r="E26824" i="5"/>
  <c r="E26816" i="5"/>
  <c r="E26808" i="5"/>
  <c r="E26800" i="5"/>
  <c r="E26792" i="5"/>
  <c r="E26784" i="5"/>
  <c r="E26776" i="5"/>
  <c r="E26768" i="5"/>
  <c r="E26760" i="5"/>
  <c r="E26752" i="5"/>
  <c r="E26744" i="5"/>
  <c r="E26736" i="5"/>
  <c r="E26728" i="5"/>
  <c r="E26720" i="5"/>
  <c r="E26712" i="5"/>
  <c r="E26704" i="5"/>
  <c r="E26696" i="5"/>
  <c r="E26688" i="5"/>
  <c r="E26680" i="5"/>
  <c r="E26672" i="5"/>
  <c r="E26664" i="5"/>
  <c r="E26656" i="5"/>
  <c r="E26648" i="5"/>
  <c r="E26640" i="5"/>
  <c r="E26632" i="5"/>
  <c r="E26624" i="5"/>
  <c r="E26616" i="5"/>
  <c r="E26608" i="5"/>
  <c r="E26600" i="5"/>
  <c r="E26592" i="5"/>
  <c r="E26584" i="5"/>
  <c r="E26576" i="5"/>
  <c r="E26568" i="5"/>
  <c r="E26560" i="5"/>
  <c r="E26552" i="5"/>
  <c r="E26544" i="5"/>
  <c r="E26536" i="5"/>
  <c r="E26528" i="5"/>
  <c r="E26520" i="5"/>
  <c r="E26512" i="5"/>
  <c r="E26504" i="5"/>
  <c r="E26496" i="5"/>
  <c r="E26488" i="5"/>
  <c r="E26480" i="5"/>
  <c r="E26472" i="5"/>
  <c r="E26464" i="5"/>
  <c r="E26456" i="5"/>
  <c r="E26448" i="5"/>
  <c r="E26440" i="5"/>
  <c r="E26432" i="5"/>
  <c r="E26424" i="5"/>
  <c r="E26416" i="5"/>
  <c r="E26408" i="5"/>
  <c r="E26400" i="5"/>
  <c r="E26392" i="5"/>
  <c r="E26384" i="5"/>
  <c r="E26376" i="5"/>
  <c r="E26368" i="5"/>
  <c r="E26360" i="5"/>
  <c r="E26352" i="5"/>
  <c r="E26344" i="5"/>
  <c r="E26336" i="5"/>
  <c r="E26328" i="5"/>
  <c r="E26320" i="5"/>
  <c r="E26312" i="5"/>
  <c r="E26304" i="5"/>
  <c r="E26296" i="5"/>
  <c r="E26288" i="5"/>
  <c r="E26280" i="5"/>
  <c r="E26272" i="5"/>
  <c r="E26264" i="5"/>
  <c r="E26256" i="5"/>
  <c r="E26248" i="5"/>
  <c r="E26240" i="5"/>
  <c r="E26232" i="5"/>
  <c r="E26224" i="5"/>
  <c r="E26216" i="5"/>
  <c r="E26208" i="5"/>
  <c r="E26200" i="5"/>
  <c r="E26192" i="5"/>
  <c r="E26184" i="5"/>
  <c r="E26176" i="5"/>
  <c r="E26168" i="5"/>
  <c r="E26160" i="5"/>
  <c r="E26152" i="5"/>
  <c r="E26144" i="5"/>
  <c r="E26136" i="5"/>
  <c r="E26128" i="5"/>
  <c r="E26120" i="5"/>
  <c r="E26112" i="5"/>
  <c r="E26104" i="5"/>
  <c r="E26096" i="5"/>
  <c r="E26088" i="5"/>
  <c r="E26080" i="5"/>
  <c r="E26072" i="5"/>
  <c r="E26064" i="5"/>
  <c r="E26056" i="5"/>
  <c r="E26048" i="5"/>
  <c r="E26040" i="5"/>
  <c r="E26032" i="5"/>
  <c r="E26024" i="5"/>
  <c r="E26016" i="5"/>
  <c r="E26008" i="5"/>
  <c r="E26000" i="5"/>
  <c r="E25992" i="5"/>
  <c r="E25984" i="5"/>
  <c r="E25976" i="5"/>
  <c r="E25968" i="5"/>
  <c r="E25960" i="5"/>
  <c r="E25952" i="5"/>
  <c r="E25944" i="5"/>
  <c r="E25936" i="5"/>
  <c r="E25928" i="5"/>
  <c r="E25920" i="5"/>
  <c r="E25912" i="5"/>
  <c r="E25904" i="5"/>
  <c r="E25896" i="5"/>
  <c r="E25888" i="5"/>
  <c r="E25880" i="5"/>
  <c r="E25872" i="5"/>
  <c r="E25864" i="5"/>
  <c r="E25856" i="5"/>
  <c r="E25848" i="5"/>
  <c r="E25840" i="5"/>
  <c r="E25832" i="5"/>
  <c r="E25824" i="5"/>
  <c r="E25816" i="5"/>
  <c r="E25808" i="5"/>
  <c r="E25800" i="5"/>
  <c r="E25792" i="5"/>
  <c r="E25784" i="5"/>
  <c r="E25776" i="5"/>
  <c r="E25768" i="5"/>
  <c r="E25760" i="5"/>
  <c r="E25752" i="5"/>
  <c r="E25744" i="5"/>
  <c r="E25736" i="5"/>
  <c r="E25728" i="5"/>
  <c r="E25720" i="5"/>
  <c r="E25712" i="5"/>
  <c r="E25704" i="5"/>
  <c r="E25696" i="5"/>
  <c r="E25688" i="5"/>
  <c r="E25680" i="5"/>
  <c r="E25672" i="5"/>
  <c r="E25664" i="5"/>
  <c r="E25656" i="5"/>
  <c r="E25648" i="5"/>
  <c r="E25640" i="5"/>
  <c r="E25632" i="5"/>
  <c r="E25624" i="5"/>
  <c r="E25616" i="5"/>
  <c r="E25608" i="5"/>
  <c r="E25600" i="5"/>
  <c r="E25592" i="5"/>
  <c r="E25584" i="5"/>
  <c r="E25576" i="5"/>
  <c r="E25568" i="5"/>
  <c r="E25560" i="5"/>
  <c r="E25552" i="5"/>
  <c r="E25544" i="5"/>
  <c r="E25536" i="5"/>
  <c r="E25528" i="5"/>
  <c r="E25520" i="5"/>
  <c r="E25512" i="5"/>
  <c r="E25504" i="5"/>
  <c r="E25496" i="5"/>
  <c r="E25488" i="5"/>
  <c r="E25480" i="5"/>
  <c r="E25472" i="5"/>
  <c r="E25464" i="5"/>
  <c r="E25456" i="5"/>
  <c r="E25448" i="5"/>
  <c r="E25440" i="5"/>
  <c r="E25432" i="5"/>
  <c r="E25424" i="5"/>
  <c r="E25416" i="5"/>
  <c r="E25408" i="5"/>
  <c r="E25400" i="5"/>
  <c r="E25392" i="5"/>
  <c r="E25384" i="5"/>
  <c r="E25376" i="5"/>
  <c r="E25368" i="5"/>
  <c r="E25360" i="5"/>
  <c r="E25352" i="5"/>
  <c r="E25344" i="5"/>
  <c r="E25336" i="5"/>
  <c r="E25328" i="5"/>
  <c r="E25320" i="5"/>
  <c r="E25312" i="5"/>
  <c r="E25304" i="5"/>
  <c r="E25296" i="5"/>
  <c r="E25288" i="5"/>
  <c r="E25280" i="5"/>
  <c r="E25272" i="5"/>
  <c r="E25264" i="5"/>
  <c r="E25256" i="5"/>
  <c r="E25248" i="5"/>
  <c r="E25240" i="5"/>
  <c r="E25232" i="5"/>
  <c r="E25224" i="5"/>
  <c r="E25216" i="5"/>
  <c r="E25208" i="5"/>
  <c r="E25200" i="5"/>
  <c r="E25192" i="5"/>
  <c r="E25184" i="5"/>
  <c r="E25176" i="5"/>
  <c r="E25168" i="5"/>
  <c r="E25160" i="5"/>
  <c r="E25152" i="5"/>
  <c r="E25144" i="5"/>
  <c r="E25136" i="5"/>
  <c r="E25128" i="5"/>
  <c r="E25120" i="5"/>
  <c r="E25112" i="5"/>
  <c r="E25104" i="5"/>
  <c r="E25096" i="5"/>
  <c r="E25088" i="5"/>
  <c r="E25080" i="5"/>
  <c r="E25072" i="5"/>
  <c r="E25064" i="5"/>
  <c r="E25056" i="5"/>
  <c r="E25048" i="5"/>
  <c r="E25040" i="5"/>
  <c r="E25032" i="5"/>
  <c r="E25024" i="5"/>
  <c r="E25016" i="5"/>
  <c r="E25008" i="5"/>
  <c r="E25000" i="5"/>
  <c r="E24992" i="5"/>
  <c r="E24984" i="5"/>
  <c r="E24976" i="5"/>
  <c r="E24968" i="5"/>
  <c r="E24960" i="5"/>
  <c r="E24952" i="5"/>
  <c r="E24944" i="5"/>
  <c r="E24936" i="5"/>
  <c r="E24928" i="5"/>
  <c r="E24920" i="5"/>
  <c r="E24912" i="5"/>
  <c r="E24904" i="5"/>
  <c r="E24896" i="5"/>
  <c r="E24888" i="5"/>
  <c r="E24880" i="5"/>
  <c r="E24872" i="5"/>
  <c r="E24864" i="5"/>
  <c r="E24856" i="5"/>
  <c r="E24848" i="5"/>
  <c r="E24840" i="5"/>
  <c r="E24832" i="5"/>
  <c r="E24824" i="5"/>
  <c r="E24816" i="5"/>
  <c r="E24808" i="5"/>
  <c r="E24800" i="5"/>
  <c r="E24792" i="5"/>
  <c r="E24784" i="5"/>
  <c r="E24776" i="5"/>
  <c r="E24768" i="5"/>
  <c r="E24760" i="5"/>
  <c r="E24752" i="5"/>
  <c r="E24744" i="5"/>
  <c r="E24736" i="5"/>
  <c r="E24728" i="5"/>
  <c r="E24720" i="5"/>
  <c r="E24712" i="5"/>
  <c r="E24704" i="5"/>
  <c r="E24696" i="5"/>
  <c r="E24688" i="5"/>
  <c r="E24680" i="5"/>
  <c r="E24672" i="5"/>
  <c r="E24664" i="5"/>
  <c r="E24656" i="5"/>
  <c r="E24648" i="5"/>
  <c r="E24640" i="5"/>
  <c r="E24632" i="5"/>
  <c r="E24624" i="5"/>
  <c r="E24616" i="5"/>
  <c r="E24608" i="5"/>
  <c r="E24600" i="5"/>
  <c r="E24592" i="5"/>
  <c r="E24584" i="5"/>
  <c r="E24576" i="5"/>
  <c r="E24568" i="5"/>
  <c r="E24560" i="5"/>
  <c r="E24552" i="5"/>
  <c r="E24544" i="5"/>
  <c r="E24536" i="5"/>
  <c r="E24528" i="5"/>
  <c r="E24520" i="5"/>
  <c r="E24512" i="5"/>
  <c r="E24504" i="5"/>
  <c r="E24496" i="5"/>
  <c r="E24488" i="5"/>
  <c r="E24480" i="5"/>
  <c r="E24472" i="5"/>
  <c r="E24464" i="5"/>
  <c r="E24456" i="5"/>
  <c r="E24448" i="5"/>
  <c r="E24440" i="5"/>
  <c r="E24432" i="5"/>
  <c r="E24424" i="5"/>
  <c r="E24416" i="5"/>
  <c r="E24408" i="5"/>
  <c r="E24400" i="5"/>
  <c r="E24392" i="5"/>
  <c r="E24384" i="5"/>
  <c r="E24376" i="5"/>
  <c r="E24368" i="5"/>
  <c r="E24360" i="5"/>
  <c r="E24352" i="5"/>
  <c r="E24344" i="5"/>
  <c r="E24336" i="5"/>
  <c r="E24328" i="5"/>
  <c r="E24320" i="5"/>
  <c r="E24312" i="5"/>
  <c r="E24304" i="5"/>
  <c r="E24296" i="5"/>
  <c r="E24288" i="5"/>
  <c r="E24280" i="5"/>
  <c r="E24272" i="5"/>
  <c r="E24264" i="5"/>
  <c r="E24256" i="5"/>
  <c r="E24248" i="5"/>
  <c r="E24240" i="5"/>
  <c r="E24232" i="5"/>
  <c r="E24224" i="5"/>
  <c r="E24216" i="5"/>
  <c r="E24208" i="5"/>
  <c r="E24200" i="5"/>
  <c r="E24192" i="5"/>
  <c r="E24184" i="5"/>
  <c r="E24176" i="5"/>
  <c r="E24168" i="5"/>
  <c r="E24160" i="5"/>
  <c r="E24152" i="5"/>
  <c r="E24144" i="5"/>
  <c r="E24136" i="5"/>
  <c r="E24128" i="5"/>
  <c r="E24120" i="5"/>
  <c r="E24112" i="5"/>
  <c r="E24104" i="5"/>
  <c r="E24096" i="5"/>
  <c r="E24088" i="5"/>
  <c r="E24080" i="5"/>
  <c r="E24072" i="5"/>
  <c r="E24064" i="5"/>
  <c r="E24056" i="5"/>
  <c r="E24048" i="5"/>
  <c r="E24040" i="5"/>
  <c r="E24032" i="5"/>
  <c r="E24024" i="5"/>
  <c r="E24016" i="5"/>
  <c r="E24008" i="5"/>
  <c r="E24000" i="5"/>
  <c r="E23992" i="5"/>
  <c r="E23984" i="5"/>
  <c r="E23976" i="5"/>
  <c r="E23968" i="5"/>
  <c r="E23960" i="5"/>
  <c r="E23952" i="5"/>
  <c r="E23944" i="5"/>
  <c r="E23936" i="5"/>
  <c r="E23928" i="5"/>
  <c r="E23920" i="5"/>
  <c r="E23912" i="5"/>
  <c r="E23904" i="5"/>
  <c r="E23896" i="5"/>
  <c r="E23888" i="5"/>
  <c r="E23880" i="5"/>
  <c r="E23872" i="5"/>
  <c r="E23864" i="5"/>
  <c r="E23856" i="5"/>
  <c r="E23848" i="5"/>
  <c r="E23840" i="5"/>
  <c r="E23832" i="5"/>
  <c r="E23824" i="5"/>
  <c r="E23816" i="5"/>
  <c r="E23808" i="5"/>
  <c r="E23800" i="5"/>
  <c r="E23792" i="5"/>
  <c r="E23784" i="5"/>
  <c r="E23776" i="5"/>
  <c r="E23768" i="5"/>
  <c r="E23760" i="5"/>
  <c r="E23752" i="5"/>
  <c r="E23744" i="5"/>
  <c r="E23736" i="5"/>
  <c r="E23728" i="5"/>
  <c r="E23720" i="5"/>
  <c r="E23712" i="5"/>
  <c r="E23704" i="5"/>
  <c r="E23696" i="5"/>
  <c r="E23688" i="5"/>
  <c r="E23680" i="5"/>
  <c r="E23672" i="5"/>
  <c r="E23664" i="5"/>
  <c r="E23656" i="5"/>
  <c r="E41491" i="5"/>
  <c r="E41363" i="5"/>
  <c r="E41235" i="5"/>
  <c r="E41107" i="5"/>
  <c r="E40979" i="5"/>
  <c r="E40856" i="5"/>
  <c r="E40753" i="5"/>
  <c r="E40651" i="5"/>
  <c r="E40548" i="5"/>
  <c r="E40446" i="5"/>
  <c r="E40344" i="5"/>
  <c r="E40241" i="5"/>
  <c r="E40139" i="5"/>
  <c r="E40036" i="5"/>
  <c r="E39934" i="5"/>
  <c r="E39832" i="5"/>
  <c r="E39729" i="5"/>
  <c r="E39627" i="5"/>
  <c r="E39524" i="5"/>
  <c r="E39422" i="5"/>
  <c r="E39320" i="5"/>
  <c r="E39225" i="5"/>
  <c r="E39143" i="5"/>
  <c r="E39079" i="5"/>
  <c r="E39015" i="5"/>
  <c r="E38951" i="5"/>
  <c r="E38887" i="5"/>
  <c r="E38823" i="5"/>
  <c r="E38759" i="5"/>
  <c r="E38695" i="5"/>
  <c r="E38631" i="5"/>
  <c r="E38567" i="5"/>
  <c r="E38503" i="5"/>
  <c r="E38439" i="5"/>
  <c r="E38375" i="5"/>
  <c r="E38311" i="5"/>
  <c r="E38247" i="5"/>
  <c r="E38183" i="5"/>
  <c r="E38119" i="5"/>
  <c r="E38055" i="5"/>
  <c r="E37991" i="5"/>
  <c r="E37927" i="5"/>
  <c r="E37863" i="5"/>
  <c r="E37799" i="5"/>
  <c r="E37735" i="5"/>
  <c r="E37671" i="5"/>
  <c r="E37607" i="5"/>
  <c r="E37543" i="5"/>
  <c r="E37479" i="5"/>
  <c r="E37415" i="5"/>
  <c r="E37351" i="5"/>
  <c r="E37287" i="5"/>
  <c r="E37223" i="5"/>
  <c r="E37159" i="5"/>
  <c r="E37095" i="5"/>
  <c r="E37031" i="5"/>
  <c r="E36967" i="5"/>
  <c r="E36903" i="5"/>
  <c r="E36839" i="5"/>
  <c r="E36775" i="5"/>
  <c r="E36711" i="5"/>
  <c r="E36647" i="5"/>
  <c r="E36583" i="5"/>
  <c r="E36519" i="5"/>
  <c r="E36455" i="5"/>
  <c r="E36391" i="5"/>
  <c r="E36327" i="5"/>
  <c r="E36263" i="5"/>
  <c r="E36199" i="5"/>
  <c r="E36135" i="5"/>
  <c r="E36071" i="5"/>
  <c r="E36007" i="5"/>
  <c r="E35943" i="5"/>
  <c r="E35879" i="5"/>
  <c r="E35815" i="5"/>
  <c r="E35751" i="5"/>
  <c r="E35687" i="5"/>
  <c r="E35623" i="5"/>
  <c r="E35559" i="5"/>
  <c r="E35495" i="5"/>
  <c r="E35431" i="5"/>
  <c r="E35367" i="5"/>
  <c r="E35303" i="5"/>
  <c r="E35239" i="5"/>
  <c r="E35175" i="5"/>
  <c r="E35111" i="5"/>
  <c r="E35047" i="5"/>
  <c r="E34983" i="5"/>
  <c r="E34919" i="5"/>
  <c r="E34855" i="5"/>
  <c r="E34791" i="5"/>
  <c r="E34727" i="5"/>
  <c r="E34663" i="5"/>
  <c r="E34599" i="5"/>
  <c r="E34535" i="5"/>
  <c r="E34471" i="5"/>
  <c r="E34407" i="5"/>
  <c r="E34343" i="5"/>
  <c r="E34279" i="5"/>
  <c r="E34215" i="5"/>
  <c r="E34151" i="5"/>
  <c r="E34087" i="5"/>
  <c r="E34023" i="5"/>
  <c r="E33959" i="5"/>
  <c r="E33895" i="5"/>
  <c r="E33831" i="5"/>
  <c r="E33767" i="5"/>
  <c r="E33703" i="5"/>
  <c r="E33639" i="5"/>
  <c r="E33575" i="5"/>
  <c r="E33511" i="5"/>
  <c r="E33447" i="5"/>
  <c r="E33383" i="5"/>
  <c r="E33319" i="5"/>
  <c r="E33255" i="5"/>
  <c r="E33191" i="5"/>
  <c r="E33127" i="5"/>
  <c r="E33063" i="5"/>
  <c r="E32999" i="5"/>
  <c r="E32935" i="5"/>
  <c r="E32871" i="5"/>
  <c r="E32807" i="5"/>
  <c r="E32743" i="5"/>
  <c r="E32679" i="5"/>
  <c r="E32615" i="5"/>
  <c r="E32551" i="5"/>
  <c r="E32487" i="5"/>
  <c r="E32423" i="5"/>
  <c r="E32359" i="5"/>
  <c r="E32295" i="5"/>
  <c r="E32231" i="5"/>
  <c r="E32167" i="5"/>
  <c r="E32103" i="5"/>
  <c r="E32039" i="5"/>
  <c r="E31975" i="5"/>
  <c r="E31911" i="5"/>
  <c r="E31847" i="5"/>
  <c r="E31783" i="5"/>
  <c r="E31719" i="5"/>
  <c r="E31655" i="5"/>
  <c r="E31591" i="5"/>
  <c r="E31527" i="5"/>
  <c r="E31463" i="5"/>
  <c r="E31399" i="5"/>
  <c r="E31335" i="5"/>
  <c r="E31271" i="5"/>
  <c r="E31207" i="5"/>
  <c r="E31143" i="5"/>
  <c r="E31079" i="5"/>
  <c r="E31015" i="5"/>
  <c r="E30951" i="5"/>
  <c r="E30887" i="5"/>
  <c r="E30823" i="5"/>
  <c r="E30759" i="5"/>
  <c r="E30695" i="5"/>
  <c r="E30631" i="5"/>
  <c r="E30567" i="5"/>
  <c r="E30503" i="5"/>
  <c r="E30439" i="5"/>
  <c r="E30375" i="5"/>
  <c r="E30311" i="5"/>
  <c r="E30247" i="5"/>
  <c r="E30183" i="5"/>
  <c r="E30119" i="5"/>
  <c r="E30055" i="5"/>
  <c r="E29991" i="5"/>
  <c r="E29927" i="5"/>
  <c r="E29863" i="5"/>
  <c r="E29799" i="5"/>
  <c r="E29735" i="5"/>
  <c r="E29671" i="5"/>
  <c r="E29607" i="5"/>
  <c r="E29543" i="5"/>
  <c r="E29479" i="5"/>
  <c r="E29415" i="5"/>
  <c r="E29351" i="5"/>
  <c r="E29287" i="5"/>
  <c r="E29223" i="5"/>
  <c r="E29159" i="5"/>
  <c r="E29095" i="5"/>
  <c r="E29031" i="5"/>
  <c r="E28967" i="5"/>
  <c r="E28903" i="5"/>
  <c r="E28839" i="5"/>
  <c r="E28775" i="5"/>
  <c r="E28711" i="5"/>
  <c r="E28647" i="5"/>
  <c r="E28583" i="5"/>
  <c r="E28519" i="5"/>
  <c r="E28455" i="5"/>
  <c r="E28391" i="5"/>
  <c r="E28327" i="5"/>
  <c r="E28263" i="5"/>
  <c r="E28199" i="5"/>
  <c r="E28135" i="5"/>
  <c r="E28071" i="5"/>
  <c r="E28007" i="5"/>
  <c r="E27943" i="5"/>
  <c r="E27879" i="5"/>
  <c r="E27815" i="5"/>
  <c r="E27751" i="5"/>
  <c r="E27687" i="5"/>
  <c r="E27623" i="5"/>
  <c r="E27559" i="5"/>
  <c r="E27495" i="5"/>
  <c r="E27431" i="5"/>
  <c r="E27367" i="5"/>
  <c r="E27303" i="5"/>
  <c r="E27239" i="5"/>
  <c r="E27175" i="5"/>
  <c r="E27111" i="5"/>
  <c r="E27047" i="5"/>
  <c r="E26983" i="5"/>
  <c r="E26919" i="5"/>
  <c r="E26855" i="5"/>
  <c r="E26791" i="5"/>
  <c r="E26727" i="5"/>
  <c r="E26663" i="5"/>
  <c r="E26599" i="5"/>
  <c r="E26535" i="5"/>
  <c r="E26471" i="5"/>
  <c r="E26407" i="5"/>
  <c r="E26343" i="5"/>
  <c r="E26279" i="5"/>
  <c r="E26215" i="5"/>
  <c r="E26151" i="5"/>
  <c r="E26087" i="5"/>
  <c r="E26023" i="5"/>
  <c r="E25959" i="5"/>
  <c r="E25895" i="5"/>
  <c r="E25831" i="5"/>
  <c r="E25767" i="5"/>
  <c r="E25703" i="5"/>
  <c r="E25639" i="5"/>
  <c r="E25594" i="5"/>
  <c r="E25562" i="5"/>
  <c r="E25530" i="5"/>
  <c r="E25498" i="5"/>
  <c r="E25466" i="5"/>
  <c r="E25434" i="5"/>
  <c r="E25402" i="5"/>
  <c r="E25370" i="5"/>
  <c r="E25338" i="5"/>
  <c r="E25306" i="5"/>
  <c r="E25274" i="5"/>
  <c r="E25242" i="5"/>
  <c r="E25210" i="5"/>
  <c r="E25178" i="5"/>
  <c r="E25146" i="5"/>
  <c r="E25114" i="5"/>
  <c r="E25093" i="5"/>
  <c r="E25071" i="5"/>
  <c r="E25050" i="5"/>
  <c r="E25029" i="5"/>
  <c r="E25007" i="5"/>
  <c r="E24986" i="5"/>
  <c r="E24965" i="5"/>
  <c r="E24943" i="5"/>
  <c r="E24922" i="5"/>
  <c r="E24901" i="5"/>
  <c r="E24885" i="5"/>
  <c r="E24869" i="5"/>
  <c r="E24853" i="5"/>
  <c r="E24837" i="5"/>
  <c r="E24821" i="5"/>
  <c r="E24805" i="5"/>
  <c r="E24789" i="5"/>
  <c r="E24773" i="5"/>
  <c r="E24757" i="5"/>
  <c r="E24741" i="5"/>
  <c r="E24725" i="5"/>
  <c r="E24709" i="5"/>
  <c r="E24693" i="5"/>
  <c r="E24677" i="5"/>
  <c r="E24661" i="5"/>
  <c r="E24645" i="5"/>
  <c r="E24629" i="5"/>
  <c r="E24613" i="5"/>
  <c r="E24597" i="5"/>
  <c r="E24581" i="5"/>
  <c r="E24565" i="5"/>
  <c r="E24549" i="5"/>
  <c r="E24533" i="5"/>
  <c r="E24517" i="5"/>
  <c r="E24501" i="5"/>
  <c r="E24485" i="5"/>
  <c r="E24469" i="5"/>
  <c r="E24453" i="5"/>
  <c r="E24437" i="5"/>
  <c r="E24423" i="5"/>
  <c r="E24411" i="5"/>
  <c r="E24397" i="5"/>
  <c r="E24386" i="5"/>
  <c r="E24372" i="5"/>
  <c r="E24359" i="5"/>
  <c r="E24347" i="5"/>
  <c r="E24333" i="5"/>
  <c r="E24322" i="5"/>
  <c r="E24308" i="5"/>
  <c r="E24295" i="5"/>
  <c r="E24283" i="5"/>
  <c r="E24269" i="5"/>
  <c r="E24258" i="5"/>
  <c r="E24244" i="5"/>
  <c r="E24231" i="5"/>
  <c r="E24219" i="5"/>
  <c r="E24205" i="5"/>
  <c r="E24194" i="5"/>
  <c r="E24180" i="5"/>
  <c r="E24167" i="5"/>
  <c r="E24155" i="5"/>
  <c r="E24141" i="5"/>
  <c r="E24130" i="5"/>
  <c r="E24116" i="5"/>
  <c r="E24103" i="5"/>
  <c r="E24091" i="5"/>
  <c r="E24077" i="5"/>
  <c r="E24066" i="5"/>
  <c r="E24052" i="5"/>
  <c r="E24039" i="5"/>
  <c r="E24027" i="5"/>
  <c r="E24013" i="5"/>
  <c r="E24002" i="5"/>
  <c r="E23988" i="5"/>
  <c r="E23975" i="5"/>
  <c r="E23963" i="5"/>
  <c r="E23953" i="5"/>
  <c r="E23941" i="5"/>
  <c r="E23931" i="5"/>
  <c r="E23921" i="5"/>
  <c r="E23909" i="5"/>
  <c r="E23899" i="5"/>
  <c r="E23889" i="5"/>
  <c r="E23877" i="5"/>
  <c r="E23867" i="5"/>
  <c r="E23857" i="5"/>
  <c r="E23845" i="5"/>
  <c r="E23835" i="5"/>
  <c r="E23825" i="5"/>
  <c r="E23813" i="5"/>
  <c r="E23803" i="5"/>
  <c r="E23793" i="5"/>
  <c r="E23781" i="5"/>
  <c r="E23771" i="5"/>
  <c r="E23761" i="5"/>
  <c r="E23749" i="5"/>
  <c r="E23740" i="5"/>
  <c r="E23731" i="5"/>
  <c r="E23722" i="5"/>
  <c r="E23713" i="5"/>
  <c r="E23703" i="5"/>
  <c r="E23694" i="5"/>
  <c r="E23685" i="5"/>
  <c r="E23676" i="5"/>
  <c r="E23667" i="5"/>
  <c r="E23658" i="5"/>
  <c r="E23649" i="5"/>
  <c r="E23641" i="5"/>
  <c r="E23633" i="5"/>
  <c r="E23625" i="5"/>
  <c r="E23617" i="5"/>
  <c r="E23609" i="5"/>
  <c r="E23601" i="5"/>
  <c r="E23593" i="5"/>
  <c r="E23585" i="5"/>
  <c r="E23577" i="5"/>
  <c r="E23569" i="5"/>
  <c r="E23561" i="5"/>
  <c r="E23553" i="5"/>
  <c r="E23545" i="5"/>
  <c r="E23537" i="5"/>
  <c r="E23529" i="5"/>
  <c r="E23521" i="5"/>
  <c r="E23513" i="5"/>
  <c r="E23505" i="5"/>
  <c r="E23497" i="5"/>
  <c r="E23489" i="5"/>
  <c r="E23481" i="5"/>
  <c r="E23473" i="5"/>
  <c r="E23465" i="5"/>
  <c r="E23457" i="5"/>
  <c r="E23449" i="5"/>
  <c r="E23441" i="5"/>
  <c r="E23433" i="5"/>
  <c r="E23425" i="5"/>
  <c r="E23417" i="5"/>
  <c r="E23409" i="5"/>
  <c r="E23401" i="5"/>
  <c r="E23393" i="5"/>
  <c r="E23385" i="5"/>
  <c r="E23377" i="5"/>
  <c r="E23369" i="5"/>
  <c r="E23361" i="5"/>
  <c r="E23353" i="5"/>
  <c r="E23345" i="5"/>
  <c r="E23337" i="5"/>
  <c r="E23329" i="5"/>
  <c r="E23321" i="5"/>
  <c r="E23313" i="5"/>
  <c r="E23305" i="5"/>
  <c r="E23297" i="5"/>
  <c r="E23289" i="5"/>
  <c r="E23281" i="5"/>
  <c r="E23273" i="5"/>
  <c r="E23265" i="5"/>
  <c r="E23257" i="5"/>
  <c r="E23249" i="5"/>
  <c r="E23241" i="5"/>
  <c r="E23233" i="5"/>
  <c r="E23225" i="5"/>
  <c r="E23217" i="5"/>
  <c r="E23209" i="5"/>
  <c r="E23201" i="5"/>
  <c r="E23193" i="5"/>
  <c r="E23185" i="5"/>
  <c r="E23177" i="5"/>
  <c r="E23169" i="5"/>
  <c r="E23161" i="5"/>
  <c r="E23153" i="5"/>
  <c r="E23145" i="5"/>
  <c r="E23137" i="5"/>
  <c r="E23129" i="5"/>
  <c r="E23121" i="5"/>
  <c r="E23113" i="5"/>
  <c r="E23105" i="5"/>
  <c r="E23097" i="5"/>
  <c r="E23089" i="5"/>
  <c r="E23081" i="5"/>
  <c r="E23073" i="5"/>
  <c r="E23065" i="5"/>
  <c r="E23057" i="5"/>
  <c r="E23049" i="5"/>
  <c r="E23041" i="5"/>
  <c r="E23033" i="5"/>
  <c r="E23025" i="5"/>
  <c r="E23017" i="5"/>
  <c r="E23009" i="5"/>
  <c r="E23001" i="5"/>
  <c r="E22993" i="5"/>
  <c r="E22985" i="5"/>
  <c r="E22977" i="5"/>
  <c r="E22969" i="5"/>
  <c r="E22961" i="5"/>
  <c r="E22953" i="5"/>
  <c r="E22945" i="5"/>
  <c r="E22937" i="5"/>
  <c r="E22929" i="5"/>
  <c r="E22921" i="5"/>
  <c r="E22913" i="5"/>
  <c r="E22905" i="5"/>
  <c r="E22897" i="5"/>
  <c r="E22889" i="5"/>
  <c r="E22881" i="5"/>
  <c r="E22873" i="5"/>
  <c r="E22865" i="5"/>
  <c r="E22857" i="5"/>
  <c r="E22849" i="5"/>
  <c r="E22841" i="5"/>
  <c r="E22833" i="5"/>
  <c r="E22825" i="5"/>
  <c r="E22817" i="5"/>
  <c r="E22809" i="5"/>
  <c r="E22801" i="5"/>
  <c r="E22793" i="5"/>
  <c r="E22785" i="5"/>
  <c r="E22777" i="5"/>
  <c r="E22769" i="5"/>
  <c r="E22761" i="5"/>
  <c r="E22753" i="5"/>
  <c r="E22745" i="5"/>
  <c r="E22737" i="5"/>
  <c r="E22729" i="5"/>
  <c r="E22721" i="5"/>
  <c r="E22713" i="5"/>
  <c r="E22705" i="5"/>
  <c r="E22697" i="5"/>
  <c r="E22689" i="5"/>
  <c r="E22681" i="5"/>
  <c r="E22673" i="5"/>
  <c r="E22665" i="5"/>
  <c r="E22657" i="5"/>
  <c r="E22649" i="5"/>
  <c r="E22641" i="5"/>
  <c r="E22633" i="5"/>
  <c r="E22625" i="5"/>
  <c r="E22617" i="5"/>
  <c r="E22609" i="5"/>
  <c r="E22601" i="5"/>
  <c r="E22593" i="5"/>
  <c r="E22585" i="5"/>
  <c r="E22577" i="5"/>
  <c r="E22569" i="5"/>
  <c r="E22561" i="5"/>
  <c r="E22553" i="5"/>
  <c r="E22545" i="5"/>
  <c r="E22537" i="5"/>
  <c r="E22529" i="5"/>
  <c r="E22521" i="5"/>
  <c r="E22513" i="5"/>
  <c r="E22505" i="5"/>
  <c r="E22497" i="5"/>
  <c r="E22489" i="5"/>
  <c r="E22481" i="5"/>
  <c r="E22473" i="5"/>
  <c r="E22465" i="5"/>
  <c r="E22457" i="5"/>
  <c r="E22449" i="5"/>
  <c r="E22441" i="5"/>
  <c r="E22433" i="5"/>
  <c r="E22425" i="5"/>
  <c r="E22417" i="5"/>
  <c r="E22409" i="5"/>
  <c r="E22401" i="5"/>
  <c r="E22393" i="5"/>
  <c r="E22385" i="5"/>
  <c r="E22377" i="5"/>
  <c r="E22369" i="5"/>
  <c r="E22361" i="5"/>
  <c r="E22353" i="5"/>
  <c r="E22345" i="5"/>
  <c r="E22337" i="5"/>
  <c r="E22329" i="5"/>
  <c r="E22321" i="5"/>
  <c r="E22313" i="5"/>
  <c r="E22305" i="5"/>
  <c r="E22297" i="5"/>
  <c r="E22289" i="5"/>
  <c r="E22281" i="5"/>
  <c r="E22273" i="5"/>
  <c r="E22265" i="5"/>
  <c r="E22257" i="5"/>
  <c r="E22249" i="5"/>
  <c r="E22241" i="5"/>
  <c r="E22233" i="5"/>
  <c r="E22225" i="5"/>
  <c r="E22217" i="5"/>
  <c r="E22209" i="5"/>
  <c r="E22201" i="5"/>
  <c r="E22193" i="5"/>
  <c r="E22185" i="5"/>
  <c r="E22177" i="5"/>
  <c r="E22169" i="5"/>
  <c r="E22161" i="5"/>
  <c r="E22153" i="5"/>
  <c r="E22145" i="5"/>
  <c r="E22137" i="5"/>
  <c r="E22129" i="5"/>
  <c r="E22121" i="5"/>
  <c r="E22113" i="5"/>
  <c r="E22105" i="5"/>
  <c r="E22097" i="5"/>
  <c r="E22089" i="5"/>
  <c r="E22081" i="5"/>
  <c r="E22073" i="5"/>
  <c r="E22065" i="5"/>
  <c r="E22057" i="5"/>
  <c r="E22049" i="5"/>
  <c r="E22041" i="5"/>
  <c r="E22033" i="5"/>
  <c r="E22025" i="5"/>
  <c r="E22017" i="5"/>
  <c r="E22009" i="5"/>
  <c r="E22001" i="5"/>
  <c r="E21993" i="5"/>
  <c r="E21985" i="5"/>
  <c r="E21977" i="5"/>
  <c r="E21969" i="5"/>
  <c r="E21961" i="5"/>
  <c r="E21953" i="5"/>
  <c r="E21945" i="5"/>
  <c r="E21937" i="5"/>
  <c r="E21929" i="5"/>
  <c r="E21921" i="5"/>
  <c r="E21913" i="5"/>
  <c r="E21905" i="5"/>
  <c r="E21897" i="5"/>
  <c r="E21889" i="5"/>
  <c r="E21881" i="5"/>
  <c r="E21873" i="5"/>
  <c r="E21865" i="5"/>
  <c r="E21857" i="5"/>
  <c r="E21849" i="5"/>
  <c r="E21841" i="5"/>
  <c r="E21833" i="5"/>
  <c r="E21825" i="5"/>
  <c r="E21817" i="5"/>
  <c r="E21809" i="5"/>
  <c r="E21801" i="5"/>
  <c r="E21793" i="5"/>
  <c r="E21785" i="5"/>
  <c r="E21777" i="5"/>
  <c r="E21769" i="5"/>
  <c r="E21761" i="5"/>
  <c r="E21753" i="5"/>
  <c r="E21745" i="5"/>
  <c r="E21737" i="5"/>
  <c r="E21729" i="5"/>
  <c r="E21721" i="5"/>
  <c r="E21713" i="5"/>
  <c r="E21705" i="5"/>
  <c r="E21697" i="5"/>
  <c r="E21689" i="5"/>
  <c r="E21681" i="5"/>
  <c r="E21673" i="5"/>
  <c r="E21665" i="5"/>
  <c r="E21657" i="5"/>
  <c r="E21649" i="5"/>
  <c r="E21641" i="5"/>
  <c r="E21633" i="5"/>
  <c r="E21625" i="5"/>
  <c r="E21617" i="5"/>
  <c r="E21609" i="5"/>
  <c r="E21601" i="5"/>
  <c r="E21593" i="5"/>
  <c r="E21585" i="5"/>
  <c r="E21577" i="5"/>
  <c r="E21569" i="5"/>
  <c r="E21561" i="5"/>
  <c r="E21553" i="5"/>
  <c r="E21545" i="5"/>
  <c r="E21537" i="5"/>
  <c r="E21529" i="5"/>
  <c r="E21521" i="5"/>
  <c r="E21513" i="5"/>
  <c r="E21505" i="5"/>
  <c r="E21497" i="5"/>
  <c r="E21489" i="5"/>
  <c r="E21481" i="5"/>
  <c r="E21473" i="5"/>
  <c r="E21465" i="5"/>
  <c r="E21457" i="5"/>
  <c r="E21449" i="5"/>
  <c r="E21441" i="5"/>
  <c r="E21433" i="5"/>
  <c r="E21425" i="5"/>
  <c r="E21417" i="5"/>
  <c r="E21409" i="5"/>
  <c r="E21401" i="5"/>
  <c r="E21393" i="5"/>
  <c r="E21385" i="5"/>
  <c r="E21377" i="5"/>
  <c r="E21369" i="5"/>
  <c r="E21361" i="5"/>
  <c r="E21353" i="5"/>
  <c r="E21345" i="5"/>
  <c r="E21337" i="5"/>
  <c r="E21329" i="5"/>
  <c r="E21321" i="5"/>
  <c r="E21313" i="5"/>
  <c r="E21305" i="5"/>
  <c r="E21297" i="5"/>
  <c r="E21289" i="5"/>
  <c r="E21281" i="5"/>
  <c r="E21273" i="5"/>
  <c r="E21265" i="5"/>
  <c r="E21257" i="5"/>
  <c r="E21249" i="5"/>
  <c r="E21241" i="5"/>
  <c r="E21233" i="5"/>
  <c r="E21225" i="5"/>
  <c r="E21217" i="5"/>
  <c r="E21209" i="5"/>
  <c r="E21201" i="5"/>
  <c r="E21193" i="5"/>
  <c r="E21185" i="5"/>
  <c r="E21177" i="5"/>
  <c r="E21169" i="5"/>
  <c r="E21161" i="5"/>
  <c r="E21153" i="5"/>
  <c r="E21145" i="5"/>
  <c r="E21137" i="5"/>
  <c r="E21129" i="5"/>
  <c r="E21121" i="5"/>
  <c r="E21113" i="5"/>
  <c r="E21105" i="5"/>
  <c r="E21097" i="5"/>
  <c r="E21089" i="5"/>
  <c r="E21081" i="5"/>
  <c r="E21073" i="5"/>
  <c r="E21065" i="5"/>
  <c r="E21057" i="5"/>
  <c r="E21049" i="5"/>
  <c r="E21041" i="5"/>
  <c r="E21033" i="5"/>
  <c r="E21025" i="5"/>
  <c r="E21017" i="5"/>
  <c r="E21009" i="5"/>
  <c r="E21001" i="5"/>
  <c r="E20993" i="5"/>
  <c r="E20985" i="5"/>
  <c r="E20977" i="5"/>
  <c r="E20969" i="5"/>
  <c r="E20961" i="5"/>
  <c r="E20953" i="5"/>
  <c r="E20945" i="5"/>
  <c r="E20937" i="5"/>
  <c r="E20929" i="5"/>
  <c r="E20921" i="5"/>
  <c r="E20913" i="5"/>
  <c r="E20905" i="5"/>
  <c r="E20897" i="5"/>
  <c r="E20889" i="5"/>
  <c r="E20881" i="5"/>
  <c r="E20873" i="5"/>
  <c r="E20865" i="5"/>
  <c r="E20857" i="5"/>
  <c r="E20849" i="5"/>
  <c r="E20841" i="5"/>
  <c r="E20833" i="5"/>
  <c r="E20825" i="5"/>
  <c r="E20817" i="5"/>
  <c r="E20809" i="5"/>
  <c r="E20801" i="5"/>
  <c r="E20793" i="5"/>
  <c r="E20785" i="5"/>
  <c r="E20777" i="5"/>
  <c r="E20769" i="5"/>
  <c r="E20761" i="5"/>
  <c r="E20753" i="5"/>
  <c r="E20745" i="5"/>
  <c r="E20737" i="5"/>
  <c r="E20729" i="5"/>
  <c r="E20721" i="5"/>
  <c r="E20713" i="5"/>
  <c r="E20705" i="5"/>
  <c r="E20697" i="5"/>
  <c r="E20689" i="5"/>
  <c r="E20681" i="5"/>
  <c r="E20673" i="5"/>
  <c r="E20665" i="5"/>
  <c r="E20657" i="5"/>
  <c r="E20649" i="5"/>
  <c r="E20641" i="5"/>
  <c r="E20633" i="5"/>
  <c r="E20625" i="5"/>
  <c r="E20617" i="5"/>
  <c r="E20609" i="5"/>
  <c r="E20601" i="5"/>
  <c r="E20593" i="5"/>
  <c r="E20585" i="5"/>
  <c r="E20577" i="5"/>
  <c r="E20569" i="5"/>
  <c r="E20561" i="5"/>
  <c r="E20553" i="5"/>
  <c r="E20545" i="5"/>
  <c r="E20537" i="5"/>
  <c r="E20529" i="5"/>
  <c r="E20521" i="5"/>
  <c r="E20513" i="5"/>
  <c r="E20505" i="5"/>
  <c r="E20497" i="5"/>
  <c r="E20489" i="5"/>
  <c r="E20481" i="5"/>
  <c r="E20473" i="5"/>
  <c r="E20465" i="5"/>
  <c r="E20457" i="5"/>
  <c r="E20449" i="5"/>
  <c r="E20441" i="5"/>
  <c r="E20433" i="5"/>
  <c r="E20425" i="5"/>
  <c r="E20417" i="5"/>
  <c r="E20409" i="5"/>
  <c r="E20401" i="5"/>
  <c r="E20393" i="5"/>
  <c r="E20385" i="5"/>
  <c r="E20377" i="5"/>
  <c r="E20369" i="5"/>
  <c r="E20361" i="5"/>
  <c r="E20353" i="5"/>
  <c r="E20345" i="5"/>
  <c r="E20337" i="5"/>
  <c r="E20329" i="5"/>
  <c r="E20321" i="5"/>
  <c r="E20313" i="5"/>
  <c r="E20305" i="5"/>
  <c r="E20297" i="5"/>
  <c r="E20289" i="5"/>
  <c r="E20281" i="5"/>
  <c r="E20273" i="5"/>
  <c r="E20265" i="5"/>
  <c r="E20257" i="5"/>
  <c r="E20249" i="5"/>
  <c r="E20241" i="5"/>
  <c r="E20233" i="5"/>
  <c r="E20225" i="5"/>
  <c r="E20217" i="5"/>
  <c r="E20209" i="5"/>
  <c r="E20201" i="5"/>
  <c r="E20193" i="5"/>
  <c r="E20185" i="5"/>
  <c r="E20177" i="5"/>
  <c r="E20169" i="5"/>
  <c r="E20161" i="5"/>
  <c r="E20153" i="5"/>
  <c r="E20145" i="5"/>
  <c r="E20137" i="5"/>
  <c r="E20129" i="5"/>
  <c r="E20121" i="5"/>
  <c r="E20113" i="5"/>
  <c r="E20105" i="5"/>
  <c r="E20097" i="5"/>
  <c r="E20089" i="5"/>
  <c r="E20081" i="5"/>
  <c r="E20073" i="5"/>
  <c r="E20065" i="5"/>
  <c r="E20057" i="5"/>
  <c r="E20049" i="5"/>
  <c r="E20041" i="5"/>
  <c r="E20033" i="5"/>
  <c r="E20025" i="5"/>
  <c r="E20017" i="5"/>
  <c r="E20009" i="5"/>
  <c r="E20001" i="5"/>
  <c r="E19993" i="5"/>
  <c r="E19985" i="5"/>
  <c r="E19977" i="5"/>
  <c r="E19969" i="5"/>
  <c r="E19961" i="5"/>
  <c r="E19953" i="5"/>
  <c r="E19945" i="5"/>
  <c r="E19937" i="5"/>
  <c r="E19929" i="5"/>
  <c r="E19921" i="5"/>
  <c r="E19913" i="5"/>
  <c r="E19905" i="5"/>
  <c r="E19897" i="5"/>
  <c r="E19889" i="5"/>
  <c r="E19881" i="5"/>
  <c r="E19873" i="5"/>
  <c r="E19865" i="5"/>
  <c r="E19857" i="5"/>
  <c r="E19849" i="5"/>
  <c r="E19841" i="5"/>
  <c r="E19833" i="5"/>
  <c r="E19825" i="5"/>
  <c r="E19817" i="5"/>
  <c r="E19809" i="5"/>
  <c r="E19801" i="5"/>
  <c r="E19793" i="5"/>
  <c r="E19785" i="5"/>
  <c r="E19777" i="5"/>
  <c r="E19769" i="5"/>
  <c r="E19761" i="5"/>
  <c r="E19753" i="5"/>
  <c r="E19745" i="5"/>
  <c r="E19737" i="5"/>
  <c r="E19729" i="5"/>
  <c r="E19721" i="5"/>
  <c r="E19713" i="5"/>
  <c r="E19705" i="5"/>
  <c r="E19697" i="5"/>
  <c r="E19689" i="5"/>
  <c r="E19681" i="5"/>
  <c r="E19673" i="5"/>
  <c r="E19665" i="5"/>
  <c r="E19657" i="5"/>
  <c r="E19649" i="5"/>
  <c r="E19641" i="5"/>
  <c r="E19633" i="5"/>
  <c r="E19625" i="5"/>
  <c r="E19617" i="5"/>
  <c r="E19609" i="5"/>
  <c r="E19601" i="5"/>
  <c r="E19593" i="5"/>
  <c r="E19585" i="5"/>
  <c r="E19577" i="5"/>
  <c r="E19569" i="5"/>
  <c r="E19561" i="5"/>
  <c r="E19553" i="5"/>
  <c r="E19545" i="5"/>
  <c r="E19537" i="5"/>
  <c r="E19529" i="5"/>
  <c r="E19521" i="5"/>
  <c r="E19513" i="5"/>
  <c r="E19505" i="5"/>
  <c r="E19497" i="5"/>
  <c r="E19489" i="5"/>
  <c r="E19481" i="5"/>
  <c r="E19473" i="5"/>
  <c r="E19465" i="5"/>
  <c r="E19457" i="5"/>
  <c r="E19449" i="5"/>
  <c r="E19441" i="5"/>
  <c r="E19433" i="5"/>
  <c r="E19425" i="5"/>
  <c r="E19417" i="5"/>
  <c r="E19409" i="5"/>
  <c r="E19401" i="5"/>
  <c r="E19393" i="5"/>
  <c r="E19385" i="5"/>
  <c r="E19377" i="5"/>
  <c r="E19369" i="5"/>
  <c r="E19361" i="5"/>
  <c r="E19353" i="5"/>
  <c r="E19345" i="5"/>
  <c r="E19337" i="5"/>
  <c r="E19329" i="5"/>
  <c r="E19321" i="5"/>
  <c r="E19313" i="5"/>
  <c r="E19305" i="5"/>
  <c r="E19297" i="5"/>
  <c r="E19289" i="5"/>
  <c r="E19281" i="5"/>
  <c r="E19273" i="5"/>
  <c r="E19265" i="5"/>
  <c r="E19257" i="5"/>
  <c r="E19249" i="5"/>
  <c r="E19241" i="5"/>
  <c r="E19233" i="5"/>
  <c r="E19225" i="5"/>
  <c r="E19217" i="5"/>
  <c r="E19209" i="5"/>
  <c r="E19201" i="5"/>
  <c r="E19193" i="5"/>
  <c r="E19185" i="5"/>
  <c r="E19177" i="5"/>
  <c r="E19169" i="5"/>
  <c r="E19161" i="5"/>
  <c r="E19153" i="5"/>
  <c r="E19145" i="5"/>
  <c r="E19137" i="5"/>
  <c r="E19129" i="5"/>
  <c r="E19121" i="5"/>
  <c r="E19113" i="5"/>
  <c r="E19105" i="5"/>
  <c r="E19097" i="5"/>
  <c r="E19089" i="5"/>
  <c r="E19081" i="5"/>
  <c r="E19073" i="5"/>
  <c r="E19065" i="5"/>
  <c r="E19057" i="5"/>
  <c r="E19049" i="5"/>
  <c r="E19041" i="5"/>
  <c r="E19033" i="5"/>
  <c r="E19025" i="5"/>
  <c r="E19017" i="5"/>
  <c r="E19009" i="5"/>
  <c r="E19001" i="5"/>
  <c r="E18993" i="5"/>
  <c r="E18985" i="5"/>
  <c r="E18977" i="5"/>
  <c r="E18969" i="5"/>
  <c r="E18961" i="5"/>
  <c r="E18953" i="5"/>
  <c r="E18945" i="5"/>
  <c r="E18937" i="5"/>
  <c r="E18929" i="5"/>
  <c r="E18921" i="5"/>
  <c r="E18913" i="5"/>
  <c r="E18905" i="5"/>
  <c r="E18897" i="5"/>
  <c r="E18889" i="5"/>
  <c r="E18881" i="5"/>
  <c r="E18873" i="5"/>
  <c r="E18865" i="5"/>
  <c r="E18857" i="5"/>
  <c r="E18849" i="5"/>
  <c r="E18841" i="5"/>
  <c r="E18833" i="5"/>
  <c r="E18825" i="5"/>
  <c r="E18817" i="5"/>
  <c r="E18809" i="5"/>
  <c r="E18801" i="5"/>
  <c r="E18793" i="5"/>
  <c r="E18785" i="5"/>
  <c r="E18777" i="5"/>
  <c r="E18769" i="5"/>
  <c r="E18761" i="5"/>
  <c r="E18753" i="5"/>
  <c r="E18745" i="5"/>
  <c r="E18737" i="5"/>
  <c r="E18729" i="5"/>
  <c r="E18721" i="5"/>
  <c r="E18713" i="5"/>
  <c r="E18705" i="5"/>
  <c r="E18697" i="5"/>
  <c r="E18689" i="5"/>
  <c r="E18681" i="5"/>
  <c r="E18673" i="5"/>
  <c r="E18665" i="5"/>
  <c r="E18657" i="5"/>
  <c r="E18649" i="5"/>
  <c r="E18641" i="5"/>
  <c r="E18633" i="5"/>
  <c r="E18625" i="5"/>
  <c r="E18617" i="5"/>
  <c r="E18609" i="5"/>
  <c r="E18601" i="5"/>
  <c r="E18593" i="5"/>
  <c r="E18585" i="5"/>
  <c r="E18577" i="5"/>
  <c r="E18569" i="5"/>
  <c r="E18561" i="5"/>
  <c r="E18553" i="5"/>
  <c r="E18545" i="5"/>
  <c r="E18537" i="5"/>
  <c r="E18529" i="5"/>
  <c r="E18521" i="5"/>
  <c r="E18513" i="5"/>
  <c r="E18505" i="5"/>
  <c r="E18497" i="5"/>
  <c r="E18489" i="5"/>
  <c r="E18481" i="5"/>
  <c r="E18473" i="5"/>
  <c r="E18465" i="5"/>
  <c r="E18457" i="5"/>
  <c r="E18449" i="5"/>
  <c r="E18441" i="5"/>
  <c r="E18433" i="5"/>
  <c r="E18425" i="5"/>
  <c r="E18417" i="5"/>
  <c r="E18409" i="5"/>
  <c r="E18401" i="5"/>
  <c r="E18393" i="5"/>
  <c r="E18385" i="5"/>
  <c r="E18377" i="5"/>
  <c r="E18369" i="5"/>
  <c r="E18361" i="5"/>
  <c r="E18353" i="5"/>
  <c r="E18345" i="5"/>
  <c r="E18337" i="5"/>
  <c r="E18329" i="5"/>
  <c r="E18321" i="5"/>
  <c r="E18313" i="5"/>
  <c r="E18305" i="5"/>
  <c r="E18297" i="5"/>
  <c r="E18289" i="5"/>
  <c r="E18281" i="5"/>
  <c r="E18273" i="5"/>
  <c r="E18265" i="5"/>
  <c r="E18257" i="5"/>
  <c r="E18249" i="5"/>
  <c r="E18241" i="5"/>
  <c r="E18233" i="5"/>
  <c r="E18225" i="5"/>
  <c r="E18217" i="5"/>
  <c r="E18209" i="5"/>
  <c r="E18201" i="5"/>
  <c r="E18193" i="5"/>
  <c r="E18185" i="5"/>
  <c r="E18177" i="5"/>
  <c r="E18169" i="5"/>
  <c r="E18161" i="5"/>
  <c r="E18153" i="5"/>
  <c r="E18145" i="5"/>
  <c r="E18137" i="5"/>
  <c r="E18129" i="5"/>
  <c r="E18121" i="5"/>
  <c r="E18113" i="5"/>
  <c r="E18105" i="5"/>
  <c r="E18097" i="5"/>
  <c r="E18089" i="5"/>
  <c r="E18081" i="5"/>
  <c r="E18073" i="5"/>
  <c r="E18065" i="5"/>
  <c r="E18057" i="5"/>
  <c r="E18049" i="5"/>
  <c r="E18041" i="5"/>
  <c r="E18033" i="5"/>
  <c r="E18025" i="5"/>
  <c r="E18017" i="5"/>
  <c r="E18009" i="5"/>
  <c r="E18001" i="5"/>
  <c r="E17993" i="5"/>
  <c r="E17985" i="5"/>
  <c r="E17977" i="5"/>
  <c r="E17969" i="5"/>
  <c r="E17961" i="5"/>
  <c r="E17953" i="5"/>
  <c r="E17945" i="5"/>
  <c r="E17937" i="5"/>
  <c r="E17929" i="5"/>
  <c r="E17921" i="5"/>
  <c r="E17913" i="5"/>
  <c r="E17905" i="5"/>
  <c r="E17897" i="5"/>
  <c r="E17889" i="5"/>
  <c r="E17881" i="5"/>
  <c r="E17873" i="5"/>
  <c r="E17865" i="5"/>
  <c r="E17857" i="5"/>
  <c r="E17849" i="5"/>
  <c r="E17841" i="5"/>
  <c r="E17833" i="5"/>
  <c r="E17825" i="5"/>
  <c r="E17817" i="5"/>
  <c r="E17809" i="5"/>
  <c r="E17801" i="5"/>
  <c r="E17793" i="5"/>
  <c r="E17785" i="5"/>
  <c r="E17777" i="5"/>
  <c r="E17769" i="5"/>
  <c r="E17761" i="5"/>
  <c r="E17753" i="5"/>
  <c r="E17745" i="5"/>
  <c r="E17737" i="5"/>
  <c r="E17729" i="5"/>
  <c r="E17721" i="5"/>
  <c r="E17713" i="5"/>
  <c r="E17705" i="5"/>
  <c r="E17697" i="5"/>
  <c r="E17689" i="5"/>
  <c r="E17681" i="5"/>
  <c r="E17673" i="5"/>
  <c r="E17665" i="5"/>
  <c r="E17657" i="5"/>
  <c r="E17649" i="5"/>
  <c r="E17641" i="5"/>
  <c r="E17633" i="5"/>
  <c r="E17625" i="5"/>
  <c r="E17617" i="5"/>
  <c r="E17609" i="5"/>
  <c r="E17601" i="5"/>
  <c r="E17593" i="5"/>
  <c r="E17585" i="5"/>
  <c r="E17577" i="5"/>
  <c r="E17569" i="5"/>
  <c r="E17561" i="5"/>
  <c r="E17553" i="5"/>
  <c r="E17545" i="5"/>
  <c r="E17537" i="5"/>
  <c r="E17529" i="5"/>
  <c r="E17521" i="5"/>
  <c r="E17513" i="5"/>
  <c r="E17505" i="5"/>
  <c r="E17497" i="5"/>
  <c r="E17489" i="5"/>
  <c r="E17481" i="5"/>
  <c r="E17473" i="5"/>
  <c r="E17465" i="5"/>
  <c r="E17457" i="5"/>
  <c r="E17449" i="5"/>
  <c r="E17441" i="5"/>
  <c r="E17433" i="5"/>
  <c r="E17425" i="5"/>
  <c r="E17417" i="5"/>
  <c r="E17409" i="5"/>
  <c r="E17401" i="5"/>
  <c r="E17393" i="5"/>
  <c r="E17385" i="5"/>
  <c r="E17377" i="5"/>
  <c r="E17369" i="5"/>
  <c r="E17361" i="5"/>
  <c r="E17353" i="5"/>
  <c r="E17345" i="5"/>
  <c r="E17337" i="5"/>
  <c r="E17329" i="5"/>
  <c r="E17321" i="5"/>
  <c r="E17313" i="5"/>
  <c r="E17305" i="5"/>
  <c r="E17297" i="5"/>
  <c r="E17289" i="5"/>
  <c r="E17281" i="5"/>
  <c r="E17273" i="5"/>
  <c r="E17265" i="5"/>
  <c r="E17257" i="5"/>
  <c r="E17249" i="5"/>
  <c r="E17241" i="5"/>
  <c r="E17233" i="5"/>
  <c r="E17225" i="5"/>
  <c r="E17217" i="5"/>
  <c r="E17209" i="5"/>
  <c r="E17201" i="5"/>
  <c r="E17193" i="5"/>
  <c r="E17185" i="5"/>
  <c r="E17177" i="5"/>
  <c r="E17169" i="5"/>
  <c r="E17161" i="5"/>
  <c r="E17153" i="5"/>
  <c r="E17145" i="5"/>
  <c r="E17137" i="5"/>
  <c r="E17129" i="5"/>
  <c r="E17121" i="5"/>
  <c r="E17113" i="5"/>
  <c r="E17105" i="5"/>
  <c r="E17097" i="5"/>
  <c r="E17089" i="5"/>
  <c r="E17081" i="5"/>
  <c r="E17073" i="5"/>
  <c r="E17065" i="5"/>
  <c r="E17057" i="5"/>
  <c r="E17049" i="5"/>
  <c r="E17041" i="5"/>
  <c r="E17033" i="5"/>
  <c r="E17025" i="5"/>
  <c r="E17017" i="5"/>
  <c r="E17009" i="5"/>
  <c r="E17001" i="5"/>
  <c r="E16993" i="5"/>
  <c r="E16985" i="5"/>
  <c r="E16977" i="5"/>
  <c r="E16969" i="5"/>
  <c r="E16961" i="5"/>
  <c r="E16953" i="5"/>
  <c r="E16945" i="5"/>
  <c r="E16937" i="5"/>
  <c r="E16929" i="5"/>
  <c r="E16921" i="5"/>
  <c r="E16913" i="5"/>
  <c r="E16905" i="5"/>
  <c r="E16897" i="5"/>
  <c r="E16889" i="5"/>
  <c r="E16881" i="5"/>
  <c r="E16873" i="5"/>
  <c r="E16865" i="5"/>
  <c r="E16857" i="5"/>
  <c r="E16849" i="5"/>
  <c r="E16841" i="5"/>
  <c r="E16833" i="5"/>
  <c r="E16825" i="5"/>
  <c r="E16817" i="5"/>
  <c r="E16809" i="5"/>
  <c r="E16801" i="5"/>
  <c r="E16793" i="5"/>
  <c r="E16785" i="5"/>
  <c r="E16777" i="5"/>
  <c r="E16769" i="5"/>
  <c r="E16761" i="5"/>
  <c r="E16753" i="5"/>
  <c r="E16745" i="5"/>
  <c r="E16737" i="5"/>
  <c r="E16729" i="5"/>
  <c r="E16721" i="5"/>
  <c r="E16713" i="5"/>
  <c r="E16705" i="5"/>
  <c r="E16697" i="5"/>
  <c r="E16689" i="5"/>
  <c r="E16681" i="5"/>
  <c r="E16673" i="5"/>
  <c r="E16665" i="5"/>
  <c r="E16657" i="5"/>
  <c r="E16649" i="5"/>
  <c r="E16641" i="5"/>
  <c r="E16633" i="5"/>
  <c r="E16625" i="5"/>
  <c r="E16617" i="5"/>
  <c r="E16609" i="5"/>
  <c r="E16601" i="5"/>
  <c r="E16593" i="5"/>
  <c r="E16585" i="5"/>
  <c r="E16577" i="5"/>
  <c r="E16569" i="5"/>
  <c r="E16561" i="5"/>
  <c r="E16553" i="5"/>
  <c r="E16545" i="5"/>
  <c r="E16537" i="5"/>
  <c r="E16529" i="5"/>
  <c r="E16521" i="5"/>
  <c r="E16513" i="5"/>
  <c r="E16505" i="5"/>
  <c r="E16497" i="5"/>
  <c r="E16489" i="5"/>
  <c r="E16481" i="5"/>
  <c r="E16473" i="5"/>
  <c r="E16465" i="5"/>
  <c r="E16457" i="5"/>
  <c r="E16449" i="5"/>
  <c r="E16441" i="5"/>
  <c r="E16433" i="5"/>
  <c r="E16425" i="5"/>
  <c r="E16417" i="5"/>
  <c r="E16409" i="5"/>
  <c r="E16401" i="5"/>
  <c r="E16393" i="5"/>
  <c r="E16385" i="5"/>
  <c r="E16377" i="5"/>
  <c r="E16369" i="5"/>
  <c r="E16361" i="5"/>
  <c r="E16353" i="5"/>
  <c r="E16345" i="5"/>
  <c r="E16337" i="5"/>
  <c r="E16329" i="5"/>
  <c r="E16321" i="5"/>
  <c r="E16313" i="5"/>
  <c r="E16305" i="5"/>
  <c r="E16297" i="5"/>
  <c r="E16289" i="5"/>
  <c r="E16281" i="5"/>
  <c r="E16273" i="5"/>
  <c r="E16265" i="5"/>
  <c r="E16257" i="5"/>
  <c r="E16249" i="5"/>
  <c r="E16241" i="5"/>
  <c r="E16233" i="5"/>
  <c r="E16225" i="5"/>
  <c r="E16217" i="5"/>
  <c r="E16209" i="5"/>
  <c r="E16201" i="5"/>
  <c r="E16193" i="5"/>
  <c r="E16185" i="5"/>
  <c r="E16177" i="5"/>
  <c r="E16169" i="5"/>
  <c r="E16161" i="5"/>
  <c r="E16153" i="5"/>
  <c r="E16145" i="5"/>
  <c r="E16137" i="5"/>
  <c r="E16129" i="5"/>
  <c r="E16121" i="5"/>
  <c r="E16113" i="5"/>
  <c r="E16105" i="5"/>
  <c r="E16097" i="5"/>
  <c r="E16089" i="5"/>
  <c r="E16081" i="5"/>
  <c r="E16073" i="5"/>
  <c r="E16065" i="5"/>
  <c r="E16057" i="5"/>
  <c r="E16049" i="5"/>
  <c r="E16041" i="5"/>
  <c r="E16033" i="5"/>
  <c r="E16025" i="5"/>
  <c r="E16017" i="5"/>
  <c r="E16009" i="5"/>
  <c r="E16001" i="5"/>
  <c r="E15993" i="5"/>
  <c r="E15985" i="5"/>
  <c r="E15977" i="5"/>
  <c r="E15969" i="5"/>
  <c r="E15961" i="5"/>
  <c r="E15953" i="5"/>
  <c r="E15945" i="5"/>
  <c r="E15937" i="5"/>
  <c r="E15929" i="5"/>
  <c r="E15921" i="5"/>
  <c r="E15913" i="5"/>
  <c r="E15905" i="5"/>
  <c r="E15897" i="5"/>
  <c r="E15889" i="5"/>
  <c r="E15881" i="5"/>
  <c r="E15873" i="5"/>
  <c r="E15865" i="5"/>
  <c r="E15857" i="5"/>
  <c r="E15849" i="5"/>
  <c r="E15841" i="5"/>
  <c r="E15833" i="5"/>
  <c r="E15825" i="5"/>
  <c r="E15817" i="5"/>
  <c r="E15809" i="5"/>
  <c r="E15801" i="5"/>
  <c r="E15793" i="5"/>
  <c r="E15785" i="5"/>
  <c r="E15777" i="5"/>
  <c r="E15769" i="5"/>
  <c r="E15761" i="5"/>
  <c r="E15753" i="5"/>
  <c r="E15745" i="5"/>
  <c r="E15737" i="5"/>
  <c r="E15729" i="5"/>
  <c r="E15721" i="5"/>
  <c r="E15713" i="5"/>
  <c r="E15705" i="5"/>
  <c r="E15697" i="5"/>
  <c r="E15689" i="5"/>
  <c r="E15681" i="5"/>
  <c r="E15673" i="5"/>
  <c r="E15665" i="5"/>
  <c r="E15657" i="5"/>
  <c r="E15649" i="5"/>
  <c r="E15641" i="5"/>
  <c r="E15633" i="5"/>
  <c r="E15625" i="5"/>
  <c r="E15617" i="5"/>
  <c r="E15609" i="5"/>
  <c r="E15601" i="5"/>
  <c r="E15593" i="5"/>
  <c r="E15585" i="5"/>
  <c r="E15577" i="5"/>
  <c r="E15569" i="5"/>
  <c r="E15561" i="5"/>
  <c r="E15553" i="5"/>
  <c r="E15545" i="5"/>
  <c r="E15537" i="5"/>
  <c r="E15529" i="5"/>
  <c r="E15521" i="5"/>
  <c r="E15513" i="5"/>
  <c r="E15505" i="5"/>
  <c r="E15497" i="5"/>
  <c r="E15489" i="5"/>
  <c r="E15481" i="5"/>
  <c r="E15473" i="5"/>
  <c r="E15465" i="5"/>
  <c r="E15457" i="5"/>
  <c r="E15449" i="5"/>
  <c r="E15441" i="5"/>
  <c r="E15433" i="5"/>
  <c r="E15425" i="5"/>
  <c r="E15417" i="5"/>
  <c r="E15409" i="5"/>
  <c r="E15401" i="5"/>
  <c r="E15393" i="5"/>
  <c r="E15385" i="5"/>
  <c r="E15377" i="5"/>
  <c r="E15369" i="5"/>
  <c r="E15361" i="5"/>
  <c r="E15353" i="5"/>
  <c r="E15345" i="5"/>
  <c r="E15337" i="5"/>
  <c r="E15329" i="5"/>
  <c r="E15321" i="5"/>
  <c r="E15313" i="5"/>
  <c r="E15305" i="5"/>
  <c r="E15297" i="5"/>
  <c r="E15289" i="5"/>
  <c r="E15281" i="5"/>
  <c r="E15273" i="5"/>
  <c r="E15265" i="5"/>
  <c r="E15257" i="5"/>
  <c r="E15249" i="5"/>
  <c r="E15241" i="5"/>
  <c r="E15233" i="5"/>
  <c r="E15225" i="5"/>
  <c r="E15217" i="5"/>
  <c r="E15209" i="5"/>
  <c r="E15201" i="5"/>
  <c r="E15193" i="5"/>
  <c r="E15185" i="5"/>
  <c r="E15177" i="5"/>
  <c r="E15169" i="5"/>
  <c r="E15161" i="5"/>
  <c r="E15153" i="5"/>
  <c r="E15145" i="5"/>
  <c r="E15137" i="5"/>
  <c r="E15129" i="5"/>
  <c r="E15121" i="5"/>
  <c r="E15113" i="5"/>
  <c r="E15105" i="5"/>
  <c r="E15097" i="5"/>
  <c r="E15089" i="5"/>
  <c r="E15081" i="5"/>
  <c r="E15073" i="5"/>
  <c r="E15065" i="5"/>
  <c r="E15057" i="5"/>
  <c r="E15049" i="5"/>
  <c r="E15041" i="5"/>
  <c r="E15033" i="5"/>
  <c r="E15025" i="5"/>
  <c r="E15017" i="5"/>
  <c r="E15009" i="5"/>
  <c r="E15001" i="5"/>
  <c r="E14993" i="5"/>
  <c r="E14985" i="5"/>
  <c r="E14977" i="5"/>
  <c r="E14969" i="5"/>
  <c r="E14961" i="5"/>
  <c r="E14953" i="5"/>
  <c r="E14945" i="5"/>
  <c r="E14937" i="5"/>
  <c r="E14929" i="5"/>
  <c r="E14921" i="5"/>
  <c r="E14913" i="5"/>
  <c r="E14905" i="5"/>
  <c r="E14897" i="5"/>
  <c r="E14889" i="5"/>
  <c r="E14881" i="5"/>
  <c r="E14873" i="5"/>
  <c r="E14865" i="5"/>
  <c r="E14857" i="5"/>
  <c r="E14849" i="5"/>
  <c r="E14841" i="5"/>
  <c r="E14833" i="5"/>
  <c r="E14825" i="5"/>
  <c r="E14817" i="5"/>
  <c r="E14809" i="5"/>
  <c r="E14801" i="5"/>
  <c r="E14793" i="5"/>
  <c r="E14785" i="5"/>
  <c r="E14777" i="5"/>
  <c r="E14769" i="5"/>
  <c r="E14761" i="5"/>
  <c r="E14753" i="5"/>
  <c r="E14745" i="5"/>
  <c r="E14737" i="5"/>
  <c r="E14729" i="5"/>
  <c r="E14721" i="5"/>
  <c r="E14713" i="5"/>
  <c r="E14705" i="5"/>
  <c r="E14697" i="5"/>
  <c r="E14689" i="5"/>
  <c r="E14681" i="5"/>
  <c r="E14673" i="5"/>
  <c r="E14665" i="5"/>
  <c r="E14657" i="5"/>
  <c r="E14649" i="5"/>
  <c r="E14641" i="5"/>
  <c r="E14633" i="5"/>
  <c r="E14625" i="5"/>
  <c r="E14617" i="5"/>
  <c r="E14609" i="5"/>
  <c r="E14601" i="5"/>
  <c r="E14593" i="5"/>
  <c r="E14585" i="5"/>
  <c r="E14577" i="5"/>
  <c r="E14569" i="5"/>
  <c r="E14561" i="5"/>
  <c r="E14553" i="5"/>
  <c r="E14545" i="5"/>
  <c r="E14537" i="5"/>
  <c r="E14529" i="5"/>
  <c r="E14521" i="5"/>
  <c r="E14513" i="5"/>
  <c r="E14505" i="5"/>
  <c r="E14497" i="5"/>
  <c r="E14489" i="5"/>
  <c r="E14481" i="5"/>
  <c r="E14473" i="5"/>
  <c r="E14465" i="5"/>
  <c r="E14457" i="5"/>
  <c r="E14449" i="5"/>
  <c r="E14441" i="5"/>
  <c r="E14433" i="5"/>
  <c r="E14425" i="5"/>
  <c r="E14417" i="5"/>
  <c r="E14409" i="5"/>
  <c r="E14401" i="5"/>
  <c r="E14393" i="5"/>
  <c r="E14385" i="5"/>
  <c r="E14377" i="5"/>
  <c r="E14369" i="5"/>
  <c r="E14361" i="5"/>
  <c r="E14353" i="5"/>
  <c r="E14345" i="5"/>
  <c r="E14337" i="5"/>
  <c r="E14329" i="5"/>
  <c r="E14321" i="5"/>
  <c r="E14313" i="5"/>
  <c r="E14305" i="5"/>
  <c r="E14297" i="5"/>
  <c r="E14289" i="5"/>
  <c r="E14281" i="5"/>
  <c r="E14273" i="5"/>
  <c r="E14265" i="5"/>
  <c r="E14257" i="5"/>
  <c r="E14249" i="5"/>
  <c r="E14241" i="5"/>
  <c r="E14233" i="5"/>
  <c r="E14225" i="5"/>
  <c r="E14217" i="5"/>
  <c r="E14209" i="5"/>
  <c r="E14201" i="5"/>
  <c r="E14193" i="5"/>
  <c r="E14185" i="5"/>
  <c r="E14177" i="5"/>
  <c r="E14169" i="5"/>
  <c r="E14161" i="5"/>
  <c r="E14153" i="5"/>
  <c r="E14145" i="5"/>
  <c r="E14137" i="5"/>
  <c r="E14129" i="5"/>
  <c r="E14121" i="5"/>
  <c r="E14113" i="5"/>
  <c r="E14105" i="5"/>
  <c r="E14097" i="5"/>
  <c r="E14089" i="5"/>
  <c r="E14081" i="5"/>
  <c r="E14073" i="5"/>
  <c r="E14065" i="5"/>
  <c r="E14057" i="5"/>
  <c r="E14049" i="5"/>
  <c r="E14041" i="5"/>
  <c r="E14033" i="5"/>
  <c r="E14025" i="5"/>
  <c r="E14017" i="5"/>
  <c r="E14009" i="5"/>
  <c r="E14001" i="5"/>
  <c r="E13993" i="5"/>
  <c r="E13985" i="5"/>
  <c r="E13977" i="5"/>
  <c r="E13969" i="5"/>
  <c r="E13961" i="5"/>
  <c r="E13953" i="5"/>
  <c r="E13945" i="5"/>
  <c r="E13937" i="5"/>
  <c r="E13929" i="5"/>
  <c r="E13921" i="5"/>
  <c r="E13913" i="5"/>
  <c r="E13905" i="5"/>
  <c r="E13897" i="5"/>
  <c r="E13889" i="5"/>
  <c r="E13881" i="5"/>
  <c r="E13873" i="5"/>
  <c r="E13865" i="5"/>
  <c r="E13857" i="5"/>
  <c r="E13849" i="5"/>
  <c r="E13841" i="5"/>
  <c r="E13833" i="5"/>
  <c r="E13825" i="5"/>
  <c r="E13817" i="5"/>
  <c r="E13809" i="5"/>
  <c r="E13801" i="5"/>
  <c r="E13793" i="5"/>
  <c r="E13785" i="5"/>
  <c r="E13777" i="5"/>
  <c r="E13769" i="5"/>
  <c r="E13761" i="5"/>
  <c r="E13753" i="5"/>
  <c r="E13745" i="5"/>
  <c r="E13737" i="5"/>
  <c r="E13729" i="5"/>
  <c r="E13721" i="5"/>
  <c r="E13713" i="5"/>
  <c r="E13705" i="5"/>
  <c r="E13697" i="5"/>
  <c r="E13689" i="5"/>
  <c r="E13681" i="5"/>
  <c r="E13673" i="5"/>
  <c r="E13665" i="5"/>
  <c r="E13657" i="5"/>
  <c r="E13649" i="5"/>
  <c r="E13641" i="5"/>
  <c r="E13633" i="5"/>
  <c r="E13625" i="5"/>
  <c r="E13617" i="5"/>
  <c r="E13609" i="5"/>
  <c r="E13601" i="5"/>
  <c r="E13593" i="5"/>
  <c r="E13585" i="5"/>
  <c r="E13577" i="5"/>
  <c r="E13569" i="5"/>
  <c r="E13561" i="5"/>
  <c r="E13553" i="5"/>
  <c r="E13545" i="5"/>
  <c r="E13537" i="5"/>
  <c r="E13529" i="5"/>
  <c r="E13521" i="5"/>
  <c r="E13513" i="5"/>
  <c r="E13505" i="5"/>
  <c r="E13497" i="5"/>
  <c r="E13489" i="5"/>
  <c r="E13481" i="5"/>
  <c r="E13473" i="5"/>
  <c r="E13465" i="5"/>
  <c r="E13457" i="5"/>
  <c r="E13449" i="5"/>
  <c r="E13441" i="5"/>
  <c r="E13433" i="5"/>
  <c r="E13425" i="5"/>
  <c r="E13417" i="5"/>
  <c r="E13409" i="5"/>
  <c r="E13401" i="5"/>
  <c r="E13393" i="5"/>
  <c r="E13385" i="5"/>
  <c r="E13377" i="5"/>
  <c r="E13369" i="5"/>
  <c r="E13361" i="5"/>
  <c r="E13353" i="5"/>
  <c r="E13345" i="5"/>
  <c r="E13337" i="5"/>
  <c r="E13329" i="5"/>
  <c r="E13321" i="5"/>
  <c r="E13313" i="5"/>
  <c r="E13305" i="5"/>
  <c r="E13297" i="5"/>
  <c r="E13289" i="5"/>
  <c r="E13281" i="5"/>
  <c r="E13273" i="5"/>
  <c r="E13265" i="5"/>
  <c r="E13257" i="5"/>
  <c r="E13249" i="5"/>
  <c r="E13241" i="5"/>
  <c r="E13233" i="5"/>
  <c r="E13225" i="5"/>
  <c r="E13217" i="5"/>
  <c r="E13209" i="5"/>
  <c r="E13201" i="5"/>
  <c r="E13193" i="5"/>
  <c r="E13185" i="5"/>
  <c r="E13177" i="5"/>
  <c r="E13169" i="5"/>
  <c r="E13161" i="5"/>
  <c r="E13153" i="5"/>
  <c r="E13145" i="5"/>
  <c r="E13137" i="5"/>
  <c r="E13129" i="5"/>
  <c r="E13121" i="5"/>
  <c r="E13113" i="5"/>
  <c r="E13105" i="5"/>
  <c r="E13097" i="5"/>
  <c r="E13089" i="5"/>
  <c r="E13081" i="5"/>
  <c r="E13073" i="5"/>
  <c r="E13065" i="5"/>
  <c r="E13057" i="5"/>
  <c r="E13049" i="5"/>
  <c r="E13041" i="5"/>
  <c r="E13033" i="5"/>
  <c r="E13025" i="5"/>
  <c r="E13017" i="5"/>
  <c r="E13009" i="5"/>
  <c r="E13001" i="5"/>
  <c r="E12993" i="5"/>
  <c r="E12985" i="5"/>
  <c r="E12977" i="5"/>
  <c r="E12969" i="5"/>
  <c r="E12961" i="5"/>
  <c r="E12953" i="5"/>
  <c r="E12945" i="5"/>
  <c r="E12937" i="5"/>
  <c r="E12929" i="5"/>
  <c r="E12921" i="5"/>
  <c r="E12913" i="5"/>
  <c r="E12905" i="5"/>
  <c r="E12897" i="5"/>
  <c r="E12889" i="5"/>
  <c r="E12881" i="5"/>
  <c r="E12873" i="5"/>
  <c r="E12865" i="5"/>
  <c r="E12857" i="5"/>
  <c r="E12849" i="5"/>
  <c r="E12841" i="5"/>
  <c r="E12833" i="5"/>
  <c r="E12825" i="5"/>
  <c r="E12817" i="5"/>
  <c r="E12809" i="5"/>
  <c r="E12801" i="5"/>
  <c r="E12793" i="5"/>
  <c r="E12785" i="5"/>
  <c r="E12777" i="5"/>
  <c r="E12769" i="5"/>
  <c r="E12761" i="5"/>
  <c r="E12753" i="5"/>
  <c r="E12745" i="5"/>
  <c r="E12737" i="5"/>
  <c r="E12729" i="5"/>
  <c r="E12721" i="5"/>
  <c r="E12713" i="5"/>
  <c r="E12705" i="5"/>
  <c r="E12697" i="5"/>
  <c r="E12689" i="5"/>
  <c r="E12681" i="5"/>
  <c r="E12673" i="5"/>
  <c r="E12665" i="5"/>
  <c r="E12657" i="5"/>
  <c r="E12649" i="5"/>
  <c r="E12641" i="5"/>
  <c r="E12633" i="5"/>
  <c r="E12625" i="5"/>
  <c r="E12617" i="5"/>
  <c r="E12609" i="5"/>
  <c r="E12601" i="5"/>
  <c r="E12593" i="5"/>
  <c r="E12585" i="5"/>
  <c r="E12577" i="5"/>
  <c r="E12569" i="5"/>
  <c r="E12561" i="5"/>
  <c r="E12553" i="5"/>
  <c r="E12545" i="5"/>
  <c r="E12537" i="5"/>
  <c r="E12529" i="5"/>
  <c r="E12521" i="5"/>
  <c r="E12513" i="5"/>
  <c r="E12505" i="5"/>
  <c r="E12497" i="5"/>
  <c r="E12489" i="5"/>
  <c r="E12481" i="5"/>
  <c r="E12473" i="5"/>
  <c r="E12465" i="5"/>
  <c r="E12457" i="5"/>
  <c r="E12449" i="5"/>
  <c r="E12441" i="5"/>
  <c r="E12433" i="5"/>
  <c r="E12425" i="5"/>
  <c r="E12417" i="5"/>
  <c r="E12409" i="5"/>
  <c r="E12401" i="5"/>
  <c r="E12393" i="5"/>
  <c r="E12385" i="5"/>
  <c r="E12377" i="5"/>
  <c r="E12369" i="5"/>
  <c r="E12361" i="5"/>
  <c r="E12353" i="5"/>
  <c r="E12345" i="5"/>
  <c r="E12337" i="5"/>
  <c r="E12329" i="5"/>
  <c r="E12321" i="5"/>
  <c r="E12313" i="5"/>
  <c r="E12305" i="5"/>
  <c r="E12297" i="5"/>
  <c r="E12289" i="5"/>
  <c r="E12281" i="5"/>
  <c r="E12273" i="5"/>
  <c r="E12265" i="5"/>
  <c r="E12257" i="5"/>
  <c r="E12249" i="5"/>
  <c r="E12241" i="5"/>
  <c r="E12233" i="5"/>
  <c r="E12225" i="5"/>
  <c r="E12217" i="5"/>
  <c r="E12209" i="5"/>
  <c r="E12201" i="5"/>
  <c r="E12193" i="5"/>
  <c r="E12185" i="5"/>
  <c r="E12177" i="5"/>
  <c r="E12169" i="5"/>
  <c r="E12161" i="5"/>
  <c r="E12153" i="5"/>
  <c r="E12145" i="5"/>
  <c r="E12137" i="5"/>
  <c r="E12129" i="5"/>
  <c r="E12121" i="5"/>
  <c r="E12113" i="5"/>
  <c r="E12105" i="5"/>
  <c r="E12097" i="5"/>
  <c r="E12089" i="5"/>
  <c r="E12081" i="5"/>
  <c r="E12073" i="5"/>
  <c r="E12065" i="5"/>
  <c r="E12057" i="5"/>
  <c r="E12049" i="5"/>
  <c r="E12041" i="5"/>
  <c r="E12033" i="5"/>
  <c r="E12025" i="5"/>
  <c r="E12017" i="5"/>
  <c r="E12009" i="5"/>
  <c r="E12001" i="5"/>
  <c r="E11993" i="5"/>
  <c r="E11985" i="5"/>
  <c r="E11977" i="5"/>
  <c r="E11969" i="5"/>
  <c r="E11961" i="5"/>
  <c r="E11953" i="5"/>
  <c r="E11945" i="5"/>
  <c r="E11937" i="5"/>
  <c r="E11929" i="5"/>
  <c r="E11921" i="5"/>
  <c r="E11913" i="5"/>
  <c r="E11905" i="5"/>
  <c r="E11897" i="5"/>
  <c r="E11889" i="5"/>
  <c r="E11881" i="5"/>
  <c r="E11873" i="5"/>
  <c r="E11865" i="5"/>
  <c r="E11857" i="5"/>
  <c r="E11849" i="5"/>
  <c r="E11841" i="5"/>
  <c r="E11833" i="5"/>
  <c r="E11825" i="5"/>
  <c r="E11817" i="5"/>
  <c r="E11809" i="5"/>
  <c r="E11801" i="5"/>
  <c r="E11793" i="5"/>
  <c r="E11785" i="5"/>
  <c r="E11777" i="5"/>
  <c r="E11769" i="5"/>
  <c r="E11761" i="5"/>
  <c r="E11753" i="5"/>
  <c r="E11745" i="5"/>
  <c r="E11737" i="5"/>
  <c r="E11729" i="5"/>
  <c r="E11721" i="5"/>
  <c r="E11713" i="5"/>
  <c r="E11705" i="5"/>
  <c r="E11697" i="5"/>
  <c r="E11689" i="5"/>
  <c r="E11681" i="5"/>
  <c r="E11673" i="5"/>
  <c r="E11665" i="5"/>
  <c r="E11657" i="5"/>
  <c r="E11649" i="5"/>
  <c r="E11641" i="5"/>
  <c r="E11633" i="5"/>
  <c r="E11625" i="5"/>
  <c r="E11617" i="5"/>
  <c r="E11609" i="5"/>
  <c r="E11601" i="5"/>
  <c r="E11593" i="5"/>
  <c r="E11585" i="5"/>
  <c r="E11577" i="5"/>
  <c r="E11569" i="5"/>
  <c r="E11561" i="5"/>
  <c r="E11553" i="5"/>
  <c r="E11545" i="5"/>
  <c r="E11537" i="5"/>
  <c r="E11529" i="5"/>
  <c r="E11521" i="5"/>
  <c r="E11513" i="5"/>
  <c r="E11505" i="5"/>
  <c r="E11497" i="5"/>
  <c r="E11489" i="5"/>
  <c r="E11481" i="5"/>
  <c r="E11473" i="5"/>
  <c r="E11465" i="5"/>
  <c r="E11457" i="5"/>
  <c r="E11449" i="5"/>
  <c r="E11441" i="5"/>
  <c r="E11433" i="5"/>
  <c r="E11425" i="5"/>
  <c r="E11417" i="5"/>
  <c r="E11409" i="5"/>
  <c r="E11401" i="5"/>
  <c r="E11393" i="5"/>
  <c r="E11385" i="5"/>
  <c r="E11377" i="5"/>
  <c r="E11369" i="5"/>
  <c r="E11361" i="5"/>
  <c r="E11353" i="5"/>
  <c r="E11345" i="5"/>
  <c r="E11337" i="5"/>
  <c r="E11329" i="5"/>
  <c r="E11321" i="5"/>
  <c r="E11313" i="5"/>
  <c r="E11305" i="5"/>
  <c r="E11297" i="5"/>
  <c r="E11289" i="5"/>
  <c r="E11281" i="5"/>
  <c r="E11273" i="5"/>
  <c r="E11265" i="5"/>
  <c r="E11257" i="5"/>
  <c r="E11249" i="5"/>
  <c r="E11241" i="5"/>
  <c r="E11233" i="5"/>
  <c r="E11225" i="5"/>
  <c r="E11217" i="5"/>
  <c r="E11209" i="5"/>
  <c r="E11201" i="5"/>
  <c r="E11193" i="5"/>
  <c r="E11185" i="5"/>
  <c r="E11177" i="5"/>
  <c r="E11169" i="5"/>
  <c r="E11161" i="5"/>
  <c r="E11153" i="5"/>
  <c r="E11145" i="5"/>
  <c r="E11137" i="5"/>
  <c r="E11129" i="5"/>
  <c r="E11121" i="5"/>
  <c r="E11113" i="5"/>
  <c r="E11105" i="5"/>
  <c r="E11097" i="5"/>
  <c r="E11089" i="5"/>
  <c r="E11081" i="5"/>
  <c r="E11073" i="5"/>
  <c r="E11065" i="5"/>
  <c r="E11057" i="5"/>
  <c r="E11049" i="5"/>
  <c r="E11041" i="5"/>
  <c r="E11033" i="5"/>
  <c r="E11025" i="5"/>
  <c r="E11017" i="5"/>
  <c r="E11009" i="5"/>
  <c r="E11001" i="5"/>
  <c r="E10993" i="5"/>
  <c r="E10985" i="5"/>
  <c r="E10977" i="5"/>
  <c r="E10969" i="5"/>
  <c r="E10961" i="5"/>
  <c r="E10953" i="5"/>
  <c r="E10945" i="5"/>
  <c r="E10937" i="5"/>
  <c r="E10929" i="5"/>
  <c r="E10921" i="5"/>
  <c r="E10913" i="5"/>
  <c r="E10905" i="5"/>
  <c r="E10897" i="5"/>
  <c r="E10889" i="5"/>
  <c r="E10881" i="5"/>
  <c r="E10873" i="5"/>
  <c r="E10865" i="5"/>
  <c r="E10857" i="5"/>
  <c r="E10849" i="5"/>
  <c r="E10841" i="5"/>
  <c r="E10833" i="5"/>
  <c r="E10825" i="5"/>
  <c r="E10817" i="5"/>
  <c r="E10809" i="5"/>
  <c r="E10801" i="5"/>
  <c r="E10793" i="5"/>
  <c r="E10785" i="5"/>
  <c r="E10777" i="5"/>
  <c r="E10769" i="5"/>
  <c r="E10761" i="5"/>
  <c r="E10753" i="5"/>
  <c r="E10745" i="5"/>
  <c r="E10737" i="5"/>
  <c r="E10729" i="5"/>
  <c r="E10721" i="5"/>
  <c r="E10713" i="5"/>
  <c r="E10705" i="5"/>
  <c r="E10697" i="5"/>
  <c r="E10689" i="5"/>
  <c r="E10681" i="5"/>
  <c r="E10673" i="5"/>
  <c r="E10665" i="5"/>
  <c r="E10657" i="5"/>
  <c r="E10649" i="5"/>
  <c r="E10641" i="5"/>
  <c r="E10633" i="5"/>
  <c r="E10625" i="5"/>
  <c r="E10617" i="5"/>
  <c r="E10609" i="5"/>
  <c r="E10601" i="5"/>
  <c r="E10593" i="5"/>
  <c r="E10585" i="5"/>
  <c r="E10577" i="5"/>
  <c r="E10569" i="5"/>
  <c r="E10561" i="5"/>
  <c r="E10553" i="5"/>
  <c r="E10545" i="5"/>
  <c r="E10537" i="5"/>
  <c r="E10529" i="5"/>
  <c r="E10521" i="5"/>
  <c r="E10513" i="5"/>
  <c r="E10505" i="5"/>
  <c r="E10497" i="5"/>
  <c r="E10489" i="5"/>
  <c r="E10481" i="5"/>
  <c r="E10473" i="5"/>
  <c r="E10465" i="5"/>
  <c r="E10457" i="5"/>
  <c r="E10449" i="5"/>
  <c r="E10441" i="5"/>
  <c r="E10433" i="5"/>
  <c r="E10425" i="5"/>
  <c r="E10417" i="5"/>
  <c r="E10409" i="5"/>
  <c r="E10401" i="5"/>
  <c r="E10393" i="5"/>
  <c r="E10385" i="5"/>
  <c r="E10377" i="5"/>
  <c r="E10369" i="5"/>
  <c r="E10361" i="5"/>
  <c r="E10353" i="5"/>
  <c r="E10345" i="5"/>
  <c r="E10337" i="5"/>
  <c r="E10329" i="5"/>
  <c r="E10321" i="5"/>
  <c r="E10313" i="5"/>
  <c r="E10305" i="5"/>
  <c r="E10297" i="5"/>
  <c r="E10289" i="5"/>
  <c r="E10281" i="5"/>
  <c r="E10273" i="5"/>
  <c r="E10265" i="5"/>
  <c r="E10257" i="5"/>
  <c r="E10249" i="5"/>
  <c r="E10241" i="5"/>
  <c r="E10233" i="5"/>
  <c r="E10225" i="5"/>
  <c r="E10217" i="5"/>
  <c r="E10209" i="5"/>
  <c r="E10201" i="5"/>
  <c r="E10193" i="5"/>
  <c r="E10185" i="5"/>
  <c r="E10177" i="5"/>
  <c r="E10169" i="5"/>
  <c r="E10161" i="5"/>
  <c r="E10153" i="5"/>
  <c r="E10145" i="5"/>
  <c r="E10137" i="5"/>
  <c r="E10129" i="5"/>
  <c r="E10121" i="5"/>
  <c r="E10113" i="5"/>
  <c r="E10105" i="5"/>
  <c r="E10097" i="5"/>
  <c r="E10089" i="5"/>
  <c r="E10081" i="5"/>
  <c r="E10073" i="5"/>
  <c r="E10065" i="5"/>
  <c r="E10057" i="5"/>
  <c r="E10049" i="5"/>
  <c r="E10041" i="5"/>
  <c r="E10033" i="5"/>
  <c r="E10025" i="5"/>
  <c r="E10017" i="5"/>
  <c r="E10009" i="5"/>
  <c r="E10001" i="5"/>
  <c r="E9993" i="5"/>
  <c r="E9985" i="5"/>
  <c r="E9977" i="5"/>
  <c r="E9969" i="5"/>
  <c r="E9961" i="5"/>
  <c r="E9953" i="5"/>
  <c r="E9945" i="5"/>
  <c r="E9937" i="5"/>
  <c r="E9929" i="5"/>
  <c r="E9921" i="5"/>
  <c r="E9913" i="5"/>
  <c r="E9905" i="5"/>
  <c r="E9897" i="5"/>
  <c r="E9889" i="5"/>
  <c r="E9881" i="5"/>
  <c r="E9873" i="5"/>
  <c r="E9865" i="5"/>
  <c r="E9857" i="5"/>
  <c r="E9849" i="5"/>
  <c r="E9841" i="5"/>
  <c r="E9833" i="5"/>
  <c r="E9825" i="5"/>
  <c r="E9817" i="5"/>
  <c r="E9809" i="5"/>
  <c r="E9801" i="5"/>
  <c r="E9793" i="5"/>
  <c r="E9785" i="5"/>
  <c r="E9777" i="5"/>
  <c r="E9769" i="5"/>
  <c r="E9761" i="5"/>
  <c r="E9753" i="5"/>
  <c r="E9745" i="5"/>
  <c r="E9737" i="5"/>
  <c r="E9729" i="5"/>
  <c r="E9721" i="5"/>
  <c r="E9713" i="5"/>
  <c r="E9705" i="5"/>
  <c r="E9697" i="5"/>
  <c r="E9689" i="5"/>
  <c r="E9681" i="5"/>
  <c r="E9673" i="5"/>
  <c r="E9665" i="5"/>
  <c r="E9657" i="5"/>
  <c r="E9649" i="5"/>
  <c r="E9641" i="5"/>
  <c r="E9633" i="5"/>
  <c r="E9625" i="5"/>
  <c r="E9617" i="5"/>
  <c r="E9609" i="5"/>
  <c r="E9601" i="5"/>
  <c r="E9593" i="5"/>
  <c r="E9585" i="5"/>
  <c r="E9577" i="5"/>
  <c r="E9569" i="5"/>
  <c r="E9561" i="5"/>
  <c r="E9553" i="5"/>
  <c r="E9545" i="5"/>
  <c r="E9537" i="5"/>
  <c r="E9529" i="5"/>
  <c r="E9521" i="5"/>
  <c r="E9513" i="5"/>
  <c r="E9505" i="5"/>
  <c r="E9497" i="5"/>
  <c r="E9489" i="5"/>
  <c r="E9481" i="5"/>
  <c r="E9473" i="5"/>
  <c r="E9465" i="5"/>
  <c r="E9457" i="5"/>
  <c r="E9449" i="5"/>
  <c r="E9441" i="5"/>
  <c r="E9433" i="5"/>
  <c r="E9425" i="5"/>
  <c r="E9417" i="5"/>
  <c r="E9409" i="5"/>
  <c r="E9401" i="5"/>
  <c r="E9393" i="5"/>
  <c r="E9385" i="5"/>
  <c r="E9377" i="5"/>
  <c r="E9369" i="5"/>
  <c r="E9361" i="5"/>
  <c r="E9353" i="5"/>
  <c r="E9345" i="5"/>
  <c r="E9337" i="5"/>
  <c r="E9329" i="5"/>
  <c r="E9321" i="5"/>
  <c r="E9313" i="5"/>
  <c r="E9305" i="5"/>
  <c r="E9297" i="5"/>
  <c r="E9289" i="5"/>
  <c r="E9281" i="5"/>
  <c r="E9273" i="5"/>
  <c r="E9265" i="5"/>
  <c r="E9257" i="5"/>
  <c r="E9249" i="5"/>
  <c r="E9241" i="5"/>
  <c r="E9233" i="5"/>
  <c r="E9225" i="5"/>
  <c r="E9217" i="5"/>
  <c r="E9209" i="5"/>
  <c r="E9201" i="5"/>
  <c r="E9193" i="5"/>
  <c r="E9185" i="5"/>
  <c r="E9177" i="5"/>
  <c r="E9169" i="5"/>
  <c r="E9161" i="5"/>
  <c r="E9153" i="5"/>
  <c r="E9145" i="5"/>
  <c r="E9137" i="5"/>
  <c r="E9129" i="5"/>
  <c r="E9121" i="5"/>
  <c r="E9113" i="5"/>
  <c r="E9105" i="5"/>
  <c r="E9097" i="5"/>
  <c r="E9089" i="5"/>
  <c r="E9081" i="5"/>
  <c r="E9073" i="5"/>
  <c r="E9065" i="5"/>
  <c r="E9057" i="5"/>
  <c r="E9049" i="5"/>
  <c r="E9041" i="5"/>
  <c r="E9033" i="5"/>
  <c r="E9025" i="5"/>
  <c r="E9017" i="5"/>
  <c r="E9009" i="5"/>
  <c r="E9001" i="5"/>
  <c r="E8993" i="5"/>
  <c r="E8985" i="5"/>
  <c r="E8977" i="5"/>
  <c r="E8969" i="5"/>
  <c r="E8961" i="5"/>
  <c r="E8953" i="5"/>
  <c r="E8945" i="5"/>
  <c r="E8937" i="5"/>
  <c r="E8929" i="5"/>
  <c r="E8921" i="5"/>
  <c r="E8913" i="5"/>
  <c r="E8905" i="5"/>
  <c r="E8897" i="5"/>
  <c r="E8889" i="5"/>
  <c r="E8881" i="5"/>
  <c r="E8873" i="5"/>
  <c r="E8865" i="5"/>
  <c r="E8857" i="5"/>
  <c r="E8849" i="5"/>
  <c r="E8841" i="5"/>
  <c r="E8833" i="5"/>
  <c r="E8825" i="5"/>
  <c r="E8817" i="5"/>
  <c r="E8809" i="5"/>
  <c r="E8801" i="5"/>
  <c r="E8793" i="5"/>
  <c r="E8785" i="5"/>
  <c r="E8777" i="5"/>
  <c r="E8769" i="5"/>
  <c r="E8761" i="5"/>
  <c r="E8753" i="5"/>
  <c r="E8745" i="5"/>
  <c r="E8737" i="5"/>
  <c r="E8729" i="5"/>
  <c r="E8721" i="5"/>
  <c r="E8713" i="5"/>
  <c r="E8705" i="5"/>
  <c r="E8697" i="5"/>
  <c r="E8689" i="5"/>
  <c r="E8681" i="5"/>
  <c r="E8673" i="5"/>
  <c r="E8665" i="5"/>
  <c r="E8657" i="5"/>
  <c r="E8649" i="5"/>
  <c r="E8641" i="5"/>
  <c r="E8633" i="5"/>
  <c r="E8625" i="5"/>
  <c r="E8617" i="5"/>
  <c r="E8609" i="5"/>
  <c r="E8601" i="5"/>
  <c r="E8593" i="5"/>
  <c r="E8585" i="5"/>
  <c r="E8577" i="5"/>
  <c r="E8569" i="5"/>
  <c r="E8561" i="5"/>
  <c r="E8553" i="5"/>
  <c r="E8545" i="5"/>
  <c r="E8537" i="5"/>
  <c r="E8529" i="5"/>
  <c r="E8521" i="5"/>
  <c r="E8513" i="5"/>
  <c r="E8505" i="5"/>
  <c r="E8497" i="5"/>
  <c r="E8489" i="5"/>
  <c r="E8481" i="5"/>
  <c r="E8473" i="5"/>
  <c r="E8465" i="5"/>
  <c r="E8457" i="5"/>
  <c r="E8449" i="5"/>
  <c r="E8441" i="5"/>
  <c r="E8433" i="5"/>
  <c r="E8425" i="5"/>
  <c r="E8417" i="5"/>
  <c r="E8409" i="5"/>
  <c r="E8401" i="5"/>
  <c r="E8393" i="5"/>
  <c r="E8385" i="5"/>
  <c r="E8377" i="5"/>
  <c r="E8369" i="5"/>
  <c r="E8361" i="5"/>
  <c r="E8353" i="5"/>
  <c r="E8345" i="5"/>
  <c r="E8337" i="5"/>
  <c r="E8329" i="5"/>
  <c r="E8321" i="5"/>
  <c r="E8313" i="5"/>
  <c r="E8305" i="5"/>
  <c r="E8297" i="5"/>
  <c r="E8289" i="5"/>
  <c r="E8281" i="5"/>
  <c r="E8273" i="5"/>
  <c r="E8265" i="5"/>
  <c r="E8257" i="5"/>
  <c r="E8249" i="5"/>
  <c r="E8241" i="5"/>
  <c r="E8233" i="5"/>
  <c r="E8225" i="5"/>
  <c r="E8217" i="5"/>
  <c r="E8209" i="5"/>
  <c r="E8201" i="5"/>
  <c r="E8193" i="5"/>
  <c r="E8185" i="5"/>
  <c r="E8177" i="5"/>
  <c r="E8169" i="5"/>
  <c r="E8161" i="5"/>
  <c r="E8153" i="5"/>
  <c r="E8145" i="5"/>
  <c r="E8137" i="5"/>
  <c r="E8129" i="5"/>
  <c r="E8121" i="5"/>
  <c r="E8113" i="5"/>
  <c r="E8105" i="5"/>
  <c r="E8097" i="5"/>
  <c r="E8089" i="5"/>
  <c r="E8081" i="5"/>
  <c r="E8073" i="5"/>
  <c r="E8065" i="5"/>
  <c r="E8057" i="5"/>
  <c r="E8049" i="5"/>
  <c r="E8041" i="5"/>
  <c r="E8033" i="5"/>
  <c r="E8025" i="5"/>
  <c r="E8017" i="5"/>
  <c r="E8009" i="5"/>
  <c r="E8001" i="5"/>
  <c r="E7993" i="5"/>
  <c r="E7985" i="5"/>
  <c r="E7977" i="5"/>
  <c r="E7969" i="5"/>
  <c r="E7961" i="5"/>
  <c r="E7953" i="5"/>
  <c r="E7945" i="5"/>
  <c r="E7937" i="5"/>
  <c r="E7929" i="5"/>
  <c r="E7921" i="5"/>
  <c r="E7913" i="5"/>
  <c r="E7905" i="5"/>
  <c r="E7897" i="5"/>
  <c r="E7889" i="5"/>
  <c r="E7881" i="5"/>
  <c r="E7873" i="5"/>
  <c r="E7865" i="5"/>
  <c r="E7857" i="5"/>
  <c r="E7849" i="5"/>
  <c r="E7841" i="5"/>
  <c r="E7833" i="5"/>
  <c r="E7825" i="5"/>
  <c r="E7817" i="5"/>
  <c r="E7809" i="5"/>
  <c r="E7801" i="5"/>
  <c r="E7793" i="5"/>
  <c r="E7785" i="5"/>
  <c r="E7777" i="5"/>
  <c r="E7769" i="5"/>
  <c r="E7761" i="5"/>
  <c r="E7753" i="5"/>
  <c r="E7745" i="5"/>
  <c r="E7737" i="5"/>
  <c r="E7729" i="5"/>
  <c r="E7721" i="5"/>
  <c r="E7713" i="5"/>
  <c r="E7705" i="5"/>
  <c r="E7697" i="5"/>
  <c r="E7689" i="5"/>
  <c r="E7681" i="5"/>
  <c r="E7673" i="5"/>
  <c r="E7665" i="5"/>
  <c r="E7657" i="5"/>
  <c r="E7649" i="5"/>
  <c r="E7641" i="5"/>
  <c r="E7633" i="5"/>
  <c r="E7625" i="5"/>
  <c r="E7617" i="5"/>
  <c r="E7609" i="5"/>
  <c r="E7601" i="5"/>
  <c r="E7593" i="5"/>
  <c r="E7585" i="5"/>
  <c r="E7577" i="5"/>
  <c r="E7569" i="5"/>
  <c r="E7561" i="5"/>
  <c r="E7553" i="5"/>
  <c r="E7545" i="5"/>
  <c r="E7537" i="5"/>
  <c r="E7529" i="5"/>
  <c r="E7521" i="5"/>
  <c r="E7513" i="5"/>
  <c r="E7505" i="5"/>
  <c r="E7497" i="5"/>
  <c r="E7489" i="5"/>
  <c r="E7481" i="5"/>
  <c r="E7473" i="5"/>
  <c r="E7465" i="5"/>
  <c r="E7457" i="5"/>
  <c r="E7449" i="5"/>
  <c r="E7441" i="5"/>
  <c r="E7433" i="5"/>
  <c r="E7425" i="5"/>
  <c r="E7417" i="5"/>
  <c r="E7409" i="5"/>
  <c r="E7401" i="5"/>
  <c r="E7393" i="5"/>
  <c r="E7385" i="5"/>
  <c r="E7377" i="5"/>
  <c r="E7369" i="5"/>
  <c r="E7361" i="5"/>
  <c r="E7353" i="5"/>
  <c r="E7345" i="5"/>
  <c r="E7337" i="5"/>
  <c r="E7329" i="5"/>
  <c r="E7321" i="5"/>
  <c r="E7313" i="5"/>
  <c r="E7305" i="5"/>
  <c r="E7297" i="5"/>
  <c r="E7289" i="5"/>
  <c r="E7281" i="5"/>
  <c r="E7273" i="5"/>
  <c r="E7265" i="5"/>
  <c r="E7257" i="5"/>
  <c r="E7249" i="5"/>
  <c r="E7241" i="5"/>
  <c r="E7233" i="5"/>
  <c r="E7225" i="5"/>
  <c r="E7217" i="5"/>
  <c r="E7209" i="5"/>
  <c r="E7201" i="5"/>
  <c r="E7193" i="5"/>
  <c r="E7185" i="5"/>
  <c r="E7177" i="5"/>
  <c r="E7169" i="5"/>
  <c r="E7161" i="5"/>
  <c r="E7153" i="5"/>
  <c r="E7145" i="5"/>
  <c r="E7137" i="5"/>
  <c r="E7129" i="5"/>
  <c r="E7121" i="5"/>
  <c r="E7113" i="5"/>
  <c r="E7105" i="5"/>
  <c r="E7097" i="5"/>
  <c r="E7089" i="5"/>
  <c r="E7081" i="5"/>
  <c r="E7073" i="5"/>
  <c r="E7065" i="5"/>
  <c r="E7057" i="5"/>
  <c r="E7049" i="5"/>
  <c r="E7041" i="5"/>
  <c r="E7033" i="5"/>
  <c r="E7025" i="5"/>
  <c r="E7017" i="5"/>
  <c r="E7009" i="5"/>
  <c r="E7001" i="5"/>
  <c r="E6993" i="5"/>
  <c r="E6985" i="5"/>
  <c r="E6977" i="5"/>
  <c r="E6969" i="5"/>
  <c r="E6961" i="5"/>
  <c r="E6953" i="5"/>
  <c r="E6945" i="5"/>
  <c r="E6937" i="5"/>
  <c r="E6929" i="5"/>
  <c r="E6921" i="5"/>
  <c r="E6913" i="5"/>
  <c r="E6905" i="5"/>
  <c r="E6897" i="5"/>
  <c r="E6889" i="5"/>
  <c r="E6881" i="5"/>
  <c r="E6873" i="5"/>
  <c r="E6865" i="5"/>
  <c r="E6857" i="5"/>
  <c r="E6849" i="5"/>
  <c r="E6841" i="5"/>
  <c r="E6833" i="5"/>
  <c r="E6825" i="5"/>
  <c r="E6817" i="5"/>
  <c r="E6809" i="5"/>
  <c r="E6801" i="5"/>
  <c r="E6793" i="5"/>
  <c r="E6785" i="5"/>
  <c r="E6777" i="5"/>
  <c r="E6769" i="5"/>
  <c r="E6761" i="5"/>
  <c r="E6753" i="5"/>
  <c r="E6745" i="5"/>
  <c r="E6737" i="5"/>
  <c r="E6729" i="5"/>
  <c r="E6721" i="5"/>
  <c r="E6713" i="5"/>
  <c r="E6705" i="5"/>
  <c r="E6697" i="5"/>
  <c r="E6689" i="5"/>
  <c r="E6681" i="5"/>
  <c r="E6673" i="5"/>
  <c r="E6665" i="5"/>
  <c r="E6657" i="5"/>
  <c r="E6649" i="5"/>
  <c r="E6641" i="5"/>
  <c r="E6633" i="5"/>
  <c r="E6625" i="5"/>
  <c r="E6617" i="5"/>
  <c r="E6609" i="5"/>
  <c r="E6601" i="5"/>
  <c r="E6593" i="5"/>
  <c r="E6585" i="5"/>
  <c r="E6577" i="5"/>
  <c r="E6569" i="5"/>
  <c r="E6561" i="5"/>
  <c r="E6553" i="5"/>
  <c r="E6545" i="5"/>
  <c r="E6537" i="5"/>
  <c r="E6529" i="5"/>
  <c r="E6521" i="5"/>
  <c r="E6513" i="5"/>
  <c r="E6505" i="5"/>
  <c r="E6497" i="5"/>
  <c r="E6489" i="5"/>
  <c r="E6481" i="5"/>
  <c r="E6473" i="5"/>
  <c r="E6465" i="5"/>
  <c r="E6457" i="5"/>
  <c r="E6449" i="5"/>
  <c r="E6441" i="5"/>
  <c r="E6433" i="5"/>
  <c r="E6425" i="5"/>
  <c r="E6417" i="5"/>
  <c r="E6409" i="5"/>
  <c r="E6401" i="5"/>
  <c r="E6393" i="5"/>
  <c r="E6385" i="5"/>
  <c r="E6377" i="5"/>
  <c r="E6369" i="5"/>
  <c r="E6361" i="5"/>
  <c r="E6353" i="5"/>
  <c r="E6345" i="5"/>
  <c r="E6337" i="5"/>
  <c r="E6329" i="5"/>
  <c r="E6321" i="5"/>
  <c r="E6313" i="5"/>
  <c r="E6305" i="5"/>
  <c r="E6297" i="5"/>
  <c r="E6289" i="5"/>
  <c r="E6281" i="5"/>
  <c r="E6273" i="5"/>
  <c r="E6265" i="5"/>
  <c r="E6257" i="5"/>
  <c r="E6249" i="5"/>
  <c r="E6241" i="5"/>
  <c r="E6233" i="5"/>
  <c r="E6225" i="5"/>
  <c r="E6217" i="5"/>
  <c r="E6209" i="5"/>
  <c r="E6201" i="5"/>
  <c r="E6193" i="5"/>
  <c r="E6185" i="5"/>
  <c r="E6177" i="5"/>
  <c r="E6169" i="5"/>
  <c r="E6161" i="5"/>
  <c r="E6153" i="5"/>
  <c r="E6145" i="5"/>
  <c r="E6137" i="5"/>
  <c r="E6129" i="5"/>
  <c r="E6121" i="5"/>
  <c r="E6113" i="5"/>
  <c r="E6105" i="5"/>
  <c r="E6097" i="5"/>
  <c r="E6089" i="5"/>
  <c r="E6081" i="5"/>
  <c r="E6073" i="5"/>
  <c r="E6065" i="5"/>
  <c r="E6057" i="5"/>
  <c r="E6049" i="5"/>
  <c r="E6041" i="5"/>
  <c r="E6033" i="5"/>
  <c r="E6025" i="5"/>
  <c r="E6017" i="5"/>
  <c r="E6009" i="5"/>
  <c r="E6001" i="5"/>
  <c r="E5993" i="5"/>
  <c r="E5985" i="5"/>
  <c r="E5977" i="5"/>
  <c r="E5969" i="5"/>
  <c r="E5961" i="5"/>
  <c r="E5953" i="5"/>
  <c r="E5945" i="5"/>
  <c r="E5937" i="5"/>
  <c r="E5929" i="5"/>
  <c r="E5921" i="5"/>
  <c r="E5913" i="5"/>
  <c r="E5905" i="5"/>
  <c r="E5897" i="5"/>
  <c r="E5889" i="5"/>
  <c r="E5881" i="5"/>
  <c r="E5873" i="5"/>
  <c r="E5865" i="5"/>
  <c r="E5857" i="5"/>
  <c r="E5849" i="5"/>
  <c r="E5841" i="5"/>
  <c r="E5833" i="5"/>
  <c r="E5825" i="5"/>
  <c r="E5817" i="5"/>
  <c r="E5809" i="5"/>
  <c r="E5801" i="5"/>
  <c r="E5793" i="5"/>
  <c r="E5785" i="5"/>
  <c r="E5777" i="5"/>
  <c r="E5769" i="5"/>
  <c r="E5761" i="5"/>
  <c r="E5753" i="5"/>
  <c r="E5745" i="5"/>
  <c r="E5737" i="5"/>
  <c r="E5729" i="5"/>
  <c r="E5721" i="5"/>
  <c r="E5713" i="5"/>
  <c r="E5705" i="5"/>
  <c r="E5697" i="5"/>
  <c r="E5689" i="5"/>
  <c r="E5681" i="5"/>
  <c r="E5673" i="5"/>
  <c r="E5665" i="5"/>
  <c r="E5657" i="5"/>
  <c r="E5649" i="5"/>
  <c r="E5641" i="5"/>
  <c r="E5633" i="5"/>
  <c r="E5625" i="5"/>
  <c r="E5617" i="5"/>
  <c r="E5609" i="5"/>
  <c r="E5601" i="5"/>
  <c r="E5593" i="5"/>
  <c r="E5585" i="5"/>
  <c r="E5577" i="5"/>
  <c r="E5569" i="5"/>
  <c r="E5561" i="5"/>
  <c r="E5553" i="5"/>
  <c r="E5545" i="5"/>
  <c r="E5537" i="5"/>
  <c r="E5529" i="5"/>
  <c r="E5521" i="5"/>
  <c r="E5513" i="5"/>
  <c r="E5505" i="5"/>
  <c r="E5497" i="5"/>
  <c r="E5489" i="5"/>
  <c r="E5481" i="5"/>
  <c r="E5473" i="5"/>
  <c r="E5465" i="5"/>
  <c r="E5457" i="5"/>
  <c r="E5449" i="5"/>
  <c r="E5441" i="5"/>
  <c r="E5433" i="5"/>
  <c r="E5425" i="5"/>
  <c r="E5417" i="5"/>
  <c r="E5409" i="5"/>
  <c r="E5401" i="5"/>
  <c r="E5393" i="5"/>
  <c r="E5385" i="5"/>
  <c r="E5377" i="5"/>
  <c r="E5369" i="5"/>
  <c r="E5361" i="5"/>
  <c r="E5353" i="5"/>
  <c r="E5345" i="5"/>
  <c r="E5337" i="5"/>
  <c r="E5329" i="5"/>
  <c r="E5321" i="5"/>
  <c r="E5313" i="5"/>
  <c r="E5305" i="5"/>
  <c r="E5297" i="5"/>
  <c r="E5289" i="5"/>
  <c r="E5281" i="5"/>
  <c r="E41459" i="5"/>
  <c r="E41331" i="5"/>
  <c r="E41203" i="5"/>
  <c r="E41075" i="5"/>
  <c r="E40947" i="5"/>
  <c r="E40830" i="5"/>
  <c r="E40728" i="5"/>
  <c r="E40625" i="5"/>
  <c r="E40523" i="5"/>
  <c r="E40420" i="5"/>
  <c r="E40318" i="5"/>
  <c r="E40216" i="5"/>
  <c r="E40113" i="5"/>
  <c r="E40011" i="5"/>
  <c r="E39908" i="5"/>
  <c r="E39806" i="5"/>
  <c r="E39704" i="5"/>
  <c r="E39601" i="5"/>
  <c r="E39499" i="5"/>
  <c r="E39396" i="5"/>
  <c r="E39294" i="5"/>
  <c r="E39203" i="5"/>
  <c r="E39127" i="5"/>
  <c r="E39063" i="5"/>
  <c r="E38999" i="5"/>
  <c r="E38935" i="5"/>
  <c r="E38871" i="5"/>
  <c r="E38807" i="5"/>
  <c r="E38743" i="5"/>
  <c r="E38679" i="5"/>
  <c r="E38615" i="5"/>
  <c r="E38551" i="5"/>
  <c r="E38487" i="5"/>
  <c r="E38423" i="5"/>
  <c r="E38359" i="5"/>
  <c r="E38295" i="5"/>
  <c r="E38231" i="5"/>
  <c r="E38167" i="5"/>
  <c r="E38103" i="5"/>
  <c r="E38039" i="5"/>
  <c r="E37975" i="5"/>
  <c r="E37911" i="5"/>
  <c r="E37847" i="5"/>
  <c r="E37783" i="5"/>
  <c r="E37719" i="5"/>
  <c r="E37655" i="5"/>
  <c r="E37591" i="5"/>
  <c r="E37527" i="5"/>
  <c r="E37463" i="5"/>
  <c r="E37399" i="5"/>
  <c r="E37335" i="5"/>
  <c r="E37271" i="5"/>
  <c r="E37207" i="5"/>
  <c r="E37143" i="5"/>
  <c r="E37079" i="5"/>
  <c r="E37015" i="5"/>
  <c r="E36951" i="5"/>
  <c r="E36887" i="5"/>
  <c r="E36823" i="5"/>
  <c r="E36759" i="5"/>
  <c r="E36695" i="5"/>
  <c r="E36631" i="5"/>
  <c r="E36567" i="5"/>
  <c r="E36503" i="5"/>
  <c r="E36439" i="5"/>
  <c r="E36375" i="5"/>
  <c r="E36311" i="5"/>
  <c r="E36247" i="5"/>
  <c r="E36183" i="5"/>
  <c r="E36119" i="5"/>
  <c r="E36055" i="5"/>
  <c r="E35991" i="5"/>
  <c r="E35927" i="5"/>
  <c r="E35863" i="5"/>
  <c r="E35799" i="5"/>
  <c r="E35735" i="5"/>
  <c r="E35671" i="5"/>
  <c r="E35607" i="5"/>
  <c r="E35543" i="5"/>
  <c r="E35479" i="5"/>
  <c r="E35415" i="5"/>
  <c r="E35351" i="5"/>
  <c r="E35287" i="5"/>
  <c r="E35223" i="5"/>
  <c r="E35159" i="5"/>
  <c r="E35095" i="5"/>
  <c r="E35031" i="5"/>
  <c r="E34967" i="5"/>
  <c r="E34903" i="5"/>
  <c r="E34839" i="5"/>
  <c r="E34775" i="5"/>
  <c r="E34711" i="5"/>
  <c r="E34647" i="5"/>
  <c r="E34583" i="5"/>
  <c r="E34519" i="5"/>
  <c r="E34455" i="5"/>
  <c r="E34391" i="5"/>
  <c r="E34327" i="5"/>
  <c r="E34263" i="5"/>
  <c r="E34199" i="5"/>
  <c r="E34135" i="5"/>
  <c r="E34071" i="5"/>
  <c r="E34007" i="5"/>
  <c r="E33943" i="5"/>
  <c r="E33879" i="5"/>
  <c r="E33815" i="5"/>
  <c r="E33751" i="5"/>
  <c r="E33687" i="5"/>
  <c r="E33623" i="5"/>
  <c r="E33559" i="5"/>
  <c r="E33495" i="5"/>
  <c r="E33431" i="5"/>
  <c r="E33367" i="5"/>
  <c r="E33303" i="5"/>
  <c r="E33239" i="5"/>
  <c r="E33175" i="5"/>
  <c r="E33111" i="5"/>
  <c r="E33047" i="5"/>
  <c r="E32983" i="5"/>
  <c r="E32919" i="5"/>
  <c r="E32855" i="5"/>
  <c r="E32791" i="5"/>
  <c r="E32727" i="5"/>
  <c r="E32663" i="5"/>
  <c r="E32599" i="5"/>
  <c r="E32535" i="5"/>
  <c r="E32471" i="5"/>
  <c r="E32407" i="5"/>
  <c r="E32343" i="5"/>
  <c r="E32279" i="5"/>
  <c r="E32215" i="5"/>
  <c r="E32151" i="5"/>
  <c r="E32087" i="5"/>
  <c r="E32023" i="5"/>
  <c r="E31959" i="5"/>
  <c r="E31895" i="5"/>
  <c r="E31831" i="5"/>
  <c r="E31767" i="5"/>
  <c r="E31703" i="5"/>
  <c r="E31639" i="5"/>
  <c r="E31575" i="5"/>
  <c r="E31511" i="5"/>
  <c r="E31447" i="5"/>
  <c r="E31383" i="5"/>
  <c r="E31319" i="5"/>
  <c r="E31255" i="5"/>
  <c r="E31191" i="5"/>
  <c r="E31127" i="5"/>
  <c r="E31063" i="5"/>
  <c r="E30999" i="5"/>
  <c r="E30935" i="5"/>
  <c r="E30871" i="5"/>
  <c r="E30807" i="5"/>
  <c r="E30743" i="5"/>
  <c r="E30679" i="5"/>
  <c r="E30615" i="5"/>
  <c r="E30551" i="5"/>
  <c r="E30487" i="5"/>
  <c r="E30423" i="5"/>
  <c r="E30359" i="5"/>
  <c r="E30295" i="5"/>
  <c r="E30231" i="5"/>
  <c r="E30167" i="5"/>
  <c r="E30103" i="5"/>
  <c r="E30039" i="5"/>
  <c r="E29975" i="5"/>
  <c r="E29911" i="5"/>
  <c r="E29847" i="5"/>
  <c r="E29783" i="5"/>
  <c r="E29719" i="5"/>
  <c r="E29655" i="5"/>
  <c r="E29591" i="5"/>
  <c r="E29527" i="5"/>
  <c r="E29463" i="5"/>
  <c r="E29399" i="5"/>
  <c r="E29335" i="5"/>
  <c r="E29271" i="5"/>
  <c r="E29207" i="5"/>
  <c r="E29143" i="5"/>
  <c r="E29079" i="5"/>
  <c r="E29015" i="5"/>
  <c r="E28951" i="5"/>
  <c r="E28887" i="5"/>
  <c r="E28823" i="5"/>
  <c r="E28759" i="5"/>
  <c r="E28695" i="5"/>
  <c r="E28631" i="5"/>
  <c r="E28567" i="5"/>
  <c r="E28503" i="5"/>
  <c r="E28439" i="5"/>
  <c r="E28375" i="5"/>
  <c r="E28311" i="5"/>
  <c r="E28247" i="5"/>
  <c r="E28183" i="5"/>
  <c r="E28119" i="5"/>
  <c r="E28055" i="5"/>
  <c r="E27991" i="5"/>
  <c r="E27927" i="5"/>
  <c r="E27863" i="5"/>
  <c r="E27799" i="5"/>
  <c r="E27735" i="5"/>
  <c r="E27671" i="5"/>
  <c r="E27607" i="5"/>
  <c r="E27543" i="5"/>
  <c r="E27479" i="5"/>
  <c r="E27415" i="5"/>
  <c r="E27351" i="5"/>
  <c r="E27287" i="5"/>
  <c r="E27223" i="5"/>
  <c r="E27159" i="5"/>
  <c r="E27095" i="5"/>
  <c r="E27031" i="5"/>
  <c r="E26967" i="5"/>
  <c r="E26903" i="5"/>
  <c r="E26839" i="5"/>
  <c r="E26775" i="5"/>
  <c r="E26711" i="5"/>
  <c r="E26647" i="5"/>
  <c r="E26583" i="5"/>
  <c r="E26519" i="5"/>
  <c r="E26455" i="5"/>
  <c r="E26391" i="5"/>
  <c r="E26327" i="5"/>
  <c r="E26263" i="5"/>
  <c r="E26199" i="5"/>
  <c r="E26135" i="5"/>
  <c r="E26071" i="5"/>
  <c r="E26007" i="5"/>
  <c r="E25943" i="5"/>
  <c r="E25879" i="5"/>
  <c r="E25815" i="5"/>
  <c r="E25751" i="5"/>
  <c r="E25687" i="5"/>
  <c r="E25623" i="5"/>
  <c r="E25586" i="5"/>
  <c r="E25554" i="5"/>
  <c r="E25522" i="5"/>
  <c r="E25490" i="5"/>
  <c r="E25458" i="5"/>
  <c r="E25426" i="5"/>
  <c r="E25394" i="5"/>
  <c r="E25362" i="5"/>
  <c r="E25330" i="5"/>
  <c r="E25298" i="5"/>
  <c r="E25266" i="5"/>
  <c r="E25234" i="5"/>
  <c r="E25202" i="5"/>
  <c r="E25170" i="5"/>
  <c r="E25138" i="5"/>
  <c r="E25109" i="5"/>
  <c r="E25087" i="5"/>
  <c r="E25066" i="5"/>
  <c r="E25045" i="5"/>
  <c r="E25023" i="5"/>
  <c r="E25002" i="5"/>
  <c r="E24981" i="5"/>
  <c r="E24959" i="5"/>
  <c r="E24938" i="5"/>
  <c r="E24917" i="5"/>
  <c r="E24898" i="5"/>
  <c r="E24882" i="5"/>
  <c r="E24866" i="5"/>
  <c r="E24850" i="5"/>
  <c r="E24834" i="5"/>
  <c r="E24818" i="5"/>
  <c r="E24802" i="5"/>
  <c r="E24786" i="5"/>
  <c r="E24770" i="5"/>
  <c r="E24754" i="5"/>
  <c r="E24738" i="5"/>
  <c r="E24722" i="5"/>
  <c r="E24706" i="5"/>
  <c r="E24690" i="5"/>
  <c r="E24674" i="5"/>
  <c r="E24658" i="5"/>
  <c r="E24642" i="5"/>
  <c r="E24626" i="5"/>
  <c r="E24610" i="5"/>
  <c r="E24594" i="5"/>
  <c r="E24578" i="5"/>
  <c r="E24562" i="5"/>
  <c r="E24546" i="5"/>
  <c r="E24530" i="5"/>
  <c r="E24514" i="5"/>
  <c r="E24498" i="5"/>
  <c r="E24482" i="5"/>
  <c r="E24466" i="5"/>
  <c r="E24450" i="5"/>
  <c r="E24434" i="5"/>
  <c r="E24420" i="5"/>
  <c r="E24407" i="5"/>
  <c r="E24395" i="5"/>
  <c r="E24381" i="5"/>
  <c r="E24370" i="5"/>
  <c r="E24356" i="5"/>
  <c r="E24343" i="5"/>
  <c r="E24331" i="5"/>
  <c r="E24317" i="5"/>
  <c r="E24306" i="5"/>
  <c r="E24292" i="5"/>
  <c r="E24279" i="5"/>
  <c r="E24267" i="5"/>
  <c r="E24253" i="5"/>
  <c r="E24242" i="5"/>
  <c r="E24228" i="5"/>
  <c r="E24215" i="5"/>
  <c r="E24203" i="5"/>
  <c r="E24189" i="5"/>
  <c r="E24178" i="5"/>
  <c r="E24164" i="5"/>
  <c r="E24151" i="5"/>
  <c r="E24139" i="5"/>
  <c r="E24125" i="5"/>
  <c r="E24114" i="5"/>
  <c r="E24100" i="5"/>
  <c r="E24087" i="5"/>
  <c r="E24075" i="5"/>
  <c r="E24061" i="5"/>
  <c r="E24050" i="5"/>
  <c r="E24036" i="5"/>
  <c r="E24023" i="5"/>
  <c r="E24011" i="5"/>
  <c r="E23997" i="5"/>
  <c r="E23986" i="5"/>
  <c r="E23972" i="5"/>
  <c r="E23961" i="5"/>
  <c r="E23949" i="5"/>
  <c r="E23939" i="5"/>
  <c r="E23929" i="5"/>
  <c r="E23917" i="5"/>
  <c r="E23907" i="5"/>
  <c r="E23897" i="5"/>
  <c r="E23885" i="5"/>
  <c r="E23875" i="5"/>
  <c r="E23865" i="5"/>
  <c r="E23853" i="5"/>
  <c r="E23843" i="5"/>
  <c r="E23833" i="5"/>
  <c r="E23821" i="5"/>
  <c r="E23811" i="5"/>
  <c r="E23801" i="5"/>
  <c r="E23789" i="5"/>
  <c r="E23779" i="5"/>
  <c r="E23769" i="5"/>
  <c r="E23757" i="5"/>
  <c r="E23747" i="5"/>
  <c r="E23738" i="5"/>
  <c r="E23729" i="5"/>
  <c r="E23719" i="5"/>
  <c r="E23710" i="5"/>
  <c r="E23701" i="5"/>
  <c r="E23692" i="5"/>
  <c r="E23683" i="5"/>
  <c r="E23674" i="5"/>
  <c r="E23665" i="5"/>
  <c r="E23655" i="5"/>
  <c r="E23647" i="5"/>
  <c r="E23639" i="5"/>
  <c r="E23631" i="5"/>
  <c r="E23623" i="5"/>
  <c r="E23615" i="5"/>
  <c r="E23607" i="5"/>
  <c r="E23599" i="5"/>
  <c r="E23591" i="5"/>
  <c r="E23583" i="5"/>
  <c r="E23575" i="5"/>
  <c r="E23567" i="5"/>
  <c r="E23559" i="5"/>
  <c r="E23551" i="5"/>
  <c r="E23543" i="5"/>
  <c r="E23535" i="5"/>
  <c r="E23527" i="5"/>
  <c r="E23519" i="5"/>
  <c r="E23511" i="5"/>
  <c r="E23503" i="5"/>
  <c r="E23495" i="5"/>
  <c r="E23487" i="5"/>
  <c r="E23479" i="5"/>
  <c r="E23471" i="5"/>
  <c r="E23463" i="5"/>
  <c r="E23455" i="5"/>
  <c r="E23447" i="5"/>
  <c r="E23439" i="5"/>
  <c r="E23431" i="5"/>
  <c r="E23423" i="5"/>
  <c r="E23415" i="5"/>
  <c r="E23407" i="5"/>
  <c r="E23399" i="5"/>
  <c r="E23391" i="5"/>
  <c r="E23383" i="5"/>
  <c r="E23375" i="5"/>
  <c r="E23367" i="5"/>
  <c r="E23359" i="5"/>
  <c r="E23351" i="5"/>
  <c r="E23343" i="5"/>
  <c r="E23335" i="5"/>
  <c r="E23327" i="5"/>
  <c r="E23319" i="5"/>
  <c r="E23311" i="5"/>
  <c r="E23303" i="5"/>
  <c r="E23295" i="5"/>
  <c r="E23287" i="5"/>
  <c r="E23279" i="5"/>
  <c r="E23271" i="5"/>
  <c r="E23263" i="5"/>
  <c r="E23255" i="5"/>
  <c r="E23247" i="5"/>
  <c r="E23239" i="5"/>
  <c r="E23231" i="5"/>
  <c r="E23223" i="5"/>
  <c r="E23215" i="5"/>
  <c r="E23207" i="5"/>
  <c r="E23199" i="5"/>
  <c r="E23191" i="5"/>
  <c r="E23183" i="5"/>
  <c r="E23175" i="5"/>
  <c r="E23167" i="5"/>
  <c r="E23159" i="5"/>
  <c r="E23151" i="5"/>
  <c r="E23143" i="5"/>
  <c r="E23135" i="5"/>
  <c r="E23127" i="5"/>
  <c r="E23119" i="5"/>
  <c r="E23111" i="5"/>
  <c r="E23103" i="5"/>
  <c r="E23095" i="5"/>
  <c r="E23087" i="5"/>
  <c r="E23079" i="5"/>
  <c r="E23071" i="5"/>
  <c r="E23063" i="5"/>
  <c r="E23055" i="5"/>
  <c r="E23047" i="5"/>
  <c r="E23039" i="5"/>
  <c r="E23031" i="5"/>
  <c r="E23023" i="5"/>
  <c r="E23015" i="5"/>
  <c r="E23007" i="5"/>
  <c r="E22999" i="5"/>
  <c r="E22991" i="5"/>
  <c r="E22983" i="5"/>
  <c r="E22975" i="5"/>
  <c r="E22967" i="5"/>
  <c r="E22959" i="5"/>
  <c r="E22951" i="5"/>
  <c r="E22943" i="5"/>
  <c r="E22935" i="5"/>
  <c r="E22927" i="5"/>
  <c r="E22919" i="5"/>
  <c r="E22911" i="5"/>
  <c r="E22903" i="5"/>
  <c r="E22895" i="5"/>
  <c r="E22887" i="5"/>
  <c r="E22879" i="5"/>
  <c r="E22871" i="5"/>
  <c r="E22863" i="5"/>
  <c r="E22855" i="5"/>
  <c r="E22847" i="5"/>
  <c r="E22839" i="5"/>
  <c r="E22831" i="5"/>
  <c r="E22823" i="5"/>
  <c r="E22815" i="5"/>
  <c r="E22807" i="5"/>
  <c r="E22799" i="5"/>
  <c r="E22791" i="5"/>
  <c r="E22783" i="5"/>
  <c r="E22775" i="5"/>
  <c r="E22767" i="5"/>
  <c r="E22759" i="5"/>
  <c r="E22751" i="5"/>
  <c r="E22743" i="5"/>
  <c r="E22735" i="5"/>
  <c r="E22727" i="5"/>
  <c r="E22719" i="5"/>
  <c r="E22711" i="5"/>
  <c r="E22703" i="5"/>
  <c r="E22695" i="5"/>
  <c r="E22687" i="5"/>
  <c r="E22679" i="5"/>
  <c r="E22671" i="5"/>
  <c r="E22663" i="5"/>
  <c r="E22655" i="5"/>
  <c r="E22647" i="5"/>
  <c r="E22639" i="5"/>
  <c r="E22631" i="5"/>
  <c r="E22623" i="5"/>
  <c r="E22615" i="5"/>
  <c r="E22607" i="5"/>
  <c r="E22599" i="5"/>
  <c r="E22591" i="5"/>
  <c r="E22583" i="5"/>
  <c r="E22575" i="5"/>
  <c r="E22567" i="5"/>
  <c r="E22559" i="5"/>
  <c r="E22551" i="5"/>
  <c r="E22543" i="5"/>
  <c r="E22535" i="5"/>
  <c r="E22527" i="5"/>
  <c r="E22519" i="5"/>
  <c r="E22511" i="5"/>
  <c r="E22503" i="5"/>
  <c r="E22495" i="5"/>
  <c r="E22487" i="5"/>
  <c r="E22479" i="5"/>
  <c r="E22471" i="5"/>
  <c r="E22463" i="5"/>
  <c r="E22455" i="5"/>
  <c r="E22447" i="5"/>
  <c r="E22439" i="5"/>
  <c r="E22431" i="5"/>
  <c r="E22423" i="5"/>
  <c r="E22415" i="5"/>
  <c r="E22407" i="5"/>
  <c r="E22399" i="5"/>
  <c r="E22391" i="5"/>
  <c r="E22383" i="5"/>
  <c r="E22375" i="5"/>
  <c r="E22367" i="5"/>
  <c r="E22359" i="5"/>
  <c r="E22351" i="5"/>
  <c r="E22343" i="5"/>
  <c r="E22335" i="5"/>
  <c r="E22327" i="5"/>
  <c r="E22319" i="5"/>
  <c r="E22311" i="5"/>
  <c r="E22303" i="5"/>
  <c r="E22295" i="5"/>
  <c r="E22287" i="5"/>
  <c r="E22279" i="5"/>
  <c r="E22271" i="5"/>
  <c r="E22263" i="5"/>
  <c r="E22255" i="5"/>
  <c r="E22247" i="5"/>
  <c r="E22239" i="5"/>
  <c r="E22231" i="5"/>
  <c r="E22223" i="5"/>
  <c r="E22215" i="5"/>
  <c r="E22207" i="5"/>
  <c r="E22199" i="5"/>
  <c r="E22191" i="5"/>
  <c r="E22183" i="5"/>
  <c r="E22175" i="5"/>
  <c r="E22167" i="5"/>
  <c r="E22159" i="5"/>
  <c r="E22151" i="5"/>
  <c r="E22143" i="5"/>
  <c r="E22135" i="5"/>
  <c r="E22127" i="5"/>
  <c r="E22119" i="5"/>
  <c r="E22111" i="5"/>
  <c r="E22103" i="5"/>
  <c r="E22095" i="5"/>
  <c r="E22087" i="5"/>
  <c r="E22079" i="5"/>
  <c r="E22071" i="5"/>
  <c r="E22063" i="5"/>
  <c r="E22055" i="5"/>
  <c r="E22047" i="5"/>
  <c r="E22039" i="5"/>
  <c r="E22031" i="5"/>
  <c r="E22023" i="5"/>
  <c r="E22015" i="5"/>
  <c r="E22007" i="5"/>
  <c r="E21999" i="5"/>
  <c r="E21991" i="5"/>
  <c r="E21983" i="5"/>
  <c r="E21975" i="5"/>
  <c r="E21967" i="5"/>
  <c r="E21959" i="5"/>
  <c r="E21951" i="5"/>
  <c r="E21943" i="5"/>
  <c r="E21935" i="5"/>
  <c r="E21927" i="5"/>
  <c r="E21919" i="5"/>
  <c r="E21911" i="5"/>
  <c r="E21903" i="5"/>
  <c r="E21895" i="5"/>
  <c r="E21887" i="5"/>
  <c r="E21879" i="5"/>
  <c r="E21871" i="5"/>
  <c r="E21863" i="5"/>
  <c r="E21855" i="5"/>
  <c r="E21847" i="5"/>
  <c r="E21839" i="5"/>
  <c r="E21831" i="5"/>
  <c r="E21823" i="5"/>
  <c r="E21815" i="5"/>
  <c r="E21807" i="5"/>
  <c r="E21799" i="5"/>
  <c r="E21791" i="5"/>
  <c r="E21783" i="5"/>
  <c r="E21775" i="5"/>
  <c r="E21767" i="5"/>
  <c r="E21759" i="5"/>
  <c r="E21751" i="5"/>
  <c r="E21743" i="5"/>
  <c r="E21735" i="5"/>
  <c r="E21727" i="5"/>
  <c r="E21719" i="5"/>
  <c r="E21711" i="5"/>
  <c r="E21703" i="5"/>
  <c r="E21695" i="5"/>
  <c r="E21687" i="5"/>
  <c r="E21679" i="5"/>
  <c r="E21671" i="5"/>
  <c r="E21663" i="5"/>
  <c r="E21655" i="5"/>
  <c r="E21647" i="5"/>
  <c r="E21639" i="5"/>
  <c r="E21631" i="5"/>
  <c r="E21623" i="5"/>
  <c r="E21615" i="5"/>
  <c r="E21607" i="5"/>
  <c r="E21599" i="5"/>
  <c r="E21591" i="5"/>
  <c r="E21583" i="5"/>
  <c r="E21575" i="5"/>
  <c r="E21567" i="5"/>
  <c r="E21559" i="5"/>
  <c r="E21551" i="5"/>
  <c r="E21543" i="5"/>
  <c r="E21535" i="5"/>
  <c r="E21527" i="5"/>
  <c r="E21519" i="5"/>
  <c r="E21511" i="5"/>
  <c r="E21503" i="5"/>
  <c r="E21495" i="5"/>
  <c r="E21487" i="5"/>
  <c r="E21479" i="5"/>
  <c r="E21471" i="5"/>
  <c r="E21463" i="5"/>
  <c r="E21455" i="5"/>
  <c r="E21447" i="5"/>
  <c r="E21439" i="5"/>
  <c r="E21431" i="5"/>
  <c r="E21423" i="5"/>
  <c r="E21415" i="5"/>
  <c r="E21407" i="5"/>
  <c r="E21399" i="5"/>
  <c r="E21391" i="5"/>
  <c r="E21383" i="5"/>
  <c r="E21375" i="5"/>
  <c r="E21367" i="5"/>
  <c r="E21359" i="5"/>
  <c r="E21351" i="5"/>
  <c r="E21343" i="5"/>
  <c r="E21335" i="5"/>
  <c r="E21327" i="5"/>
  <c r="E21319" i="5"/>
  <c r="E21311" i="5"/>
  <c r="E21303" i="5"/>
  <c r="E21295" i="5"/>
  <c r="E21287" i="5"/>
  <c r="E21279" i="5"/>
  <c r="E21271" i="5"/>
  <c r="E21263" i="5"/>
  <c r="E21255" i="5"/>
  <c r="E21247" i="5"/>
  <c r="E21239" i="5"/>
  <c r="E21231" i="5"/>
  <c r="E21223" i="5"/>
  <c r="E21215" i="5"/>
  <c r="E21207" i="5"/>
  <c r="E21199" i="5"/>
  <c r="E21191" i="5"/>
  <c r="E21183" i="5"/>
  <c r="E21175" i="5"/>
  <c r="E21167" i="5"/>
  <c r="E21159" i="5"/>
  <c r="E21151" i="5"/>
  <c r="E21143" i="5"/>
  <c r="E21135" i="5"/>
  <c r="E21127" i="5"/>
  <c r="E21119" i="5"/>
  <c r="E21111" i="5"/>
  <c r="E21103" i="5"/>
  <c r="E21095" i="5"/>
  <c r="E21087" i="5"/>
  <c r="E21079" i="5"/>
  <c r="E21071" i="5"/>
  <c r="E21063" i="5"/>
  <c r="E21055" i="5"/>
  <c r="E21047" i="5"/>
  <c r="E21039" i="5"/>
  <c r="E21031" i="5"/>
  <c r="E21023" i="5"/>
  <c r="E21015" i="5"/>
  <c r="E21007" i="5"/>
  <c r="E20999" i="5"/>
  <c r="E20991" i="5"/>
  <c r="E20983" i="5"/>
  <c r="E20975" i="5"/>
  <c r="E20967" i="5"/>
  <c r="E20959" i="5"/>
  <c r="E20951" i="5"/>
  <c r="E20943" i="5"/>
  <c r="E20935" i="5"/>
  <c r="E20927" i="5"/>
  <c r="E20919" i="5"/>
  <c r="E20911" i="5"/>
  <c r="E20903" i="5"/>
  <c r="E20895" i="5"/>
  <c r="E20887" i="5"/>
  <c r="E20879" i="5"/>
  <c r="E20871" i="5"/>
  <c r="E20863" i="5"/>
  <c r="E20855" i="5"/>
  <c r="E20847" i="5"/>
  <c r="E20839" i="5"/>
  <c r="E20831" i="5"/>
  <c r="E20823" i="5"/>
  <c r="E20815" i="5"/>
  <c r="E20807" i="5"/>
  <c r="E20799" i="5"/>
  <c r="E20791" i="5"/>
  <c r="E20783" i="5"/>
  <c r="E20775" i="5"/>
  <c r="E20767" i="5"/>
  <c r="E20759" i="5"/>
  <c r="E20751" i="5"/>
  <c r="E20743" i="5"/>
  <c r="E20735" i="5"/>
  <c r="E20727" i="5"/>
  <c r="E20719" i="5"/>
  <c r="E20711" i="5"/>
  <c r="E20703" i="5"/>
  <c r="E20695" i="5"/>
  <c r="E20687" i="5"/>
  <c r="E20679" i="5"/>
  <c r="E20671" i="5"/>
  <c r="E20663" i="5"/>
  <c r="E20655" i="5"/>
  <c r="E20647" i="5"/>
  <c r="E20639" i="5"/>
  <c r="E20631" i="5"/>
  <c r="E20623" i="5"/>
  <c r="E20615" i="5"/>
  <c r="E20607" i="5"/>
  <c r="E20599" i="5"/>
  <c r="E20591" i="5"/>
  <c r="E20583" i="5"/>
  <c r="E20575" i="5"/>
  <c r="E20567" i="5"/>
  <c r="E20559" i="5"/>
  <c r="E20551" i="5"/>
  <c r="E20543" i="5"/>
  <c r="E20535" i="5"/>
  <c r="E20527" i="5"/>
  <c r="E20519" i="5"/>
  <c r="E20511" i="5"/>
  <c r="E20503" i="5"/>
  <c r="E20495" i="5"/>
  <c r="E20487" i="5"/>
  <c r="E20479" i="5"/>
  <c r="E20471" i="5"/>
  <c r="E20463" i="5"/>
  <c r="E20455" i="5"/>
  <c r="E20447" i="5"/>
  <c r="E20439" i="5"/>
  <c r="E20431" i="5"/>
  <c r="E20423" i="5"/>
  <c r="E20415" i="5"/>
  <c r="E20407" i="5"/>
  <c r="E20399" i="5"/>
  <c r="E20391" i="5"/>
  <c r="E20383" i="5"/>
  <c r="E20375" i="5"/>
  <c r="E20367" i="5"/>
  <c r="E20359" i="5"/>
  <c r="E20351" i="5"/>
  <c r="E20343" i="5"/>
  <c r="E20335" i="5"/>
  <c r="E20327" i="5"/>
  <c r="E20319" i="5"/>
  <c r="E20311" i="5"/>
  <c r="E20303" i="5"/>
  <c r="E20295" i="5"/>
  <c r="E20287" i="5"/>
  <c r="E20279" i="5"/>
  <c r="E20271" i="5"/>
  <c r="E20263" i="5"/>
  <c r="E20255" i="5"/>
  <c r="E20247" i="5"/>
  <c r="E20239" i="5"/>
  <c r="E20231" i="5"/>
  <c r="E20223" i="5"/>
  <c r="E20215" i="5"/>
  <c r="E20207" i="5"/>
  <c r="E20199" i="5"/>
  <c r="E20191" i="5"/>
  <c r="E20183" i="5"/>
  <c r="E20175" i="5"/>
  <c r="E20167" i="5"/>
  <c r="E20159" i="5"/>
  <c r="E20151" i="5"/>
  <c r="E20143" i="5"/>
  <c r="E20135" i="5"/>
  <c r="E20127" i="5"/>
  <c r="E20119" i="5"/>
  <c r="E20111" i="5"/>
  <c r="E20103" i="5"/>
  <c r="E20095" i="5"/>
  <c r="E20087" i="5"/>
  <c r="E20079" i="5"/>
  <c r="E20071" i="5"/>
  <c r="E20063" i="5"/>
  <c r="E20055" i="5"/>
  <c r="E20047" i="5"/>
  <c r="E20039" i="5"/>
  <c r="E20031" i="5"/>
  <c r="E20023" i="5"/>
  <c r="E20015" i="5"/>
  <c r="E20007" i="5"/>
  <c r="E19999" i="5"/>
  <c r="E19991" i="5"/>
  <c r="E19983" i="5"/>
  <c r="E19975" i="5"/>
  <c r="E19967" i="5"/>
  <c r="E19959" i="5"/>
  <c r="E19951" i="5"/>
  <c r="E19943" i="5"/>
  <c r="E19935" i="5"/>
  <c r="E19927" i="5"/>
  <c r="E19919" i="5"/>
  <c r="E19911" i="5"/>
  <c r="E19903" i="5"/>
  <c r="E19895" i="5"/>
  <c r="E19887" i="5"/>
  <c r="E19879" i="5"/>
  <c r="E19871" i="5"/>
  <c r="E19863" i="5"/>
  <c r="E19855" i="5"/>
  <c r="E19847" i="5"/>
  <c r="E19839" i="5"/>
  <c r="E19831" i="5"/>
  <c r="E19823" i="5"/>
  <c r="E19815" i="5"/>
  <c r="E19807" i="5"/>
  <c r="E19799" i="5"/>
  <c r="E19791" i="5"/>
  <c r="E19783" i="5"/>
  <c r="E19775" i="5"/>
  <c r="E19767" i="5"/>
  <c r="E19759" i="5"/>
  <c r="E19751" i="5"/>
  <c r="E19743" i="5"/>
  <c r="E19735" i="5"/>
  <c r="E19727" i="5"/>
  <c r="E19719" i="5"/>
  <c r="E19711" i="5"/>
  <c r="E19703" i="5"/>
  <c r="E19695" i="5"/>
  <c r="E19687" i="5"/>
  <c r="E19679" i="5"/>
  <c r="E19671" i="5"/>
  <c r="E19663" i="5"/>
  <c r="E19655" i="5"/>
  <c r="E19647" i="5"/>
  <c r="E19639" i="5"/>
  <c r="E19631" i="5"/>
  <c r="E19623" i="5"/>
  <c r="E19615" i="5"/>
  <c r="E19607" i="5"/>
  <c r="E19599" i="5"/>
  <c r="E19591" i="5"/>
  <c r="E19583" i="5"/>
  <c r="E19575" i="5"/>
  <c r="E19567" i="5"/>
  <c r="E19559" i="5"/>
  <c r="E19551" i="5"/>
  <c r="E19543" i="5"/>
  <c r="E19535" i="5"/>
  <c r="E19527" i="5"/>
  <c r="E19519" i="5"/>
  <c r="E19511" i="5"/>
  <c r="E19503" i="5"/>
  <c r="E19495" i="5"/>
  <c r="E19487" i="5"/>
  <c r="E19479" i="5"/>
  <c r="E19471" i="5"/>
  <c r="E19463" i="5"/>
  <c r="E19455" i="5"/>
  <c r="E19447" i="5"/>
  <c r="E19439" i="5"/>
  <c r="E19431" i="5"/>
  <c r="E19423" i="5"/>
  <c r="E19415" i="5"/>
  <c r="E19407" i="5"/>
  <c r="E19399" i="5"/>
  <c r="E19391" i="5"/>
  <c r="E19383" i="5"/>
  <c r="E19375" i="5"/>
  <c r="E19367" i="5"/>
  <c r="E19359" i="5"/>
  <c r="E19351" i="5"/>
  <c r="E19343" i="5"/>
  <c r="E19335" i="5"/>
  <c r="E19327" i="5"/>
  <c r="E19319" i="5"/>
  <c r="E19311" i="5"/>
  <c r="E19303" i="5"/>
  <c r="E19295" i="5"/>
  <c r="E19287" i="5"/>
  <c r="E19279" i="5"/>
  <c r="E19271" i="5"/>
  <c r="E19263" i="5"/>
  <c r="E19255" i="5"/>
  <c r="E19247" i="5"/>
  <c r="E19239" i="5"/>
  <c r="E19231" i="5"/>
  <c r="E19223" i="5"/>
  <c r="E19215" i="5"/>
  <c r="E19207" i="5"/>
  <c r="E19199" i="5"/>
  <c r="E19191" i="5"/>
  <c r="E19183" i="5"/>
  <c r="E19175" i="5"/>
  <c r="E19167" i="5"/>
  <c r="E19159" i="5"/>
  <c r="E19151" i="5"/>
  <c r="E19143" i="5"/>
  <c r="E19135" i="5"/>
  <c r="E19127" i="5"/>
  <c r="E19119" i="5"/>
  <c r="E19111" i="5"/>
  <c r="E19103" i="5"/>
  <c r="E19095" i="5"/>
  <c r="E19087" i="5"/>
  <c r="E19079" i="5"/>
  <c r="E19071" i="5"/>
  <c r="E19063" i="5"/>
  <c r="E19055" i="5"/>
  <c r="E19047" i="5"/>
  <c r="E19039" i="5"/>
  <c r="E19031" i="5"/>
  <c r="E19023" i="5"/>
  <c r="E19015" i="5"/>
  <c r="E19007" i="5"/>
  <c r="E18999" i="5"/>
  <c r="E18991" i="5"/>
  <c r="E18983" i="5"/>
  <c r="E18975" i="5"/>
  <c r="E18967" i="5"/>
  <c r="E18959" i="5"/>
  <c r="E18951" i="5"/>
  <c r="E18943" i="5"/>
  <c r="E18935" i="5"/>
  <c r="E18927" i="5"/>
  <c r="E18919" i="5"/>
  <c r="E18911" i="5"/>
  <c r="E18903" i="5"/>
  <c r="E18895" i="5"/>
  <c r="E18887" i="5"/>
  <c r="E18879" i="5"/>
  <c r="E18871" i="5"/>
  <c r="E18863" i="5"/>
  <c r="E18855" i="5"/>
  <c r="E18847" i="5"/>
  <c r="E18839" i="5"/>
  <c r="E18831" i="5"/>
  <c r="E18823" i="5"/>
  <c r="E18815" i="5"/>
  <c r="E18807" i="5"/>
  <c r="E18799" i="5"/>
  <c r="E18791" i="5"/>
  <c r="E18783" i="5"/>
  <c r="E18775" i="5"/>
  <c r="E18767" i="5"/>
  <c r="E18759" i="5"/>
  <c r="E18751" i="5"/>
  <c r="E18743" i="5"/>
  <c r="E18735" i="5"/>
  <c r="E18727" i="5"/>
  <c r="E18719" i="5"/>
  <c r="E18711" i="5"/>
  <c r="E18703" i="5"/>
  <c r="E18695" i="5"/>
  <c r="E18687" i="5"/>
  <c r="E18679" i="5"/>
  <c r="E18671" i="5"/>
  <c r="E18663" i="5"/>
  <c r="E18655" i="5"/>
  <c r="E18647" i="5"/>
  <c r="E18639" i="5"/>
  <c r="E18631" i="5"/>
  <c r="E18623" i="5"/>
  <c r="E18615" i="5"/>
  <c r="E18607" i="5"/>
  <c r="E18599" i="5"/>
  <c r="E18591" i="5"/>
  <c r="E18583" i="5"/>
  <c r="E18575" i="5"/>
  <c r="E18567" i="5"/>
  <c r="E18559" i="5"/>
  <c r="E18551" i="5"/>
  <c r="E18543" i="5"/>
  <c r="E18535" i="5"/>
  <c r="E18527" i="5"/>
  <c r="E18519" i="5"/>
  <c r="E18511" i="5"/>
  <c r="E18503" i="5"/>
  <c r="E18495" i="5"/>
  <c r="E18487" i="5"/>
  <c r="E18479" i="5"/>
  <c r="E18471" i="5"/>
  <c r="E18463" i="5"/>
  <c r="E18455" i="5"/>
  <c r="E18447" i="5"/>
  <c r="E18439" i="5"/>
  <c r="E18431" i="5"/>
  <c r="E18423" i="5"/>
  <c r="E18415" i="5"/>
  <c r="E18407" i="5"/>
  <c r="E18399" i="5"/>
  <c r="E18391" i="5"/>
  <c r="E18383" i="5"/>
  <c r="E18375" i="5"/>
  <c r="E18367" i="5"/>
  <c r="E18359" i="5"/>
  <c r="E18351" i="5"/>
  <c r="E18343" i="5"/>
  <c r="E18335" i="5"/>
  <c r="E18327" i="5"/>
  <c r="E18319" i="5"/>
  <c r="E18311" i="5"/>
  <c r="E18303" i="5"/>
  <c r="E18295" i="5"/>
  <c r="E18287" i="5"/>
  <c r="E18279" i="5"/>
  <c r="E18271" i="5"/>
  <c r="E18263" i="5"/>
  <c r="E18255" i="5"/>
  <c r="E18247" i="5"/>
  <c r="E18239" i="5"/>
  <c r="E18231" i="5"/>
  <c r="E18223" i="5"/>
  <c r="E18215" i="5"/>
  <c r="E18207" i="5"/>
  <c r="E18199" i="5"/>
  <c r="E18191" i="5"/>
  <c r="E18183" i="5"/>
  <c r="E18175" i="5"/>
  <c r="E18167" i="5"/>
  <c r="E18159" i="5"/>
  <c r="E18151" i="5"/>
  <c r="E18143" i="5"/>
  <c r="E18135" i="5"/>
  <c r="E18127" i="5"/>
  <c r="E18119" i="5"/>
  <c r="E18111" i="5"/>
  <c r="E18103" i="5"/>
  <c r="E18095" i="5"/>
  <c r="E18087" i="5"/>
  <c r="E18079" i="5"/>
  <c r="E18071" i="5"/>
  <c r="E18063" i="5"/>
  <c r="E18055" i="5"/>
  <c r="E18047" i="5"/>
  <c r="E18039" i="5"/>
  <c r="E18031" i="5"/>
  <c r="E18023" i="5"/>
  <c r="E18015" i="5"/>
  <c r="E18007" i="5"/>
  <c r="E17999" i="5"/>
  <c r="E17991" i="5"/>
  <c r="E17983" i="5"/>
  <c r="E17975" i="5"/>
  <c r="E17967" i="5"/>
  <c r="E17959" i="5"/>
  <c r="E17951" i="5"/>
  <c r="E17943" i="5"/>
  <c r="E17935" i="5"/>
  <c r="E17927" i="5"/>
  <c r="E17919" i="5"/>
  <c r="E17911" i="5"/>
  <c r="E17903" i="5"/>
  <c r="E17895" i="5"/>
  <c r="E17887" i="5"/>
  <c r="E17879" i="5"/>
  <c r="E17871" i="5"/>
  <c r="E17863" i="5"/>
  <c r="E17855" i="5"/>
  <c r="E17847" i="5"/>
  <c r="E17839" i="5"/>
  <c r="E17831" i="5"/>
  <c r="E17823" i="5"/>
  <c r="E17815" i="5"/>
  <c r="E17807" i="5"/>
  <c r="E17799" i="5"/>
  <c r="E17791" i="5"/>
  <c r="E17783" i="5"/>
  <c r="E17775" i="5"/>
  <c r="E17767" i="5"/>
  <c r="E17759" i="5"/>
  <c r="E17751" i="5"/>
  <c r="E17743" i="5"/>
  <c r="E17735" i="5"/>
  <c r="E17727" i="5"/>
  <c r="E17719" i="5"/>
  <c r="E17711" i="5"/>
  <c r="E17703" i="5"/>
  <c r="E17695" i="5"/>
  <c r="E17687" i="5"/>
  <c r="E17679" i="5"/>
  <c r="E17671" i="5"/>
  <c r="E17663" i="5"/>
  <c r="E17655" i="5"/>
  <c r="E17647" i="5"/>
  <c r="E17639" i="5"/>
  <c r="E17631" i="5"/>
  <c r="E17623" i="5"/>
  <c r="E17615" i="5"/>
  <c r="E17607" i="5"/>
  <c r="E17599" i="5"/>
  <c r="E17591" i="5"/>
  <c r="E17583" i="5"/>
  <c r="E17575" i="5"/>
  <c r="E17567" i="5"/>
  <c r="E17559" i="5"/>
  <c r="E17551" i="5"/>
  <c r="E17543" i="5"/>
  <c r="E17535" i="5"/>
  <c r="E17527" i="5"/>
  <c r="E17519" i="5"/>
  <c r="E17511" i="5"/>
  <c r="E17503" i="5"/>
  <c r="E17495" i="5"/>
  <c r="E17487" i="5"/>
  <c r="E17479" i="5"/>
  <c r="E17471" i="5"/>
  <c r="E17463" i="5"/>
  <c r="E17455" i="5"/>
  <c r="E17447" i="5"/>
  <c r="E17439" i="5"/>
  <c r="E17431" i="5"/>
  <c r="E17423" i="5"/>
  <c r="E17415" i="5"/>
  <c r="E17407" i="5"/>
  <c r="E17399" i="5"/>
  <c r="E17391" i="5"/>
  <c r="E17383" i="5"/>
  <c r="E17375" i="5"/>
  <c r="E17367" i="5"/>
  <c r="E17359" i="5"/>
  <c r="E17351" i="5"/>
  <c r="E17343" i="5"/>
  <c r="E17335" i="5"/>
  <c r="E17327" i="5"/>
  <c r="E17319" i="5"/>
  <c r="E17311" i="5"/>
  <c r="E17303" i="5"/>
  <c r="E17295" i="5"/>
  <c r="E17287" i="5"/>
  <c r="E17279" i="5"/>
  <c r="E17271" i="5"/>
  <c r="E17263" i="5"/>
  <c r="E17255" i="5"/>
  <c r="E17247" i="5"/>
  <c r="E17239" i="5"/>
  <c r="E17231" i="5"/>
  <c r="E17223" i="5"/>
  <c r="E17215" i="5"/>
  <c r="E17207" i="5"/>
  <c r="E17199" i="5"/>
  <c r="E17191" i="5"/>
  <c r="E17183" i="5"/>
  <c r="E17175" i="5"/>
  <c r="E17167" i="5"/>
  <c r="E17159" i="5"/>
  <c r="E17151" i="5"/>
  <c r="E17143" i="5"/>
  <c r="E17135" i="5"/>
  <c r="E17127" i="5"/>
  <c r="E17119" i="5"/>
  <c r="E17111" i="5"/>
  <c r="E17103" i="5"/>
  <c r="E17095" i="5"/>
  <c r="E17087" i="5"/>
  <c r="E17079" i="5"/>
  <c r="E17071" i="5"/>
  <c r="E17063" i="5"/>
  <c r="E17055" i="5"/>
  <c r="E17047" i="5"/>
  <c r="E17039" i="5"/>
  <c r="E17031" i="5"/>
  <c r="E17023" i="5"/>
  <c r="E17015" i="5"/>
  <c r="E17007" i="5"/>
  <c r="E16999" i="5"/>
  <c r="E16991" i="5"/>
  <c r="E16983" i="5"/>
  <c r="E16975" i="5"/>
  <c r="E16967" i="5"/>
  <c r="E16959" i="5"/>
  <c r="E16951" i="5"/>
  <c r="E16943" i="5"/>
  <c r="E16935" i="5"/>
  <c r="E16927" i="5"/>
  <c r="E16919" i="5"/>
  <c r="E16911" i="5"/>
  <c r="E16903" i="5"/>
  <c r="E16895" i="5"/>
  <c r="E16887" i="5"/>
  <c r="E16879" i="5"/>
  <c r="E16871" i="5"/>
  <c r="E16863" i="5"/>
  <c r="E16855" i="5"/>
  <c r="E16847" i="5"/>
  <c r="E16839" i="5"/>
  <c r="E16831" i="5"/>
  <c r="E16823" i="5"/>
  <c r="E16815" i="5"/>
  <c r="E16807" i="5"/>
  <c r="E16799" i="5"/>
  <c r="E16791" i="5"/>
  <c r="E16783" i="5"/>
  <c r="E16775" i="5"/>
  <c r="E16767" i="5"/>
  <c r="E16759" i="5"/>
  <c r="E16751" i="5"/>
  <c r="E16743" i="5"/>
  <c r="E16735" i="5"/>
  <c r="E16727" i="5"/>
  <c r="E16719" i="5"/>
  <c r="E16711" i="5"/>
  <c r="E16703" i="5"/>
  <c r="E16695" i="5"/>
  <c r="E16687" i="5"/>
  <c r="E16679" i="5"/>
  <c r="E16671" i="5"/>
  <c r="E16663" i="5"/>
  <c r="E16655" i="5"/>
  <c r="E16647" i="5"/>
  <c r="E16639" i="5"/>
  <c r="E16631" i="5"/>
  <c r="E16623" i="5"/>
  <c r="E16615" i="5"/>
  <c r="E16607" i="5"/>
  <c r="E16599" i="5"/>
  <c r="E16591" i="5"/>
  <c r="E16583" i="5"/>
  <c r="E16575" i="5"/>
  <c r="E16567" i="5"/>
  <c r="E16559" i="5"/>
  <c r="E16551" i="5"/>
  <c r="E16543" i="5"/>
  <c r="E16535" i="5"/>
  <c r="E16527" i="5"/>
  <c r="E16519" i="5"/>
  <c r="E16511" i="5"/>
  <c r="E16503" i="5"/>
  <c r="E16495" i="5"/>
  <c r="E16487" i="5"/>
  <c r="E16479" i="5"/>
  <c r="E16471" i="5"/>
  <c r="E16463" i="5"/>
  <c r="E16455" i="5"/>
  <c r="E16447" i="5"/>
  <c r="E16439" i="5"/>
  <c r="E16431" i="5"/>
  <c r="E16423" i="5"/>
  <c r="E16415" i="5"/>
  <c r="E16407" i="5"/>
  <c r="E16399" i="5"/>
  <c r="E16391" i="5"/>
  <c r="E16383" i="5"/>
  <c r="E16375" i="5"/>
  <c r="E16367" i="5"/>
  <c r="E16359" i="5"/>
  <c r="E16351" i="5"/>
  <c r="E16343" i="5"/>
  <c r="E16335" i="5"/>
  <c r="E16327" i="5"/>
  <c r="E16319" i="5"/>
  <c r="E16311" i="5"/>
  <c r="E16303" i="5"/>
  <c r="E16295" i="5"/>
  <c r="E16287" i="5"/>
  <c r="E16279" i="5"/>
  <c r="E16271" i="5"/>
  <c r="E16263" i="5"/>
  <c r="E16255" i="5"/>
  <c r="E16247" i="5"/>
  <c r="E16239" i="5"/>
  <c r="E16231" i="5"/>
  <c r="E16223" i="5"/>
  <c r="E16215" i="5"/>
  <c r="E16207" i="5"/>
  <c r="E16199" i="5"/>
  <c r="E16191" i="5"/>
  <c r="E16183" i="5"/>
  <c r="E16175" i="5"/>
  <c r="E16167" i="5"/>
  <c r="E16159" i="5"/>
  <c r="E16151" i="5"/>
  <c r="E16143" i="5"/>
  <c r="E16135" i="5"/>
  <c r="E16127" i="5"/>
  <c r="E16119" i="5"/>
  <c r="E16111" i="5"/>
  <c r="E16103" i="5"/>
  <c r="E16095" i="5"/>
  <c r="E16087" i="5"/>
  <c r="E16079" i="5"/>
  <c r="E16071" i="5"/>
  <c r="E16063" i="5"/>
  <c r="E16055" i="5"/>
  <c r="E16047" i="5"/>
  <c r="E16039" i="5"/>
  <c r="E16031" i="5"/>
  <c r="E16023" i="5"/>
  <c r="E16015" i="5"/>
  <c r="E16007" i="5"/>
  <c r="E15999" i="5"/>
  <c r="E15991" i="5"/>
  <c r="E15983" i="5"/>
  <c r="E15975" i="5"/>
  <c r="E15967" i="5"/>
  <c r="E15959" i="5"/>
  <c r="E15951" i="5"/>
  <c r="E15943" i="5"/>
  <c r="E15935" i="5"/>
  <c r="E15927" i="5"/>
  <c r="E15919" i="5"/>
  <c r="E15911" i="5"/>
  <c r="E15903" i="5"/>
  <c r="E15895" i="5"/>
  <c r="E15887" i="5"/>
  <c r="E15879" i="5"/>
  <c r="E15871" i="5"/>
  <c r="E15863" i="5"/>
  <c r="E15855" i="5"/>
  <c r="E15847" i="5"/>
  <c r="E15839" i="5"/>
  <c r="E15831" i="5"/>
  <c r="E15823" i="5"/>
  <c r="E15815" i="5"/>
  <c r="E15807" i="5"/>
  <c r="E15799" i="5"/>
  <c r="E15791" i="5"/>
  <c r="E15783" i="5"/>
  <c r="E15775" i="5"/>
  <c r="E15767" i="5"/>
  <c r="E15759" i="5"/>
  <c r="E15751" i="5"/>
  <c r="E15743" i="5"/>
  <c r="E15735" i="5"/>
  <c r="E15727" i="5"/>
  <c r="E15719" i="5"/>
  <c r="E15711" i="5"/>
  <c r="E15703" i="5"/>
  <c r="E15695" i="5"/>
  <c r="E15687" i="5"/>
  <c r="E15679" i="5"/>
  <c r="E15671" i="5"/>
  <c r="E15663" i="5"/>
  <c r="E15655" i="5"/>
  <c r="E15647" i="5"/>
  <c r="E15639" i="5"/>
  <c r="E15631" i="5"/>
  <c r="E15623" i="5"/>
  <c r="E15615" i="5"/>
  <c r="E15607" i="5"/>
  <c r="E15599" i="5"/>
  <c r="E15591" i="5"/>
  <c r="E15583" i="5"/>
  <c r="E15575" i="5"/>
  <c r="E15567" i="5"/>
  <c r="E15559" i="5"/>
  <c r="E15551" i="5"/>
  <c r="E15543" i="5"/>
  <c r="E15535" i="5"/>
  <c r="E15527" i="5"/>
  <c r="E15519" i="5"/>
  <c r="E15511" i="5"/>
  <c r="E15503" i="5"/>
  <c r="E15495" i="5"/>
  <c r="E15487" i="5"/>
  <c r="E15479" i="5"/>
  <c r="E15471" i="5"/>
  <c r="E15463" i="5"/>
  <c r="E15455" i="5"/>
  <c r="E15447" i="5"/>
  <c r="E15439" i="5"/>
  <c r="E15431" i="5"/>
  <c r="E15423" i="5"/>
  <c r="E15415" i="5"/>
  <c r="E15407" i="5"/>
  <c r="E15399" i="5"/>
  <c r="E15391" i="5"/>
  <c r="E15383" i="5"/>
  <c r="E15375" i="5"/>
  <c r="E15367" i="5"/>
  <c r="E15359" i="5"/>
  <c r="E15351" i="5"/>
  <c r="E15343" i="5"/>
  <c r="E15335" i="5"/>
  <c r="E15327" i="5"/>
  <c r="E15319" i="5"/>
  <c r="E15311" i="5"/>
  <c r="E15303" i="5"/>
  <c r="E15295" i="5"/>
  <c r="E15287" i="5"/>
  <c r="E15279" i="5"/>
  <c r="E15271" i="5"/>
  <c r="E15263" i="5"/>
  <c r="E15255" i="5"/>
  <c r="E15247" i="5"/>
  <c r="E15239" i="5"/>
  <c r="E15231" i="5"/>
  <c r="E15223" i="5"/>
  <c r="E15215" i="5"/>
  <c r="E15207" i="5"/>
  <c r="E15199" i="5"/>
  <c r="E15191" i="5"/>
  <c r="E15183" i="5"/>
  <c r="E15175" i="5"/>
  <c r="E15167" i="5"/>
  <c r="E15159" i="5"/>
  <c r="E15151" i="5"/>
  <c r="E15143" i="5"/>
  <c r="E15135" i="5"/>
  <c r="E15127" i="5"/>
  <c r="E15119" i="5"/>
  <c r="E15111" i="5"/>
  <c r="E15103" i="5"/>
  <c r="E15095" i="5"/>
  <c r="E15087" i="5"/>
  <c r="E15079" i="5"/>
  <c r="E15071" i="5"/>
  <c r="E15063" i="5"/>
  <c r="E15055" i="5"/>
  <c r="E15047" i="5"/>
  <c r="E15039" i="5"/>
  <c r="E15031" i="5"/>
  <c r="E15023" i="5"/>
  <c r="E15015" i="5"/>
  <c r="E15007" i="5"/>
  <c r="E14999" i="5"/>
  <c r="E14991" i="5"/>
  <c r="E14983" i="5"/>
  <c r="E14975" i="5"/>
  <c r="E14967" i="5"/>
  <c r="E14959" i="5"/>
  <c r="E14951" i="5"/>
  <c r="E14943" i="5"/>
  <c r="E14935" i="5"/>
  <c r="E14927" i="5"/>
  <c r="E14919" i="5"/>
  <c r="E14911" i="5"/>
  <c r="E14903" i="5"/>
  <c r="E14895" i="5"/>
  <c r="E14887" i="5"/>
  <c r="E14879" i="5"/>
  <c r="E14871" i="5"/>
  <c r="E14863" i="5"/>
  <c r="E14855" i="5"/>
  <c r="E14847" i="5"/>
  <c r="E14839" i="5"/>
  <c r="E14831" i="5"/>
  <c r="E14823" i="5"/>
  <c r="E14815" i="5"/>
  <c r="E14807" i="5"/>
  <c r="E14799" i="5"/>
  <c r="E14791" i="5"/>
  <c r="E14783" i="5"/>
  <c r="E14775" i="5"/>
  <c r="E14767" i="5"/>
  <c r="E14759" i="5"/>
  <c r="E14751" i="5"/>
  <c r="E14743" i="5"/>
  <c r="E14735" i="5"/>
  <c r="E14727" i="5"/>
  <c r="E14719" i="5"/>
  <c r="E14711" i="5"/>
  <c r="E14703" i="5"/>
  <c r="E14695" i="5"/>
  <c r="E14687" i="5"/>
  <c r="E14679" i="5"/>
  <c r="E14671" i="5"/>
  <c r="E14663" i="5"/>
  <c r="E14655" i="5"/>
  <c r="E14647" i="5"/>
  <c r="E14639" i="5"/>
  <c r="E14631" i="5"/>
  <c r="E14623" i="5"/>
  <c r="E14615" i="5"/>
  <c r="E14607" i="5"/>
  <c r="E14599" i="5"/>
  <c r="E14591" i="5"/>
  <c r="E14583" i="5"/>
  <c r="E14575" i="5"/>
  <c r="E14567" i="5"/>
  <c r="E14559" i="5"/>
  <c r="E14551" i="5"/>
  <c r="E14543" i="5"/>
  <c r="E14535" i="5"/>
  <c r="E14527" i="5"/>
  <c r="E14519" i="5"/>
  <c r="E14511" i="5"/>
  <c r="E14503" i="5"/>
  <c r="E14495" i="5"/>
  <c r="E14487" i="5"/>
  <c r="E14479" i="5"/>
  <c r="E14471" i="5"/>
  <c r="E14463" i="5"/>
  <c r="E14455" i="5"/>
  <c r="E14447" i="5"/>
  <c r="E14439" i="5"/>
  <c r="E14431" i="5"/>
  <c r="E14423" i="5"/>
  <c r="E14415" i="5"/>
  <c r="E14407" i="5"/>
  <c r="E14399" i="5"/>
  <c r="E14391" i="5"/>
  <c r="E14383" i="5"/>
  <c r="E14375" i="5"/>
  <c r="E14367" i="5"/>
  <c r="E14359" i="5"/>
  <c r="E14351" i="5"/>
  <c r="E14343" i="5"/>
  <c r="E14335" i="5"/>
  <c r="E14327" i="5"/>
  <c r="E14319" i="5"/>
  <c r="E14311" i="5"/>
  <c r="E14303" i="5"/>
  <c r="E14295" i="5"/>
  <c r="E14287" i="5"/>
  <c r="E14279" i="5"/>
  <c r="E14271" i="5"/>
  <c r="E14263" i="5"/>
  <c r="E14255" i="5"/>
  <c r="E14247" i="5"/>
  <c r="E14239" i="5"/>
  <c r="E14231" i="5"/>
  <c r="E14223" i="5"/>
  <c r="E14215" i="5"/>
  <c r="E14207" i="5"/>
  <c r="E14199" i="5"/>
  <c r="E14191" i="5"/>
  <c r="E14183" i="5"/>
  <c r="E14175" i="5"/>
  <c r="E14167" i="5"/>
  <c r="E14159" i="5"/>
  <c r="E14151" i="5"/>
  <c r="E14143" i="5"/>
  <c r="E14135" i="5"/>
  <c r="E14127" i="5"/>
  <c r="E14119" i="5"/>
  <c r="E14111" i="5"/>
  <c r="E14103" i="5"/>
  <c r="E14095" i="5"/>
  <c r="E14087" i="5"/>
  <c r="E14079" i="5"/>
  <c r="E14071" i="5"/>
  <c r="E14063" i="5"/>
  <c r="E14055" i="5"/>
  <c r="E14047" i="5"/>
  <c r="E14039" i="5"/>
  <c r="E14031" i="5"/>
  <c r="E14023" i="5"/>
  <c r="E14015" i="5"/>
  <c r="E14007" i="5"/>
  <c r="E13999" i="5"/>
  <c r="E13991" i="5"/>
  <c r="E13983" i="5"/>
  <c r="E13975" i="5"/>
  <c r="E13967" i="5"/>
  <c r="E13959" i="5"/>
  <c r="E13951" i="5"/>
  <c r="E13943" i="5"/>
  <c r="E13935" i="5"/>
  <c r="E13927" i="5"/>
  <c r="E13919" i="5"/>
  <c r="E13911" i="5"/>
  <c r="E13903" i="5"/>
  <c r="E13895" i="5"/>
  <c r="E13887" i="5"/>
  <c r="E13879" i="5"/>
  <c r="E13871" i="5"/>
  <c r="E13863" i="5"/>
  <c r="E13855" i="5"/>
  <c r="E13847" i="5"/>
  <c r="E13839" i="5"/>
  <c r="E13831" i="5"/>
  <c r="E13823" i="5"/>
  <c r="E13815" i="5"/>
  <c r="E13807" i="5"/>
  <c r="E13799" i="5"/>
  <c r="E13791" i="5"/>
  <c r="E13783" i="5"/>
  <c r="E13775" i="5"/>
  <c r="E13767" i="5"/>
  <c r="E13759" i="5"/>
  <c r="E13751" i="5"/>
  <c r="E13743" i="5"/>
  <c r="E13735" i="5"/>
  <c r="E13727" i="5"/>
  <c r="E13719" i="5"/>
  <c r="E13711" i="5"/>
  <c r="E13703" i="5"/>
  <c r="E13695" i="5"/>
  <c r="E13687" i="5"/>
  <c r="E13679" i="5"/>
  <c r="E13671" i="5"/>
  <c r="E13663" i="5"/>
  <c r="E13655" i="5"/>
  <c r="E13647" i="5"/>
  <c r="E13639" i="5"/>
  <c r="E13631" i="5"/>
  <c r="E13623" i="5"/>
  <c r="E13615" i="5"/>
  <c r="E13607" i="5"/>
  <c r="E13599" i="5"/>
  <c r="E13591" i="5"/>
  <c r="E13583" i="5"/>
  <c r="E13575" i="5"/>
  <c r="E13567" i="5"/>
  <c r="E13559" i="5"/>
  <c r="E13551" i="5"/>
  <c r="E13543" i="5"/>
  <c r="E13535" i="5"/>
  <c r="E13527" i="5"/>
  <c r="E13519" i="5"/>
  <c r="E13511" i="5"/>
  <c r="E13503" i="5"/>
  <c r="E13495" i="5"/>
  <c r="E13487" i="5"/>
  <c r="E13479" i="5"/>
  <c r="E13471" i="5"/>
  <c r="E13463" i="5"/>
  <c r="E13455" i="5"/>
  <c r="E13447" i="5"/>
  <c r="E13439" i="5"/>
  <c r="E13431" i="5"/>
  <c r="E13423" i="5"/>
  <c r="E13415" i="5"/>
  <c r="E13407" i="5"/>
  <c r="E13399" i="5"/>
  <c r="E13391" i="5"/>
  <c r="E13383" i="5"/>
  <c r="E13375" i="5"/>
  <c r="E13367" i="5"/>
  <c r="E13359" i="5"/>
  <c r="E13351" i="5"/>
  <c r="E13343" i="5"/>
  <c r="E13335" i="5"/>
  <c r="E13327" i="5"/>
  <c r="E13319" i="5"/>
  <c r="E13311" i="5"/>
  <c r="E13303" i="5"/>
  <c r="E13295" i="5"/>
  <c r="E13287" i="5"/>
  <c r="E13279" i="5"/>
  <c r="E13271" i="5"/>
  <c r="E13263" i="5"/>
  <c r="E13255" i="5"/>
  <c r="E13247" i="5"/>
  <c r="E13239" i="5"/>
  <c r="E13231" i="5"/>
  <c r="E13223" i="5"/>
  <c r="E13215" i="5"/>
  <c r="E13207" i="5"/>
  <c r="E13199" i="5"/>
  <c r="E13191" i="5"/>
  <c r="E13183" i="5"/>
  <c r="E13175" i="5"/>
  <c r="E13167" i="5"/>
  <c r="E13159" i="5"/>
  <c r="E13151" i="5"/>
  <c r="E13143" i="5"/>
  <c r="E13135" i="5"/>
  <c r="E13127" i="5"/>
  <c r="E13119" i="5"/>
  <c r="E13111" i="5"/>
  <c r="E13103" i="5"/>
  <c r="E13095" i="5"/>
  <c r="E13087" i="5"/>
  <c r="E13079" i="5"/>
  <c r="E13071" i="5"/>
  <c r="E13063" i="5"/>
  <c r="E13055" i="5"/>
  <c r="E13047" i="5"/>
  <c r="E13039" i="5"/>
  <c r="E13031" i="5"/>
  <c r="E13023" i="5"/>
  <c r="E13015" i="5"/>
  <c r="E13007" i="5"/>
  <c r="E12999" i="5"/>
  <c r="E12991" i="5"/>
  <c r="E12983" i="5"/>
  <c r="E12975" i="5"/>
  <c r="E12967" i="5"/>
  <c r="E12959" i="5"/>
  <c r="E12951" i="5"/>
  <c r="E12943" i="5"/>
  <c r="E12935" i="5"/>
  <c r="E12927" i="5"/>
  <c r="E12919" i="5"/>
  <c r="E12911" i="5"/>
  <c r="E12903" i="5"/>
  <c r="E12895" i="5"/>
  <c r="E12887" i="5"/>
  <c r="E12879" i="5"/>
  <c r="E12871" i="5"/>
  <c r="E12863" i="5"/>
  <c r="E12855" i="5"/>
  <c r="E12847" i="5"/>
  <c r="E12839" i="5"/>
  <c r="E12831" i="5"/>
  <c r="E12823" i="5"/>
  <c r="E12815" i="5"/>
  <c r="E12807" i="5"/>
  <c r="E12799" i="5"/>
  <c r="E12791" i="5"/>
  <c r="E12783" i="5"/>
  <c r="E12775" i="5"/>
  <c r="E12767" i="5"/>
  <c r="E12759" i="5"/>
  <c r="E12751" i="5"/>
  <c r="E12743" i="5"/>
  <c r="E12735" i="5"/>
  <c r="E12727" i="5"/>
  <c r="E12719" i="5"/>
  <c r="E12711" i="5"/>
  <c r="E12703" i="5"/>
  <c r="E12695" i="5"/>
  <c r="E12687" i="5"/>
  <c r="E12679" i="5"/>
  <c r="E12671" i="5"/>
  <c r="E12663" i="5"/>
  <c r="E12655" i="5"/>
  <c r="E12647" i="5"/>
  <c r="E12639" i="5"/>
  <c r="E12631" i="5"/>
  <c r="E12623" i="5"/>
  <c r="E12615" i="5"/>
  <c r="E12607" i="5"/>
  <c r="E12599" i="5"/>
  <c r="E12591" i="5"/>
  <c r="E12583" i="5"/>
  <c r="E12575" i="5"/>
  <c r="E12567" i="5"/>
  <c r="E12559" i="5"/>
  <c r="E12551" i="5"/>
  <c r="E12543" i="5"/>
  <c r="E12535" i="5"/>
  <c r="E12527" i="5"/>
  <c r="E12519" i="5"/>
  <c r="E12511" i="5"/>
  <c r="E12503" i="5"/>
  <c r="E12495" i="5"/>
  <c r="E12487" i="5"/>
  <c r="E12479" i="5"/>
  <c r="E12471" i="5"/>
  <c r="E12463" i="5"/>
  <c r="E12455" i="5"/>
  <c r="E12447" i="5"/>
  <c r="E12439" i="5"/>
  <c r="E12431" i="5"/>
  <c r="E12423" i="5"/>
  <c r="E12415" i="5"/>
  <c r="E12407" i="5"/>
  <c r="E12399" i="5"/>
  <c r="E12391" i="5"/>
  <c r="E12383" i="5"/>
  <c r="E12375" i="5"/>
  <c r="E12367" i="5"/>
  <c r="E12359" i="5"/>
  <c r="E12351" i="5"/>
  <c r="E12343" i="5"/>
  <c r="E12335" i="5"/>
  <c r="E12327" i="5"/>
  <c r="E12319" i="5"/>
  <c r="E12311" i="5"/>
  <c r="E12303" i="5"/>
  <c r="E12295" i="5"/>
  <c r="E12287" i="5"/>
  <c r="E12279" i="5"/>
  <c r="E12271" i="5"/>
  <c r="E12263" i="5"/>
  <c r="E12255" i="5"/>
  <c r="E12247" i="5"/>
  <c r="E12239" i="5"/>
  <c r="E12231" i="5"/>
  <c r="E12223" i="5"/>
  <c r="E12215" i="5"/>
  <c r="E12207" i="5"/>
  <c r="E12199" i="5"/>
  <c r="E12191" i="5"/>
  <c r="E12183" i="5"/>
  <c r="E12175" i="5"/>
  <c r="E12167" i="5"/>
  <c r="E12159" i="5"/>
  <c r="E12151" i="5"/>
  <c r="E12143" i="5"/>
  <c r="E12135" i="5"/>
  <c r="E12127" i="5"/>
  <c r="E12119" i="5"/>
  <c r="E12111" i="5"/>
  <c r="E12103" i="5"/>
  <c r="E12095" i="5"/>
  <c r="E12087" i="5"/>
  <c r="E12079" i="5"/>
  <c r="E12071" i="5"/>
  <c r="E12063" i="5"/>
  <c r="E12055" i="5"/>
  <c r="E12047" i="5"/>
  <c r="E12039" i="5"/>
  <c r="E12031" i="5"/>
  <c r="E12023" i="5"/>
  <c r="E12015" i="5"/>
  <c r="E12007" i="5"/>
  <c r="E11999" i="5"/>
  <c r="E11991" i="5"/>
  <c r="E11983" i="5"/>
  <c r="E11975" i="5"/>
  <c r="E11967" i="5"/>
  <c r="E11959" i="5"/>
  <c r="E11951" i="5"/>
  <c r="E11943" i="5"/>
  <c r="E11935" i="5"/>
  <c r="E11927" i="5"/>
  <c r="E11919" i="5"/>
  <c r="E11911" i="5"/>
  <c r="E11903" i="5"/>
  <c r="E11895" i="5"/>
  <c r="E11887" i="5"/>
  <c r="E11879" i="5"/>
  <c r="E11871" i="5"/>
  <c r="E11863" i="5"/>
  <c r="E11855" i="5"/>
  <c r="E11847" i="5"/>
  <c r="E11839" i="5"/>
  <c r="E11831" i="5"/>
  <c r="E11823" i="5"/>
  <c r="E11815" i="5"/>
  <c r="E11807" i="5"/>
  <c r="E11799" i="5"/>
  <c r="E11791" i="5"/>
  <c r="E11783" i="5"/>
  <c r="E11775" i="5"/>
  <c r="E11767" i="5"/>
  <c r="E11759" i="5"/>
  <c r="E11751" i="5"/>
  <c r="E11743" i="5"/>
  <c r="E11735" i="5"/>
  <c r="E11727" i="5"/>
  <c r="E11719" i="5"/>
  <c r="E11711" i="5"/>
  <c r="E11703" i="5"/>
  <c r="E11695" i="5"/>
  <c r="E11687" i="5"/>
  <c r="E11679" i="5"/>
  <c r="E11671" i="5"/>
  <c r="E11663" i="5"/>
  <c r="E11655" i="5"/>
  <c r="E11647" i="5"/>
  <c r="E11639" i="5"/>
  <c r="E11631" i="5"/>
  <c r="E11623" i="5"/>
  <c r="E11615" i="5"/>
  <c r="E11607" i="5"/>
  <c r="E11599" i="5"/>
  <c r="E11591" i="5"/>
  <c r="E11583" i="5"/>
  <c r="E11575" i="5"/>
  <c r="E11567" i="5"/>
  <c r="E11559" i="5"/>
  <c r="E11551" i="5"/>
  <c r="E11543" i="5"/>
  <c r="E11535" i="5"/>
  <c r="E11527" i="5"/>
  <c r="E11519" i="5"/>
  <c r="E11511" i="5"/>
  <c r="E11503" i="5"/>
  <c r="E11495" i="5"/>
  <c r="E11487" i="5"/>
  <c r="E11479" i="5"/>
  <c r="E11471" i="5"/>
  <c r="E11463" i="5"/>
  <c r="E11455" i="5"/>
  <c r="E11447" i="5"/>
  <c r="E11439" i="5"/>
  <c r="E11431" i="5"/>
  <c r="E11423" i="5"/>
  <c r="E11415" i="5"/>
  <c r="E11407" i="5"/>
  <c r="E11399" i="5"/>
  <c r="E11391" i="5"/>
  <c r="E11383" i="5"/>
  <c r="E11375" i="5"/>
  <c r="E11367" i="5"/>
  <c r="E11359" i="5"/>
  <c r="E11351" i="5"/>
  <c r="E11343" i="5"/>
  <c r="E11335" i="5"/>
  <c r="E11327" i="5"/>
  <c r="E11319" i="5"/>
  <c r="E11311" i="5"/>
  <c r="E11303" i="5"/>
  <c r="E11295" i="5"/>
  <c r="E11287" i="5"/>
  <c r="E11279" i="5"/>
  <c r="E11271" i="5"/>
  <c r="E11263" i="5"/>
  <c r="E11255" i="5"/>
  <c r="E11247" i="5"/>
  <c r="E11239" i="5"/>
  <c r="E11231" i="5"/>
  <c r="E11223" i="5"/>
  <c r="E11215" i="5"/>
  <c r="E11207" i="5"/>
  <c r="E11199" i="5"/>
  <c r="E11191" i="5"/>
  <c r="E11183" i="5"/>
  <c r="E11175" i="5"/>
  <c r="E11167" i="5"/>
  <c r="E11159" i="5"/>
  <c r="E11151" i="5"/>
  <c r="E11143" i="5"/>
  <c r="E11135" i="5"/>
  <c r="E11127" i="5"/>
  <c r="E11119" i="5"/>
  <c r="E11111" i="5"/>
  <c r="E11103" i="5"/>
  <c r="E11095" i="5"/>
  <c r="E11087" i="5"/>
  <c r="E11079" i="5"/>
  <c r="E11071" i="5"/>
  <c r="E11063" i="5"/>
  <c r="E11055" i="5"/>
  <c r="E11047" i="5"/>
  <c r="E11039" i="5"/>
  <c r="E11031" i="5"/>
  <c r="E11023" i="5"/>
  <c r="E11015" i="5"/>
  <c r="E11007" i="5"/>
  <c r="E10999" i="5"/>
  <c r="E10991" i="5"/>
  <c r="E10983" i="5"/>
  <c r="E10975" i="5"/>
  <c r="E10967" i="5"/>
  <c r="E10959" i="5"/>
  <c r="E10951" i="5"/>
  <c r="E10943" i="5"/>
  <c r="E10935" i="5"/>
  <c r="E10927" i="5"/>
  <c r="E10919" i="5"/>
  <c r="E10911" i="5"/>
  <c r="E10903" i="5"/>
  <c r="E10895" i="5"/>
  <c r="E10887" i="5"/>
  <c r="E10879" i="5"/>
  <c r="E10871" i="5"/>
  <c r="E10863" i="5"/>
  <c r="E10855" i="5"/>
  <c r="E10847" i="5"/>
  <c r="E10839" i="5"/>
  <c r="E10831" i="5"/>
  <c r="E10823" i="5"/>
  <c r="E10815" i="5"/>
  <c r="E10807" i="5"/>
  <c r="E10799" i="5"/>
  <c r="E10791" i="5"/>
  <c r="E10783" i="5"/>
  <c r="E10775" i="5"/>
  <c r="E10767" i="5"/>
  <c r="E10759" i="5"/>
  <c r="E10751" i="5"/>
  <c r="E10743" i="5"/>
  <c r="E10735" i="5"/>
  <c r="E10727" i="5"/>
  <c r="E10719" i="5"/>
  <c r="E10711" i="5"/>
  <c r="E10703" i="5"/>
  <c r="E10695" i="5"/>
  <c r="E10687" i="5"/>
  <c r="E10679" i="5"/>
  <c r="E10671" i="5"/>
  <c r="E10663" i="5"/>
  <c r="E10655" i="5"/>
  <c r="E10647" i="5"/>
  <c r="E10639" i="5"/>
  <c r="E10631" i="5"/>
  <c r="E10623" i="5"/>
  <c r="E10615" i="5"/>
  <c r="E10607" i="5"/>
  <c r="E10599" i="5"/>
  <c r="E10591" i="5"/>
  <c r="E10583" i="5"/>
  <c r="E10575" i="5"/>
  <c r="E10567" i="5"/>
  <c r="E10559" i="5"/>
  <c r="E10551" i="5"/>
  <c r="E10543" i="5"/>
  <c r="E10535" i="5"/>
  <c r="E10527" i="5"/>
  <c r="E10519" i="5"/>
  <c r="E10511" i="5"/>
  <c r="E10503" i="5"/>
  <c r="E10495" i="5"/>
  <c r="E10487" i="5"/>
  <c r="E10479" i="5"/>
  <c r="E10471" i="5"/>
  <c r="E10463" i="5"/>
  <c r="E10455" i="5"/>
  <c r="E10447" i="5"/>
  <c r="E10439" i="5"/>
  <c r="E10431" i="5"/>
  <c r="E10423" i="5"/>
  <c r="E10415" i="5"/>
  <c r="E10407" i="5"/>
  <c r="E10399" i="5"/>
  <c r="E10391" i="5"/>
  <c r="E10383" i="5"/>
  <c r="E10375" i="5"/>
  <c r="E10367" i="5"/>
  <c r="E10359" i="5"/>
  <c r="E10351" i="5"/>
  <c r="E10343" i="5"/>
  <c r="E10335" i="5"/>
  <c r="E10327" i="5"/>
  <c r="E10319" i="5"/>
  <c r="E10311" i="5"/>
  <c r="E10303" i="5"/>
  <c r="E10295" i="5"/>
  <c r="E10287" i="5"/>
  <c r="E10279" i="5"/>
  <c r="E10271" i="5"/>
  <c r="E10263" i="5"/>
  <c r="E10255" i="5"/>
  <c r="E10247" i="5"/>
  <c r="E10239" i="5"/>
  <c r="E10231" i="5"/>
  <c r="E10223" i="5"/>
  <c r="E10215" i="5"/>
  <c r="E10207" i="5"/>
  <c r="E10199" i="5"/>
  <c r="E10191" i="5"/>
  <c r="E10183" i="5"/>
  <c r="E10175" i="5"/>
  <c r="E10167" i="5"/>
  <c r="E10159" i="5"/>
  <c r="E10151" i="5"/>
  <c r="E10143" i="5"/>
  <c r="E10135" i="5"/>
  <c r="E10127" i="5"/>
  <c r="E10119" i="5"/>
  <c r="E10111" i="5"/>
  <c r="E10103" i="5"/>
  <c r="E10095" i="5"/>
  <c r="E10087" i="5"/>
  <c r="E10079" i="5"/>
  <c r="E10071" i="5"/>
  <c r="E10063" i="5"/>
  <c r="E10055" i="5"/>
  <c r="E10047" i="5"/>
  <c r="E10039" i="5"/>
  <c r="E10031" i="5"/>
  <c r="E10023" i="5"/>
  <c r="E10015" i="5"/>
  <c r="E10007" i="5"/>
  <c r="E9999" i="5"/>
  <c r="E9991" i="5"/>
  <c r="E9983" i="5"/>
  <c r="E9975" i="5"/>
  <c r="E9967" i="5"/>
  <c r="E9959" i="5"/>
  <c r="E9951" i="5"/>
  <c r="E9943" i="5"/>
  <c r="E9935" i="5"/>
  <c r="E9927" i="5"/>
  <c r="E9919" i="5"/>
  <c r="E9911" i="5"/>
  <c r="E9903" i="5"/>
  <c r="E9895" i="5"/>
  <c r="E9887" i="5"/>
  <c r="E9879" i="5"/>
  <c r="E9871" i="5"/>
  <c r="E9863" i="5"/>
  <c r="E9855" i="5"/>
  <c r="E9847" i="5"/>
  <c r="E9839" i="5"/>
  <c r="E9831" i="5"/>
  <c r="E9823" i="5"/>
  <c r="E9815" i="5"/>
  <c r="E9807" i="5"/>
  <c r="E9799" i="5"/>
  <c r="E9791" i="5"/>
  <c r="E9783" i="5"/>
  <c r="E9775" i="5"/>
  <c r="E9767" i="5"/>
  <c r="E9759" i="5"/>
  <c r="E9751" i="5"/>
  <c r="E9743" i="5"/>
  <c r="E9735" i="5"/>
  <c r="E9727" i="5"/>
  <c r="E9719" i="5"/>
  <c r="E9711" i="5"/>
  <c r="E9703" i="5"/>
  <c r="E9695" i="5"/>
  <c r="E9687" i="5"/>
  <c r="E9679" i="5"/>
  <c r="E9671" i="5"/>
  <c r="E9663" i="5"/>
  <c r="E9655" i="5"/>
  <c r="E9647" i="5"/>
  <c r="E9639" i="5"/>
  <c r="E9631" i="5"/>
  <c r="E9623" i="5"/>
  <c r="E9615" i="5"/>
  <c r="E9607" i="5"/>
  <c r="E9599" i="5"/>
  <c r="E9591" i="5"/>
  <c r="E9583" i="5"/>
  <c r="E9575" i="5"/>
  <c r="E9567" i="5"/>
  <c r="E9559" i="5"/>
  <c r="E9551" i="5"/>
  <c r="E9543" i="5"/>
  <c r="E9535" i="5"/>
  <c r="E9527" i="5"/>
  <c r="E9519" i="5"/>
  <c r="E9511" i="5"/>
  <c r="E9503" i="5"/>
  <c r="E9495" i="5"/>
  <c r="E9487" i="5"/>
  <c r="E9479" i="5"/>
  <c r="E9471" i="5"/>
  <c r="E9463" i="5"/>
  <c r="E9455" i="5"/>
  <c r="E9447" i="5"/>
  <c r="E9439" i="5"/>
  <c r="E9431" i="5"/>
  <c r="E9423" i="5"/>
  <c r="E9415" i="5"/>
  <c r="E9407" i="5"/>
  <c r="E9399" i="5"/>
  <c r="E9391" i="5"/>
  <c r="E9383" i="5"/>
  <c r="E9375" i="5"/>
  <c r="E9367" i="5"/>
  <c r="E9359" i="5"/>
  <c r="E9351" i="5"/>
  <c r="E9343" i="5"/>
  <c r="E9335" i="5"/>
  <c r="E9327" i="5"/>
  <c r="E9319" i="5"/>
  <c r="E9311" i="5"/>
  <c r="E9303" i="5"/>
  <c r="E9295" i="5"/>
  <c r="E9287" i="5"/>
  <c r="E9279" i="5"/>
  <c r="E9271" i="5"/>
  <c r="E9263" i="5"/>
  <c r="E9255" i="5"/>
  <c r="E9247" i="5"/>
  <c r="E9239" i="5"/>
  <c r="E9231" i="5"/>
  <c r="E9223" i="5"/>
  <c r="E9215" i="5"/>
  <c r="E9207" i="5"/>
  <c r="E9199" i="5"/>
  <c r="E9191" i="5"/>
  <c r="E9183" i="5"/>
  <c r="E9175" i="5"/>
  <c r="E9167" i="5"/>
  <c r="E9159" i="5"/>
  <c r="E9151" i="5"/>
  <c r="E9143" i="5"/>
  <c r="E9135" i="5"/>
  <c r="E9127" i="5"/>
  <c r="E9119" i="5"/>
  <c r="E9111" i="5"/>
  <c r="E9103" i="5"/>
  <c r="E9095" i="5"/>
  <c r="E9087" i="5"/>
  <c r="E9079" i="5"/>
  <c r="E9071" i="5"/>
  <c r="E9063" i="5"/>
  <c r="E9055" i="5"/>
  <c r="E9047" i="5"/>
  <c r="E9039" i="5"/>
  <c r="E9031" i="5"/>
  <c r="E9023" i="5"/>
  <c r="E9015" i="5"/>
  <c r="E9007" i="5"/>
  <c r="E8999" i="5"/>
  <c r="E8991" i="5"/>
  <c r="E8983" i="5"/>
  <c r="E8975" i="5"/>
  <c r="E8967" i="5"/>
  <c r="E8959" i="5"/>
  <c r="E8951" i="5"/>
  <c r="E8943" i="5"/>
  <c r="E8935" i="5"/>
  <c r="E8927" i="5"/>
  <c r="E8919" i="5"/>
  <c r="E8911" i="5"/>
  <c r="E8903" i="5"/>
  <c r="E8895" i="5"/>
  <c r="E8887" i="5"/>
  <c r="E8879" i="5"/>
  <c r="E8871" i="5"/>
  <c r="E8863" i="5"/>
  <c r="E8855" i="5"/>
  <c r="E8847" i="5"/>
  <c r="E8839" i="5"/>
  <c r="E8831" i="5"/>
  <c r="E8823" i="5"/>
  <c r="E8815" i="5"/>
  <c r="E8807" i="5"/>
  <c r="E8799" i="5"/>
  <c r="E8791" i="5"/>
  <c r="E8783" i="5"/>
  <c r="E8775" i="5"/>
  <c r="E8767" i="5"/>
  <c r="E8759" i="5"/>
  <c r="E8751" i="5"/>
  <c r="E8743" i="5"/>
  <c r="E8735" i="5"/>
  <c r="E8727" i="5"/>
  <c r="E8719" i="5"/>
  <c r="E8711" i="5"/>
  <c r="E8703" i="5"/>
  <c r="E8695" i="5"/>
  <c r="E8687" i="5"/>
  <c r="E8679" i="5"/>
  <c r="E8671" i="5"/>
  <c r="E8663" i="5"/>
  <c r="E8655" i="5"/>
  <c r="E8647" i="5"/>
  <c r="E8639" i="5"/>
  <c r="E8631" i="5"/>
  <c r="E8623" i="5"/>
  <c r="E8615" i="5"/>
  <c r="E8607" i="5"/>
  <c r="E8599" i="5"/>
  <c r="E8591" i="5"/>
  <c r="E8583" i="5"/>
  <c r="E8575" i="5"/>
  <c r="E8567" i="5"/>
  <c r="E8559" i="5"/>
  <c r="E8551" i="5"/>
  <c r="E8543" i="5"/>
  <c r="E8535" i="5"/>
  <c r="E8527" i="5"/>
  <c r="E8519" i="5"/>
  <c r="E8511" i="5"/>
  <c r="E8503" i="5"/>
  <c r="E8495" i="5"/>
  <c r="E8487" i="5"/>
  <c r="E8479" i="5"/>
  <c r="E8471" i="5"/>
  <c r="E8463" i="5"/>
  <c r="E8455" i="5"/>
  <c r="E8447" i="5"/>
  <c r="E8439" i="5"/>
  <c r="E8431" i="5"/>
  <c r="E8423" i="5"/>
  <c r="E8415" i="5"/>
  <c r="E8407" i="5"/>
  <c r="E8399" i="5"/>
  <c r="E8391" i="5"/>
  <c r="E8383" i="5"/>
  <c r="E8375" i="5"/>
  <c r="E8367" i="5"/>
  <c r="E8359" i="5"/>
  <c r="E8351" i="5"/>
  <c r="E8343" i="5"/>
  <c r="E8335" i="5"/>
  <c r="E8327" i="5"/>
  <c r="E8319" i="5"/>
  <c r="E8311" i="5"/>
  <c r="E8303" i="5"/>
  <c r="E8295" i="5"/>
  <c r="E8287" i="5"/>
  <c r="E8279" i="5"/>
  <c r="E8271" i="5"/>
  <c r="E8263" i="5"/>
  <c r="E8255" i="5"/>
  <c r="E8247" i="5"/>
  <c r="E8239" i="5"/>
  <c r="E8231" i="5"/>
  <c r="E8223" i="5"/>
  <c r="E8215" i="5"/>
  <c r="E8207" i="5"/>
  <c r="E8199" i="5"/>
  <c r="E8191" i="5"/>
  <c r="E8183" i="5"/>
  <c r="E8175" i="5"/>
  <c r="E8167" i="5"/>
  <c r="E8159" i="5"/>
  <c r="E8151" i="5"/>
  <c r="E8143" i="5"/>
  <c r="E8135" i="5"/>
  <c r="E8127" i="5"/>
  <c r="E8119" i="5"/>
  <c r="E8111" i="5"/>
  <c r="E8103" i="5"/>
  <c r="E8095" i="5"/>
  <c r="E8087" i="5"/>
  <c r="E8079" i="5"/>
  <c r="E8071" i="5"/>
  <c r="E8063" i="5"/>
  <c r="E8055" i="5"/>
  <c r="E8047" i="5"/>
  <c r="E8039" i="5"/>
  <c r="E8031" i="5"/>
  <c r="E8023" i="5"/>
  <c r="E8015" i="5"/>
  <c r="E8007" i="5"/>
  <c r="E7999" i="5"/>
  <c r="E7991" i="5"/>
  <c r="E7983" i="5"/>
  <c r="E7975" i="5"/>
  <c r="E7967" i="5"/>
  <c r="E7959" i="5"/>
  <c r="E7951" i="5"/>
  <c r="E7943" i="5"/>
  <c r="E7935" i="5"/>
  <c r="E7927" i="5"/>
  <c r="E7919" i="5"/>
  <c r="E7911" i="5"/>
  <c r="E7903" i="5"/>
  <c r="E7895" i="5"/>
  <c r="E7887" i="5"/>
  <c r="E7879" i="5"/>
  <c r="E7871" i="5"/>
  <c r="E7863" i="5"/>
  <c r="E7855" i="5"/>
  <c r="E7847" i="5"/>
  <c r="E7839" i="5"/>
  <c r="E7831" i="5"/>
  <c r="E7823" i="5"/>
  <c r="E7815" i="5"/>
  <c r="E7807" i="5"/>
  <c r="E7799" i="5"/>
  <c r="E7791" i="5"/>
  <c r="E7783" i="5"/>
  <c r="E7775" i="5"/>
  <c r="E7767" i="5"/>
  <c r="E7759" i="5"/>
  <c r="E7751" i="5"/>
  <c r="E7743" i="5"/>
  <c r="E7735" i="5"/>
  <c r="E7727" i="5"/>
  <c r="E7719" i="5"/>
  <c r="E7711" i="5"/>
  <c r="E7703" i="5"/>
  <c r="E7695" i="5"/>
  <c r="E7687" i="5"/>
  <c r="E7679" i="5"/>
  <c r="E7671" i="5"/>
  <c r="E7663" i="5"/>
  <c r="E7655" i="5"/>
  <c r="E7647" i="5"/>
  <c r="E7639" i="5"/>
  <c r="E7631" i="5"/>
  <c r="E7623" i="5"/>
  <c r="E7615" i="5"/>
  <c r="E7607" i="5"/>
  <c r="E7599" i="5"/>
  <c r="E7591" i="5"/>
  <c r="E7583" i="5"/>
  <c r="E7575" i="5"/>
  <c r="E7567" i="5"/>
  <c r="E7559" i="5"/>
  <c r="E7551" i="5"/>
  <c r="E7543" i="5"/>
  <c r="E7535" i="5"/>
  <c r="E7527" i="5"/>
  <c r="E7519" i="5"/>
  <c r="E7511" i="5"/>
  <c r="E7503" i="5"/>
  <c r="E7495" i="5"/>
  <c r="E7487" i="5"/>
  <c r="E7479" i="5"/>
  <c r="E7471" i="5"/>
  <c r="E7463" i="5"/>
  <c r="E7455" i="5"/>
  <c r="E7447" i="5"/>
  <c r="E7439" i="5"/>
  <c r="E7431" i="5"/>
  <c r="E7423" i="5"/>
  <c r="E7415" i="5"/>
  <c r="E7407" i="5"/>
  <c r="E7399" i="5"/>
  <c r="E7391" i="5"/>
  <c r="E7383" i="5"/>
  <c r="E7375" i="5"/>
  <c r="E7367" i="5"/>
  <c r="E7359" i="5"/>
  <c r="E7351" i="5"/>
  <c r="E7343" i="5"/>
  <c r="E7335" i="5"/>
  <c r="E7327" i="5"/>
  <c r="E7319" i="5"/>
  <c r="E7311" i="5"/>
  <c r="E7303" i="5"/>
  <c r="E7295" i="5"/>
  <c r="E7287" i="5"/>
  <c r="E7279" i="5"/>
  <c r="E7271" i="5"/>
  <c r="E7263" i="5"/>
  <c r="E7255" i="5"/>
  <c r="E7247" i="5"/>
  <c r="E7239" i="5"/>
  <c r="E7231" i="5"/>
  <c r="E7223" i="5"/>
  <c r="E7215" i="5"/>
  <c r="E7207" i="5"/>
  <c r="E7199" i="5"/>
  <c r="E7191" i="5"/>
  <c r="E7183" i="5"/>
  <c r="E7175" i="5"/>
  <c r="E7167" i="5"/>
  <c r="E7159" i="5"/>
  <c r="E7151" i="5"/>
  <c r="E7143" i="5"/>
  <c r="E7135" i="5"/>
  <c r="E7127" i="5"/>
  <c r="E7119" i="5"/>
  <c r="E7111" i="5"/>
  <c r="E7103" i="5"/>
  <c r="E7095" i="5"/>
  <c r="E7087" i="5"/>
  <c r="E7079" i="5"/>
  <c r="E7071" i="5"/>
  <c r="E7063" i="5"/>
  <c r="E7055" i="5"/>
  <c r="E7047" i="5"/>
  <c r="E7039" i="5"/>
  <c r="E7031" i="5"/>
  <c r="E7023" i="5"/>
  <c r="E7015" i="5"/>
  <c r="E7007" i="5"/>
  <c r="E6999" i="5"/>
  <c r="E6991" i="5"/>
  <c r="E6983" i="5"/>
  <c r="E6975" i="5"/>
  <c r="E6967" i="5"/>
  <c r="E6959" i="5"/>
  <c r="E6951" i="5"/>
  <c r="E6943" i="5"/>
  <c r="E6935" i="5"/>
  <c r="E6927" i="5"/>
  <c r="E6919" i="5"/>
  <c r="E6911" i="5"/>
  <c r="E6903" i="5"/>
  <c r="E6895" i="5"/>
  <c r="E6887" i="5"/>
  <c r="E6879" i="5"/>
  <c r="E6871" i="5"/>
  <c r="E6863" i="5"/>
  <c r="E6855" i="5"/>
  <c r="E6847" i="5"/>
  <c r="E6839" i="5"/>
  <c r="E6831" i="5"/>
  <c r="E6823" i="5"/>
  <c r="E6815" i="5"/>
  <c r="E6807" i="5"/>
  <c r="E6799" i="5"/>
  <c r="E6791" i="5"/>
  <c r="E6783" i="5"/>
  <c r="E6775" i="5"/>
  <c r="E6767" i="5"/>
  <c r="E6759" i="5"/>
  <c r="E6751" i="5"/>
  <c r="E6743" i="5"/>
  <c r="E6735" i="5"/>
  <c r="E6727" i="5"/>
  <c r="E6719" i="5"/>
  <c r="E6711" i="5"/>
  <c r="E6703" i="5"/>
  <c r="E6695" i="5"/>
  <c r="E6687" i="5"/>
  <c r="E6679" i="5"/>
  <c r="E6671" i="5"/>
  <c r="E6663" i="5"/>
  <c r="E6655" i="5"/>
  <c r="E6647" i="5"/>
  <c r="E6639" i="5"/>
  <c r="E6631" i="5"/>
  <c r="E6623" i="5"/>
  <c r="E6615" i="5"/>
  <c r="E6607" i="5"/>
  <c r="E6599" i="5"/>
  <c r="E6591" i="5"/>
  <c r="E6583" i="5"/>
  <c r="E6575" i="5"/>
  <c r="E6567" i="5"/>
  <c r="E6559" i="5"/>
  <c r="E6551" i="5"/>
  <c r="E6543" i="5"/>
  <c r="E6535" i="5"/>
  <c r="E6527" i="5"/>
  <c r="E6519" i="5"/>
  <c r="E6511" i="5"/>
  <c r="E6503" i="5"/>
  <c r="E6495" i="5"/>
  <c r="E6487" i="5"/>
  <c r="E6479" i="5"/>
  <c r="E6471" i="5"/>
  <c r="E6463" i="5"/>
  <c r="E6455" i="5"/>
  <c r="E6447" i="5"/>
  <c r="E6439" i="5"/>
  <c r="E6431" i="5"/>
  <c r="E6423" i="5"/>
  <c r="E6415" i="5"/>
  <c r="E6407" i="5"/>
  <c r="E6399" i="5"/>
  <c r="E6391" i="5"/>
  <c r="E6383" i="5"/>
  <c r="E6375" i="5"/>
  <c r="E6367" i="5"/>
  <c r="E6359" i="5"/>
  <c r="E6351" i="5"/>
  <c r="E6343" i="5"/>
  <c r="E6335" i="5"/>
  <c r="E6327" i="5"/>
  <c r="E6319" i="5"/>
  <c r="E6311" i="5"/>
  <c r="E6303" i="5"/>
  <c r="E6295" i="5"/>
  <c r="E6287" i="5"/>
  <c r="E6279" i="5"/>
  <c r="E6271" i="5"/>
  <c r="E6263" i="5"/>
  <c r="E6255" i="5"/>
  <c r="E6247" i="5"/>
  <c r="E6239" i="5"/>
  <c r="E6231" i="5"/>
  <c r="E6223" i="5"/>
  <c r="E6215" i="5"/>
  <c r="E6207" i="5"/>
  <c r="E6199" i="5"/>
  <c r="E6191" i="5"/>
  <c r="E6183" i="5"/>
  <c r="E6175" i="5"/>
  <c r="E6167" i="5"/>
  <c r="E6159" i="5"/>
  <c r="E6151" i="5"/>
  <c r="E6143" i="5"/>
  <c r="E6135" i="5"/>
  <c r="E6127" i="5"/>
  <c r="E6119" i="5"/>
  <c r="E6111" i="5"/>
  <c r="E6103" i="5"/>
  <c r="E6095" i="5"/>
  <c r="E6087" i="5"/>
  <c r="E6079" i="5"/>
  <c r="E6071" i="5"/>
  <c r="E6063" i="5"/>
  <c r="E6055" i="5"/>
  <c r="E6047" i="5"/>
  <c r="E6039" i="5"/>
  <c r="E6031" i="5"/>
  <c r="E6023" i="5"/>
  <c r="E6015" i="5"/>
  <c r="E6007" i="5"/>
  <c r="E5999" i="5"/>
  <c r="E5991" i="5"/>
  <c r="E5983" i="5"/>
  <c r="E5975" i="5"/>
  <c r="E5967" i="5"/>
  <c r="E5959" i="5"/>
  <c r="E5951" i="5"/>
  <c r="E5943" i="5"/>
  <c r="E5935" i="5"/>
  <c r="E5927" i="5"/>
  <c r="E5919" i="5"/>
  <c r="E5911" i="5"/>
  <c r="E5903" i="5"/>
  <c r="E5895" i="5"/>
  <c r="E5887" i="5"/>
  <c r="E5879" i="5"/>
  <c r="E5871" i="5"/>
  <c r="E5863" i="5"/>
  <c r="E5855" i="5"/>
  <c r="E5847" i="5"/>
  <c r="E5839" i="5"/>
  <c r="E5831" i="5"/>
  <c r="E5823" i="5"/>
  <c r="E5815" i="5"/>
  <c r="E5807" i="5"/>
  <c r="E5799" i="5"/>
  <c r="E5791" i="5"/>
  <c r="E5783" i="5"/>
  <c r="E5775" i="5"/>
  <c r="E5767" i="5"/>
  <c r="E5759" i="5"/>
  <c r="E5751" i="5"/>
  <c r="E5743" i="5"/>
  <c r="E5735" i="5"/>
  <c r="E5727" i="5"/>
  <c r="E5719" i="5"/>
  <c r="E5711" i="5"/>
  <c r="E5703" i="5"/>
  <c r="E5695" i="5"/>
  <c r="E5687" i="5"/>
  <c r="E5679" i="5"/>
  <c r="E5671" i="5"/>
  <c r="E5663" i="5"/>
  <c r="E5655" i="5"/>
  <c r="E5647" i="5"/>
  <c r="E5639" i="5"/>
  <c r="E5631" i="5"/>
  <c r="E5623" i="5"/>
  <c r="E5615" i="5"/>
  <c r="E5607" i="5"/>
  <c r="E5599" i="5"/>
  <c r="E5591" i="5"/>
  <c r="E5583" i="5"/>
  <c r="E5575" i="5"/>
  <c r="E5567" i="5"/>
  <c r="E5559" i="5"/>
  <c r="E5551" i="5"/>
  <c r="E5543" i="5"/>
  <c r="E5535" i="5"/>
  <c r="E5527" i="5"/>
  <c r="E5519" i="5"/>
  <c r="E5511" i="5"/>
  <c r="E5503" i="5"/>
  <c r="E5495" i="5"/>
  <c r="E5487" i="5"/>
  <c r="E5479" i="5"/>
  <c r="E5471" i="5"/>
  <c r="E5463" i="5"/>
  <c r="E5455" i="5"/>
  <c r="E5447" i="5"/>
  <c r="E5439" i="5"/>
  <c r="E5431" i="5"/>
  <c r="E5423" i="5"/>
  <c r="E5415" i="5"/>
  <c r="E5407" i="5"/>
  <c r="E5399" i="5"/>
  <c r="E5391" i="5"/>
  <c r="E5383" i="5"/>
  <c r="E5375" i="5"/>
  <c r="E5367" i="5"/>
  <c r="E5359" i="5"/>
  <c r="E5351" i="5"/>
  <c r="E5343" i="5"/>
  <c r="E5335" i="5"/>
  <c r="E5327" i="5"/>
  <c r="E5319" i="5"/>
  <c r="E5311" i="5"/>
  <c r="E5303" i="5"/>
  <c r="E5295" i="5"/>
  <c r="E5287" i="5"/>
  <c r="E5279" i="5"/>
  <c r="E5271" i="5"/>
  <c r="E41571" i="5"/>
  <c r="E41443" i="5"/>
  <c r="E41315" i="5"/>
  <c r="E41187" i="5"/>
  <c r="E41059" i="5"/>
  <c r="E40931" i="5"/>
  <c r="E40817" i="5"/>
  <c r="E40715" i="5"/>
  <c r="E40612" i="5"/>
  <c r="E40510" i="5"/>
  <c r="E40408" i="5"/>
  <c r="E40305" i="5"/>
  <c r="E40203" i="5"/>
  <c r="E40100" i="5"/>
  <c r="E39998" i="5"/>
  <c r="E39896" i="5"/>
  <c r="E39793" i="5"/>
  <c r="E39691" i="5"/>
  <c r="E39588" i="5"/>
  <c r="E39486" i="5"/>
  <c r="E39384" i="5"/>
  <c r="E39281" i="5"/>
  <c r="E39193" i="5"/>
  <c r="E39119" i="5"/>
  <c r="E39055" i="5"/>
  <c r="E38991" i="5"/>
  <c r="E38927" i="5"/>
  <c r="E38863" i="5"/>
  <c r="E38799" i="5"/>
  <c r="E38735" i="5"/>
  <c r="E38671" i="5"/>
  <c r="E38607" i="5"/>
  <c r="E38543" i="5"/>
  <c r="E38479" i="5"/>
  <c r="E38415" i="5"/>
  <c r="E38351" i="5"/>
  <c r="E38287" i="5"/>
  <c r="E38223" i="5"/>
  <c r="E38159" i="5"/>
  <c r="E38095" i="5"/>
  <c r="E38031" i="5"/>
  <c r="E37967" i="5"/>
  <c r="E37903" i="5"/>
  <c r="E37839" i="5"/>
  <c r="E37775" i="5"/>
  <c r="E37711" i="5"/>
  <c r="E37647" i="5"/>
  <c r="E37583" i="5"/>
  <c r="E37519" i="5"/>
  <c r="E37455" i="5"/>
  <c r="E37391" i="5"/>
  <c r="E37327" i="5"/>
  <c r="E37263" i="5"/>
  <c r="E37199" i="5"/>
  <c r="E37135" i="5"/>
  <c r="E37071" i="5"/>
  <c r="E37007" i="5"/>
  <c r="E36943" i="5"/>
  <c r="E36879" i="5"/>
  <c r="E36815" i="5"/>
  <c r="E36751" i="5"/>
  <c r="E36687" i="5"/>
  <c r="E36623" i="5"/>
  <c r="E36559" i="5"/>
  <c r="E36495" i="5"/>
  <c r="E36431" i="5"/>
  <c r="E36367" i="5"/>
  <c r="E36303" i="5"/>
  <c r="E36239" i="5"/>
  <c r="E36175" i="5"/>
  <c r="E36111" i="5"/>
  <c r="E36047" i="5"/>
  <c r="E35983" i="5"/>
  <c r="E35919" i="5"/>
  <c r="E35855" i="5"/>
  <c r="E35791" i="5"/>
  <c r="E35727" i="5"/>
  <c r="E35663" i="5"/>
  <c r="E35599" i="5"/>
  <c r="E35535" i="5"/>
  <c r="E35471" i="5"/>
  <c r="E35407" i="5"/>
  <c r="E35343" i="5"/>
  <c r="E35279" i="5"/>
  <c r="E35215" i="5"/>
  <c r="E35151" i="5"/>
  <c r="E35087" i="5"/>
  <c r="E35023" i="5"/>
  <c r="E34959" i="5"/>
  <c r="E34895" i="5"/>
  <c r="E34831" i="5"/>
  <c r="E34767" i="5"/>
  <c r="E34703" i="5"/>
  <c r="E34639" i="5"/>
  <c r="E34575" i="5"/>
  <c r="E34511" i="5"/>
  <c r="E34447" i="5"/>
  <c r="E34383" i="5"/>
  <c r="E34319" i="5"/>
  <c r="E34255" i="5"/>
  <c r="E34191" i="5"/>
  <c r="E34127" i="5"/>
  <c r="E34063" i="5"/>
  <c r="E33999" i="5"/>
  <c r="E33935" i="5"/>
  <c r="E33871" i="5"/>
  <c r="E33807" i="5"/>
  <c r="E33743" i="5"/>
  <c r="E33679" i="5"/>
  <c r="E33615" i="5"/>
  <c r="E33551" i="5"/>
  <c r="E33487" i="5"/>
  <c r="E33423" i="5"/>
  <c r="E33359" i="5"/>
  <c r="E33295" i="5"/>
  <c r="E33231" i="5"/>
  <c r="E33167" i="5"/>
  <c r="E33103" i="5"/>
  <c r="E33039" i="5"/>
  <c r="E32975" i="5"/>
  <c r="E32911" i="5"/>
  <c r="E32847" i="5"/>
  <c r="E32783" i="5"/>
  <c r="E32719" i="5"/>
  <c r="E32655" i="5"/>
  <c r="E32591" i="5"/>
  <c r="E32527" i="5"/>
  <c r="E32463" i="5"/>
  <c r="E32399" i="5"/>
  <c r="E32335" i="5"/>
  <c r="E32271" i="5"/>
  <c r="E32207" i="5"/>
  <c r="E32143" i="5"/>
  <c r="E32079" i="5"/>
  <c r="E32015" i="5"/>
  <c r="E31951" i="5"/>
  <c r="E31887" i="5"/>
  <c r="E31823" i="5"/>
  <c r="E31759" i="5"/>
  <c r="E31695" i="5"/>
  <c r="E31631" i="5"/>
  <c r="E31567" i="5"/>
  <c r="E31503" i="5"/>
  <c r="E31439" i="5"/>
  <c r="E31375" i="5"/>
  <c r="E31311" i="5"/>
  <c r="E31247" i="5"/>
  <c r="E31183" i="5"/>
  <c r="E31119" i="5"/>
  <c r="E31055" i="5"/>
  <c r="E30991" i="5"/>
  <c r="E30927" i="5"/>
  <c r="E30863" i="5"/>
  <c r="E30799" i="5"/>
  <c r="E30735" i="5"/>
  <c r="E30671" i="5"/>
  <c r="E30607" i="5"/>
  <c r="E30543" i="5"/>
  <c r="E30479" i="5"/>
  <c r="E30415" i="5"/>
  <c r="E30351" i="5"/>
  <c r="E30287" i="5"/>
  <c r="E30223" i="5"/>
  <c r="E30159" i="5"/>
  <c r="E30095" i="5"/>
  <c r="E30031" i="5"/>
  <c r="E29967" i="5"/>
  <c r="E29903" i="5"/>
  <c r="E29839" i="5"/>
  <c r="E29775" i="5"/>
  <c r="E29711" i="5"/>
  <c r="E29647" i="5"/>
  <c r="E29583" i="5"/>
  <c r="E29519" i="5"/>
  <c r="E29455" i="5"/>
  <c r="E29391" i="5"/>
  <c r="E29327" i="5"/>
  <c r="E29263" i="5"/>
  <c r="E29199" i="5"/>
  <c r="E29135" i="5"/>
  <c r="E29071" i="5"/>
  <c r="E29007" i="5"/>
  <c r="E28943" i="5"/>
  <c r="E28879" i="5"/>
  <c r="E28815" i="5"/>
  <c r="E28751" i="5"/>
  <c r="E28687" i="5"/>
  <c r="E28623" i="5"/>
  <c r="E28559" i="5"/>
  <c r="E28495" i="5"/>
  <c r="E28431" i="5"/>
  <c r="E28367" i="5"/>
  <c r="E28303" i="5"/>
  <c r="E28239" i="5"/>
  <c r="E28175" i="5"/>
  <c r="E28111" i="5"/>
  <c r="E28047" i="5"/>
  <c r="E27983" i="5"/>
  <c r="E27919" i="5"/>
  <c r="E27855" i="5"/>
  <c r="E27791" i="5"/>
  <c r="E27727" i="5"/>
  <c r="E27663" i="5"/>
  <c r="E27599" i="5"/>
  <c r="E27535" i="5"/>
  <c r="E27471" i="5"/>
  <c r="E27407" i="5"/>
  <c r="E27343" i="5"/>
  <c r="E27279" i="5"/>
  <c r="E27215" i="5"/>
  <c r="E27151" i="5"/>
  <c r="E27087" i="5"/>
  <c r="E27023" i="5"/>
  <c r="E26959" i="5"/>
  <c r="E26895" i="5"/>
  <c r="E26831" i="5"/>
  <c r="E26767" i="5"/>
  <c r="E26703" i="5"/>
  <c r="E26639" i="5"/>
  <c r="E26575" i="5"/>
  <c r="E26511" i="5"/>
  <c r="E26447" i="5"/>
  <c r="E26383" i="5"/>
  <c r="E26319" i="5"/>
  <c r="E26255" i="5"/>
  <c r="E26191" i="5"/>
  <c r="E26127" i="5"/>
  <c r="E26063" i="5"/>
  <c r="E25999" i="5"/>
  <c r="E25935" i="5"/>
  <c r="E25871" i="5"/>
  <c r="E25807" i="5"/>
  <c r="E25743" i="5"/>
  <c r="E25679" i="5"/>
  <c r="E25615" i="5"/>
  <c r="E25583" i="5"/>
  <c r="E25551" i="5"/>
  <c r="E25519" i="5"/>
  <c r="E25487" i="5"/>
  <c r="E25455" i="5"/>
  <c r="E25423" i="5"/>
  <c r="E25391" i="5"/>
  <c r="E25359" i="5"/>
  <c r="E25327" i="5"/>
  <c r="E25295" i="5"/>
  <c r="E25263" i="5"/>
  <c r="E25231" i="5"/>
  <c r="E25199" i="5"/>
  <c r="E25167" i="5"/>
  <c r="E25135" i="5"/>
  <c r="E25106" i="5"/>
  <c r="E25085" i="5"/>
  <c r="E25063" i="5"/>
  <c r="E25042" i="5"/>
  <c r="E25021" i="5"/>
  <c r="E24999" i="5"/>
  <c r="E24978" i="5"/>
  <c r="E24957" i="5"/>
  <c r="E24935" i="5"/>
  <c r="E24914" i="5"/>
  <c r="E24895" i="5"/>
  <c r="E24879" i="5"/>
  <c r="E24863" i="5"/>
  <c r="E24847" i="5"/>
  <c r="E24831" i="5"/>
  <c r="E24815" i="5"/>
  <c r="E24799" i="5"/>
  <c r="E24783" i="5"/>
  <c r="E24767" i="5"/>
  <c r="E24751" i="5"/>
  <c r="E24735" i="5"/>
  <c r="E24719" i="5"/>
  <c r="E24703" i="5"/>
  <c r="E24687" i="5"/>
  <c r="E24671" i="5"/>
  <c r="E24655" i="5"/>
  <c r="E24639" i="5"/>
  <c r="E24623" i="5"/>
  <c r="E24607" i="5"/>
  <c r="E24591" i="5"/>
  <c r="E24575" i="5"/>
  <c r="E24559" i="5"/>
  <c r="E24543" i="5"/>
  <c r="E24527" i="5"/>
  <c r="E24511" i="5"/>
  <c r="E24495" i="5"/>
  <c r="E24479" i="5"/>
  <c r="E24463" i="5"/>
  <c r="E24447" i="5"/>
  <c r="E24431" i="5"/>
  <c r="E24419" i="5"/>
  <c r="E24405" i="5"/>
  <c r="E24394" i="5"/>
  <c r="E24380" i="5"/>
  <c r="E24367" i="5"/>
  <c r="E24355" i="5"/>
  <c r="E24341" i="5"/>
  <c r="E24330" i="5"/>
  <c r="E24316" i="5"/>
  <c r="E24303" i="5"/>
  <c r="E24291" i="5"/>
  <c r="E24277" i="5"/>
  <c r="E24266" i="5"/>
  <c r="E24252" i="5"/>
  <c r="E24239" i="5"/>
  <c r="E24227" i="5"/>
  <c r="E24213" i="5"/>
  <c r="E24202" i="5"/>
  <c r="E24188" i="5"/>
  <c r="E24175" i="5"/>
  <c r="E24163" i="5"/>
  <c r="E24149" i="5"/>
  <c r="E24138" i="5"/>
  <c r="E24124" i="5"/>
  <c r="E24111" i="5"/>
  <c r="E24099" i="5"/>
  <c r="E24085" i="5"/>
  <c r="E24074" i="5"/>
  <c r="E24060" i="5"/>
  <c r="E24047" i="5"/>
  <c r="E24035" i="5"/>
  <c r="E24021" i="5"/>
  <c r="E24010" i="5"/>
  <c r="E23996" i="5"/>
  <c r="E23983" i="5"/>
  <c r="E23971" i="5"/>
  <c r="E23959" i="5"/>
  <c r="E23948" i="5"/>
  <c r="E23938" i="5"/>
  <c r="E23927" i="5"/>
  <c r="E23916" i="5"/>
  <c r="E23906" i="5"/>
  <c r="E23895" i="5"/>
  <c r="E23884" i="5"/>
  <c r="E23874" i="5"/>
  <c r="E23863" i="5"/>
  <c r="E23852" i="5"/>
  <c r="E23842" i="5"/>
  <c r="E23831" i="5"/>
  <c r="E23820" i="5"/>
  <c r="E23810" i="5"/>
  <c r="E23799" i="5"/>
  <c r="E23788" i="5"/>
  <c r="E23778" i="5"/>
  <c r="E23767" i="5"/>
  <c r="E23756" i="5"/>
  <c r="E23746" i="5"/>
  <c r="E23737" i="5"/>
  <c r="E23727" i="5"/>
  <c r="E23718" i="5"/>
  <c r="E23709" i="5"/>
  <c r="E23700" i="5"/>
  <c r="E23691" i="5"/>
  <c r="E23682" i="5"/>
  <c r="E23673" i="5"/>
  <c r="E23663" i="5"/>
  <c r="E23654" i="5"/>
  <c r="E23646" i="5"/>
  <c r="E23638" i="5"/>
  <c r="E23630" i="5"/>
  <c r="E23622" i="5"/>
  <c r="E23614" i="5"/>
  <c r="E23606" i="5"/>
  <c r="E23598" i="5"/>
  <c r="E23590" i="5"/>
  <c r="E23582" i="5"/>
  <c r="E23574" i="5"/>
  <c r="E23566" i="5"/>
  <c r="E23558" i="5"/>
  <c r="E23550" i="5"/>
  <c r="E23542" i="5"/>
  <c r="E23534" i="5"/>
  <c r="E23526" i="5"/>
  <c r="E23518" i="5"/>
  <c r="E23510" i="5"/>
  <c r="E23502" i="5"/>
  <c r="E23494" i="5"/>
  <c r="E23486" i="5"/>
  <c r="E23478" i="5"/>
  <c r="E23470" i="5"/>
  <c r="E23462" i="5"/>
  <c r="E23454" i="5"/>
  <c r="E23446" i="5"/>
  <c r="E23438" i="5"/>
  <c r="E23430" i="5"/>
  <c r="E23422" i="5"/>
  <c r="E23414" i="5"/>
  <c r="E23406" i="5"/>
  <c r="E23398" i="5"/>
  <c r="E23390" i="5"/>
  <c r="E23382" i="5"/>
  <c r="E23374" i="5"/>
  <c r="E23366" i="5"/>
  <c r="E23358" i="5"/>
  <c r="E23350" i="5"/>
  <c r="E23342" i="5"/>
  <c r="E23334" i="5"/>
  <c r="E23326" i="5"/>
  <c r="E23318" i="5"/>
  <c r="E23310" i="5"/>
  <c r="E23302" i="5"/>
  <c r="E23294" i="5"/>
  <c r="E23286" i="5"/>
  <c r="E23278" i="5"/>
  <c r="E23270" i="5"/>
  <c r="E23262" i="5"/>
  <c r="E23254" i="5"/>
  <c r="E23246" i="5"/>
  <c r="E23238" i="5"/>
  <c r="E23230" i="5"/>
  <c r="E23222" i="5"/>
  <c r="E23214" i="5"/>
  <c r="E23206" i="5"/>
  <c r="E23198" i="5"/>
  <c r="E23190" i="5"/>
  <c r="E23182" i="5"/>
  <c r="E23174" i="5"/>
  <c r="E23166" i="5"/>
  <c r="E23158" i="5"/>
  <c r="E23150" i="5"/>
  <c r="E23142" i="5"/>
  <c r="E23134" i="5"/>
  <c r="E23126" i="5"/>
  <c r="E23118" i="5"/>
  <c r="E23110" i="5"/>
  <c r="E23102" i="5"/>
  <c r="E23094" i="5"/>
  <c r="E23086" i="5"/>
  <c r="E23078" i="5"/>
  <c r="E23070" i="5"/>
  <c r="E23062" i="5"/>
  <c r="E23054" i="5"/>
  <c r="E23046" i="5"/>
  <c r="E23038" i="5"/>
  <c r="E23030" i="5"/>
  <c r="E23022" i="5"/>
  <c r="E23014" i="5"/>
  <c r="E23006" i="5"/>
  <c r="E22998" i="5"/>
  <c r="E22990" i="5"/>
  <c r="E22982" i="5"/>
  <c r="E22974" i="5"/>
  <c r="E22966" i="5"/>
  <c r="E22958" i="5"/>
  <c r="E22950" i="5"/>
  <c r="E22942" i="5"/>
  <c r="E22934" i="5"/>
  <c r="E22926" i="5"/>
  <c r="E22918" i="5"/>
  <c r="E22910" i="5"/>
  <c r="E22902" i="5"/>
  <c r="E22894" i="5"/>
  <c r="E22886" i="5"/>
  <c r="E22878" i="5"/>
  <c r="E22870" i="5"/>
  <c r="E22862" i="5"/>
  <c r="E22854" i="5"/>
  <c r="E22846" i="5"/>
  <c r="E22838" i="5"/>
  <c r="E22830" i="5"/>
  <c r="E22822" i="5"/>
  <c r="E22814" i="5"/>
  <c r="E22806" i="5"/>
  <c r="E22798" i="5"/>
  <c r="E22790" i="5"/>
  <c r="E22782" i="5"/>
  <c r="E22774" i="5"/>
  <c r="E22766" i="5"/>
  <c r="E22758" i="5"/>
  <c r="E22750" i="5"/>
  <c r="E22742" i="5"/>
  <c r="E22734" i="5"/>
  <c r="E22726" i="5"/>
  <c r="E22718" i="5"/>
  <c r="E22710" i="5"/>
  <c r="E22702" i="5"/>
  <c r="E22694" i="5"/>
  <c r="E22686" i="5"/>
  <c r="E22678" i="5"/>
  <c r="E22670" i="5"/>
  <c r="E22662" i="5"/>
  <c r="E22654" i="5"/>
  <c r="E22646" i="5"/>
  <c r="E22638" i="5"/>
  <c r="E22630" i="5"/>
  <c r="E22622" i="5"/>
  <c r="E22614" i="5"/>
  <c r="E22606" i="5"/>
  <c r="E22598" i="5"/>
  <c r="E22590" i="5"/>
  <c r="E22582" i="5"/>
  <c r="E22574" i="5"/>
  <c r="E22566" i="5"/>
  <c r="E22558" i="5"/>
  <c r="E22550" i="5"/>
  <c r="E22542" i="5"/>
  <c r="E22534" i="5"/>
  <c r="E22526" i="5"/>
  <c r="E22518" i="5"/>
  <c r="E22510" i="5"/>
  <c r="E22502" i="5"/>
  <c r="E22494" i="5"/>
  <c r="E22486" i="5"/>
  <c r="E22478" i="5"/>
  <c r="E22470" i="5"/>
  <c r="E22462" i="5"/>
  <c r="E22454" i="5"/>
  <c r="E22446" i="5"/>
  <c r="E22438" i="5"/>
  <c r="E22430" i="5"/>
  <c r="E22422" i="5"/>
  <c r="E22414" i="5"/>
  <c r="E22406" i="5"/>
  <c r="E22398" i="5"/>
  <c r="E22390" i="5"/>
  <c r="E22382" i="5"/>
  <c r="E22374" i="5"/>
  <c r="E22366" i="5"/>
  <c r="E22358" i="5"/>
  <c r="E22350" i="5"/>
  <c r="E22342" i="5"/>
  <c r="E22334" i="5"/>
  <c r="E22326" i="5"/>
  <c r="E22318" i="5"/>
  <c r="E22310" i="5"/>
  <c r="E22302" i="5"/>
  <c r="E22294" i="5"/>
  <c r="E22286" i="5"/>
  <c r="E22278" i="5"/>
  <c r="E22270" i="5"/>
  <c r="E22262" i="5"/>
  <c r="E22254" i="5"/>
  <c r="E22246" i="5"/>
  <c r="E22238" i="5"/>
  <c r="E22230" i="5"/>
  <c r="E22222" i="5"/>
  <c r="E22214" i="5"/>
  <c r="E22206" i="5"/>
  <c r="E22198" i="5"/>
  <c r="E22190" i="5"/>
  <c r="E22182" i="5"/>
  <c r="E22174" i="5"/>
  <c r="E22166" i="5"/>
  <c r="E22158" i="5"/>
  <c r="E22150" i="5"/>
  <c r="E22142" i="5"/>
  <c r="E22134" i="5"/>
  <c r="E22126" i="5"/>
  <c r="E22118" i="5"/>
  <c r="E22110" i="5"/>
  <c r="E22102" i="5"/>
  <c r="E22094" i="5"/>
  <c r="E22086" i="5"/>
  <c r="E22078" i="5"/>
  <c r="E22070" i="5"/>
  <c r="E22062" i="5"/>
  <c r="E22054" i="5"/>
  <c r="E22046" i="5"/>
  <c r="E22038" i="5"/>
  <c r="E22030" i="5"/>
  <c r="E22022" i="5"/>
  <c r="E22014" i="5"/>
  <c r="E22006" i="5"/>
  <c r="E21998" i="5"/>
  <c r="E21990" i="5"/>
  <c r="E21982" i="5"/>
  <c r="E21974" i="5"/>
  <c r="E21966" i="5"/>
  <c r="E21958" i="5"/>
  <c r="E21950" i="5"/>
  <c r="E21942" i="5"/>
  <c r="E21934" i="5"/>
  <c r="E21926" i="5"/>
  <c r="E21918" i="5"/>
  <c r="E21910" i="5"/>
  <c r="E21902" i="5"/>
  <c r="E21894" i="5"/>
  <c r="E21886" i="5"/>
  <c r="E21878" i="5"/>
  <c r="E21870" i="5"/>
  <c r="E21862" i="5"/>
  <c r="E21854" i="5"/>
  <c r="E21846" i="5"/>
  <c r="E21838" i="5"/>
  <c r="E21830" i="5"/>
  <c r="E21822" i="5"/>
  <c r="E21814" i="5"/>
  <c r="E21806" i="5"/>
  <c r="E21798" i="5"/>
  <c r="E21790" i="5"/>
  <c r="E21782" i="5"/>
  <c r="E21774" i="5"/>
  <c r="E21766" i="5"/>
  <c r="E21758" i="5"/>
  <c r="E21750" i="5"/>
  <c r="E21742" i="5"/>
  <c r="E21734" i="5"/>
  <c r="E21726" i="5"/>
  <c r="E21718" i="5"/>
  <c r="E21710" i="5"/>
  <c r="E21702" i="5"/>
  <c r="E21694" i="5"/>
  <c r="E21686" i="5"/>
  <c r="E21678" i="5"/>
  <c r="E21670" i="5"/>
  <c r="E21662" i="5"/>
  <c r="E21654" i="5"/>
  <c r="E21646" i="5"/>
  <c r="E21638" i="5"/>
  <c r="E21630" i="5"/>
  <c r="E21622" i="5"/>
  <c r="E21614" i="5"/>
  <c r="E21606" i="5"/>
  <c r="E21598" i="5"/>
  <c r="E21590" i="5"/>
  <c r="E21582" i="5"/>
  <c r="E21574" i="5"/>
  <c r="E21566" i="5"/>
  <c r="E21558" i="5"/>
  <c r="E21550" i="5"/>
  <c r="E21542" i="5"/>
  <c r="E21534" i="5"/>
  <c r="E21526" i="5"/>
  <c r="E21518" i="5"/>
  <c r="E21510" i="5"/>
  <c r="E21502" i="5"/>
  <c r="E21494" i="5"/>
  <c r="E21486" i="5"/>
  <c r="E21478" i="5"/>
  <c r="E21470" i="5"/>
  <c r="E21462" i="5"/>
  <c r="E21454" i="5"/>
  <c r="E21446" i="5"/>
  <c r="E21438" i="5"/>
  <c r="E21430" i="5"/>
  <c r="E21422" i="5"/>
  <c r="E21414" i="5"/>
  <c r="E21406" i="5"/>
  <c r="E21398" i="5"/>
  <c r="E21390" i="5"/>
  <c r="E21382" i="5"/>
  <c r="E21374" i="5"/>
  <c r="E21366" i="5"/>
  <c r="E21358" i="5"/>
  <c r="E21350" i="5"/>
  <c r="E21342" i="5"/>
  <c r="E21334" i="5"/>
  <c r="E21326" i="5"/>
  <c r="E21318" i="5"/>
  <c r="E21310" i="5"/>
  <c r="E21302" i="5"/>
  <c r="E21294" i="5"/>
  <c r="E21286" i="5"/>
  <c r="E21278" i="5"/>
  <c r="E21270" i="5"/>
  <c r="E21262" i="5"/>
  <c r="E21254" i="5"/>
  <c r="E21246" i="5"/>
  <c r="E21238" i="5"/>
  <c r="E21230" i="5"/>
  <c r="E21222" i="5"/>
  <c r="E21214" i="5"/>
  <c r="E21206" i="5"/>
  <c r="E21198" i="5"/>
  <c r="E21190" i="5"/>
  <c r="E21182" i="5"/>
  <c r="E21174" i="5"/>
  <c r="E21166" i="5"/>
  <c r="E21158" i="5"/>
  <c r="E21150" i="5"/>
  <c r="E21142" i="5"/>
  <c r="E21134" i="5"/>
  <c r="E21126" i="5"/>
  <c r="E21118" i="5"/>
  <c r="E21110" i="5"/>
  <c r="E21102" i="5"/>
  <c r="E21094" i="5"/>
  <c r="E21086" i="5"/>
  <c r="E21078" i="5"/>
  <c r="E21070" i="5"/>
  <c r="E21062" i="5"/>
  <c r="E21054" i="5"/>
  <c r="E21046" i="5"/>
  <c r="E21038" i="5"/>
  <c r="E21030" i="5"/>
  <c r="E21022" i="5"/>
  <c r="E21014" i="5"/>
  <c r="E21006" i="5"/>
  <c r="E20998" i="5"/>
  <c r="E20990" i="5"/>
  <c r="E20982" i="5"/>
  <c r="E20974" i="5"/>
  <c r="E20966" i="5"/>
  <c r="E20958" i="5"/>
  <c r="E20950" i="5"/>
  <c r="E20942" i="5"/>
  <c r="E20934" i="5"/>
  <c r="E20926" i="5"/>
  <c r="E20918" i="5"/>
  <c r="E20910" i="5"/>
  <c r="E20902" i="5"/>
  <c r="E20894" i="5"/>
  <c r="E20886" i="5"/>
  <c r="E20878" i="5"/>
  <c r="E20870" i="5"/>
  <c r="E20862" i="5"/>
  <c r="E20854" i="5"/>
  <c r="E20846" i="5"/>
  <c r="E20838" i="5"/>
  <c r="E20830" i="5"/>
  <c r="E20822" i="5"/>
  <c r="E20814" i="5"/>
  <c r="E20806" i="5"/>
  <c r="E20798" i="5"/>
  <c r="E20790" i="5"/>
  <c r="E20782" i="5"/>
  <c r="E20774" i="5"/>
  <c r="E20766" i="5"/>
  <c r="E20758" i="5"/>
  <c r="E20750" i="5"/>
  <c r="E20742" i="5"/>
  <c r="E20734" i="5"/>
  <c r="E20726" i="5"/>
  <c r="E20718" i="5"/>
  <c r="E20710" i="5"/>
  <c r="E20702" i="5"/>
  <c r="E20694" i="5"/>
  <c r="E20686" i="5"/>
  <c r="E20678" i="5"/>
  <c r="E20670" i="5"/>
  <c r="E20662" i="5"/>
  <c r="E20654" i="5"/>
  <c r="E20646" i="5"/>
  <c r="E20638" i="5"/>
  <c r="E20630" i="5"/>
  <c r="E20622" i="5"/>
  <c r="E20614" i="5"/>
  <c r="E20606" i="5"/>
  <c r="E20598" i="5"/>
  <c r="E20590" i="5"/>
  <c r="E20582" i="5"/>
  <c r="E20574" i="5"/>
  <c r="E20566" i="5"/>
  <c r="E20558" i="5"/>
  <c r="E20550" i="5"/>
  <c r="E20542" i="5"/>
  <c r="E20534" i="5"/>
  <c r="E20526" i="5"/>
  <c r="E20518" i="5"/>
  <c r="E20510" i="5"/>
  <c r="E20502" i="5"/>
  <c r="E20494" i="5"/>
  <c r="E20486" i="5"/>
  <c r="E20478" i="5"/>
  <c r="E20470" i="5"/>
  <c r="E20462" i="5"/>
  <c r="E20454" i="5"/>
  <c r="E20446" i="5"/>
  <c r="E20438" i="5"/>
  <c r="E20430" i="5"/>
  <c r="E20422" i="5"/>
  <c r="E20414" i="5"/>
  <c r="E20406" i="5"/>
  <c r="E20398" i="5"/>
  <c r="E20390" i="5"/>
  <c r="E20382" i="5"/>
  <c r="E20374" i="5"/>
  <c r="E20366" i="5"/>
  <c r="E20358" i="5"/>
  <c r="E20350" i="5"/>
  <c r="E20342" i="5"/>
  <c r="E20334" i="5"/>
  <c r="E20326" i="5"/>
  <c r="E20318" i="5"/>
  <c r="E20310" i="5"/>
  <c r="E20302" i="5"/>
  <c r="E20294" i="5"/>
  <c r="E20286" i="5"/>
  <c r="E20278" i="5"/>
  <c r="E20270" i="5"/>
  <c r="E20262" i="5"/>
  <c r="E20254" i="5"/>
  <c r="E20246" i="5"/>
  <c r="E20238" i="5"/>
  <c r="E20230" i="5"/>
  <c r="E20222" i="5"/>
  <c r="E20214" i="5"/>
  <c r="E20206" i="5"/>
  <c r="E20198" i="5"/>
  <c r="E20190" i="5"/>
  <c r="E20182" i="5"/>
  <c r="E20174" i="5"/>
  <c r="E20166" i="5"/>
  <c r="E20158" i="5"/>
  <c r="E20150" i="5"/>
  <c r="E20142" i="5"/>
  <c r="E20134" i="5"/>
  <c r="E20126" i="5"/>
  <c r="E20118" i="5"/>
  <c r="E20110" i="5"/>
  <c r="E20102" i="5"/>
  <c r="E20094" i="5"/>
  <c r="E20086" i="5"/>
  <c r="E20078" i="5"/>
  <c r="E20070" i="5"/>
  <c r="E20062" i="5"/>
  <c r="E20054" i="5"/>
  <c r="E20046" i="5"/>
  <c r="E20038" i="5"/>
  <c r="E20030" i="5"/>
  <c r="E20022" i="5"/>
  <c r="E20014" i="5"/>
  <c r="E20006" i="5"/>
  <c r="E19998" i="5"/>
  <c r="E19990" i="5"/>
  <c r="E19982" i="5"/>
  <c r="E19974" i="5"/>
  <c r="E19966" i="5"/>
  <c r="E19958" i="5"/>
  <c r="E19950" i="5"/>
  <c r="E19942" i="5"/>
  <c r="E19934" i="5"/>
  <c r="E19926" i="5"/>
  <c r="E19918" i="5"/>
  <c r="E19910" i="5"/>
  <c r="E19902" i="5"/>
  <c r="E19894" i="5"/>
  <c r="E19886" i="5"/>
  <c r="E19878" i="5"/>
  <c r="E19870" i="5"/>
  <c r="E19862" i="5"/>
  <c r="E19854" i="5"/>
  <c r="E19846" i="5"/>
  <c r="E19838" i="5"/>
  <c r="E19830" i="5"/>
  <c r="E19822" i="5"/>
  <c r="E19814" i="5"/>
  <c r="E19806" i="5"/>
  <c r="E19798" i="5"/>
  <c r="E19790" i="5"/>
  <c r="E19782" i="5"/>
  <c r="E19774" i="5"/>
  <c r="E19766" i="5"/>
  <c r="E19758" i="5"/>
  <c r="E19750" i="5"/>
  <c r="E19742" i="5"/>
  <c r="E19734" i="5"/>
  <c r="E19726" i="5"/>
  <c r="E19718" i="5"/>
  <c r="E19710" i="5"/>
  <c r="E19702" i="5"/>
  <c r="E19694" i="5"/>
  <c r="E19686" i="5"/>
  <c r="E19678" i="5"/>
  <c r="E19670" i="5"/>
  <c r="E19662" i="5"/>
  <c r="E19654" i="5"/>
  <c r="E19646" i="5"/>
  <c r="E19638" i="5"/>
  <c r="E19630" i="5"/>
  <c r="E19622" i="5"/>
  <c r="E19614" i="5"/>
  <c r="E19606" i="5"/>
  <c r="E19598" i="5"/>
  <c r="E19590" i="5"/>
  <c r="E19582" i="5"/>
  <c r="E19574" i="5"/>
  <c r="E19566" i="5"/>
  <c r="E19558" i="5"/>
  <c r="E19550" i="5"/>
  <c r="E19542" i="5"/>
  <c r="E19534" i="5"/>
  <c r="E19526" i="5"/>
  <c r="E19518" i="5"/>
  <c r="E19510" i="5"/>
  <c r="E19502" i="5"/>
  <c r="E19494" i="5"/>
  <c r="E19486" i="5"/>
  <c r="E19478" i="5"/>
  <c r="E19470" i="5"/>
  <c r="E19462" i="5"/>
  <c r="E19454" i="5"/>
  <c r="E19446" i="5"/>
  <c r="E19438" i="5"/>
  <c r="E19430" i="5"/>
  <c r="E19422" i="5"/>
  <c r="E19414" i="5"/>
  <c r="E19406" i="5"/>
  <c r="E19398" i="5"/>
  <c r="E19390" i="5"/>
  <c r="E19382" i="5"/>
  <c r="E19374" i="5"/>
  <c r="E19366" i="5"/>
  <c r="E19358" i="5"/>
  <c r="E19350" i="5"/>
  <c r="E19342" i="5"/>
  <c r="E19334" i="5"/>
  <c r="E19326" i="5"/>
  <c r="E19318" i="5"/>
  <c r="E19310" i="5"/>
  <c r="E19302" i="5"/>
  <c r="E19294" i="5"/>
  <c r="E19286" i="5"/>
  <c r="E19278" i="5"/>
  <c r="E19270" i="5"/>
  <c r="E19262" i="5"/>
  <c r="E19254" i="5"/>
  <c r="E19246" i="5"/>
  <c r="E19238" i="5"/>
  <c r="E19230" i="5"/>
  <c r="E19222" i="5"/>
  <c r="E19214" i="5"/>
  <c r="E19206" i="5"/>
  <c r="E19198" i="5"/>
  <c r="E19190" i="5"/>
  <c r="E19182" i="5"/>
  <c r="E19174" i="5"/>
  <c r="E19166" i="5"/>
  <c r="E19158" i="5"/>
  <c r="E19150" i="5"/>
  <c r="E19142" i="5"/>
  <c r="E19134" i="5"/>
  <c r="E19126" i="5"/>
  <c r="E19118" i="5"/>
  <c r="E19110" i="5"/>
  <c r="E19102" i="5"/>
  <c r="E19094" i="5"/>
  <c r="E19086" i="5"/>
  <c r="E19078" i="5"/>
  <c r="E19070" i="5"/>
  <c r="E19062" i="5"/>
  <c r="E19054" i="5"/>
  <c r="E19046" i="5"/>
  <c r="E19038" i="5"/>
  <c r="E19030" i="5"/>
  <c r="E19022" i="5"/>
  <c r="E19014" i="5"/>
  <c r="E19006" i="5"/>
  <c r="E18998" i="5"/>
  <c r="E18990" i="5"/>
  <c r="E18982" i="5"/>
  <c r="E18974" i="5"/>
  <c r="E18966" i="5"/>
  <c r="E18958" i="5"/>
  <c r="E18950" i="5"/>
  <c r="E18942" i="5"/>
  <c r="E18934" i="5"/>
  <c r="E18926" i="5"/>
  <c r="E18918" i="5"/>
  <c r="E18910" i="5"/>
  <c r="E18902" i="5"/>
  <c r="E18894" i="5"/>
  <c r="E18886" i="5"/>
  <c r="E18878" i="5"/>
  <c r="E18870" i="5"/>
  <c r="E18862" i="5"/>
  <c r="E18854" i="5"/>
  <c r="E18846" i="5"/>
  <c r="E18838" i="5"/>
  <c r="E18830" i="5"/>
  <c r="E18822" i="5"/>
  <c r="E18814" i="5"/>
  <c r="E18806" i="5"/>
  <c r="E18798" i="5"/>
  <c r="E18790" i="5"/>
  <c r="E18782" i="5"/>
  <c r="E18774" i="5"/>
  <c r="E18766" i="5"/>
  <c r="E18758" i="5"/>
  <c r="E18750" i="5"/>
  <c r="E18742" i="5"/>
  <c r="E18734" i="5"/>
  <c r="E18726" i="5"/>
  <c r="E18718" i="5"/>
  <c r="E18710" i="5"/>
  <c r="E18702" i="5"/>
  <c r="E18694" i="5"/>
  <c r="E18686" i="5"/>
  <c r="E18678" i="5"/>
  <c r="E18670" i="5"/>
  <c r="E18662" i="5"/>
  <c r="E18654" i="5"/>
  <c r="E18646" i="5"/>
  <c r="E18638" i="5"/>
  <c r="E18630" i="5"/>
  <c r="E18622" i="5"/>
  <c r="E18614" i="5"/>
  <c r="E18606" i="5"/>
  <c r="E18598" i="5"/>
  <c r="E18590" i="5"/>
  <c r="E18582" i="5"/>
  <c r="E18574" i="5"/>
  <c r="E18566" i="5"/>
  <c r="E18558" i="5"/>
  <c r="E18550" i="5"/>
  <c r="E18542" i="5"/>
  <c r="E18534" i="5"/>
  <c r="E18526" i="5"/>
  <c r="E18518" i="5"/>
  <c r="E18510" i="5"/>
  <c r="E18502" i="5"/>
  <c r="E18494" i="5"/>
  <c r="E18486" i="5"/>
  <c r="E18478" i="5"/>
  <c r="E18470" i="5"/>
  <c r="E18462" i="5"/>
  <c r="E18454" i="5"/>
  <c r="E18446" i="5"/>
  <c r="E18438" i="5"/>
  <c r="E18430" i="5"/>
  <c r="E18422" i="5"/>
  <c r="E18414" i="5"/>
  <c r="E18406" i="5"/>
  <c r="E18398" i="5"/>
  <c r="E18390" i="5"/>
  <c r="E18382" i="5"/>
  <c r="E18374" i="5"/>
  <c r="E18366" i="5"/>
  <c r="E18358" i="5"/>
  <c r="E18350" i="5"/>
  <c r="E18342" i="5"/>
  <c r="E18334" i="5"/>
  <c r="E18326" i="5"/>
  <c r="E18318" i="5"/>
  <c r="E18310" i="5"/>
  <c r="E18302" i="5"/>
  <c r="E18294" i="5"/>
  <c r="E18286" i="5"/>
  <c r="E18278" i="5"/>
  <c r="E18270" i="5"/>
  <c r="E18262" i="5"/>
  <c r="E18254" i="5"/>
  <c r="E18246" i="5"/>
  <c r="E18238" i="5"/>
  <c r="E18230" i="5"/>
  <c r="E18222" i="5"/>
  <c r="E18214" i="5"/>
  <c r="E18206" i="5"/>
  <c r="E18198" i="5"/>
  <c r="E18190" i="5"/>
  <c r="E18182" i="5"/>
  <c r="E18174" i="5"/>
  <c r="E18166" i="5"/>
  <c r="E18158" i="5"/>
  <c r="E18150" i="5"/>
  <c r="E18142" i="5"/>
  <c r="E18134" i="5"/>
  <c r="E18126" i="5"/>
  <c r="E18118" i="5"/>
  <c r="E18110" i="5"/>
  <c r="E18102" i="5"/>
  <c r="E18094" i="5"/>
  <c r="E18086" i="5"/>
  <c r="E18078" i="5"/>
  <c r="E18070" i="5"/>
  <c r="E18062" i="5"/>
  <c r="E18054" i="5"/>
  <c r="E18046" i="5"/>
  <c r="E18038" i="5"/>
  <c r="E18030" i="5"/>
  <c r="E18022" i="5"/>
  <c r="E18014" i="5"/>
  <c r="E18006" i="5"/>
  <c r="E17998" i="5"/>
  <c r="E17990" i="5"/>
  <c r="E17982" i="5"/>
  <c r="E17974" i="5"/>
  <c r="E17966" i="5"/>
  <c r="E17958" i="5"/>
  <c r="E17950" i="5"/>
  <c r="E17942" i="5"/>
  <c r="E17934" i="5"/>
  <c r="E17926" i="5"/>
  <c r="E17918" i="5"/>
  <c r="E17910" i="5"/>
  <c r="E17902" i="5"/>
  <c r="E17894" i="5"/>
  <c r="E17886" i="5"/>
  <c r="E17878" i="5"/>
  <c r="E17870" i="5"/>
  <c r="E17862" i="5"/>
  <c r="E17854" i="5"/>
  <c r="E17846" i="5"/>
  <c r="E17838" i="5"/>
  <c r="E17830" i="5"/>
  <c r="E17822" i="5"/>
  <c r="E17814" i="5"/>
  <c r="E17806" i="5"/>
  <c r="E17798" i="5"/>
  <c r="E17790" i="5"/>
  <c r="E17782" i="5"/>
  <c r="E17774" i="5"/>
  <c r="E17766" i="5"/>
  <c r="E17758" i="5"/>
  <c r="E17750" i="5"/>
  <c r="E17742" i="5"/>
  <c r="E17734" i="5"/>
  <c r="E17726" i="5"/>
  <c r="E17718" i="5"/>
  <c r="E17710" i="5"/>
  <c r="E17702" i="5"/>
  <c r="E17694" i="5"/>
  <c r="E17686" i="5"/>
  <c r="E17678" i="5"/>
  <c r="E17670" i="5"/>
  <c r="E17662" i="5"/>
  <c r="E17654" i="5"/>
  <c r="E17646" i="5"/>
  <c r="E17638" i="5"/>
  <c r="E17630" i="5"/>
  <c r="E17622" i="5"/>
  <c r="E17614" i="5"/>
  <c r="E17606" i="5"/>
  <c r="E17598" i="5"/>
  <c r="E17590" i="5"/>
  <c r="E17582" i="5"/>
  <c r="E17574" i="5"/>
  <c r="E17566" i="5"/>
  <c r="E17558" i="5"/>
  <c r="E17550" i="5"/>
  <c r="E17542" i="5"/>
  <c r="E17534" i="5"/>
  <c r="E17526" i="5"/>
  <c r="E17518" i="5"/>
  <c r="E17510" i="5"/>
  <c r="E17502" i="5"/>
  <c r="E17494" i="5"/>
  <c r="E17486" i="5"/>
  <c r="E17478" i="5"/>
  <c r="E17470" i="5"/>
  <c r="E17462" i="5"/>
  <c r="E17454" i="5"/>
  <c r="E17446" i="5"/>
  <c r="E17438" i="5"/>
  <c r="E17430" i="5"/>
  <c r="E17422" i="5"/>
  <c r="E17414" i="5"/>
  <c r="E17406" i="5"/>
  <c r="E17398" i="5"/>
  <c r="E17390" i="5"/>
  <c r="E17382" i="5"/>
  <c r="E17374" i="5"/>
  <c r="E17366" i="5"/>
  <c r="E17358" i="5"/>
  <c r="E17350" i="5"/>
  <c r="E17342" i="5"/>
  <c r="E17334" i="5"/>
  <c r="E17326" i="5"/>
  <c r="E17318" i="5"/>
  <c r="E17310" i="5"/>
  <c r="E17302" i="5"/>
  <c r="E17294" i="5"/>
  <c r="E17286" i="5"/>
  <c r="E17278" i="5"/>
  <c r="E17270" i="5"/>
  <c r="E17262" i="5"/>
  <c r="E17254" i="5"/>
  <c r="E17246" i="5"/>
  <c r="E17238" i="5"/>
  <c r="E17230" i="5"/>
  <c r="E17222" i="5"/>
  <c r="E17214" i="5"/>
  <c r="E17206" i="5"/>
  <c r="E17198" i="5"/>
  <c r="E17190" i="5"/>
  <c r="E17182" i="5"/>
  <c r="E17174" i="5"/>
  <c r="E17166" i="5"/>
  <c r="E17158" i="5"/>
  <c r="E17150" i="5"/>
  <c r="E17142" i="5"/>
  <c r="E17134" i="5"/>
  <c r="E17126" i="5"/>
  <c r="E17118" i="5"/>
  <c r="E17110" i="5"/>
  <c r="E17102" i="5"/>
  <c r="E17094" i="5"/>
  <c r="E17086" i="5"/>
  <c r="E17078" i="5"/>
  <c r="E17070" i="5"/>
  <c r="E17062" i="5"/>
  <c r="E17054" i="5"/>
  <c r="E17046" i="5"/>
  <c r="E17038" i="5"/>
  <c r="E17030" i="5"/>
  <c r="E17022" i="5"/>
  <c r="E17014" i="5"/>
  <c r="E17006" i="5"/>
  <c r="E16998" i="5"/>
  <c r="E16990" i="5"/>
  <c r="E16982" i="5"/>
  <c r="E16974" i="5"/>
  <c r="E16966" i="5"/>
  <c r="E16958" i="5"/>
  <c r="E16950" i="5"/>
  <c r="E16942" i="5"/>
  <c r="E16934" i="5"/>
  <c r="E16926" i="5"/>
  <c r="E16918" i="5"/>
  <c r="E16910" i="5"/>
  <c r="E16902" i="5"/>
  <c r="E16894" i="5"/>
  <c r="E16886" i="5"/>
  <c r="E16878" i="5"/>
  <c r="E16870" i="5"/>
  <c r="E16862" i="5"/>
  <c r="E16854" i="5"/>
  <c r="E16846" i="5"/>
  <c r="E16838" i="5"/>
  <c r="E16830" i="5"/>
  <c r="E16822" i="5"/>
  <c r="E16814" i="5"/>
  <c r="E16806" i="5"/>
  <c r="E16798" i="5"/>
  <c r="E16790" i="5"/>
  <c r="E16782" i="5"/>
  <c r="E16774" i="5"/>
  <c r="E16766" i="5"/>
  <c r="E16758" i="5"/>
  <c r="E16750" i="5"/>
  <c r="E16742" i="5"/>
  <c r="E16734" i="5"/>
  <c r="E16726" i="5"/>
  <c r="E16718" i="5"/>
  <c r="E16710" i="5"/>
  <c r="E16702" i="5"/>
  <c r="E16694" i="5"/>
  <c r="E16686" i="5"/>
  <c r="E16678" i="5"/>
  <c r="E16670" i="5"/>
  <c r="E16662" i="5"/>
  <c r="E16654" i="5"/>
  <c r="E16646" i="5"/>
  <c r="E16638" i="5"/>
  <c r="E16630" i="5"/>
  <c r="E16622" i="5"/>
  <c r="E16614" i="5"/>
  <c r="E16606" i="5"/>
  <c r="E16598" i="5"/>
  <c r="E16590" i="5"/>
  <c r="E16582" i="5"/>
  <c r="E16574" i="5"/>
  <c r="E16566" i="5"/>
  <c r="E16558" i="5"/>
  <c r="E16550" i="5"/>
  <c r="E16542" i="5"/>
  <c r="E16534" i="5"/>
  <c r="E16526" i="5"/>
  <c r="E16518" i="5"/>
  <c r="E16510" i="5"/>
  <c r="E16502" i="5"/>
  <c r="E16494" i="5"/>
  <c r="E16486" i="5"/>
  <c r="E16478" i="5"/>
  <c r="E16470" i="5"/>
  <c r="E16462" i="5"/>
  <c r="E16454" i="5"/>
  <c r="E16446" i="5"/>
  <c r="E16438" i="5"/>
  <c r="E16430" i="5"/>
  <c r="E16422" i="5"/>
  <c r="E16414" i="5"/>
  <c r="E16406" i="5"/>
  <c r="E16398" i="5"/>
  <c r="E16390" i="5"/>
  <c r="E16382" i="5"/>
  <c r="E16374" i="5"/>
  <c r="E16366" i="5"/>
  <c r="E16358" i="5"/>
  <c r="E16350" i="5"/>
  <c r="E16342" i="5"/>
  <c r="E16334" i="5"/>
  <c r="E16326" i="5"/>
  <c r="E16318" i="5"/>
  <c r="E16310" i="5"/>
  <c r="E16302" i="5"/>
  <c r="E16294" i="5"/>
  <c r="E16286" i="5"/>
  <c r="E16278" i="5"/>
  <c r="E16270" i="5"/>
  <c r="E16262" i="5"/>
  <c r="E16254" i="5"/>
  <c r="E16246" i="5"/>
  <c r="E16238" i="5"/>
  <c r="E16230" i="5"/>
  <c r="E16222" i="5"/>
  <c r="E16214" i="5"/>
  <c r="E16206" i="5"/>
  <c r="E16198" i="5"/>
  <c r="E16190" i="5"/>
  <c r="E16182" i="5"/>
  <c r="E16174" i="5"/>
  <c r="E16166" i="5"/>
  <c r="E16158" i="5"/>
  <c r="E16150" i="5"/>
  <c r="E16142" i="5"/>
  <c r="E16134" i="5"/>
  <c r="E16126" i="5"/>
  <c r="E16118" i="5"/>
  <c r="E16110" i="5"/>
  <c r="E16102" i="5"/>
  <c r="E16094" i="5"/>
  <c r="E16086" i="5"/>
  <c r="E16078" i="5"/>
  <c r="E16070" i="5"/>
  <c r="E16062" i="5"/>
  <c r="E16054" i="5"/>
  <c r="E16046" i="5"/>
  <c r="E16038" i="5"/>
  <c r="E16030" i="5"/>
  <c r="E16022" i="5"/>
  <c r="E16014" i="5"/>
  <c r="E16006" i="5"/>
  <c r="E15998" i="5"/>
  <c r="E15990" i="5"/>
  <c r="E15982" i="5"/>
  <c r="E15974" i="5"/>
  <c r="E15966" i="5"/>
  <c r="E15958" i="5"/>
  <c r="E15950" i="5"/>
  <c r="E15942" i="5"/>
  <c r="E15934" i="5"/>
  <c r="E15926" i="5"/>
  <c r="E15918" i="5"/>
  <c r="E15910" i="5"/>
  <c r="E15902" i="5"/>
  <c r="E15894" i="5"/>
  <c r="E15886" i="5"/>
  <c r="E15878" i="5"/>
  <c r="E15870" i="5"/>
  <c r="E15862" i="5"/>
  <c r="E15854" i="5"/>
  <c r="E15846" i="5"/>
  <c r="E15838" i="5"/>
  <c r="E15830" i="5"/>
  <c r="E15822" i="5"/>
  <c r="E15814" i="5"/>
  <c r="E15806" i="5"/>
  <c r="E15798" i="5"/>
  <c r="E15790" i="5"/>
  <c r="E15782" i="5"/>
  <c r="E15774" i="5"/>
  <c r="E15766" i="5"/>
  <c r="E15758" i="5"/>
  <c r="E15750" i="5"/>
  <c r="E15742" i="5"/>
  <c r="E15734" i="5"/>
  <c r="E15726" i="5"/>
  <c r="E15718" i="5"/>
  <c r="E15710" i="5"/>
  <c r="E15702" i="5"/>
  <c r="E15694" i="5"/>
  <c r="E15686" i="5"/>
  <c r="E15678" i="5"/>
  <c r="E15670" i="5"/>
  <c r="E15662" i="5"/>
  <c r="E15654" i="5"/>
  <c r="E15646" i="5"/>
  <c r="E15638" i="5"/>
  <c r="E15630" i="5"/>
  <c r="E15622" i="5"/>
  <c r="E15614" i="5"/>
  <c r="E15606" i="5"/>
  <c r="E15598" i="5"/>
  <c r="E15590" i="5"/>
  <c r="E15582" i="5"/>
  <c r="E15574" i="5"/>
  <c r="E15566" i="5"/>
  <c r="E15558" i="5"/>
  <c r="E15550" i="5"/>
  <c r="E15542" i="5"/>
  <c r="E15534" i="5"/>
  <c r="E15526" i="5"/>
  <c r="E15518" i="5"/>
  <c r="E15510" i="5"/>
  <c r="E15502" i="5"/>
  <c r="E15494" i="5"/>
  <c r="E15486" i="5"/>
  <c r="E15478" i="5"/>
  <c r="E15470" i="5"/>
  <c r="E15462" i="5"/>
  <c r="E15454" i="5"/>
  <c r="E15446" i="5"/>
  <c r="E15438" i="5"/>
  <c r="E15430" i="5"/>
  <c r="E15422" i="5"/>
  <c r="E15414" i="5"/>
  <c r="E15406" i="5"/>
  <c r="E15398" i="5"/>
  <c r="E15390" i="5"/>
  <c r="E15382" i="5"/>
  <c r="E15374" i="5"/>
  <c r="E15366" i="5"/>
  <c r="E15358" i="5"/>
  <c r="E15350" i="5"/>
  <c r="E15342" i="5"/>
  <c r="E15334" i="5"/>
  <c r="E15326" i="5"/>
  <c r="E15318" i="5"/>
  <c r="E15310" i="5"/>
  <c r="E15302" i="5"/>
  <c r="E15294" i="5"/>
  <c r="E15286" i="5"/>
  <c r="E15278" i="5"/>
  <c r="E15270" i="5"/>
  <c r="E15262" i="5"/>
  <c r="E15254" i="5"/>
  <c r="E15246" i="5"/>
  <c r="E15238" i="5"/>
  <c r="E15230" i="5"/>
  <c r="E15222" i="5"/>
  <c r="E15214" i="5"/>
  <c r="E15206" i="5"/>
  <c r="E15198" i="5"/>
  <c r="E15190" i="5"/>
  <c r="E15182" i="5"/>
  <c r="E15174" i="5"/>
  <c r="E15166" i="5"/>
  <c r="E15158" i="5"/>
  <c r="E15150" i="5"/>
  <c r="E15142" i="5"/>
  <c r="E15134" i="5"/>
  <c r="E15126" i="5"/>
  <c r="E15118" i="5"/>
  <c r="E15110" i="5"/>
  <c r="E15102" i="5"/>
  <c r="E15094" i="5"/>
  <c r="E15086" i="5"/>
  <c r="E15078" i="5"/>
  <c r="E15070" i="5"/>
  <c r="E15062" i="5"/>
  <c r="E15054" i="5"/>
  <c r="E15046" i="5"/>
  <c r="E15038" i="5"/>
  <c r="E15030" i="5"/>
  <c r="E15022" i="5"/>
  <c r="E15014" i="5"/>
  <c r="E15006" i="5"/>
  <c r="E14998" i="5"/>
  <c r="E14990" i="5"/>
  <c r="E14982" i="5"/>
  <c r="E14974" i="5"/>
  <c r="E14966" i="5"/>
  <c r="E14958" i="5"/>
  <c r="E14950" i="5"/>
  <c r="E14942" i="5"/>
  <c r="E14934" i="5"/>
  <c r="E14926" i="5"/>
  <c r="E14918" i="5"/>
  <c r="E14910" i="5"/>
  <c r="E14902" i="5"/>
  <c r="E14894" i="5"/>
  <c r="E14886" i="5"/>
  <c r="E14878" i="5"/>
  <c r="E14870" i="5"/>
  <c r="E14862" i="5"/>
  <c r="E14854" i="5"/>
  <c r="E14846" i="5"/>
  <c r="E14838" i="5"/>
  <c r="E14830" i="5"/>
  <c r="E14822" i="5"/>
  <c r="E14814" i="5"/>
  <c r="E14806" i="5"/>
  <c r="E14798" i="5"/>
  <c r="E14790" i="5"/>
  <c r="E14782" i="5"/>
  <c r="E14774" i="5"/>
  <c r="E14766" i="5"/>
  <c r="E14758" i="5"/>
  <c r="E14750" i="5"/>
  <c r="E14742" i="5"/>
  <c r="E14734" i="5"/>
  <c r="E14726" i="5"/>
  <c r="E14718" i="5"/>
  <c r="E14710" i="5"/>
  <c r="E14702" i="5"/>
  <c r="E14694" i="5"/>
  <c r="E14686" i="5"/>
  <c r="E14678" i="5"/>
  <c r="E14670" i="5"/>
  <c r="E14662" i="5"/>
  <c r="E14654" i="5"/>
  <c r="E14646" i="5"/>
  <c r="E14638" i="5"/>
  <c r="E14630" i="5"/>
  <c r="E14622" i="5"/>
  <c r="E14614" i="5"/>
  <c r="E14606" i="5"/>
  <c r="E14598" i="5"/>
  <c r="E14590" i="5"/>
  <c r="E14582" i="5"/>
  <c r="E14574" i="5"/>
  <c r="E14566" i="5"/>
  <c r="E14558" i="5"/>
  <c r="E14550" i="5"/>
  <c r="E14542" i="5"/>
  <c r="E14534" i="5"/>
  <c r="E14526" i="5"/>
  <c r="E14518" i="5"/>
  <c r="E14510" i="5"/>
  <c r="E14502" i="5"/>
  <c r="E14494" i="5"/>
  <c r="E14486" i="5"/>
  <c r="E14478" i="5"/>
  <c r="E14470" i="5"/>
  <c r="E14462" i="5"/>
  <c r="E14454" i="5"/>
  <c r="E14446" i="5"/>
  <c r="E14438" i="5"/>
  <c r="E14430" i="5"/>
  <c r="E14422" i="5"/>
  <c r="E14414" i="5"/>
  <c r="E14406" i="5"/>
  <c r="E14398" i="5"/>
  <c r="E14390" i="5"/>
  <c r="E14382" i="5"/>
  <c r="E14374" i="5"/>
  <c r="E14366" i="5"/>
  <c r="E14358" i="5"/>
  <c r="E14350" i="5"/>
  <c r="E14342" i="5"/>
  <c r="E14334" i="5"/>
  <c r="E14326" i="5"/>
  <c r="E14318" i="5"/>
  <c r="E14310" i="5"/>
  <c r="E14302" i="5"/>
  <c r="E14294" i="5"/>
  <c r="E14286" i="5"/>
  <c r="E14278" i="5"/>
  <c r="E14270" i="5"/>
  <c r="E14262" i="5"/>
  <c r="E14254" i="5"/>
  <c r="E14246" i="5"/>
  <c r="E14238" i="5"/>
  <c r="E14230" i="5"/>
  <c r="E14222" i="5"/>
  <c r="E14214" i="5"/>
  <c r="E14206" i="5"/>
  <c r="E14198" i="5"/>
  <c r="E14190" i="5"/>
  <c r="E14182" i="5"/>
  <c r="E14174" i="5"/>
  <c r="E14166" i="5"/>
  <c r="E14158" i="5"/>
  <c r="E14150" i="5"/>
  <c r="E14142" i="5"/>
  <c r="E14134" i="5"/>
  <c r="E14126" i="5"/>
  <c r="E14118" i="5"/>
  <c r="E14110" i="5"/>
  <c r="E14102" i="5"/>
  <c r="E14094" i="5"/>
  <c r="E14086" i="5"/>
  <c r="E14078" i="5"/>
  <c r="E14070" i="5"/>
  <c r="E14062" i="5"/>
  <c r="E14054" i="5"/>
  <c r="E14046" i="5"/>
  <c r="E14038" i="5"/>
  <c r="E14030" i="5"/>
  <c r="E14022" i="5"/>
  <c r="E14014" i="5"/>
  <c r="E14006" i="5"/>
  <c r="E13998" i="5"/>
  <c r="E13990" i="5"/>
  <c r="E13982" i="5"/>
  <c r="E13974" i="5"/>
  <c r="E13966" i="5"/>
  <c r="E13958" i="5"/>
  <c r="E13950" i="5"/>
  <c r="E13942" i="5"/>
  <c r="E13934" i="5"/>
  <c r="E13926" i="5"/>
  <c r="E13918" i="5"/>
  <c r="E13910" i="5"/>
  <c r="E13902" i="5"/>
  <c r="E13894" i="5"/>
  <c r="E13886" i="5"/>
  <c r="E13878" i="5"/>
  <c r="E13870" i="5"/>
  <c r="E13862" i="5"/>
  <c r="E13854" i="5"/>
  <c r="E13846" i="5"/>
  <c r="E13838" i="5"/>
  <c r="E13830" i="5"/>
  <c r="E13822" i="5"/>
  <c r="E13814" i="5"/>
  <c r="E13806" i="5"/>
  <c r="E13798" i="5"/>
  <c r="E13790" i="5"/>
  <c r="E13782" i="5"/>
  <c r="E13774" i="5"/>
  <c r="E13766" i="5"/>
  <c r="E13758" i="5"/>
  <c r="E13750" i="5"/>
  <c r="E13742" i="5"/>
  <c r="E13734" i="5"/>
  <c r="E13726" i="5"/>
  <c r="E13718" i="5"/>
  <c r="E13710" i="5"/>
  <c r="E13702" i="5"/>
  <c r="E13694" i="5"/>
  <c r="E13686" i="5"/>
  <c r="E13678" i="5"/>
  <c r="E13670" i="5"/>
  <c r="E13662" i="5"/>
  <c r="E13654" i="5"/>
  <c r="E13646" i="5"/>
  <c r="E13638" i="5"/>
  <c r="E13630" i="5"/>
  <c r="E13622" i="5"/>
  <c r="E13614" i="5"/>
  <c r="E13606" i="5"/>
  <c r="E13598" i="5"/>
  <c r="E13590" i="5"/>
  <c r="E13582" i="5"/>
  <c r="E13574" i="5"/>
  <c r="E13566" i="5"/>
  <c r="E13558" i="5"/>
  <c r="E13550" i="5"/>
  <c r="E13542" i="5"/>
  <c r="E13534" i="5"/>
  <c r="E13526" i="5"/>
  <c r="E13518" i="5"/>
  <c r="E13510" i="5"/>
  <c r="E13502" i="5"/>
  <c r="E13494" i="5"/>
  <c r="E13486" i="5"/>
  <c r="E13478" i="5"/>
  <c r="E13470" i="5"/>
  <c r="E13462" i="5"/>
  <c r="E13454" i="5"/>
  <c r="E13446" i="5"/>
  <c r="E13438" i="5"/>
  <c r="E13430" i="5"/>
  <c r="E13422" i="5"/>
  <c r="E13414" i="5"/>
  <c r="E13406" i="5"/>
  <c r="E13398" i="5"/>
  <c r="E13390" i="5"/>
  <c r="E13382" i="5"/>
  <c r="E13374" i="5"/>
  <c r="E13366" i="5"/>
  <c r="E13358" i="5"/>
  <c r="E13350" i="5"/>
  <c r="E13342" i="5"/>
  <c r="E13334" i="5"/>
  <c r="E13326" i="5"/>
  <c r="E13318" i="5"/>
  <c r="E13310" i="5"/>
  <c r="E13302" i="5"/>
  <c r="E13294" i="5"/>
  <c r="E13286" i="5"/>
  <c r="E13278" i="5"/>
  <c r="E13270" i="5"/>
  <c r="E13262" i="5"/>
  <c r="E13254" i="5"/>
  <c r="E13246" i="5"/>
  <c r="E13238" i="5"/>
  <c r="E13230" i="5"/>
  <c r="E13222" i="5"/>
  <c r="E13214" i="5"/>
  <c r="E13206" i="5"/>
  <c r="E13198" i="5"/>
  <c r="E13190" i="5"/>
  <c r="E13182" i="5"/>
  <c r="E13174" i="5"/>
  <c r="E13166" i="5"/>
  <c r="E13158" i="5"/>
  <c r="E13150" i="5"/>
  <c r="E13142" i="5"/>
  <c r="E13134" i="5"/>
  <c r="E13126" i="5"/>
  <c r="E13118" i="5"/>
  <c r="E13110" i="5"/>
  <c r="E13102" i="5"/>
  <c r="E13094" i="5"/>
  <c r="E13086" i="5"/>
  <c r="E13078" i="5"/>
  <c r="E13070" i="5"/>
  <c r="E13062" i="5"/>
  <c r="E13054" i="5"/>
  <c r="E13046" i="5"/>
  <c r="E13038" i="5"/>
  <c r="E13030" i="5"/>
  <c r="E13022" i="5"/>
  <c r="E13014" i="5"/>
  <c r="E13006" i="5"/>
  <c r="E12998" i="5"/>
  <c r="E12990" i="5"/>
  <c r="E12982" i="5"/>
  <c r="E12974" i="5"/>
  <c r="E12966" i="5"/>
  <c r="E12958" i="5"/>
  <c r="E12950" i="5"/>
  <c r="E12942" i="5"/>
  <c r="E12934" i="5"/>
  <c r="E12926" i="5"/>
  <c r="E12918" i="5"/>
  <c r="E12910" i="5"/>
  <c r="E12902" i="5"/>
  <c r="E12894" i="5"/>
  <c r="E12886" i="5"/>
  <c r="E12878" i="5"/>
  <c r="E12870" i="5"/>
  <c r="E12862" i="5"/>
  <c r="E12854" i="5"/>
  <c r="E12846" i="5"/>
  <c r="E12838" i="5"/>
  <c r="E12830" i="5"/>
  <c r="E12822" i="5"/>
  <c r="E12814" i="5"/>
  <c r="E12806" i="5"/>
  <c r="E12798" i="5"/>
  <c r="E12790" i="5"/>
  <c r="E12782" i="5"/>
  <c r="E12774" i="5"/>
  <c r="E12766" i="5"/>
  <c r="E12758" i="5"/>
  <c r="E12750" i="5"/>
  <c r="E12742" i="5"/>
  <c r="E12734" i="5"/>
  <c r="E12726" i="5"/>
  <c r="E12718" i="5"/>
  <c r="E12710" i="5"/>
  <c r="E12702" i="5"/>
  <c r="E12694" i="5"/>
  <c r="E12686" i="5"/>
  <c r="E12678" i="5"/>
  <c r="E12670" i="5"/>
  <c r="E12662" i="5"/>
  <c r="E12654" i="5"/>
  <c r="E12646" i="5"/>
  <c r="E12638" i="5"/>
  <c r="E12630" i="5"/>
  <c r="E12622" i="5"/>
  <c r="E12614" i="5"/>
  <c r="E12606" i="5"/>
  <c r="E12598" i="5"/>
  <c r="E12590" i="5"/>
  <c r="E12582" i="5"/>
  <c r="E12574" i="5"/>
  <c r="E12566" i="5"/>
  <c r="E12558" i="5"/>
  <c r="E12550" i="5"/>
  <c r="E12542" i="5"/>
  <c r="E12534" i="5"/>
  <c r="E12526" i="5"/>
  <c r="E12518" i="5"/>
  <c r="E12510" i="5"/>
  <c r="E12502" i="5"/>
  <c r="E12494" i="5"/>
  <c r="E12486" i="5"/>
  <c r="E12478" i="5"/>
  <c r="E12470" i="5"/>
  <c r="E12462" i="5"/>
  <c r="E12454" i="5"/>
  <c r="E12446" i="5"/>
  <c r="E12438" i="5"/>
  <c r="E12430" i="5"/>
  <c r="E12422" i="5"/>
  <c r="E12414" i="5"/>
  <c r="E12406" i="5"/>
  <c r="E12398" i="5"/>
  <c r="E12390" i="5"/>
  <c r="E12382" i="5"/>
  <c r="E12374" i="5"/>
  <c r="E12366" i="5"/>
  <c r="E12358" i="5"/>
  <c r="E12350" i="5"/>
  <c r="E12342" i="5"/>
  <c r="E12334" i="5"/>
  <c r="E12326" i="5"/>
  <c r="E12318" i="5"/>
  <c r="E12310" i="5"/>
  <c r="E12302" i="5"/>
  <c r="E12294" i="5"/>
  <c r="E12286" i="5"/>
  <c r="E12278" i="5"/>
  <c r="E12270" i="5"/>
  <c r="E12262" i="5"/>
  <c r="E12254" i="5"/>
  <c r="E12246" i="5"/>
  <c r="E12238" i="5"/>
  <c r="E12230" i="5"/>
  <c r="E12222" i="5"/>
  <c r="E12214" i="5"/>
  <c r="E12206" i="5"/>
  <c r="E12198" i="5"/>
  <c r="E12190" i="5"/>
  <c r="E12182" i="5"/>
  <c r="E12174" i="5"/>
  <c r="E12166" i="5"/>
  <c r="E12158" i="5"/>
  <c r="E12150" i="5"/>
  <c r="E12142" i="5"/>
  <c r="E12134" i="5"/>
  <c r="E12126" i="5"/>
  <c r="E12118" i="5"/>
  <c r="E12110" i="5"/>
  <c r="E12102" i="5"/>
  <c r="E12094" i="5"/>
  <c r="E12086" i="5"/>
  <c r="E12078" i="5"/>
  <c r="E12070" i="5"/>
  <c r="E12062" i="5"/>
  <c r="E12054" i="5"/>
  <c r="E12046" i="5"/>
  <c r="E12038" i="5"/>
  <c r="E12030" i="5"/>
  <c r="E12022" i="5"/>
  <c r="E12014" i="5"/>
  <c r="E12006" i="5"/>
  <c r="E11998" i="5"/>
  <c r="E11990" i="5"/>
  <c r="E11982" i="5"/>
  <c r="E11974" i="5"/>
  <c r="E11966" i="5"/>
  <c r="E11958" i="5"/>
  <c r="E11950" i="5"/>
  <c r="E11942" i="5"/>
  <c r="E11934" i="5"/>
  <c r="E11926" i="5"/>
  <c r="E11918" i="5"/>
  <c r="E11910" i="5"/>
  <c r="E11902" i="5"/>
  <c r="E11894" i="5"/>
  <c r="E11886" i="5"/>
  <c r="E11878" i="5"/>
  <c r="E11870" i="5"/>
  <c r="E11862" i="5"/>
  <c r="E11854" i="5"/>
  <c r="E11846" i="5"/>
  <c r="E11838" i="5"/>
  <c r="E11830" i="5"/>
  <c r="E11822" i="5"/>
  <c r="E11814" i="5"/>
  <c r="E11806" i="5"/>
  <c r="E11798" i="5"/>
  <c r="E11790" i="5"/>
  <c r="E11782" i="5"/>
  <c r="E11774" i="5"/>
  <c r="E11766" i="5"/>
  <c r="E11758" i="5"/>
  <c r="E11750" i="5"/>
  <c r="E11742" i="5"/>
  <c r="E11734" i="5"/>
  <c r="E11726" i="5"/>
  <c r="E11718" i="5"/>
  <c r="E11710" i="5"/>
  <c r="E11702" i="5"/>
  <c r="E11694" i="5"/>
  <c r="E11686" i="5"/>
  <c r="E11678" i="5"/>
  <c r="E11670" i="5"/>
  <c r="E11662" i="5"/>
  <c r="E11654" i="5"/>
  <c r="E11646" i="5"/>
  <c r="E11638" i="5"/>
  <c r="E11630" i="5"/>
  <c r="E11622" i="5"/>
  <c r="E11614" i="5"/>
  <c r="E11606" i="5"/>
  <c r="E11598" i="5"/>
  <c r="E11590" i="5"/>
  <c r="E11582" i="5"/>
  <c r="E11574" i="5"/>
  <c r="E11566" i="5"/>
  <c r="E11558" i="5"/>
  <c r="E11550" i="5"/>
  <c r="E11542" i="5"/>
  <c r="E11534" i="5"/>
  <c r="E11526" i="5"/>
  <c r="E11518" i="5"/>
  <c r="E11510" i="5"/>
  <c r="E11502" i="5"/>
  <c r="E11494" i="5"/>
  <c r="E11486" i="5"/>
  <c r="E11478" i="5"/>
  <c r="E11470" i="5"/>
  <c r="E11462" i="5"/>
  <c r="E11454" i="5"/>
  <c r="E11446" i="5"/>
  <c r="E11438" i="5"/>
  <c r="E11430" i="5"/>
  <c r="E11422" i="5"/>
  <c r="E11414" i="5"/>
  <c r="E11406" i="5"/>
  <c r="E11398" i="5"/>
  <c r="E11390" i="5"/>
  <c r="E11382" i="5"/>
  <c r="E11374" i="5"/>
  <c r="E11366" i="5"/>
  <c r="E11358" i="5"/>
  <c r="E11350" i="5"/>
  <c r="E11342" i="5"/>
  <c r="E11334" i="5"/>
  <c r="E11326" i="5"/>
  <c r="E11318" i="5"/>
  <c r="E11310" i="5"/>
  <c r="E11302" i="5"/>
  <c r="E11294" i="5"/>
  <c r="E11286" i="5"/>
  <c r="E11278" i="5"/>
  <c r="E11270" i="5"/>
  <c r="E11262" i="5"/>
  <c r="E11254" i="5"/>
  <c r="E11246" i="5"/>
  <c r="E11238" i="5"/>
  <c r="E11230" i="5"/>
  <c r="E11222" i="5"/>
  <c r="E11214" i="5"/>
  <c r="E11206" i="5"/>
  <c r="E11198" i="5"/>
  <c r="E11190" i="5"/>
  <c r="E11182" i="5"/>
  <c r="E11174" i="5"/>
  <c r="E11166" i="5"/>
  <c r="E11158" i="5"/>
  <c r="E11150" i="5"/>
  <c r="E11142" i="5"/>
  <c r="E11134" i="5"/>
  <c r="E11126" i="5"/>
  <c r="E11118" i="5"/>
  <c r="E11110" i="5"/>
  <c r="E11102" i="5"/>
  <c r="E11094" i="5"/>
  <c r="E11086" i="5"/>
  <c r="E11078" i="5"/>
  <c r="E11070" i="5"/>
  <c r="E11062" i="5"/>
  <c r="E11054" i="5"/>
  <c r="E11046" i="5"/>
  <c r="E11038" i="5"/>
  <c r="E11030" i="5"/>
  <c r="E11022" i="5"/>
  <c r="E11014" i="5"/>
  <c r="E11006" i="5"/>
  <c r="E10998" i="5"/>
  <c r="E10990" i="5"/>
  <c r="E10982" i="5"/>
  <c r="E10974" i="5"/>
  <c r="E10966" i="5"/>
  <c r="E10958" i="5"/>
  <c r="E10950" i="5"/>
  <c r="E10942" i="5"/>
  <c r="E10934" i="5"/>
  <c r="E10926" i="5"/>
  <c r="E10918" i="5"/>
  <c r="E10910" i="5"/>
  <c r="E10902" i="5"/>
  <c r="E10894" i="5"/>
  <c r="E10886" i="5"/>
  <c r="E10878" i="5"/>
  <c r="E10870" i="5"/>
  <c r="E10862" i="5"/>
  <c r="E10854" i="5"/>
  <c r="E10846" i="5"/>
  <c r="E10838" i="5"/>
  <c r="E10830" i="5"/>
  <c r="E10822" i="5"/>
  <c r="E10814" i="5"/>
  <c r="E10806" i="5"/>
  <c r="E10798" i="5"/>
  <c r="E10790" i="5"/>
  <c r="E10782" i="5"/>
  <c r="E10774" i="5"/>
  <c r="E10766" i="5"/>
  <c r="E10758" i="5"/>
  <c r="E10750" i="5"/>
  <c r="E10742" i="5"/>
  <c r="E10734" i="5"/>
  <c r="E10726" i="5"/>
  <c r="E10718" i="5"/>
  <c r="E10710" i="5"/>
  <c r="E10702" i="5"/>
  <c r="E10694" i="5"/>
  <c r="E10686" i="5"/>
  <c r="E10678" i="5"/>
  <c r="E10670" i="5"/>
  <c r="E10662" i="5"/>
  <c r="E10654" i="5"/>
  <c r="E10646" i="5"/>
  <c r="E10638" i="5"/>
  <c r="E10630" i="5"/>
  <c r="E10622" i="5"/>
  <c r="E10614" i="5"/>
  <c r="E10606" i="5"/>
  <c r="E10598" i="5"/>
  <c r="E10590" i="5"/>
  <c r="E10582" i="5"/>
  <c r="E10574" i="5"/>
  <c r="E10566" i="5"/>
  <c r="E10558" i="5"/>
  <c r="E10550" i="5"/>
  <c r="E10542" i="5"/>
  <c r="E10534" i="5"/>
  <c r="E10526" i="5"/>
  <c r="E10518" i="5"/>
  <c r="E10510" i="5"/>
  <c r="E10502" i="5"/>
  <c r="E10494" i="5"/>
  <c r="E10486" i="5"/>
  <c r="E10478" i="5"/>
  <c r="E10470" i="5"/>
  <c r="E10462" i="5"/>
  <c r="E10454" i="5"/>
  <c r="E10446" i="5"/>
  <c r="E10438" i="5"/>
  <c r="E10430" i="5"/>
  <c r="E10422" i="5"/>
  <c r="E10414" i="5"/>
  <c r="E10406" i="5"/>
  <c r="E10398" i="5"/>
  <c r="E10390" i="5"/>
  <c r="E10382" i="5"/>
  <c r="E10374" i="5"/>
  <c r="E10366" i="5"/>
  <c r="E10358" i="5"/>
  <c r="E10350" i="5"/>
  <c r="E10342" i="5"/>
  <c r="E10334" i="5"/>
  <c r="E10326" i="5"/>
  <c r="E10318" i="5"/>
  <c r="E10310" i="5"/>
  <c r="E10302" i="5"/>
  <c r="E10294" i="5"/>
  <c r="E10286" i="5"/>
  <c r="E10278" i="5"/>
  <c r="E10270" i="5"/>
  <c r="E10262" i="5"/>
  <c r="E10254" i="5"/>
  <c r="E10246" i="5"/>
  <c r="E10238" i="5"/>
  <c r="E10230" i="5"/>
  <c r="E10222" i="5"/>
  <c r="E10214" i="5"/>
  <c r="E10206" i="5"/>
  <c r="E10198" i="5"/>
  <c r="E10190" i="5"/>
  <c r="E10182" i="5"/>
  <c r="E10174" i="5"/>
  <c r="E10166" i="5"/>
  <c r="E10158" i="5"/>
  <c r="E10150" i="5"/>
  <c r="E10142" i="5"/>
  <c r="E10134" i="5"/>
  <c r="E10126" i="5"/>
  <c r="E10118" i="5"/>
  <c r="E10110" i="5"/>
  <c r="E10102" i="5"/>
  <c r="E10094" i="5"/>
  <c r="E10086" i="5"/>
  <c r="E10078" i="5"/>
  <c r="E10070" i="5"/>
  <c r="E10062" i="5"/>
  <c r="E10054" i="5"/>
  <c r="E10046" i="5"/>
  <c r="E10038" i="5"/>
  <c r="E10030" i="5"/>
  <c r="E10022" i="5"/>
  <c r="E10014" i="5"/>
  <c r="E10006" i="5"/>
  <c r="E9998" i="5"/>
  <c r="E9990" i="5"/>
  <c r="E9982" i="5"/>
  <c r="E9974" i="5"/>
  <c r="E9966" i="5"/>
  <c r="E9958" i="5"/>
  <c r="E9950" i="5"/>
  <c r="E9942" i="5"/>
  <c r="E9934" i="5"/>
  <c r="E9926" i="5"/>
  <c r="E9918" i="5"/>
  <c r="E9910" i="5"/>
  <c r="E9902" i="5"/>
  <c r="E9894" i="5"/>
  <c r="E9886" i="5"/>
  <c r="E9878" i="5"/>
  <c r="E9870" i="5"/>
  <c r="E9862" i="5"/>
  <c r="E9854" i="5"/>
  <c r="E9846" i="5"/>
  <c r="E9838" i="5"/>
  <c r="E9830" i="5"/>
  <c r="E9822" i="5"/>
  <c r="E9814" i="5"/>
  <c r="E9806" i="5"/>
  <c r="E9798" i="5"/>
  <c r="E9790" i="5"/>
  <c r="E9782" i="5"/>
  <c r="E9774" i="5"/>
  <c r="E9766" i="5"/>
  <c r="E9758" i="5"/>
  <c r="E9750" i="5"/>
  <c r="E9742" i="5"/>
  <c r="E9734" i="5"/>
  <c r="E9726" i="5"/>
  <c r="E9718" i="5"/>
  <c r="E9710" i="5"/>
  <c r="E9702" i="5"/>
  <c r="E9694" i="5"/>
  <c r="E9686" i="5"/>
  <c r="E9678" i="5"/>
  <c r="E9670" i="5"/>
  <c r="E9662" i="5"/>
  <c r="E9654" i="5"/>
  <c r="E9646" i="5"/>
  <c r="E9638" i="5"/>
  <c r="E9630" i="5"/>
  <c r="E9622" i="5"/>
  <c r="E9614" i="5"/>
  <c r="E9606" i="5"/>
  <c r="E9598" i="5"/>
  <c r="E9590" i="5"/>
  <c r="E9582" i="5"/>
  <c r="E9574" i="5"/>
  <c r="E9566" i="5"/>
  <c r="E9558" i="5"/>
  <c r="E9550" i="5"/>
  <c r="E9542" i="5"/>
  <c r="E9534" i="5"/>
  <c r="E9526" i="5"/>
  <c r="E9518" i="5"/>
  <c r="E9510" i="5"/>
  <c r="E9502" i="5"/>
  <c r="E9494" i="5"/>
  <c r="E9486" i="5"/>
  <c r="E9478" i="5"/>
  <c r="E9470" i="5"/>
  <c r="E9462" i="5"/>
  <c r="E9454" i="5"/>
  <c r="E9446" i="5"/>
  <c r="E9438" i="5"/>
  <c r="E9430" i="5"/>
  <c r="E9422" i="5"/>
  <c r="E9414" i="5"/>
  <c r="E9406" i="5"/>
  <c r="E9398" i="5"/>
  <c r="E9390" i="5"/>
  <c r="E9382" i="5"/>
  <c r="E9374" i="5"/>
  <c r="E9366" i="5"/>
  <c r="E9358" i="5"/>
  <c r="E9350" i="5"/>
  <c r="E9342" i="5"/>
  <c r="E9334" i="5"/>
  <c r="E9326" i="5"/>
  <c r="E9318" i="5"/>
  <c r="E9310" i="5"/>
  <c r="E9302" i="5"/>
  <c r="E9294" i="5"/>
  <c r="E9286" i="5"/>
  <c r="E9278" i="5"/>
  <c r="E9270" i="5"/>
  <c r="E9262" i="5"/>
  <c r="E9254" i="5"/>
  <c r="E9246" i="5"/>
  <c r="E9238" i="5"/>
  <c r="E9230" i="5"/>
  <c r="E9222" i="5"/>
  <c r="E9214" i="5"/>
  <c r="E9206" i="5"/>
  <c r="E9198" i="5"/>
  <c r="E9190" i="5"/>
  <c r="E9182" i="5"/>
  <c r="E9174" i="5"/>
  <c r="E9166" i="5"/>
  <c r="E9158" i="5"/>
  <c r="E9150" i="5"/>
  <c r="E9142" i="5"/>
  <c r="E9134" i="5"/>
  <c r="E9126" i="5"/>
  <c r="E9118" i="5"/>
  <c r="E9110" i="5"/>
  <c r="E9102" i="5"/>
  <c r="E9094" i="5"/>
  <c r="E9086" i="5"/>
  <c r="E9078" i="5"/>
  <c r="E9070" i="5"/>
  <c r="E9062" i="5"/>
  <c r="E9054" i="5"/>
  <c r="E9046" i="5"/>
  <c r="E9038" i="5"/>
  <c r="E9030" i="5"/>
  <c r="E9022" i="5"/>
  <c r="E9014" i="5"/>
  <c r="E9006" i="5"/>
  <c r="E8998" i="5"/>
  <c r="E8990" i="5"/>
  <c r="E8982" i="5"/>
  <c r="E8974" i="5"/>
  <c r="E8966" i="5"/>
  <c r="E8958" i="5"/>
  <c r="E8950" i="5"/>
  <c r="E8942" i="5"/>
  <c r="E8934" i="5"/>
  <c r="E8926" i="5"/>
  <c r="E8918" i="5"/>
  <c r="E8910" i="5"/>
  <c r="E8902" i="5"/>
  <c r="E8894" i="5"/>
  <c r="E8886" i="5"/>
  <c r="E8878" i="5"/>
  <c r="E8870" i="5"/>
  <c r="E8862" i="5"/>
  <c r="E8854" i="5"/>
  <c r="E8846" i="5"/>
  <c r="E8838" i="5"/>
  <c r="E8830" i="5"/>
  <c r="E8822" i="5"/>
  <c r="E8814" i="5"/>
  <c r="E8806" i="5"/>
  <c r="E8798" i="5"/>
  <c r="E8790" i="5"/>
  <c r="E8782" i="5"/>
  <c r="E8774" i="5"/>
  <c r="E8766" i="5"/>
  <c r="E8758" i="5"/>
  <c r="E8750" i="5"/>
  <c r="E8742" i="5"/>
  <c r="E8734" i="5"/>
  <c r="E8726" i="5"/>
  <c r="E8718" i="5"/>
  <c r="E8710" i="5"/>
  <c r="E8702" i="5"/>
  <c r="E8694" i="5"/>
  <c r="E8686" i="5"/>
  <c r="E8678" i="5"/>
  <c r="E8670" i="5"/>
  <c r="E8662" i="5"/>
  <c r="E8654" i="5"/>
  <c r="E8646" i="5"/>
  <c r="E8638" i="5"/>
  <c r="E8630" i="5"/>
  <c r="E8622" i="5"/>
  <c r="E8614" i="5"/>
  <c r="E8606" i="5"/>
  <c r="E8598" i="5"/>
  <c r="E8590" i="5"/>
  <c r="E8582" i="5"/>
  <c r="E8574" i="5"/>
  <c r="E8566" i="5"/>
  <c r="E8558" i="5"/>
  <c r="E8550" i="5"/>
  <c r="E8542" i="5"/>
  <c r="E8534" i="5"/>
  <c r="E8526" i="5"/>
  <c r="E8518" i="5"/>
  <c r="E8510" i="5"/>
  <c r="E8502" i="5"/>
  <c r="E8494" i="5"/>
  <c r="E8486" i="5"/>
  <c r="E8478" i="5"/>
  <c r="E8470" i="5"/>
  <c r="E8462" i="5"/>
  <c r="E8454" i="5"/>
  <c r="E8446" i="5"/>
  <c r="E8438" i="5"/>
  <c r="E8430" i="5"/>
  <c r="E8422" i="5"/>
  <c r="E8414" i="5"/>
  <c r="E8406" i="5"/>
  <c r="E8398" i="5"/>
  <c r="E8390" i="5"/>
  <c r="E8382" i="5"/>
  <c r="E8374" i="5"/>
  <c r="E8366" i="5"/>
  <c r="E8358" i="5"/>
  <c r="E8350" i="5"/>
  <c r="E8342" i="5"/>
  <c r="E8334" i="5"/>
  <c r="E8326" i="5"/>
  <c r="E8318" i="5"/>
  <c r="E8310" i="5"/>
  <c r="E8302" i="5"/>
  <c r="E8294" i="5"/>
  <c r="E8286" i="5"/>
  <c r="E8278" i="5"/>
  <c r="E8270" i="5"/>
  <c r="E8262" i="5"/>
  <c r="E8254" i="5"/>
  <c r="E8246" i="5"/>
  <c r="E8238" i="5"/>
  <c r="E8230" i="5"/>
  <c r="E8222" i="5"/>
  <c r="E8214" i="5"/>
  <c r="E8206" i="5"/>
  <c r="E8198" i="5"/>
  <c r="E8190" i="5"/>
  <c r="E8182" i="5"/>
  <c r="E8174" i="5"/>
  <c r="E8166" i="5"/>
  <c r="E8158" i="5"/>
  <c r="E8150" i="5"/>
  <c r="E8142" i="5"/>
  <c r="E8134" i="5"/>
  <c r="E8126" i="5"/>
  <c r="E8118" i="5"/>
  <c r="E8110" i="5"/>
  <c r="E8102" i="5"/>
  <c r="E8094" i="5"/>
  <c r="E8086" i="5"/>
  <c r="E8078" i="5"/>
  <c r="E8070" i="5"/>
  <c r="E8062" i="5"/>
  <c r="E8054" i="5"/>
  <c r="E8046" i="5"/>
  <c r="E8038" i="5"/>
  <c r="E8030" i="5"/>
  <c r="E8022" i="5"/>
  <c r="E8014" i="5"/>
  <c r="E8006" i="5"/>
  <c r="E7998" i="5"/>
  <c r="E7990" i="5"/>
  <c r="E7982" i="5"/>
  <c r="E7974" i="5"/>
  <c r="E7966" i="5"/>
  <c r="E7958" i="5"/>
  <c r="E7950" i="5"/>
  <c r="E7942" i="5"/>
  <c r="E7934" i="5"/>
  <c r="E7926" i="5"/>
  <c r="E7918" i="5"/>
  <c r="E7910" i="5"/>
  <c r="E7902" i="5"/>
  <c r="E7894" i="5"/>
  <c r="E7886" i="5"/>
  <c r="E7878" i="5"/>
  <c r="E7870" i="5"/>
  <c r="E7862" i="5"/>
  <c r="E7854" i="5"/>
  <c r="E7846" i="5"/>
  <c r="E7838" i="5"/>
  <c r="E7830" i="5"/>
  <c r="E7822" i="5"/>
  <c r="E7814" i="5"/>
  <c r="E7806" i="5"/>
  <c r="E7798" i="5"/>
  <c r="E7790" i="5"/>
  <c r="E7782" i="5"/>
  <c r="E7774" i="5"/>
  <c r="E7766" i="5"/>
  <c r="E7758" i="5"/>
  <c r="E7750" i="5"/>
  <c r="E7742" i="5"/>
  <c r="E7734" i="5"/>
  <c r="E7726" i="5"/>
  <c r="E7718" i="5"/>
  <c r="E7710" i="5"/>
  <c r="E7702" i="5"/>
  <c r="E7694" i="5"/>
  <c r="E7686" i="5"/>
  <c r="E7678" i="5"/>
  <c r="E7670" i="5"/>
  <c r="E7662" i="5"/>
  <c r="E7654" i="5"/>
  <c r="E7646" i="5"/>
  <c r="E7638" i="5"/>
  <c r="E7630" i="5"/>
  <c r="E7622" i="5"/>
  <c r="E7614" i="5"/>
  <c r="E7606" i="5"/>
  <c r="E7598" i="5"/>
  <c r="E7590" i="5"/>
  <c r="E7582" i="5"/>
  <c r="E7574" i="5"/>
  <c r="E7566" i="5"/>
  <c r="E7558" i="5"/>
  <c r="E7550" i="5"/>
  <c r="E7542" i="5"/>
  <c r="E7534" i="5"/>
  <c r="E7526" i="5"/>
  <c r="E7518" i="5"/>
  <c r="E7510" i="5"/>
  <c r="E7502" i="5"/>
  <c r="E7494" i="5"/>
  <c r="E7486" i="5"/>
  <c r="E7478" i="5"/>
  <c r="E7470" i="5"/>
  <c r="E7462" i="5"/>
  <c r="E7454" i="5"/>
  <c r="E7446" i="5"/>
  <c r="E7438" i="5"/>
  <c r="E7430" i="5"/>
  <c r="E7422" i="5"/>
  <c r="E7414" i="5"/>
  <c r="E7406" i="5"/>
  <c r="E7398" i="5"/>
  <c r="E7390" i="5"/>
  <c r="E7382" i="5"/>
  <c r="E7374" i="5"/>
  <c r="E7366" i="5"/>
  <c r="E7358" i="5"/>
  <c r="E7350" i="5"/>
  <c r="E7342" i="5"/>
  <c r="E7334" i="5"/>
  <c r="E7326" i="5"/>
  <c r="E7318" i="5"/>
  <c r="E7310" i="5"/>
  <c r="E7302" i="5"/>
  <c r="E7294" i="5"/>
  <c r="E7286" i="5"/>
  <c r="E7278" i="5"/>
  <c r="E7270" i="5"/>
  <c r="E7262" i="5"/>
  <c r="E7254" i="5"/>
  <c r="E7246" i="5"/>
  <c r="E7238" i="5"/>
  <c r="E7230" i="5"/>
  <c r="E7222" i="5"/>
  <c r="E7214" i="5"/>
  <c r="E7206" i="5"/>
  <c r="E7198" i="5"/>
  <c r="E7190" i="5"/>
  <c r="E7182" i="5"/>
  <c r="E7174" i="5"/>
  <c r="E7166" i="5"/>
  <c r="E7158" i="5"/>
  <c r="E7150" i="5"/>
  <c r="E7142" i="5"/>
  <c r="E7134" i="5"/>
  <c r="E7126" i="5"/>
  <c r="E7118" i="5"/>
  <c r="E7110" i="5"/>
  <c r="E7102" i="5"/>
  <c r="E7094" i="5"/>
  <c r="E7086" i="5"/>
  <c r="E7078" i="5"/>
  <c r="E7070" i="5"/>
  <c r="E7062" i="5"/>
  <c r="E7054" i="5"/>
  <c r="E7046" i="5"/>
  <c r="E7038" i="5"/>
  <c r="E7030" i="5"/>
  <c r="E7022" i="5"/>
  <c r="E7014" i="5"/>
  <c r="E7006" i="5"/>
  <c r="E6998" i="5"/>
  <c r="E6990" i="5"/>
  <c r="E6982" i="5"/>
  <c r="E6974" i="5"/>
  <c r="E6966" i="5"/>
  <c r="E6958" i="5"/>
  <c r="E6950" i="5"/>
  <c r="E6942" i="5"/>
  <c r="E6934" i="5"/>
  <c r="E6926" i="5"/>
  <c r="E6918" i="5"/>
  <c r="E6910" i="5"/>
  <c r="E6902" i="5"/>
  <c r="E6894" i="5"/>
  <c r="E6886" i="5"/>
  <c r="E6878" i="5"/>
  <c r="E6870" i="5"/>
  <c r="E6862" i="5"/>
  <c r="E6854" i="5"/>
  <c r="E6846" i="5"/>
  <c r="E6838" i="5"/>
  <c r="E6830" i="5"/>
  <c r="E6822" i="5"/>
  <c r="E6814" i="5"/>
  <c r="E6806" i="5"/>
  <c r="E6798" i="5"/>
  <c r="E6790" i="5"/>
  <c r="E6782" i="5"/>
  <c r="E6774" i="5"/>
  <c r="E6766" i="5"/>
  <c r="E6758" i="5"/>
  <c r="E6750" i="5"/>
  <c r="E6742" i="5"/>
  <c r="E6734" i="5"/>
  <c r="E6726" i="5"/>
  <c r="E6718" i="5"/>
  <c r="E6710" i="5"/>
  <c r="E6702" i="5"/>
  <c r="E6694" i="5"/>
  <c r="E6686" i="5"/>
  <c r="E6678" i="5"/>
  <c r="E6670" i="5"/>
  <c r="E6662" i="5"/>
  <c r="E6654" i="5"/>
  <c r="E6646" i="5"/>
  <c r="E6638" i="5"/>
  <c r="E6630" i="5"/>
  <c r="E6622" i="5"/>
  <c r="E6614" i="5"/>
  <c r="E6606" i="5"/>
  <c r="E6598" i="5"/>
  <c r="E6590" i="5"/>
  <c r="E6582" i="5"/>
  <c r="E6574" i="5"/>
  <c r="E6566" i="5"/>
  <c r="E6558" i="5"/>
  <c r="E6550" i="5"/>
  <c r="E6542" i="5"/>
  <c r="E6534" i="5"/>
  <c r="E6526" i="5"/>
  <c r="E6518" i="5"/>
  <c r="E6510" i="5"/>
  <c r="E6502" i="5"/>
  <c r="E6494" i="5"/>
  <c r="E6486" i="5"/>
  <c r="E6478" i="5"/>
  <c r="E6470" i="5"/>
  <c r="E6462" i="5"/>
  <c r="E6454" i="5"/>
  <c r="E6446" i="5"/>
  <c r="E6438" i="5"/>
  <c r="E6430" i="5"/>
  <c r="E6422" i="5"/>
  <c r="E6414" i="5"/>
  <c r="E6406" i="5"/>
  <c r="E6398" i="5"/>
  <c r="E6390" i="5"/>
  <c r="E6382" i="5"/>
  <c r="E6374" i="5"/>
  <c r="E6366" i="5"/>
  <c r="E6358" i="5"/>
  <c r="E6350" i="5"/>
  <c r="E6342" i="5"/>
  <c r="E6334" i="5"/>
  <c r="E6326" i="5"/>
  <c r="E6318" i="5"/>
  <c r="E6310" i="5"/>
  <c r="E6302" i="5"/>
  <c r="E6294" i="5"/>
  <c r="E6286" i="5"/>
  <c r="E6278" i="5"/>
  <c r="E6270" i="5"/>
  <c r="E6262" i="5"/>
  <c r="E6254" i="5"/>
  <c r="E6246" i="5"/>
  <c r="E6238" i="5"/>
  <c r="E6230" i="5"/>
  <c r="E6222" i="5"/>
  <c r="E6214" i="5"/>
  <c r="E6206" i="5"/>
  <c r="E6198" i="5"/>
  <c r="E6190" i="5"/>
  <c r="E6182" i="5"/>
  <c r="E6174" i="5"/>
  <c r="E6166" i="5"/>
  <c r="E6158" i="5"/>
  <c r="E6150" i="5"/>
  <c r="E6142" i="5"/>
  <c r="E6134" i="5"/>
  <c r="E6126" i="5"/>
  <c r="E6118" i="5"/>
  <c r="E6110" i="5"/>
  <c r="E6102" i="5"/>
  <c r="E6094" i="5"/>
  <c r="E6086" i="5"/>
  <c r="E6078" i="5"/>
  <c r="E6070" i="5"/>
  <c r="E6062" i="5"/>
  <c r="E6054" i="5"/>
  <c r="E6046" i="5"/>
  <c r="E6038" i="5"/>
  <c r="E6030" i="5"/>
  <c r="E6022" i="5"/>
  <c r="E6014" i="5"/>
  <c r="E6006" i="5"/>
  <c r="E5998" i="5"/>
  <c r="E5990" i="5"/>
  <c r="E5982" i="5"/>
  <c r="E5974" i="5"/>
  <c r="E5966" i="5"/>
  <c r="E5958" i="5"/>
  <c r="E5950" i="5"/>
  <c r="E5942" i="5"/>
  <c r="E5934" i="5"/>
  <c r="E5926" i="5"/>
  <c r="E5918" i="5"/>
  <c r="E5910" i="5"/>
  <c r="E5902" i="5"/>
  <c r="E5894" i="5"/>
  <c r="E5886" i="5"/>
  <c r="E5878" i="5"/>
  <c r="E5870" i="5"/>
  <c r="E5862" i="5"/>
  <c r="E5854" i="5"/>
  <c r="E5846" i="5"/>
  <c r="E5838" i="5"/>
  <c r="E5830" i="5"/>
  <c r="E5822" i="5"/>
  <c r="E5814" i="5"/>
  <c r="E5806" i="5"/>
  <c r="E5798" i="5"/>
  <c r="E5790" i="5"/>
  <c r="E5782" i="5"/>
  <c r="E5774" i="5"/>
  <c r="E5766" i="5"/>
  <c r="E5758" i="5"/>
  <c r="E5750" i="5"/>
  <c r="E5742" i="5"/>
  <c r="E5734" i="5"/>
  <c r="E5726" i="5"/>
  <c r="E5718" i="5"/>
  <c r="E5710" i="5"/>
  <c r="E5702" i="5"/>
  <c r="E5694" i="5"/>
  <c r="E5686" i="5"/>
  <c r="E5678" i="5"/>
  <c r="E5670" i="5"/>
  <c r="E5662" i="5"/>
  <c r="E5654" i="5"/>
  <c r="E5646" i="5"/>
  <c r="E5638" i="5"/>
  <c r="E5630" i="5"/>
  <c r="E5622" i="5"/>
  <c r="E5614" i="5"/>
  <c r="E5606" i="5"/>
  <c r="E5598" i="5"/>
  <c r="E5590" i="5"/>
  <c r="E5582" i="5"/>
  <c r="E5574" i="5"/>
  <c r="E5566" i="5"/>
  <c r="E5558" i="5"/>
  <c r="E5550" i="5"/>
  <c r="E5542" i="5"/>
  <c r="E5534" i="5"/>
  <c r="E5526" i="5"/>
  <c r="E5518" i="5"/>
  <c r="E5510" i="5"/>
  <c r="E5502" i="5"/>
  <c r="E5494" i="5"/>
  <c r="E5486" i="5"/>
  <c r="E5478" i="5"/>
  <c r="E5470" i="5"/>
  <c r="E5462" i="5"/>
  <c r="E5454" i="5"/>
  <c r="E5446" i="5"/>
  <c r="E5438" i="5"/>
  <c r="E5430" i="5"/>
  <c r="E5422" i="5"/>
  <c r="E5414" i="5"/>
  <c r="E5406" i="5"/>
  <c r="E5398" i="5"/>
  <c r="E5390" i="5"/>
  <c r="E5382" i="5"/>
  <c r="E5374" i="5"/>
  <c r="E5366" i="5"/>
  <c r="E5358" i="5"/>
  <c r="E5350" i="5"/>
  <c r="E5342" i="5"/>
  <c r="E5334" i="5"/>
  <c r="E5326" i="5"/>
  <c r="E5318" i="5"/>
  <c r="E41555" i="5"/>
  <c r="E41427" i="5"/>
  <c r="E41299" i="5"/>
  <c r="E41171" i="5"/>
  <c r="E41043" i="5"/>
  <c r="E40915" i="5"/>
  <c r="E40804" i="5"/>
  <c r="E40702" i="5"/>
  <c r="E40600" i="5"/>
  <c r="E40497" i="5"/>
  <c r="E40395" i="5"/>
  <c r="E40292" i="5"/>
  <c r="E40190" i="5"/>
  <c r="E40088" i="5"/>
  <c r="E39985" i="5"/>
  <c r="E39883" i="5"/>
  <c r="E39780" i="5"/>
  <c r="E39678" i="5"/>
  <c r="E39576" i="5"/>
  <c r="E39473" i="5"/>
  <c r="E39371" i="5"/>
  <c r="E39268" i="5"/>
  <c r="E39182" i="5"/>
  <c r="E39111" i="5"/>
  <c r="E39047" i="5"/>
  <c r="E38983" i="5"/>
  <c r="E38919" i="5"/>
  <c r="E38855" i="5"/>
  <c r="E38791" i="5"/>
  <c r="E38727" i="5"/>
  <c r="E38663" i="5"/>
  <c r="E38599" i="5"/>
  <c r="E38535" i="5"/>
  <c r="E38471" i="5"/>
  <c r="E38407" i="5"/>
  <c r="E38343" i="5"/>
  <c r="E38279" i="5"/>
  <c r="E38215" i="5"/>
  <c r="E38151" i="5"/>
  <c r="E38087" i="5"/>
  <c r="E38023" i="5"/>
  <c r="E37959" i="5"/>
  <c r="E37895" i="5"/>
  <c r="E37831" i="5"/>
  <c r="E37767" i="5"/>
  <c r="E37703" i="5"/>
  <c r="E37639" i="5"/>
  <c r="E37575" i="5"/>
  <c r="E37511" i="5"/>
  <c r="E37447" i="5"/>
  <c r="E37383" i="5"/>
  <c r="E37319" i="5"/>
  <c r="E37255" i="5"/>
  <c r="E37191" i="5"/>
  <c r="E37127" i="5"/>
  <c r="E37063" i="5"/>
  <c r="E36999" i="5"/>
  <c r="E36935" i="5"/>
  <c r="E36871" i="5"/>
  <c r="E36807" i="5"/>
  <c r="E36743" i="5"/>
  <c r="E36679" i="5"/>
  <c r="E36615" i="5"/>
  <c r="E36551" i="5"/>
  <c r="E36487" i="5"/>
  <c r="E36423" i="5"/>
  <c r="E36359" i="5"/>
  <c r="E36295" i="5"/>
  <c r="E36231" i="5"/>
  <c r="E36167" i="5"/>
  <c r="E36103" i="5"/>
  <c r="E36039" i="5"/>
  <c r="E35975" i="5"/>
  <c r="E35911" i="5"/>
  <c r="E35847" i="5"/>
  <c r="E35783" i="5"/>
  <c r="E35719" i="5"/>
  <c r="E35655" i="5"/>
  <c r="E35591" i="5"/>
  <c r="E35527" i="5"/>
  <c r="E35463" i="5"/>
  <c r="E35399" i="5"/>
  <c r="E35335" i="5"/>
  <c r="E35271" i="5"/>
  <c r="E35207" i="5"/>
  <c r="E35143" i="5"/>
  <c r="E35079" i="5"/>
  <c r="E35015" i="5"/>
  <c r="E34951" i="5"/>
  <c r="E34887" i="5"/>
  <c r="E34823" i="5"/>
  <c r="E34759" i="5"/>
  <c r="E34695" i="5"/>
  <c r="E34631" i="5"/>
  <c r="E34567" i="5"/>
  <c r="E34503" i="5"/>
  <c r="E34439" i="5"/>
  <c r="E34375" i="5"/>
  <c r="E34311" i="5"/>
  <c r="E34247" i="5"/>
  <c r="E34183" i="5"/>
  <c r="E34119" i="5"/>
  <c r="E34055" i="5"/>
  <c r="E33991" i="5"/>
  <c r="E33927" i="5"/>
  <c r="E33863" i="5"/>
  <c r="E33799" i="5"/>
  <c r="E33735" i="5"/>
  <c r="E33671" i="5"/>
  <c r="E33607" i="5"/>
  <c r="E33543" i="5"/>
  <c r="E33479" i="5"/>
  <c r="E33415" i="5"/>
  <c r="E33351" i="5"/>
  <c r="E33287" i="5"/>
  <c r="E33223" i="5"/>
  <c r="E33159" i="5"/>
  <c r="E33095" i="5"/>
  <c r="E33031" i="5"/>
  <c r="E32967" i="5"/>
  <c r="E32903" i="5"/>
  <c r="E32839" i="5"/>
  <c r="E32775" i="5"/>
  <c r="E32711" i="5"/>
  <c r="E32647" i="5"/>
  <c r="E32583" i="5"/>
  <c r="E32519" i="5"/>
  <c r="E32455" i="5"/>
  <c r="E32391" i="5"/>
  <c r="E32327" i="5"/>
  <c r="E32263" i="5"/>
  <c r="E32199" i="5"/>
  <c r="E32135" i="5"/>
  <c r="E32071" i="5"/>
  <c r="E32007" i="5"/>
  <c r="E31943" i="5"/>
  <c r="E31879" i="5"/>
  <c r="E31815" i="5"/>
  <c r="E31751" i="5"/>
  <c r="E31687" i="5"/>
  <c r="E31623" i="5"/>
  <c r="E31559" i="5"/>
  <c r="E31495" i="5"/>
  <c r="E31431" i="5"/>
  <c r="E31367" i="5"/>
  <c r="E31303" i="5"/>
  <c r="E31239" i="5"/>
  <c r="E31175" i="5"/>
  <c r="E31111" i="5"/>
  <c r="E31047" i="5"/>
  <c r="E30983" i="5"/>
  <c r="E30919" i="5"/>
  <c r="E30855" i="5"/>
  <c r="E30791" i="5"/>
  <c r="E30727" i="5"/>
  <c r="E30663" i="5"/>
  <c r="E30599" i="5"/>
  <c r="E30535" i="5"/>
  <c r="E30471" i="5"/>
  <c r="E30407" i="5"/>
  <c r="E30343" i="5"/>
  <c r="E30279" i="5"/>
  <c r="E30215" i="5"/>
  <c r="E30151" i="5"/>
  <c r="E30087" i="5"/>
  <c r="E30023" i="5"/>
  <c r="E29959" i="5"/>
  <c r="E29895" i="5"/>
  <c r="E29831" i="5"/>
  <c r="E29767" i="5"/>
  <c r="E29703" i="5"/>
  <c r="E29639" i="5"/>
  <c r="E29575" i="5"/>
  <c r="E29511" i="5"/>
  <c r="E29447" i="5"/>
  <c r="E29383" i="5"/>
  <c r="E29319" i="5"/>
  <c r="E29255" i="5"/>
  <c r="E29191" i="5"/>
  <c r="E29127" i="5"/>
  <c r="E29063" i="5"/>
  <c r="E28999" i="5"/>
  <c r="E28935" i="5"/>
  <c r="E28871" i="5"/>
  <c r="E28807" i="5"/>
  <c r="E28743" i="5"/>
  <c r="E28679" i="5"/>
  <c r="E28615" i="5"/>
  <c r="E28551" i="5"/>
  <c r="E28487" i="5"/>
  <c r="E28423" i="5"/>
  <c r="E28359" i="5"/>
  <c r="E28295" i="5"/>
  <c r="E28231" i="5"/>
  <c r="E28167" i="5"/>
  <c r="E28103" i="5"/>
  <c r="E28039" i="5"/>
  <c r="E27975" i="5"/>
  <c r="E27911" i="5"/>
  <c r="E27847" i="5"/>
  <c r="E27783" i="5"/>
  <c r="E27719" i="5"/>
  <c r="E27655" i="5"/>
  <c r="E27591" i="5"/>
  <c r="E27527" i="5"/>
  <c r="E27463" i="5"/>
  <c r="E27399" i="5"/>
  <c r="E27335" i="5"/>
  <c r="E27271" i="5"/>
  <c r="E27207" i="5"/>
  <c r="E27143" i="5"/>
  <c r="E27079" i="5"/>
  <c r="E27015" i="5"/>
  <c r="E26951" i="5"/>
  <c r="E26887" i="5"/>
  <c r="E26823" i="5"/>
  <c r="E26759" i="5"/>
  <c r="E26695" i="5"/>
  <c r="E26631" i="5"/>
  <c r="E26567" i="5"/>
  <c r="E26503" i="5"/>
  <c r="E26439" i="5"/>
  <c r="E26375" i="5"/>
  <c r="E26311" i="5"/>
  <c r="E26247" i="5"/>
  <c r="E26183" i="5"/>
  <c r="E26119" i="5"/>
  <c r="E26055" i="5"/>
  <c r="E25991" i="5"/>
  <c r="E25927" i="5"/>
  <c r="E25863" i="5"/>
  <c r="E25799" i="5"/>
  <c r="E25735" i="5"/>
  <c r="E25671" i="5"/>
  <c r="E25610" i="5"/>
  <c r="E25578" i="5"/>
  <c r="E25546" i="5"/>
  <c r="E25514" i="5"/>
  <c r="E25482" i="5"/>
  <c r="E25450" i="5"/>
  <c r="E25418" i="5"/>
  <c r="E25386" i="5"/>
  <c r="E25354" i="5"/>
  <c r="E25322" i="5"/>
  <c r="E25290" i="5"/>
  <c r="E25258" i="5"/>
  <c r="E25226" i="5"/>
  <c r="E25194" i="5"/>
  <c r="E25162" i="5"/>
  <c r="E25130" i="5"/>
  <c r="E25103" i="5"/>
  <c r="E25082" i="5"/>
  <c r="E25061" i="5"/>
  <c r="E25039" i="5"/>
  <c r="E25018" i="5"/>
  <c r="E24997" i="5"/>
  <c r="E24975" i="5"/>
  <c r="E24954" i="5"/>
  <c r="E24933" i="5"/>
  <c r="E24911" i="5"/>
  <c r="E24893" i="5"/>
  <c r="E24877" i="5"/>
  <c r="E24861" i="5"/>
  <c r="E24845" i="5"/>
  <c r="E24829" i="5"/>
  <c r="E24813" i="5"/>
  <c r="E24797" i="5"/>
  <c r="E24781" i="5"/>
  <c r="E24765" i="5"/>
  <c r="E24749" i="5"/>
  <c r="E24733" i="5"/>
  <c r="E24717" i="5"/>
  <c r="E24701" i="5"/>
  <c r="E24685" i="5"/>
  <c r="E24669" i="5"/>
  <c r="E24653" i="5"/>
  <c r="E24637" i="5"/>
  <c r="E24621" i="5"/>
  <c r="E24605" i="5"/>
  <c r="E24589" i="5"/>
  <c r="E24573" i="5"/>
  <c r="E24557" i="5"/>
  <c r="E24541" i="5"/>
  <c r="E24525" i="5"/>
  <c r="E24509" i="5"/>
  <c r="E24493" i="5"/>
  <c r="E24477" i="5"/>
  <c r="E24461" i="5"/>
  <c r="E24445" i="5"/>
  <c r="E24429" i="5"/>
  <c r="E24418" i="5"/>
  <c r="E24404" i="5"/>
  <c r="E24391" i="5"/>
  <c r="E24379" i="5"/>
  <c r="E24365" i="5"/>
  <c r="E24354" i="5"/>
  <c r="E24340" i="5"/>
  <c r="E24327" i="5"/>
  <c r="E24315" i="5"/>
  <c r="E24301" i="5"/>
  <c r="E24290" i="5"/>
  <c r="E24276" i="5"/>
  <c r="E24263" i="5"/>
  <c r="E24251" i="5"/>
  <c r="E24237" i="5"/>
  <c r="E24226" i="5"/>
  <c r="E24212" i="5"/>
  <c r="E24199" i="5"/>
  <c r="E24187" i="5"/>
  <c r="E24173" i="5"/>
  <c r="E24162" i="5"/>
  <c r="E24148" i="5"/>
  <c r="E24135" i="5"/>
  <c r="E24123" i="5"/>
  <c r="E24109" i="5"/>
  <c r="E24098" i="5"/>
  <c r="E24084" i="5"/>
  <c r="E24071" i="5"/>
  <c r="E24059" i="5"/>
  <c r="E24045" i="5"/>
  <c r="E24034" i="5"/>
  <c r="E24020" i="5"/>
  <c r="E24007" i="5"/>
  <c r="E23995" i="5"/>
  <c r="E23981" i="5"/>
  <c r="E23970" i="5"/>
  <c r="E23957" i="5"/>
  <c r="E23947" i="5"/>
  <c r="E23937" i="5"/>
  <c r="E23925" i="5"/>
  <c r="E23915" i="5"/>
  <c r="E23905" i="5"/>
  <c r="E23893" i="5"/>
  <c r="E23883" i="5"/>
  <c r="E23873" i="5"/>
  <c r="E23861" i="5"/>
  <c r="E23851" i="5"/>
  <c r="E23841" i="5"/>
  <c r="E23829" i="5"/>
  <c r="E23819" i="5"/>
  <c r="E23809" i="5"/>
  <c r="E23797" i="5"/>
  <c r="E23787" i="5"/>
  <c r="E23777" i="5"/>
  <c r="E23765" i="5"/>
  <c r="E23755" i="5"/>
  <c r="E23745" i="5"/>
  <c r="E23735" i="5"/>
  <c r="E23726" i="5"/>
  <c r="E23717" i="5"/>
  <c r="E23708" i="5"/>
  <c r="E23699" i="5"/>
  <c r="E23690" i="5"/>
  <c r="E23681" i="5"/>
  <c r="E23671" i="5"/>
  <c r="E23662" i="5"/>
  <c r="E23653" i="5"/>
  <c r="E23645" i="5"/>
  <c r="E23637" i="5"/>
  <c r="E23629" i="5"/>
  <c r="E23621" i="5"/>
  <c r="E23613" i="5"/>
  <c r="E23605" i="5"/>
  <c r="E23597" i="5"/>
  <c r="E23589" i="5"/>
  <c r="E23581" i="5"/>
  <c r="E23573" i="5"/>
  <c r="E23565" i="5"/>
  <c r="E23557" i="5"/>
  <c r="E23549" i="5"/>
  <c r="E23541" i="5"/>
  <c r="E23533" i="5"/>
  <c r="E23525" i="5"/>
  <c r="E23517" i="5"/>
  <c r="E23509" i="5"/>
  <c r="E23501" i="5"/>
  <c r="E23493" i="5"/>
  <c r="E23485" i="5"/>
  <c r="E23477" i="5"/>
  <c r="E23469" i="5"/>
  <c r="E23461" i="5"/>
  <c r="E23453" i="5"/>
  <c r="E23445" i="5"/>
  <c r="E23437" i="5"/>
  <c r="E23429" i="5"/>
  <c r="E23421" i="5"/>
  <c r="E23413" i="5"/>
  <c r="E23405" i="5"/>
  <c r="E23397" i="5"/>
  <c r="E23389" i="5"/>
  <c r="E23381" i="5"/>
  <c r="E23373" i="5"/>
  <c r="E23365" i="5"/>
  <c r="E23357" i="5"/>
  <c r="E23349" i="5"/>
  <c r="E23341" i="5"/>
  <c r="E23333" i="5"/>
  <c r="E23325" i="5"/>
  <c r="E23317" i="5"/>
  <c r="E23309" i="5"/>
  <c r="E23301" i="5"/>
  <c r="E23293" i="5"/>
  <c r="E23285" i="5"/>
  <c r="E23277" i="5"/>
  <c r="E23269" i="5"/>
  <c r="E23261" i="5"/>
  <c r="E23253" i="5"/>
  <c r="E23245" i="5"/>
  <c r="E23237" i="5"/>
  <c r="E23229" i="5"/>
  <c r="E23221" i="5"/>
  <c r="E23213" i="5"/>
  <c r="E23205" i="5"/>
  <c r="E23197" i="5"/>
  <c r="E23189" i="5"/>
  <c r="E23181" i="5"/>
  <c r="E23173" i="5"/>
  <c r="E23165" i="5"/>
  <c r="E23157" i="5"/>
  <c r="E23149" i="5"/>
  <c r="E23141" i="5"/>
  <c r="E23133" i="5"/>
  <c r="E23125" i="5"/>
  <c r="E23117" i="5"/>
  <c r="E23109" i="5"/>
  <c r="E23101" i="5"/>
  <c r="E23093" i="5"/>
  <c r="E23085" i="5"/>
  <c r="E23077" i="5"/>
  <c r="E23069" i="5"/>
  <c r="E23061" i="5"/>
  <c r="E23053" i="5"/>
  <c r="E23045" i="5"/>
  <c r="E23037" i="5"/>
  <c r="E23029" i="5"/>
  <c r="E23021" i="5"/>
  <c r="E23013" i="5"/>
  <c r="E23005" i="5"/>
  <c r="E22997" i="5"/>
  <c r="E22989" i="5"/>
  <c r="E22981" i="5"/>
  <c r="E22973" i="5"/>
  <c r="E22965" i="5"/>
  <c r="E22957" i="5"/>
  <c r="E22949" i="5"/>
  <c r="E22941" i="5"/>
  <c r="E22933" i="5"/>
  <c r="E22925" i="5"/>
  <c r="E22917" i="5"/>
  <c r="E22909" i="5"/>
  <c r="E22901" i="5"/>
  <c r="E22893" i="5"/>
  <c r="E22885" i="5"/>
  <c r="E22877" i="5"/>
  <c r="E22869" i="5"/>
  <c r="E22861" i="5"/>
  <c r="E22853" i="5"/>
  <c r="E22845" i="5"/>
  <c r="E22837" i="5"/>
  <c r="E22829" i="5"/>
  <c r="E22821" i="5"/>
  <c r="E22813" i="5"/>
  <c r="E22805" i="5"/>
  <c r="E22797" i="5"/>
  <c r="E22789" i="5"/>
  <c r="E22781" i="5"/>
  <c r="E22773" i="5"/>
  <c r="E22765" i="5"/>
  <c r="E22757" i="5"/>
  <c r="E22749" i="5"/>
  <c r="E22741" i="5"/>
  <c r="E22733" i="5"/>
  <c r="E22725" i="5"/>
  <c r="E22717" i="5"/>
  <c r="E22709" i="5"/>
  <c r="E22701" i="5"/>
  <c r="E22693" i="5"/>
  <c r="E22685" i="5"/>
  <c r="E22677" i="5"/>
  <c r="E22669" i="5"/>
  <c r="E22661" i="5"/>
  <c r="E22653" i="5"/>
  <c r="E22645" i="5"/>
  <c r="E22637" i="5"/>
  <c r="E22629" i="5"/>
  <c r="E22621" i="5"/>
  <c r="E22613" i="5"/>
  <c r="E22605" i="5"/>
  <c r="E22597" i="5"/>
  <c r="E22589" i="5"/>
  <c r="E22581" i="5"/>
  <c r="E22573" i="5"/>
  <c r="E22565" i="5"/>
  <c r="E22557" i="5"/>
  <c r="E22549" i="5"/>
  <c r="E22541" i="5"/>
  <c r="E22533" i="5"/>
  <c r="E22525" i="5"/>
  <c r="E22517" i="5"/>
  <c r="E22509" i="5"/>
  <c r="E22501" i="5"/>
  <c r="E22493" i="5"/>
  <c r="E22485" i="5"/>
  <c r="E22477" i="5"/>
  <c r="E22469" i="5"/>
  <c r="E22461" i="5"/>
  <c r="E22453" i="5"/>
  <c r="E22445" i="5"/>
  <c r="E22437" i="5"/>
  <c r="E22429" i="5"/>
  <c r="E22421" i="5"/>
  <c r="E22413" i="5"/>
  <c r="E22405" i="5"/>
  <c r="E22397" i="5"/>
  <c r="E22389" i="5"/>
  <c r="E22381" i="5"/>
  <c r="E22373" i="5"/>
  <c r="E22365" i="5"/>
  <c r="E22357" i="5"/>
  <c r="E22349" i="5"/>
  <c r="E22341" i="5"/>
  <c r="E22333" i="5"/>
  <c r="E22325" i="5"/>
  <c r="E22317" i="5"/>
  <c r="E22309" i="5"/>
  <c r="E22301" i="5"/>
  <c r="E22293" i="5"/>
  <c r="E22285" i="5"/>
  <c r="E22277" i="5"/>
  <c r="E22269" i="5"/>
  <c r="E22261" i="5"/>
  <c r="E22253" i="5"/>
  <c r="E22245" i="5"/>
  <c r="E22237" i="5"/>
  <c r="E22229" i="5"/>
  <c r="E22221" i="5"/>
  <c r="E22213" i="5"/>
  <c r="E22205" i="5"/>
  <c r="E22197" i="5"/>
  <c r="E22189" i="5"/>
  <c r="E22181" i="5"/>
  <c r="E22173" i="5"/>
  <c r="E22165" i="5"/>
  <c r="E22157" i="5"/>
  <c r="E22149" i="5"/>
  <c r="E22141" i="5"/>
  <c r="E22133" i="5"/>
  <c r="E22125" i="5"/>
  <c r="E22117" i="5"/>
  <c r="E22109" i="5"/>
  <c r="E22101" i="5"/>
  <c r="E22093" i="5"/>
  <c r="E22085" i="5"/>
  <c r="E22077" i="5"/>
  <c r="E22069" i="5"/>
  <c r="E22061" i="5"/>
  <c r="E22053" i="5"/>
  <c r="E22045" i="5"/>
  <c r="E22037" i="5"/>
  <c r="E22029" i="5"/>
  <c r="E22021" i="5"/>
  <c r="E22013" i="5"/>
  <c r="E22005" i="5"/>
  <c r="E21997" i="5"/>
  <c r="E21989" i="5"/>
  <c r="E21981" i="5"/>
  <c r="E21973" i="5"/>
  <c r="E21965" i="5"/>
  <c r="E21957" i="5"/>
  <c r="E21949" i="5"/>
  <c r="E21941" i="5"/>
  <c r="E21933" i="5"/>
  <c r="E21925" i="5"/>
  <c r="E21917" i="5"/>
  <c r="E21909" i="5"/>
  <c r="E21901" i="5"/>
  <c r="E21893" i="5"/>
  <c r="E21885" i="5"/>
  <c r="E21877" i="5"/>
  <c r="E21869" i="5"/>
  <c r="E21861" i="5"/>
  <c r="E21853" i="5"/>
  <c r="E21845" i="5"/>
  <c r="E21837" i="5"/>
  <c r="E21829" i="5"/>
  <c r="E21821" i="5"/>
  <c r="E21813" i="5"/>
  <c r="E21805" i="5"/>
  <c r="E21797" i="5"/>
  <c r="E21789" i="5"/>
  <c r="E21781" i="5"/>
  <c r="E21773" i="5"/>
  <c r="E21765" i="5"/>
  <c r="E21757" i="5"/>
  <c r="E21749" i="5"/>
  <c r="E21741" i="5"/>
  <c r="E21733" i="5"/>
  <c r="E21725" i="5"/>
  <c r="E21717" i="5"/>
  <c r="E21709" i="5"/>
  <c r="E21701" i="5"/>
  <c r="E21693" i="5"/>
  <c r="E21685" i="5"/>
  <c r="E21677" i="5"/>
  <c r="E21669" i="5"/>
  <c r="E21661" i="5"/>
  <c r="E21653" i="5"/>
  <c r="E21645" i="5"/>
  <c r="E21637" i="5"/>
  <c r="E21629" i="5"/>
  <c r="E21621" i="5"/>
  <c r="E21613" i="5"/>
  <c r="E21605" i="5"/>
  <c r="E21597" i="5"/>
  <c r="E21589" i="5"/>
  <c r="E21581" i="5"/>
  <c r="E21573" i="5"/>
  <c r="E21565" i="5"/>
  <c r="E21557" i="5"/>
  <c r="E21549" i="5"/>
  <c r="E21541" i="5"/>
  <c r="E21533" i="5"/>
  <c r="E21525" i="5"/>
  <c r="E21517" i="5"/>
  <c r="E21509" i="5"/>
  <c r="E21501" i="5"/>
  <c r="E21493" i="5"/>
  <c r="E21485" i="5"/>
  <c r="E21477" i="5"/>
  <c r="E21469" i="5"/>
  <c r="E21461" i="5"/>
  <c r="E21453" i="5"/>
  <c r="E21445" i="5"/>
  <c r="E21437" i="5"/>
  <c r="E21429" i="5"/>
  <c r="E21421" i="5"/>
  <c r="E21413" i="5"/>
  <c r="E21405" i="5"/>
  <c r="E21397" i="5"/>
  <c r="E21389" i="5"/>
  <c r="E21381" i="5"/>
  <c r="E21373" i="5"/>
  <c r="E21365" i="5"/>
  <c r="E21357" i="5"/>
  <c r="E21349" i="5"/>
  <c r="E21341" i="5"/>
  <c r="E21333" i="5"/>
  <c r="E21325" i="5"/>
  <c r="E21317" i="5"/>
  <c r="E21309" i="5"/>
  <c r="E21301" i="5"/>
  <c r="E21293" i="5"/>
  <c r="E21285" i="5"/>
  <c r="E21277" i="5"/>
  <c r="E21269" i="5"/>
  <c r="E21261" i="5"/>
  <c r="E21253" i="5"/>
  <c r="E21245" i="5"/>
  <c r="E21237" i="5"/>
  <c r="E21229" i="5"/>
  <c r="E21221" i="5"/>
  <c r="E21213" i="5"/>
  <c r="E21205" i="5"/>
  <c r="E21197" i="5"/>
  <c r="E21189" i="5"/>
  <c r="E21181" i="5"/>
  <c r="E21173" i="5"/>
  <c r="E21165" i="5"/>
  <c r="E21157" i="5"/>
  <c r="E21149" i="5"/>
  <c r="E21141" i="5"/>
  <c r="E21133" i="5"/>
  <c r="E21125" i="5"/>
  <c r="E21117" i="5"/>
  <c r="E21109" i="5"/>
  <c r="E21101" i="5"/>
  <c r="E21093" i="5"/>
  <c r="E21085" i="5"/>
  <c r="E21077" i="5"/>
  <c r="E21069" i="5"/>
  <c r="E21061" i="5"/>
  <c r="E21053" i="5"/>
  <c r="E21045" i="5"/>
  <c r="E21037" i="5"/>
  <c r="E21029" i="5"/>
  <c r="E21021" i="5"/>
  <c r="E21013" i="5"/>
  <c r="E21005" i="5"/>
  <c r="E20997" i="5"/>
  <c r="E20989" i="5"/>
  <c r="E20981" i="5"/>
  <c r="E20973" i="5"/>
  <c r="E20965" i="5"/>
  <c r="E20957" i="5"/>
  <c r="E20949" i="5"/>
  <c r="E20941" i="5"/>
  <c r="E20933" i="5"/>
  <c r="E20925" i="5"/>
  <c r="E20917" i="5"/>
  <c r="E20909" i="5"/>
  <c r="E20901" i="5"/>
  <c r="E20893" i="5"/>
  <c r="E20885" i="5"/>
  <c r="E20877" i="5"/>
  <c r="E20869" i="5"/>
  <c r="E20861" i="5"/>
  <c r="E20853" i="5"/>
  <c r="E20845" i="5"/>
  <c r="E20837" i="5"/>
  <c r="E20829" i="5"/>
  <c r="E20821" i="5"/>
  <c r="E20813" i="5"/>
  <c r="E20805" i="5"/>
  <c r="E20797" i="5"/>
  <c r="E20789" i="5"/>
  <c r="E20781" i="5"/>
  <c r="E20773" i="5"/>
  <c r="E20765" i="5"/>
  <c r="E20757" i="5"/>
  <c r="E20749" i="5"/>
  <c r="E20741" i="5"/>
  <c r="E20733" i="5"/>
  <c r="E20725" i="5"/>
  <c r="E20717" i="5"/>
  <c r="E20709" i="5"/>
  <c r="E20701" i="5"/>
  <c r="E20693" i="5"/>
  <c r="E20685" i="5"/>
  <c r="E20677" i="5"/>
  <c r="E20669" i="5"/>
  <c r="E20661" i="5"/>
  <c r="E20653" i="5"/>
  <c r="E20645" i="5"/>
  <c r="E20637" i="5"/>
  <c r="E20629" i="5"/>
  <c r="E20621" i="5"/>
  <c r="E20613" i="5"/>
  <c r="E20605" i="5"/>
  <c r="E20597" i="5"/>
  <c r="E20589" i="5"/>
  <c r="E20581" i="5"/>
  <c r="E20573" i="5"/>
  <c r="E20565" i="5"/>
  <c r="E20557" i="5"/>
  <c r="E20549" i="5"/>
  <c r="E20541" i="5"/>
  <c r="E20533" i="5"/>
  <c r="E20525" i="5"/>
  <c r="E20517" i="5"/>
  <c r="E20509" i="5"/>
  <c r="E20501" i="5"/>
  <c r="E20493" i="5"/>
  <c r="E20485" i="5"/>
  <c r="E20477" i="5"/>
  <c r="E20469" i="5"/>
  <c r="E20461" i="5"/>
  <c r="E20453" i="5"/>
  <c r="E20445" i="5"/>
  <c r="E20437" i="5"/>
  <c r="E20429" i="5"/>
  <c r="E20421" i="5"/>
  <c r="E20413" i="5"/>
  <c r="E20405" i="5"/>
  <c r="E20397" i="5"/>
  <c r="E20389" i="5"/>
  <c r="E20381" i="5"/>
  <c r="E20373" i="5"/>
  <c r="E20365" i="5"/>
  <c r="E20357" i="5"/>
  <c r="E20349" i="5"/>
  <c r="E20341" i="5"/>
  <c r="E20333" i="5"/>
  <c r="E20325" i="5"/>
  <c r="E20317" i="5"/>
  <c r="E20309" i="5"/>
  <c r="E20301" i="5"/>
  <c r="E20293" i="5"/>
  <c r="E20285" i="5"/>
  <c r="E20277" i="5"/>
  <c r="E20269" i="5"/>
  <c r="E20261" i="5"/>
  <c r="E20253" i="5"/>
  <c r="E20245" i="5"/>
  <c r="E20237" i="5"/>
  <c r="E20229" i="5"/>
  <c r="E20221" i="5"/>
  <c r="E20213" i="5"/>
  <c r="E20205" i="5"/>
  <c r="E20197" i="5"/>
  <c r="E20189" i="5"/>
  <c r="E20181" i="5"/>
  <c r="E20173" i="5"/>
  <c r="E20165" i="5"/>
  <c r="E20157" i="5"/>
  <c r="E20149" i="5"/>
  <c r="E20141" i="5"/>
  <c r="E20133" i="5"/>
  <c r="E20125" i="5"/>
  <c r="E20117" i="5"/>
  <c r="E20109" i="5"/>
  <c r="E20101" i="5"/>
  <c r="E20093" i="5"/>
  <c r="E20085" i="5"/>
  <c r="E20077" i="5"/>
  <c r="E20069" i="5"/>
  <c r="E20061" i="5"/>
  <c r="E20053" i="5"/>
  <c r="E20045" i="5"/>
  <c r="E20037" i="5"/>
  <c r="E20029" i="5"/>
  <c r="E20021" i="5"/>
  <c r="E20013" i="5"/>
  <c r="E20005" i="5"/>
  <c r="E19997" i="5"/>
  <c r="E19989" i="5"/>
  <c r="E19981" i="5"/>
  <c r="E19973" i="5"/>
  <c r="E19965" i="5"/>
  <c r="E19957" i="5"/>
  <c r="E19949" i="5"/>
  <c r="E19941" i="5"/>
  <c r="E19933" i="5"/>
  <c r="E19925" i="5"/>
  <c r="E19917" i="5"/>
  <c r="E19909" i="5"/>
  <c r="E19901" i="5"/>
  <c r="E19893" i="5"/>
  <c r="E19885" i="5"/>
  <c r="E19877" i="5"/>
  <c r="E19869" i="5"/>
  <c r="E19861" i="5"/>
  <c r="E19853" i="5"/>
  <c r="E19845" i="5"/>
  <c r="E19837" i="5"/>
  <c r="E19829" i="5"/>
  <c r="E19821" i="5"/>
  <c r="E19813" i="5"/>
  <c r="E19805" i="5"/>
  <c r="E19797" i="5"/>
  <c r="E19789" i="5"/>
  <c r="E19781" i="5"/>
  <c r="E19773" i="5"/>
  <c r="E19765" i="5"/>
  <c r="E19757" i="5"/>
  <c r="E19749" i="5"/>
  <c r="E19741" i="5"/>
  <c r="E19733" i="5"/>
  <c r="E19725" i="5"/>
  <c r="E19717" i="5"/>
  <c r="E19709" i="5"/>
  <c r="E19701" i="5"/>
  <c r="E19693" i="5"/>
  <c r="E19685" i="5"/>
  <c r="E19677" i="5"/>
  <c r="E19669" i="5"/>
  <c r="E19661" i="5"/>
  <c r="E19653" i="5"/>
  <c r="E19645" i="5"/>
  <c r="E19637" i="5"/>
  <c r="E19629" i="5"/>
  <c r="E19621" i="5"/>
  <c r="E19613" i="5"/>
  <c r="E19605" i="5"/>
  <c r="E19597" i="5"/>
  <c r="E19589" i="5"/>
  <c r="E19581" i="5"/>
  <c r="E19573" i="5"/>
  <c r="E19565" i="5"/>
  <c r="E19557" i="5"/>
  <c r="E19549" i="5"/>
  <c r="E19541" i="5"/>
  <c r="E19533" i="5"/>
  <c r="E19525" i="5"/>
  <c r="E19517" i="5"/>
  <c r="E19509" i="5"/>
  <c r="E19501" i="5"/>
  <c r="E19493" i="5"/>
  <c r="E19485" i="5"/>
  <c r="E19477" i="5"/>
  <c r="E19469" i="5"/>
  <c r="E19461" i="5"/>
  <c r="E19453" i="5"/>
  <c r="E19445" i="5"/>
  <c r="E19437" i="5"/>
  <c r="E19429" i="5"/>
  <c r="E19421" i="5"/>
  <c r="E19413" i="5"/>
  <c r="E19405" i="5"/>
  <c r="E19397" i="5"/>
  <c r="E19389" i="5"/>
  <c r="E19381" i="5"/>
  <c r="E19373" i="5"/>
  <c r="E19365" i="5"/>
  <c r="E19357" i="5"/>
  <c r="E19349" i="5"/>
  <c r="E19341" i="5"/>
  <c r="E19333" i="5"/>
  <c r="E19325" i="5"/>
  <c r="E19317" i="5"/>
  <c r="E19309" i="5"/>
  <c r="E19301" i="5"/>
  <c r="E19293" i="5"/>
  <c r="E19285" i="5"/>
  <c r="E19277" i="5"/>
  <c r="E19269" i="5"/>
  <c r="E19261" i="5"/>
  <c r="E19253" i="5"/>
  <c r="E19245" i="5"/>
  <c r="E19237" i="5"/>
  <c r="E19229" i="5"/>
  <c r="E19221" i="5"/>
  <c r="E19213" i="5"/>
  <c r="E19205" i="5"/>
  <c r="E19197" i="5"/>
  <c r="E19189" i="5"/>
  <c r="E19181" i="5"/>
  <c r="E19173" i="5"/>
  <c r="E19165" i="5"/>
  <c r="E19157" i="5"/>
  <c r="E19149" i="5"/>
  <c r="E19141" i="5"/>
  <c r="E19133" i="5"/>
  <c r="E19125" i="5"/>
  <c r="E19117" i="5"/>
  <c r="E19109" i="5"/>
  <c r="E19101" i="5"/>
  <c r="E19093" i="5"/>
  <c r="E19085" i="5"/>
  <c r="E19077" i="5"/>
  <c r="E19069" i="5"/>
  <c r="E19061" i="5"/>
  <c r="E19053" i="5"/>
  <c r="E19045" i="5"/>
  <c r="E19037" i="5"/>
  <c r="E19029" i="5"/>
  <c r="E19021" i="5"/>
  <c r="E19013" i="5"/>
  <c r="E19005" i="5"/>
  <c r="E18997" i="5"/>
  <c r="E18989" i="5"/>
  <c r="E18981" i="5"/>
  <c r="E18973" i="5"/>
  <c r="E18965" i="5"/>
  <c r="E18957" i="5"/>
  <c r="E18949" i="5"/>
  <c r="E18941" i="5"/>
  <c r="E18933" i="5"/>
  <c r="E18925" i="5"/>
  <c r="E18917" i="5"/>
  <c r="E18909" i="5"/>
  <c r="E18901" i="5"/>
  <c r="E18893" i="5"/>
  <c r="E18885" i="5"/>
  <c r="E18877" i="5"/>
  <c r="E18869" i="5"/>
  <c r="E18861" i="5"/>
  <c r="E18853" i="5"/>
  <c r="E18845" i="5"/>
  <c r="E18837" i="5"/>
  <c r="E18829" i="5"/>
  <c r="E18821" i="5"/>
  <c r="E18813" i="5"/>
  <c r="E18805" i="5"/>
  <c r="E18797" i="5"/>
  <c r="E18789" i="5"/>
  <c r="E18781" i="5"/>
  <c r="E18773" i="5"/>
  <c r="E18765" i="5"/>
  <c r="E18757" i="5"/>
  <c r="E18749" i="5"/>
  <c r="E18741" i="5"/>
  <c r="E18733" i="5"/>
  <c r="E18725" i="5"/>
  <c r="E18717" i="5"/>
  <c r="E18709" i="5"/>
  <c r="E18701" i="5"/>
  <c r="E18693" i="5"/>
  <c r="E18685" i="5"/>
  <c r="E18677" i="5"/>
  <c r="E18669" i="5"/>
  <c r="E18661" i="5"/>
  <c r="E18653" i="5"/>
  <c r="E18645" i="5"/>
  <c r="E18637" i="5"/>
  <c r="E18629" i="5"/>
  <c r="E18621" i="5"/>
  <c r="E18613" i="5"/>
  <c r="E18605" i="5"/>
  <c r="E18597" i="5"/>
  <c r="E18589" i="5"/>
  <c r="E18581" i="5"/>
  <c r="E18573" i="5"/>
  <c r="E18565" i="5"/>
  <c r="E18557" i="5"/>
  <c r="E18549" i="5"/>
  <c r="E18541" i="5"/>
  <c r="E18533" i="5"/>
  <c r="E18525" i="5"/>
  <c r="E18517" i="5"/>
  <c r="E18509" i="5"/>
  <c r="E18501" i="5"/>
  <c r="E18493" i="5"/>
  <c r="E18485" i="5"/>
  <c r="E18477" i="5"/>
  <c r="E18469" i="5"/>
  <c r="E18461" i="5"/>
  <c r="E18453" i="5"/>
  <c r="E18445" i="5"/>
  <c r="E18437" i="5"/>
  <c r="E18429" i="5"/>
  <c r="E18421" i="5"/>
  <c r="E18413" i="5"/>
  <c r="E18405" i="5"/>
  <c r="E18397" i="5"/>
  <c r="E18389" i="5"/>
  <c r="E18381" i="5"/>
  <c r="E18373" i="5"/>
  <c r="E18365" i="5"/>
  <c r="E18357" i="5"/>
  <c r="E18349" i="5"/>
  <c r="E18341" i="5"/>
  <c r="E18333" i="5"/>
  <c r="E18325" i="5"/>
  <c r="E18317" i="5"/>
  <c r="E18309" i="5"/>
  <c r="E18301" i="5"/>
  <c r="E18293" i="5"/>
  <c r="E18285" i="5"/>
  <c r="E18277" i="5"/>
  <c r="E18269" i="5"/>
  <c r="E18261" i="5"/>
  <c r="E18253" i="5"/>
  <c r="E18245" i="5"/>
  <c r="E18237" i="5"/>
  <c r="E18229" i="5"/>
  <c r="E18221" i="5"/>
  <c r="E18213" i="5"/>
  <c r="E18205" i="5"/>
  <c r="E18197" i="5"/>
  <c r="E18189" i="5"/>
  <c r="E18181" i="5"/>
  <c r="E18173" i="5"/>
  <c r="E18165" i="5"/>
  <c r="E18157" i="5"/>
  <c r="E18149" i="5"/>
  <c r="E18141" i="5"/>
  <c r="E18133" i="5"/>
  <c r="E18125" i="5"/>
  <c r="E18117" i="5"/>
  <c r="E18109" i="5"/>
  <c r="E18101" i="5"/>
  <c r="E18093" i="5"/>
  <c r="E18085" i="5"/>
  <c r="E18077" i="5"/>
  <c r="E18069" i="5"/>
  <c r="E18061" i="5"/>
  <c r="E18053" i="5"/>
  <c r="E18045" i="5"/>
  <c r="E18037" i="5"/>
  <c r="E18029" i="5"/>
  <c r="E18021" i="5"/>
  <c r="E18013" i="5"/>
  <c r="E18005" i="5"/>
  <c r="E17997" i="5"/>
  <c r="E17989" i="5"/>
  <c r="E17981" i="5"/>
  <c r="E17973" i="5"/>
  <c r="E17965" i="5"/>
  <c r="E17957" i="5"/>
  <c r="E17949" i="5"/>
  <c r="E17941" i="5"/>
  <c r="E17933" i="5"/>
  <c r="E17925" i="5"/>
  <c r="E17917" i="5"/>
  <c r="E17909" i="5"/>
  <c r="E17901" i="5"/>
  <c r="E17893" i="5"/>
  <c r="E17885" i="5"/>
  <c r="E17877" i="5"/>
  <c r="E17869" i="5"/>
  <c r="E17861" i="5"/>
  <c r="E17853" i="5"/>
  <c r="E17845" i="5"/>
  <c r="E17837" i="5"/>
  <c r="E17829" i="5"/>
  <c r="E17821" i="5"/>
  <c r="E17813" i="5"/>
  <c r="E17805" i="5"/>
  <c r="E17797" i="5"/>
  <c r="E17789" i="5"/>
  <c r="E17781" i="5"/>
  <c r="E17773" i="5"/>
  <c r="E17765" i="5"/>
  <c r="E17757" i="5"/>
  <c r="E17749" i="5"/>
  <c r="E17741" i="5"/>
  <c r="E17733" i="5"/>
  <c r="E17725" i="5"/>
  <c r="E17717" i="5"/>
  <c r="E17709" i="5"/>
  <c r="E17701" i="5"/>
  <c r="E17693" i="5"/>
  <c r="E17685" i="5"/>
  <c r="E17677" i="5"/>
  <c r="E17669" i="5"/>
  <c r="E17661" i="5"/>
  <c r="E17653" i="5"/>
  <c r="E17645" i="5"/>
  <c r="E17637" i="5"/>
  <c r="E17629" i="5"/>
  <c r="E17621" i="5"/>
  <c r="E17613" i="5"/>
  <c r="E17605" i="5"/>
  <c r="E17597" i="5"/>
  <c r="E17589" i="5"/>
  <c r="E17581" i="5"/>
  <c r="E17573" i="5"/>
  <c r="E17565" i="5"/>
  <c r="E17557" i="5"/>
  <c r="E17549" i="5"/>
  <c r="E17541" i="5"/>
  <c r="E17533" i="5"/>
  <c r="E17525" i="5"/>
  <c r="E17517" i="5"/>
  <c r="E17509" i="5"/>
  <c r="E17501" i="5"/>
  <c r="E17493" i="5"/>
  <c r="E17485" i="5"/>
  <c r="E17477" i="5"/>
  <c r="E17469" i="5"/>
  <c r="E17461" i="5"/>
  <c r="E17453" i="5"/>
  <c r="E17445" i="5"/>
  <c r="E17437" i="5"/>
  <c r="E17429" i="5"/>
  <c r="E17421" i="5"/>
  <c r="E17413" i="5"/>
  <c r="E17405" i="5"/>
  <c r="E17397" i="5"/>
  <c r="E17389" i="5"/>
  <c r="E17381" i="5"/>
  <c r="E17373" i="5"/>
  <c r="E17365" i="5"/>
  <c r="E17357" i="5"/>
  <c r="E17349" i="5"/>
  <c r="E17341" i="5"/>
  <c r="E17333" i="5"/>
  <c r="E17325" i="5"/>
  <c r="E17317" i="5"/>
  <c r="E17309" i="5"/>
  <c r="E17301" i="5"/>
  <c r="E17293" i="5"/>
  <c r="E17285" i="5"/>
  <c r="E17277" i="5"/>
  <c r="E17269" i="5"/>
  <c r="E17261" i="5"/>
  <c r="E17253" i="5"/>
  <c r="E17245" i="5"/>
  <c r="E17237" i="5"/>
  <c r="E17229" i="5"/>
  <c r="E17221" i="5"/>
  <c r="E17213" i="5"/>
  <c r="E17205" i="5"/>
  <c r="E17197" i="5"/>
  <c r="E17189" i="5"/>
  <c r="E17181" i="5"/>
  <c r="E17173" i="5"/>
  <c r="E17165" i="5"/>
  <c r="E17157" i="5"/>
  <c r="E17149" i="5"/>
  <c r="E17141" i="5"/>
  <c r="E17133" i="5"/>
  <c r="E17125" i="5"/>
  <c r="E17117" i="5"/>
  <c r="E17109" i="5"/>
  <c r="E17101" i="5"/>
  <c r="E17093" i="5"/>
  <c r="E17085" i="5"/>
  <c r="E17077" i="5"/>
  <c r="E17069" i="5"/>
  <c r="E17061" i="5"/>
  <c r="E17053" i="5"/>
  <c r="E17045" i="5"/>
  <c r="E17037" i="5"/>
  <c r="E17029" i="5"/>
  <c r="E17021" i="5"/>
  <c r="E17013" i="5"/>
  <c r="E17005" i="5"/>
  <c r="E16997" i="5"/>
  <c r="E16989" i="5"/>
  <c r="E16981" i="5"/>
  <c r="E16973" i="5"/>
  <c r="E16965" i="5"/>
  <c r="E16957" i="5"/>
  <c r="E16949" i="5"/>
  <c r="E16941" i="5"/>
  <c r="E16933" i="5"/>
  <c r="E16925" i="5"/>
  <c r="E16917" i="5"/>
  <c r="E16909" i="5"/>
  <c r="E16901" i="5"/>
  <c r="E16893" i="5"/>
  <c r="E16885" i="5"/>
  <c r="E16877" i="5"/>
  <c r="E16869" i="5"/>
  <c r="E16861" i="5"/>
  <c r="E16853" i="5"/>
  <c r="E16845" i="5"/>
  <c r="E16837" i="5"/>
  <c r="E16829" i="5"/>
  <c r="E16821" i="5"/>
  <c r="E16813" i="5"/>
  <c r="E16805" i="5"/>
  <c r="E16797" i="5"/>
  <c r="E16789" i="5"/>
  <c r="E16781" i="5"/>
  <c r="E16773" i="5"/>
  <c r="E16765" i="5"/>
  <c r="E16757" i="5"/>
  <c r="E16749" i="5"/>
  <c r="E16741" i="5"/>
  <c r="E16733" i="5"/>
  <c r="E16725" i="5"/>
  <c r="E16717" i="5"/>
  <c r="E16709" i="5"/>
  <c r="E16701" i="5"/>
  <c r="E16693" i="5"/>
  <c r="E16685" i="5"/>
  <c r="E16677" i="5"/>
  <c r="E16669" i="5"/>
  <c r="E16661" i="5"/>
  <c r="E16653" i="5"/>
  <c r="E16645" i="5"/>
  <c r="E16637" i="5"/>
  <c r="E16629" i="5"/>
  <c r="E16621" i="5"/>
  <c r="E16613" i="5"/>
  <c r="E16605" i="5"/>
  <c r="E16597" i="5"/>
  <c r="E16589" i="5"/>
  <c r="E16581" i="5"/>
  <c r="E16573" i="5"/>
  <c r="E16565" i="5"/>
  <c r="E16557" i="5"/>
  <c r="E16549" i="5"/>
  <c r="E16541" i="5"/>
  <c r="E16533" i="5"/>
  <c r="E16525" i="5"/>
  <c r="E16517" i="5"/>
  <c r="E16509" i="5"/>
  <c r="E16501" i="5"/>
  <c r="E16493" i="5"/>
  <c r="E16485" i="5"/>
  <c r="E16477" i="5"/>
  <c r="E16469" i="5"/>
  <c r="E16461" i="5"/>
  <c r="E16453" i="5"/>
  <c r="E16445" i="5"/>
  <c r="E16437" i="5"/>
  <c r="E16429" i="5"/>
  <c r="E16421" i="5"/>
  <c r="E16413" i="5"/>
  <c r="E16405" i="5"/>
  <c r="E16397" i="5"/>
  <c r="E16389" i="5"/>
  <c r="E16381" i="5"/>
  <c r="E16373" i="5"/>
  <c r="E16365" i="5"/>
  <c r="E16357" i="5"/>
  <c r="E16349" i="5"/>
  <c r="E16341" i="5"/>
  <c r="E16333" i="5"/>
  <c r="E16325" i="5"/>
  <c r="E16317" i="5"/>
  <c r="E16309" i="5"/>
  <c r="E16301" i="5"/>
  <c r="E16293" i="5"/>
  <c r="E16285" i="5"/>
  <c r="E16277" i="5"/>
  <c r="E16269" i="5"/>
  <c r="E16261" i="5"/>
  <c r="E16253" i="5"/>
  <c r="E16245" i="5"/>
  <c r="E16237" i="5"/>
  <c r="E16229" i="5"/>
  <c r="E16221" i="5"/>
  <c r="E16213" i="5"/>
  <c r="E16205" i="5"/>
  <c r="E16197" i="5"/>
  <c r="E16189" i="5"/>
  <c r="E16181" i="5"/>
  <c r="E16173" i="5"/>
  <c r="E16165" i="5"/>
  <c r="E16157" i="5"/>
  <c r="E16149" i="5"/>
  <c r="E16141" i="5"/>
  <c r="E16133" i="5"/>
  <c r="E16125" i="5"/>
  <c r="E16117" i="5"/>
  <c r="E16109" i="5"/>
  <c r="E16101" i="5"/>
  <c r="E16093" i="5"/>
  <c r="E16085" i="5"/>
  <c r="E16077" i="5"/>
  <c r="E16069" i="5"/>
  <c r="E16061" i="5"/>
  <c r="E16053" i="5"/>
  <c r="E16045" i="5"/>
  <c r="E16037" i="5"/>
  <c r="E16029" i="5"/>
  <c r="E16021" i="5"/>
  <c r="E16013" i="5"/>
  <c r="E16005" i="5"/>
  <c r="E15997" i="5"/>
  <c r="E15989" i="5"/>
  <c r="E15981" i="5"/>
  <c r="E15973" i="5"/>
  <c r="E15965" i="5"/>
  <c r="E15957" i="5"/>
  <c r="E15949" i="5"/>
  <c r="E15941" i="5"/>
  <c r="E15933" i="5"/>
  <c r="E15925" i="5"/>
  <c r="E15917" i="5"/>
  <c r="E15909" i="5"/>
  <c r="E15901" i="5"/>
  <c r="E15893" i="5"/>
  <c r="E15885" i="5"/>
  <c r="E15877" i="5"/>
  <c r="E15869" i="5"/>
  <c r="E15861" i="5"/>
  <c r="E15853" i="5"/>
  <c r="E15845" i="5"/>
  <c r="E15837" i="5"/>
  <c r="E15829" i="5"/>
  <c r="E15821" i="5"/>
  <c r="E15813" i="5"/>
  <c r="E15805" i="5"/>
  <c r="E15797" i="5"/>
  <c r="E15789" i="5"/>
  <c r="E15781" i="5"/>
  <c r="E15773" i="5"/>
  <c r="E15765" i="5"/>
  <c r="E15757" i="5"/>
  <c r="E15749" i="5"/>
  <c r="E15741" i="5"/>
  <c r="E15733" i="5"/>
  <c r="E15725" i="5"/>
  <c r="E15717" i="5"/>
  <c r="E15709" i="5"/>
  <c r="E15701" i="5"/>
  <c r="E15693" i="5"/>
  <c r="E15685" i="5"/>
  <c r="E15677" i="5"/>
  <c r="E15669" i="5"/>
  <c r="E15661" i="5"/>
  <c r="E15653" i="5"/>
  <c r="E15645" i="5"/>
  <c r="E15637" i="5"/>
  <c r="E15629" i="5"/>
  <c r="E15621" i="5"/>
  <c r="E15613" i="5"/>
  <c r="E15605" i="5"/>
  <c r="E15597" i="5"/>
  <c r="E15589" i="5"/>
  <c r="E15581" i="5"/>
  <c r="E15573" i="5"/>
  <c r="E15565" i="5"/>
  <c r="E15557" i="5"/>
  <c r="E15549" i="5"/>
  <c r="E15541" i="5"/>
  <c r="E15533" i="5"/>
  <c r="E15525" i="5"/>
  <c r="E15517" i="5"/>
  <c r="E15509" i="5"/>
  <c r="E15501" i="5"/>
  <c r="E15493" i="5"/>
  <c r="E15485" i="5"/>
  <c r="E15477" i="5"/>
  <c r="E15469" i="5"/>
  <c r="E15461" i="5"/>
  <c r="E15453" i="5"/>
  <c r="E15445" i="5"/>
  <c r="E15437" i="5"/>
  <c r="E15429" i="5"/>
  <c r="E15421" i="5"/>
  <c r="E15413" i="5"/>
  <c r="E15405" i="5"/>
  <c r="E15397" i="5"/>
  <c r="E15389" i="5"/>
  <c r="E15381" i="5"/>
  <c r="E15373" i="5"/>
  <c r="E15365" i="5"/>
  <c r="E15357" i="5"/>
  <c r="E15349" i="5"/>
  <c r="E15341" i="5"/>
  <c r="E15333" i="5"/>
  <c r="E15325" i="5"/>
  <c r="E15317" i="5"/>
  <c r="E15309" i="5"/>
  <c r="E15301" i="5"/>
  <c r="E15293" i="5"/>
  <c r="E15285" i="5"/>
  <c r="E15277" i="5"/>
  <c r="E15269" i="5"/>
  <c r="E15261" i="5"/>
  <c r="E15253" i="5"/>
  <c r="E15245" i="5"/>
  <c r="E15237" i="5"/>
  <c r="E15229" i="5"/>
  <c r="E15221" i="5"/>
  <c r="E15213" i="5"/>
  <c r="E15205" i="5"/>
  <c r="E15197" i="5"/>
  <c r="E15189" i="5"/>
  <c r="E15181" i="5"/>
  <c r="E15173" i="5"/>
  <c r="E15165" i="5"/>
  <c r="E15157" i="5"/>
  <c r="E15149" i="5"/>
  <c r="E15141" i="5"/>
  <c r="E15133" i="5"/>
  <c r="E15125" i="5"/>
  <c r="E15117" i="5"/>
  <c r="E15109" i="5"/>
  <c r="E15101" i="5"/>
  <c r="E15093" i="5"/>
  <c r="E15085" i="5"/>
  <c r="E15077" i="5"/>
  <c r="E15069" i="5"/>
  <c r="E15061" i="5"/>
  <c r="E15053" i="5"/>
  <c r="E15045" i="5"/>
  <c r="E15037" i="5"/>
  <c r="E15029" i="5"/>
  <c r="E15021" i="5"/>
  <c r="E15013" i="5"/>
  <c r="E15005" i="5"/>
  <c r="E14997" i="5"/>
  <c r="E14989" i="5"/>
  <c r="E14981" i="5"/>
  <c r="E14973" i="5"/>
  <c r="E14965" i="5"/>
  <c r="E14957" i="5"/>
  <c r="E14949" i="5"/>
  <c r="E14941" i="5"/>
  <c r="E14933" i="5"/>
  <c r="E14925" i="5"/>
  <c r="E14917" i="5"/>
  <c r="E14909" i="5"/>
  <c r="E14901" i="5"/>
  <c r="E14893" i="5"/>
  <c r="E14885" i="5"/>
  <c r="E14877" i="5"/>
  <c r="E14869" i="5"/>
  <c r="E14861" i="5"/>
  <c r="E14853" i="5"/>
  <c r="E14845" i="5"/>
  <c r="E14837" i="5"/>
  <c r="E14829" i="5"/>
  <c r="E14821" i="5"/>
  <c r="E14813" i="5"/>
  <c r="E14805" i="5"/>
  <c r="E14797" i="5"/>
  <c r="E14789" i="5"/>
  <c r="E14781" i="5"/>
  <c r="E14773" i="5"/>
  <c r="E14765" i="5"/>
  <c r="E14757" i="5"/>
  <c r="E14749" i="5"/>
  <c r="E14741" i="5"/>
  <c r="E14733" i="5"/>
  <c r="E14725" i="5"/>
  <c r="E14717" i="5"/>
  <c r="E14709" i="5"/>
  <c r="E14701" i="5"/>
  <c r="E14693" i="5"/>
  <c r="E14685" i="5"/>
  <c r="E14677" i="5"/>
  <c r="E14669" i="5"/>
  <c r="E14661" i="5"/>
  <c r="E14653" i="5"/>
  <c r="E14645" i="5"/>
  <c r="E14637" i="5"/>
  <c r="E14629" i="5"/>
  <c r="E14621" i="5"/>
  <c r="E14613" i="5"/>
  <c r="E14605" i="5"/>
  <c r="E14597" i="5"/>
  <c r="E14589" i="5"/>
  <c r="E14581" i="5"/>
  <c r="E14573" i="5"/>
  <c r="E14565" i="5"/>
  <c r="E14557" i="5"/>
  <c r="E14549" i="5"/>
  <c r="E14541" i="5"/>
  <c r="E14533" i="5"/>
  <c r="E14525" i="5"/>
  <c r="E14517" i="5"/>
  <c r="E14509" i="5"/>
  <c r="E14501" i="5"/>
  <c r="E14493" i="5"/>
  <c r="E14485" i="5"/>
  <c r="E14477" i="5"/>
  <c r="E14469" i="5"/>
  <c r="E14461" i="5"/>
  <c r="E14453" i="5"/>
  <c r="E14445" i="5"/>
  <c r="E14437" i="5"/>
  <c r="E14429" i="5"/>
  <c r="E14421" i="5"/>
  <c r="E14413" i="5"/>
  <c r="E14405" i="5"/>
  <c r="E14397" i="5"/>
  <c r="E14389" i="5"/>
  <c r="E14381" i="5"/>
  <c r="E14373" i="5"/>
  <c r="E14365" i="5"/>
  <c r="E14357" i="5"/>
  <c r="E14349" i="5"/>
  <c r="E14341" i="5"/>
  <c r="E14333" i="5"/>
  <c r="E14325" i="5"/>
  <c r="E14317" i="5"/>
  <c r="E14309" i="5"/>
  <c r="E14301" i="5"/>
  <c r="E14293" i="5"/>
  <c r="E14285" i="5"/>
  <c r="E14277" i="5"/>
  <c r="E14269" i="5"/>
  <c r="E14261" i="5"/>
  <c r="E14253" i="5"/>
  <c r="E14245" i="5"/>
  <c r="E14237" i="5"/>
  <c r="E14229" i="5"/>
  <c r="E14221" i="5"/>
  <c r="E14213" i="5"/>
  <c r="E14205" i="5"/>
  <c r="E14197" i="5"/>
  <c r="E14189" i="5"/>
  <c r="E14181" i="5"/>
  <c r="E14173" i="5"/>
  <c r="E14165" i="5"/>
  <c r="E14157" i="5"/>
  <c r="E14149" i="5"/>
  <c r="E14141" i="5"/>
  <c r="E14133" i="5"/>
  <c r="E14125" i="5"/>
  <c r="E14117" i="5"/>
  <c r="E14109" i="5"/>
  <c r="E14101" i="5"/>
  <c r="E14093" i="5"/>
  <c r="E14085" i="5"/>
  <c r="E14077" i="5"/>
  <c r="E14069" i="5"/>
  <c r="E14061" i="5"/>
  <c r="E14053" i="5"/>
  <c r="E14045" i="5"/>
  <c r="E14037" i="5"/>
  <c r="E14029" i="5"/>
  <c r="E14021" i="5"/>
  <c r="E14013" i="5"/>
  <c r="E14005" i="5"/>
  <c r="E13997" i="5"/>
  <c r="E13989" i="5"/>
  <c r="E13981" i="5"/>
  <c r="E13973" i="5"/>
  <c r="E13965" i="5"/>
  <c r="E13957" i="5"/>
  <c r="E13949" i="5"/>
  <c r="E13941" i="5"/>
  <c r="E13933" i="5"/>
  <c r="E13925" i="5"/>
  <c r="E13917" i="5"/>
  <c r="E13909" i="5"/>
  <c r="E13901" i="5"/>
  <c r="E13893" i="5"/>
  <c r="E13885" i="5"/>
  <c r="E13877" i="5"/>
  <c r="E13869" i="5"/>
  <c r="E13861" i="5"/>
  <c r="E13853" i="5"/>
  <c r="E13845" i="5"/>
  <c r="E13837" i="5"/>
  <c r="E13829" i="5"/>
  <c r="E13821" i="5"/>
  <c r="E13813" i="5"/>
  <c r="E13805" i="5"/>
  <c r="E13797" i="5"/>
  <c r="E13789" i="5"/>
  <c r="E13781" i="5"/>
  <c r="E13773" i="5"/>
  <c r="E13765" i="5"/>
  <c r="E13757" i="5"/>
  <c r="E13749" i="5"/>
  <c r="E13741" i="5"/>
  <c r="E13733" i="5"/>
  <c r="E13725" i="5"/>
  <c r="E13717" i="5"/>
  <c r="E13709" i="5"/>
  <c r="E13701" i="5"/>
  <c r="E13693" i="5"/>
  <c r="E13685" i="5"/>
  <c r="E13677" i="5"/>
  <c r="E13669" i="5"/>
  <c r="E13661" i="5"/>
  <c r="E13653" i="5"/>
  <c r="E13645" i="5"/>
  <c r="E13637" i="5"/>
  <c r="E13629" i="5"/>
  <c r="E13621" i="5"/>
  <c r="E13613" i="5"/>
  <c r="E13605" i="5"/>
  <c r="E13597" i="5"/>
  <c r="E13589" i="5"/>
  <c r="E13581" i="5"/>
  <c r="E13573" i="5"/>
  <c r="E13565" i="5"/>
  <c r="E13557" i="5"/>
  <c r="E13549" i="5"/>
  <c r="E13541" i="5"/>
  <c r="E13533" i="5"/>
  <c r="E13525" i="5"/>
  <c r="E13517" i="5"/>
  <c r="E13509" i="5"/>
  <c r="E13501" i="5"/>
  <c r="E13493" i="5"/>
  <c r="E13485" i="5"/>
  <c r="E13477" i="5"/>
  <c r="E13469" i="5"/>
  <c r="E13461" i="5"/>
  <c r="E13453" i="5"/>
  <c r="E13445" i="5"/>
  <c r="E13437" i="5"/>
  <c r="E13429" i="5"/>
  <c r="E13421" i="5"/>
  <c r="E13413" i="5"/>
  <c r="E13405" i="5"/>
  <c r="E13397" i="5"/>
  <c r="E13389" i="5"/>
  <c r="E13381" i="5"/>
  <c r="E13373" i="5"/>
  <c r="E13365" i="5"/>
  <c r="E13357" i="5"/>
  <c r="E13349" i="5"/>
  <c r="E13341" i="5"/>
  <c r="E13333" i="5"/>
  <c r="E13325" i="5"/>
  <c r="E13317" i="5"/>
  <c r="E13309" i="5"/>
  <c r="E13301" i="5"/>
  <c r="E13293" i="5"/>
  <c r="E13285" i="5"/>
  <c r="E13277" i="5"/>
  <c r="E13269" i="5"/>
  <c r="E13261" i="5"/>
  <c r="E13253" i="5"/>
  <c r="E13245" i="5"/>
  <c r="E13237" i="5"/>
  <c r="E13229" i="5"/>
  <c r="E13221" i="5"/>
  <c r="E13213" i="5"/>
  <c r="E13205" i="5"/>
  <c r="E13197" i="5"/>
  <c r="E13189" i="5"/>
  <c r="E13181" i="5"/>
  <c r="E13173" i="5"/>
  <c r="E13165" i="5"/>
  <c r="E13157" i="5"/>
  <c r="E13149" i="5"/>
  <c r="E13141" i="5"/>
  <c r="E13133" i="5"/>
  <c r="E13125" i="5"/>
  <c r="E13117" i="5"/>
  <c r="E13109" i="5"/>
  <c r="E13101" i="5"/>
  <c r="E13093" i="5"/>
  <c r="E13085" i="5"/>
  <c r="E13077" i="5"/>
  <c r="E13069" i="5"/>
  <c r="E13061" i="5"/>
  <c r="E13053" i="5"/>
  <c r="E13045" i="5"/>
  <c r="E13037" i="5"/>
  <c r="E13029" i="5"/>
  <c r="E13021" i="5"/>
  <c r="E13013" i="5"/>
  <c r="E13005" i="5"/>
  <c r="E12997" i="5"/>
  <c r="E12989" i="5"/>
  <c r="E12981" i="5"/>
  <c r="E12973" i="5"/>
  <c r="E12965" i="5"/>
  <c r="E12957" i="5"/>
  <c r="E12949" i="5"/>
  <c r="E12941" i="5"/>
  <c r="E12933" i="5"/>
  <c r="E12925" i="5"/>
  <c r="E12917" i="5"/>
  <c r="E12909" i="5"/>
  <c r="E12901" i="5"/>
  <c r="E12893" i="5"/>
  <c r="E12885" i="5"/>
  <c r="E12877" i="5"/>
  <c r="E12869" i="5"/>
  <c r="E12861" i="5"/>
  <c r="E12853" i="5"/>
  <c r="E12845" i="5"/>
  <c r="E12837" i="5"/>
  <c r="E12829" i="5"/>
  <c r="E12821" i="5"/>
  <c r="E12813" i="5"/>
  <c r="E12805" i="5"/>
  <c r="E12797" i="5"/>
  <c r="E12789" i="5"/>
  <c r="E12781" i="5"/>
  <c r="E12773" i="5"/>
  <c r="E12765" i="5"/>
  <c r="E12757" i="5"/>
  <c r="E12749" i="5"/>
  <c r="E12741" i="5"/>
  <c r="E12733" i="5"/>
  <c r="E12725" i="5"/>
  <c r="E12717" i="5"/>
  <c r="E12709" i="5"/>
  <c r="E12701" i="5"/>
  <c r="E12693" i="5"/>
  <c r="E12685" i="5"/>
  <c r="E12677" i="5"/>
  <c r="E12669" i="5"/>
  <c r="E12661" i="5"/>
  <c r="E12653" i="5"/>
  <c r="E12645" i="5"/>
  <c r="E12637" i="5"/>
  <c r="E12629" i="5"/>
  <c r="E12621" i="5"/>
  <c r="E12613" i="5"/>
  <c r="E12605" i="5"/>
  <c r="E12597" i="5"/>
  <c r="E12589" i="5"/>
  <c r="E12581" i="5"/>
  <c r="E12573" i="5"/>
  <c r="E12565" i="5"/>
  <c r="E12557" i="5"/>
  <c r="E12549" i="5"/>
  <c r="E12541" i="5"/>
  <c r="E12533" i="5"/>
  <c r="E12525" i="5"/>
  <c r="E12517" i="5"/>
  <c r="E12509" i="5"/>
  <c r="E12501" i="5"/>
  <c r="E12493" i="5"/>
  <c r="E12485" i="5"/>
  <c r="E12477" i="5"/>
  <c r="E12469" i="5"/>
  <c r="E12461" i="5"/>
  <c r="E12453" i="5"/>
  <c r="E12445" i="5"/>
  <c r="E12437" i="5"/>
  <c r="E12429" i="5"/>
  <c r="E12421" i="5"/>
  <c r="E12413" i="5"/>
  <c r="E12405" i="5"/>
  <c r="E12397" i="5"/>
  <c r="E12389" i="5"/>
  <c r="E12381" i="5"/>
  <c r="E12373" i="5"/>
  <c r="E12365" i="5"/>
  <c r="E12357" i="5"/>
  <c r="E12349" i="5"/>
  <c r="E12341" i="5"/>
  <c r="E12333" i="5"/>
  <c r="E12325" i="5"/>
  <c r="E12317" i="5"/>
  <c r="E12309" i="5"/>
  <c r="E12301" i="5"/>
  <c r="E12293" i="5"/>
  <c r="E12285" i="5"/>
  <c r="E12277" i="5"/>
  <c r="E12269" i="5"/>
  <c r="E12261" i="5"/>
  <c r="E12253" i="5"/>
  <c r="E12245" i="5"/>
  <c r="E12237" i="5"/>
  <c r="E12229" i="5"/>
  <c r="E12221" i="5"/>
  <c r="E12213" i="5"/>
  <c r="E12205" i="5"/>
  <c r="E12197" i="5"/>
  <c r="E12189" i="5"/>
  <c r="E12181" i="5"/>
  <c r="E12173" i="5"/>
  <c r="E12165" i="5"/>
  <c r="E12157" i="5"/>
  <c r="E12149" i="5"/>
  <c r="E12141" i="5"/>
  <c r="E12133" i="5"/>
  <c r="E12125" i="5"/>
  <c r="E12117" i="5"/>
  <c r="E12109" i="5"/>
  <c r="E12101" i="5"/>
  <c r="E12093" i="5"/>
  <c r="E12085" i="5"/>
  <c r="E12077" i="5"/>
  <c r="E12069" i="5"/>
  <c r="E12061" i="5"/>
  <c r="E12053" i="5"/>
  <c r="E12045" i="5"/>
  <c r="E12037" i="5"/>
  <c r="E12029" i="5"/>
  <c r="E12021" i="5"/>
  <c r="E12013" i="5"/>
  <c r="E12005" i="5"/>
  <c r="E11997" i="5"/>
  <c r="E11989" i="5"/>
  <c r="E11981" i="5"/>
  <c r="E11973" i="5"/>
  <c r="E11965" i="5"/>
  <c r="E11957" i="5"/>
  <c r="E11949" i="5"/>
  <c r="E11941" i="5"/>
  <c r="E11933" i="5"/>
  <c r="E11925" i="5"/>
  <c r="E11917" i="5"/>
  <c r="E11909" i="5"/>
  <c r="E11901" i="5"/>
  <c r="E11893" i="5"/>
  <c r="E11885" i="5"/>
  <c r="E11877" i="5"/>
  <c r="E11869" i="5"/>
  <c r="E11861" i="5"/>
  <c r="E11853" i="5"/>
  <c r="E11845" i="5"/>
  <c r="E11837" i="5"/>
  <c r="E11829" i="5"/>
  <c r="E11821" i="5"/>
  <c r="E11813" i="5"/>
  <c r="E11805" i="5"/>
  <c r="E11797" i="5"/>
  <c r="E11789" i="5"/>
  <c r="E11781" i="5"/>
  <c r="E11773" i="5"/>
  <c r="E11765" i="5"/>
  <c r="E11757" i="5"/>
  <c r="E11749" i="5"/>
  <c r="E11741" i="5"/>
  <c r="E11733" i="5"/>
  <c r="E11725" i="5"/>
  <c r="E11717" i="5"/>
  <c r="E11709" i="5"/>
  <c r="E11701" i="5"/>
  <c r="E11693" i="5"/>
  <c r="E11685" i="5"/>
  <c r="E11677" i="5"/>
  <c r="E11669" i="5"/>
  <c r="E11661" i="5"/>
  <c r="E11653" i="5"/>
  <c r="E11645" i="5"/>
  <c r="E11637" i="5"/>
  <c r="E11629" i="5"/>
  <c r="E11621" i="5"/>
  <c r="E11613" i="5"/>
  <c r="E11605" i="5"/>
  <c r="E11597" i="5"/>
  <c r="E11589" i="5"/>
  <c r="E11581" i="5"/>
  <c r="E11573" i="5"/>
  <c r="E11565" i="5"/>
  <c r="E11557" i="5"/>
  <c r="E11549" i="5"/>
  <c r="E11541" i="5"/>
  <c r="E11533" i="5"/>
  <c r="E11525" i="5"/>
  <c r="E11517" i="5"/>
  <c r="E11509" i="5"/>
  <c r="E11501" i="5"/>
  <c r="E11493" i="5"/>
  <c r="E11485" i="5"/>
  <c r="E11477" i="5"/>
  <c r="E11469" i="5"/>
  <c r="E11461" i="5"/>
  <c r="E11453" i="5"/>
  <c r="E11445" i="5"/>
  <c r="E11437" i="5"/>
  <c r="E11429" i="5"/>
  <c r="E11421" i="5"/>
  <c r="E11413" i="5"/>
  <c r="E11405" i="5"/>
  <c r="E11397" i="5"/>
  <c r="E11389" i="5"/>
  <c r="E11381" i="5"/>
  <c r="E11373" i="5"/>
  <c r="E11365" i="5"/>
  <c r="E11357" i="5"/>
  <c r="E11349" i="5"/>
  <c r="E11341" i="5"/>
  <c r="E11333" i="5"/>
  <c r="E11325" i="5"/>
  <c r="E11317" i="5"/>
  <c r="E11309" i="5"/>
  <c r="E11301" i="5"/>
  <c r="E11293" i="5"/>
  <c r="E11285" i="5"/>
  <c r="E11277" i="5"/>
  <c r="E11269" i="5"/>
  <c r="E11261" i="5"/>
  <c r="E11253" i="5"/>
  <c r="E11245" i="5"/>
  <c r="E11237" i="5"/>
  <c r="E11229" i="5"/>
  <c r="E11221" i="5"/>
  <c r="E11213" i="5"/>
  <c r="E11205" i="5"/>
  <c r="E11197" i="5"/>
  <c r="E11189" i="5"/>
  <c r="E11181" i="5"/>
  <c r="E11173" i="5"/>
  <c r="E11165" i="5"/>
  <c r="E11157" i="5"/>
  <c r="E11149" i="5"/>
  <c r="E11141" i="5"/>
  <c r="E11133" i="5"/>
  <c r="E11125" i="5"/>
  <c r="E11117" i="5"/>
  <c r="E11109" i="5"/>
  <c r="E11101" i="5"/>
  <c r="E11093" i="5"/>
  <c r="E11085" i="5"/>
  <c r="E11077" i="5"/>
  <c r="E11069" i="5"/>
  <c r="E11061" i="5"/>
  <c r="E11053" i="5"/>
  <c r="E11045" i="5"/>
  <c r="E11037" i="5"/>
  <c r="E11029" i="5"/>
  <c r="E11021" i="5"/>
  <c r="E11013" i="5"/>
  <c r="E11005" i="5"/>
  <c r="E10997" i="5"/>
  <c r="E10989" i="5"/>
  <c r="E10981" i="5"/>
  <c r="E10973" i="5"/>
  <c r="E10965" i="5"/>
  <c r="E10957" i="5"/>
  <c r="E10949" i="5"/>
  <c r="E10941" i="5"/>
  <c r="E10933" i="5"/>
  <c r="E10925" i="5"/>
  <c r="E10917" i="5"/>
  <c r="E10909" i="5"/>
  <c r="E10901" i="5"/>
  <c r="E10893" i="5"/>
  <c r="E10885" i="5"/>
  <c r="E10877" i="5"/>
  <c r="E10869" i="5"/>
  <c r="E10861" i="5"/>
  <c r="E10853" i="5"/>
  <c r="E10845" i="5"/>
  <c r="E10837" i="5"/>
  <c r="E10829" i="5"/>
  <c r="E10821" i="5"/>
  <c r="E10813" i="5"/>
  <c r="E10805" i="5"/>
  <c r="E10797" i="5"/>
  <c r="E10789" i="5"/>
  <c r="E10781" i="5"/>
  <c r="E10773" i="5"/>
  <c r="E10765" i="5"/>
  <c r="E10757" i="5"/>
  <c r="E10749" i="5"/>
  <c r="E10741" i="5"/>
  <c r="E10733" i="5"/>
  <c r="E10725" i="5"/>
  <c r="E10717" i="5"/>
  <c r="E10709" i="5"/>
  <c r="E10701" i="5"/>
  <c r="E10693" i="5"/>
  <c r="E10685" i="5"/>
  <c r="E10677" i="5"/>
  <c r="E10669" i="5"/>
  <c r="E10661" i="5"/>
  <c r="E10653" i="5"/>
  <c r="E10645" i="5"/>
  <c r="E10637" i="5"/>
  <c r="E10629" i="5"/>
  <c r="E10621" i="5"/>
  <c r="E10613" i="5"/>
  <c r="E10605" i="5"/>
  <c r="E10597" i="5"/>
  <c r="E10589" i="5"/>
  <c r="E10581" i="5"/>
  <c r="E10573" i="5"/>
  <c r="E10565" i="5"/>
  <c r="E10557" i="5"/>
  <c r="E10549" i="5"/>
  <c r="E10541" i="5"/>
  <c r="E10533" i="5"/>
  <c r="E10525" i="5"/>
  <c r="E10517" i="5"/>
  <c r="E10509" i="5"/>
  <c r="E10501" i="5"/>
  <c r="E10493" i="5"/>
  <c r="E10485" i="5"/>
  <c r="E10477" i="5"/>
  <c r="E10469" i="5"/>
  <c r="E10461" i="5"/>
  <c r="E10453" i="5"/>
  <c r="E10445" i="5"/>
  <c r="E10437" i="5"/>
  <c r="E10429" i="5"/>
  <c r="E10421" i="5"/>
  <c r="E10413" i="5"/>
  <c r="E10405" i="5"/>
  <c r="E10397" i="5"/>
  <c r="E10389" i="5"/>
  <c r="E10381" i="5"/>
  <c r="E10373" i="5"/>
  <c r="E10365" i="5"/>
  <c r="E10357" i="5"/>
  <c r="E10349" i="5"/>
  <c r="E10341" i="5"/>
  <c r="E10333" i="5"/>
  <c r="E10325" i="5"/>
  <c r="E10317" i="5"/>
  <c r="E10309" i="5"/>
  <c r="E10301" i="5"/>
  <c r="E10293" i="5"/>
  <c r="E10285" i="5"/>
  <c r="E10277" i="5"/>
  <c r="E10269" i="5"/>
  <c r="E10261" i="5"/>
  <c r="E10253" i="5"/>
  <c r="E10245" i="5"/>
  <c r="E10237" i="5"/>
  <c r="E10229" i="5"/>
  <c r="E10221" i="5"/>
  <c r="E10213" i="5"/>
  <c r="E10205" i="5"/>
  <c r="E10197" i="5"/>
  <c r="E10189" i="5"/>
  <c r="E10181" i="5"/>
  <c r="E10173" i="5"/>
  <c r="E10165" i="5"/>
  <c r="E10157" i="5"/>
  <c r="E10149" i="5"/>
  <c r="E10141" i="5"/>
  <c r="E10133" i="5"/>
  <c r="E10125" i="5"/>
  <c r="E10117" i="5"/>
  <c r="E10109" i="5"/>
  <c r="E10101" i="5"/>
  <c r="E10093" i="5"/>
  <c r="E10085" i="5"/>
  <c r="E10077" i="5"/>
  <c r="E10069" i="5"/>
  <c r="E10061" i="5"/>
  <c r="E10053" i="5"/>
  <c r="E10045" i="5"/>
  <c r="E10037" i="5"/>
  <c r="E10029" i="5"/>
  <c r="E10021" i="5"/>
  <c r="E10013" i="5"/>
  <c r="E10005" i="5"/>
  <c r="E9997" i="5"/>
  <c r="E9989" i="5"/>
  <c r="E9981" i="5"/>
  <c r="E9973" i="5"/>
  <c r="E9965" i="5"/>
  <c r="E9957" i="5"/>
  <c r="E9949" i="5"/>
  <c r="E9941" i="5"/>
  <c r="E9933" i="5"/>
  <c r="E9925" i="5"/>
  <c r="E9917" i="5"/>
  <c r="E9909" i="5"/>
  <c r="E9901" i="5"/>
  <c r="E9893" i="5"/>
  <c r="E9885" i="5"/>
  <c r="E9877" i="5"/>
  <c r="E9869" i="5"/>
  <c r="E9861" i="5"/>
  <c r="E9853" i="5"/>
  <c r="E9845" i="5"/>
  <c r="E9837" i="5"/>
  <c r="E9829" i="5"/>
  <c r="E9821" i="5"/>
  <c r="E9813" i="5"/>
  <c r="E9805" i="5"/>
  <c r="E9797" i="5"/>
  <c r="E9789" i="5"/>
  <c r="E9781" i="5"/>
  <c r="E9773" i="5"/>
  <c r="E9765" i="5"/>
  <c r="E9757" i="5"/>
  <c r="E9749" i="5"/>
  <c r="E9741" i="5"/>
  <c r="E9733" i="5"/>
  <c r="E9725" i="5"/>
  <c r="E9717" i="5"/>
  <c r="E9709" i="5"/>
  <c r="E9701" i="5"/>
  <c r="E9693" i="5"/>
  <c r="E9685" i="5"/>
  <c r="E9677" i="5"/>
  <c r="E9669" i="5"/>
  <c r="E9661" i="5"/>
  <c r="E9653" i="5"/>
  <c r="E9645" i="5"/>
  <c r="E9637" i="5"/>
  <c r="E9629" i="5"/>
  <c r="E9621" i="5"/>
  <c r="E9613" i="5"/>
  <c r="E9605" i="5"/>
  <c r="E9597" i="5"/>
  <c r="E9589" i="5"/>
  <c r="E9581" i="5"/>
  <c r="E9573" i="5"/>
  <c r="E9565" i="5"/>
  <c r="E9557" i="5"/>
  <c r="E9549" i="5"/>
  <c r="E9541" i="5"/>
  <c r="E9533" i="5"/>
  <c r="E9525" i="5"/>
  <c r="E9517" i="5"/>
  <c r="E9509" i="5"/>
  <c r="E9501" i="5"/>
  <c r="E9493" i="5"/>
  <c r="E9485" i="5"/>
  <c r="E9477" i="5"/>
  <c r="E9469" i="5"/>
  <c r="E9461" i="5"/>
  <c r="E9453" i="5"/>
  <c r="E9445" i="5"/>
  <c r="E9437" i="5"/>
  <c r="E9429" i="5"/>
  <c r="E9421" i="5"/>
  <c r="E9413" i="5"/>
  <c r="E9405" i="5"/>
  <c r="E9397" i="5"/>
  <c r="E9389" i="5"/>
  <c r="E9381" i="5"/>
  <c r="E9373" i="5"/>
  <c r="E9365" i="5"/>
  <c r="E9357" i="5"/>
  <c r="E9349" i="5"/>
  <c r="E9341" i="5"/>
  <c r="E9333" i="5"/>
  <c r="E9325" i="5"/>
  <c r="E9317" i="5"/>
  <c r="E9309" i="5"/>
  <c r="E9301" i="5"/>
  <c r="E9293" i="5"/>
  <c r="E9285" i="5"/>
  <c r="E9277" i="5"/>
  <c r="E9269" i="5"/>
  <c r="E9261" i="5"/>
  <c r="E9253" i="5"/>
  <c r="E9245" i="5"/>
  <c r="E9237" i="5"/>
  <c r="E9229" i="5"/>
  <c r="E9221" i="5"/>
  <c r="E9213" i="5"/>
  <c r="E9205" i="5"/>
  <c r="E9197" i="5"/>
  <c r="E9189" i="5"/>
  <c r="E9181" i="5"/>
  <c r="E9173" i="5"/>
  <c r="E9165" i="5"/>
  <c r="E9157" i="5"/>
  <c r="E9149" i="5"/>
  <c r="E9141" i="5"/>
  <c r="E9133" i="5"/>
  <c r="E9125" i="5"/>
  <c r="E9117" i="5"/>
  <c r="E9109" i="5"/>
  <c r="E9101" i="5"/>
  <c r="E9093" i="5"/>
  <c r="E9085" i="5"/>
  <c r="E9077" i="5"/>
  <c r="E9069" i="5"/>
  <c r="E9061" i="5"/>
  <c r="E9053" i="5"/>
  <c r="E9045" i="5"/>
  <c r="E9037" i="5"/>
  <c r="E9029" i="5"/>
  <c r="E9021" i="5"/>
  <c r="E9013" i="5"/>
  <c r="E9005" i="5"/>
  <c r="E8997" i="5"/>
  <c r="E8989" i="5"/>
  <c r="E8981" i="5"/>
  <c r="E8973" i="5"/>
  <c r="E8965" i="5"/>
  <c r="E8957" i="5"/>
  <c r="E8949" i="5"/>
  <c r="E8941" i="5"/>
  <c r="E8933" i="5"/>
  <c r="E8925" i="5"/>
  <c r="E8917" i="5"/>
  <c r="E8909" i="5"/>
  <c r="E8901" i="5"/>
  <c r="E8893" i="5"/>
  <c r="E8885" i="5"/>
  <c r="E8877" i="5"/>
  <c r="E8869" i="5"/>
  <c r="E8861" i="5"/>
  <c r="E8853" i="5"/>
  <c r="E8845" i="5"/>
  <c r="E8837" i="5"/>
  <c r="E8829" i="5"/>
  <c r="E8821" i="5"/>
  <c r="E8813" i="5"/>
  <c r="E8805" i="5"/>
  <c r="E8797" i="5"/>
  <c r="E8789" i="5"/>
  <c r="E8781" i="5"/>
  <c r="E8773" i="5"/>
  <c r="E8765" i="5"/>
  <c r="E8757" i="5"/>
  <c r="E8749" i="5"/>
  <c r="E8741" i="5"/>
  <c r="E8733" i="5"/>
  <c r="E8725" i="5"/>
  <c r="E8717" i="5"/>
  <c r="E8709" i="5"/>
  <c r="E8701" i="5"/>
  <c r="E8693" i="5"/>
  <c r="E8685" i="5"/>
  <c r="E8677" i="5"/>
  <c r="E8669" i="5"/>
  <c r="E8661" i="5"/>
  <c r="E8653" i="5"/>
  <c r="E8645" i="5"/>
  <c r="E8637" i="5"/>
  <c r="E8629" i="5"/>
  <c r="E8621" i="5"/>
  <c r="E8613" i="5"/>
  <c r="E8605" i="5"/>
  <c r="E8597" i="5"/>
  <c r="E8589" i="5"/>
  <c r="E8581" i="5"/>
  <c r="E8573" i="5"/>
  <c r="E8565" i="5"/>
  <c r="E8557" i="5"/>
  <c r="E8549" i="5"/>
  <c r="E8541" i="5"/>
  <c r="E8533" i="5"/>
  <c r="E8525" i="5"/>
  <c r="E8517" i="5"/>
  <c r="E8509" i="5"/>
  <c r="E8501" i="5"/>
  <c r="E8493" i="5"/>
  <c r="E8485" i="5"/>
  <c r="E8477" i="5"/>
  <c r="E8469" i="5"/>
  <c r="E8461" i="5"/>
  <c r="E8453" i="5"/>
  <c r="E8445" i="5"/>
  <c r="E8437" i="5"/>
  <c r="E8429" i="5"/>
  <c r="E8421" i="5"/>
  <c r="E8413" i="5"/>
  <c r="E8405" i="5"/>
  <c r="E8397" i="5"/>
  <c r="E8389" i="5"/>
  <c r="E8381" i="5"/>
  <c r="E8373" i="5"/>
  <c r="E8365" i="5"/>
  <c r="E8357" i="5"/>
  <c r="E8349" i="5"/>
  <c r="E8341" i="5"/>
  <c r="E8333" i="5"/>
  <c r="E8325" i="5"/>
  <c r="E8317" i="5"/>
  <c r="E8309" i="5"/>
  <c r="E8301" i="5"/>
  <c r="E8293" i="5"/>
  <c r="E8285" i="5"/>
  <c r="E8277" i="5"/>
  <c r="E8269" i="5"/>
  <c r="E8261" i="5"/>
  <c r="E8253" i="5"/>
  <c r="E8245" i="5"/>
  <c r="E8237" i="5"/>
  <c r="E8229" i="5"/>
  <c r="E8221" i="5"/>
  <c r="E8213" i="5"/>
  <c r="E8205" i="5"/>
  <c r="E8197" i="5"/>
  <c r="E8189" i="5"/>
  <c r="E8181" i="5"/>
  <c r="E8173" i="5"/>
  <c r="E8165" i="5"/>
  <c r="E8157" i="5"/>
  <c r="E8149" i="5"/>
  <c r="E8141" i="5"/>
  <c r="E8133" i="5"/>
  <c r="E8125" i="5"/>
  <c r="E8117" i="5"/>
  <c r="E8109" i="5"/>
  <c r="E8101" i="5"/>
  <c r="E8093" i="5"/>
  <c r="E8085" i="5"/>
  <c r="E8077" i="5"/>
  <c r="E8069" i="5"/>
  <c r="E8061" i="5"/>
  <c r="E8053" i="5"/>
  <c r="E8045" i="5"/>
  <c r="E8037" i="5"/>
  <c r="E8029" i="5"/>
  <c r="E8021" i="5"/>
  <c r="E8013" i="5"/>
  <c r="E8005" i="5"/>
  <c r="E7997" i="5"/>
  <c r="E7989" i="5"/>
  <c r="E7981" i="5"/>
  <c r="E7973" i="5"/>
  <c r="E7965" i="5"/>
  <c r="E7957" i="5"/>
  <c r="E7949" i="5"/>
  <c r="E7941" i="5"/>
  <c r="E7933" i="5"/>
  <c r="E7925" i="5"/>
  <c r="E7917" i="5"/>
  <c r="E7909" i="5"/>
  <c r="E7901" i="5"/>
  <c r="E7893" i="5"/>
  <c r="E7885" i="5"/>
  <c r="E7877" i="5"/>
  <c r="E7869" i="5"/>
  <c r="E7861" i="5"/>
  <c r="E7853" i="5"/>
  <c r="E7845" i="5"/>
  <c r="E7837" i="5"/>
  <c r="E7829" i="5"/>
  <c r="E7821" i="5"/>
  <c r="E7813" i="5"/>
  <c r="E7805" i="5"/>
  <c r="E7797" i="5"/>
  <c r="E7789" i="5"/>
  <c r="E7781" i="5"/>
  <c r="E7773" i="5"/>
  <c r="E7765" i="5"/>
  <c r="E7757" i="5"/>
  <c r="E7749" i="5"/>
  <c r="E7741" i="5"/>
  <c r="E7733" i="5"/>
  <c r="E7725" i="5"/>
  <c r="E7717" i="5"/>
  <c r="E7709" i="5"/>
  <c r="E7701" i="5"/>
  <c r="E7693" i="5"/>
  <c r="E7685" i="5"/>
  <c r="E7677" i="5"/>
  <c r="E7669" i="5"/>
  <c r="E7661" i="5"/>
  <c r="E7653" i="5"/>
  <c r="E7645" i="5"/>
  <c r="E7637" i="5"/>
  <c r="E7629" i="5"/>
  <c r="E7621" i="5"/>
  <c r="E7613" i="5"/>
  <c r="E7605" i="5"/>
  <c r="E7597" i="5"/>
  <c r="E7589" i="5"/>
  <c r="E7581" i="5"/>
  <c r="E7573" i="5"/>
  <c r="E7565" i="5"/>
  <c r="E7557" i="5"/>
  <c r="E7549" i="5"/>
  <c r="E7541" i="5"/>
  <c r="E7533" i="5"/>
  <c r="E7525" i="5"/>
  <c r="E7517" i="5"/>
  <c r="E7509" i="5"/>
  <c r="E7501" i="5"/>
  <c r="E7493" i="5"/>
  <c r="E7485" i="5"/>
  <c r="E7477" i="5"/>
  <c r="E7469" i="5"/>
  <c r="E7461" i="5"/>
  <c r="E7453" i="5"/>
  <c r="E7445" i="5"/>
  <c r="E7437" i="5"/>
  <c r="E7429" i="5"/>
  <c r="E7421" i="5"/>
  <c r="E7413" i="5"/>
  <c r="E7405" i="5"/>
  <c r="E7397" i="5"/>
  <c r="E7389" i="5"/>
  <c r="E7381" i="5"/>
  <c r="E7373" i="5"/>
  <c r="E7365" i="5"/>
  <c r="E7357" i="5"/>
  <c r="E7349" i="5"/>
  <c r="E7341" i="5"/>
  <c r="E7333" i="5"/>
  <c r="E7325" i="5"/>
  <c r="E7317" i="5"/>
  <c r="E7309" i="5"/>
  <c r="E7301" i="5"/>
  <c r="E7293" i="5"/>
  <c r="E7285" i="5"/>
  <c r="E7277" i="5"/>
  <c r="E7269" i="5"/>
  <c r="E7261" i="5"/>
  <c r="E7253" i="5"/>
  <c r="E7245" i="5"/>
  <c r="E7237" i="5"/>
  <c r="E7229" i="5"/>
  <c r="E7221" i="5"/>
  <c r="E7213" i="5"/>
  <c r="E7205" i="5"/>
  <c r="E7197" i="5"/>
  <c r="E7189" i="5"/>
  <c r="E7181" i="5"/>
  <c r="E7173" i="5"/>
  <c r="E7165" i="5"/>
  <c r="E7157" i="5"/>
  <c r="E7149" i="5"/>
  <c r="E7141" i="5"/>
  <c r="E7133" i="5"/>
  <c r="E7125" i="5"/>
  <c r="E7117" i="5"/>
  <c r="E7109" i="5"/>
  <c r="E7101" i="5"/>
  <c r="E7093" i="5"/>
  <c r="E7085" i="5"/>
  <c r="E7077" i="5"/>
  <c r="E7069" i="5"/>
  <c r="E7061" i="5"/>
  <c r="E7053" i="5"/>
  <c r="E7045" i="5"/>
  <c r="E7037" i="5"/>
  <c r="E7029" i="5"/>
  <c r="E7021" i="5"/>
  <c r="E7013" i="5"/>
  <c r="E7005" i="5"/>
  <c r="E6997" i="5"/>
  <c r="E6989" i="5"/>
  <c r="E6981" i="5"/>
  <c r="E6973" i="5"/>
  <c r="E6965" i="5"/>
  <c r="E6957" i="5"/>
  <c r="E6949" i="5"/>
  <c r="E6941" i="5"/>
  <c r="E6933" i="5"/>
  <c r="E6925" i="5"/>
  <c r="E6917" i="5"/>
  <c r="E6909" i="5"/>
  <c r="E6901" i="5"/>
  <c r="E6893" i="5"/>
  <c r="E6885" i="5"/>
  <c r="E6877" i="5"/>
  <c r="E6869" i="5"/>
  <c r="E6861" i="5"/>
  <c r="E6853" i="5"/>
  <c r="E6845" i="5"/>
  <c r="E6837" i="5"/>
  <c r="E6829" i="5"/>
  <c r="E6821" i="5"/>
  <c r="E6813" i="5"/>
  <c r="E6805" i="5"/>
  <c r="E6797" i="5"/>
  <c r="E6789" i="5"/>
  <c r="E6781" i="5"/>
  <c r="E6773" i="5"/>
  <c r="E6765" i="5"/>
  <c r="E6757" i="5"/>
  <c r="E6749" i="5"/>
  <c r="E6741" i="5"/>
  <c r="E6733" i="5"/>
  <c r="E6725" i="5"/>
  <c r="E6717" i="5"/>
  <c r="E6709" i="5"/>
  <c r="E6701" i="5"/>
  <c r="E6693" i="5"/>
  <c r="E6685" i="5"/>
  <c r="E6677" i="5"/>
  <c r="E6669" i="5"/>
  <c r="E6661" i="5"/>
  <c r="E6653" i="5"/>
  <c r="E6645" i="5"/>
  <c r="E6637" i="5"/>
  <c r="E6629" i="5"/>
  <c r="E6621" i="5"/>
  <c r="E6613" i="5"/>
  <c r="E6605" i="5"/>
  <c r="E6597" i="5"/>
  <c r="E6589" i="5"/>
  <c r="E6581" i="5"/>
  <c r="E6573" i="5"/>
  <c r="E6565" i="5"/>
  <c r="E6557" i="5"/>
  <c r="E6549" i="5"/>
  <c r="E6541" i="5"/>
  <c r="E6533" i="5"/>
  <c r="E6525" i="5"/>
  <c r="E6517" i="5"/>
  <c r="E6509" i="5"/>
  <c r="E6501" i="5"/>
  <c r="E6493" i="5"/>
  <c r="E6485" i="5"/>
  <c r="E6477" i="5"/>
  <c r="E6469" i="5"/>
  <c r="E6461" i="5"/>
  <c r="E6453" i="5"/>
  <c r="E6445" i="5"/>
  <c r="E6437" i="5"/>
  <c r="E6429" i="5"/>
  <c r="E6421" i="5"/>
  <c r="E6413" i="5"/>
  <c r="E6405" i="5"/>
  <c r="E6397" i="5"/>
  <c r="E6389" i="5"/>
  <c r="E6381" i="5"/>
  <c r="E6373" i="5"/>
  <c r="E6365" i="5"/>
  <c r="E6357" i="5"/>
  <c r="E6349" i="5"/>
  <c r="E6341" i="5"/>
  <c r="E6333" i="5"/>
  <c r="E6325" i="5"/>
  <c r="E6317" i="5"/>
  <c r="E6309" i="5"/>
  <c r="E6301" i="5"/>
  <c r="E6293" i="5"/>
  <c r="E6285" i="5"/>
  <c r="E6277" i="5"/>
  <c r="E6269" i="5"/>
  <c r="E6261" i="5"/>
  <c r="E6253" i="5"/>
  <c r="E6245" i="5"/>
  <c r="E6237" i="5"/>
  <c r="E6229" i="5"/>
  <c r="E6221" i="5"/>
  <c r="E6213" i="5"/>
  <c r="E6205" i="5"/>
  <c r="E6197" i="5"/>
  <c r="E6189" i="5"/>
  <c r="E6181" i="5"/>
  <c r="E6173" i="5"/>
  <c r="E6165" i="5"/>
  <c r="E6157" i="5"/>
  <c r="E6149" i="5"/>
  <c r="E6141" i="5"/>
  <c r="E6133" i="5"/>
  <c r="E6125" i="5"/>
  <c r="E6117" i="5"/>
  <c r="E6109" i="5"/>
  <c r="E6101" i="5"/>
  <c r="E6093" i="5"/>
  <c r="E6085" i="5"/>
  <c r="E6077" i="5"/>
  <c r="E6069" i="5"/>
  <c r="E6061" i="5"/>
  <c r="E6053" i="5"/>
  <c r="E6045" i="5"/>
  <c r="E6037" i="5"/>
  <c r="E6029" i="5"/>
  <c r="E6021" i="5"/>
  <c r="E6013" i="5"/>
  <c r="E6005" i="5"/>
  <c r="E5997" i="5"/>
  <c r="E5989" i="5"/>
  <c r="E5981" i="5"/>
  <c r="E5973" i="5"/>
  <c r="E5965" i="5"/>
  <c r="E5957" i="5"/>
  <c r="E5949" i="5"/>
  <c r="E5941" i="5"/>
  <c r="E5933" i="5"/>
  <c r="E5925" i="5"/>
  <c r="E5917" i="5"/>
  <c r="E5909" i="5"/>
  <c r="E5901" i="5"/>
  <c r="E5893" i="5"/>
  <c r="E5885" i="5"/>
  <c r="E5877" i="5"/>
  <c r="E5869" i="5"/>
  <c r="E5861" i="5"/>
  <c r="E5853" i="5"/>
  <c r="E5845" i="5"/>
  <c r="E5837" i="5"/>
  <c r="E5829" i="5"/>
  <c r="E5821" i="5"/>
  <c r="E5813" i="5"/>
  <c r="E5805" i="5"/>
  <c r="E5797" i="5"/>
  <c r="E5789" i="5"/>
  <c r="E5781" i="5"/>
  <c r="E5773" i="5"/>
  <c r="E5765" i="5"/>
  <c r="E5757" i="5"/>
  <c r="E5749" i="5"/>
  <c r="E5741" i="5"/>
  <c r="E5733" i="5"/>
  <c r="E5725" i="5"/>
  <c r="E5717" i="5"/>
  <c r="E5709" i="5"/>
  <c r="E5701" i="5"/>
  <c r="E5693" i="5"/>
  <c r="E5685" i="5"/>
  <c r="E5677" i="5"/>
  <c r="E41539" i="5"/>
  <c r="E41411" i="5"/>
  <c r="E41283" i="5"/>
  <c r="E41155" i="5"/>
  <c r="E41027" i="5"/>
  <c r="E40899" i="5"/>
  <c r="E40792" i="5"/>
  <c r="E40689" i="5"/>
  <c r="E40587" i="5"/>
  <c r="E40484" i="5"/>
  <c r="E40382" i="5"/>
  <c r="E40280" i="5"/>
  <c r="E40177" i="5"/>
  <c r="E40075" i="5"/>
  <c r="E39972" i="5"/>
  <c r="E39870" i="5"/>
  <c r="E39768" i="5"/>
  <c r="E39665" i="5"/>
  <c r="E39563" i="5"/>
  <c r="E39460" i="5"/>
  <c r="E39358" i="5"/>
  <c r="E39257" i="5"/>
  <c r="E39171" i="5"/>
  <c r="E39103" i="5"/>
  <c r="E39039" i="5"/>
  <c r="E38975" i="5"/>
  <c r="E38911" i="5"/>
  <c r="E38847" i="5"/>
  <c r="E38783" i="5"/>
  <c r="E38719" i="5"/>
  <c r="E38655" i="5"/>
  <c r="E38591" i="5"/>
  <c r="E38527" i="5"/>
  <c r="E38463" i="5"/>
  <c r="E38399" i="5"/>
  <c r="E38335" i="5"/>
  <c r="E38271" i="5"/>
  <c r="E38207" i="5"/>
  <c r="E38143" i="5"/>
  <c r="E38079" i="5"/>
  <c r="E38015" i="5"/>
  <c r="E37951" i="5"/>
  <c r="E37887" i="5"/>
  <c r="E37823" i="5"/>
  <c r="E37759" i="5"/>
  <c r="E37695" i="5"/>
  <c r="E37631" i="5"/>
  <c r="E37567" i="5"/>
  <c r="E37503" i="5"/>
  <c r="E37439" i="5"/>
  <c r="E37375" i="5"/>
  <c r="E37311" i="5"/>
  <c r="E37247" i="5"/>
  <c r="E37183" i="5"/>
  <c r="E37119" i="5"/>
  <c r="E37055" i="5"/>
  <c r="E36991" i="5"/>
  <c r="E36927" i="5"/>
  <c r="E36863" i="5"/>
  <c r="E36799" i="5"/>
  <c r="E36735" i="5"/>
  <c r="E36671" i="5"/>
  <c r="E36607" i="5"/>
  <c r="E36543" i="5"/>
  <c r="E36479" i="5"/>
  <c r="E36415" i="5"/>
  <c r="E36351" i="5"/>
  <c r="E36287" i="5"/>
  <c r="E36223" i="5"/>
  <c r="E36159" i="5"/>
  <c r="E36095" i="5"/>
  <c r="E36031" i="5"/>
  <c r="E35967" i="5"/>
  <c r="E35903" i="5"/>
  <c r="E35839" i="5"/>
  <c r="E35775" i="5"/>
  <c r="E35711" i="5"/>
  <c r="E35647" i="5"/>
  <c r="E35583" i="5"/>
  <c r="E35519" i="5"/>
  <c r="E35455" i="5"/>
  <c r="E35391" i="5"/>
  <c r="E35327" i="5"/>
  <c r="E35263" i="5"/>
  <c r="E35199" i="5"/>
  <c r="E35135" i="5"/>
  <c r="E35071" i="5"/>
  <c r="E35007" i="5"/>
  <c r="E34943" i="5"/>
  <c r="E34879" i="5"/>
  <c r="E34815" i="5"/>
  <c r="E34751" i="5"/>
  <c r="E34687" i="5"/>
  <c r="E34623" i="5"/>
  <c r="E34559" i="5"/>
  <c r="E34495" i="5"/>
  <c r="E34431" i="5"/>
  <c r="E34367" i="5"/>
  <c r="E34303" i="5"/>
  <c r="E34239" i="5"/>
  <c r="E34175" i="5"/>
  <c r="E34111" i="5"/>
  <c r="E34047" i="5"/>
  <c r="E33983" i="5"/>
  <c r="E33919" i="5"/>
  <c r="E33855" i="5"/>
  <c r="E33791" i="5"/>
  <c r="E33727" i="5"/>
  <c r="E33663" i="5"/>
  <c r="E33599" i="5"/>
  <c r="E33535" i="5"/>
  <c r="E33471" i="5"/>
  <c r="E33407" i="5"/>
  <c r="E33343" i="5"/>
  <c r="E33279" i="5"/>
  <c r="E33215" i="5"/>
  <c r="E33151" i="5"/>
  <c r="E33087" i="5"/>
  <c r="E33023" i="5"/>
  <c r="E32959" i="5"/>
  <c r="E32895" i="5"/>
  <c r="E32831" i="5"/>
  <c r="E32767" i="5"/>
  <c r="E32703" i="5"/>
  <c r="E32639" i="5"/>
  <c r="E32575" i="5"/>
  <c r="E32511" i="5"/>
  <c r="E32447" i="5"/>
  <c r="E32383" i="5"/>
  <c r="E32319" i="5"/>
  <c r="E32255" i="5"/>
  <c r="E32191" i="5"/>
  <c r="E32127" i="5"/>
  <c r="E32063" i="5"/>
  <c r="E31999" i="5"/>
  <c r="E31935" i="5"/>
  <c r="E31871" i="5"/>
  <c r="E31807" i="5"/>
  <c r="E31743" i="5"/>
  <c r="E31679" i="5"/>
  <c r="E31615" i="5"/>
  <c r="E31551" i="5"/>
  <c r="E31487" i="5"/>
  <c r="E31423" i="5"/>
  <c r="E31359" i="5"/>
  <c r="E31295" i="5"/>
  <c r="E31231" i="5"/>
  <c r="E31167" i="5"/>
  <c r="E31103" i="5"/>
  <c r="E31039" i="5"/>
  <c r="E30975" i="5"/>
  <c r="E30911" i="5"/>
  <c r="E30847" i="5"/>
  <c r="E30783" i="5"/>
  <c r="E30719" i="5"/>
  <c r="E30655" i="5"/>
  <c r="E30591" i="5"/>
  <c r="E30527" i="5"/>
  <c r="E30463" i="5"/>
  <c r="E30399" i="5"/>
  <c r="E30335" i="5"/>
  <c r="E30271" i="5"/>
  <c r="E30207" i="5"/>
  <c r="E30143" i="5"/>
  <c r="E30079" i="5"/>
  <c r="E30015" i="5"/>
  <c r="E29951" i="5"/>
  <c r="E29887" i="5"/>
  <c r="E29823" i="5"/>
  <c r="E29759" i="5"/>
  <c r="E29695" i="5"/>
  <c r="E29631" i="5"/>
  <c r="E29567" i="5"/>
  <c r="E29503" i="5"/>
  <c r="E29439" i="5"/>
  <c r="E29375" i="5"/>
  <c r="E29311" i="5"/>
  <c r="E29247" i="5"/>
  <c r="E29183" i="5"/>
  <c r="E29119" i="5"/>
  <c r="E29055" i="5"/>
  <c r="E28991" i="5"/>
  <c r="E28927" i="5"/>
  <c r="E28863" i="5"/>
  <c r="E28799" i="5"/>
  <c r="E28735" i="5"/>
  <c r="E28671" i="5"/>
  <c r="E28607" i="5"/>
  <c r="E28543" i="5"/>
  <c r="E28479" i="5"/>
  <c r="E28415" i="5"/>
  <c r="E28351" i="5"/>
  <c r="E28287" i="5"/>
  <c r="E28223" i="5"/>
  <c r="E28159" i="5"/>
  <c r="E28095" i="5"/>
  <c r="E28031" i="5"/>
  <c r="E27967" i="5"/>
  <c r="E27903" i="5"/>
  <c r="E27839" i="5"/>
  <c r="E27775" i="5"/>
  <c r="E27711" i="5"/>
  <c r="E27647" i="5"/>
  <c r="E27583" i="5"/>
  <c r="E27519" i="5"/>
  <c r="E27455" i="5"/>
  <c r="E27391" i="5"/>
  <c r="E27327" i="5"/>
  <c r="E27263" i="5"/>
  <c r="E27199" i="5"/>
  <c r="E27135" i="5"/>
  <c r="E27071" i="5"/>
  <c r="E27007" i="5"/>
  <c r="E26943" i="5"/>
  <c r="E26879" i="5"/>
  <c r="E26815" i="5"/>
  <c r="E26751" i="5"/>
  <c r="E26687" i="5"/>
  <c r="E26623" i="5"/>
  <c r="E26559" i="5"/>
  <c r="E26495" i="5"/>
  <c r="E26431" i="5"/>
  <c r="E26367" i="5"/>
  <c r="E26303" i="5"/>
  <c r="E26239" i="5"/>
  <c r="E26175" i="5"/>
  <c r="E26111" i="5"/>
  <c r="E26047" i="5"/>
  <c r="E25983" i="5"/>
  <c r="E25919" i="5"/>
  <c r="E25855" i="5"/>
  <c r="E25791" i="5"/>
  <c r="E25727" i="5"/>
  <c r="E25663" i="5"/>
  <c r="E25607" i="5"/>
  <c r="E25575" i="5"/>
  <c r="E25543" i="5"/>
  <c r="E25511" i="5"/>
  <c r="E25479" i="5"/>
  <c r="E25447" i="5"/>
  <c r="E25415" i="5"/>
  <c r="E25383" i="5"/>
  <c r="E25351" i="5"/>
  <c r="E25319" i="5"/>
  <c r="E25287" i="5"/>
  <c r="E25255" i="5"/>
  <c r="E25223" i="5"/>
  <c r="E25191" i="5"/>
  <c r="E25159" i="5"/>
  <c r="E25127" i="5"/>
  <c r="E25101" i="5"/>
  <c r="E25079" i="5"/>
  <c r="E25058" i="5"/>
  <c r="E25037" i="5"/>
  <c r="E25015" i="5"/>
  <c r="E24994" i="5"/>
  <c r="E24973" i="5"/>
  <c r="E24951" i="5"/>
  <c r="E24930" i="5"/>
  <c r="E24909" i="5"/>
  <c r="E24891" i="5"/>
  <c r="E24875" i="5"/>
  <c r="E24859" i="5"/>
  <c r="E24843" i="5"/>
  <c r="E24827" i="5"/>
  <c r="E24811" i="5"/>
  <c r="E24795" i="5"/>
  <c r="E24779" i="5"/>
  <c r="E24763" i="5"/>
  <c r="E24747" i="5"/>
  <c r="E24731" i="5"/>
  <c r="E24715" i="5"/>
  <c r="E24699" i="5"/>
  <c r="E24683" i="5"/>
  <c r="E24667" i="5"/>
  <c r="E24651" i="5"/>
  <c r="E24635" i="5"/>
  <c r="E24619" i="5"/>
  <c r="E24603" i="5"/>
  <c r="E24587" i="5"/>
  <c r="E24571" i="5"/>
  <c r="E24555" i="5"/>
  <c r="E24539" i="5"/>
  <c r="E24523" i="5"/>
  <c r="E24507" i="5"/>
  <c r="E24491" i="5"/>
  <c r="E24475" i="5"/>
  <c r="E24459" i="5"/>
  <c r="E24443" i="5"/>
  <c r="E24428" i="5"/>
  <c r="E24415" i="5"/>
  <c r="E24403" i="5"/>
  <c r="E24389" i="5"/>
  <c r="E24378" i="5"/>
  <c r="E24364" i="5"/>
  <c r="E24351" i="5"/>
  <c r="E24339" i="5"/>
  <c r="E24325" i="5"/>
  <c r="E24314" i="5"/>
  <c r="E24300" i="5"/>
  <c r="E24287" i="5"/>
  <c r="E24275" i="5"/>
  <c r="E24261" i="5"/>
  <c r="E24250" i="5"/>
  <c r="E24236" i="5"/>
  <c r="E24223" i="5"/>
  <c r="E24211" i="5"/>
  <c r="E24197" i="5"/>
  <c r="E24186" i="5"/>
  <c r="E24172" i="5"/>
  <c r="E24159" i="5"/>
  <c r="E24147" i="5"/>
  <c r="E24133" i="5"/>
  <c r="E24122" i="5"/>
  <c r="E24108" i="5"/>
  <c r="E24095" i="5"/>
  <c r="E24083" i="5"/>
  <c r="E24069" i="5"/>
  <c r="E24058" i="5"/>
  <c r="E24044" i="5"/>
  <c r="E24031" i="5"/>
  <c r="E24019" i="5"/>
  <c r="E24005" i="5"/>
  <c r="E23994" i="5"/>
  <c r="E23980" i="5"/>
  <c r="E23967" i="5"/>
  <c r="E23956" i="5"/>
  <c r="E23946" i="5"/>
  <c r="E23935" i="5"/>
  <c r="E23924" i="5"/>
  <c r="E23914" i="5"/>
  <c r="E23903" i="5"/>
  <c r="E23892" i="5"/>
  <c r="E23882" i="5"/>
  <c r="E23871" i="5"/>
  <c r="E23860" i="5"/>
  <c r="E23850" i="5"/>
  <c r="E23839" i="5"/>
  <c r="E23828" i="5"/>
  <c r="E23818" i="5"/>
  <c r="E23807" i="5"/>
  <c r="E23796" i="5"/>
  <c r="E23786" i="5"/>
  <c r="E23775" i="5"/>
  <c r="E23764" i="5"/>
  <c r="E23754" i="5"/>
  <c r="E23743" i="5"/>
  <c r="E23734" i="5"/>
  <c r="E23725" i="5"/>
  <c r="E23716" i="5"/>
  <c r="E23707" i="5"/>
  <c r="E23698" i="5"/>
  <c r="E23689" i="5"/>
  <c r="E23679" i="5"/>
  <c r="E23670" i="5"/>
  <c r="E23661" i="5"/>
  <c r="E23652" i="5"/>
  <c r="E23644" i="5"/>
  <c r="E23636" i="5"/>
  <c r="E23628" i="5"/>
  <c r="E23620" i="5"/>
  <c r="E23612" i="5"/>
  <c r="E23604" i="5"/>
  <c r="E23596" i="5"/>
  <c r="E23588" i="5"/>
  <c r="E23580" i="5"/>
  <c r="E23572" i="5"/>
  <c r="E23564" i="5"/>
  <c r="E23556" i="5"/>
  <c r="E23548" i="5"/>
  <c r="E23540" i="5"/>
  <c r="E23532" i="5"/>
  <c r="E23524" i="5"/>
  <c r="E23516" i="5"/>
  <c r="E23508" i="5"/>
  <c r="E23500" i="5"/>
  <c r="E23492" i="5"/>
  <c r="E23484" i="5"/>
  <c r="E23476" i="5"/>
  <c r="E23468" i="5"/>
  <c r="E23460" i="5"/>
  <c r="E23452" i="5"/>
  <c r="E23444" i="5"/>
  <c r="E23436" i="5"/>
  <c r="E23428" i="5"/>
  <c r="E23420" i="5"/>
  <c r="E23412" i="5"/>
  <c r="E23404" i="5"/>
  <c r="E23396" i="5"/>
  <c r="E23388" i="5"/>
  <c r="E23380" i="5"/>
  <c r="E23372" i="5"/>
  <c r="E23364" i="5"/>
  <c r="E23356" i="5"/>
  <c r="E23348" i="5"/>
  <c r="E23340" i="5"/>
  <c r="E23332" i="5"/>
  <c r="E23324" i="5"/>
  <c r="E23316" i="5"/>
  <c r="E23308" i="5"/>
  <c r="E23300" i="5"/>
  <c r="E23292" i="5"/>
  <c r="E23284" i="5"/>
  <c r="E23276" i="5"/>
  <c r="E23268" i="5"/>
  <c r="E23260" i="5"/>
  <c r="E23252" i="5"/>
  <c r="E23244" i="5"/>
  <c r="E23236" i="5"/>
  <c r="E23228" i="5"/>
  <c r="E23220" i="5"/>
  <c r="E23212" i="5"/>
  <c r="E23204" i="5"/>
  <c r="E23196" i="5"/>
  <c r="E23188" i="5"/>
  <c r="E23180" i="5"/>
  <c r="E23172" i="5"/>
  <c r="E23164" i="5"/>
  <c r="E23156" i="5"/>
  <c r="E23148" i="5"/>
  <c r="E23140" i="5"/>
  <c r="E23132" i="5"/>
  <c r="E23124" i="5"/>
  <c r="E23116" i="5"/>
  <c r="E23108" i="5"/>
  <c r="E23100" i="5"/>
  <c r="E23092" i="5"/>
  <c r="E23084" i="5"/>
  <c r="E23076" i="5"/>
  <c r="E23068" i="5"/>
  <c r="E23060" i="5"/>
  <c r="E23052" i="5"/>
  <c r="E23044" i="5"/>
  <c r="E23036" i="5"/>
  <c r="E23028" i="5"/>
  <c r="E23020" i="5"/>
  <c r="E23012" i="5"/>
  <c r="E23004" i="5"/>
  <c r="E22996" i="5"/>
  <c r="E22988" i="5"/>
  <c r="E22980" i="5"/>
  <c r="E22972" i="5"/>
  <c r="E22964" i="5"/>
  <c r="E22956" i="5"/>
  <c r="E22948" i="5"/>
  <c r="E22940" i="5"/>
  <c r="E22932" i="5"/>
  <c r="E22924" i="5"/>
  <c r="E22916" i="5"/>
  <c r="E22908" i="5"/>
  <c r="E22900" i="5"/>
  <c r="E22892" i="5"/>
  <c r="E22884" i="5"/>
  <c r="E22876" i="5"/>
  <c r="E22868" i="5"/>
  <c r="E22860" i="5"/>
  <c r="E22852" i="5"/>
  <c r="E22844" i="5"/>
  <c r="E22836" i="5"/>
  <c r="E22828" i="5"/>
  <c r="E22820" i="5"/>
  <c r="E22812" i="5"/>
  <c r="E22804" i="5"/>
  <c r="E22796" i="5"/>
  <c r="E22788" i="5"/>
  <c r="E22780" i="5"/>
  <c r="E22772" i="5"/>
  <c r="E22764" i="5"/>
  <c r="E22756" i="5"/>
  <c r="E22748" i="5"/>
  <c r="E22740" i="5"/>
  <c r="E22732" i="5"/>
  <c r="E22724" i="5"/>
  <c r="E22716" i="5"/>
  <c r="E22708" i="5"/>
  <c r="E22700" i="5"/>
  <c r="E22692" i="5"/>
  <c r="E22684" i="5"/>
  <c r="E22676" i="5"/>
  <c r="E22668" i="5"/>
  <c r="E22660" i="5"/>
  <c r="E22652" i="5"/>
  <c r="E22644" i="5"/>
  <c r="E22636" i="5"/>
  <c r="E22628" i="5"/>
  <c r="E22620" i="5"/>
  <c r="E22612" i="5"/>
  <c r="E22604" i="5"/>
  <c r="E22596" i="5"/>
  <c r="E22588" i="5"/>
  <c r="E22580" i="5"/>
  <c r="E22572" i="5"/>
  <c r="E22564" i="5"/>
  <c r="E22556" i="5"/>
  <c r="E22548" i="5"/>
  <c r="E22540" i="5"/>
  <c r="E22532" i="5"/>
  <c r="E22524" i="5"/>
  <c r="E22516" i="5"/>
  <c r="E22508" i="5"/>
  <c r="E22500" i="5"/>
  <c r="E22492" i="5"/>
  <c r="E22484" i="5"/>
  <c r="E22476" i="5"/>
  <c r="E22468" i="5"/>
  <c r="E22460" i="5"/>
  <c r="E22452" i="5"/>
  <c r="E22444" i="5"/>
  <c r="E22436" i="5"/>
  <c r="E22428" i="5"/>
  <c r="E22420" i="5"/>
  <c r="E22412" i="5"/>
  <c r="E22404" i="5"/>
  <c r="E22396" i="5"/>
  <c r="E22388" i="5"/>
  <c r="E22380" i="5"/>
  <c r="E22372" i="5"/>
  <c r="E22364" i="5"/>
  <c r="E22356" i="5"/>
  <c r="E22348" i="5"/>
  <c r="E22340" i="5"/>
  <c r="E22332" i="5"/>
  <c r="E22324" i="5"/>
  <c r="E22316" i="5"/>
  <c r="E22308" i="5"/>
  <c r="E22300" i="5"/>
  <c r="E22292" i="5"/>
  <c r="E22284" i="5"/>
  <c r="E22276" i="5"/>
  <c r="E22268" i="5"/>
  <c r="E22260" i="5"/>
  <c r="E22252" i="5"/>
  <c r="E22244" i="5"/>
  <c r="E22236" i="5"/>
  <c r="E22228" i="5"/>
  <c r="E22220" i="5"/>
  <c r="E22212" i="5"/>
  <c r="E22204" i="5"/>
  <c r="E22196" i="5"/>
  <c r="E22188" i="5"/>
  <c r="E22180" i="5"/>
  <c r="E22172" i="5"/>
  <c r="E22164" i="5"/>
  <c r="E22156" i="5"/>
  <c r="E22148" i="5"/>
  <c r="E22140" i="5"/>
  <c r="E22132" i="5"/>
  <c r="E22124" i="5"/>
  <c r="E22116" i="5"/>
  <c r="E22108" i="5"/>
  <c r="E22100" i="5"/>
  <c r="E22092" i="5"/>
  <c r="E22084" i="5"/>
  <c r="E22076" i="5"/>
  <c r="E22068" i="5"/>
  <c r="E22060" i="5"/>
  <c r="E22052" i="5"/>
  <c r="E22044" i="5"/>
  <c r="E22036" i="5"/>
  <c r="E22028" i="5"/>
  <c r="E22020" i="5"/>
  <c r="E22012" i="5"/>
  <c r="E22004" i="5"/>
  <c r="E21996" i="5"/>
  <c r="E21988" i="5"/>
  <c r="E21980" i="5"/>
  <c r="E21972" i="5"/>
  <c r="E21964" i="5"/>
  <c r="E21956" i="5"/>
  <c r="E21948" i="5"/>
  <c r="E21940" i="5"/>
  <c r="E21932" i="5"/>
  <c r="E21924" i="5"/>
  <c r="E21916" i="5"/>
  <c r="E21908" i="5"/>
  <c r="E21900" i="5"/>
  <c r="E21892" i="5"/>
  <c r="E21884" i="5"/>
  <c r="E21876" i="5"/>
  <c r="E21868" i="5"/>
  <c r="E21860" i="5"/>
  <c r="E21852" i="5"/>
  <c r="E21844" i="5"/>
  <c r="E21836" i="5"/>
  <c r="E21828" i="5"/>
  <c r="E21820" i="5"/>
  <c r="E21812" i="5"/>
  <c r="E21804" i="5"/>
  <c r="E21796" i="5"/>
  <c r="E21788" i="5"/>
  <c r="E21780" i="5"/>
  <c r="E21772" i="5"/>
  <c r="E21764" i="5"/>
  <c r="E21756" i="5"/>
  <c r="E21748" i="5"/>
  <c r="E21740" i="5"/>
  <c r="E21732" i="5"/>
  <c r="E21724" i="5"/>
  <c r="E21716" i="5"/>
  <c r="E21708" i="5"/>
  <c r="E21700" i="5"/>
  <c r="E21692" i="5"/>
  <c r="E21684" i="5"/>
  <c r="E21676" i="5"/>
  <c r="E21668" i="5"/>
  <c r="E21660" i="5"/>
  <c r="E21652" i="5"/>
  <c r="E21644" i="5"/>
  <c r="E21636" i="5"/>
  <c r="E21628" i="5"/>
  <c r="E21620" i="5"/>
  <c r="E21612" i="5"/>
  <c r="E21604" i="5"/>
  <c r="E21596" i="5"/>
  <c r="E21588" i="5"/>
  <c r="E21580" i="5"/>
  <c r="E21572" i="5"/>
  <c r="E21564" i="5"/>
  <c r="E21556" i="5"/>
  <c r="E21548" i="5"/>
  <c r="E21540" i="5"/>
  <c r="E21532" i="5"/>
  <c r="E21524" i="5"/>
  <c r="E21516" i="5"/>
  <c r="E21508" i="5"/>
  <c r="E21500" i="5"/>
  <c r="E21492" i="5"/>
  <c r="E21484" i="5"/>
  <c r="E21476" i="5"/>
  <c r="E21468" i="5"/>
  <c r="E21460" i="5"/>
  <c r="E21452" i="5"/>
  <c r="E21444" i="5"/>
  <c r="E21436" i="5"/>
  <c r="E21428" i="5"/>
  <c r="E21420" i="5"/>
  <c r="E21412" i="5"/>
  <c r="E21404" i="5"/>
  <c r="E21396" i="5"/>
  <c r="E21388" i="5"/>
  <c r="E21380" i="5"/>
  <c r="E21372" i="5"/>
  <c r="E21364" i="5"/>
  <c r="E21356" i="5"/>
  <c r="E21348" i="5"/>
  <c r="E21340" i="5"/>
  <c r="E21332" i="5"/>
  <c r="E21324" i="5"/>
  <c r="E21316" i="5"/>
  <c r="E21308" i="5"/>
  <c r="E21300" i="5"/>
  <c r="E21292" i="5"/>
  <c r="E21284" i="5"/>
  <c r="E21276" i="5"/>
  <c r="E21268" i="5"/>
  <c r="E21260" i="5"/>
  <c r="E21252" i="5"/>
  <c r="E21244" i="5"/>
  <c r="E21236" i="5"/>
  <c r="E21228" i="5"/>
  <c r="E21220" i="5"/>
  <c r="E21212" i="5"/>
  <c r="E21204" i="5"/>
  <c r="E21196" i="5"/>
  <c r="E21188" i="5"/>
  <c r="E21180" i="5"/>
  <c r="E21172" i="5"/>
  <c r="E21164" i="5"/>
  <c r="E21156" i="5"/>
  <c r="E21148" i="5"/>
  <c r="E21140" i="5"/>
  <c r="E21132" i="5"/>
  <c r="E21124" i="5"/>
  <c r="E21116" i="5"/>
  <c r="E21108" i="5"/>
  <c r="E21100" i="5"/>
  <c r="E21092" i="5"/>
  <c r="E21084" i="5"/>
  <c r="E21076" i="5"/>
  <c r="E21068" i="5"/>
  <c r="E21060" i="5"/>
  <c r="E21052" i="5"/>
  <c r="E21044" i="5"/>
  <c r="E21036" i="5"/>
  <c r="E21028" i="5"/>
  <c r="E21020" i="5"/>
  <c r="E21012" i="5"/>
  <c r="E21004" i="5"/>
  <c r="E20996" i="5"/>
  <c r="E20988" i="5"/>
  <c r="E20980" i="5"/>
  <c r="E20972" i="5"/>
  <c r="E20964" i="5"/>
  <c r="E20956" i="5"/>
  <c r="E20948" i="5"/>
  <c r="E20940" i="5"/>
  <c r="E20932" i="5"/>
  <c r="E20924" i="5"/>
  <c r="E20916" i="5"/>
  <c r="E20908" i="5"/>
  <c r="E20900" i="5"/>
  <c r="E20892" i="5"/>
  <c r="E20884" i="5"/>
  <c r="E20876" i="5"/>
  <c r="E20868" i="5"/>
  <c r="E20860" i="5"/>
  <c r="E20852" i="5"/>
  <c r="E20844" i="5"/>
  <c r="E20836" i="5"/>
  <c r="E20828" i="5"/>
  <c r="E20820" i="5"/>
  <c r="E20812" i="5"/>
  <c r="E20804" i="5"/>
  <c r="E20796" i="5"/>
  <c r="E20788" i="5"/>
  <c r="E20780" i="5"/>
  <c r="E20772" i="5"/>
  <c r="E20764" i="5"/>
  <c r="E20756" i="5"/>
  <c r="E20748" i="5"/>
  <c r="E20740" i="5"/>
  <c r="E20732" i="5"/>
  <c r="E20724" i="5"/>
  <c r="E20716" i="5"/>
  <c r="E20708" i="5"/>
  <c r="E20700" i="5"/>
  <c r="E20692" i="5"/>
  <c r="E20684" i="5"/>
  <c r="E20676" i="5"/>
  <c r="E20668" i="5"/>
  <c r="E20660" i="5"/>
  <c r="E20652" i="5"/>
  <c r="E20644" i="5"/>
  <c r="E20636" i="5"/>
  <c r="E20628" i="5"/>
  <c r="E20620" i="5"/>
  <c r="E20612" i="5"/>
  <c r="E20604" i="5"/>
  <c r="E20596" i="5"/>
  <c r="E20588" i="5"/>
  <c r="E20580" i="5"/>
  <c r="E20572" i="5"/>
  <c r="E20564" i="5"/>
  <c r="E20556" i="5"/>
  <c r="E20548" i="5"/>
  <c r="E20540" i="5"/>
  <c r="E20532" i="5"/>
  <c r="E20524" i="5"/>
  <c r="E20516" i="5"/>
  <c r="E20508" i="5"/>
  <c r="E20500" i="5"/>
  <c r="E20492" i="5"/>
  <c r="E20484" i="5"/>
  <c r="E20476" i="5"/>
  <c r="E20468" i="5"/>
  <c r="E20460" i="5"/>
  <c r="E20452" i="5"/>
  <c r="E20444" i="5"/>
  <c r="E20436" i="5"/>
  <c r="E20428" i="5"/>
  <c r="E20420" i="5"/>
  <c r="E20412" i="5"/>
  <c r="E20404" i="5"/>
  <c r="E20396" i="5"/>
  <c r="E20388" i="5"/>
  <c r="E20380" i="5"/>
  <c r="E20372" i="5"/>
  <c r="E20364" i="5"/>
  <c r="E20356" i="5"/>
  <c r="E20348" i="5"/>
  <c r="E20340" i="5"/>
  <c r="E20332" i="5"/>
  <c r="E20324" i="5"/>
  <c r="E20316" i="5"/>
  <c r="E20308" i="5"/>
  <c r="E20300" i="5"/>
  <c r="E20292" i="5"/>
  <c r="E20284" i="5"/>
  <c r="E20276" i="5"/>
  <c r="E20268" i="5"/>
  <c r="E20260" i="5"/>
  <c r="E20252" i="5"/>
  <c r="E20244" i="5"/>
  <c r="E20236" i="5"/>
  <c r="E20228" i="5"/>
  <c r="E20220" i="5"/>
  <c r="E20212" i="5"/>
  <c r="E20204" i="5"/>
  <c r="E20196" i="5"/>
  <c r="E20188" i="5"/>
  <c r="E20180" i="5"/>
  <c r="E20172" i="5"/>
  <c r="E20164" i="5"/>
  <c r="E20156" i="5"/>
  <c r="E20148" i="5"/>
  <c r="E20140" i="5"/>
  <c r="E20132" i="5"/>
  <c r="E20124" i="5"/>
  <c r="E20116" i="5"/>
  <c r="E20108" i="5"/>
  <c r="E20100" i="5"/>
  <c r="E20092" i="5"/>
  <c r="E20084" i="5"/>
  <c r="E20076" i="5"/>
  <c r="E20068" i="5"/>
  <c r="E20060" i="5"/>
  <c r="E20052" i="5"/>
  <c r="E20044" i="5"/>
  <c r="E20036" i="5"/>
  <c r="E20028" i="5"/>
  <c r="E20020" i="5"/>
  <c r="E20012" i="5"/>
  <c r="E20004" i="5"/>
  <c r="E19996" i="5"/>
  <c r="E19988" i="5"/>
  <c r="E19980" i="5"/>
  <c r="E19972" i="5"/>
  <c r="E19964" i="5"/>
  <c r="E19956" i="5"/>
  <c r="E19948" i="5"/>
  <c r="E19940" i="5"/>
  <c r="E19932" i="5"/>
  <c r="E19924" i="5"/>
  <c r="E19916" i="5"/>
  <c r="E19908" i="5"/>
  <c r="E19900" i="5"/>
  <c r="E19892" i="5"/>
  <c r="E19884" i="5"/>
  <c r="E19876" i="5"/>
  <c r="E19868" i="5"/>
  <c r="E19860" i="5"/>
  <c r="E19852" i="5"/>
  <c r="E19844" i="5"/>
  <c r="E19836" i="5"/>
  <c r="E19828" i="5"/>
  <c r="E19820" i="5"/>
  <c r="E19812" i="5"/>
  <c r="E19804" i="5"/>
  <c r="E19796" i="5"/>
  <c r="E19788" i="5"/>
  <c r="E19780" i="5"/>
  <c r="E19772" i="5"/>
  <c r="E19764" i="5"/>
  <c r="E19756" i="5"/>
  <c r="E19748" i="5"/>
  <c r="E19740" i="5"/>
  <c r="E19732" i="5"/>
  <c r="E19724" i="5"/>
  <c r="E19716" i="5"/>
  <c r="E19708" i="5"/>
  <c r="E19700" i="5"/>
  <c r="E19692" i="5"/>
  <c r="E19684" i="5"/>
  <c r="E19676" i="5"/>
  <c r="E19668" i="5"/>
  <c r="E19660" i="5"/>
  <c r="E19652" i="5"/>
  <c r="E19644" i="5"/>
  <c r="E19636" i="5"/>
  <c r="E19628" i="5"/>
  <c r="E19620" i="5"/>
  <c r="E19612" i="5"/>
  <c r="E19604" i="5"/>
  <c r="E19596" i="5"/>
  <c r="E19588" i="5"/>
  <c r="E19580" i="5"/>
  <c r="E19572" i="5"/>
  <c r="E19564" i="5"/>
  <c r="E19556" i="5"/>
  <c r="E19548" i="5"/>
  <c r="E19540" i="5"/>
  <c r="E19532" i="5"/>
  <c r="E19524" i="5"/>
  <c r="E19516" i="5"/>
  <c r="E19508" i="5"/>
  <c r="E19500" i="5"/>
  <c r="E19492" i="5"/>
  <c r="E19484" i="5"/>
  <c r="E19476" i="5"/>
  <c r="E19468" i="5"/>
  <c r="E19460" i="5"/>
  <c r="E19452" i="5"/>
  <c r="E19444" i="5"/>
  <c r="E19436" i="5"/>
  <c r="E19428" i="5"/>
  <c r="E19420" i="5"/>
  <c r="E19412" i="5"/>
  <c r="E19404" i="5"/>
  <c r="E19396" i="5"/>
  <c r="E19388" i="5"/>
  <c r="E19380" i="5"/>
  <c r="E19372" i="5"/>
  <c r="E19364" i="5"/>
  <c r="E19356" i="5"/>
  <c r="E19348" i="5"/>
  <c r="E19340" i="5"/>
  <c r="E19332" i="5"/>
  <c r="E19324" i="5"/>
  <c r="E19316" i="5"/>
  <c r="E19308" i="5"/>
  <c r="E19300" i="5"/>
  <c r="E19292" i="5"/>
  <c r="E19284" i="5"/>
  <c r="E19276" i="5"/>
  <c r="E19268" i="5"/>
  <c r="E19260" i="5"/>
  <c r="E19252" i="5"/>
  <c r="E19244" i="5"/>
  <c r="E19236" i="5"/>
  <c r="E19228" i="5"/>
  <c r="E19220" i="5"/>
  <c r="E19212" i="5"/>
  <c r="E19204" i="5"/>
  <c r="E19196" i="5"/>
  <c r="E19188" i="5"/>
  <c r="E19180" i="5"/>
  <c r="E19172" i="5"/>
  <c r="E19164" i="5"/>
  <c r="E19156" i="5"/>
  <c r="E19148" i="5"/>
  <c r="E19140" i="5"/>
  <c r="E19132" i="5"/>
  <c r="E19124" i="5"/>
  <c r="E19116" i="5"/>
  <c r="E19108" i="5"/>
  <c r="E19100" i="5"/>
  <c r="E19092" i="5"/>
  <c r="E19084" i="5"/>
  <c r="E19076" i="5"/>
  <c r="E19068" i="5"/>
  <c r="E19060" i="5"/>
  <c r="E19052" i="5"/>
  <c r="E19044" i="5"/>
  <c r="E19036" i="5"/>
  <c r="E19028" i="5"/>
  <c r="E19020" i="5"/>
  <c r="E19012" i="5"/>
  <c r="E19004" i="5"/>
  <c r="E18996" i="5"/>
  <c r="E18988" i="5"/>
  <c r="E18980" i="5"/>
  <c r="E18972" i="5"/>
  <c r="E18964" i="5"/>
  <c r="E18956" i="5"/>
  <c r="E18948" i="5"/>
  <c r="E18940" i="5"/>
  <c r="E18932" i="5"/>
  <c r="E18924" i="5"/>
  <c r="E18916" i="5"/>
  <c r="E18908" i="5"/>
  <c r="E18900" i="5"/>
  <c r="E18892" i="5"/>
  <c r="E18884" i="5"/>
  <c r="E18876" i="5"/>
  <c r="E18868" i="5"/>
  <c r="E18860" i="5"/>
  <c r="E18852" i="5"/>
  <c r="E18844" i="5"/>
  <c r="E18836" i="5"/>
  <c r="E18828" i="5"/>
  <c r="E18820" i="5"/>
  <c r="E18812" i="5"/>
  <c r="E18804" i="5"/>
  <c r="E18796" i="5"/>
  <c r="E18788" i="5"/>
  <c r="E18780" i="5"/>
  <c r="E18772" i="5"/>
  <c r="E18764" i="5"/>
  <c r="E18756" i="5"/>
  <c r="E18748" i="5"/>
  <c r="E18740" i="5"/>
  <c r="E18732" i="5"/>
  <c r="E18724" i="5"/>
  <c r="E18716" i="5"/>
  <c r="E18708" i="5"/>
  <c r="E18700" i="5"/>
  <c r="E18692" i="5"/>
  <c r="E18684" i="5"/>
  <c r="E18676" i="5"/>
  <c r="E18668" i="5"/>
  <c r="E18660" i="5"/>
  <c r="E18652" i="5"/>
  <c r="E18644" i="5"/>
  <c r="E18636" i="5"/>
  <c r="E18628" i="5"/>
  <c r="E18620" i="5"/>
  <c r="E18612" i="5"/>
  <c r="E18604" i="5"/>
  <c r="E18596" i="5"/>
  <c r="E18588" i="5"/>
  <c r="E18580" i="5"/>
  <c r="E18572" i="5"/>
  <c r="E18564" i="5"/>
  <c r="E18556" i="5"/>
  <c r="E18548" i="5"/>
  <c r="E18540" i="5"/>
  <c r="E18532" i="5"/>
  <c r="E18524" i="5"/>
  <c r="E18516" i="5"/>
  <c r="E18508" i="5"/>
  <c r="E18500" i="5"/>
  <c r="E18492" i="5"/>
  <c r="E18484" i="5"/>
  <c r="E18476" i="5"/>
  <c r="E18468" i="5"/>
  <c r="E18460" i="5"/>
  <c r="E18452" i="5"/>
  <c r="E18444" i="5"/>
  <c r="E18436" i="5"/>
  <c r="E18428" i="5"/>
  <c r="E18420" i="5"/>
  <c r="E18412" i="5"/>
  <c r="E18404" i="5"/>
  <c r="E18396" i="5"/>
  <c r="E18388" i="5"/>
  <c r="E18380" i="5"/>
  <c r="E18372" i="5"/>
  <c r="E18364" i="5"/>
  <c r="E18356" i="5"/>
  <c r="E18348" i="5"/>
  <c r="E18340" i="5"/>
  <c r="E18332" i="5"/>
  <c r="E18324" i="5"/>
  <c r="E18316" i="5"/>
  <c r="E18308" i="5"/>
  <c r="E18300" i="5"/>
  <c r="E18292" i="5"/>
  <c r="E18284" i="5"/>
  <c r="E18276" i="5"/>
  <c r="E18268" i="5"/>
  <c r="E18260" i="5"/>
  <c r="E18252" i="5"/>
  <c r="E18244" i="5"/>
  <c r="E18236" i="5"/>
  <c r="E18228" i="5"/>
  <c r="E18220" i="5"/>
  <c r="E18212" i="5"/>
  <c r="E18204" i="5"/>
  <c r="E18196" i="5"/>
  <c r="E18188" i="5"/>
  <c r="E18180" i="5"/>
  <c r="E18172" i="5"/>
  <c r="E18164" i="5"/>
  <c r="E18156" i="5"/>
  <c r="E18148" i="5"/>
  <c r="E18140" i="5"/>
  <c r="E18132" i="5"/>
  <c r="E18124" i="5"/>
  <c r="E18116" i="5"/>
  <c r="E18108" i="5"/>
  <c r="E18100" i="5"/>
  <c r="E18092" i="5"/>
  <c r="E18084" i="5"/>
  <c r="E18076" i="5"/>
  <c r="E18068" i="5"/>
  <c r="E18060" i="5"/>
  <c r="E18052" i="5"/>
  <c r="E18044" i="5"/>
  <c r="E18036" i="5"/>
  <c r="E18028" i="5"/>
  <c r="E18020" i="5"/>
  <c r="E18012" i="5"/>
  <c r="E18004" i="5"/>
  <c r="E17996" i="5"/>
  <c r="E17988" i="5"/>
  <c r="E17980" i="5"/>
  <c r="E17972" i="5"/>
  <c r="E17964" i="5"/>
  <c r="E17956" i="5"/>
  <c r="E17948" i="5"/>
  <c r="E17940" i="5"/>
  <c r="E17932" i="5"/>
  <c r="E17924" i="5"/>
  <c r="E17916" i="5"/>
  <c r="E17908" i="5"/>
  <c r="E17900" i="5"/>
  <c r="E17892" i="5"/>
  <c r="E17884" i="5"/>
  <c r="E17876" i="5"/>
  <c r="E17868" i="5"/>
  <c r="E17860" i="5"/>
  <c r="E17852" i="5"/>
  <c r="E17844" i="5"/>
  <c r="E17836" i="5"/>
  <c r="E17828" i="5"/>
  <c r="E17820" i="5"/>
  <c r="E17812" i="5"/>
  <c r="E17804" i="5"/>
  <c r="E17796" i="5"/>
  <c r="E17788" i="5"/>
  <c r="E17780" i="5"/>
  <c r="E17772" i="5"/>
  <c r="E17764" i="5"/>
  <c r="E17756" i="5"/>
  <c r="E17748" i="5"/>
  <c r="E17740" i="5"/>
  <c r="E17732" i="5"/>
  <c r="E17724" i="5"/>
  <c r="E17716" i="5"/>
  <c r="E17708" i="5"/>
  <c r="E17700" i="5"/>
  <c r="E17692" i="5"/>
  <c r="E17684" i="5"/>
  <c r="E17676" i="5"/>
  <c r="E17668" i="5"/>
  <c r="E17660" i="5"/>
  <c r="E17652" i="5"/>
  <c r="E17644" i="5"/>
  <c r="E17636" i="5"/>
  <c r="E17628" i="5"/>
  <c r="E17620" i="5"/>
  <c r="E17612" i="5"/>
  <c r="E17604" i="5"/>
  <c r="E17596" i="5"/>
  <c r="E17588" i="5"/>
  <c r="E17580" i="5"/>
  <c r="E17572" i="5"/>
  <c r="E17564" i="5"/>
  <c r="E17556" i="5"/>
  <c r="E17548" i="5"/>
  <c r="E17540" i="5"/>
  <c r="E17532" i="5"/>
  <c r="E17524" i="5"/>
  <c r="E17516" i="5"/>
  <c r="E17508" i="5"/>
  <c r="E17500" i="5"/>
  <c r="E17492" i="5"/>
  <c r="E17484" i="5"/>
  <c r="E17476" i="5"/>
  <c r="E17468" i="5"/>
  <c r="E17460" i="5"/>
  <c r="E17452" i="5"/>
  <c r="E17444" i="5"/>
  <c r="E17436" i="5"/>
  <c r="E17428" i="5"/>
  <c r="E17420" i="5"/>
  <c r="E17412" i="5"/>
  <c r="E17404" i="5"/>
  <c r="E17396" i="5"/>
  <c r="E17388" i="5"/>
  <c r="E17380" i="5"/>
  <c r="E17372" i="5"/>
  <c r="E17364" i="5"/>
  <c r="E17356" i="5"/>
  <c r="E17348" i="5"/>
  <c r="E17340" i="5"/>
  <c r="E17332" i="5"/>
  <c r="E17324" i="5"/>
  <c r="E17316" i="5"/>
  <c r="E17308" i="5"/>
  <c r="E17300" i="5"/>
  <c r="E17292" i="5"/>
  <c r="E17284" i="5"/>
  <c r="E17276" i="5"/>
  <c r="E17268" i="5"/>
  <c r="E17260" i="5"/>
  <c r="E17252" i="5"/>
  <c r="E17244" i="5"/>
  <c r="E17236" i="5"/>
  <c r="E17228" i="5"/>
  <c r="E17220" i="5"/>
  <c r="E17212" i="5"/>
  <c r="E17204" i="5"/>
  <c r="E17196" i="5"/>
  <c r="E17188" i="5"/>
  <c r="E17180" i="5"/>
  <c r="E17172" i="5"/>
  <c r="E17164" i="5"/>
  <c r="E17156" i="5"/>
  <c r="E17148" i="5"/>
  <c r="E17140" i="5"/>
  <c r="E17132" i="5"/>
  <c r="E17124" i="5"/>
  <c r="E17116" i="5"/>
  <c r="E17108" i="5"/>
  <c r="E17100" i="5"/>
  <c r="E17092" i="5"/>
  <c r="E17084" i="5"/>
  <c r="E17076" i="5"/>
  <c r="E17068" i="5"/>
  <c r="E17060" i="5"/>
  <c r="E17052" i="5"/>
  <c r="E17044" i="5"/>
  <c r="E17036" i="5"/>
  <c r="E17028" i="5"/>
  <c r="E17020" i="5"/>
  <c r="E17012" i="5"/>
  <c r="E17004" i="5"/>
  <c r="E16996" i="5"/>
  <c r="E16988" i="5"/>
  <c r="E16980" i="5"/>
  <c r="E16972" i="5"/>
  <c r="E16964" i="5"/>
  <c r="E16956" i="5"/>
  <c r="E16948" i="5"/>
  <c r="E16940" i="5"/>
  <c r="E16932" i="5"/>
  <c r="E16924" i="5"/>
  <c r="E16916" i="5"/>
  <c r="E16908" i="5"/>
  <c r="E16900" i="5"/>
  <c r="E16892" i="5"/>
  <c r="E16884" i="5"/>
  <c r="E16876" i="5"/>
  <c r="E16868" i="5"/>
  <c r="E16860" i="5"/>
  <c r="E16852" i="5"/>
  <c r="E16844" i="5"/>
  <c r="E16836" i="5"/>
  <c r="E16828" i="5"/>
  <c r="E16820" i="5"/>
  <c r="E16812" i="5"/>
  <c r="E16804" i="5"/>
  <c r="E16796" i="5"/>
  <c r="E16788" i="5"/>
  <c r="E16780" i="5"/>
  <c r="E16772" i="5"/>
  <c r="E16764" i="5"/>
  <c r="E16756" i="5"/>
  <c r="E16748" i="5"/>
  <c r="E16740" i="5"/>
  <c r="E16732" i="5"/>
  <c r="E16724" i="5"/>
  <c r="E16716" i="5"/>
  <c r="E16708" i="5"/>
  <c r="E16700" i="5"/>
  <c r="E16692" i="5"/>
  <c r="E16684" i="5"/>
  <c r="E16676" i="5"/>
  <c r="E16668" i="5"/>
  <c r="E16660" i="5"/>
  <c r="E16652" i="5"/>
  <c r="E16644" i="5"/>
  <c r="E16636" i="5"/>
  <c r="E16628" i="5"/>
  <c r="E16620" i="5"/>
  <c r="E16612" i="5"/>
  <c r="E16604" i="5"/>
  <c r="E16596" i="5"/>
  <c r="E16588" i="5"/>
  <c r="E16580" i="5"/>
  <c r="E16572" i="5"/>
  <c r="E16564" i="5"/>
  <c r="E16556" i="5"/>
  <c r="E16548" i="5"/>
  <c r="E16540" i="5"/>
  <c r="E16532" i="5"/>
  <c r="E16524" i="5"/>
  <c r="E16516" i="5"/>
  <c r="E16508" i="5"/>
  <c r="E16500" i="5"/>
  <c r="E16492" i="5"/>
  <c r="E16484" i="5"/>
  <c r="E16476" i="5"/>
  <c r="E16468" i="5"/>
  <c r="E16460" i="5"/>
  <c r="E16452" i="5"/>
  <c r="E16444" i="5"/>
  <c r="E16436" i="5"/>
  <c r="E16428" i="5"/>
  <c r="E16420" i="5"/>
  <c r="E16412" i="5"/>
  <c r="E16404" i="5"/>
  <c r="E16396" i="5"/>
  <c r="E16388" i="5"/>
  <c r="E16380" i="5"/>
  <c r="E16372" i="5"/>
  <c r="E16364" i="5"/>
  <c r="E16356" i="5"/>
  <c r="E16348" i="5"/>
  <c r="E16340" i="5"/>
  <c r="E16332" i="5"/>
  <c r="E16324" i="5"/>
  <c r="E16316" i="5"/>
  <c r="E16308" i="5"/>
  <c r="E16300" i="5"/>
  <c r="E16292" i="5"/>
  <c r="E16284" i="5"/>
  <c r="E16276" i="5"/>
  <c r="E16268" i="5"/>
  <c r="E16260" i="5"/>
  <c r="E16252" i="5"/>
  <c r="E16244" i="5"/>
  <c r="E16236" i="5"/>
  <c r="E16228" i="5"/>
  <c r="E16220" i="5"/>
  <c r="E16212" i="5"/>
  <c r="E16204" i="5"/>
  <c r="E16196" i="5"/>
  <c r="E16188" i="5"/>
  <c r="E16180" i="5"/>
  <c r="E16172" i="5"/>
  <c r="E16164" i="5"/>
  <c r="E16156" i="5"/>
  <c r="E16148" i="5"/>
  <c r="E16140" i="5"/>
  <c r="E16132" i="5"/>
  <c r="E16124" i="5"/>
  <c r="E16116" i="5"/>
  <c r="E16108" i="5"/>
  <c r="E16100" i="5"/>
  <c r="E16092" i="5"/>
  <c r="E16084" i="5"/>
  <c r="E16076" i="5"/>
  <c r="E16068" i="5"/>
  <c r="E16060" i="5"/>
  <c r="E16052" i="5"/>
  <c r="E16044" i="5"/>
  <c r="E16036" i="5"/>
  <c r="E16028" i="5"/>
  <c r="E16020" i="5"/>
  <c r="E16012" i="5"/>
  <c r="E16004" i="5"/>
  <c r="E15996" i="5"/>
  <c r="E15988" i="5"/>
  <c r="E15980" i="5"/>
  <c r="E15972" i="5"/>
  <c r="E15964" i="5"/>
  <c r="E15956" i="5"/>
  <c r="E15948" i="5"/>
  <c r="E15940" i="5"/>
  <c r="E15932" i="5"/>
  <c r="E15924" i="5"/>
  <c r="E15916" i="5"/>
  <c r="E15908" i="5"/>
  <c r="E15900" i="5"/>
  <c r="E15892" i="5"/>
  <c r="E15884" i="5"/>
  <c r="E15876" i="5"/>
  <c r="E15868" i="5"/>
  <c r="E15860" i="5"/>
  <c r="E15852" i="5"/>
  <c r="E15844" i="5"/>
  <c r="E15836" i="5"/>
  <c r="E15828" i="5"/>
  <c r="E15820" i="5"/>
  <c r="E15812" i="5"/>
  <c r="E15804" i="5"/>
  <c r="E15796" i="5"/>
  <c r="E15788" i="5"/>
  <c r="E15780" i="5"/>
  <c r="E15772" i="5"/>
  <c r="E15764" i="5"/>
  <c r="E15756" i="5"/>
  <c r="E15748" i="5"/>
  <c r="E15740" i="5"/>
  <c r="E15732" i="5"/>
  <c r="E15724" i="5"/>
  <c r="E15716" i="5"/>
  <c r="E15708" i="5"/>
  <c r="E15700" i="5"/>
  <c r="E15692" i="5"/>
  <c r="E15684" i="5"/>
  <c r="E15676" i="5"/>
  <c r="E15668" i="5"/>
  <c r="E15660" i="5"/>
  <c r="E15652" i="5"/>
  <c r="E15644" i="5"/>
  <c r="E15636" i="5"/>
  <c r="E15628" i="5"/>
  <c r="E15620" i="5"/>
  <c r="E15612" i="5"/>
  <c r="E15604" i="5"/>
  <c r="E15596" i="5"/>
  <c r="E15588" i="5"/>
  <c r="E15580" i="5"/>
  <c r="E15572" i="5"/>
  <c r="E15564" i="5"/>
  <c r="E15556" i="5"/>
  <c r="E15548" i="5"/>
  <c r="E15540" i="5"/>
  <c r="E15532" i="5"/>
  <c r="E15524" i="5"/>
  <c r="E15516" i="5"/>
  <c r="E15508" i="5"/>
  <c r="E15500" i="5"/>
  <c r="E15492" i="5"/>
  <c r="E15484" i="5"/>
  <c r="E15476" i="5"/>
  <c r="E15468" i="5"/>
  <c r="E15460" i="5"/>
  <c r="E15452" i="5"/>
  <c r="E15444" i="5"/>
  <c r="E15436" i="5"/>
  <c r="E15428" i="5"/>
  <c r="E15420" i="5"/>
  <c r="E15412" i="5"/>
  <c r="E15404" i="5"/>
  <c r="E15396" i="5"/>
  <c r="E15388" i="5"/>
  <c r="E15380" i="5"/>
  <c r="E15372" i="5"/>
  <c r="E15364" i="5"/>
  <c r="E15356" i="5"/>
  <c r="E15348" i="5"/>
  <c r="E15340" i="5"/>
  <c r="E15332" i="5"/>
  <c r="E15324" i="5"/>
  <c r="E15316" i="5"/>
  <c r="E15308" i="5"/>
  <c r="E15300" i="5"/>
  <c r="E15292" i="5"/>
  <c r="E15284" i="5"/>
  <c r="E15276" i="5"/>
  <c r="E15268" i="5"/>
  <c r="E15260" i="5"/>
  <c r="E15252" i="5"/>
  <c r="E15244" i="5"/>
  <c r="E15236" i="5"/>
  <c r="E15228" i="5"/>
  <c r="E15220" i="5"/>
  <c r="E15212" i="5"/>
  <c r="E15204" i="5"/>
  <c r="E15196" i="5"/>
  <c r="E15188" i="5"/>
  <c r="E15180" i="5"/>
  <c r="E15172" i="5"/>
  <c r="E15164" i="5"/>
  <c r="E15156" i="5"/>
  <c r="E15148" i="5"/>
  <c r="E15140" i="5"/>
  <c r="E15132" i="5"/>
  <c r="E15124" i="5"/>
  <c r="E15116" i="5"/>
  <c r="E15108" i="5"/>
  <c r="E15100" i="5"/>
  <c r="E15092" i="5"/>
  <c r="E15084" i="5"/>
  <c r="E15076" i="5"/>
  <c r="E15068" i="5"/>
  <c r="E15060" i="5"/>
  <c r="E15052" i="5"/>
  <c r="E15044" i="5"/>
  <c r="E15036" i="5"/>
  <c r="E15028" i="5"/>
  <c r="E15020" i="5"/>
  <c r="E15012" i="5"/>
  <c r="E15004" i="5"/>
  <c r="E14996" i="5"/>
  <c r="E14988" i="5"/>
  <c r="E14980" i="5"/>
  <c r="E14972" i="5"/>
  <c r="E14964" i="5"/>
  <c r="E14956" i="5"/>
  <c r="E14948" i="5"/>
  <c r="E14940" i="5"/>
  <c r="E14932" i="5"/>
  <c r="E14924" i="5"/>
  <c r="E14916" i="5"/>
  <c r="E14908" i="5"/>
  <c r="E14900" i="5"/>
  <c r="E14892" i="5"/>
  <c r="E14884" i="5"/>
  <c r="E14876" i="5"/>
  <c r="E14868" i="5"/>
  <c r="E14860" i="5"/>
  <c r="E14852" i="5"/>
  <c r="E14844" i="5"/>
  <c r="E14836" i="5"/>
  <c r="E14828" i="5"/>
  <c r="E14820" i="5"/>
  <c r="E14812" i="5"/>
  <c r="E14804" i="5"/>
  <c r="E14796" i="5"/>
  <c r="E14788" i="5"/>
  <c r="E14780" i="5"/>
  <c r="E14772" i="5"/>
  <c r="E14764" i="5"/>
  <c r="E14756" i="5"/>
  <c r="E14748" i="5"/>
  <c r="E14740" i="5"/>
  <c r="E14732" i="5"/>
  <c r="E14724" i="5"/>
  <c r="E14716" i="5"/>
  <c r="E14708" i="5"/>
  <c r="E14700" i="5"/>
  <c r="E14692" i="5"/>
  <c r="E14684" i="5"/>
  <c r="E14676" i="5"/>
  <c r="E14668" i="5"/>
  <c r="E14660" i="5"/>
  <c r="E14652" i="5"/>
  <c r="E14644" i="5"/>
  <c r="E14636" i="5"/>
  <c r="E14628" i="5"/>
  <c r="E14620" i="5"/>
  <c r="E14612" i="5"/>
  <c r="E14604" i="5"/>
  <c r="E14596" i="5"/>
  <c r="E14588" i="5"/>
  <c r="E14580" i="5"/>
  <c r="E14572" i="5"/>
  <c r="E14564" i="5"/>
  <c r="E14556" i="5"/>
  <c r="E14548" i="5"/>
  <c r="E14540" i="5"/>
  <c r="E14532" i="5"/>
  <c r="E14524" i="5"/>
  <c r="E14516" i="5"/>
  <c r="E14508" i="5"/>
  <c r="E14500" i="5"/>
  <c r="E14492" i="5"/>
  <c r="E14484" i="5"/>
  <c r="E14476" i="5"/>
  <c r="E14468" i="5"/>
  <c r="E14460" i="5"/>
  <c r="E14452" i="5"/>
  <c r="E14444" i="5"/>
  <c r="E14436" i="5"/>
  <c r="E14428" i="5"/>
  <c r="E14420" i="5"/>
  <c r="E14412" i="5"/>
  <c r="E14404" i="5"/>
  <c r="E14396" i="5"/>
  <c r="E14388" i="5"/>
  <c r="E14380" i="5"/>
  <c r="E14372" i="5"/>
  <c r="E14364" i="5"/>
  <c r="E14356" i="5"/>
  <c r="E14348" i="5"/>
  <c r="E14340" i="5"/>
  <c r="E14332" i="5"/>
  <c r="E14324" i="5"/>
  <c r="E14316" i="5"/>
  <c r="E14308" i="5"/>
  <c r="E14300" i="5"/>
  <c r="E14292" i="5"/>
  <c r="E14284" i="5"/>
  <c r="E14276" i="5"/>
  <c r="E14268" i="5"/>
  <c r="E14260" i="5"/>
  <c r="E14252" i="5"/>
  <c r="E14244" i="5"/>
  <c r="E14236" i="5"/>
  <c r="E14228" i="5"/>
  <c r="E14220" i="5"/>
  <c r="E14212" i="5"/>
  <c r="E14204" i="5"/>
  <c r="E14196" i="5"/>
  <c r="E14188" i="5"/>
  <c r="E14180" i="5"/>
  <c r="E14172" i="5"/>
  <c r="E14164" i="5"/>
  <c r="E14156" i="5"/>
  <c r="E14148" i="5"/>
  <c r="E14140" i="5"/>
  <c r="E14132" i="5"/>
  <c r="E14124" i="5"/>
  <c r="E14116" i="5"/>
  <c r="E14108" i="5"/>
  <c r="E14100" i="5"/>
  <c r="E14092" i="5"/>
  <c r="E14084" i="5"/>
  <c r="E14076" i="5"/>
  <c r="E14068" i="5"/>
  <c r="E14060" i="5"/>
  <c r="E14052" i="5"/>
  <c r="E14044" i="5"/>
  <c r="E14036" i="5"/>
  <c r="E14028" i="5"/>
  <c r="E14020" i="5"/>
  <c r="E14012" i="5"/>
  <c r="E14004" i="5"/>
  <c r="E13996" i="5"/>
  <c r="E13988" i="5"/>
  <c r="E13980" i="5"/>
  <c r="E13972" i="5"/>
  <c r="E13964" i="5"/>
  <c r="E13956" i="5"/>
  <c r="E13948" i="5"/>
  <c r="E13940" i="5"/>
  <c r="E13932" i="5"/>
  <c r="E13924" i="5"/>
  <c r="E13916" i="5"/>
  <c r="E13908" i="5"/>
  <c r="E13900" i="5"/>
  <c r="E13892" i="5"/>
  <c r="E13884" i="5"/>
  <c r="E13876" i="5"/>
  <c r="E13868" i="5"/>
  <c r="E13860" i="5"/>
  <c r="E13852" i="5"/>
  <c r="E13844" i="5"/>
  <c r="E13836" i="5"/>
  <c r="E13828" i="5"/>
  <c r="E13820" i="5"/>
  <c r="E13812" i="5"/>
  <c r="E13804" i="5"/>
  <c r="E13796" i="5"/>
  <c r="E13788" i="5"/>
  <c r="E13780" i="5"/>
  <c r="E13772" i="5"/>
  <c r="E13764" i="5"/>
  <c r="E13756" i="5"/>
  <c r="E13748" i="5"/>
  <c r="E13740" i="5"/>
  <c r="E13732" i="5"/>
  <c r="E13724" i="5"/>
  <c r="E13716" i="5"/>
  <c r="E13708" i="5"/>
  <c r="E13700" i="5"/>
  <c r="E13692" i="5"/>
  <c r="E13684" i="5"/>
  <c r="E13676" i="5"/>
  <c r="E13668" i="5"/>
  <c r="E13660" i="5"/>
  <c r="E13652" i="5"/>
  <c r="E13644" i="5"/>
  <c r="E13636" i="5"/>
  <c r="E13628" i="5"/>
  <c r="E13620" i="5"/>
  <c r="E13612" i="5"/>
  <c r="E13604" i="5"/>
  <c r="E13596" i="5"/>
  <c r="E13588" i="5"/>
  <c r="E13580" i="5"/>
  <c r="E13572" i="5"/>
  <c r="E13564" i="5"/>
  <c r="E13556" i="5"/>
  <c r="E13548" i="5"/>
  <c r="E13540" i="5"/>
  <c r="E13532" i="5"/>
  <c r="E13524" i="5"/>
  <c r="E13516" i="5"/>
  <c r="E13508" i="5"/>
  <c r="E13500" i="5"/>
  <c r="E13492" i="5"/>
  <c r="E13484" i="5"/>
  <c r="E13476" i="5"/>
  <c r="E13468" i="5"/>
  <c r="E13460" i="5"/>
  <c r="E13452" i="5"/>
  <c r="E13444" i="5"/>
  <c r="E13436" i="5"/>
  <c r="E13428" i="5"/>
  <c r="E13420" i="5"/>
  <c r="E13412" i="5"/>
  <c r="E13404" i="5"/>
  <c r="E13396" i="5"/>
  <c r="E13388" i="5"/>
  <c r="E13380" i="5"/>
  <c r="E13372" i="5"/>
  <c r="E13364" i="5"/>
  <c r="E13356" i="5"/>
  <c r="E13348" i="5"/>
  <c r="E13340" i="5"/>
  <c r="E13332" i="5"/>
  <c r="E13324" i="5"/>
  <c r="E13316" i="5"/>
  <c r="E13308" i="5"/>
  <c r="E13300" i="5"/>
  <c r="E13292" i="5"/>
  <c r="E13284" i="5"/>
  <c r="E13276" i="5"/>
  <c r="E13268" i="5"/>
  <c r="E13260" i="5"/>
  <c r="E13252" i="5"/>
  <c r="E13244" i="5"/>
  <c r="E13236" i="5"/>
  <c r="E13228" i="5"/>
  <c r="E13220" i="5"/>
  <c r="E13212" i="5"/>
  <c r="E13204" i="5"/>
  <c r="E13196" i="5"/>
  <c r="E13188" i="5"/>
  <c r="E13180" i="5"/>
  <c r="E13172" i="5"/>
  <c r="E13164" i="5"/>
  <c r="E13156" i="5"/>
  <c r="E13148" i="5"/>
  <c r="E13140" i="5"/>
  <c r="E13132" i="5"/>
  <c r="E13124" i="5"/>
  <c r="E13116" i="5"/>
  <c r="E13108" i="5"/>
  <c r="E13100" i="5"/>
  <c r="E13092" i="5"/>
  <c r="E13084" i="5"/>
  <c r="E13076" i="5"/>
  <c r="E13068" i="5"/>
  <c r="E13060" i="5"/>
  <c r="E13052" i="5"/>
  <c r="E13044" i="5"/>
  <c r="E13036" i="5"/>
  <c r="E13028" i="5"/>
  <c r="E13020" i="5"/>
  <c r="E13012" i="5"/>
  <c r="E13004" i="5"/>
  <c r="E12996" i="5"/>
  <c r="E12988" i="5"/>
  <c r="E12980" i="5"/>
  <c r="E12972" i="5"/>
  <c r="E12964" i="5"/>
  <c r="E12956" i="5"/>
  <c r="E12948" i="5"/>
  <c r="E12940" i="5"/>
  <c r="E12932" i="5"/>
  <c r="E12924" i="5"/>
  <c r="E12916" i="5"/>
  <c r="E12908" i="5"/>
  <c r="E12900" i="5"/>
  <c r="E12892" i="5"/>
  <c r="E12884" i="5"/>
  <c r="E12876" i="5"/>
  <c r="E12868" i="5"/>
  <c r="E12860" i="5"/>
  <c r="E12852" i="5"/>
  <c r="E12844" i="5"/>
  <c r="E12836" i="5"/>
  <c r="E12828" i="5"/>
  <c r="E12820" i="5"/>
  <c r="E12812" i="5"/>
  <c r="E12804" i="5"/>
  <c r="E12796" i="5"/>
  <c r="E12788" i="5"/>
  <c r="E12780" i="5"/>
  <c r="E12772" i="5"/>
  <c r="E12764" i="5"/>
  <c r="E12756" i="5"/>
  <c r="E12748" i="5"/>
  <c r="E12740" i="5"/>
  <c r="E12732" i="5"/>
  <c r="E12724" i="5"/>
  <c r="E12716" i="5"/>
  <c r="E12708" i="5"/>
  <c r="E12700" i="5"/>
  <c r="E12692" i="5"/>
  <c r="E12684" i="5"/>
  <c r="E12676" i="5"/>
  <c r="E12668" i="5"/>
  <c r="E12660" i="5"/>
  <c r="E12652" i="5"/>
  <c r="E12644" i="5"/>
  <c r="E12636" i="5"/>
  <c r="E12628" i="5"/>
  <c r="E12620" i="5"/>
  <c r="E12612" i="5"/>
  <c r="E12604" i="5"/>
  <c r="E12596" i="5"/>
  <c r="E12588" i="5"/>
  <c r="E12580" i="5"/>
  <c r="E12572" i="5"/>
  <c r="E12564" i="5"/>
  <c r="E12556" i="5"/>
  <c r="E12548" i="5"/>
  <c r="E12540" i="5"/>
  <c r="E12532" i="5"/>
  <c r="E12524" i="5"/>
  <c r="E12516" i="5"/>
  <c r="E12508" i="5"/>
  <c r="E12500" i="5"/>
  <c r="E12492" i="5"/>
  <c r="E12484" i="5"/>
  <c r="E12476" i="5"/>
  <c r="E12468" i="5"/>
  <c r="E12460" i="5"/>
  <c r="E12452" i="5"/>
  <c r="E12444" i="5"/>
  <c r="E12436" i="5"/>
  <c r="E12428" i="5"/>
  <c r="E12420" i="5"/>
  <c r="E12412" i="5"/>
  <c r="E12404" i="5"/>
  <c r="E12396" i="5"/>
  <c r="E12388" i="5"/>
  <c r="E12380" i="5"/>
  <c r="E12372" i="5"/>
  <c r="E12364" i="5"/>
  <c r="E12356" i="5"/>
  <c r="E12348" i="5"/>
  <c r="E12340" i="5"/>
  <c r="E12332" i="5"/>
  <c r="E12324" i="5"/>
  <c r="E12316" i="5"/>
  <c r="E12308" i="5"/>
  <c r="E12300" i="5"/>
  <c r="E12292" i="5"/>
  <c r="E12284" i="5"/>
  <c r="E12276" i="5"/>
  <c r="E12268" i="5"/>
  <c r="E12260" i="5"/>
  <c r="E12252" i="5"/>
  <c r="E12244" i="5"/>
  <c r="E12236" i="5"/>
  <c r="E12228" i="5"/>
  <c r="E12220" i="5"/>
  <c r="E12212" i="5"/>
  <c r="E12204" i="5"/>
  <c r="E12196" i="5"/>
  <c r="E12188" i="5"/>
  <c r="E12180" i="5"/>
  <c r="E12172" i="5"/>
  <c r="E12164" i="5"/>
  <c r="E12156" i="5"/>
  <c r="E12148" i="5"/>
  <c r="E12140" i="5"/>
  <c r="E12132" i="5"/>
  <c r="E12124" i="5"/>
  <c r="E12116" i="5"/>
  <c r="E12108" i="5"/>
  <c r="E12100" i="5"/>
  <c r="E12092" i="5"/>
  <c r="E12084" i="5"/>
  <c r="E12076" i="5"/>
  <c r="E12068" i="5"/>
  <c r="E12060" i="5"/>
  <c r="E12052" i="5"/>
  <c r="E12044" i="5"/>
  <c r="E12036" i="5"/>
  <c r="E12028" i="5"/>
  <c r="E12020" i="5"/>
  <c r="E12012" i="5"/>
  <c r="E12004" i="5"/>
  <c r="E11996" i="5"/>
  <c r="E11988" i="5"/>
  <c r="E11980" i="5"/>
  <c r="E11972" i="5"/>
  <c r="E11964" i="5"/>
  <c r="E11956" i="5"/>
  <c r="E11948" i="5"/>
  <c r="E11940" i="5"/>
  <c r="E11932" i="5"/>
  <c r="E11924" i="5"/>
  <c r="E11916" i="5"/>
  <c r="E11908" i="5"/>
  <c r="E11900" i="5"/>
  <c r="E11892" i="5"/>
  <c r="E11884" i="5"/>
  <c r="E11876" i="5"/>
  <c r="E11868" i="5"/>
  <c r="E11860" i="5"/>
  <c r="E11852" i="5"/>
  <c r="E11844" i="5"/>
  <c r="E11836" i="5"/>
  <c r="E11828" i="5"/>
  <c r="E11820" i="5"/>
  <c r="E11812" i="5"/>
  <c r="E11804" i="5"/>
  <c r="E11796" i="5"/>
  <c r="E11788" i="5"/>
  <c r="E11780" i="5"/>
  <c r="E11772" i="5"/>
  <c r="E11764" i="5"/>
  <c r="E11756" i="5"/>
  <c r="E11748" i="5"/>
  <c r="E11740" i="5"/>
  <c r="E11732" i="5"/>
  <c r="E11724" i="5"/>
  <c r="E11716" i="5"/>
  <c r="E11708" i="5"/>
  <c r="E11700" i="5"/>
  <c r="E11692" i="5"/>
  <c r="E11684" i="5"/>
  <c r="E11676" i="5"/>
  <c r="E11668" i="5"/>
  <c r="E11660" i="5"/>
  <c r="E11652" i="5"/>
  <c r="E11644" i="5"/>
  <c r="E11636" i="5"/>
  <c r="E11628" i="5"/>
  <c r="E11620" i="5"/>
  <c r="E11612" i="5"/>
  <c r="E11604" i="5"/>
  <c r="E11596" i="5"/>
  <c r="E11588" i="5"/>
  <c r="E11580" i="5"/>
  <c r="E11572" i="5"/>
  <c r="E11564" i="5"/>
  <c r="E11556" i="5"/>
  <c r="E11548" i="5"/>
  <c r="E11540" i="5"/>
  <c r="E11532" i="5"/>
  <c r="E11524" i="5"/>
  <c r="E11516" i="5"/>
  <c r="E11508" i="5"/>
  <c r="E11500" i="5"/>
  <c r="E11492" i="5"/>
  <c r="E11484" i="5"/>
  <c r="E11476" i="5"/>
  <c r="E11468" i="5"/>
  <c r="E11460" i="5"/>
  <c r="E11452" i="5"/>
  <c r="E11444" i="5"/>
  <c r="E11436" i="5"/>
  <c r="E11428" i="5"/>
  <c r="E11420" i="5"/>
  <c r="E11412" i="5"/>
  <c r="E11404" i="5"/>
  <c r="E11396" i="5"/>
  <c r="E11388" i="5"/>
  <c r="E11380" i="5"/>
  <c r="E11372" i="5"/>
  <c r="E11364" i="5"/>
  <c r="E11356" i="5"/>
  <c r="E11348" i="5"/>
  <c r="E11340" i="5"/>
  <c r="E11332" i="5"/>
  <c r="E11324" i="5"/>
  <c r="E11316" i="5"/>
  <c r="E11308" i="5"/>
  <c r="E11300" i="5"/>
  <c r="E11292" i="5"/>
  <c r="E11284" i="5"/>
  <c r="E11276" i="5"/>
  <c r="E11268" i="5"/>
  <c r="E11260" i="5"/>
  <c r="E11252" i="5"/>
  <c r="E11244" i="5"/>
  <c r="E11236" i="5"/>
  <c r="E11228" i="5"/>
  <c r="E11220" i="5"/>
  <c r="E11212" i="5"/>
  <c r="E11204" i="5"/>
  <c r="E11196" i="5"/>
  <c r="E11188" i="5"/>
  <c r="E11180" i="5"/>
  <c r="E11172" i="5"/>
  <c r="E11164" i="5"/>
  <c r="E11156" i="5"/>
  <c r="E11148" i="5"/>
  <c r="E11140" i="5"/>
  <c r="E11132" i="5"/>
  <c r="E11124" i="5"/>
  <c r="E11116" i="5"/>
  <c r="E11108" i="5"/>
  <c r="E11100" i="5"/>
  <c r="E11092" i="5"/>
  <c r="E11084" i="5"/>
  <c r="E11076" i="5"/>
  <c r="E11068" i="5"/>
  <c r="E11060" i="5"/>
  <c r="E11052" i="5"/>
  <c r="E11044" i="5"/>
  <c r="E11036" i="5"/>
  <c r="E11028" i="5"/>
  <c r="E11020" i="5"/>
  <c r="E11012" i="5"/>
  <c r="E11004" i="5"/>
  <c r="E10996" i="5"/>
  <c r="E10988" i="5"/>
  <c r="E10980" i="5"/>
  <c r="E10972" i="5"/>
  <c r="E10964" i="5"/>
  <c r="E10956" i="5"/>
  <c r="E10948" i="5"/>
  <c r="E10940" i="5"/>
  <c r="E10932" i="5"/>
  <c r="E10924" i="5"/>
  <c r="E10916" i="5"/>
  <c r="E10908" i="5"/>
  <c r="E10900" i="5"/>
  <c r="E10892" i="5"/>
  <c r="E10884" i="5"/>
  <c r="E10876" i="5"/>
  <c r="E10868" i="5"/>
  <c r="E10860" i="5"/>
  <c r="E10852" i="5"/>
  <c r="E10844" i="5"/>
  <c r="E10836" i="5"/>
  <c r="E10828" i="5"/>
  <c r="E10820" i="5"/>
  <c r="E10812" i="5"/>
  <c r="E10804" i="5"/>
  <c r="E10796" i="5"/>
  <c r="E10788" i="5"/>
  <c r="E10780" i="5"/>
  <c r="E10772" i="5"/>
  <c r="E10764" i="5"/>
  <c r="E10756" i="5"/>
  <c r="E10748" i="5"/>
  <c r="E10740" i="5"/>
  <c r="E10732" i="5"/>
  <c r="E10724" i="5"/>
  <c r="E10716" i="5"/>
  <c r="E10708" i="5"/>
  <c r="E10700" i="5"/>
  <c r="E10692" i="5"/>
  <c r="E10684" i="5"/>
  <c r="E10676" i="5"/>
  <c r="E10668" i="5"/>
  <c r="E10660" i="5"/>
  <c r="E10652" i="5"/>
  <c r="E10644" i="5"/>
  <c r="E10636" i="5"/>
  <c r="E10628" i="5"/>
  <c r="E10620" i="5"/>
  <c r="E10612" i="5"/>
  <c r="E10604" i="5"/>
  <c r="E10596" i="5"/>
  <c r="E10588" i="5"/>
  <c r="E10580" i="5"/>
  <c r="E10572" i="5"/>
  <c r="E10564" i="5"/>
  <c r="E10556" i="5"/>
  <c r="E10548" i="5"/>
  <c r="E10540" i="5"/>
  <c r="E10532" i="5"/>
  <c r="E10524" i="5"/>
  <c r="E10516" i="5"/>
  <c r="E10508" i="5"/>
  <c r="E10500" i="5"/>
  <c r="E10492" i="5"/>
  <c r="E10484" i="5"/>
  <c r="E10476" i="5"/>
  <c r="E10468" i="5"/>
  <c r="E10460" i="5"/>
  <c r="E10452" i="5"/>
  <c r="E10444" i="5"/>
  <c r="E10436" i="5"/>
  <c r="E10428" i="5"/>
  <c r="E10420" i="5"/>
  <c r="E10412" i="5"/>
  <c r="E10404" i="5"/>
  <c r="E10396" i="5"/>
  <c r="E10388" i="5"/>
  <c r="E10380" i="5"/>
  <c r="E10372" i="5"/>
  <c r="E10364" i="5"/>
  <c r="E10356" i="5"/>
  <c r="E10348" i="5"/>
  <c r="E10340" i="5"/>
  <c r="E10332" i="5"/>
  <c r="E10324" i="5"/>
  <c r="E10316" i="5"/>
  <c r="E10308" i="5"/>
  <c r="E10300" i="5"/>
  <c r="E10292" i="5"/>
  <c r="E10284" i="5"/>
  <c r="E10276" i="5"/>
  <c r="E10268" i="5"/>
  <c r="E10260" i="5"/>
  <c r="E10252" i="5"/>
  <c r="E10244" i="5"/>
  <c r="E10236" i="5"/>
  <c r="E10228" i="5"/>
  <c r="E10220" i="5"/>
  <c r="E10212" i="5"/>
  <c r="E10204" i="5"/>
  <c r="E10196" i="5"/>
  <c r="E10188" i="5"/>
  <c r="E10180" i="5"/>
  <c r="E10172" i="5"/>
  <c r="E10164" i="5"/>
  <c r="E10156" i="5"/>
  <c r="E10148" i="5"/>
  <c r="E10140" i="5"/>
  <c r="E10132" i="5"/>
  <c r="E10124" i="5"/>
  <c r="E10116" i="5"/>
  <c r="E10108" i="5"/>
  <c r="E10100" i="5"/>
  <c r="E10092" i="5"/>
  <c r="E10084" i="5"/>
  <c r="E10076" i="5"/>
  <c r="E10068" i="5"/>
  <c r="E10060" i="5"/>
  <c r="E10052" i="5"/>
  <c r="E10044" i="5"/>
  <c r="E10036" i="5"/>
  <c r="E10028" i="5"/>
  <c r="E10020" i="5"/>
  <c r="E10012" i="5"/>
  <c r="E10004" i="5"/>
  <c r="E9996" i="5"/>
  <c r="E9988" i="5"/>
  <c r="E9980" i="5"/>
  <c r="E9972" i="5"/>
  <c r="E9964" i="5"/>
  <c r="E9956" i="5"/>
  <c r="E9948" i="5"/>
  <c r="E9940" i="5"/>
  <c r="E9932" i="5"/>
  <c r="E9924" i="5"/>
  <c r="E9916" i="5"/>
  <c r="E9908" i="5"/>
  <c r="E9900" i="5"/>
  <c r="E9892" i="5"/>
  <c r="E9884" i="5"/>
  <c r="E9876" i="5"/>
  <c r="E9868" i="5"/>
  <c r="E9860" i="5"/>
  <c r="E9852" i="5"/>
  <c r="E9844" i="5"/>
  <c r="E9836" i="5"/>
  <c r="E9828" i="5"/>
  <c r="E9820" i="5"/>
  <c r="E9812" i="5"/>
  <c r="E9804" i="5"/>
  <c r="E9796" i="5"/>
  <c r="E9788" i="5"/>
  <c r="E9780" i="5"/>
  <c r="E9772" i="5"/>
  <c r="E9764" i="5"/>
  <c r="E9756" i="5"/>
  <c r="E9748" i="5"/>
  <c r="E9740" i="5"/>
  <c r="E9732" i="5"/>
  <c r="E9724" i="5"/>
  <c r="E9716" i="5"/>
  <c r="E9708" i="5"/>
  <c r="E9700" i="5"/>
  <c r="E9692" i="5"/>
  <c r="E9684" i="5"/>
  <c r="E9676" i="5"/>
  <c r="E9668" i="5"/>
  <c r="E9660" i="5"/>
  <c r="E9652" i="5"/>
  <c r="E9644" i="5"/>
  <c r="E9636" i="5"/>
  <c r="E9628" i="5"/>
  <c r="E9620" i="5"/>
  <c r="E9612" i="5"/>
  <c r="E9604" i="5"/>
  <c r="E9596" i="5"/>
  <c r="E9588" i="5"/>
  <c r="E9580" i="5"/>
  <c r="E9572" i="5"/>
  <c r="E9564" i="5"/>
  <c r="E9556" i="5"/>
  <c r="E9548" i="5"/>
  <c r="E9540" i="5"/>
  <c r="E9532" i="5"/>
  <c r="E9524" i="5"/>
  <c r="E9516" i="5"/>
  <c r="E9508" i="5"/>
  <c r="E9500" i="5"/>
  <c r="E9492" i="5"/>
  <c r="E9484" i="5"/>
  <c r="E9476" i="5"/>
  <c r="E9468" i="5"/>
  <c r="E9460" i="5"/>
  <c r="E9452" i="5"/>
  <c r="E9444" i="5"/>
  <c r="E9436" i="5"/>
  <c r="E9428" i="5"/>
  <c r="E9420" i="5"/>
  <c r="E9412" i="5"/>
  <c r="E9404" i="5"/>
  <c r="E9396" i="5"/>
  <c r="E9388" i="5"/>
  <c r="E9380" i="5"/>
  <c r="E9372" i="5"/>
  <c r="E9364" i="5"/>
  <c r="E9356" i="5"/>
  <c r="E9348" i="5"/>
  <c r="E9340" i="5"/>
  <c r="E9332" i="5"/>
  <c r="E9324" i="5"/>
  <c r="E9316" i="5"/>
  <c r="E9308" i="5"/>
  <c r="E9300" i="5"/>
  <c r="E9292" i="5"/>
  <c r="E9284" i="5"/>
  <c r="E9276" i="5"/>
  <c r="E9268" i="5"/>
  <c r="E9260" i="5"/>
  <c r="E9252" i="5"/>
  <c r="E9244" i="5"/>
  <c r="E9236" i="5"/>
  <c r="E9228" i="5"/>
  <c r="E9220" i="5"/>
  <c r="E9212" i="5"/>
  <c r="E9204" i="5"/>
  <c r="E9196" i="5"/>
  <c r="E9188" i="5"/>
  <c r="E9180" i="5"/>
  <c r="E9172" i="5"/>
  <c r="E9164" i="5"/>
  <c r="E9156" i="5"/>
  <c r="E9148" i="5"/>
  <c r="E9140" i="5"/>
  <c r="E9132" i="5"/>
  <c r="E9124" i="5"/>
  <c r="E9116" i="5"/>
  <c r="E9108" i="5"/>
  <c r="E9100" i="5"/>
  <c r="E9092" i="5"/>
  <c r="E9084" i="5"/>
  <c r="E9076" i="5"/>
  <c r="E9068" i="5"/>
  <c r="E9060" i="5"/>
  <c r="E9052" i="5"/>
  <c r="E9044" i="5"/>
  <c r="E9036" i="5"/>
  <c r="E9028" i="5"/>
  <c r="E9020" i="5"/>
  <c r="E9012" i="5"/>
  <c r="E9004" i="5"/>
  <c r="E8996" i="5"/>
  <c r="E8988" i="5"/>
  <c r="E8980" i="5"/>
  <c r="E8972" i="5"/>
  <c r="E8964" i="5"/>
  <c r="E8956" i="5"/>
  <c r="E8948" i="5"/>
  <c r="E8940" i="5"/>
  <c r="E8932" i="5"/>
  <c r="E8924" i="5"/>
  <c r="E8916" i="5"/>
  <c r="E8908" i="5"/>
  <c r="E8900" i="5"/>
  <c r="E8892" i="5"/>
  <c r="E8884" i="5"/>
  <c r="E8876" i="5"/>
  <c r="E8868" i="5"/>
  <c r="E8860" i="5"/>
  <c r="E8852" i="5"/>
  <c r="E8844" i="5"/>
  <c r="E8836" i="5"/>
  <c r="E8828" i="5"/>
  <c r="E8820" i="5"/>
  <c r="E8812" i="5"/>
  <c r="E8804" i="5"/>
  <c r="E8796" i="5"/>
  <c r="E8788" i="5"/>
  <c r="E8780" i="5"/>
  <c r="E8772" i="5"/>
  <c r="E8764" i="5"/>
  <c r="E8756" i="5"/>
  <c r="E8748" i="5"/>
  <c r="E8740" i="5"/>
  <c r="E8732" i="5"/>
  <c r="E8724" i="5"/>
  <c r="E8716" i="5"/>
  <c r="E8708" i="5"/>
  <c r="E8700" i="5"/>
  <c r="E8692" i="5"/>
  <c r="E8684" i="5"/>
  <c r="E8676" i="5"/>
  <c r="E8668" i="5"/>
  <c r="E8660" i="5"/>
  <c r="E8652" i="5"/>
  <c r="E8644" i="5"/>
  <c r="E8636" i="5"/>
  <c r="E8628" i="5"/>
  <c r="E8620" i="5"/>
  <c r="E8612" i="5"/>
  <c r="E8604" i="5"/>
  <c r="E8596" i="5"/>
  <c r="E8588" i="5"/>
  <c r="E8580" i="5"/>
  <c r="E8572" i="5"/>
  <c r="E8564" i="5"/>
  <c r="E8556" i="5"/>
  <c r="E8548" i="5"/>
  <c r="E8540" i="5"/>
  <c r="E8532" i="5"/>
  <c r="E8524" i="5"/>
  <c r="E8516" i="5"/>
  <c r="E8508" i="5"/>
  <c r="E8500" i="5"/>
  <c r="E8492" i="5"/>
  <c r="E8484" i="5"/>
  <c r="E8476" i="5"/>
  <c r="E8468" i="5"/>
  <c r="E8460" i="5"/>
  <c r="E8452" i="5"/>
  <c r="E8444" i="5"/>
  <c r="E8436" i="5"/>
  <c r="E8428" i="5"/>
  <c r="E8420" i="5"/>
  <c r="E8412" i="5"/>
  <c r="E8404" i="5"/>
  <c r="E8396" i="5"/>
  <c r="E8388" i="5"/>
  <c r="E8380" i="5"/>
  <c r="E8372" i="5"/>
  <c r="E8364" i="5"/>
  <c r="E8356" i="5"/>
  <c r="E8348" i="5"/>
  <c r="E8340" i="5"/>
  <c r="E8332" i="5"/>
  <c r="E8324" i="5"/>
  <c r="E8316" i="5"/>
  <c r="E8308" i="5"/>
  <c r="E8300" i="5"/>
  <c r="E8292" i="5"/>
  <c r="E8284" i="5"/>
  <c r="E8276" i="5"/>
  <c r="E8268" i="5"/>
  <c r="E8260" i="5"/>
  <c r="E8252" i="5"/>
  <c r="E8244" i="5"/>
  <c r="E8236" i="5"/>
  <c r="E8228" i="5"/>
  <c r="E8220" i="5"/>
  <c r="E8212" i="5"/>
  <c r="E8204" i="5"/>
  <c r="E8196" i="5"/>
  <c r="E8188" i="5"/>
  <c r="E8180" i="5"/>
  <c r="E8172" i="5"/>
  <c r="E8164" i="5"/>
  <c r="E8156" i="5"/>
  <c r="E8148" i="5"/>
  <c r="E8140" i="5"/>
  <c r="E8132" i="5"/>
  <c r="E8124" i="5"/>
  <c r="E8116" i="5"/>
  <c r="E8108" i="5"/>
  <c r="E8100" i="5"/>
  <c r="E8092" i="5"/>
  <c r="E8084" i="5"/>
  <c r="E8076" i="5"/>
  <c r="E8068" i="5"/>
  <c r="E8060" i="5"/>
  <c r="E8052" i="5"/>
  <c r="E8044" i="5"/>
  <c r="E8036" i="5"/>
  <c r="E8028" i="5"/>
  <c r="E8020" i="5"/>
  <c r="E8012" i="5"/>
  <c r="E8004" i="5"/>
  <c r="E7996" i="5"/>
  <c r="E7988" i="5"/>
  <c r="E7980" i="5"/>
  <c r="E7972" i="5"/>
  <c r="E7964" i="5"/>
  <c r="E7956" i="5"/>
  <c r="E7948" i="5"/>
  <c r="E7940" i="5"/>
  <c r="E7932" i="5"/>
  <c r="E7924" i="5"/>
  <c r="E7916" i="5"/>
  <c r="E7908" i="5"/>
  <c r="E7900" i="5"/>
  <c r="E7892" i="5"/>
  <c r="E7884" i="5"/>
  <c r="E7876" i="5"/>
  <c r="E7868" i="5"/>
  <c r="E7860" i="5"/>
  <c r="E7852" i="5"/>
  <c r="E7844" i="5"/>
  <c r="E7836" i="5"/>
  <c r="E7828" i="5"/>
  <c r="E7820" i="5"/>
  <c r="E7812" i="5"/>
  <c r="E7804" i="5"/>
  <c r="E7796" i="5"/>
  <c r="E7788" i="5"/>
  <c r="E7780" i="5"/>
  <c r="E7772" i="5"/>
  <c r="E7764" i="5"/>
  <c r="E7756" i="5"/>
  <c r="E7748" i="5"/>
  <c r="E7740" i="5"/>
  <c r="E7732" i="5"/>
  <c r="E7724" i="5"/>
  <c r="E7716" i="5"/>
  <c r="E7708" i="5"/>
  <c r="E7700" i="5"/>
  <c r="E7692" i="5"/>
  <c r="E7684" i="5"/>
  <c r="E7676" i="5"/>
  <c r="E7668" i="5"/>
  <c r="E7660" i="5"/>
  <c r="E7652" i="5"/>
  <c r="E7644" i="5"/>
  <c r="E7636" i="5"/>
  <c r="E7628" i="5"/>
  <c r="E7620" i="5"/>
  <c r="E7612" i="5"/>
  <c r="E7604" i="5"/>
  <c r="E7596" i="5"/>
  <c r="E7588" i="5"/>
  <c r="E7580" i="5"/>
  <c r="E7572" i="5"/>
  <c r="E7564" i="5"/>
  <c r="E7556" i="5"/>
  <c r="E7548" i="5"/>
  <c r="E7540" i="5"/>
  <c r="E7532" i="5"/>
  <c r="E7524" i="5"/>
  <c r="E7516" i="5"/>
  <c r="E7508" i="5"/>
  <c r="E7500" i="5"/>
  <c r="E7492" i="5"/>
  <c r="E7484" i="5"/>
  <c r="E7476" i="5"/>
  <c r="E7468" i="5"/>
  <c r="E7460" i="5"/>
  <c r="E7452" i="5"/>
  <c r="E7444" i="5"/>
  <c r="E7436" i="5"/>
  <c r="E7428" i="5"/>
  <c r="E7420" i="5"/>
  <c r="E7412" i="5"/>
  <c r="E7404" i="5"/>
  <c r="E7396" i="5"/>
  <c r="E7388" i="5"/>
  <c r="E7380" i="5"/>
  <c r="E7372" i="5"/>
  <c r="E7364" i="5"/>
  <c r="E7356" i="5"/>
  <c r="E7348" i="5"/>
  <c r="E7340" i="5"/>
  <c r="E7332" i="5"/>
  <c r="E7324" i="5"/>
  <c r="E7316" i="5"/>
  <c r="E7308" i="5"/>
  <c r="E7300" i="5"/>
  <c r="E7292" i="5"/>
  <c r="E7284" i="5"/>
  <c r="E7276" i="5"/>
  <c r="E7268" i="5"/>
  <c r="E7260" i="5"/>
  <c r="E7252" i="5"/>
  <c r="E7244" i="5"/>
  <c r="E7236" i="5"/>
  <c r="E7228" i="5"/>
  <c r="E7220" i="5"/>
  <c r="E7212" i="5"/>
  <c r="E7204" i="5"/>
  <c r="E7196" i="5"/>
  <c r="E7188" i="5"/>
  <c r="E7180" i="5"/>
  <c r="E7172" i="5"/>
  <c r="E7164" i="5"/>
  <c r="E7156" i="5"/>
  <c r="E7148" i="5"/>
  <c r="E7140" i="5"/>
  <c r="E7132" i="5"/>
  <c r="E7124" i="5"/>
  <c r="E7116" i="5"/>
  <c r="E7108" i="5"/>
  <c r="E7100" i="5"/>
  <c r="E7092" i="5"/>
  <c r="E7084" i="5"/>
  <c r="E7076" i="5"/>
  <c r="E7068" i="5"/>
  <c r="E7060" i="5"/>
  <c r="E7052" i="5"/>
  <c r="E7044" i="5"/>
  <c r="E7036" i="5"/>
  <c r="E7028" i="5"/>
  <c r="E7020" i="5"/>
  <c r="E7012" i="5"/>
  <c r="E7004" i="5"/>
  <c r="E6996" i="5"/>
  <c r="E6988" i="5"/>
  <c r="E6980" i="5"/>
  <c r="E6972" i="5"/>
  <c r="E6964" i="5"/>
  <c r="E6956" i="5"/>
  <c r="E6948" i="5"/>
  <c r="E6940" i="5"/>
  <c r="E6932" i="5"/>
  <c r="E6924" i="5"/>
  <c r="E6916" i="5"/>
  <c r="E6908" i="5"/>
  <c r="E6900" i="5"/>
  <c r="E6892" i="5"/>
  <c r="E6884" i="5"/>
  <c r="E6876" i="5"/>
  <c r="E6868" i="5"/>
  <c r="E6860" i="5"/>
  <c r="E6852" i="5"/>
  <c r="E6844" i="5"/>
  <c r="E6836" i="5"/>
  <c r="E6828" i="5"/>
  <c r="E6820" i="5"/>
  <c r="E6812" i="5"/>
  <c r="E6804" i="5"/>
  <c r="E6796" i="5"/>
  <c r="E6788" i="5"/>
  <c r="E6780" i="5"/>
  <c r="E6772" i="5"/>
  <c r="E6764" i="5"/>
  <c r="E6756" i="5"/>
  <c r="E6748" i="5"/>
  <c r="E6740" i="5"/>
  <c r="E6732" i="5"/>
  <c r="E6724" i="5"/>
  <c r="E6716" i="5"/>
  <c r="E6708" i="5"/>
  <c r="E6700" i="5"/>
  <c r="E6692" i="5"/>
  <c r="E6684" i="5"/>
  <c r="E6676" i="5"/>
  <c r="E6668" i="5"/>
  <c r="E6660" i="5"/>
  <c r="E6652" i="5"/>
  <c r="E6644" i="5"/>
  <c r="E6636" i="5"/>
  <c r="E6628" i="5"/>
  <c r="E6620" i="5"/>
  <c r="E6612" i="5"/>
  <c r="E6604" i="5"/>
  <c r="E6596" i="5"/>
  <c r="E6588" i="5"/>
  <c r="E6580" i="5"/>
  <c r="E6572" i="5"/>
  <c r="E6564" i="5"/>
  <c r="E6556" i="5"/>
  <c r="E6548" i="5"/>
  <c r="E6540" i="5"/>
  <c r="E6532" i="5"/>
  <c r="E6524" i="5"/>
  <c r="E6516" i="5"/>
  <c r="E6508" i="5"/>
  <c r="E6500" i="5"/>
  <c r="E6492" i="5"/>
  <c r="E6484" i="5"/>
  <c r="E6476" i="5"/>
  <c r="E6468" i="5"/>
  <c r="E6460" i="5"/>
  <c r="E6452" i="5"/>
  <c r="E6444" i="5"/>
  <c r="E6436" i="5"/>
  <c r="E6428" i="5"/>
  <c r="E6420" i="5"/>
  <c r="E6412" i="5"/>
  <c r="E6404" i="5"/>
  <c r="E6396" i="5"/>
  <c r="E6388" i="5"/>
  <c r="E6380" i="5"/>
  <c r="E6372" i="5"/>
  <c r="E6364" i="5"/>
  <c r="E6356" i="5"/>
  <c r="E6348" i="5"/>
  <c r="E6340" i="5"/>
  <c r="E6332" i="5"/>
  <c r="E6324" i="5"/>
  <c r="E6316" i="5"/>
  <c r="E6308" i="5"/>
  <c r="E6300" i="5"/>
  <c r="E6292" i="5"/>
  <c r="E6284" i="5"/>
  <c r="E6276" i="5"/>
  <c r="E6268" i="5"/>
  <c r="E6260" i="5"/>
  <c r="E6252" i="5"/>
  <c r="E6244" i="5"/>
  <c r="E6236" i="5"/>
  <c r="E6228" i="5"/>
  <c r="E6220" i="5"/>
  <c r="E6212" i="5"/>
  <c r="E6204" i="5"/>
  <c r="E6196" i="5"/>
  <c r="E6188" i="5"/>
  <c r="E6180" i="5"/>
  <c r="E6172" i="5"/>
  <c r="E6164" i="5"/>
  <c r="E6156" i="5"/>
  <c r="E6148" i="5"/>
  <c r="E6140" i="5"/>
  <c r="E6132" i="5"/>
  <c r="E6124" i="5"/>
  <c r="E6116" i="5"/>
  <c r="E6108" i="5"/>
  <c r="E6100" i="5"/>
  <c r="E6092" i="5"/>
  <c r="E6084" i="5"/>
  <c r="E6076" i="5"/>
  <c r="E6068" i="5"/>
  <c r="E6060" i="5"/>
  <c r="E6052" i="5"/>
  <c r="E6044" i="5"/>
  <c r="E6036" i="5"/>
  <c r="E6028" i="5"/>
  <c r="E6020" i="5"/>
  <c r="E6012" i="5"/>
  <c r="E6004" i="5"/>
  <c r="E5996" i="5"/>
  <c r="E5988" i="5"/>
  <c r="E5980" i="5"/>
  <c r="E5972" i="5"/>
  <c r="E5964" i="5"/>
  <c r="E5956" i="5"/>
  <c r="E5948" i="5"/>
  <c r="E5940" i="5"/>
  <c r="E5932" i="5"/>
  <c r="E5924" i="5"/>
  <c r="E5916" i="5"/>
  <c r="E5908" i="5"/>
  <c r="E5900" i="5"/>
  <c r="E5892" i="5"/>
  <c r="E5884" i="5"/>
  <c r="E5876" i="5"/>
  <c r="E5868" i="5"/>
  <c r="E5860" i="5"/>
  <c r="E5852" i="5"/>
  <c r="E5844" i="5"/>
  <c r="E5836" i="5"/>
  <c r="E5828" i="5"/>
  <c r="E5820" i="5"/>
  <c r="E5812" i="5"/>
  <c r="E5804" i="5"/>
  <c r="E5796" i="5"/>
  <c r="E5788" i="5"/>
  <c r="E5780" i="5"/>
  <c r="E5772" i="5"/>
  <c r="E5764" i="5"/>
  <c r="E5756" i="5"/>
  <c r="E5748" i="5"/>
  <c r="E5740" i="5"/>
  <c r="E5732" i="5"/>
  <c r="E5724" i="5"/>
  <c r="E5716" i="5"/>
  <c r="E5708" i="5"/>
  <c r="E5700" i="5"/>
  <c r="E5692" i="5"/>
  <c r="E5684" i="5"/>
  <c r="E5676" i="5"/>
  <c r="E5668" i="5"/>
  <c r="E5660" i="5"/>
  <c r="E5652" i="5"/>
  <c r="E5644" i="5"/>
  <c r="E5636" i="5"/>
  <c r="E5628" i="5"/>
  <c r="E5620" i="5"/>
  <c r="E5612" i="5"/>
  <c r="E5604" i="5"/>
  <c r="E5596" i="5"/>
  <c r="E5588" i="5"/>
  <c r="E5580" i="5"/>
  <c r="E5572" i="5"/>
  <c r="E5564" i="5"/>
  <c r="E5556" i="5"/>
  <c r="E5548" i="5"/>
  <c r="E5540" i="5"/>
  <c r="E5532" i="5"/>
  <c r="E5524" i="5"/>
  <c r="E5516" i="5"/>
  <c r="E5508" i="5"/>
  <c r="E5500" i="5"/>
  <c r="E5492" i="5"/>
  <c r="E5484" i="5"/>
  <c r="E5476" i="5"/>
  <c r="E5468" i="5"/>
  <c r="E5460" i="5"/>
  <c r="E5452" i="5"/>
  <c r="E5444" i="5"/>
  <c r="E5436" i="5"/>
  <c r="E5428" i="5"/>
  <c r="E5420" i="5"/>
  <c r="E5412" i="5"/>
  <c r="E5404" i="5"/>
  <c r="E5396" i="5"/>
  <c r="E5388" i="5"/>
  <c r="E5380" i="5"/>
  <c r="E5372" i="5"/>
  <c r="E5364" i="5"/>
  <c r="E5356" i="5"/>
  <c r="E5348" i="5"/>
  <c r="E5340" i="5"/>
  <c r="E5332" i="5"/>
  <c r="E5324" i="5"/>
  <c r="E5316" i="5"/>
  <c r="E5308" i="5"/>
  <c r="E5300" i="5"/>
  <c r="E5292" i="5"/>
  <c r="E5284" i="5"/>
  <c r="E5276" i="5"/>
  <c r="E41523" i="5"/>
  <c r="E41395" i="5"/>
  <c r="E41267" i="5"/>
  <c r="E41139" i="5"/>
  <c r="E41011" i="5"/>
  <c r="E40883" i="5"/>
  <c r="E40779" i="5"/>
  <c r="E40676" i="5"/>
  <c r="E40574" i="5"/>
  <c r="E40472" i="5"/>
  <c r="E40369" i="5"/>
  <c r="E40267" i="5"/>
  <c r="E40164" i="5"/>
  <c r="E40062" i="5"/>
  <c r="E39960" i="5"/>
  <c r="E39857" i="5"/>
  <c r="E39755" i="5"/>
  <c r="E39652" i="5"/>
  <c r="E39550" i="5"/>
  <c r="E39448" i="5"/>
  <c r="E39345" i="5"/>
  <c r="E39246" i="5"/>
  <c r="E39161" i="5"/>
  <c r="E39095" i="5"/>
  <c r="E39031" i="5"/>
  <c r="E38967" i="5"/>
  <c r="E38903" i="5"/>
  <c r="E38839" i="5"/>
  <c r="E38775" i="5"/>
  <c r="E38711" i="5"/>
  <c r="E38647" i="5"/>
  <c r="E38583" i="5"/>
  <c r="E38519" i="5"/>
  <c r="E38455" i="5"/>
  <c r="E38391" i="5"/>
  <c r="E38327" i="5"/>
  <c r="E38263" i="5"/>
  <c r="E38199" i="5"/>
  <c r="E38135" i="5"/>
  <c r="E38071" i="5"/>
  <c r="E38007" i="5"/>
  <c r="E37943" i="5"/>
  <c r="E37879" i="5"/>
  <c r="E37815" i="5"/>
  <c r="E37751" i="5"/>
  <c r="E37687" i="5"/>
  <c r="E37623" i="5"/>
  <c r="E37559" i="5"/>
  <c r="E37495" i="5"/>
  <c r="E37431" i="5"/>
  <c r="E37367" i="5"/>
  <c r="E37303" i="5"/>
  <c r="E37239" i="5"/>
  <c r="E37175" i="5"/>
  <c r="E37111" i="5"/>
  <c r="E37047" i="5"/>
  <c r="E36983" i="5"/>
  <c r="E36919" i="5"/>
  <c r="E36855" i="5"/>
  <c r="E36791" i="5"/>
  <c r="E36727" i="5"/>
  <c r="E36663" i="5"/>
  <c r="E36599" i="5"/>
  <c r="E36535" i="5"/>
  <c r="E36471" i="5"/>
  <c r="E36407" i="5"/>
  <c r="E36343" i="5"/>
  <c r="E36279" i="5"/>
  <c r="E36215" i="5"/>
  <c r="E36151" i="5"/>
  <c r="E36087" i="5"/>
  <c r="E36023" i="5"/>
  <c r="E35959" i="5"/>
  <c r="E35895" i="5"/>
  <c r="E35831" i="5"/>
  <c r="E35767" i="5"/>
  <c r="E35703" i="5"/>
  <c r="E35639" i="5"/>
  <c r="E35575" i="5"/>
  <c r="E35511" i="5"/>
  <c r="E35447" i="5"/>
  <c r="E35383" i="5"/>
  <c r="E35319" i="5"/>
  <c r="E35255" i="5"/>
  <c r="E35191" i="5"/>
  <c r="E35127" i="5"/>
  <c r="E35063" i="5"/>
  <c r="E34999" i="5"/>
  <c r="E34935" i="5"/>
  <c r="E34871" i="5"/>
  <c r="E34807" i="5"/>
  <c r="E34743" i="5"/>
  <c r="E34679" i="5"/>
  <c r="E34615" i="5"/>
  <c r="E34551" i="5"/>
  <c r="E34487" i="5"/>
  <c r="E34423" i="5"/>
  <c r="E34359" i="5"/>
  <c r="E34295" i="5"/>
  <c r="E34231" i="5"/>
  <c r="E34167" i="5"/>
  <c r="E34103" i="5"/>
  <c r="E34039" i="5"/>
  <c r="E33975" i="5"/>
  <c r="E33911" i="5"/>
  <c r="E33847" i="5"/>
  <c r="E33783" i="5"/>
  <c r="E33719" i="5"/>
  <c r="E33655" i="5"/>
  <c r="E33591" i="5"/>
  <c r="E33527" i="5"/>
  <c r="E33463" i="5"/>
  <c r="E33399" i="5"/>
  <c r="E33335" i="5"/>
  <c r="E33271" i="5"/>
  <c r="E33207" i="5"/>
  <c r="E33143" i="5"/>
  <c r="E33079" i="5"/>
  <c r="E33015" i="5"/>
  <c r="E32951" i="5"/>
  <c r="E32887" i="5"/>
  <c r="E32823" i="5"/>
  <c r="E32759" i="5"/>
  <c r="E32695" i="5"/>
  <c r="E32631" i="5"/>
  <c r="E32567" i="5"/>
  <c r="E32503" i="5"/>
  <c r="E32439" i="5"/>
  <c r="E32375" i="5"/>
  <c r="E32311" i="5"/>
  <c r="E32247" i="5"/>
  <c r="E32183" i="5"/>
  <c r="E32119" i="5"/>
  <c r="E32055" i="5"/>
  <c r="E31991" i="5"/>
  <c r="E31927" i="5"/>
  <c r="E31863" i="5"/>
  <c r="E31799" i="5"/>
  <c r="E31735" i="5"/>
  <c r="E31671" i="5"/>
  <c r="E31607" i="5"/>
  <c r="E31543" i="5"/>
  <c r="E31479" i="5"/>
  <c r="E31415" i="5"/>
  <c r="E31351" i="5"/>
  <c r="E31287" i="5"/>
  <c r="E31223" i="5"/>
  <c r="E31159" i="5"/>
  <c r="E31095" i="5"/>
  <c r="E31031" i="5"/>
  <c r="E30967" i="5"/>
  <c r="E30903" i="5"/>
  <c r="E30839" i="5"/>
  <c r="E30775" i="5"/>
  <c r="E30711" i="5"/>
  <c r="E30647" i="5"/>
  <c r="E30583" i="5"/>
  <c r="E30519" i="5"/>
  <c r="E30455" i="5"/>
  <c r="E30391" i="5"/>
  <c r="E30327" i="5"/>
  <c r="E30263" i="5"/>
  <c r="E30199" i="5"/>
  <c r="E30135" i="5"/>
  <c r="E30071" i="5"/>
  <c r="E30007" i="5"/>
  <c r="E29943" i="5"/>
  <c r="E29879" i="5"/>
  <c r="E29815" i="5"/>
  <c r="E29751" i="5"/>
  <c r="E29687" i="5"/>
  <c r="E29623" i="5"/>
  <c r="E29559" i="5"/>
  <c r="E29495" i="5"/>
  <c r="E29431" i="5"/>
  <c r="E29367" i="5"/>
  <c r="E29303" i="5"/>
  <c r="E29239" i="5"/>
  <c r="E29175" i="5"/>
  <c r="E29111" i="5"/>
  <c r="E29047" i="5"/>
  <c r="E28983" i="5"/>
  <c r="E28919" i="5"/>
  <c r="E28855" i="5"/>
  <c r="E28791" i="5"/>
  <c r="E28727" i="5"/>
  <c r="E28663" i="5"/>
  <c r="E28599" i="5"/>
  <c r="E28535" i="5"/>
  <c r="E28471" i="5"/>
  <c r="E28407" i="5"/>
  <c r="E28343" i="5"/>
  <c r="E28279" i="5"/>
  <c r="E28215" i="5"/>
  <c r="E28151" i="5"/>
  <c r="E28087" i="5"/>
  <c r="E28023" i="5"/>
  <c r="E27959" i="5"/>
  <c r="E27895" i="5"/>
  <c r="E27831" i="5"/>
  <c r="E27767" i="5"/>
  <c r="E27703" i="5"/>
  <c r="E27639" i="5"/>
  <c r="E27575" i="5"/>
  <c r="E27511" i="5"/>
  <c r="E27447" i="5"/>
  <c r="E27383" i="5"/>
  <c r="E27319" i="5"/>
  <c r="E27255" i="5"/>
  <c r="E27191" i="5"/>
  <c r="E27127" i="5"/>
  <c r="E27063" i="5"/>
  <c r="E26999" i="5"/>
  <c r="E26935" i="5"/>
  <c r="E26871" i="5"/>
  <c r="E26807" i="5"/>
  <c r="E26743" i="5"/>
  <c r="E26679" i="5"/>
  <c r="E26615" i="5"/>
  <c r="E26551" i="5"/>
  <c r="E26487" i="5"/>
  <c r="E26423" i="5"/>
  <c r="E26359" i="5"/>
  <c r="E26295" i="5"/>
  <c r="E26231" i="5"/>
  <c r="E26167" i="5"/>
  <c r="E26103" i="5"/>
  <c r="E26039" i="5"/>
  <c r="E25975" i="5"/>
  <c r="E25911" i="5"/>
  <c r="E25847" i="5"/>
  <c r="E25783" i="5"/>
  <c r="E25719" i="5"/>
  <c r="E25655" i="5"/>
  <c r="E25602" i="5"/>
  <c r="E25570" i="5"/>
  <c r="E25538" i="5"/>
  <c r="E25506" i="5"/>
  <c r="E25474" i="5"/>
  <c r="E25442" i="5"/>
  <c r="E25410" i="5"/>
  <c r="E25378" i="5"/>
  <c r="E25346" i="5"/>
  <c r="E25314" i="5"/>
  <c r="E25282" i="5"/>
  <c r="E25250" i="5"/>
  <c r="E25218" i="5"/>
  <c r="E25186" i="5"/>
  <c r="E25154" i="5"/>
  <c r="E25122" i="5"/>
  <c r="E25098" i="5"/>
  <c r="E25077" i="5"/>
  <c r="E25055" i="5"/>
  <c r="E25034" i="5"/>
  <c r="E25013" i="5"/>
  <c r="E24991" i="5"/>
  <c r="E24970" i="5"/>
  <c r="E24949" i="5"/>
  <c r="E24927" i="5"/>
  <c r="E24906" i="5"/>
  <c r="E24890" i="5"/>
  <c r="E24874" i="5"/>
  <c r="E24858" i="5"/>
  <c r="E24842" i="5"/>
  <c r="E24826" i="5"/>
  <c r="E24810" i="5"/>
  <c r="E24794" i="5"/>
  <c r="E24778" i="5"/>
  <c r="E24762" i="5"/>
  <c r="E24746" i="5"/>
  <c r="E24730" i="5"/>
  <c r="E24714" i="5"/>
  <c r="E24698" i="5"/>
  <c r="E24682" i="5"/>
  <c r="E24666" i="5"/>
  <c r="E24650" i="5"/>
  <c r="E24634" i="5"/>
  <c r="E24618" i="5"/>
  <c r="E24602" i="5"/>
  <c r="E24586" i="5"/>
  <c r="E24570" i="5"/>
  <c r="E24554" i="5"/>
  <c r="E24538" i="5"/>
  <c r="E24522" i="5"/>
  <c r="E24506" i="5"/>
  <c r="E24490" i="5"/>
  <c r="E24474" i="5"/>
  <c r="E24458" i="5"/>
  <c r="E24442" i="5"/>
  <c r="E24427" i="5"/>
  <c r="E24413" i="5"/>
  <c r="E24402" i="5"/>
  <c r="E24388" i="5"/>
  <c r="E24375" i="5"/>
  <c r="E24363" i="5"/>
  <c r="E24349" i="5"/>
  <c r="E24338" i="5"/>
  <c r="E24324" i="5"/>
  <c r="E24311" i="5"/>
  <c r="E24299" i="5"/>
  <c r="E24285" i="5"/>
  <c r="E24274" i="5"/>
  <c r="E24260" i="5"/>
  <c r="E24247" i="5"/>
  <c r="E24235" i="5"/>
  <c r="E24221" i="5"/>
  <c r="E24210" i="5"/>
  <c r="E24196" i="5"/>
  <c r="E24183" i="5"/>
  <c r="E24171" i="5"/>
  <c r="E24157" i="5"/>
  <c r="E24146" i="5"/>
  <c r="E24132" i="5"/>
  <c r="E24119" i="5"/>
  <c r="E24107" i="5"/>
  <c r="E24093" i="5"/>
  <c r="E24082" i="5"/>
  <c r="E24068" i="5"/>
  <c r="E24055" i="5"/>
  <c r="E24043" i="5"/>
  <c r="E24029" i="5"/>
  <c r="E24018" i="5"/>
  <c r="E24004" i="5"/>
  <c r="E23991" i="5"/>
  <c r="E23979" i="5"/>
  <c r="E23965" i="5"/>
  <c r="E23955" i="5"/>
  <c r="E23945" i="5"/>
  <c r="E23933" i="5"/>
  <c r="E23923" i="5"/>
  <c r="E23913" i="5"/>
  <c r="E23901" i="5"/>
  <c r="E23891" i="5"/>
  <c r="E23881" i="5"/>
  <c r="E23869" i="5"/>
  <c r="E23859" i="5"/>
  <c r="E23849" i="5"/>
  <c r="E23837" i="5"/>
  <c r="E23827" i="5"/>
  <c r="E23817" i="5"/>
  <c r="E23805" i="5"/>
  <c r="E23795" i="5"/>
  <c r="E23785" i="5"/>
  <c r="E23773" i="5"/>
  <c r="E23763" i="5"/>
  <c r="E23753" i="5"/>
  <c r="E23742" i="5"/>
  <c r="E23733" i="5"/>
  <c r="E23724" i="5"/>
  <c r="E23715" i="5"/>
  <c r="E23706" i="5"/>
  <c r="E23697" i="5"/>
  <c r="E23687" i="5"/>
  <c r="E23678" i="5"/>
  <c r="E23669" i="5"/>
  <c r="E23660" i="5"/>
  <c r="E23651" i="5"/>
  <c r="E23643" i="5"/>
  <c r="E23635" i="5"/>
  <c r="E23627" i="5"/>
  <c r="E23619" i="5"/>
  <c r="E23611" i="5"/>
  <c r="E23603" i="5"/>
  <c r="E23595" i="5"/>
  <c r="E23587" i="5"/>
  <c r="E23579" i="5"/>
  <c r="E23571" i="5"/>
  <c r="E23563" i="5"/>
  <c r="E23555" i="5"/>
  <c r="E23547" i="5"/>
  <c r="E23539" i="5"/>
  <c r="E23531" i="5"/>
  <c r="E23523" i="5"/>
  <c r="E23515" i="5"/>
  <c r="E23507" i="5"/>
  <c r="E23499" i="5"/>
  <c r="E23491" i="5"/>
  <c r="E23483" i="5"/>
  <c r="E23475" i="5"/>
  <c r="E23467" i="5"/>
  <c r="E23459" i="5"/>
  <c r="E23451" i="5"/>
  <c r="E23443" i="5"/>
  <c r="E23435" i="5"/>
  <c r="E23427" i="5"/>
  <c r="E23419" i="5"/>
  <c r="E23411" i="5"/>
  <c r="E23403" i="5"/>
  <c r="E23395" i="5"/>
  <c r="E23387" i="5"/>
  <c r="E23379" i="5"/>
  <c r="E23371" i="5"/>
  <c r="E23363" i="5"/>
  <c r="E23355" i="5"/>
  <c r="E23347" i="5"/>
  <c r="E23339" i="5"/>
  <c r="E23331" i="5"/>
  <c r="E23323" i="5"/>
  <c r="E23315" i="5"/>
  <c r="E23307" i="5"/>
  <c r="E23299" i="5"/>
  <c r="E23291" i="5"/>
  <c r="E23283" i="5"/>
  <c r="E23275" i="5"/>
  <c r="E23267" i="5"/>
  <c r="E23259" i="5"/>
  <c r="E23251" i="5"/>
  <c r="E23243" i="5"/>
  <c r="E23235" i="5"/>
  <c r="E23227" i="5"/>
  <c r="E23219" i="5"/>
  <c r="E23211" i="5"/>
  <c r="E23203" i="5"/>
  <c r="E23195" i="5"/>
  <c r="E23187" i="5"/>
  <c r="E23179" i="5"/>
  <c r="E23171" i="5"/>
  <c r="E23163" i="5"/>
  <c r="E23155" i="5"/>
  <c r="E23147" i="5"/>
  <c r="E23139" i="5"/>
  <c r="E23131" i="5"/>
  <c r="E23123" i="5"/>
  <c r="E23115" i="5"/>
  <c r="E23107" i="5"/>
  <c r="E23099" i="5"/>
  <c r="E23091" i="5"/>
  <c r="E23083" i="5"/>
  <c r="E23075" i="5"/>
  <c r="E23067" i="5"/>
  <c r="E23059" i="5"/>
  <c r="E23051" i="5"/>
  <c r="E23043" i="5"/>
  <c r="E23035" i="5"/>
  <c r="E23027" i="5"/>
  <c r="E23019" i="5"/>
  <c r="E23011" i="5"/>
  <c r="E23003" i="5"/>
  <c r="E22995" i="5"/>
  <c r="E22987" i="5"/>
  <c r="E22979" i="5"/>
  <c r="E22971" i="5"/>
  <c r="E22963" i="5"/>
  <c r="E22955" i="5"/>
  <c r="E22947" i="5"/>
  <c r="E22939" i="5"/>
  <c r="E22931" i="5"/>
  <c r="E22923" i="5"/>
  <c r="E22915" i="5"/>
  <c r="E22907" i="5"/>
  <c r="E22899" i="5"/>
  <c r="E22891" i="5"/>
  <c r="E22883" i="5"/>
  <c r="E22875" i="5"/>
  <c r="E22867" i="5"/>
  <c r="E22859" i="5"/>
  <c r="E22851" i="5"/>
  <c r="E22843" i="5"/>
  <c r="E22835" i="5"/>
  <c r="E22827" i="5"/>
  <c r="E22819" i="5"/>
  <c r="E22811" i="5"/>
  <c r="E22803" i="5"/>
  <c r="E22795" i="5"/>
  <c r="E22787" i="5"/>
  <c r="E22779" i="5"/>
  <c r="E22771" i="5"/>
  <c r="E22763" i="5"/>
  <c r="E22755" i="5"/>
  <c r="E22747" i="5"/>
  <c r="E22739" i="5"/>
  <c r="E22731" i="5"/>
  <c r="E22723" i="5"/>
  <c r="E22715" i="5"/>
  <c r="E22707" i="5"/>
  <c r="E22699" i="5"/>
  <c r="E22691" i="5"/>
  <c r="E22683" i="5"/>
  <c r="E22675" i="5"/>
  <c r="E22667" i="5"/>
  <c r="E22659" i="5"/>
  <c r="E22651" i="5"/>
  <c r="E22643" i="5"/>
  <c r="E22635" i="5"/>
  <c r="E22627" i="5"/>
  <c r="E22619" i="5"/>
  <c r="E22611" i="5"/>
  <c r="E22603" i="5"/>
  <c r="E22595" i="5"/>
  <c r="E22587" i="5"/>
  <c r="E22579" i="5"/>
  <c r="E22571" i="5"/>
  <c r="E22563" i="5"/>
  <c r="E22555" i="5"/>
  <c r="E22547" i="5"/>
  <c r="E22539" i="5"/>
  <c r="E22531" i="5"/>
  <c r="E22523" i="5"/>
  <c r="E22515" i="5"/>
  <c r="E22507" i="5"/>
  <c r="E22499" i="5"/>
  <c r="E22491" i="5"/>
  <c r="E22483" i="5"/>
  <c r="E22475" i="5"/>
  <c r="E22467" i="5"/>
  <c r="E22459" i="5"/>
  <c r="E22451" i="5"/>
  <c r="E22443" i="5"/>
  <c r="E22435" i="5"/>
  <c r="E22427" i="5"/>
  <c r="E22419" i="5"/>
  <c r="E22411" i="5"/>
  <c r="E22403" i="5"/>
  <c r="E22395" i="5"/>
  <c r="E22387" i="5"/>
  <c r="E22379" i="5"/>
  <c r="E22371" i="5"/>
  <c r="E22363" i="5"/>
  <c r="E22355" i="5"/>
  <c r="E22347" i="5"/>
  <c r="E22339" i="5"/>
  <c r="E22331" i="5"/>
  <c r="E22323" i="5"/>
  <c r="E22315" i="5"/>
  <c r="E22307" i="5"/>
  <c r="E22299" i="5"/>
  <c r="E22291" i="5"/>
  <c r="E22283" i="5"/>
  <c r="E22275" i="5"/>
  <c r="E22267" i="5"/>
  <c r="E22259" i="5"/>
  <c r="E22251" i="5"/>
  <c r="E22243" i="5"/>
  <c r="E22235" i="5"/>
  <c r="E22227" i="5"/>
  <c r="E22219" i="5"/>
  <c r="E22211" i="5"/>
  <c r="E22203" i="5"/>
  <c r="E22195" i="5"/>
  <c r="E22187" i="5"/>
  <c r="E22179" i="5"/>
  <c r="E22171" i="5"/>
  <c r="E22163" i="5"/>
  <c r="E22155" i="5"/>
  <c r="E22147" i="5"/>
  <c r="E22139" i="5"/>
  <c r="E22131" i="5"/>
  <c r="E22123" i="5"/>
  <c r="E22115" i="5"/>
  <c r="E22107" i="5"/>
  <c r="E22099" i="5"/>
  <c r="E22091" i="5"/>
  <c r="E22083" i="5"/>
  <c r="E22075" i="5"/>
  <c r="E22067" i="5"/>
  <c r="E22059" i="5"/>
  <c r="E22051" i="5"/>
  <c r="E22043" i="5"/>
  <c r="E22035" i="5"/>
  <c r="E22027" i="5"/>
  <c r="E22019" i="5"/>
  <c r="E22011" i="5"/>
  <c r="E22003" i="5"/>
  <c r="E21995" i="5"/>
  <c r="E21987" i="5"/>
  <c r="E21979" i="5"/>
  <c r="E21971" i="5"/>
  <c r="E21963" i="5"/>
  <c r="E21955" i="5"/>
  <c r="E21947" i="5"/>
  <c r="E21939" i="5"/>
  <c r="E21931" i="5"/>
  <c r="E21923" i="5"/>
  <c r="E21915" i="5"/>
  <c r="E21907" i="5"/>
  <c r="E21899" i="5"/>
  <c r="E21891" i="5"/>
  <c r="E21883" i="5"/>
  <c r="E21875" i="5"/>
  <c r="E21867" i="5"/>
  <c r="E21859" i="5"/>
  <c r="E21851" i="5"/>
  <c r="E21843" i="5"/>
  <c r="E21835" i="5"/>
  <c r="E21827" i="5"/>
  <c r="E21819" i="5"/>
  <c r="E21811" i="5"/>
  <c r="E21803" i="5"/>
  <c r="E21795" i="5"/>
  <c r="E21787" i="5"/>
  <c r="E21779" i="5"/>
  <c r="E21771" i="5"/>
  <c r="E21763" i="5"/>
  <c r="E21755" i="5"/>
  <c r="E21747" i="5"/>
  <c r="E21739" i="5"/>
  <c r="E21731" i="5"/>
  <c r="E21723" i="5"/>
  <c r="E21715" i="5"/>
  <c r="E21707" i="5"/>
  <c r="E21699" i="5"/>
  <c r="E21691" i="5"/>
  <c r="E21683" i="5"/>
  <c r="E21675" i="5"/>
  <c r="E21667" i="5"/>
  <c r="E21659" i="5"/>
  <c r="E21651" i="5"/>
  <c r="E21643" i="5"/>
  <c r="E21635" i="5"/>
  <c r="E21627" i="5"/>
  <c r="E21619" i="5"/>
  <c r="E21611" i="5"/>
  <c r="E21603" i="5"/>
  <c r="E21595" i="5"/>
  <c r="E21587" i="5"/>
  <c r="E21579" i="5"/>
  <c r="E21571" i="5"/>
  <c r="E21563" i="5"/>
  <c r="E21555" i="5"/>
  <c r="E21547" i="5"/>
  <c r="E21539" i="5"/>
  <c r="E21531" i="5"/>
  <c r="E21523" i="5"/>
  <c r="E21515" i="5"/>
  <c r="E21507" i="5"/>
  <c r="E21499" i="5"/>
  <c r="E21491" i="5"/>
  <c r="E21483" i="5"/>
  <c r="E21475" i="5"/>
  <c r="E21467" i="5"/>
  <c r="E21459" i="5"/>
  <c r="E21451" i="5"/>
  <c r="E21443" i="5"/>
  <c r="E21435" i="5"/>
  <c r="E21427" i="5"/>
  <c r="E21419" i="5"/>
  <c r="E21411" i="5"/>
  <c r="E21403" i="5"/>
  <c r="E21395" i="5"/>
  <c r="E21387" i="5"/>
  <c r="E21379" i="5"/>
  <c r="E21371" i="5"/>
  <c r="E21363" i="5"/>
  <c r="E21355" i="5"/>
  <c r="E21347" i="5"/>
  <c r="E21339" i="5"/>
  <c r="E21331" i="5"/>
  <c r="E21323" i="5"/>
  <c r="E21315" i="5"/>
  <c r="E21307" i="5"/>
  <c r="E21299" i="5"/>
  <c r="E21291" i="5"/>
  <c r="E21283" i="5"/>
  <c r="E21275" i="5"/>
  <c r="E21267" i="5"/>
  <c r="E21259" i="5"/>
  <c r="E21251" i="5"/>
  <c r="E21243" i="5"/>
  <c r="E21235" i="5"/>
  <c r="E21227" i="5"/>
  <c r="E21219" i="5"/>
  <c r="E21211" i="5"/>
  <c r="E21203" i="5"/>
  <c r="E21195" i="5"/>
  <c r="E21187" i="5"/>
  <c r="E21179" i="5"/>
  <c r="E21171" i="5"/>
  <c r="E21163" i="5"/>
  <c r="E21155" i="5"/>
  <c r="E21147" i="5"/>
  <c r="E21139" i="5"/>
  <c r="E21131" i="5"/>
  <c r="E21123" i="5"/>
  <c r="E21115" i="5"/>
  <c r="E21107" i="5"/>
  <c r="E21099" i="5"/>
  <c r="E21091" i="5"/>
  <c r="E21083" i="5"/>
  <c r="E21075" i="5"/>
  <c r="E21067" i="5"/>
  <c r="E21059" i="5"/>
  <c r="E21051" i="5"/>
  <c r="E21043" i="5"/>
  <c r="E21035" i="5"/>
  <c r="E21027" i="5"/>
  <c r="E21019" i="5"/>
  <c r="E21011" i="5"/>
  <c r="E21003" i="5"/>
  <c r="E20995" i="5"/>
  <c r="E20987" i="5"/>
  <c r="E20979" i="5"/>
  <c r="E20971" i="5"/>
  <c r="E20963" i="5"/>
  <c r="E20955" i="5"/>
  <c r="E20947" i="5"/>
  <c r="E20939" i="5"/>
  <c r="E20931" i="5"/>
  <c r="E20923" i="5"/>
  <c r="E20915" i="5"/>
  <c r="E20907" i="5"/>
  <c r="E20899" i="5"/>
  <c r="E20891" i="5"/>
  <c r="E20883" i="5"/>
  <c r="E20875" i="5"/>
  <c r="E20867" i="5"/>
  <c r="E20859" i="5"/>
  <c r="E20851" i="5"/>
  <c r="E20843" i="5"/>
  <c r="E20835" i="5"/>
  <c r="E20827" i="5"/>
  <c r="E20819" i="5"/>
  <c r="E20811" i="5"/>
  <c r="E20803" i="5"/>
  <c r="E20795" i="5"/>
  <c r="E20787" i="5"/>
  <c r="E20779" i="5"/>
  <c r="E20771" i="5"/>
  <c r="E20763" i="5"/>
  <c r="E20755" i="5"/>
  <c r="E20747" i="5"/>
  <c r="E20739" i="5"/>
  <c r="E20731" i="5"/>
  <c r="E20723" i="5"/>
  <c r="E20715" i="5"/>
  <c r="E20707" i="5"/>
  <c r="E20699" i="5"/>
  <c r="E20691" i="5"/>
  <c r="E20683" i="5"/>
  <c r="E20675" i="5"/>
  <c r="E20667" i="5"/>
  <c r="E20659" i="5"/>
  <c r="E20651" i="5"/>
  <c r="E20643" i="5"/>
  <c r="E20635" i="5"/>
  <c r="E20627" i="5"/>
  <c r="E20619" i="5"/>
  <c r="E20611" i="5"/>
  <c r="E20603" i="5"/>
  <c r="E20595" i="5"/>
  <c r="E20587" i="5"/>
  <c r="E20579" i="5"/>
  <c r="E20571" i="5"/>
  <c r="E20563" i="5"/>
  <c r="E20555" i="5"/>
  <c r="E20547" i="5"/>
  <c r="E20539" i="5"/>
  <c r="E20531" i="5"/>
  <c r="E20523" i="5"/>
  <c r="E20515" i="5"/>
  <c r="E20507" i="5"/>
  <c r="E20499" i="5"/>
  <c r="E20491" i="5"/>
  <c r="E20483" i="5"/>
  <c r="E20475" i="5"/>
  <c r="E20467" i="5"/>
  <c r="E20459" i="5"/>
  <c r="E20451" i="5"/>
  <c r="E20443" i="5"/>
  <c r="E20435" i="5"/>
  <c r="E20427" i="5"/>
  <c r="E20419" i="5"/>
  <c r="E20411" i="5"/>
  <c r="E20403" i="5"/>
  <c r="E20395" i="5"/>
  <c r="E20387" i="5"/>
  <c r="E20379" i="5"/>
  <c r="E20371" i="5"/>
  <c r="E20363" i="5"/>
  <c r="E20355" i="5"/>
  <c r="E20347" i="5"/>
  <c r="E20339" i="5"/>
  <c r="E20331" i="5"/>
  <c r="E20323" i="5"/>
  <c r="E20315" i="5"/>
  <c r="E20307" i="5"/>
  <c r="E20299" i="5"/>
  <c r="E20291" i="5"/>
  <c r="E20283" i="5"/>
  <c r="E20275" i="5"/>
  <c r="E20267" i="5"/>
  <c r="E20259" i="5"/>
  <c r="E20251" i="5"/>
  <c r="E20243" i="5"/>
  <c r="E20235" i="5"/>
  <c r="E20227" i="5"/>
  <c r="E20219" i="5"/>
  <c r="E20211" i="5"/>
  <c r="E20203" i="5"/>
  <c r="E20195" i="5"/>
  <c r="E20187" i="5"/>
  <c r="E20179" i="5"/>
  <c r="E20171" i="5"/>
  <c r="E20163" i="5"/>
  <c r="E20155" i="5"/>
  <c r="E20147" i="5"/>
  <c r="E20139" i="5"/>
  <c r="E20131" i="5"/>
  <c r="E20123" i="5"/>
  <c r="E20115" i="5"/>
  <c r="E20107" i="5"/>
  <c r="E20099" i="5"/>
  <c r="E20091" i="5"/>
  <c r="E20083" i="5"/>
  <c r="E20075" i="5"/>
  <c r="E20067" i="5"/>
  <c r="E20059" i="5"/>
  <c r="E20051" i="5"/>
  <c r="E20043" i="5"/>
  <c r="E20035" i="5"/>
  <c r="E20027" i="5"/>
  <c r="E20019" i="5"/>
  <c r="E20011" i="5"/>
  <c r="E20003" i="5"/>
  <c r="E19995" i="5"/>
  <c r="E19987" i="5"/>
  <c r="E19979" i="5"/>
  <c r="E19971" i="5"/>
  <c r="E19963" i="5"/>
  <c r="E19955" i="5"/>
  <c r="E19947" i="5"/>
  <c r="E19939" i="5"/>
  <c r="E19931" i="5"/>
  <c r="E19923" i="5"/>
  <c r="E19915" i="5"/>
  <c r="E19907" i="5"/>
  <c r="E19899" i="5"/>
  <c r="E19891" i="5"/>
  <c r="E19883" i="5"/>
  <c r="E19875" i="5"/>
  <c r="E19867" i="5"/>
  <c r="E19859" i="5"/>
  <c r="E19851" i="5"/>
  <c r="E19843" i="5"/>
  <c r="E19835" i="5"/>
  <c r="E19827" i="5"/>
  <c r="E19819" i="5"/>
  <c r="E19811" i="5"/>
  <c r="E19803" i="5"/>
  <c r="E19795" i="5"/>
  <c r="E19787" i="5"/>
  <c r="E19779" i="5"/>
  <c r="E19771" i="5"/>
  <c r="E19763" i="5"/>
  <c r="E19755" i="5"/>
  <c r="E19747" i="5"/>
  <c r="E19739" i="5"/>
  <c r="E19731" i="5"/>
  <c r="E19723" i="5"/>
  <c r="E19715" i="5"/>
  <c r="E19707" i="5"/>
  <c r="E19699" i="5"/>
  <c r="E19691" i="5"/>
  <c r="E19683" i="5"/>
  <c r="E19675" i="5"/>
  <c r="E19667" i="5"/>
  <c r="E19659" i="5"/>
  <c r="E19651" i="5"/>
  <c r="E19643" i="5"/>
  <c r="E19635" i="5"/>
  <c r="E19627" i="5"/>
  <c r="E19619" i="5"/>
  <c r="E19611" i="5"/>
  <c r="E19603" i="5"/>
  <c r="E19595" i="5"/>
  <c r="E19587" i="5"/>
  <c r="E19579" i="5"/>
  <c r="E19571" i="5"/>
  <c r="E19563" i="5"/>
  <c r="E19555" i="5"/>
  <c r="E19547" i="5"/>
  <c r="E19539" i="5"/>
  <c r="E19531" i="5"/>
  <c r="E19523" i="5"/>
  <c r="E19515" i="5"/>
  <c r="E19507" i="5"/>
  <c r="E19499" i="5"/>
  <c r="E19491" i="5"/>
  <c r="E19483" i="5"/>
  <c r="E19475" i="5"/>
  <c r="E19467" i="5"/>
  <c r="E19459" i="5"/>
  <c r="E19451" i="5"/>
  <c r="E19443" i="5"/>
  <c r="E19435" i="5"/>
  <c r="E19427" i="5"/>
  <c r="E19419" i="5"/>
  <c r="E19411" i="5"/>
  <c r="E19403" i="5"/>
  <c r="E19395" i="5"/>
  <c r="E19387" i="5"/>
  <c r="E19379" i="5"/>
  <c r="E19371" i="5"/>
  <c r="E19363" i="5"/>
  <c r="E19355" i="5"/>
  <c r="E19347" i="5"/>
  <c r="E19339" i="5"/>
  <c r="E19331" i="5"/>
  <c r="E19323" i="5"/>
  <c r="E19315" i="5"/>
  <c r="E19307" i="5"/>
  <c r="E19299" i="5"/>
  <c r="E19291" i="5"/>
  <c r="E19283" i="5"/>
  <c r="E19275" i="5"/>
  <c r="E19267" i="5"/>
  <c r="E19259" i="5"/>
  <c r="E19251" i="5"/>
  <c r="E19243" i="5"/>
  <c r="E19235" i="5"/>
  <c r="E19227" i="5"/>
  <c r="E19219" i="5"/>
  <c r="E19211" i="5"/>
  <c r="E19203" i="5"/>
  <c r="E19195" i="5"/>
  <c r="E19187" i="5"/>
  <c r="E19179" i="5"/>
  <c r="E19171" i="5"/>
  <c r="E19163" i="5"/>
  <c r="E19155" i="5"/>
  <c r="E19147" i="5"/>
  <c r="E19139" i="5"/>
  <c r="E19131" i="5"/>
  <c r="E19123" i="5"/>
  <c r="E19115" i="5"/>
  <c r="E19107" i="5"/>
  <c r="E19099" i="5"/>
  <c r="E19091" i="5"/>
  <c r="E19083" i="5"/>
  <c r="E19075" i="5"/>
  <c r="E19067" i="5"/>
  <c r="E19059" i="5"/>
  <c r="E19051" i="5"/>
  <c r="E19043" i="5"/>
  <c r="E19035" i="5"/>
  <c r="E19027" i="5"/>
  <c r="E19019" i="5"/>
  <c r="E19011" i="5"/>
  <c r="E19003" i="5"/>
  <c r="E18995" i="5"/>
  <c r="E18987" i="5"/>
  <c r="E18979" i="5"/>
  <c r="E18971" i="5"/>
  <c r="E18963" i="5"/>
  <c r="E18955" i="5"/>
  <c r="E18947" i="5"/>
  <c r="E18939" i="5"/>
  <c r="E18931" i="5"/>
  <c r="E18923" i="5"/>
  <c r="E18915" i="5"/>
  <c r="E18907" i="5"/>
  <c r="E18899" i="5"/>
  <c r="E18891" i="5"/>
  <c r="E18883" i="5"/>
  <c r="E18875" i="5"/>
  <c r="E18867" i="5"/>
  <c r="E18859" i="5"/>
  <c r="E18851" i="5"/>
  <c r="E18843" i="5"/>
  <c r="E18835" i="5"/>
  <c r="E18827" i="5"/>
  <c r="E18819" i="5"/>
  <c r="E18811" i="5"/>
  <c r="E18803" i="5"/>
  <c r="E18795" i="5"/>
  <c r="E18787" i="5"/>
  <c r="E18779" i="5"/>
  <c r="E18771" i="5"/>
  <c r="E18763" i="5"/>
  <c r="E18755" i="5"/>
  <c r="E18747" i="5"/>
  <c r="E18739" i="5"/>
  <c r="E18731" i="5"/>
  <c r="E18723" i="5"/>
  <c r="E18715" i="5"/>
  <c r="E18707" i="5"/>
  <c r="E18699" i="5"/>
  <c r="E18691" i="5"/>
  <c r="E18683" i="5"/>
  <c r="E18675" i="5"/>
  <c r="E18667" i="5"/>
  <c r="E18659" i="5"/>
  <c r="E18651" i="5"/>
  <c r="E18643" i="5"/>
  <c r="E18635" i="5"/>
  <c r="E18627" i="5"/>
  <c r="E18619" i="5"/>
  <c r="E18611" i="5"/>
  <c r="E18603" i="5"/>
  <c r="E18595" i="5"/>
  <c r="E18587" i="5"/>
  <c r="E18579" i="5"/>
  <c r="E18571" i="5"/>
  <c r="E18563" i="5"/>
  <c r="E18555" i="5"/>
  <c r="E18547" i="5"/>
  <c r="E18539" i="5"/>
  <c r="E18531" i="5"/>
  <c r="E18523" i="5"/>
  <c r="E18515" i="5"/>
  <c r="E18507" i="5"/>
  <c r="E18499" i="5"/>
  <c r="E18491" i="5"/>
  <c r="E18483" i="5"/>
  <c r="E18475" i="5"/>
  <c r="E18467" i="5"/>
  <c r="E18459" i="5"/>
  <c r="E18451" i="5"/>
  <c r="E18443" i="5"/>
  <c r="E18435" i="5"/>
  <c r="E18427" i="5"/>
  <c r="E18419" i="5"/>
  <c r="E18411" i="5"/>
  <c r="E18403" i="5"/>
  <c r="E18395" i="5"/>
  <c r="E18387" i="5"/>
  <c r="E18379" i="5"/>
  <c r="E18371" i="5"/>
  <c r="E18363" i="5"/>
  <c r="E18355" i="5"/>
  <c r="E18347" i="5"/>
  <c r="E18339" i="5"/>
  <c r="E18331" i="5"/>
  <c r="E18323" i="5"/>
  <c r="E18315" i="5"/>
  <c r="E18307" i="5"/>
  <c r="E18299" i="5"/>
  <c r="E18291" i="5"/>
  <c r="E18283" i="5"/>
  <c r="E18275" i="5"/>
  <c r="E18267" i="5"/>
  <c r="E18259" i="5"/>
  <c r="E18251" i="5"/>
  <c r="E18243" i="5"/>
  <c r="E18235" i="5"/>
  <c r="E18227" i="5"/>
  <c r="E18219" i="5"/>
  <c r="E18211" i="5"/>
  <c r="E18203" i="5"/>
  <c r="E18195" i="5"/>
  <c r="E18187" i="5"/>
  <c r="E18179" i="5"/>
  <c r="E18171" i="5"/>
  <c r="E18163" i="5"/>
  <c r="E18155" i="5"/>
  <c r="E18147" i="5"/>
  <c r="E18139" i="5"/>
  <c r="E18131" i="5"/>
  <c r="E18123" i="5"/>
  <c r="E18115" i="5"/>
  <c r="E18107" i="5"/>
  <c r="E18099" i="5"/>
  <c r="E18091" i="5"/>
  <c r="E18083" i="5"/>
  <c r="E18075" i="5"/>
  <c r="E18067" i="5"/>
  <c r="E18059" i="5"/>
  <c r="E18051" i="5"/>
  <c r="E18043" i="5"/>
  <c r="E18035" i="5"/>
  <c r="E18027" i="5"/>
  <c r="E18019" i="5"/>
  <c r="E18011" i="5"/>
  <c r="E18003" i="5"/>
  <c r="E17995" i="5"/>
  <c r="E17987" i="5"/>
  <c r="E17979" i="5"/>
  <c r="E17971" i="5"/>
  <c r="E17963" i="5"/>
  <c r="E17955" i="5"/>
  <c r="E17947" i="5"/>
  <c r="E17939" i="5"/>
  <c r="E17931" i="5"/>
  <c r="E17923" i="5"/>
  <c r="E17915" i="5"/>
  <c r="E17907" i="5"/>
  <c r="E17899" i="5"/>
  <c r="E17891" i="5"/>
  <c r="E17883" i="5"/>
  <c r="E17875" i="5"/>
  <c r="E17867" i="5"/>
  <c r="E17859" i="5"/>
  <c r="E17851" i="5"/>
  <c r="E17843" i="5"/>
  <c r="E17835" i="5"/>
  <c r="E17827" i="5"/>
  <c r="E17819" i="5"/>
  <c r="E17811" i="5"/>
  <c r="E17803" i="5"/>
  <c r="E17795" i="5"/>
  <c r="E17787" i="5"/>
  <c r="E17779" i="5"/>
  <c r="E17771" i="5"/>
  <c r="E17763" i="5"/>
  <c r="E17755" i="5"/>
  <c r="E17747" i="5"/>
  <c r="E17739" i="5"/>
  <c r="E17731" i="5"/>
  <c r="E17723" i="5"/>
  <c r="E17715" i="5"/>
  <c r="E17707" i="5"/>
  <c r="E17699" i="5"/>
  <c r="E17691" i="5"/>
  <c r="E17683" i="5"/>
  <c r="E17675" i="5"/>
  <c r="E17667" i="5"/>
  <c r="E17659" i="5"/>
  <c r="E17651" i="5"/>
  <c r="E17643" i="5"/>
  <c r="E17635" i="5"/>
  <c r="E17627" i="5"/>
  <c r="E17619" i="5"/>
  <c r="E17611" i="5"/>
  <c r="E17603" i="5"/>
  <c r="E17595" i="5"/>
  <c r="E17587" i="5"/>
  <c r="E17579" i="5"/>
  <c r="E17571" i="5"/>
  <c r="E17563" i="5"/>
  <c r="E17555" i="5"/>
  <c r="E17547" i="5"/>
  <c r="E17539" i="5"/>
  <c r="E17531" i="5"/>
  <c r="E17523" i="5"/>
  <c r="E17515" i="5"/>
  <c r="E17507" i="5"/>
  <c r="E17499" i="5"/>
  <c r="E17491" i="5"/>
  <c r="E17483" i="5"/>
  <c r="E17475" i="5"/>
  <c r="E17467" i="5"/>
  <c r="E17459" i="5"/>
  <c r="E17451" i="5"/>
  <c r="E17443" i="5"/>
  <c r="E17435" i="5"/>
  <c r="E17427" i="5"/>
  <c r="E17419" i="5"/>
  <c r="E17411" i="5"/>
  <c r="E17403" i="5"/>
  <c r="E17395" i="5"/>
  <c r="E17387" i="5"/>
  <c r="E17379" i="5"/>
  <c r="E17371" i="5"/>
  <c r="E17363" i="5"/>
  <c r="E17355" i="5"/>
  <c r="E17347" i="5"/>
  <c r="E17339" i="5"/>
  <c r="E17331" i="5"/>
  <c r="E17323" i="5"/>
  <c r="E17315" i="5"/>
  <c r="E17307" i="5"/>
  <c r="E17299" i="5"/>
  <c r="E17291" i="5"/>
  <c r="E17283" i="5"/>
  <c r="E17275" i="5"/>
  <c r="E17267" i="5"/>
  <c r="E17259" i="5"/>
  <c r="E17251" i="5"/>
  <c r="E17243" i="5"/>
  <c r="E17235" i="5"/>
  <c r="E17227" i="5"/>
  <c r="E17219" i="5"/>
  <c r="E17211" i="5"/>
  <c r="E17203" i="5"/>
  <c r="E17195" i="5"/>
  <c r="E17187" i="5"/>
  <c r="E17179" i="5"/>
  <c r="E17171" i="5"/>
  <c r="E17163" i="5"/>
  <c r="E17155" i="5"/>
  <c r="E17147" i="5"/>
  <c r="E17139" i="5"/>
  <c r="E17131" i="5"/>
  <c r="E17123" i="5"/>
  <c r="E17115" i="5"/>
  <c r="E17107" i="5"/>
  <c r="E17099" i="5"/>
  <c r="E17091" i="5"/>
  <c r="E17083" i="5"/>
  <c r="E17075" i="5"/>
  <c r="E17067" i="5"/>
  <c r="E17059" i="5"/>
  <c r="E17051" i="5"/>
  <c r="E17043" i="5"/>
  <c r="E17035" i="5"/>
  <c r="E17027" i="5"/>
  <c r="E17019" i="5"/>
  <c r="E17011" i="5"/>
  <c r="E17003" i="5"/>
  <c r="E16995" i="5"/>
  <c r="E16987" i="5"/>
  <c r="E16979" i="5"/>
  <c r="E16971" i="5"/>
  <c r="E16963" i="5"/>
  <c r="E16955" i="5"/>
  <c r="E16947" i="5"/>
  <c r="E16939" i="5"/>
  <c r="E16931" i="5"/>
  <c r="E16923" i="5"/>
  <c r="E16915" i="5"/>
  <c r="E16907" i="5"/>
  <c r="E16899" i="5"/>
  <c r="E16891" i="5"/>
  <c r="E16883" i="5"/>
  <c r="E16875" i="5"/>
  <c r="E16867" i="5"/>
  <c r="E16859" i="5"/>
  <c r="E16851" i="5"/>
  <c r="E16843" i="5"/>
  <c r="E16835" i="5"/>
  <c r="E16827" i="5"/>
  <c r="E16819" i="5"/>
  <c r="E16811" i="5"/>
  <c r="E16803" i="5"/>
  <c r="E16795" i="5"/>
  <c r="E16787" i="5"/>
  <c r="E16779" i="5"/>
  <c r="E16771" i="5"/>
  <c r="E16763" i="5"/>
  <c r="E16755" i="5"/>
  <c r="E16747" i="5"/>
  <c r="E16739" i="5"/>
  <c r="E16731" i="5"/>
  <c r="E16723" i="5"/>
  <c r="E16715" i="5"/>
  <c r="E16707" i="5"/>
  <c r="E16699" i="5"/>
  <c r="E16691" i="5"/>
  <c r="E16683" i="5"/>
  <c r="E16675" i="5"/>
  <c r="E16667" i="5"/>
  <c r="E16659" i="5"/>
  <c r="E16651" i="5"/>
  <c r="E16643" i="5"/>
  <c r="E16635" i="5"/>
  <c r="E16627" i="5"/>
  <c r="E16619" i="5"/>
  <c r="E16611" i="5"/>
  <c r="E16603" i="5"/>
  <c r="E16595" i="5"/>
  <c r="E16587" i="5"/>
  <c r="E16579" i="5"/>
  <c r="E16571" i="5"/>
  <c r="E16563" i="5"/>
  <c r="E16555" i="5"/>
  <c r="E16547" i="5"/>
  <c r="E16539" i="5"/>
  <c r="E16531" i="5"/>
  <c r="E16523" i="5"/>
  <c r="E16515" i="5"/>
  <c r="E16507" i="5"/>
  <c r="E16499" i="5"/>
  <c r="E16491" i="5"/>
  <c r="E16483" i="5"/>
  <c r="E16475" i="5"/>
  <c r="E16467" i="5"/>
  <c r="E16459" i="5"/>
  <c r="E16451" i="5"/>
  <c r="E16443" i="5"/>
  <c r="E16435" i="5"/>
  <c r="E16427" i="5"/>
  <c r="E16419" i="5"/>
  <c r="E16411" i="5"/>
  <c r="E16403" i="5"/>
  <c r="E16395" i="5"/>
  <c r="E16387" i="5"/>
  <c r="E16379" i="5"/>
  <c r="E16371" i="5"/>
  <c r="E16363" i="5"/>
  <c r="E16355" i="5"/>
  <c r="E16347" i="5"/>
  <c r="E16339" i="5"/>
  <c r="E16331" i="5"/>
  <c r="E16323" i="5"/>
  <c r="E16315" i="5"/>
  <c r="E16307" i="5"/>
  <c r="E16299" i="5"/>
  <c r="E16291" i="5"/>
  <c r="E16283" i="5"/>
  <c r="E16275" i="5"/>
  <c r="E16267" i="5"/>
  <c r="E16259" i="5"/>
  <c r="E16251" i="5"/>
  <c r="E16243" i="5"/>
  <c r="E16235" i="5"/>
  <c r="E16227" i="5"/>
  <c r="E16219" i="5"/>
  <c r="E16211" i="5"/>
  <c r="E16203" i="5"/>
  <c r="E16195" i="5"/>
  <c r="E16187" i="5"/>
  <c r="E16179" i="5"/>
  <c r="E16171" i="5"/>
  <c r="E16163" i="5"/>
  <c r="E16155" i="5"/>
  <c r="E16147" i="5"/>
  <c r="E16139" i="5"/>
  <c r="E16131" i="5"/>
  <c r="E16123" i="5"/>
  <c r="E16115" i="5"/>
  <c r="E16107" i="5"/>
  <c r="E16099" i="5"/>
  <c r="E16091" i="5"/>
  <c r="E16083" i="5"/>
  <c r="E16075" i="5"/>
  <c r="E16067" i="5"/>
  <c r="E16059" i="5"/>
  <c r="E16051" i="5"/>
  <c r="E16043" i="5"/>
  <c r="E16035" i="5"/>
  <c r="E16027" i="5"/>
  <c r="E16019" i="5"/>
  <c r="E16011" i="5"/>
  <c r="E16003" i="5"/>
  <c r="E15995" i="5"/>
  <c r="E15987" i="5"/>
  <c r="E15979" i="5"/>
  <c r="E15971" i="5"/>
  <c r="E15963" i="5"/>
  <c r="E15955" i="5"/>
  <c r="E15947" i="5"/>
  <c r="E15939" i="5"/>
  <c r="E15931" i="5"/>
  <c r="E15923" i="5"/>
  <c r="E15915" i="5"/>
  <c r="E15907" i="5"/>
  <c r="E15899" i="5"/>
  <c r="E15891" i="5"/>
  <c r="E15883" i="5"/>
  <c r="E15875" i="5"/>
  <c r="E15867" i="5"/>
  <c r="E15859" i="5"/>
  <c r="E15851" i="5"/>
  <c r="E15843" i="5"/>
  <c r="E15835" i="5"/>
  <c r="E15827" i="5"/>
  <c r="E15819" i="5"/>
  <c r="E15811" i="5"/>
  <c r="E15803" i="5"/>
  <c r="E15795" i="5"/>
  <c r="E15787" i="5"/>
  <c r="E15779" i="5"/>
  <c r="E15771" i="5"/>
  <c r="E15763" i="5"/>
  <c r="E15755" i="5"/>
  <c r="E15747" i="5"/>
  <c r="E15739" i="5"/>
  <c r="E15731" i="5"/>
  <c r="E15723" i="5"/>
  <c r="E15715" i="5"/>
  <c r="E15707" i="5"/>
  <c r="E15699" i="5"/>
  <c r="E15691" i="5"/>
  <c r="E15683" i="5"/>
  <c r="E15675" i="5"/>
  <c r="E15667" i="5"/>
  <c r="E15659" i="5"/>
  <c r="E15651" i="5"/>
  <c r="E15643" i="5"/>
  <c r="E15635" i="5"/>
  <c r="E15627" i="5"/>
  <c r="E15619" i="5"/>
  <c r="E15611" i="5"/>
  <c r="E15603" i="5"/>
  <c r="E15595" i="5"/>
  <c r="E15587" i="5"/>
  <c r="E15579" i="5"/>
  <c r="E15571" i="5"/>
  <c r="E15563" i="5"/>
  <c r="E15555" i="5"/>
  <c r="E15547" i="5"/>
  <c r="E15539" i="5"/>
  <c r="E15531" i="5"/>
  <c r="E15523" i="5"/>
  <c r="E15515" i="5"/>
  <c r="E15507" i="5"/>
  <c r="E15499" i="5"/>
  <c r="E15491" i="5"/>
  <c r="E15483" i="5"/>
  <c r="E15475" i="5"/>
  <c r="E15467" i="5"/>
  <c r="E15459" i="5"/>
  <c r="E15451" i="5"/>
  <c r="E15443" i="5"/>
  <c r="E15435" i="5"/>
  <c r="E15427" i="5"/>
  <c r="E15419" i="5"/>
  <c r="E15411" i="5"/>
  <c r="E15403" i="5"/>
  <c r="E15395" i="5"/>
  <c r="E15387" i="5"/>
  <c r="E15379" i="5"/>
  <c r="E15371" i="5"/>
  <c r="E15363" i="5"/>
  <c r="E15355" i="5"/>
  <c r="E15347" i="5"/>
  <c r="E15339" i="5"/>
  <c r="E15331" i="5"/>
  <c r="E15323" i="5"/>
  <c r="E15315" i="5"/>
  <c r="E15307" i="5"/>
  <c r="E15299" i="5"/>
  <c r="E15291" i="5"/>
  <c r="E15283" i="5"/>
  <c r="E15275" i="5"/>
  <c r="E15267" i="5"/>
  <c r="E15259" i="5"/>
  <c r="E15251" i="5"/>
  <c r="E15243" i="5"/>
  <c r="E15235" i="5"/>
  <c r="E15227" i="5"/>
  <c r="E15219" i="5"/>
  <c r="E15211" i="5"/>
  <c r="E15203" i="5"/>
  <c r="E15195" i="5"/>
  <c r="E15187" i="5"/>
  <c r="E15179" i="5"/>
  <c r="E15171" i="5"/>
  <c r="E15163" i="5"/>
  <c r="E15155" i="5"/>
  <c r="E15147" i="5"/>
  <c r="E15139" i="5"/>
  <c r="E15131" i="5"/>
  <c r="E15123" i="5"/>
  <c r="E15115" i="5"/>
  <c r="E15107" i="5"/>
  <c r="E15099" i="5"/>
  <c r="E15091" i="5"/>
  <c r="E15083" i="5"/>
  <c r="E15075" i="5"/>
  <c r="E15067" i="5"/>
  <c r="E15059" i="5"/>
  <c r="E15051" i="5"/>
  <c r="E15043" i="5"/>
  <c r="E15035" i="5"/>
  <c r="E15027" i="5"/>
  <c r="E15019" i="5"/>
  <c r="E15011" i="5"/>
  <c r="E15003" i="5"/>
  <c r="E14995" i="5"/>
  <c r="E14987" i="5"/>
  <c r="E14979" i="5"/>
  <c r="E14971" i="5"/>
  <c r="E14963" i="5"/>
  <c r="E14955" i="5"/>
  <c r="E14947" i="5"/>
  <c r="E14939" i="5"/>
  <c r="E14931" i="5"/>
  <c r="E14923" i="5"/>
  <c r="E14915" i="5"/>
  <c r="E14907" i="5"/>
  <c r="E14899" i="5"/>
  <c r="E14891" i="5"/>
  <c r="E14883" i="5"/>
  <c r="E14875" i="5"/>
  <c r="E14867" i="5"/>
  <c r="E14859" i="5"/>
  <c r="E14851" i="5"/>
  <c r="E14843" i="5"/>
  <c r="E14835" i="5"/>
  <c r="E14827" i="5"/>
  <c r="E14819" i="5"/>
  <c r="E14811" i="5"/>
  <c r="E14803" i="5"/>
  <c r="E14795" i="5"/>
  <c r="E14787" i="5"/>
  <c r="E14779" i="5"/>
  <c r="E14771" i="5"/>
  <c r="E14763" i="5"/>
  <c r="E14755" i="5"/>
  <c r="E14747" i="5"/>
  <c r="E14739" i="5"/>
  <c r="E14731" i="5"/>
  <c r="E14723" i="5"/>
  <c r="E14715" i="5"/>
  <c r="E14707" i="5"/>
  <c r="E14699" i="5"/>
  <c r="E14691" i="5"/>
  <c r="E14683" i="5"/>
  <c r="E14675" i="5"/>
  <c r="E14667" i="5"/>
  <c r="E14659" i="5"/>
  <c r="E14651" i="5"/>
  <c r="E14643" i="5"/>
  <c r="E14635" i="5"/>
  <c r="E14627" i="5"/>
  <c r="E14619" i="5"/>
  <c r="E14611" i="5"/>
  <c r="E14603" i="5"/>
  <c r="E14595" i="5"/>
  <c r="E14587" i="5"/>
  <c r="E14579" i="5"/>
  <c r="E14571" i="5"/>
  <c r="E14563" i="5"/>
  <c r="E14555" i="5"/>
  <c r="E14547" i="5"/>
  <c r="E14539" i="5"/>
  <c r="E14531" i="5"/>
  <c r="E14523" i="5"/>
  <c r="E14515" i="5"/>
  <c r="E14507" i="5"/>
  <c r="E14499" i="5"/>
  <c r="E14491" i="5"/>
  <c r="E14483" i="5"/>
  <c r="E14475" i="5"/>
  <c r="E14467" i="5"/>
  <c r="E14459" i="5"/>
  <c r="E14451" i="5"/>
  <c r="E14443" i="5"/>
  <c r="E14435" i="5"/>
  <c r="E14427" i="5"/>
  <c r="E14419" i="5"/>
  <c r="E14411" i="5"/>
  <c r="E14403" i="5"/>
  <c r="E14395" i="5"/>
  <c r="E14387" i="5"/>
  <c r="E14379" i="5"/>
  <c r="E14371" i="5"/>
  <c r="E14363" i="5"/>
  <c r="E14355" i="5"/>
  <c r="E14347" i="5"/>
  <c r="E14339" i="5"/>
  <c r="E14331" i="5"/>
  <c r="E14323" i="5"/>
  <c r="E14315" i="5"/>
  <c r="E14307" i="5"/>
  <c r="E14299" i="5"/>
  <c r="E14291" i="5"/>
  <c r="E14283" i="5"/>
  <c r="E14275" i="5"/>
  <c r="E14267" i="5"/>
  <c r="E14259" i="5"/>
  <c r="E14251" i="5"/>
  <c r="E14243" i="5"/>
  <c r="E14235" i="5"/>
  <c r="E14227" i="5"/>
  <c r="E14219" i="5"/>
  <c r="E14211" i="5"/>
  <c r="E14203" i="5"/>
  <c r="E14195" i="5"/>
  <c r="E14187" i="5"/>
  <c r="E14179" i="5"/>
  <c r="E14171" i="5"/>
  <c r="E14163" i="5"/>
  <c r="E14155" i="5"/>
  <c r="E14147" i="5"/>
  <c r="E14139" i="5"/>
  <c r="E14131" i="5"/>
  <c r="E14123" i="5"/>
  <c r="E14115" i="5"/>
  <c r="E14107" i="5"/>
  <c r="E14099" i="5"/>
  <c r="E14091" i="5"/>
  <c r="E14083" i="5"/>
  <c r="E14075" i="5"/>
  <c r="E14067" i="5"/>
  <c r="E14059" i="5"/>
  <c r="E14051" i="5"/>
  <c r="E14043" i="5"/>
  <c r="E14035" i="5"/>
  <c r="E14027" i="5"/>
  <c r="E14019" i="5"/>
  <c r="E14011" i="5"/>
  <c r="E14003" i="5"/>
  <c r="E13995" i="5"/>
  <c r="E13987" i="5"/>
  <c r="E13979" i="5"/>
  <c r="E13971" i="5"/>
  <c r="E13963" i="5"/>
  <c r="E13955" i="5"/>
  <c r="E13947" i="5"/>
  <c r="E13939" i="5"/>
  <c r="E13931" i="5"/>
  <c r="E13923" i="5"/>
  <c r="E13915" i="5"/>
  <c r="E13907" i="5"/>
  <c r="E13899" i="5"/>
  <c r="E13891" i="5"/>
  <c r="E13883" i="5"/>
  <c r="E13875" i="5"/>
  <c r="E13867" i="5"/>
  <c r="E13859" i="5"/>
  <c r="E13851" i="5"/>
  <c r="E13843" i="5"/>
  <c r="E13835" i="5"/>
  <c r="E13827" i="5"/>
  <c r="E13819" i="5"/>
  <c r="E13811" i="5"/>
  <c r="E13803" i="5"/>
  <c r="E13795" i="5"/>
  <c r="E13787" i="5"/>
  <c r="E13779" i="5"/>
  <c r="E13771" i="5"/>
  <c r="E13763" i="5"/>
  <c r="E13755" i="5"/>
  <c r="E13747" i="5"/>
  <c r="E13739" i="5"/>
  <c r="E13731" i="5"/>
  <c r="E13723" i="5"/>
  <c r="E13715" i="5"/>
  <c r="E13707" i="5"/>
  <c r="E13699" i="5"/>
  <c r="E13691" i="5"/>
  <c r="E13683" i="5"/>
  <c r="E13675" i="5"/>
  <c r="E13667" i="5"/>
  <c r="E13659" i="5"/>
  <c r="E13651" i="5"/>
  <c r="E13643" i="5"/>
  <c r="E13635" i="5"/>
  <c r="E13627" i="5"/>
  <c r="E13619" i="5"/>
  <c r="E13611" i="5"/>
  <c r="E13603" i="5"/>
  <c r="E13595" i="5"/>
  <c r="E13587" i="5"/>
  <c r="E13579" i="5"/>
  <c r="E13571" i="5"/>
  <c r="E13563" i="5"/>
  <c r="E13555" i="5"/>
  <c r="E13547" i="5"/>
  <c r="E13539" i="5"/>
  <c r="E13531" i="5"/>
  <c r="E13523" i="5"/>
  <c r="E13515" i="5"/>
  <c r="E13507" i="5"/>
  <c r="E13499" i="5"/>
  <c r="E13491" i="5"/>
  <c r="E13483" i="5"/>
  <c r="E13475" i="5"/>
  <c r="E13467" i="5"/>
  <c r="E13459" i="5"/>
  <c r="E13451" i="5"/>
  <c r="E13443" i="5"/>
  <c r="E13435" i="5"/>
  <c r="E13427" i="5"/>
  <c r="E13419" i="5"/>
  <c r="E13411" i="5"/>
  <c r="E13403" i="5"/>
  <c r="E13395" i="5"/>
  <c r="E13387" i="5"/>
  <c r="E13379" i="5"/>
  <c r="E13371" i="5"/>
  <c r="E13363" i="5"/>
  <c r="E13355" i="5"/>
  <c r="E13347" i="5"/>
  <c r="E13339" i="5"/>
  <c r="E13331" i="5"/>
  <c r="E13323" i="5"/>
  <c r="E13315" i="5"/>
  <c r="E13307" i="5"/>
  <c r="E13299" i="5"/>
  <c r="E13291" i="5"/>
  <c r="E13283" i="5"/>
  <c r="E13275" i="5"/>
  <c r="E13267" i="5"/>
  <c r="E13259" i="5"/>
  <c r="E13251" i="5"/>
  <c r="E13243" i="5"/>
  <c r="E13235" i="5"/>
  <c r="E13227" i="5"/>
  <c r="E13219" i="5"/>
  <c r="E13211" i="5"/>
  <c r="E13203" i="5"/>
  <c r="E13195" i="5"/>
  <c r="E13187" i="5"/>
  <c r="E13179" i="5"/>
  <c r="E13171" i="5"/>
  <c r="E13163" i="5"/>
  <c r="E13155" i="5"/>
  <c r="E13147" i="5"/>
  <c r="E13139" i="5"/>
  <c r="E13131" i="5"/>
  <c r="E13123" i="5"/>
  <c r="E13115" i="5"/>
  <c r="E13107" i="5"/>
  <c r="E13099" i="5"/>
  <c r="E13091" i="5"/>
  <c r="E13083" i="5"/>
  <c r="E13075" i="5"/>
  <c r="E13067" i="5"/>
  <c r="E13059" i="5"/>
  <c r="E13051" i="5"/>
  <c r="E13043" i="5"/>
  <c r="E13035" i="5"/>
  <c r="E13027" i="5"/>
  <c r="E13019" i="5"/>
  <c r="E13011" i="5"/>
  <c r="E13003" i="5"/>
  <c r="E12995" i="5"/>
  <c r="E12987" i="5"/>
  <c r="E12979" i="5"/>
  <c r="E12971" i="5"/>
  <c r="E12963" i="5"/>
  <c r="E12955" i="5"/>
  <c r="E12947" i="5"/>
  <c r="E12939" i="5"/>
  <c r="E12931" i="5"/>
  <c r="E12923" i="5"/>
  <c r="E12915" i="5"/>
  <c r="E12907" i="5"/>
  <c r="E12899" i="5"/>
  <c r="E12891" i="5"/>
  <c r="E12883" i="5"/>
  <c r="E12875" i="5"/>
  <c r="E12867" i="5"/>
  <c r="E12859" i="5"/>
  <c r="E12851" i="5"/>
  <c r="E12843" i="5"/>
  <c r="E12835" i="5"/>
  <c r="E12827" i="5"/>
  <c r="E12819" i="5"/>
  <c r="E12811" i="5"/>
  <c r="E12803" i="5"/>
  <c r="E12795" i="5"/>
  <c r="E12787" i="5"/>
  <c r="E12779" i="5"/>
  <c r="E12771" i="5"/>
  <c r="E12763" i="5"/>
  <c r="E12755" i="5"/>
  <c r="E12747" i="5"/>
  <c r="E12739" i="5"/>
  <c r="E12731" i="5"/>
  <c r="E12723" i="5"/>
  <c r="E12715" i="5"/>
  <c r="E12707" i="5"/>
  <c r="E12699" i="5"/>
  <c r="E12691" i="5"/>
  <c r="E12683" i="5"/>
  <c r="E12675" i="5"/>
  <c r="E12667" i="5"/>
  <c r="E12659" i="5"/>
  <c r="E12651" i="5"/>
  <c r="E12643" i="5"/>
  <c r="E12635" i="5"/>
  <c r="E12627" i="5"/>
  <c r="E12619" i="5"/>
  <c r="E12611" i="5"/>
  <c r="E12603" i="5"/>
  <c r="E12595" i="5"/>
  <c r="E12587" i="5"/>
  <c r="E12579" i="5"/>
  <c r="E12571" i="5"/>
  <c r="E12563" i="5"/>
  <c r="E12555" i="5"/>
  <c r="E12547" i="5"/>
  <c r="E12539" i="5"/>
  <c r="E12531" i="5"/>
  <c r="E12523" i="5"/>
  <c r="E12515" i="5"/>
  <c r="E12507" i="5"/>
  <c r="E12499" i="5"/>
  <c r="E12491" i="5"/>
  <c r="E12483" i="5"/>
  <c r="E12475" i="5"/>
  <c r="E12467" i="5"/>
  <c r="E12459" i="5"/>
  <c r="E12451" i="5"/>
  <c r="E12443" i="5"/>
  <c r="E12435" i="5"/>
  <c r="E12427" i="5"/>
  <c r="E12419" i="5"/>
  <c r="E12411" i="5"/>
  <c r="E12403" i="5"/>
  <c r="E12395" i="5"/>
  <c r="E12387" i="5"/>
  <c r="E12379" i="5"/>
  <c r="E12371" i="5"/>
  <c r="E12363" i="5"/>
  <c r="E12355" i="5"/>
  <c r="E12347" i="5"/>
  <c r="E12339" i="5"/>
  <c r="E12331" i="5"/>
  <c r="E12323" i="5"/>
  <c r="E12315" i="5"/>
  <c r="E12307" i="5"/>
  <c r="E12299" i="5"/>
  <c r="E12291" i="5"/>
  <c r="E12283" i="5"/>
  <c r="E12275" i="5"/>
  <c r="E12267" i="5"/>
  <c r="E12259" i="5"/>
  <c r="E12251" i="5"/>
  <c r="E12243" i="5"/>
  <c r="E12235" i="5"/>
  <c r="E12227" i="5"/>
  <c r="E12219" i="5"/>
  <c r="E12211" i="5"/>
  <c r="E12203" i="5"/>
  <c r="E12195" i="5"/>
  <c r="E12187" i="5"/>
  <c r="E12179" i="5"/>
  <c r="E12171" i="5"/>
  <c r="E12163" i="5"/>
  <c r="E12155" i="5"/>
  <c r="E12147" i="5"/>
  <c r="E12139" i="5"/>
  <c r="E12131" i="5"/>
  <c r="E12123" i="5"/>
  <c r="E12115" i="5"/>
  <c r="E12107" i="5"/>
  <c r="E12099" i="5"/>
  <c r="E12091" i="5"/>
  <c r="E12083" i="5"/>
  <c r="E12075" i="5"/>
  <c r="E12067" i="5"/>
  <c r="E12059" i="5"/>
  <c r="E12051" i="5"/>
  <c r="E12043" i="5"/>
  <c r="E12035" i="5"/>
  <c r="E12027" i="5"/>
  <c r="E12019" i="5"/>
  <c r="E12011" i="5"/>
  <c r="E12003" i="5"/>
  <c r="E11995" i="5"/>
  <c r="E11987" i="5"/>
  <c r="E11979" i="5"/>
  <c r="E11971" i="5"/>
  <c r="E11963" i="5"/>
  <c r="E11955" i="5"/>
  <c r="E11947" i="5"/>
  <c r="E11939" i="5"/>
  <c r="E11931" i="5"/>
  <c r="E11923" i="5"/>
  <c r="E11915" i="5"/>
  <c r="E11907" i="5"/>
  <c r="E11899" i="5"/>
  <c r="E11891" i="5"/>
  <c r="E11883" i="5"/>
  <c r="E11875" i="5"/>
  <c r="E11867" i="5"/>
  <c r="E11859" i="5"/>
  <c r="E11851" i="5"/>
  <c r="E11843" i="5"/>
  <c r="E11835" i="5"/>
  <c r="E11827" i="5"/>
  <c r="E11819" i="5"/>
  <c r="E11811" i="5"/>
  <c r="E11803" i="5"/>
  <c r="E11795" i="5"/>
  <c r="E11787" i="5"/>
  <c r="E11779" i="5"/>
  <c r="E11771" i="5"/>
  <c r="E11763" i="5"/>
  <c r="E11755" i="5"/>
  <c r="E11747" i="5"/>
  <c r="E11739" i="5"/>
  <c r="E11731" i="5"/>
  <c r="E11723" i="5"/>
  <c r="E11715" i="5"/>
  <c r="E11707" i="5"/>
  <c r="E11699" i="5"/>
  <c r="E11691" i="5"/>
  <c r="E11683" i="5"/>
  <c r="E11675" i="5"/>
  <c r="E11667" i="5"/>
  <c r="E11659" i="5"/>
  <c r="E11651" i="5"/>
  <c r="E11643" i="5"/>
  <c r="E11635" i="5"/>
  <c r="E11627" i="5"/>
  <c r="E11619" i="5"/>
  <c r="E11611" i="5"/>
  <c r="E11603" i="5"/>
  <c r="E11595" i="5"/>
  <c r="E11587" i="5"/>
  <c r="E11579" i="5"/>
  <c r="E11571" i="5"/>
  <c r="E11563" i="5"/>
  <c r="E11555" i="5"/>
  <c r="E11547" i="5"/>
  <c r="E11539" i="5"/>
  <c r="E11531" i="5"/>
  <c r="E11523" i="5"/>
  <c r="E11515" i="5"/>
  <c r="E11507" i="5"/>
  <c r="E11499" i="5"/>
  <c r="E11491" i="5"/>
  <c r="E11483" i="5"/>
  <c r="E11475" i="5"/>
  <c r="E11467" i="5"/>
  <c r="E11459" i="5"/>
  <c r="E11451" i="5"/>
  <c r="E11443" i="5"/>
  <c r="E11435" i="5"/>
  <c r="E11427" i="5"/>
  <c r="E11419" i="5"/>
  <c r="E11411" i="5"/>
  <c r="E11403" i="5"/>
  <c r="E11395" i="5"/>
  <c r="E11387" i="5"/>
  <c r="E11379" i="5"/>
  <c r="E11371" i="5"/>
  <c r="E11363" i="5"/>
  <c r="E11355" i="5"/>
  <c r="E11347" i="5"/>
  <c r="E11339" i="5"/>
  <c r="E11331" i="5"/>
  <c r="E11323" i="5"/>
  <c r="E11315" i="5"/>
  <c r="E11307" i="5"/>
  <c r="E11299" i="5"/>
  <c r="E11291" i="5"/>
  <c r="E11283" i="5"/>
  <c r="E11275" i="5"/>
  <c r="E11267" i="5"/>
  <c r="E11259" i="5"/>
  <c r="E11251" i="5"/>
  <c r="E11243" i="5"/>
  <c r="E11235" i="5"/>
  <c r="E11227" i="5"/>
  <c r="E11219" i="5"/>
  <c r="E11211" i="5"/>
  <c r="E11203" i="5"/>
  <c r="E11195" i="5"/>
  <c r="E11187" i="5"/>
  <c r="E11179" i="5"/>
  <c r="E11171" i="5"/>
  <c r="E11163" i="5"/>
  <c r="E11155" i="5"/>
  <c r="E11147" i="5"/>
  <c r="E11139" i="5"/>
  <c r="E11131" i="5"/>
  <c r="E11123" i="5"/>
  <c r="E11115" i="5"/>
  <c r="E11107" i="5"/>
  <c r="E11099" i="5"/>
  <c r="E11091" i="5"/>
  <c r="E11083" i="5"/>
  <c r="E11075" i="5"/>
  <c r="E11067" i="5"/>
  <c r="E11059" i="5"/>
  <c r="E11051" i="5"/>
  <c r="E11043" i="5"/>
  <c r="E11035" i="5"/>
  <c r="E11027" i="5"/>
  <c r="E11019" i="5"/>
  <c r="E11011" i="5"/>
  <c r="E11003" i="5"/>
  <c r="E10995" i="5"/>
  <c r="E10987" i="5"/>
  <c r="E10979" i="5"/>
  <c r="E10971" i="5"/>
  <c r="E10963" i="5"/>
  <c r="E10955" i="5"/>
  <c r="E10947" i="5"/>
  <c r="E10939" i="5"/>
  <c r="E10931" i="5"/>
  <c r="E10923" i="5"/>
  <c r="E10915" i="5"/>
  <c r="E10907" i="5"/>
  <c r="E10899" i="5"/>
  <c r="E10891" i="5"/>
  <c r="E10883" i="5"/>
  <c r="E10875" i="5"/>
  <c r="E10867" i="5"/>
  <c r="E10859" i="5"/>
  <c r="E10851" i="5"/>
  <c r="E10843" i="5"/>
  <c r="E10835" i="5"/>
  <c r="E10827" i="5"/>
  <c r="E10819" i="5"/>
  <c r="E10811" i="5"/>
  <c r="E10803" i="5"/>
  <c r="E10795" i="5"/>
  <c r="E10787" i="5"/>
  <c r="E10779" i="5"/>
  <c r="E10771" i="5"/>
  <c r="E10763" i="5"/>
  <c r="E10755" i="5"/>
  <c r="E10747" i="5"/>
  <c r="E10739" i="5"/>
  <c r="E10731" i="5"/>
  <c r="E10723" i="5"/>
  <c r="E10715" i="5"/>
  <c r="E10707" i="5"/>
  <c r="E10699" i="5"/>
  <c r="E10691" i="5"/>
  <c r="E10683" i="5"/>
  <c r="E10675" i="5"/>
  <c r="E10667" i="5"/>
  <c r="E10659" i="5"/>
  <c r="E10651" i="5"/>
  <c r="E10643" i="5"/>
  <c r="E10635" i="5"/>
  <c r="E10627" i="5"/>
  <c r="E10619" i="5"/>
  <c r="E10611" i="5"/>
  <c r="E10603" i="5"/>
  <c r="E10595" i="5"/>
  <c r="E10587" i="5"/>
  <c r="E10579" i="5"/>
  <c r="E10571" i="5"/>
  <c r="E10563" i="5"/>
  <c r="E10555" i="5"/>
  <c r="E10547" i="5"/>
  <c r="E10539" i="5"/>
  <c r="E10531" i="5"/>
  <c r="E10523" i="5"/>
  <c r="E10515" i="5"/>
  <c r="E10507" i="5"/>
  <c r="E10499" i="5"/>
  <c r="E10491" i="5"/>
  <c r="E10483" i="5"/>
  <c r="E10475" i="5"/>
  <c r="E10467" i="5"/>
  <c r="E10459" i="5"/>
  <c r="E10451" i="5"/>
  <c r="E10443" i="5"/>
  <c r="E10435" i="5"/>
  <c r="E10427" i="5"/>
  <c r="E10419" i="5"/>
  <c r="E10411" i="5"/>
  <c r="E10403" i="5"/>
  <c r="E10395" i="5"/>
  <c r="E10387" i="5"/>
  <c r="E10379" i="5"/>
  <c r="E10371" i="5"/>
  <c r="E10363" i="5"/>
  <c r="E10355" i="5"/>
  <c r="E10347" i="5"/>
  <c r="E10339" i="5"/>
  <c r="E10331" i="5"/>
  <c r="E10323" i="5"/>
  <c r="E10315" i="5"/>
  <c r="E10307" i="5"/>
  <c r="E10299" i="5"/>
  <c r="E10291" i="5"/>
  <c r="E10283" i="5"/>
  <c r="E10275" i="5"/>
  <c r="E10267" i="5"/>
  <c r="E10259" i="5"/>
  <c r="E10251" i="5"/>
  <c r="E10243" i="5"/>
  <c r="E10235" i="5"/>
  <c r="E10227" i="5"/>
  <c r="E10219" i="5"/>
  <c r="E10211" i="5"/>
  <c r="E10203" i="5"/>
  <c r="E10195" i="5"/>
  <c r="E10187" i="5"/>
  <c r="E10179" i="5"/>
  <c r="E10171" i="5"/>
  <c r="E10163" i="5"/>
  <c r="E10155" i="5"/>
  <c r="E10147" i="5"/>
  <c r="E10139" i="5"/>
  <c r="E10131" i="5"/>
  <c r="E10123" i="5"/>
  <c r="E10115" i="5"/>
  <c r="E10107" i="5"/>
  <c r="E10099" i="5"/>
  <c r="E10091" i="5"/>
  <c r="E10083" i="5"/>
  <c r="E10075" i="5"/>
  <c r="E10067" i="5"/>
  <c r="E10059" i="5"/>
  <c r="E10051" i="5"/>
  <c r="E10043" i="5"/>
  <c r="E10035" i="5"/>
  <c r="E10027" i="5"/>
  <c r="E10019" i="5"/>
  <c r="E10011" i="5"/>
  <c r="E10003" i="5"/>
  <c r="E9995" i="5"/>
  <c r="E9987" i="5"/>
  <c r="E9979" i="5"/>
  <c r="E9971" i="5"/>
  <c r="E9963" i="5"/>
  <c r="E9955" i="5"/>
  <c r="E9947" i="5"/>
  <c r="E9939" i="5"/>
  <c r="E9931" i="5"/>
  <c r="E9923" i="5"/>
  <c r="E9915" i="5"/>
  <c r="E9907" i="5"/>
  <c r="E9899" i="5"/>
  <c r="E9891" i="5"/>
  <c r="E9883" i="5"/>
  <c r="E9875" i="5"/>
  <c r="E9867" i="5"/>
  <c r="E9859" i="5"/>
  <c r="E9851" i="5"/>
  <c r="E9843" i="5"/>
  <c r="E9835" i="5"/>
  <c r="E9827" i="5"/>
  <c r="E9819" i="5"/>
  <c r="E9811" i="5"/>
  <c r="E9803" i="5"/>
  <c r="E9795" i="5"/>
  <c r="E9787" i="5"/>
  <c r="E9779" i="5"/>
  <c r="E9771" i="5"/>
  <c r="E9763" i="5"/>
  <c r="E9755" i="5"/>
  <c r="E9747" i="5"/>
  <c r="E9739" i="5"/>
  <c r="E9731" i="5"/>
  <c r="E9723" i="5"/>
  <c r="E9715" i="5"/>
  <c r="E9707" i="5"/>
  <c r="E9699" i="5"/>
  <c r="E9691" i="5"/>
  <c r="E9683" i="5"/>
  <c r="E9675" i="5"/>
  <c r="E9667" i="5"/>
  <c r="E9659" i="5"/>
  <c r="E9651" i="5"/>
  <c r="E9643" i="5"/>
  <c r="E9635" i="5"/>
  <c r="E9627" i="5"/>
  <c r="E9619" i="5"/>
  <c r="E9611" i="5"/>
  <c r="E9603" i="5"/>
  <c r="E9595" i="5"/>
  <c r="E9587" i="5"/>
  <c r="E9579" i="5"/>
  <c r="E9571" i="5"/>
  <c r="E9563" i="5"/>
  <c r="E9555" i="5"/>
  <c r="E9547" i="5"/>
  <c r="E9539" i="5"/>
  <c r="E9531" i="5"/>
  <c r="E9523" i="5"/>
  <c r="E9515" i="5"/>
  <c r="E9507" i="5"/>
  <c r="E9499" i="5"/>
  <c r="E9491" i="5"/>
  <c r="E9483" i="5"/>
  <c r="E9475" i="5"/>
  <c r="E9467" i="5"/>
  <c r="E9459" i="5"/>
  <c r="E9451" i="5"/>
  <c r="E9443" i="5"/>
  <c r="E9435" i="5"/>
  <c r="E9427" i="5"/>
  <c r="E9419" i="5"/>
  <c r="E9411" i="5"/>
  <c r="E9403" i="5"/>
  <c r="E9395" i="5"/>
  <c r="E9387" i="5"/>
  <c r="E9379" i="5"/>
  <c r="E9371" i="5"/>
  <c r="E9363" i="5"/>
  <c r="E9355" i="5"/>
  <c r="E9347" i="5"/>
  <c r="E9339" i="5"/>
  <c r="E9331" i="5"/>
  <c r="E9323" i="5"/>
  <c r="E9315" i="5"/>
  <c r="E9307" i="5"/>
  <c r="E9299" i="5"/>
  <c r="E9291" i="5"/>
  <c r="E9283" i="5"/>
  <c r="E9275" i="5"/>
  <c r="E9267" i="5"/>
  <c r="E9259" i="5"/>
  <c r="E9251" i="5"/>
  <c r="E9243" i="5"/>
  <c r="E9235" i="5"/>
  <c r="E9227" i="5"/>
  <c r="E9219" i="5"/>
  <c r="E9211" i="5"/>
  <c r="E9203" i="5"/>
  <c r="E9195" i="5"/>
  <c r="E9187" i="5"/>
  <c r="E9179" i="5"/>
  <c r="E9171" i="5"/>
  <c r="E9163" i="5"/>
  <c r="E9155" i="5"/>
  <c r="E9147" i="5"/>
  <c r="E9139" i="5"/>
  <c r="E9131" i="5"/>
  <c r="E9123" i="5"/>
  <c r="E9115" i="5"/>
  <c r="E9107" i="5"/>
  <c r="E9099" i="5"/>
  <c r="E9091" i="5"/>
  <c r="E9083" i="5"/>
  <c r="E9075" i="5"/>
  <c r="E9067" i="5"/>
  <c r="E9059" i="5"/>
  <c r="E9051" i="5"/>
  <c r="E9043" i="5"/>
  <c r="E9035" i="5"/>
  <c r="E9027" i="5"/>
  <c r="E9019" i="5"/>
  <c r="E9011" i="5"/>
  <c r="E9003" i="5"/>
  <c r="E8995" i="5"/>
  <c r="E8987" i="5"/>
  <c r="E8979" i="5"/>
  <c r="E8971" i="5"/>
  <c r="E8963" i="5"/>
  <c r="E8955" i="5"/>
  <c r="E8947" i="5"/>
  <c r="E8939" i="5"/>
  <c r="E8931" i="5"/>
  <c r="E8923" i="5"/>
  <c r="E8915" i="5"/>
  <c r="E8907" i="5"/>
  <c r="E8899" i="5"/>
  <c r="E8891" i="5"/>
  <c r="E8883" i="5"/>
  <c r="E8875" i="5"/>
  <c r="E8867" i="5"/>
  <c r="E8859" i="5"/>
  <c r="E8851" i="5"/>
  <c r="E8843" i="5"/>
  <c r="E8835" i="5"/>
  <c r="E8827" i="5"/>
  <c r="E8819" i="5"/>
  <c r="E8811" i="5"/>
  <c r="E8803" i="5"/>
  <c r="E8795" i="5"/>
  <c r="E8787" i="5"/>
  <c r="E8779" i="5"/>
  <c r="E8771" i="5"/>
  <c r="E8763" i="5"/>
  <c r="E8755" i="5"/>
  <c r="E8747" i="5"/>
  <c r="E8739" i="5"/>
  <c r="E8731" i="5"/>
  <c r="E8723" i="5"/>
  <c r="E8715" i="5"/>
  <c r="E8707" i="5"/>
  <c r="E8699" i="5"/>
  <c r="E8691" i="5"/>
  <c r="E8683" i="5"/>
  <c r="E8675" i="5"/>
  <c r="E8667" i="5"/>
  <c r="E8659" i="5"/>
  <c r="E8651" i="5"/>
  <c r="E8643" i="5"/>
  <c r="E8635" i="5"/>
  <c r="E8627" i="5"/>
  <c r="E8619" i="5"/>
  <c r="E8611" i="5"/>
  <c r="E8603" i="5"/>
  <c r="E8595" i="5"/>
  <c r="E8587" i="5"/>
  <c r="E8579" i="5"/>
  <c r="E8571" i="5"/>
  <c r="E8563" i="5"/>
  <c r="E8555" i="5"/>
  <c r="E8547" i="5"/>
  <c r="E8539" i="5"/>
  <c r="E8531" i="5"/>
  <c r="E8523" i="5"/>
  <c r="E8515" i="5"/>
  <c r="E8507" i="5"/>
  <c r="E8499" i="5"/>
  <c r="E8491" i="5"/>
  <c r="E8483" i="5"/>
  <c r="E8475" i="5"/>
  <c r="E8467" i="5"/>
  <c r="E8459" i="5"/>
  <c r="E8451" i="5"/>
  <c r="E8443" i="5"/>
  <c r="E8435" i="5"/>
  <c r="E8427" i="5"/>
  <c r="E8419" i="5"/>
  <c r="E8411" i="5"/>
  <c r="E8403" i="5"/>
  <c r="E8395" i="5"/>
  <c r="E8387" i="5"/>
  <c r="E8379" i="5"/>
  <c r="E8371" i="5"/>
  <c r="E8363" i="5"/>
  <c r="E8355" i="5"/>
  <c r="E8347" i="5"/>
  <c r="E8339" i="5"/>
  <c r="E8331" i="5"/>
  <c r="E8323" i="5"/>
  <c r="E8315" i="5"/>
  <c r="E8307" i="5"/>
  <c r="E8299" i="5"/>
  <c r="E8291" i="5"/>
  <c r="E8283" i="5"/>
  <c r="E8275" i="5"/>
  <c r="E8267" i="5"/>
  <c r="E8259" i="5"/>
  <c r="E8251" i="5"/>
  <c r="E8243" i="5"/>
  <c r="E8235" i="5"/>
  <c r="E8227" i="5"/>
  <c r="E8219" i="5"/>
  <c r="E8211" i="5"/>
  <c r="E8203" i="5"/>
  <c r="E8195" i="5"/>
  <c r="E8187" i="5"/>
  <c r="E8179" i="5"/>
  <c r="E8171" i="5"/>
  <c r="E8163" i="5"/>
  <c r="E8155" i="5"/>
  <c r="E8147" i="5"/>
  <c r="E8139" i="5"/>
  <c r="E8131" i="5"/>
  <c r="E8123" i="5"/>
  <c r="E8115" i="5"/>
  <c r="E8107" i="5"/>
  <c r="E8099" i="5"/>
  <c r="E8091" i="5"/>
  <c r="E8083" i="5"/>
  <c r="E8075" i="5"/>
  <c r="E8067" i="5"/>
  <c r="E8059" i="5"/>
  <c r="E8051" i="5"/>
  <c r="E8043" i="5"/>
  <c r="E8035" i="5"/>
  <c r="E8027" i="5"/>
  <c r="E8019" i="5"/>
  <c r="E8011" i="5"/>
  <c r="E8003" i="5"/>
  <c r="E7995" i="5"/>
  <c r="E7987" i="5"/>
  <c r="E7979" i="5"/>
  <c r="E7971" i="5"/>
  <c r="E7963" i="5"/>
  <c r="E7955" i="5"/>
  <c r="E7947" i="5"/>
  <c r="E7939" i="5"/>
  <c r="E7931" i="5"/>
  <c r="E7923" i="5"/>
  <c r="E7915" i="5"/>
  <c r="E7907" i="5"/>
  <c r="E7899" i="5"/>
  <c r="E7891" i="5"/>
  <c r="E7883" i="5"/>
  <c r="E7875" i="5"/>
  <c r="E7867" i="5"/>
  <c r="E7859" i="5"/>
  <c r="E7851" i="5"/>
  <c r="E7843" i="5"/>
  <c r="E7835" i="5"/>
  <c r="E7827" i="5"/>
  <c r="E7819" i="5"/>
  <c r="E7811" i="5"/>
  <c r="E7803" i="5"/>
  <c r="E7795" i="5"/>
  <c r="E7787" i="5"/>
  <c r="E7779" i="5"/>
  <c r="E7771" i="5"/>
  <c r="E7763" i="5"/>
  <c r="E7755" i="5"/>
  <c r="E7747" i="5"/>
  <c r="E7739" i="5"/>
  <c r="E7731" i="5"/>
  <c r="E7723" i="5"/>
  <c r="E7715" i="5"/>
  <c r="E7707" i="5"/>
  <c r="E7699" i="5"/>
  <c r="E7691" i="5"/>
  <c r="E7683" i="5"/>
  <c r="E7675" i="5"/>
  <c r="E7667" i="5"/>
  <c r="E7659" i="5"/>
  <c r="E7651" i="5"/>
  <c r="E7643" i="5"/>
  <c r="E7635" i="5"/>
  <c r="E7627" i="5"/>
  <c r="E7619" i="5"/>
  <c r="E7611" i="5"/>
  <c r="E7603" i="5"/>
  <c r="E7595" i="5"/>
  <c r="E7587" i="5"/>
  <c r="E7579" i="5"/>
  <c r="E7571" i="5"/>
  <c r="E7563" i="5"/>
  <c r="E7555" i="5"/>
  <c r="E7547" i="5"/>
  <c r="E7539" i="5"/>
  <c r="E7531" i="5"/>
  <c r="E7523" i="5"/>
  <c r="E7515" i="5"/>
  <c r="E7507" i="5"/>
  <c r="E7499" i="5"/>
  <c r="E7491" i="5"/>
  <c r="E7483" i="5"/>
  <c r="E7475" i="5"/>
  <c r="E7467" i="5"/>
  <c r="E7459" i="5"/>
  <c r="E7451" i="5"/>
  <c r="E7443" i="5"/>
  <c r="E7435" i="5"/>
  <c r="E7427" i="5"/>
  <c r="E7419" i="5"/>
  <c r="E7411" i="5"/>
  <c r="E7403" i="5"/>
  <c r="E7395" i="5"/>
  <c r="E7387" i="5"/>
  <c r="E7379" i="5"/>
  <c r="E7371" i="5"/>
  <c r="E7363" i="5"/>
  <c r="E7355" i="5"/>
  <c r="E7347" i="5"/>
  <c r="E7339" i="5"/>
  <c r="E7331" i="5"/>
  <c r="E7323" i="5"/>
  <c r="E7315" i="5"/>
  <c r="E7307" i="5"/>
  <c r="E7299" i="5"/>
  <c r="E7291" i="5"/>
  <c r="E7283" i="5"/>
  <c r="E7275" i="5"/>
  <c r="E7267" i="5"/>
  <c r="E7259" i="5"/>
  <c r="E7251" i="5"/>
  <c r="E7243" i="5"/>
  <c r="E7235" i="5"/>
  <c r="E7227" i="5"/>
  <c r="E7219" i="5"/>
  <c r="E7211" i="5"/>
  <c r="E7203" i="5"/>
  <c r="E7195" i="5"/>
  <c r="E7187" i="5"/>
  <c r="E7179" i="5"/>
  <c r="E7171" i="5"/>
  <c r="E7163" i="5"/>
  <c r="E7155" i="5"/>
  <c r="E7147" i="5"/>
  <c r="E7139" i="5"/>
  <c r="E7131" i="5"/>
  <c r="E7123" i="5"/>
  <c r="E7115" i="5"/>
  <c r="E7107" i="5"/>
  <c r="E7099" i="5"/>
  <c r="E7091" i="5"/>
  <c r="E7083" i="5"/>
  <c r="E7075" i="5"/>
  <c r="E7067" i="5"/>
  <c r="E7059" i="5"/>
  <c r="E7051" i="5"/>
  <c r="E7043" i="5"/>
  <c r="E7035" i="5"/>
  <c r="E7027" i="5"/>
  <c r="E7019" i="5"/>
  <c r="E7011" i="5"/>
  <c r="E7003" i="5"/>
  <c r="E6995" i="5"/>
  <c r="E6987" i="5"/>
  <c r="E6979" i="5"/>
  <c r="E6971" i="5"/>
  <c r="E6963" i="5"/>
  <c r="E6955" i="5"/>
  <c r="E6947" i="5"/>
  <c r="E6939" i="5"/>
  <c r="E6931" i="5"/>
  <c r="E6923" i="5"/>
  <c r="E6915" i="5"/>
  <c r="E6907" i="5"/>
  <c r="E6899" i="5"/>
  <c r="E6891" i="5"/>
  <c r="E6883" i="5"/>
  <c r="E6875" i="5"/>
  <c r="E6867" i="5"/>
  <c r="E6859" i="5"/>
  <c r="E6851" i="5"/>
  <c r="E6843" i="5"/>
  <c r="E6835" i="5"/>
  <c r="E6827" i="5"/>
  <c r="E6819" i="5"/>
  <c r="E6811" i="5"/>
  <c r="E6803" i="5"/>
  <c r="E6795" i="5"/>
  <c r="E6787" i="5"/>
  <c r="E6779" i="5"/>
  <c r="E6771" i="5"/>
  <c r="E6763" i="5"/>
  <c r="E6755" i="5"/>
  <c r="E6747" i="5"/>
  <c r="E6739" i="5"/>
  <c r="E6731" i="5"/>
  <c r="E6723" i="5"/>
  <c r="E6715" i="5"/>
  <c r="E6707" i="5"/>
  <c r="E6699" i="5"/>
  <c r="E6691" i="5"/>
  <c r="E6683" i="5"/>
  <c r="E6675" i="5"/>
  <c r="E6667" i="5"/>
  <c r="E6659" i="5"/>
  <c r="E6651" i="5"/>
  <c r="E6643" i="5"/>
  <c r="E6635" i="5"/>
  <c r="E6627" i="5"/>
  <c r="E6619" i="5"/>
  <c r="E6611" i="5"/>
  <c r="E6603" i="5"/>
  <c r="E6595" i="5"/>
  <c r="E6587" i="5"/>
  <c r="E6579" i="5"/>
  <c r="E6571" i="5"/>
  <c r="E6563" i="5"/>
  <c r="E6555" i="5"/>
  <c r="E6547" i="5"/>
  <c r="E6539" i="5"/>
  <c r="E6531" i="5"/>
  <c r="E6523" i="5"/>
  <c r="E6515" i="5"/>
  <c r="E6507" i="5"/>
  <c r="E6499" i="5"/>
  <c r="E6491" i="5"/>
  <c r="E6483" i="5"/>
  <c r="E6475" i="5"/>
  <c r="E6467" i="5"/>
  <c r="E6459" i="5"/>
  <c r="E6451" i="5"/>
  <c r="E6443" i="5"/>
  <c r="E6435" i="5"/>
  <c r="E6427" i="5"/>
  <c r="E6419" i="5"/>
  <c r="E6411" i="5"/>
  <c r="E6403" i="5"/>
  <c r="E6395" i="5"/>
  <c r="E6387" i="5"/>
  <c r="E6379" i="5"/>
  <c r="E6371" i="5"/>
  <c r="E6363" i="5"/>
  <c r="E6355" i="5"/>
  <c r="E6347" i="5"/>
  <c r="E6339" i="5"/>
  <c r="E6331" i="5"/>
  <c r="E6323" i="5"/>
  <c r="E6315" i="5"/>
  <c r="E6307" i="5"/>
  <c r="E6299" i="5"/>
  <c r="E6291" i="5"/>
  <c r="E6283" i="5"/>
  <c r="E6275" i="5"/>
  <c r="E6267" i="5"/>
  <c r="E6259" i="5"/>
  <c r="E6251" i="5"/>
  <c r="E6243" i="5"/>
  <c r="E6235" i="5"/>
  <c r="E6227" i="5"/>
  <c r="E6219" i="5"/>
  <c r="E6211" i="5"/>
  <c r="E6203" i="5"/>
  <c r="E6195" i="5"/>
  <c r="E6187" i="5"/>
  <c r="E6179" i="5"/>
  <c r="E6171" i="5"/>
  <c r="E6163" i="5"/>
  <c r="E6155" i="5"/>
  <c r="E6147" i="5"/>
  <c r="E6139" i="5"/>
  <c r="E6131" i="5"/>
  <c r="E6123" i="5"/>
  <c r="E6115" i="5"/>
  <c r="E6107" i="5"/>
  <c r="E6099" i="5"/>
  <c r="E6091" i="5"/>
  <c r="E6083" i="5"/>
  <c r="E6075" i="5"/>
  <c r="E6067" i="5"/>
  <c r="E6059" i="5"/>
  <c r="E6051" i="5"/>
  <c r="E6043" i="5"/>
  <c r="E6035" i="5"/>
  <c r="E6027" i="5"/>
  <c r="E6019" i="5"/>
  <c r="E6011" i="5"/>
  <c r="E6003" i="5"/>
  <c r="E5995" i="5"/>
  <c r="E5987" i="5"/>
  <c r="E5979" i="5"/>
  <c r="E5971" i="5"/>
  <c r="E5963" i="5"/>
  <c r="E5955" i="5"/>
  <c r="E5947" i="5"/>
  <c r="E5939" i="5"/>
  <c r="E5931" i="5"/>
  <c r="E5923" i="5"/>
  <c r="E5915" i="5"/>
  <c r="E5907" i="5"/>
  <c r="E5899" i="5"/>
  <c r="E5891" i="5"/>
  <c r="E5883" i="5"/>
  <c r="E5875" i="5"/>
  <c r="E5867" i="5"/>
  <c r="E5859" i="5"/>
  <c r="E5851" i="5"/>
  <c r="E5843" i="5"/>
  <c r="E5835" i="5"/>
  <c r="E5827" i="5"/>
  <c r="E5819" i="5"/>
  <c r="E5811" i="5"/>
  <c r="E5803" i="5"/>
  <c r="E5795" i="5"/>
  <c r="E5787" i="5"/>
  <c r="E5779" i="5"/>
  <c r="E5771" i="5"/>
  <c r="E5763" i="5"/>
  <c r="E5755" i="5"/>
  <c r="E5747" i="5"/>
  <c r="E5739" i="5"/>
  <c r="E5731" i="5"/>
  <c r="E5723" i="5"/>
  <c r="E5715" i="5"/>
  <c r="E5707" i="5"/>
  <c r="E5699" i="5"/>
  <c r="E5691" i="5"/>
  <c r="E5683" i="5"/>
  <c r="E5675" i="5"/>
  <c r="E5667" i="5"/>
  <c r="E5659" i="5"/>
  <c r="E5651" i="5"/>
  <c r="E5643" i="5"/>
  <c r="E5635" i="5"/>
  <c r="E5627" i="5"/>
  <c r="E5619" i="5"/>
  <c r="E5611" i="5"/>
  <c r="E5603" i="5"/>
  <c r="E5595" i="5"/>
  <c r="E5587" i="5"/>
  <c r="E5579" i="5"/>
  <c r="E5571" i="5"/>
  <c r="E5563" i="5"/>
  <c r="E5555" i="5"/>
  <c r="E5547" i="5"/>
  <c r="E5539" i="5"/>
  <c r="E5531" i="5"/>
  <c r="E5523" i="5"/>
  <c r="E5515" i="5"/>
  <c r="E5507" i="5"/>
  <c r="E5499" i="5"/>
  <c r="E5491" i="5"/>
  <c r="E5483" i="5"/>
  <c r="E5475" i="5"/>
  <c r="E5467" i="5"/>
  <c r="E5459" i="5"/>
  <c r="E5451" i="5"/>
  <c r="E5443" i="5"/>
  <c r="E5435" i="5"/>
  <c r="E5427" i="5"/>
  <c r="E5419" i="5"/>
  <c r="E5411" i="5"/>
  <c r="E5403" i="5"/>
  <c r="E5395" i="5"/>
  <c r="E5387" i="5"/>
  <c r="E5379" i="5"/>
  <c r="E5371" i="5"/>
  <c r="E5363" i="5"/>
  <c r="E5355" i="5"/>
  <c r="E5347" i="5"/>
  <c r="E5339" i="5"/>
  <c r="E5331" i="5"/>
  <c r="E5323" i="5"/>
  <c r="E5315" i="5"/>
  <c r="E5307" i="5"/>
  <c r="E5299" i="5"/>
  <c r="E5291" i="5"/>
  <c r="E5283" i="5"/>
  <c r="E5275" i="5"/>
  <c r="E5267" i="5"/>
  <c r="E5259" i="5"/>
  <c r="E5251" i="5"/>
  <c r="E5243" i="5"/>
  <c r="E5235" i="5"/>
  <c r="E5227" i="5"/>
  <c r="E5219" i="5"/>
  <c r="E5211" i="5"/>
  <c r="E5203" i="5"/>
  <c r="E5195" i="5"/>
  <c r="E5187" i="5"/>
  <c r="E5179" i="5"/>
  <c r="E5171" i="5"/>
  <c r="E41091" i="5"/>
  <c r="E40638" i="5"/>
  <c r="E40228" i="5"/>
  <c r="E39819" i="5"/>
  <c r="E39409" i="5"/>
  <c r="E39071" i="5"/>
  <c r="E38815" i="5"/>
  <c r="E38559" i="5"/>
  <c r="E38303" i="5"/>
  <c r="E38047" i="5"/>
  <c r="E37791" i="5"/>
  <c r="E37535" i="5"/>
  <c r="E37279" i="5"/>
  <c r="E37023" i="5"/>
  <c r="E36767" i="5"/>
  <c r="E36511" i="5"/>
  <c r="E36255" i="5"/>
  <c r="E35999" i="5"/>
  <c r="E35743" i="5"/>
  <c r="E35487" i="5"/>
  <c r="E35231" i="5"/>
  <c r="E34975" i="5"/>
  <c r="E34719" i="5"/>
  <c r="E34463" i="5"/>
  <c r="E34207" i="5"/>
  <c r="E33951" i="5"/>
  <c r="E33695" i="5"/>
  <c r="E33439" i="5"/>
  <c r="E33183" i="5"/>
  <c r="E32927" i="5"/>
  <c r="E32671" i="5"/>
  <c r="E32415" i="5"/>
  <c r="E32159" i="5"/>
  <c r="E31903" i="5"/>
  <c r="E31647" i="5"/>
  <c r="E31391" i="5"/>
  <c r="E31135" i="5"/>
  <c r="E30879" i="5"/>
  <c r="E30623" i="5"/>
  <c r="E30367" i="5"/>
  <c r="E30111" i="5"/>
  <c r="E29855" i="5"/>
  <c r="E29599" i="5"/>
  <c r="E29343" i="5"/>
  <c r="E29087" i="5"/>
  <c r="E28831" i="5"/>
  <c r="E28575" i="5"/>
  <c r="E28319" i="5"/>
  <c r="E28063" i="5"/>
  <c r="E27807" i="5"/>
  <c r="E27551" i="5"/>
  <c r="E27295" i="5"/>
  <c r="E27039" i="5"/>
  <c r="E26783" i="5"/>
  <c r="E26527" i="5"/>
  <c r="E26271" i="5"/>
  <c r="E26015" i="5"/>
  <c r="E25759" i="5"/>
  <c r="E25559" i="5"/>
  <c r="E25431" i="5"/>
  <c r="E25303" i="5"/>
  <c r="E25175" i="5"/>
  <c r="E25069" i="5"/>
  <c r="E24983" i="5"/>
  <c r="E24899" i="5"/>
  <c r="E24835" i="5"/>
  <c r="E24771" i="5"/>
  <c r="E24707" i="5"/>
  <c r="E24643" i="5"/>
  <c r="E24579" i="5"/>
  <c r="E24515" i="5"/>
  <c r="E24451" i="5"/>
  <c r="E24396" i="5"/>
  <c r="E24346" i="5"/>
  <c r="E24293" i="5"/>
  <c r="E24243" i="5"/>
  <c r="E24191" i="5"/>
  <c r="E24140" i="5"/>
  <c r="E24090" i="5"/>
  <c r="E24037" i="5"/>
  <c r="E23987" i="5"/>
  <c r="E23940" i="5"/>
  <c r="E23898" i="5"/>
  <c r="E23855" i="5"/>
  <c r="E23812" i="5"/>
  <c r="E23770" i="5"/>
  <c r="E23730" i="5"/>
  <c r="E23693" i="5"/>
  <c r="E23657" i="5"/>
  <c r="E23624" i="5"/>
  <c r="E23592" i="5"/>
  <c r="E23560" i="5"/>
  <c r="E23528" i="5"/>
  <c r="E23496" i="5"/>
  <c r="E23464" i="5"/>
  <c r="E23432" i="5"/>
  <c r="E23400" i="5"/>
  <c r="E23368" i="5"/>
  <c r="E23336" i="5"/>
  <c r="E23304" i="5"/>
  <c r="E23272" i="5"/>
  <c r="E23240" i="5"/>
  <c r="E23208" i="5"/>
  <c r="E23176" i="5"/>
  <c r="E23144" i="5"/>
  <c r="E23112" i="5"/>
  <c r="E23080" i="5"/>
  <c r="E23048" i="5"/>
  <c r="E23016" i="5"/>
  <c r="E22984" i="5"/>
  <c r="E22952" i="5"/>
  <c r="E22920" i="5"/>
  <c r="E22888" i="5"/>
  <c r="E22856" i="5"/>
  <c r="E22824" i="5"/>
  <c r="E22792" i="5"/>
  <c r="E22760" i="5"/>
  <c r="E22728" i="5"/>
  <c r="E22696" i="5"/>
  <c r="E22664" i="5"/>
  <c r="E22632" i="5"/>
  <c r="E22600" i="5"/>
  <c r="E22568" i="5"/>
  <c r="E22536" i="5"/>
  <c r="E22504" i="5"/>
  <c r="E22472" i="5"/>
  <c r="E22440" i="5"/>
  <c r="E22408" i="5"/>
  <c r="E22376" i="5"/>
  <c r="E22344" i="5"/>
  <c r="E22312" i="5"/>
  <c r="E22280" i="5"/>
  <c r="E22248" i="5"/>
  <c r="E22216" i="5"/>
  <c r="E22184" i="5"/>
  <c r="E22152" i="5"/>
  <c r="E22120" i="5"/>
  <c r="E22088" i="5"/>
  <c r="E22056" i="5"/>
  <c r="E22024" i="5"/>
  <c r="E21992" i="5"/>
  <c r="E21960" i="5"/>
  <c r="E21928" i="5"/>
  <c r="E21896" i="5"/>
  <c r="E21864" i="5"/>
  <c r="E21832" i="5"/>
  <c r="E21800" i="5"/>
  <c r="E21768" i="5"/>
  <c r="E21736" i="5"/>
  <c r="E21704" i="5"/>
  <c r="E21672" i="5"/>
  <c r="E21640" i="5"/>
  <c r="E21608" i="5"/>
  <c r="E21576" i="5"/>
  <c r="E21544" i="5"/>
  <c r="E21512" i="5"/>
  <c r="E21480" i="5"/>
  <c r="E21448" i="5"/>
  <c r="E21416" i="5"/>
  <c r="E21384" i="5"/>
  <c r="E21352" i="5"/>
  <c r="E21320" i="5"/>
  <c r="E21288" i="5"/>
  <c r="E21256" i="5"/>
  <c r="E21224" i="5"/>
  <c r="E21192" i="5"/>
  <c r="E21160" i="5"/>
  <c r="E21128" i="5"/>
  <c r="E21096" i="5"/>
  <c r="E21064" i="5"/>
  <c r="E21032" i="5"/>
  <c r="E21000" i="5"/>
  <c r="E20968" i="5"/>
  <c r="E20936" i="5"/>
  <c r="E20904" i="5"/>
  <c r="E20872" i="5"/>
  <c r="E20840" i="5"/>
  <c r="E20808" i="5"/>
  <c r="E20776" i="5"/>
  <c r="E20744" i="5"/>
  <c r="E20712" i="5"/>
  <c r="E20680" i="5"/>
  <c r="E20648" i="5"/>
  <c r="E20616" i="5"/>
  <c r="E20584" i="5"/>
  <c r="E20552" i="5"/>
  <c r="E20520" i="5"/>
  <c r="E20488" i="5"/>
  <c r="E20456" i="5"/>
  <c r="E20424" i="5"/>
  <c r="E20392" i="5"/>
  <c r="E20360" i="5"/>
  <c r="E20328" i="5"/>
  <c r="E20296" i="5"/>
  <c r="E20264" i="5"/>
  <c r="E20232" i="5"/>
  <c r="E20200" i="5"/>
  <c r="E20168" i="5"/>
  <c r="E20136" i="5"/>
  <c r="E20104" i="5"/>
  <c r="E20072" i="5"/>
  <c r="E20040" i="5"/>
  <c r="E20008" i="5"/>
  <c r="E19976" i="5"/>
  <c r="E19944" i="5"/>
  <c r="E19912" i="5"/>
  <c r="E19880" i="5"/>
  <c r="E19848" i="5"/>
  <c r="E19816" i="5"/>
  <c r="E19784" i="5"/>
  <c r="E19752" i="5"/>
  <c r="E19720" i="5"/>
  <c r="E19688" i="5"/>
  <c r="E19656" i="5"/>
  <c r="E19624" i="5"/>
  <c r="E19592" i="5"/>
  <c r="E19560" i="5"/>
  <c r="E19528" i="5"/>
  <c r="E19496" i="5"/>
  <c r="E19464" i="5"/>
  <c r="E19432" i="5"/>
  <c r="E19400" i="5"/>
  <c r="E19368" i="5"/>
  <c r="E19336" i="5"/>
  <c r="E19304" i="5"/>
  <c r="E19272" i="5"/>
  <c r="E19240" i="5"/>
  <c r="E19208" i="5"/>
  <c r="E19176" i="5"/>
  <c r="E19144" i="5"/>
  <c r="E19112" i="5"/>
  <c r="E19080" i="5"/>
  <c r="E19048" i="5"/>
  <c r="E19016" i="5"/>
  <c r="E18984" i="5"/>
  <c r="E18952" i="5"/>
  <c r="E18920" i="5"/>
  <c r="E18888" i="5"/>
  <c r="E18856" i="5"/>
  <c r="E18824" i="5"/>
  <c r="E18792" i="5"/>
  <c r="E18760" i="5"/>
  <c r="E18728" i="5"/>
  <c r="E18696" i="5"/>
  <c r="E18664" i="5"/>
  <c r="E18632" i="5"/>
  <c r="E18600" i="5"/>
  <c r="E18568" i="5"/>
  <c r="E18536" i="5"/>
  <c r="E18504" i="5"/>
  <c r="E18472" i="5"/>
  <c r="E18440" i="5"/>
  <c r="E18408" i="5"/>
  <c r="E18376" i="5"/>
  <c r="E18344" i="5"/>
  <c r="E18312" i="5"/>
  <c r="E18280" i="5"/>
  <c r="E18248" i="5"/>
  <c r="E18216" i="5"/>
  <c r="E18184" i="5"/>
  <c r="E18152" i="5"/>
  <c r="E18120" i="5"/>
  <c r="E18088" i="5"/>
  <c r="E18056" i="5"/>
  <c r="E18024" i="5"/>
  <c r="E17992" i="5"/>
  <c r="E17960" i="5"/>
  <c r="E17928" i="5"/>
  <c r="E17896" i="5"/>
  <c r="E17864" i="5"/>
  <c r="E17832" i="5"/>
  <c r="E17800" i="5"/>
  <c r="E17768" i="5"/>
  <c r="E17736" i="5"/>
  <c r="E17704" i="5"/>
  <c r="E17672" i="5"/>
  <c r="E17640" i="5"/>
  <c r="E17608" i="5"/>
  <c r="E17576" i="5"/>
  <c r="E17544" i="5"/>
  <c r="E17512" i="5"/>
  <c r="E17480" i="5"/>
  <c r="E17448" i="5"/>
  <c r="E17416" i="5"/>
  <c r="E17384" i="5"/>
  <c r="E17352" i="5"/>
  <c r="E17320" i="5"/>
  <c r="E17288" i="5"/>
  <c r="E17256" i="5"/>
  <c r="E17224" i="5"/>
  <c r="E17192" i="5"/>
  <c r="E17160" i="5"/>
  <c r="E17128" i="5"/>
  <c r="E17096" i="5"/>
  <c r="E17064" i="5"/>
  <c r="E17032" i="5"/>
  <c r="E17000" i="5"/>
  <c r="E16968" i="5"/>
  <c r="E16936" i="5"/>
  <c r="E16904" i="5"/>
  <c r="E16872" i="5"/>
  <c r="E16840" i="5"/>
  <c r="E16808" i="5"/>
  <c r="E16776" i="5"/>
  <c r="E16744" i="5"/>
  <c r="E16712" i="5"/>
  <c r="E16680" i="5"/>
  <c r="E16648" i="5"/>
  <c r="E16616" i="5"/>
  <c r="E16584" i="5"/>
  <c r="E16552" i="5"/>
  <c r="E16520" i="5"/>
  <c r="E16488" i="5"/>
  <c r="E16456" i="5"/>
  <c r="E16424" i="5"/>
  <c r="E16392" i="5"/>
  <c r="E16360" i="5"/>
  <c r="E16328" i="5"/>
  <c r="E16296" i="5"/>
  <c r="E16264" i="5"/>
  <c r="E16232" i="5"/>
  <c r="E16200" i="5"/>
  <c r="E16168" i="5"/>
  <c r="E16136" i="5"/>
  <c r="E16104" i="5"/>
  <c r="E16072" i="5"/>
  <c r="E16040" i="5"/>
  <c r="E16008" i="5"/>
  <c r="E15976" i="5"/>
  <c r="E15944" i="5"/>
  <c r="E15912" i="5"/>
  <c r="E15880" i="5"/>
  <c r="E15848" i="5"/>
  <c r="E15816" i="5"/>
  <c r="E15784" i="5"/>
  <c r="E15752" i="5"/>
  <c r="E15720" i="5"/>
  <c r="E15688" i="5"/>
  <c r="E15656" i="5"/>
  <c r="E15624" i="5"/>
  <c r="E15592" i="5"/>
  <c r="E15560" i="5"/>
  <c r="E15528" i="5"/>
  <c r="E15496" i="5"/>
  <c r="E15464" i="5"/>
  <c r="E15432" i="5"/>
  <c r="E15400" i="5"/>
  <c r="E15368" i="5"/>
  <c r="E15336" i="5"/>
  <c r="E15304" i="5"/>
  <c r="E15272" i="5"/>
  <c r="E15240" i="5"/>
  <c r="E15208" i="5"/>
  <c r="E15176" i="5"/>
  <c r="E15144" i="5"/>
  <c r="E15112" i="5"/>
  <c r="E15080" i="5"/>
  <c r="E15048" i="5"/>
  <c r="E15016" i="5"/>
  <c r="E14984" i="5"/>
  <c r="E14952" i="5"/>
  <c r="E14920" i="5"/>
  <c r="E14888" i="5"/>
  <c r="E14856" i="5"/>
  <c r="E14824" i="5"/>
  <c r="E14792" i="5"/>
  <c r="E14760" i="5"/>
  <c r="E14728" i="5"/>
  <c r="E14696" i="5"/>
  <c r="E14664" i="5"/>
  <c r="E14632" i="5"/>
  <c r="E14600" i="5"/>
  <c r="E14568" i="5"/>
  <c r="E14536" i="5"/>
  <c r="E14504" i="5"/>
  <c r="E14472" i="5"/>
  <c r="E14440" i="5"/>
  <c r="E14408" i="5"/>
  <c r="E14376" i="5"/>
  <c r="E14344" i="5"/>
  <c r="E14312" i="5"/>
  <c r="E14280" i="5"/>
  <c r="E14248" i="5"/>
  <c r="E14216" i="5"/>
  <c r="E14184" i="5"/>
  <c r="E14152" i="5"/>
  <c r="E14120" i="5"/>
  <c r="E14088" i="5"/>
  <c r="E14056" i="5"/>
  <c r="E14024" i="5"/>
  <c r="E13992" i="5"/>
  <c r="E13960" i="5"/>
  <c r="E13928" i="5"/>
  <c r="E13896" i="5"/>
  <c r="E13864" i="5"/>
  <c r="E13832" i="5"/>
  <c r="E13800" i="5"/>
  <c r="E13768" i="5"/>
  <c r="E13736" i="5"/>
  <c r="E13704" i="5"/>
  <c r="E13672" i="5"/>
  <c r="E13640" i="5"/>
  <c r="E13608" i="5"/>
  <c r="E13576" i="5"/>
  <c r="E13544" i="5"/>
  <c r="E13512" i="5"/>
  <c r="E13480" i="5"/>
  <c r="E13448" i="5"/>
  <c r="E13416" i="5"/>
  <c r="E13384" i="5"/>
  <c r="E13352" i="5"/>
  <c r="E13320" i="5"/>
  <c r="E13288" i="5"/>
  <c r="E13256" i="5"/>
  <c r="E13224" i="5"/>
  <c r="E13192" i="5"/>
  <c r="E13160" i="5"/>
  <c r="E13128" i="5"/>
  <c r="E13096" i="5"/>
  <c r="E13064" i="5"/>
  <c r="E13032" i="5"/>
  <c r="E13000" i="5"/>
  <c r="E12968" i="5"/>
  <c r="E12936" i="5"/>
  <c r="E12904" i="5"/>
  <c r="E12872" i="5"/>
  <c r="E12840" i="5"/>
  <c r="E12808" i="5"/>
  <c r="E12776" i="5"/>
  <c r="E12744" i="5"/>
  <c r="E12712" i="5"/>
  <c r="E12680" i="5"/>
  <c r="E12648" i="5"/>
  <c r="E12616" i="5"/>
  <c r="E12584" i="5"/>
  <c r="E12552" i="5"/>
  <c r="E12520" i="5"/>
  <c r="E12488" i="5"/>
  <c r="E12456" i="5"/>
  <c r="E12424" i="5"/>
  <c r="E12392" i="5"/>
  <c r="E12360" i="5"/>
  <c r="E12328" i="5"/>
  <c r="E12296" i="5"/>
  <c r="E12264" i="5"/>
  <c r="E12232" i="5"/>
  <c r="E12200" i="5"/>
  <c r="E12168" i="5"/>
  <c r="E12136" i="5"/>
  <c r="E12104" i="5"/>
  <c r="E12072" i="5"/>
  <c r="E12040" i="5"/>
  <c r="E12008" i="5"/>
  <c r="E11976" i="5"/>
  <c r="E11944" i="5"/>
  <c r="E11912" i="5"/>
  <c r="E11880" i="5"/>
  <c r="E11848" i="5"/>
  <c r="E11816" i="5"/>
  <c r="E11784" i="5"/>
  <c r="E11752" i="5"/>
  <c r="E11720" i="5"/>
  <c r="E11688" i="5"/>
  <c r="E11656" i="5"/>
  <c r="E11624" i="5"/>
  <c r="E11592" i="5"/>
  <c r="E11560" i="5"/>
  <c r="E11528" i="5"/>
  <c r="E11496" i="5"/>
  <c r="E11464" i="5"/>
  <c r="E11432" i="5"/>
  <c r="E11400" i="5"/>
  <c r="E11368" i="5"/>
  <c r="E11336" i="5"/>
  <c r="E11304" i="5"/>
  <c r="E11272" i="5"/>
  <c r="E11240" i="5"/>
  <c r="E11208" i="5"/>
  <c r="E11176" i="5"/>
  <c r="E11144" i="5"/>
  <c r="E11112" i="5"/>
  <c r="E11080" i="5"/>
  <c r="E11048" i="5"/>
  <c r="E11016" i="5"/>
  <c r="E10984" i="5"/>
  <c r="E10952" i="5"/>
  <c r="E10920" i="5"/>
  <c r="E10888" i="5"/>
  <c r="E10856" i="5"/>
  <c r="E10824" i="5"/>
  <c r="E10792" i="5"/>
  <c r="E10760" i="5"/>
  <c r="E10728" i="5"/>
  <c r="E10696" i="5"/>
  <c r="E10664" i="5"/>
  <c r="E10632" i="5"/>
  <c r="E10600" i="5"/>
  <c r="E10568" i="5"/>
  <c r="E10536" i="5"/>
  <c r="E10504" i="5"/>
  <c r="E10472" i="5"/>
  <c r="E10440" i="5"/>
  <c r="E10408" i="5"/>
  <c r="E10376" i="5"/>
  <c r="E10344" i="5"/>
  <c r="E10312" i="5"/>
  <c r="E10280" i="5"/>
  <c r="E10248" i="5"/>
  <c r="E10216" i="5"/>
  <c r="E10184" i="5"/>
  <c r="E10152" i="5"/>
  <c r="E10120" i="5"/>
  <c r="E10088" i="5"/>
  <c r="E10056" i="5"/>
  <c r="E10024" i="5"/>
  <c r="E9992" i="5"/>
  <c r="E9960" i="5"/>
  <c r="E9928" i="5"/>
  <c r="E9896" i="5"/>
  <c r="E9864" i="5"/>
  <c r="E9832" i="5"/>
  <c r="E9800" i="5"/>
  <c r="E9768" i="5"/>
  <c r="E9736" i="5"/>
  <c r="E9704" i="5"/>
  <c r="E9672" i="5"/>
  <c r="E9640" i="5"/>
  <c r="E9608" i="5"/>
  <c r="E9576" i="5"/>
  <c r="E9544" i="5"/>
  <c r="E9512" i="5"/>
  <c r="E9480" i="5"/>
  <c r="E9448" i="5"/>
  <c r="E9416" i="5"/>
  <c r="E9384" i="5"/>
  <c r="E9352" i="5"/>
  <c r="E9320" i="5"/>
  <c r="E9288" i="5"/>
  <c r="E9256" i="5"/>
  <c r="E9224" i="5"/>
  <c r="E9192" i="5"/>
  <c r="E9160" i="5"/>
  <c r="E9128" i="5"/>
  <c r="E9096" i="5"/>
  <c r="E9064" i="5"/>
  <c r="E9032" i="5"/>
  <c r="E9000" i="5"/>
  <c r="E8968" i="5"/>
  <c r="E8936" i="5"/>
  <c r="E8904" i="5"/>
  <c r="E8872" i="5"/>
  <c r="E8840" i="5"/>
  <c r="E8808" i="5"/>
  <c r="E8776" i="5"/>
  <c r="E8744" i="5"/>
  <c r="E8712" i="5"/>
  <c r="E8680" i="5"/>
  <c r="E8648" i="5"/>
  <c r="E8616" i="5"/>
  <c r="E8584" i="5"/>
  <c r="E8552" i="5"/>
  <c r="E8520" i="5"/>
  <c r="E8488" i="5"/>
  <c r="E8456" i="5"/>
  <c r="E8424" i="5"/>
  <c r="E8392" i="5"/>
  <c r="E8360" i="5"/>
  <c r="E8328" i="5"/>
  <c r="E8296" i="5"/>
  <c r="E8264" i="5"/>
  <c r="E8232" i="5"/>
  <c r="E8200" i="5"/>
  <c r="E8168" i="5"/>
  <c r="E8136" i="5"/>
  <c r="E8104" i="5"/>
  <c r="E8072" i="5"/>
  <c r="E8040" i="5"/>
  <c r="E8008" i="5"/>
  <c r="E7976" i="5"/>
  <c r="E7944" i="5"/>
  <c r="E7912" i="5"/>
  <c r="E7880" i="5"/>
  <c r="E7848" i="5"/>
  <c r="E7816" i="5"/>
  <c r="E7784" i="5"/>
  <c r="E7752" i="5"/>
  <c r="E7720" i="5"/>
  <c r="E7688" i="5"/>
  <c r="E7656" i="5"/>
  <c r="E7624" i="5"/>
  <c r="E7592" i="5"/>
  <c r="E7560" i="5"/>
  <c r="E7528" i="5"/>
  <c r="E7496" i="5"/>
  <c r="E7464" i="5"/>
  <c r="E7432" i="5"/>
  <c r="E7400" i="5"/>
  <c r="E7368" i="5"/>
  <c r="E7336" i="5"/>
  <c r="E7304" i="5"/>
  <c r="E7272" i="5"/>
  <c r="E7240" i="5"/>
  <c r="E7208" i="5"/>
  <c r="E7176" i="5"/>
  <c r="E7144" i="5"/>
  <c r="E7112" i="5"/>
  <c r="E7080" i="5"/>
  <c r="E7048" i="5"/>
  <c r="E7016" i="5"/>
  <c r="E6984" i="5"/>
  <c r="E6952" i="5"/>
  <c r="E6920" i="5"/>
  <c r="E6888" i="5"/>
  <c r="E6856" i="5"/>
  <c r="E6824" i="5"/>
  <c r="E6792" i="5"/>
  <c r="E6760" i="5"/>
  <c r="E6728" i="5"/>
  <c r="E6696" i="5"/>
  <c r="E6664" i="5"/>
  <c r="E6632" i="5"/>
  <c r="E6600" i="5"/>
  <c r="E6568" i="5"/>
  <c r="E6536" i="5"/>
  <c r="E6504" i="5"/>
  <c r="E6472" i="5"/>
  <c r="E6440" i="5"/>
  <c r="E6408" i="5"/>
  <c r="E6376" i="5"/>
  <c r="E6344" i="5"/>
  <c r="E6312" i="5"/>
  <c r="E6280" i="5"/>
  <c r="E6248" i="5"/>
  <c r="E6216" i="5"/>
  <c r="E6184" i="5"/>
  <c r="E6152" i="5"/>
  <c r="E6120" i="5"/>
  <c r="E6088" i="5"/>
  <c r="E6056" i="5"/>
  <c r="E6024" i="5"/>
  <c r="E5992" i="5"/>
  <c r="E5960" i="5"/>
  <c r="E5928" i="5"/>
  <c r="E5896" i="5"/>
  <c r="E5864" i="5"/>
  <c r="E5832" i="5"/>
  <c r="E5800" i="5"/>
  <c r="E5768" i="5"/>
  <c r="E5736" i="5"/>
  <c r="E5704" i="5"/>
  <c r="E5672" i="5"/>
  <c r="E5650" i="5"/>
  <c r="E5629" i="5"/>
  <c r="E5608" i="5"/>
  <c r="E5586" i="5"/>
  <c r="E5565" i="5"/>
  <c r="E5544" i="5"/>
  <c r="E5522" i="5"/>
  <c r="E5501" i="5"/>
  <c r="E5480" i="5"/>
  <c r="E5458" i="5"/>
  <c r="E5437" i="5"/>
  <c r="E5416" i="5"/>
  <c r="E5394" i="5"/>
  <c r="E5373" i="5"/>
  <c r="E5352" i="5"/>
  <c r="E5330" i="5"/>
  <c r="E5310" i="5"/>
  <c r="E5294" i="5"/>
  <c r="E5278" i="5"/>
  <c r="E5266" i="5"/>
  <c r="E5257" i="5"/>
  <c r="E5248" i="5"/>
  <c r="E5239" i="5"/>
  <c r="E5230" i="5"/>
  <c r="E5221" i="5"/>
  <c r="E5212" i="5"/>
  <c r="E5202" i="5"/>
  <c r="E5193" i="5"/>
  <c r="E5184" i="5"/>
  <c r="E5175" i="5"/>
  <c r="E5166" i="5"/>
  <c r="E5158" i="5"/>
  <c r="E5150" i="5"/>
  <c r="E5142" i="5"/>
  <c r="E5134" i="5"/>
  <c r="E5126" i="5"/>
  <c r="E5118" i="5"/>
  <c r="E5110" i="5"/>
  <c r="E5102" i="5"/>
  <c r="E5094" i="5"/>
  <c r="E5086" i="5"/>
  <c r="E5078" i="5"/>
  <c r="E5070" i="5"/>
  <c r="E5062" i="5"/>
  <c r="E5054" i="5"/>
  <c r="E5046" i="5"/>
  <c r="E5038" i="5"/>
  <c r="E5030" i="5"/>
  <c r="E5022" i="5"/>
  <c r="E5014" i="5"/>
  <c r="E5006" i="5"/>
  <c r="E4998" i="5"/>
  <c r="E4990" i="5"/>
  <c r="E4982" i="5"/>
  <c r="E4974" i="5"/>
  <c r="E4966" i="5"/>
  <c r="E4958" i="5"/>
  <c r="E4950" i="5"/>
  <c r="E4942" i="5"/>
  <c r="E4934" i="5"/>
  <c r="E4926" i="5"/>
  <c r="E4918" i="5"/>
  <c r="E4910" i="5"/>
  <c r="E4902" i="5"/>
  <c r="E4894" i="5"/>
  <c r="E4886" i="5"/>
  <c r="E4878" i="5"/>
  <c r="E4870" i="5"/>
  <c r="E4862" i="5"/>
  <c r="E4854" i="5"/>
  <c r="E4846" i="5"/>
  <c r="E4838" i="5"/>
  <c r="E4830" i="5"/>
  <c r="E4822" i="5"/>
  <c r="E4814" i="5"/>
  <c r="E4806" i="5"/>
  <c r="E4798" i="5"/>
  <c r="E4790" i="5"/>
  <c r="E4782" i="5"/>
  <c r="E4774" i="5"/>
  <c r="E4766" i="5"/>
  <c r="E4758" i="5"/>
  <c r="E4750" i="5"/>
  <c r="E4742" i="5"/>
  <c r="E4734" i="5"/>
  <c r="E4726" i="5"/>
  <c r="E4718" i="5"/>
  <c r="E4710" i="5"/>
  <c r="E4702" i="5"/>
  <c r="E4694" i="5"/>
  <c r="E4686" i="5"/>
  <c r="E4678" i="5"/>
  <c r="E4670" i="5"/>
  <c r="E4662" i="5"/>
  <c r="E4654" i="5"/>
  <c r="E4646" i="5"/>
  <c r="E4638" i="5"/>
  <c r="E4630" i="5"/>
  <c r="E4622" i="5"/>
  <c r="E4614" i="5"/>
  <c r="E4606" i="5"/>
  <c r="E4598" i="5"/>
  <c r="E4590" i="5"/>
  <c r="E4582" i="5"/>
  <c r="E4574" i="5"/>
  <c r="E4566" i="5"/>
  <c r="E4558" i="5"/>
  <c r="E4550" i="5"/>
  <c r="E4542" i="5"/>
  <c r="E4534" i="5"/>
  <c r="E4526" i="5"/>
  <c r="E4518" i="5"/>
  <c r="E4510" i="5"/>
  <c r="E4502" i="5"/>
  <c r="E4494" i="5"/>
  <c r="E4486" i="5"/>
  <c r="E4478" i="5"/>
  <c r="E4470" i="5"/>
  <c r="E4462" i="5"/>
  <c r="E4454" i="5"/>
  <c r="E4446" i="5"/>
  <c r="E4438" i="5"/>
  <c r="E4430" i="5"/>
  <c r="E4422" i="5"/>
  <c r="E4414" i="5"/>
  <c r="E4406" i="5"/>
  <c r="E4398" i="5"/>
  <c r="E4390" i="5"/>
  <c r="E4382" i="5"/>
  <c r="E4374" i="5"/>
  <c r="E4366" i="5"/>
  <c r="E4358" i="5"/>
  <c r="E4350" i="5"/>
  <c r="E4342" i="5"/>
  <c r="E4334" i="5"/>
  <c r="E4326" i="5"/>
  <c r="E4318" i="5"/>
  <c r="E4310" i="5"/>
  <c r="E4302" i="5"/>
  <c r="E4294" i="5"/>
  <c r="E4286" i="5"/>
  <c r="E4278" i="5"/>
  <c r="E4270" i="5"/>
  <c r="E4262" i="5"/>
  <c r="E4254" i="5"/>
  <c r="E4246" i="5"/>
  <c r="E4238" i="5"/>
  <c r="E4230" i="5"/>
  <c r="E4222" i="5"/>
  <c r="E4214" i="5"/>
  <c r="E4206" i="5"/>
  <c r="E4198" i="5"/>
  <c r="E4190" i="5"/>
  <c r="E4182" i="5"/>
  <c r="E4174" i="5"/>
  <c r="E4166" i="5"/>
  <c r="E4158" i="5"/>
  <c r="E4150" i="5"/>
  <c r="E4142" i="5"/>
  <c r="E4134" i="5"/>
  <c r="E4126" i="5"/>
  <c r="E4118" i="5"/>
  <c r="E4110" i="5"/>
  <c r="E4102" i="5"/>
  <c r="E4094" i="5"/>
  <c r="E4086" i="5"/>
  <c r="E4078" i="5"/>
  <c r="E4070" i="5"/>
  <c r="E4062" i="5"/>
  <c r="E4054" i="5"/>
  <c r="E4046" i="5"/>
  <c r="E4038" i="5"/>
  <c r="E4030" i="5"/>
  <c r="E4022" i="5"/>
  <c r="E4014" i="5"/>
  <c r="E4006" i="5"/>
  <c r="E3998" i="5"/>
  <c r="E3990" i="5"/>
  <c r="E3982" i="5"/>
  <c r="E3974" i="5"/>
  <c r="E3966" i="5"/>
  <c r="E3958" i="5"/>
  <c r="E3950" i="5"/>
  <c r="E3942" i="5"/>
  <c r="E3934" i="5"/>
  <c r="E3926" i="5"/>
  <c r="E3918" i="5"/>
  <c r="E3910" i="5"/>
  <c r="E3902" i="5"/>
  <c r="E3894" i="5"/>
  <c r="E3886" i="5"/>
  <c r="E3878" i="5"/>
  <c r="E3870" i="5"/>
  <c r="E3862" i="5"/>
  <c r="E3854" i="5"/>
  <c r="E3846" i="5"/>
  <c r="E3838" i="5"/>
  <c r="E3830" i="5"/>
  <c r="E3822" i="5"/>
  <c r="E3814" i="5"/>
  <c r="E3806" i="5"/>
  <c r="E3798" i="5"/>
  <c r="E3790" i="5"/>
  <c r="E3782" i="5"/>
  <c r="E3774" i="5"/>
  <c r="E3766" i="5"/>
  <c r="E3758" i="5"/>
  <c r="E3750" i="5"/>
  <c r="E3742" i="5"/>
  <c r="E3734" i="5"/>
  <c r="E3726" i="5"/>
  <c r="E3718" i="5"/>
  <c r="E3710" i="5"/>
  <c r="E3702" i="5"/>
  <c r="E3694" i="5"/>
  <c r="E3686" i="5"/>
  <c r="E3678" i="5"/>
  <c r="E3670" i="5"/>
  <c r="E3662" i="5"/>
  <c r="E3654" i="5"/>
  <c r="E3646" i="5"/>
  <c r="E3638" i="5"/>
  <c r="E3630" i="5"/>
  <c r="E3622" i="5"/>
  <c r="E3614" i="5"/>
  <c r="E3606" i="5"/>
  <c r="E3598" i="5"/>
  <c r="E3590" i="5"/>
  <c r="E3582" i="5"/>
  <c r="E3574" i="5"/>
  <c r="E3566" i="5"/>
  <c r="E3558" i="5"/>
  <c r="E3550" i="5"/>
  <c r="E3542" i="5"/>
  <c r="E3534" i="5"/>
  <c r="E3526" i="5"/>
  <c r="E3518" i="5"/>
  <c r="E3510" i="5"/>
  <c r="E3502" i="5"/>
  <c r="E3494" i="5"/>
  <c r="E3486" i="5"/>
  <c r="E3478" i="5"/>
  <c r="E3470" i="5"/>
  <c r="E3462" i="5"/>
  <c r="E3454" i="5"/>
  <c r="E3446" i="5"/>
  <c r="E3438" i="5"/>
  <c r="E3430" i="5"/>
  <c r="E3422" i="5"/>
  <c r="E3414" i="5"/>
  <c r="E3406" i="5"/>
  <c r="E3398" i="5"/>
  <c r="E3390" i="5"/>
  <c r="E3382" i="5"/>
  <c r="E3374" i="5"/>
  <c r="E3366" i="5"/>
  <c r="E3358" i="5"/>
  <c r="E3350" i="5"/>
  <c r="E3342" i="5"/>
  <c r="E3334" i="5"/>
  <c r="E3326" i="5"/>
  <c r="E3318" i="5"/>
  <c r="E3310" i="5"/>
  <c r="E3302" i="5"/>
  <c r="E3294" i="5"/>
  <c r="E3286" i="5"/>
  <c r="E3278" i="5"/>
  <c r="E3270" i="5"/>
  <c r="E3262" i="5"/>
  <c r="E3254" i="5"/>
  <c r="E3246" i="5"/>
  <c r="E3238" i="5"/>
  <c r="E3230" i="5"/>
  <c r="E3222" i="5"/>
  <c r="E3214" i="5"/>
  <c r="E3206" i="5"/>
  <c r="E3198" i="5"/>
  <c r="E3190" i="5"/>
  <c r="E3182" i="5"/>
  <c r="E3174" i="5"/>
  <c r="E3166" i="5"/>
  <c r="E3158" i="5"/>
  <c r="E3150" i="5"/>
  <c r="E3142" i="5"/>
  <c r="E3134" i="5"/>
  <c r="E3126" i="5"/>
  <c r="E3118" i="5"/>
  <c r="E3110" i="5"/>
  <c r="E3102" i="5"/>
  <c r="E3094" i="5"/>
  <c r="E3086" i="5"/>
  <c r="E3078" i="5"/>
  <c r="E3070" i="5"/>
  <c r="E3062" i="5"/>
  <c r="E3054" i="5"/>
  <c r="E3046" i="5"/>
  <c r="E3038" i="5"/>
  <c r="E3030" i="5"/>
  <c r="E3022" i="5"/>
  <c r="E3014" i="5"/>
  <c r="E3006" i="5"/>
  <c r="E2998" i="5"/>
  <c r="E2990" i="5"/>
  <c r="E2982" i="5"/>
  <c r="E2974" i="5"/>
  <c r="E2966" i="5"/>
  <c r="E2958" i="5"/>
  <c r="E2950" i="5"/>
  <c r="E2942" i="5"/>
  <c r="E2934" i="5"/>
  <c r="E2926" i="5"/>
  <c r="E2918" i="5"/>
  <c r="E2910" i="5"/>
  <c r="E2902" i="5"/>
  <c r="E2894" i="5"/>
  <c r="E2886" i="5"/>
  <c r="E2878" i="5"/>
  <c r="E2870" i="5"/>
  <c r="E2862" i="5"/>
  <c r="E2854" i="5"/>
  <c r="E2846" i="5"/>
  <c r="E2838" i="5"/>
  <c r="E2830" i="5"/>
  <c r="E2822" i="5"/>
  <c r="E2814" i="5"/>
  <c r="E2806" i="5"/>
  <c r="E2798" i="5"/>
  <c r="E2790" i="5"/>
  <c r="E2782" i="5"/>
  <c r="E2774" i="5"/>
  <c r="E2766" i="5"/>
  <c r="E2758" i="5"/>
  <c r="E2750" i="5"/>
  <c r="E2742" i="5"/>
  <c r="E2734" i="5"/>
  <c r="E2726" i="5"/>
  <c r="E2718" i="5"/>
  <c r="E2710" i="5"/>
  <c r="E2702" i="5"/>
  <c r="E2694" i="5"/>
  <c r="E2686" i="5"/>
  <c r="E2678" i="5"/>
  <c r="E2670" i="5"/>
  <c r="E2662" i="5"/>
  <c r="E2654" i="5"/>
  <c r="E2646" i="5"/>
  <c r="E2638" i="5"/>
  <c r="E2630" i="5"/>
  <c r="E2622" i="5"/>
  <c r="E2614" i="5"/>
  <c r="E2606" i="5"/>
  <c r="E2598" i="5"/>
  <c r="E2590" i="5"/>
  <c r="E2582" i="5"/>
  <c r="E2574" i="5"/>
  <c r="E2566" i="5"/>
  <c r="E2558" i="5"/>
  <c r="E2550" i="5"/>
  <c r="E2542" i="5"/>
  <c r="E2534" i="5"/>
  <c r="E2526" i="5"/>
  <c r="E2518" i="5"/>
  <c r="E2510" i="5"/>
  <c r="E2502" i="5"/>
  <c r="E2494" i="5"/>
  <c r="E2486" i="5"/>
  <c r="E2478" i="5"/>
  <c r="E2470" i="5"/>
  <c r="E2462" i="5"/>
  <c r="E2454" i="5"/>
  <c r="E2446" i="5"/>
  <c r="E2438" i="5"/>
  <c r="E2430" i="5"/>
  <c r="E2422" i="5"/>
  <c r="E2414" i="5"/>
  <c r="E2406" i="5"/>
  <c r="E2398" i="5"/>
  <c r="E2390" i="5"/>
  <c r="E2382" i="5"/>
  <c r="E2374" i="5"/>
  <c r="E2366" i="5"/>
  <c r="E2358" i="5"/>
  <c r="E2350" i="5"/>
  <c r="E2342" i="5"/>
  <c r="E2334" i="5"/>
  <c r="E2326" i="5"/>
  <c r="E2318" i="5"/>
  <c r="E2310" i="5"/>
  <c r="E2302" i="5"/>
  <c r="E2294" i="5"/>
  <c r="E2286" i="5"/>
  <c r="E2278" i="5"/>
  <c r="E2270" i="5"/>
  <c r="E2262" i="5"/>
  <c r="E2254" i="5"/>
  <c r="E2246" i="5"/>
  <c r="E2238" i="5"/>
  <c r="E2230" i="5"/>
  <c r="E2222" i="5"/>
  <c r="E2214" i="5"/>
  <c r="E2206" i="5"/>
  <c r="E2198" i="5"/>
  <c r="E2190" i="5"/>
  <c r="E2182" i="5"/>
  <c r="E2174" i="5"/>
  <c r="E2166" i="5"/>
  <c r="E2158" i="5"/>
  <c r="E2150" i="5"/>
  <c r="E2142" i="5"/>
  <c r="E2134" i="5"/>
  <c r="E2126" i="5"/>
  <c r="E2118" i="5"/>
  <c r="E2110" i="5"/>
  <c r="E2102" i="5"/>
  <c r="E2094" i="5"/>
  <c r="E2086" i="5"/>
  <c r="E2078" i="5"/>
  <c r="E2070" i="5"/>
  <c r="E2062" i="5"/>
  <c r="E2054" i="5"/>
  <c r="E2046" i="5"/>
  <c r="E2038" i="5"/>
  <c r="E2030" i="5"/>
  <c r="E2022" i="5"/>
  <c r="E2014" i="5"/>
  <c r="E2006" i="5"/>
  <c r="E1998" i="5"/>
  <c r="E1990" i="5"/>
  <c r="E1982" i="5"/>
  <c r="E1974" i="5"/>
  <c r="E1966" i="5"/>
  <c r="E1958" i="5"/>
  <c r="E1950" i="5"/>
  <c r="E1942" i="5"/>
  <c r="E1934" i="5"/>
  <c r="E1926" i="5"/>
  <c r="E1918" i="5"/>
  <c r="E1910" i="5"/>
  <c r="E1902" i="5"/>
  <c r="E1894" i="5"/>
  <c r="E1886" i="5"/>
  <c r="E1878" i="5"/>
  <c r="E1870" i="5"/>
  <c r="E1862" i="5"/>
  <c r="E1854" i="5"/>
  <c r="E1846" i="5"/>
  <c r="E1838" i="5"/>
  <c r="E1830" i="5"/>
  <c r="E1822" i="5"/>
  <c r="E1814" i="5"/>
  <c r="E1806" i="5"/>
  <c r="E1798" i="5"/>
  <c r="E1790" i="5"/>
  <c r="E1782" i="5"/>
  <c r="E1774" i="5"/>
  <c r="E1766" i="5"/>
  <c r="E1758" i="5"/>
  <c r="E1750" i="5"/>
  <c r="E1742" i="5"/>
  <c r="E1734" i="5"/>
  <c r="E1726" i="5"/>
  <c r="E1718" i="5"/>
  <c r="E1710" i="5"/>
  <c r="E1702" i="5"/>
  <c r="E1694" i="5"/>
  <c r="E1686" i="5"/>
  <c r="E1678" i="5"/>
  <c r="E1670" i="5"/>
  <c r="E1662" i="5"/>
  <c r="E1654" i="5"/>
  <c r="E1646" i="5"/>
  <c r="E1638" i="5"/>
  <c r="E1630" i="5"/>
  <c r="E1622" i="5"/>
  <c r="E1614" i="5"/>
  <c r="E1606" i="5"/>
  <c r="E1598" i="5"/>
  <c r="E1590" i="5"/>
  <c r="E1582" i="5"/>
  <c r="E1574" i="5"/>
  <c r="E1566" i="5"/>
  <c r="E1558" i="5"/>
  <c r="E1550" i="5"/>
  <c r="E1542" i="5"/>
  <c r="E1534" i="5"/>
  <c r="E1526" i="5"/>
  <c r="E1518" i="5"/>
  <c r="E1510" i="5"/>
  <c r="E1502" i="5"/>
  <c r="E1494" i="5"/>
  <c r="E1486" i="5"/>
  <c r="E1478" i="5"/>
  <c r="E1470" i="5"/>
  <c r="E1462" i="5"/>
  <c r="E1454" i="5"/>
  <c r="E1446" i="5"/>
  <c r="E1438" i="5"/>
  <c r="E1430" i="5"/>
  <c r="E1422" i="5"/>
  <c r="E1414" i="5"/>
  <c r="E1406" i="5"/>
  <c r="E1398" i="5"/>
  <c r="E1390" i="5"/>
  <c r="E1382" i="5"/>
  <c r="E1374" i="5"/>
  <c r="E1366" i="5"/>
  <c r="E1358" i="5"/>
  <c r="E1350" i="5"/>
  <c r="E1342" i="5"/>
  <c r="E1334" i="5"/>
  <c r="E1326" i="5"/>
  <c r="E1318" i="5"/>
  <c r="E1310" i="5"/>
  <c r="E1302" i="5"/>
  <c r="E1294" i="5"/>
  <c r="E1286" i="5"/>
  <c r="E1278" i="5"/>
  <c r="E1270" i="5"/>
  <c r="E1262" i="5"/>
  <c r="E1254" i="5"/>
  <c r="E1246" i="5"/>
  <c r="E1238" i="5"/>
  <c r="E1230" i="5"/>
  <c r="E1222" i="5"/>
  <c r="E1214" i="5"/>
  <c r="E1206" i="5"/>
  <c r="E1198" i="5"/>
  <c r="E1190" i="5"/>
  <c r="E1182" i="5"/>
  <c r="E1174" i="5"/>
  <c r="E1166" i="5"/>
  <c r="E1158" i="5"/>
  <c r="E1150" i="5"/>
  <c r="E1142" i="5"/>
  <c r="E1134" i="5"/>
  <c r="E1126" i="5"/>
  <c r="E1118" i="5"/>
  <c r="E1110" i="5"/>
  <c r="E1102" i="5"/>
  <c r="E1094" i="5"/>
  <c r="E1086" i="5"/>
  <c r="E1078" i="5"/>
  <c r="E1070" i="5"/>
  <c r="E1062" i="5"/>
  <c r="E1054" i="5"/>
  <c r="E1046" i="5"/>
  <c r="E1038" i="5"/>
  <c r="E1030" i="5"/>
  <c r="E1022" i="5"/>
  <c r="E1014" i="5"/>
  <c r="E1006" i="5"/>
  <c r="E998" i="5"/>
  <c r="E990" i="5"/>
  <c r="E982" i="5"/>
  <c r="E974" i="5"/>
  <c r="E966" i="5"/>
  <c r="E958" i="5"/>
  <c r="E950" i="5"/>
  <c r="E942" i="5"/>
  <c r="E934" i="5"/>
  <c r="E926" i="5"/>
  <c r="E918" i="5"/>
  <c r="E910" i="5"/>
  <c r="E902" i="5"/>
  <c r="E894" i="5"/>
  <c r="E886" i="5"/>
  <c r="E878" i="5"/>
  <c r="E870" i="5"/>
  <c r="E862" i="5"/>
  <c r="E854" i="5"/>
  <c r="E846" i="5"/>
  <c r="E838" i="5"/>
  <c r="E830" i="5"/>
  <c r="E822" i="5"/>
  <c r="E814" i="5"/>
  <c r="E806" i="5"/>
  <c r="E798" i="5"/>
  <c r="E790" i="5"/>
  <c r="E782" i="5"/>
  <c r="E774" i="5"/>
  <c r="E766" i="5"/>
  <c r="E758" i="5"/>
  <c r="E750" i="5"/>
  <c r="E742" i="5"/>
  <c r="E734" i="5"/>
  <c r="E726" i="5"/>
  <c r="E718" i="5"/>
  <c r="E710" i="5"/>
  <c r="E702" i="5"/>
  <c r="E694" i="5"/>
  <c r="E686" i="5"/>
  <c r="E678" i="5"/>
  <c r="E670" i="5"/>
  <c r="E662" i="5"/>
  <c r="E654" i="5"/>
  <c r="E646" i="5"/>
  <c r="E638" i="5"/>
  <c r="E630" i="5"/>
  <c r="E622" i="5"/>
  <c r="E614" i="5"/>
  <c r="E606" i="5"/>
  <c r="E598" i="5"/>
  <c r="E590" i="5"/>
  <c r="E582" i="5"/>
  <c r="E574" i="5"/>
  <c r="E566" i="5"/>
  <c r="E558" i="5"/>
  <c r="E550" i="5"/>
  <c r="E542" i="5"/>
  <c r="E534" i="5"/>
  <c r="E526" i="5"/>
  <c r="E518" i="5"/>
  <c r="E510" i="5"/>
  <c r="E502" i="5"/>
  <c r="E494" i="5"/>
  <c r="E486" i="5"/>
  <c r="E478" i="5"/>
  <c r="E470" i="5"/>
  <c r="E462" i="5"/>
  <c r="E454" i="5"/>
  <c r="E446" i="5"/>
  <c r="E438" i="5"/>
  <c r="E430" i="5"/>
  <c r="E422" i="5"/>
  <c r="E414" i="5"/>
  <c r="E406" i="5"/>
  <c r="E398" i="5"/>
  <c r="E390" i="5"/>
  <c r="E382" i="5"/>
  <c r="E374" i="5"/>
  <c r="E366" i="5"/>
  <c r="E358" i="5"/>
  <c r="E350" i="5"/>
  <c r="E342" i="5"/>
  <c r="E334" i="5"/>
  <c r="E326" i="5"/>
  <c r="E318" i="5"/>
  <c r="E310" i="5"/>
  <c r="E302" i="5"/>
  <c r="E294" i="5"/>
  <c r="E286" i="5"/>
  <c r="E278" i="5"/>
  <c r="E270" i="5"/>
  <c r="E262" i="5"/>
  <c r="E254" i="5"/>
  <c r="E246" i="5"/>
  <c r="E238" i="5"/>
  <c r="E230" i="5"/>
  <c r="E222" i="5"/>
  <c r="E214" i="5"/>
  <c r="E206" i="5"/>
  <c r="E198" i="5"/>
  <c r="E190" i="5"/>
  <c r="E182" i="5"/>
  <c r="E174" i="5"/>
  <c r="E166" i="5"/>
  <c r="E158" i="5"/>
  <c r="E150" i="5"/>
  <c r="E142" i="5"/>
  <c r="E134" i="5"/>
  <c r="E126" i="5"/>
  <c r="E118" i="5"/>
  <c r="E110" i="5"/>
  <c r="E41507" i="5"/>
  <c r="E40995" i="5"/>
  <c r="E40561" i="5"/>
  <c r="E40152" i="5"/>
  <c r="E39742" i="5"/>
  <c r="E39332" i="5"/>
  <c r="E39023" i="5"/>
  <c r="E38767" i="5"/>
  <c r="E38511" i="5"/>
  <c r="E38255" i="5"/>
  <c r="E37999" i="5"/>
  <c r="E37743" i="5"/>
  <c r="E37487" i="5"/>
  <c r="E37231" i="5"/>
  <c r="E36975" i="5"/>
  <c r="E36719" i="5"/>
  <c r="E36463" i="5"/>
  <c r="E36207" i="5"/>
  <c r="E35951" i="5"/>
  <c r="E35695" i="5"/>
  <c r="E35439" i="5"/>
  <c r="E35183" i="5"/>
  <c r="E34927" i="5"/>
  <c r="E34671" i="5"/>
  <c r="E34415" i="5"/>
  <c r="E34159" i="5"/>
  <c r="E33903" i="5"/>
  <c r="E33647" i="5"/>
  <c r="E33391" i="5"/>
  <c r="E33135" i="5"/>
  <c r="E32879" i="5"/>
  <c r="E32623" i="5"/>
  <c r="E32367" i="5"/>
  <c r="E32111" i="5"/>
  <c r="E31855" i="5"/>
  <c r="E31599" i="5"/>
  <c r="E31343" i="5"/>
  <c r="E31087" i="5"/>
  <c r="E30831" i="5"/>
  <c r="E30575" i="5"/>
  <c r="E30319" i="5"/>
  <c r="E30063" i="5"/>
  <c r="E29807" i="5"/>
  <c r="E29551" i="5"/>
  <c r="E29295" i="5"/>
  <c r="E29039" i="5"/>
  <c r="E28783" i="5"/>
  <c r="E28527" i="5"/>
  <c r="E28271" i="5"/>
  <c r="E28015" i="5"/>
  <c r="E27759" i="5"/>
  <c r="E27503" i="5"/>
  <c r="E27247" i="5"/>
  <c r="E26991" i="5"/>
  <c r="E26735" i="5"/>
  <c r="E26479" i="5"/>
  <c r="E26223" i="5"/>
  <c r="E25967" i="5"/>
  <c r="E25711" i="5"/>
  <c r="E25535" i="5"/>
  <c r="E25407" i="5"/>
  <c r="E25279" i="5"/>
  <c r="E25151" i="5"/>
  <c r="E25053" i="5"/>
  <c r="E24967" i="5"/>
  <c r="E24887" i="5"/>
  <c r="E24823" i="5"/>
  <c r="E24759" i="5"/>
  <c r="E24695" i="5"/>
  <c r="E24631" i="5"/>
  <c r="E24567" i="5"/>
  <c r="E24503" i="5"/>
  <c r="E24439" i="5"/>
  <c r="E24387" i="5"/>
  <c r="E24335" i="5"/>
  <c r="E24284" i="5"/>
  <c r="E24234" i="5"/>
  <c r="E24181" i="5"/>
  <c r="E24131" i="5"/>
  <c r="E24079" i="5"/>
  <c r="E24028" i="5"/>
  <c r="E23978" i="5"/>
  <c r="E23932" i="5"/>
  <c r="E23890" i="5"/>
  <c r="E23847" i="5"/>
  <c r="E23804" i="5"/>
  <c r="E23762" i="5"/>
  <c r="E23723" i="5"/>
  <c r="E23686" i="5"/>
  <c r="E23650" i="5"/>
  <c r="E23618" i="5"/>
  <c r="E23586" i="5"/>
  <c r="E23554" i="5"/>
  <c r="E23522" i="5"/>
  <c r="E23490" i="5"/>
  <c r="E23458" i="5"/>
  <c r="E23426" i="5"/>
  <c r="E23394" i="5"/>
  <c r="E23362" i="5"/>
  <c r="E23330" i="5"/>
  <c r="E23298" i="5"/>
  <c r="E23266" i="5"/>
  <c r="E23234" i="5"/>
  <c r="E23202" i="5"/>
  <c r="E23170" i="5"/>
  <c r="E23138" i="5"/>
  <c r="E23106" i="5"/>
  <c r="E23074" i="5"/>
  <c r="E23042" i="5"/>
  <c r="E23010" i="5"/>
  <c r="E22978" i="5"/>
  <c r="E22946" i="5"/>
  <c r="E22914" i="5"/>
  <c r="E22882" i="5"/>
  <c r="E22850" i="5"/>
  <c r="E22818" i="5"/>
  <c r="E22786" i="5"/>
  <c r="E22754" i="5"/>
  <c r="E22722" i="5"/>
  <c r="E22690" i="5"/>
  <c r="E22658" i="5"/>
  <c r="E22626" i="5"/>
  <c r="E22594" i="5"/>
  <c r="E22562" i="5"/>
  <c r="E22530" i="5"/>
  <c r="E22498" i="5"/>
  <c r="E22466" i="5"/>
  <c r="E22434" i="5"/>
  <c r="E22402" i="5"/>
  <c r="E22370" i="5"/>
  <c r="E22338" i="5"/>
  <c r="E22306" i="5"/>
  <c r="E22274" i="5"/>
  <c r="E22242" i="5"/>
  <c r="E22210" i="5"/>
  <c r="E22178" i="5"/>
  <c r="E22146" i="5"/>
  <c r="E22114" i="5"/>
  <c r="E22082" i="5"/>
  <c r="E22050" i="5"/>
  <c r="E22018" i="5"/>
  <c r="E21986" i="5"/>
  <c r="E21954" i="5"/>
  <c r="E21922" i="5"/>
  <c r="E21890" i="5"/>
  <c r="E21858" i="5"/>
  <c r="E21826" i="5"/>
  <c r="E21794" i="5"/>
  <c r="E21762" i="5"/>
  <c r="E21730" i="5"/>
  <c r="E21698" i="5"/>
  <c r="E21666" i="5"/>
  <c r="E21634" i="5"/>
  <c r="E21602" i="5"/>
  <c r="E21570" i="5"/>
  <c r="E21538" i="5"/>
  <c r="E21506" i="5"/>
  <c r="E21474" i="5"/>
  <c r="E21442" i="5"/>
  <c r="E21410" i="5"/>
  <c r="E21378" i="5"/>
  <c r="E21346" i="5"/>
  <c r="E21314" i="5"/>
  <c r="E21282" i="5"/>
  <c r="E21250" i="5"/>
  <c r="E21218" i="5"/>
  <c r="E21186" i="5"/>
  <c r="E21154" i="5"/>
  <c r="E21122" i="5"/>
  <c r="E21090" i="5"/>
  <c r="E21058" i="5"/>
  <c r="E21026" i="5"/>
  <c r="E20994" i="5"/>
  <c r="E20962" i="5"/>
  <c r="E20930" i="5"/>
  <c r="E20898" i="5"/>
  <c r="E20866" i="5"/>
  <c r="E20834" i="5"/>
  <c r="E20802" i="5"/>
  <c r="E20770" i="5"/>
  <c r="E20738" i="5"/>
  <c r="E20706" i="5"/>
  <c r="E20674" i="5"/>
  <c r="E20642" i="5"/>
  <c r="E20610" i="5"/>
  <c r="E20578" i="5"/>
  <c r="E20546" i="5"/>
  <c r="E20514" i="5"/>
  <c r="E20482" i="5"/>
  <c r="E20450" i="5"/>
  <c r="E20418" i="5"/>
  <c r="E20386" i="5"/>
  <c r="E20354" i="5"/>
  <c r="E20322" i="5"/>
  <c r="E20290" i="5"/>
  <c r="E20258" i="5"/>
  <c r="E20226" i="5"/>
  <c r="E20194" i="5"/>
  <c r="E20162" i="5"/>
  <c r="E20130" i="5"/>
  <c r="E20098" i="5"/>
  <c r="E20066" i="5"/>
  <c r="E20034" i="5"/>
  <c r="E20002" i="5"/>
  <c r="E19970" i="5"/>
  <c r="E19938" i="5"/>
  <c r="E19906" i="5"/>
  <c r="E19874" i="5"/>
  <c r="E19842" i="5"/>
  <c r="E19810" i="5"/>
  <c r="E19778" i="5"/>
  <c r="E19746" i="5"/>
  <c r="E19714" i="5"/>
  <c r="E19682" i="5"/>
  <c r="E19650" i="5"/>
  <c r="E19618" i="5"/>
  <c r="E19586" i="5"/>
  <c r="E19554" i="5"/>
  <c r="E19522" i="5"/>
  <c r="E19490" i="5"/>
  <c r="E19458" i="5"/>
  <c r="E19426" i="5"/>
  <c r="E19394" i="5"/>
  <c r="E19362" i="5"/>
  <c r="E19330" i="5"/>
  <c r="E19298" i="5"/>
  <c r="E19266" i="5"/>
  <c r="E19234" i="5"/>
  <c r="E19202" i="5"/>
  <c r="E19170" i="5"/>
  <c r="E19138" i="5"/>
  <c r="E19106" i="5"/>
  <c r="E19074" i="5"/>
  <c r="E19042" i="5"/>
  <c r="E19010" i="5"/>
  <c r="E18978" i="5"/>
  <c r="E18946" i="5"/>
  <c r="E18914" i="5"/>
  <c r="E18882" i="5"/>
  <c r="E18850" i="5"/>
  <c r="E18818" i="5"/>
  <c r="E18786" i="5"/>
  <c r="E18754" i="5"/>
  <c r="E18722" i="5"/>
  <c r="E18690" i="5"/>
  <c r="E18658" i="5"/>
  <c r="E18626" i="5"/>
  <c r="E18594" i="5"/>
  <c r="E18562" i="5"/>
  <c r="E18530" i="5"/>
  <c r="E18498" i="5"/>
  <c r="E18466" i="5"/>
  <c r="E18434" i="5"/>
  <c r="E18402" i="5"/>
  <c r="E18370" i="5"/>
  <c r="E18338" i="5"/>
  <c r="E18306" i="5"/>
  <c r="E18274" i="5"/>
  <c r="E18242" i="5"/>
  <c r="E18210" i="5"/>
  <c r="E18178" i="5"/>
  <c r="E18146" i="5"/>
  <c r="E18114" i="5"/>
  <c r="E18082" i="5"/>
  <c r="E18050" i="5"/>
  <c r="E18018" i="5"/>
  <c r="E17986" i="5"/>
  <c r="E17954" i="5"/>
  <c r="E17922" i="5"/>
  <c r="E17890" i="5"/>
  <c r="E17858" i="5"/>
  <c r="E17826" i="5"/>
  <c r="E17794" i="5"/>
  <c r="E17762" i="5"/>
  <c r="E17730" i="5"/>
  <c r="E17698" i="5"/>
  <c r="E17666" i="5"/>
  <c r="E17634" i="5"/>
  <c r="E17602" i="5"/>
  <c r="E17570" i="5"/>
  <c r="E17538" i="5"/>
  <c r="E17506" i="5"/>
  <c r="E17474" i="5"/>
  <c r="E17442" i="5"/>
  <c r="E17410" i="5"/>
  <c r="E17378" i="5"/>
  <c r="E17346" i="5"/>
  <c r="E17314" i="5"/>
  <c r="E17282" i="5"/>
  <c r="E17250" i="5"/>
  <c r="E17218" i="5"/>
  <c r="E17186" i="5"/>
  <c r="E17154" i="5"/>
  <c r="E17122" i="5"/>
  <c r="E17090" i="5"/>
  <c r="E17058" i="5"/>
  <c r="E17026" i="5"/>
  <c r="E16994" i="5"/>
  <c r="E16962" i="5"/>
  <c r="E16930" i="5"/>
  <c r="E16898" i="5"/>
  <c r="E16866" i="5"/>
  <c r="E16834" i="5"/>
  <c r="E16802" i="5"/>
  <c r="E16770" i="5"/>
  <c r="E16738" i="5"/>
  <c r="E16706" i="5"/>
  <c r="E16674" i="5"/>
  <c r="E16642" i="5"/>
  <c r="E16610" i="5"/>
  <c r="E16578" i="5"/>
  <c r="E16546" i="5"/>
  <c r="E16514" i="5"/>
  <c r="E16482" i="5"/>
  <c r="E16450" i="5"/>
  <c r="E16418" i="5"/>
  <c r="E16386" i="5"/>
  <c r="E16354" i="5"/>
  <c r="E16322" i="5"/>
  <c r="E16290" i="5"/>
  <c r="E16258" i="5"/>
  <c r="E16226" i="5"/>
  <c r="E16194" i="5"/>
  <c r="E16162" i="5"/>
  <c r="E16130" i="5"/>
  <c r="E16098" i="5"/>
  <c r="E16066" i="5"/>
  <c r="E16034" i="5"/>
  <c r="E16002" i="5"/>
  <c r="E15970" i="5"/>
  <c r="E15938" i="5"/>
  <c r="E15906" i="5"/>
  <c r="E15874" i="5"/>
  <c r="E15842" i="5"/>
  <c r="E15810" i="5"/>
  <c r="E15778" i="5"/>
  <c r="E15746" i="5"/>
  <c r="E15714" i="5"/>
  <c r="E15682" i="5"/>
  <c r="E15650" i="5"/>
  <c r="E15618" i="5"/>
  <c r="E15586" i="5"/>
  <c r="E15554" i="5"/>
  <c r="E15522" i="5"/>
  <c r="E15490" i="5"/>
  <c r="E15458" i="5"/>
  <c r="E15426" i="5"/>
  <c r="E15394" i="5"/>
  <c r="E15362" i="5"/>
  <c r="E15330" i="5"/>
  <c r="E15298" i="5"/>
  <c r="E15266" i="5"/>
  <c r="E15234" i="5"/>
  <c r="E15202" i="5"/>
  <c r="E15170" i="5"/>
  <c r="E15138" i="5"/>
  <c r="E15106" i="5"/>
  <c r="E15074" i="5"/>
  <c r="E15042" i="5"/>
  <c r="E15010" i="5"/>
  <c r="E14978" i="5"/>
  <c r="E14946" i="5"/>
  <c r="E14914" i="5"/>
  <c r="E14882" i="5"/>
  <c r="E14850" i="5"/>
  <c r="E14818" i="5"/>
  <c r="E14786" i="5"/>
  <c r="E14754" i="5"/>
  <c r="E14722" i="5"/>
  <c r="E14690" i="5"/>
  <c r="E14658" i="5"/>
  <c r="E14626" i="5"/>
  <c r="E14594" i="5"/>
  <c r="E14562" i="5"/>
  <c r="E14530" i="5"/>
  <c r="E14498" i="5"/>
  <c r="E14466" i="5"/>
  <c r="E14434" i="5"/>
  <c r="E14402" i="5"/>
  <c r="E14370" i="5"/>
  <c r="E14338" i="5"/>
  <c r="E14306" i="5"/>
  <c r="E14274" i="5"/>
  <c r="E14242" i="5"/>
  <c r="E14210" i="5"/>
  <c r="E14178" i="5"/>
  <c r="E14146" i="5"/>
  <c r="E14114" i="5"/>
  <c r="E14082" i="5"/>
  <c r="E14050" i="5"/>
  <c r="E14018" i="5"/>
  <c r="E13986" i="5"/>
  <c r="E13954" i="5"/>
  <c r="E13922" i="5"/>
  <c r="E13890" i="5"/>
  <c r="E13858" i="5"/>
  <c r="E13826" i="5"/>
  <c r="E13794" i="5"/>
  <c r="E13762" i="5"/>
  <c r="E13730" i="5"/>
  <c r="E13698" i="5"/>
  <c r="E13666" i="5"/>
  <c r="E13634" i="5"/>
  <c r="E13602" i="5"/>
  <c r="E13570" i="5"/>
  <c r="E13538" i="5"/>
  <c r="E13506" i="5"/>
  <c r="E13474" i="5"/>
  <c r="E13442" i="5"/>
  <c r="E13410" i="5"/>
  <c r="E13378" i="5"/>
  <c r="E13346" i="5"/>
  <c r="E13314" i="5"/>
  <c r="E13282" i="5"/>
  <c r="E13250" i="5"/>
  <c r="E13218" i="5"/>
  <c r="E13186" i="5"/>
  <c r="E13154" i="5"/>
  <c r="E13122" i="5"/>
  <c r="E13090" i="5"/>
  <c r="E13058" i="5"/>
  <c r="E13026" i="5"/>
  <c r="E12994" i="5"/>
  <c r="E12962" i="5"/>
  <c r="E12930" i="5"/>
  <c r="E12898" i="5"/>
  <c r="E12866" i="5"/>
  <c r="E12834" i="5"/>
  <c r="E12802" i="5"/>
  <c r="E12770" i="5"/>
  <c r="E12738" i="5"/>
  <c r="E12706" i="5"/>
  <c r="E12674" i="5"/>
  <c r="E12642" i="5"/>
  <c r="E12610" i="5"/>
  <c r="E12578" i="5"/>
  <c r="E12546" i="5"/>
  <c r="E12514" i="5"/>
  <c r="E12482" i="5"/>
  <c r="E12450" i="5"/>
  <c r="E12418" i="5"/>
  <c r="E12386" i="5"/>
  <c r="E12354" i="5"/>
  <c r="E12322" i="5"/>
  <c r="E12290" i="5"/>
  <c r="E12258" i="5"/>
  <c r="E12226" i="5"/>
  <c r="E12194" i="5"/>
  <c r="E12162" i="5"/>
  <c r="E12130" i="5"/>
  <c r="E12098" i="5"/>
  <c r="E12066" i="5"/>
  <c r="E12034" i="5"/>
  <c r="E12002" i="5"/>
  <c r="E11970" i="5"/>
  <c r="E11938" i="5"/>
  <c r="E11906" i="5"/>
  <c r="E11874" i="5"/>
  <c r="E11842" i="5"/>
  <c r="E11810" i="5"/>
  <c r="E11778" i="5"/>
  <c r="E11746" i="5"/>
  <c r="E11714" i="5"/>
  <c r="E11682" i="5"/>
  <c r="E11650" i="5"/>
  <c r="E11618" i="5"/>
  <c r="E11586" i="5"/>
  <c r="E11554" i="5"/>
  <c r="E11522" i="5"/>
  <c r="E11490" i="5"/>
  <c r="E11458" i="5"/>
  <c r="E11426" i="5"/>
  <c r="E11394" i="5"/>
  <c r="E11362" i="5"/>
  <c r="E11330" i="5"/>
  <c r="E11298" i="5"/>
  <c r="E11266" i="5"/>
  <c r="E11234" i="5"/>
  <c r="E11202" i="5"/>
  <c r="E11170" i="5"/>
  <c r="E11138" i="5"/>
  <c r="E11106" i="5"/>
  <c r="E11074" i="5"/>
  <c r="E11042" i="5"/>
  <c r="E11010" i="5"/>
  <c r="E10978" i="5"/>
  <c r="E10946" i="5"/>
  <c r="E10914" i="5"/>
  <c r="E10882" i="5"/>
  <c r="E10850" i="5"/>
  <c r="E10818" i="5"/>
  <c r="E10786" i="5"/>
  <c r="E10754" i="5"/>
  <c r="E10722" i="5"/>
  <c r="E10690" i="5"/>
  <c r="E10658" i="5"/>
  <c r="E10626" i="5"/>
  <c r="E10594" i="5"/>
  <c r="E10562" i="5"/>
  <c r="E10530" i="5"/>
  <c r="E10498" i="5"/>
  <c r="E10466" i="5"/>
  <c r="E10434" i="5"/>
  <c r="E10402" i="5"/>
  <c r="E10370" i="5"/>
  <c r="E10338" i="5"/>
  <c r="E10306" i="5"/>
  <c r="E10274" i="5"/>
  <c r="E10242" i="5"/>
  <c r="E10210" i="5"/>
  <c r="E10178" i="5"/>
  <c r="E10146" i="5"/>
  <c r="E10114" i="5"/>
  <c r="E10082" i="5"/>
  <c r="E10050" i="5"/>
  <c r="E10018" i="5"/>
  <c r="E9986" i="5"/>
  <c r="E9954" i="5"/>
  <c r="E9922" i="5"/>
  <c r="E9890" i="5"/>
  <c r="E9858" i="5"/>
  <c r="E9826" i="5"/>
  <c r="E9794" i="5"/>
  <c r="E9762" i="5"/>
  <c r="E9730" i="5"/>
  <c r="E9698" i="5"/>
  <c r="E9666" i="5"/>
  <c r="E9634" i="5"/>
  <c r="E9602" i="5"/>
  <c r="E9570" i="5"/>
  <c r="E9538" i="5"/>
  <c r="E9506" i="5"/>
  <c r="E9474" i="5"/>
  <c r="E9442" i="5"/>
  <c r="E9410" i="5"/>
  <c r="E9378" i="5"/>
  <c r="E9346" i="5"/>
  <c r="E9314" i="5"/>
  <c r="E9282" i="5"/>
  <c r="E9250" i="5"/>
  <c r="E9218" i="5"/>
  <c r="E9186" i="5"/>
  <c r="E9154" i="5"/>
  <c r="E9122" i="5"/>
  <c r="E9090" i="5"/>
  <c r="E9058" i="5"/>
  <c r="E9026" i="5"/>
  <c r="E8994" i="5"/>
  <c r="E8962" i="5"/>
  <c r="E8930" i="5"/>
  <c r="E8898" i="5"/>
  <c r="E8866" i="5"/>
  <c r="E8834" i="5"/>
  <c r="E8802" i="5"/>
  <c r="E8770" i="5"/>
  <c r="E8738" i="5"/>
  <c r="E8706" i="5"/>
  <c r="E8674" i="5"/>
  <c r="E8642" i="5"/>
  <c r="E8610" i="5"/>
  <c r="E8578" i="5"/>
  <c r="E8546" i="5"/>
  <c r="E8514" i="5"/>
  <c r="E8482" i="5"/>
  <c r="E8450" i="5"/>
  <c r="E8418" i="5"/>
  <c r="E8386" i="5"/>
  <c r="E8354" i="5"/>
  <c r="E8322" i="5"/>
  <c r="E8290" i="5"/>
  <c r="E8258" i="5"/>
  <c r="E8226" i="5"/>
  <c r="E8194" i="5"/>
  <c r="E8162" i="5"/>
  <c r="E8130" i="5"/>
  <c r="E8098" i="5"/>
  <c r="E8066" i="5"/>
  <c r="E8034" i="5"/>
  <c r="E8002" i="5"/>
  <c r="E7970" i="5"/>
  <c r="E7938" i="5"/>
  <c r="E7906" i="5"/>
  <c r="E7874" i="5"/>
  <c r="E7842" i="5"/>
  <c r="E7810" i="5"/>
  <c r="E7778" i="5"/>
  <c r="E7746" i="5"/>
  <c r="E7714" i="5"/>
  <c r="E7682" i="5"/>
  <c r="E7650" i="5"/>
  <c r="E7618" i="5"/>
  <c r="E7586" i="5"/>
  <c r="E7554" i="5"/>
  <c r="E7522" i="5"/>
  <c r="E7490" i="5"/>
  <c r="E7458" i="5"/>
  <c r="E7426" i="5"/>
  <c r="E7394" i="5"/>
  <c r="E7362" i="5"/>
  <c r="E7330" i="5"/>
  <c r="E7298" i="5"/>
  <c r="E7266" i="5"/>
  <c r="E7234" i="5"/>
  <c r="E7202" i="5"/>
  <c r="E7170" i="5"/>
  <c r="E7138" i="5"/>
  <c r="E7106" i="5"/>
  <c r="E7074" i="5"/>
  <c r="E7042" i="5"/>
  <c r="E7010" i="5"/>
  <c r="E6978" i="5"/>
  <c r="E6946" i="5"/>
  <c r="E6914" i="5"/>
  <c r="E6882" i="5"/>
  <c r="E6850" i="5"/>
  <c r="E6818" i="5"/>
  <c r="E6786" i="5"/>
  <c r="E6754" i="5"/>
  <c r="E6722" i="5"/>
  <c r="E6690" i="5"/>
  <c r="E6658" i="5"/>
  <c r="E6626" i="5"/>
  <c r="E6594" i="5"/>
  <c r="E6562" i="5"/>
  <c r="E6530" i="5"/>
  <c r="E6498" i="5"/>
  <c r="E6466" i="5"/>
  <c r="E6434" i="5"/>
  <c r="E6402" i="5"/>
  <c r="E6370" i="5"/>
  <c r="E6338" i="5"/>
  <c r="E6306" i="5"/>
  <c r="E6274" i="5"/>
  <c r="E6242" i="5"/>
  <c r="E6210" i="5"/>
  <c r="E6178" i="5"/>
  <c r="E6146" i="5"/>
  <c r="E6114" i="5"/>
  <c r="E6082" i="5"/>
  <c r="E6050" i="5"/>
  <c r="E6018" i="5"/>
  <c r="E5986" i="5"/>
  <c r="E5954" i="5"/>
  <c r="E5922" i="5"/>
  <c r="E5890" i="5"/>
  <c r="E5858" i="5"/>
  <c r="E5826" i="5"/>
  <c r="E5794" i="5"/>
  <c r="E5762" i="5"/>
  <c r="E5730" i="5"/>
  <c r="E5698" i="5"/>
  <c r="E5669" i="5"/>
  <c r="E5648" i="5"/>
  <c r="E5626" i="5"/>
  <c r="E5605" i="5"/>
  <c r="E5584" i="5"/>
  <c r="E5562" i="5"/>
  <c r="E5541" i="5"/>
  <c r="E5520" i="5"/>
  <c r="E5498" i="5"/>
  <c r="E5477" i="5"/>
  <c r="E5456" i="5"/>
  <c r="E5434" i="5"/>
  <c r="E5413" i="5"/>
  <c r="E5392" i="5"/>
  <c r="E5370" i="5"/>
  <c r="E5349" i="5"/>
  <c r="E5328" i="5"/>
  <c r="E5309" i="5"/>
  <c r="E5293" i="5"/>
  <c r="E5277" i="5"/>
  <c r="E5265" i="5"/>
  <c r="E5256" i="5"/>
  <c r="E5247" i="5"/>
  <c r="E5238" i="5"/>
  <c r="E5229" i="5"/>
  <c r="E5220" i="5"/>
  <c r="E5210" i="5"/>
  <c r="E5201" i="5"/>
  <c r="E5192" i="5"/>
  <c r="E5183" i="5"/>
  <c r="E5174" i="5"/>
  <c r="E5165" i="5"/>
  <c r="E5157" i="5"/>
  <c r="E5149" i="5"/>
  <c r="E5141" i="5"/>
  <c r="E5133" i="5"/>
  <c r="E5125" i="5"/>
  <c r="E5117" i="5"/>
  <c r="E5109" i="5"/>
  <c r="E5101" i="5"/>
  <c r="E5093" i="5"/>
  <c r="E5085" i="5"/>
  <c r="E5077" i="5"/>
  <c r="E5069" i="5"/>
  <c r="E5061" i="5"/>
  <c r="E5053" i="5"/>
  <c r="E5045" i="5"/>
  <c r="E5037" i="5"/>
  <c r="E5029" i="5"/>
  <c r="E5021" i="5"/>
  <c r="E5013" i="5"/>
  <c r="E5005" i="5"/>
  <c r="E4997" i="5"/>
  <c r="E4989" i="5"/>
  <c r="E4981" i="5"/>
  <c r="E4973" i="5"/>
  <c r="E4965" i="5"/>
  <c r="E4957" i="5"/>
  <c r="E4949" i="5"/>
  <c r="E4941" i="5"/>
  <c r="E4933" i="5"/>
  <c r="E4925" i="5"/>
  <c r="E4917" i="5"/>
  <c r="E4909" i="5"/>
  <c r="E4901" i="5"/>
  <c r="E4893" i="5"/>
  <c r="E4885" i="5"/>
  <c r="E4877" i="5"/>
  <c r="E4869" i="5"/>
  <c r="E4861" i="5"/>
  <c r="E4853" i="5"/>
  <c r="E4845" i="5"/>
  <c r="E4837" i="5"/>
  <c r="E4829" i="5"/>
  <c r="E4821" i="5"/>
  <c r="E4813" i="5"/>
  <c r="E4805" i="5"/>
  <c r="E4797" i="5"/>
  <c r="E4789" i="5"/>
  <c r="E4781" i="5"/>
  <c r="E4773" i="5"/>
  <c r="E4765" i="5"/>
  <c r="E4757" i="5"/>
  <c r="E4749" i="5"/>
  <c r="E4741" i="5"/>
  <c r="E4733" i="5"/>
  <c r="E4725" i="5"/>
  <c r="E4717" i="5"/>
  <c r="E4709" i="5"/>
  <c r="E4701" i="5"/>
  <c r="E4693" i="5"/>
  <c r="E4685" i="5"/>
  <c r="E4677" i="5"/>
  <c r="E4669" i="5"/>
  <c r="E4661" i="5"/>
  <c r="E4653" i="5"/>
  <c r="E4645" i="5"/>
  <c r="E4637" i="5"/>
  <c r="E4629" i="5"/>
  <c r="E4621" i="5"/>
  <c r="E4613" i="5"/>
  <c r="E4605" i="5"/>
  <c r="E4597" i="5"/>
  <c r="E4589" i="5"/>
  <c r="E4581" i="5"/>
  <c r="E4573" i="5"/>
  <c r="E4565" i="5"/>
  <c r="E4557" i="5"/>
  <c r="E4549" i="5"/>
  <c r="E4541" i="5"/>
  <c r="E4533" i="5"/>
  <c r="E4525" i="5"/>
  <c r="E4517" i="5"/>
  <c r="E4509" i="5"/>
  <c r="E4501" i="5"/>
  <c r="E4493" i="5"/>
  <c r="E4485" i="5"/>
  <c r="E4477" i="5"/>
  <c r="E4469" i="5"/>
  <c r="E4461" i="5"/>
  <c r="E4453" i="5"/>
  <c r="E4445" i="5"/>
  <c r="E4437" i="5"/>
  <c r="E4429" i="5"/>
  <c r="E4421" i="5"/>
  <c r="E4413" i="5"/>
  <c r="E4405" i="5"/>
  <c r="E4397" i="5"/>
  <c r="E4389" i="5"/>
  <c r="E4381" i="5"/>
  <c r="E4373" i="5"/>
  <c r="E4365" i="5"/>
  <c r="E4357" i="5"/>
  <c r="E4349" i="5"/>
  <c r="E4341" i="5"/>
  <c r="E4333" i="5"/>
  <c r="E4325" i="5"/>
  <c r="E4317" i="5"/>
  <c r="E4309" i="5"/>
  <c r="E4301" i="5"/>
  <c r="E4293" i="5"/>
  <c r="E4285" i="5"/>
  <c r="E4277" i="5"/>
  <c r="E4269" i="5"/>
  <c r="E4261" i="5"/>
  <c r="E4253" i="5"/>
  <c r="E4245" i="5"/>
  <c r="E4237" i="5"/>
  <c r="E4229" i="5"/>
  <c r="E4221" i="5"/>
  <c r="E4213" i="5"/>
  <c r="E4205" i="5"/>
  <c r="E4197" i="5"/>
  <c r="E4189" i="5"/>
  <c r="E4181" i="5"/>
  <c r="E4173" i="5"/>
  <c r="E4165" i="5"/>
  <c r="E4157" i="5"/>
  <c r="E4149" i="5"/>
  <c r="E4141" i="5"/>
  <c r="E4133" i="5"/>
  <c r="E4125" i="5"/>
  <c r="E4117" i="5"/>
  <c r="E4109" i="5"/>
  <c r="E4101" i="5"/>
  <c r="E4093" i="5"/>
  <c r="E4085" i="5"/>
  <c r="E4077" i="5"/>
  <c r="E4069" i="5"/>
  <c r="E4061" i="5"/>
  <c r="E4053" i="5"/>
  <c r="E4045" i="5"/>
  <c r="E4037" i="5"/>
  <c r="E4029" i="5"/>
  <c r="E4021" i="5"/>
  <c r="E4013" i="5"/>
  <c r="E4005" i="5"/>
  <c r="E3997" i="5"/>
  <c r="E3989" i="5"/>
  <c r="E3981" i="5"/>
  <c r="E3973" i="5"/>
  <c r="E3965" i="5"/>
  <c r="E3957" i="5"/>
  <c r="E3949" i="5"/>
  <c r="E3941" i="5"/>
  <c r="E3933" i="5"/>
  <c r="E3925" i="5"/>
  <c r="E3917" i="5"/>
  <c r="E3909" i="5"/>
  <c r="E3901" i="5"/>
  <c r="E3893" i="5"/>
  <c r="E3885" i="5"/>
  <c r="E3877" i="5"/>
  <c r="E3869" i="5"/>
  <c r="E3861" i="5"/>
  <c r="E3853" i="5"/>
  <c r="E3845" i="5"/>
  <c r="E3837" i="5"/>
  <c r="E3829" i="5"/>
  <c r="E3821" i="5"/>
  <c r="E3813" i="5"/>
  <c r="E3805" i="5"/>
  <c r="E3797" i="5"/>
  <c r="E3789" i="5"/>
  <c r="E3781" i="5"/>
  <c r="E3773" i="5"/>
  <c r="E3765" i="5"/>
  <c r="E3757" i="5"/>
  <c r="E3749" i="5"/>
  <c r="E3741" i="5"/>
  <c r="E3733" i="5"/>
  <c r="E3725" i="5"/>
  <c r="E3717" i="5"/>
  <c r="E3709" i="5"/>
  <c r="E3701" i="5"/>
  <c r="E3693" i="5"/>
  <c r="E3685" i="5"/>
  <c r="E3677" i="5"/>
  <c r="E3669" i="5"/>
  <c r="E3661" i="5"/>
  <c r="E3653" i="5"/>
  <c r="E3645" i="5"/>
  <c r="E3637" i="5"/>
  <c r="E3629" i="5"/>
  <c r="E3621" i="5"/>
  <c r="E3613" i="5"/>
  <c r="E3605" i="5"/>
  <c r="E3597" i="5"/>
  <c r="E3589" i="5"/>
  <c r="E3581" i="5"/>
  <c r="E3573" i="5"/>
  <c r="E3565" i="5"/>
  <c r="E3557" i="5"/>
  <c r="E3549" i="5"/>
  <c r="E3541" i="5"/>
  <c r="E3533" i="5"/>
  <c r="E3525" i="5"/>
  <c r="E3517" i="5"/>
  <c r="E3509" i="5"/>
  <c r="E3501" i="5"/>
  <c r="E3493" i="5"/>
  <c r="E3485" i="5"/>
  <c r="E3477" i="5"/>
  <c r="E3469" i="5"/>
  <c r="E3461" i="5"/>
  <c r="E3453" i="5"/>
  <c r="E3445" i="5"/>
  <c r="E3437" i="5"/>
  <c r="E3429" i="5"/>
  <c r="E3421" i="5"/>
  <c r="E3413" i="5"/>
  <c r="E3405" i="5"/>
  <c r="E3397" i="5"/>
  <c r="E3389" i="5"/>
  <c r="E3381" i="5"/>
  <c r="E3373" i="5"/>
  <c r="E3365" i="5"/>
  <c r="E3357" i="5"/>
  <c r="E3349" i="5"/>
  <c r="E3341" i="5"/>
  <c r="E3333" i="5"/>
  <c r="E3325" i="5"/>
  <c r="E3317" i="5"/>
  <c r="E3309" i="5"/>
  <c r="E3301" i="5"/>
  <c r="E3293" i="5"/>
  <c r="E3285" i="5"/>
  <c r="E3277" i="5"/>
  <c r="E3269" i="5"/>
  <c r="E3261" i="5"/>
  <c r="E3253" i="5"/>
  <c r="E3245" i="5"/>
  <c r="E3237" i="5"/>
  <c r="E3229" i="5"/>
  <c r="E3221" i="5"/>
  <c r="E3213" i="5"/>
  <c r="E3205" i="5"/>
  <c r="E3197" i="5"/>
  <c r="E3189" i="5"/>
  <c r="E3181" i="5"/>
  <c r="E3173" i="5"/>
  <c r="E3165" i="5"/>
  <c r="E3157" i="5"/>
  <c r="E3149" i="5"/>
  <c r="E3141" i="5"/>
  <c r="E3133" i="5"/>
  <c r="E3125" i="5"/>
  <c r="E3117" i="5"/>
  <c r="E3109" i="5"/>
  <c r="E3101" i="5"/>
  <c r="E3093" i="5"/>
  <c r="E3085" i="5"/>
  <c r="E3077" i="5"/>
  <c r="E3069" i="5"/>
  <c r="E3061" i="5"/>
  <c r="E3053" i="5"/>
  <c r="E3045" i="5"/>
  <c r="E3037" i="5"/>
  <c r="E3029" i="5"/>
  <c r="E3021" i="5"/>
  <c r="E3013" i="5"/>
  <c r="E3005" i="5"/>
  <c r="E2997" i="5"/>
  <c r="E2989" i="5"/>
  <c r="E2981" i="5"/>
  <c r="E2973" i="5"/>
  <c r="E2965" i="5"/>
  <c r="E2957" i="5"/>
  <c r="E2949" i="5"/>
  <c r="E2941" i="5"/>
  <c r="E2933" i="5"/>
  <c r="E2925" i="5"/>
  <c r="E2917" i="5"/>
  <c r="E2909" i="5"/>
  <c r="E2901" i="5"/>
  <c r="E2893" i="5"/>
  <c r="E2885" i="5"/>
  <c r="E2877" i="5"/>
  <c r="E2869" i="5"/>
  <c r="E2861" i="5"/>
  <c r="E2853" i="5"/>
  <c r="E2845" i="5"/>
  <c r="E2837" i="5"/>
  <c r="E2829" i="5"/>
  <c r="E2821" i="5"/>
  <c r="E2813" i="5"/>
  <c r="E2805" i="5"/>
  <c r="E2797" i="5"/>
  <c r="E2789" i="5"/>
  <c r="E2781" i="5"/>
  <c r="E2773" i="5"/>
  <c r="E2765" i="5"/>
  <c r="E2757" i="5"/>
  <c r="E2749" i="5"/>
  <c r="E2741" i="5"/>
  <c r="E2733" i="5"/>
  <c r="E2725" i="5"/>
  <c r="E2717" i="5"/>
  <c r="E2709" i="5"/>
  <c r="E2701" i="5"/>
  <c r="E2693" i="5"/>
  <c r="E2685" i="5"/>
  <c r="E2677" i="5"/>
  <c r="E2669" i="5"/>
  <c r="E2661" i="5"/>
  <c r="E2653" i="5"/>
  <c r="E2645" i="5"/>
  <c r="E2637" i="5"/>
  <c r="E2629" i="5"/>
  <c r="E2621" i="5"/>
  <c r="E2613" i="5"/>
  <c r="E2605" i="5"/>
  <c r="E2597" i="5"/>
  <c r="E2589" i="5"/>
  <c r="E2581" i="5"/>
  <c r="E2573" i="5"/>
  <c r="E2565" i="5"/>
  <c r="E2557" i="5"/>
  <c r="E2549" i="5"/>
  <c r="E2541" i="5"/>
  <c r="E2533" i="5"/>
  <c r="E2525" i="5"/>
  <c r="E2517" i="5"/>
  <c r="E2509" i="5"/>
  <c r="E2501" i="5"/>
  <c r="E2493" i="5"/>
  <c r="E2485" i="5"/>
  <c r="E2477" i="5"/>
  <c r="E2469" i="5"/>
  <c r="E2461" i="5"/>
  <c r="E2453" i="5"/>
  <c r="E2445" i="5"/>
  <c r="E2437" i="5"/>
  <c r="E2429" i="5"/>
  <c r="E2421" i="5"/>
  <c r="E2413" i="5"/>
  <c r="E2405" i="5"/>
  <c r="E2397" i="5"/>
  <c r="E2389" i="5"/>
  <c r="E2381" i="5"/>
  <c r="E2373" i="5"/>
  <c r="E2365" i="5"/>
  <c r="E2357" i="5"/>
  <c r="E2349" i="5"/>
  <c r="E2341" i="5"/>
  <c r="E2333" i="5"/>
  <c r="E2325" i="5"/>
  <c r="E2317" i="5"/>
  <c r="E2309" i="5"/>
  <c r="E2301" i="5"/>
  <c r="E2293" i="5"/>
  <c r="E2285" i="5"/>
  <c r="E2277" i="5"/>
  <c r="E2269" i="5"/>
  <c r="E2261" i="5"/>
  <c r="E2253" i="5"/>
  <c r="E2245" i="5"/>
  <c r="E2237" i="5"/>
  <c r="E2229" i="5"/>
  <c r="E2221" i="5"/>
  <c r="E2213" i="5"/>
  <c r="E2205" i="5"/>
  <c r="E2197" i="5"/>
  <c r="E2189" i="5"/>
  <c r="E2181" i="5"/>
  <c r="E2173" i="5"/>
  <c r="E2165" i="5"/>
  <c r="E2157" i="5"/>
  <c r="E2149" i="5"/>
  <c r="E2141" i="5"/>
  <c r="E2133" i="5"/>
  <c r="E2125" i="5"/>
  <c r="E2117" i="5"/>
  <c r="E2109" i="5"/>
  <c r="E2101" i="5"/>
  <c r="E2093" i="5"/>
  <c r="E2085" i="5"/>
  <c r="E2077" i="5"/>
  <c r="E2069" i="5"/>
  <c r="E2061" i="5"/>
  <c r="E2053" i="5"/>
  <c r="E2045" i="5"/>
  <c r="E2037" i="5"/>
  <c r="E2029" i="5"/>
  <c r="E2021" i="5"/>
  <c r="E2013" i="5"/>
  <c r="E2005" i="5"/>
  <c r="E1997" i="5"/>
  <c r="E1989" i="5"/>
  <c r="E1981" i="5"/>
  <c r="E1973" i="5"/>
  <c r="E1965" i="5"/>
  <c r="E1957" i="5"/>
  <c r="E1949" i="5"/>
  <c r="E1941" i="5"/>
  <c r="E1933" i="5"/>
  <c r="E1925" i="5"/>
  <c r="E1917" i="5"/>
  <c r="E1909" i="5"/>
  <c r="E1901" i="5"/>
  <c r="E1893" i="5"/>
  <c r="E1885" i="5"/>
  <c r="E1877" i="5"/>
  <c r="E1869" i="5"/>
  <c r="E1861" i="5"/>
  <c r="E1853" i="5"/>
  <c r="E1845" i="5"/>
  <c r="E1837" i="5"/>
  <c r="E1829" i="5"/>
  <c r="E1821" i="5"/>
  <c r="E1813" i="5"/>
  <c r="E1805" i="5"/>
  <c r="E1797" i="5"/>
  <c r="E1789" i="5"/>
  <c r="E1781" i="5"/>
  <c r="E1773" i="5"/>
  <c r="E1765" i="5"/>
  <c r="E1757" i="5"/>
  <c r="E1749" i="5"/>
  <c r="E1741" i="5"/>
  <c r="E1733" i="5"/>
  <c r="E1725" i="5"/>
  <c r="E1717" i="5"/>
  <c r="E1709" i="5"/>
  <c r="E1701" i="5"/>
  <c r="E1693" i="5"/>
  <c r="E1685" i="5"/>
  <c r="E1677" i="5"/>
  <c r="E1669" i="5"/>
  <c r="E1661" i="5"/>
  <c r="E1653" i="5"/>
  <c r="E1645" i="5"/>
  <c r="E1637" i="5"/>
  <c r="E1629" i="5"/>
  <c r="E1621" i="5"/>
  <c r="E1613" i="5"/>
  <c r="E1605" i="5"/>
  <c r="E1597" i="5"/>
  <c r="E1589" i="5"/>
  <c r="E1581" i="5"/>
  <c r="E1573" i="5"/>
  <c r="E1565" i="5"/>
  <c r="E1557" i="5"/>
  <c r="E1549" i="5"/>
  <c r="E1541" i="5"/>
  <c r="E1533" i="5"/>
  <c r="E1525" i="5"/>
  <c r="E1517" i="5"/>
  <c r="E1509" i="5"/>
  <c r="E1501" i="5"/>
  <c r="E1493" i="5"/>
  <c r="E1485" i="5"/>
  <c r="E1477" i="5"/>
  <c r="E1469" i="5"/>
  <c r="E1461" i="5"/>
  <c r="E1453" i="5"/>
  <c r="E1445" i="5"/>
  <c r="E1437" i="5"/>
  <c r="E1429" i="5"/>
  <c r="E1421" i="5"/>
  <c r="E1413" i="5"/>
  <c r="E1405" i="5"/>
  <c r="E1397" i="5"/>
  <c r="E1389" i="5"/>
  <c r="E1381" i="5"/>
  <c r="E1373" i="5"/>
  <c r="E1365" i="5"/>
  <c r="E1357" i="5"/>
  <c r="E1349" i="5"/>
  <c r="E1341" i="5"/>
  <c r="E1333" i="5"/>
  <c r="E1325" i="5"/>
  <c r="E1317" i="5"/>
  <c r="E1309" i="5"/>
  <c r="E1301" i="5"/>
  <c r="E1293" i="5"/>
  <c r="E1285" i="5"/>
  <c r="E1277" i="5"/>
  <c r="E1269" i="5"/>
  <c r="E1261" i="5"/>
  <c r="E1253" i="5"/>
  <c r="E1245" i="5"/>
  <c r="E1237" i="5"/>
  <c r="E1229" i="5"/>
  <c r="E1221" i="5"/>
  <c r="E1213" i="5"/>
  <c r="E1205" i="5"/>
  <c r="E1197" i="5"/>
  <c r="E1189" i="5"/>
  <c r="E1181" i="5"/>
  <c r="E1173" i="5"/>
  <c r="E1165" i="5"/>
  <c r="E1157" i="5"/>
  <c r="E1149" i="5"/>
  <c r="E1141" i="5"/>
  <c r="E1133" i="5"/>
  <c r="E1125" i="5"/>
  <c r="E1117" i="5"/>
  <c r="E1109" i="5"/>
  <c r="E1101" i="5"/>
  <c r="E1093" i="5"/>
  <c r="E1085" i="5"/>
  <c r="E1077" i="5"/>
  <c r="E1069" i="5"/>
  <c r="E1061" i="5"/>
  <c r="E1053" i="5"/>
  <c r="E1045" i="5"/>
  <c r="E1037" i="5"/>
  <c r="E1029" i="5"/>
  <c r="E1021" i="5"/>
  <c r="E1013" i="5"/>
  <c r="E1005" i="5"/>
  <c r="E997" i="5"/>
  <c r="E989" i="5"/>
  <c r="E981" i="5"/>
  <c r="E973" i="5"/>
  <c r="E965" i="5"/>
  <c r="E957" i="5"/>
  <c r="E949" i="5"/>
  <c r="E941" i="5"/>
  <c r="E933" i="5"/>
  <c r="E925" i="5"/>
  <c r="E917" i="5"/>
  <c r="E909" i="5"/>
  <c r="E901" i="5"/>
  <c r="E893" i="5"/>
  <c r="E885" i="5"/>
  <c r="E877" i="5"/>
  <c r="E869" i="5"/>
  <c r="E861" i="5"/>
  <c r="E853" i="5"/>
  <c r="E845" i="5"/>
  <c r="E837" i="5"/>
  <c r="E829" i="5"/>
  <c r="E821" i="5"/>
  <c r="E813" i="5"/>
  <c r="E805" i="5"/>
  <c r="E797" i="5"/>
  <c r="E789" i="5"/>
  <c r="E781" i="5"/>
  <c r="E773" i="5"/>
  <c r="E765" i="5"/>
  <c r="E757" i="5"/>
  <c r="E749" i="5"/>
  <c r="E741" i="5"/>
  <c r="E733" i="5"/>
  <c r="E725" i="5"/>
  <c r="E717" i="5"/>
  <c r="E709" i="5"/>
  <c r="E701" i="5"/>
  <c r="E693" i="5"/>
  <c r="E685" i="5"/>
  <c r="E677" i="5"/>
  <c r="E669" i="5"/>
  <c r="E661" i="5"/>
  <c r="E653" i="5"/>
  <c r="E645" i="5"/>
  <c r="E637" i="5"/>
  <c r="E629" i="5"/>
  <c r="E621" i="5"/>
  <c r="E613" i="5"/>
  <c r="E605" i="5"/>
  <c r="E597" i="5"/>
  <c r="E589" i="5"/>
  <c r="E581" i="5"/>
  <c r="E573" i="5"/>
  <c r="E565" i="5"/>
  <c r="E557" i="5"/>
  <c r="E549" i="5"/>
  <c r="E541" i="5"/>
  <c r="E533" i="5"/>
  <c r="E525" i="5"/>
  <c r="E517" i="5"/>
  <c r="E509" i="5"/>
  <c r="E501" i="5"/>
  <c r="E493" i="5"/>
  <c r="E485" i="5"/>
  <c r="E477" i="5"/>
  <c r="E469" i="5"/>
  <c r="E461" i="5"/>
  <c r="E453" i="5"/>
  <c r="E445" i="5"/>
  <c r="E437" i="5"/>
  <c r="E429" i="5"/>
  <c r="E421" i="5"/>
  <c r="E413" i="5"/>
  <c r="E405" i="5"/>
  <c r="E397" i="5"/>
  <c r="E389" i="5"/>
  <c r="E381" i="5"/>
  <c r="E373" i="5"/>
  <c r="E365" i="5"/>
  <c r="E357" i="5"/>
  <c r="E349" i="5"/>
  <c r="E341" i="5"/>
  <c r="E333" i="5"/>
  <c r="E325" i="5"/>
  <c r="E317" i="5"/>
  <c r="E309" i="5"/>
  <c r="E301" i="5"/>
  <c r="E293" i="5"/>
  <c r="E285" i="5"/>
  <c r="E277" i="5"/>
  <c r="E269" i="5"/>
  <c r="E261" i="5"/>
  <c r="E253" i="5"/>
  <c r="E245" i="5"/>
  <c r="E237" i="5"/>
  <c r="E229" i="5"/>
  <c r="E221" i="5"/>
  <c r="E213" i="5"/>
  <c r="E205" i="5"/>
  <c r="E197" i="5"/>
  <c r="E189" i="5"/>
  <c r="E181" i="5"/>
  <c r="E173" i="5"/>
  <c r="E165" i="5"/>
  <c r="E157" i="5"/>
  <c r="E149" i="5"/>
  <c r="E141" i="5"/>
  <c r="E133" i="5"/>
  <c r="E125" i="5"/>
  <c r="E117" i="5"/>
  <c r="E41475" i="5"/>
  <c r="E40963" i="5"/>
  <c r="E40536" i="5"/>
  <c r="E40126" i="5"/>
  <c r="E39716" i="5"/>
  <c r="E39307" i="5"/>
  <c r="E39007" i="5"/>
  <c r="E38751" i="5"/>
  <c r="E38495" i="5"/>
  <c r="E38239" i="5"/>
  <c r="E37983" i="5"/>
  <c r="E37727" i="5"/>
  <c r="E37471" i="5"/>
  <c r="E37215" i="5"/>
  <c r="E36959" i="5"/>
  <c r="E36703" i="5"/>
  <c r="E36447" i="5"/>
  <c r="E36191" i="5"/>
  <c r="E35935" i="5"/>
  <c r="E35679" i="5"/>
  <c r="E35423" i="5"/>
  <c r="E35167" i="5"/>
  <c r="E34911" i="5"/>
  <c r="E34655" i="5"/>
  <c r="E34399" i="5"/>
  <c r="E34143" i="5"/>
  <c r="E33887" i="5"/>
  <c r="E33631" i="5"/>
  <c r="E33375" i="5"/>
  <c r="E33119" i="5"/>
  <c r="E32863" i="5"/>
  <c r="E32607" i="5"/>
  <c r="E32351" i="5"/>
  <c r="E32095" i="5"/>
  <c r="E31839" i="5"/>
  <c r="E31583" i="5"/>
  <c r="E31327" i="5"/>
  <c r="E31071" i="5"/>
  <c r="E30815" i="5"/>
  <c r="E30559" i="5"/>
  <c r="E30303" i="5"/>
  <c r="E30047" i="5"/>
  <c r="E29791" i="5"/>
  <c r="E29535" i="5"/>
  <c r="E29279" i="5"/>
  <c r="E29023" i="5"/>
  <c r="E28767" i="5"/>
  <c r="E28511" i="5"/>
  <c r="E28255" i="5"/>
  <c r="E27999" i="5"/>
  <c r="E27743" i="5"/>
  <c r="E27487" i="5"/>
  <c r="E27231" i="5"/>
  <c r="E26975" i="5"/>
  <c r="E26719" i="5"/>
  <c r="E26463" i="5"/>
  <c r="E26207" i="5"/>
  <c r="E25951" i="5"/>
  <c r="E25695" i="5"/>
  <c r="E25527" i="5"/>
  <c r="E25399" i="5"/>
  <c r="E25271" i="5"/>
  <c r="E25143" i="5"/>
  <c r="E25047" i="5"/>
  <c r="E24962" i="5"/>
  <c r="E24883" i="5"/>
  <c r="E24819" i="5"/>
  <c r="E24755" i="5"/>
  <c r="E24691" i="5"/>
  <c r="E24627" i="5"/>
  <c r="E24563" i="5"/>
  <c r="E24499" i="5"/>
  <c r="E24435" i="5"/>
  <c r="E24383" i="5"/>
  <c r="E24332" i="5"/>
  <c r="E24282" i="5"/>
  <c r="E24229" i="5"/>
  <c r="E24179" i="5"/>
  <c r="E24127" i="5"/>
  <c r="E24076" i="5"/>
  <c r="E24026" i="5"/>
  <c r="E23973" i="5"/>
  <c r="E23930" i="5"/>
  <c r="E23887" i="5"/>
  <c r="E23844" i="5"/>
  <c r="E23802" i="5"/>
  <c r="E23759" i="5"/>
  <c r="E23721" i="5"/>
  <c r="E23684" i="5"/>
  <c r="E23648" i="5"/>
  <c r="E23616" i="5"/>
  <c r="E23584" i="5"/>
  <c r="E23552" i="5"/>
  <c r="E23520" i="5"/>
  <c r="E23488" i="5"/>
  <c r="E23456" i="5"/>
  <c r="E23424" i="5"/>
  <c r="E23392" i="5"/>
  <c r="E23360" i="5"/>
  <c r="E23328" i="5"/>
  <c r="E23296" i="5"/>
  <c r="E23264" i="5"/>
  <c r="E23232" i="5"/>
  <c r="E23200" i="5"/>
  <c r="E23168" i="5"/>
  <c r="E23136" i="5"/>
  <c r="E23104" i="5"/>
  <c r="E23072" i="5"/>
  <c r="E23040" i="5"/>
  <c r="E23008" i="5"/>
  <c r="E22976" i="5"/>
  <c r="E22944" i="5"/>
  <c r="E22912" i="5"/>
  <c r="E22880" i="5"/>
  <c r="E22848" i="5"/>
  <c r="E22816" i="5"/>
  <c r="E22784" i="5"/>
  <c r="E22752" i="5"/>
  <c r="E22720" i="5"/>
  <c r="E22688" i="5"/>
  <c r="E22656" i="5"/>
  <c r="E22624" i="5"/>
  <c r="E22592" i="5"/>
  <c r="E22560" i="5"/>
  <c r="E22528" i="5"/>
  <c r="E22496" i="5"/>
  <c r="E22464" i="5"/>
  <c r="E22432" i="5"/>
  <c r="E22400" i="5"/>
  <c r="E22368" i="5"/>
  <c r="E22336" i="5"/>
  <c r="E22304" i="5"/>
  <c r="E22272" i="5"/>
  <c r="E22240" i="5"/>
  <c r="E22208" i="5"/>
  <c r="E22176" i="5"/>
  <c r="E22144" i="5"/>
  <c r="E22112" i="5"/>
  <c r="E22080" i="5"/>
  <c r="E22048" i="5"/>
  <c r="E22016" i="5"/>
  <c r="E21984" i="5"/>
  <c r="E21952" i="5"/>
  <c r="E21920" i="5"/>
  <c r="E21888" i="5"/>
  <c r="E21856" i="5"/>
  <c r="E21824" i="5"/>
  <c r="E21792" i="5"/>
  <c r="E21760" i="5"/>
  <c r="E21728" i="5"/>
  <c r="E21696" i="5"/>
  <c r="E21664" i="5"/>
  <c r="E21632" i="5"/>
  <c r="E21600" i="5"/>
  <c r="E21568" i="5"/>
  <c r="E21536" i="5"/>
  <c r="E21504" i="5"/>
  <c r="E21472" i="5"/>
  <c r="E21440" i="5"/>
  <c r="E21408" i="5"/>
  <c r="E21376" i="5"/>
  <c r="E21344" i="5"/>
  <c r="E21312" i="5"/>
  <c r="E21280" i="5"/>
  <c r="E21248" i="5"/>
  <c r="E21216" i="5"/>
  <c r="E21184" i="5"/>
  <c r="E21152" i="5"/>
  <c r="E21120" i="5"/>
  <c r="E21088" i="5"/>
  <c r="E21056" i="5"/>
  <c r="E21024" i="5"/>
  <c r="E20992" i="5"/>
  <c r="E20960" i="5"/>
  <c r="E20928" i="5"/>
  <c r="E20896" i="5"/>
  <c r="E20864" i="5"/>
  <c r="E20832" i="5"/>
  <c r="E20800" i="5"/>
  <c r="E20768" i="5"/>
  <c r="E20736" i="5"/>
  <c r="E20704" i="5"/>
  <c r="E20672" i="5"/>
  <c r="E20640" i="5"/>
  <c r="E20608" i="5"/>
  <c r="E20576" i="5"/>
  <c r="E20544" i="5"/>
  <c r="E20512" i="5"/>
  <c r="E20480" i="5"/>
  <c r="E20448" i="5"/>
  <c r="E20416" i="5"/>
  <c r="E20384" i="5"/>
  <c r="E20352" i="5"/>
  <c r="E20320" i="5"/>
  <c r="E20288" i="5"/>
  <c r="E20256" i="5"/>
  <c r="E20224" i="5"/>
  <c r="E20192" i="5"/>
  <c r="E20160" i="5"/>
  <c r="E20128" i="5"/>
  <c r="E20096" i="5"/>
  <c r="E20064" i="5"/>
  <c r="E20032" i="5"/>
  <c r="E20000" i="5"/>
  <c r="E19968" i="5"/>
  <c r="E19936" i="5"/>
  <c r="E19904" i="5"/>
  <c r="E19872" i="5"/>
  <c r="E19840" i="5"/>
  <c r="E19808" i="5"/>
  <c r="E19776" i="5"/>
  <c r="E19744" i="5"/>
  <c r="E19712" i="5"/>
  <c r="E19680" i="5"/>
  <c r="E19648" i="5"/>
  <c r="E19616" i="5"/>
  <c r="E19584" i="5"/>
  <c r="E19552" i="5"/>
  <c r="E19520" i="5"/>
  <c r="E19488" i="5"/>
  <c r="E19456" i="5"/>
  <c r="E19424" i="5"/>
  <c r="E19392" i="5"/>
  <c r="E19360" i="5"/>
  <c r="E19328" i="5"/>
  <c r="E19296" i="5"/>
  <c r="E19264" i="5"/>
  <c r="E19232" i="5"/>
  <c r="E19200" i="5"/>
  <c r="E19168" i="5"/>
  <c r="E19136" i="5"/>
  <c r="E19104" i="5"/>
  <c r="E19072" i="5"/>
  <c r="E19040" i="5"/>
  <c r="E19008" i="5"/>
  <c r="E18976" i="5"/>
  <c r="E18944" i="5"/>
  <c r="E18912" i="5"/>
  <c r="E18880" i="5"/>
  <c r="E18848" i="5"/>
  <c r="E18816" i="5"/>
  <c r="E18784" i="5"/>
  <c r="E18752" i="5"/>
  <c r="E18720" i="5"/>
  <c r="E18688" i="5"/>
  <c r="E18656" i="5"/>
  <c r="E18624" i="5"/>
  <c r="E18592" i="5"/>
  <c r="E18560" i="5"/>
  <c r="E18528" i="5"/>
  <c r="E18496" i="5"/>
  <c r="E18464" i="5"/>
  <c r="E18432" i="5"/>
  <c r="E18400" i="5"/>
  <c r="E18368" i="5"/>
  <c r="E18336" i="5"/>
  <c r="E18304" i="5"/>
  <c r="E18272" i="5"/>
  <c r="E18240" i="5"/>
  <c r="E18208" i="5"/>
  <c r="E18176" i="5"/>
  <c r="E18144" i="5"/>
  <c r="E18112" i="5"/>
  <c r="E18080" i="5"/>
  <c r="E18048" i="5"/>
  <c r="E18016" i="5"/>
  <c r="E17984" i="5"/>
  <c r="E17952" i="5"/>
  <c r="E17920" i="5"/>
  <c r="E17888" i="5"/>
  <c r="E17856" i="5"/>
  <c r="E17824" i="5"/>
  <c r="E17792" i="5"/>
  <c r="E17760" i="5"/>
  <c r="E17728" i="5"/>
  <c r="E17696" i="5"/>
  <c r="E17664" i="5"/>
  <c r="E17632" i="5"/>
  <c r="E17600" i="5"/>
  <c r="E17568" i="5"/>
  <c r="E17536" i="5"/>
  <c r="E17504" i="5"/>
  <c r="E17472" i="5"/>
  <c r="E17440" i="5"/>
  <c r="E17408" i="5"/>
  <c r="E17376" i="5"/>
  <c r="E17344" i="5"/>
  <c r="E17312" i="5"/>
  <c r="E17280" i="5"/>
  <c r="E17248" i="5"/>
  <c r="E17216" i="5"/>
  <c r="E17184" i="5"/>
  <c r="E17152" i="5"/>
  <c r="E17120" i="5"/>
  <c r="E17088" i="5"/>
  <c r="E17056" i="5"/>
  <c r="E17024" i="5"/>
  <c r="E16992" i="5"/>
  <c r="E16960" i="5"/>
  <c r="E16928" i="5"/>
  <c r="E16896" i="5"/>
  <c r="E16864" i="5"/>
  <c r="E16832" i="5"/>
  <c r="E16800" i="5"/>
  <c r="E16768" i="5"/>
  <c r="E16736" i="5"/>
  <c r="E16704" i="5"/>
  <c r="E16672" i="5"/>
  <c r="E16640" i="5"/>
  <c r="E16608" i="5"/>
  <c r="E16576" i="5"/>
  <c r="E16544" i="5"/>
  <c r="E16512" i="5"/>
  <c r="E16480" i="5"/>
  <c r="E16448" i="5"/>
  <c r="E16416" i="5"/>
  <c r="E16384" i="5"/>
  <c r="E16352" i="5"/>
  <c r="E16320" i="5"/>
  <c r="E16288" i="5"/>
  <c r="E16256" i="5"/>
  <c r="E16224" i="5"/>
  <c r="E16192" i="5"/>
  <c r="E16160" i="5"/>
  <c r="E16128" i="5"/>
  <c r="E16096" i="5"/>
  <c r="E16064" i="5"/>
  <c r="E16032" i="5"/>
  <c r="E16000" i="5"/>
  <c r="E15968" i="5"/>
  <c r="E15936" i="5"/>
  <c r="E15904" i="5"/>
  <c r="E15872" i="5"/>
  <c r="E15840" i="5"/>
  <c r="E15808" i="5"/>
  <c r="E15776" i="5"/>
  <c r="E15744" i="5"/>
  <c r="E15712" i="5"/>
  <c r="E15680" i="5"/>
  <c r="E15648" i="5"/>
  <c r="E15616" i="5"/>
  <c r="E15584" i="5"/>
  <c r="E15552" i="5"/>
  <c r="E15520" i="5"/>
  <c r="E15488" i="5"/>
  <c r="E15456" i="5"/>
  <c r="E15424" i="5"/>
  <c r="E15392" i="5"/>
  <c r="E15360" i="5"/>
  <c r="E15328" i="5"/>
  <c r="E15296" i="5"/>
  <c r="E15264" i="5"/>
  <c r="E15232" i="5"/>
  <c r="E15200" i="5"/>
  <c r="E15168" i="5"/>
  <c r="E15136" i="5"/>
  <c r="E15104" i="5"/>
  <c r="E15072" i="5"/>
  <c r="E15040" i="5"/>
  <c r="E15008" i="5"/>
  <c r="E14976" i="5"/>
  <c r="E14944" i="5"/>
  <c r="E14912" i="5"/>
  <c r="E14880" i="5"/>
  <c r="E14848" i="5"/>
  <c r="E14816" i="5"/>
  <c r="E14784" i="5"/>
  <c r="E14752" i="5"/>
  <c r="E14720" i="5"/>
  <c r="E14688" i="5"/>
  <c r="E14656" i="5"/>
  <c r="E14624" i="5"/>
  <c r="E14592" i="5"/>
  <c r="E14560" i="5"/>
  <c r="E14528" i="5"/>
  <c r="E14496" i="5"/>
  <c r="E14464" i="5"/>
  <c r="E14432" i="5"/>
  <c r="E14400" i="5"/>
  <c r="E14368" i="5"/>
  <c r="E14336" i="5"/>
  <c r="E14304" i="5"/>
  <c r="E14272" i="5"/>
  <c r="E14240" i="5"/>
  <c r="E14208" i="5"/>
  <c r="E14176" i="5"/>
  <c r="E14144" i="5"/>
  <c r="E14112" i="5"/>
  <c r="E14080" i="5"/>
  <c r="E14048" i="5"/>
  <c r="E14016" i="5"/>
  <c r="E13984" i="5"/>
  <c r="E13952" i="5"/>
  <c r="E13920" i="5"/>
  <c r="E13888" i="5"/>
  <c r="E13856" i="5"/>
  <c r="E13824" i="5"/>
  <c r="E13792" i="5"/>
  <c r="E13760" i="5"/>
  <c r="E13728" i="5"/>
  <c r="E13696" i="5"/>
  <c r="E13664" i="5"/>
  <c r="E13632" i="5"/>
  <c r="E13600" i="5"/>
  <c r="E13568" i="5"/>
  <c r="E13536" i="5"/>
  <c r="E13504" i="5"/>
  <c r="E13472" i="5"/>
  <c r="E13440" i="5"/>
  <c r="E13408" i="5"/>
  <c r="E13376" i="5"/>
  <c r="E13344" i="5"/>
  <c r="E13312" i="5"/>
  <c r="E13280" i="5"/>
  <c r="E13248" i="5"/>
  <c r="E13216" i="5"/>
  <c r="E13184" i="5"/>
  <c r="E13152" i="5"/>
  <c r="E13120" i="5"/>
  <c r="E13088" i="5"/>
  <c r="E13056" i="5"/>
  <c r="E13024" i="5"/>
  <c r="E12992" i="5"/>
  <c r="E12960" i="5"/>
  <c r="E12928" i="5"/>
  <c r="E12896" i="5"/>
  <c r="E12864" i="5"/>
  <c r="E12832" i="5"/>
  <c r="E12800" i="5"/>
  <c r="E12768" i="5"/>
  <c r="E12736" i="5"/>
  <c r="E12704" i="5"/>
  <c r="E12672" i="5"/>
  <c r="E12640" i="5"/>
  <c r="E12608" i="5"/>
  <c r="E12576" i="5"/>
  <c r="E12544" i="5"/>
  <c r="E12512" i="5"/>
  <c r="E12480" i="5"/>
  <c r="E12448" i="5"/>
  <c r="E12416" i="5"/>
  <c r="E12384" i="5"/>
  <c r="E12352" i="5"/>
  <c r="E12320" i="5"/>
  <c r="E12288" i="5"/>
  <c r="E12256" i="5"/>
  <c r="E12224" i="5"/>
  <c r="E12192" i="5"/>
  <c r="E12160" i="5"/>
  <c r="E12128" i="5"/>
  <c r="E12096" i="5"/>
  <c r="E12064" i="5"/>
  <c r="E12032" i="5"/>
  <c r="E12000" i="5"/>
  <c r="E11968" i="5"/>
  <c r="E11936" i="5"/>
  <c r="E11904" i="5"/>
  <c r="E11872" i="5"/>
  <c r="E11840" i="5"/>
  <c r="E11808" i="5"/>
  <c r="E11776" i="5"/>
  <c r="E11744" i="5"/>
  <c r="E11712" i="5"/>
  <c r="E11680" i="5"/>
  <c r="E11648" i="5"/>
  <c r="E11616" i="5"/>
  <c r="E11584" i="5"/>
  <c r="E11552" i="5"/>
  <c r="E11520" i="5"/>
  <c r="E11488" i="5"/>
  <c r="E11456" i="5"/>
  <c r="E11424" i="5"/>
  <c r="E11392" i="5"/>
  <c r="E11360" i="5"/>
  <c r="E11328" i="5"/>
  <c r="E11296" i="5"/>
  <c r="E11264" i="5"/>
  <c r="E11232" i="5"/>
  <c r="E11200" i="5"/>
  <c r="E11168" i="5"/>
  <c r="E11136" i="5"/>
  <c r="E11104" i="5"/>
  <c r="E11072" i="5"/>
  <c r="E11040" i="5"/>
  <c r="E11008" i="5"/>
  <c r="E10976" i="5"/>
  <c r="E10944" i="5"/>
  <c r="E10912" i="5"/>
  <c r="E10880" i="5"/>
  <c r="E10848" i="5"/>
  <c r="E10816" i="5"/>
  <c r="E10784" i="5"/>
  <c r="E10752" i="5"/>
  <c r="E10720" i="5"/>
  <c r="E10688" i="5"/>
  <c r="E10656" i="5"/>
  <c r="E10624" i="5"/>
  <c r="E10592" i="5"/>
  <c r="E10560" i="5"/>
  <c r="E10528" i="5"/>
  <c r="E10496" i="5"/>
  <c r="E10464" i="5"/>
  <c r="E10432" i="5"/>
  <c r="E10400" i="5"/>
  <c r="E10368" i="5"/>
  <c r="E10336" i="5"/>
  <c r="E10304" i="5"/>
  <c r="E10272" i="5"/>
  <c r="E10240" i="5"/>
  <c r="E10208" i="5"/>
  <c r="E10176" i="5"/>
  <c r="E10144" i="5"/>
  <c r="E10112" i="5"/>
  <c r="E10080" i="5"/>
  <c r="E10048" i="5"/>
  <c r="E10016" i="5"/>
  <c r="E9984" i="5"/>
  <c r="E9952" i="5"/>
  <c r="E9920" i="5"/>
  <c r="E9888" i="5"/>
  <c r="E9856" i="5"/>
  <c r="E9824" i="5"/>
  <c r="E9792" i="5"/>
  <c r="E9760" i="5"/>
  <c r="E9728" i="5"/>
  <c r="E9696" i="5"/>
  <c r="E9664" i="5"/>
  <c r="E9632" i="5"/>
  <c r="E9600" i="5"/>
  <c r="E9568" i="5"/>
  <c r="E9536" i="5"/>
  <c r="E9504" i="5"/>
  <c r="E9472" i="5"/>
  <c r="E9440" i="5"/>
  <c r="E9408" i="5"/>
  <c r="E9376" i="5"/>
  <c r="E9344" i="5"/>
  <c r="E9312" i="5"/>
  <c r="E9280" i="5"/>
  <c r="E9248" i="5"/>
  <c r="E9216" i="5"/>
  <c r="E9184" i="5"/>
  <c r="E9152" i="5"/>
  <c r="E9120" i="5"/>
  <c r="E9088" i="5"/>
  <c r="E9056" i="5"/>
  <c r="E9024" i="5"/>
  <c r="E8992" i="5"/>
  <c r="E8960" i="5"/>
  <c r="E8928" i="5"/>
  <c r="E8896" i="5"/>
  <c r="E8864" i="5"/>
  <c r="E8832" i="5"/>
  <c r="E8800" i="5"/>
  <c r="E8768" i="5"/>
  <c r="E8736" i="5"/>
  <c r="E8704" i="5"/>
  <c r="E8672" i="5"/>
  <c r="E8640" i="5"/>
  <c r="E8608" i="5"/>
  <c r="E8576" i="5"/>
  <c r="E8544" i="5"/>
  <c r="E8512" i="5"/>
  <c r="E8480" i="5"/>
  <c r="E8448" i="5"/>
  <c r="E8416" i="5"/>
  <c r="E8384" i="5"/>
  <c r="E8352" i="5"/>
  <c r="E8320" i="5"/>
  <c r="E8288" i="5"/>
  <c r="E8256" i="5"/>
  <c r="E8224" i="5"/>
  <c r="E8192" i="5"/>
  <c r="E8160" i="5"/>
  <c r="E8128" i="5"/>
  <c r="E8096" i="5"/>
  <c r="E8064" i="5"/>
  <c r="E8032" i="5"/>
  <c r="E8000" i="5"/>
  <c r="E7968" i="5"/>
  <c r="E7936" i="5"/>
  <c r="E7904" i="5"/>
  <c r="E7872" i="5"/>
  <c r="E7840" i="5"/>
  <c r="E7808" i="5"/>
  <c r="E7776" i="5"/>
  <c r="E7744" i="5"/>
  <c r="E7712" i="5"/>
  <c r="E7680" i="5"/>
  <c r="E7648" i="5"/>
  <c r="E7616" i="5"/>
  <c r="E7584" i="5"/>
  <c r="E7552" i="5"/>
  <c r="E7520" i="5"/>
  <c r="E7488" i="5"/>
  <c r="E7456" i="5"/>
  <c r="E7424" i="5"/>
  <c r="E7392" i="5"/>
  <c r="E7360" i="5"/>
  <c r="E7328" i="5"/>
  <c r="E7296" i="5"/>
  <c r="E7264" i="5"/>
  <c r="E7232" i="5"/>
  <c r="E7200" i="5"/>
  <c r="E7168" i="5"/>
  <c r="E7136" i="5"/>
  <c r="E7104" i="5"/>
  <c r="E7072" i="5"/>
  <c r="E7040" i="5"/>
  <c r="E7008" i="5"/>
  <c r="E6976" i="5"/>
  <c r="E6944" i="5"/>
  <c r="E6912" i="5"/>
  <c r="E6880" i="5"/>
  <c r="E6848" i="5"/>
  <c r="E6816" i="5"/>
  <c r="E6784" i="5"/>
  <c r="E6752" i="5"/>
  <c r="E6720" i="5"/>
  <c r="E6688" i="5"/>
  <c r="E6656" i="5"/>
  <c r="E6624" i="5"/>
  <c r="E6592" i="5"/>
  <c r="E6560" i="5"/>
  <c r="E6528" i="5"/>
  <c r="E6496" i="5"/>
  <c r="E6464" i="5"/>
  <c r="E6432" i="5"/>
  <c r="E6400" i="5"/>
  <c r="E6368" i="5"/>
  <c r="E6336" i="5"/>
  <c r="E6304" i="5"/>
  <c r="E6272" i="5"/>
  <c r="E6240" i="5"/>
  <c r="E6208" i="5"/>
  <c r="E6176" i="5"/>
  <c r="E6144" i="5"/>
  <c r="E6112" i="5"/>
  <c r="E6080" i="5"/>
  <c r="E6048" i="5"/>
  <c r="E6016" i="5"/>
  <c r="E5984" i="5"/>
  <c r="E5952" i="5"/>
  <c r="E5920" i="5"/>
  <c r="E5888" i="5"/>
  <c r="E5856" i="5"/>
  <c r="E5824" i="5"/>
  <c r="E5792" i="5"/>
  <c r="E5760" i="5"/>
  <c r="E5728" i="5"/>
  <c r="E5696" i="5"/>
  <c r="E5666" i="5"/>
  <c r="E5645" i="5"/>
  <c r="E5624" i="5"/>
  <c r="E5602" i="5"/>
  <c r="E5581" i="5"/>
  <c r="E5560" i="5"/>
  <c r="E5538" i="5"/>
  <c r="E5517" i="5"/>
  <c r="E5496" i="5"/>
  <c r="E5474" i="5"/>
  <c r="E5453" i="5"/>
  <c r="E5432" i="5"/>
  <c r="E5410" i="5"/>
  <c r="E5389" i="5"/>
  <c r="E5368" i="5"/>
  <c r="E5346" i="5"/>
  <c r="E5325" i="5"/>
  <c r="E5306" i="5"/>
  <c r="E5290" i="5"/>
  <c r="E5274" i="5"/>
  <c r="E5264" i="5"/>
  <c r="E5255" i="5"/>
  <c r="E5246" i="5"/>
  <c r="E5237" i="5"/>
  <c r="E5228" i="5"/>
  <c r="E5218" i="5"/>
  <c r="E5209" i="5"/>
  <c r="E5200" i="5"/>
  <c r="E5191" i="5"/>
  <c r="E5182" i="5"/>
  <c r="E5173" i="5"/>
  <c r="E5164" i="5"/>
  <c r="E5156" i="5"/>
  <c r="E5148" i="5"/>
  <c r="E5140" i="5"/>
  <c r="E5132" i="5"/>
  <c r="E5124" i="5"/>
  <c r="E5116" i="5"/>
  <c r="E5108" i="5"/>
  <c r="E5100" i="5"/>
  <c r="E5092" i="5"/>
  <c r="E5084" i="5"/>
  <c r="E5076" i="5"/>
  <c r="E5068" i="5"/>
  <c r="E5060" i="5"/>
  <c r="E5052" i="5"/>
  <c r="E5044" i="5"/>
  <c r="E5036" i="5"/>
  <c r="E5028" i="5"/>
  <c r="E5020" i="5"/>
  <c r="E5012" i="5"/>
  <c r="E5004" i="5"/>
  <c r="E4996" i="5"/>
  <c r="E4988" i="5"/>
  <c r="E4980" i="5"/>
  <c r="E4972" i="5"/>
  <c r="E4964" i="5"/>
  <c r="E4956" i="5"/>
  <c r="E4948" i="5"/>
  <c r="E4940" i="5"/>
  <c r="E4932" i="5"/>
  <c r="E4924" i="5"/>
  <c r="E4916" i="5"/>
  <c r="E4908" i="5"/>
  <c r="E4900" i="5"/>
  <c r="E4892" i="5"/>
  <c r="E4884" i="5"/>
  <c r="E4876" i="5"/>
  <c r="E4868" i="5"/>
  <c r="E4860" i="5"/>
  <c r="E4852" i="5"/>
  <c r="E4844" i="5"/>
  <c r="E4836" i="5"/>
  <c r="E4828" i="5"/>
  <c r="E4820" i="5"/>
  <c r="E4812" i="5"/>
  <c r="E4804" i="5"/>
  <c r="E4796" i="5"/>
  <c r="E4788" i="5"/>
  <c r="E4780" i="5"/>
  <c r="E4772" i="5"/>
  <c r="E4764" i="5"/>
  <c r="E4756" i="5"/>
  <c r="E4748" i="5"/>
  <c r="E4740" i="5"/>
  <c r="E4732" i="5"/>
  <c r="E4724" i="5"/>
  <c r="E4716" i="5"/>
  <c r="E4708" i="5"/>
  <c r="E4700" i="5"/>
  <c r="E4692" i="5"/>
  <c r="E4684" i="5"/>
  <c r="E4676" i="5"/>
  <c r="E4668" i="5"/>
  <c r="E4660" i="5"/>
  <c r="E4652" i="5"/>
  <c r="E4644" i="5"/>
  <c r="E4636" i="5"/>
  <c r="E4628" i="5"/>
  <c r="E4620" i="5"/>
  <c r="E4612" i="5"/>
  <c r="E4604" i="5"/>
  <c r="E4596" i="5"/>
  <c r="E4588" i="5"/>
  <c r="E4580" i="5"/>
  <c r="E4572" i="5"/>
  <c r="E4564" i="5"/>
  <c r="E4556" i="5"/>
  <c r="E4548" i="5"/>
  <c r="E4540" i="5"/>
  <c r="E4532" i="5"/>
  <c r="E4524" i="5"/>
  <c r="E4516" i="5"/>
  <c r="E4508" i="5"/>
  <c r="E4500" i="5"/>
  <c r="E4492" i="5"/>
  <c r="E4484" i="5"/>
  <c r="E4476" i="5"/>
  <c r="E4468" i="5"/>
  <c r="E4460" i="5"/>
  <c r="E4452" i="5"/>
  <c r="E4444" i="5"/>
  <c r="E4436" i="5"/>
  <c r="E4428" i="5"/>
  <c r="E4420" i="5"/>
  <c r="E4412" i="5"/>
  <c r="E4404" i="5"/>
  <c r="E4396" i="5"/>
  <c r="E4388" i="5"/>
  <c r="E4380" i="5"/>
  <c r="E4372" i="5"/>
  <c r="E4364" i="5"/>
  <c r="E4356" i="5"/>
  <c r="E4348" i="5"/>
  <c r="E4340" i="5"/>
  <c r="E4332" i="5"/>
  <c r="E4324" i="5"/>
  <c r="E4316" i="5"/>
  <c r="E4308" i="5"/>
  <c r="E4300" i="5"/>
  <c r="E4292" i="5"/>
  <c r="E4284" i="5"/>
  <c r="E4276" i="5"/>
  <c r="E4268" i="5"/>
  <c r="E4260" i="5"/>
  <c r="E4252" i="5"/>
  <c r="E4244" i="5"/>
  <c r="E4236" i="5"/>
  <c r="E4228" i="5"/>
  <c r="E4220" i="5"/>
  <c r="E4212" i="5"/>
  <c r="E4204" i="5"/>
  <c r="E4196" i="5"/>
  <c r="E4188" i="5"/>
  <c r="E4180" i="5"/>
  <c r="E4172" i="5"/>
  <c r="E4164" i="5"/>
  <c r="E4156" i="5"/>
  <c r="E4148" i="5"/>
  <c r="E4140" i="5"/>
  <c r="E4132" i="5"/>
  <c r="E4124" i="5"/>
  <c r="E4116" i="5"/>
  <c r="E4108" i="5"/>
  <c r="E4100" i="5"/>
  <c r="E4092" i="5"/>
  <c r="E4084" i="5"/>
  <c r="E4076" i="5"/>
  <c r="E4068" i="5"/>
  <c r="E4060" i="5"/>
  <c r="E4052" i="5"/>
  <c r="E4044" i="5"/>
  <c r="E4036" i="5"/>
  <c r="E4028" i="5"/>
  <c r="E4020" i="5"/>
  <c r="E4012" i="5"/>
  <c r="E4004" i="5"/>
  <c r="E3996" i="5"/>
  <c r="E3988" i="5"/>
  <c r="E3980" i="5"/>
  <c r="E3972" i="5"/>
  <c r="E3964" i="5"/>
  <c r="E3956" i="5"/>
  <c r="E3948" i="5"/>
  <c r="E3940" i="5"/>
  <c r="E3932" i="5"/>
  <c r="E3924" i="5"/>
  <c r="E3916" i="5"/>
  <c r="E3908" i="5"/>
  <c r="E3900" i="5"/>
  <c r="E3892" i="5"/>
  <c r="E3884" i="5"/>
  <c r="E3876" i="5"/>
  <c r="E3868" i="5"/>
  <c r="E3860" i="5"/>
  <c r="E3852" i="5"/>
  <c r="E3844" i="5"/>
  <c r="E3836" i="5"/>
  <c r="E3828" i="5"/>
  <c r="E3820" i="5"/>
  <c r="E3812" i="5"/>
  <c r="E3804" i="5"/>
  <c r="E3796" i="5"/>
  <c r="E3788" i="5"/>
  <c r="E3780" i="5"/>
  <c r="E3772" i="5"/>
  <c r="E3764" i="5"/>
  <c r="E3756" i="5"/>
  <c r="E3748" i="5"/>
  <c r="E3740" i="5"/>
  <c r="E3732" i="5"/>
  <c r="E3724" i="5"/>
  <c r="E3716" i="5"/>
  <c r="E3708" i="5"/>
  <c r="E3700" i="5"/>
  <c r="E3692" i="5"/>
  <c r="E3684" i="5"/>
  <c r="E3676" i="5"/>
  <c r="E3668" i="5"/>
  <c r="E3660" i="5"/>
  <c r="E3652" i="5"/>
  <c r="E3644" i="5"/>
  <c r="E3636" i="5"/>
  <c r="E3628" i="5"/>
  <c r="E3620" i="5"/>
  <c r="E3612" i="5"/>
  <c r="E3604" i="5"/>
  <c r="E3596" i="5"/>
  <c r="E3588" i="5"/>
  <c r="E3580" i="5"/>
  <c r="E3572" i="5"/>
  <c r="E3564" i="5"/>
  <c r="E3556" i="5"/>
  <c r="E3548" i="5"/>
  <c r="E3540" i="5"/>
  <c r="E3532" i="5"/>
  <c r="E3524" i="5"/>
  <c r="E3516" i="5"/>
  <c r="E3508" i="5"/>
  <c r="E3500" i="5"/>
  <c r="E3492" i="5"/>
  <c r="E3484" i="5"/>
  <c r="E3476" i="5"/>
  <c r="E3468" i="5"/>
  <c r="E3460" i="5"/>
  <c r="E3452" i="5"/>
  <c r="E3444" i="5"/>
  <c r="E3436" i="5"/>
  <c r="E3428" i="5"/>
  <c r="E3420" i="5"/>
  <c r="E3412" i="5"/>
  <c r="E3404" i="5"/>
  <c r="E3396" i="5"/>
  <c r="E3388" i="5"/>
  <c r="E3380" i="5"/>
  <c r="E3372" i="5"/>
  <c r="E3364" i="5"/>
  <c r="E3356" i="5"/>
  <c r="E3348" i="5"/>
  <c r="E3340" i="5"/>
  <c r="E3332" i="5"/>
  <c r="E3324" i="5"/>
  <c r="E3316" i="5"/>
  <c r="E3308" i="5"/>
  <c r="E3300" i="5"/>
  <c r="E3292" i="5"/>
  <c r="E3284" i="5"/>
  <c r="E3276" i="5"/>
  <c r="E3268" i="5"/>
  <c r="E3260" i="5"/>
  <c r="E3252" i="5"/>
  <c r="E3244" i="5"/>
  <c r="E3236" i="5"/>
  <c r="E3228" i="5"/>
  <c r="E3220" i="5"/>
  <c r="E3212" i="5"/>
  <c r="E3204" i="5"/>
  <c r="E3196" i="5"/>
  <c r="E3188" i="5"/>
  <c r="E3180" i="5"/>
  <c r="E3172" i="5"/>
  <c r="E3164" i="5"/>
  <c r="E3156" i="5"/>
  <c r="E3148" i="5"/>
  <c r="E3140" i="5"/>
  <c r="E3132" i="5"/>
  <c r="E3124" i="5"/>
  <c r="E3116" i="5"/>
  <c r="E3108" i="5"/>
  <c r="E3100" i="5"/>
  <c r="E3092" i="5"/>
  <c r="E3084" i="5"/>
  <c r="E3076" i="5"/>
  <c r="E3068" i="5"/>
  <c r="E3060" i="5"/>
  <c r="E3052" i="5"/>
  <c r="E3044" i="5"/>
  <c r="E3036" i="5"/>
  <c r="E3028" i="5"/>
  <c r="E3020" i="5"/>
  <c r="E3012" i="5"/>
  <c r="E3004" i="5"/>
  <c r="E2996" i="5"/>
  <c r="E2988" i="5"/>
  <c r="E2980" i="5"/>
  <c r="E2972" i="5"/>
  <c r="E2964" i="5"/>
  <c r="E2956" i="5"/>
  <c r="E2948" i="5"/>
  <c r="E2940" i="5"/>
  <c r="E2932" i="5"/>
  <c r="E2924" i="5"/>
  <c r="E2916" i="5"/>
  <c r="E2908" i="5"/>
  <c r="E2900" i="5"/>
  <c r="E2892" i="5"/>
  <c r="E2884" i="5"/>
  <c r="E2876" i="5"/>
  <c r="E2868" i="5"/>
  <c r="E2860" i="5"/>
  <c r="E2852" i="5"/>
  <c r="E2844" i="5"/>
  <c r="E2836" i="5"/>
  <c r="E2828" i="5"/>
  <c r="E2820" i="5"/>
  <c r="E2812" i="5"/>
  <c r="E2804" i="5"/>
  <c r="E2796" i="5"/>
  <c r="E2788" i="5"/>
  <c r="E2780" i="5"/>
  <c r="E2772" i="5"/>
  <c r="E2764" i="5"/>
  <c r="E2756" i="5"/>
  <c r="E2748" i="5"/>
  <c r="E2740" i="5"/>
  <c r="E2732" i="5"/>
  <c r="E2724" i="5"/>
  <c r="E2716" i="5"/>
  <c r="E2708" i="5"/>
  <c r="E2700" i="5"/>
  <c r="E2692" i="5"/>
  <c r="E2684" i="5"/>
  <c r="E2676" i="5"/>
  <c r="E2668" i="5"/>
  <c r="E2660" i="5"/>
  <c r="E2652" i="5"/>
  <c r="E2644" i="5"/>
  <c r="E2636" i="5"/>
  <c r="E2628" i="5"/>
  <c r="E2620" i="5"/>
  <c r="E2612" i="5"/>
  <c r="E2604" i="5"/>
  <c r="E2596" i="5"/>
  <c r="E2588" i="5"/>
  <c r="E2580" i="5"/>
  <c r="E2572" i="5"/>
  <c r="E2564" i="5"/>
  <c r="E2556" i="5"/>
  <c r="E2548" i="5"/>
  <c r="E2540" i="5"/>
  <c r="E2532" i="5"/>
  <c r="E2524" i="5"/>
  <c r="E2516" i="5"/>
  <c r="E2508" i="5"/>
  <c r="E2500" i="5"/>
  <c r="E2492" i="5"/>
  <c r="E2484" i="5"/>
  <c r="E2476" i="5"/>
  <c r="E2468" i="5"/>
  <c r="E2460" i="5"/>
  <c r="E2452" i="5"/>
  <c r="E2444" i="5"/>
  <c r="E2436" i="5"/>
  <c r="E2428" i="5"/>
  <c r="E2420" i="5"/>
  <c r="E2412" i="5"/>
  <c r="E2404" i="5"/>
  <c r="E2396" i="5"/>
  <c r="E2388" i="5"/>
  <c r="E2380" i="5"/>
  <c r="E2372" i="5"/>
  <c r="E2364" i="5"/>
  <c r="E2356" i="5"/>
  <c r="E2348" i="5"/>
  <c r="E2340" i="5"/>
  <c r="E2332" i="5"/>
  <c r="E2324" i="5"/>
  <c r="E2316" i="5"/>
  <c r="E2308" i="5"/>
  <c r="E2300" i="5"/>
  <c r="E2292" i="5"/>
  <c r="E2284" i="5"/>
  <c r="E2276" i="5"/>
  <c r="E2268" i="5"/>
  <c r="E2260" i="5"/>
  <c r="E2252" i="5"/>
  <c r="E2244" i="5"/>
  <c r="E2236" i="5"/>
  <c r="E2228" i="5"/>
  <c r="E2220" i="5"/>
  <c r="E2212" i="5"/>
  <c r="E2204" i="5"/>
  <c r="E2196" i="5"/>
  <c r="E2188" i="5"/>
  <c r="E2180" i="5"/>
  <c r="E2172" i="5"/>
  <c r="E2164" i="5"/>
  <c r="E2156" i="5"/>
  <c r="E2148" i="5"/>
  <c r="E2140" i="5"/>
  <c r="E2132" i="5"/>
  <c r="E2124" i="5"/>
  <c r="E2116" i="5"/>
  <c r="E2108" i="5"/>
  <c r="E2100" i="5"/>
  <c r="E2092" i="5"/>
  <c r="E2084" i="5"/>
  <c r="E2076" i="5"/>
  <c r="E2068" i="5"/>
  <c r="E2060" i="5"/>
  <c r="E2052" i="5"/>
  <c r="E2044" i="5"/>
  <c r="E2036" i="5"/>
  <c r="E2028" i="5"/>
  <c r="E2020" i="5"/>
  <c r="E2012" i="5"/>
  <c r="E2004" i="5"/>
  <c r="E1996" i="5"/>
  <c r="E1988" i="5"/>
  <c r="E1980" i="5"/>
  <c r="E1972" i="5"/>
  <c r="E1964" i="5"/>
  <c r="E1956" i="5"/>
  <c r="E1948" i="5"/>
  <c r="E1940" i="5"/>
  <c r="E1932" i="5"/>
  <c r="E1924" i="5"/>
  <c r="E1916" i="5"/>
  <c r="E1908" i="5"/>
  <c r="E1900" i="5"/>
  <c r="E1892" i="5"/>
  <c r="E1884" i="5"/>
  <c r="E1876" i="5"/>
  <c r="E1868" i="5"/>
  <c r="E1860" i="5"/>
  <c r="E1852" i="5"/>
  <c r="E1844" i="5"/>
  <c r="E1836" i="5"/>
  <c r="E1828" i="5"/>
  <c r="E1820" i="5"/>
  <c r="E1812" i="5"/>
  <c r="E1804" i="5"/>
  <c r="E1796" i="5"/>
  <c r="E1788" i="5"/>
  <c r="E1780" i="5"/>
  <c r="E1772" i="5"/>
  <c r="E1764" i="5"/>
  <c r="E1756" i="5"/>
  <c r="E1748" i="5"/>
  <c r="E1740" i="5"/>
  <c r="E1732" i="5"/>
  <c r="E1724" i="5"/>
  <c r="E1716" i="5"/>
  <c r="E1708" i="5"/>
  <c r="E1700" i="5"/>
  <c r="E1692" i="5"/>
  <c r="E1684" i="5"/>
  <c r="E1676" i="5"/>
  <c r="E1668" i="5"/>
  <c r="E1660" i="5"/>
  <c r="E1652" i="5"/>
  <c r="E1644" i="5"/>
  <c r="E1636" i="5"/>
  <c r="E1628" i="5"/>
  <c r="E1620" i="5"/>
  <c r="E1612" i="5"/>
  <c r="E1604" i="5"/>
  <c r="E1596" i="5"/>
  <c r="E1588" i="5"/>
  <c r="E1580" i="5"/>
  <c r="E1572" i="5"/>
  <c r="E1564" i="5"/>
  <c r="E1556" i="5"/>
  <c r="E1548" i="5"/>
  <c r="E1540" i="5"/>
  <c r="E1532" i="5"/>
  <c r="E1524" i="5"/>
  <c r="E1516" i="5"/>
  <c r="E1508" i="5"/>
  <c r="E1500" i="5"/>
  <c r="E1492" i="5"/>
  <c r="E1484" i="5"/>
  <c r="E1476" i="5"/>
  <c r="E1468" i="5"/>
  <c r="E1460" i="5"/>
  <c r="E1452" i="5"/>
  <c r="E1444" i="5"/>
  <c r="E1436" i="5"/>
  <c r="E1428" i="5"/>
  <c r="E1420" i="5"/>
  <c r="E1412" i="5"/>
  <c r="E1404" i="5"/>
  <c r="E1396" i="5"/>
  <c r="E1388" i="5"/>
  <c r="E1380" i="5"/>
  <c r="E1372" i="5"/>
  <c r="E1364" i="5"/>
  <c r="E1356" i="5"/>
  <c r="E1348" i="5"/>
  <c r="E1340" i="5"/>
  <c r="E1332" i="5"/>
  <c r="E1324" i="5"/>
  <c r="E1316" i="5"/>
  <c r="E1308" i="5"/>
  <c r="E1300" i="5"/>
  <c r="E1292" i="5"/>
  <c r="E1284" i="5"/>
  <c r="E1276" i="5"/>
  <c r="E1268" i="5"/>
  <c r="E1260" i="5"/>
  <c r="E1252" i="5"/>
  <c r="E1244" i="5"/>
  <c r="E1236" i="5"/>
  <c r="E1228" i="5"/>
  <c r="E1220" i="5"/>
  <c r="E1212" i="5"/>
  <c r="E1204" i="5"/>
  <c r="E1196" i="5"/>
  <c r="E1188" i="5"/>
  <c r="E1180" i="5"/>
  <c r="E1172" i="5"/>
  <c r="E1164" i="5"/>
  <c r="E1156" i="5"/>
  <c r="E1148" i="5"/>
  <c r="E1140" i="5"/>
  <c r="E1132" i="5"/>
  <c r="E1124" i="5"/>
  <c r="E1116" i="5"/>
  <c r="E1108" i="5"/>
  <c r="E1100" i="5"/>
  <c r="E1092" i="5"/>
  <c r="E1084" i="5"/>
  <c r="E1076" i="5"/>
  <c r="E1068" i="5"/>
  <c r="E1060" i="5"/>
  <c r="E1052" i="5"/>
  <c r="E1044" i="5"/>
  <c r="E1036" i="5"/>
  <c r="E1028" i="5"/>
  <c r="E1020" i="5"/>
  <c r="E1012" i="5"/>
  <c r="E1004" i="5"/>
  <c r="E996" i="5"/>
  <c r="E988" i="5"/>
  <c r="E980" i="5"/>
  <c r="E972" i="5"/>
  <c r="E964" i="5"/>
  <c r="E956" i="5"/>
  <c r="E948" i="5"/>
  <c r="E940" i="5"/>
  <c r="E932" i="5"/>
  <c r="E924" i="5"/>
  <c r="E916" i="5"/>
  <c r="E908" i="5"/>
  <c r="E900" i="5"/>
  <c r="E892" i="5"/>
  <c r="E884" i="5"/>
  <c r="E876" i="5"/>
  <c r="E868" i="5"/>
  <c r="E860" i="5"/>
  <c r="E852" i="5"/>
  <c r="E844" i="5"/>
  <c r="E836" i="5"/>
  <c r="E828" i="5"/>
  <c r="E820" i="5"/>
  <c r="E812" i="5"/>
  <c r="E804" i="5"/>
  <c r="E796" i="5"/>
  <c r="E788" i="5"/>
  <c r="E780" i="5"/>
  <c r="E772" i="5"/>
  <c r="E764" i="5"/>
  <c r="E756" i="5"/>
  <c r="E748" i="5"/>
  <c r="E740" i="5"/>
  <c r="E732" i="5"/>
  <c r="E724" i="5"/>
  <c r="E716" i="5"/>
  <c r="E708" i="5"/>
  <c r="E700" i="5"/>
  <c r="E692" i="5"/>
  <c r="E684" i="5"/>
  <c r="E676" i="5"/>
  <c r="E668" i="5"/>
  <c r="E660" i="5"/>
  <c r="E652" i="5"/>
  <c r="E644" i="5"/>
  <c r="E636" i="5"/>
  <c r="E628" i="5"/>
  <c r="E620" i="5"/>
  <c r="E612" i="5"/>
  <c r="E604" i="5"/>
  <c r="E596" i="5"/>
  <c r="E588" i="5"/>
  <c r="E580" i="5"/>
  <c r="E572" i="5"/>
  <c r="E564" i="5"/>
  <c r="E556" i="5"/>
  <c r="E548" i="5"/>
  <c r="E540" i="5"/>
  <c r="E532" i="5"/>
  <c r="E524" i="5"/>
  <c r="E516" i="5"/>
  <c r="E508" i="5"/>
  <c r="E500" i="5"/>
  <c r="E492" i="5"/>
  <c r="E484" i="5"/>
  <c r="E476" i="5"/>
  <c r="E468" i="5"/>
  <c r="E460" i="5"/>
  <c r="E452" i="5"/>
  <c r="E444" i="5"/>
  <c r="E436" i="5"/>
  <c r="E428" i="5"/>
  <c r="E420" i="5"/>
  <c r="E412" i="5"/>
  <c r="E404" i="5"/>
  <c r="E396" i="5"/>
  <c r="E388" i="5"/>
  <c r="E380" i="5"/>
  <c r="E372" i="5"/>
  <c r="E364" i="5"/>
  <c r="E356" i="5"/>
  <c r="E348" i="5"/>
  <c r="E340" i="5"/>
  <c r="E332" i="5"/>
  <c r="E324" i="5"/>
  <c r="E316" i="5"/>
  <c r="E308" i="5"/>
  <c r="E300" i="5"/>
  <c r="E292" i="5"/>
  <c r="E284" i="5"/>
  <c r="E276" i="5"/>
  <c r="E268" i="5"/>
  <c r="E260" i="5"/>
  <c r="E252" i="5"/>
  <c r="E244" i="5"/>
  <c r="E236" i="5"/>
  <c r="E228" i="5"/>
  <c r="E220" i="5"/>
  <c r="E212" i="5"/>
  <c r="E204" i="5"/>
  <c r="E196" i="5"/>
  <c r="E188" i="5"/>
  <c r="E180" i="5"/>
  <c r="E172" i="5"/>
  <c r="E164" i="5"/>
  <c r="E156" i="5"/>
  <c r="E148" i="5"/>
  <c r="E140" i="5"/>
  <c r="E132" i="5"/>
  <c r="E124" i="5"/>
  <c r="E116" i="5"/>
  <c r="E109" i="5"/>
  <c r="E41379" i="5"/>
  <c r="E40868" i="5"/>
  <c r="E40459" i="5"/>
  <c r="E40049" i="5"/>
  <c r="E39640" i="5"/>
  <c r="E39235" i="5"/>
  <c r="E38959" i="5"/>
  <c r="E38703" i="5"/>
  <c r="E38447" i="5"/>
  <c r="E38191" i="5"/>
  <c r="E37935" i="5"/>
  <c r="E37679" i="5"/>
  <c r="E37423" i="5"/>
  <c r="E37167" i="5"/>
  <c r="E36911" i="5"/>
  <c r="E36655" i="5"/>
  <c r="E36399" i="5"/>
  <c r="E36143" i="5"/>
  <c r="E35887" i="5"/>
  <c r="E35631" i="5"/>
  <c r="E35375" i="5"/>
  <c r="E35119" i="5"/>
  <c r="E34863" i="5"/>
  <c r="E34607" i="5"/>
  <c r="E34351" i="5"/>
  <c r="E34095" i="5"/>
  <c r="E33839" i="5"/>
  <c r="E33583" i="5"/>
  <c r="E33327" i="5"/>
  <c r="E33071" i="5"/>
  <c r="E32815" i="5"/>
  <c r="E32559" i="5"/>
  <c r="E32303" i="5"/>
  <c r="E32047" i="5"/>
  <c r="E31791" i="5"/>
  <c r="E31535" i="5"/>
  <c r="E31279" i="5"/>
  <c r="E31023" i="5"/>
  <c r="E30767" i="5"/>
  <c r="E30511" i="5"/>
  <c r="E30255" i="5"/>
  <c r="E29999" i="5"/>
  <c r="E29743" i="5"/>
  <c r="E29487" i="5"/>
  <c r="E29231" i="5"/>
  <c r="E28975" i="5"/>
  <c r="E28719" i="5"/>
  <c r="E28463" i="5"/>
  <c r="E28207" i="5"/>
  <c r="E27951" i="5"/>
  <c r="E27695" i="5"/>
  <c r="E27439" i="5"/>
  <c r="E27183" i="5"/>
  <c r="E26927" i="5"/>
  <c r="E26671" i="5"/>
  <c r="E26415" i="5"/>
  <c r="E26159" i="5"/>
  <c r="E25903" i="5"/>
  <c r="E25647" i="5"/>
  <c r="E25503" i="5"/>
  <c r="E25375" i="5"/>
  <c r="E25247" i="5"/>
  <c r="E25119" i="5"/>
  <c r="E25031" i="5"/>
  <c r="E24946" i="5"/>
  <c r="E24871" i="5"/>
  <c r="E24807" i="5"/>
  <c r="E24743" i="5"/>
  <c r="E24679" i="5"/>
  <c r="E24615" i="5"/>
  <c r="E24551" i="5"/>
  <c r="E24487" i="5"/>
  <c r="E24426" i="5"/>
  <c r="E24373" i="5"/>
  <c r="E24323" i="5"/>
  <c r="E24271" i="5"/>
  <c r="E24220" i="5"/>
  <c r="E24170" i="5"/>
  <c r="E24117" i="5"/>
  <c r="E24067" i="5"/>
  <c r="E24015" i="5"/>
  <c r="E23964" i="5"/>
  <c r="E23922" i="5"/>
  <c r="E23879" i="5"/>
  <c r="E23836" i="5"/>
  <c r="E23794" i="5"/>
  <c r="E23751" i="5"/>
  <c r="E23714" i="5"/>
  <c r="E23677" i="5"/>
  <c r="E23642" i="5"/>
  <c r="E23610" i="5"/>
  <c r="E23578" i="5"/>
  <c r="E23546" i="5"/>
  <c r="E23514" i="5"/>
  <c r="E23482" i="5"/>
  <c r="E23450" i="5"/>
  <c r="E23418" i="5"/>
  <c r="E23386" i="5"/>
  <c r="E23354" i="5"/>
  <c r="E23322" i="5"/>
  <c r="E23290" i="5"/>
  <c r="E23258" i="5"/>
  <c r="E23226" i="5"/>
  <c r="E23194" i="5"/>
  <c r="E23162" i="5"/>
  <c r="E23130" i="5"/>
  <c r="E23098" i="5"/>
  <c r="E23066" i="5"/>
  <c r="E23034" i="5"/>
  <c r="E23002" i="5"/>
  <c r="E22970" i="5"/>
  <c r="E22938" i="5"/>
  <c r="E22906" i="5"/>
  <c r="E22874" i="5"/>
  <c r="E22842" i="5"/>
  <c r="E22810" i="5"/>
  <c r="E22778" i="5"/>
  <c r="E22746" i="5"/>
  <c r="E22714" i="5"/>
  <c r="E22682" i="5"/>
  <c r="E22650" i="5"/>
  <c r="E22618" i="5"/>
  <c r="E22586" i="5"/>
  <c r="E22554" i="5"/>
  <c r="E22522" i="5"/>
  <c r="E22490" i="5"/>
  <c r="E22458" i="5"/>
  <c r="E22426" i="5"/>
  <c r="E22394" i="5"/>
  <c r="E22362" i="5"/>
  <c r="E22330" i="5"/>
  <c r="E22298" i="5"/>
  <c r="E22266" i="5"/>
  <c r="E22234" i="5"/>
  <c r="E22202" i="5"/>
  <c r="E22170" i="5"/>
  <c r="E22138" i="5"/>
  <c r="E22106" i="5"/>
  <c r="E22074" i="5"/>
  <c r="E22042" i="5"/>
  <c r="E22010" i="5"/>
  <c r="E21978" i="5"/>
  <c r="E21946" i="5"/>
  <c r="E21914" i="5"/>
  <c r="E21882" i="5"/>
  <c r="E21850" i="5"/>
  <c r="E21818" i="5"/>
  <c r="E21786" i="5"/>
  <c r="E21754" i="5"/>
  <c r="E21722" i="5"/>
  <c r="E21690" i="5"/>
  <c r="E21658" i="5"/>
  <c r="E21626" i="5"/>
  <c r="E21594" i="5"/>
  <c r="E21562" i="5"/>
  <c r="E21530" i="5"/>
  <c r="E21498" i="5"/>
  <c r="E21466" i="5"/>
  <c r="E21434" i="5"/>
  <c r="E21402" i="5"/>
  <c r="E21370" i="5"/>
  <c r="E21338" i="5"/>
  <c r="E21306" i="5"/>
  <c r="E21274" i="5"/>
  <c r="E21242" i="5"/>
  <c r="E21210" i="5"/>
  <c r="E21178" i="5"/>
  <c r="E21146" i="5"/>
  <c r="E21114" i="5"/>
  <c r="E21082" i="5"/>
  <c r="E21050" i="5"/>
  <c r="E21018" i="5"/>
  <c r="E20986" i="5"/>
  <c r="E20954" i="5"/>
  <c r="E20922" i="5"/>
  <c r="E20890" i="5"/>
  <c r="E20858" i="5"/>
  <c r="E20826" i="5"/>
  <c r="E20794" i="5"/>
  <c r="E20762" i="5"/>
  <c r="E20730" i="5"/>
  <c r="E20698" i="5"/>
  <c r="E20666" i="5"/>
  <c r="E20634" i="5"/>
  <c r="E20602" i="5"/>
  <c r="E20570" i="5"/>
  <c r="E20538" i="5"/>
  <c r="E20506" i="5"/>
  <c r="E20474" i="5"/>
  <c r="E20442" i="5"/>
  <c r="E20410" i="5"/>
  <c r="E20378" i="5"/>
  <c r="E20346" i="5"/>
  <c r="E20314" i="5"/>
  <c r="E20282" i="5"/>
  <c r="E20250" i="5"/>
  <c r="E20218" i="5"/>
  <c r="E20186" i="5"/>
  <c r="E20154" i="5"/>
  <c r="E20122" i="5"/>
  <c r="E20090" i="5"/>
  <c r="E20058" i="5"/>
  <c r="E20026" i="5"/>
  <c r="E19994" i="5"/>
  <c r="E19962" i="5"/>
  <c r="E19930" i="5"/>
  <c r="E19898" i="5"/>
  <c r="E19866" i="5"/>
  <c r="E19834" i="5"/>
  <c r="E19802" i="5"/>
  <c r="E19770" i="5"/>
  <c r="E19738" i="5"/>
  <c r="E19706" i="5"/>
  <c r="E19674" i="5"/>
  <c r="E19642" i="5"/>
  <c r="E19610" i="5"/>
  <c r="E19578" i="5"/>
  <c r="E19546" i="5"/>
  <c r="E19514" i="5"/>
  <c r="E19482" i="5"/>
  <c r="E19450" i="5"/>
  <c r="E19418" i="5"/>
  <c r="E19386" i="5"/>
  <c r="E19354" i="5"/>
  <c r="E19322" i="5"/>
  <c r="E19290" i="5"/>
  <c r="E19258" i="5"/>
  <c r="E19226" i="5"/>
  <c r="E19194" i="5"/>
  <c r="E19162" i="5"/>
  <c r="E19130" i="5"/>
  <c r="E19098" i="5"/>
  <c r="E19066" i="5"/>
  <c r="E19034" i="5"/>
  <c r="E19002" i="5"/>
  <c r="E18970" i="5"/>
  <c r="E18938" i="5"/>
  <c r="E18906" i="5"/>
  <c r="E18874" i="5"/>
  <c r="E18842" i="5"/>
  <c r="E18810" i="5"/>
  <c r="E18778" i="5"/>
  <c r="E18746" i="5"/>
  <c r="E18714" i="5"/>
  <c r="E18682" i="5"/>
  <c r="E18650" i="5"/>
  <c r="E18618" i="5"/>
  <c r="E18586" i="5"/>
  <c r="E18554" i="5"/>
  <c r="E18522" i="5"/>
  <c r="E18490" i="5"/>
  <c r="E18458" i="5"/>
  <c r="E18426" i="5"/>
  <c r="E18394" i="5"/>
  <c r="E18362" i="5"/>
  <c r="E18330" i="5"/>
  <c r="E18298" i="5"/>
  <c r="E18266" i="5"/>
  <c r="E18234" i="5"/>
  <c r="E18202" i="5"/>
  <c r="E18170" i="5"/>
  <c r="E18138" i="5"/>
  <c r="E18106" i="5"/>
  <c r="E18074" i="5"/>
  <c r="E18042" i="5"/>
  <c r="E18010" i="5"/>
  <c r="E17978" i="5"/>
  <c r="E17946" i="5"/>
  <c r="E17914" i="5"/>
  <c r="E17882" i="5"/>
  <c r="E17850" i="5"/>
  <c r="E17818" i="5"/>
  <c r="E17786" i="5"/>
  <c r="E17754" i="5"/>
  <c r="E17722" i="5"/>
  <c r="E17690" i="5"/>
  <c r="E17658" i="5"/>
  <c r="E17626" i="5"/>
  <c r="E17594" i="5"/>
  <c r="E17562" i="5"/>
  <c r="E17530" i="5"/>
  <c r="E17498" i="5"/>
  <c r="E17466" i="5"/>
  <c r="E17434" i="5"/>
  <c r="E17402" i="5"/>
  <c r="E17370" i="5"/>
  <c r="E17338" i="5"/>
  <c r="E17306" i="5"/>
  <c r="E17274" i="5"/>
  <c r="E17242" i="5"/>
  <c r="E17210" i="5"/>
  <c r="E17178" i="5"/>
  <c r="E17146" i="5"/>
  <c r="E17114" i="5"/>
  <c r="E17082" i="5"/>
  <c r="E17050" i="5"/>
  <c r="E17018" i="5"/>
  <c r="E16986" i="5"/>
  <c r="E16954" i="5"/>
  <c r="E16922" i="5"/>
  <c r="E16890" i="5"/>
  <c r="E16858" i="5"/>
  <c r="E16826" i="5"/>
  <c r="E16794" i="5"/>
  <c r="E16762" i="5"/>
  <c r="E16730" i="5"/>
  <c r="E16698" i="5"/>
  <c r="E16666" i="5"/>
  <c r="E16634" i="5"/>
  <c r="E16602" i="5"/>
  <c r="E16570" i="5"/>
  <c r="E16538" i="5"/>
  <c r="E16506" i="5"/>
  <c r="E16474" i="5"/>
  <c r="E16442" i="5"/>
  <c r="E16410" i="5"/>
  <c r="E16378" i="5"/>
  <c r="E16346" i="5"/>
  <c r="E16314" i="5"/>
  <c r="E16282" i="5"/>
  <c r="E16250" i="5"/>
  <c r="E16218" i="5"/>
  <c r="E16186" i="5"/>
  <c r="E16154" i="5"/>
  <c r="E16122" i="5"/>
  <c r="E16090" i="5"/>
  <c r="E16058" i="5"/>
  <c r="E16026" i="5"/>
  <c r="E15994" i="5"/>
  <c r="E15962" i="5"/>
  <c r="E15930" i="5"/>
  <c r="E15898" i="5"/>
  <c r="E15866" i="5"/>
  <c r="E15834" i="5"/>
  <c r="E15802" i="5"/>
  <c r="E15770" i="5"/>
  <c r="E15738" i="5"/>
  <c r="E15706" i="5"/>
  <c r="E15674" i="5"/>
  <c r="E15642" i="5"/>
  <c r="E15610" i="5"/>
  <c r="E15578" i="5"/>
  <c r="E15546" i="5"/>
  <c r="E15514" i="5"/>
  <c r="E15482" i="5"/>
  <c r="E15450" i="5"/>
  <c r="E15418" i="5"/>
  <c r="E15386" i="5"/>
  <c r="E15354" i="5"/>
  <c r="E15322" i="5"/>
  <c r="E15290" i="5"/>
  <c r="E15258" i="5"/>
  <c r="E15226" i="5"/>
  <c r="E15194" i="5"/>
  <c r="E15162" i="5"/>
  <c r="E15130" i="5"/>
  <c r="E15098" i="5"/>
  <c r="E15066" i="5"/>
  <c r="E15034" i="5"/>
  <c r="E15002" i="5"/>
  <c r="E14970" i="5"/>
  <c r="E14938" i="5"/>
  <c r="E14906" i="5"/>
  <c r="E14874" i="5"/>
  <c r="E14842" i="5"/>
  <c r="E14810" i="5"/>
  <c r="E14778" i="5"/>
  <c r="E14746" i="5"/>
  <c r="E14714" i="5"/>
  <c r="E14682" i="5"/>
  <c r="E14650" i="5"/>
  <c r="E14618" i="5"/>
  <c r="E14586" i="5"/>
  <c r="E14554" i="5"/>
  <c r="E14522" i="5"/>
  <c r="E14490" i="5"/>
  <c r="E14458" i="5"/>
  <c r="E14426" i="5"/>
  <c r="E14394" i="5"/>
  <c r="E14362" i="5"/>
  <c r="E14330" i="5"/>
  <c r="E14298" i="5"/>
  <c r="E14266" i="5"/>
  <c r="E14234" i="5"/>
  <c r="E14202" i="5"/>
  <c r="E14170" i="5"/>
  <c r="E14138" i="5"/>
  <c r="E14106" i="5"/>
  <c r="E14074" i="5"/>
  <c r="E14042" i="5"/>
  <c r="E14010" i="5"/>
  <c r="E13978" i="5"/>
  <c r="E13946" i="5"/>
  <c r="E13914" i="5"/>
  <c r="E13882" i="5"/>
  <c r="E13850" i="5"/>
  <c r="E13818" i="5"/>
  <c r="E13786" i="5"/>
  <c r="E13754" i="5"/>
  <c r="E13722" i="5"/>
  <c r="E13690" i="5"/>
  <c r="E13658" i="5"/>
  <c r="E13626" i="5"/>
  <c r="E13594" i="5"/>
  <c r="E13562" i="5"/>
  <c r="E13530" i="5"/>
  <c r="E13498" i="5"/>
  <c r="E13466" i="5"/>
  <c r="E13434" i="5"/>
  <c r="E13402" i="5"/>
  <c r="E13370" i="5"/>
  <c r="E13338" i="5"/>
  <c r="E13306" i="5"/>
  <c r="E13274" i="5"/>
  <c r="E13242" i="5"/>
  <c r="E13210" i="5"/>
  <c r="E13178" i="5"/>
  <c r="E13146" i="5"/>
  <c r="E13114" i="5"/>
  <c r="E13082" i="5"/>
  <c r="E13050" i="5"/>
  <c r="E13018" i="5"/>
  <c r="E12986" i="5"/>
  <c r="E12954" i="5"/>
  <c r="E12922" i="5"/>
  <c r="E12890" i="5"/>
  <c r="E12858" i="5"/>
  <c r="E12826" i="5"/>
  <c r="E12794" i="5"/>
  <c r="E12762" i="5"/>
  <c r="E12730" i="5"/>
  <c r="E12698" i="5"/>
  <c r="E12666" i="5"/>
  <c r="E12634" i="5"/>
  <c r="E12602" i="5"/>
  <c r="E12570" i="5"/>
  <c r="E12538" i="5"/>
  <c r="E12506" i="5"/>
  <c r="E12474" i="5"/>
  <c r="E12442" i="5"/>
  <c r="E12410" i="5"/>
  <c r="E12378" i="5"/>
  <c r="E12346" i="5"/>
  <c r="E12314" i="5"/>
  <c r="E12282" i="5"/>
  <c r="E12250" i="5"/>
  <c r="E12218" i="5"/>
  <c r="E12186" i="5"/>
  <c r="E12154" i="5"/>
  <c r="E12122" i="5"/>
  <c r="E12090" i="5"/>
  <c r="E12058" i="5"/>
  <c r="E12026" i="5"/>
  <c r="E11994" i="5"/>
  <c r="E11962" i="5"/>
  <c r="E11930" i="5"/>
  <c r="E11898" i="5"/>
  <c r="E11866" i="5"/>
  <c r="E11834" i="5"/>
  <c r="E11802" i="5"/>
  <c r="E11770" i="5"/>
  <c r="E11738" i="5"/>
  <c r="E11706" i="5"/>
  <c r="E11674" i="5"/>
  <c r="E11642" i="5"/>
  <c r="E11610" i="5"/>
  <c r="E11578" i="5"/>
  <c r="E11546" i="5"/>
  <c r="E11514" i="5"/>
  <c r="E11482" i="5"/>
  <c r="E11450" i="5"/>
  <c r="E11418" i="5"/>
  <c r="E11386" i="5"/>
  <c r="E11354" i="5"/>
  <c r="E11322" i="5"/>
  <c r="E11290" i="5"/>
  <c r="E11258" i="5"/>
  <c r="E11226" i="5"/>
  <c r="E11194" i="5"/>
  <c r="E11162" i="5"/>
  <c r="E11130" i="5"/>
  <c r="E11098" i="5"/>
  <c r="E11066" i="5"/>
  <c r="E11034" i="5"/>
  <c r="E11002" i="5"/>
  <c r="E10970" i="5"/>
  <c r="E10938" i="5"/>
  <c r="E10906" i="5"/>
  <c r="E10874" i="5"/>
  <c r="E10842" i="5"/>
  <c r="E10810" i="5"/>
  <c r="E10778" i="5"/>
  <c r="E10746" i="5"/>
  <c r="E10714" i="5"/>
  <c r="E10682" i="5"/>
  <c r="E10650" i="5"/>
  <c r="E10618" i="5"/>
  <c r="E10586" i="5"/>
  <c r="E10554" i="5"/>
  <c r="E10522" i="5"/>
  <c r="E10490" i="5"/>
  <c r="E10458" i="5"/>
  <c r="E10426" i="5"/>
  <c r="E10394" i="5"/>
  <c r="E10362" i="5"/>
  <c r="E10330" i="5"/>
  <c r="E10298" i="5"/>
  <c r="E10266" i="5"/>
  <c r="E10234" i="5"/>
  <c r="E10202" i="5"/>
  <c r="E10170" i="5"/>
  <c r="E10138" i="5"/>
  <c r="E10106" i="5"/>
  <c r="E10074" i="5"/>
  <c r="E10042" i="5"/>
  <c r="E10010" i="5"/>
  <c r="E9978" i="5"/>
  <c r="E9946" i="5"/>
  <c r="E9914" i="5"/>
  <c r="E9882" i="5"/>
  <c r="E9850" i="5"/>
  <c r="E9818" i="5"/>
  <c r="E9786" i="5"/>
  <c r="E9754" i="5"/>
  <c r="E9722" i="5"/>
  <c r="E9690" i="5"/>
  <c r="E9658" i="5"/>
  <c r="E9626" i="5"/>
  <c r="E9594" i="5"/>
  <c r="E9562" i="5"/>
  <c r="E9530" i="5"/>
  <c r="E9498" i="5"/>
  <c r="E9466" i="5"/>
  <c r="E9434" i="5"/>
  <c r="E9402" i="5"/>
  <c r="E9370" i="5"/>
  <c r="E9338" i="5"/>
  <c r="E9306" i="5"/>
  <c r="E9274" i="5"/>
  <c r="E9242" i="5"/>
  <c r="E9210" i="5"/>
  <c r="E9178" i="5"/>
  <c r="E9146" i="5"/>
  <c r="E9114" i="5"/>
  <c r="E9082" i="5"/>
  <c r="E9050" i="5"/>
  <c r="E9018" i="5"/>
  <c r="E8986" i="5"/>
  <c r="E8954" i="5"/>
  <c r="E8922" i="5"/>
  <c r="E8890" i="5"/>
  <c r="E8858" i="5"/>
  <c r="E8826" i="5"/>
  <c r="E8794" i="5"/>
  <c r="E8762" i="5"/>
  <c r="E8730" i="5"/>
  <c r="E8698" i="5"/>
  <c r="E8666" i="5"/>
  <c r="E8634" i="5"/>
  <c r="E8602" i="5"/>
  <c r="E8570" i="5"/>
  <c r="E8538" i="5"/>
  <c r="E8506" i="5"/>
  <c r="E8474" i="5"/>
  <c r="E8442" i="5"/>
  <c r="E8410" i="5"/>
  <c r="E8378" i="5"/>
  <c r="E8346" i="5"/>
  <c r="E8314" i="5"/>
  <c r="E8282" i="5"/>
  <c r="E8250" i="5"/>
  <c r="E8218" i="5"/>
  <c r="E8186" i="5"/>
  <c r="E8154" i="5"/>
  <c r="E8122" i="5"/>
  <c r="E8090" i="5"/>
  <c r="E8058" i="5"/>
  <c r="E8026" i="5"/>
  <c r="E7994" i="5"/>
  <c r="E7962" i="5"/>
  <c r="E7930" i="5"/>
  <c r="E7898" i="5"/>
  <c r="E7866" i="5"/>
  <c r="E7834" i="5"/>
  <c r="E7802" i="5"/>
  <c r="E7770" i="5"/>
  <c r="E7738" i="5"/>
  <c r="E7706" i="5"/>
  <c r="E7674" i="5"/>
  <c r="E7642" i="5"/>
  <c r="E7610" i="5"/>
  <c r="E7578" i="5"/>
  <c r="E7546" i="5"/>
  <c r="E7514" i="5"/>
  <c r="E7482" i="5"/>
  <c r="E7450" i="5"/>
  <c r="E7418" i="5"/>
  <c r="E7386" i="5"/>
  <c r="E7354" i="5"/>
  <c r="E7322" i="5"/>
  <c r="E7290" i="5"/>
  <c r="E7258" i="5"/>
  <c r="E7226" i="5"/>
  <c r="E7194" i="5"/>
  <c r="E7162" i="5"/>
  <c r="E7130" i="5"/>
  <c r="E7098" i="5"/>
  <c r="E7066" i="5"/>
  <c r="E7034" i="5"/>
  <c r="E7002" i="5"/>
  <c r="E6970" i="5"/>
  <c r="E6938" i="5"/>
  <c r="E6906" i="5"/>
  <c r="E6874" i="5"/>
  <c r="E6842" i="5"/>
  <c r="E6810" i="5"/>
  <c r="E6778" i="5"/>
  <c r="E6746" i="5"/>
  <c r="E6714" i="5"/>
  <c r="E6682" i="5"/>
  <c r="E6650" i="5"/>
  <c r="E6618" i="5"/>
  <c r="E6586" i="5"/>
  <c r="E6554" i="5"/>
  <c r="E6522" i="5"/>
  <c r="E6490" i="5"/>
  <c r="E6458" i="5"/>
  <c r="E6426" i="5"/>
  <c r="E6394" i="5"/>
  <c r="E6362" i="5"/>
  <c r="E6330" i="5"/>
  <c r="E6298" i="5"/>
  <c r="E6266" i="5"/>
  <c r="E6234" i="5"/>
  <c r="E6202" i="5"/>
  <c r="E6170" i="5"/>
  <c r="E6138" i="5"/>
  <c r="E6106" i="5"/>
  <c r="E6074" i="5"/>
  <c r="E6042" i="5"/>
  <c r="E6010" i="5"/>
  <c r="E5978" i="5"/>
  <c r="E5946" i="5"/>
  <c r="E5914" i="5"/>
  <c r="E5882" i="5"/>
  <c r="E5850" i="5"/>
  <c r="E5818" i="5"/>
  <c r="E5786" i="5"/>
  <c r="E5754" i="5"/>
  <c r="E5722" i="5"/>
  <c r="E5690" i="5"/>
  <c r="E5664" i="5"/>
  <c r="E5642" i="5"/>
  <c r="E5621" i="5"/>
  <c r="E5600" i="5"/>
  <c r="E5578" i="5"/>
  <c r="E5557" i="5"/>
  <c r="E5536" i="5"/>
  <c r="E5514" i="5"/>
  <c r="E5493" i="5"/>
  <c r="E5472" i="5"/>
  <c r="E5450" i="5"/>
  <c r="E5429" i="5"/>
  <c r="E5408" i="5"/>
  <c r="E5386" i="5"/>
  <c r="E5365" i="5"/>
  <c r="E5344" i="5"/>
  <c r="E5322" i="5"/>
  <c r="E5304" i="5"/>
  <c r="E5288" i="5"/>
  <c r="E5273" i="5"/>
  <c r="E5263" i="5"/>
  <c r="E5254" i="5"/>
  <c r="E5245" i="5"/>
  <c r="E5236" i="5"/>
  <c r="E5226" i="5"/>
  <c r="E5217" i="5"/>
  <c r="E5208" i="5"/>
  <c r="E5199" i="5"/>
  <c r="E5190" i="5"/>
  <c r="E5181" i="5"/>
  <c r="E5172" i="5"/>
  <c r="E5163" i="5"/>
  <c r="E5155" i="5"/>
  <c r="E5147" i="5"/>
  <c r="E5139" i="5"/>
  <c r="E5131" i="5"/>
  <c r="E5123" i="5"/>
  <c r="E5115" i="5"/>
  <c r="E5107" i="5"/>
  <c r="E5099" i="5"/>
  <c r="E5091" i="5"/>
  <c r="E5083" i="5"/>
  <c r="E5075" i="5"/>
  <c r="E5067" i="5"/>
  <c r="E5059" i="5"/>
  <c r="E5051" i="5"/>
  <c r="E5043" i="5"/>
  <c r="E5035" i="5"/>
  <c r="E5027" i="5"/>
  <c r="E5019" i="5"/>
  <c r="E5011" i="5"/>
  <c r="E5003" i="5"/>
  <c r="E4995" i="5"/>
  <c r="E4987" i="5"/>
  <c r="E4979" i="5"/>
  <c r="E4971" i="5"/>
  <c r="E4963" i="5"/>
  <c r="E4955" i="5"/>
  <c r="E4947" i="5"/>
  <c r="E4939" i="5"/>
  <c r="E4931" i="5"/>
  <c r="E4923" i="5"/>
  <c r="E4915" i="5"/>
  <c r="E4907" i="5"/>
  <c r="E4899" i="5"/>
  <c r="E4891" i="5"/>
  <c r="E4883" i="5"/>
  <c r="E4875" i="5"/>
  <c r="E4867" i="5"/>
  <c r="E4859" i="5"/>
  <c r="E4851" i="5"/>
  <c r="E4843" i="5"/>
  <c r="E4835" i="5"/>
  <c r="E4827" i="5"/>
  <c r="E4819" i="5"/>
  <c r="E4811" i="5"/>
  <c r="E4803" i="5"/>
  <c r="E4795" i="5"/>
  <c r="E4787" i="5"/>
  <c r="E4779" i="5"/>
  <c r="E4771" i="5"/>
  <c r="E4763" i="5"/>
  <c r="E4755" i="5"/>
  <c r="E4747" i="5"/>
  <c r="E4739" i="5"/>
  <c r="E4731" i="5"/>
  <c r="E4723" i="5"/>
  <c r="E4715" i="5"/>
  <c r="E4707" i="5"/>
  <c r="E4699" i="5"/>
  <c r="E4691" i="5"/>
  <c r="E4683" i="5"/>
  <c r="E4675" i="5"/>
  <c r="E4667" i="5"/>
  <c r="E4659" i="5"/>
  <c r="E4651" i="5"/>
  <c r="E4643" i="5"/>
  <c r="E4635" i="5"/>
  <c r="E4627" i="5"/>
  <c r="E4619" i="5"/>
  <c r="E4611" i="5"/>
  <c r="E4603" i="5"/>
  <c r="E4595" i="5"/>
  <c r="E4587" i="5"/>
  <c r="E4579" i="5"/>
  <c r="E4571" i="5"/>
  <c r="E4563" i="5"/>
  <c r="E4555" i="5"/>
  <c r="E4547" i="5"/>
  <c r="E4539" i="5"/>
  <c r="E4531" i="5"/>
  <c r="E4523" i="5"/>
  <c r="E4515" i="5"/>
  <c r="E4507" i="5"/>
  <c r="E4499" i="5"/>
  <c r="E4491" i="5"/>
  <c r="E4483" i="5"/>
  <c r="E4475" i="5"/>
  <c r="E4467" i="5"/>
  <c r="E4459" i="5"/>
  <c r="E4451" i="5"/>
  <c r="E4443" i="5"/>
  <c r="E4435" i="5"/>
  <c r="E4427" i="5"/>
  <c r="E4419" i="5"/>
  <c r="E4411" i="5"/>
  <c r="E4403" i="5"/>
  <c r="E4395" i="5"/>
  <c r="E4387" i="5"/>
  <c r="E4379" i="5"/>
  <c r="E4371" i="5"/>
  <c r="E4363" i="5"/>
  <c r="E4355" i="5"/>
  <c r="E4347" i="5"/>
  <c r="E4339" i="5"/>
  <c r="E4331" i="5"/>
  <c r="E4323" i="5"/>
  <c r="E4315" i="5"/>
  <c r="E4307" i="5"/>
  <c r="E4299" i="5"/>
  <c r="E4291" i="5"/>
  <c r="E4283" i="5"/>
  <c r="E4275" i="5"/>
  <c r="E4267" i="5"/>
  <c r="E4259" i="5"/>
  <c r="E4251" i="5"/>
  <c r="E4243" i="5"/>
  <c r="E4235" i="5"/>
  <c r="E4227" i="5"/>
  <c r="E4219" i="5"/>
  <c r="E4211" i="5"/>
  <c r="E4203" i="5"/>
  <c r="E4195" i="5"/>
  <c r="E4187" i="5"/>
  <c r="E4179" i="5"/>
  <c r="E4171" i="5"/>
  <c r="E4163" i="5"/>
  <c r="E4155" i="5"/>
  <c r="E4147" i="5"/>
  <c r="E4139" i="5"/>
  <c r="E4131" i="5"/>
  <c r="E4123" i="5"/>
  <c r="E4115" i="5"/>
  <c r="E4107" i="5"/>
  <c r="E4099" i="5"/>
  <c r="E4091" i="5"/>
  <c r="E4083" i="5"/>
  <c r="E4075" i="5"/>
  <c r="E4067" i="5"/>
  <c r="E4059" i="5"/>
  <c r="E4051" i="5"/>
  <c r="E4043" i="5"/>
  <c r="E4035" i="5"/>
  <c r="E4027" i="5"/>
  <c r="E4019" i="5"/>
  <c r="E4011" i="5"/>
  <c r="E4003" i="5"/>
  <c r="E3995" i="5"/>
  <c r="E3987" i="5"/>
  <c r="E3979" i="5"/>
  <c r="E3971" i="5"/>
  <c r="E3963" i="5"/>
  <c r="E3955" i="5"/>
  <c r="E3947" i="5"/>
  <c r="E3939" i="5"/>
  <c r="E3931" i="5"/>
  <c r="E3923" i="5"/>
  <c r="E3915" i="5"/>
  <c r="E3907" i="5"/>
  <c r="E3899" i="5"/>
  <c r="E3891" i="5"/>
  <c r="E3883" i="5"/>
  <c r="E3875" i="5"/>
  <c r="E3867" i="5"/>
  <c r="E3859" i="5"/>
  <c r="E3851" i="5"/>
  <c r="E3843" i="5"/>
  <c r="E3835" i="5"/>
  <c r="E3827" i="5"/>
  <c r="E3819" i="5"/>
  <c r="E3811" i="5"/>
  <c r="E3803" i="5"/>
  <c r="E3795" i="5"/>
  <c r="E3787" i="5"/>
  <c r="E3779" i="5"/>
  <c r="E3771" i="5"/>
  <c r="E3763" i="5"/>
  <c r="E3755" i="5"/>
  <c r="E3747" i="5"/>
  <c r="E3739" i="5"/>
  <c r="E3731" i="5"/>
  <c r="E3723" i="5"/>
  <c r="E3715" i="5"/>
  <c r="E3707" i="5"/>
  <c r="E3699" i="5"/>
  <c r="E3691" i="5"/>
  <c r="E3683" i="5"/>
  <c r="E3675" i="5"/>
  <c r="E3667" i="5"/>
  <c r="E3659" i="5"/>
  <c r="E3651" i="5"/>
  <c r="E3643" i="5"/>
  <c r="E3635" i="5"/>
  <c r="E3627" i="5"/>
  <c r="E3619" i="5"/>
  <c r="E3611" i="5"/>
  <c r="E3603" i="5"/>
  <c r="E3595" i="5"/>
  <c r="E3587" i="5"/>
  <c r="E3579" i="5"/>
  <c r="E3571" i="5"/>
  <c r="E3563" i="5"/>
  <c r="E3555" i="5"/>
  <c r="E3547" i="5"/>
  <c r="E3539" i="5"/>
  <c r="E3531" i="5"/>
  <c r="E3523" i="5"/>
  <c r="E3515" i="5"/>
  <c r="E3507" i="5"/>
  <c r="E3499" i="5"/>
  <c r="E3491" i="5"/>
  <c r="E3483" i="5"/>
  <c r="E3475" i="5"/>
  <c r="E3467" i="5"/>
  <c r="E3459" i="5"/>
  <c r="E3451" i="5"/>
  <c r="E3443" i="5"/>
  <c r="E3435" i="5"/>
  <c r="E3427" i="5"/>
  <c r="E3419" i="5"/>
  <c r="E3411" i="5"/>
  <c r="E3403" i="5"/>
  <c r="E3395" i="5"/>
  <c r="E3387" i="5"/>
  <c r="E3379" i="5"/>
  <c r="E3371" i="5"/>
  <c r="E3363" i="5"/>
  <c r="E3355" i="5"/>
  <c r="E3347" i="5"/>
  <c r="E3339" i="5"/>
  <c r="E3331" i="5"/>
  <c r="E3323" i="5"/>
  <c r="E3315" i="5"/>
  <c r="E3307" i="5"/>
  <c r="E3299" i="5"/>
  <c r="E3291" i="5"/>
  <c r="E3283" i="5"/>
  <c r="E3275" i="5"/>
  <c r="E3267" i="5"/>
  <c r="E3259" i="5"/>
  <c r="E3251" i="5"/>
  <c r="E3243" i="5"/>
  <c r="E3235" i="5"/>
  <c r="E3227" i="5"/>
  <c r="E3219" i="5"/>
  <c r="E3211" i="5"/>
  <c r="E3203" i="5"/>
  <c r="E3195" i="5"/>
  <c r="E3187" i="5"/>
  <c r="E3179" i="5"/>
  <c r="E3171" i="5"/>
  <c r="E3163" i="5"/>
  <c r="E3155" i="5"/>
  <c r="E3147" i="5"/>
  <c r="E3139" i="5"/>
  <c r="E3131" i="5"/>
  <c r="E3123" i="5"/>
  <c r="E3115" i="5"/>
  <c r="E3107" i="5"/>
  <c r="E3099" i="5"/>
  <c r="E3091" i="5"/>
  <c r="E3083" i="5"/>
  <c r="E3075" i="5"/>
  <c r="E3067" i="5"/>
  <c r="E3059" i="5"/>
  <c r="E3051" i="5"/>
  <c r="E3043" i="5"/>
  <c r="E3035" i="5"/>
  <c r="E3027" i="5"/>
  <c r="E3019" i="5"/>
  <c r="E3011" i="5"/>
  <c r="E3003" i="5"/>
  <c r="E2995" i="5"/>
  <c r="E2987" i="5"/>
  <c r="E2979" i="5"/>
  <c r="E2971" i="5"/>
  <c r="E2963" i="5"/>
  <c r="E2955" i="5"/>
  <c r="E2947" i="5"/>
  <c r="E2939" i="5"/>
  <c r="E2931" i="5"/>
  <c r="E2923" i="5"/>
  <c r="E2915" i="5"/>
  <c r="E2907" i="5"/>
  <c r="E2899" i="5"/>
  <c r="E2891" i="5"/>
  <c r="E2883" i="5"/>
  <c r="E2875" i="5"/>
  <c r="E2867" i="5"/>
  <c r="E2859" i="5"/>
  <c r="E2851" i="5"/>
  <c r="E2843" i="5"/>
  <c r="E2835" i="5"/>
  <c r="E2827" i="5"/>
  <c r="E2819" i="5"/>
  <c r="E2811" i="5"/>
  <c r="E2803" i="5"/>
  <c r="E2795" i="5"/>
  <c r="E2787" i="5"/>
  <c r="E2779" i="5"/>
  <c r="E2771" i="5"/>
  <c r="E2763" i="5"/>
  <c r="E2755" i="5"/>
  <c r="E2747" i="5"/>
  <c r="E2739" i="5"/>
  <c r="E2731" i="5"/>
  <c r="E2723" i="5"/>
  <c r="E2715" i="5"/>
  <c r="E2707" i="5"/>
  <c r="E2699" i="5"/>
  <c r="E2691" i="5"/>
  <c r="E2683" i="5"/>
  <c r="E2675" i="5"/>
  <c r="E2667" i="5"/>
  <c r="E2659" i="5"/>
  <c r="E2651" i="5"/>
  <c r="E2643" i="5"/>
  <c r="E2635" i="5"/>
  <c r="E2627" i="5"/>
  <c r="E2619" i="5"/>
  <c r="E2611" i="5"/>
  <c r="E2603" i="5"/>
  <c r="E2595" i="5"/>
  <c r="E2587" i="5"/>
  <c r="E2579" i="5"/>
  <c r="E2571" i="5"/>
  <c r="E2563" i="5"/>
  <c r="E2555" i="5"/>
  <c r="E2547" i="5"/>
  <c r="E2539" i="5"/>
  <c r="E2531" i="5"/>
  <c r="E2523" i="5"/>
  <c r="E2515" i="5"/>
  <c r="E2507" i="5"/>
  <c r="E2499" i="5"/>
  <c r="E2491" i="5"/>
  <c r="E2483" i="5"/>
  <c r="E2475" i="5"/>
  <c r="E2467" i="5"/>
  <c r="E2459" i="5"/>
  <c r="E2451" i="5"/>
  <c r="E2443" i="5"/>
  <c r="E2435" i="5"/>
  <c r="E2427" i="5"/>
  <c r="E2419" i="5"/>
  <c r="E2411" i="5"/>
  <c r="E2403" i="5"/>
  <c r="E2395" i="5"/>
  <c r="E2387" i="5"/>
  <c r="E2379" i="5"/>
  <c r="E2371" i="5"/>
  <c r="E2363" i="5"/>
  <c r="E2355" i="5"/>
  <c r="E2347" i="5"/>
  <c r="E2339" i="5"/>
  <c r="E2331" i="5"/>
  <c r="E2323" i="5"/>
  <c r="E2315" i="5"/>
  <c r="E2307" i="5"/>
  <c r="E2299" i="5"/>
  <c r="E2291" i="5"/>
  <c r="E2283" i="5"/>
  <c r="E2275" i="5"/>
  <c r="E2267" i="5"/>
  <c r="E2259" i="5"/>
  <c r="E2251" i="5"/>
  <c r="E2243" i="5"/>
  <c r="E2235" i="5"/>
  <c r="E2227" i="5"/>
  <c r="E2219" i="5"/>
  <c r="E2211" i="5"/>
  <c r="E2203" i="5"/>
  <c r="E2195" i="5"/>
  <c r="E2187" i="5"/>
  <c r="E2179" i="5"/>
  <c r="E2171" i="5"/>
  <c r="E2163" i="5"/>
  <c r="E2155" i="5"/>
  <c r="E2147" i="5"/>
  <c r="E2139" i="5"/>
  <c r="E2131" i="5"/>
  <c r="E2123" i="5"/>
  <c r="E2115" i="5"/>
  <c r="E2107" i="5"/>
  <c r="E2099" i="5"/>
  <c r="E2091" i="5"/>
  <c r="E2083" i="5"/>
  <c r="E2075" i="5"/>
  <c r="E2067" i="5"/>
  <c r="E2059" i="5"/>
  <c r="E2051" i="5"/>
  <c r="E2043" i="5"/>
  <c r="E2035" i="5"/>
  <c r="E2027" i="5"/>
  <c r="E2019" i="5"/>
  <c r="E2011" i="5"/>
  <c r="E2003" i="5"/>
  <c r="E1995" i="5"/>
  <c r="E1987" i="5"/>
  <c r="E1979" i="5"/>
  <c r="E1971" i="5"/>
  <c r="E1963" i="5"/>
  <c r="E1955" i="5"/>
  <c r="E1947" i="5"/>
  <c r="E1939" i="5"/>
  <c r="E1931" i="5"/>
  <c r="E1923" i="5"/>
  <c r="E1915" i="5"/>
  <c r="E1907" i="5"/>
  <c r="E1899" i="5"/>
  <c r="E1891" i="5"/>
  <c r="E1883" i="5"/>
  <c r="E1875" i="5"/>
  <c r="E1867" i="5"/>
  <c r="E1859" i="5"/>
  <c r="E1851" i="5"/>
  <c r="E1843" i="5"/>
  <c r="E1835" i="5"/>
  <c r="E1827" i="5"/>
  <c r="E1819" i="5"/>
  <c r="E1811" i="5"/>
  <c r="E1803" i="5"/>
  <c r="E1795" i="5"/>
  <c r="E1787" i="5"/>
  <c r="E1779" i="5"/>
  <c r="E1771" i="5"/>
  <c r="E1763" i="5"/>
  <c r="E1755" i="5"/>
  <c r="E1747" i="5"/>
  <c r="E1739" i="5"/>
  <c r="E1731" i="5"/>
  <c r="E1723" i="5"/>
  <c r="E1715" i="5"/>
  <c r="E1707" i="5"/>
  <c r="E1699" i="5"/>
  <c r="E1691" i="5"/>
  <c r="E1683" i="5"/>
  <c r="E1675" i="5"/>
  <c r="E1667" i="5"/>
  <c r="E1659" i="5"/>
  <c r="E1651" i="5"/>
  <c r="E1643" i="5"/>
  <c r="E1635" i="5"/>
  <c r="E1627" i="5"/>
  <c r="E1619" i="5"/>
  <c r="E1611" i="5"/>
  <c r="E1603" i="5"/>
  <c r="E1595" i="5"/>
  <c r="E1587" i="5"/>
  <c r="E1579" i="5"/>
  <c r="E1571" i="5"/>
  <c r="E1563" i="5"/>
  <c r="E1555" i="5"/>
  <c r="E1547" i="5"/>
  <c r="E1539" i="5"/>
  <c r="E1531" i="5"/>
  <c r="E1523" i="5"/>
  <c r="E1515" i="5"/>
  <c r="E1507" i="5"/>
  <c r="E1499" i="5"/>
  <c r="E1491" i="5"/>
  <c r="E1483" i="5"/>
  <c r="E1475" i="5"/>
  <c r="E1467" i="5"/>
  <c r="E1459" i="5"/>
  <c r="E1451" i="5"/>
  <c r="E1443" i="5"/>
  <c r="E1435" i="5"/>
  <c r="E1427" i="5"/>
  <c r="E1419" i="5"/>
  <c r="E1411" i="5"/>
  <c r="E1403" i="5"/>
  <c r="E1395" i="5"/>
  <c r="E1387" i="5"/>
  <c r="E1379" i="5"/>
  <c r="E1371" i="5"/>
  <c r="E1363" i="5"/>
  <c r="E1355" i="5"/>
  <c r="E1347" i="5"/>
  <c r="E1339" i="5"/>
  <c r="E1331" i="5"/>
  <c r="E1323" i="5"/>
  <c r="E1315" i="5"/>
  <c r="E1307" i="5"/>
  <c r="E1299" i="5"/>
  <c r="E1291" i="5"/>
  <c r="E1283" i="5"/>
  <c r="E1275" i="5"/>
  <c r="E1267" i="5"/>
  <c r="E1259" i="5"/>
  <c r="E1251" i="5"/>
  <c r="E1243" i="5"/>
  <c r="E1235" i="5"/>
  <c r="E1227" i="5"/>
  <c r="E1219" i="5"/>
  <c r="E1211" i="5"/>
  <c r="E1203" i="5"/>
  <c r="E1195" i="5"/>
  <c r="E1187" i="5"/>
  <c r="E1179" i="5"/>
  <c r="E1171" i="5"/>
  <c r="E1163" i="5"/>
  <c r="E1155" i="5"/>
  <c r="E1147" i="5"/>
  <c r="E1139" i="5"/>
  <c r="E1131" i="5"/>
  <c r="E1123" i="5"/>
  <c r="E1115" i="5"/>
  <c r="E1107" i="5"/>
  <c r="E1099" i="5"/>
  <c r="E1091" i="5"/>
  <c r="E1083" i="5"/>
  <c r="E1075" i="5"/>
  <c r="E1067" i="5"/>
  <c r="E1059" i="5"/>
  <c r="E1051" i="5"/>
  <c r="E1043" i="5"/>
  <c r="E1035" i="5"/>
  <c r="E1027" i="5"/>
  <c r="E1019" i="5"/>
  <c r="E1011" i="5"/>
  <c r="E1003" i="5"/>
  <c r="E995" i="5"/>
  <c r="E987" i="5"/>
  <c r="E979" i="5"/>
  <c r="E971" i="5"/>
  <c r="E963" i="5"/>
  <c r="E955" i="5"/>
  <c r="E947" i="5"/>
  <c r="E939" i="5"/>
  <c r="E931" i="5"/>
  <c r="E923" i="5"/>
  <c r="E915" i="5"/>
  <c r="E907" i="5"/>
  <c r="E899" i="5"/>
  <c r="E891" i="5"/>
  <c r="E883" i="5"/>
  <c r="E875" i="5"/>
  <c r="E867" i="5"/>
  <c r="E859" i="5"/>
  <c r="E851" i="5"/>
  <c r="E843" i="5"/>
  <c r="E835" i="5"/>
  <c r="E827" i="5"/>
  <c r="E819" i="5"/>
  <c r="E811" i="5"/>
  <c r="E803" i="5"/>
  <c r="E795" i="5"/>
  <c r="E787" i="5"/>
  <c r="E779" i="5"/>
  <c r="E771" i="5"/>
  <c r="E763" i="5"/>
  <c r="E755" i="5"/>
  <c r="E747" i="5"/>
  <c r="E739" i="5"/>
  <c r="E731" i="5"/>
  <c r="E723" i="5"/>
  <c r="E715" i="5"/>
  <c r="E707" i="5"/>
  <c r="E699" i="5"/>
  <c r="E691" i="5"/>
  <c r="E683" i="5"/>
  <c r="E675" i="5"/>
  <c r="E667" i="5"/>
  <c r="E659" i="5"/>
  <c r="E651" i="5"/>
  <c r="E643" i="5"/>
  <c r="E635" i="5"/>
  <c r="E627" i="5"/>
  <c r="E619" i="5"/>
  <c r="E611" i="5"/>
  <c r="E603" i="5"/>
  <c r="E595" i="5"/>
  <c r="E587" i="5"/>
  <c r="E579" i="5"/>
  <c r="E571" i="5"/>
  <c r="E563" i="5"/>
  <c r="E555" i="5"/>
  <c r="E547" i="5"/>
  <c r="E539" i="5"/>
  <c r="E531" i="5"/>
  <c r="E523" i="5"/>
  <c r="E515" i="5"/>
  <c r="E507" i="5"/>
  <c r="E499" i="5"/>
  <c r="E491" i="5"/>
  <c r="E483" i="5"/>
  <c r="E475" i="5"/>
  <c r="E467" i="5"/>
  <c r="E459" i="5"/>
  <c r="E451" i="5"/>
  <c r="E443" i="5"/>
  <c r="E435" i="5"/>
  <c r="E427" i="5"/>
  <c r="E419" i="5"/>
  <c r="E411" i="5"/>
  <c r="E403" i="5"/>
  <c r="E395" i="5"/>
  <c r="E387" i="5"/>
  <c r="E379" i="5"/>
  <c r="E371" i="5"/>
  <c r="E363" i="5"/>
  <c r="E355" i="5"/>
  <c r="E347" i="5"/>
  <c r="E339" i="5"/>
  <c r="E331" i="5"/>
  <c r="E323" i="5"/>
  <c r="E315" i="5"/>
  <c r="E307" i="5"/>
  <c r="E299" i="5"/>
  <c r="E291" i="5"/>
  <c r="E283" i="5"/>
  <c r="E275" i="5"/>
  <c r="E267" i="5"/>
  <c r="E259" i="5"/>
  <c r="E251" i="5"/>
  <c r="E243" i="5"/>
  <c r="E235" i="5"/>
  <c r="E227" i="5"/>
  <c r="E219" i="5"/>
  <c r="E211" i="5"/>
  <c r="E203" i="5"/>
  <c r="E195" i="5"/>
  <c r="E187" i="5"/>
  <c r="E179" i="5"/>
  <c r="E171" i="5"/>
  <c r="E163" i="5"/>
  <c r="E155" i="5"/>
  <c r="E147" i="5"/>
  <c r="E139" i="5"/>
  <c r="E131" i="5"/>
  <c r="E123" i="5"/>
  <c r="E115" i="5"/>
  <c r="E41347" i="5"/>
  <c r="E40843" i="5"/>
  <c r="E40433" i="5"/>
  <c r="E40024" i="5"/>
  <c r="E39614" i="5"/>
  <c r="E39214" i="5"/>
  <c r="E38943" i="5"/>
  <c r="E38687" i="5"/>
  <c r="E38431" i="5"/>
  <c r="E38175" i="5"/>
  <c r="E37919" i="5"/>
  <c r="E37663" i="5"/>
  <c r="E37407" i="5"/>
  <c r="E37151" i="5"/>
  <c r="E36895" i="5"/>
  <c r="E36639" i="5"/>
  <c r="E36383" i="5"/>
  <c r="E36127" i="5"/>
  <c r="E35871" i="5"/>
  <c r="E35615" i="5"/>
  <c r="E35359" i="5"/>
  <c r="E35103" i="5"/>
  <c r="E34847" i="5"/>
  <c r="E34591" i="5"/>
  <c r="E34335" i="5"/>
  <c r="E34079" i="5"/>
  <c r="E33823" i="5"/>
  <c r="E33567" i="5"/>
  <c r="E33311" i="5"/>
  <c r="E33055" i="5"/>
  <c r="E32799" i="5"/>
  <c r="E32543" i="5"/>
  <c r="E32287" i="5"/>
  <c r="E32031" i="5"/>
  <c r="E31775" i="5"/>
  <c r="E31519" i="5"/>
  <c r="E31263" i="5"/>
  <c r="E31007" i="5"/>
  <c r="E30751" i="5"/>
  <c r="E30495" i="5"/>
  <c r="E30239" i="5"/>
  <c r="E29983" i="5"/>
  <c r="E29727" i="5"/>
  <c r="E29471" i="5"/>
  <c r="E29215" i="5"/>
  <c r="E28959" i="5"/>
  <c r="E28703" i="5"/>
  <c r="E28447" i="5"/>
  <c r="E28191" i="5"/>
  <c r="E27935" i="5"/>
  <c r="E27679" i="5"/>
  <c r="E27423" i="5"/>
  <c r="E27167" i="5"/>
  <c r="E26911" i="5"/>
  <c r="E26655" i="5"/>
  <c r="E26399" i="5"/>
  <c r="E26143" i="5"/>
  <c r="E25887" i="5"/>
  <c r="E25631" i="5"/>
  <c r="E25495" i="5"/>
  <c r="E25367" i="5"/>
  <c r="E25239" i="5"/>
  <c r="E25111" i="5"/>
  <c r="E25026" i="5"/>
  <c r="E24941" i="5"/>
  <c r="E24867" i="5"/>
  <c r="E24803" i="5"/>
  <c r="E24739" i="5"/>
  <c r="E24675" i="5"/>
  <c r="E24611" i="5"/>
  <c r="E24547" i="5"/>
  <c r="E24483" i="5"/>
  <c r="E24421" i="5"/>
  <c r="E24371" i="5"/>
  <c r="E24319" i="5"/>
  <c r="E24268" i="5"/>
  <c r="E24218" i="5"/>
  <c r="E24165" i="5"/>
  <c r="E24115" i="5"/>
  <c r="E24063" i="5"/>
  <c r="E24012" i="5"/>
  <c r="E23962" i="5"/>
  <c r="E23919" i="5"/>
  <c r="E23876" i="5"/>
  <c r="E23834" i="5"/>
  <c r="E23791" i="5"/>
  <c r="E23748" i="5"/>
  <c r="E23711" i="5"/>
  <c r="E23675" i="5"/>
  <c r="E23640" i="5"/>
  <c r="E23608" i="5"/>
  <c r="E23576" i="5"/>
  <c r="E23544" i="5"/>
  <c r="E23512" i="5"/>
  <c r="E23480" i="5"/>
  <c r="E23448" i="5"/>
  <c r="E23416" i="5"/>
  <c r="E23384" i="5"/>
  <c r="E23352" i="5"/>
  <c r="E23320" i="5"/>
  <c r="E23288" i="5"/>
  <c r="E23256" i="5"/>
  <c r="E23224" i="5"/>
  <c r="E23192" i="5"/>
  <c r="E23160" i="5"/>
  <c r="E23128" i="5"/>
  <c r="E23096" i="5"/>
  <c r="E23064" i="5"/>
  <c r="E23032" i="5"/>
  <c r="E23000" i="5"/>
  <c r="E22968" i="5"/>
  <c r="E22936" i="5"/>
  <c r="E22904" i="5"/>
  <c r="E22872" i="5"/>
  <c r="E22840" i="5"/>
  <c r="E22808" i="5"/>
  <c r="E22776" i="5"/>
  <c r="E22744" i="5"/>
  <c r="E22712" i="5"/>
  <c r="E22680" i="5"/>
  <c r="E22648" i="5"/>
  <c r="E22616" i="5"/>
  <c r="E22584" i="5"/>
  <c r="E22552" i="5"/>
  <c r="E22520" i="5"/>
  <c r="E22488" i="5"/>
  <c r="E22456" i="5"/>
  <c r="E22424" i="5"/>
  <c r="E22392" i="5"/>
  <c r="E22360" i="5"/>
  <c r="E22328" i="5"/>
  <c r="E22296" i="5"/>
  <c r="E22264" i="5"/>
  <c r="E22232" i="5"/>
  <c r="E22200" i="5"/>
  <c r="E22168" i="5"/>
  <c r="E22136" i="5"/>
  <c r="E22104" i="5"/>
  <c r="E22072" i="5"/>
  <c r="E22040" i="5"/>
  <c r="E22008" i="5"/>
  <c r="E21976" i="5"/>
  <c r="E21944" i="5"/>
  <c r="E21912" i="5"/>
  <c r="E21880" i="5"/>
  <c r="E21848" i="5"/>
  <c r="E21816" i="5"/>
  <c r="E21784" i="5"/>
  <c r="E21752" i="5"/>
  <c r="E21720" i="5"/>
  <c r="E21688" i="5"/>
  <c r="E21656" i="5"/>
  <c r="E21624" i="5"/>
  <c r="E21592" i="5"/>
  <c r="E21560" i="5"/>
  <c r="E21528" i="5"/>
  <c r="E21496" i="5"/>
  <c r="E21464" i="5"/>
  <c r="E21432" i="5"/>
  <c r="E21400" i="5"/>
  <c r="E21368" i="5"/>
  <c r="E21336" i="5"/>
  <c r="E21304" i="5"/>
  <c r="E21272" i="5"/>
  <c r="E21240" i="5"/>
  <c r="E21208" i="5"/>
  <c r="E21176" i="5"/>
  <c r="E21144" i="5"/>
  <c r="E21112" i="5"/>
  <c r="E21080" i="5"/>
  <c r="E21048" i="5"/>
  <c r="E21016" i="5"/>
  <c r="E20984" i="5"/>
  <c r="E20952" i="5"/>
  <c r="E20920" i="5"/>
  <c r="E20888" i="5"/>
  <c r="E20856" i="5"/>
  <c r="E20824" i="5"/>
  <c r="E20792" i="5"/>
  <c r="E20760" i="5"/>
  <c r="E20728" i="5"/>
  <c r="E20696" i="5"/>
  <c r="E20664" i="5"/>
  <c r="E20632" i="5"/>
  <c r="E20600" i="5"/>
  <c r="E20568" i="5"/>
  <c r="E20536" i="5"/>
  <c r="E20504" i="5"/>
  <c r="E20472" i="5"/>
  <c r="E20440" i="5"/>
  <c r="E20408" i="5"/>
  <c r="E20376" i="5"/>
  <c r="E20344" i="5"/>
  <c r="E20312" i="5"/>
  <c r="E20280" i="5"/>
  <c r="E20248" i="5"/>
  <c r="E20216" i="5"/>
  <c r="E20184" i="5"/>
  <c r="E20152" i="5"/>
  <c r="E20120" i="5"/>
  <c r="E20088" i="5"/>
  <c r="E20056" i="5"/>
  <c r="E20024" i="5"/>
  <c r="E19992" i="5"/>
  <c r="E19960" i="5"/>
  <c r="E19928" i="5"/>
  <c r="E19896" i="5"/>
  <c r="E19864" i="5"/>
  <c r="E19832" i="5"/>
  <c r="E19800" i="5"/>
  <c r="E19768" i="5"/>
  <c r="E19736" i="5"/>
  <c r="E19704" i="5"/>
  <c r="E19672" i="5"/>
  <c r="E19640" i="5"/>
  <c r="E19608" i="5"/>
  <c r="E19576" i="5"/>
  <c r="E19544" i="5"/>
  <c r="E19512" i="5"/>
  <c r="E19480" i="5"/>
  <c r="E19448" i="5"/>
  <c r="E19416" i="5"/>
  <c r="E19384" i="5"/>
  <c r="E19352" i="5"/>
  <c r="E19320" i="5"/>
  <c r="E19288" i="5"/>
  <c r="E19256" i="5"/>
  <c r="E19224" i="5"/>
  <c r="E19192" i="5"/>
  <c r="E19160" i="5"/>
  <c r="E19128" i="5"/>
  <c r="E19096" i="5"/>
  <c r="E19064" i="5"/>
  <c r="E19032" i="5"/>
  <c r="E19000" i="5"/>
  <c r="E18968" i="5"/>
  <c r="E18936" i="5"/>
  <c r="E18904" i="5"/>
  <c r="E18872" i="5"/>
  <c r="E18840" i="5"/>
  <c r="E18808" i="5"/>
  <c r="E18776" i="5"/>
  <c r="E18744" i="5"/>
  <c r="E18712" i="5"/>
  <c r="E18680" i="5"/>
  <c r="E18648" i="5"/>
  <c r="E18616" i="5"/>
  <c r="E18584" i="5"/>
  <c r="E18552" i="5"/>
  <c r="E18520" i="5"/>
  <c r="E18488" i="5"/>
  <c r="E18456" i="5"/>
  <c r="E18424" i="5"/>
  <c r="E18392" i="5"/>
  <c r="E18360" i="5"/>
  <c r="E18328" i="5"/>
  <c r="E18296" i="5"/>
  <c r="E18264" i="5"/>
  <c r="E18232" i="5"/>
  <c r="E18200" i="5"/>
  <c r="E18168" i="5"/>
  <c r="E18136" i="5"/>
  <c r="E18104" i="5"/>
  <c r="E18072" i="5"/>
  <c r="E18040" i="5"/>
  <c r="E18008" i="5"/>
  <c r="E17976" i="5"/>
  <c r="E17944" i="5"/>
  <c r="E17912" i="5"/>
  <c r="E17880" i="5"/>
  <c r="E17848" i="5"/>
  <c r="E17816" i="5"/>
  <c r="E17784" i="5"/>
  <c r="E17752" i="5"/>
  <c r="E17720" i="5"/>
  <c r="E17688" i="5"/>
  <c r="E17656" i="5"/>
  <c r="E17624" i="5"/>
  <c r="E17592" i="5"/>
  <c r="E17560" i="5"/>
  <c r="E17528" i="5"/>
  <c r="E17496" i="5"/>
  <c r="E17464" i="5"/>
  <c r="E17432" i="5"/>
  <c r="E17400" i="5"/>
  <c r="E17368" i="5"/>
  <c r="E17336" i="5"/>
  <c r="E17304" i="5"/>
  <c r="E17272" i="5"/>
  <c r="E17240" i="5"/>
  <c r="E17208" i="5"/>
  <c r="E17176" i="5"/>
  <c r="E17144" i="5"/>
  <c r="E17112" i="5"/>
  <c r="E17080" i="5"/>
  <c r="E17048" i="5"/>
  <c r="E17016" i="5"/>
  <c r="E16984" i="5"/>
  <c r="E16952" i="5"/>
  <c r="E16920" i="5"/>
  <c r="E16888" i="5"/>
  <c r="E16856" i="5"/>
  <c r="E16824" i="5"/>
  <c r="E16792" i="5"/>
  <c r="E16760" i="5"/>
  <c r="E16728" i="5"/>
  <c r="E16696" i="5"/>
  <c r="E16664" i="5"/>
  <c r="E16632" i="5"/>
  <c r="E16600" i="5"/>
  <c r="E16568" i="5"/>
  <c r="E16536" i="5"/>
  <c r="E16504" i="5"/>
  <c r="E16472" i="5"/>
  <c r="E16440" i="5"/>
  <c r="E16408" i="5"/>
  <c r="E16376" i="5"/>
  <c r="E16344" i="5"/>
  <c r="E16312" i="5"/>
  <c r="E16280" i="5"/>
  <c r="E16248" i="5"/>
  <c r="E16216" i="5"/>
  <c r="E16184" i="5"/>
  <c r="E16152" i="5"/>
  <c r="E16120" i="5"/>
  <c r="E16088" i="5"/>
  <c r="E16056" i="5"/>
  <c r="E16024" i="5"/>
  <c r="E15992" i="5"/>
  <c r="E15960" i="5"/>
  <c r="E15928" i="5"/>
  <c r="E15896" i="5"/>
  <c r="E15864" i="5"/>
  <c r="E15832" i="5"/>
  <c r="E15800" i="5"/>
  <c r="E15768" i="5"/>
  <c r="E15736" i="5"/>
  <c r="E15704" i="5"/>
  <c r="E15672" i="5"/>
  <c r="E15640" i="5"/>
  <c r="E15608" i="5"/>
  <c r="E15576" i="5"/>
  <c r="E15544" i="5"/>
  <c r="E15512" i="5"/>
  <c r="E15480" i="5"/>
  <c r="E15448" i="5"/>
  <c r="E15416" i="5"/>
  <c r="E15384" i="5"/>
  <c r="E15352" i="5"/>
  <c r="E15320" i="5"/>
  <c r="E15288" i="5"/>
  <c r="E15256" i="5"/>
  <c r="E15224" i="5"/>
  <c r="E15192" i="5"/>
  <c r="E15160" i="5"/>
  <c r="E15128" i="5"/>
  <c r="E15096" i="5"/>
  <c r="E15064" i="5"/>
  <c r="E15032" i="5"/>
  <c r="E15000" i="5"/>
  <c r="E14968" i="5"/>
  <c r="E14936" i="5"/>
  <c r="E14904" i="5"/>
  <c r="E14872" i="5"/>
  <c r="E14840" i="5"/>
  <c r="E14808" i="5"/>
  <c r="E14776" i="5"/>
  <c r="E14744" i="5"/>
  <c r="E14712" i="5"/>
  <c r="E14680" i="5"/>
  <c r="E14648" i="5"/>
  <c r="E14616" i="5"/>
  <c r="E14584" i="5"/>
  <c r="E14552" i="5"/>
  <c r="E14520" i="5"/>
  <c r="E14488" i="5"/>
  <c r="E14456" i="5"/>
  <c r="E14424" i="5"/>
  <c r="E14392" i="5"/>
  <c r="E14360" i="5"/>
  <c r="E14328" i="5"/>
  <c r="E14296" i="5"/>
  <c r="E14264" i="5"/>
  <c r="E14232" i="5"/>
  <c r="E14200" i="5"/>
  <c r="E14168" i="5"/>
  <c r="E14136" i="5"/>
  <c r="E14104" i="5"/>
  <c r="E14072" i="5"/>
  <c r="E14040" i="5"/>
  <c r="E14008" i="5"/>
  <c r="E13976" i="5"/>
  <c r="E13944" i="5"/>
  <c r="E13912" i="5"/>
  <c r="E13880" i="5"/>
  <c r="E13848" i="5"/>
  <c r="E13816" i="5"/>
  <c r="E13784" i="5"/>
  <c r="E13752" i="5"/>
  <c r="E13720" i="5"/>
  <c r="E13688" i="5"/>
  <c r="E13656" i="5"/>
  <c r="E13624" i="5"/>
  <c r="E13592" i="5"/>
  <c r="E13560" i="5"/>
  <c r="E13528" i="5"/>
  <c r="E13496" i="5"/>
  <c r="E13464" i="5"/>
  <c r="E13432" i="5"/>
  <c r="E13400" i="5"/>
  <c r="E13368" i="5"/>
  <c r="E13336" i="5"/>
  <c r="E13304" i="5"/>
  <c r="E13272" i="5"/>
  <c r="E13240" i="5"/>
  <c r="E13208" i="5"/>
  <c r="E13176" i="5"/>
  <c r="E13144" i="5"/>
  <c r="E13112" i="5"/>
  <c r="E13080" i="5"/>
  <c r="E13048" i="5"/>
  <c r="E13016" i="5"/>
  <c r="E12984" i="5"/>
  <c r="E12952" i="5"/>
  <c r="E12920" i="5"/>
  <c r="E12888" i="5"/>
  <c r="E12856" i="5"/>
  <c r="E12824" i="5"/>
  <c r="E12792" i="5"/>
  <c r="E12760" i="5"/>
  <c r="E12728" i="5"/>
  <c r="E12696" i="5"/>
  <c r="E12664" i="5"/>
  <c r="E12632" i="5"/>
  <c r="E12600" i="5"/>
  <c r="E12568" i="5"/>
  <c r="E12536" i="5"/>
  <c r="E12504" i="5"/>
  <c r="E12472" i="5"/>
  <c r="E12440" i="5"/>
  <c r="E12408" i="5"/>
  <c r="E12376" i="5"/>
  <c r="E12344" i="5"/>
  <c r="E12312" i="5"/>
  <c r="E12280" i="5"/>
  <c r="E12248" i="5"/>
  <c r="E12216" i="5"/>
  <c r="E12184" i="5"/>
  <c r="E12152" i="5"/>
  <c r="E12120" i="5"/>
  <c r="E12088" i="5"/>
  <c r="E12056" i="5"/>
  <c r="E12024" i="5"/>
  <c r="E11992" i="5"/>
  <c r="E11960" i="5"/>
  <c r="E11928" i="5"/>
  <c r="E11896" i="5"/>
  <c r="E11864" i="5"/>
  <c r="E11832" i="5"/>
  <c r="E11800" i="5"/>
  <c r="E11768" i="5"/>
  <c r="E11736" i="5"/>
  <c r="E11704" i="5"/>
  <c r="E11672" i="5"/>
  <c r="E11640" i="5"/>
  <c r="E11608" i="5"/>
  <c r="E11576" i="5"/>
  <c r="E11544" i="5"/>
  <c r="E11512" i="5"/>
  <c r="E11480" i="5"/>
  <c r="E11448" i="5"/>
  <c r="E11416" i="5"/>
  <c r="E11384" i="5"/>
  <c r="E11352" i="5"/>
  <c r="E11320" i="5"/>
  <c r="E11288" i="5"/>
  <c r="E11256" i="5"/>
  <c r="E11224" i="5"/>
  <c r="E11192" i="5"/>
  <c r="E11160" i="5"/>
  <c r="E11128" i="5"/>
  <c r="E11096" i="5"/>
  <c r="E11064" i="5"/>
  <c r="E11032" i="5"/>
  <c r="E11000" i="5"/>
  <c r="E10968" i="5"/>
  <c r="E10936" i="5"/>
  <c r="E10904" i="5"/>
  <c r="E10872" i="5"/>
  <c r="E10840" i="5"/>
  <c r="E10808" i="5"/>
  <c r="E10776" i="5"/>
  <c r="E10744" i="5"/>
  <c r="E10712" i="5"/>
  <c r="E10680" i="5"/>
  <c r="E10648" i="5"/>
  <c r="E10616" i="5"/>
  <c r="E10584" i="5"/>
  <c r="E10552" i="5"/>
  <c r="E10520" i="5"/>
  <c r="E10488" i="5"/>
  <c r="E10456" i="5"/>
  <c r="E10424" i="5"/>
  <c r="E10392" i="5"/>
  <c r="E10360" i="5"/>
  <c r="E10328" i="5"/>
  <c r="E10296" i="5"/>
  <c r="E10264" i="5"/>
  <c r="E10232" i="5"/>
  <c r="E10200" i="5"/>
  <c r="E10168" i="5"/>
  <c r="E10136" i="5"/>
  <c r="E10104" i="5"/>
  <c r="E10072" i="5"/>
  <c r="E10040" i="5"/>
  <c r="E10008" i="5"/>
  <c r="E9976" i="5"/>
  <c r="E9944" i="5"/>
  <c r="E9912" i="5"/>
  <c r="E9880" i="5"/>
  <c r="E9848" i="5"/>
  <c r="E9816" i="5"/>
  <c r="E9784" i="5"/>
  <c r="E9752" i="5"/>
  <c r="E9720" i="5"/>
  <c r="E9688" i="5"/>
  <c r="E9656" i="5"/>
  <c r="E9624" i="5"/>
  <c r="E9592" i="5"/>
  <c r="E9560" i="5"/>
  <c r="E9528" i="5"/>
  <c r="E9496" i="5"/>
  <c r="E9464" i="5"/>
  <c r="E9432" i="5"/>
  <c r="E9400" i="5"/>
  <c r="E9368" i="5"/>
  <c r="E9336" i="5"/>
  <c r="E9304" i="5"/>
  <c r="E9272" i="5"/>
  <c r="E9240" i="5"/>
  <c r="E9208" i="5"/>
  <c r="E9176" i="5"/>
  <c r="E9144" i="5"/>
  <c r="E9112" i="5"/>
  <c r="E9080" i="5"/>
  <c r="E9048" i="5"/>
  <c r="E9016" i="5"/>
  <c r="E8984" i="5"/>
  <c r="E8952" i="5"/>
  <c r="E8920" i="5"/>
  <c r="E8888" i="5"/>
  <c r="E8856" i="5"/>
  <c r="E8824" i="5"/>
  <c r="E8792" i="5"/>
  <c r="E8760" i="5"/>
  <c r="E8728" i="5"/>
  <c r="E8696" i="5"/>
  <c r="E8664" i="5"/>
  <c r="E8632" i="5"/>
  <c r="E8600" i="5"/>
  <c r="E8568" i="5"/>
  <c r="E8536" i="5"/>
  <c r="E8504" i="5"/>
  <c r="E8472" i="5"/>
  <c r="E8440" i="5"/>
  <c r="E8408" i="5"/>
  <c r="E8376" i="5"/>
  <c r="E8344" i="5"/>
  <c r="E8312" i="5"/>
  <c r="E8280" i="5"/>
  <c r="E8248" i="5"/>
  <c r="E8216" i="5"/>
  <c r="E8184" i="5"/>
  <c r="E8152" i="5"/>
  <c r="E8120" i="5"/>
  <c r="E8088" i="5"/>
  <c r="E8056" i="5"/>
  <c r="E8024" i="5"/>
  <c r="E7992" i="5"/>
  <c r="E7960" i="5"/>
  <c r="E7928" i="5"/>
  <c r="E7896" i="5"/>
  <c r="E7864" i="5"/>
  <c r="E7832" i="5"/>
  <c r="E7800" i="5"/>
  <c r="E7768" i="5"/>
  <c r="E7736" i="5"/>
  <c r="E7704" i="5"/>
  <c r="E7672" i="5"/>
  <c r="E7640" i="5"/>
  <c r="E7608" i="5"/>
  <c r="E7576" i="5"/>
  <c r="E7544" i="5"/>
  <c r="E7512" i="5"/>
  <c r="E7480" i="5"/>
  <c r="E7448" i="5"/>
  <c r="E7416" i="5"/>
  <c r="E7384" i="5"/>
  <c r="E7352" i="5"/>
  <c r="E7320" i="5"/>
  <c r="E7288" i="5"/>
  <c r="E7256" i="5"/>
  <c r="E7224" i="5"/>
  <c r="E7192" i="5"/>
  <c r="E7160" i="5"/>
  <c r="E7128" i="5"/>
  <c r="E7096" i="5"/>
  <c r="E7064" i="5"/>
  <c r="E7032" i="5"/>
  <c r="E7000" i="5"/>
  <c r="E6968" i="5"/>
  <c r="E6936" i="5"/>
  <c r="E6904" i="5"/>
  <c r="E6872" i="5"/>
  <c r="E6840" i="5"/>
  <c r="E6808" i="5"/>
  <c r="E6776" i="5"/>
  <c r="E6744" i="5"/>
  <c r="E6712" i="5"/>
  <c r="E6680" i="5"/>
  <c r="E6648" i="5"/>
  <c r="E6616" i="5"/>
  <c r="E6584" i="5"/>
  <c r="E6552" i="5"/>
  <c r="E6520" i="5"/>
  <c r="E6488" i="5"/>
  <c r="E6456" i="5"/>
  <c r="E6424" i="5"/>
  <c r="E6392" i="5"/>
  <c r="E6360" i="5"/>
  <c r="E6328" i="5"/>
  <c r="E6296" i="5"/>
  <c r="E6264" i="5"/>
  <c r="E6232" i="5"/>
  <c r="E6200" i="5"/>
  <c r="E6168" i="5"/>
  <c r="E6136" i="5"/>
  <c r="E6104" i="5"/>
  <c r="E6072" i="5"/>
  <c r="E6040" i="5"/>
  <c r="E6008" i="5"/>
  <c r="E5976" i="5"/>
  <c r="E5944" i="5"/>
  <c r="E5912" i="5"/>
  <c r="E5880" i="5"/>
  <c r="E5848" i="5"/>
  <c r="E5816" i="5"/>
  <c r="E5784" i="5"/>
  <c r="E5752" i="5"/>
  <c r="E5720" i="5"/>
  <c r="E5688" i="5"/>
  <c r="E5661" i="5"/>
  <c r="E5640" i="5"/>
  <c r="E5618" i="5"/>
  <c r="E5597" i="5"/>
  <c r="E5576" i="5"/>
  <c r="E5554" i="5"/>
  <c r="E5533" i="5"/>
  <c r="E5512" i="5"/>
  <c r="E5490" i="5"/>
  <c r="E5469" i="5"/>
  <c r="E5448" i="5"/>
  <c r="E5426" i="5"/>
  <c r="E5405" i="5"/>
  <c r="E5384" i="5"/>
  <c r="E5362" i="5"/>
  <c r="E5341" i="5"/>
  <c r="E5320" i="5"/>
  <c r="E5302" i="5"/>
  <c r="E5286" i="5"/>
  <c r="E5272" i="5"/>
  <c r="E5262" i="5"/>
  <c r="E5253" i="5"/>
  <c r="E5244" i="5"/>
  <c r="E5234" i="5"/>
  <c r="E5225" i="5"/>
  <c r="E5216" i="5"/>
  <c r="E5207" i="5"/>
  <c r="E5198" i="5"/>
  <c r="E5189" i="5"/>
  <c r="E5180" i="5"/>
  <c r="E5170" i="5"/>
  <c r="E5162" i="5"/>
  <c r="E5154" i="5"/>
  <c r="E5146" i="5"/>
  <c r="E5138" i="5"/>
  <c r="E5130" i="5"/>
  <c r="E5122" i="5"/>
  <c r="E5114" i="5"/>
  <c r="E5106" i="5"/>
  <c r="E5098" i="5"/>
  <c r="E5090" i="5"/>
  <c r="E5082" i="5"/>
  <c r="E5074" i="5"/>
  <c r="E5066" i="5"/>
  <c r="E5058" i="5"/>
  <c r="E5050" i="5"/>
  <c r="E5042" i="5"/>
  <c r="E5034" i="5"/>
  <c r="E5026" i="5"/>
  <c r="E5018" i="5"/>
  <c r="E5010" i="5"/>
  <c r="E5002" i="5"/>
  <c r="E4994" i="5"/>
  <c r="E4986" i="5"/>
  <c r="E4978" i="5"/>
  <c r="E4970" i="5"/>
  <c r="E4962" i="5"/>
  <c r="E4954" i="5"/>
  <c r="E4946" i="5"/>
  <c r="E4938" i="5"/>
  <c r="E4930" i="5"/>
  <c r="E4922" i="5"/>
  <c r="E4914" i="5"/>
  <c r="E4906" i="5"/>
  <c r="E4898" i="5"/>
  <c r="E4890" i="5"/>
  <c r="E4882" i="5"/>
  <c r="E4874" i="5"/>
  <c r="E4866" i="5"/>
  <c r="E4858" i="5"/>
  <c r="E4850" i="5"/>
  <c r="E4842" i="5"/>
  <c r="E4834" i="5"/>
  <c r="E4826" i="5"/>
  <c r="E4818" i="5"/>
  <c r="E4810" i="5"/>
  <c r="E4802" i="5"/>
  <c r="E4794" i="5"/>
  <c r="E4786" i="5"/>
  <c r="E4778" i="5"/>
  <c r="E4770" i="5"/>
  <c r="E4762" i="5"/>
  <c r="E4754" i="5"/>
  <c r="E4746" i="5"/>
  <c r="E4738" i="5"/>
  <c r="E4730" i="5"/>
  <c r="E4722" i="5"/>
  <c r="E4714" i="5"/>
  <c r="E4706" i="5"/>
  <c r="E4698" i="5"/>
  <c r="E4690" i="5"/>
  <c r="E4682" i="5"/>
  <c r="E4674" i="5"/>
  <c r="E4666" i="5"/>
  <c r="E4658" i="5"/>
  <c r="E4650" i="5"/>
  <c r="E4642" i="5"/>
  <c r="E4634" i="5"/>
  <c r="E4626" i="5"/>
  <c r="E4618" i="5"/>
  <c r="E4610" i="5"/>
  <c r="E4602" i="5"/>
  <c r="E4594" i="5"/>
  <c r="E4586" i="5"/>
  <c r="E4578" i="5"/>
  <c r="E4570" i="5"/>
  <c r="E4562" i="5"/>
  <c r="E4554" i="5"/>
  <c r="E4546" i="5"/>
  <c r="E4538" i="5"/>
  <c r="E4530" i="5"/>
  <c r="E4522" i="5"/>
  <c r="E4514" i="5"/>
  <c r="E4506" i="5"/>
  <c r="E4498" i="5"/>
  <c r="E4490" i="5"/>
  <c r="E4482" i="5"/>
  <c r="E4474" i="5"/>
  <c r="E4466" i="5"/>
  <c r="E4458" i="5"/>
  <c r="E4450" i="5"/>
  <c r="E4442" i="5"/>
  <c r="E4434" i="5"/>
  <c r="E4426" i="5"/>
  <c r="E4418" i="5"/>
  <c r="E4410" i="5"/>
  <c r="E4402" i="5"/>
  <c r="E4394" i="5"/>
  <c r="E4386" i="5"/>
  <c r="E4378" i="5"/>
  <c r="E4370" i="5"/>
  <c r="E4362" i="5"/>
  <c r="E4354" i="5"/>
  <c r="E4346" i="5"/>
  <c r="E4338" i="5"/>
  <c r="E4330" i="5"/>
  <c r="E4322" i="5"/>
  <c r="E4314" i="5"/>
  <c r="E4306" i="5"/>
  <c r="E4298" i="5"/>
  <c r="E4290" i="5"/>
  <c r="E4282" i="5"/>
  <c r="E4274" i="5"/>
  <c r="E4266" i="5"/>
  <c r="E4258" i="5"/>
  <c r="E4250" i="5"/>
  <c r="E4242" i="5"/>
  <c r="E4234" i="5"/>
  <c r="E4226" i="5"/>
  <c r="E4218" i="5"/>
  <c r="E4210" i="5"/>
  <c r="E4202" i="5"/>
  <c r="E4194" i="5"/>
  <c r="E4186" i="5"/>
  <c r="E4178" i="5"/>
  <c r="E4170" i="5"/>
  <c r="E4162" i="5"/>
  <c r="E4154" i="5"/>
  <c r="E4146" i="5"/>
  <c r="E4138" i="5"/>
  <c r="E4130" i="5"/>
  <c r="E4122" i="5"/>
  <c r="E4114" i="5"/>
  <c r="E4106" i="5"/>
  <c r="E4098" i="5"/>
  <c r="E4090" i="5"/>
  <c r="E4082" i="5"/>
  <c r="E4074" i="5"/>
  <c r="E4066" i="5"/>
  <c r="E4058" i="5"/>
  <c r="E4050" i="5"/>
  <c r="E4042" i="5"/>
  <c r="E4034" i="5"/>
  <c r="E4026" i="5"/>
  <c r="E4018" i="5"/>
  <c r="E4010" i="5"/>
  <c r="E4002" i="5"/>
  <c r="E3994" i="5"/>
  <c r="E3986" i="5"/>
  <c r="E3978" i="5"/>
  <c r="E3970" i="5"/>
  <c r="E3962" i="5"/>
  <c r="E3954" i="5"/>
  <c r="E3946" i="5"/>
  <c r="E3938" i="5"/>
  <c r="E3930" i="5"/>
  <c r="E3922" i="5"/>
  <c r="E3914" i="5"/>
  <c r="E3906" i="5"/>
  <c r="E3898" i="5"/>
  <c r="E3890" i="5"/>
  <c r="E3882" i="5"/>
  <c r="E3874" i="5"/>
  <c r="E3866" i="5"/>
  <c r="E3858" i="5"/>
  <c r="E3850" i="5"/>
  <c r="E3842" i="5"/>
  <c r="E3834" i="5"/>
  <c r="E3826" i="5"/>
  <c r="E3818" i="5"/>
  <c r="E3810" i="5"/>
  <c r="E3802" i="5"/>
  <c r="E3794" i="5"/>
  <c r="E3786" i="5"/>
  <c r="E3778" i="5"/>
  <c r="E3770" i="5"/>
  <c r="E3762" i="5"/>
  <c r="E3754" i="5"/>
  <c r="E3746" i="5"/>
  <c r="E3738" i="5"/>
  <c r="E3730" i="5"/>
  <c r="E3722" i="5"/>
  <c r="E3714" i="5"/>
  <c r="E3706" i="5"/>
  <c r="E3698" i="5"/>
  <c r="E3690" i="5"/>
  <c r="E3682" i="5"/>
  <c r="E3674" i="5"/>
  <c r="E3666" i="5"/>
  <c r="E3658" i="5"/>
  <c r="E3650" i="5"/>
  <c r="E3642" i="5"/>
  <c r="E3634" i="5"/>
  <c r="E3626" i="5"/>
  <c r="E3618" i="5"/>
  <c r="E3610" i="5"/>
  <c r="E3602" i="5"/>
  <c r="E3594" i="5"/>
  <c r="E3586" i="5"/>
  <c r="E3578" i="5"/>
  <c r="E3570" i="5"/>
  <c r="E3562" i="5"/>
  <c r="E3554" i="5"/>
  <c r="E3546" i="5"/>
  <c r="E3538" i="5"/>
  <c r="E3530" i="5"/>
  <c r="E3522" i="5"/>
  <c r="E3514" i="5"/>
  <c r="E3506" i="5"/>
  <c r="E3498" i="5"/>
  <c r="E3490" i="5"/>
  <c r="E3482" i="5"/>
  <c r="E3474" i="5"/>
  <c r="E3466" i="5"/>
  <c r="E3458" i="5"/>
  <c r="E3450" i="5"/>
  <c r="E3442" i="5"/>
  <c r="E3434" i="5"/>
  <c r="E3426" i="5"/>
  <c r="E3418" i="5"/>
  <c r="E3410" i="5"/>
  <c r="E3402" i="5"/>
  <c r="E3394" i="5"/>
  <c r="E3386" i="5"/>
  <c r="E3378" i="5"/>
  <c r="E3370" i="5"/>
  <c r="E3362" i="5"/>
  <c r="E3354" i="5"/>
  <c r="E3346" i="5"/>
  <c r="E3338" i="5"/>
  <c r="E3330" i="5"/>
  <c r="E3322" i="5"/>
  <c r="E3314" i="5"/>
  <c r="E3306" i="5"/>
  <c r="E3298" i="5"/>
  <c r="E3290" i="5"/>
  <c r="E3282" i="5"/>
  <c r="E3274" i="5"/>
  <c r="E3266" i="5"/>
  <c r="E3258" i="5"/>
  <c r="E3250" i="5"/>
  <c r="E3242" i="5"/>
  <c r="E3234" i="5"/>
  <c r="E3226" i="5"/>
  <c r="E3218" i="5"/>
  <c r="E3210" i="5"/>
  <c r="E3202" i="5"/>
  <c r="E3194" i="5"/>
  <c r="E3186" i="5"/>
  <c r="E3178" i="5"/>
  <c r="E3170" i="5"/>
  <c r="E3162" i="5"/>
  <c r="E3154" i="5"/>
  <c r="E3146" i="5"/>
  <c r="E3138" i="5"/>
  <c r="E3130" i="5"/>
  <c r="E3122" i="5"/>
  <c r="E3114" i="5"/>
  <c r="E3106" i="5"/>
  <c r="E3098" i="5"/>
  <c r="E3090" i="5"/>
  <c r="E3082" i="5"/>
  <c r="E3074" i="5"/>
  <c r="E3066" i="5"/>
  <c r="E3058" i="5"/>
  <c r="E3050" i="5"/>
  <c r="E3042" i="5"/>
  <c r="E3034" i="5"/>
  <c r="E3026" i="5"/>
  <c r="E3018" i="5"/>
  <c r="E3010" i="5"/>
  <c r="E3002" i="5"/>
  <c r="E2994" i="5"/>
  <c r="E2986" i="5"/>
  <c r="E2978" i="5"/>
  <c r="E2970" i="5"/>
  <c r="E2962" i="5"/>
  <c r="E2954" i="5"/>
  <c r="E2946" i="5"/>
  <c r="E2938" i="5"/>
  <c r="E2930" i="5"/>
  <c r="E2922" i="5"/>
  <c r="E2914" i="5"/>
  <c r="E2906" i="5"/>
  <c r="E2898" i="5"/>
  <c r="E2890" i="5"/>
  <c r="E2882" i="5"/>
  <c r="E2874" i="5"/>
  <c r="E2866" i="5"/>
  <c r="E2858" i="5"/>
  <c r="E2850" i="5"/>
  <c r="E2842" i="5"/>
  <c r="E2834" i="5"/>
  <c r="E2826" i="5"/>
  <c r="E2818" i="5"/>
  <c r="E2810" i="5"/>
  <c r="E2802" i="5"/>
  <c r="E2794" i="5"/>
  <c r="E2786" i="5"/>
  <c r="E2778" i="5"/>
  <c r="E2770" i="5"/>
  <c r="E2762" i="5"/>
  <c r="E2754" i="5"/>
  <c r="E2746" i="5"/>
  <c r="E2738" i="5"/>
  <c r="E2730" i="5"/>
  <c r="E2722" i="5"/>
  <c r="E2714" i="5"/>
  <c r="E2706" i="5"/>
  <c r="E2698" i="5"/>
  <c r="E2690" i="5"/>
  <c r="E2682" i="5"/>
  <c r="E2674" i="5"/>
  <c r="E2666" i="5"/>
  <c r="E2658" i="5"/>
  <c r="E2650" i="5"/>
  <c r="E2642" i="5"/>
  <c r="E2634" i="5"/>
  <c r="E2626" i="5"/>
  <c r="E2618" i="5"/>
  <c r="E2610" i="5"/>
  <c r="E2602" i="5"/>
  <c r="E2594" i="5"/>
  <c r="E2586" i="5"/>
  <c r="E2578" i="5"/>
  <c r="E2570" i="5"/>
  <c r="E2562" i="5"/>
  <c r="E2554" i="5"/>
  <c r="E2546" i="5"/>
  <c r="E2538" i="5"/>
  <c r="E2530" i="5"/>
  <c r="E2522" i="5"/>
  <c r="E2514" i="5"/>
  <c r="E2506" i="5"/>
  <c r="E2498" i="5"/>
  <c r="E2490" i="5"/>
  <c r="E2482" i="5"/>
  <c r="E2474" i="5"/>
  <c r="E2466" i="5"/>
  <c r="E2458" i="5"/>
  <c r="E2450" i="5"/>
  <c r="E2442" i="5"/>
  <c r="E2434" i="5"/>
  <c r="E2426" i="5"/>
  <c r="E2418" i="5"/>
  <c r="E2410" i="5"/>
  <c r="E2402" i="5"/>
  <c r="E2394" i="5"/>
  <c r="E2386" i="5"/>
  <c r="E2378" i="5"/>
  <c r="E2370" i="5"/>
  <c r="E2362" i="5"/>
  <c r="E2354" i="5"/>
  <c r="E2346" i="5"/>
  <c r="E2338" i="5"/>
  <c r="E2330" i="5"/>
  <c r="E2322" i="5"/>
  <c r="E2314" i="5"/>
  <c r="E2306" i="5"/>
  <c r="E2298" i="5"/>
  <c r="E2290" i="5"/>
  <c r="E2282" i="5"/>
  <c r="E2274" i="5"/>
  <c r="E2266" i="5"/>
  <c r="E2258" i="5"/>
  <c r="E2250" i="5"/>
  <c r="E2242" i="5"/>
  <c r="E2234" i="5"/>
  <c r="E2226" i="5"/>
  <c r="E2218" i="5"/>
  <c r="E2210" i="5"/>
  <c r="E2202" i="5"/>
  <c r="E2194" i="5"/>
  <c r="E2186" i="5"/>
  <c r="E2178" i="5"/>
  <c r="E2170" i="5"/>
  <c r="E2162" i="5"/>
  <c r="E2154" i="5"/>
  <c r="E2146" i="5"/>
  <c r="E2138" i="5"/>
  <c r="E2130" i="5"/>
  <c r="E2122" i="5"/>
  <c r="E2114" i="5"/>
  <c r="E2106" i="5"/>
  <c r="E2098" i="5"/>
  <c r="E2090" i="5"/>
  <c r="E2082" i="5"/>
  <c r="E2074" i="5"/>
  <c r="E2066" i="5"/>
  <c r="E2058" i="5"/>
  <c r="E2050" i="5"/>
  <c r="E2042" i="5"/>
  <c r="E2034" i="5"/>
  <c r="E2026" i="5"/>
  <c r="E2018" i="5"/>
  <c r="E2010" i="5"/>
  <c r="E2002" i="5"/>
  <c r="E1994" i="5"/>
  <c r="E1986" i="5"/>
  <c r="E1978" i="5"/>
  <c r="E1970" i="5"/>
  <c r="E1962" i="5"/>
  <c r="E1954" i="5"/>
  <c r="E1946" i="5"/>
  <c r="E1938" i="5"/>
  <c r="E1930" i="5"/>
  <c r="E1922" i="5"/>
  <c r="E1914" i="5"/>
  <c r="E1906" i="5"/>
  <c r="E1898" i="5"/>
  <c r="E1890" i="5"/>
  <c r="E1882" i="5"/>
  <c r="E1874" i="5"/>
  <c r="E1866" i="5"/>
  <c r="E1858" i="5"/>
  <c r="E1850" i="5"/>
  <c r="E1842" i="5"/>
  <c r="E1834" i="5"/>
  <c r="E1826" i="5"/>
  <c r="E1818" i="5"/>
  <c r="E1810" i="5"/>
  <c r="E1802" i="5"/>
  <c r="E1794" i="5"/>
  <c r="E1786" i="5"/>
  <c r="E1778" i="5"/>
  <c r="E1770" i="5"/>
  <c r="E1762" i="5"/>
  <c r="E1754" i="5"/>
  <c r="E1746" i="5"/>
  <c r="E1738" i="5"/>
  <c r="E1730" i="5"/>
  <c r="E1722" i="5"/>
  <c r="E1714" i="5"/>
  <c r="E1706" i="5"/>
  <c r="E1698" i="5"/>
  <c r="E1690" i="5"/>
  <c r="E1682" i="5"/>
  <c r="E1674" i="5"/>
  <c r="E1666" i="5"/>
  <c r="E1658" i="5"/>
  <c r="E1650" i="5"/>
  <c r="E1642" i="5"/>
  <c r="E1634" i="5"/>
  <c r="E1626" i="5"/>
  <c r="E1618" i="5"/>
  <c r="E1610" i="5"/>
  <c r="E1602" i="5"/>
  <c r="E1594" i="5"/>
  <c r="E1586" i="5"/>
  <c r="E1578" i="5"/>
  <c r="E1570" i="5"/>
  <c r="E1562" i="5"/>
  <c r="E1554" i="5"/>
  <c r="E1546" i="5"/>
  <c r="E1538" i="5"/>
  <c r="E1530" i="5"/>
  <c r="E1522" i="5"/>
  <c r="E1514" i="5"/>
  <c r="E1506" i="5"/>
  <c r="E1498" i="5"/>
  <c r="E1490" i="5"/>
  <c r="E1482" i="5"/>
  <c r="E1474" i="5"/>
  <c r="E1466" i="5"/>
  <c r="E1458" i="5"/>
  <c r="E1450" i="5"/>
  <c r="E1442" i="5"/>
  <c r="E1434" i="5"/>
  <c r="E1426" i="5"/>
  <c r="E1418" i="5"/>
  <c r="E1410" i="5"/>
  <c r="E1402" i="5"/>
  <c r="E1394" i="5"/>
  <c r="E1386" i="5"/>
  <c r="E1378" i="5"/>
  <c r="E1370" i="5"/>
  <c r="E1362" i="5"/>
  <c r="E1354" i="5"/>
  <c r="E1346" i="5"/>
  <c r="E1338" i="5"/>
  <c r="E1330" i="5"/>
  <c r="E1322" i="5"/>
  <c r="E1314" i="5"/>
  <c r="E1306" i="5"/>
  <c r="E1298" i="5"/>
  <c r="E1290" i="5"/>
  <c r="E1282" i="5"/>
  <c r="E1274" i="5"/>
  <c r="E1266" i="5"/>
  <c r="E1258" i="5"/>
  <c r="E1250" i="5"/>
  <c r="E1242" i="5"/>
  <c r="E1234" i="5"/>
  <c r="E1226" i="5"/>
  <c r="E1218" i="5"/>
  <c r="E1210" i="5"/>
  <c r="E1202" i="5"/>
  <c r="E1194" i="5"/>
  <c r="E1186" i="5"/>
  <c r="E1178" i="5"/>
  <c r="E1170" i="5"/>
  <c r="E1162" i="5"/>
  <c r="E1154" i="5"/>
  <c r="E1146" i="5"/>
  <c r="E1138" i="5"/>
  <c r="E1130" i="5"/>
  <c r="E1122" i="5"/>
  <c r="E1114" i="5"/>
  <c r="E1106" i="5"/>
  <c r="E1098" i="5"/>
  <c r="E1090" i="5"/>
  <c r="E1082" i="5"/>
  <c r="E1074" i="5"/>
  <c r="E1066" i="5"/>
  <c r="E1058" i="5"/>
  <c r="E1050" i="5"/>
  <c r="E1042" i="5"/>
  <c r="E1034" i="5"/>
  <c r="E1026" i="5"/>
  <c r="E1018" i="5"/>
  <c r="E1010" i="5"/>
  <c r="E1002" i="5"/>
  <c r="E994" i="5"/>
  <c r="E986" i="5"/>
  <c r="E978" i="5"/>
  <c r="E970" i="5"/>
  <c r="E962" i="5"/>
  <c r="E954" i="5"/>
  <c r="E946" i="5"/>
  <c r="E938" i="5"/>
  <c r="E930" i="5"/>
  <c r="E922" i="5"/>
  <c r="E914" i="5"/>
  <c r="E906" i="5"/>
  <c r="E898" i="5"/>
  <c r="E890" i="5"/>
  <c r="E882" i="5"/>
  <c r="E874" i="5"/>
  <c r="E866" i="5"/>
  <c r="E858" i="5"/>
  <c r="E850" i="5"/>
  <c r="E842" i="5"/>
  <c r="E834" i="5"/>
  <c r="E826" i="5"/>
  <c r="E818" i="5"/>
  <c r="E810" i="5"/>
  <c r="E802" i="5"/>
  <c r="E794" i="5"/>
  <c r="E786" i="5"/>
  <c r="E778" i="5"/>
  <c r="E770" i="5"/>
  <c r="E762" i="5"/>
  <c r="E754" i="5"/>
  <c r="E746" i="5"/>
  <c r="E738" i="5"/>
  <c r="E730" i="5"/>
  <c r="E722" i="5"/>
  <c r="E714" i="5"/>
  <c r="E706" i="5"/>
  <c r="E698" i="5"/>
  <c r="E690" i="5"/>
  <c r="E682" i="5"/>
  <c r="E674" i="5"/>
  <c r="E666" i="5"/>
  <c r="E658" i="5"/>
  <c r="E650" i="5"/>
  <c r="E642" i="5"/>
  <c r="E634" i="5"/>
  <c r="E626" i="5"/>
  <c r="E618" i="5"/>
  <c r="E610" i="5"/>
  <c r="E602" i="5"/>
  <c r="E594" i="5"/>
  <c r="E586" i="5"/>
  <c r="E578" i="5"/>
  <c r="E570" i="5"/>
  <c r="E562" i="5"/>
  <c r="E554" i="5"/>
  <c r="E546" i="5"/>
  <c r="E538" i="5"/>
  <c r="E530" i="5"/>
  <c r="E522" i="5"/>
  <c r="E514" i="5"/>
  <c r="E506" i="5"/>
  <c r="E498" i="5"/>
  <c r="E490" i="5"/>
  <c r="E482" i="5"/>
  <c r="E474" i="5"/>
  <c r="E466" i="5"/>
  <c r="E458" i="5"/>
  <c r="E450" i="5"/>
  <c r="E442" i="5"/>
  <c r="E434" i="5"/>
  <c r="E426" i="5"/>
  <c r="E418" i="5"/>
  <c r="E410" i="5"/>
  <c r="E402" i="5"/>
  <c r="E394" i="5"/>
  <c r="E386" i="5"/>
  <c r="E378" i="5"/>
  <c r="E370" i="5"/>
  <c r="E362" i="5"/>
  <c r="E354" i="5"/>
  <c r="E346" i="5"/>
  <c r="E338" i="5"/>
  <c r="E330" i="5"/>
  <c r="E322" i="5"/>
  <c r="E314" i="5"/>
  <c r="E306" i="5"/>
  <c r="E298" i="5"/>
  <c r="E290" i="5"/>
  <c r="E282" i="5"/>
  <c r="E274" i="5"/>
  <c r="E266" i="5"/>
  <c r="E258" i="5"/>
  <c r="E250" i="5"/>
  <c r="E242" i="5"/>
  <c r="E234" i="5"/>
  <c r="E226" i="5"/>
  <c r="E218" i="5"/>
  <c r="E210" i="5"/>
  <c r="E202" i="5"/>
  <c r="E194" i="5"/>
  <c r="E186" i="5"/>
  <c r="E178" i="5"/>
  <c r="E170" i="5"/>
  <c r="E162" i="5"/>
  <c r="E154" i="5"/>
  <c r="E146" i="5"/>
  <c r="E138" i="5"/>
  <c r="E130" i="5"/>
  <c r="E122" i="5"/>
  <c r="E114" i="5"/>
  <c r="E41251" i="5"/>
  <c r="E40766" i="5"/>
  <c r="E40356" i="5"/>
  <c r="E39947" i="5"/>
  <c r="E39537" i="5"/>
  <c r="E39151" i="5"/>
  <c r="E38895" i="5"/>
  <c r="E38639" i="5"/>
  <c r="E38383" i="5"/>
  <c r="E38127" i="5"/>
  <c r="E37871" i="5"/>
  <c r="E37615" i="5"/>
  <c r="E37359" i="5"/>
  <c r="E37103" i="5"/>
  <c r="E36847" i="5"/>
  <c r="E36591" i="5"/>
  <c r="E36335" i="5"/>
  <c r="E36079" i="5"/>
  <c r="E35823" i="5"/>
  <c r="E35567" i="5"/>
  <c r="E35311" i="5"/>
  <c r="E35055" i="5"/>
  <c r="E34799" i="5"/>
  <c r="E34543" i="5"/>
  <c r="E34287" i="5"/>
  <c r="E34031" i="5"/>
  <c r="E33775" i="5"/>
  <c r="E33519" i="5"/>
  <c r="E33263" i="5"/>
  <c r="E33007" i="5"/>
  <c r="E32751" i="5"/>
  <c r="E32495" i="5"/>
  <c r="E32239" i="5"/>
  <c r="E31983" i="5"/>
  <c r="E31727" i="5"/>
  <c r="E31471" i="5"/>
  <c r="E31215" i="5"/>
  <c r="E30959" i="5"/>
  <c r="E30703" i="5"/>
  <c r="E30447" i="5"/>
  <c r="E30191" i="5"/>
  <c r="E29935" i="5"/>
  <c r="E29679" i="5"/>
  <c r="E29423" i="5"/>
  <c r="E29167" i="5"/>
  <c r="E28911" i="5"/>
  <c r="E28655" i="5"/>
  <c r="E28399" i="5"/>
  <c r="E28143" i="5"/>
  <c r="E27887" i="5"/>
  <c r="E27631" i="5"/>
  <c r="E27375" i="5"/>
  <c r="E27119" i="5"/>
  <c r="E26863" i="5"/>
  <c r="E26607" i="5"/>
  <c r="E26351" i="5"/>
  <c r="E26095" i="5"/>
  <c r="E25839" i="5"/>
  <c r="E25599" i="5"/>
  <c r="E25471" i="5"/>
  <c r="E25343" i="5"/>
  <c r="E25215" i="5"/>
  <c r="E25095" i="5"/>
  <c r="E25010" i="5"/>
  <c r="E24925" i="5"/>
  <c r="E24855" i="5"/>
  <c r="E24791" i="5"/>
  <c r="E24727" i="5"/>
  <c r="E24663" i="5"/>
  <c r="E24599" i="5"/>
  <c r="E24535" i="5"/>
  <c r="E24471" i="5"/>
  <c r="E24412" i="5"/>
  <c r="E24362" i="5"/>
  <c r="E24309" i="5"/>
  <c r="E24259" i="5"/>
  <c r="E24207" i="5"/>
  <c r="E24156" i="5"/>
  <c r="E24106" i="5"/>
  <c r="E24053" i="5"/>
  <c r="E24003" i="5"/>
  <c r="E23954" i="5"/>
  <c r="E23911" i="5"/>
  <c r="E23868" i="5"/>
  <c r="E23826" i="5"/>
  <c r="E23783" i="5"/>
  <c r="E23741" i="5"/>
  <c r="E23705" i="5"/>
  <c r="E23668" i="5"/>
  <c r="E23634" i="5"/>
  <c r="E23602" i="5"/>
  <c r="E23570" i="5"/>
  <c r="E23538" i="5"/>
  <c r="E23506" i="5"/>
  <c r="E23474" i="5"/>
  <c r="E23442" i="5"/>
  <c r="E23410" i="5"/>
  <c r="E23378" i="5"/>
  <c r="E23346" i="5"/>
  <c r="E23314" i="5"/>
  <c r="E23282" i="5"/>
  <c r="E23250" i="5"/>
  <c r="E23218" i="5"/>
  <c r="E23186" i="5"/>
  <c r="E23154" i="5"/>
  <c r="E23122" i="5"/>
  <c r="E23090" i="5"/>
  <c r="E23058" i="5"/>
  <c r="E23026" i="5"/>
  <c r="E22994" i="5"/>
  <c r="E22962" i="5"/>
  <c r="E22930" i="5"/>
  <c r="E22898" i="5"/>
  <c r="E22866" i="5"/>
  <c r="E22834" i="5"/>
  <c r="E22802" i="5"/>
  <c r="E22770" i="5"/>
  <c r="E22738" i="5"/>
  <c r="E22706" i="5"/>
  <c r="E22674" i="5"/>
  <c r="E22642" i="5"/>
  <c r="E22610" i="5"/>
  <c r="E22578" i="5"/>
  <c r="E22546" i="5"/>
  <c r="E22514" i="5"/>
  <c r="E22482" i="5"/>
  <c r="E22450" i="5"/>
  <c r="E22418" i="5"/>
  <c r="E22386" i="5"/>
  <c r="E22354" i="5"/>
  <c r="E22322" i="5"/>
  <c r="E22290" i="5"/>
  <c r="E22258" i="5"/>
  <c r="E22226" i="5"/>
  <c r="E22194" i="5"/>
  <c r="E22162" i="5"/>
  <c r="E22130" i="5"/>
  <c r="E22098" i="5"/>
  <c r="E22066" i="5"/>
  <c r="E22034" i="5"/>
  <c r="E22002" i="5"/>
  <c r="E21970" i="5"/>
  <c r="E21938" i="5"/>
  <c r="E21906" i="5"/>
  <c r="E21874" i="5"/>
  <c r="E21842" i="5"/>
  <c r="E21810" i="5"/>
  <c r="E21778" i="5"/>
  <c r="E21746" i="5"/>
  <c r="E21714" i="5"/>
  <c r="E21682" i="5"/>
  <c r="E21650" i="5"/>
  <c r="E21618" i="5"/>
  <c r="E21586" i="5"/>
  <c r="E21554" i="5"/>
  <c r="E21522" i="5"/>
  <c r="E21490" i="5"/>
  <c r="E21458" i="5"/>
  <c r="E21426" i="5"/>
  <c r="E21394" i="5"/>
  <c r="E21362" i="5"/>
  <c r="E21330" i="5"/>
  <c r="E21298" i="5"/>
  <c r="E21266" i="5"/>
  <c r="E21234" i="5"/>
  <c r="E21202" i="5"/>
  <c r="E21170" i="5"/>
  <c r="E21138" i="5"/>
  <c r="E21106" i="5"/>
  <c r="E21074" i="5"/>
  <c r="E21042" i="5"/>
  <c r="E21010" i="5"/>
  <c r="E20978" i="5"/>
  <c r="E20946" i="5"/>
  <c r="E20914" i="5"/>
  <c r="E20882" i="5"/>
  <c r="E20850" i="5"/>
  <c r="E20818" i="5"/>
  <c r="E20786" i="5"/>
  <c r="E20754" i="5"/>
  <c r="E20722" i="5"/>
  <c r="E20690" i="5"/>
  <c r="E20658" i="5"/>
  <c r="E20626" i="5"/>
  <c r="E20594" i="5"/>
  <c r="E20562" i="5"/>
  <c r="E20530" i="5"/>
  <c r="E20498" i="5"/>
  <c r="E20466" i="5"/>
  <c r="E20434" i="5"/>
  <c r="E20402" i="5"/>
  <c r="E20370" i="5"/>
  <c r="E20338" i="5"/>
  <c r="E20306" i="5"/>
  <c r="E20274" i="5"/>
  <c r="E20242" i="5"/>
  <c r="E20210" i="5"/>
  <c r="E20178" i="5"/>
  <c r="E20146" i="5"/>
  <c r="E20114" i="5"/>
  <c r="E20082" i="5"/>
  <c r="E20050" i="5"/>
  <c r="E20018" i="5"/>
  <c r="E19986" i="5"/>
  <c r="E19954" i="5"/>
  <c r="E19922" i="5"/>
  <c r="E19890" i="5"/>
  <c r="E19858" i="5"/>
  <c r="E19826" i="5"/>
  <c r="E19794" i="5"/>
  <c r="E19762" i="5"/>
  <c r="E19730" i="5"/>
  <c r="E19698" i="5"/>
  <c r="E19666" i="5"/>
  <c r="E19634" i="5"/>
  <c r="E19602" i="5"/>
  <c r="E19570" i="5"/>
  <c r="E19538" i="5"/>
  <c r="E19506" i="5"/>
  <c r="E19474" i="5"/>
  <c r="E19442" i="5"/>
  <c r="E19410" i="5"/>
  <c r="E19378" i="5"/>
  <c r="E19346" i="5"/>
  <c r="E19314" i="5"/>
  <c r="E19282" i="5"/>
  <c r="E19250" i="5"/>
  <c r="E19218" i="5"/>
  <c r="E19186" i="5"/>
  <c r="E19154" i="5"/>
  <c r="E19122" i="5"/>
  <c r="E19090" i="5"/>
  <c r="E19058" i="5"/>
  <c r="E19026" i="5"/>
  <c r="E18994" i="5"/>
  <c r="E18962" i="5"/>
  <c r="E18930" i="5"/>
  <c r="E18898" i="5"/>
  <c r="E18866" i="5"/>
  <c r="E18834" i="5"/>
  <c r="E18802" i="5"/>
  <c r="E18770" i="5"/>
  <c r="E18738" i="5"/>
  <c r="E18706" i="5"/>
  <c r="E18674" i="5"/>
  <c r="E18642" i="5"/>
  <c r="E18610" i="5"/>
  <c r="E18578" i="5"/>
  <c r="E18546" i="5"/>
  <c r="E18514" i="5"/>
  <c r="E18482" i="5"/>
  <c r="E18450" i="5"/>
  <c r="E18418" i="5"/>
  <c r="E18386" i="5"/>
  <c r="E18354" i="5"/>
  <c r="E18322" i="5"/>
  <c r="E18290" i="5"/>
  <c r="E18258" i="5"/>
  <c r="E18226" i="5"/>
  <c r="E18194" i="5"/>
  <c r="E18162" i="5"/>
  <c r="E18130" i="5"/>
  <c r="E18098" i="5"/>
  <c r="E18066" i="5"/>
  <c r="E18034" i="5"/>
  <c r="E18002" i="5"/>
  <c r="E17970" i="5"/>
  <c r="E17938" i="5"/>
  <c r="E17906" i="5"/>
  <c r="E17874" i="5"/>
  <c r="E17842" i="5"/>
  <c r="E17810" i="5"/>
  <c r="E17778" i="5"/>
  <c r="E17746" i="5"/>
  <c r="E17714" i="5"/>
  <c r="E17682" i="5"/>
  <c r="E17650" i="5"/>
  <c r="E17618" i="5"/>
  <c r="E17586" i="5"/>
  <c r="E17554" i="5"/>
  <c r="E17522" i="5"/>
  <c r="E17490" i="5"/>
  <c r="E17458" i="5"/>
  <c r="E17426" i="5"/>
  <c r="E17394" i="5"/>
  <c r="E17362" i="5"/>
  <c r="E17330" i="5"/>
  <c r="E17298" i="5"/>
  <c r="E17266" i="5"/>
  <c r="E17234" i="5"/>
  <c r="E17202" i="5"/>
  <c r="E17170" i="5"/>
  <c r="E17138" i="5"/>
  <c r="E17106" i="5"/>
  <c r="E17074" i="5"/>
  <c r="E17042" i="5"/>
  <c r="E17010" i="5"/>
  <c r="E16978" i="5"/>
  <c r="E16946" i="5"/>
  <c r="E16914" i="5"/>
  <c r="E16882" i="5"/>
  <c r="E16850" i="5"/>
  <c r="E16818" i="5"/>
  <c r="E16786" i="5"/>
  <c r="E16754" i="5"/>
  <c r="E16722" i="5"/>
  <c r="E16690" i="5"/>
  <c r="E16658" i="5"/>
  <c r="E16626" i="5"/>
  <c r="E16594" i="5"/>
  <c r="E16562" i="5"/>
  <c r="E16530" i="5"/>
  <c r="E16498" i="5"/>
  <c r="E16466" i="5"/>
  <c r="E16434" i="5"/>
  <c r="E16402" i="5"/>
  <c r="E16370" i="5"/>
  <c r="E16338" i="5"/>
  <c r="E16306" i="5"/>
  <c r="E16274" i="5"/>
  <c r="E16242" i="5"/>
  <c r="E16210" i="5"/>
  <c r="E16178" i="5"/>
  <c r="E16146" i="5"/>
  <c r="E16114" i="5"/>
  <c r="E16082" i="5"/>
  <c r="E16050" i="5"/>
  <c r="E16018" i="5"/>
  <c r="E15986" i="5"/>
  <c r="E15954" i="5"/>
  <c r="E15922" i="5"/>
  <c r="E15890" i="5"/>
  <c r="E15858" i="5"/>
  <c r="E15826" i="5"/>
  <c r="E15794" i="5"/>
  <c r="E15762" i="5"/>
  <c r="E15730" i="5"/>
  <c r="E15698" i="5"/>
  <c r="E15666" i="5"/>
  <c r="E15634" i="5"/>
  <c r="E15602" i="5"/>
  <c r="E15570" i="5"/>
  <c r="E15538" i="5"/>
  <c r="E15506" i="5"/>
  <c r="E15474" i="5"/>
  <c r="E15442" i="5"/>
  <c r="E15410" i="5"/>
  <c r="E15378" i="5"/>
  <c r="E15346" i="5"/>
  <c r="E15314" i="5"/>
  <c r="E15282" i="5"/>
  <c r="E15250" i="5"/>
  <c r="E15218" i="5"/>
  <c r="E15186" i="5"/>
  <c r="E15154" i="5"/>
  <c r="E15122" i="5"/>
  <c r="E15090" i="5"/>
  <c r="E15058" i="5"/>
  <c r="E15026" i="5"/>
  <c r="E14994" i="5"/>
  <c r="E14962" i="5"/>
  <c r="E14930" i="5"/>
  <c r="E14898" i="5"/>
  <c r="E14866" i="5"/>
  <c r="E14834" i="5"/>
  <c r="E14802" i="5"/>
  <c r="E14770" i="5"/>
  <c r="E14738" i="5"/>
  <c r="E14706" i="5"/>
  <c r="E14674" i="5"/>
  <c r="E14642" i="5"/>
  <c r="E14610" i="5"/>
  <c r="E14578" i="5"/>
  <c r="E14546" i="5"/>
  <c r="E14514" i="5"/>
  <c r="E14482" i="5"/>
  <c r="E14450" i="5"/>
  <c r="E14418" i="5"/>
  <c r="E14386" i="5"/>
  <c r="E14354" i="5"/>
  <c r="E14322" i="5"/>
  <c r="E14290" i="5"/>
  <c r="E14258" i="5"/>
  <c r="E14226" i="5"/>
  <c r="E14194" i="5"/>
  <c r="E14162" i="5"/>
  <c r="E14130" i="5"/>
  <c r="E14098" i="5"/>
  <c r="E14066" i="5"/>
  <c r="E14034" i="5"/>
  <c r="E14002" i="5"/>
  <c r="E13970" i="5"/>
  <c r="E13938" i="5"/>
  <c r="E13906" i="5"/>
  <c r="E13874" i="5"/>
  <c r="E13842" i="5"/>
  <c r="E13810" i="5"/>
  <c r="E13778" i="5"/>
  <c r="E13746" i="5"/>
  <c r="E13714" i="5"/>
  <c r="E13682" i="5"/>
  <c r="E13650" i="5"/>
  <c r="E13618" i="5"/>
  <c r="E13586" i="5"/>
  <c r="E13554" i="5"/>
  <c r="E13522" i="5"/>
  <c r="E13490" i="5"/>
  <c r="E13458" i="5"/>
  <c r="E13426" i="5"/>
  <c r="E13394" i="5"/>
  <c r="E13362" i="5"/>
  <c r="E13330" i="5"/>
  <c r="E13298" i="5"/>
  <c r="E13266" i="5"/>
  <c r="E13234" i="5"/>
  <c r="E13202" i="5"/>
  <c r="E13170" i="5"/>
  <c r="E13138" i="5"/>
  <c r="E13106" i="5"/>
  <c r="E13074" i="5"/>
  <c r="E13042" i="5"/>
  <c r="E13010" i="5"/>
  <c r="E12978" i="5"/>
  <c r="E12946" i="5"/>
  <c r="E12914" i="5"/>
  <c r="E12882" i="5"/>
  <c r="E12850" i="5"/>
  <c r="E12818" i="5"/>
  <c r="E12786" i="5"/>
  <c r="E12754" i="5"/>
  <c r="E12722" i="5"/>
  <c r="E12690" i="5"/>
  <c r="E12658" i="5"/>
  <c r="E12626" i="5"/>
  <c r="E12594" i="5"/>
  <c r="E12562" i="5"/>
  <c r="E12530" i="5"/>
  <c r="E12498" i="5"/>
  <c r="E12466" i="5"/>
  <c r="E12434" i="5"/>
  <c r="E12402" i="5"/>
  <c r="E12370" i="5"/>
  <c r="E12338" i="5"/>
  <c r="E12306" i="5"/>
  <c r="E12274" i="5"/>
  <c r="E12242" i="5"/>
  <c r="E12210" i="5"/>
  <c r="E12178" i="5"/>
  <c r="E12146" i="5"/>
  <c r="E12114" i="5"/>
  <c r="E12082" i="5"/>
  <c r="E12050" i="5"/>
  <c r="E12018" i="5"/>
  <c r="E11986" i="5"/>
  <c r="E11954" i="5"/>
  <c r="E11922" i="5"/>
  <c r="E11890" i="5"/>
  <c r="E11858" i="5"/>
  <c r="E11826" i="5"/>
  <c r="E11794" i="5"/>
  <c r="E11762" i="5"/>
  <c r="E11730" i="5"/>
  <c r="E11698" i="5"/>
  <c r="E11666" i="5"/>
  <c r="E11634" i="5"/>
  <c r="E11602" i="5"/>
  <c r="E11570" i="5"/>
  <c r="E11538" i="5"/>
  <c r="E11506" i="5"/>
  <c r="E11474" i="5"/>
  <c r="E11442" i="5"/>
  <c r="E11410" i="5"/>
  <c r="E11378" i="5"/>
  <c r="E11346" i="5"/>
  <c r="E11314" i="5"/>
  <c r="E11282" i="5"/>
  <c r="E11250" i="5"/>
  <c r="E11218" i="5"/>
  <c r="E11186" i="5"/>
  <c r="E11154" i="5"/>
  <c r="E11122" i="5"/>
  <c r="E11090" i="5"/>
  <c r="E11058" i="5"/>
  <c r="E11026" i="5"/>
  <c r="E10994" i="5"/>
  <c r="E10962" i="5"/>
  <c r="E10930" i="5"/>
  <c r="E10898" i="5"/>
  <c r="E10866" i="5"/>
  <c r="E10834" i="5"/>
  <c r="E10802" i="5"/>
  <c r="E10770" i="5"/>
  <c r="E10738" i="5"/>
  <c r="E10706" i="5"/>
  <c r="E10674" i="5"/>
  <c r="E10642" i="5"/>
  <c r="E10610" i="5"/>
  <c r="E10578" i="5"/>
  <c r="E10546" i="5"/>
  <c r="E10514" i="5"/>
  <c r="E10482" i="5"/>
  <c r="E10450" i="5"/>
  <c r="E10418" i="5"/>
  <c r="E10386" i="5"/>
  <c r="E10354" i="5"/>
  <c r="E10322" i="5"/>
  <c r="E10290" i="5"/>
  <c r="E10258" i="5"/>
  <c r="E10226" i="5"/>
  <c r="E10194" i="5"/>
  <c r="E10162" i="5"/>
  <c r="E10130" i="5"/>
  <c r="E10098" i="5"/>
  <c r="E10066" i="5"/>
  <c r="E10034" i="5"/>
  <c r="E10002" i="5"/>
  <c r="E9970" i="5"/>
  <c r="E9938" i="5"/>
  <c r="E9906" i="5"/>
  <c r="E9874" i="5"/>
  <c r="E9842" i="5"/>
  <c r="E9810" i="5"/>
  <c r="E9778" i="5"/>
  <c r="E9746" i="5"/>
  <c r="E9714" i="5"/>
  <c r="E9682" i="5"/>
  <c r="E9650" i="5"/>
  <c r="E9618" i="5"/>
  <c r="E9586" i="5"/>
  <c r="E9554" i="5"/>
  <c r="E9522" i="5"/>
  <c r="E9490" i="5"/>
  <c r="E9458" i="5"/>
  <c r="E9426" i="5"/>
  <c r="E9394" i="5"/>
  <c r="E9362" i="5"/>
  <c r="E9330" i="5"/>
  <c r="E9298" i="5"/>
  <c r="E9266" i="5"/>
  <c r="E9234" i="5"/>
  <c r="E9202" i="5"/>
  <c r="E9170" i="5"/>
  <c r="E9138" i="5"/>
  <c r="E9106" i="5"/>
  <c r="E9074" i="5"/>
  <c r="E9042" i="5"/>
  <c r="E9010" i="5"/>
  <c r="E8978" i="5"/>
  <c r="E8946" i="5"/>
  <c r="E8914" i="5"/>
  <c r="E8882" i="5"/>
  <c r="E8850" i="5"/>
  <c r="E8818" i="5"/>
  <c r="E8786" i="5"/>
  <c r="E8754" i="5"/>
  <c r="E8722" i="5"/>
  <c r="E8690" i="5"/>
  <c r="E8658" i="5"/>
  <c r="E8626" i="5"/>
  <c r="E8594" i="5"/>
  <c r="E8562" i="5"/>
  <c r="E8530" i="5"/>
  <c r="E8498" i="5"/>
  <c r="E8466" i="5"/>
  <c r="E8434" i="5"/>
  <c r="E8402" i="5"/>
  <c r="E8370" i="5"/>
  <c r="E8338" i="5"/>
  <c r="E8306" i="5"/>
  <c r="E8274" i="5"/>
  <c r="E8242" i="5"/>
  <c r="E8210" i="5"/>
  <c r="E8178" i="5"/>
  <c r="E8146" i="5"/>
  <c r="E8114" i="5"/>
  <c r="E8082" i="5"/>
  <c r="E8050" i="5"/>
  <c r="E8018" i="5"/>
  <c r="E7986" i="5"/>
  <c r="E7954" i="5"/>
  <c r="E7922" i="5"/>
  <c r="E7890" i="5"/>
  <c r="E7858" i="5"/>
  <c r="E7826" i="5"/>
  <c r="E7794" i="5"/>
  <c r="E7762" i="5"/>
  <c r="E7730" i="5"/>
  <c r="E7698" i="5"/>
  <c r="E7666" i="5"/>
  <c r="E7634" i="5"/>
  <c r="E7602" i="5"/>
  <c r="E7570" i="5"/>
  <c r="E7538" i="5"/>
  <c r="E7506" i="5"/>
  <c r="E7474" i="5"/>
  <c r="E7442" i="5"/>
  <c r="E7410" i="5"/>
  <c r="E7378" i="5"/>
  <c r="E7346" i="5"/>
  <c r="E7314" i="5"/>
  <c r="E7282" i="5"/>
  <c r="E7250" i="5"/>
  <c r="E7218" i="5"/>
  <c r="E7186" i="5"/>
  <c r="E7154" i="5"/>
  <c r="E7122" i="5"/>
  <c r="E7090" i="5"/>
  <c r="E7058" i="5"/>
  <c r="E7026" i="5"/>
  <c r="E6994" i="5"/>
  <c r="E6962" i="5"/>
  <c r="E6930" i="5"/>
  <c r="E6898" i="5"/>
  <c r="E6866" i="5"/>
  <c r="E6834" i="5"/>
  <c r="E6802" i="5"/>
  <c r="E6770" i="5"/>
  <c r="E6738" i="5"/>
  <c r="E6706" i="5"/>
  <c r="E6674" i="5"/>
  <c r="E6642" i="5"/>
  <c r="E6610" i="5"/>
  <c r="E6578" i="5"/>
  <c r="E6546" i="5"/>
  <c r="E6514" i="5"/>
  <c r="E6482" i="5"/>
  <c r="E6450" i="5"/>
  <c r="E6418" i="5"/>
  <c r="E6386" i="5"/>
  <c r="E6354" i="5"/>
  <c r="E6322" i="5"/>
  <c r="E6290" i="5"/>
  <c r="E6258" i="5"/>
  <c r="E6226" i="5"/>
  <c r="E6194" i="5"/>
  <c r="E6162" i="5"/>
  <c r="E6130" i="5"/>
  <c r="E6098" i="5"/>
  <c r="E6066" i="5"/>
  <c r="E6034" i="5"/>
  <c r="E6002" i="5"/>
  <c r="E5970" i="5"/>
  <c r="E5938" i="5"/>
  <c r="E5906" i="5"/>
  <c r="E5874" i="5"/>
  <c r="E5842" i="5"/>
  <c r="E5810" i="5"/>
  <c r="E5778" i="5"/>
  <c r="E5746" i="5"/>
  <c r="E5714" i="5"/>
  <c r="E5682" i="5"/>
  <c r="E5658" i="5"/>
  <c r="E5637" i="5"/>
  <c r="E5616" i="5"/>
  <c r="E5594" i="5"/>
  <c r="E5573" i="5"/>
  <c r="E5552" i="5"/>
  <c r="E5530" i="5"/>
  <c r="E5509" i="5"/>
  <c r="E5488" i="5"/>
  <c r="E5466" i="5"/>
  <c r="E5445" i="5"/>
  <c r="E5424" i="5"/>
  <c r="E5402" i="5"/>
  <c r="E5381" i="5"/>
  <c r="E5360" i="5"/>
  <c r="E5338" i="5"/>
  <c r="E5317" i="5"/>
  <c r="E5301" i="5"/>
  <c r="E5285" i="5"/>
  <c r="E5270" i="5"/>
  <c r="E5261" i="5"/>
  <c r="E5252" i="5"/>
  <c r="E5242" i="5"/>
  <c r="E5233" i="5"/>
  <c r="E5224" i="5"/>
  <c r="E5215" i="5"/>
  <c r="E5206" i="5"/>
  <c r="E5197" i="5"/>
  <c r="E5188" i="5"/>
  <c r="E5178" i="5"/>
  <c r="E5169" i="5"/>
  <c r="E5161" i="5"/>
  <c r="E5153" i="5"/>
  <c r="E5145" i="5"/>
  <c r="E5137" i="5"/>
  <c r="E5129" i="5"/>
  <c r="E5121" i="5"/>
  <c r="E5113" i="5"/>
  <c r="E5105" i="5"/>
  <c r="E5097" i="5"/>
  <c r="E5089" i="5"/>
  <c r="E5081" i="5"/>
  <c r="E5073" i="5"/>
  <c r="E5065" i="5"/>
  <c r="E5057" i="5"/>
  <c r="E5049" i="5"/>
  <c r="E5041" i="5"/>
  <c r="E5033" i="5"/>
  <c r="E5025" i="5"/>
  <c r="E5017" i="5"/>
  <c r="E5009" i="5"/>
  <c r="E5001" i="5"/>
  <c r="E4993" i="5"/>
  <c r="E4985" i="5"/>
  <c r="E4977" i="5"/>
  <c r="E4969" i="5"/>
  <c r="E4961" i="5"/>
  <c r="E4953" i="5"/>
  <c r="E4945" i="5"/>
  <c r="E4937" i="5"/>
  <c r="E4929" i="5"/>
  <c r="E4921" i="5"/>
  <c r="E4913" i="5"/>
  <c r="E4905" i="5"/>
  <c r="E4897" i="5"/>
  <c r="E4889" i="5"/>
  <c r="E4881" i="5"/>
  <c r="E4873" i="5"/>
  <c r="E4865" i="5"/>
  <c r="E4857" i="5"/>
  <c r="E4849" i="5"/>
  <c r="E4841" i="5"/>
  <c r="E4833" i="5"/>
  <c r="E4825" i="5"/>
  <c r="E4817" i="5"/>
  <c r="E4809" i="5"/>
  <c r="E4801" i="5"/>
  <c r="E4793" i="5"/>
  <c r="E4785" i="5"/>
  <c r="E4777" i="5"/>
  <c r="E4769" i="5"/>
  <c r="E4761" i="5"/>
  <c r="E4753" i="5"/>
  <c r="E4745" i="5"/>
  <c r="E4737" i="5"/>
  <c r="E4729" i="5"/>
  <c r="E4721" i="5"/>
  <c r="E4713" i="5"/>
  <c r="E4705" i="5"/>
  <c r="E4697" i="5"/>
  <c r="E4689" i="5"/>
  <c r="E4681" i="5"/>
  <c r="E4673" i="5"/>
  <c r="E4665" i="5"/>
  <c r="E4657" i="5"/>
  <c r="E4649" i="5"/>
  <c r="E4641" i="5"/>
  <c r="E4633" i="5"/>
  <c r="E4625" i="5"/>
  <c r="E4617" i="5"/>
  <c r="E4609" i="5"/>
  <c r="E4601" i="5"/>
  <c r="E4593" i="5"/>
  <c r="E4585" i="5"/>
  <c r="E4577" i="5"/>
  <c r="E4569" i="5"/>
  <c r="E4561" i="5"/>
  <c r="E4553" i="5"/>
  <c r="E4545" i="5"/>
  <c r="E4537" i="5"/>
  <c r="E4529" i="5"/>
  <c r="E4521" i="5"/>
  <c r="E4513" i="5"/>
  <c r="E4505" i="5"/>
  <c r="E4497" i="5"/>
  <c r="E4489" i="5"/>
  <c r="E4481" i="5"/>
  <c r="E4473" i="5"/>
  <c r="E4465" i="5"/>
  <c r="E4457" i="5"/>
  <c r="E4449" i="5"/>
  <c r="E4441" i="5"/>
  <c r="E4433" i="5"/>
  <c r="E4425" i="5"/>
  <c r="E4417" i="5"/>
  <c r="E4409" i="5"/>
  <c r="E4401" i="5"/>
  <c r="E4393" i="5"/>
  <c r="E4385" i="5"/>
  <c r="E4377" i="5"/>
  <c r="E4369" i="5"/>
  <c r="E4361" i="5"/>
  <c r="E4353" i="5"/>
  <c r="E4345" i="5"/>
  <c r="E4337" i="5"/>
  <c r="E4329" i="5"/>
  <c r="E4321" i="5"/>
  <c r="E4313" i="5"/>
  <c r="E4305" i="5"/>
  <c r="E4297" i="5"/>
  <c r="E4289" i="5"/>
  <c r="E4281" i="5"/>
  <c r="E4273" i="5"/>
  <c r="E4265" i="5"/>
  <c r="E4257" i="5"/>
  <c r="E4249" i="5"/>
  <c r="E4241" i="5"/>
  <c r="E4233" i="5"/>
  <c r="E4225" i="5"/>
  <c r="E4217" i="5"/>
  <c r="E4209" i="5"/>
  <c r="E4201" i="5"/>
  <c r="E4193" i="5"/>
  <c r="E4185" i="5"/>
  <c r="E4177" i="5"/>
  <c r="E4169" i="5"/>
  <c r="E4161" i="5"/>
  <c r="E4153" i="5"/>
  <c r="E4145" i="5"/>
  <c r="E4137" i="5"/>
  <c r="E4129" i="5"/>
  <c r="E4121" i="5"/>
  <c r="E4113" i="5"/>
  <c r="E4105" i="5"/>
  <c r="E4097" i="5"/>
  <c r="E4089" i="5"/>
  <c r="E4081" i="5"/>
  <c r="E4073" i="5"/>
  <c r="E4065" i="5"/>
  <c r="E4057" i="5"/>
  <c r="E4049" i="5"/>
  <c r="E4041" i="5"/>
  <c r="E4033" i="5"/>
  <c r="E4025" i="5"/>
  <c r="E4017" i="5"/>
  <c r="E4009" i="5"/>
  <c r="E4001" i="5"/>
  <c r="E3993" i="5"/>
  <c r="E3985" i="5"/>
  <c r="E3977" i="5"/>
  <c r="E3969" i="5"/>
  <c r="E3961" i="5"/>
  <c r="E3953" i="5"/>
  <c r="E3945" i="5"/>
  <c r="E3937" i="5"/>
  <c r="E3929" i="5"/>
  <c r="E3921" i="5"/>
  <c r="E3913" i="5"/>
  <c r="E3905" i="5"/>
  <c r="E3897" i="5"/>
  <c r="E3889" i="5"/>
  <c r="E3881" i="5"/>
  <c r="E3873" i="5"/>
  <c r="E3865" i="5"/>
  <c r="E3857" i="5"/>
  <c r="E3849" i="5"/>
  <c r="E3841" i="5"/>
  <c r="E3833" i="5"/>
  <c r="E3825" i="5"/>
  <c r="E3817" i="5"/>
  <c r="E3809" i="5"/>
  <c r="E3801" i="5"/>
  <c r="E3793" i="5"/>
  <c r="E3785" i="5"/>
  <c r="E3777" i="5"/>
  <c r="E3769" i="5"/>
  <c r="E3761" i="5"/>
  <c r="E3753" i="5"/>
  <c r="E3745" i="5"/>
  <c r="E3737" i="5"/>
  <c r="E3729" i="5"/>
  <c r="E3721" i="5"/>
  <c r="E3713" i="5"/>
  <c r="E3705" i="5"/>
  <c r="E3697" i="5"/>
  <c r="E3689" i="5"/>
  <c r="E3681" i="5"/>
  <c r="E3673" i="5"/>
  <c r="E3665" i="5"/>
  <c r="E3657" i="5"/>
  <c r="E3649" i="5"/>
  <c r="E3641" i="5"/>
  <c r="E3633" i="5"/>
  <c r="E3625" i="5"/>
  <c r="E3617" i="5"/>
  <c r="E3609" i="5"/>
  <c r="E3601" i="5"/>
  <c r="E3593" i="5"/>
  <c r="E3585" i="5"/>
  <c r="E3577" i="5"/>
  <c r="E3569" i="5"/>
  <c r="E3561" i="5"/>
  <c r="E3553" i="5"/>
  <c r="E3545" i="5"/>
  <c r="E3537" i="5"/>
  <c r="E3529" i="5"/>
  <c r="E3521" i="5"/>
  <c r="E3513" i="5"/>
  <c r="E3505" i="5"/>
  <c r="E3497" i="5"/>
  <c r="E3489" i="5"/>
  <c r="E3481" i="5"/>
  <c r="E3473" i="5"/>
  <c r="E3465" i="5"/>
  <c r="E3457" i="5"/>
  <c r="E3449" i="5"/>
  <c r="E3441" i="5"/>
  <c r="E3433" i="5"/>
  <c r="E3425" i="5"/>
  <c r="E3417" i="5"/>
  <c r="E3409" i="5"/>
  <c r="E3401" i="5"/>
  <c r="E3393" i="5"/>
  <c r="E3385" i="5"/>
  <c r="E3377" i="5"/>
  <c r="E3369" i="5"/>
  <c r="E3361" i="5"/>
  <c r="E3353" i="5"/>
  <c r="E3345" i="5"/>
  <c r="E3337" i="5"/>
  <c r="E3329" i="5"/>
  <c r="E3321" i="5"/>
  <c r="E3313" i="5"/>
  <c r="E3305" i="5"/>
  <c r="E3297" i="5"/>
  <c r="E3289" i="5"/>
  <c r="E3281" i="5"/>
  <c r="E3273" i="5"/>
  <c r="E3265" i="5"/>
  <c r="E3257" i="5"/>
  <c r="E3249" i="5"/>
  <c r="E3241" i="5"/>
  <c r="E3233" i="5"/>
  <c r="E3225" i="5"/>
  <c r="E3217" i="5"/>
  <c r="E3209" i="5"/>
  <c r="E3201" i="5"/>
  <c r="E3193" i="5"/>
  <c r="E3185" i="5"/>
  <c r="E3177" i="5"/>
  <c r="E3169" i="5"/>
  <c r="E3161" i="5"/>
  <c r="E3153" i="5"/>
  <c r="E3145" i="5"/>
  <c r="E3137" i="5"/>
  <c r="E3129" i="5"/>
  <c r="E3121" i="5"/>
  <c r="E3113" i="5"/>
  <c r="E3105" i="5"/>
  <c r="E3097" i="5"/>
  <c r="E3089" i="5"/>
  <c r="E3081" i="5"/>
  <c r="E3073" i="5"/>
  <c r="E3065" i="5"/>
  <c r="E3057" i="5"/>
  <c r="E3049" i="5"/>
  <c r="E3041" i="5"/>
  <c r="E3033" i="5"/>
  <c r="E3025" i="5"/>
  <c r="E3017" i="5"/>
  <c r="E3009" i="5"/>
  <c r="E3001" i="5"/>
  <c r="E2993" i="5"/>
  <c r="E2985" i="5"/>
  <c r="E2977" i="5"/>
  <c r="E2969" i="5"/>
  <c r="E2961" i="5"/>
  <c r="E2953" i="5"/>
  <c r="E2945" i="5"/>
  <c r="E2937" i="5"/>
  <c r="E2929" i="5"/>
  <c r="E2921" i="5"/>
  <c r="E2913" i="5"/>
  <c r="E2905" i="5"/>
  <c r="E2897" i="5"/>
  <c r="E2889" i="5"/>
  <c r="E2881" i="5"/>
  <c r="E2873" i="5"/>
  <c r="E2865" i="5"/>
  <c r="E2857" i="5"/>
  <c r="E2849" i="5"/>
  <c r="E2841" i="5"/>
  <c r="E2833" i="5"/>
  <c r="E2825" i="5"/>
  <c r="E2817" i="5"/>
  <c r="E2809" i="5"/>
  <c r="E2801" i="5"/>
  <c r="E2793" i="5"/>
  <c r="E2785" i="5"/>
  <c r="E2777" i="5"/>
  <c r="E2769" i="5"/>
  <c r="E2761" i="5"/>
  <c r="E2753" i="5"/>
  <c r="E2745" i="5"/>
  <c r="E2737" i="5"/>
  <c r="E2729" i="5"/>
  <c r="E2721" i="5"/>
  <c r="E2713" i="5"/>
  <c r="E2705" i="5"/>
  <c r="E2697" i="5"/>
  <c r="E2689" i="5"/>
  <c r="E2681" i="5"/>
  <c r="E2673" i="5"/>
  <c r="E2665" i="5"/>
  <c r="E2657" i="5"/>
  <c r="E2649" i="5"/>
  <c r="E2641" i="5"/>
  <c r="E2633" i="5"/>
  <c r="E2625" i="5"/>
  <c r="E2617" i="5"/>
  <c r="E2609" i="5"/>
  <c r="E2601" i="5"/>
  <c r="E2593" i="5"/>
  <c r="E2585" i="5"/>
  <c r="E2577" i="5"/>
  <c r="E2569" i="5"/>
  <c r="E2561" i="5"/>
  <c r="E2553" i="5"/>
  <c r="E2545" i="5"/>
  <c r="E2537" i="5"/>
  <c r="E2529" i="5"/>
  <c r="E2521" i="5"/>
  <c r="E2513" i="5"/>
  <c r="E2505" i="5"/>
  <c r="E2497" i="5"/>
  <c r="E2489" i="5"/>
  <c r="E2481" i="5"/>
  <c r="E2473" i="5"/>
  <c r="E2465" i="5"/>
  <c r="E2457" i="5"/>
  <c r="E2449" i="5"/>
  <c r="E2441" i="5"/>
  <c r="E2433" i="5"/>
  <c r="E2425" i="5"/>
  <c r="E2417" i="5"/>
  <c r="E2409" i="5"/>
  <c r="E2401" i="5"/>
  <c r="E2393" i="5"/>
  <c r="E2385" i="5"/>
  <c r="E2377" i="5"/>
  <c r="E2369" i="5"/>
  <c r="E2361" i="5"/>
  <c r="E2353" i="5"/>
  <c r="E2345" i="5"/>
  <c r="E2337" i="5"/>
  <c r="E2329" i="5"/>
  <c r="E2321" i="5"/>
  <c r="E2313" i="5"/>
  <c r="E2305" i="5"/>
  <c r="E2297" i="5"/>
  <c r="E2289" i="5"/>
  <c r="E2281" i="5"/>
  <c r="E2273" i="5"/>
  <c r="E2265" i="5"/>
  <c r="E2257" i="5"/>
  <c r="E2249" i="5"/>
  <c r="E2241" i="5"/>
  <c r="E2233" i="5"/>
  <c r="E2225" i="5"/>
  <c r="E2217" i="5"/>
  <c r="E2209" i="5"/>
  <c r="E2201" i="5"/>
  <c r="E2193" i="5"/>
  <c r="E2185" i="5"/>
  <c r="E2177" i="5"/>
  <c r="E2169" i="5"/>
  <c r="E2161" i="5"/>
  <c r="E2153" i="5"/>
  <c r="E2145" i="5"/>
  <c r="E2137" i="5"/>
  <c r="E2129" i="5"/>
  <c r="E2121" i="5"/>
  <c r="E2113" i="5"/>
  <c r="E2105" i="5"/>
  <c r="E2097" i="5"/>
  <c r="E2089" i="5"/>
  <c r="E2081" i="5"/>
  <c r="E2073" i="5"/>
  <c r="E2065" i="5"/>
  <c r="E2057" i="5"/>
  <c r="E2049" i="5"/>
  <c r="E2041" i="5"/>
  <c r="E2033" i="5"/>
  <c r="E2025" i="5"/>
  <c r="E2017" i="5"/>
  <c r="E2009" i="5"/>
  <c r="E2001" i="5"/>
  <c r="E1993" i="5"/>
  <c r="E1985" i="5"/>
  <c r="E1977" i="5"/>
  <c r="E1969" i="5"/>
  <c r="E1961" i="5"/>
  <c r="E1953" i="5"/>
  <c r="E1945" i="5"/>
  <c r="E1937" i="5"/>
  <c r="E1929" i="5"/>
  <c r="E1921" i="5"/>
  <c r="E1913" i="5"/>
  <c r="E1905" i="5"/>
  <c r="E1897" i="5"/>
  <c r="E1889" i="5"/>
  <c r="E1881" i="5"/>
  <c r="E1873" i="5"/>
  <c r="E1865" i="5"/>
  <c r="E1857" i="5"/>
  <c r="E1849" i="5"/>
  <c r="E1841" i="5"/>
  <c r="E1833" i="5"/>
  <c r="E1825" i="5"/>
  <c r="E1817" i="5"/>
  <c r="E1809" i="5"/>
  <c r="E1801" i="5"/>
  <c r="E1793" i="5"/>
  <c r="E1785" i="5"/>
  <c r="E1777" i="5"/>
  <c r="E1769" i="5"/>
  <c r="E1761" i="5"/>
  <c r="E1753" i="5"/>
  <c r="E1745" i="5"/>
  <c r="E1737" i="5"/>
  <c r="E1729" i="5"/>
  <c r="E1721" i="5"/>
  <c r="E1713" i="5"/>
  <c r="E1705" i="5"/>
  <c r="E1697" i="5"/>
  <c r="E1689" i="5"/>
  <c r="E1681" i="5"/>
  <c r="E1673" i="5"/>
  <c r="E1665" i="5"/>
  <c r="E1657" i="5"/>
  <c r="E1649" i="5"/>
  <c r="E1641" i="5"/>
  <c r="E1633" i="5"/>
  <c r="E1625" i="5"/>
  <c r="E1617" i="5"/>
  <c r="E1609" i="5"/>
  <c r="E1601" i="5"/>
  <c r="E1593" i="5"/>
  <c r="E1585" i="5"/>
  <c r="E1577" i="5"/>
  <c r="E1569" i="5"/>
  <c r="E1561" i="5"/>
  <c r="E1553" i="5"/>
  <c r="E1545" i="5"/>
  <c r="E1537" i="5"/>
  <c r="E1529" i="5"/>
  <c r="E1521" i="5"/>
  <c r="E1513" i="5"/>
  <c r="E1505" i="5"/>
  <c r="E1497" i="5"/>
  <c r="E1489" i="5"/>
  <c r="E1481" i="5"/>
  <c r="E1473" i="5"/>
  <c r="E1465" i="5"/>
  <c r="E1457" i="5"/>
  <c r="E1449" i="5"/>
  <c r="E1441" i="5"/>
  <c r="E1433" i="5"/>
  <c r="E1425" i="5"/>
  <c r="E1417" i="5"/>
  <c r="E1409" i="5"/>
  <c r="E1401" i="5"/>
  <c r="E1393" i="5"/>
  <c r="E1385" i="5"/>
  <c r="E1377" i="5"/>
  <c r="E1369" i="5"/>
  <c r="E1361" i="5"/>
  <c r="E1353" i="5"/>
  <c r="E1345" i="5"/>
  <c r="E1337" i="5"/>
  <c r="E1329" i="5"/>
  <c r="E1321" i="5"/>
  <c r="E1313" i="5"/>
  <c r="E1305" i="5"/>
  <c r="E1297" i="5"/>
  <c r="E1289" i="5"/>
  <c r="E1281" i="5"/>
  <c r="E1273" i="5"/>
  <c r="E1265" i="5"/>
  <c r="E1257" i="5"/>
  <c r="E1249" i="5"/>
  <c r="E1241" i="5"/>
  <c r="E1233" i="5"/>
  <c r="E1225" i="5"/>
  <c r="E1217" i="5"/>
  <c r="E1209" i="5"/>
  <c r="E1201" i="5"/>
  <c r="E1193" i="5"/>
  <c r="E1185" i="5"/>
  <c r="E1177" i="5"/>
  <c r="E1169" i="5"/>
  <c r="E1161" i="5"/>
  <c r="E1153" i="5"/>
  <c r="E1145" i="5"/>
  <c r="E1137" i="5"/>
  <c r="E1129" i="5"/>
  <c r="E1121" i="5"/>
  <c r="E1113" i="5"/>
  <c r="E1105" i="5"/>
  <c r="E1097" i="5"/>
  <c r="E1089" i="5"/>
  <c r="E1081" i="5"/>
  <c r="E1073" i="5"/>
  <c r="E1065" i="5"/>
  <c r="E1057" i="5"/>
  <c r="E1049" i="5"/>
  <c r="E1041" i="5"/>
  <c r="E1033" i="5"/>
  <c r="E1025" i="5"/>
  <c r="E1017" i="5"/>
  <c r="E1009" i="5"/>
  <c r="E1001" i="5"/>
  <c r="E993" i="5"/>
  <c r="E985" i="5"/>
  <c r="E977" i="5"/>
  <c r="E969" i="5"/>
  <c r="E961" i="5"/>
  <c r="E953" i="5"/>
  <c r="E945" i="5"/>
  <c r="E937" i="5"/>
  <c r="E929" i="5"/>
  <c r="E921" i="5"/>
  <c r="E913" i="5"/>
  <c r="E905" i="5"/>
  <c r="E897" i="5"/>
  <c r="E889" i="5"/>
  <c r="E881" i="5"/>
  <c r="E873" i="5"/>
  <c r="E865" i="5"/>
  <c r="E857" i="5"/>
  <c r="E849" i="5"/>
  <c r="E841" i="5"/>
  <c r="E833" i="5"/>
  <c r="E825" i="5"/>
  <c r="E817" i="5"/>
  <c r="E809" i="5"/>
  <c r="E801" i="5"/>
  <c r="E793" i="5"/>
  <c r="E785" i="5"/>
  <c r="E777" i="5"/>
  <c r="E769" i="5"/>
  <c r="E761" i="5"/>
  <c r="E753" i="5"/>
  <c r="E745" i="5"/>
  <c r="E737" i="5"/>
  <c r="E729" i="5"/>
  <c r="E721" i="5"/>
  <c r="E713" i="5"/>
  <c r="E705" i="5"/>
  <c r="E697" i="5"/>
  <c r="E689" i="5"/>
  <c r="E681" i="5"/>
  <c r="E673" i="5"/>
  <c r="E665" i="5"/>
  <c r="E657" i="5"/>
  <c r="E649" i="5"/>
  <c r="E641" i="5"/>
  <c r="E633" i="5"/>
  <c r="E625" i="5"/>
  <c r="E617" i="5"/>
  <c r="E609" i="5"/>
  <c r="E601" i="5"/>
  <c r="E593" i="5"/>
  <c r="E585" i="5"/>
  <c r="E577" i="5"/>
  <c r="E569" i="5"/>
  <c r="E561" i="5"/>
  <c r="E553" i="5"/>
  <c r="E545" i="5"/>
  <c r="E537" i="5"/>
  <c r="E529" i="5"/>
  <c r="E521" i="5"/>
  <c r="E513" i="5"/>
  <c r="E505" i="5"/>
  <c r="E497" i="5"/>
  <c r="E489" i="5"/>
  <c r="E481" i="5"/>
  <c r="E473" i="5"/>
  <c r="E465" i="5"/>
  <c r="E457" i="5"/>
  <c r="E449" i="5"/>
  <c r="E441" i="5"/>
  <c r="E433" i="5"/>
  <c r="E425" i="5"/>
  <c r="E417" i="5"/>
  <c r="E409" i="5"/>
  <c r="E401" i="5"/>
  <c r="E393" i="5"/>
  <c r="E385" i="5"/>
  <c r="E377" i="5"/>
  <c r="E369" i="5"/>
  <c r="E361" i="5"/>
  <c r="E353" i="5"/>
  <c r="E345" i="5"/>
  <c r="E337" i="5"/>
  <c r="E329" i="5"/>
  <c r="E321" i="5"/>
  <c r="E313" i="5"/>
  <c r="E305" i="5"/>
  <c r="E297" i="5"/>
  <c r="E289" i="5"/>
  <c r="E281" i="5"/>
  <c r="E273" i="5"/>
  <c r="E265" i="5"/>
  <c r="E257" i="5"/>
  <c r="E249" i="5"/>
  <c r="E241" i="5"/>
  <c r="E233" i="5"/>
  <c r="E225" i="5"/>
  <c r="E217" i="5"/>
  <c r="E209" i="5"/>
  <c r="E201" i="5"/>
  <c r="E193" i="5"/>
  <c r="E185" i="5"/>
  <c r="E177" i="5"/>
  <c r="E169" i="5"/>
  <c r="E161" i="5"/>
  <c r="E153" i="5"/>
  <c r="E145" i="5"/>
  <c r="E137" i="5"/>
  <c r="E129" i="5"/>
  <c r="E121" i="5"/>
  <c r="E113" i="5"/>
  <c r="E41219" i="5"/>
  <c r="E40740" i="5"/>
  <c r="E40331" i="5"/>
  <c r="E39921" i="5"/>
  <c r="E39512" i="5"/>
  <c r="E39135" i="5"/>
  <c r="E38879" i="5"/>
  <c r="E38623" i="5"/>
  <c r="E38367" i="5"/>
  <c r="E38111" i="5"/>
  <c r="E37855" i="5"/>
  <c r="E37599" i="5"/>
  <c r="E37343" i="5"/>
  <c r="E37087" i="5"/>
  <c r="E36831" i="5"/>
  <c r="E36575" i="5"/>
  <c r="E36319" i="5"/>
  <c r="E36063" i="5"/>
  <c r="E35807" i="5"/>
  <c r="E35551" i="5"/>
  <c r="E35295" i="5"/>
  <c r="E35039" i="5"/>
  <c r="E34783" i="5"/>
  <c r="E34527" i="5"/>
  <c r="E34271" i="5"/>
  <c r="E34015" i="5"/>
  <c r="E33759" i="5"/>
  <c r="E33503" i="5"/>
  <c r="E33247" i="5"/>
  <c r="E32991" i="5"/>
  <c r="E32735" i="5"/>
  <c r="E32479" i="5"/>
  <c r="E32223" i="5"/>
  <c r="E31967" i="5"/>
  <c r="E31711" i="5"/>
  <c r="E31455" i="5"/>
  <c r="E31199" i="5"/>
  <c r="E30943" i="5"/>
  <c r="E30687" i="5"/>
  <c r="E30431" i="5"/>
  <c r="E30175" i="5"/>
  <c r="E29919" i="5"/>
  <c r="E29663" i="5"/>
  <c r="E29407" i="5"/>
  <c r="E29151" i="5"/>
  <c r="E28895" i="5"/>
  <c r="E28639" i="5"/>
  <c r="E28383" i="5"/>
  <c r="E28127" i="5"/>
  <c r="E27871" i="5"/>
  <c r="E27615" i="5"/>
  <c r="E27359" i="5"/>
  <c r="E27103" i="5"/>
  <c r="E26847" i="5"/>
  <c r="E26591" i="5"/>
  <c r="E26335" i="5"/>
  <c r="E26079" i="5"/>
  <c r="E25823" i="5"/>
  <c r="E25591" i="5"/>
  <c r="E25463" i="5"/>
  <c r="E25335" i="5"/>
  <c r="E25207" i="5"/>
  <c r="E25090" i="5"/>
  <c r="E25005" i="5"/>
  <c r="E24919" i="5"/>
  <c r="E24851" i="5"/>
  <c r="E24787" i="5"/>
  <c r="E24723" i="5"/>
  <c r="E24659" i="5"/>
  <c r="E24595" i="5"/>
  <c r="E24531" i="5"/>
  <c r="E24467" i="5"/>
  <c r="E24410" i="5"/>
  <c r="E24357" i="5"/>
  <c r="E24307" i="5"/>
  <c r="E24255" i="5"/>
  <c r="E24204" i="5"/>
  <c r="E24154" i="5"/>
  <c r="E24101" i="5"/>
  <c r="E24051" i="5"/>
  <c r="E23999" i="5"/>
  <c r="E23951" i="5"/>
  <c r="E23908" i="5"/>
  <c r="E23866" i="5"/>
  <c r="E23823" i="5"/>
  <c r="E23780" i="5"/>
  <c r="E23739" i="5"/>
  <c r="E23702" i="5"/>
  <c r="E23666" i="5"/>
  <c r="E23632" i="5"/>
  <c r="E23600" i="5"/>
  <c r="E23568" i="5"/>
  <c r="E23536" i="5"/>
  <c r="E23504" i="5"/>
  <c r="E23472" i="5"/>
  <c r="E23440" i="5"/>
  <c r="E23408" i="5"/>
  <c r="E23376" i="5"/>
  <c r="E23344" i="5"/>
  <c r="E23312" i="5"/>
  <c r="E23280" i="5"/>
  <c r="E23248" i="5"/>
  <c r="E23216" i="5"/>
  <c r="E23184" i="5"/>
  <c r="E23152" i="5"/>
  <c r="E23120" i="5"/>
  <c r="E23088" i="5"/>
  <c r="E23056" i="5"/>
  <c r="E23024" i="5"/>
  <c r="E22992" i="5"/>
  <c r="E22960" i="5"/>
  <c r="E22928" i="5"/>
  <c r="E22896" i="5"/>
  <c r="E22864" i="5"/>
  <c r="E22832" i="5"/>
  <c r="E22800" i="5"/>
  <c r="E22768" i="5"/>
  <c r="E22736" i="5"/>
  <c r="E22704" i="5"/>
  <c r="E22672" i="5"/>
  <c r="E22640" i="5"/>
  <c r="E22608" i="5"/>
  <c r="E22576" i="5"/>
  <c r="E22544" i="5"/>
  <c r="E22512" i="5"/>
  <c r="E22480" i="5"/>
  <c r="E22448" i="5"/>
  <c r="E22416" i="5"/>
  <c r="E22384" i="5"/>
  <c r="E22352" i="5"/>
  <c r="E22320" i="5"/>
  <c r="E22288" i="5"/>
  <c r="E22256" i="5"/>
  <c r="E22224" i="5"/>
  <c r="E22192" i="5"/>
  <c r="E22160" i="5"/>
  <c r="E22128" i="5"/>
  <c r="E22096" i="5"/>
  <c r="E22064" i="5"/>
  <c r="E22032" i="5"/>
  <c r="E22000" i="5"/>
  <c r="E21968" i="5"/>
  <c r="E21936" i="5"/>
  <c r="E21904" i="5"/>
  <c r="E21872" i="5"/>
  <c r="E21840" i="5"/>
  <c r="E21808" i="5"/>
  <c r="E21776" i="5"/>
  <c r="E21744" i="5"/>
  <c r="E21712" i="5"/>
  <c r="E21680" i="5"/>
  <c r="E21648" i="5"/>
  <c r="E21616" i="5"/>
  <c r="E21584" i="5"/>
  <c r="E21552" i="5"/>
  <c r="E21520" i="5"/>
  <c r="E21488" i="5"/>
  <c r="E21456" i="5"/>
  <c r="E21424" i="5"/>
  <c r="E21392" i="5"/>
  <c r="E21360" i="5"/>
  <c r="E21328" i="5"/>
  <c r="E21296" i="5"/>
  <c r="E21264" i="5"/>
  <c r="E21232" i="5"/>
  <c r="E21200" i="5"/>
  <c r="E21168" i="5"/>
  <c r="E21136" i="5"/>
  <c r="E21104" i="5"/>
  <c r="E21072" i="5"/>
  <c r="E21040" i="5"/>
  <c r="E21008" i="5"/>
  <c r="E20976" i="5"/>
  <c r="E20944" i="5"/>
  <c r="E20912" i="5"/>
  <c r="E20880" i="5"/>
  <c r="E20848" i="5"/>
  <c r="E20816" i="5"/>
  <c r="E20784" i="5"/>
  <c r="E20752" i="5"/>
  <c r="E20720" i="5"/>
  <c r="E20688" i="5"/>
  <c r="E20656" i="5"/>
  <c r="E20624" i="5"/>
  <c r="E20592" i="5"/>
  <c r="E20560" i="5"/>
  <c r="E20528" i="5"/>
  <c r="E20496" i="5"/>
  <c r="E20464" i="5"/>
  <c r="E20432" i="5"/>
  <c r="E20400" i="5"/>
  <c r="E20368" i="5"/>
  <c r="E20336" i="5"/>
  <c r="E20304" i="5"/>
  <c r="E20272" i="5"/>
  <c r="E20240" i="5"/>
  <c r="E20208" i="5"/>
  <c r="E20176" i="5"/>
  <c r="E20144" i="5"/>
  <c r="E20112" i="5"/>
  <c r="E20080" i="5"/>
  <c r="E20048" i="5"/>
  <c r="E20016" i="5"/>
  <c r="E19984" i="5"/>
  <c r="E19952" i="5"/>
  <c r="E19920" i="5"/>
  <c r="E19888" i="5"/>
  <c r="E19856" i="5"/>
  <c r="E19824" i="5"/>
  <c r="E19792" i="5"/>
  <c r="E19760" i="5"/>
  <c r="E19728" i="5"/>
  <c r="E19696" i="5"/>
  <c r="E19664" i="5"/>
  <c r="E19632" i="5"/>
  <c r="E19600" i="5"/>
  <c r="E19568" i="5"/>
  <c r="E19536" i="5"/>
  <c r="E19504" i="5"/>
  <c r="E19472" i="5"/>
  <c r="E19440" i="5"/>
  <c r="E19408" i="5"/>
  <c r="E19376" i="5"/>
  <c r="E19344" i="5"/>
  <c r="E19312" i="5"/>
  <c r="E19280" i="5"/>
  <c r="E19248" i="5"/>
  <c r="E19216" i="5"/>
  <c r="E19184" i="5"/>
  <c r="E19152" i="5"/>
  <c r="E19120" i="5"/>
  <c r="E19088" i="5"/>
  <c r="E19056" i="5"/>
  <c r="E19024" i="5"/>
  <c r="E18992" i="5"/>
  <c r="E18960" i="5"/>
  <c r="E18928" i="5"/>
  <c r="E18896" i="5"/>
  <c r="E18864" i="5"/>
  <c r="E18832" i="5"/>
  <c r="E18800" i="5"/>
  <c r="E18768" i="5"/>
  <c r="E18736" i="5"/>
  <c r="E18704" i="5"/>
  <c r="E18672" i="5"/>
  <c r="E18640" i="5"/>
  <c r="E18608" i="5"/>
  <c r="E18576" i="5"/>
  <c r="E18544" i="5"/>
  <c r="E18512" i="5"/>
  <c r="E18480" i="5"/>
  <c r="E18448" i="5"/>
  <c r="E18416" i="5"/>
  <c r="E18384" i="5"/>
  <c r="E18352" i="5"/>
  <c r="E18320" i="5"/>
  <c r="E18288" i="5"/>
  <c r="E18256" i="5"/>
  <c r="E18224" i="5"/>
  <c r="E18192" i="5"/>
  <c r="E18160" i="5"/>
  <c r="E18128" i="5"/>
  <c r="E18096" i="5"/>
  <c r="E18064" i="5"/>
  <c r="E18032" i="5"/>
  <c r="E18000" i="5"/>
  <c r="E17968" i="5"/>
  <c r="E17936" i="5"/>
  <c r="E17904" i="5"/>
  <c r="E17872" i="5"/>
  <c r="E17840" i="5"/>
  <c r="E17808" i="5"/>
  <c r="E17776" i="5"/>
  <c r="E17744" i="5"/>
  <c r="E17712" i="5"/>
  <c r="E17680" i="5"/>
  <c r="E17648" i="5"/>
  <c r="E17616" i="5"/>
  <c r="E17584" i="5"/>
  <c r="E17552" i="5"/>
  <c r="E17520" i="5"/>
  <c r="E17488" i="5"/>
  <c r="E17456" i="5"/>
  <c r="E17424" i="5"/>
  <c r="E17392" i="5"/>
  <c r="E17360" i="5"/>
  <c r="E17328" i="5"/>
  <c r="E17296" i="5"/>
  <c r="E17264" i="5"/>
  <c r="E17232" i="5"/>
  <c r="E17200" i="5"/>
  <c r="E17168" i="5"/>
  <c r="E17136" i="5"/>
  <c r="E17104" i="5"/>
  <c r="E17072" i="5"/>
  <c r="E17040" i="5"/>
  <c r="E17008" i="5"/>
  <c r="E16976" i="5"/>
  <c r="E16944" i="5"/>
  <c r="E16912" i="5"/>
  <c r="E16880" i="5"/>
  <c r="E16848" i="5"/>
  <c r="E16816" i="5"/>
  <c r="E16784" i="5"/>
  <c r="E16752" i="5"/>
  <c r="E16720" i="5"/>
  <c r="E16688" i="5"/>
  <c r="E16656" i="5"/>
  <c r="E16624" i="5"/>
  <c r="E16592" i="5"/>
  <c r="E16560" i="5"/>
  <c r="E16528" i="5"/>
  <c r="E16496" i="5"/>
  <c r="E16464" i="5"/>
  <c r="E16432" i="5"/>
  <c r="E16400" i="5"/>
  <c r="E16368" i="5"/>
  <c r="E16336" i="5"/>
  <c r="E16304" i="5"/>
  <c r="E16272" i="5"/>
  <c r="E16240" i="5"/>
  <c r="E16208" i="5"/>
  <c r="E16176" i="5"/>
  <c r="E16144" i="5"/>
  <c r="E16112" i="5"/>
  <c r="E16080" i="5"/>
  <c r="E16048" i="5"/>
  <c r="E16016" i="5"/>
  <c r="E15984" i="5"/>
  <c r="E15952" i="5"/>
  <c r="E15920" i="5"/>
  <c r="E15888" i="5"/>
  <c r="E15856" i="5"/>
  <c r="E15824" i="5"/>
  <c r="E15792" i="5"/>
  <c r="E15760" i="5"/>
  <c r="E15728" i="5"/>
  <c r="E15696" i="5"/>
  <c r="E15664" i="5"/>
  <c r="E15632" i="5"/>
  <c r="E15600" i="5"/>
  <c r="E15568" i="5"/>
  <c r="E15536" i="5"/>
  <c r="E15504" i="5"/>
  <c r="E15472" i="5"/>
  <c r="E15440" i="5"/>
  <c r="E15408" i="5"/>
  <c r="E15376" i="5"/>
  <c r="E15344" i="5"/>
  <c r="E15312" i="5"/>
  <c r="E15280" i="5"/>
  <c r="E15248" i="5"/>
  <c r="E15216" i="5"/>
  <c r="E15184" i="5"/>
  <c r="E15152" i="5"/>
  <c r="E15120" i="5"/>
  <c r="E15088" i="5"/>
  <c r="E15056" i="5"/>
  <c r="E15024" i="5"/>
  <c r="E14992" i="5"/>
  <c r="E14960" i="5"/>
  <c r="E14928" i="5"/>
  <c r="E14896" i="5"/>
  <c r="E14864" i="5"/>
  <c r="E14832" i="5"/>
  <c r="E14800" i="5"/>
  <c r="E14768" i="5"/>
  <c r="E14736" i="5"/>
  <c r="E14704" i="5"/>
  <c r="E14672" i="5"/>
  <c r="E14640" i="5"/>
  <c r="E14608" i="5"/>
  <c r="E14576" i="5"/>
  <c r="E14544" i="5"/>
  <c r="E14512" i="5"/>
  <c r="E14480" i="5"/>
  <c r="E14448" i="5"/>
  <c r="E14416" i="5"/>
  <c r="E14384" i="5"/>
  <c r="E14352" i="5"/>
  <c r="E14320" i="5"/>
  <c r="E14288" i="5"/>
  <c r="E14256" i="5"/>
  <c r="E14224" i="5"/>
  <c r="E14192" i="5"/>
  <c r="E14160" i="5"/>
  <c r="E14128" i="5"/>
  <c r="E14096" i="5"/>
  <c r="E14064" i="5"/>
  <c r="E14032" i="5"/>
  <c r="E14000" i="5"/>
  <c r="E13968" i="5"/>
  <c r="E13936" i="5"/>
  <c r="E13904" i="5"/>
  <c r="E13872" i="5"/>
  <c r="E13840" i="5"/>
  <c r="E13808" i="5"/>
  <c r="E13776" i="5"/>
  <c r="E13744" i="5"/>
  <c r="E13712" i="5"/>
  <c r="E13680" i="5"/>
  <c r="E13648" i="5"/>
  <c r="E13616" i="5"/>
  <c r="E13584" i="5"/>
  <c r="E13552" i="5"/>
  <c r="E13520" i="5"/>
  <c r="E13488" i="5"/>
  <c r="E13456" i="5"/>
  <c r="E13424" i="5"/>
  <c r="E13392" i="5"/>
  <c r="E13360" i="5"/>
  <c r="E13328" i="5"/>
  <c r="E13296" i="5"/>
  <c r="E13264" i="5"/>
  <c r="E13232" i="5"/>
  <c r="E13200" i="5"/>
  <c r="E13168" i="5"/>
  <c r="E13136" i="5"/>
  <c r="E13104" i="5"/>
  <c r="E13072" i="5"/>
  <c r="E13040" i="5"/>
  <c r="E13008" i="5"/>
  <c r="E12976" i="5"/>
  <c r="E12944" i="5"/>
  <c r="E12912" i="5"/>
  <c r="E12880" i="5"/>
  <c r="E12848" i="5"/>
  <c r="E12816" i="5"/>
  <c r="E12784" i="5"/>
  <c r="E12752" i="5"/>
  <c r="E12720" i="5"/>
  <c r="E12688" i="5"/>
  <c r="E12656" i="5"/>
  <c r="E12624" i="5"/>
  <c r="E12592" i="5"/>
  <c r="E12560" i="5"/>
  <c r="E12528" i="5"/>
  <c r="E12496" i="5"/>
  <c r="E12464" i="5"/>
  <c r="E12432" i="5"/>
  <c r="E12400" i="5"/>
  <c r="E12368" i="5"/>
  <c r="E12336" i="5"/>
  <c r="E12304" i="5"/>
  <c r="E12272" i="5"/>
  <c r="E12240" i="5"/>
  <c r="E12208" i="5"/>
  <c r="E12176" i="5"/>
  <c r="E12144" i="5"/>
  <c r="E12112" i="5"/>
  <c r="E12080" i="5"/>
  <c r="E12048" i="5"/>
  <c r="E12016" i="5"/>
  <c r="E11984" i="5"/>
  <c r="E11952" i="5"/>
  <c r="E11920" i="5"/>
  <c r="E11888" i="5"/>
  <c r="E11856" i="5"/>
  <c r="E11824" i="5"/>
  <c r="E11792" i="5"/>
  <c r="E11760" i="5"/>
  <c r="E11728" i="5"/>
  <c r="E11696" i="5"/>
  <c r="E11664" i="5"/>
  <c r="E11632" i="5"/>
  <c r="E11600" i="5"/>
  <c r="E11568" i="5"/>
  <c r="E11536" i="5"/>
  <c r="E11504" i="5"/>
  <c r="E11472" i="5"/>
  <c r="E11440" i="5"/>
  <c r="E11408" i="5"/>
  <c r="E11376" i="5"/>
  <c r="E11344" i="5"/>
  <c r="E11312" i="5"/>
  <c r="E11280" i="5"/>
  <c r="E11248" i="5"/>
  <c r="E11216" i="5"/>
  <c r="E11184" i="5"/>
  <c r="E11152" i="5"/>
  <c r="E11120" i="5"/>
  <c r="E11088" i="5"/>
  <c r="E11056" i="5"/>
  <c r="E11024" i="5"/>
  <c r="E10992" i="5"/>
  <c r="E10960" i="5"/>
  <c r="E10928" i="5"/>
  <c r="E10896" i="5"/>
  <c r="E10864" i="5"/>
  <c r="E10832" i="5"/>
  <c r="E10800" i="5"/>
  <c r="E10768" i="5"/>
  <c r="E10736" i="5"/>
  <c r="E10704" i="5"/>
  <c r="E10672" i="5"/>
  <c r="E10640" i="5"/>
  <c r="E10608" i="5"/>
  <c r="E10576" i="5"/>
  <c r="E10544" i="5"/>
  <c r="E10512" i="5"/>
  <c r="E10480" i="5"/>
  <c r="E10448" i="5"/>
  <c r="E10416" i="5"/>
  <c r="E10384" i="5"/>
  <c r="E10352" i="5"/>
  <c r="E10320" i="5"/>
  <c r="E10288" i="5"/>
  <c r="E10256" i="5"/>
  <c r="E10224" i="5"/>
  <c r="E10192" i="5"/>
  <c r="E10160" i="5"/>
  <c r="E10128" i="5"/>
  <c r="E10096" i="5"/>
  <c r="E10064" i="5"/>
  <c r="E10032" i="5"/>
  <c r="E10000" i="5"/>
  <c r="E9968" i="5"/>
  <c r="E9936" i="5"/>
  <c r="E9904" i="5"/>
  <c r="E9872" i="5"/>
  <c r="E9840" i="5"/>
  <c r="E9808" i="5"/>
  <c r="E9776" i="5"/>
  <c r="E9744" i="5"/>
  <c r="E9712" i="5"/>
  <c r="E9680" i="5"/>
  <c r="E9648" i="5"/>
  <c r="E9616" i="5"/>
  <c r="E9584" i="5"/>
  <c r="E9552" i="5"/>
  <c r="E9520" i="5"/>
  <c r="E9488" i="5"/>
  <c r="E9456" i="5"/>
  <c r="E9424" i="5"/>
  <c r="E9392" i="5"/>
  <c r="E9360" i="5"/>
  <c r="E9328" i="5"/>
  <c r="E9296" i="5"/>
  <c r="E9264" i="5"/>
  <c r="E9232" i="5"/>
  <c r="E9200" i="5"/>
  <c r="E9168" i="5"/>
  <c r="E9136" i="5"/>
  <c r="E9104" i="5"/>
  <c r="E9072" i="5"/>
  <c r="E9040" i="5"/>
  <c r="E9008" i="5"/>
  <c r="E8976" i="5"/>
  <c r="E8944" i="5"/>
  <c r="E8912" i="5"/>
  <c r="E8880" i="5"/>
  <c r="E8848" i="5"/>
  <c r="E8816" i="5"/>
  <c r="E8784" i="5"/>
  <c r="E8752" i="5"/>
  <c r="E8720" i="5"/>
  <c r="E8688" i="5"/>
  <c r="E8656" i="5"/>
  <c r="E8624" i="5"/>
  <c r="E8592" i="5"/>
  <c r="E8560" i="5"/>
  <c r="E8528" i="5"/>
  <c r="E8496" i="5"/>
  <c r="E8464" i="5"/>
  <c r="E8432" i="5"/>
  <c r="E8400" i="5"/>
  <c r="E8368" i="5"/>
  <c r="E8336" i="5"/>
  <c r="E8304" i="5"/>
  <c r="E8272" i="5"/>
  <c r="E8240" i="5"/>
  <c r="E8208" i="5"/>
  <c r="E8176" i="5"/>
  <c r="E8144" i="5"/>
  <c r="E8112" i="5"/>
  <c r="E8080" i="5"/>
  <c r="E8048" i="5"/>
  <c r="E8016" i="5"/>
  <c r="E7984" i="5"/>
  <c r="E7952" i="5"/>
  <c r="E7920" i="5"/>
  <c r="E7888" i="5"/>
  <c r="E7856" i="5"/>
  <c r="E7824" i="5"/>
  <c r="E7792" i="5"/>
  <c r="E7760" i="5"/>
  <c r="E7728" i="5"/>
  <c r="E7696" i="5"/>
  <c r="E7664" i="5"/>
  <c r="E7632" i="5"/>
  <c r="E7600" i="5"/>
  <c r="E7568" i="5"/>
  <c r="E7536" i="5"/>
  <c r="E7504" i="5"/>
  <c r="E7472" i="5"/>
  <c r="E7440" i="5"/>
  <c r="E7408" i="5"/>
  <c r="E7376" i="5"/>
  <c r="E7344" i="5"/>
  <c r="E7312" i="5"/>
  <c r="E7280" i="5"/>
  <c r="E7248" i="5"/>
  <c r="E7216" i="5"/>
  <c r="E7184" i="5"/>
  <c r="E7152" i="5"/>
  <c r="E7120" i="5"/>
  <c r="E7088" i="5"/>
  <c r="E7056" i="5"/>
  <c r="E7024" i="5"/>
  <c r="E6992" i="5"/>
  <c r="E6960" i="5"/>
  <c r="E6928" i="5"/>
  <c r="E6896" i="5"/>
  <c r="E6864" i="5"/>
  <c r="E6832" i="5"/>
  <c r="E6800" i="5"/>
  <c r="E6768" i="5"/>
  <c r="E6736" i="5"/>
  <c r="E6704" i="5"/>
  <c r="E6672" i="5"/>
  <c r="E6640" i="5"/>
  <c r="E6608" i="5"/>
  <c r="E6576" i="5"/>
  <c r="E6544" i="5"/>
  <c r="E6512" i="5"/>
  <c r="E6480" i="5"/>
  <c r="E6448" i="5"/>
  <c r="E6416" i="5"/>
  <c r="E6384" i="5"/>
  <c r="E6352" i="5"/>
  <c r="E6320" i="5"/>
  <c r="E6288" i="5"/>
  <c r="E6256" i="5"/>
  <c r="E6224" i="5"/>
  <c r="E6192" i="5"/>
  <c r="E6160" i="5"/>
  <c r="E6128" i="5"/>
  <c r="E6096" i="5"/>
  <c r="E6064" i="5"/>
  <c r="E6032" i="5"/>
  <c r="E6000" i="5"/>
  <c r="E5968" i="5"/>
  <c r="E5936" i="5"/>
  <c r="E5904" i="5"/>
  <c r="E5872" i="5"/>
  <c r="E5840" i="5"/>
  <c r="E5808" i="5"/>
  <c r="E5776" i="5"/>
  <c r="E5744" i="5"/>
  <c r="E5712" i="5"/>
  <c r="E5680" i="5"/>
  <c r="E5656" i="5"/>
  <c r="E5634" i="5"/>
  <c r="E5613" i="5"/>
  <c r="E5592" i="5"/>
  <c r="E5570" i="5"/>
  <c r="E5549" i="5"/>
  <c r="E5528" i="5"/>
  <c r="E5506" i="5"/>
  <c r="E5485" i="5"/>
  <c r="E5464" i="5"/>
  <c r="E5442" i="5"/>
  <c r="E5421" i="5"/>
  <c r="E5400" i="5"/>
  <c r="E5378" i="5"/>
  <c r="E5357" i="5"/>
  <c r="E5336" i="5"/>
  <c r="E5314" i="5"/>
  <c r="E5298" i="5"/>
  <c r="E5282" i="5"/>
  <c r="E5269" i="5"/>
  <c r="E5260" i="5"/>
  <c r="E5250" i="5"/>
  <c r="E5241" i="5"/>
  <c r="E5232" i="5"/>
  <c r="E5223" i="5"/>
  <c r="E5214" i="5"/>
  <c r="E5205" i="5"/>
  <c r="E5196" i="5"/>
  <c r="E5186" i="5"/>
  <c r="E5177" i="5"/>
  <c r="E5168" i="5"/>
  <c r="E5160" i="5"/>
  <c r="E5152" i="5"/>
  <c r="E5144" i="5"/>
  <c r="E5136" i="5"/>
  <c r="E5128" i="5"/>
  <c r="E5120" i="5"/>
  <c r="E5112" i="5"/>
  <c r="E5104" i="5"/>
  <c r="E5096" i="5"/>
  <c r="E5088" i="5"/>
  <c r="E5080" i="5"/>
  <c r="E5072" i="5"/>
  <c r="E5064" i="5"/>
  <c r="E5056" i="5"/>
  <c r="E5048" i="5"/>
  <c r="E5040" i="5"/>
  <c r="E5032" i="5"/>
  <c r="E5024" i="5"/>
  <c r="E5016" i="5"/>
  <c r="E5008" i="5"/>
  <c r="E5000" i="5"/>
  <c r="E4992" i="5"/>
  <c r="E4984" i="5"/>
  <c r="E4976" i="5"/>
  <c r="E4968" i="5"/>
  <c r="E4960" i="5"/>
  <c r="E4952" i="5"/>
  <c r="E4944" i="5"/>
  <c r="E4936" i="5"/>
  <c r="E4928" i="5"/>
  <c r="E4920" i="5"/>
  <c r="E4912" i="5"/>
  <c r="E4904" i="5"/>
  <c r="E4896" i="5"/>
  <c r="E4888" i="5"/>
  <c r="E4880" i="5"/>
  <c r="E4872" i="5"/>
  <c r="E4864" i="5"/>
  <c r="E4856" i="5"/>
  <c r="E4848" i="5"/>
  <c r="E4840" i="5"/>
  <c r="E4832" i="5"/>
  <c r="E4824" i="5"/>
  <c r="E4816" i="5"/>
  <c r="E4808" i="5"/>
  <c r="E4800" i="5"/>
  <c r="E4792" i="5"/>
  <c r="E4784" i="5"/>
  <c r="E4776" i="5"/>
  <c r="E4768" i="5"/>
  <c r="E4760" i="5"/>
  <c r="E4752" i="5"/>
  <c r="E4744" i="5"/>
  <c r="E4736" i="5"/>
  <c r="E4728" i="5"/>
  <c r="E4720" i="5"/>
  <c r="E4712" i="5"/>
  <c r="E4704" i="5"/>
  <c r="E4696" i="5"/>
  <c r="E4688" i="5"/>
  <c r="E4680" i="5"/>
  <c r="E4672" i="5"/>
  <c r="E4664" i="5"/>
  <c r="E4656" i="5"/>
  <c r="E4648" i="5"/>
  <c r="E4640" i="5"/>
  <c r="E4632" i="5"/>
  <c r="E4624" i="5"/>
  <c r="E4616" i="5"/>
  <c r="E4608" i="5"/>
  <c r="E4600" i="5"/>
  <c r="E4592" i="5"/>
  <c r="E4584" i="5"/>
  <c r="E4576" i="5"/>
  <c r="E4568" i="5"/>
  <c r="E4560" i="5"/>
  <c r="E4552" i="5"/>
  <c r="E4544" i="5"/>
  <c r="E4536" i="5"/>
  <c r="E4528" i="5"/>
  <c r="E4520" i="5"/>
  <c r="E4512" i="5"/>
  <c r="E4504" i="5"/>
  <c r="E4496" i="5"/>
  <c r="E4488" i="5"/>
  <c r="E4480" i="5"/>
  <c r="E4472" i="5"/>
  <c r="E4464" i="5"/>
  <c r="E4456" i="5"/>
  <c r="E4448" i="5"/>
  <c r="E4440" i="5"/>
  <c r="E4432" i="5"/>
  <c r="E4424" i="5"/>
  <c r="E4416" i="5"/>
  <c r="E4408" i="5"/>
  <c r="E4400" i="5"/>
  <c r="E4392" i="5"/>
  <c r="E4384" i="5"/>
  <c r="E4376" i="5"/>
  <c r="E4368" i="5"/>
  <c r="E4360" i="5"/>
  <c r="E4352" i="5"/>
  <c r="E4344" i="5"/>
  <c r="E4336" i="5"/>
  <c r="E4328" i="5"/>
  <c r="E4320" i="5"/>
  <c r="E4312" i="5"/>
  <c r="E4304" i="5"/>
  <c r="E4296" i="5"/>
  <c r="E4288" i="5"/>
  <c r="E4280" i="5"/>
  <c r="E4272" i="5"/>
  <c r="E4264" i="5"/>
  <c r="E4256" i="5"/>
  <c r="E4248" i="5"/>
  <c r="E4240" i="5"/>
  <c r="E4232" i="5"/>
  <c r="E4224" i="5"/>
  <c r="E4216" i="5"/>
  <c r="E4208" i="5"/>
  <c r="E4200" i="5"/>
  <c r="E4192" i="5"/>
  <c r="E4184" i="5"/>
  <c r="E4176" i="5"/>
  <c r="E4168" i="5"/>
  <c r="E4160" i="5"/>
  <c r="E4152" i="5"/>
  <c r="E4144" i="5"/>
  <c r="E4136" i="5"/>
  <c r="E4128" i="5"/>
  <c r="E4120" i="5"/>
  <c r="E4112" i="5"/>
  <c r="E4104" i="5"/>
  <c r="E4096" i="5"/>
  <c r="E4088" i="5"/>
  <c r="E4080" i="5"/>
  <c r="E4072" i="5"/>
  <c r="E4064" i="5"/>
  <c r="E4056" i="5"/>
  <c r="E4048" i="5"/>
  <c r="E4040" i="5"/>
  <c r="E4032" i="5"/>
  <c r="E4024" i="5"/>
  <c r="E4016" i="5"/>
  <c r="E4008" i="5"/>
  <c r="E4000" i="5"/>
  <c r="E3992" i="5"/>
  <c r="E3984" i="5"/>
  <c r="E3976" i="5"/>
  <c r="E3968" i="5"/>
  <c r="E3960" i="5"/>
  <c r="E3952" i="5"/>
  <c r="E3944" i="5"/>
  <c r="E3936" i="5"/>
  <c r="E3928" i="5"/>
  <c r="E3920" i="5"/>
  <c r="E3912" i="5"/>
  <c r="E3904" i="5"/>
  <c r="E3896" i="5"/>
  <c r="E3888" i="5"/>
  <c r="E3880" i="5"/>
  <c r="E3872" i="5"/>
  <c r="E3864" i="5"/>
  <c r="E3856" i="5"/>
  <c r="E3848" i="5"/>
  <c r="E3840" i="5"/>
  <c r="E3832" i="5"/>
  <c r="E3824" i="5"/>
  <c r="E3816" i="5"/>
  <c r="E3808" i="5"/>
  <c r="E3800" i="5"/>
  <c r="E3792" i="5"/>
  <c r="E3784" i="5"/>
  <c r="E3776" i="5"/>
  <c r="E3768" i="5"/>
  <c r="E3760" i="5"/>
  <c r="E3752" i="5"/>
  <c r="E3744" i="5"/>
  <c r="E3736" i="5"/>
  <c r="E3728" i="5"/>
  <c r="E3720" i="5"/>
  <c r="E3712" i="5"/>
  <c r="E3704" i="5"/>
  <c r="E3696" i="5"/>
  <c r="E3688" i="5"/>
  <c r="E3680" i="5"/>
  <c r="E3672" i="5"/>
  <c r="E3664" i="5"/>
  <c r="E3656" i="5"/>
  <c r="E3648" i="5"/>
  <c r="E3640" i="5"/>
  <c r="E3632" i="5"/>
  <c r="E3624" i="5"/>
  <c r="E3616" i="5"/>
  <c r="E3608" i="5"/>
  <c r="E3600" i="5"/>
  <c r="E3592" i="5"/>
  <c r="E3584" i="5"/>
  <c r="E3576" i="5"/>
  <c r="E3568" i="5"/>
  <c r="E3560" i="5"/>
  <c r="E3552" i="5"/>
  <c r="E3544" i="5"/>
  <c r="E3536" i="5"/>
  <c r="E3528" i="5"/>
  <c r="E3520" i="5"/>
  <c r="E3512" i="5"/>
  <c r="E3504" i="5"/>
  <c r="E3496" i="5"/>
  <c r="E3488" i="5"/>
  <c r="E3480" i="5"/>
  <c r="E3472" i="5"/>
  <c r="E3464" i="5"/>
  <c r="E3456" i="5"/>
  <c r="E3448" i="5"/>
  <c r="E3440" i="5"/>
  <c r="E3432" i="5"/>
  <c r="E3424" i="5"/>
  <c r="E3416" i="5"/>
  <c r="E3408" i="5"/>
  <c r="E3400" i="5"/>
  <c r="E3392" i="5"/>
  <c r="E3384" i="5"/>
  <c r="E3376" i="5"/>
  <c r="E3368" i="5"/>
  <c r="E3360" i="5"/>
  <c r="E3352" i="5"/>
  <c r="E3344" i="5"/>
  <c r="E3336" i="5"/>
  <c r="E3328" i="5"/>
  <c r="E3320" i="5"/>
  <c r="E3312" i="5"/>
  <c r="E3304" i="5"/>
  <c r="E3296" i="5"/>
  <c r="E3288" i="5"/>
  <c r="E3280" i="5"/>
  <c r="E3272" i="5"/>
  <c r="E3264" i="5"/>
  <c r="E3256" i="5"/>
  <c r="E3248" i="5"/>
  <c r="E3240" i="5"/>
  <c r="E3232" i="5"/>
  <c r="E3224" i="5"/>
  <c r="E3216" i="5"/>
  <c r="E3208" i="5"/>
  <c r="E3200" i="5"/>
  <c r="E3192" i="5"/>
  <c r="E3184" i="5"/>
  <c r="E3176" i="5"/>
  <c r="E3168" i="5"/>
  <c r="E3160" i="5"/>
  <c r="E3152" i="5"/>
  <c r="E3144" i="5"/>
  <c r="E3136" i="5"/>
  <c r="E3128" i="5"/>
  <c r="E3120" i="5"/>
  <c r="E3112" i="5"/>
  <c r="E3104" i="5"/>
  <c r="E3096" i="5"/>
  <c r="E3088" i="5"/>
  <c r="E3080" i="5"/>
  <c r="E3072" i="5"/>
  <c r="E3064" i="5"/>
  <c r="E3056" i="5"/>
  <c r="E3048" i="5"/>
  <c r="E3040" i="5"/>
  <c r="E3032" i="5"/>
  <c r="E3024" i="5"/>
  <c r="E3016" i="5"/>
  <c r="E3008" i="5"/>
  <c r="E3000" i="5"/>
  <c r="E2992" i="5"/>
  <c r="E2984" i="5"/>
  <c r="E2976" i="5"/>
  <c r="E2968" i="5"/>
  <c r="E2960" i="5"/>
  <c r="E2952" i="5"/>
  <c r="E2944" i="5"/>
  <c r="E2936" i="5"/>
  <c r="E2928" i="5"/>
  <c r="E2920" i="5"/>
  <c r="E2912" i="5"/>
  <c r="E2904" i="5"/>
  <c r="E2896" i="5"/>
  <c r="E2888" i="5"/>
  <c r="E2880" i="5"/>
  <c r="E2872" i="5"/>
  <c r="E2864" i="5"/>
  <c r="E2856" i="5"/>
  <c r="E2848" i="5"/>
  <c r="E2840" i="5"/>
  <c r="E2832" i="5"/>
  <c r="E2824" i="5"/>
  <c r="E2816" i="5"/>
  <c r="E2808" i="5"/>
  <c r="E2800" i="5"/>
  <c r="E2792" i="5"/>
  <c r="E2784" i="5"/>
  <c r="E2776" i="5"/>
  <c r="E2768" i="5"/>
  <c r="E2760" i="5"/>
  <c r="E2752" i="5"/>
  <c r="E2744" i="5"/>
  <c r="E2736" i="5"/>
  <c r="E2728" i="5"/>
  <c r="E2720" i="5"/>
  <c r="E2712" i="5"/>
  <c r="E2704" i="5"/>
  <c r="E2696" i="5"/>
  <c r="E2688" i="5"/>
  <c r="E2680" i="5"/>
  <c r="E2672" i="5"/>
  <c r="E2664" i="5"/>
  <c r="E2656" i="5"/>
  <c r="E2648" i="5"/>
  <c r="E2640" i="5"/>
  <c r="E2632" i="5"/>
  <c r="E2624" i="5"/>
  <c r="E2616" i="5"/>
  <c r="E2608" i="5"/>
  <c r="E2600" i="5"/>
  <c r="E2592" i="5"/>
  <c r="E2584" i="5"/>
  <c r="E2576" i="5"/>
  <c r="E2568" i="5"/>
  <c r="E2560" i="5"/>
  <c r="E2552" i="5"/>
  <c r="E2544" i="5"/>
  <c r="E2536" i="5"/>
  <c r="E2528" i="5"/>
  <c r="E2520" i="5"/>
  <c r="E2512" i="5"/>
  <c r="E2504" i="5"/>
  <c r="E2496" i="5"/>
  <c r="E2488" i="5"/>
  <c r="E2480" i="5"/>
  <c r="E2472" i="5"/>
  <c r="E2464" i="5"/>
  <c r="E2456" i="5"/>
  <c r="E2448" i="5"/>
  <c r="E2440" i="5"/>
  <c r="E2432" i="5"/>
  <c r="E2424" i="5"/>
  <c r="E2416" i="5"/>
  <c r="E2408" i="5"/>
  <c r="E2400" i="5"/>
  <c r="E2392" i="5"/>
  <c r="E2384" i="5"/>
  <c r="E2376" i="5"/>
  <c r="E2368" i="5"/>
  <c r="E2360" i="5"/>
  <c r="E2352" i="5"/>
  <c r="E2344" i="5"/>
  <c r="E2336" i="5"/>
  <c r="E2328" i="5"/>
  <c r="E2320" i="5"/>
  <c r="E2312" i="5"/>
  <c r="E2304" i="5"/>
  <c r="E2296" i="5"/>
  <c r="E2288" i="5"/>
  <c r="E2280" i="5"/>
  <c r="E2272" i="5"/>
  <c r="E2264" i="5"/>
  <c r="E2256" i="5"/>
  <c r="E2248" i="5"/>
  <c r="E2240" i="5"/>
  <c r="E2232" i="5"/>
  <c r="E2224" i="5"/>
  <c r="E2216" i="5"/>
  <c r="E2208" i="5"/>
  <c r="E2200" i="5"/>
  <c r="E2192" i="5"/>
  <c r="E2184" i="5"/>
  <c r="E2176" i="5"/>
  <c r="E2168" i="5"/>
  <c r="E2160" i="5"/>
  <c r="E2152" i="5"/>
  <c r="E2144" i="5"/>
  <c r="E2136" i="5"/>
  <c r="E2128" i="5"/>
  <c r="E2120" i="5"/>
  <c r="E2112" i="5"/>
  <c r="E2104" i="5"/>
  <c r="E2096" i="5"/>
  <c r="E2088" i="5"/>
  <c r="E2080" i="5"/>
  <c r="E2072" i="5"/>
  <c r="E2064" i="5"/>
  <c r="E2056" i="5"/>
  <c r="E2048" i="5"/>
  <c r="E2040" i="5"/>
  <c r="E2032" i="5"/>
  <c r="E2024" i="5"/>
  <c r="E2016" i="5"/>
  <c r="E2008" i="5"/>
  <c r="E2000" i="5"/>
  <c r="E1992" i="5"/>
  <c r="E1984" i="5"/>
  <c r="E1976" i="5"/>
  <c r="E1968" i="5"/>
  <c r="E1960" i="5"/>
  <c r="E1952" i="5"/>
  <c r="E1944" i="5"/>
  <c r="E1936" i="5"/>
  <c r="E1928" i="5"/>
  <c r="E1920" i="5"/>
  <c r="E1912" i="5"/>
  <c r="E1904" i="5"/>
  <c r="E1896" i="5"/>
  <c r="E1888" i="5"/>
  <c r="E1880" i="5"/>
  <c r="E1872" i="5"/>
  <c r="E1864" i="5"/>
  <c r="E1856" i="5"/>
  <c r="E1848" i="5"/>
  <c r="E1840" i="5"/>
  <c r="E1832" i="5"/>
  <c r="E1824" i="5"/>
  <c r="E1816" i="5"/>
  <c r="E1808" i="5"/>
  <c r="E1800" i="5"/>
  <c r="E1792" i="5"/>
  <c r="E1784" i="5"/>
  <c r="E1776" i="5"/>
  <c r="E1768" i="5"/>
  <c r="E1760" i="5"/>
  <c r="E1752" i="5"/>
  <c r="E1744" i="5"/>
  <c r="E1736" i="5"/>
  <c r="E1728" i="5"/>
  <c r="E1720" i="5"/>
  <c r="E1712" i="5"/>
  <c r="E1704" i="5"/>
  <c r="E1696" i="5"/>
  <c r="E1688" i="5"/>
  <c r="E1680" i="5"/>
  <c r="E1672" i="5"/>
  <c r="E1664" i="5"/>
  <c r="E1656" i="5"/>
  <c r="E1648" i="5"/>
  <c r="E1640" i="5"/>
  <c r="E1632" i="5"/>
  <c r="E1624" i="5"/>
  <c r="E1616" i="5"/>
  <c r="E1608" i="5"/>
  <c r="E1600" i="5"/>
  <c r="E1592" i="5"/>
  <c r="E1584" i="5"/>
  <c r="E1576" i="5"/>
  <c r="E1568" i="5"/>
  <c r="E1560" i="5"/>
  <c r="E1552" i="5"/>
  <c r="E1544" i="5"/>
  <c r="E1536" i="5"/>
  <c r="E1528" i="5"/>
  <c r="E1520" i="5"/>
  <c r="E1512" i="5"/>
  <c r="E1504" i="5"/>
  <c r="E1496" i="5"/>
  <c r="E1488" i="5"/>
  <c r="E1480" i="5"/>
  <c r="E1472" i="5"/>
  <c r="E1464" i="5"/>
  <c r="E1456" i="5"/>
  <c r="E1448" i="5"/>
  <c r="E1440" i="5"/>
  <c r="E1432" i="5"/>
  <c r="E1424" i="5"/>
  <c r="E1416" i="5"/>
  <c r="E1408" i="5"/>
  <c r="E1400" i="5"/>
  <c r="E1392" i="5"/>
  <c r="E1384" i="5"/>
  <c r="E1376" i="5"/>
  <c r="E1368" i="5"/>
  <c r="E1360" i="5"/>
  <c r="E1352" i="5"/>
  <c r="E1344" i="5"/>
  <c r="E1336" i="5"/>
  <c r="E1328" i="5"/>
  <c r="E1320" i="5"/>
  <c r="E1312" i="5"/>
  <c r="E1304" i="5"/>
  <c r="E1296" i="5"/>
  <c r="E1288" i="5"/>
  <c r="E1280" i="5"/>
  <c r="E1272" i="5"/>
  <c r="E1264" i="5"/>
  <c r="E1256" i="5"/>
  <c r="E1248" i="5"/>
  <c r="E1240" i="5"/>
  <c r="E1232" i="5"/>
  <c r="E1224" i="5"/>
  <c r="E1216" i="5"/>
  <c r="E1208" i="5"/>
  <c r="E1200" i="5"/>
  <c r="E1192" i="5"/>
  <c r="E1184" i="5"/>
  <c r="E1176" i="5"/>
  <c r="E1168" i="5"/>
  <c r="E1160" i="5"/>
  <c r="E1152" i="5"/>
  <c r="E1144" i="5"/>
  <c r="E1136" i="5"/>
  <c r="E1128" i="5"/>
  <c r="E1120" i="5"/>
  <c r="E1112" i="5"/>
  <c r="E1104" i="5"/>
  <c r="E1096" i="5"/>
  <c r="E1088" i="5"/>
  <c r="E1080" i="5"/>
  <c r="E1072" i="5"/>
  <c r="E1064" i="5"/>
  <c r="E1056" i="5"/>
  <c r="E1048" i="5"/>
  <c r="E1040" i="5"/>
  <c r="E1032" i="5"/>
  <c r="E1024" i="5"/>
  <c r="E1016" i="5"/>
  <c r="E1008" i="5"/>
  <c r="E1000" i="5"/>
  <c r="E992" i="5"/>
  <c r="E984" i="5"/>
  <c r="E976" i="5"/>
  <c r="E968" i="5"/>
  <c r="E960" i="5"/>
  <c r="E952" i="5"/>
  <c r="E944" i="5"/>
  <c r="E936" i="5"/>
  <c r="E928" i="5"/>
  <c r="E920" i="5"/>
  <c r="E912" i="5"/>
  <c r="E904" i="5"/>
  <c r="E896" i="5"/>
  <c r="E888" i="5"/>
  <c r="E880" i="5"/>
  <c r="E872" i="5"/>
  <c r="E864" i="5"/>
  <c r="E856" i="5"/>
  <c r="E848" i="5"/>
  <c r="E840" i="5"/>
  <c r="E832" i="5"/>
  <c r="E824" i="5"/>
  <c r="E816" i="5"/>
  <c r="E808" i="5"/>
  <c r="E800" i="5"/>
  <c r="E792" i="5"/>
  <c r="E784" i="5"/>
  <c r="E776" i="5"/>
  <c r="E768" i="5"/>
  <c r="E760" i="5"/>
  <c r="E752" i="5"/>
  <c r="E744" i="5"/>
  <c r="E736" i="5"/>
  <c r="E728" i="5"/>
  <c r="E720" i="5"/>
  <c r="E712" i="5"/>
  <c r="E704" i="5"/>
  <c r="E696" i="5"/>
  <c r="E688" i="5"/>
  <c r="E680" i="5"/>
  <c r="E672" i="5"/>
  <c r="E664" i="5"/>
  <c r="E656" i="5"/>
  <c r="E648" i="5"/>
  <c r="E640" i="5"/>
  <c r="E632" i="5"/>
  <c r="E624" i="5"/>
  <c r="E616" i="5"/>
  <c r="E608" i="5"/>
  <c r="E600" i="5"/>
  <c r="E592" i="5"/>
  <c r="E584" i="5"/>
  <c r="E576" i="5"/>
  <c r="E568" i="5"/>
  <c r="E560" i="5"/>
  <c r="E552" i="5"/>
  <c r="E544" i="5"/>
  <c r="E536" i="5"/>
  <c r="E528" i="5"/>
  <c r="E520" i="5"/>
  <c r="E512" i="5"/>
  <c r="E504" i="5"/>
  <c r="E496" i="5"/>
  <c r="E488" i="5"/>
  <c r="E480" i="5"/>
  <c r="E472" i="5"/>
  <c r="E464" i="5"/>
  <c r="E456" i="5"/>
  <c r="E448" i="5"/>
  <c r="E440" i="5"/>
  <c r="E432" i="5"/>
  <c r="E424" i="5"/>
  <c r="E416" i="5"/>
  <c r="E408" i="5"/>
  <c r="E400" i="5"/>
  <c r="E392" i="5"/>
  <c r="E384" i="5"/>
  <c r="E376" i="5"/>
  <c r="E368" i="5"/>
  <c r="E360" i="5"/>
  <c r="E352" i="5"/>
  <c r="E344" i="5"/>
  <c r="E336" i="5"/>
  <c r="E328" i="5"/>
  <c r="E320" i="5"/>
  <c r="E312" i="5"/>
  <c r="E304" i="5"/>
  <c r="E296" i="5"/>
  <c r="E288" i="5"/>
  <c r="E280" i="5"/>
  <c r="E272" i="5"/>
  <c r="E264" i="5"/>
  <c r="E256" i="5"/>
  <c r="E248" i="5"/>
  <c r="E240" i="5"/>
  <c r="E232" i="5"/>
  <c r="E224" i="5"/>
  <c r="E216" i="5"/>
  <c r="E208" i="5"/>
  <c r="E200" i="5"/>
  <c r="E192" i="5"/>
  <c r="E184" i="5"/>
  <c r="E176" i="5"/>
  <c r="E168" i="5"/>
  <c r="E160" i="5"/>
  <c r="E152" i="5"/>
  <c r="E144" i="5"/>
  <c r="E136" i="5"/>
  <c r="E128" i="5"/>
  <c r="E120" i="5"/>
  <c r="E112" i="5"/>
  <c r="E41123" i="5"/>
  <c r="E40664" i="5"/>
  <c r="E40254" i="5"/>
  <c r="E39844" i="5"/>
  <c r="E39435" i="5"/>
  <c r="E39087" i="5"/>
  <c r="E38831" i="5"/>
  <c r="E38575" i="5"/>
  <c r="E38319" i="5"/>
  <c r="E38063" i="5"/>
  <c r="E37807" i="5"/>
  <c r="E37551" i="5"/>
  <c r="E37295" i="5"/>
  <c r="E37039" i="5"/>
  <c r="E36783" i="5"/>
  <c r="E36527" i="5"/>
  <c r="E36271" i="5"/>
  <c r="E36015" i="5"/>
  <c r="E35759" i="5"/>
  <c r="E35503" i="5"/>
  <c r="E35247" i="5"/>
  <c r="E34991" i="5"/>
  <c r="E34735" i="5"/>
  <c r="E34479" i="5"/>
  <c r="E34223" i="5"/>
  <c r="E33967" i="5"/>
  <c r="E33711" i="5"/>
  <c r="E33455" i="5"/>
  <c r="E33199" i="5"/>
  <c r="E32943" i="5"/>
  <c r="E32687" i="5"/>
  <c r="E32431" i="5"/>
  <c r="E32175" i="5"/>
  <c r="E31919" i="5"/>
  <c r="E31663" i="5"/>
  <c r="E31407" i="5"/>
  <c r="E31151" i="5"/>
  <c r="E30895" i="5"/>
  <c r="E30639" i="5"/>
  <c r="E30383" i="5"/>
  <c r="E30127" i="5"/>
  <c r="E29871" i="5"/>
  <c r="E29615" i="5"/>
  <c r="E29359" i="5"/>
  <c r="E29103" i="5"/>
  <c r="E28847" i="5"/>
  <c r="E28591" i="5"/>
  <c r="E28335" i="5"/>
  <c r="E28079" i="5"/>
  <c r="E27823" i="5"/>
  <c r="E27567" i="5"/>
  <c r="E27311" i="5"/>
  <c r="E27055" i="5"/>
  <c r="E26799" i="5"/>
  <c r="E26543" i="5"/>
  <c r="E26287" i="5"/>
  <c r="E26031" i="5"/>
  <c r="E25775" i="5"/>
  <c r="E25567" i="5"/>
  <c r="E25439" i="5"/>
  <c r="E25311" i="5"/>
  <c r="E25183" i="5"/>
  <c r="E25074" i="5"/>
  <c r="E24989" i="5"/>
  <c r="E24903" i="5"/>
  <c r="E24775" i="5"/>
  <c r="E24298" i="5"/>
  <c r="E23900" i="5"/>
  <c r="E23594" i="5"/>
  <c r="E23338" i="5"/>
  <c r="E23082" i="5"/>
  <c r="E22826" i="5"/>
  <c r="E22570" i="5"/>
  <c r="E22314" i="5"/>
  <c r="E22058" i="5"/>
  <c r="E21802" i="5"/>
  <c r="E21546" i="5"/>
  <c r="E21290" i="5"/>
  <c r="E21034" i="5"/>
  <c r="E20778" i="5"/>
  <c r="E20522" i="5"/>
  <c r="E20266" i="5"/>
  <c r="E20010" i="5"/>
  <c r="E19754" i="5"/>
  <c r="E19498" i="5"/>
  <c r="E19242" i="5"/>
  <c r="E18986" i="5"/>
  <c r="E18730" i="5"/>
  <c r="E18474" i="5"/>
  <c r="E18218" i="5"/>
  <c r="E17962" i="5"/>
  <c r="E17706" i="5"/>
  <c r="E17450" i="5"/>
  <c r="E17194" i="5"/>
  <c r="E16938" i="5"/>
  <c r="E16682" i="5"/>
  <c r="E16426" i="5"/>
  <c r="E16170" i="5"/>
  <c r="E15914" i="5"/>
  <c r="E15658" i="5"/>
  <c r="E15402" i="5"/>
  <c r="E15146" i="5"/>
  <c r="E14890" i="5"/>
  <c r="E14634" i="5"/>
  <c r="E14378" i="5"/>
  <c r="E14122" i="5"/>
  <c r="E13866" i="5"/>
  <c r="E13610" i="5"/>
  <c r="E13354" i="5"/>
  <c r="E13098" i="5"/>
  <c r="E12842" i="5"/>
  <c r="E12586" i="5"/>
  <c r="E12330" i="5"/>
  <c r="E12074" i="5"/>
  <c r="E11818" i="5"/>
  <c r="E11562" i="5"/>
  <c r="E11306" i="5"/>
  <c r="E11050" i="5"/>
  <c r="E10794" i="5"/>
  <c r="E10538" i="5"/>
  <c r="E10282" i="5"/>
  <c r="E10026" i="5"/>
  <c r="E9770" i="5"/>
  <c r="E9514" i="5"/>
  <c r="E9258" i="5"/>
  <c r="E9002" i="5"/>
  <c r="E8746" i="5"/>
  <c r="E8490" i="5"/>
  <c r="E8234" i="5"/>
  <c r="E7978" i="5"/>
  <c r="E7722" i="5"/>
  <c r="E7466" i="5"/>
  <c r="E7210" i="5"/>
  <c r="E6954" i="5"/>
  <c r="E6698" i="5"/>
  <c r="E6442" i="5"/>
  <c r="E6186" i="5"/>
  <c r="E5930" i="5"/>
  <c r="E5674" i="5"/>
  <c r="E5504" i="5"/>
  <c r="E5333" i="5"/>
  <c r="E5231" i="5"/>
  <c r="E5159" i="5"/>
  <c r="E5095" i="5"/>
  <c r="E5031" i="5"/>
  <c r="E4967" i="5"/>
  <c r="E4903" i="5"/>
  <c r="E4839" i="5"/>
  <c r="E4775" i="5"/>
  <c r="E4711" i="5"/>
  <c r="E4647" i="5"/>
  <c r="E4583" i="5"/>
  <c r="E4519" i="5"/>
  <c r="E4455" i="5"/>
  <c r="E4391" i="5"/>
  <c r="E4327" i="5"/>
  <c r="E4263" i="5"/>
  <c r="E4199" i="5"/>
  <c r="E4135" i="5"/>
  <c r="E4071" i="5"/>
  <c r="E4007" i="5"/>
  <c r="E3943" i="5"/>
  <c r="E3879" i="5"/>
  <c r="E3815" i="5"/>
  <c r="E3751" i="5"/>
  <c r="E3687" i="5"/>
  <c r="E3623" i="5"/>
  <c r="E3559" i="5"/>
  <c r="E3495" i="5"/>
  <c r="E3431" i="5"/>
  <c r="E3367" i="5"/>
  <c r="E3303" i="5"/>
  <c r="E3239" i="5"/>
  <c r="E3175" i="5"/>
  <c r="E3111" i="5"/>
  <c r="E3047" i="5"/>
  <c r="E2983" i="5"/>
  <c r="E2919" i="5"/>
  <c r="E2855" i="5"/>
  <c r="E2791" i="5"/>
  <c r="E2727" i="5"/>
  <c r="E2663" i="5"/>
  <c r="E2599" i="5"/>
  <c r="E2535" i="5"/>
  <c r="E2471" i="5"/>
  <c r="E2407" i="5"/>
  <c r="E2343" i="5"/>
  <c r="E2279" i="5"/>
  <c r="E2215" i="5"/>
  <c r="E2151" i="5"/>
  <c r="E2087" i="5"/>
  <c r="E2023" i="5"/>
  <c r="E1959" i="5"/>
  <c r="E1895" i="5"/>
  <c r="E1831" i="5"/>
  <c r="E1767" i="5"/>
  <c r="E1703" i="5"/>
  <c r="E1639" i="5"/>
  <c r="E1575" i="5"/>
  <c r="E1511" i="5"/>
  <c r="E1447" i="5"/>
  <c r="E1383" i="5"/>
  <c r="E1319" i="5"/>
  <c r="E1255" i="5"/>
  <c r="E1191" i="5"/>
  <c r="E1127" i="5"/>
  <c r="E1063" i="5"/>
  <c r="E999" i="5"/>
  <c r="E935" i="5"/>
  <c r="E871" i="5"/>
  <c r="E807" i="5"/>
  <c r="E743" i="5"/>
  <c r="E679" i="5"/>
  <c r="E615" i="5"/>
  <c r="E551" i="5"/>
  <c r="E487" i="5"/>
  <c r="E423" i="5"/>
  <c r="E359" i="5"/>
  <c r="E295" i="5"/>
  <c r="E231" i="5"/>
  <c r="E167" i="5"/>
  <c r="E24711" i="5"/>
  <c r="E24245" i="5"/>
  <c r="E23858" i="5"/>
  <c r="E23562" i="5"/>
  <c r="E23306" i="5"/>
  <c r="E23050" i="5"/>
  <c r="E22794" i="5"/>
  <c r="E22538" i="5"/>
  <c r="E22282" i="5"/>
  <c r="E22026" i="5"/>
  <c r="E21770" i="5"/>
  <c r="E21514" i="5"/>
  <c r="E21258" i="5"/>
  <c r="E21002" i="5"/>
  <c r="E20746" i="5"/>
  <c r="E20490" i="5"/>
  <c r="E20234" i="5"/>
  <c r="E19978" i="5"/>
  <c r="E19722" i="5"/>
  <c r="E19466" i="5"/>
  <c r="E19210" i="5"/>
  <c r="E18954" i="5"/>
  <c r="E18698" i="5"/>
  <c r="E18442" i="5"/>
  <c r="E18186" i="5"/>
  <c r="E17930" i="5"/>
  <c r="E17674" i="5"/>
  <c r="E17418" i="5"/>
  <c r="E17162" i="5"/>
  <c r="E16906" i="5"/>
  <c r="E16650" i="5"/>
  <c r="E16394" i="5"/>
  <c r="E16138" i="5"/>
  <c r="E15882" i="5"/>
  <c r="E15626" i="5"/>
  <c r="E15370" i="5"/>
  <c r="E15114" i="5"/>
  <c r="E14858" i="5"/>
  <c r="E14602" i="5"/>
  <c r="E14346" i="5"/>
  <c r="E14090" i="5"/>
  <c r="E13834" i="5"/>
  <c r="E13578" i="5"/>
  <c r="E13322" i="5"/>
  <c r="E13066" i="5"/>
  <c r="E12810" i="5"/>
  <c r="E12554" i="5"/>
  <c r="E12298" i="5"/>
  <c r="E12042" i="5"/>
  <c r="E11786" i="5"/>
  <c r="E11530" i="5"/>
  <c r="E11274" i="5"/>
  <c r="E11018" i="5"/>
  <c r="E10762" i="5"/>
  <c r="E10506" i="5"/>
  <c r="E10250" i="5"/>
  <c r="E9994" i="5"/>
  <c r="E9738" i="5"/>
  <c r="E9482" i="5"/>
  <c r="E9226" i="5"/>
  <c r="E8970" i="5"/>
  <c r="E8714" i="5"/>
  <c r="E8458" i="5"/>
  <c r="E8202" i="5"/>
  <c r="E7946" i="5"/>
  <c r="E7690" i="5"/>
  <c r="E7434" i="5"/>
  <c r="E7178" i="5"/>
  <c r="E6922" i="5"/>
  <c r="E6666" i="5"/>
  <c r="E6410" i="5"/>
  <c r="E6154" i="5"/>
  <c r="E5898" i="5"/>
  <c r="E5653" i="5"/>
  <c r="E5482" i="5"/>
  <c r="E5312" i="5"/>
  <c r="E5222" i="5"/>
  <c r="E5151" i="5"/>
  <c r="E5087" i="5"/>
  <c r="E5023" i="5"/>
  <c r="E4959" i="5"/>
  <c r="E4895" i="5"/>
  <c r="E4831" i="5"/>
  <c r="E4767" i="5"/>
  <c r="E4703" i="5"/>
  <c r="E4639" i="5"/>
  <c r="E4575" i="5"/>
  <c r="E4511" i="5"/>
  <c r="E4447" i="5"/>
  <c r="E4383" i="5"/>
  <c r="E4319" i="5"/>
  <c r="E4255" i="5"/>
  <c r="E4191" i="5"/>
  <c r="E4127" i="5"/>
  <c r="E4063" i="5"/>
  <c r="E3999" i="5"/>
  <c r="E3935" i="5"/>
  <c r="E3871" i="5"/>
  <c r="E3807" i="5"/>
  <c r="E3743" i="5"/>
  <c r="E3679" i="5"/>
  <c r="E3615" i="5"/>
  <c r="E3551" i="5"/>
  <c r="E3487" i="5"/>
  <c r="E3423" i="5"/>
  <c r="E3359" i="5"/>
  <c r="E3295" i="5"/>
  <c r="E3231" i="5"/>
  <c r="E3167" i="5"/>
  <c r="E3103" i="5"/>
  <c r="E3039" i="5"/>
  <c r="E2975" i="5"/>
  <c r="E2911" i="5"/>
  <c r="E2847" i="5"/>
  <c r="E2783" i="5"/>
  <c r="E2719" i="5"/>
  <c r="E2655" i="5"/>
  <c r="E2591" i="5"/>
  <c r="E2527" i="5"/>
  <c r="E2463" i="5"/>
  <c r="E2399" i="5"/>
  <c r="E2335" i="5"/>
  <c r="E2271" i="5"/>
  <c r="E2207" i="5"/>
  <c r="E2143" i="5"/>
  <c r="E2079" i="5"/>
  <c r="E2015" i="5"/>
  <c r="E1951" i="5"/>
  <c r="E1887" i="5"/>
  <c r="E1823" i="5"/>
  <c r="E1759" i="5"/>
  <c r="E1695" i="5"/>
  <c r="E1631" i="5"/>
  <c r="E1567" i="5"/>
  <c r="E1503" i="5"/>
  <c r="E1439" i="5"/>
  <c r="E1375" i="5"/>
  <c r="E1311" i="5"/>
  <c r="E1247" i="5"/>
  <c r="E1183" i="5"/>
  <c r="E1119" i="5"/>
  <c r="E1055" i="5"/>
  <c r="E991" i="5"/>
  <c r="E927" i="5"/>
  <c r="E863" i="5"/>
  <c r="E799" i="5"/>
  <c r="E735" i="5"/>
  <c r="E671" i="5"/>
  <c r="E607" i="5"/>
  <c r="E543" i="5"/>
  <c r="E479" i="5"/>
  <c r="E415" i="5"/>
  <c r="E351" i="5"/>
  <c r="E287" i="5"/>
  <c r="E223" i="5"/>
  <c r="E159" i="5"/>
  <c r="E24647" i="5"/>
  <c r="E24195" i="5"/>
  <c r="E23815" i="5"/>
  <c r="E23530" i="5"/>
  <c r="E23274" i="5"/>
  <c r="E23018" i="5"/>
  <c r="E22762" i="5"/>
  <c r="E22506" i="5"/>
  <c r="E22250" i="5"/>
  <c r="E21994" i="5"/>
  <c r="E21738" i="5"/>
  <c r="E21482" i="5"/>
  <c r="E21226" i="5"/>
  <c r="E20970" i="5"/>
  <c r="E20714" i="5"/>
  <c r="E20458" i="5"/>
  <c r="E20202" i="5"/>
  <c r="E19946" i="5"/>
  <c r="E19690" i="5"/>
  <c r="E19434" i="5"/>
  <c r="E19178" i="5"/>
  <c r="E18922" i="5"/>
  <c r="E18666" i="5"/>
  <c r="E18410" i="5"/>
  <c r="E18154" i="5"/>
  <c r="E17898" i="5"/>
  <c r="E17642" i="5"/>
  <c r="E17386" i="5"/>
  <c r="E17130" i="5"/>
  <c r="E16874" i="5"/>
  <c r="E16618" i="5"/>
  <c r="E16362" i="5"/>
  <c r="E16106" i="5"/>
  <c r="E15850" i="5"/>
  <c r="E15594" i="5"/>
  <c r="E15338" i="5"/>
  <c r="E15082" i="5"/>
  <c r="E14826" i="5"/>
  <c r="E14570" i="5"/>
  <c r="E14314" i="5"/>
  <c r="E14058" i="5"/>
  <c r="E13802" i="5"/>
  <c r="E13546" i="5"/>
  <c r="E13290" i="5"/>
  <c r="E13034" i="5"/>
  <c r="E12778" i="5"/>
  <c r="E12522" i="5"/>
  <c r="E12266" i="5"/>
  <c r="E12010" i="5"/>
  <c r="E11754" i="5"/>
  <c r="E11498" i="5"/>
  <c r="E11242" i="5"/>
  <c r="E10986" i="5"/>
  <c r="E10730" i="5"/>
  <c r="E10474" i="5"/>
  <c r="E10218" i="5"/>
  <c r="E9962" i="5"/>
  <c r="E9706" i="5"/>
  <c r="E9450" i="5"/>
  <c r="E9194" i="5"/>
  <c r="E8938" i="5"/>
  <c r="E8682" i="5"/>
  <c r="E8426" i="5"/>
  <c r="E8170" i="5"/>
  <c r="E7914" i="5"/>
  <c r="E7658" i="5"/>
  <c r="E7402" i="5"/>
  <c r="E7146" i="5"/>
  <c r="E6890" i="5"/>
  <c r="E6634" i="5"/>
  <c r="E6378" i="5"/>
  <c r="E6122" i="5"/>
  <c r="E5866" i="5"/>
  <c r="E5632" i="5"/>
  <c r="E5461" i="5"/>
  <c r="E5296" i="5"/>
  <c r="E5213" i="5"/>
  <c r="E5143" i="5"/>
  <c r="E5079" i="5"/>
  <c r="E5015" i="5"/>
  <c r="E4951" i="5"/>
  <c r="E4887" i="5"/>
  <c r="E4823" i="5"/>
  <c r="E4759" i="5"/>
  <c r="E4695" i="5"/>
  <c r="E4631" i="5"/>
  <c r="E4567" i="5"/>
  <c r="E4503" i="5"/>
  <c r="E4439" i="5"/>
  <c r="E4375" i="5"/>
  <c r="E4311" i="5"/>
  <c r="E4247" i="5"/>
  <c r="E4183" i="5"/>
  <c r="E4119" i="5"/>
  <c r="E4055" i="5"/>
  <c r="E3991" i="5"/>
  <c r="E3927" i="5"/>
  <c r="E3863" i="5"/>
  <c r="E3799" i="5"/>
  <c r="E3735" i="5"/>
  <c r="E3671" i="5"/>
  <c r="E3607" i="5"/>
  <c r="E3543" i="5"/>
  <c r="E3479" i="5"/>
  <c r="E3415" i="5"/>
  <c r="E3351" i="5"/>
  <c r="E3287" i="5"/>
  <c r="E3223" i="5"/>
  <c r="E3159" i="5"/>
  <c r="E3095" i="5"/>
  <c r="E3031" i="5"/>
  <c r="E2967" i="5"/>
  <c r="E2903" i="5"/>
  <c r="E2839" i="5"/>
  <c r="E2775" i="5"/>
  <c r="E2711" i="5"/>
  <c r="E2647" i="5"/>
  <c r="E2583" i="5"/>
  <c r="E2519" i="5"/>
  <c r="E2455" i="5"/>
  <c r="E2391" i="5"/>
  <c r="E2327" i="5"/>
  <c r="E2263" i="5"/>
  <c r="E2199" i="5"/>
  <c r="E2135" i="5"/>
  <c r="E2071" i="5"/>
  <c r="E2007" i="5"/>
  <c r="E1943" i="5"/>
  <c r="E1879" i="5"/>
  <c r="E1815" i="5"/>
  <c r="E1751" i="5"/>
  <c r="E1687" i="5"/>
  <c r="E1623" i="5"/>
  <c r="E1559" i="5"/>
  <c r="E1495" i="5"/>
  <c r="E1431" i="5"/>
  <c r="E1367" i="5"/>
  <c r="E1303" i="5"/>
  <c r="E1239" i="5"/>
  <c r="E1175" i="5"/>
  <c r="E1111" i="5"/>
  <c r="E1047" i="5"/>
  <c r="E983" i="5"/>
  <c r="E919" i="5"/>
  <c r="E855" i="5"/>
  <c r="E791" i="5"/>
  <c r="E727" i="5"/>
  <c r="E663" i="5"/>
  <c r="E599" i="5"/>
  <c r="E535" i="5"/>
  <c r="E471" i="5"/>
  <c r="E407" i="5"/>
  <c r="E343" i="5"/>
  <c r="E279" i="5"/>
  <c r="E215" i="5"/>
  <c r="E151" i="5"/>
  <c r="E24583" i="5"/>
  <c r="E24143" i="5"/>
  <c r="E23772" i="5"/>
  <c r="E23498" i="5"/>
  <c r="E23242" i="5"/>
  <c r="E22986" i="5"/>
  <c r="E22730" i="5"/>
  <c r="E22474" i="5"/>
  <c r="E22218" i="5"/>
  <c r="E21962" i="5"/>
  <c r="E21706" i="5"/>
  <c r="E21450" i="5"/>
  <c r="E21194" i="5"/>
  <c r="E20938" i="5"/>
  <c r="E20682" i="5"/>
  <c r="E20426" i="5"/>
  <c r="E20170" i="5"/>
  <c r="E19914" i="5"/>
  <c r="E19658" i="5"/>
  <c r="E19402" i="5"/>
  <c r="E19146" i="5"/>
  <c r="E18890" i="5"/>
  <c r="E18634" i="5"/>
  <c r="E18378" i="5"/>
  <c r="E18122" i="5"/>
  <c r="E17866" i="5"/>
  <c r="E17610" i="5"/>
  <c r="E17354" i="5"/>
  <c r="E17098" i="5"/>
  <c r="E16842" i="5"/>
  <c r="E16586" i="5"/>
  <c r="E16330" i="5"/>
  <c r="E16074" i="5"/>
  <c r="E15818" i="5"/>
  <c r="E15562" i="5"/>
  <c r="E15306" i="5"/>
  <c r="E15050" i="5"/>
  <c r="E14794" i="5"/>
  <c r="E14538" i="5"/>
  <c r="E14282" i="5"/>
  <c r="E14026" i="5"/>
  <c r="E13770" i="5"/>
  <c r="E13514" i="5"/>
  <c r="E13258" i="5"/>
  <c r="E13002" i="5"/>
  <c r="E12746" i="5"/>
  <c r="E12490" i="5"/>
  <c r="E12234" i="5"/>
  <c r="E11978" i="5"/>
  <c r="E11722" i="5"/>
  <c r="E11466" i="5"/>
  <c r="E11210" i="5"/>
  <c r="E10954" i="5"/>
  <c r="E10698" i="5"/>
  <c r="E10442" i="5"/>
  <c r="E10186" i="5"/>
  <c r="E9930" i="5"/>
  <c r="E9674" i="5"/>
  <c r="E9418" i="5"/>
  <c r="E9162" i="5"/>
  <c r="E8906" i="5"/>
  <c r="E8650" i="5"/>
  <c r="E8394" i="5"/>
  <c r="E8138" i="5"/>
  <c r="E7882" i="5"/>
  <c r="E7626" i="5"/>
  <c r="E7370" i="5"/>
  <c r="E7114" i="5"/>
  <c r="E6858" i="5"/>
  <c r="E6602" i="5"/>
  <c r="E6346" i="5"/>
  <c r="E6090" i="5"/>
  <c r="E5834" i="5"/>
  <c r="E5610" i="5"/>
  <c r="E5440" i="5"/>
  <c r="E5280" i="5"/>
  <c r="E5204" i="5"/>
  <c r="E5135" i="5"/>
  <c r="E5071" i="5"/>
  <c r="E5007" i="5"/>
  <c r="E4943" i="5"/>
  <c r="E4879" i="5"/>
  <c r="E4815" i="5"/>
  <c r="E4751" i="5"/>
  <c r="E4687" i="5"/>
  <c r="E4623" i="5"/>
  <c r="E4559" i="5"/>
  <c r="E4495" i="5"/>
  <c r="E4431" i="5"/>
  <c r="E4367" i="5"/>
  <c r="E4303" i="5"/>
  <c r="E4239" i="5"/>
  <c r="E4175" i="5"/>
  <c r="E4111" i="5"/>
  <c r="E4047" i="5"/>
  <c r="E3983" i="5"/>
  <c r="E3919" i="5"/>
  <c r="E3855" i="5"/>
  <c r="E3791" i="5"/>
  <c r="E3727" i="5"/>
  <c r="E3663" i="5"/>
  <c r="E3599" i="5"/>
  <c r="E3535" i="5"/>
  <c r="E3471" i="5"/>
  <c r="E3407" i="5"/>
  <c r="E3343" i="5"/>
  <c r="E3279" i="5"/>
  <c r="E3215" i="5"/>
  <c r="E3151" i="5"/>
  <c r="E3087" i="5"/>
  <c r="E3023" i="5"/>
  <c r="E2959" i="5"/>
  <c r="E2895" i="5"/>
  <c r="E2831" i="5"/>
  <c r="E2767" i="5"/>
  <c r="E2703" i="5"/>
  <c r="E2639" i="5"/>
  <c r="E2575" i="5"/>
  <c r="E2511" i="5"/>
  <c r="E2447" i="5"/>
  <c r="E2383" i="5"/>
  <c r="E2319" i="5"/>
  <c r="E2255" i="5"/>
  <c r="E2191" i="5"/>
  <c r="E2127" i="5"/>
  <c r="E2063" i="5"/>
  <c r="E1999" i="5"/>
  <c r="E1935" i="5"/>
  <c r="E1871" i="5"/>
  <c r="E1807" i="5"/>
  <c r="E1743" i="5"/>
  <c r="E1679" i="5"/>
  <c r="E1615" i="5"/>
  <c r="E1551" i="5"/>
  <c r="E1487" i="5"/>
  <c r="E1423" i="5"/>
  <c r="E1359" i="5"/>
  <c r="E1295" i="5"/>
  <c r="E1231" i="5"/>
  <c r="E1167" i="5"/>
  <c r="E1103" i="5"/>
  <c r="E1039" i="5"/>
  <c r="E975" i="5"/>
  <c r="E911" i="5"/>
  <c r="E847" i="5"/>
  <c r="E783" i="5"/>
  <c r="E719" i="5"/>
  <c r="E655" i="5"/>
  <c r="E591" i="5"/>
  <c r="E527" i="5"/>
  <c r="E463" i="5"/>
  <c r="E399" i="5"/>
  <c r="E335" i="5"/>
  <c r="E271" i="5"/>
  <c r="E207" i="5"/>
  <c r="E143" i="5"/>
  <c r="E24519" i="5"/>
  <c r="E24092" i="5"/>
  <c r="E23732" i="5"/>
  <c r="E23466" i="5"/>
  <c r="E23210" i="5"/>
  <c r="E22954" i="5"/>
  <c r="E22698" i="5"/>
  <c r="E22442" i="5"/>
  <c r="E22186" i="5"/>
  <c r="E21930" i="5"/>
  <c r="E21674" i="5"/>
  <c r="E21418" i="5"/>
  <c r="E21162" i="5"/>
  <c r="E20906" i="5"/>
  <c r="E20650" i="5"/>
  <c r="E20394" i="5"/>
  <c r="E20138" i="5"/>
  <c r="E19882" i="5"/>
  <c r="E19626" i="5"/>
  <c r="E19370" i="5"/>
  <c r="E19114" i="5"/>
  <c r="E18858" i="5"/>
  <c r="E18602" i="5"/>
  <c r="E18346" i="5"/>
  <c r="E18090" i="5"/>
  <c r="E17834" i="5"/>
  <c r="E17578" i="5"/>
  <c r="E17322" i="5"/>
  <c r="E17066" i="5"/>
  <c r="E16810" i="5"/>
  <c r="E16554" i="5"/>
  <c r="E16298" i="5"/>
  <c r="E16042" i="5"/>
  <c r="E15786" i="5"/>
  <c r="E15530" i="5"/>
  <c r="E15274" i="5"/>
  <c r="E15018" i="5"/>
  <c r="E14762" i="5"/>
  <c r="E14506" i="5"/>
  <c r="E14250" i="5"/>
  <c r="E13994" i="5"/>
  <c r="E13738" i="5"/>
  <c r="E13482" i="5"/>
  <c r="E13226" i="5"/>
  <c r="E12970" i="5"/>
  <c r="E12714" i="5"/>
  <c r="E12458" i="5"/>
  <c r="E12202" i="5"/>
  <c r="E11946" i="5"/>
  <c r="E11690" i="5"/>
  <c r="E11434" i="5"/>
  <c r="E11178" i="5"/>
  <c r="E10922" i="5"/>
  <c r="E10666" i="5"/>
  <c r="E10410" i="5"/>
  <c r="E10154" i="5"/>
  <c r="E9898" i="5"/>
  <c r="E9642" i="5"/>
  <c r="E9386" i="5"/>
  <c r="E9130" i="5"/>
  <c r="E8874" i="5"/>
  <c r="E8618" i="5"/>
  <c r="E8362" i="5"/>
  <c r="E8106" i="5"/>
  <c r="E7850" i="5"/>
  <c r="E7594" i="5"/>
  <c r="E7338" i="5"/>
  <c r="E7082" i="5"/>
  <c r="E6826" i="5"/>
  <c r="E6570" i="5"/>
  <c r="E6314" i="5"/>
  <c r="E6058" i="5"/>
  <c r="E5802" i="5"/>
  <c r="E5589" i="5"/>
  <c r="E5418" i="5"/>
  <c r="E5268" i="5"/>
  <c r="E5194" i="5"/>
  <c r="E5127" i="5"/>
  <c r="E5063" i="5"/>
  <c r="E4999" i="5"/>
  <c r="E4935" i="5"/>
  <c r="E4871" i="5"/>
  <c r="E4807" i="5"/>
  <c r="E4743" i="5"/>
  <c r="E4679" i="5"/>
  <c r="E4615" i="5"/>
  <c r="E4551" i="5"/>
  <c r="E4487" i="5"/>
  <c r="E4423" i="5"/>
  <c r="E4359" i="5"/>
  <c r="E4295" i="5"/>
  <c r="E4231" i="5"/>
  <c r="E4167" i="5"/>
  <c r="E4103" i="5"/>
  <c r="E4039" i="5"/>
  <c r="E3975" i="5"/>
  <c r="E3911" i="5"/>
  <c r="E3847" i="5"/>
  <c r="E3783" i="5"/>
  <c r="E3719" i="5"/>
  <c r="E3655" i="5"/>
  <c r="E3591" i="5"/>
  <c r="E3527" i="5"/>
  <c r="E3463" i="5"/>
  <c r="E3399" i="5"/>
  <c r="E3335" i="5"/>
  <c r="E3271" i="5"/>
  <c r="E3207" i="5"/>
  <c r="E3143" i="5"/>
  <c r="E3079" i="5"/>
  <c r="E3015" i="5"/>
  <c r="E2951" i="5"/>
  <c r="E2887" i="5"/>
  <c r="E2823" i="5"/>
  <c r="E2759" i="5"/>
  <c r="E2695" i="5"/>
  <c r="E2631" i="5"/>
  <c r="E2567" i="5"/>
  <c r="E2503" i="5"/>
  <c r="E2439" i="5"/>
  <c r="E2375" i="5"/>
  <c r="E2311" i="5"/>
  <c r="E2247" i="5"/>
  <c r="E2183" i="5"/>
  <c r="E2119" i="5"/>
  <c r="E2055" i="5"/>
  <c r="E1991" i="5"/>
  <c r="E1927" i="5"/>
  <c r="E1863" i="5"/>
  <c r="E1799" i="5"/>
  <c r="E1735" i="5"/>
  <c r="E1671" i="5"/>
  <c r="E1607" i="5"/>
  <c r="E1543" i="5"/>
  <c r="E1479" i="5"/>
  <c r="E1415" i="5"/>
  <c r="E1351" i="5"/>
  <c r="E1287" i="5"/>
  <c r="E1223" i="5"/>
  <c r="E1159" i="5"/>
  <c r="E1095" i="5"/>
  <c r="E1031" i="5"/>
  <c r="E967" i="5"/>
  <c r="E903" i="5"/>
  <c r="E839" i="5"/>
  <c r="E775" i="5"/>
  <c r="E711" i="5"/>
  <c r="E647" i="5"/>
  <c r="E583" i="5"/>
  <c r="E519" i="5"/>
  <c r="E455" i="5"/>
  <c r="E391" i="5"/>
  <c r="E327" i="5"/>
  <c r="E263" i="5"/>
  <c r="E199" i="5"/>
  <c r="E135" i="5"/>
  <c r="E24455" i="5"/>
  <c r="E24042" i="5"/>
  <c r="E23695" i="5"/>
  <c r="E23434" i="5"/>
  <c r="E23178" i="5"/>
  <c r="E22922" i="5"/>
  <c r="E22666" i="5"/>
  <c r="E22410" i="5"/>
  <c r="E22154" i="5"/>
  <c r="E21898" i="5"/>
  <c r="E21642" i="5"/>
  <c r="E21386" i="5"/>
  <c r="E21130" i="5"/>
  <c r="E20874" i="5"/>
  <c r="E20618" i="5"/>
  <c r="E20362" i="5"/>
  <c r="E20106" i="5"/>
  <c r="E19850" i="5"/>
  <c r="E19594" i="5"/>
  <c r="E19338" i="5"/>
  <c r="E19082" i="5"/>
  <c r="E18826" i="5"/>
  <c r="E18570" i="5"/>
  <c r="E18314" i="5"/>
  <c r="E18058" i="5"/>
  <c r="E17802" i="5"/>
  <c r="E17546" i="5"/>
  <c r="E17290" i="5"/>
  <c r="E17034" i="5"/>
  <c r="E16778" i="5"/>
  <c r="E16522" i="5"/>
  <c r="E16266" i="5"/>
  <c r="E16010" i="5"/>
  <c r="E15754" i="5"/>
  <c r="E15498" i="5"/>
  <c r="E15242" i="5"/>
  <c r="E14986" i="5"/>
  <c r="E14730" i="5"/>
  <c r="E14474" i="5"/>
  <c r="E14218" i="5"/>
  <c r="E13962" i="5"/>
  <c r="E13706" i="5"/>
  <c r="E13450" i="5"/>
  <c r="E13194" i="5"/>
  <c r="E12938" i="5"/>
  <c r="E12682" i="5"/>
  <c r="E12426" i="5"/>
  <c r="E12170" i="5"/>
  <c r="E11914" i="5"/>
  <c r="E11658" i="5"/>
  <c r="E11402" i="5"/>
  <c r="E11146" i="5"/>
  <c r="E10890" i="5"/>
  <c r="E10634" i="5"/>
  <c r="E10378" i="5"/>
  <c r="E10122" i="5"/>
  <c r="E9866" i="5"/>
  <c r="E9610" i="5"/>
  <c r="E9354" i="5"/>
  <c r="E9098" i="5"/>
  <c r="E8842" i="5"/>
  <c r="E8586" i="5"/>
  <c r="E8330" i="5"/>
  <c r="E8074" i="5"/>
  <c r="E7818" i="5"/>
  <c r="E7562" i="5"/>
  <c r="E7306" i="5"/>
  <c r="E7050" i="5"/>
  <c r="E6794" i="5"/>
  <c r="E6538" i="5"/>
  <c r="E6282" i="5"/>
  <c r="E6026" i="5"/>
  <c r="E5770" i="5"/>
  <c r="E5568" i="5"/>
  <c r="E5397" i="5"/>
  <c r="E5258" i="5"/>
  <c r="E5185" i="5"/>
  <c r="E5119" i="5"/>
  <c r="E5055" i="5"/>
  <c r="E4991" i="5"/>
  <c r="E4927" i="5"/>
  <c r="E4863" i="5"/>
  <c r="E4799" i="5"/>
  <c r="E4735" i="5"/>
  <c r="E4671" i="5"/>
  <c r="E4607" i="5"/>
  <c r="E4543" i="5"/>
  <c r="E4479" i="5"/>
  <c r="E4415" i="5"/>
  <c r="E4351" i="5"/>
  <c r="E4287" i="5"/>
  <c r="E4223" i="5"/>
  <c r="E4159" i="5"/>
  <c r="E4095" i="5"/>
  <c r="E4031" i="5"/>
  <c r="E3967" i="5"/>
  <c r="E3903" i="5"/>
  <c r="E3839" i="5"/>
  <c r="E3775" i="5"/>
  <c r="E3711" i="5"/>
  <c r="E3647" i="5"/>
  <c r="E3583" i="5"/>
  <c r="E3519" i="5"/>
  <c r="E3455" i="5"/>
  <c r="E3391" i="5"/>
  <c r="E3327" i="5"/>
  <c r="E3263" i="5"/>
  <c r="E3199" i="5"/>
  <c r="E3135" i="5"/>
  <c r="E3071" i="5"/>
  <c r="E3007" i="5"/>
  <c r="E2943" i="5"/>
  <c r="E2879" i="5"/>
  <c r="E2815" i="5"/>
  <c r="E2751" i="5"/>
  <c r="E2687" i="5"/>
  <c r="E2623" i="5"/>
  <c r="E2559" i="5"/>
  <c r="E2495" i="5"/>
  <c r="E2431" i="5"/>
  <c r="E2367" i="5"/>
  <c r="E2303" i="5"/>
  <c r="E2239" i="5"/>
  <c r="E2175" i="5"/>
  <c r="E2111" i="5"/>
  <c r="E2047" i="5"/>
  <c r="E1983" i="5"/>
  <c r="E1919" i="5"/>
  <c r="E1855" i="5"/>
  <c r="E1791" i="5"/>
  <c r="E1727" i="5"/>
  <c r="E1663" i="5"/>
  <c r="E1599" i="5"/>
  <c r="E1535" i="5"/>
  <c r="E1471" i="5"/>
  <c r="E1407" i="5"/>
  <c r="E1343" i="5"/>
  <c r="E1279" i="5"/>
  <c r="E1215" i="5"/>
  <c r="E1151" i="5"/>
  <c r="E1087" i="5"/>
  <c r="E1023" i="5"/>
  <c r="E959" i="5"/>
  <c r="E895" i="5"/>
  <c r="E831" i="5"/>
  <c r="E767" i="5"/>
  <c r="E703" i="5"/>
  <c r="E639" i="5"/>
  <c r="E575" i="5"/>
  <c r="E511" i="5"/>
  <c r="E447" i="5"/>
  <c r="E383" i="5"/>
  <c r="E319" i="5"/>
  <c r="E255" i="5"/>
  <c r="E191" i="5"/>
  <c r="E127" i="5"/>
  <c r="E24399" i="5"/>
  <c r="E23989" i="5"/>
  <c r="E23659" i="5"/>
  <c r="E23402" i="5"/>
  <c r="E23146" i="5"/>
  <c r="E22890" i="5"/>
  <c r="E22634" i="5"/>
  <c r="E22378" i="5"/>
  <c r="E22122" i="5"/>
  <c r="E21866" i="5"/>
  <c r="E21610" i="5"/>
  <c r="E21354" i="5"/>
  <c r="E21098" i="5"/>
  <c r="E20842" i="5"/>
  <c r="E20586" i="5"/>
  <c r="E20330" i="5"/>
  <c r="E20074" i="5"/>
  <c r="E19818" i="5"/>
  <c r="E19562" i="5"/>
  <c r="E19306" i="5"/>
  <c r="E19050" i="5"/>
  <c r="E18794" i="5"/>
  <c r="E18538" i="5"/>
  <c r="E18282" i="5"/>
  <c r="E18026" i="5"/>
  <c r="E17770" i="5"/>
  <c r="E17514" i="5"/>
  <c r="E17258" i="5"/>
  <c r="E17002" i="5"/>
  <c r="E16746" i="5"/>
  <c r="E16490" i="5"/>
  <c r="E16234" i="5"/>
  <c r="E15978" i="5"/>
  <c r="E15722" i="5"/>
  <c r="E15466" i="5"/>
  <c r="E15210" i="5"/>
  <c r="E14954" i="5"/>
  <c r="E14698" i="5"/>
  <c r="E14442" i="5"/>
  <c r="E14186" i="5"/>
  <c r="E13930" i="5"/>
  <c r="E13674" i="5"/>
  <c r="E13418" i="5"/>
  <c r="E13162" i="5"/>
  <c r="E12906" i="5"/>
  <c r="E12650" i="5"/>
  <c r="E12394" i="5"/>
  <c r="E12138" i="5"/>
  <c r="E11882" i="5"/>
  <c r="E11626" i="5"/>
  <c r="E11370" i="5"/>
  <c r="E11114" i="5"/>
  <c r="E10858" i="5"/>
  <c r="E10602" i="5"/>
  <c r="E10346" i="5"/>
  <c r="E10090" i="5"/>
  <c r="E9834" i="5"/>
  <c r="E9578" i="5"/>
  <c r="E9322" i="5"/>
  <c r="E9066" i="5"/>
  <c r="E8810" i="5"/>
  <c r="E8554" i="5"/>
  <c r="E8298" i="5"/>
  <c r="E8042" i="5"/>
  <c r="E7786" i="5"/>
  <c r="E7530" i="5"/>
  <c r="E7274" i="5"/>
  <c r="E7018" i="5"/>
  <c r="E6762" i="5"/>
  <c r="E6506" i="5"/>
  <c r="E6250" i="5"/>
  <c r="E5994" i="5"/>
  <c r="E5738" i="5"/>
  <c r="E5546" i="5"/>
  <c r="E5376" i="5"/>
  <c r="E5249" i="5"/>
  <c r="E5176" i="5"/>
  <c r="E5111" i="5"/>
  <c r="E5047" i="5"/>
  <c r="E4983" i="5"/>
  <c r="E4919" i="5"/>
  <c r="E4855" i="5"/>
  <c r="E4791" i="5"/>
  <c r="E4727" i="5"/>
  <c r="E4663" i="5"/>
  <c r="E4599" i="5"/>
  <c r="E4535" i="5"/>
  <c r="E4471" i="5"/>
  <c r="E4407" i="5"/>
  <c r="E4343" i="5"/>
  <c r="E4279" i="5"/>
  <c r="E4215" i="5"/>
  <c r="E4151" i="5"/>
  <c r="E4087" i="5"/>
  <c r="E4023" i="5"/>
  <c r="E3959" i="5"/>
  <c r="E3895" i="5"/>
  <c r="E3831" i="5"/>
  <c r="E3767" i="5"/>
  <c r="E3703" i="5"/>
  <c r="E3639" i="5"/>
  <c r="E3575" i="5"/>
  <c r="E3511" i="5"/>
  <c r="E3447" i="5"/>
  <c r="E3383" i="5"/>
  <c r="E3319" i="5"/>
  <c r="E3255" i="5"/>
  <c r="E3191" i="5"/>
  <c r="E3127" i="5"/>
  <c r="E3063" i="5"/>
  <c r="E2999" i="5"/>
  <c r="E2935" i="5"/>
  <c r="E2871" i="5"/>
  <c r="E2807" i="5"/>
  <c r="E2743" i="5"/>
  <c r="E2679" i="5"/>
  <c r="E2615" i="5"/>
  <c r="E2551" i="5"/>
  <c r="E2487" i="5"/>
  <c r="E2423" i="5"/>
  <c r="E2359" i="5"/>
  <c r="E2295" i="5"/>
  <c r="E2231" i="5"/>
  <c r="E2167" i="5"/>
  <c r="E2103" i="5"/>
  <c r="E2039" i="5"/>
  <c r="E1975" i="5"/>
  <c r="E1911" i="5"/>
  <c r="E1847" i="5"/>
  <c r="E1783" i="5"/>
  <c r="E1719" i="5"/>
  <c r="E1655" i="5"/>
  <c r="E1591" i="5"/>
  <c r="E1527" i="5"/>
  <c r="E1463" i="5"/>
  <c r="E1399" i="5"/>
  <c r="E1335" i="5"/>
  <c r="E1271" i="5"/>
  <c r="E1207" i="5"/>
  <c r="E1143" i="5"/>
  <c r="E1079" i="5"/>
  <c r="E1015" i="5"/>
  <c r="E951" i="5"/>
  <c r="E887" i="5"/>
  <c r="E823" i="5"/>
  <c r="E759" i="5"/>
  <c r="E695" i="5"/>
  <c r="E631" i="5"/>
  <c r="E567" i="5"/>
  <c r="E503" i="5"/>
  <c r="E439" i="5"/>
  <c r="E375" i="5"/>
  <c r="E311" i="5"/>
  <c r="E247" i="5"/>
  <c r="E183" i="5"/>
  <c r="E119" i="5"/>
  <c r="E24839" i="5"/>
  <c r="E24348" i="5"/>
  <c r="E23943" i="5"/>
  <c r="E23626" i="5"/>
  <c r="E23370" i="5"/>
  <c r="E23114" i="5"/>
  <c r="E22858" i="5"/>
  <c r="E22602" i="5"/>
  <c r="E22346" i="5"/>
  <c r="E22090" i="5"/>
  <c r="E21834" i="5"/>
  <c r="E21578" i="5"/>
  <c r="E21322" i="5"/>
  <c r="E21066" i="5"/>
  <c r="E20810" i="5"/>
  <c r="E20554" i="5"/>
  <c r="E20298" i="5"/>
  <c r="E20042" i="5"/>
  <c r="E19786" i="5"/>
  <c r="E19530" i="5"/>
  <c r="E19274" i="5"/>
  <c r="E19018" i="5"/>
  <c r="E18762" i="5"/>
  <c r="E18506" i="5"/>
  <c r="E18250" i="5"/>
  <c r="E17994" i="5"/>
  <c r="E17738" i="5"/>
  <c r="E17482" i="5"/>
  <c r="E17226" i="5"/>
  <c r="E16970" i="5"/>
  <c r="E16714" i="5"/>
  <c r="E16458" i="5"/>
  <c r="E16202" i="5"/>
  <c r="E15946" i="5"/>
  <c r="E15690" i="5"/>
  <c r="E15434" i="5"/>
  <c r="E15178" i="5"/>
  <c r="E14922" i="5"/>
  <c r="E14666" i="5"/>
  <c r="E14410" i="5"/>
  <c r="E14154" i="5"/>
  <c r="E13898" i="5"/>
  <c r="E13642" i="5"/>
  <c r="E13386" i="5"/>
  <c r="E13130" i="5"/>
  <c r="E12874" i="5"/>
  <c r="E12618" i="5"/>
  <c r="E12362" i="5"/>
  <c r="E12106" i="5"/>
  <c r="E11850" i="5"/>
  <c r="E11594" i="5"/>
  <c r="E11338" i="5"/>
  <c r="E11082" i="5"/>
  <c r="E10826" i="5"/>
  <c r="E10570" i="5"/>
  <c r="E10314" i="5"/>
  <c r="E10058" i="5"/>
  <c r="E9802" i="5"/>
  <c r="E9546" i="5"/>
  <c r="E9290" i="5"/>
  <c r="E9034" i="5"/>
  <c r="E8778" i="5"/>
  <c r="E8522" i="5"/>
  <c r="E8266" i="5"/>
  <c r="E8010" i="5"/>
  <c r="E7754" i="5"/>
  <c r="E7498" i="5"/>
  <c r="E7242" i="5"/>
  <c r="E6986" i="5"/>
  <c r="E6730" i="5"/>
  <c r="E6474" i="5"/>
  <c r="E6218" i="5"/>
  <c r="E5962" i="5"/>
  <c r="E5706" i="5"/>
  <c r="E5525" i="5"/>
  <c r="E5354" i="5"/>
  <c r="E5240" i="5"/>
  <c r="E5167" i="5"/>
  <c r="E5103" i="5"/>
  <c r="E5039" i="5"/>
  <c r="E4975" i="5"/>
  <c r="E4911" i="5"/>
  <c r="E4847" i="5"/>
  <c r="E4783" i="5"/>
  <c r="E4719" i="5"/>
  <c r="E4655" i="5"/>
  <c r="E4591" i="5"/>
  <c r="E4527" i="5"/>
  <c r="E4463" i="5"/>
  <c r="E4399" i="5"/>
  <c r="E4335" i="5"/>
  <c r="E4271" i="5"/>
  <c r="E4207" i="5"/>
  <c r="E4143" i="5"/>
  <c r="E4079" i="5"/>
  <c r="E4015" i="5"/>
  <c r="E3951" i="5"/>
  <c r="E3887" i="5"/>
  <c r="E3823" i="5"/>
  <c r="E3759" i="5"/>
  <c r="E3695" i="5"/>
  <c r="E3631" i="5"/>
  <c r="E3567" i="5"/>
  <c r="E3503" i="5"/>
  <c r="E3439" i="5"/>
  <c r="E3375" i="5"/>
  <c r="E3311" i="5"/>
  <c r="E3247" i="5"/>
  <c r="E3183" i="5"/>
  <c r="E3119" i="5"/>
  <c r="E3055" i="5"/>
  <c r="E2991" i="5"/>
  <c r="E2927" i="5"/>
  <c r="E2863" i="5"/>
  <c r="E2799" i="5"/>
  <c r="E2735" i="5"/>
  <c r="E2671" i="5"/>
  <c r="E2607" i="5"/>
  <c r="E2543" i="5"/>
  <c r="E2479" i="5"/>
  <c r="E2415" i="5"/>
  <c r="E2351" i="5"/>
  <c r="E2287" i="5"/>
  <c r="E2223" i="5"/>
  <c r="E2159" i="5"/>
  <c r="E2095" i="5"/>
  <c r="E2031" i="5"/>
  <c r="E1967" i="5"/>
  <c r="E1903" i="5"/>
  <c r="E1839" i="5"/>
  <c r="E1775" i="5"/>
  <c r="E1711" i="5"/>
  <c r="E1647" i="5"/>
  <c r="E1583" i="5"/>
  <c r="E1519" i="5"/>
  <c r="E1455" i="5"/>
  <c r="E1391" i="5"/>
  <c r="E1327" i="5"/>
  <c r="E1263" i="5"/>
  <c r="E1199" i="5"/>
  <c r="E1135" i="5"/>
  <c r="E1071" i="5"/>
  <c r="E1007" i="5"/>
  <c r="E943" i="5"/>
  <c r="E879" i="5"/>
  <c r="E815" i="5"/>
  <c r="E751" i="5"/>
  <c r="E687" i="5"/>
  <c r="E623" i="5"/>
  <c r="E559" i="5"/>
  <c r="E495" i="5"/>
  <c r="E431" i="5"/>
  <c r="E367" i="5"/>
  <c r="E303" i="5"/>
  <c r="E239" i="5"/>
  <c r="E175" i="5"/>
  <c r="E111" i="5"/>
  <c r="A1698" i="5"/>
  <c r="A1690" i="5"/>
  <c r="A1682" i="5"/>
  <c r="A1674" i="5"/>
  <c r="A1666" i="5"/>
  <c r="A1658" i="5"/>
  <c r="A1650" i="5"/>
  <c r="A1642" i="5"/>
  <c r="A1634" i="5"/>
  <c r="A1626" i="5"/>
  <c r="A1618" i="5"/>
  <c r="A1610" i="5"/>
  <c r="A1602" i="5"/>
  <c r="A1594" i="5"/>
  <c r="A1586" i="5"/>
  <c r="A1578" i="5"/>
  <c r="A1570" i="5"/>
  <c r="A1562" i="5"/>
  <c r="A1554" i="5"/>
  <c r="A1546" i="5"/>
  <c r="A1538" i="5"/>
  <c r="A1530" i="5"/>
  <c r="A1522" i="5"/>
  <c r="A1514" i="5"/>
  <c r="A1506" i="5"/>
  <c r="A1498" i="5"/>
  <c r="A1490" i="5"/>
  <c r="A1482" i="5"/>
  <c r="A1474" i="5"/>
  <c r="A1466" i="5"/>
  <c r="A1458" i="5"/>
  <c r="A1450" i="5"/>
  <c r="A1442" i="5"/>
  <c r="A1434" i="5"/>
  <c r="A1426" i="5"/>
  <c r="A1418" i="5"/>
  <c r="A1410" i="5"/>
  <c r="A1402" i="5"/>
  <c r="A1394" i="5"/>
  <c r="A1386" i="5"/>
  <c r="A1378" i="5"/>
  <c r="A1370" i="5"/>
  <c r="A1362" i="5"/>
  <c r="A1354" i="5"/>
  <c r="A1346" i="5"/>
  <c r="A1338" i="5"/>
  <c r="A1330" i="5"/>
  <c r="A1322" i="5"/>
  <c r="A1314" i="5"/>
  <c r="A1306" i="5"/>
  <c r="A1298" i="5"/>
  <c r="A1290" i="5"/>
  <c r="A1282" i="5"/>
  <c r="A1274" i="5"/>
  <c r="A1266" i="5"/>
  <c r="A1258" i="5"/>
  <c r="A1250" i="5"/>
  <c r="A1242" i="5"/>
  <c r="A1234" i="5"/>
  <c r="A1226" i="5"/>
  <c r="A1218" i="5"/>
  <c r="A1210" i="5"/>
  <c r="A1202" i="5"/>
  <c r="A1194" i="5"/>
  <c r="A1186" i="5"/>
  <c r="A1178" i="5"/>
  <c r="A1170" i="5"/>
  <c r="A1162" i="5"/>
  <c r="A1154" i="5"/>
  <c r="A1146" i="5"/>
  <c r="A1138" i="5"/>
  <c r="A1130" i="5"/>
  <c r="A1122" i="5"/>
  <c r="A1114" i="5"/>
  <c r="A1106" i="5"/>
  <c r="A1098" i="5"/>
  <c r="A1090" i="5"/>
  <c r="A1082" i="5"/>
  <c r="A1074" i="5"/>
  <c r="A1066" i="5"/>
  <c r="A1058" i="5"/>
  <c r="A1050" i="5"/>
  <c r="A1042" i="5"/>
  <c r="A1034" i="5"/>
  <c r="A1026" i="5"/>
  <c r="A1018" i="5"/>
  <c r="A1010" i="5"/>
  <c r="A1002" i="5"/>
  <c r="A994" i="5"/>
  <c r="A986" i="5"/>
  <c r="A978" i="5"/>
  <c r="A970" i="5"/>
  <c r="A962" i="5"/>
  <c r="A954" i="5"/>
  <c r="A946" i="5"/>
  <c r="A938" i="5"/>
  <c r="A930" i="5"/>
  <c r="A922" i="5"/>
  <c r="A914" i="5"/>
  <c r="A906" i="5"/>
  <c r="A898" i="5"/>
  <c r="A890" i="5"/>
  <c r="A882" i="5"/>
  <c r="A874" i="5"/>
  <c r="A866" i="5"/>
  <c r="A858" i="5"/>
  <c r="A850" i="5"/>
  <c r="A842" i="5"/>
  <c r="A834" i="5"/>
  <c r="A826" i="5"/>
  <c r="A818" i="5"/>
  <c r="A810" i="5"/>
  <c r="A802" i="5"/>
  <c r="A794" i="5"/>
  <c r="A786" i="5"/>
  <c r="A778" i="5"/>
  <c r="A770" i="5"/>
  <c r="A762" i="5"/>
  <c r="A754" i="5"/>
  <c r="A746" i="5"/>
  <c r="A738" i="5"/>
  <c r="A730" i="5"/>
  <c r="A722" i="5"/>
  <c r="A714" i="5"/>
  <c r="A706" i="5"/>
  <c r="A698" i="5"/>
  <c r="A690" i="5"/>
  <c r="A682" i="5"/>
  <c r="A674" i="5"/>
  <c r="A666" i="5"/>
  <c r="A658" i="5"/>
  <c r="A650" i="5"/>
  <c r="A642" i="5"/>
  <c r="A634" i="5"/>
  <c r="A626" i="5"/>
  <c r="A618" i="5"/>
  <c r="A610" i="5"/>
  <c r="A602" i="5"/>
  <c r="A594" i="5"/>
  <c r="A586" i="5"/>
  <c r="A578" i="5"/>
  <c r="A570" i="5"/>
  <c r="A562" i="5"/>
  <c r="A554" i="5"/>
  <c r="A546" i="5"/>
  <c r="A538" i="5"/>
  <c r="A530" i="5"/>
  <c r="A522" i="5"/>
  <c r="A514" i="5"/>
  <c r="A506" i="5"/>
  <c r="A498" i="5"/>
  <c r="A490" i="5"/>
  <c r="A482" i="5"/>
  <c r="A474" i="5"/>
  <c r="A466" i="5"/>
  <c r="A458" i="5"/>
  <c r="A450" i="5"/>
  <c r="A442" i="5"/>
  <c r="A434" i="5"/>
  <c r="A426" i="5"/>
  <c r="A418" i="5"/>
  <c r="A410" i="5"/>
  <c r="A402" i="5"/>
  <c r="A394" i="5"/>
  <c r="A386" i="5"/>
  <c r="A378" i="5"/>
  <c r="A370" i="5"/>
  <c r="A362" i="5"/>
  <c r="A354" i="5"/>
  <c r="A346" i="5"/>
  <c r="A338" i="5"/>
  <c r="A330" i="5"/>
  <c r="A322" i="5"/>
  <c r="A314" i="5"/>
  <c r="A306" i="5"/>
  <c r="A298" i="5"/>
  <c r="A290" i="5"/>
  <c r="A282" i="5"/>
  <c r="A274" i="5"/>
  <c r="A266" i="5"/>
  <c r="A258" i="5"/>
  <c r="A250" i="5"/>
  <c r="A242" i="5"/>
  <c r="A234" i="5"/>
  <c r="A226" i="5"/>
  <c r="A218" i="5"/>
  <c r="A210" i="5"/>
  <c r="A202" i="5"/>
  <c r="A194" i="5"/>
  <c r="A186" i="5"/>
  <c r="A178" i="5"/>
  <c r="A170" i="5"/>
  <c r="A162" i="5"/>
  <c r="A154" i="5"/>
  <c r="A146" i="5"/>
  <c r="A138" i="5"/>
  <c r="A130" i="5"/>
  <c r="A122" i="5"/>
  <c r="A114" i="5"/>
  <c r="A106" i="5"/>
  <c r="A98" i="5"/>
  <c r="A90" i="5"/>
  <c r="A82" i="5"/>
  <c r="A74" i="5"/>
  <c r="A66" i="5"/>
  <c r="A58" i="5"/>
  <c r="A50" i="5"/>
  <c r="A42" i="5"/>
  <c r="A34" i="5"/>
  <c r="A26" i="5"/>
  <c r="A18" i="5"/>
  <c r="A10" i="5"/>
  <c r="A2" i="5"/>
  <c r="A1704" i="5"/>
  <c r="A1696" i="5"/>
  <c r="A1688" i="5"/>
  <c r="A1680" i="5"/>
  <c r="A1672" i="5"/>
  <c r="A1664" i="5"/>
  <c r="A1656" i="5"/>
  <c r="A1648" i="5"/>
  <c r="A1640" i="5"/>
  <c r="A1632" i="5"/>
  <c r="A1624" i="5"/>
  <c r="A1616" i="5"/>
  <c r="A1608" i="5"/>
  <c r="A1600" i="5"/>
  <c r="A1592" i="5"/>
  <c r="A1584" i="5"/>
  <c r="A1576" i="5"/>
  <c r="A1568" i="5"/>
  <c r="A1560" i="5"/>
  <c r="A1552" i="5"/>
  <c r="A1544" i="5"/>
  <c r="A1536" i="5"/>
  <c r="A1528" i="5"/>
  <c r="A1520" i="5"/>
  <c r="A1512" i="5"/>
  <c r="A1504" i="5"/>
  <c r="A1496" i="5"/>
  <c r="A1488" i="5"/>
  <c r="A1480" i="5"/>
  <c r="A1472" i="5"/>
  <c r="A1464" i="5"/>
  <c r="A1456" i="5"/>
  <c r="A1448" i="5"/>
  <c r="A1440" i="5"/>
  <c r="A1432" i="5"/>
  <c r="A1424" i="5"/>
  <c r="A1416" i="5"/>
  <c r="A1408" i="5"/>
  <c r="A1400" i="5"/>
  <c r="A1392" i="5"/>
  <c r="A1384" i="5"/>
  <c r="A1376" i="5"/>
  <c r="A1368" i="5"/>
  <c r="A1360" i="5"/>
  <c r="A1352" i="5"/>
  <c r="A1344" i="5"/>
  <c r="A1336" i="5"/>
  <c r="A1328" i="5"/>
  <c r="A1320" i="5"/>
  <c r="A1312" i="5"/>
  <c r="A1304" i="5"/>
  <c r="A1296" i="5"/>
  <c r="A1288" i="5"/>
  <c r="A1280" i="5"/>
  <c r="A1272" i="5"/>
  <c r="A1264" i="5"/>
  <c r="A1256" i="5"/>
  <c r="A1248" i="5"/>
  <c r="A1240" i="5"/>
  <c r="A1232" i="5"/>
  <c r="A1224" i="5"/>
  <c r="A1216" i="5"/>
  <c r="A1208" i="5"/>
  <c r="A1200" i="5"/>
  <c r="A1192" i="5"/>
  <c r="A1184" i="5"/>
  <c r="A1176" i="5"/>
  <c r="A1168" i="5"/>
  <c r="A1160" i="5"/>
  <c r="A1152" i="5"/>
  <c r="A1144" i="5"/>
  <c r="A1136" i="5"/>
  <c r="A1128" i="5"/>
  <c r="A1120" i="5"/>
  <c r="A1112" i="5"/>
  <c r="A1104" i="5"/>
  <c r="A1096" i="5"/>
  <c r="A1088" i="5"/>
  <c r="A1080" i="5"/>
  <c r="A1072" i="5"/>
  <c r="A1064" i="5"/>
  <c r="A1056" i="5"/>
  <c r="A1048" i="5"/>
  <c r="A1040" i="5"/>
  <c r="A1032" i="5"/>
  <c r="A1024" i="5"/>
  <c r="A1016" i="5"/>
  <c r="A1008" i="5"/>
  <c r="A1000" i="5"/>
  <c r="A992" i="5"/>
  <c r="A984" i="5"/>
  <c r="A976" i="5"/>
  <c r="A968" i="5"/>
  <c r="A960" i="5"/>
  <c r="A952" i="5"/>
  <c r="A944" i="5"/>
  <c r="A936" i="5"/>
  <c r="A928" i="5"/>
  <c r="A920" i="5"/>
  <c r="A912" i="5"/>
  <c r="A904" i="5"/>
  <c r="A896" i="5"/>
  <c r="A888" i="5"/>
  <c r="A880" i="5"/>
  <c r="A872" i="5"/>
  <c r="A864" i="5"/>
  <c r="A856" i="5"/>
  <c r="A848" i="5"/>
  <c r="A840" i="5"/>
  <c r="A832" i="5"/>
  <c r="A824" i="5"/>
  <c r="A816" i="5"/>
  <c r="A808" i="5"/>
  <c r="A800" i="5"/>
  <c r="A792" i="5"/>
  <c r="A784" i="5"/>
  <c r="A776" i="5"/>
  <c r="A768" i="5"/>
  <c r="A760" i="5"/>
  <c r="A752" i="5"/>
  <c r="A744" i="5"/>
  <c r="A736" i="5"/>
  <c r="A728" i="5"/>
  <c r="A720" i="5"/>
  <c r="A712" i="5"/>
  <c r="A704" i="5"/>
  <c r="A696" i="5"/>
  <c r="A688" i="5"/>
  <c r="A680" i="5"/>
  <c r="A672" i="5"/>
  <c r="A664" i="5"/>
  <c r="A656" i="5"/>
  <c r="A648" i="5"/>
  <c r="A640" i="5"/>
  <c r="A632" i="5"/>
  <c r="A624" i="5"/>
  <c r="A616" i="5"/>
  <c r="A608" i="5"/>
  <c r="A600" i="5"/>
  <c r="A592" i="5"/>
  <c r="A584" i="5"/>
  <c r="A576" i="5"/>
  <c r="A568" i="5"/>
  <c r="A560" i="5"/>
  <c r="A552" i="5"/>
  <c r="A544" i="5"/>
  <c r="A536" i="5"/>
  <c r="A528" i="5"/>
  <c r="A520" i="5"/>
  <c r="A512" i="5"/>
  <c r="A504" i="5"/>
  <c r="A496" i="5"/>
  <c r="A488" i="5"/>
  <c r="A480" i="5"/>
  <c r="A472" i="5"/>
  <c r="A464" i="5"/>
  <c r="A456" i="5"/>
  <c r="A448" i="5"/>
  <c r="A440" i="5"/>
  <c r="A432" i="5"/>
  <c r="A424" i="5"/>
  <c r="A416" i="5"/>
  <c r="A408" i="5"/>
  <c r="A400" i="5"/>
  <c r="A392" i="5"/>
  <c r="A384" i="5"/>
  <c r="A376" i="5"/>
  <c r="A368" i="5"/>
  <c r="A360" i="5"/>
  <c r="A352" i="5"/>
  <c r="A344" i="5"/>
  <c r="A336" i="5"/>
  <c r="A328" i="5"/>
  <c r="A320" i="5"/>
  <c r="A312" i="5"/>
  <c r="A304" i="5"/>
  <c r="A296" i="5"/>
  <c r="A288" i="5"/>
  <c r="A280" i="5"/>
  <c r="A272" i="5"/>
  <c r="A264" i="5"/>
  <c r="A256" i="5"/>
  <c r="A248" i="5"/>
  <c r="A240" i="5"/>
  <c r="A232" i="5"/>
  <c r="A224" i="5"/>
  <c r="A216" i="5"/>
  <c r="A208" i="5"/>
  <c r="A200" i="5"/>
  <c r="A192" i="5"/>
  <c r="A184" i="5"/>
  <c r="A176" i="5"/>
  <c r="A168" i="5"/>
  <c r="A160" i="5"/>
  <c r="A152" i="5"/>
  <c r="A144" i="5"/>
  <c r="A136" i="5"/>
  <c r="A128" i="5"/>
  <c r="A120" i="5"/>
  <c r="A112" i="5"/>
  <c r="A104" i="5"/>
  <c r="A96" i="5"/>
  <c r="A88" i="5"/>
  <c r="A80" i="5"/>
  <c r="A72" i="5"/>
  <c r="A64" i="5"/>
  <c r="A56" i="5"/>
  <c r="A48" i="5"/>
  <c r="A40" i="5"/>
  <c r="A32" i="5"/>
  <c r="A24" i="5"/>
  <c r="A16" i="5"/>
  <c r="A8" i="5"/>
  <c r="A1" i="5"/>
  <c r="A1702" i="5"/>
  <c r="A1694" i="5"/>
  <c r="A1686" i="5"/>
  <c r="A1678" i="5"/>
  <c r="A1670" i="5"/>
  <c r="A1662" i="5"/>
  <c r="A1654" i="5"/>
  <c r="A1646" i="5"/>
  <c r="A1638" i="5"/>
  <c r="A1630" i="5"/>
  <c r="A1622" i="5"/>
  <c r="A1614" i="5"/>
  <c r="A1606" i="5"/>
  <c r="A1598" i="5"/>
  <c r="A1590" i="5"/>
  <c r="A1582" i="5"/>
  <c r="A1574" i="5"/>
  <c r="A1566" i="5"/>
  <c r="A1558" i="5"/>
  <c r="A1550" i="5"/>
  <c r="A1542" i="5"/>
  <c r="A1534" i="5"/>
  <c r="A1526" i="5"/>
  <c r="A1518" i="5"/>
  <c r="A1510" i="5"/>
  <c r="A1502" i="5"/>
  <c r="A1494" i="5"/>
  <c r="A1486" i="5"/>
  <c r="A1478" i="5"/>
  <c r="A1470" i="5"/>
  <c r="A1462" i="5"/>
  <c r="A1454" i="5"/>
  <c r="A1446" i="5"/>
  <c r="A1438" i="5"/>
  <c r="A1430" i="5"/>
  <c r="A1422" i="5"/>
  <c r="A1414" i="5"/>
  <c r="A1406" i="5"/>
  <c r="A1398" i="5"/>
  <c r="A1390" i="5"/>
  <c r="A1382" i="5"/>
  <c r="A1374" i="5"/>
  <c r="A1366" i="5"/>
  <c r="A1358" i="5"/>
  <c r="A1350" i="5"/>
  <c r="A1342" i="5"/>
  <c r="A1334" i="5"/>
  <c r="A1326" i="5"/>
  <c r="A1318" i="5"/>
  <c r="A1310" i="5"/>
  <c r="A1302" i="5"/>
  <c r="A1294" i="5"/>
  <c r="A1286" i="5"/>
  <c r="A1278" i="5"/>
  <c r="A1270" i="5"/>
  <c r="A1262" i="5"/>
  <c r="A1254" i="5"/>
  <c r="A1246" i="5"/>
  <c r="A1238" i="5"/>
  <c r="A1230" i="5"/>
  <c r="A1222" i="5"/>
  <c r="A1214" i="5"/>
  <c r="A1206" i="5"/>
  <c r="A1198" i="5"/>
  <c r="A1190" i="5"/>
  <c r="A1182" i="5"/>
  <c r="A1174" i="5"/>
  <c r="A1166" i="5"/>
  <c r="A1158" i="5"/>
  <c r="A1150" i="5"/>
  <c r="A1142" i="5"/>
  <c r="A1134" i="5"/>
  <c r="A1126" i="5"/>
  <c r="A1118" i="5"/>
  <c r="A1110" i="5"/>
  <c r="A1102" i="5"/>
  <c r="A1094" i="5"/>
  <c r="A1086" i="5"/>
  <c r="A1078" i="5"/>
  <c r="A1070" i="5"/>
  <c r="A1062" i="5"/>
  <c r="A1054" i="5"/>
  <c r="A1046" i="5"/>
  <c r="A1038" i="5"/>
  <c r="A1030" i="5"/>
  <c r="A1022" i="5"/>
  <c r="A1014" i="5"/>
  <c r="A1006" i="5"/>
  <c r="A998" i="5"/>
  <c r="A990" i="5"/>
  <c r="A982" i="5"/>
  <c r="A974" i="5"/>
  <c r="A966" i="5"/>
  <c r="A958" i="5"/>
  <c r="A950" i="5"/>
  <c r="A942" i="5"/>
  <c r="A934" i="5"/>
  <c r="A926" i="5"/>
  <c r="A918" i="5"/>
  <c r="A910" i="5"/>
  <c r="A902" i="5"/>
  <c r="A894" i="5"/>
  <c r="A886" i="5"/>
  <c r="A878" i="5"/>
  <c r="A870" i="5"/>
  <c r="A862" i="5"/>
  <c r="A854" i="5"/>
  <c r="A846" i="5"/>
  <c r="A838" i="5"/>
  <c r="A830" i="5"/>
  <c r="A822" i="5"/>
  <c r="A814" i="5"/>
  <c r="A806" i="5"/>
  <c r="A798" i="5"/>
  <c r="A790" i="5"/>
  <c r="A782" i="5"/>
  <c r="A774" i="5"/>
  <c r="A766" i="5"/>
  <c r="A758" i="5"/>
  <c r="A750" i="5"/>
  <c r="A742" i="5"/>
  <c r="A734" i="5"/>
  <c r="A726" i="5"/>
  <c r="A718" i="5"/>
  <c r="A710" i="5"/>
  <c r="A702" i="5"/>
  <c r="A694" i="5"/>
  <c r="A686" i="5"/>
  <c r="A678" i="5"/>
  <c r="A670" i="5"/>
  <c r="A662" i="5"/>
  <c r="A654" i="5"/>
  <c r="A646" i="5"/>
  <c r="A638" i="5"/>
  <c r="A630" i="5"/>
  <c r="A622" i="5"/>
  <c r="A614" i="5"/>
  <c r="A606" i="5"/>
  <c r="A598" i="5"/>
  <c r="A590" i="5"/>
  <c r="A582" i="5"/>
  <c r="A574" i="5"/>
  <c r="A566" i="5"/>
  <c r="A558" i="5"/>
  <c r="A550" i="5"/>
  <c r="A542" i="5"/>
  <c r="A534" i="5"/>
  <c r="A526" i="5"/>
  <c r="A518" i="5"/>
  <c r="A510" i="5"/>
  <c r="A502" i="5"/>
  <c r="A494" i="5"/>
  <c r="A486" i="5"/>
  <c r="A478" i="5"/>
  <c r="A470" i="5"/>
  <c r="A462" i="5"/>
  <c r="A454" i="5"/>
  <c r="A446" i="5"/>
  <c r="A438" i="5"/>
  <c r="A430" i="5"/>
  <c r="A422" i="5"/>
  <c r="A414" i="5"/>
  <c r="A406" i="5"/>
  <c r="A398" i="5"/>
  <c r="A390" i="5"/>
  <c r="A382" i="5"/>
  <c r="A374" i="5"/>
  <c r="A366" i="5"/>
  <c r="A358" i="5"/>
  <c r="A350" i="5"/>
  <c r="A342" i="5"/>
  <c r="A334" i="5"/>
  <c r="A326" i="5"/>
  <c r="A318" i="5"/>
  <c r="A310" i="5"/>
  <c r="A302" i="5"/>
  <c r="A294" i="5"/>
  <c r="A286" i="5"/>
  <c r="A278" i="5"/>
  <c r="A270" i="5"/>
  <c r="A262" i="5"/>
  <c r="A254" i="5"/>
  <c r="A246" i="5"/>
  <c r="A238" i="5"/>
  <c r="A230" i="5"/>
  <c r="A222" i="5"/>
  <c r="A214" i="5"/>
  <c r="A206" i="5"/>
  <c r="A198" i="5"/>
  <c r="A190" i="5"/>
  <c r="A182" i="5"/>
  <c r="A174" i="5"/>
  <c r="A166" i="5"/>
  <c r="A158" i="5"/>
  <c r="A150" i="5"/>
  <c r="A142" i="5"/>
  <c r="A134" i="5"/>
  <c r="A126" i="5"/>
  <c r="A118" i="5"/>
  <c r="A110" i="5"/>
  <c r="A102" i="5"/>
  <c r="A94" i="5"/>
  <c r="A86" i="5"/>
  <c r="A78" i="5"/>
  <c r="A70" i="5"/>
  <c r="A62" i="5"/>
  <c r="A54" i="5"/>
  <c r="A46" i="5"/>
  <c r="A38" i="5"/>
  <c r="A30" i="5"/>
  <c r="A22" i="5"/>
  <c r="A14" i="5"/>
  <c r="A6" i="5"/>
  <c r="A1701" i="5"/>
  <c r="A1693" i="5"/>
  <c r="A1685" i="5"/>
  <c r="A1677" i="5"/>
  <c r="A1669" i="5"/>
  <c r="A1661" i="5"/>
  <c r="A1653" i="5"/>
  <c r="A1645" i="5"/>
  <c r="A1637" i="5"/>
  <c r="A1629" i="5"/>
  <c r="A1621" i="5"/>
  <c r="A1613" i="5"/>
  <c r="A1605" i="5"/>
  <c r="A1597" i="5"/>
  <c r="A1589" i="5"/>
  <c r="A1581" i="5"/>
  <c r="A1573" i="5"/>
  <c r="A1565" i="5"/>
  <c r="A1557" i="5"/>
  <c r="A1549" i="5"/>
  <c r="A1541" i="5"/>
  <c r="A1533" i="5"/>
  <c r="A1525" i="5"/>
  <c r="A1517" i="5"/>
  <c r="A1509" i="5"/>
  <c r="A1501" i="5"/>
  <c r="A1493" i="5"/>
  <c r="A1485" i="5"/>
  <c r="A1477" i="5"/>
  <c r="A1469" i="5"/>
  <c r="A1461" i="5"/>
  <c r="A1453" i="5"/>
  <c r="A1445" i="5"/>
  <c r="A1437" i="5"/>
  <c r="A1429" i="5"/>
  <c r="A1421" i="5"/>
  <c r="A1413" i="5"/>
  <c r="A1405" i="5"/>
  <c r="A1397" i="5"/>
  <c r="A1389" i="5"/>
  <c r="A1381" i="5"/>
  <c r="A1373" i="5"/>
  <c r="A1365" i="5"/>
  <c r="A1357" i="5"/>
  <c r="A1349" i="5"/>
  <c r="A1341" i="5"/>
  <c r="A1333" i="5"/>
  <c r="A1325" i="5"/>
  <c r="A1317" i="5"/>
  <c r="A1309" i="5"/>
  <c r="A1301" i="5"/>
  <c r="A1293" i="5"/>
  <c r="A1285" i="5"/>
  <c r="A1277" i="5"/>
  <c r="A1269" i="5"/>
  <c r="A1261" i="5"/>
  <c r="A1253" i="5"/>
  <c r="A1245" i="5"/>
  <c r="A1237" i="5"/>
  <c r="A1229" i="5"/>
  <c r="A1221" i="5"/>
  <c r="A1213" i="5"/>
  <c r="A1205" i="5"/>
  <c r="A1197" i="5"/>
  <c r="A1189" i="5"/>
  <c r="A1181" i="5"/>
  <c r="A1173" i="5"/>
  <c r="A1165" i="5"/>
  <c r="A1157" i="5"/>
  <c r="A1149" i="5"/>
  <c r="A1141" i="5"/>
  <c r="A1133" i="5"/>
  <c r="A1125" i="5"/>
  <c r="A1117" i="5"/>
  <c r="A1109" i="5"/>
  <c r="A1101" i="5"/>
  <c r="A1093" i="5"/>
  <c r="A1085" i="5"/>
  <c r="A1077" i="5"/>
  <c r="A1069" i="5"/>
  <c r="A1061" i="5"/>
  <c r="A1053" i="5"/>
  <c r="A1045" i="5"/>
  <c r="A1037" i="5"/>
  <c r="A1029" i="5"/>
  <c r="A1021" i="5"/>
  <c r="A1013" i="5"/>
  <c r="A1005" i="5"/>
  <c r="A997" i="5"/>
  <c r="A989" i="5"/>
  <c r="A981" i="5"/>
  <c r="A973" i="5"/>
  <c r="A965" i="5"/>
  <c r="A957" i="5"/>
  <c r="A949" i="5"/>
  <c r="A941" i="5"/>
  <c r="A933" i="5"/>
  <c r="A925" i="5"/>
  <c r="A917" i="5"/>
  <c r="A909" i="5"/>
  <c r="A901" i="5"/>
  <c r="A893" i="5"/>
  <c r="A885" i="5"/>
  <c r="A877" i="5"/>
  <c r="A869" i="5"/>
  <c r="A861" i="5"/>
  <c r="A853" i="5"/>
  <c r="A845" i="5"/>
  <c r="A837" i="5"/>
  <c r="A829" i="5"/>
  <c r="A821" i="5"/>
  <c r="A813" i="5"/>
  <c r="A805" i="5"/>
  <c r="A797" i="5"/>
  <c r="A789" i="5"/>
  <c r="A781" i="5"/>
  <c r="A773" i="5"/>
  <c r="A765" i="5"/>
  <c r="A757" i="5"/>
  <c r="A749" i="5"/>
  <c r="A741" i="5"/>
  <c r="A733" i="5"/>
  <c r="A725" i="5"/>
  <c r="A717" i="5"/>
  <c r="A709" i="5"/>
  <c r="A701" i="5"/>
  <c r="A693" i="5"/>
  <c r="A685" i="5"/>
  <c r="A677" i="5"/>
  <c r="A669" i="5"/>
  <c r="A661" i="5"/>
  <c r="A653" i="5"/>
  <c r="A645" i="5"/>
  <c r="A637" i="5"/>
  <c r="A629" i="5"/>
  <c r="A621" i="5"/>
  <c r="A613" i="5"/>
  <c r="A605" i="5"/>
  <c r="A597" i="5"/>
  <c r="A589" i="5"/>
  <c r="A581" i="5"/>
  <c r="A573" i="5"/>
  <c r="A565" i="5"/>
  <c r="A557" i="5"/>
  <c r="A549" i="5"/>
  <c r="A541" i="5"/>
  <c r="A533" i="5"/>
  <c r="A525" i="5"/>
  <c r="A517" i="5"/>
  <c r="A509" i="5"/>
  <c r="A501" i="5"/>
  <c r="A493" i="5"/>
  <c r="A485" i="5"/>
  <c r="A477" i="5"/>
  <c r="A469" i="5"/>
  <c r="A461" i="5"/>
  <c r="A453" i="5"/>
  <c r="A445" i="5"/>
  <c r="A437" i="5"/>
  <c r="A429" i="5"/>
  <c r="A421" i="5"/>
  <c r="A413" i="5"/>
  <c r="A405" i="5"/>
  <c r="A397" i="5"/>
  <c r="A389" i="5"/>
  <c r="A381" i="5"/>
  <c r="A373" i="5"/>
  <c r="A365" i="5"/>
  <c r="A357" i="5"/>
  <c r="A349" i="5"/>
  <c r="A341" i="5"/>
  <c r="A333" i="5"/>
  <c r="A325" i="5"/>
  <c r="A317" i="5"/>
  <c r="A309" i="5"/>
  <c r="A301" i="5"/>
  <c r="A293" i="5"/>
  <c r="A285" i="5"/>
  <c r="A277" i="5"/>
  <c r="A269" i="5"/>
  <c r="A261" i="5"/>
  <c r="A253" i="5"/>
  <c r="A245" i="5"/>
  <c r="A237" i="5"/>
  <c r="A229" i="5"/>
  <c r="A221" i="5"/>
  <c r="A213" i="5"/>
  <c r="A205" i="5"/>
  <c r="A197" i="5"/>
  <c r="A189" i="5"/>
  <c r="A181" i="5"/>
  <c r="A173" i="5"/>
  <c r="A165" i="5"/>
  <c r="A157" i="5"/>
  <c r="A149" i="5"/>
  <c r="A141" i="5"/>
  <c r="A133" i="5"/>
  <c r="A125" i="5"/>
  <c r="A117" i="5"/>
  <c r="A109" i="5"/>
  <c r="A101" i="5"/>
  <c r="A93" i="5"/>
  <c r="A85" i="5"/>
  <c r="A77" i="5"/>
  <c r="A69" i="5"/>
  <c r="A61" i="5"/>
  <c r="A53" i="5"/>
  <c r="A45" i="5"/>
  <c r="A37" i="5"/>
  <c r="A29" i="5"/>
  <c r="A21" i="5"/>
  <c r="A13" i="5"/>
  <c r="A5" i="5"/>
  <c r="A1700" i="5"/>
  <c r="A1692" i="5"/>
  <c r="A1684" i="5"/>
  <c r="A1676" i="5"/>
  <c r="A1668" i="5"/>
  <c r="A1660" i="5"/>
  <c r="A1652" i="5"/>
  <c r="A1644" i="5"/>
  <c r="A1636" i="5"/>
  <c r="A1628" i="5"/>
  <c r="A1620" i="5"/>
  <c r="A1612" i="5"/>
  <c r="A1604" i="5"/>
  <c r="A1596" i="5"/>
  <c r="A1588" i="5"/>
  <c r="A1580" i="5"/>
  <c r="A1572" i="5"/>
  <c r="A1564" i="5"/>
  <c r="A1556" i="5"/>
  <c r="A1548" i="5"/>
  <c r="A1540" i="5"/>
  <c r="A1532" i="5"/>
  <c r="A1524" i="5"/>
  <c r="A1516" i="5"/>
  <c r="A1508" i="5"/>
  <c r="A1500" i="5"/>
  <c r="A1492" i="5"/>
  <c r="A1484" i="5"/>
  <c r="A1476" i="5"/>
  <c r="A1468" i="5"/>
  <c r="A1460" i="5"/>
  <c r="A1452" i="5"/>
  <c r="A1444" i="5"/>
  <c r="A1436" i="5"/>
  <c r="A1428" i="5"/>
  <c r="A1420" i="5"/>
  <c r="A1412" i="5"/>
  <c r="A1404" i="5"/>
  <c r="A1396" i="5"/>
  <c r="A1388" i="5"/>
  <c r="A1380" i="5"/>
  <c r="A1372" i="5"/>
  <c r="A1364" i="5"/>
  <c r="A1356" i="5"/>
  <c r="A1348" i="5"/>
  <c r="A1340" i="5"/>
  <c r="A1332" i="5"/>
  <c r="A1324" i="5"/>
  <c r="A1316" i="5"/>
  <c r="A1308" i="5"/>
  <c r="A1300" i="5"/>
  <c r="A1292" i="5"/>
  <c r="A1284" i="5"/>
  <c r="A1276" i="5"/>
  <c r="A1268" i="5"/>
  <c r="A1260" i="5"/>
  <c r="A1252" i="5"/>
  <c r="A1244" i="5"/>
  <c r="A1236" i="5"/>
  <c r="A1228" i="5"/>
  <c r="A1220" i="5"/>
  <c r="A1212" i="5"/>
  <c r="A1204" i="5"/>
  <c r="A1196" i="5"/>
  <c r="A1188" i="5"/>
  <c r="A1180" i="5"/>
  <c r="A1172" i="5"/>
  <c r="A1164" i="5"/>
  <c r="A1156" i="5"/>
  <c r="A1148" i="5"/>
  <c r="A1140" i="5"/>
  <c r="A1132" i="5"/>
  <c r="A1124" i="5"/>
  <c r="A1116" i="5"/>
  <c r="A1108" i="5"/>
  <c r="A1100" i="5"/>
  <c r="A1092" i="5"/>
  <c r="A1084" i="5"/>
  <c r="A1076" i="5"/>
  <c r="A1068" i="5"/>
  <c r="A1060" i="5"/>
  <c r="A1052" i="5"/>
  <c r="A1044" i="5"/>
  <c r="A1036" i="5"/>
  <c r="A1028" i="5"/>
  <c r="A1020" i="5"/>
  <c r="A1012" i="5"/>
  <c r="A1004" i="5"/>
  <c r="A996" i="5"/>
  <c r="A988" i="5"/>
  <c r="A980" i="5"/>
  <c r="A972" i="5"/>
  <c r="A964" i="5"/>
  <c r="A956" i="5"/>
  <c r="A948" i="5"/>
  <c r="A940" i="5"/>
  <c r="A932" i="5"/>
  <c r="A924" i="5"/>
  <c r="A916" i="5"/>
  <c r="A908" i="5"/>
  <c r="A900" i="5"/>
  <c r="A892" i="5"/>
  <c r="A884" i="5"/>
  <c r="A876" i="5"/>
  <c r="A868" i="5"/>
  <c r="A860" i="5"/>
  <c r="A852" i="5"/>
  <c r="A844" i="5"/>
  <c r="A836" i="5"/>
  <c r="A828" i="5"/>
  <c r="A820" i="5"/>
  <c r="A812" i="5"/>
  <c r="A804" i="5"/>
  <c r="A796" i="5"/>
  <c r="A788" i="5"/>
  <c r="A780" i="5"/>
  <c r="A772" i="5"/>
  <c r="A764" i="5"/>
  <c r="A756" i="5"/>
  <c r="A748" i="5"/>
  <c r="A740" i="5"/>
  <c r="A732" i="5"/>
  <c r="A724" i="5"/>
  <c r="A716" i="5"/>
  <c r="A708" i="5"/>
  <c r="A700" i="5"/>
  <c r="A692" i="5"/>
  <c r="A684" i="5"/>
  <c r="A676" i="5"/>
  <c r="A668" i="5"/>
  <c r="A660" i="5"/>
  <c r="A652" i="5"/>
  <c r="A644" i="5"/>
  <c r="A636" i="5"/>
  <c r="A628" i="5"/>
  <c r="A620" i="5"/>
  <c r="A612" i="5"/>
  <c r="A604" i="5"/>
  <c r="A596" i="5"/>
  <c r="A588" i="5"/>
  <c r="A580" i="5"/>
  <c r="A572" i="5"/>
  <c r="A564" i="5"/>
  <c r="A556" i="5"/>
  <c r="A548" i="5"/>
  <c r="A540" i="5"/>
  <c r="A532" i="5"/>
  <c r="A524" i="5"/>
  <c r="A516" i="5"/>
  <c r="A508" i="5"/>
  <c r="A500" i="5"/>
  <c r="A492" i="5"/>
  <c r="A484" i="5"/>
  <c r="A476" i="5"/>
  <c r="A468" i="5"/>
  <c r="A460" i="5"/>
  <c r="A452" i="5"/>
  <c r="A444" i="5"/>
  <c r="A436" i="5"/>
  <c r="A428" i="5"/>
  <c r="A420" i="5"/>
  <c r="A412" i="5"/>
  <c r="A404" i="5"/>
  <c r="A396" i="5"/>
  <c r="A388" i="5"/>
  <c r="A380" i="5"/>
  <c r="A372" i="5"/>
  <c r="A364" i="5"/>
  <c r="A356" i="5"/>
  <c r="A348" i="5"/>
  <c r="A340" i="5"/>
  <c r="A332" i="5"/>
  <c r="A324" i="5"/>
  <c r="A316" i="5"/>
  <c r="A308" i="5"/>
  <c r="A300" i="5"/>
  <c r="A292" i="5"/>
  <c r="A284" i="5"/>
  <c r="A276" i="5"/>
  <c r="A268" i="5"/>
  <c r="A260" i="5"/>
  <c r="A252" i="5"/>
  <c r="A244" i="5"/>
  <c r="A236" i="5"/>
  <c r="A228" i="5"/>
  <c r="A220" i="5"/>
  <c r="A212" i="5"/>
  <c r="A204" i="5"/>
  <c r="A196" i="5"/>
  <c r="A188" i="5"/>
  <c r="A180" i="5"/>
  <c r="A172" i="5"/>
  <c r="A164" i="5"/>
  <c r="A156" i="5"/>
  <c r="A148" i="5"/>
  <c r="A140" i="5"/>
  <c r="A132" i="5"/>
  <c r="A124" i="5"/>
  <c r="A116" i="5"/>
  <c r="A108" i="5"/>
  <c r="A100" i="5"/>
  <c r="A92" i="5"/>
  <c r="A84" i="5"/>
  <c r="A76" i="5"/>
  <c r="A68" i="5"/>
  <c r="A60" i="5"/>
  <c r="A52" i="5"/>
  <c r="A44" i="5"/>
  <c r="A36" i="5"/>
  <c r="A28" i="5"/>
  <c r="A20" i="5"/>
  <c r="A12" i="5"/>
  <c r="A4" i="5"/>
  <c r="A1705" i="5"/>
  <c r="A1683" i="5"/>
  <c r="A1663" i="5"/>
  <c r="A1641" i="5"/>
  <c r="A1619" i="5"/>
  <c r="A1599" i="5"/>
  <c r="A1577" i="5"/>
  <c r="A1555" i="5"/>
  <c r="A1535" i="5"/>
  <c r="A1513" i="5"/>
  <c r="A1491" i="5"/>
  <c r="A1471" i="5"/>
  <c r="A1449" i="5"/>
  <c r="A1427" i="5"/>
  <c r="A1407" i="5"/>
  <c r="A1385" i="5"/>
  <c r="A1363" i="5"/>
  <c r="A1343" i="5"/>
  <c r="A1321" i="5"/>
  <c r="A1299" i="5"/>
  <c r="A1279" i="5"/>
  <c r="A1257" i="5"/>
  <c r="A1235" i="5"/>
  <c r="A1215" i="5"/>
  <c r="A1193" i="5"/>
  <c r="A1171" i="5"/>
  <c r="A1151" i="5"/>
  <c r="A1129" i="5"/>
  <c r="A1107" i="5"/>
  <c r="A1087" i="5"/>
  <c r="A1065" i="5"/>
  <c r="A1043" i="5"/>
  <c r="A1023" i="5"/>
  <c r="A1001" i="5"/>
  <c r="A979" i="5"/>
  <c r="A959" i="5"/>
  <c r="A937" i="5"/>
  <c r="A915" i="5"/>
  <c r="A895" i="5"/>
  <c r="A873" i="5"/>
  <c r="A851" i="5"/>
  <c r="A831" i="5"/>
  <c r="A809" i="5"/>
  <c r="A787" i="5"/>
  <c r="A767" i="5"/>
  <c r="A745" i="5"/>
  <c r="A723" i="5"/>
  <c r="A703" i="5"/>
  <c r="A681" i="5"/>
  <c r="A659" i="5"/>
  <c r="A639" i="5"/>
  <c r="A617" i="5"/>
  <c r="A595" i="5"/>
  <c r="A575" i="5"/>
  <c r="A553" i="5"/>
  <c r="A531" i="5"/>
  <c r="A511" i="5"/>
  <c r="A489" i="5"/>
  <c r="A467" i="5"/>
  <c r="A447" i="5"/>
  <c r="A425" i="5"/>
  <c r="A403" i="5"/>
  <c r="A383" i="5"/>
  <c r="A361" i="5"/>
  <c r="A339" i="5"/>
  <c r="A319" i="5"/>
  <c r="A297" i="5"/>
  <c r="A275" i="5"/>
  <c r="A255" i="5"/>
  <c r="A233" i="5"/>
  <c r="A211" i="5"/>
  <c r="A191" i="5"/>
  <c r="A169" i="5"/>
  <c r="A147" i="5"/>
  <c r="A127" i="5"/>
  <c r="A105" i="5"/>
  <c r="A83" i="5"/>
  <c r="A63" i="5"/>
  <c r="A41" i="5"/>
  <c r="A19" i="5"/>
  <c r="A1703" i="5"/>
  <c r="A1681" i="5"/>
  <c r="A1659" i="5"/>
  <c r="A1639" i="5"/>
  <c r="A1617" i="5"/>
  <c r="A1595" i="5"/>
  <c r="A1575" i="5"/>
  <c r="A1553" i="5"/>
  <c r="A1531" i="5"/>
  <c r="A1511" i="5"/>
  <c r="A1489" i="5"/>
  <c r="A1467" i="5"/>
  <c r="A1447" i="5"/>
  <c r="A1425" i="5"/>
  <c r="A1403" i="5"/>
  <c r="A1383" i="5"/>
  <c r="A1361" i="5"/>
  <c r="A1339" i="5"/>
  <c r="A1319" i="5"/>
  <c r="A1297" i="5"/>
  <c r="A1275" i="5"/>
  <c r="A1255" i="5"/>
  <c r="A1233" i="5"/>
  <c r="A1211" i="5"/>
  <c r="A1191" i="5"/>
  <c r="A1169" i="5"/>
  <c r="A1147" i="5"/>
  <c r="A1127" i="5"/>
  <c r="A1105" i="5"/>
  <c r="A1083" i="5"/>
  <c r="A1063" i="5"/>
  <c r="A1041" i="5"/>
  <c r="A1019" i="5"/>
  <c r="A999" i="5"/>
  <c r="A977" i="5"/>
  <c r="A955" i="5"/>
  <c r="A935" i="5"/>
  <c r="A913" i="5"/>
  <c r="A891" i="5"/>
  <c r="A871" i="5"/>
  <c r="A849" i="5"/>
  <c r="A827" i="5"/>
  <c r="A807" i="5"/>
  <c r="A785" i="5"/>
  <c r="A763" i="5"/>
  <c r="A743" i="5"/>
  <c r="A721" i="5"/>
  <c r="A699" i="5"/>
  <c r="A679" i="5"/>
  <c r="A657" i="5"/>
  <c r="A635" i="5"/>
  <c r="A615" i="5"/>
  <c r="A593" i="5"/>
  <c r="A571" i="5"/>
  <c r="A551" i="5"/>
  <c r="A529" i="5"/>
  <c r="A507" i="5"/>
  <c r="A487" i="5"/>
  <c r="A465" i="5"/>
  <c r="A443" i="5"/>
  <c r="A423" i="5"/>
  <c r="A401" i="5"/>
  <c r="A379" i="5"/>
  <c r="A359" i="5"/>
  <c r="A337" i="5"/>
  <c r="A315" i="5"/>
  <c r="A295" i="5"/>
  <c r="A273" i="5"/>
  <c r="A251" i="5"/>
  <c r="A231" i="5"/>
  <c r="A209" i="5"/>
  <c r="A187" i="5"/>
  <c r="A167" i="5"/>
  <c r="A145" i="5"/>
  <c r="A123" i="5"/>
  <c r="A103" i="5"/>
  <c r="A81" i="5"/>
  <c r="A59" i="5"/>
  <c r="A39" i="5"/>
  <c r="A17" i="5"/>
  <c r="A1699" i="5"/>
  <c r="A1679" i="5"/>
  <c r="A1657" i="5"/>
  <c r="A1635" i="5"/>
  <c r="A1615" i="5"/>
  <c r="A1593" i="5"/>
  <c r="A1571" i="5"/>
  <c r="A1551" i="5"/>
  <c r="A1529" i="5"/>
  <c r="A1507" i="5"/>
  <c r="A1487" i="5"/>
  <c r="A1465" i="5"/>
  <c r="A1443" i="5"/>
  <c r="A1423" i="5"/>
  <c r="A1401" i="5"/>
  <c r="A1379" i="5"/>
  <c r="A1359" i="5"/>
  <c r="A1337" i="5"/>
  <c r="A1315" i="5"/>
  <c r="A1295" i="5"/>
  <c r="A1273" i="5"/>
  <c r="A1251" i="5"/>
  <c r="A1231" i="5"/>
  <c r="A1209" i="5"/>
  <c r="A1187" i="5"/>
  <c r="A1167" i="5"/>
  <c r="A1145" i="5"/>
  <c r="A1123" i="5"/>
  <c r="A1103" i="5"/>
  <c r="A1081" i="5"/>
  <c r="A1059" i="5"/>
  <c r="A1039" i="5"/>
  <c r="A1017" i="5"/>
  <c r="A995" i="5"/>
  <c r="A975" i="5"/>
  <c r="A953" i="5"/>
  <c r="A931" i="5"/>
  <c r="A911" i="5"/>
  <c r="A889" i="5"/>
  <c r="A867" i="5"/>
  <c r="A847" i="5"/>
  <c r="A825" i="5"/>
  <c r="A803" i="5"/>
  <c r="A783" i="5"/>
  <c r="A761" i="5"/>
  <c r="A739" i="5"/>
  <c r="A719" i="5"/>
  <c r="A697" i="5"/>
  <c r="A675" i="5"/>
  <c r="A655" i="5"/>
  <c r="A633" i="5"/>
  <c r="A611" i="5"/>
  <c r="A591" i="5"/>
  <c r="A569" i="5"/>
  <c r="A547" i="5"/>
  <c r="A527" i="5"/>
  <c r="A505" i="5"/>
  <c r="A483" i="5"/>
  <c r="A463" i="5"/>
  <c r="A441" i="5"/>
  <c r="A419" i="5"/>
  <c r="A399" i="5"/>
  <c r="A377" i="5"/>
  <c r="A355" i="5"/>
  <c r="A335" i="5"/>
  <c r="A313" i="5"/>
  <c r="A291" i="5"/>
  <c r="A271" i="5"/>
  <c r="A249" i="5"/>
  <c r="A227" i="5"/>
  <c r="A207" i="5"/>
  <c r="A185" i="5"/>
  <c r="A163" i="5"/>
  <c r="A143" i="5"/>
  <c r="A121" i="5"/>
  <c r="A99" i="5"/>
  <c r="A79" i="5"/>
  <c r="A57" i="5"/>
  <c r="A35" i="5"/>
  <c r="A15" i="5"/>
  <c r="A1697" i="5"/>
  <c r="A1675" i="5"/>
  <c r="A1655" i="5"/>
  <c r="A1633" i="5"/>
  <c r="A1611" i="5"/>
  <c r="A1591" i="5"/>
  <c r="A1569" i="5"/>
  <c r="A1547" i="5"/>
  <c r="A1527" i="5"/>
  <c r="A1505" i="5"/>
  <c r="A1483" i="5"/>
  <c r="A1463" i="5"/>
  <c r="A1441" i="5"/>
  <c r="A1419" i="5"/>
  <c r="A1399" i="5"/>
  <c r="A1377" i="5"/>
  <c r="A1355" i="5"/>
  <c r="A1335" i="5"/>
  <c r="A1313" i="5"/>
  <c r="A1291" i="5"/>
  <c r="A1271" i="5"/>
  <c r="A1249" i="5"/>
  <c r="A1227" i="5"/>
  <c r="A1207" i="5"/>
  <c r="A1185" i="5"/>
  <c r="A1163" i="5"/>
  <c r="A1143" i="5"/>
  <c r="A1121" i="5"/>
  <c r="A1099" i="5"/>
  <c r="A1079" i="5"/>
  <c r="A1057" i="5"/>
  <c r="A1035" i="5"/>
  <c r="A1015" i="5"/>
  <c r="A993" i="5"/>
  <c r="A971" i="5"/>
  <c r="A951" i="5"/>
  <c r="A929" i="5"/>
  <c r="A907" i="5"/>
  <c r="A887" i="5"/>
  <c r="A865" i="5"/>
  <c r="A843" i="5"/>
  <c r="A823" i="5"/>
  <c r="A801" i="5"/>
  <c r="A779" i="5"/>
  <c r="A759" i="5"/>
  <c r="A737" i="5"/>
  <c r="A715" i="5"/>
  <c r="A695" i="5"/>
  <c r="A673" i="5"/>
  <c r="A651" i="5"/>
  <c r="A631" i="5"/>
  <c r="A609" i="5"/>
  <c r="A587" i="5"/>
  <c r="A567" i="5"/>
  <c r="A545" i="5"/>
  <c r="A523" i="5"/>
  <c r="A503" i="5"/>
  <c r="A481" i="5"/>
  <c r="A459" i="5"/>
  <c r="A439" i="5"/>
  <c r="A417" i="5"/>
  <c r="A395" i="5"/>
  <c r="A375" i="5"/>
  <c r="A353" i="5"/>
  <c r="A331" i="5"/>
  <c r="A311" i="5"/>
  <c r="A289" i="5"/>
  <c r="A267" i="5"/>
  <c r="A247" i="5"/>
  <c r="A225" i="5"/>
  <c r="A203" i="5"/>
  <c r="A183" i="5"/>
  <c r="A161" i="5"/>
  <c r="A139" i="5"/>
  <c r="A119" i="5"/>
  <c r="A97" i="5"/>
  <c r="A75" i="5"/>
  <c r="A55" i="5"/>
  <c r="A33" i="5"/>
  <c r="A11" i="5"/>
  <c r="A1691" i="5"/>
  <c r="A1671" i="5"/>
  <c r="A1649" i="5"/>
  <c r="A1627" i="5"/>
  <c r="A1607" i="5"/>
  <c r="A1585" i="5"/>
  <c r="A1563" i="5"/>
  <c r="A1543" i="5"/>
  <c r="A1521" i="5"/>
  <c r="A1499" i="5"/>
  <c r="A1479" i="5"/>
  <c r="A1457" i="5"/>
  <c r="A1435" i="5"/>
  <c r="A1415" i="5"/>
  <c r="A1393" i="5"/>
  <c r="A1371" i="5"/>
  <c r="A1351" i="5"/>
  <c r="A1329" i="5"/>
  <c r="A1307" i="5"/>
  <c r="A1287" i="5"/>
  <c r="A1265" i="5"/>
  <c r="A1243" i="5"/>
  <c r="A1223" i="5"/>
  <c r="A1201" i="5"/>
  <c r="A1179" i="5"/>
  <c r="A1159" i="5"/>
  <c r="A1137" i="5"/>
  <c r="A1115" i="5"/>
  <c r="A1095" i="5"/>
  <c r="A1073" i="5"/>
  <c r="A1051" i="5"/>
  <c r="A1031" i="5"/>
  <c r="A1009" i="5"/>
  <c r="A987" i="5"/>
  <c r="A967" i="5"/>
  <c r="A945" i="5"/>
  <c r="A923" i="5"/>
  <c r="A903" i="5"/>
  <c r="A881" i="5"/>
  <c r="A859" i="5"/>
  <c r="A839" i="5"/>
  <c r="A817" i="5"/>
  <c r="A795" i="5"/>
  <c r="A775" i="5"/>
  <c r="A753" i="5"/>
  <c r="A731" i="5"/>
  <c r="A711" i="5"/>
  <c r="A689" i="5"/>
  <c r="A667" i="5"/>
  <c r="A647" i="5"/>
  <c r="A625" i="5"/>
  <c r="A603" i="5"/>
  <c r="A583" i="5"/>
  <c r="A561" i="5"/>
  <c r="A539" i="5"/>
  <c r="A519" i="5"/>
  <c r="A497" i="5"/>
  <c r="A475" i="5"/>
  <c r="A455" i="5"/>
  <c r="A433" i="5"/>
  <c r="A411" i="5"/>
  <c r="A391" i="5"/>
  <c r="A369" i="5"/>
  <c r="A347" i="5"/>
  <c r="A327" i="5"/>
  <c r="A305" i="5"/>
  <c r="A283" i="5"/>
  <c r="A263" i="5"/>
  <c r="A241" i="5"/>
  <c r="A219" i="5"/>
  <c r="A199" i="5"/>
  <c r="A177" i="5"/>
  <c r="A155" i="5"/>
  <c r="A135" i="5"/>
  <c r="A113" i="5"/>
  <c r="A91" i="5"/>
  <c r="A71" i="5"/>
  <c r="A49" i="5"/>
  <c r="A27" i="5"/>
  <c r="A7" i="5"/>
  <c r="A1673" i="5"/>
  <c r="A1623" i="5"/>
  <c r="A1561" i="5"/>
  <c r="A1503" i="5"/>
  <c r="A1451" i="5"/>
  <c r="A1391" i="5"/>
  <c r="A1331" i="5"/>
  <c r="A1281" i="5"/>
  <c r="A1219" i="5"/>
  <c r="A1161" i="5"/>
  <c r="A1111" i="5"/>
  <c r="A1049" i="5"/>
  <c r="A991" i="5"/>
  <c r="A939" i="5"/>
  <c r="A879" i="5"/>
  <c r="A819" i="5"/>
  <c r="A769" i="5"/>
  <c r="A707" i="5"/>
  <c r="A649" i="5"/>
  <c r="A599" i="5"/>
  <c r="A537" i="5"/>
  <c r="A479" i="5"/>
  <c r="A427" i="5"/>
  <c r="A367" i="5"/>
  <c r="A307" i="5"/>
  <c r="A257" i="5"/>
  <c r="A195" i="5"/>
  <c r="A137" i="5"/>
  <c r="A87" i="5"/>
  <c r="A25" i="5"/>
  <c r="A1537" i="5"/>
  <c r="A963" i="5"/>
  <c r="A623" i="5"/>
  <c r="A223" i="5"/>
  <c r="A1667" i="5"/>
  <c r="A1609" i="5"/>
  <c r="A1559" i="5"/>
  <c r="A1497" i="5"/>
  <c r="A1439" i="5"/>
  <c r="A1387" i="5"/>
  <c r="A1327" i="5"/>
  <c r="A1267" i="5"/>
  <c r="A1217" i="5"/>
  <c r="A1155" i="5"/>
  <c r="A1097" i="5"/>
  <c r="A1047" i="5"/>
  <c r="A985" i="5"/>
  <c r="A927" i="5"/>
  <c r="A875" i="5"/>
  <c r="A815" i="5"/>
  <c r="A755" i="5"/>
  <c r="A705" i="5"/>
  <c r="A643" i="5"/>
  <c r="A585" i="5"/>
  <c r="A535" i="5"/>
  <c r="A473" i="5"/>
  <c r="A415" i="5"/>
  <c r="A363" i="5"/>
  <c r="A303" i="5"/>
  <c r="A243" i="5"/>
  <c r="A193" i="5"/>
  <c r="A131" i="5"/>
  <c r="A73" i="5"/>
  <c r="A23" i="5"/>
  <c r="A1647" i="5"/>
  <c r="A1665" i="5"/>
  <c r="A1603" i="5"/>
  <c r="A1545" i="5"/>
  <c r="A1495" i="5"/>
  <c r="A1433" i="5"/>
  <c r="A1375" i="5"/>
  <c r="A1323" i="5"/>
  <c r="A1263" i="5"/>
  <c r="A1203" i="5"/>
  <c r="A1153" i="5"/>
  <c r="A1091" i="5"/>
  <c r="A1033" i="5"/>
  <c r="A983" i="5"/>
  <c r="A921" i="5"/>
  <c r="A863" i="5"/>
  <c r="A811" i="5"/>
  <c r="A751" i="5"/>
  <c r="A691" i="5"/>
  <c r="A641" i="5"/>
  <c r="A579" i="5"/>
  <c r="A521" i="5"/>
  <c r="A471" i="5"/>
  <c r="A409" i="5"/>
  <c r="A351" i="5"/>
  <c r="A299" i="5"/>
  <c r="A239" i="5"/>
  <c r="A179" i="5"/>
  <c r="A129" i="5"/>
  <c r="A67" i="5"/>
  <c r="A9" i="5"/>
  <c r="A1417" i="5"/>
  <c r="A1367" i="5"/>
  <c r="A1305" i="5"/>
  <c r="A1195" i="5"/>
  <c r="A1135" i="5"/>
  <c r="A905" i="5"/>
  <c r="A735" i="5"/>
  <c r="A513" i="5"/>
  <c r="A281" i="5"/>
  <c r="A111" i="5"/>
  <c r="A1651" i="5"/>
  <c r="A1601" i="5"/>
  <c r="A1539" i="5"/>
  <c r="A1481" i="5"/>
  <c r="A1431" i="5"/>
  <c r="A1369" i="5"/>
  <c r="A1311" i="5"/>
  <c r="A1259" i="5"/>
  <c r="A1199" i="5"/>
  <c r="A1139" i="5"/>
  <c r="A1089" i="5"/>
  <c r="A1027" i="5"/>
  <c r="A969" i="5"/>
  <c r="A919" i="5"/>
  <c r="A857" i="5"/>
  <c r="A799" i="5"/>
  <c r="A747" i="5"/>
  <c r="A687" i="5"/>
  <c r="A627" i="5"/>
  <c r="A577" i="5"/>
  <c r="A515" i="5"/>
  <c r="A457" i="5"/>
  <c r="A407" i="5"/>
  <c r="A345" i="5"/>
  <c r="A287" i="5"/>
  <c r="A235" i="5"/>
  <c r="A175" i="5"/>
  <c r="A115" i="5"/>
  <c r="A65" i="5"/>
  <c r="A3" i="5"/>
  <c r="A1475" i="5"/>
  <c r="A1247" i="5"/>
  <c r="A1075" i="5"/>
  <c r="A1025" i="5"/>
  <c r="A793" i="5"/>
  <c r="A683" i="5"/>
  <c r="A451" i="5"/>
  <c r="A343" i="5"/>
  <c r="A51" i="5"/>
  <c r="A1695" i="5"/>
  <c r="A1643" i="5"/>
  <c r="A1583" i="5"/>
  <c r="A1523" i="5"/>
  <c r="A1473" i="5"/>
  <c r="A1411" i="5"/>
  <c r="A1353" i="5"/>
  <c r="A1303" i="5"/>
  <c r="A1241" i="5"/>
  <c r="A1183" i="5"/>
  <c r="A1131" i="5"/>
  <c r="A1071" i="5"/>
  <c r="A1011" i="5"/>
  <c r="A961" i="5"/>
  <c r="A899" i="5"/>
  <c r="A841" i="5"/>
  <c r="A791" i="5"/>
  <c r="A729" i="5"/>
  <c r="A671" i="5"/>
  <c r="A619" i="5"/>
  <c r="A559" i="5"/>
  <c r="A499" i="5"/>
  <c r="A449" i="5"/>
  <c r="A387" i="5"/>
  <c r="A329" i="5"/>
  <c r="A279" i="5"/>
  <c r="A217" i="5"/>
  <c r="A159" i="5"/>
  <c r="A107" i="5"/>
  <c r="A47" i="5"/>
  <c r="A1689" i="5"/>
  <c r="A1631" i="5"/>
  <c r="A1579" i="5"/>
  <c r="A1519" i="5"/>
  <c r="A1459" i="5"/>
  <c r="A1409" i="5"/>
  <c r="A1347" i="5"/>
  <c r="A1289" i="5"/>
  <c r="A1239" i="5"/>
  <c r="A1177" i="5"/>
  <c r="A1119" i="5"/>
  <c r="A1067" i="5"/>
  <c r="A1007" i="5"/>
  <c r="A947" i="5"/>
  <c r="A897" i="5"/>
  <c r="A835" i="5"/>
  <c r="A777" i="5"/>
  <c r="A727" i="5"/>
  <c r="A665" i="5"/>
  <c r="A607" i="5"/>
  <c r="A555" i="5"/>
  <c r="A495" i="5"/>
  <c r="A435" i="5"/>
  <c r="A385" i="5"/>
  <c r="A323" i="5"/>
  <c r="A265" i="5"/>
  <c r="A215" i="5"/>
  <c r="A153" i="5"/>
  <c r="A95" i="5"/>
  <c r="A43" i="5"/>
  <c r="A1687" i="5"/>
  <c r="A1625" i="5"/>
  <c r="A1567" i="5"/>
  <c r="A1515" i="5"/>
  <c r="A1455" i="5"/>
  <c r="A1395" i="5"/>
  <c r="A1345" i="5"/>
  <c r="A1283" i="5"/>
  <c r="A1225" i="5"/>
  <c r="A1175" i="5"/>
  <c r="A1113" i="5"/>
  <c r="A1055" i="5"/>
  <c r="A1003" i="5"/>
  <c r="A943" i="5"/>
  <c r="A883" i="5"/>
  <c r="A833" i="5"/>
  <c r="A771" i="5"/>
  <c r="A713" i="5"/>
  <c r="A663" i="5"/>
  <c r="A601" i="5"/>
  <c r="A543" i="5"/>
  <c r="A491" i="5"/>
  <c r="A431" i="5"/>
  <c r="A371" i="5"/>
  <c r="A321" i="5"/>
  <c r="A259" i="5"/>
  <c r="A201" i="5"/>
  <c r="A151" i="5"/>
  <c r="A89" i="5"/>
  <c r="A31" i="5"/>
  <c r="A1587" i="5"/>
  <c r="A855" i="5"/>
  <c r="A563" i="5"/>
  <c r="A393" i="5"/>
  <c r="A171" i="5"/>
  <c r="E1" i="5" a="1"/>
  <c r="E106" i="5" l="1"/>
  <c r="E98" i="5"/>
  <c r="E90" i="5"/>
  <c r="E82" i="5"/>
  <c r="E74" i="5"/>
  <c r="E66" i="5"/>
  <c r="E58" i="5"/>
  <c r="E50" i="5"/>
  <c r="E42" i="5"/>
  <c r="E34" i="5"/>
  <c r="E26" i="5"/>
  <c r="E18" i="5"/>
  <c r="E10" i="5"/>
  <c r="E2" i="5"/>
  <c r="E104" i="5"/>
  <c r="E96" i="5"/>
  <c r="E88" i="5"/>
  <c r="E80" i="5"/>
  <c r="E72" i="5"/>
  <c r="E64" i="5"/>
  <c r="E56" i="5"/>
  <c r="E48" i="5"/>
  <c r="E40" i="5"/>
  <c r="E32" i="5"/>
  <c r="E24" i="5"/>
  <c r="E16" i="5"/>
  <c r="E8" i="5"/>
  <c r="E1" i="5"/>
  <c r="E103" i="5"/>
  <c r="E95" i="5"/>
  <c r="E87" i="5"/>
  <c r="E79" i="5"/>
  <c r="E71" i="5"/>
  <c r="E63" i="5"/>
  <c r="E55" i="5"/>
  <c r="E47" i="5"/>
  <c r="E39" i="5"/>
  <c r="E31" i="5"/>
  <c r="E23" i="5"/>
  <c r="E15" i="5"/>
  <c r="E7" i="5"/>
  <c r="E102" i="5"/>
  <c r="E94" i="5"/>
  <c r="E86" i="5"/>
  <c r="E78" i="5"/>
  <c r="E70" i="5"/>
  <c r="E62" i="5"/>
  <c r="E54" i="5"/>
  <c r="E46" i="5"/>
  <c r="E38" i="5"/>
  <c r="E30" i="5"/>
  <c r="E22" i="5"/>
  <c r="E14" i="5"/>
  <c r="E6" i="5"/>
  <c r="E101" i="5"/>
  <c r="E93" i="5"/>
  <c r="E85" i="5"/>
  <c r="E77" i="5"/>
  <c r="E69" i="5"/>
  <c r="E61" i="5"/>
  <c r="E53" i="5"/>
  <c r="E45" i="5"/>
  <c r="E37" i="5"/>
  <c r="E29" i="5"/>
  <c r="E21" i="5"/>
  <c r="E13" i="5"/>
  <c r="E5" i="5"/>
  <c r="E108" i="5"/>
  <c r="E100" i="5"/>
  <c r="E92" i="5"/>
  <c r="E84" i="5"/>
  <c r="E76" i="5"/>
  <c r="E68" i="5"/>
  <c r="E60" i="5"/>
  <c r="E52" i="5"/>
  <c r="E44" i="5"/>
  <c r="E36" i="5"/>
  <c r="E28" i="5"/>
  <c r="E20" i="5"/>
  <c r="E12" i="5"/>
  <c r="E4" i="5"/>
  <c r="E91" i="5"/>
  <c r="E59" i="5"/>
  <c r="E27" i="5"/>
  <c r="E89" i="5"/>
  <c r="E57" i="5"/>
  <c r="E25" i="5"/>
  <c r="E83" i="5"/>
  <c r="E51" i="5"/>
  <c r="E19" i="5"/>
  <c r="E81" i="5"/>
  <c r="E49" i="5"/>
  <c r="E17" i="5"/>
  <c r="E107" i="5"/>
  <c r="E75" i="5"/>
  <c r="E43" i="5"/>
  <c r="E11" i="5"/>
  <c r="E105" i="5"/>
  <c r="E73" i="5"/>
  <c r="E41" i="5"/>
  <c r="E9" i="5"/>
  <c r="E99" i="5"/>
  <c r="E67" i="5"/>
  <c r="E35" i="5"/>
  <c r="E3" i="5"/>
  <c r="E97" i="5"/>
  <c r="E65" i="5"/>
  <c r="E33" i="5"/>
  <c r="I109" i="5" a="1"/>
  <c r="I41573" i="5" l="1"/>
  <c r="I41565" i="5"/>
  <c r="I41557" i="5"/>
  <c r="I41549" i="5"/>
  <c r="I41541" i="5"/>
  <c r="I41533" i="5"/>
  <c r="I41525" i="5"/>
  <c r="I41517" i="5"/>
  <c r="I41509" i="5"/>
  <c r="I41501" i="5"/>
  <c r="I41493" i="5"/>
  <c r="I41485" i="5"/>
  <c r="I41477" i="5"/>
  <c r="I41469" i="5"/>
  <c r="I41461" i="5"/>
  <c r="I41453" i="5"/>
  <c r="I41445" i="5"/>
  <c r="I41437" i="5"/>
  <c r="I41429" i="5"/>
  <c r="I41421" i="5"/>
  <c r="I41413" i="5"/>
  <c r="I41405" i="5"/>
  <c r="I41397" i="5"/>
  <c r="I41389" i="5"/>
  <c r="I41381" i="5"/>
  <c r="I41373" i="5"/>
  <c r="I41365" i="5"/>
  <c r="I41357" i="5"/>
  <c r="I41349" i="5"/>
  <c r="I41341" i="5"/>
  <c r="I41333" i="5"/>
  <c r="I41325" i="5"/>
  <c r="I41317" i="5"/>
  <c r="I41309" i="5"/>
  <c r="I41301" i="5"/>
  <c r="I41293" i="5"/>
  <c r="I41285" i="5"/>
  <c r="I41277" i="5"/>
  <c r="I41269" i="5"/>
  <c r="I41261" i="5"/>
  <c r="I41253" i="5"/>
  <c r="I41245" i="5"/>
  <c r="I41237" i="5"/>
  <c r="I41229" i="5"/>
  <c r="I41221" i="5"/>
  <c r="I41213" i="5"/>
  <c r="I41205" i="5"/>
  <c r="I41197" i="5"/>
  <c r="I41189" i="5"/>
  <c r="I41181" i="5"/>
  <c r="I41173" i="5"/>
  <c r="I41165" i="5"/>
  <c r="I41157" i="5"/>
  <c r="I41149" i="5"/>
  <c r="I41141" i="5"/>
  <c r="I41133" i="5"/>
  <c r="I41125" i="5"/>
  <c r="I41117" i="5"/>
  <c r="I41109" i="5"/>
  <c r="I41101" i="5"/>
  <c r="I41093" i="5"/>
  <c r="I41085" i="5"/>
  <c r="I41077" i="5"/>
  <c r="I41069" i="5"/>
  <c r="I41061" i="5"/>
  <c r="I41053" i="5"/>
  <c r="I41045" i="5"/>
  <c r="I41037" i="5"/>
  <c r="I41029" i="5"/>
  <c r="I41021" i="5"/>
  <c r="I41013" i="5"/>
  <c r="I41005" i="5"/>
  <c r="I40997" i="5"/>
  <c r="I40989" i="5"/>
  <c r="I40981" i="5"/>
  <c r="I40973" i="5"/>
  <c r="I40965" i="5"/>
  <c r="I40957" i="5"/>
  <c r="I40949" i="5"/>
  <c r="I40941" i="5"/>
  <c r="I40933" i="5"/>
  <c r="I40925" i="5"/>
  <c r="I40917" i="5"/>
  <c r="I40909" i="5"/>
  <c r="I40901" i="5"/>
  <c r="I41569" i="5"/>
  <c r="I41561" i="5"/>
  <c r="I41553" i="5"/>
  <c r="I41545" i="5"/>
  <c r="I41537" i="5"/>
  <c r="I41529" i="5"/>
  <c r="I41521" i="5"/>
  <c r="I41513" i="5"/>
  <c r="I41505" i="5"/>
  <c r="I41497" i="5"/>
  <c r="I41489" i="5"/>
  <c r="I41481" i="5"/>
  <c r="I41473" i="5"/>
  <c r="I41465" i="5"/>
  <c r="I41457" i="5"/>
  <c r="I41449" i="5"/>
  <c r="I41441" i="5"/>
  <c r="I41433" i="5"/>
  <c r="I41425" i="5"/>
  <c r="I41417" i="5"/>
  <c r="I41409" i="5"/>
  <c r="I41401" i="5"/>
  <c r="I41393" i="5"/>
  <c r="I41385" i="5"/>
  <c r="I41377" i="5"/>
  <c r="I41369" i="5"/>
  <c r="I41361" i="5"/>
  <c r="I41353" i="5"/>
  <c r="I41345" i="5"/>
  <c r="I41337" i="5"/>
  <c r="I41329" i="5"/>
  <c r="I41321" i="5"/>
  <c r="I41313" i="5"/>
  <c r="I41305" i="5"/>
  <c r="I41297" i="5"/>
  <c r="I41289" i="5"/>
  <c r="I41281" i="5"/>
  <c r="I41273" i="5"/>
  <c r="I41265" i="5"/>
  <c r="I41257" i="5"/>
  <c r="I41249" i="5"/>
  <c r="I41241" i="5"/>
  <c r="I41233" i="5"/>
  <c r="I41225" i="5"/>
  <c r="I41217" i="5"/>
  <c r="I41209" i="5"/>
  <c r="I41201" i="5"/>
  <c r="I41193" i="5"/>
  <c r="I41185" i="5"/>
  <c r="I41177" i="5"/>
  <c r="I41169" i="5"/>
  <c r="I41161" i="5"/>
  <c r="I41153" i="5"/>
  <c r="I41145" i="5"/>
  <c r="I41137" i="5"/>
  <c r="I41129" i="5"/>
  <c r="I41121" i="5"/>
  <c r="I41113" i="5"/>
  <c r="I41105" i="5"/>
  <c r="I41097" i="5"/>
  <c r="I41089" i="5"/>
  <c r="I41081" i="5"/>
  <c r="I41073" i="5"/>
  <c r="I41065" i="5"/>
  <c r="I41057" i="5"/>
  <c r="I41049" i="5"/>
  <c r="I41041" i="5"/>
  <c r="I41033" i="5"/>
  <c r="I41025" i="5"/>
  <c r="I41017" i="5"/>
  <c r="I41572" i="5"/>
  <c r="I41562" i="5"/>
  <c r="I41551" i="5"/>
  <c r="I41540" i="5"/>
  <c r="I41530" i="5"/>
  <c r="I41519" i="5"/>
  <c r="I41508" i="5"/>
  <c r="I41498" i="5"/>
  <c r="I41487" i="5"/>
  <c r="I41476" i="5"/>
  <c r="I41466" i="5"/>
  <c r="I41455" i="5"/>
  <c r="I41444" i="5"/>
  <c r="I41434" i="5"/>
  <c r="I41423" i="5"/>
  <c r="I41412" i="5"/>
  <c r="I41402" i="5"/>
  <c r="I41391" i="5"/>
  <c r="I41380" i="5"/>
  <c r="I41370" i="5"/>
  <c r="I41359" i="5"/>
  <c r="I41348" i="5"/>
  <c r="I41338" i="5"/>
  <c r="I41327" i="5"/>
  <c r="I41316" i="5"/>
  <c r="I41306" i="5"/>
  <c r="I41295" i="5"/>
  <c r="I41284" i="5"/>
  <c r="I41274" i="5"/>
  <c r="I41263" i="5"/>
  <c r="I41252" i="5"/>
  <c r="I41242" i="5"/>
  <c r="I41231" i="5"/>
  <c r="I41220" i="5"/>
  <c r="I41210" i="5"/>
  <c r="I41199" i="5"/>
  <c r="I41188" i="5"/>
  <c r="I41178" i="5"/>
  <c r="I41167" i="5"/>
  <c r="I41156" i="5"/>
  <c r="I41146" i="5"/>
  <c r="I41135" i="5"/>
  <c r="I41124" i="5"/>
  <c r="I41114" i="5"/>
  <c r="I41103" i="5"/>
  <c r="I41092" i="5"/>
  <c r="I41082" i="5"/>
  <c r="I41071" i="5"/>
  <c r="I41060" i="5"/>
  <c r="I41050" i="5"/>
  <c r="I41039" i="5"/>
  <c r="I41028" i="5"/>
  <c r="I41018" i="5"/>
  <c r="I41008" i="5"/>
  <c r="I40999" i="5"/>
  <c r="I40990" i="5"/>
  <c r="I40980" i="5"/>
  <c r="I40971" i="5"/>
  <c r="I40962" i="5"/>
  <c r="I40953" i="5"/>
  <c r="I40944" i="5"/>
  <c r="I40935" i="5"/>
  <c r="I40926" i="5"/>
  <c r="I40916" i="5"/>
  <c r="I40907" i="5"/>
  <c r="I40898" i="5"/>
  <c r="I40890" i="5"/>
  <c r="I40882" i="5"/>
  <c r="I40874" i="5"/>
  <c r="I40866" i="5"/>
  <c r="I40858" i="5"/>
  <c r="I40850" i="5"/>
  <c r="I40842" i="5"/>
  <c r="I40834" i="5"/>
  <c r="I40826" i="5"/>
  <c r="I40818" i="5"/>
  <c r="I40810" i="5"/>
  <c r="I40802" i="5"/>
  <c r="I40794" i="5"/>
  <c r="I40786" i="5"/>
  <c r="I40778" i="5"/>
  <c r="I40770" i="5"/>
  <c r="I40762" i="5"/>
  <c r="I40754" i="5"/>
  <c r="I40746" i="5"/>
  <c r="I40738" i="5"/>
  <c r="I40730" i="5"/>
  <c r="I40722" i="5"/>
  <c r="I40714" i="5"/>
  <c r="I40706" i="5"/>
  <c r="I40698" i="5"/>
  <c r="I40690" i="5"/>
  <c r="I40682" i="5"/>
  <c r="I40674" i="5"/>
  <c r="I40666" i="5"/>
  <c r="I40658" i="5"/>
  <c r="I40650" i="5"/>
  <c r="I40642" i="5"/>
  <c r="I40634" i="5"/>
  <c r="I40626" i="5"/>
  <c r="I40618" i="5"/>
  <c r="I40610" i="5"/>
  <c r="I40602" i="5"/>
  <c r="I40594" i="5"/>
  <c r="I40586" i="5"/>
  <c r="I40578" i="5"/>
  <c r="I40570" i="5"/>
  <c r="I40562" i="5"/>
  <c r="I40554" i="5"/>
  <c r="I40546" i="5"/>
  <c r="I40538" i="5"/>
  <c r="I40530" i="5"/>
  <c r="I40522" i="5"/>
  <c r="I40514" i="5"/>
  <c r="I40506" i="5"/>
  <c r="I40498" i="5"/>
  <c r="I40490" i="5"/>
  <c r="I40482" i="5"/>
  <c r="I40474" i="5"/>
  <c r="I40466" i="5"/>
  <c r="I40458" i="5"/>
  <c r="I40450" i="5"/>
  <c r="I40442" i="5"/>
  <c r="I40434" i="5"/>
  <c r="I40426" i="5"/>
  <c r="I40418" i="5"/>
  <c r="I40410" i="5"/>
  <c r="I40402" i="5"/>
  <c r="I40394" i="5"/>
  <c r="I40386" i="5"/>
  <c r="I40378" i="5"/>
  <c r="I40370" i="5"/>
  <c r="I40362" i="5"/>
  <c r="I40354" i="5"/>
  <c r="I40346" i="5"/>
  <c r="I40338" i="5"/>
  <c r="I40330" i="5"/>
  <c r="I40322" i="5"/>
  <c r="I40314" i="5"/>
  <c r="I40306" i="5"/>
  <c r="I40298" i="5"/>
  <c r="I40290" i="5"/>
  <c r="I40282" i="5"/>
  <c r="I40274" i="5"/>
  <c r="I40266" i="5"/>
  <c r="I40258" i="5"/>
  <c r="I40250" i="5"/>
  <c r="I40242" i="5"/>
  <c r="I40234" i="5"/>
  <c r="I40226" i="5"/>
  <c r="I40218" i="5"/>
  <c r="I40210" i="5"/>
  <c r="I40202" i="5"/>
  <c r="I40194" i="5"/>
  <c r="I40186" i="5"/>
  <c r="I40178" i="5"/>
  <c r="I40170" i="5"/>
  <c r="I40162" i="5"/>
  <c r="I40154" i="5"/>
  <c r="I40146" i="5"/>
  <c r="I40138" i="5"/>
  <c r="I40130" i="5"/>
  <c r="I40122" i="5"/>
  <c r="I40114" i="5"/>
  <c r="I40106" i="5"/>
  <c r="I40098" i="5"/>
  <c r="I40090" i="5"/>
  <c r="I40082" i="5"/>
  <c r="I40074" i="5"/>
  <c r="I40066" i="5"/>
  <c r="I41571" i="5"/>
  <c r="I41559" i="5"/>
  <c r="I41547" i="5"/>
  <c r="I41535" i="5"/>
  <c r="I41523" i="5"/>
  <c r="I41511" i="5"/>
  <c r="I41499" i="5"/>
  <c r="I41486" i="5"/>
  <c r="I41474" i="5"/>
  <c r="I41462" i="5"/>
  <c r="I41450" i="5"/>
  <c r="I41438" i="5"/>
  <c r="I41426" i="5"/>
  <c r="I41414" i="5"/>
  <c r="I41400" i="5"/>
  <c r="I41388" i="5"/>
  <c r="I41376" i="5"/>
  <c r="I41364" i="5"/>
  <c r="I41352" i="5"/>
  <c r="I41340" i="5"/>
  <c r="I41328" i="5"/>
  <c r="I41315" i="5"/>
  <c r="I41303" i="5"/>
  <c r="I41291" i="5"/>
  <c r="I41279" i="5"/>
  <c r="I41267" i="5"/>
  <c r="I41255" i="5"/>
  <c r="I41243" i="5"/>
  <c r="I41230" i="5"/>
  <c r="I41218" i="5"/>
  <c r="I41206" i="5"/>
  <c r="I41194" i="5"/>
  <c r="I41182" i="5"/>
  <c r="I41170" i="5"/>
  <c r="I41158" i="5"/>
  <c r="I41144" i="5"/>
  <c r="I41132" i="5"/>
  <c r="I41120" i="5"/>
  <c r="I41108" i="5"/>
  <c r="I41096" i="5"/>
  <c r="I41084" i="5"/>
  <c r="I41072" i="5"/>
  <c r="I41059" i="5"/>
  <c r="I41047" i="5"/>
  <c r="I41035" i="5"/>
  <c r="I41023" i="5"/>
  <c r="I41011" i="5"/>
  <c r="I41001" i="5"/>
  <c r="I40991" i="5"/>
  <c r="I40979" i="5"/>
  <c r="I40969" i="5"/>
  <c r="I40959" i="5"/>
  <c r="I40948" i="5"/>
  <c r="I40938" i="5"/>
  <c r="I40928" i="5"/>
  <c r="I40918" i="5"/>
  <c r="I40906" i="5"/>
  <c r="I40896" i="5"/>
  <c r="I40887" i="5"/>
  <c r="I40878" i="5"/>
  <c r="I40869" i="5"/>
  <c r="I40860" i="5"/>
  <c r="I40851" i="5"/>
  <c r="I40841" i="5"/>
  <c r="I40832" i="5"/>
  <c r="I40823" i="5"/>
  <c r="I40814" i="5"/>
  <c r="I40805" i="5"/>
  <c r="I40796" i="5"/>
  <c r="I40787" i="5"/>
  <c r="I40777" i="5"/>
  <c r="I40768" i="5"/>
  <c r="I40759" i="5"/>
  <c r="I40750" i="5"/>
  <c r="I40741" i="5"/>
  <c r="I40732" i="5"/>
  <c r="I40723" i="5"/>
  <c r="I40713" i="5"/>
  <c r="I40704" i="5"/>
  <c r="I40695" i="5"/>
  <c r="I40686" i="5"/>
  <c r="I40677" i="5"/>
  <c r="I40668" i="5"/>
  <c r="I40659" i="5"/>
  <c r="I40649" i="5"/>
  <c r="I40640" i="5"/>
  <c r="I40631" i="5"/>
  <c r="I40622" i="5"/>
  <c r="I40613" i="5"/>
  <c r="I40604" i="5"/>
  <c r="I40595" i="5"/>
  <c r="I40585" i="5"/>
  <c r="I40576" i="5"/>
  <c r="I40567" i="5"/>
  <c r="I40558" i="5"/>
  <c r="I40549" i="5"/>
  <c r="I40540" i="5"/>
  <c r="I40531" i="5"/>
  <c r="I40521" i="5"/>
  <c r="I40512" i="5"/>
  <c r="I40503" i="5"/>
  <c r="I40494" i="5"/>
  <c r="I40485" i="5"/>
  <c r="I40476" i="5"/>
  <c r="I40467" i="5"/>
  <c r="I40457" i="5"/>
  <c r="I40448" i="5"/>
  <c r="I40439" i="5"/>
  <c r="I40430" i="5"/>
  <c r="I40421" i="5"/>
  <c r="I40412" i="5"/>
  <c r="I40403" i="5"/>
  <c r="I40393" i="5"/>
  <c r="I40384" i="5"/>
  <c r="I40375" i="5"/>
  <c r="I40366" i="5"/>
  <c r="I40357" i="5"/>
  <c r="I40348" i="5"/>
  <c r="I40339" i="5"/>
  <c r="I40329" i="5"/>
  <c r="I40320" i="5"/>
  <c r="I40311" i="5"/>
  <c r="I40302" i="5"/>
  <c r="I40293" i="5"/>
  <c r="I40284" i="5"/>
  <c r="I40275" i="5"/>
  <c r="I40265" i="5"/>
  <c r="I40256" i="5"/>
  <c r="I40247" i="5"/>
  <c r="I40238" i="5"/>
  <c r="I40229" i="5"/>
  <c r="I40220" i="5"/>
  <c r="I40211" i="5"/>
  <c r="I40201" i="5"/>
  <c r="I40192" i="5"/>
  <c r="I40183" i="5"/>
  <c r="I40174" i="5"/>
  <c r="I40165" i="5"/>
  <c r="I40156" i="5"/>
  <c r="I40147" i="5"/>
  <c r="I40137" i="5"/>
  <c r="I40128" i="5"/>
  <c r="I40119" i="5"/>
  <c r="I40110" i="5"/>
  <c r="I40101" i="5"/>
  <c r="I40092" i="5"/>
  <c r="I40083" i="5"/>
  <c r="I40073" i="5"/>
  <c r="I40064" i="5"/>
  <c r="I40056" i="5"/>
  <c r="I40048" i="5"/>
  <c r="I40040" i="5"/>
  <c r="I40032" i="5"/>
  <c r="I40024" i="5"/>
  <c r="I40016" i="5"/>
  <c r="I40008" i="5"/>
  <c r="I40000" i="5"/>
  <c r="I39992" i="5"/>
  <c r="I39984" i="5"/>
  <c r="I39976" i="5"/>
  <c r="I39968" i="5"/>
  <c r="I39960" i="5"/>
  <c r="I39952" i="5"/>
  <c r="I39944" i="5"/>
  <c r="I39936" i="5"/>
  <c r="I39928" i="5"/>
  <c r="I39920" i="5"/>
  <c r="I39912" i="5"/>
  <c r="I39904" i="5"/>
  <c r="I39896" i="5"/>
  <c r="I39888" i="5"/>
  <c r="I39880" i="5"/>
  <c r="I39872" i="5"/>
  <c r="I39864" i="5"/>
  <c r="I39856" i="5"/>
  <c r="I39848" i="5"/>
  <c r="I39840" i="5"/>
  <c r="I39832" i="5"/>
  <c r="I39824" i="5"/>
  <c r="I39816" i="5"/>
  <c r="I39808" i="5"/>
  <c r="I39800" i="5"/>
  <c r="I39792" i="5"/>
  <c r="I39784" i="5"/>
  <c r="I39776" i="5"/>
  <c r="I39768" i="5"/>
  <c r="I39760" i="5"/>
  <c r="I39752" i="5"/>
  <c r="I39744" i="5"/>
  <c r="I39736" i="5"/>
  <c r="I39728" i="5"/>
  <c r="I39720" i="5"/>
  <c r="I39712" i="5"/>
  <c r="I39704" i="5"/>
  <c r="I39696" i="5"/>
  <c r="I39688" i="5"/>
  <c r="I39680" i="5"/>
  <c r="I39672" i="5"/>
  <c r="I39664" i="5"/>
  <c r="I39656" i="5"/>
  <c r="I39648" i="5"/>
  <c r="I39640" i="5"/>
  <c r="I39632" i="5"/>
  <c r="I39624" i="5"/>
  <c r="I39616" i="5"/>
  <c r="I39608" i="5"/>
  <c r="I39600" i="5"/>
  <c r="I39592" i="5"/>
  <c r="I39584" i="5"/>
  <c r="I39576" i="5"/>
  <c r="I39568" i="5"/>
  <c r="I39560" i="5"/>
  <c r="I39552" i="5"/>
  <c r="I39544" i="5"/>
  <c r="I39536" i="5"/>
  <c r="I39528" i="5"/>
  <c r="I39520" i="5"/>
  <c r="I39512" i="5"/>
  <c r="I39504" i="5"/>
  <c r="I39496" i="5"/>
  <c r="I39488" i="5"/>
  <c r="I39480" i="5"/>
  <c r="I39472" i="5"/>
  <c r="I39464" i="5"/>
  <c r="I39456" i="5"/>
  <c r="I39448" i="5"/>
  <c r="I39440" i="5"/>
  <c r="I39432" i="5"/>
  <c r="I39424" i="5"/>
  <c r="I39416" i="5"/>
  <c r="I39408" i="5"/>
  <c r="I39400" i="5"/>
  <c r="I39392" i="5"/>
  <c r="I39384" i="5"/>
  <c r="I39376" i="5"/>
  <c r="I39368" i="5"/>
  <c r="I39360" i="5"/>
  <c r="I39352" i="5"/>
  <c r="I39344" i="5"/>
  <c r="I39336" i="5"/>
  <c r="I39328" i="5"/>
  <c r="I39320" i="5"/>
  <c r="I39312" i="5"/>
  <c r="I39304" i="5"/>
  <c r="I39296" i="5"/>
  <c r="I39288" i="5"/>
  <c r="I39280" i="5"/>
  <c r="I39272" i="5"/>
  <c r="I39264" i="5"/>
  <c r="I39256" i="5"/>
  <c r="I39248" i="5"/>
  <c r="I39240" i="5"/>
  <c r="I39232" i="5"/>
  <c r="I39224" i="5"/>
  <c r="I39216" i="5"/>
  <c r="I39208" i="5"/>
  <c r="I39200" i="5"/>
  <c r="I41570" i="5"/>
  <c r="I41558" i="5"/>
  <c r="I41546" i="5"/>
  <c r="I41534" i="5"/>
  <c r="I41522" i="5"/>
  <c r="I41510" i="5"/>
  <c r="I41496" i="5"/>
  <c r="I41484" i="5"/>
  <c r="I41472" i="5"/>
  <c r="I41460" i="5"/>
  <c r="I41448" i="5"/>
  <c r="I41436" i="5"/>
  <c r="I41424" i="5"/>
  <c r="I41411" i="5"/>
  <c r="I41399" i="5"/>
  <c r="I41387" i="5"/>
  <c r="I41375" i="5"/>
  <c r="I41363" i="5"/>
  <c r="I41351" i="5"/>
  <c r="I41339" i="5"/>
  <c r="I41326" i="5"/>
  <c r="I41314" i="5"/>
  <c r="I41302" i="5"/>
  <c r="I41290" i="5"/>
  <c r="I41278" i="5"/>
  <c r="I41266" i="5"/>
  <c r="I41254" i="5"/>
  <c r="I41240" i="5"/>
  <c r="I41228" i="5"/>
  <c r="I41216" i="5"/>
  <c r="I41204" i="5"/>
  <c r="I41192" i="5"/>
  <c r="I41180" i="5"/>
  <c r="I41168" i="5"/>
  <c r="I41155" i="5"/>
  <c r="I41143" i="5"/>
  <c r="I41131" i="5"/>
  <c r="I41119" i="5"/>
  <c r="I41107" i="5"/>
  <c r="I41095" i="5"/>
  <c r="I41083" i="5"/>
  <c r="I41070" i="5"/>
  <c r="I41058" i="5"/>
  <c r="I41046" i="5"/>
  <c r="I41034" i="5"/>
  <c r="I41022" i="5"/>
  <c r="I41010" i="5"/>
  <c r="I41000" i="5"/>
  <c r="I40988" i="5"/>
  <c r="I40978" i="5"/>
  <c r="I40968" i="5"/>
  <c r="I40958" i="5"/>
  <c r="I40947" i="5"/>
  <c r="I40937" i="5"/>
  <c r="I40927" i="5"/>
  <c r="I40915" i="5"/>
  <c r="I40905" i="5"/>
  <c r="I40895" i="5"/>
  <c r="I40886" i="5"/>
  <c r="I40877" i="5"/>
  <c r="I40868" i="5"/>
  <c r="I40859" i="5"/>
  <c r="I40849" i="5"/>
  <c r="I40840" i="5"/>
  <c r="I40831" i="5"/>
  <c r="I40822" i="5"/>
  <c r="I40813" i="5"/>
  <c r="I40804" i="5"/>
  <c r="I40795" i="5"/>
  <c r="I40785" i="5"/>
  <c r="I40776" i="5"/>
  <c r="I40767" i="5"/>
  <c r="I40758" i="5"/>
  <c r="I40749" i="5"/>
  <c r="I40740" i="5"/>
  <c r="I40731" i="5"/>
  <c r="I40721" i="5"/>
  <c r="I40712" i="5"/>
  <c r="I40703" i="5"/>
  <c r="I40694" i="5"/>
  <c r="I40685" i="5"/>
  <c r="I40676" i="5"/>
  <c r="I40667" i="5"/>
  <c r="I40657" i="5"/>
  <c r="I40648" i="5"/>
  <c r="I41566" i="5"/>
  <c r="I41554" i="5"/>
  <c r="I41542" i="5"/>
  <c r="I41528" i="5"/>
  <c r="I41516" i="5"/>
  <c r="I41504" i="5"/>
  <c r="I41492" i="5"/>
  <c r="I41480" i="5"/>
  <c r="I41468" i="5"/>
  <c r="I41456" i="5"/>
  <c r="I41443" i="5"/>
  <c r="I41431" i="5"/>
  <c r="I41419" i="5"/>
  <c r="I41407" i="5"/>
  <c r="I41395" i="5"/>
  <c r="I41383" i="5"/>
  <c r="I41371" i="5"/>
  <c r="I41358" i="5"/>
  <c r="I41346" i="5"/>
  <c r="I41334" i="5"/>
  <c r="I41322" i="5"/>
  <c r="I41310" i="5"/>
  <c r="I41298" i="5"/>
  <c r="I41286" i="5"/>
  <c r="I41272" i="5"/>
  <c r="I41260" i="5"/>
  <c r="I41248" i="5"/>
  <c r="I41236" i="5"/>
  <c r="I41224" i="5"/>
  <c r="I41212" i="5"/>
  <c r="I41200" i="5"/>
  <c r="I41187" i="5"/>
  <c r="I41175" i="5"/>
  <c r="I41163" i="5"/>
  <c r="I41151" i="5"/>
  <c r="I41139" i="5"/>
  <c r="I41127" i="5"/>
  <c r="I41115" i="5"/>
  <c r="I41102" i="5"/>
  <c r="I41090" i="5"/>
  <c r="I41078" i="5"/>
  <c r="I41066" i="5"/>
  <c r="I41054" i="5"/>
  <c r="I41042" i="5"/>
  <c r="I41030" i="5"/>
  <c r="I41016" i="5"/>
  <c r="I41568" i="5"/>
  <c r="I41550" i="5"/>
  <c r="I41531" i="5"/>
  <c r="I41512" i="5"/>
  <c r="I41491" i="5"/>
  <c r="I41471" i="5"/>
  <c r="I41452" i="5"/>
  <c r="I41432" i="5"/>
  <c r="I41415" i="5"/>
  <c r="I41394" i="5"/>
  <c r="I41374" i="5"/>
  <c r="I41355" i="5"/>
  <c r="I41335" i="5"/>
  <c r="I41318" i="5"/>
  <c r="I41296" i="5"/>
  <c r="I41276" i="5"/>
  <c r="I41258" i="5"/>
  <c r="I41238" i="5"/>
  <c r="I41219" i="5"/>
  <c r="I41198" i="5"/>
  <c r="I41179" i="5"/>
  <c r="I41160" i="5"/>
  <c r="I41140" i="5"/>
  <c r="I41122" i="5"/>
  <c r="I41100" i="5"/>
  <c r="I41080" i="5"/>
  <c r="I41063" i="5"/>
  <c r="I41043" i="5"/>
  <c r="I41024" i="5"/>
  <c r="I41006" i="5"/>
  <c r="I40993" i="5"/>
  <c r="I40977" i="5"/>
  <c r="I40964" i="5"/>
  <c r="I40951" i="5"/>
  <c r="I40936" i="5"/>
  <c r="I40922" i="5"/>
  <c r="I40910" i="5"/>
  <c r="I40894" i="5"/>
  <c r="I40883" i="5"/>
  <c r="I40871" i="5"/>
  <c r="I40857" i="5"/>
  <c r="I40846" i="5"/>
  <c r="I40835" i="5"/>
  <c r="I40821" i="5"/>
  <c r="I40809" i="5"/>
  <c r="I40798" i="5"/>
  <c r="I40784" i="5"/>
  <c r="I40773" i="5"/>
  <c r="I40761" i="5"/>
  <c r="I40748" i="5"/>
  <c r="I40736" i="5"/>
  <c r="I40725" i="5"/>
  <c r="I40711" i="5"/>
  <c r="I40700" i="5"/>
  <c r="I40688" i="5"/>
  <c r="I40675" i="5"/>
  <c r="I40663" i="5"/>
  <c r="I40652" i="5"/>
  <c r="I40639" i="5"/>
  <c r="I40629" i="5"/>
  <c r="I40619" i="5"/>
  <c r="I41567" i="5"/>
  <c r="I41548" i="5"/>
  <c r="I41527" i="5"/>
  <c r="I41507" i="5"/>
  <c r="I41490" i="5"/>
  <c r="I41470" i="5"/>
  <c r="I41451" i="5"/>
  <c r="I41430" i="5"/>
  <c r="I41410" i="5"/>
  <c r="I41392" i="5"/>
  <c r="I41372" i="5"/>
  <c r="I41354" i="5"/>
  <c r="I41332" i="5"/>
  <c r="I41312" i="5"/>
  <c r="I41294" i="5"/>
  <c r="I41275" i="5"/>
  <c r="I41256" i="5"/>
  <c r="I41235" i="5"/>
  <c r="I41215" i="5"/>
  <c r="I41196" i="5"/>
  <c r="I41176" i="5"/>
  <c r="I41159" i="5"/>
  <c r="I41138" i="5"/>
  <c r="I41118" i="5"/>
  <c r="I41099" i="5"/>
  <c r="I41079" i="5"/>
  <c r="I41062" i="5"/>
  <c r="I41040" i="5"/>
  <c r="I41020" i="5"/>
  <c r="I41004" i="5"/>
  <c r="I40992" i="5"/>
  <c r="I40976" i="5"/>
  <c r="I40963" i="5"/>
  <c r="I40950" i="5"/>
  <c r="I40934" i="5"/>
  <c r="I40921" i="5"/>
  <c r="I40908" i="5"/>
  <c r="I40893" i="5"/>
  <c r="I40881" i="5"/>
  <c r="I40870" i="5"/>
  <c r="I40856" i="5"/>
  <c r="I40845" i="5"/>
  <c r="I40833" i="5"/>
  <c r="I40820" i="5"/>
  <c r="I40808" i="5"/>
  <c r="I40797" i="5"/>
  <c r="I40783" i="5"/>
  <c r="I40772" i="5"/>
  <c r="I40760" i="5"/>
  <c r="I40747" i="5"/>
  <c r="I40735" i="5"/>
  <c r="I40724" i="5"/>
  <c r="I40710" i="5"/>
  <c r="I40699" i="5"/>
  <c r="I40687" i="5"/>
  <c r="I40673" i="5"/>
  <c r="I40662" i="5"/>
  <c r="I40651" i="5"/>
  <c r="I40638" i="5"/>
  <c r="I40628" i="5"/>
  <c r="I40617" i="5"/>
  <c r="I40607" i="5"/>
  <c r="I40597" i="5"/>
  <c r="I40587" i="5"/>
  <c r="I40575" i="5"/>
  <c r="I40565" i="5"/>
  <c r="I40555" i="5"/>
  <c r="I40544" i="5"/>
  <c r="I40534" i="5"/>
  <c r="I40524" i="5"/>
  <c r="I40513" i="5"/>
  <c r="I40502" i="5"/>
  <c r="I41560" i="5"/>
  <c r="I41539" i="5"/>
  <c r="I41520" i="5"/>
  <c r="I41502" i="5"/>
  <c r="I41482" i="5"/>
  <c r="I41463" i="5"/>
  <c r="I41442" i="5"/>
  <c r="I41422" i="5"/>
  <c r="I41404" i="5"/>
  <c r="I41384" i="5"/>
  <c r="I41366" i="5"/>
  <c r="I41344" i="5"/>
  <c r="I41324" i="5"/>
  <c r="I41307" i="5"/>
  <c r="I41287" i="5"/>
  <c r="I41268" i="5"/>
  <c r="I41247" i="5"/>
  <c r="I41227" i="5"/>
  <c r="I41208" i="5"/>
  <c r="I41190" i="5"/>
  <c r="I41171" i="5"/>
  <c r="I41150" i="5"/>
  <c r="I41130" i="5"/>
  <c r="I41111" i="5"/>
  <c r="I41091" i="5"/>
  <c r="I41074" i="5"/>
  <c r="I41052" i="5"/>
  <c r="I41032" i="5"/>
  <c r="I41014" i="5"/>
  <c r="I40998" i="5"/>
  <c r="I40985" i="5"/>
  <c r="I40972" i="5"/>
  <c r="I40956" i="5"/>
  <c r="I40943" i="5"/>
  <c r="I40930" i="5"/>
  <c r="I40914" i="5"/>
  <c r="I40902" i="5"/>
  <c r="I40889" i="5"/>
  <c r="I40876" i="5"/>
  <c r="I40864" i="5"/>
  <c r="I40853" i="5"/>
  <c r="I40839" i="5"/>
  <c r="I40828" i="5"/>
  <c r="I40816" i="5"/>
  <c r="I40803" i="5"/>
  <c r="I40791" i="5"/>
  <c r="I40780" i="5"/>
  <c r="I40766" i="5"/>
  <c r="I40755" i="5"/>
  <c r="I40743" i="5"/>
  <c r="I40729" i="5"/>
  <c r="I40718" i="5"/>
  <c r="I40707" i="5"/>
  <c r="I40693" i="5"/>
  <c r="I40681" i="5"/>
  <c r="I40670" i="5"/>
  <c r="I40656" i="5"/>
  <c r="I40645" i="5"/>
  <c r="I40635" i="5"/>
  <c r="I40624" i="5"/>
  <c r="I40614" i="5"/>
  <c r="I40603" i="5"/>
  <c r="I40592" i="5"/>
  <c r="I40582" i="5"/>
  <c r="I40572" i="5"/>
  <c r="I40561" i="5"/>
  <c r="I40551" i="5"/>
  <c r="I40541" i="5"/>
  <c r="I40529" i="5"/>
  <c r="I40519" i="5"/>
  <c r="I40509" i="5"/>
  <c r="I40499" i="5"/>
  <c r="I40488" i="5"/>
  <c r="I40478" i="5"/>
  <c r="I40468" i="5"/>
  <c r="I40456" i="5"/>
  <c r="I40446" i="5"/>
  <c r="I40436" i="5"/>
  <c r="I40425" i="5"/>
  <c r="I40415" i="5"/>
  <c r="I40405" i="5"/>
  <c r="I40395" i="5"/>
  <c r="I40383" i="5"/>
  <c r="I40373" i="5"/>
  <c r="I40363" i="5"/>
  <c r="I41564" i="5"/>
  <c r="I41536" i="5"/>
  <c r="I41503" i="5"/>
  <c r="I41475" i="5"/>
  <c r="I41440" i="5"/>
  <c r="I41408" i="5"/>
  <c r="I41379" i="5"/>
  <c r="I41347" i="5"/>
  <c r="I41319" i="5"/>
  <c r="I41283" i="5"/>
  <c r="I41251" i="5"/>
  <c r="I41223" i="5"/>
  <c r="I41191" i="5"/>
  <c r="I41162" i="5"/>
  <c r="I41128" i="5"/>
  <c r="I41098" i="5"/>
  <c r="I41067" i="5"/>
  <c r="I41036" i="5"/>
  <c r="I41007" i="5"/>
  <c r="I40984" i="5"/>
  <c r="I40961" i="5"/>
  <c r="I40940" i="5"/>
  <c r="I40919" i="5"/>
  <c r="I40897" i="5"/>
  <c r="I40875" i="5"/>
  <c r="I40855" i="5"/>
  <c r="I40837" i="5"/>
  <c r="I40817" i="5"/>
  <c r="I40799" i="5"/>
  <c r="I40779" i="5"/>
  <c r="I40757" i="5"/>
  <c r="I40739" i="5"/>
  <c r="I40719" i="5"/>
  <c r="I40701" i="5"/>
  <c r="I40680" i="5"/>
  <c r="I40661" i="5"/>
  <c r="I40643" i="5"/>
  <c r="I40625" i="5"/>
  <c r="I40609" i="5"/>
  <c r="I40596" i="5"/>
  <c r="I40581" i="5"/>
  <c r="I40568" i="5"/>
  <c r="I40553" i="5"/>
  <c r="I40539" i="5"/>
  <c r="I40526" i="5"/>
  <c r="I40511" i="5"/>
  <c r="I40497" i="5"/>
  <c r="I40486" i="5"/>
  <c r="I40473" i="5"/>
  <c r="I40462" i="5"/>
  <c r="I40451" i="5"/>
  <c r="I40438" i="5"/>
  <c r="I40427" i="5"/>
  <c r="I40414" i="5"/>
  <c r="I40401" i="5"/>
  <c r="I40390" i="5"/>
  <c r="I40379" i="5"/>
  <c r="I40367" i="5"/>
  <c r="I40355" i="5"/>
  <c r="I40344" i="5"/>
  <c r="I40334" i="5"/>
  <c r="I40324" i="5"/>
  <c r="I40313" i="5"/>
  <c r="I40303" i="5"/>
  <c r="I40292" i="5"/>
  <c r="I40281" i="5"/>
  <c r="I40271" i="5"/>
  <c r="I40261" i="5"/>
  <c r="I40251" i="5"/>
  <c r="I40240" i="5"/>
  <c r="I40230" i="5"/>
  <c r="I40219" i="5"/>
  <c r="I40208" i="5"/>
  <c r="I40198" i="5"/>
  <c r="I40188" i="5"/>
  <c r="I40177" i="5"/>
  <c r="I40167" i="5"/>
  <c r="I40157" i="5"/>
  <c r="I40145" i="5"/>
  <c r="I40135" i="5"/>
  <c r="I40125" i="5"/>
  <c r="I40115" i="5"/>
  <c r="I40104" i="5"/>
  <c r="I40094" i="5"/>
  <c r="I40084" i="5"/>
  <c r="I40072" i="5"/>
  <c r="I40062" i="5"/>
  <c r="I40053" i="5"/>
  <c r="I40044" i="5"/>
  <c r="I40035" i="5"/>
  <c r="I40026" i="5"/>
  <c r="I40017" i="5"/>
  <c r="I40007" i="5"/>
  <c r="I39998" i="5"/>
  <c r="I39989" i="5"/>
  <c r="I39980" i="5"/>
  <c r="I39971" i="5"/>
  <c r="I39962" i="5"/>
  <c r="I39953" i="5"/>
  <c r="I39943" i="5"/>
  <c r="I39934" i="5"/>
  <c r="I39925" i="5"/>
  <c r="I39916" i="5"/>
  <c r="I39907" i="5"/>
  <c r="I39898" i="5"/>
  <c r="I39889" i="5"/>
  <c r="I39879" i="5"/>
  <c r="I39870" i="5"/>
  <c r="I39861" i="5"/>
  <c r="I39852" i="5"/>
  <c r="I39843" i="5"/>
  <c r="I39834" i="5"/>
  <c r="I39825" i="5"/>
  <c r="I39815" i="5"/>
  <c r="I39806" i="5"/>
  <c r="I39797" i="5"/>
  <c r="I39788" i="5"/>
  <c r="I39779" i="5"/>
  <c r="I39770" i="5"/>
  <c r="I39761" i="5"/>
  <c r="I39751" i="5"/>
  <c r="I39742" i="5"/>
  <c r="I39733" i="5"/>
  <c r="I39724" i="5"/>
  <c r="I39715" i="5"/>
  <c r="I39706" i="5"/>
  <c r="I39697" i="5"/>
  <c r="I39687" i="5"/>
  <c r="I39678" i="5"/>
  <c r="I39669" i="5"/>
  <c r="I39660" i="5"/>
  <c r="I39651" i="5"/>
  <c r="I39642" i="5"/>
  <c r="I39633" i="5"/>
  <c r="I39623" i="5"/>
  <c r="I39614" i="5"/>
  <c r="I39605" i="5"/>
  <c r="I39596" i="5"/>
  <c r="I39587" i="5"/>
  <c r="I39578" i="5"/>
  <c r="I41563" i="5"/>
  <c r="I41532" i="5"/>
  <c r="I41500" i="5"/>
  <c r="I41467" i="5"/>
  <c r="I41439" i="5"/>
  <c r="I41406" i="5"/>
  <c r="I41378" i="5"/>
  <c r="I41343" i="5"/>
  <c r="I41311" i="5"/>
  <c r="I41282" i="5"/>
  <c r="I41250" i="5"/>
  <c r="I41222" i="5"/>
  <c r="I41186" i="5"/>
  <c r="I41154" i="5"/>
  <c r="I41126" i="5"/>
  <c r="I41094" i="5"/>
  <c r="I41064" i="5"/>
  <c r="I41031" i="5"/>
  <c r="I41003" i="5"/>
  <c r="I40983" i="5"/>
  <c r="I40960" i="5"/>
  <c r="I40939" i="5"/>
  <c r="I40913" i="5"/>
  <c r="I40892" i="5"/>
  <c r="I40873" i="5"/>
  <c r="I40854" i="5"/>
  <c r="I40836" i="5"/>
  <c r="I40815" i="5"/>
  <c r="I40793" i="5"/>
  <c r="I40775" i="5"/>
  <c r="I40756" i="5"/>
  <c r="I40737" i="5"/>
  <c r="I40717" i="5"/>
  <c r="I40697" i="5"/>
  <c r="I40679" i="5"/>
  <c r="I40660" i="5"/>
  <c r="I40641" i="5"/>
  <c r="I40623" i="5"/>
  <c r="I40608" i="5"/>
  <c r="I40593" i="5"/>
  <c r="I40580" i="5"/>
  <c r="I40566" i="5"/>
  <c r="I40552" i="5"/>
  <c r="I40537" i="5"/>
  <c r="I40525" i="5"/>
  <c r="I40510" i="5"/>
  <c r="I40496" i="5"/>
  <c r="I40484" i="5"/>
  <c r="I40472" i="5"/>
  <c r="I40461" i="5"/>
  <c r="I40449" i="5"/>
  <c r="I40437" i="5"/>
  <c r="I40424" i="5"/>
  <c r="I40413" i="5"/>
  <c r="I40400" i="5"/>
  <c r="I40389" i="5"/>
  <c r="I40377" i="5"/>
  <c r="I40365" i="5"/>
  <c r="I40353" i="5"/>
  <c r="I40343" i="5"/>
  <c r="I40333" i="5"/>
  <c r="I40323" i="5"/>
  <c r="I40312" i="5"/>
  <c r="I40301" i="5"/>
  <c r="I40291" i="5"/>
  <c r="I40280" i="5"/>
  <c r="I40270" i="5"/>
  <c r="I40260" i="5"/>
  <c r="I40249" i="5"/>
  <c r="I40239" i="5"/>
  <c r="I40228" i="5"/>
  <c r="I40217" i="5"/>
  <c r="I40207" i="5"/>
  <c r="I40197" i="5"/>
  <c r="I40187" i="5"/>
  <c r="I40176" i="5"/>
  <c r="I40166" i="5"/>
  <c r="I40155" i="5"/>
  <c r="I40144" i="5"/>
  <c r="I40134" i="5"/>
  <c r="I40124" i="5"/>
  <c r="I40113" i="5"/>
  <c r="I40103" i="5"/>
  <c r="I40093" i="5"/>
  <c r="I40081" i="5"/>
  <c r="I40071" i="5"/>
  <c r="I40061" i="5"/>
  <c r="I40052" i="5"/>
  <c r="I40043" i="5"/>
  <c r="I40034" i="5"/>
  <c r="I40025" i="5"/>
  <c r="I40015" i="5"/>
  <c r="I40006" i="5"/>
  <c r="I39997" i="5"/>
  <c r="I39988" i="5"/>
  <c r="I39979" i="5"/>
  <c r="I39970" i="5"/>
  <c r="I39961" i="5"/>
  <c r="I39951" i="5"/>
  <c r="I39942" i="5"/>
  <c r="I39933" i="5"/>
  <c r="I39924" i="5"/>
  <c r="I39915" i="5"/>
  <c r="I39906" i="5"/>
  <c r="I39897" i="5"/>
  <c r="I39887" i="5"/>
  <c r="I39878" i="5"/>
  <c r="I39869" i="5"/>
  <c r="I39860" i="5"/>
  <c r="I39851" i="5"/>
  <c r="I39842" i="5"/>
  <c r="I39833" i="5"/>
  <c r="I39823" i="5"/>
  <c r="I39814" i="5"/>
  <c r="I39805" i="5"/>
  <c r="I39796" i="5"/>
  <c r="I39787" i="5"/>
  <c r="I39778" i="5"/>
  <c r="I39769" i="5"/>
  <c r="I39759" i="5"/>
  <c r="I39750" i="5"/>
  <c r="I39741" i="5"/>
  <c r="I39732" i="5"/>
  <c r="I39723" i="5"/>
  <c r="I39714" i="5"/>
  <c r="I39705" i="5"/>
  <c r="I39695" i="5"/>
  <c r="I39686" i="5"/>
  <c r="I39677" i="5"/>
  <c r="I39668" i="5"/>
  <c r="I39659" i="5"/>
  <c r="I39650" i="5"/>
  <c r="I39641" i="5"/>
  <c r="I39631" i="5"/>
  <c r="I39622" i="5"/>
  <c r="I39613" i="5"/>
  <c r="I39604" i="5"/>
  <c r="I39595" i="5"/>
  <c r="I39586" i="5"/>
  <c r="I39577" i="5"/>
  <c r="I39567" i="5"/>
  <c r="I39558" i="5"/>
  <c r="I39549" i="5"/>
  <c r="I39540" i="5"/>
  <c r="I39531" i="5"/>
  <c r="I39522" i="5"/>
  <c r="I39513" i="5"/>
  <c r="I39503" i="5"/>
  <c r="I39494" i="5"/>
  <c r="I39485" i="5"/>
  <c r="I39476" i="5"/>
  <c r="I39467" i="5"/>
  <c r="I39458" i="5"/>
  <c r="I39449" i="5"/>
  <c r="I39439" i="5"/>
  <c r="I39430" i="5"/>
  <c r="I39421" i="5"/>
  <c r="I39412" i="5"/>
  <c r="I39403" i="5"/>
  <c r="I39394" i="5"/>
  <c r="I39385" i="5"/>
  <c r="I39375" i="5"/>
  <c r="I39366" i="5"/>
  <c r="I39357" i="5"/>
  <c r="I39348" i="5"/>
  <c r="I39339" i="5"/>
  <c r="I39330" i="5"/>
  <c r="I39321" i="5"/>
  <c r="I39311" i="5"/>
  <c r="I39302" i="5"/>
  <c r="I41552" i="5"/>
  <c r="I41518" i="5"/>
  <c r="I41488" i="5"/>
  <c r="I41458" i="5"/>
  <c r="I41427" i="5"/>
  <c r="I41396" i="5"/>
  <c r="I41362" i="5"/>
  <c r="I41331" i="5"/>
  <c r="I41300" i="5"/>
  <c r="I41270" i="5"/>
  <c r="I41239" i="5"/>
  <c r="I41207" i="5"/>
  <c r="I41174" i="5"/>
  <c r="I41147" i="5"/>
  <c r="I41112" i="5"/>
  <c r="I41086" i="5"/>
  <c r="I41051" i="5"/>
  <c r="I41019" i="5"/>
  <c r="I40995" i="5"/>
  <c r="I40974" i="5"/>
  <c r="I40952" i="5"/>
  <c r="I40929" i="5"/>
  <c r="I40904" i="5"/>
  <c r="I40885" i="5"/>
  <c r="I40865" i="5"/>
  <c r="I40847" i="5"/>
  <c r="I40827" i="5"/>
  <c r="I40807" i="5"/>
  <c r="I40789" i="5"/>
  <c r="I40769" i="5"/>
  <c r="I40751" i="5"/>
  <c r="I40728" i="5"/>
  <c r="I40709" i="5"/>
  <c r="I40691" i="5"/>
  <c r="I40671" i="5"/>
  <c r="I40653" i="5"/>
  <c r="I40633" i="5"/>
  <c r="I40616" i="5"/>
  <c r="I40601" i="5"/>
  <c r="I40589" i="5"/>
  <c r="I40574" i="5"/>
  <c r="I40560" i="5"/>
  <c r="I40547" i="5"/>
  <c r="I40533" i="5"/>
  <c r="I40518" i="5"/>
  <c r="I40505" i="5"/>
  <c r="I40492" i="5"/>
  <c r="I40480" i="5"/>
  <c r="I40469" i="5"/>
  <c r="I40455" i="5"/>
  <c r="I40444" i="5"/>
  <c r="I40432" i="5"/>
  <c r="I40420" i="5"/>
  <c r="I40408" i="5"/>
  <c r="I40397" i="5"/>
  <c r="I40385" i="5"/>
  <c r="I40372" i="5"/>
  <c r="I40360" i="5"/>
  <c r="I40350" i="5"/>
  <c r="I40340" i="5"/>
  <c r="I40328" i="5"/>
  <c r="I40318" i="5"/>
  <c r="I40308" i="5"/>
  <c r="I40297" i="5"/>
  <c r="I40287" i="5"/>
  <c r="I40277" i="5"/>
  <c r="I40267" i="5"/>
  <c r="I40255" i="5"/>
  <c r="I40245" i="5"/>
  <c r="I40235" i="5"/>
  <c r="I40224" i="5"/>
  <c r="I40214" i="5"/>
  <c r="I40204" i="5"/>
  <c r="I40193" i="5"/>
  <c r="I40182" i="5"/>
  <c r="I40172" i="5"/>
  <c r="I40161" i="5"/>
  <c r="I40151" i="5"/>
  <c r="I40141" i="5"/>
  <c r="I40131" i="5"/>
  <c r="I40120" i="5"/>
  <c r="I40109" i="5"/>
  <c r="I40099" i="5"/>
  <c r="I40088" i="5"/>
  <c r="I40078" i="5"/>
  <c r="I40068" i="5"/>
  <c r="I40058" i="5"/>
  <c r="I40049" i="5"/>
  <c r="I40039" i="5"/>
  <c r="I40030" i="5"/>
  <c r="I40021" i="5"/>
  <c r="I40012" i="5"/>
  <c r="I40003" i="5"/>
  <c r="I39994" i="5"/>
  <c r="I39985" i="5"/>
  <c r="I39975" i="5"/>
  <c r="I39966" i="5"/>
  <c r="I39957" i="5"/>
  <c r="I39948" i="5"/>
  <c r="I39939" i="5"/>
  <c r="I39930" i="5"/>
  <c r="I39921" i="5"/>
  <c r="I39911" i="5"/>
  <c r="I39902" i="5"/>
  <c r="I39893" i="5"/>
  <c r="I39884" i="5"/>
  <c r="I39875" i="5"/>
  <c r="I39866" i="5"/>
  <c r="I41574" i="5"/>
  <c r="I41515" i="5"/>
  <c r="I41464" i="5"/>
  <c r="I41418" i="5"/>
  <c r="I41367" i="5"/>
  <c r="I41320" i="5"/>
  <c r="I41264" i="5"/>
  <c r="I41214" i="5"/>
  <c r="I41166" i="5"/>
  <c r="I41116" i="5"/>
  <c r="I41068" i="5"/>
  <c r="I41015" i="5"/>
  <c r="I40982" i="5"/>
  <c r="I40945" i="5"/>
  <c r="I40911" i="5"/>
  <c r="I40879" i="5"/>
  <c r="I40844" i="5"/>
  <c r="I40812" i="5"/>
  <c r="I40782" i="5"/>
  <c r="I40752" i="5"/>
  <c r="I40720" i="5"/>
  <c r="I40689" i="5"/>
  <c r="I40655" i="5"/>
  <c r="I40630" i="5"/>
  <c r="I40605" i="5"/>
  <c r="I40583" i="5"/>
  <c r="I40559" i="5"/>
  <c r="I40536" i="5"/>
  <c r="I40516" i="5"/>
  <c r="I40493" i="5"/>
  <c r="I40475" i="5"/>
  <c r="I40454" i="5"/>
  <c r="I40435" i="5"/>
  <c r="I40417" i="5"/>
  <c r="I40398" i="5"/>
  <c r="I40380" i="5"/>
  <c r="I40359" i="5"/>
  <c r="I40342" i="5"/>
  <c r="I40326" i="5"/>
  <c r="I40309" i="5"/>
  <c r="I40294" i="5"/>
  <c r="I40276" i="5"/>
  <c r="I40259" i="5"/>
  <c r="I40243" i="5"/>
  <c r="I40225" i="5"/>
  <c r="I40209" i="5"/>
  <c r="I40191" i="5"/>
  <c r="I40175" i="5"/>
  <c r="I40159" i="5"/>
  <c r="I40142" i="5"/>
  <c r="I40126" i="5"/>
  <c r="I40108" i="5"/>
  <c r="I40091" i="5"/>
  <c r="I40076" i="5"/>
  <c r="I40059" i="5"/>
  <c r="I40045" i="5"/>
  <c r="I40029" i="5"/>
  <c r="I40014" i="5"/>
  <c r="I40001" i="5"/>
  <c r="I39986" i="5"/>
  <c r="I39972" i="5"/>
  <c r="I39956" i="5"/>
  <c r="I39941" i="5"/>
  <c r="I39927" i="5"/>
  <c r="I39913" i="5"/>
  <c r="I39899" i="5"/>
  <c r="I39883" i="5"/>
  <c r="I39868" i="5"/>
  <c r="I39855" i="5"/>
  <c r="I39844" i="5"/>
  <c r="I39830" i="5"/>
  <c r="I39819" i="5"/>
  <c r="I39807" i="5"/>
  <c r="I39794" i="5"/>
  <c r="I39782" i="5"/>
  <c r="I39771" i="5"/>
  <c r="I39757" i="5"/>
  <c r="I39746" i="5"/>
  <c r="I39734" i="5"/>
  <c r="I39721" i="5"/>
  <c r="I39709" i="5"/>
  <c r="I39698" i="5"/>
  <c r="I39684" i="5"/>
  <c r="I39673" i="5"/>
  <c r="I39661" i="5"/>
  <c r="I41556" i="5"/>
  <c r="I41514" i="5"/>
  <c r="I41459" i="5"/>
  <c r="I41416" i="5"/>
  <c r="I41360" i="5"/>
  <c r="I41308" i="5"/>
  <c r="I41262" i="5"/>
  <c r="I41211" i="5"/>
  <c r="I41164" i="5"/>
  <c r="I41110" i="5"/>
  <c r="I41056" i="5"/>
  <c r="I41012" i="5"/>
  <c r="I40975" i="5"/>
  <c r="I40942" i="5"/>
  <c r="I40903" i="5"/>
  <c r="I40872" i="5"/>
  <c r="I40843" i="5"/>
  <c r="I40811" i="5"/>
  <c r="I40781" i="5"/>
  <c r="I40745" i="5"/>
  <c r="I40716" i="5"/>
  <c r="I40684" i="5"/>
  <c r="I40654" i="5"/>
  <c r="I40627" i="5"/>
  <c r="I40600" i="5"/>
  <c r="I40579" i="5"/>
  <c r="I40557" i="5"/>
  <c r="I40535" i="5"/>
  <c r="I40515" i="5"/>
  <c r="I40491" i="5"/>
  <c r="I40471" i="5"/>
  <c r="I40453" i="5"/>
  <c r="I40433" i="5"/>
  <c r="I40416" i="5"/>
  <c r="I40396" i="5"/>
  <c r="I40376" i="5"/>
  <c r="I40358" i="5"/>
  <c r="I40341" i="5"/>
  <c r="I40325" i="5"/>
  <c r="I40307" i="5"/>
  <c r="I40289" i="5"/>
  <c r="I40273" i="5"/>
  <c r="I40257" i="5"/>
  <c r="I40241" i="5"/>
  <c r="I40223" i="5"/>
  <c r="I40206" i="5"/>
  <c r="I40190" i="5"/>
  <c r="I40173" i="5"/>
  <c r="I40158" i="5"/>
  <c r="I40140" i="5"/>
  <c r="I40123" i="5"/>
  <c r="I40107" i="5"/>
  <c r="I40089" i="5"/>
  <c r="I40075" i="5"/>
  <c r="I40057" i="5"/>
  <c r="I40042" i="5"/>
  <c r="I40028" i="5"/>
  <c r="I40013" i="5"/>
  <c r="I39999" i="5"/>
  <c r="I39983" i="5"/>
  <c r="I39969" i="5"/>
  <c r="I39955" i="5"/>
  <c r="I39940" i="5"/>
  <c r="I39926" i="5"/>
  <c r="I39910" i="5"/>
  <c r="I39895" i="5"/>
  <c r="I39882" i="5"/>
  <c r="I39867" i="5"/>
  <c r="I39854" i="5"/>
  <c r="I39841" i="5"/>
  <c r="I39829" i="5"/>
  <c r="I39818" i="5"/>
  <c r="I39804" i="5"/>
  <c r="I39793" i="5"/>
  <c r="I39781" i="5"/>
  <c r="I39767" i="5"/>
  <c r="I39756" i="5"/>
  <c r="I39745" i="5"/>
  <c r="I39731" i="5"/>
  <c r="I39719" i="5"/>
  <c r="I39708" i="5"/>
  <c r="I39694" i="5"/>
  <c r="I39683" i="5"/>
  <c r="I39671" i="5"/>
  <c r="I39658" i="5"/>
  <c r="I39646" i="5"/>
  <c r="I39635" i="5"/>
  <c r="I39621" i="5"/>
  <c r="I39610" i="5"/>
  <c r="I39598" i="5"/>
  <c r="I39585" i="5"/>
  <c r="I39573" i="5"/>
  <c r="I39563" i="5"/>
  <c r="I39553" i="5"/>
  <c r="I39542" i="5"/>
  <c r="I39532" i="5"/>
  <c r="I39521" i="5"/>
  <c r="I39510" i="5"/>
  <c r="I39500" i="5"/>
  <c r="I39490" i="5"/>
  <c r="I39479" i="5"/>
  <c r="I39469" i="5"/>
  <c r="I39459" i="5"/>
  <c r="I39447" i="5"/>
  <c r="I39437" i="5"/>
  <c r="I39427" i="5"/>
  <c r="I39417" i="5"/>
  <c r="I39406" i="5"/>
  <c r="I39396" i="5"/>
  <c r="I39386" i="5"/>
  <c r="I39374" i="5"/>
  <c r="I39364" i="5"/>
  <c r="I39354" i="5"/>
  <c r="I39343" i="5"/>
  <c r="I39333" i="5"/>
  <c r="I39323" i="5"/>
  <c r="I39313" i="5"/>
  <c r="I39301" i="5"/>
  <c r="I39292" i="5"/>
  <c r="I39283" i="5"/>
  <c r="I41555" i="5"/>
  <c r="I41506" i="5"/>
  <c r="I41454" i="5"/>
  <c r="I41403" i="5"/>
  <c r="I41356" i="5"/>
  <c r="I41304" i="5"/>
  <c r="I41259" i="5"/>
  <c r="I41203" i="5"/>
  <c r="I41152" i="5"/>
  <c r="I41106" i="5"/>
  <c r="I41055" i="5"/>
  <c r="I41009" i="5"/>
  <c r="I40970" i="5"/>
  <c r="I40932" i="5"/>
  <c r="I40900" i="5"/>
  <c r="I40867" i="5"/>
  <c r="I40838" i="5"/>
  <c r="I40806" i="5"/>
  <c r="I40774" i="5"/>
  <c r="I40744" i="5"/>
  <c r="I40715" i="5"/>
  <c r="I40683" i="5"/>
  <c r="I40647" i="5"/>
  <c r="I40621" i="5"/>
  <c r="I40599" i="5"/>
  <c r="I40577" i="5"/>
  <c r="I40556" i="5"/>
  <c r="I40532" i="5"/>
  <c r="I40508" i="5"/>
  <c r="I40489" i="5"/>
  <c r="I40470" i="5"/>
  <c r="I40452" i="5"/>
  <c r="I40431" i="5"/>
  <c r="I40411" i="5"/>
  <c r="I40392" i="5"/>
  <c r="I40374" i="5"/>
  <c r="I40356" i="5"/>
  <c r="I40337" i="5"/>
  <c r="I40321" i="5"/>
  <c r="I40305" i="5"/>
  <c r="I40288" i="5"/>
  <c r="I40272" i="5"/>
  <c r="I40254" i="5"/>
  <c r="I40237" i="5"/>
  <c r="I40222" i="5"/>
  <c r="I40205" i="5"/>
  <c r="I40189" i="5"/>
  <c r="I40171" i="5"/>
  <c r="I40153" i="5"/>
  <c r="I40139" i="5"/>
  <c r="I40121" i="5"/>
  <c r="I40105" i="5"/>
  <c r="I40087" i="5"/>
  <c r="I40070" i="5"/>
  <c r="I40055" i="5"/>
  <c r="I40041" i="5"/>
  <c r="I40027" i="5"/>
  <c r="I40011" i="5"/>
  <c r="I39996" i="5"/>
  <c r="I39982" i="5"/>
  <c r="I39967" i="5"/>
  <c r="I39954" i="5"/>
  <c r="I39938" i="5"/>
  <c r="I39923" i="5"/>
  <c r="I39909" i="5"/>
  <c r="I39894" i="5"/>
  <c r="I39881" i="5"/>
  <c r="I39865" i="5"/>
  <c r="I39853" i="5"/>
  <c r="I39839" i="5"/>
  <c r="I39828" i="5"/>
  <c r="I39817" i="5"/>
  <c r="I39803" i="5"/>
  <c r="I39791" i="5"/>
  <c r="I39780" i="5"/>
  <c r="I39766" i="5"/>
  <c r="I39755" i="5"/>
  <c r="I39743" i="5"/>
  <c r="I39730" i="5"/>
  <c r="I39718" i="5"/>
  <c r="I39707" i="5"/>
  <c r="I39693" i="5"/>
  <c r="I39682" i="5"/>
  <c r="I39670" i="5"/>
  <c r="I39657" i="5"/>
  <c r="I39645" i="5"/>
  <c r="I39634" i="5"/>
  <c r="I39620" i="5"/>
  <c r="I39609" i="5"/>
  <c r="I39597" i="5"/>
  <c r="I39583" i="5"/>
  <c r="I39572" i="5"/>
  <c r="I39562" i="5"/>
  <c r="I39551" i="5"/>
  <c r="I39541" i="5"/>
  <c r="I39530" i="5"/>
  <c r="I39519" i="5"/>
  <c r="I39509" i="5"/>
  <c r="I39499" i="5"/>
  <c r="I39489" i="5"/>
  <c r="I39478" i="5"/>
  <c r="I39468" i="5"/>
  <c r="I39457" i="5"/>
  <c r="I39446" i="5"/>
  <c r="I39436" i="5"/>
  <c r="I39426" i="5"/>
  <c r="I39415" i="5"/>
  <c r="I39405" i="5"/>
  <c r="I39395" i="5"/>
  <c r="I39383" i="5"/>
  <c r="I39373" i="5"/>
  <c r="I39363" i="5"/>
  <c r="I39353" i="5"/>
  <c r="I39342" i="5"/>
  <c r="I39332" i="5"/>
  <c r="I39322" i="5"/>
  <c r="I39310" i="5"/>
  <c r="I39300" i="5"/>
  <c r="I39291" i="5"/>
  <c r="I39282" i="5"/>
  <c r="I39273" i="5"/>
  <c r="I39263" i="5"/>
  <c r="I39254" i="5"/>
  <c r="I39245" i="5"/>
  <c r="I39236" i="5"/>
  <c r="I39227" i="5"/>
  <c r="I39218" i="5"/>
  <c r="I39209" i="5"/>
  <c r="I39199" i="5"/>
  <c r="I39191" i="5"/>
  <c r="I39183" i="5"/>
  <c r="I39175" i="5"/>
  <c r="I39167" i="5"/>
  <c r="I39159" i="5"/>
  <c r="I39151" i="5"/>
  <c r="I39143" i="5"/>
  <c r="I39135" i="5"/>
  <c r="I39127" i="5"/>
  <c r="I39119" i="5"/>
  <c r="I39111" i="5"/>
  <c r="I39103" i="5"/>
  <c r="I39095" i="5"/>
  <c r="I39087" i="5"/>
  <c r="I39079" i="5"/>
  <c r="I39071" i="5"/>
  <c r="I39063" i="5"/>
  <c r="I39055" i="5"/>
  <c r="I39047" i="5"/>
  <c r="I39039" i="5"/>
  <c r="I39031" i="5"/>
  <c r="I39023" i="5"/>
  <c r="I39015" i="5"/>
  <c r="I39007" i="5"/>
  <c r="I38999" i="5"/>
  <c r="I38991" i="5"/>
  <c r="I38983" i="5"/>
  <c r="I38975" i="5"/>
  <c r="I38967" i="5"/>
  <c r="I38959" i="5"/>
  <c r="I38951" i="5"/>
  <c r="I38943" i="5"/>
  <c r="I38935" i="5"/>
  <c r="I38927" i="5"/>
  <c r="I38919" i="5"/>
  <c r="I38911" i="5"/>
  <c r="I38903" i="5"/>
  <c r="I41538" i="5"/>
  <c r="I41483" i="5"/>
  <c r="I41435" i="5"/>
  <c r="I41386" i="5"/>
  <c r="I41336" i="5"/>
  <c r="I41288" i="5"/>
  <c r="I41234" i="5"/>
  <c r="I41184" i="5"/>
  <c r="I41136" i="5"/>
  <c r="I41087" i="5"/>
  <c r="I41038" i="5"/>
  <c r="I40994" i="5"/>
  <c r="I40955" i="5"/>
  <c r="I40923" i="5"/>
  <c r="I40888" i="5"/>
  <c r="I40861" i="5"/>
  <c r="I40825" i="5"/>
  <c r="I40792" i="5"/>
  <c r="I40764" i="5"/>
  <c r="I40733" i="5"/>
  <c r="I40702" i="5"/>
  <c r="I40669" i="5"/>
  <c r="I40637" i="5"/>
  <c r="I40612" i="5"/>
  <c r="I40590" i="5"/>
  <c r="I40569" i="5"/>
  <c r="I40545" i="5"/>
  <c r="I40523" i="5"/>
  <c r="I40501" i="5"/>
  <c r="I40481" i="5"/>
  <c r="I40463" i="5"/>
  <c r="I40443" i="5"/>
  <c r="I40423" i="5"/>
  <c r="I40406" i="5"/>
  <c r="I40387" i="5"/>
  <c r="I40368" i="5"/>
  <c r="I40349" i="5"/>
  <c r="I40332" i="5"/>
  <c r="I40316" i="5"/>
  <c r="I40299" i="5"/>
  <c r="I40283" i="5"/>
  <c r="I40264" i="5"/>
  <c r="I40248" i="5"/>
  <c r="I40232" i="5"/>
  <c r="I40215" i="5"/>
  <c r="I40199" i="5"/>
  <c r="I40181" i="5"/>
  <c r="I40164" i="5"/>
  <c r="I40149" i="5"/>
  <c r="I40132" i="5"/>
  <c r="I40116" i="5"/>
  <c r="I40097" i="5"/>
  <c r="I40080" i="5"/>
  <c r="I40065" i="5"/>
  <c r="I40050" i="5"/>
  <c r="I40036" i="5"/>
  <c r="I40020" i="5"/>
  <c r="I40005" i="5"/>
  <c r="I39991" i="5"/>
  <c r="I39977" i="5"/>
  <c r="I39963" i="5"/>
  <c r="I39947" i="5"/>
  <c r="I39932" i="5"/>
  <c r="I39918" i="5"/>
  <c r="I39903" i="5"/>
  <c r="I39890" i="5"/>
  <c r="I39874" i="5"/>
  <c r="I39859" i="5"/>
  <c r="I39847" i="5"/>
  <c r="I39836" i="5"/>
  <c r="I39822" i="5"/>
  <c r="I39811" i="5"/>
  <c r="I39799" i="5"/>
  <c r="I39786" i="5"/>
  <c r="I39774" i="5"/>
  <c r="I39763" i="5"/>
  <c r="I39749" i="5"/>
  <c r="I39738" i="5"/>
  <c r="I39726" i="5"/>
  <c r="I39713" i="5"/>
  <c r="I39701" i="5"/>
  <c r="I39690" i="5"/>
  <c r="I39676" i="5"/>
  <c r="I39665" i="5"/>
  <c r="I39653" i="5"/>
  <c r="I39639" i="5"/>
  <c r="I39628" i="5"/>
  <c r="I39617" i="5"/>
  <c r="I39603" i="5"/>
  <c r="I39591" i="5"/>
  <c r="I39580" i="5"/>
  <c r="I39569" i="5"/>
  <c r="I39557" i="5"/>
  <c r="I39547" i="5"/>
  <c r="I39537" i="5"/>
  <c r="I39526" i="5"/>
  <c r="I39516" i="5"/>
  <c r="I39506" i="5"/>
  <c r="I39495" i="5"/>
  <c r="I39484" i="5"/>
  <c r="I39474" i="5"/>
  <c r="I39463" i="5"/>
  <c r="I39453" i="5"/>
  <c r="I39443" i="5"/>
  <c r="I39433" i="5"/>
  <c r="I39422" i="5"/>
  <c r="I39411" i="5"/>
  <c r="I39401" i="5"/>
  <c r="I39390" i="5"/>
  <c r="I39380" i="5"/>
  <c r="I39370" i="5"/>
  <c r="I39359" i="5"/>
  <c r="I39349" i="5"/>
  <c r="I41544" i="5"/>
  <c r="I41447" i="5"/>
  <c r="I41350" i="5"/>
  <c r="I41246" i="5"/>
  <c r="I41148" i="5"/>
  <c r="I41048" i="5"/>
  <c r="I40967" i="5"/>
  <c r="I40899" i="5"/>
  <c r="I40830" i="5"/>
  <c r="I40771" i="5"/>
  <c r="I40708" i="5"/>
  <c r="I40646" i="5"/>
  <c r="I40598" i="5"/>
  <c r="I40550" i="5"/>
  <c r="I40507" i="5"/>
  <c r="I40465" i="5"/>
  <c r="I40429" i="5"/>
  <c r="I40391" i="5"/>
  <c r="I40352" i="5"/>
  <c r="I40319" i="5"/>
  <c r="I40286" i="5"/>
  <c r="I40253" i="5"/>
  <c r="I40221" i="5"/>
  <c r="I40185" i="5"/>
  <c r="I40152" i="5"/>
  <c r="I40118" i="5"/>
  <c r="I40086" i="5"/>
  <c r="I40054" i="5"/>
  <c r="I40023" i="5"/>
  <c r="I39995" i="5"/>
  <c r="I39965" i="5"/>
  <c r="I39937" i="5"/>
  <c r="I39908" i="5"/>
  <c r="I39877" i="5"/>
  <c r="I39850" i="5"/>
  <c r="I39827" i="5"/>
  <c r="I39802" i="5"/>
  <c r="I39777" i="5"/>
  <c r="I39754" i="5"/>
  <c r="I39729" i="5"/>
  <c r="I39703" i="5"/>
  <c r="I39681" i="5"/>
  <c r="I39655" i="5"/>
  <c r="I39637" i="5"/>
  <c r="I39618" i="5"/>
  <c r="I39599" i="5"/>
  <c r="I39579" i="5"/>
  <c r="I39561" i="5"/>
  <c r="I39545" i="5"/>
  <c r="I39527" i="5"/>
  <c r="I39511" i="5"/>
  <c r="I39493" i="5"/>
  <c r="I39477" i="5"/>
  <c r="I39461" i="5"/>
  <c r="I39444" i="5"/>
  <c r="I39428" i="5"/>
  <c r="I39410" i="5"/>
  <c r="I39393" i="5"/>
  <c r="I39378" i="5"/>
  <c r="I39361" i="5"/>
  <c r="I39345" i="5"/>
  <c r="I39329" i="5"/>
  <c r="I39316" i="5"/>
  <c r="I39303" i="5"/>
  <c r="I39289" i="5"/>
  <c r="I39277" i="5"/>
  <c r="I39267" i="5"/>
  <c r="I39257" i="5"/>
  <c r="I39246" i="5"/>
  <c r="I39235" i="5"/>
  <c r="I39225" i="5"/>
  <c r="I39214" i="5"/>
  <c r="I39204" i="5"/>
  <c r="I39194" i="5"/>
  <c r="I39185" i="5"/>
  <c r="I39176" i="5"/>
  <c r="I39166" i="5"/>
  <c r="I39157" i="5"/>
  <c r="I39148" i="5"/>
  <c r="I39139" i="5"/>
  <c r="I39130" i="5"/>
  <c r="I39121" i="5"/>
  <c r="I39112" i="5"/>
  <c r="I39102" i="5"/>
  <c r="I39093" i="5"/>
  <c r="I39084" i="5"/>
  <c r="I39075" i="5"/>
  <c r="I39066" i="5"/>
  <c r="I39057" i="5"/>
  <c r="I39048" i="5"/>
  <c r="I39038" i="5"/>
  <c r="I39029" i="5"/>
  <c r="I39020" i="5"/>
  <c r="I39011" i="5"/>
  <c r="I39002" i="5"/>
  <c r="I38993" i="5"/>
  <c r="I38984" i="5"/>
  <c r="I38974" i="5"/>
  <c r="I38965" i="5"/>
  <c r="I38956" i="5"/>
  <c r="I38947" i="5"/>
  <c r="I38938" i="5"/>
  <c r="I38929" i="5"/>
  <c r="I38920" i="5"/>
  <c r="I38910" i="5"/>
  <c r="I38901" i="5"/>
  <c r="I38893" i="5"/>
  <c r="I38885" i="5"/>
  <c r="I38877" i="5"/>
  <c r="I38869" i="5"/>
  <c r="I38861" i="5"/>
  <c r="I38853" i="5"/>
  <c r="I38845" i="5"/>
  <c r="I38837" i="5"/>
  <c r="I38829" i="5"/>
  <c r="I38821" i="5"/>
  <c r="I38813" i="5"/>
  <c r="I38805" i="5"/>
  <c r="I38797" i="5"/>
  <c r="I38789" i="5"/>
  <c r="I38781" i="5"/>
  <c r="I38773" i="5"/>
  <c r="I38765" i="5"/>
  <c r="I38757" i="5"/>
  <c r="I38749" i="5"/>
  <c r="I38741" i="5"/>
  <c r="I38733" i="5"/>
  <c r="I38725" i="5"/>
  <c r="I38717" i="5"/>
  <c r="I38709" i="5"/>
  <c r="I38701" i="5"/>
  <c r="I38693" i="5"/>
  <c r="I38685" i="5"/>
  <c r="I38677" i="5"/>
  <c r="I38669" i="5"/>
  <c r="I38661" i="5"/>
  <c r="I38653" i="5"/>
  <c r="I38645" i="5"/>
  <c r="I38637" i="5"/>
  <c r="I38629" i="5"/>
  <c r="I38621" i="5"/>
  <c r="I38613" i="5"/>
  <c r="I38605" i="5"/>
  <c r="I38597" i="5"/>
  <c r="I38589" i="5"/>
  <c r="I38581" i="5"/>
  <c r="I38573" i="5"/>
  <c r="I38565" i="5"/>
  <c r="I38557" i="5"/>
  <c r="I38549" i="5"/>
  <c r="I38541" i="5"/>
  <c r="I38533" i="5"/>
  <c r="I38525" i="5"/>
  <c r="I38517" i="5"/>
  <c r="I38509" i="5"/>
  <c r="I38501" i="5"/>
  <c r="I38493" i="5"/>
  <c r="I38485" i="5"/>
  <c r="I38477" i="5"/>
  <c r="I38469" i="5"/>
  <c r="I38461" i="5"/>
  <c r="I38453" i="5"/>
  <c r="I38445" i="5"/>
  <c r="I38437" i="5"/>
  <c r="I38429" i="5"/>
  <c r="I38421" i="5"/>
  <c r="I38413" i="5"/>
  <c r="I38405" i="5"/>
  <c r="I38397" i="5"/>
  <c r="I38389" i="5"/>
  <c r="I41543" i="5"/>
  <c r="I41446" i="5"/>
  <c r="I41342" i="5"/>
  <c r="I41244" i="5"/>
  <c r="I41142" i="5"/>
  <c r="I41044" i="5"/>
  <c r="I40966" i="5"/>
  <c r="I40891" i="5"/>
  <c r="I40829" i="5"/>
  <c r="I40765" i="5"/>
  <c r="I40705" i="5"/>
  <c r="I40644" i="5"/>
  <c r="I40591" i="5"/>
  <c r="I40548" i="5"/>
  <c r="I40504" i="5"/>
  <c r="I40464" i="5"/>
  <c r="I40428" i="5"/>
  <c r="I40388" i="5"/>
  <c r="I40351" i="5"/>
  <c r="I40317" i="5"/>
  <c r="I40285" i="5"/>
  <c r="I40252" i="5"/>
  <c r="I40216" i="5"/>
  <c r="I40184" i="5"/>
  <c r="I40150" i="5"/>
  <c r="I40117" i="5"/>
  <c r="I40085" i="5"/>
  <c r="I40051" i="5"/>
  <c r="I40022" i="5"/>
  <c r="I39993" i="5"/>
  <c r="I39964" i="5"/>
  <c r="I39935" i="5"/>
  <c r="I39905" i="5"/>
  <c r="I39876" i="5"/>
  <c r="I39849" i="5"/>
  <c r="I39826" i="5"/>
  <c r="I39801" i="5"/>
  <c r="I39775" i="5"/>
  <c r="I39753" i="5"/>
  <c r="I39727" i="5"/>
  <c r="I39702" i="5"/>
  <c r="I39679" i="5"/>
  <c r="I39654" i="5"/>
  <c r="I39636" i="5"/>
  <c r="I39615" i="5"/>
  <c r="I39594" i="5"/>
  <c r="I39575" i="5"/>
  <c r="I39559" i="5"/>
  <c r="I39543" i="5"/>
  <c r="I39525" i="5"/>
  <c r="I39508" i="5"/>
  <c r="I39492" i="5"/>
  <c r="I39475" i="5"/>
  <c r="I39460" i="5"/>
  <c r="I39442" i="5"/>
  <c r="I39425" i="5"/>
  <c r="I39409" i="5"/>
  <c r="I39391" i="5"/>
  <c r="I39377" i="5"/>
  <c r="I39358" i="5"/>
  <c r="I39341" i="5"/>
  <c r="I39327" i="5"/>
  <c r="I39315" i="5"/>
  <c r="I39299" i="5"/>
  <c r="I39287" i="5"/>
  <c r="I39276" i="5"/>
  <c r="I39266" i="5"/>
  <c r="I39255" i="5"/>
  <c r="I39244" i="5"/>
  <c r="I39234" i="5"/>
  <c r="I39223" i="5"/>
  <c r="I39213" i="5"/>
  <c r="I39203" i="5"/>
  <c r="I39193" i="5"/>
  <c r="I39184" i="5"/>
  <c r="I39174" i="5"/>
  <c r="I39165" i="5"/>
  <c r="I39156" i="5"/>
  <c r="I39147" i="5"/>
  <c r="I39138" i="5"/>
  <c r="I39129" i="5"/>
  <c r="I39120" i="5"/>
  <c r="I39110" i="5"/>
  <c r="I39101" i="5"/>
  <c r="I39092" i="5"/>
  <c r="I39083" i="5"/>
  <c r="I39074" i="5"/>
  <c r="I39065" i="5"/>
  <c r="I39056" i="5"/>
  <c r="I39046" i="5"/>
  <c r="I39037" i="5"/>
  <c r="I39028" i="5"/>
  <c r="I39019" i="5"/>
  <c r="I39010" i="5"/>
  <c r="I39001" i="5"/>
  <c r="I38992" i="5"/>
  <c r="I38982" i="5"/>
  <c r="I38973" i="5"/>
  <c r="I38964" i="5"/>
  <c r="I38955" i="5"/>
  <c r="I38946" i="5"/>
  <c r="I38937" i="5"/>
  <c r="I38928" i="5"/>
  <c r="I38918" i="5"/>
  <c r="I38909" i="5"/>
  <c r="I38900" i="5"/>
  <c r="I38892" i="5"/>
  <c r="I38884" i="5"/>
  <c r="I38876" i="5"/>
  <c r="I38868" i="5"/>
  <c r="I38860" i="5"/>
  <c r="I38852" i="5"/>
  <c r="I38844" i="5"/>
  <c r="I38836" i="5"/>
  <c r="I38828" i="5"/>
  <c r="I38820" i="5"/>
  <c r="I38812" i="5"/>
  <c r="I38804" i="5"/>
  <c r="I38796" i="5"/>
  <c r="I38788" i="5"/>
  <c r="I38780" i="5"/>
  <c r="I38772" i="5"/>
  <c r="I38764" i="5"/>
  <c r="I38756" i="5"/>
  <c r="I38748" i="5"/>
  <c r="I38740" i="5"/>
  <c r="I38732" i="5"/>
  <c r="I38724" i="5"/>
  <c r="I38716" i="5"/>
  <c r="I38708" i="5"/>
  <c r="I38700" i="5"/>
  <c r="I38692" i="5"/>
  <c r="I38684" i="5"/>
  <c r="I38676" i="5"/>
  <c r="I38668" i="5"/>
  <c r="I38660" i="5"/>
  <c r="I41526" i="5"/>
  <c r="I41428" i="5"/>
  <c r="I41330" i="5"/>
  <c r="I41232" i="5"/>
  <c r="I41134" i="5"/>
  <c r="I41027" i="5"/>
  <c r="I40954" i="5"/>
  <c r="I40884" i="5"/>
  <c r="I40824" i="5"/>
  <c r="I40763" i="5"/>
  <c r="I40696" i="5"/>
  <c r="I40636" i="5"/>
  <c r="I40588" i="5"/>
  <c r="I40543" i="5"/>
  <c r="I40500" i="5"/>
  <c r="I40460" i="5"/>
  <c r="I40422" i="5"/>
  <c r="I40382" i="5"/>
  <c r="I40347" i="5"/>
  <c r="I40315" i="5"/>
  <c r="I40279" i="5"/>
  <c r="I40246" i="5"/>
  <c r="I40213" i="5"/>
  <c r="I40180" i="5"/>
  <c r="I40148" i="5"/>
  <c r="I40112" i="5"/>
  <c r="I40079" i="5"/>
  <c r="I40047" i="5"/>
  <c r="I40019" i="5"/>
  <c r="I39990" i="5"/>
  <c r="I39959" i="5"/>
  <c r="I39931" i="5"/>
  <c r="I39901" i="5"/>
  <c r="I39873" i="5"/>
  <c r="I39846" i="5"/>
  <c r="I39821" i="5"/>
  <c r="I39798" i="5"/>
  <c r="I39773" i="5"/>
  <c r="I39748" i="5"/>
  <c r="I39725" i="5"/>
  <c r="I39700" i="5"/>
  <c r="I39675" i="5"/>
  <c r="I39652" i="5"/>
  <c r="I39630" i="5"/>
  <c r="I39612" i="5"/>
  <c r="I39593" i="5"/>
  <c r="I39574" i="5"/>
  <c r="I39556" i="5"/>
  <c r="I39539" i="5"/>
  <c r="I39524" i="5"/>
  <c r="I39507" i="5"/>
  <c r="I39491" i="5"/>
  <c r="I39473" i="5"/>
  <c r="I39455" i="5"/>
  <c r="I39441" i="5"/>
  <c r="I39423" i="5"/>
  <c r="I39407" i="5"/>
  <c r="I39389" i="5"/>
  <c r="I39372" i="5"/>
  <c r="I39356" i="5"/>
  <c r="I39340" i="5"/>
  <c r="I39326" i="5"/>
  <c r="I39314" i="5"/>
  <c r="I39298" i="5"/>
  <c r="I39286" i="5"/>
  <c r="I39275" i="5"/>
  <c r="I39265" i="5"/>
  <c r="I39253" i="5"/>
  <c r="I39243" i="5"/>
  <c r="I39233" i="5"/>
  <c r="I39222" i="5"/>
  <c r="I39212" i="5"/>
  <c r="I39202" i="5"/>
  <c r="I39192" i="5"/>
  <c r="I39182" i="5"/>
  <c r="I39173" i="5"/>
  <c r="I39164" i="5"/>
  <c r="I39155" i="5"/>
  <c r="I39146" i="5"/>
  <c r="I39137" i="5"/>
  <c r="I39128" i="5"/>
  <c r="I39118" i="5"/>
  <c r="I39109" i="5"/>
  <c r="I39100" i="5"/>
  <c r="I39091" i="5"/>
  <c r="I39082" i="5"/>
  <c r="I39073" i="5"/>
  <c r="I39064" i="5"/>
  <c r="I39054" i="5"/>
  <c r="I39045" i="5"/>
  <c r="I39036" i="5"/>
  <c r="I39027" i="5"/>
  <c r="I39018" i="5"/>
  <c r="I39009" i="5"/>
  <c r="I39000" i="5"/>
  <c r="I38990" i="5"/>
  <c r="I38981" i="5"/>
  <c r="I38972" i="5"/>
  <c r="I38963" i="5"/>
  <c r="I38954" i="5"/>
  <c r="I38945" i="5"/>
  <c r="I38936" i="5"/>
  <c r="I38926" i="5"/>
  <c r="I38917" i="5"/>
  <c r="I38908" i="5"/>
  <c r="I38899" i="5"/>
  <c r="I38891" i="5"/>
  <c r="I38883" i="5"/>
  <c r="I38875" i="5"/>
  <c r="I38867" i="5"/>
  <c r="I38859" i="5"/>
  <c r="I38851" i="5"/>
  <c r="I38843" i="5"/>
  <c r="I38835" i="5"/>
  <c r="I38827" i="5"/>
  <c r="I38819" i="5"/>
  <c r="I38811" i="5"/>
  <c r="I38803" i="5"/>
  <c r="I38795" i="5"/>
  <c r="I38787" i="5"/>
  <c r="I38779" i="5"/>
  <c r="I38771" i="5"/>
  <c r="I38763" i="5"/>
  <c r="I38755" i="5"/>
  <c r="I38747" i="5"/>
  <c r="I38739" i="5"/>
  <c r="I38731" i="5"/>
  <c r="I38723" i="5"/>
  <c r="I38715" i="5"/>
  <c r="I38707" i="5"/>
  <c r="I38699" i="5"/>
  <c r="I38691" i="5"/>
  <c r="I38683" i="5"/>
  <c r="I41494" i="5"/>
  <c r="I41390" i="5"/>
  <c r="I41292" i="5"/>
  <c r="I41195" i="5"/>
  <c r="I41088" i="5"/>
  <c r="I40996" i="5"/>
  <c r="I40924" i="5"/>
  <c r="I40862" i="5"/>
  <c r="I40800" i="5"/>
  <c r="I40734" i="5"/>
  <c r="I40672" i="5"/>
  <c r="I40615" i="5"/>
  <c r="I40571" i="5"/>
  <c r="I40527" i="5"/>
  <c r="I40483" i="5"/>
  <c r="I40445" i="5"/>
  <c r="I40407" i="5"/>
  <c r="I40369" i="5"/>
  <c r="I40335" i="5"/>
  <c r="I40300" i="5"/>
  <c r="I40268" i="5"/>
  <c r="I40233" i="5"/>
  <c r="I40200" i="5"/>
  <c r="I40168" i="5"/>
  <c r="I40133" i="5"/>
  <c r="I40100" i="5"/>
  <c r="I40067" i="5"/>
  <c r="I40037" i="5"/>
  <c r="I41524" i="5"/>
  <c r="I41323" i="5"/>
  <c r="I41123" i="5"/>
  <c r="I40946" i="5"/>
  <c r="I40819" i="5"/>
  <c r="I40692" i="5"/>
  <c r="I40584" i="5"/>
  <c r="I40495" i="5"/>
  <c r="I40419" i="5"/>
  <c r="I40345" i="5"/>
  <c r="I40278" i="5"/>
  <c r="I40212" i="5"/>
  <c r="I40143" i="5"/>
  <c r="I40077" i="5"/>
  <c r="I40018" i="5"/>
  <c r="I39974" i="5"/>
  <c r="I39922" i="5"/>
  <c r="I39885" i="5"/>
  <c r="I39837" i="5"/>
  <c r="I39795" i="5"/>
  <c r="I39762" i="5"/>
  <c r="I39717" i="5"/>
  <c r="I39685" i="5"/>
  <c r="I39644" i="5"/>
  <c r="I39611" i="5"/>
  <c r="I39582" i="5"/>
  <c r="I39554" i="5"/>
  <c r="I39529" i="5"/>
  <c r="I39501" i="5"/>
  <c r="I39471" i="5"/>
  <c r="I39450" i="5"/>
  <c r="I39419" i="5"/>
  <c r="I39397" i="5"/>
  <c r="I39367" i="5"/>
  <c r="I39338" i="5"/>
  <c r="I39318" i="5"/>
  <c r="I39295" i="5"/>
  <c r="I39278" i="5"/>
  <c r="I39260" i="5"/>
  <c r="I39242" i="5"/>
  <c r="I39228" i="5"/>
  <c r="I39210" i="5"/>
  <c r="I39195" i="5"/>
  <c r="I39179" i="5"/>
  <c r="I39163" i="5"/>
  <c r="I39150" i="5"/>
  <c r="I39134" i="5"/>
  <c r="I39122" i="5"/>
  <c r="I39106" i="5"/>
  <c r="I39090" i="5"/>
  <c r="I39077" i="5"/>
  <c r="I39061" i="5"/>
  <c r="I39049" i="5"/>
  <c r="I39033" i="5"/>
  <c r="I39017" i="5"/>
  <c r="I39004" i="5"/>
  <c r="I38988" i="5"/>
  <c r="I38976" i="5"/>
  <c r="I38960" i="5"/>
  <c r="I38944" i="5"/>
  <c r="I38931" i="5"/>
  <c r="I38915" i="5"/>
  <c r="I38902" i="5"/>
  <c r="I38888" i="5"/>
  <c r="I38874" i="5"/>
  <c r="I38863" i="5"/>
  <c r="I38849" i="5"/>
  <c r="I38838" i="5"/>
  <c r="I38824" i="5"/>
  <c r="I38810" i="5"/>
  <c r="I38799" i="5"/>
  <c r="I38785" i="5"/>
  <c r="I38774" i="5"/>
  <c r="I38760" i="5"/>
  <c r="I38746" i="5"/>
  <c r="I38735" i="5"/>
  <c r="I38721" i="5"/>
  <c r="I38710" i="5"/>
  <c r="I38696" i="5"/>
  <c r="I38682" i="5"/>
  <c r="I38672" i="5"/>
  <c r="I38662" i="5"/>
  <c r="I38651" i="5"/>
  <c r="I38642" i="5"/>
  <c r="I38633" i="5"/>
  <c r="I38624" i="5"/>
  <c r="I38615" i="5"/>
  <c r="I38606" i="5"/>
  <c r="I38596" i="5"/>
  <c r="I38587" i="5"/>
  <c r="I38578" i="5"/>
  <c r="I38569" i="5"/>
  <c r="I38560" i="5"/>
  <c r="I38551" i="5"/>
  <c r="I38542" i="5"/>
  <c r="I38532" i="5"/>
  <c r="I38523" i="5"/>
  <c r="I38514" i="5"/>
  <c r="I38505" i="5"/>
  <c r="I38496" i="5"/>
  <c r="I38487" i="5"/>
  <c r="I38478" i="5"/>
  <c r="I38468" i="5"/>
  <c r="I38459" i="5"/>
  <c r="I38450" i="5"/>
  <c r="I38441" i="5"/>
  <c r="I38432" i="5"/>
  <c r="I38423" i="5"/>
  <c r="I38414" i="5"/>
  <c r="I38404" i="5"/>
  <c r="I38395" i="5"/>
  <c r="I38386" i="5"/>
  <c r="I38378" i="5"/>
  <c r="I38370" i="5"/>
  <c r="I38362" i="5"/>
  <c r="I38354" i="5"/>
  <c r="I38346" i="5"/>
  <c r="I38338" i="5"/>
  <c r="I38330" i="5"/>
  <c r="I38322" i="5"/>
  <c r="I38314" i="5"/>
  <c r="I38306" i="5"/>
  <c r="I38298" i="5"/>
  <c r="I38290" i="5"/>
  <c r="I38282" i="5"/>
  <c r="I38274" i="5"/>
  <c r="I38266" i="5"/>
  <c r="I38258" i="5"/>
  <c r="I38250" i="5"/>
  <c r="I38242" i="5"/>
  <c r="I38234" i="5"/>
  <c r="I38226" i="5"/>
  <c r="I38218" i="5"/>
  <c r="I38210" i="5"/>
  <c r="I38202" i="5"/>
  <c r="I38194" i="5"/>
  <c r="I38186" i="5"/>
  <c r="I38178" i="5"/>
  <c r="I38170" i="5"/>
  <c r="I38162" i="5"/>
  <c r="I38154" i="5"/>
  <c r="I38146" i="5"/>
  <c r="I38138" i="5"/>
  <c r="I41495" i="5"/>
  <c r="I41299" i="5"/>
  <c r="I41104" i="5"/>
  <c r="I40931" i="5"/>
  <c r="I40801" i="5"/>
  <c r="I40678" i="5"/>
  <c r="I40573" i="5"/>
  <c r="I40487" i="5"/>
  <c r="I40409" i="5"/>
  <c r="I40336" i="5"/>
  <c r="I40269" i="5"/>
  <c r="I40203" i="5"/>
  <c r="I40136" i="5"/>
  <c r="I40069" i="5"/>
  <c r="I40010" i="5"/>
  <c r="I39973" i="5"/>
  <c r="I39919" i="5"/>
  <c r="I39871" i="5"/>
  <c r="I39835" i="5"/>
  <c r="I39790" i="5"/>
  <c r="I39758" i="5"/>
  <c r="I39716" i="5"/>
  <c r="I39674" i="5"/>
  <c r="I39643" i="5"/>
  <c r="I39607" i="5"/>
  <c r="I39581" i="5"/>
  <c r="I39550" i="5"/>
  <c r="I39523" i="5"/>
  <c r="I39498" i="5"/>
  <c r="I39470" i="5"/>
  <c r="I39445" i="5"/>
  <c r="I39418" i="5"/>
  <c r="I39388" i="5"/>
  <c r="I39365" i="5"/>
  <c r="I39337" i="5"/>
  <c r="I39317" i="5"/>
  <c r="I39294" i="5"/>
  <c r="I39274" i="5"/>
  <c r="I39259" i="5"/>
  <c r="I39241" i="5"/>
  <c r="I39226" i="5"/>
  <c r="I39207" i="5"/>
  <c r="I39190" i="5"/>
  <c r="I39178" i="5"/>
  <c r="I39162" i="5"/>
  <c r="I39149" i="5"/>
  <c r="I39133" i="5"/>
  <c r="I39117" i="5"/>
  <c r="I39105" i="5"/>
  <c r="I39089" i="5"/>
  <c r="I39076" i="5"/>
  <c r="I39060" i="5"/>
  <c r="I39044" i="5"/>
  <c r="I39032" i="5"/>
  <c r="I39016" i="5"/>
  <c r="I39003" i="5"/>
  <c r="I38987" i="5"/>
  <c r="I38971" i="5"/>
  <c r="I38958" i="5"/>
  <c r="I38942" i="5"/>
  <c r="I38930" i="5"/>
  <c r="I38914" i="5"/>
  <c r="I38898" i="5"/>
  <c r="I38887" i="5"/>
  <c r="I38873" i="5"/>
  <c r="I38862" i="5"/>
  <c r="I38848" i="5"/>
  <c r="I38834" i="5"/>
  <c r="I38823" i="5"/>
  <c r="I38809" i="5"/>
  <c r="I38798" i="5"/>
  <c r="I38784" i="5"/>
  <c r="I38770" i="5"/>
  <c r="I38759" i="5"/>
  <c r="I38745" i="5"/>
  <c r="I38734" i="5"/>
  <c r="I38720" i="5"/>
  <c r="I38706" i="5"/>
  <c r="I38695" i="5"/>
  <c r="I38681" i="5"/>
  <c r="I38671" i="5"/>
  <c r="I38659" i="5"/>
  <c r="I38650" i="5"/>
  <c r="I38641" i="5"/>
  <c r="I38632" i="5"/>
  <c r="I38623" i="5"/>
  <c r="I38614" i="5"/>
  <c r="I38604" i="5"/>
  <c r="I38595" i="5"/>
  <c r="I38586" i="5"/>
  <c r="I38577" i="5"/>
  <c r="I38568" i="5"/>
  <c r="I38559" i="5"/>
  <c r="I38550" i="5"/>
  <c r="I38540" i="5"/>
  <c r="I38531" i="5"/>
  <c r="I38522" i="5"/>
  <c r="I38513" i="5"/>
  <c r="I38504" i="5"/>
  <c r="I38495" i="5"/>
  <c r="I38486" i="5"/>
  <c r="I38476" i="5"/>
  <c r="I38467" i="5"/>
  <c r="I38458" i="5"/>
  <c r="I38449" i="5"/>
  <c r="I38440" i="5"/>
  <c r="I38431" i="5"/>
  <c r="I38422" i="5"/>
  <c r="I38412" i="5"/>
  <c r="I38403" i="5"/>
  <c r="I38394" i="5"/>
  <c r="I38385" i="5"/>
  <c r="I38377" i="5"/>
  <c r="I38369" i="5"/>
  <c r="I38361" i="5"/>
  <c r="I38353" i="5"/>
  <c r="I38345" i="5"/>
  <c r="I38337" i="5"/>
  <c r="I38329" i="5"/>
  <c r="I38321" i="5"/>
  <c r="I38313" i="5"/>
  <c r="I38305" i="5"/>
  <c r="I38297" i="5"/>
  <c r="I38289" i="5"/>
  <c r="I38281" i="5"/>
  <c r="I38273" i="5"/>
  <c r="I38265" i="5"/>
  <c r="I38257" i="5"/>
  <c r="I38249" i="5"/>
  <c r="I38241" i="5"/>
  <c r="I38233" i="5"/>
  <c r="I38225" i="5"/>
  <c r="I38217" i="5"/>
  <c r="I38209" i="5"/>
  <c r="I38201" i="5"/>
  <c r="I38193" i="5"/>
  <c r="I38185" i="5"/>
  <c r="I38177" i="5"/>
  <c r="I38169" i="5"/>
  <c r="I38161" i="5"/>
  <c r="I38153" i="5"/>
  <c r="I38145" i="5"/>
  <c r="I38137" i="5"/>
  <c r="I38129" i="5"/>
  <c r="I38121" i="5"/>
  <c r="I38113" i="5"/>
  <c r="I38105" i="5"/>
  <c r="I38097" i="5"/>
  <c r="I38089" i="5"/>
  <c r="I38081" i="5"/>
  <c r="I38073" i="5"/>
  <c r="I38065" i="5"/>
  <c r="I38057" i="5"/>
  <c r="I41479" i="5"/>
  <c r="I41280" i="5"/>
  <c r="I41076" i="5"/>
  <c r="I40920" i="5"/>
  <c r="I40790" i="5"/>
  <c r="I40665" i="5"/>
  <c r="I40564" i="5"/>
  <c r="I40479" i="5"/>
  <c r="I40404" i="5"/>
  <c r="I40331" i="5"/>
  <c r="I40263" i="5"/>
  <c r="I40196" i="5"/>
  <c r="I40129" i="5"/>
  <c r="I40063" i="5"/>
  <c r="I40009" i="5"/>
  <c r="I39958" i="5"/>
  <c r="I39917" i="5"/>
  <c r="I39863" i="5"/>
  <c r="I39831" i="5"/>
  <c r="I39789" i="5"/>
  <c r="I39747" i="5"/>
  <c r="I39711" i="5"/>
  <c r="I39667" i="5"/>
  <c r="I39638" i="5"/>
  <c r="I39606" i="5"/>
  <c r="I39571" i="5"/>
  <c r="I39548" i="5"/>
  <c r="I39518" i="5"/>
  <c r="I39497" i="5"/>
  <c r="I39466" i="5"/>
  <c r="I39438" i="5"/>
  <c r="I39414" i="5"/>
  <c r="I39387" i="5"/>
  <c r="I39362" i="5"/>
  <c r="I39335" i="5"/>
  <c r="I39309" i="5"/>
  <c r="I39293" i="5"/>
  <c r="I39271" i="5"/>
  <c r="I39258" i="5"/>
  <c r="I39239" i="5"/>
  <c r="I39221" i="5"/>
  <c r="I39206" i="5"/>
  <c r="I39189" i="5"/>
  <c r="I39177" i="5"/>
  <c r="I39161" i="5"/>
  <c r="I39145" i="5"/>
  <c r="I39132" i="5"/>
  <c r="I39116" i="5"/>
  <c r="I39104" i="5"/>
  <c r="I39088" i="5"/>
  <c r="I39072" i="5"/>
  <c r="I39059" i="5"/>
  <c r="I39043" i="5"/>
  <c r="I39030" i="5"/>
  <c r="I39014" i="5"/>
  <c r="I38998" i="5"/>
  <c r="I38986" i="5"/>
  <c r="I38970" i="5"/>
  <c r="I38957" i="5"/>
  <c r="I38941" i="5"/>
  <c r="I38925" i="5"/>
  <c r="I38913" i="5"/>
  <c r="I38897" i="5"/>
  <c r="I38886" i="5"/>
  <c r="I38872" i="5"/>
  <c r="I38858" i="5"/>
  <c r="I38847" i="5"/>
  <c r="I38833" i="5"/>
  <c r="I38822" i="5"/>
  <c r="I38808" i="5"/>
  <c r="I38794" i="5"/>
  <c r="I38783" i="5"/>
  <c r="I38769" i="5"/>
  <c r="I38758" i="5"/>
  <c r="I38744" i="5"/>
  <c r="I38730" i="5"/>
  <c r="I38719" i="5"/>
  <c r="I38705" i="5"/>
  <c r="I38694" i="5"/>
  <c r="I38680" i="5"/>
  <c r="I38670" i="5"/>
  <c r="I38658" i="5"/>
  <c r="I38649" i="5"/>
  <c r="I38640" i="5"/>
  <c r="I38631" i="5"/>
  <c r="I38622" i="5"/>
  <c r="I38612" i="5"/>
  <c r="I38603" i="5"/>
  <c r="I38594" i="5"/>
  <c r="I38585" i="5"/>
  <c r="I38576" i="5"/>
  <c r="I38567" i="5"/>
  <c r="I38558" i="5"/>
  <c r="I38548" i="5"/>
  <c r="I38539" i="5"/>
  <c r="I38530" i="5"/>
  <c r="I38521" i="5"/>
  <c r="I38512" i="5"/>
  <c r="I38503" i="5"/>
  <c r="I38494" i="5"/>
  <c r="I38484" i="5"/>
  <c r="I38475" i="5"/>
  <c r="I38466" i="5"/>
  <c r="I38457" i="5"/>
  <c r="I38448" i="5"/>
  <c r="I38439" i="5"/>
  <c r="I38430" i="5"/>
  <c r="I38420" i="5"/>
  <c r="I38411" i="5"/>
  <c r="I38402" i="5"/>
  <c r="I38393" i="5"/>
  <c r="I38384" i="5"/>
  <c r="I38376" i="5"/>
  <c r="I38368" i="5"/>
  <c r="I38360" i="5"/>
  <c r="I38352" i="5"/>
  <c r="I38344" i="5"/>
  <c r="I38336" i="5"/>
  <c r="I38328" i="5"/>
  <c r="I38320" i="5"/>
  <c r="I38312" i="5"/>
  <c r="I38304" i="5"/>
  <c r="I38296" i="5"/>
  <c r="I38288" i="5"/>
  <c r="I38280" i="5"/>
  <c r="I38272" i="5"/>
  <c r="I38264" i="5"/>
  <c r="I38256" i="5"/>
  <c r="I38248" i="5"/>
  <c r="I38240" i="5"/>
  <c r="I38232" i="5"/>
  <c r="I38224" i="5"/>
  <c r="I38216" i="5"/>
  <c r="I38208" i="5"/>
  <c r="I38200" i="5"/>
  <c r="I38192" i="5"/>
  <c r="I38184" i="5"/>
  <c r="I38176" i="5"/>
  <c r="I38168" i="5"/>
  <c r="I38160" i="5"/>
  <c r="I38152" i="5"/>
  <c r="I38144" i="5"/>
  <c r="I38136" i="5"/>
  <c r="I38128" i="5"/>
  <c r="I38120" i="5"/>
  <c r="I38112" i="5"/>
  <c r="I38104" i="5"/>
  <c r="I38096" i="5"/>
  <c r="I38088" i="5"/>
  <c r="I38080" i="5"/>
  <c r="I38072" i="5"/>
  <c r="I38064" i="5"/>
  <c r="I38056" i="5"/>
  <c r="I38048" i="5"/>
  <c r="I38040" i="5"/>
  <c r="I38032" i="5"/>
  <c r="I41478" i="5"/>
  <c r="I41271" i="5"/>
  <c r="I41075" i="5"/>
  <c r="I40912" i="5"/>
  <c r="I40788" i="5"/>
  <c r="I40664" i="5"/>
  <c r="I40563" i="5"/>
  <c r="I40477" i="5"/>
  <c r="I40399" i="5"/>
  <c r="I40327" i="5"/>
  <c r="I40262" i="5"/>
  <c r="I40195" i="5"/>
  <c r="I40127" i="5"/>
  <c r="I40060" i="5"/>
  <c r="I40004" i="5"/>
  <c r="I39950" i="5"/>
  <c r="I39914" i="5"/>
  <c r="I39862" i="5"/>
  <c r="I39820" i="5"/>
  <c r="I39785" i="5"/>
  <c r="I39740" i="5"/>
  <c r="I39710" i="5"/>
  <c r="I39666" i="5"/>
  <c r="I39629" i="5"/>
  <c r="I39602" i="5"/>
  <c r="I39570" i="5"/>
  <c r="I39546" i="5"/>
  <c r="I39517" i="5"/>
  <c r="I39487" i="5"/>
  <c r="I39465" i="5"/>
  <c r="I39435" i="5"/>
  <c r="I39413" i="5"/>
  <c r="I39382" i="5"/>
  <c r="I39355" i="5"/>
  <c r="I39334" i="5"/>
  <c r="I39308" i="5"/>
  <c r="I39290" i="5"/>
  <c r="I39270" i="5"/>
  <c r="I39252" i="5"/>
  <c r="I39238" i="5"/>
  <c r="I39220" i="5"/>
  <c r="I39205" i="5"/>
  <c r="I39188" i="5"/>
  <c r="I39172" i="5"/>
  <c r="I39160" i="5"/>
  <c r="I39144" i="5"/>
  <c r="I39131" i="5"/>
  <c r="I39115" i="5"/>
  <c r="I39099" i="5"/>
  <c r="I39086" i="5"/>
  <c r="I39070" i="5"/>
  <c r="I39058" i="5"/>
  <c r="I39042" i="5"/>
  <c r="I39026" i="5"/>
  <c r="I39013" i="5"/>
  <c r="I38997" i="5"/>
  <c r="I38985" i="5"/>
  <c r="I38969" i="5"/>
  <c r="I38953" i="5"/>
  <c r="I38940" i="5"/>
  <c r="I38924" i="5"/>
  <c r="I38912" i="5"/>
  <c r="I38896" i="5"/>
  <c r="I38882" i="5"/>
  <c r="I38871" i="5"/>
  <c r="I38857" i="5"/>
  <c r="I38846" i="5"/>
  <c r="I38832" i="5"/>
  <c r="I38818" i="5"/>
  <c r="I38807" i="5"/>
  <c r="I38793" i="5"/>
  <c r="I38782" i="5"/>
  <c r="I38768" i="5"/>
  <c r="I38754" i="5"/>
  <c r="I38743" i="5"/>
  <c r="I38729" i="5"/>
  <c r="I38718" i="5"/>
  <c r="I38704" i="5"/>
  <c r="I38690" i="5"/>
  <c r="I38679" i="5"/>
  <c r="I38667" i="5"/>
  <c r="I38657" i="5"/>
  <c r="I38648" i="5"/>
  <c r="I38639" i="5"/>
  <c r="I38630" i="5"/>
  <c r="I41420" i="5"/>
  <c r="I41026" i="5"/>
  <c r="I40753" i="5"/>
  <c r="I40542" i="5"/>
  <c r="I40381" i="5"/>
  <c r="I40244" i="5"/>
  <c r="I40111" i="5"/>
  <c r="I40002" i="5"/>
  <c r="I39900" i="5"/>
  <c r="I39813" i="5"/>
  <c r="I39739" i="5"/>
  <c r="I39663" i="5"/>
  <c r="I39601" i="5"/>
  <c r="I39538" i="5"/>
  <c r="I39486" i="5"/>
  <c r="I39434" i="5"/>
  <c r="I39381" i="5"/>
  <c r="I39331" i="5"/>
  <c r="I39285" i="5"/>
  <c r="I39251" i="5"/>
  <c r="I39219" i="5"/>
  <c r="I39187" i="5"/>
  <c r="I39158" i="5"/>
  <c r="I39126" i="5"/>
  <c r="I39098" i="5"/>
  <c r="I39069" i="5"/>
  <c r="I39041" i="5"/>
  <c r="I39012" i="5"/>
  <c r="I38980" i="5"/>
  <c r="I38952" i="5"/>
  <c r="I38923" i="5"/>
  <c r="I38895" i="5"/>
  <c r="I38870" i="5"/>
  <c r="I38842" i="5"/>
  <c r="I38817" i="5"/>
  <c r="I38792" i="5"/>
  <c r="I38767" i="5"/>
  <c r="I38742" i="5"/>
  <c r="I38714" i="5"/>
  <c r="I38689" i="5"/>
  <c r="I38666" i="5"/>
  <c r="I38647" i="5"/>
  <c r="I38628" i="5"/>
  <c r="I38616" i="5"/>
  <c r="I38600" i="5"/>
  <c r="I38584" i="5"/>
  <c r="I38571" i="5"/>
  <c r="I38555" i="5"/>
  <c r="I38543" i="5"/>
  <c r="I38527" i="5"/>
  <c r="I38511" i="5"/>
  <c r="I38498" i="5"/>
  <c r="I38482" i="5"/>
  <c r="I38470" i="5"/>
  <c r="I38454" i="5"/>
  <c r="I38438" i="5"/>
  <c r="I38425" i="5"/>
  <c r="I38409" i="5"/>
  <c r="I38396" i="5"/>
  <c r="I38381" i="5"/>
  <c r="I38367" i="5"/>
  <c r="I38356" i="5"/>
  <c r="I38342" i="5"/>
  <c r="I38331" i="5"/>
  <c r="I38317" i="5"/>
  <c r="I38303" i="5"/>
  <c r="I38292" i="5"/>
  <c r="I38278" i="5"/>
  <c r="I38267" i="5"/>
  <c r="I38253" i="5"/>
  <c r="I38239" i="5"/>
  <c r="I38228" i="5"/>
  <c r="I38214" i="5"/>
  <c r="I38203" i="5"/>
  <c r="I38189" i="5"/>
  <c r="I38175" i="5"/>
  <c r="I38164" i="5"/>
  <c r="I38150" i="5"/>
  <c r="I38139" i="5"/>
  <c r="I38126" i="5"/>
  <c r="I38116" i="5"/>
  <c r="I38106" i="5"/>
  <c r="I38094" i="5"/>
  <c r="I38084" i="5"/>
  <c r="I38074" i="5"/>
  <c r="I38062" i="5"/>
  <c r="I38052" i="5"/>
  <c r="I38043" i="5"/>
  <c r="I38034" i="5"/>
  <c r="I38025" i="5"/>
  <c r="I38017" i="5"/>
  <c r="I38009" i="5"/>
  <c r="I38001" i="5"/>
  <c r="I37993" i="5"/>
  <c r="I37985" i="5"/>
  <c r="I37977" i="5"/>
  <c r="I37969" i="5"/>
  <c r="I37961" i="5"/>
  <c r="I37953" i="5"/>
  <c r="I37945" i="5"/>
  <c r="I37937" i="5"/>
  <c r="I37929" i="5"/>
  <c r="I37921" i="5"/>
  <c r="I37913" i="5"/>
  <c r="I37905" i="5"/>
  <c r="I37897" i="5"/>
  <c r="I37889" i="5"/>
  <c r="I37881" i="5"/>
  <c r="I37873" i="5"/>
  <c r="I37865" i="5"/>
  <c r="I37857" i="5"/>
  <c r="I37849" i="5"/>
  <c r="I37841" i="5"/>
  <c r="I37833" i="5"/>
  <c r="I37825" i="5"/>
  <c r="I37817" i="5"/>
  <c r="I37809" i="5"/>
  <c r="I37801" i="5"/>
  <c r="I37793" i="5"/>
  <c r="I37785" i="5"/>
  <c r="I37777" i="5"/>
  <c r="I37769" i="5"/>
  <c r="I37761" i="5"/>
  <c r="I37753" i="5"/>
  <c r="I37745" i="5"/>
  <c r="I37737" i="5"/>
  <c r="I37729" i="5"/>
  <c r="I37721" i="5"/>
  <c r="I37713" i="5"/>
  <c r="I37705" i="5"/>
  <c r="I37697" i="5"/>
  <c r="I37689" i="5"/>
  <c r="I37681" i="5"/>
  <c r="I37673" i="5"/>
  <c r="I37665" i="5"/>
  <c r="I37657" i="5"/>
  <c r="I37649" i="5"/>
  <c r="I37641" i="5"/>
  <c r="I37633" i="5"/>
  <c r="I37625" i="5"/>
  <c r="I37617" i="5"/>
  <c r="I37609" i="5"/>
  <c r="I37601" i="5"/>
  <c r="I37593" i="5"/>
  <c r="I37585" i="5"/>
  <c r="I37577" i="5"/>
  <c r="I37569" i="5"/>
  <c r="I37561" i="5"/>
  <c r="I37553" i="5"/>
  <c r="I37545" i="5"/>
  <c r="I37537" i="5"/>
  <c r="I37529" i="5"/>
  <c r="I37521" i="5"/>
  <c r="I37513" i="5"/>
  <c r="I37505" i="5"/>
  <c r="I37497" i="5"/>
  <c r="I37489" i="5"/>
  <c r="I37481" i="5"/>
  <c r="I37473" i="5"/>
  <c r="I37465" i="5"/>
  <c r="I37457" i="5"/>
  <c r="I37449" i="5"/>
  <c r="I37441" i="5"/>
  <c r="I37433" i="5"/>
  <c r="I37425" i="5"/>
  <c r="I37417" i="5"/>
  <c r="I37409" i="5"/>
  <c r="I37401" i="5"/>
  <c r="I37393" i="5"/>
  <c r="I37385" i="5"/>
  <c r="I37377" i="5"/>
  <c r="I37369" i="5"/>
  <c r="I41398" i="5"/>
  <c r="I41002" i="5"/>
  <c r="I40742" i="5"/>
  <c r="I40528" i="5"/>
  <c r="I40371" i="5"/>
  <c r="I40236" i="5"/>
  <c r="I40102" i="5"/>
  <c r="I39987" i="5"/>
  <c r="I39892" i="5"/>
  <c r="I39812" i="5"/>
  <c r="I39737" i="5"/>
  <c r="I39662" i="5"/>
  <c r="I39590" i="5"/>
  <c r="I39535" i="5"/>
  <c r="I39483" i="5"/>
  <c r="I39431" i="5"/>
  <c r="I39379" i="5"/>
  <c r="I39325" i="5"/>
  <c r="I39284" i="5"/>
  <c r="I39250" i="5"/>
  <c r="I39217" i="5"/>
  <c r="I39186" i="5"/>
  <c r="I39154" i="5"/>
  <c r="I39125" i="5"/>
  <c r="I39097" i="5"/>
  <c r="I39068" i="5"/>
  <c r="I39040" i="5"/>
  <c r="I39008" i="5"/>
  <c r="I38979" i="5"/>
  <c r="I38950" i="5"/>
  <c r="I38922" i="5"/>
  <c r="I38894" i="5"/>
  <c r="I38866" i="5"/>
  <c r="I38841" i="5"/>
  <c r="I38816" i="5"/>
  <c r="I38791" i="5"/>
  <c r="I38766" i="5"/>
  <c r="I38738" i="5"/>
  <c r="I38713" i="5"/>
  <c r="I38688" i="5"/>
  <c r="I38665" i="5"/>
  <c r="I38646" i="5"/>
  <c r="I38627" i="5"/>
  <c r="I38611" i="5"/>
  <c r="I38599" i="5"/>
  <c r="I38583" i="5"/>
  <c r="I38570" i="5"/>
  <c r="I38554" i="5"/>
  <c r="I38538" i="5"/>
  <c r="I38526" i="5"/>
  <c r="I38510" i="5"/>
  <c r="I38497" i="5"/>
  <c r="I38481" i="5"/>
  <c r="I38465" i="5"/>
  <c r="I38452" i="5"/>
  <c r="I38436" i="5"/>
  <c r="I38424" i="5"/>
  <c r="I38408" i="5"/>
  <c r="I38392" i="5"/>
  <c r="I38380" i="5"/>
  <c r="I38366" i="5"/>
  <c r="I38355" i="5"/>
  <c r="I38341" i="5"/>
  <c r="I38327" i="5"/>
  <c r="I38316" i="5"/>
  <c r="I38302" i="5"/>
  <c r="I38291" i="5"/>
  <c r="I38277" i="5"/>
  <c r="I38263" i="5"/>
  <c r="I38252" i="5"/>
  <c r="I38238" i="5"/>
  <c r="I38227" i="5"/>
  <c r="I38213" i="5"/>
  <c r="I38199" i="5"/>
  <c r="I38188" i="5"/>
  <c r="I38174" i="5"/>
  <c r="I38163" i="5"/>
  <c r="I38149" i="5"/>
  <c r="I38135" i="5"/>
  <c r="I38125" i="5"/>
  <c r="I38115" i="5"/>
  <c r="I38103" i="5"/>
  <c r="I38093" i="5"/>
  <c r="I38083" i="5"/>
  <c r="I38071" i="5"/>
  <c r="I38061" i="5"/>
  <c r="I38051" i="5"/>
  <c r="I38042" i="5"/>
  <c r="I38033" i="5"/>
  <c r="I38024" i="5"/>
  <c r="I38016" i="5"/>
  <c r="I38008" i="5"/>
  <c r="I38000" i="5"/>
  <c r="I37992" i="5"/>
  <c r="I37984" i="5"/>
  <c r="I37976" i="5"/>
  <c r="I37968" i="5"/>
  <c r="I37960" i="5"/>
  <c r="I37952" i="5"/>
  <c r="I37944" i="5"/>
  <c r="I37936" i="5"/>
  <c r="I37928" i="5"/>
  <c r="I37920" i="5"/>
  <c r="I37912" i="5"/>
  <c r="I37904" i="5"/>
  <c r="I37896" i="5"/>
  <c r="I37888" i="5"/>
  <c r="I37880" i="5"/>
  <c r="I37872" i="5"/>
  <c r="I37864" i="5"/>
  <c r="I37856" i="5"/>
  <c r="I37848" i="5"/>
  <c r="I37840" i="5"/>
  <c r="I37832" i="5"/>
  <c r="I37824" i="5"/>
  <c r="I37816" i="5"/>
  <c r="I37808" i="5"/>
  <c r="I37800" i="5"/>
  <c r="I37792" i="5"/>
  <c r="I37784" i="5"/>
  <c r="I37776" i="5"/>
  <c r="I37768" i="5"/>
  <c r="I37760" i="5"/>
  <c r="I37752" i="5"/>
  <c r="I37744" i="5"/>
  <c r="I37736" i="5"/>
  <c r="I37728" i="5"/>
  <c r="I37720" i="5"/>
  <c r="I37712" i="5"/>
  <c r="I37704" i="5"/>
  <c r="I37696" i="5"/>
  <c r="I37688" i="5"/>
  <c r="I37680" i="5"/>
  <c r="I37672" i="5"/>
  <c r="I37664" i="5"/>
  <c r="I37656" i="5"/>
  <c r="I37648" i="5"/>
  <c r="I37640" i="5"/>
  <c r="I37632" i="5"/>
  <c r="I37624" i="5"/>
  <c r="I37616" i="5"/>
  <c r="I37608" i="5"/>
  <c r="I37600" i="5"/>
  <c r="I37592" i="5"/>
  <c r="I37584" i="5"/>
  <c r="I37576" i="5"/>
  <c r="I37568" i="5"/>
  <c r="I37560" i="5"/>
  <c r="I37552" i="5"/>
  <c r="I37544" i="5"/>
  <c r="I37536" i="5"/>
  <c r="I37528" i="5"/>
  <c r="I37520" i="5"/>
  <c r="I37512" i="5"/>
  <c r="I37504" i="5"/>
  <c r="I37496" i="5"/>
  <c r="I37488" i="5"/>
  <c r="I37480" i="5"/>
  <c r="I37472" i="5"/>
  <c r="I37464" i="5"/>
  <c r="I37456" i="5"/>
  <c r="I37448" i="5"/>
  <c r="I37440" i="5"/>
  <c r="I37432" i="5"/>
  <c r="I37424" i="5"/>
  <c r="I37416" i="5"/>
  <c r="I41382" i="5"/>
  <c r="I40987" i="5"/>
  <c r="I40727" i="5"/>
  <c r="I40520" i="5"/>
  <c r="I40364" i="5"/>
  <c r="I40231" i="5"/>
  <c r="I40096" i="5"/>
  <c r="I39981" i="5"/>
  <c r="I39891" i="5"/>
  <c r="I39810" i="5"/>
  <c r="I39735" i="5"/>
  <c r="I39649" i="5"/>
  <c r="I39589" i="5"/>
  <c r="I39534" i="5"/>
  <c r="I39482" i="5"/>
  <c r="I39429" i="5"/>
  <c r="I39371" i="5"/>
  <c r="I39324" i="5"/>
  <c r="I39281" i="5"/>
  <c r="I39249" i="5"/>
  <c r="I39215" i="5"/>
  <c r="I39181" i="5"/>
  <c r="I39153" i="5"/>
  <c r="I39124" i="5"/>
  <c r="I39096" i="5"/>
  <c r="I39067" i="5"/>
  <c r="I39035" i="5"/>
  <c r="I39006" i="5"/>
  <c r="I38978" i="5"/>
  <c r="I38949" i="5"/>
  <c r="I38921" i="5"/>
  <c r="I38890" i="5"/>
  <c r="I38865" i="5"/>
  <c r="I38840" i="5"/>
  <c r="I38815" i="5"/>
  <c r="I38790" i="5"/>
  <c r="I38762" i="5"/>
  <c r="I38737" i="5"/>
  <c r="I38712" i="5"/>
  <c r="I38687" i="5"/>
  <c r="I38664" i="5"/>
  <c r="I38644" i="5"/>
  <c r="I38626" i="5"/>
  <c r="I38610" i="5"/>
  <c r="I38598" i="5"/>
  <c r="I38582" i="5"/>
  <c r="I38566" i="5"/>
  <c r="I38553" i="5"/>
  <c r="I38537" i="5"/>
  <c r="I38524" i="5"/>
  <c r="I38508" i="5"/>
  <c r="I38492" i="5"/>
  <c r="I38480" i="5"/>
  <c r="I38464" i="5"/>
  <c r="I38451" i="5"/>
  <c r="I38435" i="5"/>
  <c r="I38419" i="5"/>
  <c r="I38407" i="5"/>
  <c r="I38391" i="5"/>
  <c r="I38379" i="5"/>
  <c r="I38365" i="5"/>
  <c r="I38351" i="5"/>
  <c r="I38340" i="5"/>
  <c r="I38326" i="5"/>
  <c r="I38315" i="5"/>
  <c r="I38301" i="5"/>
  <c r="I38287" i="5"/>
  <c r="I38276" i="5"/>
  <c r="I38262" i="5"/>
  <c r="I38251" i="5"/>
  <c r="I38237" i="5"/>
  <c r="I38223" i="5"/>
  <c r="I38212" i="5"/>
  <c r="I38198" i="5"/>
  <c r="I38187" i="5"/>
  <c r="I38173" i="5"/>
  <c r="I38159" i="5"/>
  <c r="I38148" i="5"/>
  <c r="I38134" i="5"/>
  <c r="I38124" i="5"/>
  <c r="I38114" i="5"/>
  <c r="I38102" i="5"/>
  <c r="I38092" i="5"/>
  <c r="I38082" i="5"/>
  <c r="I38070" i="5"/>
  <c r="I38060" i="5"/>
  <c r="I38050" i="5"/>
  <c r="I38041" i="5"/>
  <c r="I38031" i="5"/>
  <c r="I38023" i="5"/>
  <c r="I38015" i="5"/>
  <c r="I38007" i="5"/>
  <c r="I37999" i="5"/>
  <c r="I37991" i="5"/>
  <c r="I37983" i="5"/>
  <c r="I37975" i="5"/>
  <c r="I37967" i="5"/>
  <c r="I37959" i="5"/>
  <c r="I37951" i="5"/>
  <c r="I37943" i="5"/>
  <c r="I37935" i="5"/>
  <c r="I37927" i="5"/>
  <c r="I37919" i="5"/>
  <c r="I37911" i="5"/>
  <c r="I37903" i="5"/>
  <c r="I37895" i="5"/>
  <c r="I37887" i="5"/>
  <c r="I37879" i="5"/>
  <c r="I37871" i="5"/>
  <c r="I37863" i="5"/>
  <c r="I37855" i="5"/>
  <c r="I37847" i="5"/>
  <c r="I37839" i="5"/>
  <c r="I37831" i="5"/>
  <c r="I37823" i="5"/>
  <c r="I37815" i="5"/>
  <c r="I37807" i="5"/>
  <c r="I37799" i="5"/>
  <c r="I37791" i="5"/>
  <c r="I37783" i="5"/>
  <c r="I37775" i="5"/>
  <c r="I37767" i="5"/>
  <c r="I37759" i="5"/>
  <c r="I37751" i="5"/>
  <c r="I37743" i="5"/>
  <c r="I37735" i="5"/>
  <c r="I37727" i="5"/>
  <c r="I37719" i="5"/>
  <c r="I37711" i="5"/>
  <c r="I37703" i="5"/>
  <c r="I37695" i="5"/>
  <c r="I37687" i="5"/>
  <c r="I37679" i="5"/>
  <c r="I37671" i="5"/>
  <c r="I37663" i="5"/>
  <c r="I37655" i="5"/>
  <c r="I37647" i="5"/>
  <c r="I37639" i="5"/>
  <c r="I37631" i="5"/>
  <c r="I37623" i="5"/>
  <c r="I37615" i="5"/>
  <c r="I37607" i="5"/>
  <c r="I37599" i="5"/>
  <c r="I37591" i="5"/>
  <c r="I37583" i="5"/>
  <c r="I37575" i="5"/>
  <c r="I37567" i="5"/>
  <c r="I37559" i="5"/>
  <c r="I37551" i="5"/>
  <c r="I37543" i="5"/>
  <c r="I37535" i="5"/>
  <c r="I37527" i="5"/>
  <c r="I37519" i="5"/>
  <c r="I37511" i="5"/>
  <c r="I37503" i="5"/>
  <c r="I37495" i="5"/>
  <c r="I37487" i="5"/>
  <c r="I37479" i="5"/>
  <c r="I37471" i="5"/>
  <c r="I37463" i="5"/>
  <c r="I37455" i="5"/>
  <c r="I37447" i="5"/>
  <c r="I37439" i="5"/>
  <c r="I37431" i="5"/>
  <c r="I37423" i="5"/>
  <c r="I37415" i="5"/>
  <c r="I37407" i="5"/>
  <c r="I37399" i="5"/>
  <c r="I37391" i="5"/>
  <c r="I37383" i="5"/>
  <c r="I37375" i="5"/>
  <c r="I37367" i="5"/>
  <c r="I37359" i="5"/>
  <c r="I37351" i="5"/>
  <c r="I37343" i="5"/>
  <c r="I37335" i="5"/>
  <c r="I41368" i="5"/>
  <c r="I40986" i="5"/>
  <c r="I40726" i="5"/>
  <c r="I40517" i="5"/>
  <c r="I40361" i="5"/>
  <c r="I40227" i="5"/>
  <c r="I40095" i="5"/>
  <c r="I39978" i="5"/>
  <c r="I39886" i="5"/>
  <c r="I39809" i="5"/>
  <c r="I39722" i="5"/>
  <c r="I39647" i="5"/>
  <c r="I39588" i="5"/>
  <c r="I39533" i="5"/>
  <c r="I39481" i="5"/>
  <c r="I39420" i="5"/>
  <c r="I39369" i="5"/>
  <c r="I39319" i="5"/>
  <c r="I39279" i="5"/>
  <c r="I39247" i="5"/>
  <c r="I39211" i="5"/>
  <c r="I39180" i="5"/>
  <c r="I39152" i="5"/>
  <c r="I39123" i="5"/>
  <c r="I39094" i="5"/>
  <c r="I39062" i="5"/>
  <c r="I39034" i="5"/>
  <c r="I39005" i="5"/>
  <c r="I38977" i="5"/>
  <c r="I38948" i="5"/>
  <c r="I38916" i="5"/>
  <c r="I38889" i="5"/>
  <c r="I38864" i="5"/>
  <c r="I38839" i="5"/>
  <c r="I38814" i="5"/>
  <c r="I38786" i="5"/>
  <c r="I38761" i="5"/>
  <c r="I38736" i="5"/>
  <c r="I38711" i="5"/>
  <c r="I38686" i="5"/>
  <c r="I38663" i="5"/>
  <c r="I38643" i="5"/>
  <c r="I38625" i="5"/>
  <c r="I38609" i="5"/>
  <c r="I38593" i="5"/>
  <c r="I38580" i="5"/>
  <c r="I38564" i="5"/>
  <c r="I38552" i="5"/>
  <c r="I38536" i="5"/>
  <c r="I38520" i="5"/>
  <c r="I38507" i="5"/>
  <c r="I38491" i="5"/>
  <c r="I38479" i="5"/>
  <c r="I38463" i="5"/>
  <c r="I38447" i="5"/>
  <c r="I38434" i="5"/>
  <c r="I38418" i="5"/>
  <c r="I38406" i="5"/>
  <c r="I38390" i="5"/>
  <c r="I38375" i="5"/>
  <c r="I38364" i="5"/>
  <c r="I38350" i="5"/>
  <c r="I38339" i="5"/>
  <c r="I38325" i="5"/>
  <c r="I38311" i="5"/>
  <c r="I38300" i="5"/>
  <c r="I38286" i="5"/>
  <c r="I38275" i="5"/>
  <c r="I38261" i="5"/>
  <c r="I38247" i="5"/>
  <c r="I38236" i="5"/>
  <c r="I38222" i="5"/>
  <c r="I38211" i="5"/>
  <c r="I38197" i="5"/>
  <c r="I38183" i="5"/>
  <c r="I38172" i="5"/>
  <c r="I38158" i="5"/>
  <c r="I38147" i="5"/>
  <c r="I38133" i="5"/>
  <c r="I38123" i="5"/>
  <c r="I38111" i="5"/>
  <c r="I38101" i="5"/>
  <c r="I38091" i="5"/>
  <c r="I38079" i="5"/>
  <c r="I38069" i="5"/>
  <c r="I38059" i="5"/>
  <c r="I38049" i="5"/>
  <c r="I38039" i="5"/>
  <c r="I38030" i="5"/>
  <c r="I38022" i="5"/>
  <c r="I38014" i="5"/>
  <c r="I38006" i="5"/>
  <c r="I37998" i="5"/>
  <c r="I37990" i="5"/>
  <c r="I37982" i="5"/>
  <c r="I37974" i="5"/>
  <c r="I37966" i="5"/>
  <c r="I37958" i="5"/>
  <c r="I37950" i="5"/>
  <c r="I37942" i="5"/>
  <c r="I37934" i="5"/>
  <c r="I37926" i="5"/>
  <c r="I37918" i="5"/>
  <c r="I37910" i="5"/>
  <c r="I37902" i="5"/>
  <c r="I37894" i="5"/>
  <c r="I37886" i="5"/>
  <c r="I37878" i="5"/>
  <c r="I37870" i="5"/>
  <c r="I37862" i="5"/>
  <c r="I37854" i="5"/>
  <c r="I37846" i="5"/>
  <c r="I37838" i="5"/>
  <c r="I37830" i="5"/>
  <c r="I37822" i="5"/>
  <c r="I37814" i="5"/>
  <c r="I37806" i="5"/>
  <c r="I37798" i="5"/>
  <c r="I37790" i="5"/>
  <c r="I37782" i="5"/>
  <c r="I37774" i="5"/>
  <c r="I37766" i="5"/>
  <c r="I37758" i="5"/>
  <c r="I37750" i="5"/>
  <c r="I37742" i="5"/>
  <c r="I37734" i="5"/>
  <c r="I37726" i="5"/>
  <c r="I37718" i="5"/>
  <c r="I37710" i="5"/>
  <c r="I37702" i="5"/>
  <c r="I37694" i="5"/>
  <c r="I37686" i="5"/>
  <c r="I37678" i="5"/>
  <c r="I37670" i="5"/>
  <c r="I37662" i="5"/>
  <c r="I37654" i="5"/>
  <c r="I37646" i="5"/>
  <c r="I37638" i="5"/>
  <c r="I37630" i="5"/>
  <c r="I37622" i="5"/>
  <c r="I37614" i="5"/>
  <c r="I37606" i="5"/>
  <c r="I37598" i="5"/>
  <c r="I37590" i="5"/>
  <c r="I37582" i="5"/>
  <c r="I37574" i="5"/>
  <c r="I37566" i="5"/>
  <c r="I37558" i="5"/>
  <c r="I37550" i="5"/>
  <c r="I37542" i="5"/>
  <c r="I37534" i="5"/>
  <c r="I37526" i="5"/>
  <c r="I37518" i="5"/>
  <c r="I37510" i="5"/>
  <c r="I37502" i="5"/>
  <c r="I37494" i="5"/>
  <c r="I37486" i="5"/>
  <c r="I37478" i="5"/>
  <c r="I37470" i="5"/>
  <c r="I37462" i="5"/>
  <c r="I37454" i="5"/>
  <c r="I37446" i="5"/>
  <c r="I37438" i="5"/>
  <c r="I37430" i="5"/>
  <c r="I37422" i="5"/>
  <c r="I37414" i="5"/>
  <c r="I37406" i="5"/>
  <c r="I37398" i="5"/>
  <c r="I37390" i="5"/>
  <c r="I37382" i="5"/>
  <c r="I41202" i="5"/>
  <c r="I40863" i="5"/>
  <c r="I40620" i="5"/>
  <c r="I40447" i="5"/>
  <c r="I40304" i="5"/>
  <c r="I40169" i="5"/>
  <c r="I40038" i="5"/>
  <c r="I39946" i="5"/>
  <c r="I39857" i="5"/>
  <c r="I39772" i="5"/>
  <c r="I39692" i="5"/>
  <c r="I39626" i="5"/>
  <c r="I39565" i="5"/>
  <c r="I39514" i="5"/>
  <c r="I39454" i="5"/>
  <c r="I39402" i="5"/>
  <c r="I39350" i="5"/>
  <c r="I39306" i="5"/>
  <c r="I39268" i="5"/>
  <c r="I39231" i="5"/>
  <c r="I39198" i="5"/>
  <c r="I39170" i="5"/>
  <c r="I39141" i="5"/>
  <c r="I39113" i="5"/>
  <c r="I39081" i="5"/>
  <c r="I39052" i="5"/>
  <c r="I39024" i="5"/>
  <c r="I38995" i="5"/>
  <c r="I38966" i="5"/>
  <c r="I38934" i="5"/>
  <c r="I38906" i="5"/>
  <c r="I38880" i="5"/>
  <c r="I38855" i="5"/>
  <c r="I38830" i="5"/>
  <c r="I38802" i="5"/>
  <c r="I38777" i="5"/>
  <c r="I38752" i="5"/>
  <c r="I38727" i="5"/>
  <c r="I38702" i="5"/>
  <c r="I38675" i="5"/>
  <c r="I38655" i="5"/>
  <c r="I38636" i="5"/>
  <c r="I38619" i="5"/>
  <c r="I38607" i="5"/>
  <c r="I38591" i="5"/>
  <c r="I38575" i="5"/>
  <c r="I38562" i="5"/>
  <c r="I38546" i="5"/>
  <c r="I38534" i="5"/>
  <c r="I38518" i="5"/>
  <c r="I38502" i="5"/>
  <c r="I38489" i="5"/>
  <c r="I38473" i="5"/>
  <c r="I38460" i="5"/>
  <c r="I38444" i="5"/>
  <c r="I38428" i="5"/>
  <c r="I38416" i="5"/>
  <c r="I38400" i="5"/>
  <c r="I38387" i="5"/>
  <c r="I38373" i="5"/>
  <c r="I38359" i="5"/>
  <c r="I38348" i="5"/>
  <c r="I38334" i="5"/>
  <c r="I38323" i="5"/>
  <c r="I38309" i="5"/>
  <c r="I38295" i="5"/>
  <c r="I38284" i="5"/>
  <c r="I38270" i="5"/>
  <c r="I38259" i="5"/>
  <c r="I38245" i="5"/>
  <c r="I38231" i="5"/>
  <c r="I38220" i="5"/>
  <c r="I38206" i="5"/>
  <c r="I38195" i="5"/>
  <c r="I38181" i="5"/>
  <c r="I38167" i="5"/>
  <c r="I38156" i="5"/>
  <c r="I38142" i="5"/>
  <c r="I38131" i="5"/>
  <c r="I38119" i="5"/>
  <c r="I38109" i="5"/>
  <c r="I38099" i="5"/>
  <c r="I38087" i="5"/>
  <c r="I38077" i="5"/>
  <c r="I38067" i="5"/>
  <c r="I38055" i="5"/>
  <c r="I38046" i="5"/>
  <c r="I38037" i="5"/>
  <c r="I38028" i="5"/>
  <c r="I38020" i="5"/>
  <c r="I38012" i="5"/>
  <c r="I38004" i="5"/>
  <c r="I37996" i="5"/>
  <c r="I37988" i="5"/>
  <c r="I37980" i="5"/>
  <c r="I37972" i="5"/>
  <c r="I37964" i="5"/>
  <c r="I37956" i="5"/>
  <c r="I37948" i="5"/>
  <c r="I37940" i="5"/>
  <c r="I37932" i="5"/>
  <c r="I37924" i="5"/>
  <c r="I37916" i="5"/>
  <c r="I37908" i="5"/>
  <c r="I37900" i="5"/>
  <c r="I37892" i="5"/>
  <c r="I37884" i="5"/>
  <c r="I37876" i="5"/>
  <c r="I37868" i="5"/>
  <c r="I37860" i="5"/>
  <c r="I37852" i="5"/>
  <c r="I37844" i="5"/>
  <c r="I37836" i="5"/>
  <c r="I37828" i="5"/>
  <c r="I37820" i="5"/>
  <c r="I37812" i="5"/>
  <c r="I37804" i="5"/>
  <c r="I37796" i="5"/>
  <c r="I37788" i="5"/>
  <c r="I37780" i="5"/>
  <c r="I37772" i="5"/>
  <c r="I37764" i="5"/>
  <c r="I37756" i="5"/>
  <c r="I37748" i="5"/>
  <c r="I37740" i="5"/>
  <c r="I37732" i="5"/>
  <c r="I37724" i="5"/>
  <c r="I37716" i="5"/>
  <c r="I41226" i="5"/>
  <c r="I40606" i="5"/>
  <c r="I40163" i="5"/>
  <c r="I39858" i="5"/>
  <c r="I39689" i="5"/>
  <c r="I39505" i="5"/>
  <c r="I39351" i="5"/>
  <c r="I39261" i="5"/>
  <c r="I39169" i="5"/>
  <c r="I39085" i="5"/>
  <c r="I39021" i="5"/>
  <c r="I38933" i="5"/>
  <c r="I38856" i="5"/>
  <c r="I38800" i="5"/>
  <c r="I38726" i="5"/>
  <c r="I38656" i="5"/>
  <c r="I38617" i="5"/>
  <c r="I38574" i="5"/>
  <c r="I38535" i="5"/>
  <c r="I38499" i="5"/>
  <c r="I38456" i="5"/>
  <c r="I38417" i="5"/>
  <c r="I38382" i="5"/>
  <c r="I38347" i="5"/>
  <c r="I38310" i="5"/>
  <c r="I38279" i="5"/>
  <c r="I38244" i="5"/>
  <c r="I38207" i="5"/>
  <c r="I38179" i="5"/>
  <c r="I38141" i="5"/>
  <c r="I38110" i="5"/>
  <c r="I38085" i="5"/>
  <c r="I38054" i="5"/>
  <c r="I38029" i="5"/>
  <c r="I38010" i="5"/>
  <c r="I37987" i="5"/>
  <c r="I37965" i="5"/>
  <c r="I37946" i="5"/>
  <c r="I37923" i="5"/>
  <c r="I37901" i="5"/>
  <c r="I37882" i="5"/>
  <c r="I37859" i="5"/>
  <c r="I37837" i="5"/>
  <c r="I37818" i="5"/>
  <c r="I37795" i="5"/>
  <c r="I37773" i="5"/>
  <c r="I37754" i="5"/>
  <c r="I37731" i="5"/>
  <c r="I37709" i="5"/>
  <c r="I37693" i="5"/>
  <c r="I37677" i="5"/>
  <c r="I37661" i="5"/>
  <c r="I37645" i="5"/>
  <c r="I37629" i="5"/>
  <c r="I37613" i="5"/>
  <c r="I37597" i="5"/>
  <c r="I37581" i="5"/>
  <c r="I37565" i="5"/>
  <c r="I37549" i="5"/>
  <c r="I37533" i="5"/>
  <c r="I37517" i="5"/>
  <c r="I37501" i="5"/>
  <c r="I37485" i="5"/>
  <c r="I37469" i="5"/>
  <c r="I37453" i="5"/>
  <c r="I37437" i="5"/>
  <c r="I37421" i="5"/>
  <c r="I37408" i="5"/>
  <c r="I37395" i="5"/>
  <c r="I37381" i="5"/>
  <c r="I37371" i="5"/>
  <c r="I37361" i="5"/>
  <c r="I37352" i="5"/>
  <c r="I37342" i="5"/>
  <c r="I37333" i="5"/>
  <c r="I37325" i="5"/>
  <c r="I37317" i="5"/>
  <c r="I37309" i="5"/>
  <c r="I37301" i="5"/>
  <c r="I37293" i="5"/>
  <c r="I37285" i="5"/>
  <c r="I37277" i="5"/>
  <c r="I37269" i="5"/>
  <c r="I37261" i="5"/>
  <c r="I37253" i="5"/>
  <c r="I37245" i="5"/>
  <c r="I37237" i="5"/>
  <c r="I37229" i="5"/>
  <c r="I37221" i="5"/>
  <c r="I37213" i="5"/>
  <c r="I37205" i="5"/>
  <c r="I37197" i="5"/>
  <c r="I37189" i="5"/>
  <c r="I37181" i="5"/>
  <c r="I37173" i="5"/>
  <c r="I37165" i="5"/>
  <c r="I37157" i="5"/>
  <c r="I37149" i="5"/>
  <c r="I37141" i="5"/>
  <c r="I37133" i="5"/>
  <c r="I37125" i="5"/>
  <c r="I37117" i="5"/>
  <c r="I37109" i="5"/>
  <c r="I37101" i="5"/>
  <c r="I37093" i="5"/>
  <c r="I37085" i="5"/>
  <c r="I37077" i="5"/>
  <c r="I37069" i="5"/>
  <c r="I37061" i="5"/>
  <c r="I37053" i="5"/>
  <c r="I37045" i="5"/>
  <c r="I37037" i="5"/>
  <c r="I37029" i="5"/>
  <c r="I37021" i="5"/>
  <c r="I37013" i="5"/>
  <c r="I37005" i="5"/>
  <c r="I36997" i="5"/>
  <c r="I36989" i="5"/>
  <c r="I36981" i="5"/>
  <c r="I36973" i="5"/>
  <c r="I36965" i="5"/>
  <c r="I36957" i="5"/>
  <c r="I36949" i="5"/>
  <c r="I36941" i="5"/>
  <c r="I36933" i="5"/>
  <c r="I36925" i="5"/>
  <c r="I36917" i="5"/>
  <c r="I36909" i="5"/>
  <c r="I36901" i="5"/>
  <c r="I36893" i="5"/>
  <c r="I36885" i="5"/>
  <c r="I36877" i="5"/>
  <c r="I36869" i="5"/>
  <c r="I36861" i="5"/>
  <c r="I36853" i="5"/>
  <c r="I36845" i="5"/>
  <c r="I36837" i="5"/>
  <c r="I36829" i="5"/>
  <c r="I36821" i="5"/>
  <c r="I36813" i="5"/>
  <c r="I36805" i="5"/>
  <c r="I36797" i="5"/>
  <c r="I36789" i="5"/>
  <c r="I36781" i="5"/>
  <c r="I36773" i="5"/>
  <c r="I36765" i="5"/>
  <c r="I36757" i="5"/>
  <c r="I36749" i="5"/>
  <c r="I36741" i="5"/>
  <c r="I36733" i="5"/>
  <c r="I36725" i="5"/>
  <c r="I36717" i="5"/>
  <c r="I36709" i="5"/>
  <c r="I36701" i="5"/>
  <c r="I36693" i="5"/>
  <c r="I36685" i="5"/>
  <c r="I36677" i="5"/>
  <c r="I36669" i="5"/>
  <c r="I36661" i="5"/>
  <c r="I36653" i="5"/>
  <c r="I36645" i="5"/>
  <c r="I36637" i="5"/>
  <c r="I36629" i="5"/>
  <c r="I36621" i="5"/>
  <c r="I36613" i="5"/>
  <c r="I36605" i="5"/>
  <c r="I36597" i="5"/>
  <c r="I36589" i="5"/>
  <c r="I36581" i="5"/>
  <c r="I36573" i="5"/>
  <c r="I36565" i="5"/>
  <c r="I36557" i="5"/>
  <c r="I36549" i="5"/>
  <c r="I36541" i="5"/>
  <c r="I36533" i="5"/>
  <c r="I36525" i="5"/>
  <c r="I36517" i="5"/>
  <c r="I36509" i="5"/>
  <c r="I36501" i="5"/>
  <c r="I36493" i="5"/>
  <c r="I36485" i="5"/>
  <c r="I36477" i="5"/>
  <c r="I36469" i="5"/>
  <c r="I36461" i="5"/>
  <c r="I36453" i="5"/>
  <c r="I36445" i="5"/>
  <c r="I36437" i="5"/>
  <c r="I36429" i="5"/>
  <c r="I36421" i="5"/>
  <c r="I36413" i="5"/>
  <c r="I41183" i="5"/>
  <c r="I40459" i="5"/>
  <c r="I40160" i="5"/>
  <c r="I39845" i="5"/>
  <c r="I39627" i="5"/>
  <c r="I39502" i="5"/>
  <c r="I39347" i="5"/>
  <c r="I39237" i="5"/>
  <c r="I39168" i="5"/>
  <c r="I39080" i="5"/>
  <c r="I38996" i="5"/>
  <c r="I38932" i="5"/>
  <c r="I38854" i="5"/>
  <c r="I38778" i="5"/>
  <c r="I38722" i="5"/>
  <c r="I38654" i="5"/>
  <c r="I38608" i="5"/>
  <c r="I38572" i="5"/>
  <c r="I38529" i="5"/>
  <c r="I38490" i="5"/>
  <c r="I38455" i="5"/>
  <c r="I38415" i="5"/>
  <c r="I38374" i="5"/>
  <c r="I38343" i="5"/>
  <c r="I38308" i="5"/>
  <c r="I38271" i="5"/>
  <c r="I38243" i="5"/>
  <c r="I38205" i="5"/>
  <c r="I38171" i="5"/>
  <c r="I38140" i="5"/>
  <c r="I38108" i="5"/>
  <c r="I38078" i="5"/>
  <c r="I38053" i="5"/>
  <c r="I38027" i="5"/>
  <c r="I38005" i="5"/>
  <c r="I37986" i="5"/>
  <c r="I37963" i="5"/>
  <c r="I37941" i="5"/>
  <c r="I37922" i="5"/>
  <c r="I37899" i="5"/>
  <c r="I37877" i="5"/>
  <c r="I37858" i="5"/>
  <c r="I37835" i="5"/>
  <c r="I37813" i="5"/>
  <c r="I37794" i="5"/>
  <c r="I37771" i="5"/>
  <c r="I37749" i="5"/>
  <c r="I37730" i="5"/>
  <c r="I37708" i="5"/>
  <c r="I37692" i="5"/>
  <c r="I37676" i="5"/>
  <c r="I37660" i="5"/>
  <c r="I37644" i="5"/>
  <c r="I37628" i="5"/>
  <c r="I37612" i="5"/>
  <c r="I37596" i="5"/>
  <c r="I37580" i="5"/>
  <c r="I37564" i="5"/>
  <c r="I37548" i="5"/>
  <c r="I37532" i="5"/>
  <c r="I37516" i="5"/>
  <c r="I37500" i="5"/>
  <c r="I37484" i="5"/>
  <c r="I37468" i="5"/>
  <c r="I37452" i="5"/>
  <c r="I37436" i="5"/>
  <c r="I37420" i="5"/>
  <c r="I37405" i="5"/>
  <c r="I37394" i="5"/>
  <c r="I37380" i="5"/>
  <c r="I37370" i="5"/>
  <c r="I37360" i="5"/>
  <c r="I37350" i="5"/>
  <c r="I37341" i="5"/>
  <c r="I37332" i="5"/>
  <c r="I37324" i="5"/>
  <c r="I37316" i="5"/>
  <c r="I37308" i="5"/>
  <c r="I37300" i="5"/>
  <c r="I37292" i="5"/>
  <c r="I37284" i="5"/>
  <c r="I37276" i="5"/>
  <c r="I37268" i="5"/>
  <c r="I37260" i="5"/>
  <c r="I37252" i="5"/>
  <c r="I37244" i="5"/>
  <c r="I37236" i="5"/>
  <c r="I37228" i="5"/>
  <c r="I37220" i="5"/>
  <c r="I37212" i="5"/>
  <c r="I37204" i="5"/>
  <c r="I37196" i="5"/>
  <c r="I37188" i="5"/>
  <c r="I37180" i="5"/>
  <c r="I37172" i="5"/>
  <c r="I37164" i="5"/>
  <c r="I37156" i="5"/>
  <c r="I37148" i="5"/>
  <c r="I37140" i="5"/>
  <c r="I37132" i="5"/>
  <c r="I37124" i="5"/>
  <c r="I37116" i="5"/>
  <c r="I37108" i="5"/>
  <c r="I37100" i="5"/>
  <c r="I37092" i="5"/>
  <c r="I37084" i="5"/>
  <c r="I37076" i="5"/>
  <c r="I37068" i="5"/>
  <c r="I37060" i="5"/>
  <c r="I37052" i="5"/>
  <c r="I37044" i="5"/>
  <c r="I37036" i="5"/>
  <c r="I37028" i="5"/>
  <c r="I37020" i="5"/>
  <c r="I37012" i="5"/>
  <c r="I37004" i="5"/>
  <c r="I36996" i="5"/>
  <c r="I36988" i="5"/>
  <c r="I36980" i="5"/>
  <c r="I36972" i="5"/>
  <c r="I36964" i="5"/>
  <c r="I36956" i="5"/>
  <c r="I36948" i="5"/>
  <c r="I36940" i="5"/>
  <c r="I36932" i="5"/>
  <c r="I36924" i="5"/>
  <c r="I36916" i="5"/>
  <c r="I36908" i="5"/>
  <c r="I36900" i="5"/>
  <c r="I36892" i="5"/>
  <c r="I36884" i="5"/>
  <c r="I36876" i="5"/>
  <c r="I36868" i="5"/>
  <c r="I36860" i="5"/>
  <c r="I36852" i="5"/>
  <c r="I36844" i="5"/>
  <c r="I36836" i="5"/>
  <c r="I36828" i="5"/>
  <c r="I36820" i="5"/>
  <c r="I36812" i="5"/>
  <c r="I36804" i="5"/>
  <c r="I36796" i="5"/>
  <c r="I36788" i="5"/>
  <c r="I36780" i="5"/>
  <c r="I36772" i="5"/>
  <c r="I36764" i="5"/>
  <c r="I36756" i="5"/>
  <c r="I36748" i="5"/>
  <c r="I36740" i="5"/>
  <c r="I36732" i="5"/>
  <c r="I36724" i="5"/>
  <c r="I36716" i="5"/>
  <c r="I36708" i="5"/>
  <c r="I36700" i="5"/>
  <c r="I36692" i="5"/>
  <c r="I36684" i="5"/>
  <c r="I36676" i="5"/>
  <c r="I36668" i="5"/>
  <c r="I36660" i="5"/>
  <c r="I36652" i="5"/>
  <c r="I36644" i="5"/>
  <c r="I36636" i="5"/>
  <c r="I36628" i="5"/>
  <c r="I36620" i="5"/>
  <c r="I36612" i="5"/>
  <c r="I36604" i="5"/>
  <c r="I36596" i="5"/>
  <c r="I36588" i="5"/>
  <c r="I36580" i="5"/>
  <c r="I36572" i="5"/>
  <c r="I36564" i="5"/>
  <c r="I36556" i="5"/>
  <c r="I36548" i="5"/>
  <c r="I36540" i="5"/>
  <c r="I36532" i="5"/>
  <c r="I36524" i="5"/>
  <c r="I36516" i="5"/>
  <c r="I36508" i="5"/>
  <c r="I36500" i="5"/>
  <c r="I36492" i="5"/>
  <c r="I36484" i="5"/>
  <c r="I36476" i="5"/>
  <c r="I36468" i="5"/>
  <c r="I36460" i="5"/>
  <c r="I36452" i="5"/>
  <c r="I36444" i="5"/>
  <c r="I36436" i="5"/>
  <c r="I36428" i="5"/>
  <c r="I36420" i="5"/>
  <c r="I36412" i="5"/>
  <c r="I36404" i="5"/>
  <c r="I36396" i="5"/>
  <c r="I36388" i="5"/>
  <c r="I36380" i="5"/>
  <c r="I41172" i="5"/>
  <c r="I40441" i="5"/>
  <c r="I40046" i="5"/>
  <c r="I39838" i="5"/>
  <c r="I39625" i="5"/>
  <c r="I39462" i="5"/>
  <c r="I39346" i="5"/>
  <c r="I39230" i="5"/>
  <c r="I39142" i="5"/>
  <c r="I39078" i="5"/>
  <c r="I38994" i="5"/>
  <c r="I38907" i="5"/>
  <c r="I38850" i="5"/>
  <c r="I38776" i="5"/>
  <c r="I38703" i="5"/>
  <c r="I38652" i="5"/>
  <c r="I38602" i="5"/>
  <c r="I38563" i="5"/>
  <c r="I38528" i="5"/>
  <c r="I38488" i="5"/>
  <c r="I38446" i="5"/>
  <c r="I38410" i="5"/>
  <c r="I38372" i="5"/>
  <c r="I38335" i="5"/>
  <c r="I38307" i="5"/>
  <c r="I38269" i="5"/>
  <c r="I38235" i="5"/>
  <c r="I38204" i="5"/>
  <c r="I38166" i="5"/>
  <c r="I38132" i="5"/>
  <c r="I38107" i="5"/>
  <c r="I38076" i="5"/>
  <c r="I38047" i="5"/>
  <c r="I38026" i="5"/>
  <c r="I38003" i="5"/>
  <c r="I37981" i="5"/>
  <c r="I37962" i="5"/>
  <c r="I37939" i="5"/>
  <c r="I37917" i="5"/>
  <c r="I37898" i="5"/>
  <c r="I37875" i="5"/>
  <c r="I37853" i="5"/>
  <c r="I37834" i="5"/>
  <c r="I37811" i="5"/>
  <c r="I37789" i="5"/>
  <c r="I37770" i="5"/>
  <c r="I37747" i="5"/>
  <c r="I37725" i="5"/>
  <c r="I37707" i="5"/>
  <c r="I37691" i="5"/>
  <c r="I37675" i="5"/>
  <c r="I37659" i="5"/>
  <c r="I37643" i="5"/>
  <c r="I37627" i="5"/>
  <c r="I37611" i="5"/>
  <c r="I37595" i="5"/>
  <c r="I37579" i="5"/>
  <c r="I37563" i="5"/>
  <c r="I37547" i="5"/>
  <c r="I37531" i="5"/>
  <c r="I37515" i="5"/>
  <c r="I37499" i="5"/>
  <c r="I37483" i="5"/>
  <c r="I37467" i="5"/>
  <c r="I37451" i="5"/>
  <c r="I37435" i="5"/>
  <c r="I37419" i="5"/>
  <c r="I37404" i="5"/>
  <c r="I37392" i="5"/>
  <c r="I37379" i="5"/>
  <c r="I37368" i="5"/>
  <c r="I37358" i="5"/>
  <c r="I37349" i="5"/>
  <c r="I37340" i="5"/>
  <c r="I37331" i="5"/>
  <c r="I37323" i="5"/>
  <c r="I37315" i="5"/>
  <c r="I37307" i="5"/>
  <c r="I37299" i="5"/>
  <c r="I37291" i="5"/>
  <c r="I37283" i="5"/>
  <c r="I37275" i="5"/>
  <c r="I37267" i="5"/>
  <c r="I37259" i="5"/>
  <c r="I37251" i="5"/>
  <c r="I37243" i="5"/>
  <c r="I37235" i="5"/>
  <c r="I37227" i="5"/>
  <c r="I37219" i="5"/>
  <c r="I37211" i="5"/>
  <c r="I37203" i="5"/>
  <c r="I37195" i="5"/>
  <c r="I37187" i="5"/>
  <c r="I37179" i="5"/>
  <c r="I37171" i="5"/>
  <c r="I37163" i="5"/>
  <c r="I37155" i="5"/>
  <c r="I37147" i="5"/>
  <c r="I37139" i="5"/>
  <c r="I37131" i="5"/>
  <c r="I37123" i="5"/>
  <c r="I37115" i="5"/>
  <c r="I37107" i="5"/>
  <c r="I37099" i="5"/>
  <c r="I37091" i="5"/>
  <c r="I37083" i="5"/>
  <c r="I37075" i="5"/>
  <c r="I37067" i="5"/>
  <c r="I37059" i="5"/>
  <c r="I37051" i="5"/>
  <c r="I37043" i="5"/>
  <c r="I37035" i="5"/>
  <c r="I37027" i="5"/>
  <c r="I37019" i="5"/>
  <c r="I37011" i="5"/>
  <c r="I37003" i="5"/>
  <c r="I36995" i="5"/>
  <c r="I36987" i="5"/>
  <c r="I36979" i="5"/>
  <c r="I36971" i="5"/>
  <c r="I36963" i="5"/>
  <c r="I36955" i="5"/>
  <c r="I36947" i="5"/>
  <c r="I36939" i="5"/>
  <c r="I36931" i="5"/>
  <c r="I36923" i="5"/>
  <c r="I36915" i="5"/>
  <c r="I36907" i="5"/>
  <c r="I36899" i="5"/>
  <c r="I36891" i="5"/>
  <c r="I36883" i="5"/>
  <c r="I36875" i="5"/>
  <c r="I36867" i="5"/>
  <c r="I36859" i="5"/>
  <c r="I36851" i="5"/>
  <c r="I36843" i="5"/>
  <c r="I36835" i="5"/>
  <c r="I36827" i="5"/>
  <c r="I36819" i="5"/>
  <c r="I36811" i="5"/>
  <c r="I36803" i="5"/>
  <c r="I36795" i="5"/>
  <c r="I36787" i="5"/>
  <c r="I36779" i="5"/>
  <c r="I36771" i="5"/>
  <c r="I36763" i="5"/>
  <c r="I36755" i="5"/>
  <c r="I36747" i="5"/>
  <c r="I36739" i="5"/>
  <c r="I36731" i="5"/>
  <c r="I36723" i="5"/>
  <c r="I36715" i="5"/>
  <c r="I36707" i="5"/>
  <c r="I36699" i="5"/>
  <c r="I36691" i="5"/>
  <c r="I36683" i="5"/>
  <c r="I36675" i="5"/>
  <c r="I36667" i="5"/>
  <c r="I36659" i="5"/>
  <c r="I36651" i="5"/>
  <c r="I36643" i="5"/>
  <c r="I36635" i="5"/>
  <c r="I36627" i="5"/>
  <c r="I36619" i="5"/>
  <c r="I36611" i="5"/>
  <c r="I36603" i="5"/>
  <c r="I36595" i="5"/>
  <c r="I36587" i="5"/>
  <c r="I36579" i="5"/>
  <c r="I36571" i="5"/>
  <c r="I36563" i="5"/>
  <c r="I36555" i="5"/>
  <c r="I36547" i="5"/>
  <c r="I36539" i="5"/>
  <c r="I36531" i="5"/>
  <c r="I36523" i="5"/>
  <c r="I36515" i="5"/>
  <c r="I36507" i="5"/>
  <c r="I36499" i="5"/>
  <c r="I36491" i="5"/>
  <c r="I36483" i="5"/>
  <c r="I36475" i="5"/>
  <c r="I36467" i="5"/>
  <c r="I36459" i="5"/>
  <c r="I36451" i="5"/>
  <c r="I36443" i="5"/>
  <c r="I40880" i="5"/>
  <c r="I40440" i="5"/>
  <c r="I40033" i="5"/>
  <c r="I39783" i="5"/>
  <c r="I39619" i="5"/>
  <c r="I39452" i="5"/>
  <c r="I39307" i="5"/>
  <c r="I39229" i="5"/>
  <c r="I39140" i="5"/>
  <c r="I39053" i="5"/>
  <c r="I38989" i="5"/>
  <c r="I38905" i="5"/>
  <c r="I38831" i="5"/>
  <c r="I38775" i="5"/>
  <c r="I38698" i="5"/>
  <c r="I38638" i="5"/>
  <c r="I38601" i="5"/>
  <c r="I38561" i="5"/>
  <c r="I38519" i="5"/>
  <c r="I38483" i="5"/>
  <c r="I38443" i="5"/>
  <c r="I38401" i="5"/>
  <c r="I38371" i="5"/>
  <c r="I38333" i="5"/>
  <c r="I38299" i="5"/>
  <c r="I38268" i="5"/>
  <c r="I38230" i="5"/>
  <c r="I38196" i="5"/>
  <c r="I38165" i="5"/>
  <c r="I38130" i="5"/>
  <c r="I38100" i="5"/>
  <c r="I38075" i="5"/>
  <c r="I38045" i="5"/>
  <c r="I38021" i="5"/>
  <c r="I38002" i="5"/>
  <c r="I37979" i="5"/>
  <c r="I37957" i="5"/>
  <c r="I37938" i="5"/>
  <c r="I37915" i="5"/>
  <c r="I37893" i="5"/>
  <c r="I37874" i="5"/>
  <c r="I37851" i="5"/>
  <c r="I37829" i="5"/>
  <c r="I37810" i="5"/>
  <c r="I37787" i="5"/>
  <c r="I37765" i="5"/>
  <c r="I37746" i="5"/>
  <c r="I37723" i="5"/>
  <c r="I37706" i="5"/>
  <c r="I37690" i="5"/>
  <c r="I37674" i="5"/>
  <c r="I37658" i="5"/>
  <c r="I37642" i="5"/>
  <c r="I37626" i="5"/>
  <c r="I37610" i="5"/>
  <c r="I37594" i="5"/>
  <c r="I37578" i="5"/>
  <c r="I37562" i="5"/>
  <c r="I37546" i="5"/>
  <c r="I37530" i="5"/>
  <c r="I37514" i="5"/>
  <c r="I37498" i="5"/>
  <c r="I37482" i="5"/>
  <c r="I37466" i="5"/>
  <c r="I37450" i="5"/>
  <c r="I37434" i="5"/>
  <c r="I37418" i="5"/>
  <c r="I37403" i="5"/>
  <c r="I37389" i="5"/>
  <c r="I37378" i="5"/>
  <c r="I37366" i="5"/>
  <c r="I37357" i="5"/>
  <c r="I37348" i="5"/>
  <c r="I37339" i="5"/>
  <c r="I37330" i="5"/>
  <c r="I37322" i="5"/>
  <c r="I37314" i="5"/>
  <c r="I37306" i="5"/>
  <c r="I37298" i="5"/>
  <c r="I37290" i="5"/>
  <c r="I37282" i="5"/>
  <c r="I37274" i="5"/>
  <c r="I37266" i="5"/>
  <c r="I37258" i="5"/>
  <c r="I37250" i="5"/>
  <c r="I37242" i="5"/>
  <c r="I37234" i="5"/>
  <c r="I37226" i="5"/>
  <c r="I37218" i="5"/>
  <c r="I37210" i="5"/>
  <c r="I37202" i="5"/>
  <c r="I37194" i="5"/>
  <c r="I37186" i="5"/>
  <c r="I37178" i="5"/>
  <c r="I37170" i="5"/>
  <c r="I37162" i="5"/>
  <c r="I37154" i="5"/>
  <c r="I37146" i="5"/>
  <c r="I37138" i="5"/>
  <c r="I37130" i="5"/>
  <c r="I37122" i="5"/>
  <c r="I37114" i="5"/>
  <c r="I37106" i="5"/>
  <c r="I37098" i="5"/>
  <c r="I37090" i="5"/>
  <c r="I37082" i="5"/>
  <c r="I37074" i="5"/>
  <c r="I37066" i="5"/>
  <c r="I37058" i="5"/>
  <c r="I37050" i="5"/>
  <c r="I37042" i="5"/>
  <c r="I37034" i="5"/>
  <c r="I37026" i="5"/>
  <c r="I37018" i="5"/>
  <c r="I37010" i="5"/>
  <c r="I37002" i="5"/>
  <c r="I36994" i="5"/>
  <c r="I36986" i="5"/>
  <c r="I36978" i="5"/>
  <c r="I36970" i="5"/>
  <c r="I36962" i="5"/>
  <c r="I36954" i="5"/>
  <c r="I36946" i="5"/>
  <c r="I36938" i="5"/>
  <c r="I36930" i="5"/>
  <c r="I36922" i="5"/>
  <c r="I36914" i="5"/>
  <c r="I36906" i="5"/>
  <c r="I36898" i="5"/>
  <c r="I36890" i="5"/>
  <c r="I36882" i="5"/>
  <c r="I36874" i="5"/>
  <c r="I36866" i="5"/>
  <c r="I36858" i="5"/>
  <c r="I36850" i="5"/>
  <c r="I36842" i="5"/>
  <c r="I36834" i="5"/>
  <c r="I36826" i="5"/>
  <c r="I36818" i="5"/>
  <c r="I36810" i="5"/>
  <c r="I36802" i="5"/>
  <c r="I36794" i="5"/>
  <c r="I36786" i="5"/>
  <c r="I36778" i="5"/>
  <c r="I36770" i="5"/>
  <c r="I36762" i="5"/>
  <c r="I36754" i="5"/>
  <c r="I36746" i="5"/>
  <c r="I36738" i="5"/>
  <c r="I36730" i="5"/>
  <c r="I36722" i="5"/>
  <c r="I36714" i="5"/>
  <c r="I36706" i="5"/>
  <c r="I36698" i="5"/>
  <c r="I36690" i="5"/>
  <c r="I36682" i="5"/>
  <c r="I36674" i="5"/>
  <c r="I36666" i="5"/>
  <c r="I40848" i="5"/>
  <c r="I40296" i="5"/>
  <c r="I39949" i="5"/>
  <c r="I39764" i="5"/>
  <c r="I39564" i="5"/>
  <c r="I39404" i="5"/>
  <c r="I39297" i="5"/>
  <c r="I39197" i="5"/>
  <c r="I39114" i="5"/>
  <c r="I39050" i="5"/>
  <c r="I38962" i="5"/>
  <c r="I38881" i="5"/>
  <c r="I38825" i="5"/>
  <c r="I38751" i="5"/>
  <c r="I38678" i="5"/>
  <c r="I38634" i="5"/>
  <c r="I38590" i="5"/>
  <c r="I38547" i="5"/>
  <c r="I38515" i="5"/>
  <c r="I38472" i="5"/>
  <c r="I38433" i="5"/>
  <c r="I38398" i="5"/>
  <c r="I38358" i="5"/>
  <c r="I38324" i="5"/>
  <c r="I38293" i="5"/>
  <c r="I38255" i="5"/>
  <c r="I38221" i="5"/>
  <c r="I38190" i="5"/>
  <c r="I38155" i="5"/>
  <c r="I38122" i="5"/>
  <c r="I38095" i="5"/>
  <c r="I38066" i="5"/>
  <c r="I38038" i="5"/>
  <c r="I38018" i="5"/>
  <c r="I37995" i="5"/>
  <c r="I37973" i="5"/>
  <c r="I37954" i="5"/>
  <c r="I37931" i="5"/>
  <c r="I37909" i="5"/>
  <c r="I37890" i="5"/>
  <c r="I37867" i="5"/>
  <c r="I37845" i="5"/>
  <c r="I37826" i="5"/>
  <c r="I37803" i="5"/>
  <c r="I37781" i="5"/>
  <c r="I37762" i="5"/>
  <c r="I37739" i="5"/>
  <c r="I37717" i="5"/>
  <c r="I37700" i="5"/>
  <c r="I37684" i="5"/>
  <c r="I37668" i="5"/>
  <c r="I37652" i="5"/>
  <c r="I37636" i="5"/>
  <c r="I37620" i="5"/>
  <c r="I37604" i="5"/>
  <c r="I37588" i="5"/>
  <c r="I37572" i="5"/>
  <c r="I37556" i="5"/>
  <c r="I37540" i="5"/>
  <c r="I37524" i="5"/>
  <c r="I37508" i="5"/>
  <c r="I37492" i="5"/>
  <c r="I37476" i="5"/>
  <c r="I37460" i="5"/>
  <c r="I37444" i="5"/>
  <c r="I37428" i="5"/>
  <c r="I37412" i="5"/>
  <c r="I37400" i="5"/>
  <c r="I37387" i="5"/>
  <c r="I37374" i="5"/>
  <c r="I37364" i="5"/>
  <c r="I37355" i="5"/>
  <c r="I37346" i="5"/>
  <c r="I37337" i="5"/>
  <c r="I37328" i="5"/>
  <c r="I37320" i="5"/>
  <c r="I37312" i="5"/>
  <c r="I37304" i="5"/>
  <c r="I37296" i="5"/>
  <c r="I37288" i="5"/>
  <c r="I37280" i="5"/>
  <c r="I37272" i="5"/>
  <c r="I37264" i="5"/>
  <c r="I37256" i="5"/>
  <c r="I37248" i="5"/>
  <c r="I37240" i="5"/>
  <c r="I37232" i="5"/>
  <c r="I37224" i="5"/>
  <c r="I37216" i="5"/>
  <c r="I37208" i="5"/>
  <c r="I37200" i="5"/>
  <c r="I37192" i="5"/>
  <c r="I37184" i="5"/>
  <c r="I37176" i="5"/>
  <c r="I37168" i="5"/>
  <c r="I37160" i="5"/>
  <c r="I37152" i="5"/>
  <c r="I37144" i="5"/>
  <c r="I37136" i="5"/>
  <c r="I37128" i="5"/>
  <c r="I37120" i="5"/>
  <c r="I37112" i="5"/>
  <c r="I37104" i="5"/>
  <c r="I37096" i="5"/>
  <c r="I37088" i="5"/>
  <c r="I37080" i="5"/>
  <c r="I37072" i="5"/>
  <c r="I37064" i="5"/>
  <c r="I37056" i="5"/>
  <c r="I37048" i="5"/>
  <c r="I37040" i="5"/>
  <c r="I37032" i="5"/>
  <c r="I37024" i="5"/>
  <c r="I37016" i="5"/>
  <c r="I37008" i="5"/>
  <c r="I37000" i="5"/>
  <c r="I36992" i="5"/>
  <c r="I36984" i="5"/>
  <c r="I36976" i="5"/>
  <c r="I36968" i="5"/>
  <c r="I36960" i="5"/>
  <c r="I36952" i="5"/>
  <c r="I36944" i="5"/>
  <c r="I36936" i="5"/>
  <c r="I36928" i="5"/>
  <c r="I36920" i="5"/>
  <c r="I36912" i="5"/>
  <c r="I36904" i="5"/>
  <c r="I36896" i="5"/>
  <c r="I36888" i="5"/>
  <c r="I36880" i="5"/>
  <c r="I36872" i="5"/>
  <c r="I36864" i="5"/>
  <c r="I36856" i="5"/>
  <c r="I36848" i="5"/>
  <c r="I36840" i="5"/>
  <c r="I41576" i="5"/>
  <c r="I40632" i="5"/>
  <c r="I40295" i="5"/>
  <c r="I39945" i="5"/>
  <c r="I39699" i="5"/>
  <c r="I39555" i="5"/>
  <c r="I39399" i="5"/>
  <c r="I39269" i="5"/>
  <c r="I39196" i="5"/>
  <c r="I39108" i="5"/>
  <c r="I39025" i="5"/>
  <c r="I38961" i="5"/>
  <c r="I38879" i="5"/>
  <c r="I38806" i="5"/>
  <c r="I38750" i="5"/>
  <c r="I38674" i="5"/>
  <c r="I38620" i="5"/>
  <c r="I38588" i="5"/>
  <c r="I38545" i="5"/>
  <c r="I38506" i="5"/>
  <c r="I38471" i="5"/>
  <c r="I38427" i="5"/>
  <c r="I38388" i="5"/>
  <c r="I38357" i="5"/>
  <c r="I38319" i="5"/>
  <c r="I38285" i="5"/>
  <c r="I38254" i="5"/>
  <c r="I38219" i="5"/>
  <c r="I38182" i="5"/>
  <c r="I38151" i="5"/>
  <c r="I38118" i="5"/>
  <c r="I38090" i="5"/>
  <c r="I38063" i="5"/>
  <c r="I38036" i="5"/>
  <c r="I38013" i="5"/>
  <c r="I37994" i="5"/>
  <c r="I37971" i="5"/>
  <c r="I37949" i="5"/>
  <c r="I37930" i="5"/>
  <c r="I37907" i="5"/>
  <c r="I37885" i="5"/>
  <c r="I37866" i="5"/>
  <c r="I37843" i="5"/>
  <c r="I37821" i="5"/>
  <c r="I37802" i="5"/>
  <c r="I37779" i="5"/>
  <c r="I37757" i="5"/>
  <c r="I37738" i="5"/>
  <c r="I37715" i="5"/>
  <c r="I37699" i="5"/>
  <c r="I37683" i="5"/>
  <c r="I37667" i="5"/>
  <c r="I37651" i="5"/>
  <c r="I37635" i="5"/>
  <c r="I37619" i="5"/>
  <c r="I37603" i="5"/>
  <c r="I37587" i="5"/>
  <c r="I37571" i="5"/>
  <c r="I37555" i="5"/>
  <c r="I37539" i="5"/>
  <c r="I37523" i="5"/>
  <c r="I37507" i="5"/>
  <c r="I37491" i="5"/>
  <c r="I37475" i="5"/>
  <c r="I37459" i="5"/>
  <c r="I37443" i="5"/>
  <c r="I37427" i="5"/>
  <c r="I37411" i="5"/>
  <c r="I37397" i="5"/>
  <c r="I37386" i="5"/>
  <c r="I37373" i="5"/>
  <c r="I37363" i="5"/>
  <c r="I37354" i="5"/>
  <c r="I37345" i="5"/>
  <c r="I37336" i="5"/>
  <c r="I37327" i="5"/>
  <c r="I37319" i="5"/>
  <c r="I37311" i="5"/>
  <c r="I37303" i="5"/>
  <c r="I37295" i="5"/>
  <c r="I37287" i="5"/>
  <c r="I37279" i="5"/>
  <c r="I37271" i="5"/>
  <c r="I37263" i="5"/>
  <c r="I37255" i="5"/>
  <c r="I40611" i="5"/>
  <c r="I39515" i="5"/>
  <c r="I39107" i="5"/>
  <c r="I38801" i="5"/>
  <c r="I38579" i="5"/>
  <c r="I38426" i="5"/>
  <c r="I38283" i="5"/>
  <c r="I38143" i="5"/>
  <c r="I38035" i="5"/>
  <c r="I37947" i="5"/>
  <c r="I37861" i="5"/>
  <c r="I37778" i="5"/>
  <c r="I37698" i="5"/>
  <c r="I37634" i="5"/>
  <c r="I37570" i="5"/>
  <c r="I37506" i="5"/>
  <c r="I37442" i="5"/>
  <c r="I37384" i="5"/>
  <c r="I37344" i="5"/>
  <c r="I37310" i="5"/>
  <c r="I37278" i="5"/>
  <c r="I37247" i="5"/>
  <c r="I37225" i="5"/>
  <c r="I37206" i="5"/>
  <c r="I37183" i="5"/>
  <c r="I37161" i="5"/>
  <c r="I37142" i="5"/>
  <c r="I37119" i="5"/>
  <c r="I37097" i="5"/>
  <c r="I37078" i="5"/>
  <c r="I37055" i="5"/>
  <c r="I37033" i="5"/>
  <c r="I37014" i="5"/>
  <c r="I36991" i="5"/>
  <c r="I36969" i="5"/>
  <c r="I36950" i="5"/>
  <c r="I36927" i="5"/>
  <c r="I36905" i="5"/>
  <c r="I36886" i="5"/>
  <c r="I36863" i="5"/>
  <c r="I36841" i="5"/>
  <c r="I36824" i="5"/>
  <c r="I36808" i="5"/>
  <c r="I36792" i="5"/>
  <c r="I36776" i="5"/>
  <c r="I36760" i="5"/>
  <c r="I36744" i="5"/>
  <c r="I36728" i="5"/>
  <c r="I36712" i="5"/>
  <c r="I36696" i="5"/>
  <c r="I36680" i="5"/>
  <c r="I36664" i="5"/>
  <c r="I36650" i="5"/>
  <c r="I36639" i="5"/>
  <c r="I36625" i="5"/>
  <c r="I36614" i="5"/>
  <c r="I36600" i="5"/>
  <c r="I36586" i="5"/>
  <c r="I36575" i="5"/>
  <c r="I36561" i="5"/>
  <c r="I36550" i="5"/>
  <c r="I36536" i="5"/>
  <c r="I36522" i="5"/>
  <c r="I36511" i="5"/>
  <c r="I36497" i="5"/>
  <c r="I36486" i="5"/>
  <c r="I36472" i="5"/>
  <c r="I36458" i="5"/>
  <c r="I36447" i="5"/>
  <c r="I36434" i="5"/>
  <c r="I36424" i="5"/>
  <c r="I36414" i="5"/>
  <c r="I36403" i="5"/>
  <c r="I36394" i="5"/>
  <c r="I36385" i="5"/>
  <c r="I36376" i="5"/>
  <c r="I36368" i="5"/>
  <c r="I36360" i="5"/>
  <c r="I36352" i="5"/>
  <c r="I36344" i="5"/>
  <c r="I36336" i="5"/>
  <c r="I36328" i="5"/>
  <c r="I36320" i="5"/>
  <c r="I36312" i="5"/>
  <c r="I36304" i="5"/>
  <c r="I36296" i="5"/>
  <c r="I36288" i="5"/>
  <c r="I36280" i="5"/>
  <c r="I36272" i="5"/>
  <c r="I36264" i="5"/>
  <c r="I36256" i="5"/>
  <c r="I36248" i="5"/>
  <c r="I36240" i="5"/>
  <c r="I36232" i="5"/>
  <c r="I36224" i="5"/>
  <c r="I36216" i="5"/>
  <c r="I36208" i="5"/>
  <c r="I36200" i="5"/>
  <c r="I36192" i="5"/>
  <c r="I36184" i="5"/>
  <c r="I36176" i="5"/>
  <c r="I36168" i="5"/>
  <c r="I36160" i="5"/>
  <c r="I36152" i="5"/>
  <c r="I36144" i="5"/>
  <c r="I36136" i="5"/>
  <c r="I36128" i="5"/>
  <c r="I36120" i="5"/>
  <c r="I36112" i="5"/>
  <c r="I36104" i="5"/>
  <c r="I36096" i="5"/>
  <c r="I36088" i="5"/>
  <c r="I36080" i="5"/>
  <c r="I36072" i="5"/>
  <c r="I36064" i="5"/>
  <c r="I36056" i="5"/>
  <c r="I36048" i="5"/>
  <c r="I36040" i="5"/>
  <c r="I36032" i="5"/>
  <c r="I36024" i="5"/>
  <c r="I36016" i="5"/>
  <c r="I36008" i="5"/>
  <c r="I36000" i="5"/>
  <c r="I35992" i="5"/>
  <c r="I35984" i="5"/>
  <c r="I35976" i="5"/>
  <c r="I35968" i="5"/>
  <c r="I35960" i="5"/>
  <c r="I35952" i="5"/>
  <c r="I35944" i="5"/>
  <c r="I35936" i="5"/>
  <c r="I35928" i="5"/>
  <c r="I35920" i="5"/>
  <c r="I35912" i="5"/>
  <c r="I35904" i="5"/>
  <c r="I35896" i="5"/>
  <c r="I35888" i="5"/>
  <c r="I35880" i="5"/>
  <c r="I35872" i="5"/>
  <c r="I40310" i="5"/>
  <c r="I39451" i="5"/>
  <c r="I39051" i="5"/>
  <c r="I38753" i="5"/>
  <c r="I38556" i="5"/>
  <c r="I38399" i="5"/>
  <c r="I38260" i="5"/>
  <c r="I38127" i="5"/>
  <c r="I38019" i="5"/>
  <c r="I37933" i="5"/>
  <c r="I37850" i="5"/>
  <c r="I37763" i="5"/>
  <c r="I37685" i="5"/>
  <c r="I37621" i="5"/>
  <c r="I37557" i="5"/>
  <c r="I37493" i="5"/>
  <c r="I37429" i="5"/>
  <c r="I37376" i="5"/>
  <c r="I37338" i="5"/>
  <c r="I37305" i="5"/>
  <c r="I37273" i="5"/>
  <c r="I37246" i="5"/>
  <c r="I37223" i="5"/>
  <c r="I37201" i="5"/>
  <c r="I37182" i="5"/>
  <c r="I37159" i="5"/>
  <c r="I37137" i="5"/>
  <c r="I37118" i="5"/>
  <c r="I37095" i="5"/>
  <c r="I37073" i="5"/>
  <c r="I37054" i="5"/>
  <c r="I37031" i="5"/>
  <c r="I37009" i="5"/>
  <c r="I36990" i="5"/>
  <c r="I36967" i="5"/>
  <c r="I36945" i="5"/>
  <c r="I36926" i="5"/>
  <c r="I36903" i="5"/>
  <c r="I36881" i="5"/>
  <c r="I36862" i="5"/>
  <c r="I36839" i="5"/>
  <c r="I36823" i="5"/>
  <c r="I36807" i="5"/>
  <c r="I36791" i="5"/>
  <c r="I36775" i="5"/>
  <c r="I36759" i="5"/>
  <c r="I36743" i="5"/>
  <c r="I36727" i="5"/>
  <c r="I36711" i="5"/>
  <c r="I36695" i="5"/>
  <c r="I36679" i="5"/>
  <c r="I36663" i="5"/>
  <c r="I36649" i="5"/>
  <c r="I36638" i="5"/>
  <c r="I36624" i="5"/>
  <c r="I36610" i="5"/>
  <c r="I36599" i="5"/>
  <c r="I36585" i="5"/>
  <c r="I36574" i="5"/>
  <c r="I36560" i="5"/>
  <c r="I36546" i="5"/>
  <c r="I36535" i="5"/>
  <c r="I36521" i="5"/>
  <c r="I36510" i="5"/>
  <c r="I36496" i="5"/>
  <c r="I36482" i="5"/>
  <c r="I36471" i="5"/>
  <c r="I36457" i="5"/>
  <c r="I36446" i="5"/>
  <c r="I36433" i="5"/>
  <c r="I36423" i="5"/>
  <c r="I36411" i="5"/>
  <c r="I36402" i="5"/>
  <c r="I36393" i="5"/>
  <c r="I36384" i="5"/>
  <c r="I36375" i="5"/>
  <c r="I36367" i="5"/>
  <c r="I36359" i="5"/>
  <c r="I36351" i="5"/>
  <c r="I36343" i="5"/>
  <c r="I36335" i="5"/>
  <c r="I36327" i="5"/>
  <c r="I36319" i="5"/>
  <c r="I36311" i="5"/>
  <c r="I36303" i="5"/>
  <c r="I36295" i="5"/>
  <c r="I36287" i="5"/>
  <c r="I36279" i="5"/>
  <c r="I36271" i="5"/>
  <c r="I36263" i="5"/>
  <c r="I36255" i="5"/>
  <c r="I36247" i="5"/>
  <c r="I36239" i="5"/>
  <c r="I36231" i="5"/>
  <c r="I36223" i="5"/>
  <c r="I36215" i="5"/>
  <c r="I36207" i="5"/>
  <c r="I36199" i="5"/>
  <c r="I36191" i="5"/>
  <c r="I36183" i="5"/>
  <c r="I36175" i="5"/>
  <c r="I36167" i="5"/>
  <c r="I36159" i="5"/>
  <c r="I36151" i="5"/>
  <c r="I36143" i="5"/>
  <c r="I36135" i="5"/>
  <c r="I36127" i="5"/>
  <c r="I36119" i="5"/>
  <c r="I36111" i="5"/>
  <c r="I36103" i="5"/>
  <c r="I36095" i="5"/>
  <c r="I36087" i="5"/>
  <c r="I36079" i="5"/>
  <c r="I36071" i="5"/>
  <c r="I36063" i="5"/>
  <c r="I36055" i="5"/>
  <c r="I36047" i="5"/>
  <c r="I36039" i="5"/>
  <c r="I36031" i="5"/>
  <c r="I36023" i="5"/>
  <c r="I36015" i="5"/>
  <c r="I36007" i="5"/>
  <c r="I35999" i="5"/>
  <c r="I35991" i="5"/>
  <c r="I35983" i="5"/>
  <c r="I35975" i="5"/>
  <c r="I35967" i="5"/>
  <c r="I35959" i="5"/>
  <c r="I35951" i="5"/>
  <c r="I35943" i="5"/>
  <c r="I35935" i="5"/>
  <c r="I35927" i="5"/>
  <c r="I35919" i="5"/>
  <c r="I35911" i="5"/>
  <c r="I35903" i="5"/>
  <c r="I35895" i="5"/>
  <c r="I35887" i="5"/>
  <c r="I35879" i="5"/>
  <c r="I35871" i="5"/>
  <c r="I35863" i="5"/>
  <c r="I35855" i="5"/>
  <c r="I35847" i="5"/>
  <c r="I35839" i="5"/>
  <c r="I35831" i="5"/>
  <c r="I35823" i="5"/>
  <c r="I35815" i="5"/>
  <c r="I35807" i="5"/>
  <c r="I35799" i="5"/>
  <c r="I35791" i="5"/>
  <c r="I35783" i="5"/>
  <c r="I35775" i="5"/>
  <c r="I35767" i="5"/>
  <c r="I35759" i="5"/>
  <c r="I35751" i="5"/>
  <c r="I35743" i="5"/>
  <c r="I35735" i="5"/>
  <c r="I35727" i="5"/>
  <c r="I35719" i="5"/>
  <c r="I35711" i="5"/>
  <c r="I35703" i="5"/>
  <c r="I35695" i="5"/>
  <c r="I35687" i="5"/>
  <c r="I35679" i="5"/>
  <c r="I35671" i="5"/>
  <c r="I35663" i="5"/>
  <c r="I35655" i="5"/>
  <c r="I35647" i="5"/>
  <c r="I35639" i="5"/>
  <c r="I35631" i="5"/>
  <c r="I35623" i="5"/>
  <c r="I35615" i="5"/>
  <c r="I35607" i="5"/>
  <c r="I40179" i="5"/>
  <c r="I39398" i="5"/>
  <c r="I39022" i="5"/>
  <c r="I38728" i="5"/>
  <c r="I38544" i="5"/>
  <c r="I38383" i="5"/>
  <c r="I38246" i="5"/>
  <c r="I38117" i="5"/>
  <c r="I38011" i="5"/>
  <c r="I37925" i="5"/>
  <c r="I37842" i="5"/>
  <c r="I37755" i="5"/>
  <c r="I37682" i="5"/>
  <c r="I37618" i="5"/>
  <c r="I37554" i="5"/>
  <c r="I37490" i="5"/>
  <c r="I37426" i="5"/>
  <c r="I37372" i="5"/>
  <c r="I37334" i="5"/>
  <c r="I37302" i="5"/>
  <c r="I37270" i="5"/>
  <c r="I37241" i="5"/>
  <c r="I37222" i="5"/>
  <c r="I37199" i="5"/>
  <c r="I37177" i="5"/>
  <c r="I37158" i="5"/>
  <c r="I37135" i="5"/>
  <c r="I37113" i="5"/>
  <c r="I37094" i="5"/>
  <c r="I37071" i="5"/>
  <c r="I37049" i="5"/>
  <c r="I37030" i="5"/>
  <c r="I37007" i="5"/>
  <c r="I36985" i="5"/>
  <c r="I36966" i="5"/>
  <c r="I36943" i="5"/>
  <c r="I36921" i="5"/>
  <c r="I36902" i="5"/>
  <c r="I36879" i="5"/>
  <c r="I36857" i="5"/>
  <c r="I36838" i="5"/>
  <c r="I36822" i="5"/>
  <c r="I36806" i="5"/>
  <c r="I36790" i="5"/>
  <c r="I36774" i="5"/>
  <c r="I36758" i="5"/>
  <c r="I36742" i="5"/>
  <c r="I36726" i="5"/>
  <c r="I36710" i="5"/>
  <c r="I36694" i="5"/>
  <c r="I36678" i="5"/>
  <c r="I36662" i="5"/>
  <c r="I36648" i="5"/>
  <c r="I36634" i="5"/>
  <c r="I36623" i="5"/>
  <c r="I36609" i="5"/>
  <c r="I36598" i="5"/>
  <c r="I36584" i="5"/>
  <c r="I36570" i="5"/>
  <c r="I36559" i="5"/>
  <c r="I36545" i="5"/>
  <c r="I36534" i="5"/>
  <c r="I36520" i="5"/>
  <c r="I36506" i="5"/>
  <c r="I36495" i="5"/>
  <c r="I36481" i="5"/>
  <c r="I36470" i="5"/>
  <c r="I36456" i="5"/>
  <c r="I36442" i="5"/>
  <c r="I36432" i="5"/>
  <c r="I36422" i="5"/>
  <c r="I36410" i="5"/>
  <c r="I36401" i="5"/>
  <c r="I36392" i="5"/>
  <c r="I36383" i="5"/>
  <c r="I36374" i="5"/>
  <c r="I36366" i="5"/>
  <c r="I36358" i="5"/>
  <c r="I36350" i="5"/>
  <c r="I36342" i="5"/>
  <c r="I36334" i="5"/>
  <c r="I36326" i="5"/>
  <c r="I36318" i="5"/>
  <c r="I36310" i="5"/>
  <c r="I36302" i="5"/>
  <c r="I36294" i="5"/>
  <c r="I36286" i="5"/>
  <c r="I36278" i="5"/>
  <c r="I36270" i="5"/>
  <c r="I36262" i="5"/>
  <c r="I36254" i="5"/>
  <c r="I36246" i="5"/>
  <c r="I36238" i="5"/>
  <c r="I36230" i="5"/>
  <c r="I36222" i="5"/>
  <c r="I36214" i="5"/>
  <c r="I36206" i="5"/>
  <c r="I36198" i="5"/>
  <c r="I36190" i="5"/>
  <c r="I36182" i="5"/>
  <c r="I36174" i="5"/>
  <c r="I36166" i="5"/>
  <c r="I36158" i="5"/>
  <c r="I36150" i="5"/>
  <c r="I36142" i="5"/>
  <c r="I36134" i="5"/>
  <c r="I36126" i="5"/>
  <c r="I36118" i="5"/>
  <c r="I36110" i="5"/>
  <c r="I36102" i="5"/>
  <c r="I36094" i="5"/>
  <c r="I36086" i="5"/>
  <c r="I36078" i="5"/>
  <c r="I36070" i="5"/>
  <c r="I36062" i="5"/>
  <c r="I36054" i="5"/>
  <c r="I36046" i="5"/>
  <c r="I36038" i="5"/>
  <c r="I36030" i="5"/>
  <c r="I36022" i="5"/>
  <c r="I36014" i="5"/>
  <c r="I36006" i="5"/>
  <c r="I35998" i="5"/>
  <c r="I35990" i="5"/>
  <c r="I35982" i="5"/>
  <c r="I35974" i="5"/>
  <c r="I35966" i="5"/>
  <c r="I35958" i="5"/>
  <c r="I35950" i="5"/>
  <c r="I35942" i="5"/>
  <c r="I35934" i="5"/>
  <c r="I35926" i="5"/>
  <c r="I35918" i="5"/>
  <c r="I35910" i="5"/>
  <c r="I35902" i="5"/>
  <c r="I35894" i="5"/>
  <c r="I35886" i="5"/>
  <c r="I35878" i="5"/>
  <c r="I35870" i="5"/>
  <c r="I35862" i="5"/>
  <c r="I35854" i="5"/>
  <c r="I40031" i="5"/>
  <c r="I39305" i="5"/>
  <c r="I38968" i="5"/>
  <c r="I38697" i="5"/>
  <c r="I38516" i="5"/>
  <c r="I38363" i="5"/>
  <c r="I38229" i="5"/>
  <c r="I38098" i="5"/>
  <c r="I37997" i="5"/>
  <c r="I37914" i="5"/>
  <c r="I37827" i="5"/>
  <c r="I37741" i="5"/>
  <c r="I37669" i="5"/>
  <c r="I37605" i="5"/>
  <c r="I37541" i="5"/>
  <c r="I37477" i="5"/>
  <c r="I37413" i="5"/>
  <c r="I37365" i="5"/>
  <c r="I37329" i="5"/>
  <c r="I37297" i="5"/>
  <c r="I37265" i="5"/>
  <c r="I37239" i="5"/>
  <c r="I37217" i="5"/>
  <c r="I37198" i="5"/>
  <c r="I37175" i="5"/>
  <c r="I37153" i="5"/>
  <c r="I37134" i="5"/>
  <c r="I37111" i="5"/>
  <c r="I37089" i="5"/>
  <c r="I37070" i="5"/>
  <c r="I37047" i="5"/>
  <c r="I37025" i="5"/>
  <c r="I37006" i="5"/>
  <c r="I36983" i="5"/>
  <c r="I36961" i="5"/>
  <c r="I36942" i="5"/>
  <c r="I36919" i="5"/>
  <c r="I36897" i="5"/>
  <c r="I36878" i="5"/>
  <c r="I36855" i="5"/>
  <c r="I36833" i="5"/>
  <c r="I36817" i="5"/>
  <c r="I36801" i="5"/>
  <c r="I36785" i="5"/>
  <c r="I36769" i="5"/>
  <c r="I36753" i="5"/>
  <c r="I36737" i="5"/>
  <c r="I36721" i="5"/>
  <c r="I36705" i="5"/>
  <c r="I36689" i="5"/>
  <c r="I36673" i="5"/>
  <c r="I36658" i="5"/>
  <c r="I36647" i="5"/>
  <c r="I36633" i="5"/>
  <c r="I36622" i="5"/>
  <c r="I36608" i="5"/>
  <c r="I36594" i="5"/>
  <c r="I36583" i="5"/>
  <c r="I36569" i="5"/>
  <c r="I36558" i="5"/>
  <c r="I36544" i="5"/>
  <c r="I36530" i="5"/>
  <c r="I36519" i="5"/>
  <c r="I36505" i="5"/>
  <c r="I36494" i="5"/>
  <c r="I36480" i="5"/>
  <c r="I36466" i="5"/>
  <c r="I36455" i="5"/>
  <c r="I36441" i="5"/>
  <c r="I36431" i="5"/>
  <c r="I36419" i="5"/>
  <c r="I36409" i="5"/>
  <c r="I36400" i="5"/>
  <c r="I36391" i="5"/>
  <c r="I36382" i="5"/>
  <c r="I36373" i="5"/>
  <c r="I36365" i="5"/>
  <c r="I36357" i="5"/>
  <c r="I36349" i="5"/>
  <c r="I36341" i="5"/>
  <c r="I36333" i="5"/>
  <c r="I36325" i="5"/>
  <c r="I36317" i="5"/>
  <c r="I36309" i="5"/>
  <c r="I36301" i="5"/>
  <c r="I36293" i="5"/>
  <c r="I36285" i="5"/>
  <c r="I36277" i="5"/>
  <c r="I36269" i="5"/>
  <c r="I36261" i="5"/>
  <c r="I36253" i="5"/>
  <c r="I36245" i="5"/>
  <c r="I36237" i="5"/>
  <c r="I36229" i="5"/>
  <c r="I36221" i="5"/>
  <c r="I36213" i="5"/>
  <c r="I36205" i="5"/>
  <c r="I36197" i="5"/>
  <c r="I36189" i="5"/>
  <c r="I36181" i="5"/>
  <c r="I36173" i="5"/>
  <c r="I36165" i="5"/>
  <c r="I36157" i="5"/>
  <c r="I36149" i="5"/>
  <c r="I36141" i="5"/>
  <c r="I36133" i="5"/>
  <c r="I36125" i="5"/>
  <c r="I36117" i="5"/>
  <c r="I36109" i="5"/>
  <c r="I36101" i="5"/>
  <c r="I36093" i="5"/>
  <c r="I36085" i="5"/>
  <c r="I36077" i="5"/>
  <c r="I36069" i="5"/>
  <c r="I36061" i="5"/>
  <c r="I36053" i="5"/>
  <c r="I36045" i="5"/>
  <c r="I36037" i="5"/>
  <c r="I36029" i="5"/>
  <c r="I36021" i="5"/>
  <c r="I36013" i="5"/>
  <c r="I36005" i="5"/>
  <c r="I35997" i="5"/>
  <c r="I35989" i="5"/>
  <c r="I35981" i="5"/>
  <c r="I35973" i="5"/>
  <c r="I35965" i="5"/>
  <c r="I35957" i="5"/>
  <c r="I35949" i="5"/>
  <c r="I35941" i="5"/>
  <c r="I35933" i="5"/>
  <c r="I35925" i="5"/>
  <c r="I35917" i="5"/>
  <c r="I35909" i="5"/>
  <c r="I35901" i="5"/>
  <c r="I35893" i="5"/>
  <c r="I35885" i="5"/>
  <c r="I35877" i="5"/>
  <c r="I35869" i="5"/>
  <c r="I35861" i="5"/>
  <c r="I35853" i="5"/>
  <c r="I35845" i="5"/>
  <c r="I35837" i="5"/>
  <c r="I35829" i="5"/>
  <c r="I35821" i="5"/>
  <c r="I35813" i="5"/>
  <c r="I35805" i="5"/>
  <c r="I35797" i="5"/>
  <c r="I35789" i="5"/>
  <c r="I35781" i="5"/>
  <c r="I35773" i="5"/>
  <c r="I35765" i="5"/>
  <c r="I35757" i="5"/>
  <c r="I35749" i="5"/>
  <c r="I35741" i="5"/>
  <c r="I35733" i="5"/>
  <c r="I35725" i="5"/>
  <c r="I35717" i="5"/>
  <c r="I35709" i="5"/>
  <c r="I35701" i="5"/>
  <c r="I35693" i="5"/>
  <c r="I35685" i="5"/>
  <c r="I35677" i="5"/>
  <c r="I35669" i="5"/>
  <c r="I35661" i="5"/>
  <c r="I35653" i="5"/>
  <c r="I35645" i="5"/>
  <c r="I35637" i="5"/>
  <c r="I35629" i="5"/>
  <c r="I35621" i="5"/>
  <c r="I35613" i="5"/>
  <c r="I35605" i="5"/>
  <c r="I35597" i="5"/>
  <c r="I35589" i="5"/>
  <c r="I41575" i="5"/>
  <c r="I39691" i="5"/>
  <c r="I39171" i="5"/>
  <c r="I38878" i="5"/>
  <c r="I38618" i="5"/>
  <c r="I38462" i="5"/>
  <c r="I38318" i="5"/>
  <c r="I38180" i="5"/>
  <c r="I38058" i="5"/>
  <c r="I37970" i="5"/>
  <c r="I37883" i="5"/>
  <c r="I37797" i="5"/>
  <c r="I37714" i="5"/>
  <c r="I37650" i="5"/>
  <c r="I37586" i="5"/>
  <c r="I37522" i="5"/>
  <c r="I37458" i="5"/>
  <c r="I37396" i="5"/>
  <c r="I37353" i="5"/>
  <c r="I37318" i="5"/>
  <c r="I37286" i="5"/>
  <c r="I37254" i="5"/>
  <c r="I37231" i="5"/>
  <c r="I37209" i="5"/>
  <c r="I37190" i="5"/>
  <c r="I37167" i="5"/>
  <c r="I37145" i="5"/>
  <c r="I37126" i="5"/>
  <c r="I37103" i="5"/>
  <c r="I37081" i="5"/>
  <c r="I37062" i="5"/>
  <c r="I37039" i="5"/>
  <c r="I37017" i="5"/>
  <c r="I36998" i="5"/>
  <c r="I36975" i="5"/>
  <c r="I36953" i="5"/>
  <c r="I36934" i="5"/>
  <c r="I36911" i="5"/>
  <c r="I36889" i="5"/>
  <c r="I36870" i="5"/>
  <c r="I36847" i="5"/>
  <c r="I36830" i="5"/>
  <c r="I36814" i="5"/>
  <c r="I36798" i="5"/>
  <c r="I36782" i="5"/>
  <c r="I36766" i="5"/>
  <c r="I36750" i="5"/>
  <c r="I36734" i="5"/>
  <c r="I36718" i="5"/>
  <c r="I36702" i="5"/>
  <c r="I36686" i="5"/>
  <c r="I36670" i="5"/>
  <c r="I36655" i="5"/>
  <c r="I36641" i="5"/>
  <c r="I36630" i="5"/>
  <c r="I36616" i="5"/>
  <c r="I36602" i="5"/>
  <c r="I36591" i="5"/>
  <c r="I36577" i="5"/>
  <c r="I36566" i="5"/>
  <c r="I36552" i="5"/>
  <c r="I36538" i="5"/>
  <c r="I36527" i="5"/>
  <c r="I36513" i="5"/>
  <c r="I36502" i="5"/>
  <c r="I36488" i="5"/>
  <c r="I36474" i="5"/>
  <c r="I36463" i="5"/>
  <c r="I36449" i="5"/>
  <c r="I36438" i="5"/>
  <c r="I36426" i="5"/>
  <c r="I36416" i="5"/>
  <c r="I36406" i="5"/>
  <c r="I36397" i="5"/>
  <c r="I36387" i="5"/>
  <c r="I36378" i="5"/>
  <c r="I36370" i="5"/>
  <c r="I36362" i="5"/>
  <c r="I36354" i="5"/>
  <c r="I36346" i="5"/>
  <c r="I36338" i="5"/>
  <c r="I36330" i="5"/>
  <c r="I36322" i="5"/>
  <c r="I36314" i="5"/>
  <c r="I36306" i="5"/>
  <c r="I36298" i="5"/>
  <c r="I36290" i="5"/>
  <c r="I36282" i="5"/>
  <c r="I36274" i="5"/>
  <c r="I36266" i="5"/>
  <c r="I36258" i="5"/>
  <c r="I36250" i="5"/>
  <c r="I36242" i="5"/>
  <c r="I36234" i="5"/>
  <c r="I36226" i="5"/>
  <c r="I36218" i="5"/>
  <c r="I36210" i="5"/>
  <c r="I36202" i="5"/>
  <c r="I36194" i="5"/>
  <c r="I36186" i="5"/>
  <c r="I36178" i="5"/>
  <c r="I36170" i="5"/>
  <c r="I36162" i="5"/>
  <c r="I36154" i="5"/>
  <c r="I36146" i="5"/>
  <c r="I36138" i="5"/>
  <c r="I36130" i="5"/>
  <c r="I36122" i="5"/>
  <c r="I36114" i="5"/>
  <c r="I36106" i="5"/>
  <c r="I36098" i="5"/>
  <c r="I36090" i="5"/>
  <c r="I36082" i="5"/>
  <c r="I36074" i="5"/>
  <c r="I36066" i="5"/>
  <c r="I36058" i="5"/>
  <c r="I36050" i="5"/>
  <c r="I36042" i="5"/>
  <c r="I36034" i="5"/>
  <c r="I36026" i="5"/>
  <c r="I36018" i="5"/>
  <c r="I36010" i="5"/>
  <c r="I36002" i="5"/>
  <c r="I35994" i="5"/>
  <c r="I35986" i="5"/>
  <c r="I35978" i="5"/>
  <c r="I35970" i="5"/>
  <c r="I35962" i="5"/>
  <c r="I35954" i="5"/>
  <c r="I35946" i="5"/>
  <c r="I35938" i="5"/>
  <c r="I35930" i="5"/>
  <c r="I35922" i="5"/>
  <c r="I35914" i="5"/>
  <c r="I35906" i="5"/>
  <c r="I35898" i="5"/>
  <c r="I35890" i="5"/>
  <c r="I35882" i="5"/>
  <c r="I35874" i="5"/>
  <c r="I35866" i="5"/>
  <c r="I35858" i="5"/>
  <c r="I35850" i="5"/>
  <c r="I35842" i="5"/>
  <c r="I35834" i="5"/>
  <c r="I35826" i="5"/>
  <c r="I35818" i="5"/>
  <c r="I35810" i="5"/>
  <c r="I35802" i="5"/>
  <c r="I35794" i="5"/>
  <c r="I35786" i="5"/>
  <c r="I35778" i="5"/>
  <c r="I35770" i="5"/>
  <c r="I35762" i="5"/>
  <c r="I35754" i="5"/>
  <c r="I35746" i="5"/>
  <c r="I35738" i="5"/>
  <c r="I35730" i="5"/>
  <c r="I35722" i="5"/>
  <c r="I35714" i="5"/>
  <c r="I35706" i="5"/>
  <c r="I35698" i="5"/>
  <c r="I35690" i="5"/>
  <c r="I35682" i="5"/>
  <c r="I35674" i="5"/>
  <c r="I35666" i="5"/>
  <c r="I35658" i="5"/>
  <c r="I35650" i="5"/>
  <c r="I35642" i="5"/>
  <c r="I35634" i="5"/>
  <c r="I35626" i="5"/>
  <c r="I39765" i="5"/>
  <c r="I38673" i="5"/>
  <c r="I38294" i="5"/>
  <c r="I37978" i="5"/>
  <c r="I37733" i="5"/>
  <c r="I37573" i="5"/>
  <c r="I37402" i="5"/>
  <c r="I37294" i="5"/>
  <c r="I37230" i="5"/>
  <c r="I37169" i="5"/>
  <c r="I37110" i="5"/>
  <c r="I37057" i="5"/>
  <c r="I36999" i="5"/>
  <c r="I36937" i="5"/>
  <c r="I36887" i="5"/>
  <c r="I36831" i="5"/>
  <c r="I36784" i="5"/>
  <c r="I36745" i="5"/>
  <c r="I36703" i="5"/>
  <c r="I36657" i="5"/>
  <c r="I36626" i="5"/>
  <c r="I36592" i="5"/>
  <c r="I36554" i="5"/>
  <c r="I36526" i="5"/>
  <c r="I36489" i="5"/>
  <c r="I36454" i="5"/>
  <c r="I36425" i="5"/>
  <c r="I36398" i="5"/>
  <c r="I36372" i="5"/>
  <c r="I36353" i="5"/>
  <c r="I36331" i="5"/>
  <c r="I36308" i="5"/>
  <c r="I36289" i="5"/>
  <c r="I36267" i="5"/>
  <c r="I36244" i="5"/>
  <c r="I36225" i="5"/>
  <c r="I36203" i="5"/>
  <c r="I36180" i="5"/>
  <c r="I36161" i="5"/>
  <c r="I36139" i="5"/>
  <c r="I36116" i="5"/>
  <c r="I36097" i="5"/>
  <c r="I36075" i="5"/>
  <c r="I36052" i="5"/>
  <c r="I36033" i="5"/>
  <c r="I36011" i="5"/>
  <c r="I35988" i="5"/>
  <c r="I35969" i="5"/>
  <c r="I35947" i="5"/>
  <c r="I35924" i="5"/>
  <c r="I35905" i="5"/>
  <c r="I35883" i="5"/>
  <c r="I35864" i="5"/>
  <c r="I35848" i="5"/>
  <c r="I35835" i="5"/>
  <c r="I35822" i="5"/>
  <c r="I35809" i="5"/>
  <c r="I35796" i="5"/>
  <c r="I35784" i="5"/>
  <c r="I35771" i="5"/>
  <c r="I35758" i="5"/>
  <c r="I35745" i="5"/>
  <c r="I35732" i="5"/>
  <c r="I35720" i="5"/>
  <c r="I35707" i="5"/>
  <c r="I35694" i="5"/>
  <c r="I35681" i="5"/>
  <c r="I35668" i="5"/>
  <c r="I35656" i="5"/>
  <c r="I35643" i="5"/>
  <c r="I35630" i="5"/>
  <c r="I35618" i="5"/>
  <c r="I35608" i="5"/>
  <c r="I35598" i="5"/>
  <c r="I35588" i="5"/>
  <c r="I35580" i="5"/>
  <c r="I35572" i="5"/>
  <c r="I35564" i="5"/>
  <c r="I35556" i="5"/>
  <c r="I35548" i="5"/>
  <c r="I35540" i="5"/>
  <c r="I35532" i="5"/>
  <c r="I35524" i="5"/>
  <c r="I35516" i="5"/>
  <c r="I35508" i="5"/>
  <c r="I35500" i="5"/>
  <c r="I35492" i="5"/>
  <c r="I35484" i="5"/>
  <c r="I35476" i="5"/>
  <c r="I35468" i="5"/>
  <c r="I35460" i="5"/>
  <c r="I35452" i="5"/>
  <c r="I35444" i="5"/>
  <c r="I35436" i="5"/>
  <c r="I35428" i="5"/>
  <c r="I35420" i="5"/>
  <c r="I35412" i="5"/>
  <c r="I35404" i="5"/>
  <c r="I35396" i="5"/>
  <c r="I35388" i="5"/>
  <c r="I35380" i="5"/>
  <c r="I35372" i="5"/>
  <c r="I35364" i="5"/>
  <c r="I35356" i="5"/>
  <c r="I35348" i="5"/>
  <c r="I35340" i="5"/>
  <c r="I35332" i="5"/>
  <c r="I35324" i="5"/>
  <c r="I35316" i="5"/>
  <c r="I35308" i="5"/>
  <c r="I35300" i="5"/>
  <c r="I35292" i="5"/>
  <c r="I35284" i="5"/>
  <c r="I35276" i="5"/>
  <c r="I35268" i="5"/>
  <c r="I35260" i="5"/>
  <c r="I35252" i="5"/>
  <c r="I35244" i="5"/>
  <c r="I35236" i="5"/>
  <c r="I35228" i="5"/>
  <c r="I35220" i="5"/>
  <c r="I35212" i="5"/>
  <c r="I35204" i="5"/>
  <c r="I35196" i="5"/>
  <c r="I35188" i="5"/>
  <c r="I35180" i="5"/>
  <c r="I35172" i="5"/>
  <c r="I35164" i="5"/>
  <c r="I35156" i="5"/>
  <c r="I35148" i="5"/>
  <c r="I35140" i="5"/>
  <c r="I35132" i="5"/>
  <c r="I35124" i="5"/>
  <c r="I35116" i="5"/>
  <c r="I35108" i="5"/>
  <c r="I35100" i="5"/>
  <c r="I35092" i="5"/>
  <c r="I35084" i="5"/>
  <c r="I35076" i="5"/>
  <c r="I35068" i="5"/>
  <c r="I35060" i="5"/>
  <c r="I35052" i="5"/>
  <c r="I35044" i="5"/>
  <c r="I35036" i="5"/>
  <c r="I35028" i="5"/>
  <c r="I35020" i="5"/>
  <c r="I35012" i="5"/>
  <c r="I35004" i="5"/>
  <c r="I34996" i="5"/>
  <c r="I34988" i="5"/>
  <c r="I34980" i="5"/>
  <c r="I34972" i="5"/>
  <c r="I34964" i="5"/>
  <c r="I34956" i="5"/>
  <c r="I34948" i="5"/>
  <c r="I34940" i="5"/>
  <c r="I34932" i="5"/>
  <c r="I34924" i="5"/>
  <c r="I34916" i="5"/>
  <c r="I34908" i="5"/>
  <c r="I34900" i="5"/>
  <c r="I34892" i="5"/>
  <c r="I34884" i="5"/>
  <c r="I34876" i="5"/>
  <c r="I34868" i="5"/>
  <c r="I34860" i="5"/>
  <c r="I34852" i="5"/>
  <c r="I34844" i="5"/>
  <c r="I34836" i="5"/>
  <c r="I34828" i="5"/>
  <c r="I34820" i="5"/>
  <c r="I34812" i="5"/>
  <c r="I34804" i="5"/>
  <c r="I34796" i="5"/>
  <c r="I34788" i="5"/>
  <c r="I34780" i="5"/>
  <c r="I34772" i="5"/>
  <c r="I34764" i="5"/>
  <c r="I34756" i="5"/>
  <c r="I34748" i="5"/>
  <c r="I34740" i="5"/>
  <c r="I34732" i="5"/>
  <c r="I34724" i="5"/>
  <c r="I34716" i="5"/>
  <c r="I34708" i="5"/>
  <c r="I34700" i="5"/>
  <c r="I34692" i="5"/>
  <c r="I34684" i="5"/>
  <c r="I34676" i="5"/>
  <c r="I34668" i="5"/>
  <c r="I34660" i="5"/>
  <c r="I34652" i="5"/>
  <c r="I34644" i="5"/>
  <c r="I34636" i="5"/>
  <c r="I34628" i="5"/>
  <c r="I34620" i="5"/>
  <c r="I34612" i="5"/>
  <c r="I34604" i="5"/>
  <c r="I34596" i="5"/>
  <c r="I34588" i="5"/>
  <c r="I34580" i="5"/>
  <c r="I34572" i="5"/>
  <c r="I34564" i="5"/>
  <c r="I34556" i="5"/>
  <c r="I34548" i="5"/>
  <c r="I34540" i="5"/>
  <c r="I34532" i="5"/>
  <c r="I34524" i="5"/>
  <c r="I34516" i="5"/>
  <c r="I34508" i="5"/>
  <c r="I34500" i="5"/>
  <c r="I34492" i="5"/>
  <c r="I34484" i="5"/>
  <c r="I34476" i="5"/>
  <c r="I34468" i="5"/>
  <c r="I34460" i="5"/>
  <c r="I34452" i="5"/>
  <c r="I34444" i="5"/>
  <c r="I34436" i="5"/>
  <c r="I34428" i="5"/>
  <c r="I34420" i="5"/>
  <c r="I34412" i="5"/>
  <c r="I34404" i="5"/>
  <c r="I34396" i="5"/>
  <c r="I34388" i="5"/>
  <c r="I34380" i="5"/>
  <c r="I34372" i="5"/>
  <c r="I34364" i="5"/>
  <c r="I34356" i="5"/>
  <c r="I34348" i="5"/>
  <c r="I34340" i="5"/>
  <c r="I34332" i="5"/>
  <c r="I34324" i="5"/>
  <c r="I34316" i="5"/>
  <c r="I34308" i="5"/>
  <c r="I34300" i="5"/>
  <c r="I34292" i="5"/>
  <c r="I34284" i="5"/>
  <c r="I34276" i="5"/>
  <c r="I34268" i="5"/>
  <c r="I34260" i="5"/>
  <c r="I34252" i="5"/>
  <c r="I34244" i="5"/>
  <c r="I34236" i="5"/>
  <c r="I34228" i="5"/>
  <c r="I34220" i="5"/>
  <c r="I34212" i="5"/>
  <c r="I34204" i="5"/>
  <c r="I34196" i="5"/>
  <c r="I34188" i="5"/>
  <c r="I34180" i="5"/>
  <c r="I34172" i="5"/>
  <c r="I34164" i="5"/>
  <c r="I34156" i="5"/>
  <c r="I34148" i="5"/>
  <c r="I34140" i="5"/>
  <c r="I34132" i="5"/>
  <c r="I34124" i="5"/>
  <c r="I34116" i="5"/>
  <c r="I34108" i="5"/>
  <c r="I34100" i="5"/>
  <c r="I34092" i="5"/>
  <c r="I34084" i="5"/>
  <c r="I34076" i="5"/>
  <c r="I39566" i="5"/>
  <c r="I38635" i="5"/>
  <c r="I38215" i="5"/>
  <c r="I37955" i="5"/>
  <c r="I37722" i="5"/>
  <c r="I37538" i="5"/>
  <c r="I37388" i="5"/>
  <c r="I37289" i="5"/>
  <c r="I37215" i="5"/>
  <c r="I37166" i="5"/>
  <c r="I37105" i="5"/>
  <c r="I37046" i="5"/>
  <c r="I36993" i="5"/>
  <c r="I36935" i="5"/>
  <c r="I36873" i="5"/>
  <c r="I36825" i="5"/>
  <c r="I36783" i="5"/>
  <c r="I36736" i="5"/>
  <c r="I36697" i="5"/>
  <c r="I36656" i="5"/>
  <c r="I36618" i="5"/>
  <c r="I36590" i="5"/>
  <c r="I36553" i="5"/>
  <c r="I36518" i="5"/>
  <c r="I36487" i="5"/>
  <c r="I36450" i="5"/>
  <c r="I36418" i="5"/>
  <c r="I36395" i="5"/>
  <c r="I36371" i="5"/>
  <c r="I36348" i="5"/>
  <c r="I36329" i="5"/>
  <c r="I36307" i="5"/>
  <c r="I36284" i="5"/>
  <c r="I36265" i="5"/>
  <c r="I36243" i="5"/>
  <c r="I36220" i="5"/>
  <c r="I36201" i="5"/>
  <c r="I36179" i="5"/>
  <c r="I36156" i="5"/>
  <c r="I36137" i="5"/>
  <c r="I36115" i="5"/>
  <c r="I36092" i="5"/>
  <c r="I36073" i="5"/>
  <c r="I36051" i="5"/>
  <c r="I36028" i="5"/>
  <c r="I36009" i="5"/>
  <c r="I35987" i="5"/>
  <c r="I35964" i="5"/>
  <c r="I35945" i="5"/>
  <c r="I35923" i="5"/>
  <c r="I35900" i="5"/>
  <c r="I35881" i="5"/>
  <c r="I35860" i="5"/>
  <c r="I35846" i="5"/>
  <c r="I35833" i="5"/>
  <c r="I35820" i="5"/>
  <c r="I35808" i="5"/>
  <c r="I35795" i="5"/>
  <c r="I35782" i="5"/>
  <c r="I35769" i="5"/>
  <c r="I35756" i="5"/>
  <c r="I35744" i="5"/>
  <c r="I35731" i="5"/>
  <c r="I35718" i="5"/>
  <c r="I35705" i="5"/>
  <c r="I35692" i="5"/>
  <c r="I35680" i="5"/>
  <c r="I35667" i="5"/>
  <c r="I35654" i="5"/>
  <c r="I35641" i="5"/>
  <c r="I35628" i="5"/>
  <c r="I35617" i="5"/>
  <c r="I35606" i="5"/>
  <c r="I35596" i="5"/>
  <c r="I35587" i="5"/>
  <c r="I35579" i="5"/>
  <c r="I35571" i="5"/>
  <c r="I35563" i="5"/>
  <c r="I35555" i="5"/>
  <c r="I35547" i="5"/>
  <c r="I35539" i="5"/>
  <c r="I35531" i="5"/>
  <c r="I35523" i="5"/>
  <c r="I35515" i="5"/>
  <c r="I35507" i="5"/>
  <c r="I35499" i="5"/>
  <c r="I35491" i="5"/>
  <c r="I35483" i="5"/>
  <c r="I35475" i="5"/>
  <c r="I35467" i="5"/>
  <c r="I35459" i="5"/>
  <c r="I35451" i="5"/>
  <c r="I35443" i="5"/>
  <c r="I35435" i="5"/>
  <c r="I35427" i="5"/>
  <c r="I35419" i="5"/>
  <c r="I35411" i="5"/>
  <c r="I35403" i="5"/>
  <c r="I35395" i="5"/>
  <c r="I35387" i="5"/>
  <c r="I35379" i="5"/>
  <c r="I35371" i="5"/>
  <c r="I35363" i="5"/>
  <c r="I35355" i="5"/>
  <c r="I35347" i="5"/>
  <c r="I35339" i="5"/>
  <c r="I35331" i="5"/>
  <c r="I35323" i="5"/>
  <c r="I35315" i="5"/>
  <c r="I35307" i="5"/>
  <c r="I35299" i="5"/>
  <c r="I35291" i="5"/>
  <c r="I35283" i="5"/>
  <c r="I35275" i="5"/>
  <c r="I35267" i="5"/>
  <c r="I35259" i="5"/>
  <c r="I35251" i="5"/>
  <c r="I35243" i="5"/>
  <c r="I35235" i="5"/>
  <c r="I35227" i="5"/>
  <c r="I35219" i="5"/>
  <c r="I35211" i="5"/>
  <c r="I35203" i="5"/>
  <c r="I35195" i="5"/>
  <c r="I35187" i="5"/>
  <c r="I35179" i="5"/>
  <c r="I35171" i="5"/>
  <c r="I35163" i="5"/>
  <c r="I35155" i="5"/>
  <c r="I35147" i="5"/>
  <c r="I35139" i="5"/>
  <c r="I35131" i="5"/>
  <c r="I35123" i="5"/>
  <c r="I35115" i="5"/>
  <c r="I35107" i="5"/>
  <c r="I35099" i="5"/>
  <c r="I35091" i="5"/>
  <c r="I35083" i="5"/>
  <c r="I35075" i="5"/>
  <c r="I35067" i="5"/>
  <c r="I35059" i="5"/>
  <c r="I35051" i="5"/>
  <c r="I35043" i="5"/>
  <c r="I35035" i="5"/>
  <c r="I35027" i="5"/>
  <c r="I35019" i="5"/>
  <c r="I35011" i="5"/>
  <c r="I35003" i="5"/>
  <c r="I34995" i="5"/>
  <c r="I34987" i="5"/>
  <c r="I34979" i="5"/>
  <c r="I34971" i="5"/>
  <c r="I34963" i="5"/>
  <c r="I34955" i="5"/>
  <c r="I34947" i="5"/>
  <c r="I34939" i="5"/>
  <c r="I34931" i="5"/>
  <c r="I34923" i="5"/>
  <c r="I34915" i="5"/>
  <c r="I34907" i="5"/>
  <c r="I34899" i="5"/>
  <c r="I34891" i="5"/>
  <c r="I34883" i="5"/>
  <c r="I34875" i="5"/>
  <c r="I34867" i="5"/>
  <c r="I34859" i="5"/>
  <c r="I34851" i="5"/>
  <c r="I34843" i="5"/>
  <c r="I34835" i="5"/>
  <c r="I34827" i="5"/>
  <c r="I34819" i="5"/>
  <c r="I34811" i="5"/>
  <c r="I34803" i="5"/>
  <c r="I34795" i="5"/>
  <c r="I34787" i="5"/>
  <c r="I34779" i="5"/>
  <c r="I34771" i="5"/>
  <c r="I34763" i="5"/>
  <c r="I34755" i="5"/>
  <c r="I34747" i="5"/>
  <c r="I34739" i="5"/>
  <c r="I34731" i="5"/>
  <c r="I34723" i="5"/>
  <c r="I34715" i="5"/>
  <c r="I34707" i="5"/>
  <c r="I34699" i="5"/>
  <c r="I34691" i="5"/>
  <c r="I34683" i="5"/>
  <c r="I34675" i="5"/>
  <c r="I34667" i="5"/>
  <c r="I34659" i="5"/>
  <c r="I34651" i="5"/>
  <c r="I34643" i="5"/>
  <c r="I34635" i="5"/>
  <c r="I34627" i="5"/>
  <c r="I34619" i="5"/>
  <c r="I34611" i="5"/>
  <c r="I34603" i="5"/>
  <c r="I34595" i="5"/>
  <c r="I34587" i="5"/>
  <c r="I34579" i="5"/>
  <c r="I34571" i="5"/>
  <c r="I34563" i="5"/>
  <c r="I34555" i="5"/>
  <c r="I34547" i="5"/>
  <c r="I34539" i="5"/>
  <c r="I34531" i="5"/>
  <c r="I34523" i="5"/>
  <c r="I34515" i="5"/>
  <c r="I34507" i="5"/>
  <c r="I34499" i="5"/>
  <c r="I34491" i="5"/>
  <c r="I34483" i="5"/>
  <c r="I34475" i="5"/>
  <c r="I34467" i="5"/>
  <c r="I34459" i="5"/>
  <c r="I34451" i="5"/>
  <c r="I34443" i="5"/>
  <c r="I34435" i="5"/>
  <c r="I34427" i="5"/>
  <c r="I34419" i="5"/>
  <c r="I34411" i="5"/>
  <c r="I34403" i="5"/>
  <c r="I34395" i="5"/>
  <c r="I34387" i="5"/>
  <c r="I34379" i="5"/>
  <c r="I39262" i="5"/>
  <c r="I38592" i="5"/>
  <c r="I38191" i="5"/>
  <c r="I37906" i="5"/>
  <c r="I37701" i="5"/>
  <c r="I37525" i="5"/>
  <c r="I37362" i="5"/>
  <c r="I37281" i="5"/>
  <c r="I37214" i="5"/>
  <c r="I37151" i="5"/>
  <c r="I37102" i="5"/>
  <c r="I37041" i="5"/>
  <c r="I36982" i="5"/>
  <c r="I36929" i="5"/>
  <c r="I36871" i="5"/>
  <c r="I36816" i="5"/>
  <c r="I36777" i="5"/>
  <c r="I36735" i="5"/>
  <c r="I36688" i="5"/>
  <c r="I36654" i="5"/>
  <c r="I36617" i="5"/>
  <c r="I36582" i="5"/>
  <c r="I36551" i="5"/>
  <c r="I36514" i="5"/>
  <c r="I36479" i="5"/>
  <c r="I36448" i="5"/>
  <c r="I36417" i="5"/>
  <c r="I36390" i="5"/>
  <c r="I36369" i="5"/>
  <c r="I36347" i="5"/>
  <c r="I36324" i="5"/>
  <c r="I36305" i="5"/>
  <c r="I36283" i="5"/>
  <c r="I36260" i="5"/>
  <c r="I36241" i="5"/>
  <c r="I36219" i="5"/>
  <c r="I36196" i="5"/>
  <c r="I36177" i="5"/>
  <c r="I36155" i="5"/>
  <c r="I36132" i="5"/>
  <c r="I36113" i="5"/>
  <c r="I36091" i="5"/>
  <c r="I36068" i="5"/>
  <c r="I36049" i="5"/>
  <c r="I36027" i="5"/>
  <c r="I36004" i="5"/>
  <c r="I35985" i="5"/>
  <c r="I35963" i="5"/>
  <c r="I35940" i="5"/>
  <c r="I35921" i="5"/>
  <c r="I35899" i="5"/>
  <c r="I35876" i="5"/>
  <c r="I35859" i="5"/>
  <c r="I35844" i="5"/>
  <c r="I35832" i="5"/>
  <c r="I35819" i="5"/>
  <c r="I35806" i="5"/>
  <c r="I35793" i="5"/>
  <c r="I35780" i="5"/>
  <c r="I35768" i="5"/>
  <c r="I35755" i="5"/>
  <c r="I35742" i="5"/>
  <c r="I35729" i="5"/>
  <c r="I35716" i="5"/>
  <c r="I35704" i="5"/>
  <c r="I35691" i="5"/>
  <c r="I35678" i="5"/>
  <c r="I35665" i="5"/>
  <c r="I35652" i="5"/>
  <c r="I35640" i="5"/>
  <c r="I35627" i="5"/>
  <c r="I35616" i="5"/>
  <c r="I35604" i="5"/>
  <c r="I35595" i="5"/>
  <c r="I35586" i="5"/>
  <c r="I35578" i="5"/>
  <c r="I35570" i="5"/>
  <c r="I35562" i="5"/>
  <c r="I35554" i="5"/>
  <c r="I35546" i="5"/>
  <c r="I35538" i="5"/>
  <c r="I35530" i="5"/>
  <c r="I35522" i="5"/>
  <c r="I35514" i="5"/>
  <c r="I35506" i="5"/>
  <c r="I35498" i="5"/>
  <c r="I35490" i="5"/>
  <c r="I35482" i="5"/>
  <c r="I35474" i="5"/>
  <c r="I35466" i="5"/>
  <c r="I35458" i="5"/>
  <c r="I35450" i="5"/>
  <c r="I35442" i="5"/>
  <c r="I35434" i="5"/>
  <c r="I35426" i="5"/>
  <c r="I35418" i="5"/>
  <c r="I35410" i="5"/>
  <c r="I35402" i="5"/>
  <c r="I35394" i="5"/>
  <c r="I35386" i="5"/>
  <c r="I35378" i="5"/>
  <c r="I35370" i="5"/>
  <c r="I35362" i="5"/>
  <c r="I35354" i="5"/>
  <c r="I35346" i="5"/>
  <c r="I35338" i="5"/>
  <c r="I35330" i="5"/>
  <c r="I35322" i="5"/>
  <c r="I35314" i="5"/>
  <c r="I35306" i="5"/>
  <c r="I35298" i="5"/>
  <c r="I35290" i="5"/>
  <c r="I35282" i="5"/>
  <c r="I35274" i="5"/>
  <c r="I35266" i="5"/>
  <c r="I35258" i="5"/>
  <c r="I35250" i="5"/>
  <c r="I35242" i="5"/>
  <c r="I35234" i="5"/>
  <c r="I35226" i="5"/>
  <c r="I35218" i="5"/>
  <c r="I35210" i="5"/>
  <c r="I35202" i="5"/>
  <c r="I35194" i="5"/>
  <c r="I35186" i="5"/>
  <c r="I35178" i="5"/>
  <c r="I35170" i="5"/>
  <c r="I35162" i="5"/>
  <c r="I35154" i="5"/>
  <c r="I35146" i="5"/>
  <c r="I35138" i="5"/>
  <c r="I35130" i="5"/>
  <c r="I35122" i="5"/>
  <c r="I35114" i="5"/>
  <c r="I35106" i="5"/>
  <c r="I35098" i="5"/>
  <c r="I35090" i="5"/>
  <c r="I35082" i="5"/>
  <c r="I35074" i="5"/>
  <c r="I35066" i="5"/>
  <c r="I35058" i="5"/>
  <c r="I35050" i="5"/>
  <c r="I35042" i="5"/>
  <c r="I35034" i="5"/>
  <c r="I35026" i="5"/>
  <c r="I35018" i="5"/>
  <c r="I35010" i="5"/>
  <c r="I35002" i="5"/>
  <c r="I34994" i="5"/>
  <c r="I34986" i="5"/>
  <c r="I34978" i="5"/>
  <c r="I34970" i="5"/>
  <c r="I34962" i="5"/>
  <c r="I34954" i="5"/>
  <c r="I34946" i="5"/>
  <c r="I34938" i="5"/>
  <c r="I34930" i="5"/>
  <c r="I34922" i="5"/>
  <c r="I34914" i="5"/>
  <c r="I34906" i="5"/>
  <c r="I34898" i="5"/>
  <c r="I34890" i="5"/>
  <c r="I34882" i="5"/>
  <c r="I34874" i="5"/>
  <c r="I34866" i="5"/>
  <c r="I34858" i="5"/>
  <c r="I34850" i="5"/>
  <c r="I34842" i="5"/>
  <c r="I34834" i="5"/>
  <c r="I34826" i="5"/>
  <c r="I34818" i="5"/>
  <c r="I34810" i="5"/>
  <c r="I34802" i="5"/>
  <c r="I34794" i="5"/>
  <c r="I34786" i="5"/>
  <c r="I34778" i="5"/>
  <c r="I34770" i="5"/>
  <c r="I34762" i="5"/>
  <c r="I34754" i="5"/>
  <c r="I34746" i="5"/>
  <c r="I34738" i="5"/>
  <c r="I34730" i="5"/>
  <c r="I34722" i="5"/>
  <c r="I34714" i="5"/>
  <c r="I34706" i="5"/>
  <c r="I34698" i="5"/>
  <c r="I34690" i="5"/>
  <c r="I34682" i="5"/>
  <c r="I34674" i="5"/>
  <c r="I34666" i="5"/>
  <c r="I34658" i="5"/>
  <c r="I34650" i="5"/>
  <c r="I34642" i="5"/>
  <c r="I34634" i="5"/>
  <c r="I34626" i="5"/>
  <c r="I34618" i="5"/>
  <c r="I34610" i="5"/>
  <c r="I34602" i="5"/>
  <c r="I34594" i="5"/>
  <c r="I34586" i="5"/>
  <c r="I34578" i="5"/>
  <c r="I34570" i="5"/>
  <c r="I34562" i="5"/>
  <c r="I34554" i="5"/>
  <c r="I34546" i="5"/>
  <c r="I34538" i="5"/>
  <c r="I34530" i="5"/>
  <c r="I34522" i="5"/>
  <c r="I34514" i="5"/>
  <c r="I34506" i="5"/>
  <c r="I34498" i="5"/>
  <c r="I34490" i="5"/>
  <c r="I34482" i="5"/>
  <c r="I34474" i="5"/>
  <c r="I34466" i="5"/>
  <c r="I34458" i="5"/>
  <c r="I34450" i="5"/>
  <c r="I34442" i="5"/>
  <c r="I34434" i="5"/>
  <c r="I34426" i="5"/>
  <c r="I34418" i="5"/>
  <c r="I34410" i="5"/>
  <c r="I34402" i="5"/>
  <c r="I34394" i="5"/>
  <c r="I34386" i="5"/>
  <c r="I34378" i="5"/>
  <c r="I34370" i="5"/>
  <c r="I34362" i="5"/>
  <c r="I34354" i="5"/>
  <c r="I34346" i="5"/>
  <c r="I34338" i="5"/>
  <c r="I34330" i="5"/>
  <c r="I34322" i="5"/>
  <c r="I34314" i="5"/>
  <c r="I34306" i="5"/>
  <c r="I34298" i="5"/>
  <c r="I34290" i="5"/>
  <c r="I34282" i="5"/>
  <c r="I34274" i="5"/>
  <c r="I34266" i="5"/>
  <c r="I34258" i="5"/>
  <c r="I34250" i="5"/>
  <c r="I34242" i="5"/>
  <c r="I34234" i="5"/>
  <c r="I34226" i="5"/>
  <c r="I34218" i="5"/>
  <c r="I34210" i="5"/>
  <c r="I34202" i="5"/>
  <c r="I34194" i="5"/>
  <c r="I34186" i="5"/>
  <c r="I34178" i="5"/>
  <c r="I34170" i="5"/>
  <c r="I34162" i="5"/>
  <c r="I34154" i="5"/>
  <c r="I34146" i="5"/>
  <c r="I34138" i="5"/>
  <c r="I34130" i="5"/>
  <c r="I34122" i="5"/>
  <c r="I34114" i="5"/>
  <c r="I34106" i="5"/>
  <c r="I34098" i="5"/>
  <c r="I34090" i="5"/>
  <c r="I34082" i="5"/>
  <c r="I34074" i="5"/>
  <c r="I34066" i="5"/>
  <c r="I34058" i="5"/>
  <c r="I34050" i="5"/>
  <c r="I34042" i="5"/>
  <c r="I39201" i="5"/>
  <c r="I38500" i="5"/>
  <c r="I38157" i="5"/>
  <c r="I37891" i="5"/>
  <c r="I37666" i="5"/>
  <c r="I37509" i="5"/>
  <c r="I37356" i="5"/>
  <c r="I37262" i="5"/>
  <c r="I37207" i="5"/>
  <c r="I37150" i="5"/>
  <c r="I37087" i="5"/>
  <c r="I37038" i="5"/>
  <c r="I36977" i="5"/>
  <c r="I36918" i="5"/>
  <c r="I36865" i="5"/>
  <c r="I36815" i="5"/>
  <c r="I36768" i="5"/>
  <c r="I36729" i="5"/>
  <c r="I36687" i="5"/>
  <c r="I36646" i="5"/>
  <c r="I36615" i="5"/>
  <c r="I36578" i="5"/>
  <c r="I36543" i="5"/>
  <c r="I36512" i="5"/>
  <c r="I36478" i="5"/>
  <c r="I36440" i="5"/>
  <c r="I36415" i="5"/>
  <c r="I36389" i="5"/>
  <c r="I36364" i="5"/>
  <c r="I36345" i="5"/>
  <c r="I36323" i="5"/>
  <c r="I36300" i="5"/>
  <c r="I36281" i="5"/>
  <c r="I36259" i="5"/>
  <c r="I36236" i="5"/>
  <c r="I36217" i="5"/>
  <c r="I36195" i="5"/>
  <c r="I36172" i="5"/>
  <c r="I36153" i="5"/>
  <c r="I36131" i="5"/>
  <c r="I36108" i="5"/>
  <c r="I36089" i="5"/>
  <c r="I36067" i="5"/>
  <c r="I36044" i="5"/>
  <c r="I36025" i="5"/>
  <c r="I36003" i="5"/>
  <c r="I35980" i="5"/>
  <c r="I35961" i="5"/>
  <c r="I35939" i="5"/>
  <c r="I35916" i="5"/>
  <c r="I35897" i="5"/>
  <c r="I35875" i="5"/>
  <c r="I35857" i="5"/>
  <c r="I35843" i="5"/>
  <c r="I35830" i="5"/>
  <c r="I35817" i="5"/>
  <c r="I35804" i="5"/>
  <c r="I35792" i="5"/>
  <c r="I35779" i="5"/>
  <c r="I35766" i="5"/>
  <c r="I35753" i="5"/>
  <c r="I35740" i="5"/>
  <c r="I35728" i="5"/>
  <c r="I35715" i="5"/>
  <c r="I35702" i="5"/>
  <c r="I35689" i="5"/>
  <c r="I35676" i="5"/>
  <c r="I35664" i="5"/>
  <c r="I35651" i="5"/>
  <c r="I35638" i="5"/>
  <c r="I35625" i="5"/>
  <c r="I35614" i="5"/>
  <c r="I35603" i="5"/>
  <c r="I35594" i="5"/>
  <c r="I35585" i="5"/>
  <c r="I35577" i="5"/>
  <c r="I35569" i="5"/>
  <c r="I35561" i="5"/>
  <c r="I35553" i="5"/>
  <c r="I35545" i="5"/>
  <c r="I35537" i="5"/>
  <c r="I35529" i="5"/>
  <c r="I35521" i="5"/>
  <c r="I35513" i="5"/>
  <c r="I35505" i="5"/>
  <c r="I35497" i="5"/>
  <c r="I35489" i="5"/>
  <c r="I35481" i="5"/>
  <c r="I35473" i="5"/>
  <c r="I35465" i="5"/>
  <c r="I35457" i="5"/>
  <c r="I35449" i="5"/>
  <c r="I35441" i="5"/>
  <c r="I35433" i="5"/>
  <c r="I35425" i="5"/>
  <c r="I35417" i="5"/>
  <c r="I35409" i="5"/>
  <c r="I35401" i="5"/>
  <c r="I35393" i="5"/>
  <c r="I35385" i="5"/>
  <c r="I35377" i="5"/>
  <c r="I35369" i="5"/>
  <c r="I35361" i="5"/>
  <c r="I35353" i="5"/>
  <c r="I35345" i="5"/>
  <c r="I35337" i="5"/>
  <c r="I35329" i="5"/>
  <c r="I35321" i="5"/>
  <c r="I35313" i="5"/>
  <c r="I35305" i="5"/>
  <c r="I35297" i="5"/>
  <c r="I35289" i="5"/>
  <c r="I35281" i="5"/>
  <c r="I35273" i="5"/>
  <c r="I35265" i="5"/>
  <c r="I35257" i="5"/>
  <c r="I35249" i="5"/>
  <c r="I35241" i="5"/>
  <c r="I35233" i="5"/>
  <c r="I35225" i="5"/>
  <c r="I35217" i="5"/>
  <c r="I35209" i="5"/>
  <c r="I35201" i="5"/>
  <c r="I35193" i="5"/>
  <c r="I35185" i="5"/>
  <c r="I35177" i="5"/>
  <c r="I35169" i="5"/>
  <c r="I35161" i="5"/>
  <c r="I35153" i="5"/>
  <c r="I35145" i="5"/>
  <c r="I35137" i="5"/>
  <c r="I35129" i="5"/>
  <c r="I35121" i="5"/>
  <c r="I35113" i="5"/>
  <c r="I35105" i="5"/>
  <c r="I35097" i="5"/>
  <c r="I35089" i="5"/>
  <c r="I35081" i="5"/>
  <c r="I35073" i="5"/>
  <c r="I35065" i="5"/>
  <c r="I35057" i="5"/>
  <c r="I35049" i="5"/>
  <c r="I35041" i="5"/>
  <c r="I35033" i="5"/>
  <c r="I35025" i="5"/>
  <c r="I35017" i="5"/>
  <c r="I35009" i="5"/>
  <c r="I35001" i="5"/>
  <c r="I34993" i="5"/>
  <c r="I34985" i="5"/>
  <c r="I34977" i="5"/>
  <c r="I34969" i="5"/>
  <c r="I34961" i="5"/>
  <c r="I34953" i="5"/>
  <c r="I34945" i="5"/>
  <c r="I34937" i="5"/>
  <c r="I34929" i="5"/>
  <c r="I34921" i="5"/>
  <c r="I34913" i="5"/>
  <c r="I34905" i="5"/>
  <c r="I34897" i="5"/>
  <c r="I34889" i="5"/>
  <c r="I34881" i="5"/>
  <c r="I34873" i="5"/>
  <c r="I34865" i="5"/>
  <c r="I34857" i="5"/>
  <c r="I34849" i="5"/>
  <c r="I34841" i="5"/>
  <c r="I34833" i="5"/>
  <c r="I34825" i="5"/>
  <c r="I34817" i="5"/>
  <c r="I34809" i="5"/>
  <c r="I34801" i="5"/>
  <c r="I34793" i="5"/>
  <c r="I34785" i="5"/>
  <c r="I34777" i="5"/>
  <c r="I34769" i="5"/>
  <c r="I34761" i="5"/>
  <c r="I34753" i="5"/>
  <c r="I34745" i="5"/>
  <c r="I34737" i="5"/>
  <c r="I34729" i="5"/>
  <c r="I34721" i="5"/>
  <c r="I34713" i="5"/>
  <c r="I34705" i="5"/>
  <c r="I34697" i="5"/>
  <c r="I34689" i="5"/>
  <c r="I34681" i="5"/>
  <c r="I34673" i="5"/>
  <c r="I34665" i="5"/>
  <c r="I34657" i="5"/>
  <c r="I34649" i="5"/>
  <c r="I34641" i="5"/>
  <c r="I34633" i="5"/>
  <c r="I34625" i="5"/>
  <c r="I34617" i="5"/>
  <c r="I34609" i="5"/>
  <c r="I34601" i="5"/>
  <c r="I34593" i="5"/>
  <c r="I34585" i="5"/>
  <c r="I34577" i="5"/>
  <c r="I34569" i="5"/>
  <c r="I34561" i="5"/>
  <c r="I34553" i="5"/>
  <c r="I34545" i="5"/>
  <c r="I34537" i="5"/>
  <c r="I34529" i="5"/>
  <c r="I34521" i="5"/>
  <c r="I34513" i="5"/>
  <c r="I34505" i="5"/>
  <c r="I34497" i="5"/>
  <c r="I34489" i="5"/>
  <c r="I34481" i="5"/>
  <c r="I34473" i="5"/>
  <c r="I34465" i="5"/>
  <c r="I34457" i="5"/>
  <c r="I34449" i="5"/>
  <c r="I34441" i="5"/>
  <c r="I34433" i="5"/>
  <c r="I34425" i="5"/>
  <c r="I34417" i="5"/>
  <c r="I34409" i="5"/>
  <c r="I34401" i="5"/>
  <c r="I34393" i="5"/>
  <c r="I34385" i="5"/>
  <c r="I34377" i="5"/>
  <c r="I34369" i="5"/>
  <c r="I34361" i="5"/>
  <c r="I34353" i="5"/>
  <c r="I34345" i="5"/>
  <c r="I34337" i="5"/>
  <c r="I34329" i="5"/>
  <c r="I34321" i="5"/>
  <c r="I34313" i="5"/>
  <c r="I34305" i="5"/>
  <c r="I34297" i="5"/>
  <c r="I34289" i="5"/>
  <c r="I34281" i="5"/>
  <c r="I34273" i="5"/>
  <c r="I34265" i="5"/>
  <c r="I34257" i="5"/>
  <c r="I34249" i="5"/>
  <c r="I34241" i="5"/>
  <c r="I34233" i="5"/>
  <c r="I34225" i="5"/>
  <c r="I34217" i="5"/>
  <c r="I34209" i="5"/>
  <c r="I34201" i="5"/>
  <c r="I34193" i="5"/>
  <c r="I34185" i="5"/>
  <c r="I34177" i="5"/>
  <c r="I34169" i="5"/>
  <c r="I34161" i="5"/>
  <c r="I34153" i="5"/>
  <c r="I34145" i="5"/>
  <c r="I34137" i="5"/>
  <c r="I34129" i="5"/>
  <c r="I34121" i="5"/>
  <c r="I34113" i="5"/>
  <c r="I34105" i="5"/>
  <c r="I38939" i="5"/>
  <c r="I38442" i="5"/>
  <c r="I38068" i="5"/>
  <c r="I37819" i="5"/>
  <c r="I37637" i="5"/>
  <c r="I37461" i="5"/>
  <c r="I37326" i="5"/>
  <c r="I37249" i="5"/>
  <c r="I37191" i="5"/>
  <c r="I37129" i="5"/>
  <c r="I37079" i="5"/>
  <c r="I37022" i="5"/>
  <c r="I36959" i="5"/>
  <c r="I36910" i="5"/>
  <c r="I36849" i="5"/>
  <c r="I36800" i="5"/>
  <c r="I36761" i="5"/>
  <c r="I36719" i="5"/>
  <c r="I36672" i="5"/>
  <c r="I36640" i="5"/>
  <c r="I36606" i="5"/>
  <c r="I36568" i="5"/>
  <c r="I36537" i="5"/>
  <c r="I36503" i="5"/>
  <c r="I36465" i="5"/>
  <c r="I36435" i="5"/>
  <c r="I36407" i="5"/>
  <c r="I36381" i="5"/>
  <c r="I36361" i="5"/>
  <c r="I36339" i="5"/>
  <c r="I36316" i="5"/>
  <c r="I36297" i="5"/>
  <c r="I36275" i="5"/>
  <c r="I36252" i="5"/>
  <c r="I36233" i="5"/>
  <c r="I36211" i="5"/>
  <c r="I36188" i="5"/>
  <c r="I36169" i="5"/>
  <c r="I36147" i="5"/>
  <c r="I36124" i="5"/>
  <c r="I36105" i="5"/>
  <c r="I36083" i="5"/>
  <c r="I36060" i="5"/>
  <c r="I36041" i="5"/>
  <c r="I36019" i="5"/>
  <c r="I35996" i="5"/>
  <c r="I35977" i="5"/>
  <c r="I35955" i="5"/>
  <c r="I35932" i="5"/>
  <c r="I35913" i="5"/>
  <c r="I35891" i="5"/>
  <c r="I35868" i="5"/>
  <c r="I35852" i="5"/>
  <c r="I35840" i="5"/>
  <c r="I35827" i="5"/>
  <c r="I35814" i="5"/>
  <c r="I35801" i="5"/>
  <c r="I35788" i="5"/>
  <c r="I35776" i="5"/>
  <c r="I35763" i="5"/>
  <c r="I35750" i="5"/>
  <c r="I35737" i="5"/>
  <c r="I35724" i="5"/>
  <c r="I35712" i="5"/>
  <c r="I35699" i="5"/>
  <c r="I35686" i="5"/>
  <c r="I35673" i="5"/>
  <c r="I35660" i="5"/>
  <c r="I35648" i="5"/>
  <c r="I35635" i="5"/>
  <c r="I35622" i="5"/>
  <c r="I35611" i="5"/>
  <c r="I35601" i="5"/>
  <c r="I35592" i="5"/>
  <c r="I35583" i="5"/>
  <c r="I35575" i="5"/>
  <c r="I35567" i="5"/>
  <c r="I35559" i="5"/>
  <c r="I35551" i="5"/>
  <c r="I35543" i="5"/>
  <c r="I35535" i="5"/>
  <c r="I35527" i="5"/>
  <c r="I35519" i="5"/>
  <c r="I35511" i="5"/>
  <c r="I35503" i="5"/>
  <c r="I35495" i="5"/>
  <c r="I35487" i="5"/>
  <c r="I35479" i="5"/>
  <c r="I35471" i="5"/>
  <c r="I35463" i="5"/>
  <c r="I35455" i="5"/>
  <c r="I35447" i="5"/>
  <c r="I35439" i="5"/>
  <c r="I35431" i="5"/>
  <c r="I35423" i="5"/>
  <c r="I35415" i="5"/>
  <c r="I35407" i="5"/>
  <c r="I35399" i="5"/>
  <c r="I35391" i="5"/>
  <c r="I35383" i="5"/>
  <c r="I35375" i="5"/>
  <c r="I35367" i="5"/>
  <c r="I35359" i="5"/>
  <c r="I35351" i="5"/>
  <c r="I35343" i="5"/>
  <c r="I35335" i="5"/>
  <c r="I35327" i="5"/>
  <c r="I35319" i="5"/>
  <c r="I35311" i="5"/>
  <c r="I35303" i="5"/>
  <c r="I35295" i="5"/>
  <c r="I35287" i="5"/>
  <c r="I35279" i="5"/>
  <c r="I35271" i="5"/>
  <c r="I35263" i="5"/>
  <c r="I35255" i="5"/>
  <c r="I35247" i="5"/>
  <c r="I35239" i="5"/>
  <c r="I35231" i="5"/>
  <c r="I35223" i="5"/>
  <c r="I35215" i="5"/>
  <c r="I35207" i="5"/>
  <c r="I35199" i="5"/>
  <c r="I35191" i="5"/>
  <c r="I35183" i="5"/>
  <c r="I35175" i="5"/>
  <c r="I35167" i="5"/>
  <c r="I35159" i="5"/>
  <c r="I35151" i="5"/>
  <c r="I35143" i="5"/>
  <c r="I35135" i="5"/>
  <c r="I35127" i="5"/>
  <c r="I35119" i="5"/>
  <c r="I35111" i="5"/>
  <c r="I35103" i="5"/>
  <c r="I35095" i="5"/>
  <c r="I35087" i="5"/>
  <c r="I35079" i="5"/>
  <c r="I35071" i="5"/>
  <c r="I35063" i="5"/>
  <c r="I35055" i="5"/>
  <c r="I35047" i="5"/>
  <c r="I35039" i="5"/>
  <c r="I35031" i="5"/>
  <c r="I35023" i="5"/>
  <c r="I35015" i="5"/>
  <c r="I35007" i="5"/>
  <c r="I34999" i="5"/>
  <c r="I34991" i="5"/>
  <c r="I34983" i="5"/>
  <c r="I34975" i="5"/>
  <c r="I34967" i="5"/>
  <c r="I34959" i="5"/>
  <c r="I34951" i="5"/>
  <c r="I34943" i="5"/>
  <c r="I34935" i="5"/>
  <c r="I34927" i="5"/>
  <c r="I34919" i="5"/>
  <c r="I34911" i="5"/>
  <c r="I34903" i="5"/>
  <c r="I34895" i="5"/>
  <c r="I34887" i="5"/>
  <c r="I34879" i="5"/>
  <c r="I34871" i="5"/>
  <c r="I34863" i="5"/>
  <c r="I34855" i="5"/>
  <c r="I34847" i="5"/>
  <c r="I34839" i="5"/>
  <c r="I34831" i="5"/>
  <c r="I34823" i="5"/>
  <c r="I39136" i="5"/>
  <c r="I37989" i="5"/>
  <c r="I37445" i="5"/>
  <c r="I37193" i="5"/>
  <c r="I37063" i="5"/>
  <c r="I36895" i="5"/>
  <c r="I36767" i="5"/>
  <c r="I36665" i="5"/>
  <c r="I36567" i="5"/>
  <c r="I36473" i="5"/>
  <c r="I36399" i="5"/>
  <c r="I36337" i="5"/>
  <c r="I36276" i="5"/>
  <c r="I36227" i="5"/>
  <c r="I36164" i="5"/>
  <c r="I36107" i="5"/>
  <c r="I36057" i="5"/>
  <c r="I35995" i="5"/>
  <c r="I35937" i="5"/>
  <c r="I35884" i="5"/>
  <c r="I35838" i="5"/>
  <c r="I35803" i="5"/>
  <c r="I35772" i="5"/>
  <c r="I35736" i="5"/>
  <c r="I35700" i="5"/>
  <c r="I35670" i="5"/>
  <c r="I35633" i="5"/>
  <c r="I35602" i="5"/>
  <c r="I35581" i="5"/>
  <c r="I35558" i="5"/>
  <c r="I35536" i="5"/>
  <c r="I35517" i="5"/>
  <c r="I35494" i="5"/>
  <c r="I35472" i="5"/>
  <c r="I35453" i="5"/>
  <c r="I35430" i="5"/>
  <c r="I35408" i="5"/>
  <c r="I35389" i="5"/>
  <c r="I35366" i="5"/>
  <c r="I35344" i="5"/>
  <c r="I35325" i="5"/>
  <c r="I35302" i="5"/>
  <c r="I35280" i="5"/>
  <c r="I35261" i="5"/>
  <c r="I35238" i="5"/>
  <c r="I35216" i="5"/>
  <c r="I35197" i="5"/>
  <c r="I35174" i="5"/>
  <c r="I35152" i="5"/>
  <c r="I35133" i="5"/>
  <c r="I35110" i="5"/>
  <c r="I35088" i="5"/>
  <c r="I35069" i="5"/>
  <c r="I35046" i="5"/>
  <c r="I35024" i="5"/>
  <c r="I35005" i="5"/>
  <c r="I34982" i="5"/>
  <c r="I34960" i="5"/>
  <c r="I34941" i="5"/>
  <c r="I34918" i="5"/>
  <c r="I34896" i="5"/>
  <c r="I34877" i="5"/>
  <c r="I34854" i="5"/>
  <c r="I34832" i="5"/>
  <c r="I34814" i="5"/>
  <c r="I34798" i="5"/>
  <c r="I34782" i="5"/>
  <c r="I34766" i="5"/>
  <c r="I34750" i="5"/>
  <c r="I34734" i="5"/>
  <c r="I34718" i="5"/>
  <c r="I34702" i="5"/>
  <c r="I34686" i="5"/>
  <c r="I34670" i="5"/>
  <c r="I34654" i="5"/>
  <c r="I34638" i="5"/>
  <c r="I34622" i="5"/>
  <c r="I34606" i="5"/>
  <c r="I34590" i="5"/>
  <c r="I34574" i="5"/>
  <c r="I34558" i="5"/>
  <c r="I34542" i="5"/>
  <c r="I34526" i="5"/>
  <c r="I34510" i="5"/>
  <c r="I34494" i="5"/>
  <c r="I34478" i="5"/>
  <c r="I34462" i="5"/>
  <c r="I34446" i="5"/>
  <c r="I34430" i="5"/>
  <c r="I34414" i="5"/>
  <c r="I34398" i="5"/>
  <c r="I34382" i="5"/>
  <c r="I34367" i="5"/>
  <c r="I34355" i="5"/>
  <c r="I34342" i="5"/>
  <c r="I34328" i="5"/>
  <c r="I34317" i="5"/>
  <c r="I34303" i="5"/>
  <c r="I34291" i="5"/>
  <c r="I34278" i="5"/>
  <c r="I34264" i="5"/>
  <c r="I34253" i="5"/>
  <c r="I34239" i="5"/>
  <c r="I34227" i="5"/>
  <c r="I34214" i="5"/>
  <c r="I34200" i="5"/>
  <c r="I34189" i="5"/>
  <c r="I34175" i="5"/>
  <c r="I34163" i="5"/>
  <c r="I34150" i="5"/>
  <c r="I34136" i="5"/>
  <c r="I34125" i="5"/>
  <c r="I34111" i="5"/>
  <c r="I34099" i="5"/>
  <c r="I34088" i="5"/>
  <c r="I34078" i="5"/>
  <c r="I34068" i="5"/>
  <c r="I34059" i="5"/>
  <c r="I34049" i="5"/>
  <c r="I34040" i="5"/>
  <c r="I34032" i="5"/>
  <c r="I34024" i="5"/>
  <c r="I34016" i="5"/>
  <c r="I34008" i="5"/>
  <c r="I34000" i="5"/>
  <c r="I33992" i="5"/>
  <c r="I33984" i="5"/>
  <c r="I33976" i="5"/>
  <c r="I33968" i="5"/>
  <c r="I33960" i="5"/>
  <c r="I33952" i="5"/>
  <c r="I33944" i="5"/>
  <c r="I33936" i="5"/>
  <c r="I33928" i="5"/>
  <c r="I33920" i="5"/>
  <c r="I33912" i="5"/>
  <c r="I33904" i="5"/>
  <c r="I33896" i="5"/>
  <c r="I33888" i="5"/>
  <c r="I33880" i="5"/>
  <c r="I33872" i="5"/>
  <c r="I33864" i="5"/>
  <c r="I33856" i="5"/>
  <c r="I33848" i="5"/>
  <c r="I33840" i="5"/>
  <c r="I33832" i="5"/>
  <c r="I33824" i="5"/>
  <c r="I33816" i="5"/>
  <c r="I33808" i="5"/>
  <c r="I33800" i="5"/>
  <c r="I33792" i="5"/>
  <c r="I33784" i="5"/>
  <c r="I33776" i="5"/>
  <c r="I33768" i="5"/>
  <c r="I33760" i="5"/>
  <c r="I33752" i="5"/>
  <c r="I33744" i="5"/>
  <c r="I33736" i="5"/>
  <c r="I33728" i="5"/>
  <c r="I33720" i="5"/>
  <c r="I33712" i="5"/>
  <c r="I33704" i="5"/>
  <c r="I33696" i="5"/>
  <c r="I33688" i="5"/>
  <c r="I33680" i="5"/>
  <c r="I33672" i="5"/>
  <c r="I33664" i="5"/>
  <c r="I33656" i="5"/>
  <c r="I33648" i="5"/>
  <c r="I33640" i="5"/>
  <c r="I33632" i="5"/>
  <c r="I33624" i="5"/>
  <c r="I33616" i="5"/>
  <c r="I33608" i="5"/>
  <c r="I33600" i="5"/>
  <c r="I33592" i="5"/>
  <c r="I33584" i="5"/>
  <c r="I33576" i="5"/>
  <c r="I33568" i="5"/>
  <c r="I33560" i="5"/>
  <c r="I33552" i="5"/>
  <c r="I33544" i="5"/>
  <c r="I33536" i="5"/>
  <c r="I33528" i="5"/>
  <c r="I33520" i="5"/>
  <c r="I33512" i="5"/>
  <c r="I33504" i="5"/>
  <c r="I33496" i="5"/>
  <c r="I33488" i="5"/>
  <c r="I33480" i="5"/>
  <c r="I33472" i="5"/>
  <c r="I33464" i="5"/>
  <c r="I33456" i="5"/>
  <c r="I33448" i="5"/>
  <c r="I33440" i="5"/>
  <c r="I33432" i="5"/>
  <c r="I33424" i="5"/>
  <c r="I33416" i="5"/>
  <c r="I33408" i="5"/>
  <c r="I33400" i="5"/>
  <c r="I33392" i="5"/>
  <c r="I33384" i="5"/>
  <c r="I33376" i="5"/>
  <c r="I33368" i="5"/>
  <c r="I33360" i="5"/>
  <c r="I33352" i="5"/>
  <c r="I33344" i="5"/>
  <c r="I33336" i="5"/>
  <c r="I33328" i="5"/>
  <c r="I33320" i="5"/>
  <c r="I33312" i="5"/>
  <c r="I33304" i="5"/>
  <c r="I33296" i="5"/>
  <c r="I33288" i="5"/>
  <c r="I33280" i="5"/>
  <c r="I33272" i="5"/>
  <c r="I33264" i="5"/>
  <c r="I33256" i="5"/>
  <c r="I33248" i="5"/>
  <c r="I33240" i="5"/>
  <c r="I33232" i="5"/>
  <c r="I33224" i="5"/>
  <c r="I33216" i="5"/>
  <c r="I33208" i="5"/>
  <c r="I33200" i="5"/>
  <c r="I33192" i="5"/>
  <c r="I33184" i="5"/>
  <c r="I33176" i="5"/>
  <c r="I33168" i="5"/>
  <c r="I33160" i="5"/>
  <c r="I33152" i="5"/>
  <c r="I33144" i="5"/>
  <c r="I33136" i="5"/>
  <c r="I33128" i="5"/>
  <c r="I33120" i="5"/>
  <c r="I33112" i="5"/>
  <c r="I33104" i="5"/>
  <c r="I33096" i="5"/>
  <c r="I33088" i="5"/>
  <c r="I33080" i="5"/>
  <c r="I33072" i="5"/>
  <c r="I33064" i="5"/>
  <c r="I33056" i="5"/>
  <c r="I33048" i="5"/>
  <c r="I33040" i="5"/>
  <c r="I33032" i="5"/>
  <c r="I33024" i="5"/>
  <c r="I33016" i="5"/>
  <c r="I33008" i="5"/>
  <c r="I33000" i="5"/>
  <c r="I32992" i="5"/>
  <c r="I32984" i="5"/>
  <c r="I32976" i="5"/>
  <c r="I32968" i="5"/>
  <c r="I32960" i="5"/>
  <c r="I32952" i="5"/>
  <c r="I32944" i="5"/>
  <c r="I32936" i="5"/>
  <c r="I32928" i="5"/>
  <c r="I32920" i="5"/>
  <c r="I32912" i="5"/>
  <c r="I32904" i="5"/>
  <c r="I32896" i="5"/>
  <c r="I32888" i="5"/>
  <c r="I32880" i="5"/>
  <c r="I32872" i="5"/>
  <c r="I32864" i="5"/>
  <c r="I32856" i="5"/>
  <c r="I32848" i="5"/>
  <c r="I32840" i="5"/>
  <c r="I32832" i="5"/>
  <c r="I32824" i="5"/>
  <c r="I32816" i="5"/>
  <c r="I32808" i="5"/>
  <c r="I32800" i="5"/>
  <c r="I32792" i="5"/>
  <c r="I32784" i="5"/>
  <c r="I32776" i="5"/>
  <c r="I32768" i="5"/>
  <c r="I32760" i="5"/>
  <c r="I32752" i="5"/>
  <c r="I32744" i="5"/>
  <c r="I32736" i="5"/>
  <c r="I32728" i="5"/>
  <c r="I32720" i="5"/>
  <c r="I32712" i="5"/>
  <c r="I32704" i="5"/>
  <c r="I32696" i="5"/>
  <c r="I32688" i="5"/>
  <c r="I32680" i="5"/>
  <c r="I32672" i="5"/>
  <c r="I32664" i="5"/>
  <c r="I32656" i="5"/>
  <c r="I32648" i="5"/>
  <c r="I32640" i="5"/>
  <c r="I32632" i="5"/>
  <c r="I32624" i="5"/>
  <c r="I32616" i="5"/>
  <c r="I32608" i="5"/>
  <c r="I32600" i="5"/>
  <c r="I32592" i="5"/>
  <c r="I32584" i="5"/>
  <c r="I32576" i="5"/>
  <c r="I32568" i="5"/>
  <c r="I32560" i="5"/>
  <c r="I32552" i="5"/>
  <c r="I32544" i="5"/>
  <c r="I32536" i="5"/>
  <c r="I32528" i="5"/>
  <c r="I32520" i="5"/>
  <c r="I32512" i="5"/>
  <c r="I32504" i="5"/>
  <c r="I32496" i="5"/>
  <c r="I32488" i="5"/>
  <c r="I32480" i="5"/>
  <c r="I32472" i="5"/>
  <c r="I32464" i="5"/>
  <c r="I32456" i="5"/>
  <c r="I32448" i="5"/>
  <c r="I32440" i="5"/>
  <c r="I32432" i="5"/>
  <c r="I32424" i="5"/>
  <c r="I32416" i="5"/>
  <c r="I32408" i="5"/>
  <c r="I38904" i="5"/>
  <c r="I37869" i="5"/>
  <c r="I37410" i="5"/>
  <c r="I37185" i="5"/>
  <c r="I37023" i="5"/>
  <c r="I36894" i="5"/>
  <c r="I36752" i="5"/>
  <c r="I36642" i="5"/>
  <c r="I36562" i="5"/>
  <c r="I36464" i="5"/>
  <c r="I36386" i="5"/>
  <c r="I36332" i="5"/>
  <c r="I36273" i="5"/>
  <c r="I36212" i="5"/>
  <c r="I36163" i="5"/>
  <c r="I36100" i="5"/>
  <c r="I36043" i="5"/>
  <c r="I35993" i="5"/>
  <c r="I35931" i="5"/>
  <c r="I35873" i="5"/>
  <c r="I35836" i="5"/>
  <c r="I35800" i="5"/>
  <c r="I35764" i="5"/>
  <c r="I35734" i="5"/>
  <c r="I35697" i="5"/>
  <c r="I35662" i="5"/>
  <c r="I35632" i="5"/>
  <c r="I35600" i="5"/>
  <c r="I35576" i="5"/>
  <c r="I35557" i="5"/>
  <c r="I35534" i="5"/>
  <c r="I35512" i="5"/>
  <c r="I35493" i="5"/>
  <c r="I35470" i="5"/>
  <c r="I35448" i="5"/>
  <c r="I35429" i="5"/>
  <c r="I35406" i="5"/>
  <c r="I35384" i="5"/>
  <c r="I35365" i="5"/>
  <c r="I35342" i="5"/>
  <c r="I35320" i="5"/>
  <c r="I35301" i="5"/>
  <c r="I35278" i="5"/>
  <c r="I35256" i="5"/>
  <c r="I35237" i="5"/>
  <c r="I35214" i="5"/>
  <c r="I35192" i="5"/>
  <c r="I35173" i="5"/>
  <c r="I35150" i="5"/>
  <c r="I35128" i="5"/>
  <c r="I35109" i="5"/>
  <c r="I35086" i="5"/>
  <c r="I35064" i="5"/>
  <c r="I35045" i="5"/>
  <c r="I35022" i="5"/>
  <c r="I35000" i="5"/>
  <c r="I34981" i="5"/>
  <c r="I34958" i="5"/>
  <c r="I34936" i="5"/>
  <c r="I34917" i="5"/>
  <c r="I34894" i="5"/>
  <c r="I34872" i="5"/>
  <c r="I34853" i="5"/>
  <c r="I34830" i="5"/>
  <c r="I34813" i="5"/>
  <c r="I34797" i="5"/>
  <c r="I34781" i="5"/>
  <c r="I34765" i="5"/>
  <c r="I34749" i="5"/>
  <c r="I34733" i="5"/>
  <c r="I34717" i="5"/>
  <c r="I34701" i="5"/>
  <c r="I34685" i="5"/>
  <c r="I34669" i="5"/>
  <c r="I34653" i="5"/>
  <c r="I34637" i="5"/>
  <c r="I34621" i="5"/>
  <c r="I34605" i="5"/>
  <c r="I34589" i="5"/>
  <c r="I34573" i="5"/>
  <c r="I34557" i="5"/>
  <c r="I34541" i="5"/>
  <c r="I34525" i="5"/>
  <c r="I34509" i="5"/>
  <c r="I34493" i="5"/>
  <c r="I34477" i="5"/>
  <c r="I34461" i="5"/>
  <c r="I34445" i="5"/>
  <c r="I34429" i="5"/>
  <c r="I34413" i="5"/>
  <c r="I34397" i="5"/>
  <c r="I34381" i="5"/>
  <c r="I34366" i="5"/>
  <c r="I34352" i="5"/>
  <c r="I34341" i="5"/>
  <c r="I34327" i="5"/>
  <c r="I34315" i="5"/>
  <c r="I34302" i="5"/>
  <c r="I34288" i="5"/>
  <c r="I34277" i="5"/>
  <c r="I34263" i="5"/>
  <c r="I34251" i="5"/>
  <c r="I34238" i="5"/>
  <c r="I34224" i="5"/>
  <c r="I34213" i="5"/>
  <c r="I34199" i="5"/>
  <c r="I34187" i="5"/>
  <c r="I34174" i="5"/>
  <c r="I34160" i="5"/>
  <c r="I34149" i="5"/>
  <c r="I34135" i="5"/>
  <c r="I34123" i="5"/>
  <c r="I34110" i="5"/>
  <c r="I34097" i="5"/>
  <c r="I34087" i="5"/>
  <c r="I34077" i="5"/>
  <c r="I34067" i="5"/>
  <c r="I34057" i="5"/>
  <c r="I34048" i="5"/>
  <c r="I34039" i="5"/>
  <c r="I34031" i="5"/>
  <c r="I34023" i="5"/>
  <c r="I34015" i="5"/>
  <c r="I34007" i="5"/>
  <c r="I33999" i="5"/>
  <c r="I33991" i="5"/>
  <c r="I33983" i="5"/>
  <c r="I33975" i="5"/>
  <c r="I33967" i="5"/>
  <c r="I33959" i="5"/>
  <c r="I33951" i="5"/>
  <c r="I33943" i="5"/>
  <c r="I33935" i="5"/>
  <c r="I33927" i="5"/>
  <c r="I33919" i="5"/>
  <c r="I33911" i="5"/>
  <c r="I33903" i="5"/>
  <c r="I33895" i="5"/>
  <c r="I33887" i="5"/>
  <c r="I33879" i="5"/>
  <c r="I33871" i="5"/>
  <c r="I33863" i="5"/>
  <c r="I33855" i="5"/>
  <c r="I33847" i="5"/>
  <c r="I33839" i="5"/>
  <c r="I33831" i="5"/>
  <c r="I33823" i="5"/>
  <c r="I33815" i="5"/>
  <c r="I33807" i="5"/>
  <c r="I33799" i="5"/>
  <c r="I33791" i="5"/>
  <c r="I33783" i="5"/>
  <c r="I33775" i="5"/>
  <c r="I33767" i="5"/>
  <c r="I33759" i="5"/>
  <c r="I33751" i="5"/>
  <c r="I33743" i="5"/>
  <c r="I33735" i="5"/>
  <c r="I33727" i="5"/>
  <c r="I33719" i="5"/>
  <c r="I33711" i="5"/>
  <c r="I33703" i="5"/>
  <c r="I33695" i="5"/>
  <c r="I33687" i="5"/>
  <c r="I33679" i="5"/>
  <c r="I33671" i="5"/>
  <c r="I33663" i="5"/>
  <c r="I33655" i="5"/>
  <c r="I33647" i="5"/>
  <c r="I33639" i="5"/>
  <c r="I33631" i="5"/>
  <c r="I33623" i="5"/>
  <c r="I33615" i="5"/>
  <c r="I33607" i="5"/>
  <c r="I33599" i="5"/>
  <c r="I33591" i="5"/>
  <c r="I33583" i="5"/>
  <c r="I33575" i="5"/>
  <c r="I33567" i="5"/>
  <c r="I33559" i="5"/>
  <c r="I33551" i="5"/>
  <c r="I33543" i="5"/>
  <c r="I33535" i="5"/>
  <c r="I33527" i="5"/>
  <c r="I33519" i="5"/>
  <c r="I33511" i="5"/>
  <c r="I33503" i="5"/>
  <c r="I33495" i="5"/>
  <c r="I33487" i="5"/>
  <c r="I33479" i="5"/>
  <c r="I33471" i="5"/>
  <c r="I33463" i="5"/>
  <c r="I33455" i="5"/>
  <c r="I33447" i="5"/>
  <c r="I33439" i="5"/>
  <c r="I33431" i="5"/>
  <c r="I33423" i="5"/>
  <c r="I33415" i="5"/>
  <c r="I33407" i="5"/>
  <c r="I33399" i="5"/>
  <c r="I33391" i="5"/>
  <c r="I33383" i="5"/>
  <c r="I33375" i="5"/>
  <c r="I33367" i="5"/>
  <c r="I33359" i="5"/>
  <c r="I33351" i="5"/>
  <c r="I33343" i="5"/>
  <c r="I33335" i="5"/>
  <c r="I33327" i="5"/>
  <c r="I33319" i="5"/>
  <c r="I33311" i="5"/>
  <c r="I33303" i="5"/>
  <c r="I33295" i="5"/>
  <c r="I33287" i="5"/>
  <c r="I33279" i="5"/>
  <c r="I33271" i="5"/>
  <c r="I33263" i="5"/>
  <c r="I33255" i="5"/>
  <c r="I33247" i="5"/>
  <c r="I33239" i="5"/>
  <c r="I33231" i="5"/>
  <c r="I33223" i="5"/>
  <c r="I33215" i="5"/>
  <c r="I33207" i="5"/>
  <c r="I33199" i="5"/>
  <c r="I33191" i="5"/>
  <c r="I33183" i="5"/>
  <c r="I33175" i="5"/>
  <c r="I33167" i="5"/>
  <c r="I33159" i="5"/>
  <c r="I33151" i="5"/>
  <c r="I33143" i="5"/>
  <c r="I33135" i="5"/>
  <c r="I33127" i="5"/>
  <c r="I33119" i="5"/>
  <c r="I33111" i="5"/>
  <c r="I33103" i="5"/>
  <c r="I33095" i="5"/>
  <c r="I33087" i="5"/>
  <c r="I33079" i="5"/>
  <c r="I33071" i="5"/>
  <c r="I33063" i="5"/>
  <c r="I33055" i="5"/>
  <c r="I33047" i="5"/>
  <c r="I33039" i="5"/>
  <c r="I33031" i="5"/>
  <c r="I33023" i="5"/>
  <c r="I33015" i="5"/>
  <c r="I33007" i="5"/>
  <c r="I32999" i="5"/>
  <c r="I32991" i="5"/>
  <c r="I32983" i="5"/>
  <c r="I32975" i="5"/>
  <c r="I32967" i="5"/>
  <c r="I32959" i="5"/>
  <c r="I32951" i="5"/>
  <c r="I32943" i="5"/>
  <c r="I32935" i="5"/>
  <c r="I32927" i="5"/>
  <c r="I32919" i="5"/>
  <c r="I32911" i="5"/>
  <c r="I32903" i="5"/>
  <c r="I32895" i="5"/>
  <c r="I32887" i="5"/>
  <c r="I32879" i="5"/>
  <c r="I32871" i="5"/>
  <c r="I32863" i="5"/>
  <c r="I32855" i="5"/>
  <c r="I32847" i="5"/>
  <c r="I32839" i="5"/>
  <c r="I32831" i="5"/>
  <c r="I32823" i="5"/>
  <c r="I32815" i="5"/>
  <c r="I32807" i="5"/>
  <c r="I32799" i="5"/>
  <c r="I32791" i="5"/>
  <c r="I32783" i="5"/>
  <c r="I32775" i="5"/>
  <c r="I32767" i="5"/>
  <c r="I32759" i="5"/>
  <c r="I32751" i="5"/>
  <c r="I32743" i="5"/>
  <c r="I32735" i="5"/>
  <c r="I32727" i="5"/>
  <c r="I32719" i="5"/>
  <c r="I32711" i="5"/>
  <c r="I32703" i="5"/>
  <c r="I32695" i="5"/>
  <c r="I32687" i="5"/>
  <c r="I32679" i="5"/>
  <c r="I32671" i="5"/>
  <c r="I32663" i="5"/>
  <c r="I32655" i="5"/>
  <c r="I32647" i="5"/>
  <c r="I32639" i="5"/>
  <c r="I32631" i="5"/>
  <c r="I32623" i="5"/>
  <c r="I32615" i="5"/>
  <c r="I32607" i="5"/>
  <c r="I32599" i="5"/>
  <c r="I32591" i="5"/>
  <c r="I38826" i="5"/>
  <c r="I37805" i="5"/>
  <c r="I37347" i="5"/>
  <c r="I37174" i="5"/>
  <c r="I37015" i="5"/>
  <c r="I36854" i="5"/>
  <c r="I36751" i="5"/>
  <c r="I36632" i="5"/>
  <c r="I36542" i="5"/>
  <c r="I36462" i="5"/>
  <c r="I36379" i="5"/>
  <c r="I36321" i="5"/>
  <c r="I36268" i="5"/>
  <c r="I36209" i="5"/>
  <c r="I36148" i="5"/>
  <c r="I36099" i="5"/>
  <c r="I36036" i="5"/>
  <c r="I35979" i="5"/>
  <c r="I35929" i="5"/>
  <c r="I35867" i="5"/>
  <c r="I35828" i="5"/>
  <c r="I35798" i="5"/>
  <c r="I35761" i="5"/>
  <c r="I35726" i="5"/>
  <c r="I35696" i="5"/>
  <c r="I35659" i="5"/>
  <c r="I35624" i="5"/>
  <c r="I35599" i="5"/>
  <c r="I35574" i="5"/>
  <c r="I35552" i="5"/>
  <c r="I35533" i="5"/>
  <c r="I35510" i="5"/>
  <c r="I35488" i="5"/>
  <c r="I35469" i="5"/>
  <c r="I35446" i="5"/>
  <c r="I35424" i="5"/>
  <c r="I35405" i="5"/>
  <c r="I35382" i="5"/>
  <c r="I35360" i="5"/>
  <c r="I35341" i="5"/>
  <c r="I35318" i="5"/>
  <c r="I35296" i="5"/>
  <c r="I35277" i="5"/>
  <c r="I35254" i="5"/>
  <c r="I35232" i="5"/>
  <c r="I35213" i="5"/>
  <c r="I35190" i="5"/>
  <c r="I35168" i="5"/>
  <c r="I35149" i="5"/>
  <c r="I35126" i="5"/>
  <c r="I35104" i="5"/>
  <c r="I35085" i="5"/>
  <c r="I35062" i="5"/>
  <c r="I35040" i="5"/>
  <c r="I35021" i="5"/>
  <c r="I34998" i="5"/>
  <c r="I34976" i="5"/>
  <c r="I34957" i="5"/>
  <c r="I34934" i="5"/>
  <c r="I34912" i="5"/>
  <c r="I34893" i="5"/>
  <c r="I34870" i="5"/>
  <c r="I34848" i="5"/>
  <c r="I34829" i="5"/>
  <c r="I34808" i="5"/>
  <c r="I34792" i="5"/>
  <c r="I34776" i="5"/>
  <c r="I34760" i="5"/>
  <c r="I34744" i="5"/>
  <c r="I34728" i="5"/>
  <c r="I34712" i="5"/>
  <c r="I34696" i="5"/>
  <c r="I34680" i="5"/>
  <c r="I34664" i="5"/>
  <c r="I34648" i="5"/>
  <c r="I34632" i="5"/>
  <c r="I34616" i="5"/>
  <c r="I34600" i="5"/>
  <c r="I34584" i="5"/>
  <c r="I34568" i="5"/>
  <c r="I34552" i="5"/>
  <c r="I34536" i="5"/>
  <c r="I34520" i="5"/>
  <c r="I34504" i="5"/>
  <c r="I34488" i="5"/>
  <c r="I34472" i="5"/>
  <c r="I34456" i="5"/>
  <c r="I34440" i="5"/>
  <c r="I34424" i="5"/>
  <c r="I34408" i="5"/>
  <c r="I34392" i="5"/>
  <c r="I34376" i="5"/>
  <c r="I34365" i="5"/>
  <c r="I34351" i="5"/>
  <c r="I34339" i="5"/>
  <c r="I34326" i="5"/>
  <c r="I34312" i="5"/>
  <c r="I34301" i="5"/>
  <c r="I34287" i="5"/>
  <c r="I34275" i="5"/>
  <c r="I34262" i="5"/>
  <c r="I34248" i="5"/>
  <c r="I34237" i="5"/>
  <c r="I34223" i="5"/>
  <c r="I34211" i="5"/>
  <c r="I34198" i="5"/>
  <c r="I34184" i="5"/>
  <c r="I34173" i="5"/>
  <c r="I34159" i="5"/>
  <c r="I34147" i="5"/>
  <c r="I34134" i="5"/>
  <c r="I34120" i="5"/>
  <c r="I34109" i="5"/>
  <c r="I34096" i="5"/>
  <c r="I34086" i="5"/>
  <c r="I34075" i="5"/>
  <c r="I34065" i="5"/>
  <c r="I34056" i="5"/>
  <c r="I34047" i="5"/>
  <c r="I34038" i="5"/>
  <c r="I34030" i="5"/>
  <c r="I34022" i="5"/>
  <c r="I34014" i="5"/>
  <c r="I34006" i="5"/>
  <c r="I33998" i="5"/>
  <c r="I33990" i="5"/>
  <c r="I33982" i="5"/>
  <c r="I33974" i="5"/>
  <c r="I33966" i="5"/>
  <c r="I33958" i="5"/>
  <c r="I33950" i="5"/>
  <c r="I33942" i="5"/>
  <c r="I33934" i="5"/>
  <c r="I33926" i="5"/>
  <c r="I33918" i="5"/>
  <c r="I33910" i="5"/>
  <c r="I33902" i="5"/>
  <c r="I33894" i="5"/>
  <c r="I33886" i="5"/>
  <c r="I33878" i="5"/>
  <c r="I33870" i="5"/>
  <c r="I33862" i="5"/>
  <c r="I33854" i="5"/>
  <c r="I33846" i="5"/>
  <c r="I33838" i="5"/>
  <c r="I33830" i="5"/>
  <c r="I33822" i="5"/>
  <c r="I33814" i="5"/>
  <c r="I33806" i="5"/>
  <c r="I33798" i="5"/>
  <c r="I33790" i="5"/>
  <c r="I33782" i="5"/>
  <c r="I33774" i="5"/>
  <c r="I33766" i="5"/>
  <c r="I33758" i="5"/>
  <c r="I33750" i="5"/>
  <c r="I33742" i="5"/>
  <c r="I33734" i="5"/>
  <c r="I33726" i="5"/>
  <c r="I33718" i="5"/>
  <c r="I33710" i="5"/>
  <c r="I33702" i="5"/>
  <c r="I33694" i="5"/>
  <c r="I33686" i="5"/>
  <c r="I33678" i="5"/>
  <c r="I33670" i="5"/>
  <c r="I33662" i="5"/>
  <c r="I33654" i="5"/>
  <c r="I33646" i="5"/>
  <c r="I33638" i="5"/>
  <c r="I33630" i="5"/>
  <c r="I33622" i="5"/>
  <c r="I33614" i="5"/>
  <c r="I33606" i="5"/>
  <c r="I33598" i="5"/>
  <c r="I33590" i="5"/>
  <c r="I33582" i="5"/>
  <c r="I33574" i="5"/>
  <c r="I33566" i="5"/>
  <c r="I33558" i="5"/>
  <c r="I33550" i="5"/>
  <c r="I33542" i="5"/>
  <c r="I33534" i="5"/>
  <c r="I33526" i="5"/>
  <c r="I33518" i="5"/>
  <c r="I33510" i="5"/>
  <c r="I33502" i="5"/>
  <c r="I33494" i="5"/>
  <c r="I33486" i="5"/>
  <c r="I33478" i="5"/>
  <c r="I33470" i="5"/>
  <c r="I33462" i="5"/>
  <c r="I33454" i="5"/>
  <c r="I33446" i="5"/>
  <c r="I33438" i="5"/>
  <c r="I33430" i="5"/>
  <c r="I33422" i="5"/>
  <c r="I33414" i="5"/>
  <c r="I33406" i="5"/>
  <c r="I33398" i="5"/>
  <c r="I33390" i="5"/>
  <c r="I33382" i="5"/>
  <c r="I33374" i="5"/>
  <c r="I33366" i="5"/>
  <c r="I33358" i="5"/>
  <c r="I33350" i="5"/>
  <c r="I33342" i="5"/>
  <c r="I33334" i="5"/>
  <c r="I33326" i="5"/>
  <c r="I33318" i="5"/>
  <c r="I33310" i="5"/>
  <c r="I33302" i="5"/>
  <c r="I33294" i="5"/>
  <c r="I33286" i="5"/>
  <c r="I33278" i="5"/>
  <c r="I33270" i="5"/>
  <c r="I33262" i="5"/>
  <c r="I33254" i="5"/>
  <c r="I33246" i="5"/>
  <c r="I33238" i="5"/>
  <c r="I33230" i="5"/>
  <c r="I33222" i="5"/>
  <c r="I33214" i="5"/>
  <c r="I33206" i="5"/>
  <c r="I33198" i="5"/>
  <c r="I33190" i="5"/>
  <c r="I33182" i="5"/>
  <c r="I33174" i="5"/>
  <c r="I33166" i="5"/>
  <c r="I33158" i="5"/>
  <c r="I33150" i="5"/>
  <c r="I33142" i="5"/>
  <c r="I33134" i="5"/>
  <c r="I33126" i="5"/>
  <c r="I33118" i="5"/>
  <c r="I33110" i="5"/>
  <c r="I33102" i="5"/>
  <c r="I33094" i="5"/>
  <c r="I33086" i="5"/>
  <c r="I33078" i="5"/>
  <c r="I33070" i="5"/>
  <c r="I33062" i="5"/>
  <c r="I33054" i="5"/>
  <c r="I33046" i="5"/>
  <c r="I33038" i="5"/>
  <c r="I33030" i="5"/>
  <c r="I33022" i="5"/>
  <c r="I33014" i="5"/>
  <c r="I33006" i="5"/>
  <c r="I32998" i="5"/>
  <c r="I32990" i="5"/>
  <c r="I32982" i="5"/>
  <c r="I32974" i="5"/>
  <c r="I32966" i="5"/>
  <c r="I32958" i="5"/>
  <c r="I32950" i="5"/>
  <c r="I32942" i="5"/>
  <c r="I32934" i="5"/>
  <c r="I32926" i="5"/>
  <c r="I32918" i="5"/>
  <c r="I32910" i="5"/>
  <c r="I32902" i="5"/>
  <c r="I32894" i="5"/>
  <c r="I32886" i="5"/>
  <c r="I32878" i="5"/>
  <c r="I32870" i="5"/>
  <c r="I32862" i="5"/>
  <c r="I32854" i="5"/>
  <c r="I32846" i="5"/>
  <c r="I32838" i="5"/>
  <c r="I32830" i="5"/>
  <c r="I32822" i="5"/>
  <c r="I32814" i="5"/>
  <c r="I32806" i="5"/>
  <c r="I32798" i="5"/>
  <c r="I32790" i="5"/>
  <c r="I32782" i="5"/>
  <c r="I32774" i="5"/>
  <c r="I32766" i="5"/>
  <c r="I32758" i="5"/>
  <c r="I32750" i="5"/>
  <c r="I32742" i="5"/>
  <c r="I32734" i="5"/>
  <c r="I32726" i="5"/>
  <c r="I32718" i="5"/>
  <c r="I32710" i="5"/>
  <c r="I32702" i="5"/>
  <c r="I32694" i="5"/>
  <c r="I32686" i="5"/>
  <c r="I32678" i="5"/>
  <c r="I32670" i="5"/>
  <c r="I32662" i="5"/>
  <c r="I32654" i="5"/>
  <c r="I32646" i="5"/>
  <c r="I32638" i="5"/>
  <c r="I32630" i="5"/>
  <c r="I32622" i="5"/>
  <c r="I32614" i="5"/>
  <c r="I32606" i="5"/>
  <c r="I32598" i="5"/>
  <c r="I32590" i="5"/>
  <c r="I32582" i="5"/>
  <c r="I32574" i="5"/>
  <c r="I32566" i="5"/>
  <c r="I32558" i="5"/>
  <c r="I32550" i="5"/>
  <c r="I32542" i="5"/>
  <c r="I32534" i="5"/>
  <c r="I32526" i="5"/>
  <c r="I32518" i="5"/>
  <c r="I32510" i="5"/>
  <c r="I32502" i="5"/>
  <c r="I32494" i="5"/>
  <c r="I32486" i="5"/>
  <c r="I32478" i="5"/>
  <c r="I32470" i="5"/>
  <c r="I32462" i="5"/>
  <c r="I32454" i="5"/>
  <c r="I32446" i="5"/>
  <c r="I32438" i="5"/>
  <c r="I32430" i="5"/>
  <c r="I32422" i="5"/>
  <c r="I32414" i="5"/>
  <c r="I32406" i="5"/>
  <c r="I32398" i="5"/>
  <c r="I32390" i="5"/>
  <c r="I32382" i="5"/>
  <c r="I32374" i="5"/>
  <c r="I32366" i="5"/>
  <c r="I32358" i="5"/>
  <c r="I32350" i="5"/>
  <c r="I32342" i="5"/>
  <c r="I32334" i="5"/>
  <c r="I32326" i="5"/>
  <c r="I32318" i="5"/>
  <c r="I32310" i="5"/>
  <c r="I32302" i="5"/>
  <c r="I32294" i="5"/>
  <c r="I32286" i="5"/>
  <c r="I32278" i="5"/>
  <c r="I32270" i="5"/>
  <c r="I38474" i="5"/>
  <c r="I37786" i="5"/>
  <c r="I37321" i="5"/>
  <c r="I37143" i="5"/>
  <c r="I37001" i="5"/>
  <c r="I36846" i="5"/>
  <c r="I36720" i="5"/>
  <c r="I36631" i="5"/>
  <c r="I36529" i="5"/>
  <c r="I36439" i="5"/>
  <c r="I36377" i="5"/>
  <c r="I36315" i="5"/>
  <c r="I36257" i="5"/>
  <c r="I36204" i="5"/>
  <c r="I36145" i="5"/>
  <c r="I36084" i="5"/>
  <c r="I36035" i="5"/>
  <c r="I35972" i="5"/>
  <c r="I35915" i="5"/>
  <c r="I35865" i="5"/>
  <c r="I35825" i="5"/>
  <c r="I35790" i="5"/>
  <c r="I35760" i="5"/>
  <c r="I35723" i="5"/>
  <c r="I35688" i="5"/>
  <c r="I35657" i="5"/>
  <c r="I35620" i="5"/>
  <c r="I35593" i="5"/>
  <c r="I35573" i="5"/>
  <c r="I35550" i="5"/>
  <c r="I35528" i="5"/>
  <c r="I35509" i="5"/>
  <c r="I35486" i="5"/>
  <c r="I35464" i="5"/>
  <c r="I35445" i="5"/>
  <c r="I35422" i="5"/>
  <c r="I35400" i="5"/>
  <c r="I35381" i="5"/>
  <c r="I35358" i="5"/>
  <c r="I35336" i="5"/>
  <c r="I35317" i="5"/>
  <c r="I35294" i="5"/>
  <c r="I35272" i="5"/>
  <c r="I35253" i="5"/>
  <c r="I35230" i="5"/>
  <c r="I35208" i="5"/>
  <c r="I35189" i="5"/>
  <c r="I35166" i="5"/>
  <c r="I35144" i="5"/>
  <c r="I35125" i="5"/>
  <c r="I35102" i="5"/>
  <c r="I35080" i="5"/>
  <c r="I35061" i="5"/>
  <c r="I35038" i="5"/>
  <c r="I35016" i="5"/>
  <c r="I34997" i="5"/>
  <c r="I34974" i="5"/>
  <c r="I34952" i="5"/>
  <c r="I34933" i="5"/>
  <c r="I34910" i="5"/>
  <c r="I34888" i="5"/>
  <c r="I34869" i="5"/>
  <c r="I34846" i="5"/>
  <c r="I34824" i="5"/>
  <c r="I34807" i="5"/>
  <c r="I34791" i="5"/>
  <c r="I34775" i="5"/>
  <c r="I34759" i="5"/>
  <c r="I34743" i="5"/>
  <c r="I34727" i="5"/>
  <c r="I34711" i="5"/>
  <c r="I34695" i="5"/>
  <c r="I34679" i="5"/>
  <c r="I34663" i="5"/>
  <c r="I34647" i="5"/>
  <c r="I34631" i="5"/>
  <c r="I34615" i="5"/>
  <c r="I34599" i="5"/>
  <c r="I34583" i="5"/>
  <c r="I34567" i="5"/>
  <c r="I34551" i="5"/>
  <c r="I34535" i="5"/>
  <c r="I34519" i="5"/>
  <c r="I34503" i="5"/>
  <c r="I34487" i="5"/>
  <c r="I34471" i="5"/>
  <c r="I34455" i="5"/>
  <c r="I34439" i="5"/>
  <c r="I34423" i="5"/>
  <c r="I34407" i="5"/>
  <c r="I34391" i="5"/>
  <c r="I34375" i="5"/>
  <c r="I34363" i="5"/>
  <c r="I34350" i="5"/>
  <c r="I34336" i="5"/>
  <c r="I34325" i="5"/>
  <c r="I34311" i="5"/>
  <c r="I34299" i="5"/>
  <c r="I34286" i="5"/>
  <c r="I34272" i="5"/>
  <c r="I34261" i="5"/>
  <c r="I34247" i="5"/>
  <c r="I34235" i="5"/>
  <c r="I34222" i="5"/>
  <c r="I34208" i="5"/>
  <c r="I34197" i="5"/>
  <c r="I34183" i="5"/>
  <c r="I34171" i="5"/>
  <c r="I34158" i="5"/>
  <c r="I34144" i="5"/>
  <c r="I34133" i="5"/>
  <c r="I34119" i="5"/>
  <c r="I34107" i="5"/>
  <c r="I34095" i="5"/>
  <c r="I34085" i="5"/>
  <c r="I34073" i="5"/>
  <c r="I34064" i="5"/>
  <c r="I34055" i="5"/>
  <c r="I34046" i="5"/>
  <c r="I34037" i="5"/>
  <c r="I34029" i="5"/>
  <c r="I34021" i="5"/>
  <c r="I34013" i="5"/>
  <c r="I34005" i="5"/>
  <c r="I33997" i="5"/>
  <c r="I33989" i="5"/>
  <c r="I33981" i="5"/>
  <c r="I33973" i="5"/>
  <c r="I33965" i="5"/>
  <c r="I33957" i="5"/>
  <c r="I33949" i="5"/>
  <c r="I33941" i="5"/>
  <c r="I33933" i="5"/>
  <c r="I33925" i="5"/>
  <c r="I33917" i="5"/>
  <c r="I33909" i="5"/>
  <c r="I33901" i="5"/>
  <c r="I33893" i="5"/>
  <c r="I33885" i="5"/>
  <c r="I33877" i="5"/>
  <c r="I33869" i="5"/>
  <c r="I33861" i="5"/>
  <c r="I33853" i="5"/>
  <c r="I33845" i="5"/>
  <c r="I33837" i="5"/>
  <c r="I33829" i="5"/>
  <c r="I33821" i="5"/>
  <c r="I33813" i="5"/>
  <c r="I33805" i="5"/>
  <c r="I33797" i="5"/>
  <c r="I33789" i="5"/>
  <c r="I33781" i="5"/>
  <c r="I33773" i="5"/>
  <c r="I33765" i="5"/>
  <c r="I33757" i="5"/>
  <c r="I33749" i="5"/>
  <c r="I33741" i="5"/>
  <c r="I33733" i="5"/>
  <c r="I33725" i="5"/>
  <c r="I33717" i="5"/>
  <c r="I33709" i="5"/>
  <c r="I33701" i="5"/>
  <c r="I33693" i="5"/>
  <c r="I33685" i="5"/>
  <c r="I33677" i="5"/>
  <c r="I33669" i="5"/>
  <c r="I33661" i="5"/>
  <c r="I33653" i="5"/>
  <c r="I33645" i="5"/>
  <c r="I33637" i="5"/>
  <c r="I33629" i="5"/>
  <c r="I33621" i="5"/>
  <c r="I33613" i="5"/>
  <c r="I33605" i="5"/>
  <c r="I33597" i="5"/>
  <c r="I33589" i="5"/>
  <c r="I33581" i="5"/>
  <c r="I33573" i="5"/>
  <c r="I33565" i="5"/>
  <c r="I33557" i="5"/>
  <c r="I33549" i="5"/>
  <c r="I33541" i="5"/>
  <c r="I33533" i="5"/>
  <c r="I33525" i="5"/>
  <c r="I33517" i="5"/>
  <c r="I33509" i="5"/>
  <c r="I33501" i="5"/>
  <c r="I33493" i="5"/>
  <c r="I33485" i="5"/>
  <c r="I33477" i="5"/>
  <c r="I33469" i="5"/>
  <c r="I33461" i="5"/>
  <c r="I33453" i="5"/>
  <c r="I33445" i="5"/>
  <c r="I33437" i="5"/>
  <c r="I33429" i="5"/>
  <c r="I33421" i="5"/>
  <c r="I33413" i="5"/>
  <c r="I33405" i="5"/>
  <c r="I33397" i="5"/>
  <c r="I33389" i="5"/>
  <c r="I33381" i="5"/>
  <c r="I33373" i="5"/>
  <c r="I33365" i="5"/>
  <c r="I33357" i="5"/>
  <c r="I33349" i="5"/>
  <c r="I33341" i="5"/>
  <c r="I33333" i="5"/>
  <c r="I33325" i="5"/>
  <c r="I33317" i="5"/>
  <c r="I33309" i="5"/>
  <c r="I33301" i="5"/>
  <c r="I33293" i="5"/>
  <c r="I33285" i="5"/>
  <c r="I33277" i="5"/>
  <c r="I33269" i="5"/>
  <c r="I33261" i="5"/>
  <c r="I33253" i="5"/>
  <c r="I33245" i="5"/>
  <c r="I33237" i="5"/>
  <c r="I33229" i="5"/>
  <c r="I33221" i="5"/>
  <c r="I33213" i="5"/>
  <c r="I33205" i="5"/>
  <c r="I33197" i="5"/>
  <c r="I33189" i="5"/>
  <c r="I33181" i="5"/>
  <c r="I33173" i="5"/>
  <c r="I33165" i="5"/>
  <c r="I33157" i="5"/>
  <c r="I33149" i="5"/>
  <c r="I33141" i="5"/>
  <c r="I33133" i="5"/>
  <c r="I33125" i="5"/>
  <c r="I33117" i="5"/>
  <c r="I33109" i="5"/>
  <c r="I33101" i="5"/>
  <c r="I33093" i="5"/>
  <c r="I33085" i="5"/>
  <c r="I33077" i="5"/>
  <c r="I33069" i="5"/>
  <c r="I33061" i="5"/>
  <c r="I33053" i="5"/>
  <c r="I33045" i="5"/>
  <c r="I33037" i="5"/>
  <c r="I33029" i="5"/>
  <c r="I33021" i="5"/>
  <c r="I33013" i="5"/>
  <c r="I33005" i="5"/>
  <c r="I32997" i="5"/>
  <c r="I32989" i="5"/>
  <c r="I32981" i="5"/>
  <c r="I32973" i="5"/>
  <c r="I32965" i="5"/>
  <c r="I32957" i="5"/>
  <c r="I32949" i="5"/>
  <c r="I32941" i="5"/>
  <c r="I32933" i="5"/>
  <c r="I32925" i="5"/>
  <c r="I32917" i="5"/>
  <c r="I32909" i="5"/>
  <c r="I32901" i="5"/>
  <c r="I32893" i="5"/>
  <c r="I32885" i="5"/>
  <c r="I32877" i="5"/>
  <c r="I32869" i="5"/>
  <c r="I32861" i="5"/>
  <c r="I32853" i="5"/>
  <c r="I32845" i="5"/>
  <c r="I32837" i="5"/>
  <c r="I32829" i="5"/>
  <c r="I32821" i="5"/>
  <c r="I32813" i="5"/>
  <c r="I32805" i="5"/>
  <c r="I32797" i="5"/>
  <c r="I32789" i="5"/>
  <c r="I32781" i="5"/>
  <c r="I32773" i="5"/>
  <c r="I32765" i="5"/>
  <c r="I32757" i="5"/>
  <c r="I32749" i="5"/>
  <c r="I32741" i="5"/>
  <c r="I32733" i="5"/>
  <c r="I32725" i="5"/>
  <c r="I32717" i="5"/>
  <c r="I32709" i="5"/>
  <c r="I32701" i="5"/>
  <c r="I32693" i="5"/>
  <c r="I32685" i="5"/>
  <c r="I32677" i="5"/>
  <c r="I32669" i="5"/>
  <c r="I32661" i="5"/>
  <c r="I32653" i="5"/>
  <c r="I32645" i="5"/>
  <c r="I32637" i="5"/>
  <c r="I32629" i="5"/>
  <c r="I32621" i="5"/>
  <c r="I32613" i="5"/>
  <c r="I32605" i="5"/>
  <c r="I32597" i="5"/>
  <c r="I32589" i="5"/>
  <c r="I32581" i="5"/>
  <c r="I32573" i="5"/>
  <c r="I32565" i="5"/>
  <c r="I32557" i="5"/>
  <c r="I32549" i="5"/>
  <c r="I32541" i="5"/>
  <c r="I32533" i="5"/>
  <c r="I32525" i="5"/>
  <c r="I32517" i="5"/>
  <c r="I32509" i="5"/>
  <c r="I32501" i="5"/>
  <c r="I32493" i="5"/>
  <c r="I32485" i="5"/>
  <c r="I32477" i="5"/>
  <c r="I32469" i="5"/>
  <c r="I32461" i="5"/>
  <c r="I32453" i="5"/>
  <c r="I32445" i="5"/>
  <c r="I32437" i="5"/>
  <c r="I32429" i="5"/>
  <c r="I32421" i="5"/>
  <c r="I32413" i="5"/>
  <c r="I32405" i="5"/>
  <c r="I32397" i="5"/>
  <c r="I32389" i="5"/>
  <c r="I32381" i="5"/>
  <c r="I32373" i="5"/>
  <c r="I32365" i="5"/>
  <c r="I32357" i="5"/>
  <c r="I32349" i="5"/>
  <c r="I32341" i="5"/>
  <c r="I32333" i="5"/>
  <c r="I32325" i="5"/>
  <c r="I32317" i="5"/>
  <c r="I32309" i="5"/>
  <c r="I32301" i="5"/>
  <c r="I32293" i="5"/>
  <c r="I32285" i="5"/>
  <c r="I32277" i="5"/>
  <c r="I32269" i="5"/>
  <c r="I38332" i="5"/>
  <c r="I37602" i="5"/>
  <c r="I37257" i="5"/>
  <c r="I37121" i="5"/>
  <c r="I36958" i="5"/>
  <c r="I36809" i="5"/>
  <c r="I36704" i="5"/>
  <c r="I36601" i="5"/>
  <c r="I36504" i="5"/>
  <c r="I36427" i="5"/>
  <c r="I36356" i="5"/>
  <c r="I36299" i="5"/>
  <c r="I36249" i="5"/>
  <c r="I36187" i="5"/>
  <c r="I36129" i="5"/>
  <c r="I36076" i="5"/>
  <c r="I36017" i="5"/>
  <c r="I35956" i="5"/>
  <c r="I35907" i="5"/>
  <c r="I35851" i="5"/>
  <c r="I35816" i="5"/>
  <c r="I35785" i="5"/>
  <c r="I35748" i="5"/>
  <c r="I35713" i="5"/>
  <c r="I35683" i="5"/>
  <c r="I35646" i="5"/>
  <c r="I35612" i="5"/>
  <c r="I35590" i="5"/>
  <c r="I35566" i="5"/>
  <c r="I35544" i="5"/>
  <c r="I35525" i="5"/>
  <c r="I35502" i="5"/>
  <c r="I35480" i="5"/>
  <c r="I35461" i="5"/>
  <c r="I35438" i="5"/>
  <c r="I35416" i="5"/>
  <c r="I35397" i="5"/>
  <c r="I35374" i="5"/>
  <c r="I35352" i="5"/>
  <c r="I35333" i="5"/>
  <c r="I35310" i="5"/>
  <c r="I35288" i="5"/>
  <c r="I35269" i="5"/>
  <c r="I35246" i="5"/>
  <c r="I35224" i="5"/>
  <c r="I35205" i="5"/>
  <c r="I35182" i="5"/>
  <c r="I35160" i="5"/>
  <c r="I35141" i="5"/>
  <c r="I35118" i="5"/>
  <c r="I35096" i="5"/>
  <c r="I35077" i="5"/>
  <c r="I35054" i="5"/>
  <c r="I35032" i="5"/>
  <c r="I35013" i="5"/>
  <c r="I34990" i="5"/>
  <c r="I34968" i="5"/>
  <c r="I34949" i="5"/>
  <c r="I34926" i="5"/>
  <c r="I34904" i="5"/>
  <c r="I34885" i="5"/>
  <c r="I34862" i="5"/>
  <c r="I34840" i="5"/>
  <c r="I34821" i="5"/>
  <c r="I34805" i="5"/>
  <c r="I34789" i="5"/>
  <c r="I34773" i="5"/>
  <c r="I34757" i="5"/>
  <c r="I34741" i="5"/>
  <c r="I34725" i="5"/>
  <c r="I34709" i="5"/>
  <c r="I34693" i="5"/>
  <c r="I34677" i="5"/>
  <c r="I34661" i="5"/>
  <c r="I34645" i="5"/>
  <c r="I34629" i="5"/>
  <c r="I34613" i="5"/>
  <c r="I34597" i="5"/>
  <c r="I34581" i="5"/>
  <c r="I34565" i="5"/>
  <c r="I34549" i="5"/>
  <c r="I34533" i="5"/>
  <c r="I34517" i="5"/>
  <c r="I34501" i="5"/>
  <c r="I34485" i="5"/>
  <c r="I34469" i="5"/>
  <c r="I34453" i="5"/>
  <c r="I34437" i="5"/>
  <c r="I34421" i="5"/>
  <c r="I34405" i="5"/>
  <c r="I34389" i="5"/>
  <c r="I34373" i="5"/>
  <c r="I34359" i="5"/>
  <c r="I34347" i="5"/>
  <c r="I34334" i="5"/>
  <c r="I34320" i="5"/>
  <c r="I34309" i="5"/>
  <c r="I34295" i="5"/>
  <c r="I34283" i="5"/>
  <c r="I34270" i="5"/>
  <c r="I34256" i="5"/>
  <c r="I34245" i="5"/>
  <c r="I34231" i="5"/>
  <c r="I34219" i="5"/>
  <c r="I34206" i="5"/>
  <c r="I34192" i="5"/>
  <c r="I34181" i="5"/>
  <c r="I34167" i="5"/>
  <c r="I34155" i="5"/>
  <c r="I34142" i="5"/>
  <c r="I34128" i="5"/>
  <c r="I34117" i="5"/>
  <c r="I34103" i="5"/>
  <c r="I34093" i="5"/>
  <c r="I34081" i="5"/>
  <c r="I34071" i="5"/>
  <c r="I34062" i="5"/>
  <c r="I34053" i="5"/>
  <c r="I34044" i="5"/>
  <c r="I34035" i="5"/>
  <c r="I34027" i="5"/>
  <c r="I34019" i="5"/>
  <c r="I34011" i="5"/>
  <c r="I34003" i="5"/>
  <c r="I33995" i="5"/>
  <c r="I33987" i="5"/>
  <c r="I33979" i="5"/>
  <c r="I33971" i="5"/>
  <c r="I33963" i="5"/>
  <c r="I33955" i="5"/>
  <c r="I33947" i="5"/>
  <c r="I33939" i="5"/>
  <c r="I33931" i="5"/>
  <c r="I33923" i="5"/>
  <c r="I33915" i="5"/>
  <c r="I33907" i="5"/>
  <c r="I33899" i="5"/>
  <c r="I33891" i="5"/>
  <c r="I33883" i="5"/>
  <c r="I33875" i="5"/>
  <c r="I33867" i="5"/>
  <c r="I33859" i="5"/>
  <c r="I33851" i="5"/>
  <c r="I33843" i="5"/>
  <c r="I33835" i="5"/>
  <c r="I33827" i="5"/>
  <c r="I33819" i="5"/>
  <c r="I33811" i="5"/>
  <c r="I33803" i="5"/>
  <c r="I33795" i="5"/>
  <c r="I33787" i="5"/>
  <c r="I33779" i="5"/>
  <c r="I33771" i="5"/>
  <c r="I33763" i="5"/>
  <c r="I33755" i="5"/>
  <c r="I33747" i="5"/>
  <c r="I33739" i="5"/>
  <c r="I33731" i="5"/>
  <c r="I33723" i="5"/>
  <c r="I33715" i="5"/>
  <c r="I33707" i="5"/>
  <c r="I33699" i="5"/>
  <c r="I33691" i="5"/>
  <c r="I33683" i="5"/>
  <c r="I33675" i="5"/>
  <c r="I33667" i="5"/>
  <c r="I33659" i="5"/>
  <c r="I33651" i="5"/>
  <c r="I33643" i="5"/>
  <c r="I33635" i="5"/>
  <c r="I33627" i="5"/>
  <c r="I33619" i="5"/>
  <c r="I33611" i="5"/>
  <c r="I33603" i="5"/>
  <c r="I33595" i="5"/>
  <c r="I33587" i="5"/>
  <c r="I33579" i="5"/>
  <c r="I33571" i="5"/>
  <c r="I33563" i="5"/>
  <c r="I33555" i="5"/>
  <c r="I33547" i="5"/>
  <c r="I33539" i="5"/>
  <c r="I33531" i="5"/>
  <c r="I33523" i="5"/>
  <c r="I33515" i="5"/>
  <c r="I33507" i="5"/>
  <c r="I33499" i="5"/>
  <c r="I33491" i="5"/>
  <c r="I33483" i="5"/>
  <c r="I33475" i="5"/>
  <c r="I33467" i="5"/>
  <c r="I33459" i="5"/>
  <c r="I33451" i="5"/>
  <c r="I33443" i="5"/>
  <c r="I33435" i="5"/>
  <c r="I33427" i="5"/>
  <c r="I33419" i="5"/>
  <c r="I33411" i="5"/>
  <c r="I33403" i="5"/>
  <c r="I33395" i="5"/>
  <c r="I33387" i="5"/>
  <c r="I33379" i="5"/>
  <c r="I33371" i="5"/>
  <c r="I33363" i="5"/>
  <c r="I33355" i="5"/>
  <c r="I33347" i="5"/>
  <c r="I33339" i="5"/>
  <c r="I33331" i="5"/>
  <c r="I33323" i="5"/>
  <c r="I33315" i="5"/>
  <c r="I33307" i="5"/>
  <c r="I33299" i="5"/>
  <c r="I33291" i="5"/>
  <c r="I33283" i="5"/>
  <c r="I33275" i="5"/>
  <c r="I33267" i="5"/>
  <c r="I33259" i="5"/>
  <c r="I33251" i="5"/>
  <c r="I33243" i="5"/>
  <c r="I33235" i="5"/>
  <c r="I33227" i="5"/>
  <c r="I33219" i="5"/>
  <c r="I33211" i="5"/>
  <c r="I33203" i="5"/>
  <c r="I33195" i="5"/>
  <c r="I33187" i="5"/>
  <c r="I33179" i="5"/>
  <c r="I33171" i="5"/>
  <c r="I33163" i="5"/>
  <c r="I33155" i="5"/>
  <c r="I33147" i="5"/>
  <c r="I33139" i="5"/>
  <c r="I33131" i="5"/>
  <c r="I38349" i="5"/>
  <c r="I37233" i="5"/>
  <c r="I36799" i="5"/>
  <c r="I36528" i="5"/>
  <c r="I36340" i="5"/>
  <c r="I36185" i="5"/>
  <c r="I36020" i="5"/>
  <c r="I35889" i="5"/>
  <c r="I35777" i="5"/>
  <c r="I35684" i="5"/>
  <c r="I35609" i="5"/>
  <c r="I35542" i="5"/>
  <c r="I35485" i="5"/>
  <c r="I35432" i="5"/>
  <c r="I35373" i="5"/>
  <c r="I35312" i="5"/>
  <c r="I35262" i="5"/>
  <c r="I35200" i="5"/>
  <c r="I35142" i="5"/>
  <c r="I35093" i="5"/>
  <c r="I35030" i="5"/>
  <c r="I34973" i="5"/>
  <c r="I34920" i="5"/>
  <c r="I34861" i="5"/>
  <c r="I34806" i="5"/>
  <c r="I34767" i="5"/>
  <c r="I34720" i="5"/>
  <c r="I34678" i="5"/>
  <c r="I34639" i="5"/>
  <c r="I34592" i="5"/>
  <c r="I34550" i="5"/>
  <c r="I34511" i="5"/>
  <c r="I34464" i="5"/>
  <c r="I34422" i="5"/>
  <c r="I34383" i="5"/>
  <c r="I34344" i="5"/>
  <c r="I34310" i="5"/>
  <c r="I34279" i="5"/>
  <c r="I34243" i="5"/>
  <c r="I34207" i="5"/>
  <c r="I34176" i="5"/>
  <c r="I34141" i="5"/>
  <c r="I34104" i="5"/>
  <c r="I34079" i="5"/>
  <c r="I34052" i="5"/>
  <c r="I34028" i="5"/>
  <c r="I34009" i="5"/>
  <c r="I33986" i="5"/>
  <c r="I33964" i="5"/>
  <c r="I33945" i="5"/>
  <c r="I33922" i="5"/>
  <c r="I33900" i="5"/>
  <c r="I33881" i="5"/>
  <c r="I33858" i="5"/>
  <c r="I33836" i="5"/>
  <c r="I33817" i="5"/>
  <c r="I33794" i="5"/>
  <c r="I33772" i="5"/>
  <c r="I33753" i="5"/>
  <c r="I33730" i="5"/>
  <c r="I33708" i="5"/>
  <c r="I33689" i="5"/>
  <c r="I33666" i="5"/>
  <c r="I33644" i="5"/>
  <c r="I33625" i="5"/>
  <c r="I33602" i="5"/>
  <c r="I33580" i="5"/>
  <c r="I33561" i="5"/>
  <c r="I33538" i="5"/>
  <c r="I33516" i="5"/>
  <c r="I33497" i="5"/>
  <c r="I33474" i="5"/>
  <c r="I33452" i="5"/>
  <c r="I33433" i="5"/>
  <c r="I33410" i="5"/>
  <c r="I33388" i="5"/>
  <c r="I33369" i="5"/>
  <c r="I33346" i="5"/>
  <c r="I33324" i="5"/>
  <c r="I33305" i="5"/>
  <c r="I33282" i="5"/>
  <c r="I33260" i="5"/>
  <c r="I33241" i="5"/>
  <c r="I33218" i="5"/>
  <c r="I33196" i="5"/>
  <c r="I33177" i="5"/>
  <c r="I33154" i="5"/>
  <c r="I33132" i="5"/>
  <c r="I33115" i="5"/>
  <c r="I33099" i="5"/>
  <c r="I33083" i="5"/>
  <c r="I33067" i="5"/>
  <c r="I33051" i="5"/>
  <c r="I33035" i="5"/>
  <c r="I33019" i="5"/>
  <c r="I33003" i="5"/>
  <c r="I32987" i="5"/>
  <c r="I32971" i="5"/>
  <c r="I32955" i="5"/>
  <c r="I32939" i="5"/>
  <c r="I32923" i="5"/>
  <c r="I32907" i="5"/>
  <c r="I32891" i="5"/>
  <c r="I32875" i="5"/>
  <c r="I32859" i="5"/>
  <c r="I32843" i="5"/>
  <c r="I32827" i="5"/>
  <c r="I32811" i="5"/>
  <c r="I32795" i="5"/>
  <c r="I32779" i="5"/>
  <c r="I32763" i="5"/>
  <c r="I32747" i="5"/>
  <c r="I32731" i="5"/>
  <c r="I32715" i="5"/>
  <c r="I32699" i="5"/>
  <c r="I32683" i="5"/>
  <c r="I32667" i="5"/>
  <c r="I32651" i="5"/>
  <c r="I32635" i="5"/>
  <c r="I32619" i="5"/>
  <c r="I32603" i="5"/>
  <c r="I32587" i="5"/>
  <c r="I32575" i="5"/>
  <c r="I32562" i="5"/>
  <c r="I32548" i="5"/>
  <c r="I32537" i="5"/>
  <c r="I32523" i="5"/>
  <c r="I32511" i="5"/>
  <c r="I32498" i="5"/>
  <c r="I32484" i="5"/>
  <c r="I32473" i="5"/>
  <c r="I32459" i="5"/>
  <c r="I32447" i="5"/>
  <c r="I32434" i="5"/>
  <c r="I32420" i="5"/>
  <c r="I32409" i="5"/>
  <c r="I32396" i="5"/>
  <c r="I32386" i="5"/>
  <c r="I32376" i="5"/>
  <c r="I32364" i="5"/>
  <c r="I32354" i="5"/>
  <c r="I32344" i="5"/>
  <c r="I32332" i="5"/>
  <c r="I32322" i="5"/>
  <c r="I32312" i="5"/>
  <c r="I32300" i="5"/>
  <c r="I32290" i="5"/>
  <c r="I32280" i="5"/>
  <c r="I32268" i="5"/>
  <c r="I32260" i="5"/>
  <c r="I32252" i="5"/>
  <c r="I32244" i="5"/>
  <c r="I32236" i="5"/>
  <c r="I32228" i="5"/>
  <c r="I32220" i="5"/>
  <c r="I32212" i="5"/>
  <c r="I32204" i="5"/>
  <c r="I32196" i="5"/>
  <c r="I32188" i="5"/>
  <c r="I32180" i="5"/>
  <c r="I32172" i="5"/>
  <c r="I32164" i="5"/>
  <c r="I32156" i="5"/>
  <c r="I32148" i="5"/>
  <c r="I32140" i="5"/>
  <c r="I32132" i="5"/>
  <c r="I32124" i="5"/>
  <c r="I32116" i="5"/>
  <c r="I32108" i="5"/>
  <c r="I32100" i="5"/>
  <c r="I32092" i="5"/>
  <c r="I32084" i="5"/>
  <c r="I32076" i="5"/>
  <c r="I32068" i="5"/>
  <c r="I32060" i="5"/>
  <c r="I32052" i="5"/>
  <c r="I32044" i="5"/>
  <c r="I32036" i="5"/>
  <c r="I32028" i="5"/>
  <c r="I32020" i="5"/>
  <c r="I32012" i="5"/>
  <c r="I32004" i="5"/>
  <c r="I31996" i="5"/>
  <c r="I31988" i="5"/>
  <c r="I31980" i="5"/>
  <c r="I31972" i="5"/>
  <c r="I31964" i="5"/>
  <c r="I31956" i="5"/>
  <c r="I31948" i="5"/>
  <c r="I31940" i="5"/>
  <c r="I31932" i="5"/>
  <c r="I31924" i="5"/>
  <c r="I31916" i="5"/>
  <c r="I31908" i="5"/>
  <c r="I31900" i="5"/>
  <c r="I31892" i="5"/>
  <c r="I31884" i="5"/>
  <c r="I31876" i="5"/>
  <c r="I31868" i="5"/>
  <c r="I31860" i="5"/>
  <c r="I31852" i="5"/>
  <c r="I31844" i="5"/>
  <c r="I31836" i="5"/>
  <c r="I31828" i="5"/>
  <c r="I31820" i="5"/>
  <c r="I31812" i="5"/>
  <c r="I31804" i="5"/>
  <c r="I31796" i="5"/>
  <c r="I31788" i="5"/>
  <c r="I31780" i="5"/>
  <c r="I31772" i="5"/>
  <c r="I31764" i="5"/>
  <c r="I31756" i="5"/>
  <c r="I31748" i="5"/>
  <c r="I31740" i="5"/>
  <c r="I31732" i="5"/>
  <c r="I31724" i="5"/>
  <c r="I31716" i="5"/>
  <c r="I31708" i="5"/>
  <c r="I31700" i="5"/>
  <c r="I31692" i="5"/>
  <c r="I31684" i="5"/>
  <c r="I31676" i="5"/>
  <c r="I31668" i="5"/>
  <c r="I31660" i="5"/>
  <c r="I31652" i="5"/>
  <c r="I31644" i="5"/>
  <c r="I31636" i="5"/>
  <c r="I31628" i="5"/>
  <c r="I31620" i="5"/>
  <c r="I31612" i="5"/>
  <c r="I31604" i="5"/>
  <c r="I31596" i="5"/>
  <c r="I31588" i="5"/>
  <c r="I31580" i="5"/>
  <c r="I31572" i="5"/>
  <c r="I31564" i="5"/>
  <c r="I31556" i="5"/>
  <c r="I31548" i="5"/>
  <c r="I31540" i="5"/>
  <c r="I31532" i="5"/>
  <c r="I31524" i="5"/>
  <c r="I31516" i="5"/>
  <c r="I31508" i="5"/>
  <c r="I31500" i="5"/>
  <c r="I31492" i="5"/>
  <c r="I31484" i="5"/>
  <c r="I31476" i="5"/>
  <c r="I31468" i="5"/>
  <c r="I31460" i="5"/>
  <c r="I31452" i="5"/>
  <c r="I31444" i="5"/>
  <c r="I31436" i="5"/>
  <c r="I31428" i="5"/>
  <c r="I31420" i="5"/>
  <c r="I31412" i="5"/>
  <c r="I31404" i="5"/>
  <c r="I31396" i="5"/>
  <c r="I31388" i="5"/>
  <c r="I31380" i="5"/>
  <c r="I31372" i="5"/>
  <c r="I31364" i="5"/>
  <c r="I31356" i="5"/>
  <c r="I31348" i="5"/>
  <c r="I31340" i="5"/>
  <c r="I31332" i="5"/>
  <c r="I31324" i="5"/>
  <c r="I31316" i="5"/>
  <c r="I31308" i="5"/>
  <c r="I31300" i="5"/>
  <c r="I31292" i="5"/>
  <c r="I31284" i="5"/>
  <c r="I31276" i="5"/>
  <c r="I31268" i="5"/>
  <c r="I31260" i="5"/>
  <c r="I31252" i="5"/>
  <c r="I31244" i="5"/>
  <c r="I31236" i="5"/>
  <c r="I31228" i="5"/>
  <c r="I31220" i="5"/>
  <c r="I31212" i="5"/>
  <c r="I31204" i="5"/>
  <c r="I31196" i="5"/>
  <c r="I31188" i="5"/>
  <c r="I31180" i="5"/>
  <c r="I31172" i="5"/>
  <c r="I31164" i="5"/>
  <c r="I31156" i="5"/>
  <c r="I31148" i="5"/>
  <c r="I31140" i="5"/>
  <c r="I31132" i="5"/>
  <c r="I31124" i="5"/>
  <c r="I31116" i="5"/>
  <c r="I31108" i="5"/>
  <c r="I31100" i="5"/>
  <c r="I31092" i="5"/>
  <c r="I31084" i="5"/>
  <c r="I31076" i="5"/>
  <c r="I31068" i="5"/>
  <c r="I31060" i="5"/>
  <c r="I31052" i="5"/>
  <c r="I31044" i="5"/>
  <c r="I31036" i="5"/>
  <c r="I31028" i="5"/>
  <c r="I31020" i="5"/>
  <c r="I31012" i="5"/>
  <c r="I31004" i="5"/>
  <c r="I30996" i="5"/>
  <c r="I30988" i="5"/>
  <c r="I30980" i="5"/>
  <c r="I30972" i="5"/>
  <c r="I30964" i="5"/>
  <c r="I30956" i="5"/>
  <c r="I30948" i="5"/>
  <c r="I30940" i="5"/>
  <c r="I30932" i="5"/>
  <c r="I30924" i="5"/>
  <c r="I30916" i="5"/>
  <c r="I30908" i="5"/>
  <c r="I30900" i="5"/>
  <c r="I30892" i="5"/>
  <c r="I30884" i="5"/>
  <c r="I30876" i="5"/>
  <c r="I30868" i="5"/>
  <c r="I30860" i="5"/>
  <c r="I30852" i="5"/>
  <c r="I30844" i="5"/>
  <c r="I30836" i="5"/>
  <c r="I30828" i="5"/>
  <c r="I30820" i="5"/>
  <c r="I30812" i="5"/>
  <c r="I30804" i="5"/>
  <c r="I38086" i="5"/>
  <c r="I37127" i="5"/>
  <c r="I36793" i="5"/>
  <c r="I36498" i="5"/>
  <c r="I36313" i="5"/>
  <c r="I36171" i="5"/>
  <c r="I36012" i="5"/>
  <c r="I35856" i="5"/>
  <c r="I35774" i="5"/>
  <c r="I35675" i="5"/>
  <c r="I35591" i="5"/>
  <c r="I35541" i="5"/>
  <c r="I35478" i="5"/>
  <c r="I35421" i="5"/>
  <c r="I35368" i="5"/>
  <c r="I35309" i="5"/>
  <c r="I35248" i="5"/>
  <c r="I35198" i="5"/>
  <c r="I35136" i="5"/>
  <c r="I35078" i="5"/>
  <c r="I35029" i="5"/>
  <c r="I34966" i="5"/>
  <c r="I34909" i="5"/>
  <c r="I34856" i="5"/>
  <c r="I34800" i="5"/>
  <c r="I34758" i="5"/>
  <c r="I34719" i="5"/>
  <c r="I34672" i="5"/>
  <c r="I34630" i="5"/>
  <c r="I34591" i="5"/>
  <c r="I34544" i="5"/>
  <c r="I34502" i="5"/>
  <c r="I34463" i="5"/>
  <c r="I34416" i="5"/>
  <c r="I34374" i="5"/>
  <c r="I34343" i="5"/>
  <c r="I34307" i="5"/>
  <c r="I34271" i="5"/>
  <c r="I34240" i="5"/>
  <c r="I34205" i="5"/>
  <c r="I34168" i="5"/>
  <c r="I34139" i="5"/>
  <c r="I34102" i="5"/>
  <c r="I34072" i="5"/>
  <c r="I34051" i="5"/>
  <c r="I34026" i="5"/>
  <c r="I34004" i="5"/>
  <c r="I33985" i="5"/>
  <c r="I33962" i="5"/>
  <c r="I33940" i="5"/>
  <c r="I33921" i="5"/>
  <c r="I33898" i="5"/>
  <c r="I33876" i="5"/>
  <c r="I33857" i="5"/>
  <c r="I33834" i="5"/>
  <c r="I33812" i="5"/>
  <c r="I33793" i="5"/>
  <c r="I33770" i="5"/>
  <c r="I33748" i="5"/>
  <c r="I33729" i="5"/>
  <c r="I33706" i="5"/>
  <c r="I33684" i="5"/>
  <c r="I33665" i="5"/>
  <c r="I33642" i="5"/>
  <c r="I33620" i="5"/>
  <c r="I33601" i="5"/>
  <c r="I33578" i="5"/>
  <c r="I33556" i="5"/>
  <c r="I33537" i="5"/>
  <c r="I33514" i="5"/>
  <c r="I33492" i="5"/>
  <c r="I33473" i="5"/>
  <c r="I33450" i="5"/>
  <c r="I33428" i="5"/>
  <c r="I33409" i="5"/>
  <c r="I33386" i="5"/>
  <c r="I33364" i="5"/>
  <c r="I33345" i="5"/>
  <c r="I33322" i="5"/>
  <c r="I33300" i="5"/>
  <c r="I33281" i="5"/>
  <c r="I33258" i="5"/>
  <c r="I33236" i="5"/>
  <c r="I33217" i="5"/>
  <c r="I33194" i="5"/>
  <c r="I33172" i="5"/>
  <c r="I33153" i="5"/>
  <c r="I33130" i="5"/>
  <c r="I33114" i="5"/>
  <c r="I33098" i="5"/>
  <c r="I33082" i="5"/>
  <c r="I33066" i="5"/>
  <c r="I33050" i="5"/>
  <c r="I33034" i="5"/>
  <c r="I33018" i="5"/>
  <c r="I33002" i="5"/>
  <c r="I32986" i="5"/>
  <c r="I32970" i="5"/>
  <c r="I32954" i="5"/>
  <c r="I32938" i="5"/>
  <c r="I32922" i="5"/>
  <c r="I32906" i="5"/>
  <c r="I32890" i="5"/>
  <c r="I32874" i="5"/>
  <c r="I32858" i="5"/>
  <c r="I32842" i="5"/>
  <c r="I32826" i="5"/>
  <c r="I32810" i="5"/>
  <c r="I32794" i="5"/>
  <c r="I32778" i="5"/>
  <c r="I32762" i="5"/>
  <c r="I32746" i="5"/>
  <c r="I32730" i="5"/>
  <c r="I32714" i="5"/>
  <c r="I32698" i="5"/>
  <c r="I32682" i="5"/>
  <c r="I32666" i="5"/>
  <c r="I32650" i="5"/>
  <c r="I32634" i="5"/>
  <c r="I32618" i="5"/>
  <c r="I32602" i="5"/>
  <c r="I32586" i="5"/>
  <c r="I32572" i="5"/>
  <c r="I32561" i="5"/>
  <c r="I32547" i="5"/>
  <c r="I32535" i="5"/>
  <c r="I32522" i="5"/>
  <c r="I32508" i="5"/>
  <c r="I32497" i="5"/>
  <c r="I32483" i="5"/>
  <c r="I32471" i="5"/>
  <c r="I32458" i="5"/>
  <c r="I32444" i="5"/>
  <c r="I32433" i="5"/>
  <c r="I32419" i="5"/>
  <c r="I32407" i="5"/>
  <c r="I32395" i="5"/>
  <c r="I32385" i="5"/>
  <c r="I32375" i="5"/>
  <c r="I32363" i="5"/>
  <c r="I32353" i="5"/>
  <c r="I32343" i="5"/>
  <c r="I32331" i="5"/>
  <c r="I32321" i="5"/>
  <c r="I32311" i="5"/>
  <c r="I32299" i="5"/>
  <c r="I32289" i="5"/>
  <c r="I32279" i="5"/>
  <c r="I32267" i="5"/>
  <c r="I32259" i="5"/>
  <c r="I32251" i="5"/>
  <c r="I32243" i="5"/>
  <c r="I32235" i="5"/>
  <c r="I32227" i="5"/>
  <c r="I32219" i="5"/>
  <c r="I32211" i="5"/>
  <c r="I32203" i="5"/>
  <c r="I32195" i="5"/>
  <c r="I32187" i="5"/>
  <c r="I32179" i="5"/>
  <c r="I32171" i="5"/>
  <c r="I32163" i="5"/>
  <c r="I32155" i="5"/>
  <c r="I32147" i="5"/>
  <c r="I32139" i="5"/>
  <c r="I32131" i="5"/>
  <c r="I32123" i="5"/>
  <c r="I32115" i="5"/>
  <c r="I32107" i="5"/>
  <c r="I32099" i="5"/>
  <c r="I32091" i="5"/>
  <c r="I32083" i="5"/>
  <c r="I32075" i="5"/>
  <c r="I32067" i="5"/>
  <c r="I32059" i="5"/>
  <c r="I32051" i="5"/>
  <c r="I32043" i="5"/>
  <c r="I32035" i="5"/>
  <c r="I32027" i="5"/>
  <c r="I32019" i="5"/>
  <c r="I32011" i="5"/>
  <c r="I32003" i="5"/>
  <c r="I31995" i="5"/>
  <c r="I31987" i="5"/>
  <c r="I31979" i="5"/>
  <c r="I31971" i="5"/>
  <c r="I31963" i="5"/>
  <c r="I31955" i="5"/>
  <c r="I31947" i="5"/>
  <c r="I31939" i="5"/>
  <c r="I31931" i="5"/>
  <c r="I31923" i="5"/>
  <c r="I31915" i="5"/>
  <c r="I31907" i="5"/>
  <c r="I31899" i="5"/>
  <c r="I31891" i="5"/>
  <c r="I31883" i="5"/>
  <c r="I31875" i="5"/>
  <c r="I31867" i="5"/>
  <c r="I31859" i="5"/>
  <c r="I31851" i="5"/>
  <c r="I31843" i="5"/>
  <c r="I31835" i="5"/>
  <c r="I31827" i="5"/>
  <c r="I31819" i="5"/>
  <c r="I31811" i="5"/>
  <c r="I31803" i="5"/>
  <c r="I31795" i="5"/>
  <c r="I31787" i="5"/>
  <c r="I31779" i="5"/>
  <c r="I31771" i="5"/>
  <c r="I31763" i="5"/>
  <c r="I31755" i="5"/>
  <c r="I31747" i="5"/>
  <c r="I31739" i="5"/>
  <c r="I31731" i="5"/>
  <c r="I31723" i="5"/>
  <c r="I31715" i="5"/>
  <c r="I31707" i="5"/>
  <c r="I31699" i="5"/>
  <c r="I31691" i="5"/>
  <c r="I31683" i="5"/>
  <c r="I31675" i="5"/>
  <c r="I31667" i="5"/>
  <c r="I31659" i="5"/>
  <c r="I31651" i="5"/>
  <c r="I31643" i="5"/>
  <c r="I31635" i="5"/>
  <c r="I31627" i="5"/>
  <c r="I31619" i="5"/>
  <c r="I31611" i="5"/>
  <c r="I31603" i="5"/>
  <c r="I31595" i="5"/>
  <c r="I31587" i="5"/>
  <c r="I31579" i="5"/>
  <c r="I31571" i="5"/>
  <c r="I31563" i="5"/>
  <c r="I31555" i="5"/>
  <c r="I31547" i="5"/>
  <c r="I31539" i="5"/>
  <c r="I31531" i="5"/>
  <c r="I31523" i="5"/>
  <c r="I31515" i="5"/>
  <c r="I31507" i="5"/>
  <c r="I31499" i="5"/>
  <c r="I31491" i="5"/>
  <c r="I31483" i="5"/>
  <c r="I31475" i="5"/>
  <c r="I31467" i="5"/>
  <c r="I31459" i="5"/>
  <c r="I31451" i="5"/>
  <c r="I31443" i="5"/>
  <c r="I31435" i="5"/>
  <c r="I31427" i="5"/>
  <c r="I31419" i="5"/>
  <c r="I31411" i="5"/>
  <c r="I31403" i="5"/>
  <c r="I31395" i="5"/>
  <c r="I31387" i="5"/>
  <c r="I31379" i="5"/>
  <c r="I31371" i="5"/>
  <c r="I31363" i="5"/>
  <c r="I31355" i="5"/>
  <c r="I31347" i="5"/>
  <c r="I31339" i="5"/>
  <c r="I31331" i="5"/>
  <c r="I31323" i="5"/>
  <c r="I31315" i="5"/>
  <c r="I31307" i="5"/>
  <c r="I31299" i="5"/>
  <c r="I31291" i="5"/>
  <c r="I31283" i="5"/>
  <c r="I31275" i="5"/>
  <c r="I31267" i="5"/>
  <c r="I31259" i="5"/>
  <c r="I31251" i="5"/>
  <c r="I31243" i="5"/>
  <c r="I31235" i="5"/>
  <c r="I31227" i="5"/>
  <c r="I31219" i="5"/>
  <c r="I31211" i="5"/>
  <c r="I31203" i="5"/>
  <c r="I31195" i="5"/>
  <c r="I31187" i="5"/>
  <c r="I31179" i="5"/>
  <c r="I31171" i="5"/>
  <c r="I31163" i="5"/>
  <c r="I31155" i="5"/>
  <c r="I31147" i="5"/>
  <c r="I31139" i="5"/>
  <c r="I31131" i="5"/>
  <c r="I31123" i="5"/>
  <c r="I31115" i="5"/>
  <c r="I31107" i="5"/>
  <c r="I31099" i="5"/>
  <c r="I31091" i="5"/>
  <c r="I31083" i="5"/>
  <c r="I31075" i="5"/>
  <c r="I31067" i="5"/>
  <c r="I31059" i="5"/>
  <c r="I31051" i="5"/>
  <c r="I31043" i="5"/>
  <c r="I31035" i="5"/>
  <c r="I31027" i="5"/>
  <c r="I31019" i="5"/>
  <c r="I31011" i="5"/>
  <c r="I31003" i="5"/>
  <c r="I30995" i="5"/>
  <c r="I30987" i="5"/>
  <c r="I30979" i="5"/>
  <c r="I30971" i="5"/>
  <c r="I30963" i="5"/>
  <c r="I30955" i="5"/>
  <c r="I30947" i="5"/>
  <c r="I30939" i="5"/>
  <c r="I30931" i="5"/>
  <c r="I30923" i="5"/>
  <c r="I30915" i="5"/>
  <c r="I30907" i="5"/>
  <c r="I30899" i="5"/>
  <c r="I30891" i="5"/>
  <c r="I30883" i="5"/>
  <c r="I30875" i="5"/>
  <c r="I30867" i="5"/>
  <c r="I30859" i="5"/>
  <c r="I38044" i="5"/>
  <c r="I37086" i="5"/>
  <c r="I36713" i="5"/>
  <c r="I36490" i="5"/>
  <c r="I36292" i="5"/>
  <c r="I36140" i="5"/>
  <c r="I36001" i="5"/>
  <c r="I35849" i="5"/>
  <c r="I35752" i="5"/>
  <c r="I35672" i="5"/>
  <c r="I35584" i="5"/>
  <c r="I35526" i="5"/>
  <c r="I35477" i="5"/>
  <c r="I35414" i="5"/>
  <c r="I35357" i="5"/>
  <c r="I35304" i="5"/>
  <c r="I35245" i="5"/>
  <c r="I35184" i="5"/>
  <c r="I35134" i="5"/>
  <c r="I35072" i="5"/>
  <c r="I35014" i="5"/>
  <c r="I34965" i="5"/>
  <c r="I34902" i="5"/>
  <c r="I34845" i="5"/>
  <c r="I34799" i="5"/>
  <c r="I34752" i="5"/>
  <c r="I34710" i="5"/>
  <c r="I34671" i="5"/>
  <c r="I34624" i="5"/>
  <c r="I34582" i="5"/>
  <c r="I34543" i="5"/>
  <c r="I34496" i="5"/>
  <c r="I34454" i="5"/>
  <c r="I34415" i="5"/>
  <c r="I34371" i="5"/>
  <c r="I34335" i="5"/>
  <c r="I34304" i="5"/>
  <c r="I34269" i="5"/>
  <c r="I34232" i="5"/>
  <c r="I34203" i="5"/>
  <c r="I34166" i="5"/>
  <c r="I34131" i="5"/>
  <c r="I34101" i="5"/>
  <c r="I34070" i="5"/>
  <c r="I34045" i="5"/>
  <c r="I34025" i="5"/>
  <c r="I34002" i="5"/>
  <c r="I33980" i="5"/>
  <c r="I33961" i="5"/>
  <c r="I33938" i="5"/>
  <c r="I33916" i="5"/>
  <c r="I33897" i="5"/>
  <c r="I33874" i="5"/>
  <c r="I33852" i="5"/>
  <c r="I33833" i="5"/>
  <c r="I33810" i="5"/>
  <c r="I33788" i="5"/>
  <c r="I33769" i="5"/>
  <c r="I33746" i="5"/>
  <c r="I33724" i="5"/>
  <c r="I33705" i="5"/>
  <c r="I33682" i="5"/>
  <c r="I33660" i="5"/>
  <c r="I33641" i="5"/>
  <c r="I33618" i="5"/>
  <c r="I33596" i="5"/>
  <c r="I33577" i="5"/>
  <c r="I33554" i="5"/>
  <c r="I33532" i="5"/>
  <c r="I33513" i="5"/>
  <c r="I33490" i="5"/>
  <c r="I33468" i="5"/>
  <c r="I33449" i="5"/>
  <c r="I33426" i="5"/>
  <c r="I33404" i="5"/>
  <c r="I33385" i="5"/>
  <c r="I33362" i="5"/>
  <c r="I33340" i="5"/>
  <c r="I33321" i="5"/>
  <c r="I33298" i="5"/>
  <c r="I33276" i="5"/>
  <c r="I33257" i="5"/>
  <c r="I33234" i="5"/>
  <c r="I33212" i="5"/>
  <c r="I33193" i="5"/>
  <c r="I33170" i="5"/>
  <c r="I33148" i="5"/>
  <c r="I33129" i="5"/>
  <c r="I33113" i="5"/>
  <c r="I33097" i="5"/>
  <c r="I33081" i="5"/>
  <c r="I33065" i="5"/>
  <c r="I33049" i="5"/>
  <c r="I33033" i="5"/>
  <c r="I33017" i="5"/>
  <c r="I33001" i="5"/>
  <c r="I32985" i="5"/>
  <c r="I32969" i="5"/>
  <c r="I32953" i="5"/>
  <c r="I32937" i="5"/>
  <c r="I32921" i="5"/>
  <c r="I32905" i="5"/>
  <c r="I32889" i="5"/>
  <c r="I32873" i="5"/>
  <c r="I32857" i="5"/>
  <c r="I32841" i="5"/>
  <c r="I32825" i="5"/>
  <c r="I32809" i="5"/>
  <c r="I32793" i="5"/>
  <c r="I32777" i="5"/>
  <c r="I32761" i="5"/>
  <c r="I32745" i="5"/>
  <c r="I32729" i="5"/>
  <c r="I32713" i="5"/>
  <c r="I32697" i="5"/>
  <c r="I32681" i="5"/>
  <c r="I32665" i="5"/>
  <c r="I32649" i="5"/>
  <c r="I32633" i="5"/>
  <c r="I32617" i="5"/>
  <c r="I32601" i="5"/>
  <c r="I32585" i="5"/>
  <c r="I32571" i="5"/>
  <c r="I32559" i="5"/>
  <c r="I32546" i="5"/>
  <c r="I32532" i="5"/>
  <c r="I32521" i="5"/>
  <c r="I32507" i="5"/>
  <c r="I32495" i="5"/>
  <c r="I32482" i="5"/>
  <c r="I32468" i="5"/>
  <c r="I32457" i="5"/>
  <c r="I32443" i="5"/>
  <c r="I32431" i="5"/>
  <c r="I32418" i="5"/>
  <c r="I32404" i="5"/>
  <c r="I32394" i="5"/>
  <c r="I32384" i="5"/>
  <c r="I32372" i="5"/>
  <c r="I32362" i="5"/>
  <c r="I32352" i="5"/>
  <c r="I32340" i="5"/>
  <c r="I32330" i="5"/>
  <c r="I32320" i="5"/>
  <c r="I32308" i="5"/>
  <c r="I32298" i="5"/>
  <c r="I32288" i="5"/>
  <c r="I32276" i="5"/>
  <c r="I32266" i="5"/>
  <c r="I32258" i="5"/>
  <c r="I32250" i="5"/>
  <c r="I32242" i="5"/>
  <c r="I32234" i="5"/>
  <c r="I32226" i="5"/>
  <c r="I32218" i="5"/>
  <c r="I32210" i="5"/>
  <c r="I32202" i="5"/>
  <c r="I32194" i="5"/>
  <c r="I32186" i="5"/>
  <c r="I32178" i="5"/>
  <c r="I32170" i="5"/>
  <c r="I32162" i="5"/>
  <c r="I32154" i="5"/>
  <c r="I32146" i="5"/>
  <c r="I32138" i="5"/>
  <c r="I32130" i="5"/>
  <c r="I32122" i="5"/>
  <c r="I32114" i="5"/>
  <c r="I32106" i="5"/>
  <c r="I32098" i="5"/>
  <c r="I32090" i="5"/>
  <c r="I32082" i="5"/>
  <c r="I32074" i="5"/>
  <c r="I32066" i="5"/>
  <c r="I32058" i="5"/>
  <c r="I32050" i="5"/>
  <c r="I32042" i="5"/>
  <c r="I32034" i="5"/>
  <c r="I32026" i="5"/>
  <c r="I32018" i="5"/>
  <c r="I32010" i="5"/>
  <c r="I32002" i="5"/>
  <c r="I31994" i="5"/>
  <c r="I31986" i="5"/>
  <c r="I31978" i="5"/>
  <c r="I31970" i="5"/>
  <c r="I31962" i="5"/>
  <c r="I31954" i="5"/>
  <c r="I31946" i="5"/>
  <c r="I31938" i="5"/>
  <c r="I31930" i="5"/>
  <c r="I31922" i="5"/>
  <c r="I31914" i="5"/>
  <c r="I31906" i="5"/>
  <c r="I31898" i="5"/>
  <c r="I31890" i="5"/>
  <c r="I31882" i="5"/>
  <c r="I31874" i="5"/>
  <c r="I31866" i="5"/>
  <c r="I31858" i="5"/>
  <c r="I31850" i="5"/>
  <c r="I31842" i="5"/>
  <c r="I31834" i="5"/>
  <c r="I31826" i="5"/>
  <c r="I31818" i="5"/>
  <c r="I31810" i="5"/>
  <c r="I31802" i="5"/>
  <c r="I31794" i="5"/>
  <c r="I31786" i="5"/>
  <c r="I31778" i="5"/>
  <c r="I31770" i="5"/>
  <c r="I31762" i="5"/>
  <c r="I31754" i="5"/>
  <c r="I31746" i="5"/>
  <c r="I31738" i="5"/>
  <c r="I31730" i="5"/>
  <c r="I31722" i="5"/>
  <c r="I31714" i="5"/>
  <c r="I31706" i="5"/>
  <c r="I31698" i="5"/>
  <c r="I31690" i="5"/>
  <c r="I31682" i="5"/>
  <c r="I31674" i="5"/>
  <c r="I31666" i="5"/>
  <c r="I31658" i="5"/>
  <c r="I31650" i="5"/>
  <c r="I31642" i="5"/>
  <c r="I31634" i="5"/>
  <c r="I31626" i="5"/>
  <c r="I31618" i="5"/>
  <c r="I31610" i="5"/>
  <c r="I31602" i="5"/>
  <c r="I31594" i="5"/>
  <c r="I31586" i="5"/>
  <c r="I31578" i="5"/>
  <c r="I31570" i="5"/>
  <c r="I31562" i="5"/>
  <c r="I31554" i="5"/>
  <c r="I31546" i="5"/>
  <c r="I31538" i="5"/>
  <c r="I31530" i="5"/>
  <c r="I31522" i="5"/>
  <c r="I31514" i="5"/>
  <c r="I31506" i="5"/>
  <c r="I31498" i="5"/>
  <c r="I31490" i="5"/>
  <c r="I31482" i="5"/>
  <c r="I31474" i="5"/>
  <c r="I31466" i="5"/>
  <c r="I31458" i="5"/>
  <c r="I31450" i="5"/>
  <c r="I31442" i="5"/>
  <c r="I31434" i="5"/>
  <c r="I31426" i="5"/>
  <c r="I31418" i="5"/>
  <c r="I31410" i="5"/>
  <c r="I31402" i="5"/>
  <c r="I31394" i="5"/>
  <c r="I31386" i="5"/>
  <c r="I31378" i="5"/>
  <c r="I31370" i="5"/>
  <c r="I31362" i="5"/>
  <c r="I31354" i="5"/>
  <c r="I31346" i="5"/>
  <c r="I31338" i="5"/>
  <c r="I31330" i="5"/>
  <c r="I31322" i="5"/>
  <c r="I31314" i="5"/>
  <c r="I31306" i="5"/>
  <c r="I31298" i="5"/>
  <c r="I31290" i="5"/>
  <c r="I31282" i="5"/>
  <c r="I31274" i="5"/>
  <c r="I31266" i="5"/>
  <c r="I31258" i="5"/>
  <c r="I31250" i="5"/>
  <c r="I31242" i="5"/>
  <c r="I31234" i="5"/>
  <c r="I31226" i="5"/>
  <c r="I31218" i="5"/>
  <c r="I31210" i="5"/>
  <c r="I31202" i="5"/>
  <c r="I31194" i="5"/>
  <c r="I31186" i="5"/>
  <c r="I31178" i="5"/>
  <c r="I31170" i="5"/>
  <c r="I31162" i="5"/>
  <c r="I31154" i="5"/>
  <c r="I31146" i="5"/>
  <c r="I31138" i="5"/>
  <c r="I31130" i="5"/>
  <c r="I31122" i="5"/>
  <c r="I31114" i="5"/>
  <c r="I31106" i="5"/>
  <c r="I31098" i="5"/>
  <c r="I31090" i="5"/>
  <c r="I31082" i="5"/>
  <c r="I31074" i="5"/>
  <c r="I31066" i="5"/>
  <c r="I31058" i="5"/>
  <c r="I31050" i="5"/>
  <c r="I31042" i="5"/>
  <c r="I31034" i="5"/>
  <c r="I31026" i="5"/>
  <c r="I31018" i="5"/>
  <c r="I31010" i="5"/>
  <c r="I31002" i="5"/>
  <c r="I30994" i="5"/>
  <c r="I30986" i="5"/>
  <c r="I30978" i="5"/>
  <c r="I30970" i="5"/>
  <c r="I30962" i="5"/>
  <c r="I30954" i="5"/>
  <c r="I30946" i="5"/>
  <c r="I30938" i="5"/>
  <c r="I30930" i="5"/>
  <c r="I30922" i="5"/>
  <c r="I30914" i="5"/>
  <c r="I30906" i="5"/>
  <c r="I30898" i="5"/>
  <c r="I30890" i="5"/>
  <c r="I30882" i="5"/>
  <c r="I30874" i="5"/>
  <c r="I30866" i="5"/>
  <c r="I30858" i="5"/>
  <c r="I30850" i="5"/>
  <c r="I30842" i="5"/>
  <c r="I30834" i="5"/>
  <c r="I30826" i="5"/>
  <c r="I30818" i="5"/>
  <c r="I30810" i="5"/>
  <c r="I30802" i="5"/>
  <c r="I30794" i="5"/>
  <c r="I30786" i="5"/>
  <c r="I30778" i="5"/>
  <c r="I30770" i="5"/>
  <c r="I30762" i="5"/>
  <c r="I30754" i="5"/>
  <c r="I30746" i="5"/>
  <c r="I30738" i="5"/>
  <c r="I30730" i="5"/>
  <c r="I30722" i="5"/>
  <c r="I30714" i="5"/>
  <c r="I30706" i="5"/>
  <c r="I30698" i="5"/>
  <c r="I30690" i="5"/>
  <c r="I37653" i="5"/>
  <c r="I37065" i="5"/>
  <c r="I36681" i="5"/>
  <c r="I36430" i="5"/>
  <c r="I36291" i="5"/>
  <c r="I36123" i="5"/>
  <c r="I35971" i="5"/>
  <c r="I35841" i="5"/>
  <c r="I35747" i="5"/>
  <c r="I35649" i="5"/>
  <c r="I35582" i="5"/>
  <c r="I35520" i="5"/>
  <c r="I35462" i="5"/>
  <c r="I35413" i="5"/>
  <c r="I35350" i="5"/>
  <c r="I35293" i="5"/>
  <c r="I35240" i="5"/>
  <c r="I35181" i="5"/>
  <c r="I35120" i="5"/>
  <c r="I35070" i="5"/>
  <c r="I35008" i="5"/>
  <c r="I34950" i="5"/>
  <c r="I34901" i="5"/>
  <c r="I34838" i="5"/>
  <c r="I34790" i="5"/>
  <c r="I34751" i="5"/>
  <c r="I34704" i="5"/>
  <c r="I34662" i="5"/>
  <c r="I34623" i="5"/>
  <c r="I34576" i="5"/>
  <c r="I34534" i="5"/>
  <c r="I34495" i="5"/>
  <c r="I34448" i="5"/>
  <c r="I34406" i="5"/>
  <c r="I34368" i="5"/>
  <c r="I34333" i="5"/>
  <c r="I34296" i="5"/>
  <c r="I34267" i="5"/>
  <c r="I34230" i="5"/>
  <c r="I34195" i="5"/>
  <c r="I34165" i="5"/>
  <c r="I34127" i="5"/>
  <c r="I34094" i="5"/>
  <c r="I34069" i="5"/>
  <c r="I34043" i="5"/>
  <c r="I34020" i="5"/>
  <c r="I34001" i="5"/>
  <c r="I33978" i="5"/>
  <c r="I33956" i="5"/>
  <c r="I33937" i="5"/>
  <c r="I33914" i="5"/>
  <c r="I33892" i="5"/>
  <c r="I33873" i="5"/>
  <c r="I33850" i="5"/>
  <c r="I33828" i="5"/>
  <c r="I33809" i="5"/>
  <c r="I33786" i="5"/>
  <c r="I33764" i="5"/>
  <c r="I33745" i="5"/>
  <c r="I33722" i="5"/>
  <c r="I33700" i="5"/>
  <c r="I33681" i="5"/>
  <c r="I33658" i="5"/>
  <c r="I33636" i="5"/>
  <c r="I33617" i="5"/>
  <c r="I33594" i="5"/>
  <c r="I33572" i="5"/>
  <c r="I33553" i="5"/>
  <c r="I33530" i="5"/>
  <c r="I33508" i="5"/>
  <c r="I33489" i="5"/>
  <c r="I33466" i="5"/>
  <c r="I33444" i="5"/>
  <c r="I33425" i="5"/>
  <c r="I33402" i="5"/>
  <c r="I33380" i="5"/>
  <c r="I33361" i="5"/>
  <c r="I33338" i="5"/>
  <c r="I33316" i="5"/>
  <c r="I33297" i="5"/>
  <c r="I33274" i="5"/>
  <c r="I33252" i="5"/>
  <c r="I33233" i="5"/>
  <c r="I33210" i="5"/>
  <c r="I33188" i="5"/>
  <c r="I33169" i="5"/>
  <c r="I33146" i="5"/>
  <c r="I33124" i="5"/>
  <c r="I33108" i="5"/>
  <c r="I33092" i="5"/>
  <c r="I33076" i="5"/>
  <c r="I33060" i="5"/>
  <c r="I33044" i="5"/>
  <c r="I33028" i="5"/>
  <c r="I33012" i="5"/>
  <c r="I32996" i="5"/>
  <c r="I32980" i="5"/>
  <c r="I32964" i="5"/>
  <c r="I32948" i="5"/>
  <c r="I32932" i="5"/>
  <c r="I32916" i="5"/>
  <c r="I32900" i="5"/>
  <c r="I32884" i="5"/>
  <c r="I32868" i="5"/>
  <c r="I32852" i="5"/>
  <c r="I32836" i="5"/>
  <c r="I32820" i="5"/>
  <c r="I32804" i="5"/>
  <c r="I32788" i="5"/>
  <c r="I32772" i="5"/>
  <c r="I32756" i="5"/>
  <c r="I32740" i="5"/>
  <c r="I32724" i="5"/>
  <c r="I32708" i="5"/>
  <c r="I32692" i="5"/>
  <c r="I32676" i="5"/>
  <c r="I32660" i="5"/>
  <c r="I32644" i="5"/>
  <c r="I32628" i="5"/>
  <c r="I32612" i="5"/>
  <c r="I32596" i="5"/>
  <c r="I32583" i="5"/>
  <c r="I32570" i="5"/>
  <c r="I32556" i="5"/>
  <c r="I32545" i="5"/>
  <c r="I32531" i="5"/>
  <c r="I32519" i="5"/>
  <c r="I32506" i="5"/>
  <c r="I32492" i="5"/>
  <c r="I32481" i="5"/>
  <c r="I32467" i="5"/>
  <c r="I32455" i="5"/>
  <c r="I32442" i="5"/>
  <c r="I32428" i="5"/>
  <c r="I32417" i="5"/>
  <c r="I32403" i="5"/>
  <c r="I32393" i="5"/>
  <c r="I32383" i="5"/>
  <c r="I32371" i="5"/>
  <c r="I32361" i="5"/>
  <c r="I32351" i="5"/>
  <c r="I32339" i="5"/>
  <c r="I32329" i="5"/>
  <c r="I32319" i="5"/>
  <c r="I32307" i="5"/>
  <c r="I32297" i="5"/>
  <c r="I32287" i="5"/>
  <c r="I32275" i="5"/>
  <c r="I32265" i="5"/>
  <c r="I32257" i="5"/>
  <c r="I32249" i="5"/>
  <c r="I32241" i="5"/>
  <c r="I32233" i="5"/>
  <c r="I32225" i="5"/>
  <c r="I32217" i="5"/>
  <c r="I32209" i="5"/>
  <c r="I32201" i="5"/>
  <c r="I32193" i="5"/>
  <c r="I32185" i="5"/>
  <c r="I32177" i="5"/>
  <c r="I32169" i="5"/>
  <c r="I32161" i="5"/>
  <c r="I32153" i="5"/>
  <c r="I32145" i="5"/>
  <c r="I32137" i="5"/>
  <c r="I32129" i="5"/>
  <c r="I32121" i="5"/>
  <c r="I32113" i="5"/>
  <c r="I32105" i="5"/>
  <c r="I32097" i="5"/>
  <c r="I32089" i="5"/>
  <c r="I32081" i="5"/>
  <c r="I32073" i="5"/>
  <c r="I32065" i="5"/>
  <c r="I32057" i="5"/>
  <c r="I32049" i="5"/>
  <c r="I32041" i="5"/>
  <c r="I32033" i="5"/>
  <c r="I32025" i="5"/>
  <c r="I32017" i="5"/>
  <c r="I32009" i="5"/>
  <c r="I32001" i="5"/>
  <c r="I31993" i="5"/>
  <c r="I31985" i="5"/>
  <c r="I31977" i="5"/>
  <c r="I31969" i="5"/>
  <c r="I31961" i="5"/>
  <c r="I31953" i="5"/>
  <c r="I31945" i="5"/>
  <c r="I31937" i="5"/>
  <c r="I31929" i="5"/>
  <c r="I31921" i="5"/>
  <c r="I31913" i="5"/>
  <c r="I31905" i="5"/>
  <c r="I31897" i="5"/>
  <c r="I31889" i="5"/>
  <c r="I31881" i="5"/>
  <c r="I31873" i="5"/>
  <c r="I31865" i="5"/>
  <c r="I31857" i="5"/>
  <c r="I31849" i="5"/>
  <c r="I31841" i="5"/>
  <c r="I31833" i="5"/>
  <c r="I31825" i="5"/>
  <c r="I31817" i="5"/>
  <c r="I31809" i="5"/>
  <c r="I31801" i="5"/>
  <c r="I31793" i="5"/>
  <c r="I31785" i="5"/>
  <c r="I31777" i="5"/>
  <c r="I31769" i="5"/>
  <c r="I31761" i="5"/>
  <c r="I31753" i="5"/>
  <c r="I31745" i="5"/>
  <c r="I31737" i="5"/>
  <c r="I31729" i="5"/>
  <c r="I31721" i="5"/>
  <c r="I31713" i="5"/>
  <c r="I31705" i="5"/>
  <c r="I31697" i="5"/>
  <c r="I31689" i="5"/>
  <c r="I31681" i="5"/>
  <c r="I31673" i="5"/>
  <c r="I31665" i="5"/>
  <c r="I31657" i="5"/>
  <c r="I31649" i="5"/>
  <c r="I31641" i="5"/>
  <c r="I31633" i="5"/>
  <c r="I31625" i="5"/>
  <c r="I31617" i="5"/>
  <c r="I31609" i="5"/>
  <c r="I31601" i="5"/>
  <c r="I31593" i="5"/>
  <c r="I31585" i="5"/>
  <c r="I31577" i="5"/>
  <c r="I31569" i="5"/>
  <c r="I31561" i="5"/>
  <c r="I31553" i="5"/>
  <c r="I40852" i="5"/>
  <c r="I37313" i="5"/>
  <c r="I36913" i="5"/>
  <c r="I36593" i="5"/>
  <c r="I36363" i="5"/>
  <c r="I36228" i="5"/>
  <c r="I36065" i="5"/>
  <c r="I35908" i="5"/>
  <c r="I35811" i="5"/>
  <c r="I35710" i="5"/>
  <c r="I35619" i="5"/>
  <c r="I35560" i="5"/>
  <c r="I35501" i="5"/>
  <c r="I35440" i="5"/>
  <c r="I35390" i="5"/>
  <c r="I35328" i="5"/>
  <c r="I35270" i="5"/>
  <c r="I35221" i="5"/>
  <c r="I35158" i="5"/>
  <c r="I35101" i="5"/>
  <c r="I35048" i="5"/>
  <c r="I34989" i="5"/>
  <c r="I34928" i="5"/>
  <c r="I34878" i="5"/>
  <c r="I34816" i="5"/>
  <c r="I34774" i="5"/>
  <c r="I34735" i="5"/>
  <c r="I34688" i="5"/>
  <c r="I34646" i="5"/>
  <c r="I34607" i="5"/>
  <c r="I34560" i="5"/>
  <c r="I34518" i="5"/>
  <c r="I34479" i="5"/>
  <c r="I34432" i="5"/>
  <c r="I34390" i="5"/>
  <c r="I34357" i="5"/>
  <c r="I34319" i="5"/>
  <c r="I34285" i="5"/>
  <c r="I34254" i="5"/>
  <c r="I34216" i="5"/>
  <c r="I34182" i="5"/>
  <c r="I34151" i="5"/>
  <c r="I34115" i="5"/>
  <c r="I34083" i="5"/>
  <c r="I34060" i="5"/>
  <c r="I34034" i="5"/>
  <c r="I34012" i="5"/>
  <c r="I33993" i="5"/>
  <c r="I33970" i="5"/>
  <c r="I33948" i="5"/>
  <c r="I33929" i="5"/>
  <c r="I33906" i="5"/>
  <c r="I33884" i="5"/>
  <c r="I33865" i="5"/>
  <c r="I33842" i="5"/>
  <c r="I33820" i="5"/>
  <c r="I33801" i="5"/>
  <c r="I33778" i="5"/>
  <c r="I33756" i="5"/>
  <c r="I33737" i="5"/>
  <c r="I33714" i="5"/>
  <c r="I33692" i="5"/>
  <c r="I33673" i="5"/>
  <c r="I33650" i="5"/>
  <c r="I33628" i="5"/>
  <c r="I33609" i="5"/>
  <c r="I33586" i="5"/>
  <c r="I33564" i="5"/>
  <c r="I33545" i="5"/>
  <c r="I33522" i="5"/>
  <c r="I33500" i="5"/>
  <c r="I33481" i="5"/>
  <c r="I33458" i="5"/>
  <c r="I33436" i="5"/>
  <c r="I33417" i="5"/>
  <c r="I33394" i="5"/>
  <c r="I33372" i="5"/>
  <c r="I33353" i="5"/>
  <c r="I33330" i="5"/>
  <c r="I33308" i="5"/>
  <c r="I33289" i="5"/>
  <c r="I33266" i="5"/>
  <c r="I33244" i="5"/>
  <c r="I33225" i="5"/>
  <c r="I33202" i="5"/>
  <c r="I33180" i="5"/>
  <c r="I33161" i="5"/>
  <c r="I33138" i="5"/>
  <c r="I33121" i="5"/>
  <c r="I33105" i="5"/>
  <c r="I33089" i="5"/>
  <c r="I33073" i="5"/>
  <c r="I33057" i="5"/>
  <c r="I33041" i="5"/>
  <c r="I33025" i="5"/>
  <c r="I33009" i="5"/>
  <c r="I32993" i="5"/>
  <c r="I32977" i="5"/>
  <c r="I32961" i="5"/>
  <c r="I32945" i="5"/>
  <c r="I32929" i="5"/>
  <c r="I32913" i="5"/>
  <c r="I32897" i="5"/>
  <c r="I32881" i="5"/>
  <c r="I32865" i="5"/>
  <c r="I32849" i="5"/>
  <c r="I32833" i="5"/>
  <c r="I32817" i="5"/>
  <c r="I32801" i="5"/>
  <c r="I32785" i="5"/>
  <c r="I32769" i="5"/>
  <c r="I32753" i="5"/>
  <c r="I32737" i="5"/>
  <c r="I32721" i="5"/>
  <c r="I32705" i="5"/>
  <c r="I32689" i="5"/>
  <c r="I32673" i="5"/>
  <c r="I32657" i="5"/>
  <c r="I32641" i="5"/>
  <c r="I32625" i="5"/>
  <c r="I32609" i="5"/>
  <c r="I32593" i="5"/>
  <c r="I32578" i="5"/>
  <c r="I32564" i="5"/>
  <c r="I32553" i="5"/>
  <c r="I32539" i="5"/>
  <c r="I32527" i="5"/>
  <c r="I32514" i="5"/>
  <c r="I32500" i="5"/>
  <c r="I32489" i="5"/>
  <c r="I32475" i="5"/>
  <c r="I32463" i="5"/>
  <c r="I32450" i="5"/>
  <c r="I32436" i="5"/>
  <c r="I32425" i="5"/>
  <c r="I32411" i="5"/>
  <c r="I32400" i="5"/>
  <c r="I32388" i="5"/>
  <c r="I32378" i="5"/>
  <c r="I32368" i="5"/>
  <c r="I32356" i="5"/>
  <c r="I32346" i="5"/>
  <c r="I32336" i="5"/>
  <c r="I32324" i="5"/>
  <c r="I32314" i="5"/>
  <c r="I32304" i="5"/>
  <c r="I32292" i="5"/>
  <c r="I32282" i="5"/>
  <c r="I32272" i="5"/>
  <c r="I32262" i="5"/>
  <c r="I32254" i="5"/>
  <c r="I32246" i="5"/>
  <c r="I32238" i="5"/>
  <c r="I32230" i="5"/>
  <c r="I32222" i="5"/>
  <c r="I32214" i="5"/>
  <c r="I32206" i="5"/>
  <c r="I32198" i="5"/>
  <c r="I32190" i="5"/>
  <c r="I32182" i="5"/>
  <c r="I32174" i="5"/>
  <c r="I32166" i="5"/>
  <c r="I32158" i="5"/>
  <c r="I32150" i="5"/>
  <c r="I32142" i="5"/>
  <c r="I32134" i="5"/>
  <c r="I32126" i="5"/>
  <c r="I32118" i="5"/>
  <c r="I32110" i="5"/>
  <c r="I32102" i="5"/>
  <c r="I32094" i="5"/>
  <c r="I32086" i="5"/>
  <c r="I32078" i="5"/>
  <c r="I32070" i="5"/>
  <c r="I32062" i="5"/>
  <c r="I32054" i="5"/>
  <c r="I32046" i="5"/>
  <c r="I32038" i="5"/>
  <c r="I32030" i="5"/>
  <c r="I32022" i="5"/>
  <c r="I32014" i="5"/>
  <c r="I32006" i="5"/>
  <c r="I31998" i="5"/>
  <c r="I31990" i="5"/>
  <c r="I31982" i="5"/>
  <c r="I31974" i="5"/>
  <c r="I31966" i="5"/>
  <c r="I31958" i="5"/>
  <c r="I31950" i="5"/>
  <c r="I31942" i="5"/>
  <c r="I31934" i="5"/>
  <c r="I31926" i="5"/>
  <c r="I31918" i="5"/>
  <c r="I31910" i="5"/>
  <c r="I31902" i="5"/>
  <c r="I31894" i="5"/>
  <c r="I31886" i="5"/>
  <c r="I31878" i="5"/>
  <c r="I31870" i="5"/>
  <c r="I31862" i="5"/>
  <c r="I31854" i="5"/>
  <c r="I31846" i="5"/>
  <c r="I31838" i="5"/>
  <c r="I31830" i="5"/>
  <c r="I31822" i="5"/>
  <c r="I31814" i="5"/>
  <c r="I31806" i="5"/>
  <c r="I31798" i="5"/>
  <c r="I31790" i="5"/>
  <c r="I31782" i="5"/>
  <c r="I31774" i="5"/>
  <c r="I31766" i="5"/>
  <c r="I31758" i="5"/>
  <c r="I31750" i="5"/>
  <c r="I31742" i="5"/>
  <c r="I31734" i="5"/>
  <c r="I31726" i="5"/>
  <c r="I31718" i="5"/>
  <c r="I31710" i="5"/>
  <c r="I31702" i="5"/>
  <c r="I31694" i="5"/>
  <c r="I31686" i="5"/>
  <c r="I31678" i="5"/>
  <c r="I31670" i="5"/>
  <c r="I31662" i="5"/>
  <c r="I31654" i="5"/>
  <c r="I31646" i="5"/>
  <c r="I31638" i="5"/>
  <c r="I31630" i="5"/>
  <c r="I31622" i="5"/>
  <c r="I31614" i="5"/>
  <c r="I31606" i="5"/>
  <c r="I31598" i="5"/>
  <c r="I31590" i="5"/>
  <c r="I31582" i="5"/>
  <c r="I31574" i="5"/>
  <c r="I31566" i="5"/>
  <c r="I31558" i="5"/>
  <c r="I31550" i="5"/>
  <c r="I31542" i="5"/>
  <c r="I31534" i="5"/>
  <c r="I31526" i="5"/>
  <c r="I31518" i="5"/>
  <c r="I31510" i="5"/>
  <c r="I31502" i="5"/>
  <c r="I31494" i="5"/>
  <c r="I31486" i="5"/>
  <c r="I31478" i="5"/>
  <c r="I31470" i="5"/>
  <c r="I31462" i="5"/>
  <c r="I31454" i="5"/>
  <c r="I31446" i="5"/>
  <c r="I31438" i="5"/>
  <c r="I31430" i="5"/>
  <c r="I31422" i="5"/>
  <c r="I31414" i="5"/>
  <c r="I31406" i="5"/>
  <c r="I31398" i="5"/>
  <c r="I31390" i="5"/>
  <c r="I31382" i="5"/>
  <c r="I31374" i="5"/>
  <c r="I31366" i="5"/>
  <c r="I31358" i="5"/>
  <c r="I31350" i="5"/>
  <c r="I31342" i="5"/>
  <c r="I31334" i="5"/>
  <c r="I31326" i="5"/>
  <c r="I31318" i="5"/>
  <c r="I31310" i="5"/>
  <c r="I31302" i="5"/>
  <c r="I31294" i="5"/>
  <c r="I31286" i="5"/>
  <c r="I31278" i="5"/>
  <c r="I31270" i="5"/>
  <c r="I31262" i="5"/>
  <c r="I31254" i="5"/>
  <c r="I31246" i="5"/>
  <c r="I31238" i="5"/>
  <c r="I31230" i="5"/>
  <c r="I31222" i="5"/>
  <c r="I31214" i="5"/>
  <c r="I31206" i="5"/>
  <c r="I31198" i="5"/>
  <c r="I31190" i="5"/>
  <c r="I31182" i="5"/>
  <c r="I31174" i="5"/>
  <c r="I31166" i="5"/>
  <c r="I31158" i="5"/>
  <c r="I31150" i="5"/>
  <c r="I31142" i="5"/>
  <c r="I31134" i="5"/>
  <c r="I31126" i="5"/>
  <c r="I31118" i="5"/>
  <c r="I31110" i="5"/>
  <c r="I31102" i="5"/>
  <c r="I31094" i="5"/>
  <c r="I31086" i="5"/>
  <c r="I31078" i="5"/>
  <c r="I31070" i="5"/>
  <c r="I31062" i="5"/>
  <c r="I31054" i="5"/>
  <c r="I31046" i="5"/>
  <c r="I31038" i="5"/>
  <c r="I31030" i="5"/>
  <c r="I31022" i="5"/>
  <c r="I31014" i="5"/>
  <c r="I31006" i="5"/>
  <c r="I30998" i="5"/>
  <c r="I30990" i="5"/>
  <c r="I30982" i="5"/>
  <c r="I30974" i="5"/>
  <c r="I30966" i="5"/>
  <c r="I30958" i="5"/>
  <c r="I30950" i="5"/>
  <c r="I30942" i="5"/>
  <c r="I30934" i="5"/>
  <c r="I30926" i="5"/>
  <c r="I30918" i="5"/>
  <c r="I30910" i="5"/>
  <c r="I30902" i="5"/>
  <c r="I30894" i="5"/>
  <c r="I30886" i="5"/>
  <c r="I30878" i="5"/>
  <c r="I30870" i="5"/>
  <c r="I30862" i="5"/>
  <c r="I30854" i="5"/>
  <c r="I30846" i="5"/>
  <c r="I30838" i="5"/>
  <c r="I30830" i="5"/>
  <c r="I30822" i="5"/>
  <c r="I30814" i="5"/>
  <c r="I30806" i="5"/>
  <c r="I30798" i="5"/>
  <c r="I30790" i="5"/>
  <c r="I30782" i="5"/>
  <c r="I30774" i="5"/>
  <c r="I30766" i="5"/>
  <c r="I30758" i="5"/>
  <c r="I30750" i="5"/>
  <c r="I30742" i="5"/>
  <c r="I30734" i="5"/>
  <c r="I37474" i="5"/>
  <c r="I36408" i="5"/>
  <c r="I36059" i="5"/>
  <c r="I35721" i="5"/>
  <c r="I35518" i="5"/>
  <c r="I35376" i="5"/>
  <c r="I35222" i="5"/>
  <c r="I35056" i="5"/>
  <c r="I34925" i="5"/>
  <c r="I34783" i="5"/>
  <c r="I34656" i="5"/>
  <c r="I34559" i="5"/>
  <c r="I34438" i="5"/>
  <c r="I34331" i="5"/>
  <c r="I34246" i="5"/>
  <c r="I34152" i="5"/>
  <c r="I34063" i="5"/>
  <c r="I34010" i="5"/>
  <c r="I33953" i="5"/>
  <c r="I33890" i="5"/>
  <c r="I33841" i="5"/>
  <c r="I33780" i="5"/>
  <c r="I33721" i="5"/>
  <c r="I33668" i="5"/>
  <c r="I33610" i="5"/>
  <c r="I33548" i="5"/>
  <c r="I33498" i="5"/>
  <c r="I33441" i="5"/>
  <c r="I33378" i="5"/>
  <c r="I33329" i="5"/>
  <c r="I33268" i="5"/>
  <c r="I33209" i="5"/>
  <c r="I33156" i="5"/>
  <c r="I33106" i="5"/>
  <c r="I33059" i="5"/>
  <c r="I33020" i="5"/>
  <c r="I32978" i="5"/>
  <c r="I32931" i="5"/>
  <c r="I32892" i="5"/>
  <c r="I32850" i="5"/>
  <c r="I32803" i="5"/>
  <c r="I32764" i="5"/>
  <c r="I32722" i="5"/>
  <c r="I32675" i="5"/>
  <c r="I32636" i="5"/>
  <c r="I32594" i="5"/>
  <c r="I32555" i="5"/>
  <c r="I32524" i="5"/>
  <c r="I32490" i="5"/>
  <c r="I32452" i="5"/>
  <c r="I32423" i="5"/>
  <c r="I32391" i="5"/>
  <c r="I32360" i="5"/>
  <c r="I32335" i="5"/>
  <c r="I32305" i="5"/>
  <c r="I32274" i="5"/>
  <c r="I32253" i="5"/>
  <c r="I32231" i="5"/>
  <c r="I32208" i="5"/>
  <c r="I32189" i="5"/>
  <c r="I32167" i="5"/>
  <c r="I32144" i="5"/>
  <c r="I32125" i="5"/>
  <c r="I32103" i="5"/>
  <c r="I32080" i="5"/>
  <c r="I32061" i="5"/>
  <c r="I32039" i="5"/>
  <c r="I32016" i="5"/>
  <c r="I31997" i="5"/>
  <c r="I31975" i="5"/>
  <c r="I31952" i="5"/>
  <c r="I31933" i="5"/>
  <c r="I31911" i="5"/>
  <c r="I31888" i="5"/>
  <c r="I31869" i="5"/>
  <c r="I31847" i="5"/>
  <c r="I31824" i="5"/>
  <c r="I31805" i="5"/>
  <c r="I31783" i="5"/>
  <c r="I31760" i="5"/>
  <c r="I31741" i="5"/>
  <c r="I31719" i="5"/>
  <c r="I31696" i="5"/>
  <c r="I31677" i="5"/>
  <c r="I31655" i="5"/>
  <c r="I31632" i="5"/>
  <c r="I31613" i="5"/>
  <c r="I31591" i="5"/>
  <c r="I31568" i="5"/>
  <c r="I31549" i="5"/>
  <c r="I31533" i="5"/>
  <c r="I31517" i="5"/>
  <c r="I31501" i="5"/>
  <c r="I31485" i="5"/>
  <c r="I31469" i="5"/>
  <c r="I31453" i="5"/>
  <c r="I31437" i="5"/>
  <c r="I31421" i="5"/>
  <c r="I31405" i="5"/>
  <c r="I31389" i="5"/>
  <c r="I31373" i="5"/>
  <c r="I31357" i="5"/>
  <c r="I31341" i="5"/>
  <c r="I31325" i="5"/>
  <c r="I31309" i="5"/>
  <c r="I31293" i="5"/>
  <c r="I31277" i="5"/>
  <c r="I31261" i="5"/>
  <c r="I31245" i="5"/>
  <c r="I31229" i="5"/>
  <c r="I31213" i="5"/>
  <c r="I31197" i="5"/>
  <c r="I31181" i="5"/>
  <c r="I31165" i="5"/>
  <c r="I31149" i="5"/>
  <c r="I31133" i="5"/>
  <c r="I31117" i="5"/>
  <c r="I31101" i="5"/>
  <c r="I31085" i="5"/>
  <c r="I31069" i="5"/>
  <c r="I31053" i="5"/>
  <c r="I31037" i="5"/>
  <c r="I31021" i="5"/>
  <c r="I31005" i="5"/>
  <c r="I30989" i="5"/>
  <c r="I30973" i="5"/>
  <c r="I30957" i="5"/>
  <c r="I30941" i="5"/>
  <c r="I30925" i="5"/>
  <c r="I30909" i="5"/>
  <c r="I30893" i="5"/>
  <c r="I30877" i="5"/>
  <c r="I30861" i="5"/>
  <c r="I30847" i="5"/>
  <c r="I30833" i="5"/>
  <c r="I30821" i="5"/>
  <c r="I30808" i="5"/>
  <c r="I30796" i="5"/>
  <c r="I30785" i="5"/>
  <c r="I30775" i="5"/>
  <c r="I30764" i="5"/>
  <c r="I30753" i="5"/>
  <c r="I30743" i="5"/>
  <c r="I30732" i="5"/>
  <c r="I30723" i="5"/>
  <c r="I30713" i="5"/>
  <c r="I30704" i="5"/>
  <c r="I30695" i="5"/>
  <c r="I30686" i="5"/>
  <c r="I30678" i="5"/>
  <c r="I30670" i="5"/>
  <c r="I30662" i="5"/>
  <c r="I30654" i="5"/>
  <c r="I30646" i="5"/>
  <c r="I30638" i="5"/>
  <c r="I30630" i="5"/>
  <c r="I30622" i="5"/>
  <c r="I30614" i="5"/>
  <c r="I30606" i="5"/>
  <c r="I30598" i="5"/>
  <c r="I30590" i="5"/>
  <c r="I30582" i="5"/>
  <c r="I30574" i="5"/>
  <c r="I30566" i="5"/>
  <c r="I30558" i="5"/>
  <c r="I30550" i="5"/>
  <c r="I30542" i="5"/>
  <c r="I30534" i="5"/>
  <c r="I30526" i="5"/>
  <c r="I30518" i="5"/>
  <c r="I30510" i="5"/>
  <c r="I30502" i="5"/>
  <c r="I30494" i="5"/>
  <c r="I30486" i="5"/>
  <c r="I30478" i="5"/>
  <c r="I30470" i="5"/>
  <c r="I30462" i="5"/>
  <c r="I30454" i="5"/>
  <c r="I30446" i="5"/>
  <c r="I30438" i="5"/>
  <c r="I30430" i="5"/>
  <c r="I30422" i="5"/>
  <c r="I30414" i="5"/>
  <c r="I30406" i="5"/>
  <c r="I30398" i="5"/>
  <c r="I30390" i="5"/>
  <c r="I30382" i="5"/>
  <c r="I30374" i="5"/>
  <c r="I30366" i="5"/>
  <c r="I30358" i="5"/>
  <c r="I30350" i="5"/>
  <c r="I30342" i="5"/>
  <c r="I30334" i="5"/>
  <c r="I30326" i="5"/>
  <c r="I30318" i="5"/>
  <c r="I30310" i="5"/>
  <c r="I30302" i="5"/>
  <c r="I30294" i="5"/>
  <c r="I30286" i="5"/>
  <c r="I30278" i="5"/>
  <c r="I30270" i="5"/>
  <c r="I30262" i="5"/>
  <c r="I30254" i="5"/>
  <c r="I30246" i="5"/>
  <c r="I30238" i="5"/>
  <c r="I30230" i="5"/>
  <c r="I30222" i="5"/>
  <c r="I30214" i="5"/>
  <c r="I30206" i="5"/>
  <c r="I30198" i="5"/>
  <c r="I30190" i="5"/>
  <c r="I30182" i="5"/>
  <c r="I30174" i="5"/>
  <c r="I30166" i="5"/>
  <c r="I30158" i="5"/>
  <c r="I30150" i="5"/>
  <c r="I30142" i="5"/>
  <c r="I30134" i="5"/>
  <c r="I30126" i="5"/>
  <c r="I30118" i="5"/>
  <c r="I30110" i="5"/>
  <c r="I30102" i="5"/>
  <c r="I30094" i="5"/>
  <c r="I30086" i="5"/>
  <c r="I30078" i="5"/>
  <c r="I30070" i="5"/>
  <c r="I30062" i="5"/>
  <c r="I30054" i="5"/>
  <c r="I30046" i="5"/>
  <c r="I30038" i="5"/>
  <c r="I30030" i="5"/>
  <c r="I30022" i="5"/>
  <c r="I30014" i="5"/>
  <c r="I30006" i="5"/>
  <c r="I29998" i="5"/>
  <c r="I29990" i="5"/>
  <c r="I29982" i="5"/>
  <c r="I29974" i="5"/>
  <c r="I29966" i="5"/>
  <c r="I29958" i="5"/>
  <c r="I29950" i="5"/>
  <c r="I29942" i="5"/>
  <c r="I29934" i="5"/>
  <c r="I29926" i="5"/>
  <c r="I29918" i="5"/>
  <c r="I29910" i="5"/>
  <c r="I29902" i="5"/>
  <c r="I29894" i="5"/>
  <c r="I29886" i="5"/>
  <c r="I29878" i="5"/>
  <c r="I29870" i="5"/>
  <c r="I29862" i="5"/>
  <c r="I29854" i="5"/>
  <c r="I29846" i="5"/>
  <c r="I29838" i="5"/>
  <c r="I29830" i="5"/>
  <c r="I29822" i="5"/>
  <c r="I29814" i="5"/>
  <c r="I29806" i="5"/>
  <c r="I29798" i="5"/>
  <c r="I29790" i="5"/>
  <c r="I29782" i="5"/>
  <c r="I29774" i="5"/>
  <c r="I29766" i="5"/>
  <c r="I29758" i="5"/>
  <c r="I29750" i="5"/>
  <c r="I29742" i="5"/>
  <c r="I29734" i="5"/>
  <c r="I29726" i="5"/>
  <c r="I29718" i="5"/>
  <c r="I29710" i="5"/>
  <c r="I29702" i="5"/>
  <c r="I29694" i="5"/>
  <c r="I29686" i="5"/>
  <c r="I29678" i="5"/>
  <c r="I29670" i="5"/>
  <c r="I29662" i="5"/>
  <c r="I29654" i="5"/>
  <c r="I29646" i="5"/>
  <c r="I29638" i="5"/>
  <c r="I29630" i="5"/>
  <c r="I29622" i="5"/>
  <c r="I29614" i="5"/>
  <c r="I29606" i="5"/>
  <c r="I29598" i="5"/>
  <c r="I29590" i="5"/>
  <c r="I29582" i="5"/>
  <c r="I29574" i="5"/>
  <c r="I29566" i="5"/>
  <c r="I29558" i="5"/>
  <c r="I29550" i="5"/>
  <c r="I29542" i="5"/>
  <c r="I29534" i="5"/>
  <c r="I29526" i="5"/>
  <c r="I29518" i="5"/>
  <c r="I29510" i="5"/>
  <c r="I29502" i="5"/>
  <c r="I29494" i="5"/>
  <c r="I29486" i="5"/>
  <c r="I29478" i="5"/>
  <c r="I29470" i="5"/>
  <c r="I29462" i="5"/>
  <c r="I29454" i="5"/>
  <c r="I29446" i="5"/>
  <c r="I29438" i="5"/>
  <c r="I29430" i="5"/>
  <c r="I29422" i="5"/>
  <c r="I29414" i="5"/>
  <c r="I29406" i="5"/>
  <c r="I29398" i="5"/>
  <c r="I29390" i="5"/>
  <c r="I29382" i="5"/>
  <c r="I29374" i="5"/>
  <c r="I29366" i="5"/>
  <c r="I29358" i="5"/>
  <c r="I29350" i="5"/>
  <c r="I29342" i="5"/>
  <c r="I29334" i="5"/>
  <c r="I29326" i="5"/>
  <c r="I29318" i="5"/>
  <c r="I29310" i="5"/>
  <c r="I29302" i="5"/>
  <c r="I29294" i="5"/>
  <c r="I29286" i="5"/>
  <c r="I29278" i="5"/>
  <c r="I29270" i="5"/>
  <c r="I29262" i="5"/>
  <c r="I29254" i="5"/>
  <c r="I29246" i="5"/>
  <c r="I29238" i="5"/>
  <c r="I29230" i="5"/>
  <c r="I29222" i="5"/>
  <c r="I29214" i="5"/>
  <c r="I29206" i="5"/>
  <c r="I29198" i="5"/>
  <c r="I29190" i="5"/>
  <c r="I29182" i="5"/>
  <c r="I29174" i="5"/>
  <c r="I29166" i="5"/>
  <c r="I29158" i="5"/>
  <c r="I29150" i="5"/>
  <c r="I37238" i="5"/>
  <c r="I36405" i="5"/>
  <c r="I35953" i="5"/>
  <c r="I35708" i="5"/>
  <c r="I35504" i="5"/>
  <c r="I35349" i="5"/>
  <c r="I35206" i="5"/>
  <c r="I35053" i="5"/>
  <c r="I34886" i="5"/>
  <c r="I34768" i="5"/>
  <c r="I34655" i="5"/>
  <c r="I34528" i="5"/>
  <c r="I34431" i="5"/>
  <c r="I34323" i="5"/>
  <c r="I34229" i="5"/>
  <c r="I34143" i="5"/>
  <c r="I34061" i="5"/>
  <c r="I33996" i="5"/>
  <c r="I33946" i="5"/>
  <c r="I33889" i="5"/>
  <c r="I33826" i="5"/>
  <c r="I33777" i="5"/>
  <c r="I33716" i="5"/>
  <c r="I33657" i="5"/>
  <c r="I33604" i="5"/>
  <c r="I33546" i="5"/>
  <c r="I33484" i="5"/>
  <c r="I33434" i="5"/>
  <c r="I33377" i="5"/>
  <c r="I33314" i="5"/>
  <c r="I33265" i="5"/>
  <c r="I33204" i="5"/>
  <c r="I33145" i="5"/>
  <c r="I33100" i="5"/>
  <c r="I33058" i="5"/>
  <c r="I33011" i="5"/>
  <c r="I32972" i="5"/>
  <c r="I32930" i="5"/>
  <c r="I32883" i="5"/>
  <c r="I32844" i="5"/>
  <c r="I32802" i="5"/>
  <c r="I32755" i="5"/>
  <c r="I32716" i="5"/>
  <c r="I32674" i="5"/>
  <c r="I32627" i="5"/>
  <c r="I32588" i="5"/>
  <c r="I32554" i="5"/>
  <c r="I32516" i="5"/>
  <c r="I32487" i="5"/>
  <c r="I32451" i="5"/>
  <c r="I32415" i="5"/>
  <c r="I32387" i="5"/>
  <c r="I32359" i="5"/>
  <c r="I32328" i="5"/>
  <c r="I32303" i="5"/>
  <c r="I32273" i="5"/>
  <c r="I32248" i="5"/>
  <c r="I32229" i="5"/>
  <c r="I32207" i="5"/>
  <c r="I32184" i="5"/>
  <c r="I32165" i="5"/>
  <c r="I32143" i="5"/>
  <c r="I32120" i="5"/>
  <c r="I32101" i="5"/>
  <c r="I32079" i="5"/>
  <c r="I32056" i="5"/>
  <c r="I32037" i="5"/>
  <c r="I32015" i="5"/>
  <c r="I31992" i="5"/>
  <c r="I31973" i="5"/>
  <c r="I31951" i="5"/>
  <c r="I31928" i="5"/>
  <c r="I31909" i="5"/>
  <c r="I31887" i="5"/>
  <c r="I31864" i="5"/>
  <c r="I31845" i="5"/>
  <c r="I31823" i="5"/>
  <c r="I31800" i="5"/>
  <c r="I31781" i="5"/>
  <c r="I31759" i="5"/>
  <c r="I31736" i="5"/>
  <c r="I31717" i="5"/>
  <c r="I31695" i="5"/>
  <c r="I31672" i="5"/>
  <c r="I31653" i="5"/>
  <c r="I31631" i="5"/>
  <c r="I31608" i="5"/>
  <c r="I31589" i="5"/>
  <c r="I31567" i="5"/>
  <c r="I31545" i="5"/>
  <c r="I31529" i="5"/>
  <c r="I31513" i="5"/>
  <c r="I31497" i="5"/>
  <c r="I31481" i="5"/>
  <c r="I31465" i="5"/>
  <c r="I31449" i="5"/>
  <c r="I31433" i="5"/>
  <c r="I31417" i="5"/>
  <c r="I31401" i="5"/>
  <c r="I31385" i="5"/>
  <c r="I31369" i="5"/>
  <c r="I31353" i="5"/>
  <c r="I31337" i="5"/>
  <c r="I31321" i="5"/>
  <c r="I31305" i="5"/>
  <c r="I31289" i="5"/>
  <c r="I31273" i="5"/>
  <c r="I31257" i="5"/>
  <c r="I31241" i="5"/>
  <c r="I31225" i="5"/>
  <c r="I31209" i="5"/>
  <c r="I31193" i="5"/>
  <c r="I31177" i="5"/>
  <c r="I31161" i="5"/>
  <c r="I31145" i="5"/>
  <c r="I31129" i="5"/>
  <c r="I31113" i="5"/>
  <c r="I31097" i="5"/>
  <c r="I31081" i="5"/>
  <c r="I31065" i="5"/>
  <c r="I31049" i="5"/>
  <c r="I31033" i="5"/>
  <c r="I31017" i="5"/>
  <c r="I31001" i="5"/>
  <c r="I30985" i="5"/>
  <c r="I30969" i="5"/>
  <c r="I30953" i="5"/>
  <c r="I30937" i="5"/>
  <c r="I30921" i="5"/>
  <c r="I30905" i="5"/>
  <c r="I30889" i="5"/>
  <c r="I30873" i="5"/>
  <c r="I30857" i="5"/>
  <c r="I30845" i="5"/>
  <c r="I30832" i="5"/>
  <c r="I30819" i="5"/>
  <c r="I30807" i="5"/>
  <c r="I30795" i="5"/>
  <c r="I30784" i="5"/>
  <c r="I30773" i="5"/>
  <c r="I30763" i="5"/>
  <c r="I30752" i="5"/>
  <c r="I30741" i="5"/>
  <c r="I30731" i="5"/>
  <c r="I30721" i="5"/>
  <c r="I30712" i="5"/>
  <c r="I30703" i="5"/>
  <c r="I30694" i="5"/>
  <c r="I30685" i="5"/>
  <c r="I30677" i="5"/>
  <c r="I30669" i="5"/>
  <c r="I30661" i="5"/>
  <c r="I30653" i="5"/>
  <c r="I30645" i="5"/>
  <c r="I30637" i="5"/>
  <c r="I30629" i="5"/>
  <c r="I30621" i="5"/>
  <c r="I30613" i="5"/>
  <c r="I30605" i="5"/>
  <c r="I30597" i="5"/>
  <c r="I30589" i="5"/>
  <c r="I30581" i="5"/>
  <c r="I30573" i="5"/>
  <c r="I30565" i="5"/>
  <c r="I30557" i="5"/>
  <c r="I30549" i="5"/>
  <c r="I30541" i="5"/>
  <c r="I30533" i="5"/>
  <c r="I30525" i="5"/>
  <c r="I30517" i="5"/>
  <c r="I30509" i="5"/>
  <c r="I30501" i="5"/>
  <c r="I30493" i="5"/>
  <c r="I30485" i="5"/>
  <c r="I30477" i="5"/>
  <c r="I30469" i="5"/>
  <c r="I30461" i="5"/>
  <c r="I30453" i="5"/>
  <c r="I30445" i="5"/>
  <c r="I30437" i="5"/>
  <c r="I30429" i="5"/>
  <c r="I30421" i="5"/>
  <c r="I30413" i="5"/>
  <c r="I30405" i="5"/>
  <c r="I30397" i="5"/>
  <c r="I30389" i="5"/>
  <c r="I30381" i="5"/>
  <c r="I30373" i="5"/>
  <c r="I30365" i="5"/>
  <c r="I30357" i="5"/>
  <c r="I30349" i="5"/>
  <c r="I30341" i="5"/>
  <c r="I30333" i="5"/>
  <c r="I30325" i="5"/>
  <c r="I30317" i="5"/>
  <c r="I30309" i="5"/>
  <c r="I30301" i="5"/>
  <c r="I30293" i="5"/>
  <c r="I30285" i="5"/>
  <c r="I30277" i="5"/>
  <c r="I30269" i="5"/>
  <c r="I30261" i="5"/>
  <c r="I30253" i="5"/>
  <c r="I30245" i="5"/>
  <c r="I30237" i="5"/>
  <c r="I30229" i="5"/>
  <c r="I30221" i="5"/>
  <c r="I30213" i="5"/>
  <c r="I30205" i="5"/>
  <c r="I30197" i="5"/>
  <c r="I30189" i="5"/>
  <c r="I30181" i="5"/>
  <c r="I30173" i="5"/>
  <c r="I30165" i="5"/>
  <c r="I30157" i="5"/>
  <c r="I30149" i="5"/>
  <c r="I30141" i="5"/>
  <c r="I30133" i="5"/>
  <c r="I30125" i="5"/>
  <c r="I30117" i="5"/>
  <c r="I30109" i="5"/>
  <c r="I30101" i="5"/>
  <c r="I30093" i="5"/>
  <c r="I30085" i="5"/>
  <c r="I30077" i="5"/>
  <c r="I30069" i="5"/>
  <c r="I30061" i="5"/>
  <c r="I30053" i="5"/>
  <c r="I30045" i="5"/>
  <c r="I30037" i="5"/>
  <c r="I30029" i="5"/>
  <c r="I30021" i="5"/>
  <c r="I30013" i="5"/>
  <c r="I30005" i="5"/>
  <c r="I29997" i="5"/>
  <c r="I29989" i="5"/>
  <c r="I29981" i="5"/>
  <c r="I29973" i="5"/>
  <c r="I29965" i="5"/>
  <c r="I29957" i="5"/>
  <c r="I29949" i="5"/>
  <c r="I29941" i="5"/>
  <c r="I29933" i="5"/>
  <c r="I29925" i="5"/>
  <c r="I29917" i="5"/>
  <c r="I29909" i="5"/>
  <c r="I29901" i="5"/>
  <c r="I29893" i="5"/>
  <c r="I29885" i="5"/>
  <c r="I29877" i="5"/>
  <c r="I29869" i="5"/>
  <c r="I29861" i="5"/>
  <c r="I29853" i="5"/>
  <c r="I29845" i="5"/>
  <c r="I29837" i="5"/>
  <c r="I29829" i="5"/>
  <c r="I29821" i="5"/>
  <c r="I29813" i="5"/>
  <c r="I29805" i="5"/>
  <c r="I29797" i="5"/>
  <c r="I29789" i="5"/>
  <c r="I29781" i="5"/>
  <c r="I29773" i="5"/>
  <c r="I29765" i="5"/>
  <c r="I29757" i="5"/>
  <c r="I29749" i="5"/>
  <c r="I29741" i="5"/>
  <c r="I29733" i="5"/>
  <c r="I29725" i="5"/>
  <c r="I29717" i="5"/>
  <c r="I29709" i="5"/>
  <c r="I29701" i="5"/>
  <c r="I29693" i="5"/>
  <c r="I29685" i="5"/>
  <c r="I29677" i="5"/>
  <c r="I29669" i="5"/>
  <c r="I29661" i="5"/>
  <c r="I29653" i="5"/>
  <c r="I29645" i="5"/>
  <c r="I29637" i="5"/>
  <c r="I29629" i="5"/>
  <c r="I29621" i="5"/>
  <c r="I29613" i="5"/>
  <c r="I29605" i="5"/>
  <c r="I29597" i="5"/>
  <c r="I29589" i="5"/>
  <c r="I29581" i="5"/>
  <c r="I29573" i="5"/>
  <c r="I29565" i="5"/>
  <c r="I29557" i="5"/>
  <c r="I29549" i="5"/>
  <c r="I29541" i="5"/>
  <c r="I29533" i="5"/>
  <c r="I29525" i="5"/>
  <c r="I29517" i="5"/>
  <c r="I29509" i="5"/>
  <c r="I29501" i="5"/>
  <c r="I29493" i="5"/>
  <c r="I29485" i="5"/>
  <c r="I29477" i="5"/>
  <c r="I29469" i="5"/>
  <c r="I29461" i="5"/>
  <c r="I29453" i="5"/>
  <c r="I29445" i="5"/>
  <c r="I29437" i="5"/>
  <c r="I29429" i="5"/>
  <c r="I29421" i="5"/>
  <c r="I29413" i="5"/>
  <c r="I29405" i="5"/>
  <c r="I29397" i="5"/>
  <c r="I29389" i="5"/>
  <c r="I29381" i="5"/>
  <c r="I29373" i="5"/>
  <c r="I29365" i="5"/>
  <c r="I29357" i="5"/>
  <c r="I29349" i="5"/>
  <c r="I29341" i="5"/>
  <c r="I29333" i="5"/>
  <c r="I29325" i="5"/>
  <c r="I29317" i="5"/>
  <c r="I29309" i="5"/>
  <c r="I29301" i="5"/>
  <c r="I29293" i="5"/>
  <c r="I29285" i="5"/>
  <c r="I29277" i="5"/>
  <c r="I29269" i="5"/>
  <c r="I29261" i="5"/>
  <c r="I29253" i="5"/>
  <c r="I29245" i="5"/>
  <c r="I29237" i="5"/>
  <c r="I29229" i="5"/>
  <c r="I29221" i="5"/>
  <c r="I29213" i="5"/>
  <c r="I29205" i="5"/>
  <c r="I29197" i="5"/>
  <c r="I29189" i="5"/>
  <c r="I29181" i="5"/>
  <c r="I29173" i="5"/>
  <c r="I29165" i="5"/>
  <c r="I29157" i="5"/>
  <c r="I29149" i="5"/>
  <c r="I36974" i="5"/>
  <c r="I36355" i="5"/>
  <c r="I35948" i="5"/>
  <c r="I35644" i="5"/>
  <c r="I35496" i="5"/>
  <c r="I35334" i="5"/>
  <c r="I35176" i="5"/>
  <c r="I35037" i="5"/>
  <c r="I34880" i="5"/>
  <c r="I34742" i="5"/>
  <c r="I34640" i="5"/>
  <c r="I34527" i="5"/>
  <c r="I34400" i="5"/>
  <c r="I34318" i="5"/>
  <c r="I34221" i="5"/>
  <c r="I34126" i="5"/>
  <c r="I34054" i="5"/>
  <c r="I33994" i="5"/>
  <c r="I33932" i="5"/>
  <c r="I33882" i="5"/>
  <c r="I33825" i="5"/>
  <c r="I33762" i="5"/>
  <c r="I33713" i="5"/>
  <c r="I33652" i="5"/>
  <c r="I33593" i="5"/>
  <c r="I33540" i="5"/>
  <c r="I33482" i="5"/>
  <c r="I33420" i="5"/>
  <c r="I33370" i="5"/>
  <c r="I33313" i="5"/>
  <c r="I33250" i="5"/>
  <c r="I33201" i="5"/>
  <c r="I33140" i="5"/>
  <c r="I33091" i="5"/>
  <c r="I33052" i="5"/>
  <c r="I33010" i="5"/>
  <c r="I32963" i="5"/>
  <c r="I32924" i="5"/>
  <c r="I32882" i="5"/>
  <c r="I32835" i="5"/>
  <c r="I32796" i="5"/>
  <c r="I32754" i="5"/>
  <c r="I32707" i="5"/>
  <c r="I32668" i="5"/>
  <c r="I32626" i="5"/>
  <c r="I32580" i="5"/>
  <c r="I32551" i="5"/>
  <c r="I32515" i="5"/>
  <c r="I32479" i="5"/>
  <c r="I32449" i="5"/>
  <c r="I32412" i="5"/>
  <c r="I32380" i="5"/>
  <c r="I32355" i="5"/>
  <c r="I32327" i="5"/>
  <c r="I32296" i="5"/>
  <c r="I32271" i="5"/>
  <c r="I32247" i="5"/>
  <c r="I32224" i="5"/>
  <c r="I32205" i="5"/>
  <c r="I32183" i="5"/>
  <c r="I32160" i="5"/>
  <c r="I32141" i="5"/>
  <c r="I32119" i="5"/>
  <c r="I32096" i="5"/>
  <c r="I32077" i="5"/>
  <c r="I32055" i="5"/>
  <c r="I32032" i="5"/>
  <c r="I32013" i="5"/>
  <c r="I31991" i="5"/>
  <c r="I31968" i="5"/>
  <c r="I31949" i="5"/>
  <c r="I31927" i="5"/>
  <c r="I31904" i="5"/>
  <c r="I31885" i="5"/>
  <c r="I31863" i="5"/>
  <c r="I31840" i="5"/>
  <c r="I31821" i="5"/>
  <c r="I31799" i="5"/>
  <c r="I31776" i="5"/>
  <c r="I31757" i="5"/>
  <c r="I31735" i="5"/>
  <c r="I31712" i="5"/>
  <c r="I31693" i="5"/>
  <c r="I31671" i="5"/>
  <c r="I31648" i="5"/>
  <c r="I31629" i="5"/>
  <c r="I31607" i="5"/>
  <c r="I31584" i="5"/>
  <c r="I31565" i="5"/>
  <c r="I31544" i="5"/>
  <c r="I31528" i="5"/>
  <c r="I31512" i="5"/>
  <c r="I31496" i="5"/>
  <c r="I31480" i="5"/>
  <c r="I31464" i="5"/>
  <c r="I31448" i="5"/>
  <c r="I31432" i="5"/>
  <c r="I31416" i="5"/>
  <c r="I31400" i="5"/>
  <c r="I31384" i="5"/>
  <c r="I31368" i="5"/>
  <c r="I31352" i="5"/>
  <c r="I31336" i="5"/>
  <c r="I31320" i="5"/>
  <c r="I31304" i="5"/>
  <c r="I31288" i="5"/>
  <c r="I31272" i="5"/>
  <c r="I31256" i="5"/>
  <c r="I31240" i="5"/>
  <c r="I31224" i="5"/>
  <c r="I31208" i="5"/>
  <c r="I31192" i="5"/>
  <c r="I31176" i="5"/>
  <c r="I31160" i="5"/>
  <c r="I31144" i="5"/>
  <c r="I31128" i="5"/>
  <c r="I31112" i="5"/>
  <c r="I31096" i="5"/>
  <c r="I31080" i="5"/>
  <c r="I31064" i="5"/>
  <c r="I31048" i="5"/>
  <c r="I31032" i="5"/>
  <c r="I31016" i="5"/>
  <c r="I31000" i="5"/>
  <c r="I30984" i="5"/>
  <c r="I30968" i="5"/>
  <c r="I30952" i="5"/>
  <c r="I30936" i="5"/>
  <c r="I30920" i="5"/>
  <c r="I30904" i="5"/>
  <c r="I30888" i="5"/>
  <c r="I30872" i="5"/>
  <c r="I30856" i="5"/>
  <c r="I30843" i="5"/>
  <c r="I30831" i="5"/>
  <c r="I30817" i="5"/>
  <c r="I30805" i="5"/>
  <c r="I30793" i="5"/>
  <c r="I30783" i="5"/>
  <c r="I30772" i="5"/>
  <c r="I30761" i="5"/>
  <c r="I30751" i="5"/>
  <c r="I30740" i="5"/>
  <c r="I30729" i="5"/>
  <c r="I30720" i="5"/>
  <c r="I30711" i="5"/>
  <c r="I30702" i="5"/>
  <c r="I30693" i="5"/>
  <c r="I30684" i="5"/>
  <c r="I30676" i="5"/>
  <c r="I30668" i="5"/>
  <c r="I30660" i="5"/>
  <c r="I30652" i="5"/>
  <c r="I30644" i="5"/>
  <c r="I30636" i="5"/>
  <c r="I30628" i="5"/>
  <c r="I30620" i="5"/>
  <c r="I30612" i="5"/>
  <c r="I30604" i="5"/>
  <c r="I30596" i="5"/>
  <c r="I30588" i="5"/>
  <c r="I30580" i="5"/>
  <c r="I30572" i="5"/>
  <c r="I30564" i="5"/>
  <c r="I30556" i="5"/>
  <c r="I30548" i="5"/>
  <c r="I30540" i="5"/>
  <c r="I30532" i="5"/>
  <c r="I30524" i="5"/>
  <c r="I30516" i="5"/>
  <c r="I30508" i="5"/>
  <c r="I30500" i="5"/>
  <c r="I30492" i="5"/>
  <c r="I30484" i="5"/>
  <c r="I30476" i="5"/>
  <c r="I30468" i="5"/>
  <c r="I30460" i="5"/>
  <c r="I30452" i="5"/>
  <c r="I30444" i="5"/>
  <c r="I30436" i="5"/>
  <c r="I30428" i="5"/>
  <c r="I30420" i="5"/>
  <c r="I30412" i="5"/>
  <c r="I30404" i="5"/>
  <c r="I30396" i="5"/>
  <c r="I30388" i="5"/>
  <c r="I30380" i="5"/>
  <c r="I30372" i="5"/>
  <c r="I30364" i="5"/>
  <c r="I30356" i="5"/>
  <c r="I30348" i="5"/>
  <c r="I30340" i="5"/>
  <c r="I30332" i="5"/>
  <c r="I30324" i="5"/>
  <c r="I30316" i="5"/>
  <c r="I30308" i="5"/>
  <c r="I30300" i="5"/>
  <c r="I30292" i="5"/>
  <c r="I30284" i="5"/>
  <c r="I30276" i="5"/>
  <c r="I30268" i="5"/>
  <c r="I30260" i="5"/>
  <c r="I30252" i="5"/>
  <c r="I30244" i="5"/>
  <c r="I30236" i="5"/>
  <c r="I30228" i="5"/>
  <c r="I30220" i="5"/>
  <c r="I30212" i="5"/>
  <c r="I30204" i="5"/>
  <c r="I30196" i="5"/>
  <c r="I30188" i="5"/>
  <c r="I30180" i="5"/>
  <c r="I30172" i="5"/>
  <c r="I30164" i="5"/>
  <c r="I30156" i="5"/>
  <c r="I30148" i="5"/>
  <c r="I30140" i="5"/>
  <c r="I30132" i="5"/>
  <c r="I30124" i="5"/>
  <c r="I30116" i="5"/>
  <c r="I30108" i="5"/>
  <c r="I30100" i="5"/>
  <c r="I30092" i="5"/>
  <c r="I30084" i="5"/>
  <c r="I30076" i="5"/>
  <c r="I30068" i="5"/>
  <c r="I30060" i="5"/>
  <c r="I30052" i="5"/>
  <c r="I30044" i="5"/>
  <c r="I30036" i="5"/>
  <c r="I30028" i="5"/>
  <c r="I30020" i="5"/>
  <c r="I30012" i="5"/>
  <c r="I30004" i="5"/>
  <c r="I29996" i="5"/>
  <c r="I29988" i="5"/>
  <c r="I29980" i="5"/>
  <c r="I29972" i="5"/>
  <c r="I29964" i="5"/>
  <c r="I29956" i="5"/>
  <c r="I29948" i="5"/>
  <c r="I29940" i="5"/>
  <c r="I29932" i="5"/>
  <c r="I29924" i="5"/>
  <c r="I29916" i="5"/>
  <c r="I29908" i="5"/>
  <c r="I29900" i="5"/>
  <c r="I29892" i="5"/>
  <c r="I29884" i="5"/>
  <c r="I29876" i="5"/>
  <c r="I29868" i="5"/>
  <c r="I29860" i="5"/>
  <c r="I29852" i="5"/>
  <c r="I29844" i="5"/>
  <c r="I29836" i="5"/>
  <c r="I29828" i="5"/>
  <c r="I29820" i="5"/>
  <c r="I29812" i="5"/>
  <c r="I29804" i="5"/>
  <c r="I29796" i="5"/>
  <c r="I29788" i="5"/>
  <c r="I29780" i="5"/>
  <c r="I29772" i="5"/>
  <c r="I29764" i="5"/>
  <c r="I29756" i="5"/>
  <c r="I29748" i="5"/>
  <c r="I29740" i="5"/>
  <c r="I29732" i="5"/>
  <c r="I29724" i="5"/>
  <c r="I29716" i="5"/>
  <c r="I29708" i="5"/>
  <c r="I29700" i="5"/>
  <c r="I29692" i="5"/>
  <c r="I29684" i="5"/>
  <c r="I29676" i="5"/>
  <c r="I29668" i="5"/>
  <c r="I29660" i="5"/>
  <c r="I29652" i="5"/>
  <c r="I29644" i="5"/>
  <c r="I29636" i="5"/>
  <c r="I29628" i="5"/>
  <c r="I29620" i="5"/>
  <c r="I29612" i="5"/>
  <c r="I29604" i="5"/>
  <c r="I29596" i="5"/>
  <c r="I29588" i="5"/>
  <c r="I29580" i="5"/>
  <c r="I29572" i="5"/>
  <c r="I29564" i="5"/>
  <c r="I29556" i="5"/>
  <c r="I29548" i="5"/>
  <c r="I29540" i="5"/>
  <c r="I29532" i="5"/>
  <c r="I29524" i="5"/>
  <c r="I29516" i="5"/>
  <c r="I29508" i="5"/>
  <c r="I29500" i="5"/>
  <c r="I29492" i="5"/>
  <c r="I29484" i="5"/>
  <c r="I29476" i="5"/>
  <c r="I29468" i="5"/>
  <c r="I29460" i="5"/>
  <c r="I29452" i="5"/>
  <c r="I29444" i="5"/>
  <c r="I29436" i="5"/>
  <c r="I29428" i="5"/>
  <c r="I29420" i="5"/>
  <c r="I29412" i="5"/>
  <c r="I29404" i="5"/>
  <c r="I29396" i="5"/>
  <c r="I29388" i="5"/>
  <c r="I29380" i="5"/>
  <c r="I29372" i="5"/>
  <c r="I29364" i="5"/>
  <c r="I29356" i="5"/>
  <c r="I29348" i="5"/>
  <c r="I29340" i="5"/>
  <c r="I29332" i="5"/>
  <c r="I29324" i="5"/>
  <c r="I29316" i="5"/>
  <c r="I29308" i="5"/>
  <c r="I29300" i="5"/>
  <c r="I29292" i="5"/>
  <c r="I29284" i="5"/>
  <c r="I29276" i="5"/>
  <c r="I29268" i="5"/>
  <c r="I29260" i="5"/>
  <c r="I29252" i="5"/>
  <c r="I29244" i="5"/>
  <c r="I29236" i="5"/>
  <c r="I29228" i="5"/>
  <c r="I29220" i="5"/>
  <c r="I29212" i="5"/>
  <c r="I29204" i="5"/>
  <c r="I29196" i="5"/>
  <c r="I29188" i="5"/>
  <c r="I29180" i="5"/>
  <c r="I29172" i="5"/>
  <c r="I29164" i="5"/>
  <c r="I29156" i="5"/>
  <c r="I29148" i="5"/>
  <c r="I29140" i="5"/>
  <c r="I29132" i="5"/>
  <c r="I29124" i="5"/>
  <c r="I36951" i="5"/>
  <c r="I36251" i="5"/>
  <c r="I35892" i="5"/>
  <c r="I35636" i="5"/>
  <c r="I35456" i="5"/>
  <c r="I35326" i="5"/>
  <c r="I35165" i="5"/>
  <c r="I35006" i="5"/>
  <c r="I34864" i="5"/>
  <c r="I34736" i="5"/>
  <c r="I34614" i="5"/>
  <c r="I34512" i="5"/>
  <c r="I34399" i="5"/>
  <c r="I34294" i="5"/>
  <c r="I34215" i="5"/>
  <c r="I34118" i="5"/>
  <c r="I34041" i="5"/>
  <c r="I33988" i="5"/>
  <c r="I33930" i="5"/>
  <c r="I33868" i="5"/>
  <c r="I33818" i="5"/>
  <c r="I33761" i="5"/>
  <c r="I33698" i="5"/>
  <c r="I33649" i="5"/>
  <c r="I33588" i="5"/>
  <c r="I33529" i="5"/>
  <c r="I33476" i="5"/>
  <c r="I33418" i="5"/>
  <c r="I33356" i="5"/>
  <c r="I33306" i="5"/>
  <c r="I33249" i="5"/>
  <c r="I33186" i="5"/>
  <c r="I33137" i="5"/>
  <c r="I33090" i="5"/>
  <c r="I33043" i="5"/>
  <c r="I33004" i="5"/>
  <c r="I32962" i="5"/>
  <c r="I32915" i="5"/>
  <c r="I32876" i="5"/>
  <c r="I32834" i="5"/>
  <c r="I32787" i="5"/>
  <c r="I32748" i="5"/>
  <c r="I32706" i="5"/>
  <c r="I32659" i="5"/>
  <c r="I32620" i="5"/>
  <c r="I32579" i="5"/>
  <c r="I32543" i="5"/>
  <c r="I32513" i="5"/>
  <c r="I32476" i="5"/>
  <c r="I32441" i="5"/>
  <c r="I32410" i="5"/>
  <c r="I32379" i="5"/>
  <c r="I32348" i="5"/>
  <c r="I32323" i="5"/>
  <c r="I32295" i="5"/>
  <c r="I32264" i="5"/>
  <c r="I32245" i="5"/>
  <c r="I32223" i="5"/>
  <c r="I32200" i="5"/>
  <c r="I32181" i="5"/>
  <c r="I32159" i="5"/>
  <c r="I32136" i="5"/>
  <c r="I32117" i="5"/>
  <c r="I32095" i="5"/>
  <c r="I32072" i="5"/>
  <c r="I32053" i="5"/>
  <c r="I32031" i="5"/>
  <c r="I32008" i="5"/>
  <c r="I31989" i="5"/>
  <c r="I31967" i="5"/>
  <c r="I31944" i="5"/>
  <c r="I31925" i="5"/>
  <c r="I31903" i="5"/>
  <c r="I31880" i="5"/>
  <c r="I31861" i="5"/>
  <c r="I31839" i="5"/>
  <c r="I31816" i="5"/>
  <c r="I31797" i="5"/>
  <c r="I31775" i="5"/>
  <c r="I31752" i="5"/>
  <c r="I31733" i="5"/>
  <c r="I31711" i="5"/>
  <c r="I31688" i="5"/>
  <c r="I31669" i="5"/>
  <c r="I31647" i="5"/>
  <c r="I31624" i="5"/>
  <c r="I31605" i="5"/>
  <c r="I31583" i="5"/>
  <c r="I31560" i="5"/>
  <c r="I31543" i="5"/>
  <c r="I31527" i="5"/>
  <c r="I31511" i="5"/>
  <c r="I31495" i="5"/>
  <c r="I31479" i="5"/>
  <c r="I31463" i="5"/>
  <c r="I31447" i="5"/>
  <c r="I31431" i="5"/>
  <c r="I31415" i="5"/>
  <c r="I31399" i="5"/>
  <c r="I31383" i="5"/>
  <c r="I31367" i="5"/>
  <c r="I31351" i="5"/>
  <c r="I31335" i="5"/>
  <c r="I31319" i="5"/>
  <c r="I31303" i="5"/>
  <c r="I31287" i="5"/>
  <c r="I31271" i="5"/>
  <c r="I31255" i="5"/>
  <c r="I31239" i="5"/>
  <c r="I31223" i="5"/>
  <c r="I31207" i="5"/>
  <c r="I31191" i="5"/>
  <c r="I31175" i="5"/>
  <c r="I31159" i="5"/>
  <c r="I31143" i="5"/>
  <c r="I31127" i="5"/>
  <c r="I31111" i="5"/>
  <c r="I31095" i="5"/>
  <c r="I31079" i="5"/>
  <c r="I31063" i="5"/>
  <c r="I31047" i="5"/>
  <c r="I31031" i="5"/>
  <c r="I31015" i="5"/>
  <c r="I30999" i="5"/>
  <c r="I30983" i="5"/>
  <c r="I30967" i="5"/>
  <c r="I30951" i="5"/>
  <c r="I30935" i="5"/>
  <c r="I30919" i="5"/>
  <c r="I30903" i="5"/>
  <c r="I30887" i="5"/>
  <c r="I30871" i="5"/>
  <c r="I30855" i="5"/>
  <c r="I30841" i="5"/>
  <c r="I30829" i="5"/>
  <c r="I30816" i="5"/>
  <c r="I30803" i="5"/>
  <c r="I30792" i="5"/>
  <c r="I30781" i="5"/>
  <c r="I30771" i="5"/>
  <c r="I30760" i="5"/>
  <c r="I30749" i="5"/>
  <c r="I30739" i="5"/>
  <c r="I30728" i="5"/>
  <c r="I30719" i="5"/>
  <c r="I30710" i="5"/>
  <c r="I30701" i="5"/>
  <c r="I30692" i="5"/>
  <c r="I30683" i="5"/>
  <c r="I30675" i="5"/>
  <c r="I30667" i="5"/>
  <c r="I30659" i="5"/>
  <c r="I30651" i="5"/>
  <c r="I30643" i="5"/>
  <c r="I30635" i="5"/>
  <c r="I30627" i="5"/>
  <c r="I30619" i="5"/>
  <c r="I30611" i="5"/>
  <c r="I30603" i="5"/>
  <c r="I30595" i="5"/>
  <c r="I30587" i="5"/>
  <c r="I30579" i="5"/>
  <c r="I30571" i="5"/>
  <c r="I30563" i="5"/>
  <c r="I30555" i="5"/>
  <c r="I30547" i="5"/>
  <c r="I30539" i="5"/>
  <c r="I30531" i="5"/>
  <c r="I30523" i="5"/>
  <c r="I30515" i="5"/>
  <c r="I30507" i="5"/>
  <c r="I30499" i="5"/>
  <c r="I30491" i="5"/>
  <c r="I30483" i="5"/>
  <c r="I30475" i="5"/>
  <c r="I30467" i="5"/>
  <c r="I30459" i="5"/>
  <c r="I30451" i="5"/>
  <c r="I30443" i="5"/>
  <c r="I30435" i="5"/>
  <c r="I30427" i="5"/>
  <c r="I30419" i="5"/>
  <c r="I30411" i="5"/>
  <c r="I30403" i="5"/>
  <c r="I30395" i="5"/>
  <c r="I30387" i="5"/>
  <c r="I30379" i="5"/>
  <c r="I30371" i="5"/>
  <c r="I30363" i="5"/>
  <c r="I30355" i="5"/>
  <c r="I30347" i="5"/>
  <c r="I30339" i="5"/>
  <c r="I30331" i="5"/>
  <c r="I30323" i="5"/>
  <c r="I30315" i="5"/>
  <c r="I30307" i="5"/>
  <c r="I30299" i="5"/>
  <c r="I30291" i="5"/>
  <c r="I30283" i="5"/>
  <c r="I30275" i="5"/>
  <c r="I30267" i="5"/>
  <c r="I30259" i="5"/>
  <c r="I30251" i="5"/>
  <c r="I30243" i="5"/>
  <c r="I30235" i="5"/>
  <c r="I30227" i="5"/>
  <c r="I30219" i="5"/>
  <c r="I30211" i="5"/>
  <c r="I30203" i="5"/>
  <c r="I30195" i="5"/>
  <c r="I30187" i="5"/>
  <c r="I30179" i="5"/>
  <c r="I30171" i="5"/>
  <c r="I30163" i="5"/>
  <c r="I30155" i="5"/>
  <c r="I30147" i="5"/>
  <c r="I30139" i="5"/>
  <c r="I30131" i="5"/>
  <c r="I30123" i="5"/>
  <c r="I30115" i="5"/>
  <c r="I30107" i="5"/>
  <c r="I30099" i="5"/>
  <c r="I30091" i="5"/>
  <c r="I30083" i="5"/>
  <c r="I30075" i="5"/>
  <c r="I30067" i="5"/>
  <c r="I30059" i="5"/>
  <c r="I30051" i="5"/>
  <c r="I30043" i="5"/>
  <c r="I30035" i="5"/>
  <c r="I30027" i="5"/>
  <c r="I30019" i="5"/>
  <c r="I30011" i="5"/>
  <c r="I30003" i="5"/>
  <c r="I29995" i="5"/>
  <c r="I29987" i="5"/>
  <c r="I29979" i="5"/>
  <c r="I29971" i="5"/>
  <c r="I29963" i="5"/>
  <c r="I29955" i="5"/>
  <c r="I29947" i="5"/>
  <c r="I29939" i="5"/>
  <c r="I29931" i="5"/>
  <c r="I29923" i="5"/>
  <c r="I29915" i="5"/>
  <c r="I29907" i="5"/>
  <c r="I29899" i="5"/>
  <c r="I29891" i="5"/>
  <c r="I29883" i="5"/>
  <c r="I29875" i="5"/>
  <c r="I29867" i="5"/>
  <c r="I29859" i="5"/>
  <c r="I29851" i="5"/>
  <c r="I29843" i="5"/>
  <c r="I29835" i="5"/>
  <c r="I29827" i="5"/>
  <c r="I29819" i="5"/>
  <c r="I29811" i="5"/>
  <c r="I29803" i="5"/>
  <c r="I29795" i="5"/>
  <c r="I29787" i="5"/>
  <c r="I29779" i="5"/>
  <c r="I29771" i="5"/>
  <c r="I29763" i="5"/>
  <c r="I29755" i="5"/>
  <c r="I29747" i="5"/>
  <c r="I29739" i="5"/>
  <c r="I29731" i="5"/>
  <c r="I29723" i="5"/>
  <c r="I29715" i="5"/>
  <c r="I29707" i="5"/>
  <c r="I29699" i="5"/>
  <c r="I29691" i="5"/>
  <c r="I29683" i="5"/>
  <c r="I29675" i="5"/>
  <c r="I29667" i="5"/>
  <c r="I29659" i="5"/>
  <c r="I29651" i="5"/>
  <c r="I29643" i="5"/>
  <c r="I29635" i="5"/>
  <c r="I29627" i="5"/>
  <c r="I29619" i="5"/>
  <c r="I29611" i="5"/>
  <c r="I29603" i="5"/>
  <c r="I29595" i="5"/>
  <c r="I29587" i="5"/>
  <c r="I29579" i="5"/>
  <c r="I29571" i="5"/>
  <c r="I29563" i="5"/>
  <c r="I29555" i="5"/>
  <c r="I29547" i="5"/>
  <c r="I29539" i="5"/>
  <c r="I29531" i="5"/>
  <c r="I29523" i="5"/>
  <c r="I29515" i="5"/>
  <c r="I29507" i="5"/>
  <c r="I29499" i="5"/>
  <c r="I29491" i="5"/>
  <c r="I29483" i="5"/>
  <c r="I29475" i="5"/>
  <c r="I29467" i="5"/>
  <c r="I29459" i="5"/>
  <c r="I29451" i="5"/>
  <c r="I29443" i="5"/>
  <c r="I29435" i="5"/>
  <c r="I29427" i="5"/>
  <c r="I29419" i="5"/>
  <c r="I29411" i="5"/>
  <c r="I29403" i="5"/>
  <c r="I29395" i="5"/>
  <c r="I29387" i="5"/>
  <c r="I29379" i="5"/>
  <c r="I29371" i="5"/>
  <c r="I29363" i="5"/>
  <c r="I29355" i="5"/>
  <c r="I29347" i="5"/>
  <c r="I29339" i="5"/>
  <c r="I29331" i="5"/>
  <c r="I29323" i="5"/>
  <c r="I29315" i="5"/>
  <c r="I29307" i="5"/>
  <c r="I29299" i="5"/>
  <c r="I29291" i="5"/>
  <c r="I29283" i="5"/>
  <c r="I29275" i="5"/>
  <c r="I29267" i="5"/>
  <c r="I29259" i="5"/>
  <c r="I29251" i="5"/>
  <c r="I29243" i="5"/>
  <c r="I29235" i="5"/>
  <c r="I29227" i="5"/>
  <c r="I36671" i="5"/>
  <c r="I36193" i="5"/>
  <c r="I35812" i="5"/>
  <c r="I35568" i="5"/>
  <c r="I35437" i="5"/>
  <c r="I35285" i="5"/>
  <c r="I35117" i="5"/>
  <c r="I34984" i="5"/>
  <c r="I34822" i="5"/>
  <c r="I34703" i="5"/>
  <c r="I34598" i="5"/>
  <c r="I34480" i="5"/>
  <c r="I34360" i="5"/>
  <c r="I34280" i="5"/>
  <c r="I34190" i="5"/>
  <c r="I34091" i="5"/>
  <c r="I34033" i="5"/>
  <c r="I33972" i="5"/>
  <c r="I33913" i="5"/>
  <c r="I33860" i="5"/>
  <c r="I33802" i="5"/>
  <c r="I33740" i="5"/>
  <c r="I33690" i="5"/>
  <c r="I33633" i="5"/>
  <c r="I33570" i="5"/>
  <c r="I33521" i="5"/>
  <c r="I33460" i="5"/>
  <c r="I33401" i="5"/>
  <c r="I33348" i="5"/>
  <c r="I33290" i="5"/>
  <c r="I33228" i="5"/>
  <c r="I33178" i="5"/>
  <c r="I33122" i="5"/>
  <c r="I33075" i="5"/>
  <c r="I33036" i="5"/>
  <c r="I32994" i="5"/>
  <c r="I32947" i="5"/>
  <c r="I32908" i="5"/>
  <c r="I32866" i="5"/>
  <c r="I32819" i="5"/>
  <c r="I32780" i="5"/>
  <c r="I32738" i="5"/>
  <c r="I32691" i="5"/>
  <c r="I32652" i="5"/>
  <c r="I32610" i="5"/>
  <c r="I32569" i="5"/>
  <c r="I32538" i="5"/>
  <c r="I32503" i="5"/>
  <c r="I32466" i="5"/>
  <c r="I32435" i="5"/>
  <c r="I32401" i="5"/>
  <c r="I32370" i="5"/>
  <c r="I32345" i="5"/>
  <c r="I32315" i="5"/>
  <c r="I32284" i="5"/>
  <c r="I32261" i="5"/>
  <c r="I32239" i="5"/>
  <c r="I32216" i="5"/>
  <c r="I32197" i="5"/>
  <c r="I32175" i="5"/>
  <c r="I32152" i="5"/>
  <c r="I32133" i="5"/>
  <c r="I32111" i="5"/>
  <c r="I32088" i="5"/>
  <c r="I32069" i="5"/>
  <c r="I32047" i="5"/>
  <c r="I32024" i="5"/>
  <c r="I32005" i="5"/>
  <c r="I31983" i="5"/>
  <c r="I31960" i="5"/>
  <c r="I31941" i="5"/>
  <c r="I31919" i="5"/>
  <c r="I31896" i="5"/>
  <c r="I31877" i="5"/>
  <c r="I31855" i="5"/>
  <c r="I31832" i="5"/>
  <c r="I31813" i="5"/>
  <c r="I31791" i="5"/>
  <c r="I31768" i="5"/>
  <c r="I31749" i="5"/>
  <c r="I31727" i="5"/>
  <c r="I31704" i="5"/>
  <c r="I31685" i="5"/>
  <c r="I31663" i="5"/>
  <c r="I31640" i="5"/>
  <c r="I31621" i="5"/>
  <c r="I31599" i="5"/>
  <c r="I31576" i="5"/>
  <c r="I31557" i="5"/>
  <c r="I31537" i="5"/>
  <c r="I31521" i="5"/>
  <c r="I31505" i="5"/>
  <c r="I31489" i="5"/>
  <c r="I31473" i="5"/>
  <c r="I31457" i="5"/>
  <c r="I31441" i="5"/>
  <c r="I31425" i="5"/>
  <c r="I31409" i="5"/>
  <c r="I31393" i="5"/>
  <c r="I31377" i="5"/>
  <c r="I31361" i="5"/>
  <c r="I31345" i="5"/>
  <c r="I31329" i="5"/>
  <c r="I31313" i="5"/>
  <c r="I31297" i="5"/>
  <c r="I31281" i="5"/>
  <c r="I31265" i="5"/>
  <c r="I31249" i="5"/>
  <c r="I31233" i="5"/>
  <c r="I31217" i="5"/>
  <c r="I31201" i="5"/>
  <c r="I31185" i="5"/>
  <c r="I31169" i="5"/>
  <c r="I31153" i="5"/>
  <c r="I31137" i="5"/>
  <c r="I31121" i="5"/>
  <c r="I31105" i="5"/>
  <c r="I31089" i="5"/>
  <c r="I31073" i="5"/>
  <c r="I31057" i="5"/>
  <c r="I31041" i="5"/>
  <c r="I31025" i="5"/>
  <c r="I31009" i="5"/>
  <c r="I30993" i="5"/>
  <c r="I30977" i="5"/>
  <c r="I30961" i="5"/>
  <c r="I30945" i="5"/>
  <c r="I30929" i="5"/>
  <c r="I30913" i="5"/>
  <c r="I30897" i="5"/>
  <c r="I30881" i="5"/>
  <c r="I30865" i="5"/>
  <c r="I30851" i="5"/>
  <c r="I30839" i="5"/>
  <c r="I30825" i="5"/>
  <c r="I30813" i="5"/>
  <c r="I30800" i="5"/>
  <c r="I30789" i="5"/>
  <c r="I30779" i="5"/>
  <c r="I30768" i="5"/>
  <c r="I30757" i="5"/>
  <c r="I30747" i="5"/>
  <c r="I30736" i="5"/>
  <c r="I30726" i="5"/>
  <c r="I30717" i="5"/>
  <c r="I30708" i="5"/>
  <c r="I30699" i="5"/>
  <c r="I30689" i="5"/>
  <c r="I30681" i="5"/>
  <c r="I30673" i="5"/>
  <c r="I30665" i="5"/>
  <c r="I30657" i="5"/>
  <c r="I30649" i="5"/>
  <c r="I30641" i="5"/>
  <c r="I30633" i="5"/>
  <c r="I30625" i="5"/>
  <c r="I30617" i="5"/>
  <c r="I30609" i="5"/>
  <c r="I30601" i="5"/>
  <c r="I30593" i="5"/>
  <c r="I30585" i="5"/>
  <c r="I30577" i="5"/>
  <c r="I30569" i="5"/>
  <c r="I30561" i="5"/>
  <c r="I30553" i="5"/>
  <c r="I30545" i="5"/>
  <c r="I30537" i="5"/>
  <c r="I30529" i="5"/>
  <c r="I30521" i="5"/>
  <c r="I30513" i="5"/>
  <c r="I30505" i="5"/>
  <c r="I30497" i="5"/>
  <c r="I30489" i="5"/>
  <c r="I30481" i="5"/>
  <c r="I30473" i="5"/>
  <c r="I30465" i="5"/>
  <c r="I30457" i="5"/>
  <c r="I30449" i="5"/>
  <c r="I30441" i="5"/>
  <c r="I30433" i="5"/>
  <c r="I30425" i="5"/>
  <c r="I30417" i="5"/>
  <c r="I30409" i="5"/>
  <c r="I30401" i="5"/>
  <c r="I30393" i="5"/>
  <c r="I30385" i="5"/>
  <c r="I30377" i="5"/>
  <c r="I30369" i="5"/>
  <c r="I30361" i="5"/>
  <c r="I30353" i="5"/>
  <c r="I30345" i="5"/>
  <c r="I30337" i="5"/>
  <c r="I30329" i="5"/>
  <c r="I30321" i="5"/>
  <c r="I30313" i="5"/>
  <c r="I30305" i="5"/>
  <c r="I30297" i="5"/>
  <c r="I30289" i="5"/>
  <c r="I30281" i="5"/>
  <c r="I30273" i="5"/>
  <c r="I30265" i="5"/>
  <c r="I30257" i="5"/>
  <c r="I30249" i="5"/>
  <c r="I30241" i="5"/>
  <c r="I30233" i="5"/>
  <c r="I30225" i="5"/>
  <c r="I30217" i="5"/>
  <c r="I30209" i="5"/>
  <c r="I30201" i="5"/>
  <c r="I30193" i="5"/>
  <c r="I30185" i="5"/>
  <c r="I30177" i="5"/>
  <c r="I30169" i="5"/>
  <c r="I30161" i="5"/>
  <c r="I30153" i="5"/>
  <c r="I30145" i="5"/>
  <c r="I30137" i="5"/>
  <c r="I30129" i="5"/>
  <c r="I30121" i="5"/>
  <c r="I30113" i="5"/>
  <c r="I30105" i="5"/>
  <c r="I30097" i="5"/>
  <c r="I30089" i="5"/>
  <c r="I30081" i="5"/>
  <c r="I30073" i="5"/>
  <c r="I30065" i="5"/>
  <c r="I30057" i="5"/>
  <c r="I30049" i="5"/>
  <c r="I30041" i="5"/>
  <c r="I30033" i="5"/>
  <c r="I30025" i="5"/>
  <c r="I30017" i="5"/>
  <c r="I30009" i="5"/>
  <c r="I30001" i="5"/>
  <c r="I29993" i="5"/>
  <c r="I29985" i="5"/>
  <c r="I29977" i="5"/>
  <c r="I29969" i="5"/>
  <c r="I29961" i="5"/>
  <c r="I36832" i="5"/>
  <c r="I35739" i="5"/>
  <c r="I35264" i="5"/>
  <c r="I34837" i="5"/>
  <c r="I34566" i="5"/>
  <c r="I34259" i="5"/>
  <c r="I34036" i="5"/>
  <c r="I33905" i="5"/>
  <c r="I33738" i="5"/>
  <c r="I33585" i="5"/>
  <c r="I33442" i="5"/>
  <c r="I33284" i="5"/>
  <c r="I33123" i="5"/>
  <c r="I33026" i="5"/>
  <c r="I32899" i="5"/>
  <c r="I32786" i="5"/>
  <c r="I32684" i="5"/>
  <c r="I32567" i="5"/>
  <c r="I32474" i="5"/>
  <c r="I32392" i="5"/>
  <c r="I32313" i="5"/>
  <c r="I32240" i="5"/>
  <c r="I32191" i="5"/>
  <c r="I32128" i="5"/>
  <c r="I32071" i="5"/>
  <c r="I32021" i="5"/>
  <c r="I31959" i="5"/>
  <c r="I31901" i="5"/>
  <c r="I31848" i="5"/>
  <c r="I31789" i="5"/>
  <c r="I31728" i="5"/>
  <c r="I31679" i="5"/>
  <c r="I31616" i="5"/>
  <c r="I31559" i="5"/>
  <c r="I31519" i="5"/>
  <c r="I31472" i="5"/>
  <c r="I31429" i="5"/>
  <c r="I31391" i="5"/>
  <c r="I31344" i="5"/>
  <c r="I31301" i="5"/>
  <c r="I31263" i="5"/>
  <c r="I31216" i="5"/>
  <c r="I31173" i="5"/>
  <c r="I31135" i="5"/>
  <c r="I31088" i="5"/>
  <c r="I31045" i="5"/>
  <c r="I31007" i="5"/>
  <c r="I30960" i="5"/>
  <c r="I30917" i="5"/>
  <c r="I30879" i="5"/>
  <c r="I30837" i="5"/>
  <c r="I30801" i="5"/>
  <c r="I30776" i="5"/>
  <c r="I30745" i="5"/>
  <c r="I30718" i="5"/>
  <c r="I30696" i="5"/>
  <c r="I30672" i="5"/>
  <c r="I30650" i="5"/>
  <c r="I30631" i="5"/>
  <c r="I30608" i="5"/>
  <c r="I30586" i="5"/>
  <c r="I30567" i="5"/>
  <c r="I30544" i="5"/>
  <c r="I30522" i="5"/>
  <c r="I30503" i="5"/>
  <c r="I30480" i="5"/>
  <c r="I30458" i="5"/>
  <c r="I30439" i="5"/>
  <c r="I30416" i="5"/>
  <c r="I30394" i="5"/>
  <c r="I30375" i="5"/>
  <c r="I30352" i="5"/>
  <c r="I30330" i="5"/>
  <c r="I30311" i="5"/>
  <c r="I30288" i="5"/>
  <c r="I30266" i="5"/>
  <c r="I30247" i="5"/>
  <c r="I30224" i="5"/>
  <c r="I30202" i="5"/>
  <c r="I30183" i="5"/>
  <c r="I30160" i="5"/>
  <c r="I30138" i="5"/>
  <c r="I30119" i="5"/>
  <c r="I30096" i="5"/>
  <c r="I30074" i="5"/>
  <c r="I30055" i="5"/>
  <c r="I30032" i="5"/>
  <c r="I30010" i="5"/>
  <c r="I29991" i="5"/>
  <c r="I29968" i="5"/>
  <c r="I29951" i="5"/>
  <c r="I29935" i="5"/>
  <c r="I29919" i="5"/>
  <c r="I29903" i="5"/>
  <c r="I29887" i="5"/>
  <c r="I29871" i="5"/>
  <c r="I29855" i="5"/>
  <c r="I29839" i="5"/>
  <c r="I29823" i="5"/>
  <c r="I29807" i="5"/>
  <c r="I29791" i="5"/>
  <c r="I29775" i="5"/>
  <c r="I29759" i="5"/>
  <c r="I29743" i="5"/>
  <c r="I29727" i="5"/>
  <c r="I29711" i="5"/>
  <c r="I29695" i="5"/>
  <c r="I29679" i="5"/>
  <c r="I29663" i="5"/>
  <c r="I29647" i="5"/>
  <c r="I29631" i="5"/>
  <c r="I29615" i="5"/>
  <c r="I29599" i="5"/>
  <c r="I29583" i="5"/>
  <c r="I29567" i="5"/>
  <c r="I29551" i="5"/>
  <c r="I29535" i="5"/>
  <c r="I29519" i="5"/>
  <c r="I29503" i="5"/>
  <c r="I29487" i="5"/>
  <c r="I29471" i="5"/>
  <c r="I29455" i="5"/>
  <c r="I29439" i="5"/>
  <c r="I29423" i="5"/>
  <c r="I29407" i="5"/>
  <c r="I29391" i="5"/>
  <c r="I29375" i="5"/>
  <c r="I29359" i="5"/>
  <c r="I29343" i="5"/>
  <c r="I29327" i="5"/>
  <c r="I29311" i="5"/>
  <c r="I29295" i="5"/>
  <c r="I29279" i="5"/>
  <c r="I29263" i="5"/>
  <c r="I29247" i="5"/>
  <c r="I29231" i="5"/>
  <c r="I29216" i="5"/>
  <c r="I29202" i="5"/>
  <c r="I29191" i="5"/>
  <c r="I29177" i="5"/>
  <c r="I29163" i="5"/>
  <c r="I29152" i="5"/>
  <c r="I29141" i="5"/>
  <c r="I29131" i="5"/>
  <c r="I29122" i="5"/>
  <c r="I29114" i="5"/>
  <c r="I29106" i="5"/>
  <c r="I29098" i="5"/>
  <c r="I29090" i="5"/>
  <c r="I29082" i="5"/>
  <c r="I29074" i="5"/>
  <c r="I29066" i="5"/>
  <c r="I29058" i="5"/>
  <c r="I29050" i="5"/>
  <c r="I29042" i="5"/>
  <c r="I29034" i="5"/>
  <c r="I29026" i="5"/>
  <c r="I29018" i="5"/>
  <c r="I29010" i="5"/>
  <c r="I29002" i="5"/>
  <c r="I28994" i="5"/>
  <c r="I28986" i="5"/>
  <c r="I28978" i="5"/>
  <c r="I28970" i="5"/>
  <c r="I28962" i="5"/>
  <c r="I28954" i="5"/>
  <c r="I28946" i="5"/>
  <c r="I28938" i="5"/>
  <c r="I28930" i="5"/>
  <c r="I28922" i="5"/>
  <c r="I28914" i="5"/>
  <c r="I28906" i="5"/>
  <c r="I28898" i="5"/>
  <c r="I28890" i="5"/>
  <c r="I28882" i="5"/>
  <c r="I28874" i="5"/>
  <c r="I28866" i="5"/>
  <c r="I28858" i="5"/>
  <c r="I28850" i="5"/>
  <c r="I28842" i="5"/>
  <c r="I28834" i="5"/>
  <c r="I28826" i="5"/>
  <c r="I28818" i="5"/>
  <c r="I28810" i="5"/>
  <c r="I28802" i="5"/>
  <c r="I28794" i="5"/>
  <c r="I28786" i="5"/>
  <c r="I28778" i="5"/>
  <c r="I28770" i="5"/>
  <c r="I28762" i="5"/>
  <c r="I28754" i="5"/>
  <c r="I28746" i="5"/>
  <c r="I28738" i="5"/>
  <c r="I28730" i="5"/>
  <c r="I28722" i="5"/>
  <c r="I28714" i="5"/>
  <c r="I28706" i="5"/>
  <c r="I28698" i="5"/>
  <c r="I28690" i="5"/>
  <c r="I28682" i="5"/>
  <c r="I28674" i="5"/>
  <c r="I28666" i="5"/>
  <c r="I28658" i="5"/>
  <c r="I28650" i="5"/>
  <c r="I28642" i="5"/>
  <c r="I28634" i="5"/>
  <c r="I28626" i="5"/>
  <c r="I28618" i="5"/>
  <c r="I28610" i="5"/>
  <c r="I28602" i="5"/>
  <c r="I28594" i="5"/>
  <c r="I28586" i="5"/>
  <c r="I28578" i="5"/>
  <c r="I28570" i="5"/>
  <c r="I28562" i="5"/>
  <c r="I28554" i="5"/>
  <c r="I28546" i="5"/>
  <c r="I28538" i="5"/>
  <c r="I28530" i="5"/>
  <c r="I28522" i="5"/>
  <c r="I28514" i="5"/>
  <c r="I28506" i="5"/>
  <c r="I28498" i="5"/>
  <c r="I28490" i="5"/>
  <c r="I28482" i="5"/>
  <c r="I28474" i="5"/>
  <c r="I28466" i="5"/>
  <c r="I28458" i="5"/>
  <c r="I28450" i="5"/>
  <c r="I28442" i="5"/>
  <c r="I28434" i="5"/>
  <c r="I28426" i="5"/>
  <c r="I28418" i="5"/>
  <c r="I28410" i="5"/>
  <c r="I28402" i="5"/>
  <c r="I28394" i="5"/>
  <c r="I28386" i="5"/>
  <c r="I28378" i="5"/>
  <c r="I28370" i="5"/>
  <c r="I28362" i="5"/>
  <c r="I28354" i="5"/>
  <c r="I28346" i="5"/>
  <c r="I28338" i="5"/>
  <c r="I28330" i="5"/>
  <c r="I28322" i="5"/>
  <c r="I28314" i="5"/>
  <c r="I28306" i="5"/>
  <c r="I28298" i="5"/>
  <c r="I28290" i="5"/>
  <c r="I28282" i="5"/>
  <c r="I28274" i="5"/>
  <c r="I28266" i="5"/>
  <c r="I28258" i="5"/>
  <c r="I28250" i="5"/>
  <c r="I28242" i="5"/>
  <c r="I28234" i="5"/>
  <c r="I28226" i="5"/>
  <c r="I28218" i="5"/>
  <c r="I28210" i="5"/>
  <c r="I28202" i="5"/>
  <c r="I28194" i="5"/>
  <c r="I28186" i="5"/>
  <c r="I28178" i="5"/>
  <c r="I28170" i="5"/>
  <c r="I28162" i="5"/>
  <c r="I28154" i="5"/>
  <c r="I28146" i="5"/>
  <c r="I28138" i="5"/>
  <c r="I28130" i="5"/>
  <c r="I28122" i="5"/>
  <c r="I28114" i="5"/>
  <c r="I28106" i="5"/>
  <c r="I28098" i="5"/>
  <c r="I28090" i="5"/>
  <c r="I28082" i="5"/>
  <c r="I28074" i="5"/>
  <c r="I28066" i="5"/>
  <c r="I28058" i="5"/>
  <c r="I28050" i="5"/>
  <c r="I28042" i="5"/>
  <c r="I28034" i="5"/>
  <c r="I28026" i="5"/>
  <c r="I28018" i="5"/>
  <c r="I28010" i="5"/>
  <c r="I28002" i="5"/>
  <c r="I27994" i="5"/>
  <c r="I27986" i="5"/>
  <c r="I27978" i="5"/>
  <c r="I27970" i="5"/>
  <c r="I27962" i="5"/>
  <c r="I27954" i="5"/>
  <c r="I27946" i="5"/>
  <c r="I27938" i="5"/>
  <c r="I27930" i="5"/>
  <c r="I27922" i="5"/>
  <c r="I27914" i="5"/>
  <c r="I27906" i="5"/>
  <c r="I27898" i="5"/>
  <c r="I27890" i="5"/>
  <c r="I27882" i="5"/>
  <c r="I27874" i="5"/>
  <c r="I27866" i="5"/>
  <c r="I27858" i="5"/>
  <c r="I27850" i="5"/>
  <c r="I27842" i="5"/>
  <c r="I27834" i="5"/>
  <c r="I27826" i="5"/>
  <c r="I27818" i="5"/>
  <c r="I27810" i="5"/>
  <c r="I27802" i="5"/>
  <c r="I27794" i="5"/>
  <c r="I27786" i="5"/>
  <c r="I27778" i="5"/>
  <c r="I27770" i="5"/>
  <c r="I27762" i="5"/>
  <c r="I27754" i="5"/>
  <c r="I27746" i="5"/>
  <c r="I27738" i="5"/>
  <c r="I27730" i="5"/>
  <c r="I27722" i="5"/>
  <c r="I27714" i="5"/>
  <c r="I27706" i="5"/>
  <c r="I27698" i="5"/>
  <c r="I27690" i="5"/>
  <c r="I27682" i="5"/>
  <c r="I27674" i="5"/>
  <c r="I27666" i="5"/>
  <c r="I27658" i="5"/>
  <c r="I27650" i="5"/>
  <c r="I27642" i="5"/>
  <c r="I27634" i="5"/>
  <c r="I27626" i="5"/>
  <c r="I27618" i="5"/>
  <c r="I27610" i="5"/>
  <c r="I27602" i="5"/>
  <c r="I27594" i="5"/>
  <c r="I27586" i="5"/>
  <c r="I27578" i="5"/>
  <c r="I27570" i="5"/>
  <c r="I27562" i="5"/>
  <c r="I27554" i="5"/>
  <c r="I27546" i="5"/>
  <c r="I27538" i="5"/>
  <c r="I27530" i="5"/>
  <c r="I27522" i="5"/>
  <c r="I27514" i="5"/>
  <c r="I27506" i="5"/>
  <c r="I27498" i="5"/>
  <c r="I27490" i="5"/>
  <c r="I27482" i="5"/>
  <c r="I27474" i="5"/>
  <c r="I27466" i="5"/>
  <c r="I27458" i="5"/>
  <c r="I27450" i="5"/>
  <c r="I27442" i="5"/>
  <c r="I27434" i="5"/>
  <c r="I27426" i="5"/>
  <c r="I27418" i="5"/>
  <c r="I27410" i="5"/>
  <c r="I27402" i="5"/>
  <c r="I27394" i="5"/>
  <c r="I27386" i="5"/>
  <c r="I27378" i="5"/>
  <c r="I27370" i="5"/>
  <c r="I27362" i="5"/>
  <c r="I27354" i="5"/>
  <c r="I27346" i="5"/>
  <c r="I27338" i="5"/>
  <c r="I27330" i="5"/>
  <c r="I27322" i="5"/>
  <c r="I27314" i="5"/>
  <c r="I27306" i="5"/>
  <c r="I27298" i="5"/>
  <c r="I27290" i="5"/>
  <c r="I27282" i="5"/>
  <c r="I27274" i="5"/>
  <c r="I27266" i="5"/>
  <c r="I27258" i="5"/>
  <c r="I27250" i="5"/>
  <c r="I27242" i="5"/>
  <c r="I27234" i="5"/>
  <c r="I27226" i="5"/>
  <c r="I27218" i="5"/>
  <c r="I27210" i="5"/>
  <c r="I27202" i="5"/>
  <c r="I27194" i="5"/>
  <c r="I27186" i="5"/>
  <c r="I27178" i="5"/>
  <c r="I27170" i="5"/>
  <c r="I27162" i="5"/>
  <c r="I27154" i="5"/>
  <c r="I27146" i="5"/>
  <c r="I27138" i="5"/>
  <c r="I27130" i="5"/>
  <c r="I27122" i="5"/>
  <c r="I27114" i="5"/>
  <c r="I27106" i="5"/>
  <c r="I27098" i="5"/>
  <c r="I27090" i="5"/>
  <c r="I27082" i="5"/>
  <c r="I27074" i="5"/>
  <c r="I27066" i="5"/>
  <c r="I27058" i="5"/>
  <c r="I27050" i="5"/>
  <c r="I27042" i="5"/>
  <c r="I27034" i="5"/>
  <c r="I27026" i="5"/>
  <c r="I27018" i="5"/>
  <c r="I27010" i="5"/>
  <c r="I27002" i="5"/>
  <c r="I26994" i="5"/>
  <c r="I26986" i="5"/>
  <c r="I26978" i="5"/>
  <c r="I26970" i="5"/>
  <c r="I26962" i="5"/>
  <c r="I26954" i="5"/>
  <c r="I26946" i="5"/>
  <c r="I26938" i="5"/>
  <c r="I26930" i="5"/>
  <c r="I26922" i="5"/>
  <c r="I26914" i="5"/>
  <c r="I26906" i="5"/>
  <c r="I26898" i="5"/>
  <c r="I26890" i="5"/>
  <c r="I26882" i="5"/>
  <c r="I26874" i="5"/>
  <c r="I26866" i="5"/>
  <c r="I26858" i="5"/>
  <c r="I26850" i="5"/>
  <c r="I26842" i="5"/>
  <c r="I26834" i="5"/>
  <c r="I26826" i="5"/>
  <c r="I26818" i="5"/>
  <c r="I26810" i="5"/>
  <c r="I26802" i="5"/>
  <c r="I26794" i="5"/>
  <c r="I26786" i="5"/>
  <c r="I26778" i="5"/>
  <c r="I26770" i="5"/>
  <c r="I26762" i="5"/>
  <c r="I26754" i="5"/>
  <c r="I26746" i="5"/>
  <c r="I26738" i="5"/>
  <c r="I26730" i="5"/>
  <c r="I26722" i="5"/>
  <c r="I26714" i="5"/>
  <c r="I26706" i="5"/>
  <c r="I26698" i="5"/>
  <c r="I26690" i="5"/>
  <c r="I26682" i="5"/>
  <c r="I26674" i="5"/>
  <c r="I26666" i="5"/>
  <c r="I26658" i="5"/>
  <c r="I26650" i="5"/>
  <c r="I26642" i="5"/>
  <c r="I26634" i="5"/>
  <c r="I26626" i="5"/>
  <c r="I26618" i="5"/>
  <c r="I26610" i="5"/>
  <c r="I26602" i="5"/>
  <c r="I26594" i="5"/>
  <c r="I26586" i="5"/>
  <c r="I26578" i="5"/>
  <c r="I26570" i="5"/>
  <c r="I26562" i="5"/>
  <c r="I26554" i="5"/>
  <c r="I26546" i="5"/>
  <c r="I26538" i="5"/>
  <c r="I26530" i="5"/>
  <c r="I26522" i="5"/>
  <c r="I26514" i="5"/>
  <c r="I26506" i="5"/>
  <c r="I26498" i="5"/>
  <c r="I26490" i="5"/>
  <c r="I26482" i="5"/>
  <c r="I26474" i="5"/>
  <c r="I26466" i="5"/>
  <c r="I26458" i="5"/>
  <c r="I26450" i="5"/>
  <c r="I26442" i="5"/>
  <c r="I26434" i="5"/>
  <c r="I26426" i="5"/>
  <c r="I26418" i="5"/>
  <c r="I26410" i="5"/>
  <c r="I26402" i="5"/>
  <c r="I26394" i="5"/>
  <c r="I26386" i="5"/>
  <c r="I26378" i="5"/>
  <c r="I26370" i="5"/>
  <c r="I26362" i="5"/>
  <c r="I26354" i="5"/>
  <c r="I26346" i="5"/>
  <c r="I26338" i="5"/>
  <c r="I26330" i="5"/>
  <c r="I26322" i="5"/>
  <c r="I26314" i="5"/>
  <c r="I26306" i="5"/>
  <c r="I26298" i="5"/>
  <c r="I26290" i="5"/>
  <c r="I26282" i="5"/>
  <c r="I26274" i="5"/>
  <c r="I26266" i="5"/>
  <c r="I26258" i="5"/>
  <c r="I26250" i="5"/>
  <c r="I26242" i="5"/>
  <c r="I26234" i="5"/>
  <c r="I26226" i="5"/>
  <c r="I26218" i="5"/>
  <c r="I26210" i="5"/>
  <c r="I26202" i="5"/>
  <c r="I26194" i="5"/>
  <c r="I26186" i="5"/>
  <c r="I26178" i="5"/>
  <c r="I26170" i="5"/>
  <c r="I26162" i="5"/>
  <c r="I26154" i="5"/>
  <c r="I26146" i="5"/>
  <c r="I26138" i="5"/>
  <c r="I26130" i="5"/>
  <c r="I26122" i="5"/>
  <c r="I26114" i="5"/>
  <c r="I26106" i="5"/>
  <c r="I26098" i="5"/>
  <c r="I26090" i="5"/>
  <c r="I26082" i="5"/>
  <c r="I26074" i="5"/>
  <c r="I26066" i="5"/>
  <c r="I26058" i="5"/>
  <c r="I26050" i="5"/>
  <c r="I26042" i="5"/>
  <c r="I26034" i="5"/>
  <c r="I26026" i="5"/>
  <c r="I26018" i="5"/>
  <c r="I26010" i="5"/>
  <c r="I26002" i="5"/>
  <c r="I25994" i="5"/>
  <c r="I25986" i="5"/>
  <c r="I25978" i="5"/>
  <c r="I25970" i="5"/>
  <c r="I25962" i="5"/>
  <c r="I25954" i="5"/>
  <c r="I25946" i="5"/>
  <c r="I25938" i="5"/>
  <c r="I25930" i="5"/>
  <c r="I25922" i="5"/>
  <c r="I25914" i="5"/>
  <c r="I25906" i="5"/>
  <c r="I25898" i="5"/>
  <c r="I25890" i="5"/>
  <c r="I25882" i="5"/>
  <c r="I25874" i="5"/>
  <c r="I25866" i="5"/>
  <c r="I25858" i="5"/>
  <c r="I25850" i="5"/>
  <c r="I25842" i="5"/>
  <c r="I25834" i="5"/>
  <c r="I25826" i="5"/>
  <c r="I25818" i="5"/>
  <c r="I25810" i="5"/>
  <c r="I25802" i="5"/>
  <c r="I25794" i="5"/>
  <c r="I25786" i="5"/>
  <c r="I25778" i="5"/>
  <c r="I25770" i="5"/>
  <c r="I25762" i="5"/>
  <c r="I25754" i="5"/>
  <c r="I25746" i="5"/>
  <c r="I25738" i="5"/>
  <c r="I25730" i="5"/>
  <c r="I25722" i="5"/>
  <c r="I25714" i="5"/>
  <c r="I25706" i="5"/>
  <c r="I25698" i="5"/>
  <c r="I25690" i="5"/>
  <c r="I25682" i="5"/>
  <c r="I25674" i="5"/>
  <c r="I25666" i="5"/>
  <c r="I25658" i="5"/>
  <c r="I25650" i="5"/>
  <c r="I25642" i="5"/>
  <c r="I25634" i="5"/>
  <c r="I25626" i="5"/>
  <c r="I25618" i="5"/>
  <c r="I25610" i="5"/>
  <c r="I36607" i="5"/>
  <c r="I35610" i="5"/>
  <c r="I35229" i="5"/>
  <c r="I34815" i="5"/>
  <c r="I34486" i="5"/>
  <c r="I34255" i="5"/>
  <c r="I34018" i="5"/>
  <c r="I33866" i="5"/>
  <c r="I33732" i="5"/>
  <c r="I33569" i="5"/>
  <c r="I33412" i="5"/>
  <c r="I33273" i="5"/>
  <c r="I33116" i="5"/>
  <c r="I32995" i="5"/>
  <c r="I32898" i="5"/>
  <c r="I32771" i="5"/>
  <c r="I32658" i="5"/>
  <c r="I32563" i="5"/>
  <c r="I32465" i="5"/>
  <c r="I32377" i="5"/>
  <c r="I32306" i="5"/>
  <c r="I32237" i="5"/>
  <c r="I32176" i="5"/>
  <c r="I32127" i="5"/>
  <c r="I32064" i="5"/>
  <c r="I32007" i="5"/>
  <c r="I31957" i="5"/>
  <c r="I31895" i="5"/>
  <c r="I31837" i="5"/>
  <c r="I31784" i="5"/>
  <c r="I31725" i="5"/>
  <c r="I31664" i="5"/>
  <c r="I31615" i="5"/>
  <c r="I31552" i="5"/>
  <c r="I31509" i="5"/>
  <c r="I31471" i="5"/>
  <c r="I31424" i="5"/>
  <c r="I31381" i="5"/>
  <c r="I31343" i="5"/>
  <c r="I31296" i="5"/>
  <c r="I31253" i="5"/>
  <c r="I31215" i="5"/>
  <c r="I31168" i="5"/>
  <c r="I31125" i="5"/>
  <c r="I31087" i="5"/>
  <c r="I31040" i="5"/>
  <c r="I30997" i="5"/>
  <c r="I30959" i="5"/>
  <c r="I30912" i="5"/>
  <c r="I30869" i="5"/>
  <c r="I30835" i="5"/>
  <c r="I30799" i="5"/>
  <c r="I30769" i="5"/>
  <c r="I30744" i="5"/>
  <c r="I30716" i="5"/>
  <c r="I30691" i="5"/>
  <c r="I30671" i="5"/>
  <c r="I30648" i="5"/>
  <c r="I30626" i="5"/>
  <c r="I30607" i="5"/>
  <c r="I30584" i="5"/>
  <c r="I30562" i="5"/>
  <c r="I30543" i="5"/>
  <c r="I30520" i="5"/>
  <c r="I30498" i="5"/>
  <c r="I30479" i="5"/>
  <c r="I30456" i="5"/>
  <c r="I30434" i="5"/>
  <c r="I30415" i="5"/>
  <c r="I30392" i="5"/>
  <c r="I30370" i="5"/>
  <c r="I30351" i="5"/>
  <c r="I30328" i="5"/>
  <c r="I30306" i="5"/>
  <c r="I30287" i="5"/>
  <c r="I30264" i="5"/>
  <c r="I30242" i="5"/>
  <c r="I30223" i="5"/>
  <c r="I30200" i="5"/>
  <c r="I30178" i="5"/>
  <c r="I30159" i="5"/>
  <c r="I30136" i="5"/>
  <c r="I30114" i="5"/>
  <c r="I30095" i="5"/>
  <c r="I30072" i="5"/>
  <c r="I30050" i="5"/>
  <c r="I30031" i="5"/>
  <c r="I30008" i="5"/>
  <c r="I29986" i="5"/>
  <c r="I29967" i="5"/>
  <c r="I29946" i="5"/>
  <c r="I29930" i="5"/>
  <c r="I29914" i="5"/>
  <c r="I29898" i="5"/>
  <c r="I29882" i="5"/>
  <c r="I29866" i="5"/>
  <c r="I29850" i="5"/>
  <c r="I29834" i="5"/>
  <c r="I29818" i="5"/>
  <c r="I29802" i="5"/>
  <c r="I29786" i="5"/>
  <c r="I29770" i="5"/>
  <c r="I29754" i="5"/>
  <c r="I29738" i="5"/>
  <c r="I29722" i="5"/>
  <c r="I29706" i="5"/>
  <c r="I29690" i="5"/>
  <c r="I29674" i="5"/>
  <c r="I29658" i="5"/>
  <c r="I29642" i="5"/>
  <c r="I29626" i="5"/>
  <c r="I29610" i="5"/>
  <c r="I29594" i="5"/>
  <c r="I29578" i="5"/>
  <c r="I29562" i="5"/>
  <c r="I29546" i="5"/>
  <c r="I29530" i="5"/>
  <c r="I29514" i="5"/>
  <c r="I29498" i="5"/>
  <c r="I29482" i="5"/>
  <c r="I29466" i="5"/>
  <c r="I29450" i="5"/>
  <c r="I29434" i="5"/>
  <c r="I29418" i="5"/>
  <c r="I29402" i="5"/>
  <c r="I29386" i="5"/>
  <c r="I29370" i="5"/>
  <c r="I29354" i="5"/>
  <c r="I29338" i="5"/>
  <c r="I29322" i="5"/>
  <c r="I29306" i="5"/>
  <c r="I29290" i="5"/>
  <c r="I29274" i="5"/>
  <c r="I29258" i="5"/>
  <c r="I29242" i="5"/>
  <c r="I29226" i="5"/>
  <c r="I29215" i="5"/>
  <c r="I29201" i="5"/>
  <c r="I29187" i="5"/>
  <c r="I29176" i="5"/>
  <c r="I29162" i="5"/>
  <c r="I29151" i="5"/>
  <c r="I29139" i="5"/>
  <c r="I29130" i="5"/>
  <c r="I29121" i="5"/>
  <c r="I29113" i="5"/>
  <c r="I29105" i="5"/>
  <c r="I29097" i="5"/>
  <c r="I29089" i="5"/>
  <c r="I29081" i="5"/>
  <c r="I29073" i="5"/>
  <c r="I29065" i="5"/>
  <c r="I29057" i="5"/>
  <c r="I29049" i="5"/>
  <c r="I29041" i="5"/>
  <c r="I29033" i="5"/>
  <c r="I29025" i="5"/>
  <c r="I29017" i="5"/>
  <c r="I29009" i="5"/>
  <c r="I29001" i="5"/>
  <c r="I28993" i="5"/>
  <c r="I28985" i="5"/>
  <c r="I28977" i="5"/>
  <c r="I28969" i="5"/>
  <c r="I28961" i="5"/>
  <c r="I28953" i="5"/>
  <c r="I28945" i="5"/>
  <c r="I28937" i="5"/>
  <c r="I28929" i="5"/>
  <c r="I28921" i="5"/>
  <c r="I28913" i="5"/>
  <c r="I28905" i="5"/>
  <c r="I28897" i="5"/>
  <c r="I28889" i="5"/>
  <c r="I28881" i="5"/>
  <c r="I28873" i="5"/>
  <c r="I28865" i="5"/>
  <c r="I28857" i="5"/>
  <c r="I28849" i="5"/>
  <c r="I28841" i="5"/>
  <c r="I28833" i="5"/>
  <c r="I28825" i="5"/>
  <c r="I28817" i="5"/>
  <c r="I28809" i="5"/>
  <c r="I28801" i="5"/>
  <c r="I28793" i="5"/>
  <c r="I28785" i="5"/>
  <c r="I28777" i="5"/>
  <c r="I28769" i="5"/>
  <c r="I28761" i="5"/>
  <c r="I28753" i="5"/>
  <c r="I28745" i="5"/>
  <c r="I28737" i="5"/>
  <c r="I28729" i="5"/>
  <c r="I28721" i="5"/>
  <c r="I28713" i="5"/>
  <c r="I28705" i="5"/>
  <c r="I28697" i="5"/>
  <c r="I28689" i="5"/>
  <c r="I28681" i="5"/>
  <c r="I28673" i="5"/>
  <c r="I28665" i="5"/>
  <c r="I28657" i="5"/>
  <c r="I28649" i="5"/>
  <c r="I28641" i="5"/>
  <c r="I28633" i="5"/>
  <c r="I28625" i="5"/>
  <c r="I28617" i="5"/>
  <c r="I28609" i="5"/>
  <c r="I28601" i="5"/>
  <c r="I28593" i="5"/>
  <c r="I28585" i="5"/>
  <c r="I28577" i="5"/>
  <c r="I28569" i="5"/>
  <c r="I28561" i="5"/>
  <c r="I28553" i="5"/>
  <c r="I28545" i="5"/>
  <c r="I28537" i="5"/>
  <c r="I28529" i="5"/>
  <c r="I28521" i="5"/>
  <c r="I28513" i="5"/>
  <c r="I28505" i="5"/>
  <c r="I28497" i="5"/>
  <c r="I28489" i="5"/>
  <c r="I28481" i="5"/>
  <c r="I28473" i="5"/>
  <c r="I28465" i="5"/>
  <c r="I28457" i="5"/>
  <c r="I28449" i="5"/>
  <c r="I28441" i="5"/>
  <c r="I28433" i="5"/>
  <c r="I28425" i="5"/>
  <c r="I28417" i="5"/>
  <c r="I28409" i="5"/>
  <c r="I28401" i="5"/>
  <c r="I28393" i="5"/>
  <c r="I28385" i="5"/>
  <c r="I28377" i="5"/>
  <c r="I28369" i="5"/>
  <c r="I28361" i="5"/>
  <c r="I28353" i="5"/>
  <c r="I28345" i="5"/>
  <c r="I28337" i="5"/>
  <c r="I28329" i="5"/>
  <c r="I28321" i="5"/>
  <c r="I28313" i="5"/>
  <c r="I28305" i="5"/>
  <c r="I28297" i="5"/>
  <c r="I28289" i="5"/>
  <c r="I28281" i="5"/>
  <c r="I28273" i="5"/>
  <c r="I28265" i="5"/>
  <c r="I28257" i="5"/>
  <c r="I28249" i="5"/>
  <c r="I28241" i="5"/>
  <c r="I28233" i="5"/>
  <c r="I28225" i="5"/>
  <c r="I28217" i="5"/>
  <c r="I28209" i="5"/>
  <c r="I28201" i="5"/>
  <c r="I28193" i="5"/>
  <c r="I28185" i="5"/>
  <c r="I28177" i="5"/>
  <c r="I28169" i="5"/>
  <c r="I28161" i="5"/>
  <c r="I28153" i="5"/>
  <c r="I28145" i="5"/>
  <c r="I28137" i="5"/>
  <c r="I28129" i="5"/>
  <c r="I28121" i="5"/>
  <c r="I28113" i="5"/>
  <c r="I28105" i="5"/>
  <c r="I28097" i="5"/>
  <c r="I28089" i="5"/>
  <c r="I28081" i="5"/>
  <c r="I28073" i="5"/>
  <c r="I28065" i="5"/>
  <c r="I28057" i="5"/>
  <c r="I28049" i="5"/>
  <c r="I28041" i="5"/>
  <c r="I28033" i="5"/>
  <c r="I28025" i="5"/>
  <c r="I28017" i="5"/>
  <c r="I28009" i="5"/>
  <c r="I28001" i="5"/>
  <c r="I27993" i="5"/>
  <c r="I27985" i="5"/>
  <c r="I27977" i="5"/>
  <c r="I27969" i="5"/>
  <c r="I27961" i="5"/>
  <c r="I27953" i="5"/>
  <c r="I27945" i="5"/>
  <c r="I27937" i="5"/>
  <c r="I27929" i="5"/>
  <c r="I27921" i="5"/>
  <c r="I27913" i="5"/>
  <c r="I27905" i="5"/>
  <c r="I27897" i="5"/>
  <c r="I27889" i="5"/>
  <c r="I27881" i="5"/>
  <c r="I27873" i="5"/>
  <c r="I27865" i="5"/>
  <c r="I27857" i="5"/>
  <c r="I27849" i="5"/>
  <c r="I27841" i="5"/>
  <c r="I27833" i="5"/>
  <c r="I27825" i="5"/>
  <c r="I27817" i="5"/>
  <c r="I27809" i="5"/>
  <c r="I27801" i="5"/>
  <c r="I27793" i="5"/>
  <c r="I27785" i="5"/>
  <c r="I27777" i="5"/>
  <c r="I27769" i="5"/>
  <c r="I27761" i="5"/>
  <c r="I27753" i="5"/>
  <c r="I27745" i="5"/>
  <c r="I27737" i="5"/>
  <c r="I27729" i="5"/>
  <c r="I27721" i="5"/>
  <c r="I27713" i="5"/>
  <c r="I27705" i="5"/>
  <c r="I27697" i="5"/>
  <c r="I27689" i="5"/>
  <c r="I27681" i="5"/>
  <c r="I27673" i="5"/>
  <c r="I27665" i="5"/>
  <c r="I27657" i="5"/>
  <c r="I27649" i="5"/>
  <c r="I27641" i="5"/>
  <c r="I27633" i="5"/>
  <c r="I27625" i="5"/>
  <c r="I27617" i="5"/>
  <c r="I27609" i="5"/>
  <c r="I27601" i="5"/>
  <c r="I27593" i="5"/>
  <c r="I27585" i="5"/>
  <c r="I27577" i="5"/>
  <c r="I27569" i="5"/>
  <c r="I27561" i="5"/>
  <c r="I27553" i="5"/>
  <c r="I27545" i="5"/>
  <c r="I27537" i="5"/>
  <c r="I27529" i="5"/>
  <c r="I27521" i="5"/>
  <c r="I27513" i="5"/>
  <c r="I27505" i="5"/>
  <c r="I27497" i="5"/>
  <c r="I27489" i="5"/>
  <c r="I27481" i="5"/>
  <c r="I27473" i="5"/>
  <c r="I27465" i="5"/>
  <c r="I27457" i="5"/>
  <c r="I27449" i="5"/>
  <c r="I27441" i="5"/>
  <c r="I27433" i="5"/>
  <c r="I27425" i="5"/>
  <c r="I27417" i="5"/>
  <c r="I27409" i="5"/>
  <c r="I27401" i="5"/>
  <c r="I27393" i="5"/>
  <c r="I27385" i="5"/>
  <c r="I27377" i="5"/>
  <c r="I27369" i="5"/>
  <c r="I27361" i="5"/>
  <c r="I27353" i="5"/>
  <c r="I27345" i="5"/>
  <c r="I27337" i="5"/>
  <c r="I27329" i="5"/>
  <c r="I27321" i="5"/>
  <c r="I27313" i="5"/>
  <c r="I27305" i="5"/>
  <c r="I27297" i="5"/>
  <c r="I27289" i="5"/>
  <c r="I27281" i="5"/>
  <c r="I27273" i="5"/>
  <c r="I27265" i="5"/>
  <c r="I27257" i="5"/>
  <c r="I27249" i="5"/>
  <c r="I27241" i="5"/>
  <c r="I27233" i="5"/>
  <c r="I27225" i="5"/>
  <c r="I27217" i="5"/>
  <c r="I27209" i="5"/>
  <c r="I27201" i="5"/>
  <c r="I27193" i="5"/>
  <c r="I27185" i="5"/>
  <c r="I27177" i="5"/>
  <c r="I27169" i="5"/>
  <c r="I27161" i="5"/>
  <c r="I27153" i="5"/>
  <c r="I27145" i="5"/>
  <c r="I27137" i="5"/>
  <c r="I27129" i="5"/>
  <c r="I27121" i="5"/>
  <c r="I27113" i="5"/>
  <c r="I27105" i="5"/>
  <c r="I27097" i="5"/>
  <c r="I27089" i="5"/>
  <c r="I27081" i="5"/>
  <c r="I27073" i="5"/>
  <c r="I27065" i="5"/>
  <c r="I27057" i="5"/>
  <c r="I27049" i="5"/>
  <c r="I27041" i="5"/>
  <c r="I27033" i="5"/>
  <c r="I27025" i="5"/>
  <c r="I27017" i="5"/>
  <c r="I27009" i="5"/>
  <c r="I27001" i="5"/>
  <c r="I26993" i="5"/>
  <c r="I26985" i="5"/>
  <c r="I26977" i="5"/>
  <c r="I26969" i="5"/>
  <c r="I26961" i="5"/>
  <c r="I26953" i="5"/>
  <c r="I26945" i="5"/>
  <c r="I26937" i="5"/>
  <c r="I26929" i="5"/>
  <c r="I26921" i="5"/>
  <c r="I26913" i="5"/>
  <c r="I26905" i="5"/>
  <c r="I26897" i="5"/>
  <c r="I26889" i="5"/>
  <c r="I26881" i="5"/>
  <c r="I26873" i="5"/>
  <c r="I26865" i="5"/>
  <c r="I26857" i="5"/>
  <c r="I26849" i="5"/>
  <c r="I26841" i="5"/>
  <c r="I26833" i="5"/>
  <c r="I26825" i="5"/>
  <c r="I26817" i="5"/>
  <c r="I26809" i="5"/>
  <c r="I26801" i="5"/>
  <c r="I26793" i="5"/>
  <c r="I26785" i="5"/>
  <c r="I26777" i="5"/>
  <c r="I26769" i="5"/>
  <c r="I26761" i="5"/>
  <c r="I26753" i="5"/>
  <c r="I26745" i="5"/>
  <c r="I26737" i="5"/>
  <c r="I26729" i="5"/>
  <c r="I26721" i="5"/>
  <c r="I26713" i="5"/>
  <c r="I26705" i="5"/>
  <c r="I26697" i="5"/>
  <c r="I26689" i="5"/>
  <c r="I26681" i="5"/>
  <c r="I26673" i="5"/>
  <c r="I26665" i="5"/>
  <c r="I26657" i="5"/>
  <c r="I26649" i="5"/>
  <c r="I26641" i="5"/>
  <c r="I26633" i="5"/>
  <c r="I26625" i="5"/>
  <c r="I26617" i="5"/>
  <c r="I26609" i="5"/>
  <c r="I26601" i="5"/>
  <c r="I26593" i="5"/>
  <c r="I26585" i="5"/>
  <c r="I26577" i="5"/>
  <c r="I26569" i="5"/>
  <c r="I26561" i="5"/>
  <c r="I26553" i="5"/>
  <c r="I26545" i="5"/>
  <c r="I26537" i="5"/>
  <c r="I26529" i="5"/>
  <c r="I26521" i="5"/>
  <c r="I26513" i="5"/>
  <c r="I26505" i="5"/>
  <c r="I26497" i="5"/>
  <c r="I26489" i="5"/>
  <c r="I26481" i="5"/>
  <c r="I26473" i="5"/>
  <c r="I26465" i="5"/>
  <c r="I26457" i="5"/>
  <c r="I26449" i="5"/>
  <c r="I26441" i="5"/>
  <c r="I26433" i="5"/>
  <c r="I26425" i="5"/>
  <c r="I26417" i="5"/>
  <c r="I26409" i="5"/>
  <c r="I26401" i="5"/>
  <c r="I26393" i="5"/>
  <c r="I26385" i="5"/>
  <c r="I26377" i="5"/>
  <c r="I26369" i="5"/>
  <c r="I26361" i="5"/>
  <c r="I26353" i="5"/>
  <c r="I26345" i="5"/>
  <c r="I26337" i="5"/>
  <c r="I26329" i="5"/>
  <c r="I26321" i="5"/>
  <c r="I26313" i="5"/>
  <c r="I26305" i="5"/>
  <c r="I26297" i="5"/>
  <c r="I26289" i="5"/>
  <c r="I26281" i="5"/>
  <c r="I26273" i="5"/>
  <c r="I26265" i="5"/>
  <c r="I26257" i="5"/>
  <c r="I26249" i="5"/>
  <c r="I26241" i="5"/>
  <c r="I26233" i="5"/>
  <c r="I26225" i="5"/>
  <c r="I26217" i="5"/>
  <c r="I26209" i="5"/>
  <c r="I26201" i="5"/>
  <c r="I26193" i="5"/>
  <c r="I26185" i="5"/>
  <c r="I26177" i="5"/>
  <c r="I26169" i="5"/>
  <c r="I26161" i="5"/>
  <c r="I26153" i="5"/>
  <c r="I26145" i="5"/>
  <c r="I26137" i="5"/>
  <c r="I26129" i="5"/>
  <c r="I26121" i="5"/>
  <c r="I26113" i="5"/>
  <c r="I26105" i="5"/>
  <c r="I26097" i="5"/>
  <c r="I26089" i="5"/>
  <c r="I26081" i="5"/>
  <c r="I26073" i="5"/>
  <c r="I26065" i="5"/>
  <c r="I26057" i="5"/>
  <c r="I26049" i="5"/>
  <c r="I26041" i="5"/>
  <c r="I26033" i="5"/>
  <c r="I26025" i="5"/>
  <c r="I26017" i="5"/>
  <c r="I26009" i="5"/>
  <c r="I26001" i="5"/>
  <c r="I25993" i="5"/>
  <c r="I25985" i="5"/>
  <c r="I25977" i="5"/>
  <c r="I25969" i="5"/>
  <c r="I25961" i="5"/>
  <c r="I25953" i="5"/>
  <c r="I25945" i="5"/>
  <c r="I25937" i="5"/>
  <c r="I25929" i="5"/>
  <c r="I25921" i="5"/>
  <c r="I25913" i="5"/>
  <c r="I25905" i="5"/>
  <c r="I25897" i="5"/>
  <c r="I25889" i="5"/>
  <c r="I25881" i="5"/>
  <c r="I25873" i="5"/>
  <c r="I25865" i="5"/>
  <c r="I25857" i="5"/>
  <c r="I25849" i="5"/>
  <c r="I25841" i="5"/>
  <c r="I25833" i="5"/>
  <c r="I25825" i="5"/>
  <c r="I25817" i="5"/>
  <c r="I25809" i="5"/>
  <c r="I25801" i="5"/>
  <c r="I25793" i="5"/>
  <c r="I25785" i="5"/>
  <c r="I25777" i="5"/>
  <c r="I25769" i="5"/>
  <c r="I25761" i="5"/>
  <c r="I25753" i="5"/>
  <c r="I25745" i="5"/>
  <c r="I25737" i="5"/>
  <c r="I25729" i="5"/>
  <c r="I25721" i="5"/>
  <c r="I25713" i="5"/>
  <c r="I36576" i="5"/>
  <c r="I35565" i="5"/>
  <c r="I35157" i="5"/>
  <c r="I34784" i="5"/>
  <c r="I34470" i="5"/>
  <c r="I34191" i="5"/>
  <c r="I34017" i="5"/>
  <c r="I33849" i="5"/>
  <c r="I33697" i="5"/>
  <c r="I33562" i="5"/>
  <c r="I33396" i="5"/>
  <c r="I33242" i="5"/>
  <c r="I33107" i="5"/>
  <c r="I32988" i="5"/>
  <c r="I32867" i="5"/>
  <c r="I32770" i="5"/>
  <c r="I32643" i="5"/>
  <c r="I32540" i="5"/>
  <c r="I32460" i="5"/>
  <c r="I32369" i="5"/>
  <c r="I32291" i="5"/>
  <c r="I32232" i="5"/>
  <c r="I32173" i="5"/>
  <c r="I32112" i="5"/>
  <c r="I32063" i="5"/>
  <c r="I32000" i="5"/>
  <c r="I31943" i="5"/>
  <c r="I31893" i="5"/>
  <c r="I31831" i="5"/>
  <c r="I31773" i="5"/>
  <c r="I31720" i="5"/>
  <c r="I31661" i="5"/>
  <c r="I31600" i="5"/>
  <c r="I31551" i="5"/>
  <c r="I31504" i="5"/>
  <c r="I31461" i="5"/>
  <c r="I31423" i="5"/>
  <c r="I31376" i="5"/>
  <c r="I31333" i="5"/>
  <c r="I31295" i="5"/>
  <c r="I31248" i="5"/>
  <c r="I31205" i="5"/>
  <c r="I31167" i="5"/>
  <c r="I31120" i="5"/>
  <c r="I31077" i="5"/>
  <c r="I31039" i="5"/>
  <c r="I30992" i="5"/>
  <c r="I30949" i="5"/>
  <c r="I30911" i="5"/>
  <c r="I30864" i="5"/>
  <c r="I30827" i="5"/>
  <c r="I30797" i="5"/>
  <c r="I30767" i="5"/>
  <c r="I30737" i="5"/>
  <c r="I30715" i="5"/>
  <c r="I30688" i="5"/>
  <c r="I30666" i="5"/>
  <c r="I30647" i="5"/>
  <c r="I30624" i="5"/>
  <c r="I30602" i="5"/>
  <c r="I30583" i="5"/>
  <c r="I30560" i="5"/>
  <c r="I30538" i="5"/>
  <c r="I30519" i="5"/>
  <c r="I30496" i="5"/>
  <c r="I30474" i="5"/>
  <c r="I30455" i="5"/>
  <c r="I30432" i="5"/>
  <c r="I30410" i="5"/>
  <c r="I30391" i="5"/>
  <c r="I30368" i="5"/>
  <c r="I30346" i="5"/>
  <c r="I30327" i="5"/>
  <c r="I30304" i="5"/>
  <c r="I30282" i="5"/>
  <c r="I30263" i="5"/>
  <c r="I30240" i="5"/>
  <c r="I30218" i="5"/>
  <c r="I30199" i="5"/>
  <c r="I30176" i="5"/>
  <c r="I30154" i="5"/>
  <c r="I30135" i="5"/>
  <c r="I30112" i="5"/>
  <c r="I30090" i="5"/>
  <c r="I30071" i="5"/>
  <c r="I30048" i="5"/>
  <c r="I30026" i="5"/>
  <c r="I30007" i="5"/>
  <c r="I29984" i="5"/>
  <c r="I29962" i="5"/>
  <c r="I29945" i="5"/>
  <c r="I29929" i="5"/>
  <c r="I29913" i="5"/>
  <c r="I29897" i="5"/>
  <c r="I29881" i="5"/>
  <c r="I29865" i="5"/>
  <c r="I29849" i="5"/>
  <c r="I29833" i="5"/>
  <c r="I29817" i="5"/>
  <c r="I29801" i="5"/>
  <c r="I29785" i="5"/>
  <c r="I29769" i="5"/>
  <c r="I29753" i="5"/>
  <c r="I29737" i="5"/>
  <c r="I29721" i="5"/>
  <c r="I29705" i="5"/>
  <c r="I29689" i="5"/>
  <c r="I29673" i="5"/>
  <c r="I29657" i="5"/>
  <c r="I29641" i="5"/>
  <c r="I29625" i="5"/>
  <c r="I29609" i="5"/>
  <c r="I29593" i="5"/>
  <c r="I29577" i="5"/>
  <c r="I29561" i="5"/>
  <c r="I29545" i="5"/>
  <c r="I29529" i="5"/>
  <c r="I29513" i="5"/>
  <c r="I29497" i="5"/>
  <c r="I29481" i="5"/>
  <c r="I29465" i="5"/>
  <c r="I29449" i="5"/>
  <c r="I29433" i="5"/>
  <c r="I29417" i="5"/>
  <c r="I29401" i="5"/>
  <c r="I29385" i="5"/>
  <c r="I29369" i="5"/>
  <c r="I29353" i="5"/>
  <c r="I29337" i="5"/>
  <c r="I29321" i="5"/>
  <c r="I29305" i="5"/>
  <c r="I29289" i="5"/>
  <c r="I29273" i="5"/>
  <c r="I29257" i="5"/>
  <c r="I29241" i="5"/>
  <c r="I29225" i="5"/>
  <c r="I29211" i="5"/>
  <c r="I29200" i="5"/>
  <c r="I29186" i="5"/>
  <c r="I29175" i="5"/>
  <c r="I29161" i="5"/>
  <c r="I29147" i="5"/>
  <c r="I29138" i="5"/>
  <c r="I29129" i="5"/>
  <c r="I29120" i="5"/>
  <c r="I29112" i="5"/>
  <c r="I29104" i="5"/>
  <c r="I29096" i="5"/>
  <c r="I29088" i="5"/>
  <c r="I29080" i="5"/>
  <c r="I29072" i="5"/>
  <c r="I29064" i="5"/>
  <c r="I29056" i="5"/>
  <c r="I29048" i="5"/>
  <c r="I29040" i="5"/>
  <c r="I29032" i="5"/>
  <c r="I29024" i="5"/>
  <c r="I29016" i="5"/>
  <c r="I29008" i="5"/>
  <c r="I29000" i="5"/>
  <c r="I28992" i="5"/>
  <c r="I28984" i="5"/>
  <c r="I28976" i="5"/>
  <c r="I28968" i="5"/>
  <c r="I28960" i="5"/>
  <c r="I28952" i="5"/>
  <c r="I28944" i="5"/>
  <c r="I28936" i="5"/>
  <c r="I28928" i="5"/>
  <c r="I28920" i="5"/>
  <c r="I28912" i="5"/>
  <c r="I28904" i="5"/>
  <c r="I28896" i="5"/>
  <c r="I28888" i="5"/>
  <c r="I28880" i="5"/>
  <c r="I28872" i="5"/>
  <c r="I28864" i="5"/>
  <c r="I28856" i="5"/>
  <c r="I28848" i="5"/>
  <c r="I28840" i="5"/>
  <c r="I28832" i="5"/>
  <c r="I28824" i="5"/>
  <c r="I28816" i="5"/>
  <c r="I28808" i="5"/>
  <c r="I28800" i="5"/>
  <c r="I28792" i="5"/>
  <c r="I28784" i="5"/>
  <c r="I28776" i="5"/>
  <c r="I28768" i="5"/>
  <c r="I28760" i="5"/>
  <c r="I28752" i="5"/>
  <c r="I28744" i="5"/>
  <c r="I28736" i="5"/>
  <c r="I28728" i="5"/>
  <c r="I28720" i="5"/>
  <c r="I28712" i="5"/>
  <c r="I28704" i="5"/>
  <c r="I28696" i="5"/>
  <c r="I28688" i="5"/>
  <c r="I28680" i="5"/>
  <c r="I28672" i="5"/>
  <c r="I28664" i="5"/>
  <c r="I28656" i="5"/>
  <c r="I28648" i="5"/>
  <c r="I28640" i="5"/>
  <c r="I28632" i="5"/>
  <c r="I28624" i="5"/>
  <c r="I28616" i="5"/>
  <c r="I28608" i="5"/>
  <c r="I28600" i="5"/>
  <c r="I28592" i="5"/>
  <c r="I28584" i="5"/>
  <c r="I28576" i="5"/>
  <c r="I28568" i="5"/>
  <c r="I28560" i="5"/>
  <c r="I28552" i="5"/>
  <c r="I28544" i="5"/>
  <c r="I28536" i="5"/>
  <c r="I28528" i="5"/>
  <c r="I28520" i="5"/>
  <c r="I28512" i="5"/>
  <c r="I28504" i="5"/>
  <c r="I28496" i="5"/>
  <c r="I28488" i="5"/>
  <c r="I28480" i="5"/>
  <c r="I28472" i="5"/>
  <c r="I28464" i="5"/>
  <c r="I28456" i="5"/>
  <c r="I28448" i="5"/>
  <c r="I28440" i="5"/>
  <c r="I28432" i="5"/>
  <c r="I28424" i="5"/>
  <c r="I28416" i="5"/>
  <c r="I28408" i="5"/>
  <c r="I28400" i="5"/>
  <c r="I28392" i="5"/>
  <c r="I28384" i="5"/>
  <c r="I28376" i="5"/>
  <c r="I28368" i="5"/>
  <c r="I28360" i="5"/>
  <c r="I28352" i="5"/>
  <c r="I28344" i="5"/>
  <c r="I28336" i="5"/>
  <c r="I28328" i="5"/>
  <c r="I28320" i="5"/>
  <c r="I28312" i="5"/>
  <c r="I28304" i="5"/>
  <c r="I28296" i="5"/>
  <c r="I28288" i="5"/>
  <c r="I28280" i="5"/>
  <c r="I28272" i="5"/>
  <c r="I28264" i="5"/>
  <c r="I28256" i="5"/>
  <c r="I28248" i="5"/>
  <c r="I28240" i="5"/>
  <c r="I28232" i="5"/>
  <c r="I28224" i="5"/>
  <c r="I28216" i="5"/>
  <c r="I28208" i="5"/>
  <c r="I28200" i="5"/>
  <c r="I28192" i="5"/>
  <c r="I28184" i="5"/>
  <c r="I28176" i="5"/>
  <c r="I28168" i="5"/>
  <c r="I28160" i="5"/>
  <c r="I28152" i="5"/>
  <c r="I28144" i="5"/>
  <c r="I28136" i="5"/>
  <c r="I28128" i="5"/>
  <c r="I28120" i="5"/>
  <c r="I28112" i="5"/>
  <c r="I28104" i="5"/>
  <c r="I28096" i="5"/>
  <c r="I28088" i="5"/>
  <c r="I28080" i="5"/>
  <c r="I28072" i="5"/>
  <c r="I28064" i="5"/>
  <c r="I28056" i="5"/>
  <c r="I28048" i="5"/>
  <c r="I28040" i="5"/>
  <c r="I28032" i="5"/>
  <c r="I28024" i="5"/>
  <c r="I28016" i="5"/>
  <c r="I28008" i="5"/>
  <c r="I28000" i="5"/>
  <c r="I27992" i="5"/>
  <c r="I27984" i="5"/>
  <c r="I27976" i="5"/>
  <c r="I27968" i="5"/>
  <c r="I27960" i="5"/>
  <c r="I27952" i="5"/>
  <c r="I27944" i="5"/>
  <c r="I27936" i="5"/>
  <c r="I27928" i="5"/>
  <c r="I27920" i="5"/>
  <c r="I27912" i="5"/>
  <c r="I27904" i="5"/>
  <c r="I27896" i="5"/>
  <c r="I27888" i="5"/>
  <c r="I27880" i="5"/>
  <c r="I27872" i="5"/>
  <c r="I27864" i="5"/>
  <c r="I27856" i="5"/>
  <c r="I27848" i="5"/>
  <c r="I27840" i="5"/>
  <c r="I27832" i="5"/>
  <c r="I27824" i="5"/>
  <c r="I27816" i="5"/>
  <c r="I27808" i="5"/>
  <c r="I27800" i="5"/>
  <c r="I27792" i="5"/>
  <c r="I27784" i="5"/>
  <c r="I27776" i="5"/>
  <c r="I27768" i="5"/>
  <c r="I27760" i="5"/>
  <c r="I27752" i="5"/>
  <c r="I27744" i="5"/>
  <c r="I27736" i="5"/>
  <c r="I27728" i="5"/>
  <c r="I27720" i="5"/>
  <c r="I27712" i="5"/>
  <c r="I27704" i="5"/>
  <c r="I27696" i="5"/>
  <c r="I27688" i="5"/>
  <c r="I27680" i="5"/>
  <c r="I27672" i="5"/>
  <c r="I27664" i="5"/>
  <c r="I27656" i="5"/>
  <c r="I27648" i="5"/>
  <c r="I27640" i="5"/>
  <c r="I27632" i="5"/>
  <c r="I27624" i="5"/>
  <c r="I27616" i="5"/>
  <c r="I27608" i="5"/>
  <c r="I27600" i="5"/>
  <c r="I27592" i="5"/>
  <c r="I27584" i="5"/>
  <c r="I27576" i="5"/>
  <c r="I27568" i="5"/>
  <c r="I27560" i="5"/>
  <c r="I27552" i="5"/>
  <c r="I27544" i="5"/>
  <c r="I27536" i="5"/>
  <c r="I27528" i="5"/>
  <c r="I27520" i="5"/>
  <c r="I27512" i="5"/>
  <c r="I27504" i="5"/>
  <c r="I27496" i="5"/>
  <c r="I27488" i="5"/>
  <c r="I27480" i="5"/>
  <c r="I27472" i="5"/>
  <c r="I27464" i="5"/>
  <c r="I27456" i="5"/>
  <c r="I27448" i="5"/>
  <c r="I27440" i="5"/>
  <c r="I27432" i="5"/>
  <c r="I27424" i="5"/>
  <c r="I27416" i="5"/>
  <c r="I27408" i="5"/>
  <c r="I27400" i="5"/>
  <c r="I27392" i="5"/>
  <c r="I27384" i="5"/>
  <c r="I27376" i="5"/>
  <c r="I27368" i="5"/>
  <c r="I27360" i="5"/>
  <c r="I27352" i="5"/>
  <c r="I27344" i="5"/>
  <c r="I27336" i="5"/>
  <c r="I27328" i="5"/>
  <c r="I27320" i="5"/>
  <c r="I27312" i="5"/>
  <c r="I27304" i="5"/>
  <c r="I27296" i="5"/>
  <c r="I27288" i="5"/>
  <c r="I27280" i="5"/>
  <c r="I27272" i="5"/>
  <c r="I27264" i="5"/>
  <c r="I27256" i="5"/>
  <c r="I27248" i="5"/>
  <c r="I27240" i="5"/>
  <c r="I27232" i="5"/>
  <c r="I27224" i="5"/>
  <c r="I27216" i="5"/>
  <c r="I27208" i="5"/>
  <c r="I27200" i="5"/>
  <c r="I27192" i="5"/>
  <c r="I27184" i="5"/>
  <c r="I27176" i="5"/>
  <c r="I27168" i="5"/>
  <c r="I27160" i="5"/>
  <c r="I27152" i="5"/>
  <c r="I27144" i="5"/>
  <c r="I27136" i="5"/>
  <c r="I27128" i="5"/>
  <c r="I27120" i="5"/>
  <c r="I27112" i="5"/>
  <c r="I27104" i="5"/>
  <c r="I27096" i="5"/>
  <c r="I27088" i="5"/>
  <c r="I27080" i="5"/>
  <c r="I27072" i="5"/>
  <c r="I27064" i="5"/>
  <c r="I27056" i="5"/>
  <c r="I27048" i="5"/>
  <c r="I27040" i="5"/>
  <c r="I27032" i="5"/>
  <c r="I27024" i="5"/>
  <c r="I27016" i="5"/>
  <c r="I27008" i="5"/>
  <c r="I27000" i="5"/>
  <c r="I26992" i="5"/>
  <c r="I26984" i="5"/>
  <c r="I26976" i="5"/>
  <c r="I26968" i="5"/>
  <c r="I26960" i="5"/>
  <c r="I26952" i="5"/>
  <c r="I26944" i="5"/>
  <c r="I26936" i="5"/>
  <c r="I26928" i="5"/>
  <c r="I26920" i="5"/>
  <c r="I26912" i="5"/>
  <c r="I26904" i="5"/>
  <c r="I26896" i="5"/>
  <c r="I26888" i="5"/>
  <c r="I26880" i="5"/>
  <c r="I26872" i="5"/>
  <c r="I26864" i="5"/>
  <c r="I26856" i="5"/>
  <c r="I26848" i="5"/>
  <c r="I26840" i="5"/>
  <c r="I26832" i="5"/>
  <c r="I26824" i="5"/>
  <c r="I26816" i="5"/>
  <c r="I26808" i="5"/>
  <c r="I26800" i="5"/>
  <c r="I26792" i="5"/>
  <c r="I26784" i="5"/>
  <c r="I26776" i="5"/>
  <c r="I26768" i="5"/>
  <c r="I26760" i="5"/>
  <c r="I26752" i="5"/>
  <c r="I26744" i="5"/>
  <c r="I26736" i="5"/>
  <c r="I26728" i="5"/>
  <c r="I26720" i="5"/>
  <c r="I26712" i="5"/>
  <c r="I26704" i="5"/>
  <c r="I26696" i="5"/>
  <c r="I26688" i="5"/>
  <c r="I26680" i="5"/>
  <c r="I26672" i="5"/>
  <c r="I26664" i="5"/>
  <c r="I26656" i="5"/>
  <c r="I26648" i="5"/>
  <c r="I26640" i="5"/>
  <c r="I26632" i="5"/>
  <c r="I26624" i="5"/>
  <c r="I26616" i="5"/>
  <c r="I26608" i="5"/>
  <c r="I26600" i="5"/>
  <c r="I26592" i="5"/>
  <c r="I26584" i="5"/>
  <c r="I26576" i="5"/>
  <c r="I26568" i="5"/>
  <c r="I26560" i="5"/>
  <c r="I26552" i="5"/>
  <c r="I26544" i="5"/>
  <c r="I26536" i="5"/>
  <c r="I26528" i="5"/>
  <c r="I26520" i="5"/>
  <c r="I26512" i="5"/>
  <c r="I26504" i="5"/>
  <c r="I26496" i="5"/>
  <c r="I26488" i="5"/>
  <c r="I26480" i="5"/>
  <c r="I26472" i="5"/>
  <c r="I26464" i="5"/>
  <c r="I26456" i="5"/>
  <c r="I26448" i="5"/>
  <c r="I26440" i="5"/>
  <c r="I26432" i="5"/>
  <c r="I26424" i="5"/>
  <c r="I26416" i="5"/>
  <c r="I26408" i="5"/>
  <c r="I36235" i="5"/>
  <c r="I35549" i="5"/>
  <c r="I35112" i="5"/>
  <c r="I34726" i="5"/>
  <c r="I34447" i="5"/>
  <c r="I34179" i="5"/>
  <c r="I33977" i="5"/>
  <c r="I33844" i="5"/>
  <c r="I33676" i="5"/>
  <c r="I33524" i="5"/>
  <c r="I33393" i="5"/>
  <c r="I33226" i="5"/>
  <c r="I33084" i="5"/>
  <c r="I32979" i="5"/>
  <c r="I32860" i="5"/>
  <c r="I32739" i="5"/>
  <c r="I32642" i="5"/>
  <c r="I32530" i="5"/>
  <c r="I32439" i="5"/>
  <c r="I32367" i="5"/>
  <c r="I32283" i="5"/>
  <c r="I32221" i="5"/>
  <c r="I32168" i="5"/>
  <c r="I32109" i="5"/>
  <c r="I32048" i="5"/>
  <c r="I31999" i="5"/>
  <c r="I31936" i="5"/>
  <c r="I31879" i="5"/>
  <c r="I31829" i="5"/>
  <c r="I31767" i="5"/>
  <c r="I31709" i="5"/>
  <c r="I31656" i="5"/>
  <c r="I31597" i="5"/>
  <c r="I31541" i="5"/>
  <c r="I31503" i="5"/>
  <c r="I31456" i="5"/>
  <c r="I31413" i="5"/>
  <c r="I31375" i="5"/>
  <c r="I31328" i="5"/>
  <c r="I31285" i="5"/>
  <c r="I31247" i="5"/>
  <c r="I31200" i="5"/>
  <c r="I31157" i="5"/>
  <c r="I31119" i="5"/>
  <c r="I31072" i="5"/>
  <c r="I31029" i="5"/>
  <c r="I30991" i="5"/>
  <c r="I30944" i="5"/>
  <c r="I30901" i="5"/>
  <c r="I30863" i="5"/>
  <c r="I30824" i="5"/>
  <c r="I30791" i="5"/>
  <c r="I30765" i="5"/>
  <c r="I30735" i="5"/>
  <c r="I30709" i="5"/>
  <c r="I30687" i="5"/>
  <c r="I30664" i="5"/>
  <c r="I30642" i="5"/>
  <c r="I30623" i="5"/>
  <c r="I30600" i="5"/>
  <c r="I30578" i="5"/>
  <c r="I30559" i="5"/>
  <c r="I30536" i="5"/>
  <c r="I30514" i="5"/>
  <c r="I30495" i="5"/>
  <c r="I30472" i="5"/>
  <c r="I30450" i="5"/>
  <c r="I30431" i="5"/>
  <c r="I30408" i="5"/>
  <c r="I30386" i="5"/>
  <c r="I30367" i="5"/>
  <c r="I30344" i="5"/>
  <c r="I30322" i="5"/>
  <c r="I30303" i="5"/>
  <c r="I30280" i="5"/>
  <c r="I30258" i="5"/>
  <c r="I30239" i="5"/>
  <c r="I30216" i="5"/>
  <c r="I30194" i="5"/>
  <c r="I30175" i="5"/>
  <c r="I30152" i="5"/>
  <c r="I30130" i="5"/>
  <c r="I30111" i="5"/>
  <c r="I30088" i="5"/>
  <c r="I30066" i="5"/>
  <c r="I30047" i="5"/>
  <c r="I30024" i="5"/>
  <c r="I30002" i="5"/>
  <c r="I29983" i="5"/>
  <c r="I29960" i="5"/>
  <c r="I29944" i="5"/>
  <c r="I29928" i="5"/>
  <c r="I29912" i="5"/>
  <c r="I29896" i="5"/>
  <c r="I29880" i="5"/>
  <c r="I29864" i="5"/>
  <c r="I29848" i="5"/>
  <c r="I29832" i="5"/>
  <c r="I29816" i="5"/>
  <c r="I29800" i="5"/>
  <c r="I29784" i="5"/>
  <c r="I29768" i="5"/>
  <c r="I29752" i="5"/>
  <c r="I29736" i="5"/>
  <c r="I29720" i="5"/>
  <c r="I29704" i="5"/>
  <c r="I29688" i="5"/>
  <c r="I29672" i="5"/>
  <c r="I29656" i="5"/>
  <c r="I29640" i="5"/>
  <c r="I29624" i="5"/>
  <c r="I29608" i="5"/>
  <c r="I29592" i="5"/>
  <c r="I29576" i="5"/>
  <c r="I29560" i="5"/>
  <c r="I29544" i="5"/>
  <c r="I29528" i="5"/>
  <c r="I29512" i="5"/>
  <c r="I29496" i="5"/>
  <c r="I29480" i="5"/>
  <c r="I29464" i="5"/>
  <c r="I29448" i="5"/>
  <c r="I29432" i="5"/>
  <c r="I29416" i="5"/>
  <c r="I29400" i="5"/>
  <c r="I29384" i="5"/>
  <c r="I29368" i="5"/>
  <c r="I29352" i="5"/>
  <c r="I29336" i="5"/>
  <c r="I29320" i="5"/>
  <c r="I29304" i="5"/>
  <c r="I29288" i="5"/>
  <c r="I29272" i="5"/>
  <c r="I29256" i="5"/>
  <c r="I29240" i="5"/>
  <c r="I29224" i="5"/>
  <c r="I29210" i="5"/>
  <c r="I29199" i="5"/>
  <c r="I29185" i="5"/>
  <c r="I29171" i="5"/>
  <c r="I29160" i="5"/>
  <c r="I29146" i="5"/>
  <c r="I29137" i="5"/>
  <c r="I29128" i="5"/>
  <c r="I29119" i="5"/>
  <c r="I29111" i="5"/>
  <c r="I29103" i="5"/>
  <c r="I29095" i="5"/>
  <c r="I29087" i="5"/>
  <c r="I29079" i="5"/>
  <c r="I29071" i="5"/>
  <c r="I29063" i="5"/>
  <c r="I29055" i="5"/>
  <c r="I29047" i="5"/>
  <c r="I29039" i="5"/>
  <c r="I29031" i="5"/>
  <c r="I29023" i="5"/>
  <c r="I29015" i="5"/>
  <c r="I29007" i="5"/>
  <c r="I28999" i="5"/>
  <c r="I28991" i="5"/>
  <c r="I28983" i="5"/>
  <c r="I28975" i="5"/>
  <c r="I28967" i="5"/>
  <c r="I28959" i="5"/>
  <c r="I28951" i="5"/>
  <c r="I28943" i="5"/>
  <c r="I28935" i="5"/>
  <c r="I28927" i="5"/>
  <c r="I28919" i="5"/>
  <c r="I28911" i="5"/>
  <c r="I28903" i="5"/>
  <c r="I28895" i="5"/>
  <c r="I28887" i="5"/>
  <c r="I28879" i="5"/>
  <c r="I28871" i="5"/>
  <c r="I28863" i="5"/>
  <c r="I28855" i="5"/>
  <c r="I28847" i="5"/>
  <c r="I28839" i="5"/>
  <c r="I28831" i="5"/>
  <c r="I28823" i="5"/>
  <c r="I28815" i="5"/>
  <c r="I28807" i="5"/>
  <c r="I28799" i="5"/>
  <c r="I28791" i="5"/>
  <c r="I28783" i="5"/>
  <c r="I28775" i="5"/>
  <c r="I28767" i="5"/>
  <c r="I28759" i="5"/>
  <c r="I28751" i="5"/>
  <c r="I28743" i="5"/>
  <c r="I28735" i="5"/>
  <c r="I28727" i="5"/>
  <c r="I28719" i="5"/>
  <c r="I28711" i="5"/>
  <c r="I28703" i="5"/>
  <c r="I28695" i="5"/>
  <c r="I28687" i="5"/>
  <c r="I28679" i="5"/>
  <c r="I28671" i="5"/>
  <c r="I28663" i="5"/>
  <c r="I28655" i="5"/>
  <c r="I28647" i="5"/>
  <c r="I28639" i="5"/>
  <c r="I28631" i="5"/>
  <c r="I28623" i="5"/>
  <c r="I28615" i="5"/>
  <c r="I28607" i="5"/>
  <c r="I28599" i="5"/>
  <c r="I28591" i="5"/>
  <c r="I28583" i="5"/>
  <c r="I28575" i="5"/>
  <c r="I28567" i="5"/>
  <c r="I28559" i="5"/>
  <c r="I28551" i="5"/>
  <c r="I28543" i="5"/>
  <c r="I28535" i="5"/>
  <c r="I28527" i="5"/>
  <c r="I28519" i="5"/>
  <c r="I28511" i="5"/>
  <c r="I28503" i="5"/>
  <c r="I28495" i="5"/>
  <c r="I28487" i="5"/>
  <c r="I28479" i="5"/>
  <c r="I28471" i="5"/>
  <c r="I28463" i="5"/>
  <c r="I28455" i="5"/>
  <c r="I28447" i="5"/>
  <c r="I28439" i="5"/>
  <c r="I28431" i="5"/>
  <c r="I28423" i="5"/>
  <c r="I28415" i="5"/>
  <c r="I28407" i="5"/>
  <c r="I28399" i="5"/>
  <c r="I28391" i="5"/>
  <c r="I28383" i="5"/>
  <c r="I28375" i="5"/>
  <c r="I28367" i="5"/>
  <c r="I28359" i="5"/>
  <c r="I28351" i="5"/>
  <c r="I28343" i="5"/>
  <c r="I28335" i="5"/>
  <c r="I28327" i="5"/>
  <c r="I28319" i="5"/>
  <c r="I28311" i="5"/>
  <c r="I28303" i="5"/>
  <c r="I28295" i="5"/>
  <c r="I28287" i="5"/>
  <c r="I28279" i="5"/>
  <c r="I28271" i="5"/>
  <c r="I28263" i="5"/>
  <c r="I28255" i="5"/>
  <c r="I28247" i="5"/>
  <c r="I28239" i="5"/>
  <c r="I28231" i="5"/>
  <c r="I28223" i="5"/>
  <c r="I28215" i="5"/>
  <c r="I28207" i="5"/>
  <c r="I28199" i="5"/>
  <c r="I28191" i="5"/>
  <c r="I28183" i="5"/>
  <c r="I28175" i="5"/>
  <c r="I28167" i="5"/>
  <c r="I28159" i="5"/>
  <c r="I28151" i="5"/>
  <c r="I28143" i="5"/>
  <c r="I28135" i="5"/>
  <c r="I28127" i="5"/>
  <c r="I28119" i="5"/>
  <c r="I28111" i="5"/>
  <c r="I28103" i="5"/>
  <c r="I28095" i="5"/>
  <c r="I28087" i="5"/>
  <c r="I28079" i="5"/>
  <c r="I28071" i="5"/>
  <c r="I28063" i="5"/>
  <c r="I28055" i="5"/>
  <c r="I28047" i="5"/>
  <c r="I28039" i="5"/>
  <c r="I28031" i="5"/>
  <c r="I28023" i="5"/>
  <c r="I28015" i="5"/>
  <c r="I28007" i="5"/>
  <c r="I27999" i="5"/>
  <c r="I27991" i="5"/>
  <c r="I27983" i="5"/>
  <c r="I27975" i="5"/>
  <c r="I27967" i="5"/>
  <c r="I27959" i="5"/>
  <c r="I27951" i="5"/>
  <c r="I27943" i="5"/>
  <c r="I27935" i="5"/>
  <c r="I27927" i="5"/>
  <c r="I27919" i="5"/>
  <c r="I27911" i="5"/>
  <c r="I27903" i="5"/>
  <c r="I27895" i="5"/>
  <c r="I27887" i="5"/>
  <c r="I27879" i="5"/>
  <c r="I27871" i="5"/>
  <c r="I27863" i="5"/>
  <c r="I27855" i="5"/>
  <c r="I27847" i="5"/>
  <c r="I27839" i="5"/>
  <c r="I27831" i="5"/>
  <c r="I27823" i="5"/>
  <c r="I27815" i="5"/>
  <c r="I27807" i="5"/>
  <c r="I27799" i="5"/>
  <c r="I27791" i="5"/>
  <c r="I27783" i="5"/>
  <c r="I27775" i="5"/>
  <c r="I27767" i="5"/>
  <c r="I27759" i="5"/>
  <c r="I27751" i="5"/>
  <c r="I27743" i="5"/>
  <c r="I27735" i="5"/>
  <c r="I27727" i="5"/>
  <c r="I27719" i="5"/>
  <c r="I27711" i="5"/>
  <c r="I27703" i="5"/>
  <c r="I27695" i="5"/>
  <c r="I27687" i="5"/>
  <c r="I27679" i="5"/>
  <c r="I27671" i="5"/>
  <c r="I27663" i="5"/>
  <c r="I27655" i="5"/>
  <c r="I27647" i="5"/>
  <c r="I27639" i="5"/>
  <c r="I27631" i="5"/>
  <c r="I27623" i="5"/>
  <c r="I27615" i="5"/>
  <c r="I27607" i="5"/>
  <c r="I27599" i="5"/>
  <c r="I27591" i="5"/>
  <c r="I27583" i="5"/>
  <c r="I27575" i="5"/>
  <c r="I27567" i="5"/>
  <c r="I27559" i="5"/>
  <c r="I27551" i="5"/>
  <c r="I27543" i="5"/>
  <c r="I27535" i="5"/>
  <c r="I27527" i="5"/>
  <c r="I27519" i="5"/>
  <c r="I27511" i="5"/>
  <c r="I27503" i="5"/>
  <c r="I27495" i="5"/>
  <c r="I27487" i="5"/>
  <c r="I27479" i="5"/>
  <c r="I27471" i="5"/>
  <c r="I27463" i="5"/>
  <c r="I27455" i="5"/>
  <c r="I27447" i="5"/>
  <c r="I27439" i="5"/>
  <c r="I27431" i="5"/>
  <c r="I27423" i="5"/>
  <c r="I27415" i="5"/>
  <c r="I27407" i="5"/>
  <c r="I27399" i="5"/>
  <c r="I27391" i="5"/>
  <c r="I27383" i="5"/>
  <c r="I27375" i="5"/>
  <c r="I27367" i="5"/>
  <c r="I27359" i="5"/>
  <c r="I27351" i="5"/>
  <c r="I27343" i="5"/>
  <c r="I27335" i="5"/>
  <c r="I27327" i="5"/>
  <c r="I27319" i="5"/>
  <c r="I27311" i="5"/>
  <c r="I27303" i="5"/>
  <c r="I27295" i="5"/>
  <c r="I27287" i="5"/>
  <c r="I27279" i="5"/>
  <c r="I27271" i="5"/>
  <c r="I27263" i="5"/>
  <c r="I27255" i="5"/>
  <c r="I27247" i="5"/>
  <c r="I27239" i="5"/>
  <c r="I27231" i="5"/>
  <c r="I27223" i="5"/>
  <c r="I27215" i="5"/>
  <c r="I27207" i="5"/>
  <c r="I27199" i="5"/>
  <c r="I27191" i="5"/>
  <c r="I27183" i="5"/>
  <c r="I27175" i="5"/>
  <c r="I27167" i="5"/>
  <c r="I27159" i="5"/>
  <c r="I27151" i="5"/>
  <c r="I27143" i="5"/>
  <c r="I27135" i="5"/>
  <c r="I27127" i="5"/>
  <c r="I27119" i="5"/>
  <c r="I27111" i="5"/>
  <c r="I27103" i="5"/>
  <c r="I27095" i="5"/>
  <c r="I27087" i="5"/>
  <c r="I27079" i="5"/>
  <c r="I27071" i="5"/>
  <c r="I27063" i="5"/>
  <c r="I27055" i="5"/>
  <c r="I27047" i="5"/>
  <c r="I27039" i="5"/>
  <c r="I27031" i="5"/>
  <c r="I27023" i="5"/>
  <c r="I27015" i="5"/>
  <c r="I27007" i="5"/>
  <c r="I26999" i="5"/>
  <c r="I26991" i="5"/>
  <c r="I26983" i="5"/>
  <c r="I26975" i="5"/>
  <c r="I26967" i="5"/>
  <c r="I26959" i="5"/>
  <c r="I26951" i="5"/>
  <c r="I26943" i="5"/>
  <c r="I26935" i="5"/>
  <c r="I26927" i="5"/>
  <c r="I26919" i="5"/>
  <c r="I26911" i="5"/>
  <c r="I26903" i="5"/>
  <c r="I26895" i="5"/>
  <c r="I26887" i="5"/>
  <c r="I26879" i="5"/>
  <c r="I26871" i="5"/>
  <c r="I26863" i="5"/>
  <c r="I26855" i="5"/>
  <c r="I26847" i="5"/>
  <c r="I26839" i="5"/>
  <c r="I26831" i="5"/>
  <c r="I26823" i="5"/>
  <c r="I26815" i="5"/>
  <c r="I26807" i="5"/>
  <c r="I26799" i="5"/>
  <c r="I26791" i="5"/>
  <c r="I26783" i="5"/>
  <c r="I26775" i="5"/>
  <c r="I26767" i="5"/>
  <c r="I26759" i="5"/>
  <c r="I26751" i="5"/>
  <c r="I26743" i="5"/>
  <c r="I26735" i="5"/>
  <c r="I26727" i="5"/>
  <c r="I26719" i="5"/>
  <c r="I26711" i="5"/>
  <c r="I26703" i="5"/>
  <c r="I26695" i="5"/>
  <c r="I26687" i="5"/>
  <c r="I26679" i="5"/>
  <c r="I26671" i="5"/>
  <c r="I26663" i="5"/>
  <c r="I26655" i="5"/>
  <c r="I26647" i="5"/>
  <c r="I26639" i="5"/>
  <c r="I26631" i="5"/>
  <c r="I26623" i="5"/>
  <c r="I26615" i="5"/>
  <c r="I26607" i="5"/>
  <c r="I26599" i="5"/>
  <c r="I26591" i="5"/>
  <c r="I26583" i="5"/>
  <c r="I26575" i="5"/>
  <c r="I26567" i="5"/>
  <c r="I26559" i="5"/>
  <c r="I26551" i="5"/>
  <c r="I26543" i="5"/>
  <c r="I26535" i="5"/>
  <c r="I26527" i="5"/>
  <c r="I26519" i="5"/>
  <c r="I26511" i="5"/>
  <c r="I26503" i="5"/>
  <c r="I26495" i="5"/>
  <c r="I26487" i="5"/>
  <c r="I26479" i="5"/>
  <c r="I26471" i="5"/>
  <c r="I26463" i="5"/>
  <c r="I26455" i="5"/>
  <c r="I26447" i="5"/>
  <c r="I26439" i="5"/>
  <c r="I26431" i="5"/>
  <c r="I26423" i="5"/>
  <c r="I26415" i="5"/>
  <c r="I26407" i="5"/>
  <c r="I26399" i="5"/>
  <c r="I26391" i="5"/>
  <c r="I26383" i="5"/>
  <c r="I26375" i="5"/>
  <c r="I26367" i="5"/>
  <c r="I26359" i="5"/>
  <c r="I26351" i="5"/>
  <c r="I26343" i="5"/>
  <c r="I26335" i="5"/>
  <c r="I26327" i="5"/>
  <c r="I26319" i="5"/>
  <c r="I26311" i="5"/>
  <c r="I26303" i="5"/>
  <c r="I26295" i="5"/>
  <c r="I26287" i="5"/>
  <c r="I26279" i="5"/>
  <c r="I26271" i="5"/>
  <c r="I26263" i="5"/>
  <c r="I26255" i="5"/>
  <c r="I26247" i="5"/>
  <c r="I26239" i="5"/>
  <c r="I26231" i="5"/>
  <c r="I26223" i="5"/>
  <c r="I26215" i="5"/>
  <c r="I26207" i="5"/>
  <c r="I26199" i="5"/>
  <c r="I26191" i="5"/>
  <c r="I26183" i="5"/>
  <c r="I26175" i="5"/>
  <c r="I26167" i="5"/>
  <c r="I26159" i="5"/>
  <c r="I26151" i="5"/>
  <c r="I26143" i="5"/>
  <c r="I26135" i="5"/>
  <c r="I26127" i="5"/>
  <c r="I26119" i="5"/>
  <c r="I26111" i="5"/>
  <c r="I26103" i="5"/>
  <c r="I26095" i="5"/>
  <c r="I26087" i="5"/>
  <c r="I26079" i="5"/>
  <c r="I26071" i="5"/>
  <c r="I26063" i="5"/>
  <c r="I26055" i="5"/>
  <c r="I26047" i="5"/>
  <c r="I26039" i="5"/>
  <c r="I26031" i="5"/>
  <c r="I26023" i="5"/>
  <c r="I26015" i="5"/>
  <c r="I26007" i="5"/>
  <c r="I25999" i="5"/>
  <c r="I25991" i="5"/>
  <c r="I25983" i="5"/>
  <c r="I25975" i="5"/>
  <c r="I25967" i="5"/>
  <c r="I25959" i="5"/>
  <c r="I25951" i="5"/>
  <c r="I25943" i="5"/>
  <c r="I25935" i="5"/>
  <c r="I25927" i="5"/>
  <c r="I25919" i="5"/>
  <c r="I25911" i="5"/>
  <c r="I25903" i="5"/>
  <c r="I25895" i="5"/>
  <c r="I25887" i="5"/>
  <c r="I25879" i="5"/>
  <c r="I25871" i="5"/>
  <c r="I25863" i="5"/>
  <c r="I25855" i="5"/>
  <c r="I25847" i="5"/>
  <c r="I25839" i="5"/>
  <c r="I25831" i="5"/>
  <c r="I25823" i="5"/>
  <c r="I25815" i="5"/>
  <c r="I25807" i="5"/>
  <c r="I25799" i="5"/>
  <c r="I25791" i="5"/>
  <c r="I25783" i="5"/>
  <c r="I25775" i="5"/>
  <c r="I25767" i="5"/>
  <c r="I25759" i="5"/>
  <c r="I25751" i="5"/>
  <c r="I25743" i="5"/>
  <c r="I25735" i="5"/>
  <c r="I25727" i="5"/>
  <c r="I25719" i="5"/>
  <c r="I25711" i="5"/>
  <c r="I25703" i="5"/>
  <c r="I25695" i="5"/>
  <c r="I25687" i="5"/>
  <c r="I25679" i="5"/>
  <c r="I25671" i="5"/>
  <c r="I25663" i="5"/>
  <c r="I25655" i="5"/>
  <c r="I25647" i="5"/>
  <c r="I25639" i="5"/>
  <c r="I25631" i="5"/>
  <c r="I25623" i="5"/>
  <c r="I25615" i="5"/>
  <c r="I25607" i="5"/>
  <c r="I25599" i="5"/>
  <c r="I25591" i="5"/>
  <c r="I25583" i="5"/>
  <c r="I25575" i="5"/>
  <c r="I25567" i="5"/>
  <c r="I25559" i="5"/>
  <c r="I25551" i="5"/>
  <c r="I25543" i="5"/>
  <c r="I25535" i="5"/>
  <c r="I25527" i="5"/>
  <c r="I25519" i="5"/>
  <c r="I25511" i="5"/>
  <c r="I25503" i="5"/>
  <c r="I25495" i="5"/>
  <c r="I25487" i="5"/>
  <c r="I25479" i="5"/>
  <c r="I25471" i="5"/>
  <c r="I25463" i="5"/>
  <c r="I25455" i="5"/>
  <c r="I25447" i="5"/>
  <c r="I25439" i="5"/>
  <c r="I25431" i="5"/>
  <c r="I25423" i="5"/>
  <c r="I25415" i="5"/>
  <c r="I25407" i="5"/>
  <c r="I25399" i="5"/>
  <c r="I25391" i="5"/>
  <c r="I25383" i="5"/>
  <c r="I25375" i="5"/>
  <c r="I25367" i="5"/>
  <c r="I25359" i="5"/>
  <c r="I25351" i="5"/>
  <c r="I25343" i="5"/>
  <c r="I25335" i="5"/>
  <c r="I25327" i="5"/>
  <c r="I25319" i="5"/>
  <c r="I25311" i="5"/>
  <c r="I25303" i="5"/>
  <c r="I25295" i="5"/>
  <c r="I25287" i="5"/>
  <c r="I25279" i="5"/>
  <c r="I25271" i="5"/>
  <c r="I25263" i="5"/>
  <c r="I25255" i="5"/>
  <c r="I25247" i="5"/>
  <c r="I25239" i="5"/>
  <c r="I25231" i="5"/>
  <c r="I25223" i="5"/>
  <c r="I25215" i="5"/>
  <c r="I25207" i="5"/>
  <c r="I25199" i="5"/>
  <c r="I25191" i="5"/>
  <c r="I25183" i="5"/>
  <c r="I25175" i="5"/>
  <c r="I25167" i="5"/>
  <c r="I25159" i="5"/>
  <c r="I25151" i="5"/>
  <c r="I25143" i="5"/>
  <c r="I25135" i="5"/>
  <c r="I25127" i="5"/>
  <c r="I25119" i="5"/>
  <c r="I25111" i="5"/>
  <c r="I25103" i="5"/>
  <c r="I25095" i="5"/>
  <c r="I25087" i="5"/>
  <c r="I25079" i="5"/>
  <c r="I25071" i="5"/>
  <c r="I25063" i="5"/>
  <c r="I25055" i="5"/>
  <c r="I25047" i="5"/>
  <c r="I25039" i="5"/>
  <c r="I39929" i="5"/>
  <c r="I35824" i="5"/>
  <c r="I35392" i="5"/>
  <c r="I34944" i="5"/>
  <c r="I34608" i="5"/>
  <c r="I34349" i="5"/>
  <c r="I34089" i="5"/>
  <c r="I33924" i="5"/>
  <c r="I33785" i="5"/>
  <c r="I33626" i="5"/>
  <c r="I33465" i="5"/>
  <c r="I33332" i="5"/>
  <c r="I33164" i="5"/>
  <c r="I33042" i="5"/>
  <c r="I32940" i="5"/>
  <c r="I32818" i="5"/>
  <c r="I32700" i="5"/>
  <c r="I32595" i="5"/>
  <c r="I32499" i="5"/>
  <c r="I32402" i="5"/>
  <c r="I32337" i="5"/>
  <c r="I32256" i="5"/>
  <c r="I32199" i="5"/>
  <c r="I32149" i="5"/>
  <c r="I32087" i="5"/>
  <c r="I32029" i="5"/>
  <c r="I31976" i="5"/>
  <c r="I31917" i="5"/>
  <c r="I31856" i="5"/>
  <c r="I31807" i="5"/>
  <c r="I31744" i="5"/>
  <c r="I31687" i="5"/>
  <c r="I31637" i="5"/>
  <c r="I31575" i="5"/>
  <c r="I31525" i="5"/>
  <c r="I31487" i="5"/>
  <c r="I31440" i="5"/>
  <c r="I31397" i="5"/>
  <c r="I31359" i="5"/>
  <c r="I31312" i="5"/>
  <c r="I31269" i="5"/>
  <c r="I31231" i="5"/>
  <c r="I31184" i="5"/>
  <c r="I31141" i="5"/>
  <c r="I31103" i="5"/>
  <c r="I31056" i="5"/>
  <c r="I31013" i="5"/>
  <c r="I30975" i="5"/>
  <c r="I30928" i="5"/>
  <c r="I30885" i="5"/>
  <c r="I30848" i="5"/>
  <c r="I30811" i="5"/>
  <c r="I30780" i="5"/>
  <c r="I30755" i="5"/>
  <c r="I30725" i="5"/>
  <c r="I30700" i="5"/>
  <c r="I30679" i="5"/>
  <c r="I30656" i="5"/>
  <c r="I30634" i="5"/>
  <c r="I30615" i="5"/>
  <c r="I30592" i="5"/>
  <c r="I30570" i="5"/>
  <c r="I30551" i="5"/>
  <c r="I30528" i="5"/>
  <c r="I30506" i="5"/>
  <c r="I30487" i="5"/>
  <c r="I30464" i="5"/>
  <c r="I30442" i="5"/>
  <c r="I30423" i="5"/>
  <c r="I30400" i="5"/>
  <c r="I30378" i="5"/>
  <c r="I30359" i="5"/>
  <c r="I30336" i="5"/>
  <c r="I30314" i="5"/>
  <c r="I30295" i="5"/>
  <c r="I30272" i="5"/>
  <c r="I30250" i="5"/>
  <c r="I30231" i="5"/>
  <c r="I30208" i="5"/>
  <c r="I30186" i="5"/>
  <c r="I30167" i="5"/>
  <c r="I30144" i="5"/>
  <c r="I30122" i="5"/>
  <c r="I30103" i="5"/>
  <c r="I30080" i="5"/>
  <c r="I30058" i="5"/>
  <c r="I30039" i="5"/>
  <c r="I30016" i="5"/>
  <c r="I29994" i="5"/>
  <c r="I29975" i="5"/>
  <c r="I29953" i="5"/>
  <c r="I29937" i="5"/>
  <c r="I29921" i="5"/>
  <c r="I29905" i="5"/>
  <c r="I29889" i="5"/>
  <c r="I29873" i="5"/>
  <c r="I29857" i="5"/>
  <c r="I29841" i="5"/>
  <c r="I29825" i="5"/>
  <c r="I29809" i="5"/>
  <c r="I29793" i="5"/>
  <c r="I29777" i="5"/>
  <c r="I29761" i="5"/>
  <c r="I29745" i="5"/>
  <c r="I29729" i="5"/>
  <c r="I29713" i="5"/>
  <c r="I29697" i="5"/>
  <c r="I29681" i="5"/>
  <c r="I29665" i="5"/>
  <c r="I29649" i="5"/>
  <c r="I29633" i="5"/>
  <c r="I29617" i="5"/>
  <c r="I29601" i="5"/>
  <c r="I29585" i="5"/>
  <c r="I29569" i="5"/>
  <c r="I29553" i="5"/>
  <c r="I29537" i="5"/>
  <c r="I29521" i="5"/>
  <c r="I29505" i="5"/>
  <c r="I29489" i="5"/>
  <c r="I29473" i="5"/>
  <c r="I29457" i="5"/>
  <c r="I29441" i="5"/>
  <c r="I29425" i="5"/>
  <c r="I29409" i="5"/>
  <c r="I29393" i="5"/>
  <c r="I29377" i="5"/>
  <c r="I29361" i="5"/>
  <c r="I29345" i="5"/>
  <c r="I29329" i="5"/>
  <c r="I29313" i="5"/>
  <c r="I29297" i="5"/>
  <c r="I29281" i="5"/>
  <c r="I29265" i="5"/>
  <c r="I29249" i="5"/>
  <c r="I29233" i="5"/>
  <c r="I29218" i="5"/>
  <c r="I29207" i="5"/>
  <c r="I29193" i="5"/>
  <c r="I29179" i="5"/>
  <c r="I29168" i="5"/>
  <c r="I29154" i="5"/>
  <c r="I29143" i="5"/>
  <c r="I29134" i="5"/>
  <c r="I29125" i="5"/>
  <c r="I29116" i="5"/>
  <c r="I29108" i="5"/>
  <c r="I29100" i="5"/>
  <c r="I29092" i="5"/>
  <c r="I29084" i="5"/>
  <c r="I29076" i="5"/>
  <c r="I29068" i="5"/>
  <c r="I29060" i="5"/>
  <c r="I29052" i="5"/>
  <c r="I29044" i="5"/>
  <c r="I29036" i="5"/>
  <c r="I29028" i="5"/>
  <c r="I29020" i="5"/>
  <c r="I29012" i="5"/>
  <c r="I29004" i="5"/>
  <c r="I28996" i="5"/>
  <c r="I28988" i="5"/>
  <c r="I28980" i="5"/>
  <c r="I28972" i="5"/>
  <c r="I28964" i="5"/>
  <c r="I28956" i="5"/>
  <c r="I28948" i="5"/>
  <c r="I28940" i="5"/>
  <c r="I28932" i="5"/>
  <c r="I28924" i="5"/>
  <c r="I28916" i="5"/>
  <c r="I28908" i="5"/>
  <c r="I28900" i="5"/>
  <c r="I28892" i="5"/>
  <c r="I28884" i="5"/>
  <c r="I28876" i="5"/>
  <c r="I28868" i="5"/>
  <c r="I28860" i="5"/>
  <c r="I28852" i="5"/>
  <c r="I28844" i="5"/>
  <c r="I28836" i="5"/>
  <c r="I28828" i="5"/>
  <c r="I28820" i="5"/>
  <c r="I28812" i="5"/>
  <c r="I28804" i="5"/>
  <c r="I28796" i="5"/>
  <c r="I28788" i="5"/>
  <c r="I28780" i="5"/>
  <c r="I28772" i="5"/>
  <c r="I28764" i="5"/>
  <c r="I28756" i="5"/>
  <c r="I28748" i="5"/>
  <c r="I28740" i="5"/>
  <c r="I28732" i="5"/>
  <c r="I28724" i="5"/>
  <c r="I28716" i="5"/>
  <c r="I28708" i="5"/>
  <c r="I28700" i="5"/>
  <c r="I28692" i="5"/>
  <c r="I28684" i="5"/>
  <c r="I28676" i="5"/>
  <c r="I28668" i="5"/>
  <c r="I28660" i="5"/>
  <c r="I28652" i="5"/>
  <c r="I28644" i="5"/>
  <c r="I28636" i="5"/>
  <c r="I28628" i="5"/>
  <c r="I28620" i="5"/>
  <c r="I28612" i="5"/>
  <c r="I28604" i="5"/>
  <c r="I28596" i="5"/>
  <c r="I28588" i="5"/>
  <c r="I28580" i="5"/>
  <c r="I28572" i="5"/>
  <c r="I28564" i="5"/>
  <c r="I28556" i="5"/>
  <c r="I28548" i="5"/>
  <c r="I28540" i="5"/>
  <c r="I28532" i="5"/>
  <c r="I28524" i="5"/>
  <c r="I28516" i="5"/>
  <c r="I28508" i="5"/>
  <c r="I28500" i="5"/>
  <c r="I28492" i="5"/>
  <c r="I28484" i="5"/>
  <c r="I28476" i="5"/>
  <c r="I28468" i="5"/>
  <c r="I28460" i="5"/>
  <c r="I28452" i="5"/>
  <c r="I28444" i="5"/>
  <c r="I28436" i="5"/>
  <c r="I28428" i="5"/>
  <c r="I28420" i="5"/>
  <c r="I28412" i="5"/>
  <c r="I28404" i="5"/>
  <c r="I28396" i="5"/>
  <c r="I28388" i="5"/>
  <c r="I28380" i="5"/>
  <c r="I28372" i="5"/>
  <c r="I28364" i="5"/>
  <c r="I28356" i="5"/>
  <c r="I28348" i="5"/>
  <c r="I28340" i="5"/>
  <c r="I28332" i="5"/>
  <c r="I28324" i="5"/>
  <c r="I28316" i="5"/>
  <c r="I28308" i="5"/>
  <c r="I28300" i="5"/>
  <c r="I28292" i="5"/>
  <c r="I28284" i="5"/>
  <c r="I28276" i="5"/>
  <c r="I28268" i="5"/>
  <c r="I28260" i="5"/>
  <c r="I28252" i="5"/>
  <c r="I28244" i="5"/>
  <c r="I28236" i="5"/>
  <c r="I28228" i="5"/>
  <c r="I28220" i="5"/>
  <c r="I28212" i="5"/>
  <c r="I28204" i="5"/>
  <c r="I28196" i="5"/>
  <c r="I28188" i="5"/>
  <c r="I28180" i="5"/>
  <c r="I28172" i="5"/>
  <c r="I28164" i="5"/>
  <c r="I28156" i="5"/>
  <c r="I28148" i="5"/>
  <c r="I28140" i="5"/>
  <c r="I28132" i="5"/>
  <c r="I28124" i="5"/>
  <c r="I28116" i="5"/>
  <c r="I28108" i="5"/>
  <c r="I28100" i="5"/>
  <c r="I28092" i="5"/>
  <c r="I28084" i="5"/>
  <c r="I28076" i="5"/>
  <c r="I28068" i="5"/>
  <c r="I28060" i="5"/>
  <c r="I28052" i="5"/>
  <c r="I28044" i="5"/>
  <c r="I28036" i="5"/>
  <c r="I28028" i="5"/>
  <c r="I28020" i="5"/>
  <c r="I28012" i="5"/>
  <c r="I28004" i="5"/>
  <c r="I27996" i="5"/>
  <c r="I27988" i="5"/>
  <c r="I27980" i="5"/>
  <c r="I27972" i="5"/>
  <c r="I27964" i="5"/>
  <c r="I27956" i="5"/>
  <c r="I27948" i="5"/>
  <c r="I27940" i="5"/>
  <c r="I27932" i="5"/>
  <c r="I27924" i="5"/>
  <c r="I27916" i="5"/>
  <c r="I27908" i="5"/>
  <c r="I27900" i="5"/>
  <c r="I27892" i="5"/>
  <c r="I27884" i="5"/>
  <c r="I27876" i="5"/>
  <c r="I27868" i="5"/>
  <c r="I27860" i="5"/>
  <c r="I27852" i="5"/>
  <c r="I27844" i="5"/>
  <c r="I27836" i="5"/>
  <c r="I27828" i="5"/>
  <c r="I27820" i="5"/>
  <c r="I27812" i="5"/>
  <c r="I27804" i="5"/>
  <c r="I27796" i="5"/>
  <c r="I27788" i="5"/>
  <c r="I27780" i="5"/>
  <c r="I27772" i="5"/>
  <c r="I27764" i="5"/>
  <c r="I27756" i="5"/>
  <c r="I27748" i="5"/>
  <c r="I27740" i="5"/>
  <c r="I27732" i="5"/>
  <c r="I27724" i="5"/>
  <c r="I27716" i="5"/>
  <c r="I27708" i="5"/>
  <c r="I27700" i="5"/>
  <c r="I27692" i="5"/>
  <c r="I27684" i="5"/>
  <c r="I27676" i="5"/>
  <c r="I27668" i="5"/>
  <c r="I27660" i="5"/>
  <c r="I27652" i="5"/>
  <c r="I27644" i="5"/>
  <c r="I27636" i="5"/>
  <c r="I27628" i="5"/>
  <c r="I27620" i="5"/>
  <c r="I27612" i="5"/>
  <c r="I27604" i="5"/>
  <c r="I27596" i="5"/>
  <c r="I27588" i="5"/>
  <c r="I27580" i="5"/>
  <c r="I27572" i="5"/>
  <c r="I27564" i="5"/>
  <c r="I27556" i="5"/>
  <c r="I27548" i="5"/>
  <c r="I27540" i="5"/>
  <c r="I27532" i="5"/>
  <c r="I27524" i="5"/>
  <c r="I27516" i="5"/>
  <c r="I27508" i="5"/>
  <c r="I27500" i="5"/>
  <c r="I27492" i="5"/>
  <c r="I27484" i="5"/>
  <c r="I27476" i="5"/>
  <c r="I27468" i="5"/>
  <c r="I27460" i="5"/>
  <c r="I27452" i="5"/>
  <c r="I27444" i="5"/>
  <c r="I27436" i="5"/>
  <c r="I27428" i="5"/>
  <c r="I27420" i="5"/>
  <c r="I27412" i="5"/>
  <c r="I27404" i="5"/>
  <c r="I27396" i="5"/>
  <c r="I27388" i="5"/>
  <c r="I27380" i="5"/>
  <c r="I27372" i="5"/>
  <c r="I27364" i="5"/>
  <c r="I27356" i="5"/>
  <c r="I27348" i="5"/>
  <c r="I27340" i="5"/>
  <c r="I27332" i="5"/>
  <c r="I27324" i="5"/>
  <c r="I27316" i="5"/>
  <c r="I27308" i="5"/>
  <c r="I27300" i="5"/>
  <c r="I27292" i="5"/>
  <c r="I27284" i="5"/>
  <c r="I27276" i="5"/>
  <c r="I27268" i="5"/>
  <c r="I27260" i="5"/>
  <c r="I27252" i="5"/>
  <c r="I27244" i="5"/>
  <c r="I27236" i="5"/>
  <c r="I27228" i="5"/>
  <c r="I27220" i="5"/>
  <c r="I27212" i="5"/>
  <c r="I27204" i="5"/>
  <c r="I27196" i="5"/>
  <c r="I27188" i="5"/>
  <c r="I27180" i="5"/>
  <c r="I27172" i="5"/>
  <c r="I27164" i="5"/>
  <c r="I27156" i="5"/>
  <c r="I27148" i="5"/>
  <c r="I27140" i="5"/>
  <c r="I27132" i="5"/>
  <c r="I27124" i="5"/>
  <c r="I27116" i="5"/>
  <c r="I27108" i="5"/>
  <c r="I27100" i="5"/>
  <c r="I27092" i="5"/>
  <c r="I27084" i="5"/>
  <c r="I27076" i="5"/>
  <c r="I27068" i="5"/>
  <c r="I27060" i="5"/>
  <c r="I27052" i="5"/>
  <c r="I27044" i="5"/>
  <c r="I27036" i="5"/>
  <c r="I27028" i="5"/>
  <c r="I27020" i="5"/>
  <c r="I27012" i="5"/>
  <c r="I27004" i="5"/>
  <c r="I26996" i="5"/>
  <c r="I26988" i="5"/>
  <c r="I26980" i="5"/>
  <c r="I26972" i="5"/>
  <c r="I26964" i="5"/>
  <c r="I26956" i="5"/>
  <c r="I26948" i="5"/>
  <c r="I26940" i="5"/>
  <c r="I26932" i="5"/>
  <c r="I26924" i="5"/>
  <c r="I26916" i="5"/>
  <c r="I26908" i="5"/>
  <c r="I26900" i="5"/>
  <c r="I26892" i="5"/>
  <c r="I26884" i="5"/>
  <c r="I26876" i="5"/>
  <c r="I26868" i="5"/>
  <c r="I26860" i="5"/>
  <c r="I26852" i="5"/>
  <c r="I26844" i="5"/>
  <c r="I26836" i="5"/>
  <c r="I26828" i="5"/>
  <c r="I26820" i="5"/>
  <c r="I26812" i="5"/>
  <c r="I26804" i="5"/>
  <c r="I26796" i="5"/>
  <c r="I26788" i="5"/>
  <c r="I26780" i="5"/>
  <c r="I26772" i="5"/>
  <c r="I26764" i="5"/>
  <c r="I26756" i="5"/>
  <c r="I26748" i="5"/>
  <c r="I26740" i="5"/>
  <c r="I26732" i="5"/>
  <c r="I26724" i="5"/>
  <c r="I26716" i="5"/>
  <c r="I26708" i="5"/>
  <c r="I26700" i="5"/>
  <c r="I26692" i="5"/>
  <c r="I26684" i="5"/>
  <c r="I26676" i="5"/>
  <c r="I26668" i="5"/>
  <c r="I26660" i="5"/>
  <c r="I26652" i="5"/>
  <c r="I26644" i="5"/>
  <c r="I26636" i="5"/>
  <c r="I26628" i="5"/>
  <c r="I26620" i="5"/>
  <c r="I26612" i="5"/>
  <c r="I26604" i="5"/>
  <c r="I26596" i="5"/>
  <c r="I26588" i="5"/>
  <c r="I26580" i="5"/>
  <c r="I26572" i="5"/>
  <c r="I26564" i="5"/>
  <c r="I26556" i="5"/>
  <c r="I26548" i="5"/>
  <c r="I26540" i="5"/>
  <c r="I26532" i="5"/>
  <c r="I26524" i="5"/>
  <c r="I26516" i="5"/>
  <c r="I26508" i="5"/>
  <c r="I26500" i="5"/>
  <c r="I26492" i="5"/>
  <c r="I26484" i="5"/>
  <c r="I26476" i="5"/>
  <c r="I26468" i="5"/>
  <c r="I26460" i="5"/>
  <c r="I26452" i="5"/>
  <c r="I26444" i="5"/>
  <c r="I26436" i="5"/>
  <c r="I26428" i="5"/>
  <c r="I26420" i="5"/>
  <c r="I26412" i="5"/>
  <c r="I26404" i="5"/>
  <c r="I26396" i="5"/>
  <c r="I26388" i="5"/>
  <c r="I26380" i="5"/>
  <c r="I26372" i="5"/>
  <c r="I26364" i="5"/>
  <c r="I26356" i="5"/>
  <c r="I26348" i="5"/>
  <c r="I26340" i="5"/>
  <c r="I26332" i="5"/>
  <c r="I26324" i="5"/>
  <c r="I26316" i="5"/>
  <c r="I26308" i="5"/>
  <c r="I26300" i="5"/>
  <c r="I26292" i="5"/>
  <c r="I26284" i="5"/>
  <c r="I26276" i="5"/>
  <c r="I26268" i="5"/>
  <c r="I26260" i="5"/>
  <c r="I26252" i="5"/>
  <c r="I26244" i="5"/>
  <c r="I26236" i="5"/>
  <c r="I26228" i="5"/>
  <c r="I26220" i="5"/>
  <c r="I26212" i="5"/>
  <c r="I26204" i="5"/>
  <c r="I26196" i="5"/>
  <c r="I26188" i="5"/>
  <c r="I26180" i="5"/>
  <c r="I26172" i="5"/>
  <c r="I26164" i="5"/>
  <c r="I26156" i="5"/>
  <c r="I26148" i="5"/>
  <c r="I26140" i="5"/>
  <c r="I26132" i="5"/>
  <c r="I26124" i="5"/>
  <c r="I26116" i="5"/>
  <c r="I26108" i="5"/>
  <c r="I26100" i="5"/>
  <c r="I26092" i="5"/>
  <c r="I26084" i="5"/>
  <c r="I26076" i="5"/>
  <c r="I26068" i="5"/>
  <c r="I26060" i="5"/>
  <c r="I26052" i="5"/>
  <c r="I26044" i="5"/>
  <c r="I26036" i="5"/>
  <c r="I26028" i="5"/>
  <c r="I26020" i="5"/>
  <c r="I26012" i="5"/>
  <c r="I26004" i="5"/>
  <c r="I25996" i="5"/>
  <c r="I25988" i="5"/>
  <c r="I25980" i="5"/>
  <c r="I25972" i="5"/>
  <c r="I25964" i="5"/>
  <c r="I25956" i="5"/>
  <c r="I25948" i="5"/>
  <c r="I25940" i="5"/>
  <c r="I25932" i="5"/>
  <c r="I25924" i="5"/>
  <c r="I25916" i="5"/>
  <c r="I25908" i="5"/>
  <c r="I25900" i="5"/>
  <c r="I25892" i="5"/>
  <c r="I25884" i="5"/>
  <c r="I25876" i="5"/>
  <c r="I25868" i="5"/>
  <c r="I25860" i="5"/>
  <c r="I25852" i="5"/>
  <c r="I25844" i="5"/>
  <c r="I25836" i="5"/>
  <c r="I25828" i="5"/>
  <c r="I25820" i="5"/>
  <c r="I25812" i="5"/>
  <c r="I25804" i="5"/>
  <c r="I25796" i="5"/>
  <c r="I25788" i="5"/>
  <c r="I25780" i="5"/>
  <c r="I25772" i="5"/>
  <c r="I25764" i="5"/>
  <c r="I25756" i="5"/>
  <c r="I25748" i="5"/>
  <c r="I25740" i="5"/>
  <c r="I25732" i="5"/>
  <c r="I25724" i="5"/>
  <c r="I25716" i="5"/>
  <c r="I25708" i="5"/>
  <c r="I25700" i="5"/>
  <c r="I25692" i="5"/>
  <c r="I25684" i="5"/>
  <c r="I25676" i="5"/>
  <c r="I25668" i="5"/>
  <c r="I25660" i="5"/>
  <c r="I25652" i="5"/>
  <c r="I25644" i="5"/>
  <c r="I25636" i="5"/>
  <c r="I25628" i="5"/>
  <c r="I25620" i="5"/>
  <c r="I25612" i="5"/>
  <c r="I25604" i="5"/>
  <c r="I25596" i="5"/>
  <c r="I25588" i="5"/>
  <c r="I25580" i="5"/>
  <c r="I25572" i="5"/>
  <c r="I25564" i="5"/>
  <c r="I25556" i="5"/>
  <c r="I25548" i="5"/>
  <c r="I25540" i="5"/>
  <c r="I25532" i="5"/>
  <c r="I25524" i="5"/>
  <c r="I25516" i="5"/>
  <c r="I25508" i="5"/>
  <c r="I25500" i="5"/>
  <c r="I25492" i="5"/>
  <c r="I25484" i="5"/>
  <c r="I25476" i="5"/>
  <c r="I25468" i="5"/>
  <c r="I25460" i="5"/>
  <c r="I25452" i="5"/>
  <c r="I25444" i="5"/>
  <c r="I25436" i="5"/>
  <c r="I25428" i="5"/>
  <c r="I25420" i="5"/>
  <c r="I25412" i="5"/>
  <c r="I25404" i="5"/>
  <c r="I25396" i="5"/>
  <c r="I25388" i="5"/>
  <c r="I25380" i="5"/>
  <c r="I25372" i="5"/>
  <c r="I25364" i="5"/>
  <c r="I25356" i="5"/>
  <c r="I25348" i="5"/>
  <c r="I25340" i="5"/>
  <c r="I25332" i="5"/>
  <c r="I25324" i="5"/>
  <c r="I25316" i="5"/>
  <c r="I25308" i="5"/>
  <c r="I25300" i="5"/>
  <c r="I25292" i="5"/>
  <c r="I25284" i="5"/>
  <c r="I25276" i="5"/>
  <c r="I25268" i="5"/>
  <c r="I25260" i="5"/>
  <c r="I25252" i="5"/>
  <c r="I25244" i="5"/>
  <c r="I25236" i="5"/>
  <c r="I25228" i="5"/>
  <c r="I25220" i="5"/>
  <c r="I25212" i="5"/>
  <c r="I25204" i="5"/>
  <c r="I25196" i="5"/>
  <c r="I25188" i="5"/>
  <c r="I25180" i="5"/>
  <c r="I25172" i="5"/>
  <c r="I25164" i="5"/>
  <c r="I25156" i="5"/>
  <c r="I25148" i="5"/>
  <c r="I25140" i="5"/>
  <c r="I25132" i="5"/>
  <c r="I25124" i="5"/>
  <c r="I25116" i="5"/>
  <c r="I25108" i="5"/>
  <c r="I25100" i="5"/>
  <c r="I25092" i="5"/>
  <c r="I25084" i="5"/>
  <c r="I25076" i="5"/>
  <c r="I25068" i="5"/>
  <c r="I25060" i="5"/>
  <c r="I25052" i="5"/>
  <c r="I25044" i="5"/>
  <c r="I25036" i="5"/>
  <c r="I25028" i="5"/>
  <c r="I25020" i="5"/>
  <c r="I25012" i="5"/>
  <c r="I25004" i="5"/>
  <c r="I24996" i="5"/>
  <c r="I24988" i="5"/>
  <c r="I24980" i="5"/>
  <c r="I24972" i="5"/>
  <c r="I24964" i="5"/>
  <c r="I24956" i="5"/>
  <c r="I24948" i="5"/>
  <c r="I24940" i="5"/>
  <c r="I24932" i="5"/>
  <c r="I24924" i="5"/>
  <c r="I24916" i="5"/>
  <c r="I24908" i="5"/>
  <c r="I24900" i="5"/>
  <c r="I24892" i="5"/>
  <c r="I24884" i="5"/>
  <c r="I24876" i="5"/>
  <c r="I24868" i="5"/>
  <c r="I24860" i="5"/>
  <c r="I24852" i="5"/>
  <c r="I24844" i="5"/>
  <c r="I24836" i="5"/>
  <c r="I24828" i="5"/>
  <c r="I36081" i="5"/>
  <c r="I34694" i="5"/>
  <c r="I34080" i="5"/>
  <c r="I33634" i="5"/>
  <c r="I33220" i="5"/>
  <c r="I32914" i="5"/>
  <c r="I32604" i="5"/>
  <c r="I32347" i="5"/>
  <c r="I32192" i="5"/>
  <c r="I32040" i="5"/>
  <c r="I31872" i="5"/>
  <c r="I31743" i="5"/>
  <c r="I31581" i="5"/>
  <c r="I31455" i="5"/>
  <c r="I31349" i="5"/>
  <c r="I31232" i="5"/>
  <c r="I31109" i="5"/>
  <c r="I31008" i="5"/>
  <c r="I30895" i="5"/>
  <c r="I30788" i="5"/>
  <c r="I30724" i="5"/>
  <c r="I30658" i="5"/>
  <c r="I30599" i="5"/>
  <c r="I30546" i="5"/>
  <c r="I30488" i="5"/>
  <c r="I30426" i="5"/>
  <c r="I30376" i="5"/>
  <c r="I30319" i="5"/>
  <c r="I30256" i="5"/>
  <c r="I30207" i="5"/>
  <c r="I30146" i="5"/>
  <c r="I30087" i="5"/>
  <c r="I30034" i="5"/>
  <c r="I29976" i="5"/>
  <c r="I29927" i="5"/>
  <c r="I29888" i="5"/>
  <c r="I29842" i="5"/>
  <c r="I29799" i="5"/>
  <c r="I29760" i="5"/>
  <c r="I29714" i="5"/>
  <c r="I29671" i="5"/>
  <c r="I29632" i="5"/>
  <c r="I29586" i="5"/>
  <c r="I29543" i="5"/>
  <c r="I29504" i="5"/>
  <c r="I29458" i="5"/>
  <c r="I29415" i="5"/>
  <c r="I29376" i="5"/>
  <c r="I29330" i="5"/>
  <c r="I29287" i="5"/>
  <c r="I29248" i="5"/>
  <c r="I29208" i="5"/>
  <c r="I29170" i="5"/>
  <c r="I29142" i="5"/>
  <c r="I29117" i="5"/>
  <c r="I29094" i="5"/>
  <c r="I29075" i="5"/>
  <c r="I29053" i="5"/>
  <c r="I29030" i="5"/>
  <c r="I29011" i="5"/>
  <c r="I28989" i="5"/>
  <c r="I28966" i="5"/>
  <c r="I28947" i="5"/>
  <c r="I28925" i="5"/>
  <c r="I28902" i="5"/>
  <c r="I28883" i="5"/>
  <c r="I28861" i="5"/>
  <c r="I28838" i="5"/>
  <c r="I28819" i="5"/>
  <c r="I28797" i="5"/>
  <c r="I28774" i="5"/>
  <c r="I28755" i="5"/>
  <c r="I28733" i="5"/>
  <c r="I28710" i="5"/>
  <c r="I28691" i="5"/>
  <c r="I28669" i="5"/>
  <c r="I28646" i="5"/>
  <c r="I28627" i="5"/>
  <c r="I28605" i="5"/>
  <c r="I28582" i="5"/>
  <c r="I28563" i="5"/>
  <c r="I28541" i="5"/>
  <c r="I28518" i="5"/>
  <c r="I28499" i="5"/>
  <c r="I28477" i="5"/>
  <c r="I28454" i="5"/>
  <c r="I28435" i="5"/>
  <c r="I28413" i="5"/>
  <c r="I28390" i="5"/>
  <c r="I28371" i="5"/>
  <c r="I28349" i="5"/>
  <c r="I28326" i="5"/>
  <c r="I28307" i="5"/>
  <c r="I28285" i="5"/>
  <c r="I28262" i="5"/>
  <c r="I28243" i="5"/>
  <c r="I28221" i="5"/>
  <c r="I28198" i="5"/>
  <c r="I28179" i="5"/>
  <c r="I28157" i="5"/>
  <c r="I28134" i="5"/>
  <c r="I28115" i="5"/>
  <c r="I28093" i="5"/>
  <c r="I28070" i="5"/>
  <c r="I28051" i="5"/>
  <c r="I28029" i="5"/>
  <c r="I28006" i="5"/>
  <c r="I27987" i="5"/>
  <c r="I27965" i="5"/>
  <c r="I27942" i="5"/>
  <c r="I27923" i="5"/>
  <c r="I27901" i="5"/>
  <c r="I27878" i="5"/>
  <c r="I27859" i="5"/>
  <c r="I27837" i="5"/>
  <c r="I27814" i="5"/>
  <c r="I27795" i="5"/>
  <c r="I27773" i="5"/>
  <c r="I27750" i="5"/>
  <c r="I27731" i="5"/>
  <c r="I27709" i="5"/>
  <c r="I27686" i="5"/>
  <c r="I27667" i="5"/>
  <c r="I27645" i="5"/>
  <c r="I27622" i="5"/>
  <c r="I27603" i="5"/>
  <c r="I27581" i="5"/>
  <c r="I27558" i="5"/>
  <c r="I27539" i="5"/>
  <c r="I27517" i="5"/>
  <c r="I27494" i="5"/>
  <c r="I27475" i="5"/>
  <c r="I27453" i="5"/>
  <c r="I27430" i="5"/>
  <c r="I27411" i="5"/>
  <c r="I27389" i="5"/>
  <c r="I27366" i="5"/>
  <c r="I27347" i="5"/>
  <c r="I27325" i="5"/>
  <c r="I27302" i="5"/>
  <c r="I27283" i="5"/>
  <c r="I27261" i="5"/>
  <c r="I27238" i="5"/>
  <c r="I27219" i="5"/>
  <c r="I27197" i="5"/>
  <c r="I27174" i="5"/>
  <c r="I27155" i="5"/>
  <c r="I27133" i="5"/>
  <c r="I27110" i="5"/>
  <c r="I27091" i="5"/>
  <c r="I27069" i="5"/>
  <c r="I27046" i="5"/>
  <c r="I27027" i="5"/>
  <c r="I27005" i="5"/>
  <c r="I26982" i="5"/>
  <c r="I26963" i="5"/>
  <c r="I26941" i="5"/>
  <c r="I26918" i="5"/>
  <c r="I26899" i="5"/>
  <c r="I26877" i="5"/>
  <c r="I26854" i="5"/>
  <c r="I26835" i="5"/>
  <c r="I26813" i="5"/>
  <c r="I26790" i="5"/>
  <c r="I26771" i="5"/>
  <c r="I26749" i="5"/>
  <c r="I26726" i="5"/>
  <c r="I26707" i="5"/>
  <c r="I26685" i="5"/>
  <c r="I26662" i="5"/>
  <c r="I26643" i="5"/>
  <c r="I26621" i="5"/>
  <c r="I26598" i="5"/>
  <c r="I26579" i="5"/>
  <c r="I26557" i="5"/>
  <c r="I26534" i="5"/>
  <c r="I26515" i="5"/>
  <c r="I26493" i="5"/>
  <c r="I26470" i="5"/>
  <c r="I26451" i="5"/>
  <c r="I26429" i="5"/>
  <c r="I26406" i="5"/>
  <c r="I26390" i="5"/>
  <c r="I26374" i="5"/>
  <c r="I26358" i="5"/>
  <c r="I26342" i="5"/>
  <c r="I26326" i="5"/>
  <c r="I26310" i="5"/>
  <c r="I26294" i="5"/>
  <c r="I26278" i="5"/>
  <c r="I26262" i="5"/>
  <c r="I26246" i="5"/>
  <c r="I26230" i="5"/>
  <c r="I26214" i="5"/>
  <c r="I26198" i="5"/>
  <c r="I26182" i="5"/>
  <c r="I26166" i="5"/>
  <c r="I26150" i="5"/>
  <c r="I26134" i="5"/>
  <c r="I26118" i="5"/>
  <c r="I26102" i="5"/>
  <c r="I26086" i="5"/>
  <c r="I26070" i="5"/>
  <c r="I26054" i="5"/>
  <c r="I26038" i="5"/>
  <c r="I26022" i="5"/>
  <c r="I26006" i="5"/>
  <c r="I25990" i="5"/>
  <c r="I25974" i="5"/>
  <c r="I25958" i="5"/>
  <c r="I25942" i="5"/>
  <c r="I25926" i="5"/>
  <c r="I25910" i="5"/>
  <c r="I25894" i="5"/>
  <c r="I25878" i="5"/>
  <c r="I25862" i="5"/>
  <c r="I25846" i="5"/>
  <c r="I25830" i="5"/>
  <c r="I25814" i="5"/>
  <c r="I25798" i="5"/>
  <c r="I25782" i="5"/>
  <c r="I25766" i="5"/>
  <c r="I25750" i="5"/>
  <c r="I25734" i="5"/>
  <c r="I25718" i="5"/>
  <c r="I25704" i="5"/>
  <c r="I25691" i="5"/>
  <c r="I25678" i="5"/>
  <c r="I25665" i="5"/>
  <c r="I25653" i="5"/>
  <c r="I25640" i="5"/>
  <c r="I25627" i="5"/>
  <c r="I25614" i="5"/>
  <c r="I25602" i="5"/>
  <c r="I25592" i="5"/>
  <c r="I25581" i="5"/>
  <c r="I25570" i="5"/>
  <c r="I25560" i="5"/>
  <c r="I25549" i="5"/>
  <c r="I25538" i="5"/>
  <c r="I25528" i="5"/>
  <c r="I25517" i="5"/>
  <c r="I25506" i="5"/>
  <c r="I25496" i="5"/>
  <c r="I25485" i="5"/>
  <c r="I25474" i="5"/>
  <c r="I25464" i="5"/>
  <c r="I25453" i="5"/>
  <c r="I25442" i="5"/>
  <c r="I25432" i="5"/>
  <c r="I25421" i="5"/>
  <c r="I25410" i="5"/>
  <c r="I25400" i="5"/>
  <c r="I25389" i="5"/>
  <c r="I25378" i="5"/>
  <c r="I25368" i="5"/>
  <c r="I25357" i="5"/>
  <c r="I25346" i="5"/>
  <c r="I25336" i="5"/>
  <c r="I25325" i="5"/>
  <c r="I25314" i="5"/>
  <c r="I25304" i="5"/>
  <c r="I25293" i="5"/>
  <c r="I25282" i="5"/>
  <c r="I25272" i="5"/>
  <c r="I25261" i="5"/>
  <c r="I25250" i="5"/>
  <c r="I25240" i="5"/>
  <c r="I25229" i="5"/>
  <c r="I25218" i="5"/>
  <c r="I25208" i="5"/>
  <c r="I25197" i="5"/>
  <c r="I25186" i="5"/>
  <c r="I25176" i="5"/>
  <c r="I25165" i="5"/>
  <c r="I25154" i="5"/>
  <c r="I25144" i="5"/>
  <c r="I25133" i="5"/>
  <c r="I25122" i="5"/>
  <c r="I25112" i="5"/>
  <c r="I25101" i="5"/>
  <c r="I25090" i="5"/>
  <c r="I25080" i="5"/>
  <c r="I25069" i="5"/>
  <c r="I25058" i="5"/>
  <c r="I25048" i="5"/>
  <c r="I25037" i="5"/>
  <c r="I25027" i="5"/>
  <c r="I25018" i="5"/>
  <c r="I25009" i="5"/>
  <c r="I25000" i="5"/>
  <c r="I24991" i="5"/>
  <c r="I24982" i="5"/>
  <c r="I24973" i="5"/>
  <c r="I24963" i="5"/>
  <c r="I24954" i="5"/>
  <c r="I24945" i="5"/>
  <c r="I24936" i="5"/>
  <c r="I24927" i="5"/>
  <c r="I24918" i="5"/>
  <c r="I24909" i="5"/>
  <c r="I24899" i="5"/>
  <c r="I24890" i="5"/>
  <c r="I24881" i="5"/>
  <c r="I24872" i="5"/>
  <c r="I24863" i="5"/>
  <c r="I24854" i="5"/>
  <c r="I24845" i="5"/>
  <c r="I24835" i="5"/>
  <c r="I24826" i="5"/>
  <c r="I24818" i="5"/>
  <c r="I24810" i="5"/>
  <c r="I24802" i="5"/>
  <c r="I24794" i="5"/>
  <c r="I24786" i="5"/>
  <c r="I24778" i="5"/>
  <c r="I24770" i="5"/>
  <c r="I24762" i="5"/>
  <c r="I24754" i="5"/>
  <c r="I24746" i="5"/>
  <c r="I24738" i="5"/>
  <c r="I24730" i="5"/>
  <c r="I24722" i="5"/>
  <c r="I24714" i="5"/>
  <c r="I24706" i="5"/>
  <c r="I24698" i="5"/>
  <c r="I24690" i="5"/>
  <c r="I24682" i="5"/>
  <c r="I24674" i="5"/>
  <c r="I24666" i="5"/>
  <c r="I24658" i="5"/>
  <c r="I24650" i="5"/>
  <c r="I24642" i="5"/>
  <c r="I24634" i="5"/>
  <c r="I24626" i="5"/>
  <c r="I24618" i="5"/>
  <c r="I24610" i="5"/>
  <c r="I24602" i="5"/>
  <c r="I24594" i="5"/>
  <c r="I24586" i="5"/>
  <c r="I24578" i="5"/>
  <c r="I24570" i="5"/>
  <c r="I24562" i="5"/>
  <c r="I24554" i="5"/>
  <c r="I24546" i="5"/>
  <c r="I24538" i="5"/>
  <c r="I24530" i="5"/>
  <c r="I24522" i="5"/>
  <c r="I24514" i="5"/>
  <c r="I24506" i="5"/>
  <c r="I35787" i="5"/>
  <c r="I34687" i="5"/>
  <c r="I33969" i="5"/>
  <c r="I33612" i="5"/>
  <c r="I33185" i="5"/>
  <c r="I32851" i="5"/>
  <c r="I32577" i="5"/>
  <c r="I32338" i="5"/>
  <c r="I32157" i="5"/>
  <c r="I32023" i="5"/>
  <c r="I31871" i="5"/>
  <c r="I31703" i="5"/>
  <c r="I31573" i="5"/>
  <c r="I31445" i="5"/>
  <c r="I31327" i="5"/>
  <c r="I31221" i="5"/>
  <c r="I31104" i="5"/>
  <c r="I30981" i="5"/>
  <c r="I30880" i="5"/>
  <c r="I30787" i="5"/>
  <c r="I30707" i="5"/>
  <c r="I30655" i="5"/>
  <c r="I30594" i="5"/>
  <c r="I30535" i="5"/>
  <c r="I30482" i="5"/>
  <c r="I30424" i="5"/>
  <c r="I30362" i="5"/>
  <c r="I30312" i="5"/>
  <c r="I30255" i="5"/>
  <c r="I30192" i="5"/>
  <c r="I30143" i="5"/>
  <c r="I30082" i="5"/>
  <c r="I30023" i="5"/>
  <c r="I29970" i="5"/>
  <c r="I29922" i="5"/>
  <c r="I29879" i="5"/>
  <c r="I29840" i="5"/>
  <c r="I29794" i="5"/>
  <c r="I29751" i="5"/>
  <c r="I29712" i="5"/>
  <c r="I29666" i="5"/>
  <c r="I29623" i="5"/>
  <c r="I29584" i="5"/>
  <c r="I29538" i="5"/>
  <c r="I29495" i="5"/>
  <c r="I29456" i="5"/>
  <c r="I29410" i="5"/>
  <c r="I29367" i="5"/>
  <c r="I29328" i="5"/>
  <c r="I29282" i="5"/>
  <c r="I29239" i="5"/>
  <c r="I29203" i="5"/>
  <c r="I29169" i="5"/>
  <c r="I29136" i="5"/>
  <c r="I29115" i="5"/>
  <c r="I29093" i="5"/>
  <c r="I29070" i="5"/>
  <c r="I29051" i="5"/>
  <c r="I29029" i="5"/>
  <c r="I29006" i="5"/>
  <c r="I28987" i="5"/>
  <c r="I28965" i="5"/>
  <c r="I28942" i="5"/>
  <c r="I28923" i="5"/>
  <c r="I28901" i="5"/>
  <c r="I28878" i="5"/>
  <c r="I28859" i="5"/>
  <c r="I28837" i="5"/>
  <c r="I28814" i="5"/>
  <c r="I28795" i="5"/>
  <c r="I28773" i="5"/>
  <c r="I28750" i="5"/>
  <c r="I28731" i="5"/>
  <c r="I28709" i="5"/>
  <c r="I28686" i="5"/>
  <c r="I28667" i="5"/>
  <c r="I28645" i="5"/>
  <c r="I28622" i="5"/>
  <c r="I28603" i="5"/>
  <c r="I28581" i="5"/>
  <c r="I28558" i="5"/>
  <c r="I28539" i="5"/>
  <c r="I28517" i="5"/>
  <c r="I28494" i="5"/>
  <c r="I28475" i="5"/>
  <c r="I28453" i="5"/>
  <c r="I28430" i="5"/>
  <c r="I28411" i="5"/>
  <c r="I28389" i="5"/>
  <c r="I28366" i="5"/>
  <c r="I28347" i="5"/>
  <c r="I28325" i="5"/>
  <c r="I28302" i="5"/>
  <c r="I28283" i="5"/>
  <c r="I28261" i="5"/>
  <c r="I28238" i="5"/>
  <c r="I28219" i="5"/>
  <c r="I28197" i="5"/>
  <c r="I28174" i="5"/>
  <c r="I28155" i="5"/>
  <c r="I28133" i="5"/>
  <c r="I28110" i="5"/>
  <c r="I28091" i="5"/>
  <c r="I28069" i="5"/>
  <c r="I28046" i="5"/>
  <c r="I28027" i="5"/>
  <c r="I28005" i="5"/>
  <c r="I27982" i="5"/>
  <c r="I27963" i="5"/>
  <c r="I27941" i="5"/>
  <c r="I27918" i="5"/>
  <c r="I27899" i="5"/>
  <c r="I27877" i="5"/>
  <c r="I27854" i="5"/>
  <c r="I27835" i="5"/>
  <c r="I27813" i="5"/>
  <c r="I27790" i="5"/>
  <c r="I27771" i="5"/>
  <c r="I27749" i="5"/>
  <c r="I27726" i="5"/>
  <c r="I27707" i="5"/>
  <c r="I27685" i="5"/>
  <c r="I27662" i="5"/>
  <c r="I27643" i="5"/>
  <c r="I27621" i="5"/>
  <c r="I27598" i="5"/>
  <c r="I27579" i="5"/>
  <c r="I27557" i="5"/>
  <c r="I27534" i="5"/>
  <c r="I27515" i="5"/>
  <c r="I27493" i="5"/>
  <c r="I27470" i="5"/>
  <c r="I27451" i="5"/>
  <c r="I27429" i="5"/>
  <c r="I27406" i="5"/>
  <c r="I27387" i="5"/>
  <c r="I27365" i="5"/>
  <c r="I27342" i="5"/>
  <c r="I27323" i="5"/>
  <c r="I27301" i="5"/>
  <c r="I27278" i="5"/>
  <c r="I27259" i="5"/>
  <c r="I27237" i="5"/>
  <c r="I27214" i="5"/>
  <c r="I27195" i="5"/>
  <c r="I27173" i="5"/>
  <c r="I27150" i="5"/>
  <c r="I27131" i="5"/>
  <c r="I27109" i="5"/>
  <c r="I27086" i="5"/>
  <c r="I27067" i="5"/>
  <c r="I27045" i="5"/>
  <c r="I27022" i="5"/>
  <c r="I27003" i="5"/>
  <c r="I26981" i="5"/>
  <c r="I26958" i="5"/>
  <c r="I26939" i="5"/>
  <c r="I26917" i="5"/>
  <c r="I26894" i="5"/>
  <c r="I26875" i="5"/>
  <c r="I26853" i="5"/>
  <c r="I26830" i="5"/>
  <c r="I26811" i="5"/>
  <c r="I26789" i="5"/>
  <c r="I26766" i="5"/>
  <c r="I26747" i="5"/>
  <c r="I26725" i="5"/>
  <c r="I26702" i="5"/>
  <c r="I26683" i="5"/>
  <c r="I26661" i="5"/>
  <c r="I26638" i="5"/>
  <c r="I26619" i="5"/>
  <c r="I26597" i="5"/>
  <c r="I26574" i="5"/>
  <c r="I26555" i="5"/>
  <c r="I26533" i="5"/>
  <c r="I26510" i="5"/>
  <c r="I26491" i="5"/>
  <c r="I26469" i="5"/>
  <c r="I26446" i="5"/>
  <c r="I26427" i="5"/>
  <c r="I26405" i="5"/>
  <c r="I26389" i="5"/>
  <c r="I26373" i="5"/>
  <c r="I26357" i="5"/>
  <c r="I26341" i="5"/>
  <c r="I26325" i="5"/>
  <c r="I26309" i="5"/>
  <c r="I26293" i="5"/>
  <c r="I26277" i="5"/>
  <c r="I26261" i="5"/>
  <c r="I26245" i="5"/>
  <c r="I26229" i="5"/>
  <c r="I26213" i="5"/>
  <c r="I26197" i="5"/>
  <c r="I26181" i="5"/>
  <c r="I26165" i="5"/>
  <c r="I26149" i="5"/>
  <c r="I26133" i="5"/>
  <c r="I26117" i="5"/>
  <c r="I26101" i="5"/>
  <c r="I26085" i="5"/>
  <c r="I26069" i="5"/>
  <c r="I26053" i="5"/>
  <c r="I26037" i="5"/>
  <c r="I26021" i="5"/>
  <c r="I26005" i="5"/>
  <c r="I25989" i="5"/>
  <c r="I25973" i="5"/>
  <c r="I25957" i="5"/>
  <c r="I25941" i="5"/>
  <c r="I25925" i="5"/>
  <c r="I25909" i="5"/>
  <c r="I25893" i="5"/>
  <c r="I25877" i="5"/>
  <c r="I25861" i="5"/>
  <c r="I25845" i="5"/>
  <c r="I25829" i="5"/>
  <c r="I25813" i="5"/>
  <c r="I25797" i="5"/>
  <c r="I25781" i="5"/>
  <c r="I25765" i="5"/>
  <c r="I25749" i="5"/>
  <c r="I25733" i="5"/>
  <c r="I25717" i="5"/>
  <c r="I25702" i="5"/>
  <c r="I25689" i="5"/>
  <c r="I25677" i="5"/>
  <c r="I25664" i="5"/>
  <c r="I25651" i="5"/>
  <c r="I25638" i="5"/>
  <c r="I25625" i="5"/>
  <c r="I25613" i="5"/>
  <c r="I25601" i="5"/>
  <c r="I25590" i="5"/>
  <c r="I25579" i="5"/>
  <c r="I25569" i="5"/>
  <c r="I25558" i="5"/>
  <c r="I25547" i="5"/>
  <c r="I25537" i="5"/>
  <c r="I25526" i="5"/>
  <c r="I25515" i="5"/>
  <c r="I25505" i="5"/>
  <c r="I25494" i="5"/>
  <c r="I25483" i="5"/>
  <c r="I25473" i="5"/>
  <c r="I25462" i="5"/>
  <c r="I25451" i="5"/>
  <c r="I25441" i="5"/>
  <c r="I25430" i="5"/>
  <c r="I25419" i="5"/>
  <c r="I25409" i="5"/>
  <c r="I25398" i="5"/>
  <c r="I25387" i="5"/>
  <c r="I25377" i="5"/>
  <c r="I25366" i="5"/>
  <c r="I25355" i="5"/>
  <c r="I25345" i="5"/>
  <c r="I25334" i="5"/>
  <c r="I25323" i="5"/>
  <c r="I25313" i="5"/>
  <c r="I25302" i="5"/>
  <c r="I25291" i="5"/>
  <c r="I25281" i="5"/>
  <c r="I25270" i="5"/>
  <c r="I25259" i="5"/>
  <c r="I25249" i="5"/>
  <c r="I25238" i="5"/>
  <c r="I25227" i="5"/>
  <c r="I25217" i="5"/>
  <c r="I25206" i="5"/>
  <c r="I25195" i="5"/>
  <c r="I25185" i="5"/>
  <c r="I25174" i="5"/>
  <c r="I25163" i="5"/>
  <c r="I25153" i="5"/>
  <c r="I25142" i="5"/>
  <c r="I25131" i="5"/>
  <c r="I25121" i="5"/>
  <c r="I25110" i="5"/>
  <c r="I25099" i="5"/>
  <c r="I25089" i="5"/>
  <c r="I25078" i="5"/>
  <c r="I25067" i="5"/>
  <c r="I25057" i="5"/>
  <c r="I25046" i="5"/>
  <c r="I25035" i="5"/>
  <c r="I25026" i="5"/>
  <c r="I25017" i="5"/>
  <c r="I25008" i="5"/>
  <c r="I24999" i="5"/>
  <c r="I24990" i="5"/>
  <c r="I24981" i="5"/>
  <c r="I24971" i="5"/>
  <c r="I24962" i="5"/>
  <c r="I24953" i="5"/>
  <c r="I24944" i="5"/>
  <c r="I24935" i="5"/>
  <c r="I24926" i="5"/>
  <c r="I24917" i="5"/>
  <c r="I24907" i="5"/>
  <c r="I24898" i="5"/>
  <c r="I24889" i="5"/>
  <c r="I24880" i="5"/>
  <c r="I24871" i="5"/>
  <c r="I24862" i="5"/>
  <c r="I24853" i="5"/>
  <c r="I24843" i="5"/>
  <c r="I24834" i="5"/>
  <c r="I24825" i="5"/>
  <c r="I24817" i="5"/>
  <c r="I24809" i="5"/>
  <c r="I24801" i="5"/>
  <c r="I24793" i="5"/>
  <c r="I24785" i="5"/>
  <c r="I24777" i="5"/>
  <c r="I24769" i="5"/>
  <c r="I24761" i="5"/>
  <c r="I24753" i="5"/>
  <c r="I24745" i="5"/>
  <c r="I24737" i="5"/>
  <c r="I24729" i="5"/>
  <c r="I24721" i="5"/>
  <c r="I24713" i="5"/>
  <c r="I24705" i="5"/>
  <c r="I24697" i="5"/>
  <c r="I24689" i="5"/>
  <c r="I24681" i="5"/>
  <c r="I24673" i="5"/>
  <c r="I24665" i="5"/>
  <c r="I24657" i="5"/>
  <c r="I24649" i="5"/>
  <c r="I24641" i="5"/>
  <c r="I24633" i="5"/>
  <c r="I24625" i="5"/>
  <c r="I24617" i="5"/>
  <c r="I24609" i="5"/>
  <c r="I24601" i="5"/>
  <c r="I24593" i="5"/>
  <c r="I24585" i="5"/>
  <c r="I24577" i="5"/>
  <c r="I24569" i="5"/>
  <c r="I24561" i="5"/>
  <c r="I24553" i="5"/>
  <c r="I35454" i="5"/>
  <c r="I34575" i="5"/>
  <c r="I33954" i="5"/>
  <c r="I33506" i="5"/>
  <c r="I33162" i="5"/>
  <c r="I32828" i="5"/>
  <c r="I32529" i="5"/>
  <c r="I32316" i="5"/>
  <c r="I32151" i="5"/>
  <c r="I31984" i="5"/>
  <c r="I31853" i="5"/>
  <c r="I31701" i="5"/>
  <c r="I31536" i="5"/>
  <c r="I31439" i="5"/>
  <c r="I31317" i="5"/>
  <c r="I31199" i="5"/>
  <c r="I31093" i="5"/>
  <c r="I30976" i="5"/>
  <c r="I30853" i="5"/>
  <c r="I30777" i="5"/>
  <c r="I30705" i="5"/>
  <c r="I30640" i="5"/>
  <c r="I30591" i="5"/>
  <c r="I30530" i="5"/>
  <c r="I30471" i="5"/>
  <c r="I30418" i="5"/>
  <c r="I30360" i="5"/>
  <c r="I30298" i="5"/>
  <c r="I30248" i="5"/>
  <c r="I30191" i="5"/>
  <c r="I30128" i="5"/>
  <c r="I30079" i="5"/>
  <c r="I30018" i="5"/>
  <c r="I29959" i="5"/>
  <c r="I29920" i="5"/>
  <c r="I29874" i="5"/>
  <c r="I29831" i="5"/>
  <c r="I29792" i="5"/>
  <c r="I29746" i="5"/>
  <c r="I29703" i="5"/>
  <c r="I29664" i="5"/>
  <c r="I29618" i="5"/>
  <c r="I29575" i="5"/>
  <c r="I29536" i="5"/>
  <c r="I29490" i="5"/>
  <c r="I29447" i="5"/>
  <c r="I29408" i="5"/>
  <c r="I29362" i="5"/>
  <c r="I29319" i="5"/>
  <c r="I29280" i="5"/>
  <c r="I29234" i="5"/>
  <c r="I29195" i="5"/>
  <c r="I29167" i="5"/>
  <c r="I29135" i="5"/>
  <c r="I29110" i="5"/>
  <c r="I29091" i="5"/>
  <c r="I29069" i="5"/>
  <c r="I29046" i="5"/>
  <c r="I29027" i="5"/>
  <c r="I29005" i="5"/>
  <c r="I28982" i="5"/>
  <c r="I28963" i="5"/>
  <c r="I28941" i="5"/>
  <c r="I28918" i="5"/>
  <c r="I28899" i="5"/>
  <c r="I28877" i="5"/>
  <c r="I28854" i="5"/>
  <c r="I28835" i="5"/>
  <c r="I28813" i="5"/>
  <c r="I28790" i="5"/>
  <c r="I28771" i="5"/>
  <c r="I28749" i="5"/>
  <c r="I28726" i="5"/>
  <c r="I28707" i="5"/>
  <c r="I28685" i="5"/>
  <c r="I28662" i="5"/>
  <c r="I28643" i="5"/>
  <c r="I28621" i="5"/>
  <c r="I28598" i="5"/>
  <c r="I28579" i="5"/>
  <c r="I28557" i="5"/>
  <c r="I28534" i="5"/>
  <c r="I28515" i="5"/>
  <c r="I28493" i="5"/>
  <c r="I28470" i="5"/>
  <c r="I28451" i="5"/>
  <c r="I28429" i="5"/>
  <c r="I28406" i="5"/>
  <c r="I28387" i="5"/>
  <c r="I28365" i="5"/>
  <c r="I28342" i="5"/>
  <c r="I28323" i="5"/>
  <c r="I28301" i="5"/>
  <c r="I28278" i="5"/>
  <c r="I28259" i="5"/>
  <c r="I28237" i="5"/>
  <c r="I28214" i="5"/>
  <c r="I28195" i="5"/>
  <c r="I28173" i="5"/>
  <c r="I28150" i="5"/>
  <c r="I28131" i="5"/>
  <c r="I28109" i="5"/>
  <c r="I28086" i="5"/>
  <c r="I28067" i="5"/>
  <c r="I28045" i="5"/>
  <c r="I28022" i="5"/>
  <c r="I28003" i="5"/>
  <c r="I27981" i="5"/>
  <c r="I27958" i="5"/>
  <c r="I27939" i="5"/>
  <c r="I27917" i="5"/>
  <c r="I27894" i="5"/>
  <c r="I27875" i="5"/>
  <c r="I27853" i="5"/>
  <c r="I27830" i="5"/>
  <c r="I27811" i="5"/>
  <c r="I27789" i="5"/>
  <c r="I27766" i="5"/>
  <c r="I27747" i="5"/>
  <c r="I27725" i="5"/>
  <c r="I27702" i="5"/>
  <c r="I27683" i="5"/>
  <c r="I27661" i="5"/>
  <c r="I27638" i="5"/>
  <c r="I27619" i="5"/>
  <c r="I27597" i="5"/>
  <c r="I27574" i="5"/>
  <c r="I27555" i="5"/>
  <c r="I27533" i="5"/>
  <c r="I27510" i="5"/>
  <c r="I27491" i="5"/>
  <c r="I27469" i="5"/>
  <c r="I27446" i="5"/>
  <c r="I27427" i="5"/>
  <c r="I27405" i="5"/>
  <c r="I27382" i="5"/>
  <c r="I27363" i="5"/>
  <c r="I27341" i="5"/>
  <c r="I27318" i="5"/>
  <c r="I27299" i="5"/>
  <c r="I27277" i="5"/>
  <c r="I27254" i="5"/>
  <c r="I27235" i="5"/>
  <c r="I27213" i="5"/>
  <c r="I27190" i="5"/>
  <c r="I27171" i="5"/>
  <c r="I27149" i="5"/>
  <c r="I27126" i="5"/>
  <c r="I27107" i="5"/>
  <c r="I27085" i="5"/>
  <c r="I27062" i="5"/>
  <c r="I27043" i="5"/>
  <c r="I27021" i="5"/>
  <c r="I26998" i="5"/>
  <c r="I26979" i="5"/>
  <c r="I26957" i="5"/>
  <c r="I26934" i="5"/>
  <c r="I26915" i="5"/>
  <c r="I26893" i="5"/>
  <c r="I26870" i="5"/>
  <c r="I26851" i="5"/>
  <c r="I26829" i="5"/>
  <c r="I26806" i="5"/>
  <c r="I26787" i="5"/>
  <c r="I26765" i="5"/>
  <c r="I26742" i="5"/>
  <c r="I26723" i="5"/>
  <c r="I26701" i="5"/>
  <c r="I26678" i="5"/>
  <c r="I26659" i="5"/>
  <c r="I26637" i="5"/>
  <c r="I26614" i="5"/>
  <c r="I26595" i="5"/>
  <c r="I26573" i="5"/>
  <c r="I26550" i="5"/>
  <c r="I26531" i="5"/>
  <c r="I26509" i="5"/>
  <c r="I26486" i="5"/>
  <c r="I26467" i="5"/>
  <c r="I26445" i="5"/>
  <c r="I26422" i="5"/>
  <c r="I26403" i="5"/>
  <c r="I26387" i="5"/>
  <c r="I26371" i="5"/>
  <c r="I26355" i="5"/>
  <c r="I26339" i="5"/>
  <c r="I26323" i="5"/>
  <c r="I26307" i="5"/>
  <c r="I26291" i="5"/>
  <c r="I26275" i="5"/>
  <c r="I26259" i="5"/>
  <c r="I26243" i="5"/>
  <c r="I26227" i="5"/>
  <c r="I26211" i="5"/>
  <c r="I26195" i="5"/>
  <c r="I26179" i="5"/>
  <c r="I26163" i="5"/>
  <c r="I26147" i="5"/>
  <c r="I26131" i="5"/>
  <c r="I26115" i="5"/>
  <c r="I26099" i="5"/>
  <c r="I26083" i="5"/>
  <c r="I26067" i="5"/>
  <c r="I26051" i="5"/>
  <c r="I26035" i="5"/>
  <c r="I26019" i="5"/>
  <c r="I26003" i="5"/>
  <c r="I25987" i="5"/>
  <c r="I25971" i="5"/>
  <c r="I25955" i="5"/>
  <c r="I25939" i="5"/>
  <c r="I25923" i="5"/>
  <c r="I25907" i="5"/>
  <c r="I25891" i="5"/>
  <c r="I25875" i="5"/>
  <c r="I25859" i="5"/>
  <c r="I25843" i="5"/>
  <c r="I25827" i="5"/>
  <c r="I25811" i="5"/>
  <c r="I25795" i="5"/>
  <c r="I25779" i="5"/>
  <c r="I25763" i="5"/>
  <c r="I25747" i="5"/>
  <c r="I25731" i="5"/>
  <c r="I25715" i="5"/>
  <c r="I25701" i="5"/>
  <c r="I25688" i="5"/>
  <c r="I25675" i="5"/>
  <c r="I25662" i="5"/>
  <c r="I25649" i="5"/>
  <c r="I25637" i="5"/>
  <c r="I25624" i="5"/>
  <c r="I25611" i="5"/>
  <c r="I25600" i="5"/>
  <c r="I25589" i="5"/>
  <c r="I25578" i="5"/>
  <c r="I25568" i="5"/>
  <c r="I25557" i="5"/>
  <c r="I25546" i="5"/>
  <c r="I25536" i="5"/>
  <c r="I25525" i="5"/>
  <c r="I25514" i="5"/>
  <c r="I25504" i="5"/>
  <c r="I25493" i="5"/>
  <c r="I25482" i="5"/>
  <c r="I25472" i="5"/>
  <c r="I25461" i="5"/>
  <c r="I25450" i="5"/>
  <c r="I25440" i="5"/>
  <c r="I25429" i="5"/>
  <c r="I25418" i="5"/>
  <c r="I25408" i="5"/>
  <c r="I25397" i="5"/>
  <c r="I25386" i="5"/>
  <c r="I25376" i="5"/>
  <c r="I25365" i="5"/>
  <c r="I25354" i="5"/>
  <c r="I25344" i="5"/>
  <c r="I25333" i="5"/>
  <c r="I25322" i="5"/>
  <c r="I25312" i="5"/>
  <c r="I25301" i="5"/>
  <c r="I25290" i="5"/>
  <c r="I25280" i="5"/>
  <c r="I25269" i="5"/>
  <c r="I25258" i="5"/>
  <c r="I25248" i="5"/>
  <c r="I25237" i="5"/>
  <c r="I25226" i="5"/>
  <c r="I25216" i="5"/>
  <c r="I25205" i="5"/>
  <c r="I25194" i="5"/>
  <c r="I25184" i="5"/>
  <c r="I25173" i="5"/>
  <c r="I25162" i="5"/>
  <c r="I25152" i="5"/>
  <c r="I25141" i="5"/>
  <c r="I25130" i="5"/>
  <c r="I25120" i="5"/>
  <c r="I25109" i="5"/>
  <c r="I25098" i="5"/>
  <c r="I25088" i="5"/>
  <c r="I25077" i="5"/>
  <c r="I25066" i="5"/>
  <c r="I25056" i="5"/>
  <c r="I25045" i="5"/>
  <c r="I25034" i="5"/>
  <c r="I25025" i="5"/>
  <c r="I25016" i="5"/>
  <c r="I25007" i="5"/>
  <c r="I24998" i="5"/>
  <c r="I24989" i="5"/>
  <c r="I24979" i="5"/>
  <c r="I24970" i="5"/>
  <c r="I24961" i="5"/>
  <c r="I24952" i="5"/>
  <c r="I24943" i="5"/>
  <c r="I24934" i="5"/>
  <c r="I24925" i="5"/>
  <c r="I24915" i="5"/>
  <c r="I24906" i="5"/>
  <c r="I24897" i="5"/>
  <c r="I24888" i="5"/>
  <c r="I24879" i="5"/>
  <c r="I24870" i="5"/>
  <c r="I24861" i="5"/>
  <c r="I24851" i="5"/>
  <c r="I24842" i="5"/>
  <c r="I24833" i="5"/>
  <c r="I24824" i="5"/>
  <c r="I24816" i="5"/>
  <c r="I24808" i="5"/>
  <c r="I24800" i="5"/>
  <c r="I24792" i="5"/>
  <c r="I24784" i="5"/>
  <c r="I24776" i="5"/>
  <c r="I24768" i="5"/>
  <c r="I24760" i="5"/>
  <c r="I24752" i="5"/>
  <c r="I24744" i="5"/>
  <c r="I24736" i="5"/>
  <c r="I24728" i="5"/>
  <c r="I24720" i="5"/>
  <c r="I24712" i="5"/>
  <c r="I24704" i="5"/>
  <c r="I24696" i="5"/>
  <c r="I24688" i="5"/>
  <c r="I24680" i="5"/>
  <c r="I24672" i="5"/>
  <c r="I24664" i="5"/>
  <c r="I24656" i="5"/>
  <c r="I24648" i="5"/>
  <c r="I24640" i="5"/>
  <c r="I24632" i="5"/>
  <c r="I24624" i="5"/>
  <c r="I24616" i="5"/>
  <c r="I24608" i="5"/>
  <c r="I24600" i="5"/>
  <c r="I24592" i="5"/>
  <c r="I24584" i="5"/>
  <c r="I24576" i="5"/>
  <c r="I24568" i="5"/>
  <c r="I24560" i="5"/>
  <c r="I24552" i="5"/>
  <c r="I24544" i="5"/>
  <c r="I24536" i="5"/>
  <c r="I24528" i="5"/>
  <c r="I24520" i="5"/>
  <c r="I35398" i="5"/>
  <c r="I34384" i="5"/>
  <c r="I33908" i="5"/>
  <c r="I33505" i="5"/>
  <c r="I33074" i="5"/>
  <c r="I32812" i="5"/>
  <c r="I32505" i="5"/>
  <c r="I32281" i="5"/>
  <c r="I32135" i="5"/>
  <c r="I31981" i="5"/>
  <c r="I31815" i="5"/>
  <c r="I31680" i="5"/>
  <c r="I31535" i="5"/>
  <c r="I31408" i="5"/>
  <c r="I31311" i="5"/>
  <c r="I31189" i="5"/>
  <c r="I31071" i="5"/>
  <c r="I30965" i="5"/>
  <c r="I30849" i="5"/>
  <c r="I30759" i="5"/>
  <c r="I30697" i="5"/>
  <c r="I30639" i="5"/>
  <c r="I30576" i="5"/>
  <c r="I30527" i="5"/>
  <c r="I30466" i="5"/>
  <c r="I30407" i="5"/>
  <c r="I30354" i="5"/>
  <c r="I30296" i="5"/>
  <c r="I30234" i="5"/>
  <c r="I30184" i="5"/>
  <c r="I30127" i="5"/>
  <c r="I30064" i="5"/>
  <c r="I30015" i="5"/>
  <c r="I29954" i="5"/>
  <c r="I29911" i="5"/>
  <c r="I29872" i="5"/>
  <c r="I29826" i="5"/>
  <c r="I29783" i="5"/>
  <c r="I29744" i="5"/>
  <c r="I29698" i="5"/>
  <c r="I29655" i="5"/>
  <c r="I29616" i="5"/>
  <c r="I29570" i="5"/>
  <c r="I29527" i="5"/>
  <c r="I29488" i="5"/>
  <c r="I29442" i="5"/>
  <c r="I29399" i="5"/>
  <c r="I29360" i="5"/>
  <c r="I29314" i="5"/>
  <c r="I29271" i="5"/>
  <c r="I29232" i="5"/>
  <c r="I29194" i="5"/>
  <c r="I29159" i="5"/>
  <c r="I29133" i="5"/>
  <c r="I29109" i="5"/>
  <c r="I29086" i="5"/>
  <c r="I29067" i="5"/>
  <c r="I29045" i="5"/>
  <c r="I29022" i="5"/>
  <c r="I29003" i="5"/>
  <c r="I28981" i="5"/>
  <c r="I28958" i="5"/>
  <c r="I28939" i="5"/>
  <c r="I28917" i="5"/>
  <c r="I28894" i="5"/>
  <c r="I28875" i="5"/>
  <c r="I28853" i="5"/>
  <c r="I28830" i="5"/>
  <c r="I28811" i="5"/>
  <c r="I28789" i="5"/>
  <c r="I28766" i="5"/>
  <c r="I28747" i="5"/>
  <c r="I28725" i="5"/>
  <c r="I28702" i="5"/>
  <c r="I28683" i="5"/>
  <c r="I28661" i="5"/>
  <c r="I28638" i="5"/>
  <c r="I28619" i="5"/>
  <c r="I28597" i="5"/>
  <c r="I28574" i="5"/>
  <c r="I28555" i="5"/>
  <c r="I28533" i="5"/>
  <c r="I28510" i="5"/>
  <c r="I28491" i="5"/>
  <c r="I28469" i="5"/>
  <c r="I28446" i="5"/>
  <c r="I28427" i="5"/>
  <c r="I28405" i="5"/>
  <c r="I28382" i="5"/>
  <c r="I28363" i="5"/>
  <c r="I28341" i="5"/>
  <c r="I28318" i="5"/>
  <c r="I28299" i="5"/>
  <c r="I28277" i="5"/>
  <c r="I28254" i="5"/>
  <c r="I28235" i="5"/>
  <c r="I28213" i="5"/>
  <c r="I28190" i="5"/>
  <c r="I28171" i="5"/>
  <c r="I28149" i="5"/>
  <c r="I28126" i="5"/>
  <c r="I28107" i="5"/>
  <c r="I28085" i="5"/>
  <c r="I28062" i="5"/>
  <c r="I28043" i="5"/>
  <c r="I28021" i="5"/>
  <c r="I27998" i="5"/>
  <c r="I27979" i="5"/>
  <c r="I27957" i="5"/>
  <c r="I27934" i="5"/>
  <c r="I27915" i="5"/>
  <c r="I27893" i="5"/>
  <c r="I27870" i="5"/>
  <c r="I27851" i="5"/>
  <c r="I27829" i="5"/>
  <c r="I27806" i="5"/>
  <c r="I27787" i="5"/>
  <c r="I27765" i="5"/>
  <c r="I27742" i="5"/>
  <c r="I27723" i="5"/>
  <c r="I27701" i="5"/>
  <c r="I27678" i="5"/>
  <c r="I27659" i="5"/>
  <c r="I27637" i="5"/>
  <c r="I27614" i="5"/>
  <c r="I27595" i="5"/>
  <c r="I27573" i="5"/>
  <c r="I27550" i="5"/>
  <c r="I27531" i="5"/>
  <c r="I27509" i="5"/>
  <c r="I27486" i="5"/>
  <c r="I27467" i="5"/>
  <c r="I27445" i="5"/>
  <c r="I27422" i="5"/>
  <c r="I27403" i="5"/>
  <c r="I27381" i="5"/>
  <c r="I27358" i="5"/>
  <c r="I27339" i="5"/>
  <c r="I27317" i="5"/>
  <c r="I27294" i="5"/>
  <c r="I27275" i="5"/>
  <c r="I27253" i="5"/>
  <c r="I27230" i="5"/>
  <c r="I27211" i="5"/>
  <c r="I27189" i="5"/>
  <c r="I27166" i="5"/>
  <c r="I27147" i="5"/>
  <c r="I27125" i="5"/>
  <c r="I27102" i="5"/>
  <c r="I27083" i="5"/>
  <c r="I27061" i="5"/>
  <c r="I27038" i="5"/>
  <c r="I35094" i="5"/>
  <c r="I34293" i="5"/>
  <c r="I33796" i="5"/>
  <c r="I33354" i="5"/>
  <c r="I33027" i="5"/>
  <c r="I32723" i="5"/>
  <c r="I32427" i="5"/>
  <c r="I32255" i="5"/>
  <c r="I32093" i="5"/>
  <c r="I31935" i="5"/>
  <c r="I31792" i="5"/>
  <c r="I31639" i="5"/>
  <c r="I31493" i="5"/>
  <c r="I31392" i="5"/>
  <c r="I31279" i="5"/>
  <c r="I31152" i="5"/>
  <c r="I31055" i="5"/>
  <c r="I30933" i="5"/>
  <c r="I30823" i="5"/>
  <c r="I30748" i="5"/>
  <c r="I30680" i="5"/>
  <c r="I30618" i="5"/>
  <c r="I30568" i="5"/>
  <c r="I30511" i="5"/>
  <c r="I30448" i="5"/>
  <c r="I30399" i="5"/>
  <c r="I30338" i="5"/>
  <c r="I30279" i="5"/>
  <c r="I30226" i="5"/>
  <c r="I30168" i="5"/>
  <c r="I30106" i="5"/>
  <c r="I30056" i="5"/>
  <c r="I29999" i="5"/>
  <c r="I29943" i="5"/>
  <c r="I29904" i="5"/>
  <c r="I29858" i="5"/>
  <c r="I29815" i="5"/>
  <c r="I29776" i="5"/>
  <c r="I29730" i="5"/>
  <c r="I29687" i="5"/>
  <c r="I29648" i="5"/>
  <c r="I29602" i="5"/>
  <c r="I29559" i="5"/>
  <c r="I29520" i="5"/>
  <c r="I29474" i="5"/>
  <c r="I29431" i="5"/>
  <c r="I29392" i="5"/>
  <c r="I29346" i="5"/>
  <c r="I29303" i="5"/>
  <c r="I29264" i="5"/>
  <c r="I29219" i="5"/>
  <c r="I29184" i="5"/>
  <c r="I29153" i="5"/>
  <c r="I29126" i="5"/>
  <c r="I29102" i="5"/>
  <c r="I29083" i="5"/>
  <c r="I29061" i="5"/>
  <c r="I29038" i="5"/>
  <c r="I29019" i="5"/>
  <c r="I28997" i="5"/>
  <c r="I28974" i="5"/>
  <c r="I28955" i="5"/>
  <c r="I28933" i="5"/>
  <c r="I28910" i="5"/>
  <c r="I28891" i="5"/>
  <c r="I28869" i="5"/>
  <c r="I28846" i="5"/>
  <c r="I28827" i="5"/>
  <c r="I28805" i="5"/>
  <c r="I28782" i="5"/>
  <c r="I28763" i="5"/>
  <c r="I28741" i="5"/>
  <c r="I28718" i="5"/>
  <c r="I28699" i="5"/>
  <c r="I28677" i="5"/>
  <c r="I28654" i="5"/>
  <c r="I28635" i="5"/>
  <c r="I28613" i="5"/>
  <c r="I28590" i="5"/>
  <c r="I28571" i="5"/>
  <c r="I28549" i="5"/>
  <c r="I28526" i="5"/>
  <c r="I28507" i="5"/>
  <c r="I28485" i="5"/>
  <c r="I28462" i="5"/>
  <c r="I28443" i="5"/>
  <c r="I28421" i="5"/>
  <c r="I28398" i="5"/>
  <c r="I28379" i="5"/>
  <c r="I28357" i="5"/>
  <c r="I28334" i="5"/>
  <c r="I28315" i="5"/>
  <c r="I28293" i="5"/>
  <c r="I28270" i="5"/>
  <c r="I28251" i="5"/>
  <c r="I28229" i="5"/>
  <c r="I28206" i="5"/>
  <c r="I28187" i="5"/>
  <c r="I28165" i="5"/>
  <c r="I28142" i="5"/>
  <c r="I28123" i="5"/>
  <c r="I28101" i="5"/>
  <c r="I28078" i="5"/>
  <c r="I28059" i="5"/>
  <c r="I28037" i="5"/>
  <c r="I28014" i="5"/>
  <c r="I27995" i="5"/>
  <c r="I27973" i="5"/>
  <c r="I27950" i="5"/>
  <c r="I27931" i="5"/>
  <c r="I27909" i="5"/>
  <c r="I27886" i="5"/>
  <c r="I27867" i="5"/>
  <c r="I27845" i="5"/>
  <c r="I27822" i="5"/>
  <c r="I27803" i="5"/>
  <c r="I27781" i="5"/>
  <c r="I27758" i="5"/>
  <c r="I27739" i="5"/>
  <c r="I27717" i="5"/>
  <c r="I27694" i="5"/>
  <c r="I27675" i="5"/>
  <c r="I27653" i="5"/>
  <c r="I27630" i="5"/>
  <c r="I27611" i="5"/>
  <c r="I27589" i="5"/>
  <c r="I27566" i="5"/>
  <c r="I27547" i="5"/>
  <c r="I27525" i="5"/>
  <c r="I27502" i="5"/>
  <c r="I27483" i="5"/>
  <c r="I27461" i="5"/>
  <c r="I27438" i="5"/>
  <c r="I27419" i="5"/>
  <c r="I27397" i="5"/>
  <c r="I27374" i="5"/>
  <c r="I27355" i="5"/>
  <c r="I27333" i="5"/>
  <c r="I27310" i="5"/>
  <c r="I27291" i="5"/>
  <c r="I27269" i="5"/>
  <c r="I27246" i="5"/>
  <c r="I27227" i="5"/>
  <c r="I27205" i="5"/>
  <c r="I27182" i="5"/>
  <c r="I27163" i="5"/>
  <c r="I27141" i="5"/>
  <c r="I27118" i="5"/>
  <c r="I27099" i="5"/>
  <c r="I27077" i="5"/>
  <c r="I27054" i="5"/>
  <c r="I27035" i="5"/>
  <c r="I27013" i="5"/>
  <c r="I26990" i="5"/>
  <c r="I26971" i="5"/>
  <c r="I26949" i="5"/>
  <c r="I26926" i="5"/>
  <c r="I26907" i="5"/>
  <c r="I26885" i="5"/>
  <c r="I26862" i="5"/>
  <c r="I26843" i="5"/>
  <c r="I26821" i="5"/>
  <c r="I26798" i="5"/>
  <c r="I26779" i="5"/>
  <c r="I26757" i="5"/>
  <c r="I26734" i="5"/>
  <c r="I26715" i="5"/>
  <c r="I26693" i="5"/>
  <c r="I26670" i="5"/>
  <c r="I26651" i="5"/>
  <c r="I26629" i="5"/>
  <c r="I26606" i="5"/>
  <c r="I26587" i="5"/>
  <c r="I26565" i="5"/>
  <c r="I26542" i="5"/>
  <c r="I26523" i="5"/>
  <c r="I26501" i="5"/>
  <c r="I26478" i="5"/>
  <c r="I26459" i="5"/>
  <c r="I26437" i="5"/>
  <c r="I26414" i="5"/>
  <c r="I26397" i="5"/>
  <c r="I26381" i="5"/>
  <c r="I26365" i="5"/>
  <c r="I26349" i="5"/>
  <c r="I26333" i="5"/>
  <c r="I26317" i="5"/>
  <c r="I26301" i="5"/>
  <c r="I26285" i="5"/>
  <c r="I26269" i="5"/>
  <c r="I26253" i="5"/>
  <c r="I26237" i="5"/>
  <c r="I26221" i="5"/>
  <c r="I26205" i="5"/>
  <c r="I26189" i="5"/>
  <c r="I26173" i="5"/>
  <c r="I26157" i="5"/>
  <c r="I26141" i="5"/>
  <c r="I26125" i="5"/>
  <c r="I26109" i="5"/>
  <c r="I26093" i="5"/>
  <c r="I26077" i="5"/>
  <c r="I26061" i="5"/>
  <c r="I26045" i="5"/>
  <c r="I26029" i="5"/>
  <c r="I26013" i="5"/>
  <c r="I25997" i="5"/>
  <c r="I25981" i="5"/>
  <c r="I25965" i="5"/>
  <c r="I25949" i="5"/>
  <c r="I25933" i="5"/>
  <c r="I25917" i="5"/>
  <c r="I25901" i="5"/>
  <c r="I25885" i="5"/>
  <c r="I25869" i="5"/>
  <c r="I25853" i="5"/>
  <c r="I25837" i="5"/>
  <c r="I25821" i="5"/>
  <c r="I25805" i="5"/>
  <c r="I25789" i="5"/>
  <c r="I25773" i="5"/>
  <c r="I25757" i="5"/>
  <c r="I25741" i="5"/>
  <c r="I25725" i="5"/>
  <c r="I25709" i="5"/>
  <c r="I25696" i="5"/>
  <c r="I25683" i="5"/>
  <c r="I25670" i="5"/>
  <c r="I25657" i="5"/>
  <c r="I25645" i="5"/>
  <c r="I25632" i="5"/>
  <c r="I25619" i="5"/>
  <c r="I25606" i="5"/>
  <c r="I25595" i="5"/>
  <c r="I25585" i="5"/>
  <c r="I25574" i="5"/>
  <c r="I25563" i="5"/>
  <c r="I25553" i="5"/>
  <c r="I25542" i="5"/>
  <c r="I25531" i="5"/>
  <c r="I25521" i="5"/>
  <c r="I25510" i="5"/>
  <c r="I25499" i="5"/>
  <c r="I25489" i="5"/>
  <c r="I25478" i="5"/>
  <c r="I25467" i="5"/>
  <c r="I25457" i="5"/>
  <c r="I25446" i="5"/>
  <c r="I25435" i="5"/>
  <c r="I25425" i="5"/>
  <c r="I25414" i="5"/>
  <c r="I25403" i="5"/>
  <c r="I25393" i="5"/>
  <c r="I25382" i="5"/>
  <c r="I25371" i="5"/>
  <c r="I25361" i="5"/>
  <c r="I25350" i="5"/>
  <c r="I25339" i="5"/>
  <c r="I25329" i="5"/>
  <c r="I25318" i="5"/>
  <c r="I25307" i="5"/>
  <c r="I25297" i="5"/>
  <c r="I25286" i="5"/>
  <c r="I25275" i="5"/>
  <c r="I25265" i="5"/>
  <c r="I25254" i="5"/>
  <c r="I25243" i="5"/>
  <c r="I25233" i="5"/>
  <c r="I25222" i="5"/>
  <c r="I25211" i="5"/>
  <c r="I25201" i="5"/>
  <c r="I25190" i="5"/>
  <c r="I25179" i="5"/>
  <c r="I25169" i="5"/>
  <c r="I25158" i="5"/>
  <c r="I25147" i="5"/>
  <c r="I25137" i="5"/>
  <c r="I25126" i="5"/>
  <c r="I25115" i="5"/>
  <c r="I25105" i="5"/>
  <c r="I25094" i="5"/>
  <c r="I25083" i="5"/>
  <c r="I25073" i="5"/>
  <c r="I25062" i="5"/>
  <c r="I25051" i="5"/>
  <c r="I25041" i="5"/>
  <c r="I25031" i="5"/>
  <c r="I25022" i="5"/>
  <c r="I25013" i="5"/>
  <c r="I25003" i="5"/>
  <c r="I24994" i="5"/>
  <c r="I24985" i="5"/>
  <c r="I24976" i="5"/>
  <c r="I24967" i="5"/>
  <c r="I24958" i="5"/>
  <c r="I24949" i="5"/>
  <c r="I24939" i="5"/>
  <c r="I24930" i="5"/>
  <c r="I24921" i="5"/>
  <c r="I24912" i="5"/>
  <c r="I24903" i="5"/>
  <c r="I24894" i="5"/>
  <c r="I24885" i="5"/>
  <c r="I24875" i="5"/>
  <c r="I24866" i="5"/>
  <c r="I24857" i="5"/>
  <c r="I24848" i="5"/>
  <c r="I24839" i="5"/>
  <c r="I24830" i="5"/>
  <c r="I24821" i="5"/>
  <c r="I24813" i="5"/>
  <c r="I24805" i="5"/>
  <c r="I24797" i="5"/>
  <c r="I24789" i="5"/>
  <c r="I24781" i="5"/>
  <c r="I24773" i="5"/>
  <c r="I24765" i="5"/>
  <c r="I24757" i="5"/>
  <c r="I24749" i="5"/>
  <c r="I24741" i="5"/>
  <c r="I24733" i="5"/>
  <c r="I24725" i="5"/>
  <c r="I24717" i="5"/>
  <c r="I24709" i="5"/>
  <c r="I24701" i="5"/>
  <c r="I24693" i="5"/>
  <c r="I24685" i="5"/>
  <c r="I24677" i="5"/>
  <c r="I24669" i="5"/>
  <c r="I24661" i="5"/>
  <c r="I24653" i="5"/>
  <c r="I24645" i="5"/>
  <c r="I24637" i="5"/>
  <c r="I24629" i="5"/>
  <c r="I24621" i="5"/>
  <c r="I24613" i="5"/>
  <c r="I24605" i="5"/>
  <c r="I24597" i="5"/>
  <c r="I24589" i="5"/>
  <c r="I24581" i="5"/>
  <c r="I24573" i="5"/>
  <c r="I35286" i="5"/>
  <c r="I33674" i="5"/>
  <c r="I32690" i="5"/>
  <c r="I32104" i="5"/>
  <c r="I31751" i="5"/>
  <c r="I31365" i="5"/>
  <c r="I31061" i="5"/>
  <c r="I30809" i="5"/>
  <c r="I30616" i="5"/>
  <c r="I30463" i="5"/>
  <c r="I30320" i="5"/>
  <c r="I30162" i="5"/>
  <c r="I30000" i="5"/>
  <c r="I29890" i="5"/>
  <c r="I29767" i="5"/>
  <c r="I29650" i="5"/>
  <c r="I29552" i="5"/>
  <c r="I29426" i="5"/>
  <c r="I29312" i="5"/>
  <c r="I29209" i="5"/>
  <c r="I29123" i="5"/>
  <c r="I29062" i="5"/>
  <c r="I29013" i="5"/>
  <c r="I28950" i="5"/>
  <c r="I28893" i="5"/>
  <c r="I28843" i="5"/>
  <c r="I28781" i="5"/>
  <c r="I28723" i="5"/>
  <c r="I28670" i="5"/>
  <c r="I28611" i="5"/>
  <c r="I28550" i="5"/>
  <c r="I28501" i="5"/>
  <c r="I28438" i="5"/>
  <c r="I28381" i="5"/>
  <c r="I28331" i="5"/>
  <c r="I28269" i="5"/>
  <c r="I28211" i="5"/>
  <c r="I28158" i="5"/>
  <c r="I28099" i="5"/>
  <c r="I28038" i="5"/>
  <c r="I27989" i="5"/>
  <c r="I27926" i="5"/>
  <c r="I27869" i="5"/>
  <c r="I27819" i="5"/>
  <c r="I27757" i="5"/>
  <c r="I27699" i="5"/>
  <c r="I27646" i="5"/>
  <c r="I27587" i="5"/>
  <c r="I27526" i="5"/>
  <c r="I27477" i="5"/>
  <c r="I27414" i="5"/>
  <c r="I27357" i="5"/>
  <c r="I27307" i="5"/>
  <c r="I27245" i="5"/>
  <c r="I27187" i="5"/>
  <c r="I27134" i="5"/>
  <c r="I27075" i="5"/>
  <c r="I27019" i="5"/>
  <c r="I26974" i="5"/>
  <c r="I26933" i="5"/>
  <c r="I26891" i="5"/>
  <c r="I26846" i="5"/>
  <c r="I26805" i="5"/>
  <c r="I26763" i="5"/>
  <c r="I26718" i="5"/>
  <c r="I26677" i="5"/>
  <c r="I26635" i="5"/>
  <c r="I26590" i="5"/>
  <c r="I26549" i="5"/>
  <c r="I26507" i="5"/>
  <c r="I26462" i="5"/>
  <c r="I26421" i="5"/>
  <c r="I26384" i="5"/>
  <c r="I26352" i="5"/>
  <c r="I26320" i="5"/>
  <c r="I26288" i="5"/>
  <c r="I26256" i="5"/>
  <c r="I26224" i="5"/>
  <c r="I26192" i="5"/>
  <c r="I26160" i="5"/>
  <c r="I26128" i="5"/>
  <c r="I26096" i="5"/>
  <c r="I26064" i="5"/>
  <c r="I26032" i="5"/>
  <c r="I26000" i="5"/>
  <c r="I25968" i="5"/>
  <c r="I25936" i="5"/>
  <c r="I25904" i="5"/>
  <c r="I25872" i="5"/>
  <c r="I25840" i="5"/>
  <c r="I25808" i="5"/>
  <c r="I25776" i="5"/>
  <c r="I25744" i="5"/>
  <c r="I25712" i="5"/>
  <c r="I25686" i="5"/>
  <c r="I25661" i="5"/>
  <c r="I25635" i="5"/>
  <c r="I25609" i="5"/>
  <c r="I25587" i="5"/>
  <c r="I25566" i="5"/>
  <c r="I25545" i="5"/>
  <c r="I25523" i="5"/>
  <c r="I25502" i="5"/>
  <c r="I25481" i="5"/>
  <c r="I25459" i="5"/>
  <c r="I25438" i="5"/>
  <c r="I25417" i="5"/>
  <c r="I25395" i="5"/>
  <c r="I25374" i="5"/>
  <c r="I25353" i="5"/>
  <c r="I25331" i="5"/>
  <c r="I25310" i="5"/>
  <c r="I25289" i="5"/>
  <c r="I25267" i="5"/>
  <c r="I25246" i="5"/>
  <c r="I25225" i="5"/>
  <c r="I25203" i="5"/>
  <c r="I25182" i="5"/>
  <c r="I25161" i="5"/>
  <c r="I25139" i="5"/>
  <c r="I25118" i="5"/>
  <c r="I25097" i="5"/>
  <c r="I25075" i="5"/>
  <c r="I25054" i="5"/>
  <c r="I25033" i="5"/>
  <c r="I25015" i="5"/>
  <c r="I24997" i="5"/>
  <c r="I24978" i="5"/>
  <c r="I24960" i="5"/>
  <c r="I24942" i="5"/>
  <c r="I24923" i="5"/>
  <c r="I24905" i="5"/>
  <c r="I24887" i="5"/>
  <c r="I24869" i="5"/>
  <c r="I24850" i="5"/>
  <c r="I24832" i="5"/>
  <c r="I24815" i="5"/>
  <c r="I24799" i="5"/>
  <c r="I24783" i="5"/>
  <c r="I24767" i="5"/>
  <c r="I24751" i="5"/>
  <c r="I24735" i="5"/>
  <c r="I24719" i="5"/>
  <c r="I24703" i="5"/>
  <c r="I24687" i="5"/>
  <c r="I24671" i="5"/>
  <c r="I24655" i="5"/>
  <c r="I24639" i="5"/>
  <c r="I24623" i="5"/>
  <c r="I24607" i="5"/>
  <c r="I24591" i="5"/>
  <c r="I24575" i="5"/>
  <c r="I24563" i="5"/>
  <c r="I24549" i="5"/>
  <c r="I24539" i="5"/>
  <c r="I24527" i="5"/>
  <c r="I24517" i="5"/>
  <c r="I24508" i="5"/>
  <c r="I24499" i="5"/>
  <c r="I24491" i="5"/>
  <c r="I24483" i="5"/>
  <c r="I24475" i="5"/>
  <c r="I24467" i="5"/>
  <c r="I24459" i="5"/>
  <c r="I24451" i="5"/>
  <c r="I24443" i="5"/>
  <c r="I24435" i="5"/>
  <c r="I24427" i="5"/>
  <c r="I24419" i="5"/>
  <c r="I24411" i="5"/>
  <c r="I24403" i="5"/>
  <c r="I24395" i="5"/>
  <c r="I24387" i="5"/>
  <c r="I24379" i="5"/>
  <c r="I24371" i="5"/>
  <c r="I24363" i="5"/>
  <c r="I24355" i="5"/>
  <c r="I24347" i="5"/>
  <c r="I24339" i="5"/>
  <c r="I24331" i="5"/>
  <c r="I24323" i="5"/>
  <c r="I24315" i="5"/>
  <c r="I24307" i="5"/>
  <c r="I24299" i="5"/>
  <c r="I24291" i="5"/>
  <c r="I24283" i="5"/>
  <c r="I24275" i="5"/>
  <c r="I24267" i="5"/>
  <c r="I24259" i="5"/>
  <c r="I24251" i="5"/>
  <c r="I24243" i="5"/>
  <c r="I24235" i="5"/>
  <c r="I24227" i="5"/>
  <c r="I24219" i="5"/>
  <c r="I24211" i="5"/>
  <c r="I24203" i="5"/>
  <c r="I24195" i="5"/>
  <c r="I24187" i="5"/>
  <c r="I24179" i="5"/>
  <c r="I24171" i="5"/>
  <c r="I24163" i="5"/>
  <c r="I24155" i="5"/>
  <c r="I24147" i="5"/>
  <c r="I24139" i="5"/>
  <c r="I24131" i="5"/>
  <c r="I24123" i="5"/>
  <c r="I24115" i="5"/>
  <c r="I24107" i="5"/>
  <c r="I24099" i="5"/>
  <c r="I24091" i="5"/>
  <c r="I24083" i="5"/>
  <c r="I24075" i="5"/>
  <c r="I24067" i="5"/>
  <c r="I24059" i="5"/>
  <c r="I24051" i="5"/>
  <c r="I24043" i="5"/>
  <c r="I24035" i="5"/>
  <c r="I24027" i="5"/>
  <c r="I24019" i="5"/>
  <c r="I24011" i="5"/>
  <c r="I24003" i="5"/>
  <c r="I23995" i="5"/>
  <c r="I23987" i="5"/>
  <c r="I23979" i="5"/>
  <c r="I23971" i="5"/>
  <c r="I23963" i="5"/>
  <c r="I23955" i="5"/>
  <c r="I23947" i="5"/>
  <c r="I23939" i="5"/>
  <c r="I23931" i="5"/>
  <c r="I23923" i="5"/>
  <c r="I23915" i="5"/>
  <c r="I23907" i="5"/>
  <c r="I23899" i="5"/>
  <c r="I23891" i="5"/>
  <c r="I23883" i="5"/>
  <c r="I23875" i="5"/>
  <c r="I23867" i="5"/>
  <c r="I23859" i="5"/>
  <c r="I23851" i="5"/>
  <c r="I23843" i="5"/>
  <c r="I23835" i="5"/>
  <c r="I23827" i="5"/>
  <c r="I23819" i="5"/>
  <c r="I23811" i="5"/>
  <c r="I23803" i="5"/>
  <c r="I23795" i="5"/>
  <c r="I23787" i="5"/>
  <c r="I23779" i="5"/>
  <c r="I23771" i="5"/>
  <c r="I23763" i="5"/>
  <c r="I23755" i="5"/>
  <c r="I23747" i="5"/>
  <c r="I23739" i="5"/>
  <c r="I23731" i="5"/>
  <c r="I23723" i="5"/>
  <c r="I23715" i="5"/>
  <c r="I23707" i="5"/>
  <c r="I23699" i="5"/>
  <c r="I23691" i="5"/>
  <c r="I23683" i="5"/>
  <c r="I23675" i="5"/>
  <c r="I23667" i="5"/>
  <c r="I23659" i="5"/>
  <c r="I23651" i="5"/>
  <c r="I23643" i="5"/>
  <c r="I23635" i="5"/>
  <c r="I23627" i="5"/>
  <c r="I23619" i="5"/>
  <c r="I23611" i="5"/>
  <c r="I23603" i="5"/>
  <c r="I23595" i="5"/>
  <c r="I23587" i="5"/>
  <c r="I23579" i="5"/>
  <c r="I23571" i="5"/>
  <c r="I23563" i="5"/>
  <c r="I23555" i="5"/>
  <c r="I23547" i="5"/>
  <c r="I23539" i="5"/>
  <c r="I23531" i="5"/>
  <c r="I23523" i="5"/>
  <c r="I23515" i="5"/>
  <c r="I23507" i="5"/>
  <c r="I23499" i="5"/>
  <c r="I23491" i="5"/>
  <c r="I23483" i="5"/>
  <c r="I23475" i="5"/>
  <c r="I23467" i="5"/>
  <c r="I23459" i="5"/>
  <c r="I23451" i="5"/>
  <c r="I23443" i="5"/>
  <c r="I23435" i="5"/>
  <c r="I23427" i="5"/>
  <c r="I23419" i="5"/>
  <c r="I23411" i="5"/>
  <c r="I23403" i="5"/>
  <c r="I23395" i="5"/>
  <c r="I23387" i="5"/>
  <c r="I23379" i="5"/>
  <c r="I23371" i="5"/>
  <c r="I23363" i="5"/>
  <c r="I23355" i="5"/>
  <c r="I23347" i="5"/>
  <c r="I23339" i="5"/>
  <c r="I23331" i="5"/>
  <c r="I23323" i="5"/>
  <c r="I23315" i="5"/>
  <c r="I23307" i="5"/>
  <c r="I23299" i="5"/>
  <c r="I23291" i="5"/>
  <c r="I23283" i="5"/>
  <c r="I23275" i="5"/>
  <c r="I23267" i="5"/>
  <c r="I23259" i="5"/>
  <c r="I23251" i="5"/>
  <c r="I23243" i="5"/>
  <c r="I23235" i="5"/>
  <c r="I23227" i="5"/>
  <c r="I23219" i="5"/>
  <c r="I23211" i="5"/>
  <c r="I23203" i="5"/>
  <c r="I23195" i="5"/>
  <c r="I23187" i="5"/>
  <c r="I23179" i="5"/>
  <c r="I23171" i="5"/>
  <c r="I23163" i="5"/>
  <c r="I23155" i="5"/>
  <c r="I23147" i="5"/>
  <c r="I23139" i="5"/>
  <c r="I23131" i="5"/>
  <c r="I23123" i="5"/>
  <c r="I23115" i="5"/>
  <c r="I23107" i="5"/>
  <c r="I23099" i="5"/>
  <c r="I23091" i="5"/>
  <c r="I23083" i="5"/>
  <c r="I23075" i="5"/>
  <c r="I23067" i="5"/>
  <c r="I23059" i="5"/>
  <c r="I23051" i="5"/>
  <c r="I23043" i="5"/>
  <c r="I23035" i="5"/>
  <c r="I23027" i="5"/>
  <c r="I23019" i="5"/>
  <c r="I23011" i="5"/>
  <c r="I23003" i="5"/>
  <c r="I22995" i="5"/>
  <c r="I22987" i="5"/>
  <c r="I22979" i="5"/>
  <c r="I22971" i="5"/>
  <c r="I22963" i="5"/>
  <c r="I22955" i="5"/>
  <c r="I22947" i="5"/>
  <c r="I22939" i="5"/>
  <c r="I22931" i="5"/>
  <c r="I22923" i="5"/>
  <c r="I22915" i="5"/>
  <c r="I22907" i="5"/>
  <c r="I22899" i="5"/>
  <c r="I22891" i="5"/>
  <c r="I22883" i="5"/>
  <c r="I22875" i="5"/>
  <c r="I22867" i="5"/>
  <c r="I22859" i="5"/>
  <c r="I22851" i="5"/>
  <c r="I22843" i="5"/>
  <c r="I22835" i="5"/>
  <c r="I22827" i="5"/>
  <c r="I22819" i="5"/>
  <c r="I22811" i="5"/>
  <c r="I22803" i="5"/>
  <c r="I22795" i="5"/>
  <c r="I22787" i="5"/>
  <c r="I22779" i="5"/>
  <c r="I22771" i="5"/>
  <c r="I22763" i="5"/>
  <c r="I22755" i="5"/>
  <c r="I22747" i="5"/>
  <c r="I22739" i="5"/>
  <c r="I22731" i="5"/>
  <c r="I22723" i="5"/>
  <c r="I22715" i="5"/>
  <c r="I22707" i="5"/>
  <c r="I22699" i="5"/>
  <c r="I22691" i="5"/>
  <c r="I22683" i="5"/>
  <c r="I22675" i="5"/>
  <c r="I22667" i="5"/>
  <c r="I22659" i="5"/>
  <c r="I22651" i="5"/>
  <c r="I22643" i="5"/>
  <c r="I22635" i="5"/>
  <c r="I22627" i="5"/>
  <c r="I22619" i="5"/>
  <c r="I22611" i="5"/>
  <c r="I22603" i="5"/>
  <c r="I22595" i="5"/>
  <c r="I22587" i="5"/>
  <c r="I22579" i="5"/>
  <c r="I22571" i="5"/>
  <c r="I22563" i="5"/>
  <c r="I22555" i="5"/>
  <c r="I22547" i="5"/>
  <c r="I22539" i="5"/>
  <c r="I22531" i="5"/>
  <c r="I22523" i="5"/>
  <c r="I22515" i="5"/>
  <c r="I22507" i="5"/>
  <c r="I22499" i="5"/>
  <c r="I22491" i="5"/>
  <c r="I22483" i="5"/>
  <c r="I22475" i="5"/>
  <c r="I22467" i="5"/>
  <c r="I22459" i="5"/>
  <c r="I22451" i="5"/>
  <c r="I22443" i="5"/>
  <c r="I22435" i="5"/>
  <c r="I22427" i="5"/>
  <c r="I22419" i="5"/>
  <c r="I22411" i="5"/>
  <c r="I22403" i="5"/>
  <c r="I22395" i="5"/>
  <c r="I22387" i="5"/>
  <c r="I22379" i="5"/>
  <c r="I22371" i="5"/>
  <c r="I22363" i="5"/>
  <c r="I22355" i="5"/>
  <c r="I22347" i="5"/>
  <c r="I22339" i="5"/>
  <c r="I22331" i="5"/>
  <c r="I22323" i="5"/>
  <c r="I22315" i="5"/>
  <c r="I22307" i="5"/>
  <c r="I22299" i="5"/>
  <c r="I22291" i="5"/>
  <c r="I22283" i="5"/>
  <c r="I22275" i="5"/>
  <c r="I22267" i="5"/>
  <c r="I22259" i="5"/>
  <c r="I22251" i="5"/>
  <c r="I22243" i="5"/>
  <c r="I22235" i="5"/>
  <c r="I22227" i="5"/>
  <c r="I22219" i="5"/>
  <c r="I22211" i="5"/>
  <c r="I22203" i="5"/>
  <c r="I22195" i="5"/>
  <c r="I22187" i="5"/>
  <c r="I22179" i="5"/>
  <c r="I22171" i="5"/>
  <c r="I22163" i="5"/>
  <c r="I22155" i="5"/>
  <c r="I22147" i="5"/>
  <c r="I22139" i="5"/>
  <c r="I22131" i="5"/>
  <c r="I22123" i="5"/>
  <c r="I22115" i="5"/>
  <c r="I22107" i="5"/>
  <c r="I22099" i="5"/>
  <c r="I22091" i="5"/>
  <c r="I22083" i="5"/>
  <c r="I22075" i="5"/>
  <c r="I22067" i="5"/>
  <c r="I22059" i="5"/>
  <c r="I22051" i="5"/>
  <c r="I22043" i="5"/>
  <c r="I22035" i="5"/>
  <c r="I22027" i="5"/>
  <c r="I22019" i="5"/>
  <c r="I22011" i="5"/>
  <c r="I22003" i="5"/>
  <c r="I21995" i="5"/>
  <c r="I21987" i="5"/>
  <c r="I21979" i="5"/>
  <c r="I21971" i="5"/>
  <c r="I21963" i="5"/>
  <c r="I21955" i="5"/>
  <c r="I21947" i="5"/>
  <c r="I21939" i="5"/>
  <c r="I21931" i="5"/>
  <c r="I21923" i="5"/>
  <c r="I21915" i="5"/>
  <c r="I21907" i="5"/>
  <c r="I21899" i="5"/>
  <c r="I21891" i="5"/>
  <c r="I21883" i="5"/>
  <c r="I21875" i="5"/>
  <c r="I21867" i="5"/>
  <c r="I21859" i="5"/>
  <c r="I21851" i="5"/>
  <c r="I21843" i="5"/>
  <c r="I21835" i="5"/>
  <c r="I21827" i="5"/>
  <c r="I21819" i="5"/>
  <c r="I21811" i="5"/>
  <c r="I21803" i="5"/>
  <c r="I21795" i="5"/>
  <c r="I21787" i="5"/>
  <c r="I21779" i="5"/>
  <c r="I21771" i="5"/>
  <c r="I21763" i="5"/>
  <c r="I21755" i="5"/>
  <c r="I21747" i="5"/>
  <c r="I21739" i="5"/>
  <c r="I21731" i="5"/>
  <c r="I21723" i="5"/>
  <c r="I21715" i="5"/>
  <c r="I21707" i="5"/>
  <c r="I21699" i="5"/>
  <c r="I21691" i="5"/>
  <c r="I21683" i="5"/>
  <c r="I34992" i="5"/>
  <c r="I33457" i="5"/>
  <c r="I32611" i="5"/>
  <c r="I32085" i="5"/>
  <c r="I31645" i="5"/>
  <c r="I31360" i="5"/>
  <c r="I31024" i="5"/>
  <c r="I30756" i="5"/>
  <c r="I30610" i="5"/>
  <c r="I30447" i="5"/>
  <c r="I30290" i="5"/>
  <c r="I30151" i="5"/>
  <c r="I29992" i="5"/>
  <c r="I29863" i="5"/>
  <c r="I29762" i="5"/>
  <c r="I29639" i="5"/>
  <c r="I29522" i="5"/>
  <c r="I29424" i="5"/>
  <c r="I29298" i="5"/>
  <c r="I29192" i="5"/>
  <c r="I29118" i="5"/>
  <c r="I29059" i="5"/>
  <c r="I28998" i="5"/>
  <c r="I28949" i="5"/>
  <c r="I28886" i="5"/>
  <c r="I28829" i="5"/>
  <c r="I28779" i="5"/>
  <c r="I28717" i="5"/>
  <c r="I28659" i="5"/>
  <c r="I28606" i="5"/>
  <c r="I28547" i="5"/>
  <c r="I28486" i="5"/>
  <c r="I28437" i="5"/>
  <c r="I28374" i="5"/>
  <c r="I28317" i="5"/>
  <c r="I28267" i="5"/>
  <c r="I28205" i="5"/>
  <c r="I28147" i="5"/>
  <c r="I28094" i="5"/>
  <c r="I28035" i="5"/>
  <c r="I27974" i="5"/>
  <c r="I27925" i="5"/>
  <c r="I27862" i="5"/>
  <c r="I27805" i="5"/>
  <c r="I27755" i="5"/>
  <c r="I27693" i="5"/>
  <c r="I27635" i="5"/>
  <c r="I27582" i="5"/>
  <c r="I27523" i="5"/>
  <c r="I27462" i="5"/>
  <c r="I27413" i="5"/>
  <c r="I27350" i="5"/>
  <c r="I27293" i="5"/>
  <c r="I27243" i="5"/>
  <c r="I27181" i="5"/>
  <c r="I27123" i="5"/>
  <c r="I27070" i="5"/>
  <c r="I27014" i="5"/>
  <c r="I26973" i="5"/>
  <c r="I26931" i="5"/>
  <c r="I26886" i="5"/>
  <c r="I26845" i="5"/>
  <c r="I26803" i="5"/>
  <c r="I26758" i="5"/>
  <c r="I26717" i="5"/>
  <c r="I26675" i="5"/>
  <c r="I26630" i="5"/>
  <c r="I26589" i="5"/>
  <c r="I26547" i="5"/>
  <c r="I26502" i="5"/>
  <c r="I26461" i="5"/>
  <c r="I26419" i="5"/>
  <c r="I26382" i="5"/>
  <c r="I26350" i="5"/>
  <c r="I26318" i="5"/>
  <c r="I26286" i="5"/>
  <c r="I26254" i="5"/>
  <c r="I26222" i="5"/>
  <c r="I26190" i="5"/>
  <c r="I26158" i="5"/>
  <c r="I26126" i="5"/>
  <c r="I26094" i="5"/>
  <c r="I26062" i="5"/>
  <c r="I26030" i="5"/>
  <c r="I25998" i="5"/>
  <c r="I25966" i="5"/>
  <c r="I25934" i="5"/>
  <c r="I25902" i="5"/>
  <c r="I25870" i="5"/>
  <c r="I25838" i="5"/>
  <c r="I25806" i="5"/>
  <c r="I25774" i="5"/>
  <c r="I25742" i="5"/>
  <c r="I25710" i="5"/>
  <c r="I25685" i="5"/>
  <c r="I25659" i="5"/>
  <c r="I25633" i="5"/>
  <c r="I25608" i="5"/>
  <c r="I25586" i="5"/>
  <c r="I25565" i="5"/>
  <c r="I25544" i="5"/>
  <c r="I25522" i="5"/>
  <c r="I25501" i="5"/>
  <c r="I25480" i="5"/>
  <c r="I25458" i="5"/>
  <c r="I25437" i="5"/>
  <c r="I25416" i="5"/>
  <c r="I25394" i="5"/>
  <c r="I25373" i="5"/>
  <c r="I25352" i="5"/>
  <c r="I25330" i="5"/>
  <c r="I25309" i="5"/>
  <c r="I25288" i="5"/>
  <c r="I25266" i="5"/>
  <c r="I25245" i="5"/>
  <c r="I25224" i="5"/>
  <c r="I25202" i="5"/>
  <c r="I25181" i="5"/>
  <c r="I25160" i="5"/>
  <c r="I25138" i="5"/>
  <c r="I25117" i="5"/>
  <c r="I25096" i="5"/>
  <c r="I25074" i="5"/>
  <c r="I25053" i="5"/>
  <c r="I25032" i="5"/>
  <c r="I25014" i="5"/>
  <c r="I24995" i="5"/>
  <c r="I24977" i="5"/>
  <c r="I24959" i="5"/>
  <c r="I24941" i="5"/>
  <c r="I24922" i="5"/>
  <c r="I24904" i="5"/>
  <c r="I24886" i="5"/>
  <c r="I24867" i="5"/>
  <c r="I24849" i="5"/>
  <c r="I24831" i="5"/>
  <c r="I24814" i="5"/>
  <c r="I24798" i="5"/>
  <c r="I24782" i="5"/>
  <c r="I24766" i="5"/>
  <c r="I24750" i="5"/>
  <c r="I24734" i="5"/>
  <c r="I24718" i="5"/>
  <c r="I24702" i="5"/>
  <c r="I24686" i="5"/>
  <c r="I24670" i="5"/>
  <c r="I24654" i="5"/>
  <c r="I24638" i="5"/>
  <c r="I24622" i="5"/>
  <c r="I24606" i="5"/>
  <c r="I24590" i="5"/>
  <c r="I24574" i="5"/>
  <c r="I24559" i="5"/>
  <c r="I24548" i="5"/>
  <c r="I24537" i="5"/>
  <c r="I24526" i="5"/>
  <c r="I24516" i="5"/>
  <c r="I24507" i="5"/>
  <c r="I24498" i="5"/>
  <c r="I24490" i="5"/>
  <c r="I24482" i="5"/>
  <c r="I24474" i="5"/>
  <c r="I24466" i="5"/>
  <c r="I24458" i="5"/>
  <c r="I24450" i="5"/>
  <c r="I24442" i="5"/>
  <c r="I24434" i="5"/>
  <c r="I24426" i="5"/>
  <c r="I24418" i="5"/>
  <c r="I24410" i="5"/>
  <c r="I24402" i="5"/>
  <c r="I24394" i="5"/>
  <c r="I24386" i="5"/>
  <c r="I24378" i="5"/>
  <c r="I24370" i="5"/>
  <c r="I24362" i="5"/>
  <c r="I24354" i="5"/>
  <c r="I24346" i="5"/>
  <c r="I24338" i="5"/>
  <c r="I24330" i="5"/>
  <c r="I24322" i="5"/>
  <c r="I24314" i="5"/>
  <c r="I24306" i="5"/>
  <c r="I24298" i="5"/>
  <c r="I24290" i="5"/>
  <c r="I24282" i="5"/>
  <c r="I24274" i="5"/>
  <c r="I24266" i="5"/>
  <c r="I24258" i="5"/>
  <c r="I24250" i="5"/>
  <c r="I24242" i="5"/>
  <c r="I24234" i="5"/>
  <c r="I24226" i="5"/>
  <c r="I24218" i="5"/>
  <c r="I24210" i="5"/>
  <c r="I24202" i="5"/>
  <c r="I24194" i="5"/>
  <c r="I24186" i="5"/>
  <c r="I24178" i="5"/>
  <c r="I24170" i="5"/>
  <c r="I24162" i="5"/>
  <c r="I24154" i="5"/>
  <c r="I24146" i="5"/>
  <c r="I24138" i="5"/>
  <c r="I24130" i="5"/>
  <c r="I24122" i="5"/>
  <c r="I24114" i="5"/>
  <c r="I24106" i="5"/>
  <c r="I24098" i="5"/>
  <c r="I24090" i="5"/>
  <c r="I24082" i="5"/>
  <c r="I24074" i="5"/>
  <c r="I24066" i="5"/>
  <c r="I24058" i="5"/>
  <c r="I24050" i="5"/>
  <c r="I24042" i="5"/>
  <c r="I24034" i="5"/>
  <c r="I24026" i="5"/>
  <c r="I24018" i="5"/>
  <c r="I24010" i="5"/>
  <c r="I24002" i="5"/>
  <c r="I23994" i="5"/>
  <c r="I23986" i="5"/>
  <c r="I23978" i="5"/>
  <c r="I23970" i="5"/>
  <c r="I23962" i="5"/>
  <c r="I23954" i="5"/>
  <c r="I23946" i="5"/>
  <c r="I23938" i="5"/>
  <c r="I23930" i="5"/>
  <c r="I23922" i="5"/>
  <c r="I23914" i="5"/>
  <c r="I23906" i="5"/>
  <c r="I23898" i="5"/>
  <c r="I23890" i="5"/>
  <c r="I23882" i="5"/>
  <c r="I23874" i="5"/>
  <c r="I23866" i="5"/>
  <c r="I23858" i="5"/>
  <c r="I23850" i="5"/>
  <c r="I23842" i="5"/>
  <c r="I23834" i="5"/>
  <c r="I23826" i="5"/>
  <c r="I23818" i="5"/>
  <c r="I23810" i="5"/>
  <c r="I23802" i="5"/>
  <c r="I23794" i="5"/>
  <c r="I23786" i="5"/>
  <c r="I23778" i="5"/>
  <c r="I23770" i="5"/>
  <c r="I23762" i="5"/>
  <c r="I23754" i="5"/>
  <c r="I23746" i="5"/>
  <c r="I23738" i="5"/>
  <c r="I23730" i="5"/>
  <c r="I23722" i="5"/>
  <c r="I23714" i="5"/>
  <c r="I23706" i="5"/>
  <c r="I23698" i="5"/>
  <c r="I23690" i="5"/>
  <c r="I23682" i="5"/>
  <c r="I23674" i="5"/>
  <c r="I23666" i="5"/>
  <c r="I23658" i="5"/>
  <c r="I23650" i="5"/>
  <c r="I23642" i="5"/>
  <c r="I23634" i="5"/>
  <c r="I23626" i="5"/>
  <c r="I23618" i="5"/>
  <c r="I23610" i="5"/>
  <c r="I23602" i="5"/>
  <c r="I23594" i="5"/>
  <c r="I23586" i="5"/>
  <c r="I23578" i="5"/>
  <c r="I23570" i="5"/>
  <c r="I23562" i="5"/>
  <c r="I23554" i="5"/>
  <c r="I23546" i="5"/>
  <c r="I23538" i="5"/>
  <c r="I23530" i="5"/>
  <c r="I23522" i="5"/>
  <c r="I23514" i="5"/>
  <c r="I23506" i="5"/>
  <c r="I23498" i="5"/>
  <c r="I23490" i="5"/>
  <c r="I23482" i="5"/>
  <c r="I23474" i="5"/>
  <c r="I23466" i="5"/>
  <c r="I23458" i="5"/>
  <c r="I23450" i="5"/>
  <c r="I23442" i="5"/>
  <c r="I23434" i="5"/>
  <c r="I23426" i="5"/>
  <c r="I23418" i="5"/>
  <c r="I23410" i="5"/>
  <c r="I23402" i="5"/>
  <c r="I23394" i="5"/>
  <c r="I23386" i="5"/>
  <c r="I23378" i="5"/>
  <c r="I23370" i="5"/>
  <c r="I23362" i="5"/>
  <c r="I23354" i="5"/>
  <c r="I23346" i="5"/>
  <c r="I23338" i="5"/>
  <c r="I23330" i="5"/>
  <c r="I23322" i="5"/>
  <c r="I23314" i="5"/>
  <c r="I23306" i="5"/>
  <c r="I23298" i="5"/>
  <c r="I23290" i="5"/>
  <c r="I23282" i="5"/>
  <c r="I23274" i="5"/>
  <c r="I23266" i="5"/>
  <c r="I23258" i="5"/>
  <c r="I23250" i="5"/>
  <c r="I23242" i="5"/>
  <c r="I23234" i="5"/>
  <c r="I23226" i="5"/>
  <c r="I23218" i="5"/>
  <c r="I23210" i="5"/>
  <c r="I23202" i="5"/>
  <c r="I23194" i="5"/>
  <c r="I23186" i="5"/>
  <c r="I23178" i="5"/>
  <c r="I23170" i="5"/>
  <c r="I23162" i="5"/>
  <c r="I23154" i="5"/>
  <c r="I23146" i="5"/>
  <c r="I23138" i="5"/>
  <c r="I23130" i="5"/>
  <c r="I23122" i="5"/>
  <c r="I23114" i="5"/>
  <c r="I23106" i="5"/>
  <c r="I23098" i="5"/>
  <c r="I23090" i="5"/>
  <c r="I23082" i="5"/>
  <c r="I23074" i="5"/>
  <c r="I23066" i="5"/>
  <c r="I23058" i="5"/>
  <c r="I23050" i="5"/>
  <c r="I23042" i="5"/>
  <c r="I23034" i="5"/>
  <c r="I23026" i="5"/>
  <c r="I23018" i="5"/>
  <c r="I23010" i="5"/>
  <c r="I23002" i="5"/>
  <c r="I22994" i="5"/>
  <c r="I22986" i="5"/>
  <c r="I22978" i="5"/>
  <c r="I22970" i="5"/>
  <c r="I22962" i="5"/>
  <c r="I22954" i="5"/>
  <c r="I22946" i="5"/>
  <c r="I22938" i="5"/>
  <c r="I22930" i="5"/>
  <c r="I22922" i="5"/>
  <c r="I22914" i="5"/>
  <c r="I22906" i="5"/>
  <c r="I22898" i="5"/>
  <c r="I22890" i="5"/>
  <c r="I22882" i="5"/>
  <c r="I22874" i="5"/>
  <c r="I22866" i="5"/>
  <c r="I22858" i="5"/>
  <c r="I22850" i="5"/>
  <c r="I22842" i="5"/>
  <c r="I22834" i="5"/>
  <c r="I22826" i="5"/>
  <c r="I22818" i="5"/>
  <c r="I22810" i="5"/>
  <c r="I22802" i="5"/>
  <c r="I22794" i="5"/>
  <c r="I22786" i="5"/>
  <c r="I22778" i="5"/>
  <c r="I22770" i="5"/>
  <c r="I22762" i="5"/>
  <c r="I22754" i="5"/>
  <c r="I22746" i="5"/>
  <c r="I22738" i="5"/>
  <c r="I22730" i="5"/>
  <c r="I22722" i="5"/>
  <c r="I22714" i="5"/>
  <c r="I22706" i="5"/>
  <c r="I22698" i="5"/>
  <c r="I22690" i="5"/>
  <c r="I22682" i="5"/>
  <c r="I22674" i="5"/>
  <c r="I22666" i="5"/>
  <c r="I22658" i="5"/>
  <c r="I22650" i="5"/>
  <c r="I22642" i="5"/>
  <c r="I22634" i="5"/>
  <c r="I22626" i="5"/>
  <c r="I22618" i="5"/>
  <c r="I22610" i="5"/>
  <c r="I22602" i="5"/>
  <c r="I22594" i="5"/>
  <c r="I22586" i="5"/>
  <c r="I22578" i="5"/>
  <c r="I22570" i="5"/>
  <c r="I22562" i="5"/>
  <c r="I22554" i="5"/>
  <c r="I22546" i="5"/>
  <c r="I22538" i="5"/>
  <c r="I22530" i="5"/>
  <c r="I22522" i="5"/>
  <c r="I22514" i="5"/>
  <c r="I22506" i="5"/>
  <c r="I22498" i="5"/>
  <c r="I22490" i="5"/>
  <c r="I22482" i="5"/>
  <c r="I22474" i="5"/>
  <c r="I22466" i="5"/>
  <c r="I22458" i="5"/>
  <c r="I22450" i="5"/>
  <c r="I22442" i="5"/>
  <c r="I22434" i="5"/>
  <c r="I22426" i="5"/>
  <c r="I22418" i="5"/>
  <c r="I22410" i="5"/>
  <c r="I22402" i="5"/>
  <c r="I22394" i="5"/>
  <c r="I22386" i="5"/>
  <c r="I22378" i="5"/>
  <c r="I22370" i="5"/>
  <c r="I22362" i="5"/>
  <c r="I22354" i="5"/>
  <c r="I22346" i="5"/>
  <c r="I22338" i="5"/>
  <c r="I22330" i="5"/>
  <c r="I22322" i="5"/>
  <c r="I22314" i="5"/>
  <c r="I22306" i="5"/>
  <c r="I22298" i="5"/>
  <c r="I22290" i="5"/>
  <c r="I22282" i="5"/>
  <c r="I22274" i="5"/>
  <c r="I22266" i="5"/>
  <c r="I22258" i="5"/>
  <c r="I22250" i="5"/>
  <c r="I22242" i="5"/>
  <c r="I22234" i="5"/>
  <c r="I22226" i="5"/>
  <c r="I22218" i="5"/>
  <c r="I22210" i="5"/>
  <c r="I22202" i="5"/>
  <c r="I22194" i="5"/>
  <c r="I22186" i="5"/>
  <c r="I22178" i="5"/>
  <c r="I22170" i="5"/>
  <c r="I22162" i="5"/>
  <c r="I22154" i="5"/>
  <c r="I22146" i="5"/>
  <c r="I22138" i="5"/>
  <c r="I22130" i="5"/>
  <c r="I22122" i="5"/>
  <c r="I22114" i="5"/>
  <c r="I22106" i="5"/>
  <c r="I22098" i="5"/>
  <c r="I22090" i="5"/>
  <c r="I22082" i="5"/>
  <c r="I22074" i="5"/>
  <c r="I22066" i="5"/>
  <c r="I22058" i="5"/>
  <c r="I22050" i="5"/>
  <c r="I22042" i="5"/>
  <c r="I22034" i="5"/>
  <c r="I22026" i="5"/>
  <c r="I22018" i="5"/>
  <c r="I22010" i="5"/>
  <c r="I22002" i="5"/>
  <c r="I21994" i="5"/>
  <c r="I21986" i="5"/>
  <c r="I21978" i="5"/>
  <c r="I21970" i="5"/>
  <c r="I21962" i="5"/>
  <c r="I21954" i="5"/>
  <c r="I21946" i="5"/>
  <c r="I21938" i="5"/>
  <c r="I21930" i="5"/>
  <c r="I21922" i="5"/>
  <c r="I21914" i="5"/>
  <c r="I21906" i="5"/>
  <c r="I21898" i="5"/>
  <c r="I21890" i="5"/>
  <c r="I21882" i="5"/>
  <c r="I21874" i="5"/>
  <c r="I21866" i="5"/>
  <c r="I21858" i="5"/>
  <c r="I21850" i="5"/>
  <c r="I21842" i="5"/>
  <c r="I21834" i="5"/>
  <c r="I21826" i="5"/>
  <c r="I21818" i="5"/>
  <c r="I21810" i="5"/>
  <c r="I21802" i="5"/>
  <c r="I21794" i="5"/>
  <c r="I21786" i="5"/>
  <c r="I21778" i="5"/>
  <c r="I21770" i="5"/>
  <c r="I21762" i="5"/>
  <c r="I21754" i="5"/>
  <c r="I21746" i="5"/>
  <c r="I21738" i="5"/>
  <c r="I21730" i="5"/>
  <c r="I21722" i="5"/>
  <c r="I21714" i="5"/>
  <c r="I21706" i="5"/>
  <c r="I21698" i="5"/>
  <c r="I21690" i="5"/>
  <c r="I21682" i="5"/>
  <c r="I21674" i="5"/>
  <c r="I21666" i="5"/>
  <c r="I21658" i="5"/>
  <c r="I21650" i="5"/>
  <c r="I21642" i="5"/>
  <c r="I21634" i="5"/>
  <c r="I21626" i="5"/>
  <c r="I21618" i="5"/>
  <c r="I21610" i="5"/>
  <c r="I21602" i="5"/>
  <c r="I21594" i="5"/>
  <c r="I21586" i="5"/>
  <c r="I21578" i="5"/>
  <c r="I21570" i="5"/>
  <c r="I21562" i="5"/>
  <c r="I21554" i="5"/>
  <c r="I21546" i="5"/>
  <c r="I21538" i="5"/>
  <c r="I21530" i="5"/>
  <c r="I21522" i="5"/>
  <c r="I21514" i="5"/>
  <c r="I21506" i="5"/>
  <c r="I21498" i="5"/>
  <c r="I21490" i="5"/>
  <c r="I21482" i="5"/>
  <c r="I21474" i="5"/>
  <c r="I21466" i="5"/>
  <c r="I21458" i="5"/>
  <c r="I21450" i="5"/>
  <c r="I21442" i="5"/>
  <c r="I21434" i="5"/>
  <c r="I21426" i="5"/>
  <c r="I21418" i="5"/>
  <c r="I21410" i="5"/>
  <c r="I21402" i="5"/>
  <c r="I21394" i="5"/>
  <c r="I21386" i="5"/>
  <c r="I21378" i="5"/>
  <c r="I21370" i="5"/>
  <c r="I21362" i="5"/>
  <c r="I21354" i="5"/>
  <c r="I21346" i="5"/>
  <c r="I21338" i="5"/>
  <c r="I21330" i="5"/>
  <c r="I21322" i="5"/>
  <c r="I21314" i="5"/>
  <c r="I21306" i="5"/>
  <c r="I21298" i="5"/>
  <c r="I21290" i="5"/>
  <c r="I21282" i="5"/>
  <c r="I21274" i="5"/>
  <c r="I21266" i="5"/>
  <c r="I21258" i="5"/>
  <c r="I21250" i="5"/>
  <c r="I21242" i="5"/>
  <c r="I21234" i="5"/>
  <c r="I21226" i="5"/>
  <c r="I21218" i="5"/>
  <c r="I21210" i="5"/>
  <c r="I21202" i="5"/>
  <c r="I21194" i="5"/>
  <c r="I21186" i="5"/>
  <c r="I21178" i="5"/>
  <c r="I21170" i="5"/>
  <c r="I21162" i="5"/>
  <c r="I21154" i="5"/>
  <c r="I21146" i="5"/>
  <c r="I21138" i="5"/>
  <c r="I21130" i="5"/>
  <c r="I21122" i="5"/>
  <c r="I21114" i="5"/>
  <c r="I21106" i="5"/>
  <c r="I21098" i="5"/>
  <c r="I21090" i="5"/>
  <c r="I21082" i="5"/>
  <c r="I21074" i="5"/>
  <c r="I21066" i="5"/>
  <c r="I21058" i="5"/>
  <c r="I21050" i="5"/>
  <c r="I21042" i="5"/>
  <c r="I21034" i="5"/>
  <c r="I21026" i="5"/>
  <c r="I21018" i="5"/>
  <c r="I21010" i="5"/>
  <c r="I21002" i="5"/>
  <c r="I20994" i="5"/>
  <c r="I20986" i="5"/>
  <c r="I20978" i="5"/>
  <c r="I20970" i="5"/>
  <c r="I20962" i="5"/>
  <c r="I20954" i="5"/>
  <c r="I20946" i="5"/>
  <c r="I20938" i="5"/>
  <c r="I20930" i="5"/>
  <c r="I20922" i="5"/>
  <c r="I20914" i="5"/>
  <c r="I20906" i="5"/>
  <c r="I20898" i="5"/>
  <c r="I20890" i="5"/>
  <c r="I20882" i="5"/>
  <c r="I20874" i="5"/>
  <c r="I20866" i="5"/>
  <c r="I20858" i="5"/>
  <c r="I20850" i="5"/>
  <c r="I20842" i="5"/>
  <c r="I20834" i="5"/>
  <c r="I20826" i="5"/>
  <c r="I20818" i="5"/>
  <c r="I20810" i="5"/>
  <c r="I20802" i="5"/>
  <c r="I20794" i="5"/>
  <c r="I20786" i="5"/>
  <c r="I20778" i="5"/>
  <c r="I20770" i="5"/>
  <c r="I20762" i="5"/>
  <c r="I20754" i="5"/>
  <c r="I20746" i="5"/>
  <c r="I20738" i="5"/>
  <c r="I20730" i="5"/>
  <c r="I20722" i="5"/>
  <c r="I20714" i="5"/>
  <c r="I20706" i="5"/>
  <c r="I20698" i="5"/>
  <c r="I20690" i="5"/>
  <c r="I20682" i="5"/>
  <c r="I20674" i="5"/>
  <c r="I20666" i="5"/>
  <c r="I20658" i="5"/>
  <c r="I20650" i="5"/>
  <c r="I20642" i="5"/>
  <c r="I20634" i="5"/>
  <c r="I20626" i="5"/>
  <c r="I20618" i="5"/>
  <c r="I20610" i="5"/>
  <c r="I20602" i="5"/>
  <c r="I20594" i="5"/>
  <c r="I20586" i="5"/>
  <c r="I20578" i="5"/>
  <c r="I20570" i="5"/>
  <c r="I20562" i="5"/>
  <c r="I20554" i="5"/>
  <c r="I20546" i="5"/>
  <c r="I20538" i="5"/>
  <c r="I20530" i="5"/>
  <c r="I20522" i="5"/>
  <c r="I20514" i="5"/>
  <c r="I20506" i="5"/>
  <c r="I20498" i="5"/>
  <c r="I20490" i="5"/>
  <c r="I20482" i="5"/>
  <c r="I20474" i="5"/>
  <c r="I20466" i="5"/>
  <c r="I20458" i="5"/>
  <c r="I20450" i="5"/>
  <c r="I20442" i="5"/>
  <c r="I20434" i="5"/>
  <c r="I20426" i="5"/>
  <c r="I20418" i="5"/>
  <c r="I20410" i="5"/>
  <c r="I20402" i="5"/>
  <c r="I20394" i="5"/>
  <c r="I20386" i="5"/>
  <c r="I20378" i="5"/>
  <c r="I20370" i="5"/>
  <c r="I20362" i="5"/>
  <c r="I20354" i="5"/>
  <c r="I20346" i="5"/>
  <c r="I20338" i="5"/>
  <c r="I20330" i="5"/>
  <c r="I20322" i="5"/>
  <c r="I34942" i="5"/>
  <c r="I33337" i="5"/>
  <c r="I32491" i="5"/>
  <c r="I32045" i="5"/>
  <c r="I31623" i="5"/>
  <c r="I31280" i="5"/>
  <c r="I31023" i="5"/>
  <c r="I30733" i="5"/>
  <c r="I30575" i="5"/>
  <c r="I30440" i="5"/>
  <c r="I30274" i="5"/>
  <c r="I30120" i="5"/>
  <c r="I29978" i="5"/>
  <c r="I29856" i="5"/>
  <c r="I29735" i="5"/>
  <c r="I29634" i="5"/>
  <c r="I29511" i="5"/>
  <c r="I29394" i="5"/>
  <c r="I29296" i="5"/>
  <c r="I29183" i="5"/>
  <c r="I29107" i="5"/>
  <c r="I29054" i="5"/>
  <c r="I28995" i="5"/>
  <c r="I28934" i="5"/>
  <c r="I28885" i="5"/>
  <c r="I28822" i="5"/>
  <c r="I28765" i="5"/>
  <c r="I28715" i="5"/>
  <c r="I28653" i="5"/>
  <c r="I28595" i="5"/>
  <c r="I28542" i="5"/>
  <c r="I28483" i="5"/>
  <c r="I28422" i="5"/>
  <c r="I28373" i="5"/>
  <c r="I28310" i="5"/>
  <c r="I28253" i="5"/>
  <c r="I28203" i="5"/>
  <c r="I28141" i="5"/>
  <c r="I28083" i="5"/>
  <c r="I28030" i="5"/>
  <c r="I27971" i="5"/>
  <c r="I27910" i="5"/>
  <c r="I27861" i="5"/>
  <c r="I27798" i="5"/>
  <c r="I27741" i="5"/>
  <c r="I27691" i="5"/>
  <c r="I27629" i="5"/>
  <c r="I27571" i="5"/>
  <c r="I27518" i="5"/>
  <c r="I27459" i="5"/>
  <c r="I27398" i="5"/>
  <c r="I27349" i="5"/>
  <c r="I27286" i="5"/>
  <c r="I27229" i="5"/>
  <c r="I27179" i="5"/>
  <c r="I27117" i="5"/>
  <c r="I27059" i="5"/>
  <c r="I27011" i="5"/>
  <c r="I26966" i="5"/>
  <c r="I26925" i="5"/>
  <c r="I26883" i="5"/>
  <c r="I26838" i="5"/>
  <c r="I26797" i="5"/>
  <c r="I26755" i="5"/>
  <c r="I26710" i="5"/>
  <c r="I26669" i="5"/>
  <c r="I26627" i="5"/>
  <c r="I26582" i="5"/>
  <c r="I26541" i="5"/>
  <c r="I26499" i="5"/>
  <c r="I26454" i="5"/>
  <c r="I26413" i="5"/>
  <c r="I26379" i="5"/>
  <c r="I26347" i="5"/>
  <c r="I26315" i="5"/>
  <c r="I26283" i="5"/>
  <c r="I26251" i="5"/>
  <c r="I26219" i="5"/>
  <c r="I26187" i="5"/>
  <c r="I26155" i="5"/>
  <c r="I26123" i="5"/>
  <c r="I26091" i="5"/>
  <c r="I26059" i="5"/>
  <c r="I26027" i="5"/>
  <c r="I25995" i="5"/>
  <c r="I25963" i="5"/>
  <c r="I25931" i="5"/>
  <c r="I25899" i="5"/>
  <c r="I25867" i="5"/>
  <c r="I25835" i="5"/>
  <c r="I25803" i="5"/>
  <c r="I25771" i="5"/>
  <c r="I25739" i="5"/>
  <c r="I25707" i="5"/>
  <c r="I25681" i="5"/>
  <c r="I25656" i="5"/>
  <c r="I25630" i="5"/>
  <c r="I25605" i="5"/>
  <c r="I25584" i="5"/>
  <c r="I25562" i="5"/>
  <c r="I25541" i="5"/>
  <c r="I25520" i="5"/>
  <c r="I25498" i="5"/>
  <c r="I25477" i="5"/>
  <c r="I25456" i="5"/>
  <c r="I25434" i="5"/>
  <c r="I25413" i="5"/>
  <c r="I25392" i="5"/>
  <c r="I25370" i="5"/>
  <c r="I25349" i="5"/>
  <c r="I25328" i="5"/>
  <c r="I25306" i="5"/>
  <c r="I25285" i="5"/>
  <c r="I25264" i="5"/>
  <c r="I25242" i="5"/>
  <c r="I25221" i="5"/>
  <c r="I25200" i="5"/>
  <c r="I25178" i="5"/>
  <c r="I25157" i="5"/>
  <c r="I25136" i="5"/>
  <c r="I25114" i="5"/>
  <c r="I25093" i="5"/>
  <c r="I25072" i="5"/>
  <c r="I25050" i="5"/>
  <c r="I25030" i="5"/>
  <c r="I25011" i="5"/>
  <c r="I24993" i="5"/>
  <c r="I24975" i="5"/>
  <c r="I24957" i="5"/>
  <c r="I24938" i="5"/>
  <c r="I24920" i="5"/>
  <c r="I24902" i="5"/>
  <c r="I24883" i="5"/>
  <c r="I24865" i="5"/>
  <c r="I24847" i="5"/>
  <c r="I24829" i="5"/>
  <c r="I24812" i="5"/>
  <c r="I24796" i="5"/>
  <c r="I24780" i="5"/>
  <c r="I24764" i="5"/>
  <c r="I24748" i="5"/>
  <c r="I24732" i="5"/>
  <c r="I24716" i="5"/>
  <c r="I24700" i="5"/>
  <c r="I24684" i="5"/>
  <c r="I24668" i="5"/>
  <c r="I24652" i="5"/>
  <c r="I24636" i="5"/>
  <c r="I24620" i="5"/>
  <c r="I24604" i="5"/>
  <c r="I24588" i="5"/>
  <c r="I24572" i="5"/>
  <c r="I24558" i="5"/>
  <c r="I24547" i="5"/>
  <c r="I24535" i="5"/>
  <c r="I24525" i="5"/>
  <c r="I24515" i="5"/>
  <c r="I24505" i="5"/>
  <c r="I24497" i="5"/>
  <c r="I24489" i="5"/>
  <c r="I24481" i="5"/>
  <c r="I24473" i="5"/>
  <c r="I24465" i="5"/>
  <c r="I24457" i="5"/>
  <c r="I24449" i="5"/>
  <c r="I24441" i="5"/>
  <c r="I24433" i="5"/>
  <c r="I24425" i="5"/>
  <c r="I24417" i="5"/>
  <c r="I24409" i="5"/>
  <c r="I24401" i="5"/>
  <c r="I24393" i="5"/>
  <c r="I24385" i="5"/>
  <c r="I24377" i="5"/>
  <c r="I24369" i="5"/>
  <c r="I24361" i="5"/>
  <c r="I24353" i="5"/>
  <c r="I24345" i="5"/>
  <c r="I24337" i="5"/>
  <c r="I24329" i="5"/>
  <c r="I24321" i="5"/>
  <c r="I24313" i="5"/>
  <c r="I24305" i="5"/>
  <c r="I24297" i="5"/>
  <c r="I24289" i="5"/>
  <c r="I24281" i="5"/>
  <c r="I24273" i="5"/>
  <c r="I24265" i="5"/>
  <c r="I24257" i="5"/>
  <c r="I24249" i="5"/>
  <c r="I24241" i="5"/>
  <c r="I24233" i="5"/>
  <c r="I24225" i="5"/>
  <c r="I24217" i="5"/>
  <c r="I24209" i="5"/>
  <c r="I24201" i="5"/>
  <c r="I24193" i="5"/>
  <c r="I24185" i="5"/>
  <c r="I24177" i="5"/>
  <c r="I24169" i="5"/>
  <c r="I24161" i="5"/>
  <c r="I24153" i="5"/>
  <c r="I24145" i="5"/>
  <c r="I24137" i="5"/>
  <c r="I24129" i="5"/>
  <c r="I24121" i="5"/>
  <c r="I24113" i="5"/>
  <c r="I24105" i="5"/>
  <c r="I24097" i="5"/>
  <c r="I24089" i="5"/>
  <c r="I24081" i="5"/>
  <c r="I24073" i="5"/>
  <c r="I24065" i="5"/>
  <c r="I24057" i="5"/>
  <c r="I24049" i="5"/>
  <c r="I24041" i="5"/>
  <c r="I24033" i="5"/>
  <c r="I24025" i="5"/>
  <c r="I24017" i="5"/>
  <c r="I24009" i="5"/>
  <c r="I24001" i="5"/>
  <c r="I23993" i="5"/>
  <c r="I23985" i="5"/>
  <c r="I23977" i="5"/>
  <c r="I23969" i="5"/>
  <c r="I23961" i="5"/>
  <c r="I23953" i="5"/>
  <c r="I23945" i="5"/>
  <c r="I23937" i="5"/>
  <c r="I23929" i="5"/>
  <c r="I23921" i="5"/>
  <c r="I23913" i="5"/>
  <c r="I23905" i="5"/>
  <c r="I23897" i="5"/>
  <c r="I23889" i="5"/>
  <c r="I23881" i="5"/>
  <c r="I23873" i="5"/>
  <c r="I23865" i="5"/>
  <c r="I23857" i="5"/>
  <c r="I23849" i="5"/>
  <c r="I23841" i="5"/>
  <c r="I23833" i="5"/>
  <c r="I23825" i="5"/>
  <c r="I23817" i="5"/>
  <c r="I23809" i="5"/>
  <c r="I23801" i="5"/>
  <c r="I23793" i="5"/>
  <c r="I23785" i="5"/>
  <c r="I23777" i="5"/>
  <c r="I23769" i="5"/>
  <c r="I23761" i="5"/>
  <c r="I23753" i="5"/>
  <c r="I23745" i="5"/>
  <c r="I23737" i="5"/>
  <c r="I23729" i="5"/>
  <c r="I23721" i="5"/>
  <c r="I23713" i="5"/>
  <c r="I23705" i="5"/>
  <c r="I23697" i="5"/>
  <c r="I23689" i="5"/>
  <c r="I23681" i="5"/>
  <c r="I23673" i="5"/>
  <c r="I23665" i="5"/>
  <c r="I23657" i="5"/>
  <c r="I23649" i="5"/>
  <c r="I23641" i="5"/>
  <c r="I23633" i="5"/>
  <c r="I23625" i="5"/>
  <c r="I23617" i="5"/>
  <c r="I23609" i="5"/>
  <c r="I23601" i="5"/>
  <c r="I23593" i="5"/>
  <c r="I23585" i="5"/>
  <c r="I23577" i="5"/>
  <c r="I23569" i="5"/>
  <c r="I23561" i="5"/>
  <c r="I23553" i="5"/>
  <c r="I23545" i="5"/>
  <c r="I23537" i="5"/>
  <c r="I23529" i="5"/>
  <c r="I23521" i="5"/>
  <c r="I23513" i="5"/>
  <c r="I23505" i="5"/>
  <c r="I23497" i="5"/>
  <c r="I23489" i="5"/>
  <c r="I23481" i="5"/>
  <c r="I23473" i="5"/>
  <c r="I23465" i="5"/>
  <c r="I23457" i="5"/>
  <c r="I23449" i="5"/>
  <c r="I23441" i="5"/>
  <c r="I23433" i="5"/>
  <c r="I23425" i="5"/>
  <c r="I23417" i="5"/>
  <c r="I23409" i="5"/>
  <c r="I23401" i="5"/>
  <c r="I23393" i="5"/>
  <c r="I23385" i="5"/>
  <c r="I23377" i="5"/>
  <c r="I23369" i="5"/>
  <c r="I23361" i="5"/>
  <c r="I23353" i="5"/>
  <c r="I23345" i="5"/>
  <c r="I23337" i="5"/>
  <c r="I23329" i="5"/>
  <c r="I23321" i="5"/>
  <c r="I23313" i="5"/>
  <c r="I23305" i="5"/>
  <c r="I23297" i="5"/>
  <c r="I23289" i="5"/>
  <c r="I23281" i="5"/>
  <c r="I23273" i="5"/>
  <c r="I23265" i="5"/>
  <c r="I23257" i="5"/>
  <c r="I23249" i="5"/>
  <c r="I23241" i="5"/>
  <c r="I23233" i="5"/>
  <c r="I23225" i="5"/>
  <c r="I23217" i="5"/>
  <c r="I23209" i="5"/>
  <c r="I23201" i="5"/>
  <c r="I23193" i="5"/>
  <c r="I23185" i="5"/>
  <c r="I23177" i="5"/>
  <c r="I23169" i="5"/>
  <c r="I23161" i="5"/>
  <c r="I23153" i="5"/>
  <c r="I23145" i="5"/>
  <c r="I23137" i="5"/>
  <c r="I23129" i="5"/>
  <c r="I23121" i="5"/>
  <c r="I23113" i="5"/>
  <c r="I23105" i="5"/>
  <c r="I23097" i="5"/>
  <c r="I23089" i="5"/>
  <c r="I23081" i="5"/>
  <c r="I23073" i="5"/>
  <c r="I23065" i="5"/>
  <c r="I23057" i="5"/>
  <c r="I23049" i="5"/>
  <c r="I23041" i="5"/>
  <c r="I23033" i="5"/>
  <c r="I23025" i="5"/>
  <c r="I23017" i="5"/>
  <c r="I23009" i="5"/>
  <c r="I23001" i="5"/>
  <c r="I22993" i="5"/>
  <c r="I22985" i="5"/>
  <c r="I22977" i="5"/>
  <c r="I22969" i="5"/>
  <c r="I22961" i="5"/>
  <c r="I22953" i="5"/>
  <c r="I22945" i="5"/>
  <c r="I22937" i="5"/>
  <c r="I22929" i="5"/>
  <c r="I22921" i="5"/>
  <c r="I22913" i="5"/>
  <c r="I22905" i="5"/>
  <c r="I22897" i="5"/>
  <c r="I22889" i="5"/>
  <c r="I22881" i="5"/>
  <c r="I22873" i="5"/>
  <c r="I22865" i="5"/>
  <c r="I22857" i="5"/>
  <c r="I22849" i="5"/>
  <c r="I22841" i="5"/>
  <c r="I22833" i="5"/>
  <c r="I22825" i="5"/>
  <c r="I22817" i="5"/>
  <c r="I22809" i="5"/>
  <c r="I22801" i="5"/>
  <c r="I22793" i="5"/>
  <c r="I22785" i="5"/>
  <c r="I22777" i="5"/>
  <c r="I22769" i="5"/>
  <c r="I22761" i="5"/>
  <c r="I22753" i="5"/>
  <c r="I22745" i="5"/>
  <c r="I22737" i="5"/>
  <c r="I22729" i="5"/>
  <c r="I22721" i="5"/>
  <c r="I22713" i="5"/>
  <c r="I22705" i="5"/>
  <c r="I22697" i="5"/>
  <c r="I22689" i="5"/>
  <c r="I22681" i="5"/>
  <c r="I22673" i="5"/>
  <c r="I22665" i="5"/>
  <c r="I22657" i="5"/>
  <c r="I22649" i="5"/>
  <c r="I22641" i="5"/>
  <c r="I22633" i="5"/>
  <c r="I22625" i="5"/>
  <c r="I22617" i="5"/>
  <c r="I22609" i="5"/>
  <c r="I22601" i="5"/>
  <c r="I22593" i="5"/>
  <c r="I22585" i="5"/>
  <c r="I22577" i="5"/>
  <c r="I22569" i="5"/>
  <c r="I22561" i="5"/>
  <c r="I22553" i="5"/>
  <c r="I22545" i="5"/>
  <c r="I22537" i="5"/>
  <c r="I22529" i="5"/>
  <c r="I22521" i="5"/>
  <c r="I22513" i="5"/>
  <c r="I22505" i="5"/>
  <c r="I22497" i="5"/>
  <c r="I22489" i="5"/>
  <c r="I22481" i="5"/>
  <c r="I22473" i="5"/>
  <c r="I22465" i="5"/>
  <c r="I22457" i="5"/>
  <c r="I22449" i="5"/>
  <c r="I22441" i="5"/>
  <c r="I22433" i="5"/>
  <c r="I22425" i="5"/>
  <c r="I22417" i="5"/>
  <c r="I22409" i="5"/>
  <c r="I22401" i="5"/>
  <c r="I22393" i="5"/>
  <c r="I22385" i="5"/>
  <c r="I22377" i="5"/>
  <c r="I22369" i="5"/>
  <c r="I22361" i="5"/>
  <c r="I22353" i="5"/>
  <c r="I22345" i="5"/>
  <c r="I22337" i="5"/>
  <c r="I22329" i="5"/>
  <c r="I22321" i="5"/>
  <c r="I22313" i="5"/>
  <c r="I22305" i="5"/>
  <c r="I22297" i="5"/>
  <c r="I22289" i="5"/>
  <c r="I22281" i="5"/>
  <c r="I22273" i="5"/>
  <c r="I22265" i="5"/>
  <c r="I22257" i="5"/>
  <c r="I22249" i="5"/>
  <c r="I22241" i="5"/>
  <c r="I22233" i="5"/>
  <c r="I22225" i="5"/>
  <c r="I22217" i="5"/>
  <c r="I22209" i="5"/>
  <c r="I22201" i="5"/>
  <c r="I22193" i="5"/>
  <c r="I22185" i="5"/>
  <c r="I22177" i="5"/>
  <c r="I22169" i="5"/>
  <c r="I22161" i="5"/>
  <c r="I22153" i="5"/>
  <c r="I22145" i="5"/>
  <c r="I22137" i="5"/>
  <c r="I22129" i="5"/>
  <c r="I22121" i="5"/>
  <c r="I22113" i="5"/>
  <c r="I22105" i="5"/>
  <c r="I22097" i="5"/>
  <c r="I22089" i="5"/>
  <c r="I22081" i="5"/>
  <c r="I22073" i="5"/>
  <c r="I22065" i="5"/>
  <c r="I22057" i="5"/>
  <c r="I22049" i="5"/>
  <c r="I22041" i="5"/>
  <c r="I22033" i="5"/>
  <c r="I22025" i="5"/>
  <c r="I22017" i="5"/>
  <c r="I22009" i="5"/>
  <c r="I22001" i="5"/>
  <c r="I21993" i="5"/>
  <c r="I21985" i="5"/>
  <c r="I21977" i="5"/>
  <c r="I21969" i="5"/>
  <c r="I21961" i="5"/>
  <c r="I21953" i="5"/>
  <c r="I21945" i="5"/>
  <c r="I21937" i="5"/>
  <c r="I21929" i="5"/>
  <c r="I21921" i="5"/>
  <c r="I21913" i="5"/>
  <c r="I21905" i="5"/>
  <c r="I21897" i="5"/>
  <c r="I21889" i="5"/>
  <c r="I21881" i="5"/>
  <c r="I21873" i="5"/>
  <c r="I21865" i="5"/>
  <c r="I21857" i="5"/>
  <c r="I21849" i="5"/>
  <c r="I21841" i="5"/>
  <c r="I21833" i="5"/>
  <c r="I21825" i="5"/>
  <c r="I21817" i="5"/>
  <c r="I21809" i="5"/>
  <c r="I21801" i="5"/>
  <c r="I21793" i="5"/>
  <c r="I21785" i="5"/>
  <c r="I21777" i="5"/>
  <c r="I21769" i="5"/>
  <c r="I21761" i="5"/>
  <c r="I21753" i="5"/>
  <c r="I21745" i="5"/>
  <c r="I21737" i="5"/>
  <c r="I21729" i="5"/>
  <c r="I21721" i="5"/>
  <c r="I21713" i="5"/>
  <c r="I21705" i="5"/>
  <c r="I21697" i="5"/>
  <c r="I21689" i="5"/>
  <c r="I21681" i="5"/>
  <c r="I21673" i="5"/>
  <c r="I21665" i="5"/>
  <c r="I21657" i="5"/>
  <c r="I21649" i="5"/>
  <c r="I21641" i="5"/>
  <c r="I21633" i="5"/>
  <c r="I21625" i="5"/>
  <c r="I21617" i="5"/>
  <c r="I21609" i="5"/>
  <c r="I21601" i="5"/>
  <c r="I21593" i="5"/>
  <c r="I21585" i="5"/>
  <c r="I21577" i="5"/>
  <c r="I21569" i="5"/>
  <c r="I21561" i="5"/>
  <c r="I21553" i="5"/>
  <c r="I21545" i="5"/>
  <c r="I21537" i="5"/>
  <c r="I21529" i="5"/>
  <c r="I21521" i="5"/>
  <c r="I21513" i="5"/>
  <c r="I21505" i="5"/>
  <c r="I21497" i="5"/>
  <c r="I21489" i="5"/>
  <c r="I21481" i="5"/>
  <c r="I21473" i="5"/>
  <c r="I21465" i="5"/>
  <c r="I21457" i="5"/>
  <c r="I21449" i="5"/>
  <c r="I21441" i="5"/>
  <c r="I21433" i="5"/>
  <c r="I21425" i="5"/>
  <c r="I21417" i="5"/>
  <c r="I21409" i="5"/>
  <c r="I21401" i="5"/>
  <c r="I21393" i="5"/>
  <c r="I21385" i="5"/>
  <c r="I21377" i="5"/>
  <c r="I21369" i="5"/>
  <c r="I21361" i="5"/>
  <c r="I21353" i="5"/>
  <c r="I21345" i="5"/>
  <c r="I21337" i="5"/>
  <c r="I21329" i="5"/>
  <c r="I21321" i="5"/>
  <c r="I21313" i="5"/>
  <c r="I21305" i="5"/>
  <c r="I21297" i="5"/>
  <c r="I21289" i="5"/>
  <c r="I21281" i="5"/>
  <c r="I21273" i="5"/>
  <c r="I21265" i="5"/>
  <c r="I21257" i="5"/>
  <c r="I21249" i="5"/>
  <c r="I21241" i="5"/>
  <c r="I21233" i="5"/>
  <c r="I21225" i="5"/>
  <c r="I21217" i="5"/>
  <c r="I21209" i="5"/>
  <c r="I21201" i="5"/>
  <c r="I21193" i="5"/>
  <c r="I21185" i="5"/>
  <c r="I21177" i="5"/>
  <c r="I21169" i="5"/>
  <c r="I21161" i="5"/>
  <c r="I21153" i="5"/>
  <c r="I21145" i="5"/>
  <c r="I21137" i="5"/>
  <c r="I21129" i="5"/>
  <c r="I21121" i="5"/>
  <c r="I21113" i="5"/>
  <c r="I21105" i="5"/>
  <c r="I21097" i="5"/>
  <c r="I21089" i="5"/>
  <c r="I21081" i="5"/>
  <c r="I21073" i="5"/>
  <c r="I21065" i="5"/>
  <c r="I21057" i="5"/>
  <c r="I21049" i="5"/>
  <c r="I21041" i="5"/>
  <c r="I21033" i="5"/>
  <c r="I21025" i="5"/>
  <c r="I21017" i="5"/>
  <c r="I21009" i="5"/>
  <c r="I21001" i="5"/>
  <c r="I20993" i="5"/>
  <c r="I20985" i="5"/>
  <c r="I20977" i="5"/>
  <c r="I20969" i="5"/>
  <c r="I20961" i="5"/>
  <c r="I20953" i="5"/>
  <c r="I20945" i="5"/>
  <c r="I20937" i="5"/>
  <c r="I20929" i="5"/>
  <c r="I20921" i="5"/>
  <c r="I20913" i="5"/>
  <c r="I20905" i="5"/>
  <c r="I20897" i="5"/>
  <c r="I20889" i="5"/>
  <c r="I20881" i="5"/>
  <c r="I20873" i="5"/>
  <c r="I20865" i="5"/>
  <c r="I20857" i="5"/>
  <c r="I20849" i="5"/>
  <c r="I20841" i="5"/>
  <c r="I20833" i="5"/>
  <c r="I20825" i="5"/>
  <c r="I20817" i="5"/>
  <c r="I20809" i="5"/>
  <c r="I20801" i="5"/>
  <c r="I20793" i="5"/>
  <c r="I20785" i="5"/>
  <c r="I20777" i="5"/>
  <c r="I20769" i="5"/>
  <c r="I20761" i="5"/>
  <c r="I20753" i="5"/>
  <c r="I20745" i="5"/>
  <c r="I20737" i="5"/>
  <c r="I20729" i="5"/>
  <c r="I20721" i="5"/>
  <c r="I20713" i="5"/>
  <c r="I20705" i="5"/>
  <c r="I20697" i="5"/>
  <c r="I20689" i="5"/>
  <c r="I20681" i="5"/>
  <c r="I20673" i="5"/>
  <c r="I20665" i="5"/>
  <c r="I20657" i="5"/>
  <c r="I20649" i="5"/>
  <c r="I20641" i="5"/>
  <c r="I20633" i="5"/>
  <c r="I20625" i="5"/>
  <c r="I20617" i="5"/>
  <c r="I20609" i="5"/>
  <c r="I20601" i="5"/>
  <c r="I20593" i="5"/>
  <c r="I20585" i="5"/>
  <c r="I20577" i="5"/>
  <c r="I20569" i="5"/>
  <c r="I20561" i="5"/>
  <c r="I20553" i="5"/>
  <c r="I20545" i="5"/>
  <c r="I20537" i="5"/>
  <c r="I20529" i="5"/>
  <c r="I20521" i="5"/>
  <c r="I20513" i="5"/>
  <c r="I20505" i="5"/>
  <c r="I20497" i="5"/>
  <c r="I20489" i="5"/>
  <c r="I20481" i="5"/>
  <c r="I20473" i="5"/>
  <c r="I20465" i="5"/>
  <c r="I20457" i="5"/>
  <c r="I20449" i="5"/>
  <c r="I20441" i="5"/>
  <c r="I34358" i="5"/>
  <c r="I33292" i="5"/>
  <c r="I32426" i="5"/>
  <c r="I31965" i="5"/>
  <c r="I31592" i="5"/>
  <c r="I31264" i="5"/>
  <c r="I30943" i="5"/>
  <c r="I30727" i="5"/>
  <c r="I30554" i="5"/>
  <c r="I30402" i="5"/>
  <c r="I30271" i="5"/>
  <c r="I30104" i="5"/>
  <c r="I29952" i="5"/>
  <c r="I29847" i="5"/>
  <c r="I29728" i="5"/>
  <c r="I29607" i="5"/>
  <c r="I29506" i="5"/>
  <c r="I29383" i="5"/>
  <c r="I29266" i="5"/>
  <c r="I29178" i="5"/>
  <c r="I29101" i="5"/>
  <c r="I29043" i="5"/>
  <c r="I28990" i="5"/>
  <c r="I28931" i="5"/>
  <c r="I28870" i="5"/>
  <c r="I28821" i="5"/>
  <c r="I28758" i="5"/>
  <c r="I28701" i="5"/>
  <c r="I28651" i="5"/>
  <c r="I28589" i="5"/>
  <c r="I28531" i="5"/>
  <c r="I28478" i="5"/>
  <c r="I28419" i="5"/>
  <c r="I28358" i="5"/>
  <c r="I28309" i="5"/>
  <c r="I28246" i="5"/>
  <c r="I28189" i="5"/>
  <c r="I28139" i="5"/>
  <c r="I28077" i="5"/>
  <c r="I28019" i="5"/>
  <c r="I27966" i="5"/>
  <c r="I27907" i="5"/>
  <c r="I27846" i="5"/>
  <c r="I27797" i="5"/>
  <c r="I27734" i="5"/>
  <c r="I27677" i="5"/>
  <c r="I27627" i="5"/>
  <c r="I27565" i="5"/>
  <c r="I27507" i="5"/>
  <c r="I27454" i="5"/>
  <c r="I27395" i="5"/>
  <c r="I27334" i="5"/>
  <c r="I27285" i="5"/>
  <c r="I27222" i="5"/>
  <c r="I27165" i="5"/>
  <c r="I27115" i="5"/>
  <c r="I27053" i="5"/>
  <c r="I27006" i="5"/>
  <c r="I26965" i="5"/>
  <c r="I26923" i="5"/>
  <c r="I26878" i="5"/>
  <c r="I26837" i="5"/>
  <c r="I26795" i="5"/>
  <c r="I26750" i="5"/>
  <c r="I26709" i="5"/>
  <c r="I26667" i="5"/>
  <c r="I26622" i="5"/>
  <c r="I26581" i="5"/>
  <c r="I26539" i="5"/>
  <c r="I26494" i="5"/>
  <c r="I26453" i="5"/>
  <c r="I26411" i="5"/>
  <c r="I26376" i="5"/>
  <c r="I26344" i="5"/>
  <c r="I26312" i="5"/>
  <c r="I26280" i="5"/>
  <c r="I26248" i="5"/>
  <c r="I26216" i="5"/>
  <c r="I26184" i="5"/>
  <c r="I26152" i="5"/>
  <c r="I26120" i="5"/>
  <c r="I26088" i="5"/>
  <c r="I26056" i="5"/>
  <c r="I26024" i="5"/>
  <c r="I25992" i="5"/>
  <c r="I25960" i="5"/>
  <c r="I25928" i="5"/>
  <c r="I25896" i="5"/>
  <c r="I25864" i="5"/>
  <c r="I25832" i="5"/>
  <c r="I25800" i="5"/>
  <c r="I25768" i="5"/>
  <c r="I25736" i="5"/>
  <c r="I25705" i="5"/>
  <c r="I25680" i="5"/>
  <c r="I25654" i="5"/>
  <c r="I25629" i="5"/>
  <c r="I25603" i="5"/>
  <c r="I25582" i="5"/>
  <c r="I25561" i="5"/>
  <c r="I25539" i="5"/>
  <c r="I25518" i="5"/>
  <c r="I25497" i="5"/>
  <c r="I25475" i="5"/>
  <c r="I25454" i="5"/>
  <c r="I25433" i="5"/>
  <c r="I25411" i="5"/>
  <c r="I25390" i="5"/>
  <c r="I25369" i="5"/>
  <c r="I25347" i="5"/>
  <c r="I25326" i="5"/>
  <c r="I25305" i="5"/>
  <c r="I25283" i="5"/>
  <c r="I25262" i="5"/>
  <c r="I25241" i="5"/>
  <c r="I25219" i="5"/>
  <c r="I25198" i="5"/>
  <c r="I25177" i="5"/>
  <c r="I25155" i="5"/>
  <c r="I25134" i="5"/>
  <c r="I25113" i="5"/>
  <c r="I25091" i="5"/>
  <c r="I25070" i="5"/>
  <c r="I25049" i="5"/>
  <c r="I25029" i="5"/>
  <c r="I25010" i="5"/>
  <c r="I24992" i="5"/>
  <c r="I24974" i="5"/>
  <c r="I24955" i="5"/>
  <c r="I24937" i="5"/>
  <c r="I24919" i="5"/>
  <c r="I24901" i="5"/>
  <c r="I24882" i="5"/>
  <c r="I24864" i="5"/>
  <c r="I24846" i="5"/>
  <c r="I24827" i="5"/>
  <c r="I24811" i="5"/>
  <c r="I24795" i="5"/>
  <c r="I24779" i="5"/>
  <c r="I24763" i="5"/>
  <c r="I24747" i="5"/>
  <c r="I24731" i="5"/>
  <c r="I24715" i="5"/>
  <c r="I24699" i="5"/>
  <c r="I24683" i="5"/>
  <c r="I24667" i="5"/>
  <c r="I24651" i="5"/>
  <c r="I24635" i="5"/>
  <c r="I24619" i="5"/>
  <c r="I24603" i="5"/>
  <c r="I24587" i="5"/>
  <c r="I24571" i="5"/>
  <c r="I24557" i="5"/>
  <c r="I24545" i="5"/>
  <c r="I24534" i="5"/>
  <c r="I24524" i="5"/>
  <c r="I24513" i="5"/>
  <c r="I24504" i="5"/>
  <c r="I24496" i="5"/>
  <c r="I24488" i="5"/>
  <c r="I24480" i="5"/>
  <c r="I24472" i="5"/>
  <c r="I24464" i="5"/>
  <c r="I24456" i="5"/>
  <c r="I24448" i="5"/>
  <c r="I24440" i="5"/>
  <c r="I24432" i="5"/>
  <c r="I24424" i="5"/>
  <c r="I24416" i="5"/>
  <c r="I24408" i="5"/>
  <c r="I24400" i="5"/>
  <c r="I24392" i="5"/>
  <c r="I24384" i="5"/>
  <c r="I24376" i="5"/>
  <c r="I24368" i="5"/>
  <c r="I24360" i="5"/>
  <c r="I24352" i="5"/>
  <c r="I24344" i="5"/>
  <c r="I24336" i="5"/>
  <c r="I24328" i="5"/>
  <c r="I24320" i="5"/>
  <c r="I24312" i="5"/>
  <c r="I24304" i="5"/>
  <c r="I24296" i="5"/>
  <c r="I24288" i="5"/>
  <c r="I24280" i="5"/>
  <c r="I24272" i="5"/>
  <c r="I24264" i="5"/>
  <c r="I24256" i="5"/>
  <c r="I24248" i="5"/>
  <c r="I24240" i="5"/>
  <c r="I24232" i="5"/>
  <c r="I24224" i="5"/>
  <c r="I24216" i="5"/>
  <c r="I24208" i="5"/>
  <c r="I24200" i="5"/>
  <c r="I24192" i="5"/>
  <c r="I24184" i="5"/>
  <c r="I24176" i="5"/>
  <c r="I24168" i="5"/>
  <c r="I24160" i="5"/>
  <c r="I24152" i="5"/>
  <c r="I24144" i="5"/>
  <c r="I24136" i="5"/>
  <c r="I24128" i="5"/>
  <c r="I24120" i="5"/>
  <c r="I24112" i="5"/>
  <c r="I24104" i="5"/>
  <c r="I24096" i="5"/>
  <c r="I24088" i="5"/>
  <c r="I24080" i="5"/>
  <c r="I24072" i="5"/>
  <c r="I24064" i="5"/>
  <c r="I24056" i="5"/>
  <c r="I24048" i="5"/>
  <c r="I24040" i="5"/>
  <c r="I24032" i="5"/>
  <c r="I24024" i="5"/>
  <c r="I24016" i="5"/>
  <c r="I24008" i="5"/>
  <c r="I24000" i="5"/>
  <c r="I23992" i="5"/>
  <c r="I23984" i="5"/>
  <c r="I23976" i="5"/>
  <c r="I23968" i="5"/>
  <c r="I23960" i="5"/>
  <c r="I23952" i="5"/>
  <c r="I23944" i="5"/>
  <c r="I23936" i="5"/>
  <c r="I23928" i="5"/>
  <c r="I23920" i="5"/>
  <c r="I23912" i="5"/>
  <c r="I23904" i="5"/>
  <c r="I23896" i="5"/>
  <c r="I23888" i="5"/>
  <c r="I23880" i="5"/>
  <c r="I23872" i="5"/>
  <c r="I23864" i="5"/>
  <c r="I23856" i="5"/>
  <c r="I23848" i="5"/>
  <c r="I23840" i="5"/>
  <c r="I23832" i="5"/>
  <c r="I23824" i="5"/>
  <c r="I23816" i="5"/>
  <c r="I23808" i="5"/>
  <c r="I23800" i="5"/>
  <c r="I23792" i="5"/>
  <c r="I23784" i="5"/>
  <c r="I23776" i="5"/>
  <c r="I23768" i="5"/>
  <c r="I23760" i="5"/>
  <c r="I23752" i="5"/>
  <c r="I23744" i="5"/>
  <c r="I23736" i="5"/>
  <c r="I23728" i="5"/>
  <c r="I23720" i="5"/>
  <c r="I23712" i="5"/>
  <c r="I23704" i="5"/>
  <c r="I23696" i="5"/>
  <c r="I23688" i="5"/>
  <c r="I23680" i="5"/>
  <c r="I23672" i="5"/>
  <c r="I23664" i="5"/>
  <c r="I23656" i="5"/>
  <c r="I23648" i="5"/>
  <c r="I23640" i="5"/>
  <c r="I23632" i="5"/>
  <c r="I23624" i="5"/>
  <c r="I23616" i="5"/>
  <c r="I23608" i="5"/>
  <c r="I23600" i="5"/>
  <c r="I23592" i="5"/>
  <c r="I23584" i="5"/>
  <c r="I23576" i="5"/>
  <c r="I23568" i="5"/>
  <c r="I23560" i="5"/>
  <c r="I23552" i="5"/>
  <c r="I23544" i="5"/>
  <c r="I23536" i="5"/>
  <c r="I23528" i="5"/>
  <c r="I23520" i="5"/>
  <c r="I23512" i="5"/>
  <c r="I23504" i="5"/>
  <c r="I23496" i="5"/>
  <c r="I23488" i="5"/>
  <c r="I23480" i="5"/>
  <c r="I23472" i="5"/>
  <c r="I23464" i="5"/>
  <c r="I23456" i="5"/>
  <c r="I23448" i="5"/>
  <c r="I23440" i="5"/>
  <c r="I23432" i="5"/>
  <c r="I23424" i="5"/>
  <c r="I23416" i="5"/>
  <c r="I23408" i="5"/>
  <c r="I23400" i="5"/>
  <c r="I23392" i="5"/>
  <c r="I23384" i="5"/>
  <c r="I23376" i="5"/>
  <c r="I23368" i="5"/>
  <c r="I23360" i="5"/>
  <c r="I23352" i="5"/>
  <c r="I23344" i="5"/>
  <c r="I23336" i="5"/>
  <c r="I23328" i="5"/>
  <c r="I23320" i="5"/>
  <c r="I23312" i="5"/>
  <c r="I23304" i="5"/>
  <c r="I23296" i="5"/>
  <c r="I23288" i="5"/>
  <c r="I23280" i="5"/>
  <c r="I23272" i="5"/>
  <c r="I23264" i="5"/>
  <c r="I23256" i="5"/>
  <c r="I23248" i="5"/>
  <c r="I23240" i="5"/>
  <c r="I23232" i="5"/>
  <c r="I23224" i="5"/>
  <c r="I23216" i="5"/>
  <c r="I23208" i="5"/>
  <c r="I23200" i="5"/>
  <c r="I23192" i="5"/>
  <c r="I23184" i="5"/>
  <c r="I23176" i="5"/>
  <c r="I23168" i="5"/>
  <c r="I23160" i="5"/>
  <c r="I23152" i="5"/>
  <c r="I23144" i="5"/>
  <c r="I23136" i="5"/>
  <c r="I23128" i="5"/>
  <c r="I23120" i="5"/>
  <c r="I23112" i="5"/>
  <c r="I23104" i="5"/>
  <c r="I23096" i="5"/>
  <c r="I23088" i="5"/>
  <c r="I23080" i="5"/>
  <c r="I23072" i="5"/>
  <c r="I23064" i="5"/>
  <c r="I23056" i="5"/>
  <c r="I23048" i="5"/>
  <c r="I23040" i="5"/>
  <c r="I23032" i="5"/>
  <c r="I23024" i="5"/>
  <c r="I23016" i="5"/>
  <c r="I23008" i="5"/>
  <c r="I23000" i="5"/>
  <c r="I22992" i="5"/>
  <c r="I22984" i="5"/>
  <c r="I22976" i="5"/>
  <c r="I22968" i="5"/>
  <c r="I22960" i="5"/>
  <c r="I22952" i="5"/>
  <c r="I22944" i="5"/>
  <c r="I22936" i="5"/>
  <c r="I22928" i="5"/>
  <c r="I22920" i="5"/>
  <c r="I22912" i="5"/>
  <c r="I22904" i="5"/>
  <c r="I22896" i="5"/>
  <c r="I22888" i="5"/>
  <c r="I22880" i="5"/>
  <c r="I22872" i="5"/>
  <c r="I22864" i="5"/>
  <c r="I22856" i="5"/>
  <c r="I22848" i="5"/>
  <c r="I22840" i="5"/>
  <c r="I22832" i="5"/>
  <c r="I22824" i="5"/>
  <c r="I22816" i="5"/>
  <c r="I22808" i="5"/>
  <c r="I22800" i="5"/>
  <c r="I22792" i="5"/>
  <c r="I22784" i="5"/>
  <c r="I22776" i="5"/>
  <c r="I22768" i="5"/>
  <c r="I22760" i="5"/>
  <c r="I22752" i="5"/>
  <c r="I22744" i="5"/>
  <c r="I22736" i="5"/>
  <c r="I22728" i="5"/>
  <c r="I22720" i="5"/>
  <c r="I22712" i="5"/>
  <c r="I22704" i="5"/>
  <c r="I22696" i="5"/>
  <c r="I22688" i="5"/>
  <c r="I22680" i="5"/>
  <c r="I22672" i="5"/>
  <c r="I22664" i="5"/>
  <c r="I22656" i="5"/>
  <c r="I22648" i="5"/>
  <c r="I22640" i="5"/>
  <c r="I22632" i="5"/>
  <c r="I22624" i="5"/>
  <c r="I22616" i="5"/>
  <c r="I22608" i="5"/>
  <c r="I22600" i="5"/>
  <c r="I22592" i="5"/>
  <c r="I22584" i="5"/>
  <c r="I22576" i="5"/>
  <c r="I22568" i="5"/>
  <c r="I22560" i="5"/>
  <c r="I22552" i="5"/>
  <c r="I22544" i="5"/>
  <c r="I22536" i="5"/>
  <c r="I22528" i="5"/>
  <c r="I22520" i="5"/>
  <c r="I22512" i="5"/>
  <c r="I22504" i="5"/>
  <c r="I22496" i="5"/>
  <c r="I22488" i="5"/>
  <c r="I22480" i="5"/>
  <c r="I22472" i="5"/>
  <c r="I22464" i="5"/>
  <c r="I22456" i="5"/>
  <c r="I22448" i="5"/>
  <c r="I22440" i="5"/>
  <c r="I22432" i="5"/>
  <c r="I22424" i="5"/>
  <c r="I22416" i="5"/>
  <c r="I22408" i="5"/>
  <c r="I22400" i="5"/>
  <c r="I22392" i="5"/>
  <c r="I22384" i="5"/>
  <c r="I22376" i="5"/>
  <c r="I22368" i="5"/>
  <c r="I22360" i="5"/>
  <c r="I22352" i="5"/>
  <c r="I22344" i="5"/>
  <c r="I22336" i="5"/>
  <c r="I22328" i="5"/>
  <c r="I22320" i="5"/>
  <c r="I22312" i="5"/>
  <c r="I22304" i="5"/>
  <c r="I22296" i="5"/>
  <c r="I22288" i="5"/>
  <c r="I22280" i="5"/>
  <c r="I22272" i="5"/>
  <c r="I22264" i="5"/>
  <c r="I22256" i="5"/>
  <c r="I22248" i="5"/>
  <c r="I22240" i="5"/>
  <c r="I22232" i="5"/>
  <c r="I22224" i="5"/>
  <c r="I22216" i="5"/>
  <c r="I22208" i="5"/>
  <c r="I22200" i="5"/>
  <c r="I22192" i="5"/>
  <c r="I22184" i="5"/>
  <c r="I22176" i="5"/>
  <c r="I22168" i="5"/>
  <c r="I22160" i="5"/>
  <c r="I22152" i="5"/>
  <c r="I22144" i="5"/>
  <c r="I22136" i="5"/>
  <c r="I22128" i="5"/>
  <c r="I22120" i="5"/>
  <c r="I22112" i="5"/>
  <c r="I22104" i="5"/>
  <c r="I22096" i="5"/>
  <c r="I22088" i="5"/>
  <c r="I22080" i="5"/>
  <c r="I22072" i="5"/>
  <c r="I22064" i="5"/>
  <c r="I22056" i="5"/>
  <c r="I22048" i="5"/>
  <c r="I22040" i="5"/>
  <c r="I22032" i="5"/>
  <c r="I22024" i="5"/>
  <c r="I22016" i="5"/>
  <c r="I22008" i="5"/>
  <c r="I22000" i="5"/>
  <c r="I21992" i="5"/>
  <c r="I21984" i="5"/>
  <c r="I21976" i="5"/>
  <c r="I21968" i="5"/>
  <c r="I21960" i="5"/>
  <c r="I21952" i="5"/>
  <c r="I21944" i="5"/>
  <c r="I21936" i="5"/>
  <c r="I21928" i="5"/>
  <c r="I21920" i="5"/>
  <c r="I21912" i="5"/>
  <c r="I21904" i="5"/>
  <c r="I21896" i="5"/>
  <c r="I21888" i="5"/>
  <c r="I21880" i="5"/>
  <c r="I21872" i="5"/>
  <c r="I21864" i="5"/>
  <c r="I21856" i="5"/>
  <c r="I21848" i="5"/>
  <c r="I21840" i="5"/>
  <c r="I21832" i="5"/>
  <c r="I21824" i="5"/>
  <c r="I21816" i="5"/>
  <c r="I21808" i="5"/>
  <c r="I21800" i="5"/>
  <c r="I21792" i="5"/>
  <c r="I21784" i="5"/>
  <c r="I21776" i="5"/>
  <c r="I21768" i="5"/>
  <c r="I21760" i="5"/>
  <c r="I21752" i="5"/>
  <c r="I21744" i="5"/>
  <c r="I21736" i="5"/>
  <c r="I21728" i="5"/>
  <c r="I21720" i="5"/>
  <c r="I21712" i="5"/>
  <c r="I21704" i="5"/>
  <c r="I21696" i="5"/>
  <c r="I21688" i="5"/>
  <c r="I21680" i="5"/>
  <c r="I21672" i="5"/>
  <c r="I21664" i="5"/>
  <c r="I21656" i="5"/>
  <c r="I21648" i="5"/>
  <c r="I21640" i="5"/>
  <c r="I21632" i="5"/>
  <c r="I21624" i="5"/>
  <c r="I21616" i="5"/>
  <c r="I21608" i="5"/>
  <c r="I21600" i="5"/>
  <c r="I21592" i="5"/>
  <c r="I21584" i="5"/>
  <c r="I21576" i="5"/>
  <c r="I21568" i="5"/>
  <c r="I21560" i="5"/>
  <c r="I21552" i="5"/>
  <c r="I21544" i="5"/>
  <c r="I21536" i="5"/>
  <c r="I21528" i="5"/>
  <c r="I21520" i="5"/>
  <c r="I21512" i="5"/>
  <c r="I21504" i="5"/>
  <c r="I21496" i="5"/>
  <c r="I21488" i="5"/>
  <c r="I21480" i="5"/>
  <c r="I21472" i="5"/>
  <c r="I21464" i="5"/>
  <c r="I21456" i="5"/>
  <c r="I21448" i="5"/>
  <c r="I21440" i="5"/>
  <c r="I21432" i="5"/>
  <c r="I21424" i="5"/>
  <c r="I21416" i="5"/>
  <c r="I21408" i="5"/>
  <c r="I21400" i="5"/>
  <c r="I21392" i="5"/>
  <c r="I21384" i="5"/>
  <c r="I21376" i="5"/>
  <c r="I21368" i="5"/>
  <c r="I21360" i="5"/>
  <c r="I21352" i="5"/>
  <c r="I21344" i="5"/>
  <c r="I21336" i="5"/>
  <c r="I21328" i="5"/>
  <c r="I21320" i="5"/>
  <c r="I21312" i="5"/>
  <c r="I21304" i="5"/>
  <c r="I21296" i="5"/>
  <c r="I21288" i="5"/>
  <c r="I21280" i="5"/>
  <c r="I21272" i="5"/>
  <c r="I21264" i="5"/>
  <c r="I21256" i="5"/>
  <c r="I21248" i="5"/>
  <c r="I21240" i="5"/>
  <c r="I21232" i="5"/>
  <c r="I21224" i="5"/>
  <c r="I21216" i="5"/>
  <c r="I21208" i="5"/>
  <c r="I21200" i="5"/>
  <c r="I21192" i="5"/>
  <c r="I21184" i="5"/>
  <c r="I21176" i="5"/>
  <c r="I21168" i="5"/>
  <c r="I21160" i="5"/>
  <c r="I21152" i="5"/>
  <c r="I21144" i="5"/>
  <c r="I21136" i="5"/>
  <c r="I21128" i="5"/>
  <c r="I21120" i="5"/>
  <c r="I21112" i="5"/>
  <c r="I21104" i="5"/>
  <c r="I21096" i="5"/>
  <c r="I21088" i="5"/>
  <c r="I21080" i="5"/>
  <c r="I21072" i="5"/>
  <c r="I21064" i="5"/>
  <c r="I21056" i="5"/>
  <c r="I21048" i="5"/>
  <c r="I21040" i="5"/>
  <c r="I21032" i="5"/>
  <c r="I21024" i="5"/>
  <c r="I21016" i="5"/>
  <c r="I21008" i="5"/>
  <c r="I21000" i="5"/>
  <c r="I20992" i="5"/>
  <c r="I20984" i="5"/>
  <c r="I20976" i="5"/>
  <c r="I20968" i="5"/>
  <c r="I20960" i="5"/>
  <c r="I20952" i="5"/>
  <c r="I20944" i="5"/>
  <c r="I20936" i="5"/>
  <c r="I20928" i="5"/>
  <c r="I20920" i="5"/>
  <c r="I20912" i="5"/>
  <c r="I20904" i="5"/>
  <c r="I20896" i="5"/>
  <c r="I20888" i="5"/>
  <c r="I20880" i="5"/>
  <c r="I20872" i="5"/>
  <c r="I20864" i="5"/>
  <c r="I20856" i="5"/>
  <c r="I20848" i="5"/>
  <c r="I20840" i="5"/>
  <c r="I20832" i="5"/>
  <c r="I20824" i="5"/>
  <c r="I20816" i="5"/>
  <c r="I20808" i="5"/>
  <c r="I20800" i="5"/>
  <c r="I20792" i="5"/>
  <c r="I20784" i="5"/>
  <c r="I20776" i="5"/>
  <c r="I20768" i="5"/>
  <c r="I20760" i="5"/>
  <c r="I20752" i="5"/>
  <c r="I20744" i="5"/>
  <c r="I20736" i="5"/>
  <c r="I20728" i="5"/>
  <c r="I20720" i="5"/>
  <c r="I20712" i="5"/>
  <c r="I20704" i="5"/>
  <c r="I20696" i="5"/>
  <c r="I20688" i="5"/>
  <c r="I20680" i="5"/>
  <c r="I20672" i="5"/>
  <c r="I20664" i="5"/>
  <c r="I20656" i="5"/>
  <c r="I20648" i="5"/>
  <c r="I20640" i="5"/>
  <c r="I20632" i="5"/>
  <c r="I20624" i="5"/>
  <c r="I20616" i="5"/>
  <c r="I20608" i="5"/>
  <c r="I20600" i="5"/>
  <c r="I20592" i="5"/>
  <c r="I20584" i="5"/>
  <c r="I20576" i="5"/>
  <c r="I20568" i="5"/>
  <c r="I20560" i="5"/>
  <c r="I20552" i="5"/>
  <c r="I20544" i="5"/>
  <c r="I20536" i="5"/>
  <c r="I20528" i="5"/>
  <c r="I20520" i="5"/>
  <c r="I20512" i="5"/>
  <c r="I20504" i="5"/>
  <c r="I20496" i="5"/>
  <c r="I20488" i="5"/>
  <c r="I20480" i="5"/>
  <c r="I20472" i="5"/>
  <c r="I20464" i="5"/>
  <c r="I20456" i="5"/>
  <c r="I20448" i="5"/>
  <c r="I20440" i="5"/>
  <c r="I20432" i="5"/>
  <c r="I20424" i="5"/>
  <c r="I20416" i="5"/>
  <c r="I20408" i="5"/>
  <c r="I20400" i="5"/>
  <c r="I20392" i="5"/>
  <c r="I20384" i="5"/>
  <c r="I20376" i="5"/>
  <c r="I20368" i="5"/>
  <c r="I20360" i="5"/>
  <c r="I20352" i="5"/>
  <c r="I20344" i="5"/>
  <c r="I20336" i="5"/>
  <c r="I20328" i="5"/>
  <c r="I20320" i="5"/>
  <c r="I20312" i="5"/>
  <c r="I34112" i="5"/>
  <c r="I32956" i="5"/>
  <c r="I32263" i="5"/>
  <c r="I31912" i="5"/>
  <c r="I31488" i="5"/>
  <c r="I31183" i="5"/>
  <c r="I30896" i="5"/>
  <c r="I30674" i="5"/>
  <c r="I30512" i="5"/>
  <c r="I30383" i="5"/>
  <c r="I30215" i="5"/>
  <c r="I30063" i="5"/>
  <c r="I29936" i="5"/>
  <c r="I29810" i="5"/>
  <c r="I29696" i="5"/>
  <c r="I29591" i="5"/>
  <c r="I29472" i="5"/>
  <c r="I29351" i="5"/>
  <c r="I29250" i="5"/>
  <c r="I29145" i="5"/>
  <c r="I29085" i="5"/>
  <c r="I29035" i="5"/>
  <c r="I28973" i="5"/>
  <c r="I28915" i="5"/>
  <c r="I28862" i="5"/>
  <c r="I28803" i="5"/>
  <c r="I28742" i="5"/>
  <c r="I28693" i="5"/>
  <c r="I28630" i="5"/>
  <c r="I28573" i="5"/>
  <c r="I28523" i="5"/>
  <c r="I28461" i="5"/>
  <c r="I28403" i="5"/>
  <c r="I28350" i="5"/>
  <c r="I28291" i="5"/>
  <c r="I28230" i="5"/>
  <c r="I28181" i="5"/>
  <c r="I28118" i="5"/>
  <c r="I28061" i="5"/>
  <c r="I28011" i="5"/>
  <c r="I27949" i="5"/>
  <c r="I27891" i="5"/>
  <c r="I27838" i="5"/>
  <c r="I27779" i="5"/>
  <c r="I27718" i="5"/>
  <c r="I27669" i="5"/>
  <c r="I27606" i="5"/>
  <c r="I27549" i="5"/>
  <c r="I27499" i="5"/>
  <c r="I27437" i="5"/>
  <c r="I27379" i="5"/>
  <c r="I27326" i="5"/>
  <c r="I27267" i="5"/>
  <c r="I27206" i="5"/>
  <c r="I27157" i="5"/>
  <c r="I27094" i="5"/>
  <c r="I27037" i="5"/>
  <c r="I26995" i="5"/>
  <c r="I26950" i="5"/>
  <c r="I26909" i="5"/>
  <c r="I26867" i="5"/>
  <c r="I26822" i="5"/>
  <c r="I26781" i="5"/>
  <c r="I26739" i="5"/>
  <c r="I26694" i="5"/>
  <c r="I26653" i="5"/>
  <c r="I26611" i="5"/>
  <c r="I26566" i="5"/>
  <c r="I26525" i="5"/>
  <c r="I26483" i="5"/>
  <c r="I26438" i="5"/>
  <c r="I26398" i="5"/>
  <c r="I26366" i="5"/>
  <c r="I26334" i="5"/>
  <c r="I26302" i="5"/>
  <c r="I26270" i="5"/>
  <c r="I26238" i="5"/>
  <c r="I26206" i="5"/>
  <c r="I26174" i="5"/>
  <c r="I26142" i="5"/>
  <c r="I26110" i="5"/>
  <c r="I26078" i="5"/>
  <c r="I26046" i="5"/>
  <c r="I26014" i="5"/>
  <c r="I25982" i="5"/>
  <c r="I25950" i="5"/>
  <c r="I25918" i="5"/>
  <c r="I25886" i="5"/>
  <c r="I25854" i="5"/>
  <c r="I25822" i="5"/>
  <c r="I25790" i="5"/>
  <c r="I25758" i="5"/>
  <c r="I25726" i="5"/>
  <c r="I25697" i="5"/>
  <c r="I25672" i="5"/>
  <c r="I25646" i="5"/>
  <c r="I25621" i="5"/>
  <c r="I25597" i="5"/>
  <c r="I25576" i="5"/>
  <c r="I25554" i="5"/>
  <c r="I25533" i="5"/>
  <c r="I25512" i="5"/>
  <c r="I25490" i="5"/>
  <c r="I25469" i="5"/>
  <c r="I25448" i="5"/>
  <c r="I25426" i="5"/>
  <c r="I25405" i="5"/>
  <c r="I25384" i="5"/>
  <c r="I25362" i="5"/>
  <c r="I25341" i="5"/>
  <c r="I25320" i="5"/>
  <c r="I25298" i="5"/>
  <c r="I25277" i="5"/>
  <c r="I25256" i="5"/>
  <c r="I25234" i="5"/>
  <c r="I25213" i="5"/>
  <c r="I25192" i="5"/>
  <c r="I25170" i="5"/>
  <c r="I25149" i="5"/>
  <c r="I25128" i="5"/>
  <c r="I25106" i="5"/>
  <c r="I25085" i="5"/>
  <c r="I25064" i="5"/>
  <c r="I25042" i="5"/>
  <c r="I25023" i="5"/>
  <c r="I25005" i="5"/>
  <c r="I24986" i="5"/>
  <c r="I24968" i="5"/>
  <c r="I24950" i="5"/>
  <c r="I24931" i="5"/>
  <c r="I24913" i="5"/>
  <c r="I24895" i="5"/>
  <c r="I24877" i="5"/>
  <c r="I24858" i="5"/>
  <c r="I24840" i="5"/>
  <c r="I24822" i="5"/>
  <c r="I24806" i="5"/>
  <c r="I24790" i="5"/>
  <c r="I24774" i="5"/>
  <c r="I24758" i="5"/>
  <c r="I24742" i="5"/>
  <c r="I24726" i="5"/>
  <c r="I24710" i="5"/>
  <c r="I24694" i="5"/>
  <c r="I24678" i="5"/>
  <c r="I24662" i="5"/>
  <c r="I24646" i="5"/>
  <c r="I24630" i="5"/>
  <c r="I24614" i="5"/>
  <c r="I24598" i="5"/>
  <c r="I24582" i="5"/>
  <c r="I24566" i="5"/>
  <c r="I24555" i="5"/>
  <c r="I24542" i="5"/>
  <c r="I24532" i="5"/>
  <c r="I24521" i="5"/>
  <c r="I24511" i="5"/>
  <c r="I24502" i="5"/>
  <c r="I24494" i="5"/>
  <c r="I24486" i="5"/>
  <c r="I24478" i="5"/>
  <c r="I24470" i="5"/>
  <c r="I24462" i="5"/>
  <c r="I24454" i="5"/>
  <c r="I24446" i="5"/>
  <c r="I24438" i="5"/>
  <c r="I24430" i="5"/>
  <c r="I24422" i="5"/>
  <c r="I24414" i="5"/>
  <c r="I24406" i="5"/>
  <c r="I24398" i="5"/>
  <c r="I24390" i="5"/>
  <c r="I24382" i="5"/>
  <c r="I24374" i="5"/>
  <c r="I24366" i="5"/>
  <c r="I24358" i="5"/>
  <c r="I24350" i="5"/>
  <c r="I24342" i="5"/>
  <c r="I24334" i="5"/>
  <c r="I24326" i="5"/>
  <c r="I24318" i="5"/>
  <c r="I24310" i="5"/>
  <c r="I24302" i="5"/>
  <c r="I24294" i="5"/>
  <c r="I24286" i="5"/>
  <c r="I24278" i="5"/>
  <c r="I24270" i="5"/>
  <c r="I24262" i="5"/>
  <c r="I24254" i="5"/>
  <c r="I24246" i="5"/>
  <c r="I24238" i="5"/>
  <c r="I24230" i="5"/>
  <c r="I24222" i="5"/>
  <c r="I24214" i="5"/>
  <c r="I24206" i="5"/>
  <c r="I24198" i="5"/>
  <c r="I24190" i="5"/>
  <c r="I24182" i="5"/>
  <c r="I24174" i="5"/>
  <c r="I24166" i="5"/>
  <c r="I24158" i="5"/>
  <c r="I24150" i="5"/>
  <c r="I24142" i="5"/>
  <c r="I24134" i="5"/>
  <c r="I24126" i="5"/>
  <c r="I24118" i="5"/>
  <c r="I24110" i="5"/>
  <c r="I24102" i="5"/>
  <c r="I24094" i="5"/>
  <c r="I24086" i="5"/>
  <c r="I24078" i="5"/>
  <c r="I24070" i="5"/>
  <c r="I24062" i="5"/>
  <c r="I24054" i="5"/>
  <c r="I24046" i="5"/>
  <c r="I24038" i="5"/>
  <c r="I24030" i="5"/>
  <c r="I24022" i="5"/>
  <c r="I24014" i="5"/>
  <c r="I24006" i="5"/>
  <c r="I23998" i="5"/>
  <c r="I23990" i="5"/>
  <c r="I23982" i="5"/>
  <c r="I23974" i="5"/>
  <c r="I23966" i="5"/>
  <c r="I23958" i="5"/>
  <c r="I23950" i="5"/>
  <c r="I23942" i="5"/>
  <c r="I23934" i="5"/>
  <c r="I23926" i="5"/>
  <c r="I23918" i="5"/>
  <c r="I23910" i="5"/>
  <c r="I23902" i="5"/>
  <c r="I23894" i="5"/>
  <c r="I23886" i="5"/>
  <c r="I23878" i="5"/>
  <c r="I23870" i="5"/>
  <c r="I23862" i="5"/>
  <c r="I23854" i="5"/>
  <c r="I23846" i="5"/>
  <c r="I23838" i="5"/>
  <c r="I23830" i="5"/>
  <c r="I23822" i="5"/>
  <c r="I23814" i="5"/>
  <c r="I23806" i="5"/>
  <c r="I23798" i="5"/>
  <c r="I23790" i="5"/>
  <c r="I23782" i="5"/>
  <c r="I23774" i="5"/>
  <c r="I23766" i="5"/>
  <c r="I23758" i="5"/>
  <c r="I23750" i="5"/>
  <c r="I23742" i="5"/>
  <c r="I23734" i="5"/>
  <c r="I23726" i="5"/>
  <c r="I23718" i="5"/>
  <c r="I23710" i="5"/>
  <c r="I23702" i="5"/>
  <c r="I23694" i="5"/>
  <c r="I23686" i="5"/>
  <c r="I23678" i="5"/>
  <c r="I23670" i="5"/>
  <c r="I23662" i="5"/>
  <c r="I23654" i="5"/>
  <c r="I23646" i="5"/>
  <c r="I23638" i="5"/>
  <c r="I23630" i="5"/>
  <c r="I23622" i="5"/>
  <c r="I23614" i="5"/>
  <c r="I23606" i="5"/>
  <c r="I23598" i="5"/>
  <c r="I23590" i="5"/>
  <c r="I23582" i="5"/>
  <c r="I23574" i="5"/>
  <c r="I23566" i="5"/>
  <c r="I23558" i="5"/>
  <c r="I23550" i="5"/>
  <c r="I23542" i="5"/>
  <c r="I23534" i="5"/>
  <c r="I23526" i="5"/>
  <c r="I23518" i="5"/>
  <c r="I23510" i="5"/>
  <c r="I23502" i="5"/>
  <c r="I23494" i="5"/>
  <c r="I23486" i="5"/>
  <c r="I23478" i="5"/>
  <c r="I23470" i="5"/>
  <c r="I23462" i="5"/>
  <c r="I23454" i="5"/>
  <c r="I23446" i="5"/>
  <c r="I23438" i="5"/>
  <c r="I23430" i="5"/>
  <c r="I23422" i="5"/>
  <c r="I23414" i="5"/>
  <c r="I23406" i="5"/>
  <c r="I23398" i="5"/>
  <c r="I23390" i="5"/>
  <c r="I23382" i="5"/>
  <c r="I23374" i="5"/>
  <c r="I23366" i="5"/>
  <c r="I23358" i="5"/>
  <c r="I23350" i="5"/>
  <c r="I23342" i="5"/>
  <c r="I23334" i="5"/>
  <c r="I23326" i="5"/>
  <c r="I23318" i="5"/>
  <c r="I23310" i="5"/>
  <c r="I23302" i="5"/>
  <c r="I23294" i="5"/>
  <c r="I23286" i="5"/>
  <c r="I23278" i="5"/>
  <c r="I23270" i="5"/>
  <c r="I23262" i="5"/>
  <c r="I23254" i="5"/>
  <c r="I23246" i="5"/>
  <c r="I23238" i="5"/>
  <c r="I23230" i="5"/>
  <c r="I23222" i="5"/>
  <c r="I23214" i="5"/>
  <c r="I23206" i="5"/>
  <c r="I23198" i="5"/>
  <c r="I23190" i="5"/>
  <c r="I23182" i="5"/>
  <c r="I23174" i="5"/>
  <c r="I23166" i="5"/>
  <c r="I23158" i="5"/>
  <c r="I23150" i="5"/>
  <c r="I23142" i="5"/>
  <c r="I23134" i="5"/>
  <c r="I23126" i="5"/>
  <c r="I23118" i="5"/>
  <c r="I23110" i="5"/>
  <c r="I23102" i="5"/>
  <c r="I23094" i="5"/>
  <c r="I23086" i="5"/>
  <c r="I23078" i="5"/>
  <c r="I23070" i="5"/>
  <c r="I23062" i="5"/>
  <c r="I23054" i="5"/>
  <c r="I23046" i="5"/>
  <c r="I23038" i="5"/>
  <c r="I23030" i="5"/>
  <c r="I23022" i="5"/>
  <c r="I23014" i="5"/>
  <c r="I23006" i="5"/>
  <c r="I22998" i="5"/>
  <c r="I22990" i="5"/>
  <c r="I22982" i="5"/>
  <c r="I22974" i="5"/>
  <c r="I22966" i="5"/>
  <c r="I22958" i="5"/>
  <c r="I22950" i="5"/>
  <c r="I22942" i="5"/>
  <c r="I22934" i="5"/>
  <c r="I22926" i="5"/>
  <c r="I22918" i="5"/>
  <c r="I22910" i="5"/>
  <c r="I22902" i="5"/>
  <c r="I22894" i="5"/>
  <c r="I22886" i="5"/>
  <c r="I22878" i="5"/>
  <c r="I22870" i="5"/>
  <c r="I22862" i="5"/>
  <c r="I22854" i="5"/>
  <c r="I22846" i="5"/>
  <c r="I22838" i="5"/>
  <c r="I22830" i="5"/>
  <c r="I22822" i="5"/>
  <c r="I22814" i="5"/>
  <c r="I22806" i="5"/>
  <c r="I22798" i="5"/>
  <c r="I22790" i="5"/>
  <c r="I22782" i="5"/>
  <c r="I22774" i="5"/>
  <c r="I22766" i="5"/>
  <c r="I22758" i="5"/>
  <c r="I22750" i="5"/>
  <c r="I22742" i="5"/>
  <c r="I22734" i="5"/>
  <c r="I22726" i="5"/>
  <c r="I22718" i="5"/>
  <c r="I22710" i="5"/>
  <c r="I22702" i="5"/>
  <c r="I22694" i="5"/>
  <c r="I22686" i="5"/>
  <c r="I22678" i="5"/>
  <c r="I22670" i="5"/>
  <c r="I22662" i="5"/>
  <c r="I22654" i="5"/>
  <c r="I22646" i="5"/>
  <c r="I22638" i="5"/>
  <c r="I22630" i="5"/>
  <c r="I22622" i="5"/>
  <c r="I22614" i="5"/>
  <c r="I22606" i="5"/>
  <c r="I22598" i="5"/>
  <c r="I22590" i="5"/>
  <c r="I22582" i="5"/>
  <c r="I22574" i="5"/>
  <c r="I22566" i="5"/>
  <c r="I22558" i="5"/>
  <c r="I22550" i="5"/>
  <c r="I22542" i="5"/>
  <c r="I22534" i="5"/>
  <c r="I22526" i="5"/>
  <c r="I22518" i="5"/>
  <c r="I22510" i="5"/>
  <c r="I22502" i="5"/>
  <c r="I22494" i="5"/>
  <c r="I22486" i="5"/>
  <c r="I22478" i="5"/>
  <c r="I22470" i="5"/>
  <c r="I22462" i="5"/>
  <c r="I22454" i="5"/>
  <c r="I22446" i="5"/>
  <c r="I22438" i="5"/>
  <c r="I22430" i="5"/>
  <c r="I22422" i="5"/>
  <c r="I22414" i="5"/>
  <c r="I22406" i="5"/>
  <c r="I22398" i="5"/>
  <c r="I22390" i="5"/>
  <c r="I22382" i="5"/>
  <c r="I22374" i="5"/>
  <c r="I22366" i="5"/>
  <c r="I22358" i="5"/>
  <c r="I22350" i="5"/>
  <c r="I22342" i="5"/>
  <c r="I22334" i="5"/>
  <c r="I22326" i="5"/>
  <c r="I22318" i="5"/>
  <c r="I22310" i="5"/>
  <c r="I22302" i="5"/>
  <c r="I22294" i="5"/>
  <c r="I22286" i="5"/>
  <c r="I22278" i="5"/>
  <c r="I22270" i="5"/>
  <c r="I22262" i="5"/>
  <c r="I22254" i="5"/>
  <c r="I22246" i="5"/>
  <c r="I22238" i="5"/>
  <c r="I22230" i="5"/>
  <c r="I22222" i="5"/>
  <c r="I22214" i="5"/>
  <c r="I22206" i="5"/>
  <c r="I22198" i="5"/>
  <c r="I22190" i="5"/>
  <c r="I22182" i="5"/>
  <c r="I22174" i="5"/>
  <c r="I22166" i="5"/>
  <c r="I22158" i="5"/>
  <c r="I22150" i="5"/>
  <c r="I22142" i="5"/>
  <c r="I22134" i="5"/>
  <c r="I22126" i="5"/>
  <c r="I22118" i="5"/>
  <c r="I22110" i="5"/>
  <c r="I22102" i="5"/>
  <c r="I22094" i="5"/>
  <c r="I22086" i="5"/>
  <c r="I22078" i="5"/>
  <c r="I22070" i="5"/>
  <c r="I22062" i="5"/>
  <c r="I22054" i="5"/>
  <c r="I22046" i="5"/>
  <c r="I22038" i="5"/>
  <c r="I22030" i="5"/>
  <c r="I22022" i="5"/>
  <c r="I22014" i="5"/>
  <c r="I22006" i="5"/>
  <c r="I21998" i="5"/>
  <c r="I21990" i="5"/>
  <c r="I21982" i="5"/>
  <c r="I21974" i="5"/>
  <c r="I21966" i="5"/>
  <c r="I21958" i="5"/>
  <c r="I21950" i="5"/>
  <c r="I21942" i="5"/>
  <c r="I21934" i="5"/>
  <c r="I21926" i="5"/>
  <c r="I21918" i="5"/>
  <c r="I21910" i="5"/>
  <c r="I21902" i="5"/>
  <c r="I21894" i="5"/>
  <c r="I21886" i="5"/>
  <c r="I21878" i="5"/>
  <c r="I21870" i="5"/>
  <c r="I21862" i="5"/>
  <c r="I21854" i="5"/>
  <c r="I21846" i="5"/>
  <c r="I21838" i="5"/>
  <c r="I21830" i="5"/>
  <c r="I21822" i="5"/>
  <c r="I21814" i="5"/>
  <c r="I21806" i="5"/>
  <c r="I21798" i="5"/>
  <c r="I21790" i="5"/>
  <c r="I21782" i="5"/>
  <c r="I21774" i="5"/>
  <c r="I21766" i="5"/>
  <c r="I21758" i="5"/>
  <c r="I21750" i="5"/>
  <c r="I21742" i="5"/>
  <c r="I21734" i="5"/>
  <c r="I21726" i="5"/>
  <c r="I21718" i="5"/>
  <c r="I21710" i="5"/>
  <c r="I21702" i="5"/>
  <c r="I21694" i="5"/>
  <c r="I21686" i="5"/>
  <c r="I21678" i="5"/>
  <c r="I21670" i="5"/>
  <c r="I21662" i="5"/>
  <c r="I21654" i="5"/>
  <c r="I21646" i="5"/>
  <c r="I21638" i="5"/>
  <c r="I21630" i="5"/>
  <c r="I21622" i="5"/>
  <c r="I21614" i="5"/>
  <c r="I21606" i="5"/>
  <c r="I21598" i="5"/>
  <c r="I21590" i="5"/>
  <c r="I21582" i="5"/>
  <c r="I21574" i="5"/>
  <c r="I21566" i="5"/>
  <c r="I21558" i="5"/>
  <c r="I21550" i="5"/>
  <c r="I21542" i="5"/>
  <c r="I21534" i="5"/>
  <c r="I21526" i="5"/>
  <c r="I21518" i="5"/>
  <c r="I21510" i="5"/>
  <c r="I21502" i="5"/>
  <c r="I21494" i="5"/>
  <c r="I21486" i="5"/>
  <c r="I21478" i="5"/>
  <c r="I21470" i="5"/>
  <c r="I21462" i="5"/>
  <c r="I21454" i="5"/>
  <c r="I21446" i="5"/>
  <c r="I21438" i="5"/>
  <c r="I21430" i="5"/>
  <c r="I21422" i="5"/>
  <c r="I21414" i="5"/>
  <c r="I21406" i="5"/>
  <c r="I21398" i="5"/>
  <c r="I21390" i="5"/>
  <c r="I21382" i="5"/>
  <c r="I21374" i="5"/>
  <c r="I21366" i="5"/>
  <c r="I21358" i="5"/>
  <c r="I21350" i="5"/>
  <c r="I21342" i="5"/>
  <c r="I21334" i="5"/>
  <c r="I21326" i="5"/>
  <c r="I21318" i="5"/>
  <c r="I21310" i="5"/>
  <c r="I21302" i="5"/>
  <c r="I21294" i="5"/>
  <c r="I21286" i="5"/>
  <c r="I21278" i="5"/>
  <c r="I21270" i="5"/>
  <c r="I21262" i="5"/>
  <c r="I21254" i="5"/>
  <c r="I21246" i="5"/>
  <c r="I21238" i="5"/>
  <c r="I21230" i="5"/>
  <c r="I21222" i="5"/>
  <c r="I21214" i="5"/>
  <c r="I21206" i="5"/>
  <c r="I21198" i="5"/>
  <c r="I21190" i="5"/>
  <c r="I21182" i="5"/>
  <c r="I21174" i="5"/>
  <c r="I21166" i="5"/>
  <c r="I21158" i="5"/>
  <c r="I21150" i="5"/>
  <c r="I21142" i="5"/>
  <c r="I21134" i="5"/>
  <c r="I21126" i="5"/>
  <c r="I21118" i="5"/>
  <c r="I21110" i="5"/>
  <c r="I21102" i="5"/>
  <c r="I21094" i="5"/>
  <c r="I21086" i="5"/>
  <c r="I21078" i="5"/>
  <c r="I21070" i="5"/>
  <c r="I21062" i="5"/>
  <c r="I21054" i="5"/>
  <c r="I21046" i="5"/>
  <c r="I21038" i="5"/>
  <c r="I21030" i="5"/>
  <c r="I21022" i="5"/>
  <c r="I21014" i="5"/>
  <c r="I21006" i="5"/>
  <c r="I20998" i="5"/>
  <c r="I20990" i="5"/>
  <c r="I20982" i="5"/>
  <c r="I20974" i="5"/>
  <c r="I20966" i="5"/>
  <c r="I20958" i="5"/>
  <c r="I20950" i="5"/>
  <c r="I20942" i="5"/>
  <c r="I20934" i="5"/>
  <c r="I20926" i="5"/>
  <c r="I20918" i="5"/>
  <c r="I20910" i="5"/>
  <c r="I20902" i="5"/>
  <c r="I20894" i="5"/>
  <c r="I20886" i="5"/>
  <c r="I20878" i="5"/>
  <c r="I20870" i="5"/>
  <c r="I20862" i="5"/>
  <c r="I20854" i="5"/>
  <c r="I20846" i="5"/>
  <c r="I20838" i="5"/>
  <c r="I20830" i="5"/>
  <c r="I20822" i="5"/>
  <c r="I20814" i="5"/>
  <c r="I20806" i="5"/>
  <c r="I20798" i="5"/>
  <c r="I20790" i="5"/>
  <c r="I20782" i="5"/>
  <c r="I20774" i="5"/>
  <c r="I20766" i="5"/>
  <c r="I20758" i="5"/>
  <c r="I20750" i="5"/>
  <c r="I20742" i="5"/>
  <c r="I20734" i="5"/>
  <c r="I20726" i="5"/>
  <c r="I20718" i="5"/>
  <c r="I20710" i="5"/>
  <c r="I20702" i="5"/>
  <c r="I20694" i="5"/>
  <c r="I20686" i="5"/>
  <c r="I20678" i="5"/>
  <c r="I20670" i="5"/>
  <c r="I20662" i="5"/>
  <c r="I20654" i="5"/>
  <c r="I20646" i="5"/>
  <c r="I20638" i="5"/>
  <c r="I20630" i="5"/>
  <c r="I20622" i="5"/>
  <c r="I20614" i="5"/>
  <c r="I20606" i="5"/>
  <c r="I20598" i="5"/>
  <c r="I20590" i="5"/>
  <c r="I20582" i="5"/>
  <c r="I20574" i="5"/>
  <c r="I20566" i="5"/>
  <c r="I20558" i="5"/>
  <c r="I20550" i="5"/>
  <c r="I20542" i="5"/>
  <c r="I20534" i="5"/>
  <c r="I20526" i="5"/>
  <c r="I20518" i="5"/>
  <c r="I20510" i="5"/>
  <c r="I20502" i="5"/>
  <c r="I20494" i="5"/>
  <c r="I20486" i="5"/>
  <c r="I20478" i="5"/>
  <c r="I20470" i="5"/>
  <c r="I20462" i="5"/>
  <c r="I20454" i="5"/>
  <c r="I20446" i="5"/>
  <c r="I20438" i="5"/>
  <c r="I20430" i="5"/>
  <c r="I20422" i="5"/>
  <c r="I20414" i="5"/>
  <c r="I20406" i="5"/>
  <c r="I20398" i="5"/>
  <c r="I20390" i="5"/>
  <c r="I20382" i="5"/>
  <c r="I20374" i="5"/>
  <c r="I20366" i="5"/>
  <c r="I20358" i="5"/>
  <c r="I20350" i="5"/>
  <c r="I20342" i="5"/>
  <c r="I20334" i="5"/>
  <c r="I20326" i="5"/>
  <c r="I20318" i="5"/>
  <c r="I20310" i="5"/>
  <c r="I37589" i="5"/>
  <c r="I33804" i="5"/>
  <c r="I32946" i="5"/>
  <c r="I32215" i="5"/>
  <c r="I31808" i="5"/>
  <c r="I31477" i="5"/>
  <c r="I31151" i="5"/>
  <c r="I30840" i="5"/>
  <c r="I30663" i="5"/>
  <c r="I30504" i="5"/>
  <c r="I30343" i="5"/>
  <c r="I30210" i="5"/>
  <c r="I30042" i="5"/>
  <c r="I29906" i="5"/>
  <c r="I29808" i="5"/>
  <c r="I29682" i="5"/>
  <c r="I29568" i="5"/>
  <c r="I29463" i="5"/>
  <c r="I29344" i="5"/>
  <c r="I29223" i="5"/>
  <c r="I29144" i="5"/>
  <c r="I29078" i="5"/>
  <c r="I29021" i="5"/>
  <c r="I28971" i="5"/>
  <c r="I28909" i="5"/>
  <c r="I28851" i="5"/>
  <c r="I28798" i="5"/>
  <c r="I28739" i="5"/>
  <c r="I28678" i="5"/>
  <c r="I28629" i="5"/>
  <c r="I28566" i="5"/>
  <c r="I28509" i="5"/>
  <c r="I28459" i="5"/>
  <c r="I28397" i="5"/>
  <c r="I28339" i="5"/>
  <c r="I28286" i="5"/>
  <c r="I28227" i="5"/>
  <c r="I28166" i="5"/>
  <c r="I28117" i="5"/>
  <c r="I28054" i="5"/>
  <c r="I27997" i="5"/>
  <c r="I27947" i="5"/>
  <c r="I27885" i="5"/>
  <c r="I27827" i="5"/>
  <c r="I27774" i="5"/>
  <c r="I27715" i="5"/>
  <c r="I27654" i="5"/>
  <c r="I27605" i="5"/>
  <c r="I27542" i="5"/>
  <c r="I27485" i="5"/>
  <c r="I27435" i="5"/>
  <c r="I27373" i="5"/>
  <c r="I27315" i="5"/>
  <c r="I27262" i="5"/>
  <c r="I27203" i="5"/>
  <c r="I27142" i="5"/>
  <c r="I27093" i="5"/>
  <c r="I27030" i="5"/>
  <c r="I26989" i="5"/>
  <c r="I26947" i="5"/>
  <c r="I26902" i="5"/>
  <c r="I26861" i="5"/>
  <c r="I26819" i="5"/>
  <c r="I26774" i="5"/>
  <c r="I26733" i="5"/>
  <c r="I26691" i="5"/>
  <c r="I26646" i="5"/>
  <c r="I26605" i="5"/>
  <c r="I26563" i="5"/>
  <c r="I26518" i="5"/>
  <c r="I26477" i="5"/>
  <c r="I26435" i="5"/>
  <c r="I26395" i="5"/>
  <c r="I26363" i="5"/>
  <c r="I26331" i="5"/>
  <c r="I26299" i="5"/>
  <c r="I26267" i="5"/>
  <c r="I26235" i="5"/>
  <c r="I26203" i="5"/>
  <c r="I26171" i="5"/>
  <c r="I26139" i="5"/>
  <c r="I26107" i="5"/>
  <c r="I26075" i="5"/>
  <c r="I26043" i="5"/>
  <c r="I26011" i="5"/>
  <c r="I25979" i="5"/>
  <c r="I25947" i="5"/>
  <c r="I25915" i="5"/>
  <c r="I25883" i="5"/>
  <c r="I25851" i="5"/>
  <c r="I25819" i="5"/>
  <c r="I25787" i="5"/>
  <c r="I25755" i="5"/>
  <c r="I25723" i="5"/>
  <c r="I25694" i="5"/>
  <c r="I25669" i="5"/>
  <c r="I25643" i="5"/>
  <c r="I25617" i="5"/>
  <c r="I25594" i="5"/>
  <c r="I25573" i="5"/>
  <c r="I25552" i="5"/>
  <c r="I25530" i="5"/>
  <c r="I25509" i="5"/>
  <c r="I25488" i="5"/>
  <c r="I25466" i="5"/>
  <c r="I25445" i="5"/>
  <c r="I25424" i="5"/>
  <c r="I25402" i="5"/>
  <c r="I25381" i="5"/>
  <c r="I25360" i="5"/>
  <c r="I25338" i="5"/>
  <c r="I25317" i="5"/>
  <c r="I25296" i="5"/>
  <c r="I25274" i="5"/>
  <c r="I25253" i="5"/>
  <c r="I25232" i="5"/>
  <c r="I25210" i="5"/>
  <c r="I25189" i="5"/>
  <c r="I25168" i="5"/>
  <c r="I25146" i="5"/>
  <c r="I25125" i="5"/>
  <c r="I25104" i="5"/>
  <c r="I25082" i="5"/>
  <c r="I25061" i="5"/>
  <c r="I25040" i="5"/>
  <c r="I25021" i="5"/>
  <c r="I25002" i="5"/>
  <c r="I24984" i="5"/>
  <c r="I24966" i="5"/>
  <c r="I24947" i="5"/>
  <c r="I24929" i="5"/>
  <c r="I24911" i="5"/>
  <c r="I24893" i="5"/>
  <c r="I24874" i="5"/>
  <c r="I24856" i="5"/>
  <c r="I24838" i="5"/>
  <c r="I24820" i="5"/>
  <c r="I24804" i="5"/>
  <c r="I24788" i="5"/>
  <c r="I24772" i="5"/>
  <c r="I24756" i="5"/>
  <c r="I24740" i="5"/>
  <c r="I24724" i="5"/>
  <c r="I24708" i="5"/>
  <c r="I24692" i="5"/>
  <c r="I24676" i="5"/>
  <c r="I24660" i="5"/>
  <c r="I24644" i="5"/>
  <c r="I24628" i="5"/>
  <c r="I24612" i="5"/>
  <c r="I24596" i="5"/>
  <c r="I24580" i="5"/>
  <c r="I24565" i="5"/>
  <c r="I24551" i="5"/>
  <c r="I24541" i="5"/>
  <c r="I24531" i="5"/>
  <c r="I24519" i="5"/>
  <c r="I24510" i="5"/>
  <c r="I24501" i="5"/>
  <c r="I24493" i="5"/>
  <c r="I24485" i="5"/>
  <c r="I24477" i="5"/>
  <c r="I24469" i="5"/>
  <c r="I24461" i="5"/>
  <c r="I24453" i="5"/>
  <c r="I24445" i="5"/>
  <c r="I24437" i="5"/>
  <c r="I24429" i="5"/>
  <c r="I24421" i="5"/>
  <c r="I24413" i="5"/>
  <c r="I24405" i="5"/>
  <c r="I24397" i="5"/>
  <c r="I24389" i="5"/>
  <c r="I24381" i="5"/>
  <c r="I24373" i="5"/>
  <c r="I24365" i="5"/>
  <c r="I24357" i="5"/>
  <c r="I24349" i="5"/>
  <c r="I24341" i="5"/>
  <c r="I24333" i="5"/>
  <c r="I24325" i="5"/>
  <c r="I24317" i="5"/>
  <c r="I24309" i="5"/>
  <c r="I24301" i="5"/>
  <c r="I24293" i="5"/>
  <c r="I24285" i="5"/>
  <c r="I24277" i="5"/>
  <c r="I24269" i="5"/>
  <c r="I24261" i="5"/>
  <c r="I24253" i="5"/>
  <c r="I24245" i="5"/>
  <c r="I24237" i="5"/>
  <c r="I24229" i="5"/>
  <c r="I24221" i="5"/>
  <c r="I24213" i="5"/>
  <c r="I24205" i="5"/>
  <c r="I24197" i="5"/>
  <c r="I24189" i="5"/>
  <c r="I24181" i="5"/>
  <c r="I24173" i="5"/>
  <c r="I24165" i="5"/>
  <c r="I24157" i="5"/>
  <c r="I24149" i="5"/>
  <c r="I24141" i="5"/>
  <c r="I24133" i="5"/>
  <c r="I24125" i="5"/>
  <c r="I24117" i="5"/>
  <c r="I24109" i="5"/>
  <c r="I24101" i="5"/>
  <c r="I24093" i="5"/>
  <c r="I24085" i="5"/>
  <c r="I24077" i="5"/>
  <c r="I24069" i="5"/>
  <c r="I24061" i="5"/>
  <c r="I24053" i="5"/>
  <c r="I24045" i="5"/>
  <c r="I24037" i="5"/>
  <c r="I24029" i="5"/>
  <c r="I24021" i="5"/>
  <c r="I24013" i="5"/>
  <c r="I24005" i="5"/>
  <c r="I23997" i="5"/>
  <c r="I23989" i="5"/>
  <c r="I23981" i="5"/>
  <c r="I23973" i="5"/>
  <c r="I23965" i="5"/>
  <c r="I23957" i="5"/>
  <c r="I23949" i="5"/>
  <c r="I23941" i="5"/>
  <c r="I23933" i="5"/>
  <c r="I23925" i="5"/>
  <c r="I23917" i="5"/>
  <c r="I23909" i="5"/>
  <c r="I23901" i="5"/>
  <c r="I23893" i="5"/>
  <c r="I23885" i="5"/>
  <c r="I23877" i="5"/>
  <c r="I23869" i="5"/>
  <c r="I23861" i="5"/>
  <c r="I23853" i="5"/>
  <c r="I23845" i="5"/>
  <c r="I23837" i="5"/>
  <c r="I23829" i="5"/>
  <c r="I23821" i="5"/>
  <c r="I23813" i="5"/>
  <c r="I23805" i="5"/>
  <c r="I23797" i="5"/>
  <c r="I23789" i="5"/>
  <c r="I23781" i="5"/>
  <c r="I23773" i="5"/>
  <c r="I23765" i="5"/>
  <c r="I23757" i="5"/>
  <c r="I23749" i="5"/>
  <c r="I23741" i="5"/>
  <c r="I23733" i="5"/>
  <c r="I23725" i="5"/>
  <c r="I23717" i="5"/>
  <c r="I23709" i="5"/>
  <c r="I23701" i="5"/>
  <c r="I23693" i="5"/>
  <c r="I23685" i="5"/>
  <c r="I23677" i="5"/>
  <c r="I23669" i="5"/>
  <c r="I23661" i="5"/>
  <c r="I23653" i="5"/>
  <c r="I23645" i="5"/>
  <c r="I23637" i="5"/>
  <c r="I23629" i="5"/>
  <c r="I23621" i="5"/>
  <c r="I23613" i="5"/>
  <c r="I23605" i="5"/>
  <c r="I23597" i="5"/>
  <c r="I23589" i="5"/>
  <c r="I23581" i="5"/>
  <c r="I23573" i="5"/>
  <c r="I23565" i="5"/>
  <c r="I23557" i="5"/>
  <c r="I23549" i="5"/>
  <c r="I23541" i="5"/>
  <c r="I23533" i="5"/>
  <c r="I23525" i="5"/>
  <c r="I23517" i="5"/>
  <c r="I23509" i="5"/>
  <c r="I23501" i="5"/>
  <c r="I23493" i="5"/>
  <c r="I23485" i="5"/>
  <c r="I23477" i="5"/>
  <c r="I23469" i="5"/>
  <c r="I23461" i="5"/>
  <c r="I23453" i="5"/>
  <c r="I23445" i="5"/>
  <c r="I23437" i="5"/>
  <c r="I23429" i="5"/>
  <c r="I33754" i="5"/>
  <c r="I31407" i="5"/>
  <c r="I30490" i="5"/>
  <c r="I29895" i="5"/>
  <c r="I29440" i="5"/>
  <c r="I29077" i="5"/>
  <c r="I28845" i="5"/>
  <c r="I28614" i="5"/>
  <c r="I28395" i="5"/>
  <c r="I28163" i="5"/>
  <c r="I27933" i="5"/>
  <c r="I27710" i="5"/>
  <c r="I27478" i="5"/>
  <c r="I27251" i="5"/>
  <c r="I27029" i="5"/>
  <c r="I26859" i="5"/>
  <c r="I26686" i="5"/>
  <c r="I26517" i="5"/>
  <c r="I26360" i="5"/>
  <c r="I26232" i="5"/>
  <c r="I26104" i="5"/>
  <c r="I25976" i="5"/>
  <c r="I25848" i="5"/>
  <c r="I25720" i="5"/>
  <c r="I25616" i="5"/>
  <c r="I25529" i="5"/>
  <c r="I25443" i="5"/>
  <c r="I25358" i="5"/>
  <c r="I25273" i="5"/>
  <c r="I25187" i="5"/>
  <c r="I25102" i="5"/>
  <c r="I25019" i="5"/>
  <c r="I24946" i="5"/>
  <c r="I24873" i="5"/>
  <c r="I24803" i="5"/>
  <c r="I24739" i="5"/>
  <c r="I24675" i="5"/>
  <c r="I24611" i="5"/>
  <c r="I24550" i="5"/>
  <c r="I24509" i="5"/>
  <c r="I24476" i="5"/>
  <c r="I24444" i="5"/>
  <c r="I24412" i="5"/>
  <c r="I24380" i="5"/>
  <c r="I24348" i="5"/>
  <c r="I24316" i="5"/>
  <c r="I24284" i="5"/>
  <c r="I24252" i="5"/>
  <c r="I24220" i="5"/>
  <c r="I24188" i="5"/>
  <c r="I24156" i="5"/>
  <c r="I24124" i="5"/>
  <c r="I24092" i="5"/>
  <c r="I24060" i="5"/>
  <c r="I24028" i="5"/>
  <c r="I23996" i="5"/>
  <c r="I23964" i="5"/>
  <c r="I23932" i="5"/>
  <c r="I23900" i="5"/>
  <c r="I23868" i="5"/>
  <c r="I23836" i="5"/>
  <c r="I23804" i="5"/>
  <c r="I23772" i="5"/>
  <c r="I23740" i="5"/>
  <c r="I23708" i="5"/>
  <c r="I23676" i="5"/>
  <c r="I23644" i="5"/>
  <c r="I23612" i="5"/>
  <c r="I23580" i="5"/>
  <c r="I23548" i="5"/>
  <c r="I23516" i="5"/>
  <c r="I23484" i="5"/>
  <c r="I23452" i="5"/>
  <c r="I23421" i="5"/>
  <c r="I23399" i="5"/>
  <c r="I23380" i="5"/>
  <c r="I23357" i="5"/>
  <c r="I23335" i="5"/>
  <c r="I23316" i="5"/>
  <c r="I23293" i="5"/>
  <c r="I23271" i="5"/>
  <c r="I23252" i="5"/>
  <c r="I23229" i="5"/>
  <c r="I23207" i="5"/>
  <c r="I23188" i="5"/>
  <c r="I23165" i="5"/>
  <c r="I23143" i="5"/>
  <c r="I23124" i="5"/>
  <c r="I23101" i="5"/>
  <c r="I23079" i="5"/>
  <c r="I23060" i="5"/>
  <c r="I23037" i="5"/>
  <c r="I23015" i="5"/>
  <c r="I22996" i="5"/>
  <c r="I22973" i="5"/>
  <c r="I22951" i="5"/>
  <c r="I22932" i="5"/>
  <c r="I22909" i="5"/>
  <c r="I22887" i="5"/>
  <c r="I22868" i="5"/>
  <c r="I22845" i="5"/>
  <c r="I22823" i="5"/>
  <c r="I22804" i="5"/>
  <c r="I22781" i="5"/>
  <c r="I22759" i="5"/>
  <c r="I22740" i="5"/>
  <c r="I22717" i="5"/>
  <c r="I22695" i="5"/>
  <c r="I22676" i="5"/>
  <c r="I22653" i="5"/>
  <c r="I22631" i="5"/>
  <c r="I22612" i="5"/>
  <c r="I22589" i="5"/>
  <c r="I22567" i="5"/>
  <c r="I22548" i="5"/>
  <c r="I22525" i="5"/>
  <c r="I22503" i="5"/>
  <c r="I22484" i="5"/>
  <c r="I22461" i="5"/>
  <c r="I22439" i="5"/>
  <c r="I22420" i="5"/>
  <c r="I22397" i="5"/>
  <c r="I22375" i="5"/>
  <c r="I22356" i="5"/>
  <c r="I22333" i="5"/>
  <c r="I22311" i="5"/>
  <c r="I22292" i="5"/>
  <c r="I22269" i="5"/>
  <c r="I22247" i="5"/>
  <c r="I22228" i="5"/>
  <c r="I22205" i="5"/>
  <c r="I22183" i="5"/>
  <c r="I22164" i="5"/>
  <c r="I22141" i="5"/>
  <c r="I22119" i="5"/>
  <c r="I22100" i="5"/>
  <c r="I22077" i="5"/>
  <c r="I22055" i="5"/>
  <c r="I22036" i="5"/>
  <c r="I22013" i="5"/>
  <c r="I21991" i="5"/>
  <c r="I21972" i="5"/>
  <c r="I21949" i="5"/>
  <c r="I21927" i="5"/>
  <c r="I21908" i="5"/>
  <c r="I21885" i="5"/>
  <c r="I21863" i="5"/>
  <c r="I21844" i="5"/>
  <c r="I21821" i="5"/>
  <c r="I21799" i="5"/>
  <c r="I21780" i="5"/>
  <c r="I21757" i="5"/>
  <c r="I21735" i="5"/>
  <c r="I21716" i="5"/>
  <c r="I21693" i="5"/>
  <c r="I21675" i="5"/>
  <c r="I21659" i="5"/>
  <c r="I21643" i="5"/>
  <c r="I21627" i="5"/>
  <c r="I21611" i="5"/>
  <c r="I21595" i="5"/>
  <c r="I21579" i="5"/>
  <c r="I21563" i="5"/>
  <c r="I21547" i="5"/>
  <c r="I21531" i="5"/>
  <c r="I21515" i="5"/>
  <c r="I21499" i="5"/>
  <c r="I21483" i="5"/>
  <c r="I21467" i="5"/>
  <c r="I21451" i="5"/>
  <c r="I21435" i="5"/>
  <c r="I21419" i="5"/>
  <c r="I21403" i="5"/>
  <c r="I21387" i="5"/>
  <c r="I21371" i="5"/>
  <c r="I21355" i="5"/>
  <c r="I21339" i="5"/>
  <c r="I21323" i="5"/>
  <c r="I21307" i="5"/>
  <c r="I21291" i="5"/>
  <c r="I21275" i="5"/>
  <c r="I21259" i="5"/>
  <c r="I21243" i="5"/>
  <c r="I21227" i="5"/>
  <c r="I21211" i="5"/>
  <c r="I21195" i="5"/>
  <c r="I21179" i="5"/>
  <c r="I21163" i="5"/>
  <c r="I21147" i="5"/>
  <c r="I21131" i="5"/>
  <c r="I21115" i="5"/>
  <c r="I21099" i="5"/>
  <c r="I21083" i="5"/>
  <c r="I21067" i="5"/>
  <c r="I21051" i="5"/>
  <c r="I21035" i="5"/>
  <c r="I21019" i="5"/>
  <c r="I21003" i="5"/>
  <c r="I20987" i="5"/>
  <c r="I20971" i="5"/>
  <c r="I20955" i="5"/>
  <c r="I20939" i="5"/>
  <c r="I20923" i="5"/>
  <c r="I20907" i="5"/>
  <c r="I20891" i="5"/>
  <c r="I20875" i="5"/>
  <c r="I20859" i="5"/>
  <c r="I20843" i="5"/>
  <c r="I20827" i="5"/>
  <c r="I20811" i="5"/>
  <c r="I20795" i="5"/>
  <c r="I20779" i="5"/>
  <c r="I20763" i="5"/>
  <c r="I20747" i="5"/>
  <c r="I20731" i="5"/>
  <c r="I20715" i="5"/>
  <c r="I20699" i="5"/>
  <c r="I20683" i="5"/>
  <c r="I20667" i="5"/>
  <c r="I20651" i="5"/>
  <c r="I20635" i="5"/>
  <c r="I20619" i="5"/>
  <c r="I20603" i="5"/>
  <c r="I20587" i="5"/>
  <c r="I20571" i="5"/>
  <c r="I20555" i="5"/>
  <c r="I20539" i="5"/>
  <c r="I20523" i="5"/>
  <c r="I20507" i="5"/>
  <c r="I20491" i="5"/>
  <c r="I20475" i="5"/>
  <c r="I20459" i="5"/>
  <c r="I20443" i="5"/>
  <c r="I20428" i="5"/>
  <c r="I20415" i="5"/>
  <c r="I20403" i="5"/>
  <c r="I20389" i="5"/>
  <c r="I20377" i="5"/>
  <c r="I20364" i="5"/>
  <c r="I20351" i="5"/>
  <c r="I20339" i="5"/>
  <c r="I20325" i="5"/>
  <c r="I20314" i="5"/>
  <c r="I20304" i="5"/>
  <c r="I20296" i="5"/>
  <c r="I20288" i="5"/>
  <c r="I20280" i="5"/>
  <c r="I20272" i="5"/>
  <c r="I20264" i="5"/>
  <c r="I20256" i="5"/>
  <c r="I20248" i="5"/>
  <c r="I20240" i="5"/>
  <c r="I20232" i="5"/>
  <c r="I20224" i="5"/>
  <c r="I20216" i="5"/>
  <c r="I20208" i="5"/>
  <c r="I20200" i="5"/>
  <c r="I20192" i="5"/>
  <c r="I20184" i="5"/>
  <c r="I20176" i="5"/>
  <c r="I20168" i="5"/>
  <c r="I20160" i="5"/>
  <c r="I20152" i="5"/>
  <c r="I20144" i="5"/>
  <c r="I20136" i="5"/>
  <c r="I20128" i="5"/>
  <c r="I20120" i="5"/>
  <c r="I20112" i="5"/>
  <c r="I20104" i="5"/>
  <c r="I20096" i="5"/>
  <c r="I20088" i="5"/>
  <c r="I20080" i="5"/>
  <c r="I20072" i="5"/>
  <c r="I20064" i="5"/>
  <c r="I20056" i="5"/>
  <c r="I20048" i="5"/>
  <c r="I20040" i="5"/>
  <c r="I20032" i="5"/>
  <c r="I20024" i="5"/>
  <c r="I20016" i="5"/>
  <c r="I20008" i="5"/>
  <c r="I20000" i="5"/>
  <c r="I19992" i="5"/>
  <c r="I19984" i="5"/>
  <c r="I19976" i="5"/>
  <c r="I19968" i="5"/>
  <c r="I19960" i="5"/>
  <c r="I19952" i="5"/>
  <c r="I19944" i="5"/>
  <c r="I19936" i="5"/>
  <c r="I19928" i="5"/>
  <c r="I19920" i="5"/>
  <c r="I19912" i="5"/>
  <c r="I19904" i="5"/>
  <c r="I19896" i="5"/>
  <c r="I19888" i="5"/>
  <c r="I19880" i="5"/>
  <c r="I19872" i="5"/>
  <c r="I19864" i="5"/>
  <c r="I19856" i="5"/>
  <c r="I19848" i="5"/>
  <c r="I19840" i="5"/>
  <c r="I19832" i="5"/>
  <c r="I19824" i="5"/>
  <c r="I19816" i="5"/>
  <c r="I19808" i="5"/>
  <c r="I19800" i="5"/>
  <c r="I19792" i="5"/>
  <c r="I19784" i="5"/>
  <c r="I19776" i="5"/>
  <c r="I19768" i="5"/>
  <c r="I19760" i="5"/>
  <c r="I19752" i="5"/>
  <c r="I19744" i="5"/>
  <c r="I19736" i="5"/>
  <c r="I19728" i="5"/>
  <c r="I19720" i="5"/>
  <c r="I19712" i="5"/>
  <c r="I19704" i="5"/>
  <c r="I19696" i="5"/>
  <c r="I19688" i="5"/>
  <c r="I19680" i="5"/>
  <c r="I19672" i="5"/>
  <c r="I19664" i="5"/>
  <c r="I19656" i="5"/>
  <c r="I19648" i="5"/>
  <c r="I19640" i="5"/>
  <c r="I19632" i="5"/>
  <c r="I19624" i="5"/>
  <c r="I19616" i="5"/>
  <c r="I19608" i="5"/>
  <c r="I19600" i="5"/>
  <c r="I19592" i="5"/>
  <c r="I19584" i="5"/>
  <c r="I19576" i="5"/>
  <c r="I19568" i="5"/>
  <c r="I19560" i="5"/>
  <c r="I19552" i="5"/>
  <c r="I19544" i="5"/>
  <c r="I19536" i="5"/>
  <c r="I19528" i="5"/>
  <c r="I19520" i="5"/>
  <c r="I19512" i="5"/>
  <c r="I19504" i="5"/>
  <c r="I19496" i="5"/>
  <c r="I19488" i="5"/>
  <c r="I19480" i="5"/>
  <c r="I19472" i="5"/>
  <c r="I19464" i="5"/>
  <c r="I19456" i="5"/>
  <c r="I19448" i="5"/>
  <c r="I19440" i="5"/>
  <c r="I19432" i="5"/>
  <c r="I19424" i="5"/>
  <c r="I19416" i="5"/>
  <c r="I19408" i="5"/>
  <c r="I19400" i="5"/>
  <c r="I19392" i="5"/>
  <c r="I19384" i="5"/>
  <c r="I19376" i="5"/>
  <c r="I19368" i="5"/>
  <c r="I19360" i="5"/>
  <c r="I19352" i="5"/>
  <c r="I19344" i="5"/>
  <c r="I19336" i="5"/>
  <c r="I19328" i="5"/>
  <c r="I19320" i="5"/>
  <c r="I19312" i="5"/>
  <c r="I19304" i="5"/>
  <c r="I19296" i="5"/>
  <c r="I19288" i="5"/>
  <c r="I19280" i="5"/>
  <c r="I19272" i="5"/>
  <c r="I19264" i="5"/>
  <c r="I19256" i="5"/>
  <c r="I19248" i="5"/>
  <c r="I19240" i="5"/>
  <c r="I19232" i="5"/>
  <c r="I19224" i="5"/>
  <c r="I19216" i="5"/>
  <c r="I19208" i="5"/>
  <c r="I19200" i="5"/>
  <c r="I19192" i="5"/>
  <c r="I19184" i="5"/>
  <c r="I19176" i="5"/>
  <c r="I19168" i="5"/>
  <c r="I19160" i="5"/>
  <c r="I19152" i="5"/>
  <c r="I19144" i="5"/>
  <c r="I19136" i="5"/>
  <c r="I19128" i="5"/>
  <c r="I19120" i="5"/>
  <c r="I19112" i="5"/>
  <c r="I19104" i="5"/>
  <c r="I19096" i="5"/>
  <c r="I19088" i="5"/>
  <c r="I19080" i="5"/>
  <c r="I19072" i="5"/>
  <c r="I19064" i="5"/>
  <c r="I19056" i="5"/>
  <c r="I19048" i="5"/>
  <c r="I19040" i="5"/>
  <c r="I19032" i="5"/>
  <c r="I19024" i="5"/>
  <c r="I19016" i="5"/>
  <c r="I19008" i="5"/>
  <c r="I19000" i="5"/>
  <c r="I18992" i="5"/>
  <c r="I18984" i="5"/>
  <c r="I18976" i="5"/>
  <c r="I18968" i="5"/>
  <c r="I18960" i="5"/>
  <c r="I18952" i="5"/>
  <c r="I18944" i="5"/>
  <c r="I18936" i="5"/>
  <c r="I18928" i="5"/>
  <c r="I18920" i="5"/>
  <c r="I18912" i="5"/>
  <c r="I18904" i="5"/>
  <c r="I18896" i="5"/>
  <c r="I18888" i="5"/>
  <c r="I18880" i="5"/>
  <c r="I18872" i="5"/>
  <c r="I18864" i="5"/>
  <c r="I18856" i="5"/>
  <c r="I18848" i="5"/>
  <c r="I18840" i="5"/>
  <c r="I18832" i="5"/>
  <c r="I18824" i="5"/>
  <c r="I18816" i="5"/>
  <c r="I18808" i="5"/>
  <c r="I18800" i="5"/>
  <c r="I18792" i="5"/>
  <c r="I18784" i="5"/>
  <c r="I18776" i="5"/>
  <c r="I18768" i="5"/>
  <c r="I18760" i="5"/>
  <c r="I18752" i="5"/>
  <c r="I18744" i="5"/>
  <c r="I18736" i="5"/>
  <c r="I18728" i="5"/>
  <c r="I18720" i="5"/>
  <c r="I18712" i="5"/>
  <c r="I18704" i="5"/>
  <c r="I18696" i="5"/>
  <c r="I18688" i="5"/>
  <c r="I18680" i="5"/>
  <c r="I18672" i="5"/>
  <c r="I18664" i="5"/>
  <c r="I18656" i="5"/>
  <c r="I18648" i="5"/>
  <c r="I18640" i="5"/>
  <c r="I18632" i="5"/>
  <c r="I18624" i="5"/>
  <c r="I18616" i="5"/>
  <c r="I18608" i="5"/>
  <c r="I18600" i="5"/>
  <c r="I18592" i="5"/>
  <c r="I18584" i="5"/>
  <c r="I18576" i="5"/>
  <c r="I18568" i="5"/>
  <c r="I18560" i="5"/>
  <c r="I18552" i="5"/>
  <c r="I18544" i="5"/>
  <c r="I18536" i="5"/>
  <c r="I18528" i="5"/>
  <c r="I18520" i="5"/>
  <c r="I18512" i="5"/>
  <c r="I18504" i="5"/>
  <c r="I18496" i="5"/>
  <c r="I18488" i="5"/>
  <c r="I18480" i="5"/>
  <c r="I18472" i="5"/>
  <c r="I18464" i="5"/>
  <c r="I18456" i="5"/>
  <c r="I18448" i="5"/>
  <c r="I18440" i="5"/>
  <c r="I18432" i="5"/>
  <c r="I18424" i="5"/>
  <c r="I18416" i="5"/>
  <c r="I18408" i="5"/>
  <c r="I18400" i="5"/>
  <c r="I18392" i="5"/>
  <c r="I18384" i="5"/>
  <c r="I18376" i="5"/>
  <c r="I18368" i="5"/>
  <c r="I18360" i="5"/>
  <c r="I18352" i="5"/>
  <c r="I18344" i="5"/>
  <c r="I18336" i="5"/>
  <c r="I18328" i="5"/>
  <c r="I18320" i="5"/>
  <c r="I18312" i="5"/>
  <c r="I18304" i="5"/>
  <c r="I18296" i="5"/>
  <c r="I18288" i="5"/>
  <c r="I18280" i="5"/>
  <c r="I18272" i="5"/>
  <c r="I18264" i="5"/>
  <c r="I18256" i="5"/>
  <c r="I18248" i="5"/>
  <c r="I18240" i="5"/>
  <c r="I18232" i="5"/>
  <c r="I18224" i="5"/>
  <c r="I18216" i="5"/>
  <c r="I18208" i="5"/>
  <c r="I18200" i="5"/>
  <c r="I18192" i="5"/>
  <c r="I18184" i="5"/>
  <c r="I18176" i="5"/>
  <c r="I18168" i="5"/>
  <c r="I18160" i="5"/>
  <c r="I18152" i="5"/>
  <c r="I18144" i="5"/>
  <c r="I18136" i="5"/>
  <c r="I18128" i="5"/>
  <c r="I18120" i="5"/>
  <c r="I18112" i="5"/>
  <c r="I18104" i="5"/>
  <c r="I18096" i="5"/>
  <c r="I18088" i="5"/>
  <c r="I18080" i="5"/>
  <c r="I18072" i="5"/>
  <c r="I18064" i="5"/>
  <c r="I18056" i="5"/>
  <c r="I18048" i="5"/>
  <c r="I18040" i="5"/>
  <c r="I18032" i="5"/>
  <c r="I18024" i="5"/>
  <c r="I18016" i="5"/>
  <c r="I18008" i="5"/>
  <c r="I18000" i="5"/>
  <c r="I17992" i="5"/>
  <c r="I17984" i="5"/>
  <c r="I17976" i="5"/>
  <c r="I17968" i="5"/>
  <c r="I17960" i="5"/>
  <c r="I17952" i="5"/>
  <c r="I17944" i="5"/>
  <c r="I17936" i="5"/>
  <c r="I17928" i="5"/>
  <c r="I17920" i="5"/>
  <c r="I17912" i="5"/>
  <c r="I17904" i="5"/>
  <c r="I17896" i="5"/>
  <c r="I17888" i="5"/>
  <c r="I17880" i="5"/>
  <c r="I17872" i="5"/>
  <c r="I17864" i="5"/>
  <c r="I17856" i="5"/>
  <c r="I17848" i="5"/>
  <c r="I17840" i="5"/>
  <c r="I17832" i="5"/>
  <c r="I17824" i="5"/>
  <c r="I17816" i="5"/>
  <c r="I17808" i="5"/>
  <c r="I17800" i="5"/>
  <c r="I17792" i="5"/>
  <c r="I17784" i="5"/>
  <c r="I17776" i="5"/>
  <c r="I17768" i="5"/>
  <c r="I17760" i="5"/>
  <c r="I17752" i="5"/>
  <c r="I17744" i="5"/>
  <c r="I17736" i="5"/>
  <c r="I17728" i="5"/>
  <c r="I17720" i="5"/>
  <c r="I17712" i="5"/>
  <c r="I17704" i="5"/>
  <c r="I17696" i="5"/>
  <c r="I17688" i="5"/>
  <c r="I17680" i="5"/>
  <c r="I17672" i="5"/>
  <c r="I17664" i="5"/>
  <c r="I17656" i="5"/>
  <c r="I17648" i="5"/>
  <c r="I17640" i="5"/>
  <c r="I17632" i="5"/>
  <c r="I17624" i="5"/>
  <c r="I17616" i="5"/>
  <c r="I17608" i="5"/>
  <c r="I17600" i="5"/>
  <c r="I17592" i="5"/>
  <c r="I17584" i="5"/>
  <c r="I17576" i="5"/>
  <c r="I17568" i="5"/>
  <c r="I17560" i="5"/>
  <c r="I17552" i="5"/>
  <c r="I17544" i="5"/>
  <c r="I17536" i="5"/>
  <c r="I17528" i="5"/>
  <c r="I17520" i="5"/>
  <c r="I17512" i="5"/>
  <c r="I17504" i="5"/>
  <c r="I17496" i="5"/>
  <c r="I17488" i="5"/>
  <c r="I17480" i="5"/>
  <c r="I17472" i="5"/>
  <c r="I17464" i="5"/>
  <c r="I17456" i="5"/>
  <c r="I17448" i="5"/>
  <c r="I17440" i="5"/>
  <c r="I17432" i="5"/>
  <c r="I17424" i="5"/>
  <c r="I17416" i="5"/>
  <c r="I17408" i="5"/>
  <c r="I17400" i="5"/>
  <c r="I17392" i="5"/>
  <c r="I17384" i="5"/>
  <c r="I17376" i="5"/>
  <c r="I17368" i="5"/>
  <c r="I17360" i="5"/>
  <c r="I17352" i="5"/>
  <c r="I17344" i="5"/>
  <c r="I17336" i="5"/>
  <c r="I17328" i="5"/>
  <c r="I17320" i="5"/>
  <c r="I17312" i="5"/>
  <c r="I17304" i="5"/>
  <c r="I17296" i="5"/>
  <c r="I17288" i="5"/>
  <c r="I17280" i="5"/>
  <c r="I17272" i="5"/>
  <c r="I17264" i="5"/>
  <c r="I17256" i="5"/>
  <c r="I17248" i="5"/>
  <c r="I17240" i="5"/>
  <c r="I17232" i="5"/>
  <c r="I17224" i="5"/>
  <c r="I17216" i="5"/>
  <c r="I17208" i="5"/>
  <c r="I17200" i="5"/>
  <c r="I17192" i="5"/>
  <c r="I17184" i="5"/>
  <c r="I17176" i="5"/>
  <c r="I17168" i="5"/>
  <c r="I17160" i="5"/>
  <c r="I17152" i="5"/>
  <c r="I17144" i="5"/>
  <c r="I17136" i="5"/>
  <c r="I17128" i="5"/>
  <c r="I17120" i="5"/>
  <c r="I17112" i="5"/>
  <c r="I17104" i="5"/>
  <c r="I17096" i="5"/>
  <c r="I17088" i="5"/>
  <c r="I17080" i="5"/>
  <c r="I17072" i="5"/>
  <c r="I17064" i="5"/>
  <c r="I17056" i="5"/>
  <c r="I17048" i="5"/>
  <c r="I17040" i="5"/>
  <c r="I17032" i="5"/>
  <c r="I17024" i="5"/>
  <c r="I17016" i="5"/>
  <c r="I17008" i="5"/>
  <c r="I17000" i="5"/>
  <c r="I16992" i="5"/>
  <c r="I16984" i="5"/>
  <c r="I16976" i="5"/>
  <c r="I16968" i="5"/>
  <c r="I16960" i="5"/>
  <c r="I16952" i="5"/>
  <c r="I16944" i="5"/>
  <c r="I16936" i="5"/>
  <c r="I16928" i="5"/>
  <c r="I16920" i="5"/>
  <c r="I16912" i="5"/>
  <c r="I16904" i="5"/>
  <c r="I16896" i="5"/>
  <c r="I16888" i="5"/>
  <c r="I16880" i="5"/>
  <c r="I16872" i="5"/>
  <c r="I16864" i="5"/>
  <c r="I16856" i="5"/>
  <c r="I33068" i="5"/>
  <c r="I31237" i="5"/>
  <c r="I30384" i="5"/>
  <c r="I29824" i="5"/>
  <c r="I29378" i="5"/>
  <c r="I29037" i="5"/>
  <c r="I28806" i="5"/>
  <c r="I28587" i="5"/>
  <c r="I28355" i="5"/>
  <c r="I28125" i="5"/>
  <c r="I27902" i="5"/>
  <c r="I27670" i="5"/>
  <c r="I27443" i="5"/>
  <c r="I27221" i="5"/>
  <c r="I26997" i="5"/>
  <c r="I26827" i="5"/>
  <c r="I26654" i="5"/>
  <c r="I26485" i="5"/>
  <c r="I26336" i="5"/>
  <c r="I26208" i="5"/>
  <c r="I26080" i="5"/>
  <c r="I25952" i="5"/>
  <c r="I25824" i="5"/>
  <c r="I25699" i="5"/>
  <c r="I25598" i="5"/>
  <c r="I25513" i="5"/>
  <c r="I25427" i="5"/>
  <c r="I25342" i="5"/>
  <c r="I25257" i="5"/>
  <c r="I25171" i="5"/>
  <c r="I25086" i="5"/>
  <c r="I25006" i="5"/>
  <c r="I24933" i="5"/>
  <c r="I24859" i="5"/>
  <c r="I24791" i="5"/>
  <c r="I24727" i="5"/>
  <c r="I24663" i="5"/>
  <c r="I24599" i="5"/>
  <c r="I24543" i="5"/>
  <c r="I24503" i="5"/>
  <c r="I24471" i="5"/>
  <c r="I24439" i="5"/>
  <c r="I24407" i="5"/>
  <c r="I24375" i="5"/>
  <c r="I24343" i="5"/>
  <c r="I24311" i="5"/>
  <c r="I24279" i="5"/>
  <c r="I24247" i="5"/>
  <c r="I24215" i="5"/>
  <c r="I24183" i="5"/>
  <c r="I24151" i="5"/>
  <c r="I24119" i="5"/>
  <c r="I24087" i="5"/>
  <c r="I24055" i="5"/>
  <c r="I24023" i="5"/>
  <c r="I23991" i="5"/>
  <c r="I23959" i="5"/>
  <c r="I23927" i="5"/>
  <c r="I23895" i="5"/>
  <c r="I23863" i="5"/>
  <c r="I23831" i="5"/>
  <c r="I23799" i="5"/>
  <c r="I23767" i="5"/>
  <c r="I23735" i="5"/>
  <c r="I23703" i="5"/>
  <c r="I23671" i="5"/>
  <c r="I23639" i="5"/>
  <c r="I23607" i="5"/>
  <c r="I23575" i="5"/>
  <c r="I23543" i="5"/>
  <c r="I23511" i="5"/>
  <c r="I23479" i="5"/>
  <c r="I23447" i="5"/>
  <c r="I23420" i="5"/>
  <c r="I23397" i="5"/>
  <c r="I23375" i="5"/>
  <c r="I23356" i="5"/>
  <c r="I23333" i="5"/>
  <c r="I23311" i="5"/>
  <c r="I23292" i="5"/>
  <c r="I23269" i="5"/>
  <c r="I23247" i="5"/>
  <c r="I23228" i="5"/>
  <c r="I23205" i="5"/>
  <c r="I23183" i="5"/>
  <c r="I23164" i="5"/>
  <c r="I23141" i="5"/>
  <c r="I23119" i="5"/>
  <c r="I23100" i="5"/>
  <c r="I23077" i="5"/>
  <c r="I23055" i="5"/>
  <c r="I23036" i="5"/>
  <c r="I23013" i="5"/>
  <c r="I22991" i="5"/>
  <c r="I22972" i="5"/>
  <c r="I22949" i="5"/>
  <c r="I22927" i="5"/>
  <c r="I22908" i="5"/>
  <c r="I22885" i="5"/>
  <c r="I22863" i="5"/>
  <c r="I22844" i="5"/>
  <c r="I22821" i="5"/>
  <c r="I22799" i="5"/>
  <c r="I22780" i="5"/>
  <c r="I22757" i="5"/>
  <c r="I22735" i="5"/>
  <c r="I22716" i="5"/>
  <c r="I22693" i="5"/>
  <c r="I22671" i="5"/>
  <c r="I22652" i="5"/>
  <c r="I22629" i="5"/>
  <c r="I22607" i="5"/>
  <c r="I22588" i="5"/>
  <c r="I22565" i="5"/>
  <c r="I22543" i="5"/>
  <c r="I22524" i="5"/>
  <c r="I22501" i="5"/>
  <c r="I22479" i="5"/>
  <c r="I22460" i="5"/>
  <c r="I22437" i="5"/>
  <c r="I22415" i="5"/>
  <c r="I22396" i="5"/>
  <c r="I22373" i="5"/>
  <c r="I22351" i="5"/>
  <c r="I22332" i="5"/>
  <c r="I22309" i="5"/>
  <c r="I22287" i="5"/>
  <c r="I22268" i="5"/>
  <c r="I22245" i="5"/>
  <c r="I22223" i="5"/>
  <c r="I22204" i="5"/>
  <c r="I22181" i="5"/>
  <c r="I22159" i="5"/>
  <c r="I22140" i="5"/>
  <c r="I22117" i="5"/>
  <c r="I22095" i="5"/>
  <c r="I22076" i="5"/>
  <c r="I22053" i="5"/>
  <c r="I22031" i="5"/>
  <c r="I22012" i="5"/>
  <c r="I21989" i="5"/>
  <c r="I21967" i="5"/>
  <c r="I21948" i="5"/>
  <c r="I21925" i="5"/>
  <c r="I21903" i="5"/>
  <c r="I21884" i="5"/>
  <c r="I21861" i="5"/>
  <c r="I21839" i="5"/>
  <c r="I21820" i="5"/>
  <c r="I21797" i="5"/>
  <c r="I21775" i="5"/>
  <c r="I21756" i="5"/>
  <c r="I21733" i="5"/>
  <c r="I21711" i="5"/>
  <c r="I21692" i="5"/>
  <c r="I21671" i="5"/>
  <c r="I21655" i="5"/>
  <c r="I21639" i="5"/>
  <c r="I21623" i="5"/>
  <c r="I21607" i="5"/>
  <c r="I21591" i="5"/>
  <c r="I21575" i="5"/>
  <c r="I21559" i="5"/>
  <c r="I21543" i="5"/>
  <c r="I21527" i="5"/>
  <c r="I21511" i="5"/>
  <c r="I21495" i="5"/>
  <c r="I21479" i="5"/>
  <c r="I21463" i="5"/>
  <c r="I21447" i="5"/>
  <c r="I21431" i="5"/>
  <c r="I21415" i="5"/>
  <c r="I21399" i="5"/>
  <c r="I21383" i="5"/>
  <c r="I21367" i="5"/>
  <c r="I21351" i="5"/>
  <c r="I21335" i="5"/>
  <c r="I21319" i="5"/>
  <c r="I21303" i="5"/>
  <c r="I21287" i="5"/>
  <c r="I21271" i="5"/>
  <c r="I21255" i="5"/>
  <c r="I21239" i="5"/>
  <c r="I21223" i="5"/>
  <c r="I21207" i="5"/>
  <c r="I21191" i="5"/>
  <c r="I21175" i="5"/>
  <c r="I21159" i="5"/>
  <c r="I21143" i="5"/>
  <c r="I21127" i="5"/>
  <c r="I21111" i="5"/>
  <c r="I21095" i="5"/>
  <c r="I21079" i="5"/>
  <c r="I21063" i="5"/>
  <c r="I21047" i="5"/>
  <c r="I21031" i="5"/>
  <c r="I21015" i="5"/>
  <c r="I20999" i="5"/>
  <c r="I20983" i="5"/>
  <c r="I20967" i="5"/>
  <c r="I20951" i="5"/>
  <c r="I20935" i="5"/>
  <c r="I20919" i="5"/>
  <c r="I20903" i="5"/>
  <c r="I20887" i="5"/>
  <c r="I20871" i="5"/>
  <c r="I20855" i="5"/>
  <c r="I20839" i="5"/>
  <c r="I20823" i="5"/>
  <c r="I20807" i="5"/>
  <c r="I20791" i="5"/>
  <c r="I20775" i="5"/>
  <c r="I20759" i="5"/>
  <c r="I20743" i="5"/>
  <c r="I20727" i="5"/>
  <c r="I20711" i="5"/>
  <c r="I20695" i="5"/>
  <c r="I20679" i="5"/>
  <c r="I20663" i="5"/>
  <c r="I20647" i="5"/>
  <c r="I20631" i="5"/>
  <c r="I20615" i="5"/>
  <c r="I20599" i="5"/>
  <c r="I20583" i="5"/>
  <c r="I20567" i="5"/>
  <c r="I20551" i="5"/>
  <c r="I20535" i="5"/>
  <c r="I20519" i="5"/>
  <c r="I20503" i="5"/>
  <c r="I20487" i="5"/>
  <c r="I20471" i="5"/>
  <c r="I20455" i="5"/>
  <c r="I20439" i="5"/>
  <c r="I20427" i="5"/>
  <c r="I20413" i="5"/>
  <c r="I20401" i="5"/>
  <c r="I20388" i="5"/>
  <c r="I20375" i="5"/>
  <c r="I20363" i="5"/>
  <c r="I20349" i="5"/>
  <c r="I20337" i="5"/>
  <c r="I20324" i="5"/>
  <c r="I20313" i="5"/>
  <c r="I20303" i="5"/>
  <c r="I20295" i="5"/>
  <c r="I20287" i="5"/>
  <c r="I20279" i="5"/>
  <c r="I20271" i="5"/>
  <c r="I20263" i="5"/>
  <c r="I20255" i="5"/>
  <c r="I20247" i="5"/>
  <c r="I20239" i="5"/>
  <c r="I20231" i="5"/>
  <c r="I20223" i="5"/>
  <c r="I20215" i="5"/>
  <c r="I20207" i="5"/>
  <c r="I20199" i="5"/>
  <c r="I20191" i="5"/>
  <c r="I20183" i="5"/>
  <c r="I20175" i="5"/>
  <c r="I20167" i="5"/>
  <c r="I20159" i="5"/>
  <c r="I20151" i="5"/>
  <c r="I20143" i="5"/>
  <c r="I20135" i="5"/>
  <c r="I20127" i="5"/>
  <c r="I20119" i="5"/>
  <c r="I20111" i="5"/>
  <c r="I20103" i="5"/>
  <c r="I20095" i="5"/>
  <c r="I20087" i="5"/>
  <c r="I20079" i="5"/>
  <c r="I20071" i="5"/>
  <c r="I20063" i="5"/>
  <c r="I20055" i="5"/>
  <c r="I20047" i="5"/>
  <c r="I20039" i="5"/>
  <c r="I20031" i="5"/>
  <c r="I20023" i="5"/>
  <c r="I20015" i="5"/>
  <c r="I20007" i="5"/>
  <c r="I19999" i="5"/>
  <c r="I19991" i="5"/>
  <c r="I19983" i="5"/>
  <c r="I19975" i="5"/>
  <c r="I19967" i="5"/>
  <c r="I19959" i="5"/>
  <c r="I19951" i="5"/>
  <c r="I19943" i="5"/>
  <c r="I19935" i="5"/>
  <c r="I19927" i="5"/>
  <c r="I19919" i="5"/>
  <c r="I19911" i="5"/>
  <c r="I19903" i="5"/>
  <c r="I19895" i="5"/>
  <c r="I19887" i="5"/>
  <c r="I19879" i="5"/>
  <c r="I19871" i="5"/>
  <c r="I19863" i="5"/>
  <c r="I19855" i="5"/>
  <c r="I19847" i="5"/>
  <c r="I19839" i="5"/>
  <c r="I19831" i="5"/>
  <c r="I19823" i="5"/>
  <c r="I19815" i="5"/>
  <c r="I19807" i="5"/>
  <c r="I19799" i="5"/>
  <c r="I19791" i="5"/>
  <c r="I19783" i="5"/>
  <c r="I19775" i="5"/>
  <c r="I19767" i="5"/>
  <c r="I19759" i="5"/>
  <c r="I19751" i="5"/>
  <c r="I19743" i="5"/>
  <c r="I19735" i="5"/>
  <c r="I19727" i="5"/>
  <c r="I19719" i="5"/>
  <c r="I19711" i="5"/>
  <c r="I19703" i="5"/>
  <c r="I19695" i="5"/>
  <c r="I19687" i="5"/>
  <c r="I19679" i="5"/>
  <c r="I19671" i="5"/>
  <c r="I19663" i="5"/>
  <c r="I19655" i="5"/>
  <c r="I19647" i="5"/>
  <c r="I19639" i="5"/>
  <c r="I19631" i="5"/>
  <c r="I19623" i="5"/>
  <c r="I19615" i="5"/>
  <c r="I19607" i="5"/>
  <c r="I19599" i="5"/>
  <c r="I19591" i="5"/>
  <c r="I19583" i="5"/>
  <c r="I19575" i="5"/>
  <c r="I19567" i="5"/>
  <c r="I19559" i="5"/>
  <c r="I19551" i="5"/>
  <c r="I19543" i="5"/>
  <c r="I19535" i="5"/>
  <c r="I19527" i="5"/>
  <c r="I19519" i="5"/>
  <c r="I19511" i="5"/>
  <c r="I19503" i="5"/>
  <c r="I19495" i="5"/>
  <c r="I19487" i="5"/>
  <c r="I19479" i="5"/>
  <c r="I19471" i="5"/>
  <c r="I19463" i="5"/>
  <c r="I19455" i="5"/>
  <c r="I19447" i="5"/>
  <c r="I19439" i="5"/>
  <c r="I19431" i="5"/>
  <c r="I19423" i="5"/>
  <c r="I19415" i="5"/>
  <c r="I19407" i="5"/>
  <c r="I19399" i="5"/>
  <c r="I19391" i="5"/>
  <c r="I19383" i="5"/>
  <c r="I19375" i="5"/>
  <c r="I19367" i="5"/>
  <c r="I19359" i="5"/>
  <c r="I19351" i="5"/>
  <c r="I19343" i="5"/>
  <c r="I19335" i="5"/>
  <c r="I19327" i="5"/>
  <c r="I19319" i="5"/>
  <c r="I19311" i="5"/>
  <c r="I19303" i="5"/>
  <c r="I19295" i="5"/>
  <c r="I19287" i="5"/>
  <c r="I19279" i="5"/>
  <c r="I19271" i="5"/>
  <c r="I19263" i="5"/>
  <c r="I19255" i="5"/>
  <c r="I19247" i="5"/>
  <c r="I19239" i="5"/>
  <c r="I19231" i="5"/>
  <c r="I19223" i="5"/>
  <c r="I19215" i="5"/>
  <c r="I19207" i="5"/>
  <c r="I19199" i="5"/>
  <c r="I19191" i="5"/>
  <c r="I19183" i="5"/>
  <c r="I19175" i="5"/>
  <c r="I19167" i="5"/>
  <c r="I19159" i="5"/>
  <c r="I19151" i="5"/>
  <c r="I19143" i="5"/>
  <c r="I19135" i="5"/>
  <c r="I19127" i="5"/>
  <c r="I19119" i="5"/>
  <c r="I19111" i="5"/>
  <c r="I19103" i="5"/>
  <c r="I19095" i="5"/>
  <c r="I19087" i="5"/>
  <c r="I19079" i="5"/>
  <c r="I19071" i="5"/>
  <c r="I19063" i="5"/>
  <c r="I19055" i="5"/>
  <c r="I19047" i="5"/>
  <c r="I19039" i="5"/>
  <c r="I19031" i="5"/>
  <c r="I19023" i="5"/>
  <c r="I19015" i="5"/>
  <c r="I19007" i="5"/>
  <c r="I18999" i="5"/>
  <c r="I18991" i="5"/>
  <c r="I18983" i="5"/>
  <c r="I18975" i="5"/>
  <c r="I18967" i="5"/>
  <c r="I18959" i="5"/>
  <c r="I18951" i="5"/>
  <c r="I18943" i="5"/>
  <c r="I18935" i="5"/>
  <c r="I18927" i="5"/>
  <c r="I18919" i="5"/>
  <c r="I18911" i="5"/>
  <c r="I18903" i="5"/>
  <c r="I18895" i="5"/>
  <c r="I18887" i="5"/>
  <c r="I18879" i="5"/>
  <c r="I18871" i="5"/>
  <c r="I18863" i="5"/>
  <c r="I18855" i="5"/>
  <c r="I18847" i="5"/>
  <c r="I18839" i="5"/>
  <c r="I18831" i="5"/>
  <c r="I18823" i="5"/>
  <c r="I18815" i="5"/>
  <c r="I18807" i="5"/>
  <c r="I18799" i="5"/>
  <c r="I18791" i="5"/>
  <c r="I18783" i="5"/>
  <c r="I18775" i="5"/>
  <c r="I18767" i="5"/>
  <c r="I18759" i="5"/>
  <c r="I18751" i="5"/>
  <c r="I18743" i="5"/>
  <c r="I18735" i="5"/>
  <c r="I18727" i="5"/>
  <c r="I18719" i="5"/>
  <c r="I18711" i="5"/>
  <c r="I18703" i="5"/>
  <c r="I18695" i="5"/>
  <c r="I18687" i="5"/>
  <c r="I18679" i="5"/>
  <c r="I18671" i="5"/>
  <c r="I18663" i="5"/>
  <c r="I18655" i="5"/>
  <c r="I18647" i="5"/>
  <c r="I18639" i="5"/>
  <c r="I18631" i="5"/>
  <c r="I18623" i="5"/>
  <c r="I18615" i="5"/>
  <c r="I18607" i="5"/>
  <c r="I32732" i="5"/>
  <c r="I31136" i="5"/>
  <c r="I30335" i="5"/>
  <c r="I29778" i="5"/>
  <c r="I29335" i="5"/>
  <c r="I29014" i="5"/>
  <c r="I28787" i="5"/>
  <c r="I28565" i="5"/>
  <c r="I28333" i="5"/>
  <c r="I28102" i="5"/>
  <c r="I27883" i="5"/>
  <c r="I27651" i="5"/>
  <c r="I27421" i="5"/>
  <c r="I27198" i="5"/>
  <c r="I26987" i="5"/>
  <c r="I26814" i="5"/>
  <c r="I26645" i="5"/>
  <c r="I26475" i="5"/>
  <c r="I26328" i="5"/>
  <c r="I26200" i="5"/>
  <c r="I26072" i="5"/>
  <c r="I25944" i="5"/>
  <c r="I25816" i="5"/>
  <c r="I25693" i="5"/>
  <c r="I25593" i="5"/>
  <c r="I25507" i="5"/>
  <c r="I25422" i="5"/>
  <c r="I25337" i="5"/>
  <c r="I25251" i="5"/>
  <c r="I25166" i="5"/>
  <c r="I25081" i="5"/>
  <c r="I25001" i="5"/>
  <c r="I24928" i="5"/>
  <c r="I24855" i="5"/>
  <c r="I24787" i="5"/>
  <c r="I24723" i="5"/>
  <c r="I24659" i="5"/>
  <c r="I24595" i="5"/>
  <c r="I24540" i="5"/>
  <c r="I24500" i="5"/>
  <c r="I24468" i="5"/>
  <c r="I24436" i="5"/>
  <c r="I24404" i="5"/>
  <c r="I24372" i="5"/>
  <c r="I24340" i="5"/>
  <c r="I24308" i="5"/>
  <c r="I24276" i="5"/>
  <c r="I24244" i="5"/>
  <c r="I24212" i="5"/>
  <c r="I24180" i="5"/>
  <c r="I24148" i="5"/>
  <c r="I24116" i="5"/>
  <c r="I24084" i="5"/>
  <c r="I24052" i="5"/>
  <c r="I24020" i="5"/>
  <c r="I23988" i="5"/>
  <c r="I23956" i="5"/>
  <c r="I23924" i="5"/>
  <c r="I23892" i="5"/>
  <c r="I23860" i="5"/>
  <c r="I23828" i="5"/>
  <c r="I23796" i="5"/>
  <c r="I23764" i="5"/>
  <c r="I23732" i="5"/>
  <c r="I23700" i="5"/>
  <c r="I23668" i="5"/>
  <c r="I23636" i="5"/>
  <c r="I23604" i="5"/>
  <c r="I23572" i="5"/>
  <c r="I23540" i="5"/>
  <c r="I23508" i="5"/>
  <c r="I23476" i="5"/>
  <c r="I23444" i="5"/>
  <c r="I23415" i="5"/>
  <c r="I23396" i="5"/>
  <c r="I23373" i="5"/>
  <c r="I23351" i="5"/>
  <c r="I23332" i="5"/>
  <c r="I23309" i="5"/>
  <c r="I23287" i="5"/>
  <c r="I23268" i="5"/>
  <c r="I23245" i="5"/>
  <c r="I23223" i="5"/>
  <c r="I23204" i="5"/>
  <c r="I23181" i="5"/>
  <c r="I23159" i="5"/>
  <c r="I23140" i="5"/>
  <c r="I23117" i="5"/>
  <c r="I23095" i="5"/>
  <c r="I23076" i="5"/>
  <c r="I23053" i="5"/>
  <c r="I23031" i="5"/>
  <c r="I23012" i="5"/>
  <c r="I22989" i="5"/>
  <c r="I22967" i="5"/>
  <c r="I22948" i="5"/>
  <c r="I22925" i="5"/>
  <c r="I22903" i="5"/>
  <c r="I22884" i="5"/>
  <c r="I22861" i="5"/>
  <c r="I22839" i="5"/>
  <c r="I22820" i="5"/>
  <c r="I22797" i="5"/>
  <c r="I22775" i="5"/>
  <c r="I22756" i="5"/>
  <c r="I22733" i="5"/>
  <c r="I22711" i="5"/>
  <c r="I22692" i="5"/>
  <c r="I22669" i="5"/>
  <c r="I22647" i="5"/>
  <c r="I22628" i="5"/>
  <c r="I22605" i="5"/>
  <c r="I22583" i="5"/>
  <c r="I22564" i="5"/>
  <c r="I22541" i="5"/>
  <c r="I22519" i="5"/>
  <c r="I22500" i="5"/>
  <c r="I22477" i="5"/>
  <c r="I22455" i="5"/>
  <c r="I22436" i="5"/>
  <c r="I22413" i="5"/>
  <c r="I22391" i="5"/>
  <c r="I22372" i="5"/>
  <c r="I22349" i="5"/>
  <c r="I22327" i="5"/>
  <c r="I22308" i="5"/>
  <c r="I22285" i="5"/>
  <c r="I22263" i="5"/>
  <c r="I22244" i="5"/>
  <c r="I22221" i="5"/>
  <c r="I22199" i="5"/>
  <c r="I22180" i="5"/>
  <c r="I22157" i="5"/>
  <c r="I22135" i="5"/>
  <c r="I22116" i="5"/>
  <c r="I22093" i="5"/>
  <c r="I22071" i="5"/>
  <c r="I22052" i="5"/>
  <c r="I22029" i="5"/>
  <c r="I22007" i="5"/>
  <c r="I21988" i="5"/>
  <c r="I21965" i="5"/>
  <c r="I21943" i="5"/>
  <c r="I21924" i="5"/>
  <c r="I21901" i="5"/>
  <c r="I21879" i="5"/>
  <c r="I21860" i="5"/>
  <c r="I21837" i="5"/>
  <c r="I21815" i="5"/>
  <c r="I21796" i="5"/>
  <c r="I21773" i="5"/>
  <c r="I21751" i="5"/>
  <c r="I21732" i="5"/>
  <c r="I21709" i="5"/>
  <c r="I21687" i="5"/>
  <c r="I21669" i="5"/>
  <c r="I21653" i="5"/>
  <c r="I21637" i="5"/>
  <c r="I21621" i="5"/>
  <c r="I21605" i="5"/>
  <c r="I21589" i="5"/>
  <c r="I21573" i="5"/>
  <c r="I21557" i="5"/>
  <c r="I21541" i="5"/>
  <c r="I21525" i="5"/>
  <c r="I21509" i="5"/>
  <c r="I21493" i="5"/>
  <c r="I21477" i="5"/>
  <c r="I21461" i="5"/>
  <c r="I21445" i="5"/>
  <c r="I21429" i="5"/>
  <c r="I21413" i="5"/>
  <c r="I21397" i="5"/>
  <c r="I21381" i="5"/>
  <c r="I21365" i="5"/>
  <c r="I21349" i="5"/>
  <c r="I21333" i="5"/>
  <c r="I21317" i="5"/>
  <c r="I21301" i="5"/>
  <c r="I21285" i="5"/>
  <c r="I21269" i="5"/>
  <c r="I21253" i="5"/>
  <c r="I21237" i="5"/>
  <c r="I21221" i="5"/>
  <c r="I21205" i="5"/>
  <c r="I21189" i="5"/>
  <c r="I21173" i="5"/>
  <c r="I21157" i="5"/>
  <c r="I21141" i="5"/>
  <c r="I21125" i="5"/>
  <c r="I21109" i="5"/>
  <c r="I21093" i="5"/>
  <c r="I21077" i="5"/>
  <c r="I21061" i="5"/>
  <c r="I21045" i="5"/>
  <c r="I21029" i="5"/>
  <c r="I21013" i="5"/>
  <c r="I20997" i="5"/>
  <c r="I20981" i="5"/>
  <c r="I20965" i="5"/>
  <c r="I20949" i="5"/>
  <c r="I20933" i="5"/>
  <c r="I20917" i="5"/>
  <c r="I20901" i="5"/>
  <c r="I20885" i="5"/>
  <c r="I20869" i="5"/>
  <c r="I20853" i="5"/>
  <c r="I20837" i="5"/>
  <c r="I20821" i="5"/>
  <c r="I20805" i="5"/>
  <c r="I20789" i="5"/>
  <c r="I20773" i="5"/>
  <c r="I20757" i="5"/>
  <c r="I20741" i="5"/>
  <c r="I20725" i="5"/>
  <c r="I20709" i="5"/>
  <c r="I20693" i="5"/>
  <c r="I20677" i="5"/>
  <c r="I20661" i="5"/>
  <c r="I20645" i="5"/>
  <c r="I20629" i="5"/>
  <c r="I20613" i="5"/>
  <c r="I20597" i="5"/>
  <c r="I20581" i="5"/>
  <c r="I20565" i="5"/>
  <c r="I20549" i="5"/>
  <c r="I20533" i="5"/>
  <c r="I20517" i="5"/>
  <c r="I20501" i="5"/>
  <c r="I20485" i="5"/>
  <c r="I20469" i="5"/>
  <c r="I20453" i="5"/>
  <c r="I20437" i="5"/>
  <c r="I20425" i="5"/>
  <c r="I20412" i="5"/>
  <c r="I20399" i="5"/>
  <c r="I20387" i="5"/>
  <c r="I20373" i="5"/>
  <c r="I20361" i="5"/>
  <c r="I20348" i="5"/>
  <c r="I20335" i="5"/>
  <c r="I20323" i="5"/>
  <c r="I20311" i="5"/>
  <c r="I20302" i="5"/>
  <c r="I20294" i="5"/>
  <c r="I20286" i="5"/>
  <c r="I20278" i="5"/>
  <c r="I20270" i="5"/>
  <c r="I20262" i="5"/>
  <c r="I20254" i="5"/>
  <c r="I20246" i="5"/>
  <c r="I20238" i="5"/>
  <c r="I20230" i="5"/>
  <c r="I20222" i="5"/>
  <c r="I20214" i="5"/>
  <c r="I20206" i="5"/>
  <c r="I20198" i="5"/>
  <c r="I20190" i="5"/>
  <c r="I20182" i="5"/>
  <c r="I20174" i="5"/>
  <c r="I20166" i="5"/>
  <c r="I20158" i="5"/>
  <c r="I20150" i="5"/>
  <c r="I20142" i="5"/>
  <c r="I20134" i="5"/>
  <c r="I20126" i="5"/>
  <c r="I20118" i="5"/>
  <c r="I20110" i="5"/>
  <c r="I20102" i="5"/>
  <c r="I20094" i="5"/>
  <c r="I20086" i="5"/>
  <c r="I20078" i="5"/>
  <c r="I20070" i="5"/>
  <c r="I20062" i="5"/>
  <c r="I20054" i="5"/>
  <c r="I20046" i="5"/>
  <c r="I20038" i="5"/>
  <c r="I20030" i="5"/>
  <c r="I20022" i="5"/>
  <c r="I20014" i="5"/>
  <c r="I20006" i="5"/>
  <c r="I19998" i="5"/>
  <c r="I19990" i="5"/>
  <c r="I19982" i="5"/>
  <c r="I19974" i="5"/>
  <c r="I19966" i="5"/>
  <c r="I19958" i="5"/>
  <c r="I19950" i="5"/>
  <c r="I19942" i="5"/>
  <c r="I19934" i="5"/>
  <c r="I19926" i="5"/>
  <c r="I19918" i="5"/>
  <c r="I19910" i="5"/>
  <c r="I19902" i="5"/>
  <c r="I19894" i="5"/>
  <c r="I19886" i="5"/>
  <c r="I19878" i="5"/>
  <c r="I19870" i="5"/>
  <c r="I19862" i="5"/>
  <c r="I19854" i="5"/>
  <c r="I19846" i="5"/>
  <c r="I19838" i="5"/>
  <c r="I19830" i="5"/>
  <c r="I19822" i="5"/>
  <c r="I19814" i="5"/>
  <c r="I19806" i="5"/>
  <c r="I19798" i="5"/>
  <c r="I19790" i="5"/>
  <c r="I19782" i="5"/>
  <c r="I19774" i="5"/>
  <c r="I19766" i="5"/>
  <c r="I19758" i="5"/>
  <c r="I19750" i="5"/>
  <c r="I19742" i="5"/>
  <c r="I19734" i="5"/>
  <c r="I19726" i="5"/>
  <c r="I19718" i="5"/>
  <c r="I19710" i="5"/>
  <c r="I19702" i="5"/>
  <c r="I19694" i="5"/>
  <c r="I19686" i="5"/>
  <c r="I19678" i="5"/>
  <c r="I19670" i="5"/>
  <c r="I19662" i="5"/>
  <c r="I19654" i="5"/>
  <c r="I19646" i="5"/>
  <c r="I19638" i="5"/>
  <c r="I19630" i="5"/>
  <c r="I19622" i="5"/>
  <c r="I19614" i="5"/>
  <c r="I19606" i="5"/>
  <c r="I19598" i="5"/>
  <c r="I19590" i="5"/>
  <c r="I19582" i="5"/>
  <c r="I19574" i="5"/>
  <c r="I19566" i="5"/>
  <c r="I19558" i="5"/>
  <c r="I19550" i="5"/>
  <c r="I19542" i="5"/>
  <c r="I19534" i="5"/>
  <c r="I19526" i="5"/>
  <c r="I19518" i="5"/>
  <c r="I19510" i="5"/>
  <c r="I19502" i="5"/>
  <c r="I19494" i="5"/>
  <c r="I19486" i="5"/>
  <c r="I19478" i="5"/>
  <c r="I19470" i="5"/>
  <c r="I19462" i="5"/>
  <c r="I19454" i="5"/>
  <c r="I19446" i="5"/>
  <c r="I19438" i="5"/>
  <c r="I19430" i="5"/>
  <c r="I19422" i="5"/>
  <c r="I19414" i="5"/>
  <c r="I19406" i="5"/>
  <c r="I19398" i="5"/>
  <c r="I19390" i="5"/>
  <c r="I19382" i="5"/>
  <c r="I19374" i="5"/>
  <c r="I19366" i="5"/>
  <c r="I19358" i="5"/>
  <c r="I19350" i="5"/>
  <c r="I19342" i="5"/>
  <c r="I19334" i="5"/>
  <c r="I19326" i="5"/>
  <c r="I19318" i="5"/>
  <c r="I19310" i="5"/>
  <c r="I19302" i="5"/>
  <c r="I19294" i="5"/>
  <c r="I19286" i="5"/>
  <c r="I19278" i="5"/>
  <c r="I19270" i="5"/>
  <c r="I19262" i="5"/>
  <c r="I19254" i="5"/>
  <c r="I19246" i="5"/>
  <c r="I19238" i="5"/>
  <c r="I19230" i="5"/>
  <c r="I19222" i="5"/>
  <c r="I19214" i="5"/>
  <c r="I19206" i="5"/>
  <c r="I19198" i="5"/>
  <c r="I19190" i="5"/>
  <c r="I19182" i="5"/>
  <c r="I19174" i="5"/>
  <c r="I19166" i="5"/>
  <c r="I19158" i="5"/>
  <c r="I19150" i="5"/>
  <c r="I19142" i="5"/>
  <c r="I19134" i="5"/>
  <c r="I19126" i="5"/>
  <c r="I19118" i="5"/>
  <c r="I19110" i="5"/>
  <c r="I19102" i="5"/>
  <c r="I19094" i="5"/>
  <c r="I19086" i="5"/>
  <c r="I19078" i="5"/>
  <c r="I19070" i="5"/>
  <c r="I19062" i="5"/>
  <c r="I19054" i="5"/>
  <c r="I19046" i="5"/>
  <c r="I19038" i="5"/>
  <c r="I19030" i="5"/>
  <c r="I19022" i="5"/>
  <c r="I19014" i="5"/>
  <c r="I19006" i="5"/>
  <c r="I18998" i="5"/>
  <c r="I18990" i="5"/>
  <c r="I18982" i="5"/>
  <c r="I18974" i="5"/>
  <c r="I18966" i="5"/>
  <c r="I18958" i="5"/>
  <c r="I18950" i="5"/>
  <c r="I18942" i="5"/>
  <c r="I18934" i="5"/>
  <c r="I18926" i="5"/>
  <c r="I18918" i="5"/>
  <c r="I18910" i="5"/>
  <c r="I18902" i="5"/>
  <c r="I18894" i="5"/>
  <c r="I18886" i="5"/>
  <c r="I18878" i="5"/>
  <c r="I18870" i="5"/>
  <c r="I18862" i="5"/>
  <c r="I18854" i="5"/>
  <c r="I18846" i="5"/>
  <c r="I18838" i="5"/>
  <c r="I18830" i="5"/>
  <c r="I18822" i="5"/>
  <c r="I18814" i="5"/>
  <c r="I18806" i="5"/>
  <c r="I18798" i="5"/>
  <c r="I18790" i="5"/>
  <c r="I18782" i="5"/>
  <c r="I18774" i="5"/>
  <c r="I18766" i="5"/>
  <c r="I18758" i="5"/>
  <c r="I18750" i="5"/>
  <c r="I18742" i="5"/>
  <c r="I18734" i="5"/>
  <c r="I18726" i="5"/>
  <c r="I18718" i="5"/>
  <c r="I18710" i="5"/>
  <c r="I18702" i="5"/>
  <c r="I18694" i="5"/>
  <c r="I18686" i="5"/>
  <c r="I18678" i="5"/>
  <c r="I18670" i="5"/>
  <c r="I18662" i="5"/>
  <c r="I18654" i="5"/>
  <c r="I18646" i="5"/>
  <c r="I18638" i="5"/>
  <c r="I18630" i="5"/>
  <c r="I18622" i="5"/>
  <c r="I18614" i="5"/>
  <c r="I18606" i="5"/>
  <c r="I18598" i="5"/>
  <c r="I18590" i="5"/>
  <c r="I18582" i="5"/>
  <c r="I18574" i="5"/>
  <c r="I18566" i="5"/>
  <c r="I18558" i="5"/>
  <c r="I18550" i="5"/>
  <c r="I18542" i="5"/>
  <c r="I18534" i="5"/>
  <c r="I18526" i="5"/>
  <c r="I18518" i="5"/>
  <c r="I18510" i="5"/>
  <c r="I18502" i="5"/>
  <c r="I18494" i="5"/>
  <c r="I18486" i="5"/>
  <c r="I18478" i="5"/>
  <c r="I18470" i="5"/>
  <c r="I18462" i="5"/>
  <c r="I18454" i="5"/>
  <c r="I18446" i="5"/>
  <c r="I18438" i="5"/>
  <c r="I18430" i="5"/>
  <c r="I18422" i="5"/>
  <c r="I18414" i="5"/>
  <c r="I18406" i="5"/>
  <c r="I18398" i="5"/>
  <c r="I18390" i="5"/>
  <c r="I18382" i="5"/>
  <c r="I18374" i="5"/>
  <c r="I18366" i="5"/>
  <c r="I18358" i="5"/>
  <c r="I18350" i="5"/>
  <c r="I18342" i="5"/>
  <c r="I18334" i="5"/>
  <c r="I18326" i="5"/>
  <c r="I18318" i="5"/>
  <c r="I18310" i="5"/>
  <c r="I18302" i="5"/>
  <c r="I18294" i="5"/>
  <c r="I18286" i="5"/>
  <c r="I18278" i="5"/>
  <c r="I18270" i="5"/>
  <c r="I18262" i="5"/>
  <c r="I18254" i="5"/>
  <c r="I18246" i="5"/>
  <c r="I18238" i="5"/>
  <c r="I18230" i="5"/>
  <c r="I18222" i="5"/>
  <c r="I18214" i="5"/>
  <c r="I18206" i="5"/>
  <c r="I18198" i="5"/>
  <c r="I18190" i="5"/>
  <c r="I18182" i="5"/>
  <c r="I18174" i="5"/>
  <c r="I18166" i="5"/>
  <c r="I18158" i="5"/>
  <c r="I18150" i="5"/>
  <c r="I18142" i="5"/>
  <c r="I18134" i="5"/>
  <c r="I18126" i="5"/>
  <c r="I18118" i="5"/>
  <c r="I18110" i="5"/>
  <c r="I18102" i="5"/>
  <c r="I18094" i="5"/>
  <c r="I18086" i="5"/>
  <c r="I18078" i="5"/>
  <c r="I18070" i="5"/>
  <c r="I18062" i="5"/>
  <c r="I18054" i="5"/>
  <c r="I18046" i="5"/>
  <c r="I18038" i="5"/>
  <c r="I18030" i="5"/>
  <c r="I18022" i="5"/>
  <c r="I18014" i="5"/>
  <c r="I18006" i="5"/>
  <c r="I17998" i="5"/>
  <c r="I17990" i="5"/>
  <c r="I17982" i="5"/>
  <c r="I17974" i="5"/>
  <c r="I17966" i="5"/>
  <c r="I17958" i="5"/>
  <c r="I17950" i="5"/>
  <c r="I17942" i="5"/>
  <c r="I17934" i="5"/>
  <c r="I17926" i="5"/>
  <c r="I17918" i="5"/>
  <c r="I17910" i="5"/>
  <c r="I17902" i="5"/>
  <c r="I17894" i="5"/>
  <c r="I17886" i="5"/>
  <c r="I17878" i="5"/>
  <c r="I17870" i="5"/>
  <c r="I17862" i="5"/>
  <c r="I17854" i="5"/>
  <c r="I17846" i="5"/>
  <c r="I17838" i="5"/>
  <c r="I17830" i="5"/>
  <c r="I17822" i="5"/>
  <c r="I17814" i="5"/>
  <c r="I17806" i="5"/>
  <c r="I17798" i="5"/>
  <c r="I17790" i="5"/>
  <c r="I17782" i="5"/>
  <c r="I17774" i="5"/>
  <c r="I17766" i="5"/>
  <c r="I17758" i="5"/>
  <c r="I17750" i="5"/>
  <c r="I17742" i="5"/>
  <c r="I17734" i="5"/>
  <c r="I17726" i="5"/>
  <c r="I17718" i="5"/>
  <c r="I17710" i="5"/>
  <c r="I17702" i="5"/>
  <c r="I17694" i="5"/>
  <c r="I17686" i="5"/>
  <c r="I17678" i="5"/>
  <c r="I17670" i="5"/>
  <c r="I17662" i="5"/>
  <c r="I17654" i="5"/>
  <c r="I17646" i="5"/>
  <c r="I17638" i="5"/>
  <c r="I17630" i="5"/>
  <c r="I17622" i="5"/>
  <c r="I17614" i="5"/>
  <c r="I17606" i="5"/>
  <c r="I17598" i="5"/>
  <c r="I17590" i="5"/>
  <c r="I17582" i="5"/>
  <c r="I17574" i="5"/>
  <c r="I17566" i="5"/>
  <c r="I17558" i="5"/>
  <c r="I17550" i="5"/>
  <c r="I17542" i="5"/>
  <c r="I17534" i="5"/>
  <c r="I17526" i="5"/>
  <c r="I17518" i="5"/>
  <c r="I17510" i="5"/>
  <c r="I17502" i="5"/>
  <c r="I17494" i="5"/>
  <c r="I17486" i="5"/>
  <c r="I17478" i="5"/>
  <c r="I17470" i="5"/>
  <c r="I17462" i="5"/>
  <c r="I17454" i="5"/>
  <c r="I17446" i="5"/>
  <c r="I17438" i="5"/>
  <c r="I17430" i="5"/>
  <c r="I17422" i="5"/>
  <c r="I17414" i="5"/>
  <c r="I17406" i="5"/>
  <c r="I17398" i="5"/>
  <c r="I17390" i="5"/>
  <c r="I17382" i="5"/>
  <c r="I17374" i="5"/>
  <c r="I17366" i="5"/>
  <c r="I17358" i="5"/>
  <c r="I17350" i="5"/>
  <c r="I17342" i="5"/>
  <c r="I17334" i="5"/>
  <c r="I17326" i="5"/>
  <c r="I17318" i="5"/>
  <c r="I17310" i="5"/>
  <c r="I17302" i="5"/>
  <c r="I17294" i="5"/>
  <c r="I17286" i="5"/>
  <c r="I17278" i="5"/>
  <c r="I17270" i="5"/>
  <c r="I17262" i="5"/>
  <c r="I17254" i="5"/>
  <c r="I17246" i="5"/>
  <c r="I17238" i="5"/>
  <c r="I17230" i="5"/>
  <c r="I17222" i="5"/>
  <c r="I17214" i="5"/>
  <c r="I17206" i="5"/>
  <c r="I17198" i="5"/>
  <c r="I17190" i="5"/>
  <c r="I17182" i="5"/>
  <c r="I17174" i="5"/>
  <c r="I17166" i="5"/>
  <c r="I17158" i="5"/>
  <c r="I17150" i="5"/>
  <c r="I17142" i="5"/>
  <c r="I17134" i="5"/>
  <c r="I17126" i="5"/>
  <c r="I17118" i="5"/>
  <c r="I17110" i="5"/>
  <c r="I17102" i="5"/>
  <c r="I17094" i="5"/>
  <c r="I17086" i="5"/>
  <c r="I17078" i="5"/>
  <c r="I17070" i="5"/>
  <c r="I17062" i="5"/>
  <c r="I17054" i="5"/>
  <c r="I17046" i="5"/>
  <c r="I17038" i="5"/>
  <c r="I17030" i="5"/>
  <c r="I17022" i="5"/>
  <c r="I17014" i="5"/>
  <c r="I17006" i="5"/>
  <c r="I16998" i="5"/>
  <c r="I16990" i="5"/>
  <c r="I16982" i="5"/>
  <c r="I16974" i="5"/>
  <c r="I16966" i="5"/>
  <c r="I16958" i="5"/>
  <c r="I16950" i="5"/>
  <c r="I16942" i="5"/>
  <c r="I16934" i="5"/>
  <c r="I16926" i="5"/>
  <c r="I16918" i="5"/>
  <c r="I16910" i="5"/>
  <c r="I16902" i="5"/>
  <c r="I16894" i="5"/>
  <c r="I16886" i="5"/>
  <c r="I16878" i="5"/>
  <c r="I16870" i="5"/>
  <c r="I16862" i="5"/>
  <c r="I16854" i="5"/>
  <c r="I16846" i="5"/>
  <c r="I16838" i="5"/>
  <c r="I16830" i="5"/>
  <c r="I16822" i="5"/>
  <c r="I16814" i="5"/>
  <c r="I16806" i="5"/>
  <c r="I16798" i="5"/>
  <c r="I32399" i="5"/>
  <c r="I30927" i="5"/>
  <c r="I30232" i="5"/>
  <c r="I29719" i="5"/>
  <c r="I29255" i="5"/>
  <c r="I28979" i="5"/>
  <c r="I28757" i="5"/>
  <c r="I28525" i="5"/>
  <c r="I28294" i="5"/>
  <c r="I28075" i="5"/>
  <c r="I27843" i="5"/>
  <c r="I27613" i="5"/>
  <c r="I27390" i="5"/>
  <c r="I27158" i="5"/>
  <c r="I26955" i="5"/>
  <c r="I26782" i="5"/>
  <c r="I26613" i="5"/>
  <c r="I26443" i="5"/>
  <c r="I26304" i="5"/>
  <c r="I26176" i="5"/>
  <c r="I26048" i="5"/>
  <c r="I25920" i="5"/>
  <c r="I25792" i="5"/>
  <c r="I25673" i="5"/>
  <c r="I25577" i="5"/>
  <c r="I25491" i="5"/>
  <c r="I25406" i="5"/>
  <c r="I25321" i="5"/>
  <c r="I25235" i="5"/>
  <c r="I25150" i="5"/>
  <c r="I25065" i="5"/>
  <c r="I24987" i="5"/>
  <c r="I24914" i="5"/>
  <c r="I24841" i="5"/>
  <c r="I24775" i="5"/>
  <c r="I24711" i="5"/>
  <c r="I24647" i="5"/>
  <c r="I24583" i="5"/>
  <c r="I24533" i="5"/>
  <c r="I24495" i="5"/>
  <c r="I24463" i="5"/>
  <c r="I24431" i="5"/>
  <c r="I24399" i="5"/>
  <c r="I24367" i="5"/>
  <c r="I24335" i="5"/>
  <c r="I24303" i="5"/>
  <c r="I24271" i="5"/>
  <c r="I24239" i="5"/>
  <c r="I24207" i="5"/>
  <c r="I24175" i="5"/>
  <c r="I24143" i="5"/>
  <c r="I24111" i="5"/>
  <c r="I24079" i="5"/>
  <c r="I24047" i="5"/>
  <c r="I24015" i="5"/>
  <c r="I23983" i="5"/>
  <c r="I23951" i="5"/>
  <c r="I23919" i="5"/>
  <c r="I23887" i="5"/>
  <c r="I23855" i="5"/>
  <c r="I23823" i="5"/>
  <c r="I23791" i="5"/>
  <c r="I23759" i="5"/>
  <c r="I23727" i="5"/>
  <c r="I23695" i="5"/>
  <c r="I23663" i="5"/>
  <c r="I23631" i="5"/>
  <c r="I23599" i="5"/>
  <c r="I23567" i="5"/>
  <c r="I23535" i="5"/>
  <c r="I23503" i="5"/>
  <c r="I23471" i="5"/>
  <c r="I23439" i="5"/>
  <c r="I23413" i="5"/>
  <c r="I23391" i="5"/>
  <c r="I23372" i="5"/>
  <c r="I23349" i="5"/>
  <c r="I23327" i="5"/>
  <c r="I23308" i="5"/>
  <c r="I23285" i="5"/>
  <c r="I23263" i="5"/>
  <c r="I23244" i="5"/>
  <c r="I23221" i="5"/>
  <c r="I23199" i="5"/>
  <c r="I23180" i="5"/>
  <c r="I23157" i="5"/>
  <c r="I23135" i="5"/>
  <c r="I23116" i="5"/>
  <c r="I23093" i="5"/>
  <c r="I23071" i="5"/>
  <c r="I23052" i="5"/>
  <c r="I23029" i="5"/>
  <c r="I23007" i="5"/>
  <c r="I22988" i="5"/>
  <c r="I22965" i="5"/>
  <c r="I22943" i="5"/>
  <c r="I22924" i="5"/>
  <c r="I22901" i="5"/>
  <c r="I22879" i="5"/>
  <c r="I22860" i="5"/>
  <c r="I22837" i="5"/>
  <c r="I22815" i="5"/>
  <c r="I22796" i="5"/>
  <c r="I22773" i="5"/>
  <c r="I22751" i="5"/>
  <c r="I22732" i="5"/>
  <c r="I22709" i="5"/>
  <c r="I22687" i="5"/>
  <c r="I22668" i="5"/>
  <c r="I22645" i="5"/>
  <c r="I22623" i="5"/>
  <c r="I22604" i="5"/>
  <c r="I22581" i="5"/>
  <c r="I22559" i="5"/>
  <c r="I22540" i="5"/>
  <c r="I22517" i="5"/>
  <c r="I22495" i="5"/>
  <c r="I22476" i="5"/>
  <c r="I22453" i="5"/>
  <c r="I22431" i="5"/>
  <c r="I22412" i="5"/>
  <c r="I22389" i="5"/>
  <c r="I22367" i="5"/>
  <c r="I22348" i="5"/>
  <c r="I22325" i="5"/>
  <c r="I22303" i="5"/>
  <c r="I22284" i="5"/>
  <c r="I22261" i="5"/>
  <c r="I22239" i="5"/>
  <c r="I22220" i="5"/>
  <c r="I22197" i="5"/>
  <c r="I22175" i="5"/>
  <c r="I22156" i="5"/>
  <c r="I22133" i="5"/>
  <c r="I22111" i="5"/>
  <c r="I22092" i="5"/>
  <c r="I22069" i="5"/>
  <c r="I22047" i="5"/>
  <c r="I22028" i="5"/>
  <c r="I22005" i="5"/>
  <c r="I21983" i="5"/>
  <c r="I21964" i="5"/>
  <c r="I21941" i="5"/>
  <c r="I21919" i="5"/>
  <c r="I21900" i="5"/>
  <c r="I21877" i="5"/>
  <c r="I21855" i="5"/>
  <c r="I21836" i="5"/>
  <c r="I21813" i="5"/>
  <c r="I21791" i="5"/>
  <c r="I21772" i="5"/>
  <c r="I21749" i="5"/>
  <c r="I21727" i="5"/>
  <c r="I21708" i="5"/>
  <c r="I21685" i="5"/>
  <c r="I21668" i="5"/>
  <c r="I21652" i="5"/>
  <c r="I21636" i="5"/>
  <c r="I21620" i="5"/>
  <c r="I21604" i="5"/>
  <c r="I21588" i="5"/>
  <c r="I21572" i="5"/>
  <c r="I21556" i="5"/>
  <c r="I21540" i="5"/>
  <c r="I21524" i="5"/>
  <c r="I21508" i="5"/>
  <c r="I21492" i="5"/>
  <c r="I21476" i="5"/>
  <c r="I21460" i="5"/>
  <c r="I21444" i="5"/>
  <c r="I21428" i="5"/>
  <c r="I21412" i="5"/>
  <c r="I21396" i="5"/>
  <c r="I21380" i="5"/>
  <c r="I21364" i="5"/>
  <c r="I21348" i="5"/>
  <c r="I21332" i="5"/>
  <c r="I21316" i="5"/>
  <c r="I21300" i="5"/>
  <c r="I21284" i="5"/>
  <c r="I21268" i="5"/>
  <c r="I21252" i="5"/>
  <c r="I21236" i="5"/>
  <c r="I21220" i="5"/>
  <c r="I21204" i="5"/>
  <c r="I21188" i="5"/>
  <c r="I21172" i="5"/>
  <c r="I21156" i="5"/>
  <c r="I21140" i="5"/>
  <c r="I21124" i="5"/>
  <c r="I21108" i="5"/>
  <c r="I21092" i="5"/>
  <c r="I21076" i="5"/>
  <c r="I21060" i="5"/>
  <c r="I21044" i="5"/>
  <c r="I21028" i="5"/>
  <c r="I21012" i="5"/>
  <c r="I20996" i="5"/>
  <c r="I20980" i="5"/>
  <c r="I20964" i="5"/>
  <c r="I20948" i="5"/>
  <c r="I20932" i="5"/>
  <c r="I20916" i="5"/>
  <c r="I20900" i="5"/>
  <c r="I20884" i="5"/>
  <c r="I20868" i="5"/>
  <c r="I20852" i="5"/>
  <c r="I20836" i="5"/>
  <c r="I20820" i="5"/>
  <c r="I20804" i="5"/>
  <c r="I20788" i="5"/>
  <c r="I20772" i="5"/>
  <c r="I20756" i="5"/>
  <c r="I20740" i="5"/>
  <c r="I20724" i="5"/>
  <c r="I20708" i="5"/>
  <c r="I20692" i="5"/>
  <c r="I20676" i="5"/>
  <c r="I20660" i="5"/>
  <c r="I20644" i="5"/>
  <c r="I20628" i="5"/>
  <c r="I20612" i="5"/>
  <c r="I20596" i="5"/>
  <c r="I20580" i="5"/>
  <c r="I20564" i="5"/>
  <c r="I20548" i="5"/>
  <c r="I20532" i="5"/>
  <c r="I20516" i="5"/>
  <c r="I20500" i="5"/>
  <c r="I20484" i="5"/>
  <c r="I20468" i="5"/>
  <c r="I20452" i="5"/>
  <c r="I20436" i="5"/>
  <c r="I20423" i="5"/>
  <c r="I20411" i="5"/>
  <c r="I20397" i="5"/>
  <c r="I20385" i="5"/>
  <c r="I20372" i="5"/>
  <c r="I20359" i="5"/>
  <c r="I20347" i="5"/>
  <c r="I20333" i="5"/>
  <c r="I20321" i="5"/>
  <c r="I20309" i="5"/>
  <c r="I20301" i="5"/>
  <c r="I20293" i="5"/>
  <c r="I20285" i="5"/>
  <c r="I20277" i="5"/>
  <c r="I20269" i="5"/>
  <c r="I20261" i="5"/>
  <c r="I20253" i="5"/>
  <c r="I20245" i="5"/>
  <c r="I20237" i="5"/>
  <c r="I20229" i="5"/>
  <c r="I20221" i="5"/>
  <c r="I20213" i="5"/>
  <c r="I20205" i="5"/>
  <c r="I20197" i="5"/>
  <c r="I20189" i="5"/>
  <c r="I20181" i="5"/>
  <c r="I20173" i="5"/>
  <c r="I20165" i="5"/>
  <c r="I20157" i="5"/>
  <c r="I20149" i="5"/>
  <c r="I20141" i="5"/>
  <c r="I20133" i="5"/>
  <c r="I20125" i="5"/>
  <c r="I20117" i="5"/>
  <c r="I20109" i="5"/>
  <c r="I20101" i="5"/>
  <c r="I20093" i="5"/>
  <c r="I20085" i="5"/>
  <c r="I20077" i="5"/>
  <c r="I20069" i="5"/>
  <c r="I20061" i="5"/>
  <c r="I20053" i="5"/>
  <c r="I20045" i="5"/>
  <c r="I20037" i="5"/>
  <c r="I20029" i="5"/>
  <c r="I20021" i="5"/>
  <c r="I20013" i="5"/>
  <c r="I20005" i="5"/>
  <c r="I19997" i="5"/>
  <c r="I19989" i="5"/>
  <c r="I19981" i="5"/>
  <c r="I19973" i="5"/>
  <c r="I19965" i="5"/>
  <c r="I19957" i="5"/>
  <c r="I19949" i="5"/>
  <c r="I19941" i="5"/>
  <c r="I19933" i="5"/>
  <c r="I19925" i="5"/>
  <c r="I19917" i="5"/>
  <c r="I19909" i="5"/>
  <c r="I19901" i="5"/>
  <c r="I19893" i="5"/>
  <c r="I19885" i="5"/>
  <c r="I19877" i="5"/>
  <c r="I19869" i="5"/>
  <c r="I19861" i="5"/>
  <c r="I19853" i="5"/>
  <c r="I19845" i="5"/>
  <c r="I19837" i="5"/>
  <c r="I19829" i="5"/>
  <c r="I19821" i="5"/>
  <c r="I19813" i="5"/>
  <c r="I19805" i="5"/>
  <c r="I19797" i="5"/>
  <c r="I19789" i="5"/>
  <c r="I19781" i="5"/>
  <c r="I19773" i="5"/>
  <c r="I19765" i="5"/>
  <c r="I19757" i="5"/>
  <c r="I19749" i="5"/>
  <c r="I19741" i="5"/>
  <c r="I19733" i="5"/>
  <c r="I19725" i="5"/>
  <c r="I19717" i="5"/>
  <c r="I19709" i="5"/>
  <c r="I19701" i="5"/>
  <c r="I19693" i="5"/>
  <c r="I19685" i="5"/>
  <c r="I19677" i="5"/>
  <c r="I19669" i="5"/>
  <c r="I19661" i="5"/>
  <c r="I19653" i="5"/>
  <c r="I19645" i="5"/>
  <c r="I19637" i="5"/>
  <c r="I19629" i="5"/>
  <c r="I19621" i="5"/>
  <c r="I19613" i="5"/>
  <c r="I19605" i="5"/>
  <c r="I19597" i="5"/>
  <c r="I19589" i="5"/>
  <c r="I19581" i="5"/>
  <c r="I19573" i="5"/>
  <c r="I19565" i="5"/>
  <c r="I19557" i="5"/>
  <c r="I19549" i="5"/>
  <c r="I19541" i="5"/>
  <c r="I19533" i="5"/>
  <c r="I19525" i="5"/>
  <c r="I19517" i="5"/>
  <c r="I19509" i="5"/>
  <c r="I19501" i="5"/>
  <c r="I19493" i="5"/>
  <c r="I19485" i="5"/>
  <c r="I19477" i="5"/>
  <c r="I19469" i="5"/>
  <c r="I19461" i="5"/>
  <c r="I19453" i="5"/>
  <c r="I19445" i="5"/>
  <c r="I19437" i="5"/>
  <c r="I19429" i="5"/>
  <c r="I19421" i="5"/>
  <c r="I19413" i="5"/>
  <c r="I19405" i="5"/>
  <c r="I19397" i="5"/>
  <c r="I19389" i="5"/>
  <c r="I19381" i="5"/>
  <c r="I19373" i="5"/>
  <c r="I19365" i="5"/>
  <c r="I19357" i="5"/>
  <c r="I19349" i="5"/>
  <c r="I19341" i="5"/>
  <c r="I19333" i="5"/>
  <c r="I19325" i="5"/>
  <c r="I19317" i="5"/>
  <c r="I19309" i="5"/>
  <c r="I19301" i="5"/>
  <c r="I19293" i="5"/>
  <c r="I19285" i="5"/>
  <c r="I19277" i="5"/>
  <c r="I19269" i="5"/>
  <c r="I19261" i="5"/>
  <c r="I19253" i="5"/>
  <c r="I19245" i="5"/>
  <c r="I19237" i="5"/>
  <c r="I19229" i="5"/>
  <c r="I19221" i="5"/>
  <c r="I19213" i="5"/>
  <c r="I19205" i="5"/>
  <c r="I19197" i="5"/>
  <c r="I19189" i="5"/>
  <c r="I19181" i="5"/>
  <c r="I19173" i="5"/>
  <c r="I19165" i="5"/>
  <c r="I19157" i="5"/>
  <c r="I19149" i="5"/>
  <c r="I19141" i="5"/>
  <c r="I19133" i="5"/>
  <c r="I19125" i="5"/>
  <c r="I19117" i="5"/>
  <c r="I19109" i="5"/>
  <c r="I19101" i="5"/>
  <c r="I19093" i="5"/>
  <c r="I19085" i="5"/>
  <c r="I19077" i="5"/>
  <c r="I19069" i="5"/>
  <c r="I19061" i="5"/>
  <c r="I19053" i="5"/>
  <c r="I19045" i="5"/>
  <c r="I19037" i="5"/>
  <c r="I19029" i="5"/>
  <c r="I19021" i="5"/>
  <c r="I19013" i="5"/>
  <c r="I19005" i="5"/>
  <c r="I18997" i="5"/>
  <c r="I18989" i="5"/>
  <c r="I18981" i="5"/>
  <c r="I18973" i="5"/>
  <c r="I18965" i="5"/>
  <c r="I18957" i="5"/>
  <c r="I18949" i="5"/>
  <c r="I18941" i="5"/>
  <c r="I18933" i="5"/>
  <c r="I18925" i="5"/>
  <c r="I18917" i="5"/>
  <c r="I18909" i="5"/>
  <c r="I18901" i="5"/>
  <c r="I18893" i="5"/>
  <c r="I18885" i="5"/>
  <c r="I18877" i="5"/>
  <c r="I18869" i="5"/>
  <c r="I18861" i="5"/>
  <c r="I18853" i="5"/>
  <c r="I18845" i="5"/>
  <c r="I18837" i="5"/>
  <c r="I18829" i="5"/>
  <c r="I18821" i="5"/>
  <c r="I18813" i="5"/>
  <c r="I18805" i="5"/>
  <c r="I18797" i="5"/>
  <c r="I18789" i="5"/>
  <c r="I18781" i="5"/>
  <c r="I18773" i="5"/>
  <c r="I18765" i="5"/>
  <c r="I18757" i="5"/>
  <c r="I18749" i="5"/>
  <c r="I18741" i="5"/>
  <c r="I18733" i="5"/>
  <c r="I18725" i="5"/>
  <c r="I18717" i="5"/>
  <c r="I18709" i="5"/>
  <c r="I18701" i="5"/>
  <c r="I18693" i="5"/>
  <c r="I18685" i="5"/>
  <c r="I18677" i="5"/>
  <c r="I18669" i="5"/>
  <c r="I18661" i="5"/>
  <c r="I18653" i="5"/>
  <c r="I18645" i="5"/>
  <c r="I18637" i="5"/>
  <c r="I18629" i="5"/>
  <c r="I18621" i="5"/>
  <c r="I18613" i="5"/>
  <c r="I18605" i="5"/>
  <c r="I18597" i="5"/>
  <c r="I18589" i="5"/>
  <c r="I18581" i="5"/>
  <c r="I18573" i="5"/>
  <c r="I18565" i="5"/>
  <c r="I18557" i="5"/>
  <c r="I18549" i="5"/>
  <c r="I18541" i="5"/>
  <c r="I18533" i="5"/>
  <c r="I18525" i="5"/>
  <c r="I18517" i="5"/>
  <c r="I18509" i="5"/>
  <c r="I18501" i="5"/>
  <c r="I18493" i="5"/>
  <c r="I18485" i="5"/>
  <c r="I18477" i="5"/>
  <c r="I18469" i="5"/>
  <c r="I18461" i="5"/>
  <c r="I18453" i="5"/>
  <c r="I18445" i="5"/>
  <c r="I18437" i="5"/>
  <c r="I18429" i="5"/>
  <c r="I18421" i="5"/>
  <c r="I18413" i="5"/>
  <c r="I18405" i="5"/>
  <c r="I18397" i="5"/>
  <c r="I18389" i="5"/>
  <c r="I18381" i="5"/>
  <c r="I18373" i="5"/>
  <c r="I18365" i="5"/>
  <c r="I18357" i="5"/>
  <c r="I18349" i="5"/>
  <c r="I18341" i="5"/>
  <c r="I18333" i="5"/>
  <c r="I18325" i="5"/>
  <c r="I18317" i="5"/>
  <c r="I18309" i="5"/>
  <c r="I18301" i="5"/>
  <c r="I18293" i="5"/>
  <c r="I18285" i="5"/>
  <c r="I18277" i="5"/>
  <c r="I18269" i="5"/>
  <c r="I18261" i="5"/>
  <c r="I18253" i="5"/>
  <c r="I18245" i="5"/>
  <c r="I18237" i="5"/>
  <c r="I18229" i="5"/>
  <c r="I18221" i="5"/>
  <c r="I18213" i="5"/>
  <c r="I18205" i="5"/>
  <c r="I18197" i="5"/>
  <c r="I18189" i="5"/>
  <c r="I18181" i="5"/>
  <c r="I18173" i="5"/>
  <c r="I18165" i="5"/>
  <c r="I18157" i="5"/>
  <c r="I18149" i="5"/>
  <c r="I18141" i="5"/>
  <c r="I18133" i="5"/>
  <c r="I18125" i="5"/>
  <c r="I18117" i="5"/>
  <c r="I18109" i="5"/>
  <c r="I18101" i="5"/>
  <c r="I18093" i="5"/>
  <c r="I18085" i="5"/>
  <c r="I18077" i="5"/>
  <c r="I18069" i="5"/>
  <c r="I18061" i="5"/>
  <c r="I18053" i="5"/>
  <c r="I18045" i="5"/>
  <c r="I18037" i="5"/>
  <c r="I18029" i="5"/>
  <c r="I18021" i="5"/>
  <c r="I18013" i="5"/>
  <c r="I18005" i="5"/>
  <c r="I17997" i="5"/>
  <c r="I17989" i="5"/>
  <c r="I17981" i="5"/>
  <c r="I17973" i="5"/>
  <c r="I17965" i="5"/>
  <c r="I17957" i="5"/>
  <c r="I17949" i="5"/>
  <c r="I17941" i="5"/>
  <c r="I17933" i="5"/>
  <c r="I17925" i="5"/>
  <c r="I17917" i="5"/>
  <c r="I17909" i="5"/>
  <c r="I17901" i="5"/>
  <c r="I17893" i="5"/>
  <c r="I17885" i="5"/>
  <c r="I17877" i="5"/>
  <c r="I17869" i="5"/>
  <c r="I17861" i="5"/>
  <c r="I17853" i="5"/>
  <c r="I17845" i="5"/>
  <c r="I17837" i="5"/>
  <c r="I17829" i="5"/>
  <c r="I17821" i="5"/>
  <c r="I17813" i="5"/>
  <c r="I17805" i="5"/>
  <c r="I17797" i="5"/>
  <c r="I17789" i="5"/>
  <c r="I17781" i="5"/>
  <c r="I17773" i="5"/>
  <c r="I17765" i="5"/>
  <c r="I17757" i="5"/>
  <c r="I17749" i="5"/>
  <c r="I17741" i="5"/>
  <c r="I17733" i="5"/>
  <c r="I17725" i="5"/>
  <c r="I17717" i="5"/>
  <c r="I17709" i="5"/>
  <c r="I17701" i="5"/>
  <c r="I17693" i="5"/>
  <c r="I17685" i="5"/>
  <c r="I17677" i="5"/>
  <c r="I17669" i="5"/>
  <c r="I17661" i="5"/>
  <c r="I17653" i="5"/>
  <c r="I17645" i="5"/>
  <c r="I17637" i="5"/>
  <c r="I17629" i="5"/>
  <c r="I17621" i="5"/>
  <c r="I17613" i="5"/>
  <c r="I17605" i="5"/>
  <c r="I17597" i="5"/>
  <c r="I17589" i="5"/>
  <c r="I17581" i="5"/>
  <c r="I17573" i="5"/>
  <c r="I17565" i="5"/>
  <c r="I17557" i="5"/>
  <c r="I17549" i="5"/>
  <c r="I17541" i="5"/>
  <c r="I17533" i="5"/>
  <c r="I17525" i="5"/>
  <c r="I17517" i="5"/>
  <c r="I17509" i="5"/>
  <c r="I17501" i="5"/>
  <c r="I17493" i="5"/>
  <c r="I17485" i="5"/>
  <c r="I17477" i="5"/>
  <c r="I17469" i="5"/>
  <c r="I17461" i="5"/>
  <c r="I17453" i="5"/>
  <c r="I17445" i="5"/>
  <c r="I17437" i="5"/>
  <c r="I17429" i="5"/>
  <c r="I17421" i="5"/>
  <c r="I17413" i="5"/>
  <c r="I17405" i="5"/>
  <c r="I17397" i="5"/>
  <c r="I17389" i="5"/>
  <c r="I17381" i="5"/>
  <c r="I17373" i="5"/>
  <c r="I17365" i="5"/>
  <c r="I17357" i="5"/>
  <c r="I17349" i="5"/>
  <c r="I17341" i="5"/>
  <c r="I17333" i="5"/>
  <c r="I17325" i="5"/>
  <c r="I17317" i="5"/>
  <c r="I17309" i="5"/>
  <c r="I17301" i="5"/>
  <c r="I17293" i="5"/>
  <c r="I17285" i="5"/>
  <c r="I17277" i="5"/>
  <c r="I17269" i="5"/>
  <c r="I17261" i="5"/>
  <c r="I17253" i="5"/>
  <c r="I17245" i="5"/>
  <c r="I17237" i="5"/>
  <c r="I17229" i="5"/>
  <c r="I17221" i="5"/>
  <c r="I17213" i="5"/>
  <c r="I17205" i="5"/>
  <c r="I17197" i="5"/>
  <c r="I17189" i="5"/>
  <c r="I17181" i="5"/>
  <c r="I17173" i="5"/>
  <c r="I17165" i="5"/>
  <c r="I17157" i="5"/>
  <c r="I17149" i="5"/>
  <c r="I17141" i="5"/>
  <c r="I17133" i="5"/>
  <c r="I17125" i="5"/>
  <c r="I17117" i="5"/>
  <c r="I17109" i="5"/>
  <c r="I17101" i="5"/>
  <c r="I17093" i="5"/>
  <c r="I17085" i="5"/>
  <c r="I17077" i="5"/>
  <c r="I17069" i="5"/>
  <c r="I17061" i="5"/>
  <c r="I17053" i="5"/>
  <c r="I17045" i="5"/>
  <c r="I17037" i="5"/>
  <c r="I17029" i="5"/>
  <c r="I17021" i="5"/>
  <c r="I17013" i="5"/>
  <c r="I17005" i="5"/>
  <c r="I16997" i="5"/>
  <c r="I16989" i="5"/>
  <c r="I16981" i="5"/>
  <c r="I16973" i="5"/>
  <c r="I16965" i="5"/>
  <c r="I16957" i="5"/>
  <c r="I16949" i="5"/>
  <c r="I16941" i="5"/>
  <c r="I16933" i="5"/>
  <c r="I16925" i="5"/>
  <c r="I16917" i="5"/>
  <c r="I16909" i="5"/>
  <c r="I16901" i="5"/>
  <c r="I16893" i="5"/>
  <c r="I16885" i="5"/>
  <c r="I16877" i="5"/>
  <c r="I16869" i="5"/>
  <c r="I16861" i="5"/>
  <c r="I16853" i="5"/>
  <c r="I16845" i="5"/>
  <c r="I16837" i="5"/>
  <c r="I16829" i="5"/>
  <c r="I16821" i="5"/>
  <c r="I16813" i="5"/>
  <c r="I16805" i="5"/>
  <c r="I16797" i="5"/>
  <c r="I16789" i="5"/>
  <c r="I16781" i="5"/>
  <c r="I16773" i="5"/>
  <c r="I16765" i="5"/>
  <c r="I16757" i="5"/>
  <c r="I16749" i="5"/>
  <c r="I16741" i="5"/>
  <c r="I16733" i="5"/>
  <c r="I16725" i="5"/>
  <c r="I16717" i="5"/>
  <c r="I16709" i="5"/>
  <c r="I16701" i="5"/>
  <c r="I16693" i="5"/>
  <c r="I16685" i="5"/>
  <c r="I16677" i="5"/>
  <c r="I16669" i="5"/>
  <c r="I16661" i="5"/>
  <c r="I16653" i="5"/>
  <c r="I16645" i="5"/>
  <c r="I16637" i="5"/>
  <c r="I16629" i="5"/>
  <c r="I16621" i="5"/>
  <c r="I16613" i="5"/>
  <c r="I16605" i="5"/>
  <c r="I16597" i="5"/>
  <c r="I16589" i="5"/>
  <c r="I16581" i="5"/>
  <c r="I16573" i="5"/>
  <c r="I16565" i="5"/>
  <c r="I16557" i="5"/>
  <c r="I16549" i="5"/>
  <c r="I16541" i="5"/>
  <c r="I16533" i="5"/>
  <c r="I16525" i="5"/>
  <c r="I16517" i="5"/>
  <c r="I16509" i="5"/>
  <c r="I16501" i="5"/>
  <c r="I16493" i="5"/>
  <c r="I16485" i="5"/>
  <c r="I16477" i="5"/>
  <c r="I16469" i="5"/>
  <c r="I16461" i="5"/>
  <c r="I16453" i="5"/>
  <c r="I16445" i="5"/>
  <c r="I16437" i="5"/>
  <c r="I16429" i="5"/>
  <c r="I16421" i="5"/>
  <c r="I16413" i="5"/>
  <c r="I16405" i="5"/>
  <c r="I16397" i="5"/>
  <c r="I16389" i="5"/>
  <c r="I16381" i="5"/>
  <c r="I16373" i="5"/>
  <c r="I16365" i="5"/>
  <c r="I16357" i="5"/>
  <c r="I16349" i="5"/>
  <c r="I16341" i="5"/>
  <c r="I16333" i="5"/>
  <c r="I16325" i="5"/>
  <c r="I16317" i="5"/>
  <c r="I16309" i="5"/>
  <c r="I16301" i="5"/>
  <c r="I16293" i="5"/>
  <c r="I16285" i="5"/>
  <c r="I16277" i="5"/>
  <c r="I16269" i="5"/>
  <c r="I16261" i="5"/>
  <c r="I16253" i="5"/>
  <c r="I16245" i="5"/>
  <c r="I16237" i="5"/>
  <c r="I16229" i="5"/>
  <c r="I16221" i="5"/>
  <c r="I16213" i="5"/>
  <c r="I16205" i="5"/>
  <c r="I16197" i="5"/>
  <c r="I16189" i="5"/>
  <c r="I16181" i="5"/>
  <c r="I16173" i="5"/>
  <c r="I16165" i="5"/>
  <c r="I16157" i="5"/>
  <c r="I16149" i="5"/>
  <c r="I16141" i="5"/>
  <c r="I16133" i="5"/>
  <c r="I16125" i="5"/>
  <c r="I16117" i="5"/>
  <c r="I16109" i="5"/>
  <c r="I16101" i="5"/>
  <c r="I16093" i="5"/>
  <c r="I16085" i="5"/>
  <c r="I16077" i="5"/>
  <c r="I16069" i="5"/>
  <c r="I16061" i="5"/>
  <c r="I16053" i="5"/>
  <c r="I16045" i="5"/>
  <c r="I16037" i="5"/>
  <c r="I16029" i="5"/>
  <c r="I16021" i="5"/>
  <c r="I16013" i="5"/>
  <c r="I16005" i="5"/>
  <c r="I15997" i="5"/>
  <c r="I15989" i="5"/>
  <c r="I15981" i="5"/>
  <c r="I15973" i="5"/>
  <c r="I15965" i="5"/>
  <c r="I15957" i="5"/>
  <c r="I15949" i="5"/>
  <c r="I15941" i="5"/>
  <c r="I15933" i="5"/>
  <c r="I15925" i="5"/>
  <c r="I15917" i="5"/>
  <c r="I15909" i="5"/>
  <c r="I15901" i="5"/>
  <c r="I15893" i="5"/>
  <c r="I15885" i="5"/>
  <c r="I15877" i="5"/>
  <c r="I15869" i="5"/>
  <c r="I15861" i="5"/>
  <c r="I15853" i="5"/>
  <c r="I15845" i="5"/>
  <c r="I15837" i="5"/>
  <c r="I15829" i="5"/>
  <c r="I15821" i="5"/>
  <c r="I15813" i="5"/>
  <c r="I15805" i="5"/>
  <c r="I15797" i="5"/>
  <c r="I15789" i="5"/>
  <c r="I15781" i="5"/>
  <c r="I15773" i="5"/>
  <c r="I15765" i="5"/>
  <c r="I15757" i="5"/>
  <c r="I15749" i="5"/>
  <c r="I15741" i="5"/>
  <c r="I15733" i="5"/>
  <c r="I15725" i="5"/>
  <c r="I15717" i="5"/>
  <c r="I15709" i="5"/>
  <c r="I15701" i="5"/>
  <c r="I15693" i="5"/>
  <c r="I15685" i="5"/>
  <c r="I15677" i="5"/>
  <c r="I15669" i="5"/>
  <c r="I15661" i="5"/>
  <c r="I15653" i="5"/>
  <c r="I15645" i="5"/>
  <c r="I15637" i="5"/>
  <c r="I15629" i="5"/>
  <c r="I15621" i="5"/>
  <c r="I15613" i="5"/>
  <c r="I15605" i="5"/>
  <c r="I15597" i="5"/>
  <c r="I15589" i="5"/>
  <c r="I15581" i="5"/>
  <c r="I15573" i="5"/>
  <c r="I15565" i="5"/>
  <c r="I15557" i="5"/>
  <c r="I15549" i="5"/>
  <c r="I15541" i="5"/>
  <c r="I15533" i="5"/>
  <c r="I15525" i="5"/>
  <c r="I15517" i="5"/>
  <c r="I15509" i="5"/>
  <c r="I15501" i="5"/>
  <c r="I15493" i="5"/>
  <c r="I15485" i="5"/>
  <c r="I15477" i="5"/>
  <c r="I15469" i="5"/>
  <c r="I15461" i="5"/>
  <c r="I15453" i="5"/>
  <c r="I15445" i="5"/>
  <c r="I15437" i="5"/>
  <c r="I15429" i="5"/>
  <c r="I15421" i="5"/>
  <c r="I15413" i="5"/>
  <c r="I15405" i="5"/>
  <c r="I15397" i="5"/>
  <c r="I15389" i="5"/>
  <c r="I15381" i="5"/>
  <c r="I15373" i="5"/>
  <c r="I15365" i="5"/>
  <c r="I15357" i="5"/>
  <c r="I15349" i="5"/>
  <c r="I15341" i="5"/>
  <c r="I15333" i="5"/>
  <c r="I15325" i="5"/>
  <c r="I15317" i="5"/>
  <c r="I15309" i="5"/>
  <c r="I15301" i="5"/>
  <c r="I15293" i="5"/>
  <c r="I15285" i="5"/>
  <c r="I15277" i="5"/>
  <c r="I15269" i="5"/>
  <c r="I15261" i="5"/>
  <c r="I15253" i="5"/>
  <c r="I15245" i="5"/>
  <c r="I15237" i="5"/>
  <c r="I15229" i="5"/>
  <c r="I15221" i="5"/>
  <c r="I15213" i="5"/>
  <c r="I15205" i="5"/>
  <c r="I15197" i="5"/>
  <c r="I15189" i="5"/>
  <c r="I15181" i="5"/>
  <c r="I15173" i="5"/>
  <c r="I15165" i="5"/>
  <c r="I15157" i="5"/>
  <c r="I15149" i="5"/>
  <c r="I15141" i="5"/>
  <c r="I15133" i="5"/>
  <c r="I15125" i="5"/>
  <c r="I15117" i="5"/>
  <c r="I15109" i="5"/>
  <c r="I15101" i="5"/>
  <c r="I15093" i="5"/>
  <c r="I15085" i="5"/>
  <c r="I15077" i="5"/>
  <c r="I15069" i="5"/>
  <c r="I15061" i="5"/>
  <c r="I15053" i="5"/>
  <c r="I15045" i="5"/>
  <c r="I15037" i="5"/>
  <c r="I15029" i="5"/>
  <c r="I15021" i="5"/>
  <c r="I15013" i="5"/>
  <c r="I15005" i="5"/>
  <c r="I14997" i="5"/>
  <c r="I14989" i="5"/>
  <c r="I14981" i="5"/>
  <c r="I14973" i="5"/>
  <c r="I14965" i="5"/>
  <c r="I14957" i="5"/>
  <c r="I14949" i="5"/>
  <c r="I14941" i="5"/>
  <c r="I14933" i="5"/>
  <c r="I14925" i="5"/>
  <c r="I14917" i="5"/>
  <c r="I14909" i="5"/>
  <c r="I14901" i="5"/>
  <c r="I14893" i="5"/>
  <c r="I14885" i="5"/>
  <c r="I14877" i="5"/>
  <c r="I14869" i="5"/>
  <c r="I14861" i="5"/>
  <c r="I14853" i="5"/>
  <c r="I14845" i="5"/>
  <c r="I14837" i="5"/>
  <c r="I14829" i="5"/>
  <c r="I14821" i="5"/>
  <c r="I14813" i="5"/>
  <c r="I14805" i="5"/>
  <c r="I14797" i="5"/>
  <c r="I14789" i="5"/>
  <c r="I14781" i="5"/>
  <c r="I14773" i="5"/>
  <c r="I14765" i="5"/>
  <c r="I14757" i="5"/>
  <c r="I14749" i="5"/>
  <c r="I14741" i="5"/>
  <c r="I14733" i="5"/>
  <c r="I14725" i="5"/>
  <c r="I14717" i="5"/>
  <c r="I14709" i="5"/>
  <c r="I14701" i="5"/>
  <c r="I14693" i="5"/>
  <c r="I14685" i="5"/>
  <c r="I14677" i="5"/>
  <c r="I14669" i="5"/>
  <c r="I14661" i="5"/>
  <c r="I14653" i="5"/>
  <c r="I14645" i="5"/>
  <c r="I14637" i="5"/>
  <c r="I14629" i="5"/>
  <c r="I14621" i="5"/>
  <c r="I14613" i="5"/>
  <c r="I14605" i="5"/>
  <c r="I14597" i="5"/>
  <c r="I14589" i="5"/>
  <c r="I14581" i="5"/>
  <c r="I14573" i="5"/>
  <c r="I14565" i="5"/>
  <c r="I14557" i="5"/>
  <c r="I14549" i="5"/>
  <c r="I14541" i="5"/>
  <c r="I14533" i="5"/>
  <c r="I14525" i="5"/>
  <c r="I14517" i="5"/>
  <c r="I14509" i="5"/>
  <c r="I14501" i="5"/>
  <c r="I14493" i="5"/>
  <c r="I14485" i="5"/>
  <c r="I14477" i="5"/>
  <c r="I14469" i="5"/>
  <c r="I14461" i="5"/>
  <c r="I14453" i="5"/>
  <c r="I14445" i="5"/>
  <c r="I14437" i="5"/>
  <c r="I14429" i="5"/>
  <c r="I14421" i="5"/>
  <c r="I14413" i="5"/>
  <c r="I14405" i="5"/>
  <c r="I14397" i="5"/>
  <c r="I14389" i="5"/>
  <c r="I14381" i="5"/>
  <c r="I14373" i="5"/>
  <c r="I14365" i="5"/>
  <c r="I14357" i="5"/>
  <c r="I14349" i="5"/>
  <c r="I14341" i="5"/>
  <c r="I14333" i="5"/>
  <c r="I14325" i="5"/>
  <c r="I14317" i="5"/>
  <c r="I14309" i="5"/>
  <c r="I14301" i="5"/>
  <c r="I14293" i="5"/>
  <c r="I14285" i="5"/>
  <c r="I14277" i="5"/>
  <c r="I14269" i="5"/>
  <c r="I14261" i="5"/>
  <c r="I14253" i="5"/>
  <c r="I14245" i="5"/>
  <c r="I14237" i="5"/>
  <c r="I14229" i="5"/>
  <c r="I14221" i="5"/>
  <c r="I14213" i="5"/>
  <c r="I14205" i="5"/>
  <c r="I14197" i="5"/>
  <c r="I14189" i="5"/>
  <c r="I14181" i="5"/>
  <c r="I14173" i="5"/>
  <c r="I14165" i="5"/>
  <c r="I14157" i="5"/>
  <c r="I14149" i="5"/>
  <c r="I14141" i="5"/>
  <c r="I14133" i="5"/>
  <c r="I14125" i="5"/>
  <c r="I14117" i="5"/>
  <c r="I14109" i="5"/>
  <c r="I14101" i="5"/>
  <c r="I14093" i="5"/>
  <c r="I14085" i="5"/>
  <c r="I14077" i="5"/>
  <c r="I14069" i="5"/>
  <c r="I14061" i="5"/>
  <c r="I14053" i="5"/>
  <c r="I14045" i="5"/>
  <c r="I14037" i="5"/>
  <c r="I14029" i="5"/>
  <c r="I14021" i="5"/>
  <c r="I14013" i="5"/>
  <c r="I14005" i="5"/>
  <c r="I13997" i="5"/>
  <c r="I13989" i="5"/>
  <c r="I13981" i="5"/>
  <c r="I13973" i="5"/>
  <c r="I13965" i="5"/>
  <c r="I13957" i="5"/>
  <c r="I13949" i="5"/>
  <c r="I13941" i="5"/>
  <c r="I13933" i="5"/>
  <c r="I13925" i="5"/>
  <c r="I13917" i="5"/>
  <c r="I13909" i="5"/>
  <c r="I13901" i="5"/>
  <c r="I13893" i="5"/>
  <c r="I13885" i="5"/>
  <c r="I13877" i="5"/>
  <c r="I13869" i="5"/>
  <c r="I13861" i="5"/>
  <c r="I13853" i="5"/>
  <c r="I13845" i="5"/>
  <c r="I13837" i="5"/>
  <c r="I13829" i="5"/>
  <c r="I13821" i="5"/>
  <c r="I13813" i="5"/>
  <c r="I13805" i="5"/>
  <c r="I13797" i="5"/>
  <c r="I13789" i="5"/>
  <c r="I13781" i="5"/>
  <c r="I13773" i="5"/>
  <c r="I13765" i="5"/>
  <c r="I13757" i="5"/>
  <c r="I13749" i="5"/>
  <c r="I32213" i="5"/>
  <c r="I30170" i="5"/>
  <c r="I29217" i="5"/>
  <c r="I28734" i="5"/>
  <c r="I28275" i="5"/>
  <c r="I27821" i="5"/>
  <c r="I27371" i="5"/>
  <c r="I26942" i="5"/>
  <c r="I26603" i="5"/>
  <c r="I26296" i="5"/>
  <c r="I26040" i="5"/>
  <c r="I25784" i="5"/>
  <c r="I25571" i="5"/>
  <c r="I25401" i="5"/>
  <c r="I25230" i="5"/>
  <c r="I25059" i="5"/>
  <c r="I24910" i="5"/>
  <c r="I24771" i="5"/>
  <c r="I24643" i="5"/>
  <c r="I24529" i="5"/>
  <c r="I24460" i="5"/>
  <c r="I24396" i="5"/>
  <c r="I24332" i="5"/>
  <c r="I24268" i="5"/>
  <c r="I24204" i="5"/>
  <c r="I24140" i="5"/>
  <c r="I24076" i="5"/>
  <c r="I24012" i="5"/>
  <c r="I23948" i="5"/>
  <c r="I23884" i="5"/>
  <c r="I23820" i="5"/>
  <c r="I23756" i="5"/>
  <c r="I23692" i="5"/>
  <c r="I23628" i="5"/>
  <c r="I23564" i="5"/>
  <c r="I23500" i="5"/>
  <c r="I23436" i="5"/>
  <c r="I23389" i="5"/>
  <c r="I23348" i="5"/>
  <c r="I23303" i="5"/>
  <c r="I23261" i="5"/>
  <c r="I23220" i="5"/>
  <c r="I23175" i="5"/>
  <c r="I23133" i="5"/>
  <c r="I23092" i="5"/>
  <c r="I23047" i="5"/>
  <c r="I23005" i="5"/>
  <c r="I22964" i="5"/>
  <c r="I22919" i="5"/>
  <c r="I22877" i="5"/>
  <c r="I22836" i="5"/>
  <c r="I22791" i="5"/>
  <c r="I22749" i="5"/>
  <c r="I22708" i="5"/>
  <c r="I22663" i="5"/>
  <c r="I22621" i="5"/>
  <c r="I22580" i="5"/>
  <c r="I22535" i="5"/>
  <c r="I22493" i="5"/>
  <c r="I22452" i="5"/>
  <c r="I22407" i="5"/>
  <c r="I22365" i="5"/>
  <c r="I22324" i="5"/>
  <c r="I22279" i="5"/>
  <c r="I22237" i="5"/>
  <c r="I22196" i="5"/>
  <c r="I22151" i="5"/>
  <c r="I22109" i="5"/>
  <c r="I22068" i="5"/>
  <c r="I22023" i="5"/>
  <c r="I21981" i="5"/>
  <c r="I21940" i="5"/>
  <c r="I21895" i="5"/>
  <c r="I21853" i="5"/>
  <c r="I21812" i="5"/>
  <c r="I21767" i="5"/>
  <c r="I21725" i="5"/>
  <c r="I21684" i="5"/>
  <c r="I21651" i="5"/>
  <c r="I21619" i="5"/>
  <c r="I21587" i="5"/>
  <c r="I21555" i="5"/>
  <c r="I21523" i="5"/>
  <c r="I21491" i="5"/>
  <c r="I21459" i="5"/>
  <c r="I21427" i="5"/>
  <c r="I21395" i="5"/>
  <c r="I21363" i="5"/>
  <c r="I21331" i="5"/>
  <c r="I21299" i="5"/>
  <c r="I21267" i="5"/>
  <c r="I21235" i="5"/>
  <c r="I21203" i="5"/>
  <c r="I21171" i="5"/>
  <c r="I21139" i="5"/>
  <c r="I21107" i="5"/>
  <c r="I21075" i="5"/>
  <c r="I21043" i="5"/>
  <c r="I21011" i="5"/>
  <c r="I20979" i="5"/>
  <c r="I20947" i="5"/>
  <c r="I20915" i="5"/>
  <c r="I20883" i="5"/>
  <c r="I20851" i="5"/>
  <c r="I20819" i="5"/>
  <c r="I20787" i="5"/>
  <c r="I20755" i="5"/>
  <c r="I20723" i="5"/>
  <c r="I20691" i="5"/>
  <c r="I20659" i="5"/>
  <c r="I20627" i="5"/>
  <c r="I20595" i="5"/>
  <c r="I20563" i="5"/>
  <c r="I20531" i="5"/>
  <c r="I20499" i="5"/>
  <c r="I20467" i="5"/>
  <c r="I20435" i="5"/>
  <c r="I20409" i="5"/>
  <c r="I20383" i="5"/>
  <c r="I20357" i="5"/>
  <c r="I20332" i="5"/>
  <c r="I20308" i="5"/>
  <c r="I20292" i="5"/>
  <c r="I20276" i="5"/>
  <c r="I20260" i="5"/>
  <c r="I20244" i="5"/>
  <c r="I20228" i="5"/>
  <c r="I20212" i="5"/>
  <c r="I20196" i="5"/>
  <c r="I20180" i="5"/>
  <c r="I20164" i="5"/>
  <c r="I20148" i="5"/>
  <c r="I20132" i="5"/>
  <c r="I20116" i="5"/>
  <c r="I20100" i="5"/>
  <c r="I20084" i="5"/>
  <c r="I20068" i="5"/>
  <c r="I20052" i="5"/>
  <c r="I20036" i="5"/>
  <c r="I20020" i="5"/>
  <c r="I20004" i="5"/>
  <c r="I19988" i="5"/>
  <c r="I19972" i="5"/>
  <c r="I19956" i="5"/>
  <c r="I19940" i="5"/>
  <c r="I19924" i="5"/>
  <c r="I19908" i="5"/>
  <c r="I19892" i="5"/>
  <c r="I19876" i="5"/>
  <c r="I19860" i="5"/>
  <c r="I19844" i="5"/>
  <c r="I19828" i="5"/>
  <c r="I19812" i="5"/>
  <c r="I19796" i="5"/>
  <c r="I19780" i="5"/>
  <c r="I19764" i="5"/>
  <c r="I19748" i="5"/>
  <c r="I19732" i="5"/>
  <c r="I19716" i="5"/>
  <c r="I19700" i="5"/>
  <c r="I19684" i="5"/>
  <c r="I19668" i="5"/>
  <c r="I19652" i="5"/>
  <c r="I19636" i="5"/>
  <c r="I19620" i="5"/>
  <c r="I19604" i="5"/>
  <c r="I19588" i="5"/>
  <c r="I19572" i="5"/>
  <c r="I19556" i="5"/>
  <c r="I19540" i="5"/>
  <c r="I19524" i="5"/>
  <c r="I19508" i="5"/>
  <c r="I19492" i="5"/>
  <c r="I19476" i="5"/>
  <c r="I19460" i="5"/>
  <c r="I19444" i="5"/>
  <c r="I19428" i="5"/>
  <c r="I19412" i="5"/>
  <c r="I19396" i="5"/>
  <c r="I19380" i="5"/>
  <c r="I19364" i="5"/>
  <c r="I19348" i="5"/>
  <c r="I19332" i="5"/>
  <c r="I19316" i="5"/>
  <c r="I19300" i="5"/>
  <c r="I19284" i="5"/>
  <c r="I19268" i="5"/>
  <c r="I19252" i="5"/>
  <c r="I19236" i="5"/>
  <c r="I19220" i="5"/>
  <c r="I19204" i="5"/>
  <c r="I19188" i="5"/>
  <c r="I19172" i="5"/>
  <c r="I19156" i="5"/>
  <c r="I19140" i="5"/>
  <c r="I19124" i="5"/>
  <c r="I19108" i="5"/>
  <c r="I19092" i="5"/>
  <c r="I19076" i="5"/>
  <c r="I19060" i="5"/>
  <c r="I19044" i="5"/>
  <c r="I19028" i="5"/>
  <c r="I19012" i="5"/>
  <c r="I18996" i="5"/>
  <c r="I18980" i="5"/>
  <c r="I18964" i="5"/>
  <c r="I18948" i="5"/>
  <c r="I18932" i="5"/>
  <c r="I18916" i="5"/>
  <c r="I18900" i="5"/>
  <c r="I18884" i="5"/>
  <c r="I18868" i="5"/>
  <c r="I18852" i="5"/>
  <c r="I18836" i="5"/>
  <c r="I18820" i="5"/>
  <c r="I18804" i="5"/>
  <c r="I18788" i="5"/>
  <c r="I18772" i="5"/>
  <c r="I18756" i="5"/>
  <c r="I18740" i="5"/>
  <c r="I18724" i="5"/>
  <c r="I18708" i="5"/>
  <c r="I18692" i="5"/>
  <c r="I18676" i="5"/>
  <c r="I18660" i="5"/>
  <c r="I18644" i="5"/>
  <c r="I18628" i="5"/>
  <c r="I18612" i="5"/>
  <c r="I18599" i="5"/>
  <c r="I18586" i="5"/>
  <c r="I18572" i="5"/>
  <c r="I18561" i="5"/>
  <c r="I18547" i="5"/>
  <c r="I18535" i="5"/>
  <c r="I18522" i="5"/>
  <c r="I18508" i="5"/>
  <c r="I18497" i="5"/>
  <c r="I18483" i="5"/>
  <c r="I18471" i="5"/>
  <c r="I18458" i="5"/>
  <c r="I18444" i="5"/>
  <c r="I18433" i="5"/>
  <c r="I18419" i="5"/>
  <c r="I18407" i="5"/>
  <c r="I18394" i="5"/>
  <c r="I18380" i="5"/>
  <c r="I18369" i="5"/>
  <c r="I18355" i="5"/>
  <c r="I18343" i="5"/>
  <c r="I18330" i="5"/>
  <c r="I18316" i="5"/>
  <c r="I18305" i="5"/>
  <c r="I18291" i="5"/>
  <c r="I18279" i="5"/>
  <c r="I18266" i="5"/>
  <c r="I18252" i="5"/>
  <c r="I18241" i="5"/>
  <c r="I18227" i="5"/>
  <c r="I18215" i="5"/>
  <c r="I18202" i="5"/>
  <c r="I18188" i="5"/>
  <c r="I18177" i="5"/>
  <c r="I18163" i="5"/>
  <c r="I18151" i="5"/>
  <c r="I18138" i="5"/>
  <c r="I18124" i="5"/>
  <c r="I18113" i="5"/>
  <c r="I18099" i="5"/>
  <c r="I18087" i="5"/>
  <c r="I18074" i="5"/>
  <c r="I18060" i="5"/>
  <c r="I18049" i="5"/>
  <c r="I18035" i="5"/>
  <c r="I18023" i="5"/>
  <c r="I18010" i="5"/>
  <c r="I17996" i="5"/>
  <c r="I17985" i="5"/>
  <c r="I17971" i="5"/>
  <c r="I17959" i="5"/>
  <c r="I17946" i="5"/>
  <c r="I17932" i="5"/>
  <c r="I17921" i="5"/>
  <c r="I17907" i="5"/>
  <c r="I17895" i="5"/>
  <c r="I17882" i="5"/>
  <c r="I17868" i="5"/>
  <c r="I17857" i="5"/>
  <c r="I17843" i="5"/>
  <c r="I17831" i="5"/>
  <c r="I17818" i="5"/>
  <c r="I17804" i="5"/>
  <c r="I17793" i="5"/>
  <c r="I17779" i="5"/>
  <c r="I17767" i="5"/>
  <c r="I17754" i="5"/>
  <c r="I17740" i="5"/>
  <c r="I17729" i="5"/>
  <c r="I17715" i="5"/>
  <c r="I17703" i="5"/>
  <c r="I17690" i="5"/>
  <c r="I17676" i="5"/>
  <c r="I17665" i="5"/>
  <c r="I17651" i="5"/>
  <c r="I17639" i="5"/>
  <c r="I17626" i="5"/>
  <c r="I17612" i="5"/>
  <c r="I17601" i="5"/>
  <c r="I17587" i="5"/>
  <c r="I17575" i="5"/>
  <c r="I17562" i="5"/>
  <c r="I17548" i="5"/>
  <c r="I17537" i="5"/>
  <c r="I17523" i="5"/>
  <c r="I17511" i="5"/>
  <c r="I17498" i="5"/>
  <c r="I17484" i="5"/>
  <c r="I17473" i="5"/>
  <c r="I17459" i="5"/>
  <c r="I17447" i="5"/>
  <c r="I17434" i="5"/>
  <c r="I17420" i="5"/>
  <c r="I17409" i="5"/>
  <c r="I17395" i="5"/>
  <c r="I17383" i="5"/>
  <c r="I17370" i="5"/>
  <c r="I17356" i="5"/>
  <c r="I17345" i="5"/>
  <c r="I17331" i="5"/>
  <c r="I17319" i="5"/>
  <c r="I17306" i="5"/>
  <c r="I17292" i="5"/>
  <c r="I17281" i="5"/>
  <c r="I17267" i="5"/>
  <c r="I17255" i="5"/>
  <c r="I17242" i="5"/>
  <c r="I17228" i="5"/>
  <c r="I17217" i="5"/>
  <c r="I17203" i="5"/>
  <c r="I17191" i="5"/>
  <c r="I17178" i="5"/>
  <c r="I17164" i="5"/>
  <c r="I17153" i="5"/>
  <c r="I17139" i="5"/>
  <c r="I17127" i="5"/>
  <c r="I17114" i="5"/>
  <c r="I17100" i="5"/>
  <c r="I17089" i="5"/>
  <c r="I17075" i="5"/>
  <c r="I17063" i="5"/>
  <c r="I17050" i="5"/>
  <c r="I17036" i="5"/>
  <c r="I17025" i="5"/>
  <c r="I17011" i="5"/>
  <c r="I16999" i="5"/>
  <c r="I16986" i="5"/>
  <c r="I16972" i="5"/>
  <c r="I16961" i="5"/>
  <c r="I16947" i="5"/>
  <c r="I16935" i="5"/>
  <c r="I16922" i="5"/>
  <c r="I16908" i="5"/>
  <c r="I16897" i="5"/>
  <c r="I16883" i="5"/>
  <c r="I16871" i="5"/>
  <c r="I16858" i="5"/>
  <c r="I16847" i="5"/>
  <c r="I16835" i="5"/>
  <c r="I16825" i="5"/>
  <c r="I16815" i="5"/>
  <c r="I16803" i="5"/>
  <c r="I16793" i="5"/>
  <c r="I16784" i="5"/>
  <c r="I16775" i="5"/>
  <c r="I16766" i="5"/>
  <c r="I16756" i="5"/>
  <c r="I16747" i="5"/>
  <c r="I16738" i="5"/>
  <c r="I16729" i="5"/>
  <c r="I16720" i="5"/>
  <c r="I16711" i="5"/>
  <c r="I16702" i="5"/>
  <c r="I16692" i="5"/>
  <c r="I16683" i="5"/>
  <c r="I16674" i="5"/>
  <c r="I16665" i="5"/>
  <c r="I16656" i="5"/>
  <c r="I16647" i="5"/>
  <c r="I16638" i="5"/>
  <c r="I16628" i="5"/>
  <c r="I16619" i="5"/>
  <c r="I16610" i="5"/>
  <c r="I16601" i="5"/>
  <c r="I16592" i="5"/>
  <c r="I16583" i="5"/>
  <c r="I16574" i="5"/>
  <c r="I16564" i="5"/>
  <c r="I16555" i="5"/>
  <c r="I16546" i="5"/>
  <c r="I16537" i="5"/>
  <c r="I16528" i="5"/>
  <c r="I16519" i="5"/>
  <c r="I16510" i="5"/>
  <c r="I16500" i="5"/>
  <c r="I16491" i="5"/>
  <c r="I16482" i="5"/>
  <c r="I16473" i="5"/>
  <c r="I16464" i="5"/>
  <c r="I16455" i="5"/>
  <c r="I16446" i="5"/>
  <c r="I16436" i="5"/>
  <c r="I16427" i="5"/>
  <c r="I16418" i="5"/>
  <c r="I16409" i="5"/>
  <c r="I16400" i="5"/>
  <c r="I16391" i="5"/>
  <c r="I16382" i="5"/>
  <c r="I16372" i="5"/>
  <c r="I16363" i="5"/>
  <c r="I16354" i="5"/>
  <c r="I16345" i="5"/>
  <c r="I16336" i="5"/>
  <c r="I16327" i="5"/>
  <c r="I16318" i="5"/>
  <c r="I16308" i="5"/>
  <c r="I16299" i="5"/>
  <c r="I16290" i="5"/>
  <c r="I16281" i="5"/>
  <c r="I16272" i="5"/>
  <c r="I16263" i="5"/>
  <c r="I16254" i="5"/>
  <c r="I16244" i="5"/>
  <c r="I16235" i="5"/>
  <c r="I16226" i="5"/>
  <c r="I16217" i="5"/>
  <c r="I16208" i="5"/>
  <c r="I16199" i="5"/>
  <c r="I16190" i="5"/>
  <c r="I16180" i="5"/>
  <c r="I16171" i="5"/>
  <c r="I16162" i="5"/>
  <c r="I16153" i="5"/>
  <c r="I16144" i="5"/>
  <c r="I16135" i="5"/>
  <c r="I16126" i="5"/>
  <c r="I16116" i="5"/>
  <c r="I16107" i="5"/>
  <c r="I16098" i="5"/>
  <c r="I16089" i="5"/>
  <c r="I16080" i="5"/>
  <c r="I16071" i="5"/>
  <c r="I16062" i="5"/>
  <c r="I16052" i="5"/>
  <c r="I16043" i="5"/>
  <c r="I16034" i="5"/>
  <c r="I16025" i="5"/>
  <c r="I16016" i="5"/>
  <c r="I16007" i="5"/>
  <c r="I15998" i="5"/>
  <c r="I15988" i="5"/>
  <c r="I15979" i="5"/>
  <c r="I15970" i="5"/>
  <c r="I15961" i="5"/>
  <c r="I15952" i="5"/>
  <c r="I15943" i="5"/>
  <c r="I15934" i="5"/>
  <c r="I15924" i="5"/>
  <c r="I15915" i="5"/>
  <c r="I15906" i="5"/>
  <c r="I15897" i="5"/>
  <c r="I15888" i="5"/>
  <c r="I15879" i="5"/>
  <c r="I15870" i="5"/>
  <c r="I15860" i="5"/>
  <c r="I15851" i="5"/>
  <c r="I15842" i="5"/>
  <c r="I15833" i="5"/>
  <c r="I15824" i="5"/>
  <c r="I15815" i="5"/>
  <c r="I15806" i="5"/>
  <c r="I15796" i="5"/>
  <c r="I15787" i="5"/>
  <c r="I15778" i="5"/>
  <c r="I15769" i="5"/>
  <c r="I15760" i="5"/>
  <c r="I15751" i="5"/>
  <c r="I15742" i="5"/>
  <c r="I15732" i="5"/>
  <c r="I15723" i="5"/>
  <c r="I15714" i="5"/>
  <c r="I15705" i="5"/>
  <c r="I15696" i="5"/>
  <c r="I15687" i="5"/>
  <c r="I15678" i="5"/>
  <c r="I15668" i="5"/>
  <c r="I15659" i="5"/>
  <c r="I15650" i="5"/>
  <c r="I15641" i="5"/>
  <c r="I15632" i="5"/>
  <c r="I15623" i="5"/>
  <c r="I15614" i="5"/>
  <c r="I15604" i="5"/>
  <c r="I15595" i="5"/>
  <c r="I15586" i="5"/>
  <c r="I15577" i="5"/>
  <c r="I15568" i="5"/>
  <c r="I15559" i="5"/>
  <c r="I15550" i="5"/>
  <c r="I15540" i="5"/>
  <c r="I15531" i="5"/>
  <c r="I15522" i="5"/>
  <c r="I15513" i="5"/>
  <c r="I15504" i="5"/>
  <c r="I15495" i="5"/>
  <c r="I15486" i="5"/>
  <c r="I15476" i="5"/>
  <c r="I15467" i="5"/>
  <c r="I15458" i="5"/>
  <c r="I15449" i="5"/>
  <c r="I15440" i="5"/>
  <c r="I15431" i="5"/>
  <c r="I15422" i="5"/>
  <c r="I15412" i="5"/>
  <c r="I15403" i="5"/>
  <c r="I15394" i="5"/>
  <c r="I15385" i="5"/>
  <c r="I15376" i="5"/>
  <c r="I15367" i="5"/>
  <c r="I15358" i="5"/>
  <c r="I15348" i="5"/>
  <c r="I15339" i="5"/>
  <c r="I15330" i="5"/>
  <c r="I15321" i="5"/>
  <c r="I15312" i="5"/>
  <c r="I15303" i="5"/>
  <c r="I15294" i="5"/>
  <c r="I15284" i="5"/>
  <c r="I15275" i="5"/>
  <c r="I15266" i="5"/>
  <c r="I15257" i="5"/>
  <c r="I15248" i="5"/>
  <c r="I15239" i="5"/>
  <c r="I15230" i="5"/>
  <c r="I15220" i="5"/>
  <c r="I15211" i="5"/>
  <c r="I15202" i="5"/>
  <c r="I15193" i="5"/>
  <c r="I15184" i="5"/>
  <c r="I15175" i="5"/>
  <c r="I15166" i="5"/>
  <c r="I15156" i="5"/>
  <c r="I15147" i="5"/>
  <c r="I15138" i="5"/>
  <c r="I15129" i="5"/>
  <c r="I15120" i="5"/>
  <c r="I15111" i="5"/>
  <c r="I15102" i="5"/>
  <c r="I15092" i="5"/>
  <c r="I15083" i="5"/>
  <c r="I15074" i="5"/>
  <c r="I15065" i="5"/>
  <c r="I15056" i="5"/>
  <c r="I15047" i="5"/>
  <c r="I15038" i="5"/>
  <c r="I15028" i="5"/>
  <c r="I15019" i="5"/>
  <c r="I15010" i="5"/>
  <c r="I15001" i="5"/>
  <c r="I14992" i="5"/>
  <c r="I14983" i="5"/>
  <c r="I14974" i="5"/>
  <c r="I14964" i="5"/>
  <c r="I14955" i="5"/>
  <c r="I14946" i="5"/>
  <c r="I14937" i="5"/>
  <c r="I14928" i="5"/>
  <c r="I14919" i="5"/>
  <c r="I14910" i="5"/>
  <c r="I14900" i="5"/>
  <c r="I14891" i="5"/>
  <c r="I14882" i="5"/>
  <c r="I14873" i="5"/>
  <c r="I14864" i="5"/>
  <c r="I14855" i="5"/>
  <c r="I14846" i="5"/>
  <c r="I14836" i="5"/>
  <c r="I14827" i="5"/>
  <c r="I14818" i="5"/>
  <c r="I14809" i="5"/>
  <c r="I14800" i="5"/>
  <c r="I14791" i="5"/>
  <c r="I14782" i="5"/>
  <c r="I14772" i="5"/>
  <c r="I14763" i="5"/>
  <c r="I14754" i="5"/>
  <c r="I14745" i="5"/>
  <c r="I14736" i="5"/>
  <c r="I14727" i="5"/>
  <c r="I14718" i="5"/>
  <c r="I14708" i="5"/>
  <c r="I14699" i="5"/>
  <c r="I14690" i="5"/>
  <c r="I14681" i="5"/>
  <c r="I14672" i="5"/>
  <c r="I14663" i="5"/>
  <c r="I14654" i="5"/>
  <c r="I14644" i="5"/>
  <c r="I14635" i="5"/>
  <c r="I31920" i="5"/>
  <c r="I30098" i="5"/>
  <c r="I29155" i="5"/>
  <c r="I28694" i="5"/>
  <c r="I28245" i="5"/>
  <c r="I27782" i="5"/>
  <c r="I27331" i="5"/>
  <c r="I26910" i="5"/>
  <c r="I26571" i="5"/>
  <c r="I26272" i="5"/>
  <c r="I26016" i="5"/>
  <c r="I25760" i="5"/>
  <c r="I25555" i="5"/>
  <c r="I25385" i="5"/>
  <c r="I25214" i="5"/>
  <c r="I25043" i="5"/>
  <c r="I24896" i="5"/>
  <c r="I24759" i="5"/>
  <c r="I24631" i="5"/>
  <c r="I24523" i="5"/>
  <c r="I24455" i="5"/>
  <c r="I24391" i="5"/>
  <c r="I24327" i="5"/>
  <c r="I24263" i="5"/>
  <c r="I24199" i="5"/>
  <c r="I24135" i="5"/>
  <c r="I24071" i="5"/>
  <c r="I24007" i="5"/>
  <c r="I23943" i="5"/>
  <c r="I23879" i="5"/>
  <c r="I23815" i="5"/>
  <c r="I23751" i="5"/>
  <c r="I23687" i="5"/>
  <c r="I23623" i="5"/>
  <c r="I23559" i="5"/>
  <c r="I23495" i="5"/>
  <c r="I23431" i="5"/>
  <c r="I23388" i="5"/>
  <c r="I23343" i="5"/>
  <c r="I23301" i="5"/>
  <c r="I23260" i="5"/>
  <c r="I23215" i="5"/>
  <c r="I23173" i="5"/>
  <c r="I23132" i="5"/>
  <c r="I23087" i="5"/>
  <c r="I23045" i="5"/>
  <c r="I23004" i="5"/>
  <c r="I22959" i="5"/>
  <c r="I22917" i="5"/>
  <c r="I22876" i="5"/>
  <c r="I22831" i="5"/>
  <c r="I22789" i="5"/>
  <c r="I22748" i="5"/>
  <c r="I22703" i="5"/>
  <c r="I22661" i="5"/>
  <c r="I22620" i="5"/>
  <c r="I22575" i="5"/>
  <c r="I22533" i="5"/>
  <c r="I22492" i="5"/>
  <c r="I22447" i="5"/>
  <c r="I22405" i="5"/>
  <c r="I22364" i="5"/>
  <c r="I22319" i="5"/>
  <c r="I22277" i="5"/>
  <c r="I22236" i="5"/>
  <c r="I22191" i="5"/>
  <c r="I22149" i="5"/>
  <c r="I22108" i="5"/>
  <c r="I22063" i="5"/>
  <c r="I22021" i="5"/>
  <c r="I21980" i="5"/>
  <c r="I21935" i="5"/>
  <c r="I21893" i="5"/>
  <c r="I21852" i="5"/>
  <c r="I21807" i="5"/>
  <c r="I21765" i="5"/>
  <c r="I21724" i="5"/>
  <c r="I21679" i="5"/>
  <c r="I21647" i="5"/>
  <c r="I21615" i="5"/>
  <c r="I21583" i="5"/>
  <c r="I21551" i="5"/>
  <c r="I21519" i="5"/>
  <c r="I21487" i="5"/>
  <c r="I21455" i="5"/>
  <c r="I21423" i="5"/>
  <c r="I21391" i="5"/>
  <c r="I21359" i="5"/>
  <c r="I21327" i="5"/>
  <c r="I21295" i="5"/>
  <c r="I21263" i="5"/>
  <c r="I21231" i="5"/>
  <c r="I21199" i="5"/>
  <c r="I21167" i="5"/>
  <c r="I21135" i="5"/>
  <c r="I21103" i="5"/>
  <c r="I21071" i="5"/>
  <c r="I21039" i="5"/>
  <c r="I21007" i="5"/>
  <c r="I20975" i="5"/>
  <c r="I20943" i="5"/>
  <c r="I20911" i="5"/>
  <c r="I20879" i="5"/>
  <c r="I20847" i="5"/>
  <c r="I20815" i="5"/>
  <c r="I20783" i="5"/>
  <c r="I20751" i="5"/>
  <c r="I20719" i="5"/>
  <c r="I20687" i="5"/>
  <c r="I20655" i="5"/>
  <c r="I20623" i="5"/>
  <c r="I20591" i="5"/>
  <c r="I20559" i="5"/>
  <c r="I20527" i="5"/>
  <c r="I20495" i="5"/>
  <c r="I20463" i="5"/>
  <c r="I20433" i="5"/>
  <c r="I20407" i="5"/>
  <c r="I20381" i="5"/>
  <c r="I20356" i="5"/>
  <c r="I20331" i="5"/>
  <c r="I20307" i="5"/>
  <c r="I20291" i="5"/>
  <c r="I20275" i="5"/>
  <c r="I20259" i="5"/>
  <c r="I20243" i="5"/>
  <c r="I20227" i="5"/>
  <c r="I20211" i="5"/>
  <c r="I20195" i="5"/>
  <c r="I20179" i="5"/>
  <c r="I20163" i="5"/>
  <c r="I20147" i="5"/>
  <c r="I20131" i="5"/>
  <c r="I20115" i="5"/>
  <c r="I20099" i="5"/>
  <c r="I20083" i="5"/>
  <c r="I20067" i="5"/>
  <c r="I20051" i="5"/>
  <c r="I20035" i="5"/>
  <c r="I20019" i="5"/>
  <c r="I20003" i="5"/>
  <c r="I19987" i="5"/>
  <c r="I19971" i="5"/>
  <c r="I19955" i="5"/>
  <c r="I19939" i="5"/>
  <c r="I19923" i="5"/>
  <c r="I19907" i="5"/>
  <c r="I19891" i="5"/>
  <c r="I19875" i="5"/>
  <c r="I19859" i="5"/>
  <c r="I19843" i="5"/>
  <c r="I19827" i="5"/>
  <c r="I19811" i="5"/>
  <c r="I19795" i="5"/>
  <c r="I19779" i="5"/>
  <c r="I19763" i="5"/>
  <c r="I19747" i="5"/>
  <c r="I19731" i="5"/>
  <c r="I19715" i="5"/>
  <c r="I19699" i="5"/>
  <c r="I19683" i="5"/>
  <c r="I19667" i="5"/>
  <c r="I19651" i="5"/>
  <c r="I19635" i="5"/>
  <c r="I19619" i="5"/>
  <c r="I19603" i="5"/>
  <c r="I19587" i="5"/>
  <c r="I19571" i="5"/>
  <c r="I19555" i="5"/>
  <c r="I19539" i="5"/>
  <c r="I19523" i="5"/>
  <c r="I19507" i="5"/>
  <c r="I19491" i="5"/>
  <c r="I19475" i="5"/>
  <c r="I19459" i="5"/>
  <c r="I19443" i="5"/>
  <c r="I19427" i="5"/>
  <c r="I19411" i="5"/>
  <c r="I19395" i="5"/>
  <c r="I19379" i="5"/>
  <c r="I19363" i="5"/>
  <c r="I19347" i="5"/>
  <c r="I19331" i="5"/>
  <c r="I19315" i="5"/>
  <c r="I19299" i="5"/>
  <c r="I19283" i="5"/>
  <c r="I19267" i="5"/>
  <c r="I19251" i="5"/>
  <c r="I19235" i="5"/>
  <c r="I19219" i="5"/>
  <c r="I19203" i="5"/>
  <c r="I19187" i="5"/>
  <c r="I19171" i="5"/>
  <c r="I19155" i="5"/>
  <c r="I19139" i="5"/>
  <c r="I19123" i="5"/>
  <c r="I19107" i="5"/>
  <c r="I19091" i="5"/>
  <c r="I19075" i="5"/>
  <c r="I19059" i="5"/>
  <c r="I19043" i="5"/>
  <c r="I19027" i="5"/>
  <c r="I19011" i="5"/>
  <c r="I18995" i="5"/>
  <c r="I18979" i="5"/>
  <c r="I18963" i="5"/>
  <c r="I18947" i="5"/>
  <c r="I18931" i="5"/>
  <c r="I18915" i="5"/>
  <c r="I18899" i="5"/>
  <c r="I18883" i="5"/>
  <c r="I18867" i="5"/>
  <c r="I18851" i="5"/>
  <c r="I18835" i="5"/>
  <c r="I18819" i="5"/>
  <c r="I18803" i="5"/>
  <c r="I18787" i="5"/>
  <c r="I18771" i="5"/>
  <c r="I18755" i="5"/>
  <c r="I18739" i="5"/>
  <c r="I18723" i="5"/>
  <c r="I18707" i="5"/>
  <c r="I18691" i="5"/>
  <c r="I18675" i="5"/>
  <c r="I18659" i="5"/>
  <c r="I18643" i="5"/>
  <c r="I18627" i="5"/>
  <c r="I18611" i="5"/>
  <c r="I18596" i="5"/>
  <c r="I18585" i="5"/>
  <c r="I18571" i="5"/>
  <c r="I18559" i="5"/>
  <c r="I18546" i="5"/>
  <c r="I18532" i="5"/>
  <c r="I18521" i="5"/>
  <c r="I18507" i="5"/>
  <c r="I18495" i="5"/>
  <c r="I18482" i="5"/>
  <c r="I18468" i="5"/>
  <c r="I18457" i="5"/>
  <c r="I18443" i="5"/>
  <c r="I18431" i="5"/>
  <c r="I18418" i="5"/>
  <c r="I18404" i="5"/>
  <c r="I18393" i="5"/>
  <c r="I18379" i="5"/>
  <c r="I18367" i="5"/>
  <c r="I18354" i="5"/>
  <c r="I18340" i="5"/>
  <c r="I18329" i="5"/>
  <c r="I18315" i="5"/>
  <c r="I18303" i="5"/>
  <c r="I18290" i="5"/>
  <c r="I18276" i="5"/>
  <c r="I18265" i="5"/>
  <c r="I18251" i="5"/>
  <c r="I18239" i="5"/>
  <c r="I18226" i="5"/>
  <c r="I18212" i="5"/>
  <c r="I18201" i="5"/>
  <c r="I18187" i="5"/>
  <c r="I18175" i="5"/>
  <c r="I18162" i="5"/>
  <c r="I18148" i="5"/>
  <c r="I18137" i="5"/>
  <c r="I18123" i="5"/>
  <c r="I18111" i="5"/>
  <c r="I18098" i="5"/>
  <c r="I18084" i="5"/>
  <c r="I18073" i="5"/>
  <c r="I18059" i="5"/>
  <c r="I18047" i="5"/>
  <c r="I18034" i="5"/>
  <c r="I18020" i="5"/>
  <c r="I18009" i="5"/>
  <c r="I17995" i="5"/>
  <c r="I17983" i="5"/>
  <c r="I17970" i="5"/>
  <c r="I17956" i="5"/>
  <c r="I17945" i="5"/>
  <c r="I17931" i="5"/>
  <c r="I17919" i="5"/>
  <c r="I17906" i="5"/>
  <c r="I17892" i="5"/>
  <c r="I17881" i="5"/>
  <c r="I17867" i="5"/>
  <c r="I17855" i="5"/>
  <c r="I17842" i="5"/>
  <c r="I17828" i="5"/>
  <c r="I17817" i="5"/>
  <c r="I17803" i="5"/>
  <c r="I17791" i="5"/>
  <c r="I17778" i="5"/>
  <c r="I17764" i="5"/>
  <c r="I17753" i="5"/>
  <c r="I17739" i="5"/>
  <c r="I17727" i="5"/>
  <c r="I17714" i="5"/>
  <c r="I17700" i="5"/>
  <c r="I17689" i="5"/>
  <c r="I17675" i="5"/>
  <c r="I17663" i="5"/>
  <c r="I17650" i="5"/>
  <c r="I17636" i="5"/>
  <c r="I17625" i="5"/>
  <c r="I17611" i="5"/>
  <c r="I17599" i="5"/>
  <c r="I17586" i="5"/>
  <c r="I17572" i="5"/>
  <c r="I17561" i="5"/>
  <c r="I17547" i="5"/>
  <c r="I17535" i="5"/>
  <c r="I17522" i="5"/>
  <c r="I17508" i="5"/>
  <c r="I17497" i="5"/>
  <c r="I17483" i="5"/>
  <c r="I17471" i="5"/>
  <c r="I17458" i="5"/>
  <c r="I17444" i="5"/>
  <c r="I17433" i="5"/>
  <c r="I17419" i="5"/>
  <c r="I17407" i="5"/>
  <c r="I17394" i="5"/>
  <c r="I17380" i="5"/>
  <c r="I17369" i="5"/>
  <c r="I17355" i="5"/>
  <c r="I17343" i="5"/>
  <c r="I17330" i="5"/>
  <c r="I17316" i="5"/>
  <c r="I17305" i="5"/>
  <c r="I17291" i="5"/>
  <c r="I17279" i="5"/>
  <c r="I17266" i="5"/>
  <c r="I17252" i="5"/>
  <c r="I17241" i="5"/>
  <c r="I17227" i="5"/>
  <c r="I17215" i="5"/>
  <c r="I17202" i="5"/>
  <c r="I17188" i="5"/>
  <c r="I17177" i="5"/>
  <c r="I17163" i="5"/>
  <c r="I17151" i="5"/>
  <c r="I17138" i="5"/>
  <c r="I17124" i="5"/>
  <c r="I17113" i="5"/>
  <c r="I17099" i="5"/>
  <c r="I17087" i="5"/>
  <c r="I17074" i="5"/>
  <c r="I17060" i="5"/>
  <c r="I17049" i="5"/>
  <c r="I17035" i="5"/>
  <c r="I17023" i="5"/>
  <c r="I17010" i="5"/>
  <c r="I16996" i="5"/>
  <c r="I16985" i="5"/>
  <c r="I16971" i="5"/>
  <c r="I16959" i="5"/>
  <c r="I16946" i="5"/>
  <c r="I16932" i="5"/>
  <c r="I16921" i="5"/>
  <c r="I16907" i="5"/>
  <c r="I16895" i="5"/>
  <c r="I16882" i="5"/>
  <c r="I16868" i="5"/>
  <c r="I16857" i="5"/>
  <c r="I16844" i="5"/>
  <c r="I16834" i="5"/>
  <c r="I16824" i="5"/>
  <c r="I16812" i="5"/>
  <c r="I16802" i="5"/>
  <c r="I16792" i="5"/>
  <c r="I16783" i="5"/>
  <c r="I16774" i="5"/>
  <c r="I16764" i="5"/>
  <c r="I16755" i="5"/>
  <c r="I16746" i="5"/>
  <c r="I16737" i="5"/>
  <c r="I16728" i="5"/>
  <c r="I16719" i="5"/>
  <c r="I16710" i="5"/>
  <c r="I16700" i="5"/>
  <c r="I16691" i="5"/>
  <c r="I16682" i="5"/>
  <c r="I16673" i="5"/>
  <c r="I16664" i="5"/>
  <c r="I16655" i="5"/>
  <c r="I16646" i="5"/>
  <c r="I16636" i="5"/>
  <c r="I16627" i="5"/>
  <c r="I16618" i="5"/>
  <c r="I16609" i="5"/>
  <c r="I16600" i="5"/>
  <c r="I16591" i="5"/>
  <c r="I16582" i="5"/>
  <c r="I16572" i="5"/>
  <c r="I16563" i="5"/>
  <c r="I16554" i="5"/>
  <c r="I16545" i="5"/>
  <c r="I16536" i="5"/>
  <c r="I16527" i="5"/>
  <c r="I16518" i="5"/>
  <c r="I16508" i="5"/>
  <c r="I16499" i="5"/>
  <c r="I16490" i="5"/>
  <c r="I16481" i="5"/>
  <c r="I16472" i="5"/>
  <c r="I16463" i="5"/>
  <c r="I16454" i="5"/>
  <c r="I16444" i="5"/>
  <c r="I16435" i="5"/>
  <c r="I16426" i="5"/>
  <c r="I16417" i="5"/>
  <c r="I16408" i="5"/>
  <c r="I16399" i="5"/>
  <c r="I16390" i="5"/>
  <c r="I16380" i="5"/>
  <c r="I16371" i="5"/>
  <c r="I16362" i="5"/>
  <c r="I16353" i="5"/>
  <c r="I16344" i="5"/>
  <c r="I16335" i="5"/>
  <c r="I16326" i="5"/>
  <c r="I16316" i="5"/>
  <c r="I16307" i="5"/>
  <c r="I16298" i="5"/>
  <c r="I16289" i="5"/>
  <c r="I16280" i="5"/>
  <c r="I16271" i="5"/>
  <c r="I16262" i="5"/>
  <c r="I16252" i="5"/>
  <c r="I16243" i="5"/>
  <c r="I16234" i="5"/>
  <c r="I16225" i="5"/>
  <c r="I16216" i="5"/>
  <c r="I16207" i="5"/>
  <c r="I16198" i="5"/>
  <c r="I16188" i="5"/>
  <c r="I16179" i="5"/>
  <c r="I16170" i="5"/>
  <c r="I16161" i="5"/>
  <c r="I16152" i="5"/>
  <c r="I16143" i="5"/>
  <c r="I16134" i="5"/>
  <c r="I16124" i="5"/>
  <c r="I16115" i="5"/>
  <c r="I16106" i="5"/>
  <c r="I16097" i="5"/>
  <c r="I16088" i="5"/>
  <c r="I16079" i="5"/>
  <c r="I16070" i="5"/>
  <c r="I16060" i="5"/>
  <c r="I16051" i="5"/>
  <c r="I16042" i="5"/>
  <c r="I16033" i="5"/>
  <c r="I16024" i="5"/>
  <c r="I16015" i="5"/>
  <c r="I16006" i="5"/>
  <c r="I15996" i="5"/>
  <c r="I15987" i="5"/>
  <c r="I15978" i="5"/>
  <c r="I15969" i="5"/>
  <c r="I15960" i="5"/>
  <c r="I15951" i="5"/>
  <c r="I15942" i="5"/>
  <c r="I15932" i="5"/>
  <c r="I15923" i="5"/>
  <c r="I15914" i="5"/>
  <c r="I15905" i="5"/>
  <c r="I15896" i="5"/>
  <c r="I15887" i="5"/>
  <c r="I15878" i="5"/>
  <c r="I15868" i="5"/>
  <c r="I15859" i="5"/>
  <c r="I15850" i="5"/>
  <c r="I15841" i="5"/>
  <c r="I15832" i="5"/>
  <c r="I15823" i="5"/>
  <c r="I15814" i="5"/>
  <c r="I15804" i="5"/>
  <c r="I15795" i="5"/>
  <c r="I15786" i="5"/>
  <c r="I15777" i="5"/>
  <c r="I15768" i="5"/>
  <c r="I15759" i="5"/>
  <c r="I15750" i="5"/>
  <c r="I15740" i="5"/>
  <c r="I15731" i="5"/>
  <c r="I15722" i="5"/>
  <c r="I15713" i="5"/>
  <c r="I15704" i="5"/>
  <c r="I15695" i="5"/>
  <c r="I15686" i="5"/>
  <c r="I15676" i="5"/>
  <c r="I15667" i="5"/>
  <c r="I15658" i="5"/>
  <c r="I15649" i="5"/>
  <c r="I15640" i="5"/>
  <c r="I15631" i="5"/>
  <c r="I15622" i="5"/>
  <c r="I15612" i="5"/>
  <c r="I15603" i="5"/>
  <c r="I15594" i="5"/>
  <c r="I15585" i="5"/>
  <c r="I15576" i="5"/>
  <c r="I15567" i="5"/>
  <c r="I15558" i="5"/>
  <c r="I15548" i="5"/>
  <c r="I15539" i="5"/>
  <c r="I15530" i="5"/>
  <c r="I15521" i="5"/>
  <c r="I15512" i="5"/>
  <c r="I15503" i="5"/>
  <c r="I15494" i="5"/>
  <c r="I15484" i="5"/>
  <c r="I15475" i="5"/>
  <c r="I15466" i="5"/>
  <c r="I15457" i="5"/>
  <c r="I15448" i="5"/>
  <c r="I15439" i="5"/>
  <c r="I15430" i="5"/>
  <c r="I15420" i="5"/>
  <c r="I15411" i="5"/>
  <c r="I15402" i="5"/>
  <c r="I15393" i="5"/>
  <c r="I15384" i="5"/>
  <c r="I15375" i="5"/>
  <c r="I15366" i="5"/>
  <c r="I15356" i="5"/>
  <c r="I15347" i="5"/>
  <c r="I15338" i="5"/>
  <c r="I15329" i="5"/>
  <c r="I15320" i="5"/>
  <c r="I15311" i="5"/>
  <c r="I15302" i="5"/>
  <c r="I15292" i="5"/>
  <c r="I15283" i="5"/>
  <c r="I15274" i="5"/>
  <c r="I15265" i="5"/>
  <c r="I15256" i="5"/>
  <c r="I15247" i="5"/>
  <c r="I15238" i="5"/>
  <c r="I15228" i="5"/>
  <c r="I15219" i="5"/>
  <c r="I15210" i="5"/>
  <c r="I15201" i="5"/>
  <c r="I15192" i="5"/>
  <c r="I15183" i="5"/>
  <c r="I15174" i="5"/>
  <c r="I15164" i="5"/>
  <c r="I15155" i="5"/>
  <c r="I15146" i="5"/>
  <c r="I15137" i="5"/>
  <c r="I15128" i="5"/>
  <c r="I15119" i="5"/>
  <c r="I15110" i="5"/>
  <c r="I15100" i="5"/>
  <c r="I15091" i="5"/>
  <c r="I15082" i="5"/>
  <c r="I15073" i="5"/>
  <c r="I15064" i="5"/>
  <c r="I15055" i="5"/>
  <c r="I15046" i="5"/>
  <c r="I15036" i="5"/>
  <c r="I15027" i="5"/>
  <c r="I15018" i="5"/>
  <c r="I15009" i="5"/>
  <c r="I15000" i="5"/>
  <c r="I14991" i="5"/>
  <c r="I14982" i="5"/>
  <c r="I14972" i="5"/>
  <c r="I14963" i="5"/>
  <c r="I14954" i="5"/>
  <c r="I14945" i="5"/>
  <c r="I14936" i="5"/>
  <c r="I14927" i="5"/>
  <c r="I14918" i="5"/>
  <c r="I14908" i="5"/>
  <c r="I14899" i="5"/>
  <c r="I14890" i="5"/>
  <c r="I14881" i="5"/>
  <c r="I14872" i="5"/>
  <c r="I14863" i="5"/>
  <c r="I14854" i="5"/>
  <c r="I14844" i="5"/>
  <c r="I14835" i="5"/>
  <c r="I14826" i="5"/>
  <c r="I14817" i="5"/>
  <c r="I14808" i="5"/>
  <c r="I14799" i="5"/>
  <c r="I14790" i="5"/>
  <c r="I14780" i="5"/>
  <c r="I14771" i="5"/>
  <c r="I14762" i="5"/>
  <c r="I14753" i="5"/>
  <c r="I14744" i="5"/>
  <c r="I14735" i="5"/>
  <c r="I14726" i="5"/>
  <c r="I14716" i="5"/>
  <c r="I14707" i="5"/>
  <c r="I14698" i="5"/>
  <c r="I14689" i="5"/>
  <c r="I14680" i="5"/>
  <c r="I14671" i="5"/>
  <c r="I14662" i="5"/>
  <c r="I14652" i="5"/>
  <c r="I14643" i="5"/>
  <c r="I14634" i="5"/>
  <c r="I14625" i="5"/>
  <c r="I14616" i="5"/>
  <c r="I14607" i="5"/>
  <c r="I14598" i="5"/>
  <c r="I14588" i="5"/>
  <c r="I14579" i="5"/>
  <c r="I14570" i="5"/>
  <c r="I14561" i="5"/>
  <c r="I14552" i="5"/>
  <c r="I14543" i="5"/>
  <c r="I14534" i="5"/>
  <c r="I14524" i="5"/>
  <c r="I14515" i="5"/>
  <c r="I14506" i="5"/>
  <c r="I14497" i="5"/>
  <c r="I14488" i="5"/>
  <c r="I14479" i="5"/>
  <c r="I14470" i="5"/>
  <c r="I14460" i="5"/>
  <c r="I14451" i="5"/>
  <c r="I14442" i="5"/>
  <c r="I14433" i="5"/>
  <c r="I14424" i="5"/>
  <c r="I14415" i="5"/>
  <c r="I14406" i="5"/>
  <c r="I14396" i="5"/>
  <c r="I14387" i="5"/>
  <c r="I14378" i="5"/>
  <c r="I14369" i="5"/>
  <c r="I14360" i="5"/>
  <c r="I14351" i="5"/>
  <c r="I14342" i="5"/>
  <c r="I14332" i="5"/>
  <c r="I14323" i="5"/>
  <c r="I14314" i="5"/>
  <c r="I14305" i="5"/>
  <c r="I14296" i="5"/>
  <c r="I14287" i="5"/>
  <c r="I14278" i="5"/>
  <c r="I14268" i="5"/>
  <c r="I14259" i="5"/>
  <c r="I14250" i="5"/>
  <c r="I14241" i="5"/>
  <c r="I14232" i="5"/>
  <c r="I14223" i="5"/>
  <c r="I14214" i="5"/>
  <c r="I14204" i="5"/>
  <c r="I14195" i="5"/>
  <c r="I14186" i="5"/>
  <c r="I14177" i="5"/>
  <c r="I14168" i="5"/>
  <c r="I14159" i="5"/>
  <c r="I14150" i="5"/>
  <c r="I14140" i="5"/>
  <c r="I14131" i="5"/>
  <c r="I14122" i="5"/>
  <c r="I14113" i="5"/>
  <c r="I14104" i="5"/>
  <c r="I14095" i="5"/>
  <c r="I14086" i="5"/>
  <c r="I14076" i="5"/>
  <c r="I14067" i="5"/>
  <c r="I14058" i="5"/>
  <c r="I14049" i="5"/>
  <c r="I14040" i="5"/>
  <c r="I14031" i="5"/>
  <c r="I14022" i="5"/>
  <c r="I14012" i="5"/>
  <c r="I14003" i="5"/>
  <c r="I13994" i="5"/>
  <c r="I13985" i="5"/>
  <c r="I13976" i="5"/>
  <c r="I13967" i="5"/>
  <c r="I13958" i="5"/>
  <c r="I13948" i="5"/>
  <c r="I31765" i="5"/>
  <c r="I30040" i="5"/>
  <c r="I29127" i="5"/>
  <c r="I28675" i="5"/>
  <c r="I28222" i="5"/>
  <c r="I27763" i="5"/>
  <c r="I27309" i="5"/>
  <c r="I26901" i="5"/>
  <c r="I26558" i="5"/>
  <c r="I26264" i="5"/>
  <c r="I26008" i="5"/>
  <c r="I25752" i="5"/>
  <c r="I25550" i="5"/>
  <c r="I25379" i="5"/>
  <c r="I25209" i="5"/>
  <c r="I25038" i="5"/>
  <c r="I24891" i="5"/>
  <c r="I24755" i="5"/>
  <c r="I24627" i="5"/>
  <c r="I24518" i="5"/>
  <c r="I24452" i="5"/>
  <c r="I24388" i="5"/>
  <c r="I24324" i="5"/>
  <c r="I24260" i="5"/>
  <c r="I24196" i="5"/>
  <c r="I24132" i="5"/>
  <c r="I24068" i="5"/>
  <c r="I24004" i="5"/>
  <c r="I23940" i="5"/>
  <c r="I23876" i="5"/>
  <c r="I23812" i="5"/>
  <c r="I23748" i="5"/>
  <c r="I23684" i="5"/>
  <c r="I23620" i="5"/>
  <c r="I23556" i="5"/>
  <c r="I23492" i="5"/>
  <c r="I23428" i="5"/>
  <c r="I23383" i="5"/>
  <c r="I23341" i="5"/>
  <c r="I23300" i="5"/>
  <c r="I23255" i="5"/>
  <c r="I23213" i="5"/>
  <c r="I23172" i="5"/>
  <c r="I23127" i="5"/>
  <c r="I23085" i="5"/>
  <c r="I23044" i="5"/>
  <c r="I22999" i="5"/>
  <c r="I22957" i="5"/>
  <c r="I22916" i="5"/>
  <c r="I22871" i="5"/>
  <c r="I22829" i="5"/>
  <c r="I22788" i="5"/>
  <c r="I22743" i="5"/>
  <c r="I22701" i="5"/>
  <c r="I22660" i="5"/>
  <c r="I22615" i="5"/>
  <c r="I22573" i="5"/>
  <c r="I22532" i="5"/>
  <c r="I22487" i="5"/>
  <c r="I22445" i="5"/>
  <c r="I22404" i="5"/>
  <c r="I22359" i="5"/>
  <c r="I22317" i="5"/>
  <c r="I22276" i="5"/>
  <c r="I22231" i="5"/>
  <c r="I22189" i="5"/>
  <c r="I22148" i="5"/>
  <c r="I22103" i="5"/>
  <c r="I22061" i="5"/>
  <c r="I22020" i="5"/>
  <c r="I21975" i="5"/>
  <c r="I21933" i="5"/>
  <c r="I21892" i="5"/>
  <c r="I21847" i="5"/>
  <c r="I21805" i="5"/>
  <c r="I21764" i="5"/>
  <c r="I21719" i="5"/>
  <c r="I21677" i="5"/>
  <c r="I21645" i="5"/>
  <c r="I21613" i="5"/>
  <c r="I21581" i="5"/>
  <c r="I21549" i="5"/>
  <c r="I21517" i="5"/>
  <c r="I21485" i="5"/>
  <c r="I21453" i="5"/>
  <c r="I21421" i="5"/>
  <c r="I21389" i="5"/>
  <c r="I21357" i="5"/>
  <c r="I21325" i="5"/>
  <c r="I21293" i="5"/>
  <c r="I21261" i="5"/>
  <c r="I21229" i="5"/>
  <c r="I21197" i="5"/>
  <c r="I21165" i="5"/>
  <c r="I21133" i="5"/>
  <c r="I21101" i="5"/>
  <c r="I21069" i="5"/>
  <c r="I21037" i="5"/>
  <c r="I21005" i="5"/>
  <c r="I20973" i="5"/>
  <c r="I20941" i="5"/>
  <c r="I20909" i="5"/>
  <c r="I20877" i="5"/>
  <c r="I20845" i="5"/>
  <c r="I20813" i="5"/>
  <c r="I20781" i="5"/>
  <c r="I20749" i="5"/>
  <c r="I20717" i="5"/>
  <c r="I20685" i="5"/>
  <c r="I20653" i="5"/>
  <c r="I20621" i="5"/>
  <c r="I20589" i="5"/>
  <c r="I20557" i="5"/>
  <c r="I20525" i="5"/>
  <c r="I20493" i="5"/>
  <c r="I20461" i="5"/>
  <c r="I20431" i="5"/>
  <c r="I20405" i="5"/>
  <c r="I20380" i="5"/>
  <c r="I20355" i="5"/>
  <c r="I20329" i="5"/>
  <c r="I20306" i="5"/>
  <c r="I20290" i="5"/>
  <c r="I20274" i="5"/>
  <c r="I20258" i="5"/>
  <c r="I20242" i="5"/>
  <c r="I20226" i="5"/>
  <c r="I20210" i="5"/>
  <c r="I20194" i="5"/>
  <c r="I20178" i="5"/>
  <c r="I20162" i="5"/>
  <c r="I20146" i="5"/>
  <c r="I20130" i="5"/>
  <c r="I20114" i="5"/>
  <c r="I20098" i="5"/>
  <c r="I20082" i="5"/>
  <c r="I20066" i="5"/>
  <c r="I20050" i="5"/>
  <c r="I20034" i="5"/>
  <c r="I20018" i="5"/>
  <c r="I20002" i="5"/>
  <c r="I19986" i="5"/>
  <c r="I19970" i="5"/>
  <c r="I19954" i="5"/>
  <c r="I19938" i="5"/>
  <c r="I19922" i="5"/>
  <c r="I19906" i="5"/>
  <c r="I19890" i="5"/>
  <c r="I19874" i="5"/>
  <c r="I19858" i="5"/>
  <c r="I19842" i="5"/>
  <c r="I19826" i="5"/>
  <c r="I19810" i="5"/>
  <c r="I19794" i="5"/>
  <c r="I19778" i="5"/>
  <c r="I19762" i="5"/>
  <c r="I19746" i="5"/>
  <c r="I19730" i="5"/>
  <c r="I19714" i="5"/>
  <c r="I19698" i="5"/>
  <c r="I19682" i="5"/>
  <c r="I19666" i="5"/>
  <c r="I19650" i="5"/>
  <c r="I19634" i="5"/>
  <c r="I19618" i="5"/>
  <c r="I19602" i="5"/>
  <c r="I19586" i="5"/>
  <c r="I19570" i="5"/>
  <c r="I19554" i="5"/>
  <c r="I19538" i="5"/>
  <c r="I19522" i="5"/>
  <c r="I19506" i="5"/>
  <c r="I19490" i="5"/>
  <c r="I19474" i="5"/>
  <c r="I19458" i="5"/>
  <c r="I19442" i="5"/>
  <c r="I19426" i="5"/>
  <c r="I19410" i="5"/>
  <c r="I19394" i="5"/>
  <c r="I19378" i="5"/>
  <c r="I19362" i="5"/>
  <c r="I19346" i="5"/>
  <c r="I19330" i="5"/>
  <c r="I19314" i="5"/>
  <c r="I19298" i="5"/>
  <c r="I19282" i="5"/>
  <c r="I19266" i="5"/>
  <c r="I19250" i="5"/>
  <c r="I19234" i="5"/>
  <c r="I19218" i="5"/>
  <c r="I19202" i="5"/>
  <c r="I19186" i="5"/>
  <c r="I19170" i="5"/>
  <c r="I19154" i="5"/>
  <c r="I19138" i="5"/>
  <c r="I19122" i="5"/>
  <c r="I19106" i="5"/>
  <c r="I19090" i="5"/>
  <c r="I19074" i="5"/>
  <c r="I19058" i="5"/>
  <c r="I19042" i="5"/>
  <c r="I19026" i="5"/>
  <c r="I19010" i="5"/>
  <c r="I18994" i="5"/>
  <c r="I18978" i="5"/>
  <c r="I18962" i="5"/>
  <c r="I18946" i="5"/>
  <c r="I18930" i="5"/>
  <c r="I18914" i="5"/>
  <c r="I18898" i="5"/>
  <c r="I18882" i="5"/>
  <c r="I18866" i="5"/>
  <c r="I18850" i="5"/>
  <c r="I18834" i="5"/>
  <c r="I18818" i="5"/>
  <c r="I18802" i="5"/>
  <c r="I18786" i="5"/>
  <c r="I18770" i="5"/>
  <c r="I18754" i="5"/>
  <c r="I18738" i="5"/>
  <c r="I18722" i="5"/>
  <c r="I18706" i="5"/>
  <c r="I18690" i="5"/>
  <c r="I18674" i="5"/>
  <c r="I18658" i="5"/>
  <c r="I18642" i="5"/>
  <c r="I18626" i="5"/>
  <c r="I18610" i="5"/>
  <c r="I18595" i="5"/>
  <c r="I18583" i="5"/>
  <c r="I18570" i="5"/>
  <c r="I18556" i="5"/>
  <c r="I18545" i="5"/>
  <c r="I18531" i="5"/>
  <c r="I18519" i="5"/>
  <c r="I18506" i="5"/>
  <c r="I18492" i="5"/>
  <c r="I18481" i="5"/>
  <c r="I18467" i="5"/>
  <c r="I18455" i="5"/>
  <c r="I18442" i="5"/>
  <c r="I18428" i="5"/>
  <c r="I18417" i="5"/>
  <c r="I18403" i="5"/>
  <c r="I18391" i="5"/>
  <c r="I18378" i="5"/>
  <c r="I18364" i="5"/>
  <c r="I18353" i="5"/>
  <c r="I18339" i="5"/>
  <c r="I18327" i="5"/>
  <c r="I18314" i="5"/>
  <c r="I18300" i="5"/>
  <c r="I18289" i="5"/>
  <c r="I18275" i="5"/>
  <c r="I18263" i="5"/>
  <c r="I18250" i="5"/>
  <c r="I18236" i="5"/>
  <c r="I18225" i="5"/>
  <c r="I18211" i="5"/>
  <c r="I18199" i="5"/>
  <c r="I18186" i="5"/>
  <c r="I18172" i="5"/>
  <c r="I18161" i="5"/>
  <c r="I18147" i="5"/>
  <c r="I18135" i="5"/>
  <c r="I18122" i="5"/>
  <c r="I18108" i="5"/>
  <c r="I18097" i="5"/>
  <c r="I18083" i="5"/>
  <c r="I18071" i="5"/>
  <c r="I18058" i="5"/>
  <c r="I18044" i="5"/>
  <c r="I18033" i="5"/>
  <c r="I18019" i="5"/>
  <c r="I18007" i="5"/>
  <c r="I17994" i="5"/>
  <c r="I17980" i="5"/>
  <c r="I17969" i="5"/>
  <c r="I17955" i="5"/>
  <c r="I17943" i="5"/>
  <c r="I17930" i="5"/>
  <c r="I17916" i="5"/>
  <c r="I17905" i="5"/>
  <c r="I17891" i="5"/>
  <c r="I17879" i="5"/>
  <c r="I17866" i="5"/>
  <c r="I17852" i="5"/>
  <c r="I17841" i="5"/>
  <c r="I17827" i="5"/>
  <c r="I17815" i="5"/>
  <c r="I17802" i="5"/>
  <c r="I17788" i="5"/>
  <c r="I17777" i="5"/>
  <c r="I17763" i="5"/>
  <c r="I17751" i="5"/>
  <c r="I17738" i="5"/>
  <c r="I17724" i="5"/>
  <c r="I17713" i="5"/>
  <c r="I17699" i="5"/>
  <c r="I17687" i="5"/>
  <c r="I17674" i="5"/>
  <c r="I17660" i="5"/>
  <c r="I17649" i="5"/>
  <c r="I17635" i="5"/>
  <c r="I17623" i="5"/>
  <c r="I17610" i="5"/>
  <c r="I17596" i="5"/>
  <c r="I17585" i="5"/>
  <c r="I17571" i="5"/>
  <c r="I17559" i="5"/>
  <c r="I17546" i="5"/>
  <c r="I17532" i="5"/>
  <c r="I17521" i="5"/>
  <c r="I17507" i="5"/>
  <c r="I17495" i="5"/>
  <c r="I17482" i="5"/>
  <c r="I17468" i="5"/>
  <c r="I17457" i="5"/>
  <c r="I17443" i="5"/>
  <c r="I17431" i="5"/>
  <c r="I17418" i="5"/>
  <c r="I17404" i="5"/>
  <c r="I17393" i="5"/>
  <c r="I17379" i="5"/>
  <c r="I17367" i="5"/>
  <c r="I17354" i="5"/>
  <c r="I17340" i="5"/>
  <c r="I17329" i="5"/>
  <c r="I17315" i="5"/>
  <c r="I17303" i="5"/>
  <c r="I17290" i="5"/>
  <c r="I17276" i="5"/>
  <c r="I17265" i="5"/>
  <c r="I17251" i="5"/>
  <c r="I17239" i="5"/>
  <c r="I17226" i="5"/>
  <c r="I17212" i="5"/>
  <c r="I17201" i="5"/>
  <c r="I17187" i="5"/>
  <c r="I17175" i="5"/>
  <c r="I17162" i="5"/>
  <c r="I17148" i="5"/>
  <c r="I17137" i="5"/>
  <c r="I17123" i="5"/>
  <c r="I17111" i="5"/>
  <c r="I17098" i="5"/>
  <c r="I17084" i="5"/>
  <c r="I17073" i="5"/>
  <c r="I17059" i="5"/>
  <c r="I17047" i="5"/>
  <c r="I17034" i="5"/>
  <c r="I17020" i="5"/>
  <c r="I17009" i="5"/>
  <c r="I16995" i="5"/>
  <c r="I16983" i="5"/>
  <c r="I16970" i="5"/>
  <c r="I16956" i="5"/>
  <c r="I16945" i="5"/>
  <c r="I16931" i="5"/>
  <c r="I16919" i="5"/>
  <c r="I16906" i="5"/>
  <c r="I16892" i="5"/>
  <c r="I16881" i="5"/>
  <c r="I16867" i="5"/>
  <c r="I16855" i="5"/>
  <c r="I16843" i="5"/>
  <c r="I16833" i="5"/>
  <c r="I16823" i="5"/>
  <c r="I16811" i="5"/>
  <c r="I16801" i="5"/>
  <c r="I16791" i="5"/>
  <c r="I16782" i="5"/>
  <c r="I16772" i="5"/>
  <c r="I16763" i="5"/>
  <c r="I16754" i="5"/>
  <c r="I16745" i="5"/>
  <c r="I16736" i="5"/>
  <c r="I16727" i="5"/>
  <c r="I16718" i="5"/>
  <c r="I16708" i="5"/>
  <c r="I16699" i="5"/>
  <c r="I16690" i="5"/>
  <c r="I16681" i="5"/>
  <c r="I16672" i="5"/>
  <c r="I16663" i="5"/>
  <c r="I16654" i="5"/>
  <c r="I16644" i="5"/>
  <c r="I16635" i="5"/>
  <c r="I16626" i="5"/>
  <c r="I16617" i="5"/>
  <c r="I16608" i="5"/>
  <c r="I16599" i="5"/>
  <c r="I16590" i="5"/>
  <c r="I16580" i="5"/>
  <c r="I16571" i="5"/>
  <c r="I16562" i="5"/>
  <c r="I16553" i="5"/>
  <c r="I16544" i="5"/>
  <c r="I16535" i="5"/>
  <c r="I16526" i="5"/>
  <c r="I16516" i="5"/>
  <c r="I16507" i="5"/>
  <c r="I16498" i="5"/>
  <c r="I16489" i="5"/>
  <c r="I16480" i="5"/>
  <c r="I16471" i="5"/>
  <c r="I16462" i="5"/>
  <c r="I16452" i="5"/>
  <c r="I16443" i="5"/>
  <c r="I16434" i="5"/>
  <c r="I16425" i="5"/>
  <c r="I16416" i="5"/>
  <c r="I16407" i="5"/>
  <c r="I16398" i="5"/>
  <c r="I16388" i="5"/>
  <c r="I16379" i="5"/>
  <c r="I16370" i="5"/>
  <c r="I16361" i="5"/>
  <c r="I16352" i="5"/>
  <c r="I16343" i="5"/>
  <c r="I16334" i="5"/>
  <c r="I16324" i="5"/>
  <c r="I16315" i="5"/>
  <c r="I16306" i="5"/>
  <c r="I16297" i="5"/>
  <c r="I16288" i="5"/>
  <c r="I16279" i="5"/>
  <c r="I16270" i="5"/>
  <c r="I16260" i="5"/>
  <c r="I16251" i="5"/>
  <c r="I16242" i="5"/>
  <c r="I16233" i="5"/>
  <c r="I16224" i="5"/>
  <c r="I16215" i="5"/>
  <c r="I16206" i="5"/>
  <c r="I16196" i="5"/>
  <c r="I16187" i="5"/>
  <c r="I16178" i="5"/>
  <c r="I16169" i="5"/>
  <c r="I16160" i="5"/>
  <c r="I16151" i="5"/>
  <c r="I16142" i="5"/>
  <c r="I16132" i="5"/>
  <c r="I16123" i="5"/>
  <c r="I16114" i="5"/>
  <c r="I16105" i="5"/>
  <c r="I16096" i="5"/>
  <c r="I16087" i="5"/>
  <c r="I16078" i="5"/>
  <c r="I16068" i="5"/>
  <c r="I16059" i="5"/>
  <c r="I16050" i="5"/>
  <c r="I16041" i="5"/>
  <c r="I16032" i="5"/>
  <c r="I16023" i="5"/>
  <c r="I16014" i="5"/>
  <c r="I16004" i="5"/>
  <c r="I15995" i="5"/>
  <c r="I15986" i="5"/>
  <c r="I15977" i="5"/>
  <c r="I15968" i="5"/>
  <c r="I15959" i="5"/>
  <c r="I15950" i="5"/>
  <c r="I15940" i="5"/>
  <c r="I15931" i="5"/>
  <c r="I15922" i="5"/>
  <c r="I15913" i="5"/>
  <c r="I15904" i="5"/>
  <c r="I15895" i="5"/>
  <c r="I15886" i="5"/>
  <c r="I15876" i="5"/>
  <c r="I15867" i="5"/>
  <c r="I15858" i="5"/>
  <c r="I15849" i="5"/>
  <c r="I15840" i="5"/>
  <c r="I15831" i="5"/>
  <c r="I15822" i="5"/>
  <c r="I15812" i="5"/>
  <c r="I15803" i="5"/>
  <c r="I15794" i="5"/>
  <c r="I15785" i="5"/>
  <c r="I15776" i="5"/>
  <c r="I15767" i="5"/>
  <c r="I15758" i="5"/>
  <c r="I15748" i="5"/>
  <c r="I15739" i="5"/>
  <c r="I15730" i="5"/>
  <c r="I15721" i="5"/>
  <c r="I15712" i="5"/>
  <c r="I15703" i="5"/>
  <c r="I15694" i="5"/>
  <c r="I15684" i="5"/>
  <c r="I15675" i="5"/>
  <c r="I15666" i="5"/>
  <c r="I15657" i="5"/>
  <c r="I15648" i="5"/>
  <c r="I15639" i="5"/>
  <c r="I15630" i="5"/>
  <c r="I15620" i="5"/>
  <c r="I15611" i="5"/>
  <c r="I15602" i="5"/>
  <c r="I15593" i="5"/>
  <c r="I15584" i="5"/>
  <c r="I15575" i="5"/>
  <c r="I15566" i="5"/>
  <c r="I15556" i="5"/>
  <c r="I15547" i="5"/>
  <c r="I15538" i="5"/>
  <c r="I15529" i="5"/>
  <c r="I15520" i="5"/>
  <c r="I15511" i="5"/>
  <c r="I15502" i="5"/>
  <c r="I15492" i="5"/>
  <c r="I15483" i="5"/>
  <c r="I15474" i="5"/>
  <c r="I15465" i="5"/>
  <c r="I15456" i="5"/>
  <c r="I15447" i="5"/>
  <c r="I15438" i="5"/>
  <c r="I15428" i="5"/>
  <c r="I15419" i="5"/>
  <c r="I15410" i="5"/>
  <c r="I15401" i="5"/>
  <c r="I15392" i="5"/>
  <c r="I15383" i="5"/>
  <c r="I15374" i="5"/>
  <c r="I15364" i="5"/>
  <c r="I15355" i="5"/>
  <c r="I15346" i="5"/>
  <c r="I15337" i="5"/>
  <c r="I15328" i="5"/>
  <c r="I15319" i="5"/>
  <c r="I15310" i="5"/>
  <c r="I15300" i="5"/>
  <c r="I15291" i="5"/>
  <c r="I15282" i="5"/>
  <c r="I15273" i="5"/>
  <c r="I15264" i="5"/>
  <c r="I15255" i="5"/>
  <c r="I15246" i="5"/>
  <c r="I15236" i="5"/>
  <c r="I15227" i="5"/>
  <c r="I15218" i="5"/>
  <c r="I15209" i="5"/>
  <c r="I15200" i="5"/>
  <c r="I15191" i="5"/>
  <c r="I15182" i="5"/>
  <c r="I15172" i="5"/>
  <c r="I15163" i="5"/>
  <c r="I15154" i="5"/>
  <c r="I15145" i="5"/>
  <c r="I15136" i="5"/>
  <c r="I15127" i="5"/>
  <c r="I15118" i="5"/>
  <c r="I15108" i="5"/>
  <c r="I15099" i="5"/>
  <c r="I15090" i="5"/>
  <c r="I15081" i="5"/>
  <c r="I15072" i="5"/>
  <c r="I15063" i="5"/>
  <c r="I15054" i="5"/>
  <c r="I15044" i="5"/>
  <c r="I15035" i="5"/>
  <c r="I15026" i="5"/>
  <c r="I15017" i="5"/>
  <c r="I15008" i="5"/>
  <c r="I14999" i="5"/>
  <c r="I14990" i="5"/>
  <c r="I14980" i="5"/>
  <c r="I14971" i="5"/>
  <c r="I14962" i="5"/>
  <c r="I14953" i="5"/>
  <c r="I14944" i="5"/>
  <c r="I14935" i="5"/>
  <c r="I14926" i="5"/>
  <c r="I14916" i="5"/>
  <c r="I14907" i="5"/>
  <c r="I14898" i="5"/>
  <c r="I14889" i="5"/>
  <c r="I14880" i="5"/>
  <c r="I14871" i="5"/>
  <c r="I14862" i="5"/>
  <c r="I14852" i="5"/>
  <c r="I14843" i="5"/>
  <c r="I14834" i="5"/>
  <c r="I14825" i="5"/>
  <c r="I14816" i="5"/>
  <c r="I14807" i="5"/>
  <c r="I14798" i="5"/>
  <c r="I14788" i="5"/>
  <c r="I14779" i="5"/>
  <c r="I14770" i="5"/>
  <c r="I14761" i="5"/>
  <c r="I14752" i="5"/>
  <c r="I14743" i="5"/>
  <c r="I14734" i="5"/>
  <c r="I14724" i="5"/>
  <c r="I14715" i="5"/>
  <c r="I14706" i="5"/>
  <c r="I14697" i="5"/>
  <c r="I14688" i="5"/>
  <c r="I14679" i="5"/>
  <c r="I14670" i="5"/>
  <c r="I14660" i="5"/>
  <c r="I14651" i="5"/>
  <c r="I14642" i="5"/>
  <c r="I14633" i="5"/>
  <c r="I14624" i="5"/>
  <c r="I14615" i="5"/>
  <c r="I14606" i="5"/>
  <c r="I14596" i="5"/>
  <c r="I14587" i="5"/>
  <c r="I14578" i="5"/>
  <c r="I14569" i="5"/>
  <c r="I14560" i="5"/>
  <c r="I14551" i="5"/>
  <c r="I14542" i="5"/>
  <c r="I14532" i="5"/>
  <c r="I14523" i="5"/>
  <c r="I14514" i="5"/>
  <c r="I14505" i="5"/>
  <c r="I14496" i="5"/>
  <c r="I14487" i="5"/>
  <c r="I14478" i="5"/>
  <c r="I14468" i="5"/>
  <c r="I14459" i="5"/>
  <c r="I14450" i="5"/>
  <c r="I14441" i="5"/>
  <c r="I14432" i="5"/>
  <c r="I14423" i="5"/>
  <c r="I14414" i="5"/>
  <c r="I14404" i="5"/>
  <c r="I14395" i="5"/>
  <c r="I14386" i="5"/>
  <c r="I14377" i="5"/>
  <c r="I14368" i="5"/>
  <c r="I14359" i="5"/>
  <c r="I14350" i="5"/>
  <c r="I14340" i="5"/>
  <c r="I14331" i="5"/>
  <c r="I14322" i="5"/>
  <c r="I14313" i="5"/>
  <c r="I14304" i="5"/>
  <c r="I14295" i="5"/>
  <c r="I14286" i="5"/>
  <c r="I14276" i="5"/>
  <c r="I14267" i="5"/>
  <c r="I14258" i="5"/>
  <c r="I14249" i="5"/>
  <c r="I14240" i="5"/>
  <c r="I14231" i="5"/>
  <c r="I14222" i="5"/>
  <c r="I14212" i="5"/>
  <c r="I14203" i="5"/>
  <c r="I14194" i="5"/>
  <c r="I14185" i="5"/>
  <c r="I14176" i="5"/>
  <c r="I14167" i="5"/>
  <c r="I14158" i="5"/>
  <c r="I14148" i="5"/>
  <c r="I14139" i="5"/>
  <c r="I14130" i="5"/>
  <c r="I14121" i="5"/>
  <c r="I14112" i="5"/>
  <c r="I14103" i="5"/>
  <c r="I14094" i="5"/>
  <c r="I14084" i="5"/>
  <c r="I14075" i="5"/>
  <c r="I14066" i="5"/>
  <c r="I14057" i="5"/>
  <c r="I14048" i="5"/>
  <c r="I14039" i="5"/>
  <c r="I14030" i="5"/>
  <c r="I14020" i="5"/>
  <c r="I14011" i="5"/>
  <c r="I14002" i="5"/>
  <c r="I13993" i="5"/>
  <c r="I13984" i="5"/>
  <c r="I13975" i="5"/>
  <c r="I13966" i="5"/>
  <c r="I13956" i="5"/>
  <c r="I13947" i="5"/>
  <c r="I13938" i="5"/>
  <c r="I13929" i="5"/>
  <c r="I13920" i="5"/>
  <c r="I13911" i="5"/>
  <c r="I13902" i="5"/>
  <c r="I13892" i="5"/>
  <c r="I13883" i="5"/>
  <c r="I13874" i="5"/>
  <c r="I13865" i="5"/>
  <c r="I13856" i="5"/>
  <c r="I13847" i="5"/>
  <c r="I13838" i="5"/>
  <c r="I13828" i="5"/>
  <c r="I13819" i="5"/>
  <c r="I13810" i="5"/>
  <c r="I13801" i="5"/>
  <c r="I13792" i="5"/>
  <c r="I13783" i="5"/>
  <c r="I13774" i="5"/>
  <c r="I13764" i="5"/>
  <c r="I13755" i="5"/>
  <c r="I13746" i="5"/>
  <c r="I13738" i="5"/>
  <c r="I13730" i="5"/>
  <c r="I13722" i="5"/>
  <c r="I13714" i="5"/>
  <c r="I13706" i="5"/>
  <c r="I13698" i="5"/>
  <c r="I13690" i="5"/>
  <c r="I13682" i="5"/>
  <c r="I13674" i="5"/>
  <c r="I13666" i="5"/>
  <c r="I13658" i="5"/>
  <c r="I13650" i="5"/>
  <c r="I13642" i="5"/>
  <c r="I13634" i="5"/>
  <c r="I13626" i="5"/>
  <c r="I13618" i="5"/>
  <c r="I13610" i="5"/>
  <c r="I13602" i="5"/>
  <c r="I13594" i="5"/>
  <c r="I13586" i="5"/>
  <c r="I13578" i="5"/>
  <c r="I13570" i="5"/>
  <c r="I13562" i="5"/>
  <c r="I13554" i="5"/>
  <c r="I13546" i="5"/>
  <c r="I13538" i="5"/>
  <c r="I13530" i="5"/>
  <c r="I13522" i="5"/>
  <c r="I13514" i="5"/>
  <c r="I13506" i="5"/>
  <c r="I13498" i="5"/>
  <c r="I13490" i="5"/>
  <c r="I13482" i="5"/>
  <c r="I13474" i="5"/>
  <c r="I13466" i="5"/>
  <c r="I13458" i="5"/>
  <c r="I13450" i="5"/>
  <c r="I13442" i="5"/>
  <c r="I13434" i="5"/>
  <c r="I13426" i="5"/>
  <c r="I13418" i="5"/>
  <c r="I13410" i="5"/>
  <c r="I13402" i="5"/>
  <c r="I13394" i="5"/>
  <c r="I13386" i="5"/>
  <c r="I13378" i="5"/>
  <c r="I31520" i="5"/>
  <c r="I29938" i="5"/>
  <c r="I29099" i="5"/>
  <c r="I28637" i="5"/>
  <c r="I28182" i="5"/>
  <c r="I27733" i="5"/>
  <c r="I27270" i="5"/>
  <c r="I26869" i="5"/>
  <c r="I26526" i="5"/>
  <c r="I26240" i="5"/>
  <c r="I25984" i="5"/>
  <c r="I25728" i="5"/>
  <c r="I25534" i="5"/>
  <c r="I25363" i="5"/>
  <c r="I25193" i="5"/>
  <c r="I25024" i="5"/>
  <c r="I24878" i="5"/>
  <c r="I24743" i="5"/>
  <c r="I24615" i="5"/>
  <c r="I24512" i="5"/>
  <c r="I24447" i="5"/>
  <c r="I24383" i="5"/>
  <c r="I24319" i="5"/>
  <c r="I24255" i="5"/>
  <c r="I24191" i="5"/>
  <c r="I24127" i="5"/>
  <c r="I24063" i="5"/>
  <c r="I23999" i="5"/>
  <c r="I23935" i="5"/>
  <c r="I23871" i="5"/>
  <c r="I23807" i="5"/>
  <c r="I23743" i="5"/>
  <c r="I23679" i="5"/>
  <c r="I23615" i="5"/>
  <c r="I23551" i="5"/>
  <c r="I23487" i="5"/>
  <c r="I23423" i="5"/>
  <c r="I23381" i="5"/>
  <c r="I23340" i="5"/>
  <c r="I23295" i="5"/>
  <c r="I23253" i="5"/>
  <c r="I23212" i="5"/>
  <c r="I23167" i="5"/>
  <c r="I23125" i="5"/>
  <c r="I23084" i="5"/>
  <c r="I23039" i="5"/>
  <c r="I22997" i="5"/>
  <c r="I22956" i="5"/>
  <c r="I22911" i="5"/>
  <c r="I22869" i="5"/>
  <c r="I22828" i="5"/>
  <c r="I22783" i="5"/>
  <c r="I22741" i="5"/>
  <c r="I22700" i="5"/>
  <c r="I22655" i="5"/>
  <c r="I22613" i="5"/>
  <c r="I22572" i="5"/>
  <c r="I22527" i="5"/>
  <c r="I22485" i="5"/>
  <c r="I22444" i="5"/>
  <c r="I22399" i="5"/>
  <c r="I22357" i="5"/>
  <c r="I22316" i="5"/>
  <c r="I22271" i="5"/>
  <c r="I22229" i="5"/>
  <c r="I22188" i="5"/>
  <c r="I22143" i="5"/>
  <c r="I22101" i="5"/>
  <c r="I22060" i="5"/>
  <c r="I22015" i="5"/>
  <c r="I21973" i="5"/>
  <c r="I21932" i="5"/>
  <c r="I21887" i="5"/>
  <c r="I21845" i="5"/>
  <c r="I21804" i="5"/>
  <c r="I21759" i="5"/>
  <c r="I21717" i="5"/>
  <c r="I21676" i="5"/>
  <c r="I21644" i="5"/>
  <c r="I21612" i="5"/>
  <c r="I21580" i="5"/>
  <c r="I21548" i="5"/>
  <c r="I21516" i="5"/>
  <c r="I21484" i="5"/>
  <c r="I21452" i="5"/>
  <c r="I21420" i="5"/>
  <c r="I21388" i="5"/>
  <c r="I21356" i="5"/>
  <c r="I21324" i="5"/>
  <c r="I21292" i="5"/>
  <c r="I21260" i="5"/>
  <c r="I21228" i="5"/>
  <c r="I21196" i="5"/>
  <c r="I21164" i="5"/>
  <c r="I21132" i="5"/>
  <c r="I21100" i="5"/>
  <c r="I21068" i="5"/>
  <c r="I21036" i="5"/>
  <c r="I21004" i="5"/>
  <c r="I20972" i="5"/>
  <c r="I20940" i="5"/>
  <c r="I20908" i="5"/>
  <c r="I20876" i="5"/>
  <c r="I20844" i="5"/>
  <c r="I20812" i="5"/>
  <c r="I20780" i="5"/>
  <c r="I20748" i="5"/>
  <c r="I20716" i="5"/>
  <c r="I20684" i="5"/>
  <c r="I20652" i="5"/>
  <c r="I20620" i="5"/>
  <c r="I20588" i="5"/>
  <c r="I20556" i="5"/>
  <c r="I20524" i="5"/>
  <c r="I20492" i="5"/>
  <c r="I20460" i="5"/>
  <c r="I20429" i="5"/>
  <c r="I20404" i="5"/>
  <c r="I20379" i="5"/>
  <c r="I20353" i="5"/>
  <c r="I20327" i="5"/>
  <c r="I20305" i="5"/>
  <c r="I20289" i="5"/>
  <c r="I20273" i="5"/>
  <c r="I20257" i="5"/>
  <c r="I20241" i="5"/>
  <c r="I20225" i="5"/>
  <c r="I20209" i="5"/>
  <c r="I20193" i="5"/>
  <c r="I20177" i="5"/>
  <c r="I20161" i="5"/>
  <c r="I20145" i="5"/>
  <c r="I20129" i="5"/>
  <c r="I20113" i="5"/>
  <c r="I20097" i="5"/>
  <c r="I20081" i="5"/>
  <c r="I20065" i="5"/>
  <c r="I20049" i="5"/>
  <c r="I20033" i="5"/>
  <c r="I20017" i="5"/>
  <c r="I20001" i="5"/>
  <c r="I19985" i="5"/>
  <c r="I19969" i="5"/>
  <c r="I19953" i="5"/>
  <c r="I19937" i="5"/>
  <c r="I19921" i="5"/>
  <c r="I19905" i="5"/>
  <c r="I19889" i="5"/>
  <c r="I19873" i="5"/>
  <c r="I19857" i="5"/>
  <c r="I19841" i="5"/>
  <c r="I19825" i="5"/>
  <c r="I19809" i="5"/>
  <c r="I19793" i="5"/>
  <c r="I19777" i="5"/>
  <c r="I19761" i="5"/>
  <c r="I19745" i="5"/>
  <c r="I19729" i="5"/>
  <c r="I19713" i="5"/>
  <c r="I19697" i="5"/>
  <c r="I19681" i="5"/>
  <c r="I19665" i="5"/>
  <c r="I19649" i="5"/>
  <c r="I19633" i="5"/>
  <c r="I19617" i="5"/>
  <c r="I19601" i="5"/>
  <c r="I19585" i="5"/>
  <c r="I19569" i="5"/>
  <c r="I19553" i="5"/>
  <c r="I19537" i="5"/>
  <c r="I19521" i="5"/>
  <c r="I19505" i="5"/>
  <c r="I19489" i="5"/>
  <c r="I19473" i="5"/>
  <c r="I19457" i="5"/>
  <c r="I19441" i="5"/>
  <c r="I19425" i="5"/>
  <c r="I19409" i="5"/>
  <c r="I19393" i="5"/>
  <c r="I19377" i="5"/>
  <c r="I19361" i="5"/>
  <c r="I19345" i="5"/>
  <c r="I19329" i="5"/>
  <c r="I19313" i="5"/>
  <c r="I19297" i="5"/>
  <c r="I19281" i="5"/>
  <c r="I19265" i="5"/>
  <c r="I19249" i="5"/>
  <c r="I19233" i="5"/>
  <c r="I19217" i="5"/>
  <c r="I19201" i="5"/>
  <c r="I19185" i="5"/>
  <c r="I19169" i="5"/>
  <c r="I19153" i="5"/>
  <c r="I19137" i="5"/>
  <c r="I19121" i="5"/>
  <c r="I19105" i="5"/>
  <c r="I19089" i="5"/>
  <c r="I19073" i="5"/>
  <c r="I19057" i="5"/>
  <c r="I19041" i="5"/>
  <c r="I19025" i="5"/>
  <c r="I19009" i="5"/>
  <c r="I18993" i="5"/>
  <c r="I18977" i="5"/>
  <c r="I18961" i="5"/>
  <c r="I18945" i="5"/>
  <c r="I18929" i="5"/>
  <c r="I18913" i="5"/>
  <c r="I18897" i="5"/>
  <c r="I18881" i="5"/>
  <c r="I18865" i="5"/>
  <c r="I18849" i="5"/>
  <c r="I18833" i="5"/>
  <c r="I18817" i="5"/>
  <c r="I18801" i="5"/>
  <c r="I18785" i="5"/>
  <c r="I18769" i="5"/>
  <c r="I18753" i="5"/>
  <c r="I18737" i="5"/>
  <c r="I18721" i="5"/>
  <c r="I18705" i="5"/>
  <c r="I18689" i="5"/>
  <c r="I18673" i="5"/>
  <c r="I18657" i="5"/>
  <c r="I18641" i="5"/>
  <c r="I18625" i="5"/>
  <c r="I18609" i="5"/>
  <c r="I18594" i="5"/>
  <c r="I18580" i="5"/>
  <c r="I18569" i="5"/>
  <c r="I18555" i="5"/>
  <c r="I18543" i="5"/>
  <c r="I18530" i="5"/>
  <c r="I18516" i="5"/>
  <c r="I18505" i="5"/>
  <c r="I18491" i="5"/>
  <c r="I18479" i="5"/>
  <c r="I18466" i="5"/>
  <c r="I18452" i="5"/>
  <c r="I18441" i="5"/>
  <c r="I18427" i="5"/>
  <c r="I18415" i="5"/>
  <c r="I18402" i="5"/>
  <c r="I18388" i="5"/>
  <c r="I18377" i="5"/>
  <c r="I18363" i="5"/>
  <c r="I18351" i="5"/>
  <c r="I18338" i="5"/>
  <c r="I18324" i="5"/>
  <c r="I18313" i="5"/>
  <c r="I18299" i="5"/>
  <c r="I18287" i="5"/>
  <c r="I18274" i="5"/>
  <c r="I18260" i="5"/>
  <c r="I18249" i="5"/>
  <c r="I18235" i="5"/>
  <c r="I18223" i="5"/>
  <c r="I18210" i="5"/>
  <c r="I18196" i="5"/>
  <c r="I18185" i="5"/>
  <c r="I18171" i="5"/>
  <c r="I18159" i="5"/>
  <c r="I18146" i="5"/>
  <c r="I18132" i="5"/>
  <c r="I18121" i="5"/>
  <c r="I18107" i="5"/>
  <c r="I18095" i="5"/>
  <c r="I18082" i="5"/>
  <c r="I18068" i="5"/>
  <c r="I18057" i="5"/>
  <c r="I18043" i="5"/>
  <c r="I18031" i="5"/>
  <c r="I18018" i="5"/>
  <c r="I18004" i="5"/>
  <c r="I17993" i="5"/>
  <c r="I17979" i="5"/>
  <c r="I17967" i="5"/>
  <c r="I17954" i="5"/>
  <c r="I17940" i="5"/>
  <c r="I17929" i="5"/>
  <c r="I17915" i="5"/>
  <c r="I17903" i="5"/>
  <c r="I17890" i="5"/>
  <c r="I17876" i="5"/>
  <c r="I17865" i="5"/>
  <c r="I17851" i="5"/>
  <c r="I17839" i="5"/>
  <c r="I17826" i="5"/>
  <c r="I17812" i="5"/>
  <c r="I17801" i="5"/>
  <c r="I17787" i="5"/>
  <c r="I17775" i="5"/>
  <c r="I17762" i="5"/>
  <c r="I17748" i="5"/>
  <c r="I17737" i="5"/>
  <c r="I17723" i="5"/>
  <c r="I17711" i="5"/>
  <c r="I17698" i="5"/>
  <c r="I17684" i="5"/>
  <c r="I17673" i="5"/>
  <c r="I17659" i="5"/>
  <c r="I17647" i="5"/>
  <c r="I17634" i="5"/>
  <c r="I17620" i="5"/>
  <c r="I17609" i="5"/>
  <c r="I17595" i="5"/>
  <c r="I17583" i="5"/>
  <c r="I17570" i="5"/>
  <c r="I17556" i="5"/>
  <c r="I17545" i="5"/>
  <c r="I17531" i="5"/>
  <c r="I17519" i="5"/>
  <c r="I17506" i="5"/>
  <c r="I17492" i="5"/>
  <c r="I17481" i="5"/>
  <c r="I17467" i="5"/>
  <c r="I17455" i="5"/>
  <c r="I17442" i="5"/>
  <c r="I17428" i="5"/>
  <c r="I17417" i="5"/>
  <c r="I17403" i="5"/>
  <c r="I17391" i="5"/>
  <c r="I17378" i="5"/>
  <c r="I17364" i="5"/>
  <c r="I17353" i="5"/>
  <c r="I17339" i="5"/>
  <c r="I17327" i="5"/>
  <c r="I17314" i="5"/>
  <c r="I17300" i="5"/>
  <c r="I17289" i="5"/>
  <c r="I17275" i="5"/>
  <c r="I17263" i="5"/>
  <c r="I17250" i="5"/>
  <c r="I17236" i="5"/>
  <c r="I17225" i="5"/>
  <c r="I17211" i="5"/>
  <c r="I17199" i="5"/>
  <c r="I17186" i="5"/>
  <c r="I17172" i="5"/>
  <c r="I17161" i="5"/>
  <c r="I17147" i="5"/>
  <c r="I17135" i="5"/>
  <c r="I17122" i="5"/>
  <c r="I17108" i="5"/>
  <c r="I17097" i="5"/>
  <c r="I17083" i="5"/>
  <c r="I17071" i="5"/>
  <c r="I17058" i="5"/>
  <c r="I17044" i="5"/>
  <c r="I17033" i="5"/>
  <c r="I17019" i="5"/>
  <c r="I17007" i="5"/>
  <c r="I16994" i="5"/>
  <c r="I16980" i="5"/>
  <c r="I16969" i="5"/>
  <c r="I16955" i="5"/>
  <c r="I16943" i="5"/>
  <c r="I16930" i="5"/>
  <c r="I16916" i="5"/>
  <c r="I16905" i="5"/>
  <c r="I16891" i="5"/>
  <c r="I16879" i="5"/>
  <c r="I16866" i="5"/>
  <c r="I16852" i="5"/>
  <c r="I16842" i="5"/>
  <c r="I16832" i="5"/>
  <c r="I16820" i="5"/>
  <c r="I16810" i="5"/>
  <c r="I16800" i="5"/>
  <c r="I16790" i="5"/>
  <c r="I16780" i="5"/>
  <c r="I16771" i="5"/>
  <c r="I16762" i="5"/>
  <c r="I16753" i="5"/>
  <c r="I16744" i="5"/>
  <c r="I16735" i="5"/>
  <c r="I16726" i="5"/>
  <c r="I16716" i="5"/>
  <c r="I16707" i="5"/>
  <c r="I16698" i="5"/>
  <c r="I16689" i="5"/>
  <c r="I16680" i="5"/>
  <c r="I16671" i="5"/>
  <c r="I16662" i="5"/>
  <c r="I16652" i="5"/>
  <c r="I16643" i="5"/>
  <c r="I16634" i="5"/>
  <c r="I16625" i="5"/>
  <c r="I16616" i="5"/>
  <c r="I16607" i="5"/>
  <c r="I16598" i="5"/>
  <c r="I16588" i="5"/>
  <c r="I16579" i="5"/>
  <c r="I16570" i="5"/>
  <c r="I16561" i="5"/>
  <c r="I16552" i="5"/>
  <c r="I16543" i="5"/>
  <c r="I16534" i="5"/>
  <c r="I16524" i="5"/>
  <c r="I16515" i="5"/>
  <c r="I16506" i="5"/>
  <c r="I16497" i="5"/>
  <c r="I16488" i="5"/>
  <c r="I16479" i="5"/>
  <c r="I16470" i="5"/>
  <c r="I16460" i="5"/>
  <c r="I16451" i="5"/>
  <c r="I16442" i="5"/>
  <c r="I16433" i="5"/>
  <c r="I16424" i="5"/>
  <c r="I16415" i="5"/>
  <c r="I16406" i="5"/>
  <c r="I16396" i="5"/>
  <c r="I16387" i="5"/>
  <c r="I16378" i="5"/>
  <c r="I16369" i="5"/>
  <c r="I16360" i="5"/>
  <c r="I16351" i="5"/>
  <c r="I16342" i="5"/>
  <c r="I16332" i="5"/>
  <c r="I16323" i="5"/>
  <c r="I16314" i="5"/>
  <c r="I16305" i="5"/>
  <c r="I16296" i="5"/>
  <c r="I16287" i="5"/>
  <c r="I16278" i="5"/>
  <c r="I16268" i="5"/>
  <c r="I16259" i="5"/>
  <c r="I16250" i="5"/>
  <c r="I16241" i="5"/>
  <c r="I16232" i="5"/>
  <c r="I16223" i="5"/>
  <c r="I16214" i="5"/>
  <c r="I16204" i="5"/>
  <c r="I16195" i="5"/>
  <c r="I16186" i="5"/>
  <c r="I16177" i="5"/>
  <c r="I16168" i="5"/>
  <c r="I16159" i="5"/>
  <c r="I16150" i="5"/>
  <c r="I16140" i="5"/>
  <c r="I16131" i="5"/>
  <c r="I16122" i="5"/>
  <c r="I16113" i="5"/>
  <c r="I16104" i="5"/>
  <c r="I16095" i="5"/>
  <c r="I16086" i="5"/>
  <c r="I16076" i="5"/>
  <c r="I16067" i="5"/>
  <c r="I16058" i="5"/>
  <c r="I16049" i="5"/>
  <c r="I16040" i="5"/>
  <c r="I16031" i="5"/>
  <c r="I16022" i="5"/>
  <c r="I16012" i="5"/>
  <c r="I16003" i="5"/>
  <c r="I15994" i="5"/>
  <c r="I15985" i="5"/>
  <c r="I15976" i="5"/>
  <c r="I15967" i="5"/>
  <c r="I15958" i="5"/>
  <c r="I15948" i="5"/>
  <c r="I15939" i="5"/>
  <c r="I15930" i="5"/>
  <c r="I15921" i="5"/>
  <c r="I15912" i="5"/>
  <c r="I15903" i="5"/>
  <c r="I15894" i="5"/>
  <c r="I15884" i="5"/>
  <c r="I15875" i="5"/>
  <c r="I15866" i="5"/>
  <c r="I15857" i="5"/>
  <c r="I15848" i="5"/>
  <c r="I15839" i="5"/>
  <c r="I15830" i="5"/>
  <c r="I15820" i="5"/>
  <c r="I15811" i="5"/>
  <c r="I15802" i="5"/>
  <c r="I15793" i="5"/>
  <c r="I15784" i="5"/>
  <c r="I15775" i="5"/>
  <c r="I15766" i="5"/>
  <c r="I15756" i="5"/>
  <c r="I15747" i="5"/>
  <c r="I15738" i="5"/>
  <c r="I15729" i="5"/>
  <c r="I15720" i="5"/>
  <c r="I15711" i="5"/>
  <c r="I15702" i="5"/>
  <c r="I15692" i="5"/>
  <c r="I15683" i="5"/>
  <c r="I15674" i="5"/>
  <c r="I15665" i="5"/>
  <c r="I15656" i="5"/>
  <c r="I15647" i="5"/>
  <c r="I15638" i="5"/>
  <c r="I15628" i="5"/>
  <c r="I15619" i="5"/>
  <c r="I15610" i="5"/>
  <c r="I15601" i="5"/>
  <c r="I15592" i="5"/>
  <c r="I15583" i="5"/>
  <c r="I15574" i="5"/>
  <c r="I15564" i="5"/>
  <c r="I15555" i="5"/>
  <c r="I15546" i="5"/>
  <c r="I15537" i="5"/>
  <c r="I15528" i="5"/>
  <c r="I15519" i="5"/>
  <c r="I15510" i="5"/>
  <c r="I15500" i="5"/>
  <c r="I15491" i="5"/>
  <c r="I15482" i="5"/>
  <c r="I15473" i="5"/>
  <c r="I15464" i="5"/>
  <c r="I15455" i="5"/>
  <c r="I15446" i="5"/>
  <c r="I15436" i="5"/>
  <c r="I15427" i="5"/>
  <c r="I15418" i="5"/>
  <c r="I15409" i="5"/>
  <c r="I15400" i="5"/>
  <c r="I15391" i="5"/>
  <c r="I15382" i="5"/>
  <c r="I15372" i="5"/>
  <c r="I15363" i="5"/>
  <c r="I15354" i="5"/>
  <c r="I15345" i="5"/>
  <c r="I15336" i="5"/>
  <c r="I15327" i="5"/>
  <c r="I15318" i="5"/>
  <c r="I15308" i="5"/>
  <c r="I15299" i="5"/>
  <c r="I15290" i="5"/>
  <c r="I15281" i="5"/>
  <c r="I15272" i="5"/>
  <c r="I15263" i="5"/>
  <c r="I15254" i="5"/>
  <c r="I15244" i="5"/>
  <c r="I15235" i="5"/>
  <c r="I15226" i="5"/>
  <c r="I15217" i="5"/>
  <c r="I15208" i="5"/>
  <c r="I15199" i="5"/>
  <c r="I15190" i="5"/>
  <c r="I15180" i="5"/>
  <c r="I15171" i="5"/>
  <c r="I15162" i="5"/>
  <c r="I15153" i="5"/>
  <c r="I15144" i="5"/>
  <c r="I15135" i="5"/>
  <c r="I15126" i="5"/>
  <c r="I15116" i="5"/>
  <c r="I15107" i="5"/>
  <c r="I15098" i="5"/>
  <c r="I15089" i="5"/>
  <c r="I15080" i="5"/>
  <c r="I15071" i="5"/>
  <c r="I15062" i="5"/>
  <c r="I15052" i="5"/>
  <c r="I15043" i="5"/>
  <c r="I15034" i="5"/>
  <c r="I15025" i="5"/>
  <c r="I15016" i="5"/>
  <c r="I15007" i="5"/>
  <c r="I14998" i="5"/>
  <c r="I14988" i="5"/>
  <c r="I14979" i="5"/>
  <c r="I14970" i="5"/>
  <c r="I14961" i="5"/>
  <c r="I14952" i="5"/>
  <c r="I14943" i="5"/>
  <c r="I14934" i="5"/>
  <c r="I14924" i="5"/>
  <c r="I14915" i="5"/>
  <c r="I14906" i="5"/>
  <c r="I14897" i="5"/>
  <c r="I14888" i="5"/>
  <c r="I14879" i="5"/>
  <c r="I14870" i="5"/>
  <c r="I14860" i="5"/>
  <c r="I14851" i="5"/>
  <c r="I14842" i="5"/>
  <c r="I14833" i="5"/>
  <c r="I14824" i="5"/>
  <c r="I14815" i="5"/>
  <c r="I14806" i="5"/>
  <c r="I14796" i="5"/>
  <c r="I14787" i="5"/>
  <c r="I14778" i="5"/>
  <c r="I14769" i="5"/>
  <c r="I14760" i="5"/>
  <c r="I14751" i="5"/>
  <c r="I14742" i="5"/>
  <c r="I14732" i="5"/>
  <c r="I14723" i="5"/>
  <c r="I14714" i="5"/>
  <c r="I14705" i="5"/>
  <c r="I14696" i="5"/>
  <c r="I14687" i="5"/>
  <c r="I14678" i="5"/>
  <c r="I14668" i="5"/>
  <c r="I14659" i="5"/>
  <c r="I14650" i="5"/>
  <c r="I14641" i="5"/>
  <c r="I14632" i="5"/>
  <c r="I14623" i="5"/>
  <c r="I14614" i="5"/>
  <c r="I14604" i="5"/>
  <c r="I14595" i="5"/>
  <c r="I14586" i="5"/>
  <c r="I14577" i="5"/>
  <c r="I14568" i="5"/>
  <c r="I14559" i="5"/>
  <c r="I14550" i="5"/>
  <c r="I14540" i="5"/>
  <c r="I14531" i="5"/>
  <c r="I14522" i="5"/>
  <c r="I14513" i="5"/>
  <c r="I14504" i="5"/>
  <c r="I14495" i="5"/>
  <c r="I14486" i="5"/>
  <c r="I14476" i="5"/>
  <c r="I14467" i="5"/>
  <c r="I14458" i="5"/>
  <c r="I14449" i="5"/>
  <c r="I14440" i="5"/>
  <c r="I14431" i="5"/>
  <c r="I14422" i="5"/>
  <c r="I14412" i="5"/>
  <c r="I14403" i="5"/>
  <c r="I14394" i="5"/>
  <c r="I14385" i="5"/>
  <c r="I14376" i="5"/>
  <c r="I14367" i="5"/>
  <c r="I14358" i="5"/>
  <c r="I14348" i="5"/>
  <c r="I14339" i="5"/>
  <c r="I14330" i="5"/>
  <c r="I14321" i="5"/>
  <c r="I14312" i="5"/>
  <c r="I14303" i="5"/>
  <c r="I14294" i="5"/>
  <c r="I14284" i="5"/>
  <c r="I14275" i="5"/>
  <c r="I14266" i="5"/>
  <c r="I14257" i="5"/>
  <c r="I14248" i="5"/>
  <c r="I14239" i="5"/>
  <c r="I14230" i="5"/>
  <c r="I14220" i="5"/>
  <c r="I14211" i="5"/>
  <c r="I14202" i="5"/>
  <c r="I14193" i="5"/>
  <c r="I14184" i="5"/>
  <c r="I14175" i="5"/>
  <c r="I14166" i="5"/>
  <c r="I14156" i="5"/>
  <c r="I14147" i="5"/>
  <c r="I14138" i="5"/>
  <c r="I14129" i="5"/>
  <c r="I14120" i="5"/>
  <c r="I14111" i="5"/>
  <c r="I14102" i="5"/>
  <c r="I14092" i="5"/>
  <c r="I14083" i="5"/>
  <c r="I14074" i="5"/>
  <c r="I14065" i="5"/>
  <c r="I14056" i="5"/>
  <c r="I14047" i="5"/>
  <c r="I14038" i="5"/>
  <c r="I14028" i="5"/>
  <c r="I14019" i="5"/>
  <c r="I14010" i="5"/>
  <c r="I14001" i="5"/>
  <c r="I13992" i="5"/>
  <c r="I13983" i="5"/>
  <c r="I13974" i="5"/>
  <c r="I13964" i="5"/>
  <c r="I13955" i="5"/>
  <c r="I13946" i="5"/>
  <c r="I13937" i="5"/>
  <c r="I13928" i="5"/>
  <c r="I13919" i="5"/>
  <c r="I13910" i="5"/>
  <c r="I13900" i="5"/>
  <c r="I13891" i="5"/>
  <c r="I13882" i="5"/>
  <c r="I13873" i="5"/>
  <c r="I13864" i="5"/>
  <c r="I13855" i="5"/>
  <c r="I13846" i="5"/>
  <c r="I13836" i="5"/>
  <c r="I13827" i="5"/>
  <c r="I13818" i="5"/>
  <c r="I13809" i="5"/>
  <c r="I13800" i="5"/>
  <c r="I13791" i="5"/>
  <c r="I13782" i="5"/>
  <c r="I13772" i="5"/>
  <c r="I13763" i="5"/>
  <c r="I13754" i="5"/>
  <c r="I13745" i="5"/>
  <c r="I13737" i="5"/>
  <c r="I13729" i="5"/>
  <c r="I13721" i="5"/>
  <c r="I13713" i="5"/>
  <c r="I13705" i="5"/>
  <c r="I13697" i="5"/>
  <c r="I13689" i="5"/>
  <c r="I13681" i="5"/>
  <c r="I13673" i="5"/>
  <c r="I13665" i="5"/>
  <c r="I13657" i="5"/>
  <c r="I13649" i="5"/>
  <c r="I13641" i="5"/>
  <c r="I13633" i="5"/>
  <c r="I13625" i="5"/>
  <c r="I13617" i="5"/>
  <c r="I13609" i="5"/>
  <c r="I13601" i="5"/>
  <c r="I13593" i="5"/>
  <c r="I13585" i="5"/>
  <c r="I13577" i="5"/>
  <c r="I13569" i="5"/>
  <c r="I13561" i="5"/>
  <c r="I13553" i="5"/>
  <c r="I13545" i="5"/>
  <c r="I13537" i="5"/>
  <c r="I13529" i="5"/>
  <c r="I13521" i="5"/>
  <c r="I13513" i="5"/>
  <c r="I13505" i="5"/>
  <c r="I13497" i="5"/>
  <c r="I13489" i="5"/>
  <c r="I13481" i="5"/>
  <c r="I13473" i="5"/>
  <c r="I13465" i="5"/>
  <c r="I13457" i="5"/>
  <c r="I13449" i="5"/>
  <c r="I13441" i="5"/>
  <c r="I13433" i="5"/>
  <c r="I13425" i="5"/>
  <c r="I13417" i="5"/>
  <c r="I13409" i="5"/>
  <c r="I13401" i="5"/>
  <c r="I13393" i="5"/>
  <c r="I13385" i="5"/>
  <c r="I13377" i="5"/>
  <c r="I13369" i="5"/>
  <c r="I13361" i="5"/>
  <c r="I13353" i="5"/>
  <c r="I13345" i="5"/>
  <c r="I13337" i="5"/>
  <c r="I13329" i="5"/>
  <c r="I13321" i="5"/>
  <c r="I13313" i="5"/>
  <c r="I13305" i="5"/>
  <c r="I13297" i="5"/>
  <c r="I13289" i="5"/>
  <c r="I13281" i="5"/>
  <c r="I36121" i="5"/>
  <c r="I30632" i="5"/>
  <c r="I29554" i="5"/>
  <c r="I28907" i="5"/>
  <c r="I28445" i="5"/>
  <c r="I27990" i="5"/>
  <c r="I27541" i="5"/>
  <c r="I27078" i="5"/>
  <c r="I26731" i="5"/>
  <c r="I26392" i="5"/>
  <c r="I26136" i="5"/>
  <c r="I25880" i="5"/>
  <c r="I25641" i="5"/>
  <c r="I25465" i="5"/>
  <c r="I25294" i="5"/>
  <c r="I25123" i="5"/>
  <c r="I24965" i="5"/>
  <c r="I24819" i="5"/>
  <c r="I24691" i="5"/>
  <c r="I24564" i="5"/>
  <c r="I24484" i="5"/>
  <c r="I24420" i="5"/>
  <c r="I24356" i="5"/>
  <c r="I24292" i="5"/>
  <c r="I24228" i="5"/>
  <c r="I24164" i="5"/>
  <c r="I24100" i="5"/>
  <c r="I24036" i="5"/>
  <c r="I23972" i="5"/>
  <c r="I23908" i="5"/>
  <c r="I23844" i="5"/>
  <c r="I23780" i="5"/>
  <c r="I23716" i="5"/>
  <c r="I23652" i="5"/>
  <c r="I23588" i="5"/>
  <c r="I23524" i="5"/>
  <c r="I23460" i="5"/>
  <c r="I23405" i="5"/>
  <c r="I23364" i="5"/>
  <c r="I23319" i="5"/>
  <c r="I23277" i="5"/>
  <c r="I23236" i="5"/>
  <c r="I23191" i="5"/>
  <c r="I23149" i="5"/>
  <c r="I23108" i="5"/>
  <c r="I23063" i="5"/>
  <c r="I23021" i="5"/>
  <c r="I22980" i="5"/>
  <c r="I22935" i="5"/>
  <c r="I22893" i="5"/>
  <c r="I22852" i="5"/>
  <c r="I22807" i="5"/>
  <c r="I22765" i="5"/>
  <c r="I22724" i="5"/>
  <c r="I22679" i="5"/>
  <c r="I22637" i="5"/>
  <c r="I22596" i="5"/>
  <c r="I22551" i="5"/>
  <c r="I22509" i="5"/>
  <c r="I22468" i="5"/>
  <c r="I22423" i="5"/>
  <c r="I22381" i="5"/>
  <c r="I22340" i="5"/>
  <c r="I22295" i="5"/>
  <c r="I22253" i="5"/>
  <c r="I22212" i="5"/>
  <c r="I22167" i="5"/>
  <c r="I22125" i="5"/>
  <c r="I22084" i="5"/>
  <c r="I22039" i="5"/>
  <c r="I21997" i="5"/>
  <c r="I21956" i="5"/>
  <c r="I21911" i="5"/>
  <c r="I21869" i="5"/>
  <c r="I21828" i="5"/>
  <c r="I21783" i="5"/>
  <c r="I21741" i="5"/>
  <c r="I21700" i="5"/>
  <c r="I21661" i="5"/>
  <c r="I21629" i="5"/>
  <c r="I21597" i="5"/>
  <c r="I21565" i="5"/>
  <c r="I21533" i="5"/>
  <c r="I21501" i="5"/>
  <c r="I21469" i="5"/>
  <c r="I21437" i="5"/>
  <c r="I21405" i="5"/>
  <c r="I21373" i="5"/>
  <c r="I21341" i="5"/>
  <c r="I21309" i="5"/>
  <c r="I21277" i="5"/>
  <c r="I21245" i="5"/>
  <c r="I21213" i="5"/>
  <c r="I21181" i="5"/>
  <c r="I21149" i="5"/>
  <c r="I21117" i="5"/>
  <c r="I21085" i="5"/>
  <c r="I21053" i="5"/>
  <c r="I21021" i="5"/>
  <c r="I20989" i="5"/>
  <c r="I20957" i="5"/>
  <c r="I20925" i="5"/>
  <c r="I20893" i="5"/>
  <c r="I20861" i="5"/>
  <c r="I20829" i="5"/>
  <c r="I20797" i="5"/>
  <c r="I20765" i="5"/>
  <c r="I20733" i="5"/>
  <c r="I20701" i="5"/>
  <c r="I20669" i="5"/>
  <c r="I20637" i="5"/>
  <c r="I20605" i="5"/>
  <c r="I20573" i="5"/>
  <c r="I20541" i="5"/>
  <c r="I20509" i="5"/>
  <c r="I20477" i="5"/>
  <c r="I20445" i="5"/>
  <c r="I20419" i="5"/>
  <c r="I20393" i="5"/>
  <c r="I20367" i="5"/>
  <c r="I20341" i="5"/>
  <c r="I20316" i="5"/>
  <c r="I20298" i="5"/>
  <c r="I20282" i="5"/>
  <c r="I20266" i="5"/>
  <c r="I20250" i="5"/>
  <c r="I20234" i="5"/>
  <c r="I20218" i="5"/>
  <c r="I20202" i="5"/>
  <c r="I20186" i="5"/>
  <c r="I20170" i="5"/>
  <c r="I20154" i="5"/>
  <c r="I20138" i="5"/>
  <c r="I20122" i="5"/>
  <c r="I20106" i="5"/>
  <c r="I20090" i="5"/>
  <c r="I20074" i="5"/>
  <c r="I20058" i="5"/>
  <c r="I20042" i="5"/>
  <c r="I20026" i="5"/>
  <c r="I20010" i="5"/>
  <c r="I19994" i="5"/>
  <c r="I19978" i="5"/>
  <c r="I19962" i="5"/>
  <c r="I19946" i="5"/>
  <c r="I19930" i="5"/>
  <c r="I19914" i="5"/>
  <c r="I19898" i="5"/>
  <c r="I19882" i="5"/>
  <c r="I19866" i="5"/>
  <c r="I19850" i="5"/>
  <c r="I19834" i="5"/>
  <c r="I19818" i="5"/>
  <c r="I19802" i="5"/>
  <c r="I19786" i="5"/>
  <c r="I19770" i="5"/>
  <c r="I19754" i="5"/>
  <c r="I19738" i="5"/>
  <c r="I19722" i="5"/>
  <c r="I19706" i="5"/>
  <c r="I19690" i="5"/>
  <c r="I19674" i="5"/>
  <c r="I19658" i="5"/>
  <c r="I19642" i="5"/>
  <c r="I19626" i="5"/>
  <c r="I19610" i="5"/>
  <c r="I19594" i="5"/>
  <c r="I19578" i="5"/>
  <c r="I19562" i="5"/>
  <c r="I19546" i="5"/>
  <c r="I19530" i="5"/>
  <c r="I19514" i="5"/>
  <c r="I19498" i="5"/>
  <c r="I19482" i="5"/>
  <c r="I19466" i="5"/>
  <c r="I19450" i="5"/>
  <c r="I19434" i="5"/>
  <c r="I19418" i="5"/>
  <c r="I19402" i="5"/>
  <c r="I19386" i="5"/>
  <c r="I19370" i="5"/>
  <c r="I19354" i="5"/>
  <c r="I19338" i="5"/>
  <c r="I19322" i="5"/>
  <c r="I19306" i="5"/>
  <c r="I19290" i="5"/>
  <c r="I19274" i="5"/>
  <c r="I19258" i="5"/>
  <c r="I19242" i="5"/>
  <c r="I19226" i="5"/>
  <c r="I19210" i="5"/>
  <c r="I19194" i="5"/>
  <c r="I19178" i="5"/>
  <c r="I19162" i="5"/>
  <c r="I19146" i="5"/>
  <c r="I19130" i="5"/>
  <c r="I19114" i="5"/>
  <c r="I19098" i="5"/>
  <c r="I19082" i="5"/>
  <c r="I19066" i="5"/>
  <c r="I19050" i="5"/>
  <c r="I19034" i="5"/>
  <c r="I19018" i="5"/>
  <c r="I19002" i="5"/>
  <c r="I18986" i="5"/>
  <c r="I18970" i="5"/>
  <c r="I18954" i="5"/>
  <c r="I18938" i="5"/>
  <c r="I18922" i="5"/>
  <c r="I18906" i="5"/>
  <c r="I18890" i="5"/>
  <c r="I18874" i="5"/>
  <c r="I18858" i="5"/>
  <c r="I18842" i="5"/>
  <c r="I18826" i="5"/>
  <c r="I18810" i="5"/>
  <c r="I18794" i="5"/>
  <c r="I18778" i="5"/>
  <c r="I18762" i="5"/>
  <c r="I18746" i="5"/>
  <c r="I18730" i="5"/>
  <c r="I18714" i="5"/>
  <c r="I18698" i="5"/>
  <c r="I18682" i="5"/>
  <c r="I18666" i="5"/>
  <c r="I18650" i="5"/>
  <c r="I18634" i="5"/>
  <c r="I18618" i="5"/>
  <c r="I18602" i="5"/>
  <c r="I18588" i="5"/>
  <c r="I18577" i="5"/>
  <c r="I18563" i="5"/>
  <c r="I18551" i="5"/>
  <c r="I18538" i="5"/>
  <c r="I18524" i="5"/>
  <c r="I18513" i="5"/>
  <c r="I18499" i="5"/>
  <c r="I18487" i="5"/>
  <c r="I18474" i="5"/>
  <c r="I18460" i="5"/>
  <c r="I18449" i="5"/>
  <c r="I18435" i="5"/>
  <c r="I18423" i="5"/>
  <c r="I18410" i="5"/>
  <c r="I18396" i="5"/>
  <c r="I18385" i="5"/>
  <c r="I18371" i="5"/>
  <c r="I18359" i="5"/>
  <c r="I18346" i="5"/>
  <c r="I18332" i="5"/>
  <c r="I18321" i="5"/>
  <c r="I18307" i="5"/>
  <c r="I18295" i="5"/>
  <c r="I18282" i="5"/>
  <c r="I18268" i="5"/>
  <c r="I18257" i="5"/>
  <c r="I18243" i="5"/>
  <c r="I18231" i="5"/>
  <c r="I18218" i="5"/>
  <c r="I18204" i="5"/>
  <c r="I18193" i="5"/>
  <c r="I18179" i="5"/>
  <c r="I18167" i="5"/>
  <c r="I18154" i="5"/>
  <c r="I18140" i="5"/>
  <c r="I18129" i="5"/>
  <c r="I18115" i="5"/>
  <c r="I18103" i="5"/>
  <c r="I18090" i="5"/>
  <c r="I18076" i="5"/>
  <c r="I18065" i="5"/>
  <c r="I18051" i="5"/>
  <c r="I18039" i="5"/>
  <c r="I18026" i="5"/>
  <c r="I18012" i="5"/>
  <c r="I18001" i="5"/>
  <c r="I17987" i="5"/>
  <c r="I17975" i="5"/>
  <c r="I17962" i="5"/>
  <c r="I17948" i="5"/>
  <c r="I17937" i="5"/>
  <c r="I17923" i="5"/>
  <c r="I17911" i="5"/>
  <c r="I17898" i="5"/>
  <c r="I17884" i="5"/>
  <c r="I17873" i="5"/>
  <c r="I17859" i="5"/>
  <c r="I17847" i="5"/>
  <c r="I17834" i="5"/>
  <c r="I17820" i="5"/>
  <c r="I17809" i="5"/>
  <c r="I17795" i="5"/>
  <c r="I17783" i="5"/>
  <c r="I17770" i="5"/>
  <c r="I17756" i="5"/>
  <c r="I17745" i="5"/>
  <c r="I17731" i="5"/>
  <c r="I17719" i="5"/>
  <c r="I17706" i="5"/>
  <c r="I17692" i="5"/>
  <c r="I17681" i="5"/>
  <c r="I17667" i="5"/>
  <c r="I17655" i="5"/>
  <c r="I17642" i="5"/>
  <c r="I17628" i="5"/>
  <c r="I17617" i="5"/>
  <c r="I17603" i="5"/>
  <c r="I17591" i="5"/>
  <c r="I17578" i="5"/>
  <c r="I17564" i="5"/>
  <c r="I17553" i="5"/>
  <c r="I17539" i="5"/>
  <c r="I17527" i="5"/>
  <c r="I17514" i="5"/>
  <c r="I17500" i="5"/>
  <c r="I17489" i="5"/>
  <c r="I17475" i="5"/>
  <c r="I17463" i="5"/>
  <c r="I17450" i="5"/>
  <c r="I17436" i="5"/>
  <c r="I17425" i="5"/>
  <c r="I17411" i="5"/>
  <c r="I17399" i="5"/>
  <c r="I17386" i="5"/>
  <c r="I17372" i="5"/>
  <c r="I17361" i="5"/>
  <c r="I17347" i="5"/>
  <c r="I17335" i="5"/>
  <c r="I17322" i="5"/>
  <c r="I17308" i="5"/>
  <c r="I17297" i="5"/>
  <c r="I17283" i="5"/>
  <c r="I17271" i="5"/>
  <c r="I17258" i="5"/>
  <c r="I17244" i="5"/>
  <c r="I17233" i="5"/>
  <c r="I17219" i="5"/>
  <c r="I17207" i="5"/>
  <c r="I17194" i="5"/>
  <c r="I17180" i="5"/>
  <c r="I17169" i="5"/>
  <c r="I17155" i="5"/>
  <c r="I17143" i="5"/>
  <c r="I17130" i="5"/>
  <c r="I17116" i="5"/>
  <c r="I17105" i="5"/>
  <c r="I17091" i="5"/>
  <c r="I17079" i="5"/>
  <c r="I17066" i="5"/>
  <c r="I17052" i="5"/>
  <c r="I17041" i="5"/>
  <c r="I17027" i="5"/>
  <c r="I17015" i="5"/>
  <c r="I17002" i="5"/>
  <c r="I16988" i="5"/>
  <c r="I16977" i="5"/>
  <c r="I16963" i="5"/>
  <c r="I16951" i="5"/>
  <c r="I16938" i="5"/>
  <c r="I16924" i="5"/>
  <c r="I16913" i="5"/>
  <c r="I16899" i="5"/>
  <c r="I16887" i="5"/>
  <c r="I16874" i="5"/>
  <c r="I16860" i="5"/>
  <c r="I16849" i="5"/>
  <c r="I16839" i="5"/>
  <c r="I16827" i="5"/>
  <c r="I16817" i="5"/>
  <c r="I16807" i="5"/>
  <c r="I16795" i="5"/>
  <c r="I16786" i="5"/>
  <c r="I16777" i="5"/>
  <c r="I16768" i="5"/>
  <c r="I16759" i="5"/>
  <c r="I16750" i="5"/>
  <c r="I16740" i="5"/>
  <c r="I16731" i="5"/>
  <c r="I16722" i="5"/>
  <c r="I16713" i="5"/>
  <c r="I16704" i="5"/>
  <c r="I16695" i="5"/>
  <c r="I16686" i="5"/>
  <c r="I16676" i="5"/>
  <c r="I16667" i="5"/>
  <c r="I16658" i="5"/>
  <c r="I16649" i="5"/>
  <c r="I16640" i="5"/>
  <c r="I16631" i="5"/>
  <c r="I16622" i="5"/>
  <c r="I16612" i="5"/>
  <c r="I16603" i="5"/>
  <c r="I16594" i="5"/>
  <c r="I16585" i="5"/>
  <c r="I16576" i="5"/>
  <c r="I16567" i="5"/>
  <c r="I16558" i="5"/>
  <c r="I16548" i="5"/>
  <c r="I16539" i="5"/>
  <c r="I16530" i="5"/>
  <c r="I16521" i="5"/>
  <c r="I16512" i="5"/>
  <c r="I16503" i="5"/>
  <c r="I16494" i="5"/>
  <c r="I16484" i="5"/>
  <c r="I16475" i="5"/>
  <c r="I16466" i="5"/>
  <c r="I16457" i="5"/>
  <c r="I16448" i="5"/>
  <c r="I16439" i="5"/>
  <c r="I16430" i="5"/>
  <c r="I16420" i="5"/>
  <c r="I16411" i="5"/>
  <c r="I16402" i="5"/>
  <c r="I16393" i="5"/>
  <c r="I16384" i="5"/>
  <c r="I16375" i="5"/>
  <c r="I16366" i="5"/>
  <c r="I16356" i="5"/>
  <c r="I16347" i="5"/>
  <c r="I16338" i="5"/>
  <c r="I16329" i="5"/>
  <c r="I16320" i="5"/>
  <c r="I16311" i="5"/>
  <c r="I16302" i="5"/>
  <c r="I16292" i="5"/>
  <c r="I16283" i="5"/>
  <c r="I16274" i="5"/>
  <c r="I16265" i="5"/>
  <c r="I16256" i="5"/>
  <c r="I16247" i="5"/>
  <c r="I16238" i="5"/>
  <c r="I16228" i="5"/>
  <c r="I16219" i="5"/>
  <c r="I16210" i="5"/>
  <c r="I16201" i="5"/>
  <c r="I16192" i="5"/>
  <c r="I16183" i="5"/>
  <c r="I16174" i="5"/>
  <c r="I16164" i="5"/>
  <c r="I16155" i="5"/>
  <c r="I16146" i="5"/>
  <c r="I16137" i="5"/>
  <c r="I16128" i="5"/>
  <c r="I16119" i="5"/>
  <c r="I16110" i="5"/>
  <c r="I16100" i="5"/>
  <c r="I16091" i="5"/>
  <c r="I16082" i="5"/>
  <c r="I16073" i="5"/>
  <c r="I16064" i="5"/>
  <c r="I16055" i="5"/>
  <c r="I16046" i="5"/>
  <c r="I16036" i="5"/>
  <c r="I16027" i="5"/>
  <c r="I16018" i="5"/>
  <c r="I16009" i="5"/>
  <c r="I16000" i="5"/>
  <c r="I15991" i="5"/>
  <c r="I15982" i="5"/>
  <c r="I15972" i="5"/>
  <c r="I15963" i="5"/>
  <c r="I15954" i="5"/>
  <c r="I15945" i="5"/>
  <c r="I15936" i="5"/>
  <c r="I15927" i="5"/>
  <c r="I15918" i="5"/>
  <c r="I15908" i="5"/>
  <c r="I15899" i="5"/>
  <c r="I15890" i="5"/>
  <c r="I15881" i="5"/>
  <c r="I15872" i="5"/>
  <c r="I15863" i="5"/>
  <c r="I15854" i="5"/>
  <c r="I15844" i="5"/>
  <c r="I15835" i="5"/>
  <c r="I15826" i="5"/>
  <c r="I15817" i="5"/>
  <c r="I15808" i="5"/>
  <c r="I15799" i="5"/>
  <c r="I15790" i="5"/>
  <c r="I15780" i="5"/>
  <c r="I15771" i="5"/>
  <c r="I15762" i="5"/>
  <c r="I15753" i="5"/>
  <c r="I15744" i="5"/>
  <c r="I15735" i="5"/>
  <c r="I15726" i="5"/>
  <c r="I15716" i="5"/>
  <c r="I15707" i="5"/>
  <c r="I15698" i="5"/>
  <c r="I15689" i="5"/>
  <c r="I15680" i="5"/>
  <c r="I15671" i="5"/>
  <c r="I15662" i="5"/>
  <c r="I15652" i="5"/>
  <c r="I15643" i="5"/>
  <c r="I15634" i="5"/>
  <c r="I15625" i="5"/>
  <c r="I15616" i="5"/>
  <c r="I15607" i="5"/>
  <c r="I15598" i="5"/>
  <c r="I15588" i="5"/>
  <c r="I15579" i="5"/>
  <c r="I15570" i="5"/>
  <c r="I15561" i="5"/>
  <c r="I15552" i="5"/>
  <c r="I15543" i="5"/>
  <c r="I15534" i="5"/>
  <c r="I15524" i="5"/>
  <c r="I15515" i="5"/>
  <c r="I15506" i="5"/>
  <c r="I15497" i="5"/>
  <c r="I15488" i="5"/>
  <c r="I15479" i="5"/>
  <c r="I15470" i="5"/>
  <c r="I15460" i="5"/>
  <c r="I15451" i="5"/>
  <c r="I15442" i="5"/>
  <c r="I15433" i="5"/>
  <c r="I15424" i="5"/>
  <c r="I15415" i="5"/>
  <c r="I15406" i="5"/>
  <c r="I15396" i="5"/>
  <c r="I15387" i="5"/>
  <c r="I15378" i="5"/>
  <c r="I15369" i="5"/>
  <c r="I15360" i="5"/>
  <c r="I15351" i="5"/>
  <c r="I15342" i="5"/>
  <c r="I15332" i="5"/>
  <c r="I15323" i="5"/>
  <c r="I15314" i="5"/>
  <c r="I15305" i="5"/>
  <c r="I15296" i="5"/>
  <c r="I15287" i="5"/>
  <c r="I15278" i="5"/>
  <c r="I15268" i="5"/>
  <c r="I15259" i="5"/>
  <c r="I15250" i="5"/>
  <c r="I15241" i="5"/>
  <c r="I15232" i="5"/>
  <c r="I15223" i="5"/>
  <c r="I15214" i="5"/>
  <c r="I15204" i="5"/>
  <c r="I15195" i="5"/>
  <c r="I15186" i="5"/>
  <c r="I15177" i="5"/>
  <c r="I15168" i="5"/>
  <c r="I15159" i="5"/>
  <c r="I15150" i="5"/>
  <c r="I15140" i="5"/>
  <c r="I15131" i="5"/>
  <c r="I15122" i="5"/>
  <c r="I15113" i="5"/>
  <c r="I15104" i="5"/>
  <c r="I15095" i="5"/>
  <c r="I15086" i="5"/>
  <c r="I15076" i="5"/>
  <c r="I15067" i="5"/>
  <c r="I15058" i="5"/>
  <c r="I15049" i="5"/>
  <c r="I15040" i="5"/>
  <c r="I15031" i="5"/>
  <c r="I15022" i="5"/>
  <c r="I15012" i="5"/>
  <c r="I15003" i="5"/>
  <c r="I14994" i="5"/>
  <c r="I14985" i="5"/>
  <c r="I14976" i="5"/>
  <c r="I14967" i="5"/>
  <c r="I14958" i="5"/>
  <c r="I14948" i="5"/>
  <c r="I14939" i="5"/>
  <c r="I14930" i="5"/>
  <c r="I14921" i="5"/>
  <c r="I14912" i="5"/>
  <c r="I14903" i="5"/>
  <c r="I14894" i="5"/>
  <c r="I14884" i="5"/>
  <c r="I14875" i="5"/>
  <c r="I14866" i="5"/>
  <c r="I14857" i="5"/>
  <c r="I14848" i="5"/>
  <c r="I14839" i="5"/>
  <c r="I14830" i="5"/>
  <c r="I14820" i="5"/>
  <c r="I14811" i="5"/>
  <c r="I14802" i="5"/>
  <c r="I14793" i="5"/>
  <c r="I14784" i="5"/>
  <c r="I14775" i="5"/>
  <c r="I14766" i="5"/>
  <c r="I14756" i="5"/>
  <c r="I14747" i="5"/>
  <c r="I14738" i="5"/>
  <c r="I14729" i="5"/>
  <c r="I14720" i="5"/>
  <c r="I14711" i="5"/>
  <c r="I14702" i="5"/>
  <c r="I14692" i="5"/>
  <c r="I14683" i="5"/>
  <c r="I14674" i="5"/>
  <c r="I14665" i="5"/>
  <c r="I14656" i="5"/>
  <c r="I14647" i="5"/>
  <c r="I14638" i="5"/>
  <c r="I14628" i="5"/>
  <c r="I14619" i="5"/>
  <c r="I14610" i="5"/>
  <c r="I14601" i="5"/>
  <c r="I14592" i="5"/>
  <c r="I14583" i="5"/>
  <c r="I14574" i="5"/>
  <c r="I14564" i="5"/>
  <c r="I14555" i="5"/>
  <c r="I14546" i="5"/>
  <c r="I14537" i="5"/>
  <c r="I14528" i="5"/>
  <c r="I14519" i="5"/>
  <c r="I14510" i="5"/>
  <c r="I14500" i="5"/>
  <c r="I14491" i="5"/>
  <c r="I14482" i="5"/>
  <c r="I14473" i="5"/>
  <c r="I14464" i="5"/>
  <c r="I14455" i="5"/>
  <c r="I14446" i="5"/>
  <c r="I14436" i="5"/>
  <c r="I14427" i="5"/>
  <c r="I14418" i="5"/>
  <c r="I14409" i="5"/>
  <c r="I14400" i="5"/>
  <c r="I14391" i="5"/>
  <c r="I14382" i="5"/>
  <c r="I14372" i="5"/>
  <c r="I14363" i="5"/>
  <c r="I14354" i="5"/>
  <c r="I14345" i="5"/>
  <c r="I14336" i="5"/>
  <c r="I14327" i="5"/>
  <c r="I14318" i="5"/>
  <c r="I14308" i="5"/>
  <c r="I14299" i="5"/>
  <c r="I14290" i="5"/>
  <c r="I14281" i="5"/>
  <c r="I14272" i="5"/>
  <c r="I14263" i="5"/>
  <c r="I14254" i="5"/>
  <c r="I14244" i="5"/>
  <c r="I14235" i="5"/>
  <c r="I14226" i="5"/>
  <c r="I14217" i="5"/>
  <c r="I14208" i="5"/>
  <c r="I14199" i="5"/>
  <c r="I14190" i="5"/>
  <c r="I14180" i="5"/>
  <c r="I14171" i="5"/>
  <c r="I14162" i="5"/>
  <c r="I14153" i="5"/>
  <c r="I14144" i="5"/>
  <c r="I14135" i="5"/>
  <c r="I14126" i="5"/>
  <c r="I14116" i="5"/>
  <c r="I14107" i="5"/>
  <c r="I14098" i="5"/>
  <c r="I14089" i="5"/>
  <c r="I14080" i="5"/>
  <c r="I14071" i="5"/>
  <c r="I14062" i="5"/>
  <c r="I14052" i="5"/>
  <c r="I14043" i="5"/>
  <c r="I14034" i="5"/>
  <c r="I14025" i="5"/>
  <c r="I14016" i="5"/>
  <c r="I14007" i="5"/>
  <c r="I13998" i="5"/>
  <c r="I13988" i="5"/>
  <c r="I13979" i="5"/>
  <c r="I13970" i="5"/>
  <c r="I13961" i="5"/>
  <c r="I13952" i="5"/>
  <c r="I13943" i="5"/>
  <c r="I13934" i="5"/>
  <c r="I13924" i="5"/>
  <c r="I13915" i="5"/>
  <c r="I13906" i="5"/>
  <c r="I13897" i="5"/>
  <c r="I13888" i="5"/>
  <c r="I13879" i="5"/>
  <c r="I13870" i="5"/>
  <c r="I13860" i="5"/>
  <c r="I13851" i="5"/>
  <c r="I13842" i="5"/>
  <c r="I13833" i="5"/>
  <c r="I13824" i="5"/>
  <c r="I13815" i="5"/>
  <c r="I13806" i="5"/>
  <c r="I13796" i="5"/>
  <c r="I13787" i="5"/>
  <c r="I13778" i="5"/>
  <c r="I13769" i="5"/>
  <c r="I13760" i="5"/>
  <c r="I13751" i="5"/>
  <c r="I13742" i="5"/>
  <c r="I13734" i="5"/>
  <c r="I13726" i="5"/>
  <c r="I13718" i="5"/>
  <c r="I13710" i="5"/>
  <c r="I13702" i="5"/>
  <c r="I13694" i="5"/>
  <c r="I13686" i="5"/>
  <c r="I13678" i="5"/>
  <c r="I13670" i="5"/>
  <c r="I13662" i="5"/>
  <c r="I13654" i="5"/>
  <c r="I13646" i="5"/>
  <c r="I13638" i="5"/>
  <c r="I13630" i="5"/>
  <c r="I13622" i="5"/>
  <c r="I13614" i="5"/>
  <c r="I13606" i="5"/>
  <c r="I13598" i="5"/>
  <c r="I13590" i="5"/>
  <c r="I13582" i="5"/>
  <c r="I13574" i="5"/>
  <c r="I13566" i="5"/>
  <c r="I13558" i="5"/>
  <c r="I13550" i="5"/>
  <c r="I13542" i="5"/>
  <c r="I13534" i="5"/>
  <c r="I13526" i="5"/>
  <c r="I13518" i="5"/>
  <c r="I13510" i="5"/>
  <c r="I13502" i="5"/>
  <c r="I13494" i="5"/>
  <c r="I13486" i="5"/>
  <c r="I13478" i="5"/>
  <c r="I13470" i="5"/>
  <c r="I13462" i="5"/>
  <c r="I13454" i="5"/>
  <c r="I13446" i="5"/>
  <c r="I13438" i="5"/>
  <c r="I13430" i="5"/>
  <c r="I13422" i="5"/>
  <c r="I13414" i="5"/>
  <c r="I13406" i="5"/>
  <c r="I13398" i="5"/>
  <c r="I13390" i="5"/>
  <c r="I13382" i="5"/>
  <c r="I13374" i="5"/>
  <c r="I13366" i="5"/>
  <c r="I13358" i="5"/>
  <c r="I13350" i="5"/>
  <c r="I13342" i="5"/>
  <c r="I13334" i="5"/>
  <c r="I13326" i="5"/>
  <c r="I13318" i="5"/>
  <c r="I13310" i="5"/>
  <c r="I13302" i="5"/>
  <c r="I30682" i="5"/>
  <c r="I28502" i="5"/>
  <c r="I27501" i="5"/>
  <c r="I26400" i="5"/>
  <c r="I25667" i="5"/>
  <c r="I25278" i="5"/>
  <c r="I24823" i="5"/>
  <c r="I24492" i="5"/>
  <c r="I24351" i="5"/>
  <c r="I24167" i="5"/>
  <c r="I23980" i="5"/>
  <c r="I23839" i="5"/>
  <c r="I23655" i="5"/>
  <c r="I23468" i="5"/>
  <c r="I23359" i="5"/>
  <c r="I23237" i="5"/>
  <c r="I23111" i="5"/>
  <c r="I23020" i="5"/>
  <c r="I22895" i="5"/>
  <c r="I22772" i="5"/>
  <c r="I22677" i="5"/>
  <c r="I22556" i="5"/>
  <c r="I22429" i="5"/>
  <c r="I22335" i="5"/>
  <c r="I22213" i="5"/>
  <c r="I22087" i="5"/>
  <c r="I21996" i="5"/>
  <c r="I21871" i="5"/>
  <c r="I21748" i="5"/>
  <c r="I21660" i="5"/>
  <c r="I21567" i="5"/>
  <c r="I21475" i="5"/>
  <c r="I21404" i="5"/>
  <c r="I21311" i="5"/>
  <c r="I21219" i="5"/>
  <c r="I21148" i="5"/>
  <c r="I21055" i="5"/>
  <c r="I20963" i="5"/>
  <c r="I20892" i="5"/>
  <c r="I20799" i="5"/>
  <c r="I20707" i="5"/>
  <c r="I20636" i="5"/>
  <c r="I20543" i="5"/>
  <c r="I20451" i="5"/>
  <c r="I20391" i="5"/>
  <c r="I20317" i="5"/>
  <c r="I20268" i="5"/>
  <c r="I20233" i="5"/>
  <c r="I20187" i="5"/>
  <c r="I20140" i="5"/>
  <c r="I20105" i="5"/>
  <c r="I20059" i="5"/>
  <c r="I20012" i="5"/>
  <c r="I19977" i="5"/>
  <c r="I19931" i="5"/>
  <c r="I19884" i="5"/>
  <c r="I19849" i="5"/>
  <c r="I19803" i="5"/>
  <c r="I19756" i="5"/>
  <c r="I19721" i="5"/>
  <c r="I19675" i="5"/>
  <c r="I19628" i="5"/>
  <c r="I19593" i="5"/>
  <c r="I19547" i="5"/>
  <c r="I19500" i="5"/>
  <c r="I19465" i="5"/>
  <c r="I19419" i="5"/>
  <c r="I19372" i="5"/>
  <c r="I19337" i="5"/>
  <c r="I19291" i="5"/>
  <c r="I19244" i="5"/>
  <c r="I19209" i="5"/>
  <c r="I19163" i="5"/>
  <c r="I19116" i="5"/>
  <c r="I19081" i="5"/>
  <c r="I19035" i="5"/>
  <c r="I18988" i="5"/>
  <c r="I18953" i="5"/>
  <c r="I18907" i="5"/>
  <c r="I18860" i="5"/>
  <c r="I18825" i="5"/>
  <c r="I18779" i="5"/>
  <c r="I18732" i="5"/>
  <c r="I18697" i="5"/>
  <c r="I18651" i="5"/>
  <c r="I18604" i="5"/>
  <c r="I18575" i="5"/>
  <c r="I18539" i="5"/>
  <c r="I18503" i="5"/>
  <c r="I18473" i="5"/>
  <c r="I18436" i="5"/>
  <c r="I18401" i="5"/>
  <c r="I18370" i="5"/>
  <c r="I18335" i="5"/>
  <c r="I18298" i="5"/>
  <c r="I18267" i="5"/>
  <c r="I18233" i="5"/>
  <c r="I18195" i="5"/>
  <c r="I18164" i="5"/>
  <c r="I18130" i="5"/>
  <c r="I18092" i="5"/>
  <c r="I18063" i="5"/>
  <c r="I18027" i="5"/>
  <c r="I17991" i="5"/>
  <c r="I17961" i="5"/>
  <c r="I17924" i="5"/>
  <c r="I17889" i="5"/>
  <c r="I17858" i="5"/>
  <c r="I17823" i="5"/>
  <c r="I17786" i="5"/>
  <c r="I17755" i="5"/>
  <c r="I17721" i="5"/>
  <c r="I17683" i="5"/>
  <c r="I17652" i="5"/>
  <c r="I17618" i="5"/>
  <c r="I17580" i="5"/>
  <c r="I17551" i="5"/>
  <c r="I17515" i="5"/>
  <c r="I17479" i="5"/>
  <c r="I17449" i="5"/>
  <c r="I17412" i="5"/>
  <c r="I17377" i="5"/>
  <c r="I17346" i="5"/>
  <c r="I17311" i="5"/>
  <c r="I17274" i="5"/>
  <c r="I17243" i="5"/>
  <c r="I17209" i="5"/>
  <c r="I17171" i="5"/>
  <c r="I17140" i="5"/>
  <c r="I17106" i="5"/>
  <c r="I17068" i="5"/>
  <c r="I17039" i="5"/>
  <c r="I17003" i="5"/>
  <c r="I16967" i="5"/>
  <c r="I16937" i="5"/>
  <c r="I16900" i="5"/>
  <c r="I16865" i="5"/>
  <c r="I16836" i="5"/>
  <c r="I16808" i="5"/>
  <c r="I16779" i="5"/>
  <c r="I16758" i="5"/>
  <c r="I16732" i="5"/>
  <c r="I16706" i="5"/>
  <c r="I16684" i="5"/>
  <c r="I16659" i="5"/>
  <c r="I16633" i="5"/>
  <c r="I16611" i="5"/>
  <c r="I16586" i="5"/>
  <c r="I16560" i="5"/>
  <c r="I16538" i="5"/>
  <c r="I16513" i="5"/>
  <c r="I16487" i="5"/>
  <c r="I16465" i="5"/>
  <c r="I16440" i="5"/>
  <c r="I16414" i="5"/>
  <c r="I16392" i="5"/>
  <c r="I16367" i="5"/>
  <c r="I16340" i="5"/>
  <c r="I16319" i="5"/>
  <c r="I16294" i="5"/>
  <c r="I16267" i="5"/>
  <c r="I16246" i="5"/>
  <c r="I16220" i="5"/>
  <c r="I16194" i="5"/>
  <c r="I16172" i="5"/>
  <c r="I16147" i="5"/>
  <c r="I16121" i="5"/>
  <c r="I16099" i="5"/>
  <c r="I16074" i="5"/>
  <c r="I16048" i="5"/>
  <c r="I16026" i="5"/>
  <c r="I16001" i="5"/>
  <c r="I15975" i="5"/>
  <c r="I15953" i="5"/>
  <c r="I15928" i="5"/>
  <c r="I15902" i="5"/>
  <c r="I15880" i="5"/>
  <c r="I15855" i="5"/>
  <c r="I15828" i="5"/>
  <c r="I15807" i="5"/>
  <c r="I15782" i="5"/>
  <c r="I15755" i="5"/>
  <c r="I15734" i="5"/>
  <c r="I15708" i="5"/>
  <c r="I15682" i="5"/>
  <c r="I15660" i="5"/>
  <c r="I15635" i="5"/>
  <c r="I15609" i="5"/>
  <c r="I15587" i="5"/>
  <c r="I15562" i="5"/>
  <c r="I15536" i="5"/>
  <c r="I15514" i="5"/>
  <c r="I15489" i="5"/>
  <c r="I15463" i="5"/>
  <c r="I15441" i="5"/>
  <c r="I15416" i="5"/>
  <c r="I15390" i="5"/>
  <c r="I15368" i="5"/>
  <c r="I15343" i="5"/>
  <c r="I15316" i="5"/>
  <c r="I15295" i="5"/>
  <c r="I15270" i="5"/>
  <c r="I15243" i="5"/>
  <c r="I15222" i="5"/>
  <c r="I15196" i="5"/>
  <c r="I15170" i="5"/>
  <c r="I15148" i="5"/>
  <c r="I15123" i="5"/>
  <c r="I15097" i="5"/>
  <c r="I15075" i="5"/>
  <c r="I15050" i="5"/>
  <c r="I15024" i="5"/>
  <c r="I15002" i="5"/>
  <c r="I14977" i="5"/>
  <c r="I14951" i="5"/>
  <c r="I14929" i="5"/>
  <c r="I14904" i="5"/>
  <c r="I14878" i="5"/>
  <c r="I14856" i="5"/>
  <c r="I14831" i="5"/>
  <c r="I14804" i="5"/>
  <c r="I14783" i="5"/>
  <c r="I14758" i="5"/>
  <c r="I14731" i="5"/>
  <c r="I14710" i="5"/>
  <c r="I14684" i="5"/>
  <c r="I14658" i="5"/>
  <c r="I14636" i="5"/>
  <c r="I14617" i="5"/>
  <c r="I14599" i="5"/>
  <c r="I14580" i="5"/>
  <c r="I14562" i="5"/>
  <c r="I14544" i="5"/>
  <c r="I14526" i="5"/>
  <c r="I14507" i="5"/>
  <c r="I14489" i="5"/>
  <c r="I14471" i="5"/>
  <c r="I14452" i="5"/>
  <c r="I14434" i="5"/>
  <c r="I14416" i="5"/>
  <c r="I14398" i="5"/>
  <c r="I14379" i="5"/>
  <c r="I14361" i="5"/>
  <c r="I14343" i="5"/>
  <c r="I14324" i="5"/>
  <c r="I14306" i="5"/>
  <c r="I14288" i="5"/>
  <c r="I14270" i="5"/>
  <c r="I14251" i="5"/>
  <c r="I14233" i="5"/>
  <c r="I14215" i="5"/>
  <c r="I14196" i="5"/>
  <c r="I14178" i="5"/>
  <c r="I14160" i="5"/>
  <c r="I14142" i="5"/>
  <c r="I14123" i="5"/>
  <c r="I14105" i="5"/>
  <c r="I14087" i="5"/>
  <c r="I14068" i="5"/>
  <c r="I14050" i="5"/>
  <c r="I14032" i="5"/>
  <c r="I14014" i="5"/>
  <c r="I13995" i="5"/>
  <c r="I13977" i="5"/>
  <c r="I13959" i="5"/>
  <c r="I13940" i="5"/>
  <c r="I13926" i="5"/>
  <c r="I13912" i="5"/>
  <c r="I13896" i="5"/>
  <c r="I13881" i="5"/>
  <c r="I13867" i="5"/>
  <c r="I13852" i="5"/>
  <c r="I13839" i="5"/>
  <c r="I13823" i="5"/>
  <c r="I13808" i="5"/>
  <c r="I13794" i="5"/>
  <c r="I13779" i="5"/>
  <c r="I13766" i="5"/>
  <c r="I13750" i="5"/>
  <c r="I13736" i="5"/>
  <c r="I13724" i="5"/>
  <c r="I13711" i="5"/>
  <c r="I13699" i="5"/>
  <c r="I13685" i="5"/>
  <c r="I13672" i="5"/>
  <c r="I13660" i="5"/>
  <c r="I13647" i="5"/>
  <c r="I13635" i="5"/>
  <c r="I13621" i="5"/>
  <c r="I13608" i="5"/>
  <c r="I13596" i="5"/>
  <c r="I13583" i="5"/>
  <c r="I13571" i="5"/>
  <c r="I13557" i="5"/>
  <c r="I13544" i="5"/>
  <c r="I13532" i="5"/>
  <c r="I13519" i="5"/>
  <c r="I13507" i="5"/>
  <c r="I13493" i="5"/>
  <c r="I13480" i="5"/>
  <c r="I13468" i="5"/>
  <c r="I13455" i="5"/>
  <c r="I13443" i="5"/>
  <c r="I13429" i="5"/>
  <c r="I13416" i="5"/>
  <c r="I13404" i="5"/>
  <c r="I13391" i="5"/>
  <c r="I13379" i="5"/>
  <c r="I13367" i="5"/>
  <c r="I13356" i="5"/>
  <c r="I13346" i="5"/>
  <c r="I13335" i="5"/>
  <c r="I13324" i="5"/>
  <c r="I13314" i="5"/>
  <c r="I13303" i="5"/>
  <c r="I13293" i="5"/>
  <c r="I13284" i="5"/>
  <c r="I13275" i="5"/>
  <c r="I13267" i="5"/>
  <c r="I13259" i="5"/>
  <c r="I13251" i="5"/>
  <c r="I13243" i="5"/>
  <c r="I13235" i="5"/>
  <c r="I13227" i="5"/>
  <c r="I13219" i="5"/>
  <c r="I13211" i="5"/>
  <c r="I13203" i="5"/>
  <c r="I13195" i="5"/>
  <c r="I13187" i="5"/>
  <c r="I13179" i="5"/>
  <c r="I13171" i="5"/>
  <c r="I13163" i="5"/>
  <c r="I13155" i="5"/>
  <c r="I13147" i="5"/>
  <c r="I13139" i="5"/>
  <c r="I13131" i="5"/>
  <c r="I13123" i="5"/>
  <c r="I13115" i="5"/>
  <c r="I13107" i="5"/>
  <c r="I13099" i="5"/>
  <c r="I13091" i="5"/>
  <c r="I13083" i="5"/>
  <c r="I13075" i="5"/>
  <c r="I13067" i="5"/>
  <c r="I13059" i="5"/>
  <c r="I13051" i="5"/>
  <c r="I13043" i="5"/>
  <c r="I13035" i="5"/>
  <c r="I13027" i="5"/>
  <c r="I13019" i="5"/>
  <c r="I13011" i="5"/>
  <c r="I13003" i="5"/>
  <c r="I12995" i="5"/>
  <c r="I12987" i="5"/>
  <c r="I12979" i="5"/>
  <c r="I12971" i="5"/>
  <c r="I12963" i="5"/>
  <c r="I12955" i="5"/>
  <c r="I12947" i="5"/>
  <c r="I12939" i="5"/>
  <c r="I12931" i="5"/>
  <c r="I12923" i="5"/>
  <c r="I12915" i="5"/>
  <c r="I12907" i="5"/>
  <c r="I12899" i="5"/>
  <c r="I12891" i="5"/>
  <c r="I12883" i="5"/>
  <c r="I12875" i="5"/>
  <c r="I12867" i="5"/>
  <c r="I12859" i="5"/>
  <c r="I12851" i="5"/>
  <c r="I12843" i="5"/>
  <c r="I12835" i="5"/>
  <c r="I12827" i="5"/>
  <c r="I12819" i="5"/>
  <c r="I12811" i="5"/>
  <c r="I12803" i="5"/>
  <c r="I12795" i="5"/>
  <c r="I12787" i="5"/>
  <c r="I12779" i="5"/>
  <c r="I12771" i="5"/>
  <c r="I12763" i="5"/>
  <c r="I12755" i="5"/>
  <c r="I12747" i="5"/>
  <c r="I12739" i="5"/>
  <c r="I12731" i="5"/>
  <c r="I12723" i="5"/>
  <c r="I12715" i="5"/>
  <c r="I12707" i="5"/>
  <c r="I12699" i="5"/>
  <c r="I12691" i="5"/>
  <c r="I12683" i="5"/>
  <c r="I12675" i="5"/>
  <c r="I12667" i="5"/>
  <c r="I12659" i="5"/>
  <c r="I12651" i="5"/>
  <c r="I12643" i="5"/>
  <c r="I12635" i="5"/>
  <c r="I12627" i="5"/>
  <c r="I12619" i="5"/>
  <c r="I12611" i="5"/>
  <c r="I12603" i="5"/>
  <c r="I12595" i="5"/>
  <c r="I12587" i="5"/>
  <c r="I12579" i="5"/>
  <c r="I12571" i="5"/>
  <c r="I12563" i="5"/>
  <c r="I12555" i="5"/>
  <c r="I12547" i="5"/>
  <c r="I12539" i="5"/>
  <c r="I12531" i="5"/>
  <c r="I12523" i="5"/>
  <c r="I12515" i="5"/>
  <c r="I12507" i="5"/>
  <c r="I12499" i="5"/>
  <c r="I12491" i="5"/>
  <c r="I12483" i="5"/>
  <c r="I12475" i="5"/>
  <c r="I12467" i="5"/>
  <c r="I12459" i="5"/>
  <c r="I12451" i="5"/>
  <c r="I12443" i="5"/>
  <c r="I12435" i="5"/>
  <c r="I12427" i="5"/>
  <c r="I12419" i="5"/>
  <c r="I12411" i="5"/>
  <c r="I12403" i="5"/>
  <c r="I12395" i="5"/>
  <c r="I12387" i="5"/>
  <c r="I12379" i="5"/>
  <c r="I12371" i="5"/>
  <c r="I12363" i="5"/>
  <c r="I12355" i="5"/>
  <c r="I12347" i="5"/>
  <c r="I12339" i="5"/>
  <c r="I12331" i="5"/>
  <c r="I12323" i="5"/>
  <c r="I12315" i="5"/>
  <c r="I12307" i="5"/>
  <c r="I12299" i="5"/>
  <c r="I12291" i="5"/>
  <c r="I12283" i="5"/>
  <c r="I12275" i="5"/>
  <c r="I12267" i="5"/>
  <c r="I12259" i="5"/>
  <c r="I12251" i="5"/>
  <c r="I12243" i="5"/>
  <c r="I12235" i="5"/>
  <c r="I12227" i="5"/>
  <c r="I12219" i="5"/>
  <c r="I12211" i="5"/>
  <c r="I12203" i="5"/>
  <c r="I12195" i="5"/>
  <c r="I12187" i="5"/>
  <c r="I12179" i="5"/>
  <c r="I12171" i="5"/>
  <c r="I12163" i="5"/>
  <c r="I12155" i="5"/>
  <c r="I12147" i="5"/>
  <c r="I12139" i="5"/>
  <c r="I12131" i="5"/>
  <c r="I12123" i="5"/>
  <c r="I12115" i="5"/>
  <c r="I12107" i="5"/>
  <c r="I12099" i="5"/>
  <c r="I12091" i="5"/>
  <c r="I12083" i="5"/>
  <c r="I12075" i="5"/>
  <c r="I12067" i="5"/>
  <c r="I12059" i="5"/>
  <c r="I12051" i="5"/>
  <c r="I12043" i="5"/>
  <c r="I12035" i="5"/>
  <c r="I12027" i="5"/>
  <c r="I12019" i="5"/>
  <c r="I12011" i="5"/>
  <c r="I12003" i="5"/>
  <c r="I11995" i="5"/>
  <c r="I11987" i="5"/>
  <c r="I11979" i="5"/>
  <c r="I11971" i="5"/>
  <c r="I11963" i="5"/>
  <c r="I11955" i="5"/>
  <c r="I11947" i="5"/>
  <c r="I11939" i="5"/>
  <c r="I11931" i="5"/>
  <c r="I11923" i="5"/>
  <c r="I11915" i="5"/>
  <c r="I11907" i="5"/>
  <c r="I11899" i="5"/>
  <c r="I11891" i="5"/>
  <c r="I11883" i="5"/>
  <c r="I11875" i="5"/>
  <c r="I11867" i="5"/>
  <c r="I11859" i="5"/>
  <c r="I11851" i="5"/>
  <c r="I11843" i="5"/>
  <c r="I11835" i="5"/>
  <c r="I11827" i="5"/>
  <c r="I11819" i="5"/>
  <c r="I11811" i="5"/>
  <c r="I11803" i="5"/>
  <c r="I11795" i="5"/>
  <c r="I11787" i="5"/>
  <c r="I11779" i="5"/>
  <c r="I11771" i="5"/>
  <c r="I11763" i="5"/>
  <c r="I11755" i="5"/>
  <c r="I11747" i="5"/>
  <c r="I11739" i="5"/>
  <c r="I11731" i="5"/>
  <c r="I11723" i="5"/>
  <c r="I11715" i="5"/>
  <c r="I11707" i="5"/>
  <c r="I11699" i="5"/>
  <c r="I11691" i="5"/>
  <c r="I11683" i="5"/>
  <c r="I11675" i="5"/>
  <c r="I11667" i="5"/>
  <c r="I11659" i="5"/>
  <c r="I11651" i="5"/>
  <c r="I11643" i="5"/>
  <c r="I11635" i="5"/>
  <c r="I11627" i="5"/>
  <c r="I11619" i="5"/>
  <c r="I11611" i="5"/>
  <c r="I11603" i="5"/>
  <c r="I11595" i="5"/>
  <c r="I11587" i="5"/>
  <c r="I11579" i="5"/>
  <c r="I11571" i="5"/>
  <c r="I11563" i="5"/>
  <c r="I11555" i="5"/>
  <c r="I11547" i="5"/>
  <c r="I11539" i="5"/>
  <c r="I11531" i="5"/>
  <c r="I11523" i="5"/>
  <c r="I11515" i="5"/>
  <c r="I11507" i="5"/>
  <c r="I11499" i="5"/>
  <c r="I11491" i="5"/>
  <c r="I11483" i="5"/>
  <c r="I11475" i="5"/>
  <c r="I11467" i="5"/>
  <c r="I11459" i="5"/>
  <c r="I11451" i="5"/>
  <c r="I11443" i="5"/>
  <c r="I11435" i="5"/>
  <c r="I11427" i="5"/>
  <c r="I11419" i="5"/>
  <c r="I11411" i="5"/>
  <c r="I11403" i="5"/>
  <c r="I11395" i="5"/>
  <c r="I11387" i="5"/>
  <c r="I11379" i="5"/>
  <c r="I11371" i="5"/>
  <c r="I11363" i="5"/>
  <c r="I11355" i="5"/>
  <c r="I11347" i="5"/>
  <c r="I11339" i="5"/>
  <c r="I11331" i="5"/>
  <c r="I11323" i="5"/>
  <c r="I11315" i="5"/>
  <c r="I11307" i="5"/>
  <c r="I11299" i="5"/>
  <c r="I11291" i="5"/>
  <c r="I11283" i="5"/>
  <c r="I11275" i="5"/>
  <c r="I11267" i="5"/>
  <c r="I11259" i="5"/>
  <c r="I11251" i="5"/>
  <c r="I11243" i="5"/>
  <c r="I11235" i="5"/>
  <c r="I11227" i="5"/>
  <c r="I11219" i="5"/>
  <c r="I11211" i="5"/>
  <c r="I11203" i="5"/>
  <c r="I11195" i="5"/>
  <c r="I11187" i="5"/>
  <c r="I11179" i="5"/>
  <c r="I11171" i="5"/>
  <c r="I11163" i="5"/>
  <c r="I11155" i="5"/>
  <c r="I11147" i="5"/>
  <c r="I11139" i="5"/>
  <c r="I11131" i="5"/>
  <c r="I11123" i="5"/>
  <c r="I11115" i="5"/>
  <c r="I11107" i="5"/>
  <c r="I11099" i="5"/>
  <c r="I11091" i="5"/>
  <c r="I11083" i="5"/>
  <c r="I11075" i="5"/>
  <c r="I11067" i="5"/>
  <c r="I11059" i="5"/>
  <c r="I11051" i="5"/>
  <c r="I11043" i="5"/>
  <c r="I11035" i="5"/>
  <c r="I11027" i="5"/>
  <c r="I11019" i="5"/>
  <c r="I11011" i="5"/>
  <c r="I11003" i="5"/>
  <c r="I10995" i="5"/>
  <c r="I10987" i="5"/>
  <c r="I10979" i="5"/>
  <c r="I10971" i="5"/>
  <c r="I10963" i="5"/>
  <c r="I10955" i="5"/>
  <c r="I10947" i="5"/>
  <c r="I10939" i="5"/>
  <c r="I10931" i="5"/>
  <c r="I10923" i="5"/>
  <c r="I10915" i="5"/>
  <c r="I10907" i="5"/>
  <c r="I10899" i="5"/>
  <c r="I10891" i="5"/>
  <c r="I10883" i="5"/>
  <c r="I10875" i="5"/>
  <c r="I10867" i="5"/>
  <c r="I10859" i="5"/>
  <c r="I10851" i="5"/>
  <c r="I10843" i="5"/>
  <c r="I10835" i="5"/>
  <c r="I10827" i="5"/>
  <c r="I10819" i="5"/>
  <c r="I10811" i="5"/>
  <c r="I10803" i="5"/>
  <c r="I10795" i="5"/>
  <c r="I10787" i="5"/>
  <c r="I10779" i="5"/>
  <c r="I10771" i="5"/>
  <c r="I10763" i="5"/>
  <c r="I10755" i="5"/>
  <c r="I10747" i="5"/>
  <c r="I10739" i="5"/>
  <c r="I10731" i="5"/>
  <c r="I10723" i="5"/>
  <c r="I10715" i="5"/>
  <c r="I10707" i="5"/>
  <c r="I10699" i="5"/>
  <c r="I10691" i="5"/>
  <c r="I10683" i="5"/>
  <c r="I10675" i="5"/>
  <c r="I10667" i="5"/>
  <c r="I10659" i="5"/>
  <c r="I10651" i="5"/>
  <c r="I10643" i="5"/>
  <c r="I10635" i="5"/>
  <c r="I10627" i="5"/>
  <c r="I10619" i="5"/>
  <c r="I10611" i="5"/>
  <c r="I10603" i="5"/>
  <c r="I10595" i="5"/>
  <c r="I10587" i="5"/>
  <c r="I10579" i="5"/>
  <c r="I10571" i="5"/>
  <c r="I10563" i="5"/>
  <c r="I10555" i="5"/>
  <c r="I10547" i="5"/>
  <c r="I10539" i="5"/>
  <c r="I10531" i="5"/>
  <c r="I10523" i="5"/>
  <c r="I10515" i="5"/>
  <c r="I10507" i="5"/>
  <c r="I10499" i="5"/>
  <c r="I10491" i="5"/>
  <c r="I10483" i="5"/>
  <c r="I10475" i="5"/>
  <c r="I10467" i="5"/>
  <c r="I10459" i="5"/>
  <c r="I10451" i="5"/>
  <c r="I10443" i="5"/>
  <c r="I10435" i="5"/>
  <c r="I10427" i="5"/>
  <c r="I10419" i="5"/>
  <c r="I10411" i="5"/>
  <c r="I10403" i="5"/>
  <c r="I10395" i="5"/>
  <c r="I10387" i="5"/>
  <c r="I10379" i="5"/>
  <c r="I10371" i="5"/>
  <c r="I10363" i="5"/>
  <c r="I30552" i="5"/>
  <c r="I28467" i="5"/>
  <c r="I27139" i="5"/>
  <c r="I26368" i="5"/>
  <c r="I25648" i="5"/>
  <c r="I25145" i="5"/>
  <c r="I24807" i="5"/>
  <c r="I24487" i="5"/>
  <c r="I24300" i="5"/>
  <c r="I24159" i="5"/>
  <c r="I23975" i="5"/>
  <c r="I23788" i="5"/>
  <c r="I23647" i="5"/>
  <c r="I23463" i="5"/>
  <c r="I23325" i="5"/>
  <c r="I23231" i="5"/>
  <c r="I23109" i="5"/>
  <c r="I22983" i="5"/>
  <c r="I22892" i="5"/>
  <c r="I22767" i="5"/>
  <c r="I22644" i="5"/>
  <c r="I22549" i="5"/>
  <c r="I22428" i="5"/>
  <c r="I22301" i="5"/>
  <c r="I22207" i="5"/>
  <c r="I22085" i="5"/>
  <c r="I21959" i="5"/>
  <c r="I21868" i="5"/>
  <c r="I21743" i="5"/>
  <c r="I21635" i="5"/>
  <c r="I21564" i="5"/>
  <c r="I21471" i="5"/>
  <c r="I21379" i="5"/>
  <c r="I21308" i="5"/>
  <c r="I21215" i="5"/>
  <c r="I21123" i="5"/>
  <c r="I21052" i="5"/>
  <c r="I20959" i="5"/>
  <c r="I20867" i="5"/>
  <c r="I20796" i="5"/>
  <c r="I20703" i="5"/>
  <c r="I20611" i="5"/>
  <c r="I20540" i="5"/>
  <c r="I20447" i="5"/>
  <c r="I20371" i="5"/>
  <c r="I20315" i="5"/>
  <c r="I20267" i="5"/>
  <c r="I20220" i="5"/>
  <c r="I20185" i="5"/>
  <c r="I20139" i="5"/>
  <c r="I20092" i="5"/>
  <c r="I20057" i="5"/>
  <c r="I20011" i="5"/>
  <c r="I19964" i="5"/>
  <c r="I19929" i="5"/>
  <c r="I19883" i="5"/>
  <c r="I19836" i="5"/>
  <c r="I19801" i="5"/>
  <c r="I19755" i="5"/>
  <c r="I19708" i="5"/>
  <c r="I19673" i="5"/>
  <c r="I19627" i="5"/>
  <c r="I19580" i="5"/>
  <c r="I19545" i="5"/>
  <c r="I19499" i="5"/>
  <c r="I19452" i="5"/>
  <c r="I19417" i="5"/>
  <c r="I19371" i="5"/>
  <c r="I19324" i="5"/>
  <c r="I19289" i="5"/>
  <c r="I19243" i="5"/>
  <c r="I19196" i="5"/>
  <c r="I19161" i="5"/>
  <c r="I19115" i="5"/>
  <c r="I19068" i="5"/>
  <c r="I19033" i="5"/>
  <c r="I18987" i="5"/>
  <c r="I18940" i="5"/>
  <c r="I18905" i="5"/>
  <c r="I18859" i="5"/>
  <c r="I18812" i="5"/>
  <c r="I18777" i="5"/>
  <c r="I18731" i="5"/>
  <c r="I18684" i="5"/>
  <c r="I18649" i="5"/>
  <c r="I18603" i="5"/>
  <c r="I18567" i="5"/>
  <c r="I18537" i="5"/>
  <c r="I18500" i="5"/>
  <c r="I18465" i="5"/>
  <c r="I18434" i="5"/>
  <c r="I18399" i="5"/>
  <c r="I18362" i="5"/>
  <c r="I18331" i="5"/>
  <c r="I18297" i="5"/>
  <c r="I18259" i="5"/>
  <c r="I18228" i="5"/>
  <c r="I18194" i="5"/>
  <c r="I18156" i="5"/>
  <c r="I18127" i="5"/>
  <c r="I18091" i="5"/>
  <c r="I18055" i="5"/>
  <c r="I18025" i="5"/>
  <c r="I17988" i="5"/>
  <c r="I17953" i="5"/>
  <c r="I17922" i="5"/>
  <c r="I17887" i="5"/>
  <c r="I17850" i="5"/>
  <c r="I17819" i="5"/>
  <c r="I17785" i="5"/>
  <c r="I17747" i="5"/>
  <c r="I17716" i="5"/>
  <c r="I17682" i="5"/>
  <c r="I17644" i="5"/>
  <c r="I17615" i="5"/>
  <c r="I17579" i="5"/>
  <c r="I17543" i="5"/>
  <c r="I17513" i="5"/>
  <c r="I17476" i="5"/>
  <c r="I17441" i="5"/>
  <c r="I17410" i="5"/>
  <c r="I17375" i="5"/>
  <c r="I17338" i="5"/>
  <c r="I17307" i="5"/>
  <c r="I17273" i="5"/>
  <c r="I17235" i="5"/>
  <c r="I17204" i="5"/>
  <c r="I17170" i="5"/>
  <c r="I17132" i="5"/>
  <c r="I17103" i="5"/>
  <c r="I17067" i="5"/>
  <c r="I17031" i="5"/>
  <c r="I17001" i="5"/>
  <c r="I16964" i="5"/>
  <c r="I16929" i="5"/>
  <c r="I16898" i="5"/>
  <c r="I16863" i="5"/>
  <c r="I16831" i="5"/>
  <c r="I16804" i="5"/>
  <c r="I16778" i="5"/>
  <c r="I16752" i="5"/>
  <c r="I16730" i="5"/>
  <c r="I16705" i="5"/>
  <c r="I16679" i="5"/>
  <c r="I16657" i="5"/>
  <c r="I16632" i="5"/>
  <c r="I16606" i="5"/>
  <c r="I16584" i="5"/>
  <c r="I16559" i="5"/>
  <c r="I16532" i="5"/>
  <c r="I16511" i="5"/>
  <c r="I16486" i="5"/>
  <c r="I16459" i="5"/>
  <c r="I16438" i="5"/>
  <c r="I16412" i="5"/>
  <c r="I16386" i="5"/>
  <c r="I16364" i="5"/>
  <c r="I16339" i="5"/>
  <c r="I16313" i="5"/>
  <c r="I16291" i="5"/>
  <c r="I16266" i="5"/>
  <c r="I16240" i="5"/>
  <c r="I16218" i="5"/>
  <c r="I16193" i="5"/>
  <c r="I16167" i="5"/>
  <c r="I16145" i="5"/>
  <c r="I16120" i="5"/>
  <c r="I16094" i="5"/>
  <c r="I16072" i="5"/>
  <c r="I16047" i="5"/>
  <c r="I16020" i="5"/>
  <c r="I15999" i="5"/>
  <c r="I15974" i="5"/>
  <c r="I15947" i="5"/>
  <c r="I15926" i="5"/>
  <c r="I15900" i="5"/>
  <c r="I15874" i="5"/>
  <c r="I15852" i="5"/>
  <c r="I15827" i="5"/>
  <c r="I15801" i="5"/>
  <c r="I15779" i="5"/>
  <c r="I15754" i="5"/>
  <c r="I15728" i="5"/>
  <c r="I15706" i="5"/>
  <c r="I15681" i="5"/>
  <c r="I15655" i="5"/>
  <c r="I15633" i="5"/>
  <c r="I15608" i="5"/>
  <c r="I15582" i="5"/>
  <c r="I15560" i="5"/>
  <c r="I15535" i="5"/>
  <c r="I15508" i="5"/>
  <c r="I15487" i="5"/>
  <c r="I15462" i="5"/>
  <c r="I15435" i="5"/>
  <c r="I15414" i="5"/>
  <c r="I15388" i="5"/>
  <c r="I15362" i="5"/>
  <c r="I15340" i="5"/>
  <c r="I15315" i="5"/>
  <c r="I15289" i="5"/>
  <c r="I15267" i="5"/>
  <c r="I15242" i="5"/>
  <c r="I15216" i="5"/>
  <c r="I15194" i="5"/>
  <c r="I15169" i="5"/>
  <c r="I15143" i="5"/>
  <c r="I15121" i="5"/>
  <c r="I15096" i="5"/>
  <c r="I15070" i="5"/>
  <c r="I15048" i="5"/>
  <c r="I15023" i="5"/>
  <c r="I14996" i="5"/>
  <c r="I14975" i="5"/>
  <c r="I14950" i="5"/>
  <c r="I14923" i="5"/>
  <c r="I14902" i="5"/>
  <c r="I14876" i="5"/>
  <c r="I14850" i="5"/>
  <c r="I14828" i="5"/>
  <c r="I14803" i="5"/>
  <c r="I14777" i="5"/>
  <c r="I14755" i="5"/>
  <c r="I14730" i="5"/>
  <c r="I14704" i="5"/>
  <c r="I14682" i="5"/>
  <c r="I14657" i="5"/>
  <c r="I14631" i="5"/>
  <c r="I14612" i="5"/>
  <c r="I14594" i="5"/>
  <c r="I14576" i="5"/>
  <c r="I14558" i="5"/>
  <c r="I14539" i="5"/>
  <c r="I14521" i="5"/>
  <c r="I14503" i="5"/>
  <c r="I14484" i="5"/>
  <c r="I14466" i="5"/>
  <c r="I14448" i="5"/>
  <c r="I14430" i="5"/>
  <c r="I14411" i="5"/>
  <c r="I14393" i="5"/>
  <c r="I14375" i="5"/>
  <c r="I14356" i="5"/>
  <c r="I14338" i="5"/>
  <c r="I14320" i="5"/>
  <c r="I14302" i="5"/>
  <c r="I14283" i="5"/>
  <c r="I14265" i="5"/>
  <c r="I14247" i="5"/>
  <c r="I14228" i="5"/>
  <c r="I14210" i="5"/>
  <c r="I14192" i="5"/>
  <c r="I14174" i="5"/>
  <c r="I14155" i="5"/>
  <c r="I14137" i="5"/>
  <c r="I14119" i="5"/>
  <c r="I14100" i="5"/>
  <c r="I14082" i="5"/>
  <c r="I14064" i="5"/>
  <c r="I14046" i="5"/>
  <c r="I14027" i="5"/>
  <c r="I14009" i="5"/>
  <c r="I13991" i="5"/>
  <c r="I13972" i="5"/>
  <c r="I13954" i="5"/>
  <c r="I13939" i="5"/>
  <c r="I13923" i="5"/>
  <c r="I13908" i="5"/>
  <c r="I13895" i="5"/>
  <c r="I13880" i="5"/>
  <c r="I13866" i="5"/>
  <c r="I13850" i="5"/>
  <c r="I13835" i="5"/>
  <c r="I13822" i="5"/>
  <c r="I13807" i="5"/>
  <c r="I13793" i="5"/>
  <c r="I13777" i="5"/>
  <c r="I13762" i="5"/>
  <c r="I13748" i="5"/>
  <c r="I13735" i="5"/>
  <c r="I13723" i="5"/>
  <c r="I13709" i="5"/>
  <c r="I13696" i="5"/>
  <c r="I13684" i="5"/>
  <c r="I13671" i="5"/>
  <c r="I13659" i="5"/>
  <c r="I13645" i="5"/>
  <c r="I13632" i="5"/>
  <c r="I13620" i="5"/>
  <c r="I13607" i="5"/>
  <c r="I13595" i="5"/>
  <c r="I13581" i="5"/>
  <c r="I13568" i="5"/>
  <c r="I13556" i="5"/>
  <c r="I13543" i="5"/>
  <c r="I13531" i="5"/>
  <c r="I13517" i="5"/>
  <c r="I13504" i="5"/>
  <c r="I13492" i="5"/>
  <c r="I13479" i="5"/>
  <c r="I13467" i="5"/>
  <c r="I13453" i="5"/>
  <c r="I13440" i="5"/>
  <c r="I13428" i="5"/>
  <c r="I13415" i="5"/>
  <c r="I13403" i="5"/>
  <c r="I13389" i="5"/>
  <c r="I13376" i="5"/>
  <c r="I13365" i="5"/>
  <c r="I13355" i="5"/>
  <c r="I13344" i="5"/>
  <c r="I13333" i="5"/>
  <c r="I13323" i="5"/>
  <c r="I13312" i="5"/>
  <c r="I13301" i="5"/>
  <c r="I13292" i="5"/>
  <c r="I13283" i="5"/>
  <c r="I13274" i="5"/>
  <c r="I13266" i="5"/>
  <c r="I13258" i="5"/>
  <c r="I13250" i="5"/>
  <c r="I13242" i="5"/>
  <c r="I13234" i="5"/>
  <c r="I13226" i="5"/>
  <c r="I13218" i="5"/>
  <c r="I13210" i="5"/>
  <c r="I13202" i="5"/>
  <c r="I13194" i="5"/>
  <c r="I13186" i="5"/>
  <c r="I13178" i="5"/>
  <c r="I13170" i="5"/>
  <c r="I13162" i="5"/>
  <c r="I13154" i="5"/>
  <c r="I13146" i="5"/>
  <c r="I13138" i="5"/>
  <c r="I13130" i="5"/>
  <c r="I13122" i="5"/>
  <c r="I13114" i="5"/>
  <c r="I13106" i="5"/>
  <c r="I13098" i="5"/>
  <c r="I13090" i="5"/>
  <c r="I13082" i="5"/>
  <c r="I13074" i="5"/>
  <c r="I13066" i="5"/>
  <c r="I13058" i="5"/>
  <c r="I13050" i="5"/>
  <c r="I13042" i="5"/>
  <c r="I13034" i="5"/>
  <c r="I13026" i="5"/>
  <c r="I13018" i="5"/>
  <c r="I13010" i="5"/>
  <c r="I13002" i="5"/>
  <c r="I12994" i="5"/>
  <c r="I12986" i="5"/>
  <c r="I12978" i="5"/>
  <c r="I12970" i="5"/>
  <c r="I12962" i="5"/>
  <c r="I12954" i="5"/>
  <c r="I12946" i="5"/>
  <c r="I12938" i="5"/>
  <c r="I12930" i="5"/>
  <c r="I12922" i="5"/>
  <c r="I12914" i="5"/>
  <c r="I12906" i="5"/>
  <c r="I12898" i="5"/>
  <c r="I12890" i="5"/>
  <c r="I12882" i="5"/>
  <c r="I12874" i="5"/>
  <c r="I12866" i="5"/>
  <c r="I12858" i="5"/>
  <c r="I12850" i="5"/>
  <c r="I12842" i="5"/>
  <c r="I12834" i="5"/>
  <c r="I12826" i="5"/>
  <c r="I12818" i="5"/>
  <c r="I12810" i="5"/>
  <c r="I12802" i="5"/>
  <c r="I12794" i="5"/>
  <c r="I12786" i="5"/>
  <c r="I12778" i="5"/>
  <c r="I12770" i="5"/>
  <c r="I12762" i="5"/>
  <c r="I12754" i="5"/>
  <c r="I12746" i="5"/>
  <c r="I12738" i="5"/>
  <c r="I12730" i="5"/>
  <c r="I12722" i="5"/>
  <c r="I12714" i="5"/>
  <c r="I12706" i="5"/>
  <c r="I12698" i="5"/>
  <c r="I12690" i="5"/>
  <c r="I12682" i="5"/>
  <c r="I12674" i="5"/>
  <c r="I12666" i="5"/>
  <c r="I12658" i="5"/>
  <c r="I12650" i="5"/>
  <c r="I12642" i="5"/>
  <c r="I12634" i="5"/>
  <c r="I12626" i="5"/>
  <c r="I12618" i="5"/>
  <c r="I12610" i="5"/>
  <c r="I12602" i="5"/>
  <c r="I12594" i="5"/>
  <c r="I12586" i="5"/>
  <c r="I12578" i="5"/>
  <c r="I12570" i="5"/>
  <c r="I12562" i="5"/>
  <c r="I12554" i="5"/>
  <c r="I12546" i="5"/>
  <c r="I12538" i="5"/>
  <c r="I12530" i="5"/>
  <c r="I12522" i="5"/>
  <c r="I12514" i="5"/>
  <c r="I12506" i="5"/>
  <c r="I12498" i="5"/>
  <c r="I12490" i="5"/>
  <c r="I12482" i="5"/>
  <c r="I12474" i="5"/>
  <c r="I12466" i="5"/>
  <c r="I12458" i="5"/>
  <c r="I12450" i="5"/>
  <c r="I12442" i="5"/>
  <c r="I12434" i="5"/>
  <c r="I12426" i="5"/>
  <c r="I12418" i="5"/>
  <c r="I12410" i="5"/>
  <c r="I12402" i="5"/>
  <c r="I12394" i="5"/>
  <c r="I12386" i="5"/>
  <c r="I12378" i="5"/>
  <c r="I12370" i="5"/>
  <c r="I12362" i="5"/>
  <c r="I12354" i="5"/>
  <c r="I12346" i="5"/>
  <c r="I12338" i="5"/>
  <c r="I12330" i="5"/>
  <c r="I12322" i="5"/>
  <c r="I12314" i="5"/>
  <c r="I12306" i="5"/>
  <c r="I12298" i="5"/>
  <c r="I12290" i="5"/>
  <c r="I12282" i="5"/>
  <c r="I12274" i="5"/>
  <c r="I12266" i="5"/>
  <c r="I12258" i="5"/>
  <c r="I12250" i="5"/>
  <c r="I12242" i="5"/>
  <c r="I12234" i="5"/>
  <c r="I12226" i="5"/>
  <c r="I12218" i="5"/>
  <c r="I12210" i="5"/>
  <c r="I12202" i="5"/>
  <c r="I12194" i="5"/>
  <c r="I12186" i="5"/>
  <c r="I12178" i="5"/>
  <c r="I12170" i="5"/>
  <c r="I12162" i="5"/>
  <c r="I12154" i="5"/>
  <c r="I12146" i="5"/>
  <c r="I12138" i="5"/>
  <c r="I12130" i="5"/>
  <c r="I12122" i="5"/>
  <c r="I12114" i="5"/>
  <c r="I12106" i="5"/>
  <c r="I12098" i="5"/>
  <c r="I12090" i="5"/>
  <c r="I12082" i="5"/>
  <c r="I12074" i="5"/>
  <c r="I12066" i="5"/>
  <c r="I12058" i="5"/>
  <c r="I12050" i="5"/>
  <c r="I12042" i="5"/>
  <c r="I12034" i="5"/>
  <c r="I12026" i="5"/>
  <c r="I12018" i="5"/>
  <c r="I12010" i="5"/>
  <c r="I12002" i="5"/>
  <c r="I11994" i="5"/>
  <c r="I11986" i="5"/>
  <c r="I11978" i="5"/>
  <c r="I11970" i="5"/>
  <c r="I11962" i="5"/>
  <c r="I11954" i="5"/>
  <c r="I11946" i="5"/>
  <c r="I11938" i="5"/>
  <c r="I11930" i="5"/>
  <c r="I11922" i="5"/>
  <c r="I11914" i="5"/>
  <c r="I11906" i="5"/>
  <c r="I11898" i="5"/>
  <c r="I11890" i="5"/>
  <c r="I11882" i="5"/>
  <c r="I11874" i="5"/>
  <c r="I11866" i="5"/>
  <c r="I11858" i="5"/>
  <c r="I11850" i="5"/>
  <c r="I11842" i="5"/>
  <c r="I11834" i="5"/>
  <c r="I11826" i="5"/>
  <c r="I11818" i="5"/>
  <c r="I11810" i="5"/>
  <c r="I11802" i="5"/>
  <c r="I11794" i="5"/>
  <c r="I11786" i="5"/>
  <c r="I11778" i="5"/>
  <c r="I11770" i="5"/>
  <c r="I11762" i="5"/>
  <c r="I11754" i="5"/>
  <c r="I11746" i="5"/>
  <c r="I11738" i="5"/>
  <c r="I11730" i="5"/>
  <c r="I11722" i="5"/>
  <c r="I11714" i="5"/>
  <c r="I11706" i="5"/>
  <c r="I11698" i="5"/>
  <c r="I11690" i="5"/>
  <c r="I11682" i="5"/>
  <c r="I11674" i="5"/>
  <c r="I11666" i="5"/>
  <c r="I11658" i="5"/>
  <c r="I11650" i="5"/>
  <c r="I11642" i="5"/>
  <c r="I11634" i="5"/>
  <c r="I11626" i="5"/>
  <c r="I11618" i="5"/>
  <c r="I11610" i="5"/>
  <c r="I11602" i="5"/>
  <c r="I11594" i="5"/>
  <c r="I11586" i="5"/>
  <c r="I11578" i="5"/>
  <c r="I11570" i="5"/>
  <c r="I11562" i="5"/>
  <c r="I11554" i="5"/>
  <c r="I11546" i="5"/>
  <c r="I11538" i="5"/>
  <c r="I11530" i="5"/>
  <c r="I11522" i="5"/>
  <c r="I11514" i="5"/>
  <c r="I11506" i="5"/>
  <c r="I11498" i="5"/>
  <c r="I11490" i="5"/>
  <c r="I11482" i="5"/>
  <c r="I11474" i="5"/>
  <c r="I11466" i="5"/>
  <c r="I11458" i="5"/>
  <c r="I11450" i="5"/>
  <c r="I11442" i="5"/>
  <c r="I11434" i="5"/>
  <c r="I11426" i="5"/>
  <c r="I11418" i="5"/>
  <c r="I11410" i="5"/>
  <c r="I11402" i="5"/>
  <c r="I11394" i="5"/>
  <c r="I11386" i="5"/>
  <c r="I11378" i="5"/>
  <c r="I11370" i="5"/>
  <c r="I11362" i="5"/>
  <c r="I11354" i="5"/>
  <c r="I11346" i="5"/>
  <c r="I11338" i="5"/>
  <c r="I11330" i="5"/>
  <c r="I11322" i="5"/>
  <c r="I11314" i="5"/>
  <c r="I11306" i="5"/>
  <c r="I11298" i="5"/>
  <c r="I11290" i="5"/>
  <c r="I11282" i="5"/>
  <c r="I11274" i="5"/>
  <c r="I11266" i="5"/>
  <c r="I11258" i="5"/>
  <c r="I11250" i="5"/>
  <c r="I11242" i="5"/>
  <c r="I29680" i="5"/>
  <c r="I28414" i="5"/>
  <c r="I27101" i="5"/>
  <c r="I26168" i="5"/>
  <c r="I25622" i="5"/>
  <c r="I25129" i="5"/>
  <c r="I24707" i="5"/>
  <c r="I24479" i="5"/>
  <c r="I24295" i="5"/>
  <c r="I24108" i="5"/>
  <c r="I23967" i="5"/>
  <c r="I23783" i="5"/>
  <c r="I23596" i="5"/>
  <c r="I23455" i="5"/>
  <c r="I23324" i="5"/>
  <c r="I23197" i="5"/>
  <c r="I23103" i="5"/>
  <c r="I22981" i="5"/>
  <c r="I22855" i="5"/>
  <c r="I22764" i="5"/>
  <c r="I22639" i="5"/>
  <c r="I22516" i="5"/>
  <c r="I22421" i="5"/>
  <c r="I22300" i="5"/>
  <c r="I22173" i="5"/>
  <c r="I22079" i="5"/>
  <c r="I21957" i="5"/>
  <c r="I21831" i="5"/>
  <c r="I21740" i="5"/>
  <c r="I21631" i="5"/>
  <c r="I21539" i="5"/>
  <c r="I21468" i="5"/>
  <c r="I21375" i="5"/>
  <c r="I21283" i="5"/>
  <c r="I21212" i="5"/>
  <c r="I21119" i="5"/>
  <c r="I21027" i="5"/>
  <c r="I20956" i="5"/>
  <c r="I20863" i="5"/>
  <c r="I20771" i="5"/>
  <c r="I20700" i="5"/>
  <c r="I20607" i="5"/>
  <c r="I20515" i="5"/>
  <c r="I20444" i="5"/>
  <c r="I20369" i="5"/>
  <c r="I20300" i="5"/>
  <c r="I20265" i="5"/>
  <c r="I20219" i="5"/>
  <c r="I20172" i="5"/>
  <c r="I20137" i="5"/>
  <c r="I20091" i="5"/>
  <c r="I20044" i="5"/>
  <c r="I20009" i="5"/>
  <c r="I19963" i="5"/>
  <c r="I19916" i="5"/>
  <c r="I19881" i="5"/>
  <c r="I19835" i="5"/>
  <c r="I19788" i="5"/>
  <c r="I19753" i="5"/>
  <c r="I19707" i="5"/>
  <c r="I19660" i="5"/>
  <c r="I19625" i="5"/>
  <c r="I19579" i="5"/>
  <c r="I19532" i="5"/>
  <c r="I19497" i="5"/>
  <c r="I19451" i="5"/>
  <c r="I19404" i="5"/>
  <c r="I19369" i="5"/>
  <c r="I19323" i="5"/>
  <c r="I19276" i="5"/>
  <c r="I19241" i="5"/>
  <c r="I19195" i="5"/>
  <c r="I19148" i="5"/>
  <c r="I19113" i="5"/>
  <c r="I19067" i="5"/>
  <c r="I19020" i="5"/>
  <c r="I18985" i="5"/>
  <c r="I18939" i="5"/>
  <c r="I18892" i="5"/>
  <c r="I18857" i="5"/>
  <c r="I18811" i="5"/>
  <c r="I18764" i="5"/>
  <c r="I18729" i="5"/>
  <c r="I18683" i="5"/>
  <c r="I18636" i="5"/>
  <c r="I18601" i="5"/>
  <c r="I18564" i="5"/>
  <c r="I18529" i="5"/>
  <c r="I18498" i="5"/>
  <c r="I18463" i="5"/>
  <c r="I18426" i="5"/>
  <c r="I18395" i="5"/>
  <c r="I18361" i="5"/>
  <c r="I18323" i="5"/>
  <c r="I18292" i="5"/>
  <c r="I18258" i="5"/>
  <c r="I18220" i="5"/>
  <c r="I18191" i="5"/>
  <c r="I18155" i="5"/>
  <c r="I18119" i="5"/>
  <c r="I18089" i="5"/>
  <c r="I18052" i="5"/>
  <c r="I18017" i="5"/>
  <c r="I17986" i="5"/>
  <c r="I17951" i="5"/>
  <c r="I17914" i="5"/>
  <c r="I17883" i="5"/>
  <c r="I17849" i="5"/>
  <c r="I17811" i="5"/>
  <c r="I17780" i="5"/>
  <c r="I17746" i="5"/>
  <c r="I17708" i="5"/>
  <c r="I17679" i="5"/>
  <c r="I17643" i="5"/>
  <c r="I17607" i="5"/>
  <c r="I17577" i="5"/>
  <c r="I17540" i="5"/>
  <c r="I17505" i="5"/>
  <c r="I17474" i="5"/>
  <c r="I17439" i="5"/>
  <c r="I17402" i="5"/>
  <c r="I17371" i="5"/>
  <c r="I17337" i="5"/>
  <c r="I17299" i="5"/>
  <c r="I17268" i="5"/>
  <c r="I17234" i="5"/>
  <c r="I17196" i="5"/>
  <c r="I17167" i="5"/>
  <c r="I17131" i="5"/>
  <c r="I17095" i="5"/>
  <c r="I17065" i="5"/>
  <c r="I17028" i="5"/>
  <c r="I16993" i="5"/>
  <c r="I16962" i="5"/>
  <c r="I16927" i="5"/>
  <c r="I16890" i="5"/>
  <c r="I16859" i="5"/>
  <c r="I16828" i="5"/>
  <c r="I16799" i="5"/>
  <c r="I16776" i="5"/>
  <c r="I16751" i="5"/>
  <c r="I16724" i="5"/>
  <c r="I16703" i="5"/>
  <c r="I16678" i="5"/>
  <c r="I16651" i="5"/>
  <c r="I16630" i="5"/>
  <c r="I16604" i="5"/>
  <c r="I16578" i="5"/>
  <c r="I16556" i="5"/>
  <c r="I16531" i="5"/>
  <c r="I16505" i="5"/>
  <c r="I16483" i="5"/>
  <c r="I16458" i="5"/>
  <c r="I16432" i="5"/>
  <c r="I16410" i="5"/>
  <c r="I16385" i="5"/>
  <c r="I16359" i="5"/>
  <c r="I16337" i="5"/>
  <c r="I16312" i="5"/>
  <c r="I16286" i="5"/>
  <c r="I16264" i="5"/>
  <c r="I16239" i="5"/>
  <c r="I16212" i="5"/>
  <c r="I16191" i="5"/>
  <c r="I16166" i="5"/>
  <c r="I16139" i="5"/>
  <c r="I16118" i="5"/>
  <c r="I16092" i="5"/>
  <c r="I16066" i="5"/>
  <c r="I16044" i="5"/>
  <c r="I16019" i="5"/>
  <c r="I15993" i="5"/>
  <c r="I15971" i="5"/>
  <c r="I15946" i="5"/>
  <c r="I15920" i="5"/>
  <c r="I15898" i="5"/>
  <c r="I15873" i="5"/>
  <c r="I15847" i="5"/>
  <c r="I15825" i="5"/>
  <c r="I15800" i="5"/>
  <c r="I15774" i="5"/>
  <c r="I15752" i="5"/>
  <c r="I15727" i="5"/>
  <c r="I15700" i="5"/>
  <c r="I15679" i="5"/>
  <c r="I15654" i="5"/>
  <c r="I15627" i="5"/>
  <c r="I15606" i="5"/>
  <c r="I15580" i="5"/>
  <c r="I15554" i="5"/>
  <c r="I15532" i="5"/>
  <c r="I15507" i="5"/>
  <c r="I15481" i="5"/>
  <c r="I15459" i="5"/>
  <c r="I15434" i="5"/>
  <c r="I15408" i="5"/>
  <c r="I15386" i="5"/>
  <c r="I15361" i="5"/>
  <c r="I15335" i="5"/>
  <c r="I15313" i="5"/>
  <c r="I15288" i="5"/>
  <c r="I15262" i="5"/>
  <c r="I15240" i="5"/>
  <c r="I15215" i="5"/>
  <c r="I15188" i="5"/>
  <c r="I15167" i="5"/>
  <c r="I15142" i="5"/>
  <c r="I15115" i="5"/>
  <c r="I15094" i="5"/>
  <c r="I15068" i="5"/>
  <c r="I15042" i="5"/>
  <c r="I15020" i="5"/>
  <c r="I14995" i="5"/>
  <c r="I14969" i="5"/>
  <c r="I14947" i="5"/>
  <c r="I14922" i="5"/>
  <c r="I14896" i="5"/>
  <c r="I14874" i="5"/>
  <c r="I14849" i="5"/>
  <c r="I14823" i="5"/>
  <c r="I14801" i="5"/>
  <c r="I14776" i="5"/>
  <c r="I14750" i="5"/>
  <c r="I14728" i="5"/>
  <c r="I14703" i="5"/>
  <c r="I14676" i="5"/>
  <c r="I14655" i="5"/>
  <c r="I14630" i="5"/>
  <c r="I14611" i="5"/>
  <c r="I14593" i="5"/>
  <c r="I14575" i="5"/>
  <c r="I14556" i="5"/>
  <c r="I14538" i="5"/>
  <c r="I14520" i="5"/>
  <c r="I14502" i="5"/>
  <c r="I14483" i="5"/>
  <c r="I14465" i="5"/>
  <c r="I14447" i="5"/>
  <c r="I14428" i="5"/>
  <c r="I14410" i="5"/>
  <c r="I14392" i="5"/>
  <c r="I14374" i="5"/>
  <c r="I14355" i="5"/>
  <c r="I14337" i="5"/>
  <c r="I14319" i="5"/>
  <c r="I14300" i="5"/>
  <c r="I14282" i="5"/>
  <c r="I14264" i="5"/>
  <c r="I14246" i="5"/>
  <c r="I14227" i="5"/>
  <c r="I14209" i="5"/>
  <c r="I14191" i="5"/>
  <c r="I14172" i="5"/>
  <c r="I14154" i="5"/>
  <c r="I14136" i="5"/>
  <c r="I14118" i="5"/>
  <c r="I14099" i="5"/>
  <c r="I14081" i="5"/>
  <c r="I14063" i="5"/>
  <c r="I14044" i="5"/>
  <c r="I14026" i="5"/>
  <c r="I14008" i="5"/>
  <c r="I13990" i="5"/>
  <c r="I13971" i="5"/>
  <c r="I13953" i="5"/>
  <c r="I13936" i="5"/>
  <c r="I13922" i="5"/>
  <c r="I13907" i="5"/>
  <c r="I13894" i="5"/>
  <c r="I13878" i="5"/>
  <c r="I13863" i="5"/>
  <c r="I13849" i="5"/>
  <c r="I13834" i="5"/>
  <c r="I13820" i="5"/>
  <c r="I13804" i="5"/>
  <c r="I13790" i="5"/>
  <c r="I13776" i="5"/>
  <c r="I13761" i="5"/>
  <c r="I13747" i="5"/>
  <c r="I13733" i="5"/>
  <c r="I13720" i="5"/>
  <c r="I13708" i="5"/>
  <c r="I13695" i="5"/>
  <c r="I13683" i="5"/>
  <c r="I13669" i="5"/>
  <c r="I13656" i="5"/>
  <c r="I13644" i="5"/>
  <c r="I13631" i="5"/>
  <c r="I13619" i="5"/>
  <c r="I13605" i="5"/>
  <c r="I13592" i="5"/>
  <c r="I13580" i="5"/>
  <c r="I13567" i="5"/>
  <c r="I13555" i="5"/>
  <c r="I13541" i="5"/>
  <c r="I13528" i="5"/>
  <c r="I13516" i="5"/>
  <c r="I13503" i="5"/>
  <c r="I13491" i="5"/>
  <c r="I13477" i="5"/>
  <c r="I13464" i="5"/>
  <c r="I13452" i="5"/>
  <c r="I13439" i="5"/>
  <c r="I13427" i="5"/>
  <c r="I13413" i="5"/>
  <c r="I13400" i="5"/>
  <c r="I13388" i="5"/>
  <c r="I13375" i="5"/>
  <c r="I13364" i="5"/>
  <c r="I13354" i="5"/>
  <c r="I13343" i="5"/>
  <c r="I13332" i="5"/>
  <c r="I13322" i="5"/>
  <c r="I13311" i="5"/>
  <c r="I13300" i="5"/>
  <c r="I13291" i="5"/>
  <c r="I13282" i="5"/>
  <c r="I13273" i="5"/>
  <c r="I13265" i="5"/>
  <c r="I13257" i="5"/>
  <c r="I13249" i="5"/>
  <c r="I13241" i="5"/>
  <c r="I13233" i="5"/>
  <c r="I13225" i="5"/>
  <c r="I13217" i="5"/>
  <c r="I13209" i="5"/>
  <c r="I13201" i="5"/>
  <c r="I13193" i="5"/>
  <c r="I13185" i="5"/>
  <c r="I13177" i="5"/>
  <c r="I13169" i="5"/>
  <c r="I13161" i="5"/>
  <c r="I13153" i="5"/>
  <c r="I13145" i="5"/>
  <c r="I13137" i="5"/>
  <c r="I13129" i="5"/>
  <c r="I13121" i="5"/>
  <c r="I13113" i="5"/>
  <c r="I13105" i="5"/>
  <c r="I13097" i="5"/>
  <c r="I13089" i="5"/>
  <c r="I13081" i="5"/>
  <c r="I13073" i="5"/>
  <c r="I13065" i="5"/>
  <c r="I13057" i="5"/>
  <c r="I13049" i="5"/>
  <c r="I13041" i="5"/>
  <c r="I13033" i="5"/>
  <c r="I13025" i="5"/>
  <c r="I13017" i="5"/>
  <c r="I13009" i="5"/>
  <c r="I13001" i="5"/>
  <c r="I12993" i="5"/>
  <c r="I12985" i="5"/>
  <c r="I12977" i="5"/>
  <c r="I12969" i="5"/>
  <c r="I12961" i="5"/>
  <c r="I12953" i="5"/>
  <c r="I12945" i="5"/>
  <c r="I12937" i="5"/>
  <c r="I12929" i="5"/>
  <c r="I12921" i="5"/>
  <c r="I12913" i="5"/>
  <c r="I12905" i="5"/>
  <c r="I12897" i="5"/>
  <c r="I12889" i="5"/>
  <c r="I12881" i="5"/>
  <c r="I12873" i="5"/>
  <c r="I12865" i="5"/>
  <c r="I12857" i="5"/>
  <c r="I12849" i="5"/>
  <c r="I12841" i="5"/>
  <c r="I12833" i="5"/>
  <c r="I12825" i="5"/>
  <c r="I12817" i="5"/>
  <c r="I12809" i="5"/>
  <c r="I12801" i="5"/>
  <c r="I12793" i="5"/>
  <c r="I12785" i="5"/>
  <c r="I12777" i="5"/>
  <c r="I12769" i="5"/>
  <c r="I12761" i="5"/>
  <c r="I12753" i="5"/>
  <c r="I12745" i="5"/>
  <c r="I12737" i="5"/>
  <c r="I12729" i="5"/>
  <c r="I12721" i="5"/>
  <c r="I12713" i="5"/>
  <c r="I12705" i="5"/>
  <c r="I12697" i="5"/>
  <c r="I12689" i="5"/>
  <c r="I12681" i="5"/>
  <c r="I12673" i="5"/>
  <c r="I12665" i="5"/>
  <c r="I12657" i="5"/>
  <c r="I12649" i="5"/>
  <c r="I12641" i="5"/>
  <c r="I12633" i="5"/>
  <c r="I12625" i="5"/>
  <c r="I12617" i="5"/>
  <c r="I12609" i="5"/>
  <c r="I12601" i="5"/>
  <c r="I12593" i="5"/>
  <c r="I12585" i="5"/>
  <c r="I12577" i="5"/>
  <c r="I12569" i="5"/>
  <c r="I12561" i="5"/>
  <c r="I12553" i="5"/>
  <c r="I12545" i="5"/>
  <c r="I12537" i="5"/>
  <c r="I12529" i="5"/>
  <c r="I12521" i="5"/>
  <c r="I12513" i="5"/>
  <c r="I12505" i="5"/>
  <c r="I12497" i="5"/>
  <c r="I12489" i="5"/>
  <c r="I12481" i="5"/>
  <c r="I12473" i="5"/>
  <c r="I12465" i="5"/>
  <c r="I12457" i="5"/>
  <c r="I12449" i="5"/>
  <c r="I12441" i="5"/>
  <c r="I12433" i="5"/>
  <c r="I12425" i="5"/>
  <c r="I12417" i="5"/>
  <c r="I12409" i="5"/>
  <c r="I12401" i="5"/>
  <c r="I12393" i="5"/>
  <c r="I12385" i="5"/>
  <c r="I12377" i="5"/>
  <c r="I12369" i="5"/>
  <c r="I12361" i="5"/>
  <c r="I12353" i="5"/>
  <c r="I12345" i="5"/>
  <c r="I12337" i="5"/>
  <c r="I12329" i="5"/>
  <c r="I12321" i="5"/>
  <c r="I12313" i="5"/>
  <c r="I12305" i="5"/>
  <c r="I12297" i="5"/>
  <c r="I12289" i="5"/>
  <c r="I12281" i="5"/>
  <c r="I12273" i="5"/>
  <c r="I12265" i="5"/>
  <c r="I12257" i="5"/>
  <c r="I12249" i="5"/>
  <c r="I12241" i="5"/>
  <c r="I12233" i="5"/>
  <c r="I12225" i="5"/>
  <c r="I12217" i="5"/>
  <c r="I12209" i="5"/>
  <c r="I12201" i="5"/>
  <c r="I12193" i="5"/>
  <c r="I12185" i="5"/>
  <c r="I12177" i="5"/>
  <c r="I12169" i="5"/>
  <c r="I12161" i="5"/>
  <c r="I12153" i="5"/>
  <c r="I12145" i="5"/>
  <c r="I12137" i="5"/>
  <c r="I12129" i="5"/>
  <c r="I12121" i="5"/>
  <c r="I12113" i="5"/>
  <c r="I12105" i="5"/>
  <c r="I12097" i="5"/>
  <c r="I12089" i="5"/>
  <c r="I12081" i="5"/>
  <c r="I12073" i="5"/>
  <c r="I12065" i="5"/>
  <c r="I12057" i="5"/>
  <c r="I12049" i="5"/>
  <c r="I12041" i="5"/>
  <c r="I12033" i="5"/>
  <c r="I12025" i="5"/>
  <c r="I12017" i="5"/>
  <c r="I12009" i="5"/>
  <c r="I12001" i="5"/>
  <c r="I11993" i="5"/>
  <c r="I11985" i="5"/>
  <c r="I11977" i="5"/>
  <c r="I11969" i="5"/>
  <c r="I11961" i="5"/>
  <c r="I11953" i="5"/>
  <c r="I11945" i="5"/>
  <c r="I11937" i="5"/>
  <c r="I11929" i="5"/>
  <c r="I11921" i="5"/>
  <c r="I11913" i="5"/>
  <c r="I11905" i="5"/>
  <c r="I11897" i="5"/>
  <c r="I11889" i="5"/>
  <c r="I11881" i="5"/>
  <c r="I11873" i="5"/>
  <c r="I11865" i="5"/>
  <c r="I11857" i="5"/>
  <c r="I11849" i="5"/>
  <c r="I11841" i="5"/>
  <c r="I11833" i="5"/>
  <c r="I11825" i="5"/>
  <c r="I11817" i="5"/>
  <c r="I11809" i="5"/>
  <c r="I11801" i="5"/>
  <c r="I11793" i="5"/>
  <c r="I11785" i="5"/>
  <c r="I11777" i="5"/>
  <c r="I11769" i="5"/>
  <c r="I11761" i="5"/>
  <c r="I11753" i="5"/>
  <c r="I11745" i="5"/>
  <c r="I11737" i="5"/>
  <c r="I11729" i="5"/>
  <c r="I11721" i="5"/>
  <c r="I11713" i="5"/>
  <c r="I11705" i="5"/>
  <c r="I11697" i="5"/>
  <c r="I11689" i="5"/>
  <c r="I11681" i="5"/>
  <c r="I11673" i="5"/>
  <c r="I11665" i="5"/>
  <c r="I11657" i="5"/>
  <c r="I11649" i="5"/>
  <c r="I11641" i="5"/>
  <c r="I11633" i="5"/>
  <c r="I11625" i="5"/>
  <c r="I11617" i="5"/>
  <c r="I11609" i="5"/>
  <c r="I11601" i="5"/>
  <c r="I11593" i="5"/>
  <c r="I11585" i="5"/>
  <c r="I11577" i="5"/>
  <c r="I11569" i="5"/>
  <c r="I11561" i="5"/>
  <c r="I11553" i="5"/>
  <c r="I11545" i="5"/>
  <c r="I11537" i="5"/>
  <c r="I11529" i="5"/>
  <c r="I11521" i="5"/>
  <c r="I11513" i="5"/>
  <c r="I11505" i="5"/>
  <c r="I11497" i="5"/>
  <c r="I11489" i="5"/>
  <c r="I11481" i="5"/>
  <c r="I11473" i="5"/>
  <c r="I11465" i="5"/>
  <c r="I11457" i="5"/>
  <c r="I11449" i="5"/>
  <c r="I11441" i="5"/>
  <c r="I11433" i="5"/>
  <c r="I11425" i="5"/>
  <c r="I11417" i="5"/>
  <c r="I11409" i="5"/>
  <c r="I11401" i="5"/>
  <c r="I11393" i="5"/>
  <c r="I11385" i="5"/>
  <c r="I11377" i="5"/>
  <c r="I11369" i="5"/>
  <c r="I11361" i="5"/>
  <c r="I11353" i="5"/>
  <c r="I11345" i="5"/>
  <c r="I11337" i="5"/>
  <c r="I11329" i="5"/>
  <c r="I11321" i="5"/>
  <c r="I11313" i="5"/>
  <c r="I11305" i="5"/>
  <c r="I11297" i="5"/>
  <c r="I11289" i="5"/>
  <c r="I11281" i="5"/>
  <c r="I11273" i="5"/>
  <c r="I11265" i="5"/>
  <c r="I11257" i="5"/>
  <c r="I11249" i="5"/>
  <c r="I11241" i="5"/>
  <c r="I11233" i="5"/>
  <c r="I11225" i="5"/>
  <c r="I11217" i="5"/>
  <c r="I11209" i="5"/>
  <c r="I11201" i="5"/>
  <c r="I11193" i="5"/>
  <c r="I11185" i="5"/>
  <c r="I11177" i="5"/>
  <c r="I11169" i="5"/>
  <c r="I11161" i="5"/>
  <c r="I11153" i="5"/>
  <c r="I11145" i="5"/>
  <c r="I11137" i="5"/>
  <c r="I11129" i="5"/>
  <c r="I11121" i="5"/>
  <c r="I11113" i="5"/>
  <c r="I11105" i="5"/>
  <c r="I11097" i="5"/>
  <c r="I11089" i="5"/>
  <c r="I11081" i="5"/>
  <c r="I11073" i="5"/>
  <c r="I11065" i="5"/>
  <c r="I11057" i="5"/>
  <c r="I11049" i="5"/>
  <c r="I11041" i="5"/>
  <c r="I11033" i="5"/>
  <c r="I11025" i="5"/>
  <c r="I11017" i="5"/>
  <c r="I11009" i="5"/>
  <c r="I11001" i="5"/>
  <c r="I10993" i="5"/>
  <c r="I10985" i="5"/>
  <c r="I10977" i="5"/>
  <c r="I10969" i="5"/>
  <c r="I10961" i="5"/>
  <c r="I10953" i="5"/>
  <c r="I10945" i="5"/>
  <c r="I10937" i="5"/>
  <c r="I10929" i="5"/>
  <c r="I10921" i="5"/>
  <c r="I10913" i="5"/>
  <c r="I10905" i="5"/>
  <c r="I10897" i="5"/>
  <c r="I10889" i="5"/>
  <c r="I10881" i="5"/>
  <c r="I10873" i="5"/>
  <c r="I10865" i="5"/>
  <c r="I10857" i="5"/>
  <c r="I10849" i="5"/>
  <c r="I10841" i="5"/>
  <c r="I10833" i="5"/>
  <c r="I10825" i="5"/>
  <c r="I10817" i="5"/>
  <c r="I10809" i="5"/>
  <c r="I10801" i="5"/>
  <c r="I10793" i="5"/>
  <c r="I10785" i="5"/>
  <c r="I10777" i="5"/>
  <c r="I10769" i="5"/>
  <c r="I10761" i="5"/>
  <c r="I10753" i="5"/>
  <c r="I10745" i="5"/>
  <c r="I10737" i="5"/>
  <c r="I10729" i="5"/>
  <c r="I10721" i="5"/>
  <c r="I10713" i="5"/>
  <c r="I10705" i="5"/>
  <c r="I10697" i="5"/>
  <c r="I10689" i="5"/>
  <c r="I10681" i="5"/>
  <c r="I10673" i="5"/>
  <c r="I10665" i="5"/>
  <c r="I10657" i="5"/>
  <c r="I10649" i="5"/>
  <c r="I10641" i="5"/>
  <c r="I10633" i="5"/>
  <c r="I10625" i="5"/>
  <c r="I10617" i="5"/>
  <c r="I10609" i="5"/>
  <c r="I10601" i="5"/>
  <c r="I10593" i="5"/>
  <c r="I10585" i="5"/>
  <c r="I10577" i="5"/>
  <c r="I10569" i="5"/>
  <c r="I10561" i="5"/>
  <c r="I10553" i="5"/>
  <c r="I10545" i="5"/>
  <c r="I10537" i="5"/>
  <c r="I10529" i="5"/>
  <c r="I10521" i="5"/>
  <c r="I10513" i="5"/>
  <c r="I10505" i="5"/>
  <c r="I10497" i="5"/>
  <c r="I10489" i="5"/>
  <c r="I10481" i="5"/>
  <c r="I10473" i="5"/>
  <c r="I10465" i="5"/>
  <c r="I10457" i="5"/>
  <c r="I10449" i="5"/>
  <c r="I10441" i="5"/>
  <c r="I10433" i="5"/>
  <c r="I10425" i="5"/>
  <c r="I10417" i="5"/>
  <c r="I10409" i="5"/>
  <c r="I10401" i="5"/>
  <c r="I10393" i="5"/>
  <c r="I10385" i="5"/>
  <c r="I10377" i="5"/>
  <c r="I10369" i="5"/>
  <c r="I10361" i="5"/>
  <c r="I10353" i="5"/>
  <c r="I10345" i="5"/>
  <c r="I10337" i="5"/>
  <c r="I10329" i="5"/>
  <c r="I10321" i="5"/>
  <c r="I10313" i="5"/>
  <c r="I10305" i="5"/>
  <c r="I10297" i="5"/>
  <c r="I10289" i="5"/>
  <c r="I29600" i="5"/>
  <c r="I28053" i="5"/>
  <c r="I27051" i="5"/>
  <c r="I26144" i="5"/>
  <c r="I25486" i="5"/>
  <c r="I25107" i="5"/>
  <c r="I24695" i="5"/>
  <c r="I24428" i="5"/>
  <c r="I24287" i="5"/>
  <c r="I24103" i="5"/>
  <c r="I23916" i="5"/>
  <c r="I23775" i="5"/>
  <c r="I23591" i="5"/>
  <c r="I23412" i="5"/>
  <c r="I23317" i="5"/>
  <c r="I23196" i="5"/>
  <c r="I23069" i="5"/>
  <c r="I22975" i="5"/>
  <c r="I22853" i="5"/>
  <c r="I22727" i="5"/>
  <c r="I22636" i="5"/>
  <c r="I22511" i="5"/>
  <c r="I22388" i="5"/>
  <c r="I22293" i="5"/>
  <c r="I22172" i="5"/>
  <c r="I22045" i="5"/>
  <c r="I21951" i="5"/>
  <c r="I21829" i="5"/>
  <c r="I21703" i="5"/>
  <c r="I21628" i="5"/>
  <c r="I21535" i="5"/>
  <c r="I21443" i="5"/>
  <c r="I21372" i="5"/>
  <c r="I21279" i="5"/>
  <c r="I21187" i="5"/>
  <c r="I21116" i="5"/>
  <c r="I21023" i="5"/>
  <c r="I20931" i="5"/>
  <c r="I20860" i="5"/>
  <c r="I20767" i="5"/>
  <c r="I20675" i="5"/>
  <c r="I20604" i="5"/>
  <c r="I20511" i="5"/>
  <c r="I20421" i="5"/>
  <c r="I20365" i="5"/>
  <c r="I20299" i="5"/>
  <c r="I20252" i="5"/>
  <c r="I20217" i="5"/>
  <c r="I20171" i="5"/>
  <c r="I20124" i="5"/>
  <c r="I20089" i="5"/>
  <c r="I20043" i="5"/>
  <c r="I19996" i="5"/>
  <c r="I19961" i="5"/>
  <c r="I19915" i="5"/>
  <c r="I19868" i="5"/>
  <c r="I19833" i="5"/>
  <c r="I19787" i="5"/>
  <c r="I19740" i="5"/>
  <c r="I19705" i="5"/>
  <c r="I19659" i="5"/>
  <c r="I19612" i="5"/>
  <c r="I19577" i="5"/>
  <c r="I19531" i="5"/>
  <c r="I19484" i="5"/>
  <c r="I19449" i="5"/>
  <c r="I19403" i="5"/>
  <c r="I19356" i="5"/>
  <c r="I19321" i="5"/>
  <c r="I19275" i="5"/>
  <c r="I19228" i="5"/>
  <c r="I19193" i="5"/>
  <c r="I19147" i="5"/>
  <c r="I19100" i="5"/>
  <c r="I19065" i="5"/>
  <c r="I19019" i="5"/>
  <c r="I18972" i="5"/>
  <c r="I18937" i="5"/>
  <c r="I18891" i="5"/>
  <c r="I18844" i="5"/>
  <c r="I18809" i="5"/>
  <c r="I18763" i="5"/>
  <c r="I18716" i="5"/>
  <c r="I18681" i="5"/>
  <c r="I18635" i="5"/>
  <c r="I18593" i="5"/>
  <c r="I18562" i="5"/>
  <c r="I18527" i="5"/>
  <c r="I18490" i="5"/>
  <c r="I18459" i="5"/>
  <c r="I18425" i="5"/>
  <c r="I18387" i="5"/>
  <c r="I18356" i="5"/>
  <c r="I18322" i="5"/>
  <c r="I18284" i="5"/>
  <c r="I18255" i="5"/>
  <c r="I18219" i="5"/>
  <c r="I18183" i="5"/>
  <c r="I18153" i="5"/>
  <c r="I18116" i="5"/>
  <c r="I18081" i="5"/>
  <c r="I18050" i="5"/>
  <c r="I18015" i="5"/>
  <c r="I17978" i="5"/>
  <c r="I17947" i="5"/>
  <c r="I17913" i="5"/>
  <c r="I17875" i="5"/>
  <c r="I17844" i="5"/>
  <c r="I17810" i="5"/>
  <c r="I17772" i="5"/>
  <c r="I17743" i="5"/>
  <c r="I17707" i="5"/>
  <c r="I17671" i="5"/>
  <c r="I17641" i="5"/>
  <c r="I17604" i="5"/>
  <c r="I17569" i="5"/>
  <c r="I17538" i="5"/>
  <c r="I17503" i="5"/>
  <c r="I17466" i="5"/>
  <c r="I17435" i="5"/>
  <c r="I17401" i="5"/>
  <c r="I17363" i="5"/>
  <c r="I17332" i="5"/>
  <c r="I17298" i="5"/>
  <c r="I17260" i="5"/>
  <c r="I17231" i="5"/>
  <c r="I17195" i="5"/>
  <c r="I17159" i="5"/>
  <c r="I17129" i="5"/>
  <c r="I17092" i="5"/>
  <c r="I17057" i="5"/>
  <c r="I17026" i="5"/>
  <c r="I16991" i="5"/>
  <c r="I16954" i="5"/>
  <c r="I16923" i="5"/>
  <c r="I16889" i="5"/>
  <c r="I16851" i="5"/>
  <c r="I16826" i="5"/>
  <c r="I16796" i="5"/>
  <c r="I16770" i="5"/>
  <c r="I16748" i="5"/>
  <c r="I16723" i="5"/>
  <c r="I16697" i="5"/>
  <c r="I16675" i="5"/>
  <c r="I16650" i="5"/>
  <c r="I16624" i="5"/>
  <c r="I16602" i="5"/>
  <c r="I16577" i="5"/>
  <c r="I16551" i="5"/>
  <c r="I16529" i="5"/>
  <c r="I16504" i="5"/>
  <c r="I16478" i="5"/>
  <c r="I16456" i="5"/>
  <c r="I16431" i="5"/>
  <c r="I16404" i="5"/>
  <c r="I16383" i="5"/>
  <c r="I16358" i="5"/>
  <c r="I16331" i="5"/>
  <c r="I16310" i="5"/>
  <c r="I16284" i="5"/>
  <c r="I16258" i="5"/>
  <c r="I16236" i="5"/>
  <c r="I16211" i="5"/>
  <c r="I16185" i="5"/>
  <c r="I16163" i="5"/>
  <c r="I16138" i="5"/>
  <c r="I16112" i="5"/>
  <c r="I16090" i="5"/>
  <c r="I16065" i="5"/>
  <c r="I16039" i="5"/>
  <c r="I16017" i="5"/>
  <c r="I15992" i="5"/>
  <c r="I15966" i="5"/>
  <c r="I15944" i="5"/>
  <c r="I15919" i="5"/>
  <c r="I15892" i="5"/>
  <c r="I15871" i="5"/>
  <c r="I15846" i="5"/>
  <c r="I15819" i="5"/>
  <c r="I15798" i="5"/>
  <c r="I15772" i="5"/>
  <c r="I15746" i="5"/>
  <c r="I15724" i="5"/>
  <c r="I15699" i="5"/>
  <c r="I15673" i="5"/>
  <c r="I15651" i="5"/>
  <c r="I15626" i="5"/>
  <c r="I15600" i="5"/>
  <c r="I15578" i="5"/>
  <c r="I15553" i="5"/>
  <c r="I15527" i="5"/>
  <c r="I15505" i="5"/>
  <c r="I15480" i="5"/>
  <c r="I15454" i="5"/>
  <c r="I15432" i="5"/>
  <c r="I15407" i="5"/>
  <c r="I15380" i="5"/>
  <c r="I15359" i="5"/>
  <c r="I15334" i="5"/>
  <c r="I15307" i="5"/>
  <c r="I15286" i="5"/>
  <c r="I15260" i="5"/>
  <c r="I15234" i="5"/>
  <c r="I15212" i="5"/>
  <c r="I15187" i="5"/>
  <c r="I15161" i="5"/>
  <c r="I15139" i="5"/>
  <c r="I15114" i="5"/>
  <c r="I15088" i="5"/>
  <c r="I15066" i="5"/>
  <c r="I15041" i="5"/>
  <c r="I15015" i="5"/>
  <c r="I14993" i="5"/>
  <c r="I14968" i="5"/>
  <c r="I14942" i="5"/>
  <c r="I14920" i="5"/>
  <c r="I14895" i="5"/>
  <c r="I14868" i="5"/>
  <c r="I14847" i="5"/>
  <c r="I14822" i="5"/>
  <c r="I14795" i="5"/>
  <c r="I14774" i="5"/>
  <c r="I14748" i="5"/>
  <c r="I14722" i="5"/>
  <c r="I14700" i="5"/>
  <c r="I14675" i="5"/>
  <c r="I14649" i="5"/>
  <c r="I14627" i="5"/>
  <c r="I14609" i="5"/>
  <c r="I14591" i="5"/>
  <c r="I14572" i="5"/>
  <c r="I14554" i="5"/>
  <c r="I14536" i="5"/>
  <c r="I14518" i="5"/>
  <c r="I14499" i="5"/>
  <c r="I14481" i="5"/>
  <c r="I14463" i="5"/>
  <c r="I14444" i="5"/>
  <c r="I14426" i="5"/>
  <c r="I14408" i="5"/>
  <c r="I14390" i="5"/>
  <c r="I14371" i="5"/>
  <c r="I14353" i="5"/>
  <c r="I14335" i="5"/>
  <c r="I14316" i="5"/>
  <c r="I14298" i="5"/>
  <c r="I14280" i="5"/>
  <c r="I14262" i="5"/>
  <c r="I14243" i="5"/>
  <c r="I14225" i="5"/>
  <c r="I14207" i="5"/>
  <c r="I14188" i="5"/>
  <c r="I14170" i="5"/>
  <c r="I14152" i="5"/>
  <c r="I14134" i="5"/>
  <c r="I14115" i="5"/>
  <c r="I14097" i="5"/>
  <c r="I14079" i="5"/>
  <c r="I14060" i="5"/>
  <c r="I14042" i="5"/>
  <c r="I14024" i="5"/>
  <c r="I14006" i="5"/>
  <c r="I13987" i="5"/>
  <c r="I13969" i="5"/>
  <c r="I13951" i="5"/>
  <c r="I13935" i="5"/>
  <c r="I13921" i="5"/>
  <c r="I13905" i="5"/>
  <c r="I13890" i="5"/>
  <c r="I13876" i="5"/>
  <c r="I13862" i="5"/>
  <c r="I13848" i="5"/>
  <c r="I13832" i="5"/>
  <c r="I13817" i="5"/>
  <c r="I13803" i="5"/>
  <c r="I13788" i="5"/>
  <c r="I13775" i="5"/>
  <c r="I13759" i="5"/>
  <c r="I13744" i="5"/>
  <c r="I13732" i="5"/>
  <c r="I13719" i="5"/>
  <c r="I13707" i="5"/>
  <c r="I13693" i="5"/>
  <c r="I13680" i="5"/>
  <c r="I13668" i="5"/>
  <c r="I13655" i="5"/>
  <c r="I13643" i="5"/>
  <c r="I13629" i="5"/>
  <c r="I13616" i="5"/>
  <c r="I13604" i="5"/>
  <c r="I13591" i="5"/>
  <c r="I13579" i="5"/>
  <c r="I13565" i="5"/>
  <c r="I13552" i="5"/>
  <c r="I13540" i="5"/>
  <c r="I13527" i="5"/>
  <c r="I13515" i="5"/>
  <c r="I13501" i="5"/>
  <c r="I13488" i="5"/>
  <c r="I13476" i="5"/>
  <c r="I13463" i="5"/>
  <c r="I13451" i="5"/>
  <c r="I13437" i="5"/>
  <c r="I13424" i="5"/>
  <c r="I13412" i="5"/>
  <c r="I13399" i="5"/>
  <c r="I13387" i="5"/>
  <c r="I13373" i="5"/>
  <c r="I13363" i="5"/>
  <c r="I13352" i="5"/>
  <c r="I13341" i="5"/>
  <c r="I13331" i="5"/>
  <c r="I13320" i="5"/>
  <c r="I13309" i="5"/>
  <c r="I13299" i="5"/>
  <c r="I13290" i="5"/>
  <c r="I13280" i="5"/>
  <c r="I13272" i="5"/>
  <c r="I13264" i="5"/>
  <c r="I13256" i="5"/>
  <c r="I13248" i="5"/>
  <c r="I13240" i="5"/>
  <c r="I13232" i="5"/>
  <c r="I13224" i="5"/>
  <c r="I13216" i="5"/>
  <c r="I13208" i="5"/>
  <c r="I13200" i="5"/>
  <c r="I13192" i="5"/>
  <c r="I13184" i="5"/>
  <c r="I13176" i="5"/>
  <c r="I13168" i="5"/>
  <c r="I13160" i="5"/>
  <c r="I13152" i="5"/>
  <c r="I13144" i="5"/>
  <c r="I13136" i="5"/>
  <c r="I13128" i="5"/>
  <c r="I13120" i="5"/>
  <c r="I13112" i="5"/>
  <c r="I13104" i="5"/>
  <c r="I13096" i="5"/>
  <c r="I13088" i="5"/>
  <c r="I13080" i="5"/>
  <c r="I13072" i="5"/>
  <c r="I13064" i="5"/>
  <c r="I13056" i="5"/>
  <c r="I13048" i="5"/>
  <c r="I13040" i="5"/>
  <c r="I13032" i="5"/>
  <c r="I13024" i="5"/>
  <c r="I13016" i="5"/>
  <c r="I13008" i="5"/>
  <c r="I13000" i="5"/>
  <c r="I12992" i="5"/>
  <c r="I12984" i="5"/>
  <c r="I12976" i="5"/>
  <c r="I12968" i="5"/>
  <c r="I12960" i="5"/>
  <c r="I12952" i="5"/>
  <c r="I12944" i="5"/>
  <c r="I12936" i="5"/>
  <c r="I12928" i="5"/>
  <c r="I12920" i="5"/>
  <c r="I12912" i="5"/>
  <c r="I12904" i="5"/>
  <c r="I12896" i="5"/>
  <c r="I12888" i="5"/>
  <c r="I12880" i="5"/>
  <c r="I12872" i="5"/>
  <c r="I12864" i="5"/>
  <c r="I12856" i="5"/>
  <c r="I12848" i="5"/>
  <c r="I12840" i="5"/>
  <c r="I12832" i="5"/>
  <c r="I12824" i="5"/>
  <c r="I12816" i="5"/>
  <c r="I12808" i="5"/>
  <c r="I12800" i="5"/>
  <c r="I12792" i="5"/>
  <c r="I12784" i="5"/>
  <c r="I12776" i="5"/>
  <c r="I12768" i="5"/>
  <c r="I12760" i="5"/>
  <c r="I12752" i="5"/>
  <c r="I12744" i="5"/>
  <c r="I12736" i="5"/>
  <c r="I12728" i="5"/>
  <c r="I12720" i="5"/>
  <c r="I12712" i="5"/>
  <c r="I12704" i="5"/>
  <c r="I12696" i="5"/>
  <c r="I12688" i="5"/>
  <c r="I12680" i="5"/>
  <c r="I12672" i="5"/>
  <c r="I12664" i="5"/>
  <c r="I12656" i="5"/>
  <c r="I12648" i="5"/>
  <c r="I12640" i="5"/>
  <c r="I12632" i="5"/>
  <c r="I12624" i="5"/>
  <c r="I12616" i="5"/>
  <c r="I12608" i="5"/>
  <c r="I12600" i="5"/>
  <c r="I12592" i="5"/>
  <c r="I12584" i="5"/>
  <c r="I12576" i="5"/>
  <c r="I12568" i="5"/>
  <c r="I12560" i="5"/>
  <c r="I12552" i="5"/>
  <c r="I12544" i="5"/>
  <c r="I12536" i="5"/>
  <c r="I12528" i="5"/>
  <c r="I12520" i="5"/>
  <c r="I12512" i="5"/>
  <c r="I12504" i="5"/>
  <c r="I12496" i="5"/>
  <c r="I12488" i="5"/>
  <c r="I12480" i="5"/>
  <c r="I12472" i="5"/>
  <c r="I12464" i="5"/>
  <c r="I12456" i="5"/>
  <c r="I12448" i="5"/>
  <c r="I12440" i="5"/>
  <c r="I12432" i="5"/>
  <c r="I12424" i="5"/>
  <c r="I12416" i="5"/>
  <c r="I12408" i="5"/>
  <c r="I12400" i="5"/>
  <c r="I12392" i="5"/>
  <c r="I12384" i="5"/>
  <c r="I12376" i="5"/>
  <c r="I12368" i="5"/>
  <c r="I12360" i="5"/>
  <c r="I12352" i="5"/>
  <c r="I12344" i="5"/>
  <c r="I12336" i="5"/>
  <c r="I12328" i="5"/>
  <c r="I12320" i="5"/>
  <c r="I12312" i="5"/>
  <c r="I12304" i="5"/>
  <c r="I12296" i="5"/>
  <c r="I12288" i="5"/>
  <c r="I12280" i="5"/>
  <c r="I12272" i="5"/>
  <c r="I12264" i="5"/>
  <c r="I12256" i="5"/>
  <c r="I12248" i="5"/>
  <c r="I12240" i="5"/>
  <c r="I12232" i="5"/>
  <c r="I12224" i="5"/>
  <c r="I12216" i="5"/>
  <c r="I12208" i="5"/>
  <c r="I12200" i="5"/>
  <c r="I12192" i="5"/>
  <c r="I12184" i="5"/>
  <c r="I12176" i="5"/>
  <c r="I12168" i="5"/>
  <c r="I12160" i="5"/>
  <c r="I12152" i="5"/>
  <c r="I12144" i="5"/>
  <c r="I12136" i="5"/>
  <c r="I12128" i="5"/>
  <c r="I12120" i="5"/>
  <c r="I12112" i="5"/>
  <c r="I12104" i="5"/>
  <c r="I12096" i="5"/>
  <c r="I12088" i="5"/>
  <c r="I12080" i="5"/>
  <c r="I12072" i="5"/>
  <c r="I12064" i="5"/>
  <c r="I12056" i="5"/>
  <c r="I12048" i="5"/>
  <c r="I12040" i="5"/>
  <c r="I12032" i="5"/>
  <c r="I12024" i="5"/>
  <c r="I12016" i="5"/>
  <c r="I12008" i="5"/>
  <c r="I12000" i="5"/>
  <c r="I11992" i="5"/>
  <c r="I11984" i="5"/>
  <c r="I11976" i="5"/>
  <c r="I11968" i="5"/>
  <c r="I11960" i="5"/>
  <c r="I11952" i="5"/>
  <c r="I11944" i="5"/>
  <c r="I11936" i="5"/>
  <c r="I11928" i="5"/>
  <c r="I11920" i="5"/>
  <c r="I11912" i="5"/>
  <c r="I11904" i="5"/>
  <c r="I11896" i="5"/>
  <c r="I11888" i="5"/>
  <c r="I11880" i="5"/>
  <c r="I11872" i="5"/>
  <c r="I11864" i="5"/>
  <c r="I11856" i="5"/>
  <c r="I11848" i="5"/>
  <c r="I11840" i="5"/>
  <c r="I11832" i="5"/>
  <c r="I11824" i="5"/>
  <c r="I11816" i="5"/>
  <c r="I11808" i="5"/>
  <c r="I11800" i="5"/>
  <c r="I11792" i="5"/>
  <c r="I11784" i="5"/>
  <c r="I11776" i="5"/>
  <c r="I11768" i="5"/>
  <c r="I11760" i="5"/>
  <c r="I11752" i="5"/>
  <c r="I11744" i="5"/>
  <c r="I11736" i="5"/>
  <c r="I11728" i="5"/>
  <c r="I11720" i="5"/>
  <c r="I11712" i="5"/>
  <c r="I11704" i="5"/>
  <c r="I11696" i="5"/>
  <c r="I11688" i="5"/>
  <c r="I11680" i="5"/>
  <c r="I11672" i="5"/>
  <c r="I11664" i="5"/>
  <c r="I11656" i="5"/>
  <c r="I11648" i="5"/>
  <c r="I11640" i="5"/>
  <c r="I11632" i="5"/>
  <c r="I11624" i="5"/>
  <c r="I11616" i="5"/>
  <c r="I11608" i="5"/>
  <c r="I11600" i="5"/>
  <c r="I11592" i="5"/>
  <c r="I11584" i="5"/>
  <c r="I11576" i="5"/>
  <c r="I11568" i="5"/>
  <c r="I11560" i="5"/>
  <c r="I11552" i="5"/>
  <c r="I11544" i="5"/>
  <c r="I11536" i="5"/>
  <c r="I11528" i="5"/>
  <c r="I11520" i="5"/>
  <c r="I11512" i="5"/>
  <c r="I11504" i="5"/>
  <c r="I11496" i="5"/>
  <c r="I11488" i="5"/>
  <c r="I11480" i="5"/>
  <c r="I11472" i="5"/>
  <c r="I11464" i="5"/>
  <c r="I11456" i="5"/>
  <c r="I11448" i="5"/>
  <c r="I11440" i="5"/>
  <c r="I11432" i="5"/>
  <c r="I11424" i="5"/>
  <c r="I11416" i="5"/>
  <c r="I11408" i="5"/>
  <c r="I11400" i="5"/>
  <c r="I11392" i="5"/>
  <c r="I11384" i="5"/>
  <c r="I11376" i="5"/>
  <c r="I11368" i="5"/>
  <c r="I11360" i="5"/>
  <c r="I11352" i="5"/>
  <c r="I11344" i="5"/>
  <c r="I11336" i="5"/>
  <c r="I11328" i="5"/>
  <c r="I11320" i="5"/>
  <c r="I11312" i="5"/>
  <c r="I11304" i="5"/>
  <c r="I11296" i="5"/>
  <c r="I11288" i="5"/>
  <c r="I11280" i="5"/>
  <c r="I11272" i="5"/>
  <c r="I11264" i="5"/>
  <c r="I11256" i="5"/>
  <c r="I11248" i="5"/>
  <c r="I11240" i="5"/>
  <c r="I11232" i="5"/>
  <c r="I11224" i="5"/>
  <c r="I11216" i="5"/>
  <c r="I11208" i="5"/>
  <c r="I11200" i="5"/>
  <c r="I11192" i="5"/>
  <c r="I11184" i="5"/>
  <c r="I11176" i="5"/>
  <c r="I11168" i="5"/>
  <c r="I11160" i="5"/>
  <c r="I11152" i="5"/>
  <c r="I11144" i="5"/>
  <c r="I11136" i="5"/>
  <c r="I11128" i="5"/>
  <c r="I11120" i="5"/>
  <c r="I11112" i="5"/>
  <c r="I11104" i="5"/>
  <c r="I11096" i="5"/>
  <c r="I11088" i="5"/>
  <c r="I11080" i="5"/>
  <c r="I11072" i="5"/>
  <c r="I11064" i="5"/>
  <c r="I11056" i="5"/>
  <c r="I11048" i="5"/>
  <c r="I11040" i="5"/>
  <c r="I11032" i="5"/>
  <c r="I11024" i="5"/>
  <c r="I11016" i="5"/>
  <c r="I11008" i="5"/>
  <c r="I11000" i="5"/>
  <c r="I10992" i="5"/>
  <c r="I10984" i="5"/>
  <c r="I10976" i="5"/>
  <c r="I10968" i="5"/>
  <c r="I10960" i="5"/>
  <c r="I10952" i="5"/>
  <c r="I10944" i="5"/>
  <c r="I10936" i="5"/>
  <c r="I10928" i="5"/>
  <c r="I10920" i="5"/>
  <c r="I10912" i="5"/>
  <c r="I10904" i="5"/>
  <c r="I10896" i="5"/>
  <c r="I10888" i="5"/>
  <c r="I10880" i="5"/>
  <c r="I10872" i="5"/>
  <c r="I10864" i="5"/>
  <c r="I10856" i="5"/>
  <c r="I10848" i="5"/>
  <c r="I10840" i="5"/>
  <c r="I10832" i="5"/>
  <c r="I10824" i="5"/>
  <c r="I10816" i="5"/>
  <c r="I10808" i="5"/>
  <c r="I10800" i="5"/>
  <c r="I10792" i="5"/>
  <c r="I10784" i="5"/>
  <c r="I10776" i="5"/>
  <c r="I10768" i="5"/>
  <c r="I10760" i="5"/>
  <c r="I10752" i="5"/>
  <c r="I10744" i="5"/>
  <c r="I10736" i="5"/>
  <c r="I10728" i="5"/>
  <c r="I10720" i="5"/>
  <c r="I10712" i="5"/>
  <c r="I10704" i="5"/>
  <c r="I10696" i="5"/>
  <c r="I10688" i="5"/>
  <c r="I10680" i="5"/>
  <c r="I10672" i="5"/>
  <c r="I10664" i="5"/>
  <c r="I10656" i="5"/>
  <c r="I10648" i="5"/>
  <c r="I10640" i="5"/>
  <c r="I10632" i="5"/>
  <c r="I10624" i="5"/>
  <c r="I10616" i="5"/>
  <c r="I10608" i="5"/>
  <c r="I10600" i="5"/>
  <c r="I10592" i="5"/>
  <c r="I10584" i="5"/>
  <c r="I10576" i="5"/>
  <c r="I34157" i="5"/>
  <c r="I28926" i="5"/>
  <c r="I27590" i="5"/>
  <c r="I26699" i="5"/>
  <c r="I25888" i="5"/>
  <c r="I25315" i="5"/>
  <c r="I24951" i="5"/>
  <c r="I24567" i="5"/>
  <c r="I24364" i="5"/>
  <c r="I24223" i="5"/>
  <c r="I24039" i="5"/>
  <c r="I23852" i="5"/>
  <c r="I23711" i="5"/>
  <c r="I23527" i="5"/>
  <c r="I23367" i="5"/>
  <c r="I23276" i="5"/>
  <c r="I23151" i="5"/>
  <c r="I23028" i="5"/>
  <c r="I22933" i="5"/>
  <c r="I22812" i="5"/>
  <c r="I22685" i="5"/>
  <c r="I22591" i="5"/>
  <c r="I22469" i="5"/>
  <c r="I22343" i="5"/>
  <c r="I22252" i="5"/>
  <c r="I22127" i="5"/>
  <c r="I22004" i="5"/>
  <c r="I21909" i="5"/>
  <c r="I21788" i="5"/>
  <c r="I21667" i="5"/>
  <c r="I21596" i="5"/>
  <c r="I21503" i="5"/>
  <c r="I21411" i="5"/>
  <c r="I21340" i="5"/>
  <c r="I21247" i="5"/>
  <c r="I21155" i="5"/>
  <c r="I21084" i="5"/>
  <c r="I20991" i="5"/>
  <c r="I20899" i="5"/>
  <c r="I20828" i="5"/>
  <c r="I20735" i="5"/>
  <c r="I20643" i="5"/>
  <c r="I20572" i="5"/>
  <c r="I20479" i="5"/>
  <c r="I20396" i="5"/>
  <c r="I20340" i="5"/>
  <c r="I20283" i="5"/>
  <c r="I20236" i="5"/>
  <c r="I20201" i="5"/>
  <c r="I20155" i="5"/>
  <c r="I20108" i="5"/>
  <c r="I20073" i="5"/>
  <c r="I20027" i="5"/>
  <c r="I19980" i="5"/>
  <c r="I19945" i="5"/>
  <c r="I19899" i="5"/>
  <c r="I19852" i="5"/>
  <c r="I19817" i="5"/>
  <c r="I19771" i="5"/>
  <c r="I19724" i="5"/>
  <c r="I19689" i="5"/>
  <c r="I19643" i="5"/>
  <c r="I19596" i="5"/>
  <c r="I19561" i="5"/>
  <c r="I19515" i="5"/>
  <c r="I19468" i="5"/>
  <c r="I19433" i="5"/>
  <c r="I19387" i="5"/>
  <c r="I19340" i="5"/>
  <c r="I19305" i="5"/>
  <c r="I19259" i="5"/>
  <c r="I19212" i="5"/>
  <c r="I19177" i="5"/>
  <c r="I19131" i="5"/>
  <c r="I19084" i="5"/>
  <c r="I19049" i="5"/>
  <c r="I19003" i="5"/>
  <c r="I18956" i="5"/>
  <c r="I18921" i="5"/>
  <c r="I18875" i="5"/>
  <c r="I18828" i="5"/>
  <c r="I18793" i="5"/>
  <c r="I18747" i="5"/>
  <c r="I18700" i="5"/>
  <c r="I18665" i="5"/>
  <c r="I18619" i="5"/>
  <c r="I18579" i="5"/>
  <c r="I18548" i="5"/>
  <c r="I18514" i="5"/>
  <c r="I18476" i="5"/>
  <c r="I18447" i="5"/>
  <c r="I18411" i="5"/>
  <c r="I18375" i="5"/>
  <c r="I18345" i="5"/>
  <c r="I18308" i="5"/>
  <c r="I18273" i="5"/>
  <c r="I18242" i="5"/>
  <c r="I18207" i="5"/>
  <c r="I18170" i="5"/>
  <c r="I18139" i="5"/>
  <c r="I18105" i="5"/>
  <c r="I18067" i="5"/>
  <c r="I18036" i="5"/>
  <c r="I18002" i="5"/>
  <c r="I17964" i="5"/>
  <c r="I17935" i="5"/>
  <c r="I17899" i="5"/>
  <c r="I17863" i="5"/>
  <c r="I17833" i="5"/>
  <c r="I17796" i="5"/>
  <c r="I17761" i="5"/>
  <c r="I17730" i="5"/>
  <c r="I17695" i="5"/>
  <c r="I17658" i="5"/>
  <c r="I17627" i="5"/>
  <c r="I17593" i="5"/>
  <c r="I17555" i="5"/>
  <c r="I17524" i="5"/>
  <c r="I17490" i="5"/>
  <c r="I17452" i="5"/>
  <c r="I17423" i="5"/>
  <c r="I17387" i="5"/>
  <c r="I17351" i="5"/>
  <c r="I17321" i="5"/>
  <c r="I17284" i="5"/>
  <c r="I17249" i="5"/>
  <c r="I17218" i="5"/>
  <c r="I17183" i="5"/>
  <c r="I17146" i="5"/>
  <c r="I17115" i="5"/>
  <c r="I17081" i="5"/>
  <c r="I17043" i="5"/>
  <c r="I17012" i="5"/>
  <c r="I16978" i="5"/>
  <c r="I16940" i="5"/>
  <c r="I16911" i="5"/>
  <c r="I16875" i="5"/>
  <c r="I16841" i="5"/>
  <c r="I16816" i="5"/>
  <c r="I16787" i="5"/>
  <c r="I16761" i="5"/>
  <c r="I16739" i="5"/>
  <c r="I16714" i="5"/>
  <c r="I16688" i="5"/>
  <c r="I16666" i="5"/>
  <c r="I16641" i="5"/>
  <c r="I16615" i="5"/>
  <c r="I16593" i="5"/>
  <c r="I16568" i="5"/>
  <c r="I16542" i="5"/>
  <c r="I16520" i="5"/>
  <c r="I16495" i="5"/>
  <c r="I16468" i="5"/>
  <c r="I16447" i="5"/>
  <c r="I16422" i="5"/>
  <c r="I16395" i="5"/>
  <c r="I16374" i="5"/>
  <c r="I16348" i="5"/>
  <c r="I16322" i="5"/>
  <c r="I16300" i="5"/>
  <c r="I16275" i="5"/>
  <c r="I16249" i="5"/>
  <c r="I16227" i="5"/>
  <c r="I16202" i="5"/>
  <c r="I16176" i="5"/>
  <c r="I16154" i="5"/>
  <c r="I16129" i="5"/>
  <c r="I16103" i="5"/>
  <c r="I16081" i="5"/>
  <c r="I16056" i="5"/>
  <c r="I16030" i="5"/>
  <c r="I16008" i="5"/>
  <c r="I15983" i="5"/>
  <c r="I15956" i="5"/>
  <c r="I15935" i="5"/>
  <c r="I15910" i="5"/>
  <c r="I15883" i="5"/>
  <c r="I15862" i="5"/>
  <c r="I15836" i="5"/>
  <c r="I15810" i="5"/>
  <c r="I15788" i="5"/>
  <c r="I15763" i="5"/>
  <c r="I15737" i="5"/>
  <c r="I15715" i="5"/>
  <c r="I15690" i="5"/>
  <c r="I15664" i="5"/>
  <c r="I15642" i="5"/>
  <c r="I15617" i="5"/>
  <c r="I15591" i="5"/>
  <c r="I15569" i="5"/>
  <c r="I15544" i="5"/>
  <c r="I15518" i="5"/>
  <c r="I15496" i="5"/>
  <c r="I15471" i="5"/>
  <c r="I15444" i="5"/>
  <c r="I15423" i="5"/>
  <c r="I15398" i="5"/>
  <c r="I15371" i="5"/>
  <c r="I15350" i="5"/>
  <c r="I15324" i="5"/>
  <c r="I15298" i="5"/>
  <c r="I15276" i="5"/>
  <c r="I15251" i="5"/>
  <c r="I15225" i="5"/>
  <c r="I15203" i="5"/>
  <c r="I15178" i="5"/>
  <c r="I15152" i="5"/>
  <c r="I15130" i="5"/>
  <c r="I15105" i="5"/>
  <c r="I15079" i="5"/>
  <c r="I15057" i="5"/>
  <c r="I15032" i="5"/>
  <c r="I15006" i="5"/>
  <c r="I14984" i="5"/>
  <c r="I14959" i="5"/>
  <c r="I14932" i="5"/>
  <c r="I14911" i="5"/>
  <c r="I14886" i="5"/>
  <c r="I14859" i="5"/>
  <c r="I14838" i="5"/>
  <c r="I14812" i="5"/>
  <c r="I14786" i="5"/>
  <c r="I14764" i="5"/>
  <c r="I14739" i="5"/>
  <c r="I14713" i="5"/>
  <c r="I14691" i="5"/>
  <c r="I14666" i="5"/>
  <c r="I14640" i="5"/>
  <c r="I14620" i="5"/>
  <c r="I14602" i="5"/>
  <c r="I14584" i="5"/>
  <c r="I14566" i="5"/>
  <c r="I14547" i="5"/>
  <c r="I14529" i="5"/>
  <c r="I14511" i="5"/>
  <c r="I14492" i="5"/>
  <c r="I14474" i="5"/>
  <c r="I14456" i="5"/>
  <c r="I14438" i="5"/>
  <c r="I14419" i="5"/>
  <c r="I14401" i="5"/>
  <c r="I14383" i="5"/>
  <c r="I14364" i="5"/>
  <c r="I14346" i="5"/>
  <c r="I14328" i="5"/>
  <c r="I14310" i="5"/>
  <c r="I14291" i="5"/>
  <c r="I14273" i="5"/>
  <c r="I14255" i="5"/>
  <c r="I14236" i="5"/>
  <c r="I14218" i="5"/>
  <c r="I14200" i="5"/>
  <c r="I14182" i="5"/>
  <c r="I14163" i="5"/>
  <c r="I14145" i="5"/>
  <c r="I14127" i="5"/>
  <c r="I14108" i="5"/>
  <c r="I14090" i="5"/>
  <c r="I14072" i="5"/>
  <c r="I14054" i="5"/>
  <c r="I14035" i="5"/>
  <c r="I14017" i="5"/>
  <c r="I13999" i="5"/>
  <c r="I13980" i="5"/>
  <c r="I13962" i="5"/>
  <c r="I13944" i="5"/>
  <c r="I13930" i="5"/>
  <c r="I13914" i="5"/>
  <c r="I13899" i="5"/>
  <c r="I13886" i="5"/>
  <c r="I13871" i="5"/>
  <c r="I13857" i="5"/>
  <c r="I13841" i="5"/>
  <c r="I13826" i="5"/>
  <c r="I13812" i="5"/>
  <c r="I13798" i="5"/>
  <c r="I13784" i="5"/>
  <c r="I13768" i="5"/>
  <c r="I13753" i="5"/>
  <c r="I13740" i="5"/>
  <c r="I13727" i="5"/>
  <c r="I13715" i="5"/>
  <c r="I13701" i="5"/>
  <c r="I13688" i="5"/>
  <c r="I13676" i="5"/>
  <c r="I13663" i="5"/>
  <c r="I13651" i="5"/>
  <c r="I13637" i="5"/>
  <c r="I13624" i="5"/>
  <c r="I13612" i="5"/>
  <c r="I13599" i="5"/>
  <c r="I13587" i="5"/>
  <c r="I13573" i="5"/>
  <c r="I13560" i="5"/>
  <c r="I13548" i="5"/>
  <c r="I13535" i="5"/>
  <c r="I13523" i="5"/>
  <c r="I13509" i="5"/>
  <c r="I13496" i="5"/>
  <c r="I13484" i="5"/>
  <c r="I13471" i="5"/>
  <c r="I13459" i="5"/>
  <c r="I13445" i="5"/>
  <c r="I13432" i="5"/>
  <c r="I13420" i="5"/>
  <c r="I13407" i="5"/>
  <c r="I13395" i="5"/>
  <c r="I13381" i="5"/>
  <c r="I13370" i="5"/>
  <c r="I13359" i="5"/>
  <c r="I13348" i="5"/>
  <c r="I13338" i="5"/>
  <c r="I13327" i="5"/>
  <c r="I13316" i="5"/>
  <c r="I13306" i="5"/>
  <c r="I13295" i="5"/>
  <c r="I13286" i="5"/>
  <c r="I13277" i="5"/>
  <c r="I13269" i="5"/>
  <c r="I13261" i="5"/>
  <c r="I13253" i="5"/>
  <c r="I13245" i="5"/>
  <c r="I13237" i="5"/>
  <c r="I13229" i="5"/>
  <c r="I13221" i="5"/>
  <c r="I13213" i="5"/>
  <c r="I13205" i="5"/>
  <c r="I13197" i="5"/>
  <c r="I13189" i="5"/>
  <c r="I13181" i="5"/>
  <c r="I13173" i="5"/>
  <c r="I13165" i="5"/>
  <c r="I13157" i="5"/>
  <c r="I13149" i="5"/>
  <c r="I13141" i="5"/>
  <c r="I13133" i="5"/>
  <c r="I13125" i="5"/>
  <c r="I13117" i="5"/>
  <c r="I13109" i="5"/>
  <c r="I13101" i="5"/>
  <c r="I13093" i="5"/>
  <c r="I13085" i="5"/>
  <c r="I13077" i="5"/>
  <c r="I13069" i="5"/>
  <c r="I13061" i="5"/>
  <c r="I13053" i="5"/>
  <c r="I13045" i="5"/>
  <c r="I13037" i="5"/>
  <c r="I13029" i="5"/>
  <c r="I13021" i="5"/>
  <c r="I13013" i="5"/>
  <c r="I13005" i="5"/>
  <c r="I12997" i="5"/>
  <c r="I12989" i="5"/>
  <c r="I12981" i="5"/>
  <c r="I12973" i="5"/>
  <c r="I12965" i="5"/>
  <c r="I12957" i="5"/>
  <c r="I12949" i="5"/>
  <c r="I12941" i="5"/>
  <c r="I12933" i="5"/>
  <c r="I12925" i="5"/>
  <c r="I12917" i="5"/>
  <c r="I12909" i="5"/>
  <c r="I12901" i="5"/>
  <c r="I12893" i="5"/>
  <c r="I12885" i="5"/>
  <c r="I12877" i="5"/>
  <c r="I12869" i="5"/>
  <c r="I12861" i="5"/>
  <c r="I12853" i="5"/>
  <c r="I12845" i="5"/>
  <c r="I12837" i="5"/>
  <c r="I12829" i="5"/>
  <c r="I12821" i="5"/>
  <c r="I12813" i="5"/>
  <c r="I12805" i="5"/>
  <c r="I12797" i="5"/>
  <c r="I12789" i="5"/>
  <c r="I12781" i="5"/>
  <c r="I12773" i="5"/>
  <c r="I12765" i="5"/>
  <c r="I12757" i="5"/>
  <c r="I12749" i="5"/>
  <c r="I12741" i="5"/>
  <c r="I12733" i="5"/>
  <c r="I12725" i="5"/>
  <c r="I12717" i="5"/>
  <c r="I12709" i="5"/>
  <c r="I12701" i="5"/>
  <c r="I12693" i="5"/>
  <c r="I12685" i="5"/>
  <c r="I12677" i="5"/>
  <c r="I12669" i="5"/>
  <c r="I12661" i="5"/>
  <c r="I12653" i="5"/>
  <c r="I12645" i="5"/>
  <c r="I12637" i="5"/>
  <c r="I12629" i="5"/>
  <c r="I12621" i="5"/>
  <c r="I12613" i="5"/>
  <c r="I12605" i="5"/>
  <c r="I12597" i="5"/>
  <c r="I12589" i="5"/>
  <c r="I12581" i="5"/>
  <c r="I12573" i="5"/>
  <c r="I12565" i="5"/>
  <c r="I12557" i="5"/>
  <c r="I12549" i="5"/>
  <c r="I12541" i="5"/>
  <c r="I12533" i="5"/>
  <c r="I12525" i="5"/>
  <c r="I12517" i="5"/>
  <c r="I12509" i="5"/>
  <c r="I12501" i="5"/>
  <c r="I12493" i="5"/>
  <c r="I12485" i="5"/>
  <c r="I12477" i="5"/>
  <c r="I12469" i="5"/>
  <c r="I12461" i="5"/>
  <c r="I12453" i="5"/>
  <c r="I12445" i="5"/>
  <c r="I12437" i="5"/>
  <c r="I12429" i="5"/>
  <c r="I12421" i="5"/>
  <c r="I12413" i="5"/>
  <c r="I12405" i="5"/>
  <c r="I12397" i="5"/>
  <c r="I12389" i="5"/>
  <c r="I12381" i="5"/>
  <c r="I12373" i="5"/>
  <c r="I12365" i="5"/>
  <c r="I12357" i="5"/>
  <c r="I12349" i="5"/>
  <c r="I12341" i="5"/>
  <c r="I12333" i="5"/>
  <c r="I12325" i="5"/>
  <c r="I12317" i="5"/>
  <c r="I12309" i="5"/>
  <c r="I12301" i="5"/>
  <c r="I12293" i="5"/>
  <c r="I12285" i="5"/>
  <c r="I12277" i="5"/>
  <c r="I12269" i="5"/>
  <c r="I12261" i="5"/>
  <c r="I12253" i="5"/>
  <c r="I12245" i="5"/>
  <c r="I12237" i="5"/>
  <c r="I12229" i="5"/>
  <c r="I12221" i="5"/>
  <c r="I12213" i="5"/>
  <c r="I12205" i="5"/>
  <c r="I12197" i="5"/>
  <c r="I12189" i="5"/>
  <c r="I12181" i="5"/>
  <c r="I12173" i="5"/>
  <c r="I12165" i="5"/>
  <c r="I12157" i="5"/>
  <c r="I12149" i="5"/>
  <c r="I12141" i="5"/>
  <c r="I12133" i="5"/>
  <c r="I12125" i="5"/>
  <c r="I12117" i="5"/>
  <c r="I12109" i="5"/>
  <c r="I12101" i="5"/>
  <c r="I12093" i="5"/>
  <c r="I12085" i="5"/>
  <c r="I12077" i="5"/>
  <c r="I12069" i="5"/>
  <c r="I12061" i="5"/>
  <c r="I12053" i="5"/>
  <c r="I12045" i="5"/>
  <c r="I12037" i="5"/>
  <c r="I12029" i="5"/>
  <c r="I12021" i="5"/>
  <c r="I12013" i="5"/>
  <c r="I12005" i="5"/>
  <c r="I11997" i="5"/>
  <c r="I11989" i="5"/>
  <c r="I11981" i="5"/>
  <c r="I11973" i="5"/>
  <c r="I11965" i="5"/>
  <c r="I11957" i="5"/>
  <c r="I11949" i="5"/>
  <c r="I11941" i="5"/>
  <c r="I11933" i="5"/>
  <c r="I11925" i="5"/>
  <c r="I11917" i="5"/>
  <c r="I11909" i="5"/>
  <c r="I11901" i="5"/>
  <c r="I11893" i="5"/>
  <c r="I11885" i="5"/>
  <c r="I11877" i="5"/>
  <c r="I11869" i="5"/>
  <c r="I11861" i="5"/>
  <c r="I11853" i="5"/>
  <c r="I11845" i="5"/>
  <c r="I11837" i="5"/>
  <c r="I11829" i="5"/>
  <c r="I11821" i="5"/>
  <c r="I11813" i="5"/>
  <c r="I11805" i="5"/>
  <c r="I11797" i="5"/>
  <c r="I11789" i="5"/>
  <c r="I11781" i="5"/>
  <c r="I11773" i="5"/>
  <c r="I11765" i="5"/>
  <c r="I11757" i="5"/>
  <c r="I11749" i="5"/>
  <c r="I11741" i="5"/>
  <c r="I11733" i="5"/>
  <c r="I11725" i="5"/>
  <c r="I11717" i="5"/>
  <c r="I11709" i="5"/>
  <c r="I11701" i="5"/>
  <c r="I11693" i="5"/>
  <c r="I11685" i="5"/>
  <c r="I11677" i="5"/>
  <c r="I11669" i="5"/>
  <c r="I11661" i="5"/>
  <c r="I11653" i="5"/>
  <c r="I11645" i="5"/>
  <c r="I11637" i="5"/>
  <c r="I11629" i="5"/>
  <c r="I11621" i="5"/>
  <c r="I11613" i="5"/>
  <c r="I11605" i="5"/>
  <c r="I11597" i="5"/>
  <c r="I11589" i="5"/>
  <c r="I11581" i="5"/>
  <c r="I11573" i="5"/>
  <c r="I11565" i="5"/>
  <c r="I11557" i="5"/>
  <c r="I11549" i="5"/>
  <c r="I11541" i="5"/>
  <c r="I11533" i="5"/>
  <c r="I11525" i="5"/>
  <c r="I11517" i="5"/>
  <c r="I11509" i="5"/>
  <c r="I11501" i="5"/>
  <c r="I11493" i="5"/>
  <c r="I11485" i="5"/>
  <c r="I11477" i="5"/>
  <c r="I11469" i="5"/>
  <c r="I11461" i="5"/>
  <c r="I11453" i="5"/>
  <c r="I11445" i="5"/>
  <c r="I11437" i="5"/>
  <c r="I11429" i="5"/>
  <c r="I11421" i="5"/>
  <c r="I11413" i="5"/>
  <c r="I11405" i="5"/>
  <c r="I11397" i="5"/>
  <c r="I11389" i="5"/>
  <c r="I11381" i="5"/>
  <c r="I11373" i="5"/>
  <c r="I11365" i="5"/>
  <c r="I11357" i="5"/>
  <c r="I11349" i="5"/>
  <c r="I11341" i="5"/>
  <c r="I11333" i="5"/>
  <c r="I11325" i="5"/>
  <c r="I11317" i="5"/>
  <c r="I11309" i="5"/>
  <c r="I11301" i="5"/>
  <c r="I11293" i="5"/>
  <c r="I11285" i="5"/>
  <c r="I11277" i="5"/>
  <c r="I11269" i="5"/>
  <c r="I11261" i="5"/>
  <c r="I11253" i="5"/>
  <c r="I11245" i="5"/>
  <c r="I11237" i="5"/>
  <c r="I11229" i="5"/>
  <c r="I11221" i="5"/>
  <c r="I11213" i="5"/>
  <c r="I11205" i="5"/>
  <c r="I11197" i="5"/>
  <c r="I11189" i="5"/>
  <c r="I11181" i="5"/>
  <c r="I11173" i="5"/>
  <c r="I11165" i="5"/>
  <c r="I11157" i="5"/>
  <c r="I11149" i="5"/>
  <c r="I11141" i="5"/>
  <c r="I11133" i="5"/>
  <c r="I11125" i="5"/>
  <c r="I11117" i="5"/>
  <c r="I11109" i="5"/>
  <c r="I11101" i="5"/>
  <c r="I11093" i="5"/>
  <c r="I11085" i="5"/>
  <c r="I11077" i="5"/>
  <c r="I11069" i="5"/>
  <c r="I11061" i="5"/>
  <c r="I11053" i="5"/>
  <c r="I11045" i="5"/>
  <c r="I11037" i="5"/>
  <c r="I11029" i="5"/>
  <c r="I11021" i="5"/>
  <c r="I11013" i="5"/>
  <c r="I11005" i="5"/>
  <c r="I10997" i="5"/>
  <c r="I10989" i="5"/>
  <c r="I10981" i="5"/>
  <c r="I10973" i="5"/>
  <c r="I10965" i="5"/>
  <c r="I10957" i="5"/>
  <c r="I10949" i="5"/>
  <c r="I10941" i="5"/>
  <c r="I10933" i="5"/>
  <c r="I10925" i="5"/>
  <c r="I10917" i="5"/>
  <c r="I10909" i="5"/>
  <c r="I10901" i="5"/>
  <c r="I10893" i="5"/>
  <c r="I10885" i="5"/>
  <c r="I10877" i="5"/>
  <c r="I10869" i="5"/>
  <c r="I10861" i="5"/>
  <c r="I10853" i="5"/>
  <c r="I28957" i="5"/>
  <c r="I26112" i="5"/>
  <c r="I24837" i="5"/>
  <c r="I24231" i="5"/>
  <c r="I23724" i="5"/>
  <c r="I23365" i="5"/>
  <c r="I23061" i="5"/>
  <c r="I22725" i="5"/>
  <c r="I22463" i="5"/>
  <c r="I22132" i="5"/>
  <c r="I21823" i="5"/>
  <c r="I21571" i="5"/>
  <c r="I21343" i="5"/>
  <c r="I21091" i="5"/>
  <c r="I20895" i="5"/>
  <c r="I20668" i="5"/>
  <c r="I20420" i="5"/>
  <c r="I20281" i="5"/>
  <c r="I20156" i="5"/>
  <c r="I20041" i="5"/>
  <c r="I19932" i="5"/>
  <c r="I19819" i="5"/>
  <c r="I19692" i="5"/>
  <c r="I19595" i="5"/>
  <c r="I19481" i="5"/>
  <c r="I19355" i="5"/>
  <c r="I19257" i="5"/>
  <c r="I19132" i="5"/>
  <c r="I19017" i="5"/>
  <c r="I18908" i="5"/>
  <c r="I18795" i="5"/>
  <c r="I18668" i="5"/>
  <c r="I18578" i="5"/>
  <c r="I18484" i="5"/>
  <c r="I18386" i="5"/>
  <c r="I18306" i="5"/>
  <c r="I18209" i="5"/>
  <c r="I18114" i="5"/>
  <c r="I18028" i="5"/>
  <c r="I17938" i="5"/>
  <c r="I17836" i="5"/>
  <c r="I17759" i="5"/>
  <c r="I17666" i="5"/>
  <c r="I17567" i="5"/>
  <c r="I17487" i="5"/>
  <c r="I17388" i="5"/>
  <c r="I17295" i="5"/>
  <c r="I17210" i="5"/>
  <c r="I17119" i="5"/>
  <c r="I17018" i="5"/>
  <c r="I16939" i="5"/>
  <c r="I16848" i="5"/>
  <c r="I16769" i="5"/>
  <c r="I16712" i="5"/>
  <c r="I16642" i="5"/>
  <c r="I16575" i="5"/>
  <c r="I16514" i="5"/>
  <c r="I16449" i="5"/>
  <c r="I16377" i="5"/>
  <c r="I16321" i="5"/>
  <c r="I16255" i="5"/>
  <c r="I16184" i="5"/>
  <c r="I16127" i="5"/>
  <c r="I16057" i="5"/>
  <c r="I15990" i="5"/>
  <c r="I15929" i="5"/>
  <c r="I15864" i="5"/>
  <c r="I15792" i="5"/>
  <c r="I15736" i="5"/>
  <c r="I15670" i="5"/>
  <c r="I15599" i="5"/>
  <c r="I15542" i="5"/>
  <c r="I15472" i="5"/>
  <c r="I15404" i="5"/>
  <c r="I15344" i="5"/>
  <c r="I15279" i="5"/>
  <c r="I15207" i="5"/>
  <c r="I15151" i="5"/>
  <c r="I15084" i="5"/>
  <c r="I15014" i="5"/>
  <c r="I14956" i="5"/>
  <c r="I14887" i="5"/>
  <c r="I14819" i="5"/>
  <c r="I14759" i="5"/>
  <c r="I14694" i="5"/>
  <c r="I14626" i="5"/>
  <c r="I14582" i="5"/>
  <c r="I14530" i="5"/>
  <c r="I14480" i="5"/>
  <c r="I14435" i="5"/>
  <c r="I14384" i="5"/>
  <c r="I14334" i="5"/>
  <c r="I14289" i="5"/>
  <c r="I14238" i="5"/>
  <c r="I14187" i="5"/>
  <c r="I14143" i="5"/>
  <c r="I14091" i="5"/>
  <c r="I14041" i="5"/>
  <c r="I13996" i="5"/>
  <c r="I13945" i="5"/>
  <c r="I13904" i="5"/>
  <c r="I13868" i="5"/>
  <c r="I13830" i="5"/>
  <c r="I13786" i="5"/>
  <c r="I13752" i="5"/>
  <c r="I13716" i="5"/>
  <c r="I13679" i="5"/>
  <c r="I13648" i="5"/>
  <c r="I13613" i="5"/>
  <c r="I13576" i="5"/>
  <c r="I13547" i="5"/>
  <c r="I13511" i="5"/>
  <c r="I13475" i="5"/>
  <c r="I13444" i="5"/>
  <c r="I13408" i="5"/>
  <c r="I13372" i="5"/>
  <c r="I13347" i="5"/>
  <c r="I13317" i="5"/>
  <c r="I13288" i="5"/>
  <c r="I13268" i="5"/>
  <c r="I13246" i="5"/>
  <c r="I13223" i="5"/>
  <c r="I13204" i="5"/>
  <c r="I13182" i="5"/>
  <c r="I13159" i="5"/>
  <c r="I13140" i="5"/>
  <c r="I13118" i="5"/>
  <c r="I13095" i="5"/>
  <c r="I13076" i="5"/>
  <c r="I13054" i="5"/>
  <c r="I13031" i="5"/>
  <c r="I13012" i="5"/>
  <c r="I12990" i="5"/>
  <c r="I12967" i="5"/>
  <c r="I12948" i="5"/>
  <c r="I12926" i="5"/>
  <c r="I12903" i="5"/>
  <c r="I12884" i="5"/>
  <c r="I12862" i="5"/>
  <c r="I12839" i="5"/>
  <c r="I12820" i="5"/>
  <c r="I12798" i="5"/>
  <c r="I12775" i="5"/>
  <c r="I12756" i="5"/>
  <c r="I12734" i="5"/>
  <c r="I12711" i="5"/>
  <c r="I12692" i="5"/>
  <c r="I12670" i="5"/>
  <c r="I12647" i="5"/>
  <c r="I12628" i="5"/>
  <c r="I12606" i="5"/>
  <c r="I12583" i="5"/>
  <c r="I12564" i="5"/>
  <c r="I12542" i="5"/>
  <c r="I12519" i="5"/>
  <c r="I12500" i="5"/>
  <c r="I12478" i="5"/>
  <c r="I12455" i="5"/>
  <c r="I12436" i="5"/>
  <c r="I12414" i="5"/>
  <c r="I12391" i="5"/>
  <c r="I12372" i="5"/>
  <c r="I12350" i="5"/>
  <c r="I12327" i="5"/>
  <c r="I12308" i="5"/>
  <c r="I12286" i="5"/>
  <c r="I12263" i="5"/>
  <c r="I12244" i="5"/>
  <c r="I12222" i="5"/>
  <c r="I12199" i="5"/>
  <c r="I12180" i="5"/>
  <c r="I12158" i="5"/>
  <c r="I12135" i="5"/>
  <c r="I12116" i="5"/>
  <c r="I12094" i="5"/>
  <c r="I12071" i="5"/>
  <c r="I12052" i="5"/>
  <c r="I12030" i="5"/>
  <c r="I12007" i="5"/>
  <c r="I11988" i="5"/>
  <c r="I11966" i="5"/>
  <c r="I11943" i="5"/>
  <c r="I11924" i="5"/>
  <c r="I11902" i="5"/>
  <c r="I11879" i="5"/>
  <c r="I11860" i="5"/>
  <c r="I11838" i="5"/>
  <c r="I11815" i="5"/>
  <c r="I11796" i="5"/>
  <c r="I11774" i="5"/>
  <c r="I11751" i="5"/>
  <c r="I11732" i="5"/>
  <c r="I11710" i="5"/>
  <c r="I11687" i="5"/>
  <c r="I11668" i="5"/>
  <c r="I11646" i="5"/>
  <c r="I11623" i="5"/>
  <c r="I11604" i="5"/>
  <c r="I11582" i="5"/>
  <c r="I11559" i="5"/>
  <c r="I11540" i="5"/>
  <c r="I11518" i="5"/>
  <c r="I11495" i="5"/>
  <c r="I11476" i="5"/>
  <c r="I11454" i="5"/>
  <c r="I11431" i="5"/>
  <c r="I11412" i="5"/>
  <c r="I11390" i="5"/>
  <c r="I11367" i="5"/>
  <c r="I11348" i="5"/>
  <c r="I11326" i="5"/>
  <c r="I11303" i="5"/>
  <c r="I11284" i="5"/>
  <c r="I11262" i="5"/>
  <c r="I11239" i="5"/>
  <c r="I11223" i="5"/>
  <c r="I11207" i="5"/>
  <c r="I11191" i="5"/>
  <c r="I11175" i="5"/>
  <c r="I11159" i="5"/>
  <c r="I11143" i="5"/>
  <c r="I11127" i="5"/>
  <c r="I11111" i="5"/>
  <c r="I11095" i="5"/>
  <c r="I11079" i="5"/>
  <c r="I11063" i="5"/>
  <c r="I11047" i="5"/>
  <c r="I11031" i="5"/>
  <c r="I11015" i="5"/>
  <c r="I10999" i="5"/>
  <c r="I10983" i="5"/>
  <c r="I10967" i="5"/>
  <c r="I10951" i="5"/>
  <c r="I10935" i="5"/>
  <c r="I10919" i="5"/>
  <c r="I10903" i="5"/>
  <c r="I10887" i="5"/>
  <c r="I10871" i="5"/>
  <c r="I10855" i="5"/>
  <c r="I10842" i="5"/>
  <c r="I10829" i="5"/>
  <c r="I10815" i="5"/>
  <c r="I10804" i="5"/>
  <c r="I10790" i="5"/>
  <c r="I10778" i="5"/>
  <c r="I10765" i="5"/>
  <c r="I10751" i="5"/>
  <c r="I10740" i="5"/>
  <c r="I10726" i="5"/>
  <c r="I10714" i="5"/>
  <c r="I10701" i="5"/>
  <c r="I10687" i="5"/>
  <c r="I10676" i="5"/>
  <c r="I10662" i="5"/>
  <c r="I10650" i="5"/>
  <c r="I10637" i="5"/>
  <c r="I10623" i="5"/>
  <c r="I10612" i="5"/>
  <c r="I10598" i="5"/>
  <c r="I10586" i="5"/>
  <c r="I10573" i="5"/>
  <c r="I10562" i="5"/>
  <c r="I10551" i="5"/>
  <c r="I10541" i="5"/>
  <c r="I10530" i="5"/>
  <c r="I10519" i="5"/>
  <c r="I10509" i="5"/>
  <c r="I10498" i="5"/>
  <c r="I10487" i="5"/>
  <c r="I10477" i="5"/>
  <c r="I10466" i="5"/>
  <c r="I10455" i="5"/>
  <c r="I10445" i="5"/>
  <c r="I10434" i="5"/>
  <c r="I10423" i="5"/>
  <c r="I10413" i="5"/>
  <c r="I10402" i="5"/>
  <c r="I10391" i="5"/>
  <c r="I10381" i="5"/>
  <c r="I10370" i="5"/>
  <c r="I10359" i="5"/>
  <c r="I10350" i="5"/>
  <c r="I10341" i="5"/>
  <c r="I10332" i="5"/>
  <c r="I10323" i="5"/>
  <c r="I10314" i="5"/>
  <c r="I10304" i="5"/>
  <c r="I10295" i="5"/>
  <c r="I10286" i="5"/>
  <c r="I10278" i="5"/>
  <c r="I10270" i="5"/>
  <c r="I10262" i="5"/>
  <c r="I10254" i="5"/>
  <c r="I10246" i="5"/>
  <c r="I10238" i="5"/>
  <c r="I10230" i="5"/>
  <c r="I10222" i="5"/>
  <c r="I10214" i="5"/>
  <c r="I10206" i="5"/>
  <c r="I10198" i="5"/>
  <c r="I10190" i="5"/>
  <c r="I10182" i="5"/>
  <c r="I10174" i="5"/>
  <c r="I10166" i="5"/>
  <c r="I10158" i="5"/>
  <c r="I10150" i="5"/>
  <c r="I10142" i="5"/>
  <c r="I10134" i="5"/>
  <c r="I10126" i="5"/>
  <c r="I10118" i="5"/>
  <c r="I10110" i="5"/>
  <c r="I10102" i="5"/>
  <c r="I10094" i="5"/>
  <c r="I10086" i="5"/>
  <c r="I10078" i="5"/>
  <c r="I10070" i="5"/>
  <c r="I10062" i="5"/>
  <c r="I10054" i="5"/>
  <c r="I10046" i="5"/>
  <c r="I10038" i="5"/>
  <c r="I10030" i="5"/>
  <c r="I10022" i="5"/>
  <c r="I10014" i="5"/>
  <c r="I10006" i="5"/>
  <c r="I9998" i="5"/>
  <c r="I9990" i="5"/>
  <c r="I9982" i="5"/>
  <c r="I9974" i="5"/>
  <c r="I9966" i="5"/>
  <c r="I9958" i="5"/>
  <c r="I9950" i="5"/>
  <c r="I9942" i="5"/>
  <c r="I9934" i="5"/>
  <c r="I9926" i="5"/>
  <c r="I9918" i="5"/>
  <c r="I9910" i="5"/>
  <c r="I9902" i="5"/>
  <c r="I9894" i="5"/>
  <c r="I9886" i="5"/>
  <c r="I9878" i="5"/>
  <c r="I9870" i="5"/>
  <c r="I9862" i="5"/>
  <c r="I9854" i="5"/>
  <c r="I9846" i="5"/>
  <c r="I9838" i="5"/>
  <c r="I9830" i="5"/>
  <c r="I9822" i="5"/>
  <c r="I9814" i="5"/>
  <c r="I9806" i="5"/>
  <c r="I9798" i="5"/>
  <c r="I9790" i="5"/>
  <c r="I9782" i="5"/>
  <c r="I9774" i="5"/>
  <c r="I9766" i="5"/>
  <c r="I9758" i="5"/>
  <c r="I9750" i="5"/>
  <c r="I9742" i="5"/>
  <c r="I9734" i="5"/>
  <c r="I9726" i="5"/>
  <c r="I9718" i="5"/>
  <c r="I9710" i="5"/>
  <c r="I9702" i="5"/>
  <c r="I9694" i="5"/>
  <c r="I9686" i="5"/>
  <c r="I9678" i="5"/>
  <c r="I9670" i="5"/>
  <c r="I9662" i="5"/>
  <c r="I9654" i="5"/>
  <c r="I9646" i="5"/>
  <c r="I9638" i="5"/>
  <c r="I9630" i="5"/>
  <c r="I9622" i="5"/>
  <c r="I9614" i="5"/>
  <c r="I9606" i="5"/>
  <c r="I9598" i="5"/>
  <c r="I9590" i="5"/>
  <c r="I9582" i="5"/>
  <c r="I9574" i="5"/>
  <c r="I9566" i="5"/>
  <c r="I9558" i="5"/>
  <c r="I9550" i="5"/>
  <c r="I9542" i="5"/>
  <c r="I9534" i="5"/>
  <c r="I9526" i="5"/>
  <c r="I9518" i="5"/>
  <c r="I9510" i="5"/>
  <c r="I9502" i="5"/>
  <c r="I9494" i="5"/>
  <c r="I9486" i="5"/>
  <c r="I9478" i="5"/>
  <c r="I9470" i="5"/>
  <c r="I9462" i="5"/>
  <c r="I9454" i="5"/>
  <c r="I9446" i="5"/>
  <c r="I9438" i="5"/>
  <c r="I9430" i="5"/>
  <c r="I9422" i="5"/>
  <c r="I9414" i="5"/>
  <c r="I9406" i="5"/>
  <c r="I9398" i="5"/>
  <c r="I9390" i="5"/>
  <c r="I9382" i="5"/>
  <c r="I9374" i="5"/>
  <c r="I9366" i="5"/>
  <c r="I9358" i="5"/>
  <c r="I9350" i="5"/>
  <c r="I9342" i="5"/>
  <c r="I9334" i="5"/>
  <c r="I9326" i="5"/>
  <c r="I9318" i="5"/>
  <c r="I9310" i="5"/>
  <c r="I9302" i="5"/>
  <c r="I9294" i="5"/>
  <c r="I9286" i="5"/>
  <c r="I9278" i="5"/>
  <c r="I9270" i="5"/>
  <c r="I9262" i="5"/>
  <c r="I9254" i="5"/>
  <c r="I9246" i="5"/>
  <c r="I9238" i="5"/>
  <c r="I9230" i="5"/>
  <c r="I9222" i="5"/>
  <c r="I9214" i="5"/>
  <c r="I9206" i="5"/>
  <c r="I9198" i="5"/>
  <c r="I9190" i="5"/>
  <c r="I9182" i="5"/>
  <c r="I9174" i="5"/>
  <c r="I9166" i="5"/>
  <c r="I9158" i="5"/>
  <c r="I9150" i="5"/>
  <c r="I9142" i="5"/>
  <c r="I9134" i="5"/>
  <c r="I9126" i="5"/>
  <c r="I9118" i="5"/>
  <c r="I9110" i="5"/>
  <c r="I9102" i="5"/>
  <c r="I9094" i="5"/>
  <c r="I9086" i="5"/>
  <c r="I9078" i="5"/>
  <c r="I9070" i="5"/>
  <c r="I9062" i="5"/>
  <c r="I9054" i="5"/>
  <c r="I9046" i="5"/>
  <c r="I9038" i="5"/>
  <c r="I9030" i="5"/>
  <c r="I9022" i="5"/>
  <c r="I9014" i="5"/>
  <c r="I9006" i="5"/>
  <c r="I8998" i="5"/>
  <c r="I8990" i="5"/>
  <c r="I8982" i="5"/>
  <c r="I8974" i="5"/>
  <c r="I8966" i="5"/>
  <c r="I8958" i="5"/>
  <c r="I8950" i="5"/>
  <c r="I8942" i="5"/>
  <c r="I8934" i="5"/>
  <c r="I8926" i="5"/>
  <c r="I8918" i="5"/>
  <c r="I8910" i="5"/>
  <c r="I8902" i="5"/>
  <c r="I8894" i="5"/>
  <c r="I8886" i="5"/>
  <c r="I8878" i="5"/>
  <c r="I8870" i="5"/>
  <c r="I8862" i="5"/>
  <c r="I8854" i="5"/>
  <c r="I8846" i="5"/>
  <c r="I8838" i="5"/>
  <c r="I8830" i="5"/>
  <c r="I8822" i="5"/>
  <c r="I8814" i="5"/>
  <c r="I8806" i="5"/>
  <c r="I8798" i="5"/>
  <c r="I8790" i="5"/>
  <c r="I8782" i="5"/>
  <c r="I8774" i="5"/>
  <c r="I8766" i="5"/>
  <c r="I8758" i="5"/>
  <c r="I8750" i="5"/>
  <c r="I8742" i="5"/>
  <c r="I8734" i="5"/>
  <c r="I8726" i="5"/>
  <c r="I8718" i="5"/>
  <c r="I8710" i="5"/>
  <c r="I8702" i="5"/>
  <c r="I8694" i="5"/>
  <c r="I8686" i="5"/>
  <c r="I8678" i="5"/>
  <c r="I8670" i="5"/>
  <c r="I8662" i="5"/>
  <c r="I8654" i="5"/>
  <c r="I8646" i="5"/>
  <c r="I8638" i="5"/>
  <c r="I8630" i="5"/>
  <c r="I8622" i="5"/>
  <c r="I8614" i="5"/>
  <c r="I8606" i="5"/>
  <c r="I8598" i="5"/>
  <c r="I8590" i="5"/>
  <c r="I8582" i="5"/>
  <c r="I8574" i="5"/>
  <c r="I8566" i="5"/>
  <c r="I8558" i="5"/>
  <c r="I8550" i="5"/>
  <c r="I8542" i="5"/>
  <c r="I8534" i="5"/>
  <c r="I8526" i="5"/>
  <c r="I8518" i="5"/>
  <c r="I8510" i="5"/>
  <c r="I8502" i="5"/>
  <c r="I8494" i="5"/>
  <c r="I8486" i="5"/>
  <c r="I8478" i="5"/>
  <c r="I8470" i="5"/>
  <c r="I8462" i="5"/>
  <c r="I8454" i="5"/>
  <c r="I8446" i="5"/>
  <c r="I8438" i="5"/>
  <c r="I8430" i="5"/>
  <c r="I8422" i="5"/>
  <c r="I8414" i="5"/>
  <c r="I8406" i="5"/>
  <c r="I8398" i="5"/>
  <c r="I8390" i="5"/>
  <c r="I8382" i="5"/>
  <c r="I8374" i="5"/>
  <c r="I8366" i="5"/>
  <c r="I8358" i="5"/>
  <c r="I8350" i="5"/>
  <c r="I8342" i="5"/>
  <c r="I8334" i="5"/>
  <c r="I8326" i="5"/>
  <c r="I8318" i="5"/>
  <c r="I8310" i="5"/>
  <c r="I8302" i="5"/>
  <c r="I8294" i="5"/>
  <c r="I8286" i="5"/>
  <c r="I8278" i="5"/>
  <c r="I8270" i="5"/>
  <c r="I8262" i="5"/>
  <c r="I8254" i="5"/>
  <c r="I8246" i="5"/>
  <c r="I8238" i="5"/>
  <c r="I8230" i="5"/>
  <c r="I8222" i="5"/>
  <c r="I8214" i="5"/>
  <c r="I8206" i="5"/>
  <c r="I8198" i="5"/>
  <c r="I8190" i="5"/>
  <c r="I8182" i="5"/>
  <c r="I8174" i="5"/>
  <c r="I8166" i="5"/>
  <c r="I8158" i="5"/>
  <c r="I8150" i="5"/>
  <c r="I8142" i="5"/>
  <c r="I8134" i="5"/>
  <c r="I8126" i="5"/>
  <c r="I8118" i="5"/>
  <c r="I8110" i="5"/>
  <c r="I8102" i="5"/>
  <c r="I8094" i="5"/>
  <c r="I8086" i="5"/>
  <c r="I8078" i="5"/>
  <c r="I8070" i="5"/>
  <c r="I8062" i="5"/>
  <c r="I8054" i="5"/>
  <c r="I8046" i="5"/>
  <c r="I8038" i="5"/>
  <c r="I8030" i="5"/>
  <c r="I8022" i="5"/>
  <c r="I8014" i="5"/>
  <c r="I8006" i="5"/>
  <c r="I7998" i="5"/>
  <c r="I7990" i="5"/>
  <c r="I7982" i="5"/>
  <c r="I7974" i="5"/>
  <c r="I7966" i="5"/>
  <c r="I7958" i="5"/>
  <c r="I7950" i="5"/>
  <c r="I7942" i="5"/>
  <c r="I7934" i="5"/>
  <c r="I7926" i="5"/>
  <c r="I7918" i="5"/>
  <c r="I7910" i="5"/>
  <c r="I7902" i="5"/>
  <c r="I7894" i="5"/>
  <c r="I7886" i="5"/>
  <c r="I7878" i="5"/>
  <c r="I7870" i="5"/>
  <c r="I7862" i="5"/>
  <c r="I7854" i="5"/>
  <c r="I7846" i="5"/>
  <c r="I7838" i="5"/>
  <c r="I7830" i="5"/>
  <c r="I7822" i="5"/>
  <c r="I7814" i="5"/>
  <c r="I7806" i="5"/>
  <c r="I7798" i="5"/>
  <c r="I7790" i="5"/>
  <c r="I7782" i="5"/>
  <c r="I7774" i="5"/>
  <c r="I7766" i="5"/>
  <c r="I7758" i="5"/>
  <c r="I7750" i="5"/>
  <c r="I7742" i="5"/>
  <c r="I7734" i="5"/>
  <c r="I7726" i="5"/>
  <c r="I7718" i="5"/>
  <c r="I7710" i="5"/>
  <c r="I7702" i="5"/>
  <c r="I7694" i="5"/>
  <c r="I7686" i="5"/>
  <c r="I7678" i="5"/>
  <c r="I7670" i="5"/>
  <c r="I7662" i="5"/>
  <c r="I7654" i="5"/>
  <c r="I7646" i="5"/>
  <c r="I7638" i="5"/>
  <c r="I7630" i="5"/>
  <c r="I7622" i="5"/>
  <c r="I7614" i="5"/>
  <c r="I7606" i="5"/>
  <c r="I7598" i="5"/>
  <c r="I7590" i="5"/>
  <c r="I7582" i="5"/>
  <c r="I7574" i="5"/>
  <c r="I7566" i="5"/>
  <c r="I7558" i="5"/>
  <c r="I7550" i="5"/>
  <c r="I7542" i="5"/>
  <c r="I7534" i="5"/>
  <c r="I7526" i="5"/>
  <c r="I7518" i="5"/>
  <c r="I7510" i="5"/>
  <c r="I7502" i="5"/>
  <c r="I7494" i="5"/>
  <c r="I7486" i="5"/>
  <c r="I7478" i="5"/>
  <c r="I7470" i="5"/>
  <c r="I7462" i="5"/>
  <c r="I7454" i="5"/>
  <c r="I7446" i="5"/>
  <c r="I7438" i="5"/>
  <c r="I7430" i="5"/>
  <c r="I7422" i="5"/>
  <c r="I7414" i="5"/>
  <c r="I7406" i="5"/>
  <c r="I7398" i="5"/>
  <c r="I7390" i="5"/>
  <c r="I7382" i="5"/>
  <c r="I7374" i="5"/>
  <c r="I7366" i="5"/>
  <c r="I7358" i="5"/>
  <c r="I7350" i="5"/>
  <c r="I7342" i="5"/>
  <c r="I7334" i="5"/>
  <c r="I7326" i="5"/>
  <c r="I7318" i="5"/>
  <c r="I7310" i="5"/>
  <c r="I7302" i="5"/>
  <c r="I7294" i="5"/>
  <c r="I7286" i="5"/>
  <c r="I7278" i="5"/>
  <c r="I7270" i="5"/>
  <c r="I7262" i="5"/>
  <c r="I7254" i="5"/>
  <c r="I7246" i="5"/>
  <c r="I7238" i="5"/>
  <c r="I7230" i="5"/>
  <c r="I7222" i="5"/>
  <c r="I7214" i="5"/>
  <c r="I7206" i="5"/>
  <c r="I7198" i="5"/>
  <c r="I7190" i="5"/>
  <c r="I7182" i="5"/>
  <c r="I7174" i="5"/>
  <c r="I7166" i="5"/>
  <c r="I7158" i="5"/>
  <c r="I7150" i="5"/>
  <c r="I7142" i="5"/>
  <c r="I7134" i="5"/>
  <c r="I7126" i="5"/>
  <c r="I7118" i="5"/>
  <c r="I7110" i="5"/>
  <c r="I7102" i="5"/>
  <c r="I7094" i="5"/>
  <c r="I7086" i="5"/>
  <c r="I7078" i="5"/>
  <c r="I7070" i="5"/>
  <c r="I7062" i="5"/>
  <c r="I7054" i="5"/>
  <c r="I7046" i="5"/>
  <c r="I7038" i="5"/>
  <c r="I7030" i="5"/>
  <c r="I7022" i="5"/>
  <c r="I7014" i="5"/>
  <c r="I7006" i="5"/>
  <c r="I6998" i="5"/>
  <c r="I6990" i="5"/>
  <c r="I6982" i="5"/>
  <c r="I6974" i="5"/>
  <c r="I6966" i="5"/>
  <c r="I6958" i="5"/>
  <c r="I6950" i="5"/>
  <c r="I6942" i="5"/>
  <c r="I6934" i="5"/>
  <c r="I6926" i="5"/>
  <c r="I6918" i="5"/>
  <c r="I6910" i="5"/>
  <c r="I6902" i="5"/>
  <c r="I28867" i="5"/>
  <c r="I25912" i="5"/>
  <c r="I24679" i="5"/>
  <c r="I24172" i="5"/>
  <c r="I23719" i="5"/>
  <c r="I23284" i="5"/>
  <c r="I23023" i="5"/>
  <c r="I22719" i="5"/>
  <c r="I22383" i="5"/>
  <c r="I22124" i="5"/>
  <c r="I21789" i="5"/>
  <c r="I21532" i="5"/>
  <c r="I21315" i="5"/>
  <c r="I21087" i="5"/>
  <c r="I20835" i="5"/>
  <c r="I20639" i="5"/>
  <c r="I20417" i="5"/>
  <c r="I20251" i="5"/>
  <c r="I20153" i="5"/>
  <c r="I20028" i="5"/>
  <c r="I19913" i="5"/>
  <c r="I19804" i="5"/>
  <c r="I19691" i="5"/>
  <c r="I19564" i="5"/>
  <c r="I19467" i="5"/>
  <c r="I19353" i="5"/>
  <c r="I19227" i="5"/>
  <c r="I19129" i="5"/>
  <c r="I19004" i="5"/>
  <c r="I18889" i="5"/>
  <c r="I18780" i="5"/>
  <c r="I18667" i="5"/>
  <c r="I18554" i="5"/>
  <c r="I18475" i="5"/>
  <c r="I18383" i="5"/>
  <c r="I18283" i="5"/>
  <c r="I18203" i="5"/>
  <c r="I18106" i="5"/>
  <c r="I18011" i="5"/>
  <c r="I17927" i="5"/>
  <c r="I17835" i="5"/>
  <c r="I17735" i="5"/>
  <c r="I17657" i="5"/>
  <c r="I17563" i="5"/>
  <c r="I17465" i="5"/>
  <c r="I17385" i="5"/>
  <c r="I17287" i="5"/>
  <c r="I17193" i="5"/>
  <c r="I17107" i="5"/>
  <c r="I17017" i="5"/>
  <c r="I16915" i="5"/>
  <c r="I16840" i="5"/>
  <c r="I16767" i="5"/>
  <c r="I16696" i="5"/>
  <c r="I16639" i="5"/>
  <c r="I16569" i="5"/>
  <c r="I16502" i="5"/>
  <c r="I16441" i="5"/>
  <c r="I16376" i="5"/>
  <c r="I16304" i="5"/>
  <c r="I16248" i="5"/>
  <c r="I16182" i="5"/>
  <c r="I16111" i="5"/>
  <c r="I16054" i="5"/>
  <c r="I15984" i="5"/>
  <c r="I15916" i="5"/>
  <c r="I15856" i="5"/>
  <c r="I15791" i="5"/>
  <c r="I15719" i="5"/>
  <c r="I15663" i="5"/>
  <c r="I15596" i="5"/>
  <c r="I15526" i="5"/>
  <c r="I15468" i="5"/>
  <c r="I15399" i="5"/>
  <c r="I15331" i="5"/>
  <c r="I15271" i="5"/>
  <c r="I15206" i="5"/>
  <c r="I15134" i="5"/>
  <c r="I15078" i="5"/>
  <c r="I15011" i="5"/>
  <c r="I14940" i="5"/>
  <c r="I14883" i="5"/>
  <c r="I14814" i="5"/>
  <c r="I14746" i="5"/>
  <c r="I14686" i="5"/>
  <c r="I14622" i="5"/>
  <c r="I14571" i="5"/>
  <c r="I14527" i="5"/>
  <c r="I14475" i="5"/>
  <c r="I14425" i="5"/>
  <c r="I14380" i="5"/>
  <c r="I14329" i="5"/>
  <c r="I14279" i="5"/>
  <c r="I14234" i="5"/>
  <c r="I14183" i="5"/>
  <c r="I14132" i="5"/>
  <c r="I14088" i="5"/>
  <c r="I14036" i="5"/>
  <c r="I13986" i="5"/>
  <c r="I13942" i="5"/>
  <c r="I13903" i="5"/>
  <c r="I13859" i="5"/>
  <c r="I13825" i="5"/>
  <c r="I13785" i="5"/>
  <c r="I13743" i="5"/>
  <c r="I13712" i="5"/>
  <c r="I13677" i="5"/>
  <c r="I13640" i="5"/>
  <c r="I13611" i="5"/>
  <c r="I13575" i="5"/>
  <c r="I13539" i="5"/>
  <c r="I13508" i="5"/>
  <c r="I13472" i="5"/>
  <c r="I13436" i="5"/>
  <c r="I13405" i="5"/>
  <c r="I13371" i="5"/>
  <c r="I13340" i="5"/>
  <c r="I13315" i="5"/>
  <c r="I13287" i="5"/>
  <c r="I13263" i="5"/>
  <c r="I13244" i="5"/>
  <c r="I13222" i="5"/>
  <c r="I13199" i="5"/>
  <c r="I13180" i="5"/>
  <c r="I13158" i="5"/>
  <c r="I13135" i="5"/>
  <c r="I13116" i="5"/>
  <c r="I13094" i="5"/>
  <c r="I13071" i="5"/>
  <c r="I13052" i="5"/>
  <c r="I13030" i="5"/>
  <c r="I13007" i="5"/>
  <c r="I12988" i="5"/>
  <c r="I12966" i="5"/>
  <c r="I12943" i="5"/>
  <c r="I12924" i="5"/>
  <c r="I12902" i="5"/>
  <c r="I12879" i="5"/>
  <c r="I12860" i="5"/>
  <c r="I12838" i="5"/>
  <c r="I12815" i="5"/>
  <c r="I12796" i="5"/>
  <c r="I12774" i="5"/>
  <c r="I12751" i="5"/>
  <c r="I12732" i="5"/>
  <c r="I12710" i="5"/>
  <c r="I12687" i="5"/>
  <c r="I12668" i="5"/>
  <c r="I12646" i="5"/>
  <c r="I12623" i="5"/>
  <c r="I12604" i="5"/>
  <c r="I12582" i="5"/>
  <c r="I12559" i="5"/>
  <c r="I12540" i="5"/>
  <c r="I12518" i="5"/>
  <c r="I12495" i="5"/>
  <c r="I12476" i="5"/>
  <c r="I12454" i="5"/>
  <c r="I12431" i="5"/>
  <c r="I12412" i="5"/>
  <c r="I12390" i="5"/>
  <c r="I12367" i="5"/>
  <c r="I12348" i="5"/>
  <c r="I12326" i="5"/>
  <c r="I12303" i="5"/>
  <c r="I12284" i="5"/>
  <c r="I12262" i="5"/>
  <c r="I12239" i="5"/>
  <c r="I12220" i="5"/>
  <c r="I12198" i="5"/>
  <c r="I12175" i="5"/>
  <c r="I12156" i="5"/>
  <c r="I12134" i="5"/>
  <c r="I12111" i="5"/>
  <c r="I12092" i="5"/>
  <c r="I12070" i="5"/>
  <c r="I12047" i="5"/>
  <c r="I12028" i="5"/>
  <c r="I12006" i="5"/>
  <c r="I11983" i="5"/>
  <c r="I11964" i="5"/>
  <c r="I11942" i="5"/>
  <c r="I11919" i="5"/>
  <c r="I11900" i="5"/>
  <c r="I11878" i="5"/>
  <c r="I11855" i="5"/>
  <c r="I11836" i="5"/>
  <c r="I11814" i="5"/>
  <c r="I11791" i="5"/>
  <c r="I11772" i="5"/>
  <c r="I11750" i="5"/>
  <c r="I11727" i="5"/>
  <c r="I11708" i="5"/>
  <c r="I11686" i="5"/>
  <c r="I11663" i="5"/>
  <c r="I11644" i="5"/>
  <c r="I11622" i="5"/>
  <c r="I11599" i="5"/>
  <c r="I11580" i="5"/>
  <c r="I11558" i="5"/>
  <c r="I11535" i="5"/>
  <c r="I11516" i="5"/>
  <c r="I11494" i="5"/>
  <c r="I11471" i="5"/>
  <c r="I11452" i="5"/>
  <c r="I11430" i="5"/>
  <c r="I11407" i="5"/>
  <c r="I11388" i="5"/>
  <c r="I11366" i="5"/>
  <c r="I11343" i="5"/>
  <c r="I11324" i="5"/>
  <c r="I11302" i="5"/>
  <c r="I11279" i="5"/>
  <c r="I11260" i="5"/>
  <c r="I11238" i="5"/>
  <c r="I11222" i="5"/>
  <c r="I11206" i="5"/>
  <c r="I11190" i="5"/>
  <c r="I11174" i="5"/>
  <c r="I11158" i="5"/>
  <c r="I11142" i="5"/>
  <c r="I11126" i="5"/>
  <c r="I11110" i="5"/>
  <c r="I11094" i="5"/>
  <c r="I11078" i="5"/>
  <c r="I11062" i="5"/>
  <c r="I11046" i="5"/>
  <c r="I11030" i="5"/>
  <c r="I11014" i="5"/>
  <c r="I10998" i="5"/>
  <c r="I10982" i="5"/>
  <c r="I10966" i="5"/>
  <c r="I10950" i="5"/>
  <c r="I10934" i="5"/>
  <c r="I10918" i="5"/>
  <c r="I10902" i="5"/>
  <c r="I10886" i="5"/>
  <c r="I10870" i="5"/>
  <c r="I10854" i="5"/>
  <c r="I10839" i="5"/>
  <c r="I10828" i="5"/>
  <c r="I10814" i="5"/>
  <c r="I10802" i="5"/>
  <c r="I10789" i="5"/>
  <c r="I10775" i="5"/>
  <c r="I10764" i="5"/>
  <c r="I10750" i="5"/>
  <c r="I10738" i="5"/>
  <c r="I10725" i="5"/>
  <c r="I10711" i="5"/>
  <c r="I10700" i="5"/>
  <c r="I10686" i="5"/>
  <c r="I10674" i="5"/>
  <c r="I10661" i="5"/>
  <c r="I10647" i="5"/>
  <c r="I10636" i="5"/>
  <c r="I10622" i="5"/>
  <c r="I10610" i="5"/>
  <c r="I10597" i="5"/>
  <c r="I10583" i="5"/>
  <c r="I10572" i="5"/>
  <c r="I10560" i="5"/>
  <c r="I10550" i="5"/>
  <c r="I10540" i="5"/>
  <c r="I10528" i="5"/>
  <c r="I10518" i="5"/>
  <c r="I10508" i="5"/>
  <c r="I10496" i="5"/>
  <c r="I10486" i="5"/>
  <c r="I10476" i="5"/>
  <c r="I10464" i="5"/>
  <c r="I10454" i="5"/>
  <c r="I10444" i="5"/>
  <c r="I10432" i="5"/>
  <c r="I10422" i="5"/>
  <c r="I10412" i="5"/>
  <c r="I10400" i="5"/>
  <c r="I10390" i="5"/>
  <c r="I10380" i="5"/>
  <c r="I10368" i="5"/>
  <c r="I10358" i="5"/>
  <c r="I10349" i="5"/>
  <c r="I10340" i="5"/>
  <c r="I10331" i="5"/>
  <c r="I10322" i="5"/>
  <c r="I10312" i="5"/>
  <c r="I10303" i="5"/>
  <c r="I10294" i="5"/>
  <c r="I10285" i="5"/>
  <c r="I10277" i="5"/>
  <c r="I10269" i="5"/>
  <c r="I10261" i="5"/>
  <c r="I10253" i="5"/>
  <c r="I10245" i="5"/>
  <c r="I10237" i="5"/>
  <c r="I10229" i="5"/>
  <c r="I10221" i="5"/>
  <c r="I10213" i="5"/>
  <c r="I10205" i="5"/>
  <c r="I10197" i="5"/>
  <c r="I10189" i="5"/>
  <c r="I10181" i="5"/>
  <c r="I10173" i="5"/>
  <c r="I10165" i="5"/>
  <c r="I10157" i="5"/>
  <c r="I10149" i="5"/>
  <c r="I10141" i="5"/>
  <c r="I10133" i="5"/>
  <c r="I10125" i="5"/>
  <c r="I10117" i="5"/>
  <c r="I10109" i="5"/>
  <c r="I10101" i="5"/>
  <c r="I10093" i="5"/>
  <c r="I10085" i="5"/>
  <c r="I10077" i="5"/>
  <c r="I10069" i="5"/>
  <c r="I10061" i="5"/>
  <c r="I10053" i="5"/>
  <c r="I10045" i="5"/>
  <c r="I10037" i="5"/>
  <c r="I10029" i="5"/>
  <c r="I10021" i="5"/>
  <c r="I10013" i="5"/>
  <c r="I10005" i="5"/>
  <c r="I9997" i="5"/>
  <c r="I9989" i="5"/>
  <c r="I9981" i="5"/>
  <c r="I9973" i="5"/>
  <c r="I9965" i="5"/>
  <c r="I9957" i="5"/>
  <c r="I9949" i="5"/>
  <c r="I9941" i="5"/>
  <c r="I9933" i="5"/>
  <c r="I9925" i="5"/>
  <c r="I9917" i="5"/>
  <c r="I9909" i="5"/>
  <c r="I9901" i="5"/>
  <c r="I9893" i="5"/>
  <c r="I9885" i="5"/>
  <c r="I9877" i="5"/>
  <c r="I9869" i="5"/>
  <c r="I9861" i="5"/>
  <c r="I9853" i="5"/>
  <c r="I9845" i="5"/>
  <c r="I9837" i="5"/>
  <c r="I9829" i="5"/>
  <c r="I9821" i="5"/>
  <c r="I9813" i="5"/>
  <c r="I9805" i="5"/>
  <c r="I9797" i="5"/>
  <c r="I9789" i="5"/>
  <c r="I9781" i="5"/>
  <c r="I9773" i="5"/>
  <c r="I9765" i="5"/>
  <c r="I9757" i="5"/>
  <c r="I9749" i="5"/>
  <c r="I9741" i="5"/>
  <c r="I9733" i="5"/>
  <c r="I9725" i="5"/>
  <c r="I9717" i="5"/>
  <c r="I9709" i="5"/>
  <c r="I9701" i="5"/>
  <c r="I9693" i="5"/>
  <c r="I9685" i="5"/>
  <c r="I9677" i="5"/>
  <c r="I9669" i="5"/>
  <c r="I9661" i="5"/>
  <c r="I9653" i="5"/>
  <c r="I9645" i="5"/>
  <c r="I9637" i="5"/>
  <c r="I9629" i="5"/>
  <c r="I9621" i="5"/>
  <c r="I9613" i="5"/>
  <c r="I9605" i="5"/>
  <c r="I9597" i="5"/>
  <c r="I9589" i="5"/>
  <c r="I9581" i="5"/>
  <c r="I9573" i="5"/>
  <c r="I9565" i="5"/>
  <c r="I9557" i="5"/>
  <c r="I9549" i="5"/>
  <c r="I9541" i="5"/>
  <c r="I9533" i="5"/>
  <c r="I9525" i="5"/>
  <c r="I9517" i="5"/>
  <c r="I9509" i="5"/>
  <c r="I9501" i="5"/>
  <c r="I9493" i="5"/>
  <c r="I9485" i="5"/>
  <c r="I9477" i="5"/>
  <c r="I9469" i="5"/>
  <c r="I9461" i="5"/>
  <c r="I9453" i="5"/>
  <c r="I9445" i="5"/>
  <c r="I9437" i="5"/>
  <c r="I9429" i="5"/>
  <c r="I9421" i="5"/>
  <c r="I9413" i="5"/>
  <c r="I9405" i="5"/>
  <c r="I9397" i="5"/>
  <c r="I9389" i="5"/>
  <c r="I9381" i="5"/>
  <c r="I9373" i="5"/>
  <c r="I9365" i="5"/>
  <c r="I9357" i="5"/>
  <c r="I9349" i="5"/>
  <c r="I9341" i="5"/>
  <c r="I9333" i="5"/>
  <c r="I9325" i="5"/>
  <c r="I9317" i="5"/>
  <c r="I9309" i="5"/>
  <c r="I9301" i="5"/>
  <c r="I9293" i="5"/>
  <c r="I9285" i="5"/>
  <c r="I9277" i="5"/>
  <c r="I9269" i="5"/>
  <c r="I9261" i="5"/>
  <c r="I9253" i="5"/>
  <c r="I9245" i="5"/>
  <c r="I9237" i="5"/>
  <c r="I9229" i="5"/>
  <c r="I9221" i="5"/>
  <c r="I9213" i="5"/>
  <c r="I9205" i="5"/>
  <c r="I9197" i="5"/>
  <c r="I9189" i="5"/>
  <c r="I9181" i="5"/>
  <c r="I9173" i="5"/>
  <c r="I9165" i="5"/>
  <c r="I9157" i="5"/>
  <c r="I9149" i="5"/>
  <c r="I9141" i="5"/>
  <c r="I9133" i="5"/>
  <c r="I9125" i="5"/>
  <c r="I9117" i="5"/>
  <c r="I9109" i="5"/>
  <c r="I9101" i="5"/>
  <c r="I9093" i="5"/>
  <c r="I9085" i="5"/>
  <c r="I9077" i="5"/>
  <c r="I9069" i="5"/>
  <c r="I9061" i="5"/>
  <c r="I9053" i="5"/>
  <c r="I9045" i="5"/>
  <c r="I9037" i="5"/>
  <c r="I9029" i="5"/>
  <c r="I9021" i="5"/>
  <c r="I9013" i="5"/>
  <c r="I9005" i="5"/>
  <c r="I8997" i="5"/>
  <c r="I8989" i="5"/>
  <c r="I8981" i="5"/>
  <c r="I8973" i="5"/>
  <c r="I8965" i="5"/>
  <c r="I8957" i="5"/>
  <c r="I8949" i="5"/>
  <c r="I8941" i="5"/>
  <c r="I8933" i="5"/>
  <c r="I8925" i="5"/>
  <c r="I8917" i="5"/>
  <c r="I8909" i="5"/>
  <c r="I8901" i="5"/>
  <c r="I8893" i="5"/>
  <c r="I8885" i="5"/>
  <c r="I8877" i="5"/>
  <c r="I8869" i="5"/>
  <c r="I8861" i="5"/>
  <c r="I8853" i="5"/>
  <c r="I8845" i="5"/>
  <c r="I8837" i="5"/>
  <c r="I8829" i="5"/>
  <c r="I8821" i="5"/>
  <c r="I8813" i="5"/>
  <c r="I8805" i="5"/>
  <c r="I8797" i="5"/>
  <c r="I8789" i="5"/>
  <c r="I8781" i="5"/>
  <c r="I8773" i="5"/>
  <c r="I8765" i="5"/>
  <c r="I8757" i="5"/>
  <c r="I8749" i="5"/>
  <c r="I8741" i="5"/>
  <c r="I8733" i="5"/>
  <c r="I8725" i="5"/>
  <c r="I8717" i="5"/>
  <c r="I8709" i="5"/>
  <c r="I8701" i="5"/>
  <c r="I8693" i="5"/>
  <c r="I8685" i="5"/>
  <c r="I8677" i="5"/>
  <c r="I8669" i="5"/>
  <c r="I8661" i="5"/>
  <c r="I8653" i="5"/>
  <c r="I8645" i="5"/>
  <c r="I8637" i="5"/>
  <c r="I8629" i="5"/>
  <c r="I8621" i="5"/>
  <c r="I8613" i="5"/>
  <c r="I8605" i="5"/>
  <c r="I8597" i="5"/>
  <c r="I8589" i="5"/>
  <c r="I8581" i="5"/>
  <c r="I8573" i="5"/>
  <c r="I8565" i="5"/>
  <c r="I8557" i="5"/>
  <c r="I8549" i="5"/>
  <c r="I8541" i="5"/>
  <c r="I8533" i="5"/>
  <c r="I8525" i="5"/>
  <c r="I8517" i="5"/>
  <c r="I8509" i="5"/>
  <c r="I8501" i="5"/>
  <c r="I8493" i="5"/>
  <c r="I8485" i="5"/>
  <c r="I8477" i="5"/>
  <c r="I8469" i="5"/>
  <c r="I8461" i="5"/>
  <c r="I8453" i="5"/>
  <c r="I8445" i="5"/>
  <c r="I8437" i="5"/>
  <c r="I8429" i="5"/>
  <c r="I8421" i="5"/>
  <c r="I8413" i="5"/>
  <c r="I8405" i="5"/>
  <c r="I8397" i="5"/>
  <c r="I8389" i="5"/>
  <c r="I8381" i="5"/>
  <c r="I8373" i="5"/>
  <c r="I8365" i="5"/>
  <c r="I8357" i="5"/>
  <c r="I8349" i="5"/>
  <c r="I8341" i="5"/>
  <c r="I8333" i="5"/>
  <c r="I8325" i="5"/>
  <c r="I8317" i="5"/>
  <c r="I8309" i="5"/>
  <c r="I8301" i="5"/>
  <c r="I8293" i="5"/>
  <c r="I8285" i="5"/>
  <c r="I8277" i="5"/>
  <c r="I8269" i="5"/>
  <c r="I8261" i="5"/>
  <c r="I8253" i="5"/>
  <c r="I8245" i="5"/>
  <c r="I8237" i="5"/>
  <c r="I8229" i="5"/>
  <c r="I8221" i="5"/>
  <c r="I8213" i="5"/>
  <c r="I8205" i="5"/>
  <c r="I8197" i="5"/>
  <c r="I8189" i="5"/>
  <c r="I8181" i="5"/>
  <c r="I8173" i="5"/>
  <c r="I8165" i="5"/>
  <c r="I8157" i="5"/>
  <c r="I8149" i="5"/>
  <c r="I8141" i="5"/>
  <c r="I8133" i="5"/>
  <c r="I8125" i="5"/>
  <c r="I8117" i="5"/>
  <c r="I8109" i="5"/>
  <c r="I8101" i="5"/>
  <c r="I8093" i="5"/>
  <c r="I8085" i="5"/>
  <c r="I8077" i="5"/>
  <c r="I8069" i="5"/>
  <c r="I8061" i="5"/>
  <c r="I8053" i="5"/>
  <c r="I8045" i="5"/>
  <c r="I8037" i="5"/>
  <c r="I8029" i="5"/>
  <c r="I8021" i="5"/>
  <c r="I8013" i="5"/>
  <c r="I8005" i="5"/>
  <c r="I7997" i="5"/>
  <c r="I7989" i="5"/>
  <c r="I7981" i="5"/>
  <c r="I7973" i="5"/>
  <c r="I7965" i="5"/>
  <c r="I7957" i="5"/>
  <c r="I7949" i="5"/>
  <c r="I7941" i="5"/>
  <c r="I7933" i="5"/>
  <c r="I7925" i="5"/>
  <c r="I7917" i="5"/>
  <c r="I7909" i="5"/>
  <c r="I7901" i="5"/>
  <c r="I7893" i="5"/>
  <c r="I7885" i="5"/>
  <c r="I7877" i="5"/>
  <c r="I7869" i="5"/>
  <c r="I7861" i="5"/>
  <c r="I7853" i="5"/>
  <c r="I7845" i="5"/>
  <c r="I7837" i="5"/>
  <c r="I7829" i="5"/>
  <c r="I7821" i="5"/>
  <c r="I7813" i="5"/>
  <c r="I7805" i="5"/>
  <c r="I7797" i="5"/>
  <c r="I7789" i="5"/>
  <c r="I7781" i="5"/>
  <c r="I7773" i="5"/>
  <c r="I7765" i="5"/>
  <c r="I7757" i="5"/>
  <c r="I7749" i="5"/>
  <c r="I7741" i="5"/>
  <c r="I7733" i="5"/>
  <c r="I7725" i="5"/>
  <c r="I7717" i="5"/>
  <c r="I7709" i="5"/>
  <c r="I7701" i="5"/>
  <c r="I7693" i="5"/>
  <c r="I7685" i="5"/>
  <c r="I7677" i="5"/>
  <c r="I7669" i="5"/>
  <c r="I7661" i="5"/>
  <c r="I7653" i="5"/>
  <c r="I7645" i="5"/>
  <c r="I7637" i="5"/>
  <c r="I7629" i="5"/>
  <c r="I7621" i="5"/>
  <c r="I7613" i="5"/>
  <c r="I7605" i="5"/>
  <c r="I7597" i="5"/>
  <c r="I7589" i="5"/>
  <c r="I7581" i="5"/>
  <c r="I7573" i="5"/>
  <c r="I7565" i="5"/>
  <c r="I7557" i="5"/>
  <c r="I7549" i="5"/>
  <c r="I7541" i="5"/>
  <c r="I7533" i="5"/>
  <c r="I7525" i="5"/>
  <c r="I7517" i="5"/>
  <c r="I7509" i="5"/>
  <c r="I7501" i="5"/>
  <c r="I7493" i="5"/>
  <c r="I7485" i="5"/>
  <c r="I7477" i="5"/>
  <c r="I7469" i="5"/>
  <c r="I7461" i="5"/>
  <c r="I7453" i="5"/>
  <c r="I7445" i="5"/>
  <c r="I7437" i="5"/>
  <c r="I7429" i="5"/>
  <c r="I7421" i="5"/>
  <c r="I7413" i="5"/>
  <c r="I7405" i="5"/>
  <c r="I7397" i="5"/>
  <c r="I7389" i="5"/>
  <c r="I7381" i="5"/>
  <c r="I7373" i="5"/>
  <c r="I7365" i="5"/>
  <c r="I7357" i="5"/>
  <c r="I7349" i="5"/>
  <c r="I7341" i="5"/>
  <c r="I7333" i="5"/>
  <c r="I7325" i="5"/>
  <c r="I7317" i="5"/>
  <c r="I7309" i="5"/>
  <c r="I7301" i="5"/>
  <c r="I7293" i="5"/>
  <c r="I7285" i="5"/>
  <c r="I7277" i="5"/>
  <c r="I7269" i="5"/>
  <c r="I7261" i="5"/>
  <c r="I7253" i="5"/>
  <c r="I7245" i="5"/>
  <c r="I7237" i="5"/>
  <c r="I7229" i="5"/>
  <c r="I7221" i="5"/>
  <c r="I7213" i="5"/>
  <c r="I7205" i="5"/>
  <c r="I7197" i="5"/>
  <c r="I7189" i="5"/>
  <c r="I7181" i="5"/>
  <c r="I7173" i="5"/>
  <c r="I7165" i="5"/>
  <c r="I7157" i="5"/>
  <c r="I7149" i="5"/>
  <c r="I7141" i="5"/>
  <c r="I7133" i="5"/>
  <c r="I7125" i="5"/>
  <c r="I7117" i="5"/>
  <c r="I7109" i="5"/>
  <c r="I7101" i="5"/>
  <c r="I7093" i="5"/>
  <c r="I7085" i="5"/>
  <c r="I7077" i="5"/>
  <c r="I7069" i="5"/>
  <c r="I7061" i="5"/>
  <c r="I7053" i="5"/>
  <c r="I7045" i="5"/>
  <c r="I7037" i="5"/>
  <c r="I7029" i="5"/>
  <c r="I7021" i="5"/>
  <c r="I7013" i="5"/>
  <c r="I7005" i="5"/>
  <c r="I6997" i="5"/>
  <c r="I6989" i="5"/>
  <c r="I6981" i="5"/>
  <c r="I6973" i="5"/>
  <c r="I6965" i="5"/>
  <c r="I6957" i="5"/>
  <c r="I6949" i="5"/>
  <c r="I6941" i="5"/>
  <c r="I6933" i="5"/>
  <c r="I6925" i="5"/>
  <c r="I6917" i="5"/>
  <c r="I6909" i="5"/>
  <c r="I6901" i="5"/>
  <c r="I6893" i="5"/>
  <c r="I6885" i="5"/>
  <c r="I6877" i="5"/>
  <c r="I6869" i="5"/>
  <c r="I6861" i="5"/>
  <c r="I6853" i="5"/>
  <c r="I6845" i="5"/>
  <c r="I6837" i="5"/>
  <c r="I6829" i="5"/>
  <c r="I6821" i="5"/>
  <c r="I6813" i="5"/>
  <c r="I6805" i="5"/>
  <c r="I6797" i="5"/>
  <c r="I6789" i="5"/>
  <c r="I6781" i="5"/>
  <c r="I6773" i="5"/>
  <c r="I6765" i="5"/>
  <c r="I6757" i="5"/>
  <c r="I6749" i="5"/>
  <c r="I6741" i="5"/>
  <c r="I6733" i="5"/>
  <c r="I6725" i="5"/>
  <c r="I6717" i="5"/>
  <c r="I6709" i="5"/>
  <c r="I6701" i="5"/>
  <c r="I6693" i="5"/>
  <c r="I6685" i="5"/>
  <c r="I6677" i="5"/>
  <c r="I6669" i="5"/>
  <c r="I6661" i="5"/>
  <c r="I6653" i="5"/>
  <c r="I6645" i="5"/>
  <c r="I6637" i="5"/>
  <c r="I6629" i="5"/>
  <c r="I6621" i="5"/>
  <c r="I6613" i="5"/>
  <c r="I6605" i="5"/>
  <c r="I6597" i="5"/>
  <c r="I6589" i="5"/>
  <c r="I6581" i="5"/>
  <c r="I6573" i="5"/>
  <c r="I6565" i="5"/>
  <c r="I6557" i="5"/>
  <c r="I6549" i="5"/>
  <c r="I6541" i="5"/>
  <c r="I6533" i="5"/>
  <c r="I6525" i="5"/>
  <c r="I6517" i="5"/>
  <c r="I6509" i="5"/>
  <c r="I6501" i="5"/>
  <c r="I6493" i="5"/>
  <c r="I6485" i="5"/>
  <c r="I6477" i="5"/>
  <c r="I6469" i="5"/>
  <c r="I6461" i="5"/>
  <c r="I6453" i="5"/>
  <c r="I6445" i="5"/>
  <c r="I6437" i="5"/>
  <c r="I6429" i="5"/>
  <c r="I6421" i="5"/>
  <c r="I6413" i="5"/>
  <c r="I6405" i="5"/>
  <c r="I6397" i="5"/>
  <c r="I6389" i="5"/>
  <c r="I6381" i="5"/>
  <c r="I6373" i="5"/>
  <c r="I6365" i="5"/>
  <c r="I6357" i="5"/>
  <c r="I6349" i="5"/>
  <c r="I6341" i="5"/>
  <c r="I6333" i="5"/>
  <c r="I6325" i="5"/>
  <c r="I6317" i="5"/>
  <c r="I6309" i="5"/>
  <c r="I6301" i="5"/>
  <c r="I6293" i="5"/>
  <c r="I6285" i="5"/>
  <c r="I6277" i="5"/>
  <c r="I6269" i="5"/>
  <c r="I6261" i="5"/>
  <c r="I6253" i="5"/>
  <c r="I6245" i="5"/>
  <c r="I6237" i="5"/>
  <c r="I6229" i="5"/>
  <c r="I6221" i="5"/>
  <c r="I6213" i="5"/>
  <c r="I6205" i="5"/>
  <c r="I6197" i="5"/>
  <c r="I6189" i="5"/>
  <c r="I6181" i="5"/>
  <c r="I6173" i="5"/>
  <c r="I6165" i="5"/>
  <c r="I6157" i="5"/>
  <c r="I6149" i="5"/>
  <c r="I6141" i="5"/>
  <c r="I6133" i="5"/>
  <c r="I6125" i="5"/>
  <c r="I6117" i="5"/>
  <c r="I6109" i="5"/>
  <c r="I6101" i="5"/>
  <c r="I6093" i="5"/>
  <c r="I6085" i="5"/>
  <c r="I6077" i="5"/>
  <c r="I6069" i="5"/>
  <c r="I6061" i="5"/>
  <c r="I6053" i="5"/>
  <c r="I6045" i="5"/>
  <c r="I6037" i="5"/>
  <c r="I6029" i="5"/>
  <c r="I6021" i="5"/>
  <c r="I6013" i="5"/>
  <c r="I6005" i="5"/>
  <c r="I5997" i="5"/>
  <c r="I5989" i="5"/>
  <c r="I5981" i="5"/>
  <c r="I5973" i="5"/>
  <c r="I5965" i="5"/>
  <c r="I5957" i="5"/>
  <c r="I5949" i="5"/>
  <c r="I5941" i="5"/>
  <c r="I5933" i="5"/>
  <c r="I5925" i="5"/>
  <c r="I5917" i="5"/>
  <c r="I5909" i="5"/>
  <c r="I5901" i="5"/>
  <c r="I5893" i="5"/>
  <c r="I5885" i="5"/>
  <c r="I5877" i="5"/>
  <c r="I5869" i="5"/>
  <c r="I5861" i="5"/>
  <c r="I5853" i="5"/>
  <c r="I5845" i="5"/>
  <c r="I5837" i="5"/>
  <c r="I5829" i="5"/>
  <c r="I5821" i="5"/>
  <c r="I5813" i="5"/>
  <c r="I5805" i="5"/>
  <c r="I5797" i="5"/>
  <c r="I5789" i="5"/>
  <c r="I5781" i="5"/>
  <c r="I5773" i="5"/>
  <c r="I5765" i="5"/>
  <c r="I5757" i="5"/>
  <c r="I5749" i="5"/>
  <c r="I5741" i="5"/>
  <c r="I5733" i="5"/>
  <c r="I5725" i="5"/>
  <c r="I5717" i="5"/>
  <c r="I5709" i="5"/>
  <c r="I5701" i="5"/>
  <c r="I5693" i="5"/>
  <c r="I5685" i="5"/>
  <c r="I5677" i="5"/>
  <c r="I5669" i="5"/>
  <c r="I5661" i="5"/>
  <c r="I5653" i="5"/>
  <c r="I5645" i="5"/>
  <c r="I5637" i="5"/>
  <c r="I5629" i="5"/>
  <c r="I5621" i="5"/>
  <c r="I5613" i="5"/>
  <c r="I5605" i="5"/>
  <c r="I5597" i="5"/>
  <c r="I5589" i="5"/>
  <c r="I5581" i="5"/>
  <c r="I5573" i="5"/>
  <c r="I5565" i="5"/>
  <c r="I5557" i="5"/>
  <c r="I5549" i="5"/>
  <c r="I5541" i="5"/>
  <c r="I5533" i="5"/>
  <c r="I5525" i="5"/>
  <c r="I5517" i="5"/>
  <c r="I5509" i="5"/>
  <c r="I5501" i="5"/>
  <c r="I5493" i="5"/>
  <c r="I5485" i="5"/>
  <c r="I5477" i="5"/>
  <c r="I5469" i="5"/>
  <c r="I5461" i="5"/>
  <c r="I5453" i="5"/>
  <c r="I5445" i="5"/>
  <c r="I5437" i="5"/>
  <c r="I5429" i="5"/>
  <c r="I5421" i="5"/>
  <c r="I5413" i="5"/>
  <c r="I5405" i="5"/>
  <c r="I5397" i="5"/>
  <c r="I5389" i="5"/>
  <c r="I5381" i="5"/>
  <c r="I5373" i="5"/>
  <c r="I5365" i="5"/>
  <c r="I5357" i="5"/>
  <c r="I5349" i="5"/>
  <c r="I5341" i="5"/>
  <c r="I5333" i="5"/>
  <c r="I5325" i="5"/>
  <c r="I5317" i="5"/>
  <c r="I5309" i="5"/>
  <c r="I5301" i="5"/>
  <c r="I5293" i="5"/>
  <c r="I5285" i="5"/>
  <c r="I5277" i="5"/>
  <c r="I5269" i="5"/>
  <c r="I5261" i="5"/>
  <c r="I5253" i="5"/>
  <c r="I5245" i="5"/>
  <c r="I5237" i="5"/>
  <c r="I5229" i="5"/>
  <c r="I5221" i="5"/>
  <c r="I5213" i="5"/>
  <c r="I5205" i="5"/>
  <c r="I5197" i="5"/>
  <c r="I5189" i="5"/>
  <c r="I5181" i="5"/>
  <c r="I5173" i="5"/>
  <c r="I5165" i="5"/>
  <c r="I5157" i="5"/>
  <c r="I5149" i="5"/>
  <c r="I5141" i="5"/>
  <c r="I5133" i="5"/>
  <c r="I5125" i="5"/>
  <c r="I5117" i="5"/>
  <c r="I5109" i="5"/>
  <c r="I5101" i="5"/>
  <c r="I5093" i="5"/>
  <c r="I5085" i="5"/>
  <c r="I5077" i="5"/>
  <c r="I5069" i="5"/>
  <c r="I5061" i="5"/>
  <c r="I5053" i="5"/>
  <c r="I5045" i="5"/>
  <c r="I5037" i="5"/>
  <c r="I5029" i="5"/>
  <c r="I5021" i="5"/>
  <c r="I5013" i="5"/>
  <c r="I5005" i="5"/>
  <c r="I4997" i="5"/>
  <c r="I4989" i="5"/>
  <c r="I4981" i="5"/>
  <c r="I4973" i="5"/>
  <c r="I4965" i="5"/>
  <c r="I4957" i="5"/>
  <c r="I4949" i="5"/>
  <c r="I4941" i="5"/>
  <c r="I4933" i="5"/>
  <c r="I4925" i="5"/>
  <c r="I4917" i="5"/>
  <c r="I4909" i="5"/>
  <c r="I4901" i="5"/>
  <c r="I4893" i="5"/>
  <c r="I4885" i="5"/>
  <c r="I4877" i="5"/>
  <c r="I4869" i="5"/>
  <c r="I4861" i="5"/>
  <c r="I4853" i="5"/>
  <c r="I4845" i="5"/>
  <c r="I4837" i="5"/>
  <c r="I4829" i="5"/>
  <c r="I4821" i="5"/>
  <c r="I4813" i="5"/>
  <c r="I4805" i="5"/>
  <c r="I4797" i="5"/>
  <c r="I4789" i="5"/>
  <c r="I4781" i="5"/>
  <c r="I4773" i="5"/>
  <c r="I4765" i="5"/>
  <c r="I4757" i="5"/>
  <c r="I4749" i="5"/>
  <c r="I4741" i="5"/>
  <c r="I4733" i="5"/>
  <c r="I4725" i="5"/>
  <c r="I4717" i="5"/>
  <c r="I4709" i="5"/>
  <c r="I4701" i="5"/>
  <c r="I4693" i="5"/>
  <c r="I4685" i="5"/>
  <c r="I4677" i="5"/>
  <c r="I4669" i="5"/>
  <c r="I4661" i="5"/>
  <c r="I4653" i="5"/>
  <c r="I4645" i="5"/>
  <c r="I4637" i="5"/>
  <c r="I4629" i="5"/>
  <c r="I4621" i="5"/>
  <c r="I4613" i="5"/>
  <c r="I4605" i="5"/>
  <c r="I4597" i="5"/>
  <c r="I4589" i="5"/>
  <c r="I4581" i="5"/>
  <c r="I4573" i="5"/>
  <c r="I4565" i="5"/>
  <c r="I4557" i="5"/>
  <c r="I4549" i="5"/>
  <c r="I4541" i="5"/>
  <c r="I4533" i="5"/>
  <c r="I4525" i="5"/>
  <c r="I4517" i="5"/>
  <c r="I4509" i="5"/>
  <c r="I4501" i="5"/>
  <c r="I4493" i="5"/>
  <c r="I4485" i="5"/>
  <c r="I4477" i="5"/>
  <c r="I4469" i="5"/>
  <c r="I4461" i="5"/>
  <c r="I4453" i="5"/>
  <c r="I4445" i="5"/>
  <c r="I4437" i="5"/>
  <c r="I4429" i="5"/>
  <c r="I4421" i="5"/>
  <c r="I4413" i="5"/>
  <c r="I4405" i="5"/>
  <c r="I4397" i="5"/>
  <c r="I4389" i="5"/>
  <c r="I4381" i="5"/>
  <c r="I4373" i="5"/>
  <c r="I4365" i="5"/>
  <c r="I4357" i="5"/>
  <c r="I4349" i="5"/>
  <c r="I4341" i="5"/>
  <c r="I4333" i="5"/>
  <c r="I4325" i="5"/>
  <c r="I4317" i="5"/>
  <c r="I4309" i="5"/>
  <c r="I4301" i="5"/>
  <c r="I4293" i="5"/>
  <c r="I4285" i="5"/>
  <c r="I4277" i="5"/>
  <c r="I4269" i="5"/>
  <c r="I4261" i="5"/>
  <c r="I4253" i="5"/>
  <c r="I4245" i="5"/>
  <c r="I4237" i="5"/>
  <c r="I4229" i="5"/>
  <c r="I4221" i="5"/>
  <c r="I4213" i="5"/>
  <c r="I4205" i="5"/>
  <c r="I4197" i="5"/>
  <c r="I4189" i="5"/>
  <c r="I4181" i="5"/>
  <c r="I4173" i="5"/>
  <c r="I4165" i="5"/>
  <c r="I4157" i="5"/>
  <c r="I4149" i="5"/>
  <c r="I4141" i="5"/>
  <c r="I4133" i="5"/>
  <c r="I4125" i="5"/>
  <c r="I4117" i="5"/>
  <c r="I4109" i="5"/>
  <c r="I4101" i="5"/>
  <c r="I4093" i="5"/>
  <c r="I4085" i="5"/>
  <c r="I4077" i="5"/>
  <c r="I4069" i="5"/>
  <c r="I4061" i="5"/>
  <c r="I4053" i="5"/>
  <c r="I4045" i="5"/>
  <c r="I4037" i="5"/>
  <c r="I4029" i="5"/>
  <c r="I4021" i="5"/>
  <c r="I4013" i="5"/>
  <c r="I4005" i="5"/>
  <c r="I3997" i="5"/>
  <c r="I3989" i="5"/>
  <c r="I3981" i="5"/>
  <c r="I3973" i="5"/>
  <c r="I3965" i="5"/>
  <c r="I3957" i="5"/>
  <c r="I3949" i="5"/>
  <c r="I3941" i="5"/>
  <c r="I3933" i="5"/>
  <c r="I3925" i="5"/>
  <c r="I3917" i="5"/>
  <c r="I3909" i="5"/>
  <c r="I3901" i="5"/>
  <c r="I3893" i="5"/>
  <c r="I3885" i="5"/>
  <c r="I3877" i="5"/>
  <c r="I3869" i="5"/>
  <c r="I3861" i="5"/>
  <c r="I3853" i="5"/>
  <c r="I3845" i="5"/>
  <c r="I3837" i="5"/>
  <c r="I3829" i="5"/>
  <c r="I3821" i="5"/>
  <c r="I3813" i="5"/>
  <c r="I3805" i="5"/>
  <c r="I3797" i="5"/>
  <c r="I3789" i="5"/>
  <c r="I3781" i="5"/>
  <c r="I3773" i="5"/>
  <c r="I3765" i="5"/>
  <c r="I3757" i="5"/>
  <c r="I3749" i="5"/>
  <c r="I3741" i="5"/>
  <c r="I3733" i="5"/>
  <c r="I3725" i="5"/>
  <c r="I3717" i="5"/>
  <c r="I3709" i="5"/>
  <c r="I3701" i="5"/>
  <c r="I3693" i="5"/>
  <c r="I3685" i="5"/>
  <c r="I3677" i="5"/>
  <c r="I3669" i="5"/>
  <c r="I3661" i="5"/>
  <c r="I3653" i="5"/>
  <c r="I3645" i="5"/>
  <c r="I3637" i="5"/>
  <c r="I3629" i="5"/>
  <c r="I3621" i="5"/>
  <c r="I3613" i="5"/>
  <c r="I3605" i="5"/>
  <c r="I3597" i="5"/>
  <c r="I3589" i="5"/>
  <c r="I3581" i="5"/>
  <c r="I3573" i="5"/>
  <c r="I3565" i="5"/>
  <c r="I3557" i="5"/>
  <c r="I3549" i="5"/>
  <c r="I3541" i="5"/>
  <c r="I3533" i="5"/>
  <c r="I3525" i="5"/>
  <c r="I3517" i="5"/>
  <c r="I3509" i="5"/>
  <c r="I3501" i="5"/>
  <c r="I3493" i="5"/>
  <c r="I3485" i="5"/>
  <c r="I3477" i="5"/>
  <c r="I3469" i="5"/>
  <c r="I3461" i="5"/>
  <c r="I3453" i="5"/>
  <c r="I3445" i="5"/>
  <c r="I3437" i="5"/>
  <c r="I3429" i="5"/>
  <c r="I3421" i="5"/>
  <c r="I3413" i="5"/>
  <c r="I3405" i="5"/>
  <c r="I3397" i="5"/>
  <c r="I3389" i="5"/>
  <c r="I3381" i="5"/>
  <c r="I3373" i="5"/>
  <c r="I3365" i="5"/>
  <c r="I3357" i="5"/>
  <c r="I3349" i="5"/>
  <c r="I3341" i="5"/>
  <c r="I3333" i="5"/>
  <c r="I3325" i="5"/>
  <c r="I3317" i="5"/>
  <c r="I3309" i="5"/>
  <c r="I3301" i="5"/>
  <c r="I3293" i="5"/>
  <c r="I3285" i="5"/>
  <c r="I3277" i="5"/>
  <c r="I3269" i="5"/>
  <c r="I3261" i="5"/>
  <c r="I3253" i="5"/>
  <c r="I3245" i="5"/>
  <c r="I3237" i="5"/>
  <c r="I3229" i="5"/>
  <c r="I3221" i="5"/>
  <c r="I3213" i="5"/>
  <c r="I3205" i="5"/>
  <c r="I3197" i="5"/>
  <c r="I3189" i="5"/>
  <c r="I3181" i="5"/>
  <c r="I3173" i="5"/>
  <c r="I3165" i="5"/>
  <c r="I3157" i="5"/>
  <c r="I3149" i="5"/>
  <c r="I3141" i="5"/>
  <c r="I3133" i="5"/>
  <c r="I3125" i="5"/>
  <c r="I3117" i="5"/>
  <c r="I3109" i="5"/>
  <c r="I3101" i="5"/>
  <c r="I3093" i="5"/>
  <c r="I3085" i="5"/>
  <c r="I3077" i="5"/>
  <c r="I3069" i="5"/>
  <c r="I3061" i="5"/>
  <c r="I3053" i="5"/>
  <c r="I3045" i="5"/>
  <c r="I3037" i="5"/>
  <c r="I3029" i="5"/>
  <c r="I3021" i="5"/>
  <c r="I3013" i="5"/>
  <c r="I3005" i="5"/>
  <c r="I2997" i="5"/>
  <c r="I2989" i="5"/>
  <c r="I2981" i="5"/>
  <c r="I2973" i="5"/>
  <c r="I2965" i="5"/>
  <c r="I2957" i="5"/>
  <c r="I2949" i="5"/>
  <c r="I2941" i="5"/>
  <c r="I2933" i="5"/>
  <c r="I2925" i="5"/>
  <c r="I2917" i="5"/>
  <c r="I2909" i="5"/>
  <c r="I2901" i="5"/>
  <c r="I2893" i="5"/>
  <c r="I2885" i="5"/>
  <c r="I2877" i="5"/>
  <c r="I2869" i="5"/>
  <c r="I2861" i="5"/>
  <c r="I2853" i="5"/>
  <c r="I2845" i="5"/>
  <c r="I2837" i="5"/>
  <c r="I2829" i="5"/>
  <c r="I2821" i="5"/>
  <c r="I2813" i="5"/>
  <c r="I2805" i="5"/>
  <c r="I2797" i="5"/>
  <c r="I2789" i="5"/>
  <c r="I2781" i="5"/>
  <c r="I2773" i="5"/>
  <c r="I2765" i="5"/>
  <c r="I2757" i="5"/>
  <c r="I2749" i="5"/>
  <c r="I2741" i="5"/>
  <c r="I2733" i="5"/>
  <c r="I2725" i="5"/>
  <c r="I2717" i="5"/>
  <c r="I2709" i="5"/>
  <c r="I2701" i="5"/>
  <c r="I2693" i="5"/>
  <c r="I2685" i="5"/>
  <c r="I2677" i="5"/>
  <c r="I2669" i="5"/>
  <c r="I2661" i="5"/>
  <c r="I2653" i="5"/>
  <c r="I2645" i="5"/>
  <c r="I2637" i="5"/>
  <c r="I2629" i="5"/>
  <c r="I2621" i="5"/>
  <c r="I2613" i="5"/>
  <c r="I2605" i="5"/>
  <c r="I2597" i="5"/>
  <c r="I2589" i="5"/>
  <c r="I2581" i="5"/>
  <c r="I2573" i="5"/>
  <c r="I2565" i="5"/>
  <c r="I2557" i="5"/>
  <c r="I2549" i="5"/>
  <c r="I2541" i="5"/>
  <c r="I2533" i="5"/>
  <c r="I2525" i="5"/>
  <c r="I2517" i="5"/>
  <c r="I2509" i="5"/>
  <c r="I2501" i="5"/>
  <c r="I2493" i="5"/>
  <c r="I2485" i="5"/>
  <c r="I2477" i="5"/>
  <c r="I2469" i="5"/>
  <c r="I2461" i="5"/>
  <c r="I2453" i="5"/>
  <c r="I2445" i="5"/>
  <c r="I2437" i="5"/>
  <c r="I2429" i="5"/>
  <c r="I2421" i="5"/>
  <c r="I2413" i="5"/>
  <c r="I2405" i="5"/>
  <c r="I2397" i="5"/>
  <c r="I2389" i="5"/>
  <c r="I2381" i="5"/>
  <c r="I2373" i="5"/>
  <c r="I2365" i="5"/>
  <c r="I2357" i="5"/>
  <c r="I2349" i="5"/>
  <c r="I2341" i="5"/>
  <c r="I2333" i="5"/>
  <c r="I2325" i="5"/>
  <c r="I2317" i="5"/>
  <c r="I2309" i="5"/>
  <c r="I2301" i="5"/>
  <c r="I2293" i="5"/>
  <c r="I2285" i="5"/>
  <c r="I2277" i="5"/>
  <c r="I2269" i="5"/>
  <c r="I2261" i="5"/>
  <c r="I2253" i="5"/>
  <c r="I2245" i="5"/>
  <c r="I2237" i="5"/>
  <c r="I2229" i="5"/>
  <c r="I2221" i="5"/>
  <c r="I2213" i="5"/>
  <c r="I2205" i="5"/>
  <c r="I2197" i="5"/>
  <c r="I2189" i="5"/>
  <c r="I2181" i="5"/>
  <c r="I2173" i="5"/>
  <c r="I2165" i="5"/>
  <c r="I2157" i="5"/>
  <c r="I2149" i="5"/>
  <c r="I2141" i="5"/>
  <c r="I2133" i="5"/>
  <c r="I2125" i="5"/>
  <c r="I2117" i="5"/>
  <c r="I2109" i="5"/>
  <c r="I2101" i="5"/>
  <c r="I2093" i="5"/>
  <c r="I2085" i="5"/>
  <c r="I2077" i="5"/>
  <c r="I2069" i="5"/>
  <c r="I2061" i="5"/>
  <c r="I2053" i="5"/>
  <c r="I2045" i="5"/>
  <c r="I2037" i="5"/>
  <c r="I2029" i="5"/>
  <c r="I2021" i="5"/>
  <c r="I2013" i="5"/>
  <c r="I2005" i="5"/>
  <c r="I1997" i="5"/>
  <c r="I1989" i="5"/>
  <c r="I1981" i="5"/>
  <c r="I1973" i="5"/>
  <c r="I1965" i="5"/>
  <c r="I1957" i="5"/>
  <c r="I1949" i="5"/>
  <c r="I1941" i="5"/>
  <c r="I1933" i="5"/>
  <c r="I1925" i="5"/>
  <c r="I1917" i="5"/>
  <c r="I1909" i="5"/>
  <c r="I1901" i="5"/>
  <c r="I1893" i="5"/>
  <c r="I1885" i="5"/>
  <c r="I1877" i="5"/>
  <c r="I1869" i="5"/>
  <c r="I1861" i="5"/>
  <c r="I1853" i="5"/>
  <c r="I1845" i="5"/>
  <c r="I1837" i="5"/>
  <c r="I1829" i="5"/>
  <c r="I1821" i="5"/>
  <c r="I1813" i="5"/>
  <c r="I1805" i="5"/>
  <c r="I1797" i="5"/>
  <c r="I1789" i="5"/>
  <c r="I1781" i="5"/>
  <c r="I1773" i="5"/>
  <c r="I1765" i="5"/>
  <c r="I1757" i="5"/>
  <c r="I1749" i="5"/>
  <c r="I1741" i="5"/>
  <c r="I1733" i="5"/>
  <c r="I1725" i="5"/>
  <c r="I1717" i="5"/>
  <c r="I1709" i="5"/>
  <c r="I1701" i="5"/>
  <c r="I1693" i="5"/>
  <c r="I1685" i="5"/>
  <c r="I1677" i="5"/>
  <c r="I28013" i="5"/>
  <c r="I25856" i="5"/>
  <c r="I24579" i="5"/>
  <c r="I24095" i="5"/>
  <c r="I23660" i="5"/>
  <c r="I23279" i="5"/>
  <c r="I22941" i="5"/>
  <c r="I22684" i="5"/>
  <c r="I22380" i="5"/>
  <c r="I22044" i="5"/>
  <c r="I21781" i="5"/>
  <c r="I21507" i="5"/>
  <c r="I21276" i="5"/>
  <c r="I21059" i="5"/>
  <c r="I20831" i="5"/>
  <c r="I20579" i="5"/>
  <c r="I20395" i="5"/>
  <c r="I20249" i="5"/>
  <c r="I20123" i="5"/>
  <c r="I20025" i="5"/>
  <c r="I19900" i="5"/>
  <c r="I19785" i="5"/>
  <c r="I19676" i="5"/>
  <c r="I19563" i="5"/>
  <c r="I19436" i="5"/>
  <c r="I19339" i="5"/>
  <c r="I19225" i="5"/>
  <c r="I19099" i="5"/>
  <c r="I19001" i="5"/>
  <c r="I18876" i="5"/>
  <c r="I18761" i="5"/>
  <c r="I18652" i="5"/>
  <c r="I18553" i="5"/>
  <c r="I18451" i="5"/>
  <c r="I18372" i="5"/>
  <c r="I18281" i="5"/>
  <c r="I18180" i="5"/>
  <c r="I18100" i="5"/>
  <c r="I18003" i="5"/>
  <c r="I17908" i="5"/>
  <c r="I17825" i="5"/>
  <c r="I17732" i="5"/>
  <c r="I17633" i="5"/>
  <c r="I17554" i="5"/>
  <c r="I17460" i="5"/>
  <c r="I17362" i="5"/>
  <c r="I17282" i="5"/>
  <c r="I17185" i="5"/>
  <c r="I17090" i="5"/>
  <c r="I17004" i="5"/>
  <c r="I16914" i="5"/>
  <c r="I16819" i="5"/>
  <c r="I16760" i="5"/>
  <c r="I16694" i="5"/>
  <c r="I16623" i="5"/>
  <c r="I16566" i="5"/>
  <c r="I16496" i="5"/>
  <c r="I16428" i="5"/>
  <c r="I16368" i="5"/>
  <c r="I16303" i="5"/>
  <c r="I16231" i="5"/>
  <c r="I16175" i="5"/>
  <c r="I16108" i="5"/>
  <c r="I16038" i="5"/>
  <c r="I15980" i="5"/>
  <c r="I15911" i="5"/>
  <c r="I15843" i="5"/>
  <c r="I15783" i="5"/>
  <c r="I15718" i="5"/>
  <c r="I15646" i="5"/>
  <c r="I15590" i="5"/>
  <c r="I15523" i="5"/>
  <c r="I15452" i="5"/>
  <c r="I15395" i="5"/>
  <c r="I15326" i="5"/>
  <c r="I15258" i="5"/>
  <c r="I15198" i="5"/>
  <c r="I15132" i="5"/>
  <c r="I15060" i="5"/>
  <c r="I15004" i="5"/>
  <c r="I14938" i="5"/>
  <c r="I14867" i="5"/>
  <c r="I14810" i="5"/>
  <c r="I14740" i="5"/>
  <c r="I14673" i="5"/>
  <c r="I14618" i="5"/>
  <c r="I14567" i="5"/>
  <c r="I14516" i="5"/>
  <c r="I14472" i="5"/>
  <c r="I14420" i="5"/>
  <c r="I14370" i="5"/>
  <c r="I14326" i="5"/>
  <c r="I14274" i="5"/>
  <c r="I14224" i="5"/>
  <c r="I14179" i="5"/>
  <c r="I14128" i="5"/>
  <c r="I14078" i="5"/>
  <c r="I14033" i="5"/>
  <c r="I13982" i="5"/>
  <c r="I13932" i="5"/>
  <c r="I13898" i="5"/>
  <c r="I13858" i="5"/>
  <c r="I13816" i="5"/>
  <c r="I13780" i="5"/>
  <c r="I13741" i="5"/>
  <c r="I13704" i="5"/>
  <c r="I13675" i="5"/>
  <c r="I13639" i="5"/>
  <c r="I13603" i="5"/>
  <c r="I13572" i="5"/>
  <c r="I13536" i="5"/>
  <c r="I13500" i="5"/>
  <c r="I13469" i="5"/>
  <c r="I13435" i="5"/>
  <c r="I13397" i="5"/>
  <c r="I13368" i="5"/>
  <c r="I13339" i="5"/>
  <c r="I13308" i="5"/>
  <c r="I13285" i="5"/>
  <c r="I13262" i="5"/>
  <c r="I13239" i="5"/>
  <c r="I13220" i="5"/>
  <c r="I13198" i="5"/>
  <c r="I13175" i="5"/>
  <c r="I13156" i="5"/>
  <c r="I13134" i="5"/>
  <c r="I13111" i="5"/>
  <c r="I13092" i="5"/>
  <c r="I13070" i="5"/>
  <c r="I13047" i="5"/>
  <c r="I13028" i="5"/>
  <c r="I13006" i="5"/>
  <c r="I12983" i="5"/>
  <c r="I12964" i="5"/>
  <c r="I12942" i="5"/>
  <c r="I12919" i="5"/>
  <c r="I12900" i="5"/>
  <c r="I12878" i="5"/>
  <c r="I12855" i="5"/>
  <c r="I12836" i="5"/>
  <c r="I12814" i="5"/>
  <c r="I12791" i="5"/>
  <c r="I12772" i="5"/>
  <c r="I12750" i="5"/>
  <c r="I12727" i="5"/>
  <c r="I12708" i="5"/>
  <c r="I12686" i="5"/>
  <c r="I12663" i="5"/>
  <c r="I12644" i="5"/>
  <c r="I12622" i="5"/>
  <c r="I12599" i="5"/>
  <c r="I12580" i="5"/>
  <c r="I12558" i="5"/>
  <c r="I12535" i="5"/>
  <c r="I12516" i="5"/>
  <c r="I12494" i="5"/>
  <c r="I12471" i="5"/>
  <c r="I12452" i="5"/>
  <c r="I12430" i="5"/>
  <c r="I12407" i="5"/>
  <c r="I12388" i="5"/>
  <c r="I12366" i="5"/>
  <c r="I12343" i="5"/>
  <c r="I12324" i="5"/>
  <c r="I12302" i="5"/>
  <c r="I12279" i="5"/>
  <c r="I12260" i="5"/>
  <c r="I12238" i="5"/>
  <c r="I12215" i="5"/>
  <c r="I12196" i="5"/>
  <c r="I12174" i="5"/>
  <c r="I12151" i="5"/>
  <c r="I12132" i="5"/>
  <c r="I12110" i="5"/>
  <c r="I12087" i="5"/>
  <c r="I12068" i="5"/>
  <c r="I12046" i="5"/>
  <c r="I12023" i="5"/>
  <c r="I12004" i="5"/>
  <c r="I11982" i="5"/>
  <c r="I11959" i="5"/>
  <c r="I11940" i="5"/>
  <c r="I11918" i="5"/>
  <c r="I11895" i="5"/>
  <c r="I11876" i="5"/>
  <c r="I11854" i="5"/>
  <c r="I11831" i="5"/>
  <c r="I11812" i="5"/>
  <c r="I11790" i="5"/>
  <c r="I11767" i="5"/>
  <c r="I11748" i="5"/>
  <c r="I11726" i="5"/>
  <c r="I11703" i="5"/>
  <c r="I11684" i="5"/>
  <c r="I11662" i="5"/>
  <c r="I11639" i="5"/>
  <c r="I11620" i="5"/>
  <c r="I11598" i="5"/>
  <c r="I11575" i="5"/>
  <c r="I11556" i="5"/>
  <c r="I11534" i="5"/>
  <c r="I11511" i="5"/>
  <c r="I11492" i="5"/>
  <c r="I11470" i="5"/>
  <c r="I11447" i="5"/>
  <c r="I11428" i="5"/>
  <c r="I11406" i="5"/>
  <c r="I11383" i="5"/>
  <c r="I11364" i="5"/>
  <c r="I11342" i="5"/>
  <c r="I11319" i="5"/>
  <c r="I11300" i="5"/>
  <c r="I11278" i="5"/>
  <c r="I11255" i="5"/>
  <c r="I11236" i="5"/>
  <c r="I11220" i="5"/>
  <c r="I11204" i="5"/>
  <c r="I11188" i="5"/>
  <c r="I11172" i="5"/>
  <c r="I11156" i="5"/>
  <c r="I11140" i="5"/>
  <c r="I11124" i="5"/>
  <c r="I11108" i="5"/>
  <c r="I11092" i="5"/>
  <c r="I11076" i="5"/>
  <c r="I11060" i="5"/>
  <c r="I11044" i="5"/>
  <c r="I11028" i="5"/>
  <c r="I11012" i="5"/>
  <c r="I10996" i="5"/>
  <c r="I10980" i="5"/>
  <c r="I10964" i="5"/>
  <c r="I10948" i="5"/>
  <c r="I10932" i="5"/>
  <c r="I10916" i="5"/>
  <c r="I10900" i="5"/>
  <c r="I10884" i="5"/>
  <c r="I10868" i="5"/>
  <c r="I10852" i="5"/>
  <c r="I10838" i="5"/>
  <c r="I10826" i="5"/>
  <c r="I10813" i="5"/>
  <c r="I10799" i="5"/>
  <c r="I10788" i="5"/>
  <c r="I10774" i="5"/>
  <c r="I10762" i="5"/>
  <c r="I10749" i="5"/>
  <c r="I10735" i="5"/>
  <c r="I10724" i="5"/>
  <c r="I10710" i="5"/>
  <c r="I10698" i="5"/>
  <c r="I10685" i="5"/>
  <c r="I10671" i="5"/>
  <c r="I10660" i="5"/>
  <c r="I10646" i="5"/>
  <c r="I10634" i="5"/>
  <c r="I10621" i="5"/>
  <c r="I10607" i="5"/>
  <c r="I10596" i="5"/>
  <c r="I10582" i="5"/>
  <c r="I10570" i="5"/>
  <c r="I10559" i="5"/>
  <c r="I10549" i="5"/>
  <c r="I10538" i="5"/>
  <c r="I10527" i="5"/>
  <c r="I10517" i="5"/>
  <c r="I10506" i="5"/>
  <c r="I10495" i="5"/>
  <c r="I10485" i="5"/>
  <c r="I10474" i="5"/>
  <c r="I10463" i="5"/>
  <c r="I10453" i="5"/>
  <c r="I10442" i="5"/>
  <c r="I10431" i="5"/>
  <c r="I10421" i="5"/>
  <c r="I10410" i="5"/>
  <c r="I10399" i="5"/>
  <c r="I10389" i="5"/>
  <c r="I10378" i="5"/>
  <c r="I10367" i="5"/>
  <c r="I10357" i="5"/>
  <c r="I10348" i="5"/>
  <c r="I10339" i="5"/>
  <c r="I10330" i="5"/>
  <c r="I10320" i="5"/>
  <c r="I10311" i="5"/>
  <c r="I10302" i="5"/>
  <c r="I10293" i="5"/>
  <c r="I10284" i="5"/>
  <c r="I10276" i="5"/>
  <c r="I10268" i="5"/>
  <c r="I10260" i="5"/>
  <c r="I10252" i="5"/>
  <c r="I10244" i="5"/>
  <c r="I10236" i="5"/>
  <c r="I10228" i="5"/>
  <c r="I10220" i="5"/>
  <c r="I10212" i="5"/>
  <c r="I10204" i="5"/>
  <c r="I10196" i="5"/>
  <c r="I10188" i="5"/>
  <c r="I10180" i="5"/>
  <c r="I10172" i="5"/>
  <c r="I10164" i="5"/>
  <c r="I10156" i="5"/>
  <c r="I10148" i="5"/>
  <c r="I10140" i="5"/>
  <c r="I10132" i="5"/>
  <c r="I10124" i="5"/>
  <c r="I10116" i="5"/>
  <c r="I10108" i="5"/>
  <c r="I10100" i="5"/>
  <c r="I10092" i="5"/>
  <c r="I10084" i="5"/>
  <c r="I10076" i="5"/>
  <c r="I10068" i="5"/>
  <c r="I10060" i="5"/>
  <c r="I10052" i="5"/>
  <c r="I10044" i="5"/>
  <c r="I10036" i="5"/>
  <c r="I10028" i="5"/>
  <c r="I10020" i="5"/>
  <c r="I10012" i="5"/>
  <c r="I10004" i="5"/>
  <c r="I9996" i="5"/>
  <c r="I9988" i="5"/>
  <c r="I9980" i="5"/>
  <c r="I9972" i="5"/>
  <c r="I9964" i="5"/>
  <c r="I9956" i="5"/>
  <c r="I9948" i="5"/>
  <c r="I9940" i="5"/>
  <c r="I9932" i="5"/>
  <c r="I9924" i="5"/>
  <c r="I9916" i="5"/>
  <c r="I9908" i="5"/>
  <c r="I9900" i="5"/>
  <c r="I9892" i="5"/>
  <c r="I9884" i="5"/>
  <c r="I9876" i="5"/>
  <c r="I9868" i="5"/>
  <c r="I9860" i="5"/>
  <c r="I9852" i="5"/>
  <c r="I9844" i="5"/>
  <c r="I9836" i="5"/>
  <c r="I9828" i="5"/>
  <c r="I9820" i="5"/>
  <c r="I9812" i="5"/>
  <c r="I9804" i="5"/>
  <c r="I9796" i="5"/>
  <c r="I9788" i="5"/>
  <c r="I9780" i="5"/>
  <c r="I9772" i="5"/>
  <c r="I9764" i="5"/>
  <c r="I9756" i="5"/>
  <c r="I9748" i="5"/>
  <c r="I9740" i="5"/>
  <c r="I9732" i="5"/>
  <c r="I9724" i="5"/>
  <c r="I9716" i="5"/>
  <c r="I9708" i="5"/>
  <c r="I9700" i="5"/>
  <c r="I9692" i="5"/>
  <c r="I9684" i="5"/>
  <c r="I9676" i="5"/>
  <c r="I9668" i="5"/>
  <c r="I9660" i="5"/>
  <c r="I9652" i="5"/>
  <c r="I9644" i="5"/>
  <c r="I9636" i="5"/>
  <c r="I9628" i="5"/>
  <c r="I9620" i="5"/>
  <c r="I9612" i="5"/>
  <c r="I9604" i="5"/>
  <c r="I9596" i="5"/>
  <c r="I9588" i="5"/>
  <c r="I27955" i="5"/>
  <c r="I25470" i="5"/>
  <c r="I24556" i="5"/>
  <c r="I24044" i="5"/>
  <c r="I23583" i="5"/>
  <c r="I23239" i="5"/>
  <c r="I22940" i="5"/>
  <c r="I22599" i="5"/>
  <c r="I22341" i="5"/>
  <c r="I22037" i="5"/>
  <c r="I21701" i="5"/>
  <c r="I21500" i="5"/>
  <c r="I21251" i="5"/>
  <c r="I21020" i="5"/>
  <c r="I20803" i="5"/>
  <c r="I20575" i="5"/>
  <c r="I20345" i="5"/>
  <c r="I20235" i="5"/>
  <c r="I20121" i="5"/>
  <c r="I19995" i="5"/>
  <c r="I19897" i="5"/>
  <c r="I19772" i="5"/>
  <c r="I19657" i="5"/>
  <c r="I19548" i="5"/>
  <c r="I19435" i="5"/>
  <c r="I19308" i="5"/>
  <c r="I19211" i="5"/>
  <c r="I19097" i="5"/>
  <c r="I18971" i="5"/>
  <c r="I18873" i="5"/>
  <c r="I18748" i="5"/>
  <c r="I18633" i="5"/>
  <c r="I18540" i="5"/>
  <c r="I18450" i="5"/>
  <c r="I18348" i="5"/>
  <c r="I18271" i="5"/>
  <c r="I18178" i="5"/>
  <c r="I18079" i="5"/>
  <c r="I17999" i="5"/>
  <c r="I17900" i="5"/>
  <c r="I17807" i="5"/>
  <c r="I17722" i="5"/>
  <c r="I17631" i="5"/>
  <c r="I17530" i="5"/>
  <c r="I17451" i="5"/>
  <c r="I17359" i="5"/>
  <c r="I17259" i="5"/>
  <c r="I17179" i="5"/>
  <c r="I17082" i="5"/>
  <c r="I16987" i="5"/>
  <c r="I16903" i="5"/>
  <c r="I16818" i="5"/>
  <c r="I16743" i="5"/>
  <c r="I16687" i="5"/>
  <c r="I16620" i="5"/>
  <c r="I16550" i="5"/>
  <c r="I16492" i="5"/>
  <c r="I16423" i="5"/>
  <c r="I16355" i="5"/>
  <c r="I16295" i="5"/>
  <c r="I16230" i="5"/>
  <c r="I16158" i="5"/>
  <c r="I16102" i="5"/>
  <c r="I16035" i="5"/>
  <c r="I15964" i="5"/>
  <c r="I15907" i="5"/>
  <c r="I15838" i="5"/>
  <c r="I15770" i="5"/>
  <c r="I15710" i="5"/>
  <c r="I15644" i="5"/>
  <c r="I15572" i="5"/>
  <c r="I15516" i="5"/>
  <c r="I15450" i="5"/>
  <c r="I15379" i="5"/>
  <c r="I15322" i="5"/>
  <c r="I15252" i="5"/>
  <c r="I15185" i="5"/>
  <c r="I15124" i="5"/>
  <c r="I15059" i="5"/>
  <c r="I14987" i="5"/>
  <c r="I14931" i="5"/>
  <c r="I14865" i="5"/>
  <c r="I14794" i="5"/>
  <c r="I14737" i="5"/>
  <c r="I14667" i="5"/>
  <c r="I14608" i="5"/>
  <c r="I14563" i="5"/>
  <c r="I14512" i="5"/>
  <c r="I14462" i="5"/>
  <c r="I14417" i="5"/>
  <c r="I14366" i="5"/>
  <c r="I14315" i="5"/>
  <c r="I14271" i="5"/>
  <c r="I14219" i="5"/>
  <c r="I14169" i="5"/>
  <c r="I14124" i="5"/>
  <c r="I14073" i="5"/>
  <c r="I14023" i="5"/>
  <c r="I13978" i="5"/>
  <c r="I13931" i="5"/>
  <c r="I13889" i="5"/>
  <c r="I13854" i="5"/>
  <c r="I13814" i="5"/>
  <c r="I13771" i="5"/>
  <c r="I13739" i="5"/>
  <c r="I13703" i="5"/>
  <c r="I13667" i="5"/>
  <c r="I13636" i="5"/>
  <c r="I13600" i="5"/>
  <c r="I13564" i="5"/>
  <c r="I13533" i="5"/>
  <c r="I13499" i="5"/>
  <c r="I13461" i="5"/>
  <c r="I13431" i="5"/>
  <c r="I13396" i="5"/>
  <c r="I13362" i="5"/>
  <c r="I13336" i="5"/>
  <c r="I13307" i="5"/>
  <c r="I13279" i="5"/>
  <c r="I13260" i="5"/>
  <c r="I13238" i="5"/>
  <c r="I13215" i="5"/>
  <c r="I13196" i="5"/>
  <c r="I13174" i="5"/>
  <c r="I13151" i="5"/>
  <c r="I13132" i="5"/>
  <c r="I13110" i="5"/>
  <c r="I13087" i="5"/>
  <c r="I13068" i="5"/>
  <c r="I13046" i="5"/>
  <c r="I13023" i="5"/>
  <c r="I13004" i="5"/>
  <c r="I12982" i="5"/>
  <c r="I12959" i="5"/>
  <c r="I12940" i="5"/>
  <c r="I12918" i="5"/>
  <c r="I12895" i="5"/>
  <c r="I12876" i="5"/>
  <c r="I12854" i="5"/>
  <c r="I12831" i="5"/>
  <c r="I12812" i="5"/>
  <c r="I12790" i="5"/>
  <c r="I12767" i="5"/>
  <c r="I12748" i="5"/>
  <c r="I12726" i="5"/>
  <c r="I12703" i="5"/>
  <c r="I12684" i="5"/>
  <c r="I12662" i="5"/>
  <c r="I12639" i="5"/>
  <c r="I12620" i="5"/>
  <c r="I12598" i="5"/>
  <c r="I12575" i="5"/>
  <c r="I12556" i="5"/>
  <c r="I12534" i="5"/>
  <c r="I12511" i="5"/>
  <c r="I12492" i="5"/>
  <c r="I12470" i="5"/>
  <c r="I12447" i="5"/>
  <c r="I12428" i="5"/>
  <c r="I12406" i="5"/>
  <c r="I12383" i="5"/>
  <c r="I12364" i="5"/>
  <c r="I12342" i="5"/>
  <c r="I12319" i="5"/>
  <c r="I12300" i="5"/>
  <c r="I12278" i="5"/>
  <c r="I12255" i="5"/>
  <c r="I12236" i="5"/>
  <c r="I12214" i="5"/>
  <c r="I12191" i="5"/>
  <c r="I12172" i="5"/>
  <c r="I12150" i="5"/>
  <c r="I12127" i="5"/>
  <c r="I12108" i="5"/>
  <c r="I12086" i="5"/>
  <c r="I12063" i="5"/>
  <c r="I12044" i="5"/>
  <c r="I12022" i="5"/>
  <c r="I11999" i="5"/>
  <c r="I11980" i="5"/>
  <c r="I11958" i="5"/>
  <c r="I11935" i="5"/>
  <c r="I11916" i="5"/>
  <c r="I11894" i="5"/>
  <c r="I11871" i="5"/>
  <c r="I11852" i="5"/>
  <c r="I11830" i="5"/>
  <c r="I11807" i="5"/>
  <c r="I11788" i="5"/>
  <c r="I11766" i="5"/>
  <c r="I11743" i="5"/>
  <c r="I11724" i="5"/>
  <c r="I11702" i="5"/>
  <c r="I11679" i="5"/>
  <c r="I11660" i="5"/>
  <c r="I11638" i="5"/>
  <c r="I11615" i="5"/>
  <c r="I11596" i="5"/>
  <c r="I11574" i="5"/>
  <c r="I11551" i="5"/>
  <c r="I11532" i="5"/>
  <c r="I11510" i="5"/>
  <c r="I11487" i="5"/>
  <c r="I11468" i="5"/>
  <c r="I11446" i="5"/>
  <c r="I11423" i="5"/>
  <c r="I11404" i="5"/>
  <c r="I11382" i="5"/>
  <c r="I11359" i="5"/>
  <c r="I11340" i="5"/>
  <c r="I11318" i="5"/>
  <c r="I11295" i="5"/>
  <c r="I11276" i="5"/>
  <c r="I11254" i="5"/>
  <c r="I11234" i="5"/>
  <c r="I11218" i="5"/>
  <c r="I11202" i="5"/>
  <c r="I11186" i="5"/>
  <c r="I11170" i="5"/>
  <c r="I11154" i="5"/>
  <c r="I11138" i="5"/>
  <c r="I11122" i="5"/>
  <c r="I11106" i="5"/>
  <c r="I11090" i="5"/>
  <c r="I11074" i="5"/>
  <c r="I11058" i="5"/>
  <c r="I11042" i="5"/>
  <c r="I11026" i="5"/>
  <c r="I11010" i="5"/>
  <c r="I10994" i="5"/>
  <c r="I10978" i="5"/>
  <c r="I10962" i="5"/>
  <c r="I10946" i="5"/>
  <c r="I10930" i="5"/>
  <c r="I10914" i="5"/>
  <c r="I10898" i="5"/>
  <c r="I10882" i="5"/>
  <c r="I10866" i="5"/>
  <c r="I10850" i="5"/>
  <c r="I10837" i="5"/>
  <c r="I10823" i="5"/>
  <c r="I10812" i="5"/>
  <c r="I10798" i="5"/>
  <c r="I10786" i="5"/>
  <c r="I10773" i="5"/>
  <c r="I10759" i="5"/>
  <c r="I10748" i="5"/>
  <c r="I10734" i="5"/>
  <c r="I10722" i="5"/>
  <c r="I10709" i="5"/>
  <c r="I10695" i="5"/>
  <c r="I10684" i="5"/>
  <c r="I10670" i="5"/>
  <c r="I10658" i="5"/>
  <c r="I10645" i="5"/>
  <c r="I10631" i="5"/>
  <c r="I10620" i="5"/>
  <c r="I10606" i="5"/>
  <c r="I10594" i="5"/>
  <c r="I10581" i="5"/>
  <c r="I10568" i="5"/>
  <c r="I10558" i="5"/>
  <c r="I10548" i="5"/>
  <c r="I10536" i="5"/>
  <c r="I10526" i="5"/>
  <c r="I10516" i="5"/>
  <c r="I10504" i="5"/>
  <c r="I10494" i="5"/>
  <c r="I10484" i="5"/>
  <c r="I10472" i="5"/>
  <c r="I10462" i="5"/>
  <c r="I10452" i="5"/>
  <c r="I10440" i="5"/>
  <c r="I10430" i="5"/>
  <c r="I10420" i="5"/>
  <c r="I10408" i="5"/>
  <c r="I10398" i="5"/>
  <c r="I10388" i="5"/>
  <c r="I10376" i="5"/>
  <c r="I10366" i="5"/>
  <c r="I10356" i="5"/>
  <c r="I10347" i="5"/>
  <c r="I10338" i="5"/>
  <c r="I10328" i="5"/>
  <c r="I10319" i="5"/>
  <c r="I10310" i="5"/>
  <c r="I10301" i="5"/>
  <c r="I10292" i="5"/>
  <c r="I10283" i="5"/>
  <c r="I10275" i="5"/>
  <c r="I10267" i="5"/>
  <c r="I10259" i="5"/>
  <c r="I10251" i="5"/>
  <c r="I10243" i="5"/>
  <c r="I10235" i="5"/>
  <c r="I10227" i="5"/>
  <c r="I10219" i="5"/>
  <c r="I10211" i="5"/>
  <c r="I10203" i="5"/>
  <c r="I10195" i="5"/>
  <c r="I10187" i="5"/>
  <c r="I10179" i="5"/>
  <c r="I10171" i="5"/>
  <c r="I10163" i="5"/>
  <c r="I10155" i="5"/>
  <c r="I10147" i="5"/>
  <c r="I10139" i="5"/>
  <c r="I10131" i="5"/>
  <c r="I10123" i="5"/>
  <c r="I10115" i="5"/>
  <c r="I10107" i="5"/>
  <c r="I10099" i="5"/>
  <c r="I10091" i="5"/>
  <c r="I10083" i="5"/>
  <c r="I10075" i="5"/>
  <c r="I10067" i="5"/>
  <c r="I10059" i="5"/>
  <c r="I10051" i="5"/>
  <c r="I10043" i="5"/>
  <c r="I10035" i="5"/>
  <c r="I10027" i="5"/>
  <c r="I10019" i="5"/>
  <c r="I10011" i="5"/>
  <c r="I10003" i="5"/>
  <c r="I9995" i="5"/>
  <c r="I9987" i="5"/>
  <c r="I9979" i="5"/>
  <c r="I9971" i="5"/>
  <c r="I9963" i="5"/>
  <c r="I9955" i="5"/>
  <c r="I9947" i="5"/>
  <c r="I9939" i="5"/>
  <c r="I9931" i="5"/>
  <c r="I9923" i="5"/>
  <c r="I9915" i="5"/>
  <c r="I9907" i="5"/>
  <c r="I9899" i="5"/>
  <c r="I9891" i="5"/>
  <c r="I9883" i="5"/>
  <c r="I9875" i="5"/>
  <c r="I9867" i="5"/>
  <c r="I9859" i="5"/>
  <c r="I9851" i="5"/>
  <c r="I9843" i="5"/>
  <c r="I9835" i="5"/>
  <c r="I9827" i="5"/>
  <c r="I9819" i="5"/>
  <c r="I9811" i="5"/>
  <c r="I9803" i="5"/>
  <c r="I9795" i="5"/>
  <c r="I9787" i="5"/>
  <c r="I9779" i="5"/>
  <c r="I9771" i="5"/>
  <c r="I9763" i="5"/>
  <c r="I9755" i="5"/>
  <c r="I9747" i="5"/>
  <c r="I9739" i="5"/>
  <c r="I9731" i="5"/>
  <c r="I9723" i="5"/>
  <c r="I9715" i="5"/>
  <c r="I9707" i="5"/>
  <c r="I9699" i="5"/>
  <c r="I9691" i="5"/>
  <c r="I9683" i="5"/>
  <c r="I9675" i="5"/>
  <c r="I9667" i="5"/>
  <c r="I9659" i="5"/>
  <c r="I9651" i="5"/>
  <c r="I9643" i="5"/>
  <c r="I9635" i="5"/>
  <c r="I9627" i="5"/>
  <c r="I9619" i="5"/>
  <c r="I9611" i="5"/>
  <c r="I9603" i="5"/>
  <c r="I9595" i="5"/>
  <c r="I9587" i="5"/>
  <c r="I9579" i="5"/>
  <c r="I9571" i="5"/>
  <c r="I9563" i="5"/>
  <c r="I9555" i="5"/>
  <c r="I9547" i="5"/>
  <c r="I9539" i="5"/>
  <c r="I9531" i="5"/>
  <c r="I9523" i="5"/>
  <c r="I9515" i="5"/>
  <c r="I9507" i="5"/>
  <c r="I9499" i="5"/>
  <c r="I9491" i="5"/>
  <c r="I9483" i="5"/>
  <c r="I9475" i="5"/>
  <c r="I9467" i="5"/>
  <c r="I9459" i="5"/>
  <c r="I9451" i="5"/>
  <c r="I9443" i="5"/>
  <c r="I9435" i="5"/>
  <c r="I9427" i="5"/>
  <c r="I9419" i="5"/>
  <c r="I9411" i="5"/>
  <c r="I9403" i="5"/>
  <c r="I9395" i="5"/>
  <c r="I9387" i="5"/>
  <c r="I9379" i="5"/>
  <c r="I9371" i="5"/>
  <c r="I9363" i="5"/>
  <c r="I9355" i="5"/>
  <c r="I9347" i="5"/>
  <c r="I9339" i="5"/>
  <c r="I9331" i="5"/>
  <c r="I9323" i="5"/>
  <c r="I9315" i="5"/>
  <c r="I9307" i="5"/>
  <c r="I9299" i="5"/>
  <c r="I9291" i="5"/>
  <c r="I9283" i="5"/>
  <c r="I9275" i="5"/>
  <c r="I9267" i="5"/>
  <c r="I9259" i="5"/>
  <c r="I9251" i="5"/>
  <c r="I9243" i="5"/>
  <c r="I9235" i="5"/>
  <c r="I9227" i="5"/>
  <c r="I9219" i="5"/>
  <c r="I9211" i="5"/>
  <c r="I9203" i="5"/>
  <c r="I9195" i="5"/>
  <c r="I9187" i="5"/>
  <c r="I9179" i="5"/>
  <c r="I9171" i="5"/>
  <c r="I9163" i="5"/>
  <c r="I9155" i="5"/>
  <c r="I9147" i="5"/>
  <c r="I9139" i="5"/>
  <c r="I9131" i="5"/>
  <c r="I9123" i="5"/>
  <c r="I9115" i="5"/>
  <c r="I9107" i="5"/>
  <c r="I9099" i="5"/>
  <c r="I9091" i="5"/>
  <c r="I9083" i="5"/>
  <c r="I9075" i="5"/>
  <c r="I9067" i="5"/>
  <c r="I9059" i="5"/>
  <c r="I9051" i="5"/>
  <c r="I9043" i="5"/>
  <c r="I9035" i="5"/>
  <c r="I9027" i="5"/>
  <c r="I9019" i="5"/>
  <c r="I9011" i="5"/>
  <c r="I9003" i="5"/>
  <c r="I8995" i="5"/>
  <c r="I8987" i="5"/>
  <c r="I8979" i="5"/>
  <c r="I8971" i="5"/>
  <c r="I8963" i="5"/>
  <c r="I8955" i="5"/>
  <c r="I8947" i="5"/>
  <c r="I8939" i="5"/>
  <c r="I8931" i="5"/>
  <c r="I8923" i="5"/>
  <c r="I8915" i="5"/>
  <c r="I8907" i="5"/>
  <c r="I8899" i="5"/>
  <c r="I8891" i="5"/>
  <c r="I8883" i="5"/>
  <c r="I8875" i="5"/>
  <c r="I8867" i="5"/>
  <c r="I8859" i="5"/>
  <c r="I8851" i="5"/>
  <c r="I8843" i="5"/>
  <c r="I8835" i="5"/>
  <c r="I8827" i="5"/>
  <c r="I8819" i="5"/>
  <c r="I8811" i="5"/>
  <c r="I8803" i="5"/>
  <c r="I8795" i="5"/>
  <c r="I8787" i="5"/>
  <c r="I8779" i="5"/>
  <c r="I8771" i="5"/>
  <c r="I8763" i="5"/>
  <c r="I8755" i="5"/>
  <c r="I8747" i="5"/>
  <c r="I8739" i="5"/>
  <c r="I8731" i="5"/>
  <c r="I8723" i="5"/>
  <c r="I8715" i="5"/>
  <c r="I8707" i="5"/>
  <c r="I8699" i="5"/>
  <c r="I8691" i="5"/>
  <c r="I8683" i="5"/>
  <c r="I8675" i="5"/>
  <c r="I8667" i="5"/>
  <c r="I8659" i="5"/>
  <c r="I8651" i="5"/>
  <c r="I8643" i="5"/>
  <c r="I8635" i="5"/>
  <c r="I8627" i="5"/>
  <c r="I8619" i="5"/>
  <c r="I8611" i="5"/>
  <c r="I8603" i="5"/>
  <c r="I8595" i="5"/>
  <c r="I8587" i="5"/>
  <c r="I8579" i="5"/>
  <c r="I8571" i="5"/>
  <c r="I8563" i="5"/>
  <c r="I8555" i="5"/>
  <c r="I8547" i="5"/>
  <c r="I8539" i="5"/>
  <c r="I8531" i="5"/>
  <c r="I8523" i="5"/>
  <c r="I8515" i="5"/>
  <c r="I8507" i="5"/>
  <c r="I8499" i="5"/>
  <c r="I8491" i="5"/>
  <c r="I8483" i="5"/>
  <c r="I8475" i="5"/>
  <c r="I8467" i="5"/>
  <c r="I8459" i="5"/>
  <c r="I8451" i="5"/>
  <c r="I8443" i="5"/>
  <c r="I8435" i="5"/>
  <c r="I8427" i="5"/>
  <c r="I8419" i="5"/>
  <c r="I8411" i="5"/>
  <c r="I8403" i="5"/>
  <c r="I8395" i="5"/>
  <c r="I8387" i="5"/>
  <c r="I8379" i="5"/>
  <c r="I8371" i="5"/>
  <c r="I8363" i="5"/>
  <c r="I8355" i="5"/>
  <c r="I8347" i="5"/>
  <c r="I8339" i="5"/>
  <c r="I8331" i="5"/>
  <c r="I8323" i="5"/>
  <c r="I8315" i="5"/>
  <c r="I8307" i="5"/>
  <c r="I8299" i="5"/>
  <c r="I8291" i="5"/>
  <c r="I8283" i="5"/>
  <c r="I8275" i="5"/>
  <c r="I8267" i="5"/>
  <c r="I8259" i="5"/>
  <c r="I8251" i="5"/>
  <c r="I8243" i="5"/>
  <c r="I8235" i="5"/>
  <c r="I8227" i="5"/>
  <c r="I8219" i="5"/>
  <c r="I8211" i="5"/>
  <c r="I8203" i="5"/>
  <c r="I8195" i="5"/>
  <c r="I8187" i="5"/>
  <c r="I8179" i="5"/>
  <c r="I8171" i="5"/>
  <c r="I8163" i="5"/>
  <c r="I8155" i="5"/>
  <c r="I8147" i="5"/>
  <c r="I8139" i="5"/>
  <c r="I8131" i="5"/>
  <c r="I8123" i="5"/>
  <c r="I8115" i="5"/>
  <c r="I8107" i="5"/>
  <c r="I8099" i="5"/>
  <c r="I8091" i="5"/>
  <c r="I8083" i="5"/>
  <c r="I8075" i="5"/>
  <c r="I8067" i="5"/>
  <c r="I8059" i="5"/>
  <c r="I8051" i="5"/>
  <c r="I8043" i="5"/>
  <c r="I8035" i="5"/>
  <c r="I8027" i="5"/>
  <c r="I8019" i="5"/>
  <c r="I8011" i="5"/>
  <c r="I8003" i="5"/>
  <c r="I7995" i="5"/>
  <c r="I7987" i="5"/>
  <c r="I7979" i="5"/>
  <c r="I7971" i="5"/>
  <c r="I7963" i="5"/>
  <c r="I7955" i="5"/>
  <c r="I7947" i="5"/>
  <c r="I7939" i="5"/>
  <c r="I7931" i="5"/>
  <c r="I7923" i="5"/>
  <c r="I7915" i="5"/>
  <c r="I7907" i="5"/>
  <c r="I7899" i="5"/>
  <c r="I7891" i="5"/>
  <c r="I7883" i="5"/>
  <c r="I7875" i="5"/>
  <c r="I7867" i="5"/>
  <c r="I7859" i="5"/>
  <c r="I7851" i="5"/>
  <c r="I7843" i="5"/>
  <c r="I7835" i="5"/>
  <c r="I7827" i="5"/>
  <c r="I7819" i="5"/>
  <c r="I7811" i="5"/>
  <c r="I7803" i="5"/>
  <c r="I7795" i="5"/>
  <c r="I7787" i="5"/>
  <c r="I7779" i="5"/>
  <c r="I7771" i="5"/>
  <c r="I7763" i="5"/>
  <c r="I7755" i="5"/>
  <c r="I7747" i="5"/>
  <c r="I7739" i="5"/>
  <c r="I7731" i="5"/>
  <c r="I7723" i="5"/>
  <c r="I7715" i="5"/>
  <c r="I7707" i="5"/>
  <c r="I7699" i="5"/>
  <c r="I7691" i="5"/>
  <c r="I7683" i="5"/>
  <c r="I7675" i="5"/>
  <c r="I7667" i="5"/>
  <c r="I7659" i="5"/>
  <c r="I7651" i="5"/>
  <c r="I7643" i="5"/>
  <c r="I7635" i="5"/>
  <c r="I7627" i="5"/>
  <c r="I7619" i="5"/>
  <c r="I7611" i="5"/>
  <c r="I7603" i="5"/>
  <c r="I7595" i="5"/>
  <c r="I7587" i="5"/>
  <c r="I7579" i="5"/>
  <c r="I7571" i="5"/>
  <c r="I7563" i="5"/>
  <c r="I7555" i="5"/>
  <c r="I7547" i="5"/>
  <c r="I7539" i="5"/>
  <c r="I7531" i="5"/>
  <c r="I7523" i="5"/>
  <c r="I7515" i="5"/>
  <c r="I7507" i="5"/>
  <c r="I7499" i="5"/>
  <c r="I7491" i="5"/>
  <c r="I7483" i="5"/>
  <c r="I7475" i="5"/>
  <c r="I7467" i="5"/>
  <c r="I7459" i="5"/>
  <c r="I7451" i="5"/>
  <c r="I7443" i="5"/>
  <c r="I7435" i="5"/>
  <c r="I7427" i="5"/>
  <c r="I7419" i="5"/>
  <c r="I7411" i="5"/>
  <c r="I7403" i="5"/>
  <c r="I7395" i="5"/>
  <c r="I7387" i="5"/>
  <c r="I7379" i="5"/>
  <c r="I7371" i="5"/>
  <c r="I7363" i="5"/>
  <c r="I7355" i="5"/>
  <c r="I7347" i="5"/>
  <c r="I7339" i="5"/>
  <c r="I7331" i="5"/>
  <c r="I7323" i="5"/>
  <c r="I7315" i="5"/>
  <c r="I7307" i="5"/>
  <c r="I7299" i="5"/>
  <c r="I7291" i="5"/>
  <c r="I7283" i="5"/>
  <c r="I7275" i="5"/>
  <c r="I7267" i="5"/>
  <c r="I7259" i="5"/>
  <c r="I7251" i="5"/>
  <c r="I7243" i="5"/>
  <c r="I7235" i="5"/>
  <c r="I7227" i="5"/>
  <c r="I7219" i="5"/>
  <c r="I7211" i="5"/>
  <c r="I7203" i="5"/>
  <c r="I7195" i="5"/>
  <c r="I7187" i="5"/>
  <c r="I7179" i="5"/>
  <c r="I7171" i="5"/>
  <c r="I7163" i="5"/>
  <c r="I7155" i="5"/>
  <c r="I7147" i="5"/>
  <c r="I7139" i="5"/>
  <c r="I7131" i="5"/>
  <c r="I7123" i="5"/>
  <c r="I7115" i="5"/>
  <c r="I7107" i="5"/>
  <c r="I7099" i="5"/>
  <c r="I7091" i="5"/>
  <c r="I7083" i="5"/>
  <c r="I7075" i="5"/>
  <c r="I7067" i="5"/>
  <c r="I7059" i="5"/>
  <c r="I7051" i="5"/>
  <c r="I7043" i="5"/>
  <c r="I7035" i="5"/>
  <c r="I7027" i="5"/>
  <c r="I7019" i="5"/>
  <c r="I7011" i="5"/>
  <c r="I7003" i="5"/>
  <c r="I6995" i="5"/>
  <c r="I6987" i="5"/>
  <c r="I6979" i="5"/>
  <c r="I6971" i="5"/>
  <c r="I6963" i="5"/>
  <c r="I6955" i="5"/>
  <c r="I6947" i="5"/>
  <c r="I6939" i="5"/>
  <c r="I6931" i="5"/>
  <c r="I6923" i="5"/>
  <c r="I6915" i="5"/>
  <c r="I6907" i="5"/>
  <c r="I6899" i="5"/>
  <c r="I6891" i="5"/>
  <c r="I6883" i="5"/>
  <c r="I6875" i="5"/>
  <c r="I6867" i="5"/>
  <c r="I6859" i="5"/>
  <c r="I6851" i="5"/>
  <c r="I6843" i="5"/>
  <c r="I6835" i="5"/>
  <c r="I6827" i="5"/>
  <c r="I6819" i="5"/>
  <c r="I6811" i="5"/>
  <c r="I6803" i="5"/>
  <c r="I6795" i="5"/>
  <c r="I6787" i="5"/>
  <c r="I6779" i="5"/>
  <c r="I6771" i="5"/>
  <c r="I6763" i="5"/>
  <c r="I6755" i="5"/>
  <c r="I6747" i="5"/>
  <c r="I6739" i="5"/>
  <c r="I6731" i="5"/>
  <c r="I6723" i="5"/>
  <c r="I6715" i="5"/>
  <c r="I6707" i="5"/>
  <c r="I6699" i="5"/>
  <c r="I6691" i="5"/>
  <c r="I6683" i="5"/>
  <c r="I6675" i="5"/>
  <c r="I6667" i="5"/>
  <c r="I6659" i="5"/>
  <c r="I6651" i="5"/>
  <c r="I6643" i="5"/>
  <c r="I6635" i="5"/>
  <c r="I6627" i="5"/>
  <c r="I6619" i="5"/>
  <c r="I6611" i="5"/>
  <c r="I6603" i="5"/>
  <c r="I6595" i="5"/>
  <c r="I6587" i="5"/>
  <c r="I6579" i="5"/>
  <c r="I6571" i="5"/>
  <c r="I6563" i="5"/>
  <c r="I6555" i="5"/>
  <c r="I6547" i="5"/>
  <c r="I6539" i="5"/>
  <c r="I6531" i="5"/>
  <c r="I6523" i="5"/>
  <c r="I6515" i="5"/>
  <c r="I6507" i="5"/>
  <c r="I6499" i="5"/>
  <c r="I6491" i="5"/>
  <c r="I6483" i="5"/>
  <c r="I6475" i="5"/>
  <c r="I6467" i="5"/>
  <c r="I6459" i="5"/>
  <c r="I6451" i="5"/>
  <c r="I6443" i="5"/>
  <c r="I6435" i="5"/>
  <c r="I6427" i="5"/>
  <c r="I6419" i="5"/>
  <c r="I6411" i="5"/>
  <c r="I6403" i="5"/>
  <c r="I6395" i="5"/>
  <c r="I6387" i="5"/>
  <c r="I6379" i="5"/>
  <c r="I6371" i="5"/>
  <c r="I6363" i="5"/>
  <c r="I6355" i="5"/>
  <c r="I6347" i="5"/>
  <c r="I6339" i="5"/>
  <c r="I6331" i="5"/>
  <c r="I6323" i="5"/>
  <c r="I6315" i="5"/>
  <c r="I6307" i="5"/>
  <c r="I6299" i="5"/>
  <c r="I6291" i="5"/>
  <c r="I6283" i="5"/>
  <c r="I6275" i="5"/>
  <c r="I6267" i="5"/>
  <c r="I6259" i="5"/>
  <c r="I6251" i="5"/>
  <c r="I6243" i="5"/>
  <c r="I6235" i="5"/>
  <c r="I6227" i="5"/>
  <c r="I6219" i="5"/>
  <c r="I6211" i="5"/>
  <c r="I6203" i="5"/>
  <c r="I6195" i="5"/>
  <c r="I6187" i="5"/>
  <c r="I6179" i="5"/>
  <c r="I6171" i="5"/>
  <c r="I6163" i="5"/>
  <c r="I6155" i="5"/>
  <c r="I6147" i="5"/>
  <c r="I6139" i="5"/>
  <c r="I6131" i="5"/>
  <c r="I6123" i="5"/>
  <c r="I6115" i="5"/>
  <c r="I6107" i="5"/>
  <c r="I6099" i="5"/>
  <c r="I6091" i="5"/>
  <c r="I6083" i="5"/>
  <c r="I6075" i="5"/>
  <c r="I6067" i="5"/>
  <c r="I6059" i="5"/>
  <c r="I6051" i="5"/>
  <c r="I6043" i="5"/>
  <c r="I6035" i="5"/>
  <c r="I6027" i="5"/>
  <c r="I6019" i="5"/>
  <c r="I6011" i="5"/>
  <c r="I6003" i="5"/>
  <c r="I5995" i="5"/>
  <c r="I5987" i="5"/>
  <c r="I5979" i="5"/>
  <c r="I5971" i="5"/>
  <c r="I5963" i="5"/>
  <c r="I5955" i="5"/>
  <c r="I5947" i="5"/>
  <c r="I5939" i="5"/>
  <c r="I5931" i="5"/>
  <c r="I5923" i="5"/>
  <c r="I5915" i="5"/>
  <c r="I5907" i="5"/>
  <c r="I5899" i="5"/>
  <c r="I5891" i="5"/>
  <c r="I5883" i="5"/>
  <c r="I5875" i="5"/>
  <c r="I5867" i="5"/>
  <c r="I5859" i="5"/>
  <c r="I5851" i="5"/>
  <c r="I5843" i="5"/>
  <c r="I5835" i="5"/>
  <c r="I5827" i="5"/>
  <c r="I5819" i="5"/>
  <c r="I5811" i="5"/>
  <c r="I5803" i="5"/>
  <c r="I5795" i="5"/>
  <c r="I5787" i="5"/>
  <c r="I5779" i="5"/>
  <c r="I5771" i="5"/>
  <c r="I5763" i="5"/>
  <c r="I5755" i="5"/>
  <c r="I5747" i="5"/>
  <c r="I5739" i="5"/>
  <c r="I5731" i="5"/>
  <c r="I5723" i="5"/>
  <c r="I5715" i="5"/>
  <c r="I5707" i="5"/>
  <c r="I5699" i="5"/>
  <c r="I5691" i="5"/>
  <c r="I5683" i="5"/>
  <c r="I5675" i="5"/>
  <c r="I5667" i="5"/>
  <c r="I5659" i="5"/>
  <c r="I5651" i="5"/>
  <c r="I5643" i="5"/>
  <c r="I5635" i="5"/>
  <c r="I5627" i="5"/>
  <c r="I5619" i="5"/>
  <c r="I5611" i="5"/>
  <c r="I5603" i="5"/>
  <c r="I5595" i="5"/>
  <c r="I5587" i="5"/>
  <c r="I5579" i="5"/>
  <c r="I5571" i="5"/>
  <c r="I5563" i="5"/>
  <c r="I5555" i="5"/>
  <c r="I5547" i="5"/>
  <c r="I5539" i="5"/>
  <c r="I5531" i="5"/>
  <c r="I5523" i="5"/>
  <c r="I5515" i="5"/>
  <c r="I5507" i="5"/>
  <c r="I5499" i="5"/>
  <c r="I5491" i="5"/>
  <c r="I5483" i="5"/>
  <c r="I5475" i="5"/>
  <c r="I5467" i="5"/>
  <c r="I5459" i="5"/>
  <c r="I5451" i="5"/>
  <c r="I5443" i="5"/>
  <c r="I5435" i="5"/>
  <c r="I5427" i="5"/>
  <c r="I5419" i="5"/>
  <c r="I5411" i="5"/>
  <c r="I5403" i="5"/>
  <c r="I5395" i="5"/>
  <c r="I5387" i="5"/>
  <c r="I5379" i="5"/>
  <c r="I5371" i="5"/>
  <c r="I5363" i="5"/>
  <c r="I5355" i="5"/>
  <c r="I5347" i="5"/>
  <c r="I5339" i="5"/>
  <c r="I5331" i="5"/>
  <c r="I5323" i="5"/>
  <c r="I5315" i="5"/>
  <c r="I5307" i="5"/>
  <c r="I5299" i="5"/>
  <c r="I5291" i="5"/>
  <c r="I5283" i="5"/>
  <c r="I5275" i="5"/>
  <c r="I5267" i="5"/>
  <c r="I5259" i="5"/>
  <c r="I5251" i="5"/>
  <c r="I5243" i="5"/>
  <c r="I5235" i="5"/>
  <c r="I5227" i="5"/>
  <c r="I5219" i="5"/>
  <c r="I5211" i="5"/>
  <c r="I5203" i="5"/>
  <c r="I5195" i="5"/>
  <c r="I5187" i="5"/>
  <c r="I5179" i="5"/>
  <c r="I5171" i="5"/>
  <c r="I5163" i="5"/>
  <c r="I5155" i="5"/>
  <c r="I5147" i="5"/>
  <c r="I5139" i="5"/>
  <c r="I5131" i="5"/>
  <c r="I5123" i="5"/>
  <c r="I5115" i="5"/>
  <c r="I5107" i="5"/>
  <c r="I5099" i="5"/>
  <c r="I5091" i="5"/>
  <c r="I5083" i="5"/>
  <c r="I5075" i="5"/>
  <c r="I5067" i="5"/>
  <c r="I5059" i="5"/>
  <c r="I5051" i="5"/>
  <c r="I5043" i="5"/>
  <c r="I5035" i="5"/>
  <c r="I5027" i="5"/>
  <c r="I5019" i="5"/>
  <c r="I5011" i="5"/>
  <c r="I5003" i="5"/>
  <c r="I4995" i="5"/>
  <c r="I4987" i="5"/>
  <c r="I4979" i="5"/>
  <c r="I4971" i="5"/>
  <c r="I4963" i="5"/>
  <c r="I4955" i="5"/>
  <c r="I4947" i="5"/>
  <c r="I4939" i="5"/>
  <c r="I4931" i="5"/>
  <c r="I4923" i="5"/>
  <c r="I4915" i="5"/>
  <c r="I4907" i="5"/>
  <c r="I4899" i="5"/>
  <c r="I4891" i="5"/>
  <c r="I4883" i="5"/>
  <c r="I4875" i="5"/>
  <c r="I4867" i="5"/>
  <c r="I4859" i="5"/>
  <c r="I4851" i="5"/>
  <c r="I4843" i="5"/>
  <c r="I4835" i="5"/>
  <c r="I4827" i="5"/>
  <c r="I4819" i="5"/>
  <c r="I4811" i="5"/>
  <c r="I4803" i="5"/>
  <c r="I4795" i="5"/>
  <c r="I4787" i="5"/>
  <c r="I4779" i="5"/>
  <c r="I4771" i="5"/>
  <c r="I4763" i="5"/>
  <c r="I4755" i="5"/>
  <c r="I4747" i="5"/>
  <c r="I4739" i="5"/>
  <c r="I4731" i="5"/>
  <c r="I4723" i="5"/>
  <c r="I4715" i="5"/>
  <c r="I4707" i="5"/>
  <c r="I4699" i="5"/>
  <c r="I4691" i="5"/>
  <c r="I4683" i="5"/>
  <c r="I4675" i="5"/>
  <c r="I4667" i="5"/>
  <c r="I4659" i="5"/>
  <c r="I4651" i="5"/>
  <c r="I4643" i="5"/>
  <c r="I4635" i="5"/>
  <c r="I4627" i="5"/>
  <c r="I4619" i="5"/>
  <c r="I4611" i="5"/>
  <c r="I4603" i="5"/>
  <c r="I4595" i="5"/>
  <c r="I4587" i="5"/>
  <c r="I4579" i="5"/>
  <c r="I4571" i="5"/>
  <c r="I4563" i="5"/>
  <c r="I4555" i="5"/>
  <c r="I4547" i="5"/>
  <c r="I4539" i="5"/>
  <c r="I4531" i="5"/>
  <c r="I4523" i="5"/>
  <c r="I4515" i="5"/>
  <c r="I4507" i="5"/>
  <c r="I4499" i="5"/>
  <c r="I4491" i="5"/>
  <c r="I4483" i="5"/>
  <c r="I4475" i="5"/>
  <c r="I4467" i="5"/>
  <c r="I4459" i="5"/>
  <c r="I4451" i="5"/>
  <c r="I4443" i="5"/>
  <c r="I4435" i="5"/>
  <c r="I4427" i="5"/>
  <c r="I4419" i="5"/>
  <c r="I4411" i="5"/>
  <c r="I4403" i="5"/>
  <c r="I4395" i="5"/>
  <c r="I4387" i="5"/>
  <c r="I4379" i="5"/>
  <c r="I4371" i="5"/>
  <c r="I4363" i="5"/>
  <c r="I4355" i="5"/>
  <c r="I4347" i="5"/>
  <c r="I4339" i="5"/>
  <c r="I4331" i="5"/>
  <c r="I4323" i="5"/>
  <c r="I4315" i="5"/>
  <c r="I4307" i="5"/>
  <c r="I4299" i="5"/>
  <c r="I4291" i="5"/>
  <c r="I4283" i="5"/>
  <c r="I4275" i="5"/>
  <c r="I4267" i="5"/>
  <c r="I4259" i="5"/>
  <c r="I4251" i="5"/>
  <c r="I4243" i="5"/>
  <c r="I4235" i="5"/>
  <c r="I4227" i="5"/>
  <c r="I4219" i="5"/>
  <c r="I4211" i="5"/>
  <c r="I4203" i="5"/>
  <c r="I4195" i="5"/>
  <c r="I4187" i="5"/>
  <c r="I4179" i="5"/>
  <c r="I4171" i="5"/>
  <c r="I4163" i="5"/>
  <c r="I4155" i="5"/>
  <c r="I4147" i="5"/>
  <c r="I4139" i="5"/>
  <c r="I4131" i="5"/>
  <c r="I4123" i="5"/>
  <c r="I4115" i="5"/>
  <c r="I4107" i="5"/>
  <c r="I4099" i="5"/>
  <c r="I4091" i="5"/>
  <c r="I4083" i="5"/>
  <c r="I4075" i="5"/>
  <c r="I4067" i="5"/>
  <c r="I4059" i="5"/>
  <c r="I4051" i="5"/>
  <c r="I4043" i="5"/>
  <c r="I4035" i="5"/>
  <c r="I4027" i="5"/>
  <c r="I4019" i="5"/>
  <c r="I4011" i="5"/>
  <c r="I4003" i="5"/>
  <c r="I3995" i="5"/>
  <c r="I3987" i="5"/>
  <c r="I3979" i="5"/>
  <c r="I3971" i="5"/>
  <c r="I3963" i="5"/>
  <c r="I3955" i="5"/>
  <c r="I3947" i="5"/>
  <c r="I3939" i="5"/>
  <c r="I3931" i="5"/>
  <c r="I3923" i="5"/>
  <c r="I3915" i="5"/>
  <c r="I3907" i="5"/>
  <c r="I3899" i="5"/>
  <c r="I3891" i="5"/>
  <c r="I3883" i="5"/>
  <c r="I3875" i="5"/>
  <c r="I3867" i="5"/>
  <c r="I3859" i="5"/>
  <c r="I3851" i="5"/>
  <c r="I3843" i="5"/>
  <c r="I3835" i="5"/>
  <c r="I3827" i="5"/>
  <c r="I3819" i="5"/>
  <c r="I3811" i="5"/>
  <c r="I3803" i="5"/>
  <c r="I3795" i="5"/>
  <c r="I3787" i="5"/>
  <c r="I3779" i="5"/>
  <c r="I3771" i="5"/>
  <c r="I3763" i="5"/>
  <c r="I3755" i="5"/>
  <c r="I3747" i="5"/>
  <c r="I3739" i="5"/>
  <c r="I3731" i="5"/>
  <c r="I3723" i="5"/>
  <c r="I3715" i="5"/>
  <c r="I3707" i="5"/>
  <c r="I3699" i="5"/>
  <c r="I3691" i="5"/>
  <c r="I3683" i="5"/>
  <c r="I3675" i="5"/>
  <c r="I3667" i="5"/>
  <c r="I3659" i="5"/>
  <c r="I3651" i="5"/>
  <c r="I3643" i="5"/>
  <c r="I3635" i="5"/>
  <c r="I3627" i="5"/>
  <c r="I3619" i="5"/>
  <c r="I3611" i="5"/>
  <c r="I3603" i="5"/>
  <c r="I3595" i="5"/>
  <c r="I3587" i="5"/>
  <c r="I3579" i="5"/>
  <c r="I3571" i="5"/>
  <c r="I3563" i="5"/>
  <c r="I3555" i="5"/>
  <c r="I3547" i="5"/>
  <c r="I3539" i="5"/>
  <c r="I3531" i="5"/>
  <c r="I3523" i="5"/>
  <c r="I3515" i="5"/>
  <c r="I3507" i="5"/>
  <c r="I3499" i="5"/>
  <c r="I3491" i="5"/>
  <c r="I3483" i="5"/>
  <c r="I3475" i="5"/>
  <c r="I3467" i="5"/>
  <c r="I3459" i="5"/>
  <c r="I3451" i="5"/>
  <c r="I3443" i="5"/>
  <c r="I3435" i="5"/>
  <c r="I3427" i="5"/>
  <c r="I3419" i="5"/>
  <c r="I3411" i="5"/>
  <c r="I3403" i="5"/>
  <c r="I3395" i="5"/>
  <c r="I3387" i="5"/>
  <c r="I3379" i="5"/>
  <c r="I3371" i="5"/>
  <c r="I3363" i="5"/>
  <c r="I3355" i="5"/>
  <c r="I3347" i="5"/>
  <c r="I3339" i="5"/>
  <c r="I3331" i="5"/>
  <c r="I3323" i="5"/>
  <c r="I3315" i="5"/>
  <c r="I3307" i="5"/>
  <c r="I3299" i="5"/>
  <c r="I3291" i="5"/>
  <c r="I3283" i="5"/>
  <c r="I3275" i="5"/>
  <c r="I3267" i="5"/>
  <c r="I3259" i="5"/>
  <c r="I3251" i="5"/>
  <c r="I3243" i="5"/>
  <c r="I3235" i="5"/>
  <c r="I3227" i="5"/>
  <c r="I3219" i="5"/>
  <c r="I3211" i="5"/>
  <c r="I3203" i="5"/>
  <c r="I3195" i="5"/>
  <c r="I3187" i="5"/>
  <c r="I3179" i="5"/>
  <c r="I3171" i="5"/>
  <c r="I3163" i="5"/>
  <c r="I3155" i="5"/>
  <c r="I3147" i="5"/>
  <c r="I3139" i="5"/>
  <c r="I3131" i="5"/>
  <c r="I3123" i="5"/>
  <c r="I3115" i="5"/>
  <c r="I3107" i="5"/>
  <c r="I3099" i="5"/>
  <c r="I3091" i="5"/>
  <c r="I3083" i="5"/>
  <c r="I3075" i="5"/>
  <c r="I3067" i="5"/>
  <c r="I3059" i="5"/>
  <c r="I3051" i="5"/>
  <c r="I3043" i="5"/>
  <c r="I3035" i="5"/>
  <c r="I3027" i="5"/>
  <c r="I3019" i="5"/>
  <c r="I3011" i="5"/>
  <c r="I3003" i="5"/>
  <c r="I2995" i="5"/>
  <c r="I2987" i="5"/>
  <c r="I2979" i="5"/>
  <c r="I2971" i="5"/>
  <c r="I2963" i="5"/>
  <c r="I2955" i="5"/>
  <c r="I2947" i="5"/>
  <c r="I2939" i="5"/>
  <c r="I2931" i="5"/>
  <c r="I2923" i="5"/>
  <c r="I2915" i="5"/>
  <c r="I2907" i="5"/>
  <c r="I2899" i="5"/>
  <c r="I2891" i="5"/>
  <c r="I2883" i="5"/>
  <c r="I2875" i="5"/>
  <c r="I2867" i="5"/>
  <c r="I2859" i="5"/>
  <c r="I2851" i="5"/>
  <c r="I2843" i="5"/>
  <c r="I2835" i="5"/>
  <c r="I2827" i="5"/>
  <c r="I2819" i="5"/>
  <c r="I2811" i="5"/>
  <c r="I2803" i="5"/>
  <c r="I2795" i="5"/>
  <c r="I2787" i="5"/>
  <c r="I2779" i="5"/>
  <c r="I2771" i="5"/>
  <c r="I2763" i="5"/>
  <c r="I2755" i="5"/>
  <c r="I2747" i="5"/>
  <c r="I2739" i="5"/>
  <c r="I2731" i="5"/>
  <c r="I2723" i="5"/>
  <c r="I2715" i="5"/>
  <c r="I2707" i="5"/>
  <c r="I2699" i="5"/>
  <c r="I2691" i="5"/>
  <c r="I2683" i="5"/>
  <c r="I2675" i="5"/>
  <c r="I2667" i="5"/>
  <c r="I2659" i="5"/>
  <c r="I2651" i="5"/>
  <c r="I2643" i="5"/>
  <c r="I2635" i="5"/>
  <c r="I2627" i="5"/>
  <c r="I2619" i="5"/>
  <c r="I2611" i="5"/>
  <c r="I2603" i="5"/>
  <c r="I2595" i="5"/>
  <c r="I2587" i="5"/>
  <c r="I2579" i="5"/>
  <c r="I2571" i="5"/>
  <c r="I2563" i="5"/>
  <c r="I2555" i="5"/>
  <c r="I2547" i="5"/>
  <c r="I2539" i="5"/>
  <c r="I2531" i="5"/>
  <c r="I2523" i="5"/>
  <c r="I2515" i="5"/>
  <c r="I2507" i="5"/>
  <c r="I2499" i="5"/>
  <c r="I2491" i="5"/>
  <c r="I2483" i="5"/>
  <c r="I2475" i="5"/>
  <c r="I2467" i="5"/>
  <c r="I2459" i="5"/>
  <c r="I2451" i="5"/>
  <c r="I2443" i="5"/>
  <c r="I2435" i="5"/>
  <c r="I2427" i="5"/>
  <c r="I2419" i="5"/>
  <c r="I2411" i="5"/>
  <c r="I2403" i="5"/>
  <c r="I2395" i="5"/>
  <c r="I2387" i="5"/>
  <c r="I2379" i="5"/>
  <c r="I2371" i="5"/>
  <c r="I2363" i="5"/>
  <c r="I2355" i="5"/>
  <c r="I2347" i="5"/>
  <c r="I2339" i="5"/>
  <c r="I2331" i="5"/>
  <c r="I2323" i="5"/>
  <c r="I2315" i="5"/>
  <c r="I2307" i="5"/>
  <c r="I2299" i="5"/>
  <c r="I2291" i="5"/>
  <c r="I2283" i="5"/>
  <c r="I2275" i="5"/>
  <c r="I2267" i="5"/>
  <c r="I2259" i="5"/>
  <c r="I2251" i="5"/>
  <c r="I2243" i="5"/>
  <c r="I2235" i="5"/>
  <c r="I2227" i="5"/>
  <c r="I2219" i="5"/>
  <c r="I2211" i="5"/>
  <c r="I2203" i="5"/>
  <c r="I2195" i="5"/>
  <c r="I2187" i="5"/>
  <c r="I2179" i="5"/>
  <c r="I2171" i="5"/>
  <c r="I2163" i="5"/>
  <c r="I2155" i="5"/>
  <c r="I2147" i="5"/>
  <c r="I2139" i="5"/>
  <c r="I2131" i="5"/>
  <c r="I2123" i="5"/>
  <c r="I2115" i="5"/>
  <c r="I2107" i="5"/>
  <c r="I2099" i="5"/>
  <c r="I2091" i="5"/>
  <c r="I2083" i="5"/>
  <c r="I2075" i="5"/>
  <c r="I2067" i="5"/>
  <c r="I2059" i="5"/>
  <c r="I2051" i="5"/>
  <c r="I2043" i="5"/>
  <c r="I2035" i="5"/>
  <c r="I2027" i="5"/>
  <c r="I2019" i="5"/>
  <c r="I2011" i="5"/>
  <c r="I2003" i="5"/>
  <c r="I1995" i="5"/>
  <c r="I1987" i="5"/>
  <c r="I1979" i="5"/>
  <c r="I1971" i="5"/>
  <c r="I1963" i="5"/>
  <c r="I1955" i="5"/>
  <c r="I1947" i="5"/>
  <c r="I1939" i="5"/>
  <c r="I1931" i="5"/>
  <c r="I1923" i="5"/>
  <c r="I1915" i="5"/>
  <c r="I1907" i="5"/>
  <c r="I1899" i="5"/>
  <c r="I1891" i="5"/>
  <c r="I1883" i="5"/>
  <c r="I1875" i="5"/>
  <c r="I1867" i="5"/>
  <c r="I1859" i="5"/>
  <c r="I1851" i="5"/>
  <c r="I1843" i="5"/>
  <c r="I1835" i="5"/>
  <c r="I1827" i="5"/>
  <c r="I1819" i="5"/>
  <c r="I1811" i="5"/>
  <c r="I1803" i="5"/>
  <c r="I1795" i="5"/>
  <c r="I1787" i="5"/>
  <c r="I1779" i="5"/>
  <c r="I1771" i="5"/>
  <c r="I1763" i="5"/>
  <c r="I1755" i="5"/>
  <c r="I1747" i="5"/>
  <c r="I1739" i="5"/>
  <c r="I1731" i="5"/>
  <c r="I1723" i="5"/>
  <c r="I1715" i="5"/>
  <c r="I1707" i="5"/>
  <c r="I1699" i="5"/>
  <c r="I1691" i="5"/>
  <c r="I1683" i="5"/>
  <c r="I1675" i="5"/>
  <c r="I27563" i="5"/>
  <c r="I24423" i="5"/>
  <c r="I23532" i="5"/>
  <c r="I22900" i="5"/>
  <c r="I22260" i="5"/>
  <c r="I21695" i="5"/>
  <c r="I21244" i="5"/>
  <c r="I20764" i="5"/>
  <c r="I20343" i="5"/>
  <c r="I20107" i="5"/>
  <c r="I19867" i="5"/>
  <c r="I19644" i="5"/>
  <c r="I19420" i="5"/>
  <c r="I19180" i="5"/>
  <c r="I18969" i="5"/>
  <c r="I18745" i="5"/>
  <c r="I18523" i="5"/>
  <c r="I18347" i="5"/>
  <c r="I18169" i="5"/>
  <c r="I17977" i="5"/>
  <c r="I17799" i="5"/>
  <c r="I17619" i="5"/>
  <c r="I17427" i="5"/>
  <c r="I17257" i="5"/>
  <c r="I17076" i="5"/>
  <c r="I16884" i="5"/>
  <c r="I16742" i="5"/>
  <c r="I16614" i="5"/>
  <c r="I16476" i="5"/>
  <c r="I16350" i="5"/>
  <c r="I16222" i="5"/>
  <c r="I16084" i="5"/>
  <c r="I15962" i="5"/>
  <c r="I15834" i="5"/>
  <c r="I15697" i="5"/>
  <c r="I15571" i="5"/>
  <c r="I15443" i="5"/>
  <c r="I15306" i="5"/>
  <c r="I15179" i="5"/>
  <c r="I15051" i="5"/>
  <c r="I14914" i="5"/>
  <c r="I14792" i="5"/>
  <c r="I14664" i="5"/>
  <c r="I14553" i="5"/>
  <c r="I14457" i="5"/>
  <c r="I14362" i="5"/>
  <c r="I14260" i="5"/>
  <c r="I14164" i="5"/>
  <c r="I14070" i="5"/>
  <c r="I13968" i="5"/>
  <c r="I13887" i="5"/>
  <c r="I13811" i="5"/>
  <c r="I13731" i="5"/>
  <c r="I13664" i="5"/>
  <c r="I13597" i="5"/>
  <c r="I13525" i="5"/>
  <c r="I13460" i="5"/>
  <c r="I13392" i="5"/>
  <c r="I13330" i="5"/>
  <c r="I13278" i="5"/>
  <c r="I13236" i="5"/>
  <c r="I13191" i="5"/>
  <c r="I13150" i="5"/>
  <c r="I13108" i="5"/>
  <c r="I13063" i="5"/>
  <c r="I13022" i="5"/>
  <c r="I12980" i="5"/>
  <c r="I12935" i="5"/>
  <c r="I12894" i="5"/>
  <c r="I12852" i="5"/>
  <c r="I12807" i="5"/>
  <c r="I12766" i="5"/>
  <c r="I12724" i="5"/>
  <c r="I12679" i="5"/>
  <c r="I12638" i="5"/>
  <c r="I12596" i="5"/>
  <c r="I12551" i="5"/>
  <c r="I12510" i="5"/>
  <c r="I12468" i="5"/>
  <c r="I12423" i="5"/>
  <c r="I12382" i="5"/>
  <c r="I12340" i="5"/>
  <c r="I12295" i="5"/>
  <c r="I12254" i="5"/>
  <c r="I12212" i="5"/>
  <c r="I12167" i="5"/>
  <c r="I12126" i="5"/>
  <c r="I12084" i="5"/>
  <c r="I12039" i="5"/>
  <c r="I11998" i="5"/>
  <c r="I11956" i="5"/>
  <c r="I11911" i="5"/>
  <c r="I11870" i="5"/>
  <c r="I11828" i="5"/>
  <c r="I11783" i="5"/>
  <c r="I11742" i="5"/>
  <c r="I11700" i="5"/>
  <c r="I11655" i="5"/>
  <c r="I26773" i="5"/>
  <c r="I24415" i="5"/>
  <c r="I23519" i="5"/>
  <c r="I22847" i="5"/>
  <c r="I22255" i="5"/>
  <c r="I21663" i="5"/>
  <c r="I21183" i="5"/>
  <c r="I20739" i="5"/>
  <c r="I20319" i="5"/>
  <c r="I20076" i="5"/>
  <c r="I19865" i="5"/>
  <c r="I19641" i="5"/>
  <c r="I19401" i="5"/>
  <c r="I19179" i="5"/>
  <c r="I18955" i="5"/>
  <c r="I18715" i="5"/>
  <c r="I18515" i="5"/>
  <c r="I18337" i="5"/>
  <c r="I18145" i="5"/>
  <c r="I17972" i="5"/>
  <c r="I17794" i="5"/>
  <c r="I17602" i="5"/>
  <c r="I17426" i="5"/>
  <c r="I17247" i="5"/>
  <c r="I17055" i="5"/>
  <c r="I16876" i="5"/>
  <c r="I16734" i="5"/>
  <c r="I16596" i="5"/>
  <c r="I16474" i="5"/>
  <c r="I16346" i="5"/>
  <c r="I16209" i="5"/>
  <c r="I16083" i="5"/>
  <c r="I15955" i="5"/>
  <c r="I15818" i="5"/>
  <c r="I15691" i="5"/>
  <c r="I15563" i="5"/>
  <c r="I15426" i="5"/>
  <c r="I15304" i="5"/>
  <c r="I15176" i="5"/>
  <c r="I15039" i="5"/>
  <c r="I14913" i="5"/>
  <c r="I14785" i="5"/>
  <c r="I14648" i="5"/>
  <c r="I14548" i="5"/>
  <c r="I14454" i="5"/>
  <c r="I14352" i="5"/>
  <c r="I14256" i="5"/>
  <c r="I14161" i="5"/>
  <c r="I14059" i="5"/>
  <c r="I13963" i="5"/>
  <c r="I13884" i="5"/>
  <c r="I13802" i="5"/>
  <c r="I13728" i="5"/>
  <c r="I13661" i="5"/>
  <c r="I13589" i="5"/>
  <c r="I13524" i="5"/>
  <c r="I13456" i="5"/>
  <c r="I13384" i="5"/>
  <c r="I13328" i="5"/>
  <c r="I13276" i="5"/>
  <c r="I13231" i="5"/>
  <c r="I13190" i="5"/>
  <c r="I13148" i="5"/>
  <c r="I13103" i="5"/>
  <c r="I13062" i="5"/>
  <c r="I13020" i="5"/>
  <c r="I12975" i="5"/>
  <c r="I12934" i="5"/>
  <c r="I12892" i="5"/>
  <c r="I12847" i="5"/>
  <c r="I12806" i="5"/>
  <c r="I12764" i="5"/>
  <c r="I12719" i="5"/>
  <c r="I12678" i="5"/>
  <c r="I12636" i="5"/>
  <c r="I12591" i="5"/>
  <c r="I12550" i="5"/>
  <c r="I12508" i="5"/>
  <c r="I12463" i="5"/>
  <c r="I12422" i="5"/>
  <c r="I12380" i="5"/>
  <c r="I12335" i="5"/>
  <c r="I12294" i="5"/>
  <c r="I12252" i="5"/>
  <c r="I12207" i="5"/>
  <c r="I12166" i="5"/>
  <c r="I12124" i="5"/>
  <c r="I12079" i="5"/>
  <c r="I12038" i="5"/>
  <c r="I11996" i="5"/>
  <c r="I11951" i="5"/>
  <c r="I11910" i="5"/>
  <c r="I11868" i="5"/>
  <c r="I11823" i="5"/>
  <c r="I11782" i="5"/>
  <c r="I11740" i="5"/>
  <c r="I11695" i="5"/>
  <c r="I11654" i="5"/>
  <c r="I11612" i="5"/>
  <c r="I11567" i="5"/>
  <c r="I11526" i="5"/>
  <c r="I11484" i="5"/>
  <c r="I11439" i="5"/>
  <c r="I11398" i="5"/>
  <c r="I11356" i="5"/>
  <c r="I11311" i="5"/>
  <c r="I11270" i="5"/>
  <c r="I11230" i="5"/>
  <c r="I11198" i="5"/>
  <c r="I11166" i="5"/>
  <c r="I11134" i="5"/>
  <c r="I11102" i="5"/>
  <c r="I11070" i="5"/>
  <c r="I11038" i="5"/>
  <c r="I11006" i="5"/>
  <c r="I10974" i="5"/>
  <c r="I10942" i="5"/>
  <c r="I10910" i="5"/>
  <c r="I10878" i="5"/>
  <c r="I10846" i="5"/>
  <c r="I10821" i="5"/>
  <c r="I10796" i="5"/>
  <c r="I10770" i="5"/>
  <c r="I10743" i="5"/>
  <c r="I10718" i="5"/>
  <c r="I10693" i="5"/>
  <c r="I10668" i="5"/>
  <c r="I10642" i="5"/>
  <c r="I10615" i="5"/>
  <c r="I10590" i="5"/>
  <c r="I10566" i="5"/>
  <c r="I10544" i="5"/>
  <c r="I10524" i="5"/>
  <c r="I10502" i="5"/>
  <c r="I10480" i="5"/>
  <c r="I10460" i="5"/>
  <c r="I10438" i="5"/>
  <c r="I10416" i="5"/>
  <c r="I10396" i="5"/>
  <c r="I10374" i="5"/>
  <c r="I10354" i="5"/>
  <c r="I10335" i="5"/>
  <c r="I10317" i="5"/>
  <c r="I10299" i="5"/>
  <c r="I10281" i="5"/>
  <c r="I10265" i="5"/>
  <c r="I10249" i="5"/>
  <c r="I10233" i="5"/>
  <c r="I10217" i="5"/>
  <c r="I10201" i="5"/>
  <c r="I10185" i="5"/>
  <c r="I10169" i="5"/>
  <c r="I10153" i="5"/>
  <c r="I10137" i="5"/>
  <c r="I10121" i="5"/>
  <c r="I10105" i="5"/>
  <c r="I10089" i="5"/>
  <c r="I10073" i="5"/>
  <c r="I10057" i="5"/>
  <c r="I10041" i="5"/>
  <c r="I10025" i="5"/>
  <c r="I10009" i="5"/>
  <c r="I9993" i="5"/>
  <c r="I9977" i="5"/>
  <c r="I9961" i="5"/>
  <c r="I9945" i="5"/>
  <c r="I9929" i="5"/>
  <c r="I9913" i="5"/>
  <c r="I9897" i="5"/>
  <c r="I9881" i="5"/>
  <c r="I9865" i="5"/>
  <c r="I9849" i="5"/>
  <c r="I9833" i="5"/>
  <c r="I9817" i="5"/>
  <c r="I9801" i="5"/>
  <c r="I9785" i="5"/>
  <c r="I9769" i="5"/>
  <c r="I9753" i="5"/>
  <c r="I9737" i="5"/>
  <c r="I9721" i="5"/>
  <c r="I9705" i="5"/>
  <c r="I9689" i="5"/>
  <c r="I9673" i="5"/>
  <c r="I9657" i="5"/>
  <c r="I9641" i="5"/>
  <c r="I9625" i="5"/>
  <c r="I9609" i="5"/>
  <c r="I9593" i="5"/>
  <c r="I9578" i="5"/>
  <c r="I9567" i="5"/>
  <c r="I9553" i="5"/>
  <c r="I9540" i="5"/>
  <c r="I9528" i="5"/>
  <c r="I9514" i="5"/>
  <c r="I9503" i="5"/>
  <c r="I9489" i="5"/>
  <c r="I9476" i="5"/>
  <c r="I9464" i="5"/>
  <c r="I9450" i="5"/>
  <c r="I9439" i="5"/>
  <c r="I9425" i="5"/>
  <c r="I9412" i="5"/>
  <c r="I9400" i="5"/>
  <c r="I9386" i="5"/>
  <c r="I9375" i="5"/>
  <c r="I9361" i="5"/>
  <c r="I9348" i="5"/>
  <c r="I9336" i="5"/>
  <c r="I9322" i="5"/>
  <c r="I9311" i="5"/>
  <c r="I9297" i="5"/>
  <c r="I9284" i="5"/>
  <c r="I9272" i="5"/>
  <c r="I9258" i="5"/>
  <c r="I9247" i="5"/>
  <c r="I9233" i="5"/>
  <c r="I9220" i="5"/>
  <c r="I9208" i="5"/>
  <c r="I9194" i="5"/>
  <c r="I9183" i="5"/>
  <c r="I9169" i="5"/>
  <c r="I9156" i="5"/>
  <c r="I9144" i="5"/>
  <c r="I9130" i="5"/>
  <c r="I9119" i="5"/>
  <c r="I9105" i="5"/>
  <c r="I9092" i="5"/>
  <c r="I9080" i="5"/>
  <c r="I9066" i="5"/>
  <c r="I9055" i="5"/>
  <c r="I9041" i="5"/>
  <c r="I9028" i="5"/>
  <c r="I9016" i="5"/>
  <c r="I9002" i="5"/>
  <c r="I8991" i="5"/>
  <c r="I8977" i="5"/>
  <c r="I8964" i="5"/>
  <c r="I8952" i="5"/>
  <c r="I8938" i="5"/>
  <c r="I8927" i="5"/>
  <c r="I8913" i="5"/>
  <c r="I8900" i="5"/>
  <c r="I8888" i="5"/>
  <c r="I8874" i="5"/>
  <c r="I8863" i="5"/>
  <c r="I8849" i="5"/>
  <c r="I8836" i="5"/>
  <c r="I8824" i="5"/>
  <c r="I8810" i="5"/>
  <c r="I8799" i="5"/>
  <c r="I8785" i="5"/>
  <c r="I8772" i="5"/>
  <c r="I8760" i="5"/>
  <c r="I8746" i="5"/>
  <c r="I8735" i="5"/>
  <c r="I8721" i="5"/>
  <c r="I8708" i="5"/>
  <c r="I8696" i="5"/>
  <c r="I8682" i="5"/>
  <c r="I8671" i="5"/>
  <c r="I8657" i="5"/>
  <c r="I8644" i="5"/>
  <c r="I8632" i="5"/>
  <c r="I8618" i="5"/>
  <c r="I8607" i="5"/>
  <c r="I8593" i="5"/>
  <c r="I8580" i="5"/>
  <c r="I8568" i="5"/>
  <c r="I8554" i="5"/>
  <c r="I8543" i="5"/>
  <c r="I8529" i="5"/>
  <c r="I8516" i="5"/>
  <c r="I8504" i="5"/>
  <c r="I8490" i="5"/>
  <c r="I8479" i="5"/>
  <c r="I8465" i="5"/>
  <c r="I8452" i="5"/>
  <c r="I8440" i="5"/>
  <c r="I8426" i="5"/>
  <c r="I8415" i="5"/>
  <c r="I8401" i="5"/>
  <c r="I8388" i="5"/>
  <c r="I8376" i="5"/>
  <c r="I8362" i="5"/>
  <c r="I8351" i="5"/>
  <c r="I8337" i="5"/>
  <c r="I8324" i="5"/>
  <c r="I8312" i="5"/>
  <c r="I8298" i="5"/>
  <c r="I8287" i="5"/>
  <c r="I8273" i="5"/>
  <c r="I8260" i="5"/>
  <c r="I8248" i="5"/>
  <c r="I8234" i="5"/>
  <c r="I8223" i="5"/>
  <c r="I8209" i="5"/>
  <c r="I8196" i="5"/>
  <c r="I8184" i="5"/>
  <c r="I8170" i="5"/>
  <c r="I8159" i="5"/>
  <c r="I8145" i="5"/>
  <c r="I8132" i="5"/>
  <c r="I8120" i="5"/>
  <c r="I8106" i="5"/>
  <c r="I8095" i="5"/>
  <c r="I8081" i="5"/>
  <c r="I8068" i="5"/>
  <c r="I8056" i="5"/>
  <c r="I8042" i="5"/>
  <c r="I8031" i="5"/>
  <c r="I8017" i="5"/>
  <c r="I8004" i="5"/>
  <c r="I7992" i="5"/>
  <c r="I7978" i="5"/>
  <c r="I7967" i="5"/>
  <c r="I7953" i="5"/>
  <c r="I7940" i="5"/>
  <c r="I7928" i="5"/>
  <c r="I7914" i="5"/>
  <c r="I7903" i="5"/>
  <c r="I7889" i="5"/>
  <c r="I7876" i="5"/>
  <c r="I7864" i="5"/>
  <c r="I7850" i="5"/>
  <c r="I7839" i="5"/>
  <c r="I7825" i="5"/>
  <c r="I7812" i="5"/>
  <c r="I7800" i="5"/>
  <c r="I7786" i="5"/>
  <c r="I7775" i="5"/>
  <c r="I7761" i="5"/>
  <c r="I7748" i="5"/>
  <c r="I7736" i="5"/>
  <c r="I7722" i="5"/>
  <c r="I7711" i="5"/>
  <c r="I7697" i="5"/>
  <c r="I7684" i="5"/>
  <c r="I7672" i="5"/>
  <c r="I7658" i="5"/>
  <c r="I7647" i="5"/>
  <c r="I7633" i="5"/>
  <c r="I7620" i="5"/>
  <c r="I7608" i="5"/>
  <c r="I7594" i="5"/>
  <c r="I7583" i="5"/>
  <c r="I7569" i="5"/>
  <c r="I7556" i="5"/>
  <c r="I7544" i="5"/>
  <c r="I7530" i="5"/>
  <c r="I7519" i="5"/>
  <c r="I7505" i="5"/>
  <c r="I7492" i="5"/>
  <c r="I7480" i="5"/>
  <c r="I7466" i="5"/>
  <c r="I7455" i="5"/>
  <c r="I7441" i="5"/>
  <c r="I7428" i="5"/>
  <c r="I7416" i="5"/>
  <c r="I7402" i="5"/>
  <c r="I7391" i="5"/>
  <c r="I7377" i="5"/>
  <c r="I7364" i="5"/>
  <c r="I7352" i="5"/>
  <c r="I7338" i="5"/>
  <c r="I7327" i="5"/>
  <c r="I7313" i="5"/>
  <c r="I7300" i="5"/>
  <c r="I7288" i="5"/>
  <c r="I7274" i="5"/>
  <c r="I7263" i="5"/>
  <c r="I7249" i="5"/>
  <c r="I7236" i="5"/>
  <c r="I7224" i="5"/>
  <c r="I7210" i="5"/>
  <c r="I7199" i="5"/>
  <c r="I7185" i="5"/>
  <c r="I7172" i="5"/>
  <c r="I7160" i="5"/>
  <c r="I7146" i="5"/>
  <c r="I7135" i="5"/>
  <c r="I7121" i="5"/>
  <c r="I7108" i="5"/>
  <c r="I7096" i="5"/>
  <c r="I7082" i="5"/>
  <c r="I7071" i="5"/>
  <c r="I7057" i="5"/>
  <c r="I7044" i="5"/>
  <c r="I7032" i="5"/>
  <c r="I7018" i="5"/>
  <c r="I7007" i="5"/>
  <c r="I6993" i="5"/>
  <c r="I6980" i="5"/>
  <c r="I6968" i="5"/>
  <c r="I6954" i="5"/>
  <c r="I6943" i="5"/>
  <c r="I6929" i="5"/>
  <c r="I6916" i="5"/>
  <c r="I6904" i="5"/>
  <c r="I6892" i="5"/>
  <c r="I6881" i="5"/>
  <c r="I6871" i="5"/>
  <c r="I6860" i="5"/>
  <c r="I6849" i="5"/>
  <c r="I6839" i="5"/>
  <c r="I6828" i="5"/>
  <c r="I6817" i="5"/>
  <c r="I6807" i="5"/>
  <c r="I6796" i="5"/>
  <c r="I6785" i="5"/>
  <c r="I6775" i="5"/>
  <c r="I6764" i="5"/>
  <c r="I6753" i="5"/>
  <c r="I6743" i="5"/>
  <c r="I6732" i="5"/>
  <c r="I6721" i="5"/>
  <c r="I6711" i="5"/>
  <c r="I6700" i="5"/>
  <c r="I6689" i="5"/>
  <c r="I6679" i="5"/>
  <c r="I6668" i="5"/>
  <c r="I6657" i="5"/>
  <c r="I6647" i="5"/>
  <c r="I6636" i="5"/>
  <c r="I6625" i="5"/>
  <c r="I6615" i="5"/>
  <c r="I6604" i="5"/>
  <c r="I6593" i="5"/>
  <c r="I6583" i="5"/>
  <c r="I6572" i="5"/>
  <c r="I6561" i="5"/>
  <c r="I6551" i="5"/>
  <c r="I6540" i="5"/>
  <c r="I6529" i="5"/>
  <c r="I6519" i="5"/>
  <c r="I6508" i="5"/>
  <c r="I6497" i="5"/>
  <c r="I6487" i="5"/>
  <c r="I6476" i="5"/>
  <c r="I6465" i="5"/>
  <c r="I6455" i="5"/>
  <c r="I6444" i="5"/>
  <c r="I6433" i="5"/>
  <c r="I6423" i="5"/>
  <c r="I6412" i="5"/>
  <c r="I6401" i="5"/>
  <c r="I6391" i="5"/>
  <c r="I6380" i="5"/>
  <c r="I6369" i="5"/>
  <c r="I6359" i="5"/>
  <c r="I6348" i="5"/>
  <c r="I6337" i="5"/>
  <c r="I6327" i="5"/>
  <c r="I6316" i="5"/>
  <c r="I6305" i="5"/>
  <c r="I6295" i="5"/>
  <c r="I6284" i="5"/>
  <c r="I6273" i="5"/>
  <c r="I6263" i="5"/>
  <c r="I6252" i="5"/>
  <c r="I6241" i="5"/>
  <c r="I6231" i="5"/>
  <c r="I6220" i="5"/>
  <c r="I6209" i="5"/>
  <c r="I6199" i="5"/>
  <c r="I6188" i="5"/>
  <c r="I6177" i="5"/>
  <c r="I6167" i="5"/>
  <c r="I6156" i="5"/>
  <c r="I6145" i="5"/>
  <c r="I6135" i="5"/>
  <c r="I6124" i="5"/>
  <c r="I6113" i="5"/>
  <c r="I6103" i="5"/>
  <c r="I6092" i="5"/>
  <c r="I6081" i="5"/>
  <c r="I6071" i="5"/>
  <c r="I6060" i="5"/>
  <c r="I6049" i="5"/>
  <c r="I6039" i="5"/>
  <c r="I6028" i="5"/>
  <c r="I6017" i="5"/>
  <c r="I6007" i="5"/>
  <c r="I5996" i="5"/>
  <c r="I5985" i="5"/>
  <c r="I5975" i="5"/>
  <c r="I5964" i="5"/>
  <c r="I5953" i="5"/>
  <c r="I5943" i="5"/>
  <c r="I5932" i="5"/>
  <c r="I5921" i="5"/>
  <c r="I5911" i="5"/>
  <c r="I5900" i="5"/>
  <c r="I5889" i="5"/>
  <c r="I5879" i="5"/>
  <c r="I5868" i="5"/>
  <c r="I5857" i="5"/>
  <c r="I5847" i="5"/>
  <c r="I5836" i="5"/>
  <c r="I5825" i="5"/>
  <c r="I5815" i="5"/>
  <c r="I5804" i="5"/>
  <c r="I5793" i="5"/>
  <c r="I5783" i="5"/>
  <c r="I5772" i="5"/>
  <c r="I5761" i="5"/>
  <c r="I5751" i="5"/>
  <c r="I5740" i="5"/>
  <c r="I5729" i="5"/>
  <c r="I5719" i="5"/>
  <c r="I5708" i="5"/>
  <c r="I5697" i="5"/>
  <c r="I5687" i="5"/>
  <c r="I5676" i="5"/>
  <c r="I5665" i="5"/>
  <c r="I5655" i="5"/>
  <c r="I5644" i="5"/>
  <c r="I5633" i="5"/>
  <c r="I5623" i="5"/>
  <c r="I5612" i="5"/>
  <c r="I5601" i="5"/>
  <c r="I5591" i="5"/>
  <c r="I5580" i="5"/>
  <c r="I5569" i="5"/>
  <c r="I5559" i="5"/>
  <c r="I5548" i="5"/>
  <c r="I5537" i="5"/>
  <c r="I5527" i="5"/>
  <c r="I5516" i="5"/>
  <c r="I5505" i="5"/>
  <c r="I5495" i="5"/>
  <c r="I5484" i="5"/>
  <c r="I5473" i="5"/>
  <c r="I5463" i="5"/>
  <c r="I5452" i="5"/>
  <c r="I5441" i="5"/>
  <c r="I5431" i="5"/>
  <c r="I5420" i="5"/>
  <c r="I5409" i="5"/>
  <c r="I5399" i="5"/>
  <c r="I5388" i="5"/>
  <c r="I5377" i="5"/>
  <c r="I5367" i="5"/>
  <c r="I5356" i="5"/>
  <c r="I5345" i="5"/>
  <c r="I5335" i="5"/>
  <c r="I5324" i="5"/>
  <c r="I5313" i="5"/>
  <c r="I5303" i="5"/>
  <c r="I5292" i="5"/>
  <c r="I5281" i="5"/>
  <c r="I5271" i="5"/>
  <c r="I5260" i="5"/>
  <c r="I5249" i="5"/>
  <c r="I5239" i="5"/>
  <c r="I5228" i="5"/>
  <c r="I5217" i="5"/>
  <c r="I5207" i="5"/>
  <c r="I5196" i="5"/>
  <c r="I5185" i="5"/>
  <c r="I5175" i="5"/>
  <c r="I5164" i="5"/>
  <c r="I5153" i="5"/>
  <c r="I5143" i="5"/>
  <c r="I5132" i="5"/>
  <c r="I5121" i="5"/>
  <c r="I5111" i="5"/>
  <c r="I5100" i="5"/>
  <c r="I5089" i="5"/>
  <c r="I5079" i="5"/>
  <c r="I5068" i="5"/>
  <c r="I5057" i="5"/>
  <c r="I5047" i="5"/>
  <c r="I5036" i="5"/>
  <c r="I5025" i="5"/>
  <c r="I5015" i="5"/>
  <c r="I5004" i="5"/>
  <c r="I4993" i="5"/>
  <c r="I4983" i="5"/>
  <c r="I4972" i="5"/>
  <c r="I4961" i="5"/>
  <c r="I4951" i="5"/>
  <c r="I4940" i="5"/>
  <c r="I4929" i="5"/>
  <c r="I4919" i="5"/>
  <c r="I4908" i="5"/>
  <c r="I4897" i="5"/>
  <c r="I4887" i="5"/>
  <c r="I4876" i="5"/>
  <c r="I4865" i="5"/>
  <c r="I4855" i="5"/>
  <c r="I4844" i="5"/>
  <c r="I4833" i="5"/>
  <c r="I4823" i="5"/>
  <c r="I4812" i="5"/>
  <c r="I4801" i="5"/>
  <c r="I4791" i="5"/>
  <c r="I4780" i="5"/>
  <c r="I4769" i="5"/>
  <c r="I4759" i="5"/>
  <c r="I4748" i="5"/>
  <c r="I4737" i="5"/>
  <c r="I4727" i="5"/>
  <c r="I4716" i="5"/>
  <c r="I4705" i="5"/>
  <c r="I4695" i="5"/>
  <c r="I4684" i="5"/>
  <c r="I4673" i="5"/>
  <c r="I4663" i="5"/>
  <c r="I4652" i="5"/>
  <c r="I4641" i="5"/>
  <c r="I4631" i="5"/>
  <c r="I4620" i="5"/>
  <c r="I4609" i="5"/>
  <c r="I4599" i="5"/>
  <c r="I4588" i="5"/>
  <c r="I4577" i="5"/>
  <c r="I4567" i="5"/>
  <c r="I4556" i="5"/>
  <c r="I4545" i="5"/>
  <c r="I4535" i="5"/>
  <c r="I4524" i="5"/>
  <c r="I4513" i="5"/>
  <c r="I4503" i="5"/>
  <c r="I4492" i="5"/>
  <c r="I4481" i="5"/>
  <c r="I4471" i="5"/>
  <c r="I4460" i="5"/>
  <c r="I4449" i="5"/>
  <c r="I4439" i="5"/>
  <c r="I4428" i="5"/>
  <c r="I4417" i="5"/>
  <c r="I4407" i="5"/>
  <c r="I4396" i="5"/>
  <c r="I4385" i="5"/>
  <c r="I4375" i="5"/>
  <c r="I4364" i="5"/>
  <c r="I4353" i="5"/>
  <c r="I4343" i="5"/>
  <c r="I4332" i="5"/>
  <c r="I4321" i="5"/>
  <c r="I4311" i="5"/>
  <c r="I4300" i="5"/>
  <c r="I4289" i="5"/>
  <c r="I4279" i="5"/>
  <c r="I4268" i="5"/>
  <c r="I4257" i="5"/>
  <c r="I4247" i="5"/>
  <c r="I4236" i="5"/>
  <c r="I4225" i="5"/>
  <c r="I4215" i="5"/>
  <c r="I4204" i="5"/>
  <c r="I4193" i="5"/>
  <c r="I4183" i="5"/>
  <c r="I4172" i="5"/>
  <c r="I4161" i="5"/>
  <c r="I4151" i="5"/>
  <c r="I4140" i="5"/>
  <c r="I4129" i="5"/>
  <c r="I4119" i="5"/>
  <c r="I4108" i="5"/>
  <c r="I4097" i="5"/>
  <c r="I4087" i="5"/>
  <c r="I4076" i="5"/>
  <c r="I4065" i="5"/>
  <c r="I4055" i="5"/>
  <c r="I4044" i="5"/>
  <c r="I4033" i="5"/>
  <c r="I4023" i="5"/>
  <c r="I4012" i="5"/>
  <c r="I4001" i="5"/>
  <c r="I3991" i="5"/>
  <c r="I3980" i="5"/>
  <c r="I3969" i="5"/>
  <c r="I3959" i="5"/>
  <c r="I3948" i="5"/>
  <c r="I3937" i="5"/>
  <c r="I3927" i="5"/>
  <c r="I3916" i="5"/>
  <c r="I3905" i="5"/>
  <c r="I3895" i="5"/>
  <c r="I3884" i="5"/>
  <c r="I3873" i="5"/>
  <c r="I3863" i="5"/>
  <c r="I3852" i="5"/>
  <c r="I3841" i="5"/>
  <c r="I3831" i="5"/>
  <c r="I3820" i="5"/>
  <c r="I3809" i="5"/>
  <c r="I3799" i="5"/>
  <c r="I3788" i="5"/>
  <c r="I3777" i="5"/>
  <c r="I3767" i="5"/>
  <c r="I3756" i="5"/>
  <c r="I3745" i="5"/>
  <c r="I3735" i="5"/>
  <c r="I3724" i="5"/>
  <c r="I3713" i="5"/>
  <c r="I3703" i="5"/>
  <c r="I3692" i="5"/>
  <c r="I3681" i="5"/>
  <c r="I3671" i="5"/>
  <c r="I3660" i="5"/>
  <c r="I3649" i="5"/>
  <c r="I3639" i="5"/>
  <c r="I3628" i="5"/>
  <c r="I3617" i="5"/>
  <c r="I3607" i="5"/>
  <c r="I3596" i="5"/>
  <c r="I3585" i="5"/>
  <c r="I3575" i="5"/>
  <c r="I3564" i="5"/>
  <c r="I3553" i="5"/>
  <c r="I3543" i="5"/>
  <c r="I3532" i="5"/>
  <c r="I3521" i="5"/>
  <c r="I3511" i="5"/>
  <c r="I3500" i="5"/>
  <c r="I3489" i="5"/>
  <c r="I3479" i="5"/>
  <c r="I3468" i="5"/>
  <c r="I3457" i="5"/>
  <c r="I3447" i="5"/>
  <c r="I3436" i="5"/>
  <c r="I3425" i="5"/>
  <c r="I3415" i="5"/>
  <c r="I3404" i="5"/>
  <c r="I3393" i="5"/>
  <c r="I3383" i="5"/>
  <c r="I3372" i="5"/>
  <c r="I3361" i="5"/>
  <c r="I3351" i="5"/>
  <c r="I3340" i="5"/>
  <c r="I3329" i="5"/>
  <c r="I3319" i="5"/>
  <c r="I3308" i="5"/>
  <c r="I3297" i="5"/>
  <c r="I3287" i="5"/>
  <c r="I3276" i="5"/>
  <c r="I3265" i="5"/>
  <c r="I3255" i="5"/>
  <c r="I3244" i="5"/>
  <c r="I3233" i="5"/>
  <c r="I3223" i="5"/>
  <c r="I3212" i="5"/>
  <c r="I3201" i="5"/>
  <c r="I3191" i="5"/>
  <c r="I3180" i="5"/>
  <c r="I3169" i="5"/>
  <c r="I3159" i="5"/>
  <c r="I3148" i="5"/>
  <c r="I3137" i="5"/>
  <c r="I3127" i="5"/>
  <c r="I3116" i="5"/>
  <c r="I3105" i="5"/>
  <c r="I3095" i="5"/>
  <c r="I3084" i="5"/>
  <c r="I3073" i="5"/>
  <c r="I3063" i="5"/>
  <c r="I3052" i="5"/>
  <c r="I3041" i="5"/>
  <c r="I3031" i="5"/>
  <c r="I3020" i="5"/>
  <c r="I3009" i="5"/>
  <c r="I2999" i="5"/>
  <c r="I2988" i="5"/>
  <c r="I2977" i="5"/>
  <c r="I2967" i="5"/>
  <c r="I2956" i="5"/>
  <c r="I2945" i="5"/>
  <c r="I2935" i="5"/>
  <c r="I2924" i="5"/>
  <c r="I2913" i="5"/>
  <c r="I2903" i="5"/>
  <c r="I2892" i="5"/>
  <c r="I2881" i="5"/>
  <c r="I2871" i="5"/>
  <c r="I2860" i="5"/>
  <c r="I2849" i="5"/>
  <c r="I2839" i="5"/>
  <c r="I2828" i="5"/>
  <c r="I2817" i="5"/>
  <c r="I2807" i="5"/>
  <c r="I2796" i="5"/>
  <c r="I2785" i="5"/>
  <c r="I2775" i="5"/>
  <c r="I2764" i="5"/>
  <c r="I2753" i="5"/>
  <c r="I2743" i="5"/>
  <c r="I2732" i="5"/>
  <c r="I2721" i="5"/>
  <c r="I2711" i="5"/>
  <c r="I2700" i="5"/>
  <c r="I2689" i="5"/>
  <c r="I2679" i="5"/>
  <c r="I2668" i="5"/>
  <c r="I2657" i="5"/>
  <c r="I2647" i="5"/>
  <c r="I2636" i="5"/>
  <c r="I2625" i="5"/>
  <c r="I2615" i="5"/>
  <c r="I2604" i="5"/>
  <c r="I2593" i="5"/>
  <c r="I2583" i="5"/>
  <c r="I2572" i="5"/>
  <c r="I2561" i="5"/>
  <c r="I2551" i="5"/>
  <c r="I2540" i="5"/>
  <c r="I2529" i="5"/>
  <c r="I2519" i="5"/>
  <c r="I2508" i="5"/>
  <c r="I2497" i="5"/>
  <c r="I2487" i="5"/>
  <c r="I2476" i="5"/>
  <c r="I2465" i="5"/>
  <c r="I2455" i="5"/>
  <c r="I2444" i="5"/>
  <c r="I2433" i="5"/>
  <c r="I2423" i="5"/>
  <c r="I2412" i="5"/>
  <c r="I2401" i="5"/>
  <c r="I2391" i="5"/>
  <c r="I2380" i="5"/>
  <c r="I2369" i="5"/>
  <c r="I2359" i="5"/>
  <c r="I2348" i="5"/>
  <c r="I2337" i="5"/>
  <c r="I2327" i="5"/>
  <c r="I2316" i="5"/>
  <c r="I2305" i="5"/>
  <c r="I2295" i="5"/>
  <c r="I2284" i="5"/>
  <c r="I2273" i="5"/>
  <c r="I2263" i="5"/>
  <c r="I2252" i="5"/>
  <c r="I2241" i="5"/>
  <c r="I2231" i="5"/>
  <c r="I2220" i="5"/>
  <c r="I2209" i="5"/>
  <c r="I2199" i="5"/>
  <c r="I2188" i="5"/>
  <c r="I2177" i="5"/>
  <c r="I2167" i="5"/>
  <c r="I2156" i="5"/>
  <c r="I2145" i="5"/>
  <c r="I2135" i="5"/>
  <c r="I2124" i="5"/>
  <c r="I2113" i="5"/>
  <c r="I2103" i="5"/>
  <c r="I2092" i="5"/>
  <c r="I2081" i="5"/>
  <c r="I2071" i="5"/>
  <c r="I2060" i="5"/>
  <c r="I2049" i="5"/>
  <c r="I2039" i="5"/>
  <c r="I2028" i="5"/>
  <c r="I2017" i="5"/>
  <c r="I2007" i="5"/>
  <c r="I1996" i="5"/>
  <c r="I1985" i="5"/>
  <c r="I1975" i="5"/>
  <c r="I1964" i="5"/>
  <c r="I1953" i="5"/>
  <c r="I1943" i="5"/>
  <c r="I1932" i="5"/>
  <c r="I1921" i="5"/>
  <c r="I1911" i="5"/>
  <c r="I1900" i="5"/>
  <c r="I1889" i="5"/>
  <c r="I1879" i="5"/>
  <c r="I1868" i="5"/>
  <c r="I1857" i="5"/>
  <c r="I1847" i="5"/>
  <c r="I1836" i="5"/>
  <c r="I1825" i="5"/>
  <c r="I1815" i="5"/>
  <c r="I1804" i="5"/>
  <c r="I1793" i="5"/>
  <c r="I1783" i="5"/>
  <c r="I1772" i="5"/>
  <c r="I1761" i="5"/>
  <c r="I1751" i="5"/>
  <c r="I1740" i="5"/>
  <c r="I1729" i="5"/>
  <c r="I1719" i="5"/>
  <c r="I1708" i="5"/>
  <c r="I1697" i="5"/>
  <c r="I1687" i="5"/>
  <c r="I1676" i="5"/>
  <c r="I1667" i="5"/>
  <c r="I1659" i="5"/>
  <c r="I1651" i="5"/>
  <c r="I1643" i="5"/>
  <c r="I1635" i="5"/>
  <c r="I1627" i="5"/>
  <c r="I1619" i="5"/>
  <c r="I1611" i="5"/>
  <c r="I1603" i="5"/>
  <c r="I1595" i="5"/>
  <c r="I1587" i="5"/>
  <c r="I1579" i="5"/>
  <c r="I1571" i="5"/>
  <c r="I1563" i="5"/>
  <c r="I1555" i="5"/>
  <c r="I1547" i="5"/>
  <c r="I1539" i="5"/>
  <c r="I1531" i="5"/>
  <c r="I1523" i="5"/>
  <c r="I1515" i="5"/>
  <c r="I1507" i="5"/>
  <c r="I1499" i="5"/>
  <c r="I1491" i="5"/>
  <c r="I1483" i="5"/>
  <c r="I1475" i="5"/>
  <c r="I1467" i="5"/>
  <c r="I1459" i="5"/>
  <c r="I1451" i="5"/>
  <c r="I1443" i="5"/>
  <c r="I1435" i="5"/>
  <c r="I1427" i="5"/>
  <c r="I1419" i="5"/>
  <c r="I1411" i="5"/>
  <c r="I1403" i="5"/>
  <c r="I1395" i="5"/>
  <c r="I1387" i="5"/>
  <c r="I1379" i="5"/>
  <c r="I1371" i="5"/>
  <c r="I1363" i="5"/>
  <c r="I1355" i="5"/>
  <c r="I1347" i="5"/>
  <c r="I1339" i="5"/>
  <c r="I1331" i="5"/>
  <c r="I1323" i="5"/>
  <c r="I1315" i="5"/>
  <c r="I1307" i="5"/>
  <c r="I1299" i="5"/>
  <c r="I1291" i="5"/>
  <c r="I1283" i="5"/>
  <c r="I1275" i="5"/>
  <c r="I1267" i="5"/>
  <c r="I1259" i="5"/>
  <c r="I1251" i="5"/>
  <c r="I26430" i="5"/>
  <c r="I24236" i="5"/>
  <c r="I23404" i="5"/>
  <c r="I22805" i="5"/>
  <c r="I22165" i="5"/>
  <c r="I21599" i="5"/>
  <c r="I21151" i="5"/>
  <c r="I20671" i="5"/>
  <c r="I20284" i="5"/>
  <c r="I20060" i="5"/>
  <c r="I19820" i="5"/>
  <c r="I19609" i="5"/>
  <c r="I19385" i="5"/>
  <c r="I19145" i="5"/>
  <c r="I18923" i="5"/>
  <c r="I18699" i="5"/>
  <c r="I18489" i="5"/>
  <c r="I18311" i="5"/>
  <c r="I18131" i="5"/>
  <c r="I17939" i="5"/>
  <c r="I17769" i="5"/>
  <c r="I17588" i="5"/>
  <c r="I17396" i="5"/>
  <c r="I17220" i="5"/>
  <c r="I17042" i="5"/>
  <c r="I16850" i="5"/>
  <c r="I16715" i="5"/>
  <c r="I16587" i="5"/>
  <c r="I16450" i="5"/>
  <c r="I16328" i="5"/>
  <c r="I16200" i="5"/>
  <c r="I16063" i="5"/>
  <c r="I15937" i="5"/>
  <c r="I15809" i="5"/>
  <c r="I15672" i="5"/>
  <c r="I15545" i="5"/>
  <c r="I15417" i="5"/>
  <c r="I15280" i="5"/>
  <c r="I15158" i="5"/>
  <c r="I15030" i="5"/>
  <c r="I14892" i="5"/>
  <c r="I14767" i="5"/>
  <c r="I14639" i="5"/>
  <c r="I14535" i="5"/>
  <c r="I14439" i="5"/>
  <c r="I14344" i="5"/>
  <c r="I14242" i="5"/>
  <c r="I14146" i="5"/>
  <c r="I14051" i="5"/>
  <c r="I13950" i="5"/>
  <c r="I13872" i="5"/>
  <c r="I13795" i="5"/>
  <c r="I13717" i="5"/>
  <c r="I13652" i="5"/>
  <c r="I13584" i="5"/>
  <c r="I13512" i="5"/>
  <c r="I13447" i="5"/>
  <c r="I13380" i="5"/>
  <c r="I13319" i="5"/>
  <c r="I13270" i="5"/>
  <c r="I13228" i="5"/>
  <c r="I13183" i="5"/>
  <c r="I13142" i="5"/>
  <c r="I13100" i="5"/>
  <c r="I13055" i="5"/>
  <c r="I13014" i="5"/>
  <c r="I12972" i="5"/>
  <c r="I12927" i="5"/>
  <c r="I12886" i="5"/>
  <c r="I12844" i="5"/>
  <c r="I12799" i="5"/>
  <c r="I12758" i="5"/>
  <c r="I12716" i="5"/>
  <c r="I12671" i="5"/>
  <c r="I12630" i="5"/>
  <c r="I12588" i="5"/>
  <c r="I12543" i="5"/>
  <c r="I12502" i="5"/>
  <c r="I12460" i="5"/>
  <c r="I12415" i="5"/>
  <c r="I12374" i="5"/>
  <c r="I12332" i="5"/>
  <c r="I12287" i="5"/>
  <c r="I12246" i="5"/>
  <c r="I12204" i="5"/>
  <c r="I12159" i="5"/>
  <c r="I12118" i="5"/>
  <c r="I12076" i="5"/>
  <c r="I12031" i="5"/>
  <c r="I11990" i="5"/>
  <c r="I11948" i="5"/>
  <c r="I11903" i="5"/>
  <c r="I11862" i="5"/>
  <c r="I11820" i="5"/>
  <c r="I11775" i="5"/>
  <c r="I11734" i="5"/>
  <c r="I11692" i="5"/>
  <c r="I11647" i="5"/>
  <c r="I11606" i="5"/>
  <c r="I11564" i="5"/>
  <c r="I11519" i="5"/>
  <c r="I11478" i="5"/>
  <c r="I11436" i="5"/>
  <c r="I11391" i="5"/>
  <c r="I11350" i="5"/>
  <c r="I11308" i="5"/>
  <c r="I11263" i="5"/>
  <c r="I11226" i="5"/>
  <c r="I11194" i="5"/>
  <c r="I11162" i="5"/>
  <c r="I11130" i="5"/>
  <c r="I11098" i="5"/>
  <c r="I11066" i="5"/>
  <c r="I11034" i="5"/>
  <c r="I11002" i="5"/>
  <c r="I10970" i="5"/>
  <c r="I10938" i="5"/>
  <c r="I10906" i="5"/>
  <c r="I10874" i="5"/>
  <c r="I10844" i="5"/>
  <c r="I10818" i="5"/>
  <c r="I10791" i="5"/>
  <c r="I10766" i="5"/>
  <c r="I10741" i="5"/>
  <c r="I10716" i="5"/>
  <c r="I10690" i="5"/>
  <c r="I10663" i="5"/>
  <c r="I10638" i="5"/>
  <c r="I10613" i="5"/>
  <c r="I10588" i="5"/>
  <c r="I10564" i="5"/>
  <c r="I10542" i="5"/>
  <c r="I10520" i="5"/>
  <c r="I10500" i="5"/>
  <c r="I10478" i="5"/>
  <c r="I10456" i="5"/>
  <c r="I10436" i="5"/>
  <c r="I10414" i="5"/>
  <c r="I10392" i="5"/>
  <c r="I10372" i="5"/>
  <c r="I10351" i="5"/>
  <c r="I10333" i="5"/>
  <c r="I10315" i="5"/>
  <c r="I10296" i="5"/>
  <c r="I10279" i="5"/>
  <c r="I10263" i="5"/>
  <c r="I10247" i="5"/>
  <c r="I10231" i="5"/>
  <c r="I10215" i="5"/>
  <c r="I10199" i="5"/>
  <c r="I10183" i="5"/>
  <c r="I10167" i="5"/>
  <c r="I10151" i="5"/>
  <c r="I10135" i="5"/>
  <c r="I10119" i="5"/>
  <c r="I10103" i="5"/>
  <c r="I10087" i="5"/>
  <c r="I10071" i="5"/>
  <c r="I10055" i="5"/>
  <c r="I10039" i="5"/>
  <c r="I10023" i="5"/>
  <c r="I10007" i="5"/>
  <c r="I9991" i="5"/>
  <c r="I9975" i="5"/>
  <c r="I9959" i="5"/>
  <c r="I9943" i="5"/>
  <c r="I9927" i="5"/>
  <c r="I9911" i="5"/>
  <c r="I9895" i="5"/>
  <c r="I9879" i="5"/>
  <c r="I9863" i="5"/>
  <c r="I9847" i="5"/>
  <c r="I9831" i="5"/>
  <c r="I9815" i="5"/>
  <c r="I9799" i="5"/>
  <c r="I9783" i="5"/>
  <c r="I9767" i="5"/>
  <c r="I9751" i="5"/>
  <c r="I9735" i="5"/>
  <c r="I9719" i="5"/>
  <c r="I9703" i="5"/>
  <c r="I9687" i="5"/>
  <c r="I9671" i="5"/>
  <c r="I9655" i="5"/>
  <c r="I9639" i="5"/>
  <c r="I9623" i="5"/>
  <c r="I9607" i="5"/>
  <c r="I9591" i="5"/>
  <c r="I9576" i="5"/>
  <c r="I9562" i="5"/>
  <c r="I9551" i="5"/>
  <c r="I9537" i="5"/>
  <c r="I9524" i="5"/>
  <c r="I9512" i="5"/>
  <c r="I9498" i="5"/>
  <c r="I9487" i="5"/>
  <c r="I9473" i="5"/>
  <c r="I9460" i="5"/>
  <c r="I9448" i="5"/>
  <c r="I9434" i="5"/>
  <c r="I9423" i="5"/>
  <c r="I9409" i="5"/>
  <c r="I9396" i="5"/>
  <c r="I9384" i="5"/>
  <c r="I9370" i="5"/>
  <c r="I9359" i="5"/>
  <c r="I9345" i="5"/>
  <c r="I9332" i="5"/>
  <c r="I9320" i="5"/>
  <c r="I9306" i="5"/>
  <c r="I9295" i="5"/>
  <c r="I9281" i="5"/>
  <c r="I9268" i="5"/>
  <c r="I9256" i="5"/>
  <c r="I9242" i="5"/>
  <c r="I9231" i="5"/>
  <c r="I9217" i="5"/>
  <c r="I9204" i="5"/>
  <c r="I9192" i="5"/>
  <c r="I9178" i="5"/>
  <c r="I9167" i="5"/>
  <c r="I9153" i="5"/>
  <c r="I9140" i="5"/>
  <c r="I9128" i="5"/>
  <c r="I9114" i="5"/>
  <c r="I9103" i="5"/>
  <c r="I9089" i="5"/>
  <c r="I9076" i="5"/>
  <c r="I9064" i="5"/>
  <c r="I9050" i="5"/>
  <c r="I9039" i="5"/>
  <c r="I9025" i="5"/>
  <c r="I9012" i="5"/>
  <c r="I9000" i="5"/>
  <c r="I8986" i="5"/>
  <c r="I8975" i="5"/>
  <c r="I8961" i="5"/>
  <c r="I8948" i="5"/>
  <c r="I8936" i="5"/>
  <c r="I8922" i="5"/>
  <c r="I8911" i="5"/>
  <c r="I8897" i="5"/>
  <c r="I8884" i="5"/>
  <c r="I8872" i="5"/>
  <c r="I8858" i="5"/>
  <c r="I8847" i="5"/>
  <c r="I8833" i="5"/>
  <c r="I8820" i="5"/>
  <c r="I8808" i="5"/>
  <c r="I8794" i="5"/>
  <c r="I8783" i="5"/>
  <c r="I8769" i="5"/>
  <c r="I8756" i="5"/>
  <c r="I8744" i="5"/>
  <c r="I8730" i="5"/>
  <c r="I8719" i="5"/>
  <c r="I8705" i="5"/>
  <c r="I8692" i="5"/>
  <c r="I8680" i="5"/>
  <c r="I8666" i="5"/>
  <c r="I8655" i="5"/>
  <c r="I8641" i="5"/>
  <c r="I8628" i="5"/>
  <c r="I8616" i="5"/>
  <c r="I8602" i="5"/>
  <c r="I8591" i="5"/>
  <c r="I8577" i="5"/>
  <c r="I8564" i="5"/>
  <c r="I8552" i="5"/>
  <c r="I8538" i="5"/>
  <c r="I8527" i="5"/>
  <c r="I8513" i="5"/>
  <c r="I8500" i="5"/>
  <c r="I8488" i="5"/>
  <c r="I8474" i="5"/>
  <c r="I8463" i="5"/>
  <c r="I8449" i="5"/>
  <c r="I8436" i="5"/>
  <c r="I8424" i="5"/>
  <c r="I8410" i="5"/>
  <c r="I8399" i="5"/>
  <c r="I8385" i="5"/>
  <c r="I8372" i="5"/>
  <c r="I8360" i="5"/>
  <c r="I8346" i="5"/>
  <c r="I8335" i="5"/>
  <c r="I8321" i="5"/>
  <c r="I8308" i="5"/>
  <c r="I8296" i="5"/>
  <c r="I8282" i="5"/>
  <c r="I8271" i="5"/>
  <c r="I8257" i="5"/>
  <c r="I8244" i="5"/>
  <c r="I8232" i="5"/>
  <c r="I8218" i="5"/>
  <c r="I8207" i="5"/>
  <c r="I8193" i="5"/>
  <c r="I8180" i="5"/>
  <c r="I8168" i="5"/>
  <c r="I8154" i="5"/>
  <c r="I8143" i="5"/>
  <c r="I8129" i="5"/>
  <c r="I8116" i="5"/>
  <c r="I8104" i="5"/>
  <c r="I8090" i="5"/>
  <c r="I8079" i="5"/>
  <c r="I8065" i="5"/>
  <c r="I8052" i="5"/>
  <c r="I8040" i="5"/>
  <c r="I8026" i="5"/>
  <c r="I8015" i="5"/>
  <c r="I8001" i="5"/>
  <c r="I7988" i="5"/>
  <c r="I7976" i="5"/>
  <c r="I7962" i="5"/>
  <c r="I7951" i="5"/>
  <c r="I7937" i="5"/>
  <c r="I7924" i="5"/>
  <c r="I7912" i="5"/>
  <c r="I7898" i="5"/>
  <c r="I7887" i="5"/>
  <c r="I7873" i="5"/>
  <c r="I7860" i="5"/>
  <c r="I7848" i="5"/>
  <c r="I7834" i="5"/>
  <c r="I7823" i="5"/>
  <c r="I7809" i="5"/>
  <c r="I7796" i="5"/>
  <c r="I7784" i="5"/>
  <c r="I7770" i="5"/>
  <c r="I7759" i="5"/>
  <c r="I7745" i="5"/>
  <c r="I7732" i="5"/>
  <c r="I7720" i="5"/>
  <c r="I7706" i="5"/>
  <c r="I7695" i="5"/>
  <c r="I7681" i="5"/>
  <c r="I7668" i="5"/>
  <c r="I7656" i="5"/>
  <c r="I7642" i="5"/>
  <c r="I7631" i="5"/>
  <c r="I7617" i="5"/>
  <c r="I7604" i="5"/>
  <c r="I7592" i="5"/>
  <c r="I7578" i="5"/>
  <c r="I7567" i="5"/>
  <c r="I7553" i="5"/>
  <c r="I7540" i="5"/>
  <c r="I7528" i="5"/>
  <c r="I7514" i="5"/>
  <c r="I7503" i="5"/>
  <c r="I7489" i="5"/>
  <c r="I7476" i="5"/>
  <c r="I7464" i="5"/>
  <c r="I7450" i="5"/>
  <c r="I7439" i="5"/>
  <c r="I7425" i="5"/>
  <c r="I7412" i="5"/>
  <c r="I7400" i="5"/>
  <c r="I7386" i="5"/>
  <c r="I7375" i="5"/>
  <c r="I7361" i="5"/>
  <c r="I7348" i="5"/>
  <c r="I7336" i="5"/>
  <c r="I7322" i="5"/>
  <c r="I7311" i="5"/>
  <c r="I7297" i="5"/>
  <c r="I7284" i="5"/>
  <c r="I7272" i="5"/>
  <c r="I7258" i="5"/>
  <c r="I7247" i="5"/>
  <c r="I7233" i="5"/>
  <c r="I7220" i="5"/>
  <c r="I7208" i="5"/>
  <c r="I7194" i="5"/>
  <c r="I7183" i="5"/>
  <c r="I7169" i="5"/>
  <c r="I7156" i="5"/>
  <c r="I7144" i="5"/>
  <c r="I7130" i="5"/>
  <c r="I7119" i="5"/>
  <c r="I7105" i="5"/>
  <c r="I7092" i="5"/>
  <c r="I7080" i="5"/>
  <c r="I7066" i="5"/>
  <c r="I7055" i="5"/>
  <c r="I7041" i="5"/>
  <c r="I7028" i="5"/>
  <c r="I7016" i="5"/>
  <c r="I7002" i="5"/>
  <c r="I6991" i="5"/>
  <c r="I6977" i="5"/>
  <c r="I6964" i="5"/>
  <c r="I6952" i="5"/>
  <c r="I6938" i="5"/>
  <c r="I6927" i="5"/>
  <c r="I6913" i="5"/>
  <c r="I6900" i="5"/>
  <c r="I6889" i="5"/>
  <c r="I6879" i="5"/>
  <c r="I6868" i="5"/>
  <c r="I6857" i="5"/>
  <c r="I6847" i="5"/>
  <c r="I6836" i="5"/>
  <c r="I6825" i="5"/>
  <c r="I6815" i="5"/>
  <c r="I6804" i="5"/>
  <c r="I6793" i="5"/>
  <c r="I6783" i="5"/>
  <c r="I6772" i="5"/>
  <c r="I6761" i="5"/>
  <c r="I6751" i="5"/>
  <c r="I6740" i="5"/>
  <c r="I6729" i="5"/>
  <c r="I6719" i="5"/>
  <c r="I6708" i="5"/>
  <c r="I6697" i="5"/>
  <c r="I6687" i="5"/>
  <c r="I6676" i="5"/>
  <c r="I6665" i="5"/>
  <c r="I6655" i="5"/>
  <c r="I6644" i="5"/>
  <c r="I6633" i="5"/>
  <c r="I6623" i="5"/>
  <c r="I6612" i="5"/>
  <c r="I6601" i="5"/>
  <c r="I6591" i="5"/>
  <c r="I6580" i="5"/>
  <c r="I6569" i="5"/>
  <c r="I6559" i="5"/>
  <c r="I6548" i="5"/>
  <c r="I6537" i="5"/>
  <c r="I6527" i="5"/>
  <c r="I6516" i="5"/>
  <c r="I6505" i="5"/>
  <c r="I6495" i="5"/>
  <c r="I6484" i="5"/>
  <c r="I6473" i="5"/>
  <c r="I6463" i="5"/>
  <c r="I6452" i="5"/>
  <c r="I6441" i="5"/>
  <c r="I6431" i="5"/>
  <c r="I6420" i="5"/>
  <c r="I6409" i="5"/>
  <c r="I6399" i="5"/>
  <c r="I6388" i="5"/>
  <c r="I6377" i="5"/>
  <c r="I6367" i="5"/>
  <c r="I6356" i="5"/>
  <c r="I6345" i="5"/>
  <c r="I6335" i="5"/>
  <c r="I6324" i="5"/>
  <c r="I6313" i="5"/>
  <c r="I6303" i="5"/>
  <c r="I6292" i="5"/>
  <c r="I6281" i="5"/>
  <c r="I6271" i="5"/>
  <c r="I6260" i="5"/>
  <c r="I6249" i="5"/>
  <c r="I6239" i="5"/>
  <c r="I6228" i="5"/>
  <c r="I6217" i="5"/>
  <c r="I6207" i="5"/>
  <c r="I6196" i="5"/>
  <c r="I6185" i="5"/>
  <c r="I6175" i="5"/>
  <c r="I6164" i="5"/>
  <c r="I6153" i="5"/>
  <c r="I6143" i="5"/>
  <c r="I6132" i="5"/>
  <c r="I6121" i="5"/>
  <c r="I6111" i="5"/>
  <c r="I6100" i="5"/>
  <c r="I6089" i="5"/>
  <c r="I6079" i="5"/>
  <c r="I6068" i="5"/>
  <c r="I6057" i="5"/>
  <c r="I6047" i="5"/>
  <c r="I6036" i="5"/>
  <c r="I6025" i="5"/>
  <c r="I6015" i="5"/>
  <c r="I6004" i="5"/>
  <c r="I5993" i="5"/>
  <c r="I5983" i="5"/>
  <c r="I5972" i="5"/>
  <c r="I5961" i="5"/>
  <c r="I5951" i="5"/>
  <c r="I5940" i="5"/>
  <c r="I5929" i="5"/>
  <c r="I5919" i="5"/>
  <c r="I5908" i="5"/>
  <c r="I5897" i="5"/>
  <c r="I5887" i="5"/>
  <c r="I5876" i="5"/>
  <c r="I5865" i="5"/>
  <c r="I5855" i="5"/>
  <c r="I5844" i="5"/>
  <c r="I5833" i="5"/>
  <c r="I5823" i="5"/>
  <c r="I5812" i="5"/>
  <c r="I5801" i="5"/>
  <c r="I5791" i="5"/>
  <c r="I5780" i="5"/>
  <c r="I5769" i="5"/>
  <c r="I5759" i="5"/>
  <c r="I5748" i="5"/>
  <c r="I5737" i="5"/>
  <c r="I5727" i="5"/>
  <c r="I5716" i="5"/>
  <c r="I5705" i="5"/>
  <c r="I5695" i="5"/>
  <c r="I5684" i="5"/>
  <c r="I5673" i="5"/>
  <c r="I5663" i="5"/>
  <c r="I5652" i="5"/>
  <c r="I5641" i="5"/>
  <c r="I5631" i="5"/>
  <c r="I5620" i="5"/>
  <c r="I5609" i="5"/>
  <c r="I5599" i="5"/>
  <c r="I5588" i="5"/>
  <c r="I5577" i="5"/>
  <c r="I5567" i="5"/>
  <c r="I5556" i="5"/>
  <c r="I5545" i="5"/>
  <c r="I5535" i="5"/>
  <c r="I5524" i="5"/>
  <c r="I5513" i="5"/>
  <c r="I5503" i="5"/>
  <c r="I5492" i="5"/>
  <c r="I5481" i="5"/>
  <c r="I5471" i="5"/>
  <c r="I5460" i="5"/>
  <c r="I5449" i="5"/>
  <c r="I5439" i="5"/>
  <c r="I5428" i="5"/>
  <c r="I5417" i="5"/>
  <c r="I5407" i="5"/>
  <c r="I5396" i="5"/>
  <c r="I5385" i="5"/>
  <c r="I5375" i="5"/>
  <c r="I5364" i="5"/>
  <c r="I5353" i="5"/>
  <c r="I5343" i="5"/>
  <c r="I5332" i="5"/>
  <c r="I5321" i="5"/>
  <c r="I5311" i="5"/>
  <c r="I5300" i="5"/>
  <c r="I5289" i="5"/>
  <c r="I5279" i="5"/>
  <c r="I5268" i="5"/>
  <c r="I5257" i="5"/>
  <c r="I5247" i="5"/>
  <c r="I5236" i="5"/>
  <c r="I5225" i="5"/>
  <c r="I5215" i="5"/>
  <c r="I5204" i="5"/>
  <c r="I5193" i="5"/>
  <c r="I5183" i="5"/>
  <c r="I5172" i="5"/>
  <c r="I5161" i="5"/>
  <c r="I5151" i="5"/>
  <c r="I5140" i="5"/>
  <c r="I5129" i="5"/>
  <c r="I5119" i="5"/>
  <c r="I5108" i="5"/>
  <c r="I5097" i="5"/>
  <c r="I5087" i="5"/>
  <c r="I5076" i="5"/>
  <c r="I5065" i="5"/>
  <c r="I5055" i="5"/>
  <c r="I5044" i="5"/>
  <c r="I5033" i="5"/>
  <c r="I5023" i="5"/>
  <c r="I5012" i="5"/>
  <c r="I5001" i="5"/>
  <c r="I4991" i="5"/>
  <c r="I4980" i="5"/>
  <c r="I4969" i="5"/>
  <c r="I4959" i="5"/>
  <c r="I4948" i="5"/>
  <c r="I4937" i="5"/>
  <c r="I4927" i="5"/>
  <c r="I4916" i="5"/>
  <c r="I4905" i="5"/>
  <c r="I4895" i="5"/>
  <c r="I4884" i="5"/>
  <c r="I4873" i="5"/>
  <c r="I4863" i="5"/>
  <c r="I4852" i="5"/>
  <c r="I4841" i="5"/>
  <c r="I4831" i="5"/>
  <c r="I4820" i="5"/>
  <c r="I4809" i="5"/>
  <c r="I4799" i="5"/>
  <c r="I4788" i="5"/>
  <c r="I4777" i="5"/>
  <c r="I4767" i="5"/>
  <c r="I4756" i="5"/>
  <c r="I4745" i="5"/>
  <c r="I4735" i="5"/>
  <c r="I4724" i="5"/>
  <c r="I4713" i="5"/>
  <c r="I4703" i="5"/>
  <c r="I4692" i="5"/>
  <c r="I4681" i="5"/>
  <c r="I4671" i="5"/>
  <c r="I4660" i="5"/>
  <c r="I4649" i="5"/>
  <c r="I4639" i="5"/>
  <c r="I4628" i="5"/>
  <c r="I4617" i="5"/>
  <c r="I4607" i="5"/>
  <c r="I4596" i="5"/>
  <c r="I4585" i="5"/>
  <c r="I4575" i="5"/>
  <c r="I4564" i="5"/>
  <c r="I4553" i="5"/>
  <c r="I4543" i="5"/>
  <c r="I4532" i="5"/>
  <c r="I4521" i="5"/>
  <c r="I4511" i="5"/>
  <c r="I4500" i="5"/>
  <c r="I4489" i="5"/>
  <c r="I4479" i="5"/>
  <c r="I4468" i="5"/>
  <c r="I4457" i="5"/>
  <c r="I4447" i="5"/>
  <c r="I4436" i="5"/>
  <c r="I4425" i="5"/>
  <c r="I4415" i="5"/>
  <c r="I4404" i="5"/>
  <c r="I4393" i="5"/>
  <c r="I4383" i="5"/>
  <c r="I4372" i="5"/>
  <c r="I4361" i="5"/>
  <c r="I4351" i="5"/>
  <c r="I4340" i="5"/>
  <c r="I4329" i="5"/>
  <c r="I4319" i="5"/>
  <c r="I4308" i="5"/>
  <c r="I4297" i="5"/>
  <c r="I4287" i="5"/>
  <c r="I4276" i="5"/>
  <c r="I4265" i="5"/>
  <c r="I4255" i="5"/>
  <c r="I4244" i="5"/>
  <c r="I4233" i="5"/>
  <c r="I4223" i="5"/>
  <c r="I4212" i="5"/>
  <c r="I4201" i="5"/>
  <c r="I4191" i="5"/>
  <c r="I4180" i="5"/>
  <c r="I4169" i="5"/>
  <c r="I4159" i="5"/>
  <c r="I4148" i="5"/>
  <c r="I4137" i="5"/>
  <c r="I4127" i="5"/>
  <c r="I4116" i="5"/>
  <c r="I4105" i="5"/>
  <c r="I4095" i="5"/>
  <c r="I4084" i="5"/>
  <c r="I4073" i="5"/>
  <c r="I4063" i="5"/>
  <c r="I4052" i="5"/>
  <c r="I4041" i="5"/>
  <c r="I4031" i="5"/>
  <c r="I4020" i="5"/>
  <c r="I4009" i="5"/>
  <c r="I3999" i="5"/>
  <c r="I3988" i="5"/>
  <c r="I3977" i="5"/>
  <c r="I3967" i="5"/>
  <c r="I3956" i="5"/>
  <c r="I3945" i="5"/>
  <c r="I3935" i="5"/>
  <c r="I3924" i="5"/>
  <c r="I3913" i="5"/>
  <c r="I3903" i="5"/>
  <c r="I3892" i="5"/>
  <c r="I3881" i="5"/>
  <c r="I3871" i="5"/>
  <c r="I3860" i="5"/>
  <c r="I3849" i="5"/>
  <c r="I3839" i="5"/>
  <c r="I3828" i="5"/>
  <c r="I3817" i="5"/>
  <c r="I3807" i="5"/>
  <c r="I3796" i="5"/>
  <c r="I3785" i="5"/>
  <c r="I3775" i="5"/>
  <c r="I3764" i="5"/>
  <c r="I3753" i="5"/>
  <c r="I3743" i="5"/>
  <c r="I3732" i="5"/>
  <c r="I3721" i="5"/>
  <c r="I3711" i="5"/>
  <c r="I3700" i="5"/>
  <c r="I3689" i="5"/>
  <c r="I3679" i="5"/>
  <c r="I3668" i="5"/>
  <c r="I3657" i="5"/>
  <c r="I3647" i="5"/>
  <c r="I3636" i="5"/>
  <c r="I3625" i="5"/>
  <c r="I3615" i="5"/>
  <c r="I3604" i="5"/>
  <c r="I3593" i="5"/>
  <c r="I3583" i="5"/>
  <c r="I3572" i="5"/>
  <c r="I3561" i="5"/>
  <c r="I3551" i="5"/>
  <c r="I3540" i="5"/>
  <c r="I3529" i="5"/>
  <c r="I3519" i="5"/>
  <c r="I3508" i="5"/>
  <c r="I3497" i="5"/>
  <c r="I3487" i="5"/>
  <c r="I3476" i="5"/>
  <c r="I3465" i="5"/>
  <c r="I3455" i="5"/>
  <c r="I3444" i="5"/>
  <c r="I3433" i="5"/>
  <c r="I3423" i="5"/>
  <c r="I3412" i="5"/>
  <c r="I3401" i="5"/>
  <c r="I3391" i="5"/>
  <c r="I3380" i="5"/>
  <c r="I3369" i="5"/>
  <c r="I3359" i="5"/>
  <c r="I3348" i="5"/>
  <c r="I3337" i="5"/>
  <c r="I3327" i="5"/>
  <c r="I3316" i="5"/>
  <c r="I3305" i="5"/>
  <c r="I3295" i="5"/>
  <c r="I3284" i="5"/>
  <c r="I3273" i="5"/>
  <c r="I3263" i="5"/>
  <c r="I3252" i="5"/>
  <c r="I3241" i="5"/>
  <c r="I3231" i="5"/>
  <c r="I3220" i="5"/>
  <c r="I3209" i="5"/>
  <c r="I3199" i="5"/>
  <c r="I3188" i="5"/>
  <c r="I3177" i="5"/>
  <c r="I3167" i="5"/>
  <c r="I3156" i="5"/>
  <c r="I3145" i="5"/>
  <c r="I3135" i="5"/>
  <c r="I3124" i="5"/>
  <c r="I3113" i="5"/>
  <c r="I3103" i="5"/>
  <c r="I3092" i="5"/>
  <c r="I3081" i="5"/>
  <c r="I3071" i="5"/>
  <c r="I3060" i="5"/>
  <c r="I3049" i="5"/>
  <c r="I3039" i="5"/>
  <c r="I3028" i="5"/>
  <c r="I3017" i="5"/>
  <c r="I3007" i="5"/>
  <c r="I2996" i="5"/>
  <c r="I2985" i="5"/>
  <c r="I2975" i="5"/>
  <c r="I2964" i="5"/>
  <c r="I2953" i="5"/>
  <c r="I2943" i="5"/>
  <c r="I2932" i="5"/>
  <c r="I2921" i="5"/>
  <c r="I2911" i="5"/>
  <c r="I2900" i="5"/>
  <c r="I2889" i="5"/>
  <c r="I2879" i="5"/>
  <c r="I2868" i="5"/>
  <c r="I2857" i="5"/>
  <c r="I2847" i="5"/>
  <c r="I2836" i="5"/>
  <c r="I2825" i="5"/>
  <c r="I2815" i="5"/>
  <c r="I2804" i="5"/>
  <c r="I2793" i="5"/>
  <c r="I2783" i="5"/>
  <c r="I2772" i="5"/>
  <c r="I2761" i="5"/>
  <c r="I2751" i="5"/>
  <c r="I2740" i="5"/>
  <c r="I2729" i="5"/>
  <c r="I2719" i="5"/>
  <c r="I2708" i="5"/>
  <c r="I2697" i="5"/>
  <c r="I2687" i="5"/>
  <c r="I2676" i="5"/>
  <c r="I2665" i="5"/>
  <c r="I2655" i="5"/>
  <c r="I2644" i="5"/>
  <c r="I2633" i="5"/>
  <c r="I2623" i="5"/>
  <c r="I2612" i="5"/>
  <c r="I2601" i="5"/>
  <c r="I2591" i="5"/>
  <c r="I2580" i="5"/>
  <c r="I2569" i="5"/>
  <c r="I2559" i="5"/>
  <c r="I2548" i="5"/>
  <c r="I2537" i="5"/>
  <c r="I2527" i="5"/>
  <c r="I2516" i="5"/>
  <c r="I2505" i="5"/>
  <c r="I2495" i="5"/>
  <c r="I2484" i="5"/>
  <c r="I2473" i="5"/>
  <c r="I2463" i="5"/>
  <c r="I2452" i="5"/>
  <c r="I2441" i="5"/>
  <c r="I2431" i="5"/>
  <c r="I2420" i="5"/>
  <c r="I2409" i="5"/>
  <c r="I2399" i="5"/>
  <c r="I2388" i="5"/>
  <c r="I2377" i="5"/>
  <c r="I2367" i="5"/>
  <c r="I2356" i="5"/>
  <c r="I2345" i="5"/>
  <c r="I2335" i="5"/>
  <c r="I2324" i="5"/>
  <c r="I2313" i="5"/>
  <c r="I2303" i="5"/>
  <c r="I2292" i="5"/>
  <c r="I2281" i="5"/>
  <c r="I2271" i="5"/>
  <c r="I2260" i="5"/>
  <c r="I2249" i="5"/>
  <c r="I2239" i="5"/>
  <c r="I2228" i="5"/>
  <c r="I2217" i="5"/>
  <c r="I2207" i="5"/>
  <c r="I2196" i="5"/>
  <c r="I2185" i="5"/>
  <c r="I2175" i="5"/>
  <c r="I2164" i="5"/>
  <c r="I2153" i="5"/>
  <c r="I2143" i="5"/>
  <c r="I2132" i="5"/>
  <c r="I2121" i="5"/>
  <c r="I2111" i="5"/>
  <c r="I2100" i="5"/>
  <c r="I2089" i="5"/>
  <c r="I2079" i="5"/>
  <c r="I2068" i="5"/>
  <c r="I2057" i="5"/>
  <c r="I2047" i="5"/>
  <c r="I2036" i="5"/>
  <c r="I2025" i="5"/>
  <c r="I2015" i="5"/>
  <c r="I2004" i="5"/>
  <c r="I1993" i="5"/>
  <c r="I1983" i="5"/>
  <c r="I1972" i="5"/>
  <c r="I1961" i="5"/>
  <c r="I1951" i="5"/>
  <c r="I1940" i="5"/>
  <c r="I1929" i="5"/>
  <c r="I1919" i="5"/>
  <c r="I1908" i="5"/>
  <c r="I1897" i="5"/>
  <c r="I1887" i="5"/>
  <c r="I1876" i="5"/>
  <c r="I1865" i="5"/>
  <c r="I1855" i="5"/>
  <c r="I1844" i="5"/>
  <c r="I1833" i="5"/>
  <c r="I1823" i="5"/>
  <c r="I1812" i="5"/>
  <c r="I1801" i="5"/>
  <c r="I1791" i="5"/>
  <c r="I1780" i="5"/>
  <c r="I1769" i="5"/>
  <c r="I1759" i="5"/>
  <c r="I1748" i="5"/>
  <c r="I1737" i="5"/>
  <c r="I1727" i="5"/>
  <c r="I1716" i="5"/>
  <c r="I1705" i="5"/>
  <c r="I1695" i="5"/>
  <c r="I1684" i="5"/>
  <c r="I1673" i="5"/>
  <c r="I1665" i="5"/>
  <c r="I1657" i="5"/>
  <c r="I1649" i="5"/>
  <c r="I1641" i="5"/>
  <c r="I1633" i="5"/>
  <c r="I1625" i="5"/>
  <c r="I1617" i="5"/>
  <c r="I1609" i="5"/>
  <c r="I1601" i="5"/>
  <c r="I1593" i="5"/>
  <c r="I1585" i="5"/>
  <c r="I1577" i="5"/>
  <c r="I1569" i="5"/>
  <c r="I1561" i="5"/>
  <c r="I1553" i="5"/>
  <c r="I1545" i="5"/>
  <c r="I1537" i="5"/>
  <c r="I1529" i="5"/>
  <c r="I1521" i="5"/>
  <c r="I1513" i="5"/>
  <c r="I1505" i="5"/>
  <c r="I1497" i="5"/>
  <c r="I1489" i="5"/>
  <c r="I1481" i="5"/>
  <c r="I1473" i="5"/>
  <c r="I1465" i="5"/>
  <c r="I1457" i="5"/>
  <c r="I1449" i="5"/>
  <c r="I1441" i="5"/>
  <c r="I1433" i="5"/>
  <c r="I1425" i="5"/>
  <c r="I1417" i="5"/>
  <c r="I1409" i="5"/>
  <c r="I1401" i="5"/>
  <c r="I1393" i="5"/>
  <c r="I1385" i="5"/>
  <c r="I1377" i="5"/>
  <c r="I1369" i="5"/>
  <c r="I1361" i="5"/>
  <c r="I1353" i="5"/>
  <c r="I1345" i="5"/>
  <c r="I1337" i="5"/>
  <c r="I1329" i="5"/>
  <c r="I1321" i="5"/>
  <c r="I1313" i="5"/>
  <c r="I1305" i="5"/>
  <c r="I1297" i="5"/>
  <c r="I1289" i="5"/>
  <c r="I1281" i="5"/>
  <c r="I1273" i="5"/>
  <c r="I1265" i="5"/>
  <c r="I1257" i="5"/>
  <c r="I1249" i="5"/>
  <c r="I1241" i="5"/>
  <c r="I1233" i="5"/>
  <c r="I1225" i="5"/>
  <c r="I1217" i="5"/>
  <c r="I1209" i="5"/>
  <c r="I1201" i="5"/>
  <c r="I1193" i="5"/>
  <c r="I1185" i="5"/>
  <c r="I1177" i="5"/>
  <c r="I1169" i="5"/>
  <c r="I1161" i="5"/>
  <c r="I1153" i="5"/>
  <c r="I1145" i="5"/>
  <c r="I1137" i="5"/>
  <c r="I1129" i="5"/>
  <c r="I1121" i="5"/>
  <c r="I1113" i="5"/>
  <c r="I1105" i="5"/>
  <c r="I1097" i="5"/>
  <c r="I1089" i="5"/>
  <c r="I1081" i="5"/>
  <c r="I1073" i="5"/>
  <c r="I1065" i="5"/>
  <c r="I1057" i="5"/>
  <c r="I1049" i="5"/>
  <c r="I1041" i="5"/>
  <c r="I1033" i="5"/>
  <c r="I1025" i="5"/>
  <c r="I1017" i="5"/>
  <c r="I1009" i="5"/>
  <c r="I1001" i="5"/>
  <c r="I993" i="5"/>
  <c r="I985" i="5"/>
  <c r="I977" i="5"/>
  <c r="I969" i="5"/>
  <c r="I961" i="5"/>
  <c r="I953" i="5"/>
  <c r="I945" i="5"/>
  <c r="I937" i="5"/>
  <c r="I929" i="5"/>
  <c r="I921" i="5"/>
  <c r="I913" i="5"/>
  <c r="I905" i="5"/>
  <c r="I897" i="5"/>
  <c r="I889" i="5"/>
  <c r="I881" i="5"/>
  <c r="I873" i="5"/>
  <c r="I865" i="5"/>
  <c r="I857" i="5"/>
  <c r="I849" i="5"/>
  <c r="I841" i="5"/>
  <c r="I833" i="5"/>
  <c r="I825" i="5"/>
  <c r="I817" i="5"/>
  <c r="I809" i="5"/>
  <c r="I801" i="5"/>
  <c r="I793" i="5"/>
  <c r="I785" i="5"/>
  <c r="I777" i="5"/>
  <c r="I769" i="5"/>
  <c r="I761" i="5"/>
  <c r="I753" i="5"/>
  <c r="I745" i="5"/>
  <c r="I737" i="5"/>
  <c r="I729" i="5"/>
  <c r="I721" i="5"/>
  <c r="I713" i="5"/>
  <c r="I705" i="5"/>
  <c r="I697" i="5"/>
  <c r="I689" i="5"/>
  <c r="I681" i="5"/>
  <c r="I673" i="5"/>
  <c r="I665" i="5"/>
  <c r="I657" i="5"/>
  <c r="I649" i="5"/>
  <c r="I641" i="5"/>
  <c r="I633" i="5"/>
  <c r="I625" i="5"/>
  <c r="I617" i="5"/>
  <c r="I609" i="5"/>
  <c r="I601" i="5"/>
  <c r="I593" i="5"/>
  <c r="I585" i="5"/>
  <c r="I577" i="5"/>
  <c r="I569" i="5"/>
  <c r="I561" i="5"/>
  <c r="I553" i="5"/>
  <c r="I545" i="5"/>
  <c r="I537" i="5"/>
  <c r="I529" i="5"/>
  <c r="I521" i="5"/>
  <c r="I513" i="5"/>
  <c r="I505" i="5"/>
  <c r="I497" i="5"/>
  <c r="I489" i="5"/>
  <c r="I481" i="5"/>
  <c r="I473" i="5"/>
  <c r="I465" i="5"/>
  <c r="I457" i="5"/>
  <c r="I449" i="5"/>
  <c r="I441" i="5"/>
  <c r="I433" i="5"/>
  <c r="I425" i="5"/>
  <c r="I417" i="5"/>
  <c r="I409" i="5"/>
  <c r="I401" i="5"/>
  <c r="I393" i="5"/>
  <c r="I385" i="5"/>
  <c r="I377" i="5"/>
  <c r="I369" i="5"/>
  <c r="I361" i="5"/>
  <c r="I353" i="5"/>
  <c r="I345" i="5"/>
  <c r="I337" i="5"/>
  <c r="I329" i="5"/>
  <c r="I321" i="5"/>
  <c r="I313" i="5"/>
  <c r="I305" i="5"/>
  <c r="I297" i="5"/>
  <c r="I289" i="5"/>
  <c r="I281" i="5"/>
  <c r="I273" i="5"/>
  <c r="I265" i="5"/>
  <c r="I257" i="5"/>
  <c r="I249" i="5"/>
  <c r="I241" i="5"/>
  <c r="I233" i="5"/>
  <c r="I225" i="5"/>
  <c r="I217" i="5"/>
  <c r="I209" i="5"/>
  <c r="I201" i="5"/>
  <c r="I193" i="5"/>
  <c r="I185" i="5"/>
  <c r="I177" i="5"/>
  <c r="I169" i="5"/>
  <c r="I161" i="5"/>
  <c r="I153" i="5"/>
  <c r="I145" i="5"/>
  <c r="I137" i="5"/>
  <c r="I129" i="5"/>
  <c r="I121" i="5"/>
  <c r="I113" i="5"/>
  <c r="I30815" i="5"/>
  <c r="I24983" i="5"/>
  <c r="I23903" i="5"/>
  <c r="I23148" i="5"/>
  <c r="I22508" i="5"/>
  <c r="I21916" i="5"/>
  <c r="I21407" i="5"/>
  <c r="I20927" i="5"/>
  <c r="I20483" i="5"/>
  <c r="I20188" i="5"/>
  <c r="I19948" i="5"/>
  <c r="I19737" i="5"/>
  <c r="I19513" i="5"/>
  <c r="I19273" i="5"/>
  <c r="I19051" i="5"/>
  <c r="I18827" i="5"/>
  <c r="I18591" i="5"/>
  <c r="I18412" i="5"/>
  <c r="I18234" i="5"/>
  <c r="I18042" i="5"/>
  <c r="I17871" i="5"/>
  <c r="I17691" i="5"/>
  <c r="I17499" i="5"/>
  <c r="I17323" i="5"/>
  <c r="I17145" i="5"/>
  <c r="I16953" i="5"/>
  <c r="I16788" i="5"/>
  <c r="I16660" i="5"/>
  <c r="I16523" i="5"/>
  <c r="I16401" i="5"/>
  <c r="I16273" i="5"/>
  <c r="I16136" i="5"/>
  <c r="I16010" i="5"/>
  <c r="I15882" i="5"/>
  <c r="I15745" i="5"/>
  <c r="I15618" i="5"/>
  <c r="I15490" i="5"/>
  <c r="I15353" i="5"/>
  <c r="I15231" i="5"/>
  <c r="I15103" i="5"/>
  <c r="I14966" i="5"/>
  <c r="I14840" i="5"/>
  <c r="I14712" i="5"/>
  <c r="I14590" i="5"/>
  <c r="I14494" i="5"/>
  <c r="I14399" i="5"/>
  <c r="I14297" i="5"/>
  <c r="I14201" i="5"/>
  <c r="I14106" i="5"/>
  <c r="I14004" i="5"/>
  <c r="I13916" i="5"/>
  <c r="I13840" i="5"/>
  <c r="I13758" i="5"/>
  <c r="I13691" i="5"/>
  <c r="I13623" i="5"/>
  <c r="I13551" i="5"/>
  <c r="I13485" i="5"/>
  <c r="I13419" i="5"/>
  <c r="I13351" i="5"/>
  <c r="I13296" i="5"/>
  <c r="I13252" i="5"/>
  <c r="I13207" i="5"/>
  <c r="I13166" i="5"/>
  <c r="I13124" i="5"/>
  <c r="I13079" i="5"/>
  <c r="I13038" i="5"/>
  <c r="I12996" i="5"/>
  <c r="I12951" i="5"/>
  <c r="I12910" i="5"/>
  <c r="I12868" i="5"/>
  <c r="I12823" i="5"/>
  <c r="I12782" i="5"/>
  <c r="I12740" i="5"/>
  <c r="I12695" i="5"/>
  <c r="I12654" i="5"/>
  <c r="I12612" i="5"/>
  <c r="I12567" i="5"/>
  <c r="I12526" i="5"/>
  <c r="I12484" i="5"/>
  <c r="I12439" i="5"/>
  <c r="I12398" i="5"/>
  <c r="I12356" i="5"/>
  <c r="I12311" i="5"/>
  <c r="I12270" i="5"/>
  <c r="I12228" i="5"/>
  <c r="I12183" i="5"/>
  <c r="I12142" i="5"/>
  <c r="I12100" i="5"/>
  <c r="I12055" i="5"/>
  <c r="I12014" i="5"/>
  <c r="I11972" i="5"/>
  <c r="I11927" i="5"/>
  <c r="I11886" i="5"/>
  <c r="I11844" i="5"/>
  <c r="I11799" i="5"/>
  <c r="I11758" i="5"/>
  <c r="I11716" i="5"/>
  <c r="I11671" i="5"/>
  <c r="I11630" i="5"/>
  <c r="I11588" i="5"/>
  <c r="I11543" i="5"/>
  <c r="I11502" i="5"/>
  <c r="I11460" i="5"/>
  <c r="I11415" i="5"/>
  <c r="I11374" i="5"/>
  <c r="I11332" i="5"/>
  <c r="I11287" i="5"/>
  <c r="I11246" i="5"/>
  <c r="I11212" i="5"/>
  <c r="I11180" i="5"/>
  <c r="I11148" i="5"/>
  <c r="I11116" i="5"/>
  <c r="I11084" i="5"/>
  <c r="I11052" i="5"/>
  <c r="I11020" i="5"/>
  <c r="I10988" i="5"/>
  <c r="I10956" i="5"/>
  <c r="I10924" i="5"/>
  <c r="I10892" i="5"/>
  <c r="I10860" i="5"/>
  <c r="I10831" i="5"/>
  <c r="I10806" i="5"/>
  <c r="I10781" i="5"/>
  <c r="I10756" i="5"/>
  <c r="I10730" i="5"/>
  <c r="I10703" i="5"/>
  <c r="I10678" i="5"/>
  <c r="I10653" i="5"/>
  <c r="I10628" i="5"/>
  <c r="I10602" i="5"/>
  <c r="I10575" i="5"/>
  <c r="I10554" i="5"/>
  <c r="I10533" i="5"/>
  <c r="I10511" i="5"/>
  <c r="I10490" i="5"/>
  <c r="I10469" i="5"/>
  <c r="I10447" i="5"/>
  <c r="I10426" i="5"/>
  <c r="I10405" i="5"/>
  <c r="I10383" i="5"/>
  <c r="I10362" i="5"/>
  <c r="I10343" i="5"/>
  <c r="I10325" i="5"/>
  <c r="I10307" i="5"/>
  <c r="I10288" i="5"/>
  <c r="I10272" i="5"/>
  <c r="I10256" i="5"/>
  <c r="I10240" i="5"/>
  <c r="I10224" i="5"/>
  <c r="I10208" i="5"/>
  <c r="I10192" i="5"/>
  <c r="I10176" i="5"/>
  <c r="I10160" i="5"/>
  <c r="I10144" i="5"/>
  <c r="I10128" i="5"/>
  <c r="I10112" i="5"/>
  <c r="I10096" i="5"/>
  <c r="I10080" i="5"/>
  <c r="I10064" i="5"/>
  <c r="I10048" i="5"/>
  <c r="I10032" i="5"/>
  <c r="I10016" i="5"/>
  <c r="I10000" i="5"/>
  <c r="I9984" i="5"/>
  <c r="I9968" i="5"/>
  <c r="I9952" i="5"/>
  <c r="I9936" i="5"/>
  <c r="I9920" i="5"/>
  <c r="I9904" i="5"/>
  <c r="I9888" i="5"/>
  <c r="I9872" i="5"/>
  <c r="I9856" i="5"/>
  <c r="I9840" i="5"/>
  <c r="I9824" i="5"/>
  <c r="I9808" i="5"/>
  <c r="I9792" i="5"/>
  <c r="I9776" i="5"/>
  <c r="I9760" i="5"/>
  <c r="I9744" i="5"/>
  <c r="I9728" i="5"/>
  <c r="I9712" i="5"/>
  <c r="I9696" i="5"/>
  <c r="I9680" i="5"/>
  <c r="I9664" i="5"/>
  <c r="I9648" i="5"/>
  <c r="I9632" i="5"/>
  <c r="I9616" i="5"/>
  <c r="I9600" i="5"/>
  <c r="I9584" i="5"/>
  <c r="I9570" i="5"/>
  <c r="I9559" i="5"/>
  <c r="I9545" i="5"/>
  <c r="I9532" i="5"/>
  <c r="I9520" i="5"/>
  <c r="I9506" i="5"/>
  <c r="I9495" i="5"/>
  <c r="I9481" i="5"/>
  <c r="I9468" i="5"/>
  <c r="I9456" i="5"/>
  <c r="I9442" i="5"/>
  <c r="I9431" i="5"/>
  <c r="I9417" i="5"/>
  <c r="I9404" i="5"/>
  <c r="I9392" i="5"/>
  <c r="I9378" i="5"/>
  <c r="I9367" i="5"/>
  <c r="I9353" i="5"/>
  <c r="I9340" i="5"/>
  <c r="I9328" i="5"/>
  <c r="I9314" i="5"/>
  <c r="I9303" i="5"/>
  <c r="I9289" i="5"/>
  <c r="I9276" i="5"/>
  <c r="I9264" i="5"/>
  <c r="I9250" i="5"/>
  <c r="I9239" i="5"/>
  <c r="I9225" i="5"/>
  <c r="I9212" i="5"/>
  <c r="I9200" i="5"/>
  <c r="I9186" i="5"/>
  <c r="I9175" i="5"/>
  <c r="I9161" i="5"/>
  <c r="I9148" i="5"/>
  <c r="I9136" i="5"/>
  <c r="I9122" i="5"/>
  <c r="I9111" i="5"/>
  <c r="I9097" i="5"/>
  <c r="I9084" i="5"/>
  <c r="I9072" i="5"/>
  <c r="I9058" i="5"/>
  <c r="I9047" i="5"/>
  <c r="I9033" i="5"/>
  <c r="I9020" i="5"/>
  <c r="I9008" i="5"/>
  <c r="I8994" i="5"/>
  <c r="I8983" i="5"/>
  <c r="I8969" i="5"/>
  <c r="I8956" i="5"/>
  <c r="I8944" i="5"/>
  <c r="I8930" i="5"/>
  <c r="I8919" i="5"/>
  <c r="I8905" i="5"/>
  <c r="I8892" i="5"/>
  <c r="I8880" i="5"/>
  <c r="I8866" i="5"/>
  <c r="I8855" i="5"/>
  <c r="I8841" i="5"/>
  <c r="I8828" i="5"/>
  <c r="I8816" i="5"/>
  <c r="I8802" i="5"/>
  <c r="I8791" i="5"/>
  <c r="I8777" i="5"/>
  <c r="I8764" i="5"/>
  <c r="I8752" i="5"/>
  <c r="I8738" i="5"/>
  <c r="I8727" i="5"/>
  <c r="I8713" i="5"/>
  <c r="I8700" i="5"/>
  <c r="I8688" i="5"/>
  <c r="I8674" i="5"/>
  <c r="I8663" i="5"/>
  <c r="I8649" i="5"/>
  <c r="I8636" i="5"/>
  <c r="I8624" i="5"/>
  <c r="I8610" i="5"/>
  <c r="I8599" i="5"/>
  <c r="I8585" i="5"/>
  <c r="I8572" i="5"/>
  <c r="I8560" i="5"/>
  <c r="I8546" i="5"/>
  <c r="I8535" i="5"/>
  <c r="I8521" i="5"/>
  <c r="I8508" i="5"/>
  <c r="I8496" i="5"/>
  <c r="I8482" i="5"/>
  <c r="I8471" i="5"/>
  <c r="I8457" i="5"/>
  <c r="I8444" i="5"/>
  <c r="I8432" i="5"/>
  <c r="I8418" i="5"/>
  <c r="I8407" i="5"/>
  <c r="I8393" i="5"/>
  <c r="I8380" i="5"/>
  <c r="I8368" i="5"/>
  <c r="I8354" i="5"/>
  <c r="I8343" i="5"/>
  <c r="I8329" i="5"/>
  <c r="I8316" i="5"/>
  <c r="I8304" i="5"/>
  <c r="I8290" i="5"/>
  <c r="I8279" i="5"/>
  <c r="I8265" i="5"/>
  <c r="I8252" i="5"/>
  <c r="I8240" i="5"/>
  <c r="I8226" i="5"/>
  <c r="I8215" i="5"/>
  <c r="I8201" i="5"/>
  <c r="I8188" i="5"/>
  <c r="I8176" i="5"/>
  <c r="I8162" i="5"/>
  <c r="I8151" i="5"/>
  <c r="I8137" i="5"/>
  <c r="I8124" i="5"/>
  <c r="I8112" i="5"/>
  <c r="I8098" i="5"/>
  <c r="I8087" i="5"/>
  <c r="I8073" i="5"/>
  <c r="I8060" i="5"/>
  <c r="I8048" i="5"/>
  <c r="I8034" i="5"/>
  <c r="I8023" i="5"/>
  <c r="I8009" i="5"/>
  <c r="I7996" i="5"/>
  <c r="I7984" i="5"/>
  <c r="I7970" i="5"/>
  <c r="I7959" i="5"/>
  <c r="I7945" i="5"/>
  <c r="I7932" i="5"/>
  <c r="I7920" i="5"/>
  <c r="I7906" i="5"/>
  <c r="I7895" i="5"/>
  <c r="I7881" i="5"/>
  <c r="I7868" i="5"/>
  <c r="I7856" i="5"/>
  <c r="I7842" i="5"/>
  <c r="I7831" i="5"/>
  <c r="I7817" i="5"/>
  <c r="I7804" i="5"/>
  <c r="I7792" i="5"/>
  <c r="I7778" i="5"/>
  <c r="I7767" i="5"/>
  <c r="I7753" i="5"/>
  <c r="I7740" i="5"/>
  <c r="I7728" i="5"/>
  <c r="I7714" i="5"/>
  <c r="I7703" i="5"/>
  <c r="I7689" i="5"/>
  <c r="I7676" i="5"/>
  <c r="I7664" i="5"/>
  <c r="I7650" i="5"/>
  <c r="I7639" i="5"/>
  <c r="I7625" i="5"/>
  <c r="I7612" i="5"/>
  <c r="I7600" i="5"/>
  <c r="I7586" i="5"/>
  <c r="I7575" i="5"/>
  <c r="I7561" i="5"/>
  <c r="I7548" i="5"/>
  <c r="I7536" i="5"/>
  <c r="I7522" i="5"/>
  <c r="I7511" i="5"/>
  <c r="I7497" i="5"/>
  <c r="I7484" i="5"/>
  <c r="I7472" i="5"/>
  <c r="I7458" i="5"/>
  <c r="I7447" i="5"/>
  <c r="I7433" i="5"/>
  <c r="I7420" i="5"/>
  <c r="I7408" i="5"/>
  <c r="I7394" i="5"/>
  <c r="I7383" i="5"/>
  <c r="I7369" i="5"/>
  <c r="I7356" i="5"/>
  <c r="I7344" i="5"/>
  <c r="I7330" i="5"/>
  <c r="I7319" i="5"/>
  <c r="I7305" i="5"/>
  <c r="I7292" i="5"/>
  <c r="I7280" i="5"/>
  <c r="I7266" i="5"/>
  <c r="I7255" i="5"/>
  <c r="I7241" i="5"/>
  <c r="I7228" i="5"/>
  <c r="I7216" i="5"/>
  <c r="I7202" i="5"/>
  <c r="I7191" i="5"/>
  <c r="I7177" i="5"/>
  <c r="I7164" i="5"/>
  <c r="I7152" i="5"/>
  <c r="I7138" i="5"/>
  <c r="I7127" i="5"/>
  <c r="I7113" i="5"/>
  <c r="I7100" i="5"/>
  <c r="I7088" i="5"/>
  <c r="I7074" i="5"/>
  <c r="I7063" i="5"/>
  <c r="I7049" i="5"/>
  <c r="I7036" i="5"/>
  <c r="I7024" i="5"/>
  <c r="I7010" i="5"/>
  <c r="I6999" i="5"/>
  <c r="I6985" i="5"/>
  <c r="I6972" i="5"/>
  <c r="I6960" i="5"/>
  <c r="I6946" i="5"/>
  <c r="I6935" i="5"/>
  <c r="I6921" i="5"/>
  <c r="I6908" i="5"/>
  <c r="I6896" i="5"/>
  <c r="I6886" i="5"/>
  <c r="I6874" i="5"/>
  <c r="I6864" i="5"/>
  <c r="I6854" i="5"/>
  <c r="I6842" i="5"/>
  <c r="I6832" i="5"/>
  <c r="I6822" i="5"/>
  <c r="I6810" i="5"/>
  <c r="I6800" i="5"/>
  <c r="I6790" i="5"/>
  <c r="I6778" i="5"/>
  <c r="I6768" i="5"/>
  <c r="I6758" i="5"/>
  <c r="I6746" i="5"/>
  <c r="I6736" i="5"/>
  <c r="I6726" i="5"/>
  <c r="I6714" i="5"/>
  <c r="I6704" i="5"/>
  <c r="I6694" i="5"/>
  <c r="I6682" i="5"/>
  <c r="I6672" i="5"/>
  <c r="I6662" i="5"/>
  <c r="I6650" i="5"/>
  <c r="I6640" i="5"/>
  <c r="I6630" i="5"/>
  <c r="I6618" i="5"/>
  <c r="I6608" i="5"/>
  <c r="I6598" i="5"/>
  <c r="I6586" i="5"/>
  <c r="I6576" i="5"/>
  <c r="I6566" i="5"/>
  <c r="I6554" i="5"/>
  <c r="I6544" i="5"/>
  <c r="I6534" i="5"/>
  <c r="I6522" i="5"/>
  <c r="I6512" i="5"/>
  <c r="I6502" i="5"/>
  <c r="I6490" i="5"/>
  <c r="I6480" i="5"/>
  <c r="I6470" i="5"/>
  <c r="I6458" i="5"/>
  <c r="I6448" i="5"/>
  <c r="I6438" i="5"/>
  <c r="I6426" i="5"/>
  <c r="I6416" i="5"/>
  <c r="I6406" i="5"/>
  <c r="I6394" i="5"/>
  <c r="I6384" i="5"/>
  <c r="I6374" i="5"/>
  <c r="I6362" i="5"/>
  <c r="I6352" i="5"/>
  <c r="I6342" i="5"/>
  <c r="I6330" i="5"/>
  <c r="I6320" i="5"/>
  <c r="I6310" i="5"/>
  <c r="I6298" i="5"/>
  <c r="I6288" i="5"/>
  <c r="I6278" i="5"/>
  <c r="I6266" i="5"/>
  <c r="I6256" i="5"/>
  <c r="I6246" i="5"/>
  <c r="I6234" i="5"/>
  <c r="I6224" i="5"/>
  <c r="I6214" i="5"/>
  <c r="I6202" i="5"/>
  <c r="I6192" i="5"/>
  <c r="I6182" i="5"/>
  <c r="I6170" i="5"/>
  <c r="I6160" i="5"/>
  <c r="I6150" i="5"/>
  <c r="I6138" i="5"/>
  <c r="I6128" i="5"/>
  <c r="I6118" i="5"/>
  <c r="I6106" i="5"/>
  <c r="I6096" i="5"/>
  <c r="I6086" i="5"/>
  <c r="I6074" i="5"/>
  <c r="I6064" i="5"/>
  <c r="I6054" i="5"/>
  <c r="I6042" i="5"/>
  <c r="I6032" i="5"/>
  <c r="I6022" i="5"/>
  <c r="I6010" i="5"/>
  <c r="I6000" i="5"/>
  <c r="I5990" i="5"/>
  <c r="I5978" i="5"/>
  <c r="I5968" i="5"/>
  <c r="I5958" i="5"/>
  <c r="I5946" i="5"/>
  <c r="I5936" i="5"/>
  <c r="I5926" i="5"/>
  <c r="I5914" i="5"/>
  <c r="I5904" i="5"/>
  <c r="I5894" i="5"/>
  <c r="I5882" i="5"/>
  <c r="I5872" i="5"/>
  <c r="I5862" i="5"/>
  <c r="I5850" i="5"/>
  <c r="I5840" i="5"/>
  <c r="I5830" i="5"/>
  <c r="I5818" i="5"/>
  <c r="I5808" i="5"/>
  <c r="I5798" i="5"/>
  <c r="I5786" i="5"/>
  <c r="I5776" i="5"/>
  <c r="I5766" i="5"/>
  <c r="I5754" i="5"/>
  <c r="I5744" i="5"/>
  <c r="I5734" i="5"/>
  <c r="I5722" i="5"/>
  <c r="I5712" i="5"/>
  <c r="I5702" i="5"/>
  <c r="I5690" i="5"/>
  <c r="I5680" i="5"/>
  <c r="I5670" i="5"/>
  <c r="I5658" i="5"/>
  <c r="I5648" i="5"/>
  <c r="I5638" i="5"/>
  <c r="I5626" i="5"/>
  <c r="I5616" i="5"/>
  <c r="I5606" i="5"/>
  <c r="I5594" i="5"/>
  <c r="I5584" i="5"/>
  <c r="I5574" i="5"/>
  <c r="I5562" i="5"/>
  <c r="I5552" i="5"/>
  <c r="I5542" i="5"/>
  <c r="I5530" i="5"/>
  <c r="I5520" i="5"/>
  <c r="I5510" i="5"/>
  <c r="I5498" i="5"/>
  <c r="I5488" i="5"/>
  <c r="I5478" i="5"/>
  <c r="I5466" i="5"/>
  <c r="I5456" i="5"/>
  <c r="I5446" i="5"/>
  <c r="I5434" i="5"/>
  <c r="I5424" i="5"/>
  <c r="I5414" i="5"/>
  <c r="I5402" i="5"/>
  <c r="I5392" i="5"/>
  <c r="I5382" i="5"/>
  <c r="I5370" i="5"/>
  <c r="I5360" i="5"/>
  <c r="I5350" i="5"/>
  <c r="I5338" i="5"/>
  <c r="I5328" i="5"/>
  <c r="I5318" i="5"/>
  <c r="I5306" i="5"/>
  <c r="I5296" i="5"/>
  <c r="I5286" i="5"/>
  <c r="I5274" i="5"/>
  <c r="I5264" i="5"/>
  <c r="I5254" i="5"/>
  <c r="I5242" i="5"/>
  <c r="I5232" i="5"/>
  <c r="I5222" i="5"/>
  <c r="I5210" i="5"/>
  <c r="I5200" i="5"/>
  <c r="I5190" i="5"/>
  <c r="I5178" i="5"/>
  <c r="I5168" i="5"/>
  <c r="I5158" i="5"/>
  <c r="I5146" i="5"/>
  <c r="I5136" i="5"/>
  <c r="I5126" i="5"/>
  <c r="I5114" i="5"/>
  <c r="I5104" i="5"/>
  <c r="I5094" i="5"/>
  <c r="I5082" i="5"/>
  <c r="I5072" i="5"/>
  <c r="I5062" i="5"/>
  <c r="I5050" i="5"/>
  <c r="I5040" i="5"/>
  <c r="I5030" i="5"/>
  <c r="I5018" i="5"/>
  <c r="I5008" i="5"/>
  <c r="I4998" i="5"/>
  <c r="I4986" i="5"/>
  <c r="I4976" i="5"/>
  <c r="I4966" i="5"/>
  <c r="I4954" i="5"/>
  <c r="I4944" i="5"/>
  <c r="I4934" i="5"/>
  <c r="I4922" i="5"/>
  <c r="I4912" i="5"/>
  <c r="I4902" i="5"/>
  <c r="I4890" i="5"/>
  <c r="I4880" i="5"/>
  <c r="I4870" i="5"/>
  <c r="I4858" i="5"/>
  <c r="I4848" i="5"/>
  <c r="I4838" i="5"/>
  <c r="I4826" i="5"/>
  <c r="I4816" i="5"/>
  <c r="I4806" i="5"/>
  <c r="I4794" i="5"/>
  <c r="I4784" i="5"/>
  <c r="I4774" i="5"/>
  <c r="I4762" i="5"/>
  <c r="I4752" i="5"/>
  <c r="I4742" i="5"/>
  <c r="I4730" i="5"/>
  <c r="I4720" i="5"/>
  <c r="I4710" i="5"/>
  <c r="I4698" i="5"/>
  <c r="I4688" i="5"/>
  <c r="I4678" i="5"/>
  <c r="I4666" i="5"/>
  <c r="I4656" i="5"/>
  <c r="I4646" i="5"/>
  <c r="I4634" i="5"/>
  <c r="I4624" i="5"/>
  <c r="I4614" i="5"/>
  <c r="I4602" i="5"/>
  <c r="I4592" i="5"/>
  <c r="I4582" i="5"/>
  <c r="I4570" i="5"/>
  <c r="I4560" i="5"/>
  <c r="I4550" i="5"/>
  <c r="I4538" i="5"/>
  <c r="I4528" i="5"/>
  <c r="I4518" i="5"/>
  <c r="I4506" i="5"/>
  <c r="I4496" i="5"/>
  <c r="I4486" i="5"/>
  <c r="I4474" i="5"/>
  <c r="I4464" i="5"/>
  <c r="I4454" i="5"/>
  <c r="I4442" i="5"/>
  <c r="I4432" i="5"/>
  <c r="I4422" i="5"/>
  <c r="I4410" i="5"/>
  <c r="I4400" i="5"/>
  <c r="I4390" i="5"/>
  <c r="I4378" i="5"/>
  <c r="I4368" i="5"/>
  <c r="I4358" i="5"/>
  <c r="I4346" i="5"/>
  <c r="I4336" i="5"/>
  <c r="I4326" i="5"/>
  <c r="I4314" i="5"/>
  <c r="I4304" i="5"/>
  <c r="I4294" i="5"/>
  <c r="I4282" i="5"/>
  <c r="I4272" i="5"/>
  <c r="I4262" i="5"/>
  <c r="I4250" i="5"/>
  <c r="I4240" i="5"/>
  <c r="I4230" i="5"/>
  <c r="I4218" i="5"/>
  <c r="I4208" i="5"/>
  <c r="I4198" i="5"/>
  <c r="I4186" i="5"/>
  <c r="I4176" i="5"/>
  <c r="I4166" i="5"/>
  <c r="I4154" i="5"/>
  <c r="I4144" i="5"/>
  <c r="I4134" i="5"/>
  <c r="I4122" i="5"/>
  <c r="I4112" i="5"/>
  <c r="I4102" i="5"/>
  <c r="I4090" i="5"/>
  <c r="I4080" i="5"/>
  <c r="I4070" i="5"/>
  <c r="I4058" i="5"/>
  <c r="I4048" i="5"/>
  <c r="I4038" i="5"/>
  <c r="I4026" i="5"/>
  <c r="I4016" i="5"/>
  <c r="I4006" i="5"/>
  <c r="I3994" i="5"/>
  <c r="I3984" i="5"/>
  <c r="I3974" i="5"/>
  <c r="I3962" i="5"/>
  <c r="I3952" i="5"/>
  <c r="I3942" i="5"/>
  <c r="I3930" i="5"/>
  <c r="I3920" i="5"/>
  <c r="I3910" i="5"/>
  <c r="I3898" i="5"/>
  <c r="I3888" i="5"/>
  <c r="I3878" i="5"/>
  <c r="I3866" i="5"/>
  <c r="I3856" i="5"/>
  <c r="I3846" i="5"/>
  <c r="I3834" i="5"/>
  <c r="I3824" i="5"/>
  <c r="I3814" i="5"/>
  <c r="I3802" i="5"/>
  <c r="I3792" i="5"/>
  <c r="I3782" i="5"/>
  <c r="I3770" i="5"/>
  <c r="I3760" i="5"/>
  <c r="I3750" i="5"/>
  <c r="I3738" i="5"/>
  <c r="I3728" i="5"/>
  <c r="I3718" i="5"/>
  <c r="I3706" i="5"/>
  <c r="I3696" i="5"/>
  <c r="I3686" i="5"/>
  <c r="I3674" i="5"/>
  <c r="I3664" i="5"/>
  <c r="I3654" i="5"/>
  <c r="I3642" i="5"/>
  <c r="I3632" i="5"/>
  <c r="I3622" i="5"/>
  <c r="I3610" i="5"/>
  <c r="I3600" i="5"/>
  <c r="I3590" i="5"/>
  <c r="I3578" i="5"/>
  <c r="I3568" i="5"/>
  <c r="I3558" i="5"/>
  <c r="I3546" i="5"/>
  <c r="I3536" i="5"/>
  <c r="I3526" i="5"/>
  <c r="I3514" i="5"/>
  <c r="I3504" i="5"/>
  <c r="I3494" i="5"/>
  <c r="I3482" i="5"/>
  <c r="I3472" i="5"/>
  <c r="I3462" i="5"/>
  <c r="I3450" i="5"/>
  <c r="I3440" i="5"/>
  <c r="I3430" i="5"/>
  <c r="I3418" i="5"/>
  <c r="I3408" i="5"/>
  <c r="I3398" i="5"/>
  <c r="I3386" i="5"/>
  <c r="I3376" i="5"/>
  <c r="I3366" i="5"/>
  <c r="I3354" i="5"/>
  <c r="I3344" i="5"/>
  <c r="I3334" i="5"/>
  <c r="I3322" i="5"/>
  <c r="I3312" i="5"/>
  <c r="I3302" i="5"/>
  <c r="I3290" i="5"/>
  <c r="I3280" i="5"/>
  <c r="I3270" i="5"/>
  <c r="I3258" i="5"/>
  <c r="I3248" i="5"/>
  <c r="I3238" i="5"/>
  <c r="I3226" i="5"/>
  <c r="I3216" i="5"/>
  <c r="I3206" i="5"/>
  <c r="I3194" i="5"/>
  <c r="I3184" i="5"/>
  <c r="I3174" i="5"/>
  <c r="I3162" i="5"/>
  <c r="I3152" i="5"/>
  <c r="I3142" i="5"/>
  <c r="I3130" i="5"/>
  <c r="I3120" i="5"/>
  <c r="I3110" i="5"/>
  <c r="I3098" i="5"/>
  <c r="I3088" i="5"/>
  <c r="I3078" i="5"/>
  <c r="I3066" i="5"/>
  <c r="I3056" i="5"/>
  <c r="I3046" i="5"/>
  <c r="I3034" i="5"/>
  <c r="I3024" i="5"/>
  <c r="I3014" i="5"/>
  <c r="I3002" i="5"/>
  <c r="I2992" i="5"/>
  <c r="I2982" i="5"/>
  <c r="I2970" i="5"/>
  <c r="I2960" i="5"/>
  <c r="I2950" i="5"/>
  <c r="I2938" i="5"/>
  <c r="I2928" i="5"/>
  <c r="I2918" i="5"/>
  <c r="I2906" i="5"/>
  <c r="I2896" i="5"/>
  <c r="I2886" i="5"/>
  <c r="I2874" i="5"/>
  <c r="I2864" i="5"/>
  <c r="I2854" i="5"/>
  <c r="I2842" i="5"/>
  <c r="I2832" i="5"/>
  <c r="I2822" i="5"/>
  <c r="I2810" i="5"/>
  <c r="I2800" i="5"/>
  <c r="I2790" i="5"/>
  <c r="I2778" i="5"/>
  <c r="I2768" i="5"/>
  <c r="I2758" i="5"/>
  <c r="I2746" i="5"/>
  <c r="I2736" i="5"/>
  <c r="I2726" i="5"/>
  <c r="I2714" i="5"/>
  <c r="I2704" i="5"/>
  <c r="I2694" i="5"/>
  <c r="I2682" i="5"/>
  <c r="I2672" i="5"/>
  <c r="I2662" i="5"/>
  <c r="I2650" i="5"/>
  <c r="I2640" i="5"/>
  <c r="I2630" i="5"/>
  <c r="I2618" i="5"/>
  <c r="I2608" i="5"/>
  <c r="I2598" i="5"/>
  <c r="I2586" i="5"/>
  <c r="I2576" i="5"/>
  <c r="I2566" i="5"/>
  <c r="I2554" i="5"/>
  <c r="I2544" i="5"/>
  <c r="I2534" i="5"/>
  <c r="I2522" i="5"/>
  <c r="I2512" i="5"/>
  <c r="I2502" i="5"/>
  <c r="I2490" i="5"/>
  <c r="I2480" i="5"/>
  <c r="I2470" i="5"/>
  <c r="I2458" i="5"/>
  <c r="I2448" i="5"/>
  <c r="I2438" i="5"/>
  <c r="I2426" i="5"/>
  <c r="I2416" i="5"/>
  <c r="I2406" i="5"/>
  <c r="I2394" i="5"/>
  <c r="I2384" i="5"/>
  <c r="I2374" i="5"/>
  <c r="I2362" i="5"/>
  <c r="I2352" i="5"/>
  <c r="I2342" i="5"/>
  <c r="I2330" i="5"/>
  <c r="I2320" i="5"/>
  <c r="I2310" i="5"/>
  <c r="I2298" i="5"/>
  <c r="I2288" i="5"/>
  <c r="I2278" i="5"/>
  <c r="I2266" i="5"/>
  <c r="I2256" i="5"/>
  <c r="I2246" i="5"/>
  <c r="I2234" i="5"/>
  <c r="I2224" i="5"/>
  <c r="I2214" i="5"/>
  <c r="I2202" i="5"/>
  <c r="I2192" i="5"/>
  <c r="I2182" i="5"/>
  <c r="I2170" i="5"/>
  <c r="I2160" i="5"/>
  <c r="I2150" i="5"/>
  <c r="I2138" i="5"/>
  <c r="I2128" i="5"/>
  <c r="I2118" i="5"/>
  <c r="I2106" i="5"/>
  <c r="I2096" i="5"/>
  <c r="I2086" i="5"/>
  <c r="I2074" i="5"/>
  <c r="I2064" i="5"/>
  <c r="I2054" i="5"/>
  <c r="I2042" i="5"/>
  <c r="I2032" i="5"/>
  <c r="I2022" i="5"/>
  <c r="I2010" i="5"/>
  <c r="I2000" i="5"/>
  <c r="I1990" i="5"/>
  <c r="I1978" i="5"/>
  <c r="I1968" i="5"/>
  <c r="I1958" i="5"/>
  <c r="I1946" i="5"/>
  <c r="I1936" i="5"/>
  <c r="I1926" i="5"/>
  <c r="I1914" i="5"/>
  <c r="I1904" i="5"/>
  <c r="I1894" i="5"/>
  <c r="I1882" i="5"/>
  <c r="I1872" i="5"/>
  <c r="I1862" i="5"/>
  <c r="I1850" i="5"/>
  <c r="I1840" i="5"/>
  <c r="I1830" i="5"/>
  <c r="I1818" i="5"/>
  <c r="I1808" i="5"/>
  <c r="I1798" i="5"/>
  <c r="I1786" i="5"/>
  <c r="I1776" i="5"/>
  <c r="I1766" i="5"/>
  <c r="I1754" i="5"/>
  <c r="I1744" i="5"/>
  <c r="I1734" i="5"/>
  <c r="I1722" i="5"/>
  <c r="I1712" i="5"/>
  <c r="I1702" i="5"/>
  <c r="I1690" i="5"/>
  <c r="I1680" i="5"/>
  <c r="I1670" i="5"/>
  <c r="I1662" i="5"/>
  <c r="I1654" i="5"/>
  <c r="I1646" i="5"/>
  <c r="I1638" i="5"/>
  <c r="I1630" i="5"/>
  <c r="I1622" i="5"/>
  <c r="I1614" i="5"/>
  <c r="I1606" i="5"/>
  <c r="I1598" i="5"/>
  <c r="I1590" i="5"/>
  <c r="I1582" i="5"/>
  <c r="I1574" i="5"/>
  <c r="I1566" i="5"/>
  <c r="I1558" i="5"/>
  <c r="I1550" i="5"/>
  <c r="I1542" i="5"/>
  <c r="I1534" i="5"/>
  <c r="I1526" i="5"/>
  <c r="I1518" i="5"/>
  <c r="I1510" i="5"/>
  <c r="I1502" i="5"/>
  <c r="I1494" i="5"/>
  <c r="I1486" i="5"/>
  <c r="I1478" i="5"/>
  <c r="I1470" i="5"/>
  <c r="I1462" i="5"/>
  <c r="I1454" i="5"/>
  <c r="I1446" i="5"/>
  <c r="I1438" i="5"/>
  <c r="I1430" i="5"/>
  <c r="I1422" i="5"/>
  <c r="I1414" i="5"/>
  <c r="I1406" i="5"/>
  <c r="I1398" i="5"/>
  <c r="I1390" i="5"/>
  <c r="I1382" i="5"/>
  <c r="I1374" i="5"/>
  <c r="I1366" i="5"/>
  <c r="I1358" i="5"/>
  <c r="I1350" i="5"/>
  <c r="I1342" i="5"/>
  <c r="I1334" i="5"/>
  <c r="I1326" i="5"/>
  <c r="I1318" i="5"/>
  <c r="I1310" i="5"/>
  <c r="I1302" i="5"/>
  <c r="I1294" i="5"/>
  <c r="I1286" i="5"/>
  <c r="I1278" i="5"/>
  <c r="I1270" i="5"/>
  <c r="I1262" i="5"/>
  <c r="I1254" i="5"/>
  <c r="I1246" i="5"/>
  <c r="I1238" i="5"/>
  <c r="I1230" i="5"/>
  <c r="I1222" i="5"/>
  <c r="I1214" i="5"/>
  <c r="I1206" i="5"/>
  <c r="I1198" i="5"/>
  <c r="I1190" i="5"/>
  <c r="I1182" i="5"/>
  <c r="I1174" i="5"/>
  <c r="I1166" i="5"/>
  <c r="I1158" i="5"/>
  <c r="I1150" i="5"/>
  <c r="I1142" i="5"/>
  <c r="I1134" i="5"/>
  <c r="I1126" i="5"/>
  <c r="I1118" i="5"/>
  <c r="I1110" i="5"/>
  <c r="I1102" i="5"/>
  <c r="I1094" i="5"/>
  <c r="I1086" i="5"/>
  <c r="I1078" i="5"/>
  <c r="I1070" i="5"/>
  <c r="I1062" i="5"/>
  <c r="I1054" i="5"/>
  <c r="I1046" i="5"/>
  <c r="I1038" i="5"/>
  <c r="I1030" i="5"/>
  <c r="I1022" i="5"/>
  <c r="I1014" i="5"/>
  <c r="I1006" i="5"/>
  <c r="I998" i="5"/>
  <c r="I990" i="5"/>
  <c r="I982" i="5"/>
  <c r="I974" i="5"/>
  <c r="I966" i="5"/>
  <c r="I958" i="5"/>
  <c r="I950" i="5"/>
  <c r="I942" i="5"/>
  <c r="I934" i="5"/>
  <c r="I926" i="5"/>
  <c r="I918" i="5"/>
  <c r="I910" i="5"/>
  <c r="I902" i="5"/>
  <c r="I894" i="5"/>
  <c r="I886" i="5"/>
  <c r="I878" i="5"/>
  <c r="I870" i="5"/>
  <c r="I862" i="5"/>
  <c r="I854" i="5"/>
  <c r="I846" i="5"/>
  <c r="I838" i="5"/>
  <c r="I830" i="5"/>
  <c r="I822" i="5"/>
  <c r="I814" i="5"/>
  <c r="I806" i="5"/>
  <c r="I798" i="5"/>
  <c r="I790" i="5"/>
  <c r="I782" i="5"/>
  <c r="I774" i="5"/>
  <c r="I766" i="5"/>
  <c r="I758" i="5"/>
  <c r="I750" i="5"/>
  <c r="I742" i="5"/>
  <c r="I734" i="5"/>
  <c r="I726" i="5"/>
  <c r="I718" i="5"/>
  <c r="I710" i="5"/>
  <c r="I702" i="5"/>
  <c r="I694" i="5"/>
  <c r="I686" i="5"/>
  <c r="I678" i="5"/>
  <c r="I670" i="5"/>
  <c r="I662" i="5"/>
  <c r="I654" i="5"/>
  <c r="I646" i="5"/>
  <c r="I638" i="5"/>
  <c r="I630" i="5"/>
  <c r="I622" i="5"/>
  <c r="I614" i="5"/>
  <c r="I606" i="5"/>
  <c r="I598" i="5"/>
  <c r="I590" i="5"/>
  <c r="I582" i="5"/>
  <c r="I574" i="5"/>
  <c r="I566" i="5"/>
  <c r="I558" i="5"/>
  <c r="I550" i="5"/>
  <c r="I542" i="5"/>
  <c r="I534" i="5"/>
  <c r="I526" i="5"/>
  <c r="I518" i="5"/>
  <c r="I510" i="5"/>
  <c r="I502" i="5"/>
  <c r="I494" i="5"/>
  <c r="I486" i="5"/>
  <c r="I478" i="5"/>
  <c r="I470" i="5"/>
  <c r="I462" i="5"/>
  <c r="I454" i="5"/>
  <c r="I446" i="5"/>
  <c r="I438" i="5"/>
  <c r="I430" i="5"/>
  <c r="I422" i="5"/>
  <c r="I414" i="5"/>
  <c r="I406" i="5"/>
  <c r="I398" i="5"/>
  <c r="I390" i="5"/>
  <c r="I382" i="5"/>
  <c r="I374" i="5"/>
  <c r="I366" i="5"/>
  <c r="I358" i="5"/>
  <c r="I350" i="5"/>
  <c r="I342" i="5"/>
  <c r="I334" i="5"/>
  <c r="I326" i="5"/>
  <c r="I318" i="5"/>
  <c r="I310" i="5"/>
  <c r="I302" i="5"/>
  <c r="I294" i="5"/>
  <c r="I286" i="5"/>
  <c r="I278" i="5"/>
  <c r="I270" i="5"/>
  <c r="I262" i="5"/>
  <c r="I254" i="5"/>
  <c r="I246" i="5"/>
  <c r="I238" i="5"/>
  <c r="I230" i="5"/>
  <c r="I222" i="5"/>
  <c r="I214" i="5"/>
  <c r="I206" i="5"/>
  <c r="I198" i="5"/>
  <c r="I190" i="5"/>
  <c r="I182" i="5"/>
  <c r="I174" i="5"/>
  <c r="I166" i="5"/>
  <c r="I158" i="5"/>
  <c r="I150" i="5"/>
  <c r="I142" i="5"/>
  <c r="I134" i="5"/>
  <c r="I126" i="5"/>
  <c r="I118" i="5"/>
  <c r="I110" i="5"/>
  <c r="I25449" i="5"/>
  <c r="I23189" i="5"/>
  <c r="I21999" i="5"/>
  <c r="I20995" i="5"/>
  <c r="I20204" i="5"/>
  <c r="I19769" i="5"/>
  <c r="I19307" i="5"/>
  <c r="I18843" i="5"/>
  <c r="I18439" i="5"/>
  <c r="I18075" i="5"/>
  <c r="I17705" i="5"/>
  <c r="I17348" i="5"/>
  <c r="I16979" i="5"/>
  <c r="I16670" i="5"/>
  <c r="I16419" i="5"/>
  <c r="I16156" i="5"/>
  <c r="I15891" i="5"/>
  <c r="I15636" i="5"/>
  <c r="I15377" i="5"/>
  <c r="I15112" i="5"/>
  <c r="I14858" i="5"/>
  <c r="I14603" i="5"/>
  <c r="I14407" i="5"/>
  <c r="I14216" i="5"/>
  <c r="I14018" i="5"/>
  <c r="I13844" i="5"/>
  <c r="I13700" i="5"/>
  <c r="I13563" i="5"/>
  <c r="I13423" i="5"/>
  <c r="I13304" i="5"/>
  <c r="I13214" i="5"/>
  <c r="I13127" i="5"/>
  <c r="I13044" i="5"/>
  <c r="I12958" i="5"/>
  <c r="I12871" i="5"/>
  <c r="I12788" i="5"/>
  <c r="I12702" i="5"/>
  <c r="I12615" i="5"/>
  <c r="I12532" i="5"/>
  <c r="I12446" i="5"/>
  <c r="I12359" i="5"/>
  <c r="I12276" i="5"/>
  <c r="I12190" i="5"/>
  <c r="I12103" i="5"/>
  <c r="I12020" i="5"/>
  <c r="I11934" i="5"/>
  <c r="I11847" i="5"/>
  <c r="I11764" i="5"/>
  <c r="I11678" i="5"/>
  <c r="I11607" i="5"/>
  <c r="I11542" i="5"/>
  <c r="I11463" i="5"/>
  <c r="I11399" i="5"/>
  <c r="I11334" i="5"/>
  <c r="I11268" i="5"/>
  <c r="I11210" i="5"/>
  <c r="I11151" i="5"/>
  <c r="I11103" i="5"/>
  <c r="I11054" i="5"/>
  <c r="I11004" i="5"/>
  <c r="I10954" i="5"/>
  <c r="I10895" i="5"/>
  <c r="I10847" i="5"/>
  <c r="I10807" i="5"/>
  <c r="I10767" i="5"/>
  <c r="I10727" i="5"/>
  <c r="I10682" i="5"/>
  <c r="I10644" i="5"/>
  <c r="I10604" i="5"/>
  <c r="I10565" i="5"/>
  <c r="I10532" i="5"/>
  <c r="I10493" i="5"/>
  <c r="I10461" i="5"/>
  <c r="I10428" i="5"/>
  <c r="I10394" i="5"/>
  <c r="I10360" i="5"/>
  <c r="I10327" i="5"/>
  <c r="I10300" i="5"/>
  <c r="I10273" i="5"/>
  <c r="I10248" i="5"/>
  <c r="I10223" i="5"/>
  <c r="I10194" i="5"/>
  <c r="I10170" i="5"/>
  <c r="I10145" i="5"/>
  <c r="I10120" i="5"/>
  <c r="I10095" i="5"/>
  <c r="I10066" i="5"/>
  <c r="I10042" i="5"/>
  <c r="I10017" i="5"/>
  <c r="I25299" i="5"/>
  <c r="I23156" i="5"/>
  <c r="I21917" i="5"/>
  <c r="I20988" i="5"/>
  <c r="I20203" i="5"/>
  <c r="I19739" i="5"/>
  <c r="I19292" i="5"/>
  <c r="I18841" i="5"/>
  <c r="I18420" i="5"/>
  <c r="I18066" i="5"/>
  <c r="I17697" i="5"/>
  <c r="I17324" i="5"/>
  <c r="I16975" i="5"/>
  <c r="I16668" i="5"/>
  <c r="I16403" i="5"/>
  <c r="I16148" i="5"/>
  <c r="I15889" i="5"/>
  <c r="I15624" i="5"/>
  <c r="I15370" i="5"/>
  <c r="I15106" i="5"/>
  <c r="I14841" i="5"/>
  <c r="I14600" i="5"/>
  <c r="I14402" i="5"/>
  <c r="I14206" i="5"/>
  <c r="I14015" i="5"/>
  <c r="I13843" i="5"/>
  <c r="I13692" i="5"/>
  <c r="I13559" i="5"/>
  <c r="I13421" i="5"/>
  <c r="I13298" i="5"/>
  <c r="I13212" i="5"/>
  <c r="I13126" i="5"/>
  <c r="I13039" i="5"/>
  <c r="I12956" i="5"/>
  <c r="I12870" i="5"/>
  <c r="I12783" i="5"/>
  <c r="I12700" i="5"/>
  <c r="I12614" i="5"/>
  <c r="I12527" i="5"/>
  <c r="I12444" i="5"/>
  <c r="I12358" i="5"/>
  <c r="I12271" i="5"/>
  <c r="I12188" i="5"/>
  <c r="I12102" i="5"/>
  <c r="I12015" i="5"/>
  <c r="I11932" i="5"/>
  <c r="I11846" i="5"/>
  <c r="I11759" i="5"/>
  <c r="I11676" i="5"/>
  <c r="I11591" i="5"/>
  <c r="I11527" i="5"/>
  <c r="I11462" i="5"/>
  <c r="I11396" i="5"/>
  <c r="I11327" i="5"/>
  <c r="I11252" i="5"/>
  <c r="I11199" i="5"/>
  <c r="I11150" i="5"/>
  <c r="I11100" i="5"/>
  <c r="I11050" i="5"/>
  <c r="I10991" i="5"/>
  <c r="I10943" i="5"/>
  <c r="I10894" i="5"/>
  <c r="I10845" i="5"/>
  <c r="I10805" i="5"/>
  <c r="I10758" i="5"/>
  <c r="I10719" i="5"/>
  <c r="I10679" i="5"/>
  <c r="I10639" i="5"/>
  <c r="I10599" i="5"/>
  <c r="I10557" i="5"/>
  <c r="I10525" i="5"/>
  <c r="I10492" i="5"/>
  <c r="I10458" i="5"/>
  <c r="I10424" i="5"/>
  <c r="I10386" i="5"/>
  <c r="I10355" i="5"/>
  <c r="I10326" i="5"/>
  <c r="I10298" i="5"/>
  <c r="I10271" i="5"/>
  <c r="I10242" i="5"/>
  <c r="I10218" i="5"/>
  <c r="I10193" i="5"/>
  <c r="I10168" i="5"/>
  <c r="I10143" i="5"/>
  <c r="I10114" i="5"/>
  <c r="I10090" i="5"/>
  <c r="I10065" i="5"/>
  <c r="I10040" i="5"/>
  <c r="I10015" i="5"/>
  <c r="I24969" i="5"/>
  <c r="I23068" i="5"/>
  <c r="I21876" i="5"/>
  <c r="I20924" i="5"/>
  <c r="I20169" i="5"/>
  <c r="I19723" i="5"/>
  <c r="I19260" i="5"/>
  <c r="I18796" i="5"/>
  <c r="I18409" i="5"/>
  <c r="I18041" i="5"/>
  <c r="I17668" i="5"/>
  <c r="I17313" i="5"/>
  <c r="I16948" i="5"/>
  <c r="I16648" i="5"/>
  <c r="I16394" i="5"/>
  <c r="I16130" i="5"/>
  <c r="I15865" i="5"/>
  <c r="I15615" i="5"/>
  <c r="I15352" i="5"/>
  <c r="I15087" i="5"/>
  <c r="I14832" i="5"/>
  <c r="I14585" i="5"/>
  <c r="I14388" i="5"/>
  <c r="I14198" i="5"/>
  <c r="I14000" i="5"/>
  <c r="I13831" i="5"/>
  <c r="I13687" i="5"/>
  <c r="I13549" i="5"/>
  <c r="I13411" i="5"/>
  <c r="I13294" i="5"/>
  <c r="I13206" i="5"/>
  <c r="I13119" i="5"/>
  <c r="I13036" i="5"/>
  <c r="I12950" i="5"/>
  <c r="I12863" i="5"/>
  <c r="I12780" i="5"/>
  <c r="I12694" i="5"/>
  <c r="I12607" i="5"/>
  <c r="I12524" i="5"/>
  <c r="I12438" i="5"/>
  <c r="I12351" i="5"/>
  <c r="I12268" i="5"/>
  <c r="I12182" i="5"/>
  <c r="I12095" i="5"/>
  <c r="I12012" i="5"/>
  <c r="I11926" i="5"/>
  <c r="I11839" i="5"/>
  <c r="I11756" i="5"/>
  <c r="I11670" i="5"/>
  <c r="I11590" i="5"/>
  <c r="I11524" i="5"/>
  <c r="I11455" i="5"/>
  <c r="I11380" i="5"/>
  <c r="I11316" i="5"/>
  <c r="I11247" i="5"/>
  <c r="I11196" i="5"/>
  <c r="I11146" i="5"/>
  <c r="I11087" i="5"/>
  <c r="I11039" i="5"/>
  <c r="I10990" i="5"/>
  <c r="I10940" i="5"/>
  <c r="I10890" i="5"/>
  <c r="I10836" i="5"/>
  <c r="I10797" i="5"/>
  <c r="I10757" i="5"/>
  <c r="I10717" i="5"/>
  <c r="I10677" i="5"/>
  <c r="I10630" i="5"/>
  <c r="I10591" i="5"/>
  <c r="I10556" i="5"/>
  <c r="I10522" i="5"/>
  <c r="I10488" i="5"/>
  <c r="I10450" i="5"/>
  <c r="I10418" i="5"/>
  <c r="I10384" i="5"/>
  <c r="I10352" i="5"/>
  <c r="I10324" i="5"/>
  <c r="I10291" i="5"/>
  <c r="I10266" i="5"/>
  <c r="I10241" i="5"/>
  <c r="I10216" i="5"/>
  <c r="I10191" i="5"/>
  <c r="I10162" i="5"/>
  <c r="I10138" i="5"/>
  <c r="I10113" i="5"/>
  <c r="I10088" i="5"/>
  <c r="I10063" i="5"/>
  <c r="I10034" i="5"/>
  <c r="I10010" i="5"/>
  <c r="I24031" i="5"/>
  <c r="I22597" i="5"/>
  <c r="I21439" i="5"/>
  <c r="I20547" i="5"/>
  <c r="I19993" i="5"/>
  <c r="I19529" i="5"/>
  <c r="I19083" i="5"/>
  <c r="I18620" i="5"/>
  <c r="I18247" i="5"/>
  <c r="I17897" i="5"/>
  <c r="I17529" i="5"/>
  <c r="I17156" i="5"/>
  <c r="I16809" i="5"/>
  <c r="I16547" i="5"/>
  <c r="I16282" i="5"/>
  <c r="I16028" i="5"/>
  <c r="I15764" i="5"/>
  <c r="I15499" i="5"/>
  <c r="I15249" i="5"/>
  <c r="I14986" i="5"/>
  <c r="I14721" i="5"/>
  <c r="I14508" i="5"/>
  <c r="I14311" i="5"/>
  <c r="I14114" i="5"/>
  <c r="I13927" i="5"/>
  <c r="I13770" i="5"/>
  <c r="I13628" i="5"/>
  <c r="I13495" i="5"/>
  <c r="I13360" i="5"/>
  <c r="I13255" i="5"/>
  <c r="I13172" i="5"/>
  <c r="I13086" i="5"/>
  <c r="I12999" i="5"/>
  <c r="I12916" i="5"/>
  <c r="I12830" i="5"/>
  <c r="I12743" i="5"/>
  <c r="I12660" i="5"/>
  <c r="I12574" i="5"/>
  <c r="I12487" i="5"/>
  <c r="I12404" i="5"/>
  <c r="I12318" i="5"/>
  <c r="I12231" i="5"/>
  <c r="I12148" i="5"/>
  <c r="I12062" i="5"/>
  <c r="I11975" i="5"/>
  <c r="I11892" i="5"/>
  <c r="I11806" i="5"/>
  <c r="I11719" i="5"/>
  <c r="I11636" i="5"/>
  <c r="I11572" i="5"/>
  <c r="I11503" i="5"/>
  <c r="I11438" i="5"/>
  <c r="I11372" i="5"/>
  <c r="I11294" i="5"/>
  <c r="I11231" i="5"/>
  <c r="I11182" i="5"/>
  <c r="I11132" i="5"/>
  <c r="I11082" i="5"/>
  <c r="I11023" i="5"/>
  <c r="I10975" i="5"/>
  <c r="I10926" i="5"/>
  <c r="I10876" i="5"/>
  <c r="I10830" i="5"/>
  <c r="I10783" i="5"/>
  <c r="I10746" i="5"/>
  <c r="I10706" i="5"/>
  <c r="I10666" i="5"/>
  <c r="I10626" i="5"/>
  <c r="I10580" i="5"/>
  <c r="I10546" i="5"/>
  <c r="I10512" i="5"/>
  <c r="I10479" i="5"/>
  <c r="I10446" i="5"/>
  <c r="I10407" i="5"/>
  <c r="I10375" i="5"/>
  <c r="I10344" i="5"/>
  <c r="I10316" i="5"/>
  <c r="I10287" i="5"/>
  <c r="I10258" i="5"/>
  <c r="I10234" i="5"/>
  <c r="I10209" i="5"/>
  <c r="I10184" i="5"/>
  <c r="I10159" i="5"/>
  <c r="I10130" i="5"/>
  <c r="I10106" i="5"/>
  <c r="I29479" i="5"/>
  <c r="I23847" i="5"/>
  <c r="I22471" i="5"/>
  <c r="I21347" i="5"/>
  <c r="I20476" i="5"/>
  <c r="I19947" i="5"/>
  <c r="I19483" i="5"/>
  <c r="I19036" i="5"/>
  <c r="I18587" i="5"/>
  <c r="I18217" i="5"/>
  <c r="I17860" i="5"/>
  <c r="I17491" i="5"/>
  <c r="I17121" i="5"/>
  <c r="I16785" i="5"/>
  <c r="I16522" i="5"/>
  <c r="I16257" i="5"/>
  <c r="I16002" i="5"/>
  <c r="I15743" i="5"/>
  <c r="I15478" i="5"/>
  <c r="I15224" i="5"/>
  <c r="I14960" i="5"/>
  <c r="I14695" i="5"/>
  <c r="I14490" i="5"/>
  <c r="I14292" i="5"/>
  <c r="I14096" i="5"/>
  <c r="I13913" i="5"/>
  <c r="I13756" i="5"/>
  <c r="I13615" i="5"/>
  <c r="I13483" i="5"/>
  <c r="I13349" i="5"/>
  <c r="I13247" i="5"/>
  <c r="I13164" i="5"/>
  <c r="I13078" i="5"/>
  <c r="I12991" i="5"/>
  <c r="I12908" i="5"/>
  <c r="I12822" i="5"/>
  <c r="I12735" i="5"/>
  <c r="I12652" i="5"/>
  <c r="I12566" i="5"/>
  <c r="I12479" i="5"/>
  <c r="I12396" i="5"/>
  <c r="I12310" i="5"/>
  <c r="I12223" i="5"/>
  <c r="I12140" i="5"/>
  <c r="I12054" i="5"/>
  <c r="I11967" i="5"/>
  <c r="I11884" i="5"/>
  <c r="I11798" i="5"/>
  <c r="I11711" i="5"/>
  <c r="I11628" i="5"/>
  <c r="I11550" i="5"/>
  <c r="I11486" i="5"/>
  <c r="I11420" i="5"/>
  <c r="I11351" i="5"/>
  <c r="I11286" i="5"/>
  <c r="I11215" i="5"/>
  <c r="I11167" i="5"/>
  <c r="I11118" i="5"/>
  <c r="I11068" i="5"/>
  <c r="I11018" i="5"/>
  <c r="I10959" i="5"/>
  <c r="I10911" i="5"/>
  <c r="I10862" i="5"/>
  <c r="I10820" i="5"/>
  <c r="I10780" i="5"/>
  <c r="I10733" i="5"/>
  <c r="I10694" i="5"/>
  <c r="I10654" i="5"/>
  <c r="I10614" i="5"/>
  <c r="I10574" i="5"/>
  <c r="I10535" i="5"/>
  <c r="I10503" i="5"/>
  <c r="I10470" i="5"/>
  <c r="I10437" i="5"/>
  <c r="I10404" i="5"/>
  <c r="I10365" i="5"/>
  <c r="I10336" i="5"/>
  <c r="I10308" i="5"/>
  <c r="I10280" i="5"/>
  <c r="I10255" i="5"/>
  <c r="I10226" i="5"/>
  <c r="I10202" i="5"/>
  <c r="I10177" i="5"/>
  <c r="I10152" i="5"/>
  <c r="I10127" i="5"/>
  <c r="I10098" i="5"/>
  <c r="I10074" i="5"/>
  <c r="I10049" i="5"/>
  <c r="I10024" i="5"/>
  <c r="I23911" i="5"/>
  <c r="I20732" i="5"/>
  <c r="I19388" i="5"/>
  <c r="I18244" i="5"/>
  <c r="I17223" i="5"/>
  <c r="I16467" i="5"/>
  <c r="I15761" i="5"/>
  <c r="I15033" i="5"/>
  <c r="I14443" i="5"/>
  <c r="I13918" i="5"/>
  <c r="I13520" i="5"/>
  <c r="I13230" i="5"/>
  <c r="I12998" i="5"/>
  <c r="I12759" i="5"/>
  <c r="I12548" i="5"/>
  <c r="I12316" i="5"/>
  <c r="I12078" i="5"/>
  <c r="I11863" i="5"/>
  <c r="I11631" i="5"/>
  <c r="I11444" i="5"/>
  <c r="I11271" i="5"/>
  <c r="I11119" i="5"/>
  <c r="I10986" i="5"/>
  <c r="I10858" i="5"/>
  <c r="I10742" i="5"/>
  <c r="I10629" i="5"/>
  <c r="I10534" i="5"/>
  <c r="I10439" i="5"/>
  <c r="I10346" i="5"/>
  <c r="I10274" i="5"/>
  <c r="I10207" i="5"/>
  <c r="I10136" i="5"/>
  <c r="I10079" i="5"/>
  <c r="I10026" i="5"/>
  <c r="I9986" i="5"/>
  <c r="I9962" i="5"/>
  <c r="I9937" i="5"/>
  <c r="I9912" i="5"/>
  <c r="I9887" i="5"/>
  <c r="I9858" i="5"/>
  <c r="I9834" i="5"/>
  <c r="I9809" i="5"/>
  <c r="I9784" i="5"/>
  <c r="I9759" i="5"/>
  <c r="I9730" i="5"/>
  <c r="I9706" i="5"/>
  <c r="I9681" i="5"/>
  <c r="I9656" i="5"/>
  <c r="I9631" i="5"/>
  <c r="I9602" i="5"/>
  <c r="I9580" i="5"/>
  <c r="I9560" i="5"/>
  <c r="I9538" i="5"/>
  <c r="I9519" i="5"/>
  <c r="I9497" i="5"/>
  <c r="I9479" i="5"/>
  <c r="I9457" i="5"/>
  <c r="I9436" i="5"/>
  <c r="I9416" i="5"/>
  <c r="I9394" i="5"/>
  <c r="I9376" i="5"/>
  <c r="I9354" i="5"/>
  <c r="I9335" i="5"/>
  <c r="I9313" i="5"/>
  <c r="I9292" i="5"/>
  <c r="I9273" i="5"/>
  <c r="I9252" i="5"/>
  <c r="I9232" i="5"/>
  <c r="I9210" i="5"/>
  <c r="I9191" i="5"/>
  <c r="I9170" i="5"/>
  <c r="I9151" i="5"/>
  <c r="I9129" i="5"/>
  <c r="I9108" i="5"/>
  <c r="I9088" i="5"/>
  <c r="I9068" i="5"/>
  <c r="I9048" i="5"/>
  <c r="I9026" i="5"/>
  <c r="I9007" i="5"/>
  <c r="I8985" i="5"/>
  <c r="I8967" i="5"/>
  <c r="I8945" i="5"/>
  <c r="I8924" i="5"/>
  <c r="I8904" i="5"/>
  <c r="I8882" i="5"/>
  <c r="I8864" i="5"/>
  <c r="I8842" i="5"/>
  <c r="I8823" i="5"/>
  <c r="I8801" i="5"/>
  <c r="I8780" i="5"/>
  <c r="I8761" i="5"/>
  <c r="I8740" i="5"/>
  <c r="I8720" i="5"/>
  <c r="I8698" i="5"/>
  <c r="I8679" i="5"/>
  <c r="I8658" i="5"/>
  <c r="I8639" i="5"/>
  <c r="I8617" i="5"/>
  <c r="I8596" i="5"/>
  <c r="I8576" i="5"/>
  <c r="I8556" i="5"/>
  <c r="I8536" i="5"/>
  <c r="I8514" i="5"/>
  <c r="I8495" i="5"/>
  <c r="I8473" i="5"/>
  <c r="I8455" i="5"/>
  <c r="I8433" i="5"/>
  <c r="I8412" i="5"/>
  <c r="I8392" i="5"/>
  <c r="I8370" i="5"/>
  <c r="I8352" i="5"/>
  <c r="I8330" i="5"/>
  <c r="I8311" i="5"/>
  <c r="I8289" i="5"/>
  <c r="I8268" i="5"/>
  <c r="I8249" i="5"/>
  <c r="I8228" i="5"/>
  <c r="I8208" i="5"/>
  <c r="I8186" i="5"/>
  <c r="I8167" i="5"/>
  <c r="I8146" i="5"/>
  <c r="I8127" i="5"/>
  <c r="I8105" i="5"/>
  <c r="I8084" i="5"/>
  <c r="I8064" i="5"/>
  <c r="I8044" i="5"/>
  <c r="I8024" i="5"/>
  <c r="I8002" i="5"/>
  <c r="I7983" i="5"/>
  <c r="I7961" i="5"/>
  <c r="I7943" i="5"/>
  <c r="I7921" i="5"/>
  <c r="I7900" i="5"/>
  <c r="I7880" i="5"/>
  <c r="I7858" i="5"/>
  <c r="I7840" i="5"/>
  <c r="I7818" i="5"/>
  <c r="I7799" i="5"/>
  <c r="I7777" i="5"/>
  <c r="I7756" i="5"/>
  <c r="I7737" i="5"/>
  <c r="I7716" i="5"/>
  <c r="I7696" i="5"/>
  <c r="I7674" i="5"/>
  <c r="I7655" i="5"/>
  <c r="I7634" i="5"/>
  <c r="I7615" i="5"/>
  <c r="I7593" i="5"/>
  <c r="I7572" i="5"/>
  <c r="I7552" i="5"/>
  <c r="I7532" i="5"/>
  <c r="I7512" i="5"/>
  <c r="I7490" i="5"/>
  <c r="I7471" i="5"/>
  <c r="I7449" i="5"/>
  <c r="I7431" i="5"/>
  <c r="I7409" i="5"/>
  <c r="I7388" i="5"/>
  <c r="I7368" i="5"/>
  <c r="I7346" i="5"/>
  <c r="I7328" i="5"/>
  <c r="I7306" i="5"/>
  <c r="I7287" i="5"/>
  <c r="I7265" i="5"/>
  <c r="I7244" i="5"/>
  <c r="I7225" i="5"/>
  <c r="I7204" i="5"/>
  <c r="I7184" i="5"/>
  <c r="I7162" i="5"/>
  <c r="I7143" i="5"/>
  <c r="I7122" i="5"/>
  <c r="I7103" i="5"/>
  <c r="I7081" i="5"/>
  <c r="I7060" i="5"/>
  <c r="I7040" i="5"/>
  <c r="I7020" i="5"/>
  <c r="I7000" i="5"/>
  <c r="I6978" i="5"/>
  <c r="I6959" i="5"/>
  <c r="I6937" i="5"/>
  <c r="I6919" i="5"/>
  <c r="I6897" i="5"/>
  <c r="I6880" i="5"/>
  <c r="I6863" i="5"/>
  <c r="I6846" i="5"/>
  <c r="I6830" i="5"/>
  <c r="I6812" i="5"/>
  <c r="I6794" i="5"/>
  <c r="I6777" i="5"/>
  <c r="I6760" i="5"/>
  <c r="I6744" i="5"/>
  <c r="I6727" i="5"/>
  <c r="I6710" i="5"/>
  <c r="I6692" i="5"/>
  <c r="I6674" i="5"/>
  <c r="I6658" i="5"/>
  <c r="I6641" i="5"/>
  <c r="I6624" i="5"/>
  <c r="I6607" i="5"/>
  <c r="I6590" i="5"/>
  <c r="I6574" i="5"/>
  <c r="I6556" i="5"/>
  <c r="I6538" i="5"/>
  <c r="I6521" i="5"/>
  <c r="I6504" i="5"/>
  <c r="I6488" i="5"/>
  <c r="I6471" i="5"/>
  <c r="I6454" i="5"/>
  <c r="I6436" i="5"/>
  <c r="I6418" i="5"/>
  <c r="I6402" i="5"/>
  <c r="I6385" i="5"/>
  <c r="I6368" i="5"/>
  <c r="I6351" i="5"/>
  <c r="I6334" i="5"/>
  <c r="I6318" i="5"/>
  <c r="I6300" i="5"/>
  <c r="I6282" i="5"/>
  <c r="I6265" i="5"/>
  <c r="I6248" i="5"/>
  <c r="I6232" i="5"/>
  <c r="I6215" i="5"/>
  <c r="I6198" i="5"/>
  <c r="I6180" i="5"/>
  <c r="I6162" i="5"/>
  <c r="I6146" i="5"/>
  <c r="I6129" i="5"/>
  <c r="I6112" i="5"/>
  <c r="I6095" i="5"/>
  <c r="I6078" i="5"/>
  <c r="I6062" i="5"/>
  <c r="I6044" i="5"/>
  <c r="I6026" i="5"/>
  <c r="I6009" i="5"/>
  <c r="I5992" i="5"/>
  <c r="I5976" i="5"/>
  <c r="I5959" i="5"/>
  <c r="I5942" i="5"/>
  <c r="I5924" i="5"/>
  <c r="I5906" i="5"/>
  <c r="I5890" i="5"/>
  <c r="I5873" i="5"/>
  <c r="I5856" i="5"/>
  <c r="I5839" i="5"/>
  <c r="I5822" i="5"/>
  <c r="I5806" i="5"/>
  <c r="I5788" i="5"/>
  <c r="I5770" i="5"/>
  <c r="I5753" i="5"/>
  <c r="I5736" i="5"/>
  <c r="I5720" i="5"/>
  <c r="I5703" i="5"/>
  <c r="I5686" i="5"/>
  <c r="I5668" i="5"/>
  <c r="I5650" i="5"/>
  <c r="I5634" i="5"/>
  <c r="I5617" i="5"/>
  <c r="I5600" i="5"/>
  <c r="I5583" i="5"/>
  <c r="I5566" i="5"/>
  <c r="I5550" i="5"/>
  <c r="I5532" i="5"/>
  <c r="I5514" i="5"/>
  <c r="I5497" i="5"/>
  <c r="I5480" i="5"/>
  <c r="I5464" i="5"/>
  <c r="I5447" i="5"/>
  <c r="I5430" i="5"/>
  <c r="I5412" i="5"/>
  <c r="I5394" i="5"/>
  <c r="I5378" i="5"/>
  <c r="I5361" i="5"/>
  <c r="I5344" i="5"/>
  <c r="I5327" i="5"/>
  <c r="I5310" i="5"/>
  <c r="I5294" i="5"/>
  <c r="I5276" i="5"/>
  <c r="I5258" i="5"/>
  <c r="I5241" i="5"/>
  <c r="I5224" i="5"/>
  <c r="I5208" i="5"/>
  <c r="I5191" i="5"/>
  <c r="I5174" i="5"/>
  <c r="I5156" i="5"/>
  <c r="I5138" i="5"/>
  <c r="I5122" i="5"/>
  <c r="I5105" i="5"/>
  <c r="I5088" i="5"/>
  <c r="I5071" i="5"/>
  <c r="I5054" i="5"/>
  <c r="I5038" i="5"/>
  <c r="I5020" i="5"/>
  <c r="I5002" i="5"/>
  <c r="I4985" i="5"/>
  <c r="I4968" i="5"/>
  <c r="I4952" i="5"/>
  <c r="I4935" i="5"/>
  <c r="I4918" i="5"/>
  <c r="I4900" i="5"/>
  <c r="I4882" i="5"/>
  <c r="I4866" i="5"/>
  <c r="I4849" i="5"/>
  <c r="I4832" i="5"/>
  <c r="I4815" i="5"/>
  <c r="I4798" i="5"/>
  <c r="I4782" i="5"/>
  <c r="I4764" i="5"/>
  <c r="I4746" i="5"/>
  <c r="I4729" i="5"/>
  <c r="I4712" i="5"/>
  <c r="I4696" i="5"/>
  <c r="I4679" i="5"/>
  <c r="I4662" i="5"/>
  <c r="I4644" i="5"/>
  <c r="I4626" i="5"/>
  <c r="I4610" i="5"/>
  <c r="I4593" i="5"/>
  <c r="I4576" i="5"/>
  <c r="I4559" i="5"/>
  <c r="I4542" i="5"/>
  <c r="I4526" i="5"/>
  <c r="I4508" i="5"/>
  <c r="I4490" i="5"/>
  <c r="I4473" i="5"/>
  <c r="I4456" i="5"/>
  <c r="I4440" i="5"/>
  <c r="I4423" i="5"/>
  <c r="I4406" i="5"/>
  <c r="I4388" i="5"/>
  <c r="I4370" i="5"/>
  <c r="I4354" i="5"/>
  <c r="I4337" i="5"/>
  <c r="I4320" i="5"/>
  <c r="I4303" i="5"/>
  <c r="I4286" i="5"/>
  <c r="I4270" i="5"/>
  <c r="I4252" i="5"/>
  <c r="I4234" i="5"/>
  <c r="I4217" i="5"/>
  <c r="I4200" i="5"/>
  <c r="I4184" i="5"/>
  <c r="I4167" i="5"/>
  <c r="I4150" i="5"/>
  <c r="I4132" i="5"/>
  <c r="I4114" i="5"/>
  <c r="I4098" i="5"/>
  <c r="I4081" i="5"/>
  <c r="I4064" i="5"/>
  <c r="I4047" i="5"/>
  <c r="I4030" i="5"/>
  <c r="I4014" i="5"/>
  <c r="I3996" i="5"/>
  <c r="I3978" i="5"/>
  <c r="I3961" i="5"/>
  <c r="I3944" i="5"/>
  <c r="I3928" i="5"/>
  <c r="I3911" i="5"/>
  <c r="I3894" i="5"/>
  <c r="I3876" i="5"/>
  <c r="I3858" i="5"/>
  <c r="I3842" i="5"/>
  <c r="I3825" i="5"/>
  <c r="I3808" i="5"/>
  <c r="I3791" i="5"/>
  <c r="I3774" i="5"/>
  <c r="I3758" i="5"/>
  <c r="I3740" i="5"/>
  <c r="I3722" i="5"/>
  <c r="I3705" i="5"/>
  <c r="I3688" i="5"/>
  <c r="I3672" i="5"/>
  <c r="I3655" i="5"/>
  <c r="I3638" i="5"/>
  <c r="I3620" i="5"/>
  <c r="I3602" i="5"/>
  <c r="I3586" i="5"/>
  <c r="I3569" i="5"/>
  <c r="I3552" i="5"/>
  <c r="I3535" i="5"/>
  <c r="I3518" i="5"/>
  <c r="I3502" i="5"/>
  <c r="I3484" i="5"/>
  <c r="I3466" i="5"/>
  <c r="I3449" i="5"/>
  <c r="I3432" i="5"/>
  <c r="I3416" i="5"/>
  <c r="I3399" i="5"/>
  <c r="I3382" i="5"/>
  <c r="I3364" i="5"/>
  <c r="I3346" i="5"/>
  <c r="I3330" i="5"/>
  <c r="I3313" i="5"/>
  <c r="I3296" i="5"/>
  <c r="I3279" i="5"/>
  <c r="I3262" i="5"/>
  <c r="I3246" i="5"/>
  <c r="I3228" i="5"/>
  <c r="I3210" i="5"/>
  <c r="I3193" i="5"/>
  <c r="I3176" i="5"/>
  <c r="I3160" i="5"/>
  <c r="I3143" i="5"/>
  <c r="I3126" i="5"/>
  <c r="I3108" i="5"/>
  <c r="I3090" i="5"/>
  <c r="I3074" i="5"/>
  <c r="I3057" i="5"/>
  <c r="I3040" i="5"/>
  <c r="I3023" i="5"/>
  <c r="I3006" i="5"/>
  <c r="I2990" i="5"/>
  <c r="I2972" i="5"/>
  <c r="I2954" i="5"/>
  <c r="I2937" i="5"/>
  <c r="I2920" i="5"/>
  <c r="I2904" i="5"/>
  <c r="I2887" i="5"/>
  <c r="I2870" i="5"/>
  <c r="I2852" i="5"/>
  <c r="I2834" i="5"/>
  <c r="I2818" i="5"/>
  <c r="I2801" i="5"/>
  <c r="I2784" i="5"/>
  <c r="I2767" i="5"/>
  <c r="I2750" i="5"/>
  <c r="I2734" i="5"/>
  <c r="I2716" i="5"/>
  <c r="I2698" i="5"/>
  <c r="I2681" i="5"/>
  <c r="I2664" i="5"/>
  <c r="I2648" i="5"/>
  <c r="I2631" i="5"/>
  <c r="I2614" i="5"/>
  <c r="I2596" i="5"/>
  <c r="I2578" i="5"/>
  <c r="I2562" i="5"/>
  <c r="I2545" i="5"/>
  <c r="I2528" i="5"/>
  <c r="I2511" i="5"/>
  <c r="I2494" i="5"/>
  <c r="I2478" i="5"/>
  <c r="I2460" i="5"/>
  <c r="I2442" i="5"/>
  <c r="I2425" i="5"/>
  <c r="I2408" i="5"/>
  <c r="I2392" i="5"/>
  <c r="I2375" i="5"/>
  <c r="I2358" i="5"/>
  <c r="I2340" i="5"/>
  <c r="I2322" i="5"/>
  <c r="I2306" i="5"/>
  <c r="I2289" i="5"/>
  <c r="I2272" i="5"/>
  <c r="I2255" i="5"/>
  <c r="I2238" i="5"/>
  <c r="I2222" i="5"/>
  <c r="I2204" i="5"/>
  <c r="I2186" i="5"/>
  <c r="I2169" i="5"/>
  <c r="I2152" i="5"/>
  <c r="I2136" i="5"/>
  <c r="I2119" i="5"/>
  <c r="I2102" i="5"/>
  <c r="I2084" i="5"/>
  <c r="I2066" i="5"/>
  <c r="I2050" i="5"/>
  <c r="I2033" i="5"/>
  <c r="I2016" i="5"/>
  <c r="I1999" i="5"/>
  <c r="I1982" i="5"/>
  <c r="I1966" i="5"/>
  <c r="I1948" i="5"/>
  <c r="I1930" i="5"/>
  <c r="I1913" i="5"/>
  <c r="I1896" i="5"/>
  <c r="I1880" i="5"/>
  <c r="I1863" i="5"/>
  <c r="I1846" i="5"/>
  <c r="I1828" i="5"/>
  <c r="I1810" i="5"/>
  <c r="I1794" i="5"/>
  <c r="I1777" i="5"/>
  <c r="I1760" i="5"/>
  <c r="I1743" i="5"/>
  <c r="I1726" i="5"/>
  <c r="I1710" i="5"/>
  <c r="I1692" i="5"/>
  <c r="I1674" i="5"/>
  <c r="I1661" i="5"/>
  <c r="I1648" i="5"/>
  <c r="I1636" i="5"/>
  <c r="I1623" i="5"/>
  <c r="I1610" i="5"/>
  <c r="I1597" i="5"/>
  <c r="I1584" i="5"/>
  <c r="I1572" i="5"/>
  <c r="I1559" i="5"/>
  <c r="I1546" i="5"/>
  <c r="I1533" i="5"/>
  <c r="I1520" i="5"/>
  <c r="I1508" i="5"/>
  <c r="I1495" i="5"/>
  <c r="I1482" i="5"/>
  <c r="I1469" i="5"/>
  <c r="I1456" i="5"/>
  <c r="I1444" i="5"/>
  <c r="I1431" i="5"/>
  <c r="I1418" i="5"/>
  <c r="I1405" i="5"/>
  <c r="I1392" i="5"/>
  <c r="I1380" i="5"/>
  <c r="I1367" i="5"/>
  <c r="I1354" i="5"/>
  <c r="I1341" i="5"/>
  <c r="I1328" i="5"/>
  <c r="I1316" i="5"/>
  <c r="I1303" i="5"/>
  <c r="I1290" i="5"/>
  <c r="I1277" i="5"/>
  <c r="I1264" i="5"/>
  <c r="I1252" i="5"/>
  <c r="I1240" i="5"/>
  <c r="I1229" i="5"/>
  <c r="I1219" i="5"/>
  <c r="I1208" i="5"/>
  <c r="I1197" i="5"/>
  <c r="I1187" i="5"/>
  <c r="I1176" i="5"/>
  <c r="I1165" i="5"/>
  <c r="I1155" i="5"/>
  <c r="I1144" i="5"/>
  <c r="I1133" i="5"/>
  <c r="I1123" i="5"/>
  <c r="I1112" i="5"/>
  <c r="I1101" i="5"/>
  <c r="I1091" i="5"/>
  <c r="I1080" i="5"/>
  <c r="I1069" i="5"/>
  <c r="I1059" i="5"/>
  <c r="I1048" i="5"/>
  <c r="I1037" i="5"/>
  <c r="I1027" i="5"/>
  <c r="I1016" i="5"/>
  <c r="I1005" i="5"/>
  <c r="I995" i="5"/>
  <c r="I984" i="5"/>
  <c r="I973" i="5"/>
  <c r="I963" i="5"/>
  <c r="I952" i="5"/>
  <c r="I941" i="5"/>
  <c r="I931" i="5"/>
  <c r="I920" i="5"/>
  <c r="I909" i="5"/>
  <c r="I899" i="5"/>
  <c r="I888" i="5"/>
  <c r="I877" i="5"/>
  <c r="I867" i="5"/>
  <c r="I856" i="5"/>
  <c r="I845" i="5"/>
  <c r="I835" i="5"/>
  <c r="I824" i="5"/>
  <c r="I813" i="5"/>
  <c r="I803" i="5"/>
  <c r="I792" i="5"/>
  <c r="I781" i="5"/>
  <c r="I771" i="5"/>
  <c r="I760" i="5"/>
  <c r="I749" i="5"/>
  <c r="I739" i="5"/>
  <c r="I728" i="5"/>
  <c r="I717" i="5"/>
  <c r="I707" i="5"/>
  <c r="I696" i="5"/>
  <c r="I685" i="5"/>
  <c r="I675" i="5"/>
  <c r="I664" i="5"/>
  <c r="I653" i="5"/>
  <c r="I643" i="5"/>
  <c r="I632" i="5"/>
  <c r="I621" i="5"/>
  <c r="I611" i="5"/>
  <c r="I600" i="5"/>
  <c r="I589" i="5"/>
  <c r="I579" i="5"/>
  <c r="I568" i="5"/>
  <c r="I557" i="5"/>
  <c r="I547" i="5"/>
  <c r="I536" i="5"/>
  <c r="I525" i="5"/>
  <c r="I515" i="5"/>
  <c r="I504" i="5"/>
  <c r="I493" i="5"/>
  <c r="I483" i="5"/>
  <c r="I472" i="5"/>
  <c r="I461" i="5"/>
  <c r="I451" i="5"/>
  <c r="I440" i="5"/>
  <c r="I429" i="5"/>
  <c r="I419" i="5"/>
  <c r="I408" i="5"/>
  <c r="I397" i="5"/>
  <c r="I387" i="5"/>
  <c r="I376" i="5"/>
  <c r="I365" i="5"/>
  <c r="I355" i="5"/>
  <c r="I344" i="5"/>
  <c r="I333" i="5"/>
  <c r="I323" i="5"/>
  <c r="I312" i="5"/>
  <c r="I301" i="5"/>
  <c r="I291" i="5"/>
  <c r="I280" i="5"/>
  <c r="I269" i="5"/>
  <c r="I259" i="5"/>
  <c r="I248" i="5"/>
  <c r="I23407" i="5"/>
  <c r="I20508" i="5"/>
  <c r="I19164" i="5"/>
  <c r="I18143" i="5"/>
  <c r="I17154" i="5"/>
  <c r="I16330" i="5"/>
  <c r="I15688" i="5"/>
  <c r="I14978" i="5"/>
  <c r="I14347" i="5"/>
  <c r="I13875" i="5"/>
  <c r="I13487" i="5"/>
  <c r="I13188" i="5"/>
  <c r="I12974" i="5"/>
  <c r="I12742" i="5"/>
  <c r="I12503" i="5"/>
  <c r="I12292" i="5"/>
  <c r="I12060" i="5"/>
  <c r="I11822" i="5"/>
  <c r="I11614" i="5"/>
  <c r="I11422" i="5"/>
  <c r="I11244" i="5"/>
  <c r="I11114" i="5"/>
  <c r="I10972" i="5"/>
  <c r="I10834" i="5"/>
  <c r="I10732" i="5"/>
  <c r="I10618" i="5"/>
  <c r="I10514" i="5"/>
  <c r="I10429" i="5"/>
  <c r="I10342" i="5"/>
  <c r="I10264" i="5"/>
  <c r="I10200" i="5"/>
  <c r="I10129" i="5"/>
  <c r="I10072" i="5"/>
  <c r="I10018" i="5"/>
  <c r="I9985" i="5"/>
  <c r="I9960" i="5"/>
  <c r="I9935" i="5"/>
  <c r="I9906" i="5"/>
  <c r="I9882" i="5"/>
  <c r="I9857" i="5"/>
  <c r="I9832" i="5"/>
  <c r="I9807" i="5"/>
  <c r="I9778" i="5"/>
  <c r="I9754" i="5"/>
  <c r="I9729" i="5"/>
  <c r="I9704" i="5"/>
  <c r="I9679" i="5"/>
  <c r="I9650" i="5"/>
  <c r="I9626" i="5"/>
  <c r="I9601" i="5"/>
  <c r="I9577" i="5"/>
  <c r="I9556" i="5"/>
  <c r="I9536" i="5"/>
  <c r="I9516" i="5"/>
  <c r="I9496" i="5"/>
  <c r="I9474" i="5"/>
  <c r="I9455" i="5"/>
  <c r="I9433" i="5"/>
  <c r="I9415" i="5"/>
  <c r="I9393" i="5"/>
  <c r="I9372" i="5"/>
  <c r="I9352" i="5"/>
  <c r="I9330" i="5"/>
  <c r="I9312" i="5"/>
  <c r="I9290" i="5"/>
  <c r="I9271" i="5"/>
  <c r="I9249" i="5"/>
  <c r="I9228" i="5"/>
  <c r="I9209" i="5"/>
  <c r="I9188" i="5"/>
  <c r="I9168" i="5"/>
  <c r="I9146" i="5"/>
  <c r="I9127" i="5"/>
  <c r="I9106" i="5"/>
  <c r="I9087" i="5"/>
  <c r="I9065" i="5"/>
  <c r="I9044" i="5"/>
  <c r="I9024" i="5"/>
  <c r="I9004" i="5"/>
  <c r="I8984" i="5"/>
  <c r="I8962" i="5"/>
  <c r="I8943" i="5"/>
  <c r="I8921" i="5"/>
  <c r="I8903" i="5"/>
  <c r="I8881" i="5"/>
  <c r="I8860" i="5"/>
  <c r="I8840" i="5"/>
  <c r="I8818" i="5"/>
  <c r="I8800" i="5"/>
  <c r="I8778" i="5"/>
  <c r="I8759" i="5"/>
  <c r="I8737" i="5"/>
  <c r="I8716" i="5"/>
  <c r="I8697" i="5"/>
  <c r="I8676" i="5"/>
  <c r="I8656" i="5"/>
  <c r="I8634" i="5"/>
  <c r="I8615" i="5"/>
  <c r="I8594" i="5"/>
  <c r="I8575" i="5"/>
  <c r="I8553" i="5"/>
  <c r="I8532" i="5"/>
  <c r="I8512" i="5"/>
  <c r="I8492" i="5"/>
  <c r="I8472" i="5"/>
  <c r="I8450" i="5"/>
  <c r="I8431" i="5"/>
  <c r="I8409" i="5"/>
  <c r="I8391" i="5"/>
  <c r="I8369" i="5"/>
  <c r="I8348" i="5"/>
  <c r="I8328" i="5"/>
  <c r="I8306" i="5"/>
  <c r="I8288" i="5"/>
  <c r="I8266" i="5"/>
  <c r="I8247" i="5"/>
  <c r="I8225" i="5"/>
  <c r="I8204" i="5"/>
  <c r="I8185" i="5"/>
  <c r="I8164" i="5"/>
  <c r="I8144" i="5"/>
  <c r="I8122" i="5"/>
  <c r="I8103" i="5"/>
  <c r="I8082" i="5"/>
  <c r="I8063" i="5"/>
  <c r="I8041" i="5"/>
  <c r="I8020" i="5"/>
  <c r="I8000" i="5"/>
  <c r="I7980" i="5"/>
  <c r="I7960" i="5"/>
  <c r="I7938" i="5"/>
  <c r="I7919" i="5"/>
  <c r="I7897" i="5"/>
  <c r="I7879" i="5"/>
  <c r="I7857" i="5"/>
  <c r="I7836" i="5"/>
  <c r="I7816" i="5"/>
  <c r="I7794" i="5"/>
  <c r="I7776" i="5"/>
  <c r="I7754" i="5"/>
  <c r="I7735" i="5"/>
  <c r="I7713" i="5"/>
  <c r="I7692" i="5"/>
  <c r="I7673" i="5"/>
  <c r="I7652" i="5"/>
  <c r="I7632" i="5"/>
  <c r="I7610" i="5"/>
  <c r="I7591" i="5"/>
  <c r="I7570" i="5"/>
  <c r="I7551" i="5"/>
  <c r="I7529" i="5"/>
  <c r="I7508" i="5"/>
  <c r="I7488" i="5"/>
  <c r="I7468" i="5"/>
  <c r="I7448" i="5"/>
  <c r="I7426" i="5"/>
  <c r="I7407" i="5"/>
  <c r="I7385" i="5"/>
  <c r="I7367" i="5"/>
  <c r="I7345" i="5"/>
  <c r="I7324" i="5"/>
  <c r="I7304" i="5"/>
  <c r="I7282" i="5"/>
  <c r="I7264" i="5"/>
  <c r="I7242" i="5"/>
  <c r="I7223" i="5"/>
  <c r="I7201" i="5"/>
  <c r="I7180" i="5"/>
  <c r="I7161" i="5"/>
  <c r="I7140" i="5"/>
  <c r="I7120" i="5"/>
  <c r="I7098" i="5"/>
  <c r="I7079" i="5"/>
  <c r="I7058" i="5"/>
  <c r="I7039" i="5"/>
  <c r="I7017" i="5"/>
  <c r="I6996" i="5"/>
  <c r="I6976" i="5"/>
  <c r="I6956" i="5"/>
  <c r="I6936" i="5"/>
  <c r="I6914" i="5"/>
  <c r="I6895" i="5"/>
  <c r="I6878" i="5"/>
  <c r="I6862" i="5"/>
  <c r="I6844" i="5"/>
  <c r="I6826" i="5"/>
  <c r="I6809" i="5"/>
  <c r="I6792" i="5"/>
  <c r="I6776" i="5"/>
  <c r="I6759" i="5"/>
  <c r="I6742" i="5"/>
  <c r="I6724" i="5"/>
  <c r="I6706" i="5"/>
  <c r="I6690" i="5"/>
  <c r="I6673" i="5"/>
  <c r="I6656" i="5"/>
  <c r="I6639" i="5"/>
  <c r="I6622" i="5"/>
  <c r="I6606" i="5"/>
  <c r="I6588" i="5"/>
  <c r="I6570" i="5"/>
  <c r="I6553" i="5"/>
  <c r="I6536" i="5"/>
  <c r="I6520" i="5"/>
  <c r="I6503" i="5"/>
  <c r="I6486" i="5"/>
  <c r="I6468" i="5"/>
  <c r="I6450" i="5"/>
  <c r="I6434" i="5"/>
  <c r="I6417" i="5"/>
  <c r="I6400" i="5"/>
  <c r="I6383" i="5"/>
  <c r="I6366" i="5"/>
  <c r="I6350" i="5"/>
  <c r="I6332" i="5"/>
  <c r="I6314" i="5"/>
  <c r="I6297" i="5"/>
  <c r="I6280" i="5"/>
  <c r="I6264" i="5"/>
  <c r="I6247" i="5"/>
  <c r="I6230" i="5"/>
  <c r="I6212" i="5"/>
  <c r="I6194" i="5"/>
  <c r="I6178" i="5"/>
  <c r="I6161" i="5"/>
  <c r="I6144" i="5"/>
  <c r="I6127" i="5"/>
  <c r="I6110" i="5"/>
  <c r="I6094" i="5"/>
  <c r="I6076" i="5"/>
  <c r="I6058" i="5"/>
  <c r="I6041" i="5"/>
  <c r="I6024" i="5"/>
  <c r="I6008" i="5"/>
  <c r="I5991" i="5"/>
  <c r="I5974" i="5"/>
  <c r="I5956" i="5"/>
  <c r="I5938" i="5"/>
  <c r="I5922" i="5"/>
  <c r="I5905" i="5"/>
  <c r="I5888" i="5"/>
  <c r="I5871" i="5"/>
  <c r="I5854" i="5"/>
  <c r="I5838" i="5"/>
  <c r="I5820" i="5"/>
  <c r="I5802" i="5"/>
  <c r="I5785" i="5"/>
  <c r="I5768" i="5"/>
  <c r="I5752" i="5"/>
  <c r="I5735" i="5"/>
  <c r="I5718" i="5"/>
  <c r="I5700" i="5"/>
  <c r="I5682" i="5"/>
  <c r="I5666" i="5"/>
  <c r="I5649" i="5"/>
  <c r="I5632" i="5"/>
  <c r="I5615" i="5"/>
  <c r="I5598" i="5"/>
  <c r="I5582" i="5"/>
  <c r="I5564" i="5"/>
  <c r="I5546" i="5"/>
  <c r="I5529" i="5"/>
  <c r="I5512" i="5"/>
  <c r="I5496" i="5"/>
  <c r="I5479" i="5"/>
  <c r="I5462" i="5"/>
  <c r="I5444" i="5"/>
  <c r="I5426" i="5"/>
  <c r="I5410" i="5"/>
  <c r="I5393" i="5"/>
  <c r="I5376" i="5"/>
  <c r="I5359" i="5"/>
  <c r="I5342" i="5"/>
  <c r="I5326" i="5"/>
  <c r="I5308" i="5"/>
  <c r="I5290" i="5"/>
  <c r="I5273" i="5"/>
  <c r="I5256" i="5"/>
  <c r="I5240" i="5"/>
  <c r="I5223" i="5"/>
  <c r="I5206" i="5"/>
  <c r="I5188" i="5"/>
  <c r="I5170" i="5"/>
  <c r="I5154" i="5"/>
  <c r="I5137" i="5"/>
  <c r="I5120" i="5"/>
  <c r="I5103" i="5"/>
  <c r="I5086" i="5"/>
  <c r="I5070" i="5"/>
  <c r="I5052" i="5"/>
  <c r="I5034" i="5"/>
  <c r="I5017" i="5"/>
  <c r="I5000" i="5"/>
  <c r="I4984" i="5"/>
  <c r="I4967" i="5"/>
  <c r="I4950" i="5"/>
  <c r="I4932" i="5"/>
  <c r="I4914" i="5"/>
  <c r="I4898" i="5"/>
  <c r="I4881" i="5"/>
  <c r="I4864" i="5"/>
  <c r="I4847" i="5"/>
  <c r="I4830" i="5"/>
  <c r="I4814" i="5"/>
  <c r="I4796" i="5"/>
  <c r="I4778" i="5"/>
  <c r="I4761" i="5"/>
  <c r="I4744" i="5"/>
  <c r="I4728" i="5"/>
  <c r="I4711" i="5"/>
  <c r="I4694" i="5"/>
  <c r="I4676" i="5"/>
  <c r="I4658" i="5"/>
  <c r="I4642" i="5"/>
  <c r="I4625" i="5"/>
  <c r="I4608" i="5"/>
  <c r="I4591" i="5"/>
  <c r="I4574" i="5"/>
  <c r="I4558" i="5"/>
  <c r="I4540" i="5"/>
  <c r="I4522" i="5"/>
  <c r="I4505" i="5"/>
  <c r="I4488" i="5"/>
  <c r="I4472" i="5"/>
  <c r="I4455" i="5"/>
  <c r="I4438" i="5"/>
  <c r="I4420" i="5"/>
  <c r="I4402" i="5"/>
  <c r="I4386" i="5"/>
  <c r="I4369" i="5"/>
  <c r="I4352" i="5"/>
  <c r="I4335" i="5"/>
  <c r="I4318" i="5"/>
  <c r="I4302" i="5"/>
  <c r="I4284" i="5"/>
  <c r="I4266" i="5"/>
  <c r="I4249" i="5"/>
  <c r="I4232" i="5"/>
  <c r="I4216" i="5"/>
  <c r="I4199" i="5"/>
  <c r="I4182" i="5"/>
  <c r="I4164" i="5"/>
  <c r="I4146" i="5"/>
  <c r="I4130" i="5"/>
  <c r="I4113" i="5"/>
  <c r="I4096" i="5"/>
  <c r="I4079" i="5"/>
  <c r="I4062" i="5"/>
  <c r="I4046" i="5"/>
  <c r="I4028" i="5"/>
  <c r="I4010" i="5"/>
  <c r="I3993" i="5"/>
  <c r="I3976" i="5"/>
  <c r="I3960" i="5"/>
  <c r="I3943" i="5"/>
  <c r="I3926" i="5"/>
  <c r="I3908" i="5"/>
  <c r="I3890" i="5"/>
  <c r="I3874" i="5"/>
  <c r="I3857" i="5"/>
  <c r="I3840" i="5"/>
  <c r="I3823" i="5"/>
  <c r="I3806" i="5"/>
  <c r="I3790" i="5"/>
  <c r="I3772" i="5"/>
  <c r="I3754" i="5"/>
  <c r="I3737" i="5"/>
  <c r="I3720" i="5"/>
  <c r="I3704" i="5"/>
  <c r="I3687" i="5"/>
  <c r="I3670" i="5"/>
  <c r="I3652" i="5"/>
  <c r="I3634" i="5"/>
  <c r="I3618" i="5"/>
  <c r="I3601" i="5"/>
  <c r="I3584" i="5"/>
  <c r="I3567" i="5"/>
  <c r="I3550" i="5"/>
  <c r="I3534" i="5"/>
  <c r="I3516" i="5"/>
  <c r="I3498" i="5"/>
  <c r="I3481" i="5"/>
  <c r="I3464" i="5"/>
  <c r="I3448" i="5"/>
  <c r="I3431" i="5"/>
  <c r="I3414" i="5"/>
  <c r="I3396" i="5"/>
  <c r="I3378" i="5"/>
  <c r="I3362" i="5"/>
  <c r="I3345" i="5"/>
  <c r="I3328" i="5"/>
  <c r="I3311" i="5"/>
  <c r="I3294" i="5"/>
  <c r="I3278" i="5"/>
  <c r="I3260" i="5"/>
  <c r="I3242" i="5"/>
  <c r="I3225" i="5"/>
  <c r="I3208" i="5"/>
  <c r="I3192" i="5"/>
  <c r="I3175" i="5"/>
  <c r="I3158" i="5"/>
  <c r="I3140" i="5"/>
  <c r="I3122" i="5"/>
  <c r="I3106" i="5"/>
  <c r="I3089" i="5"/>
  <c r="I3072" i="5"/>
  <c r="I3055" i="5"/>
  <c r="I3038" i="5"/>
  <c r="I3022" i="5"/>
  <c r="I3004" i="5"/>
  <c r="I2986" i="5"/>
  <c r="I2969" i="5"/>
  <c r="I2952" i="5"/>
  <c r="I2936" i="5"/>
  <c r="I2919" i="5"/>
  <c r="I2902" i="5"/>
  <c r="I2884" i="5"/>
  <c r="I2866" i="5"/>
  <c r="I2850" i="5"/>
  <c r="I2833" i="5"/>
  <c r="I2816" i="5"/>
  <c r="I2799" i="5"/>
  <c r="I2782" i="5"/>
  <c r="I2766" i="5"/>
  <c r="I2748" i="5"/>
  <c r="I2730" i="5"/>
  <c r="I2713" i="5"/>
  <c r="I2696" i="5"/>
  <c r="I2680" i="5"/>
  <c r="I2663" i="5"/>
  <c r="I2646" i="5"/>
  <c r="I2628" i="5"/>
  <c r="I2610" i="5"/>
  <c r="I2594" i="5"/>
  <c r="I2577" i="5"/>
  <c r="I2560" i="5"/>
  <c r="I2543" i="5"/>
  <c r="I2526" i="5"/>
  <c r="I2510" i="5"/>
  <c r="I2492" i="5"/>
  <c r="I2474" i="5"/>
  <c r="I2457" i="5"/>
  <c r="I2440" i="5"/>
  <c r="I2424" i="5"/>
  <c r="I2407" i="5"/>
  <c r="I2390" i="5"/>
  <c r="I2372" i="5"/>
  <c r="I2354" i="5"/>
  <c r="I2338" i="5"/>
  <c r="I2321" i="5"/>
  <c r="I2304" i="5"/>
  <c r="I2287" i="5"/>
  <c r="I2270" i="5"/>
  <c r="I2254" i="5"/>
  <c r="I2236" i="5"/>
  <c r="I2218" i="5"/>
  <c r="I2201" i="5"/>
  <c r="I2184" i="5"/>
  <c r="I2168" i="5"/>
  <c r="I2151" i="5"/>
  <c r="I2134" i="5"/>
  <c r="I2116" i="5"/>
  <c r="I2098" i="5"/>
  <c r="I2082" i="5"/>
  <c r="I2065" i="5"/>
  <c r="I2048" i="5"/>
  <c r="I2031" i="5"/>
  <c r="I2014" i="5"/>
  <c r="I1998" i="5"/>
  <c r="I1980" i="5"/>
  <c r="I1962" i="5"/>
  <c r="I1945" i="5"/>
  <c r="I1928" i="5"/>
  <c r="I1912" i="5"/>
  <c r="I1895" i="5"/>
  <c r="I1878" i="5"/>
  <c r="I1860" i="5"/>
  <c r="I1842" i="5"/>
  <c r="I1826" i="5"/>
  <c r="I1809" i="5"/>
  <c r="I1792" i="5"/>
  <c r="I1775" i="5"/>
  <c r="I1758" i="5"/>
  <c r="I1742" i="5"/>
  <c r="I1724" i="5"/>
  <c r="I1706" i="5"/>
  <c r="I1689" i="5"/>
  <c r="I1672" i="5"/>
  <c r="I1660" i="5"/>
  <c r="I1647" i="5"/>
  <c r="I1634" i="5"/>
  <c r="I1621" i="5"/>
  <c r="I1608" i="5"/>
  <c r="I1596" i="5"/>
  <c r="I1583" i="5"/>
  <c r="I1570" i="5"/>
  <c r="I1557" i="5"/>
  <c r="I1544" i="5"/>
  <c r="I1532" i="5"/>
  <c r="I1519" i="5"/>
  <c r="I1506" i="5"/>
  <c r="I1493" i="5"/>
  <c r="I1480" i="5"/>
  <c r="I1468" i="5"/>
  <c r="I1455" i="5"/>
  <c r="I1442" i="5"/>
  <c r="I1429" i="5"/>
  <c r="I1416" i="5"/>
  <c r="I1404" i="5"/>
  <c r="I1391" i="5"/>
  <c r="I1378" i="5"/>
  <c r="I1365" i="5"/>
  <c r="I1352" i="5"/>
  <c r="I1340" i="5"/>
  <c r="I1327" i="5"/>
  <c r="I1314" i="5"/>
  <c r="I1301" i="5"/>
  <c r="I1288" i="5"/>
  <c r="I1276" i="5"/>
  <c r="I1263" i="5"/>
  <c r="I1250" i="5"/>
  <c r="I1239" i="5"/>
  <c r="I1228" i="5"/>
  <c r="I1218" i="5"/>
  <c r="I1207" i="5"/>
  <c r="I1196" i="5"/>
  <c r="I1186" i="5"/>
  <c r="I1175" i="5"/>
  <c r="I1164" i="5"/>
  <c r="I1154" i="5"/>
  <c r="I1143" i="5"/>
  <c r="I1132" i="5"/>
  <c r="I1122" i="5"/>
  <c r="I1111" i="5"/>
  <c r="I1100" i="5"/>
  <c r="I1090" i="5"/>
  <c r="I1079" i="5"/>
  <c r="I1068" i="5"/>
  <c r="I1058" i="5"/>
  <c r="I1047" i="5"/>
  <c r="I1036" i="5"/>
  <c r="I1026" i="5"/>
  <c r="I1015" i="5"/>
  <c r="I1004" i="5"/>
  <c r="I994" i="5"/>
  <c r="I983" i="5"/>
  <c r="I972" i="5"/>
  <c r="I962" i="5"/>
  <c r="I951" i="5"/>
  <c r="I940" i="5"/>
  <c r="I930" i="5"/>
  <c r="I919" i="5"/>
  <c r="I908" i="5"/>
  <c r="I898" i="5"/>
  <c r="I887" i="5"/>
  <c r="I876" i="5"/>
  <c r="I866" i="5"/>
  <c r="I855" i="5"/>
  <c r="I844" i="5"/>
  <c r="I834" i="5"/>
  <c r="I823" i="5"/>
  <c r="I812" i="5"/>
  <c r="I802" i="5"/>
  <c r="I791" i="5"/>
  <c r="I780" i="5"/>
  <c r="I770" i="5"/>
  <c r="I759" i="5"/>
  <c r="I748" i="5"/>
  <c r="I738" i="5"/>
  <c r="I727" i="5"/>
  <c r="I716" i="5"/>
  <c r="I706" i="5"/>
  <c r="I695" i="5"/>
  <c r="I684" i="5"/>
  <c r="I22557" i="5"/>
  <c r="I20075" i="5"/>
  <c r="I18924" i="5"/>
  <c r="I17874" i="5"/>
  <c r="I16873" i="5"/>
  <c r="I16203" i="5"/>
  <c r="I15498" i="5"/>
  <c r="I14768" i="5"/>
  <c r="I14252" i="5"/>
  <c r="I13767" i="5"/>
  <c r="I13383" i="5"/>
  <c r="I13143" i="5"/>
  <c r="I12911" i="5"/>
  <c r="I12676" i="5"/>
  <c r="I12462" i="5"/>
  <c r="I12230" i="5"/>
  <c r="I11991" i="5"/>
  <c r="I11780" i="5"/>
  <c r="I11566" i="5"/>
  <c r="I11375" i="5"/>
  <c r="I11214" i="5"/>
  <c r="I11071" i="5"/>
  <c r="I10927" i="5"/>
  <c r="I10810" i="5"/>
  <c r="I10702" i="5"/>
  <c r="I10589" i="5"/>
  <c r="I10501" i="5"/>
  <c r="I10406" i="5"/>
  <c r="I10318" i="5"/>
  <c r="I10250" i="5"/>
  <c r="I10178" i="5"/>
  <c r="I10111" i="5"/>
  <c r="I10056" i="5"/>
  <c r="I10002" i="5"/>
  <c r="I9978" i="5"/>
  <c r="I9953" i="5"/>
  <c r="I9928" i="5"/>
  <c r="I9903" i="5"/>
  <c r="I9874" i="5"/>
  <c r="I9850" i="5"/>
  <c r="I9825" i="5"/>
  <c r="I9800" i="5"/>
  <c r="I9775" i="5"/>
  <c r="I9746" i="5"/>
  <c r="I9722" i="5"/>
  <c r="I9697" i="5"/>
  <c r="I9672" i="5"/>
  <c r="I9647" i="5"/>
  <c r="I9618" i="5"/>
  <c r="I9594" i="5"/>
  <c r="I9572" i="5"/>
  <c r="I9552" i="5"/>
  <c r="I9530" i="5"/>
  <c r="I9511" i="5"/>
  <c r="I9490" i="5"/>
  <c r="I9471" i="5"/>
  <c r="I9449" i="5"/>
  <c r="I9428" i="5"/>
  <c r="I9408" i="5"/>
  <c r="I9388" i="5"/>
  <c r="I9368" i="5"/>
  <c r="I9346" i="5"/>
  <c r="I9327" i="5"/>
  <c r="I9305" i="5"/>
  <c r="I9287" i="5"/>
  <c r="I9265" i="5"/>
  <c r="I9244" i="5"/>
  <c r="I9224" i="5"/>
  <c r="I9202" i="5"/>
  <c r="I9184" i="5"/>
  <c r="I9162" i="5"/>
  <c r="I9143" i="5"/>
  <c r="I9121" i="5"/>
  <c r="I9100" i="5"/>
  <c r="I9081" i="5"/>
  <c r="I9060" i="5"/>
  <c r="I9040" i="5"/>
  <c r="I9018" i="5"/>
  <c r="I8999" i="5"/>
  <c r="I8978" i="5"/>
  <c r="I8959" i="5"/>
  <c r="I8937" i="5"/>
  <c r="I8916" i="5"/>
  <c r="I8896" i="5"/>
  <c r="I8876" i="5"/>
  <c r="I8856" i="5"/>
  <c r="I8834" i="5"/>
  <c r="I8815" i="5"/>
  <c r="I8793" i="5"/>
  <c r="I8775" i="5"/>
  <c r="I8753" i="5"/>
  <c r="I8732" i="5"/>
  <c r="I8712" i="5"/>
  <c r="I8690" i="5"/>
  <c r="I8672" i="5"/>
  <c r="I8650" i="5"/>
  <c r="I8631" i="5"/>
  <c r="I8609" i="5"/>
  <c r="I8588" i="5"/>
  <c r="I8569" i="5"/>
  <c r="I8548" i="5"/>
  <c r="I8528" i="5"/>
  <c r="I8506" i="5"/>
  <c r="I8487" i="5"/>
  <c r="I8466" i="5"/>
  <c r="I8447" i="5"/>
  <c r="I8425" i="5"/>
  <c r="I8404" i="5"/>
  <c r="I8384" i="5"/>
  <c r="I8364" i="5"/>
  <c r="I8344" i="5"/>
  <c r="I8322" i="5"/>
  <c r="I8303" i="5"/>
  <c r="I8281" i="5"/>
  <c r="I8263" i="5"/>
  <c r="I8241" i="5"/>
  <c r="I8220" i="5"/>
  <c r="I8200" i="5"/>
  <c r="I8178" i="5"/>
  <c r="I8160" i="5"/>
  <c r="I8138" i="5"/>
  <c r="I8119" i="5"/>
  <c r="I8097" i="5"/>
  <c r="I8076" i="5"/>
  <c r="I8057" i="5"/>
  <c r="I8036" i="5"/>
  <c r="I8016" i="5"/>
  <c r="I7994" i="5"/>
  <c r="I7975" i="5"/>
  <c r="I7954" i="5"/>
  <c r="I7935" i="5"/>
  <c r="I7913" i="5"/>
  <c r="I7892" i="5"/>
  <c r="I7872" i="5"/>
  <c r="I7852" i="5"/>
  <c r="I7832" i="5"/>
  <c r="I7810" i="5"/>
  <c r="I7791" i="5"/>
  <c r="I7769" i="5"/>
  <c r="I7751" i="5"/>
  <c r="I7729" i="5"/>
  <c r="I7708" i="5"/>
  <c r="I7688" i="5"/>
  <c r="I7666" i="5"/>
  <c r="I7648" i="5"/>
  <c r="I7626" i="5"/>
  <c r="I7607" i="5"/>
  <c r="I7585" i="5"/>
  <c r="I7564" i="5"/>
  <c r="I7545" i="5"/>
  <c r="I7524" i="5"/>
  <c r="I7504" i="5"/>
  <c r="I7482" i="5"/>
  <c r="I7463" i="5"/>
  <c r="I7442" i="5"/>
  <c r="I7423" i="5"/>
  <c r="I7401" i="5"/>
  <c r="I7380" i="5"/>
  <c r="I7360" i="5"/>
  <c r="I7340" i="5"/>
  <c r="I7320" i="5"/>
  <c r="I7298" i="5"/>
  <c r="I7279" i="5"/>
  <c r="I7257" i="5"/>
  <c r="I7239" i="5"/>
  <c r="I7217" i="5"/>
  <c r="I7196" i="5"/>
  <c r="I7176" i="5"/>
  <c r="I7154" i="5"/>
  <c r="I7136" i="5"/>
  <c r="I7114" i="5"/>
  <c r="I7095" i="5"/>
  <c r="I7073" i="5"/>
  <c r="I7052" i="5"/>
  <c r="I7033" i="5"/>
  <c r="I7012" i="5"/>
  <c r="I6992" i="5"/>
  <c r="I6970" i="5"/>
  <c r="I6951" i="5"/>
  <c r="I6930" i="5"/>
  <c r="I6911" i="5"/>
  <c r="I6890" i="5"/>
  <c r="I6873" i="5"/>
  <c r="I6856" i="5"/>
  <c r="I6840" i="5"/>
  <c r="I6823" i="5"/>
  <c r="I6806" i="5"/>
  <c r="I6788" i="5"/>
  <c r="I6770" i="5"/>
  <c r="I6754" i="5"/>
  <c r="I6737" i="5"/>
  <c r="I6720" i="5"/>
  <c r="I6703" i="5"/>
  <c r="I6686" i="5"/>
  <c r="I6670" i="5"/>
  <c r="I6652" i="5"/>
  <c r="I6634" i="5"/>
  <c r="I6617" i="5"/>
  <c r="I6600" i="5"/>
  <c r="I6584" i="5"/>
  <c r="I6567" i="5"/>
  <c r="I6550" i="5"/>
  <c r="I6532" i="5"/>
  <c r="I6514" i="5"/>
  <c r="I6498" i="5"/>
  <c r="I6481" i="5"/>
  <c r="I6464" i="5"/>
  <c r="I6447" i="5"/>
  <c r="I6430" i="5"/>
  <c r="I6414" i="5"/>
  <c r="I6396" i="5"/>
  <c r="I6378" i="5"/>
  <c r="I6361" i="5"/>
  <c r="I6344" i="5"/>
  <c r="I6328" i="5"/>
  <c r="I6311" i="5"/>
  <c r="I6294" i="5"/>
  <c r="I6276" i="5"/>
  <c r="I6258" i="5"/>
  <c r="I6242" i="5"/>
  <c r="I6225" i="5"/>
  <c r="I6208" i="5"/>
  <c r="I6191" i="5"/>
  <c r="I6174" i="5"/>
  <c r="I6158" i="5"/>
  <c r="I6140" i="5"/>
  <c r="I6122" i="5"/>
  <c r="I6105" i="5"/>
  <c r="I6088" i="5"/>
  <c r="I6072" i="5"/>
  <c r="I6055" i="5"/>
  <c r="I6038" i="5"/>
  <c r="I6020" i="5"/>
  <c r="I6002" i="5"/>
  <c r="I5986" i="5"/>
  <c r="I5969" i="5"/>
  <c r="I5952" i="5"/>
  <c r="I5935" i="5"/>
  <c r="I5918" i="5"/>
  <c r="I5902" i="5"/>
  <c r="I5884" i="5"/>
  <c r="I5866" i="5"/>
  <c r="I5849" i="5"/>
  <c r="I5832" i="5"/>
  <c r="I5816" i="5"/>
  <c r="I5799" i="5"/>
  <c r="I5782" i="5"/>
  <c r="I5764" i="5"/>
  <c r="I5746" i="5"/>
  <c r="I5730" i="5"/>
  <c r="I5713" i="5"/>
  <c r="I5696" i="5"/>
  <c r="I5679" i="5"/>
  <c r="I5662" i="5"/>
  <c r="I5646" i="5"/>
  <c r="I5628" i="5"/>
  <c r="I5610" i="5"/>
  <c r="I5593" i="5"/>
  <c r="I5576" i="5"/>
  <c r="I5560" i="5"/>
  <c r="I5543" i="5"/>
  <c r="I5526" i="5"/>
  <c r="I5508" i="5"/>
  <c r="I5490" i="5"/>
  <c r="I5474" i="5"/>
  <c r="I5457" i="5"/>
  <c r="I5440" i="5"/>
  <c r="I5423" i="5"/>
  <c r="I5406" i="5"/>
  <c r="I5390" i="5"/>
  <c r="I5372" i="5"/>
  <c r="I5354" i="5"/>
  <c r="I5337" i="5"/>
  <c r="I5320" i="5"/>
  <c r="I5304" i="5"/>
  <c r="I5287" i="5"/>
  <c r="I5270" i="5"/>
  <c r="I5252" i="5"/>
  <c r="I5234" i="5"/>
  <c r="I5218" i="5"/>
  <c r="I5201" i="5"/>
  <c r="I5184" i="5"/>
  <c r="I5167" i="5"/>
  <c r="I5150" i="5"/>
  <c r="I5134" i="5"/>
  <c r="I5116" i="5"/>
  <c r="I5098" i="5"/>
  <c r="I5081" i="5"/>
  <c r="I5064" i="5"/>
  <c r="I5048" i="5"/>
  <c r="I5031" i="5"/>
  <c r="I5014" i="5"/>
  <c r="I4996" i="5"/>
  <c r="I4978" i="5"/>
  <c r="I4962" i="5"/>
  <c r="I4945" i="5"/>
  <c r="I4928" i="5"/>
  <c r="I4911" i="5"/>
  <c r="I4894" i="5"/>
  <c r="I4878" i="5"/>
  <c r="I4860" i="5"/>
  <c r="I4842" i="5"/>
  <c r="I4825" i="5"/>
  <c r="I4808" i="5"/>
  <c r="I4792" i="5"/>
  <c r="I4775" i="5"/>
  <c r="I4758" i="5"/>
  <c r="I4740" i="5"/>
  <c r="I4722" i="5"/>
  <c r="I4706" i="5"/>
  <c r="I4689" i="5"/>
  <c r="I4672" i="5"/>
  <c r="I4655" i="5"/>
  <c r="I4638" i="5"/>
  <c r="I4622" i="5"/>
  <c r="I4604" i="5"/>
  <c r="I4586" i="5"/>
  <c r="I4569" i="5"/>
  <c r="I4552" i="5"/>
  <c r="I4536" i="5"/>
  <c r="I4519" i="5"/>
  <c r="I4502" i="5"/>
  <c r="I4484" i="5"/>
  <c r="I4466" i="5"/>
  <c r="I4450" i="5"/>
  <c r="I4433" i="5"/>
  <c r="I4416" i="5"/>
  <c r="I4399" i="5"/>
  <c r="I4382" i="5"/>
  <c r="I4366" i="5"/>
  <c r="I4348" i="5"/>
  <c r="I4330" i="5"/>
  <c r="I4313" i="5"/>
  <c r="I4296" i="5"/>
  <c r="I4280" i="5"/>
  <c r="I4263" i="5"/>
  <c r="I4246" i="5"/>
  <c r="I4228" i="5"/>
  <c r="I4210" i="5"/>
  <c r="I4194" i="5"/>
  <c r="I4177" i="5"/>
  <c r="I4160" i="5"/>
  <c r="I4143" i="5"/>
  <c r="I4126" i="5"/>
  <c r="I4110" i="5"/>
  <c r="I4092" i="5"/>
  <c r="I4074" i="5"/>
  <c r="I4057" i="5"/>
  <c r="I4040" i="5"/>
  <c r="I4024" i="5"/>
  <c r="I4007" i="5"/>
  <c r="I3990" i="5"/>
  <c r="I3972" i="5"/>
  <c r="I3954" i="5"/>
  <c r="I3938" i="5"/>
  <c r="I3921" i="5"/>
  <c r="I3904" i="5"/>
  <c r="I3887" i="5"/>
  <c r="I3870" i="5"/>
  <c r="I3854" i="5"/>
  <c r="I3836" i="5"/>
  <c r="I3818" i="5"/>
  <c r="I3801" i="5"/>
  <c r="I3784" i="5"/>
  <c r="I3768" i="5"/>
  <c r="I3751" i="5"/>
  <c r="I3734" i="5"/>
  <c r="I3716" i="5"/>
  <c r="I3698" i="5"/>
  <c r="I3682" i="5"/>
  <c r="I3665" i="5"/>
  <c r="I3648" i="5"/>
  <c r="I3631" i="5"/>
  <c r="I3614" i="5"/>
  <c r="I3598" i="5"/>
  <c r="I3580" i="5"/>
  <c r="I3562" i="5"/>
  <c r="I3545" i="5"/>
  <c r="I3528" i="5"/>
  <c r="I3512" i="5"/>
  <c r="I3495" i="5"/>
  <c r="I3478" i="5"/>
  <c r="I3460" i="5"/>
  <c r="I3442" i="5"/>
  <c r="I3426" i="5"/>
  <c r="I3409" i="5"/>
  <c r="I3392" i="5"/>
  <c r="I3375" i="5"/>
  <c r="I3358" i="5"/>
  <c r="I3342" i="5"/>
  <c r="I3324" i="5"/>
  <c r="I3306" i="5"/>
  <c r="I3289" i="5"/>
  <c r="I3272" i="5"/>
  <c r="I3256" i="5"/>
  <c r="I3239" i="5"/>
  <c r="I3222" i="5"/>
  <c r="I3204" i="5"/>
  <c r="I3186" i="5"/>
  <c r="I3170" i="5"/>
  <c r="I3153" i="5"/>
  <c r="I3136" i="5"/>
  <c r="I3119" i="5"/>
  <c r="I3102" i="5"/>
  <c r="I3086" i="5"/>
  <c r="I3068" i="5"/>
  <c r="I3050" i="5"/>
  <c r="I3033" i="5"/>
  <c r="I3016" i="5"/>
  <c r="I3000" i="5"/>
  <c r="I2983" i="5"/>
  <c r="I2966" i="5"/>
  <c r="I2948" i="5"/>
  <c r="I2930" i="5"/>
  <c r="I2914" i="5"/>
  <c r="I2897" i="5"/>
  <c r="I2880" i="5"/>
  <c r="I2863" i="5"/>
  <c r="I2846" i="5"/>
  <c r="I2830" i="5"/>
  <c r="I2812" i="5"/>
  <c r="I2794" i="5"/>
  <c r="I2777" i="5"/>
  <c r="I2760" i="5"/>
  <c r="I2744" i="5"/>
  <c r="I2727" i="5"/>
  <c r="I2710" i="5"/>
  <c r="I2692" i="5"/>
  <c r="I2674" i="5"/>
  <c r="I2658" i="5"/>
  <c r="I2641" i="5"/>
  <c r="I2624" i="5"/>
  <c r="I2607" i="5"/>
  <c r="I2590" i="5"/>
  <c r="I2574" i="5"/>
  <c r="I2556" i="5"/>
  <c r="I2538" i="5"/>
  <c r="I2521" i="5"/>
  <c r="I2504" i="5"/>
  <c r="I2488" i="5"/>
  <c r="I2471" i="5"/>
  <c r="I2454" i="5"/>
  <c r="I2436" i="5"/>
  <c r="I2418" i="5"/>
  <c r="I2402" i="5"/>
  <c r="I2385" i="5"/>
  <c r="I2368" i="5"/>
  <c r="I2351" i="5"/>
  <c r="I2334" i="5"/>
  <c r="I2318" i="5"/>
  <c r="I2300" i="5"/>
  <c r="I2282" i="5"/>
  <c r="I2265" i="5"/>
  <c r="I2248" i="5"/>
  <c r="I2232" i="5"/>
  <c r="I2215" i="5"/>
  <c r="I2198" i="5"/>
  <c r="I2180" i="5"/>
  <c r="I2162" i="5"/>
  <c r="I2146" i="5"/>
  <c r="I2129" i="5"/>
  <c r="I2112" i="5"/>
  <c r="I2095" i="5"/>
  <c r="I2078" i="5"/>
  <c r="I2062" i="5"/>
  <c r="I2044" i="5"/>
  <c r="I2026" i="5"/>
  <c r="I2009" i="5"/>
  <c r="I1992" i="5"/>
  <c r="I1976" i="5"/>
  <c r="I1959" i="5"/>
  <c r="I1942" i="5"/>
  <c r="I1924" i="5"/>
  <c r="I1906" i="5"/>
  <c r="I1890" i="5"/>
  <c r="I1873" i="5"/>
  <c r="I1856" i="5"/>
  <c r="I1839" i="5"/>
  <c r="I1822" i="5"/>
  <c r="I1806" i="5"/>
  <c r="I1788" i="5"/>
  <c r="I1770" i="5"/>
  <c r="I1753" i="5"/>
  <c r="I1736" i="5"/>
  <c r="I1720" i="5"/>
  <c r="I1703" i="5"/>
  <c r="I1686" i="5"/>
  <c r="I1669" i="5"/>
  <c r="I1656" i="5"/>
  <c r="I1644" i="5"/>
  <c r="I1631" i="5"/>
  <c r="I1618" i="5"/>
  <c r="I1605" i="5"/>
  <c r="I1592" i="5"/>
  <c r="I1580" i="5"/>
  <c r="I1567" i="5"/>
  <c r="I1554" i="5"/>
  <c r="I1541" i="5"/>
  <c r="I1528" i="5"/>
  <c r="I1516" i="5"/>
  <c r="I1503" i="5"/>
  <c r="I1490" i="5"/>
  <c r="I1477" i="5"/>
  <c r="I1464" i="5"/>
  <c r="I1452" i="5"/>
  <c r="I1439" i="5"/>
  <c r="I1426" i="5"/>
  <c r="I1413" i="5"/>
  <c r="I1400" i="5"/>
  <c r="I1388" i="5"/>
  <c r="I1375" i="5"/>
  <c r="I1362" i="5"/>
  <c r="I1349" i="5"/>
  <c r="I1336" i="5"/>
  <c r="I1324" i="5"/>
  <c r="I1311" i="5"/>
  <c r="I1298" i="5"/>
  <c r="I1285" i="5"/>
  <c r="I1272" i="5"/>
  <c r="I1260" i="5"/>
  <c r="I1247" i="5"/>
  <c r="I1236" i="5"/>
  <c r="I1226" i="5"/>
  <c r="I1215" i="5"/>
  <c r="I1204" i="5"/>
  <c r="I1194" i="5"/>
  <c r="I1183" i="5"/>
  <c r="I1172" i="5"/>
  <c r="I1162" i="5"/>
  <c r="I1151" i="5"/>
  <c r="I1140" i="5"/>
  <c r="I1130" i="5"/>
  <c r="I1119" i="5"/>
  <c r="I1108" i="5"/>
  <c r="I1098" i="5"/>
  <c r="I1087" i="5"/>
  <c r="I1076" i="5"/>
  <c r="I1066" i="5"/>
  <c r="I1055" i="5"/>
  <c r="I1044" i="5"/>
  <c r="I1034" i="5"/>
  <c r="I22215" i="5"/>
  <c r="I19979" i="5"/>
  <c r="I18713" i="5"/>
  <c r="I17771" i="5"/>
  <c r="I16794" i="5"/>
  <c r="I16075" i="5"/>
  <c r="I15425" i="5"/>
  <c r="I14719" i="5"/>
  <c r="I14151" i="5"/>
  <c r="I13725" i="5"/>
  <c r="I13357" i="5"/>
  <c r="I13102" i="5"/>
  <c r="I12887" i="5"/>
  <c r="I12655" i="5"/>
  <c r="I12420" i="5"/>
  <c r="I12206" i="5"/>
  <c r="I11974" i="5"/>
  <c r="I11735" i="5"/>
  <c r="I11548" i="5"/>
  <c r="I11358" i="5"/>
  <c r="I11183" i="5"/>
  <c r="I11055" i="5"/>
  <c r="I10922" i="5"/>
  <c r="I10794" i="5"/>
  <c r="I10692" i="5"/>
  <c r="I10578" i="5"/>
  <c r="I10482" i="5"/>
  <c r="I10397" i="5"/>
  <c r="I10309" i="5"/>
  <c r="I10239" i="5"/>
  <c r="I10175" i="5"/>
  <c r="I10104" i="5"/>
  <c r="I10050" i="5"/>
  <c r="I10001" i="5"/>
  <c r="I9976" i="5"/>
  <c r="I9951" i="5"/>
  <c r="I9922" i="5"/>
  <c r="I9898" i="5"/>
  <c r="I9873" i="5"/>
  <c r="I9848" i="5"/>
  <c r="I9823" i="5"/>
  <c r="I9794" i="5"/>
  <c r="I9770" i="5"/>
  <c r="I9745" i="5"/>
  <c r="I9720" i="5"/>
  <c r="I9695" i="5"/>
  <c r="I9666" i="5"/>
  <c r="I9642" i="5"/>
  <c r="I9617" i="5"/>
  <c r="I9592" i="5"/>
  <c r="I9569" i="5"/>
  <c r="I9548" i="5"/>
  <c r="I9529" i="5"/>
  <c r="I9508" i="5"/>
  <c r="I9488" i="5"/>
  <c r="I9466" i="5"/>
  <c r="I9447" i="5"/>
  <c r="I9426" i="5"/>
  <c r="I9407" i="5"/>
  <c r="I9385" i="5"/>
  <c r="I9364" i="5"/>
  <c r="I9344" i="5"/>
  <c r="I9324" i="5"/>
  <c r="I9304" i="5"/>
  <c r="I9282" i="5"/>
  <c r="I9263" i="5"/>
  <c r="I9241" i="5"/>
  <c r="I9223" i="5"/>
  <c r="I9201" i="5"/>
  <c r="I9180" i="5"/>
  <c r="I9160" i="5"/>
  <c r="I9138" i="5"/>
  <c r="I9120" i="5"/>
  <c r="I9098" i="5"/>
  <c r="I9079" i="5"/>
  <c r="I9057" i="5"/>
  <c r="I9036" i="5"/>
  <c r="I9017" i="5"/>
  <c r="I8996" i="5"/>
  <c r="I8976" i="5"/>
  <c r="I8954" i="5"/>
  <c r="I8935" i="5"/>
  <c r="I8914" i="5"/>
  <c r="I8895" i="5"/>
  <c r="I8873" i="5"/>
  <c r="I8852" i="5"/>
  <c r="I8832" i="5"/>
  <c r="I8812" i="5"/>
  <c r="I8792" i="5"/>
  <c r="I8770" i="5"/>
  <c r="I8751" i="5"/>
  <c r="I8729" i="5"/>
  <c r="I8711" i="5"/>
  <c r="I8689" i="5"/>
  <c r="I8668" i="5"/>
  <c r="I8648" i="5"/>
  <c r="I8626" i="5"/>
  <c r="I8608" i="5"/>
  <c r="I8586" i="5"/>
  <c r="I8567" i="5"/>
  <c r="I8545" i="5"/>
  <c r="I8524" i="5"/>
  <c r="I8505" i="5"/>
  <c r="I8484" i="5"/>
  <c r="I8464" i="5"/>
  <c r="I8442" i="5"/>
  <c r="I8423" i="5"/>
  <c r="I8402" i="5"/>
  <c r="I8383" i="5"/>
  <c r="I8361" i="5"/>
  <c r="I8340" i="5"/>
  <c r="I8320" i="5"/>
  <c r="I8300" i="5"/>
  <c r="I8280" i="5"/>
  <c r="I8258" i="5"/>
  <c r="I8239" i="5"/>
  <c r="I8217" i="5"/>
  <c r="I8199" i="5"/>
  <c r="I8177" i="5"/>
  <c r="I8156" i="5"/>
  <c r="I8136" i="5"/>
  <c r="I8114" i="5"/>
  <c r="I8096" i="5"/>
  <c r="I8074" i="5"/>
  <c r="I8055" i="5"/>
  <c r="I8033" i="5"/>
  <c r="I8012" i="5"/>
  <c r="I7993" i="5"/>
  <c r="I7972" i="5"/>
  <c r="I7952" i="5"/>
  <c r="I7930" i="5"/>
  <c r="I7911" i="5"/>
  <c r="I7890" i="5"/>
  <c r="I7871" i="5"/>
  <c r="I7849" i="5"/>
  <c r="I7828" i="5"/>
  <c r="I7808" i="5"/>
  <c r="I7788" i="5"/>
  <c r="I7768" i="5"/>
  <c r="I7746" i="5"/>
  <c r="I7727" i="5"/>
  <c r="I7705" i="5"/>
  <c r="I7687" i="5"/>
  <c r="I7665" i="5"/>
  <c r="I7644" i="5"/>
  <c r="I7624" i="5"/>
  <c r="I7602" i="5"/>
  <c r="I7584" i="5"/>
  <c r="I7562" i="5"/>
  <c r="I7543" i="5"/>
  <c r="I7521" i="5"/>
  <c r="I7500" i="5"/>
  <c r="I7481" i="5"/>
  <c r="I7460" i="5"/>
  <c r="I7440" i="5"/>
  <c r="I7418" i="5"/>
  <c r="I7399" i="5"/>
  <c r="I7378" i="5"/>
  <c r="I7359" i="5"/>
  <c r="I7337" i="5"/>
  <c r="I7316" i="5"/>
  <c r="I7296" i="5"/>
  <c r="I7276" i="5"/>
  <c r="I7256" i="5"/>
  <c r="I7234" i="5"/>
  <c r="I7215" i="5"/>
  <c r="I7193" i="5"/>
  <c r="I7175" i="5"/>
  <c r="I7153" i="5"/>
  <c r="I7132" i="5"/>
  <c r="I26741" i="5"/>
  <c r="I21436" i="5"/>
  <c r="I19611" i="5"/>
  <c r="I18511" i="5"/>
  <c r="I17516" i="5"/>
  <c r="I16595" i="5"/>
  <c r="I15938" i="5"/>
  <c r="I15233" i="5"/>
  <c r="I14545" i="5"/>
  <c r="I14055" i="5"/>
  <c r="I13627" i="5"/>
  <c r="I13271" i="5"/>
  <c r="I13060" i="5"/>
  <c r="I12828" i="5"/>
  <c r="I12590" i="5"/>
  <c r="I12375" i="5"/>
  <c r="I12143" i="5"/>
  <c r="I11908" i="5"/>
  <c r="I11694" i="5"/>
  <c r="I11500" i="5"/>
  <c r="I11310" i="5"/>
  <c r="I11164" i="5"/>
  <c r="I11022" i="5"/>
  <c r="I10879" i="5"/>
  <c r="I10772" i="5"/>
  <c r="I10655" i="5"/>
  <c r="I10552" i="5"/>
  <c r="I10468" i="5"/>
  <c r="I10373" i="5"/>
  <c r="I10290" i="5"/>
  <c r="I10225" i="5"/>
  <c r="I10154" i="5"/>
  <c r="I10082" i="5"/>
  <c r="I10033" i="5"/>
  <c r="I9994" i="5"/>
  <c r="I9969" i="5"/>
  <c r="I9944" i="5"/>
  <c r="I9919" i="5"/>
  <c r="I9890" i="5"/>
  <c r="I9866" i="5"/>
  <c r="I9841" i="5"/>
  <c r="I9816" i="5"/>
  <c r="I9791" i="5"/>
  <c r="I9762" i="5"/>
  <c r="I9738" i="5"/>
  <c r="I9713" i="5"/>
  <c r="I9688" i="5"/>
  <c r="I9663" i="5"/>
  <c r="I9634" i="5"/>
  <c r="I9610" i="5"/>
  <c r="I9585" i="5"/>
  <c r="I9564" i="5"/>
  <c r="I9544" i="5"/>
  <c r="I9522" i="5"/>
  <c r="I9504" i="5"/>
  <c r="I9482" i="5"/>
  <c r="I9463" i="5"/>
  <c r="I9441" i="5"/>
  <c r="I9420" i="5"/>
  <c r="I9401" i="5"/>
  <c r="I9380" i="5"/>
  <c r="I9360" i="5"/>
  <c r="I9338" i="5"/>
  <c r="I9319" i="5"/>
  <c r="I9298" i="5"/>
  <c r="I9279" i="5"/>
  <c r="I9257" i="5"/>
  <c r="I9236" i="5"/>
  <c r="I9216" i="5"/>
  <c r="I9196" i="5"/>
  <c r="I9176" i="5"/>
  <c r="I9154" i="5"/>
  <c r="I9135" i="5"/>
  <c r="I9113" i="5"/>
  <c r="I9095" i="5"/>
  <c r="I9073" i="5"/>
  <c r="I9052" i="5"/>
  <c r="I9032" i="5"/>
  <c r="I9010" i="5"/>
  <c r="I8992" i="5"/>
  <c r="I8970" i="5"/>
  <c r="I8951" i="5"/>
  <c r="I8929" i="5"/>
  <c r="I8908" i="5"/>
  <c r="I8889" i="5"/>
  <c r="I8868" i="5"/>
  <c r="I8848" i="5"/>
  <c r="I8826" i="5"/>
  <c r="I8807" i="5"/>
  <c r="I8786" i="5"/>
  <c r="I8767" i="5"/>
  <c r="I8745" i="5"/>
  <c r="I8724" i="5"/>
  <c r="I8704" i="5"/>
  <c r="I8684" i="5"/>
  <c r="I8664" i="5"/>
  <c r="I8642" i="5"/>
  <c r="I8623" i="5"/>
  <c r="I8601" i="5"/>
  <c r="I8583" i="5"/>
  <c r="I8561" i="5"/>
  <c r="I8540" i="5"/>
  <c r="I8520" i="5"/>
  <c r="I8498" i="5"/>
  <c r="I8480" i="5"/>
  <c r="I8458" i="5"/>
  <c r="I8439" i="5"/>
  <c r="I8417" i="5"/>
  <c r="I8396" i="5"/>
  <c r="I8377" i="5"/>
  <c r="I8356" i="5"/>
  <c r="I8336" i="5"/>
  <c r="I8314" i="5"/>
  <c r="I8295" i="5"/>
  <c r="I8274" i="5"/>
  <c r="I8255" i="5"/>
  <c r="I8233" i="5"/>
  <c r="I8212" i="5"/>
  <c r="I8192" i="5"/>
  <c r="I8172" i="5"/>
  <c r="I8152" i="5"/>
  <c r="I8130" i="5"/>
  <c r="I8111" i="5"/>
  <c r="I8089" i="5"/>
  <c r="I8071" i="5"/>
  <c r="I8049" i="5"/>
  <c r="I8028" i="5"/>
  <c r="I8008" i="5"/>
  <c r="I7986" i="5"/>
  <c r="I7968" i="5"/>
  <c r="I7946" i="5"/>
  <c r="I7927" i="5"/>
  <c r="I7905" i="5"/>
  <c r="I7884" i="5"/>
  <c r="I7865" i="5"/>
  <c r="I7844" i="5"/>
  <c r="I7824" i="5"/>
  <c r="I7802" i="5"/>
  <c r="I7783" i="5"/>
  <c r="I7762" i="5"/>
  <c r="I7743" i="5"/>
  <c r="I7721" i="5"/>
  <c r="I7700" i="5"/>
  <c r="I7680" i="5"/>
  <c r="I7660" i="5"/>
  <c r="I7640" i="5"/>
  <c r="I7618" i="5"/>
  <c r="I7599" i="5"/>
  <c r="I7577" i="5"/>
  <c r="I7559" i="5"/>
  <c r="I7537" i="5"/>
  <c r="I7516" i="5"/>
  <c r="I7496" i="5"/>
  <c r="I7474" i="5"/>
  <c r="I7456" i="5"/>
  <c r="I7434" i="5"/>
  <c r="I7415" i="5"/>
  <c r="I7393" i="5"/>
  <c r="I7372" i="5"/>
  <c r="I7353" i="5"/>
  <c r="I7332" i="5"/>
  <c r="I7312" i="5"/>
  <c r="I7290" i="5"/>
  <c r="I7271" i="5"/>
  <c r="I7250" i="5"/>
  <c r="I7231" i="5"/>
  <c r="I7209" i="5"/>
  <c r="I7188" i="5"/>
  <c r="I7168" i="5"/>
  <c r="I7148" i="5"/>
  <c r="I7128" i="5"/>
  <c r="I7106" i="5"/>
  <c r="I7087" i="5"/>
  <c r="I7065" i="5"/>
  <c r="I7047" i="5"/>
  <c r="I7025" i="5"/>
  <c r="I7004" i="5"/>
  <c r="I6984" i="5"/>
  <c r="I6962" i="5"/>
  <c r="I6944" i="5"/>
  <c r="I6922" i="5"/>
  <c r="I6903" i="5"/>
  <c r="I6884" i="5"/>
  <c r="I6866" i="5"/>
  <c r="I6850" i="5"/>
  <c r="I6833" i="5"/>
  <c r="I6816" i="5"/>
  <c r="I6799" i="5"/>
  <c r="I6782" i="5"/>
  <c r="I6766" i="5"/>
  <c r="I6748" i="5"/>
  <c r="I6730" i="5"/>
  <c r="I6713" i="5"/>
  <c r="I6696" i="5"/>
  <c r="I6680" i="5"/>
  <c r="I6663" i="5"/>
  <c r="I6646" i="5"/>
  <c r="I6628" i="5"/>
  <c r="I6610" i="5"/>
  <c r="I6594" i="5"/>
  <c r="I6577" i="5"/>
  <c r="I6560" i="5"/>
  <c r="I6543" i="5"/>
  <c r="I6526" i="5"/>
  <c r="I6510" i="5"/>
  <c r="I6492" i="5"/>
  <c r="I6474" i="5"/>
  <c r="I6457" i="5"/>
  <c r="I6440" i="5"/>
  <c r="I6424" i="5"/>
  <c r="I6407" i="5"/>
  <c r="I6390" i="5"/>
  <c r="I6372" i="5"/>
  <c r="I6354" i="5"/>
  <c r="I6338" i="5"/>
  <c r="I6321" i="5"/>
  <c r="I6304" i="5"/>
  <c r="I6287" i="5"/>
  <c r="I6270" i="5"/>
  <c r="I6254" i="5"/>
  <c r="I6236" i="5"/>
  <c r="I6218" i="5"/>
  <c r="I6201" i="5"/>
  <c r="I6184" i="5"/>
  <c r="I6168" i="5"/>
  <c r="I6151" i="5"/>
  <c r="I6134" i="5"/>
  <c r="I6116" i="5"/>
  <c r="I6098" i="5"/>
  <c r="I6082" i="5"/>
  <c r="I6065" i="5"/>
  <c r="I6048" i="5"/>
  <c r="I6031" i="5"/>
  <c r="I6014" i="5"/>
  <c r="I5998" i="5"/>
  <c r="I5980" i="5"/>
  <c r="I5962" i="5"/>
  <c r="I5945" i="5"/>
  <c r="I5928" i="5"/>
  <c r="I5912" i="5"/>
  <c r="I5895" i="5"/>
  <c r="I5878" i="5"/>
  <c r="I5860" i="5"/>
  <c r="I5842" i="5"/>
  <c r="I5826" i="5"/>
  <c r="I5809" i="5"/>
  <c r="I5792" i="5"/>
  <c r="I5775" i="5"/>
  <c r="I5758" i="5"/>
  <c r="I5742" i="5"/>
  <c r="I5724" i="5"/>
  <c r="I5706" i="5"/>
  <c r="I5689" i="5"/>
  <c r="I5672" i="5"/>
  <c r="I5656" i="5"/>
  <c r="I5639" i="5"/>
  <c r="I5622" i="5"/>
  <c r="I5604" i="5"/>
  <c r="I5586" i="5"/>
  <c r="I5570" i="5"/>
  <c r="I5553" i="5"/>
  <c r="I5536" i="5"/>
  <c r="I5519" i="5"/>
  <c r="I5502" i="5"/>
  <c r="I5486" i="5"/>
  <c r="I5468" i="5"/>
  <c r="I5450" i="5"/>
  <c r="I5433" i="5"/>
  <c r="I5416" i="5"/>
  <c r="I5400" i="5"/>
  <c r="I5383" i="5"/>
  <c r="I5366" i="5"/>
  <c r="I5348" i="5"/>
  <c r="I5330" i="5"/>
  <c r="I5314" i="5"/>
  <c r="I5297" i="5"/>
  <c r="I5280" i="5"/>
  <c r="I5263" i="5"/>
  <c r="I5246" i="5"/>
  <c r="I5230" i="5"/>
  <c r="I5212" i="5"/>
  <c r="I5194" i="5"/>
  <c r="I5177" i="5"/>
  <c r="I5160" i="5"/>
  <c r="I5144" i="5"/>
  <c r="I5127" i="5"/>
  <c r="I5110" i="5"/>
  <c r="I5092" i="5"/>
  <c r="I5074" i="5"/>
  <c r="I5058" i="5"/>
  <c r="I5041" i="5"/>
  <c r="I5024" i="5"/>
  <c r="I5007" i="5"/>
  <c r="I4990" i="5"/>
  <c r="I4974" i="5"/>
  <c r="I4956" i="5"/>
  <c r="I4938" i="5"/>
  <c r="I4921" i="5"/>
  <c r="I4904" i="5"/>
  <c r="I4888" i="5"/>
  <c r="I4871" i="5"/>
  <c r="I4854" i="5"/>
  <c r="I4836" i="5"/>
  <c r="I4818" i="5"/>
  <c r="I4802" i="5"/>
  <c r="I4785" i="5"/>
  <c r="I4768" i="5"/>
  <c r="I4751" i="5"/>
  <c r="I4734" i="5"/>
  <c r="I4718" i="5"/>
  <c r="I4700" i="5"/>
  <c r="I4682" i="5"/>
  <c r="I4665" i="5"/>
  <c r="I4648" i="5"/>
  <c r="I4632" i="5"/>
  <c r="I4615" i="5"/>
  <c r="I4598" i="5"/>
  <c r="I4580" i="5"/>
  <c r="I4562" i="5"/>
  <c r="I4546" i="5"/>
  <c r="I4529" i="5"/>
  <c r="I4512" i="5"/>
  <c r="I4495" i="5"/>
  <c r="I4478" i="5"/>
  <c r="I4462" i="5"/>
  <c r="I4444" i="5"/>
  <c r="I4426" i="5"/>
  <c r="I4409" i="5"/>
  <c r="I4392" i="5"/>
  <c r="I4376" i="5"/>
  <c r="I4359" i="5"/>
  <c r="I4342" i="5"/>
  <c r="I4324" i="5"/>
  <c r="I4306" i="5"/>
  <c r="I4290" i="5"/>
  <c r="I4273" i="5"/>
  <c r="I4256" i="5"/>
  <c r="I4239" i="5"/>
  <c r="I4222" i="5"/>
  <c r="I4206" i="5"/>
  <c r="I4188" i="5"/>
  <c r="I4170" i="5"/>
  <c r="I4153" i="5"/>
  <c r="I4136" i="5"/>
  <c r="I4120" i="5"/>
  <c r="I4103" i="5"/>
  <c r="I4086" i="5"/>
  <c r="I4068" i="5"/>
  <c r="I4050" i="5"/>
  <c r="I4034" i="5"/>
  <c r="I4017" i="5"/>
  <c r="I4000" i="5"/>
  <c r="I3983" i="5"/>
  <c r="I3966" i="5"/>
  <c r="I3950" i="5"/>
  <c r="I3932" i="5"/>
  <c r="I3914" i="5"/>
  <c r="I3897" i="5"/>
  <c r="I3880" i="5"/>
  <c r="I3864" i="5"/>
  <c r="I3847" i="5"/>
  <c r="I3830" i="5"/>
  <c r="I3812" i="5"/>
  <c r="I3794" i="5"/>
  <c r="I3778" i="5"/>
  <c r="I3761" i="5"/>
  <c r="I3744" i="5"/>
  <c r="I3727" i="5"/>
  <c r="I3710" i="5"/>
  <c r="I3694" i="5"/>
  <c r="I3676" i="5"/>
  <c r="I3658" i="5"/>
  <c r="I3641" i="5"/>
  <c r="I3624" i="5"/>
  <c r="I3608" i="5"/>
  <c r="I3591" i="5"/>
  <c r="I3574" i="5"/>
  <c r="I3556" i="5"/>
  <c r="I3538" i="5"/>
  <c r="I3522" i="5"/>
  <c r="I3505" i="5"/>
  <c r="I3488" i="5"/>
  <c r="I3471" i="5"/>
  <c r="I3454" i="5"/>
  <c r="I3438" i="5"/>
  <c r="I3420" i="5"/>
  <c r="I3402" i="5"/>
  <c r="I3385" i="5"/>
  <c r="I3368" i="5"/>
  <c r="I3352" i="5"/>
  <c r="I3335" i="5"/>
  <c r="I3318" i="5"/>
  <c r="I3300" i="5"/>
  <c r="I3282" i="5"/>
  <c r="I3266" i="5"/>
  <c r="I3249" i="5"/>
  <c r="I3232" i="5"/>
  <c r="I3215" i="5"/>
  <c r="I3198" i="5"/>
  <c r="I3182" i="5"/>
  <c r="I3164" i="5"/>
  <c r="I3146" i="5"/>
  <c r="I3129" i="5"/>
  <c r="I3112" i="5"/>
  <c r="I3096" i="5"/>
  <c r="I3079" i="5"/>
  <c r="I3062" i="5"/>
  <c r="I3044" i="5"/>
  <c r="I3026" i="5"/>
  <c r="I3010" i="5"/>
  <c r="I2993" i="5"/>
  <c r="I2976" i="5"/>
  <c r="I2959" i="5"/>
  <c r="I2942" i="5"/>
  <c r="I2926" i="5"/>
  <c r="I2908" i="5"/>
  <c r="I2890" i="5"/>
  <c r="I2873" i="5"/>
  <c r="I2856" i="5"/>
  <c r="I2840" i="5"/>
  <c r="I2823" i="5"/>
  <c r="I2806" i="5"/>
  <c r="I2788" i="5"/>
  <c r="I2770" i="5"/>
  <c r="I2754" i="5"/>
  <c r="I2737" i="5"/>
  <c r="I2720" i="5"/>
  <c r="I2703" i="5"/>
  <c r="I2686" i="5"/>
  <c r="I2670" i="5"/>
  <c r="I2652" i="5"/>
  <c r="I2634" i="5"/>
  <c r="I2617" i="5"/>
  <c r="I2600" i="5"/>
  <c r="I2584" i="5"/>
  <c r="I2567" i="5"/>
  <c r="I2550" i="5"/>
  <c r="I2532" i="5"/>
  <c r="I2514" i="5"/>
  <c r="I2498" i="5"/>
  <c r="I2481" i="5"/>
  <c r="I2464" i="5"/>
  <c r="I2447" i="5"/>
  <c r="I2430" i="5"/>
  <c r="I2414" i="5"/>
  <c r="I2396" i="5"/>
  <c r="I2378" i="5"/>
  <c r="I2361" i="5"/>
  <c r="I2344" i="5"/>
  <c r="I2328" i="5"/>
  <c r="I2311" i="5"/>
  <c r="I2294" i="5"/>
  <c r="I2276" i="5"/>
  <c r="I2258" i="5"/>
  <c r="I2242" i="5"/>
  <c r="I2225" i="5"/>
  <c r="I2208" i="5"/>
  <c r="I2191" i="5"/>
  <c r="I2174" i="5"/>
  <c r="I2158" i="5"/>
  <c r="I2140" i="5"/>
  <c r="I2122" i="5"/>
  <c r="I2105" i="5"/>
  <c r="I2088" i="5"/>
  <c r="I2072" i="5"/>
  <c r="I2055" i="5"/>
  <c r="I2038" i="5"/>
  <c r="I2020" i="5"/>
  <c r="I2002" i="5"/>
  <c r="I1986" i="5"/>
  <c r="I1969" i="5"/>
  <c r="I1952" i="5"/>
  <c r="I1935" i="5"/>
  <c r="I1918" i="5"/>
  <c r="I1902" i="5"/>
  <c r="I1884" i="5"/>
  <c r="I1866" i="5"/>
  <c r="I1849" i="5"/>
  <c r="I1832" i="5"/>
  <c r="I1816" i="5"/>
  <c r="I1799" i="5"/>
  <c r="I1782" i="5"/>
  <c r="I1764" i="5"/>
  <c r="I1746" i="5"/>
  <c r="I1730" i="5"/>
  <c r="I1713" i="5"/>
  <c r="I1696" i="5"/>
  <c r="I1679" i="5"/>
  <c r="I1664" i="5"/>
  <c r="I1652" i="5"/>
  <c r="I1639" i="5"/>
  <c r="I1626" i="5"/>
  <c r="I1613" i="5"/>
  <c r="I1600" i="5"/>
  <c r="I1588" i="5"/>
  <c r="I1575" i="5"/>
  <c r="I1562" i="5"/>
  <c r="I1549" i="5"/>
  <c r="I1536" i="5"/>
  <c r="I1524" i="5"/>
  <c r="I1511" i="5"/>
  <c r="I1498" i="5"/>
  <c r="I1485" i="5"/>
  <c r="I1472" i="5"/>
  <c r="I1460" i="5"/>
  <c r="I1447" i="5"/>
  <c r="I1434" i="5"/>
  <c r="I1421" i="5"/>
  <c r="I1408" i="5"/>
  <c r="I1396" i="5"/>
  <c r="I1383" i="5"/>
  <c r="I1370" i="5"/>
  <c r="I1357" i="5"/>
  <c r="I1344" i="5"/>
  <c r="I1332" i="5"/>
  <c r="I1319" i="5"/>
  <c r="I1306" i="5"/>
  <c r="I1293" i="5"/>
  <c r="I1280" i="5"/>
  <c r="I1268" i="5"/>
  <c r="I1255" i="5"/>
  <c r="I1243" i="5"/>
  <c r="I1232" i="5"/>
  <c r="I1221" i="5"/>
  <c r="I1211" i="5"/>
  <c r="I1200" i="5"/>
  <c r="I1189" i="5"/>
  <c r="I1179" i="5"/>
  <c r="I1168" i="5"/>
  <c r="I1157" i="5"/>
  <c r="I1147" i="5"/>
  <c r="I1136" i="5"/>
  <c r="I1125" i="5"/>
  <c r="I1115" i="5"/>
  <c r="I1104" i="5"/>
  <c r="I1093" i="5"/>
  <c r="I1083" i="5"/>
  <c r="I1072" i="5"/>
  <c r="I1061" i="5"/>
  <c r="I1051" i="5"/>
  <c r="I1040" i="5"/>
  <c r="I1029" i="5"/>
  <c r="I1019" i="5"/>
  <c r="I1008" i="5"/>
  <c r="I997" i="5"/>
  <c r="I987" i="5"/>
  <c r="I976" i="5"/>
  <c r="I965" i="5"/>
  <c r="I955" i="5"/>
  <c r="I944" i="5"/>
  <c r="I933" i="5"/>
  <c r="I923" i="5"/>
  <c r="I912" i="5"/>
  <c r="I901" i="5"/>
  <c r="I891" i="5"/>
  <c r="I880" i="5"/>
  <c r="I869" i="5"/>
  <c r="I859" i="5"/>
  <c r="I848" i="5"/>
  <c r="I837" i="5"/>
  <c r="I827" i="5"/>
  <c r="I816" i="5"/>
  <c r="I805" i="5"/>
  <c r="I795" i="5"/>
  <c r="I784" i="5"/>
  <c r="I773" i="5"/>
  <c r="I763" i="5"/>
  <c r="I752" i="5"/>
  <c r="I741" i="5"/>
  <c r="I731" i="5"/>
  <c r="I720" i="5"/>
  <c r="I709" i="5"/>
  <c r="I699" i="5"/>
  <c r="I688" i="5"/>
  <c r="I677" i="5"/>
  <c r="I667" i="5"/>
  <c r="I656" i="5"/>
  <c r="I645" i="5"/>
  <c r="I635" i="5"/>
  <c r="I624" i="5"/>
  <c r="I613" i="5"/>
  <c r="I603" i="5"/>
  <c r="I592" i="5"/>
  <c r="I581" i="5"/>
  <c r="I571" i="5"/>
  <c r="I560" i="5"/>
  <c r="I549" i="5"/>
  <c r="I539" i="5"/>
  <c r="I528" i="5"/>
  <c r="I517" i="5"/>
  <c r="I507" i="5"/>
  <c r="I496" i="5"/>
  <c r="I485" i="5"/>
  <c r="I475" i="5"/>
  <c r="I464" i="5"/>
  <c r="I453" i="5"/>
  <c r="I443" i="5"/>
  <c r="I432" i="5"/>
  <c r="I421" i="5"/>
  <c r="I411" i="5"/>
  <c r="I400" i="5"/>
  <c r="I389" i="5"/>
  <c r="I21603" i="5"/>
  <c r="I17963" i="5"/>
  <c r="I15816" i="5"/>
  <c r="I14110" i="5"/>
  <c r="I13167" i="5"/>
  <c r="I12572" i="5"/>
  <c r="I11950" i="5"/>
  <c r="I11414" i="5"/>
  <c r="I11007" i="5"/>
  <c r="I10669" i="5"/>
  <c r="I10415" i="5"/>
  <c r="I10210" i="5"/>
  <c r="I10047" i="5"/>
  <c r="I9954" i="5"/>
  <c r="I9889" i="5"/>
  <c r="I9818" i="5"/>
  <c r="I9752" i="5"/>
  <c r="I9682" i="5"/>
  <c r="I9615" i="5"/>
  <c r="I9554" i="5"/>
  <c r="I9500" i="5"/>
  <c r="I9444" i="5"/>
  <c r="I9391" i="5"/>
  <c r="I9337" i="5"/>
  <c r="I9280" i="5"/>
  <c r="I9226" i="5"/>
  <c r="I9172" i="5"/>
  <c r="I9116" i="5"/>
  <c r="I9063" i="5"/>
  <c r="I9009" i="5"/>
  <c r="I8953" i="5"/>
  <c r="I8898" i="5"/>
  <c r="I8844" i="5"/>
  <c r="I8788" i="5"/>
  <c r="I8736" i="5"/>
  <c r="I8681" i="5"/>
  <c r="I8625" i="5"/>
  <c r="I8570" i="5"/>
  <c r="I8519" i="5"/>
  <c r="I8460" i="5"/>
  <c r="I8408" i="5"/>
  <c r="I8353" i="5"/>
  <c r="I8297" i="5"/>
  <c r="I8242" i="5"/>
  <c r="I8191" i="5"/>
  <c r="I8135" i="5"/>
  <c r="I8080" i="5"/>
  <c r="I8025" i="5"/>
  <c r="I7969" i="5"/>
  <c r="I7916" i="5"/>
  <c r="I7863" i="5"/>
  <c r="I7807" i="5"/>
  <c r="I7752" i="5"/>
  <c r="I7698" i="5"/>
  <c r="I7641" i="5"/>
  <c r="I7588" i="5"/>
  <c r="I7535" i="5"/>
  <c r="I7479" i="5"/>
  <c r="I7424" i="5"/>
  <c r="I7370" i="5"/>
  <c r="I7314" i="5"/>
  <c r="I7260" i="5"/>
  <c r="I7207" i="5"/>
  <c r="I7151" i="5"/>
  <c r="I7104" i="5"/>
  <c r="I7064" i="5"/>
  <c r="I7023" i="5"/>
  <c r="I6983" i="5"/>
  <c r="I6940" i="5"/>
  <c r="I6898" i="5"/>
  <c r="I6865" i="5"/>
  <c r="I6831" i="5"/>
  <c r="I6798" i="5"/>
  <c r="I6762" i="5"/>
  <c r="I6728" i="5"/>
  <c r="I6695" i="5"/>
  <c r="I6660" i="5"/>
  <c r="I6626" i="5"/>
  <c r="I6592" i="5"/>
  <c r="I6558" i="5"/>
  <c r="I6524" i="5"/>
  <c r="I6489" i="5"/>
  <c r="I6456" i="5"/>
  <c r="I6422" i="5"/>
  <c r="I6386" i="5"/>
  <c r="I6353" i="5"/>
  <c r="I6319" i="5"/>
  <c r="I6286" i="5"/>
  <c r="I6250" i="5"/>
  <c r="I6216" i="5"/>
  <c r="I6183" i="5"/>
  <c r="I6148" i="5"/>
  <c r="I6114" i="5"/>
  <c r="I6080" i="5"/>
  <c r="I6046" i="5"/>
  <c r="I6012" i="5"/>
  <c r="I5977" i="5"/>
  <c r="I5944" i="5"/>
  <c r="I5910" i="5"/>
  <c r="I5874" i="5"/>
  <c r="I5841" i="5"/>
  <c r="I5807" i="5"/>
  <c r="I5774" i="5"/>
  <c r="I5738" i="5"/>
  <c r="I5704" i="5"/>
  <c r="I5671" i="5"/>
  <c r="I5636" i="5"/>
  <c r="I5602" i="5"/>
  <c r="I5568" i="5"/>
  <c r="I5534" i="5"/>
  <c r="I5500" i="5"/>
  <c r="I5465" i="5"/>
  <c r="I5432" i="5"/>
  <c r="I5398" i="5"/>
  <c r="I5362" i="5"/>
  <c r="I5329" i="5"/>
  <c r="I5295" i="5"/>
  <c r="I5262" i="5"/>
  <c r="I5226" i="5"/>
  <c r="I5192" i="5"/>
  <c r="I5159" i="5"/>
  <c r="I5124" i="5"/>
  <c r="I5090" i="5"/>
  <c r="I5056" i="5"/>
  <c r="I5022" i="5"/>
  <c r="I4988" i="5"/>
  <c r="I4953" i="5"/>
  <c r="I4920" i="5"/>
  <c r="I4886" i="5"/>
  <c r="I4850" i="5"/>
  <c r="I4817" i="5"/>
  <c r="I4783" i="5"/>
  <c r="I4750" i="5"/>
  <c r="I4714" i="5"/>
  <c r="I4680" i="5"/>
  <c r="I4647" i="5"/>
  <c r="I4612" i="5"/>
  <c r="I4578" i="5"/>
  <c r="I4544" i="5"/>
  <c r="I4510" i="5"/>
  <c r="I4476" i="5"/>
  <c r="I4441" i="5"/>
  <c r="I4408" i="5"/>
  <c r="I4374" i="5"/>
  <c r="I4338" i="5"/>
  <c r="I4305" i="5"/>
  <c r="I4271" i="5"/>
  <c r="I4238" i="5"/>
  <c r="I4202" i="5"/>
  <c r="I4168" i="5"/>
  <c r="I4135" i="5"/>
  <c r="I4100" i="5"/>
  <c r="I4066" i="5"/>
  <c r="I4032" i="5"/>
  <c r="I3998" i="5"/>
  <c r="I3964" i="5"/>
  <c r="I3929" i="5"/>
  <c r="I3896" i="5"/>
  <c r="I3862" i="5"/>
  <c r="I3826" i="5"/>
  <c r="I3793" i="5"/>
  <c r="I3759" i="5"/>
  <c r="I3726" i="5"/>
  <c r="I3690" i="5"/>
  <c r="I3656" i="5"/>
  <c r="I3623" i="5"/>
  <c r="I3588" i="5"/>
  <c r="I3554" i="5"/>
  <c r="I3520" i="5"/>
  <c r="I3486" i="5"/>
  <c r="I3452" i="5"/>
  <c r="I3417" i="5"/>
  <c r="I3384" i="5"/>
  <c r="I3350" i="5"/>
  <c r="I3314" i="5"/>
  <c r="I3281" i="5"/>
  <c r="I3247" i="5"/>
  <c r="I3214" i="5"/>
  <c r="I3178" i="5"/>
  <c r="I3144" i="5"/>
  <c r="I3111" i="5"/>
  <c r="I3076" i="5"/>
  <c r="I3042" i="5"/>
  <c r="I3008" i="5"/>
  <c r="I2974" i="5"/>
  <c r="I2940" i="5"/>
  <c r="I2905" i="5"/>
  <c r="I2872" i="5"/>
  <c r="I2838" i="5"/>
  <c r="I2802" i="5"/>
  <c r="I2769" i="5"/>
  <c r="I2735" i="5"/>
  <c r="I2702" i="5"/>
  <c r="I2666" i="5"/>
  <c r="I2632" i="5"/>
  <c r="I2599" i="5"/>
  <c r="I2564" i="5"/>
  <c r="I2530" i="5"/>
  <c r="I2496" i="5"/>
  <c r="I2462" i="5"/>
  <c r="I2428" i="5"/>
  <c r="I2393" i="5"/>
  <c r="I2360" i="5"/>
  <c r="I2326" i="5"/>
  <c r="I2290" i="5"/>
  <c r="I2257" i="5"/>
  <c r="I2223" i="5"/>
  <c r="I2190" i="5"/>
  <c r="I2154" i="5"/>
  <c r="I2120" i="5"/>
  <c r="I2087" i="5"/>
  <c r="I2052" i="5"/>
  <c r="I2018" i="5"/>
  <c r="I1984" i="5"/>
  <c r="I1950" i="5"/>
  <c r="I1916" i="5"/>
  <c r="I1881" i="5"/>
  <c r="I1848" i="5"/>
  <c r="I1814" i="5"/>
  <c r="I1778" i="5"/>
  <c r="I1745" i="5"/>
  <c r="I1711" i="5"/>
  <c r="I1678" i="5"/>
  <c r="I1650" i="5"/>
  <c r="I1624" i="5"/>
  <c r="I1599" i="5"/>
  <c r="I1573" i="5"/>
  <c r="I1548" i="5"/>
  <c r="I1522" i="5"/>
  <c r="I1496" i="5"/>
  <c r="I1471" i="5"/>
  <c r="I1445" i="5"/>
  <c r="I1420" i="5"/>
  <c r="I1394" i="5"/>
  <c r="I1368" i="5"/>
  <c r="I1343" i="5"/>
  <c r="I1317" i="5"/>
  <c r="I1292" i="5"/>
  <c r="I1266" i="5"/>
  <c r="I1242" i="5"/>
  <c r="I1220" i="5"/>
  <c r="I1199" i="5"/>
  <c r="I1178" i="5"/>
  <c r="I1156" i="5"/>
  <c r="I1135" i="5"/>
  <c r="I1114" i="5"/>
  <c r="I1092" i="5"/>
  <c r="I1071" i="5"/>
  <c r="I1050" i="5"/>
  <c r="I1028" i="5"/>
  <c r="I1011" i="5"/>
  <c r="I992" i="5"/>
  <c r="I978" i="5"/>
  <c r="I959" i="5"/>
  <c r="I943" i="5"/>
  <c r="I925" i="5"/>
  <c r="I907" i="5"/>
  <c r="I892" i="5"/>
  <c r="I874" i="5"/>
  <c r="I858" i="5"/>
  <c r="I840" i="5"/>
  <c r="I821" i="5"/>
  <c r="I807" i="5"/>
  <c r="I788" i="5"/>
  <c r="I772" i="5"/>
  <c r="I755" i="5"/>
  <c r="I736" i="5"/>
  <c r="I722" i="5"/>
  <c r="I703" i="5"/>
  <c r="I687" i="5"/>
  <c r="I671" i="5"/>
  <c r="I658" i="5"/>
  <c r="I642" i="5"/>
  <c r="I628" i="5"/>
  <c r="I615" i="5"/>
  <c r="I599" i="5"/>
  <c r="I586" i="5"/>
  <c r="I572" i="5"/>
  <c r="I556" i="5"/>
  <c r="I543" i="5"/>
  <c r="I530" i="5"/>
  <c r="I514" i="5"/>
  <c r="I500" i="5"/>
  <c r="I487" i="5"/>
  <c r="I471" i="5"/>
  <c r="I458" i="5"/>
  <c r="I444" i="5"/>
  <c r="I428" i="5"/>
  <c r="I415" i="5"/>
  <c r="I402" i="5"/>
  <c r="I386" i="5"/>
  <c r="I373" i="5"/>
  <c r="I362" i="5"/>
  <c r="I349" i="5"/>
  <c r="I338" i="5"/>
  <c r="I325" i="5"/>
  <c r="I314" i="5"/>
  <c r="I300" i="5"/>
  <c r="I288" i="5"/>
  <c r="I276" i="5"/>
  <c r="I264" i="5"/>
  <c r="I252" i="5"/>
  <c r="I240" i="5"/>
  <c r="I229" i="5"/>
  <c r="I219" i="5"/>
  <c r="I208" i="5"/>
  <c r="I197" i="5"/>
  <c r="I187" i="5"/>
  <c r="I176" i="5"/>
  <c r="I165" i="5"/>
  <c r="I155" i="5"/>
  <c r="I144" i="5"/>
  <c r="I133" i="5"/>
  <c r="I123" i="5"/>
  <c r="I112" i="5"/>
  <c r="I21180" i="5"/>
  <c r="I17594" i="5"/>
  <c r="I15551" i="5"/>
  <c r="I13960" i="5"/>
  <c r="I13084" i="5"/>
  <c r="I12486" i="5"/>
  <c r="I11887" i="5"/>
  <c r="I11335" i="5"/>
  <c r="I10958" i="5"/>
  <c r="I10652" i="5"/>
  <c r="I10382" i="5"/>
  <c r="I10186" i="5"/>
  <c r="I10031" i="5"/>
  <c r="I9946" i="5"/>
  <c r="I9880" i="5"/>
  <c r="I9810" i="5"/>
  <c r="I9743" i="5"/>
  <c r="I9674" i="5"/>
  <c r="I9608" i="5"/>
  <c r="I9546" i="5"/>
  <c r="I9492" i="5"/>
  <c r="I9440" i="5"/>
  <c r="I9383" i="5"/>
  <c r="I9329" i="5"/>
  <c r="I9274" i="5"/>
  <c r="I9218" i="5"/>
  <c r="I9164" i="5"/>
  <c r="I9112" i="5"/>
  <c r="I9056" i="5"/>
  <c r="I9001" i="5"/>
  <c r="I8946" i="5"/>
  <c r="I8890" i="5"/>
  <c r="I8839" i="5"/>
  <c r="I8784" i="5"/>
  <c r="I8728" i="5"/>
  <c r="I8673" i="5"/>
  <c r="I8620" i="5"/>
  <c r="I8562" i="5"/>
  <c r="I8511" i="5"/>
  <c r="I8456" i="5"/>
  <c r="I8400" i="5"/>
  <c r="I8345" i="5"/>
  <c r="I8292" i="5"/>
  <c r="I8236" i="5"/>
  <c r="I8183" i="5"/>
  <c r="I8128" i="5"/>
  <c r="I8072" i="5"/>
  <c r="I8018" i="5"/>
  <c r="I7964" i="5"/>
  <c r="I7908" i="5"/>
  <c r="I7855" i="5"/>
  <c r="I7801" i="5"/>
  <c r="I7744" i="5"/>
  <c r="I7690" i="5"/>
  <c r="I7636" i="5"/>
  <c r="I7580" i="5"/>
  <c r="I7527" i="5"/>
  <c r="I7473" i="5"/>
  <c r="I7417" i="5"/>
  <c r="I7362" i="5"/>
  <c r="I7308" i="5"/>
  <c r="I7252" i="5"/>
  <c r="I7200" i="5"/>
  <c r="I7145" i="5"/>
  <c r="I7097" i="5"/>
  <c r="I7056" i="5"/>
  <c r="I7015" i="5"/>
  <c r="I6975" i="5"/>
  <c r="I6932" i="5"/>
  <c r="I6894" i="5"/>
  <c r="I6858" i="5"/>
  <c r="I6824" i="5"/>
  <c r="I6791" i="5"/>
  <c r="I6756" i="5"/>
  <c r="I6722" i="5"/>
  <c r="I6688" i="5"/>
  <c r="I6654" i="5"/>
  <c r="I6620" i="5"/>
  <c r="I6585" i="5"/>
  <c r="I6552" i="5"/>
  <c r="I6518" i="5"/>
  <c r="I6482" i="5"/>
  <c r="I6449" i="5"/>
  <c r="I6415" i="5"/>
  <c r="I6382" i="5"/>
  <c r="I6346" i="5"/>
  <c r="I6312" i="5"/>
  <c r="I6279" i="5"/>
  <c r="I6244" i="5"/>
  <c r="I6210" i="5"/>
  <c r="I6176" i="5"/>
  <c r="I6142" i="5"/>
  <c r="I6108" i="5"/>
  <c r="I6073" i="5"/>
  <c r="I6040" i="5"/>
  <c r="I6006" i="5"/>
  <c r="I5970" i="5"/>
  <c r="I5937" i="5"/>
  <c r="I5903" i="5"/>
  <c r="I5870" i="5"/>
  <c r="I5834" i="5"/>
  <c r="I5800" i="5"/>
  <c r="I5767" i="5"/>
  <c r="I5732" i="5"/>
  <c r="I5698" i="5"/>
  <c r="I5664" i="5"/>
  <c r="I5630" i="5"/>
  <c r="I5596" i="5"/>
  <c r="I5561" i="5"/>
  <c r="I5528" i="5"/>
  <c r="I5494" i="5"/>
  <c r="I5458" i="5"/>
  <c r="I5425" i="5"/>
  <c r="I5391" i="5"/>
  <c r="I5358" i="5"/>
  <c r="I5322" i="5"/>
  <c r="I5288" i="5"/>
  <c r="I5255" i="5"/>
  <c r="I5220" i="5"/>
  <c r="I5186" i="5"/>
  <c r="I5152" i="5"/>
  <c r="I5118" i="5"/>
  <c r="I5084" i="5"/>
  <c r="I5049" i="5"/>
  <c r="I5016" i="5"/>
  <c r="I4982" i="5"/>
  <c r="I4946" i="5"/>
  <c r="I4913" i="5"/>
  <c r="I4879" i="5"/>
  <c r="I4846" i="5"/>
  <c r="I4810" i="5"/>
  <c r="I4776" i="5"/>
  <c r="I4743" i="5"/>
  <c r="I4708" i="5"/>
  <c r="I4674" i="5"/>
  <c r="I4640" i="5"/>
  <c r="I4606" i="5"/>
  <c r="I4572" i="5"/>
  <c r="I4537" i="5"/>
  <c r="I4504" i="5"/>
  <c r="I4470" i="5"/>
  <c r="I4434" i="5"/>
  <c r="I4401" i="5"/>
  <c r="I4367" i="5"/>
  <c r="I4334" i="5"/>
  <c r="I4298" i="5"/>
  <c r="I4264" i="5"/>
  <c r="I4231" i="5"/>
  <c r="I4196" i="5"/>
  <c r="I4162" i="5"/>
  <c r="I4128" i="5"/>
  <c r="I4094" i="5"/>
  <c r="I4060" i="5"/>
  <c r="I4025" i="5"/>
  <c r="I3992" i="5"/>
  <c r="I3958" i="5"/>
  <c r="I3922" i="5"/>
  <c r="I3889" i="5"/>
  <c r="I3855" i="5"/>
  <c r="I3822" i="5"/>
  <c r="I3786" i="5"/>
  <c r="I3752" i="5"/>
  <c r="I3719" i="5"/>
  <c r="I3684" i="5"/>
  <c r="I3650" i="5"/>
  <c r="I3616" i="5"/>
  <c r="I3582" i="5"/>
  <c r="I3548" i="5"/>
  <c r="I3513" i="5"/>
  <c r="I3480" i="5"/>
  <c r="I3446" i="5"/>
  <c r="I3410" i="5"/>
  <c r="I3377" i="5"/>
  <c r="I3343" i="5"/>
  <c r="I3310" i="5"/>
  <c r="I3274" i="5"/>
  <c r="I3240" i="5"/>
  <c r="I3207" i="5"/>
  <c r="I3172" i="5"/>
  <c r="I3138" i="5"/>
  <c r="I3104" i="5"/>
  <c r="I3070" i="5"/>
  <c r="I3036" i="5"/>
  <c r="I3001" i="5"/>
  <c r="I2968" i="5"/>
  <c r="I2934" i="5"/>
  <c r="I2898" i="5"/>
  <c r="I2865" i="5"/>
  <c r="I2831" i="5"/>
  <c r="I2798" i="5"/>
  <c r="I2762" i="5"/>
  <c r="I2728" i="5"/>
  <c r="I2695" i="5"/>
  <c r="I2660" i="5"/>
  <c r="I2626" i="5"/>
  <c r="I2592" i="5"/>
  <c r="I2558" i="5"/>
  <c r="I2524" i="5"/>
  <c r="I2489" i="5"/>
  <c r="I2456" i="5"/>
  <c r="I2422" i="5"/>
  <c r="I2386" i="5"/>
  <c r="I2353" i="5"/>
  <c r="I2319" i="5"/>
  <c r="I2286" i="5"/>
  <c r="I2250" i="5"/>
  <c r="I2216" i="5"/>
  <c r="I2183" i="5"/>
  <c r="I2148" i="5"/>
  <c r="I2114" i="5"/>
  <c r="I2080" i="5"/>
  <c r="I2046" i="5"/>
  <c r="I2012" i="5"/>
  <c r="I1977" i="5"/>
  <c r="I1944" i="5"/>
  <c r="I1910" i="5"/>
  <c r="I1874" i="5"/>
  <c r="I1841" i="5"/>
  <c r="I1807" i="5"/>
  <c r="I1774" i="5"/>
  <c r="I1738" i="5"/>
  <c r="I1704" i="5"/>
  <c r="I1671" i="5"/>
  <c r="I1645" i="5"/>
  <c r="I1620" i="5"/>
  <c r="I1594" i="5"/>
  <c r="I1568" i="5"/>
  <c r="I1543" i="5"/>
  <c r="I1517" i="5"/>
  <c r="I1492" i="5"/>
  <c r="I1466" i="5"/>
  <c r="I1440" i="5"/>
  <c r="I1415" i="5"/>
  <c r="I1389" i="5"/>
  <c r="I1364" i="5"/>
  <c r="I1338" i="5"/>
  <c r="I1312" i="5"/>
  <c r="I1287" i="5"/>
  <c r="I1261" i="5"/>
  <c r="I1237" i="5"/>
  <c r="I1216" i="5"/>
  <c r="I1195" i="5"/>
  <c r="I1173" i="5"/>
  <c r="I1152" i="5"/>
  <c r="I1131" i="5"/>
  <c r="I1109" i="5"/>
  <c r="I1088" i="5"/>
  <c r="I1067" i="5"/>
  <c r="I1045" i="5"/>
  <c r="I1024" i="5"/>
  <c r="I1010" i="5"/>
  <c r="I991" i="5"/>
  <c r="I975" i="5"/>
  <c r="I957" i="5"/>
  <c r="I939" i="5"/>
  <c r="I924" i="5"/>
  <c r="I906" i="5"/>
  <c r="I890" i="5"/>
  <c r="I872" i="5"/>
  <c r="I853" i="5"/>
  <c r="I839" i="5"/>
  <c r="I820" i="5"/>
  <c r="I804" i="5"/>
  <c r="I787" i="5"/>
  <c r="I768" i="5"/>
  <c r="I754" i="5"/>
  <c r="I735" i="5"/>
  <c r="I719" i="5"/>
  <c r="I701" i="5"/>
  <c r="I683" i="5"/>
  <c r="I669" i="5"/>
  <c r="I655" i="5"/>
  <c r="I640" i="5"/>
  <c r="I627" i="5"/>
  <c r="I612" i="5"/>
  <c r="I597" i="5"/>
  <c r="I584" i="5"/>
  <c r="I570" i="5"/>
  <c r="I555" i="5"/>
  <c r="I541" i="5"/>
  <c r="I527" i="5"/>
  <c r="I512" i="5"/>
  <c r="I499" i="5"/>
  <c r="I484" i="5"/>
  <c r="I469" i="5"/>
  <c r="I456" i="5"/>
  <c r="I442" i="5"/>
  <c r="I427" i="5"/>
  <c r="I413" i="5"/>
  <c r="I399" i="5"/>
  <c r="I384" i="5"/>
  <c r="I372" i="5"/>
  <c r="I360" i="5"/>
  <c r="I348" i="5"/>
  <c r="I336" i="5"/>
  <c r="I324" i="5"/>
  <c r="I311" i="5"/>
  <c r="I299" i="5"/>
  <c r="I287" i="5"/>
  <c r="I275" i="5"/>
  <c r="I263" i="5"/>
  <c r="I251" i="5"/>
  <c r="I239" i="5"/>
  <c r="I228" i="5"/>
  <c r="I218" i="5"/>
  <c r="I207" i="5"/>
  <c r="I196" i="5"/>
  <c r="I20297" i="5"/>
  <c r="I17415" i="5"/>
  <c r="I15297" i="5"/>
  <c r="I13799" i="5"/>
  <c r="I13015" i="5"/>
  <c r="I12399" i="5"/>
  <c r="I11804" i="5"/>
  <c r="I11292" i="5"/>
  <c r="I10908" i="5"/>
  <c r="I10605" i="5"/>
  <c r="I10364" i="5"/>
  <c r="I10161" i="5"/>
  <c r="I10008" i="5"/>
  <c r="I9938" i="5"/>
  <c r="I9871" i="5"/>
  <c r="I9802" i="5"/>
  <c r="I9736" i="5"/>
  <c r="I9665" i="5"/>
  <c r="I9599" i="5"/>
  <c r="I9543" i="5"/>
  <c r="I9484" i="5"/>
  <c r="I9432" i="5"/>
  <c r="I9377" i="5"/>
  <c r="I9321" i="5"/>
  <c r="I9266" i="5"/>
  <c r="I9215" i="5"/>
  <c r="I9159" i="5"/>
  <c r="I9104" i="5"/>
  <c r="I9049" i="5"/>
  <c r="I8993" i="5"/>
  <c r="I8940" i="5"/>
  <c r="I8887" i="5"/>
  <c r="I8831" i="5"/>
  <c r="I8776" i="5"/>
  <c r="I8722" i="5"/>
  <c r="I8665" i="5"/>
  <c r="I8612" i="5"/>
  <c r="I8559" i="5"/>
  <c r="I8503" i="5"/>
  <c r="I8448" i="5"/>
  <c r="I8394" i="5"/>
  <c r="I8338" i="5"/>
  <c r="I8284" i="5"/>
  <c r="I8231" i="5"/>
  <c r="I8175" i="5"/>
  <c r="I8121" i="5"/>
  <c r="I8066" i="5"/>
  <c r="I8010" i="5"/>
  <c r="I7956" i="5"/>
  <c r="I7904" i="5"/>
  <c r="I7847" i="5"/>
  <c r="I7793" i="5"/>
  <c r="I7738" i="5"/>
  <c r="I7682" i="5"/>
  <c r="I7628" i="5"/>
  <c r="I7576" i="5"/>
  <c r="I7520" i="5"/>
  <c r="I7465" i="5"/>
  <c r="I7410" i="5"/>
  <c r="I7354" i="5"/>
  <c r="I7303" i="5"/>
  <c r="I7248" i="5"/>
  <c r="I7192" i="5"/>
  <c r="I7137" i="5"/>
  <c r="I7090" i="5"/>
  <c r="I7050" i="5"/>
  <c r="I7009" i="5"/>
  <c r="I6969" i="5"/>
  <c r="I6928" i="5"/>
  <c r="I6888" i="5"/>
  <c r="I6855" i="5"/>
  <c r="I6820" i="5"/>
  <c r="I6786" i="5"/>
  <c r="I6752" i="5"/>
  <c r="I6718" i="5"/>
  <c r="I6684" i="5"/>
  <c r="I6649" i="5"/>
  <c r="I6616" i="5"/>
  <c r="I6582" i="5"/>
  <c r="I6546" i="5"/>
  <c r="I6513" i="5"/>
  <c r="I6479" i="5"/>
  <c r="I6446" i="5"/>
  <c r="I6410" i="5"/>
  <c r="I6376" i="5"/>
  <c r="I6343" i="5"/>
  <c r="I6308" i="5"/>
  <c r="I6274" i="5"/>
  <c r="I6240" i="5"/>
  <c r="I6206" i="5"/>
  <c r="I6172" i="5"/>
  <c r="I6137" i="5"/>
  <c r="I6104" i="5"/>
  <c r="I6070" i="5"/>
  <c r="I6034" i="5"/>
  <c r="I6001" i="5"/>
  <c r="I5967" i="5"/>
  <c r="I5934" i="5"/>
  <c r="I5898" i="5"/>
  <c r="I5864" i="5"/>
  <c r="I5831" i="5"/>
  <c r="I5796" i="5"/>
  <c r="I5762" i="5"/>
  <c r="I5728" i="5"/>
  <c r="I5694" i="5"/>
  <c r="I5660" i="5"/>
  <c r="I5625" i="5"/>
  <c r="I5592" i="5"/>
  <c r="I5558" i="5"/>
  <c r="I5522" i="5"/>
  <c r="I5489" i="5"/>
  <c r="I5455" i="5"/>
  <c r="I5422" i="5"/>
  <c r="I5386" i="5"/>
  <c r="I5352" i="5"/>
  <c r="I5319" i="5"/>
  <c r="I5284" i="5"/>
  <c r="I5250" i="5"/>
  <c r="I5216" i="5"/>
  <c r="I5182" i="5"/>
  <c r="I5148" i="5"/>
  <c r="I5113" i="5"/>
  <c r="I5080" i="5"/>
  <c r="I5046" i="5"/>
  <c r="I5010" i="5"/>
  <c r="I4977" i="5"/>
  <c r="I4943" i="5"/>
  <c r="I4910" i="5"/>
  <c r="I4874" i="5"/>
  <c r="I4840" i="5"/>
  <c r="I4807" i="5"/>
  <c r="I4772" i="5"/>
  <c r="I4738" i="5"/>
  <c r="I4704" i="5"/>
  <c r="I4670" i="5"/>
  <c r="I4636" i="5"/>
  <c r="I4601" i="5"/>
  <c r="I4568" i="5"/>
  <c r="I4534" i="5"/>
  <c r="I4498" i="5"/>
  <c r="I4465" i="5"/>
  <c r="I4431" i="5"/>
  <c r="I4398" i="5"/>
  <c r="I4362" i="5"/>
  <c r="I4328" i="5"/>
  <c r="I4295" i="5"/>
  <c r="I4260" i="5"/>
  <c r="I4226" i="5"/>
  <c r="I4192" i="5"/>
  <c r="I4158" i="5"/>
  <c r="I4124" i="5"/>
  <c r="I4089" i="5"/>
  <c r="I4056" i="5"/>
  <c r="I4022" i="5"/>
  <c r="I3986" i="5"/>
  <c r="I3953" i="5"/>
  <c r="I3919" i="5"/>
  <c r="I3886" i="5"/>
  <c r="I3850" i="5"/>
  <c r="I3816" i="5"/>
  <c r="I3783" i="5"/>
  <c r="I3748" i="5"/>
  <c r="I3714" i="5"/>
  <c r="I3680" i="5"/>
  <c r="I3646" i="5"/>
  <c r="I3612" i="5"/>
  <c r="I3577" i="5"/>
  <c r="I3544" i="5"/>
  <c r="I3510" i="5"/>
  <c r="I3474" i="5"/>
  <c r="I3441" i="5"/>
  <c r="I3407" i="5"/>
  <c r="I3374" i="5"/>
  <c r="I3338" i="5"/>
  <c r="I3304" i="5"/>
  <c r="I3271" i="5"/>
  <c r="I3236" i="5"/>
  <c r="I3202" i="5"/>
  <c r="I3168" i="5"/>
  <c r="I3134" i="5"/>
  <c r="I3100" i="5"/>
  <c r="I3065" i="5"/>
  <c r="I3032" i="5"/>
  <c r="I2998" i="5"/>
  <c r="I2962" i="5"/>
  <c r="I2929" i="5"/>
  <c r="I2895" i="5"/>
  <c r="I2862" i="5"/>
  <c r="I2826" i="5"/>
  <c r="I2792" i="5"/>
  <c r="I2759" i="5"/>
  <c r="I2724" i="5"/>
  <c r="I2690" i="5"/>
  <c r="I2656" i="5"/>
  <c r="I2622" i="5"/>
  <c r="I2588" i="5"/>
  <c r="I2553" i="5"/>
  <c r="I2520" i="5"/>
  <c r="I2486" i="5"/>
  <c r="I2450" i="5"/>
  <c r="I2417" i="5"/>
  <c r="I2383" i="5"/>
  <c r="I2350" i="5"/>
  <c r="I2314" i="5"/>
  <c r="I2280" i="5"/>
  <c r="I2247" i="5"/>
  <c r="I2212" i="5"/>
  <c r="I2178" i="5"/>
  <c r="I2144" i="5"/>
  <c r="I2110" i="5"/>
  <c r="I2076" i="5"/>
  <c r="I2041" i="5"/>
  <c r="I2008" i="5"/>
  <c r="I1974" i="5"/>
  <c r="I1938" i="5"/>
  <c r="I1905" i="5"/>
  <c r="I1871" i="5"/>
  <c r="I1838" i="5"/>
  <c r="I1802" i="5"/>
  <c r="I1768" i="5"/>
  <c r="I1735" i="5"/>
  <c r="I1700" i="5"/>
  <c r="I1668" i="5"/>
  <c r="I1642" i="5"/>
  <c r="I1616" i="5"/>
  <c r="I1591" i="5"/>
  <c r="I1565" i="5"/>
  <c r="I1540" i="5"/>
  <c r="I1514" i="5"/>
  <c r="I1488" i="5"/>
  <c r="I1463" i="5"/>
  <c r="I1437" i="5"/>
  <c r="I1412" i="5"/>
  <c r="I1386" i="5"/>
  <c r="I1360" i="5"/>
  <c r="I1335" i="5"/>
  <c r="I1309" i="5"/>
  <c r="I1284" i="5"/>
  <c r="I1258" i="5"/>
  <c r="I1235" i="5"/>
  <c r="I1213" i="5"/>
  <c r="I1192" i="5"/>
  <c r="I1171" i="5"/>
  <c r="I1149" i="5"/>
  <c r="I1128" i="5"/>
  <c r="I1107" i="5"/>
  <c r="I1085" i="5"/>
  <c r="I1064" i="5"/>
  <c r="I1043" i="5"/>
  <c r="I1023" i="5"/>
  <c r="I1007" i="5"/>
  <c r="I989" i="5"/>
  <c r="I971" i="5"/>
  <c r="I956" i="5"/>
  <c r="I938" i="5"/>
  <c r="I922" i="5"/>
  <c r="I904" i="5"/>
  <c r="I885" i="5"/>
  <c r="I871" i="5"/>
  <c r="I852" i="5"/>
  <c r="I836" i="5"/>
  <c r="I819" i="5"/>
  <c r="I800" i="5"/>
  <c r="I786" i="5"/>
  <c r="I767" i="5"/>
  <c r="I751" i="5"/>
  <c r="I733" i="5"/>
  <c r="I715" i="5"/>
  <c r="I700" i="5"/>
  <c r="I682" i="5"/>
  <c r="I668" i="5"/>
  <c r="I652" i="5"/>
  <c r="I639" i="5"/>
  <c r="I626" i="5"/>
  <c r="I610" i="5"/>
  <c r="I596" i="5"/>
  <c r="I583" i="5"/>
  <c r="I567" i="5"/>
  <c r="I554" i="5"/>
  <c r="I540" i="5"/>
  <c r="I524" i="5"/>
  <c r="I511" i="5"/>
  <c r="I498" i="5"/>
  <c r="I482" i="5"/>
  <c r="I468" i="5"/>
  <c r="I455" i="5"/>
  <c r="I439" i="5"/>
  <c r="I426" i="5"/>
  <c r="I412" i="5"/>
  <c r="I396" i="5"/>
  <c r="I383" i="5"/>
  <c r="I371" i="5"/>
  <c r="I359" i="5"/>
  <c r="I347" i="5"/>
  <c r="I335" i="5"/>
  <c r="I322" i="5"/>
  <c r="I309" i="5"/>
  <c r="I298" i="5"/>
  <c r="I285" i="5"/>
  <c r="I274" i="5"/>
  <c r="I261" i="5"/>
  <c r="I250" i="5"/>
  <c r="I237" i="5"/>
  <c r="I227" i="5"/>
  <c r="I216" i="5"/>
  <c r="I205" i="5"/>
  <c r="I195" i="5"/>
  <c r="I184" i="5"/>
  <c r="I173" i="5"/>
  <c r="I163" i="5"/>
  <c r="I152" i="5"/>
  <c r="I141" i="5"/>
  <c r="I131" i="5"/>
  <c r="I120" i="5"/>
  <c r="I19851" i="5"/>
  <c r="I17051" i="5"/>
  <c r="I15160" i="5"/>
  <c r="I13653" i="5"/>
  <c r="I12932" i="5"/>
  <c r="I12334" i="5"/>
  <c r="I11718" i="5"/>
  <c r="I11228" i="5"/>
  <c r="I10863" i="5"/>
  <c r="I10567" i="5"/>
  <c r="I10334" i="5"/>
  <c r="I10146" i="5"/>
  <c r="I9999" i="5"/>
  <c r="I9930" i="5"/>
  <c r="I9864" i="5"/>
  <c r="I9793" i="5"/>
  <c r="I9727" i="5"/>
  <c r="I9658" i="5"/>
  <c r="I9586" i="5"/>
  <c r="I9535" i="5"/>
  <c r="I9480" i="5"/>
  <c r="I9424" i="5"/>
  <c r="I9369" i="5"/>
  <c r="I9316" i="5"/>
  <c r="I9260" i="5"/>
  <c r="I9207" i="5"/>
  <c r="I9152" i="5"/>
  <c r="I9096" i="5"/>
  <c r="I9042" i="5"/>
  <c r="I8988" i="5"/>
  <c r="I8932" i="5"/>
  <c r="I8879" i="5"/>
  <c r="I8825" i="5"/>
  <c r="I8768" i="5"/>
  <c r="I8714" i="5"/>
  <c r="I8660" i="5"/>
  <c r="I8604" i="5"/>
  <c r="I8551" i="5"/>
  <c r="I8497" i="5"/>
  <c r="I8441" i="5"/>
  <c r="I8386" i="5"/>
  <c r="I8332" i="5"/>
  <c r="I8276" i="5"/>
  <c r="I8224" i="5"/>
  <c r="I8169" i="5"/>
  <c r="I8113" i="5"/>
  <c r="I8058" i="5"/>
  <c r="I8007" i="5"/>
  <c r="I7948" i="5"/>
  <c r="I7896" i="5"/>
  <c r="I7841" i="5"/>
  <c r="I7785" i="5"/>
  <c r="I7730" i="5"/>
  <c r="I7679" i="5"/>
  <c r="I7623" i="5"/>
  <c r="I7568" i="5"/>
  <c r="I7513" i="5"/>
  <c r="I7457" i="5"/>
  <c r="I7404" i="5"/>
  <c r="I7351" i="5"/>
  <c r="I7295" i="5"/>
  <c r="I7240" i="5"/>
  <c r="I7186" i="5"/>
  <c r="I7129" i="5"/>
  <c r="I7089" i="5"/>
  <c r="I7048" i="5"/>
  <c r="I7008" i="5"/>
  <c r="I6967" i="5"/>
  <c r="I6924" i="5"/>
  <c r="I6887" i="5"/>
  <c r="I6852" i="5"/>
  <c r="I6818" i="5"/>
  <c r="I6784" i="5"/>
  <c r="I6750" i="5"/>
  <c r="I6716" i="5"/>
  <c r="I6681" i="5"/>
  <c r="I6648" i="5"/>
  <c r="I6614" i="5"/>
  <c r="I6578" i="5"/>
  <c r="I6545" i="5"/>
  <c r="I6511" i="5"/>
  <c r="I6478" i="5"/>
  <c r="I6442" i="5"/>
  <c r="I6408" i="5"/>
  <c r="I6375" i="5"/>
  <c r="I6340" i="5"/>
  <c r="I6306" i="5"/>
  <c r="I6272" i="5"/>
  <c r="I6238" i="5"/>
  <c r="I6204" i="5"/>
  <c r="I6169" i="5"/>
  <c r="I6136" i="5"/>
  <c r="I6102" i="5"/>
  <c r="I6066" i="5"/>
  <c r="I6033" i="5"/>
  <c r="I5999" i="5"/>
  <c r="I5966" i="5"/>
  <c r="I5930" i="5"/>
  <c r="I5896" i="5"/>
  <c r="I5863" i="5"/>
  <c r="I5828" i="5"/>
  <c r="I5794" i="5"/>
  <c r="I5760" i="5"/>
  <c r="I5726" i="5"/>
  <c r="I5692" i="5"/>
  <c r="I5657" i="5"/>
  <c r="I5624" i="5"/>
  <c r="I5590" i="5"/>
  <c r="I5554" i="5"/>
  <c r="I5521" i="5"/>
  <c r="I5487" i="5"/>
  <c r="I5454" i="5"/>
  <c r="I5418" i="5"/>
  <c r="I5384" i="5"/>
  <c r="I5351" i="5"/>
  <c r="I5316" i="5"/>
  <c r="I5282" i="5"/>
  <c r="I5248" i="5"/>
  <c r="I5214" i="5"/>
  <c r="I5180" i="5"/>
  <c r="I5145" i="5"/>
  <c r="I5112" i="5"/>
  <c r="I5078" i="5"/>
  <c r="I5042" i="5"/>
  <c r="I5009" i="5"/>
  <c r="I4975" i="5"/>
  <c r="I4942" i="5"/>
  <c r="I4906" i="5"/>
  <c r="I4872" i="5"/>
  <c r="I4839" i="5"/>
  <c r="I4804" i="5"/>
  <c r="I4770" i="5"/>
  <c r="I4736" i="5"/>
  <c r="I4702" i="5"/>
  <c r="I4668" i="5"/>
  <c r="I4633" i="5"/>
  <c r="I4600" i="5"/>
  <c r="I4566" i="5"/>
  <c r="I4530" i="5"/>
  <c r="I4497" i="5"/>
  <c r="I4463" i="5"/>
  <c r="I4430" i="5"/>
  <c r="I4394" i="5"/>
  <c r="I4360" i="5"/>
  <c r="I4327" i="5"/>
  <c r="I4292" i="5"/>
  <c r="I4258" i="5"/>
  <c r="I4224" i="5"/>
  <c r="I4190" i="5"/>
  <c r="I4156" i="5"/>
  <c r="I4121" i="5"/>
  <c r="I4088" i="5"/>
  <c r="I4054" i="5"/>
  <c r="I4018" i="5"/>
  <c r="I3985" i="5"/>
  <c r="I3951" i="5"/>
  <c r="I3918" i="5"/>
  <c r="I3882" i="5"/>
  <c r="I3848" i="5"/>
  <c r="I3815" i="5"/>
  <c r="I3780" i="5"/>
  <c r="I3746" i="5"/>
  <c r="I3712" i="5"/>
  <c r="I3678" i="5"/>
  <c r="I3644" i="5"/>
  <c r="I3609" i="5"/>
  <c r="I3576" i="5"/>
  <c r="I3542" i="5"/>
  <c r="I3506" i="5"/>
  <c r="I3473" i="5"/>
  <c r="I3439" i="5"/>
  <c r="I3406" i="5"/>
  <c r="I3370" i="5"/>
  <c r="I3336" i="5"/>
  <c r="I3303" i="5"/>
  <c r="I3268" i="5"/>
  <c r="I3234" i="5"/>
  <c r="I3200" i="5"/>
  <c r="I3166" i="5"/>
  <c r="I3132" i="5"/>
  <c r="I3097" i="5"/>
  <c r="I3064" i="5"/>
  <c r="I3030" i="5"/>
  <c r="I2994" i="5"/>
  <c r="I2961" i="5"/>
  <c r="I2927" i="5"/>
  <c r="I2894" i="5"/>
  <c r="I2858" i="5"/>
  <c r="I2824" i="5"/>
  <c r="I2791" i="5"/>
  <c r="I2756" i="5"/>
  <c r="I2722" i="5"/>
  <c r="I2688" i="5"/>
  <c r="I2654" i="5"/>
  <c r="I2620" i="5"/>
  <c r="I2585" i="5"/>
  <c r="I2552" i="5"/>
  <c r="I2518" i="5"/>
  <c r="I2482" i="5"/>
  <c r="I2449" i="5"/>
  <c r="I2415" i="5"/>
  <c r="I2382" i="5"/>
  <c r="I2346" i="5"/>
  <c r="I2312" i="5"/>
  <c r="I2279" i="5"/>
  <c r="I2244" i="5"/>
  <c r="I2210" i="5"/>
  <c r="I2176" i="5"/>
  <c r="I2142" i="5"/>
  <c r="I2108" i="5"/>
  <c r="I2073" i="5"/>
  <c r="I2040" i="5"/>
  <c r="I2006" i="5"/>
  <c r="I1970" i="5"/>
  <c r="I1937" i="5"/>
  <c r="I1903" i="5"/>
  <c r="I1870" i="5"/>
  <c r="I1834" i="5"/>
  <c r="I1800" i="5"/>
  <c r="I1767" i="5"/>
  <c r="I1732" i="5"/>
  <c r="I1698" i="5"/>
  <c r="I1666" i="5"/>
  <c r="I1640" i="5"/>
  <c r="I1615" i="5"/>
  <c r="I1589" i="5"/>
  <c r="I1564" i="5"/>
  <c r="I1538" i="5"/>
  <c r="I1512" i="5"/>
  <c r="I1487" i="5"/>
  <c r="I1461" i="5"/>
  <c r="I1436" i="5"/>
  <c r="I1410" i="5"/>
  <c r="I1384" i="5"/>
  <c r="I1359" i="5"/>
  <c r="I1333" i="5"/>
  <c r="I1308" i="5"/>
  <c r="I1282" i="5"/>
  <c r="I1256" i="5"/>
  <c r="I1234" i="5"/>
  <c r="I1212" i="5"/>
  <c r="I1191" i="5"/>
  <c r="I1170" i="5"/>
  <c r="I1148" i="5"/>
  <c r="I1127" i="5"/>
  <c r="I1106" i="5"/>
  <c r="I1084" i="5"/>
  <c r="I1063" i="5"/>
  <c r="I1042" i="5"/>
  <c r="I1021" i="5"/>
  <c r="I1003" i="5"/>
  <c r="I988" i="5"/>
  <c r="I970" i="5"/>
  <c r="I954" i="5"/>
  <c r="I936" i="5"/>
  <c r="I917" i="5"/>
  <c r="I903" i="5"/>
  <c r="I884" i="5"/>
  <c r="I868" i="5"/>
  <c r="I851" i="5"/>
  <c r="I832" i="5"/>
  <c r="I818" i="5"/>
  <c r="I799" i="5"/>
  <c r="I783" i="5"/>
  <c r="I765" i="5"/>
  <c r="I747" i="5"/>
  <c r="I732" i="5"/>
  <c r="I714" i="5"/>
  <c r="I698" i="5"/>
  <c r="I680" i="5"/>
  <c r="I666" i="5"/>
  <c r="I651" i="5"/>
  <c r="I637" i="5"/>
  <c r="I623" i="5"/>
  <c r="I608" i="5"/>
  <c r="I595" i="5"/>
  <c r="I580" i="5"/>
  <c r="I565" i="5"/>
  <c r="I552" i="5"/>
  <c r="I538" i="5"/>
  <c r="I523" i="5"/>
  <c r="I509" i="5"/>
  <c r="I495" i="5"/>
  <c r="I480" i="5"/>
  <c r="I467" i="5"/>
  <c r="I452" i="5"/>
  <c r="I437" i="5"/>
  <c r="I424" i="5"/>
  <c r="I410" i="5"/>
  <c r="I395" i="5"/>
  <c r="I381" i="5"/>
  <c r="I370" i="5"/>
  <c r="I357" i="5"/>
  <c r="I346" i="5"/>
  <c r="I332" i="5"/>
  <c r="I320" i="5"/>
  <c r="I308" i="5"/>
  <c r="I296" i="5"/>
  <c r="I284" i="5"/>
  <c r="I272" i="5"/>
  <c r="I260" i="5"/>
  <c r="I247" i="5"/>
  <c r="I236" i="5"/>
  <c r="I226" i="5"/>
  <c r="I215" i="5"/>
  <c r="I204" i="5"/>
  <c r="I194" i="5"/>
  <c r="I183" i="5"/>
  <c r="I172" i="5"/>
  <c r="I162" i="5"/>
  <c r="I151" i="5"/>
  <c r="I140" i="5"/>
  <c r="I130" i="5"/>
  <c r="I119" i="5"/>
  <c r="I109" i="5"/>
  <c r="I19516" i="5"/>
  <c r="I16721" i="5"/>
  <c r="I14905" i="5"/>
  <c r="I13588" i="5"/>
  <c r="I12846" i="5"/>
  <c r="I12247" i="5"/>
  <c r="I11652" i="5"/>
  <c r="I11178" i="5"/>
  <c r="I10822" i="5"/>
  <c r="I10543" i="5"/>
  <c r="I10306" i="5"/>
  <c r="I10122" i="5"/>
  <c r="I9992" i="5"/>
  <c r="I9921" i="5"/>
  <c r="I9855" i="5"/>
  <c r="I9786" i="5"/>
  <c r="I9714" i="5"/>
  <c r="I9649" i="5"/>
  <c r="I9583" i="5"/>
  <c r="I9527" i="5"/>
  <c r="I9472" i="5"/>
  <c r="I9418" i="5"/>
  <c r="I9362" i="5"/>
  <c r="I9308" i="5"/>
  <c r="I9255" i="5"/>
  <c r="I9199" i="5"/>
  <c r="I9145" i="5"/>
  <c r="I9090" i="5"/>
  <c r="I9034" i="5"/>
  <c r="I8980" i="5"/>
  <c r="I8928" i="5"/>
  <c r="I8871" i="5"/>
  <c r="I8817" i="5"/>
  <c r="I8762" i="5"/>
  <c r="I8706" i="5"/>
  <c r="I8652" i="5"/>
  <c r="I8600" i="5"/>
  <c r="I8544" i="5"/>
  <c r="I8489" i="5"/>
  <c r="I8434" i="5"/>
  <c r="I8378" i="5"/>
  <c r="I8327" i="5"/>
  <c r="I8272" i="5"/>
  <c r="I8216" i="5"/>
  <c r="I8161" i="5"/>
  <c r="I8108" i="5"/>
  <c r="I8050" i="5"/>
  <c r="I7999" i="5"/>
  <c r="I7944" i="5"/>
  <c r="I7888" i="5"/>
  <c r="I7833" i="5"/>
  <c r="I7780" i="5"/>
  <c r="I7724" i="5"/>
  <c r="I7671" i="5"/>
  <c r="I7616" i="5"/>
  <c r="I7560" i="5"/>
  <c r="I7506" i="5"/>
  <c r="I7452" i="5"/>
  <c r="I7396" i="5"/>
  <c r="I7343" i="5"/>
  <c r="I7289" i="5"/>
  <c r="I7232" i="5"/>
  <c r="I7178" i="5"/>
  <c r="I7124" i="5"/>
  <c r="I7084" i="5"/>
  <c r="I7042" i="5"/>
  <c r="I7001" i="5"/>
  <c r="I6961" i="5"/>
  <c r="I6920" i="5"/>
  <c r="I6882" i="5"/>
  <c r="I6848" i="5"/>
  <c r="I6814" i="5"/>
  <c r="I6780" i="5"/>
  <c r="I6745" i="5"/>
  <c r="I6712" i="5"/>
  <c r="I6678" i="5"/>
  <c r="I6642" i="5"/>
  <c r="I6609" i="5"/>
  <c r="I6575" i="5"/>
  <c r="I6542" i="5"/>
  <c r="I6506" i="5"/>
  <c r="I6472" i="5"/>
  <c r="I6439" i="5"/>
  <c r="I6404" i="5"/>
  <c r="I6370" i="5"/>
  <c r="I6336" i="5"/>
  <c r="I6302" i="5"/>
  <c r="I6268" i="5"/>
  <c r="I6233" i="5"/>
  <c r="I6200" i="5"/>
  <c r="I6166" i="5"/>
  <c r="I6130" i="5"/>
  <c r="I6097" i="5"/>
  <c r="I6063" i="5"/>
  <c r="I6030" i="5"/>
  <c r="I5994" i="5"/>
  <c r="I5960" i="5"/>
  <c r="I5927" i="5"/>
  <c r="I5892" i="5"/>
  <c r="I5858" i="5"/>
  <c r="I5824" i="5"/>
  <c r="I5790" i="5"/>
  <c r="I5756" i="5"/>
  <c r="I5721" i="5"/>
  <c r="I5688" i="5"/>
  <c r="I5654" i="5"/>
  <c r="I5618" i="5"/>
  <c r="I5585" i="5"/>
  <c r="I5551" i="5"/>
  <c r="I5518" i="5"/>
  <c r="I5482" i="5"/>
  <c r="I5448" i="5"/>
  <c r="I5415" i="5"/>
  <c r="I5380" i="5"/>
  <c r="I5346" i="5"/>
  <c r="I5312" i="5"/>
  <c r="I5278" i="5"/>
  <c r="I5244" i="5"/>
  <c r="I5209" i="5"/>
  <c r="I5176" i="5"/>
  <c r="I5142" i="5"/>
  <c r="I5106" i="5"/>
  <c r="I5073" i="5"/>
  <c r="I5039" i="5"/>
  <c r="I5006" i="5"/>
  <c r="I4970" i="5"/>
  <c r="I4936" i="5"/>
  <c r="I4903" i="5"/>
  <c r="I4868" i="5"/>
  <c r="I4834" i="5"/>
  <c r="I4800" i="5"/>
  <c r="I4766" i="5"/>
  <c r="I4732" i="5"/>
  <c r="I4697" i="5"/>
  <c r="I4664" i="5"/>
  <c r="I4630" i="5"/>
  <c r="I4594" i="5"/>
  <c r="I4561" i="5"/>
  <c r="I4527" i="5"/>
  <c r="I4494" i="5"/>
  <c r="I4458" i="5"/>
  <c r="I4424" i="5"/>
  <c r="I4391" i="5"/>
  <c r="I4356" i="5"/>
  <c r="I4322" i="5"/>
  <c r="I4288" i="5"/>
  <c r="I4254" i="5"/>
  <c r="I4220" i="5"/>
  <c r="I4185" i="5"/>
  <c r="I4152" i="5"/>
  <c r="I4118" i="5"/>
  <c r="I4082" i="5"/>
  <c r="I4049" i="5"/>
  <c r="I4015" i="5"/>
  <c r="I3982" i="5"/>
  <c r="I3946" i="5"/>
  <c r="I3912" i="5"/>
  <c r="I3879" i="5"/>
  <c r="I3844" i="5"/>
  <c r="I3810" i="5"/>
  <c r="I3776" i="5"/>
  <c r="I3742" i="5"/>
  <c r="I3708" i="5"/>
  <c r="I3673" i="5"/>
  <c r="I3640" i="5"/>
  <c r="I3606" i="5"/>
  <c r="I3570" i="5"/>
  <c r="I3537" i="5"/>
  <c r="I3503" i="5"/>
  <c r="I3470" i="5"/>
  <c r="I3434" i="5"/>
  <c r="I3400" i="5"/>
  <c r="I3367" i="5"/>
  <c r="I3332" i="5"/>
  <c r="I3298" i="5"/>
  <c r="I3264" i="5"/>
  <c r="I3230" i="5"/>
  <c r="I3196" i="5"/>
  <c r="I3161" i="5"/>
  <c r="I3128" i="5"/>
  <c r="I3094" i="5"/>
  <c r="I3058" i="5"/>
  <c r="I3025" i="5"/>
  <c r="I2991" i="5"/>
  <c r="I2958" i="5"/>
  <c r="I2922" i="5"/>
  <c r="I2888" i="5"/>
  <c r="I2855" i="5"/>
  <c r="I2820" i="5"/>
  <c r="I2786" i="5"/>
  <c r="I2752" i="5"/>
  <c r="I2718" i="5"/>
  <c r="I2684" i="5"/>
  <c r="I2649" i="5"/>
  <c r="I2616" i="5"/>
  <c r="I2582" i="5"/>
  <c r="I2546" i="5"/>
  <c r="I2513" i="5"/>
  <c r="I2479" i="5"/>
  <c r="I2446" i="5"/>
  <c r="I2410" i="5"/>
  <c r="I2376" i="5"/>
  <c r="I2343" i="5"/>
  <c r="I2308" i="5"/>
  <c r="I2274" i="5"/>
  <c r="I2240" i="5"/>
  <c r="I2206" i="5"/>
  <c r="I2172" i="5"/>
  <c r="I2137" i="5"/>
  <c r="I2104" i="5"/>
  <c r="I2070" i="5"/>
  <c r="I2034" i="5"/>
  <c r="I2001" i="5"/>
  <c r="I1967" i="5"/>
  <c r="I1934" i="5"/>
  <c r="I1898" i="5"/>
  <c r="I1864" i="5"/>
  <c r="I1831" i="5"/>
  <c r="I1796" i="5"/>
  <c r="I1762" i="5"/>
  <c r="I1728" i="5"/>
  <c r="I1694" i="5"/>
  <c r="I1663" i="5"/>
  <c r="I1637" i="5"/>
  <c r="I1612" i="5"/>
  <c r="I1586" i="5"/>
  <c r="I1560" i="5"/>
  <c r="I1535" i="5"/>
  <c r="I1509" i="5"/>
  <c r="I1484" i="5"/>
  <c r="I1458" i="5"/>
  <c r="I1432" i="5"/>
  <c r="I1407" i="5"/>
  <c r="I1381" i="5"/>
  <c r="I1356" i="5"/>
  <c r="I1330" i="5"/>
  <c r="I1304" i="5"/>
  <c r="I1279" i="5"/>
  <c r="I1253" i="5"/>
  <c r="I1231" i="5"/>
  <c r="I1210" i="5"/>
  <c r="I1188" i="5"/>
  <c r="I1167" i="5"/>
  <c r="I1146" i="5"/>
  <c r="I1124" i="5"/>
  <c r="I1103" i="5"/>
  <c r="I1082" i="5"/>
  <c r="I1060" i="5"/>
  <c r="I1039" i="5"/>
  <c r="I1020" i="5"/>
  <c r="I1002" i="5"/>
  <c r="I986" i="5"/>
  <c r="I968" i="5"/>
  <c r="I949" i="5"/>
  <c r="I935" i="5"/>
  <c r="I916" i="5"/>
  <c r="I900" i="5"/>
  <c r="I883" i="5"/>
  <c r="I864" i="5"/>
  <c r="I850" i="5"/>
  <c r="I831" i="5"/>
  <c r="I815" i="5"/>
  <c r="I797" i="5"/>
  <c r="I779" i="5"/>
  <c r="I764" i="5"/>
  <c r="I746" i="5"/>
  <c r="I730" i="5"/>
  <c r="I712" i="5"/>
  <c r="I693" i="5"/>
  <c r="I679" i="5"/>
  <c r="I663" i="5"/>
  <c r="I650" i="5"/>
  <c r="I636" i="5"/>
  <c r="I620" i="5"/>
  <c r="I607" i="5"/>
  <c r="I594" i="5"/>
  <c r="I578" i="5"/>
  <c r="I564" i="5"/>
  <c r="I551" i="5"/>
  <c r="I535" i="5"/>
  <c r="I522" i="5"/>
  <c r="I508" i="5"/>
  <c r="I492" i="5"/>
  <c r="I479" i="5"/>
  <c r="I466" i="5"/>
  <c r="I450" i="5"/>
  <c r="I436" i="5"/>
  <c r="I423" i="5"/>
  <c r="I407" i="5"/>
  <c r="I394" i="5"/>
  <c r="I380" i="5"/>
  <c r="I368" i="5"/>
  <c r="I356" i="5"/>
  <c r="I343" i="5"/>
  <c r="I331" i="5"/>
  <c r="I319" i="5"/>
  <c r="I307" i="5"/>
  <c r="I295" i="5"/>
  <c r="I283" i="5"/>
  <c r="I271" i="5"/>
  <c r="I258" i="5"/>
  <c r="I245" i="5"/>
  <c r="I235" i="5"/>
  <c r="I224" i="5"/>
  <c r="I213" i="5"/>
  <c r="I203" i="5"/>
  <c r="I192" i="5"/>
  <c r="I181" i="5"/>
  <c r="I171" i="5"/>
  <c r="I160" i="5"/>
  <c r="I149" i="5"/>
  <c r="I139" i="5"/>
  <c r="I128" i="5"/>
  <c r="I117" i="5"/>
  <c r="I19052" i="5"/>
  <c r="I14307" i="5"/>
  <c r="I12119" i="5"/>
  <c r="I10782" i="5"/>
  <c r="I10232" i="5"/>
  <c r="I9905" i="5"/>
  <c r="I9711" i="5"/>
  <c r="I9561" i="5"/>
  <c r="I9402" i="5"/>
  <c r="I9248" i="5"/>
  <c r="I9124" i="5"/>
  <c r="I8968" i="5"/>
  <c r="I8809" i="5"/>
  <c r="I8687" i="5"/>
  <c r="I8530" i="5"/>
  <c r="I8375" i="5"/>
  <c r="I8250" i="5"/>
  <c r="I8092" i="5"/>
  <c r="I7936" i="5"/>
  <c r="I7815" i="5"/>
  <c r="I7657" i="5"/>
  <c r="I7498" i="5"/>
  <c r="I7376" i="5"/>
  <c r="I7218" i="5"/>
  <c r="I7076" i="5"/>
  <c r="I6986" i="5"/>
  <c r="I6872" i="5"/>
  <c r="I6774" i="5"/>
  <c r="I6698" i="5"/>
  <c r="I6599" i="5"/>
  <c r="I6500" i="5"/>
  <c r="I6425" i="5"/>
  <c r="I6326" i="5"/>
  <c r="I6226" i="5"/>
  <c r="I6152" i="5"/>
  <c r="I6052" i="5"/>
  <c r="I5954" i="5"/>
  <c r="I5880" i="5"/>
  <c r="I5778" i="5"/>
  <c r="I5681" i="5"/>
  <c r="I5607" i="5"/>
  <c r="I5506" i="5"/>
  <c r="I5408" i="5"/>
  <c r="I5334" i="5"/>
  <c r="I5233" i="5"/>
  <c r="I5135" i="5"/>
  <c r="I5060" i="5"/>
  <c r="I4960" i="5"/>
  <c r="I4862" i="5"/>
  <c r="I4786" i="5"/>
  <c r="I4687" i="5"/>
  <c r="I4590" i="5"/>
  <c r="I4514" i="5"/>
  <c r="I4414" i="5"/>
  <c r="I4316" i="5"/>
  <c r="I4241" i="5"/>
  <c r="I4142" i="5"/>
  <c r="I4042" i="5"/>
  <c r="I3968" i="5"/>
  <c r="I3868" i="5"/>
  <c r="I3769" i="5"/>
  <c r="I3695" i="5"/>
  <c r="I3594" i="5"/>
  <c r="I3496" i="5"/>
  <c r="I3422" i="5"/>
  <c r="I3321" i="5"/>
  <c r="I3224" i="5"/>
  <c r="I3150" i="5"/>
  <c r="I3048" i="5"/>
  <c r="I2951" i="5"/>
  <c r="I2876" i="5"/>
  <c r="I2776" i="5"/>
  <c r="I2678" i="5"/>
  <c r="I2602" i="5"/>
  <c r="I2503" i="5"/>
  <c r="I2404" i="5"/>
  <c r="I2329" i="5"/>
  <c r="I2230" i="5"/>
  <c r="I2130" i="5"/>
  <c r="I2056" i="5"/>
  <c r="I1956" i="5"/>
  <c r="I1858" i="5"/>
  <c r="I1784" i="5"/>
  <c r="I1682" i="5"/>
  <c r="I1607" i="5"/>
  <c r="I1551" i="5"/>
  <c r="I1476" i="5"/>
  <c r="I1402" i="5"/>
  <c r="I1346" i="5"/>
  <c r="I1271" i="5"/>
  <c r="I1205" i="5"/>
  <c r="I1159" i="5"/>
  <c r="I1096" i="5"/>
  <c r="I1035" i="5"/>
  <c r="I996" i="5"/>
  <c r="I947" i="5"/>
  <c r="I896" i="5"/>
  <c r="I860" i="5"/>
  <c r="I810" i="5"/>
  <c r="I762" i="5"/>
  <c r="I723" i="5"/>
  <c r="I674" i="5"/>
  <c r="I634" i="5"/>
  <c r="I602" i="5"/>
  <c r="I562" i="5"/>
  <c r="I520" i="5"/>
  <c r="I488" i="5"/>
  <c r="I447" i="5"/>
  <c r="I405" i="5"/>
  <c r="I375" i="5"/>
  <c r="I340" i="5"/>
  <c r="I306" i="5"/>
  <c r="I277" i="5"/>
  <c r="I243" i="5"/>
  <c r="I212" i="5"/>
  <c r="I188" i="5"/>
  <c r="I167" i="5"/>
  <c r="I146" i="5"/>
  <c r="I124" i="5"/>
  <c r="I18617" i="5"/>
  <c r="I13448" i="5"/>
  <c r="I12036" i="5"/>
  <c r="I10754" i="5"/>
  <c r="I10097" i="5"/>
  <c r="I9896" i="5"/>
  <c r="I9698" i="5"/>
  <c r="I9521" i="5"/>
  <c r="I9399" i="5"/>
  <c r="I9240" i="5"/>
  <c r="I9082" i="5"/>
  <c r="I8960" i="5"/>
  <c r="I8804" i="5"/>
  <c r="I8647" i="5"/>
  <c r="I8522" i="5"/>
  <c r="I8367" i="5"/>
  <c r="I8210" i="5"/>
  <c r="I8088" i="5"/>
  <c r="I7929" i="5"/>
  <c r="I7772" i="5"/>
  <c r="I7649" i="5"/>
  <c r="I7495" i="5"/>
  <c r="I7335" i="5"/>
  <c r="I7212" i="5"/>
  <c r="I7072" i="5"/>
  <c r="I6953" i="5"/>
  <c r="I6870" i="5"/>
  <c r="I6769" i="5"/>
  <c r="I6671" i="5"/>
  <c r="I6596" i="5"/>
  <c r="I6496" i="5"/>
  <c r="I6398" i="5"/>
  <c r="I6322" i="5"/>
  <c r="I6223" i="5"/>
  <c r="I6126" i="5"/>
  <c r="I6050" i="5"/>
  <c r="I5950" i="5"/>
  <c r="I5852" i="5"/>
  <c r="I5777" i="5"/>
  <c r="I5678" i="5"/>
  <c r="I5578" i="5"/>
  <c r="I5504" i="5"/>
  <c r="I5404" i="5"/>
  <c r="I5305" i="5"/>
  <c r="I5231" i="5"/>
  <c r="I5130" i="5"/>
  <c r="I5032" i="5"/>
  <c r="I4958" i="5"/>
  <c r="I4857" i="5"/>
  <c r="I4760" i="5"/>
  <c r="I4686" i="5"/>
  <c r="I4584" i="5"/>
  <c r="I4487" i="5"/>
  <c r="I4412" i="5"/>
  <c r="I4312" i="5"/>
  <c r="I4214" i="5"/>
  <c r="I4138" i="5"/>
  <c r="I4039" i="5"/>
  <c r="I3940" i="5"/>
  <c r="I3865" i="5"/>
  <c r="I3766" i="5"/>
  <c r="I3666" i="5"/>
  <c r="I3592" i="5"/>
  <c r="I3492" i="5"/>
  <c r="I3394" i="5"/>
  <c r="I3320" i="5"/>
  <c r="I3218" i="5"/>
  <c r="I3121" i="5"/>
  <c r="I3047" i="5"/>
  <c r="I2946" i="5"/>
  <c r="I2848" i="5"/>
  <c r="I2774" i="5"/>
  <c r="I2673" i="5"/>
  <c r="I2575" i="5"/>
  <c r="I2500" i="5"/>
  <c r="I2400" i="5"/>
  <c r="I2302" i="5"/>
  <c r="I2226" i="5"/>
  <c r="I2127" i="5"/>
  <c r="I2030" i="5"/>
  <c r="I1954" i="5"/>
  <c r="I1854" i="5"/>
  <c r="I1756" i="5"/>
  <c r="I1681" i="5"/>
  <c r="I1604" i="5"/>
  <c r="I1530" i="5"/>
  <c r="I1474" i="5"/>
  <c r="I1399" i="5"/>
  <c r="I1325" i="5"/>
  <c r="I1269" i="5"/>
  <c r="I1203" i="5"/>
  <c r="I1141" i="5"/>
  <c r="I1095" i="5"/>
  <c r="I1032" i="5"/>
  <c r="I981" i="5"/>
  <c r="I946" i="5"/>
  <c r="I895" i="5"/>
  <c r="I847" i="5"/>
  <c r="I808" i="5"/>
  <c r="I757" i="5"/>
  <c r="I711" i="5"/>
  <c r="I672" i="5"/>
  <c r="I631" i="5"/>
  <c r="I591" i="5"/>
  <c r="I559" i="5"/>
  <c r="I519" i="5"/>
  <c r="I477" i="5"/>
  <c r="I445" i="5"/>
  <c r="I404" i="5"/>
  <c r="I367" i="5"/>
  <c r="I339" i="5"/>
  <c r="I304" i="5"/>
  <c r="I268" i="5"/>
  <c r="I242" i="5"/>
  <c r="I211" i="5"/>
  <c r="I186" i="5"/>
  <c r="I164" i="5"/>
  <c r="I143" i="5"/>
  <c r="I122" i="5"/>
  <c r="I18319" i="5"/>
  <c r="I13325" i="5"/>
  <c r="I11583" i="5"/>
  <c r="I10708" i="5"/>
  <c r="I10081" i="5"/>
  <c r="I9842" i="5"/>
  <c r="I9690" i="5"/>
  <c r="I9513" i="5"/>
  <c r="I9356" i="5"/>
  <c r="I9234" i="5"/>
  <c r="I9074" i="5"/>
  <c r="I8920" i="5"/>
  <c r="I8796" i="5"/>
  <c r="I8640" i="5"/>
  <c r="I8481" i="5"/>
  <c r="I8359" i="5"/>
  <c r="I8202" i="5"/>
  <c r="I8047" i="5"/>
  <c r="I7922" i="5"/>
  <c r="I7764" i="5"/>
  <c r="I7609" i="5"/>
  <c r="I7487" i="5"/>
  <c r="I7329" i="5"/>
  <c r="I7170" i="5"/>
  <c r="I7068" i="5"/>
  <c r="I6948" i="5"/>
  <c r="I6841" i="5"/>
  <c r="I6767" i="5"/>
  <c r="I6666" i="5"/>
  <c r="I6568" i="5"/>
  <c r="I6494" i="5"/>
  <c r="I6393" i="5"/>
  <c r="I6296" i="5"/>
  <c r="I6222" i="5"/>
  <c r="I6120" i="5"/>
  <c r="I6023" i="5"/>
  <c r="I5948" i="5"/>
  <c r="I5848" i="5"/>
  <c r="I5750" i="5"/>
  <c r="I5674" i="5"/>
  <c r="I5575" i="5"/>
  <c r="I5476" i="5"/>
  <c r="I5401" i="5"/>
  <c r="I5302" i="5"/>
  <c r="I5202" i="5"/>
  <c r="I5128" i="5"/>
  <c r="I5028" i="5"/>
  <c r="I4930" i="5"/>
  <c r="I4856" i="5"/>
  <c r="I4754" i="5"/>
  <c r="I4657" i="5"/>
  <c r="I4583" i="5"/>
  <c r="I4482" i="5"/>
  <c r="I4384" i="5"/>
  <c r="I4310" i="5"/>
  <c r="I4209" i="5"/>
  <c r="I4111" i="5"/>
  <c r="I4036" i="5"/>
  <c r="I3936" i="5"/>
  <c r="I3838" i="5"/>
  <c r="I3762" i="5"/>
  <c r="I3663" i="5"/>
  <c r="I3566" i="5"/>
  <c r="I3490" i="5"/>
  <c r="I3390" i="5"/>
  <c r="I3292" i="5"/>
  <c r="I3217" i="5"/>
  <c r="I3118" i="5"/>
  <c r="I3018" i="5"/>
  <c r="I2944" i="5"/>
  <c r="I2844" i="5"/>
  <c r="I2745" i="5"/>
  <c r="I2671" i="5"/>
  <c r="I2570" i="5"/>
  <c r="I2472" i="5"/>
  <c r="I2398" i="5"/>
  <c r="I2297" i="5"/>
  <c r="I2200" i="5"/>
  <c r="I2126" i="5"/>
  <c r="I2024" i="5"/>
  <c r="I1927" i="5"/>
  <c r="I1852" i="5"/>
  <c r="I1752" i="5"/>
  <c r="I1658" i="5"/>
  <c r="I1602" i="5"/>
  <c r="I1527" i="5"/>
  <c r="I1453" i="5"/>
  <c r="I1397" i="5"/>
  <c r="I1322" i="5"/>
  <c r="I1248" i="5"/>
  <c r="I1202" i="5"/>
  <c r="I1139" i="5"/>
  <c r="I1077" i="5"/>
  <c r="I1031" i="5"/>
  <c r="I980" i="5"/>
  <c r="I932" i="5"/>
  <c r="I893" i="5"/>
  <c r="I843" i="5"/>
  <c r="I796" i="5"/>
  <c r="I756" i="5"/>
  <c r="I708" i="5"/>
  <c r="I661" i="5"/>
  <c r="I629" i="5"/>
  <c r="I588" i="5"/>
  <c r="I548" i="5"/>
  <c r="I516" i="5"/>
  <c r="I476" i="5"/>
  <c r="I435" i="5"/>
  <c r="I403" i="5"/>
  <c r="I364" i="5"/>
  <c r="I330" i="5"/>
  <c r="I303" i="5"/>
  <c r="I267" i="5"/>
  <c r="I234" i="5"/>
  <c r="I210" i="5"/>
  <c r="I180" i="5"/>
  <c r="I159" i="5"/>
  <c r="I138" i="5"/>
  <c r="I116" i="5"/>
  <c r="I16540" i="5"/>
  <c r="I13254" i="5"/>
  <c r="I11508" i="5"/>
  <c r="I10510" i="5"/>
  <c r="I10058" i="5"/>
  <c r="I9839" i="5"/>
  <c r="I9640" i="5"/>
  <c r="I9505" i="5"/>
  <c r="I9351" i="5"/>
  <c r="I9193" i="5"/>
  <c r="I9071" i="5"/>
  <c r="I8912" i="5"/>
  <c r="I8754" i="5"/>
  <c r="I8633" i="5"/>
  <c r="I8476" i="5"/>
  <c r="I8319" i="5"/>
  <c r="I8194" i="5"/>
  <c r="I8039" i="5"/>
  <c r="I7882" i="5"/>
  <c r="I7760" i="5"/>
  <c r="I7601" i="5"/>
  <c r="I7444" i="5"/>
  <c r="I7321" i="5"/>
  <c r="I7167" i="5"/>
  <c r="I7034" i="5"/>
  <c r="I6945" i="5"/>
  <c r="I6838" i="5"/>
  <c r="I6738" i="5"/>
  <c r="I6664" i="5"/>
  <c r="I6564" i="5"/>
  <c r="I6466" i="5"/>
  <c r="I6392" i="5"/>
  <c r="I6290" i="5"/>
  <c r="I6193" i="5"/>
  <c r="I6119" i="5"/>
  <c r="I6018" i="5"/>
  <c r="I5920" i="5"/>
  <c r="I5846" i="5"/>
  <c r="I5745" i="5"/>
  <c r="I5647" i="5"/>
  <c r="I5572" i="5"/>
  <c r="I5472" i="5"/>
  <c r="I5374" i="5"/>
  <c r="I5298" i="5"/>
  <c r="I5199" i="5"/>
  <c r="I5102" i="5"/>
  <c r="I5026" i="5"/>
  <c r="I4926" i="5"/>
  <c r="I4828" i="5"/>
  <c r="I4753" i="5"/>
  <c r="I4654" i="5"/>
  <c r="I4554" i="5"/>
  <c r="I4480" i="5"/>
  <c r="I4380" i="5"/>
  <c r="I4281" i="5"/>
  <c r="I4207" i="5"/>
  <c r="I4106" i="5"/>
  <c r="I4008" i="5"/>
  <c r="I3934" i="5"/>
  <c r="I3833" i="5"/>
  <c r="I3736" i="5"/>
  <c r="I3662" i="5"/>
  <c r="I3560" i="5"/>
  <c r="I3463" i="5"/>
  <c r="I3388" i="5"/>
  <c r="I3288" i="5"/>
  <c r="I3190" i="5"/>
  <c r="I3114" i="5"/>
  <c r="I3015" i="5"/>
  <c r="I2916" i="5"/>
  <c r="I2841" i="5"/>
  <c r="I2742" i="5"/>
  <c r="I2642" i="5"/>
  <c r="I2568" i="5"/>
  <c r="I2468" i="5"/>
  <c r="I2370" i="5"/>
  <c r="I2296" i="5"/>
  <c r="I2194" i="5"/>
  <c r="I2097" i="5"/>
  <c r="I2023" i="5"/>
  <c r="I1922" i="5"/>
  <c r="I1824" i="5"/>
  <c r="I1750" i="5"/>
  <c r="I1655" i="5"/>
  <c r="I1581" i="5"/>
  <c r="I1525" i="5"/>
  <c r="I1450" i="5"/>
  <c r="I1376" i="5"/>
  <c r="I1320" i="5"/>
  <c r="I1245" i="5"/>
  <c r="I1184" i="5"/>
  <c r="I1138" i="5"/>
  <c r="I1075" i="5"/>
  <c r="I1018" i="5"/>
  <c r="I979" i="5"/>
  <c r="I928" i="5"/>
  <c r="I882" i="5"/>
  <c r="I842" i="5"/>
  <c r="I794" i="5"/>
  <c r="I744" i="5"/>
  <c r="I704" i="5"/>
  <c r="I660" i="5"/>
  <c r="I619" i="5"/>
  <c r="I587" i="5"/>
  <c r="I546" i="5"/>
  <c r="I506" i="5"/>
  <c r="I474" i="5"/>
  <c r="I434" i="5"/>
  <c r="I392" i="5"/>
  <c r="I363" i="5"/>
  <c r="I328" i="5"/>
  <c r="I293" i="5"/>
  <c r="I266" i="5"/>
  <c r="I232" i="5"/>
  <c r="I202" i="5"/>
  <c r="I179" i="5"/>
  <c r="I157" i="5"/>
  <c r="I136" i="5"/>
  <c r="I115" i="5"/>
  <c r="I16276" i="5"/>
  <c r="I12804" i="5"/>
  <c r="I11479" i="5"/>
  <c r="I10471" i="5"/>
  <c r="I9983" i="5"/>
  <c r="I9826" i="5"/>
  <c r="I9633" i="5"/>
  <c r="I9465" i="5"/>
  <c r="I9343" i="5"/>
  <c r="I9185" i="5"/>
  <c r="I9031" i="5"/>
  <c r="I8906" i="5"/>
  <c r="I8748" i="5"/>
  <c r="I8592" i="5"/>
  <c r="I8468" i="5"/>
  <c r="I8313" i="5"/>
  <c r="I8153" i="5"/>
  <c r="I8032" i="5"/>
  <c r="I7874" i="5"/>
  <c r="I7719" i="5"/>
  <c r="I7596" i="5"/>
  <c r="I7436" i="5"/>
  <c r="I7281" i="5"/>
  <c r="I7159" i="5"/>
  <c r="I7031" i="5"/>
  <c r="I6912" i="5"/>
  <c r="I6834" i="5"/>
  <c r="I6735" i="5"/>
  <c r="I6638" i="5"/>
  <c r="I6562" i="5"/>
  <c r="I6462" i="5"/>
  <c r="I6364" i="5"/>
  <c r="I6289" i="5"/>
  <c r="I6190" i="5"/>
  <c r="I6090" i="5"/>
  <c r="I6016" i="5"/>
  <c r="I5916" i="5"/>
  <c r="I5817" i="5"/>
  <c r="I5743" i="5"/>
  <c r="I5642" i="5"/>
  <c r="I5544" i="5"/>
  <c r="I5470" i="5"/>
  <c r="I5369" i="5"/>
  <c r="I5272" i="5"/>
  <c r="I5198" i="5"/>
  <c r="I5096" i="5"/>
  <c r="I4999" i="5"/>
  <c r="I4924" i="5"/>
  <c r="I4824" i="5"/>
  <c r="I4726" i="5"/>
  <c r="I4650" i="5"/>
  <c r="I4551" i="5"/>
  <c r="I4452" i="5"/>
  <c r="I4377" i="5"/>
  <c r="I4278" i="5"/>
  <c r="I4178" i="5"/>
  <c r="I4104" i="5"/>
  <c r="I4004" i="5"/>
  <c r="I3906" i="5"/>
  <c r="I3832" i="5"/>
  <c r="I3730" i="5"/>
  <c r="I3633" i="5"/>
  <c r="I3559" i="5"/>
  <c r="I3458" i="5"/>
  <c r="I3360" i="5"/>
  <c r="I3286" i="5"/>
  <c r="I3185" i="5"/>
  <c r="I3087" i="5"/>
  <c r="I3012" i="5"/>
  <c r="I2912" i="5"/>
  <c r="I2814" i="5"/>
  <c r="I2738" i="5"/>
  <c r="I2639" i="5"/>
  <c r="I2542" i="5"/>
  <c r="I2466" i="5"/>
  <c r="I2366" i="5"/>
  <c r="I2268" i="5"/>
  <c r="I2193" i="5"/>
  <c r="I2094" i="5"/>
  <c r="I1994" i="5"/>
  <c r="I1920" i="5"/>
  <c r="I1820" i="5"/>
  <c r="I1721" i="5"/>
  <c r="I1653" i="5"/>
  <c r="I1578" i="5"/>
  <c r="I1504" i="5"/>
  <c r="I1448" i="5"/>
  <c r="I1373" i="5"/>
  <c r="I1300" i="5"/>
  <c r="I1244" i="5"/>
  <c r="I1181" i="5"/>
  <c r="I1120" i="5"/>
  <c r="I1074" i="5"/>
  <c r="I1013" i="5"/>
  <c r="I967" i="5"/>
  <c r="I927" i="5"/>
  <c r="I879" i="5"/>
  <c r="I829" i="5"/>
  <c r="I789" i="5"/>
  <c r="I743" i="5"/>
  <c r="I692" i="5"/>
  <c r="I659" i="5"/>
  <c r="I618" i="5"/>
  <c r="I576" i="5"/>
  <c r="I544" i="5"/>
  <c r="I503" i="5"/>
  <c r="I463" i="5"/>
  <c r="I431" i="5"/>
  <c r="I391" i="5"/>
  <c r="I354" i="5"/>
  <c r="I327" i="5"/>
  <c r="I292" i="5"/>
  <c r="I256" i="5"/>
  <c r="I231" i="5"/>
  <c r="I200" i="5"/>
  <c r="I178" i="5"/>
  <c r="I156" i="5"/>
  <c r="I135" i="5"/>
  <c r="I114" i="5"/>
  <c r="I16011" i="5"/>
  <c r="I12718" i="5"/>
  <c r="I11135" i="5"/>
  <c r="I10448" i="5"/>
  <c r="I9970" i="5"/>
  <c r="I9777" i="5"/>
  <c r="I9624" i="5"/>
  <c r="I9458" i="5"/>
  <c r="I9300" i="5"/>
  <c r="I9177" i="5"/>
  <c r="I9023" i="5"/>
  <c r="I8865" i="5"/>
  <c r="I8743" i="5"/>
  <c r="I8584" i="5"/>
  <c r="I8428" i="5"/>
  <c r="I8305" i="5"/>
  <c r="I8148" i="5"/>
  <c r="I7991" i="5"/>
  <c r="I7866" i="5"/>
  <c r="I7712" i="5"/>
  <c r="I7554" i="5"/>
  <c r="I7432" i="5"/>
  <c r="I7273" i="5"/>
  <c r="I7116" i="5"/>
  <c r="I7026" i="5"/>
  <c r="I6906" i="5"/>
  <c r="I6808" i="5"/>
  <c r="I6734" i="5"/>
  <c r="I6632" i="5"/>
  <c r="I6535" i="5"/>
  <c r="I6460" i="5"/>
  <c r="I6360" i="5"/>
  <c r="I6262" i="5"/>
  <c r="I6186" i="5"/>
  <c r="I6087" i="5"/>
  <c r="I5988" i="5"/>
  <c r="I5913" i="5"/>
  <c r="I5814" i="5"/>
  <c r="I5714" i="5"/>
  <c r="I5640" i="5"/>
  <c r="I5540" i="5"/>
  <c r="I5442" i="5"/>
  <c r="I5368" i="5"/>
  <c r="I5266" i="5"/>
  <c r="I5169" i="5"/>
  <c r="I5095" i="5"/>
  <c r="I4994" i="5"/>
  <c r="I4896" i="5"/>
  <c r="I4822" i="5"/>
  <c r="I4721" i="5"/>
  <c r="I4623" i="5"/>
  <c r="I4548" i="5"/>
  <c r="I4448" i="5"/>
  <c r="I4350" i="5"/>
  <c r="I4274" i="5"/>
  <c r="I4175" i="5"/>
  <c r="I4078" i="5"/>
  <c r="I4002" i="5"/>
  <c r="I3902" i="5"/>
  <c r="I3804" i="5"/>
  <c r="I3729" i="5"/>
  <c r="I3630" i="5"/>
  <c r="I3530" i="5"/>
  <c r="I3456" i="5"/>
  <c r="I3356" i="5"/>
  <c r="I3257" i="5"/>
  <c r="I3183" i="5"/>
  <c r="I3082" i="5"/>
  <c r="I2984" i="5"/>
  <c r="I2910" i="5"/>
  <c r="I2809" i="5"/>
  <c r="I2712" i="5"/>
  <c r="I2638" i="5"/>
  <c r="I2536" i="5"/>
  <c r="I2439" i="5"/>
  <c r="I2364" i="5"/>
  <c r="I2264" i="5"/>
  <c r="I2166" i="5"/>
  <c r="I2090" i="5"/>
  <c r="I1991" i="5"/>
  <c r="I1892" i="5"/>
  <c r="I1817" i="5"/>
  <c r="I1718" i="5"/>
  <c r="I1632" i="5"/>
  <c r="I1576" i="5"/>
  <c r="I1501" i="5"/>
  <c r="I1428" i="5"/>
  <c r="I1372" i="5"/>
  <c r="I1296" i="5"/>
  <c r="I1227" i="5"/>
  <c r="I1180" i="5"/>
  <c r="I1117" i="5"/>
  <c r="I1056" i="5"/>
  <c r="I1012" i="5"/>
  <c r="I964" i="5"/>
  <c r="I915" i="5"/>
  <c r="I875" i="5"/>
  <c r="I828" i="5"/>
  <c r="I778" i="5"/>
  <c r="I740" i="5"/>
  <c r="I691" i="5"/>
  <c r="I648" i="5"/>
  <c r="I616" i="5"/>
  <c r="I575" i="5"/>
  <c r="I533" i="5"/>
  <c r="I501" i="5"/>
  <c r="I460" i="5"/>
  <c r="I420" i="5"/>
  <c r="I388" i="5"/>
  <c r="I352" i="5"/>
  <c r="I317" i="5"/>
  <c r="I290" i="5"/>
  <c r="I255" i="5"/>
  <c r="I223" i="5"/>
  <c r="I199" i="5"/>
  <c r="I175" i="5"/>
  <c r="I154" i="5"/>
  <c r="I132" i="5"/>
  <c r="I111" i="5"/>
  <c r="I24359" i="5"/>
  <c r="I14646" i="5"/>
  <c r="I12631" i="5"/>
  <c r="I11086" i="5"/>
  <c r="I10282" i="5"/>
  <c r="I9967" i="5"/>
  <c r="I9768" i="5"/>
  <c r="I9575" i="5"/>
  <c r="I9452" i="5"/>
  <c r="I9296" i="5"/>
  <c r="I9137" i="5"/>
  <c r="I9015" i="5"/>
  <c r="I8857" i="5"/>
  <c r="I8703" i="5"/>
  <c r="I8578" i="5"/>
  <c r="I8420" i="5"/>
  <c r="I8264" i="5"/>
  <c r="I8140" i="5"/>
  <c r="I7985" i="5"/>
  <c r="I7826" i="5"/>
  <c r="I7704" i="5"/>
  <c r="I7546" i="5"/>
  <c r="I7392" i="5"/>
  <c r="I7268" i="5"/>
  <c r="I7112" i="5"/>
  <c r="I6994" i="5"/>
  <c r="I6905" i="5"/>
  <c r="I6802" i="5"/>
  <c r="I6705" i="5"/>
  <c r="I6631" i="5"/>
  <c r="I6530" i="5"/>
  <c r="I6432" i="5"/>
  <c r="I6358" i="5"/>
  <c r="I6257" i="5"/>
  <c r="I6159" i="5"/>
  <c r="I6084" i="5"/>
  <c r="I5984" i="5"/>
  <c r="I5886" i="5"/>
  <c r="I5810" i="5"/>
  <c r="I5711" i="5"/>
  <c r="I5614" i="5"/>
  <c r="I5538" i="5"/>
  <c r="I5438" i="5"/>
  <c r="I5340" i="5"/>
  <c r="I5265" i="5"/>
  <c r="I5166" i="5"/>
  <c r="I5066" i="5"/>
  <c r="I4992" i="5"/>
  <c r="I4892" i="5"/>
  <c r="I4793" i="5"/>
  <c r="I4719" i="5"/>
  <c r="I4618" i="5"/>
  <c r="I4520" i="5"/>
  <c r="I4446" i="5"/>
  <c r="I4345" i="5"/>
  <c r="I4248" i="5"/>
  <c r="I4174" i="5"/>
  <c r="I4072" i="5"/>
  <c r="I3975" i="5"/>
  <c r="I3900" i="5"/>
  <c r="I3800" i="5"/>
  <c r="I3702" i="5"/>
  <c r="I3626" i="5"/>
  <c r="I3527" i="5"/>
  <c r="I3428" i="5"/>
  <c r="I3353" i="5"/>
  <c r="I3254" i="5"/>
  <c r="I3154" i="5"/>
  <c r="I3080" i="5"/>
  <c r="I2980" i="5"/>
  <c r="I2882" i="5"/>
  <c r="I2808" i="5"/>
  <c r="I2706" i="5"/>
  <c r="I2609" i="5"/>
  <c r="I2535" i="5"/>
  <c r="I2434" i="5"/>
  <c r="I2336" i="5"/>
  <c r="I2262" i="5"/>
  <c r="I2161" i="5"/>
  <c r="I2063" i="5"/>
  <c r="I1988" i="5"/>
  <c r="I1888" i="5"/>
  <c r="I1790" i="5"/>
  <c r="I1714" i="5"/>
  <c r="I1629" i="5"/>
  <c r="I1556" i="5"/>
  <c r="I1500" i="5"/>
  <c r="I1424" i="5"/>
  <c r="I1351" i="5"/>
  <c r="I1295" i="5"/>
  <c r="I1224" i="5"/>
  <c r="I1163" i="5"/>
  <c r="I1116" i="5"/>
  <c r="I1053" i="5"/>
  <c r="I1000" i="5"/>
  <c r="I960" i="5"/>
  <c r="I914" i="5"/>
  <c r="I863" i="5"/>
  <c r="I826" i="5"/>
  <c r="I776" i="5"/>
  <c r="I725" i="5"/>
  <c r="I690" i="5"/>
  <c r="I647" i="5"/>
  <c r="I605" i="5"/>
  <c r="I573" i="5"/>
  <c r="I532" i="5"/>
  <c r="I491" i="5"/>
  <c r="I459" i="5"/>
  <c r="I418" i="5"/>
  <c r="I379" i="5"/>
  <c r="I351" i="5"/>
  <c r="I316" i="5"/>
  <c r="I282" i="5"/>
  <c r="I253" i="5"/>
  <c r="I221" i="5"/>
  <c r="I191" i="5"/>
  <c r="I170" i="5"/>
  <c r="I148" i="5"/>
  <c r="I127" i="5"/>
  <c r="I12164" i="5"/>
  <c r="I9132" i="5"/>
  <c r="I7977" i="5"/>
  <c r="I6876" i="5"/>
  <c r="I6154" i="5"/>
  <c r="I5436" i="5"/>
  <c r="I4690" i="5"/>
  <c r="I3970" i="5"/>
  <c r="I3250" i="5"/>
  <c r="I2506" i="5"/>
  <c r="I1785" i="5"/>
  <c r="I1223" i="5"/>
  <c r="I811" i="5"/>
  <c r="I490" i="5"/>
  <c r="I220" i="5"/>
  <c r="I11036" i="5"/>
  <c r="I8972" i="5"/>
  <c r="I7820" i="5"/>
  <c r="I6801" i="5"/>
  <c r="I6056" i="5"/>
  <c r="I5336" i="5"/>
  <c r="I4616" i="5"/>
  <c r="I3872" i="5"/>
  <c r="I3151" i="5"/>
  <c r="I2432" i="5"/>
  <c r="I1688" i="5"/>
  <c r="I1160" i="5"/>
  <c r="I775" i="5"/>
  <c r="I448" i="5"/>
  <c r="I189" i="5"/>
  <c r="I10257" i="5"/>
  <c r="I8850" i="5"/>
  <c r="I7663" i="5"/>
  <c r="I6702" i="5"/>
  <c r="I5982" i="5"/>
  <c r="I5238" i="5"/>
  <c r="I4516" i="5"/>
  <c r="I3798" i="5"/>
  <c r="I3054" i="5"/>
  <c r="I2332" i="5"/>
  <c r="I1628" i="5"/>
  <c r="I1099" i="5"/>
  <c r="I724" i="5"/>
  <c r="I416" i="5"/>
  <c r="I168" i="5"/>
  <c r="I9914" i="5"/>
  <c r="I8695" i="5"/>
  <c r="I7538" i="5"/>
  <c r="I6602" i="5"/>
  <c r="I5881" i="5"/>
  <c r="I5162" i="5"/>
  <c r="I4418" i="5"/>
  <c r="I3697" i="5"/>
  <c r="I2978" i="5"/>
  <c r="I2233" i="5"/>
  <c r="I1552" i="5"/>
  <c r="I1052" i="5"/>
  <c r="I676" i="5"/>
  <c r="I378" i="5"/>
  <c r="I147" i="5"/>
  <c r="I9761" i="5"/>
  <c r="I8537" i="5"/>
  <c r="I7384" i="5"/>
  <c r="I6528" i="5"/>
  <c r="I5784" i="5"/>
  <c r="I5063" i="5"/>
  <c r="I4344" i="5"/>
  <c r="I3599" i="5"/>
  <c r="I2878" i="5"/>
  <c r="I2159" i="5"/>
  <c r="I1479" i="5"/>
  <c r="I999" i="5"/>
  <c r="I644" i="5"/>
  <c r="I341" i="5"/>
  <c r="I125" i="5"/>
  <c r="I9568" i="5"/>
  <c r="I8416" i="5"/>
  <c r="I7226" i="5"/>
  <c r="I6428" i="5"/>
  <c r="I5710" i="5"/>
  <c r="I4964" i="5"/>
  <c r="I4242" i="5"/>
  <c r="I3524" i="5"/>
  <c r="I2780" i="5"/>
  <c r="I2058" i="5"/>
  <c r="I1423" i="5"/>
  <c r="I948" i="5"/>
  <c r="I604" i="5"/>
  <c r="I315" i="5"/>
  <c r="I22813" i="5"/>
  <c r="I9410" i="5"/>
  <c r="I8256" i="5"/>
  <c r="I7111" i="5"/>
  <c r="I6329" i="5"/>
  <c r="I5608" i="5"/>
  <c r="I4889" i="5"/>
  <c r="I4145" i="5"/>
  <c r="I3424" i="5"/>
  <c r="I2705" i="5"/>
  <c r="I1960" i="5"/>
  <c r="I1348" i="5"/>
  <c r="I911" i="5"/>
  <c r="I563" i="5"/>
  <c r="I279" i="5"/>
  <c r="I8100" i="5"/>
  <c r="I1886" i="5"/>
  <c r="I6988" i="5"/>
  <c r="I1274" i="5"/>
  <c r="I6255" i="5"/>
  <c r="I861" i="5"/>
  <c r="I5511" i="5"/>
  <c r="I531" i="5"/>
  <c r="I4790" i="5"/>
  <c r="I244" i="5"/>
  <c r="I4071" i="5"/>
  <c r="I3326" i="5"/>
  <c r="I2606" i="5"/>
  <c r="I14498" i="5"/>
  <c r="I9288" i="5"/>
  <c r="H109" i="5" l="1" a="1"/>
  <c r="H41574" i="5" l="1"/>
  <c r="H41566" i="5"/>
  <c r="H41558" i="5"/>
  <c r="H41550" i="5"/>
  <c r="H41542" i="5"/>
  <c r="H41534" i="5"/>
  <c r="H41526" i="5"/>
  <c r="H41518" i="5"/>
  <c r="H41510" i="5"/>
  <c r="H41502" i="5"/>
  <c r="H41494" i="5"/>
  <c r="H41486" i="5"/>
  <c r="H41478" i="5"/>
  <c r="H41470" i="5"/>
  <c r="H41462" i="5"/>
  <c r="H41454" i="5"/>
  <c r="H41446" i="5"/>
  <c r="H41438" i="5"/>
  <c r="H41430" i="5"/>
  <c r="H41422" i="5"/>
  <c r="H41414" i="5"/>
  <c r="H41406" i="5"/>
  <c r="H41398" i="5"/>
  <c r="H41390" i="5"/>
  <c r="H41382" i="5"/>
  <c r="H41374" i="5"/>
  <c r="H41366" i="5"/>
  <c r="H41358" i="5"/>
  <c r="H41350" i="5"/>
  <c r="H41342" i="5"/>
  <c r="H41334" i="5"/>
  <c r="H41326" i="5"/>
  <c r="H41318" i="5"/>
  <c r="H41310" i="5"/>
  <c r="H41302" i="5"/>
  <c r="H41294" i="5"/>
  <c r="H41286" i="5"/>
  <c r="H41278" i="5"/>
  <c r="H41270" i="5"/>
  <c r="H41262" i="5"/>
  <c r="H41254" i="5"/>
  <c r="H41246" i="5"/>
  <c r="H41238" i="5"/>
  <c r="H41230" i="5"/>
  <c r="H41222" i="5"/>
  <c r="H41214" i="5"/>
  <c r="H41206" i="5"/>
  <c r="H41198" i="5"/>
  <c r="H41190" i="5"/>
  <c r="H41182" i="5"/>
  <c r="H41174" i="5"/>
  <c r="H41166" i="5"/>
  <c r="H41158" i="5"/>
  <c r="H41150" i="5"/>
  <c r="H41142" i="5"/>
  <c r="H41134" i="5"/>
  <c r="H41126" i="5"/>
  <c r="H41118" i="5"/>
  <c r="H41110" i="5"/>
  <c r="H41102" i="5"/>
  <c r="H41094" i="5"/>
  <c r="H41086" i="5"/>
  <c r="H41078" i="5"/>
  <c r="H41070" i="5"/>
  <c r="H41062" i="5"/>
  <c r="H41054" i="5"/>
  <c r="H41046" i="5"/>
  <c r="H41038" i="5"/>
  <c r="H41030" i="5"/>
  <c r="H41022" i="5"/>
  <c r="H41014" i="5"/>
  <c r="H41006" i="5"/>
  <c r="H40998" i="5"/>
  <c r="H40990" i="5"/>
  <c r="H40982" i="5"/>
  <c r="H40974" i="5"/>
  <c r="H40966" i="5"/>
  <c r="H40958" i="5"/>
  <c r="H40950" i="5"/>
  <c r="H40942" i="5"/>
  <c r="H40934" i="5"/>
  <c r="H40926" i="5"/>
  <c r="H40918" i="5"/>
  <c r="H40910" i="5"/>
  <c r="H40902" i="5"/>
  <c r="H40894" i="5"/>
  <c r="H40886" i="5"/>
  <c r="H40878" i="5"/>
  <c r="H40870" i="5"/>
  <c r="H40862" i="5"/>
  <c r="H40854" i="5"/>
  <c r="H40846" i="5"/>
  <c r="H40838" i="5"/>
  <c r="H40830" i="5"/>
  <c r="H40822" i="5"/>
  <c r="H40814" i="5"/>
  <c r="H40806" i="5"/>
  <c r="H40798" i="5"/>
  <c r="H40790" i="5"/>
  <c r="H40782" i="5"/>
  <c r="H40774" i="5"/>
  <c r="H40766" i="5"/>
  <c r="H40758" i="5"/>
  <c r="H40750" i="5"/>
  <c r="H40742" i="5"/>
  <c r="H40734" i="5"/>
  <c r="H40726" i="5"/>
  <c r="H40718" i="5"/>
  <c r="H40710" i="5"/>
  <c r="H40702" i="5"/>
  <c r="H40694" i="5"/>
  <c r="H40686" i="5"/>
  <c r="H40678" i="5"/>
  <c r="H40670" i="5"/>
  <c r="H40662" i="5"/>
  <c r="H40654" i="5"/>
  <c r="H40646" i="5"/>
  <c r="H40638" i="5"/>
  <c r="H40630" i="5"/>
  <c r="H40622" i="5"/>
  <c r="H40614" i="5"/>
  <c r="H40606" i="5"/>
  <c r="H40598" i="5"/>
  <c r="H40590" i="5"/>
  <c r="H40582" i="5"/>
  <c r="H40574" i="5"/>
  <c r="H40566" i="5"/>
  <c r="H40558" i="5"/>
  <c r="H40550" i="5"/>
  <c r="H40542" i="5"/>
  <c r="H40534" i="5"/>
  <c r="H40526" i="5"/>
  <c r="H40518" i="5"/>
  <c r="H40510" i="5"/>
  <c r="H40502" i="5"/>
  <c r="H40494" i="5"/>
  <c r="H40486" i="5"/>
  <c r="H40478" i="5"/>
  <c r="H40470" i="5"/>
  <c r="H40462" i="5"/>
  <c r="H40454" i="5"/>
  <c r="H40446" i="5"/>
  <c r="H40438" i="5"/>
  <c r="H40430" i="5"/>
  <c r="H40422" i="5"/>
  <c r="H40414" i="5"/>
  <c r="H40406" i="5"/>
  <c r="H40398" i="5"/>
  <c r="H40390" i="5"/>
  <c r="H40382" i="5"/>
  <c r="H40374" i="5"/>
  <c r="H40366" i="5"/>
  <c r="H40358" i="5"/>
  <c r="H40350" i="5"/>
  <c r="H40342" i="5"/>
  <c r="H40334" i="5"/>
  <c r="H40326" i="5"/>
  <c r="H40318" i="5"/>
  <c r="H40310" i="5"/>
  <c r="H40302" i="5"/>
  <c r="H40294" i="5"/>
  <c r="H40286" i="5"/>
  <c r="H40278" i="5"/>
  <c r="H40270" i="5"/>
  <c r="H40262" i="5"/>
  <c r="H40254" i="5"/>
  <c r="H40246" i="5"/>
  <c r="H40238" i="5"/>
  <c r="H40230" i="5"/>
  <c r="H40222" i="5"/>
  <c r="H40214" i="5"/>
  <c r="H40206" i="5"/>
  <c r="H40198" i="5"/>
  <c r="H40190" i="5"/>
  <c r="H40182" i="5"/>
  <c r="H40174" i="5"/>
  <c r="H40166" i="5"/>
  <c r="H40158" i="5"/>
  <c r="H40150" i="5"/>
  <c r="H40142" i="5"/>
  <c r="H40134" i="5"/>
  <c r="H40126" i="5"/>
  <c r="H40118" i="5"/>
  <c r="H40110" i="5"/>
  <c r="H40102" i="5"/>
  <c r="H40094" i="5"/>
  <c r="H40086" i="5"/>
  <c r="H40078" i="5"/>
  <c r="H40070" i="5"/>
  <c r="H40062" i="5"/>
  <c r="H40054" i="5"/>
  <c r="H40046" i="5"/>
  <c r="H40038" i="5"/>
  <c r="H40030" i="5"/>
  <c r="H40022" i="5"/>
  <c r="H40014" i="5"/>
  <c r="H40006" i="5"/>
  <c r="H39998" i="5"/>
  <c r="H39990" i="5"/>
  <c r="H39982" i="5"/>
  <c r="H39974" i="5"/>
  <c r="H39966" i="5"/>
  <c r="H39958" i="5"/>
  <c r="H39950" i="5"/>
  <c r="H39942" i="5"/>
  <c r="H39934" i="5"/>
  <c r="H39926" i="5"/>
  <c r="H39918" i="5"/>
  <c r="H39910" i="5"/>
  <c r="H39902" i="5"/>
  <c r="H39894" i="5"/>
  <c r="H39886" i="5"/>
  <c r="H39878" i="5"/>
  <c r="H39870" i="5"/>
  <c r="H39862" i="5"/>
  <c r="H39854" i="5"/>
  <c r="H39846" i="5"/>
  <c r="H39838" i="5"/>
  <c r="H39830" i="5"/>
  <c r="H39822" i="5"/>
  <c r="H39814" i="5"/>
  <c r="H39806" i="5"/>
  <c r="H39798" i="5"/>
  <c r="H39790" i="5"/>
  <c r="H39782" i="5"/>
  <c r="H39774" i="5"/>
  <c r="H39766" i="5"/>
  <c r="H39758" i="5"/>
  <c r="H39750" i="5"/>
  <c r="H39742" i="5"/>
  <c r="H39734" i="5"/>
  <c r="H39726" i="5"/>
  <c r="H39718" i="5"/>
  <c r="H39710" i="5"/>
  <c r="H39702" i="5"/>
  <c r="H39694" i="5"/>
  <c r="H39686" i="5"/>
  <c r="H39678" i="5"/>
  <c r="H39670" i="5"/>
  <c r="H39662" i="5"/>
  <c r="H39654" i="5"/>
  <c r="H39646" i="5"/>
  <c r="H39638" i="5"/>
  <c r="H39630" i="5"/>
  <c r="H39622" i="5"/>
  <c r="H39614" i="5"/>
  <c r="H39606" i="5"/>
  <c r="H39598" i="5"/>
  <c r="H39590" i="5"/>
  <c r="H39582" i="5"/>
  <c r="H41571" i="5"/>
  <c r="H41563" i="5"/>
  <c r="H41555" i="5"/>
  <c r="H41547" i="5"/>
  <c r="H41539" i="5"/>
  <c r="H41531" i="5"/>
  <c r="H41523" i="5"/>
  <c r="H41515" i="5"/>
  <c r="H41507" i="5"/>
  <c r="H41499" i="5"/>
  <c r="H41491" i="5"/>
  <c r="H41483" i="5"/>
  <c r="H41475" i="5"/>
  <c r="H41467" i="5"/>
  <c r="H41459" i="5"/>
  <c r="H41451" i="5"/>
  <c r="H41443" i="5"/>
  <c r="H41435" i="5"/>
  <c r="H41427" i="5"/>
  <c r="H41419" i="5"/>
  <c r="H41411" i="5"/>
  <c r="H41403" i="5"/>
  <c r="H41395" i="5"/>
  <c r="H41387" i="5"/>
  <c r="H41379" i="5"/>
  <c r="H41371" i="5"/>
  <c r="H41363" i="5"/>
  <c r="H41355" i="5"/>
  <c r="H41347" i="5"/>
  <c r="H41339" i="5"/>
  <c r="H41331" i="5"/>
  <c r="H41323" i="5"/>
  <c r="H41315" i="5"/>
  <c r="H41307" i="5"/>
  <c r="H41299" i="5"/>
  <c r="H41291" i="5"/>
  <c r="H41283" i="5"/>
  <c r="H41275" i="5"/>
  <c r="H41267" i="5"/>
  <c r="H41259" i="5"/>
  <c r="H41251" i="5"/>
  <c r="H41243" i="5"/>
  <c r="H41235" i="5"/>
  <c r="H41227" i="5"/>
  <c r="H41219" i="5"/>
  <c r="H41211" i="5"/>
  <c r="H41203" i="5"/>
  <c r="H41195" i="5"/>
  <c r="H41187" i="5"/>
  <c r="H41179" i="5"/>
  <c r="H41171" i="5"/>
  <c r="H41163" i="5"/>
  <c r="H41155" i="5"/>
  <c r="H41147" i="5"/>
  <c r="H41139" i="5"/>
  <c r="H41131" i="5"/>
  <c r="H41123" i="5"/>
  <c r="H41115" i="5"/>
  <c r="H41107" i="5"/>
  <c r="H41099" i="5"/>
  <c r="H41091" i="5"/>
  <c r="H41083" i="5"/>
  <c r="H41075" i="5"/>
  <c r="H41067" i="5"/>
  <c r="H41059" i="5"/>
  <c r="H41051" i="5"/>
  <c r="H41043" i="5"/>
  <c r="H41035" i="5"/>
  <c r="H41027" i="5"/>
  <c r="H41019" i="5"/>
  <c r="H41011" i="5"/>
  <c r="H41003" i="5"/>
  <c r="H40995" i="5"/>
  <c r="H40987" i="5"/>
  <c r="H40979" i="5"/>
  <c r="H40971" i="5"/>
  <c r="H40963" i="5"/>
  <c r="H40955" i="5"/>
  <c r="H40947" i="5"/>
  <c r="H40939" i="5"/>
  <c r="H40931" i="5"/>
  <c r="H40923" i="5"/>
  <c r="H40915" i="5"/>
  <c r="H40907" i="5"/>
  <c r="H40899" i="5"/>
  <c r="H40891" i="5"/>
  <c r="H40883" i="5"/>
  <c r="H40875" i="5"/>
  <c r="H40867" i="5"/>
  <c r="H40859" i="5"/>
  <c r="H40851" i="5"/>
  <c r="H40843" i="5"/>
  <c r="H40835" i="5"/>
  <c r="H40827" i="5"/>
  <c r="H40819" i="5"/>
  <c r="H40811" i="5"/>
  <c r="H40803" i="5"/>
  <c r="H40795" i="5"/>
  <c r="H40787" i="5"/>
  <c r="H40779" i="5"/>
  <c r="H40771" i="5"/>
  <c r="H40763" i="5"/>
  <c r="H40755" i="5"/>
  <c r="H40747" i="5"/>
  <c r="H40739" i="5"/>
  <c r="H40731" i="5"/>
  <c r="H40723" i="5"/>
  <c r="H40715" i="5"/>
  <c r="H40707" i="5"/>
  <c r="H40699" i="5"/>
  <c r="H40691" i="5"/>
  <c r="H40683" i="5"/>
  <c r="H40675" i="5"/>
  <c r="H40667" i="5"/>
  <c r="H40659" i="5"/>
  <c r="H40651" i="5"/>
  <c r="H40643" i="5"/>
  <c r="H40635" i="5"/>
  <c r="H40627" i="5"/>
  <c r="H40619" i="5"/>
  <c r="H40611" i="5"/>
  <c r="H40603" i="5"/>
  <c r="H40595" i="5"/>
  <c r="H40587" i="5"/>
  <c r="H40579" i="5"/>
  <c r="H40571" i="5"/>
  <c r="H40563" i="5"/>
  <c r="H40555" i="5"/>
  <c r="H40547" i="5"/>
  <c r="H40539" i="5"/>
  <c r="H40531" i="5"/>
  <c r="H40523" i="5"/>
  <c r="H40515" i="5"/>
  <c r="H40507" i="5"/>
  <c r="H40499" i="5"/>
  <c r="H40491" i="5"/>
  <c r="H40483" i="5"/>
  <c r="H40475" i="5"/>
  <c r="H40467" i="5"/>
  <c r="H40459" i="5"/>
  <c r="H40451" i="5"/>
  <c r="H40443" i="5"/>
  <c r="H40435" i="5"/>
  <c r="H40427" i="5"/>
  <c r="H40419" i="5"/>
  <c r="H40411" i="5"/>
  <c r="H40403" i="5"/>
  <c r="H40395" i="5"/>
  <c r="H40387" i="5"/>
  <c r="H40379" i="5"/>
  <c r="H40371" i="5"/>
  <c r="H40363" i="5"/>
  <c r="H40355" i="5"/>
  <c r="H40347" i="5"/>
  <c r="H40339" i="5"/>
  <c r="H40331" i="5"/>
  <c r="H40323" i="5"/>
  <c r="H40315" i="5"/>
  <c r="H40307" i="5"/>
  <c r="H40299" i="5"/>
  <c r="H40291" i="5"/>
  <c r="H40283" i="5"/>
  <c r="H40275" i="5"/>
  <c r="H40267" i="5"/>
  <c r="H40259" i="5"/>
  <c r="H40251" i="5"/>
  <c r="H40243" i="5"/>
  <c r="H40235" i="5"/>
  <c r="H40227" i="5"/>
  <c r="H40219" i="5"/>
  <c r="H40211" i="5"/>
  <c r="H40203" i="5"/>
  <c r="H40195" i="5"/>
  <c r="H40187" i="5"/>
  <c r="H40179" i="5"/>
  <c r="H40171" i="5"/>
  <c r="H40163" i="5"/>
  <c r="H40155" i="5"/>
  <c r="H40147" i="5"/>
  <c r="H40139" i="5"/>
  <c r="H40131" i="5"/>
  <c r="H40123" i="5"/>
  <c r="H40115" i="5"/>
  <c r="H40107" i="5"/>
  <c r="H40099" i="5"/>
  <c r="H40091" i="5"/>
  <c r="H40083" i="5"/>
  <c r="H40075" i="5"/>
  <c r="H40067" i="5"/>
  <c r="H40059" i="5"/>
  <c r="H40051" i="5"/>
  <c r="H40043" i="5"/>
  <c r="H40035" i="5"/>
  <c r="H40027" i="5"/>
  <c r="H40019" i="5"/>
  <c r="H40011" i="5"/>
  <c r="H40003" i="5"/>
  <c r="H39995" i="5"/>
  <c r="H39987" i="5"/>
  <c r="H39979" i="5"/>
  <c r="H39971" i="5"/>
  <c r="H39963" i="5"/>
  <c r="H39955" i="5"/>
  <c r="H39947" i="5"/>
  <c r="H39939" i="5"/>
  <c r="H39931" i="5"/>
  <c r="H39923" i="5"/>
  <c r="H39915" i="5"/>
  <c r="H39907" i="5"/>
  <c r="H39899" i="5"/>
  <c r="H39891" i="5"/>
  <c r="H39883" i="5"/>
  <c r="H39875" i="5"/>
  <c r="H39867" i="5"/>
  <c r="H39859" i="5"/>
  <c r="H39851" i="5"/>
  <c r="H39843" i="5"/>
  <c r="H39835" i="5"/>
  <c r="H39827" i="5"/>
  <c r="H39819" i="5"/>
  <c r="H39811" i="5"/>
  <c r="H39803" i="5"/>
  <c r="H39795" i="5"/>
  <c r="H39787" i="5"/>
  <c r="H39779" i="5"/>
  <c r="H39771" i="5"/>
  <c r="H39763" i="5"/>
  <c r="H39755" i="5"/>
  <c r="H39747" i="5"/>
  <c r="H39739" i="5"/>
  <c r="H39731" i="5"/>
  <c r="H39723" i="5"/>
  <c r="H39715" i="5"/>
  <c r="H39707" i="5"/>
  <c r="H39699" i="5"/>
  <c r="H39691" i="5"/>
  <c r="H39683" i="5"/>
  <c r="H39675" i="5"/>
  <c r="H39667" i="5"/>
  <c r="H39659" i="5"/>
  <c r="H39651" i="5"/>
  <c r="H39643" i="5"/>
  <c r="H39635" i="5"/>
  <c r="H39627" i="5"/>
  <c r="H39619" i="5"/>
  <c r="H39611" i="5"/>
  <c r="H39603" i="5"/>
  <c r="H39595" i="5"/>
  <c r="H39587" i="5"/>
  <c r="H39579" i="5"/>
  <c r="H39571" i="5"/>
  <c r="H39563" i="5"/>
  <c r="H39555" i="5"/>
  <c r="H39547" i="5"/>
  <c r="H39539" i="5"/>
  <c r="H39531" i="5"/>
  <c r="H39523" i="5"/>
  <c r="H39515" i="5"/>
  <c r="H39507" i="5"/>
  <c r="H39499" i="5"/>
  <c r="H39491" i="5"/>
  <c r="H39483" i="5"/>
  <c r="H39475" i="5"/>
  <c r="H39467" i="5"/>
  <c r="H39459" i="5"/>
  <c r="H39451" i="5"/>
  <c r="H39443" i="5"/>
  <c r="H39435" i="5"/>
  <c r="H39427" i="5"/>
  <c r="H39419" i="5"/>
  <c r="H39411" i="5"/>
  <c r="H39403" i="5"/>
  <c r="H39395" i="5"/>
  <c r="H39387" i="5"/>
  <c r="H39379" i="5"/>
  <c r="H39371" i="5"/>
  <c r="H39363" i="5"/>
  <c r="H39355" i="5"/>
  <c r="H39347" i="5"/>
  <c r="H39339" i="5"/>
  <c r="H39331" i="5"/>
  <c r="H41570" i="5"/>
  <c r="H41560" i="5"/>
  <c r="H41549" i="5"/>
  <c r="H41538" i="5"/>
  <c r="H41528" i="5"/>
  <c r="H41517" i="5"/>
  <c r="H41506" i="5"/>
  <c r="H41496" i="5"/>
  <c r="H41485" i="5"/>
  <c r="H41474" i="5"/>
  <c r="H41464" i="5"/>
  <c r="H41453" i="5"/>
  <c r="H41442" i="5"/>
  <c r="H41432" i="5"/>
  <c r="H41421" i="5"/>
  <c r="H41410" i="5"/>
  <c r="H41400" i="5"/>
  <c r="H41389" i="5"/>
  <c r="H41378" i="5"/>
  <c r="H41368" i="5"/>
  <c r="H41357" i="5"/>
  <c r="H41346" i="5"/>
  <c r="H41336" i="5"/>
  <c r="H41325" i="5"/>
  <c r="H41314" i="5"/>
  <c r="H41304" i="5"/>
  <c r="H41293" i="5"/>
  <c r="H41282" i="5"/>
  <c r="H41272" i="5"/>
  <c r="H41261" i="5"/>
  <c r="H41250" i="5"/>
  <c r="H41567" i="5"/>
  <c r="H41556" i="5"/>
  <c r="H41545" i="5"/>
  <c r="H41535" i="5"/>
  <c r="H41576" i="5"/>
  <c r="H41565" i="5"/>
  <c r="H41554" i="5"/>
  <c r="H41544" i="5"/>
  <c r="H41533" i="5"/>
  <c r="H41522" i="5"/>
  <c r="H41512" i="5"/>
  <c r="H41501" i="5"/>
  <c r="H41490" i="5"/>
  <c r="H41480" i="5"/>
  <c r="H41469" i="5"/>
  <c r="H41458" i="5"/>
  <c r="H41448" i="5"/>
  <c r="H41437" i="5"/>
  <c r="H41426" i="5"/>
  <c r="H41416" i="5"/>
  <c r="H41405" i="5"/>
  <c r="H41394" i="5"/>
  <c r="H41384" i="5"/>
  <c r="H41373" i="5"/>
  <c r="H41362" i="5"/>
  <c r="H41352" i="5"/>
  <c r="H41341" i="5"/>
  <c r="H41330" i="5"/>
  <c r="H41320" i="5"/>
  <c r="H41309" i="5"/>
  <c r="H41298" i="5"/>
  <c r="H41572" i="5"/>
  <c r="H41553" i="5"/>
  <c r="H41537" i="5"/>
  <c r="H41521" i="5"/>
  <c r="H41508" i="5"/>
  <c r="H41493" i="5"/>
  <c r="H41479" i="5"/>
  <c r="H41465" i="5"/>
  <c r="H41450" i="5"/>
  <c r="H41436" i="5"/>
  <c r="H41423" i="5"/>
  <c r="H41408" i="5"/>
  <c r="H41393" i="5"/>
  <c r="H41380" i="5"/>
  <c r="H41365" i="5"/>
  <c r="H41351" i="5"/>
  <c r="H41337" i="5"/>
  <c r="H41322" i="5"/>
  <c r="H41308" i="5"/>
  <c r="H41295" i="5"/>
  <c r="H41281" i="5"/>
  <c r="H41269" i="5"/>
  <c r="H41257" i="5"/>
  <c r="H41245" i="5"/>
  <c r="H41234" i="5"/>
  <c r="H41224" i="5"/>
  <c r="H41213" i="5"/>
  <c r="H41202" i="5"/>
  <c r="H41192" i="5"/>
  <c r="H41181" i="5"/>
  <c r="H41170" i="5"/>
  <c r="H41160" i="5"/>
  <c r="H41149" i="5"/>
  <c r="H41138" i="5"/>
  <c r="H41128" i="5"/>
  <c r="H41117" i="5"/>
  <c r="H41106" i="5"/>
  <c r="H41096" i="5"/>
  <c r="H41085" i="5"/>
  <c r="H41074" i="5"/>
  <c r="H41064" i="5"/>
  <c r="H41053" i="5"/>
  <c r="H41042" i="5"/>
  <c r="H41032" i="5"/>
  <c r="H41021" i="5"/>
  <c r="H41010" i="5"/>
  <c r="H41000" i="5"/>
  <c r="H40989" i="5"/>
  <c r="H40978" i="5"/>
  <c r="H40968" i="5"/>
  <c r="H40957" i="5"/>
  <c r="H40946" i="5"/>
  <c r="H40936" i="5"/>
  <c r="H40925" i="5"/>
  <c r="H40914" i="5"/>
  <c r="H40904" i="5"/>
  <c r="H40893" i="5"/>
  <c r="H40882" i="5"/>
  <c r="H40872" i="5"/>
  <c r="H40861" i="5"/>
  <c r="H40850" i="5"/>
  <c r="H40840" i="5"/>
  <c r="H40829" i="5"/>
  <c r="H40818" i="5"/>
  <c r="H40808" i="5"/>
  <c r="H40797" i="5"/>
  <c r="H40786" i="5"/>
  <c r="H40776" i="5"/>
  <c r="H40765" i="5"/>
  <c r="H40754" i="5"/>
  <c r="H40744" i="5"/>
  <c r="H40733" i="5"/>
  <c r="H40722" i="5"/>
  <c r="H40712" i="5"/>
  <c r="H40701" i="5"/>
  <c r="H40690" i="5"/>
  <c r="H40680" i="5"/>
  <c r="H40669" i="5"/>
  <c r="H40658" i="5"/>
  <c r="H40648" i="5"/>
  <c r="H40637" i="5"/>
  <c r="H40626" i="5"/>
  <c r="H40616" i="5"/>
  <c r="H40605" i="5"/>
  <c r="H40594" i="5"/>
  <c r="H40584" i="5"/>
  <c r="H40573" i="5"/>
  <c r="H40562" i="5"/>
  <c r="H40552" i="5"/>
  <c r="H40541" i="5"/>
  <c r="H40530" i="5"/>
  <c r="H40520" i="5"/>
  <c r="H40509" i="5"/>
  <c r="H40498" i="5"/>
  <c r="H40488" i="5"/>
  <c r="H40477" i="5"/>
  <c r="H40466" i="5"/>
  <c r="H40456" i="5"/>
  <c r="H40445" i="5"/>
  <c r="H40434" i="5"/>
  <c r="H40424" i="5"/>
  <c r="H40413" i="5"/>
  <c r="H40402" i="5"/>
  <c r="H40392" i="5"/>
  <c r="H40381" i="5"/>
  <c r="H40370" i="5"/>
  <c r="H40360" i="5"/>
  <c r="H40349" i="5"/>
  <c r="H40338" i="5"/>
  <c r="H40328" i="5"/>
  <c r="H40317" i="5"/>
  <c r="H40306" i="5"/>
  <c r="H40296" i="5"/>
  <c r="H40285" i="5"/>
  <c r="H40274" i="5"/>
  <c r="H40264" i="5"/>
  <c r="H40253" i="5"/>
  <c r="H40242" i="5"/>
  <c r="H40232" i="5"/>
  <c r="H40221" i="5"/>
  <c r="H40210" i="5"/>
  <c r="H40200" i="5"/>
  <c r="H40189" i="5"/>
  <c r="H40178" i="5"/>
  <c r="H40168" i="5"/>
  <c r="H40157" i="5"/>
  <c r="H40146" i="5"/>
  <c r="H40136" i="5"/>
  <c r="H40125" i="5"/>
  <c r="H40114" i="5"/>
  <c r="H40104" i="5"/>
  <c r="H40093" i="5"/>
  <c r="H40082" i="5"/>
  <c r="H40072" i="5"/>
  <c r="H40061" i="5"/>
  <c r="H40050" i="5"/>
  <c r="H40040" i="5"/>
  <c r="H40029" i="5"/>
  <c r="H40018" i="5"/>
  <c r="H40008" i="5"/>
  <c r="H39997" i="5"/>
  <c r="H39986" i="5"/>
  <c r="H39976" i="5"/>
  <c r="H39965" i="5"/>
  <c r="H39954" i="5"/>
  <c r="H39944" i="5"/>
  <c r="H39933" i="5"/>
  <c r="H39922" i="5"/>
  <c r="H39912" i="5"/>
  <c r="H39901" i="5"/>
  <c r="H39890" i="5"/>
  <c r="H39880" i="5"/>
  <c r="H39869" i="5"/>
  <c r="H39858" i="5"/>
  <c r="H39848" i="5"/>
  <c r="H39837" i="5"/>
  <c r="H39826" i="5"/>
  <c r="H39816" i="5"/>
  <c r="H39805" i="5"/>
  <c r="H39794" i="5"/>
  <c r="H39784" i="5"/>
  <c r="H39773" i="5"/>
  <c r="H39762" i="5"/>
  <c r="H39752" i="5"/>
  <c r="H39741" i="5"/>
  <c r="H39730" i="5"/>
  <c r="H39720" i="5"/>
  <c r="H39709" i="5"/>
  <c r="H39698" i="5"/>
  <c r="H39688" i="5"/>
  <c r="H39677" i="5"/>
  <c r="H39666" i="5"/>
  <c r="H39656" i="5"/>
  <c r="H39645" i="5"/>
  <c r="H39634" i="5"/>
  <c r="H39624" i="5"/>
  <c r="H39613" i="5"/>
  <c r="H39602" i="5"/>
  <c r="H39592" i="5"/>
  <c r="H39581" i="5"/>
  <c r="H39572" i="5"/>
  <c r="H39562" i="5"/>
  <c r="H39553" i="5"/>
  <c r="H39544" i="5"/>
  <c r="H39535" i="5"/>
  <c r="H39526" i="5"/>
  <c r="H39517" i="5"/>
  <c r="H39508" i="5"/>
  <c r="H39498" i="5"/>
  <c r="H39489" i="5"/>
  <c r="H39480" i="5"/>
  <c r="H39471" i="5"/>
  <c r="H39462" i="5"/>
  <c r="H39453" i="5"/>
  <c r="H39444" i="5"/>
  <c r="H39434" i="5"/>
  <c r="H39425" i="5"/>
  <c r="H39416" i="5"/>
  <c r="H39407" i="5"/>
  <c r="H39398" i="5"/>
  <c r="H39389" i="5"/>
  <c r="H39380" i="5"/>
  <c r="H39370" i="5"/>
  <c r="H39361" i="5"/>
  <c r="H39352" i="5"/>
  <c r="H39343" i="5"/>
  <c r="H39334" i="5"/>
  <c r="H39325" i="5"/>
  <c r="H39317" i="5"/>
  <c r="H39309" i="5"/>
  <c r="H39301" i="5"/>
  <c r="H39293" i="5"/>
  <c r="H39285" i="5"/>
  <c r="H39277" i="5"/>
  <c r="H39269" i="5"/>
  <c r="H39261" i="5"/>
  <c r="H39253" i="5"/>
  <c r="H39245" i="5"/>
  <c r="H39237" i="5"/>
  <c r="H39229" i="5"/>
  <c r="H39221" i="5"/>
  <c r="H39213" i="5"/>
  <c r="H39205" i="5"/>
  <c r="H39197" i="5"/>
  <c r="H39189" i="5"/>
  <c r="H39181" i="5"/>
  <c r="H39173" i="5"/>
  <c r="H39165" i="5"/>
  <c r="H39157" i="5"/>
  <c r="H39149" i="5"/>
  <c r="H39141" i="5"/>
  <c r="H39133" i="5"/>
  <c r="H39125" i="5"/>
  <c r="H39117" i="5"/>
  <c r="H39109" i="5"/>
  <c r="H39101" i="5"/>
  <c r="H39093" i="5"/>
  <c r="H39085" i="5"/>
  <c r="H39077" i="5"/>
  <c r="H39069" i="5"/>
  <c r="H39061" i="5"/>
  <c r="H39053" i="5"/>
  <c r="H39045" i="5"/>
  <c r="H39037" i="5"/>
  <c r="H39029" i="5"/>
  <c r="H39021" i="5"/>
  <c r="H39013" i="5"/>
  <c r="H39005" i="5"/>
  <c r="H38997" i="5"/>
  <c r="H38989" i="5"/>
  <c r="H38981" i="5"/>
  <c r="H38973" i="5"/>
  <c r="H38965" i="5"/>
  <c r="H38957" i="5"/>
  <c r="H38949" i="5"/>
  <c r="H38941" i="5"/>
  <c r="H38933" i="5"/>
  <c r="H38925" i="5"/>
  <c r="H38917" i="5"/>
  <c r="H38909" i="5"/>
  <c r="H38901" i="5"/>
  <c r="H38893" i="5"/>
  <c r="H38885" i="5"/>
  <c r="H38877" i="5"/>
  <c r="H38869" i="5"/>
  <c r="H38861" i="5"/>
  <c r="H38853" i="5"/>
  <c r="H38845" i="5"/>
  <c r="H38837" i="5"/>
  <c r="H38829" i="5"/>
  <c r="H38821" i="5"/>
  <c r="H38813" i="5"/>
  <c r="H38805" i="5"/>
  <c r="H38797" i="5"/>
  <c r="H38789" i="5"/>
  <c r="H38781" i="5"/>
  <c r="H38773" i="5"/>
  <c r="H38765" i="5"/>
  <c r="H38757" i="5"/>
  <c r="H38749" i="5"/>
  <c r="H38741" i="5"/>
  <c r="H38733" i="5"/>
  <c r="H38725" i="5"/>
  <c r="H38717" i="5"/>
  <c r="H38709" i="5"/>
  <c r="H38701" i="5"/>
  <c r="H38693" i="5"/>
  <c r="H38685" i="5"/>
  <c r="H38677" i="5"/>
  <c r="H38669" i="5"/>
  <c r="H38661" i="5"/>
  <c r="H38653" i="5"/>
  <c r="H38645" i="5"/>
  <c r="H38637" i="5"/>
  <c r="H38629" i="5"/>
  <c r="H38621" i="5"/>
  <c r="H38613" i="5"/>
  <c r="H38605" i="5"/>
  <c r="H38597" i="5"/>
  <c r="H38589" i="5"/>
  <c r="H38581" i="5"/>
  <c r="H38573" i="5"/>
  <c r="H38565" i="5"/>
  <c r="H38557" i="5"/>
  <c r="H38549" i="5"/>
  <c r="H38541" i="5"/>
  <c r="H38533" i="5"/>
  <c r="H38525" i="5"/>
  <c r="H38517" i="5"/>
  <c r="H38509" i="5"/>
  <c r="H38501" i="5"/>
  <c r="H38493" i="5"/>
  <c r="H38485" i="5"/>
  <c r="H38477" i="5"/>
  <c r="H38469" i="5"/>
  <c r="H38461" i="5"/>
  <c r="H38453" i="5"/>
  <c r="H38445" i="5"/>
  <c r="H38437" i="5"/>
  <c r="H38429" i="5"/>
  <c r="H38421" i="5"/>
  <c r="H38413" i="5"/>
  <c r="H38405" i="5"/>
  <c r="H38397" i="5"/>
  <c r="H38389" i="5"/>
  <c r="H38381" i="5"/>
  <c r="H38373" i="5"/>
  <c r="H38365" i="5"/>
  <c r="H38357" i="5"/>
  <c r="H38349" i="5"/>
  <c r="H38341" i="5"/>
  <c r="H38333" i="5"/>
  <c r="H38325" i="5"/>
  <c r="H38317" i="5"/>
  <c r="H38309" i="5"/>
  <c r="H38301" i="5"/>
  <c r="H38293" i="5"/>
  <c r="H38285" i="5"/>
  <c r="H38277" i="5"/>
  <c r="H38269" i="5"/>
  <c r="H38261" i="5"/>
  <c r="H38253" i="5"/>
  <c r="H38245" i="5"/>
  <c r="H38237" i="5"/>
  <c r="H38229" i="5"/>
  <c r="H38221" i="5"/>
  <c r="H38213" i="5"/>
  <c r="H38205" i="5"/>
  <c r="H38197" i="5"/>
  <c r="H38189" i="5"/>
  <c r="H38181" i="5"/>
  <c r="H38173" i="5"/>
  <c r="H38165" i="5"/>
  <c r="H38157" i="5"/>
  <c r="H38149" i="5"/>
  <c r="H38141" i="5"/>
  <c r="H38133" i="5"/>
  <c r="H38125" i="5"/>
  <c r="H38117" i="5"/>
  <c r="H38109" i="5"/>
  <c r="H38101" i="5"/>
  <c r="H38093" i="5"/>
  <c r="H38085" i="5"/>
  <c r="H38077" i="5"/>
  <c r="H38069" i="5"/>
  <c r="H38061" i="5"/>
  <c r="H38053" i="5"/>
  <c r="H38045" i="5"/>
  <c r="H38037" i="5"/>
  <c r="H38029" i="5"/>
  <c r="H38021" i="5"/>
  <c r="H38013" i="5"/>
  <c r="H38005" i="5"/>
  <c r="H37997" i="5"/>
  <c r="H37989" i="5"/>
  <c r="H37981" i="5"/>
  <c r="H37973" i="5"/>
  <c r="H37965" i="5"/>
  <c r="H37957" i="5"/>
  <c r="H37949" i="5"/>
  <c r="H37941" i="5"/>
  <c r="H37933" i="5"/>
  <c r="H37925" i="5"/>
  <c r="H37917" i="5"/>
  <c r="H37909" i="5"/>
  <c r="H37901" i="5"/>
  <c r="H37893" i="5"/>
  <c r="H37885" i="5"/>
  <c r="H37877" i="5"/>
  <c r="H37869" i="5"/>
  <c r="H37861" i="5"/>
  <c r="H37853" i="5"/>
  <c r="H37845" i="5"/>
  <c r="H37837" i="5"/>
  <c r="H37829" i="5"/>
  <c r="H37821" i="5"/>
  <c r="H37813" i="5"/>
  <c r="H37805" i="5"/>
  <c r="H37797" i="5"/>
  <c r="H37789" i="5"/>
  <c r="H37781" i="5"/>
  <c r="H37773" i="5"/>
  <c r="H37765" i="5"/>
  <c r="H37757" i="5"/>
  <c r="H37749" i="5"/>
  <c r="H37741" i="5"/>
  <c r="H37733" i="5"/>
  <c r="H37725" i="5"/>
  <c r="H37717" i="5"/>
  <c r="H37709" i="5"/>
  <c r="H37701" i="5"/>
  <c r="H37693" i="5"/>
  <c r="H37685" i="5"/>
  <c r="H37677" i="5"/>
  <c r="H37669" i="5"/>
  <c r="H37661" i="5"/>
  <c r="H37653" i="5"/>
  <c r="H37645" i="5"/>
  <c r="H37637" i="5"/>
  <c r="H37629" i="5"/>
  <c r="H37621" i="5"/>
  <c r="H37613" i="5"/>
  <c r="H37605" i="5"/>
  <c r="H37597" i="5"/>
  <c r="H37589" i="5"/>
  <c r="H37581" i="5"/>
  <c r="H37573" i="5"/>
  <c r="H37565" i="5"/>
  <c r="H37557" i="5"/>
  <c r="H37549" i="5"/>
  <c r="H37541" i="5"/>
  <c r="H37533" i="5"/>
  <c r="H37525" i="5"/>
  <c r="H37517" i="5"/>
  <c r="H37509" i="5"/>
  <c r="H37501" i="5"/>
  <c r="H37493" i="5"/>
  <c r="H37485" i="5"/>
  <c r="H37477" i="5"/>
  <c r="H37469" i="5"/>
  <c r="H37461" i="5"/>
  <c r="H37453" i="5"/>
  <c r="H37445" i="5"/>
  <c r="H37437" i="5"/>
  <c r="H37429" i="5"/>
  <c r="H37421" i="5"/>
  <c r="H37413" i="5"/>
  <c r="H37405" i="5"/>
  <c r="H37397" i="5"/>
  <c r="H37389" i="5"/>
  <c r="H37381" i="5"/>
  <c r="H37373" i="5"/>
  <c r="H37365" i="5"/>
  <c r="H37357" i="5"/>
  <c r="H37349" i="5"/>
  <c r="H37341" i="5"/>
  <c r="H37333" i="5"/>
  <c r="H37325" i="5"/>
  <c r="H37317" i="5"/>
  <c r="H37309" i="5"/>
  <c r="H37301" i="5"/>
  <c r="H37293" i="5"/>
  <c r="H37285" i="5"/>
  <c r="H37277" i="5"/>
  <c r="H37269" i="5"/>
  <c r="H37261" i="5"/>
  <c r="H37253" i="5"/>
  <c r="H37245" i="5"/>
  <c r="H37237" i="5"/>
  <c r="H37229" i="5"/>
  <c r="H37221" i="5"/>
  <c r="H37213" i="5"/>
  <c r="H37205" i="5"/>
  <c r="H37197" i="5"/>
  <c r="H37189" i="5"/>
  <c r="H37181" i="5"/>
  <c r="H37173" i="5"/>
  <c r="H37165" i="5"/>
  <c r="H37157" i="5"/>
  <c r="H37149" i="5"/>
  <c r="H37141" i="5"/>
  <c r="H37133" i="5"/>
  <c r="H37125" i="5"/>
  <c r="H37117" i="5"/>
  <c r="H37109" i="5"/>
  <c r="H37101" i="5"/>
  <c r="H37093" i="5"/>
  <c r="H37085" i="5"/>
  <c r="H37077" i="5"/>
  <c r="H37069" i="5"/>
  <c r="H37061" i="5"/>
  <c r="H37053" i="5"/>
  <c r="H37045" i="5"/>
  <c r="H37037" i="5"/>
  <c r="H37029" i="5"/>
  <c r="H37021" i="5"/>
  <c r="H37013" i="5"/>
  <c r="H37005" i="5"/>
  <c r="H36997" i="5"/>
  <c r="H36989" i="5"/>
  <c r="H36981" i="5"/>
  <c r="H36973" i="5"/>
  <c r="H36965" i="5"/>
  <c r="H36957" i="5"/>
  <c r="H36949" i="5"/>
  <c r="H36941" i="5"/>
  <c r="H36933" i="5"/>
  <c r="H36925" i="5"/>
  <c r="H36917" i="5"/>
  <c r="H36909" i="5"/>
  <c r="H36901" i="5"/>
  <c r="H36893" i="5"/>
  <c r="H36885" i="5"/>
  <c r="H36877" i="5"/>
  <c r="H36869" i="5"/>
  <c r="H36861" i="5"/>
  <c r="H36853" i="5"/>
  <c r="H36845" i="5"/>
  <c r="H36837" i="5"/>
  <c r="H36829" i="5"/>
  <c r="H36821" i="5"/>
  <c r="H36813" i="5"/>
  <c r="H36805" i="5"/>
  <c r="H36797" i="5"/>
  <c r="H36789" i="5"/>
  <c r="H36781" i="5"/>
  <c r="H36773" i="5"/>
  <c r="H36765" i="5"/>
  <c r="H36757" i="5"/>
  <c r="H36749" i="5"/>
  <c r="H36741" i="5"/>
  <c r="H36733" i="5"/>
  <c r="H36725" i="5"/>
  <c r="H36717" i="5"/>
  <c r="H36709" i="5"/>
  <c r="H36701" i="5"/>
  <c r="H36693" i="5"/>
  <c r="H36685" i="5"/>
  <c r="H36677" i="5"/>
  <c r="H36669" i="5"/>
  <c r="H36661" i="5"/>
  <c r="H36653" i="5"/>
  <c r="H36645" i="5"/>
  <c r="H36637" i="5"/>
  <c r="H36629" i="5"/>
  <c r="H36621" i="5"/>
  <c r="H36613" i="5"/>
  <c r="H36605" i="5"/>
  <c r="H36597" i="5"/>
  <c r="H36589" i="5"/>
  <c r="H36581" i="5"/>
  <c r="H36573" i="5"/>
  <c r="H36565" i="5"/>
  <c r="H36557" i="5"/>
  <c r="H36549" i="5"/>
  <c r="H36541" i="5"/>
  <c r="H36533" i="5"/>
  <c r="H36525" i="5"/>
  <c r="H36517" i="5"/>
  <c r="H36509" i="5"/>
  <c r="H36501" i="5"/>
  <c r="H36493" i="5"/>
  <c r="H36485" i="5"/>
  <c r="H36477" i="5"/>
  <c r="H36469" i="5"/>
  <c r="H36461" i="5"/>
  <c r="H36453" i="5"/>
  <c r="H36445" i="5"/>
  <c r="H36437" i="5"/>
  <c r="H36429" i="5"/>
  <c r="H36421" i="5"/>
  <c r="H36413" i="5"/>
  <c r="H36405" i="5"/>
  <c r="H36397" i="5"/>
  <c r="H36389" i="5"/>
  <c r="H36381" i="5"/>
  <c r="H36373" i="5"/>
  <c r="H36365" i="5"/>
  <c r="H36357" i="5"/>
  <c r="H36349" i="5"/>
  <c r="H36341" i="5"/>
  <c r="H36333" i="5"/>
  <c r="H36325" i="5"/>
  <c r="H36317" i="5"/>
  <c r="H36309" i="5"/>
  <c r="H36301" i="5"/>
  <c r="H36293" i="5"/>
  <c r="H36285" i="5"/>
  <c r="H36277" i="5"/>
  <c r="H36269" i="5"/>
  <c r="H36261" i="5"/>
  <c r="H36253" i="5"/>
  <c r="H36245" i="5"/>
  <c r="H36237" i="5"/>
  <c r="H36229" i="5"/>
  <c r="H36221" i="5"/>
  <c r="H36213" i="5"/>
  <c r="H36205" i="5"/>
  <c r="H36197" i="5"/>
  <c r="H36189" i="5"/>
  <c r="H36181" i="5"/>
  <c r="H36173" i="5"/>
  <c r="H36165" i="5"/>
  <c r="H36157" i="5"/>
  <c r="H36149" i="5"/>
  <c r="H36141" i="5"/>
  <c r="H36133" i="5"/>
  <c r="H36125" i="5"/>
  <c r="H36117" i="5"/>
  <c r="H36109" i="5"/>
  <c r="H36101" i="5"/>
  <c r="H36093" i="5"/>
  <c r="H36085" i="5"/>
  <c r="H36077" i="5"/>
  <c r="H36069" i="5"/>
  <c r="H36061" i="5"/>
  <c r="H36053" i="5"/>
  <c r="H36045" i="5"/>
  <c r="H36037" i="5"/>
  <c r="H36029" i="5"/>
  <c r="H36021" i="5"/>
  <c r="H36013" i="5"/>
  <c r="H36005" i="5"/>
  <c r="H35997" i="5"/>
  <c r="H35989" i="5"/>
  <c r="H35981" i="5"/>
  <c r="H35973" i="5"/>
  <c r="H35965" i="5"/>
  <c r="H35957" i="5"/>
  <c r="H35949" i="5"/>
  <c r="H35941" i="5"/>
  <c r="H35933" i="5"/>
  <c r="H35925" i="5"/>
  <c r="H35917" i="5"/>
  <c r="H35909" i="5"/>
  <c r="H35901" i="5"/>
  <c r="H35893" i="5"/>
  <c r="H35885" i="5"/>
  <c r="H35877" i="5"/>
  <c r="H35869" i="5"/>
  <c r="H35861" i="5"/>
  <c r="H35853" i="5"/>
  <c r="H35845" i="5"/>
  <c r="H35837" i="5"/>
  <c r="H35829" i="5"/>
  <c r="H35821" i="5"/>
  <c r="H35813" i="5"/>
  <c r="H35805" i="5"/>
  <c r="H35797" i="5"/>
  <c r="H35789" i="5"/>
  <c r="H35781" i="5"/>
  <c r="H35773" i="5"/>
  <c r="H35765" i="5"/>
  <c r="H35757" i="5"/>
  <c r="H35749" i="5"/>
  <c r="H35741" i="5"/>
  <c r="H35733" i="5"/>
  <c r="H35725" i="5"/>
  <c r="H35717" i="5"/>
  <c r="H35709" i="5"/>
  <c r="H35701" i="5"/>
  <c r="H35693" i="5"/>
  <c r="H35685" i="5"/>
  <c r="H35677" i="5"/>
  <c r="H35669" i="5"/>
  <c r="H35661" i="5"/>
  <c r="H35653" i="5"/>
  <c r="H35645" i="5"/>
  <c r="H35637" i="5"/>
  <c r="H35629" i="5"/>
  <c r="H35621" i="5"/>
  <c r="H35613" i="5"/>
  <c r="H35605" i="5"/>
  <c r="H35597" i="5"/>
  <c r="H35589" i="5"/>
  <c r="H35581" i="5"/>
  <c r="H35573" i="5"/>
  <c r="H35565" i="5"/>
  <c r="H35557" i="5"/>
  <c r="H35549" i="5"/>
  <c r="H35541" i="5"/>
  <c r="H35533" i="5"/>
  <c r="H35525" i="5"/>
  <c r="H35517" i="5"/>
  <c r="H35509" i="5"/>
  <c r="H35501" i="5"/>
  <c r="H35493" i="5"/>
  <c r="H35485" i="5"/>
  <c r="H35477" i="5"/>
  <c r="H35469" i="5"/>
  <c r="H35461" i="5"/>
  <c r="H35453" i="5"/>
  <c r="H35445" i="5"/>
  <c r="H35437" i="5"/>
  <c r="H35429" i="5"/>
  <c r="H35421" i="5"/>
  <c r="H35413" i="5"/>
  <c r="H35405" i="5"/>
  <c r="H35397" i="5"/>
  <c r="H35389" i="5"/>
  <c r="H35381" i="5"/>
  <c r="H35373" i="5"/>
  <c r="H35365" i="5"/>
  <c r="H35357" i="5"/>
  <c r="H35349" i="5"/>
  <c r="H35341" i="5"/>
  <c r="H35333" i="5"/>
  <c r="H35325" i="5"/>
  <c r="H35317" i="5"/>
  <c r="H35309" i="5"/>
  <c r="H35301" i="5"/>
  <c r="H35293" i="5"/>
  <c r="H35285" i="5"/>
  <c r="H35277" i="5"/>
  <c r="H35269" i="5"/>
  <c r="H35261" i="5"/>
  <c r="H35253" i="5"/>
  <c r="H35245" i="5"/>
  <c r="H35237" i="5"/>
  <c r="H35229" i="5"/>
  <c r="H35221" i="5"/>
  <c r="H35213" i="5"/>
  <c r="H35205" i="5"/>
  <c r="H35197" i="5"/>
  <c r="H35189" i="5"/>
  <c r="H35181" i="5"/>
  <c r="H35173" i="5"/>
  <c r="H35165" i="5"/>
  <c r="H35157" i="5"/>
  <c r="H35149" i="5"/>
  <c r="H35141" i="5"/>
  <c r="H35133" i="5"/>
  <c r="H35125" i="5"/>
  <c r="H35117" i="5"/>
  <c r="H35109" i="5"/>
  <c r="H35101" i="5"/>
  <c r="H35093" i="5"/>
  <c r="H35085" i="5"/>
  <c r="H35077" i="5"/>
  <c r="H35069" i="5"/>
  <c r="H35061" i="5"/>
  <c r="H35053" i="5"/>
  <c r="H35045" i="5"/>
  <c r="H35037" i="5"/>
  <c r="H35029" i="5"/>
  <c r="H35021" i="5"/>
  <c r="H35013" i="5"/>
  <c r="H35005" i="5"/>
  <c r="H34997" i="5"/>
  <c r="H34989" i="5"/>
  <c r="H34981" i="5"/>
  <c r="H34973" i="5"/>
  <c r="H34965" i="5"/>
  <c r="H34957" i="5"/>
  <c r="H34949" i="5"/>
  <c r="H34941" i="5"/>
  <c r="H34933" i="5"/>
  <c r="H34925" i="5"/>
  <c r="H34917" i="5"/>
  <c r="H34909" i="5"/>
  <c r="H34901" i="5"/>
  <c r="H34893" i="5"/>
  <c r="H34885" i="5"/>
  <c r="H34877" i="5"/>
  <c r="H34869" i="5"/>
  <c r="H34861" i="5"/>
  <c r="H34853" i="5"/>
  <c r="H34845" i="5"/>
  <c r="H34837" i="5"/>
  <c r="H34829" i="5"/>
  <c r="H34821" i="5"/>
  <c r="H34813" i="5"/>
  <c r="H34805" i="5"/>
  <c r="H34797" i="5"/>
  <c r="H34789" i="5"/>
  <c r="H34781" i="5"/>
  <c r="H34773" i="5"/>
  <c r="H34765" i="5"/>
  <c r="H34757" i="5"/>
  <c r="H34749" i="5"/>
  <c r="H34741" i="5"/>
  <c r="H34733" i="5"/>
  <c r="H34725" i="5"/>
  <c r="H34717" i="5"/>
  <c r="H34709" i="5"/>
  <c r="H34701" i="5"/>
  <c r="H34693" i="5"/>
  <c r="H34685" i="5"/>
  <c r="H34677" i="5"/>
  <c r="H34669" i="5"/>
  <c r="H34661" i="5"/>
  <c r="H34653" i="5"/>
  <c r="H34645" i="5"/>
  <c r="H34637" i="5"/>
  <c r="H41569" i="5"/>
  <c r="H41552" i="5"/>
  <c r="H41536" i="5"/>
  <c r="H41520" i="5"/>
  <c r="H41505" i="5"/>
  <c r="H41492" i="5"/>
  <c r="H41477" i="5"/>
  <c r="H41463" i="5"/>
  <c r="H41449" i="5"/>
  <c r="H41434" i="5"/>
  <c r="H41420" i="5"/>
  <c r="H41407" i="5"/>
  <c r="H41392" i="5"/>
  <c r="H41377" i="5"/>
  <c r="H41364" i="5"/>
  <c r="H41349" i="5"/>
  <c r="H41335" i="5"/>
  <c r="H41321" i="5"/>
  <c r="H41306" i="5"/>
  <c r="H41292" i="5"/>
  <c r="H41280" i="5"/>
  <c r="H41268" i="5"/>
  <c r="H41256" i="5"/>
  <c r="H41244" i="5"/>
  <c r="H41233" i="5"/>
  <c r="H41223" i="5"/>
  <c r="H41212" i="5"/>
  <c r="H41201" i="5"/>
  <c r="H41191" i="5"/>
  <c r="H41180" i="5"/>
  <c r="H41169" i="5"/>
  <c r="H41159" i="5"/>
  <c r="H41148" i="5"/>
  <c r="H41137" i="5"/>
  <c r="H41127" i="5"/>
  <c r="H41116" i="5"/>
  <c r="H41105" i="5"/>
  <c r="H41095" i="5"/>
  <c r="H41084" i="5"/>
  <c r="H41073" i="5"/>
  <c r="H41063" i="5"/>
  <c r="H41052" i="5"/>
  <c r="H41041" i="5"/>
  <c r="H41031" i="5"/>
  <c r="H41020" i="5"/>
  <c r="H41009" i="5"/>
  <c r="H40999" i="5"/>
  <c r="H40988" i="5"/>
  <c r="H40977" i="5"/>
  <c r="H40967" i="5"/>
  <c r="H40956" i="5"/>
  <c r="H40945" i="5"/>
  <c r="H40935" i="5"/>
  <c r="H40924" i="5"/>
  <c r="H40913" i="5"/>
  <c r="H40903" i="5"/>
  <c r="H40892" i="5"/>
  <c r="H40881" i="5"/>
  <c r="H40871" i="5"/>
  <c r="H40860" i="5"/>
  <c r="H40849" i="5"/>
  <c r="H40839" i="5"/>
  <c r="H40828" i="5"/>
  <c r="H40817" i="5"/>
  <c r="H40807" i="5"/>
  <c r="H40796" i="5"/>
  <c r="H40785" i="5"/>
  <c r="H40775" i="5"/>
  <c r="H40764" i="5"/>
  <c r="H40753" i="5"/>
  <c r="H40743" i="5"/>
  <c r="H40732" i="5"/>
  <c r="H40721" i="5"/>
  <c r="H40711" i="5"/>
  <c r="H40700" i="5"/>
  <c r="H40689" i="5"/>
  <c r="H40679" i="5"/>
  <c r="H40668" i="5"/>
  <c r="H40657" i="5"/>
  <c r="H40647" i="5"/>
  <c r="H40636" i="5"/>
  <c r="H40625" i="5"/>
  <c r="H40615" i="5"/>
  <c r="H40604" i="5"/>
  <c r="H40593" i="5"/>
  <c r="H40583" i="5"/>
  <c r="H40572" i="5"/>
  <c r="H40561" i="5"/>
  <c r="H40551" i="5"/>
  <c r="H40540" i="5"/>
  <c r="H40529" i="5"/>
  <c r="H40519" i="5"/>
  <c r="H40508" i="5"/>
  <c r="H40497" i="5"/>
  <c r="H40487" i="5"/>
  <c r="H40476" i="5"/>
  <c r="H40465" i="5"/>
  <c r="H40455" i="5"/>
  <c r="H40444" i="5"/>
  <c r="H40433" i="5"/>
  <c r="H40423" i="5"/>
  <c r="H40412" i="5"/>
  <c r="H40401" i="5"/>
  <c r="H40391" i="5"/>
  <c r="H40380" i="5"/>
  <c r="H40369" i="5"/>
  <c r="H40359" i="5"/>
  <c r="H40348" i="5"/>
  <c r="H40337" i="5"/>
  <c r="H40327" i="5"/>
  <c r="H40316" i="5"/>
  <c r="H40305" i="5"/>
  <c r="H40295" i="5"/>
  <c r="H40284" i="5"/>
  <c r="H40273" i="5"/>
  <c r="H40263" i="5"/>
  <c r="H40252" i="5"/>
  <c r="H40241" i="5"/>
  <c r="H40231" i="5"/>
  <c r="H40220" i="5"/>
  <c r="H40209" i="5"/>
  <c r="H40199" i="5"/>
  <c r="H40188" i="5"/>
  <c r="H40177" i="5"/>
  <c r="H40167" i="5"/>
  <c r="H40156" i="5"/>
  <c r="H40145" i="5"/>
  <c r="H40135" i="5"/>
  <c r="H40124" i="5"/>
  <c r="H40113" i="5"/>
  <c r="H40103" i="5"/>
  <c r="H40092" i="5"/>
  <c r="H40081" i="5"/>
  <c r="H40071" i="5"/>
  <c r="H40060" i="5"/>
  <c r="H40049" i="5"/>
  <c r="H40039" i="5"/>
  <c r="H40028" i="5"/>
  <c r="H40017" i="5"/>
  <c r="H40007" i="5"/>
  <c r="H39996" i="5"/>
  <c r="H39985" i="5"/>
  <c r="H39975" i="5"/>
  <c r="H39964" i="5"/>
  <c r="H39953" i="5"/>
  <c r="H39943" i="5"/>
  <c r="H39932" i="5"/>
  <c r="H39921" i="5"/>
  <c r="H39911" i="5"/>
  <c r="H39900" i="5"/>
  <c r="H39889" i="5"/>
  <c r="H39879" i="5"/>
  <c r="H39868" i="5"/>
  <c r="H39857" i="5"/>
  <c r="H39847" i="5"/>
  <c r="H39836" i="5"/>
  <c r="H39825" i="5"/>
  <c r="H39815" i="5"/>
  <c r="H39804" i="5"/>
  <c r="H39793" i="5"/>
  <c r="H39783" i="5"/>
  <c r="H39772" i="5"/>
  <c r="H39761" i="5"/>
  <c r="H39751" i="5"/>
  <c r="H39740" i="5"/>
  <c r="H39729" i="5"/>
  <c r="H39719" i="5"/>
  <c r="H39708" i="5"/>
  <c r="H39697" i="5"/>
  <c r="H39687" i="5"/>
  <c r="H39676" i="5"/>
  <c r="H39665" i="5"/>
  <c r="H39655" i="5"/>
  <c r="H39644" i="5"/>
  <c r="H39633" i="5"/>
  <c r="H39623" i="5"/>
  <c r="H39612" i="5"/>
  <c r="H39601" i="5"/>
  <c r="H39591" i="5"/>
  <c r="H39580" i="5"/>
  <c r="H39570" i="5"/>
  <c r="H39561" i="5"/>
  <c r="H39552" i="5"/>
  <c r="H39543" i="5"/>
  <c r="H39534" i="5"/>
  <c r="H39525" i="5"/>
  <c r="H39516" i="5"/>
  <c r="H39506" i="5"/>
  <c r="H39497" i="5"/>
  <c r="H39488" i="5"/>
  <c r="H39479" i="5"/>
  <c r="H39470" i="5"/>
  <c r="H39461" i="5"/>
  <c r="H39452" i="5"/>
  <c r="H39442" i="5"/>
  <c r="H39433" i="5"/>
  <c r="H39424" i="5"/>
  <c r="H39415" i="5"/>
  <c r="H39406" i="5"/>
  <c r="H39397" i="5"/>
  <c r="H39388" i="5"/>
  <c r="H39378" i="5"/>
  <c r="H39369" i="5"/>
  <c r="H39360" i="5"/>
  <c r="H39351" i="5"/>
  <c r="H39342" i="5"/>
  <c r="H39333" i="5"/>
  <c r="H39324" i="5"/>
  <c r="H39316" i="5"/>
  <c r="H39308" i="5"/>
  <c r="H39300" i="5"/>
  <c r="H39292" i="5"/>
  <c r="H39284" i="5"/>
  <c r="H39276" i="5"/>
  <c r="H39268" i="5"/>
  <c r="H39260" i="5"/>
  <c r="H39252" i="5"/>
  <c r="H39244" i="5"/>
  <c r="H39236" i="5"/>
  <c r="H39228" i="5"/>
  <c r="H39220" i="5"/>
  <c r="H39212" i="5"/>
  <c r="H39204" i="5"/>
  <c r="H39196" i="5"/>
  <c r="H39188" i="5"/>
  <c r="H39180" i="5"/>
  <c r="H39172" i="5"/>
  <c r="H39164" i="5"/>
  <c r="H39156" i="5"/>
  <c r="H39148" i="5"/>
  <c r="H39140" i="5"/>
  <c r="H39132" i="5"/>
  <c r="H39124" i="5"/>
  <c r="H39116" i="5"/>
  <c r="H39108" i="5"/>
  <c r="H39100" i="5"/>
  <c r="H39092" i="5"/>
  <c r="H39084" i="5"/>
  <c r="H39076" i="5"/>
  <c r="H39068" i="5"/>
  <c r="H39060" i="5"/>
  <c r="H39052" i="5"/>
  <c r="H39044" i="5"/>
  <c r="H39036" i="5"/>
  <c r="H39028" i="5"/>
  <c r="H39020" i="5"/>
  <c r="H39012" i="5"/>
  <c r="H39004" i="5"/>
  <c r="H38996" i="5"/>
  <c r="H38988" i="5"/>
  <c r="H38980" i="5"/>
  <c r="H38972" i="5"/>
  <c r="H38964" i="5"/>
  <c r="H38956" i="5"/>
  <c r="H38948" i="5"/>
  <c r="H38940" i="5"/>
  <c r="H38932" i="5"/>
  <c r="H38924" i="5"/>
  <c r="H38916" i="5"/>
  <c r="H38908" i="5"/>
  <c r="H38900" i="5"/>
  <c r="H38892" i="5"/>
  <c r="H38884" i="5"/>
  <c r="H38876" i="5"/>
  <c r="H38868" i="5"/>
  <c r="H38860" i="5"/>
  <c r="H38852" i="5"/>
  <c r="H38844" i="5"/>
  <c r="H38836" i="5"/>
  <c r="H38828" i="5"/>
  <c r="H38820" i="5"/>
  <c r="H38812" i="5"/>
  <c r="H38804" i="5"/>
  <c r="H38796" i="5"/>
  <c r="H38788" i="5"/>
  <c r="H38780" i="5"/>
  <c r="H38772" i="5"/>
  <c r="H38764" i="5"/>
  <c r="H38756" i="5"/>
  <c r="H38748" i="5"/>
  <c r="H38740" i="5"/>
  <c r="H38732" i="5"/>
  <c r="H38724" i="5"/>
  <c r="H38716" i="5"/>
  <c r="H38708" i="5"/>
  <c r="H38700" i="5"/>
  <c r="H38692" i="5"/>
  <c r="H38684" i="5"/>
  <c r="H38676" i="5"/>
  <c r="H38668" i="5"/>
  <c r="H38660" i="5"/>
  <c r="H38652" i="5"/>
  <c r="H38644" i="5"/>
  <c r="H38636" i="5"/>
  <c r="H38628" i="5"/>
  <c r="H38620" i="5"/>
  <c r="H38612" i="5"/>
  <c r="H38604" i="5"/>
  <c r="H38596" i="5"/>
  <c r="H38588" i="5"/>
  <c r="H38580" i="5"/>
  <c r="H38572" i="5"/>
  <c r="H38564" i="5"/>
  <c r="H38556" i="5"/>
  <c r="H38548" i="5"/>
  <c r="H38540" i="5"/>
  <c r="H38532" i="5"/>
  <c r="H38524" i="5"/>
  <c r="H38516" i="5"/>
  <c r="H38508" i="5"/>
  <c r="H38500" i="5"/>
  <c r="H38492" i="5"/>
  <c r="H38484" i="5"/>
  <c r="H38476" i="5"/>
  <c r="H38468" i="5"/>
  <c r="H38460" i="5"/>
  <c r="H38452" i="5"/>
  <c r="H38444" i="5"/>
  <c r="H38436" i="5"/>
  <c r="H38428" i="5"/>
  <c r="H38420" i="5"/>
  <c r="H38412" i="5"/>
  <c r="H38404" i="5"/>
  <c r="H38396" i="5"/>
  <c r="H38388" i="5"/>
  <c r="H38380" i="5"/>
  <c r="H38372" i="5"/>
  <c r="H38364" i="5"/>
  <c r="H38356" i="5"/>
  <c r="H38348" i="5"/>
  <c r="H38340" i="5"/>
  <c r="H38332" i="5"/>
  <c r="H38324" i="5"/>
  <c r="H38316" i="5"/>
  <c r="H38308" i="5"/>
  <c r="H38300" i="5"/>
  <c r="H38292" i="5"/>
  <c r="H38284" i="5"/>
  <c r="H38276" i="5"/>
  <c r="H38268" i="5"/>
  <c r="H38260" i="5"/>
  <c r="H38252" i="5"/>
  <c r="H38244" i="5"/>
  <c r="H38236" i="5"/>
  <c r="H38228" i="5"/>
  <c r="H38220" i="5"/>
  <c r="H38212" i="5"/>
  <c r="H38204" i="5"/>
  <c r="H38196" i="5"/>
  <c r="H38188" i="5"/>
  <c r="H38180" i="5"/>
  <c r="H38172" i="5"/>
  <c r="H38164" i="5"/>
  <c r="H38156" i="5"/>
  <c r="H38148" i="5"/>
  <c r="H38140" i="5"/>
  <c r="H38132" i="5"/>
  <c r="H38124" i="5"/>
  <c r="H38116" i="5"/>
  <c r="H38108" i="5"/>
  <c r="H38100" i="5"/>
  <c r="H38092" i="5"/>
  <c r="H38084" i="5"/>
  <c r="H38076" i="5"/>
  <c r="H38068" i="5"/>
  <c r="H38060" i="5"/>
  <c r="H38052" i="5"/>
  <c r="H38044" i="5"/>
  <c r="H38036" i="5"/>
  <c r="H38028" i="5"/>
  <c r="H38020" i="5"/>
  <c r="H38012" i="5"/>
  <c r="H38004" i="5"/>
  <c r="H37996" i="5"/>
  <c r="H37988" i="5"/>
  <c r="H37980" i="5"/>
  <c r="H37972" i="5"/>
  <c r="H37964" i="5"/>
  <c r="H37956" i="5"/>
  <c r="H37948" i="5"/>
  <c r="H37940" i="5"/>
  <c r="H37932" i="5"/>
  <c r="H37924" i="5"/>
  <c r="H37916" i="5"/>
  <c r="H37908" i="5"/>
  <c r="H37900" i="5"/>
  <c r="H37892" i="5"/>
  <c r="H37884" i="5"/>
  <c r="H37876" i="5"/>
  <c r="H37868" i="5"/>
  <c r="H37860" i="5"/>
  <c r="H37852" i="5"/>
  <c r="H37844" i="5"/>
  <c r="H37836" i="5"/>
  <c r="H37828" i="5"/>
  <c r="H37820" i="5"/>
  <c r="H37812" i="5"/>
  <c r="H37804" i="5"/>
  <c r="H37796" i="5"/>
  <c r="H37788" i="5"/>
  <c r="H37780" i="5"/>
  <c r="H37772" i="5"/>
  <c r="H37764" i="5"/>
  <c r="H37756" i="5"/>
  <c r="H37748" i="5"/>
  <c r="H37740" i="5"/>
  <c r="H37732" i="5"/>
  <c r="H37724" i="5"/>
  <c r="H37716" i="5"/>
  <c r="H37708" i="5"/>
  <c r="H37700" i="5"/>
  <c r="H37692" i="5"/>
  <c r="H37684" i="5"/>
  <c r="H37676" i="5"/>
  <c r="H37668" i="5"/>
  <c r="H37660" i="5"/>
  <c r="H37652" i="5"/>
  <c r="H37644" i="5"/>
  <c r="H37636" i="5"/>
  <c r="H37628" i="5"/>
  <c r="H37620" i="5"/>
  <c r="H37612" i="5"/>
  <c r="H37604" i="5"/>
  <c r="H37596" i="5"/>
  <c r="H37588" i="5"/>
  <c r="H37580" i="5"/>
  <c r="H37572" i="5"/>
  <c r="H37564" i="5"/>
  <c r="H37556" i="5"/>
  <c r="H37548" i="5"/>
  <c r="H37540" i="5"/>
  <c r="H37532" i="5"/>
  <c r="H37524" i="5"/>
  <c r="H37516" i="5"/>
  <c r="H37508" i="5"/>
  <c r="H37500" i="5"/>
  <c r="H37492" i="5"/>
  <c r="H37484" i="5"/>
  <c r="H37476" i="5"/>
  <c r="H37468" i="5"/>
  <c r="H37460" i="5"/>
  <c r="H37452" i="5"/>
  <c r="H37444" i="5"/>
  <c r="H37436" i="5"/>
  <c r="H37428" i="5"/>
  <c r="H37420" i="5"/>
  <c r="H37412" i="5"/>
  <c r="H37404" i="5"/>
  <c r="H37396" i="5"/>
  <c r="H37388" i="5"/>
  <c r="H37380" i="5"/>
  <c r="H37372" i="5"/>
  <c r="H37364" i="5"/>
  <c r="H37356" i="5"/>
  <c r="H37348" i="5"/>
  <c r="H37340" i="5"/>
  <c r="H37332" i="5"/>
  <c r="H37324" i="5"/>
  <c r="H37316" i="5"/>
  <c r="H37308" i="5"/>
  <c r="H37300" i="5"/>
  <c r="H37292" i="5"/>
  <c r="H37284" i="5"/>
  <c r="H37276" i="5"/>
  <c r="H37268" i="5"/>
  <c r="H37260" i="5"/>
  <c r="H37252" i="5"/>
  <c r="H37244" i="5"/>
  <c r="H37236" i="5"/>
  <c r="H37228" i="5"/>
  <c r="H37220" i="5"/>
  <c r="H37212" i="5"/>
  <c r="H37204" i="5"/>
  <c r="H37196" i="5"/>
  <c r="H37188" i="5"/>
  <c r="H37180" i="5"/>
  <c r="H37172" i="5"/>
  <c r="H37164" i="5"/>
  <c r="H37156" i="5"/>
  <c r="H37148" i="5"/>
  <c r="H37140" i="5"/>
  <c r="H37132" i="5"/>
  <c r="H37124" i="5"/>
  <c r="H37116" i="5"/>
  <c r="H37108" i="5"/>
  <c r="H37100" i="5"/>
  <c r="H37092" i="5"/>
  <c r="H37084" i="5"/>
  <c r="H37076" i="5"/>
  <c r="H37068" i="5"/>
  <c r="H37060" i="5"/>
  <c r="H37052" i="5"/>
  <c r="H37044" i="5"/>
  <c r="H37036" i="5"/>
  <c r="H37028" i="5"/>
  <c r="H37020" i="5"/>
  <c r="H37012" i="5"/>
  <c r="H37004" i="5"/>
  <c r="H36996" i="5"/>
  <c r="H36988" i="5"/>
  <c r="H36980" i="5"/>
  <c r="H36972" i="5"/>
  <c r="H36964" i="5"/>
  <c r="H36956" i="5"/>
  <c r="H36948" i="5"/>
  <c r="H36940" i="5"/>
  <c r="H36932" i="5"/>
  <c r="H36924" i="5"/>
  <c r="H36916" i="5"/>
  <c r="H36908" i="5"/>
  <c r="H36900" i="5"/>
  <c r="H36892" i="5"/>
  <c r="H36884" i="5"/>
  <c r="H36876" i="5"/>
  <c r="H36868" i="5"/>
  <c r="H36860" i="5"/>
  <c r="H36852" i="5"/>
  <c r="H36844" i="5"/>
  <c r="H36836" i="5"/>
  <c r="H36828" i="5"/>
  <c r="H36820" i="5"/>
  <c r="H36812" i="5"/>
  <c r="H36804" i="5"/>
  <c r="H36796" i="5"/>
  <c r="H36788" i="5"/>
  <c r="H36780" i="5"/>
  <c r="H36772" i="5"/>
  <c r="H36764" i="5"/>
  <c r="H36756" i="5"/>
  <c r="H36748" i="5"/>
  <c r="H36740" i="5"/>
  <c r="H36732" i="5"/>
  <c r="H36724" i="5"/>
  <c r="H36716" i="5"/>
  <c r="H36708" i="5"/>
  <c r="H36700" i="5"/>
  <c r="H36692" i="5"/>
  <c r="H36684" i="5"/>
  <c r="H36676" i="5"/>
  <c r="H36668" i="5"/>
  <c r="H36660" i="5"/>
  <c r="H36652" i="5"/>
  <c r="H36644" i="5"/>
  <c r="H36636" i="5"/>
  <c r="H36628" i="5"/>
  <c r="H36620" i="5"/>
  <c r="H36612" i="5"/>
  <c r="H36604" i="5"/>
  <c r="H36596" i="5"/>
  <c r="H36588" i="5"/>
  <c r="H36580" i="5"/>
  <c r="H36572" i="5"/>
  <c r="H36564" i="5"/>
  <c r="H36556" i="5"/>
  <c r="H36548" i="5"/>
  <c r="H36540" i="5"/>
  <c r="H36532" i="5"/>
  <c r="H36524" i="5"/>
  <c r="H36516" i="5"/>
  <c r="H36508" i="5"/>
  <c r="H36500" i="5"/>
  <c r="H36492" i="5"/>
  <c r="H36484" i="5"/>
  <c r="H36476" i="5"/>
  <c r="H36468" i="5"/>
  <c r="H36460" i="5"/>
  <c r="H36452" i="5"/>
  <c r="H36444" i="5"/>
  <c r="H36436" i="5"/>
  <c r="H36428" i="5"/>
  <c r="H36420" i="5"/>
  <c r="H36412" i="5"/>
  <c r="H36404" i="5"/>
  <c r="H36396" i="5"/>
  <c r="H36388" i="5"/>
  <c r="H36380" i="5"/>
  <c r="H36372" i="5"/>
  <c r="H36364" i="5"/>
  <c r="H36356" i="5"/>
  <c r="H36348" i="5"/>
  <c r="H36340" i="5"/>
  <c r="H36332" i="5"/>
  <c r="H36324" i="5"/>
  <c r="H36316" i="5"/>
  <c r="H36308" i="5"/>
  <c r="H36300" i="5"/>
  <c r="H36292" i="5"/>
  <c r="H36284" i="5"/>
  <c r="H36276" i="5"/>
  <c r="H36268" i="5"/>
  <c r="H36260" i="5"/>
  <c r="H36252" i="5"/>
  <c r="H36244" i="5"/>
  <c r="H36236" i="5"/>
  <c r="H36228" i="5"/>
  <c r="H36220" i="5"/>
  <c r="H36212" i="5"/>
  <c r="H36204" i="5"/>
  <c r="H36196" i="5"/>
  <c r="H36188" i="5"/>
  <c r="H36180" i="5"/>
  <c r="H36172" i="5"/>
  <c r="H36164" i="5"/>
  <c r="H36156" i="5"/>
  <c r="H36148" i="5"/>
  <c r="H36140" i="5"/>
  <c r="H36132" i="5"/>
  <c r="H36124" i="5"/>
  <c r="H36116" i="5"/>
  <c r="H36108" i="5"/>
  <c r="H36100" i="5"/>
  <c r="H36092" i="5"/>
  <c r="H36084" i="5"/>
  <c r="H36076" i="5"/>
  <c r="H36068" i="5"/>
  <c r="H36060" i="5"/>
  <c r="H36052" i="5"/>
  <c r="H36044" i="5"/>
  <c r="H36036" i="5"/>
  <c r="H36028" i="5"/>
  <c r="H36020" i="5"/>
  <c r="H36012" i="5"/>
  <c r="H36004" i="5"/>
  <c r="H35996" i="5"/>
  <c r="H35988" i="5"/>
  <c r="H35980" i="5"/>
  <c r="H35972" i="5"/>
  <c r="H35964" i="5"/>
  <c r="H35956" i="5"/>
  <c r="H35948" i="5"/>
  <c r="H35940" i="5"/>
  <c r="H35932" i="5"/>
  <c r="H35924" i="5"/>
  <c r="H35916" i="5"/>
  <c r="H35908" i="5"/>
  <c r="H35900" i="5"/>
  <c r="H35892" i="5"/>
  <c r="H35884" i="5"/>
  <c r="H35876" i="5"/>
  <c r="H35868" i="5"/>
  <c r="H35860" i="5"/>
  <c r="H35852" i="5"/>
  <c r="H35844" i="5"/>
  <c r="H35836" i="5"/>
  <c r="H35828" i="5"/>
  <c r="H35820" i="5"/>
  <c r="H35812" i="5"/>
  <c r="H35804" i="5"/>
  <c r="H35796" i="5"/>
  <c r="H35788" i="5"/>
  <c r="H35780" i="5"/>
  <c r="H35772" i="5"/>
  <c r="H35764" i="5"/>
  <c r="H35756" i="5"/>
  <c r="H35748" i="5"/>
  <c r="H35740" i="5"/>
  <c r="H35732" i="5"/>
  <c r="H35724" i="5"/>
  <c r="H35716" i="5"/>
  <c r="H35708" i="5"/>
  <c r="H35700" i="5"/>
  <c r="H35692" i="5"/>
  <c r="H35684" i="5"/>
  <c r="H35676" i="5"/>
  <c r="H35668" i="5"/>
  <c r="H35660" i="5"/>
  <c r="H35652" i="5"/>
  <c r="H35644" i="5"/>
  <c r="H35636" i="5"/>
  <c r="H35628" i="5"/>
  <c r="H35620" i="5"/>
  <c r="H35612" i="5"/>
  <c r="H35604" i="5"/>
  <c r="H35596" i="5"/>
  <c r="H35588" i="5"/>
  <c r="H35580" i="5"/>
  <c r="H35572" i="5"/>
  <c r="H35564" i="5"/>
  <c r="H35556" i="5"/>
  <c r="H35548" i="5"/>
  <c r="H35540" i="5"/>
  <c r="H35532" i="5"/>
  <c r="H35524" i="5"/>
  <c r="H35516" i="5"/>
  <c r="H35508" i="5"/>
  <c r="H35500" i="5"/>
  <c r="H35492" i="5"/>
  <c r="H35484" i="5"/>
  <c r="H35476" i="5"/>
  <c r="H35468" i="5"/>
  <c r="H35460" i="5"/>
  <c r="H35452" i="5"/>
  <c r="H35444" i="5"/>
  <c r="H35436" i="5"/>
  <c r="H35428" i="5"/>
  <c r="H35420" i="5"/>
  <c r="H35412" i="5"/>
  <c r="H35404" i="5"/>
  <c r="H35396" i="5"/>
  <c r="H35388" i="5"/>
  <c r="H35380" i="5"/>
  <c r="H35372" i="5"/>
  <c r="H35364" i="5"/>
  <c r="H35356" i="5"/>
  <c r="H35348" i="5"/>
  <c r="H35340" i="5"/>
  <c r="H35332" i="5"/>
  <c r="H35324" i="5"/>
  <c r="H35316" i="5"/>
  <c r="H35308" i="5"/>
  <c r="H35300" i="5"/>
  <c r="H35292" i="5"/>
  <c r="H35284" i="5"/>
  <c r="H35276" i="5"/>
  <c r="H35268" i="5"/>
  <c r="H35260" i="5"/>
  <c r="H35252" i="5"/>
  <c r="H35244" i="5"/>
  <c r="H35236" i="5"/>
  <c r="H35228" i="5"/>
  <c r="H35220" i="5"/>
  <c r="H35212" i="5"/>
  <c r="H35204" i="5"/>
  <c r="H35196" i="5"/>
  <c r="H35188" i="5"/>
  <c r="H35180" i="5"/>
  <c r="H35172" i="5"/>
  <c r="H35164" i="5"/>
  <c r="H35156" i="5"/>
  <c r="H35148" i="5"/>
  <c r="H35140" i="5"/>
  <c r="H35132" i="5"/>
  <c r="H35124" i="5"/>
  <c r="H35116" i="5"/>
  <c r="H35108" i="5"/>
  <c r="H35100" i="5"/>
  <c r="H35092" i="5"/>
  <c r="H35084" i="5"/>
  <c r="H35076" i="5"/>
  <c r="H35068" i="5"/>
  <c r="H35060" i="5"/>
  <c r="H35052" i="5"/>
  <c r="H35044" i="5"/>
  <c r="H35036" i="5"/>
  <c r="H35028" i="5"/>
  <c r="H35020" i="5"/>
  <c r="H35012" i="5"/>
  <c r="H35004" i="5"/>
  <c r="H34996" i="5"/>
  <c r="H34988" i="5"/>
  <c r="H34980" i="5"/>
  <c r="H34972" i="5"/>
  <c r="H34964" i="5"/>
  <c r="H34956" i="5"/>
  <c r="H34948" i="5"/>
  <c r="H34940" i="5"/>
  <c r="H34932" i="5"/>
  <c r="H34924" i="5"/>
  <c r="H34916" i="5"/>
  <c r="H34908" i="5"/>
  <c r="H34900" i="5"/>
  <c r="H41568" i="5"/>
  <c r="H41551" i="5"/>
  <c r="H41532" i="5"/>
  <c r="H41519" i="5"/>
  <c r="H41504" i="5"/>
  <c r="H41489" i="5"/>
  <c r="H41476" i="5"/>
  <c r="H41461" i="5"/>
  <c r="H41447" i="5"/>
  <c r="H41433" i="5"/>
  <c r="H41418" i="5"/>
  <c r="H41404" i="5"/>
  <c r="H41391" i="5"/>
  <c r="H41376" i="5"/>
  <c r="H41361" i="5"/>
  <c r="H41348" i="5"/>
  <c r="H41333" i="5"/>
  <c r="H41319" i="5"/>
  <c r="H41305" i="5"/>
  <c r="H41290" i="5"/>
  <c r="H41279" i="5"/>
  <c r="H41266" i="5"/>
  <c r="H41255" i="5"/>
  <c r="H41242" i="5"/>
  <c r="H41232" i="5"/>
  <c r="H41221" i="5"/>
  <c r="H41210" i="5"/>
  <c r="H41200" i="5"/>
  <c r="H41189" i="5"/>
  <c r="H41178" i="5"/>
  <c r="H41168" i="5"/>
  <c r="H41157" i="5"/>
  <c r="H41146" i="5"/>
  <c r="H41136" i="5"/>
  <c r="H41125" i="5"/>
  <c r="H41114" i="5"/>
  <c r="H41104" i="5"/>
  <c r="H41093" i="5"/>
  <c r="H41082" i="5"/>
  <c r="H41072" i="5"/>
  <c r="H41061" i="5"/>
  <c r="H41050" i="5"/>
  <c r="H41040" i="5"/>
  <c r="H41029" i="5"/>
  <c r="H41018" i="5"/>
  <c r="H41008" i="5"/>
  <c r="H40997" i="5"/>
  <c r="H40986" i="5"/>
  <c r="H40976" i="5"/>
  <c r="H40965" i="5"/>
  <c r="H40954" i="5"/>
  <c r="H40944" i="5"/>
  <c r="H40933" i="5"/>
  <c r="H40922" i="5"/>
  <c r="H40912" i="5"/>
  <c r="H40901" i="5"/>
  <c r="H40890" i="5"/>
  <c r="H40880" i="5"/>
  <c r="H40869" i="5"/>
  <c r="H40858" i="5"/>
  <c r="H40848" i="5"/>
  <c r="H40837" i="5"/>
  <c r="H40826" i="5"/>
  <c r="H40816" i="5"/>
  <c r="H40805" i="5"/>
  <c r="H40794" i="5"/>
  <c r="H40784" i="5"/>
  <c r="H40773" i="5"/>
  <c r="H40762" i="5"/>
  <c r="H40752" i="5"/>
  <c r="H40741" i="5"/>
  <c r="H40730" i="5"/>
  <c r="H40720" i="5"/>
  <c r="H40709" i="5"/>
  <c r="H40698" i="5"/>
  <c r="H40688" i="5"/>
  <c r="H40677" i="5"/>
  <c r="H40666" i="5"/>
  <c r="H40656" i="5"/>
  <c r="H40645" i="5"/>
  <c r="H40634" i="5"/>
  <c r="H40624" i="5"/>
  <c r="H40613" i="5"/>
  <c r="H40602" i="5"/>
  <c r="H40592" i="5"/>
  <c r="H40581" i="5"/>
  <c r="H40570" i="5"/>
  <c r="H40560" i="5"/>
  <c r="H40549" i="5"/>
  <c r="H40538" i="5"/>
  <c r="H40528" i="5"/>
  <c r="H40517" i="5"/>
  <c r="H40506" i="5"/>
  <c r="H40496" i="5"/>
  <c r="H40485" i="5"/>
  <c r="H40474" i="5"/>
  <c r="H40464" i="5"/>
  <c r="H40453" i="5"/>
  <c r="H40442" i="5"/>
  <c r="H40432" i="5"/>
  <c r="H40421" i="5"/>
  <c r="H40410" i="5"/>
  <c r="H40400" i="5"/>
  <c r="H40389" i="5"/>
  <c r="H40378" i="5"/>
  <c r="H40368" i="5"/>
  <c r="H40357" i="5"/>
  <c r="H40346" i="5"/>
  <c r="H40336" i="5"/>
  <c r="H40325" i="5"/>
  <c r="H40314" i="5"/>
  <c r="H40304" i="5"/>
  <c r="H40293" i="5"/>
  <c r="H40282" i="5"/>
  <c r="H40272" i="5"/>
  <c r="H40261" i="5"/>
  <c r="H40250" i="5"/>
  <c r="H40240" i="5"/>
  <c r="H40229" i="5"/>
  <c r="H40218" i="5"/>
  <c r="H40208" i="5"/>
  <c r="H40197" i="5"/>
  <c r="H40186" i="5"/>
  <c r="H40176" i="5"/>
  <c r="H40165" i="5"/>
  <c r="H40154" i="5"/>
  <c r="H40144" i="5"/>
  <c r="H40133" i="5"/>
  <c r="H40122" i="5"/>
  <c r="H40112" i="5"/>
  <c r="H40101" i="5"/>
  <c r="H40090" i="5"/>
  <c r="H40080" i="5"/>
  <c r="H40069" i="5"/>
  <c r="H40058" i="5"/>
  <c r="H40048" i="5"/>
  <c r="H40037" i="5"/>
  <c r="H40026" i="5"/>
  <c r="H40016" i="5"/>
  <c r="H40005" i="5"/>
  <c r="H39994" i="5"/>
  <c r="H39984" i="5"/>
  <c r="H39973" i="5"/>
  <c r="H39962" i="5"/>
  <c r="H39952" i="5"/>
  <c r="H39941" i="5"/>
  <c r="H39930" i="5"/>
  <c r="H39920" i="5"/>
  <c r="H39909" i="5"/>
  <c r="H39898" i="5"/>
  <c r="H39888" i="5"/>
  <c r="H39877" i="5"/>
  <c r="H39866" i="5"/>
  <c r="H39856" i="5"/>
  <c r="H39845" i="5"/>
  <c r="H39834" i="5"/>
  <c r="H39824" i="5"/>
  <c r="H39813" i="5"/>
  <c r="H39802" i="5"/>
  <c r="H39792" i="5"/>
  <c r="H39781" i="5"/>
  <c r="H39770" i="5"/>
  <c r="H39760" i="5"/>
  <c r="H39749" i="5"/>
  <c r="H39738" i="5"/>
  <c r="H39728" i="5"/>
  <c r="H39717" i="5"/>
  <c r="H39706" i="5"/>
  <c r="H39696" i="5"/>
  <c r="H39685" i="5"/>
  <c r="H39674" i="5"/>
  <c r="H39664" i="5"/>
  <c r="H39653" i="5"/>
  <c r="H39642" i="5"/>
  <c r="H39632" i="5"/>
  <c r="H39621" i="5"/>
  <c r="H39610" i="5"/>
  <c r="H39600" i="5"/>
  <c r="H39589" i="5"/>
  <c r="H39578" i="5"/>
  <c r="H39569" i="5"/>
  <c r="H39560" i="5"/>
  <c r="H39551" i="5"/>
  <c r="H39542" i="5"/>
  <c r="H39533" i="5"/>
  <c r="H39524" i="5"/>
  <c r="H39514" i="5"/>
  <c r="H39505" i="5"/>
  <c r="H39496" i="5"/>
  <c r="H39487" i="5"/>
  <c r="H39478" i="5"/>
  <c r="H39469" i="5"/>
  <c r="H39460" i="5"/>
  <c r="H39450" i="5"/>
  <c r="H39441" i="5"/>
  <c r="H39432" i="5"/>
  <c r="H39423" i="5"/>
  <c r="H39414" i="5"/>
  <c r="H39405" i="5"/>
  <c r="H39396" i="5"/>
  <c r="H39386" i="5"/>
  <c r="H39377" i="5"/>
  <c r="H39368" i="5"/>
  <c r="H39359" i="5"/>
  <c r="H39350" i="5"/>
  <c r="H39341" i="5"/>
  <c r="H39332" i="5"/>
  <c r="H39323" i="5"/>
  <c r="H39315" i="5"/>
  <c r="H39307" i="5"/>
  <c r="H39299" i="5"/>
  <c r="H39291" i="5"/>
  <c r="H39283" i="5"/>
  <c r="H39275" i="5"/>
  <c r="H39267" i="5"/>
  <c r="H39259" i="5"/>
  <c r="H39251" i="5"/>
  <c r="H39243" i="5"/>
  <c r="H39235" i="5"/>
  <c r="H39227" i="5"/>
  <c r="H39219" i="5"/>
  <c r="H39211" i="5"/>
  <c r="H39203" i="5"/>
  <c r="H39195" i="5"/>
  <c r="H39187" i="5"/>
  <c r="H39179" i="5"/>
  <c r="H39171" i="5"/>
  <c r="H39163" i="5"/>
  <c r="H39155" i="5"/>
  <c r="H39147" i="5"/>
  <c r="H39139" i="5"/>
  <c r="H39131" i="5"/>
  <c r="H39123" i="5"/>
  <c r="H39115" i="5"/>
  <c r="H39107" i="5"/>
  <c r="H39099" i="5"/>
  <c r="H39091" i="5"/>
  <c r="H39083" i="5"/>
  <c r="H39075" i="5"/>
  <c r="H39067" i="5"/>
  <c r="H39059" i="5"/>
  <c r="H39051" i="5"/>
  <c r="H39043" i="5"/>
  <c r="H39035" i="5"/>
  <c r="H39027" i="5"/>
  <c r="H39019" i="5"/>
  <c r="H39011" i="5"/>
  <c r="H39003" i="5"/>
  <c r="H38995" i="5"/>
  <c r="H38987" i="5"/>
  <c r="H38979" i="5"/>
  <c r="H38971" i="5"/>
  <c r="H38963" i="5"/>
  <c r="H38955" i="5"/>
  <c r="H38947" i="5"/>
  <c r="H38939" i="5"/>
  <c r="H38931" i="5"/>
  <c r="H38923" i="5"/>
  <c r="H38915" i="5"/>
  <c r="H38907" i="5"/>
  <c r="H38899" i="5"/>
  <c r="H38891" i="5"/>
  <c r="H38883" i="5"/>
  <c r="H38875" i="5"/>
  <c r="H38867" i="5"/>
  <c r="H38859" i="5"/>
  <c r="H38851" i="5"/>
  <c r="H38843" i="5"/>
  <c r="H38835" i="5"/>
  <c r="H38827" i="5"/>
  <c r="H38819" i="5"/>
  <c r="H38811" i="5"/>
  <c r="H38803" i="5"/>
  <c r="H38795" i="5"/>
  <c r="H38787" i="5"/>
  <c r="H38779" i="5"/>
  <c r="H38771" i="5"/>
  <c r="H38763" i="5"/>
  <c r="H38755" i="5"/>
  <c r="H38747" i="5"/>
  <c r="H38739" i="5"/>
  <c r="H38731" i="5"/>
  <c r="H38723" i="5"/>
  <c r="H38715" i="5"/>
  <c r="H38707" i="5"/>
  <c r="H38699" i="5"/>
  <c r="H38691" i="5"/>
  <c r="H38683" i="5"/>
  <c r="H38675" i="5"/>
  <c r="H38667" i="5"/>
  <c r="H38659" i="5"/>
  <c r="H38651" i="5"/>
  <c r="H38643" i="5"/>
  <c r="H38635" i="5"/>
  <c r="H38627" i="5"/>
  <c r="H38619" i="5"/>
  <c r="H38611" i="5"/>
  <c r="H38603" i="5"/>
  <c r="H38595" i="5"/>
  <c r="H38587" i="5"/>
  <c r="H38579" i="5"/>
  <c r="H38571" i="5"/>
  <c r="H38563" i="5"/>
  <c r="H38555" i="5"/>
  <c r="H38547" i="5"/>
  <c r="H38539" i="5"/>
  <c r="H38531" i="5"/>
  <c r="H38523" i="5"/>
  <c r="H38515" i="5"/>
  <c r="H38507" i="5"/>
  <c r="H38499" i="5"/>
  <c r="H38491" i="5"/>
  <c r="H38483" i="5"/>
  <c r="H38475" i="5"/>
  <c r="H38467" i="5"/>
  <c r="H38459" i="5"/>
  <c r="H38451" i="5"/>
  <c r="H38443" i="5"/>
  <c r="H38435" i="5"/>
  <c r="H38427" i="5"/>
  <c r="H38419" i="5"/>
  <c r="H38411" i="5"/>
  <c r="H38403" i="5"/>
  <c r="H38395" i="5"/>
  <c r="H38387" i="5"/>
  <c r="H38379" i="5"/>
  <c r="H38371" i="5"/>
  <c r="H38363" i="5"/>
  <c r="H38355" i="5"/>
  <c r="H38347" i="5"/>
  <c r="H38339" i="5"/>
  <c r="H38331" i="5"/>
  <c r="H38323" i="5"/>
  <c r="H38315" i="5"/>
  <c r="H38307" i="5"/>
  <c r="H38299" i="5"/>
  <c r="H38291" i="5"/>
  <c r="H38283" i="5"/>
  <c r="H38275" i="5"/>
  <c r="H38267" i="5"/>
  <c r="H38259" i="5"/>
  <c r="H38251" i="5"/>
  <c r="H38243" i="5"/>
  <c r="H38235" i="5"/>
  <c r="H38227" i="5"/>
  <c r="H38219" i="5"/>
  <c r="H38211" i="5"/>
  <c r="H38203" i="5"/>
  <c r="H38195" i="5"/>
  <c r="H38187" i="5"/>
  <c r="H38179" i="5"/>
  <c r="H38171" i="5"/>
  <c r="H38163" i="5"/>
  <c r="H38155" i="5"/>
  <c r="H38147" i="5"/>
  <c r="H38139" i="5"/>
  <c r="H38131" i="5"/>
  <c r="H38123" i="5"/>
  <c r="H38115" i="5"/>
  <c r="H38107" i="5"/>
  <c r="H38099" i="5"/>
  <c r="H38091" i="5"/>
  <c r="H38083" i="5"/>
  <c r="H38075" i="5"/>
  <c r="H38067" i="5"/>
  <c r="H38059" i="5"/>
  <c r="H38051" i="5"/>
  <c r="H38043" i="5"/>
  <c r="H38035" i="5"/>
  <c r="H38027" i="5"/>
  <c r="H38019" i="5"/>
  <c r="H38011" i="5"/>
  <c r="H38003" i="5"/>
  <c r="H37995" i="5"/>
  <c r="H37987" i="5"/>
  <c r="H37979" i="5"/>
  <c r="H37971" i="5"/>
  <c r="H37963" i="5"/>
  <c r="H37955" i="5"/>
  <c r="H37947" i="5"/>
  <c r="H37939" i="5"/>
  <c r="H37931" i="5"/>
  <c r="H37923" i="5"/>
  <c r="H37915" i="5"/>
  <c r="H37907" i="5"/>
  <c r="H37899" i="5"/>
  <c r="H37891" i="5"/>
  <c r="H37883" i="5"/>
  <c r="H37875" i="5"/>
  <c r="H37867" i="5"/>
  <c r="H37859" i="5"/>
  <c r="H37851" i="5"/>
  <c r="H37843" i="5"/>
  <c r="H37835" i="5"/>
  <c r="H37827" i="5"/>
  <c r="H37819" i="5"/>
  <c r="H37811" i="5"/>
  <c r="H37803" i="5"/>
  <c r="H37795" i="5"/>
  <c r="H37787" i="5"/>
  <c r="H37779" i="5"/>
  <c r="H37771" i="5"/>
  <c r="H37763" i="5"/>
  <c r="H37755" i="5"/>
  <c r="H37747" i="5"/>
  <c r="H37739" i="5"/>
  <c r="H37731" i="5"/>
  <c r="H37723" i="5"/>
  <c r="H37715" i="5"/>
  <c r="H37707" i="5"/>
  <c r="H37699" i="5"/>
  <c r="H37691" i="5"/>
  <c r="H37683" i="5"/>
  <c r="H37675" i="5"/>
  <c r="H37667" i="5"/>
  <c r="H37659" i="5"/>
  <c r="H37651" i="5"/>
  <c r="H37643" i="5"/>
  <c r="H37635" i="5"/>
  <c r="H37627" i="5"/>
  <c r="H37619" i="5"/>
  <c r="H37611" i="5"/>
  <c r="H37603" i="5"/>
  <c r="H37595" i="5"/>
  <c r="H37587" i="5"/>
  <c r="H37579" i="5"/>
  <c r="H37571" i="5"/>
  <c r="H37563" i="5"/>
  <c r="H37555" i="5"/>
  <c r="H37547" i="5"/>
  <c r="H37539" i="5"/>
  <c r="H37531" i="5"/>
  <c r="H37523" i="5"/>
  <c r="H37515" i="5"/>
  <c r="H37507" i="5"/>
  <c r="H37499" i="5"/>
  <c r="H37491" i="5"/>
  <c r="H37483" i="5"/>
  <c r="H37475" i="5"/>
  <c r="H37467" i="5"/>
  <c r="H37459" i="5"/>
  <c r="H37451" i="5"/>
  <c r="H37443" i="5"/>
  <c r="H37435" i="5"/>
  <c r="H37427" i="5"/>
  <c r="H37419" i="5"/>
  <c r="H37411" i="5"/>
  <c r="H37403" i="5"/>
  <c r="H37395" i="5"/>
  <c r="H37387" i="5"/>
  <c r="H37379" i="5"/>
  <c r="H37371" i="5"/>
  <c r="H37363" i="5"/>
  <c r="H37355" i="5"/>
  <c r="H37347" i="5"/>
  <c r="H37339" i="5"/>
  <c r="H37331" i="5"/>
  <c r="H37323" i="5"/>
  <c r="H37315" i="5"/>
  <c r="H37307" i="5"/>
  <c r="H37299" i="5"/>
  <c r="H37291" i="5"/>
  <c r="H37283" i="5"/>
  <c r="H37275" i="5"/>
  <c r="H37267" i="5"/>
  <c r="H37259" i="5"/>
  <c r="H37251" i="5"/>
  <c r="H37243" i="5"/>
  <c r="H37235" i="5"/>
  <c r="H37227" i="5"/>
  <c r="H37219" i="5"/>
  <c r="H37211" i="5"/>
  <c r="H37203" i="5"/>
  <c r="H37195" i="5"/>
  <c r="H37187" i="5"/>
  <c r="H37179" i="5"/>
  <c r="H37171" i="5"/>
  <c r="H37163" i="5"/>
  <c r="H37155" i="5"/>
  <c r="H37147" i="5"/>
  <c r="H37139" i="5"/>
  <c r="H37131" i="5"/>
  <c r="H37123" i="5"/>
  <c r="H37115" i="5"/>
  <c r="H37107" i="5"/>
  <c r="H37099" i="5"/>
  <c r="H37091" i="5"/>
  <c r="H37083" i="5"/>
  <c r="H37075" i="5"/>
  <c r="H37067" i="5"/>
  <c r="H37059" i="5"/>
  <c r="H37051" i="5"/>
  <c r="H37043" i="5"/>
  <c r="H37035" i="5"/>
  <c r="H37027" i="5"/>
  <c r="H37019" i="5"/>
  <c r="H37011" i="5"/>
  <c r="H37003" i="5"/>
  <c r="H36995" i="5"/>
  <c r="H36987" i="5"/>
  <c r="H36979" i="5"/>
  <c r="H36971" i="5"/>
  <c r="H36963" i="5"/>
  <c r="H36955" i="5"/>
  <c r="H36947" i="5"/>
  <c r="H36939" i="5"/>
  <c r="H36931" i="5"/>
  <c r="H36923" i="5"/>
  <c r="H36915" i="5"/>
  <c r="H36907" i="5"/>
  <c r="H36899" i="5"/>
  <c r="H36891" i="5"/>
  <c r="H36883" i="5"/>
  <c r="H36875" i="5"/>
  <c r="H36867" i="5"/>
  <c r="H36859" i="5"/>
  <c r="H36851" i="5"/>
  <c r="H36843" i="5"/>
  <c r="H36835" i="5"/>
  <c r="H36827" i="5"/>
  <c r="H36819" i="5"/>
  <c r="H36811" i="5"/>
  <c r="H36803" i="5"/>
  <c r="H36795" i="5"/>
  <c r="H36787" i="5"/>
  <c r="H36779" i="5"/>
  <c r="H36771" i="5"/>
  <c r="H36763" i="5"/>
  <c r="H36755" i="5"/>
  <c r="H36747" i="5"/>
  <c r="H36739" i="5"/>
  <c r="H36731" i="5"/>
  <c r="H36723" i="5"/>
  <c r="H36715" i="5"/>
  <c r="H36707" i="5"/>
  <c r="H36699" i="5"/>
  <c r="H36691" i="5"/>
  <c r="H36683" i="5"/>
  <c r="H36675" i="5"/>
  <c r="H36667" i="5"/>
  <c r="H36659" i="5"/>
  <c r="H36651" i="5"/>
  <c r="H36643" i="5"/>
  <c r="H36635" i="5"/>
  <c r="H36627" i="5"/>
  <c r="H36619" i="5"/>
  <c r="H36611" i="5"/>
  <c r="H36603" i="5"/>
  <c r="H36595" i="5"/>
  <c r="H36587" i="5"/>
  <c r="H36579" i="5"/>
  <c r="H36571" i="5"/>
  <c r="H36563" i="5"/>
  <c r="H36555" i="5"/>
  <c r="H36547" i="5"/>
  <c r="H36539" i="5"/>
  <c r="H36531" i="5"/>
  <c r="H36523" i="5"/>
  <c r="H36515" i="5"/>
  <c r="H36507" i="5"/>
  <c r="H36499" i="5"/>
  <c r="H36491" i="5"/>
  <c r="H36483" i="5"/>
  <c r="H36475" i="5"/>
  <c r="H36467" i="5"/>
  <c r="H36459" i="5"/>
  <c r="H36451" i="5"/>
  <c r="H36443" i="5"/>
  <c r="H36435" i="5"/>
  <c r="H36427" i="5"/>
  <c r="H36419" i="5"/>
  <c r="H36411" i="5"/>
  <c r="H36403" i="5"/>
  <c r="H36395" i="5"/>
  <c r="H36387" i="5"/>
  <c r="H36379" i="5"/>
  <c r="H36371" i="5"/>
  <c r="H36363" i="5"/>
  <c r="H36355" i="5"/>
  <c r="H36347" i="5"/>
  <c r="H36339" i="5"/>
  <c r="H36331" i="5"/>
  <c r="H36323" i="5"/>
  <c r="H36315" i="5"/>
  <c r="H36307" i="5"/>
  <c r="H36299" i="5"/>
  <c r="H36291" i="5"/>
  <c r="H36283" i="5"/>
  <c r="H36275" i="5"/>
  <c r="H36267" i="5"/>
  <c r="H36259" i="5"/>
  <c r="H36251" i="5"/>
  <c r="H36243" i="5"/>
  <c r="H36235" i="5"/>
  <c r="H36227" i="5"/>
  <c r="H36219" i="5"/>
  <c r="H36211" i="5"/>
  <c r="H36203" i="5"/>
  <c r="H36195" i="5"/>
  <c r="H36187" i="5"/>
  <c r="H36179" i="5"/>
  <c r="H36171" i="5"/>
  <c r="H36163" i="5"/>
  <c r="H36155" i="5"/>
  <c r="H36147" i="5"/>
  <c r="H36139" i="5"/>
  <c r="H36131" i="5"/>
  <c r="H36123" i="5"/>
  <c r="H36115" i="5"/>
  <c r="H36107" i="5"/>
  <c r="H36099" i="5"/>
  <c r="H36091" i="5"/>
  <c r="H36083" i="5"/>
  <c r="H36075" i="5"/>
  <c r="H36067" i="5"/>
  <c r="H36059" i="5"/>
  <c r="H36051" i="5"/>
  <c r="H36043" i="5"/>
  <c r="H36035" i="5"/>
  <c r="H36027" i="5"/>
  <c r="H36019" i="5"/>
  <c r="H36011" i="5"/>
  <c r="H36003" i="5"/>
  <c r="H35995" i="5"/>
  <c r="H35987" i="5"/>
  <c r="H35979" i="5"/>
  <c r="H35971" i="5"/>
  <c r="H35963" i="5"/>
  <c r="H35955" i="5"/>
  <c r="H35947" i="5"/>
  <c r="H35939" i="5"/>
  <c r="H35931" i="5"/>
  <c r="H35923" i="5"/>
  <c r="H35915" i="5"/>
  <c r="H35907" i="5"/>
  <c r="H35899" i="5"/>
  <c r="H35891" i="5"/>
  <c r="H35883" i="5"/>
  <c r="H35875" i="5"/>
  <c r="H35867" i="5"/>
  <c r="H35859" i="5"/>
  <c r="H35851" i="5"/>
  <c r="H35843" i="5"/>
  <c r="H35835" i="5"/>
  <c r="H35827" i="5"/>
  <c r="H35819" i="5"/>
  <c r="H35811" i="5"/>
  <c r="H35803" i="5"/>
  <c r="H35795" i="5"/>
  <c r="H35787" i="5"/>
  <c r="H35779" i="5"/>
  <c r="H35771" i="5"/>
  <c r="H35763" i="5"/>
  <c r="H35755" i="5"/>
  <c r="H35747" i="5"/>
  <c r="H35739" i="5"/>
  <c r="H35731" i="5"/>
  <c r="H35723" i="5"/>
  <c r="H35715" i="5"/>
  <c r="H35707" i="5"/>
  <c r="H35699" i="5"/>
  <c r="H35691" i="5"/>
  <c r="H35683" i="5"/>
  <c r="H35675" i="5"/>
  <c r="H35667" i="5"/>
  <c r="H35659" i="5"/>
  <c r="H35651" i="5"/>
  <c r="H35643" i="5"/>
  <c r="H35635" i="5"/>
  <c r="H35627" i="5"/>
  <c r="H35619" i="5"/>
  <c r="H35611" i="5"/>
  <c r="H35603" i="5"/>
  <c r="H35595" i="5"/>
  <c r="H35587" i="5"/>
  <c r="H35579" i="5"/>
  <c r="H35571" i="5"/>
  <c r="H35563" i="5"/>
  <c r="H35555" i="5"/>
  <c r="H35547" i="5"/>
  <c r="H35539" i="5"/>
  <c r="H35531" i="5"/>
  <c r="H35523" i="5"/>
  <c r="H35515" i="5"/>
  <c r="H35507" i="5"/>
  <c r="H35499" i="5"/>
  <c r="H35491" i="5"/>
  <c r="H35483" i="5"/>
  <c r="H35475" i="5"/>
  <c r="H35467" i="5"/>
  <c r="H35459" i="5"/>
  <c r="H35451" i="5"/>
  <c r="H35443" i="5"/>
  <c r="H35435" i="5"/>
  <c r="H35427" i="5"/>
  <c r="H35419" i="5"/>
  <c r="H35411" i="5"/>
  <c r="H35403" i="5"/>
  <c r="H35395" i="5"/>
  <c r="H35387" i="5"/>
  <c r="H35379" i="5"/>
  <c r="H35371" i="5"/>
  <c r="H35363" i="5"/>
  <c r="H35355" i="5"/>
  <c r="H35347" i="5"/>
  <c r="H35339" i="5"/>
  <c r="H35331" i="5"/>
  <c r="H35323" i="5"/>
  <c r="H35315" i="5"/>
  <c r="H35307" i="5"/>
  <c r="H35299" i="5"/>
  <c r="H35291" i="5"/>
  <c r="H35283" i="5"/>
  <c r="H35275" i="5"/>
  <c r="H35267" i="5"/>
  <c r="H35259" i="5"/>
  <c r="H35251" i="5"/>
  <c r="H35243" i="5"/>
  <c r="H35235" i="5"/>
  <c r="H35227" i="5"/>
  <c r="H35219" i="5"/>
  <c r="H35211" i="5"/>
  <c r="H35203" i="5"/>
  <c r="H35195" i="5"/>
  <c r="H35187" i="5"/>
  <c r="H35179" i="5"/>
  <c r="H35171" i="5"/>
  <c r="H35163" i="5"/>
  <c r="H35155" i="5"/>
  <c r="H35147" i="5"/>
  <c r="H35139" i="5"/>
  <c r="H35131" i="5"/>
  <c r="H35123" i="5"/>
  <c r="H35115" i="5"/>
  <c r="H35107" i="5"/>
  <c r="H35099" i="5"/>
  <c r="H35091" i="5"/>
  <c r="H35083" i="5"/>
  <c r="H35075" i="5"/>
  <c r="H35067" i="5"/>
  <c r="H35059" i="5"/>
  <c r="H35051" i="5"/>
  <c r="H35043" i="5"/>
  <c r="H35035" i="5"/>
  <c r="H35027" i="5"/>
  <c r="H35019" i="5"/>
  <c r="H35011" i="5"/>
  <c r="H35003" i="5"/>
  <c r="H34995" i="5"/>
  <c r="H34987" i="5"/>
  <c r="H34979" i="5"/>
  <c r="H34971" i="5"/>
  <c r="H34963" i="5"/>
  <c r="H34955" i="5"/>
  <c r="H34947" i="5"/>
  <c r="H34939" i="5"/>
  <c r="H34931" i="5"/>
  <c r="H34923" i="5"/>
  <c r="H34915" i="5"/>
  <c r="H34907" i="5"/>
  <c r="H34899" i="5"/>
  <c r="H34891" i="5"/>
  <c r="H34883" i="5"/>
  <c r="H34875" i="5"/>
  <c r="H34867" i="5"/>
  <c r="H34859" i="5"/>
  <c r="H34851" i="5"/>
  <c r="H34843" i="5"/>
  <c r="H34835" i="5"/>
  <c r="H34827" i="5"/>
  <c r="H34819" i="5"/>
  <c r="H34811" i="5"/>
  <c r="H34803" i="5"/>
  <c r="H34795" i="5"/>
  <c r="H34787" i="5"/>
  <c r="H34779" i="5"/>
  <c r="H34771" i="5"/>
  <c r="H34763" i="5"/>
  <c r="H34755" i="5"/>
  <c r="H34747" i="5"/>
  <c r="H34739" i="5"/>
  <c r="H34731" i="5"/>
  <c r="H34723" i="5"/>
  <c r="H34715" i="5"/>
  <c r="H34707" i="5"/>
  <c r="H34699" i="5"/>
  <c r="H34691" i="5"/>
  <c r="H34683" i="5"/>
  <c r="H34675" i="5"/>
  <c r="H34667" i="5"/>
  <c r="H34659" i="5"/>
  <c r="H34651" i="5"/>
  <c r="H34643" i="5"/>
  <c r="H34635" i="5"/>
  <c r="H34627" i="5"/>
  <c r="H34619" i="5"/>
  <c r="H34611" i="5"/>
  <c r="H34603" i="5"/>
  <c r="H34595" i="5"/>
  <c r="H34587" i="5"/>
  <c r="H34579" i="5"/>
  <c r="H34571" i="5"/>
  <c r="H41564" i="5"/>
  <c r="H41548" i="5"/>
  <c r="H41530" i="5"/>
  <c r="H41516" i="5"/>
  <c r="H41503" i="5"/>
  <c r="H41488" i="5"/>
  <c r="H41473" i="5"/>
  <c r="H41460" i="5"/>
  <c r="H41445" i="5"/>
  <c r="H41431" i="5"/>
  <c r="H41417" i="5"/>
  <c r="H41402" i="5"/>
  <c r="H41388" i="5"/>
  <c r="H41375" i="5"/>
  <c r="H41360" i="5"/>
  <c r="H41345" i="5"/>
  <c r="H41332" i="5"/>
  <c r="H41317" i="5"/>
  <c r="H41303" i="5"/>
  <c r="H41289" i="5"/>
  <c r="H41277" i="5"/>
  <c r="H41265" i="5"/>
  <c r="H41253" i="5"/>
  <c r="H41241" i="5"/>
  <c r="H41231" i="5"/>
  <c r="H41220" i="5"/>
  <c r="H41209" i="5"/>
  <c r="H41199" i="5"/>
  <c r="H41188" i="5"/>
  <c r="H41177" i="5"/>
  <c r="H41167" i="5"/>
  <c r="H41156" i="5"/>
  <c r="H41145" i="5"/>
  <c r="H41135" i="5"/>
  <c r="H41124" i="5"/>
  <c r="H41113" i="5"/>
  <c r="H41103" i="5"/>
  <c r="H41092" i="5"/>
  <c r="H41081" i="5"/>
  <c r="H41071" i="5"/>
  <c r="H41060" i="5"/>
  <c r="H41049" i="5"/>
  <c r="H41039" i="5"/>
  <c r="H41028" i="5"/>
  <c r="H41017" i="5"/>
  <c r="H41007" i="5"/>
  <c r="H40996" i="5"/>
  <c r="H40985" i="5"/>
  <c r="H40975" i="5"/>
  <c r="H40964" i="5"/>
  <c r="H40953" i="5"/>
  <c r="H40943" i="5"/>
  <c r="H40932" i="5"/>
  <c r="H40921" i="5"/>
  <c r="H40911" i="5"/>
  <c r="H40900" i="5"/>
  <c r="H40889" i="5"/>
  <c r="H40879" i="5"/>
  <c r="H40868" i="5"/>
  <c r="H40857" i="5"/>
  <c r="H40847" i="5"/>
  <c r="H40836" i="5"/>
  <c r="H40825" i="5"/>
  <c r="H40815" i="5"/>
  <c r="H40804" i="5"/>
  <c r="H40793" i="5"/>
  <c r="H40783" i="5"/>
  <c r="H40772" i="5"/>
  <c r="H40761" i="5"/>
  <c r="H40751" i="5"/>
  <c r="H40740" i="5"/>
  <c r="H40729" i="5"/>
  <c r="H40719" i="5"/>
  <c r="H40708" i="5"/>
  <c r="H40697" i="5"/>
  <c r="H40687" i="5"/>
  <c r="H40676" i="5"/>
  <c r="H40665" i="5"/>
  <c r="H40655" i="5"/>
  <c r="H40644" i="5"/>
  <c r="H40633" i="5"/>
  <c r="H40623" i="5"/>
  <c r="H40612" i="5"/>
  <c r="H40601" i="5"/>
  <c r="H40591" i="5"/>
  <c r="H40580" i="5"/>
  <c r="H40569" i="5"/>
  <c r="H40559" i="5"/>
  <c r="H40548" i="5"/>
  <c r="H40537" i="5"/>
  <c r="H40527" i="5"/>
  <c r="H40516" i="5"/>
  <c r="H40505" i="5"/>
  <c r="H40495" i="5"/>
  <c r="H40484" i="5"/>
  <c r="H40473" i="5"/>
  <c r="H40463" i="5"/>
  <c r="H40452" i="5"/>
  <c r="H40441" i="5"/>
  <c r="H40431" i="5"/>
  <c r="H40420" i="5"/>
  <c r="H40409" i="5"/>
  <c r="H40399" i="5"/>
  <c r="H40388" i="5"/>
  <c r="H40377" i="5"/>
  <c r="H40367" i="5"/>
  <c r="H40356" i="5"/>
  <c r="H40345" i="5"/>
  <c r="H40335" i="5"/>
  <c r="H40324" i="5"/>
  <c r="H40313" i="5"/>
  <c r="H40303" i="5"/>
  <c r="H40292" i="5"/>
  <c r="H40281" i="5"/>
  <c r="H40271" i="5"/>
  <c r="H40260" i="5"/>
  <c r="H40249" i="5"/>
  <c r="H40239" i="5"/>
  <c r="H40228" i="5"/>
  <c r="H40217" i="5"/>
  <c r="H40207" i="5"/>
  <c r="H40196" i="5"/>
  <c r="H40185" i="5"/>
  <c r="H40175" i="5"/>
  <c r="H40164" i="5"/>
  <c r="H40153" i="5"/>
  <c r="H40143" i="5"/>
  <c r="H40132" i="5"/>
  <c r="H40121" i="5"/>
  <c r="H40111" i="5"/>
  <c r="H40100" i="5"/>
  <c r="H40089" i="5"/>
  <c r="H40079" i="5"/>
  <c r="H40068" i="5"/>
  <c r="H40057" i="5"/>
  <c r="H40047" i="5"/>
  <c r="H40036" i="5"/>
  <c r="H40025" i="5"/>
  <c r="H40015" i="5"/>
  <c r="H40004" i="5"/>
  <c r="H39993" i="5"/>
  <c r="H39983" i="5"/>
  <c r="H39972" i="5"/>
  <c r="H39961" i="5"/>
  <c r="H39951" i="5"/>
  <c r="H39940" i="5"/>
  <c r="H39929" i="5"/>
  <c r="H39919" i="5"/>
  <c r="H39908" i="5"/>
  <c r="H39897" i="5"/>
  <c r="H39887" i="5"/>
  <c r="H39876" i="5"/>
  <c r="H39865" i="5"/>
  <c r="H39855" i="5"/>
  <c r="H39844" i="5"/>
  <c r="H39833" i="5"/>
  <c r="H39823" i="5"/>
  <c r="H39812" i="5"/>
  <c r="H39801" i="5"/>
  <c r="H39791" i="5"/>
  <c r="H39780" i="5"/>
  <c r="H39769" i="5"/>
  <c r="H39759" i="5"/>
  <c r="H39748" i="5"/>
  <c r="H39737" i="5"/>
  <c r="H39727" i="5"/>
  <c r="H39716" i="5"/>
  <c r="H39705" i="5"/>
  <c r="H39695" i="5"/>
  <c r="H39684" i="5"/>
  <c r="H39673" i="5"/>
  <c r="H39663" i="5"/>
  <c r="H39652" i="5"/>
  <c r="H39641" i="5"/>
  <c r="H39631" i="5"/>
  <c r="H39620" i="5"/>
  <c r="H39609" i="5"/>
  <c r="H39599" i="5"/>
  <c r="H39588" i="5"/>
  <c r="H39577" i="5"/>
  <c r="H39568" i="5"/>
  <c r="H39559" i="5"/>
  <c r="H39550" i="5"/>
  <c r="H39541" i="5"/>
  <c r="H39532" i="5"/>
  <c r="H39522" i="5"/>
  <c r="H39513" i="5"/>
  <c r="H39504" i="5"/>
  <c r="H39495" i="5"/>
  <c r="H39486" i="5"/>
  <c r="H39477" i="5"/>
  <c r="H39468" i="5"/>
  <c r="H39458" i="5"/>
  <c r="H39449" i="5"/>
  <c r="H39440" i="5"/>
  <c r="H39431" i="5"/>
  <c r="H39422" i="5"/>
  <c r="H39413" i="5"/>
  <c r="H39404" i="5"/>
  <c r="H39394" i="5"/>
  <c r="H39385" i="5"/>
  <c r="H39376" i="5"/>
  <c r="H39367" i="5"/>
  <c r="H39358" i="5"/>
  <c r="H39349" i="5"/>
  <c r="H39340" i="5"/>
  <c r="H39330" i="5"/>
  <c r="H39322" i="5"/>
  <c r="H39314" i="5"/>
  <c r="H39306" i="5"/>
  <c r="H39298" i="5"/>
  <c r="H39290" i="5"/>
  <c r="H39282" i="5"/>
  <c r="H39274" i="5"/>
  <c r="H39266" i="5"/>
  <c r="H39258" i="5"/>
  <c r="H39250" i="5"/>
  <c r="H39242" i="5"/>
  <c r="H39234" i="5"/>
  <c r="H39226" i="5"/>
  <c r="H39218" i="5"/>
  <c r="H39210" i="5"/>
  <c r="H39202" i="5"/>
  <c r="H39194" i="5"/>
  <c r="H39186" i="5"/>
  <c r="H39178" i="5"/>
  <c r="H39170" i="5"/>
  <c r="H39162" i="5"/>
  <c r="H39154" i="5"/>
  <c r="H39146" i="5"/>
  <c r="H39138" i="5"/>
  <c r="H39130" i="5"/>
  <c r="H39122" i="5"/>
  <c r="H39114" i="5"/>
  <c r="H39106" i="5"/>
  <c r="H39098" i="5"/>
  <c r="H39090" i="5"/>
  <c r="H39082" i="5"/>
  <c r="H39074" i="5"/>
  <c r="H39066" i="5"/>
  <c r="H39058" i="5"/>
  <c r="H39050" i="5"/>
  <c r="H39042" i="5"/>
  <c r="H39034" i="5"/>
  <c r="H39026" i="5"/>
  <c r="H39018" i="5"/>
  <c r="H39010" i="5"/>
  <c r="H39002" i="5"/>
  <c r="H38994" i="5"/>
  <c r="H38986" i="5"/>
  <c r="H38978" i="5"/>
  <c r="H38970" i="5"/>
  <c r="H38962" i="5"/>
  <c r="H38954" i="5"/>
  <c r="H38946" i="5"/>
  <c r="H38938" i="5"/>
  <c r="H38930" i="5"/>
  <c r="H38922" i="5"/>
  <c r="H38914" i="5"/>
  <c r="H38906" i="5"/>
  <c r="H38898" i="5"/>
  <c r="H38890" i="5"/>
  <c r="H38882" i="5"/>
  <c r="H38874" i="5"/>
  <c r="H38866" i="5"/>
  <c r="H38858" i="5"/>
  <c r="H38850" i="5"/>
  <c r="H38842" i="5"/>
  <c r="H38834" i="5"/>
  <c r="H38826" i="5"/>
  <c r="H38818" i="5"/>
  <c r="H38810" i="5"/>
  <c r="H38802" i="5"/>
  <c r="H38794" i="5"/>
  <c r="H38786" i="5"/>
  <c r="H38778" i="5"/>
  <c r="H38770" i="5"/>
  <c r="H38762" i="5"/>
  <c r="H38754" i="5"/>
  <c r="H38746" i="5"/>
  <c r="H38738" i="5"/>
  <c r="H38730" i="5"/>
  <c r="H38722" i="5"/>
  <c r="H38714" i="5"/>
  <c r="H38706" i="5"/>
  <c r="H38698" i="5"/>
  <c r="H38690" i="5"/>
  <c r="H38682" i="5"/>
  <c r="H38674" i="5"/>
  <c r="H38666" i="5"/>
  <c r="H38658" i="5"/>
  <c r="H38650" i="5"/>
  <c r="H38642" i="5"/>
  <c r="H38634" i="5"/>
  <c r="H38626" i="5"/>
  <c r="H38618" i="5"/>
  <c r="H38610" i="5"/>
  <c r="H38602" i="5"/>
  <c r="H38594" i="5"/>
  <c r="H38586" i="5"/>
  <c r="H38578" i="5"/>
  <c r="H38570" i="5"/>
  <c r="H38562" i="5"/>
  <c r="H38554" i="5"/>
  <c r="H38546" i="5"/>
  <c r="H38538" i="5"/>
  <c r="H38530" i="5"/>
  <c r="H38522" i="5"/>
  <c r="H38514" i="5"/>
  <c r="H38506" i="5"/>
  <c r="H38498" i="5"/>
  <c r="H38490" i="5"/>
  <c r="H38482" i="5"/>
  <c r="H38474" i="5"/>
  <c r="H38466" i="5"/>
  <c r="H38458" i="5"/>
  <c r="H38450" i="5"/>
  <c r="H38442" i="5"/>
  <c r="H38434" i="5"/>
  <c r="H38426" i="5"/>
  <c r="H38418" i="5"/>
  <c r="H38410" i="5"/>
  <c r="H38402" i="5"/>
  <c r="H38394" i="5"/>
  <c r="H38386" i="5"/>
  <c r="H38378" i="5"/>
  <c r="H38370" i="5"/>
  <c r="H38362" i="5"/>
  <c r="H38354" i="5"/>
  <c r="H38346" i="5"/>
  <c r="H38338" i="5"/>
  <c r="H38330" i="5"/>
  <c r="H38322" i="5"/>
  <c r="H38314" i="5"/>
  <c r="H38306" i="5"/>
  <c r="H38298" i="5"/>
  <c r="H38290" i="5"/>
  <c r="H38282" i="5"/>
  <c r="H38274" i="5"/>
  <c r="H38266" i="5"/>
  <c r="H38258" i="5"/>
  <c r="H38250" i="5"/>
  <c r="H38242" i="5"/>
  <c r="H38234" i="5"/>
  <c r="H38226" i="5"/>
  <c r="H38218" i="5"/>
  <c r="H38210" i="5"/>
  <c r="H38202" i="5"/>
  <c r="H38194" i="5"/>
  <c r="H38186" i="5"/>
  <c r="H38178" i="5"/>
  <c r="H38170" i="5"/>
  <c r="H38162" i="5"/>
  <c r="H38154" i="5"/>
  <c r="H38146" i="5"/>
  <c r="H38138" i="5"/>
  <c r="H38130" i="5"/>
  <c r="H38122" i="5"/>
  <c r="H38114" i="5"/>
  <c r="H38106" i="5"/>
  <c r="H38098" i="5"/>
  <c r="H38090" i="5"/>
  <c r="H38082" i="5"/>
  <c r="H38074" i="5"/>
  <c r="H38066" i="5"/>
  <c r="H38058" i="5"/>
  <c r="H38050" i="5"/>
  <c r="H38042" i="5"/>
  <c r="H38034" i="5"/>
  <c r="H38026" i="5"/>
  <c r="H38018" i="5"/>
  <c r="H38010" i="5"/>
  <c r="H38002" i="5"/>
  <c r="H37994" i="5"/>
  <c r="H37986" i="5"/>
  <c r="H37978" i="5"/>
  <c r="H37970" i="5"/>
  <c r="H37962" i="5"/>
  <c r="H37954" i="5"/>
  <c r="H37946" i="5"/>
  <c r="H37938" i="5"/>
  <c r="H37930" i="5"/>
  <c r="H37922" i="5"/>
  <c r="H37914" i="5"/>
  <c r="H37906" i="5"/>
  <c r="H37898" i="5"/>
  <c r="H37890" i="5"/>
  <c r="H37882" i="5"/>
  <c r="H37874" i="5"/>
  <c r="H37866" i="5"/>
  <c r="H37858" i="5"/>
  <c r="H37850" i="5"/>
  <c r="H37842" i="5"/>
  <c r="H37834" i="5"/>
  <c r="H37826" i="5"/>
  <c r="H37818" i="5"/>
  <c r="H37810" i="5"/>
  <c r="H37802" i="5"/>
  <c r="H37794" i="5"/>
  <c r="H37786" i="5"/>
  <c r="H37778" i="5"/>
  <c r="H37770" i="5"/>
  <c r="H37762" i="5"/>
  <c r="H37754" i="5"/>
  <c r="H37746" i="5"/>
  <c r="H37738" i="5"/>
  <c r="H37730" i="5"/>
  <c r="H37722" i="5"/>
  <c r="H37714" i="5"/>
  <c r="H37706" i="5"/>
  <c r="H37698" i="5"/>
  <c r="H37690" i="5"/>
  <c r="H37682" i="5"/>
  <c r="H37674" i="5"/>
  <c r="H37666" i="5"/>
  <c r="H37658" i="5"/>
  <c r="H37650" i="5"/>
  <c r="H37642" i="5"/>
  <c r="H37634" i="5"/>
  <c r="H37626" i="5"/>
  <c r="H37618" i="5"/>
  <c r="H37610" i="5"/>
  <c r="H37602" i="5"/>
  <c r="H37594" i="5"/>
  <c r="H37586" i="5"/>
  <c r="H37578" i="5"/>
  <c r="H37570" i="5"/>
  <c r="H37562" i="5"/>
  <c r="H37554" i="5"/>
  <c r="H37546" i="5"/>
  <c r="H37538" i="5"/>
  <c r="H37530" i="5"/>
  <c r="H37522" i="5"/>
  <c r="H37514" i="5"/>
  <c r="H37506" i="5"/>
  <c r="H37498" i="5"/>
  <c r="H37490" i="5"/>
  <c r="H37482" i="5"/>
  <c r="H37474" i="5"/>
  <c r="H37466" i="5"/>
  <c r="H37458" i="5"/>
  <c r="H37450" i="5"/>
  <c r="H37442" i="5"/>
  <c r="H37434" i="5"/>
  <c r="H37426" i="5"/>
  <c r="H37418" i="5"/>
  <c r="H37410" i="5"/>
  <c r="H37402" i="5"/>
  <c r="H37394" i="5"/>
  <c r="H37386" i="5"/>
  <c r="H37378" i="5"/>
  <c r="H37370" i="5"/>
  <c r="H37362" i="5"/>
  <c r="H37354" i="5"/>
  <c r="H37346" i="5"/>
  <c r="H37338" i="5"/>
  <c r="H37330" i="5"/>
  <c r="H37322" i="5"/>
  <c r="H37314" i="5"/>
  <c r="H37306" i="5"/>
  <c r="H37298" i="5"/>
  <c r="H37290" i="5"/>
  <c r="H37282" i="5"/>
  <c r="H37274" i="5"/>
  <c r="H37266" i="5"/>
  <c r="H37258" i="5"/>
  <c r="H37250" i="5"/>
  <c r="H37242" i="5"/>
  <c r="H37234" i="5"/>
  <c r="H37226" i="5"/>
  <c r="H37218" i="5"/>
  <c r="H37210" i="5"/>
  <c r="H37202" i="5"/>
  <c r="H37194" i="5"/>
  <c r="H37186" i="5"/>
  <c r="H37178" i="5"/>
  <c r="H37170" i="5"/>
  <c r="H37162" i="5"/>
  <c r="H37154" i="5"/>
  <c r="H37146" i="5"/>
  <c r="H37138" i="5"/>
  <c r="H37130" i="5"/>
  <c r="H37122" i="5"/>
  <c r="H37114" i="5"/>
  <c r="H37106" i="5"/>
  <c r="H37098" i="5"/>
  <c r="H37090" i="5"/>
  <c r="H37082" i="5"/>
  <c r="H37074" i="5"/>
  <c r="H37066" i="5"/>
  <c r="H37058" i="5"/>
  <c r="H37050" i="5"/>
  <c r="H37042" i="5"/>
  <c r="H37034" i="5"/>
  <c r="H37026" i="5"/>
  <c r="H37018" i="5"/>
  <c r="H37010" i="5"/>
  <c r="H37002" i="5"/>
  <c r="H36994" i="5"/>
  <c r="H36986" i="5"/>
  <c r="H36978" i="5"/>
  <c r="H36970" i="5"/>
  <c r="H36962" i="5"/>
  <c r="H36954" i="5"/>
  <c r="H36946" i="5"/>
  <c r="H36938" i="5"/>
  <c r="H36930" i="5"/>
  <c r="H36922" i="5"/>
  <c r="H36914" i="5"/>
  <c r="H36906" i="5"/>
  <c r="H36898" i="5"/>
  <c r="H36890" i="5"/>
  <c r="H36882" i="5"/>
  <c r="H36874" i="5"/>
  <c r="H36866" i="5"/>
  <c r="H36858" i="5"/>
  <c r="H36850" i="5"/>
  <c r="H36842" i="5"/>
  <c r="H36834" i="5"/>
  <c r="H36826" i="5"/>
  <c r="H36818" i="5"/>
  <c r="H36810" i="5"/>
  <c r="H36802" i="5"/>
  <c r="H36794" i="5"/>
  <c r="H36786" i="5"/>
  <c r="H36778" i="5"/>
  <c r="H36770" i="5"/>
  <c r="H36762" i="5"/>
  <c r="H36754" i="5"/>
  <c r="H36746" i="5"/>
  <c r="H36738" i="5"/>
  <c r="H36730" i="5"/>
  <c r="H36722" i="5"/>
  <c r="H36714" i="5"/>
  <c r="H36706" i="5"/>
  <c r="H36698" i="5"/>
  <c r="H36690" i="5"/>
  <c r="H36682" i="5"/>
  <c r="H36674" i="5"/>
  <c r="H36666" i="5"/>
  <c r="H36658" i="5"/>
  <c r="H36650" i="5"/>
  <c r="H36642" i="5"/>
  <c r="H36634" i="5"/>
  <c r="H36626" i="5"/>
  <c r="H36618" i="5"/>
  <c r="H36610" i="5"/>
  <c r="H36602" i="5"/>
  <c r="H36594" i="5"/>
  <c r="H36586" i="5"/>
  <c r="H36578" i="5"/>
  <c r="H36570" i="5"/>
  <c r="H36562" i="5"/>
  <c r="H36554" i="5"/>
  <c r="H36546" i="5"/>
  <c r="H36538" i="5"/>
  <c r="H36530" i="5"/>
  <c r="H36522" i="5"/>
  <c r="H36514" i="5"/>
  <c r="H36506" i="5"/>
  <c r="H36498" i="5"/>
  <c r="H36490" i="5"/>
  <c r="H36482" i="5"/>
  <c r="H36474" i="5"/>
  <c r="H36466" i="5"/>
  <c r="H36458" i="5"/>
  <c r="H36450" i="5"/>
  <c r="H36442" i="5"/>
  <c r="H36434" i="5"/>
  <c r="H36426" i="5"/>
  <c r="H36418" i="5"/>
  <c r="H36410" i="5"/>
  <c r="H36402" i="5"/>
  <c r="H36394" i="5"/>
  <c r="H36386" i="5"/>
  <c r="H36378" i="5"/>
  <c r="H36370" i="5"/>
  <c r="H36362" i="5"/>
  <c r="H36354" i="5"/>
  <c r="H36346" i="5"/>
  <c r="H36338" i="5"/>
  <c r="H36330" i="5"/>
  <c r="H36322" i="5"/>
  <c r="H36314" i="5"/>
  <c r="H36306" i="5"/>
  <c r="H36298" i="5"/>
  <c r="H36290" i="5"/>
  <c r="H36282" i="5"/>
  <c r="H36274" i="5"/>
  <c r="H36266" i="5"/>
  <c r="H36258" i="5"/>
  <c r="H36250" i="5"/>
  <c r="H36242" i="5"/>
  <c r="H36234" i="5"/>
  <c r="H36226" i="5"/>
  <c r="H36218" i="5"/>
  <c r="H36210" i="5"/>
  <c r="H36202" i="5"/>
  <c r="H36194" i="5"/>
  <c r="H36186" i="5"/>
  <c r="H36178" i="5"/>
  <c r="H36170" i="5"/>
  <c r="H36162" i="5"/>
  <c r="H36154" i="5"/>
  <c r="H36146" i="5"/>
  <c r="H36138" i="5"/>
  <c r="H36130" i="5"/>
  <c r="H36122" i="5"/>
  <c r="H36114" i="5"/>
  <c r="H36106" i="5"/>
  <c r="H36098" i="5"/>
  <c r="H36090" i="5"/>
  <c r="H36082" i="5"/>
  <c r="H36074" i="5"/>
  <c r="H36066" i="5"/>
  <c r="H36058" i="5"/>
  <c r="H36050" i="5"/>
  <c r="H36042" i="5"/>
  <c r="H36034" i="5"/>
  <c r="H36026" i="5"/>
  <c r="H36018" i="5"/>
  <c r="H36010" i="5"/>
  <c r="H36002" i="5"/>
  <c r="H35994" i="5"/>
  <c r="H35986" i="5"/>
  <c r="H35978" i="5"/>
  <c r="H35970" i="5"/>
  <c r="H35962" i="5"/>
  <c r="H35954" i="5"/>
  <c r="H35946" i="5"/>
  <c r="H35938" i="5"/>
  <c r="H35930" i="5"/>
  <c r="H35922" i="5"/>
  <c r="H35914" i="5"/>
  <c r="H35906" i="5"/>
  <c r="H35898" i="5"/>
  <c r="H35890" i="5"/>
  <c r="H35882" i="5"/>
  <c r="H35874" i="5"/>
  <c r="H35866" i="5"/>
  <c r="H35858" i="5"/>
  <c r="H35850" i="5"/>
  <c r="H35842" i="5"/>
  <c r="H35834" i="5"/>
  <c r="H35826" i="5"/>
  <c r="H35818" i="5"/>
  <c r="H35810" i="5"/>
  <c r="H35802" i="5"/>
  <c r="H35794" i="5"/>
  <c r="H35786" i="5"/>
  <c r="H35778" i="5"/>
  <c r="H35770" i="5"/>
  <c r="H35762" i="5"/>
  <c r="H35754" i="5"/>
  <c r="H35746" i="5"/>
  <c r="H35738" i="5"/>
  <c r="H35730" i="5"/>
  <c r="H35722" i="5"/>
  <c r="H35714" i="5"/>
  <c r="H35706" i="5"/>
  <c r="H35698" i="5"/>
  <c r="H35690" i="5"/>
  <c r="H35682" i="5"/>
  <c r="H35674" i="5"/>
  <c r="H35666" i="5"/>
  <c r="H35658" i="5"/>
  <c r="H35650" i="5"/>
  <c r="H35642" i="5"/>
  <c r="H35634" i="5"/>
  <c r="H35626" i="5"/>
  <c r="H35618" i="5"/>
  <c r="H35610" i="5"/>
  <c r="H35602" i="5"/>
  <c r="H35594" i="5"/>
  <c r="H35586" i="5"/>
  <c r="H35578" i="5"/>
  <c r="H35570" i="5"/>
  <c r="H35562" i="5"/>
  <c r="H35554" i="5"/>
  <c r="H35546" i="5"/>
  <c r="H35538" i="5"/>
  <c r="H35530" i="5"/>
  <c r="H35522" i="5"/>
  <c r="H35514" i="5"/>
  <c r="H35506" i="5"/>
  <c r="H35498" i="5"/>
  <c r="H35490" i="5"/>
  <c r="H35482" i="5"/>
  <c r="H35474" i="5"/>
  <c r="H35466" i="5"/>
  <c r="H35458" i="5"/>
  <c r="H35450" i="5"/>
  <c r="H35442" i="5"/>
  <c r="H35434" i="5"/>
  <c r="H35426" i="5"/>
  <c r="H35418" i="5"/>
  <c r="H35410" i="5"/>
  <c r="H35402" i="5"/>
  <c r="H35394" i="5"/>
  <c r="H35386" i="5"/>
  <c r="H35378" i="5"/>
  <c r="H35370" i="5"/>
  <c r="H35362" i="5"/>
  <c r="H35354" i="5"/>
  <c r="H35346" i="5"/>
  <c r="H35338" i="5"/>
  <c r="H35330" i="5"/>
  <c r="H35322" i="5"/>
  <c r="H35314" i="5"/>
  <c r="H35306" i="5"/>
  <c r="H35298" i="5"/>
  <c r="H35290" i="5"/>
  <c r="H35282" i="5"/>
  <c r="H35274" i="5"/>
  <c r="H35266" i="5"/>
  <c r="H35258" i="5"/>
  <c r="H35250" i="5"/>
  <c r="H35242" i="5"/>
  <c r="H35234" i="5"/>
  <c r="H35226" i="5"/>
  <c r="H35218" i="5"/>
  <c r="H35210" i="5"/>
  <c r="H35202" i="5"/>
  <c r="H35194" i="5"/>
  <c r="H35186" i="5"/>
  <c r="H35178" i="5"/>
  <c r="H35170" i="5"/>
  <c r="H35162" i="5"/>
  <c r="H35154" i="5"/>
  <c r="H35146" i="5"/>
  <c r="H35138" i="5"/>
  <c r="H35130" i="5"/>
  <c r="H35122" i="5"/>
  <c r="H35114" i="5"/>
  <c r="H35106" i="5"/>
  <c r="H35098" i="5"/>
  <c r="H35090" i="5"/>
  <c r="H35082" i="5"/>
  <c r="H35074" i="5"/>
  <c r="H35066" i="5"/>
  <c r="H35058" i="5"/>
  <c r="H35050" i="5"/>
  <c r="H35042" i="5"/>
  <c r="H35034" i="5"/>
  <c r="H35026" i="5"/>
  <c r="H35018" i="5"/>
  <c r="H35010" i="5"/>
  <c r="H35002" i="5"/>
  <c r="H34994" i="5"/>
  <c r="H34986" i="5"/>
  <c r="H34978" i="5"/>
  <c r="H34970" i="5"/>
  <c r="H34962" i="5"/>
  <c r="H34954" i="5"/>
  <c r="H41562" i="5"/>
  <c r="H41546" i="5"/>
  <c r="H41529" i="5"/>
  <c r="H41514" i="5"/>
  <c r="H41500" i="5"/>
  <c r="H41487" i="5"/>
  <c r="H41472" i="5"/>
  <c r="H41457" i="5"/>
  <c r="H41444" i="5"/>
  <c r="H41429" i="5"/>
  <c r="H41415" i="5"/>
  <c r="H41401" i="5"/>
  <c r="H41386" i="5"/>
  <c r="H41372" i="5"/>
  <c r="H41359" i="5"/>
  <c r="H41344" i="5"/>
  <c r="H41329" i="5"/>
  <c r="H41316" i="5"/>
  <c r="H41301" i="5"/>
  <c r="H41288" i="5"/>
  <c r="H41276" i="5"/>
  <c r="H41264" i="5"/>
  <c r="H41252" i="5"/>
  <c r="H41240" i="5"/>
  <c r="H41229" i="5"/>
  <c r="H41218" i="5"/>
  <c r="H41208" i="5"/>
  <c r="H41197" i="5"/>
  <c r="H41186" i="5"/>
  <c r="H41176" i="5"/>
  <c r="H41165" i="5"/>
  <c r="H41154" i="5"/>
  <c r="H41144" i="5"/>
  <c r="H41133" i="5"/>
  <c r="H41122" i="5"/>
  <c r="H41112" i="5"/>
  <c r="H41101" i="5"/>
  <c r="H41090" i="5"/>
  <c r="H41080" i="5"/>
  <c r="H41069" i="5"/>
  <c r="H41058" i="5"/>
  <c r="H41048" i="5"/>
  <c r="H41037" i="5"/>
  <c r="H41026" i="5"/>
  <c r="H41016" i="5"/>
  <c r="H41005" i="5"/>
  <c r="H40994" i="5"/>
  <c r="H40984" i="5"/>
  <c r="H40973" i="5"/>
  <c r="H40962" i="5"/>
  <c r="H40952" i="5"/>
  <c r="H40941" i="5"/>
  <c r="H40930" i="5"/>
  <c r="H40920" i="5"/>
  <c r="H40909" i="5"/>
  <c r="H40898" i="5"/>
  <c r="H40888" i="5"/>
  <c r="H40877" i="5"/>
  <c r="H40866" i="5"/>
  <c r="H40856" i="5"/>
  <c r="H40845" i="5"/>
  <c r="H40834" i="5"/>
  <c r="H40824" i="5"/>
  <c r="H40813" i="5"/>
  <c r="H40802" i="5"/>
  <c r="H40792" i="5"/>
  <c r="H40781" i="5"/>
  <c r="H40770" i="5"/>
  <c r="H40760" i="5"/>
  <c r="H40749" i="5"/>
  <c r="H40738" i="5"/>
  <c r="H40728" i="5"/>
  <c r="H40717" i="5"/>
  <c r="H40706" i="5"/>
  <c r="H40696" i="5"/>
  <c r="H40685" i="5"/>
  <c r="H40674" i="5"/>
  <c r="H40664" i="5"/>
  <c r="H40653" i="5"/>
  <c r="H40642" i="5"/>
  <c r="H40632" i="5"/>
  <c r="H40621" i="5"/>
  <c r="H40610" i="5"/>
  <c r="H40600" i="5"/>
  <c r="H40589" i="5"/>
  <c r="H40578" i="5"/>
  <c r="H40568" i="5"/>
  <c r="H40557" i="5"/>
  <c r="H40546" i="5"/>
  <c r="H40536" i="5"/>
  <c r="H40525" i="5"/>
  <c r="H40514" i="5"/>
  <c r="H40504" i="5"/>
  <c r="H40493" i="5"/>
  <c r="H40482" i="5"/>
  <c r="H40472" i="5"/>
  <c r="H40461" i="5"/>
  <c r="H40450" i="5"/>
  <c r="H40440" i="5"/>
  <c r="H40429" i="5"/>
  <c r="H40418" i="5"/>
  <c r="H40408" i="5"/>
  <c r="H40397" i="5"/>
  <c r="H40386" i="5"/>
  <c r="H40376" i="5"/>
  <c r="H40365" i="5"/>
  <c r="H40354" i="5"/>
  <c r="H40344" i="5"/>
  <c r="H40333" i="5"/>
  <c r="H40322" i="5"/>
  <c r="H40312" i="5"/>
  <c r="H40301" i="5"/>
  <c r="H40290" i="5"/>
  <c r="H40280" i="5"/>
  <c r="H40269" i="5"/>
  <c r="H40258" i="5"/>
  <c r="H40248" i="5"/>
  <c r="H40237" i="5"/>
  <c r="H40226" i="5"/>
  <c r="H40216" i="5"/>
  <c r="H40205" i="5"/>
  <c r="H40194" i="5"/>
  <c r="H40184" i="5"/>
  <c r="H40173" i="5"/>
  <c r="H40162" i="5"/>
  <c r="H40152" i="5"/>
  <c r="H40141" i="5"/>
  <c r="H40130" i="5"/>
  <c r="H40120" i="5"/>
  <c r="H40109" i="5"/>
  <c r="H40098" i="5"/>
  <c r="H40088" i="5"/>
  <c r="H40077" i="5"/>
  <c r="H40066" i="5"/>
  <c r="H40056" i="5"/>
  <c r="H40045" i="5"/>
  <c r="H40034" i="5"/>
  <c r="H40024" i="5"/>
  <c r="H40013" i="5"/>
  <c r="H40002" i="5"/>
  <c r="H39992" i="5"/>
  <c r="H39981" i="5"/>
  <c r="H39970" i="5"/>
  <c r="H39960" i="5"/>
  <c r="H39949" i="5"/>
  <c r="H39938" i="5"/>
  <c r="H39928" i="5"/>
  <c r="H39917" i="5"/>
  <c r="H39906" i="5"/>
  <c r="H39896" i="5"/>
  <c r="H39885" i="5"/>
  <c r="H39874" i="5"/>
  <c r="H39864" i="5"/>
  <c r="H39853" i="5"/>
  <c r="H39842" i="5"/>
  <c r="H39832" i="5"/>
  <c r="H39821" i="5"/>
  <c r="H39810" i="5"/>
  <c r="H39800" i="5"/>
  <c r="H39789" i="5"/>
  <c r="H39778" i="5"/>
  <c r="H39768" i="5"/>
  <c r="H39757" i="5"/>
  <c r="H39746" i="5"/>
  <c r="H39736" i="5"/>
  <c r="H39725" i="5"/>
  <c r="H39714" i="5"/>
  <c r="H39704" i="5"/>
  <c r="H39693" i="5"/>
  <c r="H39682" i="5"/>
  <c r="H39672" i="5"/>
  <c r="H39661" i="5"/>
  <c r="H39650" i="5"/>
  <c r="H39640" i="5"/>
  <c r="H39629" i="5"/>
  <c r="H39618" i="5"/>
  <c r="H39608" i="5"/>
  <c r="H39597" i="5"/>
  <c r="H39586" i="5"/>
  <c r="H39576" i="5"/>
  <c r="H39567" i="5"/>
  <c r="H39558" i="5"/>
  <c r="H39549" i="5"/>
  <c r="H39540" i="5"/>
  <c r="H39530" i="5"/>
  <c r="H39521" i="5"/>
  <c r="H39512" i="5"/>
  <c r="H39503" i="5"/>
  <c r="H39494" i="5"/>
  <c r="H39485" i="5"/>
  <c r="H39476" i="5"/>
  <c r="H39466" i="5"/>
  <c r="H39457" i="5"/>
  <c r="H39448" i="5"/>
  <c r="H39439" i="5"/>
  <c r="H39430" i="5"/>
  <c r="H39421" i="5"/>
  <c r="H39412" i="5"/>
  <c r="H39402" i="5"/>
  <c r="H39393" i="5"/>
  <c r="H39384" i="5"/>
  <c r="H39375" i="5"/>
  <c r="H39366" i="5"/>
  <c r="H39357" i="5"/>
  <c r="H39348" i="5"/>
  <c r="H39338" i="5"/>
  <c r="H39329" i="5"/>
  <c r="H39321" i="5"/>
  <c r="H39313" i="5"/>
  <c r="H39305" i="5"/>
  <c r="H39297" i="5"/>
  <c r="H39289" i="5"/>
  <c r="H39281" i="5"/>
  <c r="H39273" i="5"/>
  <c r="H39265" i="5"/>
  <c r="H39257" i="5"/>
  <c r="H39249" i="5"/>
  <c r="H39241" i="5"/>
  <c r="H39233" i="5"/>
  <c r="H39225" i="5"/>
  <c r="H39217" i="5"/>
  <c r="H39209" i="5"/>
  <c r="H39201" i="5"/>
  <c r="H39193" i="5"/>
  <c r="H39185" i="5"/>
  <c r="H39177" i="5"/>
  <c r="H39169" i="5"/>
  <c r="H39161" i="5"/>
  <c r="H39153" i="5"/>
  <c r="H39145" i="5"/>
  <c r="H39137" i="5"/>
  <c r="H39129" i="5"/>
  <c r="H39121" i="5"/>
  <c r="H39113" i="5"/>
  <c r="H39105" i="5"/>
  <c r="H39097" i="5"/>
  <c r="H39089" i="5"/>
  <c r="H39081" i="5"/>
  <c r="H39073" i="5"/>
  <c r="H39065" i="5"/>
  <c r="H39057" i="5"/>
  <c r="H39049" i="5"/>
  <c r="H39041" i="5"/>
  <c r="H39033" i="5"/>
  <c r="H39025" i="5"/>
  <c r="H39017" i="5"/>
  <c r="H39009" i="5"/>
  <c r="H39001" i="5"/>
  <c r="H38993" i="5"/>
  <c r="H38985" i="5"/>
  <c r="H38977" i="5"/>
  <c r="H38969" i="5"/>
  <c r="H38961" i="5"/>
  <c r="H38953" i="5"/>
  <c r="H38945" i="5"/>
  <c r="H38937" i="5"/>
  <c r="H38929" i="5"/>
  <c r="H38921" i="5"/>
  <c r="H38913" i="5"/>
  <c r="H38905" i="5"/>
  <c r="H38897" i="5"/>
  <c r="H38889" i="5"/>
  <c r="H38881" i="5"/>
  <c r="H38873" i="5"/>
  <c r="H38865" i="5"/>
  <c r="H38857" i="5"/>
  <c r="H38849" i="5"/>
  <c r="H38841" i="5"/>
  <c r="H38833" i="5"/>
  <c r="H38825" i="5"/>
  <c r="H38817" i="5"/>
  <c r="H38809" i="5"/>
  <c r="H38801" i="5"/>
  <c r="H38793" i="5"/>
  <c r="H38785" i="5"/>
  <c r="H38777" i="5"/>
  <c r="H38769" i="5"/>
  <c r="H38761" i="5"/>
  <c r="H38753" i="5"/>
  <c r="H38745" i="5"/>
  <c r="H38737" i="5"/>
  <c r="H38729" i="5"/>
  <c r="H38721" i="5"/>
  <c r="H38713" i="5"/>
  <c r="H38705" i="5"/>
  <c r="H38697" i="5"/>
  <c r="H38689" i="5"/>
  <c r="H38681" i="5"/>
  <c r="H38673" i="5"/>
  <c r="H38665" i="5"/>
  <c r="H38657" i="5"/>
  <c r="H38649" i="5"/>
  <c r="H38641" i="5"/>
  <c r="H38633" i="5"/>
  <c r="H38625" i="5"/>
  <c r="H38617" i="5"/>
  <c r="H38609" i="5"/>
  <c r="H38601" i="5"/>
  <c r="H38593" i="5"/>
  <c r="H38585" i="5"/>
  <c r="H38577" i="5"/>
  <c r="H38569" i="5"/>
  <c r="H38561" i="5"/>
  <c r="H38553" i="5"/>
  <c r="H38545" i="5"/>
  <c r="H38537" i="5"/>
  <c r="H38529" i="5"/>
  <c r="H38521" i="5"/>
  <c r="H38513" i="5"/>
  <c r="H38505" i="5"/>
  <c r="H38497" i="5"/>
  <c r="H38489" i="5"/>
  <c r="H38481" i="5"/>
  <c r="H38473" i="5"/>
  <c r="H38465" i="5"/>
  <c r="H38457" i="5"/>
  <c r="H38449" i="5"/>
  <c r="H38441" i="5"/>
  <c r="H38433" i="5"/>
  <c r="H38425" i="5"/>
  <c r="H38417" i="5"/>
  <c r="H38409" i="5"/>
  <c r="H38401" i="5"/>
  <c r="H38393" i="5"/>
  <c r="H38385" i="5"/>
  <c r="H38377" i="5"/>
  <c r="H38369" i="5"/>
  <c r="H38361" i="5"/>
  <c r="H38353" i="5"/>
  <c r="H38345" i="5"/>
  <c r="H38337" i="5"/>
  <c r="H38329" i="5"/>
  <c r="H38321" i="5"/>
  <c r="H38313" i="5"/>
  <c r="H38305" i="5"/>
  <c r="H38297" i="5"/>
  <c r="H38289" i="5"/>
  <c r="H38281" i="5"/>
  <c r="H38273" i="5"/>
  <c r="H38265" i="5"/>
  <c r="H38257" i="5"/>
  <c r="H38249" i="5"/>
  <c r="H38241" i="5"/>
  <c r="H38233" i="5"/>
  <c r="H38225" i="5"/>
  <c r="H38217" i="5"/>
  <c r="H38209" i="5"/>
  <c r="H38201" i="5"/>
  <c r="H38193" i="5"/>
  <c r="H38185" i="5"/>
  <c r="H38177" i="5"/>
  <c r="H38169" i="5"/>
  <c r="H38161" i="5"/>
  <c r="H38153" i="5"/>
  <c r="H38145" i="5"/>
  <c r="H38137" i="5"/>
  <c r="H38129" i="5"/>
  <c r="H38121" i="5"/>
  <c r="H38113" i="5"/>
  <c r="H38105" i="5"/>
  <c r="H38097" i="5"/>
  <c r="H38089" i="5"/>
  <c r="H38081" i="5"/>
  <c r="H38073" i="5"/>
  <c r="H38065" i="5"/>
  <c r="H38057" i="5"/>
  <c r="H38049" i="5"/>
  <c r="H38041" i="5"/>
  <c r="H38033" i="5"/>
  <c r="H38025" i="5"/>
  <c r="H38017" i="5"/>
  <c r="H38009" i="5"/>
  <c r="H38001" i="5"/>
  <c r="H37993" i="5"/>
  <c r="H37985" i="5"/>
  <c r="H37977" i="5"/>
  <c r="H37969" i="5"/>
  <c r="H37961" i="5"/>
  <c r="H37953" i="5"/>
  <c r="H37945" i="5"/>
  <c r="H37937" i="5"/>
  <c r="H37929" i="5"/>
  <c r="H37921" i="5"/>
  <c r="H37913" i="5"/>
  <c r="H37905" i="5"/>
  <c r="H37897" i="5"/>
  <c r="H37889" i="5"/>
  <c r="H37881" i="5"/>
  <c r="H37873" i="5"/>
  <c r="H37865" i="5"/>
  <c r="H37857" i="5"/>
  <c r="H37849" i="5"/>
  <c r="H37841" i="5"/>
  <c r="H37833" i="5"/>
  <c r="H37825" i="5"/>
  <c r="H37817" i="5"/>
  <c r="H37809" i="5"/>
  <c r="H37801" i="5"/>
  <c r="H37793" i="5"/>
  <c r="H37785" i="5"/>
  <c r="H37777" i="5"/>
  <c r="H37769" i="5"/>
  <c r="H37761" i="5"/>
  <c r="H37753" i="5"/>
  <c r="H37745" i="5"/>
  <c r="H37737" i="5"/>
  <c r="H37729" i="5"/>
  <c r="H37721" i="5"/>
  <c r="H37713" i="5"/>
  <c r="H37705" i="5"/>
  <c r="H37697" i="5"/>
  <c r="H37689" i="5"/>
  <c r="H37681" i="5"/>
  <c r="H37673" i="5"/>
  <c r="H37665" i="5"/>
  <c r="H37657" i="5"/>
  <c r="H37649" i="5"/>
  <c r="H37641" i="5"/>
  <c r="H37633" i="5"/>
  <c r="H37625" i="5"/>
  <c r="H37617" i="5"/>
  <c r="H37609" i="5"/>
  <c r="H37601" i="5"/>
  <c r="H37593" i="5"/>
  <c r="H37585" i="5"/>
  <c r="H37577" i="5"/>
  <c r="H37569" i="5"/>
  <c r="H37561" i="5"/>
  <c r="H37553" i="5"/>
  <c r="H37545" i="5"/>
  <c r="H37537" i="5"/>
  <c r="H37529" i="5"/>
  <c r="H37521" i="5"/>
  <c r="H37513" i="5"/>
  <c r="H37505" i="5"/>
  <c r="H37497" i="5"/>
  <c r="H37489" i="5"/>
  <c r="H37481" i="5"/>
  <c r="H37473" i="5"/>
  <c r="H37465" i="5"/>
  <c r="H37457" i="5"/>
  <c r="H37449" i="5"/>
  <c r="H37441" i="5"/>
  <c r="H37433" i="5"/>
  <c r="H37425" i="5"/>
  <c r="H37417" i="5"/>
  <c r="H37409" i="5"/>
  <c r="H37401" i="5"/>
  <c r="H37393" i="5"/>
  <c r="H37385" i="5"/>
  <c r="H37377" i="5"/>
  <c r="H37369" i="5"/>
  <c r="H37361" i="5"/>
  <c r="H37353" i="5"/>
  <c r="H37345" i="5"/>
  <c r="H37337" i="5"/>
  <c r="H37329" i="5"/>
  <c r="H37321" i="5"/>
  <c r="H37313" i="5"/>
  <c r="H37305" i="5"/>
  <c r="H37297" i="5"/>
  <c r="H37289" i="5"/>
  <c r="H37281" i="5"/>
  <c r="H37273" i="5"/>
  <c r="H37265" i="5"/>
  <c r="H37257" i="5"/>
  <c r="H37249" i="5"/>
  <c r="H37241" i="5"/>
  <c r="H37233" i="5"/>
  <c r="H37225" i="5"/>
  <c r="H37217" i="5"/>
  <c r="H37209" i="5"/>
  <c r="H37201" i="5"/>
  <c r="H37193" i="5"/>
  <c r="H37185" i="5"/>
  <c r="H37177" i="5"/>
  <c r="H37169" i="5"/>
  <c r="H37161" i="5"/>
  <c r="H37153" i="5"/>
  <c r="H37145" i="5"/>
  <c r="H37137" i="5"/>
  <c r="H37129" i="5"/>
  <c r="H37121" i="5"/>
  <c r="H37113" i="5"/>
  <c r="H37105" i="5"/>
  <c r="H37097" i="5"/>
  <c r="H37089" i="5"/>
  <c r="H37081" i="5"/>
  <c r="H37073" i="5"/>
  <c r="H37065" i="5"/>
  <c r="H37057" i="5"/>
  <c r="H37049" i="5"/>
  <c r="H37041" i="5"/>
  <c r="H37033" i="5"/>
  <c r="H37025" i="5"/>
  <c r="H37017" i="5"/>
  <c r="H37009" i="5"/>
  <c r="H37001" i="5"/>
  <c r="H36993" i="5"/>
  <c r="H36985" i="5"/>
  <c r="H36977" i="5"/>
  <c r="H36969" i="5"/>
  <c r="H36961" i="5"/>
  <c r="H36953" i="5"/>
  <c r="H36945" i="5"/>
  <c r="H36937" i="5"/>
  <c r="H36929" i="5"/>
  <c r="H36921" i="5"/>
  <c r="H36913" i="5"/>
  <c r="H36905" i="5"/>
  <c r="H36897" i="5"/>
  <c r="H36889" i="5"/>
  <c r="H36881" i="5"/>
  <c r="H36873" i="5"/>
  <c r="H36865" i="5"/>
  <c r="H36857" i="5"/>
  <c r="H36849" i="5"/>
  <c r="H36841" i="5"/>
  <c r="H36833" i="5"/>
  <c r="H36825" i="5"/>
  <c r="H36817" i="5"/>
  <c r="H36809" i="5"/>
  <c r="H36801" i="5"/>
  <c r="H36793" i="5"/>
  <c r="H36785" i="5"/>
  <c r="H36777" i="5"/>
  <c r="H36769" i="5"/>
  <c r="H36761" i="5"/>
  <c r="H36753" i="5"/>
  <c r="H36745" i="5"/>
  <c r="H36737" i="5"/>
  <c r="H36729" i="5"/>
  <c r="H36721" i="5"/>
  <c r="H36713" i="5"/>
  <c r="H36705" i="5"/>
  <c r="H36697" i="5"/>
  <c r="H36689" i="5"/>
  <c r="H36681" i="5"/>
  <c r="H36673" i="5"/>
  <c r="H36665" i="5"/>
  <c r="H36657" i="5"/>
  <c r="H36649" i="5"/>
  <c r="H36641" i="5"/>
  <c r="H36633" i="5"/>
  <c r="H36625" i="5"/>
  <c r="H36617" i="5"/>
  <c r="H36609" i="5"/>
  <c r="H36601" i="5"/>
  <c r="H36593" i="5"/>
  <c r="H36585" i="5"/>
  <c r="H36577" i="5"/>
  <c r="H36569" i="5"/>
  <c r="H36561" i="5"/>
  <c r="H36553" i="5"/>
  <c r="H36545" i="5"/>
  <c r="H36537" i="5"/>
  <c r="H36529" i="5"/>
  <c r="H36521" i="5"/>
  <c r="H36513" i="5"/>
  <c r="H36505" i="5"/>
  <c r="H36497" i="5"/>
  <c r="H36489" i="5"/>
  <c r="H36481" i="5"/>
  <c r="H41561" i="5"/>
  <c r="H41543" i="5"/>
  <c r="H41527" i="5"/>
  <c r="H41513" i="5"/>
  <c r="H41498" i="5"/>
  <c r="H41484" i="5"/>
  <c r="H41471" i="5"/>
  <c r="H41456" i="5"/>
  <c r="H41441" i="5"/>
  <c r="H41428" i="5"/>
  <c r="H41413" i="5"/>
  <c r="H41399" i="5"/>
  <c r="H41385" i="5"/>
  <c r="H41370" i="5"/>
  <c r="H41356" i="5"/>
  <c r="H41343" i="5"/>
  <c r="H41328" i="5"/>
  <c r="H41313" i="5"/>
  <c r="H41300" i="5"/>
  <c r="H41287" i="5"/>
  <c r="H41274" i="5"/>
  <c r="H41263" i="5"/>
  <c r="H41249" i="5"/>
  <c r="H41239" i="5"/>
  <c r="H41228" i="5"/>
  <c r="H41217" i="5"/>
  <c r="H41207" i="5"/>
  <c r="H41196" i="5"/>
  <c r="H41185" i="5"/>
  <c r="H41175" i="5"/>
  <c r="H41164" i="5"/>
  <c r="H41153" i="5"/>
  <c r="H41143" i="5"/>
  <c r="H41132" i="5"/>
  <c r="H41121" i="5"/>
  <c r="H41111" i="5"/>
  <c r="H41100" i="5"/>
  <c r="H41089" i="5"/>
  <c r="H41079" i="5"/>
  <c r="H41068" i="5"/>
  <c r="H41057" i="5"/>
  <c r="H41047" i="5"/>
  <c r="H41036" i="5"/>
  <c r="H41025" i="5"/>
  <c r="H41015" i="5"/>
  <c r="H41004" i="5"/>
  <c r="H40993" i="5"/>
  <c r="H40983" i="5"/>
  <c r="H40972" i="5"/>
  <c r="H40961" i="5"/>
  <c r="H40951" i="5"/>
  <c r="H40940" i="5"/>
  <c r="H40929" i="5"/>
  <c r="H40919" i="5"/>
  <c r="H40908" i="5"/>
  <c r="H40897" i="5"/>
  <c r="H40887" i="5"/>
  <c r="H40876" i="5"/>
  <c r="H40865" i="5"/>
  <c r="H40855" i="5"/>
  <c r="H40844" i="5"/>
  <c r="H40833" i="5"/>
  <c r="H40823" i="5"/>
  <c r="H40812" i="5"/>
  <c r="H40801" i="5"/>
  <c r="H40791" i="5"/>
  <c r="H40780" i="5"/>
  <c r="H40769" i="5"/>
  <c r="H40759" i="5"/>
  <c r="H40748" i="5"/>
  <c r="H40737" i="5"/>
  <c r="H40727" i="5"/>
  <c r="H40716" i="5"/>
  <c r="H40705" i="5"/>
  <c r="H40695" i="5"/>
  <c r="H40684" i="5"/>
  <c r="H40673" i="5"/>
  <c r="H40663" i="5"/>
  <c r="H40652" i="5"/>
  <c r="H40641" i="5"/>
  <c r="H40631" i="5"/>
  <c r="H40620" i="5"/>
  <c r="H40609" i="5"/>
  <c r="H40599" i="5"/>
  <c r="H40588" i="5"/>
  <c r="H40577" i="5"/>
  <c r="H40567" i="5"/>
  <c r="H40556" i="5"/>
  <c r="H40545" i="5"/>
  <c r="H40535" i="5"/>
  <c r="H40524" i="5"/>
  <c r="H40513" i="5"/>
  <c r="H40503" i="5"/>
  <c r="H40492" i="5"/>
  <c r="H40481" i="5"/>
  <c r="H40471" i="5"/>
  <c r="H40460" i="5"/>
  <c r="H40449" i="5"/>
  <c r="H40439" i="5"/>
  <c r="H40428" i="5"/>
  <c r="H40417" i="5"/>
  <c r="H40407" i="5"/>
  <c r="H40396" i="5"/>
  <c r="H40385" i="5"/>
  <c r="H40375" i="5"/>
  <c r="H40364" i="5"/>
  <c r="H40353" i="5"/>
  <c r="H40343" i="5"/>
  <c r="H40332" i="5"/>
  <c r="H40321" i="5"/>
  <c r="H40311" i="5"/>
  <c r="H40300" i="5"/>
  <c r="H40289" i="5"/>
  <c r="H40279" i="5"/>
  <c r="H40268" i="5"/>
  <c r="H40257" i="5"/>
  <c r="H40247" i="5"/>
  <c r="H40236" i="5"/>
  <c r="H40225" i="5"/>
  <c r="H40215" i="5"/>
  <c r="H40204" i="5"/>
  <c r="H40193" i="5"/>
  <c r="H40183" i="5"/>
  <c r="H40172" i="5"/>
  <c r="H40161" i="5"/>
  <c r="H40151" i="5"/>
  <c r="H40140" i="5"/>
  <c r="H40129" i="5"/>
  <c r="H40119" i="5"/>
  <c r="H40108" i="5"/>
  <c r="H40097" i="5"/>
  <c r="H40087" i="5"/>
  <c r="H40076" i="5"/>
  <c r="H40065" i="5"/>
  <c r="H40055" i="5"/>
  <c r="H40044" i="5"/>
  <c r="H40033" i="5"/>
  <c r="H40023" i="5"/>
  <c r="H40012" i="5"/>
  <c r="H40001" i="5"/>
  <c r="H39991" i="5"/>
  <c r="H39980" i="5"/>
  <c r="H39969" i="5"/>
  <c r="H39959" i="5"/>
  <c r="H39948" i="5"/>
  <c r="H39937" i="5"/>
  <c r="H39927" i="5"/>
  <c r="H39916" i="5"/>
  <c r="H39905" i="5"/>
  <c r="H39895" i="5"/>
  <c r="H39884" i="5"/>
  <c r="H39873" i="5"/>
  <c r="H39863" i="5"/>
  <c r="H39852" i="5"/>
  <c r="H39841" i="5"/>
  <c r="H39831" i="5"/>
  <c r="H39820" i="5"/>
  <c r="H39809" i="5"/>
  <c r="H39799" i="5"/>
  <c r="H39788" i="5"/>
  <c r="H39777" i="5"/>
  <c r="H39767" i="5"/>
  <c r="H39756" i="5"/>
  <c r="H39745" i="5"/>
  <c r="H39735" i="5"/>
  <c r="H39724" i="5"/>
  <c r="H39713" i="5"/>
  <c r="H39703" i="5"/>
  <c r="H39692" i="5"/>
  <c r="H39681" i="5"/>
  <c r="H39671" i="5"/>
  <c r="H39660" i="5"/>
  <c r="H39649" i="5"/>
  <c r="H39639" i="5"/>
  <c r="H39628" i="5"/>
  <c r="H39617" i="5"/>
  <c r="H39607" i="5"/>
  <c r="H39596" i="5"/>
  <c r="H39585" i="5"/>
  <c r="H39575" i="5"/>
  <c r="H39566" i="5"/>
  <c r="H39557" i="5"/>
  <c r="H39548" i="5"/>
  <c r="H39538" i="5"/>
  <c r="H39529" i="5"/>
  <c r="H39520" i="5"/>
  <c r="H39511" i="5"/>
  <c r="H39502" i="5"/>
  <c r="H39493" i="5"/>
  <c r="H39484" i="5"/>
  <c r="H39474" i="5"/>
  <c r="H39465" i="5"/>
  <c r="H39456" i="5"/>
  <c r="H39447" i="5"/>
  <c r="H39438" i="5"/>
  <c r="H39429" i="5"/>
  <c r="H39420" i="5"/>
  <c r="H39410" i="5"/>
  <c r="H39401" i="5"/>
  <c r="H39392" i="5"/>
  <c r="H39383" i="5"/>
  <c r="H39374" i="5"/>
  <c r="H39365" i="5"/>
  <c r="H39356" i="5"/>
  <c r="H39346" i="5"/>
  <c r="H39337" i="5"/>
  <c r="H39328" i="5"/>
  <c r="H39320" i="5"/>
  <c r="H39312" i="5"/>
  <c r="H39304" i="5"/>
  <c r="H39296" i="5"/>
  <c r="H39288" i="5"/>
  <c r="H39280" i="5"/>
  <c r="H39272" i="5"/>
  <c r="H39264" i="5"/>
  <c r="H39256" i="5"/>
  <c r="H39248" i="5"/>
  <c r="H39240" i="5"/>
  <c r="H39232" i="5"/>
  <c r="H39224" i="5"/>
  <c r="H39216" i="5"/>
  <c r="H39208" i="5"/>
  <c r="H39200" i="5"/>
  <c r="H39192" i="5"/>
  <c r="H39184" i="5"/>
  <c r="H39176" i="5"/>
  <c r="H39168" i="5"/>
  <c r="H39160" i="5"/>
  <c r="H39152" i="5"/>
  <c r="H39144" i="5"/>
  <c r="H39136" i="5"/>
  <c r="H39128" i="5"/>
  <c r="H39120" i="5"/>
  <c r="H39112" i="5"/>
  <c r="H39104" i="5"/>
  <c r="H39096" i="5"/>
  <c r="H39088" i="5"/>
  <c r="H39080" i="5"/>
  <c r="H39072" i="5"/>
  <c r="H39064" i="5"/>
  <c r="H39056" i="5"/>
  <c r="H39048" i="5"/>
  <c r="H39040" i="5"/>
  <c r="H39032" i="5"/>
  <c r="H39024" i="5"/>
  <c r="H39016" i="5"/>
  <c r="H39008" i="5"/>
  <c r="H39000" i="5"/>
  <c r="H38992" i="5"/>
  <c r="H38984" i="5"/>
  <c r="H38976" i="5"/>
  <c r="H38968" i="5"/>
  <c r="H38960" i="5"/>
  <c r="H38952" i="5"/>
  <c r="H38944" i="5"/>
  <c r="H38936" i="5"/>
  <c r="H38928" i="5"/>
  <c r="H38920" i="5"/>
  <c r="H38912" i="5"/>
  <c r="H38904" i="5"/>
  <c r="H38896" i="5"/>
  <c r="H38888" i="5"/>
  <c r="H38880" i="5"/>
  <c r="H38872" i="5"/>
  <c r="H38864" i="5"/>
  <c r="H38856" i="5"/>
  <c r="H38848" i="5"/>
  <c r="H38840" i="5"/>
  <c r="H38832" i="5"/>
  <c r="H38824" i="5"/>
  <c r="H38816" i="5"/>
  <c r="H38808" i="5"/>
  <c r="H38800" i="5"/>
  <c r="H38792" i="5"/>
  <c r="H38784" i="5"/>
  <c r="H38776" i="5"/>
  <c r="H38768" i="5"/>
  <c r="H38760" i="5"/>
  <c r="H38752" i="5"/>
  <c r="H38744" i="5"/>
  <c r="H38736" i="5"/>
  <c r="H38728" i="5"/>
  <c r="H38720" i="5"/>
  <c r="H38712" i="5"/>
  <c r="H38704" i="5"/>
  <c r="H38696" i="5"/>
  <c r="H38688" i="5"/>
  <c r="H38680" i="5"/>
  <c r="H38672" i="5"/>
  <c r="H38664" i="5"/>
  <c r="H38656" i="5"/>
  <c r="H38648" i="5"/>
  <c r="H38640" i="5"/>
  <c r="H38632" i="5"/>
  <c r="H38624" i="5"/>
  <c r="H38616" i="5"/>
  <c r="H38608" i="5"/>
  <c r="H38600" i="5"/>
  <c r="H38592" i="5"/>
  <c r="H38584" i="5"/>
  <c r="H38576" i="5"/>
  <c r="H38568" i="5"/>
  <c r="H38560" i="5"/>
  <c r="H38552" i="5"/>
  <c r="H38544" i="5"/>
  <c r="H38536" i="5"/>
  <c r="H38528" i="5"/>
  <c r="H38520" i="5"/>
  <c r="H38512" i="5"/>
  <c r="H38504" i="5"/>
  <c r="H38496" i="5"/>
  <c r="H38488" i="5"/>
  <c r="H38480" i="5"/>
  <c r="H38472" i="5"/>
  <c r="H38464" i="5"/>
  <c r="H38456" i="5"/>
  <c r="H38448" i="5"/>
  <c r="H38440" i="5"/>
  <c r="H38432" i="5"/>
  <c r="H38424" i="5"/>
  <c r="H38416" i="5"/>
  <c r="H38408" i="5"/>
  <c r="H38400" i="5"/>
  <c r="H38392" i="5"/>
  <c r="H38384" i="5"/>
  <c r="H38376" i="5"/>
  <c r="H38368" i="5"/>
  <c r="H38360" i="5"/>
  <c r="H38352" i="5"/>
  <c r="H38344" i="5"/>
  <c r="H38336" i="5"/>
  <c r="H38328" i="5"/>
  <c r="H38320" i="5"/>
  <c r="H38312" i="5"/>
  <c r="H38304" i="5"/>
  <c r="H38296" i="5"/>
  <c r="H38288" i="5"/>
  <c r="H38280" i="5"/>
  <c r="H38272" i="5"/>
  <c r="H38264" i="5"/>
  <c r="H38256" i="5"/>
  <c r="H38248" i="5"/>
  <c r="H38240" i="5"/>
  <c r="H38232" i="5"/>
  <c r="H38224" i="5"/>
  <c r="H38216" i="5"/>
  <c r="H38208" i="5"/>
  <c r="H38200" i="5"/>
  <c r="H38192" i="5"/>
  <c r="H38184" i="5"/>
  <c r="H38176" i="5"/>
  <c r="H38168" i="5"/>
  <c r="H38160" i="5"/>
  <c r="H38152" i="5"/>
  <c r="H38144" i="5"/>
  <c r="H38136" i="5"/>
  <c r="H38128" i="5"/>
  <c r="H38120" i="5"/>
  <c r="H38112" i="5"/>
  <c r="H38104" i="5"/>
  <c r="H38096" i="5"/>
  <c r="H38088" i="5"/>
  <c r="H38080" i="5"/>
  <c r="H38072" i="5"/>
  <c r="H38064" i="5"/>
  <c r="H38056" i="5"/>
  <c r="H38048" i="5"/>
  <c r="H38040" i="5"/>
  <c r="H38032" i="5"/>
  <c r="H38024" i="5"/>
  <c r="H38016" i="5"/>
  <c r="H38008" i="5"/>
  <c r="H38000" i="5"/>
  <c r="H37992" i="5"/>
  <c r="H37984" i="5"/>
  <c r="H37976" i="5"/>
  <c r="H37968" i="5"/>
  <c r="H37960" i="5"/>
  <c r="H37952" i="5"/>
  <c r="H37944" i="5"/>
  <c r="H37936" i="5"/>
  <c r="H37928" i="5"/>
  <c r="H37920" i="5"/>
  <c r="H37912" i="5"/>
  <c r="H37904" i="5"/>
  <c r="H37896" i="5"/>
  <c r="H37888" i="5"/>
  <c r="H37880" i="5"/>
  <c r="H37872" i="5"/>
  <c r="H37864" i="5"/>
  <c r="H37856" i="5"/>
  <c r="H37848" i="5"/>
  <c r="H37840" i="5"/>
  <c r="H37832" i="5"/>
  <c r="H37824" i="5"/>
  <c r="H37816" i="5"/>
  <c r="H37808" i="5"/>
  <c r="H37800" i="5"/>
  <c r="H37792" i="5"/>
  <c r="H37784" i="5"/>
  <c r="H37776" i="5"/>
  <c r="H37768" i="5"/>
  <c r="H37760" i="5"/>
  <c r="H37752" i="5"/>
  <c r="H37744" i="5"/>
  <c r="H37736" i="5"/>
  <c r="H37728" i="5"/>
  <c r="H37720" i="5"/>
  <c r="H37712" i="5"/>
  <c r="H37704" i="5"/>
  <c r="H37696" i="5"/>
  <c r="H37688" i="5"/>
  <c r="H37680" i="5"/>
  <c r="H37672" i="5"/>
  <c r="H37664" i="5"/>
  <c r="H37656" i="5"/>
  <c r="H37648" i="5"/>
  <c r="H37640" i="5"/>
  <c r="H37632" i="5"/>
  <c r="H37624" i="5"/>
  <c r="H37616" i="5"/>
  <c r="H37608" i="5"/>
  <c r="H37600" i="5"/>
  <c r="H37592" i="5"/>
  <c r="H37584" i="5"/>
  <c r="H37576" i="5"/>
  <c r="H37568" i="5"/>
  <c r="H37560" i="5"/>
  <c r="H37552" i="5"/>
  <c r="H37544" i="5"/>
  <c r="H37536" i="5"/>
  <c r="H37528" i="5"/>
  <c r="H37520" i="5"/>
  <c r="H37512" i="5"/>
  <c r="H37504" i="5"/>
  <c r="H37496" i="5"/>
  <c r="H37488" i="5"/>
  <c r="H37480" i="5"/>
  <c r="H37472" i="5"/>
  <c r="H37464" i="5"/>
  <c r="H37456" i="5"/>
  <c r="H37448" i="5"/>
  <c r="H37440" i="5"/>
  <c r="H37432" i="5"/>
  <c r="H37424" i="5"/>
  <c r="H37416" i="5"/>
  <c r="H37408" i="5"/>
  <c r="H37400" i="5"/>
  <c r="H37392" i="5"/>
  <c r="H37384" i="5"/>
  <c r="H37376" i="5"/>
  <c r="H37368" i="5"/>
  <c r="H37360" i="5"/>
  <c r="H37352" i="5"/>
  <c r="H37344" i="5"/>
  <c r="H37336" i="5"/>
  <c r="H37328" i="5"/>
  <c r="H37320" i="5"/>
  <c r="H37312" i="5"/>
  <c r="H37304" i="5"/>
  <c r="H37296" i="5"/>
  <c r="H37288" i="5"/>
  <c r="H37280" i="5"/>
  <c r="H37272" i="5"/>
  <c r="H37264" i="5"/>
  <c r="H37256" i="5"/>
  <c r="H37248" i="5"/>
  <c r="H37240" i="5"/>
  <c r="H37232" i="5"/>
  <c r="H37224" i="5"/>
  <c r="H37216" i="5"/>
  <c r="H37208" i="5"/>
  <c r="H37200" i="5"/>
  <c r="H37192" i="5"/>
  <c r="H37184" i="5"/>
  <c r="H37176" i="5"/>
  <c r="H37168" i="5"/>
  <c r="H37160" i="5"/>
  <c r="H37152" i="5"/>
  <c r="H37144" i="5"/>
  <c r="H37136" i="5"/>
  <c r="H37128" i="5"/>
  <c r="H37120" i="5"/>
  <c r="H37112" i="5"/>
  <c r="H37104" i="5"/>
  <c r="H37096" i="5"/>
  <c r="H37088" i="5"/>
  <c r="H37080" i="5"/>
  <c r="H37072" i="5"/>
  <c r="H37064" i="5"/>
  <c r="H37056" i="5"/>
  <c r="H37048" i="5"/>
  <c r="H37040" i="5"/>
  <c r="H37032" i="5"/>
  <c r="H37024" i="5"/>
  <c r="H37016" i="5"/>
  <c r="H37008" i="5"/>
  <c r="H37000" i="5"/>
  <c r="H36992" i="5"/>
  <c r="H36984" i="5"/>
  <c r="H36976" i="5"/>
  <c r="H36968" i="5"/>
  <c r="H36960" i="5"/>
  <c r="H36952" i="5"/>
  <c r="H36944" i="5"/>
  <c r="H36936" i="5"/>
  <c r="H36928" i="5"/>
  <c r="H36920" i="5"/>
  <c r="H36912" i="5"/>
  <c r="H36904" i="5"/>
  <c r="H36896" i="5"/>
  <c r="H36888" i="5"/>
  <c r="H36880" i="5"/>
  <c r="H36872" i="5"/>
  <c r="H36864" i="5"/>
  <c r="H36856" i="5"/>
  <c r="H36848" i="5"/>
  <c r="H36840" i="5"/>
  <c r="H36832" i="5"/>
  <c r="H36824" i="5"/>
  <c r="H36816" i="5"/>
  <c r="H36808" i="5"/>
  <c r="H36800" i="5"/>
  <c r="H36792" i="5"/>
  <c r="H36784" i="5"/>
  <c r="H36776" i="5"/>
  <c r="H36768" i="5"/>
  <c r="H36760" i="5"/>
  <c r="H36752" i="5"/>
  <c r="H36744" i="5"/>
  <c r="H36736" i="5"/>
  <c r="H36728" i="5"/>
  <c r="H36720" i="5"/>
  <c r="H36712" i="5"/>
  <c r="H36704" i="5"/>
  <c r="H36696" i="5"/>
  <c r="H36688" i="5"/>
  <c r="H36680" i="5"/>
  <c r="H36672" i="5"/>
  <c r="H36664" i="5"/>
  <c r="H36656" i="5"/>
  <c r="H36648" i="5"/>
  <c r="H36640" i="5"/>
  <c r="H36632" i="5"/>
  <c r="H36624" i="5"/>
  <c r="H36616" i="5"/>
  <c r="H36608" i="5"/>
  <c r="H36600" i="5"/>
  <c r="H36592" i="5"/>
  <c r="H36584" i="5"/>
  <c r="H36576" i="5"/>
  <c r="H36568" i="5"/>
  <c r="H36560" i="5"/>
  <c r="H36552" i="5"/>
  <c r="H36544" i="5"/>
  <c r="H36536" i="5"/>
  <c r="H36528" i="5"/>
  <c r="H36520" i="5"/>
  <c r="H36512" i="5"/>
  <c r="H36504" i="5"/>
  <c r="H36496" i="5"/>
  <c r="H36488" i="5"/>
  <c r="H36480" i="5"/>
  <c r="H36472" i="5"/>
  <c r="H36464" i="5"/>
  <c r="H36456" i="5"/>
  <c r="H36448" i="5"/>
  <c r="H36440" i="5"/>
  <c r="H36432" i="5"/>
  <c r="H36424" i="5"/>
  <c r="H36416" i="5"/>
  <c r="H36408" i="5"/>
  <c r="H36400" i="5"/>
  <c r="H36392" i="5"/>
  <c r="H36384" i="5"/>
  <c r="H36376" i="5"/>
  <c r="H36368" i="5"/>
  <c r="H36360" i="5"/>
  <c r="H36352" i="5"/>
  <c r="H36344" i="5"/>
  <c r="H36336" i="5"/>
  <c r="H36328" i="5"/>
  <c r="H36320" i="5"/>
  <c r="H36312" i="5"/>
  <c r="H36304" i="5"/>
  <c r="H36296" i="5"/>
  <c r="H36288" i="5"/>
  <c r="H36280" i="5"/>
  <c r="H36272" i="5"/>
  <c r="H36264" i="5"/>
  <c r="H36256" i="5"/>
  <c r="H36248" i="5"/>
  <c r="H36240" i="5"/>
  <c r="H36232" i="5"/>
  <c r="H36224" i="5"/>
  <c r="H36216" i="5"/>
  <c r="H36208" i="5"/>
  <c r="H36200" i="5"/>
  <c r="H36192" i="5"/>
  <c r="H36184" i="5"/>
  <c r="H36176" i="5"/>
  <c r="H36168" i="5"/>
  <c r="H36160" i="5"/>
  <c r="H36152" i="5"/>
  <c r="H36144" i="5"/>
  <c r="H36136" i="5"/>
  <c r="H36128" i="5"/>
  <c r="H36120" i="5"/>
  <c r="H36112" i="5"/>
  <c r="H36104" i="5"/>
  <c r="H36096" i="5"/>
  <c r="H36088" i="5"/>
  <c r="H36080" i="5"/>
  <c r="H36072" i="5"/>
  <c r="H36064" i="5"/>
  <c r="H36056" i="5"/>
  <c r="H36048" i="5"/>
  <c r="H36040" i="5"/>
  <c r="H36032" i="5"/>
  <c r="H36024" i="5"/>
  <c r="H36016" i="5"/>
  <c r="H36008" i="5"/>
  <c r="H36000" i="5"/>
  <c r="H35992" i="5"/>
  <c r="H35984" i="5"/>
  <c r="H35976" i="5"/>
  <c r="H35968" i="5"/>
  <c r="H35960" i="5"/>
  <c r="H35952" i="5"/>
  <c r="H35944" i="5"/>
  <c r="H35936" i="5"/>
  <c r="H35928" i="5"/>
  <c r="H35920" i="5"/>
  <c r="H35912" i="5"/>
  <c r="H35904" i="5"/>
  <c r="H35896" i="5"/>
  <c r="H35888" i="5"/>
  <c r="H35880" i="5"/>
  <c r="H35872" i="5"/>
  <c r="H35864" i="5"/>
  <c r="H35856" i="5"/>
  <c r="H35848" i="5"/>
  <c r="H35840" i="5"/>
  <c r="H35832" i="5"/>
  <c r="H35824" i="5"/>
  <c r="H35816" i="5"/>
  <c r="H35808" i="5"/>
  <c r="H35800" i="5"/>
  <c r="H35792" i="5"/>
  <c r="H35784" i="5"/>
  <c r="H35776" i="5"/>
  <c r="H35768" i="5"/>
  <c r="H35760" i="5"/>
  <c r="H35752" i="5"/>
  <c r="H35744" i="5"/>
  <c r="H35736" i="5"/>
  <c r="H35728" i="5"/>
  <c r="H35720" i="5"/>
  <c r="H35712" i="5"/>
  <c r="H35704" i="5"/>
  <c r="H35696" i="5"/>
  <c r="H35688" i="5"/>
  <c r="H35680" i="5"/>
  <c r="H35672" i="5"/>
  <c r="H35664" i="5"/>
  <c r="H35656" i="5"/>
  <c r="H35648" i="5"/>
  <c r="H35640" i="5"/>
  <c r="H35632" i="5"/>
  <c r="H35624" i="5"/>
  <c r="H35616" i="5"/>
  <c r="H35608" i="5"/>
  <c r="H35600" i="5"/>
  <c r="H35592" i="5"/>
  <c r="H35584" i="5"/>
  <c r="H35576" i="5"/>
  <c r="H35568" i="5"/>
  <c r="H35560" i="5"/>
  <c r="H35552" i="5"/>
  <c r="H35544" i="5"/>
  <c r="H35536" i="5"/>
  <c r="H35528" i="5"/>
  <c r="H35520" i="5"/>
  <c r="H35512" i="5"/>
  <c r="H35504" i="5"/>
  <c r="H35496" i="5"/>
  <c r="H35488" i="5"/>
  <c r="H35480" i="5"/>
  <c r="H35472" i="5"/>
  <c r="H35464" i="5"/>
  <c r="H35456" i="5"/>
  <c r="H35448" i="5"/>
  <c r="H35440" i="5"/>
  <c r="H35432" i="5"/>
  <c r="H35424" i="5"/>
  <c r="H35416" i="5"/>
  <c r="H35408" i="5"/>
  <c r="H35400" i="5"/>
  <c r="H35392" i="5"/>
  <c r="H35384" i="5"/>
  <c r="H35376" i="5"/>
  <c r="H35368" i="5"/>
  <c r="H35360" i="5"/>
  <c r="H35352" i="5"/>
  <c r="H35344" i="5"/>
  <c r="H35336" i="5"/>
  <c r="H35328" i="5"/>
  <c r="H35320" i="5"/>
  <c r="H35312" i="5"/>
  <c r="H35304" i="5"/>
  <c r="H35296" i="5"/>
  <c r="H35288" i="5"/>
  <c r="H35280" i="5"/>
  <c r="H35272" i="5"/>
  <c r="H35264" i="5"/>
  <c r="H35256" i="5"/>
  <c r="H35248" i="5"/>
  <c r="H35240" i="5"/>
  <c r="H35232" i="5"/>
  <c r="H35224" i="5"/>
  <c r="H35216" i="5"/>
  <c r="H35208" i="5"/>
  <c r="H35200" i="5"/>
  <c r="H35192" i="5"/>
  <c r="H35184" i="5"/>
  <c r="H35176" i="5"/>
  <c r="H35168" i="5"/>
  <c r="H35160" i="5"/>
  <c r="H35152" i="5"/>
  <c r="H35144" i="5"/>
  <c r="H35136" i="5"/>
  <c r="H35128" i="5"/>
  <c r="H35120" i="5"/>
  <c r="H35112" i="5"/>
  <c r="H35104" i="5"/>
  <c r="H35096" i="5"/>
  <c r="H35088" i="5"/>
  <c r="H35080" i="5"/>
  <c r="H35072" i="5"/>
  <c r="H35064" i="5"/>
  <c r="H35056" i="5"/>
  <c r="H35048" i="5"/>
  <c r="H35040" i="5"/>
  <c r="H35032" i="5"/>
  <c r="H35024" i="5"/>
  <c r="H35016" i="5"/>
  <c r="H35008" i="5"/>
  <c r="H35000" i="5"/>
  <c r="H34992" i="5"/>
  <c r="H34984" i="5"/>
  <c r="H34976" i="5"/>
  <c r="H34968" i="5"/>
  <c r="H34960" i="5"/>
  <c r="H34952" i="5"/>
  <c r="H34944" i="5"/>
  <c r="H34936" i="5"/>
  <c r="H34928" i="5"/>
  <c r="H34920" i="5"/>
  <c r="H34912" i="5"/>
  <c r="H34904" i="5"/>
  <c r="H34896" i="5"/>
  <c r="H34888" i="5"/>
  <c r="H34880" i="5"/>
  <c r="H34872" i="5"/>
  <c r="H34864" i="5"/>
  <c r="H34856" i="5"/>
  <c r="H34848" i="5"/>
  <c r="H34840" i="5"/>
  <c r="H34832" i="5"/>
  <c r="H34824" i="5"/>
  <c r="H34816" i="5"/>
  <c r="H34808" i="5"/>
  <c r="H34800" i="5"/>
  <c r="H34792" i="5"/>
  <c r="H34784" i="5"/>
  <c r="H34776" i="5"/>
  <c r="H34768" i="5"/>
  <c r="H34760" i="5"/>
  <c r="H34752" i="5"/>
  <c r="H34744" i="5"/>
  <c r="H34736" i="5"/>
  <c r="H34728" i="5"/>
  <c r="H34720" i="5"/>
  <c r="H34712" i="5"/>
  <c r="H34704" i="5"/>
  <c r="H34696" i="5"/>
  <c r="H34688" i="5"/>
  <c r="H34680" i="5"/>
  <c r="H34672" i="5"/>
  <c r="H34664" i="5"/>
  <c r="H34656" i="5"/>
  <c r="H34648" i="5"/>
  <c r="H34640" i="5"/>
  <c r="H34632" i="5"/>
  <c r="H34624" i="5"/>
  <c r="H34616" i="5"/>
  <c r="H34608" i="5"/>
  <c r="H34600" i="5"/>
  <c r="H34592" i="5"/>
  <c r="H34584" i="5"/>
  <c r="H34576" i="5"/>
  <c r="H41575" i="5"/>
  <c r="H41559" i="5"/>
  <c r="H41541" i="5"/>
  <c r="H41525" i="5"/>
  <c r="H41511" i="5"/>
  <c r="H41497" i="5"/>
  <c r="H41482" i="5"/>
  <c r="H41468" i="5"/>
  <c r="H41455" i="5"/>
  <c r="H41440" i="5"/>
  <c r="H41425" i="5"/>
  <c r="H41412" i="5"/>
  <c r="H41397" i="5"/>
  <c r="H41383" i="5"/>
  <c r="H41369" i="5"/>
  <c r="H41354" i="5"/>
  <c r="H41340" i="5"/>
  <c r="H41327" i="5"/>
  <c r="H41312" i="5"/>
  <c r="H41297" i="5"/>
  <c r="H41285" i="5"/>
  <c r="H41273" i="5"/>
  <c r="H41260" i="5"/>
  <c r="H41248" i="5"/>
  <c r="H41237" i="5"/>
  <c r="H41226" i="5"/>
  <c r="H41216" i="5"/>
  <c r="H41205" i="5"/>
  <c r="H41194" i="5"/>
  <c r="H41184" i="5"/>
  <c r="H41173" i="5"/>
  <c r="H41162" i="5"/>
  <c r="H41152" i="5"/>
  <c r="H41141" i="5"/>
  <c r="H41130" i="5"/>
  <c r="H41120" i="5"/>
  <c r="H41109" i="5"/>
  <c r="H41098" i="5"/>
  <c r="H41088" i="5"/>
  <c r="H41077" i="5"/>
  <c r="H41066" i="5"/>
  <c r="H41056" i="5"/>
  <c r="H41045" i="5"/>
  <c r="H41034" i="5"/>
  <c r="H41024" i="5"/>
  <c r="H41013" i="5"/>
  <c r="H41002" i="5"/>
  <c r="H40992" i="5"/>
  <c r="H40981" i="5"/>
  <c r="H40970" i="5"/>
  <c r="H40960" i="5"/>
  <c r="H40949" i="5"/>
  <c r="H40938" i="5"/>
  <c r="H40928" i="5"/>
  <c r="H40917" i="5"/>
  <c r="H40906" i="5"/>
  <c r="H40896" i="5"/>
  <c r="H40885" i="5"/>
  <c r="H40874" i="5"/>
  <c r="H40864" i="5"/>
  <c r="H40853" i="5"/>
  <c r="H40842" i="5"/>
  <c r="H40832" i="5"/>
  <c r="H40821" i="5"/>
  <c r="H40810" i="5"/>
  <c r="H40800" i="5"/>
  <c r="H40789" i="5"/>
  <c r="H40778" i="5"/>
  <c r="H40768" i="5"/>
  <c r="H40757" i="5"/>
  <c r="H40746" i="5"/>
  <c r="H40736" i="5"/>
  <c r="H40725" i="5"/>
  <c r="H40714" i="5"/>
  <c r="H40704" i="5"/>
  <c r="H40693" i="5"/>
  <c r="H40682" i="5"/>
  <c r="H40672" i="5"/>
  <c r="H40661" i="5"/>
  <c r="H40650" i="5"/>
  <c r="H40640" i="5"/>
  <c r="H40629" i="5"/>
  <c r="H40618" i="5"/>
  <c r="H40608" i="5"/>
  <c r="H40597" i="5"/>
  <c r="H40586" i="5"/>
  <c r="H40576" i="5"/>
  <c r="H40565" i="5"/>
  <c r="H40554" i="5"/>
  <c r="H40544" i="5"/>
  <c r="H40533" i="5"/>
  <c r="H40522" i="5"/>
  <c r="H40512" i="5"/>
  <c r="H40501" i="5"/>
  <c r="H40490" i="5"/>
  <c r="H40480" i="5"/>
  <c r="H40469" i="5"/>
  <c r="H40458" i="5"/>
  <c r="H40448" i="5"/>
  <c r="H40437" i="5"/>
  <c r="H40426" i="5"/>
  <c r="H40416" i="5"/>
  <c r="H40405" i="5"/>
  <c r="H40394" i="5"/>
  <c r="H40384" i="5"/>
  <c r="H40373" i="5"/>
  <c r="H40362" i="5"/>
  <c r="H40352" i="5"/>
  <c r="H40341" i="5"/>
  <c r="H40330" i="5"/>
  <c r="H40320" i="5"/>
  <c r="H40309" i="5"/>
  <c r="H40298" i="5"/>
  <c r="H40288" i="5"/>
  <c r="H40277" i="5"/>
  <c r="H40266" i="5"/>
  <c r="H40256" i="5"/>
  <c r="H40245" i="5"/>
  <c r="H40234" i="5"/>
  <c r="H40224" i="5"/>
  <c r="H40213" i="5"/>
  <c r="H40202" i="5"/>
  <c r="H40192" i="5"/>
  <c r="H40181" i="5"/>
  <c r="H40170" i="5"/>
  <c r="H40160" i="5"/>
  <c r="H40149" i="5"/>
  <c r="H40138" i="5"/>
  <c r="H40128" i="5"/>
  <c r="H40117" i="5"/>
  <c r="H40106" i="5"/>
  <c r="H40096" i="5"/>
  <c r="H40085" i="5"/>
  <c r="H40074" i="5"/>
  <c r="H40064" i="5"/>
  <c r="H40053" i="5"/>
  <c r="H40042" i="5"/>
  <c r="H40032" i="5"/>
  <c r="H40021" i="5"/>
  <c r="H40010" i="5"/>
  <c r="H40000" i="5"/>
  <c r="H39989" i="5"/>
  <c r="H39978" i="5"/>
  <c r="H39968" i="5"/>
  <c r="H39957" i="5"/>
  <c r="H39946" i="5"/>
  <c r="H39936" i="5"/>
  <c r="H39925" i="5"/>
  <c r="H39914" i="5"/>
  <c r="H39904" i="5"/>
  <c r="H39893" i="5"/>
  <c r="H39882" i="5"/>
  <c r="H39872" i="5"/>
  <c r="H39861" i="5"/>
  <c r="H39850" i="5"/>
  <c r="H39840" i="5"/>
  <c r="H39829" i="5"/>
  <c r="H39818" i="5"/>
  <c r="H39808" i="5"/>
  <c r="H39797" i="5"/>
  <c r="H39786" i="5"/>
  <c r="H39776" i="5"/>
  <c r="H39765" i="5"/>
  <c r="H39754" i="5"/>
  <c r="H39744" i="5"/>
  <c r="H39733" i="5"/>
  <c r="H39722" i="5"/>
  <c r="H39712" i="5"/>
  <c r="H39701" i="5"/>
  <c r="H39690" i="5"/>
  <c r="H39680" i="5"/>
  <c r="H39669" i="5"/>
  <c r="H39658" i="5"/>
  <c r="H39648" i="5"/>
  <c r="H39637" i="5"/>
  <c r="H39626" i="5"/>
  <c r="H39616" i="5"/>
  <c r="H39605" i="5"/>
  <c r="H39594" i="5"/>
  <c r="H39584" i="5"/>
  <c r="H39574" i="5"/>
  <c r="H39565" i="5"/>
  <c r="H39556" i="5"/>
  <c r="H39546" i="5"/>
  <c r="H39537" i="5"/>
  <c r="H39528" i="5"/>
  <c r="H39519" i="5"/>
  <c r="H39510" i="5"/>
  <c r="H39501" i="5"/>
  <c r="H39492" i="5"/>
  <c r="H39482" i="5"/>
  <c r="H39473" i="5"/>
  <c r="H39464" i="5"/>
  <c r="H39455" i="5"/>
  <c r="H39446" i="5"/>
  <c r="H39437" i="5"/>
  <c r="H39428" i="5"/>
  <c r="H39418" i="5"/>
  <c r="H39409" i="5"/>
  <c r="H39400" i="5"/>
  <c r="H39391" i="5"/>
  <c r="H39382" i="5"/>
  <c r="H39373" i="5"/>
  <c r="H39364" i="5"/>
  <c r="H39354" i="5"/>
  <c r="H39345" i="5"/>
  <c r="H39336" i="5"/>
  <c r="H39327" i="5"/>
  <c r="H39319" i="5"/>
  <c r="H39311" i="5"/>
  <c r="H39303" i="5"/>
  <c r="H39295" i="5"/>
  <c r="H39287" i="5"/>
  <c r="H39279" i="5"/>
  <c r="H39271" i="5"/>
  <c r="H39263" i="5"/>
  <c r="H39255" i="5"/>
  <c r="H39247" i="5"/>
  <c r="H39239" i="5"/>
  <c r="H39231" i="5"/>
  <c r="H39223" i="5"/>
  <c r="H39215" i="5"/>
  <c r="H39207" i="5"/>
  <c r="H39199" i="5"/>
  <c r="H39191" i="5"/>
  <c r="H39183" i="5"/>
  <c r="H39175" i="5"/>
  <c r="H39167" i="5"/>
  <c r="H39159" i="5"/>
  <c r="H39151" i="5"/>
  <c r="H39143" i="5"/>
  <c r="H39135" i="5"/>
  <c r="H39127" i="5"/>
  <c r="H39119" i="5"/>
  <c r="H39111" i="5"/>
  <c r="H39103" i="5"/>
  <c r="H39095" i="5"/>
  <c r="H39087" i="5"/>
  <c r="H39079" i="5"/>
  <c r="H39071" i="5"/>
  <c r="H39063" i="5"/>
  <c r="H39055" i="5"/>
  <c r="H39047" i="5"/>
  <c r="H39039" i="5"/>
  <c r="H39031" i="5"/>
  <c r="H39023" i="5"/>
  <c r="H39015" i="5"/>
  <c r="H39007" i="5"/>
  <c r="H38999" i="5"/>
  <c r="H38991" i="5"/>
  <c r="H38983" i="5"/>
  <c r="H38975" i="5"/>
  <c r="H38967" i="5"/>
  <c r="H38959" i="5"/>
  <c r="H38951" i="5"/>
  <c r="H38943" i="5"/>
  <c r="H38935" i="5"/>
  <c r="H38927" i="5"/>
  <c r="H38919" i="5"/>
  <c r="H38911" i="5"/>
  <c r="H38903" i="5"/>
  <c r="H38895" i="5"/>
  <c r="H38887" i="5"/>
  <c r="H38879" i="5"/>
  <c r="H38871" i="5"/>
  <c r="H38863" i="5"/>
  <c r="H38855" i="5"/>
  <c r="H38847" i="5"/>
  <c r="H38839" i="5"/>
  <c r="H38831" i="5"/>
  <c r="H38823" i="5"/>
  <c r="H38815" i="5"/>
  <c r="H38807" i="5"/>
  <c r="H38799" i="5"/>
  <c r="H38791" i="5"/>
  <c r="H38783" i="5"/>
  <c r="H38775" i="5"/>
  <c r="H38767" i="5"/>
  <c r="H38759" i="5"/>
  <c r="H38751" i="5"/>
  <c r="H38743" i="5"/>
  <c r="H38735" i="5"/>
  <c r="H38727" i="5"/>
  <c r="H38719" i="5"/>
  <c r="H38711" i="5"/>
  <c r="H38703" i="5"/>
  <c r="H38695" i="5"/>
  <c r="H38687" i="5"/>
  <c r="H38679" i="5"/>
  <c r="H38671" i="5"/>
  <c r="H38663" i="5"/>
  <c r="H38655" i="5"/>
  <c r="H38647" i="5"/>
  <c r="H38639" i="5"/>
  <c r="H38631" i="5"/>
  <c r="H38623" i="5"/>
  <c r="H38615" i="5"/>
  <c r="H38607" i="5"/>
  <c r="H38599" i="5"/>
  <c r="H38591" i="5"/>
  <c r="H38583" i="5"/>
  <c r="H38575" i="5"/>
  <c r="H38567" i="5"/>
  <c r="H38559" i="5"/>
  <c r="H38551" i="5"/>
  <c r="H38543" i="5"/>
  <c r="H38535" i="5"/>
  <c r="H38527" i="5"/>
  <c r="H38519" i="5"/>
  <c r="H38511" i="5"/>
  <c r="H38503" i="5"/>
  <c r="H38495" i="5"/>
  <c r="H38487" i="5"/>
  <c r="H38479" i="5"/>
  <c r="H38471" i="5"/>
  <c r="H38463" i="5"/>
  <c r="H38455" i="5"/>
  <c r="H38447" i="5"/>
  <c r="H38439" i="5"/>
  <c r="H38431" i="5"/>
  <c r="H38423" i="5"/>
  <c r="H38415" i="5"/>
  <c r="H38407" i="5"/>
  <c r="H38399" i="5"/>
  <c r="H38391" i="5"/>
  <c r="H38383" i="5"/>
  <c r="H38375" i="5"/>
  <c r="H38367" i="5"/>
  <c r="H38359" i="5"/>
  <c r="H38351" i="5"/>
  <c r="H38343" i="5"/>
  <c r="H38335" i="5"/>
  <c r="H38327" i="5"/>
  <c r="H38319" i="5"/>
  <c r="H38311" i="5"/>
  <c r="H38303" i="5"/>
  <c r="H38295" i="5"/>
  <c r="H38287" i="5"/>
  <c r="H38279" i="5"/>
  <c r="H38271" i="5"/>
  <c r="H38263" i="5"/>
  <c r="H38255" i="5"/>
  <c r="H38247" i="5"/>
  <c r="H38239" i="5"/>
  <c r="H38231" i="5"/>
  <c r="H38223" i="5"/>
  <c r="H38215" i="5"/>
  <c r="H38207" i="5"/>
  <c r="H38199" i="5"/>
  <c r="H38191" i="5"/>
  <c r="H38183" i="5"/>
  <c r="H38175" i="5"/>
  <c r="H38167" i="5"/>
  <c r="H38159" i="5"/>
  <c r="H38151" i="5"/>
  <c r="H38143" i="5"/>
  <c r="H38135" i="5"/>
  <c r="H38127" i="5"/>
  <c r="H38119" i="5"/>
  <c r="H38111" i="5"/>
  <c r="H38103" i="5"/>
  <c r="H38095" i="5"/>
  <c r="H38087" i="5"/>
  <c r="H38079" i="5"/>
  <c r="H38071" i="5"/>
  <c r="H38063" i="5"/>
  <c r="H38055" i="5"/>
  <c r="H38047" i="5"/>
  <c r="H38039" i="5"/>
  <c r="H38031" i="5"/>
  <c r="H38023" i="5"/>
  <c r="H38015" i="5"/>
  <c r="H38007" i="5"/>
  <c r="H37999" i="5"/>
  <c r="H37991" i="5"/>
  <c r="H37983" i="5"/>
  <c r="H37975" i="5"/>
  <c r="H37967" i="5"/>
  <c r="H37959" i="5"/>
  <c r="H37951" i="5"/>
  <c r="H37943" i="5"/>
  <c r="H37935" i="5"/>
  <c r="H37927" i="5"/>
  <c r="H37919" i="5"/>
  <c r="H37911" i="5"/>
  <c r="H37903" i="5"/>
  <c r="H37895" i="5"/>
  <c r="H37887" i="5"/>
  <c r="H37879" i="5"/>
  <c r="H37871" i="5"/>
  <c r="H37863" i="5"/>
  <c r="H37855" i="5"/>
  <c r="H37847" i="5"/>
  <c r="H37839" i="5"/>
  <c r="H37831" i="5"/>
  <c r="H37823" i="5"/>
  <c r="H37815" i="5"/>
  <c r="H37807" i="5"/>
  <c r="H37799" i="5"/>
  <c r="H37791" i="5"/>
  <c r="H37783" i="5"/>
  <c r="H37775" i="5"/>
  <c r="H37767" i="5"/>
  <c r="H37759" i="5"/>
  <c r="H37751" i="5"/>
  <c r="H37743" i="5"/>
  <c r="H37735" i="5"/>
  <c r="H37727" i="5"/>
  <c r="H37719" i="5"/>
  <c r="H37711" i="5"/>
  <c r="H37703" i="5"/>
  <c r="H37695" i="5"/>
  <c r="H37687" i="5"/>
  <c r="H37679" i="5"/>
  <c r="H37671" i="5"/>
  <c r="H37663" i="5"/>
  <c r="H37655" i="5"/>
  <c r="H37647" i="5"/>
  <c r="H37639" i="5"/>
  <c r="H37631" i="5"/>
  <c r="H37623" i="5"/>
  <c r="H37615" i="5"/>
  <c r="H37607" i="5"/>
  <c r="H37599" i="5"/>
  <c r="H37591" i="5"/>
  <c r="H37583" i="5"/>
  <c r="H37575" i="5"/>
  <c r="H37567" i="5"/>
  <c r="H37559" i="5"/>
  <c r="H37551" i="5"/>
  <c r="H37543" i="5"/>
  <c r="H37535" i="5"/>
  <c r="H37527" i="5"/>
  <c r="H37519" i="5"/>
  <c r="H37511" i="5"/>
  <c r="H37503" i="5"/>
  <c r="H37495" i="5"/>
  <c r="H37487" i="5"/>
  <c r="H37479" i="5"/>
  <c r="H37471" i="5"/>
  <c r="H37463" i="5"/>
  <c r="H37455" i="5"/>
  <c r="H37447" i="5"/>
  <c r="H37439" i="5"/>
  <c r="H37431" i="5"/>
  <c r="H37423" i="5"/>
  <c r="H37415" i="5"/>
  <c r="H37407" i="5"/>
  <c r="H37399" i="5"/>
  <c r="H37391" i="5"/>
  <c r="H37383" i="5"/>
  <c r="H37375" i="5"/>
  <c r="H37367" i="5"/>
  <c r="H37359" i="5"/>
  <c r="H37351" i="5"/>
  <c r="H37343" i="5"/>
  <c r="H37335" i="5"/>
  <c r="H37327" i="5"/>
  <c r="H37319" i="5"/>
  <c r="H37311" i="5"/>
  <c r="H37303" i="5"/>
  <c r="H37295" i="5"/>
  <c r="H37287" i="5"/>
  <c r="H37279" i="5"/>
  <c r="H37271" i="5"/>
  <c r="H37263" i="5"/>
  <c r="H37255" i="5"/>
  <c r="H37247" i="5"/>
  <c r="H37239" i="5"/>
  <c r="H37231" i="5"/>
  <c r="H37223" i="5"/>
  <c r="H37215" i="5"/>
  <c r="H37207" i="5"/>
  <c r="H37199" i="5"/>
  <c r="H37191" i="5"/>
  <c r="H37183" i="5"/>
  <c r="H37175" i="5"/>
  <c r="H37167" i="5"/>
  <c r="H37159" i="5"/>
  <c r="H37151" i="5"/>
  <c r="H37143" i="5"/>
  <c r="H37135" i="5"/>
  <c r="H37127" i="5"/>
  <c r="H37119" i="5"/>
  <c r="H37111" i="5"/>
  <c r="H37103" i="5"/>
  <c r="H37095" i="5"/>
  <c r="H37087" i="5"/>
  <c r="H37079" i="5"/>
  <c r="H37071" i="5"/>
  <c r="H37063" i="5"/>
  <c r="H37055" i="5"/>
  <c r="H37047" i="5"/>
  <c r="H37039" i="5"/>
  <c r="H37031" i="5"/>
  <c r="H37023" i="5"/>
  <c r="H37015" i="5"/>
  <c r="H37007" i="5"/>
  <c r="H36999" i="5"/>
  <c r="H36991" i="5"/>
  <c r="H36983" i="5"/>
  <c r="H36975" i="5"/>
  <c r="H36967" i="5"/>
  <c r="H36959" i="5"/>
  <c r="H36951" i="5"/>
  <c r="H36943" i="5"/>
  <c r="H36935" i="5"/>
  <c r="H36927" i="5"/>
  <c r="H36919" i="5"/>
  <c r="H36911" i="5"/>
  <c r="H36903" i="5"/>
  <c r="H36895" i="5"/>
  <c r="H36887" i="5"/>
  <c r="H36879" i="5"/>
  <c r="H36871" i="5"/>
  <c r="H36863" i="5"/>
  <c r="H36855" i="5"/>
  <c r="H36847" i="5"/>
  <c r="H36839" i="5"/>
  <c r="H36831" i="5"/>
  <c r="H36823" i="5"/>
  <c r="H36815" i="5"/>
  <c r="H36807" i="5"/>
  <c r="H36799" i="5"/>
  <c r="H36791" i="5"/>
  <c r="H36783" i="5"/>
  <c r="H36775" i="5"/>
  <c r="H36767" i="5"/>
  <c r="H36759" i="5"/>
  <c r="H36751" i="5"/>
  <c r="H36743" i="5"/>
  <c r="H36735" i="5"/>
  <c r="H36727" i="5"/>
  <c r="H36719" i="5"/>
  <c r="H36711" i="5"/>
  <c r="H36703" i="5"/>
  <c r="H36695" i="5"/>
  <c r="H36687" i="5"/>
  <c r="H36679" i="5"/>
  <c r="H36671" i="5"/>
  <c r="H36663" i="5"/>
  <c r="H36655" i="5"/>
  <c r="H36647" i="5"/>
  <c r="H36639" i="5"/>
  <c r="H36631" i="5"/>
  <c r="H36623" i="5"/>
  <c r="H36615" i="5"/>
  <c r="H36607" i="5"/>
  <c r="H36599" i="5"/>
  <c r="H36591" i="5"/>
  <c r="H36583" i="5"/>
  <c r="H36575" i="5"/>
  <c r="H36567" i="5"/>
  <c r="H36559" i="5"/>
  <c r="H36551" i="5"/>
  <c r="H36543" i="5"/>
  <c r="H36535" i="5"/>
  <c r="H36527" i="5"/>
  <c r="H36519" i="5"/>
  <c r="H36511" i="5"/>
  <c r="H36503" i="5"/>
  <c r="H36495" i="5"/>
  <c r="H36487" i="5"/>
  <c r="H36479" i="5"/>
  <c r="H36471" i="5"/>
  <c r="H36463" i="5"/>
  <c r="H36455" i="5"/>
  <c r="H36447" i="5"/>
  <c r="H36439" i="5"/>
  <c r="H36431" i="5"/>
  <c r="H36423" i="5"/>
  <c r="H36415" i="5"/>
  <c r="H36407" i="5"/>
  <c r="H36399" i="5"/>
  <c r="H36391" i="5"/>
  <c r="H36383" i="5"/>
  <c r="H36375" i="5"/>
  <c r="H36367" i="5"/>
  <c r="H36359" i="5"/>
  <c r="H36351" i="5"/>
  <c r="H36343" i="5"/>
  <c r="H36335" i="5"/>
  <c r="H36327" i="5"/>
  <c r="H36319" i="5"/>
  <c r="H36311" i="5"/>
  <c r="H36303" i="5"/>
  <c r="H36295" i="5"/>
  <c r="H36287" i="5"/>
  <c r="H36279" i="5"/>
  <c r="H36271" i="5"/>
  <c r="H36263" i="5"/>
  <c r="H36255" i="5"/>
  <c r="H36247" i="5"/>
  <c r="H36239" i="5"/>
  <c r="H36231" i="5"/>
  <c r="H36223" i="5"/>
  <c r="H36215" i="5"/>
  <c r="H36207" i="5"/>
  <c r="H36199" i="5"/>
  <c r="H36191" i="5"/>
  <c r="H36183" i="5"/>
  <c r="H36175" i="5"/>
  <c r="H36167" i="5"/>
  <c r="H36159" i="5"/>
  <c r="H36151" i="5"/>
  <c r="H36143" i="5"/>
  <c r="H36135" i="5"/>
  <c r="H36127" i="5"/>
  <c r="H36119" i="5"/>
  <c r="H36111" i="5"/>
  <c r="H36103" i="5"/>
  <c r="H36095" i="5"/>
  <c r="H36087" i="5"/>
  <c r="H36079" i="5"/>
  <c r="H36071" i="5"/>
  <c r="H36063" i="5"/>
  <c r="H36055" i="5"/>
  <c r="H36047" i="5"/>
  <c r="H36039" i="5"/>
  <c r="H36031" i="5"/>
  <c r="H36023" i="5"/>
  <c r="H36015" i="5"/>
  <c r="H36007" i="5"/>
  <c r="H35999" i="5"/>
  <c r="H35991" i="5"/>
  <c r="H35983" i="5"/>
  <c r="H35975" i="5"/>
  <c r="H35967" i="5"/>
  <c r="H35959" i="5"/>
  <c r="H35951" i="5"/>
  <c r="H35943" i="5"/>
  <c r="H35935" i="5"/>
  <c r="H35927" i="5"/>
  <c r="H35919" i="5"/>
  <c r="H35911" i="5"/>
  <c r="H35903" i="5"/>
  <c r="H35895" i="5"/>
  <c r="H35887" i="5"/>
  <c r="H35879" i="5"/>
  <c r="H35871" i="5"/>
  <c r="H35863" i="5"/>
  <c r="H35855" i="5"/>
  <c r="H35847" i="5"/>
  <c r="H35839" i="5"/>
  <c r="H35831" i="5"/>
  <c r="H35823" i="5"/>
  <c r="H35815" i="5"/>
  <c r="H35807" i="5"/>
  <c r="H35799" i="5"/>
  <c r="H35791" i="5"/>
  <c r="H35783" i="5"/>
  <c r="H35775" i="5"/>
  <c r="H35767" i="5"/>
  <c r="H35759" i="5"/>
  <c r="H35751" i="5"/>
  <c r="H35743" i="5"/>
  <c r="H35735" i="5"/>
  <c r="H35727" i="5"/>
  <c r="H35719" i="5"/>
  <c r="H35711" i="5"/>
  <c r="H35703" i="5"/>
  <c r="H35695" i="5"/>
  <c r="H35687" i="5"/>
  <c r="H35679" i="5"/>
  <c r="H35671" i="5"/>
  <c r="H35663" i="5"/>
  <c r="H35655" i="5"/>
  <c r="H35647" i="5"/>
  <c r="H35639" i="5"/>
  <c r="H35631" i="5"/>
  <c r="H35623" i="5"/>
  <c r="H35615" i="5"/>
  <c r="H35607" i="5"/>
  <c r="H35599" i="5"/>
  <c r="H35591" i="5"/>
  <c r="H35583" i="5"/>
  <c r="H35575" i="5"/>
  <c r="H35567" i="5"/>
  <c r="H35559" i="5"/>
  <c r="H35551" i="5"/>
  <c r="H35543" i="5"/>
  <c r="H35535" i="5"/>
  <c r="H35527" i="5"/>
  <c r="H35519" i="5"/>
  <c r="H35511" i="5"/>
  <c r="H35503" i="5"/>
  <c r="H35495" i="5"/>
  <c r="H35487" i="5"/>
  <c r="H35479" i="5"/>
  <c r="H35471" i="5"/>
  <c r="H35463" i="5"/>
  <c r="H35455" i="5"/>
  <c r="H35447" i="5"/>
  <c r="H35439" i="5"/>
  <c r="H35431" i="5"/>
  <c r="H35423" i="5"/>
  <c r="H35415" i="5"/>
  <c r="H35407" i="5"/>
  <c r="H35399" i="5"/>
  <c r="H35391" i="5"/>
  <c r="H35383" i="5"/>
  <c r="H35375" i="5"/>
  <c r="H35367" i="5"/>
  <c r="H35359" i="5"/>
  <c r="H35351" i="5"/>
  <c r="H35343" i="5"/>
  <c r="H35335" i="5"/>
  <c r="H35327" i="5"/>
  <c r="H35319" i="5"/>
  <c r="H35311" i="5"/>
  <c r="H35303" i="5"/>
  <c r="H35295" i="5"/>
  <c r="H35287" i="5"/>
  <c r="H35279" i="5"/>
  <c r="H35271" i="5"/>
  <c r="H35263" i="5"/>
  <c r="H35255" i="5"/>
  <c r="H35247" i="5"/>
  <c r="H35239" i="5"/>
  <c r="H35231" i="5"/>
  <c r="H35223" i="5"/>
  <c r="H35215" i="5"/>
  <c r="H35207" i="5"/>
  <c r="H35199" i="5"/>
  <c r="H35191" i="5"/>
  <c r="H35183" i="5"/>
  <c r="H35175" i="5"/>
  <c r="H35167" i="5"/>
  <c r="H35159" i="5"/>
  <c r="H35151" i="5"/>
  <c r="H35143" i="5"/>
  <c r="H35135" i="5"/>
  <c r="H35127" i="5"/>
  <c r="H41524" i="5"/>
  <c r="H41409" i="5"/>
  <c r="H41296" i="5"/>
  <c r="H41204" i="5"/>
  <c r="H41119" i="5"/>
  <c r="H41033" i="5"/>
  <c r="H40948" i="5"/>
  <c r="H40863" i="5"/>
  <c r="H40777" i="5"/>
  <c r="H40692" i="5"/>
  <c r="H40607" i="5"/>
  <c r="H40521" i="5"/>
  <c r="H40436" i="5"/>
  <c r="H40351" i="5"/>
  <c r="H40265" i="5"/>
  <c r="H40180" i="5"/>
  <c r="H40095" i="5"/>
  <c r="H40009" i="5"/>
  <c r="H39924" i="5"/>
  <c r="H39839" i="5"/>
  <c r="H39753" i="5"/>
  <c r="H39668" i="5"/>
  <c r="H39583" i="5"/>
  <c r="H39509" i="5"/>
  <c r="H39436" i="5"/>
  <c r="H39362" i="5"/>
  <c r="H39294" i="5"/>
  <c r="H39230" i="5"/>
  <c r="H39166" i="5"/>
  <c r="H39102" i="5"/>
  <c r="H39038" i="5"/>
  <c r="H38974" i="5"/>
  <c r="H38910" i="5"/>
  <c r="H38846" i="5"/>
  <c r="H38782" i="5"/>
  <c r="H38718" i="5"/>
  <c r="H38654" i="5"/>
  <c r="H38590" i="5"/>
  <c r="H38526" i="5"/>
  <c r="H38462" i="5"/>
  <c r="H38398" i="5"/>
  <c r="H38334" i="5"/>
  <c r="H38270" i="5"/>
  <c r="H38206" i="5"/>
  <c r="H38142" i="5"/>
  <c r="H38078" i="5"/>
  <c r="H38014" i="5"/>
  <c r="H37950" i="5"/>
  <c r="H37886" i="5"/>
  <c r="H37822" i="5"/>
  <c r="H37758" i="5"/>
  <c r="H37694" i="5"/>
  <c r="H37630" i="5"/>
  <c r="H37566" i="5"/>
  <c r="H37502" i="5"/>
  <c r="H37438" i="5"/>
  <c r="H37374" i="5"/>
  <c r="H37310" i="5"/>
  <c r="H37246" i="5"/>
  <c r="H37182" i="5"/>
  <c r="H37118" i="5"/>
  <c r="H37054" i="5"/>
  <c r="H36990" i="5"/>
  <c r="H36926" i="5"/>
  <c r="H36862" i="5"/>
  <c r="H36798" i="5"/>
  <c r="H36734" i="5"/>
  <c r="H36670" i="5"/>
  <c r="H36606" i="5"/>
  <c r="H36542" i="5"/>
  <c r="H36478" i="5"/>
  <c r="H36446" i="5"/>
  <c r="H36414" i="5"/>
  <c r="H36382" i="5"/>
  <c r="H36350" i="5"/>
  <c r="H36318" i="5"/>
  <c r="H36286" i="5"/>
  <c r="H36254" i="5"/>
  <c r="H36222" i="5"/>
  <c r="H36190" i="5"/>
  <c r="H36158" i="5"/>
  <c r="H36126" i="5"/>
  <c r="H36094" i="5"/>
  <c r="H36062" i="5"/>
  <c r="H36030" i="5"/>
  <c r="H35998" i="5"/>
  <c r="H35966" i="5"/>
  <c r="H35934" i="5"/>
  <c r="H35902" i="5"/>
  <c r="H35870" i="5"/>
  <c r="H35838" i="5"/>
  <c r="H35806" i="5"/>
  <c r="H35774" i="5"/>
  <c r="H35742" i="5"/>
  <c r="H35710" i="5"/>
  <c r="H35678" i="5"/>
  <c r="H35646" i="5"/>
  <c r="H35614" i="5"/>
  <c r="H35582" i="5"/>
  <c r="H35550" i="5"/>
  <c r="H35518" i="5"/>
  <c r="H35486" i="5"/>
  <c r="H35454" i="5"/>
  <c r="H35422" i="5"/>
  <c r="H35390" i="5"/>
  <c r="H35358" i="5"/>
  <c r="H35326" i="5"/>
  <c r="H35294" i="5"/>
  <c r="H35262" i="5"/>
  <c r="H35230" i="5"/>
  <c r="H35198" i="5"/>
  <c r="H35166" i="5"/>
  <c r="H35134" i="5"/>
  <c r="H35110" i="5"/>
  <c r="H35087" i="5"/>
  <c r="H35065" i="5"/>
  <c r="H35046" i="5"/>
  <c r="H35023" i="5"/>
  <c r="H35001" i="5"/>
  <c r="H34982" i="5"/>
  <c r="H34959" i="5"/>
  <c r="H34942" i="5"/>
  <c r="H34926" i="5"/>
  <c r="H34910" i="5"/>
  <c r="H34894" i="5"/>
  <c r="H34881" i="5"/>
  <c r="H34868" i="5"/>
  <c r="H34855" i="5"/>
  <c r="H34842" i="5"/>
  <c r="H34830" i="5"/>
  <c r="H34817" i="5"/>
  <c r="H34804" i="5"/>
  <c r="H34791" i="5"/>
  <c r="H34778" i="5"/>
  <c r="H34766" i="5"/>
  <c r="H34753" i="5"/>
  <c r="H34740" i="5"/>
  <c r="H34727" i="5"/>
  <c r="H34714" i="5"/>
  <c r="H34702" i="5"/>
  <c r="H34689" i="5"/>
  <c r="H34676" i="5"/>
  <c r="H34663" i="5"/>
  <c r="H34650" i="5"/>
  <c r="H34638" i="5"/>
  <c r="H34626" i="5"/>
  <c r="H34615" i="5"/>
  <c r="H34605" i="5"/>
  <c r="H34594" i="5"/>
  <c r="H34583" i="5"/>
  <c r="H34573" i="5"/>
  <c r="H34564" i="5"/>
  <c r="H34556" i="5"/>
  <c r="H34548" i="5"/>
  <c r="H34540" i="5"/>
  <c r="H34532" i="5"/>
  <c r="H34524" i="5"/>
  <c r="H34516" i="5"/>
  <c r="H34508" i="5"/>
  <c r="H34500" i="5"/>
  <c r="H34492" i="5"/>
  <c r="H34484" i="5"/>
  <c r="H34476" i="5"/>
  <c r="H34468" i="5"/>
  <c r="H34460" i="5"/>
  <c r="H34452" i="5"/>
  <c r="H34444" i="5"/>
  <c r="H34436" i="5"/>
  <c r="H34428" i="5"/>
  <c r="H34420" i="5"/>
  <c r="H34412" i="5"/>
  <c r="H34404" i="5"/>
  <c r="H34396" i="5"/>
  <c r="H34388" i="5"/>
  <c r="H34380" i="5"/>
  <c r="H34372" i="5"/>
  <c r="H34364" i="5"/>
  <c r="H34356" i="5"/>
  <c r="H34348" i="5"/>
  <c r="H34340" i="5"/>
  <c r="H34332" i="5"/>
  <c r="H34324" i="5"/>
  <c r="H34316" i="5"/>
  <c r="H34308" i="5"/>
  <c r="H34300" i="5"/>
  <c r="H34292" i="5"/>
  <c r="H34284" i="5"/>
  <c r="H34276" i="5"/>
  <c r="H34268" i="5"/>
  <c r="H34260" i="5"/>
  <c r="H34252" i="5"/>
  <c r="H34244" i="5"/>
  <c r="H34236" i="5"/>
  <c r="H34228" i="5"/>
  <c r="H34220" i="5"/>
  <c r="H34212" i="5"/>
  <c r="H34204" i="5"/>
  <c r="H34196" i="5"/>
  <c r="H34188" i="5"/>
  <c r="H34180" i="5"/>
  <c r="H34172" i="5"/>
  <c r="H34164" i="5"/>
  <c r="H34156" i="5"/>
  <c r="H34148" i="5"/>
  <c r="H34140" i="5"/>
  <c r="H34132" i="5"/>
  <c r="H34124" i="5"/>
  <c r="H34116" i="5"/>
  <c r="H34108" i="5"/>
  <c r="H34100" i="5"/>
  <c r="H34092" i="5"/>
  <c r="H34084" i="5"/>
  <c r="H34076" i="5"/>
  <c r="H34068" i="5"/>
  <c r="H34060" i="5"/>
  <c r="H34052" i="5"/>
  <c r="H34044" i="5"/>
  <c r="H34036" i="5"/>
  <c r="H34028" i="5"/>
  <c r="H34020" i="5"/>
  <c r="H34012" i="5"/>
  <c r="H34004" i="5"/>
  <c r="H33996" i="5"/>
  <c r="H33988" i="5"/>
  <c r="H33980" i="5"/>
  <c r="H33972" i="5"/>
  <c r="H33964" i="5"/>
  <c r="H33956" i="5"/>
  <c r="H33948" i="5"/>
  <c r="H33940" i="5"/>
  <c r="H33932" i="5"/>
  <c r="H33924" i="5"/>
  <c r="H33916" i="5"/>
  <c r="H33908" i="5"/>
  <c r="H33900" i="5"/>
  <c r="H33892" i="5"/>
  <c r="H33884" i="5"/>
  <c r="H33876" i="5"/>
  <c r="H33868" i="5"/>
  <c r="H33860" i="5"/>
  <c r="H33852" i="5"/>
  <c r="H33844" i="5"/>
  <c r="H33836" i="5"/>
  <c r="H33828" i="5"/>
  <c r="H33820" i="5"/>
  <c r="H33812" i="5"/>
  <c r="H33804" i="5"/>
  <c r="H33796" i="5"/>
  <c r="H33788" i="5"/>
  <c r="H33780" i="5"/>
  <c r="H33772" i="5"/>
  <c r="H33764" i="5"/>
  <c r="H33756" i="5"/>
  <c r="H33748" i="5"/>
  <c r="H33740" i="5"/>
  <c r="H33732" i="5"/>
  <c r="H33724" i="5"/>
  <c r="H33716" i="5"/>
  <c r="H33708" i="5"/>
  <c r="H33700" i="5"/>
  <c r="H33692" i="5"/>
  <c r="H33684" i="5"/>
  <c r="H33676" i="5"/>
  <c r="H33668" i="5"/>
  <c r="H33660" i="5"/>
  <c r="H33652" i="5"/>
  <c r="H33644" i="5"/>
  <c r="H33636" i="5"/>
  <c r="H33628" i="5"/>
  <c r="H33620" i="5"/>
  <c r="H33612" i="5"/>
  <c r="H33604" i="5"/>
  <c r="H33596" i="5"/>
  <c r="H33588" i="5"/>
  <c r="H33580" i="5"/>
  <c r="H33572" i="5"/>
  <c r="H33564" i="5"/>
  <c r="H33556" i="5"/>
  <c r="H33548" i="5"/>
  <c r="H33540" i="5"/>
  <c r="H33532" i="5"/>
  <c r="H33524" i="5"/>
  <c r="H33516" i="5"/>
  <c r="H33508" i="5"/>
  <c r="H33500" i="5"/>
  <c r="H33492" i="5"/>
  <c r="H33484" i="5"/>
  <c r="H33476" i="5"/>
  <c r="H33468" i="5"/>
  <c r="H33460" i="5"/>
  <c r="H33452" i="5"/>
  <c r="H33444" i="5"/>
  <c r="H33436" i="5"/>
  <c r="H33428" i="5"/>
  <c r="H33420" i="5"/>
  <c r="H33412" i="5"/>
  <c r="H33404" i="5"/>
  <c r="H33396" i="5"/>
  <c r="H33388" i="5"/>
  <c r="H33380" i="5"/>
  <c r="H33372" i="5"/>
  <c r="H33364" i="5"/>
  <c r="H33356" i="5"/>
  <c r="H33348" i="5"/>
  <c r="H33340" i="5"/>
  <c r="H33332" i="5"/>
  <c r="H33324" i="5"/>
  <c r="H33316" i="5"/>
  <c r="H33308" i="5"/>
  <c r="H33300" i="5"/>
  <c r="H33292" i="5"/>
  <c r="H33284" i="5"/>
  <c r="H33276" i="5"/>
  <c r="H33268" i="5"/>
  <c r="H33260" i="5"/>
  <c r="H33252" i="5"/>
  <c r="H33244" i="5"/>
  <c r="H33236" i="5"/>
  <c r="H33228" i="5"/>
  <c r="H33220" i="5"/>
  <c r="H33212" i="5"/>
  <c r="H33204" i="5"/>
  <c r="H33196" i="5"/>
  <c r="H33188" i="5"/>
  <c r="H33180" i="5"/>
  <c r="H33172" i="5"/>
  <c r="H33164" i="5"/>
  <c r="H33156" i="5"/>
  <c r="H33148" i="5"/>
  <c r="H33140" i="5"/>
  <c r="H33132" i="5"/>
  <c r="H33124" i="5"/>
  <c r="H33116" i="5"/>
  <c r="H33108" i="5"/>
  <c r="H33100" i="5"/>
  <c r="H33092" i="5"/>
  <c r="H33084" i="5"/>
  <c r="H33076" i="5"/>
  <c r="H33068" i="5"/>
  <c r="H33060" i="5"/>
  <c r="H33052" i="5"/>
  <c r="H33044" i="5"/>
  <c r="H33036" i="5"/>
  <c r="H33028" i="5"/>
  <c r="H33020" i="5"/>
  <c r="H33012" i="5"/>
  <c r="H33004" i="5"/>
  <c r="H32996" i="5"/>
  <c r="H32988" i="5"/>
  <c r="H32980" i="5"/>
  <c r="H32972" i="5"/>
  <c r="H32964" i="5"/>
  <c r="H32956" i="5"/>
  <c r="H32948" i="5"/>
  <c r="H32940" i="5"/>
  <c r="H32932" i="5"/>
  <c r="H32924" i="5"/>
  <c r="H32916" i="5"/>
  <c r="H32908" i="5"/>
  <c r="H32900" i="5"/>
  <c r="H32892" i="5"/>
  <c r="H32884" i="5"/>
  <c r="H32876" i="5"/>
  <c r="H32868" i="5"/>
  <c r="H32860" i="5"/>
  <c r="H32852" i="5"/>
  <c r="H32844" i="5"/>
  <c r="H32836" i="5"/>
  <c r="H32828" i="5"/>
  <c r="H32820" i="5"/>
  <c r="H32812" i="5"/>
  <c r="H32804" i="5"/>
  <c r="H32796" i="5"/>
  <c r="H32788" i="5"/>
  <c r="H32780" i="5"/>
  <c r="H32772" i="5"/>
  <c r="H32764" i="5"/>
  <c r="H32756" i="5"/>
  <c r="H32748" i="5"/>
  <c r="H32740" i="5"/>
  <c r="H32732" i="5"/>
  <c r="H32724" i="5"/>
  <c r="H32716" i="5"/>
  <c r="H32708" i="5"/>
  <c r="H32700" i="5"/>
  <c r="H32692" i="5"/>
  <c r="H32684" i="5"/>
  <c r="H32676" i="5"/>
  <c r="H32668" i="5"/>
  <c r="H32660" i="5"/>
  <c r="H32652" i="5"/>
  <c r="H32644" i="5"/>
  <c r="H32636" i="5"/>
  <c r="H32628" i="5"/>
  <c r="H32620" i="5"/>
  <c r="H32612" i="5"/>
  <c r="H32604" i="5"/>
  <c r="H32596" i="5"/>
  <c r="H32588" i="5"/>
  <c r="H32580" i="5"/>
  <c r="H32572" i="5"/>
  <c r="H32564" i="5"/>
  <c r="H32556" i="5"/>
  <c r="H32548" i="5"/>
  <c r="H32540" i="5"/>
  <c r="H32532" i="5"/>
  <c r="H32524" i="5"/>
  <c r="H32516" i="5"/>
  <c r="H32508" i="5"/>
  <c r="H32500" i="5"/>
  <c r="H32492" i="5"/>
  <c r="H32484" i="5"/>
  <c r="H32476" i="5"/>
  <c r="H32468" i="5"/>
  <c r="H32460" i="5"/>
  <c r="H32452" i="5"/>
  <c r="H32444" i="5"/>
  <c r="H32436" i="5"/>
  <c r="H32428" i="5"/>
  <c r="H32420" i="5"/>
  <c r="H32412" i="5"/>
  <c r="H32404" i="5"/>
  <c r="H32396" i="5"/>
  <c r="H32388" i="5"/>
  <c r="H32380" i="5"/>
  <c r="H32372" i="5"/>
  <c r="H32364" i="5"/>
  <c r="H32356" i="5"/>
  <c r="H32348" i="5"/>
  <c r="H32340" i="5"/>
  <c r="H32332" i="5"/>
  <c r="H32324" i="5"/>
  <c r="H32316" i="5"/>
  <c r="H32308" i="5"/>
  <c r="H32300" i="5"/>
  <c r="H32292" i="5"/>
  <c r="H32284" i="5"/>
  <c r="H32276" i="5"/>
  <c r="H32268" i="5"/>
  <c r="H32260" i="5"/>
  <c r="H32252" i="5"/>
  <c r="H32244" i="5"/>
  <c r="H32236" i="5"/>
  <c r="H32228" i="5"/>
  <c r="H32220" i="5"/>
  <c r="H32212" i="5"/>
  <c r="H32204" i="5"/>
  <c r="H32196" i="5"/>
  <c r="H32188" i="5"/>
  <c r="H32180" i="5"/>
  <c r="H32172" i="5"/>
  <c r="H32164" i="5"/>
  <c r="H32156" i="5"/>
  <c r="H32148" i="5"/>
  <c r="H32140" i="5"/>
  <c r="H32132" i="5"/>
  <c r="H32124" i="5"/>
  <c r="H32116" i="5"/>
  <c r="H32108" i="5"/>
  <c r="H32100" i="5"/>
  <c r="H32092" i="5"/>
  <c r="H32084" i="5"/>
  <c r="H32076" i="5"/>
  <c r="H32068" i="5"/>
  <c r="H32060" i="5"/>
  <c r="H32052" i="5"/>
  <c r="H32044" i="5"/>
  <c r="H32036" i="5"/>
  <c r="H32028" i="5"/>
  <c r="H32020" i="5"/>
  <c r="H32012" i="5"/>
  <c r="H32004" i="5"/>
  <c r="H31996" i="5"/>
  <c r="H31988" i="5"/>
  <c r="H31980" i="5"/>
  <c r="H31972" i="5"/>
  <c r="H31964" i="5"/>
  <c r="H31956" i="5"/>
  <c r="H31948" i="5"/>
  <c r="H31940" i="5"/>
  <c r="H31932" i="5"/>
  <c r="H31924" i="5"/>
  <c r="H31916" i="5"/>
  <c r="H31908" i="5"/>
  <c r="H31900" i="5"/>
  <c r="H31892" i="5"/>
  <c r="H31884" i="5"/>
  <c r="H31876" i="5"/>
  <c r="H31868" i="5"/>
  <c r="H31860" i="5"/>
  <c r="H31852" i="5"/>
  <c r="H31844" i="5"/>
  <c r="H31836" i="5"/>
  <c r="H31828" i="5"/>
  <c r="H31820" i="5"/>
  <c r="H31812" i="5"/>
  <c r="H31804" i="5"/>
  <c r="H31796" i="5"/>
  <c r="H31788" i="5"/>
  <c r="H31780" i="5"/>
  <c r="H31772" i="5"/>
  <c r="H31764" i="5"/>
  <c r="H31756" i="5"/>
  <c r="H31748" i="5"/>
  <c r="H31740" i="5"/>
  <c r="H31732" i="5"/>
  <c r="H31724" i="5"/>
  <c r="H31716" i="5"/>
  <c r="H31708" i="5"/>
  <c r="H31700" i="5"/>
  <c r="H31692" i="5"/>
  <c r="H31684" i="5"/>
  <c r="H31676" i="5"/>
  <c r="H31668" i="5"/>
  <c r="H31660" i="5"/>
  <c r="H31652" i="5"/>
  <c r="H31644" i="5"/>
  <c r="H31636" i="5"/>
  <c r="H31628" i="5"/>
  <c r="H31620" i="5"/>
  <c r="H31612" i="5"/>
  <c r="H31604" i="5"/>
  <c r="H31596" i="5"/>
  <c r="H31588" i="5"/>
  <c r="H31580" i="5"/>
  <c r="H31572" i="5"/>
  <c r="H31564" i="5"/>
  <c r="H31556" i="5"/>
  <c r="H31548" i="5"/>
  <c r="H31540" i="5"/>
  <c r="H31532" i="5"/>
  <c r="H31524" i="5"/>
  <c r="H31516" i="5"/>
  <c r="H31508" i="5"/>
  <c r="H31500" i="5"/>
  <c r="H31492" i="5"/>
  <c r="H31484" i="5"/>
  <c r="H31476" i="5"/>
  <c r="H31468" i="5"/>
  <c r="H31460" i="5"/>
  <c r="H31452" i="5"/>
  <c r="H31444" i="5"/>
  <c r="H31436" i="5"/>
  <c r="H31428" i="5"/>
  <c r="H31420" i="5"/>
  <c r="H31412" i="5"/>
  <c r="H31404" i="5"/>
  <c r="H31396" i="5"/>
  <c r="H31388" i="5"/>
  <c r="H31380" i="5"/>
  <c r="H31372" i="5"/>
  <c r="H31364" i="5"/>
  <c r="H31356" i="5"/>
  <c r="H31348" i="5"/>
  <c r="H31340" i="5"/>
  <c r="H31332" i="5"/>
  <c r="H31324" i="5"/>
  <c r="H31316" i="5"/>
  <c r="H31308" i="5"/>
  <c r="H31300" i="5"/>
  <c r="H31292" i="5"/>
  <c r="H31284" i="5"/>
  <c r="H31276" i="5"/>
  <c r="H31268" i="5"/>
  <c r="H31260" i="5"/>
  <c r="H31252" i="5"/>
  <c r="H31244" i="5"/>
  <c r="H31236" i="5"/>
  <c r="H31228" i="5"/>
  <c r="H31220" i="5"/>
  <c r="H31212" i="5"/>
  <c r="H31204" i="5"/>
  <c r="H31196" i="5"/>
  <c r="H31188" i="5"/>
  <c r="H31180" i="5"/>
  <c r="H31172" i="5"/>
  <c r="H31164" i="5"/>
  <c r="H31156" i="5"/>
  <c r="H31148" i="5"/>
  <c r="H31140" i="5"/>
  <c r="H31132" i="5"/>
  <c r="H31124" i="5"/>
  <c r="H31116" i="5"/>
  <c r="H31108" i="5"/>
  <c r="H31100" i="5"/>
  <c r="H31092" i="5"/>
  <c r="H31084" i="5"/>
  <c r="H31076" i="5"/>
  <c r="H31068" i="5"/>
  <c r="H31060" i="5"/>
  <c r="H31052" i="5"/>
  <c r="H31044" i="5"/>
  <c r="H31036" i="5"/>
  <c r="H31028" i="5"/>
  <c r="H31020" i="5"/>
  <c r="H31012" i="5"/>
  <c r="H31004" i="5"/>
  <c r="H30996" i="5"/>
  <c r="H30988" i="5"/>
  <c r="H30980" i="5"/>
  <c r="H30972" i="5"/>
  <c r="H30964" i="5"/>
  <c r="H30956" i="5"/>
  <c r="H30948" i="5"/>
  <c r="H30940" i="5"/>
  <c r="H30932" i="5"/>
  <c r="H30924" i="5"/>
  <c r="H30916" i="5"/>
  <c r="H30908" i="5"/>
  <c r="H30900" i="5"/>
  <c r="H30892" i="5"/>
  <c r="H30884" i="5"/>
  <c r="H30876" i="5"/>
  <c r="H30868" i="5"/>
  <c r="H30860" i="5"/>
  <c r="H30852" i="5"/>
  <c r="H30844" i="5"/>
  <c r="H30836" i="5"/>
  <c r="H30828" i="5"/>
  <c r="H30820" i="5"/>
  <c r="H30812" i="5"/>
  <c r="H30804" i="5"/>
  <c r="H30796" i="5"/>
  <c r="H30788" i="5"/>
  <c r="H30780" i="5"/>
  <c r="H30772" i="5"/>
  <c r="H30764" i="5"/>
  <c r="H30756" i="5"/>
  <c r="H30748" i="5"/>
  <c r="H30740" i="5"/>
  <c r="H30732" i="5"/>
  <c r="H30724" i="5"/>
  <c r="H30716" i="5"/>
  <c r="H30708" i="5"/>
  <c r="H30700" i="5"/>
  <c r="H30692" i="5"/>
  <c r="H30684" i="5"/>
  <c r="H30676" i="5"/>
  <c r="H30668" i="5"/>
  <c r="H30660" i="5"/>
  <c r="H30652" i="5"/>
  <c r="H30644" i="5"/>
  <c r="H30636" i="5"/>
  <c r="H30628" i="5"/>
  <c r="H30620" i="5"/>
  <c r="H30612" i="5"/>
  <c r="H30604" i="5"/>
  <c r="H30596" i="5"/>
  <c r="H30588" i="5"/>
  <c r="H30580" i="5"/>
  <c r="H30572" i="5"/>
  <c r="H30564" i="5"/>
  <c r="H30556" i="5"/>
  <c r="H30548" i="5"/>
  <c r="H30540" i="5"/>
  <c r="H30532" i="5"/>
  <c r="H30524" i="5"/>
  <c r="H30516" i="5"/>
  <c r="H30508" i="5"/>
  <c r="H30500" i="5"/>
  <c r="H30492" i="5"/>
  <c r="H30484" i="5"/>
  <c r="H30476" i="5"/>
  <c r="H30468" i="5"/>
  <c r="H30460" i="5"/>
  <c r="H30452" i="5"/>
  <c r="H30444" i="5"/>
  <c r="H30436" i="5"/>
  <c r="H30428" i="5"/>
  <c r="H30420" i="5"/>
  <c r="H30412" i="5"/>
  <c r="H30404" i="5"/>
  <c r="H30396" i="5"/>
  <c r="H30388" i="5"/>
  <c r="H30380" i="5"/>
  <c r="H30372" i="5"/>
  <c r="H30364" i="5"/>
  <c r="H30356" i="5"/>
  <c r="H30348" i="5"/>
  <c r="H30340" i="5"/>
  <c r="H30332" i="5"/>
  <c r="H30324" i="5"/>
  <c r="H30316" i="5"/>
  <c r="H30308" i="5"/>
  <c r="H30300" i="5"/>
  <c r="H30292" i="5"/>
  <c r="H30284" i="5"/>
  <c r="H30276" i="5"/>
  <c r="H30268" i="5"/>
  <c r="H30260" i="5"/>
  <c r="H30252" i="5"/>
  <c r="H30244" i="5"/>
  <c r="H30236" i="5"/>
  <c r="H30228" i="5"/>
  <c r="H30220" i="5"/>
  <c r="H30212" i="5"/>
  <c r="H30204" i="5"/>
  <c r="H30196" i="5"/>
  <c r="H30188" i="5"/>
  <c r="H30180" i="5"/>
  <c r="H30172" i="5"/>
  <c r="H30164" i="5"/>
  <c r="H30156" i="5"/>
  <c r="H30148" i="5"/>
  <c r="H30140" i="5"/>
  <c r="H30132" i="5"/>
  <c r="H30124" i="5"/>
  <c r="H30116" i="5"/>
  <c r="H30108" i="5"/>
  <c r="H30100" i="5"/>
  <c r="H30092" i="5"/>
  <c r="H30084" i="5"/>
  <c r="H30076" i="5"/>
  <c r="H30068" i="5"/>
  <c r="H30060" i="5"/>
  <c r="H30052" i="5"/>
  <c r="H30044" i="5"/>
  <c r="H30036" i="5"/>
  <c r="H30028" i="5"/>
  <c r="H30020" i="5"/>
  <c r="H30012" i="5"/>
  <c r="H30004" i="5"/>
  <c r="H29996" i="5"/>
  <c r="H29988" i="5"/>
  <c r="H29980" i="5"/>
  <c r="H29972" i="5"/>
  <c r="H29964" i="5"/>
  <c r="H29956" i="5"/>
  <c r="H29948" i="5"/>
  <c r="H29940" i="5"/>
  <c r="H29932" i="5"/>
  <c r="H29924" i="5"/>
  <c r="H29916" i="5"/>
  <c r="H29908" i="5"/>
  <c r="H29900" i="5"/>
  <c r="H29892" i="5"/>
  <c r="H29884" i="5"/>
  <c r="H29876" i="5"/>
  <c r="H29868" i="5"/>
  <c r="H29860" i="5"/>
  <c r="H29852" i="5"/>
  <c r="H29844" i="5"/>
  <c r="H29836" i="5"/>
  <c r="H29828" i="5"/>
  <c r="H29820" i="5"/>
  <c r="H29812" i="5"/>
  <c r="H29804" i="5"/>
  <c r="H29796" i="5"/>
  <c r="H29788" i="5"/>
  <c r="H29780" i="5"/>
  <c r="H29772" i="5"/>
  <c r="H29764" i="5"/>
  <c r="H29756" i="5"/>
  <c r="H29748" i="5"/>
  <c r="H29740" i="5"/>
  <c r="H29732" i="5"/>
  <c r="H29724" i="5"/>
  <c r="H29716" i="5"/>
  <c r="H29708" i="5"/>
  <c r="H29700" i="5"/>
  <c r="H29692" i="5"/>
  <c r="H29684" i="5"/>
  <c r="H29676" i="5"/>
  <c r="H29668" i="5"/>
  <c r="H29660" i="5"/>
  <c r="H29652" i="5"/>
  <c r="H29644" i="5"/>
  <c r="H29636" i="5"/>
  <c r="H29628" i="5"/>
  <c r="H29620" i="5"/>
  <c r="H29612" i="5"/>
  <c r="H29604" i="5"/>
  <c r="H29596" i="5"/>
  <c r="H29588" i="5"/>
  <c r="H29580" i="5"/>
  <c r="H29572" i="5"/>
  <c r="H29564" i="5"/>
  <c r="H29556" i="5"/>
  <c r="H29548" i="5"/>
  <c r="H29540" i="5"/>
  <c r="H29532" i="5"/>
  <c r="H29524" i="5"/>
  <c r="H29516" i="5"/>
  <c r="H29508" i="5"/>
  <c r="H29500" i="5"/>
  <c r="H29492" i="5"/>
  <c r="H29484" i="5"/>
  <c r="H29476" i="5"/>
  <c r="H29468" i="5"/>
  <c r="H29460" i="5"/>
  <c r="H29452" i="5"/>
  <c r="H29444" i="5"/>
  <c r="H29436" i="5"/>
  <c r="H29428" i="5"/>
  <c r="H29420" i="5"/>
  <c r="H29412" i="5"/>
  <c r="H29404" i="5"/>
  <c r="H29396" i="5"/>
  <c r="H29388" i="5"/>
  <c r="H29380" i="5"/>
  <c r="H29372" i="5"/>
  <c r="H29364" i="5"/>
  <c r="H29356" i="5"/>
  <c r="H29348" i="5"/>
  <c r="H29340" i="5"/>
  <c r="H29332" i="5"/>
  <c r="H29324" i="5"/>
  <c r="H29316" i="5"/>
  <c r="H29308" i="5"/>
  <c r="H29300" i="5"/>
  <c r="H29292" i="5"/>
  <c r="H29284" i="5"/>
  <c r="H29276" i="5"/>
  <c r="H29268" i="5"/>
  <c r="H29260" i="5"/>
  <c r="H29252" i="5"/>
  <c r="H29244" i="5"/>
  <c r="H29236" i="5"/>
  <c r="H29228" i="5"/>
  <c r="H29220" i="5"/>
  <c r="H29212" i="5"/>
  <c r="H29204" i="5"/>
  <c r="H29196" i="5"/>
  <c r="H29188" i="5"/>
  <c r="H29180" i="5"/>
  <c r="H29172" i="5"/>
  <c r="H29164" i="5"/>
  <c r="H29156" i="5"/>
  <c r="H29148" i="5"/>
  <c r="H29140" i="5"/>
  <c r="H29132" i="5"/>
  <c r="H29124" i="5"/>
  <c r="H29116" i="5"/>
  <c r="H29108" i="5"/>
  <c r="H29100" i="5"/>
  <c r="H29092" i="5"/>
  <c r="H29084" i="5"/>
  <c r="H29076" i="5"/>
  <c r="H29068" i="5"/>
  <c r="H29060" i="5"/>
  <c r="H29052" i="5"/>
  <c r="H29044" i="5"/>
  <c r="H29036" i="5"/>
  <c r="H29028" i="5"/>
  <c r="H29020" i="5"/>
  <c r="H29012" i="5"/>
  <c r="H29004" i="5"/>
  <c r="H28996" i="5"/>
  <c r="H28988" i="5"/>
  <c r="H28980" i="5"/>
  <c r="H28972" i="5"/>
  <c r="H28964" i="5"/>
  <c r="H28956" i="5"/>
  <c r="H28948" i="5"/>
  <c r="H28940" i="5"/>
  <c r="H28932" i="5"/>
  <c r="H28924" i="5"/>
  <c r="H28916" i="5"/>
  <c r="H28908" i="5"/>
  <c r="H28900" i="5"/>
  <c r="H28892" i="5"/>
  <c r="H28884" i="5"/>
  <c r="H28876" i="5"/>
  <c r="H28868" i="5"/>
  <c r="H28860" i="5"/>
  <c r="H28852" i="5"/>
  <c r="H28844" i="5"/>
  <c r="H28836" i="5"/>
  <c r="H28828" i="5"/>
  <c r="H28820" i="5"/>
  <c r="H28812" i="5"/>
  <c r="H28804" i="5"/>
  <c r="H28796" i="5"/>
  <c r="H28788" i="5"/>
  <c r="H28780" i="5"/>
  <c r="H28772" i="5"/>
  <c r="H28764" i="5"/>
  <c r="H28756" i="5"/>
  <c r="H28748" i="5"/>
  <c r="H28740" i="5"/>
  <c r="H28732" i="5"/>
  <c r="H28724" i="5"/>
  <c r="H28716" i="5"/>
  <c r="H28708" i="5"/>
  <c r="H28700" i="5"/>
  <c r="H28692" i="5"/>
  <c r="H28684" i="5"/>
  <c r="H28676" i="5"/>
  <c r="H28668" i="5"/>
  <c r="H28660" i="5"/>
  <c r="H28652" i="5"/>
  <c r="H28644" i="5"/>
  <c r="H28636" i="5"/>
  <c r="H28628" i="5"/>
  <c r="H28620" i="5"/>
  <c r="H28612" i="5"/>
  <c r="H28604" i="5"/>
  <c r="H28596" i="5"/>
  <c r="H28588" i="5"/>
  <c r="H28580" i="5"/>
  <c r="H28572" i="5"/>
  <c r="H28564" i="5"/>
  <c r="H28556" i="5"/>
  <c r="H28548" i="5"/>
  <c r="H28540" i="5"/>
  <c r="H28532" i="5"/>
  <c r="H28524" i="5"/>
  <c r="H28516" i="5"/>
  <c r="H28508" i="5"/>
  <c r="H28500" i="5"/>
  <c r="H28492" i="5"/>
  <c r="H28484" i="5"/>
  <c r="H28476" i="5"/>
  <c r="H28468" i="5"/>
  <c r="H28460" i="5"/>
  <c r="H28452" i="5"/>
  <c r="H28444" i="5"/>
  <c r="H28436" i="5"/>
  <c r="H28428" i="5"/>
  <c r="H28420" i="5"/>
  <c r="H28412" i="5"/>
  <c r="H28404" i="5"/>
  <c r="H28396" i="5"/>
  <c r="H28388" i="5"/>
  <c r="H28380" i="5"/>
  <c r="H28372" i="5"/>
  <c r="H28364" i="5"/>
  <c r="H28356" i="5"/>
  <c r="H28348" i="5"/>
  <c r="H28340" i="5"/>
  <c r="H28332" i="5"/>
  <c r="H28324" i="5"/>
  <c r="H28316" i="5"/>
  <c r="H28308" i="5"/>
  <c r="H28300" i="5"/>
  <c r="H28292" i="5"/>
  <c r="H28284" i="5"/>
  <c r="H28276" i="5"/>
  <c r="H28268" i="5"/>
  <c r="H28260" i="5"/>
  <c r="H28252" i="5"/>
  <c r="H28244" i="5"/>
  <c r="H28236" i="5"/>
  <c r="H28228" i="5"/>
  <c r="H28220" i="5"/>
  <c r="H28212" i="5"/>
  <c r="H28204" i="5"/>
  <c r="H28196" i="5"/>
  <c r="H28188" i="5"/>
  <c r="H28180" i="5"/>
  <c r="H28172" i="5"/>
  <c r="H28164" i="5"/>
  <c r="H28156" i="5"/>
  <c r="H28148" i="5"/>
  <c r="H28140" i="5"/>
  <c r="H28132" i="5"/>
  <c r="H28124" i="5"/>
  <c r="H28116" i="5"/>
  <c r="H28108" i="5"/>
  <c r="H28100" i="5"/>
  <c r="H28092" i="5"/>
  <c r="H28084" i="5"/>
  <c r="H28076" i="5"/>
  <c r="H28068" i="5"/>
  <c r="H28060" i="5"/>
  <c r="H28052" i="5"/>
  <c r="H28044" i="5"/>
  <c r="H28036" i="5"/>
  <c r="H28028" i="5"/>
  <c r="H28020" i="5"/>
  <c r="H28012" i="5"/>
  <c r="H28004" i="5"/>
  <c r="H27996" i="5"/>
  <c r="H27988" i="5"/>
  <c r="H27980" i="5"/>
  <c r="H27972" i="5"/>
  <c r="H27964" i="5"/>
  <c r="H27956" i="5"/>
  <c r="H27948" i="5"/>
  <c r="H27940" i="5"/>
  <c r="H27932" i="5"/>
  <c r="H27924" i="5"/>
  <c r="H27916" i="5"/>
  <c r="H27908" i="5"/>
  <c r="H27900" i="5"/>
  <c r="H27892" i="5"/>
  <c r="H27884" i="5"/>
  <c r="H27876" i="5"/>
  <c r="H27868" i="5"/>
  <c r="H27860" i="5"/>
  <c r="H27852" i="5"/>
  <c r="H27844" i="5"/>
  <c r="H27836" i="5"/>
  <c r="H27828" i="5"/>
  <c r="H27820" i="5"/>
  <c r="H27812" i="5"/>
  <c r="H27804" i="5"/>
  <c r="H27796" i="5"/>
  <c r="H27788" i="5"/>
  <c r="H27780" i="5"/>
  <c r="H27772" i="5"/>
  <c r="H27764" i="5"/>
  <c r="H27756" i="5"/>
  <c r="H27748" i="5"/>
  <c r="H27740" i="5"/>
  <c r="H27732" i="5"/>
  <c r="H27724" i="5"/>
  <c r="H27716" i="5"/>
  <c r="H27708" i="5"/>
  <c r="H27700" i="5"/>
  <c r="H27692" i="5"/>
  <c r="H27684" i="5"/>
  <c r="H27676" i="5"/>
  <c r="H27668" i="5"/>
  <c r="H27660" i="5"/>
  <c r="H27652" i="5"/>
  <c r="H27644" i="5"/>
  <c r="H27636" i="5"/>
  <c r="H27628" i="5"/>
  <c r="H27620" i="5"/>
  <c r="H27612" i="5"/>
  <c r="H27604" i="5"/>
  <c r="H27596" i="5"/>
  <c r="H27588" i="5"/>
  <c r="H27580" i="5"/>
  <c r="H27572" i="5"/>
  <c r="H27564" i="5"/>
  <c r="H27556" i="5"/>
  <c r="H27548" i="5"/>
  <c r="H27540" i="5"/>
  <c r="H27532" i="5"/>
  <c r="H27524" i="5"/>
  <c r="H27516" i="5"/>
  <c r="H27508" i="5"/>
  <c r="H27500" i="5"/>
  <c r="H27492" i="5"/>
  <c r="H27484" i="5"/>
  <c r="H27476" i="5"/>
  <c r="H27468" i="5"/>
  <c r="H27460" i="5"/>
  <c r="H27452" i="5"/>
  <c r="H27444" i="5"/>
  <c r="H27436" i="5"/>
  <c r="H27428" i="5"/>
  <c r="H27420" i="5"/>
  <c r="H27412" i="5"/>
  <c r="H27404" i="5"/>
  <c r="H27396" i="5"/>
  <c r="H27388" i="5"/>
  <c r="H27380" i="5"/>
  <c r="H27372" i="5"/>
  <c r="H27364" i="5"/>
  <c r="H27356" i="5"/>
  <c r="H27348" i="5"/>
  <c r="H27340" i="5"/>
  <c r="H27332" i="5"/>
  <c r="H27324" i="5"/>
  <c r="H27316" i="5"/>
  <c r="H27308" i="5"/>
  <c r="H27300" i="5"/>
  <c r="H27292" i="5"/>
  <c r="H27284" i="5"/>
  <c r="H27276" i="5"/>
  <c r="H27268" i="5"/>
  <c r="H27260" i="5"/>
  <c r="H27252" i="5"/>
  <c r="H27244" i="5"/>
  <c r="H27236" i="5"/>
  <c r="H27228" i="5"/>
  <c r="H27220" i="5"/>
  <c r="H27212" i="5"/>
  <c r="H27204" i="5"/>
  <c r="H27196" i="5"/>
  <c r="H27188" i="5"/>
  <c r="H27180" i="5"/>
  <c r="H27172" i="5"/>
  <c r="H27164" i="5"/>
  <c r="H27156" i="5"/>
  <c r="H27148" i="5"/>
  <c r="H27140" i="5"/>
  <c r="H27132" i="5"/>
  <c r="H27124" i="5"/>
  <c r="H41509" i="5"/>
  <c r="H41396" i="5"/>
  <c r="H41284" i="5"/>
  <c r="H41193" i="5"/>
  <c r="H41108" i="5"/>
  <c r="H41023" i="5"/>
  <c r="H40937" i="5"/>
  <c r="H40852" i="5"/>
  <c r="H40767" i="5"/>
  <c r="H40681" i="5"/>
  <c r="H40596" i="5"/>
  <c r="H40511" i="5"/>
  <c r="H40425" i="5"/>
  <c r="H40340" i="5"/>
  <c r="H40255" i="5"/>
  <c r="H40169" i="5"/>
  <c r="H40084" i="5"/>
  <c r="H39999" i="5"/>
  <c r="H39913" i="5"/>
  <c r="H39828" i="5"/>
  <c r="H39743" i="5"/>
  <c r="H39657" i="5"/>
  <c r="H39573" i="5"/>
  <c r="H39500" i="5"/>
  <c r="H39426" i="5"/>
  <c r="H39353" i="5"/>
  <c r="H39286" i="5"/>
  <c r="H39222" i="5"/>
  <c r="H39158" i="5"/>
  <c r="H39094" i="5"/>
  <c r="H39030" i="5"/>
  <c r="H38966" i="5"/>
  <c r="H38902" i="5"/>
  <c r="H38838" i="5"/>
  <c r="H38774" i="5"/>
  <c r="H38710" i="5"/>
  <c r="H38646" i="5"/>
  <c r="H38582" i="5"/>
  <c r="H38518" i="5"/>
  <c r="H38454" i="5"/>
  <c r="H38390" i="5"/>
  <c r="H38326" i="5"/>
  <c r="H38262" i="5"/>
  <c r="H38198" i="5"/>
  <c r="H38134" i="5"/>
  <c r="H38070" i="5"/>
  <c r="H38006" i="5"/>
  <c r="H37942" i="5"/>
  <c r="H37878" i="5"/>
  <c r="H37814" i="5"/>
  <c r="H37750" i="5"/>
  <c r="H37686" i="5"/>
  <c r="H37622" i="5"/>
  <c r="H37558" i="5"/>
  <c r="H37494" i="5"/>
  <c r="H37430" i="5"/>
  <c r="H37366" i="5"/>
  <c r="H37302" i="5"/>
  <c r="H37238" i="5"/>
  <c r="H37174" i="5"/>
  <c r="H37110" i="5"/>
  <c r="H37046" i="5"/>
  <c r="H36982" i="5"/>
  <c r="H36918" i="5"/>
  <c r="H36854" i="5"/>
  <c r="H36790" i="5"/>
  <c r="H36726" i="5"/>
  <c r="H36662" i="5"/>
  <c r="H36598" i="5"/>
  <c r="H36534" i="5"/>
  <c r="H36473" i="5"/>
  <c r="H36441" i="5"/>
  <c r="H36409" i="5"/>
  <c r="H36377" i="5"/>
  <c r="H36345" i="5"/>
  <c r="H36313" i="5"/>
  <c r="H36281" i="5"/>
  <c r="H36249" i="5"/>
  <c r="H36217" i="5"/>
  <c r="H36185" i="5"/>
  <c r="H36153" i="5"/>
  <c r="H36121" i="5"/>
  <c r="H36089" i="5"/>
  <c r="H36057" i="5"/>
  <c r="H36025" i="5"/>
  <c r="H35993" i="5"/>
  <c r="H35961" i="5"/>
  <c r="H35929" i="5"/>
  <c r="H35897" i="5"/>
  <c r="H35865" i="5"/>
  <c r="H35833" i="5"/>
  <c r="H35801" i="5"/>
  <c r="H35769" i="5"/>
  <c r="H35737" i="5"/>
  <c r="H35705" i="5"/>
  <c r="H35673" i="5"/>
  <c r="H35641" i="5"/>
  <c r="H35609" i="5"/>
  <c r="H35577" i="5"/>
  <c r="H35545" i="5"/>
  <c r="H35513" i="5"/>
  <c r="H35481" i="5"/>
  <c r="H35449" i="5"/>
  <c r="H35417" i="5"/>
  <c r="H35385" i="5"/>
  <c r="H35353" i="5"/>
  <c r="H35321" i="5"/>
  <c r="H35289" i="5"/>
  <c r="H35257" i="5"/>
  <c r="H35225" i="5"/>
  <c r="H35193" i="5"/>
  <c r="H35161" i="5"/>
  <c r="H35129" i="5"/>
  <c r="H35105" i="5"/>
  <c r="H35086" i="5"/>
  <c r="H35063" i="5"/>
  <c r="H35041" i="5"/>
  <c r="H35022" i="5"/>
  <c r="H34999" i="5"/>
  <c r="H34977" i="5"/>
  <c r="H34958" i="5"/>
  <c r="H34938" i="5"/>
  <c r="H34922" i="5"/>
  <c r="H34906" i="5"/>
  <c r="H34892" i="5"/>
  <c r="H34879" i="5"/>
  <c r="H34866" i="5"/>
  <c r="H34854" i="5"/>
  <c r="H34841" i="5"/>
  <c r="H34828" i="5"/>
  <c r="H34815" i="5"/>
  <c r="H34802" i="5"/>
  <c r="H34790" i="5"/>
  <c r="H34777" i="5"/>
  <c r="H34764" i="5"/>
  <c r="H34751" i="5"/>
  <c r="H34738" i="5"/>
  <c r="H34726" i="5"/>
  <c r="H34713" i="5"/>
  <c r="H34700" i="5"/>
  <c r="H34687" i="5"/>
  <c r="H34674" i="5"/>
  <c r="H34662" i="5"/>
  <c r="H34649" i="5"/>
  <c r="H34636" i="5"/>
  <c r="H34625" i="5"/>
  <c r="H34614" i="5"/>
  <c r="H34604" i="5"/>
  <c r="H34593" i="5"/>
  <c r="H34582" i="5"/>
  <c r="H34572" i="5"/>
  <c r="H34563" i="5"/>
  <c r="H34555" i="5"/>
  <c r="H34547" i="5"/>
  <c r="H34539" i="5"/>
  <c r="H34531" i="5"/>
  <c r="H34523" i="5"/>
  <c r="H34515" i="5"/>
  <c r="H34507" i="5"/>
  <c r="H34499" i="5"/>
  <c r="H34491" i="5"/>
  <c r="H34483" i="5"/>
  <c r="H34475" i="5"/>
  <c r="H34467" i="5"/>
  <c r="H34459" i="5"/>
  <c r="H34451" i="5"/>
  <c r="H34443" i="5"/>
  <c r="H34435" i="5"/>
  <c r="H34427" i="5"/>
  <c r="H34419" i="5"/>
  <c r="H34411" i="5"/>
  <c r="H34403" i="5"/>
  <c r="H34395" i="5"/>
  <c r="H34387" i="5"/>
  <c r="H34379" i="5"/>
  <c r="H34371" i="5"/>
  <c r="H34363" i="5"/>
  <c r="H34355" i="5"/>
  <c r="H34347" i="5"/>
  <c r="H34339" i="5"/>
  <c r="H34331" i="5"/>
  <c r="H34323" i="5"/>
  <c r="H34315" i="5"/>
  <c r="H34307" i="5"/>
  <c r="H34299" i="5"/>
  <c r="H34291" i="5"/>
  <c r="H34283" i="5"/>
  <c r="H34275" i="5"/>
  <c r="H34267" i="5"/>
  <c r="H34259" i="5"/>
  <c r="H34251" i="5"/>
  <c r="H34243" i="5"/>
  <c r="H34235" i="5"/>
  <c r="H34227" i="5"/>
  <c r="H34219" i="5"/>
  <c r="H34211" i="5"/>
  <c r="H34203" i="5"/>
  <c r="H34195" i="5"/>
  <c r="H34187" i="5"/>
  <c r="H34179" i="5"/>
  <c r="H34171" i="5"/>
  <c r="H34163" i="5"/>
  <c r="H34155" i="5"/>
  <c r="H34147" i="5"/>
  <c r="H34139" i="5"/>
  <c r="H34131" i="5"/>
  <c r="H34123" i="5"/>
  <c r="H34115" i="5"/>
  <c r="H34107" i="5"/>
  <c r="H34099" i="5"/>
  <c r="H34091" i="5"/>
  <c r="H34083" i="5"/>
  <c r="H34075" i="5"/>
  <c r="H34067" i="5"/>
  <c r="H34059" i="5"/>
  <c r="H34051" i="5"/>
  <c r="H34043" i="5"/>
  <c r="H34035" i="5"/>
  <c r="H34027" i="5"/>
  <c r="H34019" i="5"/>
  <c r="H34011" i="5"/>
  <c r="H34003" i="5"/>
  <c r="H33995" i="5"/>
  <c r="H33987" i="5"/>
  <c r="H33979" i="5"/>
  <c r="H33971" i="5"/>
  <c r="H33963" i="5"/>
  <c r="H33955" i="5"/>
  <c r="H33947" i="5"/>
  <c r="H33939" i="5"/>
  <c r="H33931" i="5"/>
  <c r="H33923" i="5"/>
  <c r="H33915" i="5"/>
  <c r="H33907" i="5"/>
  <c r="H33899" i="5"/>
  <c r="H33891" i="5"/>
  <c r="H33883" i="5"/>
  <c r="H33875" i="5"/>
  <c r="H33867" i="5"/>
  <c r="H33859" i="5"/>
  <c r="H33851" i="5"/>
  <c r="H33843" i="5"/>
  <c r="H33835" i="5"/>
  <c r="H33827" i="5"/>
  <c r="H33819" i="5"/>
  <c r="H33811" i="5"/>
  <c r="H33803" i="5"/>
  <c r="H33795" i="5"/>
  <c r="H33787" i="5"/>
  <c r="H33779" i="5"/>
  <c r="H33771" i="5"/>
  <c r="H33763" i="5"/>
  <c r="H33755" i="5"/>
  <c r="H33747" i="5"/>
  <c r="H33739" i="5"/>
  <c r="H33731" i="5"/>
  <c r="H33723" i="5"/>
  <c r="H33715" i="5"/>
  <c r="H33707" i="5"/>
  <c r="H33699" i="5"/>
  <c r="H33691" i="5"/>
  <c r="H33683" i="5"/>
  <c r="H33675" i="5"/>
  <c r="H33667" i="5"/>
  <c r="H33659" i="5"/>
  <c r="H33651" i="5"/>
  <c r="H33643" i="5"/>
  <c r="H33635" i="5"/>
  <c r="H33627" i="5"/>
  <c r="H33619" i="5"/>
  <c r="H33611" i="5"/>
  <c r="H33603" i="5"/>
  <c r="H33595" i="5"/>
  <c r="H33587" i="5"/>
  <c r="H33579" i="5"/>
  <c r="H33571" i="5"/>
  <c r="H33563" i="5"/>
  <c r="H33555" i="5"/>
  <c r="H33547" i="5"/>
  <c r="H33539" i="5"/>
  <c r="H33531" i="5"/>
  <c r="H33523" i="5"/>
  <c r="H33515" i="5"/>
  <c r="H33507" i="5"/>
  <c r="H33499" i="5"/>
  <c r="H33491" i="5"/>
  <c r="H33483" i="5"/>
  <c r="H33475" i="5"/>
  <c r="H33467" i="5"/>
  <c r="H33459" i="5"/>
  <c r="H33451" i="5"/>
  <c r="H33443" i="5"/>
  <c r="H33435" i="5"/>
  <c r="H33427" i="5"/>
  <c r="H33419" i="5"/>
  <c r="H33411" i="5"/>
  <c r="H33403" i="5"/>
  <c r="H33395" i="5"/>
  <c r="H33387" i="5"/>
  <c r="H33379" i="5"/>
  <c r="H33371" i="5"/>
  <c r="H33363" i="5"/>
  <c r="H33355" i="5"/>
  <c r="H33347" i="5"/>
  <c r="H33339" i="5"/>
  <c r="H33331" i="5"/>
  <c r="H33323" i="5"/>
  <c r="H33315" i="5"/>
  <c r="H33307" i="5"/>
  <c r="H33299" i="5"/>
  <c r="H33291" i="5"/>
  <c r="H33283" i="5"/>
  <c r="H33275" i="5"/>
  <c r="H33267" i="5"/>
  <c r="H33259" i="5"/>
  <c r="H33251" i="5"/>
  <c r="H33243" i="5"/>
  <c r="H33235" i="5"/>
  <c r="H33227" i="5"/>
  <c r="H33219" i="5"/>
  <c r="H33211" i="5"/>
  <c r="H33203" i="5"/>
  <c r="H33195" i="5"/>
  <c r="H33187" i="5"/>
  <c r="H33179" i="5"/>
  <c r="H33171" i="5"/>
  <c r="H33163" i="5"/>
  <c r="H33155" i="5"/>
  <c r="H33147" i="5"/>
  <c r="H33139" i="5"/>
  <c r="H33131" i="5"/>
  <c r="H33123" i="5"/>
  <c r="H33115" i="5"/>
  <c r="H33107" i="5"/>
  <c r="H33099" i="5"/>
  <c r="H33091" i="5"/>
  <c r="H33083" i="5"/>
  <c r="H33075" i="5"/>
  <c r="H33067" i="5"/>
  <c r="H33059" i="5"/>
  <c r="H33051" i="5"/>
  <c r="H33043" i="5"/>
  <c r="H33035" i="5"/>
  <c r="H33027" i="5"/>
  <c r="H33019" i="5"/>
  <c r="H33011" i="5"/>
  <c r="H33003" i="5"/>
  <c r="H32995" i="5"/>
  <c r="H32987" i="5"/>
  <c r="H32979" i="5"/>
  <c r="H32971" i="5"/>
  <c r="H32963" i="5"/>
  <c r="H32955" i="5"/>
  <c r="H32947" i="5"/>
  <c r="H32939" i="5"/>
  <c r="H32931" i="5"/>
  <c r="H32923" i="5"/>
  <c r="H32915" i="5"/>
  <c r="H32907" i="5"/>
  <c r="H32899" i="5"/>
  <c r="H32891" i="5"/>
  <c r="H32883" i="5"/>
  <c r="H32875" i="5"/>
  <c r="H32867" i="5"/>
  <c r="H32859" i="5"/>
  <c r="H32851" i="5"/>
  <c r="H32843" i="5"/>
  <c r="H32835" i="5"/>
  <c r="H32827" i="5"/>
  <c r="H32819" i="5"/>
  <c r="H32811" i="5"/>
  <c r="H32803" i="5"/>
  <c r="H32795" i="5"/>
  <c r="H32787" i="5"/>
  <c r="H32779" i="5"/>
  <c r="H32771" i="5"/>
  <c r="H32763" i="5"/>
  <c r="H32755" i="5"/>
  <c r="H32747" i="5"/>
  <c r="H32739" i="5"/>
  <c r="H32731" i="5"/>
  <c r="H32723" i="5"/>
  <c r="H32715" i="5"/>
  <c r="H32707" i="5"/>
  <c r="H32699" i="5"/>
  <c r="H32691" i="5"/>
  <c r="H32683" i="5"/>
  <c r="H32675" i="5"/>
  <c r="H32667" i="5"/>
  <c r="H32659" i="5"/>
  <c r="H32651" i="5"/>
  <c r="H32643" i="5"/>
  <c r="H32635" i="5"/>
  <c r="H32627" i="5"/>
  <c r="H32619" i="5"/>
  <c r="H32611" i="5"/>
  <c r="H32603" i="5"/>
  <c r="H32595" i="5"/>
  <c r="H32587" i="5"/>
  <c r="H32579" i="5"/>
  <c r="H32571" i="5"/>
  <c r="H32563" i="5"/>
  <c r="H32555" i="5"/>
  <c r="H32547" i="5"/>
  <c r="H32539" i="5"/>
  <c r="H32531" i="5"/>
  <c r="H32523" i="5"/>
  <c r="H32515" i="5"/>
  <c r="H32507" i="5"/>
  <c r="H32499" i="5"/>
  <c r="H32491" i="5"/>
  <c r="H32483" i="5"/>
  <c r="H32475" i="5"/>
  <c r="H32467" i="5"/>
  <c r="H32459" i="5"/>
  <c r="H32451" i="5"/>
  <c r="H32443" i="5"/>
  <c r="H32435" i="5"/>
  <c r="H32427" i="5"/>
  <c r="H32419" i="5"/>
  <c r="H32411" i="5"/>
  <c r="H32403" i="5"/>
  <c r="H32395" i="5"/>
  <c r="H32387" i="5"/>
  <c r="H32379" i="5"/>
  <c r="H32371" i="5"/>
  <c r="H32363" i="5"/>
  <c r="H32355" i="5"/>
  <c r="H32347" i="5"/>
  <c r="H32339" i="5"/>
  <c r="H32331" i="5"/>
  <c r="H32323" i="5"/>
  <c r="H32315" i="5"/>
  <c r="H32307" i="5"/>
  <c r="H32299" i="5"/>
  <c r="H32291" i="5"/>
  <c r="H32283" i="5"/>
  <c r="H32275" i="5"/>
  <c r="H32267" i="5"/>
  <c r="H32259" i="5"/>
  <c r="H32251" i="5"/>
  <c r="H32243" i="5"/>
  <c r="H32235" i="5"/>
  <c r="H32227" i="5"/>
  <c r="H32219" i="5"/>
  <c r="H32211" i="5"/>
  <c r="H32203" i="5"/>
  <c r="H32195" i="5"/>
  <c r="H32187" i="5"/>
  <c r="H32179" i="5"/>
  <c r="H32171" i="5"/>
  <c r="H32163" i="5"/>
  <c r="H32155" i="5"/>
  <c r="H32147" i="5"/>
  <c r="H32139" i="5"/>
  <c r="H32131" i="5"/>
  <c r="H32123" i="5"/>
  <c r="H32115" i="5"/>
  <c r="H32107" i="5"/>
  <c r="H32099" i="5"/>
  <c r="H32091" i="5"/>
  <c r="H32083" i="5"/>
  <c r="H32075" i="5"/>
  <c r="H32067" i="5"/>
  <c r="H32059" i="5"/>
  <c r="H32051" i="5"/>
  <c r="H32043" i="5"/>
  <c r="H32035" i="5"/>
  <c r="H32027" i="5"/>
  <c r="H32019" i="5"/>
  <c r="H32011" i="5"/>
  <c r="H32003" i="5"/>
  <c r="H31995" i="5"/>
  <c r="H31987" i="5"/>
  <c r="H31979" i="5"/>
  <c r="H31971" i="5"/>
  <c r="H31963" i="5"/>
  <c r="H31955" i="5"/>
  <c r="H31947" i="5"/>
  <c r="H31939" i="5"/>
  <c r="H31931" i="5"/>
  <c r="H31923" i="5"/>
  <c r="H31915" i="5"/>
  <c r="H31907" i="5"/>
  <c r="H31899" i="5"/>
  <c r="H31891" i="5"/>
  <c r="H31883" i="5"/>
  <c r="H31875" i="5"/>
  <c r="H31867" i="5"/>
  <c r="H31859" i="5"/>
  <c r="H31851" i="5"/>
  <c r="H31843" i="5"/>
  <c r="H31835" i="5"/>
  <c r="H31827" i="5"/>
  <c r="H31819" i="5"/>
  <c r="H31811" i="5"/>
  <c r="H31803" i="5"/>
  <c r="H31795" i="5"/>
  <c r="H31787" i="5"/>
  <c r="H31779" i="5"/>
  <c r="H31771" i="5"/>
  <c r="H31763" i="5"/>
  <c r="H31755" i="5"/>
  <c r="H31747" i="5"/>
  <c r="H31739" i="5"/>
  <c r="H31731" i="5"/>
  <c r="H31723" i="5"/>
  <c r="H31715" i="5"/>
  <c r="H31707" i="5"/>
  <c r="H31699" i="5"/>
  <c r="H31691" i="5"/>
  <c r="H31683" i="5"/>
  <c r="H31675" i="5"/>
  <c r="H31667" i="5"/>
  <c r="H31659" i="5"/>
  <c r="H31651" i="5"/>
  <c r="H31643" i="5"/>
  <c r="H31635" i="5"/>
  <c r="H31627" i="5"/>
  <c r="H31619" i="5"/>
  <c r="H31611" i="5"/>
  <c r="H31603" i="5"/>
  <c r="H31595" i="5"/>
  <c r="H31587" i="5"/>
  <c r="H31579" i="5"/>
  <c r="H31571" i="5"/>
  <c r="H31563" i="5"/>
  <c r="H31555" i="5"/>
  <c r="H31547" i="5"/>
  <c r="H31539" i="5"/>
  <c r="H31531" i="5"/>
  <c r="H31523" i="5"/>
  <c r="H31515" i="5"/>
  <c r="H31507" i="5"/>
  <c r="H31499" i="5"/>
  <c r="H31491" i="5"/>
  <c r="H31483" i="5"/>
  <c r="H31475" i="5"/>
  <c r="H31467" i="5"/>
  <c r="H31459" i="5"/>
  <c r="H31451" i="5"/>
  <c r="H31443" i="5"/>
  <c r="H31435" i="5"/>
  <c r="H31427" i="5"/>
  <c r="H31419" i="5"/>
  <c r="H31411" i="5"/>
  <c r="H31403" i="5"/>
  <c r="H31395" i="5"/>
  <c r="H31387" i="5"/>
  <c r="H31379" i="5"/>
  <c r="H31371" i="5"/>
  <c r="H31363" i="5"/>
  <c r="H31355" i="5"/>
  <c r="H31347" i="5"/>
  <c r="H31339" i="5"/>
  <c r="H31331" i="5"/>
  <c r="H31323" i="5"/>
  <c r="H31315" i="5"/>
  <c r="H31307" i="5"/>
  <c r="H31299" i="5"/>
  <c r="H31291" i="5"/>
  <c r="H31283" i="5"/>
  <c r="H31275" i="5"/>
  <c r="H31267" i="5"/>
  <c r="H31259" i="5"/>
  <c r="H31251" i="5"/>
  <c r="H31243" i="5"/>
  <c r="H31235" i="5"/>
  <c r="H31227" i="5"/>
  <c r="H31219" i="5"/>
  <c r="H31211" i="5"/>
  <c r="H31203" i="5"/>
  <c r="H31195" i="5"/>
  <c r="H31187" i="5"/>
  <c r="H31179" i="5"/>
  <c r="H31171" i="5"/>
  <c r="H31163" i="5"/>
  <c r="H31155" i="5"/>
  <c r="H31147" i="5"/>
  <c r="H31139" i="5"/>
  <c r="H31131" i="5"/>
  <c r="H31123" i="5"/>
  <c r="H31115" i="5"/>
  <c r="H31107" i="5"/>
  <c r="H31099" i="5"/>
  <c r="H31091" i="5"/>
  <c r="H31083" i="5"/>
  <c r="H31075" i="5"/>
  <c r="H31067" i="5"/>
  <c r="H31059" i="5"/>
  <c r="H31051" i="5"/>
  <c r="H31043" i="5"/>
  <c r="H31035" i="5"/>
  <c r="H31027" i="5"/>
  <c r="H31019" i="5"/>
  <c r="H31011" i="5"/>
  <c r="H31003" i="5"/>
  <c r="H30995" i="5"/>
  <c r="H30987" i="5"/>
  <c r="H30979" i="5"/>
  <c r="H30971" i="5"/>
  <c r="H30963" i="5"/>
  <c r="H30955" i="5"/>
  <c r="H30947" i="5"/>
  <c r="H30939" i="5"/>
  <c r="H30931" i="5"/>
  <c r="H30923" i="5"/>
  <c r="H30915" i="5"/>
  <c r="H30907" i="5"/>
  <c r="H30899" i="5"/>
  <c r="H30891" i="5"/>
  <c r="H30883" i="5"/>
  <c r="H30875" i="5"/>
  <c r="H30867" i="5"/>
  <c r="H30859" i="5"/>
  <c r="H30851" i="5"/>
  <c r="H30843" i="5"/>
  <c r="H30835" i="5"/>
  <c r="H30827" i="5"/>
  <c r="H30819" i="5"/>
  <c r="H30811" i="5"/>
  <c r="H30803" i="5"/>
  <c r="H30795" i="5"/>
  <c r="H30787" i="5"/>
  <c r="H30779" i="5"/>
  <c r="H30771" i="5"/>
  <c r="H30763" i="5"/>
  <c r="H30755" i="5"/>
  <c r="H30747" i="5"/>
  <c r="H30739" i="5"/>
  <c r="H30731" i="5"/>
  <c r="H30723" i="5"/>
  <c r="H30715" i="5"/>
  <c r="H30707" i="5"/>
  <c r="H30699" i="5"/>
  <c r="H30691" i="5"/>
  <c r="H30683" i="5"/>
  <c r="H30675" i="5"/>
  <c r="H30667" i="5"/>
  <c r="H30659" i="5"/>
  <c r="H30651" i="5"/>
  <c r="H30643" i="5"/>
  <c r="H30635" i="5"/>
  <c r="H30627" i="5"/>
  <c r="H30619" i="5"/>
  <c r="H30611" i="5"/>
  <c r="H30603" i="5"/>
  <c r="H30595" i="5"/>
  <c r="H30587" i="5"/>
  <c r="H30579" i="5"/>
  <c r="H30571" i="5"/>
  <c r="H30563" i="5"/>
  <c r="H30555" i="5"/>
  <c r="H30547" i="5"/>
  <c r="H30539" i="5"/>
  <c r="H30531" i="5"/>
  <c r="H30523" i="5"/>
  <c r="H30515" i="5"/>
  <c r="H30507" i="5"/>
  <c r="H30499" i="5"/>
  <c r="H30491" i="5"/>
  <c r="H30483" i="5"/>
  <c r="H30475" i="5"/>
  <c r="H30467" i="5"/>
  <c r="H30459" i="5"/>
  <c r="H30451" i="5"/>
  <c r="H30443" i="5"/>
  <c r="H30435" i="5"/>
  <c r="H30427" i="5"/>
  <c r="H30419" i="5"/>
  <c r="H30411" i="5"/>
  <c r="H30403" i="5"/>
  <c r="H30395" i="5"/>
  <c r="H30387" i="5"/>
  <c r="H30379" i="5"/>
  <c r="H30371" i="5"/>
  <c r="H30363" i="5"/>
  <c r="H30355" i="5"/>
  <c r="H30347" i="5"/>
  <c r="H30339" i="5"/>
  <c r="H30331" i="5"/>
  <c r="H30323" i="5"/>
  <c r="H30315" i="5"/>
  <c r="H30307" i="5"/>
  <c r="H30299" i="5"/>
  <c r="H30291" i="5"/>
  <c r="H30283" i="5"/>
  <c r="H30275" i="5"/>
  <c r="H30267" i="5"/>
  <c r="H30259" i="5"/>
  <c r="H30251" i="5"/>
  <c r="H30243" i="5"/>
  <c r="H30235" i="5"/>
  <c r="H30227" i="5"/>
  <c r="H30219" i="5"/>
  <c r="H30211" i="5"/>
  <c r="H30203" i="5"/>
  <c r="H30195" i="5"/>
  <c r="H30187" i="5"/>
  <c r="H30179" i="5"/>
  <c r="H30171" i="5"/>
  <c r="H30163" i="5"/>
  <c r="H30155" i="5"/>
  <c r="H30147" i="5"/>
  <c r="H30139" i="5"/>
  <c r="H30131" i="5"/>
  <c r="H30123" i="5"/>
  <c r="H30115" i="5"/>
  <c r="H30107" i="5"/>
  <c r="H30099" i="5"/>
  <c r="H30091" i="5"/>
  <c r="H30083" i="5"/>
  <c r="H30075" i="5"/>
  <c r="H30067" i="5"/>
  <c r="H30059" i="5"/>
  <c r="H30051" i="5"/>
  <c r="H30043" i="5"/>
  <c r="H30035" i="5"/>
  <c r="H30027" i="5"/>
  <c r="H30019" i="5"/>
  <c r="H30011" i="5"/>
  <c r="H30003" i="5"/>
  <c r="H29995" i="5"/>
  <c r="H29987" i="5"/>
  <c r="H29979" i="5"/>
  <c r="H29971" i="5"/>
  <c r="H29963" i="5"/>
  <c r="H29955" i="5"/>
  <c r="H29947" i="5"/>
  <c r="H29939" i="5"/>
  <c r="H29931" i="5"/>
  <c r="H29923" i="5"/>
  <c r="H29915" i="5"/>
  <c r="H29907" i="5"/>
  <c r="H29899" i="5"/>
  <c r="H29891" i="5"/>
  <c r="H29883" i="5"/>
  <c r="H29875" i="5"/>
  <c r="H29867" i="5"/>
  <c r="H29859" i="5"/>
  <c r="H29851" i="5"/>
  <c r="H29843" i="5"/>
  <c r="H29835" i="5"/>
  <c r="H29827" i="5"/>
  <c r="H29819" i="5"/>
  <c r="H29811" i="5"/>
  <c r="H29803" i="5"/>
  <c r="H29795" i="5"/>
  <c r="H29787" i="5"/>
  <c r="H29779" i="5"/>
  <c r="H29771" i="5"/>
  <c r="H29763" i="5"/>
  <c r="H29755" i="5"/>
  <c r="H29747" i="5"/>
  <c r="H29739" i="5"/>
  <c r="H29731" i="5"/>
  <c r="H29723" i="5"/>
  <c r="H29715" i="5"/>
  <c r="H29707" i="5"/>
  <c r="H29699" i="5"/>
  <c r="H29691" i="5"/>
  <c r="H29683" i="5"/>
  <c r="H29675" i="5"/>
  <c r="H29667" i="5"/>
  <c r="H29659" i="5"/>
  <c r="H29651" i="5"/>
  <c r="H29643" i="5"/>
  <c r="H29635" i="5"/>
  <c r="H29627" i="5"/>
  <c r="H29619" i="5"/>
  <c r="H29611" i="5"/>
  <c r="H29603" i="5"/>
  <c r="H29595" i="5"/>
  <c r="H29587" i="5"/>
  <c r="H29579" i="5"/>
  <c r="H29571" i="5"/>
  <c r="H29563" i="5"/>
  <c r="H29555" i="5"/>
  <c r="H29547" i="5"/>
  <c r="H29539" i="5"/>
  <c r="H29531" i="5"/>
  <c r="H29523" i="5"/>
  <c r="H29515" i="5"/>
  <c r="H29507" i="5"/>
  <c r="H29499" i="5"/>
  <c r="H29491" i="5"/>
  <c r="H29483" i="5"/>
  <c r="H29475" i="5"/>
  <c r="H29467" i="5"/>
  <c r="H29459" i="5"/>
  <c r="H29451" i="5"/>
  <c r="H29443" i="5"/>
  <c r="H29435" i="5"/>
  <c r="H29427" i="5"/>
  <c r="H29419" i="5"/>
  <c r="H29411" i="5"/>
  <c r="H29403" i="5"/>
  <c r="H29395" i="5"/>
  <c r="H29387" i="5"/>
  <c r="H29379" i="5"/>
  <c r="H29371" i="5"/>
  <c r="H29363" i="5"/>
  <c r="H29355" i="5"/>
  <c r="H29347" i="5"/>
  <c r="H29339" i="5"/>
  <c r="H29331" i="5"/>
  <c r="H29323" i="5"/>
  <c r="H29315" i="5"/>
  <c r="H29307" i="5"/>
  <c r="H29299" i="5"/>
  <c r="H29291" i="5"/>
  <c r="H29283" i="5"/>
  <c r="H29275" i="5"/>
  <c r="H29267" i="5"/>
  <c r="H29259" i="5"/>
  <c r="H29251" i="5"/>
  <c r="H29243" i="5"/>
  <c r="H29235" i="5"/>
  <c r="H29227" i="5"/>
  <c r="H29219" i="5"/>
  <c r="H29211" i="5"/>
  <c r="H29203" i="5"/>
  <c r="H29195" i="5"/>
  <c r="H29187" i="5"/>
  <c r="H29179" i="5"/>
  <c r="H29171" i="5"/>
  <c r="H29163" i="5"/>
  <c r="H29155" i="5"/>
  <c r="H29147" i="5"/>
  <c r="H29139" i="5"/>
  <c r="H29131" i="5"/>
  <c r="H29123" i="5"/>
  <c r="H29115" i="5"/>
  <c r="H29107" i="5"/>
  <c r="H29099" i="5"/>
  <c r="H29091" i="5"/>
  <c r="H29083" i="5"/>
  <c r="H29075" i="5"/>
  <c r="H29067" i="5"/>
  <c r="H29059" i="5"/>
  <c r="H29051" i="5"/>
  <c r="H29043" i="5"/>
  <c r="H29035" i="5"/>
  <c r="H29027" i="5"/>
  <c r="H29019" i="5"/>
  <c r="H29011" i="5"/>
  <c r="H29003" i="5"/>
  <c r="H28995" i="5"/>
  <c r="H28987" i="5"/>
  <c r="H28979" i="5"/>
  <c r="H28971" i="5"/>
  <c r="H28963" i="5"/>
  <c r="H28955" i="5"/>
  <c r="H28947" i="5"/>
  <c r="H28939" i="5"/>
  <c r="H28931" i="5"/>
  <c r="H28923" i="5"/>
  <c r="H28915" i="5"/>
  <c r="H28907" i="5"/>
  <c r="H28899" i="5"/>
  <c r="H28891" i="5"/>
  <c r="H28883" i="5"/>
  <c r="H28875" i="5"/>
  <c r="H28867" i="5"/>
  <c r="H28859" i="5"/>
  <c r="H28851" i="5"/>
  <c r="H28843" i="5"/>
  <c r="H28835" i="5"/>
  <c r="H28827" i="5"/>
  <c r="H28819" i="5"/>
  <c r="H28811" i="5"/>
  <c r="H28803" i="5"/>
  <c r="H28795" i="5"/>
  <c r="H28787" i="5"/>
  <c r="H28779" i="5"/>
  <c r="H28771" i="5"/>
  <c r="H28763" i="5"/>
  <c r="H28755" i="5"/>
  <c r="H28747" i="5"/>
  <c r="H28739" i="5"/>
  <c r="H28731" i="5"/>
  <c r="H28723" i="5"/>
  <c r="H28715" i="5"/>
  <c r="H28707" i="5"/>
  <c r="H28699" i="5"/>
  <c r="H28691" i="5"/>
  <c r="H28683" i="5"/>
  <c r="H28675" i="5"/>
  <c r="H28667" i="5"/>
  <c r="H28659" i="5"/>
  <c r="H28651" i="5"/>
  <c r="H28643" i="5"/>
  <c r="H28635" i="5"/>
  <c r="H28627" i="5"/>
  <c r="H28619" i="5"/>
  <c r="H28611" i="5"/>
  <c r="H28603" i="5"/>
  <c r="H28595" i="5"/>
  <c r="H28587" i="5"/>
  <c r="H28579" i="5"/>
  <c r="H28571" i="5"/>
  <c r="H28563" i="5"/>
  <c r="H28555" i="5"/>
  <c r="H28547" i="5"/>
  <c r="H28539" i="5"/>
  <c r="H28531" i="5"/>
  <c r="H28523" i="5"/>
  <c r="H28515" i="5"/>
  <c r="H28507" i="5"/>
  <c r="H28499" i="5"/>
  <c r="H28491" i="5"/>
  <c r="H28483" i="5"/>
  <c r="H28475" i="5"/>
  <c r="H28467" i="5"/>
  <c r="H28459" i="5"/>
  <c r="H28451" i="5"/>
  <c r="H28443" i="5"/>
  <c r="H28435" i="5"/>
  <c r="H28427" i="5"/>
  <c r="H28419" i="5"/>
  <c r="H28411" i="5"/>
  <c r="H28403" i="5"/>
  <c r="H28395" i="5"/>
  <c r="H28387" i="5"/>
  <c r="H28379" i="5"/>
  <c r="H28371" i="5"/>
  <c r="H28363" i="5"/>
  <c r="H28355" i="5"/>
  <c r="H28347" i="5"/>
  <c r="H28339" i="5"/>
  <c r="H28331" i="5"/>
  <c r="H28323" i="5"/>
  <c r="H28315" i="5"/>
  <c r="H28307" i="5"/>
  <c r="H28299" i="5"/>
  <c r="H28291" i="5"/>
  <c r="H28283" i="5"/>
  <c r="H28275" i="5"/>
  <c r="H28267" i="5"/>
  <c r="H28259" i="5"/>
  <c r="H28251" i="5"/>
  <c r="H28243" i="5"/>
  <c r="H28235" i="5"/>
  <c r="H28227" i="5"/>
  <c r="H28219" i="5"/>
  <c r="H28211" i="5"/>
  <c r="H28203" i="5"/>
  <c r="H28195" i="5"/>
  <c r="H28187" i="5"/>
  <c r="H28179" i="5"/>
  <c r="H28171" i="5"/>
  <c r="H28163" i="5"/>
  <c r="H28155" i="5"/>
  <c r="H28147" i="5"/>
  <c r="H28139" i="5"/>
  <c r="H28131" i="5"/>
  <c r="H28123" i="5"/>
  <c r="H28115" i="5"/>
  <c r="H28107" i="5"/>
  <c r="H28099" i="5"/>
  <c r="H28091" i="5"/>
  <c r="H28083" i="5"/>
  <c r="H28075" i="5"/>
  <c r="H28067" i="5"/>
  <c r="H28059" i="5"/>
  <c r="H28051" i="5"/>
  <c r="H28043" i="5"/>
  <c r="H28035" i="5"/>
  <c r="H28027" i="5"/>
  <c r="H28019" i="5"/>
  <c r="H28011" i="5"/>
  <c r="H28003" i="5"/>
  <c r="H27995" i="5"/>
  <c r="H27987" i="5"/>
  <c r="H27979" i="5"/>
  <c r="H27971" i="5"/>
  <c r="H27963" i="5"/>
  <c r="H27955" i="5"/>
  <c r="H27947" i="5"/>
  <c r="H27939" i="5"/>
  <c r="H27931" i="5"/>
  <c r="H27923" i="5"/>
  <c r="H27915" i="5"/>
  <c r="H27907" i="5"/>
  <c r="H27899" i="5"/>
  <c r="H27891" i="5"/>
  <c r="H27883" i="5"/>
  <c r="H27875" i="5"/>
  <c r="H27867" i="5"/>
  <c r="H27859" i="5"/>
  <c r="H27851" i="5"/>
  <c r="H27843" i="5"/>
  <c r="H27835" i="5"/>
  <c r="H27827" i="5"/>
  <c r="H27819" i="5"/>
  <c r="H27811" i="5"/>
  <c r="H27803" i="5"/>
  <c r="H27795" i="5"/>
  <c r="H27787" i="5"/>
  <c r="H27779" i="5"/>
  <c r="H27771" i="5"/>
  <c r="H27763" i="5"/>
  <c r="H27755" i="5"/>
  <c r="H27747" i="5"/>
  <c r="H27739" i="5"/>
  <c r="H27731" i="5"/>
  <c r="H27723" i="5"/>
  <c r="H27715" i="5"/>
  <c r="H27707" i="5"/>
  <c r="H27699" i="5"/>
  <c r="H27691" i="5"/>
  <c r="H27683" i="5"/>
  <c r="H27675" i="5"/>
  <c r="H27667" i="5"/>
  <c r="H27659" i="5"/>
  <c r="H27651" i="5"/>
  <c r="H27643" i="5"/>
  <c r="H27635" i="5"/>
  <c r="H27627" i="5"/>
  <c r="H27619" i="5"/>
  <c r="H27611" i="5"/>
  <c r="H27603" i="5"/>
  <c r="H27595" i="5"/>
  <c r="H27587" i="5"/>
  <c r="H27579" i="5"/>
  <c r="H27571" i="5"/>
  <c r="H27563" i="5"/>
  <c r="H27555" i="5"/>
  <c r="H27547" i="5"/>
  <c r="H27539" i="5"/>
  <c r="H27531" i="5"/>
  <c r="H27523" i="5"/>
  <c r="H27515" i="5"/>
  <c r="H27507" i="5"/>
  <c r="H27499" i="5"/>
  <c r="H27491" i="5"/>
  <c r="H27483" i="5"/>
  <c r="H27475" i="5"/>
  <c r="H27467" i="5"/>
  <c r="H27459" i="5"/>
  <c r="H27451" i="5"/>
  <c r="H27443" i="5"/>
  <c r="H27435" i="5"/>
  <c r="H27427" i="5"/>
  <c r="H27419" i="5"/>
  <c r="H27411" i="5"/>
  <c r="H27403" i="5"/>
  <c r="H27395" i="5"/>
  <c r="H27387" i="5"/>
  <c r="H27379" i="5"/>
  <c r="H27371" i="5"/>
  <c r="H27363" i="5"/>
  <c r="H27355" i="5"/>
  <c r="H27347" i="5"/>
  <c r="H27339" i="5"/>
  <c r="H27331" i="5"/>
  <c r="H27323" i="5"/>
  <c r="H27315" i="5"/>
  <c r="H27307" i="5"/>
  <c r="H27299" i="5"/>
  <c r="H27291" i="5"/>
  <c r="H27283" i="5"/>
  <c r="H27275" i="5"/>
  <c r="H27267" i="5"/>
  <c r="H27259" i="5"/>
  <c r="H27251" i="5"/>
  <c r="H27243" i="5"/>
  <c r="H27235" i="5"/>
  <c r="H27227" i="5"/>
  <c r="H27219" i="5"/>
  <c r="H27211" i="5"/>
  <c r="H27203" i="5"/>
  <c r="H27195" i="5"/>
  <c r="H27187" i="5"/>
  <c r="H27179" i="5"/>
  <c r="H27171" i="5"/>
  <c r="H27163" i="5"/>
  <c r="H27155" i="5"/>
  <c r="H27147" i="5"/>
  <c r="H27139" i="5"/>
  <c r="H27131" i="5"/>
  <c r="H27123" i="5"/>
  <c r="H27115" i="5"/>
  <c r="H27107" i="5"/>
  <c r="H27099" i="5"/>
  <c r="H27091" i="5"/>
  <c r="H27083" i="5"/>
  <c r="H27075" i="5"/>
  <c r="H27067" i="5"/>
  <c r="H27059" i="5"/>
  <c r="H27051" i="5"/>
  <c r="H27043" i="5"/>
  <c r="H27035" i="5"/>
  <c r="H27027" i="5"/>
  <c r="H27019" i="5"/>
  <c r="H27011" i="5"/>
  <c r="H27003" i="5"/>
  <c r="H26995" i="5"/>
  <c r="H26987" i="5"/>
  <c r="H26979" i="5"/>
  <c r="H26971" i="5"/>
  <c r="H26963" i="5"/>
  <c r="H26955" i="5"/>
  <c r="H26947" i="5"/>
  <c r="H26939" i="5"/>
  <c r="H26931" i="5"/>
  <c r="H26923" i="5"/>
  <c r="H26915" i="5"/>
  <c r="H26907" i="5"/>
  <c r="H26899" i="5"/>
  <c r="H26891" i="5"/>
  <c r="H26883" i="5"/>
  <c r="H26875" i="5"/>
  <c r="H26867" i="5"/>
  <c r="H26859" i="5"/>
  <c r="H26851" i="5"/>
  <c r="H26843" i="5"/>
  <c r="H26835" i="5"/>
  <c r="H26827" i="5"/>
  <c r="H26819" i="5"/>
  <c r="H26811" i="5"/>
  <c r="H26803" i="5"/>
  <c r="H26795" i="5"/>
  <c r="H26787" i="5"/>
  <c r="H26779" i="5"/>
  <c r="H26771" i="5"/>
  <c r="H26763" i="5"/>
  <c r="H26755" i="5"/>
  <c r="H26747" i="5"/>
  <c r="H26739" i="5"/>
  <c r="H26731" i="5"/>
  <c r="H26723" i="5"/>
  <c r="H26715" i="5"/>
  <c r="H26707" i="5"/>
  <c r="H26699" i="5"/>
  <c r="H26691" i="5"/>
  <c r="H26683" i="5"/>
  <c r="H26675" i="5"/>
  <c r="H26667" i="5"/>
  <c r="H26659" i="5"/>
  <c r="H26651" i="5"/>
  <c r="H26643" i="5"/>
  <c r="H26635" i="5"/>
  <c r="H26627" i="5"/>
  <c r="H26619" i="5"/>
  <c r="H26611" i="5"/>
  <c r="H26603" i="5"/>
  <c r="H26595" i="5"/>
  <c r="H26587" i="5"/>
  <c r="H26579" i="5"/>
  <c r="H26571" i="5"/>
  <c r="H26563" i="5"/>
  <c r="H26555" i="5"/>
  <c r="H26547" i="5"/>
  <c r="H26539" i="5"/>
  <c r="H26531" i="5"/>
  <c r="H26523" i="5"/>
  <c r="H26515" i="5"/>
  <c r="H26507" i="5"/>
  <c r="H26499" i="5"/>
  <c r="H26491" i="5"/>
  <c r="H26483" i="5"/>
  <c r="H26475" i="5"/>
  <c r="H26467" i="5"/>
  <c r="H26459" i="5"/>
  <c r="H26451" i="5"/>
  <c r="H26443" i="5"/>
  <c r="H26435" i="5"/>
  <c r="H26427" i="5"/>
  <c r="H26419" i="5"/>
  <c r="H26411" i="5"/>
  <c r="H26403" i="5"/>
  <c r="H26395" i="5"/>
  <c r="H26387" i="5"/>
  <c r="H26379" i="5"/>
  <c r="H26371" i="5"/>
  <c r="H26363" i="5"/>
  <c r="H26355" i="5"/>
  <c r="H26347" i="5"/>
  <c r="H26339" i="5"/>
  <c r="H26331" i="5"/>
  <c r="H26323" i="5"/>
  <c r="H26315" i="5"/>
  <c r="H26307" i="5"/>
  <c r="H26299" i="5"/>
  <c r="H26291" i="5"/>
  <c r="H26283" i="5"/>
  <c r="H26275" i="5"/>
  <c r="H26267" i="5"/>
  <c r="H26259" i="5"/>
  <c r="H26251" i="5"/>
  <c r="H26243" i="5"/>
  <c r="H26235" i="5"/>
  <c r="H26227" i="5"/>
  <c r="H26219" i="5"/>
  <c r="H26211" i="5"/>
  <c r="H26203" i="5"/>
  <c r="H26195" i="5"/>
  <c r="H26187" i="5"/>
  <c r="H26179" i="5"/>
  <c r="H26171" i="5"/>
  <c r="H26163" i="5"/>
  <c r="H26155" i="5"/>
  <c r="H26147" i="5"/>
  <c r="H26139" i="5"/>
  <c r="H26131" i="5"/>
  <c r="H26123" i="5"/>
  <c r="H26115" i="5"/>
  <c r="H26107" i="5"/>
  <c r="H26099" i="5"/>
  <c r="H26091" i="5"/>
  <c r="H26083" i="5"/>
  <c r="H26075" i="5"/>
  <c r="H26067" i="5"/>
  <c r="H26059" i="5"/>
  <c r="H26051" i="5"/>
  <c r="H26043" i="5"/>
  <c r="H26035" i="5"/>
  <c r="H26027" i="5"/>
  <c r="H26019" i="5"/>
  <c r="H26011" i="5"/>
  <c r="H26003" i="5"/>
  <c r="H25995" i="5"/>
  <c r="H25987" i="5"/>
  <c r="H25979" i="5"/>
  <c r="H25971" i="5"/>
  <c r="H25963" i="5"/>
  <c r="H25955" i="5"/>
  <c r="H25947" i="5"/>
  <c r="H25939" i="5"/>
  <c r="H25931" i="5"/>
  <c r="H25923" i="5"/>
  <c r="H25915" i="5"/>
  <c r="H25907" i="5"/>
  <c r="H25899" i="5"/>
  <c r="H25891" i="5"/>
  <c r="H25883" i="5"/>
  <c r="H25875" i="5"/>
  <c r="H25867" i="5"/>
  <c r="H25859" i="5"/>
  <c r="H25851" i="5"/>
  <c r="H25843" i="5"/>
  <c r="H25835" i="5"/>
  <c r="H25827" i="5"/>
  <c r="H25819" i="5"/>
  <c r="H25811" i="5"/>
  <c r="H25803" i="5"/>
  <c r="H25795" i="5"/>
  <c r="H25787" i="5"/>
  <c r="H25779" i="5"/>
  <c r="H25771" i="5"/>
  <c r="H25763" i="5"/>
  <c r="H25755" i="5"/>
  <c r="H25747" i="5"/>
  <c r="H25739" i="5"/>
  <c r="H25731" i="5"/>
  <c r="H25723" i="5"/>
  <c r="H25715" i="5"/>
  <c r="H25707" i="5"/>
  <c r="H25699" i="5"/>
  <c r="H25691" i="5"/>
  <c r="H25683" i="5"/>
  <c r="H25675" i="5"/>
  <c r="H25667" i="5"/>
  <c r="H25659" i="5"/>
  <c r="H25651" i="5"/>
  <c r="H25643" i="5"/>
  <c r="H25635" i="5"/>
  <c r="H25627" i="5"/>
  <c r="H25619" i="5"/>
  <c r="H25611" i="5"/>
  <c r="H25603" i="5"/>
  <c r="H25595" i="5"/>
  <c r="H25587" i="5"/>
  <c r="H25579" i="5"/>
  <c r="H25571" i="5"/>
  <c r="H25563" i="5"/>
  <c r="H25555" i="5"/>
  <c r="H25547" i="5"/>
  <c r="H25539" i="5"/>
  <c r="H41495" i="5"/>
  <c r="H41381" i="5"/>
  <c r="H41271" i="5"/>
  <c r="H41183" i="5"/>
  <c r="H41097" i="5"/>
  <c r="H41012" i="5"/>
  <c r="H40927" i="5"/>
  <c r="H40841" i="5"/>
  <c r="H40756" i="5"/>
  <c r="H40671" i="5"/>
  <c r="H40585" i="5"/>
  <c r="H40500" i="5"/>
  <c r="H40415" i="5"/>
  <c r="H40329" i="5"/>
  <c r="H40244" i="5"/>
  <c r="H40159" i="5"/>
  <c r="H40073" i="5"/>
  <c r="H39988" i="5"/>
  <c r="H39903" i="5"/>
  <c r="H39817" i="5"/>
  <c r="H39732" i="5"/>
  <c r="H39647" i="5"/>
  <c r="H39564" i="5"/>
  <c r="H39490" i="5"/>
  <c r="H39417" i="5"/>
  <c r="H39344" i="5"/>
  <c r="H39278" i="5"/>
  <c r="H39214" i="5"/>
  <c r="H39150" i="5"/>
  <c r="H39086" i="5"/>
  <c r="H39022" i="5"/>
  <c r="H38958" i="5"/>
  <c r="H38894" i="5"/>
  <c r="H38830" i="5"/>
  <c r="H38766" i="5"/>
  <c r="H38702" i="5"/>
  <c r="H38638" i="5"/>
  <c r="H38574" i="5"/>
  <c r="H38510" i="5"/>
  <c r="H38446" i="5"/>
  <c r="H38382" i="5"/>
  <c r="H38318" i="5"/>
  <c r="H38254" i="5"/>
  <c r="H38190" i="5"/>
  <c r="H38126" i="5"/>
  <c r="H38062" i="5"/>
  <c r="H37998" i="5"/>
  <c r="H37934" i="5"/>
  <c r="H37870" i="5"/>
  <c r="H37806" i="5"/>
  <c r="H37742" i="5"/>
  <c r="H37678" i="5"/>
  <c r="H37614" i="5"/>
  <c r="H37550" i="5"/>
  <c r="H37486" i="5"/>
  <c r="H37422" i="5"/>
  <c r="H37358" i="5"/>
  <c r="H37294" i="5"/>
  <c r="H37230" i="5"/>
  <c r="H37166" i="5"/>
  <c r="H37102" i="5"/>
  <c r="H37038" i="5"/>
  <c r="H36974" i="5"/>
  <c r="H36910" i="5"/>
  <c r="H36846" i="5"/>
  <c r="H36782" i="5"/>
  <c r="H36718" i="5"/>
  <c r="H36654" i="5"/>
  <c r="H36590" i="5"/>
  <c r="H36526" i="5"/>
  <c r="H36470" i="5"/>
  <c r="H36438" i="5"/>
  <c r="H36406" i="5"/>
  <c r="H36374" i="5"/>
  <c r="H36342" i="5"/>
  <c r="H36310" i="5"/>
  <c r="H36278" i="5"/>
  <c r="H36246" i="5"/>
  <c r="H36214" i="5"/>
  <c r="H36182" i="5"/>
  <c r="H36150" i="5"/>
  <c r="H36118" i="5"/>
  <c r="H36086" i="5"/>
  <c r="H36054" i="5"/>
  <c r="H36022" i="5"/>
  <c r="H35990" i="5"/>
  <c r="H35958" i="5"/>
  <c r="H35926" i="5"/>
  <c r="H35894" i="5"/>
  <c r="H35862" i="5"/>
  <c r="H35830" i="5"/>
  <c r="H35798" i="5"/>
  <c r="H35766" i="5"/>
  <c r="H35734" i="5"/>
  <c r="H35702" i="5"/>
  <c r="H35670" i="5"/>
  <c r="H35638" i="5"/>
  <c r="H35606" i="5"/>
  <c r="H35574" i="5"/>
  <c r="H35542" i="5"/>
  <c r="H35510" i="5"/>
  <c r="H35478" i="5"/>
  <c r="H35446" i="5"/>
  <c r="H35414" i="5"/>
  <c r="H35382" i="5"/>
  <c r="H35350" i="5"/>
  <c r="H35318" i="5"/>
  <c r="H35286" i="5"/>
  <c r="H35254" i="5"/>
  <c r="H35222" i="5"/>
  <c r="H35190" i="5"/>
  <c r="H35158" i="5"/>
  <c r="H35126" i="5"/>
  <c r="H35103" i="5"/>
  <c r="H35081" i="5"/>
  <c r="H35062" i="5"/>
  <c r="H35039" i="5"/>
  <c r="H35017" i="5"/>
  <c r="H34998" i="5"/>
  <c r="H34975" i="5"/>
  <c r="H34953" i="5"/>
  <c r="H34937" i="5"/>
  <c r="H34921" i="5"/>
  <c r="H34905" i="5"/>
  <c r="H34890" i="5"/>
  <c r="H34878" i="5"/>
  <c r="H34865" i="5"/>
  <c r="H34852" i="5"/>
  <c r="H34839" i="5"/>
  <c r="H34826" i="5"/>
  <c r="H34814" i="5"/>
  <c r="H34801" i="5"/>
  <c r="H34788" i="5"/>
  <c r="H34775" i="5"/>
  <c r="H34762" i="5"/>
  <c r="H34750" i="5"/>
  <c r="H34737" i="5"/>
  <c r="H34724" i="5"/>
  <c r="H34711" i="5"/>
  <c r="H34698" i="5"/>
  <c r="H34686" i="5"/>
  <c r="H34673" i="5"/>
  <c r="H34660" i="5"/>
  <c r="H34647" i="5"/>
  <c r="H34634" i="5"/>
  <c r="H34623" i="5"/>
  <c r="H34613" i="5"/>
  <c r="H34602" i="5"/>
  <c r="H34591" i="5"/>
  <c r="H34581" i="5"/>
  <c r="H34570" i="5"/>
  <c r="H34562" i="5"/>
  <c r="H34554" i="5"/>
  <c r="H34546" i="5"/>
  <c r="H34538" i="5"/>
  <c r="H34530" i="5"/>
  <c r="H34522" i="5"/>
  <c r="H34514" i="5"/>
  <c r="H34506" i="5"/>
  <c r="H34498" i="5"/>
  <c r="H34490" i="5"/>
  <c r="H34482" i="5"/>
  <c r="H34474" i="5"/>
  <c r="H34466" i="5"/>
  <c r="H34458" i="5"/>
  <c r="H34450" i="5"/>
  <c r="H34442" i="5"/>
  <c r="H34434" i="5"/>
  <c r="H34426" i="5"/>
  <c r="H34418" i="5"/>
  <c r="H34410" i="5"/>
  <c r="H34402" i="5"/>
  <c r="H34394" i="5"/>
  <c r="H34386" i="5"/>
  <c r="H34378" i="5"/>
  <c r="H34370" i="5"/>
  <c r="H34362" i="5"/>
  <c r="H34354" i="5"/>
  <c r="H34346" i="5"/>
  <c r="H34338" i="5"/>
  <c r="H34330" i="5"/>
  <c r="H34322" i="5"/>
  <c r="H34314" i="5"/>
  <c r="H34306" i="5"/>
  <c r="H34298" i="5"/>
  <c r="H34290" i="5"/>
  <c r="H34282" i="5"/>
  <c r="H34274" i="5"/>
  <c r="H34266" i="5"/>
  <c r="H34258" i="5"/>
  <c r="H34250" i="5"/>
  <c r="H34242" i="5"/>
  <c r="H34234" i="5"/>
  <c r="H34226" i="5"/>
  <c r="H34218" i="5"/>
  <c r="H34210" i="5"/>
  <c r="H34202" i="5"/>
  <c r="H34194" i="5"/>
  <c r="H34186" i="5"/>
  <c r="H34178" i="5"/>
  <c r="H34170" i="5"/>
  <c r="H34162" i="5"/>
  <c r="H34154" i="5"/>
  <c r="H34146" i="5"/>
  <c r="H34138" i="5"/>
  <c r="H34130" i="5"/>
  <c r="H34122" i="5"/>
  <c r="H34114" i="5"/>
  <c r="H34106" i="5"/>
  <c r="H34098" i="5"/>
  <c r="H34090" i="5"/>
  <c r="H34082" i="5"/>
  <c r="H34074" i="5"/>
  <c r="H34066" i="5"/>
  <c r="H34058" i="5"/>
  <c r="H34050" i="5"/>
  <c r="H34042" i="5"/>
  <c r="H34034" i="5"/>
  <c r="H34026" i="5"/>
  <c r="H34018" i="5"/>
  <c r="H34010" i="5"/>
  <c r="H34002" i="5"/>
  <c r="H33994" i="5"/>
  <c r="H33986" i="5"/>
  <c r="H33978" i="5"/>
  <c r="H33970" i="5"/>
  <c r="H33962" i="5"/>
  <c r="H33954" i="5"/>
  <c r="H33946" i="5"/>
  <c r="H33938" i="5"/>
  <c r="H33930" i="5"/>
  <c r="H33922" i="5"/>
  <c r="H33914" i="5"/>
  <c r="H33906" i="5"/>
  <c r="H33898" i="5"/>
  <c r="H33890" i="5"/>
  <c r="H33882" i="5"/>
  <c r="H33874" i="5"/>
  <c r="H33866" i="5"/>
  <c r="H33858" i="5"/>
  <c r="H33850" i="5"/>
  <c r="H33842" i="5"/>
  <c r="H33834" i="5"/>
  <c r="H33826" i="5"/>
  <c r="H33818" i="5"/>
  <c r="H33810" i="5"/>
  <c r="H33802" i="5"/>
  <c r="H33794" i="5"/>
  <c r="H33786" i="5"/>
  <c r="H33778" i="5"/>
  <c r="H33770" i="5"/>
  <c r="H33762" i="5"/>
  <c r="H33754" i="5"/>
  <c r="H33746" i="5"/>
  <c r="H33738" i="5"/>
  <c r="H33730" i="5"/>
  <c r="H33722" i="5"/>
  <c r="H33714" i="5"/>
  <c r="H33706" i="5"/>
  <c r="H33698" i="5"/>
  <c r="H33690" i="5"/>
  <c r="H33682" i="5"/>
  <c r="H33674" i="5"/>
  <c r="H33666" i="5"/>
  <c r="H33658" i="5"/>
  <c r="H33650" i="5"/>
  <c r="H33642" i="5"/>
  <c r="H33634" i="5"/>
  <c r="H33626" i="5"/>
  <c r="H33618" i="5"/>
  <c r="H33610" i="5"/>
  <c r="H33602" i="5"/>
  <c r="H33594" i="5"/>
  <c r="H33586" i="5"/>
  <c r="H33578" i="5"/>
  <c r="H33570" i="5"/>
  <c r="H33562" i="5"/>
  <c r="H33554" i="5"/>
  <c r="H33546" i="5"/>
  <c r="H33538" i="5"/>
  <c r="H33530" i="5"/>
  <c r="H33522" i="5"/>
  <c r="H33514" i="5"/>
  <c r="H33506" i="5"/>
  <c r="H33498" i="5"/>
  <c r="H33490" i="5"/>
  <c r="H33482" i="5"/>
  <c r="H33474" i="5"/>
  <c r="H33466" i="5"/>
  <c r="H33458" i="5"/>
  <c r="H33450" i="5"/>
  <c r="H33442" i="5"/>
  <c r="H33434" i="5"/>
  <c r="H33426" i="5"/>
  <c r="H33418" i="5"/>
  <c r="H33410" i="5"/>
  <c r="H33402" i="5"/>
  <c r="H33394" i="5"/>
  <c r="H33386" i="5"/>
  <c r="H33378" i="5"/>
  <c r="H33370" i="5"/>
  <c r="H33362" i="5"/>
  <c r="H33354" i="5"/>
  <c r="H33346" i="5"/>
  <c r="H33338" i="5"/>
  <c r="H33330" i="5"/>
  <c r="H33322" i="5"/>
  <c r="H33314" i="5"/>
  <c r="H33306" i="5"/>
  <c r="H33298" i="5"/>
  <c r="H33290" i="5"/>
  <c r="H33282" i="5"/>
  <c r="H33274" i="5"/>
  <c r="H33266" i="5"/>
  <c r="H33258" i="5"/>
  <c r="H33250" i="5"/>
  <c r="H33242" i="5"/>
  <c r="H33234" i="5"/>
  <c r="H33226" i="5"/>
  <c r="H33218" i="5"/>
  <c r="H33210" i="5"/>
  <c r="H33202" i="5"/>
  <c r="H33194" i="5"/>
  <c r="H33186" i="5"/>
  <c r="H33178" i="5"/>
  <c r="H33170" i="5"/>
  <c r="H33162" i="5"/>
  <c r="H33154" i="5"/>
  <c r="H33146" i="5"/>
  <c r="H33138" i="5"/>
  <c r="H33130" i="5"/>
  <c r="H33122" i="5"/>
  <c r="H33114" i="5"/>
  <c r="H33106" i="5"/>
  <c r="H33098" i="5"/>
  <c r="H33090" i="5"/>
  <c r="H33082" i="5"/>
  <c r="H33074" i="5"/>
  <c r="H33066" i="5"/>
  <c r="H33058" i="5"/>
  <c r="H33050" i="5"/>
  <c r="H33042" i="5"/>
  <c r="H33034" i="5"/>
  <c r="H33026" i="5"/>
  <c r="H33018" i="5"/>
  <c r="H33010" i="5"/>
  <c r="H33002" i="5"/>
  <c r="H32994" i="5"/>
  <c r="H32986" i="5"/>
  <c r="H32978" i="5"/>
  <c r="H32970" i="5"/>
  <c r="H32962" i="5"/>
  <c r="H32954" i="5"/>
  <c r="H32946" i="5"/>
  <c r="H32938" i="5"/>
  <c r="H32930" i="5"/>
  <c r="H32922" i="5"/>
  <c r="H32914" i="5"/>
  <c r="H32906" i="5"/>
  <c r="H32898" i="5"/>
  <c r="H32890" i="5"/>
  <c r="H32882" i="5"/>
  <c r="H32874" i="5"/>
  <c r="H32866" i="5"/>
  <c r="H32858" i="5"/>
  <c r="H32850" i="5"/>
  <c r="H32842" i="5"/>
  <c r="H32834" i="5"/>
  <c r="H32826" i="5"/>
  <c r="H32818" i="5"/>
  <c r="H32810" i="5"/>
  <c r="H32802" i="5"/>
  <c r="H32794" i="5"/>
  <c r="H32786" i="5"/>
  <c r="H32778" i="5"/>
  <c r="H32770" i="5"/>
  <c r="H32762" i="5"/>
  <c r="H32754" i="5"/>
  <c r="H32746" i="5"/>
  <c r="H32738" i="5"/>
  <c r="H32730" i="5"/>
  <c r="H32722" i="5"/>
  <c r="H32714" i="5"/>
  <c r="H32706" i="5"/>
  <c r="H32698" i="5"/>
  <c r="H32690" i="5"/>
  <c r="H32682" i="5"/>
  <c r="H32674" i="5"/>
  <c r="H32666" i="5"/>
  <c r="H32658" i="5"/>
  <c r="H32650" i="5"/>
  <c r="H32642" i="5"/>
  <c r="H32634" i="5"/>
  <c r="H32626" i="5"/>
  <c r="H32618" i="5"/>
  <c r="H32610" i="5"/>
  <c r="H32602" i="5"/>
  <c r="H32594" i="5"/>
  <c r="H32586" i="5"/>
  <c r="H32578" i="5"/>
  <c r="H32570" i="5"/>
  <c r="H32562" i="5"/>
  <c r="H32554" i="5"/>
  <c r="H32546" i="5"/>
  <c r="H32538" i="5"/>
  <c r="H32530" i="5"/>
  <c r="H32522" i="5"/>
  <c r="H32514" i="5"/>
  <c r="H32506" i="5"/>
  <c r="H32498" i="5"/>
  <c r="H32490" i="5"/>
  <c r="H32482" i="5"/>
  <c r="H32474" i="5"/>
  <c r="H32466" i="5"/>
  <c r="H32458" i="5"/>
  <c r="H32450" i="5"/>
  <c r="H32442" i="5"/>
  <c r="H32434" i="5"/>
  <c r="H32426" i="5"/>
  <c r="H32418" i="5"/>
  <c r="H32410" i="5"/>
  <c r="H32402" i="5"/>
  <c r="H32394" i="5"/>
  <c r="H32386" i="5"/>
  <c r="H32378" i="5"/>
  <c r="H32370" i="5"/>
  <c r="H32362" i="5"/>
  <c r="H32354" i="5"/>
  <c r="H32346" i="5"/>
  <c r="H32338" i="5"/>
  <c r="H32330" i="5"/>
  <c r="H32322" i="5"/>
  <c r="H32314" i="5"/>
  <c r="H32306" i="5"/>
  <c r="H32298" i="5"/>
  <c r="H32290" i="5"/>
  <c r="H32282" i="5"/>
  <c r="H32274" i="5"/>
  <c r="H32266" i="5"/>
  <c r="H32258" i="5"/>
  <c r="H32250" i="5"/>
  <c r="H32242" i="5"/>
  <c r="H32234" i="5"/>
  <c r="H32226" i="5"/>
  <c r="H32218" i="5"/>
  <c r="H32210" i="5"/>
  <c r="H32202" i="5"/>
  <c r="H32194" i="5"/>
  <c r="H32186" i="5"/>
  <c r="H32178" i="5"/>
  <c r="H32170" i="5"/>
  <c r="H32162" i="5"/>
  <c r="H32154" i="5"/>
  <c r="H32146" i="5"/>
  <c r="H32138" i="5"/>
  <c r="H32130" i="5"/>
  <c r="H32122" i="5"/>
  <c r="H32114" i="5"/>
  <c r="H32106" i="5"/>
  <c r="H32098" i="5"/>
  <c r="H32090" i="5"/>
  <c r="H32082" i="5"/>
  <c r="H32074" i="5"/>
  <c r="H32066" i="5"/>
  <c r="H32058" i="5"/>
  <c r="H32050" i="5"/>
  <c r="H32042" i="5"/>
  <c r="H32034" i="5"/>
  <c r="H32026" i="5"/>
  <c r="H32018" i="5"/>
  <c r="H32010" i="5"/>
  <c r="H32002" i="5"/>
  <c r="H31994" i="5"/>
  <c r="H31986" i="5"/>
  <c r="H31978" i="5"/>
  <c r="H31970" i="5"/>
  <c r="H31962" i="5"/>
  <c r="H31954" i="5"/>
  <c r="H31946" i="5"/>
  <c r="H31938" i="5"/>
  <c r="H31930" i="5"/>
  <c r="H31922" i="5"/>
  <c r="H31914" i="5"/>
  <c r="H31906" i="5"/>
  <c r="H31898" i="5"/>
  <c r="H31890" i="5"/>
  <c r="H31882" i="5"/>
  <c r="H31874" i="5"/>
  <c r="H31866" i="5"/>
  <c r="H31858" i="5"/>
  <c r="H31850" i="5"/>
  <c r="H31842" i="5"/>
  <c r="H31834" i="5"/>
  <c r="H31826" i="5"/>
  <c r="H31818" i="5"/>
  <c r="H31810" i="5"/>
  <c r="H31802" i="5"/>
  <c r="H31794" i="5"/>
  <c r="H31786" i="5"/>
  <c r="H31778" i="5"/>
  <c r="H31770" i="5"/>
  <c r="H31762" i="5"/>
  <c r="H31754" i="5"/>
  <c r="H31746" i="5"/>
  <c r="H31738" i="5"/>
  <c r="H31730" i="5"/>
  <c r="H31722" i="5"/>
  <c r="H31714" i="5"/>
  <c r="H31706" i="5"/>
  <c r="H31698" i="5"/>
  <c r="H31690" i="5"/>
  <c r="H31682" i="5"/>
  <c r="H31674" i="5"/>
  <c r="H31666" i="5"/>
  <c r="H31658" i="5"/>
  <c r="H31650" i="5"/>
  <c r="H31642" i="5"/>
  <c r="H31634" i="5"/>
  <c r="H31626" i="5"/>
  <c r="H31618" i="5"/>
  <c r="H31610" i="5"/>
  <c r="H31602" i="5"/>
  <c r="H31594" i="5"/>
  <c r="H31586" i="5"/>
  <c r="H31578" i="5"/>
  <c r="H31570" i="5"/>
  <c r="H31562" i="5"/>
  <c r="H31554" i="5"/>
  <c r="H31546" i="5"/>
  <c r="H31538" i="5"/>
  <c r="H31530" i="5"/>
  <c r="H31522" i="5"/>
  <c r="H31514" i="5"/>
  <c r="H31506" i="5"/>
  <c r="H31498" i="5"/>
  <c r="H31490" i="5"/>
  <c r="H31482" i="5"/>
  <c r="H31474" i="5"/>
  <c r="H31466" i="5"/>
  <c r="H31458" i="5"/>
  <c r="H31450" i="5"/>
  <c r="H31442" i="5"/>
  <c r="H31434" i="5"/>
  <c r="H31426" i="5"/>
  <c r="H31418" i="5"/>
  <c r="H31410" i="5"/>
  <c r="H31402" i="5"/>
  <c r="H31394" i="5"/>
  <c r="H31386" i="5"/>
  <c r="H31378" i="5"/>
  <c r="H31370" i="5"/>
  <c r="H31362" i="5"/>
  <c r="H31354" i="5"/>
  <c r="H31346" i="5"/>
  <c r="H31338" i="5"/>
  <c r="H31330" i="5"/>
  <c r="H31322" i="5"/>
  <c r="H31314" i="5"/>
  <c r="H31306" i="5"/>
  <c r="H31298" i="5"/>
  <c r="H31290" i="5"/>
  <c r="H31282" i="5"/>
  <c r="H31274" i="5"/>
  <c r="H31266" i="5"/>
  <c r="H31258" i="5"/>
  <c r="H31250" i="5"/>
  <c r="H31242" i="5"/>
  <c r="H31234" i="5"/>
  <c r="H31226" i="5"/>
  <c r="H31218" i="5"/>
  <c r="H31210" i="5"/>
  <c r="H31202" i="5"/>
  <c r="H31194" i="5"/>
  <c r="H31186" i="5"/>
  <c r="H31178" i="5"/>
  <c r="H31170" i="5"/>
  <c r="H31162" i="5"/>
  <c r="H31154" i="5"/>
  <c r="H31146" i="5"/>
  <c r="H31138" i="5"/>
  <c r="H31130" i="5"/>
  <c r="H31122" i="5"/>
  <c r="H31114" i="5"/>
  <c r="H31106" i="5"/>
  <c r="H31098" i="5"/>
  <c r="H31090" i="5"/>
  <c r="H31082" i="5"/>
  <c r="H31074" i="5"/>
  <c r="H31066" i="5"/>
  <c r="H31058" i="5"/>
  <c r="H31050" i="5"/>
  <c r="H31042" i="5"/>
  <c r="H31034" i="5"/>
  <c r="H31026" i="5"/>
  <c r="H31018" i="5"/>
  <c r="H31010" i="5"/>
  <c r="H31002" i="5"/>
  <c r="H30994" i="5"/>
  <c r="H30986" i="5"/>
  <c r="H30978" i="5"/>
  <c r="H30970" i="5"/>
  <c r="H30962" i="5"/>
  <c r="H30954" i="5"/>
  <c r="H30946" i="5"/>
  <c r="H30938" i="5"/>
  <c r="H30930" i="5"/>
  <c r="H30922" i="5"/>
  <c r="H30914" i="5"/>
  <c r="H30906" i="5"/>
  <c r="H30898" i="5"/>
  <c r="H30890" i="5"/>
  <c r="H30882" i="5"/>
  <c r="H30874" i="5"/>
  <c r="H30866" i="5"/>
  <c r="H30858" i="5"/>
  <c r="H30850" i="5"/>
  <c r="H30842" i="5"/>
  <c r="H30834" i="5"/>
  <c r="H30826" i="5"/>
  <c r="H30818" i="5"/>
  <c r="H30810" i="5"/>
  <c r="H30802" i="5"/>
  <c r="H30794" i="5"/>
  <c r="H30786" i="5"/>
  <c r="H30778" i="5"/>
  <c r="H30770" i="5"/>
  <c r="H30762" i="5"/>
  <c r="H30754" i="5"/>
  <c r="H30746" i="5"/>
  <c r="H30738" i="5"/>
  <c r="H30730" i="5"/>
  <c r="H30722" i="5"/>
  <c r="H30714" i="5"/>
  <c r="H30706" i="5"/>
  <c r="H30698" i="5"/>
  <c r="H30690" i="5"/>
  <c r="H30682" i="5"/>
  <c r="H30674" i="5"/>
  <c r="H30666" i="5"/>
  <c r="H30658" i="5"/>
  <c r="H30650" i="5"/>
  <c r="H30642" i="5"/>
  <c r="H30634" i="5"/>
  <c r="H30626" i="5"/>
  <c r="H30618" i="5"/>
  <c r="H30610" i="5"/>
  <c r="H30602" i="5"/>
  <c r="H30594" i="5"/>
  <c r="H30586" i="5"/>
  <c r="H30578" i="5"/>
  <c r="H30570" i="5"/>
  <c r="H30562" i="5"/>
  <c r="H30554" i="5"/>
  <c r="H30546" i="5"/>
  <c r="H30538" i="5"/>
  <c r="H30530" i="5"/>
  <c r="H30522" i="5"/>
  <c r="H30514" i="5"/>
  <c r="H30506" i="5"/>
  <c r="H30498" i="5"/>
  <c r="H30490" i="5"/>
  <c r="H30482" i="5"/>
  <c r="H30474" i="5"/>
  <c r="H30466" i="5"/>
  <c r="H30458" i="5"/>
  <c r="H30450" i="5"/>
  <c r="H30442" i="5"/>
  <c r="H30434" i="5"/>
  <c r="H30426" i="5"/>
  <c r="H30418" i="5"/>
  <c r="H30410" i="5"/>
  <c r="H30402" i="5"/>
  <c r="H30394" i="5"/>
  <c r="H30386" i="5"/>
  <c r="H30378" i="5"/>
  <c r="H30370" i="5"/>
  <c r="H30362" i="5"/>
  <c r="H30354" i="5"/>
  <c r="H30346" i="5"/>
  <c r="H30338" i="5"/>
  <c r="H30330" i="5"/>
  <c r="H30322" i="5"/>
  <c r="H30314" i="5"/>
  <c r="H30306" i="5"/>
  <c r="H30298" i="5"/>
  <c r="H30290" i="5"/>
  <c r="H30282" i="5"/>
  <c r="H30274" i="5"/>
  <c r="H30266" i="5"/>
  <c r="H30258" i="5"/>
  <c r="H30250" i="5"/>
  <c r="H30242" i="5"/>
  <c r="H30234" i="5"/>
  <c r="H30226" i="5"/>
  <c r="H30218" i="5"/>
  <c r="H30210" i="5"/>
  <c r="H30202" i="5"/>
  <c r="H30194" i="5"/>
  <c r="H30186" i="5"/>
  <c r="H30178" i="5"/>
  <c r="H30170" i="5"/>
  <c r="H30162" i="5"/>
  <c r="H30154" i="5"/>
  <c r="H30146" i="5"/>
  <c r="H30138" i="5"/>
  <c r="H30130" i="5"/>
  <c r="H30122" i="5"/>
  <c r="H30114" i="5"/>
  <c r="H30106" i="5"/>
  <c r="H30098" i="5"/>
  <c r="H30090" i="5"/>
  <c r="H30082" i="5"/>
  <c r="H30074" i="5"/>
  <c r="H30066" i="5"/>
  <c r="H30058" i="5"/>
  <c r="H30050" i="5"/>
  <c r="H30042" i="5"/>
  <c r="H30034" i="5"/>
  <c r="H30026" i="5"/>
  <c r="H30018" i="5"/>
  <c r="H30010" i="5"/>
  <c r="H30002" i="5"/>
  <c r="H29994" i="5"/>
  <c r="H29986" i="5"/>
  <c r="H29978" i="5"/>
  <c r="H29970" i="5"/>
  <c r="H29962" i="5"/>
  <c r="H29954" i="5"/>
  <c r="H29946" i="5"/>
  <c r="H29938" i="5"/>
  <c r="H29930" i="5"/>
  <c r="H29922" i="5"/>
  <c r="H29914" i="5"/>
  <c r="H29906" i="5"/>
  <c r="H29898" i="5"/>
  <c r="H29890" i="5"/>
  <c r="H29882" i="5"/>
  <c r="H29874" i="5"/>
  <c r="H29866" i="5"/>
  <c r="H29858" i="5"/>
  <c r="H29850" i="5"/>
  <c r="H29842" i="5"/>
  <c r="H29834" i="5"/>
  <c r="H29826" i="5"/>
  <c r="H29818" i="5"/>
  <c r="H29810" i="5"/>
  <c r="H29802" i="5"/>
  <c r="H29794" i="5"/>
  <c r="H29786" i="5"/>
  <c r="H29778" i="5"/>
  <c r="H29770" i="5"/>
  <c r="H29762" i="5"/>
  <c r="H29754" i="5"/>
  <c r="H29746" i="5"/>
  <c r="H29738" i="5"/>
  <c r="H29730" i="5"/>
  <c r="H29722" i="5"/>
  <c r="H29714" i="5"/>
  <c r="H29706" i="5"/>
  <c r="H29698" i="5"/>
  <c r="H29690" i="5"/>
  <c r="H29682" i="5"/>
  <c r="H29674" i="5"/>
  <c r="H29666" i="5"/>
  <c r="H29658" i="5"/>
  <c r="H29650" i="5"/>
  <c r="H29642" i="5"/>
  <c r="H29634" i="5"/>
  <c r="H29626" i="5"/>
  <c r="H29618" i="5"/>
  <c r="H29610" i="5"/>
  <c r="H29602" i="5"/>
  <c r="H29594" i="5"/>
  <c r="H29586" i="5"/>
  <c r="H29578" i="5"/>
  <c r="H29570" i="5"/>
  <c r="H29562" i="5"/>
  <c r="H29554" i="5"/>
  <c r="H29546" i="5"/>
  <c r="H29538" i="5"/>
  <c r="H29530" i="5"/>
  <c r="H29522" i="5"/>
  <c r="H29514" i="5"/>
  <c r="H29506" i="5"/>
  <c r="H29498" i="5"/>
  <c r="H29490" i="5"/>
  <c r="H29482" i="5"/>
  <c r="H29474" i="5"/>
  <c r="H29466" i="5"/>
  <c r="H29458" i="5"/>
  <c r="H29450" i="5"/>
  <c r="H29442" i="5"/>
  <c r="H29434" i="5"/>
  <c r="H29426" i="5"/>
  <c r="H29418" i="5"/>
  <c r="H29410" i="5"/>
  <c r="H29402" i="5"/>
  <c r="H29394" i="5"/>
  <c r="H29386" i="5"/>
  <c r="H29378" i="5"/>
  <c r="H29370" i="5"/>
  <c r="H29362" i="5"/>
  <c r="H29354" i="5"/>
  <c r="H29346" i="5"/>
  <c r="H29338" i="5"/>
  <c r="H29330" i="5"/>
  <c r="H29322" i="5"/>
  <c r="H29314" i="5"/>
  <c r="H29306" i="5"/>
  <c r="H29298" i="5"/>
  <c r="H29290" i="5"/>
  <c r="H29282" i="5"/>
  <c r="H29274" i="5"/>
  <c r="H29266" i="5"/>
  <c r="H29258" i="5"/>
  <c r="H29250" i="5"/>
  <c r="H29242" i="5"/>
  <c r="H29234" i="5"/>
  <c r="H29226" i="5"/>
  <c r="H29218" i="5"/>
  <c r="H29210" i="5"/>
  <c r="H29202" i="5"/>
  <c r="H29194" i="5"/>
  <c r="H29186" i="5"/>
  <c r="H29178" i="5"/>
  <c r="H29170" i="5"/>
  <c r="H29162" i="5"/>
  <c r="H29154" i="5"/>
  <c r="H29146" i="5"/>
  <c r="H29138" i="5"/>
  <c r="H29130" i="5"/>
  <c r="H29122" i="5"/>
  <c r="H29114" i="5"/>
  <c r="H29106" i="5"/>
  <c r="H29098" i="5"/>
  <c r="H29090" i="5"/>
  <c r="H29082" i="5"/>
  <c r="H29074" i="5"/>
  <c r="H29066" i="5"/>
  <c r="H29058" i="5"/>
  <c r="H29050" i="5"/>
  <c r="H29042" i="5"/>
  <c r="H29034" i="5"/>
  <c r="H29026" i="5"/>
  <c r="H29018" i="5"/>
  <c r="H29010" i="5"/>
  <c r="H29002" i="5"/>
  <c r="H28994" i="5"/>
  <c r="H28986" i="5"/>
  <c r="H28978" i="5"/>
  <c r="H28970" i="5"/>
  <c r="H28962" i="5"/>
  <c r="H28954" i="5"/>
  <c r="H28946" i="5"/>
  <c r="H28938" i="5"/>
  <c r="H28930" i="5"/>
  <c r="H28922" i="5"/>
  <c r="H28914" i="5"/>
  <c r="H28906" i="5"/>
  <c r="H28898" i="5"/>
  <c r="H28890" i="5"/>
  <c r="H28882" i="5"/>
  <c r="H28874" i="5"/>
  <c r="H28866" i="5"/>
  <c r="H28858" i="5"/>
  <c r="H28850" i="5"/>
  <c r="H28842" i="5"/>
  <c r="H28834" i="5"/>
  <c r="H28826" i="5"/>
  <c r="H28818" i="5"/>
  <c r="H28810" i="5"/>
  <c r="H28802" i="5"/>
  <c r="H28794" i="5"/>
  <c r="H28786" i="5"/>
  <c r="H28778" i="5"/>
  <c r="H28770" i="5"/>
  <c r="H28762" i="5"/>
  <c r="H28754" i="5"/>
  <c r="H28746" i="5"/>
  <c r="H28738" i="5"/>
  <c r="H28730" i="5"/>
  <c r="H28722" i="5"/>
  <c r="H28714" i="5"/>
  <c r="H28706" i="5"/>
  <c r="H28698" i="5"/>
  <c r="H28690" i="5"/>
  <c r="H28682" i="5"/>
  <c r="H28674" i="5"/>
  <c r="H28666" i="5"/>
  <c r="H28658" i="5"/>
  <c r="H28650" i="5"/>
  <c r="H28642" i="5"/>
  <c r="H28634" i="5"/>
  <c r="H28626" i="5"/>
  <c r="H28618" i="5"/>
  <c r="H28610" i="5"/>
  <c r="H28602" i="5"/>
  <c r="H28594" i="5"/>
  <c r="H28586" i="5"/>
  <c r="H28578" i="5"/>
  <c r="H28570" i="5"/>
  <c r="H28562" i="5"/>
  <c r="H28554" i="5"/>
  <c r="H28546" i="5"/>
  <c r="H28538" i="5"/>
  <c r="H28530" i="5"/>
  <c r="H28522" i="5"/>
  <c r="H28514" i="5"/>
  <c r="H28506" i="5"/>
  <c r="H28498" i="5"/>
  <c r="H28490" i="5"/>
  <c r="H28482" i="5"/>
  <c r="H28474" i="5"/>
  <c r="H28466" i="5"/>
  <c r="H28458" i="5"/>
  <c r="H28450" i="5"/>
  <c r="H28442" i="5"/>
  <c r="H28434" i="5"/>
  <c r="H28426" i="5"/>
  <c r="H28418" i="5"/>
  <c r="H28410" i="5"/>
  <c r="H28402" i="5"/>
  <c r="H28394" i="5"/>
  <c r="H28386" i="5"/>
  <c r="H28378" i="5"/>
  <c r="H28370" i="5"/>
  <c r="H28362" i="5"/>
  <c r="H28354" i="5"/>
  <c r="H28346" i="5"/>
  <c r="H28338" i="5"/>
  <c r="H28330" i="5"/>
  <c r="H28322" i="5"/>
  <c r="H28314" i="5"/>
  <c r="H28306" i="5"/>
  <c r="H28298" i="5"/>
  <c r="H28290" i="5"/>
  <c r="H28282" i="5"/>
  <c r="H28274" i="5"/>
  <c r="H28266" i="5"/>
  <c r="H28258" i="5"/>
  <c r="H28250" i="5"/>
  <c r="H28242" i="5"/>
  <c r="H28234" i="5"/>
  <c r="H28226" i="5"/>
  <c r="H28218" i="5"/>
  <c r="H28210" i="5"/>
  <c r="H28202" i="5"/>
  <c r="H28194" i="5"/>
  <c r="H28186" i="5"/>
  <c r="H28178" i="5"/>
  <c r="H28170" i="5"/>
  <c r="H28162" i="5"/>
  <c r="H28154" i="5"/>
  <c r="H28146" i="5"/>
  <c r="H28138" i="5"/>
  <c r="H28130" i="5"/>
  <c r="H28122" i="5"/>
  <c r="H28114" i="5"/>
  <c r="H28106" i="5"/>
  <c r="H28098" i="5"/>
  <c r="H28090" i="5"/>
  <c r="H28082" i="5"/>
  <c r="H28074" i="5"/>
  <c r="H28066" i="5"/>
  <c r="H28058" i="5"/>
  <c r="H28050" i="5"/>
  <c r="H28042" i="5"/>
  <c r="H28034" i="5"/>
  <c r="H28026" i="5"/>
  <c r="H28018" i="5"/>
  <c r="H28010" i="5"/>
  <c r="H28002" i="5"/>
  <c r="H27994" i="5"/>
  <c r="H27986" i="5"/>
  <c r="H27978" i="5"/>
  <c r="H27970" i="5"/>
  <c r="H27962" i="5"/>
  <c r="H27954" i="5"/>
  <c r="H27946" i="5"/>
  <c r="H27938" i="5"/>
  <c r="H27930" i="5"/>
  <c r="H27922" i="5"/>
  <c r="H27914" i="5"/>
  <c r="H27906" i="5"/>
  <c r="H27898" i="5"/>
  <c r="H27890" i="5"/>
  <c r="H27882" i="5"/>
  <c r="H27874" i="5"/>
  <c r="H27866" i="5"/>
  <c r="H27858" i="5"/>
  <c r="H27850" i="5"/>
  <c r="H27842" i="5"/>
  <c r="H27834" i="5"/>
  <c r="H27826" i="5"/>
  <c r="H27818" i="5"/>
  <c r="H27810" i="5"/>
  <c r="H27802" i="5"/>
  <c r="H27794" i="5"/>
  <c r="H27786" i="5"/>
  <c r="H27778" i="5"/>
  <c r="H27770" i="5"/>
  <c r="H27762" i="5"/>
  <c r="H27754" i="5"/>
  <c r="H27746" i="5"/>
  <c r="H27738" i="5"/>
  <c r="H27730" i="5"/>
  <c r="H27722" i="5"/>
  <c r="H27714" i="5"/>
  <c r="H27706" i="5"/>
  <c r="H27698" i="5"/>
  <c r="H27690" i="5"/>
  <c r="H27682" i="5"/>
  <c r="H27674" i="5"/>
  <c r="H27666" i="5"/>
  <c r="H27658" i="5"/>
  <c r="H27650" i="5"/>
  <c r="H27642" i="5"/>
  <c r="H27634" i="5"/>
  <c r="H27626" i="5"/>
  <c r="H27618" i="5"/>
  <c r="H27610" i="5"/>
  <c r="H27602" i="5"/>
  <c r="H27594" i="5"/>
  <c r="H27586" i="5"/>
  <c r="H27578" i="5"/>
  <c r="H27570" i="5"/>
  <c r="H27562" i="5"/>
  <c r="H27554" i="5"/>
  <c r="H27546" i="5"/>
  <c r="H27538" i="5"/>
  <c r="H27530" i="5"/>
  <c r="H27522" i="5"/>
  <c r="H27514" i="5"/>
  <c r="H27506" i="5"/>
  <c r="H27498" i="5"/>
  <c r="H27490" i="5"/>
  <c r="H27482" i="5"/>
  <c r="H27474" i="5"/>
  <c r="H27466" i="5"/>
  <c r="H27458" i="5"/>
  <c r="H27450" i="5"/>
  <c r="H27442" i="5"/>
  <c r="H27434" i="5"/>
  <c r="H27426" i="5"/>
  <c r="H27418" i="5"/>
  <c r="H27410" i="5"/>
  <c r="H27402" i="5"/>
  <c r="H27394" i="5"/>
  <c r="H27386" i="5"/>
  <c r="H27378" i="5"/>
  <c r="H27370" i="5"/>
  <c r="H27362" i="5"/>
  <c r="H27354" i="5"/>
  <c r="H27346" i="5"/>
  <c r="H27338" i="5"/>
  <c r="H27330" i="5"/>
  <c r="H27322" i="5"/>
  <c r="H27314" i="5"/>
  <c r="H27306" i="5"/>
  <c r="H27298" i="5"/>
  <c r="H27290" i="5"/>
  <c r="H27282" i="5"/>
  <c r="H27274" i="5"/>
  <c r="H27266" i="5"/>
  <c r="H27258" i="5"/>
  <c r="H27250" i="5"/>
  <c r="H27242" i="5"/>
  <c r="H27234" i="5"/>
  <c r="H27226" i="5"/>
  <c r="H27218" i="5"/>
  <c r="H27210" i="5"/>
  <c r="H27202" i="5"/>
  <c r="H27194" i="5"/>
  <c r="H27186" i="5"/>
  <c r="H27178" i="5"/>
  <c r="H27170" i="5"/>
  <c r="H27162" i="5"/>
  <c r="H27154" i="5"/>
  <c r="H27146" i="5"/>
  <c r="H27138" i="5"/>
  <c r="H27130" i="5"/>
  <c r="H27122" i="5"/>
  <c r="H27114" i="5"/>
  <c r="H27106" i="5"/>
  <c r="H27098" i="5"/>
  <c r="H27090" i="5"/>
  <c r="H27082" i="5"/>
  <c r="H27074" i="5"/>
  <c r="H27066" i="5"/>
  <c r="H27058" i="5"/>
  <c r="H27050" i="5"/>
  <c r="H27042" i="5"/>
  <c r="H27034" i="5"/>
  <c r="H27026" i="5"/>
  <c r="H27018" i="5"/>
  <c r="H27010" i="5"/>
  <c r="H27002" i="5"/>
  <c r="H26994" i="5"/>
  <c r="H26986" i="5"/>
  <c r="H26978" i="5"/>
  <c r="H26970" i="5"/>
  <c r="H26962" i="5"/>
  <c r="H26954" i="5"/>
  <c r="H26946" i="5"/>
  <c r="H26938" i="5"/>
  <c r="H26930" i="5"/>
  <c r="H26922" i="5"/>
  <c r="H26914" i="5"/>
  <c r="H26906" i="5"/>
  <c r="H26898" i="5"/>
  <c r="H26890" i="5"/>
  <c r="H26882" i="5"/>
  <c r="H26874" i="5"/>
  <c r="H26866" i="5"/>
  <c r="H26858" i="5"/>
  <c r="H26850" i="5"/>
  <c r="H26842" i="5"/>
  <c r="H26834" i="5"/>
  <c r="H26826" i="5"/>
  <c r="H26818" i="5"/>
  <c r="H26810" i="5"/>
  <c r="H26802" i="5"/>
  <c r="H26794" i="5"/>
  <c r="H26786" i="5"/>
  <c r="H26778" i="5"/>
  <c r="H26770" i="5"/>
  <c r="H26762" i="5"/>
  <c r="H26754" i="5"/>
  <c r="H26746" i="5"/>
  <c r="H26738" i="5"/>
  <c r="H26730" i="5"/>
  <c r="H26722" i="5"/>
  <c r="H26714" i="5"/>
  <c r="H26706" i="5"/>
  <c r="H26698" i="5"/>
  <c r="H26690" i="5"/>
  <c r="H26682" i="5"/>
  <c r="H26674" i="5"/>
  <c r="H26666" i="5"/>
  <c r="H26658" i="5"/>
  <c r="H26650" i="5"/>
  <c r="H26642" i="5"/>
  <c r="H26634" i="5"/>
  <c r="H26626" i="5"/>
  <c r="H26618" i="5"/>
  <c r="H26610" i="5"/>
  <c r="H26602" i="5"/>
  <c r="H26594" i="5"/>
  <c r="H26586" i="5"/>
  <c r="H26578" i="5"/>
  <c r="H26570" i="5"/>
  <c r="H26562" i="5"/>
  <c r="H26554" i="5"/>
  <c r="H26546" i="5"/>
  <c r="H26538" i="5"/>
  <c r="H26530" i="5"/>
  <c r="H26522" i="5"/>
  <c r="H26514" i="5"/>
  <c r="H26506" i="5"/>
  <c r="H26498" i="5"/>
  <c r="H26490" i="5"/>
  <c r="H26482" i="5"/>
  <c r="H26474" i="5"/>
  <c r="H26466" i="5"/>
  <c r="H26458" i="5"/>
  <c r="H26450" i="5"/>
  <c r="H26442" i="5"/>
  <c r="H26434" i="5"/>
  <c r="H26426" i="5"/>
  <c r="H26418" i="5"/>
  <c r="H26410" i="5"/>
  <c r="H26402" i="5"/>
  <c r="H26394" i="5"/>
  <c r="H26386" i="5"/>
  <c r="H26378" i="5"/>
  <c r="H26370" i="5"/>
  <c r="H26362" i="5"/>
  <c r="H26354" i="5"/>
  <c r="H26346" i="5"/>
  <c r="H26338" i="5"/>
  <c r="H26330" i="5"/>
  <c r="H26322" i="5"/>
  <c r="H26314" i="5"/>
  <c r="H26306" i="5"/>
  <c r="H26298" i="5"/>
  <c r="H26290" i="5"/>
  <c r="H26282" i="5"/>
  <c r="H26274" i="5"/>
  <c r="H26266" i="5"/>
  <c r="H26258" i="5"/>
  <c r="H26250" i="5"/>
  <c r="H26242" i="5"/>
  <c r="H26234" i="5"/>
  <c r="H26226" i="5"/>
  <c r="H26218" i="5"/>
  <c r="H26210" i="5"/>
  <c r="H26202" i="5"/>
  <c r="H26194" i="5"/>
  <c r="H26186" i="5"/>
  <c r="H26178" i="5"/>
  <c r="H26170" i="5"/>
  <c r="H26162" i="5"/>
  <c r="H26154" i="5"/>
  <c r="H26146" i="5"/>
  <c r="H26138" i="5"/>
  <c r="H26130" i="5"/>
  <c r="H26122" i="5"/>
  <c r="H26114" i="5"/>
  <c r="H26106" i="5"/>
  <c r="H26098" i="5"/>
  <c r="H26090" i="5"/>
  <c r="H26082" i="5"/>
  <c r="H26074" i="5"/>
  <c r="H26066" i="5"/>
  <c r="H26058" i="5"/>
  <c r="H26050" i="5"/>
  <c r="H26042" i="5"/>
  <c r="H26034" i="5"/>
  <c r="H26026" i="5"/>
  <c r="H26018" i="5"/>
  <c r="H26010" i="5"/>
  <c r="H26002" i="5"/>
  <c r="H25994" i="5"/>
  <c r="H25986" i="5"/>
  <c r="H25978" i="5"/>
  <c r="H25970" i="5"/>
  <c r="H25962" i="5"/>
  <c r="H25954" i="5"/>
  <c r="H25946" i="5"/>
  <c r="H25938" i="5"/>
  <c r="H25930" i="5"/>
  <c r="H25922" i="5"/>
  <c r="H25914" i="5"/>
  <c r="H25906" i="5"/>
  <c r="H25898" i="5"/>
  <c r="H25890" i="5"/>
  <c r="H25882" i="5"/>
  <c r="H25874" i="5"/>
  <c r="H25866" i="5"/>
  <c r="H25858" i="5"/>
  <c r="H25850" i="5"/>
  <c r="H25842" i="5"/>
  <c r="H25834" i="5"/>
  <c r="H25826" i="5"/>
  <c r="H25818" i="5"/>
  <c r="H25810" i="5"/>
  <c r="H25802" i="5"/>
  <c r="H25794" i="5"/>
  <c r="H25786" i="5"/>
  <c r="H25778" i="5"/>
  <c r="H25770" i="5"/>
  <c r="H25762" i="5"/>
  <c r="H25754" i="5"/>
  <c r="H25746" i="5"/>
  <c r="H25738" i="5"/>
  <c r="H25730" i="5"/>
  <c r="H25722" i="5"/>
  <c r="H25714" i="5"/>
  <c r="H25706" i="5"/>
  <c r="H25698" i="5"/>
  <c r="H25690" i="5"/>
  <c r="H25682" i="5"/>
  <c r="H25674" i="5"/>
  <c r="H25666" i="5"/>
  <c r="H25658" i="5"/>
  <c r="H25650" i="5"/>
  <c r="H25642" i="5"/>
  <c r="H25634" i="5"/>
  <c r="H25626" i="5"/>
  <c r="H25618" i="5"/>
  <c r="H25610" i="5"/>
  <c r="H25602" i="5"/>
  <c r="H25594" i="5"/>
  <c r="H25586" i="5"/>
  <c r="H25578" i="5"/>
  <c r="H25570" i="5"/>
  <c r="H25562" i="5"/>
  <c r="H25554" i="5"/>
  <c r="H25546" i="5"/>
  <c r="H25538" i="5"/>
  <c r="H25530" i="5"/>
  <c r="H25522" i="5"/>
  <c r="H25514" i="5"/>
  <c r="H25506" i="5"/>
  <c r="H25498" i="5"/>
  <c r="H25490" i="5"/>
  <c r="H25482" i="5"/>
  <c r="H25474" i="5"/>
  <c r="H25466" i="5"/>
  <c r="H25458" i="5"/>
  <c r="H25450" i="5"/>
  <c r="H25442" i="5"/>
  <c r="H25434" i="5"/>
  <c r="H25426" i="5"/>
  <c r="H25418" i="5"/>
  <c r="H25410" i="5"/>
  <c r="H25402" i="5"/>
  <c r="H25394" i="5"/>
  <c r="H25386" i="5"/>
  <c r="H25378" i="5"/>
  <c r="H25370" i="5"/>
  <c r="H25362" i="5"/>
  <c r="H25354" i="5"/>
  <c r="H25346" i="5"/>
  <c r="H25338" i="5"/>
  <c r="H25330" i="5"/>
  <c r="H25322" i="5"/>
  <c r="H25314" i="5"/>
  <c r="H25306" i="5"/>
  <c r="H25298" i="5"/>
  <c r="H25290" i="5"/>
  <c r="H25282" i="5"/>
  <c r="H25274" i="5"/>
  <c r="H25266" i="5"/>
  <c r="H25258" i="5"/>
  <c r="H25250" i="5"/>
  <c r="H25242" i="5"/>
  <c r="H25234" i="5"/>
  <c r="H25226" i="5"/>
  <c r="H25218" i="5"/>
  <c r="H25210" i="5"/>
  <c r="H25202" i="5"/>
  <c r="H25194" i="5"/>
  <c r="H25186" i="5"/>
  <c r="H25178" i="5"/>
  <c r="H25170" i="5"/>
  <c r="H25162" i="5"/>
  <c r="H25154" i="5"/>
  <c r="H25146" i="5"/>
  <c r="H25138" i="5"/>
  <c r="H25130" i="5"/>
  <c r="H25122" i="5"/>
  <c r="H25114" i="5"/>
  <c r="H25106" i="5"/>
  <c r="H25098" i="5"/>
  <c r="H25090" i="5"/>
  <c r="H25082" i="5"/>
  <c r="H25074" i="5"/>
  <c r="H25066" i="5"/>
  <c r="H25058" i="5"/>
  <c r="H25050" i="5"/>
  <c r="H25042" i="5"/>
  <c r="H25034" i="5"/>
  <c r="H25026" i="5"/>
  <c r="H25018" i="5"/>
  <c r="H25010" i="5"/>
  <c r="H25002" i="5"/>
  <c r="H24994" i="5"/>
  <c r="H24986" i="5"/>
  <c r="H24978" i="5"/>
  <c r="H41481" i="5"/>
  <c r="H41367" i="5"/>
  <c r="H41258" i="5"/>
  <c r="H41172" i="5"/>
  <c r="H41087" i="5"/>
  <c r="H41001" i="5"/>
  <c r="H40916" i="5"/>
  <c r="H40831" i="5"/>
  <c r="H40745" i="5"/>
  <c r="H40660" i="5"/>
  <c r="H40575" i="5"/>
  <c r="H40489" i="5"/>
  <c r="H40404" i="5"/>
  <c r="H40319" i="5"/>
  <c r="H40233" i="5"/>
  <c r="H40148" i="5"/>
  <c r="H40063" i="5"/>
  <c r="H39977" i="5"/>
  <c r="H39892" i="5"/>
  <c r="H39807" i="5"/>
  <c r="H39721" i="5"/>
  <c r="H39636" i="5"/>
  <c r="H39554" i="5"/>
  <c r="H39481" i="5"/>
  <c r="H39408" i="5"/>
  <c r="H39335" i="5"/>
  <c r="H39270" i="5"/>
  <c r="H39206" i="5"/>
  <c r="H39142" i="5"/>
  <c r="H39078" i="5"/>
  <c r="H39014" i="5"/>
  <c r="H38950" i="5"/>
  <c r="H38886" i="5"/>
  <c r="H38822" i="5"/>
  <c r="H38758" i="5"/>
  <c r="H38694" i="5"/>
  <c r="H38630" i="5"/>
  <c r="H38566" i="5"/>
  <c r="H38502" i="5"/>
  <c r="H38438" i="5"/>
  <c r="H38374" i="5"/>
  <c r="H38310" i="5"/>
  <c r="H38246" i="5"/>
  <c r="H38182" i="5"/>
  <c r="H38118" i="5"/>
  <c r="H38054" i="5"/>
  <c r="H37990" i="5"/>
  <c r="H37926" i="5"/>
  <c r="H37862" i="5"/>
  <c r="H37798" i="5"/>
  <c r="H37734" i="5"/>
  <c r="H37670" i="5"/>
  <c r="H37606" i="5"/>
  <c r="H37542" i="5"/>
  <c r="H37478" i="5"/>
  <c r="H37414" i="5"/>
  <c r="H37350" i="5"/>
  <c r="H37286" i="5"/>
  <c r="H37222" i="5"/>
  <c r="H37158" i="5"/>
  <c r="H37094" i="5"/>
  <c r="H37030" i="5"/>
  <c r="H36966" i="5"/>
  <c r="H36902" i="5"/>
  <c r="H36838" i="5"/>
  <c r="H36774" i="5"/>
  <c r="H36710" i="5"/>
  <c r="H36646" i="5"/>
  <c r="H36582" i="5"/>
  <c r="H36518" i="5"/>
  <c r="H36465" i="5"/>
  <c r="H36433" i="5"/>
  <c r="H36401" i="5"/>
  <c r="H36369" i="5"/>
  <c r="H36337" i="5"/>
  <c r="H36305" i="5"/>
  <c r="H36273" i="5"/>
  <c r="H36241" i="5"/>
  <c r="H36209" i="5"/>
  <c r="H36177" i="5"/>
  <c r="H36145" i="5"/>
  <c r="H36113" i="5"/>
  <c r="H36081" i="5"/>
  <c r="H36049" i="5"/>
  <c r="H36017" i="5"/>
  <c r="H35985" i="5"/>
  <c r="H35953" i="5"/>
  <c r="H35921" i="5"/>
  <c r="H35889" i="5"/>
  <c r="H35857" i="5"/>
  <c r="H35825" i="5"/>
  <c r="H35793" i="5"/>
  <c r="H35761" i="5"/>
  <c r="H35729" i="5"/>
  <c r="H35697" i="5"/>
  <c r="H35665" i="5"/>
  <c r="H35633" i="5"/>
  <c r="H35601" i="5"/>
  <c r="H35569" i="5"/>
  <c r="H35537" i="5"/>
  <c r="H35505" i="5"/>
  <c r="H35473" i="5"/>
  <c r="H35441" i="5"/>
  <c r="H35409" i="5"/>
  <c r="H35377" i="5"/>
  <c r="H35345" i="5"/>
  <c r="H35313" i="5"/>
  <c r="H35281" i="5"/>
  <c r="H35249" i="5"/>
  <c r="H35217" i="5"/>
  <c r="H35185" i="5"/>
  <c r="H35153" i="5"/>
  <c r="H35121" i="5"/>
  <c r="H35102" i="5"/>
  <c r="H35079" i="5"/>
  <c r="H35057" i="5"/>
  <c r="H35038" i="5"/>
  <c r="H35015" i="5"/>
  <c r="H34993" i="5"/>
  <c r="H34974" i="5"/>
  <c r="H34951" i="5"/>
  <c r="H34935" i="5"/>
  <c r="H34919" i="5"/>
  <c r="H34903" i="5"/>
  <c r="H34889" i="5"/>
  <c r="H34876" i="5"/>
  <c r="H34863" i="5"/>
  <c r="H34850" i="5"/>
  <c r="H34838" i="5"/>
  <c r="H34825" i="5"/>
  <c r="H34812" i="5"/>
  <c r="H34799" i="5"/>
  <c r="H34786" i="5"/>
  <c r="H34774" i="5"/>
  <c r="H34761" i="5"/>
  <c r="H34748" i="5"/>
  <c r="H34735" i="5"/>
  <c r="H34722" i="5"/>
  <c r="H34710" i="5"/>
  <c r="H34697" i="5"/>
  <c r="H34684" i="5"/>
  <c r="H34671" i="5"/>
  <c r="H34658" i="5"/>
  <c r="H34646" i="5"/>
  <c r="H34633" i="5"/>
  <c r="H34622" i="5"/>
  <c r="H34612" i="5"/>
  <c r="H34601" i="5"/>
  <c r="H34590" i="5"/>
  <c r="H34580" i="5"/>
  <c r="H34569" i="5"/>
  <c r="H34561" i="5"/>
  <c r="H34553" i="5"/>
  <c r="H34545" i="5"/>
  <c r="H34537" i="5"/>
  <c r="H34529" i="5"/>
  <c r="H34521" i="5"/>
  <c r="H34513" i="5"/>
  <c r="H34505" i="5"/>
  <c r="H34497" i="5"/>
  <c r="H34489" i="5"/>
  <c r="H34481" i="5"/>
  <c r="H34473" i="5"/>
  <c r="H34465" i="5"/>
  <c r="H34457" i="5"/>
  <c r="H34449" i="5"/>
  <c r="H34441" i="5"/>
  <c r="H34433" i="5"/>
  <c r="H34425" i="5"/>
  <c r="H34417" i="5"/>
  <c r="H34409" i="5"/>
  <c r="H34401" i="5"/>
  <c r="H34393" i="5"/>
  <c r="H34385" i="5"/>
  <c r="H34377" i="5"/>
  <c r="H34369" i="5"/>
  <c r="H34361" i="5"/>
  <c r="H34353" i="5"/>
  <c r="H34345" i="5"/>
  <c r="H34337" i="5"/>
  <c r="H34329" i="5"/>
  <c r="H34321" i="5"/>
  <c r="H34313" i="5"/>
  <c r="H34305" i="5"/>
  <c r="H34297" i="5"/>
  <c r="H34289" i="5"/>
  <c r="H34281" i="5"/>
  <c r="H34273" i="5"/>
  <c r="H34265" i="5"/>
  <c r="H34257" i="5"/>
  <c r="H34249" i="5"/>
  <c r="H34241" i="5"/>
  <c r="H34233" i="5"/>
  <c r="H34225" i="5"/>
  <c r="H34217" i="5"/>
  <c r="H34209" i="5"/>
  <c r="H34201" i="5"/>
  <c r="H34193" i="5"/>
  <c r="H34185" i="5"/>
  <c r="H34177" i="5"/>
  <c r="H34169" i="5"/>
  <c r="H34161" i="5"/>
  <c r="H34153" i="5"/>
  <c r="H34145" i="5"/>
  <c r="H34137" i="5"/>
  <c r="H34129" i="5"/>
  <c r="H34121" i="5"/>
  <c r="H34113" i="5"/>
  <c r="H34105" i="5"/>
  <c r="H34097" i="5"/>
  <c r="H34089" i="5"/>
  <c r="H34081" i="5"/>
  <c r="H34073" i="5"/>
  <c r="H34065" i="5"/>
  <c r="H34057" i="5"/>
  <c r="H34049" i="5"/>
  <c r="H34041" i="5"/>
  <c r="H34033" i="5"/>
  <c r="H34025" i="5"/>
  <c r="H34017" i="5"/>
  <c r="H34009" i="5"/>
  <c r="H34001" i="5"/>
  <c r="H33993" i="5"/>
  <c r="H33985" i="5"/>
  <c r="H33977" i="5"/>
  <c r="H33969" i="5"/>
  <c r="H33961" i="5"/>
  <c r="H33953" i="5"/>
  <c r="H33945" i="5"/>
  <c r="H33937" i="5"/>
  <c r="H33929" i="5"/>
  <c r="H33921" i="5"/>
  <c r="H33913" i="5"/>
  <c r="H33905" i="5"/>
  <c r="H33897" i="5"/>
  <c r="H33889" i="5"/>
  <c r="H33881" i="5"/>
  <c r="H33873" i="5"/>
  <c r="H33865" i="5"/>
  <c r="H33857" i="5"/>
  <c r="H33849" i="5"/>
  <c r="H33841" i="5"/>
  <c r="H33833" i="5"/>
  <c r="H33825" i="5"/>
  <c r="H33817" i="5"/>
  <c r="H33809" i="5"/>
  <c r="H33801" i="5"/>
  <c r="H33793" i="5"/>
  <c r="H33785" i="5"/>
  <c r="H33777" i="5"/>
  <c r="H33769" i="5"/>
  <c r="H33761" i="5"/>
  <c r="H33753" i="5"/>
  <c r="H33745" i="5"/>
  <c r="H33737" i="5"/>
  <c r="H33729" i="5"/>
  <c r="H33721" i="5"/>
  <c r="H33713" i="5"/>
  <c r="H33705" i="5"/>
  <c r="H33697" i="5"/>
  <c r="H33689" i="5"/>
  <c r="H33681" i="5"/>
  <c r="H33673" i="5"/>
  <c r="H33665" i="5"/>
  <c r="H33657" i="5"/>
  <c r="H33649" i="5"/>
  <c r="H33641" i="5"/>
  <c r="H33633" i="5"/>
  <c r="H33625" i="5"/>
  <c r="H33617" i="5"/>
  <c r="H33609" i="5"/>
  <c r="H33601" i="5"/>
  <c r="H33593" i="5"/>
  <c r="H33585" i="5"/>
  <c r="H33577" i="5"/>
  <c r="H33569" i="5"/>
  <c r="H33561" i="5"/>
  <c r="H33553" i="5"/>
  <c r="H33545" i="5"/>
  <c r="H33537" i="5"/>
  <c r="H33529" i="5"/>
  <c r="H33521" i="5"/>
  <c r="H33513" i="5"/>
  <c r="H33505" i="5"/>
  <c r="H33497" i="5"/>
  <c r="H33489" i="5"/>
  <c r="H33481" i="5"/>
  <c r="H33473" i="5"/>
  <c r="H33465" i="5"/>
  <c r="H33457" i="5"/>
  <c r="H33449" i="5"/>
  <c r="H33441" i="5"/>
  <c r="H33433" i="5"/>
  <c r="H33425" i="5"/>
  <c r="H33417" i="5"/>
  <c r="H33409" i="5"/>
  <c r="H33401" i="5"/>
  <c r="H33393" i="5"/>
  <c r="H33385" i="5"/>
  <c r="H33377" i="5"/>
  <c r="H33369" i="5"/>
  <c r="H33361" i="5"/>
  <c r="H33353" i="5"/>
  <c r="H33345" i="5"/>
  <c r="H33337" i="5"/>
  <c r="H33329" i="5"/>
  <c r="H33321" i="5"/>
  <c r="H33313" i="5"/>
  <c r="H33305" i="5"/>
  <c r="H33297" i="5"/>
  <c r="H33289" i="5"/>
  <c r="H33281" i="5"/>
  <c r="H33273" i="5"/>
  <c r="H33265" i="5"/>
  <c r="H33257" i="5"/>
  <c r="H33249" i="5"/>
  <c r="H33241" i="5"/>
  <c r="H33233" i="5"/>
  <c r="H33225" i="5"/>
  <c r="H33217" i="5"/>
  <c r="H33209" i="5"/>
  <c r="H33201" i="5"/>
  <c r="H33193" i="5"/>
  <c r="H33185" i="5"/>
  <c r="H33177" i="5"/>
  <c r="H33169" i="5"/>
  <c r="H33161" i="5"/>
  <c r="H33153" i="5"/>
  <c r="H33145" i="5"/>
  <c r="H33137" i="5"/>
  <c r="H33129" i="5"/>
  <c r="H33121" i="5"/>
  <c r="H33113" i="5"/>
  <c r="H33105" i="5"/>
  <c r="H33097" i="5"/>
  <c r="H33089" i="5"/>
  <c r="H33081" i="5"/>
  <c r="H33073" i="5"/>
  <c r="H33065" i="5"/>
  <c r="H33057" i="5"/>
  <c r="H33049" i="5"/>
  <c r="H33041" i="5"/>
  <c r="H33033" i="5"/>
  <c r="H33025" i="5"/>
  <c r="H33017" i="5"/>
  <c r="H33009" i="5"/>
  <c r="H33001" i="5"/>
  <c r="H32993" i="5"/>
  <c r="H32985" i="5"/>
  <c r="H32977" i="5"/>
  <c r="H32969" i="5"/>
  <c r="H32961" i="5"/>
  <c r="H32953" i="5"/>
  <c r="H32945" i="5"/>
  <c r="H32937" i="5"/>
  <c r="H32929" i="5"/>
  <c r="H32921" i="5"/>
  <c r="H32913" i="5"/>
  <c r="H32905" i="5"/>
  <c r="H32897" i="5"/>
  <c r="H32889" i="5"/>
  <c r="H32881" i="5"/>
  <c r="H32873" i="5"/>
  <c r="H32865" i="5"/>
  <c r="H32857" i="5"/>
  <c r="H32849" i="5"/>
  <c r="H32841" i="5"/>
  <c r="H32833" i="5"/>
  <c r="H32825" i="5"/>
  <c r="H32817" i="5"/>
  <c r="H32809" i="5"/>
  <c r="H32801" i="5"/>
  <c r="H32793" i="5"/>
  <c r="H32785" i="5"/>
  <c r="H32777" i="5"/>
  <c r="H32769" i="5"/>
  <c r="H32761" i="5"/>
  <c r="H32753" i="5"/>
  <c r="H32745" i="5"/>
  <c r="H32737" i="5"/>
  <c r="H32729" i="5"/>
  <c r="H32721" i="5"/>
  <c r="H32713" i="5"/>
  <c r="H32705" i="5"/>
  <c r="H32697" i="5"/>
  <c r="H32689" i="5"/>
  <c r="H32681" i="5"/>
  <c r="H32673" i="5"/>
  <c r="H32665" i="5"/>
  <c r="H32657" i="5"/>
  <c r="H32649" i="5"/>
  <c r="H32641" i="5"/>
  <c r="H32633" i="5"/>
  <c r="H32625" i="5"/>
  <c r="H32617" i="5"/>
  <c r="H32609" i="5"/>
  <c r="H32601" i="5"/>
  <c r="H32593" i="5"/>
  <c r="H32585" i="5"/>
  <c r="H32577" i="5"/>
  <c r="H32569" i="5"/>
  <c r="H32561" i="5"/>
  <c r="H32553" i="5"/>
  <c r="H32545" i="5"/>
  <c r="H32537" i="5"/>
  <c r="H32529" i="5"/>
  <c r="H32521" i="5"/>
  <c r="H32513" i="5"/>
  <c r="H32505" i="5"/>
  <c r="H32497" i="5"/>
  <c r="H32489" i="5"/>
  <c r="H32481" i="5"/>
  <c r="H32473" i="5"/>
  <c r="H32465" i="5"/>
  <c r="H32457" i="5"/>
  <c r="H32449" i="5"/>
  <c r="H32441" i="5"/>
  <c r="H32433" i="5"/>
  <c r="H32425" i="5"/>
  <c r="H32417" i="5"/>
  <c r="H32409" i="5"/>
  <c r="H32401" i="5"/>
  <c r="H32393" i="5"/>
  <c r="H32385" i="5"/>
  <c r="H32377" i="5"/>
  <c r="H32369" i="5"/>
  <c r="H32361" i="5"/>
  <c r="H32353" i="5"/>
  <c r="H32345" i="5"/>
  <c r="H32337" i="5"/>
  <c r="H32329" i="5"/>
  <c r="H32321" i="5"/>
  <c r="H32313" i="5"/>
  <c r="H32305" i="5"/>
  <c r="H32297" i="5"/>
  <c r="H32289" i="5"/>
  <c r="H32281" i="5"/>
  <c r="H32273" i="5"/>
  <c r="H32265" i="5"/>
  <c r="H32257" i="5"/>
  <c r="H32249" i="5"/>
  <c r="H32241" i="5"/>
  <c r="H32233" i="5"/>
  <c r="H32225" i="5"/>
  <c r="H32217" i="5"/>
  <c r="H32209" i="5"/>
  <c r="H32201" i="5"/>
  <c r="H32193" i="5"/>
  <c r="H32185" i="5"/>
  <c r="H32177" i="5"/>
  <c r="H32169" i="5"/>
  <c r="H32161" i="5"/>
  <c r="H32153" i="5"/>
  <c r="H32145" i="5"/>
  <c r="H32137" i="5"/>
  <c r="H32129" i="5"/>
  <c r="H32121" i="5"/>
  <c r="H32113" i="5"/>
  <c r="H32105" i="5"/>
  <c r="H32097" i="5"/>
  <c r="H32089" i="5"/>
  <c r="H32081" i="5"/>
  <c r="H32073" i="5"/>
  <c r="H32065" i="5"/>
  <c r="H32057" i="5"/>
  <c r="H32049" i="5"/>
  <c r="H32041" i="5"/>
  <c r="H32033" i="5"/>
  <c r="H32025" i="5"/>
  <c r="H32017" i="5"/>
  <c r="H32009" i="5"/>
  <c r="H32001" i="5"/>
  <c r="H31993" i="5"/>
  <c r="H31985" i="5"/>
  <c r="H31977" i="5"/>
  <c r="H31969" i="5"/>
  <c r="H31961" i="5"/>
  <c r="H31953" i="5"/>
  <c r="H31945" i="5"/>
  <c r="H31937" i="5"/>
  <c r="H31929" i="5"/>
  <c r="H31921" i="5"/>
  <c r="H31913" i="5"/>
  <c r="H31905" i="5"/>
  <c r="H31897" i="5"/>
  <c r="H31889" i="5"/>
  <c r="H31881" i="5"/>
  <c r="H31873" i="5"/>
  <c r="H31865" i="5"/>
  <c r="H31857" i="5"/>
  <c r="H31849" i="5"/>
  <c r="H31841" i="5"/>
  <c r="H31833" i="5"/>
  <c r="H31825" i="5"/>
  <c r="H31817" i="5"/>
  <c r="H31809" i="5"/>
  <c r="H31801" i="5"/>
  <c r="H31793" i="5"/>
  <c r="H31785" i="5"/>
  <c r="H31777" i="5"/>
  <c r="H31769" i="5"/>
  <c r="H31761" i="5"/>
  <c r="H31753" i="5"/>
  <c r="H31745" i="5"/>
  <c r="H31737" i="5"/>
  <c r="H31729" i="5"/>
  <c r="H31721" i="5"/>
  <c r="H31713" i="5"/>
  <c r="H31705" i="5"/>
  <c r="H31697" i="5"/>
  <c r="H31689" i="5"/>
  <c r="H31681" i="5"/>
  <c r="H31673" i="5"/>
  <c r="H31665" i="5"/>
  <c r="H31657" i="5"/>
  <c r="H31649" i="5"/>
  <c r="H31641" i="5"/>
  <c r="H31633" i="5"/>
  <c r="H31625" i="5"/>
  <c r="H31617" i="5"/>
  <c r="H31609" i="5"/>
  <c r="H31601" i="5"/>
  <c r="H31593" i="5"/>
  <c r="H31585" i="5"/>
  <c r="H31577" i="5"/>
  <c r="H31569" i="5"/>
  <c r="H31561" i="5"/>
  <c r="H31553" i="5"/>
  <c r="H31545" i="5"/>
  <c r="H31537" i="5"/>
  <c r="H31529" i="5"/>
  <c r="H31521" i="5"/>
  <c r="H31513" i="5"/>
  <c r="H31505" i="5"/>
  <c r="H31497" i="5"/>
  <c r="H31489" i="5"/>
  <c r="H31481" i="5"/>
  <c r="H31473" i="5"/>
  <c r="H31465" i="5"/>
  <c r="H31457" i="5"/>
  <c r="H31449" i="5"/>
  <c r="H31441" i="5"/>
  <c r="H31433" i="5"/>
  <c r="H31425" i="5"/>
  <c r="H31417" i="5"/>
  <c r="H31409" i="5"/>
  <c r="H31401" i="5"/>
  <c r="H31393" i="5"/>
  <c r="H31385" i="5"/>
  <c r="H31377" i="5"/>
  <c r="H31369" i="5"/>
  <c r="H31361" i="5"/>
  <c r="H31353" i="5"/>
  <c r="H31345" i="5"/>
  <c r="H31337" i="5"/>
  <c r="H31329" i="5"/>
  <c r="H31321" i="5"/>
  <c r="H31313" i="5"/>
  <c r="H31305" i="5"/>
  <c r="H31297" i="5"/>
  <c r="H31289" i="5"/>
  <c r="H31281" i="5"/>
  <c r="H31273" i="5"/>
  <c r="H31265" i="5"/>
  <c r="H31257" i="5"/>
  <c r="H31249" i="5"/>
  <c r="H31241" i="5"/>
  <c r="H31233" i="5"/>
  <c r="H31225" i="5"/>
  <c r="H31217" i="5"/>
  <c r="H31209" i="5"/>
  <c r="H31201" i="5"/>
  <c r="H31193" i="5"/>
  <c r="H31185" i="5"/>
  <c r="H31177" i="5"/>
  <c r="H31169" i="5"/>
  <c r="H31161" i="5"/>
  <c r="H31153" i="5"/>
  <c r="H31145" i="5"/>
  <c r="H31137" i="5"/>
  <c r="H31129" i="5"/>
  <c r="H31121" i="5"/>
  <c r="H31113" i="5"/>
  <c r="H31105" i="5"/>
  <c r="H31097" i="5"/>
  <c r="H31089" i="5"/>
  <c r="H31081" i="5"/>
  <c r="H31073" i="5"/>
  <c r="H31065" i="5"/>
  <c r="H31057" i="5"/>
  <c r="H31049" i="5"/>
  <c r="H31041" i="5"/>
  <c r="H31033" i="5"/>
  <c r="H31025" i="5"/>
  <c r="H31017" i="5"/>
  <c r="H31009" i="5"/>
  <c r="H31001" i="5"/>
  <c r="H30993" i="5"/>
  <c r="H30985" i="5"/>
  <c r="H30977" i="5"/>
  <c r="H30969" i="5"/>
  <c r="H30961" i="5"/>
  <c r="H30953" i="5"/>
  <c r="H30945" i="5"/>
  <c r="H30937" i="5"/>
  <c r="H30929" i="5"/>
  <c r="H30921" i="5"/>
  <c r="H30913" i="5"/>
  <c r="H30905" i="5"/>
  <c r="H30897" i="5"/>
  <c r="H30889" i="5"/>
  <c r="H30881" i="5"/>
  <c r="H30873" i="5"/>
  <c r="H30865" i="5"/>
  <c r="H30857" i="5"/>
  <c r="H30849" i="5"/>
  <c r="H30841" i="5"/>
  <c r="H30833" i="5"/>
  <c r="H30825" i="5"/>
  <c r="H30817" i="5"/>
  <c r="H30809" i="5"/>
  <c r="H30801" i="5"/>
  <c r="H30793" i="5"/>
  <c r="H30785" i="5"/>
  <c r="H30777" i="5"/>
  <c r="H30769" i="5"/>
  <c r="H30761" i="5"/>
  <c r="H30753" i="5"/>
  <c r="H30745" i="5"/>
  <c r="H30737" i="5"/>
  <c r="H30729" i="5"/>
  <c r="H30721" i="5"/>
  <c r="H30713" i="5"/>
  <c r="H30705" i="5"/>
  <c r="H30697" i="5"/>
  <c r="H30689" i="5"/>
  <c r="H30681" i="5"/>
  <c r="H30673" i="5"/>
  <c r="H30665" i="5"/>
  <c r="H30657" i="5"/>
  <c r="H30649" i="5"/>
  <c r="H30641" i="5"/>
  <c r="H30633" i="5"/>
  <c r="H30625" i="5"/>
  <c r="H30617" i="5"/>
  <c r="H30609" i="5"/>
  <c r="H30601" i="5"/>
  <c r="H30593" i="5"/>
  <c r="H30585" i="5"/>
  <c r="H30577" i="5"/>
  <c r="H30569" i="5"/>
  <c r="H30561" i="5"/>
  <c r="H30553" i="5"/>
  <c r="H30545" i="5"/>
  <c r="H30537" i="5"/>
  <c r="H30529" i="5"/>
  <c r="H30521" i="5"/>
  <c r="H30513" i="5"/>
  <c r="H30505" i="5"/>
  <c r="H30497" i="5"/>
  <c r="H30489" i="5"/>
  <c r="H30481" i="5"/>
  <c r="H30473" i="5"/>
  <c r="H30465" i="5"/>
  <c r="H30457" i="5"/>
  <c r="H30449" i="5"/>
  <c r="H30441" i="5"/>
  <c r="H30433" i="5"/>
  <c r="H30425" i="5"/>
  <c r="H30417" i="5"/>
  <c r="H30409" i="5"/>
  <c r="H30401" i="5"/>
  <c r="H30393" i="5"/>
  <c r="H30385" i="5"/>
  <c r="H30377" i="5"/>
  <c r="H30369" i="5"/>
  <c r="H30361" i="5"/>
  <c r="H30353" i="5"/>
  <c r="H30345" i="5"/>
  <c r="H30337" i="5"/>
  <c r="H30329" i="5"/>
  <c r="H30321" i="5"/>
  <c r="H30313" i="5"/>
  <c r="H30305" i="5"/>
  <c r="H30297" i="5"/>
  <c r="H30289" i="5"/>
  <c r="H30281" i="5"/>
  <c r="H30273" i="5"/>
  <c r="H30265" i="5"/>
  <c r="H30257" i="5"/>
  <c r="H30249" i="5"/>
  <c r="H30241" i="5"/>
  <c r="H30233" i="5"/>
  <c r="H30225" i="5"/>
  <c r="H30217" i="5"/>
  <c r="H30209" i="5"/>
  <c r="H30201" i="5"/>
  <c r="H30193" i="5"/>
  <c r="H30185" i="5"/>
  <c r="H30177" i="5"/>
  <c r="H30169" i="5"/>
  <c r="H30161" i="5"/>
  <c r="H30153" i="5"/>
  <c r="H30145" i="5"/>
  <c r="H30137" i="5"/>
  <c r="H30129" i="5"/>
  <c r="H30121" i="5"/>
  <c r="H30113" i="5"/>
  <c r="H30105" i="5"/>
  <c r="H30097" i="5"/>
  <c r="H30089" i="5"/>
  <c r="H30081" i="5"/>
  <c r="H30073" i="5"/>
  <c r="H30065" i="5"/>
  <c r="H30057" i="5"/>
  <c r="H30049" i="5"/>
  <c r="H30041" i="5"/>
  <c r="H30033" i="5"/>
  <c r="H30025" i="5"/>
  <c r="H30017" i="5"/>
  <c r="H30009" i="5"/>
  <c r="H30001" i="5"/>
  <c r="H29993" i="5"/>
  <c r="H29985" i="5"/>
  <c r="H29977" i="5"/>
  <c r="H29969" i="5"/>
  <c r="H29961" i="5"/>
  <c r="H29953" i="5"/>
  <c r="H29945" i="5"/>
  <c r="H29937" i="5"/>
  <c r="H29929" i="5"/>
  <c r="H29921" i="5"/>
  <c r="H29913" i="5"/>
  <c r="H29905" i="5"/>
  <c r="H29897" i="5"/>
  <c r="H29889" i="5"/>
  <c r="H29881" i="5"/>
  <c r="H29873" i="5"/>
  <c r="H29865" i="5"/>
  <c r="H29857" i="5"/>
  <c r="H29849" i="5"/>
  <c r="H29841" i="5"/>
  <c r="H29833" i="5"/>
  <c r="H29825" i="5"/>
  <c r="H29817" i="5"/>
  <c r="H29809" i="5"/>
  <c r="H29801" i="5"/>
  <c r="H29793" i="5"/>
  <c r="H29785" i="5"/>
  <c r="H29777" i="5"/>
  <c r="H29769" i="5"/>
  <c r="H29761" i="5"/>
  <c r="H29753" i="5"/>
  <c r="H29745" i="5"/>
  <c r="H29737" i="5"/>
  <c r="H29729" i="5"/>
  <c r="H29721" i="5"/>
  <c r="H29713" i="5"/>
  <c r="H29705" i="5"/>
  <c r="H29697" i="5"/>
  <c r="H29689" i="5"/>
  <c r="H29681" i="5"/>
  <c r="H29673" i="5"/>
  <c r="H29665" i="5"/>
  <c r="H29657" i="5"/>
  <c r="H29649" i="5"/>
  <c r="H29641" i="5"/>
  <c r="H29633" i="5"/>
  <c r="H29625" i="5"/>
  <c r="H29617" i="5"/>
  <c r="H29609" i="5"/>
  <c r="H29601" i="5"/>
  <c r="H29593" i="5"/>
  <c r="H29585" i="5"/>
  <c r="H29577" i="5"/>
  <c r="H29569" i="5"/>
  <c r="H29561" i="5"/>
  <c r="H29553" i="5"/>
  <c r="H29545" i="5"/>
  <c r="H29537" i="5"/>
  <c r="H29529" i="5"/>
  <c r="H29521" i="5"/>
  <c r="H29513" i="5"/>
  <c r="H29505" i="5"/>
  <c r="H29497" i="5"/>
  <c r="H29489" i="5"/>
  <c r="H29481" i="5"/>
  <c r="H29473" i="5"/>
  <c r="H29465" i="5"/>
  <c r="H29457" i="5"/>
  <c r="H29449" i="5"/>
  <c r="H29441" i="5"/>
  <c r="H29433" i="5"/>
  <c r="H29425" i="5"/>
  <c r="H29417" i="5"/>
  <c r="H29409" i="5"/>
  <c r="H29401" i="5"/>
  <c r="H29393" i="5"/>
  <c r="H29385" i="5"/>
  <c r="H29377" i="5"/>
  <c r="H29369" i="5"/>
  <c r="H29361" i="5"/>
  <c r="H29353" i="5"/>
  <c r="H29345" i="5"/>
  <c r="H29337" i="5"/>
  <c r="H29329" i="5"/>
  <c r="H29321" i="5"/>
  <c r="H29313" i="5"/>
  <c r="H29305" i="5"/>
  <c r="H29297" i="5"/>
  <c r="H29289" i="5"/>
  <c r="H29281" i="5"/>
  <c r="H29273" i="5"/>
  <c r="H29265" i="5"/>
  <c r="H29257" i="5"/>
  <c r="H29249" i="5"/>
  <c r="H29241" i="5"/>
  <c r="H29233" i="5"/>
  <c r="H29225" i="5"/>
  <c r="H29217" i="5"/>
  <c r="H29209" i="5"/>
  <c r="H29201" i="5"/>
  <c r="H29193" i="5"/>
  <c r="H29185" i="5"/>
  <c r="H29177" i="5"/>
  <c r="H29169" i="5"/>
  <c r="H29161" i="5"/>
  <c r="H29153" i="5"/>
  <c r="H29145" i="5"/>
  <c r="H29137" i="5"/>
  <c r="H29129" i="5"/>
  <c r="H29121" i="5"/>
  <c r="H29113" i="5"/>
  <c r="H29105" i="5"/>
  <c r="H29097" i="5"/>
  <c r="H29089" i="5"/>
  <c r="H29081" i="5"/>
  <c r="H29073" i="5"/>
  <c r="H29065" i="5"/>
  <c r="H29057" i="5"/>
  <c r="H29049" i="5"/>
  <c r="H29041" i="5"/>
  <c r="H29033" i="5"/>
  <c r="H29025" i="5"/>
  <c r="H29017" i="5"/>
  <c r="H29009" i="5"/>
  <c r="H29001" i="5"/>
  <c r="H28993" i="5"/>
  <c r="H28985" i="5"/>
  <c r="H28977" i="5"/>
  <c r="H28969" i="5"/>
  <c r="H28961" i="5"/>
  <c r="H28953" i="5"/>
  <c r="H28945" i="5"/>
  <c r="H28937" i="5"/>
  <c r="H28929" i="5"/>
  <c r="H28921" i="5"/>
  <c r="H28913" i="5"/>
  <c r="H28905" i="5"/>
  <c r="H28897" i="5"/>
  <c r="H28889" i="5"/>
  <c r="H28881" i="5"/>
  <c r="H28873" i="5"/>
  <c r="H28865" i="5"/>
  <c r="H28857" i="5"/>
  <c r="H28849" i="5"/>
  <c r="H28841" i="5"/>
  <c r="H28833" i="5"/>
  <c r="H28825" i="5"/>
  <c r="H28817" i="5"/>
  <c r="H28809" i="5"/>
  <c r="H28801" i="5"/>
  <c r="H28793" i="5"/>
  <c r="H28785" i="5"/>
  <c r="H28777" i="5"/>
  <c r="H28769" i="5"/>
  <c r="H28761" i="5"/>
  <c r="H28753" i="5"/>
  <c r="H28745" i="5"/>
  <c r="H28737" i="5"/>
  <c r="H28729" i="5"/>
  <c r="H28721" i="5"/>
  <c r="H28713" i="5"/>
  <c r="H28705" i="5"/>
  <c r="H28697" i="5"/>
  <c r="H28689" i="5"/>
  <c r="H28681" i="5"/>
  <c r="H28673" i="5"/>
  <c r="H28665" i="5"/>
  <c r="H28657" i="5"/>
  <c r="H28649" i="5"/>
  <c r="H28641" i="5"/>
  <c r="H28633" i="5"/>
  <c r="H28625" i="5"/>
  <c r="H28617" i="5"/>
  <c r="H28609" i="5"/>
  <c r="H28601" i="5"/>
  <c r="H28593" i="5"/>
  <c r="H28585" i="5"/>
  <c r="H28577" i="5"/>
  <c r="H28569" i="5"/>
  <c r="H28561" i="5"/>
  <c r="H28553" i="5"/>
  <c r="H28545" i="5"/>
  <c r="H28537" i="5"/>
  <c r="H28529" i="5"/>
  <c r="H28521" i="5"/>
  <c r="H28513" i="5"/>
  <c r="H28505" i="5"/>
  <c r="H28497" i="5"/>
  <c r="H28489" i="5"/>
  <c r="H28481" i="5"/>
  <c r="H28473" i="5"/>
  <c r="H28465" i="5"/>
  <c r="H28457" i="5"/>
  <c r="H28449" i="5"/>
  <c r="H28441" i="5"/>
  <c r="H28433" i="5"/>
  <c r="H28425" i="5"/>
  <c r="H28417" i="5"/>
  <c r="H28409" i="5"/>
  <c r="H28401" i="5"/>
  <c r="H28393" i="5"/>
  <c r="H28385" i="5"/>
  <c r="H28377" i="5"/>
  <c r="H28369" i="5"/>
  <c r="H28361" i="5"/>
  <c r="H28353" i="5"/>
  <c r="H28345" i="5"/>
  <c r="H28337" i="5"/>
  <c r="H28329" i="5"/>
  <c r="H28321" i="5"/>
  <c r="H28313" i="5"/>
  <c r="H28305" i="5"/>
  <c r="H28297" i="5"/>
  <c r="H28289" i="5"/>
  <c r="H28281" i="5"/>
  <c r="H28273" i="5"/>
  <c r="H28265" i="5"/>
  <c r="H28257" i="5"/>
  <c r="H28249" i="5"/>
  <c r="H28241" i="5"/>
  <c r="H28233" i="5"/>
  <c r="H28225" i="5"/>
  <c r="H28217" i="5"/>
  <c r="H28209" i="5"/>
  <c r="H28201" i="5"/>
  <c r="H28193" i="5"/>
  <c r="H28185" i="5"/>
  <c r="H28177" i="5"/>
  <c r="H28169" i="5"/>
  <c r="H28161" i="5"/>
  <c r="H28153" i="5"/>
  <c r="H28145" i="5"/>
  <c r="H28137" i="5"/>
  <c r="H28129" i="5"/>
  <c r="H28121" i="5"/>
  <c r="H28113" i="5"/>
  <c r="H28105" i="5"/>
  <c r="H28097" i="5"/>
  <c r="H28089" i="5"/>
  <c r="H28081" i="5"/>
  <c r="H28073" i="5"/>
  <c r="H28065" i="5"/>
  <c r="H28057" i="5"/>
  <c r="H28049" i="5"/>
  <c r="H28041" i="5"/>
  <c r="H28033" i="5"/>
  <c r="H28025" i="5"/>
  <c r="H28017" i="5"/>
  <c r="H28009" i="5"/>
  <c r="H28001" i="5"/>
  <c r="H27993" i="5"/>
  <c r="H27985" i="5"/>
  <c r="H27977" i="5"/>
  <c r="H27969" i="5"/>
  <c r="H27961" i="5"/>
  <c r="H27953" i="5"/>
  <c r="H27945" i="5"/>
  <c r="H27937" i="5"/>
  <c r="H27929" i="5"/>
  <c r="H27921" i="5"/>
  <c r="H27913" i="5"/>
  <c r="H27905" i="5"/>
  <c r="H27897" i="5"/>
  <c r="H27889" i="5"/>
  <c r="H27881" i="5"/>
  <c r="H27873" i="5"/>
  <c r="H27865" i="5"/>
  <c r="H27857" i="5"/>
  <c r="H27849" i="5"/>
  <c r="H27841" i="5"/>
  <c r="H27833" i="5"/>
  <c r="H27825" i="5"/>
  <c r="H27817" i="5"/>
  <c r="H27809" i="5"/>
  <c r="H27801" i="5"/>
  <c r="H27793" i="5"/>
  <c r="H27785" i="5"/>
  <c r="H27777" i="5"/>
  <c r="H27769" i="5"/>
  <c r="H27761" i="5"/>
  <c r="H27753" i="5"/>
  <c r="H27745" i="5"/>
  <c r="H27737" i="5"/>
  <c r="H27729" i="5"/>
  <c r="H27721" i="5"/>
  <c r="H27713" i="5"/>
  <c r="H27705" i="5"/>
  <c r="H27697" i="5"/>
  <c r="H27689" i="5"/>
  <c r="H27681" i="5"/>
  <c r="H27673" i="5"/>
  <c r="H27665" i="5"/>
  <c r="H27657" i="5"/>
  <c r="H27649" i="5"/>
  <c r="H27641" i="5"/>
  <c r="H27633" i="5"/>
  <c r="H27625" i="5"/>
  <c r="H27617" i="5"/>
  <c r="H27609" i="5"/>
  <c r="H27601" i="5"/>
  <c r="H27593" i="5"/>
  <c r="H27585" i="5"/>
  <c r="H27577" i="5"/>
  <c r="H27569" i="5"/>
  <c r="H27561" i="5"/>
  <c r="H27553" i="5"/>
  <c r="H27545" i="5"/>
  <c r="H27537" i="5"/>
  <c r="H27529" i="5"/>
  <c r="H27521" i="5"/>
  <c r="H27513" i="5"/>
  <c r="H27505" i="5"/>
  <c r="H27497" i="5"/>
  <c r="H27489" i="5"/>
  <c r="H27481" i="5"/>
  <c r="H27473" i="5"/>
  <c r="H27465" i="5"/>
  <c r="H27457" i="5"/>
  <c r="H27449" i="5"/>
  <c r="H27441" i="5"/>
  <c r="H27433" i="5"/>
  <c r="H27425" i="5"/>
  <c r="H27417" i="5"/>
  <c r="H27409" i="5"/>
  <c r="H27401" i="5"/>
  <c r="H27393" i="5"/>
  <c r="H27385" i="5"/>
  <c r="H27377" i="5"/>
  <c r="H27369" i="5"/>
  <c r="H27361" i="5"/>
  <c r="H27353" i="5"/>
  <c r="H27345" i="5"/>
  <c r="H27337" i="5"/>
  <c r="H27329" i="5"/>
  <c r="H27321" i="5"/>
  <c r="H27313" i="5"/>
  <c r="H27305" i="5"/>
  <c r="H27297" i="5"/>
  <c r="H27289" i="5"/>
  <c r="H27281" i="5"/>
  <c r="H27273" i="5"/>
  <c r="H27265" i="5"/>
  <c r="H27257" i="5"/>
  <c r="H27249" i="5"/>
  <c r="H27241" i="5"/>
  <c r="H27233" i="5"/>
  <c r="H27225" i="5"/>
  <c r="H27217" i="5"/>
  <c r="H27209" i="5"/>
  <c r="H27201" i="5"/>
  <c r="H27193" i="5"/>
  <c r="H27185" i="5"/>
  <c r="H27177" i="5"/>
  <c r="H27169" i="5"/>
  <c r="H27161" i="5"/>
  <c r="H27153" i="5"/>
  <c r="H27145" i="5"/>
  <c r="H27137" i="5"/>
  <c r="H27129" i="5"/>
  <c r="H27121" i="5"/>
  <c r="H27113" i="5"/>
  <c r="H27105" i="5"/>
  <c r="H27097" i="5"/>
  <c r="H27089" i="5"/>
  <c r="H27081" i="5"/>
  <c r="H27073" i="5"/>
  <c r="H27065" i="5"/>
  <c r="H27057" i="5"/>
  <c r="H27049" i="5"/>
  <c r="H27041" i="5"/>
  <c r="H27033" i="5"/>
  <c r="H27025" i="5"/>
  <c r="H27017" i="5"/>
  <c r="H27009" i="5"/>
  <c r="H27001" i="5"/>
  <c r="H26993" i="5"/>
  <c r="H26985" i="5"/>
  <c r="H26977" i="5"/>
  <c r="H26969" i="5"/>
  <c r="H26961" i="5"/>
  <c r="H26953" i="5"/>
  <c r="H26945" i="5"/>
  <c r="H26937" i="5"/>
  <c r="H26929" i="5"/>
  <c r="H26921" i="5"/>
  <c r="H26913" i="5"/>
  <c r="H26905" i="5"/>
  <c r="H26897" i="5"/>
  <c r="H26889" i="5"/>
  <c r="H26881" i="5"/>
  <c r="H26873" i="5"/>
  <c r="H26865" i="5"/>
  <c r="H26857" i="5"/>
  <c r="H26849" i="5"/>
  <c r="H26841" i="5"/>
  <c r="H26833" i="5"/>
  <c r="H26825" i="5"/>
  <c r="H26817" i="5"/>
  <c r="H26809" i="5"/>
  <c r="H26801" i="5"/>
  <c r="H26793" i="5"/>
  <c r="H26785" i="5"/>
  <c r="H26777" i="5"/>
  <c r="H26769" i="5"/>
  <c r="H26761" i="5"/>
  <c r="H26753" i="5"/>
  <c r="H26745" i="5"/>
  <c r="H26737" i="5"/>
  <c r="H26729" i="5"/>
  <c r="H26721" i="5"/>
  <c r="H26713" i="5"/>
  <c r="H26705" i="5"/>
  <c r="H26697" i="5"/>
  <c r="H26689" i="5"/>
  <c r="H26681" i="5"/>
  <c r="H26673" i="5"/>
  <c r="H26665" i="5"/>
  <c r="H26657" i="5"/>
  <c r="H26649" i="5"/>
  <c r="H26641" i="5"/>
  <c r="H26633" i="5"/>
  <c r="H26625" i="5"/>
  <c r="H26617" i="5"/>
  <c r="H26609" i="5"/>
  <c r="H26601" i="5"/>
  <c r="H26593" i="5"/>
  <c r="H26585" i="5"/>
  <c r="H26577" i="5"/>
  <c r="H26569" i="5"/>
  <c r="H26561" i="5"/>
  <c r="H26553" i="5"/>
  <c r="H26545" i="5"/>
  <c r="H26537" i="5"/>
  <c r="H26529" i="5"/>
  <c r="H26521" i="5"/>
  <c r="H26513" i="5"/>
  <c r="H26505" i="5"/>
  <c r="H26497" i="5"/>
  <c r="H26489" i="5"/>
  <c r="H26481" i="5"/>
  <c r="H26473" i="5"/>
  <c r="H26465" i="5"/>
  <c r="H26457" i="5"/>
  <c r="H26449" i="5"/>
  <c r="H26441" i="5"/>
  <c r="H26433" i="5"/>
  <c r="H26425" i="5"/>
  <c r="H26417" i="5"/>
  <c r="H26409" i="5"/>
  <c r="H26401" i="5"/>
  <c r="H26393" i="5"/>
  <c r="H26385" i="5"/>
  <c r="H26377" i="5"/>
  <c r="H26369" i="5"/>
  <c r="H26361" i="5"/>
  <c r="H26353" i="5"/>
  <c r="H26345" i="5"/>
  <c r="H26337" i="5"/>
  <c r="H26329" i="5"/>
  <c r="H26321" i="5"/>
  <c r="H26313" i="5"/>
  <c r="H26305" i="5"/>
  <c r="H26297" i="5"/>
  <c r="H26289" i="5"/>
  <c r="H26281" i="5"/>
  <c r="H26273" i="5"/>
  <c r="H26265" i="5"/>
  <c r="H26257" i="5"/>
  <c r="H26249" i="5"/>
  <c r="H26241" i="5"/>
  <c r="H26233" i="5"/>
  <c r="H26225" i="5"/>
  <c r="H26217" i="5"/>
  <c r="H26209" i="5"/>
  <c r="H26201" i="5"/>
  <c r="H26193" i="5"/>
  <c r="H26185" i="5"/>
  <c r="H26177" i="5"/>
  <c r="H26169" i="5"/>
  <c r="H26161" i="5"/>
  <c r="H26153" i="5"/>
  <c r="H26145" i="5"/>
  <c r="H26137" i="5"/>
  <c r="H26129" i="5"/>
  <c r="H26121" i="5"/>
  <c r="H26113" i="5"/>
  <c r="H26105" i="5"/>
  <c r="H26097" i="5"/>
  <c r="H26089" i="5"/>
  <c r="H26081" i="5"/>
  <c r="H26073" i="5"/>
  <c r="H26065" i="5"/>
  <c r="H26057" i="5"/>
  <c r="H26049" i="5"/>
  <c r="H26041" i="5"/>
  <c r="H26033" i="5"/>
  <c r="H26025" i="5"/>
  <c r="H26017" i="5"/>
  <c r="H26009" i="5"/>
  <c r="H26001" i="5"/>
  <c r="H25993" i="5"/>
  <c r="H25985" i="5"/>
  <c r="H25977" i="5"/>
  <c r="H25969" i="5"/>
  <c r="H25961" i="5"/>
  <c r="H25953" i="5"/>
  <c r="H25945" i="5"/>
  <c r="H25937" i="5"/>
  <c r="H25929" i="5"/>
  <c r="H25921" i="5"/>
  <c r="H25913" i="5"/>
  <c r="H25905" i="5"/>
  <c r="H25897" i="5"/>
  <c r="H25889" i="5"/>
  <c r="H25881" i="5"/>
  <c r="H25873" i="5"/>
  <c r="H25865" i="5"/>
  <c r="H25857" i="5"/>
  <c r="H25849" i="5"/>
  <c r="H25841" i="5"/>
  <c r="H25833" i="5"/>
  <c r="H25825" i="5"/>
  <c r="H25817" i="5"/>
  <c r="H25809" i="5"/>
  <c r="H25801" i="5"/>
  <c r="H25793" i="5"/>
  <c r="H25785" i="5"/>
  <c r="H25777" i="5"/>
  <c r="H25769" i="5"/>
  <c r="H25761" i="5"/>
  <c r="H25753" i="5"/>
  <c r="H25745" i="5"/>
  <c r="H25737" i="5"/>
  <c r="H25729" i="5"/>
  <c r="H25721" i="5"/>
  <c r="H25713" i="5"/>
  <c r="H25705" i="5"/>
  <c r="H25697" i="5"/>
  <c r="H25689" i="5"/>
  <c r="H25681" i="5"/>
  <c r="H25673" i="5"/>
  <c r="H25665" i="5"/>
  <c r="H25657" i="5"/>
  <c r="H25649" i="5"/>
  <c r="H25641" i="5"/>
  <c r="H25633" i="5"/>
  <c r="H25625" i="5"/>
  <c r="H25617" i="5"/>
  <c r="H25609" i="5"/>
  <c r="H25601" i="5"/>
  <c r="H25593" i="5"/>
  <c r="H25585" i="5"/>
  <c r="H25577" i="5"/>
  <c r="H25569" i="5"/>
  <c r="H25561" i="5"/>
  <c r="H25553" i="5"/>
  <c r="H25545" i="5"/>
  <c r="H25537" i="5"/>
  <c r="H25529" i="5"/>
  <c r="H25521" i="5"/>
  <c r="H25513" i="5"/>
  <c r="H25505" i="5"/>
  <c r="H25497" i="5"/>
  <c r="H25489" i="5"/>
  <c r="H25481" i="5"/>
  <c r="H25473" i="5"/>
  <c r="H25465" i="5"/>
  <c r="H25457" i="5"/>
  <c r="H25449" i="5"/>
  <c r="H25441" i="5"/>
  <c r="H25433" i="5"/>
  <c r="H25425" i="5"/>
  <c r="H25417" i="5"/>
  <c r="H25409" i="5"/>
  <c r="H25401" i="5"/>
  <c r="H25393" i="5"/>
  <c r="H25385" i="5"/>
  <c r="H25377" i="5"/>
  <c r="H25369" i="5"/>
  <c r="H25361" i="5"/>
  <c r="H25353" i="5"/>
  <c r="H25345" i="5"/>
  <c r="H25337" i="5"/>
  <c r="H25329" i="5"/>
  <c r="H25321" i="5"/>
  <c r="H25313" i="5"/>
  <c r="H25305" i="5"/>
  <c r="H25297" i="5"/>
  <c r="H25289" i="5"/>
  <c r="H25281" i="5"/>
  <c r="H25273" i="5"/>
  <c r="H25265" i="5"/>
  <c r="H25257" i="5"/>
  <c r="H25249" i="5"/>
  <c r="H25241" i="5"/>
  <c r="H25233" i="5"/>
  <c r="H25225" i="5"/>
  <c r="H25217" i="5"/>
  <c r="H25209" i="5"/>
  <c r="H25201" i="5"/>
  <c r="H25193" i="5"/>
  <c r="H25185" i="5"/>
  <c r="H25177" i="5"/>
  <c r="H25169" i="5"/>
  <c r="H25161" i="5"/>
  <c r="H25153" i="5"/>
  <c r="H25145" i="5"/>
  <c r="H25137" i="5"/>
  <c r="H25129" i="5"/>
  <c r="H25121" i="5"/>
  <c r="H25113" i="5"/>
  <c r="H25105" i="5"/>
  <c r="H25097" i="5"/>
  <c r="H25089" i="5"/>
  <c r="H25081" i="5"/>
  <c r="H25073" i="5"/>
  <c r="H25065" i="5"/>
  <c r="H25057" i="5"/>
  <c r="H25049" i="5"/>
  <c r="H25041" i="5"/>
  <c r="H25033" i="5"/>
  <c r="H25025" i="5"/>
  <c r="H25017" i="5"/>
  <c r="H25009" i="5"/>
  <c r="H25001" i="5"/>
  <c r="H24993" i="5"/>
  <c r="H24985" i="5"/>
  <c r="H24977" i="5"/>
  <c r="H24969" i="5"/>
  <c r="H24961" i="5"/>
  <c r="H24953" i="5"/>
  <c r="H24945" i="5"/>
  <c r="H24937" i="5"/>
  <c r="H24929" i="5"/>
  <c r="H41466" i="5"/>
  <c r="H41353" i="5"/>
  <c r="H41247" i="5"/>
  <c r="H41161" i="5"/>
  <c r="H41076" i="5"/>
  <c r="H40991" i="5"/>
  <c r="H40905" i="5"/>
  <c r="H40820" i="5"/>
  <c r="H40735" i="5"/>
  <c r="H40649" i="5"/>
  <c r="H40564" i="5"/>
  <c r="H40479" i="5"/>
  <c r="H40393" i="5"/>
  <c r="H40308" i="5"/>
  <c r="H40223" i="5"/>
  <c r="H40137" i="5"/>
  <c r="H40052" i="5"/>
  <c r="H39967" i="5"/>
  <c r="H39881" i="5"/>
  <c r="H39796" i="5"/>
  <c r="H39711" i="5"/>
  <c r="H39625" i="5"/>
  <c r="H39545" i="5"/>
  <c r="H39472" i="5"/>
  <c r="H39399" i="5"/>
  <c r="H39326" i="5"/>
  <c r="H39262" i="5"/>
  <c r="H39198" i="5"/>
  <c r="H39134" i="5"/>
  <c r="H39070" i="5"/>
  <c r="H39006" i="5"/>
  <c r="H38942" i="5"/>
  <c r="H38878" i="5"/>
  <c r="H38814" i="5"/>
  <c r="H38750" i="5"/>
  <c r="H38686" i="5"/>
  <c r="H38622" i="5"/>
  <c r="H38558" i="5"/>
  <c r="H38494" i="5"/>
  <c r="H38430" i="5"/>
  <c r="H38366" i="5"/>
  <c r="H38302" i="5"/>
  <c r="H38238" i="5"/>
  <c r="H38174" i="5"/>
  <c r="H38110" i="5"/>
  <c r="H38046" i="5"/>
  <c r="H37982" i="5"/>
  <c r="H37918" i="5"/>
  <c r="H37854" i="5"/>
  <c r="H37790" i="5"/>
  <c r="H37726" i="5"/>
  <c r="H37662" i="5"/>
  <c r="H37598" i="5"/>
  <c r="H37534" i="5"/>
  <c r="H37470" i="5"/>
  <c r="H37406" i="5"/>
  <c r="H37342" i="5"/>
  <c r="H37278" i="5"/>
  <c r="H37214" i="5"/>
  <c r="H37150" i="5"/>
  <c r="H37086" i="5"/>
  <c r="H37022" i="5"/>
  <c r="H36958" i="5"/>
  <c r="H36894" i="5"/>
  <c r="H36830" i="5"/>
  <c r="H36766" i="5"/>
  <c r="H36702" i="5"/>
  <c r="H36638" i="5"/>
  <c r="H36574" i="5"/>
  <c r="H36510" i="5"/>
  <c r="H36462" i="5"/>
  <c r="H36430" i="5"/>
  <c r="H36398" i="5"/>
  <c r="H36366" i="5"/>
  <c r="H36334" i="5"/>
  <c r="H36302" i="5"/>
  <c r="H36270" i="5"/>
  <c r="H36238" i="5"/>
  <c r="H36206" i="5"/>
  <c r="H36174" i="5"/>
  <c r="H36142" i="5"/>
  <c r="H36110" i="5"/>
  <c r="H36078" i="5"/>
  <c r="H36046" i="5"/>
  <c r="H36014" i="5"/>
  <c r="H35982" i="5"/>
  <c r="H35950" i="5"/>
  <c r="H35918" i="5"/>
  <c r="H35886" i="5"/>
  <c r="H35854" i="5"/>
  <c r="H35822" i="5"/>
  <c r="H35790" i="5"/>
  <c r="H35758" i="5"/>
  <c r="H35726" i="5"/>
  <c r="H35694" i="5"/>
  <c r="H35662" i="5"/>
  <c r="H35630" i="5"/>
  <c r="H35598" i="5"/>
  <c r="H35566" i="5"/>
  <c r="H35534" i="5"/>
  <c r="H35502" i="5"/>
  <c r="H35470" i="5"/>
  <c r="H35438" i="5"/>
  <c r="H35406" i="5"/>
  <c r="H35374" i="5"/>
  <c r="H35342" i="5"/>
  <c r="H35310" i="5"/>
  <c r="H35278" i="5"/>
  <c r="H35246" i="5"/>
  <c r="H35214" i="5"/>
  <c r="H35182" i="5"/>
  <c r="H35150" i="5"/>
  <c r="H35119" i="5"/>
  <c r="H35097" i="5"/>
  <c r="H35078" i="5"/>
  <c r="H35055" i="5"/>
  <c r="H35033" i="5"/>
  <c r="H35014" i="5"/>
  <c r="H34991" i="5"/>
  <c r="H34969" i="5"/>
  <c r="H34950" i="5"/>
  <c r="H34934" i="5"/>
  <c r="H34918" i="5"/>
  <c r="H34902" i="5"/>
  <c r="H34887" i="5"/>
  <c r="H34874" i="5"/>
  <c r="H34862" i="5"/>
  <c r="H34849" i="5"/>
  <c r="H34836" i="5"/>
  <c r="H34823" i="5"/>
  <c r="H34810" i="5"/>
  <c r="H34798" i="5"/>
  <c r="H34785" i="5"/>
  <c r="H34772" i="5"/>
  <c r="H34759" i="5"/>
  <c r="H34746" i="5"/>
  <c r="H34734" i="5"/>
  <c r="H34721" i="5"/>
  <c r="H34708" i="5"/>
  <c r="H34695" i="5"/>
  <c r="H34682" i="5"/>
  <c r="H34670" i="5"/>
  <c r="H34657" i="5"/>
  <c r="H34644" i="5"/>
  <c r="H34631" i="5"/>
  <c r="H34621" i="5"/>
  <c r="H34610" i="5"/>
  <c r="H34599" i="5"/>
  <c r="H34589" i="5"/>
  <c r="H34578" i="5"/>
  <c r="H34568" i="5"/>
  <c r="H34560" i="5"/>
  <c r="H34552" i="5"/>
  <c r="H34544" i="5"/>
  <c r="H34536" i="5"/>
  <c r="H34528" i="5"/>
  <c r="H34520" i="5"/>
  <c r="H34512" i="5"/>
  <c r="H34504" i="5"/>
  <c r="H34496" i="5"/>
  <c r="H34488" i="5"/>
  <c r="H34480" i="5"/>
  <c r="H34472" i="5"/>
  <c r="H34464" i="5"/>
  <c r="H34456" i="5"/>
  <c r="H34448" i="5"/>
  <c r="H34440" i="5"/>
  <c r="H34432" i="5"/>
  <c r="H34424" i="5"/>
  <c r="H34416" i="5"/>
  <c r="H34408" i="5"/>
  <c r="H34400" i="5"/>
  <c r="H34392" i="5"/>
  <c r="H34384" i="5"/>
  <c r="H34376" i="5"/>
  <c r="H34368" i="5"/>
  <c r="H34360" i="5"/>
  <c r="H34352" i="5"/>
  <c r="H34344" i="5"/>
  <c r="H34336" i="5"/>
  <c r="H34328" i="5"/>
  <c r="H34320" i="5"/>
  <c r="H34312" i="5"/>
  <c r="H34304" i="5"/>
  <c r="H34296" i="5"/>
  <c r="H34288" i="5"/>
  <c r="H34280" i="5"/>
  <c r="H34272" i="5"/>
  <c r="H34264" i="5"/>
  <c r="H34256" i="5"/>
  <c r="H34248" i="5"/>
  <c r="H34240" i="5"/>
  <c r="H34232" i="5"/>
  <c r="H34224" i="5"/>
  <c r="H34216" i="5"/>
  <c r="H34208" i="5"/>
  <c r="H34200" i="5"/>
  <c r="H34192" i="5"/>
  <c r="H34184" i="5"/>
  <c r="H34176" i="5"/>
  <c r="H34168" i="5"/>
  <c r="H34160" i="5"/>
  <c r="H34152" i="5"/>
  <c r="H34144" i="5"/>
  <c r="H34136" i="5"/>
  <c r="H34128" i="5"/>
  <c r="H34120" i="5"/>
  <c r="H34112" i="5"/>
  <c r="H34104" i="5"/>
  <c r="H34096" i="5"/>
  <c r="H34088" i="5"/>
  <c r="H34080" i="5"/>
  <c r="H34072" i="5"/>
  <c r="H34064" i="5"/>
  <c r="H34056" i="5"/>
  <c r="H34048" i="5"/>
  <c r="H34040" i="5"/>
  <c r="H34032" i="5"/>
  <c r="H34024" i="5"/>
  <c r="H34016" i="5"/>
  <c r="H34008" i="5"/>
  <c r="H34000" i="5"/>
  <c r="H33992" i="5"/>
  <c r="H33984" i="5"/>
  <c r="H33976" i="5"/>
  <c r="H33968" i="5"/>
  <c r="H33960" i="5"/>
  <c r="H33952" i="5"/>
  <c r="H33944" i="5"/>
  <c r="H33936" i="5"/>
  <c r="H33928" i="5"/>
  <c r="H33920" i="5"/>
  <c r="H33912" i="5"/>
  <c r="H33904" i="5"/>
  <c r="H33896" i="5"/>
  <c r="H33888" i="5"/>
  <c r="H33880" i="5"/>
  <c r="H33872" i="5"/>
  <c r="H33864" i="5"/>
  <c r="H33856" i="5"/>
  <c r="H33848" i="5"/>
  <c r="H33840" i="5"/>
  <c r="H33832" i="5"/>
  <c r="H33824" i="5"/>
  <c r="H33816" i="5"/>
  <c r="H33808" i="5"/>
  <c r="H33800" i="5"/>
  <c r="H33792" i="5"/>
  <c r="H33784" i="5"/>
  <c r="H33776" i="5"/>
  <c r="H33768" i="5"/>
  <c r="H33760" i="5"/>
  <c r="H33752" i="5"/>
  <c r="H33744" i="5"/>
  <c r="H33736" i="5"/>
  <c r="H33728" i="5"/>
  <c r="H33720" i="5"/>
  <c r="H33712" i="5"/>
  <c r="H33704" i="5"/>
  <c r="H33696" i="5"/>
  <c r="H33688" i="5"/>
  <c r="H33680" i="5"/>
  <c r="H33672" i="5"/>
  <c r="H33664" i="5"/>
  <c r="H33656" i="5"/>
  <c r="H33648" i="5"/>
  <c r="H33640" i="5"/>
  <c r="H33632" i="5"/>
  <c r="H33624" i="5"/>
  <c r="H33616" i="5"/>
  <c r="H33608" i="5"/>
  <c r="H33600" i="5"/>
  <c r="H33592" i="5"/>
  <c r="H33584" i="5"/>
  <c r="H33576" i="5"/>
  <c r="H33568" i="5"/>
  <c r="H33560" i="5"/>
  <c r="H33552" i="5"/>
  <c r="H33544" i="5"/>
  <c r="H33536" i="5"/>
  <c r="H33528" i="5"/>
  <c r="H33520" i="5"/>
  <c r="H33512" i="5"/>
  <c r="H33504" i="5"/>
  <c r="H33496" i="5"/>
  <c r="H33488" i="5"/>
  <c r="H33480" i="5"/>
  <c r="H33472" i="5"/>
  <c r="H33464" i="5"/>
  <c r="H33456" i="5"/>
  <c r="H33448" i="5"/>
  <c r="H33440" i="5"/>
  <c r="H33432" i="5"/>
  <c r="H33424" i="5"/>
  <c r="H33416" i="5"/>
  <c r="H33408" i="5"/>
  <c r="H33400" i="5"/>
  <c r="H33392" i="5"/>
  <c r="H33384" i="5"/>
  <c r="H33376" i="5"/>
  <c r="H33368" i="5"/>
  <c r="H33360" i="5"/>
  <c r="H33352" i="5"/>
  <c r="H33344" i="5"/>
  <c r="H33336" i="5"/>
  <c r="H33328" i="5"/>
  <c r="H33320" i="5"/>
  <c r="H33312" i="5"/>
  <c r="H33304" i="5"/>
  <c r="H33296" i="5"/>
  <c r="H33288" i="5"/>
  <c r="H33280" i="5"/>
  <c r="H33272" i="5"/>
  <c r="H33264" i="5"/>
  <c r="H33256" i="5"/>
  <c r="H33248" i="5"/>
  <c r="H33240" i="5"/>
  <c r="H33232" i="5"/>
  <c r="H33224" i="5"/>
  <c r="H33216" i="5"/>
  <c r="H33208" i="5"/>
  <c r="H33200" i="5"/>
  <c r="H33192" i="5"/>
  <c r="H33184" i="5"/>
  <c r="H33176" i="5"/>
  <c r="H33168" i="5"/>
  <c r="H33160" i="5"/>
  <c r="H33152" i="5"/>
  <c r="H33144" i="5"/>
  <c r="H33136" i="5"/>
  <c r="H33128" i="5"/>
  <c r="H33120" i="5"/>
  <c r="H33112" i="5"/>
  <c r="H33104" i="5"/>
  <c r="H33096" i="5"/>
  <c r="H33088" i="5"/>
  <c r="H33080" i="5"/>
  <c r="H33072" i="5"/>
  <c r="H33064" i="5"/>
  <c r="H33056" i="5"/>
  <c r="H33048" i="5"/>
  <c r="H33040" i="5"/>
  <c r="H33032" i="5"/>
  <c r="H33024" i="5"/>
  <c r="H33016" i="5"/>
  <c r="H33008" i="5"/>
  <c r="H33000" i="5"/>
  <c r="H32992" i="5"/>
  <c r="H32984" i="5"/>
  <c r="H32976" i="5"/>
  <c r="H32968" i="5"/>
  <c r="H32960" i="5"/>
  <c r="H32952" i="5"/>
  <c r="H32944" i="5"/>
  <c r="H32936" i="5"/>
  <c r="H32928" i="5"/>
  <c r="H32920" i="5"/>
  <c r="H32912" i="5"/>
  <c r="H32904" i="5"/>
  <c r="H32896" i="5"/>
  <c r="H32888" i="5"/>
  <c r="H32880" i="5"/>
  <c r="H32872" i="5"/>
  <c r="H32864" i="5"/>
  <c r="H32856" i="5"/>
  <c r="H32848" i="5"/>
  <c r="H32840" i="5"/>
  <c r="H32832" i="5"/>
  <c r="H32824" i="5"/>
  <c r="H32816" i="5"/>
  <c r="H32808" i="5"/>
  <c r="H32800" i="5"/>
  <c r="H32792" i="5"/>
  <c r="H32784" i="5"/>
  <c r="H32776" i="5"/>
  <c r="H32768" i="5"/>
  <c r="H32760" i="5"/>
  <c r="H32752" i="5"/>
  <c r="H32744" i="5"/>
  <c r="H32736" i="5"/>
  <c r="H32728" i="5"/>
  <c r="H32720" i="5"/>
  <c r="H32712" i="5"/>
  <c r="H32704" i="5"/>
  <c r="H32696" i="5"/>
  <c r="H32688" i="5"/>
  <c r="H32680" i="5"/>
  <c r="H32672" i="5"/>
  <c r="H32664" i="5"/>
  <c r="H32656" i="5"/>
  <c r="H32648" i="5"/>
  <c r="H32640" i="5"/>
  <c r="H32632" i="5"/>
  <c r="H32624" i="5"/>
  <c r="H32616" i="5"/>
  <c r="H32608" i="5"/>
  <c r="H32600" i="5"/>
  <c r="H32592" i="5"/>
  <c r="H32584" i="5"/>
  <c r="H32576" i="5"/>
  <c r="H32568" i="5"/>
  <c r="H32560" i="5"/>
  <c r="H32552" i="5"/>
  <c r="H32544" i="5"/>
  <c r="H32536" i="5"/>
  <c r="H32528" i="5"/>
  <c r="H32520" i="5"/>
  <c r="H32512" i="5"/>
  <c r="H32504" i="5"/>
  <c r="H32496" i="5"/>
  <c r="H32488" i="5"/>
  <c r="H32480" i="5"/>
  <c r="H32472" i="5"/>
  <c r="H32464" i="5"/>
  <c r="H32456" i="5"/>
  <c r="H32448" i="5"/>
  <c r="H32440" i="5"/>
  <c r="H32432" i="5"/>
  <c r="H32424" i="5"/>
  <c r="H32416" i="5"/>
  <c r="H32408" i="5"/>
  <c r="H32400" i="5"/>
  <c r="H32392" i="5"/>
  <c r="H32384" i="5"/>
  <c r="H32376" i="5"/>
  <c r="H32368" i="5"/>
  <c r="H32360" i="5"/>
  <c r="H32352" i="5"/>
  <c r="H32344" i="5"/>
  <c r="H32336" i="5"/>
  <c r="H32328" i="5"/>
  <c r="H32320" i="5"/>
  <c r="H32312" i="5"/>
  <c r="H32304" i="5"/>
  <c r="H32296" i="5"/>
  <c r="H32288" i="5"/>
  <c r="H32280" i="5"/>
  <c r="H32272" i="5"/>
  <c r="H32264" i="5"/>
  <c r="H32256" i="5"/>
  <c r="H32248" i="5"/>
  <c r="H32240" i="5"/>
  <c r="H32232" i="5"/>
  <c r="H32224" i="5"/>
  <c r="H32216" i="5"/>
  <c r="H32208" i="5"/>
  <c r="H32200" i="5"/>
  <c r="H32192" i="5"/>
  <c r="H32184" i="5"/>
  <c r="H32176" i="5"/>
  <c r="H32168" i="5"/>
  <c r="H32160" i="5"/>
  <c r="H32152" i="5"/>
  <c r="H32144" i="5"/>
  <c r="H32136" i="5"/>
  <c r="H32128" i="5"/>
  <c r="H32120" i="5"/>
  <c r="H32112" i="5"/>
  <c r="H32104" i="5"/>
  <c r="H32096" i="5"/>
  <c r="H32088" i="5"/>
  <c r="H32080" i="5"/>
  <c r="H32072" i="5"/>
  <c r="H32064" i="5"/>
  <c r="H32056" i="5"/>
  <c r="H32048" i="5"/>
  <c r="H32040" i="5"/>
  <c r="H32032" i="5"/>
  <c r="H32024" i="5"/>
  <c r="H32016" i="5"/>
  <c r="H32008" i="5"/>
  <c r="H32000" i="5"/>
  <c r="H31992" i="5"/>
  <c r="H31984" i="5"/>
  <c r="H31976" i="5"/>
  <c r="H31968" i="5"/>
  <c r="H31960" i="5"/>
  <c r="H31952" i="5"/>
  <c r="H31944" i="5"/>
  <c r="H31936" i="5"/>
  <c r="H31928" i="5"/>
  <c r="H31920" i="5"/>
  <c r="H31912" i="5"/>
  <c r="H31904" i="5"/>
  <c r="H31896" i="5"/>
  <c r="H31888" i="5"/>
  <c r="H31880" i="5"/>
  <c r="H31872" i="5"/>
  <c r="H31864" i="5"/>
  <c r="H31856" i="5"/>
  <c r="H31848" i="5"/>
  <c r="H31840" i="5"/>
  <c r="H31832" i="5"/>
  <c r="H31824" i="5"/>
  <c r="H31816" i="5"/>
  <c r="H31808" i="5"/>
  <c r="H31800" i="5"/>
  <c r="H31792" i="5"/>
  <c r="H31784" i="5"/>
  <c r="H31776" i="5"/>
  <c r="H31768" i="5"/>
  <c r="H31760" i="5"/>
  <c r="H31752" i="5"/>
  <c r="H31744" i="5"/>
  <c r="H31736" i="5"/>
  <c r="H31728" i="5"/>
  <c r="H31720" i="5"/>
  <c r="H31712" i="5"/>
  <c r="H31704" i="5"/>
  <c r="H31696" i="5"/>
  <c r="H31688" i="5"/>
  <c r="H31680" i="5"/>
  <c r="H31672" i="5"/>
  <c r="H31664" i="5"/>
  <c r="H31656" i="5"/>
  <c r="H31648" i="5"/>
  <c r="H31640" i="5"/>
  <c r="H31632" i="5"/>
  <c r="H31624" i="5"/>
  <c r="H31616" i="5"/>
  <c r="H31608" i="5"/>
  <c r="H31600" i="5"/>
  <c r="H31592" i="5"/>
  <c r="H31584" i="5"/>
  <c r="H31576" i="5"/>
  <c r="H31568" i="5"/>
  <c r="H31560" i="5"/>
  <c r="H31552" i="5"/>
  <c r="H31544" i="5"/>
  <c r="H31536" i="5"/>
  <c r="H31528" i="5"/>
  <c r="H31520" i="5"/>
  <c r="H31512" i="5"/>
  <c r="H31504" i="5"/>
  <c r="H31496" i="5"/>
  <c r="H31488" i="5"/>
  <c r="H31480" i="5"/>
  <c r="H31472" i="5"/>
  <c r="H31464" i="5"/>
  <c r="H31456" i="5"/>
  <c r="H31448" i="5"/>
  <c r="H31440" i="5"/>
  <c r="H31432" i="5"/>
  <c r="H31424" i="5"/>
  <c r="H31416" i="5"/>
  <c r="H31408" i="5"/>
  <c r="H31400" i="5"/>
  <c r="H31392" i="5"/>
  <c r="H31384" i="5"/>
  <c r="H31376" i="5"/>
  <c r="H31368" i="5"/>
  <c r="H31360" i="5"/>
  <c r="H31352" i="5"/>
  <c r="H31344" i="5"/>
  <c r="H31336" i="5"/>
  <c r="H31328" i="5"/>
  <c r="H31320" i="5"/>
  <c r="H31312" i="5"/>
  <c r="H31304" i="5"/>
  <c r="H31296" i="5"/>
  <c r="H31288" i="5"/>
  <c r="H31280" i="5"/>
  <c r="H31272" i="5"/>
  <c r="H31264" i="5"/>
  <c r="H31256" i="5"/>
  <c r="H31248" i="5"/>
  <c r="H31240" i="5"/>
  <c r="H31232" i="5"/>
  <c r="H31224" i="5"/>
  <c r="H31216" i="5"/>
  <c r="H31208" i="5"/>
  <c r="H31200" i="5"/>
  <c r="H31192" i="5"/>
  <c r="H31184" i="5"/>
  <c r="H31176" i="5"/>
  <c r="H31168" i="5"/>
  <c r="H31160" i="5"/>
  <c r="H31152" i="5"/>
  <c r="H31144" i="5"/>
  <c r="H31136" i="5"/>
  <c r="H31128" i="5"/>
  <c r="H31120" i="5"/>
  <c r="H31112" i="5"/>
  <c r="H31104" i="5"/>
  <c r="H31096" i="5"/>
  <c r="H31088" i="5"/>
  <c r="H31080" i="5"/>
  <c r="H31072" i="5"/>
  <c r="H31064" i="5"/>
  <c r="H31056" i="5"/>
  <c r="H31048" i="5"/>
  <c r="H31040" i="5"/>
  <c r="H31032" i="5"/>
  <c r="H31024" i="5"/>
  <c r="H31016" i="5"/>
  <c r="H31008" i="5"/>
  <c r="H31000" i="5"/>
  <c r="H30992" i="5"/>
  <c r="H30984" i="5"/>
  <c r="H30976" i="5"/>
  <c r="H30968" i="5"/>
  <c r="H30960" i="5"/>
  <c r="H30952" i="5"/>
  <c r="H30944" i="5"/>
  <c r="H30936" i="5"/>
  <c r="H30928" i="5"/>
  <c r="H30920" i="5"/>
  <c r="H30912" i="5"/>
  <c r="H30904" i="5"/>
  <c r="H30896" i="5"/>
  <c r="H30888" i="5"/>
  <c r="H30880" i="5"/>
  <c r="H30872" i="5"/>
  <c r="H30864" i="5"/>
  <c r="H30856" i="5"/>
  <c r="H30848" i="5"/>
  <c r="H30840" i="5"/>
  <c r="H30832" i="5"/>
  <c r="H30824" i="5"/>
  <c r="H30816" i="5"/>
  <c r="H30808" i="5"/>
  <c r="H30800" i="5"/>
  <c r="H30792" i="5"/>
  <c r="H30784" i="5"/>
  <c r="H30776" i="5"/>
  <c r="H30768" i="5"/>
  <c r="H30760" i="5"/>
  <c r="H30752" i="5"/>
  <c r="H30744" i="5"/>
  <c r="H30736" i="5"/>
  <c r="H30728" i="5"/>
  <c r="H30720" i="5"/>
  <c r="H30712" i="5"/>
  <c r="H30704" i="5"/>
  <c r="H30696" i="5"/>
  <c r="H30688" i="5"/>
  <c r="H30680" i="5"/>
  <c r="H30672" i="5"/>
  <c r="H30664" i="5"/>
  <c r="H30656" i="5"/>
  <c r="H30648" i="5"/>
  <c r="H30640" i="5"/>
  <c r="H30632" i="5"/>
  <c r="H30624" i="5"/>
  <c r="H30616" i="5"/>
  <c r="H30608" i="5"/>
  <c r="H30600" i="5"/>
  <c r="H30592" i="5"/>
  <c r="H30584" i="5"/>
  <c r="H30576" i="5"/>
  <c r="H30568" i="5"/>
  <c r="H30560" i="5"/>
  <c r="H30552" i="5"/>
  <c r="H30544" i="5"/>
  <c r="H30536" i="5"/>
  <c r="H30528" i="5"/>
  <c r="H30520" i="5"/>
  <c r="H30512" i="5"/>
  <c r="H30504" i="5"/>
  <c r="H30496" i="5"/>
  <c r="H30488" i="5"/>
  <c r="H30480" i="5"/>
  <c r="H30472" i="5"/>
  <c r="H30464" i="5"/>
  <c r="H30456" i="5"/>
  <c r="H30448" i="5"/>
  <c r="H30440" i="5"/>
  <c r="H30432" i="5"/>
  <c r="H30424" i="5"/>
  <c r="H30416" i="5"/>
  <c r="H30408" i="5"/>
  <c r="H30400" i="5"/>
  <c r="H30392" i="5"/>
  <c r="H30384" i="5"/>
  <c r="H30376" i="5"/>
  <c r="H30368" i="5"/>
  <c r="H30360" i="5"/>
  <c r="H30352" i="5"/>
  <c r="H30344" i="5"/>
  <c r="H30336" i="5"/>
  <c r="H30328" i="5"/>
  <c r="H30320" i="5"/>
  <c r="H30312" i="5"/>
  <c r="H30304" i="5"/>
  <c r="H30296" i="5"/>
  <c r="H30288" i="5"/>
  <c r="H30280" i="5"/>
  <c r="H30272" i="5"/>
  <c r="H30264" i="5"/>
  <c r="H30256" i="5"/>
  <c r="H30248" i="5"/>
  <c r="H30240" i="5"/>
  <c r="H30232" i="5"/>
  <c r="H30224" i="5"/>
  <c r="H30216" i="5"/>
  <c r="H30208" i="5"/>
  <c r="H30200" i="5"/>
  <c r="H30192" i="5"/>
  <c r="H30184" i="5"/>
  <c r="H30176" i="5"/>
  <c r="H30168" i="5"/>
  <c r="H30160" i="5"/>
  <c r="H30152" i="5"/>
  <c r="H30144" i="5"/>
  <c r="H30136" i="5"/>
  <c r="H30128" i="5"/>
  <c r="H30120" i="5"/>
  <c r="H30112" i="5"/>
  <c r="H30104" i="5"/>
  <c r="H30096" i="5"/>
  <c r="H30088" i="5"/>
  <c r="H30080" i="5"/>
  <c r="H30072" i="5"/>
  <c r="H30064" i="5"/>
  <c r="H30056" i="5"/>
  <c r="H30048" i="5"/>
  <c r="H30040" i="5"/>
  <c r="H30032" i="5"/>
  <c r="H30024" i="5"/>
  <c r="H30016" i="5"/>
  <c r="H30008" i="5"/>
  <c r="H30000" i="5"/>
  <c r="H29992" i="5"/>
  <c r="H29984" i="5"/>
  <c r="H29976" i="5"/>
  <c r="H29968" i="5"/>
  <c r="H29960" i="5"/>
  <c r="H29952" i="5"/>
  <c r="H29944" i="5"/>
  <c r="H29936" i="5"/>
  <c r="H29928" i="5"/>
  <c r="H29920" i="5"/>
  <c r="H29912" i="5"/>
  <c r="H29904" i="5"/>
  <c r="H29896" i="5"/>
  <c r="H29888" i="5"/>
  <c r="H29880" i="5"/>
  <c r="H29872" i="5"/>
  <c r="H29864" i="5"/>
  <c r="H29856" i="5"/>
  <c r="H29848" i="5"/>
  <c r="H29840" i="5"/>
  <c r="H29832" i="5"/>
  <c r="H29824" i="5"/>
  <c r="H29816" i="5"/>
  <c r="H29808" i="5"/>
  <c r="H29800" i="5"/>
  <c r="H29792" i="5"/>
  <c r="H29784" i="5"/>
  <c r="H29776" i="5"/>
  <c r="H29768" i="5"/>
  <c r="H29760" i="5"/>
  <c r="H29752" i="5"/>
  <c r="H29744" i="5"/>
  <c r="H29736" i="5"/>
  <c r="H29728" i="5"/>
  <c r="H29720" i="5"/>
  <c r="H29712" i="5"/>
  <c r="H29704" i="5"/>
  <c r="H29696" i="5"/>
  <c r="H29688" i="5"/>
  <c r="H29680" i="5"/>
  <c r="H29672" i="5"/>
  <c r="H29664" i="5"/>
  <c r="H29656" i="5"/>
  <c r="H29648" i="5"/>
  <c r="H29640" i="5"/>
  <c r="H29632" i="5"/>
  <c r="H29624" i="5"/>
  <c r="H29616" i="5"/>
  <c r="H29608" i="5"/>
  <c r="H29600" i="5"/>
  <c r="H29592" i="5"/>
  <c r="H29584" i="5"/>
  <c r="H29576" i="5"/>
  <c r="H29568" i="5"/>
  <c r="H29560" i="5"/>
  <c r="H29552" i="5"/>
  <c r="H29544" i="5"/>
  <c r="H29536" i="5"/>
  <c r="H29528" i="5"/>
  <c r="H29520" i="5"/>
  <c r="H29512" i="5"/>
  <c r="H29504" i="5"/>
  <c r="H29496" i="5"/>
  <c r="H29488" i="5"/>
  <c r="H29480" i="5"/>
  <c r="H29472" i="5"/>
  <c r="H29464" i="5"/>
  <c r="H29456" i="5"/>
  <c r="H29448" i="5"/>
  <c r="H29440" i="5"/>
  <c r="H29432" i="5"/>
  <c r="H29424" i="5"/>
  <c r="H29416" i="5"/>
  <c r="H29408" i="5"/>
  <c r="H29400" i="5"/>
  <c r="H29392" i="5"/>
  <c r="H29384" i="5"/>
  <c r="H29376" i="5"/>
  <c r="H29368" i="5"/>
  <c r="H29360" i="5"/>
  <c r="H29352" i="5"/>
  <c r="H29344" i="5"/>
  <c r="H29336" i="5"/>
  <c r="H29328" i="5"/>
  <c r="H29320" i="5"/>
  <c r="H29312" i="5"/>
  <c r="H29304" i="5"/>
  <c r="H29296" i="5"/>
  <c r="H29288" i="5"/>
  <c r="H29280" i="5"/>
  <c r="H29272" i="5"/>
  <c r="H29264" i="5"/>
  <c r="H29256" i="5"/>
  <c r="H29248" i="5"/>
  <c r="H29240" i="5"/>
  <c r="H29232" i="5"/>
  <c r="H29224" i="5"/>
  <c r="H29216" i="5"/>
  <c r="H29208" i="5"/>
  <c r="H29200" i="5"/>
  <c r="H29192" i="5"/>
  <c r="H29184" i="5"/>
  <c r="H29176" i="5"/>
  <c r="H29168" i="5"/>
  <c r="H29160" i="5"/>
  <c r="H29152" i="5"/>
  <c r="H29144" i="5"/>
  <c r="H29136" i="5"/>
  <c r="H29128" i="5"/>
  <c r="H29120" i="5"/>
  <c r="H29112" i="5"/>
  <c r="H29104" i="5"/>
  <c r="H29096" i="5"/>
  <c r="H29088" i="5"/>
  <c r="H29080" i="5"/>
  <c r="H29072" i="5"/>
  <c r="H29064" i="5"/>
  <c r="H29056" i="5"/>
  <c r="H29048" i="5"/>
  <c r="H29040" i="5"/>
  <c r="H29032" i="5"/>
  <c r="H29024" i="5"/>
  <c r="H29016" i="5"/>
  <c r="H29008" i="5"/>
  <c r="H29000" i="5"/>
  <c r="H28992" i="5"/>
  <c r="H28984" i="5"/>
  <c r="H28976" i="5"/>
  <c r="H28968" i="5"/>
  <c r="H28960" i="5"/>
  <c r="H28952" i="5"/>
  <c r="H28944" i="5"/>
  <c r="H28936" i="5"/>
  <c r="H28928" i="5"/>
  <c r="H28920" i="5"/>
  <c r="H28912" i="5"/>
  <c r="H28904" i="5"/>
  <c r="H28896" i="5"/>
  <c r="H28888" i="5"/>
  <c r="H28880" i="5"/>
  <c r="H28872" i="5"/>
  <c r="H28864" i="5"/>
  <c r="H28856" i="5"/>
  <c r="H28848" i="5"/>
  <c r="H28840" i="5"/>
  <c r="H28832" i="5"/>
  <c r="H28824" i="5"/>
  <c r="H28816" i="5"/>
  <c r="H28808" i="5"/>
  <c r="H28800" i="5"/>
  <c r="H28792" i="5"/>
  <c r="H28784" i="5"/>
  <c r="H28776" i="5"/>
  <c r="H28768" i="5"/>
  <c r="H28760" i="5"/>
  <c r="H28752" i="5"/>
  <c r="H28744" i="5"/>
  <c r="H28736" i="5"/>
  <c r="H28728" i="5"/>
  <c r="H28720" i="5"/>
  <c r="H28712" i="5"/>
  <c r="H28704" i="5"/>
  <c r="H28696" i="5"/>
  <c r="H28688" i="5"/>
  <c r="H28680" i="5"/>
  <c r="H28672" i="5"/>
  <c r="H28664" i="5"/>
  <c r="H28656" i="5"/>
  <c r="H28648" i="5"/>
  <c r="H28640" i="5"/>
  <c r="H28632" i="5"/>
  <c r="H28624" i="5"/>
  <c r="H28616" i="5"/>
  <c r="H28608" i="5"/>
  <c r="H28600" i="5"/>
  <c r="H28592" i="5"/>
  <c r="H28584" i="5"/>
  <c r="H28576" i="5"/>
  <c r="H28568" i="5"/>
  <c r="H28560" i="5"/>
  <c r="H28552" i="5"/>
  <c r="H28544" i="5"/>
  <c r="H28536" i="5"/>
  <c r="H28528" i="5"/>
  <c r="H28520" i="5"/>
  <c r="H28512" i="5"/>
  <c r="H28504" i="5"/>
  <c r="H28496" i="5"/>
  <c r="H28488" i="5"/>
  <c r="H28480" i="5"/>
  <c r="H28472" i="5"/>
  <c r="H28464" i="5"/>
  <c r="H28456" i="5"/>
  <c r="H28448" i="5"/>
  <c r="H28440" i="5"/>
  <c r="H28432" i="5"/>
  <c r="H28424" i="5"/>
  <c r="H28416" i="5"/>
  <c r="H28408" i="5"/>
  <c r="H28400" i="5"/>
  <c r="H28392" i="5"/>
  <c r="H28384" i="5"/>
  <c r="H28376" i="5"/>
  <c r="H28368" i="5"/>
  <c r="H28360" i="5"/>
  <c r="H28352" i="5"/>
  <c r="H28344" i="5"/>
  <c r="H28336" i="5"/>
  <c r="H28328" i="5"/>
  <c r="H28320" i="5"/>
  <c r="H28312" i="5"/>
  <c r="H28304" i="5"/>
  <c r="H28296" i="5"/>
  <c r="H28288" i="5"/>
  <c r="H28280" i="5"/>
  <c r="H28272" i="5"/>
  <c r="H28264" i="5"/>
  <c r="H28256" i="5"/>
  <c r="H28248" i="5"/>
  <c r="H28240" i="5"/>
  <c r="H28232" i="5"/>
  <c r="H28224" i="5"/>
  <c r="H28216" i="5"/>
  <c r="H28208" i="5"/>
  <c r="H28200" i="5"/>
  <c r="H28192" i="5"/>
  <c r="H28184" i="5"/>
  <c r="H28176" i="5"/>
  <c r="H28168" i="5"/>
  <c r="H28160" i="5"/>
  <c r="H28152" i="5"/>
  <c r="H28144" i="5"/>
  <c r="H28136" i="5"/>
  <c r="H28128" i="5"/>
  <c r="H28120" i="5"/>
  <c r="H28112" i="5"/>
  <c r="H28104" i="5"/>
  <c r="H28096" i="5"/>
  <c r="H28088" i="5"/>
  <c r="H28080" i="5"/>
  <c r="H28072" i="5"/>
  <c r="H28064" i="5"/>
  <c r="H28056" i="5"/>
  <c r="H28048" i="5"/>
  <c r="H28040" i="5"/>
  <c r="H28032" i="5"/>
  <c r="H28024" i="5"/>
  <c r="H28016" i="5"/>
  <c r="H28008" i="5"/>
  <c r="H28000" i="5"/>
  <c r="H27992" i="5"/>
  <c r="H27984" i="5"/>
  <c r="H27976" i="5"/>
  <c r="H27968" i="5"/>
  <c r="H27960" i="5"/>
  <c r="H27952" i="5"/>
  <c r="H27944" i="5"/>
  <c r="H27936" i="5"/>
  <c r="H27928" i="5"/>
  <c r="H27920" i="5"/>
  <c r="H27912" i="5"/>
  <c r="H27904" i="5"/>
  <c r="H27896" i="5"/>
  <c r="H27888" i="5"/>
  <c r="H27880" i="5"/>
  <c r="H27872" i="5"/>
  <c r="H27864" i="5"/>
  <c r="H27856" i="5"/>
  <c r="H27848" i="5"/>
  <c r="H27840" i="5"/>
  <c r="H27832" i="5"/>
  <c r="H27824" i="5"/>
  <c r="H27816" i="5"/>
  <c r="H27808" i="5"/>
  <c r="H27800" i="5"/>
  <c r="H27792" i="5"/>
  <c r="H27784" i="5"/>
  <c r="H27776" i="5"/>
  <c r="H27768" i="5"/>
  <c r="H27760" i="5"/>
  <c r="H27752" i="5"/>
  <c r="H27744" i="5"/>
  <c r="H27736" i="5"/>
  <c r="H27728" i="5"/>
  <c r="H27720" i="5"/>
  <c r="H27712" i="5"/>
  <c r="H27704" i="5"/>
  <c r="H27696" i="5"/>
  <c r="H27688" i="5"/>
  <c r="H27680" i="5"/>
  <c r="H27672" i="5"/>
  <c r="H27664" i="5"/>
  <c r="H27656" i="5"/>
  <c r="H27648" i="5"/>
  <c r="H27640" i="5"/>
  <c r="H27632" i="5"/>
  <c r="H27624" i="5"/>
  <c r="H27616" i="5"/>
  <c r="H27608" i="5"/>
  <c r="H27600" i="5"/>
  <c r="H27592" i="5"/>
  <c r="H27584" i="5"/>
  <c r="H27576" i="5"/>
  <c r="H27568" i="5"/>
  <c r="H27560" i="5"/>
  <c r="H27552" i="5"/>
  <c r="H27544" i="5"/>
  <c r="H27536" i="5"/>
  <c r="H27528" i="5"/>
  <c r="H27520" i="5"/>
  <c r="H27512" i="5"/>
  <c r="H27504" i="5"/>
  <c r="H27496" i="5"/>
  <c r="H27488" i="5"/>
  <c r="H27480" i="5"/>
  <c r="H27472" i="5"/>
  <c r="H27464" i="5"/>
  <c r="H27456" i="5"/>
  <c r="H27448" i="5"/>
  <c r="H27440" i="5"/>
  <c r="H41573" i="5"/>
  <c r="H41452" i="5"/>
  <c r="H41338" i="5"/>
  <c r="H41236" i="5"/>
  <c r="H41151" i="5"/>
  <c r="H41065" i="5"/>
  <c r="H40980" i="5"/>
  <c r="H40895" i="5"/>
  <c r="H40809" i="5"/>
  <c r="H40724" i="5"/>
  <c r="H40639" i="5"/>
  <c r="H40553" i="5"/>
  <c r="H40468" i="5"/>
  <c r="H40383" i="5"/>
  <c r="H40297" i="5"/>
  <c r="H40212" i="5"/>
  <c r="H40127" i="5"/>
  <c r="H40041" i="5"/>
  <c r="H39956" i="5"/>
  <c r="H39871" i="5"/>
  <c r="H39785" i="5"/>
  <c r="H39700" i="5"/>
  <c r="H39615" i="5"/>
  <c r="H39536" i="5"/>
  <c r="H39463" i="5"/>
  <c r="H39390" i="5"/>
  <c r="H39318" i="5"/>
  <c r="H39254" i="5"/>
  <c r="H39190" i="5"/>
  <c r="H39126" i="5"/>
  <c r="H39062" i="5"/>
  <c r="H38998" i="5"/>
  <c r="H38934" i="5"/>
  <c r="H38870" i="5"/>
  <c r="H38806" i="5"/>
  <c r="H38742" i="5"/>
  <c r="H38678" i="5"/>
  <c r="H38614" i="5"/>
  <c r="H38550" i="5"/>
  <c r="H38486" i="5"/>
  <c r="H38422" i="5"/>
  <c r="H38358" i="5"/>
  <c r="H38294" i="5"/>
  <c r="H38230" i="5"/>
  <c r="H38166" i="5"/>
  <c r="H38102" i="5"/>
  <c r="H38038" i="5"/>
  <c r="H37974" i="5"/>
  <c r="H37910" i="5"/>
  <c r="H37846" i="5"/>
  <c r="H37782" i="5"/>
  <c r="H37718" i="5"/>
  <c r="H37654" i="5"/>
  <c r="H37590" i="5"/>
  <c r="H37526" i="5"/>
  <c r="H37462" i="5"/>
  <c r="H37398" i="5"/>
  <c r="H37334" i="5"/>
  <c r="H37270" i="5"/>
  <c r="H37206" i="5"/>
  <c r="H37142" i="5"/>
  <c r="H37078" i="5"/>
  <c r="H37014" i="5"/>
  <c r="H36950" i="5"/>
  <c r="H36886" i="5"/>
  <c r="H36822" i="5"/>
  <c r="H36758" i="5"/>
  <c r="H36694" i="5"/>
  <c r="H36630" i="5"/>
  <c r="H36566" i="5"/>
  <c r="H36502" i="5"/>
  <c r="H36457" i="5"/>
  <c r="H36425" i="5"/>
  <c r="H36393" i="5"/>
  <c r="H36361" i="5"/>
  <c r="H36329" i="5"/>
  <c r="H36297" i="5"/>
  <c r="H36265" i="5"/>
  <c r="H36233" i="5"/>
  <c r="H36201" i="5"/>
  <c r="H36169" i="5"/>
  <c r="H36137" i="5"/>
  <c r="H36105" i="5"/>
  <c r="H36073" i="5"/>
  <c r="H36041" i="5"/>
  <c r="H36009" i="5"/>
  <c r="H35977" i="5"/>
  <c r="H35945" i="5"/>
  <c r="H35913" i="5"/>
  <c r="H35881" i="5"/>
  <c r="H35849" i="5"/>
  <c r="H35817" i="5"/>
  <c r="H35785" i="5"/>
  <c r="H35753" i="5"/>
  <c r="H35721" i="5"/>
  <c r="H35689" i="5"/>
  <c r="H35657" i="5"/>
  <c r="H35625" i="5"/>
  <c r="H35593" i="5"/>
  <c r="H35561" i="5"/>
  <c r="H35529" i="5"/>
  <c r="H35497" i="5"/>
  <c r="H35465" i="5"/>
  <c r="H35433" i="5"/>
  <c r="H35401" i="5"/>
  <c r="H35369" i="5"/>
  <c r="H35337" i="5"/>
  <c r="H35305" i="5"/>
  <c r="H35273" i="5"/>
  <c r="H35241" i="5"/>
  <c r="H35209" i="5"/>
  <c r="H35177" i="5"/>
  <c r="H35145" i="5"/>
  <c r="H35118" i="5"/>
  <c r="H35095" i="5"/>
  <c r="H35073" i="5"/>
  <c r="H35054" i="5"/>
  <c r="H35031" i="5"/>
  <c r="H35009" i="5"/>
  <c r="H34990" i="5"/>
  <c r="H34967" i="5"/>
  <c r="H34946" i="5"/>
  <c r="H34930" i="5"/>
  <c r="H34914" i="5"/>
  <c r="H34898" i="5"/>
  <c r="H34886" i="5"/>
  <c r="H34873" i="5"/>
  <c r="H34860" i="5"/>
  <c r="H34847" i="5"/>
  <c r="H34834" i="5"/>
  <c r="H34822" i="5"/>
  <c r="H34809" i="5"/>
  <c r="H34796" i="5"/>
  <c r="H34783" i="5"/>
  <c r="H34770" i="5"/>
  <c r="H34758" i="5"/>
  <c r="H34745" i="5"/>
  <c r="H34732" i="5"/>
  <c r="H34719" i="5"/>
  <c r="H34706" i="5"/>
  <c r="H34694" i="5"/>
  <c r="H34681" i="5"/>
  <c r="H34668" i="5"/>
  <c r="H34655" i="5"/>
  <c r="H34642" i="5"/>
  <c r="H34630" i="5"/>
  <c r="H34620" i="5"/>
  <c r="H34609" i="5"/>
  <c r="H34598" i="5"/>
  <c r="H34588" i="5"/>
  <c r="H34577" i="5"/>
  <c r="H34567" i="5"/>
  <c r="H34559" i="5"/>
  <c r="H34551" i="5"/>
  <c r="H34543" i="5"/>
  <c r="H34535" i="5"/>
  <c r="H34527" i="5"/>
  <c r="H34519" i="5"/>
  <c r="H34511" i="5"/>
  <c r="H34503" i="5"/>
  <c r="H34495" i="5"/>
  <c r="H34487" i="5"/>
  <c r="H34479" i="5"/>
  <c r="H34471" i="5"/>
  <c r="H34463" i="5"/>
  <c r="H34455" i="5"/>
  <c r="H34447" i="5"/>
  <c r="H34439" i="5"/>
  <c r="H34431" i="5"/>
  <c r="H34423" i="5"/>
  <c r="H34415" i="5"/>
  <c r="H34407" i="5"/>
  <c r="H34399" i="5"/>
  <c r="H34391" i="5"/>
  <c r="H34383" i="5"/>
  <c r="H34375" i="5"/>
  <c r="H34367" i="5"/>
  <c r="H34359" i="5"/>
  <c r="H34351" i="5"/>
  <c r="H34343" i="5"/>
  <c r="H34335" i="5"/>
  <c r="H34327" i="5"/>
  <c r="H34319" i="5"/>
  <c r="H34311" i="5"/>
  <c r="H34303" i="5"/>
  <c r="H34295" i="5"/>
  <c r="H34287" i="5"/>
  <c r="H34279" i="5"/>
  <c r="H34271" i="5"/>
  <c r="H34263" i="5"/>
  <c r="H34255" i="5"/>
  <c r="H34247" i="5"/>
  <c r="H34239" i="5"/>
  <c r="H34231" i="5"/>
  <c r="H34223" i="5"/>
  <c r="H34215" i="5"/>
  <c r="H34207" i="5"/>
  <c r="H34199" i="5"/>
  <c r="H34191" i="5"/>
  <c r="H34183" i="5"/>
  <c r="H34175" i="5"/>
  <c r="H34167" i="5"/>
  <c r="H34159" i="5"/>
  <c r="H34151" i="5"/>
  <c r="H34143" i="5"/>
  <c r="H34135" i="5"/>
  <c r="H34127" i="5"/>
  <c r="H34119" i="5"/>
  <c r="H34111" i="5"/>
  <c r="H34103" i="5"/>
  <c r="H34095" i="5"/>
  <c r="H34087" i="5"/>
  <c r="H34079" i="5"/>
  <c r="H34071" i="5"/>
  <c r="H34063" i="5"/>
  <c r="H34055" i="5"/>
  <c r="H34047" i="5"/>
  <c r="H34039" i="5"/>
  <c r="H34031" i="5"/>
  <c r="H34023" i="5"/>
  <c r="H34015" i="5"/>
  <c r="H34007" i="5"/>
  <c r="H33999" i="5"/>
  <c r="H33991" i="5"/>
  <c r="H33983" i="5"/>
  <c r="H33975" i="5"/>
  <c r="H33967" i="5"/>
  <c r="H33959" i="5"/>
  <c r="H33951" i="5"/>
  <c r="H33943" i="5"/>
  <c r="H33935" i="5"/>
  <c r="H33927" i="5"/>
  <c r="H33919" i="5"/>
  <c r="H33911" i="5"/>
  <c r="H33903" i="5"/>
  <c r="H33895" i="5"/>
  <c r="H33887" i="5"/>
  <c r="H33879" i="5"/>
  <c r="H33871" i="5"/>
  <c r="H33863" i="5"/>
  <c r="H33855" i="5"/>
  <c r="H33847" i="5"/>
  <c r="H33839" i="5"/>
  <c r="H33831" i="5"/>
  <c r="H33823" i="5"/>
  <c r="H33815" i="5"/>
  <c r="H33807" i="5"/>
  <c r="H33799" i="5"/>
  <c r="H33791" i="5"/>
  <c r="H33783" i="5"/>
  <c r="H33775" i="5"/>
  <c r="H33767" i="5"/>
  <c r="H33759" i="5"/>
  <c r="H33751" i="5"/>
  <c r="H33743" i="5"/>
  <c r="H33735" i="5"/>
  <c r="H33727" i="5"/>
  <c r="H33719" i="5"/>
  <c r="H33711" i="5"/>
  <c r="H33703" i="5"/>
  <c r="H33695" i="5"/>
  <c r="H33687" i="5"/>
  <c r="H33679" i="5"/>
  <c r="H33671" i="5"/>
  <c r="H33663" i="5"/>
  <c r="H33655" i="5"/>
  <c r="H33647" i="5"/>
  <c r="H33639" i="5"/>
  <c r="H33631" i="5"/>
  <c r="H33623" i="5"/>
  <c r="H33615" i="5"/>
  <c r="H33607" i="5"/>
  <c r="H33599" i="5"/>
  <c r="H33591" i="5"/>
  <c r="H33583" i="5"/>
  <c r="H33575" i="5"/>
  <c r="H33567" i="5"/>
  <c r="H33559" i="5"/>
  <c r="H33551" i="5"/>
  <c r="H33543" i="5"/>
  <c r="H33535" i="5"/>
  <c r="H33527" i="5"/>
  <c r="H33519" i="5"/>
  <c r="H33511" i="5"/>
  <c r="H33503" i="5"/>
  <c r="H33495" i="5"/>
  <c r="H33487" i="5"/>
  <c r="H33479" i="5"/>
  <c r="H33471" i="5"/>
  <c r="H33463" i="5"/>
  <c r="H33455" i="5"/>
  <c r="H33447" i="5"/>
  <c r="H33439" i="5"/>
  <c r="H33431" i="5"/>
  <c r="H33423" i="5"/>
  <c r="H33415" i="5"/>
  <c r="H33407" i="5"/>
  <c r="H33399" i="5"/>
  <c r="H33391" i="5"/>
  <c r="H33383" i="5"/>
  <c r="H33375" i="5"/>
  <c r="H33367" i="5"/>
  <c r="H33359" i="5"/>
  <c r="H33351" i="5"/>
  <c r="H33343" i="5"/>
  <c r="H33335" i="5"/>
  <c r="H33327" i="5"/>
  <c r="H33319" i="5"/>
  <c r="H33311" i="5"/>
  <c r="H33303" i="5"/>
  <c r="H33295" i="5"/>
  <c r="H33287" i="5"/>
  <c r="H33279" i="5"/>
  <c r="H33271" i="5"/>
  <c r="H33263" i="5"/>
  <c r="H33255" i="5"/>
  <c r="H33247" i="5"/>
  <c r="H33239" i="5"/>
  <c r="H33231" i="5"/>
  <c r="H33223" i="5"/>
  <c r="H33215" i="5"/>
  <c r="H33207" i="5"/>
  <c r="H33199" i="5"/>
  <c r="H33191" i="5"/>
  <c r="H33183" i="5"/>
  <c r="H33175" i="5"/>
  <c r="H33167" i="5"/>
  <c r="H33159" i="5"/>
  <c r="H33151" i="5"/>
  <c r="H33143" i="5"/>
  <c r="H33135" i="5"/>
  <c r="H33127" i="5"/>
  <c r="H33119" i="5"/>
  <c r="H33111" i="5"/>
  <c r="H33103" i="5"/>
  <c r="H33095" i="5"/>
  <c r="H33087" i="5"/>
  <c r="H33079" i="5"/>
  <c r="H33071" i="5"/>
  <c r="H33063" i="5"/>
  <c r="H33055" i="5"/>
  <c r="H33047" i="5"/>
  <c r="H33039" i="5"/>
  <c r="H33031" i="5"/>
  <c r="H33023" i="5"/>
  <c r="H33015" i="5"/>
  <c r="H33007" i="5"/>
  <c r="H32999" i="5"/>
  <c r="H32991" i="5"/>
  <c r="H32983" i="5"/>
  <c r="H32975" i="5"/>
  <c r="H32967" i="5"/>
  <c r="H32959" i="5"/>
  <c r="H32951" i="5"/>
  <c r="H32943" i="5"/>
  <c r="H32935" i="5"/>
  <c r="H32927" i="5"/>
  <c r="H32919" i="5"/>
  <c r="H32911" i="5"/>
  <c r="H32903" i="5"/>
  <c r="H32895" i="5"/>
  <c r="H32887" i="5"/>
  <c r="H32879" i="5"/>
  <c r="H32871" i="5"/>
  <c r="H32863" i="5"/>
  <c r="H32855" i="5"/>
  <c r="H32847" i="5"/>
  <c r="H32839" i="5"/>
  <c r="H32831" i="5"/>
  <c r="H32823" i="5"/>
  <c r="H32815" i="5"/>
  <c r="H32807" i="5"/>
  <c r="H32799" i="5"/>
  <c r="H32791" i="5"/>
  <c r="H32783" i="5"/>
  <c r="H32775" i="5"/>
  <c r="H32767" i="5"/>
  <c r="H32759" i="5"/>
  <c r="H32751" i="5"/>
  <c r="H32743" i="5"/>
  <c r="H32735" i="5"/>
  <c r="H32727" i="5"/>
  <c r="H32719" i="5"/>
  <c r="H32711" i="5"/>
  <c r="H32703" i="5"/>
  <c r="H32695" i="5"/>
  <c r="H32687" i="5"/>
  <c r="H32679" i="5"/>
  <c r="H32671" i="5"/>
  <c r="H32663" i="5"/>
  <c r="H32655" i="5"/>
  <c r="H32647" i="5"/>
  <c r="H32639" i="5"/>
  <c r="H32631" i="5"/>
  <c r="H32623" i="5"/>
  <c r="H32615" i="5"/>
  <c r="H32607" i="5"/>
  <c r="H32599" i="5"/>
  <c r="H32591" i="5"/>
  <c r="H32583" i="5"/>
  <c r="H32575" i="5"/>
  <c r="H32567" i="5"/>
  <c r="H32559" i="5"/>
  <c r="H32551" i="5"/>
  <c r="H32543" i="5"/>
  <c r="H32535" i="5"/>
  <c r="H32527" i="5"/>
  <c r="H32519" i="5"/>
  <c r="H32511" i="5"/>
  <c r="H32503" i="5"/>
  <c r="H32495" i="5"/>
  <c r="H32487" i="5"/>
  <c r="H32479" i="5"/>
  <c r="H32471" i="5"/>
  <c r="H32463" i="5"/>
  <c r="H32455" i="5"/>
  <c r="H32447" i="5"/>
  <c r="H32439" i="5"/>
  <c r="H32431" i="5"/>
  <c r="H32423" i="5"/>
  <c r="H32415" i="5"/>
  <c r="H32407" i="5"/>
  <c r="H32399" i="5"/>
  <c r="H32391" i="5"/>
  <c r="H32383" i="5"/>
  <c r="H32375" i="5"/>
  <c r="H32367" i="5"/>
  <c r="H32359" i="5"/>
  <c r="H32351" i="5"/>
  <c r="H32343" i="5"/>
  <c r="H32335" i="5"/>
  <c r="H32327" i="5"/>
  <c r="H32319" i="5"/>
  <c r="H32311" i="5"/>
  <c r="H32303" i="5"/>
  <c r="H32295" i="5"/>
  <c r="H32287" i="5"/>
  <c r="H32279" i="5"/>
  <c r="H32271" i="5"/>
  <c r="H32263" i="5"/>
  <c r="H32255" i="5"/>
  <c r="H32247" i="5"/>
  <c r="H32239" i="5"/>
  <c r="H32231" i="5"/>
  <c r="H32223" i="5"/>
  <c r="H32215" i="5"/>
  <c r="H32207" i="5"/>
  <c r="H32199" i="5"/>
  <c r="H32191" i="5"/>
  <c r="H32183" i="5"/>
  <c r="H32175" i="5"/>
  <c r="H32167" i="5"/>
  <c r="H32159" i="5"/>
  <c r="H32151" i="5"/>
  <c r="H32143" i="5"/>
  <c r="H32135" i="5"/>
  <c r="H32127" i="5"/>
  <c r="H32119" i="5"/>
  <c r="H32111" i="5"/>
  <c r="H32103" i="5"/>
  <c r="H32095" i="5"/>
  <c r="H32087" i="5"/>
  <c r="H32079" i="5"/>
  <c r="H32071" i="5"/>
  <c r="H32063" i="5"/>
  <c r="H32055" i="5"/>
  <c r="H32047" i="5"/>
  <c r="H32039" i="5"/>
  <c r="H32031" i="5"/>
  <c r="H32023" i="5"/>
  <c r="H32015" i="5"/>
  <c r="H32007" i="5"/>
  <c r="H31999" i="5"/>
  <c r="H31991" i="5"/>
  <c r="H31983" i="5"/>
  <c r="H31975" i="5"/>
  <c r="H31967" i="5"/>
  <c r="H31959" i="5"/>
  <c r="H31951" i="5"/>
  <c r="H31943" i="5"/>
  <c r="H31935" i="5"/>
  <c r="H31927" i="5"/>
  <c r="H31919" i="5"/>
  <c r="H31911" i="5"/>
  <c r="H31903" i="5"/>
  <c r="H31895" i="5"/>
  <c r="H31887" i="5"/>
  <c r="H31879" i="5"/>
  <c r="H31871" i="5"/>
  <c r="H31863" i="5"/>
  <c r="H31855" i="5"/>
  <c r="H31847" i="5"/>
  <c r="H31839" i="5"/>
  <c r="H31831" i="5"/>
  <c r="H31823" i="5"/>
  <c r="H31815" i="5"/>
  <c r="H31807" i="5"/>
  <c r="H31799" i="5"/>
  <c r="H31791" i="5"/>
  <c r="H31783" i="5"/>
  <c r="H31775" i="5"/>
  <c r="H31767" i="5"/>
  <c r="H31759" i="5"/>
  <c r="H31751" i="5"/>
  <c r="H31743" i="5"/>
  <c r="H31735" i="5"/>
  <c r="H31727" i="5"/>
  <c r="H31719" i="5"/>
  <c r="H31711" i="5"/>
  <c r="H31703" i="5"/>
  <c r="H31695" i="5"/>
  <c r="H31687" i="5"/>
  <c r="H31679" i="5"/>
  <c r="H31671" i="5"/>
  <c r="H31663" i="5"/>
  <c r="H31655" i="5"/>
  <c r="H31647" i="5"/>
  <c r="H31639" i="5"/>
  <c r="H31631" i="5"/>
  <c r="H31623" i="5"/>
  <c r="H31615" i="5"/>
  <c r="H31607" i="5"/>
  <c r="H31599" i="5"/>
  <c r="H31591" i="5"/>
  <c r="H31583" i="5"/>
  <c r="H31575" i="5"/>
  <c r="H31567" i="5"/>
  <c r="H31559" i="5"/>
  <c r="H31551" i="5"/>
  <c r="H31543" i="5"/>
  <c r="H31535" i="5"/>
  <c r="H31527" i="5"/>
  <c r="H31519" i="5"/>
  <c r="H31511" i="5"/>
  <c r="H31503" i="5"/>
  <c r="H31495" i="5"/>
  <c r="H31487" i="5"/>
  <c r="H31479" i="5"/>
  <c r="H31471" i="5"/>
  <c r="H31463" i="5"/>
  <c r="H31455" i="5"/>
  <c r="H31447" i="5"/>
  <c r="H31439" i="5"/>
  <c r="H31431" i="5"/>
  <c r="H31423" i="5"/>
  <c r="H31415" i="5"/>
  <c r="H31407" i="5"/>
  <c r="H31399" i="5"/>
  <c r="H31391" i="5"/>
  <c r="H31383" i="5"/>
  <c r="H31375" i="5"/>
  <c r="H31367" i="5"/>
  <c r="H31359" i="5"/>
  <c r="H31351" i="5"/>
  <c r="H31343" i="5"/>
  <c r="H31335" i="5"/>
  <c r="H31327" i="5"/>
  <c r="H31319" i="5"/>
  <c r="H31311" i="5"/>
  <c r="H31303" i="5"/>
  <c r="H31295" i="5"/>
  <c r="H31287" i="5"/>
  <c r="H31279" i="5"/>
  <c r="H31271" i="5"/>
  <c r="H31263" i="5"/>
  <c r="H31255" i="5"/>
  <c r="H31247" i="5"/>
  <c r="H31239" i="5"/>
  <c r="H31231" i="5"/>
  <c r="H31223" i="5"/>
  <c r="H31215" i="5"/>
  <c r="H31207" i="5"/>
  <c r="H31199" i="5"/>
  <c r="H31191" i="5"/>
  <c r="H31183" i="5"/>
  <c r="H31175" i="5"/>
  <c r="H31167" i="5"/>
  <c r="H31159" i="5"/>
  <c r="H31151" i="5"/>
  <c r="H31143" i="5"/>
  <c r="H31135" i="5"/>
  <c r="H31127" i="5"/>
  <c r="H31119" i="5"/>
  <c r="H31111" i="5"/>
  <c r="H31103" i="5"/>
  <c r="H31095" i="5"/>
  <c r="H31087" i="5"/>
  <c r="H31079" i="5"/>
  <c r="H31071" i="5"/>
  <c r="H31063" i="5"/>
  <c r="H31055" i="5"/>
  <c r="H31047" i="5"/>
  <c r="H31039" i="5"/>
  <c r="H31031" i="5"/>
  <c r="H31023" i="5"/>
  <c r="H31015" i="5"/>
  <c r="H31007" i="5"/>
  <c r="H30999" i="5"/>
  <c r="H30991" i="5"/>
  <c r="H30983" i="5"/>
  <c r="H30975" i="5"/>
  <c r="H30967" i="5"/>
  <c r="H30959" i="5"/>
  <c r="H30951" i="5"/>
  <c r="H30943" i="5"/>
  <c r="H30935" i="5"/>
  <c r="H30927" i="5"/>
  <c r="H30919" i="5"/>
  <c r="H30911" i="5"/>
  <c r="H30903" i="5"/>
  <c r="H30895" i="5"/>
  <c r="H30887" i="5"/>
  <c r="H30879" i="5"/>
  <c r="H30871" i="5"/>
  <c r="H30863" i="5"/>
  <c r="H30855" i="5"/>
  <c r="H30847" i="5"/>
  <c r="H30839" i="5"/>
  <c r="H30831" i="5"/>
  <c r="H30823" i="5"/>
  <c r="H30815" i="5"/>
  <c r="H30807" i="5"/>
  <c r="H30799" i="5"/>
  <c r="H30791" i="5"/>
  <c r="H30783" i="5"/>
  <c r="H30775" i="5"/>
  <c r="H30767" i="5"/>
  <c r="H30759" i="5"/>
  <c r="H30751" i="5"/>
  <c r="H30743" i="5"/>
  <c r="H30735" i="5"/>
  <c r="H30727" i="5"/>
  <c r="H30719" i="5"/>
  <c r="H30711" i="5"/>
  <c r="H30703" i="5"/>
  <c r="H30695" i="5"/>
  <c r="H30687" i="5"/>
  <c r="H30679" i="5"/>
  <c r="H30671" i="5"/>
  <c r="H30663" i="5"/>
  <c r="H30655" i="5"/>
  <c r="H30647" i="5"/>
  <c r="H30639" i="5"/>
  <c r="H30631" i="5"/>
  <c r="H30623" i="5"/>
  <c r="H30615" i="5"/>
  <c r="H30607" i="5"/>
  <c r="H30599" i="5"/>
  <c r="H30591" i="5"/>
  <c r="H30583" i="5"/>
  <c r="H30575" i="5"/>
  <c r="H30567" i="5"/>
  <c r="H30559" i="5"/>
  <c r="H30551" i="5"/>
  <c r="H30543" i="5"/>
  <c r="H30535" i="5"/>
  <c r="H30527" i="5"/>
  <c r="H30519" i="5"/>
  <c r="H30511" i="5"/>
  <c r="H30503" i="5"/>
  <c r="H30495" i="5"/>
  <c r="H30487" i="5"/>
  <c r="H30479" i="5"/>
  <c r="H30471" i="5"/>
  <c r="H30463" i="5"/>
  <c r="H30455" i="5"/>
  <c r="H30447" i="5"/>
  <c r="H30439" i="5"/>
  <c r="H30431" i="5"/>
  <c r="H30423" i="5"/>
  <c r="H30415" i="5"/>
  <c r="H30407" i="5"/>
  <c r="H30399" i="5"/>
  <c r="H30391" i="5"/>
  <c r="H30383" i="5"/>
  <c r="H30375" i="5"/>
  <c r="H30367" i="5"/>
  <c r="H30359" i="5"/>
  <c r="H30351" i="5"/>
  <c r="H30343" i="5"/>
  <c r="H30335" i="5"/>
  <c r="H30327" i="5"/>
  <c r="H30319" i="5"/>
  <c r="H30311" i="5"/>
  <c r="H30303" i="5"/>
  <c r="H30295" i="5"/>
  <c r="H30287" i="5"/>
  <c r="H30279" i="5"/>
  <c r="H30271" i="5"/>
  <c r="H30263" i="5"/>
  <c r="H30255" i="5"/>
  <c r="H30247" i="5"/>
  <c r="H30239" i="5"/>
  <c r="H30231" i="5"/>
  <c r="H30223" i="5"/>
  <c r="H30215" i="5"/>
  <c r="H30207" i="5"/>
  <c r="H30199" i="5"/>
  <c r="H30191" i="5"/>
  <c r="H30183" i="5"/>
  <c r="H30175" i="5"/>
  <c r="H30167" i="5"/>
  <c r="H30159" i="5"/>
  <c r="H30151" i="5"/>
  <c r="H30143" i="5"/>
  <c r="H30135" i="5"/>
  <c r="H30127" i="5"/>
  <c r="H30119" i="5"/>
  <c r="H30111" i="5"/>
  <c r="H30103" i="5"/>
  <c r="H30095" i="5"/>
  <c r="H30087" i="5"/>
  <c r="H30079" i="5"/>
  <c r="H30071" i="5"/>
  <c r="H30063" i="5"/>
  <c r="H30055" i="5"/>
  <c r="H30047" i="5"/>
  <c r="H30039" i="5"/>
  <c r="H30031" i="5"/>
  <c r="H30023" i="5"/>
  <c r="H30015" i="5"/>
  <c r="H30007" i="5"/>
  <c r="H29999" i="5"/>
  <c r="H29991" i="5"/>
  <c r="H29983" i="5"/>
  <c r="H29975" i="5"/>
  <c r="H29967" i="5"/>
  <c r="H29959" i="5"/>
  <c r="H29951" i="5"/>
  <c r="H29943" i="5"/>
  <c r="H29935" i="5"/>
  <c r="H29927" i="5"/>
  <c r="H29919" i="5"/>
  <c r="H29911" i="5"/>
  <c r="H29903" i="5"/>
  <c r="H29895" i="5"/>
  <c r="H29887" i="5"/>
  <c r="H29879" i="5"/>
  <c r="H29871" i="5"/>
  <c r="H29863" i="5"/>
  <c r="H29855" i="5"/>
  <c r="H29847" i="5"/>
  <c r="H29839" i="5"/>
  <c r="H29831" i="5"/>
  <c r="H29823" i="5"/>
  <c r="H29815" i="5"/>
  <c r="H29807" i="5"/>
  <c r="H29799" i="5"/>
  <c r="H29791" i="5"/>
  <c r="H29783" i="5"/>
  <c r="H29775" i="5"/>
  <c r="H29767" i="5"/>
  <c r="H29759" i="5"/>
  <c r="H29751" i="5"/>
  <c r="H29743" i="5"/>
  <c r="H29735" i="5"/>
  <c r="H29727" i="5"/>
  <c r="H29719" i="5"/>
  <c r="H29711" i="5"/>
  <c r="H29703" i="5"/>
  <c r="H29695" i="5"/>
  <c r="H29687" i="5"/>
  <c r="H29679" i="5"/>
  <c r="H29671" i="5"/>
  <c r="H29663" i="5"/>
  <c r="H29655" i="5"/>
  <c r="H29647" i="5"/>
  <c r="H29639" i="5"/>
  <c r="H29631" i="5"/>
  <c r="H29623" i="5"/>
  <c r="H29615" i="5"/>
  <c r="H29607" i="5"/>
  <c r="H29599" i="5"/>
  <c r="H29591" i="5"/>
  <c r="H29583" i="5"/>
  <c r="H29575" i="5"/>
  <c r="H29567" i="5"/>
  <c r="H29559" i="5"/>
  <c r="H29551" i="5"/>
  <c r="H29543" i="5"/>
  <c r="H29535" i="5"/>
  <c r="H29527" i="5"/>
  <c r="H29519" i="5"/>
  <c r="H29511" i="5"/>
  <c r="H29503" i="5"/>
  <c r="H29495" i="5"/>
  <c r="H29487" i="5"/>
  <c r="H29479" i="5"/>
  <c r="H29471" i="5"/>
  <c r="H29463" i="5"/>
  <c r="H29455" i="5"/>
  <c r="H29447" i="5"/>
  <c r="H29439" i="5"/>
  <c r="H29431" i="5"/>
  <c r="H29423" i="5"/>
  <c r="H29415" i="5"/>
  <c r="H29407" i="5"/>
  <c r="H29399" i="5"/>
  <c r="H29391" i="5"/>
  <c r="H29383" i="5"/>
  <c r="H29375" i="5"/>
  <c r="H29367" i="5"/>
  <c r="H29359" i="5"/>
  <c r="H29351" i="5"/>
  <c r="H29343" i="5"/>
  <c r="H29335" i="5"/>
  <c r="H29327" i="5"/>
  <c r="H29319" i="5"/>
  <c r="H29311" i="5"/>
  <c r="H29303" i="5"/>
  <c r="H29295" i="5"/>
  <c r="H29287" i="5"/>
  <c r="H29279" i="5"/>
  <c r="H29271" i="5"/>
  <c r="H29263" i="5"/>
  <c r="H29255" i="5"/>
  <c r="H29247" i="5"/>
  <c r="H29239" i="5"/>
  <c r="H29231" i="5"/>
  <c r="H29223" i="5"/>
  <c r="H29215" i="5"/>
  <c r="H29207" i="5"/>
  <c r="H29199" i="5"/>
  <c r="H29191" i="5"/>
  <c r="H29183" i="5"/>
  <c r="H29175" i="5"/>
  <c r="H29167" i="5"/>
  <c r="H29159" i="5"/>
  <c r="H29151" i="5"/>
  <c r="H29143" i="5"/>
  <c r="H29135" i="5"/>
  <c r="H29127" i="5"/>
  <c r="H29119" i="5"/>
  <c r="H29111" i="5"/>
  <c r="H29103" i="5"/>
  <c r="H29095" i="5"/>
  <c r="H29087" i="5"/>
  <c r="H29079" i="5"/>
  <c r="H29071" i="5"/>
  <c r="H29063" i="5"/>
  <c r="H29055" i="5"/>
  <c r="H29047" i="5"/>
  <c r="H29039" i="5"/>
  <c r="H29031" i="5"/>
  <c r="H29023" i="5"/>
  <c r="H29015" i="5"/>
  <c r="H29007" i="5"/>
  <c r="H28999" i="5"/>
  <c r="H28991" i="5"/>
  <c r="H28983" i="5"/>
  <c r="H28975" i="5"/>
  <c r="H28967" i="5"/>
  <c r="H28959" i="5"/>
  <c r="H28951" i="5"/>
  <c r="H28943" i="5"/>
  <c r="H28935" i="5"/>
  <c r="H28927" i="5"/>
  <c r="H28919" i="5"/>
  <c r="H28911" i="5"/>
  <c r="H28903" i="5"/>
  <c r="H28895" i="5"/>
  <c r="H28887" i="5"/>
  <c r="H28879" i="5"/>
  <c r="H28871" i="5"/>
  <c r="H28863" i="5"/>
  <c r="H28855" i="5"/>
  <c r="H28847" i="5"/>
  <c r="H28839" i="5"/>
  <c r="H28831" i="5"/>
  <c r="H28823" i="5"/>
  <c r="H28815" i="5"/>
  <c r="H28807" i="5"/>
  <c r="H28799" i="5"/>
  <c r="H28791" i="5"/>
  <c r="H28783" i="5"/>
  <c r="H28775" i="5"/>
  <c r="H28767" i="5"/>
  <c r="H28759" i="5"/>
  <c r="H28751" i="5"/>
  <c r="H28743" i="5"/>
  <c r="H28735" i="5"/>
  <c r="H28727" i="5"/>
  <c r="H28719" i="5"/>
  <c r="H28711" i="5"/>
  <c r="H28703" i="5"/>
  <c r="H28695" i="5"/>
  <c r="H28687" i="5"/>
  <c r="H28679" i="5"/>
  <c r="H28671" i="5"/>
  <c r="H28663" i="5"/>
  <c r="H28655" i="5"/>
  <c r="H28647" i="5"/>
  <c r="H28639" i="5"/>
  <c r="H28631" i="5"/>
  <c r="H28623" i="5"/>
  <c r="H28615" i="5"/>
  <c r="H28607" i="5"/>
  <c r="H28599" i="5"/>
  <c r="H28591" i="5"/>
  <c r="H28583" i="5"/>
  <c r="H28575" i="5"/>
  <c r="H28567" i="5"/>
  <c r="H28559" i="5"/>
  <c r="H28551" i="5"/>
  <c r="H28543" i="5"/>
  <c r="H28535" i="5"/>
  <c r="H28527" i="5"/>
  <c r="H28519" i="5"/>
  <c r="H28511" i="5"/>
  <c r="H28503" i="5"/>
  <c r="H28495" i="5"/>
  <c r="H28487" i="5"/>
  <c r="H28479" i="5"/>
  <c r="H28471" i="5"/>
  <c r="H28463" i="5"/>
  <c r="H28455" i="5"/>
  <c r="H28447" i="5"/>
  <c r="H28439" i="5"/>
  <c r="H28431" i="5"/>
  <c r="H28423" i="5"/>
  <c r="H28415" i="5"/>
  <c r="H28407" i="5"/>
  <c r="H28399" i="5"/>
  <c r="H28391" i="5"/>
  <c r="H28383" i="5"/>
  <c r="H28375" i="5"/>
  <c r="H28367" i="5"/>
  <c r="H28359" i="5"/>
  <c r="H28351" i="5"/>
  <c r="H28343" i="5"/>
  <c r="H28335" i="5"/>
  <c r="H28327" i="5"/>
  <c r="H28319" i="5"/>
  <c r="H28311" i="5"/>
  <c r="H28303" i="5"/>
  <c r="H28295" i="5"/>
  <c r="H28287" i="5"/>
  <c r="H28279" i="5"/>
  <c r="H28271" i="5"/>
  <c r="H28263" i="5"/>
  <c r="H28255" i="5"/>
  <c r="H28247" i="5"/>
  <c r="H28239" i="5"/>
  <c r="H28231" i="5"/>
  <c r="H28223" i="5"/>
  <c r="H28215" i="5"/>
  <c r="H28207" i="5"/>
  <c r="H28199" i="5"/>
  <c r="H28191" i="5"/>
  <c r="H28183" i="5"/>
  <c r="H28175" i="5"/>
  <c r="H28167" i="5"/>
  <c r="H28159" i="5"/>
  <c r="H28151" i="5"/>
  <c r="H28143" i="5"/>
  <c r="H28135" i="5"/>
  <c r="H28127" i="5"/>
  <c r="H28119" i="5"/>
  <c r="H28111" i="5"/>
  <c r="H28103" i="5"/>
  <c r="H28095" i="5"/>
  <c r="H28087" i="5"/>
  <c r="H28079" i="5"/>
  <c r="H28071" i="5"/>
  <c r="H28063" i="5"/>
  <c r="H28055" i="5"/>
  <c r="H28047" i="5"/>
  <c r="H28039" i="5"/>
  <c r="H28031" i="5"/>
  <c r="H28023" i="5"/>
  <c r="H28015" i="5"/>
  <c r="H28007" i="5"/>
  <c r="H27999" i="5"/>
  <c r="H27991" i="5"/>
  <c r="H27983" i="5"/>
  <c r="H27975" i="5"/>
  <c r="H27967" i="5"/>
  <c r="H27959" i="5"/>
  <c r="H27951" i="5"/>
  <c r="H27943" i="5"/>
  <c r="H27935" i="5"/>
  <c r="H27927" i="5"/>
  <c r="H27919" i="5"/>
  <c r="H27911" i="5"/>
  <c r="H27903" i="5"/>
  <c r="H27895" i="5"/>
  <c r="H27887" i="5"/>
  <c r="H27879" i="5"/>
  <c r="H27871" i="5"/>
  <c r="H27863" i="5"/>
  <c r="H27855" i="5"/>
  <c r="H27847" i="5"/>
  <c r="H27839" i="5"/>
  <c r="H27831" i="5"/>
  <c r="H27823" i="5"/>
  <c r="H27815" i="5"/>
  <c r="H27807" i="5"/>
  <c r="H27799" i="5"/>
  <c r="H27791" i="5"/>
  <c r="H27783" i="5"/>
  <c r="H27775" i="5"/>
  <c r="H27767" i="5"/>
  <c r="H27759" i="5"/>
  <c r="H27751" i="5"/>
  <c r="H27743" i="5"/>
  <c r="H27735" i="5"/>
  <c r="H27727" i="5"/>
  <c r="H27719" i="5"/>
  <c r="H27711" i="5"/>
  <c r="H27703" i="5"/>
  <c r="H27695" i="5"/>
  <c r="H27687" i="5"/>
  <c r="H27679" i="5"/>
  <c r="H27671" i="5"/>
  <c r="H27663" i="5"/>
  <c r="H27655" i="5"/>
  <c r="H27647" i="5"/>
  <c r="H27639" i="5"/>
  <c r="H27631" i="5"/>
  <c r="H27623" i="5"/>
  <c r="H27615" i="5"/>
  <c r="H27607" i="5"/>
  <c r="H27599" i="5"/>
  <c r="H27591" i="5"/>
  <c r="H27583" i="5"/>
  <c r="H27575" i="5"/>
  <c r="H27567" i="5"/>
  <c r="H27559" i="5"/>
  <c r="H27551" i="5"/>
  <c r="H27543" i="5"/>
  <c r="H27535" i="5"/>
  <c r="H27527" i="5"/>
  <c r="H27519" i="5"/>
  <c r="H27511" i="5"/>
  <c r="H27503" i="5"/>
  <c r="H27495" i="5"/>
  <c r="H27487" i="5"/>
  <c r="H27479" i="5"/>
  <c r="H27471" i="5"/>
  <c r="H27463" i="5"/>
  <c r="H27455" i="5"/>
  <c r="H27447" i="5"/>
  <c r="H27439" i="5"/>
  <c r="H27431" i="5"/>
  <c r="H27423" i="5"/>
  <c r="H27415" i="5"/>
  <c r="H27407" i="5"/>
  <c r="H27399" i="5"/>
  <c r="H27391" i="5"/>
  <c r="H27383" i="5"/>
  <c r="H27375" i="5"/>
  <c r="H27367" i="5"/>
  <c r="H27359" i="5"/>
  <c r="H27351" i="5"/>
  <c r="H27343" i="5"/>
  <c r="H27335" i="5"/>
  <c r="H27327" i="5"/>
  <c r="H27319" i="5"/>
  <c r="H27311" i="5"/>
  <c r="H27303" i="5"/>
  <c r="H27295" i="5"/>
  <c r="H27287" i="5"/>
  <c r="H27279" i="5"/>
  <c r="H27271" i="5"/>
  <c r="H27263" i="5"/>
  <c r="H27255" i="5"/>
  <c r="H27247" i="5"/>
  <c r="H27239" i="5"/>
  <c r="H27231" i="5"/>
  <c r="H27223" i="5"/>
  <c r="H27215" i="5"/>
  <c r="H27207" i="5"/>
  <c r="H27199" i="5"/>
  <c r="H27191" i="5"/>
  <c r="H27183" i="5"/>
  <c r="H27175" i="5"/>
  <c r="H27167" i="5"/>
  <c r="H27159" i="5"/>
  <c r="H27151" i="5"/>
  <c r="H27143" i="5"/>
  <c r="H27135" i="5"/>
  <c r="H27127" i="5"/>
  <c r="H27119" i="5"/>
  <c r="H27111" i="5"/>
  <c r="H27103" i="5"/>
  <c r="H27095" i="5"/>
  <c r="H27087" i="5"/>
  <c r="H27079" i="5"/>
  <c r="H27071" i="5"/>
  <c r="H27063" i="5"/>
  <c r="H27055" i="5"/>
  <c r="H27047" i="5"/>
  <c r="H27039" i="5"/>
  <c r="H27031" i="5"/>
  <c r="H27023" i="5"/>
  <c r="H27015" i="5"/>
  <c r="H27007" i="5"/>
  <c r="H26999" i="5"/>
  <c r="H26991" i="5"/>
  <c r="H26983" i="5"/>
  <c r="H26975" i="5"/>
  <c r="H26967" i="5"/>
  <c r="H26959" i="5"/>
  <c r="H26951" i="5"/>
  <c r="H26943" i="5"/>
  <c r="H26935" i="5"/>
  <c r="H26927" i="5"/>
  <c r="H26919" i="5"/>
  <c r="H26911" i="5"/>
  <c r="H26903" i="5"/>
  <c r="H26895" i="5"/>
  <c r="H26887" i="5"/>
  <c r="H26879" i="5"/>
  <c r="H26871" i="5"/>
  <c r="H26863" i="5"/>
  <c r="H26855" i="5"/>
  <c r="H26847" i="5"/>
  <c r="H26839" i="5"/>
  <c r="H26831" i="5"/>
  <c r="H26823" i="5"/>
  <c r="H26815" i="5"/>
  <c r="H26807" i="5"/>
  <c r="H26799" i="5"/>
  <c r="H26791" i="5"/>
  <c r="H26783" i="5"/>
  <c r="H26775" i="5"/>
  <c r="H26767" i="5"/>
  <c r="H26759" i="5"/>
  <c r="H26751" i="5"/>
  <c r="H26743" i="5"/>
  <c r="H26735" i="5"/>
  <c r="H26727" i="5"/>
  <c r="H26719" i="5"/>
  <c r="H26711" i="5"/>
  <c r="H26703" i="5"/>
  <c r="H26695" i="5"/>
  <c r="H26687" i="5"/>
  <c r="H26679" i="5"/>
  <c r="H26671" i="5"/>
  <c r="H26663" i="5"/>
  <c r="H26655" i="5"/>
  <c r="H26647" i="5"/>
  <c r="H26639" i="5"/>
  <c r="H26631" i="5"/>
  <c r="H26623" i="5"/>
  <c r="H26615" i="5"/>
  <c r="H26607" i="5"/>
  <c r="H26599" i="5"/>
  <c r="H26591" i="5"/>
  <c r="H26583" i="5"/>
  <c r="H26575" i="5"/>
  <c r="H26567" i="5"/>
  <c r="H26559" i="5"/>
  <c r="H26551" i="5"/>
  <c r="H26543" i="5"/>
  <c r="H26535" i="5"/>
  <c r="H26527" i="5"/>
  <c r="H26519" i="5"/>
  <c r="H26511" i="5"/>
  <c r="H26503" i="5"/>
  <c r="H26495" i="5"/>
  <c r="H26487" i="5"/>
  <c r="H26479" i="5"/>
  <c r="H26471" i="5"/>
  <c r="H26463" i="5"/>
  <c r="H26455" i="5"/>
  <c r="H26447" i="5"/>
  <c r="H26439" i="5"/>
  <c r="H26431" i="5"/>
  <c r="H26423" i="5"/>
  <c r="H26415" i="5"/>
  <c r="H26407" i="5"/>
  <c r="H26399" i="5"/>
  <c r="H26391" i="5"/>
  <c r="H26383" i="5"/>
  <c r="H26375" i="5"/>
  <c r="H26367" i="5"/>
  <c r="H26359" i="5"/>
  <c r="H26351" i="5"/>
  <c r="H26343" i="5"/>
  <c r="H26335" i="5"/>
  <c r="H26327" i="5"/>
  <c r="H26319" i="5"/>
  <c r="H26311" i="5"/>
  <c r="H26303" i="5"/>
  <c r="H26295" i="5"/>
  <c r="H26287" i="5"/>
  <c r="H26279" i="5"/>
  <c r="H26271" i="5"/>
  <c r="H26263" i="5"/>
  <c r="H26255" i="5"/>
  <c r="H26247" i="5"/>
  <c r="H26239" i="5"/>
  <c r="H26231" i="5"/>
  <c r="H26223" i="5"/>
  <c r="H26215" i="5"/>
  <c r="H26207" i="5"/>
  <c r="H26199" i="5"/>
  <c r="H26191" i="5"/>
  <c r="H26183" i="5"/>
  <c r="H26175" i="5"/>
  <c r="H26167" i="5"/>
  <c r="H26159" i="5"/>
  <c r="H26151" i="5"/>
  <c r="H26143" i="5"/>
  <c r="H26135" i="5"/>
  <c r="H26127" i="5"/>
  <c r="H26119" i="5"/>
  <c r="H26111" i="5"/>
  <c r="H26103" i="5"/>
  <c r="H26095" i="5"/>
  <c r="H26087" i="5"/>
  <c r="H26079" i="5"/>
  <c r="H26071" i="5"/>
  <c r="H26063" i="5"/>
  <c r="H26055" i="5"/>
  <c r="H26047" i="5"/>
  <c r="H26039" i="5"/>
  <c r="H26031" i="5"/>
  <c r="H26023" i="5"/>
  <c r="H26015" i="5"/>
  <c r="H26007" i="5"/>
  <c r="H25999" i="5"/>
  <c r="H25991" i="5"/>
  <c r="H25983" i="5"/>
  <c r="H25975" i="5"/>
  <c r="H25967" i="5"/>
  <c r="H25959" i="5"/>
  <c r="H25951" i="5"/>
  <c r="H25943" i="5"/>
  <c r="H25935" i="5"/>
  <c r="H25927" i="5"/>
  <c r="H25919" i="5"/>
  <c r="H25911" i="5"/>
  <c r="H25903" i="5"/>
  <c r="H25895" i="5"/>
  <c r="H25887" i="5"/>
  <c r="H25879" i="5"/>
  <c r="H25871" i="5"/>
  <c r="H25863" i="5"/>
  <c r="H25855" i="5"/>
  <c r="H25847" i="5"/>
  <c r="H25839" i="5"/>
  <c r="H25831" i="5"/>
  <c r="H25823" i="5"/>
  <c r="H25815" i="5"/>
  <c r="H25807" i="5"/>
  <c r="H25799" i="5"/>
  <c r="H25791" i="5"/>
  <c r="H25783" i="5"/>
  <c r="H25775" i="5"/>
  <c r="H25767" i="5"/>
  <c r="H25759" i="5"/>
  <c r="H25751" i="5"/>
  <c r="H25743" i="5"/>
  <c r="H25735" i="5"/>
  <c r="H25727" i="5"/>
  <c r="H25719" i="5"/>
  <c r="H25711" i="5"/>
  <c r="H25703" i="5"/>
  <c r="H25695" i="5"/>
  <c r="H25687" i="5"/>
  <c r="H25679" i="5"/>
  <c r="H25671" i="5"/>
  <c r="H25663" i="5"/>
  <c r="H25655" i="5"/>
  <c r="H25647" i="5"/>
  <c r="H25639" i="5"/>
  <c r="H25631" i="5"/>
  <c r="H25623" i="5"/>
  <c r="H25615" i="5"/>
  <c r="H25607" i="5"/>
  <c r="H25599" i="5"/>
  <c r="H25591" i="5"/>
  <c r="H25583" i="5"/>
  <c r="H25575" i="5"/>
  <c r="H25567" i="5"/>
  <c r="H25559" i="5"/>
  <c r="H25551" i="5"/>
  <c r="H25543" i="5"/>
  <c r="H25535" i="5"/>
  <c r="H25527" i="5"/>
  <c r="H25519" i="5"/>
  <c r="H25511" i="5"/>
  <c r="H25503" i="5"/>
  <c r="H25495" i="5"/>
  <c r="H25487" i="5"/>
  <c r="H25479" i="5"/>
  <c r="H25471" i="5"/>
  <c r="H25463" i="5"/>
  <c r="H25455" i="5"/>
  <c r="H25447" i="5"/>
  <c r="H25439" i="5"/>
  <c r="H25431" i="5"/>
  <c r="H25423" i="5"/>
  <c r="H25415" i="5"/>
  <c r="H25407" i="5"/>
  <c r="H25399" i="5"/>
  <c r="H25391" i="5"/>
  <c r="H25383" i="5"/>
  <c r="H25375" i="5"/>
  <c r="H25367" i="5"/>
  <c r="H25359" i="5"/>
  <c r="H25351" i="5"/>
  <c r="H25343" i="5"/>
  <c r="H25335" i="5"/>
  <c r="H25327" i="5"/>
  <c r="H25319" i="5"/>
  <c r="H25311" i="5"/>
  <c r="H25303" i="5"/>
  <c r="H25295" i="5"/>
  <c r="H25287" i="5"/>
  <c r="H25279" i="5"/>
  <c r="H25271" i="5"/>
  <c r="H25263" i="5"/>
  <c r="H25255" i="5"/>
  <c r="H25247" i="5"/>
  <c r="H25239" i="5"/>
  <c r="H25231" i="5"/>
  <c r="H25223" i="5"/>
  <c r="H25215" i="5"/>
  <c r="H25207" i="5"/>
  <c r="H25199" i="5"/>
  <c r="H25191" i="5"/>
  <c r="H25183" i="5"/>
  <c r="H25175" i="5"/>
  <c r="H25167" i="5"/>
  <c r="H25159" i="5"/>
  <c r="H25151" i="5"/>
  <c r="H25143" i="5"/>
  <c r="H25135" i="5"/>
  <c r="H25127" i="5"/>
  <c r="H25119" i="5"/>
  <c r="H25111" i="5"/>
  <c r="H25103" i="5"/>
  <c r="H25095" i="5"/>
  <c r="H25087" i="5"/>
  <c r="H25079" i="5"/>
  <c r="H25071" i="5"/>
  <c r="H25063" i="5"/>
  <c r="H25055" i="5"/>
  <c r="H25047" i="5"/>
  <c r="H25039" i="5"/>
  <c r="H25031" i="5"/>
  <c r="H25023" i="5"/>
  <c r="H25015" i="5"/>
  <c r="H25007" i="5"/>
  <c r="H24999" i="5"/>
  <c r="H24991" i="5"/>
  <c r="H24983" i="5"/>
  <c r="H24975" i="5"/>
  <c r="H41557" i="5"/>
  <c r="H41439" i="5"/>
  <c r="H41324" i="5"/>
  <c r="H41225" i="5"/>
  <c r="H41140" i="5"/>
  <c r="H41055" i="5"/>
  <c r="H40969" i="5"/>
  <c r="H40884" i="5"/>
  <c r="H40799" i="5"/>
  <c r="H40713" i="5"/>
  <c r="H40628" i="5"/>
  <c r="H40543" i="5"/>
  <c r="H40457" i="5"/>
  <c r="H40372" i="5"/>
  <c r="H40287" i="5"/>
  <c r="H40201" i="5"/>
  <c r="H40116" i="5"/>
  <c r="H40031" i="5"/>
  <c r="H39945" i="5"/>
  <c r="H39860" i="5"/>
  <c r="H39775" i="5"/>
  <c r="H39689" i="5"/>
  <c r="H39604" i="5"/>
  <c r="H39527" i="5"/>
  <c r="H39454" i="5"/>
  <c r="H39381" i="5"/>
  <c r="H39310" i="5"/>
  <c r="H39246" i="5"/>
  <c r="H39182" i="5"/>
  <c r="H39118" i="5"/>
  <c r="H39054" i="5"/>
  <c r="H38990" i="5"/>
  <c r="H38926" i="5"/>
  <c r="H38862" i="5"/>
  <c r="H38798" i="5"/>
  <c r="H38734" i="5"/>
  <c r="H38670" i="5"/>
  <c r="H38606" i="5"/>
  <c r="H38542" i="5"/>
  <c r="H38478" i="5"/>
  <c r="H38414" i="5"/>
  <c r="H38350" i="5"/>
  <c r="H38286" i="5"/>
  <c r="H38222" i="5"/>
  <c r="H38158" i="5"/>
  <c r="H38094" i="5"/>
  <c r="H38030" i="5"/>
  <c r="H37966" i="5"/>
  <c r="H37902" i="5"/>
  <c r="H37838" i="5"/>
  <c r="H37774" i="5"/>
  <c r="H37710" i="5"/>
  <c r="H37646" i="5"/>
  <c r="H37582" i="5"/>
  <c r="H37518" i="5"/>
  <c r="H37454" i="5"/>
  <c r="H37390" i="5"/>
  <c r="H37326" i="5"/>
  <c r="H37262" i="5"/>
  <c r="H37198" i="5"/>
  <c r="H37134" i="5"/>
  <c r="H37070" i="5"/>
  <c r="H37006" i="5"/>
  <c r="H36942" i="5"/>
  <c r="H36878" i="5"/>
  <c r="H36814" i="5"/>
  <c r="H36750" i="5"/>
  <c r="H36686" i="5"/>
  <c r="H36622" i="5"/>
  <c r="H36558" i="5"/>
  <c r="H36494" i="5"/>
  <c r="H36454" i="5"/>
  <c r="H36422" i="5"/>
  <c r="H36390" i="5"/>
  <c r="H36358" i="5"/>
  <c r="H36326" i="5"/>
  <c r="H36294" i="5"/>
  <c r="H36262" i="5"/>
  <c r="H36230" i="5"/>
  <c r="H36198" i="5"/>
  <c r="H36166" i="5"/>
  <c r="H36134" i="5"/>
  <c r="H36102" i="5"/>
  <c r="H36070" i="5"/>
  <c r="H36038" i="5"/>
  <c r="H36006" i="5"/>
  <c r="H35974" i="5"/>
  <c r="H35942" i="5"/>
  <c r="H35910" i="5"/>
  <c r="H35878" i="5"/>
  <c r="H35846" i="5"/>
  <c r="H35814" i="5"/>
  <c r="H35782" i="5"/>
  <c r="H35750" i="5"/>
  <c r="H35718" i="5"/>
  <c r="H35686" i="5"/>
  <c r="H35654" i="5"/>
  <c r="H35622" i="5"/>
  <c r="H35590" i="5"/>
  <c r="H35558" i="5"/>
  <c r="H35526" i="5"/>
  <c r="H35494" i="5"/>
  <c r="H35462" i="5"/>
  <c r="H35430" i="5"/>
  <c r="H35398" i="5"/>
  <c r="H35366" i="5"/>
  <c r="H35334" i="5"/>
  <c r="H35302" i="5"/>
  <c r="H35270" i="5"/>
  <c r="H35238" i="5"/>
  <c r="H35206" i="5"/>
  <c r="H35174" i="5"/>
  <c r="H35142" i="5"/>
  <c r="H35113" i="5"/>
  <c r="H35094" i="5"/>
  <c r="H35071" i="5"/>
  <c r="H35049" i="5"/>
  <c r="H35030" i="5"/>
  <c r="H35007" i="5"/>
  <c r="H34985" i="5"/>
  <c r="H34966" i="5"/>
  <c r="H34945" i="5"/>
  <c r="H34929" i="5"/>
  <c r="H34913" i="5"/>
  <c r="H34897" i="5"/>
  <c r="H34884" i="5"/>
  <c r="H34871" i="5"/>
  <c r="H34858" i="5"/>
  <c r="H34846" i="5"/>
  <c r="H34833" i="5"/>
  <c r="H34820" i="5"/>
  <c r="H34807" i="5"/>
  <c r="H34794" i="5"/>
  <c r="H34782" i="5"/>
  <c r="H34769" i="5"/>
  <c r="H34756" i="5"/>
  <c r="H34743" i="5"/>
  <c r="H34730" i="5"/>
  <c r="H34718" i="5"/>
  <c r="H34705" i="5"/>
  <c r="H34692" i="5"/>
  <c r="H34679" i="5"/>
  <c r="H34666" i="5"/>
  <c r="H34654" i="5"/>
  <c r="H34641" i="5"/>
  <c r="H34629" i="5"/>
  <c r="H34618" i="5"/>
  <c r="H34607" i="5"/>
  <c r="H34597" i="5"/>
  <c r="H34586" i="5"/>
  <c r="H34575" i="5"/>
  <c r="H34566" i="5"/>
  <c r="H34558" i="5"/>
  <c r="H34550" i="5"/>
  <c r="H34542" i="5"/>
  <c r="H34534" i="5"/>
  <c r="H34526" i="5"/>
  <c r="H34518" i="5"/>
  <c r="H34510" i="5"/>
  <c r="H34502" i="5"/>
  <c r="H34494" i="5"/>
  <c r="H34486" i="5"/>
  <c r="H34478" i="5"/>
  <c r="H34470" i="5"/>
  <c r="H34462" i="5"/>
  <c r="H34454" i="5"/>
  <c r="H34446" i="5"/>
  <c r="H34438" i="5"/>
  <c r="H34430" i="5"/>
  <c r="H34422" i="5"/>
  <c r="H34414" i="5"/>
  <c r="H34406" i="5"/>
  <c r="H34398" i="5"/>
  <c r="H34390" i="5"/>
  <c r="H34382" i="5"/>
  <c r="H34374" i="5"/>
  <c r="H34366" i="5"/>
  <c r="H34358" i="5"/>
  <c r="H34350" i="5"/>
  <c r="H34342" i="5"/>
  <c r="H34334" i="5"/>
  <c r="H34326" i="5"/>
  <c r="H34318" i="5"/>
  <c r="H34310" i="5"/>
  <c r="H34302" i="5"/>
  <c r="H34294" i="5"/>
  <c r="H34286" i="5"/>
  <c r="H34278" i="5"/>
  <c r="H34270" i="5"/>
  <c r="H34262" i="5"/>
  <c r="H34254" i="5"/>
  <c r="H34246" i="5"/>
  <c r="H34238" i="5"/>
  <c r="H34230" i="5"/>
  <c r="H34222" i="5"/>
  <c r="H34214" i="5"/>
  <c r="H34206" i="5"/>
  <c r="H34198" i="5"/>
  <c r="H34190" i="5"/>
  <c r="H34182" i="5"/>
  <c r="H34174" i="5"/>
  <c r="H34166" i="5"/>
  <c r="H34158" i="5"/>
  <c r="H34150" i="5"/>
  <c r="H34142" i="5"/>
  <c r="H34134" i="5"/>
  <c r="H34126" i="5"/>
  <c r="H34118" i="5"/>
  <c r="H34110" i="5"/>
  <c r="H34102" i="5"/>
  <c r="H34094" i="5"/>
  <c r="H34086" i="5"/>
  <c r="H34078" i="5"/>
  <c r="H34070" i="5"/>
  <c r="H34062" i="5"/>
  <c r="H34054" i="5"/>
  <c r="H34046" i="5"/>
  <c r="H34038" i="5"/>
  <c r="H34030" i="5"/>
  <c r="H34022" i="5"/>
  <c r="H34014" i="5"/>
  <c r="H34006" i="5"/>
  <c r="H33998" i="5"/>
  <c r="H33990" i="5"/>
  <c r="H33982" i="5"/>
  <c r="H33974" i="5"/>
  <c r="H33966" i="5"/>
  <c r="H33958" i="5"/>
  <c r="H33950" i="5"/>
  <c r="H33942" i="5"/>
  <c r="H33934" i="5"/>
  <c r="H33926" i="5"/>
  <c r="H33918" i="5"/>
  <c r="H33910" i="5"/>
  <c r="H33902" i="5"/>
  <c r="H33894" i="5"/>
  <c r="H33886" i="5"/>
  <c r="H33878" i="5"/>
  <c r="H33870" i="5"/>
  <c r="H33862" i="5"/>
  <c r="H33854" i="5"/>
  <c r="H33846" i="5"/>
  <c r="H33838" i="5"/>
  <c r="H33830" i="5"/>
  <c r="H33822" i="5"/>
  <c r="H33814" i="5"/>
  <c r="H33806" i="5"/>
  <c r="H33798" i="5"/>
  <c r="H33790" i="5"/>
  <c r="H33782" i="5"/>
  <c r="H33774" i="5"/>
  <c r="H33766" i="5"/>
  <c r="H33758" i="5"/>
  <c r="H33750" i="5"/>
  <c r="H33742" i="5"/>
  <c r="H33734" i="5"/>
  <c r="H33726" i="5"/>
  <c r="H33718" i="5"/>
  <c r="H33710" i="5"/>
  <c r="H33702" i="5"/>
  <c r="H33694" i="5"/>
  <c r="H33686" i="5"/>
  <c r="H33678" i="5"/>
  <c r="H33670" i="5"/>
  <c r="H33662" i="5"/>
  <c r="H33654" i="5"/>
  <c r="H33646" i="5"/>
  <c r="H33638" i="5"/>
  <c r="H33630" i="5"/>
  <c r="H33622" i="5"/>
  <c r="H33614" i="5"/>
  <c r="H33606" i="5"/>
  <c r="H33598" i="5"/>
  <c r="H33590" i="5"/>
  <c r="H33582" i="5"/>
  <c r="H33574" i="5"/>
  <c r="H33566" i="5"/>
  <c r="H33558" i="5"/>
  <c r="H33550" i="5"/>
  <c r="H33542" i="5"/>
  <c r="H33534" i="5"/>
  <c r="H33526" i="5"/>
  <c r="H33518" i="5"/>
  <c r="H33510" i="5"/>
  <c r="H33502" i="5"/>
  <c r="H33494" i="5"/>
  <c r="H33486" i="5"/>
  <c r="H33478" i="5"/>
  <c r="H33470" i="5"/>
  <c r="H33462" i="5"/>
  <c r="H33454" i="5"/>
  <c r="H33446" i="5"/>
  <c r="H33438" i="5"/>
  <c r="H33430" i="5"/>
  <c r="H33422" i="5"/>
  <c r="H33414" i="5"/>
  <c r="H33406" i="5"/>
  <c r="H33398" i="5"/>
  <c r="H33390" i="5"/>
  <c r="H33382" i="5"/>
  <c r="H33374" i="5"/>
  <c r="H33366" i="5"/>
  <c r="H33358" i="5"/>
  <c r="H33350" i="5"/>
  <c r="H33342" i="5"/>
  <c r="H33334" i="5"/>
  <c r="H33326" i="5"/>
  <c r="H33318" i="5"/>
  <c r="H33310" i="5"/>
  <c r="H33302" i="5"/>
  <c r="H33294" i="5"/>
  <c r="H33286" i="5"/>
  <c r="H33278" i="5"/>
  <c r="H33270" i="5"/>
  <c r="H33262" i="5"/>
  <c r="H33254" i="5"/>
  <c r="H33246" i="5"/>
  <c r="H33238" i="5"/>
  <c r="H33230" i="5"/>
  <c r="H33222" i="5"/>
  <c r="H33214" i="5"/>
  <c r="H33206" i="5"/>
  <c r="H33198" i="5"/>
  <c r="H33190" i="5"/>
  <c r="H33182" i="5"/>
  <c r="H33174" i="5"/>
  <c r="H33166" i="5"/>
  <c r="H33158" i="5"/>
  <c r="H33150" i="5"/>
  <c r="H33142" i="5"/>
  <c r="H33134" i="5"/>
  <c r="H33126" i="5"/>
  <c r="H33118" i="5"/>
  <c r="H33110" i="5"/>
  <c r="H33102" i="5"/>
  <c r="H33094" i="5"/>
  <c r="H33086" i="5"/>
  <c r="H33078" i="5"/>
  <c r="H33070" i="5"/>
  <c r="H33062" i="5"/>
  <c r="H33054" i="5"/>
  <c r="H33046" i="5"/>
  <c r="H33038" i="5"/>
  <c r="H33030" i="5"/>
  <c r="H33022" i="5"/>
  <c r="H33014" i="5"/>
  <c r="H33006" i="5"/>
  <c r="H32998" i="5"/>
  <c r="H32990" i="5"/>
  <c r="H32982" i="5"/>
  <c r="H32974" i="5"/>
  <c r="H32966" i="5"/>
  <c r="H32958" i="5"/>
  <c r="H32950" i="5"/>
  <c r="H32942" i="5"/>
  <c r="H32934" i="5"/>
  <c r="H32926" i="5"/>
  <c r="H32918" i="5"/>
  <c r="H32910" i="5"/>
  <c r="H32902" i="5"/>
  <c r="H32894" i="5"/>
  <c r="H32886" i="5"/>
  <c r="H32878" i="5"/>
  <c r="H32870" i="5"/>
  <c r="H32862" i="5"/>
  <c r="H32854" i="5"/>
  <c r="H32846" i="5"/>
  <c r="H32838" i="5"/>
  <c r="H32830" i="5"/>
  <c r="H32822" i="5"/>
  <c r="H32814" i="5"/>
  <c r="H32806" i="5"/>
  <c r="H32798" i="5"/>
  <c r="H32790" i="5"/>
  <c r="H32782" i="5"/>
  <c r="H32774" i="5"/>
  <c r="H32766" i="5"/>
  <c r="H32758" i="5"/>
  <c r="H32750" i="5"/>
  <c r="H32742" i="5"/>
  <c r="H32734" i="5"/>
  <c r="H32726" i="5"/>
  <c r="H32718" i="5"/>
  <c r="H32710" i="5"/>
  <c r="H32702" i="5"/>
  <c r="H32694" i="5"/>
  <c r="H32686" i="5"/>
  <c r="H32678" i="5"/>
  <c r="H32670" i="5"/>
  <c r="H32662" i="5"/>
  <c r="H32654" i="5"/>
  <c r="H32646" i="5"/>
  <c r="H32638" i="5"/>
  <c r="H32630" i="5"/>
  <c r="H32622" i="5"/>
  <c r="H32614" i="5"/>
  <c r="H32606" i="5"/>
  <c r="H32598" i="5"/>
  <c r="H32590" i="5"/>
  <c r="H32582" i="5"/>
  <c r="H32574" i="5"/>
  <c r="H32566" i="5"/>
  <c r="H32558" i="5"/>
  <c r="H32550" i="5"/>
  <c r="H32542" i="5"/>
  <c r="H32534" i="5"/>
  <c r="H32526" i="5"/>
  <c r="H32518" i="5"/>
  <c r="H32510" i="5"/>
  <c r="H32502" i="5"/>
  <c r="H32494" i="5"/>
  <c r="H32486" i="5"/>
  <c r="H32478" i="5"/>
  <c r="H32470" i="5"/>
  <c r="H32462" i="5"/>
  <c r="H32454" i="5"/>
  <c r="H32446" i="5"/>
  <c r="H32438" i="5"/>
  <c r="H32430" i="5"/>
  <c r="H32422" i="5"/>
  <c r="H32414" i="5"/>
  <c r="H32406" i="5"/>
  <c r="H32398" i="5"/>
  <c r="H32390" i="5"/>
  <c r="H32382" i="5"/>
  <c r="H32374" i="5"/>
  <c r="H32366" i="5"/>
  <c r="H32358" i="5"/>
  <c r="H32350" i="5"/>
  <c r="H32342" i="5"/>
  <c r="H32334" i="5"/>
  <c r="H32326" i="5"/>
  <c r="H32318" i="5"/>
  <c r="H32310" i="5"/>
  <c r="H32302" i="5"/>
  <c r="H32294" i="5"/>
  <c r="H32286" i="5"/>
  <c r="H32278" i="5"/>
  <c r="H32270" i="5"/>
  <c r="H32262" i="5"/>
  <c r="H32254" i="5"/>
  <c r="H32246" i="5"/>
  <c r="H32238" i="5"/>
  <c r="H32230" i="5"/>
  <c r="H32222" i="5"/>
  <c r="H32214" i="5"/>
  <c r="H32206" i="5"/>
  <c r="H32198" i="5"/>
  <c r="H32190" i="5"/>
  <c r="H32182" i="5"/>
  <c r="H32174" i="5"/>
  <c r="H32166" i="5"/>
  <c r="H32158" i="5"/>
  <c r="H32150" i="5"/>
  <c r="H32142" i="5"/>
  <c r="H32134" i="5"/>
  <c r="H32126" i="5"/>
  <c r="H32118" i="5"/>
  <c r="H32110" i="5"/>
  <c r="H32102" i="5"/>
  <c r="H32094" i="5"/>
  <c r="H32086" i="5"/>
  <c r="H32078" i="5"/>
  <c r="H32070" i="5"/>
  <c r="H32062" i="5"/>
  <c r="H32054" i="5"/>
  <c r="H32046" i="5"/>
  <c r="H32038" i="5"/>
  <c r="H32030" i="5"/>
  <c r="H32022" i="5"/>
  <c r="H32014" i="5"/>
  <c r="H32006" i="5"/>
  <c r="H31998" i="5"/>
  <c r="H31990" i="5"/>
  <c r="H31982" i="5"/>
  <c r="H31974" i="5"/>
  <c r="H31966" i="5"/>
  <c r="H31958" i="5"/>
  <c r="H31950" i="5"/>
  <c r="H31942" i="5"/>
  <c r="H31934" i="5"/>
  <c r="H31926" i="5"/>
  <c r="H31918" i="5"/>
  <c r="H31910" i="5"/>
  <c r="H31902" i="5"/>
  <c r="H31894" i="5"/>
  <c r="H31886" i="5"/>
  <c r="H31878" i="5"/>
  <c r="H31870" i="5"/>
  <c r="H31862" i="5"/>
  <c r="H31854" i="5"/>
  <c r="H31846" i="5"/>
  <c r="H31838" i="5"/>
  <c r="H31830" i="5"/>
  <c r="H31822" i="5"/>
  <c r="H31814" i="5"/>
  <c r="H31806" i="5"/>
  <c r="H31798" i="5"/>
  <c r="H31790" i="5"/>
  <c r="H31782" i="5"/>
  <c r="H31774" i="5"/>
  <c r="H31766" i="5"/>
  <c r="H31758" i="5"/>
  <c r="H31750" i="5"/>
  <c r="H31742" i="5"/>
  <c r="H31734" i="5"/>
  <c r="H31726" i="5"/>
  <c r="H31718" i="5"/>
  <c r="H31710" i="5"/>
  <c r="H31702" i="5"/>
  <c r="H31694" i="5"/>
  <c r="H31686" i="5"/>
  <c r="H31678" i="5"/>
  <c r="H31670" i="5"/>
  <c r="H31662" i="5"/>
  <c r="H31654" i="5"/>
  <c r="H31646" i="5"/>
  <c r="H31638" i="5"/>
  <c r="H31630" i="5"/>
  <c r="H31622" i="5"/>
  <c r="H31614" i="5"/>
  <c r="H31606" i="5"/>
  <c r="H31598" i="5"/>
  <c r="H31590" i="5"/>
  <c r="H31582" i="5"/>
  <c r="H31574" i="5"/>
  <c r="H31566" i="5"/>
  <c r="H31558" i="5"/>
  <c r="H31550" i="5"/>
  <c r="H31542" i="5"/>
  <c r="H31534" i="5"/>
  <c r="H31526" i="5"/>
  <c r="H31518" i="5"/>
  <c r="H31510" i="5"/>
  <c r="H31502" i="5"/>
  <c r="H31494" i="5"/>
  <c r="H31486" i="5"/>
  <c r="H31478" i="5"/>
  <c r="H31470" i="5"/>
  <c r="H31462" i="5"/>
  <c r="H31454" i="5"/>
  <c r="H31446" i="5"/>
  <c r="H31438" i="5"/>
  <c r="H31430" i="5"/>
  <c r="H31422" i="5"/>
  <c r="H31414" i="5"/>
  <c r="H31406" i="5"/>
  <c r="H31398" i="5"/>
  <c r="H31390" i="5"/>
  <c r="H31382" i="5"/>
  <c r="H31374" i="5"/>
  <c r="H31366" i="5"/>
  <c r="H31358" i="5"/>
  <c r="H31350" i="5"/>
  <c r="H31342" i="5"/>
  <c r="H31334" i="5"/>
  <c r="H31326" i="5"/>
  <c r="H31318" i="5"/>
  <c r="H31310" i="5"/>
  <c r="H31302" i="5"/>
  <c r="H31294" i="5"/>
  <c r="H31286" i="5"/>
  <c r="H31278" i="5"/>
  <c r="H31270" i="5"/>
  <c r="H31262" i="5"/>
  <c r="H31254" i="5"/>
  <c r="H31246" i="5"/>
  <c r="H31238" i="5"/>
  <c r="H31230" i="5"/>
  <c r="H31222" i="5"/>
  <c r="H31214" i="5"/>
  <c r="H31206" i="5"/>
  <c r="H31198" i="5"/>
  <c r="H31190" i="5"/>
  <c r="H31182" i="5"/>
  <c r="H31174" i="5"/>
  <c r="H31166" i="5"/>
  <c r="H31158" i="5"/>
  <c r="H31150" i="5"/>
  <c r="H31142" i="5"/>
  <c r="H31134" i="5"/>
  <c r="H31126" i="5"/>
  <c r="H31118" i="5"/>
  <c r="H31110" i="5"/>
  <c r="H31102" i="5"/>
  <c r="H31094" i="5"/>
  <c r="H31086" i="5"/>
  <c r="H31078" i="5"/>
  <c r="H31070" i="5"/>
  <c r="H31062" i="5"/>
  <c r="H31054" i="5"/>
  <c r="H31046" i="5"/>
  <c r="H31038" i="5"/>
  <c r="H31030" i="5"/>
  <c r="H31022" i="5"/>
  <c r="H31014" i="5"/>
  <c r="H31006" i="5"/>
  <c r="H30998" i="5"/>
  <c r="H30990" i="5"/>
  <c r="H30982" i="5"/>
  <c r="H30974" i="5"/>
  <c r="H30966" i="5"/>
  <c r="H30958" i="5"/>
  <c r="H30950" i="5"/>
  <c r="H30942" i="5"/>
  <c r="H30934" i="5"/>
  <c r="H30926" i="5"/>
  <c r="H30918" i="5"/>
  <c r="H30910" i="5"/>
  <c r="H30902" i="5"/>
  <c r="H30894" i="5"/>
  <c r="H30886" i="5"/>
  <c r="H30878" i="5"/>
  <c r="H30870" i="5"/>
  <c r="H30862" i="5"/>
  <c r="H30854" i="5"/>
  <c r="H30846" i="5"/>
  <c r="H30838" i="5"/>
  <c r="H30830" i="5"/>
  <c r="H30822" i="5"/>
  <c r="H30814" i="5"/>
  <c r="H30806" i="5"/>
  <c r="H30798" i="5"/>
  <c r="H30790" i="5"/>
  <c r="H30782" i="5"/>
  <c r="H30774" i="5"/>
  <c r="H30766" i="5"/>
  <c r="H30758" i="5"/>
  <c r="H30750" i="5"/>
  <c r="H30742" i="5"/>
  <c r="H30734" i="5"/>
  <c r="H30726" i="5"/>
  <c r="H30718" i="5"/>
  <c r="H30710" i="5"/>
  <c r="H30702" i="5"/>
  <c r="H30694" i="5"/>
  <c r="H30686" i="5"/>
  <c r="H30678" i="5"/>
  <c r="H30670" i="5"/>
  <c r="H30662" i="5"/>
  <c r="H30654" i="5"/>
  <c r="H30646" i="5"/>
  <c r="H30638" i="5"/>
  <c r="H30630" i="5"/>
  <c r="H30622" i="5"/>
  <c r="H30614" i="5"/>
  <c r="H30606" i="5"/>
  <c r="H30598" i="5"/>
  <c r="H30590" i="5"/>
  <c r="H30582" i="5"/>
  <c r="H30574" i="5"/>
  <c r="H30566" i="5"/>
  <c r="H30558" i="5"/>
  <c r="H30550" i="5"/>
  <c r="H30542" i="5"/>
  <c r="H30534" i="5"/>
  <c r="H30526" i="5"/>
  <c r="H30518" i="5"/>
  <c r="H30510" i="5"/>
  <c r="H30502" i="5"/>
  <c r="H30494" i="5"/>
  <c r="H30486" i="5"/>
  <c r="H30478" i="5"/>
  <c r="H30470" i="5"/>
  <c r="H30462" i="5"/>
  <c r="H30454" i="5"/>
  <c r="H30446" i="5"/>
  <c r="H30438" i="5"/>
  <c r="H30430" i="5"/>
  <c r="H30422" i="5"/>
  <c r="H30414" i="5"/>
  <c r="H30406" i="5"/>
  <c r="H30398" i="5"/>
  <c r="H30390" i="5"/>
  <c r="H30382" i="5"/>
  <c r="H30374" i="5"/>
  <c r="H30366" i="5"/>
  <c r="H30358" i="5"/>
  <c r="H30350" i="5"/>
  <c r="H30342" i="5"/>
  <c r="H30334" i="5"/>
  <c r="H30326" i="5"/>
  <c r="H30318" i="5"/>
  <c r="H30310" i="5"/>
  <c r="H30302" i="5"/>
  <c r="H30294" i="5"/>
  <c r="H30286" i="5"/>
  <c r="H30278" i="5"/>
  <c r="H30270" i="5"/>
  <c r="H30262" i="5"/>
  <c r="H30254" i="5"/>
  <c r="H30246" i="5"/>
  <c r="H30238" i="5"/>
  <c r="H30230" i="5"/>
  <c r="H30222" i="5"/>
  <c r="H30214" i="5"/>
  <c r="H30206" i="5"/>
  <c r="H30198" i="5"/>
  <c r="H30190" i="5"/>
  <c r="H30182" i="5"/>
  <c r="H30174" i="5"/>
  <c r="H30166" i="5"/>
  <c r="H30158" i="5"/>
  <c r="H30150" i="5"/>
  <c r="H30142" i="5"/>
  <c r="H30134" i="5"/>
  <c r="H30126" i="5"/>
  <c r="H30118" i="5"/>
  <c r="H30110" i="5"/>
  <c r="H30102" i="5"/>
  <c r="H30094" i="5"/>
  <c r="H30086" i="5"/>
  <c r="H30078" i="5"/>
  <c r="H30070" i="5"/>
  <c r="H30062" i="5"/>
  <c r="H30054" i="5"/>
  <c r="H30046" i="5"/>
  <c r="H30038" i="5"/>
  <c r="H30030" i="5"/>
  <c r="H30022" i="5"/>
  <c r="H30014" i="5"/>
  <c r="H30006" i="5"/>
  <c r="H29998" i="5"/>
  <c r="H29990" i="5"/>
  <c r="H29982" i="5"/>
  <c r="H29974" i="5"/>
  <c r="H29966" i="5"/>
  <c r="H29958" i="5"/>
  <c r="H29950" i="5"/>
  <c r="H29942" i="5"/>
  <c r="H29934" i="5"/>
  <c r="H29926" i="5"/>
  <c r="H29918" i="5"/>
  <c r="H29910" i="5"/>
  <c r="H29902" i="5"/>
  <c r="H29894" i="5"/>
  <c r="H29886" i="5"/>
  <c r="H29878" i="5"/>
  <c r="H29870" i="5"/>
  <c r="H29862" i="5"/>
  <c r="H29854" i="5"/>
  <c r="H29846" i="5"/>
  <c r="H29838" i="5"/>
  <c r="H29830" i="5"/>
  <c r="H29822" i="5"/>
  <c r="H29814" i="5"/>
  <c r="H29806" i="5"/>
  <c r="H29798" i="5"/>
  <c r="H29790" i="5"/>
  <c r="H29782" i="5"/>
  <c r="H29774" i="5"/>
  <c r="H29766" i="5"/>
  <c r="H29758" i="5"/>
  <c r="H29750" i="5"/>
  <c r="H29742" i="5"/>
  <c r="H29734" i="5"/>
  <c r="H29726" i="5"/>
  <c r="H29718" i="5"/>
  <c r="H29710" i="5"/>
  <c r="H29702" i="5"/>
  <c r="H29694" i="5"/>
  <c r="H29686" i="5"/>
  <c r="H29678" i="5"/>
  <c r="H29670" i="5"/>
  <c r="H29662" i="5"/>
  <c r="H29654" i="5"/>
  <c r="H29646" i="5"/>
  <c r="H29638" i="5"/>
  <c r="H29630" i="5"/>
  <c r="H29622" i="5"/>
  <c r="H29614" i="5"/>
  <c r="H29606" i="5"/>
  <c r="H29598" i="5"/>
  <c r="H29590" i="5"/>
  <c r="H29582" i="5"/>
  <c r="H29574" i="5"/>
  <c r="H29566" i="5"/>
  <c r="H29558" i="5"/>
  <c r="H29550" i="5"/>
  <c r="H29542" i="5"/>
  <c r="H29534" i="5"/>
  <c r="H29526" i="5"/>
  <c r="H29518" i="5"/>
  <c r="H29510" i="5"/>
  <c r="H29502" i="5"/>
  <c r="H29494" i="5"/>
  <c r="H29486" i="5"/>
  <c r="H29478" i="5"/>
  <c r="H29470" i="5"/>
  <c r="H29462" i="5"/>
  <c r="H29454" i="5"/>
  <c r="H29446" i="5"/>
  <c r="H29438" i="5"/>
  <c r="H29430" i="5"/>
  <c r="H29422" i="5"/>
  <c r="H29414" i="5"/>
  <c r="H29406" i="5"/>
  <c r="H29398" i="5"/>
  <c r="H29390" i="5"/>
  <c r="H29382" i="5"/>
  <c r="H29374" i="5"/>
  <c r="H29366" i="5"/>
  <c r="H29358" i="5"/>
  <c r="H29350" i="5"/>
  <c r="H29342" i="5"/>
  <c r="H29334" i="5"/>
  <c r="H29326" i="5"/>
  <c r="H29318" i="5"/>
  <c r="H29310" i="5"/>
  <c r="H41215" i="5"/>
  <c r="H40532" i="5"/>
  <c r="H39849" i="5"/>
  <c r="H39238" i="5"/>
  <c r="H38726" i="5"/>
  <c r="H38214" i="5"/>
  <c r="H37702" i="5"/>
  <c r="H37190" i="5"/>
  <c r="H36678" i="5"/>
  <c r="H36321" i="5"/>
  <c r="H36065" i="5"/>
  <c r="H35809" i="5"/>
  <c r="H35553" i="5"/>
  <c r="H35297" i="5"/>
  <c r="H35070" i="5"/>
  <c r="H34911" i="5"/>
  <c r="H34806" i="5"/>
  <c r="H34703" i="5"/>
  <c r="H34606" i="5"/>
  <c r="H34533" i="5"/>
  <c r="H34469" i="5"/>
  <c r="H34405" i="5"/>
  <c r="H34341" i="5"/>
  <c r="H34277" i="5"/>
  <c r="H34213" i="5"/>
  <c r="H34149" i="5"/>
  <c r="H34085" i="5"/>
  <c r="H34021" i="5"/>
  <c r="H33957" i="5"/>
  <c r="H33893" i="5"/>
  <c r="H33829" i="5"/>
  <c r="H33765" i="5"/>
  <c r="H33701" i="5"/>
  <c r="H33637" i="5"/>
  <c r="H33573" i="5"/>
  <c r="H33509" i="5"/>
  <c r="H33445" i="5"/>
  <c r="H33381" i="5"/>
  <c r="H33317" i="5"/>
  <c r="H33253" i="5"/>
  <c r="H33189" i="5"/>
  <c r="H33125" i="5"/>
  <c r="H33061" i="5"/>
  <c r="H32997" i="5"/>
  <c r="H32933" i="5"/>
  <c r="H32869" i="5"/>
  <c r="H32805" i="5"/>
  <c r="H32741" i="5"/>
  <c r="H32677" i="5"/>
  <c r="H32613" i="5"/>
  <c r="H32549" i="5"/>
  <c r="H32485" i="5"/>
  <c r="H32421" i="5"/>
  <c r="H32357" i="5"/>
  <c r="H32293" i="5"/>
  <c r="H32229" i="5"/>
  <c r="H32165" i="5"/>
  <c r="H32101" i="5"/>
  <c r="H32037" i="5"/>
  <c r="H31973" i="5"/>
  <c r="H31909" i="5"/>
  <c r="H31845" i="5"/>
  <c r="H31781" i="5"/>
  <c r="H31717" i="5"/>
  <c r="H31653" i="5"/>
  <c r="H31589" i="5"/>
  <c r="H31525" i="5"/>
  <c r="H31461" i="5"/>
  <c r="H31397" i="5"/>
  <c r="H31333" i="5"/>
  <c r="H31269" i="5"/>
  <c r="H31205" i="5"/>
  <c r="H31141" i="5"/>
  <c r="H31077" i="5"/>
  <c r="H31013" i="5"/>
  <c r="H30949" i="5"/>
  <c r="H30885" i="5"/>
  <c r="H30821" i="5"/>
  <c r="H30757" i="5"/>
  <c r="H30693" i="5"/>
  <c r="H30629" i="5"/>
  <c r="H30565" i="5"/>
  <c r="H30501" i="5"/>
  <c r="H30437" i="5"/>
  <c r="H30373" i="5"/>
  <c r="H30309" i="5"/>
  <c r="H30245" i="5"/>
  <c r="H30181" i="5"/>
  <c r="H30117" i="5"/>
  <c r="H30053" i="5"/>
  <c r="H29989" i="5"/>
  <c r="H29925" i="5"/>
  <c r="H29861" i="5"/>
  <c r="H29797" i="5"/>
  <c r="H29733" i="5"/>
  <c r="H29669" i="5"/>
  <c r="H29605" i="5"/>
  <c r="H29541" i="5"/>
  <c r="H29477" i="5"/>
  <c r="H29413" i="5"/>
  <c r="H29349" i="5"/>
  <c r="H29294" i="5"/>
  <c r="H29262" i="5"/>
  <c r="H29230" i="5"/>
  <c r="H29198" i="5"/>
  <c r="H29166" i="5"/>
  <c r="H29134" i="5"/>
  <c r="H29102" i="5"/>
  <c r="H29070" i="5"/>
  <c r="H29038" i="5"/>
  <c r="H29006" i="5"/>
  <c r="H28974" i="5"/>
  <c r="H28942" i="5"/>
  <c r="H28910" i="5"/>
  <c r="H28878" i="5"/>
  <c r="H28846" i="5"/>
  <c r="H28814" i="5"/>
  <c r="H28782" i="5"/>
  <c r="H28750" i="5"/>
  <c r="H28718" i="5"/>
  <c r="H28686" i="5"/>
  <c r="H28654" i="5"/>
  <c r="H28622" i="5"/>
  <c r="H28590" i="5"/>
  <c r="H28558" i="5"/>
  <c r="H28526" i="5"/>
  <c r="H28494" i="5"/>
  <c r="H28462" i="5"/>
  <c r="H28430" i="5"/>
  <c r="H28398" i="5"/>
  <c r="H28366" i="5"/>
  <c r="H28334" i="5"/>
  <c r="H28302" i="5"/>
  <c r="H28270" i="5"/>
  <c r="H28238" i="5"/>
  <c r="H28206" i="5"/>
  <c r="H28174" i="5"/>
  <c r="H28142" i="5"/>
  <c r="H28110" i="5"/>
  <c r="H28078" i="5"/>
  <c r="H28046" i="5"/>
  <c r="H28014" i="5"/>
  <c r="H27982" i="5"/>
  <c r="H27950" i="5"/>
  <c r="H27918" i="5"/>
  <c r="H27886" i="5"/>
  <c r="H27854" i="5"/>
  <c r="H27822" i="5"/>
  <c r="H27790" i="5"/>
  <c r="H27758" i="5"/>
  <c r="H27726" i="5"/>
  <c r="H27694" i="5"/>
  <c r="H27662" i="5"/>
  <c r="H27630" i="5"/>
  <c r="H27598" i="5"/>
  <c r="H27566" i="5"/>
  <c r="H27534" i="5"/>
  <c r="H27502" i="5"/>
  <c r="H27470" i="5"/>
  <c r="H27438" i="5"/>
  <c r="H27416" i="5"/>
  <c r="H27397" i="5"/>
  <c r="H27374" i="5"/>
  <c r="H27352" i="5"/>
  <c r="H27333" i="5"/>
  <c r="H27310" i="5"/>
  <c r="H27288" i="5"/>
  <c r="H27269" i="5"/>
  <c r="H27246" i="5"/>
  <c r="H27224" i="5"/>
  <c r="H27205" i="5"/>
  <c r="H27182" i="5"/>
  <c r="H27160" i="5"/>
  <c r="H27141" i="5"/>
  <c r="H27118" i="5"/>
  <c r="H27102" i="5"/>
  <c r="H27086" i="5"/>
  <c r="H27070" i="5"/>
  <c r="H27054" i="5"/>
  <c r="H27038" i="5"/>
  <c r="H27022" i="5"/>
  <c r="H27006" i="5"/>
  <c r="H26990" i="5"/>
  <c r="H26974" i="5"/>
  <c r="H26958" i="5"/>
  <c r="H26942" i="5"/>
  <c r="H26926" i="5"/>
  <c r="H26910" i="5"/>
  <c r="H26894" i="5"/>
  <c r="H26878" i="5"/>
  <c r="H26862" i="5"/>
  <c r="H26846" i="5"/>
  <c r="H26830" i="5"/>
  <c r="H26814" i="5"/>
  <c r="H26798" i="5"/>
  <c r="H26782" i="5"/>
  <c r="H26766" i="5"/>
  <c r="H26750" i="5"/>
  <c r="H26734" i="5"/>
  <c r="H26718" i="5"/>
  <c r="H26702" i="5"/>
  <c r="H26686" i="5"/>
  <c r="H26670" i="5"/>
  <c r="H26654" i="5"/>
  <c r="H26638" i="5"/>
  <c r="H26622" i="5"/>
  <c r="H26606" i="5"/>
  <c r="H26590" i="5"/>
  <c r="H26574" i="5"/>
  <c r="H26558" i="5"/>
  <c r="H26542" i="5"/>
  <c r="H26526" i="5"/>
  <c r="H26510" i="5"/>
  <c r="H26494" i="5"/>
  <c r="H26478" i="5"/>
  <c r="H26462" i="5"/>
  <c r="H26446" i="5"/>
  <c r="H26430" i="5"/>
  <c r="H26414" i="5"/>
  <c r="H26398" i="5"/>
  <c r="H26382" i="5"/>
  <c r="H26366" i="5"/>
  <c r="H26350" i="5"/>
  <c r="H26334" i="5"/>
  <c r="H26318" i="5"/>
  <c r="H26302" i="5"/>
  <c r="H26286" i="5"/>
  <c r="H26270" i="5"/>
  <c r="H26254" i="5"/>
  <c r="H26238" i="5"/>
  <c r="H26222" i="5"/>
  <c r="H26206" i="5"/>
  <c r="H26190" i="5"/>
  <c r="H26174" i="5"/>
  <c r="H26158" i="5"/>
  <c r="H26142" i="5"/>
  <c r="H26126" i="5"/>
  <c r="H26110" i="5"/>
  <c r="H26094" i="5"/>
  <c r="H26078" i="5"/>
  <c r="H26062" i="5"/>
  <c r="H26046" i="5"/>
  <c r="H26030" i="5"/>
  <c r="H26014" i="5"/>
  <c r="H25998" i="5"/>
  <c r="H25982" i="5"/>
  <c r="H25966" i="5"/>
  <c r="H25950" i="5"/>
  <c r="H25934" i="5"/>
  <c r="H25918" i="5"/>
  <c r="H25902" i="5"/>
  <c r="H25886" i="5"/>
  <c r="H25870" i="5"/>
  <c r="H25854" i="5"/>
  <c r="H25838" i="5"/>
  <c r="H25822" i="5"/>
  <c r="H25806" i="5"/>
  <c r="H25790" i="5"/>
  <c r="H25774" i="5"/>
  <c r="H25758" i="5"/>
  <c r="H25742" i="5"/>
  <c r="H25726" i="5"/>
  <c r="H25710" i="5"/>
  <c r="H25694" i="5"/>
  <c r="H25678" i="5"/>
  <c r="H25662" i="5"/>
  <c r="H25646" i="5"/>
  <c r="H25630" i="5"/>
  <c r="H25614" i="5"/>
  <c r="H25598" i="5"/>
  <c r="H25582" i="5"/>
  <c r="H25566" i="5"/>
  <c r="H25550" i="5"/>
  <c r="H25534" i="5"/>
  <c r="H25523" i="5"/>
  <c r="H25509" i="5"/>
  <c r="H25496" i="5"/>
  <c r="H25484" i="5"/>
  <c r="H25470" i="5"/>
  <c r="H25459" i="5"/>
  <c r="H25445" i="5"/>
  <c r="H25432" i="5"/>
  <c r="H25420" i="5"/>
  <c r="H25406" i="5"/>
  <c r="H25395" i="5"/>
  <c r="H25381" i="5"/>
  <c r="H25368" i="5"/>
  <c r="H25356" i="5"/>
  <c r="H25342" i="5"/>
  <c r="H25331" i="5"/>
  <c r="H25317" i="5"/>
  <c r="H25304" i="5"/>
  <c r="H25292" i="5"/>
  <c r="H25278" i="5"/>
  <c r="H25267" i="5"/>
  <c r="H25253" i="5"/>
  <c r="H25240" i="5"/>
  <c r="H25228" i="5"/>
  <c r="H25214" i="5"/>
  <c r="H25203" i="5"/>
  <c r="H25189" i="5"/>
  <c r="H25176" i="5"/>
  <c r="H25164" i="5"/>
  <c r="H25150" i="5"/>
  <c r="H25139" i="5"/>
  <c r="H25125" i="5"/>
  <c r="H25112" i="5"/>
  <c r="H25100" i="5"/>
  <c r="H25086" i="5"/>
  <c r="H25075" i="5"/>
  <c r="H25061" i="5"/>
  <c r="H25048" i="5"/>
  <c r="H25036" i="5"/>
  <c r="H25022" i="5"/>
  <c r="H25011" i="5"/>
  <c r="H24997" i="5"/>
  <c r="H24984" i="5"/>
  <c r="H24972" i="5"/>
  <c r="H24963" i="5"/>
  <c r="H24954" i="5"/>
  <c r="H24944" i="5"/>
  <c r="H24935" i="5"/>
  <c r="H24926" i="5"/>
  <c r="H24918" i="5"/>
  <c r="H24910" i="5"/>
  <c r="H24902" i="5"/>
  <c r="H24894" i="5"/>
  <c r="H24886" i="5"/>
  <c r="H24878" i="5"/>
  <c r="H24870" i="5"/>
  <c r="H24862" i="5"/>
  <c r="H24854" i="5"/>
  <c r="H24846" i="5"/>
  <c r="H24838" i="5"/>
  <c r="H24830" i="5"/>
  <c r="H24822" i="5"/>
  <c r="H24814" i="5"/>
  <c r="H24806" i="5"/>
  <c r="H24798" i="5"/>
  <c r="H24790" i="5"/>
  <c r="H24782" i="5"/>
  <c r="H24774" i="5"/>
  <c r="H24766" i="5"/>
  <c r="H24758" i="5"/>
  <c r="H24750" i="5"/>
  <c r="H24742" i="5"/>
  <c r="H24734" i="5"/>
  <c r="H24726" i="5"/>
  <c r="H24718" i="5"/>
  <c r="H24710" i="5"/>
  <c r="H24702" i="5"/>
  <c r="H24694" i="5"/>
  <c r="H24686" i="5"/>
  <c r="H24678" i="5"/>
  <c r="H24670" i="5"/>
  <c r="H24662" i="5"/>
  <c r="H24654" i="5"/>
  <c r="H24646" i="5"/>
  <c r="H24638" i="5"/>
  <c r="H24630" i="5"/>
  <c r="H24622" i="5"/>
  <c r="H24614" i="5"/>
  <c r="H24606" i="5"/>
  <c r="H24598" i="5"/>
  <c r="H24590" i="5"/>
  <c r="H24582" i="5"/>
  <c r="H24574" i="5"/>
  <c r="H24566" i="5"/>
  <c r="H24558" i="5"/>
  <c r="H24550" i="5"/>
  <c r="H24542" i="5"/>
  <c r="H24534" i="5"/>
  <c r="H24526" i="5"/>
  <c r="H24518" i="5"/>
  <c r="H24510" i="5"/>
  <c r="H24502" i="5"/>
  <c r="H24494" i="5"/>
  <c r="H24486" i="5"/>
  <c r="H24478" i="5"/>
  <c r="H24470" i="5"/>
  <c r="H24462" i="5"/>
  <c r="H24454" i="5"/>
  <c r="H24446" i="5"/>
  <c r="H24438" i="5"/>
  <c r="H24430" i="5"/>
  <c r="H24422" i="5"/>
  <c r="H24414" i="5"/>
  <c r="H24406" i="5"/>
  <c r="H24398" i="5"/>
  <c r="H24390" i="5"/>
  <c r="H24382" i="5"/>
  <c r="H24374" i="5"/>
  <c r="H24366" i="5"/>
  <c r="H24358" i="5"/>
  <c r="H24350" i="5"/>
  <c r="H24342" i="5"/>
  <c r="H24334" i="5"/>
  <c r="H24326" i="5"/>
  <c r="H24318" i="5"/>
  <c r="H24310" i="5"/>
  <c r="H24302" i="5"/>
  <c r="H24294" i="5"/>
  <c r="H24286" i="5"/>
  <c r="H24278" i="5"/>
  <c r="H24270" i="5"/>
  <c r="H24262" i="5"/>
  <c r="H24254" i="5"/>
  <c r="H24246" i="5"/>
  <c r="H24238" i="5"/>
  <c r="H24230" i="5"/>
  <c r="H24222" i="5"/>
  <c r="H24214" i="5"/>
  <c r="H24206" i="5"/>
  <c r="H24198" i="5"/>
  <c r="H24190" i="5"/>
  <c r="H24182" i="5"/>
  <c r="H24174" i="5"/>
  <c r="H24166" i="5"/>
  <c r="H24158" i="5"/>
  <c r="H24150" i="5"/>
  <c r="H24142" i="5"/>
  <c r="H24134" i="5"/>
  <c r="H24126" i="5"/>
  <c r="H24118" i="5"/>
  <c r="H24110" i="5"/>
  <c r="H24102" i="5"/>
  <c r="H24094" i="5"/>
  <c r="H24086" i="5"/>
  <c r="H24078" i="5"/>
  <c r="H24070" i="5"/>
  <c r="H24062" i="5"/>
  <c r="H24054" i="5"/>
  <c r="H24046" i="5"/>
  <c r="H24038" i="5"/>
  <c r="H24030" i="5"/>
  <c r="H24022" i="5"/>
  <c r="H24014" i="5"/>
  <c r="H24006" i="5"/>
  <c r="H23998" i="5"/>
  <c r="H23990" i="5"/>
  <c r="H23982" i="5"/>
  <c r="H23974" i="5"/>
  <c r="H23966" i="5"/>
  <c r="H23958" i="5"/>
  <c r="H23950" i="5"/>
  <c r="H23942" i="5"/>
  <c r="H23934" i="5"/>
  <c r="H23926" i="5"/>
  <c r="H23918" i="5"/>
  <c r="H23910" i="5"/>
  <c r="H23902" i="5"/>
  <c r="H23894" i="5"/>
  <c r="H23886" i="5"/>
  <c r="H23878" i="5"/>
  <c r="H23870" i="5"/>
  <c r="H23862" i="5"/>
  <c r="H23854" i="5"/>
  <c r="H23846" i="5"/>
  <c r="H23838" i="5"/>
  <c r="H23830" i="5"/>
  <c r="H23822" i="5"/>
  <c r="H23814" i="5"/>
  <c r="H23806" i="5"/>
  <c r="H23798" i="5"/>
  <c r="H23790" i="5"/>
  <c r="H23782" i="5"/>
  <c r="H23774" i="5"/>
  <c r="H23766" i="5"/>
  <c r="H23758" i="5"/>
  <c r="H23750" i="5"/>
  <c r="H23742" i="5"/>
  <c r="H23734" i="5"/>
  <c r="H23726" i="5"/>
  <c r="H23718" i="5"/>
  <c r="H23710" i="5"/>
  <c r="H23702" i="5"/>
  <c r="H23694" i="5"/>
  <c r="H23686" i="5"/>
  <c r="H23678" i="5"/>
  <c r="H23670" i="5"/>
  <c r="H23662" i="5"/>
  <c r="H23654" i="5"/>
  <c r="H23646" i="5"/>
  <c r="H23638" i="5"/>
  <c r="H23630" i="5"/>
  <c r="H23622" i="5"/>
  <c r="H23614" i="5"/>
  <c r="H23606" i="5"/>
  <c r="H23598" i="5"/>
  <c r="H23590" i="5"/>
  <c r="H23582" i="5"/>
  <c r="H23574" i="5"/>
  <c r="H23566" i="5"/>
  <c r="H23558" i="5"/>
  <c r="H23550" i="5"/>
  <c r="H23542" i="5"/>
  <c r="H23534" i="5"/>
  <c r="H23526" i="5"/>
  <c r="H23518" i="5"/>
  <c r="H23510" i="5"/>
  <c r="H23502" i="5"/>
  <c r="H23494" i="5"/>
  <c r="H23486" i="5"/>
  <c r="H23478" i="5"/>
  <c r="H23470" i="5"/>
  <c r="H23462" i="5"/>
  <c r="H23454" i="5"/>
  <c r="H23446" i="5"/>
  <c r="H23438" i="5"/>
  <c r="H23430" i="5"/>
  <c r="H23422" i="5"/>
  <c r="H23414" i="5"/>
  <c r="H23406" i="5"/>
  <c r="H23398" i="5"/>
  <c r="H23390" i="5"/>
  <c r="H23382" i="5"/>
  <c r="H23374" i="5"/>
  <c r="H23366" i="5"/>
  <c r="H23358" i="5"/>
  <c r="H23350" i="5"/>
  <c r="H23342" i="5"/>
  <c r="H23334" i="5"/>
  <c r="H23326" i="5"/>
  <c r="H23318" i="5"/>
  <c r="H23310" i="5"/>
  <c r="H23302" i="5"/>
  <c r="H23294" i="5"/>
  <c r="H23286" i="5"/>
  <c r="H23278" i="5"/>
  <c r="H23270" i="5"/>
  <c r="H23262" i="5"/>
  <c r="H23254" i="5"/>
  <c r="H23246" i="5"/>
  <c r="H23238" i="5"/>
  <c r="H23230" i="5"/>
  <c r="H23222" i="5"/>
  <c r="H23214" i="5"/>
  <c r="H23206" i="5"/>
  <c r="H23198" i="5"/>
  <c r="H23190" i="5"/>
  <c r="H23182" i="5"/>
  <c r="H23174" i="5"/>
  <c r="H23166" i="5"/>
  <c r="H23158" i="5"/>
  <c r="H23150" i="5"/>
  <c r="H23142" i="5"/>
  <c r="H23134" i="5"/>
  <c r="H23126" i="5"/>
  <c r="H23118" i="5"/>
  <c r="H23110" i="5"/>
  <c r="H23102" i="5"/>
  <c r="H23094" i="5"/>
  <c r="H23086" i="5"/>
  <c r="H23078" i="5"/>
  <c r="H23070" i="5"/>
  <c r="H23062" i="5"/>
  <c r="H23054" i="5"/>
  <c r="H23046" i="5"/>
  <c r="H23038" i="5"/>
  <c r="H23030" i="5"/>
  <c r="H23022" i="5"/>
  <c r="H23014" i="5"/>
  <c r="H23006" i="5"/>
  <c r="H22998" i="5"/>
  <c r="H22990" i="5"/>
  <c r="H22982" i="5"/>
  <c r="H22974" i="5"/>
  <c r="H22966" i="5"/>
  <c r="H22958" i="5"/>
  <c r="H22950" i="5"/>
  <c r="H22942" i="5"/>
  <c r="H22934" i="5"/>
  <c r="H22926" i="5"/>
  <c r="H22918" i="5"/>
  <c r="H22910" i="5"/>
  <c r="H22902" i="5"/>
  <c r="H22894" i="5"/>
  <c r="H22886" i="5"/>
  <c r="H22878" i="5"/>
  <c r="H22870" i="5"/>
  <c r="H22862" i="5"/>
  <c r="H22854" i="5"/>
  <c r="H22846" i="5"/>
  <c r="H22838" i="5"/>
  <c r="H22830" i="5"/>
  <c r="H22822" i="5"/>
  <c r="H22814" i="5"/>
  <c r="H22806" i="5"/>
  <c r="H22798" i="5"/>
  <c r="H22790" i="5"/>
  <c r="H22782" i="5"/>
  <c r="H22774" i="5"/>
  <c r="H22766" i="5"/>
  <c r="H22758" i="5"/>
  <c r="H22750" i="5"/>
  <c r="H22742" i="5"/>
  <c r="H22734" i="5"/>
  <c r="H22726" i="5"/>
  <c r="H22718" i="5"/>
  <c r="H22710" i="5"/>
  <c r="H22702" i="5"/>
  <c r="H22694" i="5"/>
  <c r="H22686" i="5"/>
  <c r="H22678" i="5"/>
  <c r="H22670" i="5"/>
  <c r="H22662" i="5"/>
  <c r="H22654" i="5"/>
  <c r="H22646" i="5"/>
  <c r="H22638" i="5"/>
  <c r="H22630" i="5"/>
  <c r="H22622" i="5"/>
  <c r="H22614" i="5"/>
  <c r="H22606" i="5"/>
  <c r="H22598" i="5"/>
  <c r="H22590" i="5"/>
  <c r="H22582" i="5"/>
  <c r="H22574" i="5"/>
  <c r="H22566" i="5"/>
  <c r="H22558" i="5"/>
  <c r="H22550" i="5"/>
  <c r="H22542" i="5"/>
  <c r="H22534" i="5"/>
  <c r="H22526" i="5"/>
  <c r="H22518" i="5"/>
  <c r="H22510" i="5"/>
  <c r="H22502" i="5"/>
  <c r="H22494" i="5"/>
  <c r="H22486" i="5"/>
  <c r="H22478" i="5"/>
  <c r="H22470" i="5"/>
  <c r="H22462" i="5"/>
  <c r="H22454" i="5"/>
  <c r="H22446" i="5"/>
  <c r="H22438" i="5"/>
  <c r="H22430" i="5"/>
  <c r="H22422" i="5"/>
  <c r="H22414" i="5"/>
  <c r="H22406" i="5"/>
  <c r="H22398" i="5"/>
  <c r="H22390" i="5"/>
  <c r="H22382" i="5"/>
  <c r="H22374" i="5"/>
  <c r="H22366" i="5"/>
  <c r="H22358" i="5"/>
  <c r="H22350" i="5"/>
  <c r="H22342" i="5"/>
  <c r="H22334" i="5"/>
  <c r="H22326" i="5"/>
  <c r="H22318" i="5"/>
  <c r="H22310" i="5"/>
  <c r="H22302" i="5"/>
  <c r="H22294" i="5"/>
  <c r="H22286" i="5"/>
  <c r="H22278" i="5"/>
  <c r="H22270" i="5"/>
  <c r="H22262" i="5"/>
  <c r="H22254" i="5"/>
  <c r="H22246" i="5"/>
  <c r="H22238" i="5"/>
  <c r="H22230" i="5"/>
  <c r="H22222" i="5"/>
  <c r="H22214" i="5"/>
  <c r="H22206" i="5"/>
  <c r="H22198" i="5"/>
  <c r="H22190" i="5"/>
  <c r="H22182" i="5"/>
  <c r="H22174" i="5"/>
  <c r="H22166" i="5"/>
  <c r="H22158" i="5"/>
  <c r="H22150" i="5"/>
  <c r="H22142" i="5"/>
  <c r="H22134" i="5"/>
  <c r="H22126" i="5"/>
  <c r="H22118" i="5"/>
  <c r="H22110" i="5"/>
  <c r="H22102" i="5"/>
  <c r="H22094" i="5"/>
  <c r="H22086" i="5"/>
  <c r="H22078" i="5"/>
  <c r="H22070" i="5"/>
  <c r="H22062" i="5"/>
  <c r="H22054" i="5"/>
  <c r="H22046" i="5"/>
  <c r="H22038" i="5"/>
  <c r="H22030" i="5"/>
  <c r="H22022" i="5"/>
  <c r="H22014" i="5"/>
  <c r="H22006" i="5"/>
  <c r="H21998" i="5"/>
  <c r="H21990" i="5"/>
  <c r="H21982" i="5"/>
  <c r="H21974" i="5"/>
  <c r="H21966" i="5"/>
  <c r="H21958" i="5"/>
  <c r="H21950" i="5"/>
  <c r="H21942" i="5"/>
  <c r="H21934" i="5"/>
  <c r="H21926" i="5"/>
  <c r="H21918" i="5"/>
  <c r="H21910" i="5"/>
  <c r="H21902" i="5"/>
  <c r="H21894" i="5"/>
  <c r="H21886" i="5"/>
  <c r="H21878" i="5"/>
  <c r="H21870" i="5"/>
  <c r="H21862" i="5"/>
  <c r="H21854" i="5"/>
  <c r="H21846" i="5"/>
  <c r="H21838" i="5"/>
  <c r="H21830" i="5"/>
  <c r="H21822" i="5"/>
  <c r="H21814" i="5"/>
  <c r="H21806" i="5"/>
  <c r="H21798" i="5"/>
  <c r="H21790" i="5"/>
  <c r="H21782" i="5"/>
  <c r="H21774" i="5"/>
  <c r="H21766" i="5"/>
  <c r="H21758" i="5"/>
  <c r="H21750" i="5"/>
  <c r="H21742" i="5"/>
  <c r="H21734" i="5"/>
  <c r="H21726" i="5"/>
  <c r="H21718" i="5"/>
  <c r="H21710" i="5"/>
  <c r="H21702" i="5"/>
  <c r="H21694" i="5"/>
  <c r="H21686" i="5"/>
  <c r="H21678" i="5"/>
  <c r="H21670" i="5"/>
  <c r="H21662" i="5"/>
  <c r="H21654" i="5"/>
  <c r="H21646" i="5"/>
  <c r="H21638" i="5"/>
  <c r="H21630" i="5"/>
  <c r="H21622" i="5"/>
  <c r="H21614" i="5"/>
  <c r="H21606" i="5"/>
  <c r="H21598" i="5"/>
  <c r="H21590" i="5"/>
  <c r="H21582" i="5"/>
  <c r="H21574" i="5"/>
  <c r="H21566" i="5"/>
  <c r="H21558" i="5"/>
  <c r="H21550" i="5"/>
  <c r="H21542" i="5"/>
  <c r="H21534" i="5"/>
  <c r="H21526" i="5"/>
  <c r="H21518" i="5"/>
  <c r="H21510" i="5"/>
  <c r="H21502" i="5"/>
  <c r="H21494" i="5"/>
  <c r="H21486" i="5"/>
  <c r="H21478" i="5"/>
  <c r="H21470" i="5"/>
  <c r="H21462" i="5"/>
  <c r="H21454" i="5"/>
  <c r="H21446" i="5"/>
  <c r="H21438" i="5"/>
  <c r="H21430" i="5"/>
  <c r="H21422" i="5"/>
  <c r="H21414" i="5"/>
  <c r="H21406" i="5"/>
  <c r="H21398" i="5"/>
  <c r="H21390" i="5"/>
  <c r="H21382" i="5"/>
  <c r="H21374" i="5"/>
  <c r="H21366" i="5"/>
  <c r="H21358" i="5"/>
  <c r="H21350" i="5"/>
  <c r="H21342" i="5"/>
  <c r="H21334" i="5"/>
  <c r="H21326" i="5"/>
  <c r="H21318" i="5"/>
  <c r="H21310" i="5"/>
  <c r="H21302" i="5"/>
  <c r="H21294" i="5"/>
  <c r="H21286" i="5"/>
  <c r="H21278" i="5"/>
  <c r="H21270" i="5"/>
  <c r="H21262" i="5"/>
  <c r="H21254" i="5"/>
  <c r="H21246" i="5"/>
  <c r="H21238" i="5"/>
  <c r="H21230" i="5"/>
  <c r="H21222" i="5"/>
  <c r="H21214" i="5"/>
  <c r="H21206" i="5"/>
  <c r="H21198" i="5"/>
  <c r="H21190" i="5"/>
  <c r="H21182" i="5"/>
  <c r="H21174" i="5"/>
  <c r="H21166" i="5"/>
  <c r="H21158" i="5"/>
  <c r="H21150" i="5"/>
  <c r="H21142" i="5"/>
  <c r="H21134" i="5"/>
  <c r="H21126" i="5"/>
  <c r="H21118" i="5"/>
  <c r="H21110" i="5"/>
  <c r="H21102" i="5"/>
  <c r="H21094" i="5"/>
  <c r="H21086" i="5"/>
  <c r="H21078" i="5"/>
  <c r="H21070" i="5"/>
  <c r="H21062" i="5"/>
  <c r="H21054" i="5"/>
  <c r="H21046" i="5"/>
  <c r="H21038" i="5"/>
  <c r="H21030" i="5"/>
  <c r="H21022" i="5"/>
  <c r="H21014" i="5"/>
  <c r="H21006" i="5"/>
  <c r="H20998" i="5"/>
  <c r="H20990" i="5"/>
  <c r="H20982" i="5"/>
  <c r="H20974" i="5"/>
  <c r="H20966" i="5"/>
  <c r="H20958" i="5"/>
  <c r="H20950" i="5"/>
  <c r="H20942" i="5"/>
  <c r="H20934" i="5"/>
  <c r="H20926" i="5"/>
  <c r="H20918" i="5"/>
  <c r="H20910" i="5"/>
  <c r="H20902" i="5"/>
  <c r="H20894" i="5"/>
  <c r="H20886" i="5"/>
  <c r="H20878" i="5"/>
  <c r="H20870" i="5"/>
  <c r="H20862" i="5"/>
  <c r="H20854" i="5"/>
  <c r="H20846" i="5"/>
  <c r="H20838" i="5"/>
  <c r="H20830" i="5"/>
  <c r="H20822" i="5"/>
  <c r="H20814" i="5"/>
  <c r="H20806" i="5"/>
  <c r="H20798" i="5"/>
  <c r="H20790" i="5"/>
  <c r="H20782" i="5"/>
  <c r="H20774" i="5"/>
  <c r="H20766" i="5"/>
  <c r="H20758" i="5"/>
  <c r="H20750" i="5"/>
  <c r="H20742" i="5"/>
  <c r="H20734" i="5"/>
  <c r="H20726" i="5"/>
  <c r="H20718" i="5"/>
  <c r="H20710" i="5"/>
  <c r="H20702" i="5"/>
  <c r="H20694" i="5"/>
  <c r="H20686" i="5"/>
  <c r="H20678" i="5"/>
  <c r="H20670" i="5"/>
  <c r="H20662" i="5"/>
  <c r="H20654" i="5"/>
  <c r="H20646" i="5"/>
  <c r="H20638" i="5"/>
  <c r="H20630" i="5"/>
  <c r="H20622" i="5"/>
  <c r="H20614" i="5"/>
  <c r="H20606" i="5"/>
  <c r="H20598" i="5"/>
  <c r="H20590" i="5"/>
  <c r="H20582" i="5"/>
  <c r="H20574" i="5"/>
  <c r="H20566" i="5"/>
  <c r="H20558" i="5"/>
  <c r="H20550" i="5"/>
  <c r="H20542" i="5"/>
  <c r="H20534" i="5"/>
  <c r="H20526" i="5"/>
  <c r="H20518" i="5"/>
  <c r="H20510" i="5"/>
  <c r="H20502" i="5"/>
  <c r="H20494" i="5"/>
  <c r="H20486" i="5"/>
  <c r="H20478" i="5"/>
  <c r="H20470" i="5"/>
  <c r="H20462" i="5"/>
  <c r="H20454" i="5"/>
  <c r="H20446" i="5"/>
  <c r="H20438" i="5"/>
  <c r="H20430" i="5"/>
  <c r="H20422" i="5"/>
  <c r="H20414" i="5"/>
  <c r="H20406" i="5"/>
  <c r="H20398" i="5"/>
  <c r="H20390" i="5"/>
  <c r="H20382" i="5"/>
  <c r="H20374" i="5"/>
  <c r="H20366" i="5"/>
  <c r="H20358" i="5"/>
  <c r="H20350" i="5"/>
  <c r="H20342" i="5"/>
  <c r="H20334" i="5"/>
  <c r="H20326" i="5"/>
  <c r="H20318" i="5"/>
  <c r="H20310" i="5"/>
  <c r="H20302" i="5"/>
  <c r="H20294" i="5"/>
  <c r="H20286" i="5"/>
  <c r="H20278" i="5"/>
  <c r="H20270" i="5"/>
  <c r="H20262" i="5"/>
  <c r="H20254" i="5"/>
  <c r="H20246" i="5"/>
  <c r="H20238" i="5"/>
  <c r="H20230" i="5"/>
  <c r="H20222" i="5"/>
  <c r="H20214" i="5"/>
  <c r="H20206" i="5"/>
  <c r="H20198" i="5"/>
  <c r="H20190" i="5"/>
  <c r="H20182" i="5"/>
  <c r="H20174" i="5"/>
  <c r="H20166" i="5"/>
  <c r="H20158" i="5"/>
  <c r="H20150" i="5"/>
  <c r="H20142" i="5"/>
  <c r="H20134" i="5"/>
  <c r="H20126" i="5"/>
  <c r="H20118" i="5"/>
  <c r="H20110" i="5"/>
  <c r="H20102" i="5"/>
  <c r="H20094" i="5"/>
  <c r="H20086" i="5"/>
  <c r="H20078" i="5"/>
  <c r="H20070" i="5"/>
  <c r="H20062" i="5"/>
  <c r="H20054" i="5"/>
  <c r="H20046" i="5"/>
  <c r="H20038" i="5"/>
  <c r="H20030" i="5"/>
  <c r="H20022" i="5"/>
  <c r="H20014" i="5"/>
  <c r="H20006" i="5"/>
  <c r="H19998" i="5"/>
  <c r="H19990" i="5"/>
  <c r="H19982" i="5"/>
  <c r="H19974" i="5"/>
  <c r="H19966" i="5"/>
  <c r="H19958" i="5"/>
  <c r="H19950" i="5"/>
  <c r="H19942" i="5"/>
  <c r="H19934" i="5"/>
  <c r="H19926" i="5"/>
  <c r="H19918" i="5"/>
  <c r="H19910" i="5"/>
  <c r="H19902" i="5"/>
  <c r="H19894" i="5"/>
  <c r="H19886" i="5"/>
  <c r="H19878" i="5"/>
  <c r="H19870" i="5"/>
  <c r="H19862" i="5"/>
  <c r="H19854" i="5"/>
  <c r="H19846" i="5"/>
  <c r="H19838" i="5"/>
  <c r="H19830" i="5"/>
  <c r="H19822" i="5"/>
  <c r="H19814" i="5"/>
  <c r="H19806" i="5"/>
  <c r="H19798" i="5"/>
  <c r="H19790" i="5"/>
  <c r="H19782" i="5"/>
  <c r="H19774" i="5"/>
  <c r="H19766" i="5"/>
  <c r="H19758" i="5"/>
  <c r="H19750" i="5"/>
  <c r="H19742" i="5"/>
  <c r="H19734" i="5"/>
  <c r="H19726" i="5"/>
  <c r="H19718" i="5"/>
  <c r="H19710" i="5"/>
  <c r="H19702" i="5"/>
  <c r="H19694" i="5"/>
  <c r="H19686" i="5"/>
  <c r="H19678" i="5"/>
  <c r="H19670" i="5"/>
  <c r="H19662" i="5"/>
  <c r="H19654" i="5"/>
  <c r="H19646" i="5"/>
  <c r="H19638" i="5"/>
  <c r="H19630" i="5"/>
  <c r="H19622" i="5"/>
  <c r="H19614" i="5"/>
  <c r="H19606" i="5"/>
  <c r="H19598" i="5"/>
  <c r="H19590" i="5"/>
  <c r="H19582" i="5"/>
  <c r="H19574" i="5"/>
  <c r="H19566" i="5"/>
  <c r="H19558" i="5"/>
  <c r="H19550" i="5"/>
  <c r="H19542" i="5"/>
  <c r="H19534" i="5"/>
  <c r="H19526" i="5"/>
  <c r="H19518" i="5"/>
  <c r="H19510" i="5"/>
  <c r="H19502" i="5"/>
  <c r="H19494" i="5"/>
  <c r="H19486" i="5"/>
  <c r="H19478" i="5"/>
  <c r="H19470" i="5"/>
  <c r="H19462" i="5"/>
  <c r="H19454" i="5"/>
  <c r="H19446" i="5"/>
  <c r="H19438" i="5"/>
  <c r="H19430" i="5"/>
  <c r="H19422" i="5"/>
  <c r="H19414" i="5"/>
  <c r="H19406" i="5"/>
  <c r="H19398" i="5"/>
  <c r="H19390" i="5"/>
  <c r="H19382" i="5"/>
  <c r="H19374" i="5"/>
  <c r="H19366" i="5"/>
  <c r="H19358" i="5"/>
  <c r="H19350" i="5"/>
  <c r="H19342" i="5"/>
  <c r="H19334" i="5"/>
  <c r="H19326" i="5"/>
  <c r="H19318" i="5"/>
  <c r="H19310" i="5"/>
  <c r="H19302" i="5"/>
  <c r="H19294" i="5"/>
  <c r="H19286" i="5"/>
  <c r="H19278" i="5"/>
  <c r="H19270" i="5"/>
  <c r="H19262" i="5"/>
  <c r="H19254" i="5"/>
  <c r="H19246" i="5"/>
  <c r="H19238" i="5"/>
  <c r="H19230" i="5"/>
  <c r="H19222" i="5"/>
  <c r="H19214" i="5"/>
  <c r="H19206" i="5"/>
  <c r="H19198" i="5"/>
  <c r="H19190" i="5"/>
  <c r="H19182" i="5"/>
  <c r="H19174" i="5"/>
  <c r="H19166" i="5"/>
  <c r="H19158" i="5"/>
  <c r="H19150" i="5"/>
  <c r="H19142" i="5"/>
  <c r="H19134" i="5"/>
  <c r="H19126" i="5"/>
  <c r="H19118" i="5"/>
  <c r="H19110" i="5"/>
  <c r="H19102" i="5"/>
  <c r="H19094" i="5"/>
  <c r="H19086" i="5"/>
  <c r="H19078" i="5"/>
  <c r="H19070" i="5"/>
  <c r="H19062" i="5"/>
  <c r="H19054" i="5"/>
  <c r="H19046" i="5"/>
  <c r="H19038" i="5"/>
  <c r="H19030" i="5"/>
  <c r="H19022" i="5"/>
  <c r="H19014" i="5"/>
  <c r="H19006" i="5"/>
  <c r="H18998" i="5"/>
  <c r="H18990" i="5"/>
  <c r="H18982" i="5"/>
  <c r="H18974" i="5"/>
  <c r="H18966" i="5"/>
  <c r="H18958" i="5"/>
  <c r="H18950" i="5"/>
  <c r="H18942" i="5"/>
  <c r="H18934" i="5"/>
  <c r="H18926" i="5"/>
  <c r="H18918" i="5"/>
  <c r="H18910" i="5"/>
  <c r="H18902" i="5"/>
  <c r="H18894" i="5"/>
  <c r="H18886" i="5"/>
  <c r="H18878" i="5"/>
  <c r="H18870" i="5"/>
  <c r="H18862" i="5"/>
  <c r="H18854" i="5"/>
  <c r="H18846" i="5"/>
  <c r="H18838" i="5"/>
  <c r="H18830" i="5"/>
  <c r="H18822" i="5"/>
  <c r="H18814" i="5"/>
  <c r="H18806" i="5"/>
  <c r="H18798" i="5"/>
  <c r="H18790" i="5"/>
  <c r="H18782" i="5"/>
  <c r="H18774" i="5"/>
  <c r="H18766" i="5"/>
  <c r="H18758" i="5"/>
  <c r="H18750" i="5"/>
  <c r="H18742" i="5"/>
  <c r="H18734" i="5"/>
  <c r="H18726" i="5"/>
  <c r="H18718" i="5"/>
  <c r="H18710" i="5"/>
  <c r="H18702" i="5"/>
  <c r="H18694" i="5"/>
  <c r="H18686" i="5"/>
  <c r="H18678" i="5"/>
  <c r="H18670" i="5"/>
  <c r="H18662" i="5"/>
  <c r="H18654" i="5"/>
  <c r="H18646" i="5"/>
  <c r="H18638" i="5"/>
  <c r="H18630" i="5"/>
  <c r="H18622" i="5"/>
  <c r="H18614" i="5"/>
  <c r="H18606" i="5"/>
  <c r="H18598" i="5"/>
  <c r="H18590" i="5"/>
  <c r="H18582" i="5"/>
  <c r="H18574" i="5"/>
  <c r="H18566" i="5"/>
  <c r="H18558" i="5"/>
  <c r="H18550" i="5"/>
  <c r="H18542" i="5"/>
  <c r="H18534" i="5"/>
  <c r="H18526" i="5"/>
  <c r="H18518" i="5"/>
  <c r="H18510" i="5"/>
  <c r="H18502" i="5"/>
  <c r="H18494" i="5"/>
  <c r="H18486" i="5"/>
  <c r="H18478" i="5"/>
  <c r="H18470" i="5"/>
  <c r="H18462" i="5"/>
  <c r="H18454" i="5"/>
  <c r="H18446" i="5"/>
  <c r="H18438" i="5"/>
  <c r="H18430" i="5"/>
  <c r="H18422" i="5"/>
  <c r="H18414" i="5"/>
  <c r="H18406" i="5"/>
  <c r="H18398" i="5"/>
  <c r="H18390" i="5"/>
  <c r="H18382" i="5"/>
  <c r="H18374" i="5"/>
  <c r="H18366" i="5"/>
  <c r="H18358" i="5"/>
  <c r="H18350" i="5"/>
  <c r="H18342" i="5"/>
  <c r="H18334" i="5"/>
  <c r="H18326" i="5"/>
  <c r="H18318" i="5"/>
  <c r="H18310" i="5"/>
  <c r="H18302" i="5"/>
  <c r="H18294" i="5"/>
  <c r="H18286" i="5"/>
  <c r="H18278" i="5"/>
  <c r="H18270" i="5"/>
  <c r="H18262" i="5"/>
  <c r="H18254" i="5"/>
  <c r="H18246" i="5"/>
  <c r="H18238" i="5"/>
  <c r="H18230" i="5"/>
  <c r="H18222" i="5"/>
  <c r="H18214" i="5"/>
  <c r="H18206" i="5"/>
  <c r="H18198" i="5"/>
  <c r="H18190" i="5"/>
  <c r="H18182" i="5"/>
  <c r="H18174" i="5"/>
  <c r="H18166" i="5"/>
  <c r="H18158" i="5"/>
  <c r="H18150" i="5"/>
  <c r="H18142" i="5"/>
  <c r="H18134" i="5"/>
  <c r="H18126" i="5"/>
  <c r="H18118" i="5"/>
  <c r="H18110" i="5"/>
  <c r="H18102" i="5"/>
  <c r="H18094" i="5"/>
  <c r="H18086" i="5"/>
  <c r="H18078" i="5"/>
  <c r="H18070" i="5"/>
  <c r="H18062" i="5"/>
  <c r="H18054" i="5"/>
  <c r="H18046" i="5"/>
  <c r="H18038" i="5"/>
  <c r="H18030" i="5"/>
  <c r="H18022" i="5"/>
  <c r="H18014" i="5"/>
  <c r="H18006" i="5"/>
  <c r="H17998" i="5"/>
  <c r="H17990" i="5"/>
  <c r="H17982" i="5"/>
  <c r="H17974" i="5"/>
  <c r="H17966" i="5"/>
  <c r="H17958" i="5"/>
  <c r="H17950" i="5"/>
  <c r="H17942" i="5"/>
  <c r="H17934" i="5"/>
  <c r="H17926" i="5"/>
  <c r="H17918" i="5"/>
  <c r="H17910" i="5"/>
  <c r="H17902" i="5"/>
  <c r="H17894" i="5"/>
  <c r="H17886" i="5"/>
  <c r="H17878" i="5"/>
  <c r="H17870" i="5"/>
  <c r="H17862" i="5"/>
  <c r="H17854" i="5"/>
  <c r="H17846" i="5"/>
  <c r="H17838" i="5"/>
  <c r="H17830" i="5"/>
  <c r="H17822" i="5"/>
  <c r="H17814" i="5"/>
  <c r="H17806" i="5"/>
  <c r="H17798" i="5"/>
  <c r="H17790" i="5"/>
  <c r="H17782" i="5"/>
  <c r="H17774" i="5"/>
  <c r="H17766" i="5"/>
  <c r="H17758" i="5"/>
  <c r="H17750" i="5"/>
  <c r="H17742" i="5"/>
  <c r="H17734" i="5"/>
  <c r="H17726" i="5"/>
  <c r="H17718" i="5"/>
  <c r="H17710" i="5"/>
  <c r="H17702" i="5"/>
  <c r="H17694" i="5"/>
  <c r="H17686" i="5"/>
  <c r="H17678" i="5"/>
  <c r="H17670" i="5"/>
  <c r="H17662" i="5"/>
  <c r="H17654" i="5"/>
  <c r="H17646" i="5"/>
  <c r="H17638" i="5"/>
  <c r="H17630" i="5"/>
  <c r="H17622" i="5"/>
  <c r="H17614" i="5"/>
  <c r="H17606" i="5"/>
  <c r="H17598" i="5"/>
  <c r="H17590" i="5"/>
  <c r="H17582" i="5"/>
  <c r="H17574" i="5"/>
  <c r="H17566" i="5"/>
  <c r="H17558" i="5"/>
  <c r="H17550" i="5"/>
  <c r="H17542" i="5"/>
  <c r="H17534" i="5"/>
  <c r="H17526" i="5"/>
  <c r="H17518" i="5"/>
  <c r="H17510" i="5"/>
  <c r="H17502" i="5"/>
  <c r="H17494" i="5"/>
  <c r="H17486" i="5"/>
  <c r="H17478" i="5"/>
  <c r="H17470" i="5"/>
  <c r="H17462" i="5"/>
  <c r="H17454" i="5"/>
  <c r="H17446" i="5"/>
  <c r="H17438" i="5"/>
  <c r="H17430" i="5"/>
  <c r="H17422" i="5"/>
  <c r="H17414" i="5"/>
  <c r="H17406" i="5"/>
  <c r="H17398" i="5"/>
  <c r="H17390" i="5"/>
  <c r="H17382" i="5"/>
  <c r="H17374" i="5"/>
  <c r="H17366" i="5"/>
  <c r="H17358" i="5"/>
  <c r="H17350" i="5"/>
  <c r="H17342" i="5"/>
  <c r="H17334" i="5"/>
  <c r="H17326" i="5"/>
  <c r="H17318" i="5"/>
  <c r="H17310" i="5"/>
  <c r="H17302" i="5"/>
  <c r="H17294" i="5"/>
  <c r="H17286" i="5"/>
  <c r="H17278" i="5"/>
  <c r="H17270" i="5"/>
  <c r="H17262" i="5"/>
  <c r="H17254" i="5"/>
  <c r="H17246" i="5"/>
  <c r="H17238" i="5"/>
  <c r="H17230" i="5"/>
  <c r="H17222" i="5"/>
  <c r="H17214" i="5"/>
  <c r="H17206" i="5"/>
  <c r="H17198" i="5"/>
  <c r="H17190" i="5"/>
  <c r="H17182" i="5"/>
  <c r="H17174" i="5"/>
  <c r="H17166" i="5"/>
  <c r="H17158" i="5"/>
  <c r="H17150" i="5"/>
  <c r="H17142" i="5"/>
  <c r="H17134" i="5"/>
  <c r="H17126" i="5"/>
  <c r="H17118" i="5"/>
  <c r="H17110" i="5"/>
  <c r="H17102" i="5"/>
  <c r="H17094" i="5"/>
  <c r="H17086" i="5"/>
  <c r="H17078" i="5"/>
  <c r="H17070" i="5"/>
  <c r="H17062" i="5"/>
  <c r="H17054" i="5"/>
  <c r="H17046" i="5"/>
  <c r="H17038" i="5"/>
  <c r="H17030" i="5"/>
  <c r="H17022" i="5"/>
  <c r="H17014" i="5"/>
  <c r="H17006" i="5"/>
  <c r="H16998" i="5"/>
  <c r="H16990" i="5"/>
  <c r="H16982" i="5"/>
  <c r="H16974" i="5"/>
  <c r="H16966" i="5"/>
  <c r="H16958" i="5"/>
  <c r="H16950" i="5"/>
  <c r="H16942" i="5"/>
  <c r="H16934" i="5"/>
  <c r="H16926" i="5"/>
  <c r="H16918" i="5"/>
  <c r="H16910" i="5"/>
  <c r="H16902" i="5"/>
  <c r="H16894" i="5"/>
  <c r="H16886" i="5"/>
  <c r="H16878" i="5"/>
  <c r="H16870" i="5"/>
  <c r="H16862" i="5"/>
  <c r="H16854" i="5"/>
  <c r="H16846" i="5"/>
  <c r="H16838" i="5"/>
  <c r="H16830" i="5"/>
  <c r="H16822" i="5"/>
  <c r="H16814" i="5"/>
  <c r="H16806" i="5"/>
  <c r="H16798" i="5"/>
  <c r="H16790" i="5"/>
  <c r="H16782" i="5"/>
  <c r="H16774" i="5"/>
  <c r="H16766" i="5"/>
  <c r="H16758" i="5"/>
  <c r="H16750" i="5"/>
  <c r="H16742" i="5"/>
  <c r="H16734" i="5"/>
  <c r="H16726" i="5"/>
  <c r="H16718" i="5"/>
  <c r="H16710" i="5"/>
  <c r="H16702" i="5"/>
  <c r="H16694" i="5"/>
  <c r="H16686" i="5"/>
  <c r="H16678" i="5"/>
  <c r="H16670" i="5"/>
  <c r="H16662" i="5"/>
  <c r="H16654" i="5"/>
  <c r="H16646" i="5"/>
  <c r="H16638" i="5"/>
  <c r="H16630" i="5"/>
  <c r="H16622" i="5"/>
  <c r="H16614" i="5"/>
  <c r="H16606" i="5"/>
  <c r="H41129" i="5"/>
  <c r="H40447" i="5"/>
  <c r="H39764" i="5"/>
  <c r="H39174" i="5"/>
  <c r="H38662" i="5"/>
  <c r="H38150" i="5"/>
  <c r="H37638" i="5"/>
  <c r="H37126" i="5"/>
  <c r="H36614" i="5"/>
  <c r="H36289" i="5"/>
  <c r="H36033" i="5"/>
  <c r="H35777" i="5"/>
  <c r="H35521" i="5"/>
  <c r="H35265" i="5"/>
  <c r="H35047" i="5"/>
  <c r="H34895" i="5"/>
  <c r="H34793" i="5"/>
  <c r="H34690" i="5"/>
  <c r="H34596" i="5"/>
  <c r="H34525" i="5"/>
  <c r="H34461" i="5"/>
  <c r="H34397" i="5"/>
  <c r="H34333" i="5"/>
  <c r="H34269" i="5"/>
  <c r="H34205" i="5"/>
  <c r="H34141" i="5"/>
  <c r="H34077" i="5"/>
  <c r="H34013" i="5"/>
  <c r="H33949" i="5"/>
  <c r="H33885" i="5"/>
  <c r="H33821" i="5"/>
  <c r="H33757" i="5"/>
  <c r="H33693" i="5"/>
  <c r="H33629" i="5"/>
  <c r="H33565" i="5"/>
  <c r="H33501" i="5"/>
  <c r="H33437" i="5"/>
  <c r="H33373" i="5"/>
  <c r="H33309" i="5"/>
  <c r="H33245" i="5"/>
  <c r="H33181" i="5"/>
  <c r="H33117" i="5"/>
  <c r="H33053" i="5"/>
  <c r="H32989" i="5"/>
  <c r="H32925" i="5"/>
  <c r="H32861" i="5"/>
  <c r="H32797" i="5"/>
  <c r="H32733" i="5"/>
  <c r="H32669" i="5"/>
  <c r="H32605" i="5"/>
  <c r="H32541" i="5"/>
  <c r="H32477" i="5"/>
  <c r="H32413" i="5"/>
  <c r="H32349" i="5"/>
  <c r="H32285" i="5"/>
  <c r="H32221" i="5"/>
  <c r="H32157" i="5"/>
  <c r="H32093" i="5"/>
  <c r="H32029" i="5"/>
  <c r="H31965" i="5"/>
  <c r="H31901" i="5"/>
  <c r="H31837" i="5"/>
  <c r="H31773" i="5"/>
  <c r="H31709" i="5"/>
  <c r="H31645" i="5"/>
  <c r="H31581" i="5"/>
  <c r="H31517" i="5"/>
  <c r="H31453" i="5"/>
  <c r="H31389" i="5"/>
  <c r="H31325" i="5"/>
  <c r="H31261" i="5"/>
  <c r="H31197" i="5"/>
  <c r="H31133" i="5"/>
  <c r="H31069" i="5"/>
  <c r="H31005" i="5"/>
  <c r="H30941" i="5"/>
  <c r="H30877" i="5"/>
  <c r="H30813" i="5"/>
  <c r="H30749" i="5"/>
  <c r="H30685" i="5"/>
  <c r="H30621" i="5"/>
  <c r="H30557" i="5"/>
  <c r="H30493" i="5"/>
  <c r="H30429" i="5"/>
  <c r="H30365" i="5"/>
  <c r="H30301" i="5"/>
  <c r="H30237" i="5"/>
  <c r="H30173" i="5"/>
  <c r="H30109" i="5"/>
  <c r="H30045" i="5"/>
  <c r="H29981" i="5"/>
  <c r="H29917" i="5"/>
  <c r="H29853" i="5"/>
  <c r="H29789" i="5"/>
  <c r="H29725" i="5"/>
  <c r="H29661" i="5"/>
  <c r="H29597" i="5"/>
  <c r="H29533" i="5"/>
  <c r="H29469" i="5"/>
  <c r="H29405" i="5"/>
  <c r="H29341" i="5"/>
  <c r="H29293" i="5"/>
  <c r="H29261" i="5"/>
  <c r="H29229" i="5"/>
  <c r="H29197" i="5"/>
  <c r="H29165" i="5"/>
  <c r="H29133" i="5"/>
  <c r="H29101" i="5"/>
  <c r="H29069" i="5"/>
  <c r="H29037" i="5"/>
  <c r="H29005" i="5"/>
  <c r="H28973" i="5"/>
  <c r="H28941" i="5"/>
  <c r="H28909" i="5"/>
  <c r="H28877" i="5"/>
  <c r="H28845" i="5"/>
  <c r="H28813" i="5"/>
  <c r="H28781" i="5"/>
  <c r="H28749" i="5"/>
  <c r="H28717" i="5"/>
  <c r="H28685" i="5"/>
  <c r="H28653" i="5"/>
  <c r="H28621" i="5"/>
  <c r="H28589" i="5"/>
  <c r="H28557" i="5"/>
  <c r="H28525" i="5"/>
  <c r="H28493" i="5"/>
  <c r="H28461" i="5"/>
  <c r="H28429" i="5"/>
  <c r="H28397" i="5"/>
  <c r="H28365" i="5"/>
  <c r="H28333" i="5"/>
  <c r="H28301" i="5"/>
  <c r="H28269" i="5"/>
  <c r="H28237" i="5"/>
  <c r="H28205" i="5"/>
  <c r="H28173" i="5"/>
  <c r="H28141" i="5"/>
  <c r="H28109" i="5"/>
  <c r="H28077" i="5"/>
  <c r="H28045" i="5"/>
  <c r="H28013" i="5"/>
  <c r="H27981" i="5"/>
  <c r="H27949" i="5"/>
  <c r="H27917" i="5"/>
  <c r="H27885" i="5"/>
  <c r="H27853" i="5"/>
  <c r="H27821" i="5"/>
  <c r="H27789" i="5"/>
  <c r="H27757" i="5"/>
  <c r="H27725" i="5"/>
  <c r="H27693" i="5"/>
  <c r="H27661" i="5"/>
  <c r="H27629" i="5"/>
  <c r="H27597" i="5"/>
  <c r="H27565" i="5"/>
  <c r="H27533" i="5"/>
  <c r="H27501" i="5"/>
  <c r="H27469" i="5"/>
  <c r="H27437" i="5"/>
  <c r="H27414" i="5"/>
  <c r="H27392" i="5"/>
  <c r="H27373" i="5"/>
  <c r="H27350" i="5"/>
  <c r="H27328" i="5"/>
  <c r="H27309" i="5"/>
  <c r="H27286" i="5"/>
  <c r="H27264" i="5"/>
  <c r="H27245" i="5"/>
  <c r="H27222" i="5"/>
  <c r="H27200" i="5"/>
  <c r="H27181" i="5"/>
  <c r="H27158" i="5"/>
  <c r="H27136" i="5"/>
  <c r="H27117" i="5"/>
  <c r="H27101" i="5"/>
  <c r="H27085" i="5"/>
  <c r="H27069" i="5"/>
  <c r="H27053" i="5"/>
  <c r="H27037" i="5"/>
  <c r="H27021" i="5"/>
  <c r="H27005" i="5"/>
  <c r="H26989" i="5"/>
  <c r="H26973" i="5"/>
  <c r="H26957" i="5"/>
  <c r="H26941" i="5"/>
  <c r="H26925" i="5"/>
  <c r="H26909" i="5"/>
  <c r="H26893" i="5"/>
  <c r="H26877" i="5"/>
  <c r="H26861" i="5"/>
  <c r="H26845" i="5"/>
  <c r="H26829" i="5"/>
  <c r="H26813" i="5"/>
  <c r="H26797" i="5"/>
  <c r="H26781" i="5"/>
  <c r="H26765" i="5"/>
  <c r="H26749" i="5"/>
  <c r="H26733" i="5"/>
  <c r="H26717" i="5"/>
  <c r="H26701" i="5"/>
  <c r="H26685" i="5"/>
  <c r="H26669" i="5"/>
  <c r="H26653" i="5"/>
  <c r="H26637" i="5"/>
  <c r="H26621" i="5"/>
  <c r="H26605" i="5"/>
  <c r="H26589" i="5"/>
  <c r="H26573" i="5"/>
  <c r="H26557" i="5"/>
  <c r="H26541" i="5"/>
  <c r="H26525" i="5"/>
  <c r="H26509" i="5"/>
  <c r="H26493" i="5"/>
  <c r="H26477" i="5"/>
  <c r="H26461" i="5"/>
  <c r="H26445" i="5"/>
  <c r="H26429" i="5"/>
  <c r="H26413" i="5"/>
  <c r="H26397" i="5"/>
  <c r="H26381" i="5"/>
  <c r="H26365" i="5"/>
  <c r="H26349" i="5"/>
  <c r="H26333" i="5"/>
  <c r="H26317" i="5"/>
  <c r="H26301" i="5"/>
  <c r="H26285" i="5"/>
  <c r="H26269" i="5"/>
  <c r="H26253" i="5"/>
  <c r="H26237" i="5"/>
  <c r="H26221" i="5"/>
  <c r="H26205" i="5"/>
  <c r="H26189" i="5"/>
  <c r="H26173" i="5"/>
  <c r="H26157" i="5"/>
  <c r="H26141" i="5"/>
  <c r="H26125" i="5"/>
  <c r="H26109" i="5"/>
  <c r="H26093" i="5"/>
  <c r="H26077" i="5"/>
  <c r="H26061" i="5"/>
  <c r="H26045" i="5"/>
  <c r="H26029" i="5"/>
  <c r="H26013" i="5"/>
  <c r="H25997" i="5"/>
  <c r="H25981" i="5"/>
  <c r="H25965" i="5"/>
  <c r="H25949" i="5"/>
  <c r="H25933" i="5"/>
  <c r="H25917" i="5"/>
  <c r="H25901" i="5"/>
  <c r="H25885" i="5"/>
  <c r="H25869" i="5"/>
  <c r="H25853" i="5"/>
  <c r="H25837" i="5"/>
  <c r="H25821" i="5"/>
  <c r="H25805" i="5"/>
  <c r="H25789" i="5"/>
  <c r="H25773" i="5"/>
  <c r="H25757" i="5"/>
  <c r="H25741" i="5"/>
  <c r="H25725" i="5"/>
  <c r="H25709" i="5"/>
  <c r="H25693" i="5"/>
  <c r="H25677" i="5"/>
  <c r="H25661" i="5"/>
  <c r="H25645" i="5"/>
  <c r="H25629" i="5"/>
  <c r="H25613" i="5"/>
  <c r="H25597" i="5"/>
  <c r="H25581" i="5"/>
  <c r="H25565" i="5"/>
  <c r="H25549" i="5"/>
  <c r="H25533" i="5"/>
  <c r="H25520" i="5"/>
  <c r="H25508" i="5"/>
  <c r="H25494" i="5"/>
  <c r="H25483" i="5"/>
  <c r="H25469" i="5"/>
  <c r="H25456" i="5"/>
  <c r="H25444" i="5"/>
  <c r="H25430" i="5"/>
  <c r="H25419" i="5"/>
  <c r="H25405" i="5"/>
  <c r="H25392" i="5"/>
  <c r="H25380" i="5"/>
  <c r="H25366" i="5"/>
  <c r="H25355" i="5"/>
  <c r="H25341" i="5"/>
  <c r="H25328" i="5"/>
  <c r="H25316" i="5"/>
  <c r="H25302" i="5"/>
  <c r="H25291" i="5"/>
  <c r="H25277" i="5"/>
  <c r="H25264" i="5"/>
  <c r="H25252" i="5"/>
  <c r="H25238" i="5"/>
  <c r="H25227" i="5"/>
  <c r="H25213" i="5"/>
  <c r="H25200" i="5"/>
  <c r="H25188" i="5"/>
  <c r="H25174" i="5"/>
  <c r="H25163" i="5"/>
  <c r="H25149" i="5"/>
  <c r="H25136" i="5"/>
  <c r="H25124" i="5"/>
  <c r="H25110" i="5"/>
  <c r="H25099" i="5"/>
  <c r="H25085" i="5"/>
  <c r="H25072" i="5"/>
  <c r="H25060" i="5"/>
  <c r="H25046" i="5"/>
  <c r="H25035" i="5"/>
  <c r="H25021" i="5"/>
  <c r="H25008" i="5"/>
  <c r="H24996" i="5"/>
  <c r="H24982" i="5"/>
  <c r="H24971" i="5"/>
  <c r="H24962" i="5"/>
  <c r="H24952" i="5"/>
  <c r="H24943" i="5"/>
  <c r="H24934" i="5"/>
  <c r="H24925" i="5"/>
  <c r="H24917" i="5"/>
  <c r="H24909" i="5"/>
  <c r="H24901" i="5"/>
  <c r="H24893" i="5"/>
  <c r="H24885" i="5"/>
  <c r="H24877" i="5"/>
  <c r="H24869" i="5"/>
  <c r="H24861" i="5"/>
  <c r="H24853" i="5"/>
  <c r="H24845" i="5"/>
  <c r="H24837" i="5"/>
  <c r="H24829" i="5"/>
  <c r="H24821" i="5"/>
  <c r="H24813" i="5"/>
  <c r="H24805" i="5"/>
  <c r="H24797" i="5"/>
  <c r="H24789" i="5"/>
  <c r="H24781" i="5"/>
  <c r="H24773" i="5"/>
  <c r="H24765" i="5"/>
  <c r="H24757" i="5"/>
  <c r="H24749" i="5"/>
  <c r="H24741" i="5"/>
  <c r="H24733" i="5"/>
  <c r="H24725" i="5"/>
  <c r="H24717" i="5"/>
  <c r="H24709" i="5"/>
  <c r="H24701" i="5"/>
  <c r="H24693" i="5"/>
  <c r="H24685" i="5"/>
  <c r="H24677" i="5"/>
  <c r="H24669" i="5"/>
  <c r="H24661" i="5"/>
  <c r="H24653" i="5"/>
  <c r="H24645" i="5"/>
  <c r="H24637" i="5"/>
  <c r="H24629" i="5"/>
  <c r="H24621" i="5"/>
  <c r="H24613" i="5"/>
  <c r="H24605" i="5"/>
  <c r="H24597" i="5"/>
  <c r="H24589" i="5"/>
  <c r="H24581" i="5"/>
  <c r="H24573" i="5"/>
  <c r="H24565" i="5"/>
  <c r="H24557" i="5"/>
  <c r="H24549" i="5"/>
  <c r="H24541" i="5"/>
  <c r="H24533" i="5"/>
  <c r="H24525" i="5"/>
  <c r="H24517" i="5"/>
  <c r="H24509" i="5"/>
  <c r="H24501" i="5"/>
  <c r="H24493" i="5"/>
  <c r="H24485" i="5"/>
  <c r="H24477" i="5"/>
  <c r="H24469" i="5"/>
  <c r="H24461" i="5"/>
  <c r="H24453" i="5"/>
  <c r="H24445" i="5"/>
  <c r="H24437" i="5"/>
  <c r="H24429" i="5"/>
  <c r="H24421" i="5"/>
  <c r="H24413" i="5"/>
  <c r="H24405" i="5"/>
  <c r="H24397" i="5"/>
  <c r="H24389" i="5"/>
  <c r="H24381" i="5"/>
  <c r="H24373" i="5"/>
  <c r="H24365" i="5"/>
  <c r="H24357" i="5"/>
  <c r="H24349" i="5"/>
  <c r="H24341" i="5"/>
  <c r="H24333" i="5"/>
  <c r="H24325" i="5"/>
  <c r="H24317" i="5"/>
  <c r="H24309" i="5"/>
  <c r="H24301" i="5"/>
  <c r="H24293" i="5"/>
  <c r="H24285" i="5"/>
  <c r="H24277" i="5"/>
  <c r="H24269" i="5"/>
  <c r="H24261" i="5"/>
  <c r="H24253" i="5"/>
  <c r="H24245" i="5"/>
  <c r="H24237" i="5"/>
  <c r="H24229" i="5"/>
  <c r="H24221" i="5"/>
  <c r="H24213" i="5"/>
  <c r="H24205" i="5"/>
  <c r="H24197" i="5"/>
  <c r="H24189" i="5"/>
  <c r="H24181" i="5"/>
  <c r="H24173" i="5"/>
  <c r="H24165" i="5"/>
  <c r="H24157" i="5"/>
  <c r="H24149" i="5"/>
  <c r="H24141" i="5"/>
  <c r="H24133" i="5"/>
  <c r="H24125" i="5"/>
  <c r="H24117" i="5"/>
  <c r="H24109" i="5"/>
  <c r="H24101" i="5"/>
  <c r="H24093" i="5"/>
  <c r="H24085" i="5"/>
  <c r="H24077" i="5"/>
  <c r="H24069" i="5"/>
  <c r="H24061" i="5"/>
  <c r="H24053" i="5"/>
  <c r="H24045" i="5"/>
  <c r="H24037" i="5"/>
  <c r="H24029" i="5"/>
  <c r="H24021" i="5"/>
  <c r="H24013" i="5"/>
  <c r="H24005" i="5"/>
  <c r="H23997" i="5"/>
  <c r="H23989" i="5"/>
  <c r="H23981" i="5"/>
  <c r="H23973" i="5"/>
  <c r="H23965" i="5"/>
  <c r="H23957" i="5"/>
  <c r="H23949" i="5"/>
  <c r="H23941" i="5"/>
  <c r="H23933" i="5"/>
  <c r="H23925" i="5"/>
  <c r="H23917" i="5"/>
  <c r="H23909" i="5"/>
  <c r="H23901" i="5"/>
  <c r="H23893" i="5"/>
  <c r="H23885" i="5"/>
  <c r="H23877" i="5"/>
  <c r="H23869" i="5"/>
  <c r="H23861" i="5"/>
  <c r="H23853" i="5"/>
  <c r="H23845" i="5"/>
  <c r="H23837" i="5"/>
  <c r="H23829" i="5"/>
  <c r="H23821" i="5"/>
  <c r="H23813" i="5"/>
  <c r="H23805" i="5"/>
  <c r="H23797" i="5"/>
  <c r="H23789" i="5"/>
  <c r="H23781" i="5"/>
  <c r="H23773" i="5"/>
  <c r="H23765" i="5"/>
  <c r="H23757" i="5"/>
  <c r="H23749" i="5"/>
  <c r="H23741" i="5"/>
  <c r="H23733" i="5"/>
  <c r="H23725" i="5"/>
  <c r="H23717" i="5"/>
  <c r="H23709" i="5"/>
  <c r="H23701" i="5"/>
  <c r="H23693" i="5"/>
  <c r="H23685" i="5"/>
  <c r="H23677" i="5"/>
  <c r="H23669" i="5"/>
  <c r="H23661" i="5"/>
  <c r="H23653" i="5"/>
  <c r="H23645" i="5"/>
  <c r="H23637" i="5"/>
  <c r="H23629" i="5"/>
  <c r="H23621" i="5"/>
  <c r="H23613" i="5"/>
  <c r="H23605" i="5"/>
  <c r="H23597" i="5"/>
  <c r="H23589" i="5"/>
  <c r="H23581" i="5"/>
  <c r="H23573" i="5"/>
  <c r="H23565" i="5"/>
  <c r="H23557" i="5"/>
  <c r="H23549" i="5"/>
  <c r="H23541" i="5"/>
  <c r="H23533" i="5"/>
  <c r="H23525" i="5"/>
  <c r="H23517" i="5"/>
  <c r="H23509" i="5"/>
  <c r="H23501" i="5"/>
  <c r="H23493" i="5"/>
  <c r="H23485" i="5"/>
  <c r="H23477" i="5"/>
  <c r="H23469" i="5"/>
  <c r="H23461" i="5"/>
  <c r="H23453" i="5"/>
  <c r="H23445" i="5"/>
  <c r="H23437" i="5"/>
  <c r="H23429" i="5"/>
  <c r="H23421" i="5"/>
  <c r="H23413" i="5"/>
  <c r="H23405" i="5"/>
  <c r="H23397" i="5"/>
  <c r="H23389" i="5"/>
  <c r="H23381" i="5"/>
  <c r="H23373" i="5"/>
  <c r="H23365" i="5"/>
  <c r="H23357" i="5"/>
  <c r="H23349" i="5"/>
  <c r="H23341" i="5"/>
  <c r="H23333" i="5"/>
  <c r="H23325" i="5"/>
  <c r="H23317" i="5"/>
  <c r="H23309" i="5"/>
  <c r="H23301" i="5"/>
  <c r="H23293" i="5"/>
  <c r="H23285" i="5"/>
  <c r="H23277" i="5"/>
  <c r="H23269" i="5"/>
  <c r="H23261" i="5"/>
  <c r="H23253" i="5"/>
  <c r="H23245" i="5"/>
  <c r="H23237" i="5"/>
  <c r="H23229" i="5"/>
  <c r="H23221" i="5"/>
  <c r="H23213" i="5"/>
  <c r="H23205" i="5"/>
  <c r="H23197" i="5"/>
  <c r="H23189" i="5"/>
  <c r="H23181" i="5"/>
  <c r="H23173" i="5"/>
  <c r="H23165" i="5"/>
  <c r="H23157" i="5"/>
  <c r="H23149" i="5"/>
  <c r="H23141" i="5"/>
  <c r="H23133" i="5"/>
  <c r="H23125" i="5"/>
  <c r="H23117" i="5"/>
  <c r="H23109" i="5"/>
  <c r="H23101" i="5"/>
  <c r="H23093" i="5"/>
  <c r="H23085" i="5"/>
  <c r="H23077" i="5"/>
  <c r="H23069" i="5"/>
  <c r="H23061" i="5"/>
  <c r="H23053" i="5"/>
  <c r="H23045" i="5"/>
  <c r="H23037" i="5"/>
  <c r="H23029" i="5"/>
  <c r="H23021" i="5"/>
  <c r="H23013" i="5"/>
  <c r="H23005" i="5"/>
  <c r="H22997" i="5"/>
  <c r="H22989" i="5"/>
  <c r="H22981" i="5"/>
  <c r="H22973" i="5"/>
  <c r="H22965" i="5"/>
  <c r="H22957" i="5"/>
  <c r="H22949" i="5"/>
  <c r="H22941" i="5"/>
  <c r="H22933" i="5"/>
  <c r="H22925" i="5"/>
  <c r="H22917" i="5"/>
  <c r="H22909" i="5"/>
  <c r="H22901" i="5"/>
  <c r="H22893" i="5"/>
  <c r="H22885" i="5"/>
  <c r="H22877" i="5"/>
  <c r="H22869" i="5"/>
  <c r="H22861" i="5"/>
  <c r="H22853" i="5"/>
  <c r="H22845" i="5"/>
  <c r="H22837" i="5"/>
  <c r="H22829" i="5"/>
  <c r="H22821" i="5"/>
  <c r="H22813" i="5"/>
  <c r="H22805" i="5"/>
  <c r="H22797" i="5"/>
  <c r="H22789" i="5"/>
  <c r="H22781" i="5"/>
  <c r="H22773" i="5"/>
  <c r="H22765" i="5"/>
  <c r="H22757" i="5"/>
  <c r="H22749" i="5"/>
  <c r="H22741" i="5"/>
  <c r="H22733" i="5"/>
  <c r="H22725" i="5"/>
  <c r="H22717" i="5"/>
  <c r="H22709" i="5"/>
  <c r="H22701" i="5"/>
  <c r="H22693" i="5"/>
  <c r="H22685" i="5"/>
  <c r="H22677" i="5"/>
  <c r="H22669" i="5"/>
  <c r="H22661" i="5"/>
  <c r="H22653" i="5"/>
  <c r="H22645" i="5"/>
  <c r="H22637" i="5"/>
  <c r="H22629" i="5"/>
  <c r="H22621" i="5"/>
  <c r="H22613" i="5"/>
  <c r="H22605" i="5"/>
  <c r="H22597" i="5"/>
  <c r="H22589" i="5"/>
  <c r="H22581" i="5"/>
  <c r="H22573" i="5"/>
  <c r="H22565" i="5"/>
  <c r="H22557" i="5"/>
  <c r="H22549" i="5"/>
  <c r="H22541" i="5"/>
  <c r="H22533" i="5"/>
  <c r="H22525" i="5"/>
  <c r="H22517" i="5"/>
  <c r="H22509" i="5"/>
  <c r="H22501" i="5"/>
  <c r="H22493" i="5"/>
  <c r="H22485" i="5"/>
  <c r="H22477" i="5"/>
  <c r="H22469" i="5"/>
  <c r="H22461" i="5"/>
  <c r="H22453" i="5"/>
  <c r="H22445" i="5"/>
  <c r="H22437" i="5"/>
  <c r="H22429" i="5"/>
  <c r="H22421" i="5"/>
  <c r="H22413" i="5"/>
  <c r="H22405" i="5"/>
  <c r="H22397" i="5"/>
  <c r="H22389" i="5"/>
  <c r="H22381" i="5"/>
  <c r="H22373" i="5"/>
  <c r="H22365" i="5"/>
  <c r="H22357" i="5"/>
  <c r="H22349" i="5"/>
  <c r="H22341" i="5"/>
  <c r="H22333" i="5"/>
  <c r="H22325" i="5"/>
  <c r="H22317" i="5"/>
  <c r="H22309" i="5"/>
  <c r="H22301" i="5"/>
  <c r="H22293" i="5"/>
  <c r="H22285" i="5"/>
  <c r="H22277" i="5"/>
  <c r="H22269" i="5"/>
  <c r="H22261" i="5"/>
  <c r="H22253" i="5"/>
  <c r="H22245" i="5"/>
  <c r="H22237" i="5"/>
  <c r="H22229" i="5"/>
  <c r="H22221" i="5"/>
  <c r="H22213" i="5"/>
  <c r="H22205" i="5"/>
  <c r="H22197" i="5"/>
  <c r="H22189" i="5"/>
  <c r="H22181" i="5"/>
  <c r="H22173" i="5"/>
  <c r="H22165" i="5"/>
  <c r="H22157" i="5"/>
  <c r="H22149" i="5"/>
  <c r="H22141" i="5"/>
  <c r="H22133" i="5"/>
  <c r="H22125" i="5"/>
  <c r="H22117" i="5"/>
  <c r="H22109" i="5"/>
  <c r="H22101" i="5"/>
  <c r="H22093" i="5"/>
  <c r="H22085" i="5"/>
  <c r="H22077" i="5"/>
  <c r="H22069" i="5"/>
  <c r="H22061" i="5"/>
  <c r="H22053" i="5"/>
  <c r="H22045" i="5"/>
  <c r="H22037" i="5"/>
  <c r="H22029" i="5"/>
  <c r="H22021" i="5"/>
  <c r="H22013" i="5"/>
  <c r="H22005" i="5"/>
  <c r="H21997" i="5"/>
  <c r="H21989" i="5"/>
  <c r="H21981" i="5"/>
  <c r="H21973" i="5"/>
  <c r="H21965" i="5"/>
  <c r="H21957" i="5"/>
  <c r="H21949" i="5"/>
  <c r="H21941" i="5"/>
  <c r="H21933" i="5"/>
  <c r="H21925" i="5"/>
  <c r="H21917" i="5"/>
  <c r="H21909" i="5"/>
  <c r="H21901" i="5"/>
  <c r="H21893" i="5"/>
  <c r="H21885" i="5"/>
  <c r="H21877" i="5"/>
  <c r="H21869" i="5"/>
  <c r="H21861" i="5"/>
  <c r="H21853" i="5"/>
  <c r="H21845" i="5"/>
  <c r="H21837" i="5"/>
  <c r="H21829" i="5"/>
  <c r="H21821" i="5"/>
  <c r="H21813" i="5"/>
  <c r="H21805" i="5"/>
  <c r="H21797" i="5"/>
  <c r="H21789" i="5"/>
  <c r="H21781" i="5"/>
  <c r="H21773" i="5"/>
  <c r="H21765" i="5"/>
  <c r="H21757" i="5"/>
  <c r="H21749" i="5"/>
  <c r="H21741" i="5"/>
  <c r="H21733" i="5"/>
  <c r="H21725" i="5"/>
  <c r="H21717" i="5"/>
  <c r="H21709" i="5"/>
  <c r="H21701" i="5"/>
  <c r="H21693" i="5"/>
  <c r="H21685" i="5"/>
  <c r="H21677" i="5"/>
  <c r="H21669" i="5"/>
  <c r="H21661" i="5"/>
  <c r="H21653" i="5"/>
  <c r="H21645" i="5"/>
  <c r="H21637" i="5"/>
  <c r="H21629" i="5"/>
  <c r="H21621" i="5"/>
  <c r="H21613" i="5"/>
  <c r="H21605" i="5"/>
  <c r="H21597" i="5"/>
  <c r="H21589" i="5"/>
  <c r="H21581" i="5"/>
  <c r="H21573" i="5"/>
  <c r="H21565" i="5"/>
  <c r="H21557" i="5"/>
  <c r="H21549" i="5"/>
  <c r="H21541" i="5"/>
  <c r="H21533" i="5"/>
  <c r="H21525" i="5"/>
  <c r="H21517" i="5"/>
  <c r="H21509" i="5"/>
  <c r="H21501" i="5"/>
  <c r="H21493" i="5"/>
  <c r="H21485" i="5"/>
  <c r="H21477" i="5"/>
  <c r="H21469" i="5"/>
  <c r="H21461" i="5"/>
  <c r="H21453" i="5"/>
  <c r="H21445" i="5"/>
  <c r="H21437" i="5"/>
  <c r="H21429" i="5"/>
  <c r="H21421" i="5"/>
  <c r="H21413" i="5"/>
  <c r="H21405" i="5"/>
  <c r="H21397" i="5"/>
  <c r="H21389" i="5"/>
  <c r="H21381" i="5"/>
  <c r="H21373" i="5"/>
  <c r="H21365" i="5"/>
  <c r="H21357" i="5"/>
  <c r="H21349" i="5"/>
  <c r="H21341" i="5"/>
  <c r="H21333" i="5"/>
  <c r="H21325" i="5"/>
  <c r="H21317" i="5"/>
  <c r="H21309" i="5"/>
  <c r="H21301" i="5"/>
  <c r="H21293" i="5"/>
  <c r="H21285" i="5"/>
  <c r="H21277" i="5"/>
  <c r="H21269" i="5"/>
  <c r="H21261" i="5"/>
  <c r="H21253" i="5"/>
  <c r="H21245" i="5"/>
  <c r="H21237" i="5"/>
  <c r="H21229" i="5"/>
  <c r="H21221" i="5"/>
  <c r="H21213" i="5"/>
  <c r="H21205" i="5"/>
  <c r="H21197" i="5"/>
  <c r="H21189" i="5"/>
  <c r="H21181" i="5"/>
  <c r="H21173" i="5"/>
  <c r="H21165" i="5"/>
  <c r="H21157" i="5"/>
  <c r="H21149" i="5"/>
  <c r="H21141" i="5"/>
  <c r="H21133" i="5"/>
  <c r="H21125" i="5"/>
  <c r="H21117" i="5"/>
  <c r="H21109" i="5"/>
  <c r="H21101" i="5"/>
  <c r="H21093" i="5"/>
  <c r="H21085" i="5"/>
  <c r="H21077" i="5"/>
  <c r="H21069" i="5"/>
  <c r="H21061" i="5"/>
  <c r="H21053" i="5"/>
  <c r="H21045" i="5"/>
  <c r="H21037" i="5"/>
  <c r="H21029" i="5"/>
  <c r="H21021" i="5"/>
  <c r="H21013" i="5"/>
  <c r="H21005" i="5"/>
  <c r="H20997" i="5"/>
  <c r="H20989" i="5"/>
  <c r="H20981" i="5"/>
  <c r="H20973" i="5"/>
  <c r="H20965" i="5"/>
  <c r="H20957" i="5"/>
  <c r="H20949" i="5"/>
  <c r="H20941" i="5"/>
  <c r="H20933" i="5"/>
  <c r="H20925" i="5"/>
  <c r="H20917" i="5"/>
  <c r="H20909" i="5"/>
  <c r="H20901" i="5"/>
  <c r="H20893" i="5"/>
  <c r="H20885" i="5"/>
  <c r="H20877" i="5"/>
  <c r="H20869" i="5"/>
  <c r="H20861" i="5"/>
  <c r="H20853" i="5"/>
  <c r="H20845" i="5"/>
  <c r="H20837" i="5"/>
  <c r="H20829" i="5"/>
  <c r="H20821" i="5"/>
  <c r="H20813" i="5"/>
  <c r="H20805" i="5"/>
  <c r="H20797" i="5"/>
  <c r="H20789" i="5"/>
  <c r="H20781" i="5"/>
  <c r="H20773" i="5"/>
  <c r="H20765" i="5"/>
  <c r="H20757" i="5"/>
  <c r="H20749" i="5"/>
  <c r="H20741" i="5"/>
  <c r="H20733" i="5"/>
  <c r="H20725" i="5"/>
  <c r="H20717" i="5"/>
  <c r="H20709" i="5"/>
  <c r="H20701" i="5"/>
  <c r="H20693" i="5"/>
  <c r="H20685" i="5"/>
  <c r="H20677" i="5"/>
  <c r="H20669" i="5"/>
  <c r="H20661" i="5"/>
  <c r="H20653" i="5"/>
  <c r="H20645" i="5"/>
  <c r="H20637" i="5"/>
  <c r="H20629" i="5"/>
  <c r="H20621" i="5"/>
  <c r="H20613" i="5"/>
  <c r="H20605" i="5"/>
  <c r="H20597" i="5"/>
  <c r="H20589" i="5"/>
  <c r="H20581" i="5"/>
  <c r="H20573" i="5"/>
  <c r="H20565" i="5"/>
  <c r="H20557" i="5"/>
  <c r="H20549" i="5"/>
  <c r="H20541" i="5"/>
  <c r="H20533" i="5"/>
  <c r="H20525" i="5"/>
  <c r="H20517" i="5"/>
  <c r="H20509" i="5"/>
  <c r="H20501" i="5"/>
  <c r="H20493" i="5"/>
  <c r="H20485" i="5"/>
  <c r="H20477" i="5"/>
  <c r="H20469" i="5"/>
  <c r="H20461" i="5"/>
  <c r="H20453" i="5"/>
  <c r="H20445" i="5"/>
  <c r="H20437" i="5"/>
  <c r="H20429" i="5"/>
  <c r="H20421" i="5"/>
  <c r="H20413" i="5"/>
  <c r="H20405" i="5"/>
  <c r="H20397" i="5"/>
  <c r="H20389" i="5"/>
  <c r="H20381" i="5"/>
  <c r="H20373" i="5"/>
  <c r="H20365" i="5"/>
  <c r="H20357" i="5"/>
  <c r="H20349" i="5"/>
  <c r="H20341" i="5"/>
  <c r="H20333" i="5"/>
  <c r="H20325" i="5"/>
  <c r="H20317" i="5"/>
  <c r="H20309" i="5"/>
  <c r="H20301" i="5"/>
  <c r="H20293" i="5"/>
  <c r="H20285" i="5"/>
  <c r="H20277" i="5"/>
  <c r="H20269" i="5"/>
  <c r="H20261" i="5"/>
  <c r="H20253" i="5"/>
  <c r="H20245" i="5"/>
  <c r="H20237" i="5"/>
  <c r="H20229" i="5"/>
  <c r="H20221" i="5"/>
  <c r="H20213" i="5"/>
  <c r="H20205" i="5"/>
  <c r="H20197" i="5"/>
  <c r="H20189" i="5"/>
  <c r="H20181" i="5"/>
  <c r="H20173" i="5"/>
  <c r="H20165" i="5"/>
  <c r="H20157" i="5"/>
  <c r="H20149" i="5"/>
  <c r="H20141" i="5"/>
  <c r="H20133" i="5"/>
  <c r="H20125" i="5"/>
  <c r="H20117" i="5"/>
  <c r="H20109" i="5"/>
  <c r="H20101" i="5"/>
  <c r="H20093" i="5"/>
  <c r="H20085" i="5"/>
  <c r="H20077" i="5"/>
  <c r="H20069" i="5"/>
  <c r="H20061" i="5"/>
  <c r="H20053" i="5"/>
  <c r="H20045" i="5"/>
  <c r="H20037" i="5"/>
  <c r="H20029" i="5"/>
  <c r="H20021" i="5"/>
  <c r="H20013" i="5"/>
  <c r="H20005" i="5"/>
  <c r="H19997" i="5"/>
  <c r="H19989" i="5"/>
  <c r="H19981" i="5"/>
  <c r="H19973" i="5"/>
  <c r="H19965" i="5"/>
  <c r="H19957" i="5"/>
  <c r="H19949" i="5"/>
  <c r="H19941" i="5"/>
  <c r="H19933" i="5"/>
  <c r="H19925" i="5"/>
  <c r="H19917" i="5"/>
  <c r="H19909" i="5"/>
  <c r="H19901" i="5"/>
  <c r="H19893" i="5"/>
  <c r="H19885" i="5"/>
  <c r="H19877" i="5"/>
  <c r="H19869" i="5"/>
  <c r="H19861" i="5"/>
  <c r="H19853" i="5"/>
  <c r="H19845" i="5"/>
  <c r="H19837" i="5"/>
  <c r="H19829" i="5"/>
  <c r="H19821" i="5"/>
  <c r="H19813" i="5"/>
  <c r="H19805" i="5"/>
  <c r="H19797" i="5"/>
  <c r="H19789" i="5"/>
  <c r="H19781" i="5"/>
  <c r="H19773" i="5"/>
  <c r="H19765" i="5"/>
  <c r="H19757" i="5"/>
  <c r="H19749" i="5"/>
  <c r="H19741" i="5"/>
  <c r="H19733" i="5"/>
  <c r="H19725" i="5"/>
  <c r="H19717" i="5"/>
  <c r="H19709" i="5"/>
  <c r="H19701" i="5"/>
  <c r="H19693" i="5"/>
  <c r="H19685" i="5"/>
  <c r="H19677" i="5"/>
  <c r="H19669" i="5"/>
  <c r="H19661" i="5"/>
  <c r="H19653" i="5"/>
  <c r="H19645" i="5"/>
  <c r="H19637" i="5"/>
  <c r="H19629" i="5"/>
  <c r="H19621" i="5"/>
  <c r="H19613" i="5"/>
  <c r="H19605" i="5"/>
  <c r="H19597" i="5"/>
  <c r="H19589" i="5"/>
  <c r="H19581" i="5"/>
  <c r="H19573" i="5"/>
  <c r="H19565" i="5"/>
  <c r="H19557" i="5"/>
  <c r="H19549" i="5"/>
  <c r="H19541" i="5"/>
  <c r="H19533" i="5"/>
  <c r="H19525" i="5"/>
  <c r="H19517" i="5"/>
  <c r="H19509" i="5"/>
  <c r="H19501" i="5"/>
  <c r="H19493" i="5"/>
  <c r="H19485" i="5"/>
  <c r="H19477" i="5"/>
  <c r="H19469" i="5"/>
  <c r="H19461" i="5"/>
  <c r="H19453" i="5"/>
  <c r="H19445" i="5"/>
  <c r="H19437" i="5"/>
  <c r="H19429" i="5"/>
  <c r="H19421" i="5"/>
  <c r="H19413" i="5"/>
  <c r="H19405" i="5"/>
  <c r="H19397" i="5"/>
  <c r="H19389" i="5"/>
  <c r="H19381" i="5"/>
  <c r="H19373" i="5"/>
  <c r="H19365" i="5"/>
  <c r="H19357" i="5"/>
  <c r="H19349" i="5"/>
  <c r="H19341" i="5"/>
  <c r="H19333" i="5"/>
  <c r="H19325" i="5"/>
  <c r="H19317" i="5"/>
  <c r="H19309" i="5"/>
  <c r="H19301" i="5"/>
  <c r="H19293" i="5"/>
  <c r="H19285" i="5"/>
  <c r="H19277" i="5"/>
  <c r="H19269" i="5"/>
  <c r="H19261" i="5"/>
  <c r="H19253" i="5"/>
  <c r="H19245" i="5"/>
  <c r="H19237" i="5"/>
  <c r="H19229" i="5"/>
  <c r="H19221" i="5"/>
  <c r="H19213" i="5"/>
  <c r="H19205" i="5"/>
  <c r="H19197" i="5"/>
  <c r="H19189" i="5"/>
  <c r="H19181" i="5"/>
  <c r="H19173" i="5"/>
  <c r="H19165" i="5"/>
  <c r="H19157" i="5"/>
  <c r="H19149" i="5"/>
  <c r="H19141" i="5"/>
  <c r="H19133" i="5"/>
  <c r="H19125" i="5"/>
  <c r="H19117" i="5"/>
  <c r="H19109" i="5"/>
  <c r="H19101" i="5"/>
  <c r="H19093" i="5"/>
  <c r="H19085" i="5"/>
  <c r="H19077" i="5"/>
  <c r="H19069" i="5"/>
  <c r="H19061" i="5"/>
  <c r="H19053" i="5"/>
  <c r="H19045" i="5"/>
  <c r="H19037" i="5"/>
  <c r="H19029" i="5"/>
  <c r="H19021" i="5"/>
  <c r="H19013" i="5"/>
  <c r="H19005" i="5"/>
  <c r="H18997" i="5"/>
  <c r="H18989" i="5"/>
  <c r="H18981" i="5"/>
  <c r="H18973" i="5"/>
  <c r="H18965" i="5"/>
  <c r="H18957" i="5"/>
  <c r="H18949" i="5"/>
  <c r="H18941" i="5"/>
  <c r="H18933" i="5"/>
  <c r="H18925" i="5"/>
  <c r="H18917" i="5"/>
  <c r="H18909" i="5"/>
  <c r="H18901" i="5"/>
  <c r="H18893" i="5"/>
  <c r="H18885" i="5"/>
  <c r="H18877" i="5"/>
  <c r="H18869" i="5"/>
  <c r="H18861" i="5"/>
  <c r="H18853" i="5"/>
  <c r="H18845" i="5"/>
  <c r="H18837" i="5"/>
  <c r="H18829" i="5"/>
  <c r="H18821" i="5"/>
  <c r="H18813" i="5"/>
  <c r="H18805" i="5"/>
  <c r="H18797" i="5"/>
  <c r="H18789" i="5"/>
  <c r="H18781" i="5"/>
  <c r="H18773" i="5"/>
  <c r="H18765" i="5"/>
  <c r="H18757" i="5"/>
  <c r="H18749" i="5"/>
  <c r="H18741" i="5"/>
  <c r="H18733" i="5"/>
  <c r="H18725" i="5"/>
  <c r="H18717" i="5"/>
  <c r="H18709" i="5"/>
  <c r="H18701" i="5"/>
  <c r="H18693" i="5"/>
  <c r="H18685" i="5"/>
  <c r="H18677" i="5"/>
  <c r="H18669" i="5"/>
  <c r="H18661" i="5"/>
  <c r="H18653" i="5"/>
  <c r="H18645" i="5"/>
  <c r="H18637" i="5"/>
  <c r="H18629" i="5"/>
  <c r="H18621" i="5"/>
  <c r="H18613" i="5"/>
  <c r="H18605" i="5"/>
  <c r="H18597" i="5"/>
  <c r="H18589" i="5"/>
  <c r="H18581" i="5"/>
  <c r="H18573" i="5"/>
  <c r="H18565" i="5"/>
  <c r="H18557" i="5"/>
  <c r="H18549" i="5"/>
  <c r="H18541" i="5"/>
  <c r="H18533" i="5"/>
  <c r="H18525" i="5"/>
  <c r="H18517" i="5"/>
  <c r="H18509" i="5"/>
  <c r="H18501" i="5"/>
  <c r="H18493" i="5"/>
  <c r="H18485" i="5"/>
  <c r="H18477" i="5"/>
  <c r="H18469" i="5"/>
  <c r="H18461" i="5"/>
  <c r="H18453" i="5"/>
  <c r="H18445" i="5"/>
  <c r="H18437" i="5"/>
  <c r="H18429" i="5"/>
  <c r="H18421" i="5"/>
  <c r="H18413" i="5"/>
  <c r="H18405" i="5"/>
  <c r="H18397" i="5"/>
  <c r="H18389" i="5"/>
  <c r="H18381" i="5"/>
  <c r="H18373" i="5"/>
  <c r="H18365" i="5"/>
  <c r="H18357" i="5"/>
  <c r="H18349" i="5"/>
  <c r="H18341" i="5"/>
  <c r="H18333" i="5"/>
  <c r="H18325" i="5"/>
  <c r="H18317" i="5"/>
  <c r="H18309" i="5"/>
  <c r="H18301" i="5"/>
  <c r="H18293" i="5"/>
  <c r="H18285" i="5"/>
  <c r="H18277" i="5"/>
  <c r="H18269" i="5"/>
  <c r="H18261" i="5"/>
  <c r="H18253" i="5"/>
  <c r="H18245" i="5"/>
  <c r="H18237" i="5"/>
  <c r="H18229" i="5"/>
  <c r="H18221" i="5"/>
  <c r="H18213" i="5"/>
  <c r="H18205" i="5"/>
  <c r="H18197" i="5"/>
  <c r="H18189" i="5"/>
  <c r="H18181" i="5"/>
  <c r="H18173" i="5"/>
  <c r="H18165" i="5"/>
  <c r="H18157" i="5"/>
  <c r="H18149" i="5"/>
  <c r="H18141" i="5"/>
  <c r="H18133" i="5"/>
  <c r="H18125" i="5"/>
  <c r="H18117" i="5"/>
  <c r="H18109" i="5"/>
  <c r="H18101" i="5"/>
  <c r="H18093" i="5"/>
  <c r="H18085" i="5"/>
  <c r="H18077" i="5"/>
  <c r="H18069" i="5"/>
  <c r="H18061" i="5"/>
  <c r="H18053" i="5"/>
  <c r="H18045" i="5"/>
  <c r="H18037" i="5"/>
  <c r="H18029" i="5"/>
  <c r="H18021" i="5"/>
  <c r="H18013" i="5"/>
  <c r="H18005" i="5"/>
  <c r="H17997" i="5"/>
  <c r="H17989" i="5"/>
  <c r="H17981" i="5"/>
  <c r="H17973" i="5"/>
  <c r="H17965" i="5"/>
  <c r="H17957" i="5"/>
  <c r="H17949" i="5"/>
  <c r="H17941" i="5"/>
  <c r="H17933" i="5"/>
  <c r="H17925" i="5"/>
  <c r="H17917" i="5"/>
  <c r="H17909" i="5"/>
  <c r="H17901" i="5"/>
  <c r="H17893" i="5"/>
  <c r="H17885" i="5"/>
  <c r="H17877" i="5"/>
  <c r="H17869" i="5"/>
  <c r="H17861" i="5"/>
  <c r="H17853" i="5"/>
  <c r="H17845" i="5"/>
  <c r="H17837" i="5"/>
  <c r="H17829" i="5"/>
  <c r="H17821" i="5"/>
  <c r="H17813" i="5"/>
  <c r="H17805" i="5"/>
  <c r="H17797" i="5"/>
  <c r="H17789" i="5"/>
  <c r="H17781" i="5"/>
  <c r="H17773" i="5"/>
  <c r="H17765" i="5"/>
  <c r="H17757" i="5"/>
  <c r="H17749" i="5"/>
  <c r="H17741" i="5"/>
  <c r="H17733" i="5"/>
  <c r="H17725" i="5"/>
  <c r="H17717" i="5"/>
  <c r="H17709" i="5"/>
  <c r="H17701" i="5"/>
  <c r="H17693" i="5"/>
  <c r="H17685" i="5"/>
  <c r="H17677" i="5"/>
  <c r="H17669" i="5"/>
  <c r="H17661" i="5"/>
  <c r="H17653" i="5"/>
  <c r="H17645" i="5"/>
  <c r="H17637" i="5"/>
  <c r="H17629" i="5"/>
  <c r="H17621" i="5"/>
  <c r="H17613" i="5"/>
  <c r="H17605" i="5"/>
  <c r="H17597" i="5"/>
  <c r="H17589" i="5"/>
  <c r="H17581" i="5"/>
  <c r="H17573" i="5"/>
  <c r="H17565" i="5"/>
  <c r="H17557" i="5"/>
  <c r="H17549" i="5"/>
  <c r="H17541" i="5"/>
  <c r="H17533" i="5"/>
  <c r="H17525" i="5"/>
  <c r="H17517" i="5"/>
  <c r="H17509" i="5"/>
  <c r="H17501" i="5"/>
  <c r="H17493" i="5"/>
  <c r="H17485" i="5"/>
  <c r="H17477" i="5"/>
  <c r="H17469" i="5"/>
  <c r="H17461" i="5"/>
  <c r="H17453" i="5"/>
  <c r="H17445" i="5"/>
  <c r="H17437" i="5"/>
  <c r="H17429" i="5"/>
  <c r="H17421" i="5"/>
  <c r="H17413" i="5"/>
  <c r="H17405" i="5"/>
  <c r="H17397" i="5"/>
  <c r="H17389" i="5"/>
  <c r="H17381" i="5"/>
  <c r="H17373" i="5"/>
  <c r="H17365" i="5"/>
  <c r="H17357" i="5"/>
  <c r="H17349" i="5"/>
  <c r="H17341" i="5"/>
  <c r="H17333" i="5"/>
  <c r="H17325" i="5"/>
  <c r="H17317" i="5"/>
  <c r="H17309" i="5"/>
  <c r="H17301" i="5"/>
  <c r="H17293" i="5"/>
  <c r="H17285" i="5"/>
  <c r="H17277" i="5"/>
  <c r="H17269" i="5"/>
  <c r="H17261" i="5"/>
  <c r="H17253" i="5"/>
  <c r="H17245" i="5"/>
  <c r="H17237" i="5"/>
  <c r="H17229" i="5"/>
  <c r="H17221" i="5"/>
  <c r="H17213" i="5"/>
  <c r="H17205" i="5"/>
  <c r="H17197" i="5"/>
  <c r="H17189" i="5"/>
  <c r="H17181" i="5"/>
  <c r="H17173" i="5"/>
  <c r="H17165" i="5"/>
  <c r="H17157" i="5"/>
  <c r="H17149" i="5"/>
  <c r="H17141" i="5"/>
  <c r="H17133" i="5"/>
  <c r="H17125" i="5"/>
  <c r="H17117" i="5"/>
  <c r="H17109" i="5"/>
  <c r="H17101" i="5"/>
  <c r="H17093" i="5"/>
  <c r="H17085" i="5"/>
  <c r="H17077" i="5"/>
  <c r="H17069" i="5"/>
  <c r="H17061" i="5"/>
  <c r="H17053" i="5"/>
  <c r="H17045" i="5"/>
  <c r="H17037" i="5"/>
  <c r="H17029" i="5"/>
  <c r="H17021" i="5"/>
  <c r="H17013" i="5"/>
  <c r="H17005" i="5"/>
  <c r="H16997" i="5"/>
  <c r="H16989" i="5"/>
  <c r="H16981" i="5"/>
  <c r="H16973" i="5"/>
  <c r="H16965" i="5"/>
  <c r="H16957" i="5"/>
  <c r="H16949" i="5"/>
  <c r="H16941" i="5"/>
  <c r="H16933" i="5"/>
  <c r="H16925" i="5"/>
  <c r="H16917" i="5"/>
  <c r="H16909" i="5"/>
  <c r="H16901" i="5"/>
  <c r="H16893" i="5"/>
  <c r="H16885" i="5"/>
  <c r="H16877" i="5"/>
  <c r="H16869" i="5"/>
  <c r="H16861" i="5"/>
  <c r="H16853" i="5"/>
  <c r="H16845" i="5"/>
  <c r="H16837" i="5"/>
  <c r="H16829" i="5"/>
  <c r="H16821" i="5"/>
  <c r="H16813" i="5"/>
  <c r="H16805" i="5"/>
  <c r="H16797" i="5"/>
  <c r="H16789" i="5"/>
  <c r="H16781" i="5"/>
  <c r="H16773" i="5"/>
  <c r="H16765" i="5"/>
  <c r="H16757" i="5"/>
  <c r="H16749" i="5"/>
  <c r="H16741" i="5"/>
  <c r="H16733" i="5"/>
  <c r="H16725" i="5"/>
  <c r="H16717" i="5"/>
  <c r="H16709" i="5"/>
  <c r="H16701" i="5"/>
  <c r="H16693" i="5"/>
  <c r="H16685" i="5"/>
  <c r="H16677" i="5"/>
  <c r="H16669" i="5"/>
  <c r="H16661" i="5"/>
  <c r="H16653" i="5"/>
  <c r="H16645" i="5"/>
  <c r="H16637" i="5"/>
  <c r="H16629" i="5"/>
  <c r="H16621" i="5"/>
  <c r="H16613" i="5"/>
  <c r="H16605" i="5"/>
  <c r="H41044" i="5"/>
  <c r="H40361" i="5"/>
  <c r="H39679" i="5"/>
  <c r="H39110" i="5"/>
  <c r="H38598" i="5"/>
  <c r="H38086" i="5"/>
  <c r="H37574" i="5"/>
  <c r="H37062" i="5"/>
  <c r="H36550" i="5"/>
  <c r="H36257" i="5"/>
  <c r="H36001" i="5"/>
  <c r="H35745" i="5"/>
  <c r="H35489" i="5"/>
  <c r="H35233" i="5"/>
  <c r="H35025" i="5"/>
  <c r="H34882" i="5"/>
  <c r="H34780" i="5"/>
  <c r="H34678" i="5"/>
  <c r="H34585" i="5"/>
  <c r="H34517" i="5"/>
  <c r="H34453" i="5"/>
  <c r="H34389" i="5"/>
  <c r="H34325" i="5"/>
  <c r="H34261" i="5"/>
  <c r="H34197" i="5"/>
  <c r="H34133" i="5"/>
  <c r="H34069" i="5"/>
  <c r="H34005" i="5"/>
  <c r="H33941" i="5"/>
  <c r="H33877" i="5"/>
  <c r="H33813" i="5"/>
  <c r="H33749" i="5"/>
  <c r="H33685" i="5"/>
  <c r="H33621" i="5"/>
  <c r="H33557" i="5"/>
  <c r="H33493" i="5"/>
  <c r="H33429" i="5"/>
  <c r="H33365" i="5"/>
  <c r="H33301" i="5"/>
  <c r="H33237" i="5"/>
  <c r="H33173" i="5"/>
  <c r="H33109" i="5"/>
  <c r="H33045" i="5"/>
  <c r="H32981" i="5"/>
  <c r="H32917" i="5"/>
  <c r="H32853" i="5"/>
  <c r="H32789" i="5"/>
  <c r="H32725" i="5"/>
  <c r="H32661" i="5"/>
  <c r="H32597" i="5"/>
  <c r="H32533" i="5"/>
  <c r="H32469" i="5"/>
  <c r="H32405" i="5"/>
  <c r="H32341" i="5"/>
  <c r="H32277" i="5"/>
  <c r="H32213" i="5"/>
  <c r="H32149" i="5"/>
  <c r="H32085" i="5"/>
  <c r="H32021" i="5"/>
  <c r="H31957" i="5"/>
  <c r="H31893" i="5"/>
  <c r="H31829" i="5"/>
  <c r="H31765" i="5"/>
  <c r="H31701" i="5"/>
  <c r="H31637" i="5"/>
  <c r="H31573" i="5"/>
  <c r="H31509" i="5"/>
  <c r="H31445" i="5"/>
  <c r="H31381" i="5"/>
  <c r="H31317" i="5"/>
  <c r="H31253" i="5"/>
  <c r="H31189" i="5"/>
  <c r="H31125" i="5"/>
  <c r="H31061" i="5"/>
  <c r="H30997" i="5"/>
  <c r="H30933" i="5"/>
  <c r="H30869" i="5"/>
  <c r="H30805" i="5"/>
  <c r="H30741" i="5"/>
  <c r="H30677" i="5"/>
  <c r="H30613" i="5"/>
  <c r="H30549" i="5"/>
  <c r="H30485" i="5"/>
  <c r="H30421" i="5"/>
  <c r="H30357" i="5"/>
  <c r="H30293" i="5"/>
  <c r="H30229" i="5"/>
  <c r="H30165" i="5"/>
  <c r="H30101" i="5"/>
  <c r="H30037" i="5"/>
  <c r="H29973" i="5"/>
  <c r="H29909" i="5"/>
  <c r="H29845" i="5"/>
  <c r="H29781" i="5"/>
  <c r="H29717" i="5"/>
  <c r="H29653" i="5"/>
  <c r="H29589" i="5"/>
  <c r="H29525" i="5"/>
  <c r="H29461" i="5"/>
  <c r="H29397" i="5"/>
  <c r="H29333" i="5"/>
  <c r="H29286" i="5"/>
  <c r="H29254" i="5"/>
  <c r="H29222" i="5"/>
  <c r="H29190" i="5"/>
  <c r="H29158" i="5"/>
  <c r="H29126" i="5"/>
  <c r="H29094" i="5"/>
  <c r="H29062" i="5"/>
  <c r="H29030" i="5"/>
  <c r="H28998" i="5"/>
  <c r="H28966" i="5"/>
  <c r="H28934" i="5"/>
  <c r="H28902" i="5"/>
  <c r="H28870" i="5"/>
  <c r="H28838" i="5"/>
  <c r="H28806" i="5"/>
  <c r="H28774" i="5"/>
  <c r="H28742" i="5"/>
  <c r="H28710" i="5"/>
  <c r="H28678" i="5"/>
  <c r="H28646" i="5"/>
  <c r="H28614" i="5"/>
  <c r="H28582" i="5"/>
  <c r="H28550" i="5"/>
  <c r="H28518" i="5"/>
  <c r="H28486" i="5"/>
  <c r="H28454" i="5"/>
  <c r="H28422" i="5"/>
  <c r="H28390" i="5"/>
  <c r="H28358" i="5"/>
  <c r="H28326" i="5"/>
  <c r="H28294" i="5"/>
  <c r="H28262" i="5"/>
  <c r="H28230" i="5"/>
  <c r="H28198" i="5"/>
  <c r="H28166" i="5"/>
  <c r="H28134" i="5"/>
  <c r="H28102" i="5"/>
  <c r="H28070" i="5"/>
  <c r="H28038" i="5"/>
  <c r="H28006" i="5"/>
  <c r="H27974" i="5"/>
  <c r="H27942" i="5"/>
  <c r="H27910" i="5"/>
  <c r="H27878" i="5"/>
  <c r="H27846" i="5"/>
  <c r="H27814" i="5"/>
  <c r="H27782" i="5"/>
  <c r="H27750" i="5"/>
  <c r="H27718" i="5"/>
  <c r="H27686" i="5"/>
  <c r="H27654" i="5"/>
  <c r="H27622" i="5"/>
  <c r="H27590" i="5"/>
  <c r="H27558" i="5"/>
  <c r="H27526" i="5"/>
  <c r="H27494" i="5"/>
  <c r="H27462" i="5"/>
  <c r="H27432" i="5"/>
  <c r="H27413" i="5"/>
  <c r="H27390" i="5"/>
  <c r="H27368" i="5"/>
  <c r="H27349" i="5"/>
  <c r="H27326" i="5"/>
  <c r="H27304" i="5"/>
  <c r="H27285" i="5"/>
  <c r="H27262" i="5"/>
  <c r="H27240" i="5"/>
  <c r="H27221" i="5"/>
  <c r="H27198" i="5"/>
  <c r="H27176" i="5"/>
  <c r="H27157" i="5"/>
  <c r="H27134" i="5"/>
  <c r="H27116" i="5"/>
  <c r="H27100" i="5"/>
  <c r="H27084" i="5"/>
  <c r="H27068" i="5"/>
  <c r="H27052" i="5"/>
  <c r="H27036" i="5"/>
  <c r="H27020" i="5"/>
  <c r="H27004" i="5"/>
  <c r="H26988" i="5"/>
  <c r="H26972" i="5"/>
  <c r="H26956" i="5"/>
  <c r="H26940" i="5"/>
  <c r="H26924" i="5"/>
  <c r="H26908" i="5"/>
  <c r="H26892" i="5"/>
  <c r="H26876" i="5"/>
  <c r="H26860" i="5"/>
  <c r="H26844" i="5"/>
  <c r="H26828" i="5"/>
  <c r="H26812" i="5"/>
  <c r="H26796" i="5"/>
  <c r="H26780" i="5"/>
  <c r="H26764" i="5"/>
  <c r="H26748" i="5"/>
  <c r="H26732" i="5"/>
  <c r="H26716" i="5"/>
  <c r="H26700" i="5"/>
  <c r="H26684" i="5"/>
  <c r="H26668" i="5"/>
  <c r="H26652" i="5"/>
  <c r="H26636" i="5"/>
  <c r="H26620" i="5"/>
  <c r="H26604" i="5"/>
  <c r="H26588" i="5"/>
  <c r="H26572" i="5"/>
  <c r="H26556" i="5"/>
  <c r="H26540" i="5"/>
  <c r="H26524" i="5"/>
  <c r="H26508" i="5"/>
  <c r="H26492" i="5"/>
  <c r="H26476" i="5"/>
  <c r="H26460" i="5"/>
  <c r="H26444" i="5"/>
  <c r="H26428" i="5"/>
  <c r="H26412" i="5"/>
  <c r="H26396" i="5"/>
  <c r="H26380" i="5"/>
  <c r="H26364" i="5"/>
  <c r="H26348" i="5"/>
  <c r="H26332" i="5"/>
  <c r="H26316" i="5"/>
  <c r="H26300" i="5"/>
  <c r="H26284" i="5"/>
  <c r="H26268" i="5"/>
  <c r="H26252" i="5"/>
  <c r="H26236" i="5"/>
  <c r="H26220" i="5"/>
  <c r="H26204" i="5"/>
  <c r="H26188" i="5"/>
  <c r="H26172" i="5"/>
  <c r="H26156" i="5"/>
  <c r="H26140" i="5"/>
  <c r="H26124" i="5"/>
  <c r="H26108" i="5"/>
  <c r="H26092" i="5"/>
  <c r="H26076" i="5"/>
  <c r="H26060" i="5"/>
  <c r="H26044" i="5"/>
  <c r="H26028" i="5"/>
  <c r="H26012" i="5"/>
  <c r="H25996" i="5"/>
  <c r="H25980" i="5"/>
  <c r="H25964" i="5"/>
  <c r="H25948" i="5"/>
  <c r="H25932" i="5"/>
  <c r="H25916" i="5"/>
  <c r="H25900" i="5"/>
  <c r="H25884" i="5"/>
  <c r="H25868" i="5"/>
  <c r="H25852" i="5"/>
  <c r="H25836" i="5"/>
  <c r="H25820" i="5"/>
  <c r="H25804" i="5"/>
  <c r="H25788" i="5"/>
  <c r="H25772" i="5"/>
  <c r="H25756" i="5"/>
  <c r="H25740" i="5"/>
  <c r="H25724" i="5"/>
  <c r="H25708" i="5"/>
  <c r="H25692" i="5"/>
  <c r="H25676" i="5"/>
  <c r="H25660" i="5"/>
  <c r="H25644" i="5"/>
  <c r="H25628" i="5"/>
  <c r="H25612" i="5"/>
  <c r="H25596" i="5"/>
  <c r="H25580" i="5"/>
  <c r="H25564" i="5"/>
  <c r="H25548" i="5"/>
  <c r="H25532" i="5"/>
  <c r="H25518" i="5"/>
  <c r="H25507" i="5"/>
  <c r="H25493" i="5"/>
  <c r="H25480" i="5"/>
  <c r="H25468" i="5"/>
  <c r="H25454" i="5"/>
  <c r="H25443" i="5"/>
  <c r="H25429" i="5"/>
  <c r="H25416" i="5"/>
  <c r="H25404" i="5"/>
  <c r="H25390" i="5"/>
  <c r="H25379" i="5"/>
  <c r="H25365" i="5"/>
  <c r="H25352" i="5"/>
  <c r="H25340" i="5"/>
  <c r="H25326" i="5"/>
  <c r="H25315" i="5"/>
  <c r="H25301" i="5"/>
  <c r="H25288" i="5"/>
  <c r="H25276" i="5"/>
  <c r="H25262" i="5"/>
  <c r="H25251" i="5"/>
  <c r="H25237" i="5"/>
  <c r="H25224" i="5"/>
  <c r="H25212" i="5"/>
  <c r="H25198" i="5"/>
  <c r="H25187" i="5"/>
  <c r="H25173" i="5"/>
  <c r="H25160" i="5"/>
  <c r="H25148" i="5"/>
  <c r="H25134" i="5"/>
  <c r="H25123" i="5"/>
  <c r="H25109" i="5"/>
  <c r="H25096" i="5"/>
  <c r="H25084" i="5"/>
  <c r="H25070" i="5"/>
  <c r="H25059" i="5"/>
  <c r="H25045" i="5"/>
  <c r="H25032" i="5"/>
  <c r="H25020" i="5"/>
  <c r="H25006" i="5"/>
  <c r="H24995" i="5"/>
  <c r="H24981" i="5"/>
  <c r="H24970" i="5"/>
  <c r="H24960" i="5"/>
  <c r="H24951" i="5"/>
  <c r="H24942" i="5"/>
  <c r="H24933" i="5"/>
  <c r="H24924" i="5"/>
  <c r="H24916" i="5"/>
  <c r="H24908" i="5"/>
  <c r="H24900" i="5"/>
  <c r="H24892" i="5"/>
  <c r="H24884" i="5"/>
  <c r="H24876" i="5"/>
  <c r="H24868" i="5"/>
  <c r="H24860" i="5"/>
  <c r="H24852" i="5"/>
  <c r="H24844" i="5"/>
  <c r="H24836" i="5"/>
  <c r="H24828" i="5"/>
  <c r="H24820" i="5"/>
  <c r="H24812" i="5"/>
  <c r="H24804" i="5"/>
  <c r="H24796" i="5"/>
  <c r="H24788" i="5"/>
  <c r="H24780" i="5"/>
  <c r="H24772" i="5"/>
  <c r="H24764" i="5"/>
  <c r="H24756" i="5"/>
  <c r="H24748" i="5"/>
  <c r="H24740" i="5"/>
  <c r="H24732" i="5"/>
  <c r="H24724" i="5"/>
  <c r="H24716" i="5"/>
  <c r="H24708" i="5"/>
  <c r="H24700" i="5"/>
  <c r="H24692" i="5"/>
  <c r="H24684" i="5"/>
  <c r="H24676" i="5"/>
  <c r="H24668" i="5"/>
  <c r="H24660" i="5"/>
  <c r="H24652" i="5"/>
  <c r="H24644" i="5"/>
  <c r="H24636" i="5"/>
  <c r="H24628" i="5"/>
  <c r="H24620" i="5"/>
  <c r="H24612" i="5"/>
  <c r="H24604" i="5"/>
  <c r="H24596" i="5"/>
  <c r="H24588" i="5"/>
  <c r="H24580" i="5"/>
  <c r="H24572" i="5"/>
  <c r="H24564" i="5"/>
  <c r="H24556" i="5"/>
  <c r="H24548" i="5"/>
  <c r="H24540" i="5"/>
  <c r="H24532" i="5"/>
  <c r="H24524" i="5"/>
  <c r="H24516" i="5"/>
  <c r="H24508" i="5"/>
  <c r="H24500" i="5"/>
  <c r="H24492" i="5"/>
  <c r="H24484" i="5"/>
  <c r="H24476" i="5"/>
  <c r="H24468" i="5"/>
  <c r="H24460" i="5"/>
  <c r="H24452" i="5"/>
  <c r="H24444" i="5"/>
  <c r="H24436" i="5"/>
  <c r="H24428" i="5"/>
  <c r="H24420" i="5"/>
  <c r="H24412" i="5"/>
  <c r="H24404" i="5"/>
  <c r="H24396" i="5"/>
  <c r="H24388" i="5"/>
  <c r="H24380" i="5"/>
  <c r="H24372" i="5"/>
  <c r="H24364" i="5"/>
  <c r="H24356" i="5"/>
  <c r="H24348" i="5"/>
  <c r="H24340" i="5"/>
  <c r="H24332" i="5"/>
  <c r="H24324" i="5"/>
  <c r="H24316" i="5"/>
  <c r="H24308" i="5"/>
  <c r="H24300" i="5"/>
  <c r="H24292" i="5"/>
  <c r="H24284" i="5"/>
  <c r="H24276" i="5"/>
  <c r="H24268" i="5"/>
  <c r="H24260" i="5"/>
  <c r="H24252" i="5"/>
  <c r="H24244" i="5"/>
  <c r="H24236" i="5"/>
  <c r="H24228" i="5"/>
  <c r="H24220" i="5"/>
  <c r="H24212" i="5"/>
  <c r="H24204" i="5"/>
  <c r="H24196" i="5"/>
  <c r="H24188" i="5"/>
  <c r="H24180" i="5"/>
  <c r="H24172" i="5"/>
  <c r="H24164" i="5"/>
  <c r="H24156" i="5"/>
  <c r="H24148" i="5"/>
  <c r="H24140" i="5"/>
  <c r="H24132" i="5"/>
  <c r="H24124" i="5"/>
  <c r="H24116" i="5"/>
  <c r="H24108" i="5"/>
  <c r="H24100" i="5"/>
  <c r="H24092" i="5"/>
  <c r="H24084" i="5"/>
  <c r="H24076" i="5"/>
  <c r="H24068" i="5"/>
  <c r="H24060" i="5"/>
  <c r="H24052" i="5"/>
  <c r="H24044" i="5"/>
  <c r="H24036" i="5"/>
  <c r="H24028" i="5"/>
  <c r="H24020" i="5"/>
  <c r="H24012" i="5"/>
  <c r="H24004" i="5"/>
  <c r="H23996" i="5"/>
  <c r="H23988" i="5"/>
  <c r="H23980" i="5"/>
  <c r="H23972" i="5"/>
  <c r="H23964" i="5"/>
  <c r="H23956" i="5"/>
  <c r="H23948" i="5"/>
  <c r="H23940" i="5"/>
  <c r="H23932" i="5"/>
  <c r="H23924" i="5"/>
  <c r="H23916" i="5"/>
  <c r="H23908" i="5"/>
  <c r="H23900" i="5"/>
  <c r="H23892" i="5"/>
  <c r="H23884" i="5"/>
  <c r="H23876" i="5"/>
  <c r="H23868" i="5"/>
  <c r="H23860" i="5"/>
  <c r="H23852" i="5"/>
  <c r="H23844" i="5"/>
  <c r="H23836" i="5"/>
  <c r="H23828" i="5"/>
  <c r="H23820" i="5"/>
  <c r="H23812" i="5"/>
  <c r="H23804" i="5"/>
  <c r="H23796" i="5"/>
  <c r="H23788" i="5"/>
  <c r="H23780" i="5"/>
  <c r="H23772" i="5"/>
  <c r="H23764" i="5"/>
  <c r="H23756" i="5"/>
  <c r="H23748" i="5"/>
  <c r="H23740" i="5"/>
  <c r="H23732" i="5"/>
  <c r="H23724" i="5"/>
  <c r="H23716" i="5"/>
  <c r="H23708" i="5"/>
  <c r="H23700" i="5"/>
  <c r="H23692" i="5"/>
  <c r="H23684" i="5"/>
  <c r="H23676" i="5"/>
  <c r="H23668" i="5"/>
  <c r="H23660" i="5"/>
  <c r="H23652" i="5"/>
  <c r="H23644" i="5"/>
  <c r="H23636" i="5"/>
  <c r="H23628" i="5"/>
  <c r="H23620" i="5"/>
  <c r="H23612" i="5"/>
  <c r="H23604" i="5"/>
  <c r="H23596" i="5"/>
  <c r="H23588" i="5"/>
  <c r="H23580" i="5"/>
  <c r="H23572" i="5"/>
  <c r="H23564" i="5"/>
  <c r="H23556" i="5"/>
  <c r="H23548" i="5"/>
  <c r="H23540" i="5"/>
  <c r="H23532" i="5"/>
  <c r="H23524" i="5"/>
  <c r="H23516" i="5"/>
  <c r="H23508" i="5"/>
  <c r="H23500" i="5"/>
  <c r="H23492" i="5"/>
  <c r="H23484" i="5"/>
  <c r="H23476" i="5"/>
  <c r="H23468" i="5"/>
  <c r="H23460" i="5"/>
  <c r="H23452" i="5"/>
  <c r="H23444" i="5"/>
  <c r="H23436" i="5"/>
  <c r="H23428" i="5"/>
  <c r="H23420" i="5"/>
  <c r="H23412" i="5"/>
  <c r="H23404" i="5"/>
  <c r="H23396" i="5"/>
  <c r="H23388" i="5"/>
  <c r="H23380" i="5"/>
  <c r="H23372" i="5"/>
  <c r="H23364" i="5"/>
  <c r="H23356" i="5"/>
  <c r="H23348" i="5"/>
  <c r="H23340" i="5"/>
  <c r="H23332" i="5"/>
  <c r="H23324" i="5"/>
  <c r="H23316" i="5"/>
  <c r="H23308" i="5"/>
  <c r="H23300" i="5"/>
  <c r="H23292" i="5"/>
  <c r="H23284" i="5"/>
  <c r="H23276" i="5"/>
  <c r="H23268" i="5"/>
  <c r="H23260" i="5"/>
  <c r="H23252" i="5"/>
  <c r="H23244" i="5"/>
  <c r="H23236" i="5"/>
  <c r="H23228" i="5"/>
  <c r="H23220" i="5"/>
  <c r="H23212" i="5"/>
  <c r="H23204" i="5"/>
  <c r="H23196" i="5"/>
  <c r="H23188" i="5"/>
  <c r="H23180" i="5"/>
  <c r="H23172" i="5"/>
  <c r="H23164" i="5"/>
  <c r="H23156" i="5"/>
  <c r="H23148" i="5"/>
  <c r="H23140" i="5"/>
  <c r="H23132" i="5"/>
  <c r="H23124" i="5"/>
  <c r="H23116" i="5"/>
  <c r="H23108" i="5"/>
  <c r="H23100" i="5"/>
  <c r="H23092" i="5"/>
  <c r="H23084" i="5"/>
  <c r="H23076" i="5"/>
  <c r="H23068" i="5"/>
  <c r="H23060" i="5"/>
  <c r="H23052" i="5"/>
  <c r="H23044" i="5"/>
  <c r="H23036" i="5"/>
  <c r="H23028" i="5"/>
  <c r="H23020" i="5"/>
  <c r="H23012" i="5"/>
  <c r="H23004" i="5"/>
  <c r="H22996" i="5"/>
  <c r="H22988" i="5"/>
  <c r="H22980" i="5"/>
  <c r="H22972" i="5"/>
  <c r="H22964" i="5"/>
  <c r="H22956" i="5"/>
  <c r="H22948" i="5"/>
  <c r="H22940" i="5"/>
  <c r="H22932" i="5"/>
  <c r="H22924" i="5"/>
  <c r="H22916" i="5"/>
  <c r="H22908" i="5"/>
  <c r="H22900" i="5"/>
  <c r="H22892" i="5"/>
  <c r="H22884" i="5"/>
  <c r="H22876" i="5"/>
  <c r="H22868" i="5"/>
  <c r="H22860" i="5"/>
  <c r="H22852" i="5"/>
  <c r="H22844" i="5"/>
  <c r="H22836" i="5"/>
  <c r="H22828" i="5"/>
  <c r="H22820" i="5"/>
  <c r="H22812" i="5"/>
  <c r="H22804" i="5"/>
  <c r="H22796" i="5"/>
  <c r="H22788" i="5"/>
  <c r="H22780" i="5"/>
  <c r="H22772" i="5"/>
  <c r="H22764" i="5"/>
  <c r="H22756" i="5"/>
  <c r="H22748" i="5"/>
  <c r="H22740" i="5"/>
  <c r="H22732" i="5"/>
  <c r="H22724" i="5"/>
  <c r="H22716" i="5"/>
  <c r="H22708" i="5"/>
  <c r="H22700" i="5"/>
  <c r="H22692" i="5"/>
  <c r="H22684" i="5"/>
  <c r="H22676" i="5"/>
  <c r="H22668" i="5"/>
  <c r="H22660" i="5"/>
  <c r="H22652" i="5"/>
  <c r="H22644" i="5"/>
  <c r="H22636" i="5"/>
  <c r="H22628" i="5"/>
  <c r="H22620" i="5"/>
  <c r="H22612" i="5"/>
  <c r="H22604" i="5"/>
  <c r="H22596" i="5"/>
  <c r="H22588" i="5"/>
  <c r="H22580" i="5"/>
  <c r="H22572" i="5"/>
  <c r="H22564" i="5"/>
  <c r="H22556" i="5"/>
  <c r="H22548" i="5"/>
  <c r="H22540" i="5"/>
  <c r="H22532" i="5"/>
  <c r="H22524" i="5"/>
  <c r="H22516" i="5"/>
  <c r="H22508" i="5"/>
  <c r="H22500" i="5"/>
  <c r="H22492" i="5"/>
  <c r="H22484" i="5"/>
  <c r="H22476" i="5"/>
  <c r="H22468" i="5"/>
  <c r="H22460" i="5"/>
  <c r="H22452" i="5"/>
  <c r="H22444" i="5"/>
  <c r="H22436" i="5"/>
  <c r="H22428" i="5"/>
  <c r="H22420" i="5"/>
  <c r="H22412" i="5"/>
  <c r="H22404" i="5"/>
  <c r="H22396" i="5"/>
  <c r="H22388" i="5"/>
  <c r="H22380" i="5"/>
  <c r="H22372" i="5"/>
  <c r="H22364" i="5"/>
  <c r="H22356" i="5"/>
  <c r="H22348" i="5"/>
  <c r="H22340" i="5"/>
  <c r="H22332" i="5"/>
  <c r="H22324" i="5"/>
  <c r="H22316" i="5"/>
  <c r="H22308" i="5"/>
  <c r="H22300" i="5"/>
  <c r="H22292" i="5"/>
  <c r="H22284" i="5"/>
  <c r="H22276" i="5"/>
  <c r="H22268" i="5"/>
  <c r="H22260" i="5"/>
  <c r="H22252" i="5"/>
  <c r="H22244" i="5"/>
  <c r="H22236" i="5"/>
  <c r="H22228" i="5"/>
  <c r="H22220" i="5"/>
  <c r="H22212" i="5"/>
  <c r="H22204" i="5"/>
  <c r="H22196" i="5"/>
  <c r="H22188" i="5"/>
  <c r="H22180" i="5"/>
  <c r="H22172" i="5"/>
  <c r="H22164" i="5"/>
  <c r="H22156" i="5"/>
  <c r="H22148" i="5"/>
  <c r="H22140" i="5"/>
  <c r="H22132" i="5"/>
  <c r="H22124" i="5"/>
  <c r="H22116" i="5"/>
  <c r="H22108" i="5"/>
  <c r="H22100" i="5"/>
  <c r="H22092" i="5"/>
  <c r="H22084" i="5"/>
  <c r="H22076" i="5"/>
  <c r="H22068" i="5"/>
  <c r="H22060" i="5"/>
  <c r="H22052" i="5"/>
  <c r="H22044" i="5"/>
  <c r="H22036" i="5"/>
  <c r="H22028" i="5"/>
  <c r="H22020" i="5"/>
  <c r="H22012" i="5"/>
  <c r="H22004" i="5"/>
  <c r="H21996" i="5"/>
  <c r="H21988" i="5"/>
  <c r="H21980" i="5"/>
  <c r="H21972" i="5"/>
  <c r="H21964" i="5"/>
  <c r="H21956" i="5"/>
  <c r="H21948" i="5"/>
  <c r="H21940" i="5"/>
  <c r="H21932" i="5"/>
  <c r="H21924" i="5"/>
  <c r="H21916" i="5"/>
  <c r="H21908" i="5"/>
  <c r="H21900" i="5"/>
  <c r="H21892" i="5"/>
  <c r="H21884" i="5"/>
  <c r="H21876" i="5"/>
  <c r="H21868" i="5"/>
  <c r="H21860" i="5"/>
  <c r="H21852" i="5"/>
  <c r="H21844" i="5"/>
  <c r="H21836" i="5"/>
  <c r="H21828" i="5"/>
  <c r="H21820" i="5"/>
  <c r="H21812" i="5"/>
  <c r="H21804" i="5"/>
  <c r="H21796" i="5"/>
  <c r="H21788" i="5"/>
  <c r="H21780" i="5"/>
  <c r="H21772" i="5"/>
  <c r="H21764" i="5"/>
  <c r="H21756" i="5"/>
  <c r="H21748" i="5"/>
  <c r="H21740" i="5"/>
  <c r="H21732" i="5"/>
  <c r="H21724" i="5"/>
  <c r="H21716" i="5"/>
  <c r="H21708" i="5"/>
  <c r="H21700" i="5"/>
  <c r="H21692" i="5"/>
  <c r="H21684" i="5"/>
  <c r="H21676" i="5"/>
  <c r="H21668" i="5"/>
  <c r="H21660" i="5"/>
  <c r="H21652" i="5"/>
  <c r="H21644" i="5"/>
  <c r="H21636" i="5"/>
  <c r="H21628" i="5"/>
  <c r="H21620" i="5"/>
  <c r="H21612" i="5"/>
  <c r="H21604" i="5"/>
  <c r="H21596" i="5"/>
  <c r="H21588" i="5"/>
  <c r="H21580" i="5"/>
  <c r="H21572" i="5"/>
  <c r="H21564" i="5"/>
  <c r="H21556" i="5"/>
  <c r="H21548" i="5"/>
  <c r="H21540" i="5"/>
  <c r="H21532" i="5"/>
  <c r="H21524" i="5"/>
  <c r="H21516" i="5"/>
  <c r="H21508" i="5"/>
  <c r="H21500" i="5"/>
  <c r="H21492" i="5"/>
  <c r="H21484" i="5"/>
  <c r="H21476" i="5"/>
  <c r="H21468" i="5"/>
  <c r="H21460" i="5"/>
  <c r="H21452" i="5"/>
  <c r="H21444" i="5"/>
  <c r="H21436" i="5"/>
  <c r="H21428" i="5"/>
  <c r="H21420" i="5"/>
  <c r="H21412" i="5"/>
  <c r="H21404" i="5"/>
  <c r="H21396" i="5"/>
  <c r="H21388" i="5"/>
  <c r="H21380" i="5"/>
  <c r="H21372" i="5"/>
  <c r="H21364" i="5"/>
  <c r="H21356" i="5"/>
  <c r="H21348" i="5"/>
  <c r="H21340" i="5"/>
  <c r="H21332" i="5"/>
  <c r="H21324" i="5"/>
  <c r="H21316" i="5"/>
  <c r="H21308" i="5"/>
  <c r="H21300" i="5"/>
  <c r="H21292" i="5"/>
  <c r="H21284" i="5"/>
  <c r="H21276" i="5"/>
  <c r="H21268" i="5"/>
  <c r="H21260" i="5"/>
  <c r="H21252" i="5"/>
  <c r="H21244" i="5"/>
  <c r="H21236" i="5"/>
  <c r="H21228" i="5"/>
  <c r="H21220" i="5"/>
  <c r="H21212" i="5"/>
  <c r="H21204" i="5"/>
  <c r="H21196" i="5"/>
  <c r="H21188" i="5"/>
  <c r="H21180" i="5"/>
  <c r="H21172" i="5"/>
  <c r="H21164" i="5"/>
  <c r="H21156" i="5"/>
  <c r="H21148" i="5"/>
  <c r="H21140" i="5"/>
  <c r="H21132" i="5"/>
  <c r="H21124" i="5"/>
  <c r="H21116" i="5"/>
  <c r="H21108" i="5"/>
  <c r="H21100" i="5"/>
  <c r="H21092" i="5"/>
  <c r="H21084" i="5"/>
  <c r="H21076" i="5"/>
  <c r="H21068" i="5"/>
  <c r="H21060" i="5"/>
  <c r="H21052" i="5"/>
  <c r="H21044" i="5"/>
  <c r="H21036" i="5"/>
  <c r="H21028" i="5"/>
  <c r="H21020" i="5"/>
  <c r="H21012" i="5"/>
  <c r="H21004" i="5"/>
  <c r="H20996" i="5"/>
  <c r="H20988" i="5"/>
  <c r="H20980" i="5"/>
  <c r="H20972" i="5"/>
  <c r="H20964" i="5"/>
  <c r="H20956" i="5"/>
  <c r="H20948" i="5"/>
  <c r="H20940" i="5"/>
  <c r="H20932" i="5"/>
  <c r="H20924" i="5"/>
  <c r="H20916" i="5"/>
  <c r="H20908" i="5"/>
  <c r="H20900" i="5"/>
  <c r="H20892" i="5"/>
  <c r="H20884" i="5"/>
  <c r="H20876" i="5"/>
  <c r="H20868" i="5"/>
  <c r="H20860" i="5"/>
  <c r="H20852" i="5"/>
  <c r="H20844" i="5"/>
  <c r="H20836" i="5"/>
  <c r="H20828" i="5"/>
  <c r="H20820" i="5"/>
  <c r="H20812" i="5"/>
  <c r="H20804" i="5"/>
  <c r="H20796" i="5"/>
  <c r="H20788" i="5"/>
  <c r="H20780" i="5"/>
  <c r="H20772" i="5"/>
  <c r="H20764" i="5"/>
  <c r="H20756" i="5"/>
  <c r="H20748" i="5"/>
  <c r="H20740" i="5"/>
  <c r="H20732" i="5"/>
  <c r="H20724" i="5"/>
  <c r="H20716" i="5"/>
  <c r="H20708" i="5"/>
  <c r="H20700" i="5"/>
  <c r="H20692" i="5"/>
  <c r="H20684" i="5"/>
  <c r="H20676" i="5"/>
  <c r="H20668" i="5"/>
  <c r="H20660" i="5"/>
  <c r="H20652" i="5"/>
  <c r="H20644" i="5"/>
  <c r="H20636" i="5"/>
  <c r="H20628" i="5"/>
  <c r="H20620" i="5"/>
  <c r="H20612" i="5"/>
  <c r="H20604" i="5"/>
  <c r="H20596" i="5"/>
  <c r="H20588" i="5"/>
  <c r="H20580" i="5"/>
  <c r="H20572" i="5"/>
  <c r="H20564" i="5"/>
  <c r="H20556" i="5"/>
  <c r="H20548" i="5"/>
  <c r="H20540" i="5"/>
  <c r="H20532" i="5"/>
  <c r="H20524" i="5"/>
  <c r="H20516" i="5"/>
  <c r="H20508" i="5"/>
  <c r="H20500" i="5"/>
  <c r="H20492" i="5"/>
  <c r="H20484" i="5"/>
  <c r="H20476" i="5"/>
  <c r="H20468" i="5"/>
  <c r="H20460" i="5"/>
  <c r="H20452" i="5"/>
  <c r="H20444" i="5"/>
  <c r="H20436" i="5"/>
  <c r="H20428" i="5"/>
  <c r="H20420" i="5"/>
  <c r="H20412" i="5"/>
  <c r="H20404" i="5"/>
  <c r="H20396" i="5"/>
  <c r="H20388" i="5"/>
  <c r="H20380" i="5"/>
  <c r="H20372" i="5"/>
  <c r="H20364" i="5"/>
  <c r="H20356" i="5"/>
  <c r="H20348" i="5"/>
  <c r="H20340" i="5"/>
  <c r="H20332" i="5"/>
  <c r="H20324" i="5"/>
  <c r="H20316" i="5"/>
  <c r="H20308" i="5"/>
  <c r="H20300" i="5"/>
  <c r="H20292" i="5"/>
  <c r="H20284" i="5"/>
  <c r="H20276" i="5"/>
  <c r="H20268" i="5"/>
  <c r="H20260" i="5"/>
  <c r="H20252" i="5"/>
  <c r="H20244" i="5"/>
  <c r="H20236" i="5"/>
  <c r="H20228" i="5"/>
  <c r="H20220" i="5"/>
  <c r="H20212" i="5"/>
  <c r="H20204" i="5"/>
  <c r="H20196" i="5"/>
  <c r="H20188" i="5"/>
  <c r="H20180" i="5"/>
  <c r="H20172" i="5"/>
  <c r="H20164" i="5"/>
  <c r="H20156" i="5"/>
  <c r="H20148" i="5"/>
  <c r="H20140" i="5"/>
  <c r="H20132" i="5"/>
  <c r="H20124" i="5"/>
  <c r="H20116" i="5"/>
  <c r="H20108" i="5"/>
  <c r="H20100" i="5"/>
  <c r="H20092" i="5"/>
  <c r="H20084" i="5"/>
  <c r="H20076" i="5"/>
  <c r="H20068" i="5"/>
  <c r="H20060" i="5"/>
  <c r="H20052" i="5"/>
  <c r="H20044" i="5"/>
  <c r="H20036" i="5"/>
  <c r="H20028" i="5"/>
  <c r="H20020" i="5"/>
  <c r="H20012" i="5"/>
  <c r="H20004" i="5"/>
  <c r="H19996" i="5"/>
  <c r="H19988" i="5"/>
  <c r="H19980" i="5"/>
  <c r="H19972" i="5"/>
  <c r="H19964" i="5"/>
  <c r="H19956" i="5"/>
  <c r="H19948" i="5"/>
  <c r="H19940" i="5"/>
  <c r="H19932" i="5"/>
  <c r="H19924" i="5"/>
  <c r="H19916" i="5"/>
  <c r="H19908" i="5"/>
  <c r="H19900" i="5"/>
  <c r="H19892" i="5"/>
  <c r="H19884" i="5"/>
  <c r="H19876" i="5"/>
  <c r="H19868" i="5"/>
  <c r="H19860" i="5"/>
  <c r="H19852" i="5"/>
  <c r="H19844" i="5"/>
  <c r="H19836" i="5"/>
  <c r="H19828" i="5"/>
  <c r="H19820" i="5"/>
  <c r="H19812" i="5"/>
  <c r="H19804" i="5"/>
  <c r="H19796" i="5"/>
  <c r="H19788" i="5"/>
  <c r="H19780" i="5"/>
  <c r="H19772" i="5"/>
  <c r="H19764" i="5"/>
  <c r="H19756" i="5"/>
  <c r="H19748" i="5"/>
  <c r="H19740" i="5"/>
  <c r="H19732" i="5"/>
  <c r="H19724" i="5"/>
  <c r="H19716" i="5"/>
  <c r="H19708" i="5"/>
  <c r="H19700" i="5"/>
  <c r="H19692" i="5"/>
  <c r="H19684" i="5"/>
  <c r="H19676" i="5"/>
  <c r="H19668" i="5"/>
  <c r="H19660" i="5"/>
  <c r="H19652" i="5"/>
  <c r="H19644" i="5"/>
  <c r="H19636" i="5"/>
  <c r="H19628" i="5"/>
  <c r="H19620" i="5"/>
  <c r="H19612" i="5"/>
  <c r="H19604" i="5"/>
  <c r="H19596" i="5"/>
  <c r="H19588" i="5"/>
  <c r="H19580" i="5"/>
  <c r="H19572" i="5"/>
  <c r="H19564" i="5"/>
  <c r="H19556" i="5"/>
  <c r="H19548" i="5"/>
  <c r="H19540" i="5"/>
  <c r="H19532" i="5"/>
  <c r="H19524" i="5"/>
  <c r="H19516" i="5"/>
  <c r="H19508" i="5"/>
  <c r="H19500" i="5"/>
  <c r="H19492" i="5"/>
  <c r="H19484" i="5"/>
  <c r="H19476" i="5"/>
  <c r="H19468" i="5"/>
  <c r="H19460" i="5"/>
  <c r="H19452" i="5"/>
  <c r="H19444" i="5"/>
  <c r="H19436" i="5"/>
  <c r="H19428" i="5"/>
  <c r="H19420" i="5"/>
  <c r="H19412" i="5"/>
  <c r="H19404" i="5"/>
  <c r="H19396" i="5"/>
  <c r="H19388" i="5"/>
  <c r="H19380" i="5"/>
  <c r="H19372" i="5"/>
  <c r="H19364" i="5"/>
  <c r="H19356" i="5"/>
  <c r="H19348" i="5"/>
  <c r="H19340" i="5"/>
  <c r="H19332" i="5"/>
  <c r="H19324" i="5"/>
  <c r="H19316" i="5"/>
  <c r="H19308" i="5"/>
  <c r="H19300" i="5"/>
  <c r="H19292" i="5"/>
  <c r="H19284" i="5"/>
  <c r="H19276" i="5"/>
  <c r="H19268" i="5"/>
  <c r="H19260" i="5"/>
  <c r="H19252" i="5"/>
  <c r="H19244" i="5"/>
  <c r="H19236" i="5"/>
  <c r="H19228" i="5"/>
  <c r="H19220" i="5"/>
  <c r="H19212" i="5"/>
  <c r="H19204" i="5"/>
  <c r="H19196" i="5"/>
  <c r="H19188" i="5"/>
  <c r="H19180" i="5"/>
  <c r="H19172" i="5"/>
  <c r="H19164" i="5"/>
  <c r="H19156" i="5"/>
  <c r="H19148" i="5"/>
  <c r="H19140" i="5"/>
  <c r="H19132" i="5"/>
  <c r="H19124" i="5"/>
  <c r="H19116" i="5"/>
  <c r="H19108" i="5"/>
  <c r="H19100" i="5"/>
  <c r="H19092" i="5"/>
  <c r="H19084" i="5"/>
  <c r="H19076" i="5"/>
  <c r="H19068" i="5"/>
  <c r="H19060" i="5"/>
  <c r="H19052" i="5"/>
  <c r="H19044" i="5"/>
  <c r="H19036" i="5"/>
  <c r="H19028" i="5"/>
  <c r="H19020" i="5"/>
  <c r="H19012" i="5"/>
  <c r="H19004" i="5"/>
  <c r="H18996" i="5"/>
  <c r="H18988" i="5"/>
  <c r="H18980" i="5"/>
  <c r="H18972" i="5"/>
  <c r="H18964" i="5"/>
  <c r="H18956" i="5"/>
  <c r="H18948" i="5"/>
  <c r="H18940" i="5"/>
  <c r="H18932" i="5"/>
  <c r="H18924" i="5"/>
  <c r="H18916" i="5"/>
  <c r="H18908" i="5"/>
  <c r="H18900" i="5"/>
  <c r="H18892" i="5"/>
  <c r="H18884" i="5"/>
  <c r="H18876" i="5"/>
  <c r="H18868" i="5"/>
  <c r="H18860" i="5"/>
  <c r="H18852" i="5"/>
  <c r="H18844" i="5"/>
  <c r="H18836" i="5"/>
  <c r="H18828" i="5"/>
  <c r="H18820" i="5"/>
  <c r="H18812" i="5"/>
  <c r="H18804" i="5"/>
  <c r="H18796" i="5"/>
  <c r="H18788" i="5"/>
  <c r="H18780" i="5"/>
  <c r="H18772" i="5"/>
  <c r="H18764" i="5"/>
  <c r="H18756" i="5"/>
  <c r="H18748" i="5"/>
  <c r="H18740" i="5"/>
  <c r="H18732" i="5"/>
  <c r="H18724" i="5"/>
  <c r="H18716" i="5"/>
  <c r="H18708" i="5"/>
  <c r="H18700" i="5"/>
  <c r="H18692" i="5"/>
  <c r="H18684" i="5"/>
  <c r="H18676" i="5"/>
  <c r="H18668" i="5"/>
  <c r="H18660" i="5"/>
  <c r="H18652" i="5"/>
  <c r="H18644" i="5"/>
  <c r="H18636" i="5"/>
  <c r="H18628" i="5"/>
  <c r="H18620" i="5"/>
  <c r="H18612" i="5"/>
  <c r="H18604" i="5"/>
  <c r="H18596" i="5"/>
  <c r="H18588" i="5"/>
  <c r="H18580" i="5"/>
  <c r="H18572" i="5"/>
  <c r="H18564" i="5"/>
  <c r="H18556" i="5"/>
  <c r="H18548" i="5"/>
  <c r="H18540" i="5"/>
  <c r="H18532" i="5"/>
  <c r="H18524" i="5"/>
  <c r="H18516" i="5"/>
  <c r="H18508" i="5"/>
  <c r="H18500" i="5"/>
  <c r="H18492" i="5"/>
  <c r="H18484" i="5"/>
  <c r="H18476" i="5"/>
  <c r="H18468" i="5"/>
  <c r="H18460" i="5"/>
  <c r="H18452" i="5"/>
  <c r="H18444" i="5"/>
  <c r="H18436" i="5"/>
  <c r="H18428" i="5"/>
  <c r="H18420" i="5"/>
  <c r="H18412" i="5"/>
  <c r="H18404" i="5"/>
  <c r="H18396" i="5"/>
  <c r="H18388" i="5"/>
  <c r="H18380" i="5"/>
  <c r="H18372" i="5"/>
  <c r="H18364" i="5"/>
  <c r="H18356" i="5"/>
  <c r="H18348" i="5"/>
  <c r="H18340" i="5"/>
  <c r="H18332" i="5"/>
  <c r="H18324" i="5"/>
  <c r="H18316" i="5"/>
  <c r="H18308" i="5"/>
  <c r="H18300" i="5"/>
  <c r="H18292" i="5"/>
  <c r="H18284" i="5"/>
  <c r="H18276" i="5"/>
  <c r="H18268" i="5"/>
  <c r="H18260" i="5"/>
  <c r="H18252" i="5"/>
  <c r="H18244" i="5"/>
  <c r="H18236" i="5"/>
  <c r="H18228" i="5"/>
  <c r="H18220" i="5"/>
  <c r="H18212" i="5"/>
  <c r="H18204" i="5"/>
  <c r="H18196" i="5"/>
  <c r="H18188" i="5"/>
  <c r="H18180" i="5"/>
  <c r="H18172" i="5"/>
  <c r="H18164" i="5"/>
  <c r="H18156" i="5"/>
  <c r="H18148" i="5"/>
  <c r="H18140" i="5"/>
  <c r="H18132" i="5"/>
  <c r="H18124" i="5"/>
  <c r="H18116" i="5"/>
  <c r="H18108" i="5"/>
  <c r="H18100" i="5"/>
  <c r="H18092" i="5"/>
  <c r="H18084" i="5"/>
  <c r="H18076" i="5"/>
  <c r="H18068" i="5"/>
  <c r="H18060" i="5"/>
  <c r="H18052" i="5"/>
  <c r="H18044" i="5"/>
  <c r="H18036" i="5"/>
  <c r="H18028" i="5"/>
  <c r="H18020" i="5"/>
  <c r="H18012" i="5"/>
  <c r="H18004" i="5"/>
  <c r="H17996" i="5"/>
  <c r="H17988" i="5"/>
  <c r="H17980" i="5"/>
  <c r="H17972" i="5"/>
  <c r="H17964" i="5"/>
  <c r="H17956" i="5"/>
  <c r="H17948" i="5"/>
  <c r="H17940" i="5"/>
  <c r="H17932" i="5"/>
  <c r="H17924" i="5"/>
  <c r="H17916" i="5"/>
  <c r="H17908" i="5"/>
  <c r="H17900" i="5"/>
  <c r="H17892" i="5"/>
  <c r="H17884" i="5"/>
  <c r="H17876" i="5"/>
  <c r="H17868" i="5"/>
  <c r="H17860" i="5"/>
  <c r="H17852" i="5"/>
  <c r="H17844" i="5"/>
  <c r="H17836" i="5"/>
  <c r="H17828" i="5"/>
  <c r="H17820" i="5"/>
  <c r="H17812" i="5"/>
  <c r="H17804" i="5"/>
  <c r="H17796" i="5"/>
  <c r="H17788" i="5"/>
  <c r="H17780" i="5"/>
  <c r="H17772" i="5"/>
  <c r="H17764" i="5"/>
  <c r="H17756" i="5"/>
  <c r="H17748" i="5"/>
  <c r="H17740" i="5"/>
  <c r="H17732" i="5"/>
  <c r="H17724" i="5"/>
  <c r="H17716" i="5"/>
  <c r="H17708" i="5"/>
  <c r="H17700" i="5"/>
  <c r="H17692" i="5"/>
  <c r="H17684" i="5"/>
  <c r="H17676" i="5"/>
  <c r="H17668" i="5"/>
  <c r="H17660" i="5"/>
  <c r="H17652" i="5"/>
  <c r="H17644" i="5"/>
  <c r="H17636" i="5"/>
  <c r="H17628" i="5"/>
  <c r="H17620" i="5"/>
  <c r="H17612" i="5"/>
  <c r="H17604" i="5"/>
  <c r="H17596" i="5"/>
  <c r="H17588" i="5"/>
  <c r="H17580" i="5"/>
  <c r="H17572" i="5"/>
  <c r="H17564" i="5"/>
  <c r="H17556" i="5"/>
  <c r="H17548" i="5"/>
  <c r="H17540" i="5"/>
  <c r="H17532" i="5"/>
  <c r="H17524" i="5"/>
  <c r="H17516" i="5"/>
  <c r="H17508" i="5"/>
  <c r="H17500" i="5"/>
  <c r="H17492" i="5"/>
  <c r="H17484" i="5"/>
  <c r="H40959" i="5"/>
  <c r="H40276" i="5"/>
  <c r="H39593" i="5"/>
  <c r="H39046" i="5"/>
  <c r="H38534" i="5"/>
  <c r="H38022" i="5"/>
  <c r="H37510" i="5"/>
  <c r="H36998" i="5"/>
  <c r="H36486" i="5"/>
  <c r="H36225" i="5"/>
  <c r="H35969" i="5"/>
  <c r="H35713" i="5"/>
  <c r="H35457" i="5"/>
  <c r="H35201" i="5"/>
  <c r="H35006" i="5"/>
  <c r="H34870" i="5"/>
  <c r="H34767" i="5"/>
  <c r="H34665" i="5"/>
  <c r="H34574" i="5"/>
  <c r="H34509" i="5"/>
  <c r="H34445" i="5"/>
  <c r="H34381" i="5"/>
  <c r="H34317" i="5"/>
  <c r="H34253" i="5"/>
  <c r="H34189" i="5"/>
  <c r="H34125" i="5"/>
  <c r="H34061" i="5"/>
  <c r="H33997" i="5"/>
  <c r="H33933" i="5"/>
  <c r="H33869" i="5"/>
  <c r="H33805" i="5"/>
  <c r="H33741" i="5"/>
  <c r="H33677" i="5"/>
  <c r="H33613" i="5"/>
  <c r="H33549" i="5"/>
  <c r="H33485" i="5"/>
  <c r="H33421" i="5"/>
  <c r="H33357" i="5"/>
  <c r="H33293" i="5"/>
  <c r="H33229" i="5"/>
  <c r="H33165" i="5"/>
  <c r="H33101" i="5"/>
  <c r="H33037" i="5"/>
  <c r="H32973" i="5"/>
  <c r="H32909" i="5"/>
  <c r="H32845" i="5"/>
  <c r="H32781" i="5"/>
  <c r="H32717" i="5"/>
  <c r="H32653" i="5"/>
  <c r="H32589" i="5"/>
  <c r="H32525" i="5"/>
  <c r="H32461" i="5"/>
  <c r="H32397" i="5"/>
  <c r="H32333" i="5"/>
  <c r="H32269" i="5"/>
  <c r="H32205" i="5"/>
  <c r="H32141" i="5"/>
  <c r="H32077" i="5"/>
  <c r="H32013" i="5"/>
  <c r="H31949" i="5"/>
  <c r="H31885" i="5"/>
  <c r="H31821" i="5"/>
  <c r="H31757" i="5"/>
  <c r="H31693" i="5"/>
  <c r="H31629" i="5"/>
  <c r="H31565" i="5"/>
  <c r="H31501" i="5"/>
  <c r="H31437" i="5"/>
  <c r="H31373" i="5"/>
  <c r="H31309" i="5"/>
  <c r="H31245" i="5"/>
  <c r="H31181" i="5"/>
  <c r="H31117" i="5"/>
  <c r="H31053" i="5"/>
  <c r="H30989" i="5"/>
  <c r="H30925" i="5"/>
  <c r="H30861" i="5"/>
  <c r="H30797" i="5"/>
  <c r="H30733" i="5"/>
  <c r="H30669" i="5"/>
  <c r="H30605" i="5"/>
  <c r="H30541" i="5"/>
  <c r="H30477" i="5"/>
  <c r="H30413" i="5"/>
  <c r="H30349" i="5"/>
  <c r="H30285" i="5"/>
  <c r="H30221" i="5"/>
  <c r="H30157" i="5"/>
  <c r="H30093" i="5"/>
  <c r="H30029" i="5"/>
  <c r="H29965" i="5"/>
  <c r="H29901" i="5"/>
  <c r="H29837" i="5"/>
  <c r="H29773" i="5"/>
  <c r="H29709" i="5"/>
  <c r="H29645" i="5"/>
  <c r="H29581" i="5"/>
  <c r="H29517" i="5"/>
  <c r="H29453" i="5"/>
  <c r="H29389" i="5"/>
  <c r="H29325" i="5"/>
  <c r="H29285" i="5"/>
  <c r="H29253" i="5"/>
  <c r="H29221" i="5"/>
  <c r="H29189" i="5"/>
  <c r="H29157" i="5"/>
  <c r="H29125" i="5"/>
  <c r="H29093" i="5"/>
  <c r="H29061" i="5"/>
  <c r="H29029" i="5"/>
  <c r="H28997" i="5"/>
  <c r="H28965" i="5"/>
  <c r="H28933" i="5"/>
  <c r="H28901" i="5"/>
  <c r="H28869" i="5"/>
  <c r="H28837" i="5"/>
  <c r="H28805" i="5"/>
  <c r="H28773" i="5"/>
  <c r="H28741" i="5"/>
  <c r="H28709" i="5"/>
  <c r="H28677" i="5"/>
  <c r="H28645" i="5"/>
  <c r="H28613" i="5"/>
  <c r="H28581" i="5"/>
  <c r="H28549" i="5"/>
  <c r="H28517" i="5"/>
  <c r="H28485" i="5"/>
  <c r="H28453" i="5"/>
  <c r="H28421" i="5"/>
  <c r="H28389" i="5"/>
  <c r="H28357" i="5"/>
  <c r="H28325" i="5"/>
  <c r="H28293" i="5"/>
  <c r="H28261" i="5"/>
  <c r="H28229" i="5"/>
  <c r="H28197" i="5"/>
  <c r="H28165" i="5"/>
  <c r="H28133" i="5"/>
  <c r="H28101" i="5"/>
  <c r="H28069" i="5"/>
  <c r="H28037" i="5"/>
  <c r="H28005" i="5"/>
  <c r="H27973" i="5"/>
  <c r="H27941" i="5"/>
  <c r="H27909" i="5"/>
  <c r="H27877" i="5"/>
  <c r="H27845" i="5"/>
  <c r="H27813" i="5"/>
  <c r="H27781" i="5"/>
  <c r="H27749" i="5"/>
  <c r="H27717" i="5"/>
  <c r="H27685" i="5"/>
  <c r="H27653" i="5"/>
  <c r="H27621" i="5"/>
  <c r="H27589" i="5"/>
  <c r="H27557" i="5"/>
  <c r="H27525" i="5"/>
  <c r="H27493" i="5"/>
  <c r="H27461" i="5"/>
  <c r="H27430" i="5"/>
  <c r="H27408" i="5"/>
  <c r="H27389" i="5"/>
  <c r="H27366" i="5"/>
  <c r="H27344" i="5"/>
  <c r="H27325" i="5"/>
  <c r="H27302" i="5"/>
  <c r="H27280" i="5"/>
  <c r="H27261" i="5"/>
  <c r="H27238" i="5"/>
  <c r="H27216" i="5"/>
  <c r="H27197" i="5"/>
  <c r="H27174" i="5"/>
  <c r="H27152" i="5"/>
  <c r="H27133" i="5"/>
  <c r="H27112" i="5"/>
  <c r="H27096" i="5"/>
  <c r="H27080" i="5"/>
  <c r="H27064" i="5"/>
  <c r="H27048" i="5"/>
  <c r="H27032" i="5"/>
  <c r="H27016" i="5"/>
  <c r="H27000" i="5"/>
  <c r="H26984" i="5"/>
  <c r="H26968" i="5"/>
  <c r="H26952" i="5"/>
  <c r="H26936" i="5"/>
  <c r="H26920" i="5"/>
  <c r="H26904" i="5"/>
  <c r="H26888" i="5"/>
  <c r="H26872" i="5"/>
  <c r="H26856" i="5"/>
  <c r="H26840" i="5"/>
  <c r="H26824" i="5"/>
  <c r="H26808" i="5"/>
  <c r="H26792" i="5"/>
  <c r="H26776" i="5"/>
  <c r="H26760" i="5"/>
  <c r="H26744" i="5"/>
  <c r="H26728" i="5"/>
  <c r="H26712" i="5"/>
  <c r="H26696" i="5"/>
  <c r="H26680" i="5"/>
  <c r="H26664" i="5"/>
  <c r="H26648" i="5"/>
  <c r="H26632" i="5"/>
  <c r="H26616" i="5"/>
  <c r="H26600" i="5"/>
  <c r="H26584" i="5"/>
  <c r="H26568" i="5"/>
  <c r="H26552" i="5"/>
  <c r="H26536" i="5"/>
  <c r="H26520" i="5"/>
  <c r="H26504" i="5"/>
  <c r="H26488" i="5"/>
  <c r="H26472" i="5"/>
  <c r="H26456" i="5"/>
  <c r="H26440" i="5"/>
  <c r="H26424" i="5"/>
  <c r="H26408" i="5"/>
  <c r="H26392" i="5"/>
  <c r="H26376" i="5"/>
  <c r="H26360" i="5"/>
  <c r="H26344" i="5"/>
  <c r="H26328" i="5"/>
  <c r="H26312" i="5"/>
  <c r="H26296" i="5"/>
  <c r="H26280" i="5"/>
  <c r="H26264" i="5"/>
  <c r="H26248" i="5"/>
  <c r="H26232" i="5"/>
  <c r="H26216" i="5"/>
  <c r="H26200" i="5"/>
  <c r="H26184" i="5"/>
  <c r="H26168" i="5"/>
  <c r="H26152" i="5"/>
  <c r="H26136" i="5"/>
  <c r="H26120" i="5"/>
  <c r="H26104" i="5"/>
  <c r="H26088" i="5"/>
  <c r="H26072" i="5"/>
  <c r="H26056" i="5"/>
  <c r="H26040" i="5"/>
  <c r="H26024" i="5"/>
  <c r="H26008" i="5"/>
  <c r="H25992" i="5"/>
  <c r="H25976" i="5"/>
  <c r="H25960" i="5"/>
  <c r="H25944" i="5"/>
  <c r="H25928" i="5"/>
  <c r="H25912" i="5"/>
  <c r="H25896" i="5"/>
  <c r="H25880" i="5"/>
  <c r="H25864" i="5"/>
  <c r="H25848" i="5"/>
  <c r="H25832" i="5"/>
  <c r="H25816" i="5"/>
  <c r="H25800" i="5"/>
  <c r="H25784" i="5"/>
  <c r="H25768" i="5"/>
  <c r="H25752" i="5"/>
  <c r="H25736" i="5"/>
  <c r="H25720" i="5"/>
  <c r="H25704" i="5"/>
  <c r="H25688" i="5"/>
  <c r="H25672" i="5"/>
  <c r="H25656" i="5"/>
  <c r="H25640" i="5"/>
  <c r="H25624" i="5"/>
  <c r="H25608" i="5"/>
  <c r="H25592" i="5"/>
  <c r="H25576" i="5"/>
  <c r="H25560" i="5"/>
  <c r="H25544" i="5"/>
  <c r="H25531" i="5"/>
  <c r="H25517" i="5"/>
  <c r="H25504" i="5"/>
  <c r="H25492" i="5"/>
  <c r="H25478" i="5"/>
  <c r="H25467" i="5"/>
  <c r="H25453" i="5"/>
  <c r="H25440" i="5"/>
  <c r="H25428" i="5"/>
  <c r="H25414" i="5"/>
  <c r="H25403" i="5"/>
  <c r="H25389" i="5"/>
  <c r="H25376" i="5"/>
  <c r="H25364" i="5"/>
  <c r="H25350" i="5"/>
  <c r="H25339" i="5"/>
  <c r="H25325" i="5"/>
  <c r="H25312" i="5"/>
  <c r="H25300" i="5"/>
  <c r="H25286" i="5"/>
  <c r="H25275" i="5"/>
  <c r="H25261" i="5"/>
  <c r="H25248" i="5"/>
  <c r="H25236" i="5"/>
  <c r="H25222" i="5"/>
  <c r="H25211" i="5"/>
  <c r="H25197" i="5"/>
  <c r="H25184" i="5"/>
  <c r="H25172" i="5"/>
  <c r="H25158" i="5"/>
  <c r="H25147" i="5"/>
  <c r="H25133" i="5"/>
  <c r="H25120" i="5"/>
  <c r="H25108" i="5"/>
  <c r="H25094" i="5"/>
  <c r="H25083" i="5"/>
  <c r="H25069" i="5"/>
  <c r="H25056" i="5"/>
  <c r="H25044" i="5"/>
  <c r="H25030" i="5"/>
  <c r="H25019" i="5"/>
  <c r="H25005" i="5"/>
  <c r="H24992" i="5"/>
  <c r="H24980" i="5"/>
  <c r="H24968" i="5"/>
  <c r="H24959" i="5"/>
  <c r="H24950" i="5"/>
  <c r="H24941" i="5"/>
  <c r="H24932" i="5"/>
  <c r="H24923" i="5"/>
  <c r="H24915" i="5"/>
  <c r="H24907" i="5"/>
  <c r="H24899" i="5"/>
  <c r="H24891" i="5"/>
  <c r="H24883" i="5"/>
  <c r="H24875" i="5"/>
  <c r="H24867" i="5"/>
  <c r="H24859" i="5"/>
  <c r="H24851" i="5"/>
  <c r="H24843" i="5"/>
  <c r="H24835" i="5"/>
  <c r="H24827" i="5"/>
  <c r="H24819" i="5"/>
  <c r="H24811" i="5"/>
  <c r="H24803" i="5"/>
  <c r="H24795" i="5"/>
  <c r="H24787" i="5"/>
  <c r="H24779" i="5"/>
  <c r="H24771" i="5"/>
  <c r="H24763" i="5"/>
  <c r="H24755" i="5"/>
  <c r="H24747" i="5"/>
  <c r="H24739" i="5"/>
  <c r="H24731" i="5"/>
  <c r="H24723" i="5"/>
  <c r="H24715" i="5"/>
  <c r="H24707" i="5"/>
  <c r="H24699" i="5"/>
  <c r="H24691" i="5"/>
  <c r="H24683" i="5"/>
  <c r="H24675" i="5"/>
  <c r="H24667" i="5"/>
  <c r="H24659" i="5"/>
  <c r="H24651" i="5"/>
  <c r="H24643" i="5"/>
  <c r="H24635" i="5"/>
  <c r="H24627" i="5"/>
  <c r="H24619" i="5"/>
  <c r="H24611" i="5"/>
  <c r="H24603" i="5"/>
  <c r="H24595" i="5"/>
  <c r="H24587" i="5"/>
  <c r="H24579" i="5"/>
  <c r="H24571" i="5"/>
  <c r="H24563" i="5"/>
  <c r="H24555" i="5"/>
  <c r="H24547" i="5"/>
  <c r="H24539" i="5"/>
  <c r="H24531" i="5"/>
  <c r="H24523" i="5"/>
  <c r="H24515" i="5"/>
  <c r="H24507" i="5"/>
  <c r="H24499" i="5"/>
  <c r="H24491" i="5"/>
  <c r="H24483" i="5"/>
  <c r="H24475" i="5"/>
  <c r="H24467" i="5"/>
  <c r="H24459" i="5"/>
  <c r="H24451" i="5"/>
  <c r="H24443" i="5"/>
  <c r="H24435" i="5"/>
  <c r="H24427" i="5"/>
  <c r="H24419" i="5"/>
  <c r="H24411" i="5"/>
  <c r="H24403" i="5"/>
  <c r="H24395" i="5"/>
  <c r="H24387" i="5"/>
  <c r="H24379" i="5"/>
  <c r="H24371" i="5"/>
  <c r="H24363" i="5"/>
  <c r="H24355" i="5"/>
  <c r="H24347" i="5"/>
  <c r="H24339" i="5"/>
  <c r="H24331" i="5"/>
  <c r="H24323" i="5"/>
  <c r="H24315" i="5"/>
  <c r="H24307" i="5"/>
  <c r="H24299" i="5"/>
  <c r="H24291" i="5"/>
  <c r="H24283" i="5"/>
  <c r="H24275" i="5"/>
  <c r="H24267" i="5"/>
  <c r="H24259" i="5"/>
  <c r="H24251" i="5"/>
  <c r="H24243" i="5"/>
  <c r="H24235" i="5"/>
  <c r="H24227" i="5"/>
  <c r="H24219" i="5"/>
  <c r="H24211" i="5"/>
  <c r="H24203" i="5"/>
  <c r="H24195" i="5"/>
  <c r="H24187" i="5"/>
  <c r="H24179" i="5"/>
  <c r="H24171" i="5"/>
  <c r="H24163" i="5"/>
  <c r="H24155" i="5"/>
  <c r="H24147" i="5"/>
  <c r="H24139" i="5"/>
  <c r="H24131" i="5"/>
  <c r="H24123" i="5"/>
  <c r="H24115" i="5"/>
  <c r="H24107" i="5"/>
  <c r="H24099" i="5"/>
  <c r="H24091" i="5"/>
  <c r="H24083" i="5"/>
  <c r="H24075" i="5"/>
  <c r="H24067" i="5"/>
  <c r="H24059" i="5"/>
  <c r="H24051" i="5"/>
  <c r="H24043" i="5"/>
  <c r="H24035" i="5"/>
  <c r="H24027" i="5"/>
  <c r="H24019" i="5"/>
  <c r="H24011" i="5"/>
  <c r="H24003" i="5"/>
  <c r="H23995" i="5"/>
  <c r="H23987" i="5"/>
  <c r="H23979" i="5"/>
  <c r="H23971" i="5"/>
  <c r="H23963" i="5"/>
  <c r="H23955" i="5"/>
  <c r="H23947" i="5"/>
  <c r="H23939" i="5"/>
  <c r="H23931" i="5"/>
  <c r="H23923" i="5"/>
  <c r="H23915" i="5"/>
  <c r="H23907" i="5"/>
  <c r="H23899" i="5"/>
  <c r="H23891" i="5"/>
  <c r="H23883" i="5"/>
  <c r="H23875" i="5"/>
  <c r="H23867" i="5"/>
  <c r="H23859" i="5"/>
  <c r="H23851" i="5"/>
  <c r="H23843" i="5"/>
  <c r="H23835" i="5"/>
  <c r="H23827" i="5"/>
  <c r="H23819" i="5"/>
  <c r="H23811" i="5"/>
  <c r="H23803" i="5"/>
  <c r="H23795" i="5"/>
  <c r="H23787" i="5"/>
  <c r="H23779" i="5"/>
  <c r="H23771" i="5"/>
  <c r="H23763" i="5"/>
  <c r="H23755" i="5"/>
  <c r="H23747" i="5"/>
  <c r="H23739" i="5"/>
  <c r="H23731" i="5"/>
  <c r="H23723" i="5"/>
  <c r="H23715" i="5"/>
  <c r="H23707" i="5"/>
  <c r="H23699" i="5"/>
  <c r="H23691" i="5"/>
  <c r="H23683" i="5"/>
  <c r="H23675" i="5"/>
  <c r="H23667" i="5"/>
  <c r="H23659" i="5"/>
  <c r="H23651" i="5"/>
  <c r="H23643" i="5"/>
  <c r="H23635" i="5"/>
  <c r="H23627" i="5"/>
  <c r="H23619" i="5"/>
  <c r="H23611" i="5"/>
  <c r="H23603" i="5"/>
  <c r="H23595" i="5"/>
  <c r="H23587" i="5"/>
  <c r="H23579" i="5"/>
  <c r="H23571" i="5"/>
  <c r="H23563" i="5"/>
  <c r="H23555" i="5"/>
  <c r="H23547" i="5"/>
  <c r="H23539" i="5"/>
  <c r="H23531" i="5"/>
  <c r="H23523" i="5"/>
  <c r="H23515" i="5"/>
  <c r="H23507" i="5"/>
  <c r="H23499" i="5"/>
  <c r="H23491" i="5"/>
  <c r="H23483" i="5"/>
  <c r="H23475" i="5"/>
  <c r="H23467" i="5"/>
  <c r="H23459" i="5"/>
  <c r="H23451" i="5"/>
  <c r="H23443" i="5"/>
  <c r="H23435" i="5"/>
  <c r="H23427" i="5"/>
  <c r="H23419" i="5"/>
  <c r="H23411" i="5"/>
  <c r="H23403" i="5"/>
  <c r="H23395" i="5"/>
  <c r="H23387" i="5"/>
  <c r="H23379" i="5"/>
  <c r="H23371" i="5"/>
  <c r="H23363" i="5"/>
  <c r="H23355" i="5"/>
  <c r="H23347" i="5"/>
  <c r="H23339" i="5"/>
  <c r="H23331" i="5"/>
  <c r="H23323" i="5"/>
  <c r="H23315" i="5"/>
  <c r="H23307" i="5"/>
  <c r="H23299" i="5"/>
  <c r="H23291" i="5"/>
  <c r="H23283" i="5"/>
  <c r="H23275" i="5"/>
  <c r="H23267" i="5"/>
  <c r="H23259" i="5"/>
  <c r="H23251" i="5"/>
  <c r="H23243" i="5"/>
  <c r="H23235" i="5"/>
  <c r="H23227" i="5"/>
  <c r="H23219" i="5"/>
  <c r="H23211" i="5"/>
  <c r="H23203" i="5"/>
  <c r="H23195" i="5"/>
  <c r="H23187" i="5"/>
  <c r="H23179" i="5"/>
  <c r="H23171" i="5"/>
  <c r="H23163" i="5"/>
  <c r="H23155" i="5"/>
  <c r="H23147" i="5"/>
  <c r="H23139" i="5"/>
  <c r="H23131" i="5"/>
  <c r="H23123" i="5"/>
  <c r="H23115" i="5"/>
  <c r="H23107" i="5"/>
  <c r="H23099" i="5"/>
  <c r="H23091" i="5"/>
  <c r="H23083" i="5"/>
  <c r="H23075" i="5"/>
  <c r="H23067" i="5"/>
  <c r="H23059" i="5"/>
  <c r="H23051" i="5"/>
  <c r="H23043" i="5"/>
  <c r="H23035" i="5"/>
  <c r="H23027" i="5"/>
  <c r="H23019" i="5"/>
  <c r="H23011" i="5"/>
  <c r="H23003" i="5"/>
  <c r="H22995" i="5"/>
  <c r="H22987" i="5"/>
  <c r="H22979" i="5"/>
  <c r="H22971" i="5"/>
  <c r="H22963" i="5"/>
  <c r="H22955" i="5"/>
  <c r="H22947" i="5"/>
  <c r="H22939" i="5"/>
  <c r="H22931" i="5"/>
  <c r="H22923" i="5"/>
  <c r="H22915" i="5"/>
  <c r="H22907" i="5"/>
  <c r="H22899" i="5"/>
  <c r="H22891" i="5"/>
  <c r="H22883" i="5"/>
  <c r="H22875" i="5"/>
  <c r="H22867" i="5"/>
  <c r="H22859" i="5"/>
  <c r="H22851" i="5"/>
  <c r="H22843" i="5"/>
  <c r="H22835" i="5"/>
  <c r="H22827" i="5"/>
  <c r="H22819" i="5"/>
  <c r="H22811" i="5"/>
  <c r="H22803" i="5"/>
  <c r="H22795" i="5"/>
  <c r="H22787" i="5"/>
  <c r="H22779" i="5"/>
  <c r="H22771" i="5"/>
  <c r="H22763" i="5"/>
  <c r="H22755" i="5"/>
  <c r="H22747" i="5"/>
  <c r="H22739" i="5"/>
  <c r="H22731" i="5"/>
  <c r="H22723" i="5"/>
  <c r="H22715" i="5"/>
  <c r="H22707" i="5"/>
  <c r="H22699" i="5"/>
  <c r="H22691" i="5"/>
  <c r="H22683" i="5"/>
  <c r="H22675" i="5"/>
  <c r="H22667" i="5"/>
  <c r="H22659" i="5"/>
  <c r="H22651" i="5"/>
  <c r="H22643" i="5"/>
  <c r="H22635" i="5"/>
  <c r="H22627" i="5"/>
  <c r="H22619" i="5"/>
  <c r="H22611" i="5"/>
  <c r="H22603" i="5"/>
  <c r="H22595" i="5"/>
  <c r="H22587" i="5"/>
  <c r="H22579" i="5"/>
  <c r="H22571" i="5"/>
  <c r="H22563" i="5"/>
  <c r="H22555" i="5"/>
  <c r="H22547" i="5"/>
  <c r="H22539" i="5"/>
  <c r="H22531" i="5"/>
  <c r="H22523" i="5"/>
  <c r="H22515" i="5"/>
  <c r="H22507" i="5"/>
  <c r="H22499" i="5"/>
  <c r="H22491" i="5"/>
  <c r="H22483" i="5"/>
  <c r="H22475" i="5"/>
  <c r="H22467" i="5"/>
  <c r="H22459" i="5"/>
  <c r="H22451" i="5"/>
  <c r="H22443" i="5"/>
  <c r="H22435" i="5"/>
  <c r="H22427" i="5"/>
  <c r="H22419" i="5"/>
  <c r="H22411" i="5"/>
  <c r="H22403" i="5"/>
  <c r="H22395" i="5"/>
  <c r="H22387" i="5"/>
  <c r="H22379" i="5"/>
  <c r="H22371" i="5"/>
  <c r="H22363" i="5"/>
  <c r="H22355" i="5"/>
  <c r="H22347" i="5"/>
  <c r="H22339" i="5"/>
  <c r="H22331" i="5"/>
  <c r="H22323" i="5"/>
  <c r="H22315" i="5"/>
  <c r="H22307" i="5"/>
  <c r="H22299" i="5"/>
  <c r="H22291" i="5"/>
  <c r="H22283" i="5"/>
  <c r="H22275" i="5"/>
  <c r="H22267" i="5"/>
  <c r="H22259" i="5"/>
  <c r="H22251" i="5"/>
  <c r="H22243" i="5"/>
  <c r="H22235" i="5"/>
  <c r="H22227" i="5"/>
  <c r="H22219" i="5"/>
  <c r="H22211" i="5"/>
  <c r="H22203" i="5"/>
  <c r="H22195" i="5"/>
  <c r="H22187" i="5"/>
  <c r="H22179" i="5"/>
  <c r="H22171" i="5"/>
  <c r="H22163" i="5"/>
  <c r="H22155" i="5"/>
  <c r="H22147" i="5"/>
  <c r="H22139" i="5"/>
  <c r="H22131" i="5"/>
  <c r="H22123" i="5"/>
  <c r="H22115" i="5"/>
  <c r="H22107" i="5"/>
  <c r="H22099" i="5"/>
  <c r="H22091" i="5"/>
  <c r="H22083" i="5"/>
  <c r="H22075" i="5"/>
  <c r="H22067" i="5"/>
  <c r="H22059" i="5"/>
  <c r="H22051" i="5"/>
  <c r="H22043" i="5"/>
  <c r="H22035" i="5"/>
  <c r="H22027" i="5"/>
  <c r="H22019" i="5"/>
  <c r="H22011" i="5"/>
  <c r="H22003" i="5"/>
  <c r="H21995" i="5"/>
  <c r="H21987" i="5"/>
  <c r="H21979" i="5"/>
  <c r="H21971" i="5"/>
  <c r="H21963" i="5"/>
  <c r="H21955" i="5"/>
  <c r="H21947" i="5"/>
  <c r="H21939" i="5"/>
  <c r="H21931" i="5"/>
  <c r="H21923" i="5"/>
  <c r="H21915" i="5"/>
  <c r="H21907" i="5"/>
  <c r="H21899" i="5"/>
  <c r="H21891" i="5"/>
  <c r="H21883" i="5"/>
  <c r="H21875" i="5"/>
  <c r="H21867" i="5"/>
  <c r="H21859" i="5"/>
  <c r="H21851" i="5"/>
  <c r="H21843" i="5"/>
  <c r="H21835" i="5"/>
  <c r="H21827" i="5"/>
  <c r="H21819" i="5"/>
  <c r="H21811" i="5"/>
  <c r="H21803" i="5"/>
  <c r="H21795" i="5"/>
  <c r="H21787" i="5"/>
  <c r="H21779" i="5"/>
  <c r="H21771" i="5"/>
  <c r="H21763" i="5"/>
  <c r="H21755" i="5"/>
  <c r="H21747" i="5"/>
  <c r="H21739" i="5"/>
  <c r="H21731" i="5"/>
  <c r="H21723" i="5"/>
  <c r="H21715" i="5"/>
  <c r="H21707" i="5"/>
  <c r="H21699" i="5"/>
  <c r="H21691" i="5"/>
  <c r="H21683" i="5"/>
  <c r="H21675" i="5"/>
  <c r="H21667" i="5"/>
  <c r="H21659" i="5"/>
  <c r="H21651" i="5"/>
  <c r="H21643" i="5"/>
  <c r="H21635" i="5"/>
  <c r="H21627" i="5"/>
  <c r="H21619" i="5"/>
  <c r="H21611" i="5"/>
  <c r="H21603" i="5"/>
  <c r="H21595" i="5"/>
  <c r="H21587" i="5"/>
  <c r="H21579" i="5"/>
  <c r="H21571" i="5"/>
  <c r="H21563" i="5"/>
  <c r="H21555" i="5"/>
  <c r="H21547" i="5"/>
  <c r="H21539" i="5"/>
  <c r="H21531" i="5"/>
  <c r="H21523" i="5"/>
  <c r="H21515" i="5"/>
  <c r="H21507" i="5"/>
  <c r="H21499" i="5"/>
  <c r="H21491" i="5"/>
  <c r="H21483" i="5"/>
  <c r="H21475" i="5"/>
  <c r="H21467" i="5"/>
  <c r="H21459" i="5"/>
  <c r="H21451" i="5"/>
  <c r="H21443" i="5"/>
  <c r="H21435" i="5"/>
  <c r="H21427" i="5"/>
  <c r="H21419" i="5"/>
  <c r="H21411" i="5"/>
  <c r="H21403" i="5"/>
  <c r="H21395" i="5"/>
  <c r="H21387" i="5"/>
  <c r="H21379" i="5"/>
  <c r="H21371" i="5"/>
  <c r="H21363" i="5"/>
  <c r="H21355" i="5"/>
  <c r="H21347" i="5"/>
  <c r="H21339" i="5"/>
  <c r="H21331" i="5"/>
  <c r="H21323" i="5"/>
  <c r="H21315" i="5"/>
  <c r="H21307" i="5"/>
  <c r="H21299" i="5"/>
  <c r="H21291" i="5"/>
  <c r="H21283" i="5"/>
  <c r="H21275" i="5"/>
  <c r="H21267" i="5"/>
  <c r="H21259" i="5"/>
  <c r="H21251" i="5"/>
  <c r="H21243" i="5"/>
  <c r="H21235" i="5"/>
  <c r="H21227" i="5"/>
  <c r="H21219" i="5"/>
  <c r="H21211" i="5"/>
  <c r="H21203" i="5"/>
  <c r="H21195" i="5"/>
  <c r="H21187" i="5"/>
  <c r="H21179" i="5"/>
  <c r="H21171" i="5"/>
  <c r="H21163" i="5"/>
  <c r="H21155" i="5"/>
  <c r="H21147" i="5"/>
  <c r="H21139" i="5"/>
  <c r="H21131" i="5"/>
  <c r="H21123" i="5"/>
  <c r="H21115" i="5"/>
  <c r="H21107" i="5"/>
  <c r="H21099" i="5"/>
  <c r="H21091" i="5"/>
  <c r="H21083" i="5"/>
  <c r="H21075" i="5"/>
  <c r="H21067" i="5"/>
  <c r="H21059" i="5"/>
  <c r="H21051" i="5"/>
  <c r="H21043" i="5"/>
  <c r="H21035" i="5"/>
  <c r="H21027" i="5"/>
  <c r="H21019" i="5"/>
  <c r="H21011" i="5"/>
  <c r="H21003" i="5"/>
  <c r="H20995" i="5"/>
  <c r="H20987" i="5"/>
  <c r="H20979" i="5"/>
  <c r="H20971" i="5"/>
  <c r="H20963" i="5"/>
  <c r="H20955" i="5"/>
  <c r="H20947" i="5"/>
  <c r="H20939" i="5"/>
  <c r="H20931" i="5"/>
  <c r="H20923" i="5"/>
  <c r="H20915" i="5"/>
  <c r="H20907" i="5"/>
  <c r="H20899" i="5"/>
  <c r="H20891" i="5"/>
  <c r="H20883" i="5"/>
  <c r="H20875" i="5"/>
  <c r="H20867" i="5"/>
  <c r="H20859" i="5"/>
  <c r="H20851" i="5"/>
  <c r="H20843" i="5"/>
  <c r="H20835" i="5"/>
  <c r="H20827" i="5"/>
  <c r="H20819" i="5"/>
  <c r="H20811" i="5"/>
  <c r="H20803" i="5"/>
  <c r="H20795" i="5"/>
  <c r="H20787" i="5"/>
  <c r="H20779" i="5"/>
  <c r="H20771" i="5"/>
  <c r="H20763" i="5"/>
  <c r="H20755" i="5"/>
  <c r="H20747" i="5"/>
  <c r="H20739" i="5"/>
  <c r="H20731" i="5"/>
  <c r="H20723" i="5"/>
  <c r="H20715" i="5"/>
  <c r="H20707" i="5"/>
  <c r="H20699" i="5"/>
  <c r="H20691" i="5"/>
  <c r="H20683" i="5"/>
  <c r="H20675" i="5"/>
  <c r="H20667" i="5"/>
  <c r="H20659" i="5"/>
  <c r="H20651" i="5"/>
  <c r="H20643" i="5"/>
  <c r="H20635" i="5"/>
  <c r="H20627" i="5"/>
  <c r="H20619" i="5"/>
  <c r="H20611" i="5"/>
  <c r="H20603" i="5"/>
  <c r="H20595" i="5"/>
  <c r="H20587" i="5"/>
  <c r="H20579" i="5"/>
  <c r="H20571" i="5"/>
  <c r="H20563" i="5"/>
  <c r="H20555" i="5"/>
  <c r="H20547" i="5"/>
  <c r="H20539" i="5"/>
  <c r="H20531" i="5"/>
  <c r="H20523" i="5"/>
  <c r="H20515" i="5"/>
  <c r="H20507" i="5"/>
  <c r="H20499" i="5"/>
  <c r="H20491" i="5"/>
  <c r="H20483" i="5"/>
  <c r="H20475" i="5"/>
  <c r="H20467" i="5"/>
  <c r="H20459" i="5"/>
  <c r="H20451" i="5"/>
  <c r="H20443" i="5"/>
  <c r="H20435" i="5"/>
  <c r="H20427" i="5"/>
  <c r="H20419" i="5"/>
  <c r="H20411" i="5"/>
  <c r="H20403" i="5"/>
  <c r="H20395" i="5"/>
  <c r="H20387" i="5"/>
  <c r="H20379" i="5"/>
  <c r="H20371" i="5"/>
  <c r="H20363" i="5"/>
  <c r="H20355" i="5"/>
  <c r="H20347" i="5"/>
  <c r="H20339" i="5"/>
  <c r="H20331" i="5"/>
  <c r="H20323" i="5"/>
  <c r="H20315" i="5"/>
  <c r="H20307" i="5"/>
  <c r="H20299" i="5"/>
  <c r="H20291" i="5"/>
  <c r="H20283" i="5"/>
  <c r="H20275" i="5"/>
  <c r="H20267" i="5"/>
  <c r="H20259" i="5"/>
  <c r="H20251" i="5"/>
  <c r="H20243" i="5"/>
  <c r="H20235" i="5"/>
  <c r="H20227" i="5"/>
  <c r="H20219" i="5"/>
  <c r="H20211" i="5"/>
  <c r="H20203" i="5"/>
  <c r="H20195" i="5"/>
  <c r="H20187" i="5"/>
  <c r="H20179" i="5"/>
  <c r="H20171" i="5"/>
  <c r="H20163" i="5"/>
  <c r="H20155" i="5"/>
  <c r="H20147" i="5"/>
  <c r="H20139" i="5"/>
  <c r="H20131" i="5"/>
  <c r="H20123" i="5"/>
  <c r="H20115" i="5"/>
  <c r="H20107" i="5"/>
  <c r="H20099" i="5"/>
  <c r="H20091" i="5"/>
  <c r="H20083" i="5"/>
  <c r="H20075" i="5"/>
  <c r="H20067" i="5"/>
  <c r="H20059" i="5"/>
  <c r="H20051" i="5"/>
  <c r="H20043" i="5"/>
  <c r="H20035" i="5"/>
  <c r="H20027" i="5"/>
  <c r="H20019" i="5"/>
  <c r="H20011" i="5"/>
  <c r="H20003" i="5"/>
  <c r="H19995" i="5"/>
  <c r="H19987" i="5"/>
  <c r="H19979" i="5"/>
  <c r="H19971" i="5"/>
  <c r="H19963" i="5"/>
  <c r="H19955" i="5"/>
  <c r="H19947" i="5"/>
  <c r="H19939" i="5"/>
  <c r="H19931" i="5"/>
  <c r="H19923" i="5"/>
  <c r="H19915" i="5"/>
  <c r="H19907" i="5"/>
  <c r="H19899" i="5"/>
  <c r="H19891" i="5"/>
  <c r="H19883" i="5"/>
  <c r="H19875" i="5"/>
  <c r="H19867" i="5"/>
  <c r="H19859" i="5"/>
  <c r="H19851" i="5"/>
  <c r="H19843" i="5"/>
  <c r="H19835" i="5"/>
  <c r="H19827" i="5"/>
  <c r="H19819" i="5"/>
  <c r="H19811" i="5"/>
  <c r="H19803" i="5"/>
  <c r="H19795" i="5"/>
  <c r="H19787" i="5"/>
  <c r="H19779" i="5"/>
  <c r="H19771" i="5"/>
  <c r="H19763" i="5"/>
  <c r="H19755" i="5"/>
  <c r="H19747" i="5"/>
  <c r="H19739" i="5"/>
  <c r="H19731" i="5"/>
  <c r="H19723" i="5"/>
  <c r="H19715" i="5"/>
  <c r="H19707" i="5"/>
  <c r="H19699" i="5"/>
  <c r="H19691" i="5"/>
  <c r="H19683" i="5"/>
  <c r="H19675" i="5"/>
  <c r="H19667" i="5"/>
  <c r="H19659" i="5"/>
  <c r="H19651" i="5"/>
  <c r="H19643" i="5"/>
  <c r="H19635" i="5"/>
  <c r="H19627" i="5"/>
  <c r="H19619" i="5"/>
  <c r="H19611" i="5"/>
  <c r="H19603" i="5"/>
  <c r="H19595" i="5"/>
  <c r="H19587" i="5"/>
  <c r="H19579" i="5"/>
  <c r="H19571" i="5"/>
  <c r="H19563" i="5"/>
  <c r="H19555" i="5"/>
  <c r="H19547" i="5"/>
  <c r="H19539" i="5"/>
  <c r="H19531" i="5"/>
  <c r="H19523" i="5"/>
  <c r="H19515" i="5"/>
  <c r="H19507" i="5"/>
  <c r="H19499" i="5"/>
  <c r="H19491" i="5"/>
  <c r="H19483" i="5"/>
  <c r="H19475" i="5"/>
  <c r="H19467" i="5"/>
  <c r="H19459" i="5"/>
  <c r="H19451" i="5"/>
  <c r="H19443" i="5"/>
  <c r="H19435" i="5"/>
  <c r="H19427" i="5"/>
  <c r="H19419" i="5"/>
  <c r="H19411" i="5"/>
  <c r="H19403" i="5"/>
  <c r="H19395" i="5"/>
  <c r="H19387" i="5"/>
  <c r="H19379" i="5"/>
  <c r="H19371" i="5"/>
  <c r="H19363" i="5"/>
  <c r="H19355" i="5"/>
  <c r="H19347" i="5"/>
  <c r="H19339" i="5"/>
  <c r="H19331" i="5"/>
  <c r="H19323" i="5"/>
  <c r="H19315" i="5"/>
  <c r="H19307" i="5"/>
  <c r="H19299" i="5"/>
  <c r="H19291" i="5"/>
  <c r="H19283" i="5"/>
  <c r="H19275" i="5"/>
  <c r="H19267" i="5"/>
  <c r="H19259" i="5"/>
  <c r="H19251" i="5"/>
  <c r="H19243" i="5"/>
  <c r="H19235" i="5"/>
  <c r="H19227" i="5"/>
  <c r="H19219" i="5"/>
  <c r="H19211" i="5"/>
  <c r="H19203" i="5"/>
  <c r="H19195" i="5"/>
  <c r="H19187" i="5"/>
  <c r="H19179" i="5"/>
  <c r="H19171" i="5"/>
  <c r="H19163" i="5"/>
  <c r="H19155" i="5"/>
  <c r="H19147" i="5"/>
  <c r="H19139" i="5"/>
  <c r="H19131" i="5"/>
  <c r="H19123" i="5"/>
  <c r="H19115" i="5"/>
  <c r="H19107" i="5"/>
  <c r="H19099" i="5"/>
  <c r="H19091" i="5"/>
  <c r="H19083" i="5"/>
  <c r="H19075" i="5"/>
  <c r="H19067" i="5"/>
  <c r="H19059" i="5"/>
  <c r="H19051" i="5"/>
  <c r="H19043" i="5"/>
  <c r="H19035" i="5"/>
  <c r="H19027" i="5"/>
  <c r="H19019" i="5"/>
  <c r="H19011" i="5"/>
  <c r="H19003" i="5"/>
  <c r="H18995" i="5"/>
  <c r="H18987" i="5"/>
  <c r="H18979" i="5"/>
  <c r="H18971" i="5"/>
  <c r="H18963" i="5"/>
  <c r="H18955" i="5"/>
  <c r="H18947" i="5"/>
  <c r="H18939" i="5"/>
  <c r="H18931" i="5"/>
  <c r="H18923" i="5"/>
  <c r="H18915" i="5"/>
  <c r="H18907" i="5"/>
  <c r="H18899" i="5"/>
  <c r="H18891" i="5"/>
  <c r="H18883" i="5"/>
  <c r="H18875" i="5"/>
  <c r="H18867" i="5"/>
  <c r="H18859" i="5"/>
  <c r="H18851" i="5"/>
  <c r="H18843" i="5"/>
  <c r="H18835" i="5"/>
  <c r="H18827" i="5"/>
  <c r="H18819" i="5"/>
  <c r="H18811" i="5"/>
  <c r="H18803" i="5"/>
  <c r="H18795" i="5"/>
  <c r="H18787" i="5"/>
  <c r="H18779" i="5"/>
  <c r="H18771" i="5"/>
  <c r="H18763" i="5"/>
  <c r="H18755" i="5"/>
  <c r="H18747" i="5"/>
  <c r="H18739" i="5"/>
  <c r="H18731" i="5"/>
  <c r="H18723" i="5"/>
  <c r="H18715" i="5"/>
  <c r="H18707" i="5"/>
  <c r="H18699" i="5"/>
  <c r="H18691" i="5"/>
  <c r="H18683" i="5"/>
  <c r="H18675" i="5"/>
  <c r="H18667" i="5"/>
  <c r="H18659" i="5"/>
  <c r="H18651" i="5"/>
  <c r="H18643" i="5"/>
  <c r="H18635" i="5"/>
  <c r="H18627" i="5"/>
  <c r="H18619" i="5"/>
  <c r="H18611" i="5"/>
  <c r="H18603" i="5"/>
  <c r="H18595" i="5"/>
  <c r="H18587" i="5"/>
  <c r="H18579" i="5"/>
  <c r="H18571" i="5"/>
  <c r="H18563" i="5"/>
  <c r="H18555" i="5"/>
  <c r="H18547" i="5"/>
  <c r="H18539" i="5"/>
  <c r="H18531" i="5"/>
  <c r="H18523" i="5"/>
  <c r="H18515" i="5"/>
  <c r="H18507" i="5"/>
  <c r="H18499" i="5"/>
  <c r="H18491" i="5"/>
  <c r="H18483" i="5"/>
  <c r="H18475" i="5"/>
  <c r="H18467" i="5"/>
  <c r="H18459" i="5"/>
  <c r="H18451" i="5"/>
  <c r="H18443" i="5"/>
  <c r="H18435" i="5"/>
  <c r="H18427" i="5"/>
  <c r="H18419" i="5"/>
  <c r="H18411" i="5"/>
  <c r="H18403" i="5"/>
  <c r="H18395" i="5"/>
  <c r="H18387" i="5"/>
  <c r="H18379" i="5"/>
  <c r="H18371" i="5"/>
  <c r="H18363" i="5"/>
  <c r="H18355" i="5"/>
  <c r="H18347" i="5"/>
  <c r="H18339" i="5"/>
  <c r="H18331" i="5"/>
  <c r="H18323" i="5"/>
  <c r="H18315" i="5"/>
  <c r="H18307" i="5"/>
  <c r="H18299" i="5"/>
  <c r="H18291" i="5"/>
  <c r="H18283" i="5"/>
  <c r="H18275" i="5"/>
  <c r="H18267" i="5"/>
  <c r="H18259" i="5"/>
  <c r="H18251" i="5"/>
  <c r="H18243" i="5"/>
  <c r="H18235" i="5"/>
  <c r="H18227" i="5"/>
  <c r="H18219" i="5"/>
  <c r="H18211" i="5"/>
  <c r="H18203" i="5"/>
  <c r="H18195" i="5"/>
  <c r="H18187" i="5"/>
  <c r="H18179" i="5"/>
  <c r="H18171" i="5"/>
  <c r="H18163" i="5"/>
  <c r="H18155" i="5"/>
  <c r="H18147" i="5"/>
  <c r="H18139" i="5"/>
  <c r="H18131" i="5"/>
  <c r="H18123" i="5"/>
  <c r="H18115" i="5"/>
  <c r="H18107" i="5"/>
  <c r="H18099" i="5"/>
  <c r="H18091" i="5"/>
  <c r="H18083" i="5"/>
  <c r="H18075" i="5"/>
  <c r="H18067" i="5"/>
  <c r="H18059" i="5"/>
  <c r="H18051" i="5"/>
  <c r="H18043" i="5"/>
  <c r="H18035" i="5"/>
  <c r="H18027" i="5"/>
  <c r="H18019" i="5"/>
  <c r="H18011" i="5"/>
  <c r="H18003" i="5"/>
  <c r="H17995" i="5"/>
  <c r="H17987" i="5"/>
  <c r="H17979" i="5"/>
  <c r="H17971" i="5"/>
  <c r="H17963" i="5"/>
  <c r="H17955" i="5"/>
  <c r="H17947" i="5"/>
  <c r="H17939" i="5"/>
  <c r="H17931" i="5"/>
  <c r="H17923" i="5"/>
  <c r="H17915" i="5"/>
  <c r="H17907" i="5"/>
  <c r="H17899" i="5"/>
  <c r="H17891" i="5"/>
  <c r="H17883" i="5"/>
  <c r="H17875" i="5"/>
  <c r="H17867" i="5"/>
  <c r="H17859" i="5"/>
  <c r="H17851" i="5"/>
  <c r="H17843" i="5"/>
  <c r="H17835" i="5"/>
  <c r="H17827" i="5"/>
  <c r="H17819" i="5"/>
  <c r="H17811" i="5"/>
  <c r="H17803" i="5"/>
  <c r="H17795" i="5"/>
  <c r="H17787" i="5"/>
  <c r="H17779" i="5"/>
  <c r="H17771" i="5"/>
  <c r="H17763" i="5"/>
  <c r="H17755" i="5"/>
  <c r="H17747" i="5"/>
  <c r="H17739" i="5"/>
  <c r="H17731" i="5"/>
  <c r="H17723" i="5"/>
  <c r="H17715" i="5"/>
  <c r="H17707" i="5"/>
  <c r="H17699" i="5"/>
  <c r="H17691" i="5"/>
  <c r="H17683" i="5"/>
  <c r="H17675" i="5"/>
  <c r="H17667" i="5"/>
  <c r="H17659" i="5"/>
  <c r="H17651" i="5"/>
  <c r="H17643" i="5"/>
  <c r="H17635" i="5"/>
  <c r="H17627" i="5"/>
  <c r="H17619" i="5"/>
  <c r="H17611" i="5"/>
  <c r="H17603" i="5"/>
  <c r="H17595" i="5"/>
  <c r="H17587" i="5"/>
  <c r="H17579" i="5"/>
  <c r="H17571" i="5"/>
  <c r="H17563" i="5"/>
  <c r="H17555" i="5"/>
  <c r="H17547" i="5"/>
  <c r="H17539" i="5"/>
  <c r="H17531" i="5"/>
  <c r="H17523" i="5"/>
  <c r="H17515" i="5"/>
  <c r="H17507" i="5"/>
  <c r="H17499" i="5"/>
  <c r="H17491" i="5"/>
  <c r="H17483" i="5"/>
  <c r="H17475" i="5"/>
  <c r="H17467" i="5"/>
  <c r="H17459" i="5"/>
  <c r="H17451" i="5"/>
  <c r="H17443" i="5"/>
  <c r="H17435" i="5"/>
  <c r="H17427" i="5"/>
  <c r="H17419" i="5"/>
  <c r="H17411" i="5"/>
  <c r="H17403" i="5"/>
  <c r="H17395" i="5"/>
  <c r="H17387" i="5"/>
  <c r="H17379" i="5"/>
  <c r="H17371" i="5"/>
  <c r="H17363" i="5"/>
  <c r="H17355" i="5"/>
  <c r="H17347" i="5"/>
  <c r="H17339" i="5"/>
  <c r="H17331" i="5"/>
  <c r="H17323" i="5"/>
  <c r="H17315" i="5"/>
  <c r="H17307" i="5"/>
  <c r="H17299" i="5"/>
  <c r="H17291" i="5"/>
  <c r="H17283" i="5"/>
  <c r="H17275" i="5"/>
  <c r="H17267" i="5"/>
  <c r="H17259" i="5"/>
  <c r="H17251" i="5"/>
  <c r="H17243" i="5"/>
  <c r="H17235" i="5"/>
  <c r="H17227" i="5"/>
  <c r="H17219" i="5"/>
  <c r="H17211" i="5"/>
  <c r="H17203" i="5"/>
  <c r="H17195" i="5"/>
  <c r="H17187" i="5"/>
  <c r="H17179" i="5"/>
  <c r="H17171" i="5"/>
  <c r="H17163" i="5"/>
  <c r="H17155" i="5"/>
  <c r="H17147" i="5"/>
  <c r="H17139" i="5"/>
  <c r="H17131" i="5"/>
  <c r="H17123" i="5"/>
  <c r="H17115" i="5"/>
  <c r="H17107" i="5"/>
  <c r="H17099" i="5"/>
  <c r="H17091" i="5"/>
  <c r="H17083" i="5"/>
  <c r="H17075" i="5"/>
  <c r="H17067" i="5"/>
  <c r="H17059" i="5"/>
  <c r="H17051" i="5"/>
  <c r="H17043" i="5"/>
  <c r="H17035" i="5"/>
  <c r="H17027" i="5"/>
  <c r="H17019" i="5"/>
  <c r="H17011" i="5"/>
  <c r="H17003" i="5"/>
  <c r="H16995" i="5"/>
  <c r="H16987" i="5"/>
  <c r="H16979" i="5"/>
  <c r="H16971" i="5"/>
  <c r="H16963" i="5"/>
  <c r="H16955" i="5"/>
  <c r="H16947" i="5"/>
  <c r="H16939" i="5"/>
  <c r="H16931" i="5"/>
  <c r="H16923" i="5"/>
  <c r="H16915" i="5"/>
  <c r="H16907" i="5"/>
  <c r="H16899" i="5"/>
  <c r="H16891" i="5"/>
  <c r="H16883" i="5"/>
  <c r="H16875" i="5"/>
  <c r="H16867" i="5"/>
  <c r="H16859" i="5"/>
  <c r="H16851" i="5"/>
  <c r="H16843" i="5"/>
  <c r="H16835" i="5"/>
  <c r="H16827" i="5"/>
  <c r="H16819" i="5"/>
  <c r="H16811" i="5"/>
  <c r="H16803" i="5"/>
  <c r="H16795" i="5"/>
  <c r="H16787" i="5"/>
  <c r="H16779" i="5"/>
  <c r="H16771" i="5"/>
  <c r="H16763" i="5"/>
  <c r="H16755" i="5"/>
  <c r="H16747" i="5"/>
  <c r="H16739" i="5"/>
  <c r="H16731" i="5"/>
  <c r="H16723" i="5"/>
  <c r="H16715" i="5"/>
  <c r="H16707" i="5"/>
  <c r="H16699" i="5"/>
  <c r="H16691" i="5"/>
  <c r="H16683" i="5"/>
  <c r="H16675" i="5"/>
  <c r="H16667" i="5"/>
  <c r="H16659" i="5"/>
  <c r="H16651" i="5"/>
  <c r="H16643" i="5"/>
  <c r="H16635" i="5"/>
  <c r="H16627" i="5"/>
  <c r="H16619" i="5"/>
  <c r="H16611" i="5"/>
  <c r="H16603" i="5"/>
  <c r="H16595" i="5"/>
  <c r="H16587" i="5"/>
  <c r="H16579" i="5"/>
  <c r="H16571" i="5"/>
  <c r="H16563" i="5"/>
  <c r="H16555" i="5"/>
  <c r="H16547" i="5"/>
  <c r="H16539" i="5"/>
  <c r="H40873" i="5"/>
  <c r="H40191" i="5"/>
  <c r="H39518" i="5"/>
  <c r="H38982" i="5"/>
  <c r="H38470" i="5"/>
  <c r="H37958" i="5"/>
  <c r="H37446" i="5"/>
  <c r="H36934" i="5"/>
  <c r="H36449" i="5"/>
  <c r="H36193" i="5"/>
  <c r="H35937" i="5"/>
  <c r="H35681" i="5"/>
  <c r="H35425" i="5"/>
  <c r="H35169" i="5"/>
  <c r="H34983" i="5"/>
  <c r="H34857" i="5"/>
  <c r="H34754" i="5"/>
  <c r="H34652" i="5"/>
  <c r="H34565" i="5"/>
  <c r="H34501" i="5"/>
  <c r="H34437" i="5"/>
  <c r="H34373" i="5"/>
  <c r="H34309" i="5"/>
  <c r="H34245" i="5"/>
  <c r="H34181" i="5"/>
  <c r="H34117" i="5"/>
  <c r="H34053" i="5"/>
  <c r="H33989" i="5"/>
  <c r="H33925" i="5"/>
  <c r="H33861" i="5"/>
  <c r="H33797" i="5"/>
  <c r="H33733" i="5"/>
  <c r="H33669" i="5"/>
  <c r="H33605" i="5"/>
  <c r="H33541" i="5"/>
  <c r="H33477" i="5"/>
  <c r="H33413" i="5"/>
  <c r="H33349" i="5"/>
  <c r="H33285" i="5"/>
  <c r="H33221" i="5"/>
  <c r="H33157" i="5"/>
  <c r="H33093" i="5"/>
  <c r="H33029" i="5"/>
  <c r="H32965" i="5"/>
  <c r="H32901" i="5"/>
  <c r="H32837" i="5"/>
  <c r="H32773" i="5"/>
  <c r="H32709" i="5"/>
  <c r="H32645" i="5"/>
  <c r="H32581" i="5"/>
  <c r="H32517" i="5"/>
  <c r="H32453" i="5"/>
  <c r="H32389" i="5"/>
  <c r="H32325" i="5"/>
  <c r="H32261" i="5"/>
  <c r="H32197" i="5"/>
  <c r="H32133" i="5"/>
  <c r="H32069" i="5"/>
  <c r="H32005" i="5"/>
  <c r="H31941" i="5"/>
  <c r="H31877" i="5"/>
  <c r="H31813" i="5"/>
  <c r="H31749" i="5"/>
  <c r="H31685" i="5"/>
  <c r="H31621" i="5"/>
  <c r="H31557" i="5"/>
  <c r="H31493" i="5"/>
  <c r="H31429" i="5"/>
  <c r="H31365" i="5"/>
  <c r="H31301" i="5"/>
  <c r="H31237" i="5"/>
  <c r="H31173" i="5"/>
  <c r="H31109" i="5"/>
  <c r="H31045" i="5"/>
  <c r="H30981" i="5"/>
  <c r="H30917" i="5"/>
  <c r="H30853" i="5"/>
  <c r="H30789" i="5"/>
  <c r="H30725" i="5"/>
  <c r="H30661" i="5"/>
  <c r="H30597" i="5"/>
  <c r="H30533" i="5"/>
  <c r="H30469" i="5"/>
  <c r="H30405" i="5"/>
  <c r="H30341" i="5"/>
  <c r="H30277" i="5"/>
  <c r="H30213" i="5"/>
  <c r="H30149" i="5"/>
  <c r="H30085" i="5"/>
  <c r="H30021" i="5"/>
  <c r="H29957" i="5"/>
  <c r="H29893" i="5"/>
  <c r="H29829" i="5"/>
  <c r="H29765" i="5"/>
  <c r="H29701" i="5"/>
  <c r="H29637" i="5"/>
  <c r="H29573" i="5"/>
  <c r="H29509" i="5"/>
  <c r="H29445" i="5"/>
  <c r="H29381" i="5"/>
  <c r="H29317" i="5"/>
  <c r="H29278" i="5"/>
  <c r="H29246" i="5"/>
  <c r="H29214" i="5"/>
  <c r="H29182" i="5"/>
  <c r="H29150" i="5"/>
  <c r="H29118" i="5"/>
  <c r="H29086" i="5"/>
  <c r="H29054" i="5"/>
  <c r="H29022" i="5"/>
  <c r="H28990" i="5"/>
  <c r="H28958" i="5"/>
  <c r="H28926" i="5"/>
  <c r="H28894" i="5"/>
  <c r="H28862" i="5"/>
  <c r="H28830" i="5"/>
  <c r="H28798" i="5"/>
  <c r="H28766" i="5"/>
  <c r="H28734" i="5"/>
  <c r="H28702" i="5"/>
  <c r="H28670" i="5"/>
  <c r="H28638" i="5"/>
  <c r="H28606" i="5"/>
  <c r="H28574" i="5"/>
  <c r="H28542" i="5"/>
  <c r="H28510" i="5"/>
  <c r="H28478" i="5"/>
  <c r="H28446" i="5"/>
  <c r="H28414" i="5"/>
  <c r="H28382" i="5"/>
  <c r="H28350" i="5"/>
  <c r="H28318" i="5"/>
  <c r="H28286" i="5"/>
  <c r="H28254" i="5"/>
  <c r="H28222" i="5"/>
  <c r="H28190" i="5"/>
  <c r="H28158" i="5"/>
  <c r="H28126" i="5"/>
  <c r="H28094" i="5"/>
  <c r="H28062" i="5"/>
  <c r="H28030" i="5"/>
  <c r="H27998" i="5"/>
  <c r="H27966" i="5"/>
  <c r="H27934" i="5"/>
  <c r="H27902" i="5"/>
  <c r="H27870" i="5"/>
  <c r="H27838" i="5"/>
  <c r="H27806" i="5"/>
  <c r="H27774" i="5"/>
  <c r="H27742" i="5"/>
  <c r="H27710" i="5"/>
  <c r="H27678" i="5"/>
  <c r="H27646" i="5"/>
  <c r="H27614" i="5"/>
  <c r="H27582" i="5"/>
  <c r="H27550" i="5"/>
  <c r="H27518" i="5"/>
  <c r="H27486" i="5"/>
  <c r="H27454" i="5"/>
  <c r="H27429" i="5"/>
  <c r="H27406" i="5"/>
  <c r="H27384" i="5"/>
  <c r="H27365" i="5"/>
  <c r="H27342" i="5"/>
  <c r="H27320" i="5"/>
  <c r="H27301" i="5"/>
  <c r="H27278" i="5"/>
  <c r="H27256" i="5"/>
  <c r="H27237" i="5"/>
  <c r="H27214" i="5"/>
  <c r="H27192" i="5"/>
  <c r="H27173" i="5"/>
  <c r="H27150" i="5"/>
  <c r="H27128" i="5"/>
  <c r="H27110" i="5"/>
  <c r="H27094" i="5"/>
  <c r="H27078" i="5"/>
  <c r="H27062" i="5"/>
  <c r="H27046" i="5"/>
  <c r="H27030" i="5"/>
  <c r="H27014" i="5"/>
  <c r="H26998" i="5"/>
  <c r="H26982" i="5"/>
  <c r="H26966" i="5"/>
  <c r="H26950" i="5"/>
  <c r="H26934" i="5"/>
  <c r="H26918" i="5"/>
  <c r="H26902" i="5"/>
  <c r="H26886" i="5"/>
  <c r="H26870" i="5"/>
  <c r="H26854" i="5"/>
  <c r="H26838" i="5"/>
  <c r="H26822" i="5"/>
  <c r="H26806" i="5"/>
  <c r="H26790" i="5"/>
  <c r="H26774" i="5"/>
  <c r="H26758" i="5"/>
  <c r="H26742" i="5"/>
  <c r="H26726" i="5"/>
  <c r="H26710" i="5"/>
  <c r="H26694" i="5"/>
  <c r="H26678" i="5"/>
  <c r="H26662" i="5"/>
  <c r="H26646" i="5"/>
  <c r="H26630" i="5"/>
  <c r="H26614" i="5"/>
  <c r="H26598" i="5"/>
  <c r="H26582" i="5"/>
  <c r="H26566" i="5"/>
  <c r="H26550" i="5"/>
  <c r="H26534" i="5"/>
  <c r="H26518" i="5"/>
  <c r="H26502" i="5"/>
  <c r="H26486" i="5"/>
  <c r="H26470" i="5"/>
  <c r="H26454" i="5"/>
  <c r="H26438" i="5"/>
  <c r="H26422" i="5"/>
  <c r="H26406" i="5"/>
  <c r="H26390" i="5"/>
  <c r="H26374" i="5"/>
  <c r="H26358" i="5"/>
  <c r="H26342" i="5"/>
  <c r="H26326" i="5"/>
  <c r="H26310" i="5"/>
  <c r="H26294" i="5"/>
  <c r="H26278" i="5"/>
  <c r="H26262" i="5"/>
  <c r="H26246" i="5"/>
  <c r="H26230" i="5"/>
  <c r="H26214" i="5"/>
  <c r="H26198" i="5"/>
  <c r="H26182" i="5"/>
  <c r="H26166" i="5"/>
  <c r="H26150" i="5"/>
  <c r="H26134" i="5"/>
  <c r="H26118" i="5"/>
  <c r="H26102" i="5"/>
  <c r="H26086" i="5"/>
  <c r="H26070" i="5"/>
  <c r="H26054" i="5"/>
  <c r="H26038" i="5"/>
  <c r="H26022" i="5"/>
  <c r="H26006" i="5"/>
  <c r="H25990" i="5"/>
  <c r="H25974" i="5"/>
  <c r="H25958" i="5"/>
  <c r="H25942" i="5"/>
  <c r="H25926" i="5"/>
  <c r="H25910" i="5"/>
  <c r="H25894" i="5"/>
  <c r="H25878" i="5"/>
  <c r="H25862" i="5"/>
  <c r="H25846" i="5"/>
  <c r="H25830" i="5"/>
  <c r="H25814" i="5"/>
  <c r="H25798" i="5"/>
  <c r="H25782" i="5"/>
  <c r="H25766" i="5"/>
  <c r="H25750" i="5"/>
  <c r="H25734" i="5"/>
  <c r="H25718" i="5"/>
  <c r="H25702" i="5"/>
  <c r="H25686" i="5"/>
  <c r="H25670" i="5"/>
  <c r="H25654" i="5"/>
  <c r="H25638" i="5"/>
  <c r="H25622" i="5"/>
  <c r="H25606" i="5"/>
  <c r="H25590" i="5"/>
  <c r="H25574" i="5"/>
  <c r="H25558" i="5"/>
  <c r="H25542" i="5"/>
  <c r="H25528" i="5"/>
  <c r="H25516" i="5"/>
  <c r="H25502" i="5"/>
  <c r="H25491" i="5"/>
  <c r="H25477" i="5"/>
  <c r="H25464" i="5"/>
  <c r="H25452" i="5"/>
  <c r="H25438" i="5"/>
  <c r="H25427" i="5"/>
  <c r="H25413" i="5"/>
  <c r="H25400" i="5"/>
  <c r="H25388" i="5"/>
  <c r="H25374" i="5"/>
  <c r="H25363" i="5"/>
  <c r="H25349" i="5"/>
  <c r="H25336" i="5"/>
  <c r="H25324" i="5"/>
  <c r="H25310" i="5"/>
  <c r="H25299" i="5"/>
  <c r="H25285" i="5"/>
  <c r="H25272" i="5"/>
  <c r="H25260" i="5"/>
  <c r="H25246" i="5"/>
  <c r="H25235" i="5"/>
  <c r="H25221" i="5"/>
  <c r="H25208" i="5"/>
  <c r="H25196" i="5"/>
  <c r="H25182" i="5"/>
  <c r="H25171" i="5"/>
  <c r="H25157" i="5"/>
  <c r="H25144" i="5"/>
  <c r="H25132" i="5"/>
  <c r="H25118" i="5"/>
  <c r="H25107" i="5"/>
  <c r="H25093" i="5"/>
  <c r="H25080" i="5"/>
  <c r="H25068" i="5"/>
  <c r="H25054" i="5"/>
  <c r="H25043" i="5"/>
  <c r="H25029" i="5"/>
  <c r="H25016" i="5"/>
  <c r="H25004" i="5"/>
  <c r="H24990" i="5"/>
  <c r="H24979" i="5"/>
  <c r="H24967" i="5"/>
  <c r="H24958" i="5"/>
  <c r="H24949" i="5"/>
  <c r="H24940" i="5"/>
  <c r="H24931" i="5"/>
  <c r="H24922" i="5"/>
  <c r="H24914" i="5"/>
  <c r="H24906" i="5"/>
  <c r="H24898" i="5"/>
  <c r="H24890" i="5"/>
  <c r="H24882" i="5"/>
  <c r="H24874" i="5"/>
  <c r="H24866" i="5"/>
  <c r="H24858" i="5"/>
  <c r="H24850" i="5"/>
  <c r="H24842" i="5"/>
  <c r="H24834" i="5"/>
  <c r="H24826" i="5"/>
  <c r="H24818" i="5"/>
  <c r="H24810" i="5"/>
  <c r="H24802" i="5"/>
  <c r="H24794" i="5"/>
  <c r="H24786" i="5"/>
  <c r="H24778" i="5"/>
  <c r="H24770" i="5"/>
  <c r="H24762" i="5"/>
  <c r="H24754" i="5"/>
  <c r="H24746" i="5"/>
  <c r="H24738" i="5"/>
  <c r="H24730" i="5"/>
  <c r="H24722" i="5"/>
  <c r="H24714" i="5"/>
  <c r="H24706" i="5"/>
  <c r="H24698" i="5"/>
  <c r="H24690" i="5"/>
  <c r="H24682" i="5"/>
  <c r="H24674" i="5"/>
  <c r="H24666" i="5"/>
  <c r="H24658" i="5"/>
  <c r="H24650" i="5"/>
  <c r="H24642" i="5"/>
  <c r="H24634" i="5"/>
  <c r="H24626" i="5"/>
  <c r="H24618" i="5"/>
  <c r="H24610" i="5"/>
  <c r="H24602" i="5"/>
  <c r="H24594" i="5"/>
  <c r="H24586" i="5"/>
  <c r="H24578" i="5"/>
  <c r="H24570" i="5"/>
  <c r="H24562" i="5"/>
  <c r="H24554" i="5"/>
  <c r="H24546" i="5"/>
  <c r="H24538" i="5"/>
  <c r="H24530" i="5"/>
  <c r="H24522" i="5"/>
  <c r="H24514" i="5"/>
  <c r="H24506" i="5"/>
  <c r="H24498" i="5"/>
  <c r="H24490" i="5"/>
  <c r="H24482" i="5"/>
  <c r="H24474" i="5"/>
  <c r="H24466" i="5"/>
  <c r="H24458" i="5"/>
  <c r="H24450" i="5"/>
  <c r="H24442" i="5"/>
  <c r="H24434" i="5"/>
  <c r="H24426" i="5"/>
  <c r="H24418" i="5"/>
  <c r="H24410" i="5"/>
  <c r="H24402" i="5"/>
  <c r="H24394" i="5"/>
  <c r="H24386" i="5"/>
  <c r="H24378" i="5"/>
  <c r="H24370" i="5"/>
  <c r="H24362" i="5"/>
  <c r="H24354" i="5"/>
  <c r="H24346" i="5"/>
  <c r="H24338" i="5"/>
  <c r="H24330" i="5"/>
  <c r="H24322" i="5"/>
  <c r="H24314" i="5"/>
  <c r="H24306" i="5"/>
  <c r="H24298" i="5"/>
  <c r="H24290" i="5"/>
  <c r="H24282" i="5"/>
  <c r="H24274" i="5"/>
  <c r="H24266" i="5"/>
  <c r="H24258" i="5"/>
  <c r="H24250" i="5"/>
  <c r="H24242" i="5"/>
  <c r="H24234" i="5"/>
  <c r="H24226" i="5"/>
  <c r="H24218" i="5"/>
  <c r="H24210" i="5"/>
  <c r="H24202" i="5"/>
  <c r="H24194" i="5"/>
  <c r="H24186" i="5"/>
  <c r="H24178" i="5"/>
  <c r="H24170" i="5"/>
  <c r="H24162" i="5"/>
  <c r="H24154" i="5"/>
  <c r="H24146" i="5"/>
  <c r="H24138" i="5"/>
  <c r="H24130" i="5"/>
  <c r="H24122" i="5"/>
  <c r="H24114" i="5"/>
  <c r="H24106" i="5"/>
  <c r="H24098" i="5"/>
  <c r="H24090" i="5"/>
  <c r="H24082" i="5"/>
  <c r="H24074" i="5"/>
  <c r="H24066" i="5"/>
  <c r="H24058" i="5"/>
  <c r="H24050" i="5"/>
  <c r="H24042" i="5"/>
  <c r="H24034" i="5"/>
  <c r="H24026" i="5"/>
  <c r="H24018" i="5"/>
  <c r="H24010" i="5"/>
  <c r="H24002" i="5"/>
  <c r="H23994" i="5"/>
  <c r="H23986" i="5"/>
  <c r="H23978" i="5"/>
  <c r="H23970" i="5"/>
  <c r="H23962" i="5"/>
  <c r="H23954" i="5"/>
  <c r="H23946" i="5"/>
  <c r="H23938" i="5"/>
  <c r="H23930" i="5"/>
  <c r="H23922" i="5"/>
  <c r="H23914" i="5"/>
  <c r="H23906" i="5"/>
  <c r="H23898" i="5"/>
  <c r="H23890" i="5"/>
  <c r="H23882" i="5"/>
  <c r="H23874" i="5"/>
  <c r="H23866" i="5"/>
  <c r="H23858" i="5"/>
  <c r="H23850" i="5"/>
  <c r="H23842" i="5"/>
  <c r="H23834" i="5"/>
  <c r="H23826" i="5"/>
  <c r="H23818" i="5"/>
  <c r="H23810" i="5"/>
  <c r="H23802" i="5"/>
  <c r="H23794" i="5"/>
  <c r="H23786" i="5"/>
  <c r="H23778" i="5"/>
  <c r="H23770" i="5"/>
  <c r="H23762" i="5"/>
  <c r="H23754" i="5"/>
  <c r="H23746" i="5"/>
  <c r="H23738" i="5"/>
  <c r="H23730" i="5"/>
  <c r="H23722" i="5"/>
  <c r="H23714" i="5"/>
  <c r="H23706" i="5"/>
  <c r="H23698" i="5"/>
  <c r="H23690" i="5"/>
  <c r="H23682" i="5"/>
  <c r="H23674" i="5"/>
  <c r="H23666" i="5"/>
  <c r="H23658" i="5"/>
  <c r="H23650" i="5"/>
  <c r="H23642" i="5"/>
  <c r="H23634" i="5"/>
  <c r="H23626" i="5"/>
  <c r="H23618" i="5"/>
  <c r="H23610" i="5"/>
  <c r="H23602" i="5"/>
  <c r="H23594" i="5"/>
  <c r="H23586" i="5"/>
  <c r="H23578" i="5"/>
  <c r="H23570" i="5"/>
  <c r="H23562" i="5"/>
  <c r="H23554" i="5"/>
  <c r="H23546" i="5"/>
  <c r="H23538" i="5"/>
  <c r="H23530" i="5"/>
  <c r="H23522" i="5"/>
  <c r="H23514" i="5"/>
  <c r="H23506" i="5"/>
  <c r="H23498" i="5"/>
  <c r="H23490" i="5"/>
  <c r="H23482" i="5"/>
  <c r="H23474" i="5"/>
  <c r="H23466" i="5"/>
  <c r="H23458" i="5"/>
  <c r="H23450" i="5"/>
  <c r="H23442" i="5"/>
  <c r="H23434" i="5"/>
  <c r="H23426" i="5"/>
  <c r="H23418" i="5"/>
  <c r="H23410" i="5"/>
  <c r="H23402" i="5"/>
  <c r="H23394" i="5"/>
  <c r="H23386" i="5"/>
  <c r="H23378" i="5"/>
  <c r="H23370" i="5"/>
  <c r="H23362" i="5"/>
  <c r="H23354" i="5"/>
  <c r="H23346" i="5"/>
  <c r="H23338" i="5"/>
  <c r="H23330" i="5"/>
  <c r="H23322" i="5"/>
  <c r="H23314" i="5"/>
  <c r="H23306" i="5"/>
  <c r="H23298" i="5"/>
  <c r="H23290" i="5"/>
  <c r="H23282" i="5"/>
  <c r="H23274" i="5"/>
  <c r="H23266" i="5"/>
  <c r="H23258" i="5"/>
  <c r="H23250" i="5"/>
  <c r="H23242" i="5"/>
  <c r="H23234" i="5"/>
  <c r="H23226" i="5"/>
  <c r="H23218" i="5"/>
  <c r="H23210" i="5"/>
  <c r="H23202" i="5"/>
  <c r="H23194" i="5"/>
  <c r="H23186" i="5"/>
  <c r="H23178" i="5"/>
  <c r="H23170" i="5"/>
  <c r="H23162" i="5"/>
  <c r="H23154" i="5"/>
  <c r="H23146" i="5"/>
  <c r="H23138" i="5"/>
  <c r="H23130" i="5"/>
  <c r="H23122" i="5"/>
  <c r="H23114" i="5"/>
  <c r="H23106" i="5"/>
  <c r="H23098" i="5"/>
  <c r="H23090" i="5"/>
  <c r="H23082" i="5"/>
  <c r="H23074" i="5"/>
  <c r="H23066" i="5"/>
  <c r="H23058" i="5"/>
  <c r="H23050" i="5"/>
  <c r="H23042" i="5"/>
  <c r="H23034" i="5"/>
  <c r="H23026" i="5"/>
  <c r="H23018" i="5"/>
  <c r="H23010" i="5"/>
  <c r="H23002" i="5"/>
  <c r="H22994" i="5"/>
  <c r="H22986" i="5"/>
  <c r="H22978" i="5"/>
  <c r="H22970" i="5"/>
  <c r="H22962" i="5"/>
  <c r="H22954" i="5"/>
  <c r="H22946" i="5"/>
  <c r="H22938" i="5"/>
  <c r="H22930" i="5"/>
  <c r="H22922" i="5"/>
  <c r="H22914" i="5"/>
  <c r="H22906" i="5"/>
  <c r="H22898" i="5"/>
  <c r="H22890" i="5"/>
  <c r="H22882" i="5"/>
  <c r="H22874" i="5"/>
  <c r="H22866" i="5"/>
  <c r="H22858" i="5"/>
  <c r="H22850" i="5"/>
  <c r="H22842" i="5"/>
  <c r="H22834" i="5"/>
  <c r="H22826" i="5"/>
  <c r="H22818" i="5"/>
  <c r="H22810" i="5"/>
  <c r="H22802" i="5"/>
  <c r="H22794" i="5"/>
  <c r="H22786" i="5"/>
  <c r="H22778" i="5"/>
  <c r="H22770" i="5"/>
  <c r="H22762" i="5"/>
  <c r="H22754" i="5"/>
  <c r="H22746" i="5"/>
  <c r="H22738" i="5"/>
  <c r="H22730" i="5"/>
  <c r="H22722" i="5"/>
  <c r="H22714" i="5"/>
  <c r="H22706" i="5"/>
  <c r="H22698" i="5"/>
  <c r="H22690" i="5"/>
  <c r="H22682" i="5"/>
  <c r="H22674" i="5"/>
  <c r="H22666" i="5"/>
  <c r="H22658" i="5"/>
  <c r="H22650" i="5"/>
  <c r="H22642" i="5"/>
  <c r="H22634" i="5"/>
  <c r="H22626" i="5"/>
  <c r="H22618" i="5"/>
  <c r="H22610" i="5"/>
  <c r="H22602" i="5"/>
  <c r="H22594" i="5"/>
  <c r="H22586" i="5"/>
  <c r="H22578" i="5"/>
  <c r="H22570" i="5"/>
  <c r="H22562" i="5"/>
  <c r="H22554" i="5"/>
  <c r="H22546" i="5"/>
  <c r="H22538" i="5"/>
  <c r="H22530" i="5"/>
  <c r="H22522" i="5"/>
  <c r="H22514" i="5"/>
  <c r="H22506" i="5"/>
  <c r="H22498" i="5"/>
  <c r="H22490" i="5"/>
  <c r="H22482" i="5"/>
  <c r="H22474" i="5"/>
  <c r="H22466" i="5"/>
  <c r="H22458" i="5"/>
  <c r="H22450" i="5"/>
  <c r="H22442" i="5"/>
  <c r="H22434" i="5"/>
  <c r="H22426" i="5"/>
  <c r="H22418" i="5"/>
  <c r="H22410" i="5"/>
  <c r="H22402" i="5"/>
  <c r="H22394" i="5"/>
  <c r="H22386" i="5"/>
  <c r="H22378" i="5"/>
  <c r="H22370" i="5"/>
  <c r="H22362" i="5"/>
  <c r="H22354" i="5"/>
  <c r="H22346" i="5"/>
  <c r="H22338" i="5"/>
  <c r="H22330" i="5"/>
  <c r="H22322" i="5"/>
  <c r="H22314" i="5"/>
  <c r="H22306" i="5"/>
  <c r="H22298" i="5"/>
  <c r="H22290" i="5"/>
  <c r="H22282" i="5"/>
  <c r="H22274" i="5"/>
  <c r="H22266" i="5"/>
  <c r="H22258" i="5"/>
  <c r="H22250" i="5"/>
  <c r="H22242" i="5"/>
  <c r="H22234" i="5"/>
  <c r="H22226" i="5"/>
  <c r="H22218" i="5"/>
  <c r="H22210" i="5"/>
  <c r="H22202" i="5"/>
  <c r="H22194" i="5"/>
  <c r="H22186" i="5"/>
  <c r="H22178" i="5"/>
  <c r="H22170" i="5"/>
  <c r="H22162" i="5"/>
  <c r="H22154" i="5"/>
  <c r="H22146" i="5"/>
  <c r="H22138" i="5"/>
  <c r="H22130" i="5"/>
  <c r="H22122" i="5"/>
  <c r="H22114" i="5"/>
  <c r="H22106" i="5"/>
  <c r="H22098" i="5"/>
  <c r="H22090" i="5"/>
  <c r="H22082" i="5"/>
  <c r="H22074" i="5"/>
  <c r="H22066" i="5"/>
  <c r="H22058" i="5"/>
  <c r="H22050" i="5"/>
  <c r="H22042" i="5"/>
  <c r="H22034" i="5"/>
  <c r="H22026" i="5"/>
  <c r="H22018" i="5"/>
  <c r="H22010" i="5"/>
  <c r="H22002" i="5"/>
  <c r="H21994" i="5"/>
  <c r="H21986" i="5"/>
  <c r="H21978" i="5"/>
  <c r="H21970" i="5"/>
  <c r="H21962" i="5"/>
  <c r="H21954" i="5"/>
  <c r="H21946" i="5"/>
  <c r="H21938" i="5"/>
  <c r="H21930" i="5"/>
  <c r="H21922" i="5"/>
  <c r="H21914" i="5"/>
  <c r="H21906" i="5"/>
  <c r="H21898" i="5"/>
  <c r="H21890" i="5"/>
  <c r="H21882" i="5"/>
  <c r="H21874" i="5"/>
  <c r="H21866" i="5"/>
  <c r="H21858" i="5"/>
  <c r="H21850" i="5"/>
  <c r="H21842" i="5"/>
  <c r="H21834" i="5"/>
  <c r="H21826" i="5"/>
  <c r="H21818" i="5"/>
  <c r="H21810" i="5"/>
  <c r="H21802" i="5"/>
  <c r="H21794" i="5"/>
  <c r="H21786" i="5"/>
  <c r="H21778" i="5"/>
  <c r="H21770" i="5"/>
  <c r="H21762" i="5"/>
  <c r="H21754" i="5"/>
  <c r="H21746" i="5"/>
  <c r="H21738" i="5"/>
  <c r="H21730" i="5"/>
  <c r="H21722" i="5"/>
  <c r="H21714" i="5"/>
  <c r="H21706" i="5"/>
  <c r="H21698" i="5"/>
  <c r="H21690" i="5"/>
  <c r="H21682" i="5"/>
  <c r="H21674" i="5"/>
  <c r="H21666" i="5"/>
  <c r="H21658" i="5"/>
  <c r="H21650" i="5"/>
  <c r="H21642" i="5"/>
  <c r="H21634" i="5"/>
  <c r="H21626" i="5"/>
  <c r="H21618" i="5"/>
  <c r="H21610" i="5"/>
  <c r="H21602" i="5"/>
  <c r="H21594" i="5"/>
  <c r="H21586" i="5"/>
  <c r="H21578" i="5"/>
  <c r="H21570" i="5"/>
  <c r="H21562" i="5"/>
  <c r="H21554" i="5"/>
  <c r="H21546" i="5"/>
  <c r="H21538" i="5"/>
  <c r="H21530" i="5"/>
  <c r="H21522" i="5"/>
  <c r="H21514" i="5"/>
  <c r="H21506" i="5"/>
  <c r="H21498" i="5"/>
  <c r="H21490" i="5"/>
  <c r="H21482" i="5"/>
  <c r="H21474" i="5"/>
  <c r="H21466" i="5"/>
  <c r="H21458" i="5"/>
  <c r="H21450" i="5"/>
  <c r="H21442" i="5"/>
  <c r="H21434" i="5"/>
  <c r="H21426" i="5"/>
  <c r="H21418" i="5"/>
  <c r="H21410" i="5"/>
  <c r="H21402" i="5"/>
  <c r="H21394" i="5"/>
  <c r="H21386" i="5"/>
  <c r="H21378" i="5"/>
  <c r="H21370" i="5"/>
  <c r="H21362" i="5"/>
  <c r="H21354" i="5"/>
  <c r="H21346" i="5"/>
  <c r="H21338" i="5"/>
  <c r="H21330" i="5"/>
  <c r="H21322" i="5"/>
  <c r="H21314" i="5"/>
  <c r="H21306" i="5"/>
  <c r="H21298" i="5"/>
  <c r="H21290" i="5"/>
  <c r="H21282" i="5"/>
  <c r="H21274" i="5"/>
  <c r="H21266" i="5"/>
  <c r="H21258" i="5"/>
  <c r="H21250" i="5"/>
  <c r="H21242" i="5"/>
  <c r="H21234" i="5"/>
  <c r="H21226" i="5"/>
  <c r="H21218" i="5"/>
  <c r="H21210" i="5"/>
  <c r="H21202" i="5"/>
  <c r="H21194" i="5"/>
  <c r="H21186" i="5"/>
  <c r="H21178" i="5"/>
  <c r="H21170" i="5"/>
  <c r="H21162" i="5"/>
  <c r="H21154" i="5"/>
  <c r="H21146" i="5"/>
  <c r="H21138" i="5"/>
  <c r="H21130" i="5"/>
  <c r="H21122" i="5"/>
  <c r="H21114" i="5"/>
  <c r="H21106" i="5"/>
  <c r="H21098" i="5"/>
  <c r="H21090" i="5"/>
  <c r="H21082" i="5"/>
  <c r="H21074" i="5"/>
  <c r="H21066" i="5"/>
  <c r="H21058" i="5"/>
  <c r="H21050" i="5"/>
  <c r="H21042" i="5"/>
  <c r="H21034" i="5"/>
  <c r="H21026" i="5"/>
  <c r="H21018" i="5"/>
  <c r="H21010" i="5"/>
  <c r="H21002" i="5"/>
  <c r="H20994" i="5"/>
  <c r="H20986" i="5"/>
  <c r="H20978" i="5"/>
  <c r="H20970" i="5"/>
  <c r="H20962" i="5"/>
  <c r="H20954" i="5"/>
  <c r="H20946" i="5"/>
  <c r="H20938" i="5"/>
  <c r="H20930" i="5"/>
  <c r="H20922" i="5"/>
  <c r="H20914" i="5"/>
  <c r="H20906" i="5"/>
  <c r="H20898" i="5"/>
  <c r="H20890" i="5"/>
  <c r="H20882" i="5"/>
  <c r="H20874" i="5"/>
  <c r="H20866" i="5"/>
  <c r="H20858" i="5"/>
  <c r="H20850" i="5"/>
  <c r="H20842" i="5"/>
  <c r="H20834" i="5"/>
  <c r="H20826" i="5"/>
  <c r="H20818" i="5"/>
  <c r="H20810" i="5"/>
  <c r="H20802" i="5"/>
  <c r="H20794" i="5"/>
  <c r="H20786" i="5"/>
  <c r="H20778" i="5"/>
  <c r="H20770" i="5"/>
  <c r="H20762" i="5"/>
  <c r="H20754" i="5"/>
  <c r="H20746" i="5"/>
  <c r="H20738" i="5"/>
  <c r="H20730" i="5"/>
  <c r="H20722" i="5"/>
  <c r="H20714" i="5"/>
  <c r="H20706" i="5"/>
  <c r="H20698" i="5"/>
  <c r="H20690" i="5"/>
  <c r="H20682" i="5"/>
  <c r="H20674" i="5"/>
  <c r="H20666" i="5"/>
  <c r="H20658" i="5"/>
  <c r="H20650" i="5"/>
  <c r="H20642" i="5"/>
  <c r="H20634" i="5"/>
  <c r="H20626" i="5"/>
  <c r="H20618" i="5"/>
  <c r="H20610" i="5"/>
  <c r="H20602" i="5"/>
  <c r="H20594" i="5"/>
  <c r="H20586" i="5"/>
  <c r="H20578" i="5"/>
  <c r="H20570" i="5"/>
  <c r="H20562" i="5"/>
  <c r="H20554" i="5"/>
  <c r="H20546" i="5"/>
  <c r="H20538" i="5"/>
  <c r="H20530" i="5"/>
  <c r="H20522" i="5"/>
  <c r="H20514" i="5"/>
  <c r="H20506" i="5"/>
  <c r="H20498" i="5"/>
  <c r="H20490" i="5"/>
  <c r="H20482" i="5"/>
  <c r="H20474" i="5"/>
  <c r="H20466" i="5"/>
  <c r="H20458" i="5"/>
  <c r="H20450" i="5"/>
  <c r="H20442" i="5"/>
  <c r="H20434" i="5"/>
  <c r="H20426" i="5"/>
  <c r="H20418" i="5"/>
  <c r="H20410" i="5"/>
  <c r="H20402" i="5"/>
  <c r="H20394" i="5"/>
  <c r="H20386" i="5"/>
  <c r="H20378" i="5"/>
  <c r="H20370" i="5"/>
  <c r="H20362" i="5"/>
  <c r="H20354" i="5"/>
  <c r="H20346" i="5"/>
  <c r="H20338" i="5"/>
  <c r="H20330" i="5"/>
  <c r="H20322" i="5"/>
  <c r="H20314" i="5"/>
  <c r="H20306" i="5"/>
  <c r="H20298" i="5"/>
  <c r="H20290" i="5"/>
  <c r="H20282" i="5"/>
  <c r="H20274" i="5"/>
  <c r="H20266" i="5"/>
  <c r="H20258" i="5"/>
  <c r="H20250" i="5"/>
  <c r="H20242" i="5"/>
  <c r="H20234" i="5"/>
  <c r="H20226" i="5"/>
  <c r="H20218" i="5"/>
  <c r="H20210" i="5"/>
  <c r="H20202" i="5"/>
  <c r="H20194" i="5"/>
  <c r="H20186" i="5"/>
  <c r="H20178" i="5"/>
  <c r="H20170" i="5"/>
  <c r="H20162" i="5"/>
  <c r="H20154" i="5"/>
  <c r="H20146" i="5"/>
  <c r="H20138" i="5"/>
  <c r="H20130" i="5"/>
  <c r="H20122" i="5"/>
  <c r="H20114" i="5"/>
  <c r="H20106" i="5"/>
  <c r="H20098" i="5"/>
  <c r="H20090" i="5"/>
  <c r="H20082" i="5"/>
  <c r="H20074" i="5"/>
  <c r="H20066" i="5"/>
  <c r="H20058" i="5"/>
  <c r="H20050" i="5"/>
  <c r="H20042" i="5"/>
  <c r="H20034" i="5"/>
  <c r="H20026" i="5"/>
  <c r="H20018" i="5"/>
  <c r="H20010" i="5"/>
  <c r="H20002" i="5"/>
  <c r="H19994" i="5"/>
  <c r="H19986" i="5"/>
  <c r="H19978" i="5"/>
  <c r="H19970" i="5"/>
  <c r="H19962" i="5"/>
  <c r="H19954" i="5"/>
  <c r="H19946" i="5"/>
  <c r="H19938" i="5"/>
  <c r="H19930" i="5"/>
  <c r="H19922" i="5"/>
  <c r="H19914" i="5"/>
  <c r="H19906" i="5"/>
  <c r="H19898" i="5"/>
  <c r="H19890" i="5"/>
  <c r="H19882" i="5"/>
  <c r="H19874" i="5"/>
  <c r="H19866" i="5"/>
  <c r="H19858" i="5"/>
  <c r="H19850" i="5"/>
  <c r="H19842" i="5"/>
  <c r="H19834" i="5"/>
  <c r="H19826" i="5"/>
  <c r="H19818" i="5"/>
  <c r="H19810" i="5"/>
  <c r="H19802" i="5"/>
  <c r="H19794" i="5"/>
  <c r="H19786" i="5"/>
  <c r="H19778" i="5"/>
  <c r="H19770" i="5"/>
  <c r="H19762" i="5"/>
  <c r="H19754" i="5"/>
  <c r="H19746" i="5"/>
  <c r="H19738" i="5"/>
  <c r="H19730" i="5"/>
  <c r="H19722" i="5"/>
  <c r="H19714" i="5"/>
  <c r="H19706" i="5"/>
  <c r="H19698" i="5"/>
  <c r="H19690" i="5"/>
  <c r="H19682" i="5"/>
  <c r="H19674" i="5"/>
  <c r="H19666" i="5"/>
  <c r="H19658" i="5"/>
  <c r="H19650" i="5"/>
  <c r="H19642" i="5"/>
  <c r="H19634" i="5"/>
  <c r="H19626" i="5"/>
  <c r="H19618" i="5"/>
  <c r="H19610" i="5"/>
  <c r="H19602" i="5"/>
  <c r="H19594" i="5"/>
  <c r="H19586" i="5"/>
  <c r="H19578" i="5"/>
  <c r="H19570" i="5"/>
  <c r="H19562" i="5"/>
  <c r="H19554" i="5"/>
  <c r="H19546" i="5"/>
  <c r="H19538" i="5"/>
  <c r="H19530" i="5"/>
  <c r="H19522" i="5"/>
  <c r="H19514" i="5"/>
  <c r="H19506" i="5"/>
  <c r="H19498" i="5"/>
  <c r="H19490" i="5"/>
  <c r="H19482" i="5"/>
  <c r="H19474" i="5"/>
  <c r="H19466" i="5"/>
  <c r="H19458" i="5"/>
  <c r="H19450" i="5"/>
  <c r="H19442" i="5"/>
  <c r="H19434" i="5"/>
  <c r="H19426" i="5"/>
  <c r="H19418" i="5"/>
  <c r="H19410" i="5"/>
  <c r="H19402" i="5"/>
  <c r="H19394" i="5"/>
  <c r="H19386" i="5"/>
  <c r="H19378" i="5"/>
  <c r="H19370" i="5"/>
  <c r="H19362" i="5"/>
  <c r="H19354" i="5"/>
  <c r="H19346" i="5"/>
  <c r="H19338" i="5"/>
  <c r="H19330" i="5"/>
  <c r="H19322" i="5"/>
  <c r="H19314" i="5"/>
  <c r="H19306" i="5"/>
  <c r="H19298" i="5"/>
  <c r="H19290" i="5"/>
  <c r="H19282" i="5"/>
  <c r="H19274" i="5"/>
  <c r="H19266" i="5"/>
  <c r="H19258" i="5"/>
  <c r="H19250" i="5"/>
  <c r="H19242" i="5"/>
  <c r="H19234" i="5"/>
  <c r="H19226" i="5"/>
  <c r="H19218" i="5"/>
  <c r="H19210" i="5"/>
  <c r="H19202" i="5"/>
  <c r="H19194" i="5"/>
  <c r="H19186" i="5"/>
  <c r="H19178" i="5"/>
  <c r="H19170" i="5"/>
  <c r="H19162" i="5"/>
  <c r="H19154" i="5"/>
  <c r="H19146" i="5"/>
  <c r="H19138" i="5"/>
  <c r="H19130" i="5"/>
  <c r="H19122" i="5"/>
  <c r="H19114" i="5"/>
  <c r="H19106" i="5"/>
  <c r="H19098" i="5"/>
  <c r="H19090" i="5"/>
  <c r="H19082" i="5"/>
  <c r="H19074" i="5"/>
  <c r="H19066" i="5"/>
  <c r="H19058" i="5"/>
  <c r="H19050" i="5"/>
  <c r="H19042" i="5"/>
  <c r="H19034" i="5"/>
  <c r="H19026" i="5"/>
  <c r="H19018" i="5"/>
  <c r="H19010" i="5"/>
  <c r="H19002" i="5"/>
  <c r="H18994" i="5"/>
  <c r="H18986" i="5"/>
  <c r="H18978" i="5"/>
  <c r="H18970" i="5"/>
  <c r="H18962" i="5"/>
  <c r="H18954" i="5"/>
  <c r="H18946" i="5"/>
  <c r="H18938" i="5"/>
  <c r="H18930" i="5"/>
  <c r="H18922" i="5"/>
  <c r="H18914" i="5"/>
  <c r="H18906" i="5"/>
  <c r="H18898" i="5"/>
  <c r="H18890" i="5"/>
  <c r="H18882" i="5"/>
  <c r="H18874" i="5"/>
  <c r="H18866" i="5"/>
  <c r="H18858" i="5"/>
  <c r="H18850" i="5"/>
  <c r="H18842" i="5"/>
  <c r="H18834" i="5"/>
  <c r="H18826" i="5"/>
  <c r="H18818" i="5"/>
  <c r="H18810" i="5"/>
  <c r="H18802" i="5"/>
  <c r="H18794" i="5"/>
  <c r="H18786" i="5"/>
  <c r="H18778" i="5"/>
  <c r="H18770" i="5"/>
  <c r="H18762" i="5"/>
  <c r="H18754" i="5"/>
  <c r="H18746" i="5"/>
  <c r="H18738" i="5"/>
  <c r="H18730" i="5"/>
  <c r="H18722" i="5"/>
  <c r="H18714" i="5"/>
  <c r="H18706" i="5"/>
  <c r="H18698" i="5"/>
  <c r="H18690" i="5"/>
  <c r="H18682" i="5"/>
  <c r="H18674" i="5"/>
  <c r="H18666" i="5"/>
  <c r="H18658" i="5"/>
  <c r="H18650" i="5"/>
  <c r="H18642" i="5"/>
  <c r="H18634" i="5"/>
  <c r="H18626" i="5"/>
  <c r="H18618" i="5"/>
  <c r="H18610" i="5"/>
  <c r="H18602" i="5"/>
  <c r="H18594" i="5"/>
  <c r="H18586" i="5"/>
  <c r="H18578" i="5"/>
  <c r="H18570" i="5"/>
  <c r="H18562" i="5"/>
  <c r="H18554" i="5"/>
  <c r="H18546" i="5"/>
  <c r="H18538" i="5"/>
  <c r="H18530" i="5"/>
  <c r="H18522" i="5"/>
  <c r="H18514" i="5"/>
  <c r="H18506" i="5"/>
  <c r="H18498" i="5"/>
  <c r="H18490" i="5"/>
  <c r="H18482" i="5"/>
  <c r="H18474" i="5"/>
  <c r="H18466" i="5"/>
  <c r="H18458" i="5"/>
  <c r="H18450" i="5"/>
  <c r="H18442" i="5"/>
  <c r="H18434" i="5"/>
  <c r="H18426" i="5"/>
  <c r="H18418" i="5"/>
  <c r="H18410" i="5"/>
  <c r="H18402" i="5"/>
  <c r="H18394" i="5"/>
  <c r="H18386" i="5"/>
  <c r="H18378" i="5"/>
  <c r="H18370" i="5"/>
  <c r="H18362" i="5"/>
  <c r="H18354" i="5"/>
  <c r="H18346" i="5"/>
  <c r="H18338" i="5"/>
  <c r="H18330" i="5"/>
  <c r="H18322" i="5"/>
  <c r="H18314" i="5"/>
  <c r="H18306" i="5"/>
  <c r="H18298" i="5"/>
  <c r="H18290" i="5"/>
  <c r="H18282" i="5"/>
  <c r="H18274" i="5"/>
  <c r="H18266" i="5"/>
  <c r="H18258" i="5"/>
  <c r="H18250" i="5"/>
  <c r="H18242" i="5"/>
  <c r="H18234" i="5"/>
  <c r="H18226" i="5"/>
  <c r="H18218" i="5"/>
  <c r="H18210" i="5"/>
  <c r="H18202" i="5"/>
  <c r="H18194" i="5"/>
  <c r="H18186" i="5"/>
  <c r="H18178" i="5"/>
  <c r="H18170" i="5"/>
  <c r="H18162" i="5"/>
  <c r="H18154" i="5"/>
  <c r="H18146" i="5"/>
  <c r="H18138" i="5"/>
  <c r="H18130" i="5"/>
  <c r="H18122" i="5"/>
  <c r="H18114" i="5"/>
  <c r="H18106" i="5"/>
  <c r="H18098" i="5"/>
  <c r="H18090" i="5"/>
  <c r="H18082" i="5"/>
  <c r="H18074" i="5"/>
  <c r="H18066" i="5"/>
  <c r="H18058" i="5"/>
  <c r="H18050" i="5"/>
  <c r="H18042" i="5"/>
  <c r="H18034" i="5"/>
  <c r="H18026" i="5"/>
  <c r="H18018" i="5"/>
  <c r="H18010" i="5"/>
  <c r="H18002" i="5"/>
  <c r="H17994" i="5"/>
  <c r="H17986" i="5"/>
  <c r="H17978" i="5"/>
  <c r="H17970" i="5"/>
  <c r="H17962" i="5"/>
  <c r="H17954" i="5"/>
  <c r="H17946" i="5"/>
  <c r="H17938" i="5"/>
  <c r="H17930" i="5"/>
  <c r="H17922" i="5"/>
  <c r="H17914" i="5"/>
  <c r="H17906" i="5"/>
  <c r="H17898" i="5"/>
  <c r="H17890" i="5"/>
  <c r="H17882" i="5"/>
  <c r="H17874" i="5"/>
  <c r="H17866" i="5"/>
  <c r="H17858" i="5"/>
  <c r="H17850" i="5"/>
  <c r="H17842" i="5"/>
  <c r="H17834" i="5"/>
  <c r="H17826" i="5"/>
  <c r="H17818" i="5"/>
  <c r="H17810" i="5"/>
  <c r="H17802" i="5"/>
  <c r="H17794" i="5"/>
  <c r="H17786" i="5"/>
  <c r="H17778" i="5"/>
  <c r="H17770" i="5"/>
  <c r="H17762" i="5"/>
  <c r="H17754" i="5"/>
  <c r="H17746" i="5"/>
  <c r="H17738" i="5"/>
  <c r="H17730" i="5"/>
  <c r="H17722" i="5"/>
  <c r="H17714" i="5"/>
  <c r="H17706" i="5"/>
  <c r="H17698" i="5"/>
  <c r="H17690" i="5"/>
  <c r="H17682" i="5"/>
  <c r="H17674" i="5"/>
  <c r="H17666" i="5"/>
  <c r="H17658" i="5"/>
  <c r="H17650" i="5"/>
  <c r="H17642" i="5"/>
  <c r="H17634" i="5"/>
  <c r="H17626" i="5"/>
  <c r="H17618" i="5"/>
  <c r="H17610" i="5"/>
  <c r="H17602" i="5"/>
  <c r="H17594" i="5"/>
  <c r="H17586" i="5"/>
  <c r="H17578" i="5"/>
  <c r="H17570" i="5"/>
  <c r="H17562" i="5"/>
  <c r="H17554" i="5"/>
  <c r="H17546" i="5"/>
  <c r="H17538" i="5"/>
  <c r="H17530" i="5"/>
  <c r="H17522" i="5"/>
  <c r="H17514" i="5"/>
  <c r="H17506" i="5"/>
  <c r="H17498" i="5"/>
  <c r="H17490" i="5"/>
  <c r="H17482" i="5"/>
  <c r="H17474" i="5"/>
  <c r="H17466" i="5"/>
  <c r="H17458" i="5"/>
  <c r="H17450" i="5"/>
  <c r="H17442" i="5"/>
  <c r="H17434" i="5"/>
  <c r="H17426" i="5"/>
  <c r="H17418" i="5"/>
  <c r="H17410" i="5"/>
  <c r="H17402" i="5"/>
  <c r="H17394" i="5"/>
  <c r="H17386" i="5"/>
  <c r="H17378" i="5"/>
  <c r="H17370" i="5"/>
  <c r="H17362" i="5"/>
  <c r="H17354" i="5"/>
  <c r="H17346" i="5"/>
  <c r="H17338" i="5"/>
  <c r="H17330" i="5"/>
  <c r="H17322" i="5"/>
  <c r="H17314" i="5"/>
  <c r="H17306" i="5"/>
  <c r="H17298" i="5"/>
  <c r="H17290" i="5"/>
  <c r="H17282" i="5"/>
  <c r="H17274" i="5"/>
  <c r="H17266" i="5"/>
  <c r="H17258" i="5"/>
  <c r="H17250" i="5"/>
  <c r="H17242" i="5"/>
  <c r="H17234" i="5"/>
  <c r="H17226" i="5"/>
  <c r="H17218" i="5"/>
  <c r="H17210" i="5"/>
  <c r="H17202" i="5"/>
  <c r="H17194" i="5"/>
  <c r="H17186" i="5"/>
  <c r="H17178" i="5"/>
  <c r="H17170" i="5"/>
  <c r="H17162" i="5"/>
  <c r="H17154" i="5"/>
  <c r="H17146" i="5"/>
  <c r="H17138" i="5"/>
  <c r="H17130" i="5"/>
  <c r="H17122" i="5"/>
  <c r="H17114" i="5"/>
  <c r="H17106" i="5"/>
  <c r="H17098" i="5"/>
  <c r="H17090" i="5"/>
  <c r="H17082" i="5"/>
  <c r="H17074" i="5"/>
  <c r="H17066" i="5"/>
  <c r="H17058" i="5"/>
  <c r="H17050" i="5"/>
  <c r="H17042" i="5"/>
  <c r="H17034" i="5"/>
  <c r="H17026" i="5"/>
  <c r="H17018" i="5"/>
  <c r="H17010" i="5"/>
  <c r="H17002" i="5"/>
  <c r="H16994" i="5"/>
  <c r="H16986" i="5"/>
  <c r="H16978" i="5"/>
  <c r="H16970" i="5"/>
  <c r="H16962" i="5"/>
  <c r="H16954" i="5"/>
  <c r="H16946" i="5"/>
  <c r="H16938" i="5"/>
  <c r="H16930" i="5"/>
  <c r="H16922" i="5"/>
  <c r="H16914" i="5"/>
  <c r="H16906" i="5"/>
  <c r="H16898" i="5"/>
  <c r="H16890" i="5"/>
  <c r="H16882" i="5"/>
  <c r="H16874" i="5"/>
  <c r="H16866" i="5"/>
  <c r="H16858" i="5"/>
  <c r="H16850" i="5"/>
  <c r="H16842" i="5"/>
  <c r="H16834" i="5"/>
  <c r="H16826" i="5"/>
  <c r="H16818" i="5"/>
  <c r="H16810" i="5"/>
  <c r="H16802" i="5"/>
  <c r="H16794" i="5"/>
  <c r="H16786" i="5"/>
  <c r="H16778" i="5"/>
  <c r="H16770" i="5"/>
  <c r="H16762" i="5"/>
  <c r="H16754" i="5"/>
  <c r="H16746" i="5"/>
  <c r="H16738" i="5"/>
  <c r="H16730" i="5"/>
  <c r="H16722" i="5"/>
  <c r="H16714" i="5"/>
  <c r="H16706" i="5"/>
  <c r="H16698" i="5"/>
  <c r="H16690" i="5"/>
  <c r="H16682" i="5"/>
  <c r="H16674" i="5"/>
  <c r="H16666" i="5"/>
  <c r="H16658" i="5"/>
  <c r="H16650" i="5"/>
  <c r="H16642" i="5"/>
  <c r="H16634" i="5"/>
  <c r="H16626" i="5"/>
  <c r="H16618" i="5"/>
  <c r="H16610" i="5"/>
  <c r="H16602" i="5"/>
  <c r="H41540" i="5"/>
  <c r="H40788" i="5"/>
  <c r="H40105" i="5"/>
  <c r="H39445" i="5"/>
  <c r="H38918" i="5"/>
  <c r="H38406" i="5"/>
  <c r="H37894" i="5"/>
  <c r="H37382" i="5"/>
  <c r="H36870" i="5"/>
  <c r="H36417" i="5"/>
  <c r="H36161" i="5"/>
  <c r="H35905" i="5"/>
  <c r="H35649" i="5"/>
  <c r="H35393" i="5"/>
  <c r="H35137" i="5"/>
  <c r="H34961" i="5"/>
  <c r="H34844" i="5"/>
  <c r="H34742" i="5"/>
  <c r="H34639" i="5"/>
  <c r="H34557" i="5"/>
  <c r="H34493" i="5"/>
  <c r="H34429" i="5"/>
  <c r="H34365" i="5"/>
  <c r="H34301" i="5"/>
  <c r="H34237" i="5"/>
  <c r="H34173" i="5"/>
  <c r="H34109" i="5"/>
  <c r="H34045" i="5"/>
  <c r="H33981" i="5"/>
  <c r="H33917" i="5"/>
  <c r="H33853" i="5"/>
  <c r="H33789" i="5"/>
  <c r="H33725" i="5"/>
  <c r="H33661" i="5"/>
  <c r="H33597" i="5"/>
  <c r="H33533" i="5"/>
  <c r="H33469" i="5"/>
  <c r="H33405" i="5"/>
  <c r="H33341" i="5"/>
  <c r="H33277" i="5"/>
  <c r="H33213" i="5"/>
  <c r="H33149" i="5"/>
  <c r="H33085" i="5"/>
  <c r="H33021" i="5"/>
  <c r="H32957" i="5"/>
  <c r="H32893" i="5"/>
  <c r="H32829" i="5"/>
  <c r="H32765" i="5"/>
  <c r="H32701" i="5"/>
  <c r="H32637" i="5"/>
  <c r="H32573" i="5"/>
  <c r="H32509" i="5"/>
  <c r="H32445" i="5"/>
  <c r="H32381" i="5"/>
  <c r="H32317" i="5"/>
  <c r="H32253" i="5"/>
  <c r="H32189" i="5"/>
  <c r="H32125" i="5"/>
  <c r="H32061" i="5"/>
  <c r="H31997" i="5"/>
  <c r="H31933" i="5"/>
  <c r="H31869" i="5"/>
  <c r="H31805" i="5"/>
  <c r="H31741" i="5"/>
  <c r="H31677" i="5"/>
  <c r="H31613" i="5"/>
  <c r="H31549" i="5"/>
  <c r="H31485" i="5"/>
  <c r="H31421" i="5"/>
  <c r="H31357" i="5"/>
  <c r="H31293" i="5"/>
  <c r="H31229" i="5"/>
  <c r="H31165" i="5"/>
  <c r="H31101" i="5"/>
  <c r="H31037" i="5"/>
  <c r="H30973" i="5"/>
  <c r="H30909" i="5"/>
  <c r="H30845" i="5"/>
  <c r="H30781" i="5"/>
  <c r="H30717" i="5"/>
  <c r="H30653" i="5"/>
  <c r="H30589" i="5"/>
  <c r="H30525" i="5"/>
  <c r="H30461" i="5"/>
  <c r="H30397" i="5"/>
  <c r="H30333" i="5"/>
  <c r="H30269" i="5"/>
  <c r="H30205" i="5"/>
  <c r="H30141" i="5"/>
  <c r="H30077" i="5"/>
  <c r="H30013" i="5"/>
  <c r="H29949" i="5"/>
  <c r="H29885" i="5"/>
  <c r="H29821" i="5"/>
  <c r="H29757" i="5"/>
  <c r="H29693" i="5"/>
  <c r="H29629" i="5"/>
  <c r="H29565" i="5"/>
  <c r="H29501" i="5"/>
  <c r="H29437" i="5"/>
  <c r="H29373" i="5"/>
  <c r="H29309" i="5"/>
  <c r="H29277" i="5"/>
  <c r="H29245" i="5"/>
  <c r="H29213" i="5"/>
  <c r="H29181" i="5"/>
  <c r="H29149" i="5"/>
  <c r="H29117" i="5"/>
  <c r="H29085" i="5"/>
  <c r="H29053" i="5"/>
  <c r="H29021" i="5"/>
  <c r="H28989" i="5"/>
  <c r="H28957" i="5"/>
  <c r="H28925" i="5"/>
  <c r="H28893" i="5"/>
  <c r="H28861" i="5"/>
  <c r="H28829" i="5"/>
  <c r="H28797" i="5"/>
  <c r="H28765" i="5"/>
  <c r="H28733" i="5"/>
  <c r="H28701" i="5"/>
  <c r="H28669" i="5"/>
  <c r="H28637" i="5"/>
  <c r="H28605" i="5"/>
  <c r="H28573" i="5"/>
  <c r="H28541" i="5"/>
  <c r="H28509" i="5"/>
  <c r="H28477" i="5"/>
  <c r="H28445" i="5"/>
  <c r="H28413" i="5"/>
  <c r="H28381" i="5"/>
  <c r="H28349" i="5"/>
  <c r="H28317" i="5"/>
  <c r="H28285" i="5"/>
  <c r="H28253" i="5"/>
  <c r="H28221" i="5"/>
  <c r="H28189" i="5"/>
  <c r="H28157" i="5"/>
  <c r="H28125" i="5"/>
  <c r="H28093" i="5"/>
  <c r="H28061" i="5"/>
  <c r="H28029" i="5"/>
  <c r="H27997" i="5"/>
  <c r="H27965" i="5"/>
  <c r="H27933" i="5"/>
  <c r="H27901" i="5"/>
  <c r="H27869" i="5"/>
  <c r="H27837" i="5"/>
  <c r="H27805" i="5"/>
  <c r="H27773" i="5"/>
  <c r="H27741" i="5"/>
  <c r="H27709" i="5"/>
  <c r="H27677" i="5"/>
  <c r="H27645" i="5"/>
  <c r="H27613" i="5"/>
  <c r="H27581" i="5"/>
  <c r="H27549" i="5"/>
  <c r="H27517" i="5"/>
  <c r="H27485" i="5"/>
  <c r="H27453" i="5"/>
  <c r="H27424" i="5"/>
  <c r="H27405" i="5"/>
  <c r="H27382" i="5"/>
  <c r="H27360" i="5"/>
  <c r="H27341" i="5"/>
  <c r="H27318" i="5"/>
  <c r="H27296" i="5"/>
  <c r="H27277" i="5"/>
  <c r="H27254" i="5"/>
  <c r="H27232" i="5"/>
  <c r="H27213" i="5"/>
  <c r="H27190" i="5"/>
  <c r="H27168" i="5"/>
  <c r="H27149" i="5"/>
  <c r="H27126" i="5"/>
  <c r="H27109" i="5"/>
  <c r="H27093" i="5"/>
  <c r="H27077" i="5"/>
  <c r="H27061" i="5"/>
  <c r="H27045" i="5"/>
  <c r="H27029" i="5"/>
  <c r="H27013" i="5"/>
  <c r="H26997" i="5"/>
  <c r="H26981" i="5"/>
  <c r="H26965" i="5"/>
  <c r="H26949" i="5"/>
  <c r="H26933" i="5"/>
  <c r="H26917" i="5"/>
  <c r="H26901" i="5"/>
  <c r="H26885" i="5"/>
  <c r="H26869" i="5"/>
  <c r="H26853" i="5"/>
  <c r="H26837" i="5"/>
  <c r="H26821" i="5"/>
  <c r="H26805" i="5"/>
  <c r="H26789" i="5"/>
  <c r="H26773" i="5"/>
  <c r="H26757" i="5"/>
  <c r="H26741" i="5"/>
  <c r="H26725" i="5"/>
  <c r="H26709" i="5"/>
  <c r="H26693" i="5"/>
  <c r="H26677" i="5"/>
  <c r="H26661" i="5"/>
  <c r="H26645" i="5"/>
  <c r="H26629" i="5"/>
  <c r="H26613" i="5"/>
  <c r="H26597" i="5"/>
  <c r="H26581" i="5"/>
  <c r="H26565" i="5"/>
  <c r="H26549" i="5"/>
  <c r="H26533" i="5"/>
  <c r="H26517" i="5"/>
  <c r="H26501" i="5"/>
  <c r="H26485" i="5"/>
  <c r="H26469" i="5"/>
  <c r="H26453" i="5"/>
  <c r="H26437" i="5"/>
  <c r="H26421" i="5"/>
  <c r="H26405" i="5"/>
  <c r="H26389" i="5"/>
  <c r="H26373" i="5"/>
  <c r="H26357" i="5"/>
  <c r="H26341" i="5"/>
  <c r="H26325" i="5"/>
  <c r="H26309" i="5"/>
  <c r="H26293" i="5"/>
  <c r="H26277" i="5"/>
  <c r="H26261" i="5"/>
  <c r="H26245" i="5"/>
  <c r="H26229" i="5"/>
  <c r="H26213" i="5"/>
  <c r="H26197" i="5"/>
  <c r="H26181" i="5"/>
  <c r="H26165" i="5"/>
  <c r="H26149" i="5"/>
  <c r="H26133" i="5"/>
  <c r="H26117" i="5"/>
  <c r="H26101" i="5"/>
  <c r="H26085" i="5"/>
  <c r="H26069" i="5"/>
  <c r="H26053" i="5"/>
  <c r="H26037" i="5"/>
  <c r="H26021" i="5"/>
  <c r="H26005" i="5"/>
  <c r="H25989" i="5"/>
  <c r="H25973" i="5"/>
  <c r="H25957" i="5"/>
  <c r="H25941" i="5"/>
  <c r="H25925" i="5"/>
  <c r="H25909" i="5"/>
  <c r="H25893" i="5"/>
  <c r="H25877" i="5"/>
  <c r="H25861" i="5"/>
  <c r="H25845" i="5"/>
  <c r="H25829" i="5"/>
  <c r="H25813" i="5"/>
  <c r="H25797" i="5"/>
  <c r="H25781" i="5"/>
  <c r="H25765" i="5"/>
  <c r="H25749" i="5"/>
  <c r="H25733" i="5"/>
  <c r="H25717" i="5"/>
  <c r="H25701" i="5"/>
  <c r="H25685" i="5"/>
  <c r="H25669" i="5"/>
  <c r="H25653" i="5"/>
  <c r="H25637" i="5"/>
  <c r="H25621" i="5"/>
  <c r="H25605" i="5"/>
  <c r="H25589" i="5"/>
  <c r="H25573" i="5"/>
  <c r="H25557" i="5"/>
  <c r="H25541" i="5"/>
  <c r="H25526" i="5"/>
  <c r="H25515" i="5"/>
  <c r="H25501" i="5"/>
  <c r="H25488" i="5"/>
  <c r="H25476" i="5"/>
  <c r="H25462" i="5"/>
  <c r="H25451" i="5"/>
  <c r="H25437" i="5"/>
  <c r="H25424" i="5"/>
  <c r="H25412" i="5"/>
  <c r="H25398" i="5"/>
  <c r="H25387" i="5"/>
  <c r="H25373" i="5"/>
  <c r="H25360" i="5"/>
  <c r="H25348" i="5"/>
  <c r="H25334" i="5"/>
  <c r="H25323" i="5"/>
  <c r="H25309" i="5"/>
  <c r="H25296" i="5"/>
  <c r="H25284" i="5"/>
  <c r="H25270" i="5"/>
  <c r="H25259" i="5"/>
  <c r="H25245" i="5"/>
  <c r="H25232" i="5"/>
  <c r="H25220" i="5"/>
  <c r="H25206" i="5"/>
  <c r="H25195" i="5"/>
  <c r="H25181" i="5"/>
  <c r="H25168" i="5"/>
  <c r="H25156" i="5"/>
  <c r="H25142" i="5"/>
  <c r="H25131" i="5"/>
  <c r="H25117" i="5"/>
  <c r="H25104" i="5"/>
  <c r="H25092" i="5"/>
  <c r="H25078" i="5"/>
  <c r="H25067" i="5"/>
  <c r="H25053" i="5"/>
  <c r="H25040" i="5"/>
  <c r="H25028" i="5"/>
  <c r="H25014" i="5"/>
  <c r="H25003" i="5"/>
  <c r="H24989" i="5"/>
  <c r="H24976" i="5"/>
  <c r="H24966" i="5"/>
  <c r="H24957" i="5"/>
  <c r="H24948" i="5"/>
  <c r="H24939" i="5"/>
  <c r="H24930" i="5"/>
  <c r="H24921" i="5"/>
  <c r="H24913" i="5"/>
  <c r="H24905" i="5"/>
  <c r="H24897" i="5"/>
  <c r="H24889" i="5"/>
  <c r="H24881" i="5"/>
  <c r="H24873" i="5"/>
  <c r="H24865" i="5"/>
  <c r="H24857" i="5"/>
  <c r="H24849" i="5"/>
  <c r="H24841" i="5"/>
  <c r="H24833" i="5"/>
  <c r="H24825" i="5"/>
  <c r="H24817" i="5"/>
  <c r="H24809" i="5"/>
  <c r="H24801" i="5"/>
  <c r="H24793" i="5"/>
  <c r="H24785" i="5"/>
  <c r="H24777" i="5"/>
  <c r="H24769" i="5"/>
  <c r="H24761" i="5"/>
  <c r="H24753" i="5"/>
  <c r="H24745" i="5"/>
  <c r="H24737" i="5"/>
  <c r="H24729" i="5"/>
  <c r="H24721" i="5"/>
  <c r="H24713" i="5"/>
  <c r="H24705" i="5"/>
  <c r="H24697" i="5"/>
  <c r="H24689" i="5"/>
  <c r="H24681" i="5"/>
  <c r="H24673" i="5"/>
  <c r="H24665" i="5"/>
  <c r="H24657" i="5"/>
  <c r="H24649" i="5"/>
  <c r="H24641" i="5"/>
  <c r="H24633" i="5"/>
  <c r="H24625" i="5"/>
  <c r="H24617" i="5"/>
  <c r="H24609" i="5"/>
  <c r="H24601" i="5"/>
  <c r="H24593" i="5"/>
  <c r="H24585" i="5"/>
  <c r="H24577" i="5"/>
  <c r="H24569" i="5"/>
  <c r="H24561" i="5"/>
  <c r="H24553" i="5"/>
  <c r="H24545" i="5"/>
  <c r="H24537" i="5"/>
  <c r="H24529" i="5"/>
  <c r="H24521" i="5"/>
  <c r="H24513" i="5"/>
  <c r="H24505" i="5"/>
  <c r="H24497" i="5"/>
  <c r="H24489" i="5"/>
  <c r="H24481" i="5"/>
  <c r="H24473" i="5"/>
  <c r="H24465" i="5"/>
  <c r="H24457" i="5"/>
  <c r="H24449" i="5"/>
  <c r="H24441" i="5"/>
  <c r="H24433" i="5"/>
  <c r="H24425" i="5"/>
  <c r="H24417" i="5"/>
  <c r="H24409" i="5"/>
  <c r="H24401" i="5"/>
  <c r="H24393" i="5"/>
  <c r="H24385" i="5"/>
  <c r="H24377" i="5"/>
  <c r="H24369" i="5"/>
  <c r="H24361" i="5"/>
  <c r="H24353" i="5"/>
  <c r="H24345" i="5"/>
  <c r="H24337" i="5"/>
  <c r="H24329" i="5"/>
  <c r="H24321" i="5"/>
  <c r="H24313" i="5"/>
  <c r="H24305" i="5"/>
  <c r="H24297" i="5"/>
  <c r="H24289" i="5"/>
  <c r="H24281" i="5"/>
  <c r="H24273" i="5"/>
  <c r="H24265" i="5"/>
  <c r="H24257" i="5"/>
  <c r="H24249" i="5"/>
  <c r="H24241" i="5"/>
  <c r="H24233" i="5"/>
  <c r="H24225" i="5"/>
  <c r="H24217" i="5"/>
  <c r="H24209" i="5"/>
  <c r="H24201" i="5"/>
  <c r="H24193" i="5"/>
  <c r="H24185" i="5"/>
  <c r="H24177" i="5"/>
  <c r="H24169" i="5"/>
  <c r="H24161" i="5"/>
  <c r="H24153" i="5"/>
  <c r="H24145" i="5"/>
  <c r="H24137" i="5"/>
  <c r="H24129" i="5"/>
  <c r="H24121" i="5"/>
  <c r="H24113" i="5"/>
  <c r="H24105" i="5"/>
  <c r="H24097" i="5"/>
  <c r="H24089" i="5"/>
  <c r="H24081" i="5"/>
  <c r="H24073" i="5"/>
  <c r="H24065" i="5"/>
  <c r="H24057" i="5"/>
  <c r="H24049" i="5"/>
  <c r="H24041" i="5"/>
  <c r="H24033" i="5"/>
  <c r="H24025" i="5"/>
  <c r="H24017" i="5"/>
  <c r="H24009" i="5"/>
  <c r="H24001" i="5"/>
  <c r="H23993" i="5"/>
  <c r="H23985" i="5"/>
  <c r="H23977" i="5"/>
  <c r="H23969" i="5"/>
  <c r="H23961" i="5"/>
  <c r="H23953" i="5"/>
  <c r="H23945" i="5"/>
  <c r="H23937" i="5"/>
  <c r="H23929" i="5"/>
  <c r="H23921" i="5"/>
  <c r="H23913" i="5"/>
  <c r="H23905" i="5"/>
  <c r="H23897" i="5"/>
  <c r="H23889" i="5"/>
  <c r="H23881" i="5"/>
  <c r="H23873" i="5"/>
  <c r="H23865" i="5"/>
  <c r="H23857" i="5"/>
  <c r="H23849" i="5"/>
  <c r="H23841" i="5"/>
  <c r="H23833" i="5"/>
  <c r="H23825" i="5"/>
  <c r="H23817" i="5"/>
  <c r="H23809" i="5"/>
  <c r="H23801" i="5"/>
  <c r="H23793" i="5"/>
  <c r="H23785" i="5"/>
  <c r="H23777" i="5"/>
  <c r="H23769" i="5"/>
  <c r="H23761" i="5"/>
  <c r="H23753" i="5"/>
  <c r="H23745" i="5"/>
  <c r="H23737" i="5"/>
  <c r="H23729" i="5"/>
  <c r="H23721" i="5"/>
  <c r="H23713" i="5"/>
  <c r="H23705" i="5"/>
  <c r="H23697" i="5"/>
  <c r="H23689" i="5"/>
  <c r="H23681" i="5"/>
  <c r="H23673" i="5"/>
  <c r="H23665" i="5"/>
  <c r="H23657" i="5"/>
  <c r="H23649" i="5"/>
  <c r="H23641" i="5"/>
  <c r="H23633" i="5"/>
  <c r="H23625" i="5"/>
  <c r="H23617" i="5"/>
  <c r="H23609" i="5"/>
  <c r="H23601" i="5"/>
  <c r="H23593" i="5"/>
  <c r="H23585" i="5"/>
  <c r="H23577" i="5"/>
  <c r="H23569" i="5"/>
  <c r="H23561" i="5"/>
  <c r="H23553" i="5"/>
  <c r="H23545" i="5"/>
  <c r="H23537" i="5"/>
  <c r="H23529" i="5"/>
  <c r="H23521" i="5"/>
  <c r="H23513" i="5"/>
  <c r="H23505" i="5"/>
  <c r="H23497" i="5"/>
  <c r="H23489" i="5"/>
  <c r="H23481" i="5"/>
  <c r="H23473" i="5"/>
  <c r="H23465" i="5"/>
  <c r="H23457" i="5"/>
  <c r="H23449" i="5"/>
  <c r="H23441" i="5"/>
  <c r="H23433" i="5"/>
  <c r="H23425" i="5"/>
  <c r="H23417" i="5"/>
  <c r="H23409" i="5"/>
  <c r="H23401" i="5"/>
  <c r="H23393" i="5"/>
  <c r="H23385" i="5"/>
  <c r="H23377" i="5"/>
  <c r="H23369" i="5"/>
  <c r="H23361" i="5"/>
  <c r="H23353" i="5"/>
  <c r="H23345" i="5"/>
  <c r="H23337" i="5"/>
  <c r="H23329" i="5"/>
  <c r="H23321" i="5"/>
  <c r="H23313" i="5"/>
  <c r="H23305" i="5"/>
  <c r="H23297" i="5"/>
  <c r="H23289" i="5"/>
  <c r="H23281" i="5"/>
  <c r="H23273" i="5"/>
  <c r="H23265" i="5"/>
  <c r="H23257" i="5"/>
  <c r="H23249" i="5"/>
  <c r="H23241" i="5"/>
  <c r="H23233" i="5"/>
  <c r="H23225" i="5"/>
  <c r="H23217" i="5"/>
  <c r="H23209" i="5"/>
  <c r="H23201" i="5"/>
  <c r="H23193" i="5"/>
  <c r="H23185" i="5"/>
  <c r="H23177" i="5"/>
  <c r="H23169" i="5"/>
  <c r="H23161" i="5"/>
  <c r="H23153" i="5"/>
  <c r="H23145" i="5"/>
  <c r="H23137" i="5"/>
  <c r="H23129" i="5"/>
  <c r="H23121" i="5"/>
  <c r="H23113" i="5"/>
  <c r="H23105" i="5"/>
  <c r="H23097" i="5"/>
  <c r="H23089" i="5"/>
  <c r="H23081" i="5"/>
  <c r="H23073" i="5"/>
  <c r="H23065" i="5"/>
  <c r="H23057" i="5"/>
  <c r="H23049" i="5"/>
  <c r="H23041" i="5"/>
  <c r="H23033" i="5"/>
  <c r="H23025" i="5"/>
  <c r="H23017" i="5"/>
  <c r="H23009" i="5"/>
  <c r="H23001" i="5"/>
  <c r="H22993" i="5"/>
  <c r="H22985" i="5"/>
  <c r="H22977" i="5"/>
  <c r="H22969" i="5"/>
  <c r="H22961" i="5"/>
  <c r="H22953" i="5"/>
  <c r="H22945" i="5"/>
  <c r="H22937" i="5"/>
  <c r="H22929" i="5"/>
  <c r="H22921" i="5"/>
  <c r="H22913" i="5"/>
  <c r="H22905" i="5"/>
  <c r="H22897" i="5"/>
  <c r="H22889" i="5"/>
  <c r="H22881" i="5"/>
  <c r="H22873" i="5"/>
  <c r="H22865" i="5"/>
  <c r="H22857" i="5"/>
  <c r="H22849" i="5"/>
  <c r="H22841" i="5"/>
  <c r="H22833" i="5"/>
  <c r="H22825" i="5"/>
  <c r="H22817" i="5"/>
  <c r="H22809" i="5"/>
  <c r="H22801" i="5"/>
  <c r="H22793" i="5"/>
  <c r="H22785" i="5"/>
  <c r="H22777" i="5"/>
  <c r="H22769" i="5"/>
  <c r="H22761" i="5"/>
  <c r="H22753" i="5"/>
  <c r="H22745" i="5"/>
  <c r="H22737" i="5"/>
  <c r="H22729" i="5"/>
  <c r="H22721" i="5"/>
  <c r="H22713" i="5"/>
  <c r="H22705" i="5"/>
  <c r="H22697" i="5"/>
  <c r="H22689" i="5"/>
  <c r="H22681" i="5"/>
  <c r="H22673" i="5"/>
  <c r="H22665" i="5"/>
  <c r="H22657" i="5"/>
  <c r="H22649" i="5"/>
  <c r="H22641" i="5"/>
  <c r="H22633" i="5"/>
  <c r="H22625" i="5"/>
  <c r="H22617" i="5"/>
  <c r="H22609" i="5"/>
  <c r="H22601" i="5"/>
  <c r="H22593" i="5"/>
  <c r="H22585" i="5"/>
  <c r="H22577" i="5"/>
  <c r="H22569" i="5"/>
  <c r="H22561" i="5"/>
  <c r="H22553" i="5"/>
  <c r="H22545" i="5"/>
  <c r="H22537" i="5"/>
  <c r="H22529" i="5"/>
  <c r="H22521" i="5"/>
  <c r="H22513" i="5"/>
  <c r="H22505" i="5"/>
  <c r="H22497" i="5"/>
  <c r="H22489" i="5"/>
  <c r="H22481" i="5"/>
  <c r="H22473" i="5"/>
  <c r="H22465" i="5"/>
  <c r="H22457" i="5"/>
  <c r="H22449" i="5"/>
  <c r="H22441" i="5"/>
  <c r="H22433" i="5"/>
  <c r="H22425" i="5"/>
  <c r="H22417" i="5"/>
  <c r="H22409" i="5"/>
  <c r="H22401" i="5"/>
  <c r="H22393" i="5"/>
  <c r="H22385" i="5"/>
  <c r="H22377" i="5"/>
  <c r="H22369" i="5"/>
  <c r="H22361" i="5"/>
  <c r="H22353" i="5"/>
  <c r="H22345" i="5"/>
  <c r="H22337" i="5"/>
  <c r="H22329" i="5"/>
  <c r="H22321" i="5"/>
  <c r="H22313" i="5"/>
  <c r="H22305" i="5"/>
  <c r="H22297" i="5"/>
  <c r="H22289" i="5"/>
  <c r="H22281" i="5"/>
  <c r="H22273" i="5"/>
  <c r="H22265" i="5"/>
  <c r="H22257" i="5"/>
  <c r="H22249" i="5"/>
  <c r="H22241" i="5"/>
  <c r="H22233" i="5"/>
  <c r="H22225" i="5"/>
  <c r="H22217" i="5"/>
  <c r="H22209" i="5"/>
  <c r="H22201" i="5"/>
  <c r="H22193" i="5"/>
  <c r="H22185" i="5"/>
  <c r="H22177" i="5"/>
  <c r="H22169" i="5"/>
  <c r="H22161" i="5"/>
  <c r="H22153" i="5"/>
  <c r="H22145" i="5"/>
  <c r="H22137" i="5"/>
  <c r="H22129" i="5"/>
  <c r="H22121" i="5"/>
  <c r="H22113" i="5"/>
  <c r="H22105" i="5"/>
  <c r="H22097" i="5"/>
  <c r="H22089" i="5"/>
  <c r="H22081" i="5"/>
  <c r="H22073" i="5"/>
  <c r="H22065" i="5"/>
  <c r="H22057" i="5"/>
  <c r="H22049" i="5"/>
  <c r="H22041" i="5"/>
  <c r="H22033" i="5"/>
  <c r="H22025" i="5"/>
  <c r="H22017" i="5"/>
  <c r="H22009" i="5"/>
  <c r="H22001" i="5"/>
  <c r="H21993" i="5"/>
  <c r="H21985" i="5"/>
  <c r="H21977" i="5"/>
  <c r="H21969" i="5"/>
  <c r="H21961" i="5"/>
  <c r="H21953" i="5"/>
  <c r="H21945" i="5"/>
  <c r="H21937" i="5"/>
  <c r="H21929" i="5"/>
  <c r="H21921" i="5"/>
  <c r="H21913" i="5"/>
  <c r="H21905" i="5"/>
  <c r="H21897" i="5"/>
  <c r="H21889" i="5"/>
  <c r="H21881" i="5"/>
  <c r="H21873" i="5"/>
  <c r="H21865" i="5"/>
  <c r="H21857" i="5"/>
  <c r="H21849" i="5"/>
  <c r="H21841" i="5"/>
  <c r="H21833" i="5"/>
  <c r="H21825" i="5"/>
  <c r="H21817" i="5"/>
  <c r="H21809" i="5"/>
  <c r="H21801" i="5"/>
  <c r="H21793" i="5"/>
  <c r="H21785" i="5"/>
  <c r="H21777" i="5"/>
  <c r="H21769" i="5"/>
  <c r="H21761" i="5"/>
  <c r="H21753" i="5"/>
  <c r="H21745" i="5"/>
  <c r="H21737" i="5"/>
  <c r="H21729" i="5"/>
  <c r="H21721" i="5"/>
  <c r="H21713" i="5"/>
  <c r="H21705" i="5"/>
  <c r="H21697" i="5"/>
  <c r="H21689" i="5"/>
  <c r="H21681" i="5"/>
  <c r="H21673" i="5"/>
  <c r="H21665" i="5"/>
  <c r="H21657" i="5"/>
  <c r="H21649" i="5"/>
  <c r="H21641" i="5"/>
  <c r="H21633" i="5"/>
  <c r="H21625" i="5"/>
  <c r="H21617" i="5"/>
  <c r="H21609" i="5"/>
  <c r="H21601" i="5"/>
  <c r="H21593" i="5"/>
  <c r="H21585" i="5"/>
  <c r="H21577" i="5"/>
  <c r="H21569" i="5"/>
  <c r="H21561" i="5"/>
  <c r="H21553" i="5"/>
  <c r="H21545" i="5"/>
  <c r="H21537" i="5"/>
  <c r="H21529" i="5"/>
  <c r="H21521" i="5"/>
  <c r="H21513" i="5"/>
  <c r="H21505" i="5"/>
  <c r="H21497" i="5"/>
  <c r="H21489" i="5"/>
  <c r="H21481" i="5"/>
  <c r="H21473" i="5"/>
  <c r="H21465" i="5"/>
  <c r="H21457" i="5"/>
  <c r="H21449" i="5"/>
  <c r="H21441" i="5"/>
  <c r="H21433" i="5"/>
  <c r="H21425" i="5"/>
  <c r="H21417" i="5"/>
  <c r="H21409" i="5"/>
  <c r="H21401" i="5"/>
  <c r="H21393" i="5"/>
  <c r="H21385" i="5"/>
  <c r="H21377" i="5"/>
  <c r="H21369" i="5"/>
  <c r="H21361" i="5"/>
  <c r="H21353" i="5"/>
  <c r="H21345" i="5"/>
  <c r="H21337" i="5"/>
  <c r="H21329" i="5"/>
  <c r="H21321" i="5"/>
  <c r="H21313" i="5"/>
  <c r="H21305" i="5"/>
  <c r="H21297" i="5"/>
  <c r="H21289" i="5"/>
  <c r="H21281" i="5"/>
  <c r="H21273" i="5"/>
  <c r="H21265" i="5"/>
  <c r="H21257" i="5"/>
  <c r="H21249" i="5"/>
  <c r="H21241" i="5"/>
  <c r="H21233" i="5"/>
  <c r="H21225" i="5"/>
  <c r="H21217" i="5"/>
  <c r="H21209" i="5"/>
  <c r="H21201" i="5"/>
  <c r="H21193" i="5"/>
  <c r="H21185" i="5"/>
  <c r="H21177" i="5"/>
  <c r="H21169" i="5"/>
  <c r="H21161" i="5"/>
  <c r="H21153" i="5"/>
  <c r="H21145" i="5"/>
  <c r="H21137" i="5"/>
  <c r="H21129" i="5"/>
  <c r="H21121" i="5"/>
  <c r="H21113" i="5"/>
  <c r="H21105" i="5"/>
  <c r="H21097" i="5"/>
  <c r="H21089" i="5"/>
  <c r="H21081" i="5"/>
  <c r="H21073" i="5"/>
  <c r="H21065" i="5"/>
  <c r="H21057" i="5"/>
  <c r="H21049" i="5"/>
  <c r="H21041" i="5"/>
  <c r="H21033" i="5"/>
  <c r="H21025" i="5"/>
  <c r="H21017" i="5"/>
  <c r="H21009" i="5"/>
  <c r="H21001" i="5"/>
  <c r="H20993" i="5"/>
  <c r="H20985" i="5"/>
  <c r="H20977" i="5"/>
  <c r="H20969" i="5"/>
  <c r="H20961" i="5"/>
  <c r="H20953" i="5"/>
  <c r="H20945" i="5"/>
  <c r="H20937" i="5"/>
  <c r="H20929" i="5"/>
  <c r="H20921" i="5"/>
  <c r="H20913" i="5"/>
  <c r="H20905" i="5"/>
  <c r="H20897" i="5"/>
  <c r="H20889" i="5"/>
  <c r="H20881" i="5"/>
  <c r="H20873" i="5"/>
  <c r="H20865" i="5"/>
  <c r="H20857" i="5"/>
  <c r="H20849" i="5"/>
  <c r="H20841" i="5"/>
  <c r="H20833" i="5"/>
  <c r="H20825" i="5"/>
  <c r="H20817" i="5"/>
  <c r="H20809" i="5"/>
  <c r="H20801" i="5"/>
  <c r="H20793" i="5"/>
  <c r="H20785" i="5"/>
  <c r="H20777" i="5"/>
  <c r="H20769" i="5"/>
  <c r="H20761" i="5"/>
  <c r="H20753" i="5"/>
  <c r="H20745" i="5"/>
  <c r="H20737" i="5"/>
  <c r="H20729" i="5"/>
  <c r="H20721" i="5"/>
  <c r="H20713" i="5"/>
  <c r="H20705" i="5"/>
  <c r="H20697" i="5"/>
  <c r="H20689" i="5"/>
  <c r="H20681" i="5"/>
  <c r="H20673" i="5"/>
  <c r="H20665" i="5"/>
  <c r="H20657" i="5"/>
  <c r="H20649" i="5"/>
  <c r="H20641" i="5"/>
  <c r="H20633" i="5"/>
  <c r="H20625" i="5"/>
  <c r="H20617" i="5"/>
  <c r="H20609" i="5"/>
  <c r="H20601" i="5"/>
  <c r="H20593" i="5"/>
  <c r="H20585" i="5"/>
  <c r="H20577" i="5"/>
  <c r="H20569" i="5"/>
  <c r="H20561" i="5"/>
  <c r="H20553" i="5"/>
  <c r="H20545" i="5"/>
  <c r="H20537" i="5"/>
  <c r="H20529" i="5"/>
  <c r="H20521" i="5"/>
  <c r="H20513" i="5"/>
  <c r="H20505" i="5"/>
  <c r="H20497" i="5"/>
  <c r="H20489" i="5"/>
  <c r="H20481" i="5"/>
  <c r="H20473" i="5"/>
  <c r="H20465" i="5"/>
  <c r="H20457" i="5"/>
  <c r="H20449" i="5"/>
  <c r="H20441" i="5"/>
  <c r="H20433" i="5"/>
  <c r="H20425" i="5"/>
  <c r="H20417" i="5"/>
  <c r="H20409" i="5"/>
  <c r="H20401" i="5"/>
  <c r="H20393" i="5"/>
  <c r="H20385" i="5"/>
  <c r="H20377" i="5"/>
  <c r="H20369" i="5"/>
  <c r="H20361" i="5"/>
  <c r="H20353" i="5"/>
  <c r="H20345" i="5"/>
  <c r="H20337" i="5"/>
  <c r="H20329" i="5"/>
  <c r="H20321" i="5"/>
  <c r="H20313" i="5"/>
  <c r="H20305" i="5"/>
  <c r="H20297" i="5"/>
  <c r="H20289" i="5"/>
  <c r="H20281" i="5"/>
  <c r="H20273" i="5"/>
  <c r="H20265" i="5"/>
  <c r="H20257" i="5"/>
  <c r="H20249" i="5"/>
  <c r="H20241" i="5"/>
  <c r="H20233" i="5"/>
  <c r="H20225" i="5"/>
  <c r="H20217" i="5"/>
  <c r="H20209" i="5"/>
  <c r="H20201" i="5"/>
  <c r="H20193" i="5"/>
  <c r="H20185" i="5"/>
  <c r="H20177" i="5"/>
  <c r="H20169" i="5"/>
  <c r="H20161" i="5"/>
  <c r="H20153" i="5"/>
  <c r="H20145" i="5"/>
  <c r="H20137" i="5"/>
  <c r="H20129" i="5"/>
  <c r="H20121" i="5"/>
  <c r="H20113" i="5"/>
  <c r="H20105" i="5"/>
  <c r="H20097" i="5"/>
  <c r="H20089" i="5"/>
  <c r="H20081" i="5"/>
  <c r="H20073" i="5"/>
  <c r="H20065" i="5"/>
  <c r="H20057" i="5"/>
  <c r="H20049" i="5"/>
  <c r="H20041" i="5"/>
  <c r="H20033" i="5"/>
  <c r="H20025" i="5"/>
  <c r="H20017" i="5"/>
  <c r="H20009" i="5"/>
  <c r="H20001" i="5"/>
  <c r="H19993" i="5"/>
  <c r="H19985" i="5"/>
  <c r="H19977" i="5"/>
  <c r="H19969" i="5"/>
  <c r="H19961" i="5"/>
  <c r="H19953" i="5"/>
  <c r="H19945" i="5"/>
  <c r="H19937" i="5"/>
  <c r="H19929" i="5"/>
  <c r="H19921" i="5"/>
  <c r="H19913" i="5"/>
  <c r="H19905" i="5"/>
  <c r="H19897" i="5"/>
  <c r="H19889" i="5"/>
  <c r="H19881" i="5"/>
  <c r="H19873" i="5"/>
  <c r="H19865" i="5"/>
  <c r="H19857" i="5"/>
  <c r="H19849" i="5"/>
  <c r="H19841" i="5"/>
  <c r="H19833" i="5"/>
  <c r="H19825" i="5"/>
  <c r="H19817" i="5"/>
  <c r="H19809" i="5"/>
  <c r="H19801" i="5"/>
  <c r="H19793" i="5"/>
  <c r="H19785" i="5"/>
  <c r="H19777" i="5"/>
  <c r="H19769" i="5"/>
  <c r="H19761" i="5"/>
  <c r="H19753" i="5"/>
  <c r="H19745" i="5"/>
  <c r="H19737" i="5"/>
  <c r="H19729" i="5"/>
  <c r="H19721" i="5"/>
  <c r="H19713" i="5"/>
  <c r="H19705" i="5"/>
  <c r="H19697" i="5"/>
  <c r="H19689" i="5"/>
  <c r="H19681" i="5"/>
  <c r="H19673" i="5"/>
  <c r="H19665" i="5"/>
  <c r="H19657" i="5"/>
  <c r="H19649" i="5"/>
  <c r="H19641" i="5"/>
  <c r="H19633" i="5"/>
  <c r="H19625" i="5"/>
  <c r="H19617" i="5"/>
  <c r="H19609" i="5"/>
  <c r="H19601" i="5"/>
  <c r="H19593" i="5"/>
  <c r="H19585" i="5"/>
  <c r="H19577" i="5"/>
  <c r="H19569" i="5"/>
  <c r="H19561" i="5"/>
  <c r="H19553" i="5"/>
  <c r="H19545" i="5"/>
  <c r="H19537" i="5"/>
  <c r="H19529" i="5"/>
  <c r="H19521" i="5"/>
  <c r="H19513" i="5"/>
  <c r="H19505" i="5"/>
  <c r="H19497" i="5"/>
  <c r="H19489" i="5"/>
  <c r="H19481" i="5"/>
  <c r="H19473" i="5"/>
  <c r="H19465" i="5"/>
  <c r="H19457" i="5"/>
  <c r="H19449" i="5"/>
  <c r="H19441" i="5"/>
  <c r="H19433" i="5"/>
  <c r="H19425" i="5"/>
  <c r="H19417" i="5"/>
  <c r="H19409" i="5"/>
  <c r="H19401" i="5"/>
  <c r="H19393" i="5"/>
  <c r="H19385" i="5"/>
  <c r="H19377" i="5"/>
  <c r="H19369" i="5"/>
  <c r="H19361" i="5"/>
  <c r="H19353" i="5"/>
  <c r="H19345" i="5"/>
  <c r="H19337" i="5"/>
  <c r="H19329" i="5"/>
  <c r="H19321" i="5"/>
  <c r="H19313" i="5"/>
  <c r="H19305" i="5"/>
  <c r="H19297" i="5"/>
  <c r="H19289" i="5"/>
  <c r="H19281" i="5"/>
  <c r="H19273" i="5"/>
  <c r="H19265" i="5"/>
  <c r="H19257" i="5"/>
  <c r="H19249" i="5"/>
  <c r="H19241" i="5"/>
  <c r="H19233" i="5"/>
  <c r="H19225" i="5"/>
  <c r="H19217" i="5"/>
  <c r="H19209" i="5"/>
  <c r="H19201" i="5"/>
  <c r="H19193" i="5"/>
  <c r="H19185" i="5"/>
  <c r="H19177" i="5"/>
  <c r="H19169" i="5"/>
  <c r="H19161" i="5"/>
  <c r="H19153" i="5"/>
  <c r="H19145" i="5"/>
  <c r="H19137" i="5"/>
  <c r="H19129" i="5"/>
  <c r="H19121" i="5"/>
  <c r="H19113" i="5"/>
  <c r="H19105" i="5"/>
  <c r="H19097" i="5"/>
  <c r="H19089" i="5"/>
  <c r="H19081" i="5"/>
  <c r="H19073" i="5"/>
  <c r="H19065" i="5"/>
  <c r="H19057" i="5"/>
  <c r="H19049" i="5"/>
  <c r="H19041" i="5"/>
  <c r="H19033" i="5"/>
  <c r="H19025" i="5"/>
  <c r="H19017" i="5"/>
  <c r="H19009" i="5"/>
  <c r="H19001" i="5"/>
  <c r="H18993" i="5"/>
  <c r="H18985" i="5"/>
  <c r="H18977" i="5"/>
  <c r="H18969" i="5"/>
  <c r="H18961" i="5"/>
  <c r="H18953" i="5"/>
  <c r="H18945" i="5"/>
  <c r="H18937" i="5"/>
  <c r="H18929" i="5"/>
  <c r="H18921" i="5"/>
  <c r="H18913" i="5"/>
  <c r="H18905" i="5"/>
  <c r="H18897" i="5"/>
  <c r="H18889" i="5"/>
  <c r="H18881" i="5"/>
  <c r="H18873" i="5"/>
  <c r="H18865" i="5"/>
  <c r="H18857" i="5"/>
  <c r="H18849" i="5"/>
  <c r="H18841" i="5"/>
  <c r="H18833" i="5"/>
  <c r="H18825" i="5"/>
  <c r="H18817" i="5"/>
  <c r="H18809" i="5"/>
  <c r="H18801" i="5"/>
  <c r="H18793" i="5"/>
  <c r="H18785" i="5"/>
  <c r="H18777" i="5"/>
  <c r="H18769" i="5"/>
  <c r="H18761" i="5"/>
  <c r="H18753" i="5"/>
  <c r="H18745" i="5"/>
  <c r="H18737" i="5"/>
  <c r="H18729" i="5"/>
  <c r="H18721" i="5"/>
  <c r="H18713" i="5"/>
  <c r="H18705" i="5"/>
  <c r="H18697" i="5"/>
  <c r="H18689" i="5"/>
  <c r="H18681" i="5"/>
  <c r="H18673" i="5"/>
  <c r="H18665" i="5"/>
  <c r="H18657" i="5"/>
  <c r="H18649" i="5"/>
  <c r="H18641" i="5"/>
  <c r="H18633" i="5"/>
  <c r="H18625" i="5"/>
  <c r="H18617" i="5"/>
  <c r="H18609" i="5"/>
  <c r="H18601" i="5"/>
  <c r="H18593" i="5"/>
  <c r="H18585" i="5"/>
  <c r="H18577" i="5"/>
  <c r="H18569" i="5"/>
  <c r="H18561" i="5"/>
  <c r="H18553" i="5"/>
  <c r="H18545" i="5"/>
  <c r="H18537" i="5"/>
  <c r="H18529" i="5"/>
  <c r="H18521" i="5"/>
  <c r="H18513" i="5"/>
  <c r="H18505" i="5"/>
  <c r="H18497" i="5"/>
  <c r="H18489" i="5"/>
  <c r="H18481" i="5"/>
  <c r="H18473" i="5"/>
  <c r="H18465" i="5"/>
  <c r="H18457" i="5"/>
  <c r="H18449" i="5"/>
  <c r="H18441" i="5"/>
  <c r="H18433" i="5"/>
  <c r="H18425" i="5"/>
  <c r="H18417" i="5"/>
  <c r="H18409" i="5"/>
  <c r="H18401" i="5"/>
  <c r="H18393" i="5"/>
  <c r="H18385" i="5"/>
  <c r="H18377" i="5"/>
  <c r="H18369" i="5"/>
  <c r="H18361" i="5"/>
  <c r="H18353" i="5"/>
  <c r="H18345" i="5"/>
  <c r="H18337" i="5"/>
  <c r="H18329" i="5"/>
  <c r="H18321" i="5"/>
  <c r="H18313" i="5"/>
  <c r="H18305" i="5"/>
  <c r="H18297" i="5"/>
  <c r="H18289" i="5"/>
  <c r="H18281" i="5"/>
  <c r="H18273" i="5"/>
  <c r="H18265" i="5"/>
  <c r="H18257" i="5"/>
  <c r="H18249" i="5"/>
  <c r="H18241" i="5"/>
  <c r="H18233" i="5"/>
  <c r="H18225" i="5"/>
  <c r="H18217" i="5"/>
  <c r="H18209" i="5"/>
  <c r="H18201" i="5"/>
  <c r="H18193" i="5"/>
  <c r="H18185" i="5"/>
  <c r="H18177" i="5"/>
  <c r="H18169" i="5"/>
  <c r="H18161" i="5"/>
  <c r="H18153" i="5"/>
  <c r="H18145" i="5"/>
  <c r="H18137" i="5"/>
  <c r="H18129" i="5"/>
  <c r="H18121" i="5"/>
  <c r="H18113" i="5"/>
  <c r="H18105" i="5"/>
  <c r="H18097" i="5"/>
  <c r="H18089" i="5"/>
  <c r="H18081" i="5"/>
  <c r="H18073" i="5"/>
  <c r="H18065" i="5"/>
  <c r="H18057" i="5"/>
  <c r="H18049" i="5"/>
  <c r="H18041" i="5"/>
  <c r="H18033" i="5"/>
  <c r="H18025" i="5"/>
  <c r="H18017" i="5"/>
  <c r="H18009" i="5"/>
  <c r="H18001" i="5"/>
  <c r="H17993" i="5"/>
  <c r="H17985" i="5"/>
  <c r="H17977" i="5"/>
  <c r="H17969" i="5"/>
  <c r="H17961" i="5"/>
  <c r="H17953" i="5"/>
  <c r="H17945" i="5"/>
  <c r="H17937" i="5"/>
  <c r="H17929" i="5"/>
  <c r="H17921" i="5"/>
  <c r="H17913" i="5"/>
  <c r="H17905" i="5"/>
  <c r="H17897" i="5"/>
  <c r="H17889" i="5"/>
  <c r="H17881" i="5"/>
  <c r="H17873" i="5"/>
  <c r="H17865" i="5"/>
  <c r="H17857" i="5"/>
  <c r="H17849" i="5"/>
  <c r="H17841" i="5"/>
  <c r="H17833" i="5"/>
  <c r="H17825" i="5"/>
  <c r="H17817" i="5"/>
  <c r="H17809" i="5"/>
  <c r="H17801" i="5"/>
  <c r="H17793" i="5"/>
  <c r="H17785" i="5"/>
  <c r="H17777" i="5"/>
  <c r="H17769" i="5"/>
  <c r="H17761" i="5"/>
  <c r="H17753" i="5"/>
  <c r="H17745" i="5"/>
  <c r="H17737" i="5"/>
  <c r="H17729" i="5"/>
  <c r="H17721" i="5"/>
  <c r="H17713" i="5"/>
  <c r="H17705" i="5"/>
  <c r="H17697" i="5"/>
  <c r="H17689" i="5"/>
  <c r="H17681" i="5"/>
  <c r="H17673" i="5"/>
  <c r="H17665" i="5"/>
  <c r="H17657" i="5"/>
  <c r="H17649" i="5"/>
  <c r="H17641" i="5"/>
  <c r="H17633" i="5"/>
  <c r="H17625" i="5"/>
  <c r="H17617" i="5"/>
  <c r="H17609" i="5"/>
  <c r="H17601" i="5"/>
  <c r="H17593" i="5"/>
  <c r="H17585" i="5"/>
  <c r="H17577" i="5"/>
  <c r="H17569" i="5"/>
  <c r="H17561" i="5"/>
  <c r="H17553" i="5"/>
  <c r="H17545" i="5"/>
  <c r="H17537" i="5"/>
  <c r="H17529" i="5"/>
  <c r="H17521" i="5"/>
  <c r="H17513" i="5"/>
  <c r="H17505" i="5"/>
  <c r="H17497" i="5"/>
  <c r="H17489" i="5"/>
  <c r="H17481" i="5"/>
  <c r="H17473" i="5"/>
  <c r="H17465" i="5"/>
  <c r="H17457" i="5"/>
  <c r="H17449" i="5"/>
  <c r="H17441" i="5"/>
  <c r="H17433" i="5"/>
  <c r="H17425" i="5"/>
  <c r="H17417" i="5"/>
  <c r="H17409" i="5"/>
  <c r="H17401" i="5"/>
  <c r="H17393" i="5"/>
  <c r="H17385" i="5"/>
  <c r="H17377" i="5"/>
  <c r="H17369" i="5"/>
  <c r="H17361" i="5"/>
  <c r="H17353" i="5"/>
  <c r="H17345" i="5"/>
  <c r="H17337" i="5"/>
  <c r="H39372" i="5"/>
  <c r="H37318" i="5"/>
  <c r="H35873" i="5"/>
  <c r="H34943" i="5"/>
  <c r="H34549" i="5"/>
  <c r="H34293" i="5"/>
  <c r="H34037" i="5"/>
  <c r="H33781" i="5"/>
  <c r="H33525" i="5"/>
  <c r="H33269" i="5"/>
  <c r="H33013" i="5"/>
  <c r="H32757" i="5"/>
  <c r="H32501" i="5"/>
  <c r="H32245" i="5"/>
  <c r="H31989" i="5"/>
  <c r="H31733" i="5"/>
  <c r="H31477" i="5"/>
  <c r="H31221" i="5"/>
  <c r="H30965" i="5"/>
  <c r="H30709" i="5"/>
  <c r="H30453" i="5"/>
  <c r="H30197" i="5"/>
  <c r="H29941" i="5"/>
  <c r="H29685" i="5"/>
  <c r="H29429" i="5"/>
  <c r="H29238" i="5"/>
  <c r="H29110" i="5"/>
  <c r="H28982" i="5"/>
  <c r="H28854" i="5"/>
  <c r="H28726" i="5"/>
  <c r="H28598" i="5"/>
  <c r="H28470" i="5"/>
  <c r="H28342" i="5"/>
  <c r="H28214" i="5"/>
  <c r="H28086" i="5"/>
  <c r="H27958" i="5"/>
  <c r="H27830" i="5"/>
  <c r="H27702" i="5"/>
  <c r="H27574" i="5"/>
  <c r="H27446" i="5"/>
  <c r="H27358" i="5"/>
  <c r="H27272" i="5"/>
  <c r="H27189" i="5"/>
  <c r="H27108" i="5"/>
  <c r="H27044" i="5"/>
  <c r="H26980" i="5"/>
  <c r="H26916" i="5"/>
  <c r="H26852" i="5"/>
  <c r="H26788" i="5"/>
  <c r="H26724" i="5"/>
  <c r="H26660" i="5"/>
  <c r="H26596" i="5"/>
  <c r="H26532" i="5"/>
  <c r="H26468" i="5"/>
  <c r="H26404" i="5"/>
  <c r="H26340" i="5"/>
  <c r="H26276" i="5"/>
  <c r="H26212" i="5"/>
  <c r="H26148" i="5"/>
  <c r="H26084" i="5"/>
  <c r="H26020" i="5"/>
  <c r="H25956" i="5"/>
  <c r="H25892" i="5"/>
  <c r="H25828" i="5"/>
  <c r="H25764" i="5"/>
  <c r="H25700" i="5"/>
  <c r="H25636" i="5"/>
  <c r="H25572" i="5"/>
  <c r="H25512" i="5"/>
  <c r="H25461" i="5"/>
  <c r="H25411" i="5"/>
  <c r="H25358" i="5"/>
  <c r="H25308" i="5"/>
  <c r="H25256" i="5"/>
  <c r="H25205" i="5"/>
  <c r="H25155" i="5"/>
  <c r="H25102" i="5"/>
  <c r="H25052" i="5"/>
  <c r="H25000" i="5"/>
  <c r="H24956" i="5"/>
  <c r="H24920" i="5"/>
  <c r="H24888" i="5"/>
  <c r="H24856" i="5"/>
  <c r="H24824" i="5"/>
  <c r="H24792" i="5"/>
  <c r="H24760" i="5"/>
  <c r="H24728" i="5"/>
  <c r="H24696" i="5"/>
  <c r="H24664" i="5"/>
  <c r="H24632" i="5"/>
  <c r="H24600" i="5"/>
  <c r="H24568" i="5"/>
  <c r="H24536" i="5"/>
  <c r="H24504" i="5"/>
  <c r="H24472" i="5"/>
  <c r="H24440" i="5"/>
  <c r="H24408" i="5"/>
  <c r="H24376" i="5"/>
  <c r="H24344" i="5"/>
  <c r="H24312" i="5"/>
  <c r="H24280" i="5"/>
  <c r="H24248" i="5"/>
  <c r="H24216" i="5"/>
  <c r="H24184" i="5"/>
  <c r="H24152" i="5"/>
  <c r="H24120" i="5"/>
  <c r="H24088" i="5"/>
  <c r="H24056" i="5"/>
  <c r="H24024" i="5"/>
  <c r="H23992" i="5"/>
  <c r="H23960" i="5"/>
  <c r="H23928" i="5"/>
  <c r="H23896" i="5"/>
  <c r="H23864" i="5"/>
  <c r="H23832" i="5"/>
  <c r="H23800" i="5"/>
  <c r="H23768" i="5"/>
  <c r="H23736" i="5"/>
  <c r="H23704" i="5"/>
  <c r="H23672" i="5"/>
  <c r="H23640" i="5"/>
  <c r="H23608" i="5"/>
  <c r="H23576" i="5"/>
  <c r="H23544" i="5"/>
  <c r="H23512" i="5"/>
  <c r="H23480" i="5"/>
  <c r="H23448" i="5"/>
  <c r="H23416" i="5"/>
  <c r="H23384" i="5"/>
  <c r="H23352" i="5"/>
  <c r="H23320" i="5"/>
  <c r="H23288" i="5"/>
  <c r="H23256" i="5"/>
  <c r="H23224" i="5"/>
  <c r="H23192" i="5"/>
  <c r="H23160" i="5"/>
  <c r="H23128" i="5"/>
  <c r="H23096" i="5"/>
  <c r="H23064" i="5"/>
  <c r="H23032" i="5"/>
  <c r="H23000" i="5"/>
  <c r="H22968" i="5"/>
  <c r="H22936" i="5"/>
  <c r="H22904" i="5"/>
  <c r="H22872" i="5"/>
  <c r="H22840" i="5"/>
  <c r="H22808" i="5"/>
  <c r="H22776" i="5"/>
  <c r="H22744" i="5"/>
  <c r="H22712" i="5"/>
  <c r="H22680" i="5"/>
  <c r="H22648" i="5"/>
  <c r="H22616" i="5"/>
  <c r="H22584" i="5"/>
  <c r="H22552" i="5"/>
  <c r="H22520" i="5"/>
  <c r="H22488" i="5"/>
  <c r="H22456" i="5"/>
  <c r="H22424" i="5"/>
  <c r="H22392" i="5"/>
  <c r="H22360" i="5"/>
  <c r="H22328" i="5"/>
  <c r="H22296" i="5"/>
  <c r="H22264" i="5"/>
  <c r="H22232" i="5"/>
  <c r="H22200" i="5"/>
  <c r="H22168" i="5"/>
  <c r="H22136" i="5"/>
  <c r="H22104" i="5"/>
  <c r="H22072" i="5"/>
  <c r="H22040" i="5"/>
  <c r="H22008" i="5"/>
  <c r="H21976" i="5"/>
  <c r="H21944" i="5"/>
  <c r="H21912" i="5"/>
  <c r="H21880" i="5"/>
  <c r="H21848" i="5"/>
  <c r="H21816" i="5"/>
  <c r="H21784" i="5"/>
  <c r="H21752" i="5"/>
  <c r="H21720" i="5"/>
  <c r="H21688" i="5"/>
  <c r="H21656" i="5"/>
  <c r="H21624" i="5"/>
  <c r="H21592" i="5"/>
  <c r="H21560" i="5"/>
  <c r="H21528" i="5"/>
  <c r="H21496" i="5"/>
  <c r="H21464" i="5"/>
  <c r="H21432" i="5"/>
  <c r="H21400" i="5"/>
  <c r="H21368" i="5"/>
  <c r="H21336" i="5"/>
  <c r="H21304" i="5"/>
  <c r="H21272" i="5"/>
  <c r="H21240" i="5"/>
  <c r="H21208" i="5"/>
  <c r="H21176" i="5"/>
  <c r="H21144" i="5"/>
  <c r="H21112" i="5"/>
  <c r="H21080" i="5"/>
  <c r="H21048" i="5"/>
  <c r="H21016" i="5"/>
  <c r="H20984" i="5"/>
  <c r="H20952" i="5"/>
  <c r="H20920" i="5"/>
  <c r="H20888" i="5"/>
  <c r="H20856" i="5"/>
  <c r="H20824" i="5"/>
  <c r="H20792" i="5"/>
  <c r="H20760" i="5"/>
  <c r="H20728" i="5"/>
  <c r="H20696" i="5"/>
  <c r="H20664" i="5"/>
  <c r="H20632" i="5"/>
  <c r="H20600" i="5"/>
  <c r="H20568" i="5"/>
  <c r="H20536" i="5"/>
  <c r="H20504" i="5"/>
  <c r="H20472" i="5"/>
  <c r="H20440" i="5"/>
  <c r="H20408" i="5"/>
  <c r="H20376" i="5"/>
  <c r="H20344" i="5"/>
  <c r="H20312" i="5"/>
  <c r="H20280" i="5"/>
  <c r="H20248" i="5"/>
  <c r="H20216" i="5"/>
  <c r="H20184" i="5"/>
  <c r="H20152" i="5"/>
  <c r="H20120" i="5"/>
  <c r="H20088" i="5"/>
  <c r="H20056" i="5"/>
  <c r="H20024" i="5"/>
  <c r="H19992" i="5"/>
  <c r="H19960" i="5"/>
  <c r="H19928" i="5"/>
  <c r="H19896" i="5"/>
  <c r="H19864" i="5"/>
  <c r="H19832" i="5"/>
  <c r="H19800" i="5"/>
  <c r="H19768" i="5"/>
  <c r="H19736" i="5"/>
  <c r="H19704" i="5"/>
  <c r="H19672" i="5"/>
  <c r="H19640" i="5"/>
  <c r="H19608" i="5"/>
  <c r="H19576" i="5"/>
  <c r="H19544" i="5"/>
  <c r="H19512" i="5"/>
  <c r="H19480" i="5"/>
  <c r="H19448" i="5"/>
  <c r="H19416" i="5"/>
  <c r="H19384" i="5"/>
  <c r="H19352" i="5"/>
  <c r="H19320" i="5"/>
  <c r="H19288" i="5"/>
  <c r="H19256" i="5"/>
  <c r="H19224" i="5"/>
  <c r="H19192" i="5"/>
  <c r="H19160" i="5"/>
  <c r="H19128" i="5"/>
  <c r="H19096" i="5"/>
  <c r="H19064" i="5"/>
  <c r="H19032" i="5"/>
  <c r="H19000" i="5"/>
  <c r="H18968" i="5"/>
  <c r="H18936" i="5"/>
  <c r="H18904" i="5"/>
  <c r="H18872" i="5"/>
  <c r="H18840" i="5"/>
  <c r="H18808" i="5"/>
  <c r="H18776" i="5"/>
  <c r="H18744" i="5"/>
  <c r="H18712" i="5"/>
  <c r="H18680" i="5"/>
  <c r="H18648" i="5"/>
  <c r="H18616" i="5"/>
  <c r="H18584" i="5"/>
  <c r="H18552" i="5"/>
  <c r="H18520" i="5"/>
  <c r="H18488" i="5"/>
  <c r="H18456" i="5"/>
  <c r="H18424" i="5"/>
  <c r="H18392" i="5"/>
  <c r="H18360" i="5"/>
  <c r="H18328" i="5"/>
  <c r="H18296" i="5"/>
  <c r="H18264" i="5"/>
  <c r="H18232" i="5"/>
  <c r="H18200" i="5"/>
  <c r="H18168" i="5"/>
  <c r="H18136" i="5"/>
  <c r="H18104" i="5"/>
  <c r="H18072" i="5"/>
  <c r="H18040" i="5"/>
  <c r="H18008" i="5"/>
  <c r="H17976" i="5"/>
  <c r="H17944" i="5"/>
  <c r="H17912" i="5"/>
  <c r="H17880" i="5"/>
  <c r="H17848" i="5"/>
  <c r="H17816" i="5"/>
  <c r="H17784" i="5"/>
  <c r="H17752" i="5"/>
  <c r="H17720" i="5"/>
  <c r="H17688" i="5"/>
  <c r="H17656" i="5"/>
  <c r="H17624" i="5"/>
  <c r="H17592" i="5"/>
  <c r="H17560" i="5"/>
  <c r="H17528" i="5"/>
  <c r="H17496" i="5"/>
  <c r="H17471" i="5"/>
  <c r="H17448" i="5"/>
  <c r="H17428" i="5"/>
  <c r="H17407" i="5"/>
  <c r="H17384" i="5"/>
  <c r="H17364" i="5"/>
  <c r="H17343" i="5"/>
  <c r="H17324" i="5"/>
  <c r="H17308" i="5"/>
  <c r="H17292" i="5"/>
  <c r="H17276" i="5"/>
  <c r="H17260" i="5"/>
  <c r="H17244" i="5"/>
  <c r="H17228" i="5"/>
  <c r="H17212" i="5"/>
  <c r="H17196" i="5"/>
  <c r="H17180" i="5"/>
  <c r="H17164" i="5"/>
  <c r="H17148" i="5"/>
  <c r="H17132" i="5"/>
  <c r="H17116" i="5"/>
  <c r="H17100" i="5"/>
  <c r="H17084" i="5"/>
  <c r="H17068" i="5"/>
  <c r="H17052" i="5"/>
  <c r="H17036" i="5"/>
  <c r="H17020" i="5"/>
  <c r="H17004" i="5"/>
  <c r="H16988" i="5"/>
  <c r="H16972" i="5"/>
  <c r="H16956" i="5"/>
  <c r="H16940" i="5"/>
  <c r="H16924" i="5"/>
  <c r="H16908" i="5"/>
  <c r="H16892" i="5"/>
  <c r="H16876" i="5"/>
  <c r="H16860" i="5"/>
  <c r="H16844" i="5"/>
  <c r="H16828" i="5"/>
  <c r="H16812" i="5"/>
  <c r="H16796" i="5"/>
  <c r="H16780" i="5"/>
  <c r="H16764" i="5"/>
  <c r="H16748" i="5"/>
  <c r="H16732" i="5"/>
  <c r="H16716" i="5"/>
  <c r="H16700" i="5"/>
  <c r="H16684" i="5"/>
  <c r="H16668" i="5"/>
  <c r="H16652" i="5"/>
  <c r="H16636" i="5"/>
  <c r="H16620" i="5"/>
  <c r="H16604" i="5"/>
  <c r="H16593" i="5"/>
  <c r="H16584" i="5"/>
  <c r="H16575" i="5"/>
  <c r="H16566" i="5"/>
  <c r="H16557" i="5"/>
  <c r="H16548" i="5"/>
  <c r="H16538" i="5"/>
  <c r="H16530" i="5"/>
  <c r="H16522" i="5"/>
  <c r="H16514" i="5"/>
  <c r="H16506" i="5"/>
  <c r="H16498" i="5"/>
  <c r="H16490" i="5"/>
  <c r="H16482" i="5"/>
  <c r="H16474" i="5"/>
  <c r="H16466" i="5"/>
  <c r="H16458" i="5"/>
  <c r="H16450" i="5"/>
  <c r="H16442" i="5"/>
  <c r="H16434" i="5"/>
  <c r="H16426" i="5"/>
  <c r="H16418" i="5"/>
  <c r="H16410" i="5"/>
  <c r="H16402" i="5"/>
  <c r="H16394" i="5"/>
  <c r="H16386" i="5"/>
  <c r="H16378" i="5"/>
  <c r="H16370" i="5"/>
  <c r="H16362" i="5"/>
  <c r="H16354" i="5"/>
  <c r="H16346" i="5"/>
  <c r="H16338" i="5"/>
  <c r="H16330" i="5"/>
  <c r="H16322" i="5"/>
  <c r="H16314" i="5"/>
  <c r="H16306" i="5"/>
  <c r="H16298" i="5"/>
  <c r="H16290" i="5"/>
  <c r="H16282" i="5"/>
  <c r="H16274" i="5"/>
  <c r="H16266" i="5"/>
  <c r="H16258" i="5"/>
  <c r="H16250" i="5"/>
  <c r="H16242" i="5"/>
  <c r="H16234" i="5"/>
  <c r="H16226" i="5"/>
  <c r="H16218" i="5"/>
  <c r="H16210" i="5"/>
  <c r="H16202" i="5"/>
  <c r="H16194" i="5"/>
  <c r="H16186" i="5"/>
  <c r="H16178" i="5"/>
  <c r="H16170" i="5"/>
  <c r="H16162" i="5"/>
  <c r="H16154" i="5"/>
  <c r="H16146" i="5"/>
  <c r="H16138" i="5"/>
  <c r="H16130" i="5"/>
  <c r="H16122" i="5"/>
  <c r="H16114" i="5"/>
  <c r="H16106" i="5"/>
  <c r="H16098" i="5"/>
  <c r="H16090" i="5"/>
  <c r="H16082" i="5"/>
  <c r="H16074" i="5"/>
  <c r="H16066" i="5"/>
  <c r="H16058" i="5"/>
  <c r="H16050" i="5"/>
  <c r="H16042" i="5"/>
  <c r="H16034" i="5"/>
  <c r="H16026" i="5"/>
  <c r="H16018" i="5"/>
  <c r="H16010" i="5"/>
  <c r="H16002" i="5"/>
  <c r="H15994" i="5"/>
  <c r="H15986" i="5"/>
  <c r="H15978" i="5"/>
  <c r="H15970" i="5"/>
  <c r="H15962" i="5"/>
  <c r="H15954" i="5"/>
  <c r="H15946" i="5"/>
  <c r="H15938" i="5"/>
  <c r="H15930" i="5"/>
  <c r="H15922" i="5"/>
  <c r="H15914" i="5"/>
  <c r="H15906" i="5"/>
  <c r="H15898" i="5"/>
  <c r="H15890" i="5"/>
  <c r="H15882" i="5"/>
  <c r="H15874" i="5"/>
  <c r="H15866" i="5"/>
  <c r="H15858" i="5"/>
  <c r="H15850" i="5"/>
  <c r="H15842" i="5"/>
  <c r="H15834" i="5"/>
  <c r="H15826" i="5"/>
  <c r="H15818" i="5"/>
  <c r="H15810" i="5"/>
  <c r="H15802" i="5"/>
  <c r="H15794" i="5"/>
  <c r="H15786" i="5"/>
  <c r="H15778" i="5"/>
  <c r="H15770" i="5"/>
  <c r="H15762" i="5"/>
  <c r="H15754" i="5"/>
  <c r="H15746" i="5"/>
  <c r="H15738" i="5"/>
  <c r="H15730" i="5"/>
  <c r="H15722" i="5"/>
  <c r="H15714" i="5"/>
  <c r="H15706" i="5"/>
  <c r="H15698" i="5"/>
  <c r="H15690" i="5"/>
  <c r="H15682" i="5"/>
  <c r="H15674" i="5"/>
  <c r="H15666" i="5"/>
  <c r="H15658" i="5"/>
  <c r="H15650" i="5"/>
  <c r="H15642" i="5"/>
  <c r="H15634" i="5"/>
  <c r="H15626" i="5"/>
  <c r="H15618" i="5"/>
  <c r="H15610" i="5"/>
  <c r="H15602" i="5"/>
  <c r="H15594" i="5"/>
  <c r="H15586" i="5"/>
  <c r="H15578" i="5"/>
  <c r="H15570" i="5"/>
  <c r="H15562" i="5"/>
  <c r="H15554" i="5"/>
  <c r="H15546" i="5"/>
  <c r="H15538" i="5"/>
  <c r="H15530" i="5"/>
  <c r="H15522" i="5"/>
  <c r="H15514" i="5"/>
  <c r="H15506" i="5"/>
  <c r="H15498" i="5"/>
  <c r="H15490" i="5"/>
  <c r="H15482" i="5"/>
  <c r="H15474" i="5"/>
  <c r="H15466" i="5"/>
  <c r="H15458" i="5"/>
  <c r="H15450" i="5"/>
  <c r="H15442" i="5"/>
  <c r="H15434" i="5"/>
  <c r="H15426" i="5"/>
  <c r="H15418" i="5"/>
  <c r="H15410" i="5"/>
  <c r="H15402" i="5"/>
  <c r="H15394" i="5"/>
  <c r="H15386" i="5"/>
  <c r="H15378" i="5"/>
  <c r="H15370" i="5"/>
  <c r="H15362" i="5"/>
  <c r="H15354" i="5"/>
  <c r="H15346" i="5"/>
  <c r="H15338" i="5"/>
  <c r="H15330" i="5"/>
  <c r="H15322" i="5"/>
  <c r="H15314" i="5"/>
  <c r="H15306" i="5"/>
  <c r="H15298" i="5"/>
  <c r="H15290" i="5"/>
  <c r="H15282" i="5"/>
  <c r="H15274" i="5"/>
  <c r="H15266" i="5"/>
  <c r="H15258" i="5"/>
  <c r="H15250" i="5"/>
  <c r="H15242" i="5"/>
  <c r="H15234" i="5"/>
  <c r="H15226" i="5"/>
  <c r="H15218" i="5"/>
  <c r="H15210" i="5"/>
  <c r="H15202" i="5"/>
  <c r="H15194" i="5"/>
  <c r="H15186" i="5"/>
  <c r="H15178" i="5"/>
  <c r="H15170" i="5"/>
  <c r="H15162" i="5"/>
  <c r="H15154" i="5"/>
  <c r="H15146" i="5"/>
  <c r="H15138" i="5"/>
  <c r="H15130" i="5"/>
  <c r="H15122" i="5"/>
  <c r="H15114" i="5"/>
  <c r="H15106" i="5"/>
  <c r="H15098" i="5"/>
  <c r="H15090" i="5"/>
  <c r="H15082" i="5"/>
  <c r="H15074" i="5"/>
  <c r="H15066" i="5"/>
  <c r="H15058" i="5"/>
  <c r="H15050" i="5"/>
  <c r="H15042" i="5"/>
  <c r="H15034" i="5"/>
  <c r="H15026" i="5"/>
  <c r="H15018" i="5"/>
  <c r="H15010" i="5"/>
  <c r="H15002" i="5"/>
  <c r="H14994" i="5"/>
  <c r="H14986" i="5"/>
  <c r="H14978" i="5"/>
  <c r="H14970" i="5"/>
  <c r="H14962" i="5"/>
  <c r="H14954" i="5"/>
  <c r="H14946" i="5"/>
  <c r="H14938" i="5"/>
  <c r="H14930" i="5"/>
  <c r="H14922" i="5"/>
  <c r="H14914" i="5"/>
  <c r="H14906" i="5"/>
  <c r="H14898" i="5"/>
  <c r="H14890" i="5"/>
  <c r="H14882" i="5"/>
  <c r="H14874" i="5"/>
  <c r="H14866" i="5"/>
  <c r="H14858" i="5"/>
  <c r="H14850" i="5"/>
  <c r="H14842" i="5"/>
  <c r="H14834" i="5"/>
  <c r="H14826" i="5"/>
  <c r="H14818" i="5"/>
  <c r="H14810" i="5"/>
  <c r="H14802" i="5"/>
  <c r="H14794" i="5"/>
  <c r="H14786" i="5"/>
  <c r="H14778" i="5"/>
  <c r="H14770" i="5"/>
  <c r="H14762" i="5"/>
  <c r="H14754" i="5"/>
  <c r="H14746" i="5"/>
  <c r="H14738" i="5"/>
  <c r="H14730" i="5"/>
  <c r="H14722" i="5"/>
  <c r="H14714" i="5"/>
  <c r="H14706" i="5"/>
  <c r="H14698" i="5"/>
  <c r="H14690" i="5"/>
  <c r="H14682" i="5"/>
  <c r="H14674" i="5"/>
  <c r="H14666" i="5"/>
  <c r="H14658" i="5"/>
  <c r="H14650" i="5"/>
  <c r="H14642" i="5"/>
  <c r="H14634" i="5"/>
  <c r="H14626" i="5"/>
  <c r="H14618" i="5"/>
  <c r="H14610" i="5"/>
  <c r="H14602" i="5"/>
  <c r="H14594" i="5"/>
  <c r="H14586" i="5"/>
  <c r="H14578" i="5"/>
  <c r="H14570" i="5"/>
  <c r="H14562" i="5"/>
  <c r="H14554" i="5"/>
  <c r="H14546" i="5"/>
  <c r="H14538" i="5"/>
  <c r="H14530" i="5"/>
  <c r="H14522" i="5"/>
  <c r="H14514" i="5"/>
  <c r="H14506" i="5"/>
  <c r="H14498" i="5"/>
  <c r="H14490" i="5"/>
  <c r="H14482" i="5"/>
  <c r="H14474" i="5"/>
  <c r="H14466" i="5"/>
  <c r="H14458" i="5"/>
  <c r="H14450" i="5"/>
  <c r="H14442" i="5"/>
  <c r="H14434" i="5"/>
  <c r="H14426" i="5"/>
  <c r="H14418" i="5"/>
  <c r="H14410" i="5"/>
  <c r="H14402" i="5"/>
  <c r="H14394" i="5"/>
  <c r="H14386" i="5"/>
  <c r="H14378" i="5"/>
  <c r="H14370" i="5"/>
  <c r="H14362" i="5"/>
  <c r="H14354" i="5"/>
  <c r="H14346" i="5"/>
  <c r="H14338" i="5"/>
  <c r="H14330" i="5"/>
  <c r="H14322" i="5"/>
  <c r="H14314" i="5"/>
  <c r="H14306" i="5"/>
  <c r="H14298" i="5"/>
  <c r="H14290" i="5"/>
  <c r="H14282" i="5"/>
  <c r="H14274" i="5"/>
  <c r="H14266" i="5"/>
  <c r="H14258" i="5"/>
  <c r="H14250" i="5"/>
  <c r="H14242" i="5"/>
  <c r="H14234" i="5"/>
  <c r="H14226" i="5"/>
  <c r="H14218" i="5"/>
  <c r="H14210" i="5"/>
  <c r="H14202" i="5"/>
  <c r="H14194" i="5"/>
  <c r="H14186" i="5"/>
  <c r="H14178" i="5"/>
  <c r="H14170" i="5"/>
  <c r="H14162" i="5"/>
  <c r="H14154" i="5"/>
  <c r="H14146" i="5"/>
  <c r="H14138" i="5"/>
  <c r="H14130" i="5"/>
  <c r="H14122" i="5"/>
  <c r="H14114" i="5"/>
  <c r="H14106" i="5"/>
  <c r="H14098" i="5"/>
  <c r="H14090" i="5"/>
  <c r="H14082" i="5"/>
  <c r="H14074" i="5"/>
  <c r="H14066" i="5"/>
  <c r="H14058" i="5"/>
  <c r="H14050" i="5"/>
  <c r="H14042" i="5"/>
  <c r="H14034" i="5"/>
  <c r="H14026" i="5"/>
  <c r="H14018" i="5"/>
  <c r="H14010" i="5"/>
  <c r="H14002" i="5"/>
  <c r="H13994" i="5"/>
  <c r="H13986" i="5"/>
  <c r="H13978" i="5"/>
  <c r="H13970" i="5"/>
  <c r="H13962" i="5"/>
  <c r="H13954" i="5"/>
  <c r="H13946" i="5"/>
  <c r="H13938" i="5"/>
  <c r="H13930" i="5"/>
  <c r="H13922" i="5"/>
  <c r="H13914" i="5"/>
  <c r="H13906" i="5"/>
  <c r="H13898" i="5"/>
  <c r="H13890" i="5"/>
  <c r="H13882" i="5"/>
  <c r="H13874" i="5"/>
  <c r="H13866" i="5"/>
  <c r="H13858" i="5"/>
  <c r="H13850" i="5"/>
  <c r="H13842" i="5"/>
  <c r="H13834" i="5"/>
  <c r="H13826" i="5"/>
  <c r="H13818" i="5"/>
  <c r="H13810" i="5"/>
  <c r="H13802" i="5"/>
  <c r="H13794" i="5"/>
  <c r="H13786" i="5"/>
  <c r="H13778" i="5"/>
  <c r="H13770" i="5"/>
  <c r="H13762" i="5"/>
  <c r="H13754" i="5"/>
  <c r="H13746" i="5"/>
  <c r="H13738" i="5"/>
  <c r="H13730" i="5"/>
  <c r="H13722" i="5"/>
  <c r="H13714" i="5"/>
  <c r="H13706" i="5"/>
  <c r="H13698" i="5"/>
  <c r="H13690" i="5"/>
  <c r="H13682" i="5"/>
  <c r="H13674" i="5"/>
  <c r="H13666" i="5"/>
  <c r="H13658" i="5"/>
  <c r="H13650" i="5"/>
  <c r="H13642" i="5"/>
  <c r="H13634" i="5"/>
  <c r="H13626" i="5"/>
  <c r="H13618" i="5"/>
  <c r="H13610" i="5"/>
  <c r="H13602" i="5"/>
  <c r="H13594" i="5"/>
  <c r="H13586" i="5"/>
  <c r="H13578" i="5"/>
  <c r="H13570" i="5"/>
  <c r="H13562" i="5"/>
  <c r="H13554" i="5"/>
  <c r="H13546" i="5"/>
  <c r="H13538" i="5"/>
  <c r="H13530" i="5"/>
  <c r="H13522" i="5"/>
  <c r="H13514" i="5"/>
  <c r="H13506" i="5"/>
  <c r="H13498" i="5"/>
  <c r="H13490" i="5"/>
  <c r="H13482" i="5"/>
  <c r="H13474" i="5"/>
  <c r="H13466" i="5"/>
  <c r="H13458" i="5"/>
  <c r="H13450" i="5"/>
  <c r="H13442" i="5"/>
  <c r="H13434" i="5"/>
  <c r="H13426" i="5"/>
  <c r="H13418" i="5"/>
  <c r="H13410" i="5"/>
  <c r="H13402" i="5"/>
  <c r="H13394" i="5"/>
  <c r="H13386" i="5"/>
  <c r="H13378" i="5"/>
  <c r="H13370" i="5"/>
  <c r="H13362" i="5"/>
  <c r="H13354" i="5"/>
  <c r="H13346" i="5"/>
  <c r="H13338" i="5"/>
  <c r="H13330" i="5"/>
  <c r="H13322" i="5"/>
  <c r="H13314" i="5"/>
  <c r="H13306" i="5"/>
  <c r="H13298" i="5"/>
  <c r="H13290" i="5"/>
  <c r="H13282" i="5"/>
  <c r="H13274" i="5"/>
  <c r="H13266" i="5"/>
  <c r="H13258" i="5"/>
  <c r="H13250" i="5"/>
  <c r="H13242" i="5"/>
  <c r="H13234" i="5"/>
  <c r="H13226" i="5"/>
  <c r="H13218" i="5"/>
  <c r="H13210" i="5"/>
  <c r="H13202" i="5"/>
  <c r="H13194" i="5"/>
  <c r="H13186" i="5"/>
  <c r="H13178" i="5"/>
  <c r="H13170" i="5"/>
  <c r="H13162" i="5"/>
  <c r="H13154" i="5"/>
  <c r="H13146" i="5"/>
  <c r="H13138" i="5"/>
  <c r="H13130" i="5"/>
  <c r="H13122" i="5"/>
  <c r="H13114" i="5"/>
  <c r="H13106" i="5"/>
  <c r="H13098" i="5"/>
  <c r="H13090" i="5"/>
  <c r="H13082" i="5"/>
  <c r="H13074" i="5"/>
  <c r="H13066" i="5"/>
  <c r="H13058" i="5"/>
  <c r="H13050" i="5"/>
  <c r="H13042" i="5"/>
  <c r="H13034" i="5"/>
  <c r="H13026" i="5"/>
  <c r="H13018" i="5"/>
  <c r="H13010" i="5"/>
  <c r="H13002" i="5"/>
  <c r="H12994" i="5"/>
  <c r="H12986" i="5"/>
  <c r="H12978" i="5"/>
  <c r="H12970" i="5"/>
  <c r="H12962" i="5"/>
  <c r="H12954" i="5"/>
  <c r="H12946" i="5"/>
  <c r="H12938" i="5"/>
  <c r="H12930" i="5"/>
  <c r="H12922" i="5"/>
  <c r="H12914" i="5"/>
  <c r="H12906" i="5"/>
  <c r="H12898" i="5"/>
  <c r="H12890" i="5"/>
  <c r="H12882" i="5"/>
  <c r="H12874" i="5"/>
  <c r="H12866" i="5"/>
  <c r="H12858" i="5"/>
  <c r="H12850" i="5"/>
  <c r="H12842" i="5"/>
  <c r="H12834" i="5"/>
  <c r="H12826" i="5"/>
  <c r="H12818" i="5"/>
  <c r="H12810" i="5"/>
  <c r="H12802" i="5"/>
  <c r="H12794" i="5"/>
  <c r="H12786" i="5"/>
  <c r="H12778" i="5"/>
  <c r="H12770" i="5"/>
  <c r="H12762" i="5"/>
  <c r="H12754" i="5"/>
  <c r="H12746" i="5"/>
  <c r="H12738" i="5"/>
  <c r="H12730" i="5"/>
  <c r="H12722" i="5"/>
  <c r="H12714" i="5"/>
  <c r="H12706" i="5"/>
  <c r="H12698" i="5"/>
  <c r="H12690" i="5"/>
  <c r="H12682" i="5"/>
  <c r="H12674" i="5"/>
  <c r="H12666" i="5"/>
  <c r="H12658" i="5"/>
  <c r="H12650" i="5"/>
  <c r="H12642" i="5"/>
  <c r="H12634" i="5"/>
  <c r="H12626" i="5"/>
  <c r="H12618" i="5"/>
  <c r="H12610" i="5"/>
  <c r="H12602" i="5"/>
  <c r="H12594" i="5"/>
  <c r="H12586" i="5"/>
  <c r="H12578" i="5"/>
  <c r="H12570" i="5"/>
  <c r="H12562" i="5"/>
  <c r="H12554" i="5"/>
  <c r="H12546" i="5"/>
  <c r="H12538" i="5"/>
  <c r="H12530" i="5"/>
  <c r="H12522" i="5"/>
  <c r="H12514" i="5"/>
  <c r="H12506" i="5"/>
  <c r="H12498" i="5"/>
  <c r="H12490" i="5"/>
  <c r="H12482" i="5"/>
  <c r="H12474" i="5"/>
  <c r="H12466" i="5"/>
  <c r="H12458" i="5"/>
  <c r="H12450" i="5"/>
  <c r="H12442" i="5"/>
  <c r="H12434" i="5"/>
  <c r="H12426" i="5"/>
  <c r="H12418" i="5"/>
  <c r="H12410" i="5"/>
  <c r="H12402" i="5"/>
  <c r="H12394" i="5"/>
  <c r="H12386" i="5"/>
  <c r="H12378" i="5"/>
  <c r="H12370" i="5"/>
  <c r="H12362" i="5"/>
  <c r="H12354" i="5"/>
  <c r="H12346" i="5"/>
  <c r="H12338" i="5"/>
  <c r="H12330" i="5"/>
  <c r="H12322" i="5"/>
  <c r="H12314" i="5"/>
  <c r="H12306" i="5"/>
  <c r="H12298" i="5"/>
  <c r="H12290" i="5"/>
  <c r="H12282" i="5"/>
  <c r="H12274" i="5"/>
  <c r="H12266" i="5"/>
  <c r="H12258" i="5"/>
  <c r="H12250" i="5"/>
  <c r="H12242" i="5"/>
  <c r="H12234" i="5"/>
  <c r="H12226" i="5"/>
  <c r="H12218" i="5"/>
  <c r="H12210" i="5"/>
  <c r="H12202" i="5"/>
  <c r="H12194" i="5"/>
  <c r="H12186" i="5"/>
  <c r="H12178" i="5"/>
  <c r="H12170" i="5"/>
  <c r="H12162" i="5"/>
  <c r="H12154" i="5"/>
  <c r="H12146" i="5"/>
  <c r="H12138" i="5"/>
  <c r="H12130" i="5"/>
  <c r="H12122" i="5"/>
  <c r="H12114" i="5"/>
  <c r="H12106" i="5"/>
  <c r="H12098" i="5"/>
  <c r="H12090" i="5"/>
  <c r="H12082" i="5"/>
  <c r="H12074" i="5"/>
  <c r="H12066" i="5"/>
  <c r="H12058" i="5"/>
  <c r="H12050" i="5"/>
  <c r="H12042" i="5"/>
  <c r="H12034" i="5"/>
  <c r="H12026" i="5"/>
  <c r="H12018" i="5"/>
  <c r="H12010" i="5"/>
  <c r="H12002" i="5"/>
  <c r="H11994" i="5"/>
  <c r="H11986" i="5"/>
  <c r="H11978" i="5"/>
  <c r="H11970" i="5"/>
  <c r="H11962" i="5"/>
  <c r="H11954" i="5"/>
  <c r="H11946" i="5"/>
  <c r="H11938" i="5"/>
  <c r="H11930" i="5"/>
  <c r="H11922" i="5"/>
  <c r="H11914" i="5"/>
  <c r="H11906" i="5"/>
  <c r="H11898" i="5"/>
  <c r="H11890" i="5"/>
  <c r="H11882" i="5"/>
  <c r="H11874" i="5"/>
  <c r="H11866" i="5"/>
  <c r="H11858" i="5"/>
  <c r="H11850" i="5"/>
  <c r="H11842" i="5"/>
  <c r="H11834" i="5"/>
  <c r="H11826" i="5"/>
  <c r="H11818" i="5"/>
  <c r="H11810" i="5"/>
  <c r="H11802" i="5"/>
  <c r="H11794" i="5"/>
  <c r="H11786" i="5"/>
  <c r="H11778" i="5"/>
  <c r="H11770" i="5"/>
  <c r="H11762" i="5"/>
  <c r="H11754" i="5"/>
  <c r="H11746" i="5"/>
  <c r="H11738" i="5"/>
  <c r="H11730" i="5"/>
  <c r="H11722" i="5"/>
  <c r="H11714" i="5"/>
  <c r="H11706" i="5"/>
  <c r="H11698" i="5"/>
  <c r="H11690" i="5"/>
  <c r="H11682" i="5"/>
  <c r="H11674" i="5"/>
  <c r="H11666" i="5"/>
  <c r="H11658" i="5"/>
  <c r="H11650" i="5"/>
  <c r="H11642" i="5"/>
  <c r="H11634" i="5"/>
  <c r="H11626" i="5"/>
  <c r="H11618" i="5"/>
  <c r="H11610" i="5"/>
  <c r="H11602" i="5"/>
  <c r="H11594" i="5"/>
  <c r="H11586" i="5"/>
  <c r="H11578" i="5"/>
  <c r="H11570" i="5"/>
  <c r="H11562" i="5"/>
  <c r="H11554" i="5"/>
  <c r="H11546" i="5"/>
  <c r="H11538" i="5"/>
  <c r="H11530" i="5"/>
  <c r="H11522" i="5"/>
  <c r="H11514" i="5"/>
  <c r="H11506" i="5"/>
  <c r="H11498" i="5"/>
  <c r="H11490" i="5"/>
  <c r="H11482" i="5"/>
  <c r="H11474" i="5"/>
  <c r="H11466" i="5"/>
  <c r="H11458" i="5"/>
  <c r="H11450" i="5"/>
  <c r="H11442" i="5"/>
  <c r="H11434" i="5"/>
  <c r="H11426" i="5"/>
  <c r="H11418" i="5"/>
  <c r="H11410" i="5"/>
  <c r="H11402" i="5"/>
  <c r="H11394" i="5"/>
  <c r="H11386" i="5"/>
  <c r="H11378" i="5"/>
  <c r="H11370" i="5"/>
  <c r="H11362" i="5"/>
  <c r="H11354" i="5"/>
  <c r="H11346" i="5"/>
  <c r="H11338" i="5"/>
  <c r="H11330" i="5"/>
  <c r="H11322" i="5"/>
  <c r="H11314" i="5"/>
  <c r="H11306" i="5"/>
  <c r="H11298" i="5"/>
  <c r="H11290" i="5"/>
  <c r="H11282" i="5"/>
  <c r="H11274" i="5"/>
  <c r="H11266" i="5"/>
  <c r="H11258" i="5"/>
  <c r="H11250" i="5"/>
  <c r="H11242" i="5"/>
  <c r="H11234" i="5"/>
  <c r="H11226" i="5"/>
  <c r="H11218" i="5"/>
  <c r="H11210" i="5"/>
  <c r="H11202" i="5"/>
  <c r="H11194" i="5"/>
  <c r="H11186" i="5"/>
  <c r="H11178" i="5"/>
  <c r="H11170" i="5"/>
  <c r="H11162" i="5"/>
  <c r="H11154" i="5"/>
  <c r="H11146" i="5"/>
  <c r="H11138" i="5"/>
  <c r="H11130" i="5"/>
  <c r="H11122" i="5"/>
  <c r="H11114" i="5"/>
  <c r="H11106" i="5"/>
  <c r="H11098" i="5"/>
  <c r="H11090" i="5"/>
  <c r="H11082" i="5"/>
  <c r="H11074" i="5"/>
  <c r="H11066" i="5"/>
  <c r="H11058" i="5"/>
  <c r="H11050" i="5"/>
  <c r="H11042" i="5"/>
  <c r="H11034" i="5"/>
  <c r="H11026" i="5"/>
  <c r="H11018" i="5"/>
  <c r="H11010" i="5"/>
  <c r="H11002" i="5"/>
  <c r="H10994" i="5"/>
  <c r="H10986" i="5"/>
  <c r="H10978" i="5"/>
  <c r="H10970" i="5"/>
  <c r="H10962" i="5"/>
  <c r="H10954" i="5"/>
  <c r="H10946" i="5"/>
  <c r="H10938" i="5"/>
  <c r="H10930" i="5"/>
  <c r="H10922" i="5"/>
  <c r="H10914" i="5"/>
  <c r="H10906" i="5"/>
  <c r="H10898" i="5"/>
  <c r="H10890" i="5"/>
  <c r="H10882" i="5"/>
  <c r="H10874" i="5"/>
  <c r="H10866" i="5"/>
  <c r="H10858" i="5"/>
  <c r="H10850" i="5"/>
  <c r="H10842" i="5"/>
  <c r="H10834" i="5"/>
  <c r="H10826" i="5"/>
  <c r="H10818" i="5"/>
  <c r="H10810" i="5"/>
  <c r="H10802" i="5"/>
  <c r="H10794" i="5"/>
  <c r="H10786" i="5"/>
  <c r="H10778" i="5"/>
  <c r="H10770" i="5"/>
  <c r="H10762" i="5"/>
  <c r="H10754" i="5"/>
  <c r="H10746" i="5"/>
  <c r="H10738" i="5"/>
  <c r="H10730" i="5"/>
  <c r="H10722" i="5"/>
  <c r="H10714" i="5"/>
  <c r="H10706" i="5"/>
  <c r="H10698" i="5"/>
  <c r="H10690" i="5"/>
  <c r="H10682" i="5"/>
  <c r="H10674" i="5"/>
  <c r="H10666" i="5"/>
  <c r="H10658" i="5"/>
  <c r="H10650" i="5"/>
  <c r="H10642" i="5"/>
  <c r="H10634" i="5"/>
  <c r="H10626" i="5"/>
  <c r="H10618" i="5"/>
  <c r="H10610" i="5"/>
  <c r="H10602" i="5"/>
  <c r="H10594" i="5"/>
  <c r="H10586" i="5"/>
  <c r="H10578" i="5"/>
  <c r="H10570" i="5"/>
  <c r="H10562" i="5"/>
  <c r="H10554" i="5"/>
  <c r="H10546" i="5"/>
  <c r="H10538" i="5"/>
  <c r="H10530" i="5"/>
  <c r="H10522" i="5"/>
  <c r="H10514" i="5"/>
  <c r="H10506" i="5"/>
  <c r="H10498" i="5"/>
  <c r="H10490" i="5"/>
  <c r="H10482" i="5"/>
  <c r="H10474" i="5"/>
  <c r="H10466" i="5"/>
  <c r="H10458" i="5"/>
  <c r="H10450" i="5"/>
  <c r="H10442" i="5"/>
  <c r="H10434" i="5"/>
  <c r="H10426" i="5"/>
  <c r="H10418" i="5"/>
  <c r="H10410" i="5"/>
  <c r="H10402" i="5"/>
  <c r="H10394" i="5"/>
  <c r="H10386" i="5"/>
  <c r="H10378" i="5"/>
  <c r="H10370" i="5"/>
  <c r="H10362" i="5"/>
  <c r="H10354" i="5"/>
  <c r="H10346" i="5"/>
  <c r="H10338" i="5"/>
  <c r="H10330" i="5"/>
  <c r="H10322" i="5"/>
  <c r="H10314" i="5"/>
  <c r="H10306" i="5"/>
  <c r="H10298" i="5"/>
  <c r="H10290" i="5"/>
  <c r="H10282" i="5"/>
  <c r="H10274" i="5"/>
  <c r="H10266" i="5"/>
  <c r="H10258" i="5"/>
  <c r="H10250" i="5"/>
  <c r="H10242" i="5"/>
  <c r="H10234" i="5"/>
  <c r="H10226" i="5"/>
  <c r="H10218" i="5"/>
  <c r="H10210" i="5"/>
  <c r="H10202" i="5"/>
  <c r="H10194" i="5"/>
  <c r="H10186" i="5"/>
  <c r="H10178" i="5"/>
  <c r="H10170" i="5"/>
  <c r="H10162" i="5"/>
  <c r="H10154" i="5"/>
  <c r="H10146" i="5"/>
  <c r="H10138" i="5"/>
  <c r="H10130" i="5"/>
  <c r="H10122" i="5"/>
  <c r="H10114" i="5"/>
  <c r="H10106" i="5"/>
  <c r="H10098" i="5"/>
  <c r="H10090" i="5"/>
  <c r="H10082" i="5"/>
  <c r="H10074" i="5"/>
  <c r="H10066" i="5"/>
  <c r="H10058" i="5"/>
  <c r="H10050" i="5"/>
  <c r="H10042" i="5"/>
  <c r="H10034" i="5"/>
  <c r="H10026" i="5"/>
  <c r="H10018" i="5"/>
  <c r="H10010" i="5"/>
  <c r="H10002" i="5"/>
  <c r="H9994" i="5"/>
  <c r="H9986" i="5"/>
  <c r="H9978" i="5"/>
  <c r="H9970" i="5"/>
  <c r="H9962" i="5"/>
  <c r="H9954" i="5"/>
  <c r="H9946" i="5"/>
  <c r="H9938" i="5"/>
  <c r="H9930" i="5"/>
  <c r="H9922" i="5"/>
  <c r="H9914" i="5"/>
  <c r="H9906" i="5"/>
  <c r="H9898" i="5"/>
  <c r="H9890" i="5"/>
  <c r="H9882" i="5"/>
  <c r="H9874" i="5"/>
  <c r="H9866" i="5"/>
  <c r="H9858" i="5"/>
  <c r="H9850" i="5"/>
  <c r="H9842" i="5"/>
  <c r="H9834" i="5"/>
  <c r="H9826" i="5"/>
  <c r="H9818" i="5"/>
  <c r="H9810" i="5"/>
  <c r="H9802" i="5"/>
  <c r="H9794" i="5"/>
  <c r="H9786" i="5"/>
  <c r="H9778" i="5"/>
  <c r="H9770" i="5"/>
  <c r="H9762" i="5"/>
  <c r="H9754" i="5"/>
  <c r="H9746" i="5"/>
  <c r="H9738" i="5"/>
  <c r="H9730" i="5"/>
  <c r="H9722" i="5"/>
  <c r="H9714" i="5"/>
  <c r="H9706" i="5"/>
  <c r="H9698" i="5"/>
  <c r="H9690" i="5"/>
  <c r="H9682" i="5"/>
  <c r="H9674" i="5"/>
  <c r="H9666" i="5"/>
  <c r="H9658" i="5"/>
  <c r="H9650" i="5"/>
  <c r="H9642" i="5"/>
  <c r="H9634" i="5"/>
  <c r="H9626" i="5"/>
  <c r="H9618" i="5"/>
  <c r="H9610" i="5"/>
  <c r="H9602" i="5"/>
  <c r="H9594" i="5"/>
  <c r="H9586" i="5"/>
  <c r="H9578" i="5"/>
  <c r="H9570" i="5"/>
  <c r="H9562" i="5"/>
  <c r="H9554" i="5"/>
  <c r="H9546" i="5"/>
  <c r="H9538" i="5"/>
  <c r="H9530" i="5"/>
  <c r="H9522" i="5"/>
  <c r="H9514" i="5"/>
  <c r="H9506" i="5"/>
  <c r="H9498" i="5"/>
  <c r="H9490" i="5"/>
  <c r="H9482" i="5"/>
  <c r="H9474" i="5"/>
  <c r="H9466" i="5"/>
  <c r="H9458" i="5"/>
  <c r="H9450" i="5"/>
  <c r="H9442" i="5"/>
  <c r="H9434" i="5"/>
  <c r="H9426" i="5"/>
  <c r="H9418" i="5"/>
  <c r="H9410" i="5"/>
  <c r="H9402" i="5"/>
  <c r="H9394" i="5"/>
  <c r="H9386" i="5"/>
  <c r="H9378" i="5"/>
  <c r="H9370" i="5"/>
  <c r="H9362" i="5"/>
  <c r="H9354" i="5"/>
  <c r="H9346" i="5"/>
  <c r="H9338" i="5"/>
  <c r="H9330" i="5"/>
  <c r="H9322" i="5"/>
  <c r="H9314" i="5"/>
  <c r="H9306" i="5"/>
  <c r="H9298" i="5"/>
  <c r="H9290" i="5"/>
  <c r="H9282" i="5"/>
  <c r="H9274" i="5"/>
  <c r="H9266" i="5"/>
  <c r="H9258" i="5"/>
  <c r="H9250" i="5"/>
  <c r="H9242" i="5"/>
  <c r="H9234" i="5"/>
  <c r="H9226" i="5"/>
  <c r="H9218" i="5"/>
  <c r="H9210" i="5"/>
  <c r="H9202" i="5"/>
  <c r="H9194" i="5"/>
  <c r="H9186" i="5"/>
  <c r="H9178" i="5"/>
  <c r="H9170" i="5"/>
  <c r="H9162" i="5"/>
  <c r="H9154" i="5"/>
  <c r="H9146" i="5"/>
  <c r="H9138" i="5"/>
  <c r="H9130" i="5"/>
  <c r="H9122" i="5"/>
  <c r="H9114" i="5"/>
  <c r="H9106" i="5"/>
  <c r="H9098" i="5"/>
  <c r="H9090" i="5"/>
  <c r="H9082" i="5"/>
  <c r="H9074" i="5"/>
  <c r="H9066" i="5"/>
  <c r="H9058" i="5"/>
  <c r="H9050" i="5"/>
  <c r="H9042" i="5"/>
  <c r="H9034" i="5"/>
  <c r="H9026" i="5"/>
  <c r="H9018" i="5"/>
  <c r="H9010" i="5"/>
  <c r="H9002" i="5"/>
  <c r="H8994" i="5"/>
  <c r="H8986" i="5"/>
  <c r="H8978" i="5"/>
  <c r="H8970" i="5"/>
  <c r="H8962" i="5"/>
  <c r="H8954" i="5"/>
  <c r="H8946" i="5"/>
  <c r="H8938" i="5"/>
  <c r="H8930" i="5"/>
  <c r="H8922" i="5"/>
  <c r="H8914" i="5"/>
  <c r="H8906" i="5"/>
  <c r="H8898" i="5"/>
  <c r="H8890" i="5"/>
  <c r="H8882" i="5"/>
  <c r="H8874" i="5"/>
  <c r="H8866" i="5"/>
  <c r="H8858" i="5"/>
  <c r="H8850" i="5"/>
  <c r="H8842" i="5"/>
  <c r="H8834" i="5"/>
  <c r="H8826" i="5"/>
  <c r="H8818" i="5"/>
  <c r="H8810" i="5"/>
  <c r="H8802" i="5"/>
  <c r="H8794" i="5"/>
  <c r="H8786" i="5"/>
  <c r="H8778" i="5"/>
  <c r="H8770" i="5"/>
  <c r="H8762" i="5"/>
  <c r="H8754" i="5"/>
  <c r="H8746" i="5"/>
  <c r="H8738" i="5"/>
  <c r="H8730" i="5"/>
  <c r="H8722" i="5"/>
  <c r="H8714" i="5"/>
  <c r="H8706" i="5"/>
  <c r="H8698" i="5"/>
  <c r="H8690" i="5"/>
  <c r="H8682" i="5"/>
  <c r="H8674" i="5"/>
  <c r="H8666" i="5"/>
  <c r="H8658" i="5"/>
  <c r="H8650" i="5"/>
  <c r="H8642" i="5"/>
  <c r="H8634" i="5"/>
  <c r="H8626" i="5"/>
  <c r="H8618" i="5"/>
  <c r="H8610" i="5"/>
  <c r="H8602" i="5"/>
  <c r="H8594" i="5"/>
  <c r="H8586" i="5"/>
  <c r="H8578" i="5"/>
  <c r="H8570" i="5"/>
  <c r="H8562" i="5"/>
  <c r="H8554" i="5"/>
  <c r="H8546" i="5"/>
  <c r="H8538" i="5"/>
  <c r="H8530" i="5"/>
  <c r="H8522" i="5"/>
  <c r="H8514" i="5"/>
  <c r="H8506" i="5"/>
  <c r="H8498" i="5"/>
  <c r="H8490" i="5"/>
  <c r="H8482" i="5"/>
  <c r="H8474" i="5"/>
  <c r="H8466" i="5"/>
  <c r="H8458" i="5"/>
  <c r="H8450" i="5"/>
  <c r="H8442" i="5"/>
  <c r="H8434" i="5"/>
  <c r="H8426" i="5"/>
  <c r="H8418" i="5"/>
  <c r="H8410" i="5"/>
  <c r="H8402" i="5"/>
  <c r="H8394" i="5"/>
  <c r="H8386" i="5"/>
  <c r="H8378" i="5"/>
  <c r="H8370" i="5"/>
  <c r="H8362" i="5"/>
  <c r="H8354" i="5"/>
  <c r="H8346" i="5"/>
  <c r="H8338" i="5"/>
  <c r="H8330" i="5"/>
  <c r="H8322" i="5"/>
  <c r="H8314" i="5"/>
  <c r="H8306" i="5"/>
  <c r="H8298" i="5"/>
  <c r="H8290" i="5"/>
  <c r="H8282" i="5"/>
  <c r="H8274" i="5"/>
  <c r="H8266" i="5"/>
  <c r="H8258" i="5"/>
  <c r="H8250" i="5"/>
  <c r="H8242" i="5"/>
  <c r="H8234" i="5"/>
  <c r="H8226" i="5"/>
  <c r="H8218" i="5"/>
  <c r="H8210" i="5"/>
  <c r="H8202" i="5"/>
  <c r="H8194" i="5"/>
  <c r="H8186" i="5"/>
  <c r="H8178" i="5"/>
  <c r="H8170" i="5"/>
  <c r="H8162" i="5"/>
  <c r="H8154" i="5"/>
  <c r="H8146" i="5"/>
  <c r="H8138" i="5"/>
  <c r="H8130" i="5"/>
  <c r="H8122" i="5"/>
  <c r="H8114" i="5"/>
  <c r="H8106" i="5"/>
  <c r="H8098" i="5"/>
  <c r="H8090" i="5"/>
  <c r="H8082" i="5"/>
  <c r="H8074" i="5"/>
  <c r="H8066" i="5"/>
  <c r="H8058" i="5"/>
  <c r="H8050" i="5"/>
  <c r="H8042" i="5"/>
  <c r="H8034" i="5"/>
  <c r="H8026" i="5"/>
  <c r="H8018" i="5"/>
  <c r="H8010" i="5"/>
  <c r="H8002" i="5"/>
  <c r="H7994" i="5"/>
  <c r="H7986" i="5"/>
  <c r="H7978" i="5"/>
  <c r="H7970" i="5"/>
  <c r="H7962" i="5"/>
  <c r="H7954" i="5"/>
  <c r="H7946" i="5"/>
  <c r="H7938" i="5"/>
  <c r="H7930" i="5"/>
  <c r="H7922" i="5"/>
  <c r="H7914" i="5"/>
  <c r="H7906" i="5"/>
  <c r="H7898" i="5"/>
  <c r="H7890" i="5"/>
  <c r="H7882" i="5"/>
  <c r="H7874" i="5"/>
  <c r="H7866" i="5"/>
  <c r="H7858" i="5"/>
  <c r="H7850" i="5"/>
  <c r="H7842" i="5"/>
  <c r="H7834" i="5"/>
  <c r="H7826" i="5"/>
  <c r="H7818" i="5"/>
  <c r="H7810" i="5"/>
  <c r="H7802" i="5"/>
  <c r="H7794" i="5"/>
  <c r="H7786" i="5"/>
  <c r="H7778" i="5"/>
  <c r="H7770" i="5"/>
  <c r="H7762" i="5"/>
  <c r="H7754" i="5"/>
  <c r="H7746" i="5"/>
  <c r="H7738" i="5"/>
  <c r="H7730" i="5"/>
  <c r="H7722" i="5"/>
  <c r="H7714" i="5"/>
  <c r="H7706" i="5"/>
  <c r="H7698" i="5"/>
  <c r="H7690" i="5"/>
  <c r="H7682" i="5"/>
  <c r="H7674" i="5"/>
  <c r="H7666" i="5"/>
  <c r="H7658" i="5"/>
  <c r="H7650" i="5"/>
  <c r="H7642" i="5"/>
  <c r="H7634" i="5"/>
  <c r="H7626" i="5"/>
  <c r="H7618" i="5"/>
  <c r="H7610" i="5"/>
  <c r="H7602" i="5"/>
  <c r="H7594" i="5"/>
  <c r="H7586" i="5"/>
  <c r="H7578" i="5"/>
  <c r="H7570" i="5"/>
  <c r="H7562" i="5"/>
  <c r="H7554" i="5"/>
  <c r="H7546" i="5"/>
  <c r="H7538" i="5"/>
  <c r="H7530" i="5"/>
  <c r="H7522" i="5"/>
  <c r="H7514" i="5"/>
  <c r="H7506" i="5"/>
  <c r="H7498" i="5"/>
  <c r="H7490" i="5"/>
  <c r="H7482" i="5"/>
  <c r="H7474" i="5"/>
  <c r="H7466" i="5"/>
  <c r="H7458" i="5"/>
  <c r="H7450" i="5"/>
  <c r="H7442" i="5"/>
  <c r="H7434" i="5"/>
  <c r="H7426" i="5"/>
  <c r="H7418" i="5"/>
  <c r="H7410" i="5"/>
  <c r="H7402" i="5"/>
  <c r="H7394" i="5"/>
  <c r="H7386" i="5"/>
  <c r="H7378" i="5"/>
  <c r="H7370" i="5"/>
  <c r="H7362" i="5"/>
  <c r="H7354" i="5"/>
  <c r="H7346" i="5"/>
  <c r="H7338" i="5"/>
  <c r="H7330" i="5"/>
  <c r="H7322" i="5"/>
  <c r="H7314" i="5"/>
  <c r="H7306" i="5"/>
  <c r="H7298" i="5"/>
  <c r="H7290" i="5"/>
  <c r="H7282" i="5"/>
  <c r="H7274" i="5"/>
  <c r="H7266" i="5"/>
  <c r="H7258" i="5"/>
  <c r="H7250" i="5"/>
  <c r="H7242" i="5"/>
  <c r="H7234" i="5"/>
  <c r="H7226" i="5"/>
  <c r="H7218" i="5"/>
  <c r="H7210" i="5"/>
  <c r="H7202" i="5"/>
  <c r="H7194" i="5"/>
  <c r="H7186" i="5"/>
  <c r="H7178" i="5"/>
  <c r="H7170" i="5"/>
  <c r="H7162" i="5"/>
  <c r="H7154" i="5"/>
  <c r="H7146" i="5"/>
  <c r="H7138" i="5"/>
  <c r="H7130" i="5"/>
  <c r="H7122" i="5"/>
  <c r="H7114" i="5"/>
  <c r="H7106" i="5"/>
  <c r="H7098" i="5"/>
  <c r="H7090" i="5"/>
  <c r="H7082" i="5"/>
  <c r="H7074" i="5"/>
  <c r="H7066" i="5"/>
  <c r="H7058" i="5"/>
  <c r="H7050" i="5"/>
  <c r="H7042" i="5"/>
  <c r="H7034" i="5"/>
  <c r="H7026" i="5"/>
  <c r="H7018" i="5"/>
  <c r="H7010" i="5"/>
  <c r="H7002" i="5"/>
  <c r="H6994" i="5"/>
  <c r="H6986" i="5"/>
  <c r="H6978" i="5"/>
  <c r="H6970" i="5"/>
  <c r="H6962" i="5"/>
  <c r="H6954" i="5"/>
  <c r="H6946" i="5"/>
  <c r="H6938" i="5"/>
  <c r="H6930" i="5"/>
  <c r="H6922" i="5"/>
  <c r="H6914" i="5"/>
  <c r="H6906" i="5"/>
  <c r="H6898" i="5"/>
  <c r="H6890" i="5"/>
  <c r="H6882" i="5"/>
  <c r="H6874" i="5"/>
  <c r="H6866" i="5"/>
  <c r="H6858" i="5"/>
  <c r="H6850" i="5"/>
  <c r="H6842" i="5"/>
  <c r="H6834" i="5"/>
  <c r="H6826" i="5"/>
  <c r="H6818" i="5"/>
  <c r="H6810" i="5"/>
  <c r="H6802" i="5"/>
  <c r="H6794" i="5"/>
  <c r="H6786" i="5"/>
  <c r="H6778" i="5"/>
  <c r="H6770" i="5"/>
  <c r="H6762" i="5"/>
  <c r="H6754" i="5"/>
  <c r="H6746" i="5"/>
  <c r="H6738" i="5"/>
  <c r="H6730" i="5"/>
  <c r="H6722" i="5"/>
  <c r="H6714" i="5"/>
  <c r="H6706" i="5"/>
  <c r="H6698" i="5"/>
  <c r="H6690" i="5"/>
  <c r="H6682" i="5"/>
  <c r="H6674" i="5"/>
  <c r="H6666" i="5"/>
  <c r="H6658" i="5"/>
  <c r="H6650" i="5"/>
  <c r="H6642" i="5"/>
  <c r="H6634" i="5"/>
  <c r="H6626" i="5"/>
  <c r="H6618" i="5"/>
  <c r="H6610" i="5"/>
  <c r="H6602" i="5"/>
  <c r="H6594" i="5"/>
  <c r="H6586" i="5"/>
  <c r="H6578" i="5"/>
  <c r="H6570" i="5"/>
  <c r="H6562" i="5"/>
  <c r="H6554" i="5"/>
  <c r="H6546" i="5"/>
  <c r="H6538" i="5"/>
  <c r="H6530" i="5"/>
  <c r="H6522" i="5"/>
  <c r="H6514" i="5"/>
  <c r="H6506" i="5"/>
  <c r="H6498" i="5"/>
  <c r="H6490" i="5"/>
  <c r="H6482" i="5"/>
  <c r="H6474" i="5"/>
  <c r="H6466" i="5"/>
  <c r="H6458" i="5"/>
  <c r="H6450" i="5"/>
  <c r="H6442" i="5"/>
  <c r="H6434" i="5"/>
  <c r="H6426" i="5"/>
  <c r="H6418" i="5"/>
  <c r="H6410" i="5"/>
  <c r="H6402" i="5"/>
  <c r="H6394" i="5"/>
  <c r="H6386" i="5"/>
  <c r="H6378" i="5"/>
  <c r="H6370" i="5"/>
  <c r="H6362" i="5"/>
  <c r="H6354" i="5"/>
  <c r="H6346" i="5"/>
  <c r="H6338" i="5"/>
  <c r="H6330" i="5"/>
  <c r="H6322" i="5"/>
  <c r="H6314" i="5"/>
  <c r="H6306" i="5"/>
  <c r="H6298" i="5"/>
  <c r="H6290" i="5"/>
  <c r="H6282" i="5"/>
  <c r="H6274" i="5"/>
  <c r="H6266" i="5"/>
  <c r="H6258" i="5"/>
  <c r="H6250" i="5"/>
  <c r="H6242" i="5"/>
  <c r="H6234" i="5"/>
  <c r="H6226" i="5"/>
  <c r="H6218" i="5"/>
  <c r="H6210" i="5"/>
  <c r="H6202" i="5"/>
  <c r="H6194" i="5"/>
  <c r="H6186" i="5"/>
  <c r="H6178" i="5"/>
  <c r="H6170" i="5"/>
  <c r="H6162" i="5"/>
  <c r="H6154" i="5"/>
  <c r="H6146" i="5"/>
  <c r="H6138" i="5"/>
  <c r="H6130" i="5"/>
  <c r="H6122" i="5"/>
  <c r="H6114" i="5"/>
  <c r="H6106" i="5"/>
  <c r="H6098" i="5"/>
  <c r="H6090" i="5"/>
  <c r="H6082" i="5"/>
  <c r="H6074" i="5"/>
  <c r="H6066" i="5"/>
  <c r="H6058" i="5"/>
  <c r="H6050" i="5"/>
  <c r="H6042" i="5"/>
  <c r="H6034" i="5"/>
  <c r="H6026" i="5"/>
  <c r="H6018" i="5"/>
  <c r="H6010" i="5"/>
  <c r="H6002" i="5"/>
  <c r="H5994" i="5"/>
  <c r="H5986" i="5"/>
  <c r="H5978" i="5"/>
  <c r="H5970" i="5"/>
  <c r="H5962" i="5"/>
  <c r="H5954" i="5"/>
  <c r="H5946" i="5"/>
  <c r="H5938" i="5"/>
  <c r="H5930" i="5"/>
  <c r="H5922" i="5"/>
  <c r="H5914" i="5"/>
  <c r="H5906" i="5"/>
  <c r="H5898" i="5"/>
  <c r="H5890" i="5"/>
  <c r="H5882" i="5"/>
  <c r="H5874" i="5"/>
  <c r="H5866" i="5"/>
  <c r="H5858" i="5"/>
  <c r="H5850" i="5"/>
  <c r="H5842" i="5"/>
  <c r="H5834" i="5"/>
  <c r="H5826" i="5"/>
  <c r="H5818" i="5"/>
  <c r="H5810" i="5"/>
  <c r="H5802" i="5"/>
  <c r="H5794" i="5"/>
  <c r="H5786" i="5"/>
  <c r="H5778" i="5"/>
  <c r="H5770" i="5"/>
  <c r="H5762" i="5"/>
  <c r="H5754" i="5"/>
  <c r="H5746" i="5"/>
  <c r="H5738" i="5"/>
  <c r="H5730" i="5"/>
  <c r="H5722" i="5"/>
  <c r="H5714" i="5"/>
  <c r="H5706" i="5"/>
  <c r="H5698" i="5"/>
  <c r="H5690" i="5"/>
  <c r="H5682" i="5"/>
  <c r="H5674" i="5"/>
  <c r="H5666" i="5"/>
  <c r="H5658" i="5"/>
  <c r="H5650" i="5"/>
  <c r="H5642" i="5"/>
  <c r="H5634" i="5"/>
  <c r="H5626" i="5"/>
  <c r="H5618" i="5"/>
  <c r="H5610" i="5"/>
  <c r="H5602" i="5"/>
  <c r="H5594" i="5"/>
  <c r="H5586" i="5"/>
  <c r="H5578" i="5"/>
  <c r="H5570" i="5"/>
  <c r="H5562" i="5"/>
  <c r="H5554" i="5"/>
  <c r="H5546" i="5"/>
  <c r="H5538" i="5"/>
  <c r="H5530" i="5"/>
  <c r="H5522" i="5"/>
  <c r="H5514" i="5"/>
  <c r="H5506" i="5"/>
  <c r="H5498" i="5"/>
  <c r="H5490" i="5"/>
  <c r="H5482" i="5"/>
  <c r="H5474" i="5"/>
  <c r="H5466" i="5"/>
  <c r="H5458" i="5"/>
  <c r="H5450" i="5"/>
  <c r="H5442" i="5"/>
  <c r="H5434" i="5"/>
  <c r="H5426" i="5"/>
  <c r="H5418" i="5"/>
  <c r="H5410" i="5"/>
  <c r="H5402" i="5"/>
  <c r="H5394" i="5"/>
  <c r="H5386" i="5"/>
  <c r="H5378" i="5"/>
  <c r="H5370" i="5"/>
  <c r="H5362" i="5"/>
  <c r="H5354" i="5"/>
  <c r="H5346" i="5"/>
  <c r="H5338" i="5"/>
  <c r="H5330" i="5"/>
  <c r="H5322" i="5"/>
  <c r="H5314" i="5"/>
  <c r="H5306" i="5"/>
  <c r="H5298" i="5"/>
  <c r="H5290" i="5"/>
  <c r="H5282" i="5"/>
  <c r="H5274" i="5"/>
  <c r="H5266" i="5"/>
  <c r="H5258" i="5"/>
  <c r="H5250" i="5"/>
  <c r="H5242" i="5"/>
  <c r="H5234" i="5"/>
  <c r="H5226" i="5"/>
  <c r="H5218" i="5"/>
  <c r="H5210" i="5"/>
  <c r="H5202" i="5"/>
  <c r="H5194" i="5"/>
  <c r="H5186" i="5"/>
  <c r="H5178" i="5"/>
  <c r="H5170" i="5"/>
  <c r="H5162" i="5"/>
  <c r="H5154" i="5"/>
  <c r="H5146" i="5"/>
  <c r="H5138" i="5"/>
  <c r="H5130" i="5"/>
  <c r="H5122" i="5"/>
  <c r="H5114" i="5"/>
  <c r="H5106" i="5"/>
  <c r="H5098" i="5"/>
  <c r="H5090" i="5"/>
  <c r="H5082" i="5"/>
  <c r="H5074" i="5"/>
  <c r="H5066" i="5"/>
  <c r="H5058" i="5"/>
  <c r="H5050" i="5"/>
  <c r="H5042" i="5"/>
  <c r="H5034" i="5"/>
  <c r="H5026" i="5"/>
  <c r="H5018" i="5"/>
  <c r="H5010" i="5"/>
  <c r="H5002" i="5"/>
  <c r="H4994" i="5"/>
  <c r="H4986" i="5"/>
  <c r="H4978" i="5"/>
  <c r="H4970" i="5"/>
  <c r="H4962" i="5"/>
  <c r="H4954" i="5"/>
  <c r="H4946" i="5"/>
  <c r="H4938" i="5"/>
  <c r="H4930" i="5"/>
  <c r="H4922" i="5"/>
  <c r="H4914" i="5"/>
  <c r="H4906" i="5"/>
  <c r="H4898" i="5"/>
  <c r="H4890" i="5"/>
  <c r="H4882" i="5"/>
  <c r="H4874" i="5"/>
  <c r="H4866" i="5"/>
  <c r="H4858" i="5"/>
  <c r="H4850" i="5"/>
  <c r="H4842" i="5"/>
  <c r="H4834" i="5"/>
  <c r="H4826" i="5"/>
  <c r="H4818" i="5"/>
  <c r="H4810" i="5"/>
  <c r="H4802" i="5"/>
  <c r="H4794" i="5"/>
  <c r="H4786" i="5"/>
  <c r="H4778" i="5"/>
  <c r="H4770" i="5"/>
  <c r="H4762" i="5"/>
  <c r="H4754" i="5"/>
  <c r="H4746" i="5"/>
  <c r="H4738" i="5"/>
  <c r="H4730" i="5"/>
  <c r="H4722" i="5"/>
  <c r="H4714" i="5"/>
  <c r="H4706" i="5"/>
  <c r="H4698" i="5"/>
  <c r="H4690" i="5"/>
  <c r="H4682" i="5"/>
  <c r="H4674" i="5"/>
  <c r="H4666" i="5"/>
  <c r="H4658" i="5"/>
  <c r="H4650" i="5"/>
  <c r="H4642" i="5"/>
  <c r="H4634" i="5"/>
  <c r="H4626" i="5"/>
  <c r="H4618" i="5"/>
  <c r="H4610" i="5"/>
  <c r="H4602" i="5"/>
  <c r="H4594" i="5"/>
  <c r="H4586" i="5"/>
  <c r="H4578" i="5"/>
  <c r="H4570" i="5"/>
  <c r="H4562" i="5"/>
  <c r="H4554" i="5"/>
  <c r="H4546" i="5"/>
  <c r="H4538" i="5"/>
  <c r="H4530" i="5"/>
  <c r="H4522" i="5"/>
  <c r="H4514" i="5"/>
  <c r="H4506" i="5"/>
  <c r="H4498" i="5"/>
  <c r="H4490" i="5"/>
  <c r="H4482" i="5"/>
  <c r="H4474" i="5"/>
  <c r="H4466" i="5"/>
  <c r="H4458" i="5"/>
  <c r="H4450" i="5"/>
  <c r="H4442" i="5"/>
  <c r="H4434" i="5"/>
  <c r="H4426" i="5"/>
  <c r="H4418" i="5"/>
  <c r="H4410" i="5"/>
  <c r="H4402" i="5"/>
  <c r="H4394" i="5"/>
  <c r="H4386" i="5"/>
  <c r="H4378" i="5"/>
  <c r="H4370" i="5"/>
  <c r="H4362" i="5"/>
  <c r="H4354" i="5"/>
  <c r="H4346" i="5"/>
  <c r="H4338" i="5"/>
  <c r="H4330" i="5"/>
  <c r="H4322" i="5"/>
  <c r="H4314" i="5"/>
  <c r="H4306" i="5"/>
  <c r="H4298" i="5"/>
  <c r="H4290" i="5"/>
  <c r="H4282" i="5"/>
  <c r="H4274" i="5"/>
  <c r="H4266" i="5"/>
  <c r="H4258" i="5"/>
  <c r="H4250" i="5"/>
  <c r="H4242" i="5"/>
  <c r="H4234" i="5"/>
  <c r="H4226" i="5"/>
  <c r="H4218" i="5"/>
  <c r="H4210" i="5"/>
  <c r="H4202" i="5"/>
  <c r="H4194" i="5"/>
  <c r="H4186" i="5"/>
  <c r="H4178" i="5"/>
  <c r="H4170" i="5"/>
  <c r="H4162" i="5"/>
  <c r="H4154" i="5"/>
  <c r="H4146" i="5"/>
  <c r="H4138" i="5"/>
  <c r="H4130" i="5"/>
  <c r="H4122" i="5"/>
  <c r="H4114" i="5"/>
  <c r="H4106" i="5"/>
  <c r="H4098" i="5"/>
  <c r="H4090" i="5"/>
  <c r="H4082" i="5"/>
  <c r="H4074" i="5"/>
  <c r="H4066" i="5"/>
  <c r="H4058" i="5"/>
  <c r="H4050" i="5"/>
  <c r="H4042" i="5"/>
  <c r="H4034" i="5"/>
  <c r="H4026" i="5"/>
  <c r="H4018" i="5"/>
  <c r="H4010" i="5"/>
  <c r="H4002" i="5"/>
  <c r="H3994" i="5"/>
  <c r="H3986" i="5"/>
  <c r="H3978" i="5"/>
  <c r="H3970" i="5"/>
  <c r="H3962" i="5"/>
  <c r="H3954" i="5"/>
  <c r="H3946" i="5"/>
  <c r="H3938" i="5"/>
  <c r="H3930" i="5"/>
  <c r="H3922" i="5"/>
  <c r="H3914" i="5"/>
  <c r="H3906" i="5"/>
  <c r="H3898" i="5"/>
  <c r="H3890" i="5"/>
  <c r="H3882" i="5"/>
  <c r="H3874" i="5"/>
  <c r="H3866" i="5"/>
  <c r="H3858" i="5"/>
  <c r="H3850" i="5"/>
  <c r="H3842" i="5"/>
  <c r="H3834" i="5"/>
  <c r="H3826" i="5"/>
  <c r="H3818" i="5"/>
  <c r="H3810" i="5"/>
  <c r="H3802" i="5"/>
  <c r="H3794" i="5"/>
  <c r="H3786" i="5"/>
  <c r="H3778" i="5"/>
  <c r="H3770" i="5"/>
  <c r="H3762" i="5"/>
  <c r="H3754" i="5"/>
  <c r="H3746" i="5"/>
  <c r="H3738" i="5"/>
  <c r="H3730" i="5"/>
  <c r="H3722" i="5"/>
  <c r="H3714" i="5"/>
  <c r="H3706" i="5"/>
  <c r="H3698" i="5"/>
  <c r="H3690" i="5"/>
  <c r="H3682" i="5"/>
  <c r="H3674" i="5"/>
  <c r="H3666" i="5"/>
  <c r="H3658" i="5"/>
  <c r="H3650" i="5"/>
  <c r="H3642" i="5"/>
  <c r="H3634" i="5"/>
  <c r="H3626" i="5"/>
  <c r="H3618" i="5"/>
  <c r="H3610" i="5"/>
  <c r="H3602" i="5"/>
  <c r="H3594" i="5"/>
  <c r="H3586" i="5"/>
  <c r="H3578" i="5"/>
  <c r="H3570" i="5"/>
  <c r="H3562" i="5"/>
  <c r="H3554" i="5"/>
  <c r="H3546" i="5"/>
  <c r="H3538" i="5"/>
  <c r="H3530" i="5"/>
  <c r="H3522" i="5"/>
  <c r="H3514" i="5"/>
  <c r="H3506" i="5"/>
  <c r="H3498" i="5"/>
  <c r="H3490" i="5"/>
  <c r="H3482" i="5"/>
  <c r="H3474" i="5"/>
  <c r="H3466" i="5"/>
  <c r="H3458" i="5"/>
  <c r="H3450" i="5"/>
  <c r="H3442" i="5"/>
  <c r="H3434" i="5"/>
  <c r="H3426" i="5"/>
  <c r="H3418" i="5"/>
  <c r="H3410" i="5"/>
  <c r="H3402" i="5"/>
  <c r="H3394" i="5"/>
  <c r="H3386" i="5"/>
  <c r="H3378" i="5"/>
  <c r="H3370" i="5"/>
  <c r="H3362" i="5"/>
  <c r="H3354" i="5"/>
  <c r="H3346" i="5"/>
  <c r="H3338" i="5"/>
  <c r="H3330" i="5"/>
  <c r="H3322" i="5"/>
  <c r="H3314" i="5"/>
  <c r="H3306" i="5"/>
  <c r="H3298" i="5"/>
  <c r="H3290" i="5"/>
  <c r="H3282" i="5"/>
  <c r="H3274" i="5"/>
  <c r="H3266" i="5"/>
  <c r="H3258" i="5"/>
  <c r="H3250" i="5"/>
  <c r="H3242" i="5"/>
  <c r="H3234" i="5"/>
  <c r="H3226" i="5"/>
  <c r="H3218" i="5"/>
  <c r="H3210" i="5"/>
  <c r="H3202" i="5"/>
  <c r="H3194" i="5"/>
  <c r="H3186" i="5"/>
  <c r="H3178" i="5"/>
  <c r="H3170" i="5"/>
  <c r="H3162" i="5"/>
  <c r="H3154" i="5"/>
  <c r="H3146" i="5"/>
  <c r="H3138" i="5"/>
  <c r="H3130" i="5"/>
  <c r="H3122" i="5"/>
  <c r="H3114" i="5"/>
  <c r="H3106" i="5"/>
  <c r="H3098" i="5"/>
  <c r="H3090" i="5"/>
  <c r="H3082" i="5"/>
  <c r="H3074" i="5"/>
  <c r="H3066" i="5"/>
  <c r="H3058" i="5"/>
  <c r="H3050" i="5"/>
  <c r="H3042" i="5"/>
  <c r="H3034" i="5"/>
  <c r="H3026" i="5"/>
  <c r="H3018" i="5"/>
  <c r="H3010" i="5"/>
  <c r="H3002" i="5"/>
  <c r="H2994" i="5"/>
  <c r="H2986" i="5"/>
  <c r="H2978" i="5"/>
  <c r="H2970" i="5"/>
  <c r="H2962" i="5"/>
  <c r="H2954" i="5"/>
  <c r="H2946" i="5"/>
  <c r="H2938" i="5"/>
  <c r="H2930" i="5"/>
  <c r="H2922" i="5"/>
  <c r="H2914" i="5"/>
  <c r="H2906" i="5"/>
  <c r="H2898" i="5"/>
  <c r="H2890" i="5"/>
  <c r="H2882" i="5"/>
  <c r="H2874" i="5"/>
  <c r="H2866" i="5"/>
  <c r="H2858" i="5"/>
  <c r="H2850" i="5"/>
  <c r="H2842" i="5"/>
  <c r="H2834" i="5"/>
  <c r="H2826" i="5"/>
  <c r="H2818" i="5"/>
  <c r="H2810" i="5"/>
  <c r="H2802" i="5"/>
  <c r="H2794" i="5"/>
  <c r="H2786" i="5"/>
  <c r="H2778" i="5"/>
  <c r="H2770" i="5"/>
  <c r="H2762" i="5"/>
  <c r="H2754" i="5"/>
  <c r="H2746" i="5"/>
  <c r="H2738" i="5"/>
  <c r="H2730" i="5"/>
  <c r="H2722" i="5"/>
  <c r="H2714" i="5"/>
  <c r="H2706" i="5"/>
  <c r="H2698" i="5"/>
  <c r="H2690" i="5"/>
  <c r="H2682" i="5"/>
  <c r="H2674" i="5"/>
  <c r="H2666" i="5"/>
  <c r="H2658" i="5"/>
  <c r="H2650" i="5"/>
  <c r="H2642" i="5"/>
  <c r="H2634" i="5"/>
  <c r="H2626" i="5"/>
  <c r="H2618" i="5"/>
  <c r="H2610" i="5"/>
  <c r="H2602" i="5"/>
  <c r="H2594" i="5"/>
  <c r="H2586" i="5"/>
  <c r="H2578" i="5"/>
  <c r="H2570" i="5"/>
  <c r="H2562" i="5"/>
  <c r="H2554" i="5"/>
  <c r="H2546" i="5"/>
  <c r="H2538" i="5"/>
  <c r="H2530" i="5"/>
  <c r="H2522" i="5"/>
  <c r="H2514" i="5"/>
  <c r="H2506" i="5"/>
  <c r="H2498" i="5"/>
  <c r="H2490" i="5"/>
  <c r="H2482" i="5"/>
  <c r="H2474" i="5"/>
  <c r="H2466" i="5"/>
  <c r="H2458" i="5"/>
  <c r="H2450" i="5"/>
  <c r="H2442" i="5"/>
  <c r="H2434" i="5"/>
  <c r="H2426" i="5"/>
  <c r="H2418" i="5"/>
  <c r="H2410" i="5"/>
  <c r="H2402" i="5"/>
  <c r="H2394" i="5"/>
  <c r="H2386" i="5"/>
  <c r="H2378" i="5"/>
  <c r="H2370" i="5"/>
  <c r="H2362" i="5"/>
  <c r="H2354" i="5"/>
  <c r="H2346" i="5"/>
  <c r="H2338" i="5"/>
  <c r="H2330" i="5"/>
  <c r="H2322" i="5"/>
  <c r="H2314" i="5"/>
  <c r="H2306" i="5"/>
  <c r="H2298" i="5"/>
  <c r="H2290" i="5"/>
  <c r="H2282" i="5"/>
  <c r="H2274" i="5"/>
  <c r="H2266" i="5"/>
  <c r="H2258" i="5"/>
  <c r="H2250" i="5"/>
  <c r="H2242" i="5"/>
  <c r="H2234" i="5"/>
  <c r="H2226" i="5"/>
  <c r="H2218" i="5"/>
  <c r="H2210" i="5"/>
  <c r="H2202" i="5"/>
  <c r="H2194" i="5"/>
  <c r="H2186" i="5"/>
  <c r="H2178" i="5"/>
  <c r="H2170" i="5"/>
  <c r="H2162" i="5"/>
  <c r="H2154" i="5"/>
  <c r="H2146" i="5"/>
  <c r="H2138" i="5"/>
  <c r="H2130" i="5"/>
  <c r="H2122" i="5"/>
  <c r="H2114" i="5"/>
  <c r="H2106" i="5"/>
  <c r="H2098" i="5"/>
  <c r="H2090" i="5"/>
  <c r="H2082" i="5"/>
  <c r="H2074" i="5"/>
  <c r="H2066" i="5"/>
  <c r="H2058" i="5"/>
  <c r="H2050" i="5"/>
  <c r="H2042" i="5"/>
  <c r="H2034" i="5"/>
  <c r="H2026" i="5"/>
  <c r="H2018" i="5"/>
  <c r="H2010" i="5"/>
  <c r="H2002" i="5"/>
  <c r="H1994" i="5"/>
  <c r="H1986" i="5"/>
  <c r="H1978" i="5"/>
  <c r="H1970" i="5"/>
  <c r="H1962" i="5"/>
  <c r="H1954" i="5"/>
  <c r="H1946" i="5"/>
  <c r="H1938" i="5"/>
  <c r="H1930" i="5"/>
  <c r="H1922" i="5"/>
  <c r="H1914" i="5"/>
  <c r="H1906" i="5"/>
  <c r="H1898" i="5"/>
  <c r="H1890" i="5"/>
  <c r="H1882" i="5"/>
  <c r="H1874" i="5"/>
  <c r="H1866" i="5"/>
  <c r="H1858" i="5"/>
  <c r="H1850" i="5"/>
  <c r="H1842" i="5"/>
  <c r="H1834" i="5"/>
  <c r="H1826" i="5"/>
  <c r="H1818" i="5"/>
  <c r="H1810" i="5"/>
  <c r="H1802" i="5"/>
  <c r="H1794" i="5"/>
  <c r="H1786" i="5"/>
  <c r="H1778" i="5"/>
  <c r="H1770" i="5"/>
  <c r="H1762" i="5"/>
  <c r="H1754" i="5"/>
  <c r="H1746" i="5"/>
  <c r="H1738" i="5"/>
  <c r="H1730" i="5"/>
  <c r="H1722" i="5"/>
  <c r="H1714" i="5"/>
  <c r="H1706" i="5"/>
  <c r="H1698" i="5"/>
  <c r="H1690" i="5"/>
  <c r="H1682" i="5"/>
  <c r="H1674" i="5"/>
  <c r="H1666" i="5"/>
  <c r="H1658" i="5"/>
  <c r="H1650" i="5"/>
  <c r="H1642" i="5"/>
  <c r="H1634" i="5"/>
  <c r="H1626" i="5"/>
  <c r="H1618" i="5"/>
  <c r="H1610" i="5"/>
  <c r="H1602" i="5"/>
  <c r="H1594" i="5"/>
  <c r="H1586" i="5"/>
  <c r="H1578" i="5"/>
  <c r="H1570" i="5"/>
  <c r="H1562" i="5"/>
  <c r="H1554" i="5"/>
  <c r="H1546" i="5"/>
  <c r="H1538" i="5"/>
  <c r="H1530" i="5"/>
  <c r="H1522" i="5"/>
  <c r="H1514" i="5"/>
  <c r="H1506" i="5"/>
  <c r="H1498" i="5"/>
  <c r="H1490" i="5"/>
  <c r="H1482" i="5"/>
  <c r="H1474" i="5"/>
  <c r="H1466" i="5"/>
  <c r="H1458" i="5"/>
  <c r="H1450" i="5"/>
  <c r="H1442" i="5"/>
  <c r="H1434" i="5"/>
  <c r="H1426" i="5"/>
  <c r="H1418" i="5"/>
  <c r="H1410" i="5"/>
  <c r="H1402" i="5"/>
  <c r="H1394" i="5"/>
  <c r="H1386" i="5"/>
  <c r="H1378" i="5"/>
  <c r="H1370" i="5"/>
  <c r="H1362" i="5"/>
  <c r="H1354" i="5"/>
  <c r="H1346" i="5"/>
  <c r="H1338" i="5"/>
  <c r="H1330" i="5"/>
  <c r="H1322" i="5"/>
  <c r="H1314" i="5"/>
  <c r="H1306" i="5"/>
  <c r="H1298" i="5"/>
  <c r="H1290" i="5"/>
  <c r="H1282" i="5"/>
  <c r="H1274" i="5"/>
  <c r="H1266" i="5"/>
  <c r="H1258" i="5"/>
  <c r="H1250" i="5"/>
  <c r="H1242" i="5"/>
  <c r="H1234" i="5"/>
  <c r="H1226" i="5"/>
  <c r="H1218" i="5"/>
  <c r="H1210" i="5"/>
  <c r="H1202" i="5"/>
  <c r="H1194" i="5"/>
  <c r="H1186" i="5"/>
  <c r="H1178" i="5"/>
  <c r="H1170" i="5"/>
  <c r="H1162" i="5"/>
  <c r="H1154" i="5"/>
  <c r="H1146" i="5"/>
  <c r="H1138" i="5"/>
  <c r="H1130" i="5"/>
  <c r="H1122" i="5"/>
  <c r="H1114" i="5"/>
  <c r="H1106" i="5"/>
  <c r="H1098" i="5"/>
  <c r="H1090" i="5"/>
  <c r="H1082" i="5"/>
  <c r="H1074" i="5"/>
  <c r="H1066" i="5"/>
  <c r="H1058" i="5"/>
  <c r="H1050" i="5"/>
  <c r="H1042" i="5"/>
  <c r="H1034" i="5"/>
  <c r="H1026" i="5"/>
  <c r="H1018" i="5"/>
  <c r="H1010" i="5"/>
  <c r="H1002" i="5"/>
  <c r="H994" i="5"/>
  <c r="H986" i="5"/>
  <c r="H978" i="5"/>
  <c r="H970" i="5"/>
  <c r="H962" i="5"/>
  <c r="H954" i="5"/>
  <c r="H946" i="5"/>
  <c r="H938" i="5"/>
  <c r="H930" i="5"/>
  <c r="H922" i="5"/>
  <c r="H914" i="5"/>
  <c r="H906" i="5"/>
  <c r="H898" i="5"/>
  <c r="H890" i="5"/>
  <c r="H882" i="5"/>
  <c r="H874" i="5"/>
  <c r="H866" i="5"/>
  <c r="H858" i="5"/>
  <c r="H850" i="5"/>
  <c r="H842" i="5"/>
  <c r="H834" i="5"/>
  <c r="H826" i="5"/>
  <c r="H818" i="5"/>
  <c r="H810" i="5"/>
  <c r="H802" i="5"/>
  <c r="H794" i="5"/>
  <c r="H786" i="5"/>
  <c r="H778" i="5"/>
  <c r="H770" i="5"/>
  <c r="H762" i="5"/>
  <c r="H754" i="5"/>
  <c r="H746" i="5"/>
  <c r="H738" i="5"/>
  <c r="H730" i="5"/>
  <c r="H722" i="5"/>
  <c r="H714" i="5"/>
  <c r="H706" i="5"/>
  <c r="H698" i="5"/>
  <c r="H690" i="5"/>
  <c r="H682" i="5"/>
  <c r="H674" i="5"/>
  <c r="H666" i="5"/>
  <c r="H658" i="5"/>
  <c r="H650" i="5"/>
  <c r="H642" i="5"/>
  <c r="H634" i="5"/>
  <c r="H626" i="5"/>
  <c r="H618" i="5"/>
  <c r="H610" i="5"/>
  <c r="H602" i="5"/>
  <c r="H594" i="5"/>
  <c r="H586" i="5"/>
  <c r="H578" i="5"/>
  <c r="H570" i="5"/>
  <c r="H562" i="5"/>
  <c r="H554" i="5"/>
  <c r="H546" i="5"/>
  <c r="H538" i="5"/>
  <c r="H530" i="5"/>
  <c r="H522" i="5"/>
  <c r="H514" i="5"/>
  <c r="H506" i="5"/>
  <c r="H498" i="5"/>
  <c r="H490" i="5"/>
  <c r="H482" i="5"/>
  <c r="H474" i="5"/>
  <c r="H466" i="5"/>
  <c r="H458" i="5"/>
  <c r="H450" i="5"/>
  <c r="H442" i="5"/>
  <c r="H434" i="5"/>
  <c r="H39302" i="5"/>
  <c r="H37254" i="5"/>
  <c r="H35841" i="5"/>
  <c r="H34927" i="5"/>
  <c r="H34541" i="5"/>
  <c r="H34285" i="5"/>
  <c r="H34029" i="5"/>
  <c r="H33773" i="5"/>
  <c r="H33517" i="5"/>
  <c r="H33261" i="5"/>
  <c r="H33005" i="5"/>
  <c r="H32749" i="5"/>
  <c r="H32493" i="5"/>
  <c r="H32237" i="5"/>
  <c r="H31981" i="5"/>
  <c r="H31725" i="5"/>
  <c r="H31469" i="5"/>
  <c r="H31213" i="5"/>
  <c r="H30957" i="5"/>
  <c r="H30701" i="5"/>
  <c r="H30445" i="5"/>
  <c r="H30189" i="5"/>
  <c r="H29933" i="5"/>
  <c r="H29677" i="5"/>
  <c r="H29421" i="5"/>
  <c r="H29237" i="5"/>
  <c r="H29109" i="5"/>
  <c r="H28981" i="5"/>
  <c r="H28853" i="5"/>
  <c r="H28725" i="5"/>
  <c r="H28597" i="5"/>
  <c r="H28469" i="5"/>
  <c r="H28341" i="5"/>
  <c r="H28213" i="5"/>
  <c r="H28085" i="5"/>
  <c r="H27957" i="5"/>
  <c r="H27829" i="5"/>
  <c r="H27701" i="5"/>
  <c r="H27573" i="5"/>
  <c r="H27445" i="5"/>
  <c r="H27357" i="5"/>
  <c r="H27270" i="5"/>
  <c r="H27184" i="5"/>
  <c r="H27104" i="5"/>
  <c r="H27040" i="5"/>
  <c r="H26976" i="5"/>
  <c r="H26912" i="5"/>
  <c r="H26848" i="5"/>
  <c r="H26784" i="5"/>
  <c r="H26720" i="5"/>
  <c r="H26656" i="5"/>
  <c r="H26592" i="5"/>
  <c r="H26528" i="5"/>
  <c r="H26464" i="5"/>
  <c r="H26400" i="5"/>
  <c r="H26336" i="5"/>
  <c r="H26272" i="5"/>
  <c r="H26208" i="5"/>
  <c r="H26144" i="5"/>
  <c r="H26080" i="5"/>
  <c r="H26016" i="5"/>
  <c r="H25952" i="5"/>
  <c r="H25888" i="5"/>
  <c r="H25824" i="5"/>
  <c r="H25760" i="5"/>
  <c r="H25696" i="5"/>
  <c r="H25632" i="5"/>
  <c r="H25568" i="5"/>
  <c r="H25510" i="5"/>
  <c r="H25460" i="5"/>
  <c r="H25408" i="5"/>
  <c r="H25357" i="5"/>
  <c r="H25307" i="5"/>
  <c r="H25254" i="5"/>
  <c r="H25204" i="5"/>
  <c r="H25152" i="5"/>
  <c r="H25101" i="5"/>
  <c r="H25051" i="5"/>
  <c r="H24998" i="5"/>
  <c r="H24955" i="5"/>
  <c r="H24919" i="5"/>
  <c r="H24887" i="5"/>
  <c r="H24855" i="5"/>
  <c r="H24823" i="5"/>
  <c r="H24791" i="5"/>
  <c r="H24759" i="5"/>
  <c r="H24727" i="5"/>
  <c r="H24695" i="5"/>
  <c r="H24663" i="5"/>
  <c r="H24631" i="5"/>
  <c r="H24599" i="5"/>
  <c r="H24567" i="5"/>
  <c r="H24535" i="5"/>
  <c r="H24503" i="5"/>
  <c r="H24471" i="5"/>
  <c r="H24439" i="5"/>
  <c r="H24407" i="5"/>
  <c r="H24375" i="5"/>
  <c r="H24343" i="5"/>
  <c r="H24311" i="5"/>
  <c r="H24279" i="5"/>
  <c r="H24247" i="5"/>
  <c r="H24215" i="5"/>
  <c r="H24183" i="5"/>
  <c r="H24151" i="5"/>
  <c r="H24119" i="5"/>
  <c r="H24087" i="5"/>
  <c r="H24055" i="5"/>
  <c r="H24023" i="5"/>
  <c r="H23991" i="5"/>
  <c r="H23959" i="5"/>
  <c r="H23927" i="5"/>
  <c r="H23895" i="5"/>
  <c r="H23863" i="5"/>
  <c r="H23831" i="5"/>
  <c r="H23799" i="5"/>
  <c r="H23767" i="5"/>
  <c r="H23735" i="5"/>
  <c r="H23703" i="5"/>
  <c r="H23671" i="5"/>
  <c r="H23639" i="5"/>
  <c r="H23607" i="5"/>
  <c r="H23575" i="5"/>
  <c r="H23543" i="5"/>
  <c r="H23511" i="5"/>
  <c r="H23479" i="5"/>
  <c r="H23447" i="5"/>
  <c r="H23415" i="5"/>
  <c r="H23383" i="5"/>
  <c r="H23351" i="5"/>
  <c r="H23319" i="5"/>
  <c r="H23287" i="5"/>
  <c r="H23255" i="5"/>
  <c r="H23223" i="5"/>
  <c r="H23191" i="5"/>
  <c r="H23159" i="5"/>
  <c r="H23127" i="5"/>
  <c r="H23095" i="5"/>
  <c r="H23063" i="5"/>
  <c r="H23031" i="5"/>
  <c r="H22999" i="5"/>
  <c r="H22967" i="5"/>
  <c r="H22935" i="5"/>
  <c r="H22903" i="5"/>
  <c r="H22871" i="5"/>
  <c r="H22839" i="5"/>
  <c r="H22807" i="5"/>
  <c r="H22775" i="5"/>
  <c r="H22743" i="5"/>
  <c r="H22711" i="5"/>
  <c r="H22679" i="5"/>
  <c r="H22647" i="5"/>
  <c r="H22615" i="5"/>
  <c r="H22583" i="5"/>
  <c r="H22551" i="5"/>
  <c r="H22519" i="5"/>
  <c r="H22487" i="5"/>
  <c r="H22455" i="5"/>
  <c r="H22423" i="5"/>
  <c r="H22391" i="5"/>
  <c r="H22359" i="5"/>
  <c r="H22327" i="5"/>
  <c r="H22295" i="5"/>
  <c r="H22263" i="5"/>
  <c r="H22231" i="5"/>
  <c r="H22199" i="5"/>
  <c r="H22167" i="5"/>
  <c r="H22135" i="5"/>
  <c r="H22103" i="5"/>
  <c r="H22071" i="5"/>
  <c r="H22039" i="5"/>
  <c r="H22007" i="5"/>
  <c r="H21975" i="5"/>
  <c r="H21943" i="5"/>
  <c r="H21911" i="5"/>
  <c r="H21879" i="5"/>
  <c r="H21847" i="5"/>
  <c r="H21815" i="5"/>
  <c r="H21783" i="5"/>
  <c r="H21751" i="5"/>
  <c r="H21719" i="5"/>
  <c r="H21687" i="5"/>
  <c r="H21655" i="5"/>
  <c r="H21623" i="5"/>
  <c r="H21591" i="5"/>
  <c r="H21559" i="5"/>
  <c r="H21527" i="5"/>
  <c r="H21495" i="5"/>
  <c r="H21463" i="5"/>
  <c r="H21431" i="5"/>
  <c r="H21399" i="5"/>
  <c r="H21367" i="5"/>
  <c r="H21335" i="5"/>
  <c r="H21303" i="5"/>
  <c r="H21271" i="5"/>
  <c r="H21239" i="5"/>
  <c r="H21207" i="5"/>
  <c r="H21175" i="5"/>
  <c r="H21143" i="5"/>
  <c r="H21111" i="5"/>
  <c r="H21079" i="5"/>
  <c r="H21047" i="5"/>
  <c r="H21015" i="5"/>
  <c r="H20983" i="5"/>
  <c r="H20951" i="5"/>
  <c r="H20919" i="5"/>
  <c r="H20887" i="5"/>
  <c r="H20855" i="5"/>
  <c r="H20823" i="5"/>
  <c r="H20791" i="5"/>
  <c r="H20759" i="5"/>
  <c r="H20727" i="5"/>
  <c r="H20695" i="5"/>
  <c r="H20663" i="5"/>
  <c r="H20631" i="5"/>
  <c r="H20599" i="5"/>
  <c r="H20567" i="5"/>
  <c r="H20535" i="5"/>
  <c r="H20503" i="5"/>
  <c r="H20471" i="5"/>
  <c r="H20439" i="5"/>
  <c r="H20407" i="5"/>
  <c r="H20375" i="5"/>
  <c r="H20343" i="5"/>
  <c r="H20311" i="5"/>
  <c r="H20279" i="5"/>
  <c r="H20247" i="5"/>
  <c r="H20215" i="5"/>
  <c r="H20183" i="5"/>
  <c r="H20151" i="5"/>
  <c r="H20119" i="5"/>
  <c r="H20087" i="5"/>
  <c r="H20055" i="5"/>
  <c r="H20023" i="5"/>
  <c r="H19991" i="5"/>
  <c r="H19959" i="5"/>
  <c r="H19927" i="5"/>
  <c r="H19895" i="5"/>
  <c r="H19863" i="5"/>
  <c r="H19831" i="5"/>
  <c r="H19799" i="5"/>
  <c r="H19767" i="5"/>
  <c r="H19735" i="5"/>
  <c r="H19703" i="5"/>
  <c r="H19671" i="5"/>
  <c r="H19639" i="5"/>
  <c r="H19607" i="5"/>
  <c r="H19575" i="5"/>
  <c r="H19543" i="5"/>
  <c r="H19511" i="5"/>
  <c r="H19479" i="5"/>
  <c r="H19447" i="5"/>
  <c r="H19415" i="5"/>
  <c r="H19383" i="5"/>
  <c r="H19351" i="5"/>
  <c r="H19319" i="5"/>
  <c r="H19287" i="5"/>
  <c r="H19255" i="5"/>
  <c r="H19223" i="5"/>
  <c r="H19191" i="5"/>
  <c r="H19159" i="5"/>
  <c r="H19127" i="5"/>
  <c r="H19095" i="5"/>
  <c r="H19063" i="5"/>
  <c r="H19031" i="5"/>
  <c r="H18999" i="5"/>
  <c r="H18967" i="5"/>
  <c r="H18935" i="5"/>
  <c r="H18903" i="5"/>
  <c r="H18871" i="5"/>
  <c r="H18839" i="5"/>
  <c r="H18807" i="5"/>
  <c r="H18775" i="5"/>
  <c r="H18743" i="5"/>
  <c r="H18711" i="5"/>
  <c r="H18679" i="5"/>
  <c r="H18647" i="5"/>
  <c r="H18615" i="5"/>
  <c r="H18583" i="5"/>
  <c r="H18551" i="5"/>
  <c r="H18519" i="5"/>
  <c r="H18487" i="5"/>
  <c r="H18455" i="5"/>
  <c r="H18423" i="5"/>
  <c r="H18391" i="5"/>
  <c r="H18359" i="5"/>
  <c r="H18327" i="5"/>
  <c r="H18295" i="5"/>
  <c r="H18263" i="5"/>
  <c r="H18231" i="5"/>
  <c r="H18199" i="5"/>
  <c r="H18167" i="5"/>
  <c r="H18135" i="5"/>
  <c r="H18103" i="5"/>
  <c r="H18071" i="5"/>
  <c r="H18039" i="5"/>
  <c r="H18007" i="5"/>
  <c r="H17975" i="5"/>
  <c r="H17943" i="5"/>
  <c r="H17911" i="5"/>
  <c r="H17879" i="5"/>
  <c r="H17847" i="5"/>
  <c r="H17815" i="5"/>
  <c r="H17783" i="5"/>
  <c r="H17751" i="5"/>
  <c r="H17719" i="5"/>
  <c r="H17687" i="5"/>
  <c r="H17655" i="5"/>
  <c r="H17623" i="5"/>
  <c r="H17591" i="5"/>
  <c r="H17559" i="5"/>
  <c r="H17527" i="5"/>
  <c r="H17495" i="5"/>
  <c r="H17468" i="5"/>
  <c r="H17447" i="5"/>
  <c r="H17424" i="5"/>
  <c r="H17404" i="5"/>
  <c r="H17383" i="5"/>
  <c r="H17360" i="5"/>
  <c r="H17340" i="5"/>
  <c r="H17321" i="5"/>
  <c r="H17305" i="5"/>
  <c r="H17289" i="5"/>
  <c r="H17273" i="5"/>
  <c r="H17257" i="5"/>
  <c r="H17241" i="5"/>
  <c r="H17225" i="5"/>
  <c r="H17209" i="5"/>
  <c r="H17193" i="5"/>
  <c r="H17177" i="5"/>
  <c r="H17161" i="5"/>
  <c r="H17145" i="5"/>
  <c r="H17129" i="5"/>
  <c r="H17113" i="5"/>
  <c r="H17097" i="5"/>
  <c r="H17081" i="5"/>
  <c r="H17065" i="5"/>
  <c r="H17049" i="5"/>
  <c r="H17033" i="5"/>
  <c r="H17017" i="5"/>
  <c r="H17001" i="5"/>
  <c r="H16985" i="5"/>
  <c r="H16969" i="5"/>
  <c r="H16953" i="5"/>
  <c r="H16937" i="5"/>
  <c r="H16921" i="5"/>
  <c r="H16905" i="5"/>
  <c r="H16889" i="5"/>
  <c r="H16873" i="5"/>
  <c r="H16857" i="5"/>
  <c r="H16841" i="5"/>
  <c r="H16825" i="5"/>
  <c r="H16809" i="5"/>
  <c r="H16793" i="5"/>
  <c r="H16777" i="5"/>
  <c r="H16761" i="5"/>
  <c r="H16745" i="5"/>
  <c r="H16729" i="5"/>
  <c r="H16713" i="5"/>
  <c r="H16697" i="5"/>
  <c r="H16681" i="5"/>
  <c r="H16665" i="5"/>
  <c r="H16649" i="5"/>
  <c r="H16633" i="5"/>
  <c r="H16617" i="5"/>
  <c r="H16601" i="5"/>
  <c r="H16592" i="5"/>
  <c r="H16583" i="5"/>
  <c r="H16574" i="5"/>
  <c r="H16565" i="5"/>
  <c r="H16556" i="5"/>
  <c r="H16546" i="5"/>
  <c r="H16537" i="5"/>
  <c r="H16529" i="5"/>
  <c r="H16521" i="5"/>
  <c r="H16513" i="5"/>
  <c r="H16505" i="5"/>
  <c r="H16497" i="5"/>
  <c r="H16489" i="5"/>
  <c r="H16481" i="5"/>
  <c r="H16473" i="5"/>
  <c r="H16465" i="5"/>
  <c r="H16457" i="5"/>
  <c r="H16449" i="5"/>
  <c r="H16441" i="5"/>
  <c r="H16433" i="5"/>
  <c r="H16425" i="5"/>
  <c r="H16417" i="5"/>
  <c r="H16409" i="5"/>
  <c r="H16401" i="5"/>
  <c r="H16393" i="5"/>
  <c r="H16385" i="5"/>
  <c r="H16377" i="5"/>
  <c r="H16369" i="5"/>
  <c r="H16361" i="5"/>
  <c r="H16353" i="5"/>
  <c r="H16345" i="5"/>
  <c r="H16337" i="5"/>
  <c r="H16329" i="5"/>
  <c r="H16321" i="5"/>
  <c r="H16313" i="5"/>
  <c r="H16305" i="5"/>
  <c r="H16297" i="5"/>
  <c r="H16289" i="5"/>
  <c r="H16281" i="5"/>
  <c r="H16273" i="5"/>
  <c r="H16265" i="5"/>
  <c r="H16257" i="5"/>
  <c r="H16249" i="5"/>
  <c r="H16241" i="5"/>
  <c r="H16233" i="5"/>
  <c r="H16225" i="5"/>
  <c r="H16217" i="5"/>
  <c r="H16209" i="5"/>
  <c r="H16201" i="5"/>
  <c r="H16193" i="5"/>
  <c r="H16185" i="5"/>
  <c r="H16177" i="5"/>
  <c r="H16169" i="5"/>
  <c r="H16161" i="5"/>
  <c r="H16153" i="5"/>
  <c r="H16145" i="5"/>
  <c r="H16137" i="5"/>
  <c r="H16129" i="5"/>
  <c r="H16121" i="5"/>
  <c r="H16113" i="5"/>
  <c r="H16105" i="5"/>
  <c r="H16097" i="5"/>
  <c r="H16089" i="5"/>
  <c r="H16081" i="5"/>
  <c r="H16073" i="5"/>
  <c r="H16065" i="5"/>
  <c r="H16057" i="5"/>
  <c r="H16049" i="5"/>
  <c r="H16041" i="5"/>
  <c r="H16033" i="5"/>
  <c r="H16025" i="5"/>
  <c r="H16017" i="5"/>
  <c r="H16009" i="5"/>
  <c r="H16001" i="5"/>
  <c r="H15993" i="5"/>
  <c r="H15985" i="5"/>
  <c r="H15977" i="5"/>
  <c r="H15969" i="5"/>
  <c r="H15961" i="5"/>
  <c r="H15953" i="5"/>
  <c r="H15945" i="5"/>
  <c r="H15937" i="5"/>
  <c r="H15929" i="5"/>
  <c r="H15921" i="5"/>
  <c r="H15913" i="5"/>
  <c r="H15905" i="5"/>
  <c r="H15897" i="5"/>
  <c r="H15889" i="5"/>
  <c r="H15881" i="5"/>
  <c r="H15873" i="5"/>
  <c r="H15865" i="5"/>
  <c r="H15857" i="5"/>
  <c r="H15849" i="5"/>
  <c r="H15841" i="5"/>
  <c r="H15833" i="5"/>
  <c r="H15825" i="5"/>
  <c r="H15817" i="5"/>
  <c r="H15809" i="5"/>
  <c r="H15801" i="5"/>
  <c r="H15793" i="5"/>
  <c r="H15785" i="5"/>
  <c r="H15777" i="5"/>
  <c r="H15769" i="5"/>
  <c r="H15761" i="5"/>
  <c r="H15753" i="5"/>
  <c r="H15745" i="5"/>
  <c r="H15737" i="5"/>
  <c r="H15729" i="5"/>
  <c r="H15721" i="5"/>
  <c r="H15713" i="5"/>
  <c r="H15705" i="5"/>
  <c r="H15697" i="5"/>
  <c r="H15689" i="5"/>
  <c r="H15681" i="5"/>
  <c r="H15673" i="5"/>
  <c r="H15665" i="5"/>
  <c r="H15657" i="5"/>
  <c r="H15649" i="5"/>
  <c r="H15641" i="5"/>
  <c r="H15633" i="5"/>
  <c r="H15625" i="5"/>
  <c r="H15617" i="5"/>
  <c r="H15609" i="5"/>
  <c r="H15601" i="5"/>
  <c r="H15593" i="5"/>
  <c r="H15585" i="5"/>
  <c r="H15577" i="5"/>
  <c r="H15569" i="5"/>
  <c r="H15561" i="5"/>
  <c r="H15553" i="5"/>
  <c r="H15545" i="5"/>
  <c r="H15537" i="5"/>
  <c r="H15529" i="5"/>
  <c r="H15521" i="5"/>
  <c r="H15513" i="5"/>
  <c r="H15505" i="5"/>
  <c r="H15497" i="5"/>
  <c r="H15489" i="5"/>
  <c r="H15481" i="5"/>
  <c r="H15473" i="5"/>
  <c r="H15465" i="5"/>
  <c r="H15457" i="5"/>
  <c r="H15449" i="5"/>
  <c r="H15441" i="5"/>
  <c r="H15433" i="5"/>
  <c r="H15425" i="5"/>
  <c r="H15417" i="5"/>
  <c r="H15409" i="5"/>
  <c r="H15401" i="5"/>
  <c r="H15393" i="5"/>
  <c r="H15385" i="5"/>
  <c r="H15377" i="5"/>
  <c r="H15369" i="5"/>
  <c r="H15361" i="5"/>
  <c r="H15353" i="5"/>
  <c r="H15345" i="5"/>
  <c r="H15337" i="5"/>
  <c r="H15329" i="5"/>
  <c r="H15321" i="5"/>
  <c r="H15313" i="5"/>
  <c r="H15305" i="5"/>
  <c r="H15297" i="5"/>
  <c r="H15289" i="5"/>
  <c r="H15281" i="5"/>
  <c r="H15273" i="5"/>
  <c r="H15265" i="5"/>
  <c r="H15257" i="5"/>
  <c r="H15249" i="5"/>
  <c r="H15241" i="5"/>
  <c r="H15233" i="5"/>
  <c r="H15225" i="5"/>
  <c r="H15217" i="5"/>
  <c r="H15209" i="5"/>
  <c r="H15201" i="5"/>
  <c r="H15193" i="5"/>
  <c r="H15185" i="5"/>
  <c r="H15177" i="5"/>
  <c r="H15169" i="5"/>
  <c r="H15161" i="5"/>
  <c r="H15153" i="5"/>
  <c r="H15145" i="5"/>
  <c r="H15137" i="5"/>
  <c r="H15129" i="5"/>
  <c r="H15121" i="5"/>
  <c r="H15113" i="5"/>
  <c r="H15105" i="5"/>
  <c r="H15097" i="5"/>
  <c r="H15089" i="5"/>
  <c r="H15081" i="5"/>
  <c r="H15073" i="5"/>
  <c r="H15065" i="5"/>
  <c r="H15057" i="5"/>
  <c r="H15049" i="5"/>
  <c r="H15041" i="5"/>
  <c r="H15033" i="5"/>
  <c r="H15025" i="5"/>
  <c r="H15017" i="5"/>
  <c r="H15009" i="5"/>
  <c r="H15001" i="5"/>
  <c r="H14993" i="5"/>
  <c r="H14985" i="5"/>
  <c r="H14977" i="5"/>
  <c r="H14969" i="5"/>
  <c r="H14961" i="5"/>
  <c r="H14953" i="5"/>
  <c r="H14945" i="5"/>
  <c r="H14937" i="5"/>
  <c r="H14929" i="5"/>
  <c r="H14921" i="5"/>
  <c r="H14913" i="5"/>
  <c r="H14905" i="5"/>
  <c r="H14897" i="5"/>
  <c r="H14889" i="5"/>
  <c r="H14881" i="5"/>
  <c r="H14873" i="5"/>
  <c r="H14865" i="5"/>
  <c r="H14857" i="5"/>
  <c r="H14849" i="5"/>
  <c r="H14841" i="5"/>
  <c r="H14833" i="5"/>
  <c r="H14825" i="5"/>
  <c r="H14817" i="5"/>
  <c r="H14809" i="5"/>
  <c r="H14801" i="5"/>
  <c r="H14793" i="5"/>
  <c r="H14785" i="5"/>
  <c r="H14777" i="5"/>
  <c r="H14769" i="5"/>
  <c r="H14761" i="5"/>
  <c r="H14753" i="5"/>
  <c r="H14745" i="5"/>
  <c r="H14737" i="5"/>
  <c r="H14729" i="5"/>
  <c r="H14721" i="5"/>
  <c r="H14713" i="5"/>
  <c r="H14705" i="5"/>
  <c r="H14697" i="5"/>
  <c r="H14689" i="5"/>
  <c r="H14681" i="5"/>
  <c r="H14673" i="5"/>
  <c r="H14665" i="5"/>
  <c r="H14657" i="5"/>
  <c r="H14649" i="5"/>
  <c r="H14641" i="5"/>
  <c r="H14633" i="5"/>
  <c r="H14625" i="5"/>
  <c r="H14617" i="5"/>
  <c r="H14609" i="5"/>
  <c r="H14601" i="5"/>
  <c r="H14593" i="5"/>
  <c r="H14585" i="5"/>
  <c r="H14577" i="5"/>
  <c r="H14569" i="5"/>
  <c r="H14561" i="5"/>
  <c r="H14553" i="5"/>
  <c r="H14545" i="5"/>
  <c r="H14537" i="5"/>
  <c r="H14529" i="5"/>
  <c r="H14521" i="5"/>
  <c r="H14513" i="5"/>
  <c r="H14505" i="5"/>
  <c r="H14497" i="5"/>
  <c r="H14489" i="5"/>
  <c r="H14481" i="5"/>
  <c r="H14473" i="5"/>
  <c r="H14465" i="5"/>
  <c r="H14457" i="5"/>
  <c r="H14449" i="5"/>
  <c r="H14441" i="5"/>
  <c r="H14433" i="5"/>
  <c r="H14425" i="5"/>
  <c r="H14417" i="5"/>
  <c r="H14409" i="5"/>
  <c r="H14401" i="5"/>
  <c r="H14393" i="5"/>
  <c r="H14385" i="5"/>
  <c r="H14377" i="5"/>
  <c r="H14369" i="5"/>
  <c r="H14361" i="5"/>
  <c r="H14353" i="5"/>
  <c r="H14345" i="5"/>
  <c r="H14337" i="5"/>
  <c r="H14329" i="5"/>
  <c r="H14321" i="5"/>
  <c r="H14313" i="5"/>
  <c r="H14305" i="5"/>
  <c r="H14297" i="5"/>
  <c r="H14289" i="5"/>
  <c r="H14281" i="5"/>
  <c r="H14273" i="5"/>
  <c r="H14265" i="5"/>
  <c r="H14257" i="5"/>
  <c r="H14249" i="5"/>
  <c r="H14241" i="5"/>
  <c r="H14233" i="5"/>
  <c r="H14225" i="5"/>
  <c r="H14217" i="5"/>
  <c r="H14209" i="5"/>
  <c r="H14201" i="5"/>
  <c r="H14193" i="5"/>
  <c r="H14185" i="5"/>
  <c r="H14177" i="5"/>
  <c r="H14169" i="5"/>
  <c r="H14161" i="5"/>
  <c r="H14153" i="5"/>
  <c r="H14145" i="5"/>
  <c r="H14137" i="5"/>
  <c r="H14129" i="5"/>
  <c r="H14121" i="5"/>
  <c r="H14113" i="5"/>
  <c r="H14105" i="5"/>
  <c r="H14097" i="5"/>
  <c r="H14089" i="5"/>
  <c r="H14081" i="5"/>
  <c r="H14073" i="5"/>
  <c r="H14065" i="5"/>
  <c r="H14057" i="5"/>
  <c r="H14049" i="5"/>
  <c r="H14041" i="5"/>
  <c r="H14033" i="5"/>
  <c r="H14025" i="5"/>
  <c r="H14017" i="5"/>
  <c r="H14009" i="5"/>
  <c r="H14001" i="5"/>
  <c r="H13993" i="5"/>
  <c r="H13985" i="5"/>
  <c r="H13977" i="5"/>
  <c r="H13969" i="5"/>
  <c r="H13961" i="5"/>
  <c r="H13953" i="5"/>
  <c r="H13945" i="5"/>
  <c r="H13937" i="5"/>
  <c r="H13929" i="5"/>
  <c r="H13921" i="5"/>
  <c r="H13913" i="5"/>
  <c r="H13905" i="5"/>
  <c r="H13897" i="5"/>
  <c r="H13889" i="5"/>
  <c r="H13881" i="5"/>
  <c r="H13873" i="5"/>
  <c r="H13865" i="5"/>
  <c r="H13857" i="5"/>
  <c r="H13849" i="5"/>
  <c r="H13841" i="5"/>
  <c r="H13833" i="5"/>
  <c r="H13825" i="5"/>
  <c r="H13817" i="5"/>
  <c r="H13809" i="5"/>
  <c r="H13801" i="5"/>
  <c r="H13793" i="5"/>
  <c r="H13785" i="5"/>
  <c r="H13777" i="5"/>
  <c r="H13769" i="5"/>
  <c r="H13761" i="5"/>
  <c r="H13753" i="5"/>
  <c r="H13745" i="5"/>
  <c r="H13737" i="5"/>
  <c r="H13729" i="5"/>
  <c r="H13721" i="5"/>
  <c r="H13713" i="5"/>
  <c r="H13705" i="5"/>
  <c r="H13697" i="5"/>
  <c r="H13689" i="5"/>
  <c r="H13681" i="5"/>
  <c r="H13673" i="5"/>
  <c r="H13665" i="5"/>
  <c r="H13657" i="5"/>
  <c r="H13649" i="5"/>
  <c r="H13641" i="5"/>
  <c r="H13633" i="5"/>
  <c r="H13625" i="5"/>
  <c r="H13617" i="5"/>
  <c r="H13609" i="5"/>
  <c r="H13601" i="5"/>
  <c r="H13593" i="5"/>
  <c r="H13585" i="5"/>
  <c r="H13577" i="5"/>
  <c r="H13569" i="5"/>
  <c r="H13561" i="5"/>
  <c r="H13553" i="5"/>
  <c r="H13545" i="5"/>
  <c r="H13537" i="5"/>
  <c r="H13529" i="5"/>
  <c r="H13521" i="5"/>
  <c r="H13513" i="5"/>
  <c r="H13505" i="5"/>
  <c r="H13497" i="5"/>
  <c r="H13489" i="5"/>
  <c r="H13481" i="5"/>
  <c r="H13473" i="5"/>
  <c r="H13465" i="5"/>
  <c r="H13457" i="5"/>
  <c r="H13449" i="5"/>
  <c r="H13441" i="5"/>
  <c r="H13433" i="5"/>
  <c r="H13425" i="5"/>
  <c r="H13417" i="5"/>
  <c r="H13409" i="5"/>
  <c r="H13401" i="5"/>
  <c r="H13393" i="5"/>
  <c r="H13385" i="5"/>
  <c r="H13377" i="5"/>
  <c r="H13369" i="5"/>
  <c r="H13361" i="5"/>
  <c r="H13353" i="5"/>
  <c r="H13345" i="5"/>
  <c r="H13337" i="5"/>
  <c r="H13329" i="5"/>
  <c r="H13321" i="5"/>
  <c r="H13313" i="5"/>
  <c r="H13305" i="5"/>
  <c r="H13297" i="5"/>
  <c r="H13289" i="5"/>
  <c r="H13281" i="5"/>
  <c r="H13273" i="5"/>
  <c r="H13265" i="5"/>
  <c r="H13257" i="5"/>
  <c r="H13249" i="5"/>
  <c r="H13241" i="5"/>
  <c r="H13233" i="5"/>
  <c r="H13225" i="5"/>
  <c r="H13217" i="5"/>
  <c r="H13209" i="5"/>
  <c r="H13201" i="5"/>
  <c r="H13193" i="5"/>
  <c r="H13185" i="5"/>
  <c r="H13177" i="5"/>
  <c r="H13169" i="5"/>
  <c r="H13161" i="5"/>
  <c r="H13153" i="5"/>
  <c r="H13145" i="5"/>
  <c r="H13137" i="5"/>
  <c r="H13129" i="5"/>
  <c r="H13121" i="5"/>
  <c r="H13113" i="5"/>
  <c r="H13105" i="5"/>
  <c r="H13097" i="5"/>
  <c r="H13089" i="5"/>
  <c r="H13081" i="5"/>
  <c r="H13073" i="5"/>
  <c r="H13065" i="5"/>
  <c r="H13057" i="5"/>
  <c r="H13049" i="5"/>
  <c r="H13041" i="5"/>
  <c r="H13033" i="5"/>
  <c r="H13025" i="5"/>
  <c r="H13017" i="5"/>
  <c r="H13009" i="5"/>
  <c r="H13001" i="5"/>
  <c r="H12993" i="5"/>
  <c r="H12985" i="5"/>
  <c r="H12977" i="5"/>
  <c r="H12969" i="5"/>
  <c r="H12961" i="5"/>
  <c r="H12953" i="5"/>
  <c r="H12945" i="5"/>
  <c r="H12937" i="5"/>
  <c r="H12929" i="5"/>
  <c r="H12921" i="5"/>
  <c r="H12913" i="5"/>
  <c r="H12905" i="5"/>
  <c r="H12897" i="5"/>
  <c r="H12889" i="5"/>
  <c r="H12881" i="5"/>
  <c r="H12873" i="5"/>
  <c r="H12865" i="5"/>
  <c r="H12857" i="5"/>
  <c r="H12849" i="5"/>
  <c r="H12841" i="5"/>
  <c r="H12833" i="5"/>
  <c r="H12825" i="5"/>
  <c r="H12817" i="5"/>
  <c r="H12809" i="5"/>
  <c r="H12801" i="5"/>
  <c r="H12793" i="5"/>
  <c r="H12785" i="5"/>
  <c r="H12777" i="5"/>
  <c r="H12769" i="5"/>
  <c r="H12761" i="5"/>
  <c r="H12753" i="5"/>
  <c r="H12745" i="5"/>
  <c r="H12737" i="5"/>
  <c r="H12729" i="5"/>
  <c r="H12721" i="5"/>
  <c r="H12713" i="5"/>
  <c r="H12705" i="5"/>
  <c r="H12697" i="5"/>
  <c r="H12689" i="5"/>
  <c r="H12681" i="5"/>
  <c r="H12673" i="5"/>
  <c r="H12665" i="5"/>
  <c r="H12657" i="5"/>
  <c r="H12649" i="5"/>
  <c r="H12641" i="5"/>
  <c r="H12633" i="5"/>
  <c r="H12625" i="5"/>
  <c r="H12617" i="5"/>
  <c r="H12609" i="5"/>
  <c r="H12601" i="5"/>
  <c r="H12593" i="5"/>
  <c r="H12585" i="5"/>
  <c r="H12577" i="5"/>
  <c r="H12569" i="5"/>
  <c r="H12561" i="5"/>
  <c r="H12553" i="5"/>
  <c r="H12545" i="5"/>
  <c r="H12537" i="5"/>
  <c r="H12529" i="5"/>
  <c r="H12521" i="5"/>
  <c r="H12513" i="5"/>
  <c r="H12505" i="5"/>
  <c r="H12497" i="5"/>
  <c r="H12489" i="5"/>
  <c r="H12481" i="5"/>
  <c r="H12473" i="5"/>
  <c r="H12465" i="5"/>
  <c r="H12457" i="5"/>
  <c r="H12449" i="5"/>
  <c r="H12441" i="5"/>
  <c r="H12433" i="5"/>
  <c r="H12425" i="5"/>
  <c r="H12417" i="5"/>
  <c r="H12409" i="5"/>
  <c r="H12401" i="5"/>
  <c r="H12393" i="5"/>
  <c r="H12385" i="5"/>
  <c r="H12377" i="5"/>
  <c r="H12369" i="5"/>
  <c r="H12361" i="5"/>
  <c r="H12353" i="5"/>
  <c r="H12345" i="5"/>
  <c r="H12337" i="5"/>
  <c r="H12329" i="5"/>
  <c r="H12321" i="5"/>
  <c r="H12313" i="5"/>
  <c r="H12305" i="5"/>
  <c r="H12297" i="5"/>
  <c r="H12289" i="5"/>
  <c r="H12281" i="5"/>
  <c r="H12273" i="5"/>
  <c r="H12265" i="5"/>
  <c r="H12257" i="5"/>
  <c r="H12249" i="5"/>
  <c r="H12241" i="5"/>
  <c r="H12233" i="5"/>
  <c r="H12225" i="5"/>
  <c r="H12217" i="5"/>
  <c r="H12209" i="5"/>
  <c r="H12201" i="5"/>
  <c r="H12193" i="5"/>
  <c r="H12185" i="5"/>
  <c r="H12177" i="5"/>
  <c r="H12169" i="5"/>
  <c r="H12161" i="5"/>
  <c r="H12153" i="5"/>
  <c r="H12145" i="5"/>
  <c r="H12137" i="5"/>
  <c r="H12129" i="5"/>
  <c r="H12121" i="5"/>
  <c r="H12113" i="5"/>
  <c r="H12105" i="5"/>
  <c r="H12097" i="5"/>
  <c r="H12089" i="5"/>
  <c r="H12081" i="5"/>
  <c r="H12073" i="5"/>
  <c r="H12065" i="5"/>
  <c r="H12057" i="5"/>
  <c r="H12049" i="5"/>
  <c r="H12041" i="5"/>
  <c r="H12033" i="5"/>
  <c r="H12025" i="5"/>
  <c r="H12017" i="5"/>
  <c r="H12009" i="5"/>
  <c r="H12001" i="5"/>
  <c r="H11993" i="5"/>
  <c r="H11985" i="5"/>
  <c r="H11977" i="5"/>
  <c r="H11969" i="5"/>
  <c r="H11961" i="5"/>
  <c r="H11953" i="5"/>
  <c r="H11945" i="5"/>
  <c r="H11937" i="5"/>
  <c r="H11929" i="5"/>
  <c r="H11921" i="5"/>
  <c r="H11913" i="5"/>
  <c r="H11905" i="5"/>
  <c r="H11897" i="5"/>
  <c r="H11889" i="5"/>
  <c r="H11881" i="5"/>
  <c r="H11873" i="5"/>
  <c r="H11865" i="5"/>
  <c r="H11857" i="5"/>
  <c r="H11849" i="5"/>
  <c r="H11841" i="5"/>
  <c r="H11833" i="5"/>
  <c r="H11825" i="5"/>
  <c r="H11817" i="5"/>
  <c r="H11809" i="5"/>
  <c r="H11801" i="5"/>
  <c r="H11793" i="5"/>
  <c r="H11785" i="5"/>
  <c r="H11777" i="5"/>
  <c r="H11769" i="5"/>
  <c r="H11761" i="5"/>
  <c r="H11753" i="5"/>
  <c r="H11745" i="5"/>
  <c r="H11737" i="5"/>
  <c r="H11729" i="5"/>
  <c r="H11721" i="5"/>
  <c r="H11713" i="5"/>
  <c r="H11705" i="5"/>
  <c r="H11697" i="5"/>
  <c r="H11689" i="5"/>
  <c r="H11681" i="5"/>
  <c r="H11673" i="5"/>
  <c r="H11665" i="5"/>
  <c r="H11657" i="5"/>
  <c r="H11649" i="5"/>
  <c r="H11641" i="5"/>
  <c r="H11633" i="5"/>
  <c r="H11625" i="5"/>
  <c r="H11617" i="5"/>
  <c r="H11609" i="5"/>
  <c r="H11601" i="5"/>
  <c r="H11593" i="5"/>
  <c r="H11585" i="5"/>
  <c r="H11577" i="5"/>
  <c r="H11569" i="5"/>
  <c r="H11561" i="5"/>
  <c r="H11553" i="5"/>
  <c r="H11545" i="5"/>
  <c r="H11537" i="5"/>
  <c r="H11529" i="5"/>
  <c r="H11521" i="5"/>
  <c r="H11513" i="5"/>
  <c r="H11505" i="5"/>
  <c r="H11497" i="5"/>
  <c r="H11489" i="5"/>
  <c r="H11481" i="5"/>
  <c r="H11473" i="5"/>
  <c r="H11465" i="5"/>
  <c r="H11457" i="5"/>
  <c r="H11449" i="5"/>
  <c r="H11441" i="5"/>
  <c r="H11433" i="5"/>
  <c r="H11425" i="5"/>
  <c r="H11417" i="5"/>
  <c r="H11409" i="5"/>
  <c r="H11401" i="5"/>
  <c r="H11393" i="5"/>
  <c r="H11385" i="5"/>
  <c r="H11377" i="5"/>
  <c r="H11369" i="5"/>
  <c r="H11361" i="5"/>
  <c r="H11353" i="5"/>
  <c r="H11345" i="5"/>
  <c r="H11337" i="5"/>
  <c r="H11329" i="5"/>
  <c r="H11321" i="5"/>
  <c r="H11313" i="5"/>
  <c r="H11305" i="5"/>
  <c r="H11297" i="5"/>
  <c r="H11289" i="5"/>
  <c r="H11281" i="5"/>
  <c r="H11273" i="5"/>
  <c r="H11265" i="5"/>
  <c r="H11257" i="5"/>
  <c r="H11249" i="5"/>
  <c r="H11241" i="5"/>
  <c r="H11233" i="5"/>
  <c r="H11225" i="5"/>
  <c r="H11217" i="5"/>
  <c r="H11209" i="5"/>
  <c r="H11201" i="5"/>
  <c r="H11193" i="5"/>
  <c r="H11185" i="5"/>
  <c r="H11177" i="5"/>
  <c r="H11169" i="5"/>
  <c r="H11161" i="5"/>
  <c r="H11153" i="5"/>
  <c r="H11145" i="5"/>
  <c r="H11137" i="5"/>
  <c r="H11129" i="5"/>
  <c r="H11121" i="5"/>
  <c r="H11113" i="5"/>
  <c r="H11105" i="5"/>
  <c r="H11097" i="5"/>
  <c r="H11089" i="5"/>
  <c r="H11081" i="5"/>
  <c r="H11073" i="5"/>
  <c r="H11065" i="5"/>
  <c r="H11057" i="5"/>
  <c r="H11049" i="5"/>
  <c r="H11041" i="5"/>
  <c r="H11033" i="5"/>
  <c r="H11025" i="5"/>
  <c r="H11017" i="5"/>
  <c r="H11009" i="5"/>
  <c r="H11001" i="5"/>
  <c r="H10993" i="5"/>
  <c r="H10985" i="5"/>
  <c r="H10977" i="5"/>
  <c r="H10969" i="5"/>
  <c r="H10961" i="5"/>
  <c r="H10953" i="5"/>
  <c r="H10945" i="5"/>
  <c r="H10937" i="5"/>
  <c r="H10929" i="5"/>
  <c r="H10921" i="5"/>
  <c r="H10913" i="5"/>
  <c r="H10905" i="5"/>
  <c r="H10897" i="5"/>
  <c r="H10889" i="5"/>
  <c r="H10881" i="5"/>
  <c r="H10873" i="5"/>
  <c r="H10865" i="5"/>
  <c r="H10857" i="5"/>
  <c r="H10849" i="5"/>
  <c r="H10841" i="5"/>
  <c r="H10833" i="5"/>
  <c r="H10825" i="5"/>
  <c r="H10817" i="5"/>
  <c r="H10809" i="5"/>
  <c r="H10801" i="5"/>
  <c r="H10793" i="5"/>
  <c r="H10785" i="5"/>
  <c r="H10777" i="5"/>
  <c r="H10769" i="5"/>
  <c r="H10761" i="5"/>
  <c r="H10753" i="5"/>
  <c r="H10745" i="5"/>
  <c r="H10737" i="5"/>
  <c r="H10729" i="5"/>
  <c r="H10721" i="5"/>
  <c r="H10713" i="5"/>
  <c r="H10705" i="5"/>
  <c r="H10697" i="5"/>
  <c r="H10689" i="5"/>
  <c r="H10681" i="5"/>
  <c r="H10673" i="5"/>
  <c r="H10665" i="5"/>
  <c r="H10657" i="5"/>
  <c r="H10649" i="5"/>
  <c r="H10641" i="5"/>
  <c r="H10633" i="5"/>
  <c r="H10625" i="5"/>
  <c r="H10617" i="5"/>
  <c r="H10609" i="5"/>
  <c r="H10601" i="5"/>
  <c r="H10593" i="5"/>
  <c r="H10585" i="5"/>
  <c r="H10577" i="5"/>
  <c r="H10569" i="5"/>
  <c r="H10561" i="5"/>
  <c r="H10553" i="5"/>
  <c r="H10545" i="5"/>
  <c r="H10537" i="5"/>
  <c r="H10529" i="5"/>
  <c r="H10521" i="5"/>
  <c r="H10513" i="5"/>
  <c r="H10505" i="5"/>
  <c r="H10497" i="5"/>
  <c r="H10489" i="5"/>
  <c r="H10481" i="5"/>
  <c r="H10473" i="5"/>
  <c r="H10465" i="5"/>
  <c r="H10457" i="5"/>
  <c r="H10449" i="5"/>
  <c r="H10441" i="5"/>
  <c r="H10433" i="5"/>
  <c r="H10425" i="5"/>
  <c r="H10417" i="5"/>
  <c r="H10409" i="5"/>
  <c r="H10401" i="5"/>
  <c r="H10393" i="5"/>
  <c r="H10385" i="5"/>
  <c r="H10377" i="5"/>
  <c r="H10369" i="5"/>
  <c r="H10361" i="5"/>
  <c r="H10353" i="5"/>
  <c r="H10345" i="5"/>
  <c r="H10337" i="5"/>
  <c r="H10329" i="5"/>
  <c r="H10321" i="5"/>
  <c r="H10313" i="5"/>
  <c r="H10305" i="5"/>
  <c r="H10297" i="5"/>
  <c r="H10289" i="5"/>
  <c r="H10281" i="5"/>
  <c r="H10273" i="5"/>
  <c r="H10265" i="5"/>
  <c r="H10257" i="5"/>
  <c r="H10249" i="5"/>
  <c r="H10241" i="5"/>
  <c r="H10233" i="5"/>
  <c r="H10225" i="5"/>
  <c r="H10217" i="5"/>
  <c r="H10209" i="5"/>
  <c r="H10201" i="5"/>
  <c r="H10193" i="5"/>
  <c r="H10185" i="5"/>
  <c r="H10177" i="5"/>
  <c r="H10169" i="5"/>
  <c r="H10161" i="5"/>
  <c r="H10153" i="5"/>
  <c r="H10145" i="5"/>
  <c r="H10137" i="5"/>
  <c r="H10129" i="5"/>
  <c r="H10121" i="5"/>
  <c r="H10113" i="5"/>
  <c r="H10105" i="5"/>
  <c r="H10097" i="5"/>
  <c r="H10089" i="5"/>
  <c r="H10081" i="5"/>
  <c r="H10073" i="5"/>
  <c r="H10065" i="5"/>
  <c r="H10057" i="5"/>
  <c r="H10049" i="5"/>
  <c r="H10041" i="5"/>
  <c r="H10033" i="5"/>
  <c r="H10025" i="5"/>
  <c r="H10017" i="5"/>
  <c r="H10009" i="5"/>
  <c r="H10001" i="5"/>
  <c r="H9993" i="5"/>
  <c r="H9985" i="5"/>
  <c r="H9977" i="5"/>
  <c r="H9969" i="5"/>
  <c r="H9961" i="5"/>
  <c r="H9953" i="5"/>
  <c r="H9945" i="5"/>
  <c r="H9937" i="5"/>
  <c r="H9929" i="5"/>
  <c r="H9921" i="5"/>
  <c r="H9913" i="5"/>
  <c r="H9905" i="5"/>
  <c r="H9897" i="5"/>
  <c r="H9889" i="5"/>
  <c r="H9881" i="5"/>
  <c r="H9873" i="5"/>
  <c r="H9865" i="5"/>
  <c r="H9857" i="5"/>
  <c r="H9849" i="5"/>
  <c r="H9841" i="5"/>
  <c r="H9833" i="5"/>
  <c r="H9825" i="5"/>
  <c r="H9817" i="5"/>
  <c r="H9809" i="5"/>
  <c r="H9801" i="5"/>
  <c r="H9793" i="5"/>
  <c r="H9785" i="5"/>
  <c r="H9777" i="5"/>
  <c r="H9769" i="5"/>
  <c r="H9761" i="5"/>
  <c r="H9753" i="5"/>
  <c r="H9745" i="5"/>
  <c r="H9737" i="5"/>
  <c r="H9729" i="5"/>
  <c r="H9721" i="5"/>
  <c r="H9713" i="5"/>
  <c r="H9705" i="5"/>
  <c r="H9697" i="5"/>
  <c r="H9689" i="5"/>
  <c r="H9681" i="5"/>
  <c r="H9673" i="5"/>
  <c r="H9665" i="5"/>
  <c r="H9657" i="5"/>
  <c r="H9649" i="5"/>
  <c r="H9641" i="5"/>
  <c r="H9633" i="5"/>
  <c r="H9625" i="5"/>
  <c r="H9617" i="5"/>
  <c r="H9609" i="5"/>
  <c r="H9601" i="5"/>
  <c r="H9593" i="5"/>
  <c r="H9585" i="5"/>
  <c r="H9577" i="5"/>
  <c r="H9569" i="5"/>
  <c r="H9561" i="5"/>
  <c r="H9553" i="5"/>
  <c r="H9545" i="5"/>
  <c r="H9537" i="5"/>
  <c r="H9529" i="5"/>
  <c r="H9521" i="5"/>
  <c r="H9513" i="5"/>
  <c r="H9505" i="5"/>
  <c r="H9497" i="5"/>
  <c r="H9489" i="5"/>
  <c r="H9481" i="5"/>
  <c r="H9473" i="5"/>
  <c r="H9465" i="5"/>
  <c r="H9457" i="5"/>
  <c r="H9449" i="5"/>
  <c r="H9441" i="5"/>
  <c r="H9433" i="5"/>
  <c r="H9425" i="5"/>
  <c r="H9417" i="5"/>
  <c r="H9409" i="5"/>
  <c r="H9401" i="5"/>
  <c r="H9393" i="5"/>
  <c r="H9385" i="5"/>
  <c r="H9377" i="5"/>
  <c r="H9369" i="5"/>
  <c r="H9361" i="5"/>
  <c r="H9353" i="5"/>
  <c r="H9345" i="5"/>
  <c r="H9337" i="5"/>
  <c r="H9329" i="5"/>
  <c r="H9321" i="5"/>
  <c r="H9313" i="5"/>
  <c r="H9305" i="5"/>
  <c r="H9297" i="5"/>
  <c r="H9289" i="5"/>
  <c r="H9281" i="5"/>
  <c r="H9273" i="5"/>
  <c r="H9265" i="5"/>
  <c r="H9257" i="5"/>
  <c r="H9249" i="5"/>
  <c r="H9241" i="5"/>
  <c r="H9233" i="5"/>
  <c r="H9225" i="5"/>
  <c r="H9217" i="5"/>
  <c r="H9209" i="5"/>
  <c r="H9201" i="5"/>
  <c r="H9193" i="5"/>
  <c r="H9185" i="5"/>
  <c r="H9177" i="5"/>
  <c r="H9169" i="5"/>
  <c r="H9161" i="5"/>
  <c r="H9153" i="5"/>
  <c r="H9145" i="5"/>
  <c r="H9137" i="5"/>
  <c r="H9129" i="5"/>
  <c r="H9121" i="5"/>
  <c r="H9113" i="5"/>
  <c r="H9105" i="5"/>
  <c r="H9097" i="5"/>
  <c r="H9089" i="5"/>
  <c r="H9081" i="5"/>
  <c r="H9073" i="5"/>
  <c r="H9065" i="5"/>
  <c r="H9057" i="5"/>
  <c r="H9049" i="5"/>
  <c r="H9041" i="5"/>
  <c r="H9033" i="5"/>
  <c r="H9025" i="5"/>
  <c r="H9017" i="5"/>
  <c r="H9009" i="5"/>
  <c r="H9001" i="5"/>
  <c r="H8993" i="5"/>
  <c r="H8985" i="5"/>
  <c r="H8977" i="5"/>
  <c r="H8969" i="5"/>
  <c r="H8961" i="5"/>
  <c r="H8953" i="5"/>
  <c r="H8945" i="5"/>
  <c r="H8937" i="5"/>
  <c r="H8929" i="5"/>
  <c r="H8921" i="5"/>
  <c r="H8913" i="5"/>
  <c r="H8905" i="5"/>
  <c r="H8897" i="5"/>
  <c r="H8889" i="5"/>
  <c r="H8881" i="5"/>
  <c r="H8873" i="5"/>
  <c r="H8865" i="5"/>
  <c r="H8857" i="5"/>
  <c r="H8849" i="5"/>
  <c r="H8841" i="5"/>
  <c r="H8833" i="5"/>
  <c r="H8825" i="5"/>
  <c r="H8817" i="5"/>
  <c r="H8809" i="5"/>
  <c r="H8801" i="5"/>
  <c r="H8793" i="5"/>
  <c r="H8785" i="5"/>
  <c r="H8777" i="5"/>
  <c r="H8769" i="5"/>
  <c r="H8761" i="5"/>
  <c r="H8753" i="5"/>
  <c r="H8745" i="5"/>
  <c r="H8737" i="5"/>
  <c r="H8729" i="5"/>
  <c r="H8721" i="5"/>
  <c r="H8713" i="5"/>
  <c r="H8705" i="5"/>
  <c r="H8697" i="5"/>
  <c r="H8689" i="5"/>
  <c r="H8681" i="5"/>
  <c r="H8673" i="5"/>
  <c r="H8665" i="5"/>
  <c r="H8657" i="5"/>
  <c r="H8649" i="5"/>
  <c r="H8641" i="5"/>
  <c r="H8633" i="5"/>
  <c r="H8625" i="5"/>
  <c r="H8617" i="5"/>
  <c r="H8609" i="5"/>
  <c r="H8601" i="5"/>
  <c r="H8593" i="5"/>
  <c r="H8585" i="5"/>
  <c r="H8577" i="5"/>
  <c r="H8569" i="5"/>
  <c r="H8561" i="5"/>
  <c r="H8553" i="5"/>
  <c r="H8545" i="5"/>
  <c r="H8537" i="5"/>
  <c r="H8529" i="5"/>
  <c r="H8521" i="5"/>
  <c r="H8513" i="5"/>
  <c r="H8505" i="5"/>
  <c r="H8497" i="5"/>
  <c r="H8489" i="5"/>
  <c r="H8481" i="5"/>
  <c r="H8473" i="5"/>
  <c r="H8465" i="5"/>
  <c r="H8457" i="5"/>
  <c r="H8449" i="5"/>
  <c r="H8441" i="5"/>
  <c r="H8433" i="5"/>
  <c r="H8425" i="5"/>
  <c r="H8417" i="5"/>
  <c r="H8409" i="5"/>
  <c r="H8401" i="5"/>
  <c r="H8393" i="5"/>
  <c r="H8385" i="5"/>
  <c r="H8377" i="5"/>
  <c r="H8369" i="5"/>
  <c r="H8361" i="5"/>
  <c r="H8353" i="5"/>
  <c r="H8345" i="5"/>
  <c r="H8337" i="5"/>
  <c r="H8329" i="5"/>
  <c r="H8321" i="5"/>
  <c r="H8313" i="5"/>
  <c r="H8305" i="5"/>
  <c r="H8297" i="5"/>
  <c r="H8289" i="5"/>
  <c r="H8281" i="5"/>
  <c r="H8273" i="5"/>
  <c r="H8265" i="5"/>
  <c r="H8257" i="5"/>
  <c r="H8249" i="5"/>
  <c r="H8241" i="5"/>
  <c r="H8233" i="5"/>
  <c r="H8225" i="5"/>
  <c r="H8217" i="5"/>
  <c r="H8209" i="5"/>
  <c r="H8201" i="5"/>
  <c r="H8193" i="5"/>
  <c r="H8185" i="5"/>
  <c r="H8177" i="5"/>
  <c r="H8169" i="5"/>
  <c r="H8161" i="5"/>
  <c r="H8153" i="5"/>
  <c r="H8145" i="5"/>
  <c r="H8137" i="5"/>
  <c r="H8129" i="5"/>
  <c r="H8121" i="5"/>
  <c r="H8113" i="5"/>
  <c r="H8105" i="5"/>
  <c r="H8097" i="5"/>
  <c r="H8089" i="5"/>
  <c r="H8081" i="5"/>
  <c r="H8073" i="5"/>
  <c r="H8065" i="5"/>
  <c r="H8057" i="5"/>
  <c r="H8049" i="5"/>
  <c r="H8041" i="5"/>
  <c r="H8033" i="5"/>
  <c r="H8025" i="5"/>
  <c r="H8017" i="5"/>
  <c r="H8009" i="5"/>
  <c r="H8001" i="5"/>
  <c r="H7993" i="5"/>
  <c r="H7985" i="5"/>
  <c r="H7977" i="5"/>
  <c r="H7969" i="5"/>
  <c r="H7961" i="5"/>
  <c r="H7953" i="5"/>
  <c r="H7945" i="5"/>
  <c r="H7937" i="5"/>
  <c r="H7929" i="5"/>
  <c r="H7921" i="5"/>
  <c r="H7913" i="5"/>
  <c r="H7905" i="5"/>
  <c r="H7897" i="5"/>
  <c r="H7889" i="5"/>
  <c r="H7881" i="5"/>
  <c r="H7873" i="5"/>
  <c r="H7865" i="5"/>
  <c r="H7857" i="5"/>
  <c r="H7849" i="5"/>
  <c r="H7841" i="5"/>
  <c r="H7833" i="5"/>
  <c r="H7825" i="5"/>
  <c r="H7817" i="5"/>
  <c r="H7809" i="5"/>
  <c r="H7801" i="5"/>
  <c r="H7793" i="5"/>
  <c r="H7785" i="5"/>
  <c r="H7777" i="5"/>
  <c r="H7769" i="5"/>
  <c r="H7761" i="5"/>
  <c r="H7753" i="5"/>
  <c r="H7745" i="5"/>
  <c r="H7737" i="5"/>
  <c r="H7729" i="5"/>
  <c r="H7721" i="5"/>
  <c r="H7713" i="5"/>
  <c r="H7705" i="5"/>
  <c r="H7697" i="5"/>
  <c r="H7689" i="5"/>
  <c r="H7681" i="5"/>
  <c r="H7673" i="5"/>
  <c r="H7665" i="5"/>
  <c r="H7657" i="5"/>
  <c r="H7649" i="5"/>
  <c r="H7641" i="5"/>
  <c r="H7633" i="5"/>
  <c r="H7625" i="5"/>
  <c r="H7617" i="5"/>
  <c r="H7609" i="5"/>
  <c r="H7601" i="5"/>
  <c r="H7593" i="5"/>
  <c r="H7585" i="5"/>
  <c r="H7577" i="5"/>
  <c r="H7569" i="5"/>
  <c r="H7561" i="5"/>
  <c r="H7553" i="5"/>
  <c r="H7545" i="5"/>
  <c r="H7537" i="5"/>
  <c r="H7529" i="5"/>
  <c r="H7521" i="5"/>
  <c r="H7513" i="5"/>
  <c r="H7505" i="5"/>
  <c r="H7497" i="5"/>
  <c r="H7489" i="5"/>
  <c r="H7481" i="5"/>
  <c r="H7473" i="5"/>
  <c r="H7465" i="5"/>
  <c r="H7457" i="5"/>
  <c r="H7449" i="5"/>
  <c r="H7441" i="5"/>
  <c r="H7433" i="5"/>
  <c r="H7425" i="5"/>
  <c r="H7417" i="5"/>
  <c r="H7409" i="5"/>
  <c r="H7401" i="5"/>
  <c r="H7393" i="5"/>
  <c r="H7385" i="5"/>
  <c r="H7377" i="5"/>
  <c r="H7369" i="5"/>
  <c r="H7361" i="5"/>
  <c r="H7353" i="5"/>
  <c r="H7345" i="5"/>
  <c r="H7337" i="5"/>
  <c r="H7329" i="5"/>
  <c r="H7321" i="5"/>
  <c r="H7313" i="5"/>
  <c r="H7305" i="5"/>
  <c r="H7297" i="5"/>
  <c r="H7289" i="5"/>
  <c r="H7281" i="5"/>
  <c r="H7273" i="5"/>
  <c r="H7265" i="5"/>
  <c r="H7257" i="5"/>
  <c r="H7249" i="5"/>
  <c r="H7241" i="5"/>
  <c r="H7233" i="5"/>
  <c r="H7225" i="5"/>
  <c r="H7217" i="5"/>
  <c r="H7209" i="5"/>
  <c r="H7201" i="5"/>
  <c r="H7193" i="5"/>
  <c r="H7185" i="5"/>
  <c r="H7177" i="5"/>
  <c r="H7169" i="5"/>
  <c r="H7161" i="5"/>
  <c r="H7153" i="5"/>
  <c r="H7145" i="5"/>
  <c r="H7137" i="5"/>
  <c r="H7129" i="5"/>
  <c r="H7121" i="5"/>
  <c r="H7113" i="5"/>
  <c r="H7105" i="5"/>
  <c r="H7097" i="5"/>
  <c r="H7089" i="5"/>
  <c r="H7081" i="5"/>
  <c r="H7073" i="5"/>
  <c r="H7065" i="5"/>
  <c r="H7057" i="5"/>
  <c r="H7049" i="5"/>
  <c r="H7041" i="5"/>
  <c r="H7033" i="5"/>
  <c r="H7025" i="5"/>
  <c r="H7017" i="5"/>
  <c r="H7009" i="5"/>
  <c r="H7001" i="5"/>
  <c r="H6993" i="5"/>
  <c r="H6985" i="5"/>
  <c r="H6977" i="5"/>
  <c r="H6969" i="5"/>
  <c r="H6961" i="5"/>
  <c r="H6953" i="5"/>
  <c r="H6945" i="5"/>
  <c r="H6937" i="5"/>
  <c r="H6929" i="5"/>
  <c r="H6921" i="5"/>
  <c r="H6913" i="5"/>
  <c r="H6905" i="5"/>
  <c r="H6897" i="5"/>
  <c r="H6889" i="5"/>
  <c r="H6881" i="5"/>
  <c r="H6873" i="5"/>
  <c r="H6865" i="5"/>
  <c r="H6857" i="5"/>
  <c r="H6849" i="5"/>
  <c r="H6841" i="5"/>
  <c r="H6833" i="5"/>
  <c r="H6825" i="5"/>
  <c r="H6817" i="5"/>
  <c r="H6809" i="5"/>
  <c r="H6801" i="5"/>
  <c r="H6793" i="5"/>
  <c r="H6785" i="5"/>
  <c r="H6777" i="5"/>
  <c r="H6769" i="5"/>
  <c r="H6761" i="5"/>
  <c r="H6753" i="5"/>
  <c r="H6745" i="5"/>
  <c r="H6737" i="5"/>
  <c r="H6729" i="5"/>
  <c r="H6721" i="5"/>
  <c r="H6713" i="5"/>
  <c r="H6705" i="5"/>
  <c r="H6697" i="5"/>
  <c r="H6689" i="5"/>
  <c r="H6681" i="5"/>
  <c r="H6673" i="5"/>
  <c r="H6665" i="5"/>
  <c r="H6657" i="5"/>
  <c r="H6649" i="5"/>
  <c r="H6641" i="5"/>
  <c r="H6633" i="5"/>
  <c r="H6625" i="5"/>
  <c r="H6617" i="5"/>
  <c r="H6609" i="5"/>
  <c r="H6601" i="5"/>
  <c r="H6593" i="5"/>
  <c r="H6585" i="5"/>
  <c r="H6577" i="5"/>
  <c r="H6569" i="5"/>
  <c r="H6561" i="5"/>
  <c r="H6553" i="5"/>
  <c r="H6545" i="5"/>
  <c r="H6537" i="5"/>
  <c r="H6529" i="5"/>
  <c r="H6521" i="5"/>
  <c r="H6513" i="5"/>
  <c r="H6505" i="5"/>
  <c r="H6497" i="5"/>
  <c r="H6489" i="5"/>
  <c r="H6481" i="5"/>
  <c r="H6473" i="5"/>
  <c r="H6465" i="5"/>
  <c r="H6457" i="5"/>
  <c r="H6449" i="5"/>
  <c r="H6441" i="5"/>
  <c r="H6433" i="5"/>
  <c r="H6425" i="5"/>
  <c r="H6417" i="5"/>
  <c r="H6409" i="5"/>
  <c r="H6401" i="5"/>
  <c r="H6393" i="5"/>
  <c r="H6385" i="5"/>
  <c r="H6377" i="5"/>
  <c r="H6369" i="5"/>
  <c r="H6361" i="5"/>
  <c r="H6353" i="5"/>
  <c r="H6345" i="5"/>
  <c r="H6337" i="5"/>
  <c r="H6329" i="5"/>
  <c r="H6321" i="5"/>
  <c r="H6313" i="5"/>
  <c r="H6305" i="5"/>
  <c r="H6297" i="5"/>
  <c r="H6289" i="5"/>
  <c r="H6281" i="5"/>
  <c r="H6273" i="5"/>
  <c r="H6265" i="5"/>
  <c r="H6257" i="5"/>
  <c r="H6249" i="5"/>
  <c r="H6241" i="5"/>
  <c r="H6233" i="5"/>
  <c r="H6225" i="5"/>
  <c r="H6217" i="5"/>
  <c r="H6209" i="5"/>
  <c r="H6201" i="5"/>
  <c r="H6193" i="5"/>
  <c r="H6185" i="5"/>
  <c r="H6177" i="5"/>
  <c r="H6169" i="5"/>
  <c r="H6161" i="5"/>
  <c r="H6153" i="5"/>
  <c r="H6145" i="5"/>
  <c r="H6137" i="5"/>
  <c r="H6129" i="5"/>
  <c r="H6121" i="5"/>
  <c r="H6113" i="5"/>
  <c r="H6105" i="5"/>
  <c r="H6097" i="5"/>
  <c r="H6089" i="5"/>
  <c r="H6081" i="5"/>
  <c r="H6073" i="5"/>
  <c r="H6065" i="5"/>
  <c r="H6057" i="5"/>
  <c r="H6049" i="5"/>
  <c r="H6041" i="5"/>
  <c r="H6033" i="5"/>
  <c r="H6025" i="5"/>
  <c r="H6017" i="5"/>
  <c r="H6009" i="5"/>
  <c r="H6001" i="5"/>
  <c r="H5993" i="5"/>
  <c r="H5985" i="5"/>
  <c r="H5977" i="5"/>
  <c r="H5969" i="5"/>
  <c r="H5961" i="5"/>
  <c r="H5953" i="5"/>
  <c r="H5945" i="5"/>
  <c r="H5937" i="5"/>
  <c r="H5929" i="5"/>
  <c r="H5921" i="5"/>
  <c r="H5913" i="5"/>
  <c r="H5905" i="5"/>
  <c r="H5897" i="5"/>
  <c r="H5889" i="5"/>
  <c r="H5881" i="5"/>
  <c r="H5873" i="5"/>
  <c r="H5865" i="5"/>
  <c r="H5857" i="5"/>
  <c r="H5849" i="5"/>
  <c r="H5841" i="5"/>
  <c r="H5833" i="5"/>
  <c r="H5825" i="5"/>
  <c r="H5817" i="5"/>
  <c r="H5809" i="5"/>
  <c r="H5801" i="5"/>
  <c r="H5793" i="5"/>
  <c r="H5785" i="5"/>
  <c r="H5777" i="5"/>
  <c r="H5769" i="5"/>
  <c r="H5761" i="5"/>
  <c r="H5753" i="5"/>
  <c r="H5745" i="5"/>
  <c r="H5737" i="5"/>
  <c r="H5729" i="5"/>
  <c r="H5721" i="5"/>
  <c r="H5713" i="5"/>
  <c r="H5705" i="5"/>
  <c r="H5697" i="5"/>
  <c r="H5689" i="5"/>
  <c r="H5681" i="5"/>
  <c r="H5673" i="5"/>
  <c r="H5665" i="5"/>
  <c r="H5657" i="5"/>
  <c r="H5649" i="5"/>
  <c r="H5641" i="5"/>
  <c r="H5633" i="5"/>
  <c r="H5625" i="5"/>
  <c r="H5617" i="5"/>
  <c r="H5609" i="5"/>
  <c r="H5601" i="5"/>
  <c r="H5593" i="5"/>
  <c r="H5585" i="5"/>
  <c r="H5577" i="5"/>
  <c r="H5569" i="5"/>
  <c r="H5561" i="5"/>
  <c r="H5553" i="5"/>
  <c r="H5545" i="5"/>
  <c r="H5537" i="5"/>
  <c r="H5529" i="5"/>
  <c r="H5521" i="5"/>
  <c r="H5513" i="5"/>
  <c r="H5505" i="5"/>
  <c r="H5497" i="5"/>
  <c r="H5489" i="5"/>
  <c r="H5481" i="5"/>
  <c r="H5473" i="5"/>
  <c r="H5465" i="5"/>
  <c r="H5457" i="5"/>
  <c r="H5449" i="5"/>
  <c r="H5441" i="5"/>
  <c r="H5433" i="5"/>
  <c r="H5425" i="5"/>
  <c r="H5417" i="5"/>
  <c r="H5409" i="5"/>
  <c r="H5401" i="5"/>
  <c r="H5393" i="5"/>
  <c r="H5385" i="5"/>
  <c r="H5377" i="5"/>
  <c r="H5369" i="5"/>
  <c r="H5361" i="5"/>
  <c r="H5353" i="5"/>
  <c r="H5345" i="5"/>
  <c r="H5337" i="5"/>
  <c r="H5329" i="5"/>
  <c r="H5321" i="5"/>
  <c r="H5313" i="5"/>
  <c r="H5305" i="5"/>
  <c r="H5297" i="5"/>
  <c r="H5289" i="5"/>
  <c r="H5281" i="5"/>
  <c r="H5273" i="5"/>
  <c r="H5265" i="5"/>
  <c r="H5257" i="5"/>
  <c r="H5249" i="5"/>
  <c r="H5241" i="5"/>
  <c r="H5233" i="5"/>
  <c r="H5225" i="5"/>
  <c r="H5217" i="5"/>
  <c r="H5209" i="5"/>
  <c r="H5201" i="5"/>
  <c r="H5193" i="5"/>
  <c r="H5185" i="5"/>
  <c r="H5177" i="5"/>
  <c r="H5169" i="5"/>
  <c r="H5161" i="5"/>
  <c r="H5153" i="5"/>
  <c r="H5145" i="5"/>
  <c r="H5137" i="5"/>
  <c r="H5129" i="5"/>
  <c r="H5121" i="5"/>
  <c r="H5113" i="5"/>
  <c r="H5105" i="5"/>
  <c r="H5097" i="5"/>
  <c r="H5089" i="5"/>
  <c r="H5081" i="5"/>
  <c r="H5073" i="5"/>
  <c r="H5065" i="5"/>
  <c r="H5057" i="5"/>
  <c r="H5049" i="5"/>
  <c r="H5041" i="5"/>
  <c r="H5033" i="5"/>
  <c r="H5025" i="5"/>
  <c r="H5017" i="5"/>
  <c r="H5009" i="5"/>
  <c r="H5001" i="5"/>
  <c r="H4993" i="5"/>
  <c r="H4985" i="5"/>
  <c r="H4977" i="5"/>
  <c r="H4969" i="5"/>
  <c r="H4961" i="5"/>
  <c r="H4953" i="5"/>
  <c r="H4945" i="5"/>
  <c r="H4937" i="5"/>
  <c r="H4929" i="5"/>
  <c r="H4921" i="5"/>
  <c r="H4913" i="5"/>
  <c r="H4905" i="5"/>
  <c r="H4897" i="5"/>
  <c r="H4889" i="5"/>
  <c r="H4881" i="5"/>
  <c r="H4873" i="5"/>
  <c r="H4865" i="5"/>
  <c r="H4857" i="5"/>
  <c r="H4849" i="5"/>
  <c r="H4841" i="5"/>
  <c r="H4833" i="5"/>
  <c r="H4825" i="5"/>
  <c r="H4817" i="5"/>
  <c r="H4809" i="5"/>
  <c r="H4801" i="5"/>
  <c r="H4793" i="5"/>
  <c r="H4785" i="5"/>
  <c r="H4777" i="5"/>
  <c r="H4769" i="5"/>
  <c r="H4761" i="5"/>
  <c r="H4753" i="5"/>
  <c r="H4745" i="5"/>
  <c r="H4737" i="5"/>
  <c r="H4729" i="5"/>
  <c r="H4721" i="5"/>
  <c r="H4713" i="5"/>
  <c r="H4705" i="5"/>
  <c r="H4697" i="5"/>
  <c r="H4689" i="5"/>
  <c r="H4681" i="5"/>
  <c r="H4673" i="5"/>
  <c r="H4665" i="5"/>
  <c r="H4657" i="5"/>
  <c r="H4649" i="5"/>
  <c r="H4641" i="5"/>
  <c r="H4633" i="5"/>
  <c r="H4625" i="5"/>
  <c r="H4617" i="5"/>
  <c r="H4609" i="5"/>
  <c r="H4601" i="5"/>
  <c r="H4593" i="5"/>
  <c r="H4585" i="5"/>
  <c r="H4577" i="5"/>
  <c r="H4569" i="5"/>
  <c r="H4561" i="5"/>
  <c r="H4553" i="5"/>
  <c r="H4545" i="5"/>
  <c r="H4537" i="5"/>
  <c r="H4529" i="5"/>
  <c r="H4521" i="5"/>
  <c r="H4513" i="5"/>
  <c r="H4505" i="5"/>
  <c r="H4497" i="5"/>
  <c r="H4489" i="5"/>
  <c r="H4481" i="5"/>
  <c r="H4473" i="5"/>
  <c r="H4465" i="5"/>
  <c r="H4457" i="5"/>
  <c r="H4449" i="5"/>
  <c r="H4441" i="5"/>
  <c r="H4433" i="5"/>
  <c r="H4425" i="5"/>
  <c r="H4417" i="5"/>
  <c r="H4409" i="5"/>
  <c r="H4401" i="5"/>
  <c r="H4393" i="5"/>
  <c r="H4385" i="5"/>
  <c r="H4377" i="5"/>
  <c r="H4369" i="5"/>
  <c r="H4361" i="5"/>
  <c r="H4353" i="5"/>
  <c r="H4345" i="5"/>
  <c r="H4337" i="5"/>
  <c r="H4329" i="5"/>
  <c r="H4321" i="5"/>
  <c r="H4313" i="5"/>
  <c r="H4305" i="5"/>
  <c r="H4297" i="5"/>
  <c r="H4289" i="5"/>
  <c r="H4281" i="5"/>
  <c r="H4273" i="5"/>
  <c r="H4265" i="5"/>
  <c r="H4257" i="5"/>
  <c r="H4249" i="5"/>
  <c r="H4241" i="5"/>
  <c r="H4233" i="5"/>
  <c r="H4225" i="5"/>
  <c r="H4217" i="5"/>
  <c r="H4209" i="5"/>
  <c r="H4201" i="5"/>
  <c r="H4193" i="5"/>
  <c r="H4185" i="5"/>
  <c r="H4177" i="5"/>
  <c r="H4169" i="5"/>
  <c r="H4161" i="5"/>
  <c r="H4153" i="5"/>
  <c r="H4145" i="5"/>
  <c r="H4137" i="5"/>
  <c r="H4129" i="5"/>
  <c r="H4121" i="5"/>
  <c r="H4113" i="5"/>
  <c r="H4105" i="5"/>
  <c r="H4097" i="5"/>
  <c r="H4089" i="5"/>
  <c r="H4081" i="5"/>
  <c r="H4073" i="5"/>
  <c r="H4065" i="5"/>
  <c r="H4057" i="5"/>
  <c r="H4049" i="5"/>
  <c r="H4041" i="5"/>
  <c r="H4033" i="5"/>
  <c r="H4025" i="5"/>
  <c r="H4017" i="5"/>
  <c r="H4009" i="5"/>
  <c r="H4001" i="5"/>
  <c r="H3993" i="5"/>
  <c r="H3985" i="5"/>
  <c r="H3977" i="5"/>
  <c r="H3969" i="5"/>
  <c r="H3961" i="5"/>
  <c r="H3953" i="5"/>
  <c r="H3945" i="5"/>
  <c r="H3937" i="5"/>
  <c r="H3929" i="5"/>
  <c r="H3921" i="5"/>
  <c r="H3913" i="5"/>
  <c r="H3905" i="5"/>
  <c r="H3897" i="5"/>
  <c r="H3889" i="5"/>
  <c r="H3881" i="5"/>
  <c r="H3873" i="5"/>
  <c r="H3865" i="5"/>
  <c r="H3857" i="5"/>
  <c r="H3849" i="5"/>
  <c r="H3841" i="5"/>
  <c r="H3833" i="5"/>
  <c r="H3825" i="5"/>
  <c r="H3817" i="5"/>
  <c r="H3809" i="5"/>
  <c r="H3801" i="5"/>
  <c r="H3793" i="5"/>
  <c r="H3785" i="5"/>
  <c r="H3777" i="5"/>
  <c r="H3769" i="5"/>
  <c r="H3761" i="5"/>
  <c r="H3753" i="5"/>
  <c r="H3745" i="5"/>
  <c r="H3737" i="5"/>
  <c r="H3729" i="5"/>
  <c r="H3721" i="5"/>
  <c r="H3713" i="5"/>
  <c r="H3705" i="5"/>
  <c r="H3697" i="5"/>
  <c r="H3689" i="5"/>
  <c r="H3681" i="5"/>
  <c r="H3673" i="5"/>
  <c r="H3665" i="5"/>
  <c r="H3657" i="5"/>
  <c r="H3649" i="5"/>
  <c r="H3641" i="5"/>
  <c r="H3633" i="5"/>
  <c r="H3625" i="5"/>
  <c r="H3617" i="5"/>
  <c r="H3609" i="5"/>
  <c r="H3601" i="5"/>
  <c r="H3593" i="5"/>
  <c r="H3585" i="5"/>
  <c r="H3577" i="5"/>
  <c r="H3569" i="5"/>
  <c r="H3561" i="5"/>
  <c r="H3553" i="5"/>
  <c r="H3545" i="5"/>
  <c r="H3537" i="5"/>
  <c r="H3529" i="5"/>
  <c r="H3521" i="5"/>
  <c r="H3513" i="5"/>
  <c r="H3505" i="5"/>
  <c r="H3497" i="5"/>
  <c r="H3489" i="5"/>
  <c r="H3481" i="5"/>
  <c r="H3473" i="5"/>
  <c r="H3465" i="5"/>
  <c r="H3457" i="5"/>
  <c r="H3449" i="5"/>
  <c r="H3441" i="5"/>
  <c r="H3433" i="5"/>
  <c r="H3425" i="5"/>
  <c r="H3417" i="5"/>
  <c r="H3409" i="5"/>
  <c r="H3401" i="5"/>
  <c r="H3393" i="5"/>
  <c r="H3385" i="5"/>
  <c r="H3377" i="5"/>
  <c r="H3369" i="5"/>
  <c r="H3361" i="5"/>
  <c r="H3353" i="5"/>
  <c r="H3345" i="5"/>
  <c r="H3337" i="5"/>
  <c r="H3329" i="5"/>
  <c r="H3321" i="5"/>
  <c r="H3313" i="5"/>
  <c r="H3305" i="5"/>
  <c r="H3297" i="5"/>
  <c r="H3289" i="5"/>
  <c r="H3281" i="5"/>
  <c r="H3273" i="5"/>
  <c r="H3265" i="5"/>
  <c r="H3257" i="5"/>
  <c r="H3249" i="5"/>
  <c r="H3241" i="5"/>
  <c r="H3233" i="5"/>
  <c r="H3225" i="5"/>
  <c r="H3217" i="5"/>
  <c r="H3209" i="5"/>
  <c r="H3201" i="5"/>
  <c r="H3193" i="5"/>
  <c r="H3185" i="5"/>
  <c r="H3177" i="5"/>
  <c r="H3169" i="5"/>
  <c r="H3161" i="5"/>
  <c r="H3153" i="5"/>
  <c r="H3145" i="5"/>
  <c r="H3137" i="5"/>
  <c r="H3129" i="5"/>
  <c r="H3121" i="5"/>
  <c r="H3113" i="5"/>
  <c r="H3105" i="5"/>
  <c r="H3097" i="5"/>
  <c r="H3089" i="5"/>
  <c r="H3081" i="5"/>
  <c r="H3073" i="5"/>
  <c r="H3065" i="5"/>
  <c r="H3057" i="5"/>
  <c r="H3049" i="5"/>
  <c r="H3041" i="5"/>
  <c r="H3033" i="5"/>
  <c r="H3025" i="5"/>
  <c r="H3017" i="5"/>
  <c r="H3009" i="5"/>
  <c r="H3001" i="5"/>
  <c r="H2993" i="5"/>
  <c r="H2985" i="5"/>
  <c r="H2977" i="5"/>
  <c r="H2969" i="5"/>
  <c r="H2961" i="5"/>
  <c r="H2953" i="5"/>
  <c r="H2945" i="5"/>
  <c r="H2937" i="5"/>
  <c r="H2929" i="5"/>
  <c r="H2921" i="5"/>
  <c r="H2913" i="5"/>
  <c r="H2905" i="5"/>
  <c r="H2897" i="5"/>
  <c r="H2889" i="5"/>
  <c r="H2881" i="5"/>
  <c r="H2873" i="5"/>
  <c r="H2865" i="5"/>
  <c r="H2857" i="5"/>
  <c r="H2849" i="5"/>
  <c r="H2841" i="5"/>
  <c r="H2833" i="5"/>
  <c r="H2825" i="5"/>
  <c r="H2817" i="5"/>
  <c r="H2809" i="5"/>
  <c r="H2801" i="5"/>
  <c r="H2793" i="5"/>
  <c r="H2785" i="5"/>
  <c r="H2777" i="5"/>
  <c r="H2769" i="5"/>
  <c r="H2761" i="5"/>
  <c r="H2753" i="5"/>
  <c r="H2745" i="5"/>
  <c r="H2737" i="5"/>
  <c r="H2729" i="5"/>
  <c r="H2721" i="5"/>
  <c r="H2713" i="5"/>
  <c r="H2705" i="5"/>
  <c r="H2697" i="5"/>
  <c r="H2689" i="5"/>
  <c r="H2681" i="5"/>
  <c r="H2673" i="5"/>
  <c r="H2665" i="5"/>
  <c r="H2657" i="5"/>
  <c r="H2649" i="5"/>
  <c r="H2641" i="5"/>
  <c r="H2633" i="5"/>
  <c r="H2625" i="5"/>
  <c r="H2617" i="5"/>
  <c r="H2609" i="5"/>
  <c r="H2601" i="5"/>
  <c r="H2593" i="5"/>
  <c r="H2585" i="5"/>
  <c r="H2577" i="5"/>
  <c r="H2569" i="5"/>
  <c r="H2561" i="5"/>
  <c r="H2553" i="5"/>
  <c r="H2545" i="5"/>
  <c r="H2537" i="5"/>
  <c r="H2529" i="5"/>
  <c r="H2521" i="5"/>
  <c r="H2513" i="5"/>
  <c r="H2505" i="5"/>
  <c r="H2497" i="5"/>
  <c r="H2489" i="5"/>
  <c r="H2481" i="5"/>
  <c r="H2473" i="5"/>
  <c r="H2465" i="5"/>
  <c r="H2457" i="5"/>
  <c r="H2449" i="5"/>
  <c r="H2441" i="5"/>
  <c r="H2433" i="5"/>
  <c r="H2425" i="5"/>
  <c r="H2417" i="5"/>
  <c r="H2409" i="5"/>
  <c r="H2401" i="5"/>
  <c r="H2393" i="5"/>
  <c r="H2385" i="5"/>
  <c r="H2377" i="5"/>
  <c r="H2369" i="5"/>
  <c r="H2361" i="5"/>
  <c r="H2353" i="5"/>
  <c r="H2345" i="5"/>
  <c r="H2337" i="5"/>
  <c r="H2329" i="5"/>
  <c r="H2321" i="5"/>
  <c r="H2313" i="5"/>
  <c r="H2305" i="5"/>
  <c r="H2297" i="5"/>
  <c r="H2289" i="5"/>
  <c r="H2281" i="5"/>
  <c r="H2273" i="5"/>
  <c r="H2265" i="5"/>
  <c r="H2257" i="5"/>
  <c r="H2249" i="5"/>
  <c r="H2241" i="5"/>
  <c r="H2233" i="5"/>
  <c r="H2225" i="5"/>
  <c r="H2217" i="5"/>
  <c r="H2209" i="5"/>
  <c r="H2201" i="5"/>
  <c r="H2193" i="5"/>
  <c r="H2185" i="5"/>
  <c r="H2177" i="5"/>
  <c r="H2169" i="5"/>
  <c r="H2161" i="5"/>
  <c r="H2153" i="5"/>
  <c r="H2145" i="5"/>
  <c r="H2137" i="5"/>
  <c r="H2129" i="5"/>
  <c r="H2121" i="5"/>
  <c r="H2113" i="5"/>
  <c r="H2105" i="5"/>
  <c r="H2097" i="5"/>
  <c r="H2089" i="5"/>
  <c r="H2081" i="5"/>
  <c r="H2073" i="5"/>
  <c r="H2065" i="5"/>
  <c r="H2057" i="5"/>
  <c r="H2049" i="5"/>
  <c r="H2041" i="5"/>
  <c r="H2033" i="5"/>
  <c r="H2025" i="5"/>
  <c r="H2017" i="5"/>
  <c r="H2009" i="5"/>
  <c r="H2001" i="5"/>
  <c r="H1993" i="5"/>
  <c r="H1985" i="5"/>
  <c r="H1977" i="5"/>
  <c r="H1969" i="5"/>
  <c r="H1961" i="5"/>
  <c r="H1953" i="5"/>
  <c r="H1945" i="5"/>
  <c r="H1937" i="5"/>
  <c r="H1929" i="5"/>
  <c r="H1921" i="5"/>
  <c r="H1913" i="5"/>
  <c r="H1905" i="5"/>
  <c r="H1897" i="5"/>
  <c r="H1889" i="5"/>
  <c r="H1881" i="5"/>
  <c r="H1873" i="5"/>
  <c r="H1865" i="5"/>
  <c r="H1857" i="5"/>
  <c r="H1849" i="5"/>
  <c r="H1841" i="5"/>
  <c r="H1833" i="5"/>
  <c r="H1825" i="5"/>
  <c r="H1817" i="5"/>
  <c r="H1809" i="5"/>
  <c r="H1801" i="5"/>
  <c r="H1793" i="5"/>
  <c r="H1785" i="5"/>
  <c r="H1777" i="5"/>
  <c r="H1769" i="5"/>
  <c r="H1761" i="5"/>
  <c r="H1753" i="5"/>
  <c r="H1745" i="5"/>
  <c r="H1737" i="5"/>
  <c r="H1729" i="5"/>
  <c r="H1721" i="5"/>
  <c r="H1713" i="5"/>
  <c r="H1705" i="5"/>
  <c r="H1697" i="5"/>
  <c r="H1689" i="5"/>
  <c r="H1681" i="5"/>
  <c r="H1673" i="5"/>
  <c r="H1665" i="5"/>
  <c r="H1657" i="5"/>
  <c r="H1649" i="5"/>
  <c r="H1641" i="5"/>
  <c r="H1633" i="5"/>
  <c r="H1625" i="5"/>
  <c r="H1617" i="5"/>
  <c r="H1609" i="5"/>
  <c r="H1601" i="5"/>
  <c r="H1593" i="5"/>
  <c r="H1585" i="5"/>
  <c r="H1577" i="5"/>
  <c r="H1569" i="5"/>
  <c r="H1561" i="5"/>
  <c r="H1553" i="5"/>
  <c r="H1545" i="5"/>
  <c r="H1537" i="5"/>
  <c r="H1529" i="5"/>
  <c r="H1521" i="5"/>
  <c r="H1513" i="5"/>
  <c r="H1505" i="5"/>
  <c r="H1497" i="5"/>
  <c r="H1489" i="5"/>
  <c r="H1481" i="5"/>
  <c r="H1473" i="5"/>
  <c r="H1465" i="5"/>
  <c r="H1457" i="5"/>
  <c r="H1449" i="5"/>
  <c r="H1441" i="5"/>
  <c r="H1433" i="5"/>
  <c r="H1425" i="5"/>
  <c r="H1417" i="5"/>
  <c r="H1409" i="5"/>
  <c r="H1401" i="5"/>
  <c r="H1393" i="5"/>
  <c r="H1385" i="5"/>
  <c r="H1377" i="5"/>
  <c r="H1369" i="5"/>
  <c r="H1361" i="5"/>
  <c r="H1353" i="5"/>
  <c r="H1345" i="5"/>
  <c r="H1337" i="5"/>
  <c r="H1329" i="5"/>
  <c r="H1321" i="5"/>
  <c r="H1313" i="5"/>
  <c r="H1305" i="5"/>
  <c r="H1297" i="5"/>
  <c r="H1289" i="5"/>
  <c r="H1281" i="5"/>
  <c r="H1273" i="5"/>
  <c r="H1265" i="5"/>
  <c r="H1257" i="5"/>
  <c r="H1249" i="5"/>
  <c r="H1241" i="5"/>
  <c r="H1233" i="5"/>
  <c r="H1225" i="5"/>
  <c r="H1217" i="5"/>
  <c r="H1209" i="5"/>
  <c r="H1201" i="5"/>
  <c r="H1193" i="5"/>
  <c r="H1185" i="5"/>
  <c r="H1177" i="5"/>
  <c r="H1169" i="5"/>
  <c r="H1161" i="5"/>
  <c r="H1153" i="5"/>
  <c r="H1145" i="5"/>
  <c r="H1137" i="5"/>
  <c r="H1129" i="5"/>
  <c r="H1121" i="5"/>
  <c r="H1113" i="5"/>
  <c r="H1105" i="5"/>
  <c r="H1097" i="5"/>
  <c r="H1089" i="5"/>
  <c r="H1081" i="5"/>
  <c r="H1073" i="5"/>
  <c r="H1065" i="5"/>
  <c r="H1057" i="5"/>
  <c r="H1049" i="5"/>
  <c r="H1041" i="5"/>
  <c r="H1033" i="5"/>
  <c r="H1025" i="5"/>
  <c r="H1017" i="5"/>
  <c r="H1009" i="5"/>
  <c r="H1001" i="5"/>
  <c r="H993" i="5"/>
  <c r="H985" i="5"/>
  <c r="H977" i="5"/>
  <c r="H969" i="5"/>
  <c r="H961" i="5"/>
  <c r="H953" i="5"/>
  <c r="H945" i="5"/>
  <c r="H937" i="5"/>
  <c r="H929" i="5"/>
  <c r="H921" i="5"/>
  <c r="H913" i="5"/>
  <c r="H905" i="5"/>
  <c r="H897" i="5"/>
  <c r="H889" i="5"/>
  <c r="H881" i="5"/>
  <c r="H873" i="5"/>
  <c r="H865" i="5"/>
  <c r="H857" i="5"/>
  <c r="H849" i="5"/>
  <c r="H841" i="5"/>
  <c r="H833" i="5"/>
  <c r="H825" i="5"/>
  <c r="H817" i="5"/>
  <c r="H809" i="5"/>
  <c r="H801" i="5"/>
  <c r="H793" i="5"/>
  <c r="H785" i="5"/>
  <c r="H777" i="5"/>
  <c r="H769" i="5"/>
  <c r="H761" i="5"/>
  <c r="H753" i="5"/>
  <c r="H745" i="5"/>
  <c r="H737" i="5"/>
  <c r="H729" i="5"/>
  <c r="H721" i="5"/>
  <c r="H713" i="5"/>
  <c r="H705" i="5"/>
  <c r="H697" i="5"/>
  <c r="H689" i="5"/>
  <c r="H681" i="5"/>
  <c r="H673" i="5"/>
  <c r="H665" i="5"/>
  <c r="H657" i="5"/>
  <c r="H649" i="5"/>
  <c r="H641" i="5"/>
  <c r="H633" i="5"/>
  <c r="H625" i="5"/>
  <c r="H617" i="5"/>
  <c r="H609" i="5"/>
  <c r="H601" i="5"/>
  <c r="H593" i="5"/>
  <c r="H585" i="5"/>
  <c r="H577" i="5"/>
  <c r="H569" i="5"/>
  <c r="H561" i="5"/>
  <c r="H553" i="5"/>
  <c r="H545" i="5"/>
  <c r="H537" i="5"/>
  <c r="H529" i="5"/>
  <c r="H521" i="5"/>
  <c r="H513" i="5"/>
  <c r="H505" i="5"/>
  <c r="H497" i="5"/>
  <c r="H489" i="5"/>
  <c r="H481" i="5"/>
  <c r="H473" i="5"/>
  <c r="H465" i="5"/>
  <c r="H457" i="5"/>
  <c r="H449" i="5"/>
  <c r="H441" i="5"/>
  <c r="H433" i="5"/>
  <c r="H425" i="5"/>
  <c r="H417" i="5"/>
  <c r="H409" i="5"/>
  <c r="H401" i="5"/>
  <c r="H393" i="5"/>
  <c r="H385" i="5"/>
  <c r="H377" i="5"/>
  <c r="H369" i="5"/>
  <c r="H361" i="5"/>
  <c r="H353" i="5"/>
  <c r="H345" i="5"/>
  <c r="H337" i="5"/>
  <c r="H329" i="5"/>
  <c r="H321" i="5"/>
  <c r="H313" i="5"/>
  <c r="H305" i="5"/>
  <c r="H297" i="5"/>
  <c r="H289" i="5"/>
  <c r="H281" i="5"/>
  <c r="H273" i="5"/>
  <c r="H265" i="5"/>
  <c r="H257" i="5"/>
  <c r="H249" i="5"/>
  <c r="H241" i="5"/>
  <c r="H233" i="5"/>
  <c r="H225" i="5"/>
  <c r="H217" i="5"/>
  <c r="H209" i="5"/>
  <c r="H201" i="5"/>
  <c r="H193" i="5"/>
  <c r="H185" i="5"/>
  <c r="H177" i="5"/>
  <c r="H169" i="5"/>
  <c r="H161" i="5"/>
  <c r="H153" i="5"/>
  <c r="H145" i="5"/>
  <c r="H137" i="5"/>
  <c r="H129" i="5"/>
  <c r="H121" i="5"/>
  <c r="H113" i="5"/>
  <c r="H41311" i="5"/>
  <c r="H38790" i="5"/>
  <c r="H36742" i="5"/>
  <c r="H35585" i="5"/>
  <c r="H34818" i="5"/>
  <c r="H34477" i="5"/>
  <c r="H34221" i="5"/>
  <c r="H33965" i="5"/>
  <c r="H33709" i="5"/>
  <c r="H33453" i="5"/>
  <c r="H33197" i="5"/>
  <c r="H32941" i="5"/>
  <c r="H32685" i="5"/>
  <c r="H32429" i="5"/>
  <c r="H32173" i="5"/>
  <c r="H31917" i="5"/>
  <c r="H31661" i="5"/>
  <c r="H31405" i="5"/>
  <c r="H31149" i="5"/>
  <c r="H30893" i="5"/>
  <c r="H30637" i="5"/>
  <c r="H30381" i="5"/>
  <c r="H30125" i="5"/>
  <c r="H29869" i="5"/>
  <c r="H29613" i="5"/>
  <c r="H29357" i="5"/>
  <c r="H29205" i="5"/>
  <c r="H29077" i="5"/>
  <c r="H28949" i="5"/>
  <c r="H28821" i="5"/>
  <c r="H28693" i="5"/>
  <c r="H28565" i="5"/>
  <c r="H28437" i="5"/>
  <c r="H28309" i="5"/>
  <c r="H28181" i="5"/>
  <c r="H28053" i="5"/>
  <c r="H27925" i="5"/>
  <c r="H27797" i="5"/>
  <c r="H27669" i="5"/>
  <c r="H27541" i="5"/>
  <c r="H27421" i="5"/>
  <c r="H27334" i="5"/>
  <c r="H27248" i="5"/>
  <c r="H27165" i="5"/>
  <c r="H27088" i="5"/>
  <c r="H27024" i="5"/>
  <c r="H26960" i="5"/>
  <c r="H26896" i="5"/>
  <c r="H26832" i="5"/>
  <c r="H26768" i="5"/>
  <c r="H26704" i="5"/>
  <c r="H26640" i="5"/>
  <c r="H26576" i="5"/>
  <c r="H26512" i="5"/>
  <c r="H26448" i="5"/>
  <c r="H26384" i="5"/>
  <c r="H26320" i="5"/>
  <c r="H26256" i="5"/>
  <c r="H26192" i="5"/>
  <c r="H26128" i="5"/>
  <c r="H26064" i="5"/>
  <c r="H26000" i="5"/>
  <c r="H25936" i="5"/>
  <c r="H25872" i="5"/>
  <c r="H25808" i="5"/>
  <c r="H25744" i="5"/>
  <c r="H25680" i="5"/>
  <c r="H25616" i="5"/>
  <c r="H25552" i="5"/>
  <c r="H25499" i="5"/>
  <c r="H25446" i="5"/>
  <c r="H25396" i="5"/>
  <c r="H25344" i="5"/>
  <c r="H25293" i="5"/>
  <c r="H25243" i="5"/>
  <c r="H25190" i="5"/>
  <c r="H25140" i="5"/>
  <c r="H25088" i="5"/>
  <c r="H25037" i="5"/>
  <c r="H24987" i="5"/>
  <c r="H24946" i="5"/>
  <c r="H24911" i="5"/>
  <c r="H24879" i="5"/>
  <c r="H24847" i="5"/>
  <c r="H24815" i="5"/>
  <c r="H24783" i="5"/>
  <c r="H24751" i="5"/>
  <c r="H24719" i="5"/>
  <c r="H24687" i="5"/>
  <c r="H24655" i="5"/>
  <c r="H24623" i="5"/>
  <c r="H24591" i="5"/>
  <c r="H24559" i="5"/>
  <c r="H24527" i="5"/>
  <c r="H24495" i="5"/>
  <c r="H24463" i="5"/>
  <c r="H24431" i="5"/>
  <c r="H24399" i="5"/>
  <c r="H24367" i="5"/>
  <c r="H24335" i="5"/>
  <c r="H24303" i="5"/>
  <c r="H24271" i="5"/>
  <c r="H24239" i="5"/>
  <c r="H24207" i="5"/>
  <c r="H24175" i="5"/>
  <c r="H24143" i="5"/>
  <c r="H24111" i="5"/>
  <c r="H24079" i="5"/>
  <c r="H24047" i="5"/>
  <c r="H24015" i="5"/>
  <c r="H23983" i="5"/>
  <c r="H23951" i="5"/>
  <c r="H23919" i="5"/>
  <c r="H23887" i="5"/>
  <c r="H23855" i="5"/>
  <c r="H23823" i="5"/>
  <c r="H23791" i="5"/>
  <c r="H23759" i="5"/>
  <c r="H23727" i="5"/>
  <c r="H23695" i="5"/>
  <c r="H23663" i="5"/>
  <c r="H23631" i="5"/>
  <c r="H23599" i="5"/>
  <c r="H23567" i="5"/>
  <c r="H23535" i="5"/>
  <c r="H23503" i="5"/>
  <c r="H23471" i="5"/>
  <c r="H23439" i="5"/>
  <c r="H23407" i="5"/>
  <c r="H23375" i="5"/>
  <c r="H23343" i="5"/>
  <c r="H23311" i="5"/>
  <c r="H23279" i="5"/>
  <c r="H23247" i="5"/>
  <c r="H23215" i="5"/>
  <c r="H23183" i="5"/>
  <c r="H23151" i="5"/>
  <c r="H23119" i="5"/>
  <c r="H23087" i="5"/>
  <c r="H23055" i="5"/>
  <c r="H23023" i="5"/>
  <c r="H22991" i="5"/>
  <c r="H22959" i="5"/>
  <c r="H22927" i="5"/>
  <c r="H22895" i="5"/>
  <c r="H22863" i="5"/>
  <c r="H22831" i="5"/>
  <c r="H22799" i="5"/>
  <c r="H22767" i="5"/>
  <c r="H22735" i="5"/>
  <c r="H22703" i="5"/>
  <c r="H22671" i="5"/>
  <c r="H22639" i="5"/>
  <c r="H22607" i="5"/>
  <c r="H22575" i="5"/>
  <c r="H22543" i="5"/>
  <c r="H22511" i="5"/>
  <c r="H22479" i="5"/>
  <c r="H22447" i="5"/>
  <c r="H22415" i="5"/>
  <c r="H22383" i="5"/>
  <c r="H22351" i="5"/>
  <c r="H22319" i="5"/>
  <c r="H22287" i="5"/>
  <c r="H22255" i="5"/>
  <c r="H22223" i="5"/>
  <c r="H22191" i="5"/>
  <c r="H22159" i="5"/>
  <c r="H22127" i="5"/>
  <c r="H22095" i="5"/>
  <c r="H22063" i="5"/>
  <c r="H22031" i="5"/>
  <c r="H21999" i="5"/>
  <c r="H21967" i="5"/>
  <c r="H21935" i="5"/>
  <c r="H21903" i="5"/>
  <c r="H21871" i="5"/>
  <c r="H21839" i="5"/>
  <c r="H21807" i="5"/>
  <c r="H21775" i="5"/>
  <c r="H21743" i="5"/>
  <c r="H21711" i="5"/>
  <c r="H21679" i="5"/>
  <c r="H21647" i="5"/>
  <c r="H21615" i="5"/>
  <c r="H21583" i="5"/>
  <c r="H21551" i="5"/>
  <c r="H21519" i="5"/>
  <c r="H21487" i="5"/>
  <c r="H21455" i="5"/>
  <c r="H21423" i="5"/>
  <c r="H21391" i="5"/>
  <c r="H21359" i="5"/>
  <c r="H21327" i="5"/>
  <c r="H21295" i="5"/>
  <c r="H21263" i="5"/>
  <c r="H21231" i="5"/>
  <c r="H21199" i="5"/>
  <c r="H21167" i="5"/>
  <c r="H21135" i="5"/>
  <c r="H21103" i="5"/>
  <c r="H21071" i="5"/>
  <c r="H21039" i="5"/>
  <c r="H21007" i="5"/>
  <c r="H20975" i="5"/>
  <c r="H20943" i="5"/>
  <c r="H20911" i="5"/>
  <c r="H20879" i="5"/>
  <c r="H20847" i="5"/>
  <c r="H20815" i="5"/>
  <c r="H20783" i="5"/>
  <c r="H20751" i="5"/>
  <c r="H20719" i="5"/>
  <c r="H20687" i="5"/>
  <c r="H20655" i="5"/>
  <c r="H20623" i="5"/>
  <c r="H20591" i="5"/>
  <c r="H20559" i="5"/>
  <c r="H20527" i="5"/>
  <c r="H20495" i="5"/>
  <c r="H20463" i="5"/>
  <c r="H20431" i="5"/>
  <c r="H20399" i="5"/>
  <c r="H20367" i="5"/>
  <c r="H20335" i="5"/>
  <c r="H20303" i="5"/>
  <c r="H20271" i="5"/>
  <c r="H20239" i="5"/>
  <c r="H20207" i="5"/>
  <c r="H20175" i="5"/>
  <c r="H20143" i="5"/>
  <c r="H20111" i="5"/>
  <c r="H20079" i="5"/>
  <c r="H20047" i="5"/>
  <c r="H20015" i="5"/>
  <c r="H19983" i="5"/>
  <c r="H19951" i="5"/>
  <c r="H19919" i="5"/>
  <c r="H19887" i="5"/>
  <c r="H19855" i="5"/>
  <c r="H19823" i="5"/>
  <c r="H19791" i="5"/>
  <c r="H19759" i="5"/>
  <c r="H19727" i="5"/>
  <c r="H19695" i="5"/>
  <c r="H19663" i="5"/>
  <c r="H19631" i="5"/>
  <c r="H19599" i="5"/>
  <c r="H19567" i="5"/>
  <c r="H19535" i="5"/>
  <c r="H19503" i="5"/>
  <c r="H19471" i="5"/>
  <c r="H19439" i="5"/>
  <c r="H19407" i="5"/>
  <c r="H19375" i="5"/>
  <c r="H19343" i="5"/>
  <c r="H19311" i="5"/>
  <c r="H19279" i="5"/>
  <c r="H19247" i="5"/>
  <c r="H19215" i="5"/>
  <c r="H19183" i="5"/>
  <c r="H19151" i="5"/>
  <c r="H19119" i="5"/>
  <c r="H19087" i="5"/>
  <c r="H19055" i="5"/>
  <c r="H19023" i="5"/>
  <c r="H18991" i="5"/>
  <c r="H18959" i="5"/>
  <c r="H18927" i="5"/>
  <c r="H18895" i="5"/>
  <c r="H18863" i="5"/>
  <c r="H18831" i="5"/>
  <c r="H18799" i="5"/>
  <c r="H18767" i="5"/>
  <c r="H18735" i="5"/>
  <c r="H18703" i="5"/>
  <c r="H18671" i="5"/>
  <c r="H18639" i="5"/>
  <c r="H18607" i="5"/>
  <c r="H18575" i="5"/>
  <c r="H18543" i="5"/>
  <c r="H18511" i="5"/>
  <c r="H18479" i="5"/>
  <c r="H18447" i="5"/>
  <c r="H18415" i="5"/>
  <c r="H18383" i="5"/>
  <c r="H18351" i="5"/>
  <c r="H18319" i="5"/>
  <c r="H18287" i="5"/>
  <c r="H18255" i="5"/>
  <c r="H18223" i="5"/>
  <c r="H18191" i="5"/>
  <c r="H18159" i="5"/>
  <c r="H18127" i="5"/>
  <c r="H18095" i="5"/>
  <c r="H18063" i="5"/>
  <c r="H18031" i="5"/>
  <c r="H17999" i="5"/>
  <c r="H17967" i="5"/>
  <c r="H17935" i="5"/>
  <c r="H17903" i="5"/>
  <c r="H17871" i="5"/>
  <c r="H17839" i="5"/>
  <c r="H17807" i="5"/>
  <c r="H17775" i="5"/>
  <c r="H17743" i="5"/>
  <c r="H17711" i="5"/>
  <c r="H17679" i="5"/>
  <c r="H17647" i="5"/>
  <c r="H17615" i="5"/>
  <c r="H17583" i="5"/>
  <c r="H17551" i="5"/>
  <c r="H17519" i="5"/>
  <c r="H17487" i="5"/>
  <c r="H17463" i="5"/>
  <c r="H17440" i="5"/>
  <c r="H17420" i="5"/>
  <c r="H17399" i="5"/>
  <c r="H17376" i="5"/>
  <c r="H17356" i="5"/>
  <c r="H17335" i="5"/>
  <c r="H17319" i="5"/>
  <c r="H17303" i="5"/>
  <c r="H17287" i="5"/>
  <c r="H17271" i="5"/>
  <c r="H17255" i="5"/>
  <c r="H17239" i="5"/>
  <c r="H17223" i="5"/>
  <c r="H17207" i="5"/>
  <c r="H17191" i="5"/>
  <c r="H17175" i="5"/>
  <c r="H17159" i="5"/>
  <c r="H17143" i="5"/>
  <c r="H17127" i="5"/>
  <c r="H17111" i="5"/>
  <c r="H17095" i="5"/>
  <c r="H17079" i="5"/>
  <c r="H17063" i="5"/>
  <c r="H17047" i="5"/>
  <c r="H17031" i="5"/>
  <c r="H17015" i="5"/>
  <c r="H16999" i="5"/>
  <c r="H16983" i="5"/>
  <c r="H16967" i="5"/>
  <c r="H16951" i="5"/>
  <c r="H16935" i="5"/>
  <c r="H16919" i="5"/>
  <c r="H16903" i="5"/>
  <c r="H16887" i="5"/>
  <c r="H16871" i="5"/>
  <c r="H16855" i="5"/>
  <c r="H16839" i="5"/>
  <c r="H16823" i="5"/>
  <c r="H16807" i="5"/>
  <c r="H16791" i="5"/>
  <c r="H16775" i="5"/>
  <c r="H16759" i="5"/>
  <c r="H16743" i="5"/>
  <c r="H16727" i="5"/>
  <c r="H16711" i="5"/>
  <c r="H16695" i="5"/>
  <c r="H16679" i="5"/>
  <c r="H16663" i="5"/>
  <c r="H16647" i="5"/>
  <c r="H16631" i="5"/>
  <c r="H16615" i="5"/>
  <c r="H16599" i="5"/>
  <c r="H16590" i="5"/>
  <c r="H16581" i="5"/>
  <c r="H16572" i="5"/>
  <c r="H16562" i="5"/>
  <c r="H16553" i="5"/>
  <c r="H16544" i="5"/>
  <c r="H16535" i="5"/>
  <c r="H16527" i="5"/>
  <c r="H16519" i="5"/>
  <c r="H16511" i="5"/>
  <c r="H16503" i="5"/>
  <c r="H16495" i="5"/>
  <c r="H16487" i="5"/>
  <c r="H16479" i="5"/>
  <c r="H16471" i="5"/>
  <c r="H16463" i="5"/>
  <c r="H16455" i="5"/>
  <c r="H16447" i="5"/>
  <c r="H16439" i="5"/>
  <c r="H16431" i="5"/>
  <c r="H16423" i="5"/>
  <c r="H16415" i="5"/>
  <c r="H16407" i="5"/>
  <c r="H16399" i="5"/>
  <c r="H16391" i="5"/>
  <c r="H16383" i="5"/>
  <c r="H16375" i="5"/>
  <c r="H16367" i="5"/>
  <c r="H16359" i="5"/>
  <c r="H16351" i="5"/>
  <c r="H16343" i="5"/>
  <c r="H16335" i="5"/>
  <c r="H16327" i="5"/>
  <c r="H16319" i="5"/>
  <c r="H16311" i="5"/>
  <c r="H16303" i="5"/>
  <c r="H16295" i="5"/>
  <c r="H16287" i="5"/>
  <c r="H16279" i="5"/>
  <c r="H16271" i="5"/>
  <c r="H16263" i="5"/>
  <c r="H16255" i="5"/>
  <c r="H16247" i="5"/>
  <c r="H16239" i="5"/>
  <c r="H16231" i="5"/>
  <c r="H16223" i="5"/>
  <c r="H16215" i="5"/>
  <c r="H16207" i="5"/>
  <c r="H16199" i="5"/>
  <c r="H16191" i="5"/>
  <c r="H16183" i="5"/>
  <c r="H16175" i="5"/>
  <c r="H16167" i="5"/>
  <c r="H16159" i="5"/>
  <c r="H16151" i="5"/>
  <c r="H16143" i="5"/>
  <c r="H16135" i="5"/>
  <c r="H16127" i="5"/>
  <c r="H16119" i="5"/>
  <c r="H16111" i="5"/>
  <c r="H16103" i="5"/>
  <c r="H16095" i="5"/>
  <c r="H16087" i="5"/>
  <c r="H16079" i="5"/>
  <c r="H16071" i="5"/>
  <c r="H16063" i="5"/>
  <c r="H16055" i="5"/>
  <c r="H16047" i="5"/>
  <c r="H16039" i="5"/>
  <c r="H16031" i="5"/>
  <c r="H16023" i="5"/>
  <c r="H16015" i="5"/>
  <c r="H16007" i="5"/>
  <c r="H15999" i="5"/>
  <c r="H15991" i="5"/>
  <c r="H15983" i="5"/>
  <c r="H15975" i="5"/>
  <c r="H15967" i="5"/>
  <c r="H15959" i="5"/>
  <c r="H15951" i="5"/>
  <c r="H15943" i="5"/>
  <c r="H15935" i="5"/>
  <c r="H15927" i="5"/>
  <c r="H15919" i="5"/>
  <c r="H15911" i="5"/>
  <c r="H15903" i="5"/>
  <c r="H15895" i="5"/>
  <c r="H15887" i="5"/>
  <c r="H15879" i="5"/>
  <c r="H15871" i="5"/>
  <c r="H15863" i="5"/>
  <c r="H15855" i="5"/>
  <c r="H15847" i="5"/>
  <c r="H15839" i="5"/>
  <c r="H15831" i="5"/>
  <c r="H15823" i="5"/>
  <c r="H15815" i="5"/>
  <c r="H15807" i="5"/>
  <c r="H15799" i="5"/>
  <c r="H15791" i="5"/>
  <c r="H15783" i="5"/>
  <c r="H15775" i="5"/>
  <c r="H15767" i="5"/>
  <c r="H15759" i="5"/>
  <c r="H15751" i="5"/>
  <c r="H15743" i="5"/>
  <c r="H15735" i="5"/>
  <c r="H15727" i="5"/>
  <c r="H15719" i="5"/>
  <c r="H15711" i="5"/>
  <c r="H15703" i="5"/>
  <c r="H15695" i="5"/>
  <c r="H15687" i="5"/>
  <c r="H15679" i="5"/>
  <c r="H15671" i="5"/>
  <c r="H15663" i="5"/>
  <c r="H15655" i="5"/>
  <c r="H15647" i="5"/>
  <c r="H15639" i="5"/>
  <c r="H15631" i="5"/>
  <c r="H15623" i="5"/>
  <c r="H15615" i="5"/>
  <c r="H15607" i="5"/>
  <c r="H15599" i="5"/>
  <c r="H15591" i="5"/>
  <c r="H15583" i="5"/>
  <c r="H15575" i="5"/>
  <c r="H15567" i="5"/>
  <c r="H15559" i="5"/>
  <c r="H15551" i="5"/>
  <c r="H15543" i="5"/>
  <c r="H15535" i="5"/>
  <c r="H15527" i="5"/>
  <c r="H15519" i="5"/>
  <c r="H15511" i="5"/>
  <c r="H15503" i="5"/>
  <c r="H15495" i="5"/>
  <c r="H15487" i="5"/>
  <c r="H15479" i="5"/>
  <c r="H15471" i="5"/>
  <c r="H15463" i="5"/>
  <c r="H15455" i="5"/>
  <c r="H15447" i="5"/>
  <c r="H15439" i="5"/>
  <c r="H15431" i="5"/>
  <c r="H15423" i="5"/>
  <c r="H15415" i="5"/>
  <c r="H15407" i="5"/>
  <c r="H15399" i="5"/>
  <c r="H15391" i="5"/>
  <c r="H15383" i="5"/>
  <c r="H15375" i="5"/>
  <c r="H15367" i="5"/>
  <c r="H15359" i="5"/>
  <c r="H15351" i="5"/>
  <c r="H15343" i="5"/>
  <c r="H15335" i="5"/>
  <c r="H15327" i="5"/>
  <c r="H15319" i="5"/>
  <c r="H15311" i="5"/>
  <c r="H15303" i="5"/>
  <c r="H15295" i="5"/>
  <c r="H15287" i="5"/>
  <c r="H15279" i="5"/>
  <c r="H15271" i="5"/>
  <c r="H15263" i="5"/>
  <c r="H15255" i="5"/>
  <c r="H15247" i="5"/>
  <c r="H15239" i="5"/>
  <c r="H15231" i="5"/>
  <c r="H15223" i="5"/>
  <c r="H15215" i="5"/>
  <c r="H15207" i="5"/>
  <c r="H15199" i="5"/>
  <c r="H15191" i="5"/>
  <c r="H15183" i="5"/>
  <c r="H15175" i="5"/>
  <c r="H15167" i="5"/>
  <c r="H15159" i="5"/>
  <c r="H15151" i="5"/>
  <c r="H15143" i="5"/>
  <c r="H15135" i="5"/>
  <c r="H15127" i="5"/>
  <c r="H15119" i="5"/>
  <c r="H15111" i="5"/>
  <c r="H15103" i="5"/>
  <c r="H15095" i="5"/>
  <c r="H15087" i="5"/>
  <c r="H15079" i="5"/>
  <c r="H15071" i="5"/>
  <c r="H15063" i="5"/>
  <c r="H15055" i="5"/>
  <c r="H15047" i="5"/>
  <c r="H15039" i="5"/>
  <c r="H15031" i="5"/>
  <c r="H15023" i="5"/>
  <c r="H15015" i="5"/>
  <c r="H15007" i="5"/>
  <c r="H14999" i="5"/>
  <c r="H14991" i="5"/>
  <c r="H14983" i="5"/>
  <c r="H14975" i="5"/>
  <c r="H14967" i="5"/>
  <c r="H14959" i="5"/>
  <c r="H14951" i="5"/>
  <c r="H14943" i="5"/>
  <c r="H14935" i="5"/>
  <c r="H14927" i="5"/>
  <c r="H14919" i="5"/>
  <c r="H14911" i="5"/>
  <c r="H14903" i="5"/>
  <c r="H14895" i="5"/>
  <c r="H14887" i="5"/>
  <c r="H14879" i="5"/>
  <c r="H14871" i="5"/>
  <c r="H14863" i="5"/>
  <c r="H14855" i="5"/>
  <c r="H14847" i="5"/>
  <c r="H14839" i="5"/>
  <c r="H14831" i="5"/>
  <c r="H14823" i="5"/>
  <c r="H14815" i="5"/>
  <c r="H14807" i="5"/>
  <c r="H14799" i="5"/>
  <c r="H14791" i="5"/>
  <c r="H14783" i="5"/>
  <c r="H14775" i="5"/>
  <c r="H14767" i="5"/>
  <c r="H14759" i="5"/>
  <c r="H14751" i="5"/>
  <c r="H14743" i="5"/>
  <c r="H14735" i="5"/>
  <c r="H14727" i="5"/>
  <c r="H14719" i="5"/>
  <c r="H14711" i="5"/>
  <c r="H14703" i="5"/>
  <c r="H14695" i="5"/>
  <c r="H14687" i="5"/>
  <c r="H14679" i="5"/>
  <c r="H14671" i="5"/>
  <c r="H14663" i="5"/>
  <c r="H14655" i="5"/>
  <c r="H14647" i="5"/>
  <c r="H14639" i="5"/>
  <c r="H14631" i="5"/>
  <c r="H14623" i="5"/>
  <c r="H14615" i="5"/>
  <c r="H14607" i="5"/>
  <c r="H14599" i="5"/>
  <c r="H14591" i="5"/>
  <c r="H14583" i="5"/>
  <c r="H14575" i="5"/>
  <c r="H14567" i="5"/>
  <c r="H14559" i="5"/>
  <c r="H14551" i="5"/>
  <c r="H14543" i="5"/>
  <c r="H14535" i="5"/>
  <c r="H14527" i="5"/>
  <c r="H14519" i="5"/>
  <c r="H14511" i="5"/>
  <c r="H14503" i="5"/>
  <c r="H14495" i="5"/>
  <c r="H14487" i="5"/>
  <c r="H14479" i="5"/>
  <c r="H14471" i="5"/>
  <c r="H14463" i="5"/>
  <c r="H14455" i="5"/>
  <c r="H14447" i="5"/>
  <c r="H14439" i="5"/>
  <c r="H14431" i="5"/>
  <c r="H14423" i="5"/>
  <c r="H14415" i="5"/>
  <c r="H14407" i="5"/>
  <c r="H14399" i="5"/>
  <c r="H14391" i="5"/>
  <c r="H14383" i="5"/>
  <c r="H14375" i="5"/>
  <c r="H14367" i="5"/>
  <c r="H14359" i="5"/>
  <c r="H14351" i="5"/>
  <c r="H14343" i="5"/>
  <c r="H14335" i="5"/>
  <c r="H14327" i="5"/>
  <c r="H14319" i="5"/>
  <c r="H14311" i="5"/>
  <c r="H14303" i="5"/>
  <c r="H14295" i="5"/>
  <c r="H14287" i="5"/>
  <c r="H14279" i="5"/>
  <c r="H14271" i="5"/>
  <c r="H14263" i="5"/>
  <c r="H14255" i="5"/>
  <c r="H14247" i="5"/>
  <c r="H14239" i="5"/>
  <c r="H14231" i="5"/>
  <c r="H14223" i="5"/>
  <c r="H14215" i="5"/>
  <c r="H14207" i="5"/>
  <c r="H14199" i="5"/>
  <c r="H14191" i="5"/>
  <c r="H14183" i="5"/>
  <c r="H14175" i="5"/>
  <c r="H14167" i="5"/>
  <c r="H14159" i="5"/>
  <c r="H14151" i="5"/>
  <c r="H14143" i="5"/>
  <c r="H14135" i="5"/>
  <c r="H14127" i="5"/>
  <c r="H14119" i="5"/>
  <c r="H14111" i="5"/>
  <c r="H14103" i="5"/>
  <c r="H14095" i="5"/>
  <c r="H14087" i="5"/>
  <c r="H14079" i="5"/>
  <c r="H14071" i="5"/>
  <c r="H14063" i="5"/>
  <c r="H14055" i="5"/>
  <c r="H14047" i="5"/>
  <c r="H14039" i="5"/>
  <c r="H14031" i="5"/>
  <c r="H14023" i="5"/>
  <c r="H14015" i="5"/>
  <c r="H14007" i="5"/>
  <c r="H13999" i="5"/>
  <c r="H13991" i="5"/>
  <c r="H13983" i="5"/>
  <c r="H13975" i="5"/>
  <c r="H13967" i="5"/>
  <c r="H13959" i="5"/>
  <c r="H13951" i="5"/>
  <c r="H13943" i="5"/>
  <c r="H13935" i="5"/>
  <c r="H13927" i="5"/>
  <c r="H13919" i="5"/>
  <c r="H13911" i="5"/>
  <c r="H13903" i="5"/>
  <c r="H13895" i="5"/>
  <c r="H13887" i="5"/>
  <c r="H13879" i="5"/>
  <c r="H13871" i="5"/>
  <c r="H13863" i="5"/>
  <c r="H13855" i="5"/>
  <c r="H13847" i="5"/>
  <c r="H13839" i="5"/>
  <c r="H13831" i="5"/>
  <c r="H13823" i="5"/>
  <c r="H13815" i="5"/>
  <c r="H13807" i="5"/>
  <c r="H13799" i="5"/>
  <c r="H13791" i="5"/>
  <c r="H13783" i="5"/>
  <c r="H13775" i="5"/>
  <c r="H13767" i="5"/>
  <c r="H13759" i="5"/>
  <c r="H13751" i="5"/>
  <c r="H13743" i="5"/>
  <c r="H13735" i="5"/>
  <c r="H13727" i="5"/>
  <c r="H13719" i="5"/>
  <c r="H13711" i="5"/>
  <c r="H13703" i="5"/>
  <c r="H13695" i="5"/>
  <c r="H13687" i="5"/>
  <c r="H13679" i="5"/>
  <c r="H13671" i="5"/>
  <c r="H13663" i="5"/>
  <c r="H13655" i="5"/>
  <c r="H13647" i="5"/>
  <c r="H13639" i="5"/>
  <c r="H13631" i="5"/>
  <c r="H13623" i="5"/>
  <c r="H13615" i="5"/>
  <c r="H13607" i="5"/>
  <c r="H13599" i="5"/>
  <c r="H13591" i="5"/>
  <c r="H13583" i="5"/>
  <c r="H13575" i="5"/>
  <c r="H13567" i="5"/>
  <c r="H13559" i="5"/>
  <c r="H13551" i="5"/>
  <c r="H13543" i="5"/>
  <c r="H13535" i="5"/>
  <c r="H13527" i="5"/>
  <c r="H13519" i="5"/>
  <c r="H13511" i="5"/>
  <c r="H13503" i="5"/>
  <c r="H13495" i="5"/>
  <c r="H13487" i="5"/>
  <c r="H13479" i="5"/>
  <c r="H13471" i="5"/>
  <c r="H13463" i="5"/>
  <c r="H13455" i="5"/>
  <c r="H13447" i="5"/>
  <c r="H13439" i="5"/>
  <c r="H13431" i="5"/>
  <c r="H13423" i="5"/>
  <c r="H13415" i="5"/>
  <c r="H13407" i="5"/>
  <c r="H13399" i="5"/>
  <c r="H13391" i="5"/>
  <c r="H13383" i="5"/>
  <c r="H13375" i="5"/>
  <c r="H13367" i="5"/>
  <c r="H13359" i="5"/>
  <c r="H13351" i="5"/>
  <c r="H13343" i="5"/>
  <c r="H13335" i="5"/>
  <c r="H13327" i="5"/>
  <c r="H13319" i="5"/>
  <c r="H13311" i="5"/>
  <c r="H13303" i="5"/>
  <c r="H13295" i="5"/>
  <c r="H13287" i="5"/>
  <c r="H13279" i="5"/>
  <c r="H13271" i="5"/>
  <c r="H13263" i="5"/>
  <c r="H13255" i="5"/>
  <c r="H13247" i="5"/>
  <c r="H13239" i="5"/>
  <c r="H13231" i="5"/>
  <c r="H13223" i="5"/>
  <c r="H13215" i="5"/>
  <c r="H13207" i="5"/>
  <c r="H13199" i="5"/>
  <c r="H13191" i="5"/>
  <c r="H13183" i="5"/>
  <c r="H13175" i="5"/>
  <c r="H13167" i="5"/>
  <c r="H13159" i="5"/>
  <c r="H13151" i="5"/>
  <c r="H13143" i="5"/>
  <c r="H13135" i="5"/>
  <c r="H13127" i="5"/>
  <c r="H13119" i="5"/>
  <c r="H13111" i="5"/>
  <c r="H13103" i="5"/>
  <c r="H13095" i="5"/>
  <c r="H13087" i="5"/>
  <c r="H13079" i="5"/>
  <c r="H13071" i="5"/>
  <c r="H13063" i="5"/>
  <c r="H13055" i="5"/>
  <c r="H13047" i="5"/>
  <c r="H13039" i="5"/>
  <c r="H13031" i="5"/>
  <c r="H13023" i="5"/>
  <c r="H13015" i="5"/>
  <c r="H13007" i="5"/>
  <c r="H12999" i="5"/>
  <c r="H12991" i="5"/>
  <c r="H12983" i="5"/>
  <c r="H12975" i="5"/>
  <c r="H12967" i="5"/>
  <c r="H12959" i="5"/>
  <c r="H12951" i="5"/>
  <c r="H12943" i="5"/>
  <c r="H12935" i="5"/>
  <c r="H12927" i="5"/>
  <c r="H12919" i="5"/>
  <c r="H12911" i="5"/>
  <c r="H12903" i="5"/>
  <c r="H12895" i="5"/>
  <c r="H12887" i="5"/>
  <c r="H12879" i="5"/>
  <c r="H12871" i="5"/>
  <c r="H12863" i="5"/>
  <c r="H12855" i="5"/>
  <c r="H12847" i="5"/>
  <c r="H12839" i="5"/>
  <c r="H12831" i="5"/>
  <c r="H12823" i="5"/>
  <c r="H12815" i="5"/>
  <c r="H12807" i="5"/>
  <c r="H12799" i="5"/>
  <c r="H12791" i="5"/>
  <c r="H12783" i="5"/>
  <c r="H12775" i="5"/>
  <c r="H12767" i="5"/>
  <c r="H12759" i="5"/>
  <c r="H12751" i="5"/>
  <c r="H12743" i="5"/>
  <c r="H12735" i="5"/>
  <c r="H12727" i="5"/>
  <c r="H12719" i="5"/>
  <c r="H12711" i="5"/>
  <c r="H12703" i="5"/>
  <c r="H12695" i="5"/>
  <c r="H12687" i="5"/>
  <c r="H12679" i="5"/>
  <c r="H12671" i="5"/>
  <c r="H12663" i="5"/>
  <c r="H12655" i="5"/>
  <c r="H12647" i="5"/>
  <c r="H12639" i="5"/>
  <c r="H12631" i="5"/>
  <c r="H12623" i="5"/>
  <c r="H12615" i="5"/>
  <c r="H12607" i="5"/>
  <c r="H12599" i="5"/>
  <c r="H12591" i="5"/>
  <c r="H12583" i="5"/>
  <c r="H12575" i="5"/>
  <c r="H12567" i="5"/>
  <c r="H12559" i="5"/>
  <c r="H12551" i="5"/>
  <c r="H12543" i="5"/>
  <c r="H12535" i="5"/>
  <c r="H12527" i="5"/>
  <c r="H12519" i="5"/>
  <c r="H12511" i="5"/>
  <c r="H12503" i="5"/>
  <c r="H12495" i="5"/>
  <c r="H12487" i="5"/>
  <c r="H12479" i="5"/>
  <c r="H12471" i="5"/>
  <c r="H12463" i="5"/>
  <c r="H12455" i="5"/>
  <c r="H12447" i="5"/>
  <c r="H12439" i="5"/>
  <c r="H12431" i="5"/>
  <c r="H12423" i="5"/>
  <c r="H12415" i="5"/>
  <c r="H12407" i="5"/>
  <c r="H12399" i="5"/>
  <c r="H12391" i="5"/>
  <c r="H12383" i="5"/>
  <c r="H12375" i="5"/>
  <c r="H12367" i="5"/>
  <c r="H12359" i="5"/>
  <c r="H12351" i="5"/>
  <c r="H12343" i="5"/>
  <c r="H12335" i="5"/>
  <c r="H12327" i="5"/>
  <c r="H12319" i="5"/>
  <c r="H12311" i="5"/>
  <c r="H12303" i="5"/>
  <c r="H12295" i="5"/>
  <c r="H12287" i="5"/>
  <c r="H12279" i="5"/>
  <c r="H12271" i="5"/>
  <c r="H12263" i="5"/>
  <c r="H12255" i="5"/>
  <c r="H12247" i="5"/>
  <c r="H12239" i="5"/>
  <c r="H12231" i="5"/>
  <c r="H12223" i="5"/>
  <c r="H12215" i="5"/>
  <c r="H12207" i="5"/>
  <c r="H12199" i="5"/>
  <c r="H12191" i="5"/>
  <c r="H12183" i="5"/>
  <c r="H12175" i="5"/>
  <c r="H12167" i="5"/>
  <c r="H12159" i="5"/>
  <c r="H12151" i="5"/>
  <c r="H12143" i="5"/>
  <c r="H12135" i="5"/>
  <c r="H12127" i="5"/>
  <c r="H12119" i="5"/>
  <c r="H12111" i="5"/>
  <c r="H12103" i="5"/>
  <c r="H12095" i="5"/>
  <c r="H12087" i="5"/>
  <c r="H12079" i="5"/>
  <c r="H12071" i="5"/>
  <c r="H12063" i="5"/>
  <c r="H12055" i="5"/>
  <c r="H12047" i="5"/>
  <c r="H12039" i="5"/>
  <c r="H12031" i="5"/>
  <c r="H12023" i="5"/>
  <c r="H12015" i="5"/>
  <c r="H12007" i="5"/>
  <c r="H11999" i="5"/>
  <c r="H11991" i="5"/>
  <c r="H11983" i="5"/>
  <c r="H11975" i="5"/>
  <c r="H11967" i="5"/>
  <c r="H11959" i="5"/>
  <c r="H11951" i="5"/>
  <c r="H11943" i="5"/>
  <c r="H11935" i="5"/>
  <c r="H11927" i="5"/>
  <c r="H11919" i="5"/>
  <c r="H11911" i="5"/>
  <c r="H11903" i="5"/>
  <c r="H11895" i="5"/>
  <c r="H11887" i="5"/>
  <c r="H11879" i="5"/>
  <c r="H11871" i="5"/>
  <c r="H11863" i="5"/>
  <c r="H11855" i="5"/>
  <c r="H11847" i="5"/>
  <c r="H11839" i="5"/>
  <c r="H11831" i="5"/>
  <c r="H11823" i="5"/>
  <c r="H11815" i="5"/>
  <c r="H11807" i="5"/>
  <c r="H11799" i="5"/>
  <c r="H11791" i="5"/>
  <c r="H11783" i="5"/>
  <c r="H11775" i="5"/>
  <c r="H11767" i="5"/>
  <c r="H11759" i="5"/>
  <c r="H11751" i="5"/>
  <c r="H11743" i="5"/>
  <c r="H11735" i="5"/>
  <c r="H11727" i="5"/>
  <c r="H11719" i="5"/>
  <c r="H11711" i="5"/>
  <c r="H11703" i="5"/>
  <c r="H11695" i="5"/>
  <c r="H11687" i="5"/>
  <c r="H11679" i="5"/>
  <c r="H11671" i="5"/>
  <c r="H11663" i="5"/>
  <c r="H11655" i="5"/>
  <c r="H11647" i="5"/>
  <c r="H11639" i="5"/>
  <c r="H11631" i="5"/>
  <c r="H11623" i="5"/>
  <c r="H11615" i="5"/>
  <c r="H11607" i="5"/>
  <c r="H11599" i="5"/>
  <c r="H11591" i="5"/>
  <c r="H11583" i="5"/>
  <c r="H11575" i="5"/>
  <c r="H11567" i="5"/>
  <c r="H11559" i="5"/>
  <c r="H11551" i="5"/>
  <c r="H11543" i="5"/>
  <c r="H11535" i="5"/>
  <c r="H11527" i="5"/>
  <c r="H11519" i="5"/>
  <c r="H11511" i="5"/>
  <c r="H11503" i="5"/>
  <c r="H11495" i="5"/>
  <c r="H11487" i="5"/>
  <c r="H11479" i="5"/>
  <c r="H11471" i="5"/>
  <c r="H11463" i="5"/>
  <c r="H11455" i="5"/>
  <c r="H11447" i="5"/>
  <c r="H11439" i="5"/>
  <c r="H11431" i="5"/>
  <c r="H11423" i="5"/>
  <c r="H11415" i="5"/>
  <c r="H11407" i="5"/>
  <c r="H11399" i="5"/>
  <c r="H11391" i="5"/>
  <c r="H11383" i="5"/>
  <c r="H11375" i="5"/>
  <c r="H11367" i="5"/>
  <c r="H11359" i="5"/>
  <c r="H11351" i="5"/>
  <c r="H11343" i="5"/>
  <c r="H11335" i="5"/>
  <c r="H11327" i="5"/>
  <c r="H11319" i="5"/>
  <c r="H11311" i="5"/>
  <c r="H11303" i="5"/>
  <c r="H11295" i="5"/>
  <c r="H11287" i="5"/>
  <c r="H11279" i="5"/>
  <c r="H11271" i="5"/>
  <c r="H11263" i="5"/>
  <c r="H11255" i="5"/>
  <c r="H11247" i="5"/>
  <c r="H11239" i="5"/>
  <c r="H11231" i="5"/>
  <c r="H11223" i="5"/>
  <c r="H11215" i="5"/>
  <c r="H11207" i="5"/>
  <c r="H11199" i="5"/>
  <c r="H11191" i="5"/>
  <c r="H11183" i="5"/>
  <c r="H11175" i="5"/>
  <c r="H11167" i="5"/>
  <c r="H11159" i="5"/>
  <c r="H11151" i="5"/>
  <c r="H11143" i="5"/>
  <c r="H11135" i="5"/>
  <c r="H11127" i="5"/>
  <c r="H11119" i="5"/>
  <c r="H11111" i="5"/>
  <c r="H11103" i="5"/>
  <c r="H11095" i="5"/>
  <c r="H11087" i="5"/>
  <c r="H11079" i="5"/>
  <c r="H11071" i="5"/>
  <c r="H11063" i="5"/>
  <c r="H11055" i="5"/>
  <c r="H11047" i="5"/>
  <c r="H11039" i="5"/>
  <c r="H11031" i="5"/>
  <c r="H11023" i="5"/>
  <c r="H11015" i="5"/>
  <c r="H11007" i="5"/>
  <c r="H10999" i="5"/>
  <c r="H10991" i="5"/>
  <c r="H10983" i="5"/>
  <c r="H10975" i="5"/>
  <c r="H10967" i="5"/>
  <c r="H10959" i="5"/>
  <c r="H10951" i="5"/>
  <c r="H10943" i="5"/>
  <c r="H10935" i="5"/>
  <c r="H10927" i="5"/>
  <c r="H10919" i="5"/>
  <c r="H10911" i="5"/>
  <c r="H10903" i="5"/>
  <c r="H10895" i="5"/>
  <c r="H10887" i="5"/>
  <c r="H10879" i="5"/>
  <c r="H10871" i="5"/>
  <c r="H10863" i="5"/>
  <c r="H10855" i="5"/>
  <c r="H10847" i="5"/>
  <c r="H10839" i="5"/>
  <c r="H10831" i="5"/>
  <c r="H10823" i="5"/>
  <c r="H10815" i="5"/>
  <c r="H10807" i="5"/>
  <c r="H10799" i="5"/>
  <c r="H10791" i="5"/>
  <c r="H10783" i="5"/>
  <c r="H10775" i="5"/>
  <c r="H10767" i="5"/>
  <c r="H10759" i="5"/>
  <c r="H10751" i="5"/>
  <c r="H10743" i="5"/>
  <c r="H10735" i="5"/>
  <c r="H10727" i="5"/>
  <c r="H10719" i="5"/>
  <c r="H10711" i="5"/>
  <c r="H10703" i="5"/>
  <c r="H10695" i="5"/>
  <c r="H10687" i="5"/>
  <c r="H10679" i="5"/>
  <c r="H10671" i="5"/>
  <c r="H10663" i="5"/>
  <c r="H10655" i="5"/>
  <c r="H10647" i="5"/>
  <c r="H10639" i="5"/>
  <c r="H10631" i="5"/>
  <c r="H10623" i="5"/>
  <c r="H10615" i="5"/>
  <c r="H10607" i="5"/>
  <c r="H10599" i="5"/>
  <c r="H10591" i="5"/>
  <c r="H10583" i="5"/>
  <c r="H10575" i="5"/>
  <c r="H10567" i="5"/>
  <c r="H10559" i="5"/>
  <c r="H10551" i="5"/>
  <c r="H10543" i="5"/>
  <c r="H10535" i="5"/>
  <c r="H10527" i="5"/>
  <c r="H10519" i="5"/>
  <c r="H10511" i="5"/>
  <c r="H10503" i="5"/>
  <c r="H10495" i="5"/>
  <c r="H10487" i="5"/>
  <c r="H10479" i="5"/>
  <c r="H10471" i="5"/>
  <c r="H10463" i="5"/>
  <c r="H10455" i="5"/>
  <c r="H10447" i="5"/>
  <c r="H10439" i="5"/>
  <c r="H10431" i="5"/>
  <c r="H10423" i="5"/>
  <c r="H10415" i="5"/>
  <c r="H10407" i="5"/>
  <c r="H10399" i="5"/>
  <c r="H10391" i="5"/>
  <c r="H10383" i="5"/>
  <c r="H10375" i="5"/>
  <c r="H10367" i="5"/>
  <c r="H10359" i="5"/>
  <c r="H10351" i="5"/>
  <c r="H10343" i="5"/>
  <c r="H10335" i="5"/>
  <c r="H10327" i="5"/>
  <c r="H10319" i="5"/>
  <c r="H10311" i="5"/>
  <c r="H10303" i="5"/>
  <c r="H10295" i="5"/>
  <c r="H10287" i="5"/>
  <c r="H10279" i="5"/>
  <c r="H10271" i="5"/>
  <c r="H10263" i="5"/>
  <c r="H10255" i="5"/>
  <c r="H10247" i="5"/>
  <c r="H10239" i="5"/>
  <c r="H10231" i="5"/>
  <c r="H10223" i="5"/>
  <c r="H10215" i="5"/>
  <c r="H10207" i="5"/>
  <c r="H10199" i="5"/>
  <c r="H10191" i="5"/>
  <c r="H10183" i="5"/>
  <c r="H10175" i="5"/>
  <c r="H10167" i="5"/>
  <c r="H10159" i="5"/>
  <c r="H10151" i="5"/>
  <c r="H10143" i="5"/>
  <c r="H10135" i="5"/>
  <c r="H10127" i="5"/>
  <c r="H10119" i="5"/>
  <c r="H10111" i="5"/>
  <c r="H10103" i="5"/>
  <c r="H10095" i="5"/>
  <c r="H10087" i="5"/>
  <c r="H10079" i="5"/>
  <c r="H10071" i="5"/>
  <c r="H10063" i="5"/>
  <c r="H10055" i="5"/>
  <c r="H10047" i="5"/>
  <c r="H10039" i="5"/>
  <c r="H10031" i="5"/>
  <c r="H10023" i="5"/>
  <c r="H10015" i="5"/>
  <c r="H10007" i="5"/>
  <c r="H9999" i="5"/>
  <c r="H9991" i="5"/>
  <c r="H9983" i="5"/>
  <c r="H9975" i="5"/>
  <c r="H9967" i="5"/>
  <c r="H9959" i="5"/>
  <c r="H9951" i="5"/>
  <c r="H9943" i="5"/>
  <c r="H9935" i="5"/>
  <c r="H9927" i="5"/>
  <c r="H9919" i="5"/>
  <c r="H9911" i="5"/>
  <c r="H9903" i="5"/>
  <c r="H9895" i="5"/>
  <c r="H9887" i="5"/>
  <c r="H9879" i="5"/>
  <c r="H9871" i="5"/>
  <c r="H9863" i="5"/>
  <c r="H9855" i="5"/>
  <c r="H9847" i="5"/>
  <c r="H9839" i="5"/>
  <c r="H9831" i="5"/>
  <c r="H9823" i="5"/>
  <c r="H9815" i="5"/>
  <c r="H9807" i="5"/>
  <c r="H9799" i="5"/>
  <c r="H9791" i="5"/>
  <c r="H9783" i="5"/>
  <c r="H9775" i="5"/>
  <c r="H9767" i="5"/>
  <c r="H9759" i="5"/>
  <c r="H9751" i="5"/>
  <c r="H9743" i="5"/>
  <c r="H9735" i="5"/>
  <c r="H9727" i="5"/>
  <c r="H9719" i="5"/>
  <c r="H9711" i="5"/>
  <c r="H9703" i="5"/>
  <c r="H9695" i="5"/>
  <c r="H9687" i="5"/>
  <c r="H9679" i="5"/>
  <c r="H9671" i="5"/>
  <c r="H9663" i="5"/>
  <c r="H9655" i="5"/>
  <c r="H9647" i="5"/>
  <c r="H9639" i="5"/>
  <c r="H9631" i="5"/>
  <c r="H9623" i="5"/>
  <c r="H9615" i="5"/>
  <c r="H9607" i="5"/>
  <c r="H9599" i="5"/>
  <c r="H9591" i="5"/>
  <c r="H9583" i="5"/>
  <c r="H9575" i="5"/>
  <c r="H9567" i="5"/>
  <c r="H9559" i="5"/>
  <c r="H9551" i="5"/>
  <c r="H9543" i="5"/>
  <c r="H9535" i="5"/>
  <c r="H9527" i="5"/>
  <c r="H9519" i="5"/>
  <c r="H9511" i="5"/>
  <c r="H9503" i="5"/>
  <c r="H9495" i="5"/>
  <c r="H9487" i="5"/>
  <c r="H9479" i="5"/>
  <c r="H9471" i="5"/>
  <c r="H9463" i="5"/>
  <c r="H9455" i="5"/>
  <c r="H9447" i="5"/>
  <c r="H9439" i="5"/>
  <c r="H9431" i="5"/>
  <c r="H9423" i="5"/>
  <c r="H9415" i="5"/>
  <c r="H9407" i="5"/>
  <c r="H9399" i="5"/>
  <c r="H9391" i="5"/>
  <c r="H9383" i="5"/>
  <c r="H9375" i="5"/>
  <c r="H9367" i="5"/>
  <c r="H9359" i="5"/>
  <c r="H9351" i="5"/>
  <c r="H9343" i="5"/>
  <c r="H9335" i="5"/>
  <c r="H9327" i="5"/>
  <c r="H9319" i="5"/>
  <c r="H9311" i="5"/>
  <c r="H9303" i="5"/>
  <c r="H9295" i="5"/>
  <c r="H9287" i="5"/>
  <c r="H9279" i="5"/>
  <c r="H9271" i="5"/>
  <c r="H9263" i="5"/>
  <c r="H9255" i="5"/>
  <c r="H9247" i="5"/>
  <c r="H9239" i="5"/>
  <c r="H9231" i="5"/>
  <c r="H9223" i="5"/>
  <c r="H9215" i="5"/>
  <c r="H9207" i="5"/>
  <c r="H9199" i="5"/>
  <c r="H9191" i="5"/>
  <c r="H9183" i="5"/>
  <c r="H9175" i="5"/>
  <c r="H9167" i="5"/>
  <c r="H9159" i="5"/>
  <c r="H9151" i="5"/>
  <c r="H9143" i="5"/>
  <c r="H9135" i="5"/>
  <c r="H9127" i="5"/>
  <c r="H9119" i="5"/>
  <c r="H9111" i="5"/>
  <c r="H9103" i="5"/>
  <c r="H9095" i="5"/>
  <c r="H9087" i="5"/>
  <c r="H9079" i="5"/>
  <c r="H9071" i="5"/>
  <c r="H9063" i="5"/>
  <c r="H9055" i="5"/>
  <c r="H9047" i="5"/>
  <c r="H9039" i="5"/>
  <c r="H9031" i="5"/>
  <c r="H9023" i="5"/>
  <c r="H9015" i="5"/>
  <c r="H9007" i="5"/>
  <c r="H8999" i="5"/>
  <c r="H8991" i="5"/>
  <c r="H8983" i="5"/>
  <c r="H8975" i="5"/>
  <c r="H8967" i="5"/>
  <c r="H8959" i="5"/>
  <c r="H8951" i="5"/>
  <c r="H8943" i="5"/>
  <c r="H8935" i="5"/>
  <c r="H8927" i="5"/>
  <c r="H8919" i="5"/>
  <c r="H8911" i="5"/>
  <c r="H8903" i="5"/>
  <c r="H8895" i="5"/>
  <c r="H8887" i="5"/>
  <c r="H8879" i="5"/>
  <c r="H8871" i="5"/>
  <c r="H8863" i="5"/>
  <c r="H8855" i="5"/>
  <c r="H8847" i="5"/>
  <c r="H8839" i="5"/>
  <c r="H8831" i="5"/>
  <c r="H8823" i="5"/>
  <c r="H8815" i="5"/>
  <c r="H8807" i="5"/>
  <c r="H8799" i="5"/>
  <c r="H8791" i="5"/>
  <c r="H8783" i="5"/>
  <c r="H8775" i="5"/>
  <c r="H8767" i="5"/>
  <c r="H8759" i="5"/>
  <c r="H8751" i="5"/>
  <c r="H8743" i="5"/>
  <c r="H8735" i="5"/>
  <c r="H8727" i="5"/>
  <c r="H8719" i="5"/>
  <c r="H8711" i="5"/>
  <c r="H8703" i="5"/>
  <c r="H8695" i="5"/>
  <c r="H8687" i="5"/>
  <c r="H8679" i="5"/>
  <c r="H8671" i="5"/>
  <c r="H8663" i="5"/>
  <c r="H8655" i="5"/>
  <c r="H8647" i="5"/>
  <c r="H8639" i="5"/>
  <c r="H8631" i="5"/>
  <c r="H8623" i="5"/>
  <c r="H8615" i="5"/>
  <c r="H8607" i="5"/>
  <c r="H8599" i="5"/>
  <c r="H8591" i="5"/>
  <c r="H8583" i="5"/>
  <c r="H8575" i="5"/>
  <c r="H8567" i="5"/>
  <c r="H8559" i="5"/>
  <c r="H8551" i="5"/>
  <c r="H8543" i="5"/>
  <c r="H8535" i="5"/>
  <c r="H8527" i="5"/>
  <c r="H8519" i="5"/>
  <c r="H8511" i="5"/>
  <c r="H8503" i="5"/>
  <c r="H8495" i="5"/>
  <c r="H8487" i="5"/>
  <c r="H8479" i="5"/>
  <c r="H8471" i="5"/>
  <c r="H8463" i="5"/>
  <c r="H8455" i="5"/>
  <c r="H8447" i="5"/>
  <c r="H8439" i="5"/>
  <c r="H8431" i="5"/>
  <c r="H8423" i="5"/>
  <c r="H8415" i="5"/>
  <c r="H8407" i="5"/>
  <c r="H8399" i="5"/>
  <c r="H8391" i="5"/>
  <c r="H8383" i="5"/>
  <c r="H8375" i="5"/>
  <c r="H8367" i="5"/>
  <c r="H8359" i="5"/>
  <c r="H8351" i="5"/>
  <c r="H8343" i="5"/>
  <c r="H8335" i="5"/>
  <c r="H8327" i="5"/>
  <c r="H8319" i="5"/>
  <c r="H8311" i="5"/>
  <c r="H8303" i="5"/>
  <c r="H8295" i="5"/>
  <c r="H8287" i="5"/>
  <c r="H8279" i="5"/>
  <c r="H8271" i="5"/>
  <c r="H8263" i="5"/>
  <c r="H8255" i="5"/>
  <c r="H8247" i="5"/>
  <c r="H8239" i="5"/>
  <c r="H8231" i="5"/>
  <c r="H8223" i="5"/>
  <c r="H8215" i="5"/>
  <c r="H8207" i="5"/>
  <c r="H8199" i="5"/>
  <c r="H8191" i="5"/>
  <c r="H8183" i="5"/>
  <c r="H8175" i="5"/>
  <c r="H8167" i="5"/>
  <c r="H8159" i="5"/>
  <c r="H8151" i="5"/>
  <c r="H8143" i="5"/>
  <c r="H8135" i="5"/>
  <c r="H8127" i="5"/>
  <c r="H8119" i="5"/>
  <c r="H8111" i="5"/>
  <c r="H8103" i="5"/>
  <c r="H8095" i="5"/>
  <c r="H8087" i="5"/>
  <c r="H8079" i="5"/>
  <c r="H8071" i="5"/>
  <c r="H8063" i="5"/>
  <c r="H8055" i="5"/>
  <c r="H8047" i="5"/>
  <c r="H8039" i="5"/>
  <c r="H8031" i="5"/>
  <c r="H8023" i="5"/>
  <c r="H8015" i="5"/>
  <c r="H8007" i="5"/>
  <c r="H7999" i="5"/>
  <c r="H7991" i="5"/>
  <c r="H7983" i="5"/>
  <c r="H7975" i="5"/>
  <c r="H7967" i="5"/>
  <c r="H7959" i="5"/>
  <c r="H7951" i="5"/>
  <c r="H7943" i="5"/>
  <c r="H7935" i="5"/>
  <c r="H7927" i="5"/>
  <c r="H7919" i="5"/>
  <c r="H7911" i="5"/>
  <c r="H7903" i="5"/>
  <c r="H7895" i="5"/>
  <c r="H7887" i="5"/>
  <c r="H7879" i="5"/>
  <c r="H7871" i="5"/>
  <c r="H7863" i="5"/>
  <c r="H7855" i="5"/>
  <c r="H7847" i="5"/>
  <c r="H7839" i="5"/>
  <c r="H7831" i="5"/>
  <c r="H7823" i="5"/>
  <c r="H7815" i="5"/>
  <c r="H7807" i="5"/>
  <c r="H7799" i="5"/>
  <c r="H7791" i="5"/>
  <c r="H7783" i="5"/>
  <c r="H7775" i="5"/>
  <c r="H7767" i="5"/>
  <c r="H7759" i="5"/>
  <c r="H7751" i="5"/>
  <c r="H7743" i="5"/>
  <c r="H7735" i="5"/>
  <c r="H7727" i="5"/>
  <c r="H7719" i="5"/>
  <c r="H7711" i="5"/>
  <c r="H7703" i="5"/>
  <c r="H7695" i="5"/>
  <c r="H7687" i="5"/>
  <c r="H7679" i="5"/>
  <c r="H7671" i="5"/>
  <c r="H7663" i="5"/>
  <c r="H7655" i="5"/>
  <c r="H7647" i="5"/>
  <c r="H7639" i="5"/>
  <c r="H7631" i="5"/>
  <c r="H7623" i="5"/>
  <c r="H7615" i="5"/>
  <c r="H7607" i="5"/>
  <c r="H7599" i="5"/>
  <c r="H7591" i="5"/>
  <c r="H7583" i="5"/>
  <c r="H7575" i="5"/>
  <c r="H7567" i="5"/>
  <c r="H7559" i="5"/>
  <c r="H7551" i="5"/>
  <c r="H7543" i="5"/>
  <c r="H7535" i="5"/>
  <c r="H7527" i="5"/>
  <c r="H7519" i="5"/>
  <c r="H7511" i="5"/>
  <c r="H7503" i="5"/>
  <c r="H7495" i="5"/>
  <c r="H7487" i="5"/>
  <c r="H7479" i="5"/>
  <c r="H7471" i="5"/>
  <c r="H7463" i="5"/>
  <c r="H7455" i="5"/>
  <c r="H7447" i="5"/>
  <c r="H7439" i="5"/>
  <c r="H7431" i="5"/>
  <c r="H7423" i="5"/>
  <c r="H7415" i="5"/>
  <c r="H7407" i="5"/>
  <c r="H7399" i="5"/>
  <c r="H7391" i="5"/>
  <c r="H7383" i="5"/>
  <c r="H7375" i="5"/>
  <c r="H7367" i="5"/>
  <c r="H7359" i="5"/>
  <c r="H7351" i="5"/>
  <c r="H7343" i="5"/>
  <c r="H7335" i="5"/>
  <c r="H7327" i="5"/>
  <c r="H7319" i="5"/>
  <c r="H7311" i="5"/>
  <c r="H7303" i="5"/>
  <c r="H7295" i="5"/>
  <c r="H7287" i="5"/>
  <c r="H7279" i="5"/>
  <c r="H7271" i="5"/>
  <c r="H7263" i="5"/>
  <c r="H7255" i="5"/>
  <c r="H7247" i="5"/>
  <c r="H7239" i="5"/>
  <c r="H7231" i="5"/>
  <c r="H7223" i="5"/>
  <c r="H7215" i="5"/>
  <c r="H7207" i="5"/>
  <c r="H7199" i="5"/>
  <c r="H7191" i="5"/>
  <c r="H7183" i="5"/>
  <c r="H7175" i="5"/>
  <c r="H7167" i="5"/>
  <c r="H7159" i="5"/>
  <c r="H7151" i="5"/>
  <c r="H7143" i="5"/>
  <c r="H7135" i="5"/>
  <c r="H7127" i="5"/>
  <c r="H7119" i="5"/>
  <c r="H7111" i="5"/>
  <c r="H7103" i="5"/>
  <c r="H7095" i="5"/>
  <c r="H7087" i="5"/>
  <c r="H7079" i="5"/>
  <c r="H7071" i="5"/>
  <c r="H7063" i="5"/>
  <c r="H7055" i="5"/>
  <c r="H7047" i="5"/>
  <c r="H7039" i="5"/>
  <c r="H7031" i="5"/>
  <c r="H7023" i="5"/>
  <c r="H7015" i="5"/>
  <c r="H7007" i="5"/>
  <c r="H6999" i="5"/>
  <c r="H6991" i="5"/>
  <c r="H6983" i="5"/>
  <c r="H6975" i="5"/>
  <c r="H6967" i="5"/>
  <c r="H6959" i="5"/>
  <c r="H6951" i="5"/>
  <c r="H6943" i="5"/>
  <c r="H6935" i="5"/>
  <c r="H6927" i="5"/>
  <c r="H6919" i="5"/>
  <c r="H6911" i="5"/>
  <c r="H6903" i="5"/>
  <c r="H6895" i="5"/>
  <c r="H6887" i="5"/>
  <c r="H6879" i="5"/>
  <c r="H6871" i="5"/>
  <c r="H6863" i="5"/>
  <c r="H6855" i="5"/>
  <c r="H6847" i="5"/>
  <c r="H6839" i="5"/>
  <c r="H6831" i="5"/>
  <c r="H6823" i="5"/>
  <c r="H6815" i="5"/>
  <c r="H6807" i="5"/>
  <c r="H6799" i="5"/>
  <c r="H6791" i="5"/>
  <c r="H6783" i="5"/>
  <c r="H6775" i="5"/>
  <c r="H6767" i="5"/>
  <c r="H6759" i="5"/>
  <c r="H6751" i="5"/>
  <c r="H6743" i="5"/>
  <c r="H6735" i="5"/>
  <c r="H6727" i="5"/>
  <c r="H6719" i="5"/>
  <c r="H6711" i="5"/>
  <c r="H6703" i="5"/>
  <c r="H6695" i="5"/>
  <c r="H6687" i="5"/>
  <c r="H6679" i="5"/>
  <c r="H6671" i="5"/>
  <c r="H6663" i="5"/>
  <c r="H6655" i="5"/>
  <c r="H6647" i="5"/>
  <c r="H6639" i="5"/>
  <c r="H6631" i="5"/>
  <c r="H6623" i="5"/>
  <c r="H6615" i="5"/>
  <c r="H6607" i="5"/>
  <c r="H6599" i="5"/>
  <c r="H6591" i="5"/>
  <c r="H6583" i="5"/>
  <c r="H6575" i="5"/>
  <c r="H6567" i="5"/>
  <c r="H6559" i="5"/>
  <c r="H6551" i="5"/>
  <c r="H6543" i="5"/>
  <c r="H6535" i="5"/>
  <c r="H6527" i="5"/>
  <c r="H6519" i="5"/>
  <c r="H6511" i="5"/>
  <c r="H6503" i="5"/>
  <c r="H6495" i="5"/>
  <c r="H6487" i="5"/>
  <c r="H6479" i="5"/>
  <c r="H6471" i="5"/>
  <c r="H6463" i="5"/>
  <c r="H6455" i="5"/>
  <c r="H6447" i="5"/>
  <c r="H6439" i="5"/>
  <c r="H6431" i="5"/>
  <c r="H6423" i="5"/>
  <c r="H6415" i="5"/>
  <c r="H6407" i="5"/>
  <c r="H6399" i="5"/>
  <c r="H6391" i="5"/>
  <c r="H6383" i="5"/>
  <c r="H6375" i="5"/>
  <c r="H6367" i="5"/>
  <c r="H6359" i="5"/>
  <c r="H6351" i="5"/>
  <c r="H6343" i="5"/>
  <c r="H6335" i="5"/>
  <c r="H6327" i="5"/>
  <c r="H6319" i="5"/>
  <c r="H6311" i="5"/>
  <c r="H6303" i="5"/>
  <c r="H6295" i="5"/>
  <c r="H6287" i="5"/>
  <c r="H6279" i="5"/>
  <c r="H6271" i="5"/>
  <c r="H6263" i="5"/>
  <c r="H6255" i="5"/>
  <c r="H6247" i="5"/>
  <c r="H6239" i="5"/>
  <c r="H6231" i="5"/>
  <c r="H6223" i="5"/>
  <c r="H6215" i="5"/>
  <c r="H6207" i="5"/>
  <c r="H6199" i="5"/>
  <c r="H6191" i="5"/>
  <c r="H6183" i="5"/>
  <c r="H6175" i="5"/>
  <c r="H6167" i="5"/>
  <c r="H6159" i="5"/>
  <c r="H6151" i="5"/>
  <c r="H6143" i="5"/>
  <c r="H6135" i="5"/>
  <c r="H6127" i="5"/>
  <c r="H6119" i="5"/>
  <c r="H6111" i="5"/>
  <c r="H6103" i="5"/>
  <c r="H6095" i="5"/>
  <c r="H6087" i="5"/>
  <c r="H6079" i="5"/>
  <c r="H6071" i="5"/>
  <c r="H6063" i="5"/>
  <c r="H6055" i="5"/>
  <c r="H6047" i="5"/>
  <c r="H6039" i="5"/>
  <c r="H6031" i="5"/>
  <c r="H6023" i="5"/>
  <c r="H6015" i="5"/>
  <c r="H6007" i="5"/>
  <c r="H5999" i="5"/>
  <c r="H5991" i="5"/>
  <c r="H5983" i="5"/>
  <c r="H5975" i="5"/>
  <c r="H5967" i="5"/>
  <c r="H5959" i="5"/>
  <c r="H5951" i="5"/>
  <c r="H5943" i="5"/>
  <c r="H5935" i="5"/>
  <c r="H5927" i="5"/>
  <c r="H5919" i="5"/>
  <c r="H5911" i="5"/>
  <c r="H5903" i="5"/>
  <c r="H5895" i="5"/>
  <c r="H5887" i="5"/>
  <c r="H5879" i="5"/>
  <c r="H5871" i="5"/>
  <c r="H5863" i="5"/>
  <c r="H5855" i="5"/>
  <c r="H5847" i="5"/>
  <c r="H5839" i="5"/>
  <c r="H5831" i="5"/>
  <c r="H5823" i="5"/>
  <c r="H5815" i="5"/>
  <c r="H5807" i="5"/>
  <c r="H5799" i="5"/>
  <c r="H5791" i="5"/>
  <c r="H5783" i="5"/>
  <c r="H5775" i="5"/>
  <c r="H5767" i="5"/>
  <c r="H5759" i="5"/>
  <c r="H5751" i="5"/>
  <c r="H5743" i="5"/>
  <c r="H5735" i="5"/>
  <c r="H5727" i="5"/>
  <c r="H5719" i="5"/>
  <c r="H5711" i="5"/>
  <c r="H5703" i="5"/>
  <c r="H5695" i="5"/>
  <c r="H5687" i="5"/>
  <c r="H5679" i="5"/>
  <c r="H5671" i="5"/>
  <c r="H5663" i="5"/>
  <c r="H5655" i="5"/>
  <c r="H5647" i="5"/>
  <c r="H5639" i="5"/>
  <c r="H5631" i="5"/>
  <c r="H5623" i="5"/>
  <c r="H5615" i="5"/>
  <c r="H5607" i="5"/>
  <c r="H5599" i="5"/>
  <c r="H5591" i="5"/>
  <c r="H5583" i="5"/>
  <c r="H5575" i="5"/>
  <c r="H5567" i="5"/>
  <c r="H5559" i="5"/>
  <c r="H5551" i="5"/>
  <c r="H5543" i="5"/>
  <c r="H5535" i="5"/>
  <c r="H5527" i="5"/>
  <c r="H5519" i="5"/>
  <c r="H5511" i="5"/>
  <c r="H5503" i="5"/>
  <c r="H5495" i="5"/>
  <c r="H5487" i="5"/>
  <c r="H5479" i="5"/>
  <c r="H5471" i="5"/>
  <c r="H5463" i="5"/>
  <c r="H5455" i="5"/>
  <c r="H5447" i="5"/>
  <c r="H5439" i="5"/>
  <c r="H5431" i="5"/>
  <c r="H5423" i="5"/>
  <c r="H5415" i="5"/>
  <c r="H5407" i="5"/>
  <c r="H5399" i="5"/>
  <c r="H5391" i="5"/>
  <c r="H5383" i="5"/>
  <c r="H5375" i="5"/>
  <c r="H5367" i="5"/>
  <c r="H5359" i="5"/>
  <c r="H5351" i="5"/>
  <c r="H5343" i="5"/>
  <c r="H5335" i="5"/>
  <c r="H5327" i="5"/>
  <c r="H5319" i="5"/>
  <c r="H5311" i="5"/>
  <c r="H5303" i="5"/>
  <c r="H5295" i="5"/>
  <c r="H5287" i="5"/>
  <c r="H5279" i="5"/>
  <c r="H5271" i="5"/>
  <c r="H5263" i="5"/>
  <c r="H5255" i="5"/>
  <c r="H5247" i="5"/>
  <c r="H5239" i="5"/>
  <c r="H5231" i="5"/>
  <c r="H5223" i="5"/>
  <c r="H5215" i="5"/>
  <c r="H5207" i="5"/>
  <c r="H5199" i="5"/>
  <c r="H5191" i="5"/>
  <c r="H5183" i="5"/>
  <c r="H5175" i="5"/>
  <c r="H5167" i="5"/>
  <c r="H5159" i="5"/>
  <c r="H5151" i="5"/>
  <c r="H5143" i="5"/>
  <c r="H5135" i="5"/>
  <c r="H5127" i="5"/>
  <c r="H5119" i="5"/>
  <c r="H5111" i="5"/>
  <c r="H5103" i="5"/>
  <c r="H5095" i="5"/>
  <c r="H5087" i="5"/>
  <c r="H5079" i="5"/>
  <c r="H5071" i="5"/>
  <c r="H5063" i="5"/>
  <c r="H5055" i="5"/>
  <c r="H5047" i="5"/>
  <c r="H5039" i="5"/>
  <c r="H5031" i="5"/>
  <c r="H5023" i="5"/>
  <c r="H5015" i="5"/>
  <c r="H5007" i="5"/>
  <c r="H4999" i="5"/>
  <c r="H4991" i="5"/>
  <c r="H4983" i="5"/>
  <c r="H4975" i="5"/>
  <c r="H4967" i="5"/>
  <c r="H4959" i="5"/>
  <c r="H4951" i="5"/>
  <c r="H4943" i="5"/>
  <c r="H4935" i="5"/>
  <c r="H4927" i="5"/>
  <c r="H4919" i="5"/>
  <c r="H4911" i="5"/>
  <c r="H4903" i="5"/>
  <c r="H4895" i="5"/>
  <c r="H4887" i="5"/>
  <c r="H4879" i="5"/>
  <c r="H4871" i="5"/>
  <c r="H4863" i="5"/>
  <c r="H4855" i="5"/>
  <c r="H4847" i="5"/>
  <c r="H4839" i="5"/>
  <c r="H4831" i="5"/>
  <c r="H4823" i="5"/>
  <c r="H4815" i="5"/>
  <c r="H4807" i="5"/>
  <c r="H4799" i="5"/>
  <c r="H4791" i="5"/>
  <c r="H4783" i="5"/>
  <c r="H4775" i="5"/>
  <c r="H4767" i="5"/>
  <c r="H4759" i="5"/>
  <c r="H4751" i="5"/>
  <c r="H4743" i="5"/>
  <c r="H4735" i="5"/>
  <c r="H4727" i="5"/>
  <c r="H4719" i="5"/>
  <c r="H4711" i="5"/>
  <c r="H4703" i="5"/>
  <c r="H4695" i="5"/>
  <c r="H4687" i="5"/>
  <c r="H4679" i="5"/>
  <c r="H4671" i="5"/>
  <c r="H4663" i="5"/>
  <c r="H4655" i="5"/>
  <c r="H4647" i="5"/>
  <c r="H4639" i="5"/>
  <c r="H4631" i="5"/>
  <c r="H4623" i="5"/>
  <c r="H4615" i="5"/>
  <c r="H4607" i="5"/>
  <c r="H4599" i="5"/>
  <c r="H4591" i="5"/>
  <c r="H4583" i="5"/>
  <c r="H4575" i="5"/>
  <c r="H4567" i="5"/>
  <c r="H4559" i="5"/>
  <c r="H4551" i="5"/>
  <c r="H4543" i="5"/>
  <c r="H4535" i="5"/>
  <c r="H4527" i="5"/>
  <c r="H4519" i="5"/>
  <c r="H4511" i="5"/>
  <c r="H4503" i="5"/>
  <c r="H4495" i="5"/>
  <c r="H4487" i="5"/>
  <c r="H4479" i="5"/>
  <c r="H4471" i="5"/>
  <c r="H4463" i="5"/>
  <c r="H4455" i="5"/>
  <c r="H4447" i="5"/>
  <c r="H4439" i="5"/>
  <c r="H4431" i="5"/>
  <c r="H4423" i="5"/>
  <c r="H4415" i="5"/>
  <c r="H4407" i="5"/>
  <c r="H4399" i="5"/>
  <c r="H4391" i="5"/>
  <c r="H4383" i="5"/>
  <c r="H4375" i="5"/>
  <c r="H4367" i="5"/>
  <c r="H4359" i="5"/>
  <c r="H4351" i="5"/>
  <c r="H4343" i="5"/>
  <c r="H4335" i="5"/>
  <c r="H4327" i="5"/>
  <c r="H4319" i="5"/>
  <c r="H4311" i="5"/>
  <c r="H4303" i="5"/>
  <c r="H4295" i="5"/>
  <c r="H4287" i="5"/>
  <c r="H4279" i="5"/>
  <c r="H4271" i="5"/>
  <c r="H4263" i="5"/>
  <c r="H4255" i="5"/>
  <c r="H4247" i="5"/>
  <c r="H4239" i="5"/>
  <c r="H4231" i="5"/>
  <c r="H4223" i="5"/>
  <c r="H4215" i="5"/>
  <c r="H4207" i="5"/>
  <c r="H4199" i="5"/>
  <c r="H4191" i="5"/>
  <c r="H4183" i="5"/>
  <c r="H4175" i="5"/>
  <c r="H4167" i="5"/>
  <c r="H4159" i="5"/>
  <c r="H4151" i="5"/>
  <c r="H4143" i="5"/>
  <c r="H4135" i="5"/>
  <c r="H4127" i="5"/>
  <c r="H4119" i="5"/>
  <c r="H4111" i="5"/>
  <c r="H4103" i="5"/>
  <c r="H4095" i="5"/>
  <c r="H4087" i="5"/>
  <c r="H4079" i="5"/>
  <c r="H4071" i="5"/>
  <c r="H4063" i="5"/>
  <c r="H4055" i="5"/>
  <c r="H4047" i="5"/>
  <c r="H4039" i="5"/>
  <c r="H4031" i="5"/>
  <c r="H4023" i="5"/>
  <c r="H4015" i="5"/>
  <c r="H4007" i="5"/>
  <c r="H3999" i="5"/>
  <c r="H3991" i="5"/>
  <c r="H3983" i="5"/>
  <c r="H3975" i="5"/>
  <c r="H3967" i="5"/>
  <c r="H3959" i="5"/>
  <c r="H3951" i="5"/>
  <c r="H3943" i="5"/>
  <c r="H3935" i="5"/>
  <c r="H3927" i="5"/>
  <c r="H3919" i="5"/>
  <c r="H3911" i="5"/>
  <c r="H3903" i="5"/>
  <c r="H3895" i="5"/>
  <c r="H3887" i="5"/>
  <c r="H3879" i="5"/>
  <c r="H3871" i="5"/>
  <c r="H3863" i="5"/>
  <c r="H3855" i="5"/>
  <c r="H3847" i="5"/>
  <c r="H3839" i="5"/>
  <c r="H3831" i="5"/>
  <c r="H3823" i="5"/>
  <c r="H3815" i="5"/>
  <c r="H3807" i="5"/>
  <c r="H3799" i="5"/>
  <c r="H3791" i="5"/>
  <c r="H3783" i="5"/>
  <c r="H3775" i="5"/>
  <c r="H3767" i="5"/>
  <c r="H3759" i="5"/>
  <c r="H3751" i="5"/>
  <c r="H3743" i="5"/>
  <c r="H3735" i="5"/>
  <c r="H3727" i="5"/>
  <c r="H3719" i="5"/>
  <c r="H3711" i="5"/>
  <c r="H3703" i="5"/>
  <c r="H3695" i="5"/>
  <c r="H3687" i="5"/>
  <c r="H3679" i="5"/>
  <c r="H3671" i="5"/>
  <c r="H3663" i="5"/>
  <c r="H3655" i="5"/>
  <c r="H3647" i="5"/>
  <c r="H3639" i="5"/>
  <c r="H3631" i="5"/>
  <c r="H3623" i="5"/>
  <c r="H3615" i="5"/>
  <c r="H3607" i="5"/>
  <c r="H3599" i="5"/>
  <c r="H3591" i="5"/>
  <c r="H3583" i="5"/>
  <c r="H3575" i="5"/>
  <c r="H3567" i="5"/>
  <c r="H3559" i="5"/>
  <c r="H3551" i="5"/>
  <c r="H3543" i="5"/>
  <c r="H3535" i="5"/>
  <c r="H3527" i="5"/>
  <c r="H3519" i="5"/>
  <c r="H3511" i="5"/>
  <c r="H3503" i="5"/>
  <c r="H3495" i="5"/>
  <c r="H3487" i="5"/>
  <c r="H3479" i="5"/>
  <c r="H3471" i="5"/>
  <c r="H3463" i="5"/>
  <c r="H3455" i="5"/>
  <c r="H3447" i="5"/>
  <c r="H3439" i="5"/>
  <c r="H3431" i="5"/>
  <c r="H3423" i="5"/>
  <c r="H3415" i="5"/>
  <c r="H3407" i="5"/>
  <c r="H3399" i="5"/>
  <c r="H3391" i="5"/>
  <c r="H3383" i="5"/>
  <c r="H3375" i="5"/>
  <c r="H3367" i="5"/>
  <c r="H3359" i="5"/>
  <c r="H3351" i="5"/>
  <c r="H3343" i="5"/>
  <c r="H3335" i="5"/>
  <c r="H3327" i="5"/>
  <c r="H3319" i="5"/>
  <c r="H3311" i="5"/>
  <c r="H3303" i="5"/>
  <c r="H3295" i="5"/>
  <c r="H3287" i="5"/>
  <c r="H3279" i="5"/>
  <c r="H3271" i="5"/>
  <c r="H3263" i="5"/>
  <c r="H3255" i="5"/>
  <c r="H3247" i="5"/>
  <c r="H3239" i="5"/>
  <c r="H3231" i="5"/>
  <c r="H3223" i="5"/>
  <c r="H3215" i="5"/>
  <c r="H3207" i="5"/>
  <c r="H3199" i="5"/>
  <c r="H3191" i="5"/>
  <c r="H3183" i="5"/>
  <c r="H3175" i="5"/>
  <c r="H3167" i="5"/>
  <c r="H3159" i="5"/>
  <c r="H3151" i="5"/>
  <c r="H3143" i="5"/>
  <c r="H3135" i="5"/>
  <c r="H3127" i="5"/>
  <c r="H3119" i="5"/>
  <c r="H3111" i="5"/>
  <c r="H3103" i="5"/>
  <c r="H3095" i="5"/>
  <c r="H3087" i="5"/>
  <c r="H3079" i="5"/>
  <c r="H3071" i="5"/>
  <c r="H3063" i="5"/>
  <c r="H3055" i="5"/>
  <c r="H3047" i="5"/>
  <c r="H3039" i="5"/>
  <c r="H3031" i="5"/>
  <c r="H3023" i="5"/>
  <c r="H3015" i="5"/>
  <c r="H3007" i="5"/>
  <c r="H2999" i="5"/>
  <c r="H2991" i="5"/>
  <c r="H2983" i="5"/>
  <c r="H2975" i="5"/>
  <c r="H2967" i="5"/>
  <c r="H2959" i="5"/>
  <c r="H2951" i="5"/>
  <c r="H2943" i="5"/>
  <c r="H2935" i="5"/>
  <c r="H2927" i="5"/>
  <c r="H2919" i="5"/>
  <c r="H2911" i="5"/>
  <c r="H2903" i="5"/>
  <c r="H2895" i="5"/>
  <c r="H2887" i="5"/>
  <c r="H2879" i="5"/>
  <c r="H2871" i="5"/>
  <c r="H2863" i="5"/>
  <c r="H2855" i="5"/>
  <c r="H2847" i="5"/>
  <c r="H2839" i="5"/>
  <c r="H2831" i="5"/>
  <c r="H2823" i="5"/>
  <c r="H2815" i="5"/>
  <c r="H2807" i="5"/>
  <c r="H2799" i="5"/>
  <c r="H2791" i="5"/>
  <c r="H2783" i="5"/>
  <c r="H2775" i="5"/>
  <c r="H2767" i="5"/>
  <c r="H2759" i="5"/>
  <c r="H2751" i="5"/>
  <c r="H2743" i="5"/>
  <c r="H2735" i="5"/>
  <c r="H2727" i="5"/>
  <c r="H2719" i="5"/>
  <c r="H2711" i="5"/>
  <c r="H2703" i="5"/>
  <c r="H2695" i="5"/>
  <c r="H2687" i="5"/>
  <c r="H2679" i="5"/>
  <c r="H2671" i="5"/>
  <c r="H2663" i="5"/>
  <c r="H2655" i="5"/>
  <c r="H2647" i="5"/>
  <c r="H2639" i="5"/>
  <c r="H2631" i="5"/>
  <c r="H2623" i="5"/>
  <c r="H2615" i="5"/>
  <c r="H2607" i="5"/>
  <c r="H2599" i="5"/>
  <c r="H2591" i="5"/>
  <c r="H2583" i="5"/>
  <c r="H2575" i="5"/>
  <c r="H2567" i="5"/>
  <c r="H2559" i="5"/>
  <c r="H2551" i="5"/>
  <c r="H2543" i="5"/>
  <c r="H2535" i="5"/>
  <c r="H2527" i="5"/>
  <c r="H2519" i="5"/>
  <c r="H2511" i="5"/>
  <c r="H2503" i="5"/>
  <c r="H2495" i="5"/>
  <c r="H2487" i="5"/>
  <c r="H2479" i="5"/>
  <c r="H2471" i="5"/>
  <c r="H2463" i="5"/>
  <c r="H2455" i="5"/>
  <c r="H2447" i="5"/>
  <c r="H2439" i="5"/>
  <c r="H2431" i="5"/>
  <c r="H2423" i="5"/>
  <c r="H2415" i="5"/>
  <c r="H2407" i="5"/>
  <c r="H2399" i="5"/>
  <c r="H2391" i="5"/>
  <c r="H2383" i="5"/>
  <c r="H2375" i="5"/>
  <c r="H2367" i="5"/>
  <c r="H2359" i="5"/>
  <c r="H2351" i="5"/>
  <c r="H2343" i="5"/>
  <c r="H2335" i="5"/>
  <c r="H2327" i="5"/>
  <c r="H2319" i="5"/>
  <c r="H2311" i="5"/>
  <c r="H2303" i="5"/>
  <c r="H2295" i="5"/>
  <c r="H2287" i="5"/>
  <c r="H2279" i="5"/>
  <c r="H2271" i="5"/>
  <c r="H2263" i="5"/>
  <c r="H2255" i="5"/>
  <c r="H2247" i="5"/>
  <c r="H2239" i="5"/>
  <c r="H2231" i="5"/>
  <c r="H2223" i="5"/>
  <c r="H2215" i="5"/>
  <c r="H2207" i="5"/>
  <c r="H2199" i="5"/>
  <c r="H2191" i="5"/>
  <c r="H2183" i="5"/>
  <c r="H2175" i="5"/>
  <c r="H2167" i="5"/>
  <c r="H2159" i="5"/>
  <c r="H2151" i="5"/>
  <c r="H2143" i="5"/>
  <c r="H2135" i="5"/>
  <c r="H2127" i="5"/>
  <c r="H2119" i="5"/>
  <c r="H2111" i="5"/>
  <c r="H2103" i="5"/>
  <c r="H2095" i="5"/>
  <c r="H2087" i="5"/>
  <c r="H2079" i="5"/>
  <c r="H2071" i="5"/>
  <c r="H2063" i="5"/>
  <c r="H2055" i="5"/>
  <c r="H2047" i="5"/>
  <c r="H2039" i="5"/>
  <c r="H2031" i="5"/>
  <c r="H2023" i="5"/>
  <c r="H2015" i="5"/>
  <c r="H2007" i="5"/>
  <c r="H1999" i="5"/>
  <c r="H1991" i="5"/>
  <c r="H1983" i="5"/>
  <c r="H1975" i="5"/>
  <c r="H1967" i="5"/>
  <c r="H1959" i="5"/>
  <c r="H1951" i="5"/>
  <c r="H1943" i="5"/>
  <c r="H1935" i="5"/>
  <c r="H1927" i="5"/>
  <c r="H1919" i="5"/>
  <c r="H1911" i="5"/>
  <c r="H1903" i="5"/>
  <c r="H1895" i="5"/>
  <c r="H1887" i="5"/>
  <c r="H1879" i="5"/>
  <c r="H1871" i="5"/>
  <c r="H1863" i="5"/>
  <c r="H1855" i="5"/>
  <c r="H1847" i="5"/>
  <c r="H1839" i="5"/>
  <c r="H1831" i="5"/>
  <c r="H1823" i="5"/>
  <c r="H1815" i="5"/>
  <c r="H1807" i="5"/>
  <c r="H1799" i="5"/>
  <c r="H1791" i="5"/>
  <c r="H1783" i="5"/>
  <c r="H1775" i="5"/>
  <c r="H1767" i="5"/>
  <c r="H1759" i="5"/>
  <c r="H1751" i="5"/>
  <c r="H1743" i="5"/>
  <c r="H1735" i="5"/>
  <c r="H1727" i="5"/>
  <c r="H1719" i="5"/>
  <c r="H1711" i="5"/>
  <c r="H1703" i="5"/>
  <c r="H1695" i="5"/>
  <c r="H1687" i="5"/>
  <c r="H1679" i="5"/>
  <c r="H1671" i="5"/>
  <c r="H1663" i="5"/>
  <c r="H1655" i="5"/>
  <c r="H1647" i="5"/>
  <c r="H1639" i="5"/>
  <c r="H1631" i="5"/>
  <c r="H1623" i="5"/>
  <c r="H1615" i="5"/>
  <c r="H1607" i="5"/>
  <c r="H1599" i="5"/>
  <c r="H1591" i="5"/>
  <c r="H1583" i="5"/>
  <c r="H1575" i="5"/>
  <c r="H1567" i="5"/>
  <c r="H1559" i="5"/>
  <c r="H1551" i="5"/>
  <c r="H1543" i="5"/>
  <c r="H1535" i="5"/>
  <c r="H1527" i="5"/>
  <c r="H1519" i="5"/>
  <c r="H1511" i="5"/>
  <c r="H1503" i="5"/>
  <c r="H1495" i="5"/>
  <c r="H1487" i="5"/>
  <c r="H1479" i="5"/>
  <c r="H1471" i="5"/>
  <c r="H1463" i="5"/>
  <c r="H1455" i="5"/>
  <c r="H1447" i="5"/>
  <c r="H1439" i="5"/>
  <c r="H1431" i="5"/>
  <c r="H1423" i="5"/>
  <c r="H1415" i="5"/>
  <c r="H1407" i="5"/>
  <c r="H1399" i="5"/>
  <c r="H1391" i="5"/>
  <c r="H1383" i="5"/>
  <c r="H1375" i="5"/>
  <c r="H1367" i="5"/>
  <c r="H1359" i="5"/>
  <c r="H1351" i="5"/>
  <c r="H1343" i="5"/>
  <c r="H1335" i="5"/>
  <c r="H1327" i="5"/>
  <c r="H1319" i="5"/>
  <c r="H1311" i="5"/>
  <c r="H1303" i="5"/>
  <c r="H1295" i="5"/>
  <c r="H1287" i="5"/>
  <c r="H1279" i="5"/>
  <c r="H1271" i="5"/>
  <c r="H1263" i="5"/>
  <c r="H1255" i="5"/>
  <c r="H1247" i="5"/>
  <c r="H1239" i="5"/>
  <c r="H1231" i="5"/>
  <c r="H1223" i="5"/>
  <c r="H1215" i="5"/>
  <c r="H1207" i="5"/>
  <c r="H1199" i="5"/>
  <c r="H1191" i="5"/>
  <c r="H1183" i="5"/>
  <c r="H1175" i="5"/>
  <c r="H1167" i="5"/>
  <c r="H1159" i="5"/>
  <c r="H1151" i="5"/>
  <c r="H1143" i="5"/>
  <c r="H1135" i="5"/>
  <c r="H1127" i="5"/>
  <c r="H1119" i="5"/>
  <c r="H1111" i="5"/>
  <c r="H1103" i="5"/>
  <c r="H1095" i="5"/>
  <c r="H1087" i="5"/>
  <c r="H1079" i="5"/>
  <c r="H1071" i="5"/>
  <c r="H1063" i="5"/>
  <c r="H1055" i="5"/>
  <c r="H1047" i="5"/>
  <c r="H1039" i="5"/>
  <c r="H1031" i="5"/>
  <c r="H1023" i="5"/>
  <c r="H1015" i="5"/>
  <c r="H1007" i="5"/>
  <c r="H999" i="5"/>
  <c r="H991" i="5"/>
  <c r="H983" i="5"/>
  <c r="H975" i="5"/>
  <c r="H967" i="5"/>
  <c r="H959" i="5"/>
  <c r="H951" i="5"/>
  <c r="H943" i="5"/>
  <c r="H935" i="5"/>
  <c r="H927" i="5"/>
  <c r="H919" i="5"/>
  <c r="H911" i="5"/>
  <c r="H903" i="5"/>
  <c r="H895" i="5"/>
  <c r="H887" i="5"/>
  <c r="H879" i="5"/>
  <c r="H871" i="5"/>
  <c r="H863" i="5"/>
  <c r="H855" i="5"/>
  <c r="H847" i="5"/>
  <c r="H839" i="5"/>
  <c r="H831" i="5"/>
  <c r="H823" i="5"/>
  <c r="H815" i="5"/>
  <c r="H807" i="5"/>
  <c r="H799" i="5"/>
  <c r="H791" i="5"/>
  <c r="H783" i="5"/>
  <c r="H775" i="5"/>
  <c r="H767" i="5"/>
  <c r="H759" i="5"/>
  <c r="H751" i="5"/>
  <c r="H743" i="5"/>
  <c r="H735" i="5"/>
  <c r="H727" i="5"/>
  <c r="H719" i="5"/>
  <c r="H711" i="5"/>
  <c r="H703" i="5"/>
  <c r="H695" i="5"/>
  <c r="H687" i="5"/>
  <c r="H679" i="5"/>
  <c r="H671" i="5"/>
  <c r="H663" i="5"/>
  <c r="H655" i="5"/>
  <c r="H647" i="5"/>
  <c r="H639" i="5"/>
  <c r="H631" i="5"/>
  <c r="H623" i="5"/>
  <c r="H615" i="5"/>
  <c r="H607" i="5"/>
  <c r="H599" i="5"/>
  <c r="H591" i="5"/>
  <c r="H583" i="5"/>
  <c r="H575" i="5"/>
  <c r="H567" i="5"/>
  <c r="H559" i="5"/>
  <c r="H551" i="5"/>
  <c r="H543" i="5"/>
  <c r="H535" i="5"/>
  <c r="H527" i="5"/>
  <c r="H519" i="5"/>
  <c r="H511" i="5"/>
  <c r="H503" i="5"/>
  <c r="H495" i="5"/>
  <c r="H487" i="5"/>
  <c r="H479" i="5"/>
  <c r="H471" i="5"/>
  <c r="H463" i="5"/>
  <c r="H455" i="5"/>
  <c r="H447" i="5"/>
  <c r="H439" i="5"/>
  <c r="H431" i="5"/>
  <c r="H423" i="5"/>
  <c r="H415" i="5"/>
  <c r="H407" i="5"/>
  <c r="H399" i="5"/>
  <c r="H391" i="5"/>
  <c r="H383" i="5"/>
  <c r="H375" i="5"/>
  <c r="H367" i="5"/>
  <c r="H359" i="5"/>
  <c r="H351" i="5"/>
  <c r="H343" i="5"/>
  <c r="H335" i="5"/>
  <c r="H327" i="5"/>
  <c r="H319" i="5"/>
  <c r="H311" i="5"/>
  <c r="H303" i="5"/>
  <c r="H295" i="5"/>
  <c r="H287" i="5"/>
  <c r="H279" i="5"/>
  <c r="H271" i="5"/>
  <c r="H263" i="5"/>
  <c r="H255" i="5"/>
  <c r="H247" i="5"/>
  <c r="H239" i="5"/>
  <c r="H231" i="5"/>
  <c r="H223" i="5"/>
  <c r="H215" i="5"/>
  <c r="H207" i="5"/>
  <c r="H199" i="5"/>
  <c r="H191" i="5"/>
  <c r="H183" i="5"/>
  <c r="H175" i="5"/>
  <c r="H167" i="5"/>
  <c r="H159" i="5"/>
  <c r="H151" i="5"/>
  <c r="H143" i="5"/>
  <c r="H135" i="5"/>
  <c r="H127" i="5"/>
  <c r="H119" i="5"/>
  <c r="H111" i="5"/>
  <c r="H40703" i="5"/>
  <c r="H38342" i="5"/>
  <c r="H36385" i="5"/>
  <c r="H35361" i="5"/>
  <c r="H34729" i="5"/>
  <c r="H34421" i="5"/>
  <c r="H34165" i="5"/>
  <c r="H33909" i="5"/>
  <c r="H33653" i="5"/>
  <c r="H33397" i="5"/>
  <c r="H33141" i="5"/>
  <c r="H32885" i="5"/>
  <c r="H32629" i="5"/>
  <c r="H32373" i="5"/>
  <c r="H32117" i="5"/>
  <c r="H31861" i="5"/>
  <c r="H31605" i="5"/>
  <c r="H31349" i="5"/>
  <c r="H31093" i="5"/>
  <c r="H30837" i="5"/>
  <c r="H30581" i="5"/>
  <c r="H30325" i="5"/>
  <c r="H30069" i="5"/>
  <c r="H29813" i="5"/>
  <c r="H29557" i="5"/>
  <c r="H29302" i="5"/>
  <c r="H29174" i="5"/>
  <c r="H29046" i="5"/>
  <c r="H28918" i="5"/>
  <c r="H28790" i="5"/>
  <c r="H28662" i="5"/>
  <c r="H28534" i="5"/>
  <c r="H28406" i="5"/>
  <c r="H28278" i="5"/>
  <c r="H28150" i="5"/>
  <c r="H28022" i="5"/>
  <c r="H27894" i="5"/>
  <c r="H27766" i="5"/>
  <c r="H27638" i="5"/>
  <c r="H27510" i="5"/>
  <c r="H27400" i="5"/>
  <c r="H27317" i="5"/>
  <c r="H27230" i="5"/>
  <c r="H27144" i="5"/>
  <c r="H27076" i="5"/>
  <c r="H27012" i="5"/>
  <c r="H26948" i="5"/>
  <c r="H26884" i="5"/>
  <c r="H26820" i="5"/>
  <c r="H26756" i="5"/>
  <c r="H26692" i="5"/>
  <c r="H26628" i="5"/>
  <c r="H26564" i="5"/>
  <c r="H26500" i="5"/>
  <c r="H26436" i="5"/>
  <c r="H26372" i="5"/>
  <c r="H26308" i="5"/>
  <c r="H26244" i="5"/>
  <c r="H26180" i="5"/>
  <c r="H26116" i="5"/>
  <c r="H26052" i="5"/>
  <c r="H25988" i="5"/>
  <c r="H25924" i="5"/>
  <c r="H25860" i="5"/>
  <c r="H25796" i="5"/>
  <c r="H25732" i="5"/>
  <c r="H25668" i="5"/>
  <c r="H25604" i="5"/>
  <c r="H25540" i="5"/>
  <c r="H25486" i="5"/>
  <c r="H25436" i="5"/>
  <c r="H25384" i="5"/>
  <c r="H25333" i="5"/>
  <c r="H25283" i="5"/>
  <c r="H25230" i="5"/>
  <c r="H25180" i="5"/>
  <c r="H25128" i="5"/>
  <c r="H25077" i="5"/>
  <c r="H25027" i="5"/>
  <c r="H24974" i="5"/>
  <c r="H24938" i="5"/>
  <c r="H24904" i="5"/>
  <c r="H24872" i="5"/>
  <c r="H24840" i="5"/>
  <c r="H24808" i="5"/>
  <c r="H24776" i="5"/>
  <c r="H24744" i="5"/>
  <c r="H24712" i="5"/>
  <c r="H24680" i="5"/>
  <c r="H24648" i="5"/>
  <c r="H24616" i="5"/>
  <c r="H24584" i="5"/>
  <c r="H24552" i="5"/>
  <c r="H24520" i="5"/>
  <c r="H24488" i="5"/>
  <c r="H24456" i="5"/>
  <c r="H24424" i="5"/>
  <c r="H24392" i="5"/>
  <c r="H24360" i="5"/>
  <c r="H24328" i="5"/>
  <c r="H24296" i="5"/>
  <c r="H24264" i="5"/>
  <c r="H24232" i="5"/>
  <c r="H24200" i="5"/>
  <c r="H24168" i="5"/>
  <c r="H24136" i="5"/>
  <c r="H24104" i="5"/>
  <c r="H24072" i="5"/>
  <c r="H24040" i="5"/>
  <c r="H24008" i="5"/>
  <c r="H23976" i="5"/>
  <c r="H23944" i="5"/>
  <c r="H23912" i="5"/>
  <c r="H23880" i="5"/>
  <c r="H23848" i="5"/>
  <c r="H23816" i="5"/>
  <c r="H23784" i="5"/>
  <c r="H23752" i="5"/>
  <c r="H23720" i="5"/>
  <c r="H23688" i="5"/>
  <c r="H23656" i="5"/>
  <c r="H23624" i="5"/>
  <c r="H23592" i="5"/>
  <c r="H23560" i="5"/>
  <c r="H23528" i="5"/>
  <c r="H23496" i="5"/>
  <c r="H23464" i="5"/>
  <c r="H23432" i="5"/>
  <c r="H23400" i="5"/>
  <c r="H23368" i="5"/>
  <c r="H23336" i="5"/>
  <c r="H23304" i="5"/>
  <c r="H23272" i="5"/>
  <c r="H23240" i="5"/>
  <c r="H23208" i="5"/>
  <c r="H23176" i="5"/>
  <c r="H23144" i="5"/>
  <c r="H23112" i="5"/>
  <c r="H23080" i="5"/>
  <c r="H23048" i="5"/>
  <c r="H23016" i="5"/>
  <c r="H22984" i="5"/>
  <c r="H22952" i="5"/>
  <c r="H22920" i="5"/>
  <c r="H22888" i="5"/>
  <c r="H22856" i="5"/>
  <c r="H22824" i="5"/>
  <c r="H22792" i="5"/>
  <c r="H22760" i="5"/>
  <c r="H22728" i="5"/>
  <c r="H22696" i="5"/>
  <c r="H22664" i="5"/>
  <c r="H22632" i="5"/>
  <c r="H22600" i="5"/>
  <c r="H22568" i="5"/>
  <c r="H22536" i="5"/>
  <c r="H22504" i="5"/>
  <c r="H22472" i="5"/>
  <c r="H22440" i="5"/>
  <c r="H22408" i="5"/>
  <c r="H22376" i="5"/>
  <c r="H22344" i="5"/>
  <c r="H22312" i="5"/>
  <c r="H22280" i="5"/>
  <c r="H22248" i="5"/>
  <c r="H22216" i="5"/>
  <c r="H22184" i="5"/>
  <c r="H22152" i="5"/>
  <c r="H22120" i="5"/>
  <c r="H22088" i="5"/>
  <c r="H22056" i="5"/>
  <c r="H22024" i="5"/>
  <c r="H21992" i="5"/>
  <c r="H21960" i="5"/>
  <c r="H21928" i="5"/>
  <c r="H21896" i="5"/>
  <c r="H21864" i="5"/>
  <c r="H21832" i="5"/>
  <c r="H21800" i="5"/>
  <c r="H21768" i="5"/>
  <c r="H21736" i="5"/>
  <c r="H21704" i="5"/>
  <c r="H21672" i="5"/>
  <c r="H21640" i="5"/>
  <c r="H21608" i="5"/>
  <c r="H21576" i="5"/>
  <c r="H21544" i="5"/>
  <c r="H21512" i="5"/>
  <c r="H21480" i="5"/>
  <c r="H21448" i="5"/>
  <c r="H21416" i="5"/>
  <c r="H21384" i="5"/>
  <c r="H21352" i="5"/>
  <c r="H21320" i="5"/>
  <c r="H21288" i="5"/>
  <c r="H21256" i="5"/>
  <c r="H21224" i="5"/>
  <c r="H21192" i="5"/>
  <c r="H21160" i="5"/>
  <c r="H21128" i="5"/>
  <c r="H21096" i="5"/>
  <c r="H21064" i="5"/>
  <c r="H21032" i="5"/>
  <c r="H21000" i="5"/>
  <c r="H20968" i="5"/>
  <c r="H20936" i="5"/>
  <c r="H20904" i="5"/>
  <c r="H20872" i="5"/>
  <c r="H20840" i="5"/>
  <c r="H20808" i="5"/>
  <c r="H20776" i="5"/>
  <c r="H20744" i="5"/>
  <c r="H20712" i="5"/>
  <c r="H20680" i="5"/>
  <c r="H20648" i="5"/>
  <c r="H20616" i="5"/>
  <c r="H20584" i="5"/>
  <c r="H20552" i="5"/>
  <c r="H20520" i="5"/>
  <c r="H20488" i="5"/>
  <c r="H20456" i="5"/>
  <c r="H20424" i="5"/>
  <c r="H20392" i="5"/>
  <c r="H20360" i="5"/>
  <c r="H20328" i="5"/>
  <c r="H20296" i="5"/>
  <c r="H20264" i="5"/>
  <c r="H20232" i="5"/>
  <c r="H20200" i="5"/>
  <c r="H20168" i="5"/>
  <c r="H20136" i="5"/>
  <c r="H20104" i="5"/>
  <c r="H20072" i="5"/>
  <c r="H20040" i="5"/>
  <c r="H20008" i="5"/>
  <c r="H19976" i="5"/>
  <c r="H19944" i="5"/>
  <c r="H19912" i="5"/>
  <c r="H19880" i="5"/>
  <c r="H19848" i="5"/>
  <c r="H19816" i="5"/>
  <c r="H19784" i="5"/>
  <c r="H19752" i="5"/>
  <c r="H19720" i="5"/>
  <c r="H19688" i="5"/>
  <c r="H19656" i="5"/>
  <c r="H19624" i="5"/>
  <c r="H19592" i="5"/>
  <c r="H19560" i="5"/>
  <c r="H19528" i="5"/>
  <c r="H19496" i="5"/>
  <c r="H19464" i="5"/>
  <c r="H19432" i="5"/>
  <c r="H19400" i="5"/>
  <c r="H19368" i="5"/>
  <c r="H19336" i="5"/>
  <c r="H19304" i="5"/>
  <c r="H19272" i="5"/>
  <c r="H19240" i="5"/>
  <c r="H19208" i="5"/>
  <c r="H19176" i="5"/>
  <c r="H19144" i="5"/>
  <c r="H19112" i="5"/>
  <c r="H19080" i="5"/>
  <c r="H19048" i="5"/>
  <c r="H19016" i="5"/>
  <c r="H18984" i="5"/>
  <c r="H18952" i="5"/>
  <c r="H18920" i="5"/>
  <c r="H18888" i="5"/>
  <c r="H18856" i="5"/>
  <c r="H18824" i="5"/>
  <c r="H18792" i="5"/>
  <c r="H18760" i="5"/>
  <c r="H18728" i="5"/>
  <c r="H18696" i="5"/>
  <c r="H18664" i="5"/>
  <c r="H18632" i="5"/>
  <c r="H18600" i="5"/>
  <c r="H18568" i="5"/>
  <c r="H18536" i="5"/>
  <c r="H18504" i="5"/>
  <c r="H18472" i="5"/>
  <c r="H18440" i="5"/>
  <c r="H18408" i="5"/>
  <c r="H18376" i="5"/>
  <c r="H18344" i="5"/>
  <c r="H18312" i="5"/>
  <c r="H18280" i="5"/>
  <c r="H18248" i="5"/>
  <c r="H18216" i="5"/>
  <c r="H18184" i="5"/>
  <c r="H18152" i="5"/>
  <c r="H18120" i="5"/>
  <c r="H18088" i="5"/>
  <c r="H18056" i="5"/>
  <c r="H18024" i="5"/>
  <c r="H17992" i="5"/>
  <c r="H17960" i="5"/>
  <c r="H17928" i="5"/>
  <c r="H17896" i="5"/>
  <c r="H17864" i="5"/>
  <c r="H17832" i="5"/>
  <c r="H17800" i="5"/>
  <c r="H17768" i="5"/>
  <c r="H17736" i="5"/>
  <c r="H17704" i="5"/>
  <c r="H17672" i="5"/>
  <c r="H17640" i="5"/>
  <c r="H17608" i="5"/>
  <c r="H17576" i="5"/>
  <c r="H17544" i="5"/>
  <c r="H17512" i="5"/>
  <c r="H17480" i="5"/>
  <c r="H17460" i="5"/>
  <c r="H17439" i="5"/>
  <c r="H17416" i="5"/>
  <c r="H17396" i="5"/>
  <c r="H17375" i="5"/>
  <c r="H17352" i="5"/>
  <c r="H17332" i="5"/>
  <c r="H17316" i="5"/>
  <c r="H17300" i="5"/>
  <c r="H17284" i="5"/>
  <c r="H17268" i="5"/>
  <c r="H17252" i="5"/>
  <c r="H17236" i="5"/>
  <c r="H17220" i="5"/>
  <c r="H17204" i="5"/>
  <c r="H17188" i="5"/>
  <c r="H17172" i="5"/>
  <c r="H17156" i="5"/>
  <c r="H17140" i="5"/>
  <c r="H17124" i="5"/>
  <c r="H17108" i="5"/>
  <c r="H17092" i="5"/>
  <c r="H17076" i="5"/>
  <c r="H17060" i="5"/>
  <c r="H17044" i="5"/>
  <c r="H17028" i="5"/>
  <c r="H17012" i="5"/>
  <c r="H16996" i="5"/>
  <c r="H16980" i="5"/>
  <c r="H16964" i="5"/>
  <c r="H16948" i="5"/>
  <c r="H16932" i="5"/>
  <c r="H16916" i="5"/>
  <c r="H16900" i="5"/>
  <c r="H16884" i="5"/>
  <c r="H16868" i="5"/>
  <c r="H16852" i="5"/>
  <c r="H16836" i="5"/>
  <c r="H16820" i="5"/>
  <c r="H16804" i="5"/>
  <c r="H16788" i="5"/>
  <c r="H16772" i="5"/>
  <c r="H16756" i="5"/>
  <c r="H16740" i="5"/>
  <c r="H16724" i="5"/>
  <c r="H16708" i="5"/>
  <c r="H16692" i="5"/>
  <c r="H16676" i="5"/>
  <c r="H16660" i="5"/>
  <c r="H16644" i="5"/>
  <c r="H16628" i="5"/>
  <c r="H16612" i="5"/>
  <c r="H16598" i="5"/>
  <c r="H16589" i="5"/>
  <c r="H16580" i="5"/>
  <c r="H16570" i="5"/>
  <c r="H16561" i="5"/>
  <c r="H16552" i="5"/>
  <c r="H16543" i="5"/>
  <c r="H16534" i="5"/>
  <c r="H16526" i="5"/>
  <c r="H16518" i="5"/>
  <c r="H16510" i="5"/>
  <c r="H16502" i="5"/>
  <c r="H16494" i="5"/>
  <c r="H16486" i="5"/>
  <c r="H16478" i="5"/>
  <c r="H16470" i="5"/>
  <c r="H16462" i="5"/>
  <c r="H16454" i="5"/>
  <c r="H16446" i="5"/>
  <c r="H16438" i="5"/>
  <c r="H16430" i="5"/>
  <c r="H16422" i="5"/>
  <c r="H16414" i="5"/>
  <c r="H16406" i="5"/>
  <c r="H16398" i="5"/>
  <c r="H16390" i="5"/>
  <c r="H16382" i="5"/>
  <c r="H16374" i="5"/>
  <c r="H16366" i="5"/>
  <c r="H16358" i="5"/>
  <c r="H16350" i="5"/>
  <c r="H16342" i="5"/>
  <c r="H16334" i="5"/>
  <c r="H16326" i="5"/>
  <c r="H16318" i="5"/>
  <c r="H16310" i="5"/>
  <c r="H16302" i="5"/>
  <c r="H16294" i="5"/>
  <c r="H16286" i="5"/>
  <c r="H16278" i="5"/>
  <c r="H16270" i="5"/>
  <c r="H16262" i="5"/>
  <c r="H16254" i="5"/>
  <c r="H16246" i="5"/>
  <c r="H16238" i="5"/>
  <c r="H16230" i="5"/>
  <c r="H16222" i="5"/>
  <c r="H16214" i="5"/>
  <c r="H16206" i="5"/>
  <c r="H16198" i="5"/>
  <c r="H16190" i="5"/>
  <c r="H16182" i="5"/>
  <c r="H16174" i="5"/>
  <c r="H16166" i="5"/>
  <c r="H16158" i="5"/>
  <c r="H16150" i="5"/>
  <c r="H16142" i="5"/>
  <c r="H16134" i="5"/>
  <c r="H16126" i="5"/>
  <c r="H16118" i="5"/>
  <c r="H16110" i="5"/>
  <c r="H16102" i="5"/>
  <c r="H16094" i="5"/>
  <c r="H16086" i="5"/>
  <c r="H16078" i="5"/>
  <c r="H16070" i="5"/>
  <c r="H16062" i="5"/>
  <c r="H16054" i="5"/>
  <c r="H16046" i="5"/>
  <c r="H16038" i="5"/>
  <c r="H16030" i="5"/>
  <c r="H16022" i="5"/>
  <c r="H16014" i="5"/>
  <c r="H16006" i="5"/>
  <c r="H15998" i="5"/>
  <c r="H15990" i="5"/>
  <c r="H15982" i="5"/>
  <c r="H15974" i="5"/>
  <c r="H15966" i="5"/>
  <c r="H15958" i="5"/>
  <c r="H15950" i="5"/>
  <c r="H15942" i="5"/>
  <c r="H15934" i="5"/>
  <c r="H15926" i="5"/>
  <c r="H15918" i="5"/>
  <c r="H15910" i="5"/>
  <c r="H15902" i="5"/>
  <c r="H15894" i="5"/>
  <c r="H15886" i="5"/>
  <c r="H15878" i="5"/>
  <c r="H15870" i="5"/>
  <c r="H15862" i="5"/>
  <c r="H15854" i="5"/>
  <c r="H15846" i="5"/>
  <c r="H15838" i="5"/>
  <c r="H15830" i="5"/>
  <c r="H15822" i="5"/>
  <c r="H15814" i="5"/>
  <c r="H15806" i="5"/>
  <c r="H15798" i="5"/>
  <c r="H15790" i="5"/>
  <c r="H15782" i="5"/>
  <c r="H15774" i="5"/>
  <c r="H15766" i="5"/>
  <c r="H15758" i="5"/>
  <c r="H15750" i="5"/>
  <c r="H15742" i="5"/>
  <c r="H15734" i="5"/>
  <c r="H15726" i="5"/>
  <c r="H15718" i="5"/>
  <c r="H15710" i="5"/>
  <c r="H15702" i="5"/>
  <c r="H15694" i="5"/>
  <c r="H15686" i="5"/>
  <c r="H15678" i="5"/>
  <c r="H15670" i="5"/>
  <c r="H15662" i="5"/>
  <c r="H15654" i="5"/>
  <c r="H15646" i="5"/>
  <c r="H15638" i="5"/>
  <c r="H15630" i="5"/>
  <c r="H15622" i="5"/>
  <c r="H15614" i="5"/>
  <c r="H15606" i="5"/>
  <c r="H15598" i="5"/>
  <c r="H15590" i="5"/>
  <c r="H15582" i="5"/>
  <c r="H15574" i="5"/>
  <c r="H15566" i="5"/>
  <c r="H15558" i="5"/>
  <c r="H15550" i="5"/>
  <c r="H15542" i="5"/>
  <c r="H15534" i="5"/>
  <c r="H15526" i="5"/>
  <c r="H15518" i="5"/>
  <c r="H15510" i="5"/>
  <c r="H15502" i="5"/>
  <c r="H15494" i="5"/>
  <c r="H15486" i="5"/>
  <c r="H15478" i="5"/>
  <c r="H15470" i="5"/>
  <c r="H15462" i="5"/>
  <c r="H15454" i="5"/>
  <c r="H15446" i="5"/>
  <c r="H15438" i="5"/>
  <c r="H15430" i="5"/>
  <c r="H15422" i="5"/>
  <c r="H15414" i="5"/>
  <c r="H15406" i="5"/>
  <c r="H15398" i="5"/>
  <c r="H15390" i="5"/>
  <c r="H15382" i="5"/>
  <c r="H15374" i="5"/>
  <c r="H15366" i="5"/>
  <c r="H15358" i="5"/>
  <c r="H15350" i="5"/>
  <c r="H15342" i="5"/>
  <c r="H15334" i="5"/>
  <c r="H15326" i="5"/>
  <c r="H15318" i="5"/>
  <c r="H15310" i="5"/>
  <c r="H15302" i="5"/>
  <c r="H15294" i="5"/>
  <c r="H15286" i="5"/>
  <c r="H15278" i="5"/>
  <c r="H15270" i="5"/>
  <c r="H15262" i="5"/>
  <c r="H15254" i="5"/>
  <c r="H15246" i="5"/>
  <c r="H15238" i="5"/>
  <c r="H15230" i="5"/>
  <c r="H15222" i="5"/>
  <c r="H15214" i="5"/>
  <c r="H15206" i="5"/>
  <c r="H15198" i="5"/>
  <c r="H15190" i="5"/>
  <c r="H15182" i="5"/>
  <c r="H15174" i="5"/>
  <c r="H15166" i="5"/>
  <c r="H15158" i="5"/>
  <c r="H15150" i="5"/>
  <c r="H15142" i="5"/>
  <c r="H15134" i="5"/>
  <c r="H15126" i="5"/>
  <c r="H15118" i="5"/>
  <c r="H15110" i="5"/>
  <c r="H15102" i="5"/>
  <c r="H15094" i="5"/>
  <c r="H15086" i="5"/>
  <c r="H15078" i="5"/>
  <c r="H15070" i="5"/>
  <c r="H15062" i="5"/>
  <c r="H15054" i="5"/>
  <c r="H15046" i="5"/>
  <c r="H15038" i="5"/>
  <c r="H15030" i="5"/>
  <c r="H15022" i="5"/>
  <c r="H15014" i="5"/>
  <c r="H15006" i="5"/>
  <c r="H14998" i="5"/>
  <c r="H14990" i="5"/>
  <c r="H14982" i="5"/>
  <c r="H14974" i="5"/>
  <c r="H14966" i="5"/>
  <c r="H14958" i="5"/>
  <c r="H14950" i="5"/>
  <c r="H14942" i="5"/>
  <c r="H14934" i="5"/>
  <c r="H14926" i="5"/>
  <c r="H14918" i="5"/>
  <c r="H14910" i="5"/>
  <c r="H14902" i="5"/>
  <c r="H14894" i="5"/>
  <c r="H14886" i="5"/>
  <c r="H14878" i="5"/>
  <c r="H14870" i="5"/>
  <c r="H14862" i="5"/>
  <c r="H14854" i="5"/>
  <c r="H14846" i="5"/>
  <c r="H14838" i="5"/>
  <c r="H14830" i="5"/>
  <c r="H14822" i="5"/>
  <c r="H14814" i="5"/>
  <c r="H14806" i="5"/>
  <c r="H14798" i="5"/>
  <c r="H14790" i="5"/>
  <c r="H14782" i="5"/>
  <c r="H14774" i="5"/>
  <c r="H14766" i="5"/>
  <c r="H14758" i="5"/>
  <c r="H14750" i="5"/>
  <c r="H14742" i="5"/>
  <c r="H14734" i="5"/>
  <c r="H14726" i="5"/>
  <c r="H14718" i="5"/>
  <c r="H14710" i="5"/>
  <c r="H14702" i="5"/>
  <c r="H14694" i="5"/>
  <c r="H14686" i="5"/>
  <c r="H14678" i="5"/>
  <c r="H14670" i="5"/>
  <c r="H14662" i="5"/>
  <c r="H14654" i="5"/>
  <c r="H14646" i="5"/>
  <c r="H14638" i="5"/>
  <c r="H14630" i="5"/>
  <c r="H14622" i="5"/>
  <c r="H14614" i="5"/>
  <c r="H14606" i="5"/>
  <c r="H14598" i="5"/>
  <c r="H14590" i="5"/>
  <c r="H14582" i="5"/>
  <c r="H14574" i="5"/>
  <c r="H14566" i="5"/>
  <c r="H14558" i="5"/>
  <c r="H14550" i="5"/>
  <c r="H14542" i="5"/>
  <c r="H14534" i="5"/>
  <c r="H14526" i="5"/>
  <c r="H14518" i="5"/>
  <c r="H14510" i="5"/>
  <c r="H14502" i="5"/>
  <c r="H14494" i="5"/>
  <c r="H14486" i="5"/>
  <c r="H14478" i="5"/>
  <c r="H14470" i="5"/>
  <c r="H14462" i="5"/>
  <c r="H14454" i="5"/>
  <c r="H14446" i="5"/>
  <c r="H14438" i="5"/>
  <c r="H14430" i="5"/>
  <c r="H14422" i="5"/>
  <c r="H14414" i="5"/>
  <c r="H14406" i="5"/>
  <c r="H14398" i="5"/>
  <c r="H14390" i="5"/>
  <c r="H14382" i="5"/>
  <c r="H14374" i="5"/>
  <c r="H14366" i="5"/>
  <c r="H14358" i="5"/>
  <c r="H14350" i="5"/>
  <c r="H14342" i="5"/>
  <c r="H14334" i="5"/>
  <c r="H14326" i="5"/>
  <c r="H14318" i="5"/>
  <c r="H14310" i="5"/>
  <c r="H14302" i="5"/>
  <c r="H14294" i="5"/>
  <c r="H14286" i="5"/>
  <c r="H14278" i="5"/>
  <c r="H14270" i="5"/>
  <c r="H14262" i="5"/>
  <c r="H14254" i="5"/>
  <c r="H14246" i="5"/>
  <c r="H14238" i="5"/>
  <c r="H14230" i="5"/>
  <c r="H14222" i="5"/>
  <c r="H14214" i="5"/>
  <c r="H14206" i="5"/>
  <c r="H14198" i="5"/>
  <c r="H14190" i="5"/>
  <c r="H14182" i="5"/>
  <c r="H14174" i="5"/>
  <c r="H14166" i="5"/>
  <c r="H14158" i="5"/>
  <c r="H14150" i="5"/>
  <c r="H14142" i="5"/>
  <c r="H14134" i="5"/>
  <c r="H14126" i="5"/>
  <c r="H14118" i="5"/>
  <c r="H14110" i="5"/>
  <c r="H14102" i="5"/>
  <c r="H14094" i="5"/>
  <c r="H14086" i="5"/>
  <c r="H14078" i="5"/>
  <c r="H14070" i="5"/>
  <c r="H14062" i="5"/>
  <c r="H14054" i="5"/>
  <c r="H14046" i="5"/>
  <c r="H14038" i="5"/>
  <c r="H14030" i="5"/>
  <c r="H14022" i="5"/>
  <c r="H14014" i="5"/>
  <c r="H14006" i="5"/>
  <c r="H13998" i="5"/>
  <c r="H13990" i="5"/>
  <c r="H13982" i="5"/>
  <c r="H13974" i="5"/>
  <c r="H13966" i="5"/>
  <c r="H13958" i="5"/>
  <c r="H13950" i="5"/>
  <c r="H13942" i="5"/>
  <c r="H13934" i="5"/>
  <c r="H13926" i="5"/>
  <c r="H13918" i="5"/>
  <c r="H13910" i="5"/>
  <c r="H13902" i="5"/>
  <c r="H13894" i="5"/>
  <c r="H13886" i="5"/>
  <c r="H13878" i="5"/>
  <c r="H13870" i="5"/>
  <c r="H13862" i="5"/>
  <c r="H13854" i="5"/>
  <c r="H13846" i="5"/>
  <c r="H13838" i="5"/>
  <c r="H13830" i="5"/>
  <c r="H13822" i="5"/>
  <c r="H13814" i="5"/>
  <c r="H13806" i="5"/>
  <c r="H13798" i="5"/>
  <c r="H13790" i="5"/>
  <c r="H13782" i="5"/>
  <c r="H13774" i="5"/>
  <c r="H13766" i="5"/>
  <c r="H13758" i="5"/>
  <c r="H13750" i="5"/>
  <c r="H13742" i="5"/>
  <c r="H13734" i="5"/>
  <c r="H13726" i="5"/>
  <c r="H13718" i="5"/>
  <c r="H13710" i="5"/>
  <c r="H13702" i="5"/>
  <c r="H13694" i="5"/>
  <c r="H13686" i="5"/>
  <c r="H13678" i="5"/>
  <c r="H13670" i="5"/>
  <c r="H13662" i="5"/>
  <c r="H13654" i="5"/>
  <c r="H13646" i="5"/>
  <c r="H13638" i="5"/>
  <c r="H13630" i="5"/>
  <c r="H13622" i="5"/>
  <c r="H13614" i="5"/>
  <c r="H13606" i="5"/>
  <c r="H13598" i="5"/>
  <c r="H13590" i="5"/>
  <c r="H13582" i="5"/>
  <c r="H13574" i="5"/>
  <c r="H13566" i="5"/>
  <c r="H13558" i="5"/>
  <c r="H13550" i="5"/>
  <c r="H13542" i="5"/>
  <c r="H13534" i="5"/>
  <c r="H13526" i="5"/>
  <c r="H13518" i="5"/>
  <c r="H13510" i="5"/>
  <c r="H13502" i="5"/>
  <c r="H13494" i="5"/>
  <c r="H13486" i="5"/>
  <c r="H13478" i="5"/>
  <c r="H13470" i="5"/>
  <c r="H13462" i="5"/>
  <c r="H13454" i="5"/>
  <c r="H13446" i="5"/>
  <c r="H13438" i="5"/>
  <c r="H13430" i="5"/>
  <c r="H13422" i="5"/>
  <c r="H13414" i="5"/>
  <c r="H13406" i="5"/>
  <c r="H13398" i="5"/>
  <c r="H13390" i="5"/>
  <c r="H13382" i="5"/>
  <c r="H13374" i="5"/>
  <c r="H13366" i="5"/>
  <c r="H13358" i="5"/>
  <c r="H13350" i="5"/>
  <c r="H13342" i="5"/>
  <c r="H13334" i="5"/>
  <c r="H13326" i="5"/>
  <c r="H13318" i="5"/>
  <c r="H13310" i="5"/>
  <c r="H13302" i="5"/>
  <c r="H13294" i="5"/>
  <c r="H13286" i="5"/>
  <c r="H13278" i="5"/>
  <c r="H13270" i="5"/>
  <c r="H13262" i="5"/>
  <c r="H13254" i="5"/>
  <c r="H13246" i="5"/>
  <c r="H13238" i="5"/>
  <c r="H13230" i="5"/>
  <c r="H13222" i="5"/>
  <c r="H13214" i="5"/>
  <c r="H13206" i="5"/>
  <c r="H13198" i="5"/>
  <c r="H13190" i="5"/>
  <c r="H13182" i="5"/>
  <c r="H13174" i="5"/>
  <c r="H13166" i="5"/>
  <c r="H13158" i="5"/>
  <c r="H13150" i="5"/>
  <c r="H13142" i="5"/>
  <c r="H13134" i="5"/>
  <c r="H13126" i="5"/>
  <c r="H13118" i="5"/>
  <c r="H13110" i="5"/>
  <c r="H13102" i="5"/>
  <c r="H13094" i="5"/>
  <c r="H13086" i="5"/>
  <c r="H13078" i="5"/>
  <c r="H13070" i="5"/>
  <c r="H13062" i="5"/>
  <c r="H13054" i="5"/>
  <c r="H13046" i="5"/>
  <c r="H13038" i="5"/>
  <c r="H13030" i="5"/>
  <c r="H13022" i="5"/>
  <c r="H13014" i="5"/>
  <c r="H13006" i="5"/>
  <c r="H12998" i="5"/>
  <c r="H12990" i="5"/>
  <c r="H12982" i="5"/>
  <c r="H12974" i="5"/>
  <c r="H12966" i="5"/>
  <c r="H12958" i="5"/>
  <c r="H12950" i="5"/>
  <c r="H12942" i="5"/>
  <c r="H12934" i="5"/>
  <c r="H12926" i="5"/>
  <c r="H12918" i="5"/>
  <c r="H12910" i="5"/>
  <c r="H12902" i="5"/>
  <c r="H12894" i="5"/>
  <c r="H12886" i="5"/>
  <c r="H12878" i="5"/>
  <c r="H12870" i="5"/>
  <c r="H12862" i="5"/>
  <c r="H12854" i="5"/>
  <c r="H12846" i="5"/>
  <c r="H12838" i="5"/>
  <c r="H12830" i="5"/>
  <c r="H12822" i="5"/>
  <c r="H12814" i="5"/>
  <c r="H12806" i="5"/>
  <c r="H12798" i="5"/>
  <c r="H12790" i="5"/>
  <c r="H12782" i="5"/>
  <c r="H12774" i="5"/>
  <c r="H12766" i="5"/>
  <c r="H12758" i="5"/>
  <c r="H12750" i="5"/>
  <c r="H12742" i="5"/>
  <c r="H12734" i="5"/>
  <c r="H12726" i="5"/>
  <c r="H12718" i="5"/>
  <c r="H12710" i="5"/>
  <c r="H12702" i="5"/>
  <c r="H12694" i="5"/>
  <c r="H12686" i="5"/>
  <c r="H12678" i="5"/>
  <c r="H12670" i="5"/>
  <c r="H12662" i="5"/>
  <c r="H12654" i="5"/>
  <c r="H12646" i="5"/>
  <c r="H12638" i="5"/>
  <c r="H12630" i="5"/>
  <c r="H12622" i="5"/>
  <c r="H12614" i="5"/>
  <c r="H12606" i="5"/>
  <c r="H12598" i="5"/>
  <c r="H12590" i="5"/>
  <c r="H12582" i="5"/>
  <c r="H12574" i="5"/>
  <c r="H12566" i="5"/>
  <c r="H12558" i="5"/>
  <c r="H12550" i="5"/>
  <c r="H12542" i="5"/>
  <c r="H12534" i="5"/>
  <c r="H12526" i="5"/>
  <c r="H12518" i="5"/>
  <c r="H12510" i="5"/>
  <c r="H12502" i="5"/>
  <c r="H12494" i="5"/>
  <c r="H12486" i="5"/>
  <c r="H12478" i="5"/>
  <c r="H12470" i="5"/>
  <c r="H12462" i="5"/>
  <c r="H12454" i="5"/>
  <c r="H12446" i="5"/>
  <c r="H12438" i="5"/>
  <c r="H12430" i="5"/>
  <c r="H12422" i="5"/>
  <c r="H12414" i="5"/>
  <c r="H12406" i="5"/>
  <c r="H12398" i="5"/>
  <c r="H12390" i="5"/>
  <c r="H12382" i="5"/>
  <c r="H12374" i="5"/>
  <c r="H12366" i="5"/>
  <c r="H12358" i="5"/>
  <c r="H12350" i="5"/>
  <c r="H12342" i="5"/>
  <c r="H12334" i="5"/>
  <c r="H12326" i="5"/>
  <c r="H12318" i="5"/>
  <c r="H12310" i="5"/>
  <c r="H12302" i="5"/>
  <c r="H12294" i="5"/>
  <c r="H12286" i="5"/>
  <c r="H12278" i="5"/>
  <c r="H12270" i="5"/>
  <c r="H12262" i="5"/>
  <c r="H12254" i="5"/>
  <c r="H12246" i="5"/>
  <c r="H12238" i="5"/>
  <c r="H12230" i="5"/>
  <c r="H12222" i="5"/>
  <c r="H12214" i="5"/>
  <c r="H12206" i="5"/>
  <c r="H12198" i="5"/>
  <c r="H12190" i="5"/>
  <c r="H12182" i="5"/>
  <c r="H12174" i="5"/>
  <c r="H12166" i="5"/>
  <c r="H12158" i="5"/>
  <c r="H12150" i="5"/>
  <c r="H12142" i="5"/>
  <c r="H12134" i="5"/>
  <c r="H12126" i="5"/>
  <c r="H12118" i="5"/>
  <c r="H12110" i="5"/>
  <c r="H12102" i="5"/>
  <c r="H12094" i="5"/>
  <c r="H12086" i="5"/>
  <c r="H12078" i="5"/>
  <c r="H12070" i="5"/>
  <c r="H12062" i="5"/>
  <c r="H12054" i="5"/>
  <c r="H12046" i="5"/>
  <c r="H12038" i="5"/>
  <c r="H12030" i="5"/>
  <c r="H12022" i="5"/>
  <c r="H12014" i="5"/>
  <c r="H12006" i="5"/>
  <c r="H11998" i="5"/>
  <c r="H11990" i="5"/>
  <c r="H11982" i="5"/>
  <c r="H11974" i="5"/>
  <c r="H11966" i="5"/>
  <c r="H11958" i="5"/>
  <c r="H11950" i="5"/>
  <c r="H11942" i="5"/>
  <c r="H11934" i="5"/>
  <c r="H11926" i="5"/>
  <c r="H11918" i="5"/>
  <c r="H11910" i="5"/>
  <c r="H11902" i="5"/>
  <c r="H11894" i="5"/>
  <c r="H11886" i="5"/>
  <c r="H11878" i="5"/>
  <c r="H11870" i="5"/>
  <c r="H11862" i="5"/>
  <c r="H11854" i="5"/>
  <c r="H11846" i="5"/>
  <c r="H11838" i="5"/>
  <c r="H11830" i="5"/>
  <c r="H11822" i="5"/>
  <c r="H11814" i="5"/>
  <c r="H11806" i="5"/>
  <c r="H11798" i="5"/>
  <c r="H11790" i="5"/>
  <c r="H11782" i="5"/>
  <c r="H11774" i="5"/>
  <c r="H11766" i="5"/>
  <c r="H11758" i="5"/>
  <c r="H11750" i="5"/>
  <c r="H11742" i="5"/>
  <c r="H11734" i="5"/>
  <c r="H11726" i="5"/>
  <c r="H11718" i="5"/>
  <c r="H11710" i="5"/>
  <c r="H11702" i="5"/>
  <c r="H11694" i="5"/>
  <c r="H11686" i="5"/>
  <c r="H11678" i="5"/>
  <c r="H11670" i="5"/>
  <c r="H11662" i="5"/>
  <c r="H11654" i="5"/>
  <c r="H11646" i="5"/>
  <c r="H11638" i="5"/>
  <c r="H11630" i="5"/>
  <c r="H11622" i="5"/>
  <c r="H11614" i="5"/>
  <c r="H11606" i="5"/>
  <c r="H11598" i="5"/>
  <c r="H11590" i="5"/>
  <c r="H11582" i="5"/>
  <c r="H11574" i="5"/>
  <c r="H11566" i="5"/>
  <c r="H11558" i="5"/>
  <c r="H11550" i="5"/>
  <c r="H11542" i="5"/>
  <c r="H11534" i="5"/>
  <c r="H11526" i="5"/>
  <c r="H11518" i="5"/>
  <c r="H11510" i="5"/>
  <c r="H11502" i="5"/>
  <c r="H11494" i="5"/>
  <c r="H11486" i="5"/>
  <c r="H11478" i="5"/>
  <c r="H11470" i="5"/>
  <c r="H11462" i="5"/>
  <c r="H11454" i="5"/>
  <c r="H11446" i="5"/>
  <c r="H11438" i="5"/>
  <c r="H11430" i="5"/>
  <c r="H11422" i="5"/>
  <c r="H11414" i="5"/>
  <c r="H11406" i="5"/>
  <c r="H11398" i="5"/>
  <c r="H11390" i="5"/>
  <c r="H11382" i="5"/>
  <c r="H11374" i="5"/>
  <c r="H11366" i="5"/>
  <c r="H11358" i="5"/>
  <c r="H11350" i="5"/>
  <c r="H11342" i="5"/>
  <c r="H11334" i="5"/>
  <c r="H11326" i="5"/>
  <c r="H11318" i="5"/>
  <c r="H11310" i="5"/>
  <c r="H11302" i="5"/>
  <c r="H11294" i="5"/>
  <c r="H11286" i="5"/>
  <c r="H11278" i="5"/>
  <c r="H11270" i="5"/>
  <c r="H11262" i="5"/>
  <c r="H11254" i="5"/>
  <c r="H11246" i="5"/>
  <c r="H11238" i="5"/>
  <c r="H11230" i="5"/>
  <c r="H11222" i="5"/>
  <c r="H11214" i="5"/>
  <c r="H11206" i="5"/>
  <c r="H11198" i="5"/>
  <c r="H11190" i="5"/>
  <c r="H11182" i="5"/>
  <c r="H11174" i="5"/>
  <c r="H11166" i="5"/>
  <c r="H11158" i="5"/>
  <c r="H11150" i="5"/>
  <c r="H11142" i="5"/>
  <c r="H11134" i="5"/>
  <c r="H11126" i="5"/>
  <c r="H11118" i="5"/>
  <c r="H11110" i="5"/>
  <c r="H11102" i="5"/>
  <c r="H11094" i="5"/>
  <c r="H11086" i="5"/>
  <c r="H11078" i="5"/>
  <c r="H11070" i="5"/>
  <c r="H11062" i="5"/>
  <c r="H11054" i="5"/>
  <c r="H11046" i="5"/>
  <c r="H11038" i="5"/>
  <c r="H11030" i="5"/>
  <c r="H11022" i="5"/>
  <c r="H11014" i="5"/>
  <c r="H11006" i="5"/>
  <c r="H10998" i="5"/>
  <c r="H10990" i="5"/>
  <c r="H10982" i="5"/>
  <c r="H10974" i="5"/>
  <c r="H10966" i="5"/>
  <c r="H10958" i="5"/>
  <c r="H10950" i="5"/>
  <c r="H10942" i="5"/>
  <c r="H10934" i="5"/>
  <c r="H10926" i="5"/>
  <c r="H10918" i="5"/>
  <c r="H10910" i="5"/>
  <c r="H10902" i="5"/>
  <c r="H10894" i="5"/>
  <c r="H10886" i="5"/>
  <c r="H10878" i="5"/>
  <c r="H10870" i="5"/>
  <c r="H10862" i="5"/>
  <c r="H10854" i="5"/>
  <c r="H10846" i="5"/>
  <c r="H10838" i="5"/>
  <c r="H10830" i="5"/>
  <c r="H10822" i="5"/>
  <c r="H10814" i="5"/>
  <c r="H10806" i="5"/>
  <c r="H10798" i="5"/>
  <c r="H10790" i="5"/>
  <c r="H10782" i="5"/>
  <c r="H10774" i="5"/>
  <c r="H10766" i="5"/>
  <c r="H10758" i="5"/>
  <c r="H10750" i="5"/>
  <c r="H10742" i="5"/>
  <c r="H10734" i="5"/>
  <c r="H10726" i="5"/>
  <c r="H10718" i="5"/>
  <c r="H10710" i="5"/>
  <c r="H10702" i="5"/>
  <c r="H10694" i="5"/>
  <c r="H10686" i="5"/>
  <c r="H10678" i="5"/>
  <c r="H10670" i="5"/>
  <c r="H10662" i="5"/>
  <c r="H10654" i="5"/>
  <c r="H10646" i="5"/>
  <c r="H10638" i="5"/>
  <c r="H10630" i="5"/>
  <c r="H10622" i="5"/>
  <c r="H10614" i="5"/>
  <c r="H10606" i="5"/>
  <c r="H10598" i="5"/>
  <c r="H10590" i="5"/>
  <c r="H10582" i="5"/>
  <c r="H10574" i="5"/>
  <c r="H10566" i="5"/>
  <c r="H10558" i="5"/>
  <c r="H10550" i="5"/>
  <c r="H10542" i="5"/>
  <c r="H10534" i="5"/>
  <c r="H10526" i="5"/>
  <c r="H10518" i="5"/>
  <c r="H10510" i="5"/>
  <c r="H10502" i="5"/>
  <c r="H10494" i="5"/>
  <c r="H10486" i="5"/>
  <c r="H10478" i="5"/>
  <c r="H10470" i="5"/>
  <c r="H10462" i="5"/>
  <c r="H10454" i="5"/>
  <c r="H10446" i="5"/>
  <c r="H10438" i="5"/>
  <c r="H10430" i="5"/>
  <c r="H10422" i="5"/>
  <c r="H10414" i="5"/>
  <c r="H10406" i="5"/>
  <c r="H10398" i="5"/>
  <c r="H10390" i="5"/>
  <c r="H10382" i="5"/>
  <c r="H10374" i="5"/>
  <c r="H10366" i="5"/>
  <c r="H10358" i="5"/>
  <c r="H10350" i="5"/>
  <c r="H10342" i="5"/>
  <c r="H10334" i="5"/>
  <c r="H10326" i="5"/>
  <c r="H10318" i="5"/>
  <c r="H10310" i="5"/>
  <c r="H10302" i="5"/>
  <c r="H10294" i="5"/>
  <c r="H10286" i="5"/>
  <c r="H10278" i="5"/>
  <c r="H10270" i="5"/>
  <c r="H10262" i="5"/>
  <c r="H10254" i="5"/>
  <c r="H10246" i="5"/>
  <c r="H10238" i="5"/>
  <c r="H10230" i="5"/>
  <c r="H10222" i="5"/>
  <c r="H10214" i="5"/>
  <c r="H10206" i="5"/>
  <c r="H10198" i="5"/>
  <c r="H10190" i="5"/>
  <c r="H10182" i="5"/>
  <c r="H10174" i="5"/>
  <c r="H10166" i="5"/>
  <c r="H10158" i="5"/>
  <c r="H10150" i="5"/>
  <c r="H10142" i="5"/>
  <c r="H10134" i="5"/>
  <c r="H10126" i="5"/>
  <c r="H10118" i="5"/>
  <c r="H10110" i="5"/>
  <c r="H10102" i="5"/>
  <c r="H10094" i="5"/>
  <c r="H10086" i="5"/>
  <c r="H10078" i="5"/>
  <c r="H10070" i="5"/>
  <c r="H10062" i="5"/>
  <c r="H10054" i="5"/>
  <c r="H10046" i="5"/>
  <c r="H10038" i="5"/>
  <c r="H10030" i="5"/>
  <c r="H10022" i="5"/>
  <c r="H10014" i="5"/>
  <c r="H10006" i="5"/>
  <c r="H9998" i="5"/>
  <c r="H9990" i="5"/>
  <c r="H9982" i="5"/>
  <c r="H9974" i="5"/>
  <c r="H9966" i="5"/>
  <c r="H9958" i="5"/>
  <c r="H9950" i="5"/>
  <c r="H9942" i="5"/>
  <c r="H9934" i="5"/>
  <c r="H9926" i="5"/>
  <c r="H9918" i="5"/>
  <c r="H9910" i="5"/>
  <c r="H9902" i="5"/>
  <c r="H9894" i="5"/>
  <c r="H9886" i="5"/>
  <c r="H9878" i="5"/>
  <c r="H9870" i="5"/>
  <c r="H9862" i="5"/>
  <c r="H9854" i="5"/>
  <c r="H9846" i="5"/>
  <c r="H9838" i="5"/>
  <c r="H9830" i="5"/>
  <c r="H9822" i="5"/>
  <c r="H9814" i="5"/>
  <c r="H9806" i="5"/>
  <c r="H9798" i="5"/>
  <c r="H9790" i="5"/>
  <c r="H9782" i="5"/>
  <c r="H9774" i="5"/>
  <c r="H9766" i="5"/>
  <c r="H9758" i="5"/>
  <c r="H9750" i="5"/>
  <c r="H9742" i="5"/>
  <c r="H9734" i="5"/>
  <c r="H9726" i="5"/>
  <c r="H9718" i="5"/>
  <c r="H9710" i="5"/>
  <c r="H9702" i="5"/>
  <c r="H9694" i="5"/>
  <c r="H9686" i="5"/>
  <c r="H9678" i="5"/>
  <c r="H9670" i="5"/>
  <c r="H9662" i="5"/>
  <c r="H9654" i="5"/>
  <c r="H9646" i="5"/>
  <c r="H9638" i="5"/>
  <c r="H9630" i="5"/>
  <c r="H9622" i="5"/>
  <c r="H9614" i="5"/>
  <c r="H9606" i="5"/>
  <c r="H9598" i="5"/>
  <c r="H9590" i="5"/>
  <c r="H9582" i="5"/>
  <c r="H9574" i="5"/>
  <c r="H9566" i="5"/>
  <c r="H9558" i="5"/>
  <c r="H9550" i="5"/>
  <c r="H9542" i="5"/>
  <c r="H9534" i="5"/>
  <c r="H9526" i="5"/>
  <c r="H9518" i="5"/>
  <c r="H9510" i="5"/>
  <c r="H9502" i="5"/>
  <c r="H9494" i="5"/>
  <c r="H9486" i="5"/>
  <c r="H9478" i="5"/>
  <c r="H9470" i="5"/>
  <c r="H9462" i="5"/>
  <c r="H9454" i="5"/>
  <c r="H9446" i="5"/>
  <c r="H9438" i="5"/>
  <c r="H9430" i="5"/>
  <c r="H9422" i="5"/>
  <c r="H9414" i="5"/>
  <c r="H9406" i="5"/>
  <c r="H9398" i="5"/>
  <c r="H9390" i="5"/>
  <c r="H9382" i="5"/>
  <c r="H9374" i="5"/>
  <c r="H9366" i="5"/>
  <c r="H9358" i="5"/>
  <c r="H9350" i="5"/>
  <c r="H9342" i="5"/>
  <c r="H9334" i="5"/>
  <c r="H9326" i="5"/>
  <c r="H9318" i="5"/>
  <c r="H9310" i="5"/>
  <c r="H9302" i="5"/>
  <c r="H9294" i="5"/>
  <c r="H9286" i="5"/>
  <c r="H9278" i="5"/>
  <c r="H9270" i="5"/>
  <c r="H9262" i="5"/>
  <c r="H9254" i="5"/>
  <c r="H9246" i="5"/>
  <c r="H9238" i="5"/>
  <c r="H9230" i="5"/>
  <c r="H9222" i="5"/>
  <c r="H9214" i="5"/>
  <c r="H9206" i="5"/>
  <c r="H9198" i="5"/>
  <c r="H9190" i="5"/>
  <c r="H9182" i="5"/>
  <c r="H9174" i="5"/>
  <c r="H9166" i="5"/>
  <c r="H9158" i="5"/>
  <c r="H9150" i="5"/>
  <c r="H9142" i="5"/>
  <c r="H9134" i="5"/>
  <c r="H9126" i="5"/>
  <c r="H9118" i="5"/>
  <c r="H9110" i="5"/>
  <c r="H9102" i="5"/>
  <c r="H9094" i="5"/>
  <c r="H9086" i="5"/>
  <c r="H9078" i="5"/>
  <c r="H9070" i="5"/>
  <c r="H9062" i="5"/>
  <c r="H9054" i="5"/>
  <c r="H9046" i="5"/>
  <c r="H9038" i="5"/>
  <c r="H9030" i="5"/>
  <c r="H9022" i="5"/>
  <c r="H9014" i="5"/>
  <c r="H9006" i="5"/>
  <c r="H8998" i="5"/>
  <c r="H8990" i="5"/>
  <c r="H8982" i="5"/>
  <c r="H8974" i="5"/>
  <c r="H8966" i="5"/>
  <c r="H8958" i="5"/>
  <c r="H8950" i="5"/>
  <c r="H8942" i="5"/>
  <c r="H8934" i="5"/>
  <c r="H8926" i="5"/>
  <c r="H8918" i="5"/>
  <c r="H8910" i="5"/>
  <c r="H8902" i="5"/>
  <c r="H8894" i="5"/>
  <c r="H8886" i="5"/>
  <c r="H8878" i="5"/>
  <c r="H8870" i="5"/>
  <c r="H8862" i="5"/>
  <c r="H8854" i="5"/>
  <c r="H8846" i="5"/>
  <c r="H8838" i="5"/>
  <c r="H8830" i="5"/>
  <c r="H8822" i="5"/>
  <c r="H8814" i="5"/>
  <c r="H8806" i="5"/>
  <c r="H8798" i="5"/>
  <c r="H8790" i="5"/>
  <c r="H8782" i="5"/>
  <c r="H8774" i="5"/>
  <c r="H8766" i="5"/>
  <c r="H8758" i="5"/>
  <c r="H8750" i="5"/>
  <c r="H8742" i="5"/>
  <c r="H8734" i="5"/>
  <c r="H8726" i="5"/>
  <c r="H8718" i="5"/>
  <c r="H8710" i="5"/>
  <c r="H8702" i="5"/>
  <c r="H8694" i="5"/>
  <c r="H8686" i="5"/>
  <c r="H8678" i="5"/>
  <c r="H8670" i="5"/>
  <c r="H8662" i="5"/>
  <c r="H8654" i="5"/>
  <c r="H8646" i="5"/>
  <c r="H8638" i="5"/>
  <c r="H8630" i="5"/>
  <c r="H8622" i="5"/>
  <c r="H8614" i="5"/>
  <c r="H8606" i="5"/>
  <c r="H8598" i="5"/>
  <c r="H8590" i="5"/>
  <c r="H8582" i="5"/>
  <c r="H8574" i="5"/>
  <c r="H8566" i="5"/>
  <c r="H8558" i="5"/>
  <c r="H8550" i="5"/>
  <c r="H8542" i="5"/>
  <c r="H8534" i="5"/>
  <c r="H8526" i="5"/>
  <c r="H8518" i="5"/>
  <c r="H8510" i="5"/>
  <c r="H8502" i="5"/>
  <c r="H8494" i="5"/>
  <c r="H8486" i="5"/>
  <c r="H8478" i="5"/>
  <c r="H8470" i="5"/>
  <c r="H8462" i="5"/>
  <c r="H8454" i="5"/>
  <c r="H8446" i="5"/>
  <c r="H8438" i="5"/>
  <c r="H8430" i="5"/>
  <c r="H8422" i="5"/>
  <c r="H8414" i="5"/>
  <c r="H8406" i="5"/>
  <c r="H8398" i="5"/>
  <c r="H8390" i="5"/>
  <c r="H8382" i="5"/>
  <c r="H8374" i="5"/>
  <c r="H8366" i="5"/>
  <c r="H8358" i="5"/>
  <c r="H8350" i="5"/>
  <c r="H8342" i="5"/>
  <c r="H8334" i="5"/>
  <c r="H8326" i="5"/>
  <c r="H8318" i="5"/>
  <c r="H8310" i="5"/>
  <c r="H8302" i="5"/>
  <c r="H8294" i="5"/>
  <c r="H8286" i="5"/>
  <c r="H8278" i="5"/>
  <c r="H8270" i="5"/>
  <c r="H8262" i="5"/>
  <c r="H8254" i="5"/>
  <c r="H8246" i="5"/>
  <c r="H8238" i="5"/>
  <c r="H8230" i="5"/>
  <c r="H8222" i="5"/>
  <c r="H8214" i="5"/>
  <c r="H8206" i="5"/>
  <c r="H8198" i="5"/>
  <c r="H8190" i="5"/>
  <c r="H8182" i="5"/>
  <c r="H8174" i="5"/>
  <c r="H8166" i="5"/>
  <c r="H8158" i="5"/>
  <c r="H8150" i="5"/>
  <c r="H8142" i="5"/>
  <c r="H8134" i="5"/>
  <c r="H8126" i="5"/>
  <c r="H8118" i="5"/>
  <c r="H8110" i="5"/>
  <c r="H8102" i="5"/>
  <c r="H8094" i="5"/>
  <c r="H8086" i="5"/>
  <c r="H8078" i="5"/>
  <c r="H8070" i="5"/>
  <c r="H8062" i="5"/>
  <c r="H8054" i="5"/>
  <c r="H8046" i="5"/>
  <c r="H8038" i="5"/>
  <c r="H8030" i="5"/>
  <c r="H8022" i="5"/>
  <c r="H8014" i="5"/>
  <c r="H8006" i="5"/>
  <c r="H7998" i="5"/>
  <c r="H7990" i="5"/>
  <c r="H7982" i="5"/>
  <c r="H7974" i="5"/>
  <c r="H7966" i="5"/>
  <c r="H7958" i="5"/>
  <c r="H7950" i="5"/>
  <c r="H7942" i="5"/>
  <c r="H7934" i="5"/>
  <c r="H7926" i="5"/>
  <c r="H7918" i="5"/>
  <c r="H7910" i="5"/>
  <c r="H7902" i="5"/>
  <c r="H7894" i="5"/>
  <c r="H7886" i="5"/>
  <c r="H7878" i="5"/>
  <c r="H7870" i="5"/>
  <c r="H7862" i="5"/>
  <c r="H7854" i="5"/>
  <c r="H7846" i="5"/>
  <c r="H7838" i="5"/>
  <c r="H7830" i="5"/>
  <c r="H7822" i="5"/>
  <c r="H7814" i="5"/>
  <c r="H7806" i="5"/>
  <c r="H7798" i="5"/>
  <c r="H7790" i="5"/>
  <c r="H7782" i="5"/>
  <c r="H7774" i="5"/>
  <c r="H7766" i="5"/>
  <c r="H7758" i="5"/>
  <c r="H7750" i="5"/>
  <c r="H7742" i="5"/>
  <c r="H7734" i="5"/>
  <c r="H7726" i="5"/>
  <c r="H7718" i="5"/>
  <c r="H7710" i="5"/>
  <c r="H7702" i="5"/>
  <c r="H7694" i="5"/>
  <c r="H7686" i="5"/>
  <c r="H7678" i="5"/>
  <c r="H7670" i="5"/>
  <c r="H7662" i="5"/>
  <c r="H7654" i="5"/>
  <c r="H7646" i="5"/>
  <c r="H7638" i="5"/>
  <c r="H7630" i="5"/>
  <c r="H7622" i="5"/>
  <c r="H7614" i="5"/>
  <c r="H7606" i="5"/>
  <c r="H7598" i="5"/>
  <c r="H7590" i="5"/>
  <c r="H7582" i="5"/>
  <c r="H7574" i="5"/>
  <c r="H7566" i="5"/>
  <c r="H7558" i="5"/>
  <c r="H7550" i="5"/>
  <c r="H7542" i="5"/>
  <c r="H7534" i="5"/>
  <c r="H7526" i="5"/>
  <c r="H7518" i="5"/>
  <c r="H7510" i="5"/>
  <c r="H7502" i="5"/>
  <c r="H7494" i="5"/>
  <c r="H7486" i="5"/>
  <c r="H7478" i="5"/>
  <c r="H7470" i="5"/>
  <c r="H7462" i="5"/>
  <c r="H7454" i="5"/>
  <c r="H7446" i="5"/>
  <c r="H7438" i="5"/>
  <c r="H7430" i="5"/>
  <c r="H7422" i="5"/>
  <c r="H7414" i="5"/>
  <c r="H7406" i="5"/>
  <c r="H7398" i="5"/>
  <c r="H7390" i="5"/>
  <c r="H7382" i="5"/>
  <c r="H7374" i="5"/>
  <c r="H7366" i="5"/>
  <c r="H7358" i="5"/>
  <c r="H7350" i="5"/>
  <c r="H7342" i="5"/>
  <c r="H7334" i="5"/>
  <c r="H7326" i="5"/>
  <c r="H7318" i="5"/>
  <c r="H7310" i="5"/>
  <c r="H7302" i="5"/>
  <c r="H7294" i="5"/>
  <c r="H7286" i="5"/>
  <c r="H7278" i="5"/>
  <c r="H7270" i="5"/>
  <c r="H7262" i="5"/>
  <c r="H7254" i="5"/>
  <c r="H7246" i="5"/>
  <c r="H7238" i="5"/>
  <c r="H7230" i="5"/>
  <c r="H7222" i="5"/>
  <c r="H7214" i="5"/>
  <c r="H7206" i="5"/>
  <c r="H7198" i="5"/>
  <c r="H7190" i="5"/>
  <c r="H7182" i="5"/>
  <c r="H7174" i="5"/>
  <c r="H7166" i="5"/>
  <c r="H7158" i="5"/>
  <c r="H7150" i="5"/>
  <c r="H7142" i="5"/>
  <c r="H7134" i="5"/>
  <c r="H7126" i="5"/>
  <c r="H7118" i="5"/>
  <c r="H7110" i="5"/>
  <c r="H7102" i="5"/>
  <c r="H7094" i="5"/>
  <c r="H7086" i="5"/>
  <c r="H7078" i="5"/>
  <c r="H7070" i="5"/>
  <c r="H7062" i="5"/>
  <c r="H7054" i="5"/>
  <c r="H7046" i="5"/>
  <c r="H7038" i="5"/>
  <c r="H7030" i="5"/>
  <c r="H7022" i="5"/>
  <c r="H7014" i="5"/>
  <c r="H7006" i="5"/>
  <c r="H6998" i="5"/>
  <c r="H6990" i="5"/>
  <c r="H6982" i="5"/>
  <c r="H6974" i="5"/>
  <c r="H6966" i="5"/>
  <c r="H6958" i="5"/>
  <c r="H6950" i="5"/>
  <c r="H6942" i="5"/>
  <c r="H6934" i="5"/>
  <c r="H6926" i="5"/>
  <c r="H6918" i="5"/>
  <c r="H6910" i="5"/>
  <c r="H6902" i="5"/>
  <c r="H6894" i="5"/>
  <c r="H6886" i="5"/>
  <c r="H6878" i="5"/>
  <c r="H6870" i="5"/>
  <c r="H6862" i="5"/>
  <c r="H6854" i="5"/>
  <c r="H6846" i="5"/>
  <c r="H6838" i="5"/>
  <c r="H6830" i="5"/>
  <c r="H6822" i="5"/>
  <c r="H6814" i="5"/>
  <c r="H6806" i="5"/>
  <c r="H6798" i="5"/>
  <c r="H6790" i="5"/>
  <c r="H6782" i="5"/>
  <c r="H6774" i="5"/>
  <c r="H6766" i="5"/>
  <c r="H6758" i="5"/>
  <c r="H6750" i="5"/>
  <c r="H6742" i="5"/>
  <c r="H6734" i="5"/>
  <c r="H6726" i="5"/>
  <c r="H6718" i="5"/>
  <c r="H6710" i="5"/>
  <c r="H6702" i="5"/>
  <c r="H6694" i="5"/>
  <c r="H6686" i="5"/>
  <c r="H6678" i="5"/>
  <c r="H6670" i="5"/>
  <c r="H6662" i="5"/>
  <c r="H6654" i="5"/>
  <c r="H6646" i="5"/>
  <c r="H6638" i="5"/>
  <c r="H6630" i="5"/>
  <c r="H6622" i="5"/>
  <c r="H6614" i="5"/>
  <c r="H6606" i="5"/>
  <c r="H6598" i="5"/>
  <c r="H6590" i="5"/>
  <c r="H6582" i="5"/>
  <c r="H6574" i="5"/>
  <c r="H6566" i="5"/>
  <c r="H6558" i="5"/>
  <c r="H6550" i="5"/>
  <c r="H6542" i="5"/>
  <c r="H6534" i="5"/>
  <c r="H6526" i="5"/>
  <c r="H6518" i="5"/>
  <c r="H6510" i="5"/>
  <c r="H6502" i="5"/>
  <c r="H6494" i="5"/>
  <c r="H6486" i="5"/>
  <c r="H6478" i="5"/>
  <c r="H6470" i="5"/>
  <c r="H6462" i="5"/>
  <c r="H6454" i="5"/>
  <c r="H6446" i="5"/>
  <c r="H6438" i="5"/>
  <c r="H6430" i="5"/>
  <c r="H6422" i="5"/>
  <c r="H6414" i="5"/>
  <c r="H6406" i="5"/>
  <c r="H6398" i="5"/>
  <c r="H6390" i="5"/>
  <c r="H6382" i="5"/>
  <c r="H6374" i="5"/>
  <c r="H6366" i="5"/>
  <c r="H6358" i="5"/>
  <c r="H6350" i="5"/>
  <c r="H6342" i="5"/>
  <c r="H6334" i="5"/>
  <c r="H6326" i="5"/>
  <c r="H6318" i="5"/>
  <c r="H6310" i="5"/>
  <c r="H6302" i="5"/>
  <c r="H6294" i="5"/>
  <c r="H6286" i="5"/>
  <c r="H6278" i="5"/>
  <c r="H6270" i="5"/>
  <c r="H6262" i="5"/>
  <c r="H6254" i="5"/>
  <c r="H6246" i="5"/>
  <c r="H6238" i="5"/>
  <c r="H6230" i="5"/>
  <c r="H6222" i="5"/>
  <c r="H6214" i="5"/>
  <c r="H6206" i="5"/>
  <c r="H6198" i="5"/>
  <c r="H6190" i="5"/>
  <c r="H6182" i="5"/>
  <c r="H6174" i="5"/>
  <c r="H6166" i="5"/>
  <c r="H6158" i="5"/>
  <c r="H6150" i="5"/>
  <c r="H6142" i="5"/>
  <c r="H6134" i="5"/>
  <c r="H6126" i="5"/>
  <c r="H6118" i="5"/>
  <c r="H6110" i="5"/>
  <c r="H6102" i="5"/>
  <c r="H6094" i="5"/>
  <c r="H6086" i="5"/>
  <c r="H6078" i="5"/>
  <c r="H6070" i="5"/>
  <c r="H6062" i="5"/>
  <c r="H6054" i="5"/>
  <c r="H6046" i="5"/>
  <c r="H6038" i="5"/>
  <c r="H6030" i="5"/>
  <c r="H6022" i="5"/>
  <c r="H6014" i="5"/>
  <c r="H6006" i="5"/>
  <c r="H5998" i="5"/>
  <c r="H5990" i="5"/>
  <c r="H5982" i="5"/>
  <c r="H5974" i="5"/>
  <c r="H5966" i="5"/>
  <c r="H5958" i="5"/>
  <c r="H5950" i="5"/>
  <c r="H5942" i="5"/>
  <c r="H5934" i="5"/>
  <c r="H5926" i="5"/>
  <c r="H5918" i="5"/>
  <c r="H5910" i="5"/>
  <c r="H5902" i="5"/>
  <c r="H5894" i="5"/>
  <c r="H5886" i="5"/>
  <c r="H5878" i="5"/>
  <c r="H5870" i="5"/>
  <c r="H5862" i="5"/>
  <c r="H5854" i="5"/>
  <c r="H5846" i="5"/>
  <c r="H5838" i="5"/>
  <c r="H5830" i="5"/>
  <c r="H5822" i="5"/>
  <c r="H5814" i="5"/>
  <c r="H5806" i="5"/>
  <c r="H5798" i="5"/>
  <c r="H5790" i="5"/>
  <c r="H5782" i="5"/>
  <c r="H5774" i="5"/>
  <c r="H5766" i="5"/>
  <c r="H5758" i="5"/>
  <c r="H5750" i="5"/>
  <c r="H5742" i="5"/>
  <c r="H5734" i="5"/>
  <c r="H5726" i="5"/>
  <c r="H5718" i="5"/>
  <c r="H5710" i="5"/>
  <c r="H5702" i="5"/>
  <c r="H5694" i="5"/>
  <c r="H5686" i="5"/>
  <c r="H5678" i="5"/>
  <c r="H5670" i="5"/>
  <c r="H5662" i="5"/>
  <c r="H5654" i="5"/>
  <c r="H5646" i="5"/>
  <c r="H5638" i="5"/>
  <c r="H5630" i="5"/>
  <c r="H5622" i="5"/>
  <c r="H5614" i="5"/>
  <c r="H5606" i="5"/>
  <c r="H5598" i="5"/>
  <c r="H5590" i="5"/>
  <c r="H5582" i="5"/>
  <c r="H5574" i="5"/>
  <c r="H5566" i="5"/>
  <c r="H5558" i="5"/>
  <c r="H5550" i="5"/>
  <c r="H5542" i="5"/>
  <c r="H5534" i="5"/>
  <c r="H5526" i="5"/>
  <c r="H5518" i="5"/>
  <c r="H5510" i="5"/>
  <c r="H5502" i="5"/>
  <c r="H5494" i="5"/>
  <c r="H5486" i="5"/>
  <c r="H5478" i="5"/>
  <c r="H5470" i="5"/>
  <c r="H5462" i="5"/>
  <c r="H5454" i="5"/>
  <c r="H5446" i="5"/>
  <c r="H5438" i="5"/>
  <c r="H5430" i="5"/>
  <c r="H5422" i="5"/>
  <c r="H5414" i="5"/>
  <c r="H5406" i="5"/>
  <c r="H5398" i="5"/>
  <c r="H5390" i="5"/>
  <c r="H5382" i="5"/>
  <c r="H5374" i="5"/>
  <c r="H5366" i="5"/>
  <c r="H5358" i="5"/>
  <c r="H5350" i="5"/>
  <c r="H5342" i="5"/>
  <c r="H5334" i="5"/>
  <c r="H5326" i="5"/>
  <c r="H5318" i="5"/>
  <c r="H5310" i="5"/>
  <c r="H5302" i="5"/>
  <c r="H5294" i="5"/>
  <c r="H5286" i="5"/>
  <c r="H5278" i="5"/>
  <c r="H5270" i="5"/>
  <c r="H5262" i="5"/>
  <c r="H5254" i="5"/>
  <c r="H5246" i="5"/>
  <c r="H5238" i="5"/>
  <c r="H5230" i="5"/>
  <c r="H5222" i="5"/>
  <c r="H5214" i="5"/>
  <c r="H5206" i="5"/>
  <c r="H5198" i="5"/>
  <c r="H5190" i="5"/>
  <c r="H5182" i="5"/>
  <c r="H5174" i="5"/>
  <c r="H5166" i="5"/>
  <c r="H5158" i="5"/>
  <c r="H5150" i="5"/>
  <c r="H5142" i="5"/>
  <c r="H5134" i="5"/>
  <c r="H5126" i="5"/>
  <c r="H5118" i="5"/>
  <c r="H5110" i="5"/>
  <c r="H5102" i="5"/>
  <c r="H5094" i="5"/>
  <c r="H5086" i="5"/>
  <c r="H5078" i="5"/>
  <c r="H5070" i="5"/>
  <c r="H5062" i="5"/>
  <c r="H5054" i="5"/>
  <c r="H5046" i="5"/>
  <c r="H5038" i="5"/>
  <c r="H5030" i="5"/>
  <c r="H5022" i="5"/>
  <c r="H5014" i="5"/>
  <c r="H5006" i="5"/>
  <c r="H4998" i="5"/>
  <c r="H4990" i="5"/>
  <c r="H4982" i="5"/>
  <c r="H4974" i="5"/>
  <c r="H4966" i="5"/>
  <c r="H4958" i="5"/>
  <c r="H4950" i="5"/>
  <c r="H4942" i="5"/>
  <c r="H4934" i="5"/>
  <c r="H4926" i="5"/>
  <c r="H4918" i="5"/>
  <c r="H4910" i="5"/>
  <c r="H4902" i="5"/>
  <c r="H4894" i="5"/>
  <c r="H4886" i="5"/>
  <c r="H4878" i="5"/>
  <c r="H4870" i="5"/>
  <c r="H4862" i="5"/>
  <c r="H4854" i="5"/>
  <c r="H4846" i="5"/>
  <c r="H4838" i="5"/>
  <c r="H4830" i="5"/>
  <c r="H4822" i="5"/>
  <c r="H4814" i="5"/>
  <c r="H4806" i="5"/>
  <c r="H4798" i="5"/>
  <c r="H4790" i="5"/>
  <c r="H4782" i="5"/>
  <c r="H4774" i="5"/>
  <c r="H4766" i="5"/>
  <c r="H4758" i="5"/>
  <c r="H4750" i="5"/>
  <c r="H4742" i="5"/>
  <c r="H4734" i="5"/>
  <c r="H4726" i="5"/>
  <c r="H4718" i="5"/>
  <c r="H4710" i="5"/>
  <c r="H4702" i="5"/>
  <c r="H4694" i="5"/>
  <c r="H4686" i="5"/>
  <c r="H4678" i="5"/>
  <c r="H4670" i="5"/>
  <c r="H4662" i="5"/>
  <c r="H4654" i="5"/>
  <c r="H4646" i="5"/>
  <c r="H4638" i="5"/>
  <c r="H4630" i="5"/>
  <c r="H4622" i="5"/>
  <c r="H4614" i="5"/>
  <c r="H4606" i="5"/>
  <c r="H4598" i="5"/>
  <c r="H4590" i="5"/>
  <c r="H4582" i="5"/>
  <c r="H4574" i="5"/>
  <c r="H4566" i="5"/>
  <c r="H4558" i="5"/>
  <c r="H4550" i="5"/>
  <c r="H4542" i="5"/>
  <c r="H4534" i="5"/>
  <c r="H4526" i="5"/>
  <c r="H4518" i="5"/>
  <c r="H4510" i="5"/>
  <c r="H4502" i="5"/>
  <c r="H4494" i="5"/>
  <c r="H4486" i="5"/>
  <c r="H4478" i="5"/>
  <c r="H4470" i="5"/>
  <c r="H4462" i="5"/>
  <c r="H4454" i="5"/>
  <c r="H4446" i="5"/>
  <c r="H4438" i="5"/>
  <c r="H4430" i="5"/>
  <c r="H4422" i="5"/>
  <c r="H4414" i="5"/>
  <c r="H4406" i="5"/>
  <c r="H4398" i="5"/>
  <c r="H4390" i="5"/>
  <c r="H4382" i="5"/>
  <c r="H4374" i="5"/>
  <c r="H4366" i="5"/>
  <c r="H4358" i="5"/>
  <c r="H4350" i="5"/>
  <c r="H4342" i="5"/>
  <c r="H4334" i="5"/>
  <c r="H4326" i="5"/>
  <c r="H4318" i="5"/>
  <c r="H4310" i="5"/>
  <c r="H4302" i="5"/>
  <c r="H4294" i="5"/>
  <c r="H4286" i="5"/>
  <c r="H4278" i="5"/>
  <c r="H4270" i="5"/>
  <c r="H4262" i="5"/>
  <c r="H4254" i="5"/>
  <c r="H4246" i="5"/>
  <c r="H4238" i="5"/>
  <c r="H4230" i="5"/>
  <c r="H4222" i="5"/>
  <c r="H4214" i="5"/>
  <c r="H4206" i="5"/>
  <c r="H4198" i="5"/>
  <c r="H4190" i="5"/>
  <c r="H4182" i="5"/>
  <c r="H4174" i="5"/>
  <c r="H4166" i="5"/>
  <c r="H4158" i="5"/>
  <c r="H4150" i="5"/>
  <c r="H4142" i="5"/>
  <c r="H4134" i="5"/>
  <c r="H4126" i="5"/>
  <c r="H4118" i="5"/>
  <c r="H4110" i="5"/>
  <c r="H4102" i="5"/>
  <c r="H4094" i="5"/>
  <c r="H4086" i="5"/>
  <c r="H4078" i="5"/>
  <c r="H4070" i="5"/>
  <c r="H4062" i="5"/>
  <c r="H4054" i="5"/>
  <c r="H4046" i="5"/>
  <c r="H4038" i="5"/>
  <c r="H4030" i="5"/>
  <c r="H4022" i="5"/>
  <c r="H4014" i="5"/>
  <c r="H4006" i="5"/>
  <c r="H3998" i="5"/>
  <c r="H3990" i="5"/>
  <c r="H3982" i="5"/>
  <c r="H3974" i="5"/>
  <c r="H3966" i="5"/>
  <c r="H3958" i="5"/>
  <c r="H3950" i="5"/>
  <c r="H3942" i="5"/>
  <c r="H3934" i="5"/>
  <c r="H3926" i="5"/>
  <c r="H3918" i="5"/>
  <c r="H3910" i="5"/>
  <c r="H3902" i="5"/>
  <c r="H3894" i="5"/>
  <c r="H3886" i="5"/>
  <c r="H3878" i="5"/>
  <c r="H3870" i="5"/>
  <c r="H3862" i="5"/>
  <c r="H3854" i="5"/>
  <c r="H3846" i="5"/>
  <c r="H3838" i="5"/>
  <c r="H3830" i="5"/>
  <c r="H3822" i="5"/>
  <c r="H3814" i="5"/>
  <c r="H3806" i="5"/>
  <c r="H3798" i="5"/>
  <c r="H3790" i="5"/>
  <c r="H3782" i="5"/>
  <c r="H3774" i="5"/>
  <c r="H3766" i="5"/>
  <c r="H3758" i="5"/>
  <c r="H3750" i="5"/>
  <c r="H3742" i="5"/>
  <c r="H3734" i="5"/>
  <c r="H3726" i="5"/>
  <c r="H3718" i="5"/>
  <c r="H3710" i="5"/>
  <c r="H3702" i="5"/>
  <c r="H3694" i="5"/>
  <c r="H3686" i="5"/>
  <c r="H3678" i="5"/>
  <c r="H3670" i="5"/>
  <c r="H3662" i="5"/>
  <c r="H3654" i="5"/>
  <c r="H3646" i="5"/>
  <c r="H3638" i="5"/>
  <c r="H3630" i="5"/>
  <c r="H3622" i="5"/>
  <c r="H3614" i="5"/>
  <c r="H3606" i="5"/>
  <c r="H3598" i="5"/>
  <c r="H3590" i="5"/>
  <c r="H3582" i="5"/>
  <c r="H3574" i="5"/>
  <c r="H3566" i="5"/>
  <c r="H3558" i="5"/>
  <c r="H3550" i="5"/>
  <c r="H3542" i="5"/>
  <c r="H3534" i="5"/>
  <c r="H3526" i="5"/>
  <c r="H3518" i="5"/>
  <c r="H3510" i="5"/>
  <c r="H3502" i="5"/>
  <c r="H3494" i="5"/>
  <c r="H3486" i="5"/>
  <c r="H3478" i="5"/>
  <c r="H3470" i="5"/>
  <c r="H3462" i="5"/>
  <c r="H3454" i="5"/>
  <c r="H3446" i="5"/>
  <c r="H3438" i="5"/>
  <c r="H3430" i="5"/>
  <c r="H3422" i="5"/>
  <c r="H3414" i="5"/>
  <c r="H3406" i="5"/>
  <c r="H3398" i="5"/>
  <c r="H3390" i="5"/>
  <c r="H3382" i="5"/>
  <c r="H3374" i="5"/>
  <c r="H3366" i="5"/>
  <c r="H3358" i="5"/>
  <c r="H3350" i="5"/>
  <c r="H3342" i="5"/>
  <c r="H3334" i="5"/>
  <c r="H3326" i="5"/>
  <c r="H3318" i="5"/>
  <c r="H3310" i="5"/>
  <c r="H3302" i="5"/>
  <c r="H3294" i="5"/>
  <c r="H3286" i="5"/>
  <c r="H3278" i="5"/>
  <c r="H3270" i="5"/>
  <c r="H3262" i="5"/>
  <c r="H3254" i="5"/>
  <c r="H3246" i="5"/>
  <c r="H3238" i="5"/>
  <c r="H3230" i="5"/>
  <c r="H3222" i="5"/>
  <c r="H3214" i="5"/>
  <c r="H3206" i="5"/>
  <c r="H3198" i="5"/>
  <c r="H3190" i="5"/>
  <c r="H3182" i="5"/>
  <c r="H3174" i="5"/>
  <c r="H3166" i="5"/>
  <c r="H3158" i="5"/>
  <c r="H3150" i="5"/>
  <c r="H3142" i="5"/>
  <c r="H3134" i="5"/>
  <c r="H3126" i="5"/>
  <c r="H3118" i="5"/>
  <c r="H3110" i="5"/>
  <c r="H3102" i="5"/>
  <c r="H3094" i="5"/>
  <c r="H3086" i="5"/>
  <c r="H3078" i="5"/>
  <c r="H3070" i="5"/>
  <c r="H3062" i="5"/>
  <c r="H3054" i="5"/>
  <c r="H3046" i="5"/>
  <c r="H3038" i="5"/>
  <c r="H3030" i="5"/>
  <c r="H3022" i="5"/>
  <c r="H3014" i="5"/>
  <c r="H3006" i="5"/>
  <c r="H2998" i="5"/>
  <c r="H2990" i="5"/>
  <c r="H2982" i="5"/>
  <c r="H2974" i="5"/>
  <c r="H2966" i="5"/>
  <c r="H2958" i="5"/>
  <c r="H2950" i="5"/>
  <c r="H2942" i="5"/>
  <c r="H2934" i="5"/>
  <c r="H2926" i="5"/>
  <c r="H2918" i="5"/>
  <c r="H2910" i="5"/>
  <c r="H2902" i="5"/>
  <c r="H2894" i="5"/>
  <c r="H2886" i="5"/>
  <c r="H2878" i="5"/>
  <c r="H2870" i="5"/>
  <c r="H2862" i="5"/>
  <c r="H2854" i="5"/>
  <c r="H2846" i="5"/>
  <c r="H2838" i="5"/>
  <c r="H2830" i="5"/>
  <c r="H2822" i="5"/>
  <c r="H2814" i="5"/>
  <c r="H2806" i="5"/>
  <c r="H2798" i="5"/>
  <c r="H2790" i="5"/>
  <c r="H2782" i="5"/>
  <c r="H2774" i="5"/>
  <c r="H2766" i="5"/>
  <c r="H2758" i="5"/>
  <c r="H2750" i="5"/>
  <c r="H2742" i="5"/>
  <c r="H2734" i="5"/>
  <c r="H2726" i="5"/>
  <c r="H2718" i="5"/>
  <c r="H2710" i="5"/>
  <c r="H2702" i="5"/>
  <c r="H2694" i="5"/>
  <c r="H2686" i="5"/>
  <c r="H2678" i="5"/>
  <c r="H2670" i="5"/>
  <c r="H2662" i="5"/>
  <c r="H2654" i="5"/>
  <c r="H2646" i="5"/>
  <c r="H2638" i="5"/>
  <c r="H2630" i="5"/>
  <c r="H2622" i="5"/>
  <c r="H2614" i="5"/>
  <c r="H2606" i="5"/>
  <c r="H2598" i="5"/>
  <c r="H2590" i="5"/>
  <c r="H2582" i="5"/>
  <c r="H2574" i="5"/>
  <c r="H2566" i="5"/>
  <c r="H2558" i="5"/>
  <c r="H2550" i="5"/>
  <c r="H2542" i="5"/>
  <c r="H2534" i="5"/>
  <c r="H2526" i="5"/>
  <c r="H2518" i="5"/>
  <c r="H2510" i="5"/>
  <c r="H2502" i="5"/>
  <c r="H2494" i="5"/>
  <c r="H2486" i="5"/>
  <c r="H2478" i="5"/>
  <c r="H2470" i="5"/>
  <c r="H2462" i="5"/>
  <c r="H2454" i="5"/>
  <c r="H2446" i="5"/>
  <c r="H2438" i="5"/>
  <c r="H2430" i="5"/>
  <c r="H2422" i="5"/>
  <c r="H2414" i="5"/>
  <c r="H2406" i="5"/>
  <c r="H2398" i="5"/>
  <c r="H2390" i="5"/>
  <c r="H2382" i="5"/>
  <c r="H2374" i="5"/>
  <c r="H2366" i="5"/>
  <c r="H2358" i="5"/>
  <c r="H2350" i="5"/>
  <c r="H2342" i="5"/>
  <c r="H2334" i="5"/>
  <c r="H2326" i="5"/>
  <c r="H2318" i="5"/>
  <c r="H2310" i="5"/>
  <c r="H2302" i="5"/>
  <c r="H2294" i="5"/>
  <c r="H2286" i="5"/>
  <c r="H2278" i="5"/>
  <c r="H2270" i="5"/>
  <c r="H2262" i="5"/>
  <c r="H2254" i="5"/>
  <c r="H2246" i="5"/>
  <c r="H2238" i="5"/>
  <c r="H2230" i="5"/>
  <c r="H2222" i="5"/>
  <c r="H2214" i="5"/>
  <c r="H2206" i="5"/>
  <c r="H2198" i="5"/>
  <c r="H2190" i="5"/>
  <c r="H2182" i="5"/>
  <c r="H2174" i="5"/>
  <c r="H2166" i="5"/>
  <c r="H2158" i="5"/>
  <c r="H2150" i="5"/>
  <c r="H2142" i="5"/>
  <c r="H2134" i="5"/>
  <c r="H2126" i="5"/>
  <c r="H2118" i="5"/>
  <c r="H2110" i="5"/>
  <c r="H2102" i="5"/>
  <c r="H2094" i="5"/>
  <c r="H2086" i="5"/>
  <c r="H2078" i="5"/>
  <c r="H2070" i="5"/>
  <c r="H2062" i="5"/>
  <c r="H2054" i="5"/>
  <c r="H2046" i="5"/>
  <c r="H2038" i="5"/>
  <c r="H2030" i="5"/>
  <c r="H2022" i="5"/>
  <c r="H2014" i="5"/>
  <c r="H2006" i="5"/>
  <c r="H1998" i="5"/>
  <c r="H1990" i="5"/>
  <c r="H1982" i="5"/>
  <c r="H1974" i="5"/>
  <c r="H1966" i="5"/>
  <c r="H1958" i="5"/>
  <c r="H1950" i="5"/>
  <c r="H1942" i="5"/>
  <c r="H1934" i="5"/>
  <c r="H1926" i="5"/>
  <c r="H1918" i="5"/>
  <c r="H1910" i="5"/>
  <c r="H1902" i="5"/>
  <c r="H1894" i="5"/>
  <c r="H1886" i="5"/>
  <c r="H1878" i="5"/>
  <c r="H1870" i="5"/>
  <c r="H1862" i="5"/>
  <c r="H1854" i="5"/>
  <c r="H1846" i="5"/>
  <c r="H1838" i="5"/>
  <c r="H1830" i="5"/>
  <c r="H1822" i="5"/>
  <c r="H1814" i="5"/>
  <c r="H1806" i="5"/>
  <c r="H1798" i="5"/>
  <c r="H1790" i="5"/>
  <c r="H1782" i="5"/>
  <c r="H1774" i="5"/>
  <c r="H1766" i="5"/>
  <c r="H1758" i="5"/>
  <c r="H1750" i="5"/>
  <c r="H1742" i="5"/>
  <c r="H1734" i="5"/>
  <c r="H1726" i="5"/>
  <c r="H1718" i="5"/>
  <c r="H1710" i="5"/>
  <c r="H1702" i="5"/>
  <c r="H1694" i="5"/>
  <c r="H1686" i="5"/>
  <c r="H1678" i="5"/>
  <c r="H1670" i="5"/>
  <c r="H1662" i="5"/>
  <c r="H1654" i="5"/>
  <c r="H1646" i="5"/>
  <c r="H1638" i="5"/>
  <c r="H1630" i="5"/>
  <c r="H1622" i="5"/>
  <c r="H1614" i="5"/>
  <c r="H1606" i="5"/>
  <c r="H1598" i="5"/>
  <c r="H1590" i="5"/>
  <c r="H1582" i="5"/>
  <c r="H1574" i="5"/>
  <c r="H1566" i="5"/>
  <c r="H1558" i="5"/>
  <c r="H1550" i="5"/>
  <c r="H1542" i="5"/>
  <c r="H1534" i="5"/>
  <c r="H1526" i="5"/>
  <c r="H1518" i="5"/>
  <c r="H1510" i="5"/>
  <c r="H1502" i="5"/>
  <c r="H1494" i="5"/>
  <c r="H1486" i="5"/>
  <c r="H1478" i="5"/>
  <c r="H1470" i="5"/>
  <c r="H1462" i="5"/>
  <c r="H1454" i="5"/>
  <c r="H1446" i="5"/>
  <c r="H1438" i="5"/>
  <c r="H1430" i="5"/>
  <c r="H1422" i="5"/>
  <c r="H1414" i="5"/>
  <c r="H1406" i="5"/>
  <c r="H1398" i="5"/>
  <c r="H1390" i="5"/>
  <c r="H1382" i="5"/>
  <c r="H1374" i="5"/>
  <c r="H1366" i="5"/>
  <c r="H1358" i="5"/>
  <c r="H1350" i="5"/>
  <c r="H1342" i="5"/>
  <c r="H1334" i="5"/>
  <c r="H1326" i="5"/>
  <c r="H1318" i="5"/>
  <c r="H1310" i="5"/>
  <c r="H1302" i="5"/>
  <c r="H1294" i="5"/>
  <c r="H1286" i="5"/>
  <c r="H1278" i="5"/>
  <c r="H1270" i="5"/>
  <c r="H1262" i="5"/>
  <c r="H1254" i="5"/>
  <c r="H1246" i="5"/>
  <c r="H1238" i="5"/>
  <c r="H1230" i="5"/>
  <c r="H1222" i="5"/>
  <c r="H1214" i="5"/>
  <c r="H1206" i="5"/>
  <c r="H1198" i="5"/>
  <c r="H1190" i="5"/>
  <c r="H1182" i="5"/>
  <c r="H1174" i="5"/>
  <c r="H1166" i="5"/>
  <c r="H1158" i="5"/>
  <c r="H1150" i="5"/>
  <c r="H1142" i="5"/>
  <c r="H1134" i="5"/>
  <c r="H1126" i="5"/>
  <c r="H1118" i="5"/>
  <c r="H1110" i="5"/>
  <c r="H1102" i="5"/>
  <c r="H1094" i="5"/>
  <c r="H1086" i="5"/>
  <c r="H1078" i="5"/>
  <c r="H1070" i="5"/>
  <c r="H1062" i="5"/>
  <c r="H1054" i="5"/>
  <c r="H1046" i="5"/>
  <c r="H1038" i="5"/>
  <c r="H1030" i="5"/>
  <c r="H1022" i="5"/>
  <c r="H1014" i="5"/>
  <c r="H1006" i="5"/>
  <c r="H998" i="5"/>
  <c r="H990" i="5"/>
  <c r="H982" i="5"/>
  <c r="H974" i="5"/>
  <c r="H966" i="5"/>
  <c r="H958" i="5"/>
  <c r="H950" i="5"/>
  <c r="H942" i="5"/>
  <c r="H934" i="5"/>
  <c r="H926" i="5"/>
  <c r="H918" i="5"/>
  <c r="H910" i="5"/>
  <c r="H902" i="5"/>
  <c r="H894" i="5"/>
  <c r="H886" i="5"/>
  <c r="H878" i="5"/>
  <c r="H870" i="5"/>
  <c r="H862" i="5"/>
  <c r="H854" i="5"/>
  <c r="H846" i="5"/>
  <c r="H838" i="5"/>
  <c r="H830" i="5"/>
  <c r="H822" i="5"/>
  <c r="H814" i="5"/>
  <c r="H806" i="5"/>
  <c r="H798" i="5"/>
  <c r="H790" i="5"/>
  <c r="H782" i="5"/>
  <c r="H774" i="5"/>
  <c r="H766" i="5"/>
  <c r="H758" i="5"/>
  <c r="H750" i="5"/>
  <c r="H742" i="5"/>
  <c r="H734" i="5"/>
  <c r="H726" i="5"/>
  <c r="H718" i="5"/>
  <c r="H710" i="5"/>
  <c r="H702" i="5"/>
  <c r="H694" i="5"/>
  <c r="H686" i="5"/>
  <c r="H678" i="5"/>
  <c r="H670" i="5"/>
  <c r="H662" i="5"/>
  <c r="H654" i="5"/>
  <c r="H646" i="5"/>
  <c r="H638" i="5"/>
  <c r="H630" i="5"/>
  <c r="H622" i="5"/>
  <c r="H614" i="5"/>
  <c r="H606" i="5"/>
  <c r="H598" i="5"/>
  <c r="H590" i="5"/>
  <c r="H582" i="5"/>
  <c r="H574" i="5"/>
  <c r="H566" i="5"/>
  <c r="H558" i="5"/>
  <c r="H550" i="5"/>
  <c r="H542" i="5"/>
  <c r="H534" i="5"/>
  <c r="H526" i="5"/>
  <c r="H518" i="5"/>
  <c r="H510" i="5"/>
  <c r="H502" i="5"/>
  <c r="H494" i="5"/>
  <c r="H486" i="5"/>
  <c r="H478" i="5"/>
  <c r="H470" i="5"/>
  <c r="H462" i="5"/>
  <c r="H454" i="5"/>
  <c r="H446" i="5"/>
  <c r="H438" i="5"/>
  <c r="H430" i="5"/>
  <c r="H422" i="5"/>
  <c r="H414" i="5"/>
  <c r="H406" i="5"/>
  <c r="H398" i="5"/>
  <c r="H390" i="5"/>
  <c r="H382" i="5"/>
  <c r="H374" i="5"/>
  <c r="H366" i="5"/>
  <c r="H358" i="5"/>
  <c r="H350" i="5"/>
  <c r="H342" i="5"/>
  <c r="H334" i="5"/>
  <c r="H326" i="5"/>
  <c r="H318" i="5"/>
  <c r="H310" i="5"/>
  <c r="H302" i="5"/>
  <c r="H294" i="5"/>
  <c r="H286" i="5"/>
  <c r="H278" i="5"/>
  <c r="H270" i="5"/>
  <c r="H262" i="5"/>
  <c r="H254" i="5"/>
  <c r="H246" i="5"/>
  <c r="H238" i="5"/>
  <c r="H230" i="5"/>
  <c r="H222" i="5"/>
  <c r="H214" i="5"/>
  <c r="H206" i="5"/>
  <c r="H198" i="5"/>
  <c r="H190" i="5"/>
  <c r="H182" i="5"/>
  <c r="H174" i="5"/>
  <c r="H166" i="5"/>
  <c r="H158" i="5"/>
  <c r="H150" i="5"/>
  <c r="H142" i="5"/>
  <c r="H134" i="5"/>
  <c r="H126" i="5"/>
  <c r="H118" i="5"/>
  <c r="H110" i="5"/>
  <c r="H40617" i="5"/>
  <c r="H38278" i="5"/>
  <c r="H36353" i="5"/>
  <c r="H35329" i="5"/>
  <c r="H34716" i="5"/>
  <c r="H34413" i="5"/>
  <c r="H34157" i="5"/>
  <c r="H33901" i="5"/>
  <c r="H33645" i="5"/>
  <c r="H33389" i="5"/>
  <c r="H33133" i="5"/>
  <c r="H32877" i="5"/>
  <c r="H32621" i="5"/>
  <c r="H32365" i="5"/>
  <c r="H32109" i="5"/>
  <c r="H31853" i="5"/>
  <c r="H31597" i="5"/>
  <c r="H31341" i="5"/>
  <c r="H31085" i="5"/>
  <c r="H30829" i="5"/>
  <c r="H30573" i="5"/>
  <c r="H30317" i="5"/>
  <c r="H30061" i="5"/>
  <c r="H29805" i="5"/>
  <c r="H29549" i="5"/>
  <c r="H29301" i="5"/>
  <c r="H29173" i="5"/>
  <c r="H29045" i="5"/>
  <c r="H28917" i="5"/>
  <c r="H28789" i="5"/>
  <c r="H28661" i="5"/>
  <c r="H28533" i="5"/>
  <c r="H28405" i="5"/>
  <c r="H28277" i="5"/>
  <c r="H28149" i="5"/>
  <c r="H28021" i="5"/>
  <c r="H27893" i="5"/>
  <c r="H27765" i="5"/>
  <c r="H27637" i="5"/>
  <c r="H27509" i="5"/>
  <c r="H27398" i="5"/>
  <c r="H27312" i="5"/>
  <c r="H27229" i="5"/>
  <c r="H27142" i="5"/>
  <c r="H27072" i="5"/>
  <c r="H27008" i="5"/>
  <c r="H26944" i="5"/>
  <c r="H26880" i="5"/>
  <c r="H26816" i="5"/>
  <c r="H26752" i="5"/>
  <c r="H26688" i="5"/>
  <c r="H26624" i="5"/>
  <c r="H26560" i="5"/>
  <c r="H26496" i="5"/>
  <c r="H26432" i="5"/>
  <c r="H26368" i="5"/>
  <c r="H26304" i="5"/>
  <c r="H26240" i="5"/>
  <c r="H26176" i="5"/>
  <c r="H26112" i="5"/>
  <c r="H26048" i="5"/>
  <c r="H25984" i="5"/>
  <c r="H25920" i="5"/>
  <c r="H25856" i="5"/>
  <c r="H25792" i="5"/>
  <c r="H25728" i="5"/>
  <c r="H25664" i="5"/>
  <c r="H25600" i="5"/>
  <c r="H25536" i="5"/>
  <c r="H25485" i="5"/>
  <c r="H25435" i="5"/>
  <c r="H25382" i="5"/>
  <c r="H25332" i="5"/>
  <c r="H25280" i="5"/>
  <c r="H25229" i="5"/>
  <c r="H25179" i="5"/>
  <c r="H25126" i="5"/>
  <c r="H25076" i="5"/>
  <c r="H25024" i="5"/>
  <c r="H24973" i="5"/>
  <c r="H24936" i="5"/>
  <c r="H24903" i="5"/>
  <c r="H24871" i="5"/>
  <c r="H24839" i="5"/>
  <c r="H24807" i="5"/>
  <c r="H24775" i="5"/>
  <c r="H24743" i="5"/>
  <c r="H24711" i="5"/>
  <c r="H24679" i="5"/>
  <c r="H24647" i="5"/>
  <c r="H24615" i="5"/>
  <c r="H24583" i="5"/>
  <c r="H24551" i="5"/>
  <c r="H24519" i="5"/>
  <c r="H24487" i="5"/>
  <c r="H24455" i="5"/>
  <c r="H24423" i="5"/>
  <c r="H24391" i="5"/>
  <c r="H24359" i="5"/>
  <c r="H24327" i="5"/>
  <c r="H24295" i="5"/>
  <c r="H24263" i="5"/>
  <c r="H24231" i="5"/>
  <c r="H24199" i="5"/>
  <c r="H24167" i="5"/>
  <c r="H24135" i="5"/>
  <c r="H24103" i="5"/>
  <c r="H24071" i="5"/>
  <c r="H24039" i="5"/>
  <c r="H24007" i="5"/>
  <c r="H23975" i="5"/>
  <c r="H23943" i="5"/>
  <c r="H23911" i="5"/>
  <c r="H23879" i="5"/>
  <c r="H23847" i="5"/>
  <c r="H23815" i="5"/>
  <c r="H23783" i="5"/>
  <c r="H23751" i="5"/>
  <c r="H23719" i="5"/>
  <c r="H23687" i="5"/>
  <c r="H23655" i="5"/>
  <c r="H23623" i="5"/>
  <c r="H23591" i="5"/>
  <c r="H23559" i="5"/>
  <c r="H23527" i="5"/>
  <c r="H23495" i="5"/>
  <c r="H23463" i="5"/>
  <c r="H23431" i="5"/>
  <c r="H23399" i="5"/>
  <c r="H23367" i="5"/>
  <c r="H23335" i="5"/>
  <c r="H23303" i="5"/>
  <c r="H23271" i="5"/>
  <c r="H23239" i="5"/>
  <c r="H23207" i="5"/>
  <c r="H23175" i="5"/>
  <c r="H23143" i="5"/>
  <c r="H23111" i="5"/>
  <c r="H23079" i="5"/>
  <c r="H23047" i="5"/>
  <c r="H23015" i="5"/>
  <c r="H22983" i="5"/>
  <c r="H22951" i="5"/>
  <c r="H22919" i="5"/>
  <c r="H22887" i="5"/>
  <c r="H22855" i="5"/>
  <c r="H22823" i="5"/>
  <c r="H22791" i="5"/>
  <c r="H22759" i="5"/>
  <c r="H22727" i="5"/>
  <c r="H22695" i="5"/>
  <c r="H22663" i="5"/>
  <c r="H22631" i="5"/>
  <c r="H22599" i="5"/>
  <c r="H22567" i="5"/>
  <c r="H22535" i="5"/>
  <c r="H22503" i="5"/>
  <c r="H22471" i="5"/>
  <c r="H22439" i="5"/>
  <c r="H22407" i="5"/>
  <c r="H22375" i="5"/>
  <c r="H22343" i="5"/>
  <c r="H22311" i="5"/>
  <c r="H22279" i="5"/>
  <c r="H22247" i="5"/>
  <c r="H22215" i="5"/>
  <c r="H22183" i="5"/>
  <c r="H22151" i="5"/>
  <c r="H22119" i="5"/>
  <c r="H22087" i="5"/>
  <c r="H22055" i="5"/>
  <c r="H22023" i="5"/>
  <c r="H21991" i="5"/>
  <c r="H21959" i="5"/>
  <c r="H21927" i="5"/>
  <c r="H21895" i="5"/>
  <c r="H21863" i="5"/>
  <c r="H21831" i="5"/>
  <c r="H21799" i="5"/>
  <c r="H21767" i="5"/>
  <c r="H21735" i="5"/>
  <c r="H21703" i="5"/>
  <c r="H21671" i="5"/>
  <c r="H21639" i="5"/>
  <c r="H21607" i="5"/>
  <c r="H21575" i="5"/>
  <c r="H21543" i="5"/>
  <c r="H21511" i="5"/>
  <c r="H21479" i="5"/>
  <c r="H21447" i="5"/>
  <c r="H21415" i="5"/>
  <c r="H21383" i="5"/>
  <c r="H21351" i="5"/>
  <c r="H21319" i="5"/>
  <c r="H21287" i="5"/>
  <c r="H21255" i="5"/>
  <c r="H21223" i="5"/>
  <c r="H21191" i="5"/>
  <c r="H21159" i="5"/>
  <c r="H21127" i="5"/>
  <c r="H21095" i="5"/>
  <c r="H21063" i="5"/>
  <c r="H21031" i="5"/>
  <c r="H20999" i="5"/>
  <c r="H20967" i="5"/>
  <c r="H20935" i="5"/>
  <c r="H20903" i="5"/>
  <c r="H20871" i="5"/>
  <c r="H20839" i="5"/>
  <c r="H20807" i="5"/>
  <c r="H20775" i="5"/>
  <c r="H20743" i="5"/>
  <c r="H20711" i="5"/>
  <c r="H20679" i="5"/>
  <c r="H20647" i="5"/>
  <c r="H20615" i="5"/>
  <c r="H20583" i="5"/>
  <c r="H20551" i="5"/>
  <c r="H20519" i="5"/>
  <c r="H20487" i="5"/>
  <c r="H20455" i="5"/>
  <c r="H20423" i="5"/>
  <c r="H20391" i="5"/>
  <c r="H20359" i="5"/>
  <c r="H20327" i="5"/>
  <c r="H20295" i="5"/>
  <c r="H20263" i="5"/>
  <c r="H20231" i="5"/>
  <c r="H20199" i="5"/>
  <c r="H20167" i="5"/>
  <c r="H20135" i="5"/>
  <c r="H20103" i="5"/>
  <c r="H20071" i="5"/>
  <c r="H20039" i="5"/>
  <c r="H20007" i="5"/>
  <c r="H19975" i="5"/>
  <c r="H19943" i="5"/>
  <c r="H19911" i="5"/>
  <c r="H19879" i="5"/>
  <c r="H19847" i="5"/>
  <c r="H19815" i="5"/>
  <c r="H19783" i="5"/>
  <c r="H19751" i="5"/>
  <c r="H19719" i="5"/>
  <c r="H19687" i="5"/>
  <c r="H19655" i="5"/>
  <c r="H19623" i="5"/>
  <c r="H19591" i="5"/>
  <c r="H19559" i="5"/>
  <c r="H19527" i="5"/>
  <c r="H19495" i="5"/>
  <c r="H19463" i="5"/>
  <c r="H19431" i="5"/>
  <c r="H19399" i="5"/>
  <c r="H19367" i="5"/>
  <c r="H19335" i="5"/>
  <c r="H19303" i="5"/>
  <c r="H19271" i="5"/>
  <c r="H19239" i="5"/>
  <c r="H19207" i="5"/>
  <c r="H19175" i="5"/>
  <c r="H19143" i="5"/>
  <c r="H19111" i="5"/>
  <c r="H19079" i="5"/>
  <c r="H19047" i="5"/>
  <c r="H19015" i="5"/>
  <c r="H18983" i="5"/>
  <c r="H18951" i="5"/>
  <c r="H18919" i="5"/>
  <c r="H18887" i="5"/>
  <c r="H18855" i="5"/>
  <c r="H18823" i="5"/>
  <c r="H18791" i="5"/>
  <c r="H18759" i="5"/>
  <c r="H18727" i="5"/>
  <c r="H18695" i="5"/>
  <c r="H18663" i="5"/>
  <c r="H18631" i="5"/>
  <c r="H18599" i="5"/>
  <c r="H18567" i="5"/>
  <c r="H18535" i="5"/>
  <c r="H18503" i="5"/>
  <c r="H18471" i="5"/>
  <c r="H18439" i="5"/>
  <c r="H18407" i="5"/>
  <c r="H18375" i="5"/>
  <c r="H18343" i="5"/>
  <c r="H18311" i="5"/>
  <c r="H18279" i="5"/>
  <c r="H18247" i="5"/>
  <c r="H18215" i="5"/>
  <c r="H18183" i="5"/>
  <c r="H18151" i="5"/>
  <c r="H18119" i="5"/>
  <c r="H18087" i="5"/>
  <c r="H18055" i="5"/>
  <c r="H18023" i="5"/>
  <c r="H17991" i="5"/>
  <c r="H17959" i="5"/>
  <c r="H17927" i="5"/>
  <c r="H17895" i="5"/>
  <c r="H17863" i="5"/>
  <c r="H17831" i="5"/>
  <c r="H17799" i="5"/>
  <c r="H17767" i="5"/>
  <c r="H17735" i="5"/>
  <c r="H17703" i="5"/>
  <c r="H17671" i="5"/>
  <c r="H17639" i="5"/>
  <c r="H17607" i="5"/>
  <c r="H17575" i="5"/>
  <c r="H17543" i="5"/>
  <c r="H17511" i="5"/>
  <c r="H17479" i="5"/>
  <c r="H17456" i="5"/>
  <c r="H17436" i="5"/>
  <c r="H17415" i="5"/>
  <c r="H17392" i="5"/>
  <c r="H17372" i="5"/>
  <c r="H17351" i="5"/>
  <c r="H17329" i="5"/>
  <c r="H17313" i="5"/>
  <c r="H17297" i="5"/>
  <c r="H17281" i="5"/>
  <c r="H17265" i="5"/>
  <c r="H17249" i="5"/>
  <c r="H17233" i="5"/>
  <c r="H17217" i="5"/>
  <c r="H17201" i="5"/>
  <c r="H17185" i="5"/>
  <c r="H17169" i="5"/>
  <c r="H17153" i="5"/>
  <c r="H17137" i="5"/>
  <c r="H17121" i="5"/>
  <c r="H17105" i="5"/>
  <c r="H17089" i="5"/>
  <c r="H17073" i="5"/>
  <c r="H17057" i="5"/>
  <c r="H17041" i="5"/>
  <c r="H17025" i="5"/>
  <c r="H17009" i="5"/>
  <c r="H16993" i="5"/>
  <c r="H16977" i="5"/>
  <c r="H16961" i="5"/>
  <c r="H16945" i="5"/>
  <c r="H16929" i="5"/>
  <c r="H16913" i="5"/>
  <c r="H16897" i="5"/>
  <c r="H16881" i="5"/>
  <c r="H16865" i="5"/>
  <c r="H16849" i="5"/>
  <c r="H16833" i="5"/>
  <c r="H16817" i="5"/>
  <c r="H16801" i="5"/>
  <c r="H16785" i="5"/>
  <c r="H16769" i="5"/>
  <c r="H16753" i="5"/>
  <c r="H16737" i="5"/>
  <c r="H16721" i="5"/>
  <c r="H16705" i="5"/>
  <c r="H16689" i="5"/>
  <c r="H16673" i="5"/>
  <c r="H16657" i="5"/>
  <c r="H16641" i="5"/>
  <c r="H16625" i="5"/>
  <c r="H16609" i="5"/>
  <c r="H16597" i="5"/>
  <c r="H16588" i="5"/>
  <c r="H16578" i="5"/>
  <c r="H16569" i="5"/>
  <c r="H16560" i="5"/>
  <c r="H16551" i="5"/>
  <c r="H16542" i="5"/>
  <c r="H16533" i="5"/>
  <c r="H16525" i="5"/>
  <c r="H16517" i="5"/>
  <c r="H16509" i="5"/>
  <c r="H16501" i="5"/>
  <c r="H16493" i="5"/>
  <c r="H16485" i="5"/>
  <c r="H16477" i="5"/>
  <c r="H16469" i="5"/>
  <c r="H16461" i="5"/>
  <c r="H16453" i="5"/>
  <c r="H16445" i="5"/>
  <c r="H16437" i="5"/>
  <c r="H16429" i="5"/>
  <c r="H16421" i="5"/>
  <c r="H16413" i="5"/>
  <c r="H16405" i="5"/>
  <c r="H16397" i="5"/>
  <c r="H16389" i="5"/>
  <c r="H16381" i="5"/>
  <c r="H16373" i="5"/>
  <c r="H16365" i="5"/>
  <c r="H16357" i="5"/>
  <c r="H16349" i="5"/>
  <c r="H16341" i="5"/>
  <c r="H16333" i="5"/>
  <c r="H16325" i="5"/>
  <c r="H16317" i="5"/>
  <c r="H16309" i="5"/>
  <c r="H16301" i="5"/>
  <c r="H16293" i="5"/>
  <c r="H16285" i="5"/>
  <c r="H16277" i="5"/>
  <c r="H16269" i="5"/>
  <c r="H16261" i="5"/>
  <c r="H16253" i="5"/>
  <c r="H16245" i="5"/>
  <c r="H16237" i="5"/>
  <c r="H16229" i="5"/>
  <c r="H16221" i="5"/>
  <c r="H16213" i="5"/>
  <c r="H16205" i="5"/>
  <c r="H16197" i="5"/>
  <c r="H16189" i="5"/>
  <c r="H16181" i="5"/>
  <c r="H16173" i="5"/>
  <c r="H16165" i="5"/>
  <c r="H16157" i="5"/>
  <c r="H16149" i="5"/>
  <c r="H16141" i="5"/>
  <c r="H16133" i="5"/>
  <c r="H16125" i="5"/>
  <c r="H16117" i="5"/>
  <c r="H16109" i="5"/>
  <c r="H16101" i="5"/>
  <c r="H16093" i="5"/>
  <c r="H16085" i="5"/>
  <c r="H16077" i="5"/>
  <c r="H16069" i="5"/>
  <c r="H16061" i="5"/>
  <c r="H16053" i="5"/>
  <c r="H16045" i="5"/>
  <c r="H16037" i="5"/>
  <c r="H16029" i="5"/>
  <c r="H16021" i="5"/>
  <c r="H16013" i="5"/>
  <c r="H16005" i="5"/>
  <c r="H15997" i="5"/>
  <c r="H15989" i="5"/>
  <c r="H15981" i="5"/>
  <c r="H15973" i="5"/>
  <c r="H15965" i="5"/>
  <c r="H15957" i="5"/>
  <c r="H15949" i="5"/>
  <c r="H15941" i="5"/>
  <c r="H15933" i="5"/>
  <c r="H15925" i="5"/>
  <c r="H15917" i="5"/>
  <c r="H15909" i="5"/>
  <c r="H15901" i="5"/>
  <c r="H15893" i="5"/>
  <c r="H15885" i="5"/>
  <c r="H15877" i="5"/>
  <c r="H15869" i="5"/>
  <c r="H15861" i="5"/>
  <c r="H15853" i="5"/>
  <c r="H15845" i="5"/>
  <c r="H15837" i="5"/>
  <c r="H15829" i="5"/>
  <c r="H15821" i="5"/>
  <c r="H15813" i="5"/>
  <c r="H15805" i="5"/>
  <c r="H15797" i="5"/>
  <c r="H15789" i="5"/>
  <c r="H15781" i="5"/>
  <c r="H15773" i="5"/>
  <c r="H15765" i="5"/>
  <c r="H15757" i="5"/>
  <c r="H15749" i="5"/>
  <c r="H15741" i="5"/>
  <c r="H15733" i="5"/>
  <c r="H15725" i="5"/>
  <c r="H15717" i="5"/>
  <c r="H15709" i="5"/>
  <c r="H15701" i="5"/>
  <c r="H15693" i="5"/>
  <c r="H15685" i="5"/>
  <c r="H15677" i="5"/>
  <c r="H15669" i="5"/>
  <c r="H15661" i="5"/>
  <c r="H15653" i="5"/>
  <c r="H15645" i="5"/>
  <c r="H15637" i="5"/>
  <c r="H15629" i="5"/>
  <c r="H15621" i="5"/>
  <c r="H15613" i="5"/>
  <c r="H15605" i="5"/>
  <c r="H15597" i="5"/>
  <c r="H15589" i="5"/>
  <c r="H15581" i="5"/>
  <c r="H15573" i="5"/>
  <c r="H15565" i="5"/>
  <c r="H15557" i="5"/>
  <c r="H15549" i="5"/>
  <c r="H15541" i="5"/>
  <c r="H15533" i="5"/>
  <c r="H15525" i="5"/>
  <c r="H15517" i="5"/>
  <c r="H15509" i="5"/>
  <c r="H15501" i="5"/>
  <c r="H15493" i="5"/>
  <c r="H15485" i="5"/>
  <c r="H15477" i="5"/>
  <c r="H15469" i="5"/>
  <c r="H15461" i="5"/>
  <c r="H15453" i="5"/>
  <c r="H15445" i="5"/>
  <c r="H15437" i="5"/>
  <c r="H15429" i="5"/>
  <c r="H15421" i="5"/>
  <c r="H15413" i="5"/>
  <c r="H15405" i="5"/>
  <c r="H15397" i="5"/>
  <c r="H15389" i="5"/>
  <c r="H15381" i="5"/>
  <c r="H15373" i="5"/>
  <c r="H15365" i="5"/>
  <c r="H15357" i="5"/>
  <c r="H15349" i="5"/>
  <c r="H15341" i="5"/>
  <c r="H15333" i="5"/>
  <c r="H15325" i="5"/>
  <c r="H15317" i="5"/>
  <c r="H15309" i="5"/>
  <c r="H15301" i="5"/>
  <c r="H15293" i="5"/>
  <c r="H15285" i="5"/>
  <c r="H15277" i="5"/>
  <c r="H15269" i="5"/>
  <c r="H15261" i="5"/>
  <c r="H15253" i="5"/>
  <c r="H15245" i="5"/>
  <c r="H15237" i="5"/>
  <c r="H15229" i="5"/>
  <c r="H15221" i="5"/>
  <c r="H15213" i="5"/>
  <c r="H15205" i="5"/>
  <c r="H15197" i="5"/>
  <c r="H15189" i="5"/>
  <c r="H15181" i="5"/>
  <c r="H15173" i="5"/>
  <c r="H15165" i="5"/>
  <c r="H15157" i="5"/>
  <c r="H15149" i="5"/>
  <c r="H15141" i="5"/>
  <c r="H15133" i="5"/>
  <c r="H15125" i="5"/>
  <c r="H15117" i="5"/>
  <c r="H15109" i="5"/>
  <c r="H15101" i="5"/>
  <c r="H15093" i="5"/>
  <c r="H15085" i="5"/>
  <c r="H15077" i="5"/>
  <c r="H15069" i="5"/>
  <c r="H15061" i="5"/>
  <c r="H15053" i="5"/>
  <c r="H15045" i="5"/>
  <c r="H15037" i="5"/>
  <c r="H15029" i="5"/>
  <c r="H15021" i="5"/>
  <c r="H15013" i="5"/>
  <c r="H15005" i="5"/>
  <c r="H14997" i="5"/>
  <c r="H14989" i="5"/>
  <c r="H14981" i="5"/>
  <c r="H14973" i="5"/>
  <c r="H14965" i="5"/>
  <c r="H14957" i="5"/>
  <c r="H14949" i="5"/>
  <c r="H14941" i="5"/>
  <c r="H14933" i="5"/>
  <c r="H14925" i="5"/>
  <c r="H14917" i="5"/>
  <c r="H14909" i="5"/>
  <c r="H14901" i="5"/>
  <c r="H14893" i="5"/>
  <c r="H14885" i="5"/>
  <c r="H14877" i="5"/>
  <c r="H14869" i="5"/>
  <c r="H14861" i="5"/>
  <c r="H14853" i="5"/>
  <c r="H14845" i="5"/>
  <c r="H14837" i="5"/>
  <c r="H14829" i="5"/>
  <c r="H14821" i="5"/>
  <c r="H14813" i="5"/>
  <c r="H14805" i="5"/>
  <c r="H14797" i="5"/>
  <c r="H14789" i="5"/>
  <c r="H14781" i="5"/>
  <c r="H14773" i="5"/>
  <c r="H14765" i="5"/>
  <c r="H14757" i="5"/>
  <c r="H14749" i="5"/>
  <c r="H14741" i="5"/>
  <c r="H14733" i="5"/>
  <c r="H14725" i="5"/>
  <c r="H14717" i="5"/>
  <c r="H14709" i="5"/>
  <c r="H14701" i="5"/>
  <c r="H14693" i="5"/>
  <c r="H14685" i="5"/>
  <c r="H14677" i="5"/>
  <c r="H14669" i="5"/>
  <c r="H14661" i="5"/>
  <c r="H14653" i="5"/>
  <c r="H14645" i="5"/>
  <c r="H14637" i="5"/>
  <c r="H14629" i="5"/>
  <c r="H14621" i="5"/>
  <c r="H14613" i="5"/>
  <c r="H14605" i="5"/>
  <c r="H14597" i="5"/>
  <c r="H14589" i="5"/>
  <c r="H14581" i="5"/>
  <c r="H14573" i="5"/>
  <c r="H14565" i="5"/>
  <c r="H14557" i="5"/>
  <c r="H14549" i="5"/>
  <c r="H14541" i="5"/>
  <c r="H14533" i="5"/>
  <c r="H14525" i="5"/>
  <c r="H14517" i="5"/>
  <c r="H14509" i="5"/>
  <c r="H14501" i="5"/>
  <c r="H14493" i="5"/>
  <c r="H14485" i="5"/>
  <c r="H14477" i="5"/>
  <c r="H14469" i="5"/>
  <c r="H14461" i="5"/>
  <c r="H14453" i="5"/>
  <c r="H14445" i="5"/>
  <c r="H14437" i="5"/>
  <c r="H14429" i="5"/>
  <c r="H14421" i="5"/>
  <c r="H14413" i="5"/>
  <c r="H14405" i="5"/>
  <c r="H14397" i="5"/>
  <c r="H14389" i="5"/>
  <c r="H14381" i="5"/>
  <c r="H14373" i="5"/>
  <c r="H14365" i="5"/>
  <c r="H14357" i="5"/>
  <c r="H14349" i="5"/>
  <c r="H14341" i="5"/>
  <c r="H14333" i="5"/>
  <c r="H14325" i="5"/>
  <c r="H14317" i="5"/>
  <c r="H14309" i="5"/>
  <c r="H14301" i="5"/>
  <c r="H14293" i="5"/>
  <c r="H14285" i="5"/>
  <c r="H14277" i="5"/>
  <c r="H14269" i="5"/>
  <c r="H14261" i="5"/>
  <c r="H14253" i="5"/>
  <c r="H14245" i="5"/>
  <c r="H14237" i="5"/>
  <c r="H14229" i="5"/>
  <c r="H14221" i="5"/>
  <c r="H14213" i="5"/>
  <c r="H14205" i="5"/>
  <c r="H14197" i="5"/>
  <c r="H14189" i="5"/>
  <c r="H14181" i="5"/>
  <c r="H14173" i="5"/>
  <c r="H14165" i="5"/>
  <c r="H14157" i="5"/>
  <c r="H14149" i="5"/>
  <c r="H14141" i="5"/>
  <c r="H14133" i="5"/>
  <c r="H14125" i="5"/>
  <c r="H14117" i="5"/>
  <c r="H14109" i="5"/>
  <c r="H14101" i="5"/>
  <c r="H14093" i="5"/>
  <c r="H14085" i="5"/>
  <c r="H14077" i="5"/>
  <c r="H14069" i="5"/>
  <c r="H14061" i="5"/>
  <c r="H14053" i="5"/>
  <c r="H14045" i="5"/>
  <c r="H14037" i="5"/>
  <c r="H14029" i="5"/>
  <c r="H14021" i="5"/>
  <c r="H14013" i="5"/>
  <c r="H14005" i="5"/>
  <c r="H13997" i="5"/>
  <c r="H13989" i="5"/>
  <c r="H13981" i="5"/>
  <c r="H13973" i="5"/>
  <c r="H13965" i="5"/>
  <c r="H13957" i="5"/>
  <c r="H13949" i="5"/>
  <c r="H13941" i="5"/>
  <c r="H13933" i="5"/>
  <c r="H13925" i="5"/>
  <c r="H13917" i="5"/>
  <c r="H13909" i="5"/>
  <c r="H13901" i="5"/>
  <c r="H13893" i="5"/>
  <c r="H13885" i="5"/>
  <c r="H13877" i="5"/>
  <c r="H13869" i="5"/>
  <c r="H13861" i="5"/>
  <c r="H13853" i="5"/>
  <c r="H13845" i="5"/>
  <c r="H13837" i="5"/>
  <c r="H13829" i="5"/>
  <c r="H13821" i="5"/>
  <c r="H13813" i="5"/>
  <c r="H13805" i="5"/>
  <c r="H13797" i="5"/>
  <c r="H13789" i="5"/>
  <c r="H13781" i="5"/>
  <c r="H13773" i="5"/>
  <c r="H13765" i="5"/>
  <c r="H13757" i="5"/>
  <c r="H13749" i="5"/>
  <c r="H13741" i="5"/>
  <c r="H13733" i="5"/>
  <c r="H13725" i="5"/>
  <c r="H13717" i="5"/>
  <c r="H13709" i="5"/>
  <c r="H13701" i="5"/>
  <c r="H13693" i="5"/>
  <c r="H13685" i="5"/>
  <c r="H13677" i="5"/>
  <c r="H13669" i="5"/>
  <c r="H13661" i="5"/>
  <c r="H13653" i="5"/>
  <c r="H13645" i="5"/>
  <c r="H13637" i="5"/>
  <c r="H13629" i="5"/>
  <c r="H13621" i="5"/>
  <c r="H13613" i="5"/>
  <c r="H13605" i="5"/>
  <c r="H13597" i="5"/>
  <c r="H13589" i="5"/>
  <c r="H13581" i="5"/>
  <c r="H13573" i="5"/>
  <c r="H13565" i="5"/>
  <c r="H13557" i="5"/>
  <c r="H13549" i="5"/>
  <c r="H13541" i="5"/>
  <c r="H13533" i="5"/>
  <c r="H13525" i="5"/>
  <c r="H13517" i="5"/>
  <c r="H13509" i="5"/>
  <c r="H13501" i="5"/>
  <c r="H13493" i="5"/>
  <c r="H13485" i="5"/>
  <c r="H13477" i="5"/>
  <c r="H13469" i="5"/>
  <c r="H13461" i="5"/>
  <c r="H13453" i="5"/>
  <c r="H13445" i="5"/>
  <c r="H13437" i="5"/>
  <c r="H13429" i="5"/>
  <c r="H13421" i="5"/>
  <c r="H13413" i="5"/>
  <c r="H13405" i="5"/>
  <c r="H13397" i="5"/>
  <c r="H13389" i="5"/>
  <c r="H13381" i="5"/>
  <c r="H13373" i="5"/>
  <c r="H13365" i="5"/>
  <c r="H13357" i="5"/>
  <c r="H13349" i="5"/>
  <c r="H13341" i="5"/>
  <c r="H13333" i="5"/>
  <c r="H13325" i="5"/>
  <c r="H13317" i="5"/>
  <c r="H13309" i="5"/>
  <c r="H13301" i="5"/>
  <c r="H13293" i="5"/>
  <c r="H13285" i="5"/>
  <c r="H13277" i="5"/>
  <c r="H13269" i="5"/>
  <c r="H13261" i="5"/>
  <c r="H13253" i="5"/>
  <c r="H13245" i="5"/>
  <c r="H13237" i="5"/>
  <c r="H13229" i="5"/>
  <c r="H13221" i="5"/>
  <c r="H13213" i="5"/>
  <c r="H13205" i="5"/>
  <c r="H13197" i="5"/>
  <c r="H13189" i="5"/>
  <c r="H13181" i="5"/>
  <c r="H13173" i="5"/>
  <c r="H13165" i="5"/>
  <c r="H13157" i="5"/>
  <c r="H13149" i="5"/>
  <c r="H13141" i="5"/>
  <c r="H13133" i="5"/>
  <c r="H13125" i="5"/>
  <c r="H13117" i="5"/>
  <c r="H13109" i="5"/>
  <c r="H13101" i="5"/>
  <c r="H13093" i="5"/>
  <c r="H13085" i="5"/>
  <c r="H13077" i="5"/>
  <c r="H13069" i="5"/>
  <c r="H13061" i="5"/>
  <c r="H13053" i="5"/>
  <c r="H13045" i="5"/>
  <c r="H13037" i="5"/>
  <c r="H13029" i="5"/>
  <c r="H13021" i="5"/>
  <c r="H13013" i="5"/>
  <c r="H13005" i="5"/>
  <c r="H12997" i="5"/>
  <c r="H12989" i="5"/>
  <c r="H12981" i="5"/>
  <c r="H12973" i="5"/>
  <c r="H12965" i="5"/>
  <c r="H12957" i="5"/>
  <c r="H12949" i="5"/>
  <c r="H12941" i="5"/>
  <c r="H12933" i="5"/>
  <c r="H12925" i="5"/>
  <c r="H12917" i="5"/>
  <c r="H12909" i="5"/>
  <c r="H12901" i="5"/>
  <c r="H12893" i="5"/>
  <c r="H12885" i="5"/>
  <c r="H12877" i="5"/>
  <c r="H12869" i="5"/>
  <c r="H12861" i="5"/>
  <c r="H12853" i="5"/>
  <c r="H12845" i="5"/>
  <c r="H12837" i="5"/>
  <c r="H12829" i="5"/>
  <c r="H12821" i="5"/>
  <c r="H12813" i="5"/>
  <c r="H12805" i="5"/>
  <c r="H12797" i="5"/>
  <c r="H12789" i="5"/>
  <c r="H12781" i="5"/>
  <c r="H12773" i="5"/>
  <c r="H12765" i="5"/>
  <c r="H12757" i="5"/>
  <c r="H12749" i="5"/>
  <c r="H12741" i="5"/>
  <c r="H12733" i="5"/>
  <c r="H12725" i="5"/>
  <c r="H12717" i="5"/>
  <c r="H12709" i="5"/>
  <c r="H12701" i="5"/>
  <c r="H12693" i="5"/>
  <c r="H12685" i="5"/>
  <c r="H12677" i="5"/>
  <c r="H12669" i="5"/>
  <c r="H12661" i="5"/>
  <c r="H12653" i="5"/>
  <c r="H12645" i="5"/>
  <c r="H12637" i="5"/>
  <c r="H12629" i="5"/>
  <c r="H12621" i="5"/>
  <c r="H12613" i="5"/>
  <c r="H12605" i="5"/>
  <c r="H12597" i="5"/>
  <c r="H12589" i="5"/>
  <c r="H12581" i="5"/>
  <c r="H12573" i="5"/>
  <c r="H12565" i="5"/>
  <c r="H12557" i="5"/>
  <c r="H12549" i="5"/>
  <c r="H12541" i="5"/>
  <c r="H12533" i="5"/>
  <c r="H12525" i="5"/>
  <c r="H12517" i="5"/>
  <c r="H12509" i="5"/>
  <c r="H12501" i="5"/>
  <c r="H12493" i="5"/>
  <c r="H12485" i="5"/>
  <c r="H12477" i="5"/>
  <c r="H12469" i="5"/>
  <c r="H12461" i="5"/>
  <c r="H12453" i="5"/>
  <c r="H12445" i="5"/>
  <c r="H12437" i="5"/>
  <c r="H12429" i="5"/>
  <c r="H12421" i="5"/>
  <c r="H12413" i="5"/>
  <c r="H12405" i="5"/>
  <c r="H12397" i="5"/>
  <c r="H12389" i="5"/>
  <c r="H12381" i="5"/>
  <c r="H12373" i="5"/>
  <c r="H12365" i="5"/>
  <c r="H12357" i="5"/>
  <c r="H12349" i="5"/>
  <c r="H12341" i="5"/>
  <c r="H12333" i="5"/>
  <c r="H12325" i="5"/>
  <c r="H12317" i="5"/>
  <c r="H12309" i="5"/>
  <c r="H12301" i="5"/>
  <c r="H12293" i="5"/>
  <c r="H12285" i="5"/>
  <c r="H12277" i="5"/>
  <c r="H12269" i="5"/>
  <c r="H12261" i="5"/>
  <c r="H12253" i="5"/>
  <c r="H12245" i="5"/>
  <c r="H12237" i="5"/>
  <c r="H12229" i="5"/>
  <c r="H12221" i="5"/>
  <c r="H12213" i="5"/>
  <c r="H12205" i="5"/>
  <c r="H12197" i="5"/>
  <c r="H12189" i="5"/>
  <c r="H12181" i="5"/>
  <c r="H12173" i="5"/>
  <c r="H12165" i="5"/>
  <c r="H12157" i="5"/>
  <c r="H12149" i="5"/>
  <c r="H12141" i="5"/>
  <c r="H12133" i="5"/>
  <c r="H12125" i="5"/>
  <c r="H12117" i="5"/>
  <c r="H12109" i="5"/>
  <c r="H12101" i="5"/>
  <c r="H12093" i="5"/>
  <c r="H12085" i="5"/>
  <c r="H12077" i="5"/>
  <c r="H12069" i="5"/>
  <c r="H12061" i="5"/>
  <c r="H12053" i="5"/>
  <c r="H12045" i="5"/>
  <c r="H12037" i="5"/>
  <c r="H12029" i="5"/>
  <c r="H12021" i="5"/>
  <c r="H12013" i="5"/>
  <c r="H12005" i="5"/>
  <c r="H11997" i="5"/>
  <c r="H11989" i="5"/>
  <c r="H11981" i="5"/>
  <c r="H11973" i="5"/>
  <c r="H11965" i="5"/>
  <c r="H11957" i="5"/>
  <c r="H11949" i="5"/>
  <c r="H11941" i="5"/>
  <c r="H11933" i="5"/>
  <c r="H11925" i="5"/>
  <c r="H11917" i="5"/>
  <c r="H11909" i="5"/>
  <c r="H11901" i="5"/>
  <c r="H11893" i="5"/>
  <c r="H11885" i="5"/>
  <c r="H11877" i="5"/>
  <c r="H11869" i="5"/>
  <c r="H11861" i="5"/>
  <c r="H11853" i="5"/>
  <c r="H11845" i="5"/>
  <c r="H11837" i="5"/>
  <c r="H11829" i="5"/>
  <c r="H11821" i="5"/>
  <c r="H11813" i="5"/>
  <c r="H11805" i="5"/>
  <c r="H11797" i="5"/>
  <c r="H11789" i="5"/>
  <c r="H11781" i="5"/>
  <c r="H11773" i="5"/>
  <c r="H11765" i="5"/>
  <c r="H11757" i="5"/>
  <c r="H11749" i="5"/>
  <c r="H11741" i="5"/>
  <c r="H11733" i="5"/>
  <c r="H11725" i="5"/>
  <c r="H11717" i="5"/>
  <c r="H11709" i="5"/>
  <c r="H11701" i="5"/>
  <c r="H11693" i="5"/>
  <c r="H11685" i="5"/>
  <c r="H11677" i="5"/>
  <c r="H11669" i="5"/>
  <c r="H11661" i="5"/>
  <c r="H11653" i="5"/>
  <c r="H11645" i="5"/>
  <c r="H11637" i="5"/>
  <c r="H11629" i="5"/>
  <c r="H11621" i="5"/>
  <c r="H11613" i="5"/>
  <c r="H11605" i="5"/>
  <c r="H11597" i="5"/>
  <c r="H11589" i="5"/>
  <c r="H11581" i="5"/>
  <c r="H11573" i="5"/>
  <c r="H11565" i="5"/>
  <c r="H11557" i="5"/>
  <c r="H11549" i="5"/>
  <c r="H11541" i="5"/>
  <c r="H11533" i="5"/>
  <c r="H11525" i="5"/>
  <c r="H11517" i="5"/>
  <c r="H11509" i="5"/>
  <c r="H11501" i="5"/>
  <c r="H11493" i="5"/>
  <c r="H11485" i="5"/>
  <c r="H11477" i="5"/>
  <c r="H11469" i="5"/>
  <c r="H11461" i="5"/>
  <c r="H11453" i="5"/>
  <c r="H11445" i="5"/>
  <c r="H11437" i="5"/>
  <c r="H11429" i="5"/>
  <c r="H11421" i="5"/>
  <c r="H11413" i="5"/>
  <c r="H11405" i="5"/>
  <c r="H11397" i="5"/>
  <c r="H11389" i="5"/>
  <c r="H11381" i="5"/>
  <c r="H11373" i="5"/>
  <c r="H11365" i="5"/>
  <c r="H11357" i="5"/>
  <c r="H11349" i="5"/>
  <c r="H11341" i="5"/>
  <c r="H11333" i="5"/>
  <c r="H11325" i="5"/>
  <c r="H11317" i="5"/>
  <c r="H11309" i="5"/>
  <c r="H11301" i="5"/>
  <c r="H11293" i="5"/>
  <c r="H11285" i="5"/>
  <c r="H11277" i="5"/>
  <c r="H11269" i="5"/>
  <c r="H11261" i="5"/>
  <c r="H11253" i="5"/>
  <c r="H11245" i="5"/>
  <c r="H11237" i="5"/>
  <c r="H11229" i="5"/>
  <c r="H11221" i="5"/>
  <c r="H11213" i="5"/>
  <c r="H11205" i="5"/>
  <c r="H11197" i="5"/>
  <c r="H11189" i="5"/>
  <c r="H11181" i="5"/>
  <c r="H11173" i="5"/>
  <c r="H11165" i="5"/>
  <c r="H11157" i="5"/>
  <c r="H11149" i="5"/>
  <c r="H11141" i="5"/>
  <c r="H11133" i="5"/>
  <c r="H11125" i="5"/>
  <c r="H11117" i="5"/>
  <c r="H11109" i="5"/>
  <c r="H11101" i="5"/>
  <c r="H11093" i="5"/>
  <c r="H11085" i="5"/>
  <c r="H11077" i="5"/>
  <c r="H11069" i="5"/>
  <c r="H11061" i="5"/>
  <c r="H11053" i="5"/>
  <c r="H11045" i="5"/>
  <c r="H11037" i="5"/>
  <c r="H11029" i="5"/>
  <c r="H11021" i="5"/>
  <c r="H11013" i="5"/>
  <c r="H11005" i="5"/>
  <c r="H10997" i="5"/>
  <c r="H10989" i="5"/>
  <c r="H10981" i="5"/>
  <c r="H10973" i="5"/>
  <c r="H10965" i="5"/>
  <c r="H10957" i="5"/>
  <c r="H10949" i="5"/>
  <c r="H10941" i="5"/>
  <c r="H10933" i="5"/>
  <c r="H10925" i="5"/>
  <c r="H10917" i="5"/>
  <c r="H10909" i="5"/>
  <c r="H10901" i="5"/>
  <c r="H10893" i="5"/>
  <c r="H10885" i="5"/>
  <c r="H10877" i="5"/>
  <c r="H10869" i="5"/>
  <c r="H10861" i="5"/>
  <c r="H10853" i="5"/>
  <c r="H10845" i="5"/>
  <c r="H10837" i="5"/>
  <c r="H10829" i="5"/>
  <c r="H10821" i="5"/>
  <c r="H10813" i="5"/>
  <c r="H10805" i="5"/>
  <c r="H10797" i="5"/>
  <c r="H10789" i="5"/>
  <c r="H10781" i="5"/>
  <c r="H10773" i="5"/>
  <c r="H10765" i="5"/>
  <c r="H10757" i="5"/>
  <c r="H10749" i="5"/>
  <c r="H10741" i="5"/>
  <c r="H10733" i="5"/>
  <c r="H10725" i="5"/>
  <c r="H10717" i="5"/>
  <c r="H10709" i="5"/>
  <c r="H10701" i="5"/>
  <c r="H10693" i="5"/>
  <c r="H10685" i="5"/>
  <c r="H10677" i="5"/>
  <c r="H10669" i="5"/>
  <c r="H10661" i="5"/>
  <c r="H10653" i="5"/>
  <c r="H10645" i="5"/>
  <c r="H10637" i="5"/>
  <c r="H10629" i="5"/>
  <c r="H10621" i="5"/>
  <c r="H10613" i="5"/>
  <c r="H10605" i="5"/>
  <c r="H10597" i="5"/>
  <c r="H10589" i="5"/>
  <c r="H10581" i="5"/>
  <c r="H10573" i="5"/>
  <c r="H10565" i="5"/>
  <c r="H10557" i="5"/>
  <c r="H10549" i="5"/>
  <c r="H10541" i="5"/>
  <c r="H10533" i="5"/>
  <c r="H10525" i="5"/>
  <c r="H10517" i="5"/>
  <c r="H10509" i="5"/>
  <c r="H10501" i="5"/>
  <c r="H10493" i="5"/>
  <c r="H10485" i="5"/>
  <c r="H10477" i="5"/>
  <c r="H10469" i="5"/>
  <c r="H10461" i="5"/>
  <c r="H10453" i="5"/>
  <c r="H10445" i="5"/>
  <c r="H10437" i="5"/>
  <c r="H10429" i="5"/>
  <c r="H10421" i="5"/>
  <c r="H10413" i="5"/>
  <c r="H10405" i="5"/>
  <c r="H10397" i="5"/>
  <c r="H10389" i="5"/>
  <c r="H10381" i="5"/>
  <c r="H10373" i="5"/>
  <c r="H10365" i="5"/>
  <c r="H10357" i="5"/>
  <c r="H10349" i="5"/>
  <c r="H10341" i="5"/>
  <c r="H10333" i="5"/>
  <c r="H10325" i="5"/>
  <c r="H10317" i="5"/>
  <c r="H10309" i="5"/>
  <c r="H10301" i="5"/>
  <c r="H10293" i="5"/>
  <c r="H10285" i="5"/>
  <c r="H10277" i="5"/>
  <c r="H10269" i="5"/>
  <c r="H10261" i="5"/>
  <c r="H10253" i="5"/>
  <c r="H10245" i="5"/>
  <c r="H10237" i="5"/>
  <c r="H10229" i="5"/>
  <c r="H10221" i="5"/>
  <c r="H10213" i="5"/>
  <c r="H10205" i="5"/>
  <c r="H10197" i="5"/>
  <c r="H10189" i="5"/>
  <c r="H10181" i="5"/>
  <c r="H10173" i="5"/>
  <c r="H10165" i="5"/>
  <c r="H10157" i="5"/>
  <c r="H10149" i="5"/>
  <c r="H10141" i="5"/>
  <c r="H10133" i="5"/>
  <c r="H10125" i="5"/>
  <c r="H10117" i="5"/>
  <c r="H10109" i="5"/>
  <c r="H10101" i="5"/>
  <c r="H10093" i="5"/>
  <c r="H10085" i="5"/>
  <c r="H10077" i="5"/>
  <c r="H10069" i="5"/>
  <c r="H10061" i="5"/>
  <c r="H10053" i="5"/>
  <c r="H10045" i="5"/>
  <c r="H10037" i="5"/>
  <c r="H10029" i="5"/>
  <c r="H10021" i="5"/>
  <c r="H10013" i="5"/>
  <c r="H10005" i="5"/>
  <c r="H9997" i="5"/>
  <c r="H9989" i="5"/>
  <c r="H9981" i="5"/>
  <c r="H9973" i="5"/>
  <c r="H9965" i="5"/>
  <c r="H9957" i="5"/>
  <c r="H9949" i="5"/>
  <c r="H9941" i="5"/>
  <c r="H9933" i="5"/>
  <c r="H9925" i="5"/>
  <c r="H9917" i="5"/>
  <c r="H9909" i="5"/>
  <c r="H9901" i="5"/>
  <c r="H9893" i="5"/>
  <c r="H9885" i="5"/>
  <c r="H9877" i="5"/>
  <c r="H9869" i="5"/>
  <c r="H9861" i="5"/>
  <c r="H9853" i="5"/>
  <c r="H9845" i="5"/>
  <c r="H9837" i="5"/>
  <c r="H9829" i="5"/>
  <c r="H9821" i="5"/>
  <c r="H9813" i="5"/>
  <c r="H9805" i="5"/>
  <c r="H9797" i="5"/>
  <c r="H9789" i="5"/>
  <c r="H9781" i="5"/>
  <c r="H9773" i="5"/>
  <c r="H9765" i="5"/>
  <c r="H9757" i="5"/>
  <c r="H9749" i="5"/>
  <c r="H9741" i="5"/>
  <c r="H9733" i="5"/>
  <c r="H9725" i="5"/>
  <c r="H9717" i="5"/>
  <c r="H9709" i="5"/>
  <c r="H9701" i="5"/>
  <c r="H9693" i="5"/>
  <c r="H9685" i="5"/>
  <c r="H9677" i="5"/>
  <c r="H9669" i="5"/>
  <c r="H9661" i="5"/>
  <c r="H9653" i="5"/>
  <c r="H9645" i="5"/>
  <c r="H9637" i="5"/>
  <c r="H9629" i="5"/>
  <c r="H9621" i="5"/>
  <c r="H9613" i="5"/>
  <c r="H9605" i="5"/>
  <c r="H9597" i="5"/>
  <c r="H9589" i="5"/>
  <c r="H9581" i="5"/>
  <c r="H9573" i="5"/>
  <c r="H9565" i="5"/>
  <c r="H9557" i="5"/>
  <c r="H9549" i="5"/>
  <c r="H9541" i="5"/>
  <c r="H9533" i="5"/>
  <c r="H9525" i="5"/>
  <c r="H9517" i="5"/>
  <c r="H9509" i="5"/>
  <c r="H9501" i="5"/>
  <c r="H9493" i="5"/>
  <c r="H9485" i="5"/>
  <c r="H9477" i="5"/>
  <c r="H9469" i="5"/>
  <c r="H9461" i="5"/>
  <c r="H9453" i="5"/>
  <c r="H9445" i="5"/>
  <c r="H9437" i="5"/>
  <c r="H9429" i="5"/>
  <c r="H9421" i="5"/>
  <c r="H9413" i="5"/>
  <c r="H9405" i="5"/>
  <c r="H9397" i="5"/>
  <c r="H9389" i="5"/>
  <c r="H9381" i="5"/>
  <c r="H9373" i="5"/>
  <c r="H9365" i="5"/>
  <c r="H9357" i="5"/>
  <c r="H9349" i="5"/>
  <c r="H9341" i="5"/>
  <c r="H9333" i="5"/>
  <c r="H9325" i="5"/>
  <c r="H9317" i="5"/>
  <c r="H9309" i="5"/>
  <c r="H9301" i="5"/>
  <c r="H9293" i="5"/>
  <c r="H9285" i="5"/>
  <c r="H9277" i="5"/>
  <c r="H9269" i="5"/>
  <c r="H9261" i="5"/>
  <c r="H9253" i="5"/>
  <c r="H9245" i="5"/>
  <c r="H9237" i="5"/>
  <c r="H9229" i="5"/>
  <c r="H9221" i="5"/>
  <c r="H9213" i="5"/>
  <c r="H9205" i="5"/>
  <c r="H9197" i="5"/>
  <c r="H9189" i="5"/>
  <c r="H9181" i="5"/>
  <c r="H9173" i="5"/>
  <c r="H9165" i="5"/>
  <c r="H9157" i="5"/>
  <c r="H9149" i="5"/>
  <c r="H9141" i="5"/>
  <c r="H9133" i="5"/>
  <c r="H9125" i="5"/>
  <c r="H9117" i="5"/>
  <c r="H9109" i="5"/>
  <c r="H9101" i="5"/>
  <c r="H9093" i="5"/>
  <c r="H9085" i="5"/>
  <c r="H9077" i="5"/>
  <c r="H9069" i="5"/>
  <c r="H9061" i="5"/>
  <c r="H9053" i="5"/>
  <c r="H9045" i="5"/>
  <c r="H9037" i="5"/>
  <c r="H9029" i="5"/>
  <c r="H9021" i="5"/>
  <c r="H9013" i="5"/>
  <c r="H9005" i="5"/>
  <c r="H8997" i="5"/>
  <c r="H8989" i="5"/>
  <c r="H8981" i="5"/>
  <c r="H8973" i="5"/>
  <c r="H8965" i="5"/>
  <c r="H8957" i="5"/>
  <c r="H8949" i="5"/>
  <c r="H8941" i="5"/>
  <c r="H8933" i="5"/>
  <c r="H8925" i="5"/>
  <c r="H8917" i="5"/>
  <c r="H8909" i="5"/>
  <c r="H8901" i="5"/>
  <c r="H8893" i="5"/>
  <c r="H8885" i="5"/>
  <c r="H8877" i="5"/>
  <c r="H8869" i="5"/>
  <c r="H8861" i="5"/>
  <c r="H8853" i="5"/>
  <c r="H8845" i="5"/>
  <c r="H8837" i="5"/>
  <c r="H8829" i="5"/>
  <c r="H8821" i="5"/>
  <c r="H8813" i="5"/>
  <c r="H8805" i="5"/>
  <c r="H8797" i="5"/>
  <c r="H8789" i="5"/>
  <c r="H8781" i="5"/>
  <c r="H8773" i="5"/>
  <c r="H8765" i="5"/>
  <c r="H8757" i="5"/>
  <c r="H8749" i="5"/>
  <c r="H8741" i="5"/>
  <c r="H8733" i="5"/>
  <c r="H8725" i="5"/>
  <c r="H8717" i="5"/>
  <c r="H8709" i="5"/>
  <c r="H8701" i="5"/>
  <c r="H8693" i="5"/>
  <c r="H8685" i="5"/>
  <c r="H8677" i="5"/>
  <c r="H8669" i="5"/>
  <c r="H8661" i="5"/>
  <c r="H8653" i="5"/>
  <c r="H8645" i="5"/>
  <c r="H8637" i="5"/>
  <c r="H8629" i="5"/>
  <c r="H8621" i="5"/>
  <c r="H8613" i="5"/>
  <c r="H8605" i="5"/>
  <c r="H8597" i="5"/>
  <c r="H8589" i="5"/>
  <c r="H8581" i="5"/>
  <c r="H8573" i="5"/>
  <c r="H8565" i="5"/>
  <c r="H8557" i="5"/>
  <c r="H8549" i="5"/>
  <c r="H8541" i="5"/>
  <c r="H8533" i="5"/>
  <c r="H8525" i="5"/>
  <c r="H8517" i="5"/>
  <c r="H8509" i="5"/>
  <c r="H8501" i="5"/>
  <c r="H8493" i="5"/>
  <c r="H8485" i="5"/>
  <c r="H8477" i="5"/>
  <c r="H8469" i="5"/>
  <c r="H8461" i="5"/>
  <c r="H8453" i="5"/>
  <c r="H8445" i="5"/>
  <c r="H8437" i="5"/>
  <c r="H8429" i="5"/>
  <c r="H8421" i="5"/>
  <c r="H8413" i="5"/>
  <c r="H8405" i="5"/>
  <c r="H8397" i="5"/>
  <c r="H8389" i="5"/>
  <c r="H8381" i="5"/>
  <c r="H8373" i="5"/>
  <c r="H8365" i="5"/>
  <c r="H8357" i="5"/>
  <c r="H8349" i="5"/>
  <c r="H8341" i="5"/>
  <c r="H8333" i="5"/>
  <c r="H8325" i="5"/>
  <c r="H8317" i="5"/>
  <c r="H8309" i="5"/>
  <c r="H8301" i="5"/>
  <c r="H8293" i="5"/>
  <c r="H8285" i="5"/>
  <c r="H8277" i="5"/>
  <c r="H8269" i="5"/>
  <c r="H8261" i="5"/>
  <c r="H8253" i="5"/>
  <c r="H8245" i="5"/>
  <c r="H8237" i="5"/>
  <c r="H8229" i="5"/>
  <c r="H8221" i="5"/>
  <c r="H8213" i="5"/>
  <c r="H8205" i="5"/>
  <c r="H8197" i="5"/>
  <c r="H8189" i="5"/>
  <c r="H8181" i="5"/>
  <c r="H8173" i="5"/>
  <c r="H8165" i="5"/>
  <c r="H8157" i="5"/>
  <c r="H8149" i="5"/>
  <c r="H8141" i="5"/>
  <c r="H8133" i="5"/>
  <c r="H8125" i="5"/>
  <c r="H8117" i="5"/>
  <c r="H8109" i="5"/>
  <c r="H8101" i="5"/>
  <c r="H8093" i="5"/>
  <c r="H8085" i="5"/>
  <c r="H8077" i="5"/>
  <c r="H8069" i="5"/>
  <c r="H8061" i="5"/>
  <c r="H8053" i="5"/>
  <c r="H8045" i="5"/>
  <c r="H8037" i="5"/>
  <c r="H8029" i="5"/>
  <c r="H8021" i="5"/>
  <c r="H8013" i="5"/>
  <c r="H8005" i="5"/>
  <c r="H7997" i="5"/>
  <c r="H7989" i="5"/>
  <c r="H7981" i="5"/>
  <c r="H7973" i="5"/>
  <c r="H7965" i="5"/>
  <c r="H7957" i="5"/>
  <c r="H7949" i="5"/>
  <c r="H7941" i="5"/>
  <c r="H7933" i="5"/>
  <c r="H7925" i="5"/>
  <c r="H7917" i="5"/>
  <c r="H7909" i="5"/>
  <c r="H7901" i="5"/>
  <c r="H7893" i="5"/>
  <c r="H7885" i="5"/>
  <c r="H7877" i="5"/>
  <c r="H7869" i="5"/>
  <c r="H7861" i="5"/>
  <c r="H7853" i="5"/>
  <c r="H7845" i="5"/>
  <c r="H7837" i="5"/>
  <c r="H7829" i="5"/>
  <c r="H7821" i="5"/>
  <c r="H7813" i="5"/>
  <c r="H7805" i="5"/>
  <c r="H7797" i="5"/>
  <c r="H7789" i="5"/>
  <c r="H7781" i="5"/>
  <c r="H7773" i="5"/>
  <c r="H7765" i="5"/>
  <c r="H7757" i="5"/>
  <c r="H7749" i="5"/>
  <c r="H7741" i="5"/>
  <c r="H7733" i="5"/>
  <c r="H7725" i="5"/>
  <c r="H7717" i="5"/>
  <c r="H7709" i="5"/>
  <c r="H7701" i="5"/>
  <c r="H7693" i="5"/>
  <c r="H7685" i="5"/>
  <c r="H7677" i="5"/>
  <c r="H7669" i="5"/>
  <c r="H7661" i="5"/>
  <c r="H7653" i="5"/>
  <c r="H7645" i="5"/>
  <c r="H7637" i="5"/>
  <c r="H7629" i="5"/>
  <c r="H7621" i="5"/>
  <c r="H7613" i="5"/>
  <c r="H7605" i="5"/>
  <c r="H7597" i="5"/>
  <c r="H7589" i="5"/>
  <c r="H7581" i="5"/>
  <c r="H7573" i="5"/>
  <c r="H7565" i="5"/>
  <c r="H7557" i="5"/>
  <c r="H7549" i="5"/>
  <c r="H7541" i="5"/>
  <c r="H7533" i="5"/>
  <c r="H7525" i="5"/>
  <c r="H7517" i="5"/>
  <c r="H7509" i="5"/>
  <c r="H7501" i="5"/>
  <c r="H7493" i="5"/>
  <c r="H7485" i="5"/>
  <c r="H7477" i="5"/>
  <c r="H7469" i="5"/>
  <c r="H7461" i="5"/>
  <c r="H7453" i="5"/>
  <c r="H7445" i="5"/>
  <c r="H7437" i="5"/>
  <c r="H7429" i="5"/>
  <c r="H7421" i="5"/>
  <c r="H7413" i="5"/>
  <c r="H7405" i="5"/>
  <c r="H7397" i="5"/>
  <c r="H7389" i="5"/>
  <c r="H7381" i="5"/>
  <c r="H7373" i="5"/>
  <c r="H7365" i="5"/>
  <c r="H7357" i="5"/>
  <c r="H7349" i="5"/>
  <c r="H7341" i="5"/>
  <c r="H7333" i="5"/>
  <c r="H7325" i="5"/>
  <c r="H7317" i="5"/>
  <c r="H7309" i="5"/>
  <c r="H7301" i="5"/>
  <c r="H7293" i="5"/>
  <c r="H7285" i="5"/>
  <c r="H7277" i="5"/>
  <c r="H7269" i="5"/>
  <c r="H7261" i="5"/>
  <c r="H7253" i="5"/>
  <c r="H7245" i="5"/>
  <c r="H7237" i="5"/>
  <c r="H7229" i="5"/>
  <c r="H7221" i="5"/>
  <c r="H7213" i="5"/>
  <c r="H7205" i="5"/>
  <c r="H7197" i="5"/>
  <c r="H7189" i="5"/>
  <c r="H7181" i="5"/>
  <c r="H7173" i="5"/>
  <c r="H7165" i="5"/>
  <c r="H7157" i="5"/>
  <c r="H7149" i="5"/>
  <c r="H7141" i="5"/>
  <c r="H7133" i="5"/>
  <c r="H7125" i="5"/>
  <c r="H7117" i="5"/>
  <c r="H7109" i="5"/>
  <c r="H7101" i="5"/>
  <c r="H7093" i="5"/>
  <c r="H7085" i="5"/>
  <c r="H7077" i="5"/>
  <c r="H7069" i="5"/>
  <c r="H7061" i="5"/>
  <c r="H7053" i="5"/>
  <c r="H7045" i="5"/>
  <c r="H7037" i="5"/>
  <c r="H7029" i="5"/>
  <c r="H7021" i="5"/>
  <c r="H7013" i="5"/>
  <c r="H7005" i="5"/>
  <c r="H6997" i="5"/>
  <c r="H6989" i="5"/>
  <c r="H6981" i="5"/>
  <c r="H6973" i="5"/>
  <c r="H6965" i="5"/>
  <c r="H6957" i="5"/>
  <c r="H6949" i="5"/>
  <c r="H6941" i="5"/>
  <c r="H6933" i="5"/>
  <c r="H6925" i="5"/>
  <c r="H6917" i="5"/>
  <c r="H6909" i="5"/>
  <c r="H6901" i="5"/>
  <c r="H6893" i="5"/>
  <c r="H6885" i="5"/>
  <c r="H6877" i="5"/>
  <c r="H6869" i="5"/>
  <c r="H6861" i="5"/>
  <c r="H6853" i="5"/>
  <c r="H6845" i="5"/>
  <c r="H6837" i="5"/>
  <c r="H6829" i="5"/>
  <c r="H6821" i="5"/>
  <c r="H6813" i="5"/>
  <c r="H6805" i="5"/>
  <c r="H6797" i="5"/>
  <c r="H6789" i="5"/>
  <c r="H6781" i="5"/>
  <c r="H6773" i="5"/>
  <c r="H6765" i="5"/>
  <c r="H6757" i="5"/>
  <c r="H6749" i="5"/>
  <c r="H6741" i="5"/>
  <c r="H6733" i="5"/>
  <c r="H6725" i="5"/>
  <c r="H6717" i="5"/>
  <c r="H6709" i="5"/>
  <c r="H6701" i="5"/>
  <c r="H6693" i="5"/>
  <c r="H6685" i="5"/>
  <c r="H6677" i="5"/>
  <c r="H6669" i="5"/>
  <c r="H6661" i="5"/>
  <c r="H6653" i="5"/>
  <c r="H6645" i="5"/>
  <c r="H6637" i="5"/>
  <c r="H6629" i="5"/>
  <c r="H6621" i="5"/>
  <c r="H6613" i="5"/>
  <c r="H6605" i="5"/>
  <c r="H6597" i="5"/>
  <c r="H6589" i="5"/>
  <c r="H6581" i="5"/>
  <c r="H6573" i="5"/>
  <c r="H6565" i="5"/>
  <c r="H6557" i="5"/>
  <c r="H6549" i="5"/>
  <c r="H6541" i="5"/>
  <c r="H6533" i="5"/>
  <c r="H6525" i="5"/>
  <c r="H6517" i="5"/>
  <c r="H6509" i="5"/>
  <c r="H6501" i="5"/>
  <c r="H6493" i="5"/>
  <c r="H6485" i="5"/>
  <c r="H6477" i="5"/>
  <c r="H6469" i="5"/>
  <c r="H6461" i="5"/>
  <c r="H6453" i="5"/>
  <c r="H6445" i="5"/>
  <c r="H6437" i="5"/>
  <c r="H6429" i="5"/>
  <c r="H6421" i="5"/>
  <c r="H6413" i="5"/>
  <c r="H6405" i="5"/>
  <c r="H6397" i="5"/>
  <c r="H6389" i="5"/>
  <c r="H6381" i="5"/>
  <c r="H6373" i="5"/>
  <c r="H6365" i="5"/>
  <c r="H6357" i="5"/>
  <c r="H6349" i="5"/>
  <c r="H6341" i="5"/>
  <c r="H6333" i="5"/>
  <c r="H6325" i="5"/>
  <c r="H6317" i="5"/>
  <c r="H6309" i="5"/>
  <c r="H6301" i="5"/>
  <c r="H6293" i="5"/>
  <c r="H6285" i="5"/>
  <c r="H6277" i="5"/>
  <c r="H6269" i="5"/>
  <c r="H6261" i="5"/>
  <c r="H6253" i="5"/>
  <c r="H6245" i="5"/>
  <c r="H6237" i="5"/>
  <c r="H6229" i="5"/>
  <c r="H6221" i="5"/>
  <c r="H6213" i="5"/>
  <c r="H6205" i="5"/>
  <c r="H6197" i="5"/>
  <c r="H6189" i="5"/>
  <c r="H6181" i="5"/>
  <c r="H6173" i="5"/>
  <c r="H6165" i="5"/>
  <c r="H6157" i="5"/>
  <c r="H6149" i="5"/>
  <c r="H6141" i="5"/>
  <c r="H6133" i="5"/>
  <c r="H6125" i="5"/>
  <c r="H6117" i="5"/>
  <c r="H6109" i="5"/>
  <c r="H6101" i="5"/>
  <c r="H6093" i="5"/>
  <c r="H6085" i="5"/>
  <c r="H6077" i="5"/>
  <c r="H6069" i="5"/>
  <c r="H6061" i="5"/>
  <c r="H6053" i="5"/>
  <c r="H6045" i="5"/>
  <c r="H6037" i="5"/>
  <c r="H6029" i="5"/>
  <c r="H6021" i="5"/>
  <c r="H6013" i="5"/>
  <c r="H6005" i="5"/>
  <c r="H5997" i="5"/>
  <c r="H5989" i="5"/>
  <c r="H5981" i="5"/>
  <c r="H5973" i="5"/>
  <c r="H5965" i="5"/>
  <c r="H5957" i="5"/>
  <c r="H5949" i="5"/>
  <c r="H5941" i="5"/>
  <c r="H5933" i="5"/>
  <c r="H5925" i="5"/>
  <c r="H5917" i="5"/>
  <c r="H5909" i="5"/>
  <c r="H5901" i="5"/>
  <c r="H5893" i="5"/>
  <c r="H5885" i="5"/>
  <c r="H5877" i="5"/>
  <c r="H5869" i="5"/>
  <c r="H5861" i="5"/>
  <c r="H5853" i="5"/>
  <c r="H5845" i="5"/>
  <c r="H5837" i="5"/>
  <c r="H5829" i="5"/>
  <c r="H5821" i="5"/>
  <c r="H5813" i="5"/>
  <c r="H5805" i="5"/>
  <c r="H5797" i="5"/>
  <c r="H5789" i="5"/>
  <c r="H5781" i="5"/>
  <c r="H5773" i="5"/>
  <c r="H5765" i="5"/>
  <c r="H5757" i="5"/>
  <c r="H5749" i="5"/>
  <c r="H5741" i="5"/>
  <c r="H5733" i="5"/>
  <c r="H5725" i="5"/>
  <c r="H5717" i="5"/>
  <c r="H5709" i="5"/>
  <c r="H5701" i="5"/>
  <c r="H5693" i="5"/>
  <c r="H5685" i="5"/>
  <c r="H5677" i="5"/>
  <c r="H5669" i="5"/>
  <c r="H5661" i="5"/>
  <c r="H5653" i="5"/>
  <c r="H5645" i="5"/>
  <c r="H5637" i="5"/>
  <c r="H5629" i="5"/>
  <c r="H5621" i="5"/>
  <c r="H5613" i="5"/>
  <c r="H5605" i="5"/>
  <c r="H5597" i="5"/>
  <c r="H5589" i="5"/>
  <c r="H5581" i="5"/>
  <c r="H5573" i="5"/>
  <c r="H5565" i="5"/>
  <c r="H5557" i="5"/>
  <c r="H5549" i="5"/>
  <c r="H5541" i="5"/>
  <c r="H5533" i="5"/>
  <c r="H5525" i="5"/>
  <c r="H5517" i="5"/>
  <c r="H5509" i="5"/>
  <c r="H5501" i="5"/>
  <c r="H5493" i="5"/>
  <c r="H5485" i="5"/>
  <c r="H5477" i="5"/>
  <c r="H5469" i="5"/>
  <c r="H5461" i="5"/>
  <c r="H5453" i="5"/>
  <c r="H5445" i="5"/>
  <c r="H5437" i="5"/>
  <c r="H5429" i="5"/>
  <c r="H5421" i="5"/>
  <c r="H5413" i="5"/>
  <c r="H5405" i="5"/>
  <c r="H5397" i="5"/>
  <c r="H5389" i="5"/>
  <c r="H5381" i="5"/>
  <c r="H5373" i="5"/>
  <c r="H5365" i="5"/>
  <c r="H5357" i="5"/>
  <c r="H5349" i="5"/>
  <c r="H5341" i="5"/>
  <c r="H5333" i="5"/>
  <c r="H5325" i="5"/>
  <c r="H5317" i="5"/>
  <c r="H5309" i="5"/>
  <c r="H5301" i="5"/>
  <c r="H5293" i="5"/>
  <c r="H5285" i="5"/>
  <c r="H5277" i="5"/>
  <c r="H5269" i="5"/>
  <c r="H5261" i="5"/>
  <c r="H5253" i="5"/>
  <c r="H5245" i="5"/>
  <c r="H5237" i="5"/>
  <c r="H5229" i="5"/>
  <c r="H5221" i="5"/>
  <c r="H5213" i="5"/>
  <c r="H5205" i="5"/>
  <c r="H5197" i="5"/>
  <c r="H5189" i="5"/>
  <c r="H5181" i="5"/>
  <c r="H5173" i="5"/>
  <c r="H5165" i="5"/>
  <c r="H5157" i="5"/>
  <c r="H5149" i="5"/>
  <c r="H5141" i="5"/>
  <c r="H5133" i="5"/>
  <c r="H5125" i="5"/>
  <c r="H5117" i="5"/>
  <c r="H5109" i="5"/>
  <c r="H5101" i="5"/>
  <c r="H5093" i="5"/>
  <c r="H5085" i="5"/>
  <c r="H5077" i="5"/>
  <c r="H5069" i="5"/>
  <c r="H5061" i="5"/>
  <c r="H5053" i="5"/>
  <c r="H5045" i="5"/>
  <c r="H5037" i="5"/>
  <c r="H5029" i="5"/>
  <c r="H5021" i="5"/>
  <c r="H5013" i="5"/>
  <c r="H5005" i="5"/>
  <c r="H4997" i="5"/>
  <c r="H4989" i="5"/>
  <c r="H4981" i="5"/>
  <c r="H4973" i="5"/>
  <c r="H4965" i="5"/>
  <c r="H4957" i="5"/>
  <c r="H4949" i="5"/>
  <c r="H4941" i="5"/>
  <c r="H4933" i="5"/>
  <c r="H4925" i="5"/>
  <c r="H4917" i="5"/>
  <c r="H4909" i="5"/>
  <c r="H4901" i="5"/>
  <c r="H4893" i="5"/>
  <c r="H4885" i="5"/>
  <c r="H4877" i="5"/>
  <c r="H4869" i="5"/>
  <c r="H4861" i="5"/>
  <c r="H4853" i="5"/>
  <c r="H4845" i="5"/>
  <c r="H4837" i="5"/>
  <c r="H4829" i="5"/>
  <c r="H4821" i="5"/>
  <c r="H4813" i="5"/>
  <c r="H4805" i="5"/>
  <c r="H4797" i="5"/>
  <c r="H4789" i="5"/>
  <c r="H4781" i="5"/>
  <c r="H4773" i="5"/>
  <c r="H4765" i="5"/>
  <c r="H4757" i="5"/>
  <c r="H4749" i="5"/>
  <c r="H4741" i="5"/>
  <c r="H4733" i="5"/>
  <c r="H4725" i="5"/>
  <c r="H4717" i="5"/>
  <c r="H4709" i="5"/>
  <c r="H4701" i="5"/>
  <c r="H4693" i="5"/>
  <c r="H4685" i="5"/>
  <c r="H4677" i="5"/>
  <c r="H4669" i="5"/>
  <c r="H4661" i="5"/>
  <c r="H4653" i="5"/>
  <c r="H4645" i="5"/>
  <c r="H4637" i="5"/>
  <c r="H4629" i="5"/>
  <c r="H4621" i="5"/>
  <c r="H4613" i="5"/>
  <c r="H4605" i="5"/>
  <c r="H4597" i="5"/>
  <c r="H4589" i="5"/>
  <c r="H4581" i="5"/>
  <c r="H4573" i="5"/>
  <c r="H4565" i="5"/>
  <c r="H4557" i="5"/>
  <c r="H4549" i="5"/>
  <c r="H4541" i="5"/>
  <c r="H4533" i="5"/>
  <c r="H4525" i="5"/>
  <c r="H4517" i="5"/>
  <c r="H4509" i="5"/>
  <c r="H4501" i="5"/>
  <c r="H4493" i="5"/>
  <c r="H4485" i="5"/>
  <c r="H4477" i="5"/>
  <c r="H4469" i="5"/>
  <c r="H4461" i="5"/>
  <c r="H4453" i="5"/>
  <c r="H4445" i="5"/>
  <c r="H4437" i="5"/>
  <c r="H4429" i="5"/>
  <c r="H4421" i="5"/>
  <c r="H4413" i="5"/>
  <c r="H4405" i="5"/>
  <c r="H4397" i="5"/>
  <c r="H4389" i="5"/>
  <c r="H4381" i="5"/>
  <c r="H4373" i="5"/>
  <c r="H4365" i="5"/>
  <c r="H4357" i="5"/>
  <c r="H4349" i="5"/>
  <c r="H4341" i="5"/>
  <c r="H4333" i="5"/>
  <c r="H4325" i="5"/>
  <c r="H4317" i="5"/>
  <c r="H4309" i="5"/>
  <c r="H4301" i="5"/>
  <c r="H4293" i="5"/>
  <c r="H4285" i="5"/>
  <c r="H4277" i="5"/>
  <c r="H4269" i="5"/>
  <c r="H4261" i="5"/>
  <c r="H4253" i="5"/>
  <c r="H4245" i="5"/>
  <c r="H4237" i="5"/>
  <c r="H4229" i="5"/>
  <c r="H4221" i="5"/>
  <c r="H4213" i="5"/>
  <c r="H4205" i="5"/>
  <c r="H4197" i="5"/>
  <c r="H4189" i="5"/>
  <c r="H4181" i="5"/>
  <c r="H4173" i="5"/>
  <c r="H4165" i="5"/>
  <c r="H4157" i="5"/>
  <c r="H4149" i="5"/>
  <c r="H4141" i="5"/>
  <c r="H4133" i="5"/>
  <c r="H4125" i="5"/>
  <c r="H4117" i="5"/>
  <c r="H4109" i="5"/>
  <c r="H4101" i="5"/>
  <c r="H4093" i="5"/>
  <c r="H4085" i="5"/>
  <c r="H4077" i="5"/>
  <c r="H4069" i="5"/>
  <c r="H4061" i="5"/>
  <c r="H4053" i="5"/>
  <c r="H4045" i="5"/>
  <c r="H4037" i="5"/>
  <c r="H4029" i="5"/>
  <c r="H4021" i="5"/>
  <c r="H4013" i="5"/>
  <c r="H4005" i="5"/>
  <c r="H3997" i="5"/>
  <c r="H3989" i="5"/>
  <c r="H3981" i="5"/>
  <c r="H3973" i="5"/>
  <c r="H3965" i="5"/>
  <c r="H3957" i="5"/>
  <c r="H3949" i="5"/>
  <c r="H3941" i="5"/>
  <c r="H3933" i="5"/>
  <c r="H3925" i="5"/>
  <c r="H3917" i="5"/>
  <c r="H3909" i="5"/>
  <c r="H3901" i="5"/>
  <c r="H3893" i="5"/>
  <c r="H3885" i="5"/>
  <c r="H3877" i="5"/>
  <c r="H3869" i="5"/>
  <c r="H3861" i="5"/>
  <c r="H3853" i="5"/>
  <c r="H3845" i="5"/>
  <c r="H3837" i="5"/>
  <c r="H3829" i="5"/>
  <c r="H3821" i="5"/>
  <c r="H3813" i="5"/>
  <c r="H3805" i="5"/>
  <c r="H3797" i="5"/>
  <c r="H3789" i="5"/>
  <c r="H3781" i="5"/>
  <c r="H3773" i="5"/>
  <c r="H3765" i="5"/>
  <c r="H3757" i="5"/>
  <c r="H3749" i="5"/>
  <c r="H3741" i="5"/>
  <c r="H3733" i="5"/>
  <c r="H3725" i="5"/>
  <c r="H3717" i="5"/>
  <c r="H3709" i="5"/>
  <c r="H3701" i="5"/>
  <c r="H3693" i="5"/>
  <c r="H3685" i="5"/>
  <c r="H3677" i="5"/>
  <c r="H3669" i="5"/>
  <c r="H3661" i="5"/>
  <c r="H3653" i="5"/>
  <c r="H3645" i="5"/>
  <c r="H3637" i="5"/>
  <c r="H3629" i="5"/>
  <c r="H3621" i="5"/>
  <c r="H3613" i="5"/>
  <c r="H3605" i="5"/>
  <c r="H3597" i="5"/>
  <c r="H3589" i="5"/>
  <c r="H3581" i="5"/>
  <c r="H3573" i="5"/>
  <c r="H3565" i="5"/>
  <c r="H3557" i="5"/>
  <c r="H3549" i="5"/>
  <c r="H3541" i="5"/>
  <c r="H3533" i="5"/>
  <c r="H3525" i="5"/>
  <c r="H3517" i="5"/>
  <c r="H3509" i="5"/>
  <c r="H3501" i="5"/>
  <c r="H3493" i="5"/>
  <c r="H3485" i="5"/>
  <c r="H3477" i="5"/>
  <c r="H3469" i="5"/>
  <c r="H3461" i="5"/>
  <c r="H3453" i="5"/>
  <c r="H3445" i="5"/>
  <c r="H3437" i="5"/>
  <c r="H3429" i="5"/>
  <c r="H3421" i="5"/>
  <c r="H3413" i="5"/>
  <c r="H3405" i="5"/>
  <c r="H3397" i="5"/>
  <c r="H3389" i="5"/>
  <c r="H3381" i="5"/>
  <c r="H3373" i="5"/>
  <c r="H3365" i="5"/>
  <c r="H3357" i="5"/>
  <c r="H3349" i="5"/>
  <c r="H3341" i="5"/>
  <c r="H3333" i="5"/>
  <c r="H3325" i="5"/>
  <c r="H3317" i="5"/>
  <c r="H3309" i="5"/>
  <c r="H3301" i="5"/>
  <c r="H3293" i="5"/>
  <c r="H3285" i="5"/>
  <c r="H3277" i="5"/>
  <c r="H3269" i="5"/>
  <c r="H3261" i="5"/>
  <c r="H3253" i="5"/>
  <c r="H3245" i="5"/>
  <c r="H3237" i="5"/>
  <c r="H3229" i="5"/>
  <c r="H3221" i="5"/>
  <c r="H3213" i="5"/>
  <c r="H3205" i="5"/>
  <c r="H3197" i="5"/>
  <c r="H3189" i="5"/>
  <c r="H3181" i="5"/>
  <c r="H3173" i="5"/>
  <c r="H3165" i="5"/>
  <c r="H3157" i="5"/>
  <c r="H3149" i="5"/>
  <c r="H3141" i="5"/>
  <c r="H3133" i="5"/>
  <c r="H3125" i="5"/>
  <c r="H3117" i="5"/>
  <c r="H3109" i="5"/>
  <c r="H3101" i="5"/>
  <c r="H3093" i="5"/>
  <c r="H3085" i="5"/>
  <c r="H3077" i="5"/>
  <c r="H3069" i="5"/>
  <c r="H3061" i="5"/>
  <c r="H3053" i="5"/>
  <c r="H3045" i="5"/>
  <c r="H3037" i="5"/>
  <c r="H3029" i="5"/>
  <c r="H3021" i="5"/>
  <c r="H3013" i="5"/>
  <c r="H3005" i="5"/>
  <c r="H2997" i="5"/>
  <c r="H2989" i="5"/>
  <c r="H2981" i="5"/>
  <c r="H2973" i="5"/>
  <c r="H2965" i="5"/>
  <c r="H2957" i="5"/>
  <c r="H2949" i="5"/>
  <c r="H2941" i="5"/>
  <c r="H2933" i="5"/>
  <c r="H2925" i="5"/>
  <c r="H2917" i="5"/>
  <c r="H2909" i="5"/>
  <c r="H2901" i="5"/>
  <c r="H2893" i="5"/>
  <c r="H2885" i="5"/>
  <c r="H2877" i="5"/>
  <c r="H2869" i="5"/>
  <c r="H2861" i="5"/>
  <c r="H2853" i="5"/>
  <c r="H2845" i="5"/>
  <c r="H2837" i="5"/>
  <c r="H2829" i="5"/>
  <c r="H2821" i="5"/>
  <c r="H2813" i="5"/>
  <c r="H2805" i="5"/>
  <c r="H2797" i="5"/>
  <c r="H2789" i="5"/>
  <c r="H2781" i="5"/>
  <c r="H2773" i="5"/>
  <c r="H2765" i="5"/>
  <c r="H2757" i="5"/>
  <c r="H2749" i="5"/>
  <c r="H2741" i="5"/>
  <c r="H2733" i="5"/>
  <c r="H2725" i="5"/>
  <c r="H2717" i="5"/>
  <c r="H2709" i="5"/>
  <c r="H2701" i="5"/>
  <c r="H2693" i="5"/>
  <c r="H2685" i="5"/>
  <c r="H2677" i="5"/>
  <c r="H2669" i="5"/>
  <c r="H2661" i="5"/>
  <c r="H2653" i="5"/>
  <c r="H2645" i="5"/>
  <c r="H2637" i="5"/>
  <c r="H2629" i="5"/>
  <c r="H2621" i="5"/>
  <c r="H2613" i="5"/>
  <c r="H2605" i="5"/>
  <c r="H2597" i="5"/>
  <c r="H2589" i="5"/>
  <c r="H2581" i="5"/>
  <c r="H2573" i="5"/>
  <c r="H2565" i="5"/>
  <c r="H2557" i="5"/>
  <c r="H2549" i="5"/>
  <c r="H2541" i="5"/>
  <c r="H2533" i="5"/>
  <c r="H2525" i="5"/>
  <c r="H2517" i="5"/>
  <c r="H2509" i="5"/>
  <c r="H2501" i="5"/>
  <c r="H2493" i="5"/>
  <c r="H2485" i="5"/>
  <c r="H2477" i="5"/>
  <c r="H2469" i="5"/>
  <c r="H2461" i="5"/>
  <c r="H2453" i="5"/>
  <c r="H2445" i="5"/>
  <c r="H2437" i="5"/>
  <c r="H2429" i="5"/>
  <c r="H2421" i="5"/>
  <c r="H2413" i="5"/>
  <c r="H2405" i="5"/>
  <c r="H2397" i="5"/>
  <c r="H2389" i="5"/>
  <c r="H2381" i="5"/>
  <c r="H2373" i="5"/>
  <c r="H2365" i="5"/>
  <c r="H2357" i="5"/>
  <c r="H2349" i="5"/>
  <c r="H2341" i="5"/>
  <c r="H2333" i="5"/>
  <c r="H2325" i="5"/>
  <c r="H2317" i="5"/>
  <c r="H2309" i="5"/>
  <c r="H2301" i="5"/>
  <c r="H2293" i="5"/>
  <c r="H2285" i="5"/>
  <c r="H2277" i="5"/>
  <c r="H2269" i="5"/>
  <c r="H2261" i="5"/>
  <c r="H2253" i="5"/>
  <c r="H2245" i="5"/>
  <c r="H2237" i="5"/>
  <c r="H2229" i="5"/>
  <c r="H2221" i="5"/>
  <c r="H2213" i="5"/>
  <c r="H2205" i="5"/>
  <c r="H2197" i="5"/>
  <c r="H2189" i="5"/>
  <c r="H2181" i="5"/>
  <c r="H2173" i="5"/>
  <c r="H2165" i="5"/>
  <c r="H2157" i="5"/>
  <c r="H2149" i="5"/>
  <c r="H2141" i="5"/>
  <c r="H2133" i="5"/>
  <c r="H2125" i="5"/>
  <c r="H2117" i="5"/>
  <c r="H2109" i="5"/>
  <c r="H2101" i="5"/>
  <c r="H2093" i="5"/>
  <c r="H2085" i="5"/>
  <c r="H2077" i="5"/>
  <c r="H2069" i="5"/>
  <c r="H2061" i="5"/>
  <c r="H2053" i="5"/>
  <c r="H2045" i="5"/>
  <c r="H2037" i="5"/>
  <c r="H2029" i="5"/>
  <c r="H2021" i="5"/>
  <c r="H2013" i="5"/>
  <c r="H2005" i="5"/>
  <c r="H1997" i="5"/>
  <c r="H1989" i="5"/>
  <c r="H1981" i="5"/>
  <c r="H1973" i="5"/>
  <c r="H1965" i="5"/>
  <c r="H1957" i="5"/>
  <c r="H1949" i="5"/>
  <c r="H1941" i="5"/>
  <c r="H1933" i="5"/>
  <c r="H1925" i="5"/>
  <c r="H1917" i="5"/>
  <c r="H1909" i="5"/>
  <c r="H1901" i="5"/>
  <c r="H1893" i="5"/>
  <c r="H1885" i="5"/>
  <c r="H1877" i="5"/>
  <c r="H1869" i="5"/>
  <c r="H1861" i="5"/>
  <c r="H1853" i="5"/>
  <c r="H1845" i="5"/>
  <c r="H1837" i="5"/>
  <c r="H1829" i="5"/>
  <c r="H1821" i="5"/>
  <c r="H1813" i="5"/>
  <c r="H1805" i="5"/>
  <c r="H1797" i="5"/>
  <c r="H1789" i="5"/>
  <c r="H1781" i="5"/>
  <c r="H1773" i="5"/>
  <c r="H1765" i="5"/>
  <c r="H1757" i="5"/>
  <c r="H1749" i="5"/>
  <c r="H1741" i="5"/>
  <c r="H1733" i="5"/>
  <c r="H1725" i="5"/>
  <c r="H1717" i="5"/>
  <c r="H1709" i="5"/>
  <c r="H1701" i="5"/>
  <c r="H1693" i="5"/>
  <c r="H1685" i="5"/>
  <c r="H1677" i="5"/>
  <c r="H1669" i="5"/>
  <c r="H1661" i="5"/>
  <c r="H1653" i="5"/>
  <c r="H1645" i="5"/>
  <c r="H1637" i="5"/>
  <c r="H1629" i="5"/>
  <c r="H1621" i="5"/>
  <c r="H1613" i="5"/>
  <c r="H1605" i="5"/>
  <c r="H1597" i="5"/>
  <c r="H1589" i="5"/>
  <c r="H1581" i="5"/>
  <c r="H1573" i="5"/>
  <c r="H1565" i="5"/>
  <c r="H1557" i="5"/>
  <c r="H1549" i="5"/>
  <c r="H1541" i="5"/>
  <c r="H1533" i="5"/>
  <c r="H1525" i="5"/>
  <c r="H1517" i="5"/>
  <c r="H1509" i="5"/>
  <c r="H1501" i="5"/>
  <c r="H1493" i="5"/>
  <c r="H1485" i="5"/>
  <c r="H1477" i="5"/>
  <c r="H1469" i="5"/>
  <c r="H1461" i="5"/>
  <c r="H1453" i="5"/>
  <c r="H1445" i="5"/>
  <c r="H1437" i="5"/>
  <c r="H1429" i="5"/>
  <c r="H1421" i="5"/>
  <c r="H1413" i="5"/>
  <c r="H1405" i="5"/>
  <c r="H1397" i="5"/>
  <c r="H1389" i="5"/>
  <c r="H1381" i="5"/>
  <c r="H1373" i="5"/>
  <c r="H1365" i="5"/>
  <c r="H1357" i="5"/>
  <c r="H1349" i="5"/>
  <c r="H1341" i="5"/>
  <c r="H1333" i="5"/>
  <c r="H1325" i="5"/>
  <c r="H1317" i="5"/>
  <c r="H1309" i="5"/>
  <c r="H1301" i="5"/>
  <c r="H1293" i="5"/>
  <c r="H1285" i="5"/>
  <c r="H1277" i="5"/>
  <c r="H1269" i="5"/>
  <c r="H1261" i="5"/>
  <c r="H1253" i="5"/>
  <c r="H1245" i="5"/>
  <c r="H1237" i="5"/>
  <c r="H1229" i="5"/>
  <c r="H1221" i="5"/>
  <c r="H1213" i="5"/>
  <c r="H1205" i="5"/>
  <c r="H1197" i="5"/>
  <c r="H1189" i="5"/>
  <c r="H1181" i="5"/>
  <c r="H1173" i="5"/>
  <c r="H1165" i="5"/>
  <c r="H1157" i="5"/>
  <c r="H1149" i="5"/>
  <c r="H1141" i="5"/>
  <c r="H1133" i="5"/>
  <c r="H1125" i="5"/>
  <c r="H1117" i="5"/>
  <c r="H1109" i="5"/>
  <c r="H1101" i="5"/>
  <c r="H1093" i="5"/>
  <c r="H1085" i="5"/>
  <c r="H1077" i="5"/>
  <c r="H1069" i="5"/>
  <c r="H1061" i="5"/>
  <c r="H1053" i="5"/>
  <c r="H1045" i="5"/>
  <c r="H1037" i="5"/>
  <c r="H1029" i="5"/>
  <c r="H1021" i="5"/>
  <c r="H1013" i="5"/>
  <c r="H1005" i="5"/>
  <c r="H997" i="5"/>
  <c r="H989" i="5"/>
  <c r="H981" i="5"/>
  <c r="H973" i="5"/>
  <c r="H965" i="5"/>
  <c r="H957" i="5"/>
  <c r="H949" i="5"/>
  <c r="H941" i="5"/>
  <c r="H933" i="5"/>
  <c r="H925" i="5"/>
  <c r="H917" i="5"/>
  <c r="H909" i="5"/>
  <c r="H901" i="5"/>
  <c r="H893" i="5"/>
  <c r="H885" i="5"/>
  <c r="H877" i="5"/>
  <c r="H869" i="5"/>
  <c r="H861" i="5"/>
  <c r="H853" i="5"/>
  <c r="H845" i="5"/>
  <c r="H837" i="5"/>
  <c r="H829" i="5"/>
  <c r="H821" i="5"/>
  <c r="H813" i="5"/>
  <c r="H805" i="5"/>
  <c r="H797" i="5"/>
  <c r="H789" i="5"/>
  <c r="H781" i="5"/>
  <c r="H773" i="5"/>
  <c r="H765" i="5"/>
  <c r="H757" i="5"/>
  <c r="H749" i="5"/>
  <c r="H741" i="5"/>
  <c r="H733" i="5"/>
  <c r="H725" i="5"/>
  <c r="H717" i="5"/>
  <c r="H709" i="5"/>
  <c r="H701" i="5"/>
  <c r="H693" i="5"/>
  <c r="H685" i="5"/>
  <c r="H677" i="5"/>
  <c r="H669" i="5"/>
  <c r="H661" i="5"/>
  <c r="H653" i="5"/>
  <c r="H645" i="5"/>
  <c r="H637" i="5"/>
  <c r="H629" i="5"/>
  <c r="H621" i="5"/>
  <c r="H613" i="5"/>
  <c r="H605" i="5"/>
  <c r="H597" i="5"/>
  <c r="H589" i="5"/>
  <c r="H581" i="5"/>
  <c r="H573" i="5"/>
  <c r="H565" i="5"/>
  <c r="H557" i="5"/>
  <c r="H549" i="5"/>
  <c r="H541" i="5"/>
  <c r="H533" i="5"/>
  <c r="H525" i="5"/>
  <c r="H517" i="5"/>
  <c r="H509" i="5"/>
  <c r="H501" i="5"/>
  <c r="H493" i="5"/>
  <c r="H485" i="5"/>
  <c r="H477" i="5"/>
  <c r="H469" i="5"/>
  <c r="H461" i="5"/>
  <c r="H453" i="5"/>
  <c r="H445" i="5"/>
  <c r="H437" i="5"/>
  <c r="H429" i="5"/>
  <c r="H421" i="5"/>
  <c r="H413" i="5"/>
  <c r="H405" i="5"/>
  <c r="H397" i="5"/>
  <c r="H389" i="5"/>
  <c r="H381" i="5"/>
  <c r="H373" i="5"/>
  <c r="H365" i="5"/>
  <c r="H357" i="5"/>
  <c r="H349" i="5"/>
  <c r="H341" i="5"/>
  <c r="H333" i="5"/>
  <c r="H325" i="5"/>
  <c r="H317" i="5"/>
  <c r="H309" i="5"/>
  <c r="H301" i="5"/>
  <c r="H293" i="5"/>
  <c r="H285" i="5"/>
  <c r="H277" i="5"/>
  <c r="H269" i="5"/>
  <c r="H261" i="5"/>
  <c r="H253" i="5"/>
  <c r="H245" i="5"/>
  <c r="H237" i="5"/>
  <c r="H229" i="5"/>
  <c r="H221" i="5"/>
  <c r="H213" i="5"/>
  <c r="H205" i="5"/>
  <c r="H197" i="5"/>
  <c r="H189" i="5"/>
  <c r="H181" i="5"/>
  <c r="H173" i="5"/>
  <c r="H165" i="5"/>
  <c r="H157" i="5"/>
  <c r="H149" i="5"/>
  <c r="H141" i="5"/>
  <c r="H133" i="5"/>
  <c r="H125" i="5"/>
  <c r="H117" i="5"/>
  <c r="H40020" i="5"/>
  <c r="H37830" i="5"/>
  <c r="H36129" i="5"/>
  <c r="H35111" i="5"/>
  <c r="H34628" i="5"/>
  <c r="H34357" i="5"/>
  <c r="H34101" i="5"/>
  <c r="H33845" i="5"/>
  <c r="H33589" i="5"/>
  <c r="H33333" i="5"/>
  <c r="H33077" i="5"/>
  <c r="H32821" i="5"/>
  <c r="H32565" i="5"/>
  <c r="H32309" i="5"/>
  <c r="H32053" i="5"/>
  <c r="H31797" i="5"/>
  <c r="H31541" i="5"/>
  <c r="H31285" i="5"/>
  <c r="H31029" i="5"/>
  <c r="H30773" i="5"/>
  <c r="H30517" i="5"/>
  <c r="H30261" i="5"/>
  <c r="H30005" i="5"/>
  <c r="H29749" i="5"/>
  <c r="H29493" i="5"/>
  <c r="H29270" i="5"/>
  <c r="H29142" i="5"/>
  <c r="H29014" i="5"/>
  <c r="H28886" i="5"/>
  <c r="H28758" i="5"/>
  <c r="H28630" i="5"/>
  <c r="H28502" i="5"/>
  <c r="H28374" i="5"/>
  <c r="H28246" i="5"/>
  <c r="H28118" i="5"/>
  <c r="H27990" i="5"/>
  <c r="H27862" i="5"/>
  <c r="H27734" i="5"/>
  <c r="H27606" i="5"/>
  <c r="H27478" i="5"/>
  <c r="H27381" i="5"/>
  <c r="H27294" i="5"/>
  <c r="H27208" i="5"/>
  <c r="H27125" i="5"/>
  <c r="H27060" i="5"/>
  <c r="H26996" i="5"/>
  <c r="H26932" i="5"/>
  <c r="H26868" i="5"/>
  <c r="H26804" i="5"/>
  <c r="H26740" i="5"/>
  <c r="H26676" i="5"/>
  <c r="H26612" i="5"/>
  <c r="H26548" i="5"/>
  <c r="H26484" i="5"/>
  <c r="H26420" i="5"/>
  <c r="H26356" i="5"/>
  <c r="H26292" i="5"/>
  <c r="H26228" i="5"/>
  <c r="H26164" i="5"/>
  <c r="H26100" i="5"/>
  <c r="H26036" i="5"/>
  <c r="H25972" i="5"/>
  <c r="H25908" i="5"/>
  <c r="H25844" i="5"/>
  <c r="H25780" i="5"/>
  <c r="H25716" i="5"/>
  <c r="H25652" i="5"/>
  <c r="H25588" i="5"/>
  <c r="H25525" i="5"/>
  <c r="H25475" i="5"/>
  <c r="H25422" i="5"/>
  <c r="H25372" i="5"/>
  <c r="H25320" i="5"/>
  <c r="H25269" i="5"/>
  <c r="H25219" i="5"/>
  <c r="H25166" i="5"/>
  <c r="H25116" i="5"/>
  <c r="H25064" i="5"/>
  <c r="H25013" i="5"/>
  <c r="H24965" i="5"/>
  <c r="H24928" i="5"/>
  <c r="H24896" i="5"/>
  <c r="H24864" i="5"/>
  <c r="H24832" i="5"/>
  <c r="H24800" i="5"/>
  <c r="H24768" i="5"/>
  <c r="H24736" i="5"/>
  <c r="H24704" i="5"/>
  <c r="H24672" i="5"/>
  <c r="H24640" i="5"/>
  <c r="H24608" i="5"/>
  <c r="H24576" i="5"/>
  <c r="H24544" i="5"/>
  <c r="H24512" i="5"/>
  <c r="H24480" i="5"/>
  <c r="H24448" i="5"/>
  <c r="H24416" i="5"/>
  <c r="H24384" i="5"/>
  <c r="H24352" i="5"/>
  <c r="H24320" i="5"/>
  <c r="H24288" i="5"/>
  <c r="H24256" i="5"/>
  <c r="H24224" i="5"/>
  <c r="H24192" i="5"/>
  <c r="H24160" i="5"/>
  <c r="H24128" i="5"/>
  <c r="H24096" i="5"/>
  <c r="H24064" i="5"/>
  <c r="H24032" i="5"/>
  <c r="H24000" i="5"/>
  <c r="H23968" i="5"/>
  <c r="H23936" i="5"/>
  <c r="H23904" i="5"/>
  <c r="H23872" i="5"/>
  <c r="H23840" i="5"/>
  <c r="H23808" i="5"/>
  <c r="H23776" i="5"/>
  <c r="H23744" i="5"/>
  <c r="H23712" i="5"/>
  <c r="H23680" i="5"/>
  <c r="H23648" i="5"/>
  <c r="H23616" i="5"/>
  <c r="H23584" i="5"/>
  <c r="H23552" i="5"/>
  <c r="H23520" i="5"/>
  <c r="H23488" i="5"/>
  <c r="H23456" i="5"/>
  <c r="H23424" i="5"/>
  <c r="H23392" i="5"/>
  <c r="H23360" i="5"/>
  <c r="H23328" i="5"/>
  <c r="H23296" i="5"/>
  <c r="H23264" i="5"/>
  <c r="H23232" i="5"/>
  <c r="H23200" i="5"/>
  <c r="H23168" i="5"/>
  <c r="H23136" i="5"/>
  <c r="H23104" i="5"/>
  <c r="H23072" i="5"/>
  <c r="H23040" i="5"/>
  <c r="H23008" i="5"/>
  <c r="H22976" i="5"/>
  <c r="H22944" i="5"/>
  <c r="H22912" i="5"/>
  <c r="H22880" i="5"/>
  <c r="H22848" i="5"/>
  <c r="H22816" i="5"/>
  <c r="H22784" i="5"/>
  <c r="H22752" i="5"/>
  <c r="H22720" i="5"/>
  <c r="H22688" i="5"/>
  <c r="H22656" i="5"/>
  <c r="H22624" i="5"/>
  <c r="H22592" i="5"/>
  <c r="H22560" i="5"/>
  <c r="H22528" i="5"/>
  <c r="H22496" i="5"/>
  <c r="H22464" i="5"/>
  <c r="H22432" i="5"/>
  <c r="H22400" i="5"/>
  <c r="H22368" i="5"/>
  <c r="H22336" i="5"/>
  <c r="H22304" i="5"/>
  <c r="H22272" i="5"/>
  <c r="H22240" i="5"/>
  <c r="H22208" i="5"/>
  <c r="H22176" i="5"/>
  <c r="H22144" i="5"/>
  <c r="H22112" i="5"/>
  <c r="H22080" i="5"/>
  <c r="H22048" i="5"/>
  <c r="H22016" i="5"/>
  <c r="H21984" i="5"/>
  <c r="H21952" i="5"/>
  <c r="H21920" i="5"/>
  <c r="H21888" i="5"/>
  <c r="H21856" i="5"/>
  <c r="H21824" i="5"/>
  <c r="H21792" i="5"/>
  <c r="H21760" i="5"/>
  <c r="H21728" i="5"/>
  <c r="H21696" i="5"/>
  <c r="H21664" i="5"/>
  <c r="H21632" i="5"/>
  <c r="H21600" i="5"/>
  <c r="H21568" i="5"/>
  <c r="H21536" i="5"/>
  <c r="H21504" i="5"/>
  <c r="H21472" i="5"/>
  <c r="H21440" i="5"/>
  <c r="H21408" i="5"/>
  <c r="H21376" i="5"/>
  <c r="H21344" i="5"/>
  <c r="H21312" i="5"/>
  <c r="H21280" i="5"/>
  <c r="H21248" i="5"/>
  <c r="H21216" i="5"/>
  <c r="H21184" i="5"/>
  <c r="H21152" i="5"/>
  <c r="H21120" i="5"/>
  <c r="H21088" i="5"/>
  <c r="H21056" i="5"/>
  <c r="H21024" i="5"/>
  <c r="H20992" i="5"/>
  <c r="H20960" i="5"/>
  <c r="H20928" i="5"/>
  <c r="H20896" i="5"/>
  <c r="H20864" i="5"/>
  <c r="H20832" i="5"/>
  <c r="H20800" i="5"/>
  <c r="H20768" i="5"/>
  <c r="H20736" i="5"/>
  <c r="H20704" i="5"/>
  <c r="H20672" i="5"/>
  <c r="H20640" i="5"/>
  <c r="H20608" i="5"/>
  <c r="H20576" i="5"/>
  <c r="H20544" i="5"/>
  <c r="H20512" i="5"/>
  <c r="H20480" i="5"/>
  <c r="H20448" i="5"/>
  <c r="H20416" i="5"/>
  <c r="H20384" i="5"/>
  <c r="H20352" i="5"/>
  <c r="H20320" i="5"/>
  <c r="H20288" i="5"/>
  <c r="H20256" i="5"/>
  <c r="H20224" i="5"/>
  <c r="H20192" i="5"/>
  <c r="H20160" i="5"/>
  <c r="H20128" i="5"/>
  <c r="H20096" i="5"/>
  <c r="H20064" i="5"/>
  <c r="H20032" i="5"/>
  <c r="H20000" i="5"/>
  <c r="H19968" i="5"/>
  <c r="H19936" i="5"/>
  <c r="H19904" i="5"/>
  <c r="H19872" i="5"/>
  <c r="H19840" i="5"/>
  <c r="H19808" i="5"/>
  <c r="H19776" i="5"/>
  <c r="H19744" i="5"/>
  <c r="H19712" i="5"/>
  <c r="H19680" i="5"/>
  <c r="H19648" i="5"/>
  <c r="H19616" i="5"/>
  <c r="H19584" i="5"/>
  <c r="H19552" i="5"/>
  <c r="H19520" i="5"/>
  <c r="H19488" i="5"/>
  <c r="H19456" i="5"/>
  <c r="H19424" i="5"/>
  <c r="H19392" i="5"/>
  <c r="H19360" i="5"/>
  <c r="H19328" i="5"/>
  <c r="H19296" i="5"/>
  <c r="H19264" i="5"/>
  <c r="H19232" i="5"/>
  <c r="H19200" i="5"/>
  <c r="H19168" i="5"/>
  <c r="H19136" i="5"/>
  <c r="H19104" i="5"/>
  <c r="H19072" i="5"/>
  <c r="H19040" i="5"/>
  <c r="H19008" i="5"/>
  <c r="H18976" i="5"/>
  <c r="H18944" i="5"/>
  <c r="H18912" i="5"/>
  <c r="H18880" i="5"/>
  <c r="H18848" i="5"/>
  <c r="H18816" i="5"/>
  <c r="H18784" i="5"/>
  <c r="H18752" i="5"/>
  <c r="H18720" i="5"/>
  <c r="H18688" i="5"/>
  <c r="H18656" i="5"/>
  <c r="H18624" i="5"/>
  <c r="H18592" i="5"/>
  <c r="H18560" i="5"/>
  <c r="H18528" i="5"/>
  <c r="H18496" i="5"/>
  <c r="H18464" i="5"/>
  <c r="H18432" i="5"/>
  <c r="H18400" i="5"/>
  <c r="H18368" i="5"/>
  <c r="H18336" i="5"/>
  <c r="H18304" i="5"/>
  <c r="H18272" i="5"/>
  <c r="H18240" i="5"/>
  <c r="H18208" i="5"/>
  <c r="H18176" i="5"/>
  <c r="H18144" i="5"/>
  <c r="H18112" i="5"/>
  <c r="H18080" i="5"/>
  <c r="H18048" i="5"/>
  <c r="H18016" i="5"/>
  <c r="H17984" i="5"/>
  <c r="H17952" i="5"/>
  <c r="H17920" i="5"/>
  <c r="H17888" i="5"/>
  <c r="H17856" i="5"/>
  <c r="H17824" i="5"/>
  <c r="H17792" i="5"/>
  <c r="H17760" i="5"/>
  <c r="H17728" i="5"/>
  <c r="H17696" i="5"/>
  <c r="H17664" i="5"/>
  <c r="H17632" i="5"/>
  <c r="H17600" i="5"/>
  <c r="H17568" i="5"/>
  <c r="H17536" i="5"/>
  <c r="H17504" i="5"/>
  <c r="H17476" i="5"/>
  <c r="H17455" i="5"/>
  <c r="H17432" i="5"/>
  <c r="H17412" i="5"/>
  <c r="H17391" i="5"/>
  <c r="H17368" i="5"/>
  <c r="H17348" i="5"/>
  <c r="H17328" i="5"/>
  <c r="H17312" i="5"/>
  <c r="H17296" i="5"/>
  <c r="H17280" i="5"/>
  <c r="H17264" i="5"/>
  <c r="H17248" i="5"/>
  <c r="H17232" i="5"/>
  <c r="H17216" i="5"/>
  <c r="H17200" i="5"/>
  <c r="H17184" i="5"/>
  <c r="H17168" i="5"/>
  <c r="H17152" i="5"/>
  <c r="H17136" i="5"/>
  <c r="H17120" i="5"/>
  <c r="H17104" i="5"/>
  <c r="H17088" i="5"/>
  <c r="H17072" i="5"/>
  <c r="H17056" i="5"/>
  <c r="H17040" i="5"/>
  <c r="H17024" i="5"/>
  <c r="H17008" i="5"/>
  <c r="H16992" i="5"/>
  <c r="H16976" i="5"/>
  <c r="H16960" i="5"/>
  <c r="H16944" i="5"/>
  <c r="H16928" i="5"/>
  <c r="H16912" i="5"/>
  <c r="H16896" i="5"/>
  <c r="H16880" i="5"/>
  <c r="H16864" i="5"/>
  <c r="H16848" i="5"/>
  <c r="H16832" i="5"/>
  <c r="H16816" i="5"/>
  <c r="H16800" i="5"/>
  <c r="H16784" i="5"/>
  <c r="H16768" i="5"/>
  <c r="H16752" i="5"/>
  <c r="H16736" i="5"/>
  <c r="H16720" i="5"/>
  <c r="H16704" i="5"/>
  <c r="H16688" i="5"/>
  <c r="H16672" i="5"/>
  <c r="H16656" i="5"/>
  <c r="H16640" i="5"/>
  <c r="H16624" i="5"/>
  <c r="H16608" i="5"/>
  <c r="H16596" i="5"/>
  <c r="H16586" i="5"/>
  <c r="H16577" i="5"/>
  <c r="H16568" i="5"/>
  <c r="H16559" i="5"/>
  <c r="H16550" i="5"/>
  <c r="H16541" i="5"/>
  <c r="H16532" i="5"/>
  <c r="H16524" i="5"/>
  <c r="H16516" i="5"/>
  <c r="H16508" i="5"/>
  <c r="H16500" i="5"/>
  <c r="H16492" i="5"/>
  <c r="H16484" i="5"/>
  <c r="H16476" i="5"/>
  <c r="H16468" i="5"/>
  <c r="H16460" i="5"/>
  <c r="H16452" i="5"/>
  <c r="H16444" i="5"/>
  <c r="H16436" i="5"/>
  <c r="H16428" i="5"/>
  <c r="H16420" i="5"/>
  <c r="H16412" i="5"/>
  <c r="H16404" i="5"/>
  <c r="H16396" i="5"/>
  <c r="H16388" i="5"/>
  <c r="H16380" i="5"/>
  <c r="H16372" i="5"/>
  <c r="H16364" i="5"/>
  <c r="H16356" i="5"/>
  <c r="H16348" i="5"/>
  <c r="H16340" i="5"/>
  <c r="H16332" i="5"/>
  <c r="H16324" i="5"/>
  <c r="H16316" i="5"/>
  <c r="H16308" i="5"/>
  <c r="H16300" i="5"/>
  <c r="H16292" i="5"/>
  <c r="H16284" i="5"/>
  <c r="H16276" i="5"/>
  <c r="H16268" i="5"/>
  <c r="H16260" i="5"/>
  <c r="H16252" i="5"/>
  <c r="H16244" i="5"/>
  <c r="H16236" i="5"/>
  <c r="H16228" i="5"/>
  <c r="H16220" i="5"/>
  <c r="H16212" i="5"/>
  <c r="H16204" i="5"/>
  <c r="H16196" i="5"/>
  <c r="H16188" i="5"/>
  <c r="H16180" i="5"/>
  <c r="H16172" i="5"/>
  <c r="H16164" i="5"/>
  <c r="H16156" i="5"/>
  <c r="H16148" i="5"/>
  <c r="H16140" i="5"/>
  <c r="H16132" i="5"/>
  <c r="H16124" i="5"/>
  <c r="H16116" i="5"/>
  <c r="H16108" i="5"/>
  <c r="H16100" i="5"/>
  <c r="H16092" i="5"/>
  <c r="H16084" i="5"/>
  <c r="H16076" i="5"/>
  <c r="H16068" i="5"/>
  <c r="H16060" i="5"/>
  <c r="H16052" i="5"/>
  <c r="H16044" i="5"/>
  <c r="H16036" i="5"/>
  <c r="H16028" i="5"/>
  <c r="H16020" i="5"/>
  <c r="H16012" i="5"/>
  <c r="H16004" i="5"/>
  <c r="H15996" i="5"/>
  <c r="H15988" i="5"/>
  <c r="H15980" i="5"/>
  <c r="H15972" i="5"/>
  <c r="H15964" i="5"/>
  <c r="H15956" i="5"/>
  <c r="H15948" i="5"/>
  <c r="H15940" i="5"/>
  <c r="H15932" i="5"/>
  <c r="H15924" i="5"/>
  <c r="H15916" i="5"/>
  <c r="H15908" i="5"/>
  <c r="H15900" i="5"/>
  <c r="H15892" i="5"/>
  <c r="H15884" i="5"/>
  <c r="H15876" i="5"/>
  <c r="H15868" i="5"/>
  <c r="H15860" i="5"/>
  <c r="H15852" i="5"/>
  <c r="H15844" i="5"/>
  <c r="H15836" i="5"/>
  <c r="H15828" i="5"/>
  <c r="H15820" i="5"/>
  <c r="H15812" i="5"/>
  <c r="H15804" i="5"/>
  <c r="H15796" i="5"/>
  <c r="H15788" i="5"/>
  <c r="H15780" i="5"/>
  <c r="H15772" i="5"/>
  <c r="H15764" i="5"/>
  <c r="H15756" i="5"/>
  <c r="H15748" i="5"/>
  <c r="H15740" i="5"/>
  <c r="H15732" i="5"/>
  <c r="H15724" i="5"/>
  <c r="H15716" i="5"/>
  <c r="H15708" i="5"/>
  <c r="H15700" i="5"/>
  <c r="H15692" i="5"/>
  <c r="H15684" i="5"/>
  <c r="H15676" i="5"/>
  <c r="H15668" i="5"/>
  <c r="H15660" i="5"/>
  <c r="H15652" i="5"/>
  <c r="H15644" i="5"/>
  <c r="H15636" i="5"/>
  <c r="H15628" i="5"/>
  <c r="H15620" i="5"/>
  <c r="H15612" i="5"/>
  <c r="H15604" i="5"/>
  <c r="H15596" i="5"/>
  <c r="H15588" i="5"/>
  <c r="H15580" i="5"/>
  <c r="H15572" i="5"/>
  <c r="H15564" i="5"/>
  <c r="H15556" i="5"/>
  <c r="H15548" i="5"/>
  <c r="H15540" i="5"/>
  <c r="H15532" i="5"/>
  <c r="H15524" i="5"/>
  <c r="H15516" i="5"/>
  <c r="H15508" i="5"/>
  <c r="H15500" i="5"/>
  <c r="H15492" i="5"/>
  <c r="H15484" i="5"/>
  <c r="H15476" i="5"/>
  <c r="H15468" i="5"/>
  <c r="H15460" i="5"/>
  <c r="H15452" i="5"/>
  <c r="H15444" i="5"/>
  <c r="H15436" i="5"/>
  <c r="H15428" i="5"/>
  <c r="H15420" i="5"/>
  <c r="H15412" i="5"/>
  <c r="H15404" i="5"/>
  <c r="H15396" i="5"/>
  <c r="H15388" i="5"/>
  <c r="H15380" i="5"/>
  <c r="H15372" i="5"/>
  <c r="H15364" i="5"/>
  <c r="H15356" i="5"/>
  <c r="H15348" i="5"/>
  <c r="H15340" i="5"/>
  <c r="H15332" i="5"/>
  <c r="H15324" i="5"/>
  <c r="H15316" i="5"/>
  <c r="H15308" i="5"/>
  <c r="H15300" i="5"/>
  <c r="H15292" i="5"/>
  <c r="H15284" i="5"/>
  <c r="H15276" i="5"/>
  <c r="H15268" i="5"/>
  <c r="H15260" i="5"/>
  <c r="H15252" i="5"/>
  <c r="H15244" i="5"/>
  <c r="H15236" i="5"/>
  <c r="H15228" i="5"/>
  <c r="H15220" i="5"/>
  <c r="H15212" i="5"/>
  <c r="H15204" i="5"/>
  <c r="H15196" i="5"/>
  <c r="H15188" i="5"/>
  <c r="H15180" i="5"/>
  <c r="H15172" i="5"/>
  <c r="H15164" i="5"/>
  <c r="H15156" i="5"/>
  <c r="H15148" i="5"/>
  <c r="H15140" i="5"/>
  <c r="H15132" i="5"/>
  <c r="H15124" i="5"/>
  <c r="H15116" i="5"/>
  <c r="H15108" i="5"/>
  <c r="H15100" i="5"/>
  <c r="H15092" i="5"/>
  <c r="H15084" i="5"/>
  <c r="H15076" i="5"/>
  <c r="H15068" i="5"/>
  <c r="H15060" i="5"/>
  <c r="H15052" i="5"/>
  <c r="H15044" i="5"/>
  <c r="H15036" i="5"/>
  <c r="H15028" i="5"/>
  <c r="H15020" i="5"/>
  <c r="H15012" i="5"/>
  <c r="H15004" i="5"/>
  <c r="H14996" i="5"/>
  <c r="H14988" i="5"/>
  <c r="H14980" i="5"/>
  <c r="H14972" i="5"/>
  <c r="H14964" i="5"/>
  <c r="H14956" i="5"/>
  <c r="H14948" i="5"/>
  <c r="H14940" i="5"/>
  <c r="H14932" i="5"/>
  <c r="H14924" i="5"/>
  <c r="H14916" i="5"/>
  <c r="H14908" i="5"/>
  <c r="H14900" i="5"/>
  <c r="H14892" i="5"/>
  <c r="H14884" i="5"/>
  <c r="H14876" i="5"/>
  <c r="H14868" i="5"/>
  <c r="H14860" i="5"/>
  <c r="H14852" i="5"/>
  <c r="H14844" i="5"/>
  <c r="H14836" i="5"/>
  <c r="H14828" i="5"/>
  <c r="H14820" i="5"/>
  <c r="H14812" i="5"/>
  <c r="H14804" i="5"/>
  <c r="H14796" i="5"/>
  <c r="H14788" i="5"/>
  <c r="H14780" i="5"/>
  <c r="H14772" i="5"/>
  <c r="H14764" i="5"/>
  <c r="H14756" i="5"/>
  <c r="H14748" i="5"/>
  <c r="H14740" i="5"/>
  <c r="H14732" i="5"/>
  <c r="H14724" i="5"/>
  <c r="H14716" i="5"/>
  <c r="H14708" i="5"/>
  <c r="H14700" i="5"/>
  <c r="H14692" i="5"/>
  <c r="H14684" i="5"/>
  <c r="H14676" i="5"/>
  <c r="H14668" i="5"/>
  <c r="H14660" i="5"/>
  <c r="H14652" i="5"/>
  <c r="H14644" i="5"/>
  <c r="H14636" i="5"/>
  <c r="H14628" i="5"/>
  <c r="H14620" i="5"/>
  <c r="H14612" i="5"/>
  <c r="H14604" i="5"/>
  <c r="H14596" i="5"/>
  <c r="H14588" i="5"/>
  <c r="H14580" i="5"/>
  <c r="H14572" i="5"/>
  <c r="H14564" i="5"/>
  <c r="H14556" i="5"/>
  <c r="H14548" i="5"/>
  <c r="H14540" i="5"/>
  <c r="H14532" i="5"/>
  <c r="H14524" i="5"/>
  <c r="H14516" i="5"/>
  <c r="H14508" i="5"/>
  <c r="H14500" i="5"/>
  <c r="H14492" i="5"/>
  <c r="H14484" i="5"/>
  <c r="H14476" i="5"/>
  <c r="H14468" i="5"/>
  <c r="H14460" i="5"/>
  <c r="H14452" i="5"/>
  <c r="H14444" i="5"/>
  <c r="H14436" i="5"/>
  <c r="H14428" i="5"/>
  <c r="H14420" i="5"/>
  <c r="H14412" i="5"/>
  <c r="H14404" i="5"/>
  <c r="H14396" i="5"/>
  <c r="H14388" i="5"/>
  <c r="H14380" i="5"/>
  <c r="H14372" i="5"/>
  <c r="H14364" i="5"/>
  <c r="H14356" i="5"/>
  <c r="H14348" i="5"/>
  <c r="H14340" i="5"/>
  <c r="H14332" i="5"/>
  <c r="H14324" i="5"/>
  <c r="H14316" i="5"/>
  <c r="H14308" i="5"/>
  <c r="H14300" i="5"/>
  <c r="H14292" i="5"/>
  <c r="H14284" i="5"/>
  <c r="H14276" i="5"/>
  <c r="H14268" i="5"/>
  <c r="H14260" i="5"/>
  <c r="H14252" i="5"/>
  <c r="H14244" i="5"/>
  <c r="H14236" i="5"/>
  <c r="H14228" i="5"/>
  <c r="H14220" i="5"/>
  <c r="H14212" i="5"/>
  <c r="H14204" i="5"/>
  <c r="H14196" i="5"/>
  <c r="H14188" i="5"/>
  <c r="H14180" i="5"/>
  <c r="H14172" i="5"/>
  <c r="H14164" i="5"/>
  <c r="H14156" i="5"/>
  <c r="H14148" i="5"/>
  <c r="H14140" i="5"/>
  <c r="H14132" i="5"/>
  <c r="H14124" i="5"/>
  <c r="H14116" i="5"/>
  <c r="H14108" i="5"/>
  <c r="H14100" i="5"/>
  <c r="H14092" i="5"/>
  <c r="H14084" i="5"/>
  <c r="H14076" i="5"/>
  <c r="H14068" i="5"/>
  <c r="H14060" i="5"/>
  <c r="H14052" i="5"/>
  <c r="H14044" i="5"/>
  <c r="H14036" i="5"/>
  <c r="H14028" i="5"/>
  <c r="H14020" i="5"/>
  <c r="H14012" i="5"/>
  <c r="H14004" i="5"/>
  <c r="H13996" i="5"/>
  <c r="H13988" i="5"/>
  <c r="H13980" i="5"/>
  <c r="H13972" i="5"/>
  <c r="H13964" i="5"/>
  <c r="H13956" i="5"/>
  <c r="H13948" i="5"/>
  <c r="H13940" i="5"/>
  <c r="H13932" i="5"/>
  <c r="H13924" i="5"/>
  <c r="H13916" i="5"/>
  <c r="H13908" i="5"/>
  <c r="H13900" i="5"/>
  <c r="H13892" i="5"/>
  <c r="H13884" i="5"/>
  <c r="H13876" i="5"/>
  <c r="H13868" i="5"/>
  <c r="H13860" i="5"/>
  <c r="H13852" i="5"/>
  <c r="H13844" i="5"/>
  <c r="H13836" i="5"/>
  <c r="H13828" i="5"/>
  <c r="H13820" i="5"/>
  <c r="H13812" i="5"/>
  <c r="H13804" i="5"/>
  <c r="H13796" i="5"/>
  <c r="H13788" i="5"/>
  <c r="H13780" i="5"/>
  <c r="H13772" i="5"/>
  <c r="H13764" i="5"/>
  <c r="H13756" i="5"/>
  <c r="H13748" i="5"/>
  <c r="H13740" i="5"/>
  <c r="H13732" i="5"/>
  <c r="H13724" i="5"/>
  <c r="H13716" i="5"/>
  <c r="H13708" i="5"/>
  <c r="H13700" i="5"/>
  <c r="H13692" i="5"/>
  <c r="H13684" i="5"/>
  <c r="H13676" i="5"/>
  <c r="H13668" i="5"/>
  <c r="H13660" i="5"/>
  <c r="H13652" i="5"/>
  <c r="H13644" i="5"/>
  <c r="H13636" i="5"/>
  <c r="H13628" i="5"/>
  <c r="H13620" i="5"/>
  <c r="H13612" i="5"/>
  <c r="H13604" i="5"/>
  <c r="H13596" i="5"/>
  <c r="H13588" i="5"/>
  <c r="H13580" i="5"/>
  <c r="H13572" i="5"/>
  <c r="H13564" i="5"/>
  <c r="H13556" i="5"/>
  <c r="H13548" i="5"/>
  <c r="H13540" i="5"/>
  <c r="H13532" i="5"/>
  <c r="H13524" i="5"/>
  <c r="H13516" i="5"/>
  <c r="H13508" i="5"/>
  <c r="H13500" i="5"/>
  <c r="H13492" i="5"/>
  <c r="H13484" i="5"/>
  <c r="H13476" i="5"/>
  <c r="H13468" i="5"/>
  <c r="H13460" i="5"/>
  <c r="H13452" i="5"/>
  <c r="H13444" i="5"/>
  <c r="H13436" i="5"/>
  <c r="H13428" i="5"/>
  <c r="H13420" i="5"/>
  <c r="H13412" i="5"/>
  <c r="H13404" i="5"/>
  <c r="H13396" i="5"/>
  <c r="H13388" i="5"/>
  <c r="H13380" i="5"/>
  <c r="H13372" i="5"/>
  <c r="H13364" i="5"/>
  <c r="H13356" i="5"/>
  <c r="H13348" i="5"/>
  <c r="H13340" i="5"/>
  <c r="H13332" i="5"/>
  <c r="H13324" i="5"/>
  <c r="H13316" i="5"/>
  <c r="H13308" i="5"/>
  <c r="H13300" i="5"/>
  <c r="H13292" i="5"/>
  <c r="H13284" i="5"/>
  <c r="H13276" i="5"/>
  <c r="H13268" i="5"/>
  <c r="H13260" i="5"/>
  <c r="H13252" i="5"/>
  <c r="H13244" i="5"/>
  <c r="H13236" i="5"/>
  <c r="H13228" i="5"/>
  <c r="H13220" i="5"/>
  <c r="H13212" i="5"/>
  <c r="H13204" i="5"/>
  <c r="H13196" i="5"/>
  <c r="H13188" i="5"/>
  <c r="H13180" i="5"/>
  <c r="H13172" i="5"/>
  <c r="H13164" i="5"/>
  <c r="H13156" i="5"/>
  <c r="H13148" i="5"/>
  <c r="H13140" i="5"/>
  <c r="H13132" i="5"/>
  <c r="H13124" i="5"/>
  <c r="H13116" i="5"/>
  <c r="H13108" i="5"/>
  <c r="H13100" i="5"/>
  <c r="H13092" i="5"/>
  <c r="H13084" i="5"/>
  <c r="H13076" i="5"/>
  <c r="H13068" i="5"/>
  <c r="H13060" i="5"/>
  <c r="H13052" i="5"/>
  <c r="H13044" i="5"/>
  <c r="H13036" i="5"/>
  <c r="H13028" i="5"/>
  <c r="H13020" i="5"/>
  <c r="H13012" i="5"/>
  <c r="H13004" i="5"/>
  <c r="H12996" i="5"/>
  <c r="H12988" i="5"/>
  <c r="H12980" i="5"/>
  <c r="H12972" i="5"/>
  <c r="H12964" i="5"/>
  <c r="H12956" i="5"/>
  <c r="H12948" i="5"/>
  <c r="H12940" i="5"/>
  <c r="H12932" i="5"/>
  <c r="H12924" i="5"/>
  <c r="H12916" i="5"/>
  <c r="H12908" i="5"/>
  <c r="H12900" i="5"/>
  <c r="H12892" i="5"/>
  <c r="H12884" i="5"/>
  <c r="H12876" i="5"/>
  <c r="H12868" i="5"/>
  <c r="H12860" i="5"/>
  <c r="H12852" i="5"/>
  <c r="H12844" i="5"/>
  <c r="H12836" i="5"/>
  <c r="H12828" i="5"/>
  <c r="H12820" i="5"/>
  <c r="H12812" i="5"/>
  <c r="H12804" i="5"/>
  <c r="H12796" i="5"/>
  <c r="H12788" i="5"/>
  <c r="H12780" i="5"/>
  <c r="H12772" i="5"/>
  <c r="H12764" i="5"/>
  <c r="H12756" i="5"/>
  <c r="H12748" i="5"/>
  <c r="H12740" i="5"/>
  <c r="H12732" i="5"/>
  <c r="H12724" i="5"/>
  <c r="H12716" i="5"/>
  <c r="H12708" i="5"/>
  <c r="H12700" i="5"/>
  <c r="H12692" i="5"/>
  <c r="H12684" i="5"/>
  <c r="H12676" i="5"/>
  <c r="H12668" i="5"/>
  <c r="H12660" i="5"/>
  <c r="H12652" i="5"/>
  <c r="H12644" i="5"/>
  <c r="H12636" i="5"/>
  <c r="H12628" i="5"/>
  <c r="H12620" i="5"/>
  <c r="H12612" i="5"/>
  <c r="H12604" i="5"/>
  <c r="H12596" i="5"/>
  <c r="H12588" i="5"/>
  <c r="H12580" i="5"/>
  <c r="H12572" i="5"/>
  <c r="H12564" i="5"/>
  <c r="H12556" i="5"/>
  <c r="H12548" i="5"/>
  <c r="H12540" i="5"/>
  <c r="H12532" i="5"/>
  <c r="H12524" i="5"/>
  <c r="H12516" i="5"/>
  <c r="H12508" i="5"/>
  <c r="H12500" i="5"/>
  <c r="H12492" i="5"/>
  <c r="H12484" i="5"/>
  <c r="H12476" i="5"/>
  <c r="H12468" i="5"/>
  <c r="H12460" i="5"/>
  <c r="H12452" i="5"/>
  <c r="H12444" i="5"/>
  <c r="H12436" i="5"/>
  <c r="H12428" i="5"/>
  <c r="H12420" i="5"/>
  <c r="H12412" i="5"/>
  <c r="H12404" i="5"/>
  <c r="H12396" i="5"/>
  <c r="H12388" i="5"/>
  <c r="H12380" i="5"/>
  <c r="H12372" i="5"/>
  <c r="H12364" i="5"/>
  <c r="H12356" i="5"/>
  <c r="H12348" i="5"/>
  <c r="H12340" i="5"/>
  <c r="H12332" i="5"/>
  <c r="H12324" i="5"/>
  <c r="H12316" i="5"/>
  <c r="H12308" i="5"/>
  <c r="H12300" i="5"/>
  <c r="H12292" i="5"/>
  <c r="H12284" i="5"/>
  <c r="H12276" i="5"/>
  <c r="H12268" i="5"/>
  <c r="H12260" i="5"/>
  <c r="H12252" i="5"/>
  <c r="H12244" i="5"/>
  <c r="H12236" i="5"/>
  <c r="H12228" i="5"/>
  <c r="H12220" i="5"/>
  <c r="H12212" i="5"/>
  <c r="H12204" i="5"/>
  <c r="H12196" i="5"/>
  <c r="H12188" i="5"/>
  <c r="H12180" i="5"/>
  <c r="H12172" i="5"/>
  <c r="H12164" i="5"/>
  <c r="H12156" i="5"/>
  <c r="H12148" i="5"/>
  <c r="H12140" i="5"/>
  <c r="H12132" i="5"/>
  <c r="H12124" i="5"/>
  <c r="H12116" i="5"/>
  <c r="H12108" i="5"/>
  <c r="H12100" i="5"/>
  <c r="H12092" i="5"/>
  <c r="H12084" i="5"/>
  <c r="H12076" i="5"/>
  <c r="H12068" i="5"/>
  <c r="H12060" i="5"/>
  <c r="H12052" i="5"/>
  <c r="H12044" i="5"/>
  <c r="H12036" i="5"/>
  <c r="H12028" i="5"/>
  <c r="H12020" i="5"/>
  <c r="H12012" i="5"/>
  <c r="H12004" i="5"/>
  <c r="H11996" i="5"/>
  <c r="H11988" i="5"/>
  <c r="H11980" i="5"/>
  <c r="H11972" i="5"/>
  <c r="H11964" i="5"/>
  <c r="H11956" i="5"/>
  <c r="H11948" i="5"/>
  <c r="H11940" i="5"/>
  <c r="H11932" i="5"/>
  <c r="H11924" i="5"/>
  <c r="H11916" i="5"/>
  <c r="H11908" i="5"/>
  <c r="H11900" i="5"/>
  <c r="H11892" i="5"/>
  <c r="H11884" i="5"/>
  <c r="H11876" i="5"/>
  <c r="H11868" i="5"/>
  <c r="H11860" i="5"/>
  <c r="H11852" i="5"/>
  <c r="H11844" i="5"/>
  <c r="H11836" i="5"/>
  <c r="H11828" i="5"/>
  <c r="H11820" i="5"/>
  <c r="H11812" i="5"/>
  <c r="H11804" i="5"/>
  <c r="H11796" i="5"/>
  <c r="H11788" i="5"/>
  <c r="H11780" i="5"/>
  <c r="H11772" i="5"/>
  <c r="H11764" i="5"/>
  <c r="H11756" i="5"/>
  <c r="H11748" i="5"/>
  <c r="H11740" i="5"/>
  <c r="H11732" i="5"/>
  <c r="H11724" i="5"/>
  <c r="H11716" i="5"/>
  <c r="H11708" i="5"/>
  <c r="H11700" i="5"/>
  <c r="H11692" i="5"/>
  <c r="H11684" i="5"/>
  <c r="H11676" i="5"/>
  <c r="H11668" i="5"/>
  <c r="H11660" i="5"/>
  <c r="H11652" i="5"/>
  <c r="H11644" i="5"/>
  <c r="H11636" i="5"/>
  <c r="H11628" i="5"/>
  <c r="H11620" i="5"/>
  <c r="H11612" i="5"/>
  <c r="H11604" i="5"/>
  <c r="H11596" i="5"/>
  <c r="H11588" i="5"/>
  <c r="H11580" i="5"/>
  <c r="H11572" i="5"/>
  <c r="H11564" i="5"/>
  <c r="H11556" i="5"/>
  <c r="H11548" i="5"/>
  <c r="H11540" i="5"/>
  <c r="H11532" i="5"/>
  <c r="H11524" i="5"/>
  <c r="H11516" i="5"/>
  <c r="H11508" i="5"/>
  <c r="H11500" i="5"/>
  <c r="H11492" i="5"/>
  <c r="H11484" i="5"/>
  <c r="H11476" i="5"/>
  <c r="H11468" i="5"/>
  <c r="H11460" i="5"/>
  <c r="H11452" i="5"/>
  <c r="H11444" i="5"/>
  <c r="H11436" i="5"/>
  <c r="H11428" i="5"/>
  <c r="H11420" i="5"/>
  <c r="H11412" i="5"/>
  <c r="H11404" i="5"/>
  <c r="H11396" i="5"/>
  <c r="H11388" i="5"/>
  <c r="H11380" i="5"/>
  <c r="H11372" i="5"/>
  <c r="H11364" i="5"/>
  <c r="H11356" i="5"/>
  <c r="H11348" i="5"/>
  <c r="H11340" i="5"/>
  <c r="H11332" i="5"/>
  <c r="H11324" i="5"/>
  <c r="H11316" i="5"/>
  <c r="H11308" i="5"/>
  <c r="H11300" i="5"/>
  <c r="H11292" i="5"/>
  <c r="H11284" i="5"/>
  <c r="H11276" i="5"/>
  <c r="H11268" i="5"/>
  <c r="H11260" i="5"/>
  <c r="H11252" i="5"/>
  <c r="H11244" i="5"/>
  <c r="H11236" i="5"/>
  <c r="H11228" i="5"/>
  <c r="H11220" i="5"/>
  <c r="H11212" i="5"/>
  <c r="H11204" i="5"/>
  <c r="H11196" i="5"/>
  <c r="H11188" i="5"/>
  <c r="H11180" i="5"/>
  <c r="H11172" i="5"/>
  <c r="H11164" i="5"/>
  <c r="H11156" i="5"/>
  <c r="H11148" i="5"/>
  <c r="H11140" i="5"/>
  <c r="H11132" i="5"/>
  <c r="H11124" i="5"/>
  <c r="H11116" i="5"/>
  <c r="H11108" i="5"/>
  <c r="H11100" i="5"/>
  <c r="H11092" i="5"/>
  <c r="H11084" i="5"/>
  <c r="H11076" i="5"/>
  <c r="H11068" i="5"/>
  <c r="H11060" i="5"/>
  <c r="H11052" i="5"/>
  <c r="H11044" i="5"/>
  <c r="H11036" i="5"/>
  <c r="H11028" i="5"/>
  <c r="H11020" i="5"/>
  <c r="H11012" i="5"/>
  <c r="H11004" i="5"/>
  <c r="H10996" i="5"/>
  <c r="H10988" i="5"/>
  <c r="H10980" i="5"/>
  <c r="H10972" i="5"/>
  <c r="H10964" i="5"/>
  <c r="H10956" i="5"/>
  <c r="H10948" i="5"/>
  <c r="H10940" i="5"/>
  <c r="H10932" i="5"/>
  <c r="H10924" i="5"/>
  <c r="H10916" i="5"/>
  <c r="H10908" i="5"/>
  <c r="H10900" i="5"/>
  <c r="H10892" i="5"/>
  <c r="H10884" i="5"/>
  <c r="H10876" i="5"/>
  <c r="H10868" i="5"/>
  <c r="H10860" i="5"/>
  <c r="H10852" i="5"/>
  <c r="H10844" i="5"/>
  <c r="H10836" i="5"/>
  <c r="H10828" i="5"/>
  <c r="H10820" i="5"/>
  <c r="H10812" i="5"/>
  <c r="H10804" i="5"/>
  <c r="H10796" i="5"/>
  <c r="H10788" i="5"/>
  <c r="H10780" i="5"/>
  <c r="H10772" i="5"/>
  <c r="H10764" i="5"/>
  <c r="H10756" i="5"/>
  <c r="H10748" i="5"/>
  <c r="H10740" i="5"/>
  <c r="H10732" i="5"/>
  <c r="H10724" i="5"/>
  <c r="H10716" i="5"/>
  <c r="H10708" i="5"/>
  <c r="H10700" i="5"/>
  <c r="H10692" i="5"/>
  <c r="H10684" i="5"/>
  <c r="H10676" i="5"/>
  <c r="H10668" i="5"/>
  <c r="H10660" i="5"/>
  <c r="H10652" i="5"/>
  <c r="H10644" i="5"/>
  <c r="H10636" i="5"/>
  <c r="H10628" i="5"/>
  <c r="H10620" i="5"/>
  <c r="H10612" i="5"/>
  <c r="H10604" i="5"/>
  <c r="H10596" i="5"/>
  <c r="H10588" i="5"/>
  <c r="H10580" i="5"/>
  <c r="H10572" i="5"/>
  <c r="H10564" i="5"/>
  <c r="H10556" i="5"/>
  <c r="H10548" i="5"/>
  <c r="H10540" i="5"/>
  <c r="H10532" i="5"/>
  <c r="H10524" i="5"/>
  <c r="H10516" i="5"/>
  <c r="H10508" i="5"/>
  <c r="H10500" i="5"/>
  <c r="H10492" i="5"/>
  <c r="H10484" i="5"/>
  <c r="H10476" i="5"/>
  <c r="H10468" i="5"/>
  <c r="H10460" i="5"/>
  <c r="H10452" i="5"/>
  <c r="H10444" i="5"/>
  <c r="H10436" i="5"/>
  <c r="H10428" i="5"/>
  <c r="H10420" i="5"/>
  <c r="H10412" i="5"/>
  <c r="H10404" i="5"/>
  <c r="H10396" i="5"/>
  <c r="H10388" i="5"/>
  <c r="H10380" i="5"/>
  <c r="H10372" i="5"/>
  <c r="H10364" i="5"/>
  <c r="H10356" i="5"/>
  <c r="H10348" i="5"/>
  <c r="H10340" i="5"/>
  <c r="H10332" i="5"/>
  <c r="H10324" i="5"/>
  <c r="H10316" i="5"/>
  <c r="H10308" i="5"/>
  <c r="H10300" i="5"/>
  <c r="H10292" i="5"/>
  <c r="H10284" i="5"/>
  <c r="H10276" i="5"/>
  <c r="H10268" i="5"/>
  <c r="H10260" i="5"/>
  <c r="H10252" i="5"/>
  <c r="H10244" i="5"/>
  <c r="H10236" i="5"/>
  <c r="H10228" i="5"/>
  <c r="H10220" i="5"/>
  <c r="H10212" i="5"/>
  <c r="H10204" i="5"/>
  <c r="H10196" i="5"/>
  <c r="H10188" i="5"/>
  <c r="H10180" i="5"/>
  <c r="H10172" i="5"/>
  <c r="H10164" i="5"/>
  <c r="H10156" i="5"/>
  <c r="H10148" i="5"/>
  <c r="H10140" i="5"/>
  <c r="H10132" i="5"/>
  <c r="H10124" i="5"/>
  <c r="H10116" i="5"/>
  <c r="H10108" i="5"/>
  <c r="H10100" i="5"/>
  <c r="H10092" i="5"/>
  <c r="H10084" i="5"/>
  <c r="H10076" i="5"/>
  <c r="H10068" i="5"/>
  <c r="H10060" i="5"/>
  <c r="H10052" i="5"/>
  <c r="H10044" i="5"/>
  <c r="H10036" i="5"/>
  <c r="H10028" i="5"/>
  <c r="H10020" i="5"/>
  <c r="H10012" i="5"/>
  <c r="H10004" i="5"/>
  <c r="H9996" i="5"/>
  <c r="H9988" i="5"/>
  <c r="H9980" i="5"/>
  <c r="H9972" i="5"/>
  <c r="H9964" i="5"/>
  <c r="H9956" i="5"/>
  <c r="H9948" i="5"/>
  <c r="H9940" i="5"/>
  <c r="H9932" i="5"/>
  <c r="H9924" i="5"/>
  <c r="H9916" i="5"/>
  <c r="H9908" i="5"/>
  <c r="H9900" i="5"/>
  <c r="H9892" i="5"/>
  <c r="H9884" i="5"/>
  <c r="H9876" i="5"/>
  <c r="H9868" i="5"/>
  <c r="H9860" i="5"/>
  <c r="H9852" i="5"/>
  <c r="H9844" i="5"/>
  <c r="H9836" i="5"/>
  <c r="H9828" i="5"/>
  <c r="H9820" i="5"/>
  <c r="H9812" i="5"/>
  <c r="H9804" i="5"/>
  <c r="H9796" i="5"/>
  <c r="H9788" i="5"/>
  <c r="H9780" i="5"/>
  <c r="H9772" i="5"/>
  <c r="H9764" i="5"/>
  <c r="H9756" i="5"/>
  <c r="H9748" i="5"/>
  <c r="H9740" i="5"/>
  <c r="H9732" i="5"/>
  <c r="H9724" i="5"/>
  <c r="H9716" i="5"/>
  <c r="H9708" i="5"/>
  <c r="H9700" i="5"/>
  <c r="H9692" i="5"/>
  <c r="H9684" i="5"/>
  <c r="H9676" i="5"/>
  <c r="H9668" i="5"/>
  <c r="H9660" i="5"/>
  <c r="H9652" i="5"/>
  <c r="H9644" i="5"/>
  <c r="H9636" i="5"/>
  <c r="H9628" i="5"/>
  <c r="H9620" i="5"/>
  <c r="H9612" i="5"/>
  <c r="H9604" i="5"/>
  <c r="H9596" i="5"/>
  <c r="H9588" i="5"/>
  <c r="H9580" i="5"/>
  <c r="H9572" i="5"/>
  <c r="H9564" i="5"/>
  <c r="H9556" i="5"/>
  <c r="H9548" i="5"/>
  <c r="H9540" i="5"/>
  <c r="H9532" i="5"/>
  <c r="H9524" i="5"/>
  <c r="H9516" i="5"/>
  <c r="H9508" i="5"/>
  <c r="H9500" i="5"/>
  <c r="H9492" i="5"/>
  <c r="H9484" i="5"/>
  <c r="H9476" i="5"/>
  <c r="H9468" i="5"/>
  <c r="H9460" i="5"/>
  <c r="H9452" i="5"/>
  <c r="H9444" i="5"/>
  <c r="H9436" i="5"/>
  <c r="H9428" i="5"/>
  <c r="H9420" i="5"/>
  <c r="H9412" i="5"/>
  <c r="H9404" i="5"/>
  <c r="H9396" i="5"/>
  <c r="H9388" i="5"/>
  <c r="H9380" i="5"/>
  <c r="H9372" i="5"/>
  <c r="H9364" i="5"/>
  <c r="H9356" i="5"/>
  <c r="H9348" i="5"/>
  <c r="H9340" i="5"/>
  <c r="H9332" i="5"/>
  <c r="H9324" i="5"/>
  <c r="H9316" i="5"/>
  <c r="H9308" i="5"/>
  <c r="H9300" i="5"/>
  <c r="H9292" i="5"/>
  <c r="H9284" i="5"/>
  <c r="H9276" i="5"/>
  <c r="H9268" i="5"/>
  <c r="H9260" i="5"/>
  <c r="H9252" i="5"/>
  <c r="H9244" i="5"/>
  <c r="H9236" i="5"/>
  <c r="H9228" i="5"/>
  <c r="H9220" i="5"/>
  <c r="H9212" i="5"/>
  <c r="H9204" i="5"/>
  <c r="H9196" i="5"/>
  <c r="H9188" i="5"/>
  <c r="H9180" i="5"/>
  <c r="H9172" i="5"/>
  <c r="H9164" i="5"/>
  <c r="H9156" i="5"/>
  <c r="H9148" i="5"/>
  <c r="H9140" i="5"/>
  <c r="H9132" i="5"/>
  <c r="H9124" i="5"/>
  <c r="H9116" i="5"/>
  <c r="H9108" i="5"/>
  <c r="H9100" i="5"/>
  <c r="H9092" i="5"/>
  <c r="H9084" i="5"/>
  <c r="H9076" i="5"/>
  <c r="H9068" i="5"/>
  <c r="H9060" i="5"/>
  <c r="H9052" i="5"/>
  <c r="H9044" i="5"/>
  <c r="H9036" i="5"/>
  <c r="H9028" i="5"/>
  <c r="H9020" i="5"/>
  <c r="H9012" i="5"/>
  <c r="H9004" i="5"/>
  <c r="H8996" i="5"/>
  <c r="H8988" i="5"/>
  <c r="H8980" i="5"/>
  <c r="H8972" i="5"/>
  <c r="H8964" i="5"/>
  <c r="H8956" i="5"/>
  <c r="H8948" i="5"/>
  <c r="H8940" i="5"/>
  <c r="H8932" i="5"/>
  <c r="H8924" i="5"/>
  <c r="H8916" i="5"/>
  <c r="H8908" i="5"/>
  <c r="H8900" i="5"/>
  <c r="H8892" i="5"/>
  <c r="H8884" i="5"/>
  <c r="H8876" i="5"/>
  <c r="H8868" i="5"/>
  <c r="H8860" i="5"/>
  <c r="H8852" i="5"/>
  <c r="H8844" i="5"/>
  <c r="H8836" i="5"/>
  <c r="H8828" i="5"/>
  <c r="H8820" i="5"/>
  <c r="H8812" i="5"/>
  <c r="H8804" i="5"/>
  <c r="H8796" i="5"/>
  <c r="H8788" i="5"/>
  <c r="H8780" i="5"/>
  <c r="H8772" i="5"/>
  <c r="H8764" i="5"/>
  <c r="H8756" i="5"/>
  <c r="H8748" i="5"/>
  <c r="H8740" i="5"/>
  <c r="H8732" i="5"/>
  <c r="H8724" i="5"/>
  <c r="H8716" i="5"/>
  <c r="H8708" i="5"/>
  <c r="H8700" i="5"/>
  <c r="H8692" i="5"/>
  <c r="H8684" i="5"/>
  <c r="H8676" i="5"/>
  <c r="H8668" i="5"/>
  <c r="H8660" i="5"/>
  <c r="H8652" i="5"/>
  <c r="H8644" i="5"/>
  <c r="H8636" i="5"/>
  <c r="H8628" i="5"/>
  <c r="H8620" i="5"/>
  <c r="H8612" i="5"/>
  <c r="H8604" i="5"/>
  <c r="H8596" i="5"/>
  <c r="H8588" i="5"/>
  <c r="H8580" i="5"/>
  <c r="H8572" i="5"/>
  <c r="H8564" i="5"/>
  <c r="H8556" i="5"/>
  <c r="H8548" i="5"/>
  <c r="H8540" i="5"/>
  <c r="H8532" i="5"/>
  <c r="H8524" i="5"/>
  <c r="H8516" i="5"/>
  <c r="H8508" i="5"/>
  <c r="H8500" i="5"/>
  <c r="H8492" i="5"/>
  <c r="H8484" i="5"/>
  <c r="H8476" i="5"/>
  <c r="H8468" i="5"/>
  <c r="H8460" i="5"/>
  <c r="H8452" i="5"/>
  <c r="H8444" i="5"/>
  <c r="H8436" i="5"/>
  <c r="H8428" i="5"/>
  <c r="H8420" i="5"/>
  <c r="H8412" i="5"/>
  <c r="H8404" i="5"/>
  <c r="H8396" i="5"/>
  <c r="H8388" i="5"/>
  <c r="H8380" i="5"/>
  <c r="H8372" i="5"/>
  <c r="H8364" i="5"/>
  <c r="H8356" i="5"/>
  <c r="H8348" i="5"/>
  <c r="H8340" i="5"/>
  <c r="H8332" i="5"/>
  <c r="H8324" i="5"/>
  <c r="H8316" i="5"/>
  <c r="H8308" i="5"/>
  <c r="H8300" i="5"/>
  <c r="H8292" i="5"/>
  <c r="H8284" i="5"/>
  <c r="H8276" i="5"/>
  <c r="H8268" i="5"/>
  <c r="H8260" i="5"/>
  <c r="H8252" i="5"/>
  <c r="H8244" i="5"/>
  <c r="H8236" i="5"/>
  <c r="H8228" i="5"/>
  <c r="H8220" i="5"/>
  <c r="H8212" i="5"/>
  <c r="H8204" i="5"/>
  <c r="H8196" i="5"/>
  <c r="H8188" i="5"/>
  <c r="H8180" i="5"/>
  <c r="H8172" i="5"/>
  <c r="H8164" i="5"/>
  <c r="H8156" i="5"/>
  <c r="H8148" i="5"/>
  <c r="H8140" i="5"/>
  <c r="H8132" i="5"/>
  <c r="H8124" i="5"/>
  <c r="H8116" i="5"/>
  <c r="H8108" i="5"/>
  <c r="H8100" i="5"/>
  <c r="H8092" i="5"/>
  <c r="H8084" i="5"/>
  <c r="H8076" i="5"/>
  <c r="H8068" i="5"/>
  <c r="H8060" i="5"/>
  <c r="H8052" i="5"/>
  <c r="H8044" i="5"/>
  <c r="H8036" i="5"/>
  <c r="H8028" i="5"/>
  <c r="H8020" i="5"/>
  <c r="H8012" i="5"/>
  <c r="H8004" i="5"/>
  <c r="H7996" i="5"/>
  <c r="H7988" i="5"/>
  <c r="H7980" i="5"/>
  <c r="H7972" i="5"/>
  <c r="H7964" i="5"/>
  <c r="H7956" i="5"/>
  <c r="H7948" i="5"/>
  <c r="H7940" i="5"/>
  <c r="H7932" i="5"/>
  <c r="H7924" i="5"/>
  <c r="H7916" i="5"/>
  <c r="H7908" i="5"/>
  <c r="H7900" i="5"/>
  <c r="H7892" i="5"/>
  <c r="H7884" i="5"/>
  <c r="H7876" i="5"/>
  <c r="H7868" i="5"/>
  <c r="H7860" i="5"/>
  <c r="H7852" i="5"/>
  <c r="H7844" i="5"/>
  <c r="H7836" i="5"/>
  <c r="H7828" i="5"/>
  <c r="H7820" i="5"/>
  <c r="H7812" i="5"/>
  <c r="H7804" i="5"/>
  <c r="H7796" i="5"/>
  <c r="H7788" i="5"/>
  <c r="H7780" i="5"/>
  <c r="H7772" i="5"/>
  <c r="H7764" i="5"/>
  <c r="H7756" i="5"/>
  <c r="H7748" i="5"/>
  <c r="H7740" i="5"/>
  <c r="H7732" i="5"/>
  <c r="H7724" i="5"/>
  <c r="H7716" i="5"/>
  <c r="H7708" i="5"/>
  <c r="H7700" i="5"/>
  <c r="H7692" i="5"/>
  <c r="H7684" i="5"/>
  <c r="H7676" i="5"/>
  <c r="H7668" i="5"/>
  <c r="H7660" i="5"/>
  <c r="H7652" i="5"/>
  <c r="H7644" i="5"/>
  <c r="H7636" i="5"/>
  <c r="H7628" i="5"/>
  <c r="H7620" i="5"/>
  <c r="H7612" i="5"/>
  <c r="H7604" i="5"/>
  <c r="H7596" i="5"/>
  <c r="H7588" i="5"/>
  <c r="H7580" i="5"/>
  <c r="H7572" i="5"/>
  <c r="H7564" i="5"/>
  <c r="H7556" i="5"/>
  <c r="H7548" i="5"/>
  <c r="H7540" i="5"/>
  <c r="H7532" i="5"/>
  <c r="H7524" i="5"/>
  <c r="H7516" i="5"/>
  <c r="H7508" i="5"/>
  <c r="H7500" i="5"/>
  <c r="H7492" i="5"/>
  <c r="H7484" i="5"/>
  <c r="H7476" i="5"/>
  <c r="H7468" i="5"/>
  <c r="H7460" i="5"/>
  <c r="H7452" i="5"/>
  <c r="H7444" i="5"/>
  <c r="H7436" i="5"/>
  <c r="H7428" i="5"/>
  <c r="H7420" i="5"/>
  <c r="H7412" i="5"/>
  <c r="H7404" i="5"/>
  <c r="H7396" i="5"/>
  <c r="H7388" i="5"/>
  <c r="H7380" i="5"/>
  <c r="H7372" i="5"/>
  <c r="H7364" i="5"/>
  <c r="H7356" i="5"/>
  <c r="H7348" i="5"/>
  <c r="H7340" i="5"/>
  <c r="H7332" i="5"/>
  <c r="H7324" i="5"/>
  <c r="H7316" i="5"/>
  <c r="H7308" i="5"/>
  <c r="H7300" i="5"/>
  <c r="H7292" i="5"/>
  <c r="H7284" i="5"/>
  <c r="H7276" i="5"/>
  <c r="H7268" i="5"/>
  <c r="H7260" i="5"/>
  <c r="H7252" i="5"/>
  <c r="H7244" i="5"/>
  <c r="H7236" i="5"/>
  <c r="H7228" i="5"/>
  <c r="H7220" i="5"/>
  <c r="H7212" i="5"/>
  <c r="H7204" i="5"/>
  <c r="H7196" i="5"/>
  <c r="H7188" i="5"/>
  <c r="H7180" i="5"/>
  <c r="H7172" i="5"/>
  <c r="H7164" i="5"/>
  <c r="H7156" i="5"/>
  <c r="H7148" i="5"/>
  <c r="H7140" i="5"/>
  <c r="H7132" i="5"/>
  <c r="H7124" i="5"/>
  <c r="H7116" i="5"/>
  <c r="H7108" i="5"/>
  <c r="H7100" i="5"/>
  <c r="H7092" i="5"/>
  <c r="H7084" i="5"/>
  <c r="H7076" i="5"/>
  <c r="H7068" i="5"/>
  <c r="H7060" i="5"/>
  <c r="H7052" i="5"/>
  <c r="H7044" i="5"/>
  <c r="H7036" i="5"/>
  <c r="H7028" i="5"/>
  <c r="H7020" i="5"/>
  <c r="H7012" i="5"/>
  <c r="H7004" i="5"/>
  <c r="H6996" i="5"/>
  <c r="H6988" i="5"/>
  <c r="H6980" i="5"/>
  <c r="H6972" i="5"/>
  <c r="H6964" i="5"/>
  <c r="H6956" i="5"/>
  <c r="H6948" i="5"/>
  <c r="H6940" i="5"/>
  <c r="H6932" i="5"/>
  <c r="H6924" i="5"/>
  <c r="H6916" i="5"/>
  <c r="H6908" i="5"/>
  <c r="H6900" i="5"/>
  <c r="H6892" i="5"/>
  <c r="H6884" i="5"/>
  <c r="H6876" i="5"/>
  <c r="H6868" i="5"/>
  <c r="H6860" i="5"/>
  <c r="H6852" i="5"/>
  <c r="H6844" i="5"/>
  <c r="H6836" i="5"/>
  <c r="H6828" i="5"/>
  <c r="H6820" i="5"/>
  <c r="H6812" i="5"/>
  <c r="H6804" i="5"/>
  <c r="H6796" i="5"/>
  <c r="H6788" i="5"/>
  <c r="H6780" i="5"/>
  <c r="H6772" i="5"/>
  <c r="H6764" i="5"/>
  <c r="H6756" i="5"/>
  <c r="H6748" i="5"/>
  <c r="H6740" i="5"/>
  <c r="H6732" i="5"/>
  <c r="H6724" i="5"/>
  <c r="H6716" i="5"/>
  <c r="H6708" i="5"/>
  <c r="H6700" i="5"/>
  <c r="H6692" i="5"/>
  <c r="H6684" i="5"/>
  <c r="H6676" i="5"/>
  <c r="H6668" i="5"/>
  <c r="H6660" i="5"/>
  <c r="H6652" i="5"/>
  <c r="H6644" i="5"/>
  <c r="H6636" i="5"/>
  <c r="H6628" i="5"/>
  <c r="H6620" i="5"/>
  <c r="H6612" i="5"/>
  <c r="H6604" i="5"/>
  <c r="H6596" i="5"/>
  <c r="H6588" i="5"/>
  <c r="H6580" i="5"/>
  <c r="H6572" i="5"/>
  <c r="H6564" i="5"/>
  <c r="H6556" i="5"/>
  <c r="H6548" i="5"/>
  <c r="H6540" i="5"/>
  <c r="H6532" i="5"/>
  <c r="H6524" i="5"/>
  <c r="H6516" i="5"/>
  <c r="H6508" i="5"/>
  <c r="H6500" i="5"/>
  <c r="H6492" i="5"/>
  <c r="H6484" i="5"/>
  <c r="H6476" i="5"/>
  <c r="H6468" i="5"/>
  <c r="H6460" i="5"/>
  <c r="H6452" i="5"/>
  <c r="H6444" i="5"/>
  <c r="H6436" i="5"/>
  <c r="H6428" i="5"/>
  <c r="H6420" i="5"/>
  <c r="H6412" i="5"/>
  <c r="H6404" i="5"/>
  <c r="H6396" i="5"/>
  <c r="H6388" i="5"/>
  <c r="H6380" i="5"/>
  <c r="H6372" i="5"/>
  <c r="H6364" i="5"/>
  <c r="H6356" i="5"/>
  <c r="H6348" i="5"/>
  <c r="H6340" i="5"/>
  <c r="H6332" i="5"/>
  <c r="H6324" i="5"/>
  <c r="H6316" i="5"/>
  <c r="H6308" i="5"/>
  <c r="H6300" i="5"/>
  <c r="H6292" i="5"/>
  <c r="H6284" i="5"/>
  <c r="H6276" i="5"/>
  <c r="H6268" i="5"/>
  <c r="H6260" i="5"/>
  <c r="H6252" i="5"/>
  <c r="H6244" i="5"/>
  <c r="H6236" i="5"/>
  <c r="H6228" i="5"/>
  <c r="H6220" i="5"/>
  <c r="H6212" i="5"/>
  <c r="H6204" i="5"/>
  <c r="H6196" i="5"/>
  <c r="H6188" i="5"/>
  <c r="H6180" i="5"/>
  <c r="H6172" i="5"/>
  <c r="H6164" i="5"/>
  <c r="H6156" i="5"/>
  <c r="H6148" i="5"/>
  <c r="H6140" i="5"/>
  <c r="H6132" i="5"/>
  <c r="H6124" i="5"/>
  <c r="H6116" i="5"/>
  <c r="H6108" i="5"/>
  <c r="H6100" i="5"/>
  <c r="H6092" i="5"/>
  <c r="H6084" i="5"/>
  <c r="H6076" i="5"/>
  <c r="H6068" i="5"/>
  <c r="H6060" i="5"/>
  <c r="H6052" i="5"/>
  <c r="H6044" i="5"/>
  <c r="H6036" i="5"/>
  <c r="H6028" i="5"/>
  <c r="H6020" i="5"/>
  <c r="H6012" i="5"/>
  <c r="H6004" i="5"/>
  <c r="H5996" i="5"/>
  <c r="H5988" i="5"/>
  <c r="H5980" i="5"/>
  <c r="H5972" i="5"/>
  <c r="H5964" i="5"/>
  <c r="H5956" i="5"/>
  <c r="H5948" i="5"/>
  <c r="H5940" i="5"/>
  <c r="H5932" i="5"/>
  <c r="H5924" i="5"/>
  <c r="H5916" i="5"/>
  <c r="H5908" i="5"/>
  <c r="H5900" i="5"/>
  <c r="H5892" i="5"/>
  <c r="H5884" i="5"/>
  <c r="H5876" i="5"/>
  <c r="H5868" i="5"/>
  <c r="H5860" i="5"/>
  <c r="H5852" i="5"/>
  <c r="H5844" i="5"/>
  <c r="H5836" i="5"/>
  <c r="H5828" i="5"/>
  <c r="H5820" i="5"/>
  <c r="H5812" i="5"/>
  <c r="H5804" i="5"/>
  <c r="H5796" i="5"/>
  <c r="H5788" i="5"/>
  <c r="H5780" i="5"/>
  <c r="H5772" i="5"/>
  <c r="H5764" i="5"/>
  <c r="H5756" i="5"/>
  <c r="H5748" i="5"/>
  <c r="H5740" i="5"/>
  <c r="H5732" i="5"/>
  <c r="H5724" i="5"/>
  <c r="H5716" i="5"/>
  <c r="H5708" i="5"/>
  <c r="H5700" i="5"/>
  <c r="H5692" i="5"/>
  <c r="H5684" i="5"/>
  <c r="H5676" i="5"/>
  <c r="H5668" i="5"/>
  <c r="H5660" i="5"/>
  <c r="H5652" i="5"/>
  <c r="H5644" i="5"/>
  <c r="H5636" i="5"/>
  <c r="H5628" i="5"/>
  <c r="H5620" i="5"/>
  <c r="H5612" i="5"/>
  <c r="H5604" i="5"/>
  <c r="H5596" i="5"/>
  <c r="H5588" i="5"/>
  <c r="H5580" i="5"/>
  <c r="H5572" i="5"/>
  <c r="H5564" i="5"/>
  <c r="H5556" i="5"/>
  <c r="H5548" i="5"/>
  <c r="H5540" i="5"/>
  <c r="H5532" i="5"/>
  <c r="H5524" i="5"/>
  <c r="H5516" i="5"/>
  <c r="H5508" i="5"/>
  <c r="H5500" i="5"/>
  <c r="H5492" i="5"/>
  <c r="H5484" i="5"/>
  <c r="H5476" i="5"/>
  <c r="H5468" i="5"/>
  <c r="H5460" i="5"/>
  <c r="H5452" i="5"/>
  <c r="H5444" i="5"/>
  <c r="H5436" i="5"/>
  <c r="H5428" i="5"/>
  <c r="H5420" i="5"/>
  <c r="H5412" i="5"/>
  <c r="H5404" i="5"/>
  <c r="H5396" i="5"/>
  <c r="H5388" i="5"/>
  <c r="H5380" i="5"/>
  <c r="H5372" i="5"/>
  <c r="H5364" i="5"/>
  <c r="H5356" i="5"/>
  <c r="H5348" i="5"/>
  <c r="H5340" i="5"/>
  <c r="H5332" i="5"/>
  <c r="H5324" i="5"/>
  <c r="H5316" i="5"/>
  <c r="H5308" i="5"/>
  <c r="H5300" i="5"/>
  <c r="H5292" i="5"/>
  <c r="H5284" i="5"/>
  <c r="H5276" i="5"/>
  <c r="H5268" i="5"/>
  <c r="H5260" i="5"/>
  <c r="H5252" i="5"/>
  <c r="H5244" i="5"/>
  <c r="H5236" i="5"/>
  <c r="H5228" i="5"/>
  <c r="H5220" i="5"/>
  <c r="H5212" i="5"/>
  <c r="H5204" i="5"/>
  <c r="H5196" i="5"/>
  <c r="H5188" i="5"/>
  <c r="H5180" i="5"/>
  <c r="H5172" i="5"/>
  <c r="H5164" i="5"/>
  <c r="H5156" i="5"/>
  <c r="H5148" i="5"/>
  <c r="H5140" i="5"/>
  <c r="H5132" i="5"/>
  <c r="H5124" i="5"/>
  <c r="H5116" i="5"/>
  <c r="H5108" i="5"/>
  <c r="H5100" i="5"/>
  <c r="H5092" i="5"/>
  <c r="H5084" i="5"/>
  <c r="H5076" i="5"/>
  <c r="H5068" i="5"/>
  <c r="H5060" i="5"/>
  <c r="H5052" i="5"/>
  <c r="H5044" i="5"/>
  <c r="H5036" i="5"/>
  <c r="H5028" i="5"/>
  <c r="H5020" i="5"/>
  <c r="H5012" i="5"/>
  <c r="H5004" i="5"/>
  <c r="H4996" i="5"/>
  <c r="H4988" i="5"/>
  <c r="H4980" i="5"/>
  <c r="H4972" i="5"/>
  <c r="H4964" i="5"/>
  <c r="H4956" i="5"/>
  <c r="H4948" i="5"/>
  <c r="H4940" i="5"/>
  <c r="H4932" i="5"/>
  <c r="H4924" i="5"/>
  <c r="H4916" i="5"/>
  <c r="H4908" i="5"/>
  <c r="H4900" i="5"/>
  <c r="H4892" i="5"/>
  <c r="H4884" i="5"/>
  <c r="H4876" i="5"/>
  <c r="H4868" i="5"/>
  <c r="H4860" i="5"/>
  <c r="H4852" i="5"/>
  <c r="H4844" i="5"/>
  <c r="H4836" i="5"/>
  <c r="H4828" i="5"/>
  <c r="H4820" i="5"/>
  <c r="H4812" i="5"/>
  <c r="H4804" i="5"/>
  <c r="H4796" i="5"/>
  <c r="H4788" i="5"/>
  <c r="H4780" i="5"/>
  <c r="H4772" i="5"/>
  <c r="H4764" i="5"/>
  <c r="H4756" i="5"/>
  <c r="H4748" i="5"/>
  <c r="H4740" i="5"/>
  <c r="H4732" i="5"/>
  <c r="H4724" i="5"/>
  <c r="H4716" i="5"/>
  <c r="H4708" i="5"/>
  <c r="H4700" i="5"/>
  <c r="H4692" i="5"/>
  <c r="H4684" i="5"/>
  <c r="H4676" i="5"/>
  <c r="H4668" i="5"/>
  <c r="H4660" i="5"/>
  <c r="H4652" i="5"/>
  <c r="H4644" i="5"/>
  <c r="H4636" i="5"/>
  <c r="H4628" i="5"/>
  <c r="H4620" i="5"/>
  <c r="H4612" i="5"/>
  <c r="H4604" i="5"/>
  <c r="H4596" i="5"/>
  <c r="H4588" i="5"/>
  <c r="H4580" i="5"/>
  <c r="H4572" i="5"/>
  <c r="H4564" i="5"/>
  <c r="H4556" i="5"/>
  <c r="H4548" i="5"/>
  <c r="H4540" i="5"/>
  <c r="H4532" i="5"/>
  <c r="H4524" i="5"/>
  <c r="H4516" i="5"/>
  <c r="H4508" i="5"/>
  <c r="H4500" i="5"/>
  <c r="H4492" i="5"/>
  <c r="H4484" i="5"/>
  <c r="H4476" i="5"/>
  <c r="H4468" i="5"/>
  <c r="H4460" i="5"/>
  <c r="H4452" i="5"/>
  <c r="H4444" i="5"/>
  <c r="H4436" i="5"/>
  <c r="H4428" i="5"/>
  <c r="H4420" i="5"/>
  <c r="H4412" i="5"/>
  <c r="H4404" i="5"/>
  <c r="H4396" i="5"/>
  <c r="H4388" i="5"/>
  <c r="H4380" i="5"/>
  <c r="H4372" i="5"/>
  <c r="H4364" i="5"/>
  <c r="H4356" i="5"/>
  <c r="H4348" i="5"/>
  <c r="H4340" i="5"/>
  <c r="H4332" i="5"/>
  <c r="H4324" i="5"/>
  <c r="H4316" i="5"/>
  <c r="H4308" i="5"/>
  <c r="H4300" i="5"/>
  <c r="H4292" i="5"/>
  <c r="H4284" i="5"/>
  <c r="H4276" i="5"/>
  <c r="H4268" i="5"/>
  <c r="H4260" i="5"/>
  <c r="H4252" i="5"/>
  <c r="H4244" i="5"/>
  <c r="H4236" i="5"/>
  <c r="H4228" i="5"/>
  <c r="H4220" i="5"/>
  <c r="H4212" i="5"/>
  <c r="H4204" i="5"/>
  <c r="H4196" i="5"/>
  <c r="H4188" i="5"/>
  <c r="H4180" i="5"/>
  <c r="H4172" i="5"/>
  <c r="H4164" i="5"/>
  <c r="H4156" i="5"/>
  <c r="H4148" i="5"/>
  <c r="H4140" i="5"/>
  <c r="H4132" i="5"/>
  <c r="H4124" i="5"/>
  <c r="H4116" i="5"/>
  <c r="H4108" i="5"/>
  <c r="H4100" i="5"/>
  <c r="H4092" i="5"/>
  <c r="H4084" i="5"/>
  <c r="H4076" i="5"/>
  <c r="H4068" i="5"/>
  <c r="H4060" i="5"/>
  <c r="H4052" i="5"/>
  <c r="H4044" i="5"/>
  <c r="H4036" i="5"/>
  <c r="H4028" i="5"/>
  <c r="H4020" i="5"/>
  <c r="H4012" i="5"/>
  <c r="H4004" i="5"/>
  <c r="H3996" i="5"/>
  <c r="H3988" i="5"/>
  <c r="H3980" i="5"/>
  <c r="H3972" i="5"/>
  <c r="H3964" i="5"/>
  <c r="H3956" i="5"/>
  <c r="H3948" i="5"/>
  <c r="H3940" i="5"/>
  <c r="H3932" i="5"/>
  <c r="H3924" i="5"/>
  <c r="H3916" i="5"/>
  <c r="H3908" i="5"/>
  <c r="H3900" i="5"/>
  <c r="H3892" i="5"/>
  <c r="H3884" i="5"/>
  <c r="H3876" i="5"/>
  <c r="H3868" i="5"/>
  <c r="H3860" i="5"/>
  <c r="H3852" i="5"/>
  <c r="H3844" i="5"/>
  <c r="H3836" i="5"/>
  <c r="H3828" i="5"/>
  <c r="H3820" i="5"/>
  <c r="H3812" i="5"/>
  <c r="H3804" i="5"/>
  <c r="H3796" i="5"/>
  <c r="H3788" i="5"/>
  <c r="H3780" i="5"/>
  <c r="H3772" i="5"/>
  <c r="H3764" i="5"/>
  <c r="H3756" i="5"/>
  <c r="H3748" i="5"/>
  <c r="H3740" i="5"/>
  <c r="H3732" i="5"/>
  <c r="H3724" i="5"/>
  <c r="H3716" i="5"/>
  <c r="H3708" i="5"/>
  <c r="H3700" i="5"/>
  <c r="H3692" i="5"/>
  <c r="H3684" i="5"/>
  <c r="H3676" i="5"/>
  <c r="H3668" i="5"/>
  <c r="H3660" i="5"/>
  <c r="H3652" i="5"/>
  <c r="H3644" i="5"/>
  <c r="H3636" i="5"/>
  <c r="H3628" i="5"/>
  <c r="H3620" i="5"/>
  <c r="H3612" i="5"/>
  <c r="H3604" i="5"/>
  <c r="H3596" i="5"/>
  <c r="H3588" i="5"/>
  <c r="H3580" i="5"/>
  <c r="H3572" i="5"/>
  <c r="H3564" i="5"/>
  <c r="H3556" i="5"/>
  <c r="H3548" i="5"/>
  <c r="H3540" i="5"/>
  <c r="H3532" i="5"/>
  <c r="H3524" i="5"/>
  <c r="H3516" i="5"/>
  <c r="H3508" i="5"/>
  <c r="H3500" i="5"/>
  <c r="H3492" i="5"/>
  <c r="H3484" i="5"/>
  <c r="H3476" i="5"/>
  <c r="H3468" i="5"/>
  <c r="H3460" i="5"/>
  <c r="H3452" i="5"/>
  <c r="H3444" i="5"/>
  <c r="H3436" i="5"/>
  <c r="H3428" i="5"/>
  <c r="H3420" i="5"/>
  <c r="H3412" i="5"/>
  <c r="H3404" i="5"/>
  <c r="H3396" i="5"/>
  <c r="H3388" i="5"/>
  <c r="H3380" i="5"/>
  <c r="H3372" i="5"/>
  <c r="H3364" i="5"/>
  <c r="H3356" i="5"/>
  <c r="H3348" i="5"/>
  <c r="H3340" i="5"/>
  <c r="H3332" i="5"/>
  <c r="H3324" i="5"/>
  <c r="H3316" i="5"/>
  <c r="H3308" i="5"/>
  <c r="H3300" i="5"/>
  <c r="H3292" i="5"/>
  <c r="H3284" i="5"/>
  <c r="H3276" i="5"/>
  <c r="H3268" i="5"/>
  <c r="H3260" i="5"/>
  <c r="H3252" i="5"/>
  <c r="H3244" i="5"/>
  <c r="H3236" i="5"/>
  <c r="H3228" i="5"/>
  <c r="H3220" i="5"/>
  <c r="H3212" i="5"/>
  <c r="H3204" i="5"/>
  <c r="H3196" i="5"/>
  <c r="H3188" i="5"/>
  <c r="H3180" i="5"/>
  <c r="H3172" i="5"/>
  <c r="H3164" i="5"/>
  <c r="H3156" i="5"/>
  <c r="H3148" i="5"/>
  <c r="H3140" i="5"/>
  <c r="H3132" i="5"/>
  <c r="H3124" i="5"/>
  <c r="H3116" i="5"/>
  <c r="H3108" i="5"/>
  <c r="H3100" i="5"/>
  <c r="H3092" i="5"/>
  <c r="H3084" i="5"/>
  <c r="H3076" i="5"/>
  <c r="H3068" i="5"/>
  <c r="H3060" i="5"/>
  <c r="H3052" i="5"/>
  <c r="H3044" i="5"/>
  <c r="H3036" i="5"/>
  <c r="H3028" i="5"/>
  <c r="H3020" i="5"/>
  <c r="H3012" i="5"/>
  <c r="H3004" i="5"/>
  <c r="H2996" i="5"/>
  <c r="H2988" i="5"/>
  <c r="H2980" i="5"/>
  <c r="H2972" i="5"/>
  <c r="H2964" i="5"/>
  <c r="H2956" i="5"/>
  <c r="H2948" i="5"/>
  <c r="H2940" i="5"/>
  <c r="H2932" i="5"/>
  <c r="H2924" i="5"/>
  <c r="H2916" i="5"/>
  <c r="H2908" i="5"/>
  <c r="H2900" i="5"/>
  <c r="H2892" i="5"/>
  <c r="H2884" i="5"/>
  <c r="H2876" i="5"/>
  <c r="H2868" i="5"/>
  <c r="H2860" i="5"/>
  <c r="H2852" i="5"/>
  <c r="H2844" i="5"/>
  <c r="H2836" i="5"/>
  <c r="H2828" i="5"/>
  <c r="H2820" i="5"/>
  <c r="H2812" i="5"/>
  <c r="H2804" i="5"/>
  <c r="H2796" i="5"/>
  <c r="H2788" i="5"/>
  <c r="H2780" i="5"/>
  <c r="H2772" i="5"/>
  <c r="H2764" i="5"/>
  <c r="H2756" i="5"/>
  <c r="H2748" i="5"/>
  <c r="H2740" i="5"/>
  <c r="H2732" i="5"/>
  <c r="H2724" i="5"/>
  <c r="H2716" i="5"/>
  <c r="H2708" i="5"/>
  <c r="H2700" i="5"/>
  <c r="H2692" i="5"/>
  <c r="H2684" i="5"/>
  <c r="H2676" i="5"/>
  <c r="H2668" i="5"/>
  <c r="H2660" i="5"/>
  <c r="H2652" i="5"/>
  <c r="H2644" i="5"/>
  <c r="H2636" i="5"/>
  <c r="H2628" i="5"/>
  <c r="H2620" i="5"/>
  <c r="H2612" i="5"/>
  <c r="H2604" i="5"/>
  <c r="H2596" i="5"/>
  <c r="H2588" i="5"/>
  <c r="H2580" i="5"/>
  <c r="H2572" i="5"/>
  <c r="H2564" i="5"/>
  <c r="H2556" i="5"/>
  <c r="H2548" i="5"/>
  <c r="H2540" i="5"/>
  <c r="H2532" i="5"/>
  <c r="H2524" i="5"/>
  <c r="H2516" i="5"/>
  <c r="H2508" i="5"/>
  <c r="H2500" i="5"/>
  <c r="H2492" i="5"/>
  <c r="H2484" i="5"/>
  <c r="H2476" i="5"/>
  <c r="H2468" i="5"/>
  <c r="H2460" i="5"/>
  <c r="H2452" i="5"/>
  <c r="H2444" i="5"/>
  <c r="H2436" i="5"/>
  <c r="H2428" i="5"/>
  <c r="H2420" i="5"/>
  <c r="H2412" i="5"/>
  <c r="H2404" i="5"/>
  <c r="H2396" i="5"/>
  <c r="H2388" i="5"/>
  <c r="H2380" i="5"/>
  <c r="H2372" i="5"/>
  <c r="H2364" i="5"/>
  <c r="H2356" i="5"/>
  <c r="H2348" i="5"/>
  <c r="H2340" i="5"/>
  <c r="H2332" i="5"/>
  <c r="H2324" i="5"/>
  <c r="H2316" i="5"/>
  <c r="H2308" i="5"/>
  <c r="H2300" i="5"/>
  <c r="H2292" i="5"/>
  <c r="H2284" i="5"/>
  <c r="H2276" i="5"/>
  <c r="H2268" i="5"/>
  <c r="H2260" i="5"/>
  <c r="H2252" i="5"/>
  <c r="H2244" i="5"/>
  <c r="H2236" i="5"/>
  <c r="H2228" i="5"/>
  <c r="H2220" i="5"/>
  <c r="H2212" i="5"/>
  <c r="H2204" i="5"/>
  <c r="H2196" i="5"/>
  <c r="H2188" i="5"/>
  <c r="H2180" i="5"/>
  <c r="H2172" i="5"/>
  <c r="H2164" i="5"/>
  <c r="H2156" i="5"/>
  <c r="H2148" i="5"/>
  <c r="H2140" i="5"/>
  <c r="H2132" i="5"/>
  <c r="H2124" i="5"/>
  <c r="H2116" i="5"/>
  <c r="H2108" i="5"/>
  <c r="H2100" i="5"/>
  <c r="H2092" i="5"/>
  <c r="H2084" i="5"/>
  <c r="H2076" i="5"/>
  <c r="H2068" i="5"/>
  <c r="H2060" i="5"/>
  <c r="H2052" i="5"/>
  <c r="H2044" i="5"/>
  <c r="H2036" i="5"/>
  <c r="H2028" i="5"/>
  <c r="H2020" i="5"/>
  <c r="H2012" i="5"/>
  <c r="H2004" i="5"/>
  <c r="H1996" i="5"/>
  <c r="H1988" i="5"/>
  <c r="H1980" i="5"/>
  <c r="H1972" i="5"/>
  <c r="H1964" i="5"/>
  <c r="H1956" i="5"/>
  <c r="H1948" i="5"/>
  <c r="H1940" i="5"/>
  <c r="H1932" i="5"/>
  <c r="H1924" i="5"/>
  <c r="H1916" i="5"/>
  <c r="H1908" i="5"/>
  <c r="H1900" i="5"/>
  <c r="H1892" i="5"/>
  <c r="H1884" i="5"/>
  <c r="H1876" i="5"/>
  <c r="H1868" i="5"/>
  <c r="H1860" i="5"/>
  <c r="H1852" i="5"/>
  <c r="H1844" i="5"/>
  <c r="H1836" i="5"/>
  <c r="H1828" i="5"/>
  <c r="H1820" i="5"/>
  <c r="H1812" i="5"/>
  <c r="H1804" i="5"/>
  <c r="H1796" i="5"/>
  <c r="H1788" i="5"/>
  <c r="H1780" i="5"/>
  <c r="H1772" i="5"/>
  <c r="H1764" i="5"/>
  <c r="H1756" i="5"/>
  <c r="H1748" i="5"/>
  <c r="H1740" i="5"/>
  <c r="H1732" i="5"/>
  <c r="H1724" i="5"/>
  <c r="H1716" i="5"/>
  <c r="H1708" i="5"/>
  <c r="H1700" i="5"/>
  <c r="H1692" i="5"/>
  <c r="H1684" i="5"/>
  <c r="H1676" i="5"/>
  <c r="H1668" i="5"/>
  <c r="H1660" i="5"/>
  <c r="H1652" i="5"/>
  <c r="H1644" i="5"/>
  <c r="H1636" i="5"/>
  <c r="H1628" i="5"/>
  <c r="H1620" i="5"/>
  <c r="H1612" i="5"/>
  <c r="H1604" i="5"/>
  <c r="H1596" i="5"/>
  <c r="H1588" i="5"/>
  <c r="H1580" i="5"/>
  <c r="H1572" i="5"/>
  <c r="H1564" i="5"/>
  <c r="H1556" i="5"/>
  <c r="H1548" i="5"/>
  <c r="H1540" i="5"/>
  <c r="H1532" i="5"/>
  <c r="H1524" i="5"/>
  <c r="H1516" i="5"/>
  <c r="H1508" i="5"/>
  <c r="H1500" i="5"/>
  <c r="H1492" i="5"/>
  <c r="H1484" i="5"/>
  <c r="H1476" i="5"/>
  <c r="H1468" i="5"/>
  <c r="H1460" i="5"/>
  <c r="H1452" i="5"/>
  <c r="H1444" i="5"/>
  <c r="H1436" i="5"/>
  <c r="H1428" i="5"/>
  <c r="H1420" i="5"/>
  <c r="H1412" i="5"/>
  <c r="H1404" i="5"/>
  <c r="H1396" i="5"/>
  <c r="H1388" i="5"/>
  <c r="H1380" i="5"/>
  <c r="H1372" i="5"/>
  <c r="H1364" i="5"/>
  <c r="H1356" i="5"/>
  <c r="H1348" i="5"/>
  <c r="H1340" i="5"/>
  <c r="H1332" i="5"/>
  <c r="H1324" i="5"/>
  <c r="H1316" i="5"/>
  <c r="H1308" i="5"/>
  <c r="H1300" i="5"/>
  <c r="H1292" i="5"/>
  <c r="H1284" i="5"/>
  <c r="H1276" i="5"/>
  <c r="H1268" i="5"/>
  <c r="H1260" i="5"/>
  <c r="H1252" i="5"/>
  <c r="H1244" i="5"/>
  <c r="H1236" i="5"/>
  <c r="H1228" i="5"/>
  <c r="H1220" i="5"/>
  <c r="H1212" i="5"/>
  <c r="H1204" i="5"/>
  <c r="H1196" i="5"/>
  <c r="H1188" i="5"/>
  <c r="H1180" i="5"/>
  <c r="H1172" i="5"/>
  <c r="H1164" i="5"/>
  <c r="H1156" i="5"/>
  <c r="H1148" i="5"/>
  <c r="H1140" i="5"/>
  <c r="H1132" i="5"/>
  <c r="H1124" i="5"/>
  <c r="H1116" i="5"/>
  <c r="H1108" i="5"/>
  <c r="H1100" i="5"/>
  <c r="H1092" i="5"/>
  <c r="H1084" i="5"/>
  <c r="H1076" i="5"/>
  <c r="H1068" i="5"/>
  <c r="H1060" i="5"/>
  <c r="H1052" i="5"/>
  <c r="H1044" i="5"/>
  <c r="H1036" i="5"/>
  <c r="H1028" i="5"/>
  <c r="H1020" i="5"/>
  <c r="H1012" i="5"/>
  <c r="H1004" i="5"/>
  <c r="H996" i="5"/>
  <c r="H988" i="5"/>
  <c r="H980" i="5"/>
  <c r="H972" i="5"/>
  <c r="H964" i="5"/>
  <c r="H956" i="5"/>
  <c r="H948" i="5"/>
  <c r="H940" i="5"/>
  <c r="H932" i="5"/>
  <c r="H924" i="5"/>
  <c r="H916" i="5"/>
  <c r="H908" i="5"/>
  <c r="H900" i="5"/>
  <c r="H892" i="5"/>
  <c r="H884" i="5"/>
  <c r="H876" i="5"/>
  <c r="H868" i="5"/>
  <c r="H860" i="5"/>
  <c r="H852" i="5"/>
  <c r="H844" i="5"/>
  <c r="H836" i="5"/>
  <c r="H828" i="5"/>
  <c r="H820" i="5"/>
  <c r="H812" i="5"/>
  <c r="H804" i="5"/>
  <c r="H796" i="5"/>
  <c r="H788" i="5"/>
  <c r="H780" i="5"/>
  <c r="H772" i="5"/>
  <c r="H764" i="5"/>
  <c r="H756" i="5"/>
  <c r="H748" i="5"/>
  <c r="H740" i="5"/>
  <c r="H732" i="5"/>
  <c r="H724" i="5"/>
  <c r="H716" i="5"/>
  <c r="H708" i="5"/>
  <c r="H700" i="5"/>
  <c r="H692" i="5"/>
  <c r="H684" i="5"/>
  <c r="H676" i="5"/>
  <c r="H668" i="5"/>
  <c r="H660" i="5"/>
  <c r="H652" i="5"/>
  <c r="H644" i="5"/>
  <c r="H636" i="5"/>
  <c r="H628" i="5"/>
  <c r="H620" i="5"/>
  <c r="H612" i="5"/>
  <c r="H604" i="5"/>
  <c r="H596" i="5"/>
  <c r="H588" i="5"/>
  <c r="H580" i="5"/>
  <c r="H572" i="5"/>
  <c r="H564" i="5"/>
  <c r="H556" i="5"/>
  <c r="H548" i="5"/>
  <c r="H540" i="5"/>
  <c r="H532" i="5"/>
  <c r="H524" i="5"/>
  <c r="H516" i="5"/>
  <c r="H508" i="5"/>
  <c r="H500" i="5"/>
  <c r="H492" i="5"/>
  <c r="H484" i="5"/>
  <c r="H476" i="5"/>
  <c r="H468" i="5"/>
  <c r="H460" i="5"/>
  <c r="H452" i="5"/>
  <c r="H444" i="5"/>
  <c r="H436" i="5"/>
  <c r="H428" i="5"/>
  <c r="H420" i="5"/>
  <c r="H412" i="5"/>
  <c r="H404" i="5"/>
  <c r="H396" i="5"/>
  <c r="H388" i="5"/>
  <c r="H380" i="5"/>
  <c r="H372" i="5"/>
  <c r="H364" i="5"/>
  <c r="H356" i="5"/>
  <c r="H348" i="5"/>
  <c r="H340" i="5"/>
  <c r="H332" i="5"/>
  <c r="H324" i="5"/>
  <c r="H316" i="5"/>
  <c r="H308" i="5"/>
  <c r="H300" i="5"/>
  <c r="H292" i="5"/>
  <c r="H284" i="5"/>
  <c r="H276" i="5"/>
  <c r="H268" i="5"/>
  <c r="H260" i="5"/>
  <c r="H252" i="5"/>
  <c r="H244" i="5"/>
  <c r="H236" i="5"/>
  <c r="H228" i="5"/>
  <c r="H220" i="5"/>
  <c r="H212" i="5"/>
  <c r="H204" i="5"/>
  <c r="H196" i="5"/>
  <c r="H188" i="5"/>
  <c r="H180" i="5"/>
  <c r="H172" i="5"/>
  <c r="H164" i="5"/>
  <c r="H156" i="5"/>
  <c r="H148" i="5"/>
  <c r="H140" i="5"/>
  <c r="H132" i="5"/>
  <c r="H124" i="5"/>
  <c r="H116" i="5"/>
  <c r="H109" i="5"/>
  <c r="H39935" i="5"/>
  <c r="H34617" i="5"/>
  <c r="H33581" i="5"/>
  <c r="H32557" i="5"/>
  <c r="H31533" i="5"/>
  <c r="H30509" i="5"/>
  <c r="H29485" i="5"/>
  <c r="H28885" i="5"/>
  <c r="H28373" i="5"/>
  <c r="H27861" i="5"/>
  <c r="H27376" i="5"/>
  <c r="H27056" i="5"/>
  <c r="H26800" i="5"/>
  <c r="H26544" i="5"/>
  <c r="H26288" i="5"/>
  <c r="H26032" i="5"/>
  <c r="H25776" i="5"/>
  <c r="H25524" i="5"/>
  <c r="H25318" i="5"/>
  <c r="H25115" i="5"/>
  <c r="H24927" i="5"/>
  <c r="H24799" i="5"/>
  <c r="H24671" i="5"/>
  <c r="H24543" i="5"/>
  <c r="H24415" i="5"/>
  <c r="H24287" i="5"/>
  <c r="H24159" i="5"/>
  <c r="H24031" i="5"/>
  <c r="H23903" i="5"/>
  <c r="H23775" i="5"/>
  <c r="H23647" i="5"/>
  <c r="H23519" i="5"/>
  <c r="H23391" i="5"/>
  <c r="H23263" i="5"/>
  <c r="H23135" i="5"/>
  <c r="H23007" i="5"/>
  <c r="H22879" i="5"/>
  <c r="H22751" i="5"/>
  <c r="H22623" i="5"/>
  <c r="H22495" i="5"/>
  <c r="H22367" i="5"/>
  <c r="H22239" i="5"/>
  <c r="H22111" i="5"/>
  <c r="H21983" i="5"/>
  <c r="H21855" i="5"/>
  <c r="H21727" i="5"/>
  <c r="H21599" i="5"/>
  <c r="H21471" i="5"/>
  <c r="H21343" i="5"/>
  <c r="H21215" i="5"/>
  <c r="H21087" i="5"/>
  <c r="H20959" i="5"/>
  <c r="H20831" i="5"/>
  <c r="H20703" i="5"/>
  <c r="H20575" i="5"/>
  <c r="H20447" i="5"/>
  <c r="H20319" i="5"/>
  <c r="H20191" i="5"/>
  <c r="H20063" i="5"/>
  <c r="H19935" i="5"/>
  <c r="H19807" i="5"/>
  <c r="H19679" i="5"/>
  <c r="H19551" i="5"/>
  <c r="H19423" i="5"/>
  <c r="H19295" i="5"/>
  <c r="H19167" i="5"/>
  <c r="H19039" i="5"/>
  <c r="H18911" i="5"/>
  <c r="H18783" i="5"/>
  <c r="H18655" i="5"/>
  <c r="H18527" i="5"/>
  <c r="H18399" i="5"/>
  <c r="H18271" i="5"/>
  <c r="H18143" i="5"/>
  <c r="H18015" i="5"/>
  <c r="H17887" i="5"/>
  <c r="H17759" i="5"/>
  <c r="H17631" i="5"/>
  <c r="H17503" i="5"/>
  <c r="H17408" i="5"/>
  <c r="H17327" i="5"/>
  <c r="H17263" i="5"/>
  <c r="H17199" i="5"/>
  <c r="H17135" i="5"/>
  <c r="H17071" i="5"/>
  <c r="H17007" i="5"/>
  <c r="H16943" i="5"/>
  <c r="H16879" i="5"/>
  <c r="H16815" i="5"/>
  <c r="H16751" i="5"/>
  <c r="H16687" i="5"/>
  <c r="H16623" i="5"/>
  <c r="H16576" i="5"/>
  <c r="H16540" i="5"/>
  <c r="H16507" i="5"/>
  <c r="H16475" i="5"/>
  <c r="H16443" i="5"/>
  <c r="H16411" i="5"/>
  <c r="H16379" i="5"/>
  <c r="H16347" i="5"/>
  <c r="H16315" i="5"/>
  <c r="H16283" i="5"/>
  <c r="H16251" i="5"/>
  <c r="H16219" i="5"/>
  <c r="H16187" i="5"/>
  <c r="H16155" i="5"/>
  <c r="H16123" i="5"/>
  <c r="H16091" i="5"/>
  <c r="H16059" i="5"/>
  <c r="H16027" i="5"/>
  <c r="H15995" i="5"/>
  <c r="H15963" i="5"/>
  <c r="H15931" i="5"/>
  <c r="H15899" i="5"/>
  <c r="H15867" i="5"/>
  <c r="H15835" i="5"/>
  <c r="H15803" i="5"/>
  <c r="H15771" i="5"/>
  <c r="H15739" i="5"/>
  <c r="H15707" i="5"/>
  <c r="H15675" i="5"/>
  <c r="H15643" i="5"/>
  <c r="H15611" i="5"/>
  <c r="H15579" i="5"/>
  <c r="H15547" i="5"/>
  <c r="H15515" i="5"/>
  <c r="H15483" i="5"/>
  <c r="H15451" i="5"/>
  <c r="H15419" i="5"/>
  <c r="H15387" i="5"/>
  <c r="H15355" i="5"/>
  <c r="H15323" i="5"/>
  <c r="H15291" i="5"/>
  <c r="H15259" i="5"/>
  <c r="H15227" i="5"/>
  <c r="H15195" i="5"/>
  <c r="H15163" i="5"/>
  <c r="H15131" i="5"/>
  <c r="H15099" i="5"/>
  <c r="H15067" i="5"/>
  <c r="H15035" i="5"/>
  <c r="H15003" i="5"/>
  <c r="H14971" i="5"/>
  <c r="H14939" i="5"/>
  <c r="H14907" i="5"/>
  <c r="H14875" i="5"/>
  <c r="H14843" i="5"/>
  <c r="H14811" i="5"/>
  <c r="H14779" i="5"/>
  <c r="H14747" i="5"/>
  <c r="H14715" i="5"/>
  <c r="H14683" i="5"/>
  <c r="H14651" i="5"/>
  <c r="H14619" i="5"/>
  <c r="H14587" i="5"/>
  <c r="H14555" i="5"/>
  <c r="H14523" i="5"/>
  <c r="H14491" i="5"/>
  <c r="H14459" i="5"/>
  <c r="H14427" i="5"/>
  <c r="H14395" i="5"/>
  <c r="H14363" i="5"/>
  <c r="H14331" i="5"/>
  <c r="H14299" i="5"/>
  <c r="H14267" i="5"/>
  <c r="H14235" i="5"/>
  <c r="H14203" i="5"/>
  <c r="H14171" i="5"/>
  <c r="H14139" i="5"/>
  <c r="H14107" i="5"/>
  <c r="H14075" i="5"/>
  <c r="H14043" i="5"/>
  <c r="H14011" i="5"/>
  <c r="H13979" i="5"/>
  <c r="H13947" i="5"/>
  <c r="H13915" i="5"/>
  <c r="H13883" i="5"/>
  <c r="H13851" i="5"/>
  <c r="H13819" i="5"/>
  <c r="H13787" i="5"/>
  <c r="H13755" i="5"/>
  <c r="H13723" i="5"/>
  <c r="H13691" i="5"/>
  <c r="H13659" i="5"/>
  <c r="H13627" i="5"/>
  <c r="H13595" i="5"/>
  <c r="H13563" i="5"/>
  <c r="H13531" i="5"/>
  <c r="H13499" i="5"/>
  <c r="H13467" i="5"/>
  <c r="H13435" i="5"/>
  <c r="H13403" i="5"/>
  <c r="H13371" i="5"/>
  <c r="H13339" i="5"/>
  <c r="H13307" i="5"/>
  <c r="H13275" i="5"/>
  <c r="H13243" i="5"/>
  <c r="H13211" i="5"/>
  <c r="H13179" i="5"/>
  <c r="H13147" i="5"/>
  <c r="H13115" i="5"/>
  <c r="H13083" i="5"/>
  <c r="H13051" i="5"/>
  <c r="H13019" i="5"/>
  <c r="H12987" i="5"/>
  <c r="H12955" i="5"/>
  <c r="H12923" i="5"/>
  <c r="H12891" i="5"/>
  <c r="H12859" i="5"/>
  <c r="H12827" i="5"/>
  <c r="H12795" i="5"/>
  <c r="H12763" i="5"/>
  <c r="H12731" i="5"/>
  <c r="H12699" i="5"/>
  <c r="H12667" i="5"/>
  <c r="H12635" i="5"/>
  <c r="H12603" i="5"/>
  <c r="H12571" i="5"/>
  <c r="H12539" i="5"/>
  <c r="H12507" i="5"/>
  <c r="H12475" i="5"/>
  <c r="H12443" i="5"/>
  <c r="H12411" i="5"/>
  <c r="H12379" i="5"/>
  <c r="H12347" i="5"/>
  <c r="H12315" i="5"/>
  <c r="H12283" i="5"/>
  <c r="H12251" i="5"/>
  <c r="H12219" i="5"/>
  <c r="H12187" i="5"/>
  <c r="H12155" i="5"/>
  <c r="H12123" i="5"/>
  <c r="H12091" i="5"/>
  <c r="H12059" i="5"/>
  <c r="H12027" i="5"/>
  <c r="H11995" i="5"/>
  <c r="H11963" i="5"/>
  <c r="H11931" i="5"/>
  <c r="H11899" i="5"/>
  <c r="H11867" i="5"/>
  <c r="H11835" i="5"/>
  <c r="H11803" i="5"/>
  <c r="H11771" i="5"/>
  <c r="H11739" i="5"/>
  <c r="H11707" i="5"/>
  <c r="H11675" i="5"/>
  <c r="H11643" i="5"/>
  <c r="H11611" i="5"/>
  <c r="H11579" i="5"/>
  <c r="H11547" i="5"/>
  <c r="H11515" i="5"/>
  <c r="H11483" i="5"/>
  <c r="H11451" i="5"/>
  <c r="H11419" i="5"/>
  <c r="H11387" i="5"/>
  <c r="H11355" i="5"/>
  <c r="H11323" i="5"/>
  <c r="H11291" i="5"/>
  <c r="H11259" i="5"/>
  <c r="H11227" i="5"/>
  <c r="H11195" i="5"/>
  <c r="H11163" i="5"/>
  <c r="H11131" i="5"/>
  <c r="H11099" i="5"/>
  <c r="H11067" i="5"/>
  <c r="H11035" i="5"/>
  <c r="H11003" i="5"/>
  <c r="H10971" i="5"/>
  <c r="H10939" i="5"/>
  <c r="H10907" i="5"/>
  <c r="H10875" i="5"/>
  <c r="H10843" i="5"/>
  <c r="H10811" i="5"/>
  <c r="H10779" i="5"/>
  <c r="H10747" i="5"/>
  <c r="H10715" i="5"/>
  <c r="H10683" i="5"/>
  <c r="H10651" i="5"/>
  <c r="H10619" i="5"/>
  <c r="H10587" i="5"/>
  <c r="H10555" i="5"/>
  <c r="H10523" i="5"/>
  <c r="H10491" i="5"/>
  <c r="H10459" i="5"/>
  <c r="H10427" i="5"/>
  <c r="H10395" i="5"/>
  <c r="H10363" i="5"/>
  <c r="H10331" i="5"/>
  <c r="H10299" i="5"/>
  <c r="H10267" i="5"/>
  <c r="H10235" i="5"/>
  <c r="H10203" i="5"/>
  <c r="H10171" i="5"/>
  <c r="H10139" i="5"/>
  <c r="H10107" i="5"/>
  <c r="H10075" i="5"/>
  <c r="H10043" i="5"/>
  <c r="H10011" i="5"/>
  <c r="H9979" i="5"/>
  <c r="H9947" i="5"/>
  <c r="H9915" i="5"/>
  <c r="H9883" i="5"/>
  <c r="H9851" i="5"/>
  <c r="H9819" i="5"/>
  <c r="H9787" i="5"/>
  <c r="H9755" i="5"/>
  <c r="H9723" i="5"/>
  <c r="H9691" i="5"/>
  <c r="H9659" i="5"/>
  <c r="H9627" i="5"/>
  <c r="H9595" i="5"/>
  <c r="H9563" i="5"/>
  <c r="H9531" i="5"/>
  <c r="H9499" i="5"/>
  <c r="H9467" i="5"/>
  <c r="H9435" i="5"/>
  <c r="H9403" i="5"/>
  <c r="H9371" i="5"/>
  <c r="H9339" i="5"/>
  <c r="H9307" i="5"/>
  <c r="H9275" i="5"/>
  <c r="H9243" i="5"/>
  <c r="H9211" i="5"/>
  <c r="H9179" i="5"/>
  <c r="H9147" i="5"/>
  <c r="H9115" i="5"/>
  <c r="H9083" i="5"/>
  <c r="H9051" i="5"/>
  <c r="H9019" i="5"/>
  <c r="H8987" i="5"/>
  <c r="H8955" i="5"/>
  <c r="H8923" i="5"/>
  <c r="H8891" i="5"/>
  <c r="H8859" i="5"/>
  <c r="H8827" i="5"/>
  <c r="H8795" i="5"/>
  <c r="H8763" i="5"/>
  <c r="H8731" i="5"/>
  <c r="H8699" i="5"/>
  <c r="H8667" i="5"/>
  <c r="H8635" i="5"/>
  <c r="H8603" i="5"/>
  <c r="H8571" i="5"/>
  <c r="H8539" i="5"/>
  <c r="H8507" i="5"/>
  <c r="H8475" i="5"/>
  <c r="H8443" i="5"/>
  <c r="H8411" i="5"/>
  <c r="H8379" i="5"/>
  <c r="H8347" i="5"/>
  <c r="H8315" i="5"/>
  <c r="H8283" i="5"/>
  <c r="H8251" i="5"/>
  <c r="H8219" i="5"/>
  <c r="H8187" i="5"/>
  <c r="H8155" i="5"/>
  <c r="H8123" i="5"/>
  <c r="H8091" i="5"/>
  <c r="H8059" i="5"/>
  <c r="H8027" i="5"/>
  <c r="H7995" i="5"/>
  <c r="H7963" i="5"/>
  <c r="H7931" i="5"/>
  <c r="H7899" i="5"/>
  <c r="H7867" i="5"/>
  <c r="H7835" i="5"/>
  <c r="H7803" i="5"/>
  <c r="H7771" i="5"/>
  <c r="H7739" i="5"/>
  <c r="H7707" i="5"/>
  <c r="H7675" i="5"/>
  <c r="H7643" i="5"/>
  <c r="H7611" i="5"/>
  <c r="H7579" i="5"/>
  <c r="H7547" i="5"/>
  <c r="H7515" i="5"/>
  <c r="H7483" i="5"/>
  <c r="H7451" i="5"/>
  <c r="H7419" i="5"/>
  <c r="H7387" i="5"/>
  <c r="H7355" i="5"/>
  <c r="H7323" i="5"/>
  <c r="H7291" i="5"/>
  <c r="H7259" i="5"/>
  <c r="H7227" i="5"/>
  <c r="H7195" i="5"/>
  <c r="H7163" i="5"/>
  <c r="H7131" i="5"/>
  <c r="H7099" i="5"/>
  <c r="H7067" i="5"/>
  <c r="H7035" i="5"/>
  <c r="H7003" i="5"/>
  <c r="H6971" i="5"/>
  <c r="H6939" i="5"/>
  <c r="H6907" i="5"/>
  <c r="H6875" i="5"/>
  <c r="H6843" i="5"/>
  <c r="H6811" i="5"/>
  <c r="H6779" i="5"/>
  <c r="H6747" i="5"/>
  <c r="H6715" i="5"/>
  <c r="H6683" i="5"/>
  <c r="H6651" i="5"/>
  <c r="H6619" i="5"/>
  <c r="H6587" i="5"/>
  <c r="H6555" i="5"/>
  <c r="H6523" i="5"/>
  <c r="H6491" i="5"/>
  <c r="H6459" i="5"/>
  <c r="H6427" i="5"/>
  <c r="H6395" i="5"/>
  <c r="H6363" i="5"/>
  <c r="H6331" i="5"/>
  <c r="H6299" i="5"/>
  <c r="H6267" i="5"/>
  <c r="H6235" i="5"/>
  <c r="H6203" i="5"/>
  <c r="H6171" i="5"/>
  <c r="H6139" i="5"/>
  <c r="H6107" i="5"/>
  <c r="H6075" i="5"/>
  <c r="H6043" i="5"/>
  <c r="H6011" i="5"/>
  <c r="H5979" i="5"/>
  <c r="H5947" i="5"/>
  <c r="H5915" i="5"/>
  <c r="H5883" i="5"/>
  <c r="H5851" i="5"/>
  <c r="H5819" i="5"/>
  <c r="H5787" i="5"/>
  <c r="H5755" i="5"/>
  <c r="H5723" i="5"/>
  <c r="H5691" i="5"/>
  <c r="H5659" i="5"/>
  <c r="H5627" i="5"/>
  <c r="H5595" i="5"/>
  <c r="H5563" i="5"/>
  <c r="H5531" i="5"/>
  <c r="H5499" i="5"/>
  <c r="H5467" i="5"/>
  <c r="H5435" i="5"/>
  <c r="H5403" i="5"/>
  <c r="H5371" i="5"/>
  <c r="H5339" i="5"/>
  <c r="H5307" i="5"/>
  <c r="H5275" i="5"/>
  <c r="H5243" i="5"/>
  <c r="H5211" i="5"/>
  <c r="H5179" i="5"/>
  <c r="H5147" i="5"/>
  <c r="H5115" i="5"/>
  <c r="H5083" i="5"/>
  <c r="H5051" i="5"/>
  <c r="H5019" i="5"/>
  <c r="H4987" i="5"/>
  <c r="H4955" i="5"/>
  <c r="H4923" i="5"/>
  <c r="H4891" i="5"/>
  <c r="H4859" i="5"/>
  <c r="H4827" i="5"/>
  <c r="H4795" i="5"/>
  <c r="H4763" i="5"/>
  <c r="H4731" i="5"/>
  <c r="H4699" i="5"/>
  <c r="H4667" i="5"/>
  <c r="H4635" i="5"/>
  <c r="H4603" i="5"/>
  <c r="H4571" i="5"/>
  <c r="H4539" i="5"/>
  <c r="H4507" i="5"/>
  <c r="H4475" i="5"/>
  <c r="H4443" i="5"/>
  <c r="H4411" i="5"/>
  <c r="H4379" i="5"/>
  <c r="H4347" i="5"/>
  <c r="H4315" i="5"/>
  <c r="H4283" i="5"/>
  <c r="H4251" i="5"/>
  <c r="H4219" i="5"/>
  <c r="H4187" i="5"/>
  <c r="H4155" i="5"/>
  <c r="H4123" i="5"/>
  <c r="H4091" i="5"/>
  <c r="H4059" i="5"/>
  <c r="H4027" i="5"/>
  <c r="H3995" i="5"/>
  <c r="H3963" i="5"/>
  <c r="H3931" i="5"/>
  <c r="H3899" i="5"/>
  <c r="H3867" i="5"/>
  <c r="H3835" i="5"/>
  <c r="H3803" i="5"/>
  <c r="H3771" i="5"/>
  <c r="H3739" i="5"/>
  <c r="H3707" i="5"/>
  <c r="H3675" i="5"/>
  <c r="H3643" i="5"/>
  <c r="H3611" i="5"/>
  <c r="H3579" i="5"/>
  <c r="H3547" i="5"/>
  <c r="H3515" i="5"/>
  <c r="H3483" i="5"/>
  <c r="H3451" i="5"/>
  <c r="H3419" i="5"/>
  <c r="H3387" i="5"/>
  <c r="H3355" i="5"/>
  <c r="H3323" i="5"/>
  <c r="H3291" i="5"/>
  <c r="H3259" i="5"/>
  <c r="H3227" i="5"/>
  <c r="H3195" i="5"/>
  <c r="H3163" i="5"/>
  <c r="H3131" i="5"/>
  <c r="H3099" i="5"/>
  <c r="H3067" i="5"/>
  <c r="H3035" i="5"/>
  <c r="H3003" i="5"/>
  <c r="H2971" i="5"/>
  <c r="H2939" i="5"/>
  <c r="H2907" i="5"/>
  <c r="H2875" i="5"/>
  <c r="H2843" i="5"/>
  <c r="H2811" i="5"/>
  <c r="H2779" i="5"/>
  <c r="H2747" i="5"/>
  <c r="H2715" i="5"/>
  <c r="H2683" i="5"/>
  <c r="H2651" i="5"/>
  <c r="H2619" i="5"/>
  <c r="H2587" i="5"/>
  <c r="H2555" i="5"/>
  <c r="H2523" i="5"/>
  <c r="H2491" i="5"/>
  <c r="H2459" i="5"/>
  <c r="H2427" i="5"/>
  <c r="H2395" i="5"/>
  <c r="H2363" i="5"/>
  <c r="H2331" i="5"/>
  <c r="H2299" i="5"/>
  <c r="H2267" i="5"/>
  <c r="H2235" i="5"/>
  <c r="H2203" i="5"/>
  <c r="H2171" i="5"/>
  <c r="H2139" i="5"/>
  <c r="H2107" i="5"/>
  <c r="H2075" i="5"/>
  <c r="H2043" i="5"/>
  <c r="H2011" i="5"/>
  <c r="H1979" i="5"/>
  <c r="H1947" i="5"/>
  <c r="H1915" i="5"/>
  <c r="H1883" i="5"/>
  <c r="H1851" i="5"/>
  <c r="H1819" i="5"/>
  <c r="H1787" i="5"/>
  <c r="H1755" i="5"/>
  <c r="H1723" i="5"/>
  <c r="H1691" i="5"/>
  <c r="H1659" i="5"/>
  <c r="H1627" i="5"/>
  <c r="H1595" i="5"/>
  <c r="H1563" i="5"/>
  <c r="H1531" i="5"/>
  <c r="H1499" i="5"/>
  <c r="H1467" i="5"/>
  <c r="H1435" i="5"/>
  <c r="H1403" i="5"/>
  <c r="H1371" i="5"/>
  <c r="H1339" i="5"/>
  <c r="H1307" i="5"/>
  <c r="H1275" i="5"/>
  <c r="H1243" i="5"/>
  <c r="H1211" i="5"/>
  <c r="H1179" i="5"/>
  <c r="H1147" i="5"/>
  <c r="H1115" i="5"/>
  <c r="H1083" i="5"/>
  <c r="H1051" i="5"/>
  <c r="H1019" i="5"/>
  <c r="H987" i="5"/>
  <c r="H955" i="5"/>
  <c r="H923" i="5"/>
  <c r="H891" i="5"/>
  <c r="H859" i="5"/>
  <c r="H827" i="5"/>
  <c r="H795" i="5"/>
  <c r="H763" i="5"/>
  <c r="H731" i="5"/>
  <c r="H699" i="5"/>
  <c r="H667" i="5"/>
  <c r="H635" i="5"/>
  <c r="H603" i="5"/>
  <c r="H571" i="5"/>
  <c r="H539" i="5"/>
  <c r="H507" i="5"/>
  <c r="H475" i="5"/>
  <c r="H443" i="5"/>
  <c r="H418" i="5"/>
  <c r="H395" i="5"/>
  <c r="H376" i="5"/>
  <c r="H354" i="5"/>
  <c r="H331" i="5"/>
  <c r="H312" i="5"/>
  <c r="H290" i="5"/>
  <c r="H267" i="5"/>
  <c r="H248" i="5"/>
  <c r="H226" i="5"/>
  <c r="H203" i="5"/>
  <c r="H184" i="5"/>
  <c r="H162" i="5"/>
  <c r="H139" i="5"/>
  <c r="H120" i="5"/>
  <c r="H38854" i="5"/>
  <c r="H34485" i="5"/>
  <c r="H33461" i="5"/>
  <c r="H32437" i="5"/>
  <c r="H31413" i="5"/>
  <c r="H30389" i="5"/>
  <c r="H29365" i="5"/>
  <c r="H28822" i="5"/>
  <c r="H28310" i="5"/>
  <c r="H27798" i="5"/>
  <c r="H27336" i="5"/>
  <c r="H27028" i="5"/>
  <c r="H26772" i="5"/>
  <c r="H26516" i="5"/>
  <c r="H26260" i="5"/>
  <c r="H26004" i="5"/>
  <c r="H25748" i="5"/>
  <c r="H25500" i="5"/>
  <c r="H25294" i="5"/>
  <c r="H25091" i="5"/>
  <c r="H24912" i="5"/>
  <c r="H24784" i="5"/>
  <c r="H24656" i="5"/>
  <c r="H24528" i="5"/>
  <c r="H24400" i="5"/>
  <c r="H24272" i="5"/>
  <c r="H24144" i="5"/>
  <c r="H24016" i="5"/>
  <c r="H23888" i="5"/>
  <c r="H23760" i="5"/>
  <c r="H23632" i="5"/>
  <c r="H23504" i="5"/>
  <c r="H23376" i="5"/>
  <c r="H23248" i="5"/>
  <c r="H23120" i="5"/>
  <c r="H22992" i="5"/>
  <c r="H22864" i="5"/>
  <c r="H22736" i="5"/>
  <c r="H22608" i="5"/>
  <c r="H22480" i="5"/>
  <c r="H22352" i="5"/>
  <c r="H22224" i="5"/>
  <c r="H22096" i="5"/>
  <c r="H21968" i="5"/>
  <c r="H21840" i="5"/>
  <c r="H21712" i="5"/>
  <c r="H21584" i="5"/>
  <c r="H21456" i="5"/>
  <c r="H21328" i="5"/>
  <c r="H21200" i="5"/>
  <c r="H21072" i="5"/>
  <c r="H20944" i="5"/>
  <c r="H20816" i="5"/>
  <c r="H20688" i="5"/>
  <c r="H20560" i="5"/>
  <c r="H20432" i="5"/>
  <c r="H20304" i="5"/>
  <c r="H20176" i="5"/>
  <c r="H20048" i="5"/>
  <c r="H19920" i="5"/>
  <c r="H19792" i="5"/>
  <c r="H19664" i="5"/>
  <c r="H19536" i="5"/>
  <c r="H19408" i="5"/>
  <c r="H19280" i="5"/>
  <c r="H19152" i="5"/>
  <c r="H19024" i="5"/>
  <c r="H18896" i="5"/>
  <c r="H18768" i="5"/>
  <c r="H18640" i="5"/>
  <c r="H18512" i="5"/>
  <c r="H18384" i="5"/>
  <c r="H18256" i="5"/>
  <c r="H18128" i="5"/>
  <c r="H18000" i="5"/>
  <c r="H17872" i="5"/>
  <c r="H17744" i="5"/>
  <c r="H17616" i="5"/>
  <c r="H17488" i="5"/>
  <c r="H17400" i="5"/>
  <c r="H17320" i="5"/>
  <c r="H17256" i="5"/>
  <c r="H17192" i="5"/>
  <c r="H17128" i="5"/>
  <c r="H17064" i="5"/>
  <c r="H17000" i="5"/>
  <c r="H16936" i="5"/>
  <c r="H16872" i="5"/>
  <c r="H16808" i="5"/>
  <c r="H16744" i="5"/>
  <c r="H16680" i="5"/>
  <c r="H16616" i="5"/>
  <c r="H16573" i="5"/>
  <c r="H16536" i="5"/>
  <c r="H16504" i="5"/>
  <c r="H16472" i="5"/>
  <c r="H16440" i="5"/>
  <c r="H16408" i="5"/>
  <c r="H16376" i="5"/>
  <c r="H16344" i="5"/>
  <c r="H16312" i="5"/>
  <c r="H16280" i="5"/>
  <c r="H16248" i="5"/>
  <c r="H16216" i="5"/>
  <c r="H16184" i="5"/>
  <c r="H16152" i="5"/>
  <c r="H16120" i="5"/>
  <c r="H16088" i="5"/>
  <c r="H16056" i="5"/>
  <c r="H16024" i="5"/>
  <c r="H15992" i="5"/>
  <c r="H15960" i="5"/>
  <c r="H15928" i="5"/>
  <c r="H15896" i="5"/>
  <c r="H15864" i="5"/>
  <c r="H15832" i="5"/>
  <c r="H15800" i="5"/>
  <c r="H15768" i="5"/>
  <c r="H15736" i="5"/>
  <c r="H15704" i="5"/>
  <c r="H15672" i="5"/>
  <c r="H15640" i="5"/>
  <c r="H15608" i="5"/>
  <c r="H15576" i="5"/>
  <c r="H15544" i="5"/>
  <c r="H15512" i="5"/>
  <c r="H15480" i="5"/>
  <c r="H15448" i="5"/>
  <c r="H15416" i="5"/>
  <c r="H15384" i="5"/>
  <c r="H15352" i="5"/>
  <c r="H15320" i="5"/>
  <c r="H15288" i="5"/>
  <c r="H15256" i="5"/>
  <c r="H15224" i="5"/>
  <c r="H15192" i="5"/>
  <c r="H15160" i="5"/>
  <c r="H15128" i="5"/>
  <c r="H15096" i="5"/>
  <c r="H15064" i="5"/>
  <c r="H15032" i="5"/>
  <c r="H15000" i="5"/>
  <c r="H14968" i="5"/>
  <c r="H14936" i="5"/>
  <c r="H14904" i="5"/>
  <c r="H14872" i="5"/>
  <c r="H14840" i="5"/>
  <c r="H14808" i="5"/>
  <c r="H14776" i="5"/>
  <c r="H14744" i="5"/>
  <c r="H14712" i="5"/>
  <c r="H14680" i="5"/>
  <c r="H14648" i="5"/>
  <c r="H14616" i="5"/>
  <c r="H14584" i="5"/>
  <c r="H14552" i="5"/>
  <c r="H14520" i="5"/>
  <c r="H14488" i="5"/>
  <c r="H14456" i="5"/>
  <c r="H14424" i="5"/>
  <c r="H14392" i="5"/>
  <c r="H14360" i="5"/>
  <c r="H14328" i="5"/>
  <c r="H14296" i="5"/>
  <c r="H14264" i="5"/>
  <c r="H14232" i="5"/>
  <c r="H14200" i="5"/>
  <c r="H14168" i="5"/>
  <c r="H14136" i="5"/>
  <c r="H14104" i="5"/>
  <c r="H14072" i="5"/>
  <c r="H14040" i="5"/>
  <c r="H14008" i="5"/>
  <c r="H13976" i="5"/>
  <c r="H13944" i="5"/>
  <c r="H13912" i="5"/>
  <c r="H13880" i="5"/>
  <c r="H13848" i="5"/>
  <c r="H13816" i="5"/>
  <c r="H13784" i="5"/>
  <c r="H13752" i="5"/>
  <c r="H13720" i="5"/>
  <c r="H13688" i="5"/>
  <c r="H13656" i="5"/>
  <c r="H13624" i="5"/>
  <c r="H13592" i="5"/>
  <c r="H13560" i="5"/>
  <c r="H13528" i="5"/>
  <c r="H13496" i="5"/>
  <c r="H13464" i="5"/>
  <c r="H13432" i="5"/>
  <c r="H13400" i="5"/>
  <c r="H13368" i="5"/>
  <c r="H13336" i="5"/>
  <c r="H13304" i="5"/>
  <c r="H13272" i="5"/>
  <c r="H13240" i="5"/>
  <c r="H13208" i="5"/>
  <c r="H13176" i="5"/>
  <c r="H13144" i="5"/>
  <c r="H13112" i="5"/>
  <c r="H13080" i="5"/>
  <c r="H13048" i="5"/>
  <c r="H13016" i="5"/>
  <c r="H12984" i="5"/>
  <c r="H12952" i="5"/>
  <c r="H12920" i="5"/>
  <c r="H12888" i="5"/>
  <c r="H12856" i="5"/>
  <c r="H12824" i="5"/>
  <c r="H12792" i="5"/>
  <c r="H12760" i="5"/>
  <c r="H12728" i="5"/>
  <c r="H12696" i="5"/>
  <c r="H12664" i="5"/>
  <c r="H12632" i="5"/>
  <c r="H12600" i="5"/>
  <c r="H12568" i="5"/>
  <c r="H12536" i="5"/>
  <c r="H12504" i="5"/>
  <c r="H12472" i="5"/>
  <c r="H12440" i="5"/>
  <c r="H12408" i="5"/>
  <c r="H12376" i="5"/>
  <c r="H12344" i="5"/>
  <c r="H12312" i="5"/>
  <c r="H12280" i="5"/>
  <c r="H12248" i="5"/>
  <c r="H12216" i="5"/>
  <c r="H12184" i="5"/>
  <c r="H12152" i="5"/>
  <c r="H12120" i="5"/>
  <c r="H12088" i="5"/>
  <c r="H12056" i="5"/>
  <c r="H12024" i="5"/>
  <c r="H11992" i="5"/>
  <c r="H11960" i="5"/>
  <c r="H11928" i="5"/>
  <c r="H11896" i="5"/>
  <c r="H11864" i="5"/>
  <c r="H11832" i="5"/>
  <c r="H11800" i="5"/>
  <c r="H11768" i="5"/>
  <c r="H11736" i="5"/>
  <c r="H11704" i="5"/>
  <c r="H11672" i="5"/>
  <c r="H11640" i="5"/>
  <c r="H11608" i="5"/>
  <c r="H11576" i="5"/>
  <c r="H11544" i="5"/>
  <c r="H11512" i="5"/>
  <c r="H11480" i="5"/>
  <c r="H11448" i="5"/>
  <c r="H11416" i="5"/>
  <c r="H11384" i="5"/>
  <c r="H11352" i="5"/>
  <c r="H11320" i="5"/>
  <c r="H11288" i="5"/>
  <c r="H11256" i="5"/>
  <c r="H11224" i="5"/>
  <c r="H11192" i="5"/>
  <c r="H11160" i="5"/>
  <c r="H11128" i="5"/>
  <c r="H11096" i="5"/>
  <c r="H11064" i="5"/>
  <c r="H11032" i="5"/>
  <c r="H11000" i="5"/>
  <c r="H10968" i="5"/>
  <c r="H10936" i="5"/>
  <c r="H10904" i="5"/>
  <c r="H10872" i="5"/>
  <c r="H10840" i="5"/>
  <c r="H10808" i="5"/>
  <c r="H10776" i="5"/>
  <c r="H10744" i="5"/>
  <c r="H10712" i="5"/>
  <c r="H10680" i="5"/>
  <c r="H10648" i="5"/>
  <c r="H10616" i="5"/>
  <c r="H10584" i="5"/>
  <c r="H10552" i="5"/>
  <c r="H10520" i="5"/>
  <c r="H10488" i="5"/>
  <c r="H10456" i="5"/>
  <c r="H10424" i="5"/>
  <c r="H10392" i="5"/>
  <c r="H10360" i="5"/>
  <c r="H10328" i="5"/>
  <c r="H10296" i="5"/>
  <c r="H10264" i="5"/>
  <c r="H10232" i="5"/>
  <c r="H10200" i="5"/>
  <c r="H10168" i="5"/>
  <c r="H10136" i="5"/>
  <c r="H10104" i="5"/>
  <c r="H10072" i="5"/>
  <c r="H10040" i="5"/>
  <c r="H10008" i="5"/>
  <c r="H9976" i="5"/>
  <c r="H9944" i="5"/>
  <c r="H9912" i="5"/>
  <c r="H9880" i="5"/>
  <c r="H9848" i="5"/>
  <c r="H9816" i="5"/>
  <c r="H9784" i="5"/>
  <c r="H9752" i="5"/>
  <c r="H9720" i="5"/>
  <c r="H9688" i="5"/>
  <c r="H9656" i="5"/>
  <c r="H9624" i="5"/>
  <c r="H9592" i="5"/>
  <c r="H9560" i="5"/>
  <c r="H9528" i="5"/>
  <c r="H9496" i="5"/>
  <c r="H9464" i="5"/>
  <c r="H9432" i="5"/>
  <c r="H9400" i="5"/>
  <c r="H9368" i="5"/>
  <c r="H9336" i="5"/>
  <c r="H9304" i="5"/>
  <c r="H9272" i="5"/>
  <c r="H9240" i="5"/>
  <c r="H9208" i="5"/>
  <c r="H9176" i="5"/>
  <c r="H9144" i="5"/>
  <c r="H9112" i="5"/>
  <c r="H9080" i="5"/>
  <c r="H9048" i="5"/>
  <c r="H9016" i="5"/>
  <c r="H8984" i="5"/>
  <c r="H8952" i="5"/>
  <c r="H8920" i="5"/>
  <c r="H8888" i="5"/>
  <c r="H8856" i="5"/>
  <c r="H8824" i="5"/>
  <c r="H8792" i="5"/>
  <c r="H8760" i="5"/>
  <c r="H8728" i="5"/>
  <c r="H8696" i="5"/>
  <c r="H8664" i="5"/>
  <c r="H8632" i="5"/>
  <c r="H8600" i="5"/>
  <c r="H8568" i="5"/>
  <c r="H8536" i="5"/>
  <c r="H8504" i="5"/>
  <c r="H8472" i="5"/>
  <c r="H8440" i="5"/>
  <c r="H8408" i="5"/>
  <c r="H8376" i="5"/>
  <c r="H8344" i="5"/>
  <c r="H8312" i="5"/>
  <c r="H8280" i="5"/>
  <c r="H8248" i="5"/>
  <c r="H8216" i="5"/>
  <c r="H8184" i="5"/>
  <c r="H8152" i="5"/>
  <c r="H8120" i="5"/>
  <c r="H8088" i="5"/>
  <c r="H8056" i="5"/>
  <c r="H8024" i="5"/>
  <c r="H7992" i="5"/>
  <c r="H7960" i="5"/>
  <c r="H7928" i="5"/>
  <c r="H7896" i="5"/>
  <c r="H7864" i="5"/>
  <c r="H7832" i="5"/>
  <c r="H7800" i="5"/>
  <c r="H7768" i="5"/>
  <c r="H7736" i="5"/>
  <c r="H7704" i="5"/>
  <c r="H7672" i="5"/>
  <c r="H7640" i="5"/>
  <c r="H7608" i="5"/>
  <c r="H7576" i="5"/>
  <c r="H7544" i="5"/>
  <c r="H7512" i="5"/>
  <c r="H7480" i="5"/>
  <c r="H7448" i="5"/>
  <c r="H7416" i="5"/>
  <c r="H7384" i="5"/>
  <c r="H7352" i="5"/>
  <c r="H7320" i="5"/>
  <c r="H7288" i="5"/>
  <c r="H7256" i="5"/>
  <c r="H7224" i="5"/>
  <c r="H7192" i="5"/>
  <c r="H7160" i="5"/>
  <c r="H7128" i="5"/>
  <c r="H7096" i="5"/>
  <c r="H7064" i="5"/>
  <c r="H7032" i="5"/>
  <c r="H7000" i="5"/>
  <c r="H6968" i="5"/>
  <c r="H6936" i="5"/>
  <c r="H6904" i="5"/>
  <c r="H6872" i="5"/>
  <c r="H6840" i="5"/>
  <c r="H6808" i="5"/>
  <c r="H6776" i="5"/>
  <c r="H6744" i="5"/>
  <c r="H6712" i="5"/>
  <c r="H6680" i="5"/>
  <c r="H6648" i="5"/>
  <c r="H6616" i="5"/>
  <c r="H6584" i="5"/>
  <c r="H6552" i="5"/>
  <c r="H6520" i="5"/>
  <c r="H6488" i="5"/>
  <c r="H6456" i="5"/>
  <c r="H6424" i="5"/>
  <c r="H6392" i="5"/>
  <c r="H6360" i="5"/>
  <c r="H6328" i="5"/>
  <c r="H6296" i="5"/>
  <c r="H6264" i="5"/>
  <c r="H6232" i="5"/>
  <c r="H6200" i="5"/>
  <c r="H6168" i="5"/>
  <c r="H6136" i="5"/>
  <c r="H6104" i="5"/>
  <c r="H6072" i="5"/>
  <c r="H6040" i="5"/>
  <c r="H6008" i="5"/>
  <c r="H5976" i="5"/>
  <c r="H5944" i="5"/>
  <c r="H5912" i="5"/>
  <c r="H5880" i="5"/>
  <c r="H5848" i="5"/>
  <c r="H5816" i="5"/>
  <c r="H5784" i="5"/>
  <c r="H5752" i="5"/>
  <c r="H5720" i="5"/>
  <c r="H5688" i="5"/>
  <c r="H5656" i="5"/>
  <c r="H5624" i="5"/>
  <c r="H5592" i="5"/>
  <c r="H5560" i="5"/>
  <c r="H5528" i="5"/>
  <c r="H5496" i="5"/>
  <c r="H5464" i="5"/>
  <c r="H5432" i="5"/>
  <c r="H5400" i="5"/>
  <c r="H5368" i="5"/>
  <c r="H5336" i="5"/>
  <c r="H5304" i="5"/>
  <c r="H5272" i="5"/>
  <c r="H5240" i="5"/>
  <c r="H5208" i="5"/>
  <c r="H5176" i="5"/>
  <c r="H5144" i="5"/>
  <c r="H5112" i="5"/>
  <c r="H5080" i="5"/>
  <c r="H5048" i="5"/>
  <c r="H5016" i="5"/>
  <c r="H4984" i="5"/>
  <c r="H4952" i="5"/>
  <c r="H4920" i="5"/>
  <c r="H4888" i="5"/>
  <c r="H4856" i="5"/>
  <c r="H4824" i="5"/>
  <c r="H4792" i="5"/>
  <c r="H4760" i="5"/>
  <c r="H4728" i="5"/>
  <c r="H4696" i="5"/>
  <c r="H4664" i="5"/>
  <c r="H4632" i="5"/>
  <c r="H4600" i="5"/>
  <c r="H4568" i="5"/>
  <c r="H4536" i="5"/>
  <c r="H4504" i="5"/>
  <c r="H4472" i="5"/>
  <c r="H4440" i="5"/>
  <c r="H4408" i="5"/>
  <c r="H4376" i="5"/>
  <c r="H4344" i="5"/>
  <c r="H4312" i="5"/>
  <c r="H4280" i="5"/>
  <c r="H4248" i="5"/>
  <c r="H4216" i="5"/>
  <c r="H4184" i="5"/>
  <c r="H4152" i="5"/>
  <c r="H4120" i="5"/>
  <c r="H4088" i="5"/>
  <c r="H4056" i="5"/>
  <c r="H4024" i="5"/>
  <c r="H3992" i="5"/>
  <c r="H3960" i="5"/>
  <c r="H3928" i="5"/>
  <c r="H3896" i="5"/>
  <c r="H3864" i="5"/>
  <c r="H3832" i="5"/>
  <c r="H3800" i="5"/>
  <c r="H3768" i="5"/>
  <c r="H3736" i="5"/>
  <c r="H3704" i="5"/>
  <c r="H3672" i="5"/>
  <c r="H3640" i="5"/>
  <c r="H3608" i="5"/>
  <c r="H3576" i="5"/>
  <c r="H3544" i="5"/>
  <c r="H3512" i="5"/>
  <c r="H3480" i="5"/>
  <c r="H3448" i="5"/>
  <c r="H3416" i="5"/>
  <c r="H3384" i="5"/>
  <c r="H3352" i="5"/>
  <c r="H3320" i="5"/>
  <c r="H3288" i="5"/>
  <c r="H3256" i="5"/>
  <c r="H3224" i="5"/>
  <c r="H3192" i="5"/>
  <c r="H3160" i="5"/>
  <c r="H3128" i="5"/>
  <c r="H3096" i="5"/>
  <c r="H3064" i="5"/>
  <c r="H3032" i="5"/>
  <c r="H3000" i="5"/>
  <c r="H2968" i="5"/>
  <c r="H2936" i="5"/>
  <c r="H2904" i="5"/>
  <c r="H2872" i="5"/>
  <c r="H2840" i="5"/>
  <c r="H2808" i="5"/>
  <c r="H2776" i="5"/>
  <c r="H2744" i="5"/>
  <c r="H2712" i="5"/>
  <c r="H2680" i="5"/>
  <c r="H2648" i="5"/>
  <c r="H2616" i="5"/>
  <c r="H2584" i="5"/>
  <c r="H2552" i="5"/>
  <c r="H2520" i="5"/>
  <c r="H2488" i="5"/>
  <c r="H2456" i="5"/>
  <c r="H2424" i="5"/>
  <c r="H2392" i="5"/>
  <c r="H2360" i="5"/>
  <c r="H2328" i="5"/>
  <c r="H2296" i="5"/>
  <c r="H2264" i="5"/>
  <c r="H2232" i="5"/>
  <c r="H2200" i="5"/>
  <c r="H2168" i="5"/>
  <c r="H2136" i="5"/>
  <c r="H2104" i="5"/>
  <c r="H2072" i="5"/>
  <c r="H2040" i="5"/>
  <c r="H2008" i="5"/>
  <c r="H1976" i="5"/>
  <c r="H1944" i="5"/>
  <c r="H1912" i="5"/>
  <c r="H1880" i="5"/>
  <c r="H1848" i="5"/>
  <c r="H1816" i="5"/>
  <c r="H1784" i="5"/>
  <c r="H1752" i="5"/>
  <c r="H1720" i="5"/>
  <c r="H1688" i="5"/>
  <c r="H1656" i="5"/>
  <c r="H1624" i="5"/>
  <c r="H1592" i="5"/>
  <c r="H1560" i="5"/>
  <c r="H1528" i="5"/>
  <c r="H1496" i="5"/>
  <c r="H1464" i="5"/>
  <c r="H1432" i="5"/>
  <c r="H1400" i="5"/>
  <c r="H1368" i="5"/>
  <c r="H1336" i="5"/>
  <c r="H1304" i="5"/>
  <c r="H1272" i="5"/>
  <c r="H1240" i="5"/>
  <c r="H1208" i="5"/>
  <c r="H1176" i="5"/>
  <c r="H1144" i="5"/>
  <c r="H1112" i="5"/>
  <c r="H1080" i="5"/>
  <c r="H1048" i="5"/>
  <c r="H1016" i="5"/>
  <c r="H984" i="5"/>
  <c r="H952" i="5"/>
  <c r="H920" i="5"/>
  <c r="H888" i="5"/>
  <c r="H856" i="5"/>
  <c r="H824" i="5"/>
  <c r="H792" i="5"/>
  <c r="H760" i="5"/>
  <c r="H728" i="5"/>
  <c r="H696" i="5"/>
  <c r="H664" i="5"/>
  <c r="H632" i="5"/>
  <c r="H600" i="5"/>
  <c r="H568" i="5"/>
  <c r="H536" i="5"/>
  <c r="H504" i="5"/>
  <c r="H472" i="5"/>
  <c r="H440" i="5"/>
  <c r="H416" i="5"/>
  <c r="H394" i="5"/>
  <c r="H371" i="5"/>
  <c r="H352" i="5"/>
  <c r="H330" i="5"/>
  <c r="H307" i="5"/>
  <c r="H288" i="5"/>
  <c r="H266" i="5"/>
  <c r="H243" i="5"/>
  <c r="H224" i="5"/>
  <c r="H202" i="5"/>
  <c r="H179" i="5"/>
  <c r="H160" i="5"/>
  <c r="H138" i="5"/>
  <c r="H115" i="5"/>
  <c r="H37766" i="5"/>
  <c r="H34349" i="5"/>
  <c r="H33325" i="5"/>
  <c r="H32301" i="5"/>
  <c r="H31277" i="5"/>
  <c r="H30253" i="5"/>
  <c r="H29269" i="5"/>
  <c r="H28757" i="5"/>
  <c r="H28245" i="5"/>
  <c r="H27733" i="5"/>
  <c r="H27293" i="5"/>
  <c r="H26992" i="5"/>
  <c r="H26736" i="5"/>
  <c r="H26480" i="5"/>
  <c r="H26224" i="5"/>
  <c r="H25968" i="5"/>
  <c r="H25712" i="5"/>
  <c r="H25472" i="5"/>
  <c r="H25268" i="5"/>
  <c r="H25062" i="5"/>
  <c r="H24895" i="5"/>
  <c r="H24767" i="5"/>
  <c r="H24639" i="5"/>
  <c r="H24511" i="5"/>
  <c r="H24383" i="5"/>
  <c r="H24255" i="5"/>
  <c r="H24127" i="5"/>
  <c r="H23999" i="5"/>
  <c r="H23871" i="5"/>
  <c r="H23743" i="5"/>
  <c r="H23615" i="5"/>
  <c r="H23487" i="5"/>
  <c r="H23359" i="5"/>
  <c r="H23231" i="5"/>
  <c r="H23103" i="5"/>
  <c r="H22975" i="5"/>
  <c r="H22847" i="5"/>
  <c r="H22719" i="5"/>
  <c r="H22591" i="5"/>
  <c r="H22463" i="5"/>
  <c r="H22335" i="5"/>
  <c r="H22207" i="5"/>
  <c r="H22079" i="5"/>
  <c r="H21951" i="5"/>
  <c r="H21823" i="5"/>
  <c r="H21695" i="5"/>
  <c r="H21567" i="5"/>
  <c r="H21439" i="5"/>
  <c r="H21311" i="5"/>
  <c r="H21183" i="5"/>
  <c r="H21055" i="5"/>
  <c r="H20927" i="5"/>
  <c r="H20799" i="5"/>
  <c r="H20671" i="5"/>
  <c r="H20543" i="5"/>
  <c r="H20415" i="5"/>
  <c r="H20287" i="5"/>
  <c r="H20159" i="5"/>
  <c r="H20031" i="5"/>
  <c r="H19903" i="5"/>
  <c r="H19775" i="5"/>
  <c r="H19647" i="5"/>
  <c r="H19519" i="5"/>
  <c r="H19391" i="5"/>
  <c r="H19263" i="5"/>
  <c r="H19135" i="5"/>
  <c r="H19007" i="5"/>
  <c r="H18879" i="5"/>
  <c r="H18751" i="5"/>
  <c r="H18623" i="5"/>
  <c r="H18495" i="5"/>
  <c r="H18367" i="5"/>
  <c r="H18239" i="5"/>
  <c r="H18111" i="5"/>
  <c r="H17983" i="5"/>
  <c r="H17855" i="5"/>
  <c r="H17727" i="5"/>
  <c r="H17599" i="5"/>
  <c r="H17472" i="5"/>
  <c r="H17388" i="5"/>
  <c r="H17311" i="5"/>
  <c r="H17247" i="5"/>
  <c r="H17183" i="5"/>
  <c r="H17119" i="5"/>
  <c r="H17055" i="5"/>
  <c r="H16991" i="5"/>
  <c r="H16927" i="5"/>
  <c r="H16863" i="5"/>
  <c r="H16799" i="5"/>
  <c r="H16735" i="5"/>
  <c r="H16671" i="5"/>
  <c r="H16607" i="5"/>
  <c r="H16567" i="5"/>
  <c r="H16531" i="5"/>
  <c r="H16499" i="5"/>
  <c r="H16467" i="5"/>
  <c r="H16435" i="5"/>
  <c r="H16403" i="5"/>
  <c r="H16371" i="5"/>
  <c r="H16339" i="5"/>
  <c r="H16307" i="5"/>
  <c r="H16275" i="5"/>
  <c r="H16243" i="5"/>
  <c r="H16211" i="5"/>
  <c r="H16179" i="5"/>
  <c r="H16147" i="5"/>
  <c r="H16115" i="5"/>
  <c r="H16083" i="5"/>
  <c r="H16051" i="5"/>
  <c r="H16019" i="5"/>
  <c r="H15987" i="5"/>
  <c r="H15955" i="5"/>
  <c r="H15923" i="5"/>
  <c r="H15891" i="5"/>
  <c r="H15859" i="5"/>
  <c r="H15827" i="5"/>
  <c r="H15795" i="5"/>
  <c r="H15763" i="5"/>
  <c r="H15731" i="5"/>
  <c r="H15699" i="5"/>
  <c r="H15667" i="5"/>
  <c r="H15635" i="5"/>
  <c r="H15603" i="5"/>
  <c r="H15571" i="5"/>
  <c r="H15539" i="5"/>
  <c r="H15507" i="5"/>
  <c r="H15475" i="5"/>
  <c r="H15443" i="5"/>
  <c r="H15411" i="5"/>
  <c r="H15379" i="5"/>
  <c r="H15347" i="5"/>
  <c r="H15315" i="5"/>
  <c r="H15283" i="5"/>
  <c r="H15251" i="5"/>
  <c r="H15219" i="5"/>
  <c r="H15187" i="5"/>
  <c r="H15155" i="5"/>
  <c r="H15123" i="5"/>
  <c r="H15091" i="5"/>
  <c r="H15059" i="5"/>
  <c r="H15027" i="5"/>
  <c r="H14995" i="5"/>
  <c r="H14963" i="5"/>
  <c r="H14931" i="5"/>
  <c r="H14899" i="5"/>
  <c r="H14867" i="5"/>
  <c r="H14835" i="5"/>
  <c r="H14803" i="5"/>
  <c r="H14771" i="5"/>
  <c r="H14739" i="5"/>
  <c r="H14707" i="5"/>
  <c r="H14675" i="5"/>
  <c r="H14643" i="5"/>
  <c r="H14611" i="5"/>
  <c r="H14579" i="5"/>
  <c r="H14547" i="5"/>
  <c r="H14515" i="5"/>
  <c r="H14483" i="5"/>
  <c r="H14451" i="5"/>
  <c r="H14419" i="5"/>
  <c r="H14387" i="5"/>
  <c r="H14355" i="5"/>
  <c r="H14323" i="5"/>
  <c r="H14291" i="5"/>
  <c r="H14259" i="5"/>
  <c r="H14227" i="5"/>
  <c r="H14195" i="5"/>
  <c r="H14163" i="5"/>
  <c r="H14131" i="5"/>
  <c r="H14099" i="5"/>
  <c r="H14067" i="5"/>
  <c r="H14035" i="5"/>
  <c r="H14003" i="5"/>
  <c r="H13971" i="5"/>
  <c r="H13939" i="5"/>
  <c r="H13907" i="5"/>
  <c r="H13875" i="5"/>
  <c r="H13843" i="5"/>
  <c r="H13811" i="5"/>
  <c r="H13779" i="5"/>
  <c r="H13747" i="5"/>
  <c r="H13715" i="5"/>
  <c r="H13683" i="5"/>
  <c r="H13651" i="5"/>
  <c r="H13619" i="5"/>
  <c r="H13587" i="5"/>
  <c r="H13555" i="5"/>
  <c r="H13523" i="5"/>
  <c r="H13491" i="5"/>
  <c r="H13459" i="5"/>
  <c r="H13427" i="5"/>
  <c r="H13395" i="5"/>
  <c r="H13363" i="5"/>
  <c r="H13331" i="5"/>
  <c r="H13299" i="5"/>
  <c r="H13267" i="5"/>
  <c r="H13235" i="5"/>
  <c r="H13203" i="5"/>
  <c r="H13171" i="5"/>
  <c r="H13139" i="5"/>
  <c r="H13107" i="5"/>
  <c r="H13075" i="5"/>
  <c r="H13043" i="5"/>
  <c r="H13011" i="5"/>
  <c r="H12979" i="5"/>
  <c r="H12947" i="5"/>
  <c r="H12915" i="5"/>
  <c r="H12883" i="5"/>
  <c r="H12851" i="5"/>
  <c r="H12819" i="5"/>
  <c r="H12787" i="5"/>
  <c r="H12755" i="5"/>
  <c r="H12723" i="5"/>
  <c r="H12691" i="5"/>
  <c r="H12659" i="5"/>
  <c r="H12627" i="5"/>
  <c r="H12595" i="5"/>
  <c r="H12563" i="5"/>
  <c r="H12531" i="5"/>
  <c r="H12499" i="5"/>
  <c r="H12467" i="5"/>
  <c r="H12435" i="5"/>
  <c r="H12403" i="5"/>
  <c r="H12371" i="5"/>
  <c r="H12339" i="5"/>
  <c r="H12307" i="5"/>
  <c r="H12275" i="5"/>
  <c r="H12243" i="5"/>
  <c r="H12211" i="5"/>
  <c r="H12179" i="5"/>
  <c r="H12147" i="5"/>
  <c r="H12115" i="5"/>
  <c r="H12083" i="5"/>
  <c r="H12051" i="5"/>
  <c r="H12019" i="5"/>
  <c r="H11987" i="5"/>
  <c r="H11955" i="5"/>
  <c r="H11923" i="5"/>
  <c r="H11891" i="5"/>
  <c r="H11859" i="5"/>
  <c r="H11827" i="5"/>
  <c r="H11795" i="5"/>
  <c r="H11763" i="5"/>
  <c r="H11731" i="5"/>
  <c r="H11699" i="5"/>
  <c r="H11667" i="5"/>
  <c r="H11635" i="5"/>
  <c r="H11603" i="5"/>
  <c r="H11571" i="5"/>
  <c r="H11539" i="5"/>
  <c r="H11507" i="5"/>
  <c r="H11475" i="5"/>
  <c r="H11443" i="5"/>
  <c r="H11411" i="5"/>
  <c r="H11379" i="5"/>
  <c r="H11347" i="5"/>
  <c r="H11315" i="5"/>
  <c r="H11283" i="5"/>
  <c r="H11251" i="5"/>
  <c r="H11219" i="5"/>
  <c r="H11187" i="5"/>
  <c r="H11155" i="5"/>
  <c r="H11123" i="5"/>
  <c r="H11091" i="5"/>
  <c r="H11059" i="5"/>
  <c r="H11027" i="5"/>
  <c r="H10995" i="5"/>
  <c r="H10963" i="5"/>
  <c r="H10931" i="5"/>
  <c r="H10899" i="5"/>
  <c r="H10867" i="5"/>
  <c r="H10835" i="5"/>
  <c r="H10803" i="5"/>
  <c r="H10771" i="5"/>
  <c r="H10739" i="5"/>
  <c r="H10707" i="5"/>
  <c r="H10675" i="5"/>
  <c r="H10643" i="5"/>
  <c r="H10611" i="5"/>
  <c r="H10579" i="5"/>
  <c r="H10547" i="5"/>
  <c r="H10515" i="5"/>
  <c r="H10483" i="5"/>
  <c r="H10451" i="5"/>
  <c r="H10419" i="5"/>
  <c r="H10387" i="5"/>
  <c r="H10355" i="5"/>
  <c r="H10323" i="5"/>
  <c r="H10291" i="5"/>
  <c r="H10259" i="5"/>
  <c r="H10227" i="5"/>
  <c r="H10195" i="5"/>
  <c r="H10163" i="5"/>
  <c r="H10131" i="5"/>
  <c r="H10099" i="5"/>
  <c r="H10067" i="5"/>
  <c r="H10035" i="5"/>
  <c r="H10003" i="5"/>
  <c r="H9971" i="5"/>
  <c r="H9939" i="5"/>
  <c r="H9907" i="5"/>
  <c r="H9875" i="5"/>
  <c r="H9843" i="5"/>
  <c r="H9811" i="5"/>
  <c r="H9779" i="5"/>
  <c r="H9747" i="5"/>
  <c r="H9715" i="5"/>
  <c r="H9683" i="5"/>
  <c r="H9651" i="5"/>
  <c r="H9619" i="5"/>
  <c r="H9587" i="5"/>
  <c r="H9555" i="5"/>
  <c r="H9523" i="5"/>
  <c r="H9491" i="5"/>
  <c r="H9459" i="5"/>
  <c r="H9427" i="5"/>
  <c r="H9395" i="5"/>
  <c r="H9363" i="5"/>
  <c r="H9331" i="5"/>
  <c r="H9299" i="5"/>
  <c r="H9267" i="5"/>
  <c r="H9235" i="5"/>
  <c r="H9203" i="5"/>
  <c r="H9171" i="5"/>
  <c r="H9139" i="5"/>
  <c r="H9107" i="5"/>
  <c r="H9075" i="5"/>
  <c r="H9043" i="5"/>
  <c r="H9011" i="5"/>
  <c r="H8979" i="5"/>
  <c r="H8947" i="5"/>
  <c r="H8915" i="5"/>
  <c r="H8883" i="5"/>
  <c r="H8851" i="5"/>
  <c r="H8819" i="5"/>
  <c r="H8787" i="5"/>
  <c r="H8755" i="5"/>
  <c r="H8723" i="5"/>
  <c r="H8691" i="5"/>
  <c r="H8659" i="5"/>
  <c r="H8627" i="5"/>
  <c r="H8595" i="5"/>
  <c r="H8563" i="5"/>
  <c r="H8531" i="5"/>
  <c r="H8499" i="5"/>
  <c r="H8467" i="5"/>
  <c r="H8435" i="5"/>
  <c r="H8403" i="5"/>
  <c r="H8371" i="5"/>
  <c r="H8339" i="5"/>
  <c r="H8307" i="5"/>
  <c r="H8275" i="5"/>
  <c r="H8243" i="5"/>
  <c r="H8211" i="5"/>
  <c r="H8179" i="5"/>
  <c r="H8147" i="5"/>
  <c r="H8115" i="5"/>
  <c r="H8083" i="5"/>
  <c r="H8051" i="5"/>
  <c r="H8019" i="5"/>
  <c r="H7987" i="5"/>
  <c r="H7955" i="5"/>
  <c r="H7923" i="5"/>
  <c r="H7891" i="5"/>
  <c r="H7859" i="5"/>
  <c r="H7827" i="5"/>
  <c r="H7795" i="5"/>
  <c r="H7763" i="5"/>
  <c r="H7731" i="5"/>
  <c r="H7699" i="5"/>
  <c r="H7667" i="5"/>
  <c r="H7635" i="5"/>
  <c r="H7603" i="5"/>
  <c r="H7571" i="5"/>
  <c r="H7539" i="5"/>
  <c r="H7507" i="5"/>
  <c r="H7475" i="5"/>
  <c r="H7443" i="5"/>
  <c r="H7411" i="5"/>
  <c r="H7379" i="5"/>
  <c r="H7347" i="5"/>
  <c r="H7315" i="5"/>
  <c r="H7283" i="5"/>
  <c r="H7251" i="5"/>
  <c r="H7219" i="5"/>
  <c r="H7187" i="5"/>
  <c r="H7155" i="5"/>
  <c r="H7123" i="5"/>
  <c r="H7091" i="5"/>
  <c r="H7059" i="5"/>
  <c r="H7027" i="5"/>
  <c r="H6995" i="5"/>
  <c r="H6963" i="5"/>
  <c r="H6931" i="5"/>
  <c r="H6899" i="5"/>
  <c r="H6867" i="5"/>
  <c r="H6835" i="5"/>
  <c r="H6803" i="5"/>
  <c r="H6771" i="5"/>
  <c r="H6739" i="5"/>
  <c r="H6707" i="5"/>
  <c r="H6675" i="5"/>
  <c r="H6643" i="5"/>
  <c r="H6611" i="5"/>
  <c r="H6579" i="5"/>
  <c r="H6547" i="5"/>
  <c r="H6515" i="5"/>
  <c r="H6483" i="5"/>
  <c r="H6451" i="5"/>
  <c r="H6419" i="5"/>
  <c r="H6387" i="5"/>
  <c r="H6355" i="5"/>
  <c r="H6323" i="5"/>
  <c r="H6291" i="5"/>
  <c r="H6259" i="5"/>
  <c r="H6227" i="5"/>
  <c r="H6195" i="5"/>
  <c r="H6163" i="5"/>
  <c r="H6131" i="5"/>
  <c r="H6099" i="5"/>
  <c r="H6067" i="5"/>
  <c r="H6035" i="5"/>
  <c r="H6003" i="5"/>
  <c r="H5971" i="5"/>
  <c r="H5939" i="5"/>
  <c r="H5907" i="5"/>
  <c r="H5875" i="5"/>
  <c r="H5843" i="5"/>
  <c r="H5811" i="5"/>
  <c r="H5779" i="5"/>
  <c r="H5747" i="5"/>
  <c r="H5715" i="5"/>
  <c r="H5683" i="5"/>
  <c r="H5651" i="5"/>
  <c r="H5619" i="5"/>
  <c r="H5587" i="5"/>
  <c r="H5555" i="5"/>
  <c r="H5523" i="5"/>
  <c r="H5491" i="5"/>
  <c r="H5459" i="5"/>
  <c r="H5427" i="5"/>
  <c r="H5395" i="5"/>
  <c r="H5363" i="5"/>
  <c r="H5331" i="5"/>
  <c r="H5299" i="5"/>
  <c r="H5267" i="5"/>
  <c r="H5235" i="5"/>
  <c r="H5203" i="5"/>
  <c r="H5171" i="5"/>
  <c r="H5139" i="5"/>
  <c r="H5107" i="5"/>
  <c r="H5075" i="5"/>
  <c r="H5043" i="5"/>
  <c r="H5011" i="5"/>
  <c r="H4979" i="5"/>
  <c r="H4947" i="5"/>
  <c r="H4915" i="5"/>
  <c r="H4883" i="5"/>
  <c r="H4851" i="5"/>
  <c r="H4819" i="5"/>
  <c r="H4787" i="5"/>
  <c r="H4755" i="5"/>
  <c r="H4723" i="5"/>
  <c r="H4691" i="5"/>
  <c r="H4659" i="5"/>
  <c r="H4627" i="5"/>
  <c r="H4595" i="5"/>
  <c r="H4563" i="5"/>
  <c r="H4531" i="5"/>
  <c r="H4499" i="5"/>
  <c r="H4467" i="5"/>
  <c r="H4435" i="5"/>
  <c r="H4403" i="5"/>
  <c r="H4371" i="5"/>
  <c r="H4339" i="5"/>
  <c r="H4307" i="5"/>
  <c r="H4275" i="5"/>
  <c r="H4243" i="5"/>
  <c r="H4211" i="5"/>
  <c r="H4179" i="5"/>
  <c r="H4147" i="5"/>
  <c r="H4115" i="5"/>
  <c r="H4083" i="5"/>
  <c r="H4051" i="5"/>
  <c r="H4019" i="5"/>
  <c r="H3987" i="5"/>
  <c r="H3955" i="5"/>
  <c r="H3923" i="5"/>
  <c r="H3891" i="5"/>
  <c r="H3859" i="5"/>
  <c r="H3827" i="5"/>
  <c r="H3795" i="5"/>
  <c r="H3763" i="5"/>
  <c r="H3731" i="5"/>
  <c r="H3699" i="5"/>
  <c r="H3667" i="5"/>
  <c r="H3635" i="5"/>
  <c r="H3603" i="5"/>
  <c r="H3571" i="5"/>
  <c r="H3539" i="5"/>
  <c r="H3507" i="5"/>
  <c r="H3475" i="5"/>
  <c r="H3443" i="5"/>
  <c r="H3411" i="5"/>
  <c r="H3379" i="5"/>
  <c r="H3347" i="5"/>
  <c r="H3315" i="5"/>
  <c r="H3283" i="5"/>
  <c r="H3251" i="5"/>
  <c r="H3219" i="5"/>
  <c r="H3187" i="5"/>
  <c r="H3155" i="5"/>
  <c r="H3123" i="5"/>
  <c r="H3091" i="5"/>
  <c r="H3059" i="5"/>
  <c r="H3027" i="5"/>
  <c r="H2995" i="5"/>
  <c r="H2963" i="5"/>
  <c r="H2931" i="5"/>
  <c r="H2899" i="5"/>
  <c r="H2867" i="5"/>
  <c r="H2835" i="5"/>
  <c r="H2803" i="5"/>
  <c r="H2771" i="5"/>
  <c r="H2739" i="5"/>
  <c r="H2707" i="5"/>
  <c r="H2675" i="5"/>
  <c r="H2643" i="5"/>
  <c r="H2611" i="5"/>
  <c r="H2579" i="5"/>
  <c r="H2547" i="5"/>
  <c r="H2515" i="5"/>
  <c r="H2483" i="5"/>
  <c r="H2451" i="5"/>
  <c r="H2419" i="5"/>
  <c r="H2387" i="5"/>
  <c r="H2355" i="5"/>
  <c r="H2323" i="5"/>
  <c r="H2291" i="5"/>
  <c r="H2259" i="5"/>
  <c r="H2227" i="5"/>
  <c r="H2195" i="5"/>
  <c r="H2163" i="5"/>
  <c r="H2131" i="5"/>
  <c r="H2099" i="5"/>
  <c r="H2067" i="5"/>
  <c r="H2035" i="5"/>
  <c r="H2003" i="5"/>
  <c r="H1971" i="5"/>
  <c r="H1939" i="5"/>
  <c r="H1907" i="5"/>
  <c r="H1875" i="5"/>
  <c r="H1843" i="5"/>
  <c r="H1811" i="5"/>
  <c r="H1779" i="5"/>
  <c r="H1747" i="5"/>
  <c r="H1715" i="5"/>
  <c r="H1683" i="5"/>
  <c r="H1651" i="5"/>
  <c r="H1619" i="5"/>
  <c r="H1587" i="5"/>
  <c r="H1555" i="5"/>
  <c r="H1523" i="5"/>
  <c r="H1491" i="5"/>
  <c r="H1459" i="5"/>
  <c r="H1427" i="5"/>
  <c r="H1395" i="5"/>
  <c r="H1363" i="5"/>
  <c r="H1331" i="5"/>
  <c r="H1299" i="5"/>
  <c r="H1267" i="5"/>
  <c r="H1235" i="5"/>
  <c r="H1203" i="5"/>
  <c r="H1171" i="5"/>
  <c r="H1139" i="5"/>
  <c r="H1107" i="5"/>
  <c r="H1075" i="5"/>
  <c r="H1043" i="5"/>
  <c r="H1011" i="5"/>
  <c r="H979" i="5"/>
  <c r="H947" i="5"/>
  <c r="H915" i="5"/>
  <c r="H883" i="5"/>
  <c r="H851" i="5"/>
  <c r="H819" i="5"/>
  <c r="H787" i="5"/>
  <c r="H755" i="5"/>
  <c r="H723" i="5"/>
  <c r="H691" i="5"/>
  <c r="H659" i="5"/>
  <c r="H627" i="5"/>
  <c r="H595" i="5"/>
  <c r="H563" i="5"/>
  <c r="H531" i="5"/>
  <c r="H499" i="5"/>
  <c r="H467" i="5"/>
  <c r="H435" i="5"/>
  <c r="H411" i="5"/>
  <c r="H392" i="5"/>
  <c r="H370" i="5"/>
  <c r="H347" i="5"/>
  <c r="H328" i="5"/>
  <c r="H306" i="5"/>
  <c r="H283" i="5"/>
  <c r="H264" i="5"/>
  <c r="H242" i="5"/>
  <c r="H219" i="5"/>
  <c r="H200" i="5"/>
  <c r="H178" i="5"/>
  <c r="H155" i="5"/>
  <c r="H136" i="5"/>
  <c r="H114" i="5"/>
  <c r="H36806" i="5"/>
  <c r="H34229" i="5"/>
  <c r="H33205" i="5"/>
  <c r="H32181" i="5"/>
  <c r="H31157" i="5"/>
  <c r="H30133" i="5"/>
  <c r="H29206" i="5"/>
  <c r="H28694" i="5"/>
  <c r="H28182" i="5"/>
  <c r="H27670" i="5"/>
  <c r="H27253" i="5"/>
  <c r="H26964" i="5"/>
  <c r="H26708" i="5"/>
  <c r="H26452" i="5"/>
  <c r="H26196" i="5"/>
  <c r="H25940" i="5"/>
  <c r="H25684" i="5"/>
  <c r="H25448" i="5"/>
  <c r="H25244" i="5"/>
  <c r="H25038" i="5"/>
  <c r="H24880" i="5"/>
  <c r="H24752" i="5"/>
  <c r="H24624" i="5"/>
  <c r="H24496" i="5"/>
  <c r="H24368" i="5"/>
  <c r="H24240" i="5"/>
  <c r="H24112" i="5"/>
  <c r="H23984" i="5"/>
  <c r="H23856" i="5"/>
  <c r="H23728" i="5"/>
  <c r="H23600" i="5"/>
  <c r="H23472" i="5"/>
  <c r="H23344" i="5"/>
  <c r="H23216" i="5"/>
  <c r="H23088" i="5"/>
  <c r="H22960" i="5"/>
  <c r="H22832" i="5"/>
  <c r="H22704" i="5"/>
  <c r="H22576" i="5"/>
  <c r="H22448" i="5"/>
  <c r="H22320" i="5"/>
  <c r="H22192" i="5"/>
  <c r="H22064" i="5"/>
  <c r="H21936" i="5"/>
  <c r="H21808" i="5"/>
  <c r="H21680" i="5"/>
  <c r="H21552" i="5"/>
  <c r="H21424" i="5"/>
  <c r="H21296" i="5"/>
  <c r="H21168" i="5"/>
  <c r="H21040" i="5"/>
  <c r="H20912" i="5"/>
  <c r="H20784" i="5"/>
  <c r="H20656" i="5"/>
  <c r="H20528" i="5"/>
  <c r="H20400" i="5"/>
  <c r="H20272" i="5"/>
  <c r="H20144" i="5"/>
  <c r="H20016" i="5"/>
  <c r="H19888" i="5"/>
  <c r="H19760" i="5"/>
  <c r="H19632" i="5"/>
  <c r="H19504" i="5"/>
  <c r="H19376" i="5"/>
  <c r="H19248" i="5"/>
  <c r="H19120" i="5"/>
  <c r="H18992" i="5"/>
  <c r="H18864" i="5"/>
  <c r="H18736" i="5"/>
  <c r="H18608" i="5"/>
  <c r="H18480" i="5"/>
  <c r="H18352" i="5"/>
  <c r="H18224" i="5"/>
  <c r="H18096" i="5"/>
  <c r="H17968" i="5"/>
  <c r="H17840" i="5"/>
  <c r="H17712" i="5"/>
  <c r="H17584" i="5"/>
  <c r="H17464" i="5"/>
  <c r="H17380" i="5"/>
  <c r="H17304" i="5"/>
  <c r="H17240" i="5"/>
  <c r="H17176" i="5"/>
  <c r="H17112" i="5"/>
  <c r="H17048" i="5"/>
  <c r="H16984" i="5"/>
  <c r="H16920" i="5"/>
  <c r="H16856" i="5"/>
  <c r="H16792" i="5"/>
  <c r="H16728" i="5"/>
  <c r="H16664" i="5"/>
  <c r="H16600" i="5"/>
  <c r="H16564" i="5"/>
  <c r="H16528" i="5"/>
  <c r="H16496" i="5"/>
  <c r="H16464" i="5"/>
  <c r="H16432" i="5"/>
  <c r="H16400" i="5"/>
  <c r="H16368" i="5"/>
  <c r="H16336" i="5"/>
  <c r="H16304" i="5"/>
  <c r="H16272" i="5"/>
  <c r="H16240" i="5"/>
  <c r="H16208" i="5"/>
  <c r="H16176" i="5"/>
  <c r="H16144" i="5"/>
  <c r="H16112" i="5"/>
  <c r="H16080" i="5"/>
  <c r="H16048" i="5"/>
  <c r="H16016" i="5"/>
  <c r="H15984" i="5"/>
  <c r="H15952" i="5"/>
  <c r="H15920" i="5"/>
  <c r="H15888" i="5"/>
  <c r="H15856" i="5"/>
  <c r="H15824" i="5"/>
  <c r="H15792" i="5"/>
  <c r="H15760" i="5"/>
  <c r="H15728" i="5"/>
  <c r="H15696" i="5"/>
  <c r="H15664" i="5"/>
  <c r="H15632" i="5"/>
  <c r="H15600" i="5"/>
  <c r="H15568" i="5"/>
  <c r="H15536" i="5"/>
  <c r="H15504" i="5"/>
  <c r="H15472" i="5"/>
  <c r="H15440" i="5"/>
  <c r="H15408" i="5"/>
  <c r="H15376" i="5"/>
  <c r="H15344" i="5"/>
  <c r="H15312" i="5"/>
  <c r="H15280" i="5"/>
  <c r="H15248" i="5"/>
  <c r="H15216" i="5"/>
  <c r="H15184" i="5"/>
  <c r="H15152" i="5"/>
  <c r="H15120" i="5"/>
  <c r="H15088" i="5"/>
  <c r="H15056" i="5"/>
  <c r="H15024" i="5"/>
  <c r="H14992" i="5"/>
  <c r="H14960" i="5"/>
  <c r="H14928" i="5"/>
  <c r="H14896" i="5"/>
  <c r="H14864" i="5"/>
  <c r="H14832" i="5"/>
  <c r="H14800" i="5"/>
  <c r="H14768" i="5"/>
  <c r="H14736" i="5"/>
  <c r="H14704" i="5"/>
  <c r="H14672" i="5"/>
  <c r="H14640" i="5"/>
  <c r="H14608" i="5"/>
  <c r="H14576" i="5"/>
  <c r="H14544" i="5"/>
  <c r="H14512" i="5"/>
  <c r="H14480" i="5"/>
  <c r="H14448" i="5"/>
  <c r="H14416" i="5"/>
  <c r="H14384" i="5"/>
  <c r="H14352" i="5"/>
  <c r="H14320" i="5"/>
  <c r="H14288" i="5"/>
  <c r="H14256" i="5"/>
  <c r="H14224" i="5"/>
  <c r="H14192" i="5"/>
  <c r="H14160" i="5"/>
  <c r="H14128" i="5"/>
  <c r="H14096" i="5"/>
  <c r="H14064" i="5"/>
  <c r="H14032" i="5"/>
  <c r="H14000" i="5"/>
  <c r="H13968" i="5"/>
  <c r="H13936" i="5"/>
  <c r="H13904" i="5"/>
  <c r="H13872" i="5"/>
  <c r="H13840" i="5"/>
  <c r="H13808" i="5"/>
  <c r="H13776" i="5"/>
  <c r="H13744" i="5"/>
  <c r="H13712" i="5"/>
  <c r="H13680" i="5"/>
  <c r="H13648" i="5"/>
  <c r="H13616" i="5"/>
  <c r="H13584" i="5"/>
  <c r="H13552" i="5"/>
  <c r="H13520" i="5"/>
  <c r="H13488" i="5"/>
  <c r="H13456" i="5"/>
  <c r="H13424" i="5"/>
  <c r="H13392" i="5"/>
  <c r="H13360" i="5"/>
  <c r="H13328" i="5"/>
  <c r="H13296" i="5"/>
  <c r="H13264" i="5"/>
  <c r="H13232" i="5"/>
  <c r="H13200" i="5"/>
  <c r="H13168" i="5"/>
  <c r="H13136" i="5"/>
  <c r="H13104" i="5"/>
  <c r="H13072" i="5"/>
  <c r="H13040" i="5"/>
  <c r="H13008" i="5"/>
  <c r="H12976" i="5"/>
  <c r="H12944" i="5"/>
  <c r="H12912" i="5"/>
  <c r="H12880" i="5"/>
  <c r="H12848" i="5"/>
  <c r="H12816" i="5"/>
  <c r="H12784" i="5"/>
  <c r="H12752" i="5"/>
  <c r="H12720" i="5"/>
  <c r="H12688" i="5"/>
  <c r="H12656" i="5"/>
  <c r="H12624" i="5"/>
  <c r="H12592" i="5"/>
  <c r="H12560" i="5"/>
  <c r="H12528" i="5"/>
  <c r="H12496" i="5"/>
  <c r="H12464" i="5"/>
  <c r="H12432" i="5"/>
  <c r="H12400" i="5"/>
  <c r="H12368" i="5"/>
  <c r="H12336" i="5"/>
  <c r="H12304" i="5"/>
  <c r="H12272" i="5"/>
  <c r="H12240" i="5"/>
  <c r="H12208" i="5"/>
  <c r="H12176" i="5"/>
  <c r="H12144" i="5"/>
  <c r="H12112" i="5"/>
  <c r="H12080" i="5"/>
  <c r="H12048" i="5"/>
  <c r="H12016" i="5"/>
  <c r="H11984" i="5"/>
  <c r="H11952" i="5"/>
  <c r="H11920" i="5"/>
  <c r="H11888" i="5"/>
  <c r="H11856" i="5"/>
  <c r="H11824" i="5"/>
  <c r="H11792" i="5"/>
  <c r="H11760" i="5"/>
  <c r="H11728" i="5"/>
  <c r="H11696" i="5"/>
  <c r="H11664" i="5"/>
  <c r="H11632" i="5"/>
  <c r="H11600" i="5"/>
  <c r="H11568" i="5"/>
  <c r="H11536" i="5"/>
  <c r="H11504" i="5"/>
  <c r="H11472" i="5"/>
  <c r="H11440" i="5"/>
  <c r="H11408" i="5"/>
  <c r="H11376" i="5"/>
  <c r="H11344" i="5"/>
  <c r="H11312" i="5"/>
  <c r="H11280" i="5"/>
  <c r="H11248" i="5"/>
  <c r="H11216" i="5"/>
  <c r="H11184" i="5"/>
  <c r="H11152" i="5"/>
  <c r="H11120" i="5"/>
  <c r="H11088" i="5"/>
  <c r="H11056" i="5"/>
  <c r="H11024" i="5"/>
  <c r="H10992" i="5"/>
  <c r="H10960" i="5"/>
  <c r="H10928" i="5"/>
  <c r="H10896" i="5"/>
  <c r="H10864" i="5"/>
  <c r="H10832" i="5"/>
  <c r="H10800" i="5"/>
  <c r="H10768" i="5"/>
  <c r="H10736" i="5"/>
  <c r="H10704" i="5"/>
  <c r="H10672" i="5"/>
  <c r="H10640" i="5"/>
  <c r="H10608" i="5"/>
  <c r="H10576" i="5"/>
  <c r="H10544" i="5"/>
  <c r="H10512" i="5"/>
  <c r="H10480" i="5"/>
  <c r="H10448" i="5"/>
  <c r="H10416" i="5"/>
  <c r="H10384" i="5"/>
  <c r="H10352" i="5"/>
  <c r="H10320" i="5"/>
  <c r="H10288" i="5"/>
  <c r="H10256" i="5"/>
  <c r="H10224" i="5"/>
  <c r="H10192" i="5"/>
  <c r="H10160" i="5"/>
  <c r="H10128" i="5"/>
  <c r="H10096" i="5"/>
  <c r="H10064" i="5"/>
  <c r="H10032" i="5"/>
  <c r="H10000" i="5"/>
  <c r="H9968" i="5"/>
  <c r="H9936" i="5"/>
  <c r="H9904" i="5"/>
  <c r="H9872" i="5"/>
  <c r="H9840" i="5"/>
  <c r="H9808" i="5"/>
  <c r="H9776" i="5"/>
  <c r="H9744" i="5"/>
  <c r="H9712" i="5"/>
  <c r="H9680" i="5"/>
  <c r="H9648" i="5"/>
  <c r="H9616" i="5"/>
  <c r="H9584" i="5"/>
  <c r="H9552" i="5"/>
  <c r="H9520" i="5"/>
  <c r="H9488" i="5"/>
  <c r="H9456" i="5"/>
  <c r="H9424" i="5"/>
  <c r="H9392" i="5"/>
  <c r="H9360" i="5"/>
  <c r="H9328" i="5"/>
  <c r="H9296" i="5"/>
  <c r="H9264" i="5"/>
  <c r="H9232" i="5"/>
  <c r="H9200" i="5"/>
  <c r="H9168" i="5"/>
  <c r="H9136" i="5"/>
  <c r="H9104" i="5"/>
  <c r="H9072" i="5"/>
  <c r="H9040" i="5"/>
  <c r="H9008" i="5"/>
  <c r="H8976" i="5"/>
  <c r="H8944" i="5"/>
  <c r="H8912" i="5"/>
  <c r="H8880" i="5"/>
  <c r="H8848" i="5"/>
  <c r="H8816" i="5"/>
  <c r="H8784" i="5"/>
  <c r="H8752" i="5"/>
  <c r="H8720" i="5"/>
  <c r="H8688" i="5"/>
  <c r="H8656" i="5"/>
  <c r="H8624" i="5"/>
  <c r="H8592" i="5"/>
  <c r="H8560" i="5"/>
  <c r="H8528" i="5"/>
  <c r="H8496" i="5"/>
  <c r="H8464" i="5"/>
  <c r="H8432" i="5"/>
  <c r="H8400" i="5"/>
  <c r="H8368" i="5"/>
  <c r="H8336" i="5"/>
  <c r="H8304" i="5"/>
  <c r="H8272" i="5"/>
  <c r="H8240" i="5"/>
  <c r="H8208" i="5"/>
  <c r="H8176" i="5"/>
  <c r="H8144" i="5"/>
  <c r="H8112" i="5"/>
  <c r="H8080" i="5"/>
  <c r="H8048" i="5"/>
  <c r="H8016" i="5"/>
  <c r="H7984" i="5"/>
  <c r="H7952" i="5"/>
  <c r="H7920" i="5"/>
  <c r="H7888" i="5"/>
  <c r="H7856" i="5"/>
  <c r="H7824" i="5"/>
  <c r="H7792" i="5"/>
  <c r="H7760" i="5"/>
  <c r="H7728" i="5"/>
  <c r="H7696" i="5"/>
  <c r="H7664" i="5"/>
  <c r="H7632" i="5"/>
  <c r="H7600" i="5"/>
  <c r="H7568" i="5"/>
  <c r="H7536" i="5"/>
  <c r="H7504" i="5"/>
  <c r="H7472" i="5"/>
  <c r="H7440" i="5"/>
  <c r="H7408" i="5"/>
  <c r="H7376" i="5"/>
  <c r="H7344" i="5"/>
  <c r="H7312" i="5"/>
  <c r="H7280" i="5"/>
  <c r="H7248" i="5"/>
  <c r="H7216" i="5"/>
  <c r="H7184" i="5"/>
  <c r="H7152" i="5"/>
  <c r="H7120" i="5"/>
  <c r="H7088" i="5"/>
  <c r="H7056" i="5"/>
  <c r="H7024" i="5"/>
  <c r="H6992" i="5"/>
  <c r="H6960" i="5"/>
  <c r="H6928" i="5"/>
  <c r="H6896" i="5"/>
  <c r="H6864" i="5"/>
  <c r="H6832" i="5"/>
  <c r="H6800" i="5"/>
  <c r="H6768" i="5"/>
  <c r="H6736" i="5"/>
  <c r="H6704" i="5"/>
  <c r="H6672" i="5"/>
  <c r="H6640" i="5"/>
  <c r="H6608" i="5"/>
  <c r="H6576" i="5"/>
  <c r="H6544" i="5"/>
  <c r="H6512" i="5"/>
  <c r="H6480" i="5"/>
  <c r="H6448" i="5"/>
  <c r="H6416" i="5"/>
  <c r="H6384" i="5"/>
  <c r="H6352" i="5"/>
  <c r="H6320" i="5"/>
  <c r="H6288" i="5"/>
  <c r="H6256" i="5"/>
  <c r="H6224" i="5"/>
  <c r="H6192" i="5"/>
  <c r="H6160" i="5"/>
  <c r="H6128" i="5"/>
  <c r="H6096" i="5"/>
  <c r="H6064" i="5"/>
  <c r="H6032" i="5"/>
  <c r="H6000" i="5"/>
  <c r="H5968" i="5"/>
  <c r="H5936" i="5"/>
  <c r="H5904" i="5"/>
  <c r="H5872" i="5"/>
  <c r="H5840" i="5"/>
  <c r="H5808" i="5"/>
  <c r="H5776" i="5"/>
  <c r="H5744" i="5"/>
  <c r="H5712" i="5"/>
  <c r="H5680" i="5"/>
  <c r="H5648" i="5"/>
  <c r="H5616" i="5"/>
  <c r="H5584" i="5"/>
  <c r="H5552" i="5"/>
  <c r="H5520" i="5"/>
  <c r="H5488" i="5"/>
  <c r="H5456" i="5"/>
  <c r="H5424" i="5"/>
  <c r="H5392" i="5"/>
  <c r="H5360" i="5"/>
  <c r="H5328" i="5"/>
  <c r="H5296" i="5"/>
  <c r="H5264" i="5"/>
  <c r="H5232" i="5"/>
  <c r="H5200" i="5"/>
  <c r="H5168" i="5"/>
  <c r="H5136" i="5"/>
  <c r="H5104" i="5"/>
  <c r="H5072" i="5"/>
  <c r="H5040" i="5"/>
  <c r="H5008" i="5"/>
  <c r="H4976" i="5"/>
  <c r="H4944" i="5"/>
  <c r="H4912" i="5"/>
  <c r="H4880" i="5"/>
  <c r="H4848" i="5"/>
  <c r="H4816" i="5"/>
  <c r="H4784" i="5"/>
  <c r="H4752" i="5"/>
  <c r="H4720" i="5"/>
  <c r="H4688" i="5"/>
  <c r="H4656" i="5"/>
  <c r="H4624" i="5"/>
  <c r="H4592" i="5"/>
  <c r="H4560" i="5"/>
  <c r="H4528" i="5"/>
  <c r="H4496" i="5"/>
  <c r="H4464" i="5"/>
  <c r="H4432" i="5"/>
  <c r="H4400" i="5"/>
  <c r="H4368" i="5"/>
  <c r="H4336" i="5"/>
  <c r="H4304" i="5"/>
  <c r="H4272" i="5"/>
  <c r="H4240" i="5"/>
  <c r="H4208" i="5"/>
  <c r="H4176" i="5"/>
  <c r="H4144" i="5"/>
  <c r="H4112" i="5"/>
  <c r="H4080" i="5"/>
  <c r="H4048" i="5"/>
  <c r="H4016" i="5"/>
  <c r="H3984" i="5"/>
  <c r="H3952" i="5"/>
  <c r="H3920" i="5"/>
  <c r="H3888" i="5"/>
  <c r="H3856" i="5"/>
  <c r="H3824" i="5"/>
  <c r="H3792" i="5"/>
  <c r="H3760" i="5"/>
  <c r="H3728" i="5"/>
  <c r="H3696" i="5"/>
  <c r="H3664" i="5"/>
  <c r="H3632" i="5"/>
  <c r="H3600" i="5"/>
  <c r="H3568" i="5"/>
  <c r="H3536" i="5"/>
  <c r="H3504" i="5"/>
  <c r="H3472" i="5"/>
  <c r="H3440" i="5"/>
  <c r="H3408" i="5"/>
  <c r="H3376" i="5"/>
  <c r="H3344" i="5"/>
  <c r="H3312" i="5"/>
  <c r="H3280" i="5"/>
  <c r="H3248" i="5"/>
  <c r="H3216" i="5"/>
  <c r="H3184" i="5"/>
  <c r="H3152" i="5"/>
  <c r="H3120" i="5"/>
  <c r="H3088" i="5"/>
  <c r="H3056" i="5"/>
  <c r="H3024" i="5"/>
  <c r="H2992" i="5"/>
  <c r="H2960" i="5"/>
  <c r="H2928" i="5"/>
  <c r="H2896" i="5"/>
  <c r="H2864" i="5"/>
  <c r="H2832" i="5"/>
  <c r="H2800" i="5"/>
  <c r="H2768" i="5"/>
  <c r="H2736" i="5"/>
  <c r="H2704" i="5"/>
  <c r="H2672" i="5"/>
  <c r="H2640" i="5"/>
  <c r="H2608" i="5"/>
  <c r="H2576" i="5"/>
  <c r="H2544" i="5"/>
  <c r="H2512" i="5"/>
  <c r="H2480" i="5"/>
  <c r="H2448" i="5"/>
  <c r="H2416" i="5"/>
  <c r="H2384" i="5"/>
  <c r="H2352" i="5"/>
  <c r="H2320" i="5"/>
  <c r="H2288" i="5"/>
  <c r="H2256" i="5"/>
  <c r="H2224" i="5"/>
  <c r="H2192" i="5"/>
  <c r="H2160" i="5"/>
  <c r="H2128" i="5"/>
  <c r="H2096" i="5"/>
  <c r="H2064" i="5"/>
  <c r="H2032" i="5"/>
  <c r="H2000" i="5"/>
  <c r="H1968" i="5"/>
  <c r="H1936" i="5"/>
  <c r="H1904" i="5"/>
  <c r="H1872" i="5"/>
  <c r="H1840" i="5"/>
  <c r="H1808" i="5"/>
  <c r="H1776" i="5"/>
  <c r="H1744" i="5"/>
  <c r="H1712" i="5"/>
  <c r="H1680" i="5"/>
  <c r="H1648" i="5"/>
  <c r="H1616" i="5"/>
  <c r="H1584" i="5"/>
  <c r="H1552" i="5"/>
  <c r="H1520" i="5"/>
  <c r="H1488" i="5"/>
  <c r="H1456" i="5"/>
  <c r="H1424" i="5"/>
  <c r="H1392" i="5"/>
  <c r="H1360" i="5"/>
  <c r="H1328" i="5"/>
  <c r="H1296" i="5"/>
  <c r="H1264" i="5"/>
  <c r="H1232" i="5"/>
  <c r="H1200" i="5"/>
  <c r="H1168" i="5"/>
  <c r="H1136" i="5"/>
  <c r="H1104" i="5"/>
  <c r="H1072" i="5"/>
  <c r="H1040" i="5"/>
  <c r="H1008" i="5"/>
  <c r="H976" i="5"/>
  <c r="H944" i="5"/>
  <c r="H912" i="5"/>
  <c r="H880" i="5"/>
  <c r="H848" i="5"/>
  <c r="H816" i="5"/>
  <c r="H784" i="5"/>
  <c r="H752" i="5"/>
  <c r="H720" i="5"/>
  <c r="H688" i="5"/>
  <c r="H656" i="5"/>
  <c r="H624" i="5"/>
  <c r="H592" i="5"/>
  <c r="H560" i="5"/>
  <c r="H528" i="5"/>
  <c r="H496" i="5"/>
  <c r="H464" i="5"/>
  <c r="H432" i="5"/>
  <c r="H410" i="5"/>
  <c r="H387" i="5"/>
  <c r="H368" i="5"/>
  <c r="H346" i="5"/>
  <c r="H323" i="5"/>
  <c r="H304" i="5"/>
  <c r="H282" i="5"/>
  <c r="H259" i="5"/>
  <c r="H240" i="5"/>
  <c r="H218" i="5"/>
  <c r="H195" i="5"/>
  <c r="H176" i="5"/>
  <c r="H154" i="5"/>
  <c r="H131" i="5"/>
  <c r="H112" i="5"/>
  <c r="H36097" i="5"/>
  <c r="H34093" i="5"/>
  <c r="H33069" i="5"/>
  <c r="H32045" i="5"/>
  <c r="H31021" i="5"/>
  <c r="H29997" i="5"/>
  <c r="H29141" i="5"/>
  <c r="H28629" i="5"/>
  <c r="H28117" i="5"/>
  <c r="H27605" i="5"/>
  <c r="H27206" i="5"/>
  <c r="H26928" i="5"/>
  <c r="H26672" i="5"/>
  <c r="H26416" i="5"/>
  <c r="H26160" i="5"/>
  <c r="H25904" i="5"/>
  <c r="H25648" i="5"/>
  <c r="H25421" i="5"/>
  <c r="H25216" i="5"/>
  <c r="H25012" i="5"/>
  <c r="H24863" i="5"/>
  <c r="H24735" i="5"/>
  <c r="H24607" i="5"/>
  <c r="H24479" i="5"/>
  <c r="H24351" i="5"/>
  <c r="H24223" i="5"/>
  <c r="H24095" i="5"/>
  <c r="H23967" i="5"/>
  <c r="H23839" i="5"/>
  <c r="H23711" i="5"/>
  <c r="H23583" i="5"/>
  <c r="H23455" i="5"/>
  <c r="H23327" i="5"/>
  <c r="H23199" i="5"/>
  <c r="H23071" i="5"/>
  <c r="H22943" i="5"/>
  <c r="H22815" i="5"/>
  <c r="H22687" i="5"/>
  <c r="H22559" i="5"/>
  <c r="H22431" i="5"/>
  <c r="H22303" i="5"/>
  <c r="H22175" i="5"/>
  <c r="H22047" i="5"/>
  <c r="H21919" i="5"/>
  <c r="H21791" i="5"/>
  <c r="H21663" i="5"/>
  <c r="H21535" i="5"/>
  <c r="H21407" i="5"/>
  <c r="H21279" i="5"/>
  <c r="H21151" i="5"/>
  <c r="H21023" i="5"/>
  <c r="H20895" i="5"/>
  <c r="H20767" i="5"/>
  <c r="H20639" i="5"/>
  <c r="H20511" i="5"/>
  <c r="H20383" i="5"/>
  <c r="H20255" i="5"/>
  <c r="H20127" i="5"/>
  <c r="H19999" i="5"/>
  <c r="H19871" i="5"/>
  <c r="H19743" i="5"/>
  <c r="H19615" i="5"/>
  <c r="H19487" i="5"/>
  <c r="H19359" i="5"/>
  <c r="H19231" i="5"/>
  <c r="H19103" i="5"/>
  <c r="H18975" i="5"/>
  <c r="H18847" i="5"/>
  <c r="H18719" i="5"/>
  <c r="H18591" i="5"/>
  <c r="H18463" i="5"/>
  <c r="H18335" i="5"/>
  <c r="H18207" i="5"/>
  <c r="H18079" i="5"/>
  <c r="H17951" i="5"/>
  <c r="H17823" i="5"/>
  <c r="H17695" i="5"/>
  <c r="H17567" i="5"/>
  <c r="H17452" i="5"/>
  <c r="H17367" i="5"/>
  <c r="H17295" i="5"/>
  <c r="H17231" i="5"/>
  <c r="H17167" i="5"/>
  <c r="H17103" i="5"/>
  <c r="H17039" i="5"/>
  <c r="H16975" i="5"/>
  <c r="H16911" i="5"/>
  <c r="H16847" i="5"/>
  <c r="H16783" i="5"/>
  <c r="H16719" i="5"/>
  <c r="H16655" i="5"/>
  <c r="H16594" i="5"/>
  <c r="H16558" i="5"/>
  <c r="H16523" i="5"/>
  <c r="H16491" i="5"/>
  <c r="H16459" i="5"/>
  <c r="H16427" i="5"/>
  <c r="H16395" i="5"/>
  <c r="H16363" i="5"/>
  <c r="H16331" i="5"/>
  <c r="H16299" i="5"/>
  <c r="H16267" i="5"/>
  <c r="H16235" i="5"/>
  <c r="H16203" i="5"/>
  <c r="H16171" i="5"/>
  <c r="H16139" i="5"/>
  <c r="H16107" i="5"/>
  <c r="H16075" i="5"/>
  <c r="H16043" i="5"/>
  <c r="H16011" i="5"/>
  <c r="H15979" i="5"/>
  <c r="H15947" i="5"/>
  <c r="H15915" i="5"/>
  <c r="H15883" i="5"/>
  <c r="H15851" i="5"/>
  <c r="H15819" i="5"/>
  <c r="H15787" i="5"/>
  <c r="H15755" i="5"/>
  <c r="H15723" i="5"/>
  <c r="H15691" i="5"/>
  <c r="H15659" i="5"/>
  <c r="H15627" i="5"/>
  <c r="H15595" i="5"/>
  <c r="H15563" i="5"/>
  <c r="H15531" i="5"/>
  <c r="H15499" i="5"/>
  <c r="H15467" i="5"/>
  <c r="H15435" i="5"/>
  <c r="H15403" i="5"/>
  <c r="H15371" i="5"/>
  <c r="H15339" i="5"/>
  <c r="H15307" i="5"/>
  <c r="H15275" i="5"/>
  <c r="H15243" i="5"/>
  <c r="H15211" i="5"/>
  <c r="H15179" i="5"/>
  <c r="H15147" i="5"/>
  <c r="H15115" i="5"/>
  <c r="H15083" i="5"/>
  <c r="H15051" i="5"/>
  <c r="H15019" i="5"/>
  <c r="H14987" i="5"/>
  <c r="H14955" i="5"/>
  <c r="H14923" i="5"/>
  <c r="H14891" i="5"/>
  <c r="H14859" i="5"/>
  <c r="H14827" i="5"/>
  <c r="H14795" i="5"/>
  <c r="H14763" i="5"/>
  <c r="H14731" i="5"/>
  <c r="H14699" i="5"/>
  <c r="H14667" i="5"/>
  <c r="H14635" i="5"/>
  <c r="H14603" i="5"/>
  <c r="H14571" i="5"/>
  <c r="H14539" i="5"/>
  <c r="H14507" i="5"/>
  <c r="H14475" i="5"/>
  <c r="H14443" i="5"/>
  <c r="H14411" i="5"/>
  <c r="H14379" i="5"/>
  <c r="H14347" i="5"/>
  <c r="H14315" i="5"/>
  <c r="H14283" i="5"/>
  <c r="H14251" i="5"/>
  <c r="H14219" i="5"/>
  <c r="H14187" i="5"/>
  <c r="H14155" i="5"/>
  <c r="H14123" i="5"/>
  <c r="H14091" i="5"/>
  <c r="H14059" i="5"/>
  <c r="H14027" i="5"/>
  <c r="H13995" i="5"/>
  <c r="H13963" i="5"/>
  <c r="H13931" i="5"/>
  <c r="H13899" i="5"/>
  <c r="H13867" i="5"/>
  <c r="H13835" i="5"/>
  <c r="H13803" i="5"/>
  <c r="H13771" i="5"/>
  <c r="H13739" i="5"/>
  <c r="H13707" i="5"/>
  <c r="H13675" i="5"/>
  <c r="H13643" i="5"/>
  <c r="H13611" i="5"/>
  <c r="H13579" i="5"/>
  <c r="H13547" i="5"/>
  <c r="H13515" i="5"/>
  <c r="H13483" i="5"/>
  <c r="H13451" i="5"/>
  <c r="H13419" i="5"/>
  <c r="H13387" i="5"/>
  <c r="H13355" i="5"/>
  <c r="H13323" i="5"/>
  <c r="H13291" i="5"/>
  <c r="H13259" i="5"/>
  <c r="H13227" i="5"/>
  <c r="H13195" i="5"/>
  <c r="H13163" i="5"/>
  <c r="H13131" i="5"/>
  <c r="H13099" i="5"/>
  <c r="H13067" i="5"/>
  <c r="H13035" i="5"/>
  <c r="H13003" i="5"/>
  <c r="H12971" i="5"/>
  <c r="H12939" i="5"/>
  <c r="H12907" i="5"/>
  <c r="H12875" i="5"/>
  <c r="H12843" i="5"/>
  <c r="H12811" i="5"/>
  <c r="H12779" i="5"/>
  <c r="H12747" i="5"/>
  <c r="H12715" i="5"/>
  <c r="H12683" i="5"/>
  <c r="H12651" i="5"/>
  <c r="H12619" i="5"/>
  <c r="H12587" i="5"/>
  <c r="H12555" i="5"/>
  <c r="H12523" i="5"/>
  <c r="H12491" i="5"/>
  <c r="H12459" i="5"/>
  <c r="H12427" i="5"/>
  <c r="H12395" i="5"/>
  <c r="H12363" i="5"/>
  <c r="H12331" i="5"/>
  <c r="H12299" i="5"/>
  <c r="H12267" i="5"/>
  <c r="H12235" i="5"/>
  <c r="H12203" i="5"/>
  <c r="H12171" i="5"/>
  <c r="H12139" i="5"/>
  <c r="H12107" i="5"/>
  <c r="H12075" i="5"/>
  <c r="H12043" i="5"/>
  <c r="H12011" i="5"/>
  <c r="H11979" i="5"/>
  <c r="H11947" i="5"/>
  <c r="H11915" i="5"/>
  <c r="H11883" i="5"/>
  <c r="H11851" i="5"/>
  <c r="H11819" i="5"/>
  <c r="H11787" i="5"/>
  <c r="H11755" i="5"/>
  <c r="H11723" i="5"/>
  <c r="H11691" i="5"/>
  <c r="H11659" i="5"/>
  <c r="H11627" i="5"/>
  <c r="H11595" i="5"/>
  <c r="H11563" i="5"/>
  <c r="H11531" i="5"/>
  <c r="H11499" i="5"/>
  <c r="H11467" i="5"/>
  <c r="H11435" i="5"/>
  <c r="H11403" i="5"/>
  <c r="H11371" i="5"/>
  <c r="H11339" i="5"/>
  <c r="H11307" i="5"/>
  <c r="H11275" i="5"/>
  <c r="H11243" i="5"/>
  <c r="H11211" i="5"/>
  <c r="H11179" i="5"/>
  <c r="H11147" i="5"/>
  <c r="H11115" i="5"/>
  <c r="H11083" i="5"/>
  <c r="H11051" i="5"/>
  <c r="H11019" i="5"/>
  <c r="H10987" i="5"/>
  <c r="H10955" i="5"/>
  <c r="H10923" i="5"/>
  <c r="H10891" i="5"/>
  <c r="H10859" i="5"/>
  <c r="H10827" i="5"/>
  <c r="H10795" i="5"/>
  <c r="H10763" i="5"/>
  <c r="H10731" i="5"/>
  <c r="H10699" i="5"/>
  <c r="H10667" i="5"/>
  <c r="H10635" i="5"/>
  <c r="H10603" i="5"/>
  <c r="H10571" i="5"/>
  <c r="H10539" i="5"/>
  <c r="H10507" i="5"/>
  <c r="H10475" i="5"/>
  <c r="H10443" i="5"/>
  <c r="H10411" i="5"/>
  <c r="H10379" i="5"/>
  <c r="H10347" i="5"/>
  <c r="H10315" i="5"/>
  <c r="H10283" i="5"/>
  <c r="H10251" i="5"/>
  <c r="H10219" i="5"/>
  <c r="H10187" i="5"/>
  <c r="H10155" i="5"/>
  <c r="H10123" i="5"/>
  <c r="H10091" i="5"/>
  <c r="H10059" i="5"/>
  <c r="H10027" i="5"/>
  <c r="H9995" i="5"/>
  <c r="H9963" i="5"/>
  <c r="H9931" i="5"/>
  <c r="H9899" i="5"/>
  <c r="H9867" i="5"/>
  <c r="H9835" i="5"/>
  <c r="H9803" i="5"/>
  <c r="H9771" i="5"/>
  <c r="H9739" i="5"/>
  <c r="H9707" i="5"/>
  <c r="H9675" i="5"/>
  <c r="H9643" i="5"/>
  <c r="H9611" i="5"/>
  <c r="H9579" i="5"/>
  <c r="H9547" i="5"/>
  <c r="H9515" i="5"/>
  <c r="H9483" i="5"/>
  <c r="H9451" i="5"/>
  <c r="H9419" i="5"/>
  <c r="H9387" i="5"/>
  <c r="H9355" i="5"/>
  <c r="H9323" i="5"/>
  <c r="H9291" i="5"/>
  <c r="H9259" i="5"/>
  <c r="H9227" i="5"/>
  <c r="H9195" i="5"/>
  <c r="H9163" i="5"/>
  <c r="H9131" i="5"/>
  <c r="H9099" i="5"/>
  <c r="H9067" i="5"/>
  <c r="H9035" i="5"/>
  <c r="H9003" i="5"/>
  <c r="H8971" i="5"/>
  <c r="H8939" i="5"/>
  <c r="H8907" i="5"/>
  <c r="H8875" i="5"/>
  <c r="H8843" i="5"/>
  <c r="H8811" i="5"/>
  <c r="H8779" i="5"/>
  <c r="H8747" i="5"/>
  <c r="H8715" i="5"/>
  <c r="H8683" i="5"/>
  <c r="H8651" i="5"/>
  <c r="H8619" i="5"/>
  <c r="H8587" i="5"/>
  <c r="H8555" i="5"/>
  <c r="H8523" i="5"/>
  <c r="H8491" i="5"/>
  <c r="H8459" i="5"/>
  <c r="H8427" i="5"/>
  <c r="H8395" i="5"/>
  <c r="H8363" i="5"/>
  <c r="H8331" i="5"/>
  <c r="H8299" i="5"/>
  <c r="H8267" i="5"/>
  <c r="H8235" i="5"/>
  <c r="H8203" i="5"/>
  <c r="H8171" i="5"/>
  <c r="H8139" i="5"/>
  <c r="H8107" i="5"/>
  <c r="H8075" i="5"/>
  <c r="H8043" i="5"/>
  <c r="H8011" i="5"/>
  <c r="H7979" i="5"/>
  <c r="H7947" i="5"/>
  <c r="H7915" i="5"/>
  <c r="H7883" i="5"/>
  <c r="H7851" i="5"/>
  <c r="H7819" i="5"/>
  <c r="H7787" i="5"/>
  <c r="H7755" i="5"/>
  <c r="H7723" i="5"/>
  <c r="H7691" i="5"/>
  <c r="H7659" i="5"/>
  <c r="H7627" i="5"/>
  <c r="H7595" i="5"/>
  <c r="H7563" i="5"/>
  <c r="H7531" i="5"/>
  <c r="H7499" i="5"/>
  <c r="H7467" i="5"/>
  <c r="H7435" i="5"/>
  <c r="H7403" i="5"/>
  <c r="H7371" i="5"/>
  <c r="H7339" i="5"/>
  <c r="H7307" i="5"/>
  <c r="H7275" i="5"/>
  <c r="H7243" i="5"/>
  <c r="H7211" i="5"/>
  <c r="H7179" i="5"/>
  <c r="H7147" i="5"/>
  <c r="H7115" i="5"/>
  <c r="H7083" i="5"/>
  <c r="H7051" i="5"/>
  <c r="H7019" i="5"/>
  <c r="H6987" i="5"/>
  <c r="H6955" i="5"/>
  <c r="H6923" i="5"/>
  <c r="H6891" i="5"/>
  <c r="H6859" i="5"/>
  <c r="H6827" i="5"/>
  <c r="H6795" i="5"/>
  <c r="H6763" i="5"/>
  <c r="H6731" i="5"/>
  <c r="H6699" i="5"/>
  <c r="H6667" i="5"/>
  <c r="H6635" i="5"/>
  <c r="H6603" i="5"/>
  <c r="H6571" i="5"/>
  <c r="H6539" i="5"/>
  <c r="H6507" i="5"/>
  <c r="H6475" i="5"/>
  <c r="H6443" i="5"/>
  <c r="H6411" i="5"/>
  <c r="H6379" i="5"/>
  <c r="H6347" i="5"/>
  <c r="H6315" i="5"/>
  <c r="H6283" i="5"/>
  <c r="H6251" i="5"/>
  <c r="H6219" i="5"/>
  <c r="H6187" i="5"/>
  <c r="H6155" i="5"/>
  <c r="H6123" i="5"/>
  <c r="H6091" i="5"/>
  <c r="H6059" i="5"/>
  <c r="H6027" i="5"/>
  <c r="H5995" i="5"/>
  <c r="H5963" i="5"/>
  <c r="H5931" i="5"/>
  <c r="H5899" i="5"/>
  <c r="H5867" i="5"/>
  <c r="H5835" i="5"/>
  <c r="H5803" i="5"/>
  <c r="H5771" i="5"/>
  <c r="H5739" i="5"/>
  <c r="H5707" i="5"/>
  <c r="H5675" i="5"/>
  <c r="H5643" i="5"/>
  <c r="H5611" i="5"/>
  <c r="H5579" i="5"/>
  <c r="H5547" i="5"/>
  <c r="H5515" i="5"/>
  <c r="H5483" i="5"/>
  <c r="H5451" i="5"/>
  <c r="H5419" i="5"/>
  <c r="H5387" i="5"/>
  <c r="H5355" i="5"/>
  <c r="H5323" i="5"/>
  <c r="H5291" i="5"/>
  <c r="H5259" i="5"/>
  <c r="H5227" i="5"/>
  <c r="H5195" i="5"/>
  <c r="H5163" i="5"/>
  <c r="H5131" i="5"/>
  <c r="H5099" i="5"/>
  <c r="H5067" i="5"/>
  <c r="H5035" i="5"/>
  <c r="H5003" i="5"/>
  <c r="H4971" i="5"/>
  <c r="H4939" i="5"/>
  <c r="H4907" i="5"/>
  <c r="H4875" i="5"/>
  <c r="H4843" i="5"/>
  <c r="H4811" i="5"/>
  <c r="H4779" i="5"/>
  <c r="H4747" i="5"/>
  <c r="H4715" i="5"/>
  <c r="H4683" i="5"/>
  <c r="H4651" i="5"/>
  <c r="H4619" i="5"/>
  <c r="H4587" i="5"/>
  <c r="H4555" i="5"/>
  <c r="H4523" i="5"/>
  <c r="H4491" i="5"/>
  <c r="H4459" i="5"/>
  <c r="H4427" i="5"/>
  <c r="H4395" i="5"/>
  <c r="H4363" i="5"/>
  <c r="H4331" i="5"/>
  <c r="H4299" i="5"/>
  <c r="H4267" i="5"/>
  <c r="H4235" i="5"/>
  <c r="H4203" i="5"/>
  <c r="H4171" i="5"/>
  <c r="H4139" i="5"/>
  <c r="H4107" i="5"/>
  <c r="H4075" i="5"/>
  <c r="H4043" i="5"/>
  <c r="H4011" i="5"/>
  <c r="H3979" i="5"/>
  <c r="H3947" i="5"/>
  <c r="H3915" i="5"/>
  <c r="H3883" i="5"/>
  <c r="H3851" i="5"/>
  <c r="H3819" i="5"/>
  <c r="H3787" i="5"/>
  <c r="H3755" i="5"/>
  <c r="H3723" i="5"/>
  <c r="H3691" i="5"/>
  <c r="H3659" i="5"/>
  <c r="H3627" i="5"/>
  <c r="H3595" i="5"/>
  <c r="H3563" i="5"/>
  <c r="H3531" i="5"/>
  <c r="H3499" i="5"/>
  <c r="H3467" i="5"/>
  <c r="H3435" i="5"/>
  <c r="H3403" i="5"/>
  <c r="H3371" i="5"/>
  <c r="H3339" i="5"/>
  <c r="H3307" i="5"/>
  <c r="H3275" i="5"/>
  <c r="H3243" i="5"/>
  <c r="H3211" i="5"/>
  <c r="H3179" i="5"/>
  <c r="H3147" i="5"/>
  <c r="H3115" i="5"/>
  <c r="H3083" i="5"/>
  <c r="H3051" i="5"/>
  <c r="H3019" i="5"/>
  <c r="H2987" i="5"/>
  <c r="H2955" i="5"/>
  <c r="H2923" i="5"/>
  <c r="H2891" i="5"/>
  <c r="H2859" i="5"/>
  <c r="H2827" i="5"/>
  <c r="H2795" i="5"/>
  <c r="H2763" i="5"/>
  <c r="H2731" i="5"/>
  <c r="H2699" i="5"/>
  <c r="H2667" i="5"/>
  <c r="H2635" i="5"/>
  <c r="H2603" i="5"/>
  <c r="H2571" i="5"/>
  <c r="H2539" i="5"/>
  <c r="H2507" i="5"/>
  <c r="H2475" i="5"/>
  <c r="H2443" i="5"/>
  <c r="H2411" i="5"/>
  <c r="H2379" i="5"/>
  <c r="H2347" i="5"/>
  <c r="H2315" i="5"/>
  <c r="H2283" i="5"/>
  <c r="H2251" i="5"/>
  <c r="H2219" i="5"/>
  <c r="H2187" i="5"/>
  <c r="H2155" i="5"/>
  <c r="H2123" i="5"/>
  <c r="H2091" i="5"/>
  <c r="H2059" i="5"/>
  <c r="H2027" i="5"/>
  <c r="H1995" i="5"/>
  <c r="H1963" i="5"/>
  <c r="H1931" i="5"/>
  <c r="H1899" i="5"/>
  <c r="H1867" i="5"/>
  <c r="H1835" i="5"/>
  <c r="H1803" i="5"/>
  <c r="H1771" i="5"/>
  <c r="H1739" i="5"/>
  <c r="H1707" i="5"/>
  <c r="H1675" i="5"/>
  <c r="H1643" i="5"/>
  <c r="H1611" i="5"/>
  <c r="H1579" i="5"/>
  <c r="H1547" i="5"/>
  <c r="H1515" i="5"/>
  <c r="H1483" i="5"/>
  <c r="H1451" i="5"/>
  <c r="H1419" i="5"/>
  <c r="H1387" i="5"/>
  <c r="H1355" i="5"/>
  <c r="H1323" i="5"/>
  <c r="H1291" i="5"/>
  <c r="H1259" i="5"/>
  <c r="H1227" i="5"/>
  <c r="H1195" i="5"/>
  <c r="H1163" i="5"/>
  <c r="H1131" i="5"/>
  <c r="H1099" i="5"/>
  <c r="H1067" i="5"/>
  <c r="H1035" i="5"/>
  <c r="H1003" i="5"/>
  <c r="H971" i="5"/>
  <c r="H939" i="5"/>
  <c r="H907" i="5"/>
  <c r="H875" i="5"/>
  <c r="H843" i="5"/>
  <c r="H811" i="5"/>
  <c r="H779" i="5"/>
  <c r="H747" i="5"/>
  <c r="H715" i="5"/>
  <c r="H683" i="5"/>
  <c r="H651" i="5"/>
  <c r="H619" i="5"/>
  <c r="H587" i="5"/>
  <c r="H555" i="5"/>
  <c r="H523" i="5"/>
  <c r="H491" i="5"/>
  <c r="H459" i="5"/>
  <c r="H427" i="5"/>
  <c r="H408" i="5"/>
  <c r="H386" i="5"/>
  <c r="H363" i="5"/>
  <c r="H344" i="5"/>
  <c r="H322" i="5"/>
  <c r="H299" i="5"/>
  <c r="H280" i="5"/>
  <c r="H258" i="5"/>
  <c r="H235" i="5"/>
  <c r="H216" i="5"/>
  <c r="H194" i="5"/>
  <c r="H171" i="5"/>
  <c r="H152" i="5"/>
  <c r="H130" i="5"/>
  <c r="H35617" i="5"/>
  <c r="H33973" i="5"/>
  <c r="H32949" i="5"/>
  <c r="H31925" i="5"/>
  <c r="H30901" i="5"/>
  <c r="H29877" i="5"/>
  <c r="H29078" i="5"/>
  <c r="H28566" i="5"/>
  <c r="H28054" i="5"/>
  <c r="H27542" i="5"/>
  <c r="H27166" i="5"/>
  <c r="H26900" i="5"/>
  <c r="H26644" i="5"/>
  <c r="H26388" i="5"/>
  <c r="H26132" i="5"/>
  <c r="H25876" i="5"/>
  <c r="H25620" i="5"/>
  <c r="H25397" i="5"/>
  <c r="H25192" i="5"/>
  <c r="H24988" i="5"/>
  <c r="H24848" i="5"/>
  <c r="H24720" i="5"/>
  <c r="H24592" i="5"/>
  <c r="H24464" i="5"/>
  <c r="H24336" i="5"/>
  <c r="H24208" i="5"/>
  <c r="H24080" i="5"/>
  <c r="H23952" i="5"/>
  <c r="H23824" i="5"/>
  <c r="H23696" i="5"/>
  <c r="H23568" i="5"/>
  <c r="H23440" i="5"/>
  <c r="H23312" i="5"/>
  <c r="H23184" i="5"/>
  <c r="H23056" i="5"/>
  <c r="H22928" i="5"/>
  <c r="H22800" i="5"/>
  <c r="H22672" i="5"/>
  <c r="H22544" i="5"/>
  <c r="H22416" i="5"/>
  <c r="H22288" i="5"/>
  <c r="H22160" i="5"/>
  <c r="H22032" i="5"/>
  <c r="H21904" i="5"/>
  <c r="H21776" i="5"/>
  <c r="H21648" i="5"/>
  <c r="H21520" i="5"/>
  <c r="H21392" i="5"/>
  <c r="H21264" i="5"/>
  <c r="H21136" i="5"/>
  <c r="H21008" i="5"/>
  <c r="H20880" i="5"/>
  <c r="H20752" i="5"/>
  <c r="H20624" i="5"/>
  <c r="H20496" i="5"/>
  <c r="H20368" i="5"/>
  <c r="H20240" i="5"/>
  <c r="H20112" i="5"/>
  <c r="H19984" i="5"/>
  <c r="H19856" i="5"/>
  <c r="H19728" i="5"/>
  <c r="H19600" i="5"/>
  <c r="H19472" i="5"/>
  <c r="H19344" i="5"/>
  <c r="H19216" i="5"/>
  <c r="H19088" i="5"/>
  <c r="H18960" i="5"/>
  <c r="H18832" i="5"/>
  <c r="H18704" i="5"/>
  <c r="H18576" i="5"/>
  <c r="H18448" i="5"/>
  <c r="H18320" i="5"/>
  <c r="H18192" i="5"/>
  <c r="H18064" i="5"/>
  <c r="H17936" i="5"/>
  <c r="H17808" i="5"/>
  <c r="H17680" i="5"/>
  <c r="H17552" i="5"/>
  <c r="H17444" i="5"/>
  <c r="H17359" i="5"/>
  <c r="H17288" i="5"/>
  <c r="H17224" i="5"/>
  <c r="H17160" i="5"/>
  <c r="H17096" i="5"/>
  <c r="H17032" i="5"/>
  <c r="H16968" i="5"/>
  <c r="H16904" i="5"/>
  <c r="H16840" i="5"/>
  <c r="H16776" i="5"/>
  <c r="H16712" i="5"/>
  <c r="H16648" i="5"/>
  <c r="H16591" i="5"/>
  <c r="H16554" i="5"/>
  <c r="H16520" i="5"/>
  <c r="H16488" i="5"/>
  <c r="H16456" i="5"/>
  <c r="H16424" i="5"/>
  <c r="H16392" i="5"/>
  <c r="H16360" i="5"/>
  <c r="H16328" i="5"/>
  <c r="H16296" i="5"/>
  <c r="H16264" i="5"/>
  <c r="H16232" i="5"/>
  <c r="H16200" i="5"/>
  <c r="H16168" i="5"/>
  <c r="H16136" i="5"/>
  <c r="H16104" i="5"/>
  <c r="H16072" i="5"/>
  <c r="H16040" i="5"/>
  <c r="H16008" i="5"/>
  <c r="H15976" i="5"/>
  <c r="H15944" i="5"/>
  <c r="H15912" i="5"/>
  <c r="H15880" i="5"/>
  <c r="H15848" i="5"/>
  <c r="H15816" i="5"/>
  <c r="H15784" i="5"/>
  <c r="H15752" i="5"/>
  <c r="H15720" i="5"/>
  <c r="H15688" i="5"/>
  <c r="H15656" i="5"/>
  <c r="H15624" i="5"/>
  <c r="H15592" i="5"/>
  <c r="H15560" i="5"/>
  <c r="H15528" i="5"/>
  <c r="H15496" i="5"/>
  <c r="H15464" i="5"/>
  <c r="H15432" i="5"/>
  <c r="H15400" i="5"/>
  <c r="H15368" i="5"/>
  <c r="H15336" i="5"/>
  <c r="H15304" i="5"/>
  <c r="H15272" i="5"/>
  <c r="H15240" i="5"/>
  <c r="H15208" i="5"/>
  <c r="H15176" i="5"/>
  <c r="H15144" i="5"/>
  <c r="H15112" i="5"/>
  <c r="H15080" i="5"/>
  <c r="H15048" i="5"/>
  <c r="H15016" i="5"/>
  <c r="H14984" i="5"/>
  <c r="H14952" i="5"/>
  <c r="H14920" i="5"/>
  <c r="H14888" i="5"/>
  <c r="H14856" i="5"/>
  <c r="H14824" i="5"/>
  <c r="H14792" i="5"/>
  <c r="H14760" i="5"/>
  <c r="H14728" i="5"/>
  <c r="H14696" i="5"/>
  <c r="H14664" i="5"/>
  <c r="H14632" i="5"/>
  <c r="H14600" i="5"/>
  <c r="H14568" i="5"/>
  <c r="H14536" i="5"/>
  <c r="H14504" i="5"/>
  <c r="H14472" i="5"/>
  <c r="H14440" i="5"/>
  <c r="H14408" i="5"/>
  <c r="H14376" i="5"/>
  <c r="H14344" i="5"/>
  <c r="H14312" i="5"/>
  <c r="H14280" i="5"/>
  <c r="H14248" i="5"/>
  <c r="H14216" i="5"/>
  <c r="H14184" i="5"/>
  <c r="H14152" i="5"/>
  <c r="H14120" i="5"/>
  <c r="H14088" i="5"/>
  <c r="H14056" i="5"/>
  <c r="H14024" i="5"/>
  <c r="H13992" i="5"/>
  <c r="H13960" i="5"/>
  <c r="H13928" i="5"/>
  <c r="H13896" i="5"/>
  <c r="H13864" i="5"/>
  <c r="H13832" i="5"/>
  <c r="H13800" i="5"/>
  <c r="H13768" i="5"/>
  <c r="H13736" i="5"/>
  <c r="H13704" i="5"/>
  <c r="H13672" i="5"/>
  <c r="H13640" i="5"/>
  <c r="H13608" i="5"/>
  <c r="H13576" i="5"/>
  <c r="H13544" i="5"/>
  <c r="H13512" i="5"/>
  <c r="H13480" i="5"/>
  <c r="H13448" i="5"/>
  <c r="H13416" i="5"/>
  <c r="H13384" i="5"/>
  <c r="H13352" i="5"/>
  <c r="H13320" i="5"/>
  <c r="H13288" i="5"/>
  <c r="H13256" i="5"/>
  <c r="H13224" i="5"/>
  <c r="H13192" i="5"/>
  <c r="H13160" i="5"/>
  <c r="H13128" i="5"/>
  <c r="H13096" i="5"/>
  <c r="H13064" i="5"/>
  <c r="H13032" i="5"/>
  <c r="H13000" i="5"/>
  <c r="H12968" i="5"/>
  <c r="H12936" i="5"/>
  <c r="H12904" i="5"/>
  <c r="H12872" i="5"/>
  <c r="H12840" i="5"/>
  <c r="H12808" i="5"/>
  <c r="H12776" i="5"/>
  <c r="H12744" i="5"/>
  <c r="H12712" i="5"/>
  <c r="H12680" i="5"/>
  <c r="H12648" i="5"/>
  <c r="H12616" i="5"/>
  <c r="H12584" i="5"/>
  <c r="H12552" i="5"/>
  <c r="H12520" i="5"/>
  <c r="H12488" i="5"/>
  <c r="H12456" i="5"/>
  <c r="H12424" i="5"/>
  <c r="H12392" i="5"/>
  <c r="H12360" i="5"/>
  <c r="H12328" i="5"/>
  <c r="H12296" i="5"/>
  <c r="H12264" i="5"/>
  <c r="H12232" i="5"/>
  <c r="H12200" i="5"/>
  <c r="H12168" i="5"/>
  <c r="H12136" i="5"/>
  <c r="H12104" i="5"/>
  <c r="H12072" i="5"/>
  <c r="H12040" i="5"/>
  <c r="H12008" i="5"/>
  <c r="H11976" i="5"/>
  <c r="H11944" i="5"/>
  <c r="H11912" i="5"/>
  <c r="H11880" i="5"/>
  <c r="H11848" i="5"/>
  <c r="H11816" i="5"/>
  <c r="H11784" i="5"/>
  <c r="H11752" i="5"/>
  <c r="H11720" i="5"/>
  <c r="H11688" i="5"/>
  <c r="H11656" i="5"/>
  <c r="H11624" i="5"/>
  <c r="H11592" i="5"/>
  <c r="H11560" i="5"/>
  <c r="H11528" i="5"/>
  <c r="H11496" i="5"/>
  <c r="H11464" i="5"/>
  <c r="H11432" i="5"/>
  <c r="H11400" i="5"/>
  <c r="H11368" i="5"/>
  <c r="H11336" i="5"/>
  <c r="H11304" i="5"/>
  <c r="H11272" i="5"/>
  <c r="H11240" i="5"/>
  <c r="H11208" i="5"/>
  <c r="H11176" i="5"/>
  <c r="H11144" i="5"/>
  <c r="H11112" i="5"/>
  <c r="H11080" i="5"/>
  <c r="H11048" i="5"/>
  <c r="H11016" i="5"/>
  <c r="H10984" i="5"/>
  <c r="H10952" i="5"/>
  <c r="H10920" i="5"/>
  <c r="H10888" i="5"/>
  <c r="H10856" i="5"/>
  <c r="H10824" i="5"/>
  <c r="H10792" i="5"/>
  <c r="H10760" i="5"/>
  <c r="H10728" i="5"/>
  <c r="H10696" i="5"/>
  <c r="H10664" i="5"/>
  <c r="H10632" i="5"/>
  <c r="H10600" i="5"/>
  <c r="H10568" i="5"/>
  <c r="H10536" i="5"/>
  <c r="H10504" i="5"/>
  <c r="H10472" i="5"/>
  <c r="H10440" i="5"/>
  <c r="H10408" i="5"/>
  <c r="H10376" i="5"/>
  <c r="H10344" i="5"/>
  <c r="H10312" i="5"/>
  <c r="H10280" i="5"/>
  <c r="H10248" i="5"/>
  <c r="H10216" i="5"/>
  <c r="H10184" i="5"/>
  <c r="H10152" i="5"/>
  <c r="H10120" i="5"/>
  <c r="H10088" i="5"/>
  <c r="H10056" i="5"/>
  <c r="H10024" i="5"/>
  <c r="H9992" i="5"/>
  <c r="H9960" i="5"/>
  <c r="H9928" i="5"/>
  <c r="H9896" i="5"/>
  <c r="H9864" i="5"/>
  <c r="H9832" i="5"/>
  <c r="H9800" i="5"/>
  <c r="H9768" i="5"/>
  <c r="H9736" i="5"/>
  <c r="H9704" i="5"/>
  <c r="H9672" i="5"/>
  <c r="H9640" i="5"/>
  <c r="H9608" i="5"/>
  <c r="H9576" i="5"/>
  <c r="H9544" i="5"/>
  <c r="H9512" i="5"/>
  <c r="H9480" i="5"/>
  <c r="H9448" i="5"/>
  <c r="H9416" i="5"/>
  <c r="H9384" i="5"/>
  <c r="H9352" i="5"/>
  <c r="H9320" i="5"/>
  <c r="H9288" i="5"/>
  <c r="H9256" i="5"/>
  <c r="H9224" i="5"/>
  <c r="H9192" i="5"/>
  <c r="H9160" i="5"/>
  <c r="H9128" i="5"/>
  <c r="H9096" i="5"/>
  <c r="H9064" i="5"/>
  <c r="H9032" i="5"/>
  <c r="H9000" i="5"/>
  <c r="H8968" i="5"/>
  <c r="H8936" i="5"/>
  <c r="H8904" i="5"/>
  <c r="H8872" i="5"/>
  <c r="H8840" i="5"/>
  <c r="H8808" i="5"/>
  <c r="H8776" i="5"/>
  <c r="H8744" i="5"/>
  <c r="H8712" i="5"/>
  <c r="H8680" i="5"/>
  <c r="H8648" i="5"/>
  <c r="H8616" i="5"/>
  <c r="H8584" i="5"/>
  <c r="H8552" i="5"/>
  <c r="H8520" i="5"/>
  <c r="H8488" i="5"/>
  <c r="H8456" i="5"/>
  <c r="H8424" i="5"/>
  <c r="H8392" i="5"/>
  <c r="H8360" i="5"/>
  <c r="H8328" i="5"/>
  <c r="H8296" i="5"/>
  <c r="H8264" i="5"/>
  <c r="H8232" i="5"/>
  <c r="H8200" i="5"/>
  <c r="H8168" i="5"/>
  <c r="H8136" i="5"/>
  <c r="H8104" i="5"/>
  <c r="H8072" i="5"/>
  <c r="H8040" i="5"/>
  <c r="H8008" i="5"/>
  <c r="H7976" i="5"/>
  <c r="H7944" i="5"/>
  <c r="H7912" i="5"/>
  <c r="H7880" i="5"/>
  <c r="H7848" i="5"/>
  <c r="H7816" i="5"/>
  <c r="H7784" i="5"/>
  <c r="H7752" i="5"/>
  <c r="H7720" i="5"/>
  <c r="H7688" i="5"/>
  <c r="H7656" i="5"/>
  <c r="H7624" i="5"/>
  <c r="H7592" i="5"/>
  <c r="H7560" i="5"/>
  <c r="H7528" i="5"/>
  <c r="H7496" i="5"/>
  <c r="H7464" i="5"/>
  <c r="H7432" i="5"/>
  <c r="H7400" i="5"/>
  <c r="H7368" i="5"/>
  <c r="H7336" i="5"/>
  <c r="H7304" i="5"/>
  <c r="H7272" i="5"/>
  <c r="H7240" i="5"/>
  <c r="H7208" i="5"/>
  <c r="H7176" i="5"/>
  <c r="H7144" i="5"/>
  <c r="H7112" i="5"/>
  <c r="H7080" i="5"/>
  <c r="H7048" i="5"/>
  <c r="H7016" i="5"/>
  <c r="H6984" i="5"/>
  <c r="H6952" i="5"/>
  <c r="H6920" i="5"/>
  <c r="H6888" i="5"/>
  <c r="H6856" i="5"/>
  <c r="H6824" i="5"/>
  <c r="H6792" i="5"/>
  <c r="H6760" i="5"/>
  <c r="H6728" i="5"/>
  <c r="H6696" i="5"/>
  <c r="H6664" i="5"/>
  <c r="H6632" i="5"/>
  <c r="H6600" i="5"/>
  <c r="H6568" i="5"/>
  <c r="H6536" i="5"/>
  <c r="H6504" i="5"/>
  <c r="H6472" i="5"/>
  <c r="H6440" i="5"/>
  <c r="H6408" i="5"/>
  <c r="H6376" i="5"/>
  <c r="H6344" i="5"/>
  <c r="H6312" i="5"/>
  <c r="H6280" i="5"/>
  <c r="H6248" i="5"/>
  <c r="H6216" i="5"/>
  <c r="H6184" i="5"/>
  <c r="H6152" i="5"/>
  <c r="H6120" i="5"/>
  <c r="H6088" i="5"/>
  <c r="H6056" i="5"/>
  <c r="H6024" i="5"/>
  <c r="H5992" i="5"/>
  <c r="H5960" i="5"/>
  <c r="H5928" i="5"/>
  <c r="H5896" i="5"/>
  <c r="H5864" i="5"/>
  <c r="H5832" i="5"/>
  <c r="H5800" i="5"/>
  <c r="H5768" i="5"/>
  <c r="H5736" i="5"/>
  <c r="H5704" i="5"/>
  <c r="H5672" i="5"/>
  <c r="H5640" i="5"/>
  <c r="H5608" i="5"/>
  <c r="H5576" i="5"/>
  <c r="H5544" i="5"/>
  <c r="H5512" i="5"/>
  <c r="H5480" i="5"/>
  <c r="H5448" i="5"/>
  <c r="H5416" i="5"/>
  <c r="H5384" i="5"/>
  <c r="H5352" i="5"/>
  <c r="H5320" i="5"/>
  <c r="H5288" i="5"/>
  <c r="H5256" i="5"/>
  <c r="H5224" i="5"/>
  <c r="H5192" i="5"/>
  <c r="H5160" i="5"/>
  <c r="H5128" i="5"/>
  <c r="H5096" i="5"/>
  <c r="H5064" i="5"/>
  <c r="H5032" i="5"/>
  <c r="H5000" i="5"/>
  <c r="H4968" i="5"/>
  <c r="H4936" i="5"/>
  <c r="H4904" i="5"/>
  <c r="H4872" i="5"/>
  <c r="H4840" i="5"/>
  <c r="H4808" i="5"/>
  <c r="H4776" i="5"/>
  <c r="H4744" i="5"/>
  <c r="H4712" i="5"/>
  <c r="H4680" i="5"/>
  <c r="H4648" i="5"/>
  <c r="H4616" i="5"/>
  <c r="H4584" i="5"/>
  <c r="H4552" i="5"/>
  <c r="H4520" i="5"/>
  <c r="H4488" i="5"/>
  <c r="H4456" i="5"/>
  <c r="H4424" i="5"/>
  <c r="H4392" i="5"/>
  <c r="H4360" i="5"/>
  <c r="H4328" i="5"/>
  <c r="H4296" i="5"/>
  <c r="H4264" i="5"/>
  <c r="H4232" i="5"/>
  <c r="H4200" i="5"/>
  <c r="H4168" i="5"/>
  <c r="H4136" i="5"/>
  <c r="H4104" i="5"/>
  <c r="H4072" i="5"/>
  <c r="H4040" i="5"/>
  <c r="H4008" i="5"/>
  <c r="H3976" i="5"/>
  <c r="H3944" i="5"/>
  <c r="H3912" i="5"/>
  <c r="H3880" i="5"/>
  <c r="H3848" i="5"/>
  <c r="H3816" i="5"/>
  <c r="H3784" i="5"/>
  <c r="H3752" i="5"/>
  <c r="H3720" i="5"/>
  <c r="H3688" i="5"/>
  <c r="H3656" i="5"/>
  <c r="H3624" i="5"/>
  <c r="H3592" i="5"/>
  <c r="H3560" i="5"/>
  <c r="H3528" i="5"/>
  <c r="H3496" i="5"/>
  <c r="H3464" i="5"/>
  <c r="H3432" i="5"/>
  <c r="H3400" i="5"/>
  <c r="H3368" i="5"/>
  <c r="H3336" i="5"/>
  <c r="H3304" i="5"/>
  <c r="H3272" i="5"/>
  <c r="H3240" i="5"/>
  <c r="H3208" i="5"/>
  <c r="H3176" i="5"/>
  <c r="H3144" i="5"/>
  <c r="H3112" i="5"/>
  <c r="H3080" i="5"/>
  <c r="H3048" i="5"/>
  <c r="H3016" i="5"/>
  <c r="H2984" i="5"/>
  <c r="H2952" i="5"/>
  <c r="H2920" i="5"/>
  <c r="H2888" i="5"/>
  <c r="H2856" i="5"/>
  <c r="H2824" i="5"/>
  <c r="H2792" i="5"/>
  <c r="H2760" i="5"/>
  <c r="H2728" i="5"/>
  <c r="H2696" i="5"/>
  <c r="H2664" i="5"/>
  <c r="H2632" i="5"/>
  <c r="H2600" i="5"/>
  <c r="H2568" i="5"/>
  <c r="H2536" i="5"/>
  <c r="H2504" i="5"/>
  <c r="H2472" i="5"/>
  <c r="H2440" i="5"/>
  <c r="H2408" i="5"/>
  <c r="H2376" i="5"/>
  <c r="H2344" i="5"/>
  <c r="H2312" i="5"/>
  <c r="H2280" i="5"/>
  <c r="H2248" i="5"/>
  <c r="H2216" i="5"/>
  <c r="H2184" i="5"/>
  <c r="H2152" i="5"/>
  <c r="H2120" i="5"/>
  <c r="H2088" i="5"/>
  <c r="H2056" i="5"/>
  <c r="H2024" i="5"/>
  <c r="H1992" i="5"/>
  <c r="H1960" i="5"/>
  <c r="H1928" i="5"/>
  <c r="H1896" i="5"/>
  <c r="H1864" i="5"/>
  <c r="H1832" i="5"/>
  <c r="H1800" i="5"/>
  <c r="H1768" i="5"/>
  <c r="H1736" i="5"/>
  <c r="H1704" i="5"/>
  <c r="H1672" i="5"/>
  <c r="H1640" i="5"/>
  <c r="H1608" i="5"/>
  <c r="H1576" i="5"/>
  <c r="H1544" i="5"/>
  <c r="H1512" i="5"/>
  <c r="H1480" i="5"/>
  <c r="H1448" i="5"/>
  <c r="H1416" i="5"/>
  <c r="H1384" i="5"/>
  <c r="H1352" i="5"/>
  <c r="H1320" i="5"/>
  <c r="H1288" i="5"/>
  <c r="H1256" i="5"/>
  <c r="H1224" i="5"/>
  <c r="H1192" i="5"/>
  <c r="H1160" i="5"/>
  <c r="H1128" i="5"/>
  <c r="H1096" i="5"/>
  <c r="H1064" i="5"/>
  <c r="H1032" i="5"/>
  <c r="H1000" i="5"/>
  <c r="H968" i="5"/>
  <c r="H936" i="5"/>
  <c r="H904" i="5"/>
  <c r="H872" i="5"/>
  <c r="H840" i="5"/>
  <c r="H808" i="5"/>
  <c r="H776" i="5"/>
  <c r="H744" i="5"/>
  <c r="H712" i="5"/>
  <c r="H680" i="5"/>
  <c r="H648" i="5"/>
  <c r="H616" i="5"/>
  <c r="H584" i="5"/>
  <c r="H552" i="5"/>
  <c r="H520" i="5"/>
  <c r="H488" i="5"/>
  <c r="H456" i="5"/>
  <c r="H426" i="5"/>
  <c r="H403" i="5"/>
  <c r="H384" i="5"/>
  <c r="H362" i="5"/>
  <c r="H339" i="5"/>
  <c r="H320" i="5"/>
  <c r="H298" i="5"/>
  <c r="H275" i="5"/>
  <c r="H256" i="5"/>
  <c r="H234" i="5"/>
  <c r="H211" i="5"/>
  <c r="H192" i="5"/>
  <c r="H170" i="5"/>
  <c r="H147" i="5"/>
  <c r="H128" i="5"/>
  <c r="H35089" i="5"/>
  <c r="H33837" i="5"/>
  <c r="H32813" i="5"/>
  <c r="H31789" i="5"/>
  <c r="H30765" i="5"/>
  <c r="H29741" i="5"/>
  <c r="H29013" i="5"/>
  <c r="H28501" i="5"/>
  <c r="H27989" i="5"/>
  <c r="H27477" i="5"/>
  <c r="H27120" i="5"/>
  <c r="H26864" i="5"/>
  <c r="H26608" i="5"/>
  <c r="H26352" i="5"/>
  <c r="H26096" i="5"/>
  <c r="H25840" i="5"/>
  <c r="H25584" i="5"/>
  <c r="H25371" i="5"/>
  <c r="H25165" i="5"/>
  <c r="H24964" i="5"/>
  <c r="H24831" i="5"/>
  <c r="H24703" i="5"/>
  <c r="H24575" i="5"/>
  <c r="H24447" i="5"/>
  <c r="H24319" i="5"/>
  <c r="H24191" i="5"/>
  <c r="H24063" i="5"/>
  <c r="H23935" i="5"/>
  <c r="H23807" i="5"/>
  <c r="H23679" i="5"/>
  <c r="H23551" i="5"/>
  <c r="H23423" i="5"/>
  <c r="H23295" i="5"/>
  <c r="H23167" i="5"/>
  <c r="H23039" i="5"/>
  <c r="H22911" i="5"/>
  <c r="H22783" i="5"/>
  <c r="H22655" i="5"/>
  <c r="H22527" i="5"/>
  <c r="H22399" i="5"/>
  <c r="H22271" i="5"/>
  <c r="H22143" i="5"/>
  <c r="H22015" i="5"/>
  <c r="H21887" i="5"/>
  <c r="H21759" i="5"/>
  <c r="H21631" i="5"/>
  <c r="H21503" i="5"/>
  <c r="H21375" i="5"/>
  <c r="H21247" i="5"/>
  <c r="H21119" i="5"/>
  <c r="H20991" i="5"/>
  <c r="H20863" i="5"/>
  <c r="H20735" i="5"/>
  <c r="H20607" i="5"/>
  <c r="H20479" i="5"/>
  <c r="H20351" i="5"/>
  <c r="H20223" i="5"/>
  <c r="H20095" i="5"/>
  <c r="H19967" i="5"/>
  <c r="H19839" i="5"/>
  <c r="H19711" i="5"/>
  <c r="H19583" i="5"/>
  <c r="H19455" i="5"/>
  <c r="H19327" i="5"/>
  <c r="H19199" i="5"/>
  <c r="H19071" i="5"/>
  <c r="H18943" i="5"/>
  <c r="H18815" i="5"/>
  <c r="H18687" i="5"/>
  <c r="H18559" i="5"/>
  <c r="H18431" i="5"/>
  <c r="H18303" i="5"/>
  <c r="H18175" i="5"/>
  <c r="H18047" i="5"/>
  <c r="H17919" i="5"/>
  <c r="H17791" i="5"/>
  <c r="H17663" i="5"/>
  <c r="H17535" i="5"/>
  <c r="H17431" i="5"/>
  <c r="H17344" i="5"/>
  <c r="H17279" i="5"/>
  <c r="H17215" i="5"/>
  <c r="H17151" i="5"/>
  <c r="H17087" i="5"/>
  <c r="H17023" i="5"/>
  <c r="H16959" i="5"/>
  <c r="H16895" i="5"/>
  <c r="H16831" i="5"/>
  <c r="H16767" i="5"/>
  <c r="H16703" i="5"/>
  <c r="H16639" i="5"/>
  <c r="H16585" i="5"/>
  <c r="H16549" i="5"/>
  <c r="H16515" i="5"/>
  <c r="H16483" i="5"/>
  <c r="H16451" i="5"/>
  <c r="H16419" i="5"/>
  <c r="H16387" i="5"/>
  <c r="H16355" i="5"/>
  <c r="H16323" i="5"/>
  <c r="H16291" i="5"/>
  <c r="H16259" i="5"/>
  <c r="H16227" i="5"/>
  <c r="H16195" i="5"/>
  <c r="H16163" i="5"/>
  <c r="H16131" i="5"/>
  <c r="H16099" i="5"/>
  <c r="H16067" i="5"/>
  <c r="H16035" i="5"/>
  <c r="H16003" i="5"/>
  <c r="H15971" i="5"/>
  <c r="H15939" i="5"/>
  <c r="H15907" i="5"/>
  <c r="H15875" i="5"/>
  <c r="H15843" i="5"/>
  <c r="H15811" i="5"/>
  <c r="H15779" i="5"/>
  <c r="H15747" i="5"/>
  <c r="H15715" i="5"/>
  <c r="H15683" i="5"/>
  <c r="H15651" i="5"/>
  <c r="H15619" i="5"/>
  <c r="H15587" i="5"/>
  <c r="H15555" i="5"/>
  <c r="H15523" i="5"/>
  <c r="H15491" i="5"/>
  <c r="H15459" i="5"/>
  <c r="H15427" i="5"/>
  <c r="H15395" i="5"/>
  <c r="H15363" i="5"/>
  <c r="H15331" i="5"/>
  <c r="H15299" i="5"/>
  <c r="H15267" i="5"/>
  <c r="H15235" i="5"/>
  <c r="H15203" i="5"/>
  <c r="H15171" i="5"/>
  <c r="H15139" i="5"/>
  <c r="H15107" i="5"/>
  <c r="H15075" i="5"/>
  <c r="H15043" i="5"/>
  <c r="H15011" i="5"/>
  <c r="H14979" i="5"/>
  <c r="H14947" i="5"/>
  <c r="H14915" i="5"/>
  <c r="H14883" i="5"/>
  <c r="H14851" i="5"/>
  <c r="H14819" i="5"/>
  <c r="H14787" i="5"/>
  <c r="H14755" i="5"/>
  <c r="H14723" i="5"/>
  <c r="H14691" i="5"/>
  <c r="H14659" i="5"/>
  <c r="H14627" i="5"/>
  <c r="H14595" i="5"/>
  <c r="H14563" i="5"/>
  <c r="H14531" i="5"/>
  <c r="H14499" i="5"/>
  <c r="H14467" i="5"/>
  <c r="H14435" i="5"/>
  <c r="H14403" i="5"/>
  <c r="H14371" i="5"/>
  <c r="H14339" i="5"/>
  <c r="H14307" i="5"/>
  <c r="H14275" i="5"/>
  <c r="H14243" i="5"/>
  <c r="H14211" i="5"/>
  <c r="H14179" i="5"/>
  <c r="H14147" i="5"/>
  <c r="H14115" i="5"/>
  <c r="H14083" i="5"/>
  <c r="H14051" i="5"/>
  <c r="H14019" i="5"/>
  <c r="H13987" i="5"/>
  <c r="H13955" i="5"/>
  <c r="H13923" i="5"/>
  <c r="H13891" i="5"/>
  <c r="H13859" i="5"/>
  <c r="H13827" i="5"/>
  <c r="H13795" i="5"/>
  <c r="H13763" i="5"/>
  <c r="H13731" i="5"/>
  <c r="H13699" i="5"/>
  <c r="H13667" i="5"/>
  <c r="H13635" i="5"/>
  <c r="H13603" i="5"/>
  <c r="H13571" i="5"/>
  <c r="H13539" i="5"/>
  <c r="H13507" i="5"/>
  <c r="H13475" i="5"/>
  <c r="H13443" i="5"/>
  <c r="H13411" i="5"/>
  <c r="H13379" i="5"/>
  <c r="H13347" i="5"/>
  <c r="H13315" i="5"/>
  <c r="H13283" i="5"/>
  <c r="H13251" i="5"/>
  <c r="H13219" i="5"/>
  <c r="H13187" i="5"/>
  <c r="H13155" i="5"/>
  <c r="H13123" i="5"/>
  <c r="H13091" i="5"/>
  <c r="H13059" i="5"/>
  <c r="H13027" i="5"/>
  <c r="H12995" i="5"/>
  <c r="H12963" i="5"/>
  <c r="H12931" i="5"/>
  <c r="H12899" i="5"/>
  <c r="H12867" i="5"/>
  <c r="H12835" i="5"/>
  <c r="H12803" i="5"/>
  <c r="H12771" i="5"/>
  <c r="H12739" i="5"/>
  <c r="H12707" i="5"/>
  <c r="H12675" i="5"/>
  <c r="H12643" i="5"/>
  <c r="H12611" i="5"/>
  <c r="H12579" i="5"/>
  <c r="H12547" i="5"/>
  <c r="H12515" i="5"/>
  <c r="H12483" i="5"/>
  <c r="H12451" i="5"/>
  <c r="H12419" i="5"/>
  <c r="H12387" i="5"/>
  <c r="H12355" i="5"/>
  <c r="H12323" i="5"/>
  <c r="H12291" i="5"/>
  <c r="H12259" i="5"/>
  <c r="H12227" i="5"/>
  <c r="H12195" i="5"/>
  <c r="H12163" i="5"/>
  <c r="H12131" i="5"/>
  <c r="H12099" i="5"/>
  <c r="H12067" i="5"/>
  <c r="H12035" i="5"/>
  <c r="H12003" i="5"/>
  <c r="H11971" i="5"/>
  <c r="H11939" i="5"/>
  <c r="H11907" i="5"/>
  <c r="H11875" i="5"/>
  <c r="H11843" i="5"/>
  <c r="H11811" i="5"/>
  <c r="H11779" i="5"/>
  <c r="H11747" i="5"/>
  <c r="H11715" i="5"/>
  <c r="H11683" i="5"/>
  <c r="H11651" i="5"/>
  <c r="H11619" i="5"/>
  <c r="H11587" i="5"/>
  <c r="H11555" i="5"/>
  <c r="H11523" i="5"/>
  <c r="H11491" i="5"/>
  <c r="H11459" i="5"/>
  <c r="H11427" i="5"/>
  <c r="H11395" i="5"/>
  <c r="H11363" i="5"/>
  <c r="H11331" i="5"/>
  <c r="H11299" i="5"/>
  <c r="H11267" i="5"/>
  <c r="H11235" i="5"/>
  <c r="H11203" i="5"/>
  <c r="H11171" i="5"/>
  <c r="H11139" i="5"/>
  <c r="H11107" i="5"/>
  <c r="H11075" i="5"/>
  <c r="H11043" i="5"/>
  <c r="H11011" i="5"/>
  <c r="H10979" i="5"/>
  <c r="H10947" i="5"/>
  <c r="H10915" i="5"/>
  <c r="H10883" i="5"/>
  <c r="H10851" i="5"/>
  <c r="H10819" i="5"/>
  <c r="H10787" i="5"/>
  <c r="H10755" i="5"/>
  <c r="H10723" i="5"/>
  <c r="H10691" i="5"/>
  <c r="H10659" i="5"/>
  <c r="H10627" i="5"/>
  <c r="H10595" i="5"/>
  <c r="H10563" i="5"/>
  <c r="H10531" i="5"/>
  <c r="H10499" i="5"/>
  <c r="H10467" i="5"/>
  <c r="H10435" i="5"/>
  <c r="H10403" i="5"/>
  <c r="H10371" i="5"/>
  <c r="H10339" i="5"/>
  <c r="H10307" i="5"/>
  <c r="H10275" i="5"/>
  <c r="H10243" i="5"/>
  <c r="H10211" i="5"/>
  <c r="H10179" i="5"/>
  <c r="H10147" i="5"/>
  <c r="H10115" i="5"/>
  <c r="H10083" i="5"/>
  <c r="H10051" i="5"/>
  <c r="H10019" i="5"/>
  <c r="H9987" i="5"/>
  <c r="H9955" i="5"/>
  <c r="H9923" i="5"/>
  <c r="H9891" i="5"/>
  <c r="H9859" i="5"/>
  <c r="H9827" i="5"/>
  <c r="H9795" i="5"/>
  <c r="H9763" i="5"/>
  <c r="H9731" i="5"/>
  <c r="H9699" i="5"/>
  <c r="H9667" i="5"/>
  <c r="H9635" i="5"/>
  <c r="H9603" i="5"/>
  <c r="H9571" i="5"/>
  <c r="H9539" i="5"/>
  <c r="H9507" i="5"/>
  <c r="H9475" i="5"/>
  <c r="H9443" i="5"/>
  <c r="H9411" i="5"/>
  <c r="H9379" i="5"/>
  <c r="H9347" i="5"/>
  <c r="H9315" i="5"/>
  <c r="H9283" i="5"/>
  <c r="H9251" i="5"/>
  <c r="H9219" i="5"/>
  <c r="H9187" i="5"/>
  <c r="H9155" i="5"/>
  <c r="H9123" i="5"/>
  <c r="H9091" i="5"/>
  <c r="H9059" i="5"/>
  <c r="H9027" i="5"/>
  <c r="H8995" i="5"/>
  <c r="H8963" i="5"/>
  <c r="H8931" i="5"/>
  <c r="H8899" i="5"/>
  <c r="H8867" i="5"/>
  <c r="H8835" i="5"/>
  <c r="H8803" i="5"/>
  <c r="H8771" i="5"/>
  <c r="H8739" i="5"/>
  <c r="H8707" i="5"/>
  <c r="H8675" i="5"/>
  <c r="H8643" i="5"/>
  <c r="H8611" i="5"/>
  <c r="H8579" i="5"/>
  <c r="H8547" i="5"/>
  <c r="H8515" i="5"/>
  <c r="H8483" i="5"/>
  <c r="H8451" i="5"/>
  <c r="H8419" i="5"/>
  <c r="H8387" i="5"/>
  <c r="H8355" i="5"/>
  <c r="H8323" i="5"/>
  <c r="H8291" i="5"/>
  <c r="H8259" i="5"/>
  <c r="H8227" i="5"/>
  <c r="H8195" i="5"/>
  <c r="H8163" i="5"/>
  <c r="H8131" i="5"/>
  <c r="H8099" i="5"/>
  <c r="H8067" i="5"/>
  <c r="H8035" i="5"/>
  <c r="H8003" i="5"/>
  <c r="H7971" i="5"/>
  <c r="H7939" i="5"/>
  <c r="H7907" i="5"/>
  <c r="H7875" i="5"/>
  <c r="H7843" i="5"/>
  <c r="H7811" i="5"/>
  <c r="H7779" i="5"/>
  <c r="H7747" i="5"/>
  <c r="H7715" i="5"/>
  <c r="H7683" i="5"/>
  <c r="H7651" i="5"/>
  <c r="H7619" i="5"/>
  <c r="H7587" i="5"/>
  <c r="H7555" i="5"/>
  <c r="H7523" i="5"/>
  <c r="H7491" i="5"/>
  <c r="H7459" i="5"/>
  <c r="H7427" i="5"/>
  <c r="H7395" i="5"/>
  <c r="H7363" i="5"/>
  <c r="H7331" i="5"/>
  <c r="H7299" i="5"/>
  <c r="H7267" i="5"/>
  <c r="H7235" i="5"/>
  <c r="H7203" i="5"/>
  <c r="H7171" i="5"/>
  <c r="H7139" i="5"/>
  <c r="H7107" i="5"/>
  <c r="H7075" i="5"/>
  <c r="H7043" i="5"/>
  <c r="H7011" i="5"/>
  <c r="H6979" i="5"/>
  <c r="H6947" i="5"/>
  <c r="H6915" i="5"/>
  <c r="H6883" i="5"/>
  <c r="H6851" i="5"/>
  <c r="H6819" i="5"/>
  <c r="H6787" i="5"/>
  <c r="H6755" i="5"/>
  <c r="H6723" i="5"/>
  <c r="H6691" i="5"/>
  <c r="H6659" i="5"/>
  <c r="H6627" i="5"/>
  <c r="H6595" i="5"/>
  <c r="H6563" i="5"/>
  <c r="H6531" i="5"/>
  <c r="H6499" i="5"/>
  <c r="H6467" i="5"/>
  <c r="H6435" i="5"/>
  <c r="H6403" i="5"/>
  <c r="H6371" i="5"/>
  <c r="H6339" i="5"/>
  <c r="H6307" i="5"/>
  <c r="H6275" i="5"/>
  <c r="H6243" i="5"/>
  <c r="H6211" i="5"/>
  <c r="H6179" i="5"/>
  <c r="H6147" i="5"/>
  <c r="H6115" i="5"/>
  <c r="H6083" i="5"/>
  <c r="H6051" i="5"/>
  <c r="H6019" i="5"/>
  <c r="H5987" i="5"/>
  <c r="H5955" i="5"/>
  <c r="H5923" i="5"/>
  <c r="H5891" i="5"/>
  <c r="H5859" i="5"/>
  <c r="H5827" i="5"/>
  <c r="H5795" i="5"/>
  <c r="H5763" i="5"/>
  <c r="H5731" i="5"/>
  <c r="H5699" i="5"/>
  <c r="H5667" i="5"/>
  <c r="H5635" i="5"/>
  <c r="H5603" i="5"/>
  <c r="H5571" i="5"/>
  <c r="H5539" i="5"/>
  <c r="H5507" i="5"/>
  <c r="H5475" i="5"/>
  <c r="H5443" i="5"/>
  <c r="H5411" i="5"/>
  <c r="H5379" i="5"/>
  <c r="H5347" i="5"/>
  <c r="H5315" i="5"/>
  <c r="H5283" i="5"/>
  <c r="H5251" i="5"/>
  <c r="H5219" i="5"/>
  <c r="H5187" i="5"/>
  <c r="H5155" i="5"/>
  <c r="H5123" i="5"/>
  <c r="H5091" i="5"/>
  <c r="H5059" i="5"/>
  <c r="H5027" i="5"/>
  <c r="H4995" i="5"/>
  <c r="H4963" i="5"/>
  <c r="H4931" i="5"/>
  <c r="H4899" i="5"/>
  <c r="H4867" i="5"/>
  <c r="H4835" i="5"/>
  <c r="H4803" i="5"/>
  <c r="H4771" i="5"/>
  <c r="H4739" i="5"/>
  <c r="H4707" i="5"/>
  <c r="H4675" i="5"/>
  <c r="H4643" i="5"/>
  <c r="H4611" i="5"/>
  <c r="H4579" i="5"/>
  <c r="H4547" i="5"/>
  <c r="H4515" i="5"/>
  <c r="H4483" i="5"/>
  <c r="H4451" i="5"/>
  <c r="H4419" i="5"/>
  <c r="H4387" i="5"/>
  <c r="H4355" i="5"/>
  <c r="H4323" i="5"/>
  <c r="H4291" i="5"/>
  <c r="H4259" i="5"/>
  <c r="H4227" i="5"/>
  <c r="H4195" i="5"/>
  <c r="H4163" i="5"/>
  <c r="H4131" i="5"/>
  <c r="H4099" i="5"/>
  <c r="H4067" i="5"/>
  <c r="H4035" i="5"/>
  <c r="H4003" i="5"/>
  <c r="H3971" i="5"/>
  <c r="H3939" i="5"/>
  <c r="H3907" i="5"/>
  <c r="H3875" i="5"/>
  <c r="H3843" i="5"/>
  <c r="H3811" i="5"/>
  <c r="H3779" i="5"/>
  <c r="H3747" i="5"/>
  <c r="H3715" i="5"/>
  <c r="H3683" i="5"/>
  <c r="H3651" i="5"/>
  <c r="H3619" i="5"/>
  <c r="H3587" i="5"/>
  <c r="H3555" i="5"/>
  <c r="H3523" i="5"/>
  <c r="H3491" i="5"/>
  <c r="H3459" i="5"/>
  <c r="H3427" i="5"/>
  <c r="H3395" i="5"/>
  <c r="H3363" i="5"/>
  <c r="H3331" i="5"/>
  <c r="H3299" i="5"/>
  <c r="H3267" i="5"/>
  <c r="H3235" i="5"/>
  <c r="H3203" i="5"/>
  <c r="H3171" i="5"/>
  <c r="H3139" i="5"/>
  <c r="H3107" i="5"/>
  <c r="H3075" i="5"/>
  <c r="H3043" i="5"/>
  <c r="H3011" i="5"/>
  <c r="H2979" i="5"/>
  <c r="H2947" i="5"/>
  <c r="H2915" i="5"/>
  <c r="H2883" i="5"/>
  <c r="H2851" i="5"/>
  <c r="H2819" i="5"/>
  <c r="H2787" i="5"/>
  <c r="H2755" i="5"/>
  <c r="H2723" i="5"/>
  <c r="H2691" i="5"/>
  <c r="H2659" i="5"/>
  <c r="H2627" i="5"/>
  <c r="H2595" i="5"/>
  <c r="H2563" i="5"/>
  <c r="H2531" i="5"/>
  <c r="H2499" i="5"/>
  <c r="H2467" i="5"/>
  <c r="H2435" i="5"/>
  <c r="H2403" i="5"/>
  <c r="H2371" i="5"/>
  <c r="H2339" i="5"/>
  <c r="H2307" i="5"/>
  <c r="H2275" i="5"/>
  <c r="H2243" i="5"/>
  <c r="H2211" i="5"/>
  <c r="H2179" i="5"/>
  <c r="H2147" i="5"/>
  <c r="H2115" i="5"/>
  <c r="H2083" i="5"/>
  <c r="H2051" i="5"/>
  <c r="H2019" i="5"/>
  <c r="H1987" i="5"/>
  <c r="H1955" i="5"/>
  <c r="H1923" i="5"/>
  <c r="H1891" i="5"/>
  <c r="H1859" i="5"/>
  <c r="H1827" i="5"/>
  <c r="H1795" i="5"/>
  <c r="H1763" i="5"/>
  <c r="H1731" i="5"/>
  <c r="H1699" i="5"/>
  <c r="H1667" i="5"/>
  <c r="H1635" i="5"/>
  <c r="H1603" i="5"/>
  <c r="H1571" i="5"/>
  <c r="H1539" i="5"/>
  <c r="H1507" i="5"/>
  <c r="H1475" i="5"/>
  <c r="H1443" i="5"/>
  <c r="H1411" i="5"/>
  <c r="H1379" i="5"/>
  <c r="H1347" i="5"/>
  <c r="H1315" i="5"/>
  <c r="H1283" i="5"/>
  <c r="H1251" i="5"/>
  <c r="H1219" i="5"/>
  <c r="H1187" i="5"/>
  <c r="H1155" i="5"/>
  <c r="H1123" i="5"/>
  <c r="H1091" i="5"/>
  <c r="H1059" i="5"/>
  <c r="H1027" i="5"/>
  <c r="H995" i="5"/>
  <c r="H963" i="5"/>
  <c r="H931" i="5"/>
  <c r="H899" i="5"/>
  <c r="H867" i="5"/>
  <c r="H835" i="5"/>
  <c r="H803" i="5"/>
  <c r="H771" i="5"/>
  <c r="H739" i="5"/>
  <c r="H707" i="5"/>
  <c r="H675" i="5"/>
  <c r="H643" i="5"/>
  <c r="H611" i="5"/>
  <c r="H579" i="5"/>
  <c r="H547" i="5"/>
  <c r="H515" i="5"/>
  <c r="H483" i="5"/>
  <c r="H451" i="5"/>
  <c r="H424" i="5"/>
  <c r="H402" i="5"/>
  <c r="H379" i="5"/>
  <c r="H360" i="5"/>
  <c r="H338" i="5"/>
  <c r="H315" i="5"/>
  <c r="H296" i="5"/>
  <c r="H274" i="5"/>
  <c r="H251" i="5"/>
  <c r="H232" i="5"/>
  <c r="H210" i="5"/>
  <c r="H187" i="5"/>
  <c r="H168" i="5"/>
  <c r="H146" i="5"/>
  <c r="H123" i="5"/>
  <c r="H33717" i="5"/>
  <c r="H27422" i="5"/>
  <c r="H25347" i="5"/>
  <c r="H24176" i="5"/>
  <c r="H23152" i="5"/>
  <c r="H22128" i="5"/>
  <c r="H21104" i="5"/>
  <c r="H20080" i="5"/>
  <c r="H19056" i="5"/>
  <c r="H18032" i="5"/>
  <c r="H17208" i="5"/>
  <c r="H16696" i="5"/>
  <c r="H16384" i="5"/>
  <c r="H16128" i="5"/>
  <c r="H15872" i="5"/>
  <c r="H15616" i="5"/>
  <c r="H15360" i="5"/>
  <c r="H15104" i="5"/>
  <c r="H14848" i="5"/>
  <c r="H14592" i="5"/>
  <c r="H14336" i="5"/>
  <c r="H14080" i="5"/>
  <c r="H13824" i="5"/>
  <c r="H13568" i="5"/>
  <c r="H13312" i="5"/>
  <c r="H13056" i="5"/>
  <c r="H12800" i="5"/>
  <c r="H12544" i="5"/>
  <c r="H12288" i="5"/>
  <c r="H12032" i="5"/>
  <c r="H11776" i="5"/>
  <c r="H11520" i="5"/>
  <c r="H11264" i="5"/>
  <c r="H11008" i="5"/>
  <c r="H10752" i="5"/>
  <c r="H10496" i="5"/>
  <c r="H10240" i="5"/>
  <c r="H9984" i="5"/>
  <c r="H9728" i="5"/>
  <c r="H9472" i="5"/>
  <c r="H9216" i="5"/>
  <c r="H8960" i="5"/>
  <c r="H8704" i="5"/>
  <c r="H8448" i="5"/>
  <c r="H8192" i="5"/>
  <c r="H7936" i="5"/>
  <c r="H7680" i="5"/>
  <c r="H7424" i="5"/>
  <c r="H7168" i="5"/>
  <c r="H6912" i="5"/>
  <c r="H6656" i="5"/>
  <c r="H6400" i="5"/>
  <c r="H6144" i="5"/>
  <c r="H5888" i="5"/>
  <c r="H5632" i="5"/>
  <c r="H5376" i="5"/>
  <c r="H5120" i="5"/>
  <c r="H4864" i="5"/>
  <c r="H4608" i="5"/>
  <c r="H4352" i="5"/>
  <c r="H4096" i="5"/>
  <c r="H3840" i="5"/>
  <c r="H3584" i="5"/>
  <c r="H3328" i="5"/>
  <c r="H3072" i="5"/>
  <c r="H2816" i="5"/>
  <c r="H2560" i="5"/>
  <c r="H2304" i="5"/>
  <c r="H2048" i="5"/>
  <c r="H1792" i="5"/>
  <c r="H1536" i="5"/>
  <c r="H1280" i="5"/>
  <c r="H1024" i="5"/>
  <c r="H768" i="5"/>
  <c r="H512" i="5"/>
  <c r="H314" i="5"/>
  <c r="H144" i="5"/>
  <c r="H31669" i="5"/>
  <c r="H26836" i="5"/>
  <c r="H24947" i="5"/>
  <c r="H23920" i="5"/>
  <c r="H22896" i="5"/>
  <c r="H21872" i="5"/>
  <c r="H20848" i="5"/>
  <c r="H19824" i="5"/>
  <c r="H18800" i="5"/>
  <c r="H17776" i="5"/>
  <c r="H17080" i="5"/>
  <c r="H16582" i="5"/>
  <c r="H16320" i="5"/>
  <c r="H16064" i="5"/>
  <c r="H15808" i="5"/>
  <c r="H15552" i="5"/>
  <c r="H15296" i="5"/>
  <c r="H15040" i="5"/>
  <c r="H14784" i="5"/>
  <c r="H14528" i="5"/>
  <c r="H14272" i="5"/>
  <c r="H14016" i="5"/>
  <c r="H13760" i="5"/>
  <c r="H13504" i="5"/>
  <c r="H13248" i="5"/>
  <c r="H12992" i="5"/>
  <c r="H12736" i="5"/>
  <c r="H12480" i="5"/>
  <c r="H12224" i="5"/>
  <c r="H11968" i="5"/>
  <c r="H11712" i="5"/>
  <c r="H11456" i="5"/>
  <c r="H11200" i="5"/>
  <c r="H10944" i="5"/>
  <c r="H10688" i="5"/>
  <c r="H10432" i="5"/>
  <c r="H10176" i="5"/>
  <c r="H9920" i="5"/>
  <c r="H9664" i="5"/>
  <c r="H9408" i="5"/>
  <c r="H9152" i="5"/>
  <c r="H8896" i="5"/>
  <c r="H8640" i="5"/>
  <c r="H8384" i="5"/>
  <c r="H8128" i="5"/>
  <c r="H7872" i="5"/>
  <c r="H7616" i="5"/>
  <c r="H7360" i="5"/>
  <c r="H7104" i="5"/>
  <c r="H6848" i="5"/>
  <c r="H6592" i="5"/>
  <c r="H6336" i="5"/>
  <c r="H6080" i="5"/>
  <c r="H5824" i="5"/>
  <c r="H5568" i="5"/>
  <c r="H5312" i="5"/>
  <c r="H5056" i="5"/>
  <c r="H4800" i="5"/>
  <c r="H4544" i="5"/>
  <c r="H4288" i="5"/>
  <c r="H4032" i="5"/>
  <c r="H3776" i="5"/>
  <c r="H3520" i="5"/>
  <c r="H3264" i="5"/>
  <c r="H3008" i="5"/>
  <c r="H2752" i="5"/>
  <c r="H2496" i="5"/>
  <c r="H2240" i="5"/>
  <c r="H1984" i="5"/>
  <c r="H1728" i="5"/>
  <c r="H1472" i="5"/>
  <c r="H1216" i="5"/>
  <c r="H960" i="5"/>
  <c r="H704" i="5"/>
  <c r="H448" i="5"/>
  <c r="H272" i="5"/>
  <c r="H30645" i="5"/>
  <c r="H26580" i="5"/>
  <c r="H24816" i="5"/>
  <c r="H23792" i="5"/>
  <c r="H22768" i="5"/>
  <c r="H21744" i="5"/>
  <c r="H20720" i="5"/>
  <c r="H19696" i="5"/>
  <c r="H18672" i="5"/>
  <c r="H17648" i="5"/>
  <c r="H17016" i="5"/>
  <c r="H16545" i="5"/>
  <c r="H16288" i="5"/>
  <c r="H16032" i="5"/>
  <c r="H15776" i="5"/>
  <c r="H15520" i="5"/>
  <c r="H15264" i="5"/>
  <c r="H15008" i="5"/>
  <c r="H14752" i="5"/>
  <c r="H14496" i="5"/>
  <c r="H14240" i="5"/>
  <c r="H13984" i="5"/>
  <c r="H13728" i="5"/>
  <c r="H13472" i="5"/>
  <c r="H13216" i="5"/>
  <c r="H12960" i="5"/>
  <c r="H12704" i="5"/>
  <c r="H12448" i="5"/>
  <c r="H12192" i="5"/>
  <c r="H11936" i="5"/>
  <c r="H11680" i="5"/>
  <c r="H11424" i="5"/>
  <c r="H11168" i="5"/>
  <c r="H10912" i="5"/>
  <c r="H10656" i="5"/>
  <c r="H10400" i="5"/>
  <c r="H10144" i="5"/>
  <c r="H9888" i="5"/>
  <c r="H9632" i="5"/>
  <c r="H9376" i="5"/>
  <c r="H9120" i="5"/>
  <c r="H8864" i="5"/>
  <c r="H8608" i="5"/>
  <c r="H8352" i="5"/>
  <c r="H8096" i="5"/>
  <c r="H7840" i="5"/>
  <c r="H7584" i="5"/>
  <c r="H7328" i="5"/>
  <c r="H7072" i="5"/>
  <c r="H6816" i="5"/>
  <c r="H6560" i="5"/>
  <c r="H6304" i="5"/>
  <c r="H6048" i="5"/>
  <c r="H5792" i="5"/>
  <c r="H5536" i="5"/>
  <c r="H5280" i="5"/>
  <c r="H5024" i="5"/>
  <c r="H4768" i="5"/>
  <c r="H4512" i="5"/>
  <c r="H4256" i="5"/>
  <c r="H4000" i="5"/>
  <c r="H3744" i="5"/>
  <c r="H3488" i="5"/>
  <c r="H3232" i="5"/>
  <c r="H2976" i="5"/>
  <c r="H2720" i="5"/>
  <c r="H2464" i="5"/>
  <c r="H2208" i="5"/>
  <c r="H1952" i="5"/>
  <c r="H1696" i="5"/>
  <c r="H1440" i="5"/>
  <c r="H1184" i="5"/>
  <c r="H928" i="5"/>
  <c r="H672" i="5"/>
  <c r="H419" i="5"/>
  <c r="H250" i="5"/>
  <c r="H29621" i="5"/>
  <c r="H26324" i="5"/>
  <c r="H24688" i="5"/>
  <c r="H23664" i="5"/>
  <c r="H22640" i="5"/>
  <c r="H21616" i="5"/>
  <c r="H20592" i="5"/>
  <c r="H19568" i="5"/>
  <c r="H18544" i="5"/>
  <c r="H17520" i="5"/>
  <c r="H16952" i="5"/>
  <c r="H16512" i="5"/>
  <c r="H16256" i="5"/>
  <c r="H16000" i="5"/>
  <c r="H15744" i="5"/>
  <c r="H15488" i="5"/>
  <c r="H15232" i="5"/>
  <c r="H14976" i="5"/>
  <c r="H14720" i="5"/>
  <c r="H14464" i="5"/>
  <c r="H14208" i="5"/>
  <c r="H13952" i="5"/>
  <c r="H13696" i="5"/>
  <c r="H13440" i="5"/>
  <c r="H13184" i="5"/>
  <c r="H12928" i="5"/>
  <c r="H12672" i="5"/>
  <c r="H12416" i="5"/>
  <c r="H12160" i="5"/>
  <c r="H11904" i="5"/>
  <c r="H11648" i="5"/>
  <c r="H11392" i="5"/>
  <c r="H11136" i="5"/>
  <c r="H10880" i="5"/>
  <c r="H10624" i="5"/>
  <c r="H10368" i="5"/>
  <c r="H10112" i="5"/>
  <c r="H9856" i="5"/>
  <c r="H9600" i="5"/>
  <c r="H9344" i="5"/>
  <c r="H9088" i="5"/>
  <c r="H8832" i="5"/>
  <c r="H8576" i="5"/>
  <c r="H8320" i="5"/>
  <c r="H8064" i="5"/>
  <c r="H7808" i="5"/>
  <c r="H7552" i="5"/>
  <c r="H7296" i="5"/>
  <c r="H7040" i="5"/>
  <c r="H6784" i="5"/>
  <c r="H6528" i="5"/>
  <c r="H6272" i="5"/>
  <c r="H6016" i="5"/>
  <c r="H5760" i="5"/>
  <c r="H5504" i="5"/>
  <c r="H5248" i="5"/>
  <c r="H4992" i="5"/>
  <c r="H4736" i="5"/>
  <c r="H4480" i="5"/>
  <c r="H4224" i="5"/>
  <c r="H3968" i="5"/>
  <c r="H3712" i="5"/>
  <c r="H3456" i="5"/>
  <c r="H3200" i="5"/>
  <c r="H2944" i="5"/>
  <c r="H2688" i="5"/>
  <c r="H2432" i="5"/>
  <c r="H2176" i="5"/>
  <c r="H1920" i="5"/>
  <c r="H1664" i="5"/>
  <c r="H1408" i="5"/>
  <c r="H1152" i="5"/>
  <c r="H896" i="5"/>
  <c r="H640" i="5"/>
  <c r="H400" i="5"/>
  <c r="H227" i="5"/>
  <c r="H28950" i="5"/>
  <c r="H26068" i="5"/>
  <c r="H24560" i="5"/>
  <c r="H23536" i="5"/>
  <c r="H22512" i="5"/>
  <c r="H21488" i="5"/>
  <c r="H20464" i="5"/>
  <c r="H19440" i="5"/>
  <c r="H18416" i="5"/>
  <c r="H17423" i="5"/>
  <c r="H16888" i="5"/>
  <c r="H16480" i="5"/>
  <c r="H16224" i="5"/>
  <c r="H15968" i="5"/>
  <c r="H15712" i="5"/>
  <c r="H15456" i="5"/>
  <c r="H15200" i="5"/>
  <c r="H14944" i="5"/>
  <c r="H14688" i="5"/>
  <c r="H14432" i="5"/>
  <c r="H14176" i="5"/>
  <c r="H13920" i="5"/>
  <c r="H13664" i="5"/>
  <c r="H13408" i="5"/>
  <c r="H13152" i="5"/>
  <c r="H12896" i="5"/>
  <c r="H12640" i="5"/>
  <c r="H12384" i="5"/>
  <c r="H12128" i="5"/>
  <c r="H11872" i="5"/>
  <c r="H11616" i="5"/>
  <c r="H11360" i="5"/>
  <c r="H11104" i="5"/>
  <c r="H10848" i="5"/>
  <c r="H10592" i="5"/>
  <c r="H10336" i="5"/>
  <c r="H10080" i="5"/>
  <c r="H9824" i="5"/>
  <c r="H9568" i="5"/>
  <c r="H9312" i="5"/>
  <c r="H9056" i="5"/>
  <c r="H8800" i="5"/>
  <c r="H8544" i="5"/>
  <c r="H8288" i="5"/>
  <c r="H8032" i="5"/>
  <c r="H7776" i="5"/>
  <c r="H7520" i="5"/>
  <c r="H7264" i="5"/>
  <c r="H7008" i="5"/>
  <c r="H6752" i="5"/>
  <c r="H6496" i="5"/>
  <c r="H6240" i="5"/>
  <c r="H5984" i="5"/>
  <c r="H5728" i="5"/>
  <c r="H5472" i="5"/>
  <c r="H5216" i="5"/>
  <c r="H4960" i="5"/>
  <c r="H4704" i="5"/>
  <c r="H4448" i="5"/>
  <c r="H4192" i="5"/>
  <c r="H3936" i="5"/>
  <c r="H3680" i="5"/>
  <c r="H3424" i="5"/>
  <c r="H3168" i="5"/>
  <c r="H2912" i="5"/>
  <c r="H2656" i="5"/>
  <c r="H2400" i="5"/>
  <c r="H2144" i="5"/>
  <c r="H1888" i="5"/>
  <c r="H1632" i="5"/>
  <c r="H1376" i="5"/>
  <c r="H1120" i="5"/>
  <c r="H864" i="5"/>
  <c r="H608" i="5"/>
  <c r="H378" i="5"/>
  <c r="H208" i="5"/>
  <c r="H41424" i="5"/>
  <c r="H28438" i="5"/>
  <c r="H25812" i="5"/>
  <c r="H24432" i="5"/>
  <c r="H23408" i="5"/>
  <c r="H22384" i="5"/>
  <c r="H21360" i="5"/>
  <c r="H20336" i="5"/>
  <c r="H19312" i="5"/>
  <c r="H18288" i="5"/>
  <c r="H17336" i="5"/>
  <c r="H16824" i="5"/>
  <c r="H16448" i="5"/>
  <c r="H16192" i="5"/>
  <c r="H15936" i="5"/>
  <c r="H15680" i="5"/>
  <c r="H15424" i="5"/>
  <c r="H15168" i="5"/>
  <c r="H14912" i="5"/>
  <c r="H14656" i="5"/>
  <c r="H14400" i="5"/>
  <c r="H14144" i="5"/>
  <c r="H13888" i="5"/>
  <c r="H13632" i="5"/>
  <c r="H13376" i="5"/>
  <c r="H13120" i="5"/>
  <c r="H12864" i="5"/>
  <c r="H12608" i="5"/>
  <c r="H12352" i="5"/>
  <c r="H12096" i="5"/>
  <c r="H11840" i="5"/>
  <c r="H11584" i="5"/>
  <c r="H11328" i="5"/>
  <c r="H11072" i="5"/>
  <c r="H10816" i="5"/>
  <c r="H10560" i="5"/>
  <c r="H10304" i="5"/>
  <c r="H10048" i="5"/>
  <c r="H9792" i="5"/>
  <c r="H9536" i="5"/>
  <c r="H9280" i="5"/>
  <c r="H9024" i="5"/>
  <c r="H8768" i="5"/>
  <c r="H8512" i="5"/>
  <c r="H8256" i="5"/>
  <c r="H8000" i="5"/>
  <c r="H7744" i="5"/>
  <c r="H7488" i="5"/>
  <c r="H7232" i="5"/>
  <c r="H6976" i="5"/>
  <c r="H6720" i="5"/>
  <c r="H6464" i="5"/>
  <c r="H6208" i="5"/>
  <c r="H5952" i="5"/>
  <c r="H5696" i="5"/>
  <c r="H5440" i="5"/>
  <c r="H5184" i="5"/>
  <c r="H4928" i="5"/>
  <c r="H4672" i="5"/>
  <c r="H4416" i="5"/>
  <c r="H4160" i="5"/>
  <c r="H3904" i="5"/>
  <c r="H3648" i="5"/>
  <c r="H3392" i="5"/>
  <c r="H3136" i="5"/>
  <c r="H2880" i="5"/>
  <c r="H2624" i="5"/>
  <c r="H2368" i="5"/>
  <c r="H2112" i="5"/>
  <c r="H1856" i="5"/>
  <c r="H1600" i="5"/>
  <c r="H1344" i="5"/>
  <c r="H1088" i="5"/>
  <c r="H832" i="5"/>
  <c r="H576" i="5"/>
  <c r="H355" i="5"/>
  <c r="H186" i="5"/>
  <c r="H27926" i="5"/>
  <c r="H22256" i="5"/>
  <c r="H18160" i="5"/>
  <c r="H16160" i="5"/>
  <c r="H15136" i="5"/>
  <c r="H14112" i="5"/>
  <c r="H13088" i="5"/>
  <c r="H12064" i="5"/>
  <c r="H11040" i="5"/>
  <c r="H10016" i="5"/>
  <c r="H8992" i="5"/>
  <c r="H7968" i="5"/>
  <c r="H6944" i="5"/>
  <c r="H5920" i="5"/>
  <c r="H4896" i="5"/>
  <c r="H3872" i="5"/>
  <c r="H2848" i="5"/>
  <c r="H1824" i="5"/>
  <c r="H800" i="5"/>
  <c r="H27092" i="5"/>
  <c r="H22000" i="5"/>
  <c r="H17904" i="5"/>
  <c r="H16096" i="5"/>
  <c r="H15072" i="5"/>
  <c r="H14048" i="5"/>
  <c r="H13024" i="5"/>
  <c r="H12000" i="5"/>
  <c r="H10976" i="5"/>
  <c r="H9952" i="5"/>
  <c r="H8928" i="5"/>
  <c r="H7904" i="5"/>
  <c r="H6880" i="5"/>
  <c r="H5856" i="5"/>
  <c r="H4832" i="5"/>
  <c r="H3808" i="5"/>
  <c r="H2784" i="5"/>
  <c r="H1760" i="5"/>
  <c r="H736" i="5"/>
  <c r="H25556" i="5"/>
  <c r="H21232" i="5"/>
  <c r="H17272" i="5"/>
  <c r="H15904" i="5"/>
  <c r="H14880" i="5"/>
  <c r="H13856" i="5"/>
  <c r="H12832" i="5"/>
  <c r="H11808" i="5"/>
  <c r="H10784" i="5"/>
  <c r="H9760" i="5"/>
  <c r="H8736" i="5"/>
  <c r="H7712" i="5"/>
  <c r="H6688" i="5"/>
  <c r="H5664" i="5"/>
  <c r="H4640" i="5"/>
  <c r="H3616" i="5"/>
  <c r="H2592" i="5"/>
  <c r="H1568" i="5"/>
  <c r="H544" i="5"/>
  <c r="H25141" i="5"/>
  <c r="H20976" i="5"/>
  <c r="H17144" i="5"/>
  <c r="H15840" i="5"/>
  <c r="H14816" i="5"/>
  <c r="H13792" i="5"/>
  <c r="H12768" i="5"/>
  <c r="H11744" i="5"/>
  <c r="H10720" i="5"/>
  <c r="H9696" i="5"/>
  <c r="H8672" i="5"/>
  <c r="H7648" i="5"/>
  <c r="H6624" i="5"/>
  <c r="H5600" i="5"/>
  <c r="H4576" i="5"/>
  <c r="H3552" i="5"/>
  <c r="H2528" i="5"/>
  <c r="H1504" i="5"/>
  <c r="H480" i="5"/>
  <c r="H24304" i="5"/>
  <c r="H20208" i="5"/>
  <c r="H16760" i="5"/>
  <c r="H15648" i="5"/>
  <c r="H14624" i="5"/>
  <c r="H13600" i="5"/>
  <c r="H12576" i="5"/>
  <c r="H11552" i="5"/>
  <c r="H10528" i="5"/>
  <c r="H9504" i="5"/>
  <c r="H8480" i="5"/>
  <c r="H7456" i="5"/>
  <c r="H6432" i="5"/>
  <c r="H5408" i="5"/>
  <c r="H4384" i="5"/>
  <c r="H3360" i="5"/>
  <c r="H2336" i="5"/>
  <c r="H1312" i="5"/>
  <c r="H336" i="5"/>
  <c r="H24048" i="5"/>
  <c r="H19952" i="5"/>
  <c r="H16632" i="5"/>
  <c r="H15584" i="5"/>
  <c r="H14560" i="5"/>
  <c r="H13536" i="5"/>
  <c r="H12512" i="5"/>
  <c r="H11488" i="5"/>
  <c r="H10464" i="5"/>
  <c r="H9440" i="5"/>
  <c r="H8416" i="5"/>
  <c r="H7392" i="5"/>
  <c r="H6368" i="5"/>
  <c r="H5344" i="5"/>
  <c r="H4320" i="5"/>
  <c r="H3296" i="5"/>
  <c r="H2272" i="5"/>
  <c r="H1248" i="5"/>
  <c r="H291" i="5"/>
  <c r="H34831" i="5"/>
  <c r="H23280" i="5"/>
  <c r="H19184" i="5"/>
  <c r="H16416" i="5"/>
  <c r="H15392" i="5"/>
  <c r="H14368" i="5"/>
  <c r="H13344" i="5"/>
  <c r="H12320" i="5"/>
  <c r="H11296" i="5"/>
  <c r="H10272" i="5"/>
  <c r="H9248" i="5"/>
  <c r="H8224" i="5"/>
  <c r="H7200" i="5"/>
  <c r="H6176" i="5"/>
  <c r="H5152" i="5"/>
  <c r="H4128" i="5"/>
  <c r="H3104" i="5"/>
  <c r="H2080" i="5"/>
  <c r="H1056" i="5"/>
  <c r="H163" i="5"/>
  <c r="H32693" i="5"/>
  <c r="H23024" i="5"/>
  <c r="H18928" i="5"/>
  <c r="H16352" i="5"/>
  <c r="H15328" i="5"/>
  <c r="H14304" i="5"/>
  <c r="H13280" i="5"/>
  <c r="H12256" i="5"/>
  <c r="H11232" i="5"/>
  <c r="H10208" i="5"/>
  <c r="H9184" i="5"/>
  <c r="H8160" i="5"/>
  <c r="H7136" i="5"/>
  <c r="H6112" i="5"/>
  <c r="H5088" i="5"/>
  <c r="H4064" i="5"/>
  <c r="H3040" i="5"/>
  <c r="H2016" i="5"/>
  <c r="H992" i="5"/>
  <c r="H122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G3" authorId="0" shapeId="0" xr:uid="{00000000-0006-0000-0200-000002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AG5" authorId="0" shapeId="0" xr:uid="{00000000-0006-0000-0200-000003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</commentList>
</comments>
</file>

<file path=xl/sharedStrings.xml><?xml version="1.0" encoding="utf-8"?>
<sst xmlns="http://schemas.openxmlformats.org/spreadsheetml/2006/main" count="37583" uniqueCount="13787">
  <si>
    <t>To:</t>
  </si>
  <si>
    <t>&lt;--Required: Use a single email address or comma separated email addresses, or use email tokens from the list below.</t>
  </si>
  <si>
    <t>CC:</t>
  </si>
  <si>
    <t>&lt;--Optional: Use a single email address or comma separated email addresses, or use email tokens from the list below.</t>
  </si>
  <si>
    <t>BCC:</t>
  </si>
  <si>
    <t>Reply-to:</t>
  </si>
  <si>
    <t>&lt;--Optional: Use a single valid email or email token from the list below. Even when this is set, sender address will always appear as the installer of this script.</t>
  </si>
  <si>
    <t>Subject:</t>
  </si>
  <si>
    <t>&lt;--Use tokens below for dynamic values.</t>
  </si>
  <si>
    <t>Body:</t>
  </si>
  <si>
    <t>Translate code:</t>
  </si>
  <si>
    <t>&lt;--Optional: E.g. 'es' for Spanish. Use token for dynamic value. Value must be available in Google Translate: https://developers.google.com/translate/v2/using_rest#language-params</t>
  </si>
  <si>
    <t>Available tags:</t>
  </si>
  <si>
    <t>&lt;&lt;1&gt;&gt;</t>
  </si>
  <si>
    <t>&lt;&lt;2&gt;&gt;</t>
  </si>
  <si>
    <t>&lt;&lt;3&gt;&gt;</t>
  </si>
  <si>
    <t>&lt;&lt;4&gt;&gt;</t>
  </si>
  <si>
    <t>&lt;&lt;5&gt;&gt;</t>
  </si>
  <si>
    <t>&lt;&lt;6&gt;&gt;</t>
  </si>
  <si>
    <t>&lt;&lt;7&gt;&gt;</t>
  </si>
  <si>
    <t>&lt;&lt;8&gt;&gt;</t>
  </si>
  <si>
    <t>&lt;&lt;9&gt;&gt;</t>
  </si>
  <si>
    <t>&lt;&lt;10&gt;&gt;</t>
  </si>
  <si>
    <t>&lt;&lt;11&gt;&gt;</t>
  </si>
  <si>
    <t>&lt;&lt;12&gt;&gt;</t>
  </si>
  <si>
    <t>&lt;&lt;13&gt;&gt;</t>
  </si>
  <si>
    <t>&lt;&lt;14&gt;&gt;</t>
  </si>
  <si>
    <t>&lt;&lt;15&gt;&gt;</t>
  </si>
  <si>
    <t>&lt;&lt;16&gt;&gt;</t>
  </si>
  <si>
    <t>&lt;&lt;17&gt;&gt;</t>
  </si>
  <si>
    <t>&lt;&lt;18&gt;&gt;</t>
  </si>
  <si>
    <t>&lt;&lt;19&gt;&gt;</t>
  </si>
  <si>
    <t>&lt;&lt;20&gt;&gt;</t>
  </si>
  <si>
    <t>&lt;&lt;21&gt;&gt;</t>
  </si>
  <si>
    <t>&lt;&lt;22&gt;&gt;</t>
  </si>
  <si>
    <t>&lt;&lt;23&gt;&gt;</t>
  </si>
  <si>
    <t>&lt;&lt;24&gt;&gt;</t>
  </si>
  <si>
    <t>&lt;&lt;25&gt;&gt;</t>
  </si>
  <si>
    <t>&lt;&lt;26&gt;&gt;</t>
  </si>
  <si>
    <t>&lt;&lt;27&gt;&gt;</t>
  </si>
  <si>
    <t>&lt;&lt;28&gt;&gt;</t>
  </si>
  <si>
    <t>&lt;&lt;29&gt;&gt;</t>
  </si>
  <si>
    <t>&lt;&lt;30&gt;&gt;</t>
  </si>
  <si>
    <t>&lt;&lt;31&gt;&gt;</t>
  </si>
  <si>
    <t>&lt;&lt;32&gt;&gt;</t>
  </si>
  <si>
    <t>&lt;&lt;33&gt;&gt;</t>
  </si>
  <si>
    <t>&lt;&lt;34&gt;&gt;</t>
  </si>
  <si>
    <t>&lt;&lt;35&gt;&gt;</t>
  </si>
  <si>
    <t>&lt;&lt;36&gt;&gt;</t>
  </si>
  <si>
    <t>&lt;&lt;37&gt;&gt;</t>
  </si>
  <si>
    <t>&lt;&lt;38&gt;&gt;</t>
  </si>
  <si>
    <t>&lt;&lt;39&gt;&gt;</t>
  </si>
  <si>
    <t>&lt;&lt;40&gt;&gt;</t>
  </si>
  <si>
    <t>&lt;&lt;41&gt;&gt;</t>
  </si>
  <si>
    <t>&lt;&lt;42&gt;&gt;</t>
  </si>
  <si>
    <t>&lt;&lt;43&gt;&gt;</t>
  </si>
  <si>
    <t>&lt;&lt;44&gt;&gt;</t>
  </si>
  <si>
    <t>&lt;&lt;45&gt;&gt;</t>
  </si>
  <si>
    <t>&lt;&lt;46&gt;&gt;</t>
  </si>
  <si>
    <t>&lt;&lt;47&gt;&gt;</t>
  </si>
  <si>
    <t>&lt;&lt;48&gt;&gt;</t>
  </si>
  <si>
    <t>&lt;&lt;49&gt;&gt;</t>
  </si>
  <si>
    <t>&lt;&lt;50&gt;&gt;</t>
  </si>
  <si>
    <t>&lt;&lt;51&gt;&gt;</t>
  </si>
  <si>
    <t>&lt;&lt;52&gt;&gt;</t>
  </si>
  <si>
    <t>&lt;&lt;53&gt;&gt;</t>
  </si>
  <si>
    <t>&lt;&lt;54&gt;&gt;</t>
  </si>
  <si>
    <t>&lt;&lt;55&gt;&gt;</t>
  </si>
  <si>
    <t>&lt;&lt;56&gt;&gt;</t>
  </si>
  <si>
    <t>&lt;&lt;57&gt;&gt;</t>
  </si>
  <si>
    <t>&lt;&lt;58&gt;&gt;</t>
  </si>
  <si>
    <t>&lt;&lt;59&gt;&gt;</t>
  </si>
  <si>
    <t>&lt;&lt;60&gt;&gt;</t>
  </si>
  <si>
    <t>&lt;&lt;61&gt;&gt;</t>
  </si>
  <si>
    <t>&lt;&lt;62&gt;&gt;</t>
  </si>
  <si>
    <t>&lt;&lt;63&gt;&gt;</t>
  </si>
  <si>
    <t>&lt;&lt;64&gt;&gt;</t>
  </si>
  <si>
    <t>&lt;&lt;65&gt;&gt;</t>
  </si>
  <si>
    <t>&lt;&lt;66&gt;&gt;</t>
  </si>
  <si>
    <t>&lt;&lt;67&gt;&gt;</t>
  </si>
  <si>
    <t>&lt;&lt;68&gt;&gt;</t>
  </si>
  <si>
    <t>&lt;&lt;69&gt;&gt;</t>
  </si>
  <si>
    <t>autocratn</t>
  </si>
  <si>
    <t>autocratp</t>
  </si>
  <si>
    <t>dataSheetName</t>
  </si>
  <si>
    <t>"GMAP"</t>
  </si>
  <si>
    <t>v</t>
  </si>
  <si>
    <t>"5.1"</t>
  </si>
  <si>
    <t>dataSheetId</t>
  </si>
  <si>
    <t>"1.901982789E9"</t>
  </si>
  <si>
    <t>updateTime</t>
  </si>
  <si>
    <t>"1.711768332063E12"</t>
  </si>
  <si>
    <t>vp</t>
  </si>
  <si>
    <t>ssId</t>
  </si>
  <si>
    <t>"1IWycMwueAT7eHFellIDbSGp9vcJW4PZfuQQMkGGV8fU"</t>
  </si>
  <si>
    <t>JENIS KKN</t>
  </si>
  <si>
    <t>UNIT</t>
  </si>
  <si>
    <t>DPL</t>
  </si>
  <si>
    <t>LOKASI</t>
  </si>
  <si>
    <t>KABUPATEN</t>
  </si>
  <si>
    <t>NAMA MHS 1</t>
  </si>
  <si>
    <t>NAMA MHS 2</t>
  </si>
  <si>
    <t>NAMA MHS 3</t>
  </si>
  <si>
    <t>NAMA MHS 4</t>
  </si>
  <si>
    <t>NAMA MHS 5</t>
  </si>
  <si>
    <t>NAMA MHS 6</t>
  </si>
  <si>
    <t>NAMA MHS 7</t>
  </si>
  <si>
    <t>NAMA MHS 8</t>
  </si>
  <si>
    <t>NAMA MHS 9</t>
  </si>
  <si>
    <t>NAMA MHS 10</t>
  </si>
  <si>
    <t>NAMA MHS 11</t>
  </si>
  <si>
    <t>NAMA MHS 12</t>
  </si>
  <si>
    <t>NIM 1</t>
  </si>
  <si>
    <t>NIM 2</t>
  </si>
  <si>
    <t>NIM 3</t>
  </si>
  <si>
    <t>NIM 4</t>
  </si>
  <si>
    <t>NIM 5</t>
  </si>
  <si>
    <t>NIM 6</t>
  </si>
  <si>
    <t>NIM 7</t>
  </si>
  <si>
    <t>NIM 8</t>
  </si>
  <si>
    <t>NIM 9</t>
  </si>
  <si>
    <t>NIM 10</t>
  </si>
  <si>
    <t>NIM 11</t>
  </si>
  <si>
    <t>NIM 12</t>
  </si>
  <si>
    <t>PRODI 1</t>
  </si>
  <si>
    <t>PRODI 2</t>
  </si>
  <si>
    <t>PRODI 3</t>
  </si>
  <si>
    <t>PRODI 4</t>
  </si>
  <si>
    <t>PRODI 5</t>
  </si>
  <si>
    <t>PRODI 6</t>
  </si>
  <si>
    <t>PRODI 7</t>
  </si>
  <si>
    <t>PRODI 8</t>
  </si>
  <si>
    <t>PRODI 9</t>
  </si>
  <si>
    <t>PRODI 10</t>
  </si>
  <si>
    <t>PRODI 11</t>
  </si>
  <si>
    <t>PRODI 12</t>
  </si>
  <si>
    <t>L/P 1</t>
  </si>
  <si>
    <t>L/P 2</t>
  </si>
  <si>
    <t>L/P 3</t>
  </si>
  <si>
    <t>L/P 4</t>
  </si>
  <si>
    <t>L/P 5</t>
  </si>
  <si>
    <t>L/P 6</t>
  </si>
  <si>
    <t>L/P 7</t>
  </si>
  <si>
    <t>L/P 8</t>
  </si>
  <si>
    <t>L/P 9</t>
  </si>
  <si>
    <t>L/P 10</t>
  </si>
  <si>
    <t>L/P 11</t>
  </si>
  <si>
    <t>L/P 12</t>
  </si>
  <si>
    <t>HP 1</t>
  </si>
  <si>
    <t>HP 2</t>
  </si>
  <si>
    <t>HP 3</t>
  </si>
  <si>
    <t>HP 4</t>
  </si>
  <si>
    <t>HP 5</t>
  </si>
  <si>
    <t>HP 6</t>
  </si>
  <si>
    <t>HP 7</t>
  </si>
  <si>
    <t>HP 8</t>
  </si>
  <si>
    <t>HP 9</t>
  </si>
  <si>
    <t>HP 10</t>
  </si>
  <si>
    <t>HP 11</t>
  </si>
  <si>
    <t>HP 12</t>
  </si>
  <si>
    <t>NIY/NIP</t>
  </si>
  <si>
    <t>LINK FORM ADMINISTRASI</t>
  </si>
  <si>
    <t>TANGGAL PENERJUNAN KKN</t>
  </si>
  <si>
    <t>Jumlah Mahasiswa</t>
  </si>
  <si>
    <t>Alternatif Periode ke-82</t>
  </si>
  <si>
    <t>I.A.1</t>
  </si>
  <si>
    <t>Iis Wahyuningsih</t>
  </si>
  <si>
    <t>Pandeyan, Umbulharjo</t>
  </si>
  <si>
    <t>Kota Yogyakarta</t>
  </si>
  <si>
    <t>Ani</t>
  </si>
  <si>
    <t>Budi</t>
  </si>
  <si>
    <t>Kiki</t>
  </si>
  <si>
    <t>Liana</t>
  </si>
  <si>
    <t>Devi</t>
  </si>
  <si>
    <t>Devon</t>
  </si>
  <si>
    <t>Agus</t>
  </si>
  <si>
    <t>Sari</t>
  </si>
  <si>
    <t>Intan</t>
  </si>
  <si>
    <t>Pendidikan Bahasa dan Sastra Indonesia</t>
  </si>
  <si>
    <t>Teknik Informatika</t>
  </si>
  <si>
    <t>Bimbingan Konseling</t>
  </si>
  <si>
    <t>PG Sekolah Dasar</t>
  </si>
  <si>
    <t>Manajemen</t>
  </si>
  <si>
    <t>Biologi</t>
  </si>
  <si>
    <t>Ilmu Komunikasi</t>
  </si>
  <si>
    <t>Pendidikan Agama Islam (Kampus Yogya)</t>
  </si>
  <si>
    <t>P</t>
  </si>
  <si>
    <t>L</t>
  </si>
  <si>
    <t>0859213xxxx</t>
  </si>
  <si>
    <t>231321516513132151</t>
  </si>
  <si>
    <t>ToT DPL Periode ke-2022</t>
  </si>
  <si>
    <t>Jefree Fahana S.T., M.Kom.</t>
  </si>
  <si>
    <t>Karangmojo, Trirenggo, Bantul</t>
  </si>
  <si>
    <t>Bantul</t>
  </si>
  <si>
    <t>Prayudha M.A.</t>
  </si>
  <si>
    <t xml:space="preserve">Dr. Rochana Ruliyandari S.E., M.Kes.        </t>
  </si>
  <si>
    <t>Dian Eka Wijayanti S.Si., M.Si.</t>
  </si>
  <si>
    <t>Vera Yuli Erviana, M.Pd.</t>
  </si>
  <si>
    <t>Muhammad Nur Syuhada S.Psi, M.Psi, Psikolog</t>
  </si>
  <si>
    <t>Fajar Dwi Putra S.PT., M.Psi</t>
  </si>
  <si>
    <t>Wihandriati S.H., C.N., M.H.</t>
  </si>
  <si>
    <t>Pendidikan Bahasa Inggris S1</t>
  </si>
  <si>
    <t>Ilmu Kesehatan Masyarakat S1</t>
  </si>
  <si>
    <t>Matematika S1</t>
  </si>
  <si>
    <t>Pendidikan Guru Sekolah Dasar S1</t>
  </si>
  <si>
    <t>Psikologi S1</t>
  </si>
  <si>
    <t>Ilmu Komunikasi S1</t>
  </si>
  <si>
    <t>Ilmu Hukum S1</t>
  </si>
  <si>
    <t>085227793721</t>
  </si>
  <si>
    <t>08157919499</t>
  </si>
  <si>
    <t>081242633873</t>
  </si>
  <si>
    <t>085643187637</t>
  </si>
  <si>
    <t>08196005247</t>
  </si>
  <si>
    <t>081903884297</t>
  </si>
  <si>
    <t>081326570880</t>
  </si>
  <si>
    <t>I.A.1_ToT DPL_FORM ADMINISTRASI KKN</t>
  </si>
  <si>
    <t>I.A.2</t>
  </si>
  <si>
    <t>Cepoko, Trirenggo, Bantul</t>
  </si>
  <si>
    <t>Khoiriyah isni</t>
  </si>
  <si>
    <t>Bagus Gumelar,S.E.,M.M</t>
  </si>
  <si>
    <t>Dyah Suryani</t>
  </si>
  <si>
    <t>Marsudi Endang sri Rejeki</t>
  </si>
  <si>
    <t>Rendra Widyatama, SIP, M.Si., Ph.D</t>
  </si>
  <si>
    <t>Farid Ma'ruf</t>
  </si>
  <si>
    <t>Nur Syarianingsih Syam, S.KM.,M.Kes</t>
  </si>
  <si>
    <t>196707232005011001</t>
  </si>
  <si>
    <t>Manajemen S1</t>
  </si>
  <si>
    <t>Gizi</t>
  </si>
  <si>
    <t>Bisnis Jasa dan Makanan S1</t>
  </si>
  <si>
    <t>Teknik Industri S1</t>
  </si>
  <si>
    <t>085640588258</t>
  </si>
  <si>
    <t>085725796362</t>
  </si>
  <si>
    <t>08562882950</t>
  </si>
  <si>
    <t>08175453188</t>
  </si>
  <si>
    <t>081228832367</t>
  </si>
  <si>
    <t>085868380336</t>
  </si>
  <si>
    <t>085398212428</t>
  </si>
  <si>
    <t>I.A.2_ToT DPL_FORM ADMINISTRASI KKN</t>
  </si>
  <si>
    <t>I.A.3</t>
  </si>
  <si>
    <t>Bantul Timur, Trirenggo, Bantul</t>
  </si>
  <si>
    <t>Musfirah, S.Si., M.Kes.</t>
  </si>
  <si>
    <t>Suryana Hendrawan</t>
  </si>
  <si>
    <t>Dr. Yusutria, S.Pd.I, M.A</t>
  </si>
  <si>
    <t>Amir Hidayatulloh</t>
  </si>
  <si>
    <t>Moh Irma Sukarelawan</t>
  </si>
  <si>
    <t>Purnawan</t>
  </si>
  <si>
    <t>Hasrul Rahman</t>
  </si>
  <si>
    <t>Pendidika Agama Islam S1</t>
  </si>
  <si>
    <t>Akuntansi S1</t>
  </si>
  <si>
    <t>Megister Pendidikan Fisika</t>
  </si>
  <si>
    <t>Pendidikan Vokasi Teknik Otomotif</t>
  </si>
  <si>
    <t>Pendidikan Bahasa dan Sastra Indonesia S1</t>
  </si>
  <si>
    <t>085298907347</t>
  </si>
  <si>
    <t>081313888812</t>
  </si>
  <si>
    <t>081332185213</t>
  </si>
  <si>
    <t>081338176459</t>
  </si>
  <si>
    <t>0895416066361</t>
  </si>
  <si>
    <t>082136359256</t>
  </si>
  <si>
    <t>085725773388</t>
  </si>
  <si>
    <t>https://docs.google.com/spreadsheets/d/1ty7k5Icb_MsNYo5vdr5Wkqz3qiVji_4o0GJ3W2dHzg0/edit?usp=sharing</t>
  </si>
  <si>
    <t>I.B.1</t>
  </si>
  <si>
    <t>Liena Sofiana S.KM, M.Sc</t>
  </si>
  <si>
    <t>Gandekan, Trirenggo, Bantul</t>
  </si>
  <si>
    <t>Ariesty Fujiastuti, M.P.d</t>
  </si>
  <si>
    <t>Sartini</t>
  </si>
  <si>
    <t>Vani Dias Adiprabowo</t>
  </si>
  <si>
    <t>Iis Suwartini, M.Pd.</t>
  </si>
  <si>
    <t>Nina Salamah</t>
  </si>
  <si>
    <t>mufti khakim</t>
  </si>
  <si>
    <t>A. Syahid Robbani, M.Pd.</t>
  </si>
  <si>
    <t>Farmasi S1</t>
  </si>
  <si>
    <t>Bahasa dan Sastra Arab S1</t>
  </si>
  <si>
    <t>085228282256</t>
  </si>
  <si>
    <t>081325310356</t>
  </si>
  <si>
    <t>085643571221</t>
  </si>
  <si>
    <t>085725934429</t>
  </si>
  <si>
    <t>081229772463</t>
  </si>
  <si>
    <t>082136540058</t>
  </si>
  <si>
    <t>081937071466</t>
  </si>
  <si>
    <t>https://docs.google.com/spreadsheets/d/1OLSigPm7QKfN2jhQQW8zhuOO85ahX1EMJtyEMxUPcxM/edit?usp=sharing</t>
  </si>
  <si>
    <t>I.B.2</t>
  </si>
  <si>
    <t>Manding, Trirenggo, Bantul</t>
  </si>
  <si>
    <t>Suci Musvita ayu S.KM ., M.P.H</t>
  </si>
  <si>
    <t>Sulistyawati, PhD</t>
  </si>
  <si>
    <t>Phisca Aditya Rosyady, S.Si., M.Sc.</t>
  </si>
  <si>
    <t>Apt. Lolita, M.Sc</t>
  </si>
  <si>
    <t>Rusdianto</t>
  </si>
  <si>
    <t>Amalya Nurul Khairi</t>
  </si>
  <si>
    <t>Ahmad Faizal Rangkuti, SKM., M.Kes</t>
  </si>
  <si>
    <t>Teknik Elektro S1</t>
  </si>
  <si>
    <t>Teknologi Pangan S1</t>
  </si>
  <si>
    <t>085261614043</t>
  </si>
  <si>
    <t>08170402693</t>
  </si>
  <si>
    <t>081390617522</t>
  </si>
  <si>
    <t>089506685859</t>
  </si>
  <si>
    <t>085756789343</t>
  </si>
  <si>
    <t>+6282280126691</t>
  </si>
  <si>
    <t>081392642826</t>
  </si>
  <si>
    <t>https://docs.google.com/spreadsheets/d/1pbFwW_eopXMwzOxCr8aUIyhqOLIFi-1QqWmjWC8Xp7Q/edit?usp=sharing</t>
  </si>
  <si>
    <t>I.B.3</t>
  </si>
  <si>
    <t>Bakulan, Trirenggo, Bantul</t>
  </si>
  <si>
    <t>Bambang Robi'in, S.T., M.T.</t>
  </si>
  <si>
    <t xml:space="preserve">Dr.Tri Wahyuni Sukesi,S.Si.,MPH </t>
  </si>
  <si>
    <t>Indah Wenerda</t>
  </si>
  <si>
    <t>Azis Ikhsanudin</t>
  </si>
  <si>
    <t>Dr. Djoko Sutrisno, M.Pd</t>
  </si>
  <si>
    <t>Uus Kusdinar</t>
  </si>
  <si>
    <t>Anaas Tri Ridlo Dina Yuliana, S.Pd., M.Pd.</t>
  </si>
  <si>
    <t>197907202005011002</t>
  </si>
  <si>
    <t>Teknik Informatika S1</t>
  </si>
  <si>
    <t>Magister Pendidikan Bahasa Inggris</t>
  </si>
  <si>
    <t>Pendidikan Matematika S1</t>
  </si>
  <si>
    <t>087885566886</t>
  </si>
  <si>
    <t>08164268784</t>
  </si>
  <si>
    <t>085263010145</t>
  </si>
  <si>
    <t>+6289506685862</t>
  </si>
  <si>
    <t>085725548070</t>
  </si>
  <si>
    <t>082134018908</t>
  </si>
  <si>
    <t>087738630397</t>
  </si>
  <si>
    <t>https://docs.google.com/spreadsheets/d/1gqdBtG8s8JckuZX-x0aajDR-3y-Xo_tUJH09PqpWZ44/edit?usp=sharing</t>
  </si>
  <si>
    <t>I.C.1</t>
  </si>
  <si>
    <t>Muh Saeful Effendi M.Pd.B.I</t>
  </si>
  <si>
    <t>Gedongan, Trirenggo, Bantul</t>
  </si>
  <si>
    <t>Desi Nurfita</t>
  </si>
  <si>
    <t>Wahyu Dewi Hapsari</t>
  </si>
  <si>
    <t>Nunik Hariyanti</t>
  </si>
  <si>
    <t>Agung Budiantoro</t>
  </si>
  <si>
    <t>Indah Shofiyah</t>
  </si>
  <si>
    <t>Nur Alifah Septiani</t>
  </si>
  <si>
    <t xml:space="preserve">Dr. Yusron Masduki </t>
  </si>
  <si>
    <t>Biologi S1</t>
  </si>
  <si>
    <t>Sastra Indonesia S1</t>
  </si>
  <si>
    <t>082191350472</t>
  </si>
  <si>
    <t>085729949920</t>
  </si>
  <si>
    <t>085693502650</t>
  </si>
  <si>
    <t>085228204068</t>
  </si>
  <si>
    <t>085266672163</t>
  </si>
  <si>
    <t>082186073103</t>
  </si>
  <si>
    <t>085273644075</t>
  </si>
  <si>
    <t>https://docs.google.com/spreadsheets/d/1VnZRiUSLkcf280njKLZy4CbXomR3Lk2MA7HohaPJkLE/edit?usp=sharing</t>
  </si>
  <si>
    <t>I.C.2</t>
  </si>
  <si>
    <t>Nogosari, Trirenggo, Bantul</t>
  </si>
  <si>
    <t>Dr. Fitri Indriani, M.Pd.I</t>
  </si>
  <si>
    <t>Ika Maryani</t>
  </si>
  <si>
    <t>Dr. Dedi Pramono, M.Hum.</t>
  </si>
  <si>
    <t>Siti Kurnia Widi Hastuti</t>
  </si>
  <si>
    <t>Dr. Abdul Choliq Hidayat, M.Si.</t>
  </si>
  <si>
    <t xml:space="preserve">Fitria Sari Yunianti </t>
  </si>
  <si>
    <t>Dr. Zahrul Mufrodi S.T., M.T.</t>
  </si>
  <si>
    <t>196405121991121001</t>
  </si>
  <si>
    <t>Magister Manajemen</t>
  </si>
  <si>
    <t>Teknik Kimia</t>
  </si>
  <si>
    <t>081227832283</t>
  </si>
  <si>
    <t>082297575204</t>
  </si>
  <si>
    <t>08122601082</t>
  </si>
  <si>
    <t>081328433256</t>
  </si>
  <si>
    <t>081226540874</t>
  </si>
  <si>
    <t>082138015836</t>
  </si>
  <si>
    <t>082138867525</t>
  </si>
  <si>
    <t>https://docs.google.com/spreadsheets/d/1Fmt3xTOqDakcaYdTYLKRHFZQiu-yqPrwjmAS2CwXYY8/edit?usp=sharing</t>
  </si>
  <si>
    <t>I.C.3</t>
  </si>
  <si>
    <t>Pepe, Trirenggo, Bantul</t>
  </si>
  <si>
    <t>Nur Hidayah, M.Pd</t>
  </si>
  <si>
    <t>surahma asti mulasari</t>
  </si>
  <si>
    <t>Barry Nur Setyanto, S.Pd., M.Pd.</t>
  </si>
  <si>
    <t xml:space="preserve">Rifky Dora Wijayati </t>
  </si>
  <si>
    <t>Intan Rawit Sapanti, S.Pd., M.A</t>
  </si>
  <si>
    <t>Laga Adhi Dharma, S.S., M.A.</t>
  </si>
  <si>
    <t>Sucipto M.Pd.BI., Ph.D.</t>
  </si>
  <si>
    <t>Pendidikan Vokasi Teknik Elektro</t>
  </si>
  <si>
    <t>Pendidikan Bahasa Inggris</t>
  </si>
  <si>
    <t>081326714340</t>
  </si>
  <si>
    <t>08163222647</t>
  </si>
  <si>
    <t>081279502654</t>
  </si>
  <si>
    <t>081325800984</t>
  </si>
  <si>
    <t>085742457900</t>
  </si>
  <si>
    <t>082227661007</t>
  </si>
  <si>
    <t>081548779377</t>
  </si>
  <si>
    <t>https://docs.google.com/spreadsheets/d/1wTmDatKrvEnZbp6nvQFfhsoCwPVFl-smEnuXA3P29Rw/edit?usp=sharing</t>
  </si>
  <si>
    <t>I.D.1</t>
  </si>
  <si>
    <t>Priyan, Trirenggo, Bantul</t>
  </si>
  <si>
    <t>Nurul Hidayati Rofiah</t>
  </si>
  <si>
    <t>Ifada Rahmayanti</t>
  </si>
  <si>
    <t>Hanif Cahyo Adi Kistoro</t>
  </si>
  <si>
    <t>Soviyah</t>
  </si>
  <si>
    <t>Arief Syamsuddin</t>
  </si>
  <si>
    <t>Pribawa E Pantas</t>
  </si>
  <si>
    <t>Perbankan Syariah S1</t>
  </si>
  <si>
    <t>085228217018</t>
  </si>
  <si>
    <t>085773086269</t>
  </si>
  <si>
    <t>081912093329</t>
  </si>
  <si>
    <t>081227265810</t>
  </si>
  <si>
    <t>08995491900</t>
  </si>
  <si>
    <t>08976859006</t>
  </si>
  <si>
    <t>https://docs.google.com/spreadsheets/d/1l4A9BRBr2tOGDY86IODPjAZJuovYvFZu2KA79jLKw00/edit?usp=sharing</t>
  </si>
  <si>
    <t>ToT DPL 2 Periode ke-2022</t>
  </si>
  <si>
    <t>Arsyad Cahya Subrata</t>
  </si>
  <si>
    <t>Betty Mauli Rosa Bustam</t>
  </si>
  <si>
    <t>Waharjani</t>
  </si>
  <si>
    <t>Haris Imam Karim Fathurrahman</t>
  </si>
  <si>
    <t>Meita Fitrianawati</t>
  </si>
  <si>
    <t xml:space="preserve">Panji Hidayat </t>
  </si>
  <si>
    <t>Titisari Juwitaningtyas, S.T.P., M.Sc.</t>
  </si>
  <si>
    <t>Magister Pendidikan Agama Islam</t>
  </si>
  <si>
    <t>Ilmu Hadits S1</t>
  </si>
  <si>
    <t>085643338555</t>
  </si>
  <si>
    <t>081311208423</t>
  </si>
  <si>
    <t>083187879023</t>
  </si>
  <si>
    <t>087739532313</t>
  </si>
  <si>
    <t>085643226760</t>
  </si>
  <si>
    <t>082243276915</t>
  </si>
  <si>
    <t>087848404140</t>
  </si>
  <si>
    <t>https://docs.google.com/spreadsheets/d/15WPjJJaiapTrjqvA8v70qJ9qqohXEXoqm8fjieBB7r8/edit?usp=sharing</t>
  </si>
  <si>
    <t>Akhmad Arif Rifan, S.H.I., M.S.I.</t>
  </si>
  <si>
    <t>Budi Barata Kusuma Utami</t>
  </si>
  <si>
    <t>Ema Nurmaya</t>
  </si>
  <si>
    <t>Dr.rer.nat. Totok Eka Suharto</t>
  </si>
  <si>
    <t xml:space="preserve">Hermanto </t>
  </si>
  <si>
    <t>Mufti Alam Adha</t>
  </si>
  <si>
    <t xml:space="preserve">Qonitatul Hidayah </t>
  </si>
  <si>
    <t>Tyas Aisyah Putri</t>
  </si>
  <si>
    <t>Teknik Kimia S1</t>
  </si>
  <si>
    <t>Fisika S1</t>
  </si>
  <si>
    <t>08122782322</t>
  </si>
  <si>
    <t>088806117615</t>
  </si>
  <si>
    <t>082110845530</t>
  </si>
  <si>
    <t>081326458109</t>
  </si>
  <si>
    <t>085743864338</t>
  </si>
  <si>
    <t>085741973797</t>
  </si>
  <si>
    <t>085642056420</t>
  </si>
  <si>
    <t>085725003949</t>
  </si>
  <si>
    <t>https://docs.google.com/spreadsheets/d/1mb_BZPt2HMU-IcLb4vaK5c_CjHM23e3vhkmwItR5rAU/edit?usp=sharing</t>
  </si>
  <si>
    <t>Ahmad ahid mudayana</t>
  </si>
  <si>
    <t>Dedi wijayanti</t>
  </si>
  <si>
    <t>Hardi Santosa</t>
  </si>
  <si>
    <t>Tedy Setiadi</t>
  </si>
  <si>
    <t>Ichsan Luqmana Indra Putra</t>
  </si>
  <si>
    <t>Muh. Alif Kurniawan, M.Pd.I.</t>
  </si>
  <si>
    <t xml:space="preserve">Subhan Zul Ardi </t>
  </si>
  <si>
    <t>Uni Tsulasi Putri</t>
  </si>
  <si>
    <t>Bimbingan Konseling S1</t>
  </si>
  <si>
    <t>081802744811</t>
  </si>
  <si>
    <t>081802672891</t>
  </si>
  <si>
    <t>081369569623</t>
  </si>
  <si>
    <t>082179998948</t>
  </si>
  <si>
    <t>083869807245</t>
  </si>
  <si>
    <t>082134634439</t>
  </si>
  <si>
    <t>087735500702</t>
  </si>
  <si>
    <t>082223252823</t>
  </si>
  <si>
    <t>https://docs.google.com/spreadsheets/d/1mdEIdKk7Gr7TyJLVSqbwsXZAuZWLekCO3p-uKtz_UYs/edit?usp=sharing</t>
  </si>
  <si>
    <t xml:space="preserve">Ahmad Zaki Annafiri </t>
  </si>
  <si>
    <t>Deslaely Putranti</t>
  </si>
  <si>
    <t xml:space="preserve">Iin Inawati </t>
  </si>
  <si>
    <t>Dwi Astuti</t>
  </si>
  <si>
    <t>Khafidhoh</t>
  </si>
  <si>
    <t>Muhammad Habibi Miftakhul Marwa</t>
  </si>
  <si>
    <t>Dr. Yusron Masduki S.Ag., M.Pd.I.</t>
  </si>
  <si>
    <t>Wahyu Nanda Eka Saputra, M.Pd., Kons</t>
  </si>
  <si>
    <t>085157273992</t>
  </si>
  <si>
    <t>08124280306</t>
  </si>
  <si>
    <t>082213717123</t>
  </si>
  <si>
    <t>082242345988</t>
  </si>
  <si>
    <t>085643083280</t>
  </si>
  <si>
    <t>085729007440</t>
  </si>
  <si>
    <t>082136021180</t>
  </si>
  <si>
    <t>082231565986</t>
  </si>
  <si>
    <t>https://docs.google.com/spreadsheets/d/1DpH6ubmGzpnCXYb7pJSgpt_1FxKAYTUv9FU1EfpMVUY/edit?usp=sharing</t>
  </si>
  <si>
    <t>Alfian Ma'arif</t>
  </si>
  <si>
    <t>Aftoni Sutanto</t>
  </si>
  <si>
    <t>Suripto</t>
  </si>
  <si>
    <t>Fanani Arief Ghozali</t>
  </si>
  <si>
    <t>Khairunisa Ramadhani</t>
  </si>
  <si>
    <t>Muya Barida</t>
  </si>
  <si>
    <t>Sutipyo R</t>
  </si>
  <si>
    <t>Rokhmayanti S.K.M., M.P.H</t>
  </si>
  <si>
    <t>Ekonomi Pembangunan S1</t>
  </si>
  <si>
    <t>082226375801</t>
  </si>
  <si>
    <t>081578102071</t>
  </si>
  <si>
    <t>08985111456</t>
  </si>
  <si>
    <t>082339939931</t>
  </si>
  <si>
    <t>085214931644</t>
  </si>
  <si>
    <t>085701017010</t>
  </si>
  <si>
    <t>085729614150</t>
  </si>
  <si>
    <t>https://docs.google.com/spreadsheets/d/1DaYCZKPal0nRHm95UwYaToKm9sNEy-FRwVgkNCeHaOI/edit?usp=sharing</t>
  </si>
  <si>
    <t>Ali Tarmuji</t>
  </si>
  <si>
    <t>Dr. Akhmad Fajar Prasetya, M.Pd</t>
  </si>
  <si>
    <t>Dr. Trianik Widyaningrum, M.Si</t>
  </si>
  <si>
    <t>Fariz Setyawan</t>
  </si>
  <si>
    <t>Lisa Retnasari</t>
  </si>
  <si>
    <t>Nurul Putrie Utami</t>
  </si>
  <si>
    <t xml:space="preserve">Syariful Fahmi </t>
  </si>
  <si>
    <t>197310142005011001</t>
  </si>
  <si>
    <t>Pendidikan Biologi S1</t>
  </si>
  <si>
    <t>+628112509173</t>
  </si>
  <si>
    <t>081239566566</t>
  </si>
  <si>
    <t>0816682123</t>
  </si>
  <si>
    <t>085640798413</t>
  </si>
  <si>
    <t>081818652599</t>
  </si>
  <si>
    <t>08562950328</t>
  </si>
  <si>
    <t>081328735393</t>
  </si>
  <si>
    <t>https://docs.google.com/spreadsheets/d/1AkWfNG3UYk9CuV0j5d1__OQ_WVIg-e7aEfe28o2mRGI/edit?usp=sharing</t>
  </si>
  <si>
    <t>Ana Hidayati</t>
  </si>
  <si>
    <t xml:space="preserve">Bambang Sudarsono </t>
  </si>
  <si>
    <t>Dr. Yuzarion, S.Ag., S.Psi., M.Si.</t>
  </si>
  <si>
    <t>Fitri Merawati</t>
  </si>
  <si>
    <t>Mahrus Lutfi Adi Kurniawan</t>
  </si>
  <si>
    <t xml:space="preserve">Nurul Satria Abdi </t>
  </si>
  <si>
    <t>Syifa Siti Aulia,M.Pd</t>
  </si>
  <si>
    <t>Megister Sains Psikologi</t>
  </si>
  <si>
    <t>Pendidikan Pancasila dan Kewarganegaraan S1</t>
  </si>
  <si>
    <t>082136677678</t>
  </si>
  <si>
    <t>087839023867</t>
  </si>
  <si>
    <t>085272708064</t>
  </si>
  <si>
    <t>087839515215</t>
  </si>
  <si>
    <t>08996512346</t>
  </si>
  <si>
    <t>081328561998</t>
  </si>
  <si>
    <t>085795579577</t>
  </si>
  <si>
    <t>https://docs.google.com/spreadsheets/d/101L9gkhuMxTZw173YmdxWNST82q44R5GkkiFc4KrpsM/edit?usp=sharing</t>
  </si>
  <si>
    <t>Alternatif Periode ke-84</t>
  </si>
  <si>
    <t>RW 2, Prawirodirjan, Gondomanan</t>
  </si>
  <si>
    <t>Yogyakarta</t>
  </si>
  <si>
    <t>M. SATRIO AJI</t>
  </si>
  <si>
    <t>YOGA REFI INDRAWAN</t>
  </si>
  <si>
    <t>Anggi Sariani</t>
  </si>
  <si>
    <t>Muhammad Khoirul Reza</t>
  </si>
  <si>
    <t>Azzahra Fayoris Hafiza</t>
  </si>
  <si>
    <t>Fitra Riski Anfadya</t>
  </si>
  <si>
    <t>Alma Hera</t>
  </si>
  <si>
    <t>Baiq Dwi Zulfa Rahmawati</t>
  </si>
  <si>
    <t>Roihanah</t>
  </si>
  <si>
    <t>Muhammad Dzulfiqar Tajnurullah Dinkeputra</t>
  </si>
  <si>
    <t>Sistem Informasi</t>
  </si>
  <si>
    <t>Ekonomi Pembangunan</t>
  </si>
  <si>
    <t>Kesehatan Masyarakat</t>
  </si>
  <si>
    <t>Kedokteran</t>
  </si>
  <si>
    <t>https://docs.google.com/spreadsheets/d/1RSL4MMjMBh_1O1TSAHjqORjB66GWZpOXffhdpj78Sks/edit?usp=sharing</t>
  </si>
  <si>
    <t>RW 4, Prawirodirjan, Gondomanan</t>
  </si>
  <si>
    <t>MUHAMMAD REFALDIRAIS</t>
  </si>
  <si>
    <t>NURUL HIDAYAH FURU</t>
  </si>
  <si>
    <t>DAVID HARIADI</t>
  </si>
  <si>
    <t>Achmad Khanzil</t>
  </si>
  <si>
    <t>Malinda Ayu Ningtias</t>
  </si>
  <si>
    <t>Arifah Permata Al Fath</t>
  </si>
  <si>
    <t>Parti Septiyaningsih</t>
  </si>
  <si>
    <t>Muhammad Abu Yusuf Al Bakry</t>
  </si>
  <si>
    <t>Indah Khairunnisa</t>
  </si>
  <si>
    <t>Pendidikan Agama Islam (Kampus Wates)</t>
  </si>
  <si>
    <t>https://docs.google.com/spreadsheets/d/1PnCXPopm7m_XIrY7rPQYCzXPKvRghZRuvMMXWqbOyUo/edit?usp=sharing</t>
  </si>
  <si>
    <t>MUHAMMAD NAUFAL HAYDAR NURULHUDA</t>
  </si>
  <si>
    <t>MUHAMMAD HASBI ASHSHIDDIQI</t>
  </si>
  <si>
    <t>Yufaqih Vidya Pratama</t>
  </si>
  <si>
    <t>Amira Lutfania</t>
  </si>
  <si>
    <t>Risya Yuandita</t>
  </si>
  <si>
    <t>Zahwa Azmy Alfiany</t>
  </si>
  <si>
    <t>Endah Wiranti Mamonto</t>
  </si>
  <si>
    <t>Apshaha Eia Nagita</t>
  </si>
  <si>
    <t>Dwi Iryanta Prihartana</t>
  </si>
  <si>
    <t>https://docs.google.com/spreadsheets/d/1au4oUBz7390z3Tyjuk8uCszWeLXsake_obXyQZLSDm4/edit?usp=sharing</t>
  </si>
  <si>
    <t>Suci Musvita Ayu M.P.H</t>
  </si>
  <si>
    <t>RW 8, Prawirodirjan, Gondomanan</t>
  </si>
  <si>
    <t>SUKMA AYU</t>
  </si>
  <si>
    <t>FATURACHMAN ARRIZAL</t>
  </si>
  <si>
    <t>Muhammad Salman Adhyaksa</t>
  </si>
  <si>
    <t>Sela Noventya Eki Nandarista</t>
  </si>
  <si>
    <t>Intan Aguska Laidahane</t>
  </si>
  <si>
    <t>Savitri Azahra Nurfarisha</t>
  </si>
  <si>
    <t>Andre Pramafujiara</t>
  </si>
  <si>
    <t>Agustia Luthfi Anggraini Ismail</t>
  </si>
  <si>
    <t>Iffah Nurhasanah</t>
  </si>
  <si>
    <t>Muhammad Syafrizal Pahlevi</t>
  </si>
  <si>
    <t>Sastra Inggris</t>
  </si>
  <si>
    <t>08995511332/083149557739</t>
  </si>
  <si>
    <t>https://docs.google.com/spreadsheets/d/1l1ee0kEYCAhG00p-dOwffGM5ewsPu44aSoHB723IlTw/edit?usp=sharing</t>
  </si>
  <si>
    <t>RW 10, Prawirodirjan, Gondomanan</t>
  </si>
  <si>
    <t>LISA RAHMARANI</t>
  </si>
  <si>
    <t>PANJI PRASETYO WALUYO</t>
  </si>
  <si>
    <t>RAIHAN AL FARHAN</t>
  </si>
  <si>
    <t>Mukhammad Ammar Madri</t>
  </si>
  <si>
    <t>Uliy Elma Fadila</t>
  </si>
  <si>
    <t>Octaviya Dewi Lestari</t>
  </si>
  <si>
    <t>Diah Anita Aryulina</t>
  </si>
  <si>
    <t>Putri Kinanthi</t>
  </si>
  <si>
    <t>Muhammad Rizky Nur Risam</t>
  </si>
  <si>
    <t>https://docs.google.com/spreadsheets/d/1qwbmA1MrLWqNcPdslxbK_ce8Q5YJPeoHdSBT6eeR6Y0/edit?usp=sharing</t>
  </si>
  <si>
    <t>RW 11, Prawirodirjan, Gondomanan</t>
  </si>
  <si>
    <t>RANNI SURYA WULANDARI</t>
  </si>
  <si>
    <t>SITI FATIMAH</t>
  </si>
  <si>
    <t>PUTRI ANDRIYANI</t>
  </si>
  <si>
    <t>GUNTUR BAYU TAUFIQQURAHMAN</t>
  </si>
  <si>
    <t>Arif Fadhil Hakim</t>
  </si>
  <si>
    <t>Astrivia Dewanti</t>
  </si>
  <si>
    <t>Destian Chusnul Ramadhan</t>
  </si>
  <si>
    <t>Widya Septiana</t>
  </si>
  <si>
    <t>Pathur Rahman</t>
  </si>
  <si>
    <t>Hp : 085290125515 Wa : 081349563990</t>
  </si>
  <si>
    <t>https://docs.google.com/spreadsheets/d/13uvT7ht--uG714ac0UvaWP3zdnRerv07KIfGV_DeuiI/edit?usp=sharing</t>
  </si>
  <si>
    <t>RW 12, Prawirodirjan, Gondomanan</t>
  </si>
  <si>
    <t>ANGGA TRI WAHYU</t>
  </si>
  <si>
    <t>ASRI LESTARI</t>
  </si>
  <si>
    <t>Aldi Satria Perdana</t>
  </si>
  <si>
    <t>Anjelina Dwi Rianty</t>
  </si>
  <si>
    <t>Rizky Safa'atul Faizaulia</t>
  </si>
  <si>
    <t>Diah Cahyani Putri</t>
  </si>
  <si>
    <t>Herdin Asmara Timor</t>
  </si>
  <si>
    <t>Fida Izdihar</t>
  </si>
  <si>
    <t>Alfiatu Rohima</t>
  </si>
  <si>
    <t>Ainun Amaliya Paramita</t>
  </si>
  <si>
    <t>https://docs.google.com/spreadsheets/d/1Wiew3Vqrwe9Ch6R1cjbi65bdYpHgn3jH6WxGABSXMKY/edit?usp=sharing</t>
  </si>
  <si>
    <t>M. IMAMUL MUKMININ</t>
  </si>
  <si>
    <t>Resa Shofia</t>
  </si>
  <si>
    <t>M.KALIFATUL HAKIM</t>
  </si>
  <si>
    <t>Qori Afniarti</t>
  </si>
  <si>
    <t>Diksi Pradipta</t>
  </si>
  <si>
    <t>Fina Wahyu Listiyana</t>
  </si>
  <si>
    <t>Camelia Pertiwi</t>
  </si>
  <si>
    <t>Liana Fairuzannah Mahdiana</t>
  </si>
  <si>
    <t>Aprilia Putri Hapsari</t>
  </si>
  <si>
    <t>https://docs.google.com/spreadsheets/d/1atq5-5Swtert9m_EOhDzNkpiD8vV2GfgoRoyxIOr8uM/edit?usp=sharing</t>
  </si>
  <si>
    <t>RW 13, Prawirodirjan, Gondomanan</t>
  </si>
  <si>
    <t>MOKO FATUROKHMANTO</t>
  </si>
  <si>
    <t>Bukhari Fitra Attariq Tuharea</t>
  </si>
  <si>
    <t>Litta Luciana Rosa Primara</t>
  </si>
  <si>
    <t>Reina Ashly Purnamasari</t>
  </si>
  <si>
    <t>Dhea Putri Brigita</t>
  </si>
  <si>
    <t>Pifi Pratiwi</t>
  </si>
  <si>
    <t>Martini Dita Pratiwi</t>
  </si>
  <si>
    <t>Ahmad Zaidan Elhuda</t>
  </si>
  <si>
    <t>Elsa Farameida</t>
  </si>
  <si>
    <t>62 85159411923</t>
  </si>
  <si>
    <t>https://docs.google.com/spreadsheets/d/1r8elxg_xlILreh2P4w8j_EwCCYwUwtRBFcUPd9dVyqY/edit?usp=sharing</t>
  </si>
  <si>
    <t>RW 15, Prawirodirjan, Gondomanan</t>
  </si>
  <si>
    <t>MUHAMMAD HADI</t>
  </si>
  <si>
    <t>Nadia Triana</t>
  </si>
  <si>
    <t>Ataliya Khoirotunniswah Asy Syifa'</t>
  </si>
  <si>
    <t>Wahyu Ngesti Broto</t>
  </si>
  <si>
    <t>Mutiara Syamsiah</t>
  </si>
  <si>
    <t>Fuji Rahayu</t>
  </si>
  <si>
    <t>Halifah Salsabilla</t>
  </si>
  <si>
    <t>Astri Amelia Suma</t>
  </si>
  <si>
    <t>Ilmiawan Noor Rachim</t>
  </si>
  <si>
    <t>Nur'Aini Zahro</t>
  </si>
  <si>
    <t>https://docs.google.com/spreadsheets/d/1tRA4RpPTeYIZVI8PYoYVplNI5uhZxIupTdN-noAYzTY/edit?usp=sharing</t>
  </si>
  <si>
    <t>I.D.2</t>
  </si>
  <si>
    <t>RW 16, Prawirodirjan, Gondomanan</t>
  </si>
  <si>
    <t>FAISHAL ALHUSAINI</t>
  </si>
  <si>
    <t>RIZKY MUHAMAD HASAN</t>
  </si>
  <si>
    <t>ERISA BUDI HANDAYANI</t>
  </si>
  <si>
    <t>NOVITA NUR FAJRI</t>
  </si>
  <si>
    <t>ANGGARA LABDHASADHYA RAHMATULLAH</t>
  </si>
  <si>
    <t>Nisrina Hasna Safira</t>
  </si>
  <si>
    <t>Finka Arya Juwita</t>
  </si>
  <si>
    <t>Nursiyah</t>
  </si>
  <si>
    <t>Mira Ifta Rimadhani</t>
  </si>
  <si>
    <t>https://docs.google.com/spreadsheets/d/1FCUHjldnIpeRYJ089tn2UxQMNFBEnzJzB90UMvuvAQ4/edit?usp=sharing</t>
  </si>
  <si>
    <t>I.D.3</t>
  </si>
  <si>
    <t>RW 17, Prawirodirjan, Gondomanan</t>
  </si>
  <si>
    <t>Rafqy Muhamad Gufran</t>
  </si>
  <si>
    <t>VIKA OKTAVIANA</t>
  </si>
  <si>
    <t>Febyani Nurannisa</t>
  </si>
  <si>
    <t>WENDRY ARYA ERLANGGA</t>
  </si>
  <si>
    <t>BELLA WAHYU FEBRIANTI</t>
  </si>
  <si>
    <t>Zain Immania Eliasa Amri</t>
  </si>
  <si>
    <t>Muhamad Solichin Bahri</t>
  </si>
  <si>
    <t>Indah Pekerti</t>
  </si>
  <si>
    <t>Anisa Nur Febriyani</t>
  </si>
  <si>
    <t>https://docs.google.com/spreadsheets/d/1gMYRU0PUUxCrNDwFQ0mih1q6NdGLpK8wi4den6cwdmU/edit?usp=sharing</t>
  </si>
  <si>
    <t>I.D.4</t>
  </si>
  <si>
    <t>RW 18, Prawirodirjan, Gondomanan</t>
  </si>
  <si>
    <t>HARI NURRAMDHANI</t>
  </si>
  <si>
    <t>HENDRAWAN KARTIKO</t>
  </si>
  <si>
    <t>Deliyana Safitri</t>
  </si>
  <si>
    <t>Nila Rizkiyani Safitri</t>
  </si>
  <si>
    <t>Fina Pangesti</t>
  </si>
  <si>
    <t>Dimas Agung Prihandoko</t>
  </si>
  <si>
    <t>M.ishak Hasyim</t>
  </si>
  <si>
    <t>Juliani Abd Wahab</t>
  </si>
  <si>
    <t>Gita Anggun Damayanti</t>
  </si>
  <si>
    <t>Psikologi</t>
  </si>
  <si>
    <t>Bahasa dan Sastra Arab</t>
  </si>
  <si>
    <t>https://docs.google.com/spreadsheets/d/1IREh9NizLiFYNuJ5NwQWP-XSMMvaD9IKBDeMk5oBAeI/edit?usp=sharing</t>
  </si>
  <si>
    <t>II.A.1</t>
  </si>
  <si>
    <t>Fitri Merawati, S.Pd., M.A.</t>
  </si>
  <si>
    <t>RW 3, Ngupasan, Gondomanan</t>
  </si>
  <si>
    <t>MUHAMMAD NAZREEN MULIK</t>
  </si>
  <si>
    <t>VIGUR PRAJA PARAMADHITA</t>
  </si>
  <si>
    <t>LUTFI PAMBUDI</t>
  </si>
  <si>
    <t>Nadia Naim</t>
  </si>
  <si>
    <t>Amrina Azka Rosada</t>
  </si>
  <si>
    <t>Oskar Putu Ikhwan</t>
  </si>
  <si>
    <t>Nabila Eisa Putri</t>
  </si>
  <si>
    <t>Diana Rahmawati Indarista</t>
  </si>
  <si>
    <t>Sentia Nurindah Sari</t>
  </si>
  <si>
    <t>Nurhayati</t>
  </si>
  <si>
    <t>https://docs.google.com/spreadsheets/d/14WN4D4TO-6LDXmofCf4Hy2Hb4RVERBc-ybPxE3aFJqc/edit?usp=sharing</t>
  </si>
  <si>
    <t>II.A.2</t>
  </si>
  <si>
    <t>RW 7, Ngupasan, Gondomanan</t>
  </si>
  <si>
    <t>Alma Theana Novitri</t>
  </si>
  <si>
    <t>Wahyu Nila Irdasari</t>
  </si>
  <si>
    <t>Muh. Taufiquddin</t>
  </si>
  <si>
    <t>Elva Dora Puspitasari</t>
  </si>
  <si>
    <t>Sherly Kartika Sari</t>
  </si>
  <si>
    <t>Ardewa Rullytama</t>
  </si>
  <si>
    <t>Rizky Rivalzy</t>
  </si>
  <si>
    <t>Imelia Puspita Karti</t>
  </si>
  <si>
    <t>Nurullita Almunawaroh</t>
  </si>
  <si>
    <t>Teknik Industri</t>
  </si>
  <si>
    <t>https://docs.google.com/spreadsheets/d/1HEixhZxIwIxcBQePyjNKswMkRCl5OIEnSOtLiwIC68Y/edit?usp=sharing</t>
  </si>
  <si>
    <t>II.A.3</t>
  </si>
  <si>
    <t>RW 8, Ngupasan, Gondomanan</t>
  </si>
  <si>
    <t>SEPTA JALU ANGGARA</t>
  </si>
  <si>
    <t>MUHAMMAD ZUNDULLAH</t>
  </si>
  <si>
    <t>Anisa Zahwa Salsabilla</t>
  </si>
  <si>
    <t>MUHAMMAD KHOIRUL UMAM</t>
  </si>
  <si>
    <t>Puteri Wahyuningtiyas</t>
  </si>
  <si>
    <t>Rabiatul Adawia</t>
  </si>
  <si>
    <t>Fatikha Nur Khoirunnisa</t>
  </si>
  <si>
    <t>Kharida Luthfi Adibah</t>
  </si>
  <si>
    <t>Ammaliyah Tri Yuliatin</t>
  </si>
  <si>
    <t>https://docs.google.com/spreadsheets/d/1JDadAZ9sInAQxLvUtnYfZkukrKwMmqJhsII4hYz0RDQ/edit?usp=sharing</t>
  </si>
  <si>
    <t>II.B.1</t>
  </si>
  <si>
    <t>Dr. Dyah Suryani S.Si., M.Kes.</t>
  </si>
  <si>
    <t>RW 10, Ngupasan, Gondomanan</t>
  </si>
  <si>
    <t>Halim Fajri Perdana</t>
  </si>
  <si>
    <t>Siska Oktapiana</t>
  </si>
  <si>
    <t>Iskandar Maulana Harahap</t>
  </si>
  <si>
    <t>Nanda Putri Ningrum</t>
  </si>
  <si>
    <t>Indy Kisnawati</t>
  </si>
  <si>
    <t>Septiana Dwi Lestari</t>
  </si>
  <si>
    <t>Kharisma Salsabilla</t>
  </si>
  <si>
    <t>Arif Ramadhan</t>
  </si>
  <si>
    <t>Putri Sekar Diani</t>
  </si>
  <si>
    <t>Niken Kanti Rahayu</t>
  </si>
  <si>
    <t>Perbankan Syariah</t>
  </si>
  <si>
    <t>https://docs.google.com/spreadsheets/d/1jkfM3Ow_URh5QCpEop8C3NcZlI-Kn4oNuniVaSYZU0g/edit?usp=sharing</t>
  </si>
  <si>
    <t>II.B.2</t>
  </si>
  <si>
    <t>RW 11, Ngupasan, Gondomanan</t>
  </si>
  <si>
    <t>MUHAMMAD ARKAAN RIDWANSYAH</t>
  </si>
  <si>
    <t>RIFQY RAMANDA</t>
  </si>
  <si>
    <t>Anissa Cintya Hutami</t>
  </si>
  <si>
    <t>MUHAMMAD ALDO SHERENA</t>
  </si>
  <si>
    <t>Nur Wahyuni</t>
  </si>
  <si>
    <t>Ilfa Dwi Prawesti</t>
  </si>
  <si>
    <t>Shabrina Lailani</t>
  </si>
  <si>
    <t>David Willianto</t>
  </si>
  <si>
    <t>Afifah Dwi Nuryani</t>
  </si>
  <si>
    <t>Pendidikan Matematika</t>
  </si>
  <si>
    <t>https://docs.google.com/spreadsheets/d/1FHoQOeZxHYPJ1dJd8f93dICw251n_SWKzk0SR4e2G94/edit?usp=sharing</t>
  </si>
  <si>
    <t>II.B.3</t>
  </si>
  <si>
    <t>RW 12, Ngupasan, Gondomanan</t>
  </si>
  <si>
    <t>MUKHLAS SETIYAWAN</t>
  </si>
  <si>
    <t>Muhammad Rafli</t>
  </si>
  <si>
    <t>NUR RAHMAN EFENDI</t>
  </si>
  <si>
    <t>NUR AMALLINA NOVITRI ACHMAD</t>
  </si>
  <si>
    <t>Puput Novita Sari</t>
  </si>
  <si>
    <t>Amanda Vikarunnisa</t>
  </si>
  <si>
    <t>Ainul Qomariyah</t>
  </si>
  <si>
    <t>Linda Arya Cahyana</t>
  </si>
  <si>
    <t>Rukiah Sriyanti Tuanany</t>
  </si>
  <si>
    <t>https://docs.google.com/spreadsheets/d/1IFZYTBc8VPvqx44JLaC2C9boWHZ4ZuCVPAAie7BjxQs/edit?usp=sharing</t>
  </si>
  <si>
    <t>II.B.4</t>
  </si>
  <si>
    <t>RW 2, Ngupasan, Gondomanan</t>
  </si>
  <si>
    <t>EMMA KHAIRUN NISAA'</t>
  </si>
  <si>
    <t>RAHAYU WINESTI</t>
  </si>
  <si>
    <t>Muhamad Fajri Majid</t>
  </si>
  <si>
    <t>Muhammad Rizky</t>
  </si>
  <si>
    <t>Indah Gita Cahyani</t>
  </si>
  <si>
    <t>Dhea Aura Nabitha</t>
  </si>
  <si>
    <t>Atika Rahma Indriani</t>
  </si>
  <si>
    <t>Rukmini</t>
  </si>
  <si>
    <t>Muhammad Hafizh Fernanda</t>
  </si>
  <si>
    <t>Fisika</t>
  </si>
  <si>
    <t>https://docs.google.com/spreadsheets/d/1TiPT_Tsgnrlk4QJMQsGhAKbtPFE1hnk2JOocRVl6DIk/edit?usp=sharing</t>
  </si>
  <si>
    <t>II.C.1</t>
  </si>
  <si>
    <t>RW 1, Ngampilan, Ngampilan</t>
  </si>
  <si>
    <t>ABDUL RAHMAN YAHYA</t>
  </si>
  <si>
    <t>DESI PURNAMA RAMADHAN</t>
  </si>
  <si>
    <t>MUHAMAD ZULFAN JIDDAN</t>
  </si>
  <si>
    <t>ANYSIA ASHARI</t>
  </si>
  <si>
    <t>Kiki Indriyani</t>
  </si>
  <si>
    <t>Naufal Luthfi Afif Habibullah</t>
  </si>
  <si>
    <t>Dini Ega Wardani</t>
  </si>
  <si>
    <t>Sherlly Dewi Damaiyanti</t>
  </si>
  <si>
    <t>Tri Wulandari</t>
  </si>
  <si>
    <t>Fenti Ria Ananda</t>
  </si>
  <si>
    <t>https://docs.google.com/spreadsheets/d/1soxDTyCIvMXeAcorKNFbzHABCx_PqNab5bzfGd-64A4/edit?usp=sharing</t>
  </si>
  <si>
    <t>II.C.2</t>
  </si>
  <si>
    <t>RW 2, Ngampilan, Ngampilan</t>
  </si>
  <si>
    <t>MUHAMMAD ARSHAL ALFARID</t>
  </si>
  <si>
    <t>DIAN UTAMI</t>
  </si>
  <si>
    <t>Choirilita Tifani Adriatama</t>
  </si>
  <si>
    <t>Vina Fitria</t>
  </si>
  <si>
    <t>Raditya Erlangga Effendy</t>
  </si>
  <si>
    <t>Rizka Faqrunnisa. As</t>
  </si>
  <si>
    <t>Nur Hilda Pragita Cahyani</t>
  </si>
  <si>
    <t>Rifqi Daffa Rizqi</t>
  </si>
  <si>
    <t>Ajeng Putri Mahendra</t>
  </si>
  <si>
    <t>https://docs.google.com/spreadsheets/d/1esWHiFa3JeAbN45yB9gygjqFcqGmj9v5DGGSwKlQsIA/edit?usp=sharing</t>
  </si>
  <si>
    <t>II.C.3</t>
  </si>
  <si>
    <t>RW 3, Ngampilan, Ngampilan</t>
  </si>
  <si>
    <t>AGHTIA MUTIARA LARASATI</t>
  </si>
  <si>
    <t>ANGGIH PRANYOTO</t>
  </si>
  <si>
    <t>Maulana Marandika Ramadhan</t>
  </si>
  <si>
    <t>MUHAMMAD REDZKI NURFADILLAH MUKHSENI</t>
  </si>
  <si>
    <t>Vina Lestari</t>
  </si>
  <si>
    <t>Alya Puspa Sari</t>
  </si>
  <si>
    <t>Ghera Imroatusshalihah</t>
  </si>
  <si>
    <t>Nabila Nuraisya Salsabila</t>
  </si>
  <si>
    <t>Azizah Nurul Wahidah</t>
  </si>
  <si>
    <t>https://docs.google.com/spreadsheets/d/1-rDlRbJ5aBoEgiO5iLXj-Ee6wVxKsfpXW-1RBx49hGQ/edit?usp=sharing</t>
  </si>
  <si>
    <t>II.D.1</t>
  </si>
  <si>
    <t>Nur Alifah Septiani S.S., M.A.</t>
  </si>
  <si>
    <t>RW 5, Ngampilan, Ngampilan</t>
  </si>
  <si>
    <t>MAQFIRA IZANIAPUTRI FAIZAL</t>
  </si>
  <si>
    <t>SHINDI SRI WAHYUNI PAWAH</t>
  </si>
  <si>
    <t>AGNES NURLITA SILVI KAMBU</t>
  </si>
  <si>
    <t>Ludiro Suryo Aziz Manitis</t>
  </si>
  <si>
    <t>Vika Ardiana</t>
  </si>
  <si>
    <t>Muhammad Imam Zulfi</t>
  </si>
  <si>
    <t>Zackiy Mohammad Afif Prastyajati</t>
  </si>
  <si>
    <t>Mohamad Cipto Fransetio</t>
  </si>
  <si>
    <t>Annasuha Cahyaningsih</t>
  </si>
  <si>
    <t>Fahmi Nur Hanifah</t>
  </si>
  <si>
    <t>0822 77690001</t>
  </si>
  <si>
    <t>https://docs.google.com/spreadsheets/d/1DKPgl5OJQ_2_CCepQjfg7nkhOkEMNm26ZdWwOgpRPP8/edit?usp=sharing</t>
  </si>
  <si>
    <t>II.D.2</t>
  </si>
  <si>
    <t>RW 6, Ngampilan, Ngampilan</t>
  </si>
  <si>
    <t>BAGUS ANHARI</t>
  </si>
  <si>
    <t>DWI RUPAWAN</t>
  </si>
  <si>
    <t>REZA RISQI PRATAMA</t>
  </si>
  <si>
    <t>Ulya Mustika</t>
  </si>
  <si>
    <t>Alifia Rahmawati</t>
  </si>
  <si>
    <t>Windi Ismawati</t>
  </si>
  <si>
    <t>Novia Murti Milen</t>
  </si>
  <si>
    <t>Dinda Salshabila Fortuna</t>
  </si>
  <si>
    <t>Mesyana Putri</t>
  </si>
  <si>
    <t>https://docs.google.com/spreadsheets/d/1PaOdbkisq_h5JOWIsb20yQzuRUdWgHhIj9NjAje6Wyo/edit?usp=sharing</t>
  </si>
  <si>
    <t>II.D.3</t>
  </si>
  <si>
    <t>RW 7, Ngampilan, Ngampilan</t>
  </si>
  <si>
    <t>ALIN NURUL KUSANAH</t>
  </si>
  <si>
    <t>Radika Nursyawana Mokoginta</t>
  </si>
  <si>
    <t>ALIF YOGA SATYATMA</t>
  </si>
  <si>
    <t>JUNSARTIKA ABUBAKAR</t>
  </si>
  <si>
    <t>Muhamad Arief Setiawan</t>
  </si>
  <si>
    <t>Vradica Cornera Nartaya</t>
  </si>
  <si>
    <t>Daffa Amru Rahmanta</t>
  </si>
  <si>
    <t>Pujarah</t>
  </si>
  <si>
    <t>Fio Setiowati</t>
  </si>
  <si>
    <t>https://docs.google.com/spreadsheets/d/1P70N1tP0AQfUI9AuGVgYgINBv65E1veuPvyuyMkt3ag/edit?usp=sharing</t>
  </si>
  <si>
    <t>III.A.1</t>
  </si>
  <si>
    <t>Desi Nurfita S.K.M., M.Kes. (Epid)</t>
  </si>
  <si>
    <t>RW 9, Ngampilan, Ngampilan</t>
  </si>
  <si>
    <t>MUHAMAD DIMAS AMAR NUGROHO</t>
  </si>
  <si>
    <t>NADIA WATI APRIANTI</t>
  </si>
  <si>
    <t>ESTRI SUMIASIH</t>
  </si>
  <si>
    <t>Tety Lismawati</t>
  </si>
  <si>
    <t>Agnes Qhorisa</t>
  </si>
  <si>
    <t>Pagita Maharani Putri</t>
  </si>
  <si>
    <t>Firdaus Ramadhani</t>
  </si>
  <si>
    <t>Dina Amalia</t>
  </si>
  <si>
    <t>Namira Wahyu Prinanda</t>
  </si>
  <si>
    <t>https://docs.google.com/spreadsheets/d/1inBpI-Z0BO66TjIAGtxX2T7vUjYDbvpdEOxseMkvnT8/edit?usp=sharing</t>
  </si>
  <si>
    <t>III.A.2</t>
  </si>
  <si>
    <t>RW 12, Ngampilan, Ngampilan</t>
  </si>
  <si>
    <t>BAYU SAPUTRA</t>
  </si>
  <si>
    <t>FEBRIANSAH CANDRA WIJAYA</t>
  </si>
  <si>
    <t>Intan Julistia</t>
  </si>
  <si>
    <t>Erlinda Rahmawati</t>
  </si>
  <si>
    <t>Nur Azizah Khoirunnisa'</t>
  </si>
  <si>
    <t>Muhammad Rois Muhyiyuddin</t>
  </si>
  <si>
    <t>Amalia Susanti</t>
  </si>
  <si>
    <t>MAHARANI NUR BELA PERTIWI</t>
  </si>
  <si>
    <t>Wahyu Marga Ninda</t>
  </si>
  <si>
    <t>Teknik Elektro</t>
  </si>
  <si>
    <t>https://docs.google.com/spreadsheets/d/1l7feShSgrrgKEULxHUpZm9N6nbJu6Cvyk0aU_8xRLV0/edit?usp=sharing</t>
  </si>
  <si>
    <t>III.A.3</t>
  </si>
  <si>
    <t>RW 13, Ngampilan, Ngampilan</t>
  </si>
  <si>
    <t>MUHAMMAD NOER HIDAYAT</t>
  </si>
  <si>
    <t>Dzakarasma Tazakka Ma'arij</t>
  </si>
  <si>
    <t>RUSLIANSYAH</t>
  </si>
  <si>
    <t>Nurul Faizah</t>
  </si>
  <si>
    <t>Infiks Unggul Digdayana</t>
  </si>
  <si>
    <t>Azizatun Nisa</t>
  </si>
  <si>
    <t>Hilda Diyah Ana Wulansari</t>
  </si>
  <si>
    <t>Deny Elisya</t>
  </si>
  <si>
    <t>Irma Damayanti</t>
  </si>
  <si>
    <t>Akuntansi</t>
  </si>
  <si>
    <t>https://docs.google.com/spreadsheets/d/1y8AS5XKvxtXucY3AFGBDvwPXdq8qKawtD3LgpnrvmQU/edit?usp=sharing</t>
  </si>
  <si>
    <t>III.B.1</t>
  </si>
  <si>
    <t>RW 1, Notoprajan, Ngampilan</t>
  </si>
  <si>
    <t>SITI ALNARIYAH HANGGULE</t>
  </si>
  <si>
    <t>ARCHEL PANJI PRATAMA</t>
  </si>
  <si>
    <t>AHMAD MUZAKKI FALAHUDDIN</t>
  </si>
  <si>
    <t>Sarah Nabilla Diwanti</t>
  </si>
  <si>
    <t>Toriq Afanudin</t>
  </si>
  <si>
    <t>Rifa Inas Faizah</t>
  </si>
  <si>
    <t>Lintang Tjahya Pandharingan</t>
  </si>
  <si>
    <t>Muhammad Laba Ilman</t>
  </si>
  <si>
    <t>Winda Yuliana</t>
  </si>
  <si>
    <t>Mila Ifa'iya</t>
  </si>
  <si>
    <t>Farmasi</t>
  </si>
  <si>
    <t>https://docs.google.com/spreadsheets/d/1Zrshi6jwOwyj2e8vcD0igRXjGqWyHD7nP52PJ8F94q0/edit?usp=sharing</t>
  </si>
  <si>
    <t>III.B.2</t>
  </si>
  <si>
    <t>RW 2, Notoprajan, Ngampilan</t>
  </si>
  <si>
    <t>NAUFAL ZIHANPALVA FAIRUZ INAL MAGHRIBI</t>
  </si>
  <si>
    <t>Rizka Pratitis</t>
  </si>
  <si>
    <t>Suci Pangestuti</t>
  </si>
  <si>
    <t>Okky Sukma Budi Syahputra</t>
  </si>
  <si>
    <t>Dinda Meisaroh Hukubun</t>
  </si>
  <si>
    <t>Danisa Fatin Oktavianingtyas</t>
  </si>
  <si>
    <t>Rani Mustika</t>
  </si>
  <si>
    <t>Dwimas Panduwinata</t>
  </si>
  <si>
    <t>Heldyana Rizky Bela Pratiwi</t>
  </si>
  <si>
    <t>https://docs.google.com/spreadsheets/d/1cgxhZHI42-wvnF_KMegFNiCeKEvgXbD0SY8Gb_CMSnk/edit?usp=sharing</t>
  </si>
  <si>
    <t>III.B.3</t>
  </si>
  <si>
    <t>RW 3, Notoprajan, Ngampilan</t>
  </si>
  <si>
    <t>DESTRYA ANANDA</t>
  </si>
  <si>
    <t>Febriana Nitya Dyah Puspita</t>
  </si>
  <si>
    <t>Fadhila Kiranasari</t>
  </si>
  <si>
    <t>Enny Wahyu Putri Siswanto</t>
  </si>
  <si>
    <t>Fatoni Anpriyanto</t>
  </si>
  <si>
    <t>Alya Imtiyaz</t>
  </si>
  <si>
    <t>Feren Putri Nakita</t>
  </si>
  <si>
    <t>Muhammad Abid Habibi</t>
  </si>
  <si>
    <t>Wiwied Windarti</t>
  </si>
  <si>
    <t>Ilmu Hukum</t>
  </si>
  <si>
    <t>https://docs.google.com/spreadsheets/d/1tDGOr1-mQZ1j7enNWJkq4J-6UyRrxNp8PU4WHolfb4A/edit?usp=sharing</t>
  </si>
  <si>
    <t>III.B.4</t>
  </si>
  <si>
    <t>RW 4, Notoprajan, Ngampilan</t>
  </si>
  <si>
    <t>FADLI MUHAMMAD OEI</t>
  </si>
  <si>
    <t>ANGGI ANGGRAINI</t>
  </si>
  <si>
    <t>RANI SRI MULYANTI</t>
  </si>
  <si>
    <t>Risalatul Hanifah Hasibuan</t>
  </si>
  <si>
    <t>Anisa Rupaningtyas Aulia</t>
  </si>
  <si>
    <t>Anggun Setyowati</t>
  </si>
  <si>
    <t>Arif Imam Budiman</t>
  </si>
  <si>
    <t>Zhafira An Nabila</t>
  </si>
  <si>
    <t>Muhammad Naufal</t>
  </si>
  <si>
    <t>Matematika</t>
  </si>
  <si>
    <t>https://docs.google.com/spreadsheets/d/1j0Lk53rvth2OSnwbl_IFrDpyWIbY1rUqMlkzNIxd2Pw/edit?usp=sharing</t>
  </si>
  <si>
    <t>III.C.1</t>
  </si>
  <si>
    <t>Amir Hidayatulloh S.E., M.Sc.</t>
  </si>
  <si>
    <t>RW 5, Notoprajan, Ngampilan</t>
  </si>
  <si>
    <t>AKBAR GIEDZA REZQIE SUNGKONO</t>
  </si>
  <si>
    <t>RIJAL BORUT</t>
  </si>
  <si>
    <t>Lola Febriyanti</t>
  </si>
  <si>
    <t>Niva Izazaya Marshandha</t>
  </si>
  <si>
    <t>Zahra Lintang Cahyaningtyas</t>
  </si>
  <si>
    <t>Danang Rizky Fadilla Amanta</t>
  </si>
  <si>
    <t>Zahra Chaerani</t>
  </si>
  <si>
    <t>Muhammad Hisyam Fathin</t>
  </si>
  <si>
    <t>Ratna Diyanti</t>
  </si>
  <si>
    <t>Ika Winda Kusumasari</t>
  </si>
  <si>
    <t>Pendidikan Pancasila &amp; Kewarganegaraan</t>
  </si>
  <si>
    <t>081314202352</t>
  </si>
  <si>
    <t>https://docs.google.com/spreadsheets/d/1zkVuN180kFTytWpzM39qPcl6YAl9Q2QmLu9jkwTktyA/edit?usp=sharing</t>
  </si>
  <si>
    <t>III.C.2</t>
  </si>
  <si>
    <t>RW 6, Notoprajan, Ngampilan</t>
  </si>
  <si>
    <t>Luklu'ul Hijrotunnabila</t>
  </si>
  <si>
    <t>Iqwan Homaidy</t>
  </si>
  <si>
    <t>Jaif Saputra</t>
  </si>
  <si>
    <t>Nanda Rafidah Sunarti</t>
  </si>
  <si>
    <t>Faridha Nur'aini</t>
  </si>
  <si>
    <t>Afiazka Dwi Rahmanida</t>
  </si>
  <si>
    <t>NURUL AULIA SYIFA</t>
  </si>
  <si>
    <t>Nadya Cahya Riani</t>
  </si>
  <si>
    <t>Idghom Mukholik</t>
  </si>
  <si>
    <t>https://docs.google.com/spreadsheets/d/19vyXBiiywcpbi_WIEqk-sTP5GqW3eBtIOf0PRlFuIaM/edit?usp=sharing</t>
  </si>
  <si>
    <t>III.C.3</t>
  </si>
  <si>
    <t>RW 7, Notoprajan, Ngampilan</t>
  </si>
  <si>
    <t>ADE RIZKA</t>
  </si>
  <si>
    <t>YORZAL AUDISTERA</t>
  </si>
  <si>
    <t>Yudiet Tresnanda Yunita Junior</t>
  </si>
  <si>
    <t>Lisna Mutia</t>
  </si>
  <si>
    <t>Muhammad Reynandi Triatna Putra</t>
  </si>
  <si>
    <t>Annita Auliyasari</t>
  </si>
  <si>
    <t>Iklima</t>
  </si>
  <si>
    <t>Pemi Ediansyah</t>
  </si>
  <si>
    <t>Rojavi Yoghi Lestari</t>
  </si>
  <si>
    <t>082341582572</t>
  </si>
  <si>
    <t>082375103662</t>
  </si>
  <si>
    <t>08993984905</t>
  </si>
  <si>
    <t>082283979921</t>
  </si>
  <si>
    <t>088216795583</t>
  </si>
  <si>
    <t>081520441058</t>
  </si>
  <si>
    <t>087805421306</t>
  </si>
  <si>
    <t>089626852630</t>
  </si>
  <si>
    <t>082243576377</t>
  </si>
  <si>
    <t>https://docs.google.com/spreadsheets/d/1CMFMHABfiex85dCoVLsKIT3_fLF_Y5oH1m-hjRkn91Q/edit?usp=sharing</t>
  </si>
  <si>
    <t>III.C.4</t>
  </si>
  <si>
    <t>RW 8, Notoprajan, Ngampilan</t>
  </si>
  <si>
    <t>NIDYA AQSAL SAFARINI</t>
  </si>
  <si>
    <t>FARIDA NOVITASARI</t>
  </si>
  <si>
    <t>Jaka Mukti Fajar</t>
  </si>
  <si>
    <t>NANDA PRATAMA</t>
  </si>
  <si>
    <t>Nirwana</t>
  </si>
  <si>
    <t>Ayu Fita Angelina</t>
  </si>
  <si>
    <t>Nadia Shafa Huwaida</t>
  </si>
  <si>
    <t>Sintia Ramadanti</t>
  </si>
  <si>
    <t>Sabel Permana Kustriyono</t>
  </si>
  <si>
    <t>082259387198</t>
  </si>
  <si>
    <t>082137867187</t>
  </si>
  <si>
    <t>089515432657</t>
  </si>
  <si>
    <t>082311397458</t>
  </si>
  <si>
    <t>081218854837</t>
  </si>
  <si>
    <t>085353146896</t>
  </si>
  <si>
    <t>085641899812</t>
  </si>
  <si>
    <t>085778414180</t>
  </si>
  <si>
    <t>087820432221</t>
  </si>
  <si>
    <t>https://docs.google.com/spreadsheets/d/1Ljt-lgcOpgd1rE3OKtvbVNEF1-B63h7JpKmJS_G0DtU/edit?usp=sharing</t>
  </si>
  <si>
    <t>III.D.1</t>
  </si>
  <si>
    <t>Nur Syarianingsih Syam,S.KM.,M.Kes</t>
  </si>
  <si>
    <t>RW 2, Kadipaten, Kraton</t>
  </si>
  <si>
    <t>RENI APRIYANI</t>
  </si>
  <si>
    <t>Ristika Andini</t>
  </si>
  <si>
    <t>Riyan Dama Saputra</t>
  </si>
  <si>
    <t>Dhinar Tuwuh Pangestuti</t>
  </si>
  <si>
    <t>Ratih Dea Larasati</t>
  </si>
  <si>
    <t>Rido Ramadhan Putra</t>
  </si>
  <si>
    <t>Rizka Tri Astuti</t>
  </si>
  <si>
    <t>Ikhsan Ubaidilah</t>
  </si>
  <si>
    <t>Khofifah Ernita Irawan</t>
  </si>
  <si>
    <t>Pendidikan Fisika</t>
  </si>
  <si>
    <t>081369120729</t>
  </si>
  <si>
    <t>082289827212</t>
  </si>
  <si>
    <t>085832755433</t>
  </si>
  <si>
    <t>083142236118</t>
  </si>
  <si>
    <t>081273510635</t>
  </si>
  <si>
    <t>082282476176</t>
  </si>
  <si>
    <t>088226426507</t>
  </si>
  <si>
    <t>082241733536</t>
  </si>
  <si>
    <t>0895403023700</t>
  </si>
  <si>
    <t>https://docs.google.com/spreadsheets/d/1tKqM1aTzQ7I8f6ncwehNxorI4OL67nR-0cPcq9IEHZE/edit?usp=sharing</t>
  </si>
  <si>
    <t>III.D.2</t>
  </si>
  <si>
    <t>RW 4, Kadipaten, Kraton</t>
  </si>
  <si>
    <t>RIYANTI</t>
  </si>
  <si>
    <t>RIJAL ABU PANGESTU</t>
  </si>
  <si>
    <t>ATHIQOTUL NUR HIDAYAH</t>
  </si>
  <si>
    <t>NURLIANA MUAFAH SYAZWANI</t>
  </si>
  <si>
    <t>Amelia Safira Ramadhani</t>
  </si>
  <si>
    <t>Muhammad Arif Sholikhin</t>
  </si>
  <si>
    <t>Monik Andriani</t>
  </si>
  <si>
    <t>Hendrian</t>
  </si>
  <si>
    <t>Miftahul Ichlas</t>
  </si>
  <si>
    <t>PG Pendidikan Anak Usia Dini</t>
  </si>
  <si>
    <t>089529513579 / 089620966007</t>
  </si>
  <si>
    <t>085944619159</t>
  </si>
  <si>
    <t>085743334196</t>
  </si>
  <si>
    <t>0895370130303</t>
  </si>
  <si>
    <t>085712975562</t>
  </si>
  <si>
    <t>0895355307203</t>
  </si>
  <si>
    <t>082224156428</t>
  </si>
  <si>
    <t>087798041480</t>
  </si>
  <si>
    <t>082281206219</t>
  </si>
  <si>
    <t>https://docs.google.com/spreadsheets/d/1CaV5OFRWvwBrRpGfp0vSeAMLH93QQMokzzePS-Py_G8/edit?usp=sharing</t>
  </si>
  <si>
    <t>III.D.3</t>
  </si>
  <si>
    <t>RW 7, Kadipaten, Kraton</t>
  </si>
  <si>
    <t>CHINDRY AULIA</t>
  </si>
  <si>
    <t>SURYA DARMAWAN</t>
  </si>
  <si>
    <t>PRASETYA BUDHI ADHI HIDAYAT</t>
  </si>
  <si>
    <t>Siti Zahra Helmalia Putri</t>
  </si>
  <si>
    <t>Cindy Elsandra Sultan</t>
  </si>
  <si>
    <t>Gilang Jathi Paramita Sari</t>
  </si>
  <si>
    <t>Amir Abdul Aziz</t>
  </si>
  <si>
    <t>Alifah Khoirun Nisa</t>
  </si>
  <si>
    <t>Fadhia Ayu Djafar</t>
  </si>
  <si>
    <t>081216327874</t>
  </si>
  <si>
    <t>081325381447</t>
  </si>
  <si>
    <t>081339757492</t>
  </si>
  <si>
    <t>085269096142</t>
  </si>
  <si>
    <t>082281924881</t>
  </si>
  <si>
    <t>083134334475</t>
  </si>
  <si>
    <t>081236517312</t>
  </si>
  <si>
    <t>087855452779</t>
  </si>
  <si>
    <t>085256355288</t>
  </si>
  <si>
    <t>https://docs.google.com/spreadsheets/d/1AwW9NT6YP-AmXchbApbdn70E4F8OFCgIjQ6n7koJCD0/edit?usp=sharing</t>
  </si>
  <si>
    <t>IV.A.1</t>
  </si>
  <si>
    <t>Muhammad Ali Fikri S.E., M.Sc</t>
  </si>
  <si>
    <t>RW 8, Kadipaten, Kraton</t>
  </si>
  <si>
    <t>AMMAR MUHARRAM</t>
  </si>
  <si>
    <t>Bayu Sugara</t>
  </si>
  <si>
    <t>Jultrya Mawaddah H. Nursin</t>
  </si>
  <si>
    <t>Alvina Nur Azmi</t>
  </si>
  <si>
    <t>Muhyidin</t>
  </si>
  <si>
    <t>Annisa</t>
  </si>
  <si>
    <t>Dias Ayu Saraswati</t>
  </si>
  <si>
    <t>Nur'aini Silvia Ningrum Raden</t>
  </si>
  <si>
    <t>Difta Iftiyaqi Wahyuda</t>
  </si>
  <si>
    <t>https://docs.google.com/spreadsheets/d/1IkhgxPrRU82MJcUAj7-zT9MKALGy6DpfDtjnOT7djC8/edit?usp=sharing</t>
  </si>
  <si>
    <t>IV.A.2</t>
  </si>
  <si>
    <t>RW 9, Kadipaten, Kraton</t>
  </si>
  <si>
    <t>Abdurrahman Wahid Alimi</t>
  </si>
  <si>
    <t>Alia Marta Sari</t>
  </si>
  <si>
    <t>Adhim Nuur Rozzaaq</t>
  </si>
  <si>
    <t>Nadya Hikma Ramadhani</t>
  </si>
  <si>
    <t>Ina Ulfa Dila</t>
  </si>
  <si>
    <t>Priandita Koswara</t>
  </si>
  <si>
    <t>Ihda Husnul Khotimah</t>
  </si>
  <si>
    <t>Auli Khusni Fadriyah</t>
  </si>
  <si>
    <t>Anisa Widyastuti</t>
  </si>
  <si>
    <t>https://docs.google.com/spreadsheets/d/1kh844CdPHfDcq7zmoZ_b7sjKyOsERJEfTDSosd9fBRU/edit?usp=sharing</t>
  </si>
  <si>
    <t>IV.A.3</t>
  </si>
  <si>
    <t>RW 10, Kadipaten, Kraton</t>
  </si>
  <si>
    <t>Dwi Anto Ihza Ramadhan</t>
  </si>
  <si>
    <t>Aldi Afiyanto</t>
  </si>
  <si>
    <t>Kalika Azra Zainina</t>
  </si>
  <si>
    <t>Afifah</t>
  </si>
  <si>
    <t>Risa Rizki Sharon</t>
  </si>
  <si>
    <t>Sugeng Tri Atmojo</t>
  </si>
  <si>
    <t>Adetiyah Syahputri Hermawati</t>
  </si>
  <si>
    <t>Hanin Rifda Amira</t>
  </si>
  <si>
    <t>Jena Sialana</t>
  </si>
  <si>
    <t>Pendidikan Biologi</t>
  </si>
  <si>
    <t>Teknologi Pangan</t>
  </si>
  <si>
    <t>https://docs.google.com/spreadsheets/d/1u3ydYXn7jjoGczqldwSU-Q7XHSS8keHbjbRvPqD5yvg/edit?usp=sharing</t>
  </si>
  <si>
    <t>IV.B.1</t>
  </si>
  <si>
    <t>Yudha Rizky Nuari M.Sc., Apt.</t>
  </si>
  <si>
    <t>RW 12, Kadipaten, Kraton</t>
  </si>
  <si>
    <t>FALIH KATMA HERNISA</t>
  </si>
  <si>
    <t>PUTRA IRAWAN</t>
  </si>
  <si>
    <t>Della Chika Sekaring Tyas</t>
  </si>
  <si>
    <t>Olivia Febica Anani</t>
  </si>
  <si>
    <t>Raden Mas Wahyu Eko Putro</t>
  </si>
  <si>
    <t>Laksmi Narasita</t>
  </si>
  <si>
    <t>Shinta Ledia</t>
  </si>
  <si>
    <t>Abdan Syakur Ramadhan</t>
  </si>
  <si>
    <t>Farradila Caesar Ratna Timur</t>
  </si>
  <si>
    <t>089603524419</t>
  </si>
  <si>
    <t>082288966068</t>
  </si>
  <si>
    <t>089670960485</t>
  </si>
  <si>
    <t>081279007682</t>
  </si>
  <si>
    <t>082227722525</t>
  </si>
  <si>
    <t>081227747966</t>
  </si>
  <si>
    <t>081929918915</t>
  </si>
  <si>
    <t>082223073254 / 081215591091</t>
  </si>
  <si>
    <t>088216522071</t>
  </si>
  <si>
    <t>https://docs.google.com/spreadsheets/d/1CrHFHixT4a5ltdBQMyTC8-BNTWD32S809rVetEuK5Q0/edit?usp=sharing</t>
  </si>
  <si>
    <t>IV.B.2</t>
  </si>
  <si>
    <t>RW 3, Patehan, Kraton</t>
  </si>
  <si>
    <t>MOCHAMAD ARIEF REINALDI</t>
  </si>
  <si>
    <t>ERLANGGA MAITREYA CAESARIO PRABOWO</t>
  </si>
  <si>
    <t>Amin Syamsudin</t>
  </si>
  <si>
    <t>DWINDA FEBRY WIDA LESTARI</t>
  </si>
  <si>
    <t>Na'imatul Jannah</t>
  </si>
  <si>
    <t>Dessy Putri Romadhona</t>
  </si>
  <si>
    <t>Iin Setyani</t>
  </si>
  <si>
    <t>Endah Budiyastuti</t>
  </si>
  <si>
    <t>Adinda Rahmawati</t>
  </si>
  <si>
    <t>085702516235</t>
  </si>
  <si>
    <t>087722055511</t>
  </si>
  <si>
    <t>088233098932</t>
  </si>
  <si>
    <t>082255438336</t>
  </si>
  <si>
    <t>085797322732</t>
  </si>
  <si>
    <t>081283362598</t>
  </si>
  <si>
    <t>082136683393</t>
  </si>
  <si>
    <t>082359159455</t>
  </si>
  <si>
    <t>088232989866</t>
  </si>
  <si>
    <t>https://docs.google.com/spreadsheets/d/10CETA8Tx5g2bYkmtdBoA79NYoAe7ZizCUArcBQ63XsI/edit?usp=sharing</t>
  </si>
  <si>
    <t>IV.B.3</t>
  </si>
  <si>
    <t>RW 5, Patehan, Kraton</t>
  </si>
  <si>
    <t>AGRA JULIHANZA</t>
  </si>
  <si>
    <t>DIAJENG INDAH SAPUTRI</t>
  </si>
  <si>
    <t>Muhammad Iqbal Arunsyah</t>
  </si>
  <si>
    <t>Febrina Ayu Wulandari</t>
  </si>
  <si>
    <t>Nusita Fitra Wardana</t>
  </si>
  <si>
    <t>Ruth Navtali Dima</t>
  </si>
  <si>
    <t>Agung Budi Putranto</t>
  </si>
  <si>
    <t>Syifa Nur Anggraini</t>
  </si>
  <si>
    <t>Mufidatul Husna</t>
  </si>
  <si>
    <t>Sastra Indonesia</t>
  </si>
  <si>
    <t>082177625848</t>
  </si>
  <si>
    <t>0895612589082</t>
  </si>
  <si>
    <t>081329418952</t>
  </si>
  <si>
    <t>085727787625 / 0895344685030</t>
  </si>
  <si>
    <t>082225880076</t>
  </si>
  <si>
    <t>088224150177</t>
  </si>
  <si>
    <t>08998202189</t>
  </si>
  <si>
    <t>088291392007</t>
  </si>
  <si>
    <t>085839837452</t>
  </si>
  <si>
    <t>https://docs.google.com/spreadsheets/d/1NhTToGQ9cAKjYeEJfPeDGcsNE56h6SJh3yY5KqJsgxQ/edit?usp=sharing</t>
  </si>
  <si>
    <t>IV.C.1</t>
  </si>
  <si>
    <t>Rokhmayanti, S.KM., M.PH.</t>
  </si>
  <si>
    <t>RW 7, Patehan, Kraton</t>
  </si>
  <si>
    <t>EVA DEA PUSPITA</t>
  </si>
  <si>
    <t>RIZKY RAMADHANI PRAWIRA</t>
  </si>
  <si>
    <t>Rafiqi Falahi</t>
  </si>
  <si>
    <t>Arismaya Kanthi Pangesti</t>
  </si>
  <si>
    <t>Safira Fadhilah Amani</t>
  </si>
  <si>
    <t>Tri Martono</t>
  </si>
  <si>
    <t>Ardhia Satiawati</t>
  </si>
  <si>
    <t>Iasha Fahira Islami</t>
  </si>
  <si>
    <t>Siti Rahmawati Harman</t>
  </si>
  <si>
    <t>082223816399</t>
  </si>
  <si>
    <t>081391701368</t>
  </si>
  <si>
    <t>082377393471</t>
  </si>
  <si>
    <t>085803944977</t>
  </si>
  <si>
    <t>088225095654</t>
  </si>
  <si>
    <t>082297724094</t>
  </si>
  <si>
    <t>085943565684</t>
  </si>
  <si>
    <t>087847632805</t>
  </si>
  <si>
    <t>089698001521</t>
  </si>
  <si>
    <t>https://docs.google.com/spreadsheets/d/1Vmu3dLndfXiswE23zjgbhUgs3aEH1--FP8pVMd86Xt0/edit?usp=sharing</t>
  </si>
  <si>
    <t>IV.C.2</t>
  </si>
  <si>
    <t>RW 8, Patehan, Kraton</t>
  </si>
  <si>
    <t>ROBY JULIAN</t>
  </si>
  <si>
    <t>SANDI SYAMSUDDIN</t>
  </si>
  <si>
    <t>MELTA SARI</t>
  </si>
  <si>
    <t>Munna Nur Istiqomah</t>
  </si>
  <si>
    <t>Nur Laeli Wanahari</t>
  </si>
  <si>
    <t>Ivon Martini Puspita</t>
  </si>
  <si>
    <t>Syaiful Romli</t>
  </si>
  <si>
    <t>Dini Wulandari</t>
  </si>
  <si>
    <t>Ainul Pitri</t>
  </si>
  <si>
    <t>082341166215</t>
  </si>
  <si>
    <t>082137588972</t>
  </si>
  <si>
    <t>081220196762</t>
  </si>
  <si>
    <t>08895035458</t>
  </si>
  <si>
    <t>081278876959</t>
  </si>
  <si>
    <t>085891318619</t>
  </si>
  <si>
    <t>082325458630</t>
  </si>
  <si>
    <t>082148280565</t>
  </si>
  <si>
    <t>082350767332</t>
  </si>
  <si>
    <t>https://docs.google.com/spreadsheets/d/1yQu_8qKdWU1iAVHxM6pd5K6Hl6M5VlhvsRoz6YD3MoM/edit?usp=sharing</t>
  </si>
  <si>
    <t>IV.C.3</t>
  </si>
  <si>
    <t>RW 9, Patehan, Kraton</t>
  </si>
  <si>
    <t>RANDY PRATAMA PUTRA</t>
  </si>
  <si>
    <t>Sula</t>
  </si>
  <si>
    <t>Bondan Baghaskara</t>
  </si>
  <si>
    <t>Reza Tamafaya Aprilia</t>
  </si>
  <si>
    <t>Ade Rahma Yunita Siregar</t>
  </si>
  <si>
    <t>Andrean Pangestu</t>
  </si>
  <si>
    <t>Nurhaniyah</t>
  </si>
  <si>
    <t>Khairunnisa Indah Safitri</t>
  </si>
  <si>
    <t>Dea Riza Nabila Kasimin</t>
  </si>
  <si>
    <t>088239539004</t>
  </si>
  <si>
    <t>081272085158</t>
  </si>
  <si>
    <t>087838962496</t>
  </si>
  <si>
    <t>082177727998</t>
  </si>
  <si>
    <t>085366488094</t>
  </si>
  <si>
    <t>085366754371</t>
  </si>
  <si>
    <t>082278043958</t>
  </si>
  <si>
    <t>085876068184</t>
  </si>
  <si>
    <t>089695751379</t>
  </si>
  <si>
    <t>https://docs.google.com/spreadsheets/d/13rErnlCfxCiEtKMsQYLHvTwpmTRCXnNTzRIbjNzdOEE/edit?usp=sharing</t>
  </si>
  <si>
    <t>IV.D.1</t>
  </si>
  <si>
    <t>Drs. Tedy Setiadi M.T.</t>
  </si>
  <si>
    <t>RW 3, Panembahan, Kraton</t>
  </si>
  <si>
    <t>Fawil Patwa</t>
  </si>
  <si>
    <t>Wulan Cahya Islamiyah</t>
  </si>
  <si>
    <t>SYAUQI KHAIKAL ZULKARNAIN</t>
  </si>
  <si>
    <t>Asri Kartiko</t>
  </si>
  <si>
    <t>Meiliasari Azahra</t>
  </si>
  <si>
    <t>Siti Nur Khasanah</t>
  </si>
  <si>
    <t>Alvathera Bima Praditya</t>
  </si>
  <si>
    <t>Farah Majida Haya</t>
  </si>
  <si>
    <t>Nuriah</t>
  </si>
  <si>
    <t>081346242085</t>
  </si>
  <si>
    <t>082282003957</t>
  </si>
  <si>
    <t>082338239130</t>
  </si>
  <si>
    <t>085713292143</t>
  </si>
  <si>
    <t>088976725406</t>
  </si>
  <si>
    <t>0895413918748</t>
  </si>
  <si>
    <t>081229184873</t>
  </si>
  <si>
    <t>085705347577</t>
  </si>
  <si>
    <t>082155468796</t>
  </si>
  <si>
    <t>https://docs.google.com/spreadsheets/d/15OGdoWojUHNFXiDfeU2kwF8VcDtq9WwspbU5tyRVpak/edit?usp=sharing</t>
  </si>
  <si>
    <t>IV.D.2</t>
  </si>
  <si>
    <t>RW 5, Panembahan, Kraton</t>
  </si>
  <si>
    <t>Furkonuddin</t>
  </si>
  <si>
    <t>Raja Syeh Anugrah</t>
  </si>
  <si>
    <t>Delvina Winda Apriliana</t>
  </si>
  <si>
    <t>Shasa Pramugita Ismayanti</t>
  </si>
  <si>
    <t>Adnin Kamil Bani Hawa</t>
  </si>
  <si>
    <t>Shella Masrofah</t>
  </si>
  <si>
    <t>Khaerudin</t>
  </si>
  <si>
    <t>Sepitriani</t>
  </si>
  <si>
    <t>Hawia Umasugi</t>
  </si>
  <si>
    <t>082223351086</t>
  </si>
  <si>
    <t>082173378052</t>
  </si>
  <si>
    <t>081388299079</t>
  </si>
  <si>
    <t>082136032420</t>
  </si>
  <si>
    <t>082306277477</t>
  </si>
  <si>
    <t>081231374643/081237474712</t>
  </si>
  <si>
    <t>085238762128</t>
  </si>
  <si>
    <t>081233186108</t>
  </si>
  <si>
    <t>082198630256</t>
  </si>
  <si>
    <t>https://docs.google.com/spreadsheets/d/1NAIDQDsM6unWiU0ohgUaoju3HNaPnjI6fV2f5jzrVy8/edit?usp=sharing</t>
  </si>
  <si>
    <t>IV.D.3</t>
  </si>
  <si>
    <t>RW 10, Panembahan, Kraton</t>
  </si>
  <si>
    <t>DICKI PRASTICO ANTONI</t>
  </si>
  <si>
    <t>Tan Defri Ramadhani</t>
  </si>
  <si>
    <t>Sephia Amala Suci</t>
  </si>
  <si>
    <t>Alfrista Novalia Putri</t>
  </si>
  <si>
    <t>Shania Aqila Fauziah</t>
  </si>
  <si>
    <t>Annisa Nurhaqiqi</t>
  </si>
  <si>
    <t>Dimas Feryawan</t>
  </si>
  <si>
    <t>Alfina Duta Ananda</t>
  </si>
  <si>
    <t>Farah Nabila Maulidya</t>
  </si>
  <si>
    <t>087812282733</t>
  </si>
  <si>
    <t>089617690499</t>
  </si>
  <si>
    <t>085776769102</t>
  </si>
  <si>
    <t>081947164811</t>
  </si>
  <si>
    <t>082133266703</t>
  </si>
  <si>
    <t>081392313150</t>
  </si>
  <si>
    <t>089698884203</t>
  </si>
  <si>
    <t>085875267994</t>
  </si>
  <si>
    <t>087787575139</t>
  </si>
  <si>
    <t>https://docs.google.com/spreadsheets/d/1OWG1BeOI8lxmu5iERIoMZTenARVLf4fLsCsp-eie52s/edit?usp=sharing</t>
  </si>
  <si>
    <t>IV.D.4</t>
  </si>
  <si>
    <t>RW 11, Panembahan, Kraton</t>
  </si>
  <si>
    <t>Geri Agusta</t>
  </si>
  <si>
    <t>Eling Mulyawan</t>
  </si>
  <si>
    <t>Atika Imadatu Jannah</t>
  </si>
  <si>
    <t>Adhelia Rafitri</t>
  </si>
  <si>
    <t>Novika Nurkhasanah</t>
  </si>
  <si>
    <t>Fariha Tunnisa</t>
  </si>
  <si>
    <t>Nabila Wulandari</t>
  </si>
  <si>
    <t>Nursaima Putri Siregar</t>
  </si>
  <si>
    <t>Fadly Muhammad Bima Putra</t>
  </si>
  <si>
    <t>081908670819</t>
  </si>
  <si>
    <t>081225020107</t>
  </si>
  <si>
    <t>085789708966</t>
  </si>
  <si>
    <t>0895602250609</t>
  </si>
  <si>
    <t>08156507271</t>
  </si>
  <si>
    <t>087839722622</t>
  </si>
  <si>
    <t>085338282669</t>
  </si>
  <si>
    <t>085317787093</t>
  </si>
  <si>
    <t>085329969110</t>
  </si>
  <si>
    <t>https://docs.google.com/spreadsheets/d/1sl21ob5CwA2C6Z6MtX2jkH3TdulxFTTFLsQXA5H5YxM/edit?usp=sharing</t>
  </si>
  <si>
    <t>V.A.1</t>
  </si>
  <si>
    <t>Nunik Hariyanti S.IKom.,MA.</t>
  </si>
  <si>
    <t>RW 13, Panembahan, Kraton</t>
  </si>
  <si>
    <t>FAJAR KUSUMA DHEWA</t>
  </si>
  <si>
    <t>DEVINA RAMAIDHA GHOINNUR NAHRIZA</t>
  </si>
  <si>
    <t>Desti Fitri Arini</t>
  </si>
  <si>
    <t>Yoan Dea Irawati</t>
  </si>
  <si>
    <t>Silvani Ceisar Febrianti</t>
  </si>
  <si>
    <t>Aretsa Zana Ayunda</t>
  </si>
  <si>
    <t>Muhammad Hafizh Hanafi</t>
  </si>
  <si>
    <t>Dzakiyah Zain Ramadhona</t>
  </si>
  <si>
    <t>Yusuf Bastiar</t>
  </si>
  <si>
    <t>08157915558</t>
  </si>
  <si>
    <t>6285899672886</t>
  </si>
  <si>
    <t>0895372499105</t>
  </si>
  <si>
    <t>083867473643</t>
  </si>
  <si>
    <t>085790685378</t>
  </si>
  <si>
    <t>081390369936</t>
  </si>
  <si>
    <t>081225754539</t>
  </si>
  <si>
    <t>082169644867</t>
  </si>
  <si>
    <t>08199020671</t>
  </si>
  <si>
    <t>https://docs.google.com/spreadsheets/d/1fWJXBlSF9tS6mBFQIHZtQjPBGhMPQDbMuP5K4wPmhjs/edit?usp=sharing</t>
  </si>
  <si>
    <t>V.A.2</t>
  </si>
  <si>
    <t>RW 16, Panembahan, Kraton</t>
  </si>
  <si>
    <t>DEDI YUSRI ROBIADI SAPUTRA</t>
  </si>
  <si>
    <t>MUHAMMAD YOGA SETIAWAN</t>
  </si>
  <si>
    <t>Najmia Wahda</t>
  </si>
  <si>
    <t>Mia Zubaidah Mufiqoh</t>
  </si>
  <si>
    <t>Elrista Verniqa Adhysti</t>
  </si>
  <si>
    <t>Aulia Ramadhani Nur Hidayah</t>
  </si>
  <si>
    <t>Prima Laillatul Ramadhan</t>
  </si>
  <si>
    <t>Mutiara Nur Afifah</t>
  </si>
  <si>
    <t>Triloka Bintang Pramesthi</t>
  </si>
  <si>
    <t>082390343677</t>
  </si>
  <si>
    <t>087817728215</t>
  </si>
  <si>
    <t>081226873755</t>
  </si>
  <si>
    <t>085800281059</t>
  </si>
  <si>
    <t>082353364362</t>
  </si>
  <si>
    <t>085959887590</t>
  </si>
  <si>
    <t>0882006018247</t>
  </si>
  <si>
    <t>085602825017</t>
  </si>
  <si>
    <t>08979339158</t>
  </si>
  <si>
    <t>https://docs.google.com/spreadsheets/d/1ldFXH30qfVlDiWGF7pYEMZZV2e-Q9rsJo6VEhFBDdrI/edit?usp=sharing</t>
  </si>
  <si>
    <t>V.A.3</t>
  </si>
  <si>
    <t>RW 17, Panembahan, Kraton</t>
  </si>
  <si>
    <t>SELLA SAFIRA</t>
  </si>
  <si>
    <t>ALDI PRABOWO</t>
  </si>
  <si>
    <t>Anggi Melia Nurmalasari</t>
  </si>
  <si>
    <t>Annisa Prameswaty</t>
  </si>
  <si>
    <t>Anindya Puteri Irwanti</t>
  </si>
  <si>
    <t>Muhammad Ichwanul Gifary</t>
  </si>
  <si>
    <t>Indah Nur Bouti</t>
  </si>
  <si>
    <t>Dani Alamsyah</t>
  </si>
  <si>
    <t>Afi Indah Mayang Sari</t>
  </si>
  <si>
    <t>081242835803</t>
  </si>
  <si>
    <t>081215232330</t>
  </si>
  <si>
    <t>089682067312</t>
  </si>
  <si>
    <t>081218033981</t>
  </si>
  <si>
    <t>087816313876</t>
  </si>
  <si>
    <t>081239504866</t>
  </si>
  <si>
    <t>081959104160</t>
  </si>
  <si>
    <t>085643925644</t>
  </si>
  <si>
    <t>082326085321</t>
  </si>
  <si>
    <t>https://docs.google.com/spreadsheets/d/1sQ40EaQXDWo9yWHueA9ZH28131agLuj7MnD-Sq7wbJI/edit?usp=sharing</t>
  </si>
  <si>
    <t>V.B.1</t>
  </si>
  <si>
    <t>Adhitya Rechandy Christian S.E., M.M.</t>
  </si>
  <si>
    <t>RW 2, Bausasran , Danurejan</t>
  </si>
  <si>
    <t>ARDIAN SETIAWAN</t>
  </si>
  <si>
    <t>Mutia Sri Mareza</t>
  </si>
  <si>
    <t>Naeli Nurfaozah</t>
  </si>
  <si>
    <t>Dwi Yuliyani Prastika</t>
  </si>
  <si>
    <t>Intan Meilista</t>
  </si>
  <si>
    <t>Muhammad Lutfi Pratama Rahardjo</t>
  </si>
  <si>
    <t>Revandika S.banggiok</t>
  </si>
  <si>
    <t>Luluk Latifah</t>
  </si>
  <si>
    <t>Aliyya Alghaniya</t>
  </si>
  <si>
    <t>081326009835</t>
  </si>
  <si>
    <t>082317691220</t>
  </si>
  <si>
    <t>082135734288</t>
  </si>
  <si>
    <t>089657830463</t>
  </si>
  <si>
    <t>0882-6806-3051</t>
  </si>
  <si>
    <t>081228923047</t>
  </si>
  <si>
    <t>082246977782</t>
  </si>
  <si>
    <t>089510386798</t>
  </si>
  <si>
    <t>082269330160</t>
  </si>
  <si>
    <t>https://docs.google.com/spreadsheets/d/1xQ7X23W5bprtCNGPNsX8mcA_ZLrBnEPDjNTe0J8h6l8/edit?usp=sharing</t>
  </si>
  <si>
    <t>V.B.2</t>
  </si>
  <si>
    <t>RW 4, Bausasran , Danurejan</t>
  </si>
  <si>
    <t>KUKUH IMAN BAGUS SAPUTRO</t>
  </si>
  <si>
    <t>SAFITRI DEWI</t>
  </si>
  <si>
    <t>MUHAMMAD ALDI</t>
  </si>
  <si>
    <t>Zenita Rahmawati</t>
  </si>
  <si>
    <t>Irma</t>
  </si>
  <si>
    <t>Zahra Athifah Amallia</t>
  </si>
  <si>
    <t>Nawal El Zuhby</t>
  </si>
  <si>
    <t>Robi Fauzi</t>
  </si>
  <si>
    <t>Hesty Yulianingsih</t>
  </si>
  <si>
    <t>085155322769</t>
  </si>
  <si>
    <t>081328195460</t>
  </si>
  <si>
    <t>082291836878</t>
  </si>
  <si>
    <t>081328525953</t>
  </si>
  <si>
    <t>08989562219</t>
  </si>
  <si>
    <t>085292298833</t>
  </si>
  <si>
    <t>085868140820</t>
  </si>
  <si>
    <t>085325369247</t>
  </si>
  <si>
    <t>082290908585</t>
  </si>
  <si>
    <t>https://docs.google.com/spreadsheets/d/1FQS5z-zo9dBOl2aEsvxYAe7QZrugXeyAb5Dbbhu2zHc/edit?usp=sharing</t>
  </si>
  <si>
    <t>V.B.3</t>
  </si>
  <si>
    <t>RW 6, Bausasran , Danurejan</t>
  </si>
  <si>
    <t>DINDI FATIKA SARI</t>
  </si>
  <si>
    <t>SYFA UL'FARAH</t>
  </si>
  <si>
    <t>Rizky Asfrilly</t>
  </si>
  <si>
    <t>Ahmad Lutfi Wibisana</t>
  </si>
  <si>
    <t>Azifatul Nurcholis</t>
  </si>
  <si>
    <t>Joni Mukti Wibowo</t>
  </si>
  <si>
    <t>Harmita</t>
  </si>
  <si>
    <t>Safyra Putri Harisna</t>
  </si>
  <si>
    <t>Widia Laras</t>
  </si>
  <si>
    <t>081368688614</t>
  </si>
  <si>
    <t>085659830747</t>
  </si>
  <si>
    <t>081392342096</t>
  </si>
  <si>
    <t>085728030919</t>
  </si>
  <si>
    <t>085727179838</t>
  </si>
  <si>
    <t>082134356755</t>
  </si>
  <si>
    <t>085290503971</t>
  </si>
  <si>
    <t>081393387362</t>
  </si>
  <si>
    <t>085642235482</t>
  </si>
  <si>
    <t>https://docs.google.com/spreadsheets/d/13hrtWhGH1L0V8pdKWX6OKx0XoRGg1xp7PRoQReBLuQE/edit?usp=sharing</t>
  </si>
  <si>
    <t>V.C.1</t>
  </si>
  <si>
    <t>Dr. Surahma Asti Mulasari S.Si, M.Kes.</t>
  </si>
  <si>
    <t>RW 5, Bausasran , Danurejan</t>
  </si>
  <si>
    <t>FIRANI AGTALIA</t>
  </si>
  <si>
    <t>ADHIKA PAKSI RAHMANDA</t>
  </si>
  <si>
    <t>Fitta Fatiha Oktavia</t>
  </si>
  <si>
    <t>Nurul Hidayati</t>
  </si>
  <si>
    <t>Diffa Aerlya</t>
  </si>
  <si>
    <t>Adhi Hendrawan</t>
  </si>
  <si>
    <t>Silfiya Agustina</t>
  </si>
  <si>
    <t>Rahmat Nur Syaifudin</t>
  </si>
  <si>
    <t>Astriani Nurfaizah</t>
  </si>
  <si>
    <t>085225144087</t>
  </si>
  <si>
    <t>087772799805</t>
  </si>
  <si>
    <t>089637650411</t>
  </si>
  <si>
    <t>081279660016</t>
  </si>
  <si>
    <t>081227214488</t>
  </si>
  <si>
    <t>085158053669</t>
  </si>
  <si>
    <t>082252573358</t>
  </si>
  <si>
    <t>081325104061</t>
  </si>
  <si>
    <t>081216389394 / 081229264824</t>
  </si>
  <si>
    <t>https://docs.google.com/spreadsheets/d/16DJIlBw0Nb8RHzD_rV1mW0P61Ka_VUA33vdK-unwrRc/edit?usp=sharing</t>
  </si>
  <si>
    <t>V.C.2</t>
  </si>
  <si>
    <t>NUR MUBARAK RUMALUTUR</t>
  </si>
  <si>
    <t>Ummu Fathin Nurul Faridah</t>
  </si>
  <si>
    <t>Millata Izzah Aulia Sani</t>
  </si>
  <si>
    <t>Muhammad Farrell Rizky Putra</t>
  </si>
  <si>
    <t>Putri Amaliaa Pertiwi</t>
  </si>
  <si>
    <t>Rosita Kusumawati</t>
  </si>
  <si>
    <t>Nurul Lahdilah Fitri</t>
  </si>
  <si>
    <t>Yusuf Atma Suryabudi</t>
  </si>
  <si>
    <t>Elsa Hana Al Munawaroh</t>
  </si>
  <si>
    <t>6281233820653</t>
  </si>
  <si>
    <t>089672212192</t>
  </si>
  <si>
    <t>088228378474</t>
  </si>
  <si>
    <t>082376874172</t>
  </si>
  <si>
    <t>087829976311</t>
  </si>
  <si>
    <t>08972110200</t>
  </si>
  <si>
    <t>082340770081</t>
  </si>
  <si>
    <t>088707013639</t>
  </si>
  <si>
    <t>081367535208</t>
  </si>
  <si>
    <t>https://docs.google.com/spreadsheets/d/1Bla9-F0_9NEvH6RIKSx0MN5G8lakCSlubgPSo75sIjQ/edit?usp=sharing</t>
  </si>
  <si>
    <t>V.C.3</t>
  </si>
  <si>
    <t>RW 7, Bausasran , Danurejan</t>
  </si>
  <si>
    <t>Agansia Gilang Pangestu</t>
  </si>
  <si>
    <t>Sismilia</t>
  </si>
  <si>
    <t>Raditya KumaraJaya</t>
  </si>
  <si>
    <t>Tsamarah Nurul Azizah</t>
  </si>
  <si>
    <t>Alifa Nindya Talita Sya'rona</t>
  </si>
  <si>
    <t>Rizky Ayu Pratiwi</t>
  </si>
  <si>
    <t>Muhammad Fajrul Mahardhika</t>
  </si>
  <si>
    <t>Nurhaidah Sipahutar</t>
  </si>
  <si>
    <t>Syafira Darin Salsabila</t>
  </si>
  <si>
    <t>088229507537</t>
  </si>
  <si>
    <t>085156284203</t>
  </si>
  <si>
    <t>088224162029</t>
  </si>
  <si>
    <t>082331019347</t>
  </si>
  <si>
    <t>081314141354</t>
  </si>
  <si>
    <t>081232676508</t>
  </si>
  <si>
    <t>08126553773</t>
  </si>
  <si>
    <t>081264061441</t>
  </si>
  <si>
    <t>083856268565</t>
  </si>
  <si>
    <t>https://docs.google.com/spreadsheets/d/1RMacLAUtlfrJ0QjHYYDO9GgdOjD5dz4ZQ9dW0ji9xQY/edit?usp=sharing</t>
  </si>
  <si>
    <t>V.D.1</t>
  </si>
  <si>
    <t>RW 9, Bausasran , Danurejan</t>
  </si>
  <si>
    <t>SITI MANYANG ALIFA</t>
  </si>
  <si>
    <t>Qurrotu Aini Rahman</t>
  </si>
  <si>
    <t>Esi Mersyah Dikma Sari</t>
  </si>
  <si>
    <t>Anggi Suryawan</t>
  </si>
  <si>
    <t>Toni Gunawan Rambe</t>
  </si>
  <si>
    <t>Raden Ajeng Jasmine Anindyanari Ayu Prasanti</t>
  </si>
  <si>
    <t>Sanji Julia Kristi</t>
  </si>
  <si>
    <t>Ahmad Taofik</t>
  </si>
  <si>
    <t>Rifki</t>
  </si>
  <si>
    <t>088224185801</t>
  </si>
  <si>
    <t>082118550916</t>
  </si>
  <si>
    <t>081225613956</t>
  </si>
  <si>
    <t>082283920978</t>
  </si>
  <si>
    <t>082365371696</t>
  </si>
  <si>
    <t>081802642697</t>
  </si>
  <si>
    <t>083849508538</t>
  </si>
  <si>
    <t>085216137469</t>
  </si>
  <si>
    <t>085877598310</t>
  </si>
  <si>
    <t>https://docs.google.com/spreadsheets/d/1o8FZaCsvodB69vWRZJS8nYL-5tVtDdmo4upTGixxcao/edit?usp=sharing</t>
  </si>
  <si>
    <t>V.D.2</t>
  </si>
  <si>
    <t>RW 11, Bausasran , Danurejan</t>
  </si>
  <si>
    <t>CHRISTIAN HERLAMBANG JONI SAPUTRA</t>
  </si>
  <si>
    <t>Anis Windyastuti</t>
  </si>
  <si>
    <t>Adella Puspa Setyawati</t>
  </si>
  <si>
    <t>Shafrilia Putri Pangastuti</t>
  </si>
  <si>
    <t>Salsabila Milasari Putri</t>
  </si>
  <si>
    <t>Ahmad Jadir Labib</t>
  </si>
  <si>
    <t>Muhammad Alwan Hakim</t>
  </si>
  <si>
    <t>Rohimah Dalimunthe</t>
  </si>
  <si>
    <t>Yola Cindi Fahlepi Ginting</t>
  </si>
  <si>
    <t>088806407476</t>
  </si>
  <si>
    <t>0895379726026</t>
  </si>
  <si>
    <t>0878 2842 8585</t>
  </si>
  <si>
    <t>085947699224</t>
  </si>
  <si>
    <t>088291101727</t>
  </si>
  <si>
    <t>082239315915</t>
  </si>
  <si>
    <t>088216145016</t>
  </si>
  <si>
    <t>081225809747</t>
  </si>
  <si>
    <t>082229085093</t>
  </si>
  <si>
    <t>https://docs.google.com/spreadsheets/d/1ELYs3wkwB6uDtrPxadWcD_X8PSli0ejfpeCOxYJ5iTU/edit?usp=sharing</t>
  </si>
  <si>
    <t>V.D.3</t>
  </si>
  <si>
    <t>RW 12, Bausasran , Danurejan</t>
  </si>
  <si>
    <t>OLAN EGI SYAPUTRA</t>
  </si>
  <si>
    <t>DELVI NUR APRILIA DETUAGE</t>
  </si>
  <si>
    <t>Rizkyqa Nor Febriani</t>
  </si>
  <si>
    <t>Dea Amalia Nur Hidayani</t>
  </si>
  <si>
    <t>Millenia Rahma Ayuningtyas</t>
  </si>
  <si>
    <t>Muhammad Syahman Kamil</t>
  </si>
  <si>
    <t>Tanti Julianti</t>
  </si>
  <si>
    <t>Ahmadi Ibrohim</t>
  </si>
  <si>
    <t>Vathana Az Zahra Putri Dangga</t>
  </si>
  <si>
    <t>081311291530</t>
  </si>
  <si>
    <t>082293752810</t>
  </si>
  <si>
    <t>087710172863</t>
  </si>
  <si>
    <t>085648035650</t>
  </si>
  <si>
    <t>085705877860</t>
  </si>
  <si>
    <t>087873235597</t>
  </si>
  <si>
    <t>082339736199</t>
  </si>
  <si>
    <t>087825311263</t>
  </si>
  <si>
    <t>085215180311</t>
  </si>
  <si>
    <t>https://docs.google.com/spreadsheets/d/1J__KrQBj7f9jahY4-LsPYNH1CTvwEdeUymvj4XRzAKI/edit?usp=sharing</t>
  </si>
  <si>
    <t>VI.A.1</t>
  </si>
  <si>
    <t>Fatma Nuraisyah S.K.M., M.P.H</t>
  </si>
  <si>
    <t>RW 2, Suryatmajan, Danurejan</t>
  </si>
  <si>
    <t>ICHA VIOLETTA</t>
  </si>
  <si>
    <t>AHMAD JAFAR RINALDI</t>
  </si>
  <si>
    <t>Arlinda Purnamasari</t>
  </si>
  <si>
    <t>Afifah Mutmainah</t>
  </si>
  <si>
    <t>Lilis Eriwinti</t>
  </si>
  <si>
    <t>Hendra Bryan Pratama</t>
  </si>
  <si>
    <t>Zenda Abdulmalik Hidayatullah</t>
  </si>
  <si>
    <t>Aulia Yuliani</t>
  </si>
  <si>
    <t>Renata Shafira Nanda</t>
  </si>
  <si>
    <t>085722110911</t>
  </si>
  <si>
    <t>082255479277</t>
  </si>
  <si>
    <t>089508022525</t>
  </si>
  <si>
    <t>082151431756</t>
  </si>
  <si>
    <t>08888331624</t>
  </si>
  <si>
    <t>082183183026</t>
  </si>
  <si>
    <t>081290529509</t>
  </si>
  <si>
    <t>081345120312</t>
  </si>
  <si>
    <t>0895371019148</t>
  </si>
  <si>
    <t>https://docs.google.com/spreadsheets/d/1NaxcCtYDK5ytIaQ0soBtvVmV6MJGWF57k-8ZX-U3R9k/edit?usp=sharing</t>
  </si>
  <si>
    <t>VI.A.2</t>
  </si>
  <si>
    <t>RW 4, Suryatmajan, Danurejan</t>
  </si>
  <si>
    <t>Tri Septyo Pratiwi</t>
  </si>
  <si>
    <t>Windy Ayu Lestari</t>
  </si>
  <si>
    <t>Endah Maulani</t>
  </si>
  <si>
    <t>Muhammad Anwar Hadi</t>
  </si>
  <si>
    <t>Annisa Larasati Rahayu</t>
  </si>
  <si>
    <t>Muhammad Fazal Maula Kamal</t>
  </si>
  <si>
    <t>Ainun Mardiah</t>
  </si>
  <si>
    <t>Yuhdan Firli</t>
  </si>
  <si>
    <t>Restu Dwi Deawanti</t>
  </si>
  <si>
    <t>082154373746</t>
  </si>
  <si>
    <t>082289464112</t>
  </si>
  <si>
    <t>082281207459</t>
  </si>
  <si>
    <t>082138994129</t>
  </si>
  <si>
    <t>085600060651</t>
  </si>
  <si>
    <t>085602528028</t>
  </si>
  <si>
    <t>081339876143</t>
  </si>
  <si>
    <t>087823685111</t>
  </si>
  <si>
    <t>081380836610</t>
  </si>
  <si>
    <t>https://docs.google.com/spreadsheets/d/1j7MrwdSrEECtRHzxeftUW1sX2DcvEoz1zQYzxjxQJ60/edit?usp=sharing</t>
  </si>
  <si>
    <t>VI.A.3</t>
  </si>
  <si>
    <t>RW 6, Suryatmajan, Danurejan</t>
  </si>
  <si>
    <t>Asri Mustika Aji</t>
  </si>
  <si>
    <t>Fitria Nur Azzahra</t>
  </si>
  <si>
    <t>Muhamad Samhan Abidin</t>
  </si>
  <si>
    <t>Putri Pramesthi Rusdiamanda</t>
  </si>
  <si>
    <t>Ayu Zahrotul Humairo</t>
  </si>
  <si>
    <t>Alwi Muchtar Napitupulu</t>
  </si>
  <si>
    <t>Wahyu Ramadan</t>
  </si>
  <si>
    <t>Winda Adiarti</t>
  </si>
  <si>
    <t>Novia Salwa Satira</t>
  </si>
  <si>
    <t>085866602226</t>
  </si>
  <si>
    <t>082124064282</t>
  </si>
  <si>
    <t>082138635881</t>
  </si>
  <si>
    <t>083135863154</t>
  </si>
  <si>
    <t>085217882927</t>
  </si>
  <si>
    <t>081267003901</t>
  </si>
  <si>
    <t>085346100955</t>
  </si>
  <si>
    <t>081280897519</t>
  </si>
  <si>
    <t>081324524455</t>
  </si>
  <si>
    <t>https://docs.google.com/spreadsheets/d/1gEsEloOajdnAFVwhC1vaDfUSaQloLZZ5NQSG72no0a8/edit?usp=sharing</t>
  </si>
  <si>
    <t>VI.B.1</t>
  </si>
  <si>
    <t>Azis Ikhsanudin M.Sc., Apt.</t>
  </si>
  <si>
    <t>RW 1, Tegal Panggung, Danurejan</t>
  </si>
  <si>
    <t>MASKUR MUHAMMAD</t>
  </si>
  <si>
    <t>Nini Paraswati</t>
  </si>
  <si>
    <t>Anita Wulansari</t>
  </si>
  <si>
    <t>Liandita Andrea Putri</t>
  </si>
  <si>
    <t>Whyda Aprilia Rokhim</t>
  </si>
  <si>
    <t>Defri Yusfa</t>
  </si>
  <si>
    <t>Abdul Rahman</t>
  </si>
  <si>
    <t>Iske Mareta</t>
  </si>
  <si>
    <t>Naura Hayati Salsabila</t>
  </si>
  <si>
    <t>082243106021</t>
  </si>
  <si>
    <t>082253707097</t>
  </si>
  <si>
    <t>082278239715</t>
  </si>
  <si>
    <t>082267229007</t>
  </si>
  <si>
    <t>087828302555</t>
  </si>
  <si>
    <t>085748968770</t>
  </si>
  <si>
    <t>083842654316</t>
  </si>
  <si>
    <t>081386748930</t>
  </si>
  <si>
    <t>085290751124</t>
  </si>
  <si>
    <t>https://docs.google.com/spreadsheets/d/1GWRmPdZOkI4gJs7AiX3I0NJG2E5MMTEJl-QwElTjSDA/edit?usp=sharing</t>
  </si>
  <si>
    <t>VI.B.2</t>
  </si>
  <si>
    <t>RW 4, Tegal Panggung, Danurejan</t>
  </si>
  <si>
    <t>FAJRIN SEHAT</t>
  </si>
  <si>
    <t>NAINA BUNGA OKTYANA MANUSYAKERTI YUWONO</t>
  </si>
  <si>
    <t>Wijayanti Ismail</t>
  </si>
  <si>
    <t>Anggraeni Dwi Ningrum</t>
  </si>
  <si>
    <t>Ajeng Dwi Retno Ambar Danastri</t>
  </si>
  <si>
    <t>Ikhsan Thohiron</t>
  </si>
  <si>
    <t>Nur Wahdaniah Ijatul Islamiah</t>
  </si>
  <si>
    <t>Muhamad Hidayatullah Surya Saputra</t>
  </si>
  <si>
    <t>Thalia Diva Prameswari</t>
  </si>
  <si>
    <t>082190872347</t>
  </si>
  <si>
    <t>088239066851</t>
  </si>
  <si>
    <t>087869804691</t>
  </si>
  <si>
    <t>081381579013</t>
  </si>
  <si>
    <t>081351331942</t>
  </si>
  <si>
    <t>081228289431</t>
  </si>
  <si>
    <t>085283443448</t>
  </si>
  <si>
    <t>087886414919</t>
  </si>
  <si>
    <t>085329943335</t>
  </si>
  <si>
    <t>https://docs.google.com/spreadsheets/d/19a6MLDT0T9oizOnHoKcL7zlSLysVXV1SXIb-xwMsOyA/edit?usp=sharing</t>
  </si>
  <si>
    <t>VI.B.3</t>
  </si>
  <si>
    <t>ATANASIA REFA AYU PRIMADEWI</t>
  </si>
  <si>
    <t>HILMY HARTONO</t>
  </si>
  <si>
    <t>Delisa Diya Ayuning Putri</t>
  </si>
  <si>
    <t>Dian Lestari</t>
  </si>
  <si>
    <t>Rahmitha Azzahra Rangkuti</t>
  </si>
  <si>
    <t>Af Syifaul Falah</t>
  </si>
  <si>
    <t>Rivaldo Azhari</t>
  </si>
  <si>
    <t>Annisa Putri Nurfathonah</t>
  </si>
  <si>
    <t>Aisyah Puteri Abi Abdillah</t>
  </si>
  <si>
    <t>089652928064</t>
  </si>
  <si>
    <t>082136121552</t>
  </si>
  <si>
    <t>082243977676</t>
  </si>
  <si>
    <t>082289073332</t>
  </si>
  <si>
    <t>082255920376</t>
  </si>
  <si>
    <t>082225031407</t>
  </si>
  <si>
    <t>082134512531</t>
  </si>
  <si>
    <t>=+62 821-3795-7826</t>
  </si>
  <si>
    <t>089649072242</t>
  </si>
  <si>
    <t>https://docs.google.com/spreadsheets/d/1FCH0JLE4hJN_l0EMQoAl9dOslphzN8kKiPd0hrl6QhQ/edit?usp=sharing</t>
  </si>
  <si>
    <t>VI.C.1</t>
  </si>
  <si>
    <t>Sulistyawati S.Si., M.PH.,Ph.D</t>
  </si>
  <si>
    <t>RW 8, Tegal Panggung, Danurejan</t>
  </si>
  <si>
    <t>DYAH PUTRI SEKAR UTAMI</t>
  </si>
  <si>
    <t>Ashan Hayisalaeh</t>
  </si>
  <si>
    <t>ARI SAPUTRA</t>
  </si>
  <si>
    <t>Vinita Nurfauzia</t>
  </si>
  <si>
    <t>Rhama Dean Fitrasyah</t>
  </si>
  <si>
    <t>Yenny Sardi</t>
  </si>
  <si>
    <t>Saesari Salekhah Nur Widyani</t>
  </si>
  <si>
    <t>Selma Nissa Budi Iftiyastuti</t>
  </si>
  <si>
    <t>Rifna Dwi Stefani</t>
  </si>
  <si>
    <t>085244254159</t>
  </si>
  <si>
    <t>08891766247</t>
  </si>
  <si>
    <t>082223096556</t>
  </si>
  <si>
    <t>081248302259</t>
  </si>
  <si>
    <t>085161463073</t>
  </si>
  <si>
    <t>085392189647</t>
  </si>
  <si>
    <t>082138843211</t>
  </si>
  <si>
    <t>081226360843</t>
  </si>
  <si>
    <t>089653529817</t>
  </si>
  <si>
    <t>https://docs.google.com/spreadsheets/d/1rYE-oC22CjOtY3jfJIWxa7YKek6EXugqoq3cWQCzCyg/edit?usp=sharing</t>
  </si>
  <si>
    <t>VI.C.2</t>
  </si>
  <si>
    <t>RW 7, Tegal Panggung, Danurejan</t>
  </si>
  <si>
    <t>OLANSYAH PUTRA</t>
  </si>
  <si>
    <t>Annisa Septiani</t>
  </si>
  <si>
    <t>Juliana Santoso</t>
  </si>
  <si>
    <t>Nurul Fatimah</t>
  </si>
  <si>
    <t>Argita Pramwesti Indira Cahya Risti</t>
  </si>
  <si>
    <t>Dony Arizamri</t>
  </si>
  <si>
    <t>Mukhlisatinnisa Amalia</t>
  </si>
  <si>
    <t>Hafiz Attha Muhanna</t>
  </si>
  <si>
    <t>Fatasya Syifa Salsabila</t>
  </si>
  <si>
    <t>082332881920</t>
  </si>
  <si>
    <t>085540306782</t>
  </si>
  <si>
    <t>083816789652</t>
  </si>
  <si>
    <t>082133294193</t>
  </si>
  <si>
    <t>087834295636</t>
  </si>
  <si>
    <t>087864458182</t>
  </si>
  <si>
    <t>087899220638</t>
  </si>
  <si>
    <t>085211736474</t>
  </si>
  <si>
    <t>082243888815</t>
  </si>
  <si>
    <t>https://docs.google.com/spreadsheets/d/1u7ZIaYWGVHH2cPOgN_F_C7OBcFxMFn74Mo5fl3kM_90/edit?usp=sharing</t>
  </si>
  <si>
    <t>VI.C.3</t>
  </si>
  <si>
    <t>RW 11, Tegal Panggung, Danurejan</t>
  </si>
  <si>
    <t>CITRASARI</t>
  </si>
  <si>
    <t>FAWWAZ NABIL KHRISYANA</t>
  </si>
  <si>
    <t>Farida Maulana Dewi</t>
  </si>
  <si>
    <t>Della Yoga Puspita</t>
  </si>
  <si>
    <t>Azizah Sholihatunnisa</t>
  </si>
  <si>
    <t>Nathan Aulia Diesmara Putera</t>
  </si>
  <si>
    <t>Umi Rahmawati</t>
  </si>
  <si>
    <t>Pramujito</t>
  </si>
  <si>
    <t>Salsa Bila Safira Putri</t>
  </si>
  <si>
    <t>Ilmu Hadits</t>
  </si>
  <si>
    <t>081336144511</t>
  </si>
  <si>
    <t>085894769140</t>
  </si>
  <si>
    <t>085877078700</t>
  </si>
  <si>
    <t>082173083820</t>
  </si>
  <si>
    <t>085156066407</t>
  </si>
  <si>
    <t>085156104380</t>
  </si>
  <si>
    <t>082329506578</t>
  </si>
  <si>
    <t>081328998443</t>
  </si>
  <si>
    <t>087838386326</t>
  </si>
  <si>
    <t>https://docs.google.com/spreadsheets/d/1JCBJ85vRz7dN4Gd7Fk9fUV2BLUA4_5mtokNwPYUDdvM/edit?usp=sharing</t>
  </si>
  <si>
    <t>VI.D.1</t>
  </si>
  <si>
    <t>Dr. apt. Nina Salamah, M.Sc</t>
  </si>
  <si>
    <t>RW 11, Suryatmajan, Danurejan</t>
  </si>
  <si>
    <t>KIKI ADICAHYA ARAS</t>
  </si>
  <si>
    <t>Yunike Maulia</t>
  </si>
  <si>
    <t>Nada Hesa Indriani</t>
  </si>
  <si>
    <t>Salma Sulistyaningtyas</t>
  </si>
  <si>
    <t>Aprilia Ayu Anggraini</t>
  </si>
  <si>
    <t>Alfian Ramadhan</t>
  </si>
  <si>
    <t>Dias Syahrul Riyadi</t>
  </si>
  <si>
    <t>Arum Sulistyowati</t>
  </si>
  <si>
    <t>Fathya Nur 'aini Noviastari</t>
  </si>
  <si>
    <t>082291999949</t>
  </si>
  <si>
    <t>082269211005</t>
  </si>
  <si>
    <t>085869049546</t>
  </si>
  <si>
    <t>085786579031</t>
  </si>
  <si>
    <t>=+6282351002283</t>
  </si>
  <si>
    <t>0895412932272</t>
  </si>
  <si>
    <t>081390120912</t>
  </si>
  <si>
    <t>083852674798</t>
  </si>
  <si>
    <t>089601995065</t>
  </si>
  <si>
    <t>https://docs.google.com/spreadsheets/d/1FD8pRTy-wVfTl4a0c52WQU9JKQyBqurQpFqpDWKegFM/edit?usp=sharing</t>
  </si>
  <si>
    <t>VI.D.2</t>
  </si>
  <si>
    <t>RW 15, Suryatmajan, Danurejan</t>
  </si>
  <si>
    <t>Viora Rosa Vira</t>
  </si>
  <si>
    <t>Yova Tri Lestari</t>
  </si>
  <si>
    <t>Audina Risana Dewi</t>
  </si>
  <si>
    <t>Fan Yoas Naurito Canfeho</t>
  </si>
  <si>
    <t>Rizka Nur Amalina</t>
  </si>
  <si>
    <t>Zaim Ukhrawi</t>
  </si>
  <si>
    <t>Arif Wicaksono Prasetyo</t>
  </si>
  <si>
    <t>Dina Rosa</t>
  </si>
  <si>
    <t>Nurul Haq Ode Sami</t>
  </si>
  <si>
    <t>085713901225</t>
  </si>
  <si>
    <t>0895422491183</t>
  </si>
  <si>
    <t>081250282001</t>
  </si>
  <si>
    <t>081216069908</t>
  </si>
  <si>
    <t>085866145688</t>
  </si>
  <si>
    <t>081382646922</t>
  </si>
  <si>
    <t>08816769118</t>
  </si>
  <si>
    <t>083175802088</t>
  </si>
  <si>
    <t>081343701309</t>
  </si>
  <si>
    <t>https://docs.google.com/spreadsheets/d/1vCbdjifXhMV_SAE5SqVRLiOBK1H_iuEQdXcFTsRahwo/edit?usp=sharing</t>
  </si>
  <si>
    <t>VII.A.1</t>
  </si>
  <si>
    <t>Okimustava S.Pd., M.Pd.Si.</t>
  </si>
  <si>
    <t>RW 2, Sorosutan, Umbulharjo</t>
  </si>
  <si>
    <t>INDI SAPUTRI MADE</t>
  </si>
  <si>
    <t>Abdurrahman Wahid</t>
  </si>
  <si>
    <t>Hilma Mufidah</t>
  </si>
  <si>
    <t>Tina Juniarta</t>
  </si>
  <si>
    <t>Syauqi Rayhan Abqori</t>
  </si>
  <si>
    <t>Oktavia Eka Saputri</t>
  </si>
  <si>
    <t>Ita Rosyada</t>
  </si>
  <si>
    <t>Reza Wahyu Dwi Ardiansah</t>
  </si>
  <si>
    <t>Nurul Aqidatul Khairina</t>
  </si>
  <si>
    <t>082145988015</t>
  </si>
  <si>
    <t>083813501929</t>
  </si>
  <si>
    <t>085725654220</t>
  </si>
  <si>
    <t>082350917091</t>
  </si>
  <si>
    <t>082137296274</t>
  </si>
  <si>
    <t>083836999388</t>
  </si>
  <si>
    <t>089616896640</t>
  </si>
  <si>
    <t>087733882144</t>
  </si>
  <si>
    <t>089635150245</t>
  </si>
  <si>
    <t>https://docs.google.com/spreadsheets/d/1dTWuN_rPXGLchtRguFxrOm5xqzZmFNiucEOr3YFDaRs/edit?usp=sharing</t>
  </si>
  <si>
    <t>VII.A.2</t>
  </si>
  <si>
    <t>RW 3, Sorosutan, Umbulharjo</t>
  </si>
  <si>
    <t>WEGIG KRISWANTORO</t>
  </si>
  <si>
    <t>Prasasti Pribaditha Rengganis</t>
  </si>
  <si>
    <t>ZULFAN ALDI IRAWAN</t>
  </si>
  <si>
    <t>Fadilah Indriani</t>
  </si>
  <si>
    <t>Zulfakah Indah Iswari</t>
  </si>
  <si>
    <t>Anuri Choerun Nisa</t>
  </si>
  <si>
    <t>Hisyam Talmulloh</t>
  </si>
  <si>
    <t>Tritiyo Sari</t>
  </si>
  <si>
    <t>Jasmine Hanifa</t>
  </si>
  <si>
    <t>088228794326</t>
  </si>
  <si>
    <t>085878097902</t>
  </si>
  <si>
    <t>085640904023</t>
  </si>
  <si>
    <t>081329031426</t>
  </si>
  <si>
    <t>081385711575</t>
  </si>
  <si>
    <t>082137907936</t>
  </si>
  <si>
    <t>081336715512</t>
  </si>
  <si>
    <t>0895411153966</t>
  </si>
  <si>
    <t>081779558269</t>
  </si>
  <si>
    <t>https://docs.google.com/spreadsheets/d/1SSPdi8fxUbr0OEnvMmcK7DpzlliSAFr09xptCauk0iY/edit?usp=sharing</t>
  </si>
  <si>
    <t>VII.A.3</t>
  </si>
  <si>
    <t>RW 8, Sorosutan, Umbulharjo</t>
  </si>
  <si>
    <t>HARI SETYAWAN</t>
  </si>
  <si>
    <t>ANDREI PHAMUJI</t>
  </si>
  <si>
    <t>Qhoirunnisa Lasulika</t>
  </si>
  <si>
    <t>FACHRIN NAUFAL</t>
  </si>
  <si>
    <t>Rena Nuryanah</t>
  </si>
  <si>
    <t>Nurul Asyifa</t>
  </si>
  <si>
    <t>Nabilla Rana Dermawan</t>
  </si>
  <si>
    <t>Erfriana Hastin Amalia Putri</t>
  </si>
  <si>
    <t>Syauqi Arsal Wisam</t>
  </si>
  <si>
    <t>085879199609</t>
  </si>
  <si>
    <t>08989030177</t>
  </si>
  <si>
    <t>081283796917</t>
  </si>
  <si>
    <t>089643224120</t>
  </si>
  <si>
    <t>081322006369</t>
  </si>
  <si>
    <t>0895364467179</t>
  </si>
  <si>
    <t>085712390522</t>
  </si>
  <si>
    <t>083836636281</t>
  </si>
  <si>
    <t>0895414136336</t>
  </si>
  <si>
    <t>https://docs.google.com/spreadsheets/d/1SFRqnqu-IIJQSxnEIhELKQyf3Iq3elYSOWiTz3lxelQ/edit?usp=sharing</t>
  </si>
  <si>
    <t>VII.B.1</t>
  </si>
  <si>
    <t>Lolita S.Far., M.Sc., Apt.</t>
  </si>
  <si>
    <t>RW 10, Sorosutan, Umbulharjo</t>
  </si>
  <si>
    <t>HABIB AHMAD SYAHRI</t>
  </si>
  <si>
    <t>Ika Sigesti Sinayang</t>
  </si>
  <si>
    <t>Shobirotun Ainun Mardiyah</t>
  </si>
  <si>
    <t>Riska Alfina Yulianti</t>
  </si>
  <si>
    <t>Eva Nurdiana Rahmadanti</t>
  </si>
  <si>
    <t>Dinda Khusnul Mayndriyanto</t>
  </si>
  <si>
    <t>Yasmin Syarifah Al-husna</t>
  </si>
  <si>
    <t>Hendri Wahyudi</t>
  </si>
  <si>
    <t>Saputra Bahrul Ilmi</t>
  </si>
  <si>
    <t>08813886386</t>
  </si>
  <si>
    <t>088232776370</t>
  </si>
  <si>
    <t>082377984269</t>
  </si>
  <si>
    <t>089674575067</t>
  </si>
  <si>
    <t>082335773942</t>
  </si>
  <si>
    <t>085806937390</t>
  </si>
  <si>
    <t>081219592279</t>
  </si>
  <si>
    <t>0895380081525</t>
  </si>
  <si>
    <t>085801163894</t>
  </si>
  <si>
    <t>https://docs.google.com/spreadsheets/d/1RaBb4CQNYNCR44ydY7G-u6f9xYWCHOZ3o4MQK2PzfMo/edit?usp=sharing</t>
  </si>
  <si>
    <t>VII.B.2</t>
  </si>
  <si>
    <t>RW 13, Sorosutan, Umbulharjo</t>
  </si>
  <si>
    <t>RISTIAN DAEGAL FASHOLLI</t>
  </si>
  <si>
    <t>CHAESAR MAHBUBI</t>
  </si>
  <si>
    <t>Cindhy Pramudya Wardhani</t>
  </si>
  <si>
    <t>Fitriana Margianti</t>
  </si>
  <si>
    <t>Tharra Tsaniya Haya</t>
  </si>
  <si>
    <t>Ambar Wati Ningsih</t>
  </si>
  <si>
    <t>Muhammad Fadhil Ichsani</t>
  </si>
  <si>
    <t>Putri Faizatus Sholihah Nur Azizah</t>
  </si>
  <si>
    <t>Uly Nuha Aisyah</t>
  </si>
  <si>
    <t>089668921046</t>
  </si>
  <si>
    <t>082340875199</t>
  </si>
  <si>
    <t>089523374100</t>
  </si>
  <si>
    <t>0881022167767</t>
  </si>
  <si>
    <t>081345999459</t>
  </si>
  <si>
    <t>082371153027</t>
  </si>
  <si>
    <t>087886549522</t>
  </si>
  <si>
    <t>085786560357</t>
  </si>
  <si>
    <t>089671716440</t>
  </si>
  <si>
    <t>https://docs.google.com/spreadsheets/d/1dfq-4mbH5Fxmq3qOJuQemQIfGGu0vhueCzCPUHM4N2Y/edit?usp=sharing</t>
  </si>
  <si>
    <t>VII.B.3</t>
  </si>
  <si>
    <t>RW 15, Sorosutan, Umbulharjo</t>
  </si>
  <si>
    <t>DIVA PRADITYA</t>
  </si>
  <si>
    <t>RAIH PURNAMA PRANATA</t>
  </si>
  <si>
    <t>M Sandi Saputra</t>
  </si>
  <si>
    <t>Adinda Prabantari</t>
  </si>
  <si>
    <t>Zahroh Qurrota A'yun</t>
  </si>
  <si>
    <t>Debilla Fresya Yolanda</t>
  </si>
  <si>
    <t>Muhammad Fanny Andreawan</t>
  </si>
  <si>
    <t>Bunga Luthfi Hamidah</t>
  </si>
  <si>
    <t>Santi Mahmuda Urbaningkrum</t>
  </si>
  <si>
    <t>0878384056565</t>
  </si>
  <si>
    <t>085238608172</t>
  </si>
  <si>
    <t>081318725728</t>
  </si>
  <si>
    <t>081227670702</t>
  </si>
  <si>
    <t>087810104686</t>
  </si>
  <si>
    <t>082214048094</t>
  </si>
  <si>
    <t>081226877495</t>
  </si>
  <si>
    <t>088232847886</t>
  </si>
  <si>
    <t>082256252181</t>
  </si>
  <si>
    <t>https://docs.google.com/spreadsheets/d/1fVfSMimdy8MezBZ50Zhmr4f0zSBYX83QLeZsMK4qqq4/edit?usp=sharing</t>
  </si>
  <si>
    <t>VII.C.1</t>
  </si>
  <si>
    <t>Ali Tarmuji S.T. M.Cs.</t>
  </si>
  <si>
    <t>RW 17, Sorosutan, Umbulharjo</t>
  </si>
  <si>
    <t>Nur Ainun Nisa</t>
  </si>
  <si>
    <t>Dayinta Octavia</t>
  </si>
  <si>
    <t>JANITRA SAKTIGAMAWIJAYA</t>
  </si>
  <si>
    <t>Rina Alintiya Fadhila</t>
  </si>
  <si>
    <t>Asri Wijayanti</t>
  </si>
  <si>
    <t>Muhammad Fadhil Hasbi</t>
  </si>
  <si>
    <t>Asih Kartika Putri</t>
  </si>
  <si>
    <t>Redho Aldianto</t>
  </si>
  <si>
    <t>Endang Yuliana</t>
  </si>
  <si>
    <t>082211685642</t>
  </si>
  <si>
    <t>087887672144</t>
  </si>
  <si>
    <t>082269274096</t>
  </si>
  <si>
    <t>088216491632</t>
  </si>
  <si>
    <t>081380434720</t>
  </si>
  <si>
    <t>081248941409</t>
  </si>
  <si>
    <t>082250127064</t>
  </si>
  <si>
    <t>082177400594</t>
  </si>
  <si>
    <t>081228035704</t>
  </si>
  <si>
    <t>https://docs.google.com/spreadsheets/d/1iamB5AEKX-uFeL_eQkPQFvZQo32l5qdvQo6UhMAbPLs/edit?usp=sharing</t>
  </si>
  <si>
    <t>VII.C.2</t>
  </si>
  <si>
    <t>RW 16, Sorosutan, Umbulharjo</t>
  </si>
  <si>
    <t>MISBAHUL MUNIR</t>
  </si>
  <si>
    <t>Syaikah Aslam Bawana Apta</t>
  </si>
  <si>
    <t>Annisa Ramadhanti</t>
  </si>
  <si>
    <t>Aqiella Hafizha</t>
  </si>
  <si>
    <t>Ajeng Kartika Shela Sari</t>
  </si>
  <si>
    <t>Baiq Ananda Putri</t>
  </si>
  <si>
    <t>Desy Ramadinah</t>
  </si>
  <si>
    <t>Clearardo Grayson Giantambrani</t>
  </si>
  <si>
    <t>Viki Fadhilah</t>
  </si>
  <si>
    <t>085848606299</t>
  </si>
  <si>
    <t>082183195817</t>
  </si>
  <si>
    <t>081215948459</t>
  </si>
  <si>
    <t>081382865597</t>
  </si>
  <si>
    <t>081325686040</t>
  </si>
  <si>
    <t>087874252939</t>
  </si>
  <si>
    <t>085156254488</t>
  </si>
  <si>
    <t>082133655182</t>
  </si>
  <si>
    <t>081946836039</t>
  </si>
  <si>
    <t>https://docs.google.com/spreadsheets/d/1Vj_ryLS_dMm6ONo4zmHjDbdOz1S4-zzbqk3W07-ISiw/edit?usp=sharing</t>
  </si>
  <si>
    <t>VII.C.3</t>
  </si>
  <si>
    <t>RW 18, Sorosutan, Umbulharjo</t>
  </si>
  <si>
    <t>FADCHURROZI ALHASYARI</t>
  </si>
  <si>
    <t>IRFANA SAKTYA WIDYASTAMA</t>
  </si>
  <si>
    <t>Lintang Ramadhan Pinanggih</t>
  </si>
  <si>
    <t>Anizya Rizky Putri</t>
  </si>
  <si>
    <t>Yanis Aptasya Mukarromah</t>
  </si>
  <si>
    <t>Devy Riyanti Adi Wijaya</t>
  </si>
  <si>
    <t>Fadinah</t>
  </si>
  <si>
    <t>Niken Ayu Hestina</t>
  </si>
  <si>
    <t>Feti Fatimah</t>
  </si>
  <si>
    <t>085333137971</t>
  </si>
  <si>
    <t>082241322409</t>
  </si>
  <si>
    <t>082141699998</t>
  </si>
  <si>
    <t>08812612743</t>
  </si>
  <si>
    <t>08997684514</t>
  </si>
  <si>
    <t>088218050651</t>
  </si>
  <si>
    <t>082341479063</t>
  </si>
  <si>
    <t>089644752186</t>
  </si>
  <si>
    <t>085647300762</t>
  </si>
  <si>
    <t>https://docs.google.com/spreadsheets/d/12X9JD-AWbBkuWWezs5j-Wr8Pph2PVYUpR6vj5PVmvBw/edit?usp=sharing</t>
  </si>
  <si>
    <t>VII.D.1</t>
  </si>
  <si>
    <t>Aprilia Kusbandari M.Sc., Apt.</t>
  </si>
  <si>
    <t>RW 5, Sorosutan, Umbulharjo</t>
  </si>
  <si>
    <t>SILFIA ROSITA</t>
  </si>
  <si>
    <t>AIDIL SYAM</t>
  </si>
  <si>
    <t>Abubakar Siddik</t>
  </si>
  <si>
    <t>Ayu Wahyuni</t>
  </si>
  <si>
    <t>Norsalsa Bela</t>
  </si>
  <si>
    <t>Adela Nurmala Dewi</t>
  </si>
  <si>
    <t>Maya Icha Gayatri</t>
  </si>
  <si>
    <t>Candra Kirana</t>
  </si>
  <si>
    <t>Anggit Reza Pahlevi Ajmal Tsani</t>
  </si>
  <si>
    <t>081297758335</t>
  </si>
  <si>
    <t>085299306349</t>
  </si>
  <si>
    <t>082134175099</t>
  </si>
  <si>
    <t>081326778078</t>
  </si>
  <si>
    <t>085249780402</t>
  </si>
  <si>
    <t>089612239956</t>
  </si>
  <si>
    <t>0859148526835</t>
  </si>
  <si>
    <t>082241619892</t>
  </si>
  <si>
    <t>087846690471</t>
  </si>
  <si>
    <t>https://docs.google.com/spreadsheets/d/1gZ5dijV7J-SO8JaIDXQwuhoyxd7N0m6xVceIV7hOjaM/edit?usp=sharing</t>
  </si>
  <si>
    <t>VII.D.2</t>
  </si>
  <si>
    <t>RW 6, Sorosutan, Umbulharjo</t>
  </si>
  <si>
    <t>Diky Nugraha Difiera</t>
  </si>
  <si>
    <t>ADWIN PANGGAH YULIANTO</t>
  </si>
  <si>
    <t>Putri Fitriyah Ariel</t>
  </si>
  <si>
    <t>Siti Alfiaturrohmah</t>
  </si>
  <si>
    <t>Julanda Eka Putri</t>
  </si>
  <si>
    <t>Rizki Amalia</t>
  </si>
  <si>
    <t>Risqina Putri Nurhidayati</t>
  </si>
  <si>
    <t>Fakhri Zainulabiddin</t>
  </si>
  <si>
    <t>Aat Heffi Muslikhah</t>
  </si>
  <si>
    <t>08977901651</t>
  </si>
  <si>
    <t>085691261479</t>
  </si>
  <si>
    <t>081239110267</t>
  </si>
  <si>
    <t>081336486306</t>
  </si>
  <si>
    <t>085155051170</t>
  </si>
  <si>
    <t>085218573371/ wa:082349657563</t>
  </si>
  <si>
    <t>085267250398</t>
  </si>
  <si>
    <t>089618384120</t>
  </si>
  <si>
    <t>085540301876</t>
  </si>
  <si>
    <t>https://docs.google.com/spreadsheets/d/1gjoMZKes_NIT0Xon1vRxWAZO0LhcD9CcQXbzW16c-Yc/edit?usp=sharing</t>
  </si>
  <si>
    <t>Alternatif Periode ke-85</t>
  </si>
  <si>
    <t>Ahmad Ahid Mudayana, S.KM., M.P.H.</t>
  </si>
  <si>
    <t>Kantor PCM Jetis, Jetis</t>
  </si>
  <si>
    <t>Ardhita Wijang Pambudi</t>
  </si>
  <si>
    <t>Ita Novita Sari</t>
  </si>
  <si>
    <t>Deni Yuanda</t>
  </si>
  <si>
    <t>Irhamna Atqiya Ma'arif</t>
  </si>
  <si>
    <t>Muhammad Zakariya Abdullah</t>
  </si>
  <si>
    <t>Nurul Anjani</t>
  </si>
  <si>
    <t>Yuni Tri Widya Ningrum</t>
  </si>
  <si>
    <t>https://docs.google.com/spreadsheets/d/1eP_V33bTaEt96MDDOYovz_xGRcB2FhnyT9VHLyrzB00/edit?usp=sharing</t>
  </si>
  <si>
    <t>Kantor PCM Pakualaman, Pakualaman</t>
  </si>
  <si>
    <t>Ayu Pratiwi</t>
  </si>
  <si>
    <t>Muhammad Royan Firdaus</t>
  </si>
  <si>
    <t>Daniel Huda</t>
  </si>
  <si>
    <t>Freda Adila Refarma</t>
  </si>
  <si>
    <t>Khansa Ativa</t>
  </si>
  <si>
    <t>Deden Suryana</t>
  </si>
  <si>
    <t>Estia Rizky Amalia Putri</t>
  </si>
  <si>
    <t>Pendidikan Vokasional Teknologi Otomotif</t>
  </si>
  <si>
    <t>https://docs.google.com/spreadsheets/d/12mXedY5z58KXdD4H8WotwgFYFQqYtwnjc-mHiLSzOTE/edit?usp=sharing</t>
  </si>
  <si>
    <t>Reguler Periode ke-101</t>
  </si>
  <si>
    <t>Budi Barata Kusuma Utami, S.E., M.Sc.</t>
  </si>
  <si>
    <t>Klisat, Tambakrejo, Pacitan</t>
  </si>
  <si>
    <t>Pacitan</t>
  </si>
  <si>
    <t>YOGITA HALIM</t>
  </si>
  <si>
    <t>Naufal Yusran</t>
  </si>
  <si>
    <t>Puji Tri Lestari</t>
  </si>
  <si>
    <t>Sonya Mellin Agustine</t>
  </si>
  <si>
    <t>Dwipa Prasetyo Priyoko</t>
  </si>
  <si>
    <t>Ulfah Risdiyanti</t>
  </si>
  <si>
    <t>Ulul Zidan Hidayatullah</t>
  </si>
  <si>
    <t>Anida Diana Hasni</t>
  </si>
  <si>
    <t>Muhamad Fikri Ali</t>
  </si>
  <si>
    <t>0882 25243926</t>
  </si>
  <si>
    <t>https://drive.google.com/open?id=1GVr-0M9hcU_79EyI5DswcnDGE_b9NdSwX6WI63ieBLk&amp;usp=drive_copy</t>
  </si>
  <si>
    <t>Kwaron, Tambakrejo, Pacitan</t>
  </si>
  <si>
    <t>Ahsanul Fikri</t>
  </si>
  <si>
    <t>Noviana Dwi Rahmadani</t>
  </si>
  <si>
    <t>Dinda Ardhia Pramesti</t>
  </si>
  <si>
    <t>M Yahya Firza Afitian</t>
  </si>
  <si>
    <t>Tasya Dima Tauri</t>
  </si>
  <si>
    <t>Arya Guna Ramadhan</t>
  </si>
  <si>
    <t>Debry Ifawati Mulyana Putri</t>
  </si>
  <si>
    <t>Ismawati Kurniasari</t>
  </si>
  <si>
    <t>Andika Saputra</t>
  </si>
  <si>
    <t>085742224277?</t>
  </si>
  <si>
    <t>https://drive.google.com/open?id=14PHFYBfwNIyFEI70LXz85hCHJNCd_-E4JiEYLXljb4U&amp;usp=drive_copy</t>
  </si>
  <si>
    <t>Tambaan, Tambakrejo, Pacitan</t>
  </si>
  <si>
    <t>NURUL RAMADANISA</t>
  </si>
  <si>
    <t>Muhammad Fatizaki Akmal</t>
  </si>
  <si>
    <t>Bela Kusuma Putri</t>
  </si>
  <si>
    <t>Salwana Rasyid</t>
  </si>
  <si>
    <t>Imas Abu Yazid</t>
  </si>
  <si>
    <t>Qurrotul A'yunina</t>
  </si>
  <si>
    <t>Muhammad Faiq Hidayat</t>
  </si>
  <si>
    <t>Putri Damaiyanti</t>
  </si>
  <si>
    <t>Rifki Maulana</t>
  </si>
  <si>
    <t>https://drive.google.com/open?id=14pItguOYIocttyz_yNgnWkgesemJTUOAstLF0YQIWsE&amp;usp=drive_copy</t>
  </si>
  <si>
    <t>Dr. Ema Nurmaya, S.E., M.M.</t>
  </si>
  <si>
    <t>Padangan, Banjarsari, Pacitan</t>
  </si>
  <si>
    <t>Sohibul Fafa Tajul Arifin</t>
  </si>
  <si>
    <t>Nurulwafa Amelia Salsabilla</t>
  </si>
  <si>
    <t>Putri Ajeng Murnilawati</t>
  </si>
  <si>
    <t>Galang Suryaputra</t>
  </si>
  <si>
    <t>Alieffia Cantika Putri</t>
  </si>
  <si>
    <t>M.kahfi Al Ayubi</t>
  </si>
  <si>
    <t>Lutfia Mauliddaturahma</t>
  </si>
  <si>
    <t>Vella Arna Septiana</t>
  </si>
  <si>
    <t>Doni Yuliantoro</t>
  </si>
  <si>
    <t>081246454717(wa) 082137206858(tlp)</t>
  </si>
  <si>
    <t>https://drive.google.com/open?id=16fLehssuVd-GMaM2DSjtd_PrXcBpzKOHjOJ7Iin75KU&amp;usp=drive_copy</t>
  </si>
  <si>
    <t>Karang asri, Banjarsari, Pacitan</t>
  </si>
  <si>
    <t>Sholly Setya Bimantara</t>
  </si>
  <si>
    <t>Khonsa Nur Arsetya</t>
  </si>
  <si>
    <t>Syahadah Al Ahnaf</t>
  </si>
  <si>
    <t>Salsabila Ika Yani</t>
  </si>
  <si>
    <t>Ridhorrohim Daulay</t>
  </si>
  <si>
    <t>Ardan Kensanovanto</t>
  </si>
  <si>
    <t>Tyara Dian Amelia</t>
  </si>
  <si>
    <t>Anamalia Safira</t>
  </si>
  <si>
    <t>Muhammad Dika Saputra</t>
  </si>
  <si>
    <t>https://drive.google.com/open?id=18Zb6D4T3btM3qXlej17u7QtC9wK0j_qI_oXj57HwkKs&amp;usp=drive_copy</t>
  </si>
  <si>
    <t>Krajan, Banjarsari, Pacitan</t>
  </si>
  <si>
    <t>Muh. Ghulam Ghufron Abqa</t>
  </si>
  <si>
    <t>Rizky Intan Khoirunissa</t>
  </si>
  <si>
    <t>Natasya Rahmadila</t>
  </si>
  <si>
    <t>Anggi Isna Khoirinnisa</t>
  </si>
  <si>
    <t>Zulhan Ristantyo</t>
  </si>
  <si>
    <t>Fauzan Hafidz Santoso</t>
  </si>
  <si>
    <t>Alfina Dwi Murastuti</t>
  </si>
  <si>
    <t>Havea Zalshabila Moury</t>
  </si>
  <si>
    <t>Achmad Nurhardiansyah</t>
  </si>
  <si>
    <t>https://drive.google.com/open?id=1AI4iToPwSivpbJH_c1PI5SJZNZWkGtv0aSxNtZ098W4&amp;usp=drive_copy</t>
  </si>
  <si>
    <t>Demeling, Purworejo, Pacitan</t>
  </si>
  <si>
    <t>Zildjian Arsy Hidayat</t>
  </si>
  <si>
    <t>Diajeng Agus Tirani</t>
  </si>
  <si>
    <t>Rizky Putri Ananda</t>
  </si>
  <si>
    <t>Zulfa Rifandi Ade Saputra</t>
  </si>
  <si>
    <t>Ferry Apriyansyah</t>
  </si>
  <si>
    <t>Sinta Ameliya</t>
  </si>
  <si>
    <t>Gusti Ayu Ardia Regita Pramesti</t>
  </si>
  <si>
    <t>Ivanovic Maullana Mustofa</t>
  </si>
  <si>
    <t>Salma Ramawati</t>
  </si>
  <si>
    <t>https://drive.google.com/open?id=1H_gw3ELahMZC8ASucf06ahSp52mLRSeuzs9WqLHuA2U&amp;usp=drive_copy</t>
  </si>
  <si>
    <t>Jati, Purworejo, Pacitan</t>
  </si>
  <si>
    <t>M. Taufi Qurohman</t>
  </si>
  <si>
    <t>Whindy Ardhelyna Pasha</t>
  </si>
  <si>
    <t>Danica Galuh Wulandari</t>
  </si>
  <si>
    <t>Rama Wijaya</t>
  </si>
  <si>
    <t>Diah Permata Ningtias</t>
  </si>
  <si>
    <t>Arsyada Auliya Rahman</t>
  </si>
  <si>
    <t>Cendikia Brilianvi Sekar Taji</t>
  </si>
  <si>
    <t>Wenni Prihatini</t>
  </si>
  <si>
    <t>M.dzyaul Aulia</t>
  </si>
  <si>
    <t>https://drive.google.com/open?id=1HbDkQWBTrC4m6BP6mGZnpISwcXxH7rlaAYE9YshF_II&amp;usp=drive_copy</t>
  </si>
  <si>
    <t>Krajan, Purworejo, Pacitan</t>
  </si>
  <si>
    <t>Adi Imam Rizki</t>
  </si>
  <si>
    <t>Roro Ayu Putri Asdiyanti</t>
  </si>
  <si>
    <t>Nur Fauziani Zahra</t>
  </si>
  <si>
    <t>Lariri Delvi Windasa</t>
  </si>
  <si>
    <t>Resa Kurniawan</t>
  </si>
  <si>
    <t>Irfansyah Suyitno</t>
  </si>
  <si>
    <t>Riska Tania Rahmani Putri</t>
  </si>
  <si>
    <t>Viori Wahidpa Maulina</t>
  </si>
  <si>
    <t>Ahmad Mufardis Ulami</t>
  </si>
  <si>
    <t>https://drive.google.com/open?id=1KYugIwwEiOvYOpyPHcB98jKH13KQMTPamOpYz7YkUiE&amp;usp=drive_copy</t>
  </si>
  <si>
    <t>Ana Hidayati, S.Far., M.Sc.,Apt.</t>
  </si>
  <si>
    <t>Kedawung, Mentoro, Pacitan</t>
  </si>
  <si>
    <t>Pulung Surya Wardhana</t>
  </si>
  <si>
    <t>Rita Ihmawa Husna</t>
  </si>
  <si>
    <t>Riska Setianingsih</t>
  </si>
  <si>
    <t>Rayyan Hartawan</t>
  </si>
  <si>
    <t>Armi Nuriyanti</t>
  </si>
  <si>
    <t>Muliaty Pentagoni Ipur</t>
  </si>
  <si>
    <t>Fanani Hidayatulloh</t>
  </si>
  <si>
    <t>Alya Putri Rahmadhani</t>
  </si>
  <si>
    <t>Mara Ganti Nasution</t>
  </si>
  <si>
    <t>https://drive.google.com/open?id=1NvyKEQQLihaYxVjpQNCskWiifuJhyRv3QMxhWIGQhFs&amp;usp=drive_copy</t>
  </si>
  <si>
    <t>Duduhan, Mentoro, Pacitan</t>
  </si>
  <si>
    <t>Albays Aptuta'arim Wahid</t>
  </si>
  <si>
    <t>Nurfani</t>
  </si>
  <si>
    <t>Zuniar Tri Winda</t>
  </si>
  <si>
    <t>Yazied Pranajaya Rezqyta</t>
  </si>
  <si>
    <t>Zey Fathurrazi Harahap</t>
  </si>
  <si>
    <t>Risma Puspita Anggraeni</t>
  </si>
  <si>
    <t>Yuana Palupi</t>
  </si>
  <si>
    <t>Achmad Afriyansyah</t>
  </si>
  <si>
    <t>Nurul Arifah</t>
  </si>
  <si>
    <t>https://drive.google.com/open?id=1PQ3epZ0_cfiTD7AcemI5BM1GW7jf3rCZXMMtmZXwkpg&amp;usp=drive_copy</t>
  </si>
  <si>
    <t>Krajan, Mentoro, Pacitan</t>
  </si>
  <si>
    <t>Ari Sastra Winata</t>
  </si>
  <si>
    <t>Vikry Ridho Hidayat</t>
  </si>
  <si>
    <t>Inggit Shahera Chindi Nugroho</t>
  </si>
  <si>
    <t>Ulfah Nabila</t>
  </si>
  <si>
    <t>Erie Aditya Fachrurodzi</t>
  </si>
  <si>
    <t>Amelia Putri Supendi</t>
  </si>
  <si>
    <t>Nurul Masliqhah</t>
  </si>
  <si>
    <t>Annisa Dwi Nur Cahyani</t>
  </si>
  <si>
    <t>Deva Angga Carilliano</t>
  </si>
  <si>
    <t>https://drive.google.com/open?id=1QxGgfCitr16o535x1d9UnMYRo9nTIkINAIMtBlh6o8c&amp;usp=drive_copy</t>
  </si>
  <si>
    <t>Vani Dias Adiprabowo, S.Sn., M.Sn.</t>
  </si>
  <si>
    <t>Ngodong, Kayen, Pacitan</t>
  </si>
  <si>
    <t>MUHAMMAD ASWIN HIMAWAN</t>
  </si>
  <si>
    <t>Ridho Pangestu</t>
  </si>
  <si>
    <t>Nur Aisyah</t>
  </si>
  <si>
    <t>Dinda Helen Kusuma</t>
  </si>
  <si>
    <t>Aisya Fitria Nafiani</t>
  </si>
  <si>
    <t>Muhammad Akbar Ilham. Gp</t>
  </si>
  <si>
    <t>Muhammad Mu'amarul Ihsan Pasmawan</t>
  </si>
  <si>
    <t>Fadhilah Amani</t>
  </si>
  <si>
    <t>Nurmalita Eka Putri Wibowo</t>
  </si>
  <si>
    <t>https://drive.google.com/open?id=1V4yH_7ezu-rVrsvOpho86IBurptJI6IfVo1WT8tJzBI&amp;usp=drive_copy</t>
  </si>
  <si>
    <t>Nogosari, Kayen, Pacitan</t>
  </si>
  <si>
    <t>FARHA</t>
  </si>
  <si>
    <t>Bintang Makruf</t>
  </si>
  <si>
    <t>Anggita Sufi Andani</t>
  </si>
  <si>
    <t>Muhammad Fando Bimantara</t>
  </si>
  <si>
    <t>Fajar Agustina Rahmah</t>
  </si>
  <si>
    <t>Mashuva Mohctar Marauf</t>
  </si>
  <si>
    <t>Kiki Febila Kusuma Murti</t>
  </si>
  <si>
    <t>Nadila Melindah Rauf</t>
  </si>
  <si>
    <t>Moch. Mahesa Arsyad</t>
  </si>
  <si>
    <t>0813?9100?0246?</t>
  </si>
  <si>
    <t>088902983855/ 081904008736</t>
  </si>
  <si>
    <t>https://drive.google.com/open?id=1c7gv06DQzX8OMG64muBkEDU6ZJjbroMSSeWFQqiAAEQ&amp;usp=drive_copy</t>
  </si>
  <si>
    <t>Jelok, Kayen, Pacitan</t>
  </si>
  <si>
    <t>Fiki Fauzan Yusuf</t>
  </si>
  <si>
    <t>Ajrin Hanifati Faqria</t>
  </si>
  <si>
    <t>Nadita</t>
  </si>
  <si>
    <t>Andita Dewi Rinaldi</t>
  </si>
  <si>
    <t>Achmad Adib Muaddy</t>
  </si>
  <si>
    <t>Nanang Febriyanto</t>
  </si>
  <si>
    <t>Ummi Hasanah</t>
  </si>
  <si>
    <t>Aulia Naura Fitriyana</t>
  </si>
  <si>
    <t>Muhson Zuhdi</t>
  </si>
  <si>
    <t>https://drive.google.com/open?id=1hEZozbbt04pi8zcWWtApBLkiKCwsFW7GZPrEICLjDvs&amp;usp=drive_copy</t>
  </si>
  <si>
    <t>Ali Tarmuji, S.T. M.Cs.</t>
  </si>
  <si>
    <t>Siwilan, Kayen, Pacitan</t>
  </si>
  <si>
    <t>Daffa Rizal Al Ihsan</t>
  </si>
  <si>
    <t>Dinda Febria Berliana</t>
  </si>
  <si>
    <t>Dyas Dwi Purwestri</t>
  </si>
  <si>
    <t>Ragil Ma'mum Mustaqim</t>
  </si>
  <si>
    <t>Dinda Dewani Khairunnisa Rahardyani</t>
  </si>
  <si>
    <t>Hafidz Rahmatullah</t>
  </si>
  <si>
    <t>Annisatul Fahmi</t>
  </si>
  <si>
    <t>Zahrofah Fadhella Nindra</t>
  </si>
  <si>
    <t>Rizzal Muiz Fauzan</t>
  </si>
  <si>
    <t>https://drive.google.com/open?id=1ZOx50n9LxDnUJ4WoZJfQAW77psTsnQhwPusYOEBG7Ng&amp;usp=drive_copy</t>
  </si>
  <si>
    <t>Gundi, Kayen, Pacitan</t>
  </si>
  <si>
    <t>Muhammad Satrio Nadhif Pratisto</t>
  </si>
  <si>
    <t>Tahnia Dwidiasti Aviza</t>
  </si>
  <si>
    <t>Nigel Dewi Elysian</t>
  </si>
  <si>
    <t>Kurnia Aji Prastya</t>
  </si>
  <si>
    <t>Nurfikriyah Auliani</t>
  </si>
  <si>
    <t>Muhammad Fazrin Kasim</t>
  </si>
  <si>
    <t>Thea Dina Martian</t>
  </si>
  <si>
    <t>Dhea Citra Ananda</t>
  </si>
  <si>
    <t>Reiza Primayandi</t>
  </si>
  <si>
    <t>https://drive.google.com/open?id=1lbfJnMNqpi7gKnqhOm8ZeIrD89z1Gwdkb6n5q7UYH0s&amp;usp=drive_copy</t>
  </si>
  <si>
    <t>Krajan, Kayen, Pacitan</t>
  </si>
  <si>
    <t>Muhamad Didan Zaneti</t>
  </si>
  <si>
    <t>Fauziyah Inas Handayani</t>
  </si>
  <si>
    <t>Viola Arisma</t>
  </si>
  <si>
    <t>Chania Trysica Nafulani</t>
  </si>
  <si>
    <t>Agung Darmawan</t>
  </si>
  <si>
    <t>Bambang Supriadin</t>
  </si>
  <si>
    <t>Amilia Rachmawati</t>
  </si>
  <si>
    <t>Afifah Asya Azizah</t>
  </si>
  <si>
    <t>Muhammad Gilang Ramadhan</t>
  </si>
  <si>
    <t>https://drive.google.com/open?id=1oXgW9d39z9Ms3zj6EQ_JgQZZGZMYRDeEVH0gGj1xLs8&amp;usp=drive_copy</t>
  </si>
  <si>
    <t>Dr. Akhmad Fajar Prasetya, S.Pd., M.Pd.</t>
  </si>
  <si>
    <t>Djarum, Sukoharjo, Pacitan</t>
  </si>
  <si>
    <t>Muhammad Fakhrur Rahman</t>
  </si>
  <si>
    <t>Agustine Syavira</t>
  </si>
  <si>
    <t>Sella Dwika</t>
  </si>
  <si>
    <t>Alfya Maharani Julzyan</t>
  </si>
  <si>
    <t>Muh. Alif Adrian</t>
  </si>
  <si>
    <t>Hardianti</t>
  </si>
  <si>
    <t>Ulfatun Nikmah</t>
  </si>
  <si>
    <t>Erwin Septiawan</t>
  </si>
  <si>
    <t>https://drive.google.com/open?id=1orFFrto1scfZ9mDQORWo96lHzeZL36XJm36lwAaox38&amp;usp=drive_copy</t>
  </si>
  <si>
    <t>Nitikan, Sukoharjo, Pacitan</t>
  </si>
  <si>
    <t>Handono Lakstianto</t>
  </si>
  <si>
    <t>Tiara Indriani</t>
  </si>
  <si>
    <t>Indah Kartika Sari</t>
  </si>
  <si>
    <t>Dewa Raharja Adjisaka</t>
  </si>
  <si>
    <t>Ira Diyah Saputri</t>
  </si>
  <si>
    <t>Pandu Viona Mardinata Samosir</t>
  </si>
  <si>
    <t>Fani Rifqoh</t>
  </si>
  <si>
    <t>Era Almelinda</t>
  </si>
  <si>
    <t>Itsna Fikri Nurhadi</t>
  </si>
  <si>
    <t>https://drive.google.com/open?id=1rtTNWNY9LpjZeUWyikVb8KbSfvtENrROve13kIkmVMk&amp;usp=drive_copy</t>
  </si>
  <si>
    <t>Ngerjoso, Sukoharjo, Pacitan</t>
  </si>
  <si>
    <t>Reevan Reismahendra</t>
  </si>
  <si>
    <t>Agustin Choiriatunisa</t>
  </si>
  <si>
    <t>Mega Mawarni Asdin As</t>
  </si>
  <si>
    <t>Muhammad Satya Adhi</t>
  </si>
  <si>
    <t>Ira Riswana</t>
  </si>
  <si>
    <t>Mikhail Arif Reniurwarin</t>
  </si>
  <si>
    <t>Tresna Fitriaini Prihanto</t>
  </si>
  <si>
    <t>Zhabellalita Putri Rizky</t>
  </si>
  <si>
    <t>Fikri Fauzi</t>
  </si>
  <si>
    <t>https://drive.google.com/open?id=1uY6Pz6tteiw0PV8afHgeCW4qi-ZPFno6zGTGTFVrdVg&amp;usp=drive_copy</t>
  </si>
  <si>
    <t>Siten, Sumbermulyo, Bambanglipuro</t>
  </si>
  <si>
    <t>Dani Kusuma Wardana</t>
  </si>
  <si>
    <t>Anissa Rahma Fanilika</t>
  </si>
  <si>
    <t>Revi Andini</t>
  </si>
  <si>
    <t>M.ardan Prayogi</t>
  </si>
  <si>
    <t>Prasasty Ananda Putri</t>
  </si>
  <si>
    <t>Ahmad Yafi'udin</t>
  </si>
  <si>
    <t>Retno Hartati</t>
  </si>
  <si>
    <t>Sri Handayani</t>
  </si>
  <si>
    <t>Revaldy Ardiansyah</t>
  </si>
  <si>
    <t>https://drive.google.com/open?id=1wuTP6ZyVjkSrlxTL8N9Ko9Ahw4roz-bpCZiVKoGmPgw&amp;usp=drive_copy</t>
  </si>
  <si>
    <t>Gunungan, Sumbermulyo, Bambanglipuro</t>
  </si>
  <si>
    <t>Shabrinaa Ra'fa Hannissa</t>
  </si>
  <si>
    <t>Yoga Barsa Wiratama</t>
  </si>
  <si>
    <t>Annisa Putri Rahmadini</t>
  </si>
  <si>
    <t>Laksita Naura Syifa</t>
  </si>
  <si>
    <t>Muhammad Fachri Hasan</t>
  </si>
  <si>
    <t>Sekar Nabila Yulmanputri</t>
  </si>
  <si>
    <t>Anas Frentino Jasuma</t>
  </si>
  <si>
    <t>Nabiela Aulia Izzati</t>
  </si>
  <si>
    <t>Abang Muhammad Wahyu Mahendra</t>
  </si>
  <si>
    <t>https://drive.google.com/open?id=1xX2OCF10bCMG1NSt35BfuokC4pvbrNMI3vl4skht4QA&amp;usp=drive_copy</t>
  </si>
  <si>
    <t>Jogodayoh, Sumbermulyo, Bambanglipuro</t>
  </si>
  <si>
    <t>Syifa Alfuady</t>
  </si>
  <si>
    <t>Desy Widyaningrum</t>
  </si>
  <si>
    <t>Linia Aziza</t>
  </si>
  <si>
    <t>Nanda Junizar Rahmadani</t>
  </si>
  <si>
    <t>Ismi Pertiwi Shobirin</t>
  </si>
  <si>
    <t>Dhima Ardian Mahardhika</t>
  </si>
  <si>
    <t>Widya Riantika</t>
  </si>
  <si>
    <t>Emilia Putri Pratiwi</t>
  </si>
  <si>
    <t>Ahmad Afif</t>
  </si>
  <si>
    <t>https://drive.google.com/open?id=1zuVHOafl08m2jZNZHiCWOmEPOxq6cwD9akQ1PkR1dEQ&amp;usp=drive_copy</t>
  </si>
  <si>
    <t>Sartini, S.E. , M.S.Acc., Akt</t>
  </si>
  <si>
    <t>Kintelan, Sumbermulyo, Bambanglipuro</t>
  </si>
  <si>
    <t>Ardi Nurhidayat</t>
  </si>
  <si>
    <t>Diah Septiyani</t>
  </si>
  <si>
    <t>Putriani Savitri</t>
  </si>
  <si>
    <t>Falah Maulana Ferdian</t>
  </si>
  <si>
    <t>Dwi Ranti Aulia</t>
  </si>
  <si>
    <t>Fauzan Kurnia Aji</t>
  </si>
  <si>
    <t>Hafidha Rihadatul Aisy</t>
  </si>
  <si>
    <t>Millentian Noor Syamsi</t>
  </si>
  <si>
    <t>Naufal Abdul Fatwa</t>
  </si>
  <si>
    <t>https://drive.google.com/open?id=10SsfHfjMWVVwwkAQdyfHcZnV2TxslEEFeE11YoZT14I&amp;usp=drive_copy</t>
  </si>
  <si>
    <t>Samen, Sumbermulyo, Bambanglipuro</t>
  </si>
  <si>
    <t>Ardhany Bagas Kurniadi</t>
  </si>
  <si>
    <t>Dhea Nindi Claudia</t>
  </si>
  <si>
    <t>Susanti</t>
  </si>
  <si>
    <t>Suryahardi Ramadhan</t>
  </si>
  <si>
    <t>Amelia Pratiwi</t>
  </si>
  <si>
    <t>Reihan Armalan Enon</t>
  </si>
  <si>
    <t>Ranti</t>
  </si>
  <si>
    <t>Juan Bintang Prasetya</t>
  </si>
  <si>
    <t>https://drive.google.com/open?id=10Zzf91qP1H2PDmRipKtckjdBJNkXcHj30vf15FYyiAA&amp;usp=drive_copy</t>
  </si>
  <si>
    <t>Caben, Sumbermulyo, Bambanglipuro</t>
  </si>
  <si>
    <t>Ananda Ikhsan Ilmawan</t>
  </si>
  <si>
    <t>Maulina</t>
  </si>
  <si>
    <t>Fairuz Jinan Mukarromah</t>
  </si>
  <si>
    <t>Ahmad Bashori</t>
  </si>
  <si>
    <t>Siti Munawarah</t>
  </si>
  <si>
    <t>Alvian Nur Akbar Syaifullah</t>
  </si>
  <si>
    <t>Nandini Niken Larasati</t>
  </si>
  <si>
    <t>Maulana Yusuf Al Farabi</t>
  </si>
  <si>
    <t>Marissa Tika Dian Niswara</t>
  </si>
  <si>
    <t>https://drive.google.com/open?id=11OokbP0EVmmdg1_tOqNaSEJC7nRHVLe4ULP8VTkxO2s&amp;usp=drive_copy</t>
  </si>
  <si>
    <t>Dr. Aftoni Sutanto, S.E., M.Si.</t>
  </si>
  <si>
    <t>Bondalem, Sumbermulyo, Bambanglipuro</t>
  </si>
  <si>
    <t>Pandu Abiyyu Aqil</t>
  </si>
  <si>
    <t>KAMISSIANG FRANSISCO</t>
  </si>
  <si>
    <t>Adenin Rahmalia Zahra</t>
  </si>
  <si>
    <t>Ani Endarwati</t>
  </si>
  <si>
    <t>Bayu Pratama</t>
  </si>
  <si>
    <t>Isma Sakinati</t>
  </si>
  <si>
    <t>Fia Hana Febiola</t>
  </si>
  <si>
    <t>Puji Devi Sri Utami</t>
  </si>
  <si>
    <t>Muhammad Ikhwan Naufal</t>
  </si>
  <si>
    <t>https://drive.google.com/open?id=11oNatRDgf7GL14aK3o_6sI2AtRPtWUSXcbIKwqJFPyY&amp;usp=drive_copy</t>
  </si>
  <si>
    <t>Gersik, Sumbermulyo, Bambanglipuro</t>
  </si>
  <si>
    <t>Refri Sunu Herlambang</t>
  </si>
  <si>
    <t>Meristianti Rizki Herawati</t>
  </si>
  <si>
    <t>Tiara Putri Handayani</t>
  </si>
  <si>
    <t>Dimas Rizki Novyadi</t>
  </si>
  <si>
    <t>Nuriya Laelatus Sifa'iyah</t>
  </si>
  <si>
    <t>Rusddi</t>
  </si>
  <si>
    <t>Putri Rahmadani</t>
  </si>
  <si>
    <t>Syahdillah Intan Zania Tomagola</t>
  </si>
  <si>
    <t>Ardhiansyah Pradana</t>
  </si>
  <si>
    <t>https://drive.google.com/open?id=13o-MrHOy5GLcrolWE6M5psOzd-f1KxHoaJis0Yff9XE&amp;usp=drive_copy</t>
  </si>
  <si>
    <t>Gedogan, Sumbermulyo, Bambanglipuro</t>
  </si>
  <si>
    <t>Ferlan Sonjaya</t>
  </si>
  <si>
    <t>Siti Sahara Sulaiman</t>
  </si>
  <si>
    <t>Nur Wahyu Rizky Rahayu</t>
  </si>
  <si>
    <t>Rizky Ramaddhon Teza</t>
  </si>
  <si>
    <t>Adelyanty Pangestuty Wicaksono</t>
  </si>
  <si>
    <t>Yoga Pratama</t>
  </si>
  <si>
    <t>Erika Bimbi Rahmadani</t>
  </si>
  <si>
    <t>Zulfa Rosdiana</t>
  </si>
  <si>
    <t>Muhammad Zidan Riadi</t>
  </si>
  <si>
    <t>https://drive.google.com/open?id=13zju-bIiFlXLoG38GhXwrj0pcNq_0PKACRFt4wNkVRU&amp;usp=drive_copy</t>
  </si>
  <si>
    <t>Aprilia Kusbandari, M.Sc., Apt.</t>
  </si>
  <si>
    <t>Plumbungan, Sumbermulyo, Bambanglipuro</t>
  </si>
  <si>
    <t>ADIL AL HASAN</t>
  </si>
  <si>
    <t>Anjarsari</t>
  </si>
  <si>
    <t>Tari Hardiyanti</t>
  </si>
  <si>
    <t>Ahmad Nursodik</t>
  </si>
  <si>
    <t>Naresh Wari Mega Vianingtyas</t>
  </si>
  <si>
    <t>Suhendar</t>
  </si>
  <si>
    <t>Annasuha Cahyaningrum</t>
  </si>
  <si>
    <t>Ayudia Salsabila</t>
  </si>
  <si>
    <t>Muhammad Gilman Rifki</t>
  </si>
  <si>
    <t>Manajemen Prosus</t>
  </si>
  <si>
    <t>https://drive.google.com/open?id=160mwCVwARWMQQn4nKh_XybjFtd9XBFLnLPGaCl9zHqA&amp;usp=drive_copy</t>
  </si>
  <si>
    <t>Tangkilan, Sumbermulyo, Bambanglipuro</t>
  </si>
  <si>
    <t>Fakhrul Rijal Luqvi</t>
  </si>
  <si>
    <t>Yusril Noor Hadiansyah</t>
  </si>
  <si>
    <t>Salwa Nabila Setianingrum</t>
  </si>
  <si>
    <t>Indah Kurniasih</t>
  </si>
  <si>
    <t>Novita Dwi Safitri</t>
  </si>
  <si>
    <t>Satria Muhammad Reza</t>
  </si>
  <si>
    <t>Dewi Andryani</t>
  </si>
  <si>
    <t>Hikmah Mahmudah</t>
  </si>
  <si>
    <t>Yusril Muhamad Anjar</t>
  </si>
  <si>
    <t>https://drive.google.com/open?id=17BYHu_4eHwIFiihrpOpzhc-MhEVBCao5FjkTcBvd_1w&amp;usp=drive_copy</t>
  </si>
  <si>
    <t>Kanutan, Sumbermulyo, Bambanglipuro</t>
  </si>
  <si>
    <t>RAHMAD DAUD IBRAHIM</t>
  </si>
  <si>
    <t>SUTRIANTO</t>
  </si>
  <si>
    <t>Ari Prasetyo Nugroho</t>
  </si>
  <si>
    <t>Eka Pebiani</t>
  </si>
  <si>
    <t>Karimatun Nisa El Husna</t>
  </si>
  <si>
    <t>Endah Retno Wulandari</t>
  </si>
  <si>
    <t>Terbit Cahaya Asa Nusantara</t>
  </si>
  <si>
    <t>Salwa Amalia Nur Anisa</t>
  </si>
  <si>
    <t>Nevandia Festy Anjani</t>
  </si>
  <si>
    <t>https://drive.google.com/open?id=1G034Ca2SXPIjqSO13Pdt1kyW9xeO96TuNSKDyn9gYO0&amp;usp=drive_copy</t>
  </si>
  <si>
    <t>A. Syahid Robbani, S.Pd., M.Pd.</t>
  </si>
  <si>
    <t>Kuwon, Sidomulyo, Bambanglipuro</t>
  </si>
  <si>
    <t>Yumna Fadli Nugraha</t>
  </si>
  <si>
    <t>Okta Lusiana</t>
  </si>
  <si>
    <t>Eka Fitri Dita Wijaya</t>
  </si>
  <si>
    <t>Irsa Fitrawan Rayes</t>
  </si>
  <si>
    <t>Zenida Azzahra</t>
  </si>
  <si>
    <t>Sri Bintang Pamungkas</t>
  </si>
  <si>
    <t>Reggina Auraliya Yusifa</t>
  </si>
  <si>
    <t>Wahyuni Lestari</t>
  </si>
  <si>
    <t>Muhammad Zaki</t>
  </si>
  <si>
    <t>https://drive.google.com/open?id=1405VFsE3hMwXuAmtEkcu630yJ7nxerAMrCTp5RKAzMc&amp;usp=drive_copy</t>
  </si>
  <si>
    <t>Glodogan, Sidomulyo, Bambanglipuro</t>
  </si>
  <si>
    <t>Sefrian Damas Wandani S</t>
  </si>
  <si>
    <t>Arvilla Hervi Pratama</t>
  </si>
  <si>
    <t>Dhea Asmara</t>
  </si>
  <si>
    <t>Annisa Faradila</t>
  </si>
  <si>
    <t>Benta Lenggar</t>
  </si>
  <si>
    <t>Annisa Oktareza</t>
  </si>
  <si>
    <t>Windy Maudi</t>
  </si>
  <si>
    <t>Burhannudin Sofian</t>
  </si>
  <si>
    <t>Ihsan Janu Rohman</t>
  </si>
  <si>
    <t>Bisnis Jasa Makanan</t>
  </si>
  <si>
    <t>https://drive.google.com/open?id=17HoejRUtYdUex9FEOd11KvVVGbOhTZZ59f8aZATV5FI&amp;usp=drive_copy</t>
  </si>
  <si>
    <t>Turi, Sidomulyo, Bambanglipuro</t>
  </si>
  <si>
    <t>RIZKI SYAHPUTRA</t>
  </si>
  <si>
    <t>Tian Bayu Pratama</t>
  </si>
  <si>
    <t>Naiscin Sesila Mupasa</t>
  </si>
  <si>
    <t>Aisyah Mustika Aru</t>
  </si>
  <si>
    <t>Muhammad Alby Ghani</t>
  </si>
  <si>
    <t>Miftaqul Jannah Pratono</t>
  </si>
  <si>
    <t>Nur Amalia</t>
  </si>
  <si>
    <t>Aghnia An'umillah</t>
  </si>
  <si>
    <t>Reza Adi Saputra</t>
  </si>
  <si>
    <t>https://drive.google.com/open?id=19em8uyYuHZpV7EZI9rv_u0xfxQcUBavmiFpd7wOyhUs&amp;usp=drive_copy</t>
  </si>
  <si>
    <t>Pinggir, Sidomulyo, Bambanglipuro</t>
  </si>
  <si>
    <t>Muhammad Hanif Setyo Nugroho</t>
  </si>
  <si>
    <t>Falupi Dyah Nur'afifah</t>
  </si>
  <si>
    <t>Uwin Ariani</t>
  </si>
  <si>
    <t>Ayang Fhiru Syang Ghege</t>
  </si>
  <si>
    <t>Alya Luthfiyya Ariefiani Putri</t>
  </si>
  <si>
    <t>Rizki Anugerah Pratama</t>
  </si>
  <si>
    <t>Rizkiatul Nadhiroh</t>
  </si>
  <si>
    <t>Ratih Ulandari</t>
  </si>
  <si>
    <t>085875255935/ 081575653558</t>
  </si>
  <si>
    <t>https://drive.google.com/open?id=19mvdKqjA3iNQhCYKdFz1K0ZTg-LZWhEycE1OuCt5jnQ&amp;usp=drive_copy</t>
  </si>
  <si>
    <t>Ponggok, Sidomulyo, Bambanglipuro</t>
  </si>
  <si>
    <t>CHETRINE KURNIA SYANDI</t>
  </si>
  <si>
    <t>Arinda Aprilia Hasna Salsabila</t>
  </si>
  <si>
    <t>Muhammad Bagus Agam Triambada</t>
  </si>
  <si>
    <t>Zadha Anggun Arsyndie</t>
  </si>
  <si>
    <t>Nur Fatimah</t>
  </si>
  <si>
    <t>Sonya Tri Susilawati</t>
  </si>
  <si>
    <t>Ilham Lahiyah</t>
  </si>
  <si>
    <t>Annisya Ambar Wati</t>
  </si>
  <si>
    <t>https://drive.google.com/open?id=19qRxJrRdMxgahbGiT62u8qqWoDDxayy1xn4upAopWXI&amp;usp=drive_copy</t>
  </si>
  <si>
    <t>Plebengan, Sidomulyo, Bambanglipuro</t>
  </si>
  <si>
    <t>Nahriatul Khasanah</t>
  </si>
  <si>
    <t>Firja Prasetio Fajri</t>
  </si>
  <si>
    <t>Tiara Sova Rahma</t>
  </si>
  <si>
    <t>Dedek Ayudya Pangestuti</t>
  </si>
  <si>
    <t>Syarif Hidayatullah</t>
  </si>
  <si>
    <t>Fita Nurmayasari</t>
  </si>
  <si>
    <t>Jovi Agnesya Pratama</t>
  </si>
  <si>
    <t>Widya Nuraini</t>
  </si>
  <si>
    <t>Arga Desa Restu Saparti</t>
  </si>
  <si>
    <t>https://drive.google.com/open?id=1AflDdxj5GtkuKJsDK6EELF3DfYHgmCJlP-oIVpTgm_o&amp;usp=drive_copy</t>
  </si>
  <si>
    <t>Rendra Widyatama, SIP.,M.Si.,Ph.D</t>
  </si>
  <si>
    <t>Ngajaran, Sidomulyo, Bambanglipuro</t>
  </si>
  <si>
    <t>MUHAMMAD YASIN YUSUF</t>
  </si>
  <si>
    <t>Aulia Miftahurrahmah</t>
  </si>
  <si>
    <t>Hilmy Ammar Hafizha</t>
  </si>
  <si>
    <t>Sekar Ayu Kirani</t>
  </si>
  <si>
    <t>Fitri Handini</t>
  </si>
  <si>
    <t>Pradika Fajar Rillo Pambudi</t>
  </si>
  <si>
    <t>Putri Nabela</t>
  </si>
  <si>
    <t>Viona Azhar Taqiyah</t>
  </si>
  <si>
    <t>Mira Oktavia</t>
  </si>
  <si>
    <t>https://drive.google.com/open?id=1BfM1Y36k4wC-KmUwhmTbYQbvBXiMuVInq4baKJarnII&amp;usp=drive_copy</t>
  </si>
  <si>
    <t>Cangkring, Sidomulyo, Bambanglipuro</t>
  </si>
  <si>
    <t>FENTESA LIA MARSELA</t>
  </si>
  <si>
    <t>Ria Kurnita</t>
  </si>
  <si>
    <t>Albaru Kurnia Fajri</t>
  </si>
  <si>
    <t>Nur Aini Ummu Kaltsum</t>
  </si>
  <si>
    <t>Dian Umul Haeratin</t>
  </si>
  <si>
    <t>Ian Bachtiar</t>
  </si>
  <si>
    <t>Siska Wulandari</t>
  </si>
  <si>
    <t>Kurniawan Try Sa'bany</t>
  </si>
  <si>
    <t>Rachelle Anisya Cahyadi</t>
  </si>
  <si>
    <t>https://drive.google.com/open?id=1BimylDMx5fgM9XP1o6hzt1LNhvXzNtxuwJksIdhWcdk&amp;usp=drive_copy</t>
  </si>
  <si>
    <t>Sirat, Sidomulyo, Bambanglipuro</t>
  </si>
  <si>
    <t>Tri Indri Astuti</t>
  </si>
  <si>
    <t>Dhamar Yudistira Al Arizi</t>
  </si>
  <si>
    <t>Meilina Cahya Fadila</t>
  </si>
  <si>
    <t>Elsa Yesela</t>
  </si>
  <si>
    <t>Arga Zahrana Naufal</t>
  </si>
  <si>
    <t>Sokhifun Nuroh</t>
  </si>
  <si>
    <t>Erlang Bagus Yuniansyah</t>
  </si>
  <si>
    <t>Nava Putri Nuryuliani</t>
  </si>
  <si>
    <t>Fatiya Rahmatun</t>
  </si>
  <si>
    <t>https://drive.google.com/open?id=1C24n51dUAghWME3sjbKXDpU4l0jWyuZ8jJHxjN3_HL0&amp;usp=drive_copy</t>
  </si>
  <si>
    <t>Indah Wenerda, S.Sn. M.A.</t>
  </si>
  <si>
    <t>Palihan, Sidomulyo, Bambanglipuro</t>
  </si>
  <si>
    <t>Aulia Miftahul Jannah</t>
  </si>
  <si>
    <t>Panji Dwi Satrio</t>
  </si>
  <si>
    <t>Zulfatun Nafiah</t>
  </si>
  <si>
    <t>Bella Rustina Safira</t>
  </si>
  <si>
    <t>Achmad Maulana Rifki</t>
  </si>
  <si>
    <t>Hilwa Adya Tsaqofa</t>
  </si>
  <si>
    <t>Pradhitya Bayu Ardiansyah</t>
  </si>
  <si>
    <t>Dhea Nissa Ariella</t>
  </si>
  <si>
    <t>Naila Hasna Naufida</t>
  </si>
  <si>
    <t>https://drive.google.com/open?id=1CRN8ALEZ1JhgGnTmc67xxrR2NkW3Rzxz2wjVTlzF6R0&amp;usp=drive_copy</t>
  </si>
  <si>
    <t>Prenggan, Sidomulyo, Bambanglipuro</t>
  </si>
  <si>
    <t>Ainayya Tika Iffianty Widodo</t>
  </si>
  <si>
    <t>Fikar Zulhaq</t>
  </si>
  <si>
    <t>Maulida Nisrina Mafazati</t>
  </si>
  <si>
    <t>Lulu Hasna Safinatunnazah</t>
  </si>
  <si>
    <t>Suhendra Anang Prasetyo</t>
  </si>
  <si>
    <t>Haniyah Azzah Ulfah</t>
  </si>
  <si>
    <t>Finda Herdiyanto</t>
  </si>
  <si>
    <t>Fathma Humaira</t>
  </si>
  <si>
    <t>Pramitava Lailara Istu Diah Oentari</t>
  </si>
  <si>
    <t>https://drive.google.com/open?id=1EoaNMd42q4MFxfmg4M54yv37CFTdUayvvyc1t-QQQrY&amp;usp=drive_copy</t>
  </si>
  <si>
    <t>Selo , Sidomulyo, Bambanglipuro</t>
  </si>
  <si>
    <t>Ainun Ma'rufah</t>
  </si>
  <si>
    <t>Manyu Santoso</t>
  </si>
  <si>
    <t>Reni Anggraini</t>
  </si>
  <si>
    <t>Puan Kinanti Frastikasari</t>
  </si>
  <si>
    <t>Rafsanjani Rahadi</t>
  </si>
  <si>
    <t>Dellyvia Elida</t>
  </si>
  <si>
    <t>Je Tri Apandi</t>
  </si>
  <si>
    <t>Aurelia Delfigi Haryanto</t>
  </si>
  <si>
    <t>Zalfa Jihan Kinanti</t>
  </si>
  <si>
    <t>https://drive.google.com/open?id=1GHnXCx0LnJC_JIy1DlN9P9EQpaEVohRuYPHdak8VkZg&amp;usp=drive_copy</t>
  </si>
  <si>
    <t>Mejing, Mulyodadi, Bambanglipuro</t>
  </si>
  <si>
    <t>Khofifah Maulatunnisa</t>
  </si>
  <si>
    <t>Richo Kais Threza Fauzi</t>
  </si>
  <si>
    <t>Zainiyyata Ulimarrofidah</t>
  </si>
  <si>
    <t>Adisa Putri Atala</t>
  </si>
  <si>
    <t>Mukhlis Irsyadurrahman</t>
  </si>
  <si>
    <t>Khaerunnisa Ul Mardhiyah</t>
  </si>
  <si>
    <t>Faizal Nurrahman</t>
  </si>
  <si>
    <t>Jesi Putriani</t>
  </si>
  <si>
    <t>Eri Theayana Airawata</t>
  </si>
  <si>
    <t>https://docs.google.com/spreadsheets/d/1rca7FK11fX25ETdQ2QXO9FWeCoDB76u-aScPoDiZU2k/edit?usp=sharing</t>
  </si>
  <si>
    <t>Paker, Mulyodadi, Bambanglipuro</t>
  </si>
  <si>
    <t>Salsabila Imtinan</t>
  </si>
  <si>
    <t>Muhammad Tamam Diwa Setiaji</t>
  </si>
  <si>
    <t>Sabilla Wahyu Rahmadhani</t>
  </si>
  <si>
    <t>Niken Ferdiantari Budi</t>
  </si>
  <si>
    <t>Muhammad Aqshal Miftah Rizki</t>
  </si>
  <si>
    <t>Khalida Zahra</t>
  </si>
  <si>
    <t>Ageng Aprizal Timur</t>
  </si>
  <si>
    <t>Amelia Zulfitriani</t>
  </si>
  <si>
    <t>Mira Risman</t>
  </si>
  <si>
    <t>087734278928 / 087833153200</t>
  </si>
  <si>
    <t>082232930362 / 081280102392</t>
  </si>
  <si>
    <t>https://drive.google.com/open?id=1HPIyl5UtdBO-ymbxPudlDNqsab2jtEyizcVC86jtIPo&amp;usp=drive_copy</t>
  </si>
  <si>
    <t>Wonodoro, Mulyodadi, Bambanglipuro</t>
  </si>
  <si>
    <t>Mariani Afni Zabila</t>
  </si>
  <si>
    <t>Dimas Kurnia Putra</t>
  </si>
  <si>
    <t>Silviana Kusherawati</t>
  </si>
  <si>
    <t>Fitriani Wulandari</t>
  </si>
  <si>
    <t>Dzaki Malik</t>
  </si>
  <si>
    <t>Lina Julianti</t>
  </si>
  <si>
    <t>Haikal Alulu</t>
  </si>
  <si>
    <t>Fitriya Desita Permatasari</t>
  </si>
  <si>
    <t>Selsa Sanisah Gopur</t>
  </si>
  <si>
    <t>https://drive.google.com/open?id=1HRxI6hz0luUE5zGREJtO7hMkntccRGx8FopS8oxozOk&amp;usp=drive_copy</t>
  </si>
  <si>
    <t>Dian Eka Wijayanti, S.Si., M.Si.</t>
  </si>
  <si>
    <t>Destan, Mulyodadi, Bambanglipuro</t>
  </si>
  <si>
    <t>Maulidin</t>
  </si>
  <si>
    <t>Nur Afifah</t>
  </si>
  <si>
    <t>Puji Andriyanto</t>
  </si>
  <si>
    <t>Qonitah Nurjihan</t>
  </si>
  <si>
    <t>Berliana Agustinola Rosi</t>
  </si>
  <si>
    <t>Nizar Arprian Saputra</t>
  </si>
  <si>
    <t>Nadya Haerani</t>
  </si>
  <si>
    <t>Defa Andriyana</t>
  </si>
  <si>
    <t>Khofifah Ngulandari</t>
  </si>
  <si>
    <t>https://drive.google.com/open?id=1HyvwxqD5FNZqjR8zH5AobLOZNgEZj5B8DhfxGq-R-e8&amp;usp=drive_copy</t>
  </si>
  <si>
    <t>Kraton, Mulyodadi, Bambanglipuro</t>
  </si>
  <si>
    <t>RESTIANA SITI MUSTAQIMAH</t>
  </si>
  <si>
    <t>Karlina Putri Lokasari</t>
  </si>
  <si>
    <t>Muhammad Fadhlul Nurdzaki</t>
  </si>
  <si>
    <t>Alya Luna Anjani</t>
  </si>
  <si>
    <t>Arief Maulana</t>
  </si>
  <si>
    <t>Damai Yanti Anggraeni</t>
  </si>
  <si>
    <t>Wah Idna Aminudin</t>
  </si>
  <si>
    <t>Puspa Indah Dwi Amalia</t>
  </si>
  <si>
    <t>Ivana Defrintya Karyadi</t>
  </si>
  <si>
    <t>https://drive.google.com/open?id=1J0DAmpEaH89_h2SBfiNxboUl8qE5ivgl7Qfoj9UAAc4&amp;usp=drive_copy</t>
  </si>
  <si>
    <t>Bregan, Mulyodadi, Bambanglipuro</t>
  </si>
  <si>
    <t>Revana Elianita Widyawati</t>
  </si>
  <si>
    <t>Agus Kurniawan</t>
  </si>
  <si>
    <t>Alfia Zul Faida</t>
  </si>
  <si>
    <t>Suci Mutiara</t>
  </si>
  <si>
    <t>Devaldi Caliesta Octadiani</t>
  </si>
  <si>
    <t>Azlinda Febi Nazihah</t>
  </si>
  <si>
    <t>Farhan Ferdian</t>
  </si>
  <si>
    <t>Tiyas Farizka Al Fathannah</t>
  </si>
  <si>
    <t>Dwi Novita Sari</t>
  </si>
  <si>
    <t>https://drive.google.com/open?id=1J3U-LaPM34_WDdgxDeVoMfwJHY-BdwXO6cpgiOzNGZM&amp;usp=drive_copy</t>
  </si>
  <si>
    <t>Haris Imam Karim Fathurrahman, M.Sc</t>
  </si>
  <si>
    <t>Cangkring, Mulyodadi, Bambanglipuro</t>
  </si>
  <si>
    <t>ADITYA MUNTOHAR</t>
  </si>
  <si>
    <t>Nurfajriyyah Baiti</t>
  </si>
  <si>
    <t>Halimatus Novia Mukhayyaroh</t>
  </si>
  <si>
    <t>Yuni Ely Fitri</t>
  </si>
  <si>
    <t>Septian Yoga Krisnadi</t>
  </si>
  <si>
    <t>Marina Indah Prasasti</t>
  </si>
  <si>
    <t>Khabibul Ma'rif</t>
  </si>
  <si>
    <t>Efrilia Rahmawati Sukma</t>
  </si>
  <si>
    <t>Adinda Maharani Suryaningrum</t>
  </si>
  <si>
    <t>https://drive.google.com/open?id=1JNcgZ59fa_kKtT0fXm78eux6Um6S3Y8LBMXoUiGrf2w&amp;usp=drive_copy</t>
  </si>
  <si>
    <t>Tulasan, Mulyodadi, Bambanglipuro</t>
  </si>
  <si>
    <t>Annisa Octavia Nur Rohmah</t>
  </si>
  <si>
    <t>Radif Munawar Husein</t>
  </si>
  <si>
    <t>Nurzahrawani Aninda Zakiyah</t>
  </si>
  <si>
    <t>Yeyen Agustina</t>
  </si>
  <si>
    <t>Ferdyan Ananta Yudatama Irawan</t>
  </si>
  <si>
    <t>Qoyum Milati Tri Rejeki</t>
  </si>
  <si>
    <t>Andika Tri Ramadhani</t>
  </si>
  <si>
    <t>Latifah Ananda</t>
  </si>
  <si>
    <t>Aurel Geawinamurti</t>
  </si>
  <si>
    <t>https://drive.google.com/open?id=1Jeqq8a6eQeAFJgcuEBZmj2cqIC2znoYyZT-OvV39pY4&amp;usp=drive_copy</t>
  </si>
  <si>
    <t>Jomblang, Mulyodadi, Bambanglipuro</t>
  </si>
  <si>
    <t>MUHAMMAD HUSEIN</t>
  </si>
  <si>
    <t>Ainazzahra Damaryani</t>
  </si>
  <si>
    <t>Mufidatul Hasanah</t>
  </si>
  <si>
    <t>Ristawati Ayuning Tyas</t>
  </si>
  <si>
    <t>Hernan Dwi Anindita</t>
  </si>
  <si>
    <t>Dita Islamiati</t>
  </si>
  <si>
    <t>Muhammad Aulia Ramadan</t>
  </si>
  <si>
    <t>Erlina Dwi Mumpuni</t>
  </si>
  <si>
    <t>Kartika Puspita Anggraini</t>
  </si>
  <si>
    <t>https://drive.google.com/open?id=1L5vtww-CHU4fACZrzXt5nk2pfWiLXeHt6bazKm20Y6s&amp;usp=drive_copy</t>
  </si>
  <si>
    <t>Solikhah, SKM.,M.Kes.,Dr.PH</t>
  </si>
  <si>
    <t>Ngireng-ireng, Sidomulyo, Bambanglipuro</t>
  </si>
  <si>
    <t>SARIFA NURMALA DEWI</t>
  </si>
  <si>
    <t>Gea Nevea</t>
  </si>
  <si>
    <t>Wanda Arifin</t>
  </si>
  <si>
    <t>Novta Indah Sari</t>
  </si>
  <si>
    <t>Dienda Dadari</t>
  </si>
  <si>
    <t>Rizki Ashada</t>
  </si>
  <si>
    <t>Khumairoh Fatonah</t>
  </si>
  <si>
    <t>Sigit Kurniawan</t>
  </si>
  <si>
    <t>Asti Difa Rosyada</t>
  </si>
  <si>
    <t>https://drive.google.com/open?id=1JrvEcBNIHds45QH3qMfqRQ_H-9ayBh5To_hJDicSlVE&amp;usp=drive_copy</t>
  </si>
  <si>
    <t>Kepuh, Mulyodadi, Bambanglipuro</t>
  </si>
  <si>
    <t>Erinne Kusumandari</t>
  </si>
  <si>
    <t>Muhammad Panca Banyu Aji</t>
  </si>
  <si>
    <t>Shinta Ayu Astri Putri</t>
  </si>
  <si>
    <t>Dina Nurleva</t>
  </si>
  <si>
    <t>Galing Susilo</t>
  </si>
  <si>
    <t>Novita Indah Parawansa</t>
  </si>
  <si>
    <t>Bayu Dwi Prasetya</t>
  </si>
  <si>
    <t>Nadia Karima Azzahra</t>
  </si>
  <si>
    <t>Renita Ardiva</t>
  </si>
  <si>
    <t>https://drive.google.com/open?id=1eHfVIuJUr35UiXp2DSH52bJfSrZ0A3gREZI4-n7FaQk&amp;usp=drive_copy</t>
  </si>
  <si>
    <t>Warungpring, Mulyodadi, Bambanglipuro</t>
  </si>
  <si>
    <t>Afilia Nuryani</t>
  </si>
  <si>
    <t>Wahyu Kurniawan</t>
  </si>
  <si>
    <t>Sri Risnawati</t>
  </si>
  <si>
    <t>Aulia Ramadlonna</t>
  </si>
  <si>
    <t>Sri Rahmanda Sinatrya</t>
  </si>
  <si>
    <t>Indah Septiani</t>
  </si>
  <si>
    <t>Muhammad Rizky Novryanda</t>
  </si>
  <si>
    <t>Berliany Cantika Calissa Utari</t>
  </si>
  <si>
    <t>Irena Pramudita Utami</t>
  </si>
  <si>
    <t>0857-4183-2527</t>
  </si>
  <si>
    <t>https://drive.google.com/open?id=1gjKJcc4fjEHs9bZ7AL5vU3ozaX0XeN59sr1bDdfFhDo&amp;usp=drive_copy</t>
  </si>
  <si>
    <t>Okimustava, S.Pd., M.Pd.Si.</t>
  </si>
  <si>
    <t>Kresen, Bantul, Bantul</t>
  </si>
  <si>
    <t>Indah Saputri</t>
  </si>
  <si>
    <t>Dhava Chairul Affan</t>
  </si>
  <si>
    <t>Cindy Dhiany Desvia</t>
  </si>
  <si>
    <t>Nina Wiyandari</t>
  </si>
  <si>
    <t>Rama Yupi Saputro</t>
  </si>
  <si>
    <t>Amalia Yulianoor</t>
  </si>
  <si>
    <t>Anas Maulana Gatie</t>
  </si>
  <si>
    <t>Afifah Devi Marchellia Putri</t>
  </si>
  <si>
    <t>Tiara Amalia Putri</t>
  </si>
  <si>
    <t>https://drive.google.com/open?id=1kL6-1SfMeQDGwpswzdsMj0l4OJ7UXeB_xxxjKQALUjg&amp;usp=drive_copy</t>
  </si>
  <si>
    <t>Bantul  Warung, Bantul, Bantul</t>
  </si>
  <si>
    <t>Anisa Rahma Lia</t>
  </si>
  <si>
    <t>Fauzi Abdul Fattah Munir</t>
  </si>
  <si>
    <t>Presha Yuristiani</t>
  </si>
  <si>
    <t>Kurniawati Hasanah</t>
  </si>
  <si>
    <t>Maulana Ibrahim</t>
  </si>
  <si>
    <t>Aqsalya Indira</t>
  </si>
  <si>
    <t>Fandi Novansyah</t>
  </si>
  <si>
    <t>Riza Nur Meidina</t>
  </si>
  <si>
    <t>Hidayatussalamah</t>
  </si>
  <si>
    <t>https://drive.google.com/open?id=1gjPzMk6r1lk_rGfRozFpEda6K5epzOqzLFAaYER5X3w&amp;usp=drive_copy</t>
  </si>
  <si>
    <t>Nyangkringan, Bantul, Bantul</t>
  </si>
  <si>
    <t>WULAN NIKEN SARI</t>
  </si>
  <si>
    <t>Nursafira Azzahra</t>
  </si>
  <si>
    <t>Rizqi Ramadhan</t>
  </si>
  <si>
    <t>Neny Yuliarti</t>
  </si>
  <si>
    <t>Maulinda Herni Pratiwi</t>
  </si>
  <si>
    <t>Muhamad Ikhlas Ramadhan</t>
  </si>
  <si>
    <t>Ferdi Maryanto</t>
  </si>
  <si>
    <t>Annisaa' Noer Sholihati</t>
  </si>
  <si>
    <t>Detada Goestinanda</t>
  </si>
  <si>
    <t>https://drive.google.com/open?id=1k_Gd0Vrw4G7BWPAuQERQkoSXk7sws1wdJ9vK8QoMMQo&amp;usp=drive_copy</t>
  </si>
  <si>
    <t>Khoiriyah Isni, S.KM.,M.Kes</t>
  </si>
  <si>
    <t>Badegan, Bantul, Bantul</t>
  </si>
  <si>
    <t>Nazmi M Nurendang</t>
  </si>
  <si>
    <t>Muhammad Ridho Rizky Syaputra</t>
  </si>
  <si>
    <t>Desy Herlina</t>
  </si>
  <si>
    <t>Alwia Fachraini Alting</t>
  </si>
  <si>
    <t>Yozza Amandha</t>
  </si>
  <si>
    <t>Rizky Khairiah</t>
  </si>
  <si>
    <t>Muhammad Miftakhurahman</t>
  </si>
  <si>
    <t>Tiara Zahra Nabilla</t>
  </si>
  <si>
    <t>Kinanti Nurul Khaera</t>
  </si>
  <si>
    <t>https://drive.google.com/open?id=1klx-jM_uw9hDg7VHOS0x529_pFTS9wvAdIFBexxrz1Q&amp;usp=drive_copy</t>
  </si>
  <si>
    <t>Karanggayam, Bantul, Bantul</t>
  </si>
  <si>
    <t>Valentina Vidia Rahayu</t>
  </si>
  <si>
    <t>Ababiel Isnaindra Prasetya</t>
  </si>
  <si>
    <t>Bella Mardatillah</t>
  </si>
  <si>
    <t>Tri Saktiawati</t>
  </si>
  <si>
    <t>Muhammad Andre Pratama</t>
  </si>
  <si>
    <t>Hanny Handayani Sucinta</t>
  </si>
  <si>
    <t>Ardiansyah Salman Fahreza</t>
  </si>
  <si>
    <t>Nanda Novi Nugrahani</t>
  </si>
  <si>
    <t>Yurika Nurul Fauziah</t>
  </si>
  <si>
    <t>https://drive.google.com/open?id=1l_3BOphgSKiWS005QTyeceTwr4E4b1r5573yNsuQWMQ&amp;usp=drive_copy</t>
  </si>
  <si>
    <t>Serayu, Bantul, Bantul</t>
  </si>
  <si>
    <t>Yesi Triyaningtias</t>
  </si>
  <si>
    <t>Muhamad Gathan Bimantara</t>
  </si>
  <si>
    <t>Rosa Rahayu Mintarsih</t>
  </si>
  <si>
    <t>Nur Ameliah Ramadani Zubair</t>
  </si>
  <si>
    <t>Faisal Abdul Ghaffar Munir</t>
  </si>
  <si>
    <t>Kharisma Kusuma Dewi</t>
  </si>
  <si>
    <t>Islami Giswa Ari Putranto</t>
  </si>
  <si>
    <t>Luthfiana Rahmani Dewi</t>
  </si>
  <si>
    <t>Adelia Prida Safasyahdani</t>
  </si>
  <si>
    <t>https://drive.google.com/open?id=1mRWp6cNSWVFM1mVPDKYl_lNOIvvSDoo0DPXuRJ6zqEA&amp;usp=drive_copy</t>
  </si>
  <si>
    <t>apt. Lalu Muhammad Irham, S.Farm., M.Farm., Ph</t>
  </si>
  <si>
    <t>Babadan, Bantul, Bantul</t>
  </si>
  <si>
    <t>Ayu Sekar Mirah</t>
  </si>
  <si>
    <t>M.akbar Arifudin</t>
  </si>
  <si>
    <t>Eva KusnulKhotimah</t>
  </si>
  <si>
    <t>Urwahni Aprita Sandy</t>
  </si>
  <si>
    <t>Zulkarnen</t>
  </si>
  <si>
    <t>Pradana Eka Prameswari</t>
  </si>
  <si>
    <t>Chairul Arifin</t>
  </si>
  <si>
    <t>Alfina Nur Anjeli Safitri</t>
  </si>
  <si>
    <t>Aldairasyah</t>
  </si>
  <si>
    <t>https://drive.google.com/open?id=1otcXblFr9qww47uEYhaUS54PBj0BwNGf-EZ8AjS8yH4&amp;usp=drive_copy</t>
  </si>
  <si>
    <t>Bejen, Bantul, Bantul</t>
  </si>
  <si>
    <t>PUSPA SUCI KARTIKASARI</t>
  </si>
  <si>
    <t>HANIFAH RIHHADATUL AISY</t>
  </si>
  <si>
    <t>MUHAMMAD NAUFAL ADITYAPUTRA</t>
  </si>
  <si>
    <t>Devita Ayuningtyas</t>
  </si>
  <si>
    <t>Riko Wirawan</t>
  </si>
  <si>
    <t>Anggi Astria Lestari</t>
  </si>
  <si>
    <t>Firdaus Syam</t>
  </si>
  <si>
    <t>Dinda Karmila Tarziah</t>
  </si>
  <si>
    <t>Astuti Komariah</t>
  </si>
  <si>
    <t>https://drive.google.com/open?id=1qgLOwy0qMyZjypJatUEWeJiPf1ATQNjxTaHAxolzp48&amp;usp=drive_copy</t>
  </si>
  <si>
    <t>Kurahan, Bantul, Bantul</t>
  </si>
  <si>
    <t>Dhiya'atul Izzati Tokan</t>
  </si>
  <si>
    <t>Gio Pramana</t>
  </si>
  <si>
    <t>Lisa Indah Saputri</t>
  </si>
  <si>
    <t>Farrah Diba</t>
  </si>
  <si>
    <t>Afnanda Muhammad Iqbal Saputra</t>
  </si>
  <si>
    <t>Iffa Putri Mahraini</t>
  </si>
  <si>
    <t>Aloysius Pandu Pramudyo</t>
  </si>
  <si>
    <t>Qonitah Salsabila</t>
  </si>
  <si>
    <t>Nur Fatonah</t>
  </si>
  <si>
    <t>https://drive.google.com/open?id=1rmyKhBbN1Af6kfYBIrOuy2lf0HNARvUX1rj6V5C8IXc&amp;usp=drive_copy</t>
  </si>
  <si>
    <t>Hapsoro Agung Jatmiko., S.T., M.Sc.</t>
  </si>
  <si>
    <t>Sumuran, Palbapang, Bantul</t>
  </si>
  <si>
    <t>AINUN SEPTIANA</t>
  </si>
  <si>
    <t>Fiki Nuraeni</t>
  </si>
  <si>
    <t>Asifa Rizky Al Banat</t>
  </si>
  <si>
    <t>Andesta Wahyu Ardhana</t>
  </si>
  <si>
    <t>Muhammad Farhan Naufal</t>
  </si>
  <si>
    <t>Novita Indriyani</t>
  </si>
  <si>
    <t>Dimas Aziz Prasetyo</t>
  </si>
  <si>
    <t>Fandi Laksmana Ardiansyah</t>
  </si>
  <si>
    <t>Salwa Hanidyas Raditanama</t>
  </si>
  <si>
    <t>https://drive.google.com/open?id=1vUXqua83v3x9zh05wORCmfx2chW-Q5N-YKl7HU7_xxk&amp;usp=drive_copy</t>
  </si>
  <si>
    <t>Taskombang, Palbapang, Bantul</t>
  </si>
  <si>
    <t>Nina Nindiyasari</t>
  </si>
  <si>
    <t>Maya Wulandari</t>
  </si>
  <si>
    <t>Muhammad Fachrul Yusrinullah</t>
  </si>
  <si>
    <t>Siska Umi Latifah</t>
  </si>
  <si>
    <t>Attoriq Nurohman Soleh</t>
  </si>
  <si>
    <t>Nafisah Marfu'ah Hani</t>
  </si>
  <si>
    <t>Muhammad Kholid Syaifuddin</t>
  </si>
  <si>
    <t>Dila Saniyan Jaya Putri</t>
  </si>
  <si>
    <t>Arum Kusuma Putri</t>
  </si>
  <si>
    <t>https://drive.google.com/open?id=1vVWJqM_ZEbT8aB0cn9bEM5_yDhPt4R5bzNmGTet2Orw&amp;usp=drive_copy</t>
  </si>
  <si>
    <t>Karasan, Palbapang, Bantul</t>
  </si>
  <si>
    <t>Pradeska</t>
  </si>
  <si>
    <t>Rohmad Ridhoi</t>
  </si>
  <si>
    <t>Neno Halimatus Syadiah</t>
  </si>
  <si>
    <t>Siska Ramadian</t>
  </si>
  <si>
    <t>Davin Ega Naldo</t>
  </si>
  <si>
    <t>Imas Massiroh</t>
  </si>
  <si>
    <t>Firmansyah Budi Laksana</t>
  </si>
  <si>
    <t>Laili Kamila Nur Azizah</t>
  </si>
  <si>
    <t>Rizka Zahara</t>
  </si>
  <si>
    <t>https://drive.google.com/open?id=1wMQbr05_r-X4uMyVsKJ8Ibj2ZQrvi7zlSBHbrv_H3VM&amp;usp=drive_copy</t>
  </si>
  <si>
    <t>Nur Alifah Septiani, S.S., M.A.</t>
  </si>
  <si>
    <t>Karangasem, Palbapang, Bantul</t>
  </si>
  <si>
    <t>Annisa Dwi Febriyanti</t>
  </si>
  <si>
    <t>Meli Febi Hanafi</t>
  </si>
  <si>
    <t>Muhammad Rizki Akbarridho</t>
  </si>
  <si>
    <t>Ananda Putri Haniyah</t>
  </si>
  <si>
    <t>Rizal Hernawan</t>
  </si>
  <si>
    <t>Nurfahrani</t>
  </si>
  <si>
    <t>Andika Bagus Pratama</t>
  </si>
  <si>
    <t>Leony</t>
  </si>
  <si>
    <t>Viona Stefany</t>
  </si>
  <si>
    <t>https://drive.google.com/open?id=1wY0EQWBPA5XkGfdYi5TQrYeuM9fq39UgRZeQC3E-7NU&amp;usp=drive_copy</t>
  </si>
  <si>
    <t>Dagaran, Palbapang, Bantul</t>
  </si>
  <si>
    <t>Reza Bella Septamara</t>
  </si>
  <si>
    <t>Hanif Rifai</t>
  </si>
  <si>
    <t>Indah Ayu Lestari</t>
  </si>
  <si>
    <t>Yuhyi Nufus</t>
  </si>
  <si>
    <t>Muhamad Bagus Sajiwo</t>
  </si>
  <si>
    <t>Khovipah Sri Wadari</t>
  </si>
  <si>
    <t>M. Rizki Eka Saputra</t>
  </si>
  <si>
    <t>Nikita Maylinda</t>
  </si>
  <si>
    <t>Serly Putri Cahyaningtiyas</t>
  </si>
  <si>
    <t>https://drive.google.com/open?id=1x9U92VBdOh3QgmPp4ZWEHEVYci7yySVeST9S6KdeL5I&amp;usp=drive_copy</t>
  </si>
  <si>
    <t>VI.D.3</t>
  </si>
  <si>
    <t>Kadirojo, Palbapang, Bantul</t>
  </si>
  <si>
    <t>LANDI</t>
  </si>
  <si>
    <t>Annisa Zulfa Dianah Lestari</t>
  </si>
  <si>
    <t>Zerintan Aprida</t>
  </si>
  <si>
    <t>Huda Aulia</t>
  </si>
  <si>
    <t>Muhammad Aqshal Alkoon</t>
  </si>
  <si>
    <t>Orchidia Angelica Puspa Nirmala</t>
  </si>
  <si>
    <t>Alby Anugrah</t>
  </si>
  <si>
    <t>Fadhila Faiza Amalia</t>
  </si>
  <si>
    <t>Alifa Nida Fauziyyah</t>
  </si>
  <si>
    <t>https://drive.google.com/open?id=13y-xpQPPXUCTfqu7A8owFAqLunprm0uplelyP_okWZU&amp;usp=drive_copy</t>
  </si>
  <si>
    <t>Peni, Palbapang, Bantul</t>
  </si>
  <si>
    <t>Lina Setyaningrum</t>
  </si>
  <si>
    <t>Rahmatialdi Yasifan Maulana</t>
  </si>
  <si>
    <t>Adek Vina Oktafiana</t>
  </si>
  <si>
    <t>Latifah Sholihah</t>
  </si>
  <si>
    <t>Izzul Faturrizky</t>
  </si>
  <si>
    <t>Nadya Cantika Putri Abdun</t>
  </si>
  <si>
    <t>Arif Okta Saputra</t>
  </si>
  <si>
    <t>Hanna Farindha Antika</t>
  </si>
  <si>
    <t>Alif Fajar Restiyanti</t>
  </si>
  <si>
    <t>https://drive.google.com/open?id=1ACl9i5ZG6F4mvLHP2SlwmLtMsamk9D5X0Ge7b1sU7YA&amp;usp=drive_copy</t>
  </si>
  <si>
    <t>Ngringinan, Palbapang, Bantul</t>
  </si>
  <si>
    <t>MOCHAMAD TEGAR AULIA</t>
  </si>
  <si>
    <t>Nur Alizzah Zahratunnisa</t>
  </si>
  <si>
    <t>Wisnu Alkhowarizmi.a.</t>
  </si>
  <si>
    <t>Riva Wahyu Kartika Putri</t>
  </si>
  <si>
    <t>Riska Kurnia Putri</t>
  </si>
  <si>
    <t>Reza Mahendra</t>
  </si>
  <si>
    <t>Aulia Husnul Khotimah</t>
  </si>
  <si>
    <t>Shinta Syahne Jauhari</t>
  </si>
  <si>
    <t>Pitriya Rahmawati</t>
  </si>
  <si>
    <t>https://drive.google.com/open?id=1BKzQyLoS7BSuZsRkiQApevcj2ZXn00Z3B8t-7Elt1lM&amp;usp=drive_copy</t>
  </si>
  <si>
    <t>Serut, Palbapang, Bantul</t>
  </si>
  <si>
    <t>Nanda Rahma Putri</t>
  </si>
  <si>
    <t>Itsnaini Novia Nur Syahbani</t>
  </si>
  <si>
    <t>Yovi Sepriansyah</t>
  </si>
  <si>
    <t>Sunia Risdiani</t>
  </si>
  <si>
    <t>M. Abhysta Huda Arrofif</t>
  </si>
  <si>
    <t>Alviahtu Zakiah</t>
  </si>
  <si>
    <t>Mohamad Budi Santosa</t>
  </si>
  <si>
    <t>Via Listiana</t>
  </si>
  <si>
    <t>Ulfa Aqilia Farhani</t>
  </si>
  <si>
    <t>https://drive.google.com/open?id=1GcfTeM06fL2h2DFNzZR1dtc4_cQ7sTpi7l_fflQK_YA&amp;usp=drive_copy</t>
  </si>
  <si>
    <t>Dr. Ika Maryani, S.Pd., M.Pd.</t>
  </si>
  <si>
    <t>Bantul Karang, Ringinharjo, Bantul</t>
  </si>
  <si>
    <t>Defi Puspitasari</t>
  </si>
  <si>
    <t>Wiliyam Permana</t>
  </si>
  <si>
    <t>Tria Nurchamida Abelia Sinta</t>
  </si>
  <si>
    <t>Siti Isro Khusnul Chotimah</t>
  </si>
  <si>
    <t>Hamdan Farid Ngayomi</t>
  </si>
  <si>
    <t>Marwah Silvia Sasmita</t>
  </si>
  <si>
    <t>Alfin Nazmi Yusuf</t>
  </si>
  <si>
    <t>Lisky Ayu Wansa</t>
  </si>
  <si>
    <t>Yessi Yustia Afifiani</t>
  </si>
  <si>
    <t>https://drive.google.com/open?id=1MF1fk8rVZIAco5Gnx8McsNwYVhLmA4lyw1YLhUMKXhU&amp;usp=drive_copy</t>
  </si>
  <si>
    <t>Deresan, Ringinharjo, Bantul</t>
  </si>
  <si>
    <t>Kikky Atma Apriliyanti</t>
  </si>
  <si>
    <t>Fauzi Nur Ardianto</t>
  </si>
  <si>
    <t>Liris Ayu Safitri</t>
  </si>
  <si>
    <t>Fauzira Fitri Rosida</t>
  </si>
  <si>
    <t>Irsyad Al Farisi</t>
  </si>
  <si>
    <t>Istianah Retnaningtyas Handayani</t>
  </si>
  <si>
    <t>Asraf Asbillah</t>
  </si>
  <si>
    <t>Irmawati</t>
  </si>
  <si>
    <t>Mia Amalia</t>
  </si>
  <si>
    <t>https://drive.google.com/open?id=1WrO6d4_riEipMV3EXQ2EjXaQ2I5IYdIl5Mo4aYGadQg&amp;usp=drive_copy</t>
  </si>
  <si>
    <t>Gemahan, Ringinharjo, Bantul</t>
  </si>
  <si>
    <t>NURDIENA AINUZZAMANIA</t>
  </si>
  <si>
    <t>Resti Diah Silviani</t>
  </si>
  <si>
    <t>Maritsa Chazimah</t>
  </si>
  <si>
    <t>Fikri Aula Rizki</t>
  </si>
  <si>
    <t>Ispi Aulia Rahma</t>
  </si>
  <si>
    <t>Maulana Iqbal Alvany</t>
  </si>
  <si>
    <t>Dara Audia Diliano</t>
  </si>
  <si>
    <t>Pandu Dwi Utama</t>
  </si>
  <si>
    <t>Ela Lolitasari</t>
  </si>
  <si>
    <t>085382617078/081359102588</t>
  </si>
  <si>
    <t>https://drive.google.com/open?id=1mTnATP6SNd_2SY_eHs-Bqbc6X5cLrzmtKhuS0qCmXzc&amp;usp=drive_copy</t>
  </si>
  <si>
    <t>Mandingan, Ringinharjo, Bantul</t>
  </si>
  <si>
    <t>Nur'fajrina Junia Azzahra</t>
  </si>
  <si>
    <t>Zaidan Ramadhani</t>
  </si>
  <si>
    <t>Indah Fatmasari</t>
  </si>
  <si>
    <t>Nur Imaniatul Fitriah Kumkelo</t>
  </si>
  <si>
    <t>Muhammad Aditya Jamil</t>
  </si>
  <si>
    <t>Firlana Luchiana Dewi</t>
  </si>
  <si>
    <t>Hanif Marmernindo Nugroho</t>
  </si>
  <si>
    <t>Sri Wulandari</t>
  </si>
  <si>
    <t>Dina Wicun</t>
  </si>
  <si>
    <t>https://drive.google.com/open?id=1qTpeEQnt9Rpk-icmqGc9J1CNga9ryRfyiIzmEt_-ehQ&amp;usp=drive_copy</t>
  </si>
  <si>
    <t>Soropaten, Ringinharjo, Bantul</t>
  </si>
  <si>
    <t>Maria Ulfa</t>
  </si>
  <si>
    <t>Dimas Buana Putra Prabowo</t>
  </si>
  <si>
    <t>Kevita Wurdiningsih</t>
  </si>
  <si>
    <t>Tris Adiningsih</t>
  </si>
  <si>
    <t>Muh Affan Rusyaidi</t>
  </si>
  <si>
    <t>Bella Saphira</t>
  </si>
  <si>
    <t>Fahmi Maulana Firdaus</t>
  </si>
  <si>
    <t>Febrina Ananda Sari</t>
  </si>
  <si>
    <t>Safira Rona Mahmudah</t>
  </si>
  <si>
    <t>0882-9366-8614</t>
  </si>
  <si>
    <t>https://drive.google.com/open?id=103KL_VjoShnKTLjchsuvs_etS-tYQqzNE8Dbs_m5QYo&amp;usp=drive_copy</t>
  </si>
  <si>
    <t>Gumuk, Ringinharjo, Bantul</t>
  </si>
  <si>
    <t>Tara Pringga Yudha</t>
  </si>
  <si>
    <t>Fakhri Misbahuddin</t>
  </si>
  <si>
    <t>Hani Indriyani</t>
  </si>
  <si>
    <t>Siti Sofiah Abdul Mutalib Ibrahim</t>
  </si>
  <si>
    <t>Mushab Fitra Hanan</t>
  </si>
  <si>
    <t>Roro Muninggar Radita Aryani</t>
  </si>
  <si>
    <t>Tenri Reski Wahyu</t>
  </si>
  <si>
    <t>Galang Yuri Ramadhan</t>
  </si>
  <si>
    <t>Khaliyatul Khasanah</t>
  </si>
  <si>
    <t>https://drive.google.com/open?id=17qWmDGno2f-lqhJn0NXfqFhjW-rp-CZGjPw0JvZQt80&amp;usp=drive_copy</t>
  </si>
  <si>
    <t>Nur Syarianingsih Syam, S.K.M., M.Kes.</t>
  </si>
  <si>
    <t>Dukuh, Sabdodadi, Bantul</t>
  </si>
  <si>
    <t>Lucky Resta Widias Putri</t>
  </si>
  <si>
    <t>Fikri Aditya Pradana</t>
  </si>
  <si>
    <t>Tsaqufa Najiba As-shalikhah</t>
  </si>
  <si>
    <t>Ika Sartika</t>
  </si>
  <si>
    <t>Wafianda Azhar</t>
  </si>
  <si>
    <t>Rosena Melenia Sari</t>
  </si>
  <si>
    <t>Rizky Alida</t>
  </si>
  <si>
    <t>Reza Wardhani Yuliananda</t>
  </si>
  <si>
    <t>Indah Ayuningtyas</t>
  </si>
  <si>
    <t>Su Zihua</t>
  </si>
  <si>
    <t>Wei Bocheng</t>
  </si>
  <si>
    <t>https://drive.google.com/open?id=1BbO3XwPgprrRzRbJNU782pgl77q3nT4WmQQznQPUp9c&amp;usp=drive_copy</t>
  </si>
  <si>
    <t>Manding, Sabdodadi, Bantul</t>
  </si>
  <si>
    <t>Annida Qurrotu 'ainii</t>
  </si>
  <si>
    <t>Tias Lesinia Yusita</t>
  </si>
  <si>
    <t>Sandi</t>
  </si>
  <si>
    <t>Dianita Titis Puspita Ningrum</t>
  </si>
  <si>
    <t>Siti Lathifah Tsaqila</t>
  </si>
  <si>
    <t>Reza Agung Prasetya</t>
  </si>
  <si>
    <t>Miftakhur Rohmah</t>
  </si>
  <si>
    <t>Muhammad Rafi Tam Ramadhan</t>
  </si>
  <si>
    <t>Tia Natifa</t>
  </si>
  <si>
    <t>https://drive.google.com/open?id=1JsKkfTNpHQ6vgUslFSEQ7lK1l-YE9XAKa-CpJKgkhII&amp;usp=drive_copy</t>
  </si>
  <si>
    <t>VII.D.3</t>
  </si>
  <si>
    <t>Neco, Sabdodadi, Bantul</t>
  </si>
  <si>
    <t>Ayuningtyas Nurul Dzakiyyah</t>
  </si>
  <si>
    <t>Azzah Kania Pinka</t>
  </si>
  <si>
    <t>Edi Mulyady</t>
  </si>
  <si>
    <t>Eva Nurliana</t>
  </si>
  <si>
    <t>Ocha Maulidya</t>
  </si>
  <si>
    <t>Ankaa Akbar Fauzan</t>
  </si>
  <si>
    <t>Ilham Ramadan</t>
  </si>
  <si>
    <t>Eka Diana Cahyanita Doda</t>
  </si>
  <si>
    <t>Cerrila Alamanda</t>
  </si>
  <si>
    <t>https://drive.google.com/open?id=1N2b5eyYI6AWlfXQTEv_JxnPRRXHfsXF9RjK4Z3AUhcM&amp;usp=drive_copy</t>
  </si>
  <si>
    <t>VIII.A.1</t>
  </si>
  <si>
    <t>Deasy Vanda Pertiwi, S.Farm., M.Sc., Apt</t>
  </si>
  <si>
    <t>Bogoran, Trirenggo, Bantul</t>
  </si>
  <si>
    <t>Yayah Mulyani</t>
  </si>
  <si>
    <t>Aqhila Ridha Laksita</t>
  </si>
  <si>
    <t>Adam Aqshal</t>
  </si>
  <si>
    <t>Nurul Ulfa</t>
  </si>
  <si>
    <t>Amiratur Rafifah</t>
  </si>
  <si>
    <t>Dani Setiawan Saputra</t>
  </si>
  <si>
    <t>Mutiara Cahya Pertiwi</t>
  </si>
  <si>
    <t>Sarifudin</t>
  </si>
  <si>
    <t>Nisrina Qatrunnada</t>
  </si>
  <si>
    <t>Wang Chunning</t>
  </si>
  <si>
    <t>Li Yuyan</t>
  </si>
  <si>
    <t>https://drive.google.com/open?id=1PFDpdbRVgz9VZlbHvv8WiY0UgO0HMj0hu7D7L2XJeho&amp;usp=drive_copy</t>
  </si>
  <si>
    <t>VIII.A.2</t>
  </si>
  <si>
    <t>Gempolan, Trirenggo, Bantul</t>
  </si>
  <si>
    <t>Ajeng Mayna Sari</t>
  </si>
  <si>
    <t>Wulan Fitria</t>
  </si>
  <si>
    <t>Yoga Anggara</t>
  </si>
  <si>
    <t>Nurul Magfirah</t>
  </si>
  <si>
    <t>M. Jhoni Akmar Dalimunthe</t>
  </si>
  <si>
    <t>Ika Puspita Dewi</t>
  </si>
  <si>
    <t>Caharani</t>
  </si>
  <si>
    <t>Muh Raihan Muzakki</t>
  </si>
  <si>
    <t>Meysa Fadlun Rubiyyati</t>
  </si>
  <si>
    <t>https://drive.google.com/open?id=1RCIJO0JhFeMMnnju70d3As6zQjRA7MVNAIpbilwf-fg&amp;usp=drive_copy</t>
  </si>
  <si>
    <t>VIII.A.3</t>
  </si>
  <si>
    <t>Klembon, Trirenggo, Bantul</t>
  </si>
  <si>
    <t>RAMDAN HARI NUGRAHA</t>
  </si>
  <si>
    <t>Riris Fatimah Azzahra Majid</t>
  </si>
  <si>
    <t>Silvia Anggraini</t>
  </si>
  <si>
    <t>Okta Indriyani</t>
  </si>
  <si>
    <t>Jihan Wala</t>
  </si>
  <si>
    <t>Raihan Hadi Nafi' Triwijayanto</t>
  </si>
  <si>
    <t>Anisa Nur Febriyanti</t>
  </si>
  <si>
    <t>Dipa Pangestu</t>
  </si>
  <si>
    <t>Sheriena Mega Putri</t>
  </si>
  <si>
    <t>https://drive.google.com/open?id=1SnY-xXs5HOXNXveC_LuuiSk2pUsKAxuGGzLZ8RZFv9k&amp;usp=drive_copy</t>
  </si>
  <si>
    <t>VIII.B.1</t>
  </si>
  <si>
    <t>Dr. Hardi Santosa, M.Pd.</t>
  </si>
  <si>
    <t>Zanet Tianida Shofy Hapsari</t>
  </si>
  <si>
    <t>Nur Rahmawati</t>
  </si>
  <si>
    <t>Muhammad Hazril</t>
  </si>
  <si>
    <t>Citra Suwita</t>
  </si>
  <si>
    <t>Mariam Melati</t>
  </si>
  <si>
    <t>Mohd.ridho Kurniawan</t>
  </si>
  <si>
    <t>Hafizatul Hasanah</t>
  </si>
  <si>
    <t>Insanul Aulia Amin</t>
  </si>
  <si>
    <t>Iis Widyastuti</t>
  </si>
  <si>
    <t>Zhou Zhengjin</t>
  </si>
  <si>
    <t>Wei Lanfeng</t>
  </si>
  <si>
    <t>https://drive.google.com/open?id=1U6kEjj_XDAOLOxEUaZbHGmj3dtJkSYFdJEZp8QL7Rb8&amp;usp=drive_copy</t>
  </si>
  <si>
    <t>VIII.B.2</t>
  </si>
  <si>
    <t>Fanny Rahmahdiyanti</t>
  </si>
  <si>
    <t>Faishal Agus Sulistyo</t>
  </si>
  <si>
    <t>Mimin Supraptiningsih</t>
  </si>
  <si>
    <t>Suci Nur Aeni</t>
  </si>
  <si>
    <t>Edo Kurniawan</t>
  </si>
  <si>
    <t>Larassaty Chandra Pakaya</t>
  </si>
  <si>
    <t>Maulana Rabbani Makasar</t>
  </si>
  <si>
    <t>Tsin'yanul Arsyi Filkhaqqi</t>
  </si>
  <si>
    <t>https://drive.google.com/open?id=1h_WoUgQLtAtpcxVeggaqOBw_o-opGErf0a4nla_B1Fc&amp;usp=drive_copy</t>
  </si>
  <si>
    <t>VIII.B.3</t>
  </si>
  <si>
    <t>Pasutan, Trirenggo, Bantul</t>
  </si>
  <si>
    <t>Dedek Mulyadi</t>
  </si>
  <si>
    <t>Lady Angen Nanti</t>
  </si>
  <si>
    <t>Fadailal Akmal Falah</t>
  </si>
  <si>
    <t>Ikah Yulia Purwaningsih</t>
  </si>
  <si>
    <t>Chika Trimarlani</t>
  </si>
  <si>
    <t>Farras Hanifatun</t>
  </si>
  <si>
    <t>Septian Dwi Rahmanza</t>
  </si>
  <si>
    <t>Laili Rizkiyati</t>
  </si>
  <si>
    <t>Adinda Icha Rohmadani</t>
  </si>
  <si>
    <t>https://drive.google.com/open?id=1hxgCjtNItbqkal9qqShLMIuRhyyoRk3nsd0Rq4-wTAg&amp;usp=drive_copy</t>
  </si>
  <si>
    <t>VIII.C.1</t>
  </si>
  <si>
    <t>Dedi Wijayanti, M.Hum.</t>
  </si>
  <si>
    <t>Septi Kurniawati</t>
  </si>
  <si>
    <t>Agung Prabawa</t>
  </si>
  <si>
    <t>Veryna</t>
  </si>
  <si>
    <t>Suci Nur Afika</t>
  </si>
  <si>
    <t>Aldi Febrianto</t>
  </si>
  <si>
    <t>Tsalitsa Hawanida</t>
  </si>
  <si>
    <t>Rizki Nur Alamsyah</t>
  </si>
  <si>
    <t>Dina Widhi Asmara</t>
  </si>
  <si>
    <t>Amri Indri Astuti</t>
  </si>
  <si>
    <t>Huang Wensheng</t>
  </si>
  <si>
    <t>Luo Yunfang</t>
  </si>
  <si>
    <t>https://drive.google.com/open?id=1iuCdBVo6yQTl4ndwwoIEo4D2WdYc9qxKbP1EaXrMQLs&amp;usp=drive_copy</t>
  </si>
  <si>
    <t>VIII.C.2</t>
  </si>
  <si>
    <t>BUNGA ARLITA FAJRIANNA</t>
  </si>
  <si>
    <t>Indah Octaviana</t>
  </si>
  <si>
    <t>Reksy Gumilang</t>
  </si>
  <si>
    <t>Nida Asma Karima</t>
  </si>
  <si>
    <t>Putri Ayu Pratiwi</t>
  </si>
  <si>
    <t>M. Jordan Brilian</t>
  </si>
  <si>
    <t>Ringga Ersha Ikhwani</t>
  </si>
  <si>
    <t>Qirani Eka Putri</t>
  </si>
  <si>
    <t>Hadi Sidiq</t>
  </si>
  <si>
    <t>Nurrabia Bunga Mara Patih</t>
  </si>
  <si>
    <t>https://drive.google.com/open?id=1n5sWZltpsIm7cJhQVrF0clyV2ytJPBWzGhoGAnVcXNU&amp;usp=drive_copy</t>
  </si>
  <si>
    <t>VIII.C.3</t>
  </si>
  <si>
    <t>Erlinda Komala Dewi</t>
  </si>
  <si>
    <t>Dewi Setio Wati</t>
  </si>
  <si>
    <t>Budiyono</t>
  </si>
  <si>
    <t>Cherlia Anggriani</t>
  </si>
  <si>
    <t>Ijanur Juhrah</t>
  </si>
  <si>
    <t>Gentha Muhamad Djamal</t>
  </si>
  <si>
    <t>Dinda Faiza Atha</t>
  </si>
  <si>
    <t>Muhammad Fahreza</t>
  </si>
  <si>
    <t>Ayu Nur Fadillah</t>
  </si>
  <si>
    <t>https://drive.google.com/open?id=1nx420kvbsr8urnff_BRIgmZ5gNnHMe2FuM8H9lD6XEY&amp;usp=drive_copy</t>
  </si>
  <si>
    <t>VIII.D.1</t>
  </si>
  <si>
    <t>Afit Istiandaru S.Pd., M.Pd</t>
  </si>
  <si>
    <t>Sragan, Trirenggo, Bantul</t>
  </si>
  <si>
    <t>Hastu Nur Shofiati</t>
  </si>
  <si>
    <t>Edo Ramdhan Alviandi</t>
  </si>
  <si>
    <t>Rakhima Sahida</t>
  </si>
  <si>
    <t>Ira Zahrani</t>
  </si>
  <si>
    <t>Putra Rizqa Yasira</t>
  </si>
  <si>
    <t>Utin Dhea Artyandra</t>
  </si>
  <si>
    <t>Candra Aditya</t>
  </si>
  <si>
    <t>Aa' Nissa Sofyant</t>
  </si>
  <si>
    <t>Leni Ariayanti</t>
  </si>
  <si>
    <t>Lu Yuchen</t>
  </si>
  <si>
    <t>Lv Lishi</t>
  </si>
  <si>
    <t>https://drive.google.com/open?id=1oxvmIEAZSSpHSnqlebeMmpTXTl0exGkduKLiQzbjp00&amp;usp=drive_copy</t>
  </si>
  <si>
    <t>VIII.D.2</t>
  </si>
  <si>
    <t>Revilia Fatimahningrum</t>
  </si>
  <si>
    <t>Mohammad Henry Setyoko Zaelani</t>
  </si>
  <si>
    <t>Iven Des Tatan Hastina</t>
  </si>
  <si>
    <t>Serliana Nurhasanah</t>
  </si>
  <si>
    <t>Fatur Baharuddin Akmal</t>
  </si>
  <si>
    <t>Rachmahidayah</t>
  </si>
  <si>
    <t>M. Erwin Perdana</t>
  </si>
  <si>
    <t>Septi Trisnalia</t>
  </si>
  <si>
    <t>Adhe Sukma Berliyana</t>
  </si>
  <si>
    <t>https://drive.google.com/open?id=1qnUnVWn2kRKO8oLDUSWhjsxsZYJJh5ofKS5i2hS0Prk&amp;usp=drive_copy</t>
  </si>
  <si>
    <t>VIII.D.3</t>
  </si>
  <si>
    <t>Kweden, Trirenggo, Bantul</t>
  </si>
  <si>
    <t>Febria Novita Sari</t>
  </si>
  <si>
    <t>Reihana Fitria Wardhani</t>
  </si>
  <si>
    <t>Yoga Arda Saputra</t>
  </si>
  <si>
    <t>Sevira Anggelia</t>
  </si>
  <si>
    <t>Arvin Destantya Ryanandra Ramadhan</t>
  </si>
  <si>
    <t>Selfi Riza Maulina</t>
  </si>
  <si>
    <t>Yunda Iftiani</t>
  </si>
  <si>
    <t>Fredy Giantoro</t>
  </si>
  <si>
    <t>Nabiila Azzahra</t>
  </si>
  <si>
    <t>https://drive.google.com/open?id=1sHX0KoJRZc74ISydtKpHe0VS4-7QQtWaOe8XLATipOk&amp;usp=drive_copy</t>
  </si>
  <si>
    <t>IX.A.1</t>
  </si>
  <si>
    <t>Ngunan-unan, Srigading, Sanden</t>
  </si>
  <si>
    <t>Aat Rahmadhannia Dyah Prihatini</t>
  </si>
  <si>
    <t>Sulistiyono Arifin</t>
  </si>
  <si>
    <t>Sella Abdalin</t>
  </si>
  <si>
    <t>Septi Dwi Lestari</t>
  </si>
  <si>
    <t>Robby Firdauzy Alfenjy</t>
  </si>
  <si>
    <t>Desiska Awliya Zahwa</t>
  </si>
  <si>
    <t>Mahaputra Dimas Widya Andhika</t>
  </si>
  <si>
    <t>Septi Nurliana</t>
  </si>
  <si>
    <t>Siti Nur Annisa</t>
  </si>
  <si>
    <t>https://drive.google.com/open?id=1zBfcx0TdF003nr_rzPiSnZ4drRXMsiwquWfhrFJ0A54&amp;usp=drive_copy</t>
  </si>
  <si>
    <t>IX.A.2</t>
  </si>
  <si>
    <t>Wuluhadeg, Srigading, Sanden</t>
  </si>
  <si>
    <t>Fadilla Tazkiyatun Nisa Arfai</t>
  </si>
  <si>
    <t>Suroto</t>
  </si>
  <si>
    <t>Dinda Ayu Puspa Yanni</t>
  </si>
  <si>
    <t>Rahma Agustina</t>
  </si>
  <si>
    <t>Amiroh Winda Awalia</t>
  </si>
  <si>
    <t>Muhammad Naufal Hafizh</t>
  </si>
  <si>
    <t>Fahilul Rafli</t>
  </si>
  <si>
    <t>Ria Nur Widiati</t>
  </si>
  <si>
    <t>Nur Husna Atikah</t>
  </si>
  <si>
    <t>https://drive.google.com/open?id=1-PkSCXaCqEA_VP1iUd0aZ4Dn8bKiT18hTPXtvMWMLOI&amp;usp=drive_copy</t>
  </si>
  <si>
    <t>IX.A.3</t>
  </si>
  <si>
    <t>Wirosutan, Srigading, Sanden</t>
  </si>
  <si>
    <t>Sayang Devalisa Harahap</t>
  </si>
  <si>
    <t>Gatra Pamungkas</t>
  </si>
  <si>
    <t>Fadhilla Eka Roshydta</t>
  </si>
  <si>
    <t>Luky Winda Saputri</t>
  </si>
  <si>
    <t>Alfi Khaerin</t>
  </si>
  <si>
    <t>Siti Nurhayati</t>
  </si>
  <si>
    <t>Danang Ramadhan Priambodo</t>
  </si>
  <si>
    <t>Farah Julia Silva</t>
  </si>
  <si>
    <t>Helena Febiola</t>
  </si>
  <si>
    <t>0822-8800-9464</t>
  </si>
  <si>
    <t>0859-3029-0071</t>
  </si>
  <si>
    <t>https://drive.google.com/open?id=10KSMWY1j7Zp9u_vkU1WsZAnqSniXIe-GwxlHsYPPdyQ&amp;usp=drive_copy</t>
  </si>
  <si>
    <t>IX.B.1</t>
  </si>
  <si>
    <t>Adhitya Rechandy Christian, S.E., M.M.</t>
  </si>
  <si>
    <t>Srabahan, Srigading, Sanden</t>
  </si>
  <si>
    <t>Vinny Aprilinsia</t>
  </si>
  <si>
    <t>Fahrizal Yudatama</t>
  </si>
  <si>
    <t>Sherina</t>
  </si>
  <si>
    <t>Alderinda Kisanaggari</t>
  </si>
  <si>
    <t>Dea Puspita Sari</t>
  </si>
  <si>
    <t>Muhammad Fahrul Habisha Arya Desmana</t>
  </si>
  <si>
    <t>Anisha Maharany</t>
  </si>
  <si>
    <t>Muhamad Yusup Efendi</t>
  </si>
  <si>
    <t>Rofa Afifah Noor Sholihatien</t>
  </si>
  <si>
    <t>https://drive.google.com/open?id=10rSsdMFG_Z0Uwv1XwEOPegONArA48eFzWIqg21PpqOs&amp;usp=drive_copy</t>
  </si>
  <si>
    <t>IX.B.2</t>
  </si>
  <si>
    <t>Gokerten, Srigading, Sanden</t>
  </si>
  <si>
    <t>Laila Wafda Amalia</t>
  </si>
  <si>
    <t>Mahfudi Sahli</t>
  </si>
  <si>
    <t>Dewi Rohmaningsih</t>
  </si>
  <si>
    <t>Nopiana Kartika Sari</t>
  </si>
  <si>
    <t>Andi Alifia Malika Azzahra</t>
  </si>
  <si>
    <t>A. Hasbi Zulfikar</t>
  </si>
  <si>
    <t>Husna Nur An-naajiyah</t>
  </si>
  <si>
    <t>Dwiky Rachmad Pangeran</t>
  </si>
  <si>
    <t>Indah Purwanda</t>
  </si>
  <si>
    <t>https://drive.google.com/open?id=10r_UsZUdmg54QO7bo8serIG-MqG3xlhPZDRdK2r9Kpw&amp;usp=drive_copy</t>
  </si>
  <si>
    <t>IX.B.3</t>
  </si>
  <si>
    <t>Sangkeh, Srigading, Sanden</t>
  </si>
  <si>
    <t>Aisya Noorrahma</t>
  </si>
  <si>
    <t>Susanto</t>
  </si>
  <si>
    <t>Tifani Luqi Kirana</t>
  </si>
  <si>
    <t>Fernina Putri Wulandari</t>
  </si>
  <si>
    <t>Shany Sasnita Andriani</t>
  </si>
  <si>
    <t>Rizqi Praimadi Rosalin</t>
  </si>
  <si>
    <t>Desinta Vanesti Safala</t>
  </si>
  <si>
    <t>M Rebi Zidandi Arzi</t>
  </si>
  <si>
    <t>Ellyka Andriana</t>
  </si>
  <si>
    <t>https://drive.google.com/open?id=14GktVkRn0hcgPE5YqXFMiYhXUeLQl4jqYJtvFgF6hTU&amp;usp=drive_copy</t>
  </si>
  <si>
    <t>IX.C.1</t>
  </si>
  <si>
    <t>Malangan, Srigading, Sanden</t>
  </si>
  <si>
    <t>SYAHRUL RIZKY MUBARAK</t>
  </si>
  <si>
    <t>Fitria Nur Aulya</t>
  </si>
  <si>
    <t>M. Sadid Mizfar</t>
  </si>
  <si>
    <t>Renti Renita Hanum</t>
  </si>
  <si>
    <t>Kavita Istitania Tri Buana Putri</t>
  </si>
  <si>
    <t>Anjasmoro Tri Chorisa</t>
  </si>
  <si>
    <t>Nurul Ngazizah</t>
  </si>
  <si>
    <t>Lailatur Rokhimah</t>
  </si>
  <si>
    <t>Bassanti Santika Dewi Fitriani</t>
  </si>
  <si>
    <t>https://drive.google.com/open?id=15QfApwuhEO15jiw3v1uAAyQWvf6mevK46wqYBH7wyas&amp;usp=drive_copy</t>
  </si>
  <si>
    <t>IX.C.2</t>
  </si>
  <si>
    <t>Dengokan, Srigading, Sanden</t>
  </si>
  <si>
    <t>NURUL HIZBULLAH</t>
  </si>
  <si>
    <t>Dessy Fitriani Putri</t>
  </si>
  <si>
    <t>Huzen Umar Wibawa</t>
  </si>
  <si>
    <t>Happy Sulistyo Laras</t>
  </si>
  <si>
    <t>Uzlifatul Fardita Hapsari</t>
  </si>
  <si>
    <t>Fachry Hanif Nizhan</t>
  </si>
  <si>
    <t>Cyntia Dwi Ihromi</t>
  </si>
  <si>
    <t>Fitrah Nawafil Tamin</t>
  </si>
  <si>
    <t>Nikmatin Muyasaroh</t>
  </si>
  <si>
    <t>085945475819 / 082124089400</t>
  </si>
  <si>
    <t>https://drive.google.com/open?id=12gWK6tQNOTSZt94ws7BXA73VCpywG_LlVxI9ulMbO8E&amp;usp=drive_copy</t>
  </si>
  <si>
    <t>IX.C.3</t>
  </si>
  <si>
    <t>Dodogan, Srigading, Sanden</t>
  </si>
  <si>
    <t>MAULIDA RAHMA</t>
  </si>
  <si>
    <t>Devi Kumala Sari</t>
  </si>
  <si>
    <t>Syafrizal Cahya Dzikriansyah</t>
  </si>
  <si>
    <t>Anggelina Apriyonika</t>
  </si>
  <si>
    <t>Nia Oktariana</t>
  </si>
  <si>
    <t>Ifta Rutaillah</t>
  </si>
  <si>
    <t>Nagala Wangsa Kencana</t>
  </si>
  <si>
    <t>Ahmad Ali Baidawi</t>
  </si>
  <si>
    <t>Avni Alfiani</t>
  </si>
  <si>
    <t>https://drive.google.com/open?id=17cM9UFvvKqifEPwUjT3QS4xTRbFQ0_UZl_eZ-jq2rzk&amp;usp=drive_copy</t>
  </si>
  <si>
    <t>IX.D.1</t>
  </si>
  <si>
    <t>Amir Hidayatulloh, S.E., M.Sc.</t>
  </si>
  <si>
    <t>Ngemplak, Srigading, Sanden</t>
  </si>
  <si>
    <t>MUHAMAD AFIEF RIDLA AKBARI</t>
  </si>
  <si>
    <t>Dewi Roro Nur Ayu Maharani Suryani Putri</t>
  </si>
  <si>
    <t>Eksa Kurnia Putri</t>
  </si>
  <si>
    <t>Aqimi Noor Dinana</t>
  </si>
  <si>
    <t>Isqi Zanzabila</t>
  </si>
  <si>
    <t>Ika Rifdah Marasabessy</t>
  </si>
  <si>
    <t>Farhan Ario Altariq</t>
  </si>
  <si>
    <t>Tika Listiandini</t>
  </si>
  <si>
    <t>Nadya Alda Safitri</t>
  </si>
  <si>
    <t>Liu Jiacheng</t>
  </si>
  <si>
    <t>https://drive.google.com/open?id=1jgQE3cruaVJyDwE5DjyrsE7tSbUIH7_1zQUIewmDbZE&amp;usp=drive_copy</t>
  </si>
  <si>
    <t>IX.D.2</t>
  </si>
  <si>
    <t>Cetan, Srigading, Sanden</t>
  </si>
  <si>
    <t>Djunani Indriyani</t>
  </si>
  <si>
    <t>Mittha Ristiana</t>
  </si>
  <si>
    <t>Hafidan Nur Furqon</t>
  </si>
  <si>
    <t>Dwi Novitasari</t>
  </si>
  <si>
    <t>Rendika Septianto Pratama</t>
  </si>
  <si>
    <t>Fakhira Annisatul Zahrah</t>
  </si>
  <si>
    <t>Erima Nur Setyandari</t>
  </si>
  <si>
    <t>Bagas Al Fajri</t>
  </si>
  <si>
    <t>Teti Anisa</t>
  </si>
  <si>
    <t>https://drive.google.com/open?id=1lXklUJsSnA574n7icEVg2jxAsHLjkjQB2oPSXbLFI80&amp;usp=drive_copy</t>
  </si>
  <si>
    <t>IX.D.3</t>
  </si>
  <si>
    <t>Sogesanden, Srigading, Sanden</t>
  </si>
  <si>
    <t>FADHILLA MA'ARIF</t>
  </si>
  <si>
    <t>Guruh Fathul Hakiki</t>
  </si>
  <si>
    <t>Anggun Friska Setyaningrum</t>
  </si>
  <si>
    <t>Era Yusnida Puspitasari</t>
  </si>
  <si>
    <t>Leli Fatimah</t>
  </si>
  <si>
    <t>Muhammad Fathurrahman Arridha</t>
  </si>
  <si>
    <t>Sindi</t>
  </si>
  <si>
    <t>Mutiara Hikmah</t>
  </si>
  <si>
    <t>Sonia Sinta Salsabila</t>
  </si>
  <si>
    <t>https://drive.google.com/open?id=1mEfo-7STl9l7TDG-nmn0LLWcMxmNUWf5f-tIZ8daGaU&amp;usp=drive_copy</t>
  </si>
  <si>
    <t>X.A.1</t>
  </si>
  <si>
    <t>Kalimundu, Gadingharjo, Sanden</t>
  </si>
  <si>
    <t>Nur Dian Agung Saputro</t>
  </si>
  <si>
    <t>Muhammad Nandar Rachman</t>
  </si>
  <si>
    <t>Ully Uswatun Khasanah</t>
  </si>
  <si>
    <t>Adi Wijayanto</t>
  </si>
  <si>
    <t>Liona Nabila</t>
  </si>
  <si>
    <t>Kharisma Fatika Rizki</t>
  </si>
  <si>
    <t>Ayu Fazira</t>
  </si>
  <si>
    <t>Shafiyah Asy Syifa</t>
  </si>
  <si>
    <t>Hesti Klatina Putri</t>
  </si>
  <si>
    <t>https://drive.google.com/open?id=10ZQgOSd-0NV2Wu0yzlwduOcSejh5hy0ZK-G0ZfJqk5E&amp;usp=drive_copy</t>
  </si>
  <si>
    <t>X.A.2</t>
  </si>
  <si>
    <t>Daleman, Gadingharjo, Sanden</t>
  </si>
  <si>
    <t>A'zhamul Adna Diamanthy</t>
  </si>
  <si>
    <t>Satrio Budiyanto</t>
  </si>
  <si>
    <t>Ririn Safitri</t>
  </si>
  <si>
    <t>Zahra Aisyah Fridanisa</t>
  </si>
  <si>
    <t>Muhammad Khalid Hardiansyah</t>
  </si>
  <si>
    <t>Aqila Nur Ashara I</t>
  </si>
  <si>
    <t>Alhafiz Nursalam</t>
  </si>
  <si>
    <t>Winda Mawarti</t>
  </si>
  <si>
    <t>Silvi Al Patussifa Iyah</t>
  </si>
  <si>
    <t>https://drive.google.com/open?id=1EAyahGhjxPCL1iX8D-KjVlO4ZVCAODx5WV0uFpjgnAM&amp;usp=drive_copy</t>
  </si>
  <si>
    <t>X.A.3</t>
  </si>
  <si>
    <t>Merten, Gadingharjo, Sanden</t>
  </si>
  <si>
    <t>Harda Wijaya</t>
  </si>
  <si>
    <t>Alifinia Putri Rahmawati</t>
  </si>
  <si>
    <t>Nurul Rejeki Yusriani</t>
  </si>
  <si>
    <t>Reza Nurcahya Putra</t>
  </si>
  <si>
    <t>Imelga Anugrah Priasmara</t>
  </si>
  <si>
    <t>Ade Rusy Fatkhul Azis</t>
  </si>
  <si>
    <t>Sitti Nabila</t>
  </si>
  <si>
    <t>Bellinda Oktafiyani</t>
  </si>
  <si>
    <t>Eva Zulvi Wityastuti</t>
  </si>
  <si>
    <t>0857-5172-1066</t>
  </si>
  <si>
    <t>https://drive.google.com/open?id=1AJbyPTvEEwaelfVjmkCZi1R7IxeJYplBzCxK1aiIWKY&amp;usp=drive_copy</t>
  </si>
  <si>
    <t>X.B.1</t>
  </si>
  <si>
    <t>Hanif Cahyo Adi Kistoro, S.Ag., M.A.</t>
  </si>
  <si>
    <t>Ngujung, Gadingharjo, Sanden</t>
  </si>
  <si>
    <t>Anggie Dwi Pratama</t>
  </si>
  <si>
    <t>Siti Fatimah</t>
  </si>
  <si>
    <t>Alifah Rohmana</t>
  </si>
  <si>
    <t>Hanandaru Purnamaningtyas</t>
  </si>
  <si>
    <t>M.syaifullah</t>
  </si>
  <si>
    <t>Tiwi Tika Nursafitri</t>
  </si>
  <si>
    <t>Putri Zahra Pramita</t>
  </si>
  <si>
    <t>Dava Adi Karismawan</t>
  </si>
  <si>
    <t>Fajar Palupi</t>
  </si>
  <si>
    <t>https://drive.google.com/open?id=1EU6FPBVs4_bHZk5YhLGRafEA6_g5xHbvZj8VG2o9qeY&amp;usp=drive_copy</t>
  </si>
  <si>
    <t>X.B.2</t>
  </si>
  <si>
    <t>Pranti, Gadingharjo, Sanden</t>
  </si>
  <si>
    <t>Muhammad Sofyan Hakim</t>
  </si>
  <si>
    <t>Ovi Oktaviani</t>
  </si>
  <si>
    <t>Reza Novita Irawati</t>
  </si>
  <si>
    <t>Nanda Rahma Nursyafa'ah</t>
  </si>
  <si>
    <t>Daffa Fahreza</t>
  </si>
  <si>
    <t>Amanda Deriq Awanis</t>
  </si>
  <si>
    <t>Dimas Rizki Subagyo</t>
  </si>
  <si>
    <t>Patricia Laisa</t>
  </si>
  <si>
    <t>Novita Alifvia</t>
  </si>
  <si>
    <t>https://drive.google.com/open?id=1EjeRz5LjopaQ45gFnAY5NQCQpWc4QFs5vhI2fhhU_cA&amp;usp=drive_copy</t>
  </si>
  <si>
    <t>X.B.3</t>
  </si>
  <si>
    <t>Karanganyar, Gadingharjo, Sanden</t>
  </si>
  <si>
    <t>Farah Nadya Mardhatillah</t>
  </si>
  <si>
    <t>Dheria Febriana Putri</t>
  </si>
  <si>
    <t>Hidayat Primadani</t>
  </si>
  <si>
    <t>Vita Lestari Yasande'e</t>
  </si>
  <si>
    <t>Muhammad Andika Apriansyah</t>
  </si>
  <si>
    <t>Tryasih Lira Affyani</t>
  </si>
  <si>
    <t>Aidha Nazia Adha</t>
  </si>
  <si>
    <t>Bimantara Putra Wartana</t>
  </si>
  <si>
    <t>Tasya Dewi Anantia</t>
  </si>
  <si>
    <t>https://drive.google.com/open?id=1FKcQjqLinauzehbSGs5V555Y3ChiwhHP6O0KoyrfEzg&amp;usp=drive_copy</t>
  </si>
  <si>
    <t>X.C.1</t>
  </si>
  <si>
    <t>Khafidhoh, S.Pd., M.Pd</t>
  </si>
  <si>
    <t>Sorobayan, Gadingsari, Sanden</t>
  </si>
  <si>
    <t>Eko Muhammad Naufal</t>
  </si>
  <si>
    <t>Anis Kurnia</t>
  </si>
  <si>
    <t>Sri Marheni</t>
  </si>
  <si>
    <t>Erlinsafitri Nur Annafi</t>
  </si>
  <si>
    <t>Rio Pratama</t>
  </si>
  <si>
    <t>Puteri Bunga Gupita</t>
  </si>
  <si>
    <t>Nur Islamiati</t>
  </si>
  <si>
    <t>Bara Trishna Muhammad</t>
  </si>
  <si>
    <t>Mellisa Nur Fadhilah</t>
  </si>
  <si>
    <t>https://drive.google.com/open?id=1Fsx-5ZOCfCKVWOXLqp9p7s9qwc0IipvCRLJfiksv8n8&amp;usp=drive_copy</t>
  </si>
  <si>
    <t>X.C.2</t>
  </si>
  <si>
    <t>Soko, Gadingsari, Sanden</t>
  </si>
  <si>
    <t>YOSA OCTARINA</t>
  </si>
  <si>
    <t>NURYULI ALANURI</t>
  </si>
  <si>
    <t>Rini Lustiana</t>
  </si>
  <si>
    <t>Ristika Dian Nurrohmah</t>
  </si>
  <si>
    <t>Jimmy Jupri</t>
  </si>
  <si>
    <t>Hasya Centya Basari Putri</t>
  </si>
  <si>
    <t>Yoga Aditama</t>
  </si>
  <si>
    <t>Maya Safitri Br Sembiring</t>
  </si>
  <si>
    <t>Muhammad Raffi Adani</t>
  </si>
  <si>
    <t>https://drive.google.com/open?id=1Gpir0HMU-N9zt_jGne8XIfbSUW_8-K8jf6oflWxIePc&amp;usp=drive_copy</t>
  </si>
  <si>
    <t>X.C.3</t>
  </si>
  <si>
    <t>Bongos I, Gadingsari, Sanden</t>
  </si>
  <si>
    <t>Alni Wandita</t>
  </si>
  <si>
    <t>Arum Arininta Nur Fadhilla</t>
  </si>
  <si>
    <t>Ismail Zainal Abidin</t>
  </si>
  <si>
    <t>Windy Novita Ariani</t>
  </si>
  <si>
    <t>Brilly Jalu Kumara Biseka</t>
  </si>
  <si>
    <t>Aulia Rizki Rahmadani</t>
  </si>
  <si>
    <t>Martina Kasanah</t>
  </si>
  <si>
    <t>Brillian Binar Wasesa</t>
  </si>
  <si>
    <t>Aisyah Nu'ma Nabila</t>
  </si>
  <si>
    <t>https://drive.google.com/open?id=1IBOp12-8ahZqktw556yk84p1LLqJVyCZHCoqVBt70Rk&amp;usp=drive_copy</t>
  </si>
  <si>
    <t>X.D.1</t>
  </si>
  <si>
    <t>Muhammad Nur Syuhada, S.Psi, M.Psi, Psikol</t>
  </si>
  <si>
    <t>Bongos II, Gadingsari, Sanden</t>
  </si>
  <si>
    <t>Nahdah Taqiyyah</t>
  </si>
  <si>
    <t>Atika Ayu Prastiani</t>
  </si>
  <si>
    <t>Malik Nur Ihsan</t>
  </si>
  <si>
    <t>Siti Raihanum</t>
  </si>
  <si>
    <t>Ikhsan Aditya Nuur Qodri</t>
  </si>
  <si>
    <t>Nurullita Tri Andini</t>
  </si>
  <si>
    <t>Laluna Tian Salsabiila</t>
  </si>
  <si>
    <t>Raafi Taufiqurrahman</t>
  </si>
  <si>
    <t>Asriyani Biti Mangan</t>
  </si>
  <si>
    <t>https://drive.google.com/open?id=1IXb9Bk8sKJ83gCPkX3INib2baN24jj8mVj4yXEoI5IY&amp;usp=drive_copy</t>
  </si>
  <si>
    <t>X.D.2</t>
  </si>
  <si>
    <t>Wonorejo I, Gadingsari, Sanden</t>
  </si>
  <si>
    <t>Kenny Satrio Firdani</t>
  </si>
  <si>
    <t>Aisyah Nur Ilfiana</t>
  </si>
  <si>
    <t>Ade Jatra Alfariz</t>
  </si>
  <si>
    <t>Mila Wahdia</t>
  </si>
  <si>
    <t>Muhammad Fakhri Nashruddin</t>
  </si>
  <si>
    <t>Lili Supriani Togubu</t>
  </si>
  <si>
    <t>Anita Haditiya Putri</t>
  </si>
  <si>
    <t>Destin Yurita Melly Istiqomah</t>
  </si>
  <si>
    <t>Mukti Ningsih</t>
  </si>
  <si>
    <t>https://drive.google.com/open?id=1IpjbK_P7dAk_ICHRUCk0DpMxZOgclIBDIH9lpWsYM-E&amp;usp=drive_copy</t>
  </si>
  <si>
    <t>X.D.3</t>
  </si>
  <si>
    <t>Wonorejo II, Gadingsari, Sanden</t>
  </si>
  <si>
    <t>MUHAMMAD IKHSAN</t>
  </si>
  <si>
    <t>Inda Rabbi Mardhiyyah</t>
  </si>
  <si>
    <t>Shilvi Rimawati</t>
  </si>
  <si>
    <t>Wahyu Darma Putra</t>
  </si>
  <si>
    <t>Wa Ode Nurindah Jayana</t>
  </si>
  <si>
    <t>Arif Setia Aji</t>
  </si>
  <si>
    <t>Uswatun Hasanah</t>
  </si>
  <si>
    <t>Hanindya Ramadhani</t>
  </si>
  <si>
    <t>Tsalisa Maziya</t>
  </si>
  <si>
    <t>https://drive.google.com/open?id=1Jk_5VSZ5FeXMMoESdIy82MTlH0QRHXsUPr3bwQLquuQ&amp;usp=drive_copy</t>
  </si>
  <si>
    <t>XI.A.1</t>
  </si>
  <si>
    <t>Wahyu Dewi Hapsari, S.E., M.Acc., Ak., C</t>
  </si>
  <si>
    <t>Patihan, Gadingsari, Sanden</t>
  </si>
  <si>
    <t>Darajatun Nur Rahmah</t>
  </si>
  <si>
    <t>Witri Nuraeni</t>
  </si>
  <si>
    <t>Yasa Handika Dwijaya</t>
  </si>
  <si>
    <t>Afifah Fitriani</t>
  </si>
  <si>
    <t>Rijal Hafizhun Hidayat</t>
  </si>
  <si>
    <t>Rahilda Febiana Arsya. S</t>
  </si>
  <si>
    <t>Anida Istiandari</t>
  </si>
  <si>
    <t>Moch. Robert Zaky R.</t>
  </si>
  <si>
    <t>Hijazzi Lutfiah Izyul Adha</t>
  </si>
  <si>
    <t>https://drive.google.com/open?id=1JnDnaAKndNVUL00xE3ufawSO5PejocdvIEdEQHCKQlw&amp;usp=drive_copy</t>
  </si>
  <si>
    <t>XI.A.2</t>
  </si>
  <si>
    <t>Wonoroto, Gadingsari, Sanden</t>
  </si>
  <si>
    <t>Dewi Ani Subekti</t>
  </si>
  <si>
    <t>Azuzta Wira Adianto</t>
  </si>
  <si>
    <t>Suci Novitasari</t>
  </si>
  <si>
    <t>Sulharjan Fahrullah</t>
  </si>
  <si>
    <t>Malia Eka Pratiwi</t>
  </si>
  <si>
    <t>Afrillia Nurfitriana</t>
  </si>
  <si>
    <t>Aqal Fathoni</t>
  </si>
  <si>
    <t>Fathul Jannah</t>
  </si>
  <si>
    <t>https://drive.google.com/open?id=1L39DI1wMDf9LCozOoaK5V2Ca99oceCq6rC86LKyKju4&amp;usp=drive_copy</t>
  </si>
  <si>
    <t>XI.A.3</t>
  </si>
  <si>
    <t>Demangan, Gadingsari, Sanden</t>
  </si>
  <si>
    <t>Della Yuani Pertiwi</t>
  </si>
  <si>
    <t>Sri Wandari</t>
  </si>
  <si>
    <t>Elsa Maulidya</t>
  </si>
  <si>
    <t>Bang Bintulu Aji</t>
  </si>
  <si>
    <t>Gina Nurleva</t>
  </si>
  <si>
    <t>Bagus Maulana</t>
  </si>
  <si>
    <t>Fannisa Maharani</t>
  </si>
  <si>
    <t>Ahmad Solihin</t>
  </si>
  <si>
    <t>Januari Fitriah</t>
  </si>
  <si>
    <t>https://drive.google.com/open?id=1MCWYAfDexINng7XNBycVpbbjJ4zCkX3Uu46SR1hZ6EI&amp;usp=drive_copy</t>
  </si>
  <si>
    <t>XI.B.1</t>
  </si>
  <si>
    <t>Avanti Vera Risti Pramudyani, M.Pd.</t>
  </si>
  <si>
    <t>Kurahan II, Murtigading, Sanden</t>
  </si>
  <si>
    <t>Ulan Rahmadini</t>
  </si>
  <si>
    <t>Dewi Andini</t>
  </si>
  <si>
    <t>Destiawan Agil Prabowo</t>
  </si>
  <si>
    <t>Zidni Valida Chastity Frenia</t>
  </si>
  <si>
    <t>Muhammad Fikri Asshidiqi</t>
  </si>
  <si>
    <t>Siti Widiarti</t>
  </si>
  <si>
    <t>Putri Nurbaliza</t>
  </si>
  <si>
    <t>Faizin Jabibil Haq Amahoroe</t>
  </si>
  <si>
    <t>Khonsa Dhiya Ulhaq</t>
  </si>
  <si>
    <t>https://drive.google.com/open?id=1OGhMSmwLzY_YX9czT4J-ieZpRTQUnUIAMTS094bSnHo&amp;usp=drive_copy</t>
  </si>
  <si>
    <t>XI.B.2</t>
  </si>
  <si>
    <t>Kurahan, Murtigading, Sanden</t>
  </si>
  <si>
    <t>Laily Khuria Ardhiani</t>
  </si>
  <si>
    <t>Rizqi Anisah</t>
  </si>
  <si>
    <t>Naufal Ramadhani</t>
  </si>
  <si>
    <t>Tadzkiroh</t>
  </si>
  <si>
    <t>Andreas Wahyu Kurniawan</t>
  </si>
  <si>
    <t>Evi Kurniah Permata Sari</t>
  </si>
  <si>
    <t>Clarissa Bella Ambar Kusuma</t>
  </si>
  <si>
    <t>Mohd. Gilang Permana Putra</t>
  </si>
  <si>
    <t>Anesti Rohma Wardani</t>
  </si>
  <si>
    <t>https://drive.google.com/open?id=1P-hE-x-Nxd0tb3vcyrjzmtxs6VOeAGtQ7l_TrBZv7TU&amp;usp=drive_copy</t>
  </si>
  <si>
    <t>XI.B.3</t>
  </si>
  <si>
    <t>Pucanganom 1, Murtigading, Sanden</t>
  </si>
  <si>
    <t>Tanti Maulia Indriani</t>
  </si>
  <si>
    <t>Diniar Mar'atus Sholiha</t>
  </si>
  <si>
    <t>Herdi Yudha Rahman</t>
  </si>
  <si>
    <t>Elsa Noviana Rahayu</t>
  </si>
  <si>
    <t>Agung Nurul Huda</t>
  </si>
  <si>
    <t>Anggin Sayekti Rusdianto</t>
  </si>
  <si>
    <t>Tri Astuti Agustin Wulandari</t>
  </si>
  <si>
    <t>Nailil Faizi</t>
  </si>
  <si>
    <t>Sandra Indah Rifani</t>
  </si>
  <si>
    <t>https://drive.google.com/open?id=1PixfsHZVJl09BlpcNdPDbSD8Y5E_kr-Y5Y90OrRDYIM&amp;usp=drive_copy</t>
  </si>
  <si>
    <t>XI.C.1</t>
  </si>
  <si>
    <t>Nur Hidayah S.Pd.,M.Pd</t>
  </si>
  <si>
    <t>Piring II, Murtigading, Sanden</t>
  </si>
  <si>
    <t>Muhammad Aditya Wahyu Salsabila</t>
  </si>
  <si>
    <t>Maria Magdalena Bui</t>
  </si>
  <si>
    <t>Balqis Tsibtiani</t>
  </si>
  <si>
    <t>Taufik Hidayat</t>
  </si>
  <si>
    <t>Qoryani Syahira</t>
  </si>
  <si>
    <t>Aini Ferani</t>
  </si>
  <si>
    <t>Vida Amilia</t>
  </si>
  <si>
    <t>Harimurti Lantip Prasojo</t>
  </si>
  <si>
    <t>Hesty Andriani Tampubolon</t>
  </si>
  <si>
    <t>https://drive.google.com/open?id=1QNC_GjwCaYLhAtQnqLKMIiNB46WOFjAYv6RyJ9_bKTc&amp;usp=drive_copy</t>
  </si>
  <si>
    <t>XI.C.2</t>
  </si>
  <si>
    <t>Pucanganom II, Murtigading, Sanden</t>
  </si>
  <si>
    <t>Nur Azizah</t>
  </si>
  <si>
    <t>Lina Rachmawati</t>
  </si>
  <si>
    <t>Lalu Fani Rahmatullah Hidayat</t>
  </si>
  <si>
    <t>Kurata Ayu</t>
  </si>
  <si>
    <t>Dimas Bagaskara Bagus Wahyudi</t>
  </si>
  <si>
    <t>Husnul Hakimah</t>
  </si>
  <si>
    <t>Afifah Nuhayasya</t>
  </si>
  <si>
    <t>Aeritho Anshar</t>
  </si>
  <si>
    <t>Siti Puspandhari</t>
  </si>
  <si>
    <t>https://drive.google.com/open?id=1Scrz15EVMsypf1pcMUHNhoybcUnhsXxJFKEiAOmHZAo&amp;usp=drive_copy</t>
  </si>
  <si>
    <t>XI.C.3</t>
  </si>
  <si>
    <t>Sanden, Murtigading, Sanden</t>
  </si>
  <si>
    <t>Dinda Fajarika Syafitri</t>
  </si>
  <si>
    <t>Fida Rahmadi Astuti</t>
  </si>
  <si>
    <t>Trio Imam Solihin</t>
  </si>
  <si>
    <t>Vera Rahmawati Rokhisoh</t>
  </si>
  <si>
    <t>Adib Bagus Sudiyono</t>
  </si>
  <si>
    <t>Candra Yunita Rahman</t>
  </si>
  <si>
    <t>Nafitri</t>
  </si>
  <si>
    <t>Dwi Apriliyani</t>
  </si>
  <si>
    <t>https://drive.google.com/open?id=1T1TlUoxuPrXb59J6Pq0GSChhFotWcNzNzg3saMpJlHI&amp;usp=drive_copy</t>
  </si>
  <si>
    <t>XI.D.1</t>
  </si>
  <si>
    <t>Dr. Yusron Masduki,S.Ag.,M.Pd.I</t>
  </si>
  <si>
    <t>Bongoskenthi, Murtigading, Sanden</t>
  </si>
  <si>
    <t>Echa Anisatul Fadliah</t>
  </si>
  <si>
    <t>Hikmah Suci Wulandari</t>
  </si>
  <si>
    <t>Aktario Aga Dewanta</t>
  </si>
  <si>
    <t>Dyllan Bagus Siswanto</t>
  </si>
  <si>
    <t>Salsabilla Mei Putri Fridadari</t>
  </si>
  <si>
    <t>Silvi Diah Utami</t>
  </si>
  <si>
    <t>Eka Syarief Hidayatullah</t>
  </si>
  <si>
    <t>Fifi Putri Septiani</t>
  </si>
  <si>
    <t>https://drive.google.com/open?id=1XBeelw9ucV4ytdCXxFLAtKpPLOvWqSDpL9PSFdCQDYA&amp;usp=drive_copy</t>
  </si>
  <si>
    <t>XI.D.2</t>
  </si>
  <si>
    <t>Piring I , Murtigading, Sanden</t>
  </si>
  <si>
    <t>Mutiara Alifia Meisari</t>
  </si>
  <si>
    <t>Titis Ajeng Maninggar</t>
  </si>
  <si>
    <t>Airlangga Beta Leandha</t>
  </si>
  <si>
    <t>Tika Anggraini</t>
  </si>
  <si>
    <t>Azhmi Fauzi Mahdin</t>
  </si>
  <si>
    <t>Ayu Yulia Nurhasanah</t>
  </si>
  <si>
    <t>Bulan Anggun Kinanti</t>
  </si>
  <si>
    <t>Aris Eka Putra</t>
  </si>
  <si>
    <t>Isna Qira'ah</t>
  </si>
  <si>
    <t>https://drive.google.com/open?id=1XvsihmVQFuIhNuYLr4ZY3pwe7z0DK2N9-5RGJzYmsxE&amp;usp=drive_copy</t>
  </si>
  <si>
    <t>XI.D.3</t>
  </si>
  <si>
    <t>Ngentak, Murtigading, Sanden</t>
  </si>
  <si>
    <t>Ika Putri Indriyani</t>
  </si>
  <si>
    <t>Riri Marsallinda</t>
  </si>
  <si>
    <t>Alvian Fandy Pratama</t>
  </si>
  <si>
    <t>Tri Wira Rizki Amelia</t>
  </si>
  <si>
    <t>Reza Jazaa Anil Khusna</t>
  </si>
  <si>
    <t>Nadinsi Caca Wulandari</t>
  </si>
  <si>
    <t>Alifia Salsabila Fajari</t>
  </si>
  <si>
    <t>Hazam Akbar</t>
  </si>
  <si>
    <t>Hilda Wahyu Wardini</t>
  </si>
  <si>
    <t>0813-9829-8478</t>
  </si>
  <si>
    <t>https://drive.google.com/open?id=1ZYsGL93hUEpIsfPXZXcFQ8UvpYdafnpu3DWPsXTaF3E&amp;usp=drive_copy</t>
  </si>
  <si>
    <t>XII.A.1</t>
  </si>
  <si>
    <t>Pedak, Wijirejo, Pandak</t>
  </si>
  <si>
    <t>Ariesta Tri Cahyani</t>
  </si>
  <si>
    <t>Anindya Putri Khumaira</t>
  </si>
  <si>
    <t>Irvan Ari Wijayanto</t>
  </si>
  <si>
    <t>Fira Yuniar</t>
  </si>
  <si>
    <t>Faiq Suhail</t>
  </si>
  <si>
    <t>Lynda Anggrainy</t>
  </si>
  <si>
    <t>Hana Fauziyyah Eryka Putri</t>
  </si>
  <si>
    <t>Muhammad Sholihin Feriyan Pradana</t>
  </si>
  <si>
    <t>Devita Lestari</t>
  </si>
  <si>
    <t>https://drive.google.com/open?id=188gvfRHY-Lhh0buPxNcpokgAmKt2u7SV1hIsUVuVCrQ&amp;usp=drive_copy</t>
  </si>
  <si>
    <t>XII.A.2</t>
  </si>
  <si>
    <t>Ngeblak, Wijirejo, Pandak</t>
  </si>
  <si>
    <t>Risa Aprilasari</t>
  </si>
  <si>
    <t>Aminah Istiqamah Tukuwain</t>
  </si>
  <si>
    <t>Krisna Dwi Yulianto</t>
  </si>
  <si>
    <t>Veizha Adya Medina</t>
  </si>
  <si>
    <t>Rafi Rizqullah Arisandi Lubis</t>
  </si>
  <si>
    <t>Karisa Usandi</t>
  </si>
  <si>
    <t>Wihalbi Tri Bunga</t>
  </si>
  <si>
    <t>Muhammad Hafidz Fadhillah</t>
  </si>
  <si>
    <t>Nur Afni</t>
  </si>
  <si>
    <t>https://drive.google.com/open?id=19an57qPg6-LW9HFYiknpVSOIG8cltkLJUsfFA7qJj5A&amp;usp=drive_copy</t>
  </si>
  <si>
    <t>XII.A.3</t>
  </si>
  <si>
    <t>Bergan, Wijirejo, Pandak</t>
  </si>
  <si>
    <t>RIA PARIATI</t>
  </si>
  <si>
    <t>Rahma Sapitri</t>
  </si>
  <si>
    <t>Clarisa Yolandita</t>
  </si>
  <si>
    <t>Anas Taufiq Hidayat</t>
  </si>
  <si>
    <t>Nurul Fauziah</t>
  </si>
  <si>
    <t>Arie Hidayattullah</t>
  </si>
  <si>
    <t>Erikananda Ari Setyowati</t>
  </si>
  <si>
    <t>Irkham Azizul Khakim</t>
  </si>
  <si>
    <t>Fauziah Hastia Ningrum</t>
  </si>
  <si>
    <t>https://drive.google.com/open?id=1ABRpeRqMDXErNoGQEaO1t9HHevH-K2aqmWK4TwlrTNg&amp;usp=drive_copy</t>
  </si>
  <si>
    <t>XII.B.1</t>
  </si>
  <si>
    <t>Purnawan, M.Pd</t>
  </si>
  <si>
    <t>Kauman, Wijirejo, Pandak</t>
  </si>
  <si>
    <t>Vera Novia Widyastuti</t>
  </si>
  <si>
    <t>Annisa Puteri Prayustiwi</t>
  </si>
  <si>
    <t>Fadli Mu'taz Azhari</t>
  </si>
  <si>
    <t>Nurmalasari. W</t>
  </si>
  <si>
    <t>Gilar Syaikhu Alam</t>
  </si>
  <si>
    <t>Nadia Hasna Syaharani</t>
  </si>
  <si>
    <t>Sekar Ratih Hutami</t>
  </si>
  <si>
    <t>Miqdad Abdul Majid</t>
  </si>
  <si>
    <t>Fina Dwi Susanti</t>
  </si>
  <si>
    <t>https://drive.google.com/open?id=1_OC1x9LoKGkG1q2azWKy02arliNVRdFHPLG1bfvCfow&amp;usp=drive_copy</t>
  </si>
  <si>
    <t>XII.B.2</t>
  </si>
  <si>
    <t>Gedongsari, Wijirejo, Pandak</t>
  </si>
  <si>
    <t>Gita Intan Ardaniah</t>
  </si>
  <si>
    <t>Betta Puspita Ningrum</t>
  </si>
  <si>
    <t>Ameirza Yudrianto</t>
  </si>
  <si>
    <t>Marwiyatul Suherawati</t>
  </si>
  <si>
    <t>Muhammad Azril Revanza Fadhilah</t>
  </si>
  <si>
    <t>Amalia Tasya</t>
  </si>
  <si>
    <t>Tri Widyaningsih</t>
  </si>
  <si>
    <t>Muhammad Aqsa Arjuna</t>
  </si>
  <si>
    <t>Anissa Vera Cahyani</t>
  </si>
  <si>
    <t>https://drive.google.com/open?id=1aPbxKEwoWAW89NUoyt5Dcy_08-96FShFe6vtAsXZh2o&amp;usp=drive_copy</t>
  </si>
  <si>
    <t>XII.B.3</t>
  </si>
  <si>
    <t>Kwalangan, Wijirejo, Pandak</t>
  </si>
  <si>
    <t>YOGGARI DEWA BRATA</t>
  </si>
  <si>
    <t>Rostini Komaladewi</t>
  </si>
  <si>
    <t>Yeyen Yulianty Puspita</t>
  </si>
  <si>
    <t>Usi Shifa Salsa Bella</t>
  </si>
  <si>
    <t>Ibrahim Maulana</t>
  </si>
  <si>
    <t>Naja Riqqa Khairunnisa</t>
  </si>
  <si>
    <t>Dina Santi Satria Putri</t>
  </si>
  <si>
    <t>Dandi Frimonda Febiangga</t>
  </si>
  <si>
    <t>Nurul Afifah</t>
  </si>
  <si>
    <t>https://drive.google.com/open?id=1c3br8TdeXFL5utojEt0poDYlrdaQ7v0TiQ9p2dXiWuA&amp;usp=drive_copy</t>
  </si>
  <si>
    <t>XII.C.1</t>
  </si>
  <si>
    <t>Dr. Murinto., S.Si., M.Kom</t>
  </si>
  <si>
    <t>Pandak, Wijirejo, Pandak</t>
  </si>
  <si>
    <t>Izmi Nur Azizah</t>
  </si>
  <si>
    <t>Salmaningrum Kusuma Wardhani</t>
  </si>
  <si>
    <t>Fabriyan Dhimas Firmansyah</t>
  </si>
  <si>
    <t>Cindy Atika</t>
  </si>
  <si>
    <t>Ahmed Hezqial Zaidan</t>
  </si>
  <si>
    <t>Rify Indri Triani</t>
  </si>
  <si>
    <t>Lilis Fitriyani</t>
  </si>
  <si>
    <t>Muflich Jaka Wahana Abdul Qoyim</t>
  </si>
  <si>
    <t>Maftukhatul Khoiriyah</t>
  </si>
  <si>
    <t>https://drive.google.com/open?id=1cbeGkjsmhBnqkSbnaED3lH6sqZYfy4rst8pE_bRbCAM&amp;usp=drive_copy</t>
  </si>
  <si>
    <t>XII.C.2</t>
  </si>
  <si>
    <t>Gesikan III, Wijirejo, Pandak</t>
  </si>
  <si>
    <t>Kamelia Febriani</t>
  </si>
  <si>
    <t>Arfina Maya Ismawati</t>
  </si>
  <si>
    <t>Ridho Anggi Yudistian</t>
  </si>
  <si>
    <t>Faiza Riszky Amelia</t>
  </si>
  <si>
    <t>Lisdianto Dwi Kesumahadi</t>
  </si>
  <si>
    <t>Khailifa Nuryan Dita</t>
  </si>
  <si>
    <t>Cyrilla Fathimatuzzahra</t>
  </si>
  <si>
    <t>Aldiyansyah</t>
  </si>
  <si>
    <t>Desi Romadoni</t>
  </si>
  <si>
    <t>https://drive.google.com/open?id=1cc0nC60HvZT-rjDdC-T_qjGOMNj7qr7Rawn8ISFSPuc&amp;usp=drive_copy</t>
  </si>
  <si>
    <t>XII.C.3</t>
  </si>
  <si>
    <t>Gesikan IV, Wijirejo, Pandak</t>
  </si>
  <si>
    <t>Nur Puji Astiwi</t>
  </si>
  <si>
    <t>Riza Vika Risanti</t>
  </si>
  <si>
    <t>Muhammad Renold</t>
  </si>
  <si>
    <t>Viany Dita Kurniawati</t>
  </si>
  <si>
    <t>Zulhaji Guswantoro</t>
  </si>
  <si>
    <t>Muthia Dewi A. Lestaluhu</t>
  </si>
  <si>
    <t>Difyarizky Wida Pralestyan</t>
  </si>
  <si>
    <t>Ahmad Zaki Madani</t>
  </si>
  <si>
    <t>Normala Septiningsih</t>
  </si>
  <si>
    <t>0895355863209(WA)/083149763499</t>
  </si>
  <si>
    <t>0812-2731-5524</t>
  </si>
  <si>
    <t>https://drive.google.com/open?id=1eQfRi8k0tisrHhZXh7t6BKiuIbxVlL4ZebSu_6o7okk&amp;usp=drive_copy</t>
  </si>
  <si>
    <t>XII.D.1</t>
  </si>
  <si>
    <t>Indah Shofiyah, S.E., M.Sc.</t>
  </si>
  <si>
    <t>Bajang, Wijirejo, Pandak</t>
  </si>
  <si>
    <t>Savira Ega Permatasari</t>
  </si>
  <si>
    <t>Ainun Krisna Devi</t>
  </si>
  <si>
    <t>Setiyo Pranowo</t>
  </si>
  <si>
    <t>Sarah Insan Kamilah</t>
  </si>
  <si>
    <t>Redho Harli Saputra</t>
  </si>
  <si>
    <t>Putri Rezky Awalia</t>
  </si>
  <si>
    <t>Setia Arta Dwi Ningrum</t>
  </si>
  <si>
    <t>Mu'min Mulia Rauf</t>
  </si>
  <si>
    <t>Nada Tiarani Rafi</t>
  </si>
  <si>
    <t>https://drive.google.com/open?id=1fBKYLNch64XfKPNXo0qRVwGAGElTRl-N1CHAUKreBvs&amp;usp=drive_copy</t>
  </si>
  <si>
    <t>XII.D.2</t>
  </si>
  <si>
    <t>Daleman, Gilangharjo, Pandak</t>
  </si>
  <si>
    <t>Enggar Indri Astuti</t>
  </si>
  <si>
    <t>Ocsin Clarita</t>
  </si>
  <si>
    <t>Puja Dego Asmara</t>
  </si>
  <si>
    <t>Widya Yulianti Huslin</t>
  </si>
  <si>
    <t>Hafizh Nauval Eka Rahmatullah</t>
  </si>
  <si>
    <t>Salsabila Aulya Rahman</t>
  </si>
  <si>
    <t>Chesilia Ananda</t>
  </si>
  <si>
    <t>Andera Kusuma</t>
  </si>
  <si>
    <t>Ghafira Raodatul Jannah</t>
  </si>
  <si>
    <t>https://drive.google.com/open?id=1guCrqxjyAvw3Wse-sH49A4MJcrkldK5kLxFfybSBydA&amp;usp=drive_copy</t>
  </si>
  <si>
    <t>XII.D.3</t>
  </si>
  <si>
    <t>Kadekrowo, Gilangharjo, Pandak</t>
  </si>
  <si>
    <t>Cindy Novitasari</t>
  </si>
  <si>
    <t>Malihatun Nisa Fauziyah</t>
  </si>
  <si>
    <t>Agung Ramadhani</t>
  </si>
  <si>
    <t>Astuti Nur Rahmawati</t>
  </si>
  <si>
    <t>Pradipa Rizqi Haryoga</t>
  </si>
  <si>
    <t>Reni Pratiwi</t>
  </si>
  <si>
    <t>Denita Elvariani</t>
  </si>
  <si>
    <t>Veri Safri</t>
  </si>
  <si>
    <t>Mimi Israfana</t>
  </si>
  <si>
    <t>https://drive.google.com/open?id=1hudjfA1PESgxzvm0EBhX9fasftTYv54YJd2Ei6dRapM&amp;usp=drive_copy</t>
  </si>
  <si>
    <t>XIII.A.1</t>
  </si>
  <si>
    <t>Nurul Satria Abdi, S.H., M.H.</t>
  </si>
  <si>
    <t>Jodog, Gilangharjo, Pandak</t>
  </si>
  <si>
    <t>Alena Ririn Novrianti</t>
  </si>
  <si>
    <t>Silvia Willis Pramesty</t>
  </si>
  <si>
    <t>Ifan Rizki Prastowo</t>
  </si>
  <si>
    <t>Fauziah Irmayani</t>
  </si>
  <si>
    <t>Denny Fajar Alvianto</t>
  </si>
  <si>
    <t>Vanessa Atifa Zahra</t>
  </si>
  <si>
    <t>Hasnia</t>
  </si>
  <si>
    <t>Shandy Saputra</t>
  </si>
  <si>
    <t>Sarifatul Musaropah</t>
  </si>
  <si>
    <t>https://drive.google.com/open?id=1pHCmn5lXac1tgzmYkb6CtPNGruYb1PxdtkZucIpUu3A&amp;usp=drive_copy</t>
  </si>
  <si>
    <t>XIII.A.2</t>
  </si>
  <si>
    <t>Karangasem, Gilangharjo, Pandak</t>
  </si>
  <si>
    <t>Regi</t>
  </si>
  <si>
    <t>Lolita</t>
  </si>
  <si>
    <t>Dzaki Naufal Alwan</t>
  </si>
  <si>
    <t>Arum Devi Etikasari</t>
  </si>
  <si>
    <t>Muhammad Daffiano Rahmatullah</t>
  </si>
  <si>
    <t>Dwita Anggraini Nabila Putri</t>
  </si>
  <si>
    <t>Nurlina</t>
  </si>
  <si>
    <t>Faishal Ackmal Survanta</t>
  </si>
  <si>
    <t>Tiara Anggar Wulan</t>
  </si>
  <si>
    <t>https://drive.google.com/open?id=1q_JiLk6_bA0dxtygieXCkIl4UPThvRWiS18iZb3nD7Y&amp;usp=drive_copy</t>
  </si>
  <si>
    <t>XIII.A.3</t>
  </si>
  <si>
    <t>Kauman, Gilangharjo, Pandak</t>
  </si>
  <si>
    <t>Aisyah Labibah</t>
  </si>
  <si>
    <t>Desca Panimbarini</t>
  </si>
  <si>
    <t>Heriyanto</t>
  </si>
  <si>
    <t>Anggun Vitasari</t>
  </si>
  <si>
    <t>Abyan Haidar Luthfi</t>
  </si>
  <si>
    <t>Sekar Damayanti</t>
  </si>
  <si>
    <t>Rina Ayu Sapitri</t>
  </si>
  <si>
    <t>Wildan Pahda Wijaya</t>
  </si>
  <si>
    <t>Yuyun Wardatunnisah</t>
  </si>
  <si>
    <t>https://drive.google.com/open?id=1ncnwZuMQy05fjCX98NBp_RkrmXPGyLpIea6g6mbazAg&amp;usp=drive_copy</t>
  </si>
  <si>
    <t>XIII.B.1</t>
  </si>
  <si>
    <t>Dr. Dyah Suryani, S.Si., M.Kes.</t>
  </si>
  <si>
    <t>Karanggede, Gilangharjo, Pandak</t>
  </si>
  <si>
    <t>AHMAD PATIHI FEBRIANSA</t>
  </si>
  <si>
    <t>Ayu Tri Utami</t>
  </si>
  <si>
    <t>Mahsa Savira Rayhana</t>
  </si>
  <si>
    <t>Putri Fadhilla Aziza</t>
  </si>
  <si>
    <t>Rihwan Munif</t>
  </si>
  <si>
    <t>Risna Ainun Fadhilah</t>
  </si>
  <si>
    <t>Nurul Azizah</t>
  </si>
  <si>
    <t>Muhammad Mirza Nurraihan</t>
  </si>
  <si>
    <t>Nuraeny Pratiwi</t>
  </si>
  <si>
    <t>https://drive.google.com/open?id=1r_4E1DJQBY0hYJ68f6K1LUruIPwYfjcgQ_f9QvwFH5c&amp;usp=drive_copy</t>
  </si>
  <si>
    <t>XIII.B.2</t>
  </si>
  <si>
    <t>Gunting, Gilangharjo, Pandak</t>
  </si>
  <si>
    <t>Intan Puspita Devi</t>
  </si>
  <si>
    <t>Lestari</t>
  </si>
  <si>
    <t>Vandi Febriansyah</t>
  </si>
  <si>
    <t>Oktavia Zuneiroh</t>
  </si>
  <si>
    <t>Muhammad Syafiq Akmal</t>
  </si>
  <si>
    <t>Sinta Cahaya</t>
  </si>
  <si>
    <t>Alfi Nisa Putri</t>
  </si>
  <si>
    <t>Muhammad Dhimas Alfa Reza</t>
  </si>
  <si>
    <t>Indri Juniarti</t>
  </si>
  <si>
    <t>https://drive.google.com/open?id=1jHoKTzOHUEoVSMIKilhHMKvGU6KARjQzHPlRd-XMikY&amp;usp=drive_copy</t>
  </si>
  <si>
    <t>XIII.B.3</t>
  </si>
  <si>
    <t>Banjarwaru, Gilangharjo, Pandak</t>
  </si>
  <si>
    <t>Nur Miftahul Aulia Maulida</t>
  </si>
  <si>
    <t>Karina Therawati Azzahrah</t>
  </si>
  <si>
    <t>Roki Maulana</t>
  </si>
  <si>
    <t>Iis Eriyanti</t>
  </si>
  <si>
    <t>Dery Apriatama</t>
  </si>
  <si>
    <t>Pina Asria</t>
  </si>
  <si>
    <t>Eva Sakinah</t>
  </si>
  <si>
    <t>Yudha Satria</t>
  </si>
  <si>
    <t>Siti Adawiyah</t>
  </si>
  <si>
    <t>082151776194/081325331697</t>
  </si>
  <si>
    <t>085239564242?</t>
  </si>
  <si>
    <t>https://drive.google.com/open?id=1jQ-7c5ERC3tXeayZb7oi74uqtsIppLSQRPAb2tzZs38&amp;usp=drive_copy</t>
  </si>
  <si>
    <t>XIII.C.1</t>
  </si>
  <si>
    <t>Tegallurung, Gilangharjo, Pandak</t>
  </si>
  <si>
    <t>Anis Setiawati</t>
  </si>
  <si>
    <t>Yoga Pamungkas Setiawan</t>
  </si>
  <si>
    <t>Ayu Mutiara Awangningsih</t>
  </si>
  <si>
    <t>Burhanu Sultan Ramadan</t>
  </si>
  <si>
    <t>Az Zahra Sekar Putri</t>
  </si>
  <si>
    <t>Sunar Dewi Murni</t>
  </si>
  <si>
    <t>Muhammad Herdin Paldin</t>
  </si>
  <si>
    <t>Ekha Yulia Ningsih</t>
  </si>
  <si>
    <t>Aisyah Rini Wahyu Ratri</t>
  </si>
  <si>
    <t>https://drive.google.com/open?id=1fg_dhVP4MOnnKKDl-3hzPsSmqw1h1XEes-_m6xCC11Y&amp;usp=drive_copy</t>
  </si>
  <si>
    <t>XIII.C.2</t>
  </si>
  <si>
    <t>Banyuurip, Caturharjo, Pandak</t>
  </si>
  <si>
    <t>Idfi Ariatun</t>
  </si>
  <si>
    <t>Nurul Mukhlishah</t>
  </si>
  <si>
    <t>Eldo Bagas Wicaksono</t>
  </si>
  <si>
    <t>Ayu Nani Djismudin</t>
  </si>
  <si>
    <t>Muhammad Hafizh Nasrullah</t>
  </si>
  <si>
    <t>Anggun Puspitasari</t>
  </si>
  <si>
    <t>Jasmine Mumtaz</t>
  </si>
  <si>
    <t>Muhammad Alfian</t>
  </si>
  <si>
    <t>Reza Nur Wulandari</t>
  </si>
  <si>
    <t>https://drive.google.com/open?id=1h0da8XbNWNtnvc2iqgmLRYia5n8Ip5prEHOVJEHIFD4&amp;usp=drive_copy</t>
  </si>
  <si>
    <t>XIII.C.3</t>
  </si>
  <si>
    <t>Gluntung lor, Caturharjo, Pandak</t>
  </si>
  <si>
    <t>Annisa Fitria Rahma Andriani</t>
  </si>
  <si>
    <t>Elvine Heranita</t>
  </si>
  <si>
    <t>Alfito Yudhaswira</t>
  </si>
  <si>
    <t>Pipit Puspita</t>
  </si>
  <si>
    <t>Ferdi Setiadi</t>
  </si>
  <si>
    <t>Rifa Nugrahaeni</t>
  </si>
  <si>
    <t>Siti Khadijah</t>
  </si>
  <si>
    <t>Muhammad Arya Wirawan</t>
  </si>
  <si>
    <t>Novi Rahma Delia</t>
  </si>
  <si>
    <t>https://drive.google.com/open?id=1k7dXBbFOVUnaY8cGkVNhZNLVJWVhuSnWIgfPvMcNjrY&amp;usp=drive_copy</t>
  </si>
  <si>
    <t>XIII.D.1</t>
  </si>
  <si>
    <t>Deslaely Putranti, S.H., M.H.</t>
  </si>
  <si>
    <t>Gluntung Kidul, Caturharjo, Pandak</t>
  </si>
  <si>
    <t>INTAN ISMINURDINI</t>
  </si>
  <si>
    <t>Nurnaningsih</t>
  </si>
  <si>
    <t>Rizal Syahroni</t>
  </si>
  <si>
    <t>Rahadewan Raisabudin</t>
  </si>
  <si>
    <t>Arnita</t>
  </si>
  <si>
    <t>Luluk Amelia Sukmadini</t>
  </si>
  <si>
    <t>Bayu Cahya Eka Putra</t>
  </si>
  <si>
    <t>Novaria Ratnaningtyas</t>
  </si>
  <si>
    <t>https://drive.google.com/open?id=1mAI-2AuoIc-cvrKTWlOtSH-Vn_l2p76CjdS5TDlayT8&amp;usp=drive_copy</t>
  </si>
  <si>
    <t>XIII.D.2</t>
  </si>
  <si>
    <t>Gumulan, Caturharjo, Pandak</t>
  </si>
  <si>
    <t>TAUFIQ DWI SAPUTRO</t>
  </si>
  <si>
    <t>Suci Rahmawati</t>
  </si>
  <si>
    <t>Siska Nur'afifaturrohmah</t>
  </si>
  <si>
    <t>Ajeng Amilia Putri Pratiwi</t>
  </si>
  <si>
    <t>Gilang Mukharom</t>
  </si>
  <si>
    <t>Siti Aprianita</t>
  </si>
  <si>
    <t>Sumiati</t>
  </si>
  <si>
    <t>Chairil Azmi</t>
  </si>
  <si>
    <t>Dendra Pebriaudiari</t>
  </si>
  <si>
    <t>https://drive.google.com/open?id=1n9Aa6HxVngvQq50B4UTfv8sE_B-XeDhjObcHuM4I11E&amp;usp=drive_copy</t>
  </si>
  <si>
    <t>XIII.D.3</t>
  </si>
  <si>
    <t>Tegal Sempu, Caturharjo, Pandak</t>
  </si>
  <si>
    <t>Maulidia Zalfa Nadhira</t>
  </si>
  <si>
    <t>Pramesti Indha Prakarti</t>
  </si>
  <si>
    <t>Adi Aji Nugroho</t>
  </si>
  <si>
    <t>Milla Puspita Sari</t>
  </si>
  <si>
    <t>Hamzah Lopez Nurudin</t>
  </si>
  <si>
    <t>Anggraini</t>
  </si>
  <si>
    <t>Alfiyana Rizka Azhara</t>
  </si>
  <si>
    <t>Cakra Khairuddin</t>
  </si>
  <si>
    <t>Rasti Dewi Melati</t>
  </si>
  <si>
    <t>https://drive.google.com/open?id=1qpR5ONZQUsFyFulI_zYUaE953odJqd5EM5x3xK9XLW0&amp;usp=drive_copy</t>
  </si>
  <si>
    <t>XIV.A.1</t>
  </si>
  <si>
    <t>Arief Syamsuddin, S.Pd., M.Pd.</t>
  </si>
  <si>
    <t>Tunjungan, Caturharjo, Pandak</t>
  </si>
  <si>
    <t>Yusrina Ayu Linati</t>
  </si>
  <si>
    <t>Ridha Dea Azizah</t>
  </si>
  <si>
    <t>Ridwan Hidayat</t>
  </si>
  <si>
    <t>Nahdiya Rahmadana</t>
  </si>
  <si>
    <t>Muhammad Banjaransari</t>
  </si>
  <si>
    <t>Dita Rahmika Anjarwati</t>
  </si>
  <si>
    <t>Nafisa Wildania</t>
  </si>
  <si>
    <t>Nur Isra Muhamad Bakti</t>
  </si>
  <si>
    <t>Iin Sakinah</t>
  </si>
  <si>
    <t>https://drive.google.com/open?id=1ka_ZCFmubGzHtBlmWPGgs7e1W9kN7l7EMDttPPG5ELc&amp;usp=drive_copy</t>
  </si>
  <si>
    <t>XIV.A.2</t>
  </si>
  <si>
    <t>Krapakan, Caturharjo, Pandak</t>
  </si>
  <si>
    <t>Asti Arwindhi</t>
  </si>
  <si>
    <t>Vebi Via Karisna</t>
  </si>
  <si>
    <t>Piyanto Widodo</t>
  </si>
  <si>
    <t>Hasmawati</t>
  </si>
  <si>
    <t>Muhammad Ilham Aqli Dilan</t>
  </si>
  <si>
    <t>Bridha Strina Reswari</t>
  </si>
  <si>
    <t>Shella Shalwa Ramadhana</t>
  </si>
  <si>
    <t>Muhammad Fakhruddin Dhaifullah</t>
  </si>
  <si>
    <t>Gilang Putri Vitara Dewi</t>
  </si>
  <si>
    <t>https://drive.google.com/open?id=1i_viCa1Ma0EfowXBQb0bgeYJxBglSuNcIB3Xq1pEsi0&amp;usp=drive_copy</t>
  </si>
  <si>
    <t>XIV.A.3</t>
  </si>
  <si>
    <t>Samparan, Caturharjo, Pandak</t>
  </si>
  <si>
    <t>Nurul Dwi Rahmawati</t>
  </si>
  <si>
    <t>Tri Rahayu Isnayanti</t>
  </si>
  <si>
    <t>Anwar Rizky Sulaksono</t>
  </si>
  <si>
    <t>Lidia Saputri</t>
  </si>
  <si>
    <t>Bagus Qori Firmansyah</t>
  </si>
  <si>
    <t>Dhela Trinanda Gusri</t>
  </si>
  <si>
    <t>Fadhil Alfan Yudanto</t>
  </si>
  <si>
    <t>Regitha Sarwin</t>
  </si>
  <si>
    <t>Ririn Dwi Astuti</t>
  </si>
  <si>
    <t>?085640071704?</t>
  </si>
  <si>
    <t>https://drive.google.com/open?id=1sbWZJ_XxfiWrscuhfcTV-mv7Ts6hWGgMKhjjYhcnLjE&amp;usp=drive_copy</t>
  </si>
  <si>
    <t>XIV.B.1</t>
  </si>
  <si>
    <t>Dr. Rochana Ruliyandari, S.E., M.Kes.</t>
  </si>
  <si>
    <t>Tegal Layang 9, Caturharjo, Pandak</t>
  </si>
  <si>
    <t>Dini Fitriani</t>
  </si>
  <si>
    <t>Purwanti</t>
  </si>
  <si>
    <t>Muhammad Hasan Bisri</t>
  </si>
  <si>
    <t>Adinda Oryza Sativa</t>
  </si>
  <si>
    <t>Muhammad Iqbal Al Anbari</t>
  </si>
  <si>
    <t>Andini Pratama Puspitasari</t>
  </si>
  <si>
    <t>Husnul Khatimah</t>
  </si>
  <si>
    <t>Robit Rifai</t>
  </si>
  <si>
    <t>Alfina Ade Arifin</t>
  </si>
  <si>
    <t>https://drive.google.com/open?id=10baP5j-2T_JSYMwfFwCs6CPVl4O06jIt9cqdrr9OtwE&amp;usp=drive_copy</t>
  </si>
  <si>
    <t>XIV.B.2</t>
  </si>
  <si>
    <t>Tegal Layang 10, Caturharjo, Pandak</t>
  </si>
  <si>
    <t>Sintia Yohana Aksah</t>
  </si>
  <si>
    <t>Asti Dwi Pratiwi</t>
  </si>
  <si>
    <t>Arfando Dwi Cahya Kamara</t>
  </si>
  <si>
    <t>Ersa Regita Febidayanti</t>
  </si>
  <si>
    <t>Trio Ari Anggoro</t>
  </si>
  <si>
    <t>Maudy Cecilia</t>
  </si>
  <si>
    <t>Muhammad Sidik</t>
  </si>
  <si>
    <t>Putri Anisa Widyastuti</t>
  </si>
  <si>
    <t>Santhiputri Lastuthi</t>
  </si>
  <si>
    <t>https://drive.google.com/open?id=1uCWinIH6cUW37QtJa6uHlsqiOk-vPNUym53_dbWCAU0&amp;usp=drive_copy</t>
  </si>
  <si>
    <t>XIV.B.3</t>
  </si>
  <si>
    <t>Koroboyo, Caturharjo, Pandak</t>
  </si>
  <si>
    <t>Anggelica Frilla Estrela</t>
  </si>
  <si>
    <t>Rifda Khairun Nisa</t>
  </si>
  <si>
    <t>Dede Agung Purba Nugraha</t>
  </si>
  <si>
    <t>Evi Kurniawati</t>
  </si>
  <si>
    <t>Aidiehl Fitra Rozie</t>
  </si>
  <si>
    <t>Sekar Larasati Mulyono</t>
  </si>
  <si>
    <t>Masfufah Ainun Jariyah</t>
  </si>
  <si>
    <t>Mhd Arief</t>
  </si>
  <si>
    <t>Addin Mufarriju</t>
  </si>
  <si>
    <t>https://drive.google.com/open?id=15FBk7sjgDl7cPUOvU963L9E2komH58om3QDtMZme2_Q&amp;usp=drive_copy</t>
  </si>
  <si>
    <t>XIV.C.1</t>
  </si>
  <si>
    <t>Korowelang, Caturharjo, Pandak</t>
  </si>
  <si>
    <t>MUCHAMAD FAZRI HERYANA</t>
  </si>
  <si>
    <t>Kusumaning Sekar Fadya Azzahra</t>
  </si>
  <si>
    <t>Karlina</t>
  </si>
  <si>
    <t>Raditya Rafif Baratama</t>
  </si>
  <si>
    <t>Tri Soniya</t>
  </si>
  <si>
    <t>Alfian Hakim</t>
  </si>
  <si>
    <t>Safira Izza Gusti Zarni</t>
  </si>
  <si>
    <t>Putri Assah Berliana</t>
  </si>
  <si>
    <t>Yosy Maulina</t>
  </si>
  <si>
    <t>https://drive.google.com/open?id=1vqcpIDfsJPgxHW6yf2s3coUSIobsgXr9ySfMuK_9-tA&amp;usp=drive_copy</t>
  </si>
  <si>
    <t>XIV.C.2</t>
  </si>
  <si>
    <t>Glagahan, Caturharjo, Pandak</t>
  </si>
  <si>
    <t>Annisa Oktyarika Dewi</t>
  </si>
  <si>
    <t>Ardi Hartanto</t>
  </si>
  <si>
    <t>Nabilah Nur Inayah</t>
  </si>
  <si>
    <t>M. Redho Syaputra</t>
  </si>
  <si>
    <t>Shindy Tristiyanti</t>
  </si>
  <si>
    <t>Fanny Ariesca</t>
  </si>
  <si>
    <t>Rahmad Angga Dwi Saputra</t>
  </si>
  <si>
    <t>Mery Andani Sipahutar</t>
  </si>
  <si>
    <t>April Liati</t>
  </si>
  <si>
    <t>https://drive.google.com/open?id=1x1nYgQm0DL8JVvoXjNimbVfc-ojGdplpqg0XdAUFygQ&amp;usp=drive_copy</t>
  </si>
  <si>
    <t>XIV.C.3</t>
  </si>
  <si>
    <t>Bogem, Caturharjo, Pandak</t>
  </si>
  <si>
    <t>Syakillah Shaqrina</t>
  </si>
  <si>
    <t>Zalfa Ikrima</t>
  </si>
  <si>
    <t>Pandu Hidayat</t>
  </si>
  <si>
    <t>Nahnuriyah</t>
  </si>
  <si>
    <t>Rahmat Hanif Delfandi</t>
  </si>
  <si>
    <t>Jumiati</t>
  </si>
  <si>
    <t>Eka Septiya Khairiyanti</t>
  </si>
  <si>
    <t>Doni Syahputra Sitorus</t>
  </si>
  <si>
    <t>Dea Yusnia Safitri</t>
  </si>
  <si>
    <t>https://drive.google.com/open?id=1xoX4UWs_XJGjXdp-g9umMOGSZ3HZB4e9xmBRpmq07ik&amp;usp=drive_copy</t>
  </si>
  <si>
    <t>XIV.D.1</t>
  </si>
  <si>
    <t>Ichsan Luqmana Indra Putra, S. Si., M. Si.</t>
  </si>
  <si>
    <t>Popohan, Banjararum, Kalibawang</t>
  </si>
  <si>
    <t>Kulon Progo</t>
  </si>
  <si>
    <t>Siti Nuronniah</t>
  </si>
  <si>
    <t>Sukarni Aufi Arlyanading Matikno</t>
  </si>
  <si>
    <t>Mahardika Yordan Pratama</t>
  </si>
  <si>
    <t>Anisa Rizky</t>
  </si>
  <si>
    <t>Krisna Dewa Pratama</t>
  </si>
  <si>
    <t>Mitha Ulli Rahmatillah</t>
  </si>
  <si>
    <t>Siti Nurabizah</t>
  </si>
  <si>
    <t>Syahrizal Ramadhan</t>
  </si>
  <si>
    <t>Titis Apriliska Wijayanti</t>
  </si>
  <si>
    <t>https://drive.google.com/open?id=1xVwIVwhJZ1aLTQLS03BeQMS_wvvUh2wZfIX_cEuIWvY&amp;usp=drive_copy</t>
  </si>
  <si>
    <t>XIV.D.2</t>
  </si>
  <si>
    <t>Mejing, Banjararum, Kalibawang</t>
  </si>
  <si>
    <t>SUHESNO</t>
  </si>
  <si>
    <t>Ratri. Sti. M</t>
  </si>
  <si>
    <t>Arum Wilianti Suparno</t>
  </si>
  <si>
    <t>Erna Andriyani</t>
  </si>
  <si>
    <t>Fadhil Al Hafizh Ibta</t>
  </si>
  <si>
    <t>Dwita Sarah</t>
  </si>
  <si>
    <t>Khairun Nisa</t>
  </si>
  <si>
    <t>Sylvanto Budi Utomo</t>
  </si>
  <si>
    <t>Nur Hofifah</t>
  </si>
  <si>
    <t>https://drive.google.com/open?id=18bzRr9eE6gLLi1p0jkO0gWjsihw1tqcNLPhmPjEus_I&amp;usp=drive_copy</t>
  </si>
  <si>
    <t>XIV.D.3</t>
  </si>
  <si>
    <t>Klepu, Banjararum, Kalibawang</t>
  </si>
  <si>
    <t>Hanifah Ibtihal Khumsa'</t>
  </si>
  <si>
    <t>Cintya Dewi</t>
  </si>
  <si>
    <t>Muhammad Fahrurrazi</t>
  </si>
  <si>
    <t>Dian Ananda</t>
  </si>
  <si>
    <t>SELFI APRILLIA</t>
  </si>
  <si>
    <t>Eka Nur Lailatul Qodar</t>
  </si>
  <si>
    <t>Bayu Rizky Prasetyo</t>
  </si>
  <si>
    <t>Arvy Fajar Utami</t>
  </si>
  <si>
    <t>https://drive.google.com/open?id=1cTg3xUvhDaFWyE5aoIHPvBLFjFcxxdD2oEMDUw3CaVY&amp;usp=drive_copy</t>
  </si>
  <si>
    <t>XV.A.1</t>
  </si>
  <si>
    <t>Tyas Aisyah Putri, S.Tr.Keb., M.KM.</t>
  </si>
  <si>
    <t>Kedondong I, Banjararum, Kalibawang</t>
  </si>
  <si>
    <t>Yutri Apriyani</t>
  </si>
  <si>
    <t>Alfin Santoso</t>
  </si>
  <si>
    <t>Sri Wening Tyas</t>
  </si>
  <si>
    <t>Shafwan Irfandi</t>
  </si>
  <si>
    <t>Fransiska Dewi</t>
  </si>
  <si>
    <t>Yumna Az-zahra</t>
  </si>
  <si>
    <t>Zulfikar Salihamidzic</t>
  </si>
  <si>
    <t>Raden Rara Windyasti Lestari</t>
  </si>
  <si>
    <t>Siti Nurul Amimah</t>
  </si>
  <si>
    <t>https://drive.google.com/open?id=1a6M75LEa0Mhn4ZyUiLyLZuTCwFWQ3H_ahBac0m_0iy8&amp;usp=drive_copy</t>
  </si>
  <si>
    <t>XV.A.2</t>
  </si>
  <si>
    <t>Ngentak, Banjararum, Kalibawang</t>
  </si>
  <si>
    <t>Fitri Dian Saharini</t>
  </si>
  <si>
    <t>Arista Mukti Khasanah</t>
  </si>
  <si>
    <t>Adika Gilang Satria</t>
  </si>
  <si>
    <t>Tazkiyatun Nafs Salsabila Azzahro</t>
  </si>
  <si>
    <t>Akhmad Ajrin Khairi</t>
  </si>
  <si>
    <t>Ummi Salma</t>
  </si>
  <si>
    <t>Safrina Noor Pratiwi</t>
  </si>
  <si>
    <t>Ilham Danu Sudrajat</t>
  </si>
  <si>
    <t>Fajry Azmi Anjani</t>
  </si>
  <si>
    <t>https://drive.google.com/open?id=1LntP-_rHXhiJt7pzrWMylRoxHRo9Czlu5Sz3cUIMCrg&amp;usp=drive_copy</t>
  </si>
  <si>
    <t>XV.A.3</t>
  </si>
  <si>
    <t>Blumbang, Banjararum, Kalibawang</t>
  </si>
  <si>
    <t>Via Ifanka</t>
  </si>
  <si>
    <t>Farah Salsabila</t>
  </si>
  <si>
    <t>Ahmad Mirza Lyano</t>
  </si>
  <si>
    <t>Anggita Adelia Saputri</t>
  </si>
  <si>
    <t>Sendy Apriatna</t>
  </si>
  <si>
    <t>Nabila Hanin</t>
  </si>
  <si>
    <t>Indah Juwita Apsari</t>
  </si>
  <si>
    <t>Indri Iman Sudrajat</t>
  </si>
  <si>
    <t>Noralita Esti</t>
  </si>
  <si>
    <t>https://drive.google.com/open?id=1OhkZpAQmSa7eDZlcNCm4tpoVKg5llb1fotV9WHO8q6Q&amp;usp=drive_copy</t>
  </si>
  <si>
    <t>XV.B.1</t>
  </si>
  <si>
    <t>Drs. Uus Kusdinar, M.Pd.</t>
  </si>
  <si>
    <t>Degan II, Banjararum, Kalibawang</t>
  </si>
  <si>
    <t>Panji Ali Mustakim</t>
  </si>
  <si>
    <t>Yessi Anggreani Anugrah</t>
  </si>
  <si>
    <t>Nabilah Rahmawati</t>
  </si>
  <si>
    <t>Ukhti Nur Fillah</t>
  </si>
  <si>
    <t>Athaariq Hamdi Bayyu Aji</t>
  </si>
  <si>
    <t>Mega Ninda Wijaya</t>
  </si>
  <si>
    <t>Indri Istiqomah</t>
  </si>
  <si>
    <t>Rasyid Ezha Maulana</t>
  </si>
  <si>
    <t>Azizah Husni Sari Silalahi</t>
  </si>
  <si>
    <t>https://drive.google.com/open?id=1Kn2yL1dfiBBlB42c2hoKnGu68Jscz_7oUT4UqjabIUA&amp;usp=drive_copy</t>
  </si>
  <si>
    <t>XV.B.2</t>
  </si>
  <si>
    <t>Semaken III, Banjararum, Kalibawang</t>
  </si>
  <si>
    <t>Dewanggi Apriani Karuniawati</t>
  </si>
  <si>
    <t>Isnairana Sausannuri</t>
  </si>
  <si>
    <t>Muhammad Riduan</t>
  </si>
  <si>
    <t>Zakia Tu'rahmah</t>
  </si>
  <si>
    <t>Muhammad Ikhsan Nur Falah</t>
  </si>
  <si>
    <t>Sheila Rahmah Aprilla</t>
  </si>
  <si>
    <t>Wulan Melinda</t>
  </si>
  <si>
    <t>Rafi Dwi Pamungkas</t>
  </si>
  <si>
    <t>Intan Norvitriana</t>
  </si>
  <si>
    <t>https://drive.google.com/open?id=1R3ix6TlsU6FSycPVRYy2KtmwR-m0tlKaLbuWDkusD0w&amp;usp=drive_copy</t>
  </si>
  <si>
    <t>XV.B.3</t>
  </si>
  <si>
    <t>Kemesu, Banjararum, Kalibawang</t>
  </si>
  <si>
    <t>AMMAR ALWY ASSHIDIK</t>
  </si>
  <si>
    <t>Faranisa Fauziana</t>
  </si>
  <si>
    <t>Peny Meisaroh</t>
  </si>
  <si>
    <t>Muhammad Yuga Pratama Salim</t>
  </si>
  <si>
    <t>Rizkyananda A. Rais</t>
  </si>
  <si>
    <t>Rizki Rizal Indrawan</t>
  </si>
  <si>
    <t>Radita Krisna Sakuntala</t>
  </si>
  <si>
    <t>Merietha Agusti Syalsabilla</t>
  </si>
  <si>
    <t>Al Husna</t>
  </si>
  <si>
    <t>https://drive.google.com/open?id=1RZOcSjoSzOkP5YnNlLJv7nXNCo8hhzPRnwl65dW2FXs&amp;usp=drive_copy</t>
  </si>
  <si>
    <t>XV.C.1</t>
  </si>
  <si>
    <t>Puguh, Banjaroyo, Kalibawang</t>
  </si>
  <si>
    <t>Adevia Ananda</t>
  </si>
  <si>
    <t>Indriyati</t>
  </si>
  <si>
    <t>Dhani Tri Hidayat</t>
  </si>
  <si>
    <t>Amanda Oktadynia</t>
  </si>
  <si>
    <t>Muhammad Risco Ramadhan</t>
  </si>
  <si>
    <t>Qaulina Tsabit</t>
  </si>
  <si>
    <t>Lu'lu' Labibah</t>
  </si>
  <si>
    <t>Iqbal Mursyid Fatwa</t>
  </si>
  <si>
    <t>Nila Fadillah</t>
  </si>
  <si>
    <t>https://drive.google.com/open?id=1SsvHkRej2vBregcp2Lsl1i2jJj8r_J5OFIu_IM_TS5A&amp;usp=drive_copy</t>
  </si>
  <si>
    <t>XV.C.2</t>
  </si>
  <si>
    <t>Kempong, Banjaroyo, Kalibawang</t>
  </si>
  <si>
    <t>Megah Indah Sari</t>
  </si>
  <si>
    <t>Shafira Hanum Febriana</t>
  </si>
  <si>
    <t>Pangestu Ari Bonggo</t>
  </si>
  <si>
    <t>Alya Farradya Nuraziza</t>
  </si>
  <si>
    <t>Dicky Syahrio</t>
  </si>
  <si>
    <t>Heni Safitri</t>
  </si>
  <si>
    <t>Raeisa Anantatur Rotinsulu</t>
  </si>
  <si>
    <t>Ahmad Affan</t>
  </si>
  <si>
    <t>Annisya Nurjana</t>
  </si>
  <si>
    <t>https://drive.google.com/open?id=1R4017ykQ6WNTndHZCXTtl5SVSjMK56gg5ppQkqTA2rk&amp;usp=drive_copy</t>
  </si>
  <si>
    <t>XV.C.3</t>
  </si>
  <si>
    <t>Pranan, Banjaroyo, Kalibawang</t>
  </si>
  <si>
    <t>KHUSNIL MAR'AH</t>
  </si>
  <si>
    <t>Nugraisyah Ika Mayori</t>
  </si>
  <si>
    <t>Nia Latifatun Nikmah</t>
  </si>
  <si>
    <t>Muhamad Afan Arifan</t>
  </si>
  <si>
    <t>Hasna Fadhilla Fachriardiansyah</t>
  </si>
  <si>
    <t>Mohammad Aldi Rosyidin</t>
  </si>
  <si>
    <t>Sri Surya Ningsih</t>
  </si>
  <si>
    <t>Indra Rapsanjani</t>
  </si>
  <si>
    <t>Nilam Cahya Mustika</t>
  </si>
  <si>
    <t>https://drive.google.com/open?id=1SvSKL8C75JPtL2AI67EGw9NrRz_8DeCqmRflP63W0HA&amp;usp=drive_copy</t>
  </si>
  <si>
    <t>XV.D.1</t>
  </si>
  <si>
    <t>Sutipyo, S.Ag., M.Si.</t>
  </si>
  <si>
    <t>Pantog Kulon, Banjaroyo, Kalibawang</t>
  </si>
  <si>
    <t>Farah Jenita Salsa Zetira</t>
  </si>
  <si>
    <t>Annisa Wiyendari</t>
  </si>
  <si>
    <t>Bagus Yoga Pratama</t>
  </si>
  <si>
    <t>Erfina Chandradita</t>
  </si>
  <si>
    <t>Satria Yogha Pratama</t>
  </si>
  <si>
    <t>Ayu Karina Ardiyani</t>
  </si>
  <si>
    <t>Rusda Maulidiya</t>
  </si>
  <si>
    <t>Lalu Raja Aulia Rahman</t>
  </si>
  <si>
    <t>Faigatul Atika</t>
  </si>
  <si>
    <t>087745474440 / 081392475745</t>
  </si>
  <si>
    <t>https://drive.google.com/open?id=1TnmNTSo-03y6ulvYttT-hHHTp9QhfaNbZjV0kMWrqhg&amp;usp=drive_copy</t>
  </si>
  <si>
    <t>XV.D.2</t>
  </si>
  <si>
    <t>Banjaran, Banjaroyo, Kalibawang</t>
  </si>
  <si>
    <t>HAFIDZ NURUL IZZA</t>
  </si>
  <si>
    <t>Nafisah Intan Hasanah</t>
  </si>
  <si>
    <t>Dwi Fita Rusilawati</t>
  </si>
  <si>
    <t>Arkansa Haves Al Asyad</t>
  </si>
  <si>
    <t>Khansa Pricilia Alibasach</t>
  </si>
  <si>
    <t>Basyid Farhan Mursyidan</t>
  </si>
  <si>
    <t>Nur Ramadhani</t>
  </si>
  <si>
    <t>Nelsi Merella</t>
  </si>
  <si>
    <t>Fatria Damayanti</t>
  </si>
  <si>
    <t>085387654959 / 089509058752</t>
  </si>
  <si>
    <t>https://drive.google.com/open?id=1UrAz0CyyTWAism1BSpkvFvdO9j7BVmFyK4BvFMGqoN4&amp;usp=drive_copy</t>
  </si>
  <si>
    <t>XV.D.3</t>
  </si>
  <si>
    <t>Slanden, Banjaroyo, Kalibawang</t>
  </si>
  <si>
    <t>Ade Kurnia</t>
  </si>
  <si>
    <t>Anisa Rizky Ananda</t>
  </si>
  <si>
    <t>Messy</t>
  </si>
  <si>
    <t>Moh. Ihzarull Haaq</t>
  </si>
  <si>
    <t>Elmina Olgam</t>
  </si>
  <si>
    <t>Silfia Cindy Ariadita</t>
  </si>
  <si>
    <t>Miftah Hajar Mukarromah</t>
  </si>
  <si>
    <t>Talenta Diwa</t>
  </si>
  <si>
    <t>Sri Dewi</t>
  </si>
  <si>
    <t>https://drive.google.com/open?id=1VBIFWNzu4ZyE7Y8gI-koV7eH1KkE2kYEabvwLkoyQHA&amp;usp=drive_copy</t>
  </si>
  <si>
    <t>XVI.A.1</t>
  </si>
  <si>
    <t>Dr. Betty Mauli Rosa Bustam, M.A.</t>
  </si>
  <si>
    <t>Semawung, Banjaroyo, Kalibawang</t>
  </si>
  <si>
    <t>Yossan Sandi Rahmadi</t>
  </si>
  <si>
    <t>Putri Tshania Nida Fitria Hidayat</t>
  </si>
  <si>
    <t>Diah Ayu Lestari</t>
  </si>
  <si>
    <t>Wahid Kurniawan</t>
  </si>
  <si>
    <t>Umi Khairani</t>
  </si>
  <si>
    <t>Asra Akrima</t>
  </si>
  <si>
    <t>Siti Sholikha Muhamad</t>
  </si>
  <si>
    <t>Katon Dicken Adi Wicaksono</t>
  </si>
  <si>
    <t>Sonia Nasriati</t>
  </si>
  <si>
    <t>https://drive.google.com/open?id=1Es6h2bPMIK8HsDuzV7ioeTJf-2Khr8Dv68dgUc1gUFA&amp;usp=drive_copy</t>
  </si>
  <si>
    <t>XVI.A.2</t>
  </si>
  <si>
    <t>Tanjung, Banjaroyo, Kalibawang</t>
  </si>
  <si>
    <t>Fatma Izzatunnida</t>
  </si>
  <si>
    <t>Siti Najah Ghoida</t>
  </si>
  <si>
    <t>Muhammad Daffa Muntholib</t>
  </si>
  <si>
    <t>Sri Nurhaliza</t>
  </si>
  <si>
    <t>Fariz Hindami Algifari</t>
  </si>
  <si>
    <t>Vatia Fahrunisa Rahmadini</t>
  </si>
  <si>
    <t>Farhah Yumna Hasibah</t>
  </si>
  <si>
    <t>Rajindra Azhar Rajwa</t>
  </si>
  <si>
    <t>Laila Shofia Istighfariyani</t>
  </si>
  <si>
    <t>https://drive.google.com/open?id=1GqkYkQuEJEjU5J0ZRInGet7apy2Crxxg2bkyABnVSs0&amp;usp=drive_copy</t>
  </si>
  <si>
    <t>XVI.A.3</t>
  </si>
  <si>
    <t>Tonogoro, Banjaroyo, Kalibawang</t>
  </si>
  <si>
    <t>Karina Eka Nurfadillah</t>
  </si>
  <si>
    <t>Indah Permatasari</t>
  </si>
  <si>
    <t>Dias Bayu Asmoro</t>
  </si>
  <si>
    <t>Rafika Puspita Dewi</t>
  </si>
  <si>
    <t>Ilyam Faisal</t>
  </si>
  <si>
    <t>Nora Agusti Novita Sari</t>
  </si>
  <si>
    <t>Nurul Dwi Handayani</t>
  </si>
  <si>
    <t>Muhammad Yusuf Al Jum'ah</t>
  </si>
  <si>
    <t>Yuliana Mayu Nur Safitri</t>
  </si>
  <si>
    <t>082130120420 / 083816903933</t>
  </si>
  <si>
    <t>https://drive.google.com/open?id=1HTaVZe1FFZP8z6EJtKgSrY71HOWk1fPYEpqK9U86A_I&amp;usp=drive_copy</t>
  </si>
  <si>
    <t>XVI.B.1</t>
  </si>
  <si>
    <t>Syariful Fahmi S.Pd.I., M.Pd.</t>
  </si>
  <si>
    <t>Kepiton, Banjarasri, Kalibawang</t>
  </si>
  <si>
    <t>Pinkan Dea Rosa</t>
  </si>
  <si>
    <t>Adelia Maharani</t>
  </si>
  <si>
    <t>Rifal Aufar Rizki Izza</t>
  </si>
  <si>
    <t>Erlina Devi Ayu Cahyani</t>
  </si>
  <si>
    <t>Royyan Rifki Widyarto</t>
  </si>
  <si>
    <t>Hamida Khanza Nurusysyifaa</t>
  </si>
  <si>
    <t>Salwa Jasani Chaerunnisa</t>
  </si>
  <si>
    <t>Muhammad Syahdilladarama Martin Kesuma</t>
  </si>
  <si>
    <t>Intan Khofifah</t>
  </si>
  <si>
    <t>https://drive.google.com/open?id=1SHUnS4dncNpz7YCd-hB6suWOY-kxE5GaGxxjn7571Oo&amp;usp=drive_copy</t>
  </si>
  <si>
    <t>XVI.B.2</t>
  </si>
  <si>
    <t>Semak, Banjarasri, Kalibawang</t>
  </si>
  <si>
    <t>Nurinsani Yaman</t>
  </si>
  <si>
    <t>Tri Tunggal Juni Lestari</t>
  </si>
  <si>
    <t>Ariz Zihad Dudin Muslim</t>
  </si>
  <si>
    <t>Diva Ul Hasna</t>
  </si>
  <si>
    <t>Ryan Agung Nugraha</t>
  </si>
  <si>
    <t>Dara Anggini Putri</t>
  </si>
  <si>
    <t>Syarifah Nurlaily</t>
  </si>
  <si>
    <t>Soni Heriawan</t>
  </si>
  <si>
    <t>Rindiani Irawan</t>
  </si>
  <si>
    <t>https://drive.google.com/open?id=1nrzWTiKA9ldC2FGpwiAyr3risojtNYjoRHz63RvDSfg&amp;usp=drive_copy</t>
  </si>
  <si>
    <t>XVI.B.3</t>
  </si>
  <si>
    <t>Kisik, Banjarasri, Kalibawang</t>
  </si>
  <si>
    <t>Nurhidayah</t>
  </si>
  <si>
    <t>Ertanti Wiji Lestari</t>
  </si>
  <si>
    <t>Dinda Iftiqa Rahma</t>
  </si>
  <si>
    <t>Farhan Kemal Pasyha</t>
  </si>
  <si>
    <t>Larasati Arumdany Widyrianto</t>
  </si>
  <si>
    <t>Imam Mubaraq</t>
  </si>
  <si>
    <t>Sulistya Yuni Ramadhani</t>
  </si>
  <si>
    <t>Aan Sebastian</t>
  </si>
  <si>
    <t>Sekar Prembayun</t>
  </si>
  <si>
    <t>https://drive.google.com/open?id=1qFc_9tU5EuyCio1Xr_H-k3r6k_LmSw9oxgysADhEUVY&amp;usp=drive_copy</t>
  </si>
  <si>
    <t>XVI.C.1</t>
  </si>
  <si>
    <t>Hardi Prasetiawan, S.Pd., M.Pd.</t>
  </si>
  <si>
    <t>Ganasari, Banjarasri, Kalibawang</t>
  </si>
  <si>
    <t>Annisa Putri Hadiyaningrum</t>
  </si>
  <si>
    <t>Syifa Pangastuti</t>
  </si>
  <si>
    <t>Salwa Yudhantama</t>
  </si>
  <si>
    <t>Febi Sekar Pertiwi</t>
  </si>
  <si>
    <t>Rifqi Ibadi Bosma</t>
  </si>
  <si>
    <t>Aneu Rizqia Kaffah</t>
  </si>
  <si>
    <t>Teti Lisdiyanti</t>
  </si>
  <si>
    <t>Sigit Prastowo</t>
  </si>
  <si>
    <t>Khairunnisa Rehmuliana Milala</t>
  </si>
  <si>
    <t>https://drive.google.com/open?id=1D51xmYYsDlWkRFPh_MU2uGUmjNrYLMcOxoPoM89_OLg&amp;usp=drive_copy</t>
  </si>
  <si>
    <t>XVI.C.2</t>
  </si>
  <si>
    <t>Paras, Banjarasri, Kalibawang</t>
  </si>
  <si>
    <t>Ayudia Fauziah</t>
  </si>
  <si>
    <t>Ulfatun Ni'mah</t>
  </si>
  <si>
    <t>Dava Rahmatullah</t>
  </si>
  <si>
    <t>Rika Lidhiana</t>
  </si>
  <si>
    <t>Tiras Adji Ramadhanki</t>
  </si>
  <si>
    <t>Hanifah Rusydah</t>
  </si>
  <si>
    <t>Fibri Rizki Wulandari</t>
  </si>
  <si>
    <t>Yan Saputra Wijoyo</t>
  </si>
  <si>
    <t>Amalia Nurmalasari</t>
  </si>
  <si>
    <t>https://drive.google.com/open?id=1EfpRu0AWiuGZi-50E9z77xjsobE5vbJ4yk7Pv_htQlU&amp;usp=drive_copy</t>
  </si>
  <si>
    <t>XVI.C.3</t>
  </si>
  <si>
    <t>Jurang, Banjarharjo, Kalibawang</t>
  </si>
  <si>
    <t>Alifia Almaida Gisananda</t>
  </si>
  <si>
    <t>Dewi Kumalasari</t>
  </si>
  <si>
    <t>Zulkhaidar Zaki Lazuardi</t>
  </si>
  <si>
    <t>Ayu Choiriyah</t>
  </si>
  <si>
    <t>Sahid Ma'arif</t>
  </si>
  <si>
    <t>Ninda Fadilah</t>
  </si>
  <si>
    <t>Alifia Ramadhani</t>
  </si>
  <si>
    <t>Arga Aulia Rahman</t>
  </si>
  <si>
    <t>Arum Puspitasari</t>
  </si>
  <si>
    <t>https://drive.google.com/open?id=1G9ZO3Ij_Px1N41zViF2lPSFfVn8iHHuSPCtMPo86bH4&amp;usp=drive_copy</t>
  </si>
  <si>
    <t>XVI.D.1</t>
  </si>
  <si>
    <t>Ahmad Zaki Annafiri, S.Pd.I, M.Ed.</t>
  </si>
  <si>
    <t>Bogo, Banjarharjo, Kalibawang</t>
  </si>
  <si>
    <t>Nadia Kencana Dewi</t>
  </si>
  <si>
    <t>Galih Aga Lumayung</t>
  </si>
  <si>
    <t>Athiyya Lauda</t>
  </si>
  <si>
    <t>Tri Fungsihono</t>
  </si>
  <si>
    <t>Indah Anggi Astuti</t>
  </si>
  <si>
    <t>Diniatun Nur Baiti</t>
  </si>
  <si>
    <t>Muhammad Rizki Ridani</t>
  </si>
  <si>
    <t>Fathina Adila Fikriyya</t>
  </si>
  <si>
    <t>Yuhyin Nufus Insara</t>
  </si>
  <si>
    <t>https://drive.google.com/open?id=1KdqwKBtk-yEflHK_cIrmFrH-o0x9R7tXlkmmlGwwtS4&amp;usp=drive_copy</t>
  </si>
  <si>
    <t>XVI.D.2</t>
  </si>
  <si>
    <t>Srandu, Banjarharjo, Kalibawang</t>
  </si>
  <si>
    <t>Hasnabila Khairunnisa</t>
  </si>
  <si>
    <t>Iin Syafani</t>
  </si>
  <si>
    <t>Khoirul Anwar</t>
  </si>
  <si>
    <t>Erlin Evita Sari</t>
  </si>
  <si>
    <t>M. Irfan Gustian</t>
  </si>
  <si>
    <t>Nila Lestari</t>
  </si>
  <si>
    <t>Afaf Zain Qatrunnada</t>
  </si>
  <si>
    <t>Raka Abel Bimantara</t>
  </si>
  <si>
    <t>Laila Mawaddah Yusfa</t>
  </si>
  <si>
    <t>https://drive.google.com/open?id=1Qa-Rt-lPbfDnuTDFE_19OQ6U0Vwv9FKOcpnhbmelh6w&amp;usp=drive_copy</t>
  </si>
  <si>
    <t>XVI.D.3</t>
  </si>
  <si>
    <t>Duwet 1, Banjarharjo, Kalibawang</t>
  </si>
  <si>
    <t>Dani Sinta Satria Putri</t>
  </si>
  <si>
    <t>Rosita Rahma Sari</t>
  </si>
  <si>
    <t>Reggi Zaki Mubarok</t>
  </si>
  <si>
    <t>Niken Kumala Sari</t>
  </si>
  <si>
    <t>Rama Maldini Alfen Firdaus</t>
  </si>
  <si>
    <t>Sheri Triana Putri</t>
  </si>
  <si>
    <t>Widya Rahmawati</t>
  </si>
  <si>
    <t>Pashawa Khotob</t>
  </si>
  <si>
    <t>Elia Sukmawatie</t>
  </si>
  <si>
    <t>083149566869/081227833603</t>
  </si>
  <si>
    <t>https://drive.google.com/open?id=1SiaExMdZMm1Dni-vyfUNFOrWmmVsozZMLGGJM0q_hnQ&amp;usp=drive_copy</t>
  </si>
  <si>
    <t>XVII.A.1</t>
  </si>
  <si>
    <t>Trisna Sukmayadi, S.Pd., M.Pd.</t>
  </si>
  <si>
    <t>Padaan Wetan, Banjarharjo, Kalibawang</t>
  </si>
  <si>
    <t>Gayatri Dinda Susila Ningrum</t>
  </si>
  <si>
    <t>Zulfa Nabila Putri</t>
  </si>
  <si>
    <t>Mirza Kasoma Anshori</t>
  </si>
  <si>
    <t>Shendy Yovent Pratiwi</t>
  </si>
  <si>
    <t>Ade Wardani</t>
  </si>
  <si>
    <t>Annisa Shafiya Yulianti</t>
  </si>
  <si>
    <t>Cucu Nadiyah</t>
  </si>
  <si>
    <t>Selo Ardo Prayogo</t>
  </si>
  <si>
    <t>Elsa Dewi Nuryani</t>
  </si>
  <si>
    <t>https://drive.google.com/open?id=1ZmpHtiGG6GHbJ3t4f7m6mVz6YP-37MXVLkmgSzjbKqg&amp;usp=drive_copy</t>
  </si>
  <si>
    <t>XVII.A.2</t>
  </si>
  <si>
    <t>Padaan Kulon, Banjarharjo, Kalibawang</t>
  </si>
  <si>
    <t>JIAN PARTAWIJAYA</t>
  </si>
  <si>
    <t>Firda Rosi Ramadani</t>
  </si>
  <si>
    <t>Fajar Muharam</t>
  </si>
  <si>
    <t>Mia Herpina Rahmawati</t>
  </si>
  <si>
    <t>Muhammad Irfan Fajru Ramadhan</t>
  </si>
  <si>
    <t>Alifia Nur 'annisa</t>
  </si>
  <si>
    <t>An Nisa Ridha Salma</t>
  </si>
  <si>
    <t>Ira Badria Eprilyana</t>
  </si>
  <si>
    <t>https://drive.google.com/open?id=1ZXjnCYh3jDAeWfSq0f_qyjwCjqi05SxL2zJI-NPAl-s&amp;usp=drive_copy</t>
  </si>
  <si>
    <t>XVII.A.3</t>
  </si>
  <si>
    <t>Demangan, Banjarharjo, Kalibawang</t>
  </si>
  <si>
    <t>Rodhita Angriani</t>
  </si>
  <si>
    <t>Nadya Andhini Mahadyan</t>
  </si>
  <si>
    <t>Aanisah Aulia Zulfaa</t>
  </si>
  <si>
    <t>Ricky Priyan Utama</t>
  </si>
  <si>
    <t>Nandifa Satria Putra</t>
  </si>
  <si>
    <t>Anindya Hasna Amaliyani</t>
  </si>
  <si>
    <t>Naura Salzabila</t>
  </si>
  <si>
    <t>Abi Rizal Ramadhan</t>
  </si>
  <si>
    <t>Nurani Tri Astuti</t>
  </si>
  <si>
    <t>https://drive.google.com/open?id=1bd8DiGbSEZ3QJvrXK0bY80Zj7MSMvsa5mYzSSC_NGU8&amp;usp=drive_copy</t>
  </si>
  <si>
    <t>XVII.B.1</t>
  </si>
  <si>
    <t>Bagus Gumelar, S.E., M.M.</t>
  </si>
  <si>
    <t>Semawung, Banjarharjo, Kalibawang</t>
  </si>
  <si>
    <t>Dwi Nadiyanti Muntamah</t>
  </si>
  <si>
    <t>Ikhda Ni'ami Fauzi Yatunnisa</t>
  </si>
  <si>
    <t>Habib Miladika</t>
  </si>
  <si>
    <t>Nurul Rahmatun Nisa</t>
  </si>
  <si>
    <t>Rizki Nur Rachmadi Yudadiningrat</t>
  </si>
  <si>
    <t>Kiki Arsela</t>
  </si>
  <si>
    <t>Shafira Cahya Afita</t>
  </si>
  <si>
    <t>Muhammad Ridho Dwiyogo</t>
  </si>
  <si>
    <t>Ratih Dwi Lestari</t>
  </si>
  <si>
    <t>https://drive.google.com/open?id=1TkTdkXWko63gVKw4ClRaliysr9nonpq8lJ-_glqYxpw&amp;usp=drive_copy</t>
  </si>
  <si>
    <t>XVII.B.2</t>
  </si>
  <si>
    <t>Salam, Banjarharjo, Kalibawang</t>
  </si>
  <si>
    <t>Yoga Danang Pratama</t>
  </si>
  <si>
    <t>Gita Eri Melisa</t>
  </si>
  <si>
    <t>Shely Dwi Wulandari</t>
  </si>
  <si>
    <t>Sekar Mellaniga Dewi</t>
  </si>
  <si>
    <t>Hugeng Seto Pranowo</t>
  </si>
  <si>
    <t>Aisha Raihana</t>
  </si>
  <si>
    <t>Windi Widianingsih</t>
  </si>
  <si>
    <t>Nazhif Dzaky Thaheer</t>
  </si>
  <si>
    <t>Aulia Afada</t>
  </si>
  <si>
    <t>https://drive.google.com/open?id=1dzPt8b1d5eT0B7pQ_hU2et97TdFkZsm9N9j23a9t6EI&amp;usp=drive_copy</t>
  </si>
  <si>
    <t>XVII.B.3</t>
  </si>
  <si>
    <t>Cikalan, Banjarharjo, Kalibawang</t>
  </si>
  <si>
    <t>Hasna Aisyah Iman Utama</t>
  </si>
  <si>
    <t>Salma Dwi Amanda</t>
  </si>
  <si>
    <t>M. Iqbal Arbi</t>
  </si>
  <si>
    <t>Aida Fitria Fauziah</t>
  </si>
  <si>
    <t>Tegar Aji Waskito</t>
  </si>
  <si>
    <t>Vani Mafaza Wachdah</t>
  </si>
  <si>
    <t>Khofifah Indah Dwi Cahyani</t>
  </si>
  <si>
    <t>Muhammad Yusril</t>
  </si>
  <si>
    <t>Fatma</t>
  </si>
  <si>
    <t>https://drive.google.com/open?id=1Y8yBx_fF-SEJ2Rk10WMp0ZvBOfcYbS1064Q07Wm0wno&amp;usp=drive_copy</t>
  </si>
  <si>
    <t>XVII.C.1</t>
  </si>
  <si>
    <t>Fatma Nuraisyah, S.K.M., M.P.H.</t>
  </si>
  <si>
    <t>Ngemplak, Banjarharjo, Kalibawang</t>
  </si>
  <si>
    <t>Pamastu Narpaduita</t>
  </si>
  <si>
    <t>Intan Sukesi Retnaningsih</t>
  </si>
  <si>
    <t>Gandi Nur Rahmatulloh</t>
  </si>
  <si>
    <t>Anisa Kuswandari</t>
  </si>
  <si>
    <t>M. Nauval Fauzi Khatullah</t>
  </si>
  <si>
    <t>Dinda Aisyah Nabila</t>
  </si>
  <si>
    <t>Anjelina Silpha Karollin</t>
  </si>
  <si>
    <t>Thaufiq Suprasetyo</t>
  </si>
  <si>
    <t>Nia Widiaryanti</t>
  </si>
  <si>
    <t>https://drive.google.com/open?id=1ISEd3zZ3_P1FV2SCiUiV-r7i24_e-6GfzFQSFt3Oaak&amp;usp=drive_copy</t>
  </si>
  <si>
    <t>XVII.C.2</t>
  </si>
  <si>
    <t>Padaan Ngasem, Banjarharjo, Kalibawang</t>
  </si>
  <si>
    <t>SYACHRUL RAMADAN KADIR POLE</t>
  </si>
  <si>
    <t>Reni Kurniawati</t>
  </si>
  <si>
    <t>An'im Shollahudin Fazri</t>
  </si>
  <si>
    <t>Alifah Salwa Nisriina</t>
  </si>
  <si>
    <t>Dhea Annisya Priscilla</t>
  </si>
  <si>
    <t>Fitrah Desti Ramadhanti</t>
  </si>
  <si>
    <t>Valen Anandayan</t>
  </si>
  <si>
    <t>Lidia Febrianti</t>
  </si>
  <si>
    <t>https://drive.google.com/open?id=1oMvRKCsxFE6sjk4cGmyuzDcOCu378H6gDJ8b3vLGNa4&amp;usp=drive_copy</t>
  </si>
  <si>
    <t>XVII.C.3</t>
  </si>
  <si>
    <t>Beku, Banjarharjo, Kalibawang</t>
  </si>
  <si>
    <t>Venny Sari Dewi</t>
  </si>
  <si>
    <t>Retno Wulandari</t>
  </si>
  <si>
    <t>Amarullah Azra</t>
  </si>
  <si>
    <t>Salsabila Aulia Azzahra</t>
  </si>
  <si>
    <t>Ya'yalatama Izmayana</t>
  </si>
  <si>
    <t>Rahmah Niar Ulfah</t>
  </si>
  <si>
    <t>Karina Indi Radhiah</t>
  </si>
  <si>
    <t>Duwi Satriyoaji</t>
  </si>
  <si>
    <t>Rachma Fadila</t>
  </si>
  <si>
    <t>https://drive.google.com/open?id=1ebORm7--zDvIm4NamzjuPjOtUBAx5tZHACLcjK5Mq_c&amp;usp=drive_copy</t>
  </si>
  <si>
    <t>XVII.D.1</t>
  </si>
  <si>
    <t>Farid Maruf, S.T., M.Eng.</t>
  </si>
  <si>
    <t>Puyang, Purwoharjo, Samigaluh</t>
  </si>
  <si>
    <t>IRSAN SUSANTO</t>
  </si>
  <si>
    <t>Aiza Salsabilla Kusmaninggar</t>
  </si>
  <si>
    <t>Novita Ramadhani Safitri</t>
  </si>
  <si>
    <t>Intan Nur Fauziyah</t>
  </si>
  <si>
    <t>Muhammad Kahfi</t>
  </si>
  <si>
    <t>Lutfi Nur Afifah</t>
  </si>
  <si>
    <t>Resiana Larasati</t>
  </si>
  <si>
    <t>Radita Arthamevia Damery</t>
  </si>
  <si>
    <t>https://drive.google.com/open?id=1r2igowZW-MNiaQKk3N14pNNARCuLmR3N_RVN2UXG0fc&amp;usp=drive_copy</t>
  </si>
  <si>
    <t>XVII.D.2</t>
  </si>
  <si>
    <t>Tukharjo, Purwoharjo, Samigaluh</t>
  </si>
  <si>
    <t>Serly Annisa Dewi</t>
  </si>
  <si>
    <t>Maulida Ivana Sari</t>
  </si>
  <si>
    <t>Mukti Habil Valentino</t>
  </si>
  <si>
    <t>Putri Shafa Hamidah</t>
  </si>
  <si>
    <t>Imam Rahmatullah</t>
  </si>
  <si>
    <t>Amalia Yaminska Prasaja</t>
  </si>
  <si>
    <t>Ulya Karimah</t>
  </si>
  <si>
    <t>Ari Wijanarko</t>
  </si>
  <si>
    <t>Sri Igamawarni</t>
  </si>
  <si>
    <t>https://drive.google.com/open?id=1vM1v4OZYgij_oHrdxN3QvIJKTU0ApEqNdK3duiU4VII&amp;usp=drive_copy</t>
  </si>
  <si>
    <t>XVII.D.3</t>
  </si>
  <si>
    <t>Bangunrejo, Purwoharjo, Samigaluh</t>
  </si>
  <si>
    <t>Citra Dara Anggun</t>
  </si>
  <si>
    <t>A'isyah Arroobi'atu Rizqiyah</t>
  </si>
  <si>
    <t>Irfan Darman</t>
  </si>
  <si>
    <t>Salsabillah Roudlotul Janah</t>
  </si>
  <si>
    <t>Amirul Hazji Hasibuan</t>
  </si>
  <si>
    <t>Nuni Yuni Aryani</t>
  </si>
  <si>
    <t>Yekti Utami Ratna Ajeng Nursita</t>
  </si>
  <si>
    <t>Samsul Alam Dj Muhidin</t>
  </si>
  <si>
    <t>Tatya Mahardani Elyawati</t>
  </si>
  <si>
    <t>https://drive.google.com/open?id=1wQ7Gp1aiuN3lQCKG1IF-1obOJ1fNlusp_nS6h4jRCvE&amp;usp=drive_copy</t>
  </si>
  <si>
    <t>XVIII.A.1</t>
  </si>
  <si>
    <t>Siti Kurnia Widihastuti, S.KM., M.Ph.</t>
  </si>
  <si>
    <t>Madigondo, Sidoharjo, Samigaluh</t>
  </si>
  <si>
    <t>LUTHFI ILMIAWAN</t>
  </si>
  <si>
    <t>Ratih Nur Annisa</t>
  </si>
  <si>
    <t>Tri Eva Rahmadani</t>
  </si>
  <si>
    <t>Ahmad Sandra</t>
  </si>
  <si>
    <t>Lutfi Azizah Salsabila</t>
  </si>
  <si>
    <t>Septian Adhi Nugroho</t>
  </si>
  <si>
    <t>Shinta Mayasari</t>
  </si>
  <si>
    <t>Khoyrul Nur Khosyh</t>
  </si>
  <si>
    <t>Rizki Amanatulloh</t>
  </si>
  <si>
    <t>https://drive.google.com/open?id=1zAyXeE1VA3-Wx0PJNINHXJUS8KXOyKmAYwLw6GycmbE&amp;usp=drive_copy</t>
  </si>
  <si>
    <t>XVIII.A.2</t>
  </si>
  <si>
    <t>Sebo, Sidoharjo, Samigaluh</t>
  </si>
  <si>
    <t>Senja Amalia Rahmawati</t>
  </si>
  <si>
    <t>Rizky Pratama</t>
  </si>
  <si>
    <t>Meylani Safira</t>
  </si>
  <si>
    <t>Akhmad Daffa Ramadhan</t>
  </si>
  <si>
    <t>Affifatu Annisa</t>
  </si>
  <si>
    <t>Wiranti Salina</t>
  </si>
  <si>
    <t>Affan Anwari`</t>
  </si>
  <si>
    <t>Elsa Dirian</t>
  </si>
  <si>
    <t>Luthfiah Anisah</t>
  </si>
  <si>
    <t>https://drive.google.com/open?id=1vPgpyo5KwkkYOHcKUiZVN-i7Gi-n4OudoxZ86i1DynE&amp;usp=drive_copy</t>
  </si>
  <si>
    <t>XVIII.A.3</t>
  </si>
  <si>
    <t>Ngelambur, Sidoharjo, Samigaluh</t>
  </si>
  <si>
    <t>Hasna Novia Salsabila</t>
  </si>
  <si>
    <t>Febriantyka Adhela Dwi Pramessuri</t>
  </si>
  <si>
    <t>Muhammad Diwan Kamara</t>
  </si>
  <si>
    <t>Nurul Amalia</t>
  </si>
  <si>
    <t>Alif Sahrul Ramadhan</t>
  </si>
  <si>
    <t>Ratna Ermawati Sari</t>
  </si>
  <si>
    <t>Diana Salsabila</t>
  </si>
  <si>
    <t>Muh. Yunus Barunda</t>
  </si>
  <si>
    <t>Ayu Wulandari</t>
  </si>
  <si>
    <t>?085368495956</t>
  </si>
  <si>
    <t>https://drive.google.com/open?id=1zV8tIvGoNK8aF3W0o-01UwnkDENQdvxe7JUTwTFxozA&amp;usp=drive_copy</t>
  </si>
  <si>
    <t>XVIII.B.1</t>
  </si>
  <si>
    <t>Rokhmayanti, S.K.M., M.P.H.</t>
  </si>
  <si>
    <t>Nyemani, Sidoharjo, Samigaluh</t>
  </si>
  <si>
    <t>Fadilia Fitriani</t>
  </si>
  <si>
    <t>Rosidah Amalia</t>
  </si>
  <si>
    <t>Dzaky Tamama</t>
  </si>
  <si>
    <t>Dyah Rahmawati</t>
  </si>
  <si>
    <t>La Ode Dimas Pramasta</t>
  </si>
  <si>
    <t>Selvi Maulidia</t>
  </si>
  <si>
    <t>Shifa Aulia</t>
  </si>
  <si>
    <t>Fikri Maulana Akbar</t>
  </si>
  <si>
    <t>Dewi Sefita Reno Asih</t>
  </si>
  <si>
    <t>https://drive.google.com/open?id=10-e6i2Y1dJz7V0Ow6RYSOPsODg2DKNOiq-4_fCDRCow&amp;usp=drive_copy</t>
  </si>
  <si>
    <t>XVIII.B.2</t>
  </si>
  <si>
    <t>Wonogiri, Sidoharjo, Samigaluh</t>
  </si>
  <si>
    <t>Himayatun Nadiya</t>
  </si>
  <si>
    <t>Risha Amalia Puteri</t>
  </si>
  <si>
    <t>Ardi Yuniardi</t>
  </si>
  <si>
    <t>Linda Melani Kurnianingrum</t>
  </si>
  <si>
    <t>Muhammad Rizal</t>
  </si>
  <si>
    <t>Maemunisa Yuniana Sari</t>
  </si>
  <si>
    <t>Anggraheni Nurmawati</t>
  </si>
  <si>
    <t>Bugy Johani</t>
  </si>
  <si>
    <t>Sri Ramayani</t>
  </si>
  <si>
    <t>https://drive.google.com/open?id=13YSRYTciJoU95rV7WBPkBKL52TKOuw2safWr01Df0-g&amp;usp=drive_copy</t>
  </si>
  <si>
    <t>XVIII.B.3</t>
  </si>
  <si>
    <t>Sumoroto, Sidoharjo, Samigaluh</t>
  </si>
  <si>
    <t>Arinda Diniyah Ardian Putri</t>
  </si>
  <si>
    <t>Lani Prasetiyani</t>
  </si>
  <si>
    <t>Fatih Risky Setyo Prawira</t>
  </si>
  <si>
    <t>Mifta Anggi Septanty</t>
  </si>
  <si>
    <t>Bayu Anggara</t>
  </si>
  <si>
    <t>Yulia Rahmawati</t>
  </si>
  <si>
    <t>Ade Tria Maharani</t>
  </si>
  <si>
    <t>Muhammad Nur Rizal</t>
  </si>
  <si>
    <t>Oktaviola Putri Ananda</t>
  </si>
  <si>
    <t>https://drive.google.com/open?id=16WA4VfPvnflY-Rpfm4rXZH29RuxySB0zyhoz031Jeqw&amp;usp=drive_copy</t>
  </si>
  <si>
    <t>XVIII.C.1</t>
  </si>
  <si>
    <t>Hermanto, S.Pd., M.Hum.</t>
  </si>
  <si>
    <t>Keweron, Sidoharjo, Samigaluh</t>
  </si>
  <si>
    <t>Angelina Aprilia Putri</t>
  </si>
  <si>
    <t>Nonik Ifana</t>
  </si>
  <si>
    <t>Arsal Al Faruq</t>
  </si>
  <si>
    <t>Dyah Ayu Nandarini</t>
  </si>
  <si>
    <t>Arif Nurdiansyah</t>
  </si>
  <si>
    <t>Nada Salsabila Devi</t>
  </si>
  <si>
    <t>Intan Novita</t>
  </si>
  <si>
    <t>Luthfi Nuralifian</t>
  </si>
  <si>
    <t>Farah Kamilah Rohmah</t>
  </si>
  <si>
    <t>https://drive.google.com/open?id=18rIwtIo9dWyf2Ut4Zmza2-vWtmaytdEvRgAiCozJi_0&amp;usp=drive_copy</t>
  </si>
  <si>
    <t>XVIII.C.2</t>
  </si>
  <si>
    <t>Gebang, Sidoharjo, Samigaluh</t>
  </si>
  <si>
    <t>Sukma Nazzalna Safaah</t>
  </si>
  <si>
    <t>Refa Annisa Yudha</t>
  </si>
  <si>
    <t>Amalia Zulfi</t>
  </si>
  <si>
    <t>Muhammad Yusril Yusra</t>
  </si>
  <si>
    <t>Maya Pingki Citraperdani</t>
  </si>
  <si>
    <t>Aisyah Sekar Wangi</t>
  </si>
  <si>
    <t>Muamar Ikhsan Abi Hurairah</t>
  </si>
  <si>
    <t>Dina Karunia</t>
  </si>
  <si>
    <t>https://drive.google.com/open?id=1ntJt78MMO8tHEAJei-fcRgs7q9llWOt0MnI-NMC4PjA&amp;usp=drive_copy</t>
  </si>
  <si>
    <t>XVIII.C.3</t>
  </si>
  <si>
    <t>Munggang Wetan, Sidoharjo, Samigaluh</t>
  </si>
  <si>
    <t>Rizki Lu'luul Jannah</t>
  </si>
  <si>
    <t>Puspa Della</t>
  </si>
  <si>
    <t>Satria Bayu Pamungkas</t>
  </si>
  <si>
    <t>Nida Syafitri</t>
  </si>
  <si>
    <t>Ahmad Rudiansyah</t>
  </si>
  <si>
    <t>Yandira Nafis Restya Rachman</t>
  </si>
  <si>
    <t>Vina Melani</t>
  </si>
  <si>
    <t>Dhenny Riconanda Alkatiri</t>
  </si>
  <si>
    <t>Nasriyani</t>
  </si>
  <si>
    <t>https://drive.google.com/open?id=1nH62xTJNMa3X58-m-mj1l3cKnGDpbJbD-3xXHloHi90&amp;usp=drive_copy</t>
  </si>
  <si>
    <t>XVIII.D.1</t>
  </si>
  <si>
    <t>Dr. Agung Budiantoro, S.Si., M.Si.</t>
  </si>
  <si>
    <t>Ngaran II, Banjarsari , Samigaluh</t>
  </si>
  <si>
    <t>Firna Iranda</t>
  </si>
  <si>
    <t>Azizah Ayu Soraya</t>
  </si>
  <si>
    <t>Imam Akbar</t>
  </si>
  <si>
    <t>Annisa Nadashafa Putri Moersalin</t>
  </si>
  <si>
    <t>Andriyano</t>
  </si>
  <si>
    <t>Vivi Alna Nur Afriani</t>
  </si>
  <si>
    <t>Nurhalimah</t>
  </si>
  <si>
    <t>Bambang Taufiq Abdullah</t>
  </si>
  <si>
    <t>Shintia Romayanti</t>
  </si>
  <si>
    <t>085331205461 atau 089615101836</t>
  </si>
  <si>
    <t>https://drive.google.com/open?id=1_lZAeTR44NLPw8o0YVl4JkitOMzmqwe85Vai3zHQvHQ&amp;usp=drive_copy</t>
  </si>
  <si>
    <t>XVIII.D.2</t>
  </si>
  <si>
    <t>Waru X, Banjarsari , Samigaluh</t>
  </si>
  <si>
    <t>IRFAN MULYADDIN</t>
  </si>
  <si>
    <t>Afifah Kusuma Dewi</t>
  </si>
  <si>
    <t>Puji Lestari</t>
  </si>
  <si>
    <t>Ikhsan Wahyu Tirtanandhi</t>
  </si>
  <si>
    <t>Mita Hayu Isti Kusuma</t>
  </si>
  <si>
    <t>Indimaraga Dwi Akbar Yulianto Putra</t>
  </si>
  <si>
    <t>Elsa Hermadiana</t>
  </si>
  <si>
    <t>Rosna Wati</t>
  </si>
  <si>
    <t>Nurbaitin</t>
  </si>
  <si>
    <t>https://drive.google.com/open?id=1nyt8JabHoQZBO5ILQhBG_Sj__zD2xgtWtYAOGnhypos&amp;usp=drive_copy</t>
  </si>
  <si>
    <t>XVIII.D.3</t>
  </si>
  <si>
    <t>Jumblangan XII, Banjarsari , Samigaluh</t>
  </si>
  <si>
    <t>Intan Putri Yudanis</t>
  </si>
  <si>
    <t>Tazkiya Aini</t>
  </si>
  <si>
    <t>Fadjrul Khairi Alhas</t>
  </si>
  <si>
    <t>Anief Nabila</t>
  </si>
  <si>
    <t>Nayim Sulka</t>
  </si>
  <si>
    <t>Widya Kusuma Purbaya</t>
  </si>
  <si>
    <t>Herista Wahyu Ika Pradana</t>
  </si>
  <si>
    <t>Naufal Dliya Ul-haq</t>
  </si>
  <si>
    <t>Tiara Nuradillah</t>
  </si>
  <si>
    <t>https://drive.google.com/open?id=1u3c-H54YC0yYkqIRUdPXagzZHtdWLl-WsNSOsUA693g&amp;usp=drive_copy</t>
  </si>
  <si>
    <t>XIX.A.1</t>
  </si>
  <si>
    <t>Ahmad Rizal Solihudin, S. M. B., M. B. A.</t>
  </si>
  <si>
    <t>Jarakan, Kebonharjo, Samigaluh</t>
  </si>
  <si>
    <t>Siti Nurhidayah</t>
  </si>
  <si>
    <t>Feby Febiyola</t>
  </si>
  <si>
    <t>Ehsan Alfian Pratama</t>
  </si>
  <si>
    <t>Sri Rizqi Retnoningrum</t>
  </si>
  <si>
    <t>Ahmad Syihan</t>
  </si>
  <si>
    <t>Silvi Nur Azalia Amanda</t>
  </si>
  <si>
    <t>Jihan Ananda</t>
  </si>
  <si>
    <t>Desweet Danang Nurcahaya</t>
  </si>
  <si>
    <t>Nurul Heniirawati</t>
  </si>
  <si>
    <t>https://drive.google.com/open?id=1BRXpynHU4hwj1t-FIBojMXbyvBVKSj0DiATGFbOTeS4&amp;usp=drive_copy</t>
  </si>
  <si>
    <t>XIX.A.2</t>
  </si>
  <si>
    <t>Kaliduren, Kebonharjo, Samigaluh</t>
  </si>
  <si>
    <t>MUHAMMAD ILHAM HERMANSYAH</t>
  </si>
  <si>
    <t>Indah Lestari Putri</t>
  </si>
  <si>
    <t>Wahyu Unggul Wicaksono</t>
  </si>
  <si>
    <t>Moerli Anggia</t>
  </si>
  <si>
    <t>Septiana Ulandari</t>
  </si>
  <si>
    <t>Ardyawati Wira Oktaviana</t>
  </si>
  <si>
    <t>Berlianda Edrarossa</t>
  </si>
  <si>
    <t>Erika Rizkina</t>
  </si>
  <si>
    <t>Lyuda Iqlima</t>
  </si>
  <si>
    <t>https://drive.google.com/open?id=1gUp2of45r1p0dugD5kbOtWH35ont0ZVMOkqlLBlaYMo&amp;usp=drive_copy</t>
  </si>
  <si>
    <t>XIX.A.3</t>
  </si>
  <si>
    <t>Pringtali, Kebonharjo, Samigaluh</t>
  </si>
  <si>
    <t>Amalia Mufida Yasin</t>
  </si>
  <si>
    <t>Ayu Ramadhani</t>
  </si>
  <si>
    <t>Naldi Riyanto</t>
  </si>
  <si>
    <t>Alda Fahira Fadel</t>
  </si>
  <si>
    <t>Fikra Makatita</t>
  </si>
  <si>
    <t>Galuh Saras Sukmaningrum</t>
  </si>
  <si>
    <t>Mutiara Anggraini</t>
  </si>
  <si>
    <t>Rifki Hisyam Majid</t>
  </si>
  <si>
    <t>Sholawati Burhan Baruni</t>
  </si>
  <si>
    <t>https://drive.google.com/open?id=1hpIaW6OPhu-Wzs4jCob0b3BJt3IFD0vHWxah8OTuuVQ&amp;usp=drive_copy</t>
  </si>
  <si>
    <t>XIX.B.1</t>
  </si>
  <si>
    <t>Dr., Drs. Waharjani, M.Ag.</t>
  </si>
  <si>
    <t>Gebang, Kebonharjo, Samigaluh</t>
  </si>
  <si>
    <t>AGY PUTRA PRADANA</t>
  </si>
  <si>
    <t>Titania Sherly Mulasay</t>
  </si>
  <si>
    <t>Dwi Lestari</t>
  </si>
  <si>
    <t>Alief Djafar Sodiq</t>
  </si>
  <si>
    <t>Amara Arthamayvia Alifadina</t>
  </si>
  <si>
    <t>Linda Novitasari</t>
  </si>
  <si>
    <t>Lutfia Alfina</t>
  </si>
  <si>
    <t>Ryan Habil Utama</t>
  </si>
  <si>
    <t>Nur Arifah</t>
  </si>
  <si>
    <t>https://drive.google.com/open?id=1hbdePgcJfxdYIbmmQCKGKTkR0b1h2YZSc_zXl86g_VA&amp;usp=drive_copy</t>
  </si>
  <si>
    <t>XIX.B.2</t>
  </si>
  <si>
    <t>Kleben, Kebonharjo, Samigaluh</t>
  </si>
  <si>
    <t>Desi Ratnasari</t>
  </si>
  <si>
    <t>Warfakni Fidiyah Mukti Arief</t>
  </si>
  <si>
    <t>Faisal Fatoni</t>
  </si>
  <si>
    <t>Sukma Astiwijaya</t>
  </si>
  <si>
    <t>Gamma Adi Pangestu</t>
  </si>
  <si>
    <t>Intan Mujtahidah Saputri</t>
  </si>
  <si>
    <t>Safira Indri Nariswari</t>
  </si>
  <si>
    <t>Eko Juliarto</t>
  </si>
  <si>
    <t>Halijah Siswi Hawa</t>
  </si>
  <si>
    <t>https://drive.google.com/open?id=1Hp6KMA0fPFywsxhr-xQPIhALtUqYjVodSXQvCSyfhYE&amp;usp=drive_copy</t>
  </si>
  <si>
    <t>XIX.B.3</t>
  </si>
  <si>
    <t>Jeringan, Kebonharjo, Samigaluh</t>
  </si>
  <si>
    <t>Adinda Puspita Ayu</t>
  </si>
  <si>
    <t>Anti Anggriani Novita</t>
  </si>
  <si>
    <t>Dhanang Yoga Nirmala</t>
  </si>
  <si>
    <t>Narindra Maura Pramesti</t>
  </si>
  <si>
    <t>Ikbal Maulana</t>
  </si>
  <si>
    <t>Zelivia Amara Putri</t>
  </si>
  <si>
    <t>Mustika Hening Khasanah</t>
  </si>
  <si>
    <t>Muhammad Alven Paradista</t>
  </si>
  <si>
    <t>Dela Arba Pininta</t>
  </si>
  <si>
    <t>https://drive.google.com/open?id=1jXkfqSZqGAawLE9ECl2MxpNxfFkEtfAvk3PDxmRuIRw&amp;usp=drive_copy</t>
  </si>
  <si>
    <t>XIX.C.1</t>
  </si>
  <si>
    <t>Muh. Alif Kurniawan M.Pd.I.</t>
  </si>
  <si>
    <t>Keceme, Gerbosari, Samigaluh</t>
  </si>
  <si>
    <t>Monica Wanda Putri</t>
  </si>
  <si>
    <t>Tinto Arif Anugrah</t>
  </si>
  <si>
    <t>Riana Maqhekah Narasiwi</t>
  </si>
  <si>
    <t>Ripki Muhamat Kusaini</t>
  </si>
  <si>
    <t>Ananda Putri Sania Nurjanah</t>
  </si>
  <si>
    <t>Mita Rizky</t>
  </si>
  <si>
    <t>M.rifqi Abiyyi Nabhan</t>
  </si>
  <si>
    <t>Mut Rika Nur Aini</t>
  </si>
  <si>
    <t>Hasna Rahmah Dhiya</t>
  </si>
  <si>
    <t>08873447617 / WA : 081393229416</t>
  </si>
  <si>
    <t>https://drive.google.com/open?id=1mMcWuFVAwZhxChwjTzrL6lEaJwmyg3DSMEy8jlJqa50&amp;usp=drive_copy</t>
  </si>
  <si>
    <t>XIX.C.2</t>
  </si>
  <si>
    <t>Jati, Gerbosari, Samigaluh</t>
  </si>
  <si>
    <t>Robiatul Adawiyah</t>
  </si>
  <si>
    <t>Diyah Saras Wati</t>
  </si>
  <si>
    <t>Dian Afif Fachriza</t>
  </si>
  <si>
    <t>Alfina Damayanti</t>
  </si>
  <si>
    <t>Ilham Gaib Abiasto</t>
  </si>
  <si>
    <t>Amenika Tamara</t>
  </si>
  <si>
    <t>Khomsatun Kharomatul Hidayah</t>
  </si>
  <si>
    <t>Muhammad Faiq Faqih</t>
  </si>
  <si>
    <t>Salsa Tamia Prahesti</t>
  </si>
  <si>
    <t>?081393486778?</t>
  </si>
  <si>
    <t>https://drive.google.com/open?id=1Ej1fn9ZntzCVNzdS9n2ooJM8aheySbhVY0aOsvlIxqU&amp;usp=drive_copy</t>
  </si>
  <si>
    <t>XIX.C.3</t>
  </si>
  <si>
    <t>Sumbo, Gerbosari, Samigaluh</t>
  </si>
  <si>
    <t>Diana Silvi Eliya</t>
  </si>
  <si>
    <t>Retno Kumalasari</t>
  </si>
  <si>
    <t>Rakhmat Santoso</t>
  </si>
  <si>
    <t>Laily Fitria Rahmawati</t>
  </si>
  <si>
    <t>Yogi Wibowo</t>
  </si>
  <si>
    <t>Alyah Qiswa Zamzamia</t>
  </si>
  <si>
    <t>Ananda Zahra Nabila</t>
  </si>
  <si>
    <t>Yudha Rahma Dhany</t>
  </si>
  <si>
    <t>Erina Eriyanti</t>
  </si>
  <si>
    <t>https://drive.google.com/open?id=1DI6KzFnPokmWGqcgy68XWI0vr-ytPKUTrVh8p7T3T8k&amp;usp=drive_copy</t>
  </si>
  <si>
    <t>XIX.D.1</t>
  </si>
  <si>
    <t>Moh. Irma Sukarelawan, S.Pd.Si., M.Pd.</t>
  </si>
  <si>
    <t>Tlogo, Gerbosari, Samigaluh</t>
  </si>
  <si>
    <t>Hana Muzdalifa</t>
  </si>
  <si>
    <t>Ameilia Ayu Noor Kholistiany</t>
  </si>
  <si>
    <t>Muhammad Danang Dwi Prasetya</t>
  </si>
  <si>
    <t>Indah Tiara Kumala Sani</t>
  </si>
  <si>
    <t>Akbar Dwi Rizki Listanto</t>
  </si>
  <si>
    <t>Muqit Nugrahandini Putranti</t>
  </si>
  <si>
    <t>Radha Yunashastuti</t>
  </si>
  <si>
    <t>M. Jodi Setiawan</t>
  </si>
  <si>
    <t>Umi Khoiriyah</t>
  </si>
  <si>
    <t>https://drive.google.com/open?id=1oxOc09P3H6c3etcU2Cox3OmjdScC_NtBT9weDtr2OM0&amp;usp=drive_copy</t>
  </si>
  <si>
    <t>XIX.D.2</t>
  </si>
  <si>
    <t>Clumprit, Gerbosari, Samigaluh</t>
  </si>
  <si>
    <t>Sinta Nuriyah Muso Utomo</t>
  </si>
  <si>
    <t>Nurul Fitriatunisa</t>
  </si>
  <si>
    <t>Muhamad Alfareza</t>
  </si>
  <si>
    <t>Selvia Prameswari</t>
  </si>
  <si>
    <t>Novada Al-vinka Ramadhan</t>
  </si>
  <si>
    <t>Sahfitri Rido Ilahi</t>
  </si>
  <si>
    <t>Amelia Dwi Azizah</t>
  </si>
  <si>
    <t>Yovin Wahyu Ramadhan</t>
  </si>
  <si>
    <t>Sinta</t>
  </si>
  <si>
    <t>https://drive.google.com/open?id=1p9r9ZHTsIOZAQwuDiHReYmUzztPHbI4dg_hEC_4lG3Y&amp;usp=drive_copy</t>
  </si>
  <si>
    <t>XIX.D.3</t>
  </si>
  <si>
    <t>Ngroto, Gerbosari, Samigaluh</t>
  </si>
  <si>
    <t>Inka Tiara Mulyadi</t>
  </si>
  <si>
    <t>Iin Nur Indah Sari</t>
  </si>
  <si>
    <t>Habibullah</t>
  </si>
  <si>
    <t>Indah Nurcahyanti</t>
  </si>
  <si>
    <t>Nur Wahid Zarkasih Sasongko</t>
  </si>
  <si>
    <t>Dina Ratih Wijayanti</t>
  </si>
  <si>
    <t>Ella Nuur Azizah</t>
  </si>
  <si>
    <t>Khairul Fahmi Zein</t>
  </si>
  <si>
    <t>Aprilia Dwi Astuti</t>
  </si>
  <si>
    <t>https://drive.google.com/open?id=1I89-ivqqBLTbJ4zIJKYkwfz4sAqagth-EtFVNowz0PU&amp;usp=drive_copy</t>
  </si>
  <si>
    <t>XX.A.1</t>
  </si>
  <si>
    <t>Ngaliyan, Ngargosari, Samigaluh</t>
  </si>
  <si>
    <t>Laela Qholifah Febriani</t>
  </si>
  <si>
    <t>Raha Dewi Sinta Nuryana Putri</t>
  </si>
  <si>
    <t>Supriyadin</t>
  </si>
  <si>
    <t>Anggita Devy Kurnia Sari</t>
  </si>
  <si>
    <t>Rifki Setiadi</t>
  </si>
  <si>
    <t>Dian Sekar Larasati</t>
  </si>
  <si>
    <t>Maulina Syafa'atul Inayah</t>
  </si>
  <si>
    <t>Dadan Ramadhan</t>
  </si>
  <si>
    <t>Malida Salsabilla</t>
  </si>
  <si>
    <t>https://drive.google.com/open?id=1hWjdpahK8LfWaI-boTIWY318vErkuc2PvkMTj5xpQrk&amp;usp=drive_copy</t>
  </si>
  <si>
    <t>XX.A.2</t>
  </si>
  <si>
    <t>Pucung, Ngargosari, Samigaluh</t>
  </si>
  <si>
    <t>Syahrul Febri Wijaya</t>
  </si>
  <si>
    <t>Listri</t>
  </si>
  <si>
    <t>Windy Ardiyanti</t>
  </si>
  <si>
    <t>Ema Ngarifatul Fatonah</t>
  </si>
  <si>
    <t>Farhan Fermansyah Madayanto</t>
  </si>
  <si>
    <t>Anggita Putri Pratiwi</t>
  </si>
  <si>
    <t>Tria Nisa Novianti</t>
  </si>
  <si>
    <t>Ardhyanda Varella Agoeillerizza Putra</t>
  </si>
  <si>
    <t>Amalia Putri Darmawanti</t>
  </si>
  <si>
    <t>https://drive.google.com/open?id=1lWcYdNugbKYhbj-NsLmjM1M7bBuXkOU_Z7TE6wmzidA&amp;usp=drive_copy</t>
  </si>
  <si>
    <t>XX.A.3</t>
  </si>
  <si>
    <t>Petet, Ngargosari, Samigaluh</t>
  </si>
  <si>
    <t>HARI SIGIT DARMAWAN</t>
  </si>
  <si>
    <t>ANDI HERMAWAN</t>
  </si>
  <si>
    <t>Selvira Artha Margaretha</t>
  </si>
  <si>
    <t>Erieka Nurrahmawati</t>
  </si>
  <si>
    <t>Dliya Adzra Camila</t>
  </si>
  <si>
    <t>Muhammad Indra Kurniawan</t>
  </si>
  <si>
    <t>Monica Chandrawati</t>
  </si>
  <si>
    <t>Andi Freti Sinta Sarmila</t>
  </si>
  <si>
    <t>https://drive.google.com/open?id=1lwyss_7wMpUIv0Eb2qCb2YsEPlxjf0Fx4TJTyDHCL3Q&amp;usp=drive_copy</t>
  </si>
  <si>
    <t>XX.B.1</t>
  </si>
  <si>
    <t>Dr. Ir. Zahrul Mufrodi, S.T., M.T.</t>
  </si>
  <si>
    <t>Tegalsari, Ngargosari, Samigaluh</t>
  </si>
  <si>
    <t>SITI MARIYAM</t>
  </si>
  <si>
    <t>Dyah Parastuti</t>
  </si>
  <si>
    <t>Fauzan Nur Akbar Uddhiharta</t>
  </si>
  <si>
    <t>Ulya Alfu Nahari</t>
  </si>
  <si>
    <t>Rengga Raditya Permana</t>
  </si>
  <si>
    <t>Salsadila Juwita</t>
  </si>
  <si>
    <t>Sinta Amaliya</t>
  </si>
  <si>
    <t>Juandilan Fadil Rizky</t>
  </si>
  <si>
    <t>Alin Sundari</t>
  </si>
  <si>
    <t>https://drive.google.com/open?id=1o-5W8XHiBwlQrrTfoctzCtfwFk4dgrJD1x2tJ4-lcgc&amp;usp=drive_copy</t>
  </si>
  <si>
    <t>XX.B.2</t>
  </si>
  <si>
    <t>Trayu, Ngargosari, Samigaluh</t>
  </si>
  <si>
    <t>Dyah Lingga Pertiwi</t>
  </si>
  <si>
    <t>Sifa Alatif</t>
  </si>
  <si>
    <t>Muhammad Saleh</t>
  </si>
  <si>
    <t>Gaby Annisa Migunani</t>
  </si>
  <si>
    <t>Dwiky Sayfudin Huda</t>
  </si>
  <si>
    <t>Alamanda Azzaria</t>
  </si>
  <si>
    <t>Rani Deviani Siregar</t>
  </si>
  <si>
    <t>Gilang Syaikhu Alam</t>
  </si>
  <si>
    <t>Yuan Adela</t>
  </si>
  <si>
    <t>https://drive.google.com/open?id=1peJyQg3YjVuVHh5KG223shFEj7aVpFUVJ_BIkxW-VyY&amp;usp=drive_copy</t>
  </si>
  <si>
    <t>XX.B.3</t>
  </si>
  <si>
    <t>Tritis, Ngargosari, Samigaluh</t>
  </si>
  <si>
    <t>HERLAMBANG HASTA PUTRA PRADANA</t>
  </si>
  <si>
    <t>Azizah Marwa</t>
  </si>
  <si>
    <t>Anisa Aulia Fiddien</t>
  </si>
  <si>
    <t>Rifky Reza Devi Marthanni</t>
  </si>
  <si>
    <t>Okta Aditia Rosid</t>
  </si>
  <si>
    <t>Rissa Andarista</t>
  </si>
  <si>
    <t>Nova Irianti</t>
  </si>
  <si>
    <t>Rendi Andrian</t>
  </si>
  <si>
    <t>Haniyah Lil Muttaqina</t>
  </si>
  <si>
    <t>https://drive.google.com/open?id=1r9FRjTB0i50xfIz1__yWsyNKPNQ9aZGQ1Fmcqb0iR6Q&amp;usp=drive_copy</t>
  </si>
  <si>
    <t>XX.C.1</t>
  </si>
  <si>
    <t>Rusdianto, SE.,M.Sc.</t>
  </si>
  <si>
    <t>Mendolo, Pagerharjo, Samigaluh</t>
  </si>
  <si>
    <t>MUHAMMAD ANDI HASAN ABDILLAH</t>
  </si>
  <si>
    <t>Vivi Wulandari</t>
  </si>
  <si>
    <t>Miftah Helmiyanti</t>
  </si>
  <si>
    <t>Rafi Firdaus Kusuma Putra</t>
  </si>
  <si>
    <t>Ii Yanuar</t>
  </si>
  <si>
    <t>Bayu Rohman</t>
  </si>
  <si>
    <t>Silvia Ferry Widi Astuti</t>
  </si>
  <si>
    <t>Galuh Artanti</t>
  </si>
  <si>
    <t>Ning Juliati</t>
  </si>
  <si>
    <t>https://drive.google.com/open?id=1rnBeGu67CR0QBG4_DNubbzEK5NSk5mlBzMw_7iZ6Hs8&amp;usp=drive_copy</t>
  </si>
  <si>
    <t>XX.C.2</t>
  </si>
  <si>
    <t>Plono Timur, Pagerharjo, Samigaluh</t>
  </si>
  <si>
    <t>Nidia Sari</t>
  </si>
  <si>
    <t>Sabila Putri Ramadhani</t>
  </si>
  <si>
    <t>Lalu Moh. Syarifuddin</t>
  </si>
  <si>
    <t>Erla Widiyanti</t>
  </si>
  <si>
    <t>Agung Wirya Putra</t>
  </si>
  <si>
    <t>Erna Susilawati</t>
  </si>
  <si>
    <t>Fadhilah Ishmah Priastuti</t>
  </si>
  <si>
    <t>Farhan Mohammad Maulana</t>
  </si>
  <si>
    <t>Amirah</t>
  </si>
  <si>
    <t>https://drive.google.com/open?id=1TkzLHbzxcPVx537kBW55zEu46XLYU1_bQM6apZhoGo0&amp;usp=drive_copy</t>
  </si>
  <si>
    <t>XX.C.3</t>
  </si>
  <si>
    <t>Ngentak, Pagerharjo, Samigaluh</t>
  </si>
  <si>
    <t>AFLI JULIO NUGRAHA</t>
  </si>
  <si>
    <t>Pertiwi Wulan Ramadhani</t>
  </si>
  <si>
    <t>Anis Jumiah</t>
  </si>
  <si>
    <t>Safriandy</t>
  </si>
  <si>
    <t>Nindhia Rifdah Utari</t>
  </si>
  <si>
    <t>Fajar Ahmad As Shidiq</t>
  </si>
  <si>
    <t>Mega Dwi Utami</t>
  </si>
  <si>
    <t>Sekar Arum Andiyani</t>
  </si>
  <si>
    <t>Armalia Oktaricha Rohmanna</t>
  </si>
  <si>
    <t>https://drive.google.com/open?id=1T4pmLI_UD2FFyn2DwaOSxDiHRY9oEfYkfnxHH8QmqxM&amp;usp=drive_copy</t>
  </si>
  <si>
    <t>XX.D.1</t>
  </si>
  <si>
    <t>Drs. Tedy Setiadi, M.T.</t>
  </si>
  <si>
    <t>Pager, Logandeng, Playen</t>
  </si>
  <si>
    <t>Gunungkidul</t>
  </si>
  <si>
    <t>Wiwit Putri Dwi Noviana</t>
  </si>
  <si>
    <t>St. Aisyah Gintari Munawaro Putri</t>
  </si>
  <si>
    <t>Dimas Nur Muhammad</t>
  </si>
  <si>
    <t>Atika Fitri Supardi</t>
  </si>
  <si>
    <t>Mohamad Andre Pratama</t>
  </si>
  <si>
    <t>Poppy Yolanda Putri</t>
  </si>
  <si>
    <t>Widya Annisa Rahmahwati</t>
  </si>
  <si>
    <t>M. Haikal Fahmi</t>
  </si>
  <si>
    <t>Tri Restu Megarani</t>
  </si>
  <si>
    <t>087831552394?</t>
  </si>
  <si>
    <t>https://drive.google.com/open?id=1U3OXeXhbgaXTqO_-yUSfQiyA4NyEqttzT0DpZQKpNZM&amp;usp=drive_copy</t>
  </si>
  <si>
    <t>XX.D.2</t>
  </si>
  <si>
    <t>Plembon Kidul, Logandeng, Playen</t>
  </si>
  <si>
    <t>Isnaeni Nur Azizah</t>
  </si>
  <si>
    <t>Rias Listiawati</t>
  </si>
  <si>
    <t>Ilham Munawar</t>
  </si>
  <si>
    <t>Salsabila Putri Pratika</t>
  </si>
  <si>
    <t>Hary Prasetya</t>
  </si>
  <si>
    <t>Delfina Praspa Panorama</t>
  </si>
  <si>
    <t>Athalia Zahra Windrihapsari</t>
  </si>
  <si>
    <t>Moch. Gilang Jauhari</t>
  </si>
  <si>
    <t>Bahagia</t>
  </si>
  <si>
    <t>62 822-9432-3829</t>
  </si>
  <si>
    <t>https://drive.google.com/open?id=1VoWzqnXAG4wrW76pwo8BG4ArFcxU_NBzI4VBqkg0sBQ&amp;usp=drive_copy</t>
  </si>
  <si>
    <t>XX.D.3</t>
  </si>
  <si>
    <t>Plembon Lor, Logandeng, Playen</t>
  </si>
  <si>
    <t>Yessinta Ayu Anggraini</t>
  </si>
  <si>
    <t>Mayang Sekar Palupi</t>
  </si>
  <si>
    <t>Muhammad Hilmy Nibras</t>
  </si>
  <si>
    <t>Erlin Rensianawati</t>
  </si>
  <si>
    <t>Akbar Gunawan</t>
  </si>
  <si>
    <t>Indriani</t>
  </si>
  <si>
    <t>Ataina Rohmah</t>
  </si>
  <si>
    <t>Gilang Iksania Nugraha</t>
  </si>
  <si>
    <t>Tri Wahyuni</t>
  </si>
  <si>
    <t>https://drive.google.com/open?id=1UYWMWHeW-M8GY0OSZNcPF2R8afJWdtf38jKAsq2fAho&amp;usp=drive_copy</t>
  </si>
  <si>
    <t>XXI.A.1</t>
  </si>
  <si>
    <t>Dr. Trianik Widyaningrum, M.Si.</t>
  </si>
  <si>
    <t>Jalakan, Logandeng, Playen</t>
  </si>
  <si>
    <t>Vira Yulianty</t>
  </si>
  <si>
    <t>Umi Afifah</t>
  </si>
  <si>
    <t>Yusron Ridzan Nurrahman</t>
  </si>
  <si>
    <t>Salma Nadila</t>
  </si>
  <si>
    <t>Nursandi Firdaus</t>
  </si>
  <si>
    <t>Danisa Tsabitah Tsany</t>
  </si>
  <si>
    <t>Astiana Ari Dewanty</t>
  </si>
  <si>
    <t>Ibnu Yuda Wijaya Sugiarto</t>
  </si>
  <si>
    <t>Dhevya Maharani Ariska Putri</t>
  </si>
  <si>
    <t>08 7772376050/ 08 1903574367 (wa)</t>
  </si>
  <si>
    <t>https://drive.google.com/open?id=1XOOR8P92_AArpIzWPUqW3e7Ozp_SI-A1s85gzXPKDwc&amp;usp=drive_copy</t>
  </si>
  <si>
    <t>XXI.A.2</t>
  </si>
  <si>
    <t>Logandeng, Logandeng, Playen</t>
  </si>
  <si>
    <t>Amanda Meilya Indrasari</t>
  </si>
  <si>
    <t>Zahradiva Nada Alifa</t>
  </si>
  <si>
    <t>Muhammad Azura Zhiaulhaq</t>
  </si>
  <si>
    <t>Adinda Pratiwi I. Rasyid</t>
  </si>
  <si>
    <t>Fajar Amirul Fathin</t>
  </si>
  <si>
    <t>Robi'ah Adawiyah</t>
  </si>
  <si>
    <t>Nurhikmah Safitri</t>
  </si>
  <si>
    <t>Zihad Safakul Fatahullah</t>
  </si>
  <si>
    <t>Kharisma Tiara Melati</t>
  </si>
  <si>
    <t>085337457019 / 0882008203349</t>
  </si>
  <si>
    <t>https://drive.google.com/open?id=1XZ0nOf_lIIurh_0YI6XJjrazj_ubPlOlFvi6ZJ7-62M&amp;usp=drive_copy</t>
  </si>
  <si>
    <t>XXI.A.3</t>
  </si>
  <si>
    <t>Siyono Tengah, Logandeng, Playen</t>
  </si>
  <si>
    <t>ANGGRAINI DENA PUTRI</t>
  </si>
  <si>
    <t>DIMAS YUDHAFIANTO PUTRA</t>
  </si>
  <si>
    <t>Annisatus Sholihah</t>
  </si>
  <si>
    <t>Siti Kamsina</t>
  </si>
  <si>
    <t>Zion Lionardi</t>
  </si>
  <si>
    <t>Retasya Cindy Meldana</t>
  </si>
  <si>
    <t>Retno Purnama Sari</t>
  </si>
  <si>
    <t>M.rifky Johannes Valentino</t>
  </si>
  <si>
    <t>Ventyvera</t>
  </si>
  <si>
    <t>https://drive.google.com/open?id=1XcYRqb7tFKMVwHMSlyWM_wXEQF0eDaSgcTGxvXqGMi4&amp;usp=drive_copy</t>
  </si>
  <si>
    <t>XXI.B.1</t>
  </si>
  <si>
    <t>Panji Hidayat, M.Pd.</t>
  </si>
  <si>
    <t>Siyono Wetan , Logandeng, Playen</t>
  </si>
  <si>
    <t>IMAM IFNA</t>
  </si>
  <si>
    <t>Nur Aini</t>
  </si>
  <si>
    <t>Nanda Putri Kusuma</t>
  </si>
  <si>
    <t>Nasmara Nabila Luxi</t>
  </si>
  <si>
    <t>Nanda Firmansyah</t>
  </si>
  <si>
    <t>Anin Dita Aulia Putri Syafruddin</t>
  </si>
  <si>
    <t>Berlianna Septiyaningrum</t>
  </si>
  <si>
    <t>Ade Fitrah Alamsyah</t>
  </si>
  <si>
    <t>Nofa Rahayuningsih</t>
  </si>
  <si>
    <t>https://drive.google.com/open?id=1RF_SaQ8OXRxtpMgTxwUdfOuwgKhTzVvKcjdfy5a-Q0o&amp;usp=drive_copy</t>
  </si>
  <si>
    <t>XXI.B.2</t>
  </si>
  <si>
    <t>Siyono Kidul, Logandeng, Playen</t>
  </si>
  <si>
    <t>ADITHIA RAMADHAN</t>
  </si>
  <si>
    <t>Hesti Fitriawati</t>
  </si>
  <si>
    <t>Lusiana Anggraini</t>
  </si>
  <si>
    <t>Muhammad Kevin Pratama</t>
  </si>
  <si>
    <t>Rianty Intan Heryanto</t>
  </si>
  <si>
    <t>Roi Oktawiadi</t>
  </si>
  <si>
    <t>Nabila Alifia Nurrokhmah</t>
  </si>
  <si>
    <t>Mella Andriyani</t>
  </si>
  <si>
    <t>Kofifah Emanda Hamardika</t>
  </si>
  <si>
    <t>https://drive.google.com/open?id=1Yis8bvL-ziqT88RZfFPowTkK1R7KVfqun4L18uOAEzI&amp;usp=drive_copy</t>
  </si>
  <si>
    <t>XXI.B.3</t>
  </si>
  <si>
    <t>Siyono Kulon, Logandeng, Playen</t>
  </si>
  <si>
    <t>Diah Anggun Pratiwi</t>
  </si>
  <si>
    <t>Erlin Setyowati</t>
  </si>
  <si>
    <t>Hazim Indra Harjuna</t>
  </si>
  <si>
    <t>Ainayya Alfatihah Putri</t>
  </si>
  <si>
    <t>Bagas Sunarwi</t>
  </si>
  <si>
    <t>Alya Azzahra</t>
  </si>
  <si>
    <t>Meicy Saphira Hadi Yanti</t>
  </si>
  <si>
    <t>Rifaldi Rustam Pabe</t>
  </si>
  <si>
    <t>Ayu Widyastuti</t>
  </si>
  <si>
    <t>https://drive.google.com/open?id=1Yza90-TlvGx99B7AxrZnd8orAhG1q79_xXyht58dmYQ&amp;usp=drive_copy</t>
  </si>
  <si>
    <t>XXI.C.1</t>
  </si>
  <si>
    <t>Glidag, Logandeng, Playen</t>
  </si>
  <si>
    <t>Dinda Permata Sari</t>
  </si>
  <si>
    <t>Afriyani Nurjayanti</t>
  </si>
  <si>
    <t>Muhammad Helmi Luthfi</t>
  </si>
  <si>
    <t>Indah Shafia</t>
  </si>
  <si>
    <t>Miftakhus Surur</t>
  </si>
  <si>
    <t>Sabrina Okta Ciptaningtyas</t>
  </si>
  <si>
    <t>Deviyanti Isran</t>
  </si>
  <si>
    <t>Surya Damaruka</t>
  </si>
  <si>
    <t>Niken Dewi Kuswanti</t>
  </si>
  <si>
    <t>083863944958/083842731622</t>
  </si>
  <si>
    <t>https://drive.google.com/open?id=1ZGcE8KqSeQF0J6zfp80i1TrHAoE3eFk8gtM375IcFOY&amp;usp=drive_copy</t>
  </si>
  <si>
    <t>XXI.C.2</t>
  </si>
  <si>
    <t>Bogor II, Playen, Playen</t>
  </si>
  <si>
    <t>Meidita Latifah Hannum</t>
  </si>
  <si>
    <t>Febriana Budi Lestari</t>
  </si>
  <si>
    <t>Muhammad Yazid Mustopa</t>
  </si>
  <si>
    <t>Anggun Cahyaning</t>
  </si>
  <si>
    <t>A. Miftahul Khair Malkab</t>
  </si>
  <si>
    <t>Ita Eka Oktaviani</t>
  </si>
  <si>
    <t>Auliya Diwani Amara</t>
  </si>
  <si>
    <t>Muhammad Alfu Nur Fasa</t>
  </si>
  <si>
    <t>Putri Shafira</t>
  </si>
  <si>
    <t>https://drive.google.com/open?id=1ZIF5QzVr3TVMcW0EO7gHnYPOkn-Y0q2Godqr8sr-8LA&amp;usp=drive_copy</t>
  </si>
  <si>
    <t>XXI.C.3</t>
  </si>
  <si>
    <t>Bogor I, Playen, Playen</t>
  </si>
  <si>
    <t>Nimas Ayu Nur Khasanah</t>
  </si>
  <si>
    <t>Lisa Damayanti</t>
  </si>
  <si>
    <t>Handio Reza Alfandi</t>
  </si>
  <si>
    <t>Zulfa Iftinan</t>
  </si>
  <si>
    <t>Muh. Fakhrul Ihsan</t>
  </si>
  <si>
    <t>Rani Susilawati</t>
  </si>
  <si>
    <t>Kiki Febrianingsih</t>
  </si>
  <si>
    <t>Adnan Hiram Damara</t>
  </si>
  <si>
    <t>Pradhita Dwi Nur Anggraini</t>
  </si>
  <si>
    <t>https://drive.google.com/open?id=1aK8bRPBwSbG-NKbaP6D0bAEWum3Q8sPJXCBZv6Ea1l4&amp;usp=drive_copy</t>
  </si>
  <si>
    <t>XXI.D.1</t>
  </si>
  <si>
    <t>Muhammad Habibi Miftakhul Marwa, S.H.I., M.H.</t>
  </si>
  <si>
    <t>Jatisari, Playen, Playen</t>
  </si>
  <si>
    <t>YOGA WAHYU SANTOSO</t>
  </si>
  <si>
    <t>Zulfiana Dwi Pratiwi</t>
  </si>
  <si>
    <t>Iva Nur Safitri</t>
  </si>
  <si>
    <t>M. Faerus Syodikin</t>
  </si>
  <si>
    <t>Halimatus Sa'diyah</t>
  </si>
  <si>
    <t>Azhar Rinanda</t>
  </si>
  <si>
    <t>Fatihatul Mu'minah</t>
  </si>
  <si>
    <t>Nadya Feby Veronica</t>
  </si>
  <si>
    <t>Firnanda Aulia Pravita</t>
  </si>
  <si>
    <t>08995953019/085155100759</t>
  </si>
  <si>
    <t>https://drive.google.com/open?id=1_Z1hkM7SRuL3P9byoBqA47W_Ayd8EFpoIHDvKWY5EmU&amp;usp=drive_copy</t>
  </si>
  <si>
    <t>XXI.D.2</t>
  </si>
  <si>
    <t>Playen I, Playen, Playen</t>
  </si>
  <si>
    <t>IBNU WAHYU WIBOWO</t>
  </si>
  <si>
    <t>ARDAHAKA</t>
  </si>
  <si>
    <t>Wulan Nur Azizah</t>
  </si>
  <si>
    <t>Retno Wulan Sari</t>
  </si>
  <si>
    <t>Nessa Viyolanda Wardian</t>
  </si>
  <si>
    <t>Diana Ma'rifatussofia</t>
  </si>
  <si>
    <t>Andini Adhadiana Gusda</t>
  </si>
  <si>
    <t>Muhammad Rasyid Ridho</t>
  </si>
  <si>
    <t>Citra Mutiara Putri</t>
  </si>
  <si>
    <t>https://drive.google.com/open?id=1ZvBcY12fipEHX1b4eUbGpDkpc5lwxJ2nzm0kqiRSDJU&amp;usp=drive_copy</t>
  </si>
  <si>
    <t>XXI.D.3</t>
  </si>
  <si>
    <t>Banaran, Playen, Playen</t>
  </si>
  <si>
    <t>Dyah Utami Ayuningtyas</t>
  </si>
  <si>
    <t>Intan Masyithah</t>
  </si>
  <si>
    <t>Muhammad Al Ghifari</t>
  </si>
  <si>
    <t>Nurillahi Kurnia Rachmawati</t>
  </si>
  <si>
    <t>Rafli Mukti Nugraha</t>
  </si>
  <si>
    <t>Viya Dwi Anggraini</t>
  </si>
  <si>
    <t>Irfana Brillianti Kusuma Dewi</t>
  </si>
  <si>
    <t>Mirsha Salahuddin</t>
  </si>
  <si>
    <t>Afriani Wahyu Meisyaroh</t>
  </si>
  <si>
    <t>https://drive.google.com/open?id=1c1kWZJ6TJz2qnu7YAzZ4WQdqgEDxu959vzQkAKsOzBI&amp;usp=drive_copy</t>
  </si>
  <si>
    <t>XXII.A.1</t>
  </si>
  <si>
    <t>Dr. Purwati Zisca Diana, S.Pd., M.Pd.</t>
  </si>
  <si>
    <t>Playen II, Playen, Playen</t>
  </si>
  <si>
    <t>Lelie Azelia</t>
  </si>
  <si>
    <t>Lia Oktaviantika</t>
  </si>
  <si>
    <t>Ahmad Rayhan</t>
  </si>
  <si>
    <t>Dany Faozan</t>
  </si>
  <si>
    <t>Nur Aulia Ar Rahma</t>
  </si>
  <si>
    <t>Dian Fitria</t>
  </si>
  <si>
    <t>Rudi Herianto</t>
  </si>
  <si>
    <t>Nurul Mardiyanti</t>
  </si>
  <si>
    <t>Karisna</t>
  </si>
  <si>
    <t>https://drive.google.com/open?id=1Og3mVdnDiCjFpE9cXvXy66fPL0fhJjpQ-28U3d9XHf4&amp;usp=drive_copy</t>
  </si>
  <si>
    <t>XXII.A.2</t>
  </si>
  <si>
    <t>Mojosari, Playen, Playen</t>
  </si>
  <si>
    <t>Tya Inayah Nur Rahmawati</t>
  </si>
  <si>
    <t>Nizaul Ngulum Fadilah</t>
  </si>
  <si>
    <t>Mohammad Rizki Saputra</t>
  </si>
  <si>
    <t>Arfanda Dania Ramadhani</t>
  </si>
  <si>
    <t>Muhammad Akbar Perkasa</t>
  </si>
  <si>
    <t>Anisa Fitriawanda</t>
  </si>
  <si>
    <t>Inamatul Munawaroh</t>
  </si>
  <si>
    <t>Muhammad Iqbal Lutfio</t>
  </si>
  <si>
    <t>Dyah Ayu Pradnya Paramitha</t>
  </si>
  <si>
    <t>https://drive.google.com/open?id=1OI0RdNMmZqRIPrr5sMuGO4qeAmlAlsu-4v37ggkdvKs&amp;usp=drive_copy</t>
  </si>
  <si>
    <t>XXII.A.3</t>
  </si>
  <si>
    <t>Ngasem Lor, Plembutan, Playen</t>
  </si>
  <si>
    <t>Enggar Laraswati Widyaningrum</t>
  </si>
  <si>
    <t>Yohladea Dwi Musthika</t>
  </si>
  <si>
    <t>Denny Damara Karunia</t>
  </si>
  <si>
    <t>Ulfa Nurhayati</t>
  </si>
  <si>
    <t>Dika Pratama Putra</t>
  </si>
  <si>
    <t>Abiani Aufanina Haqi</t>
  </si>
  <si>
    <t>Farhan Ichsan Utama</t>
  </si>
  <si>
    <t>Suci Apriantika</t>
  </si>
  <si>
    <t>https://drive.google.com/open?id=1OFeUEHRjAsBnku94OcZF75jRFJ9XV4JaanumlcjbimY&amp;usp=drive_copy</t>
  </si>
  <si>
    <t>XXII.B.1</t>
  </si>
  <si>
    <t>Andy Putra Wijaya, S.E.I., M.S.I.</t>
  </si>
  <si>
    <t>Ngasem Selatan, Plembutan, Playen</t>
  </si>
  <si>
    <t>Muhamad Ilham</t>
  </si>
  <si>
    <t>Novita Fajar Medikasari</t>
  </si>
  <si>
    <t>Nunung Zahrotul Hayat</t>
  </si>
  <si>
    <t>Abdullah Akbar Zaim</t>
  </si>
  <si>
    <t>Arifka Ratna Utami</t>
  </si>
  <si>
    <t>Dwi Widianto</t>
  </si>
  <si>
    <t>Fika Octaviani</t>
  </si>
  <si>
    <t>Friska Wulandari</t>
  </si>
  <si>
    <t>Novia Shinta</t>
  </si>
  <si>
    <t>https://drive.google.com/open?id=1RAiyBpviyDH1LaSdNuoxdJepOzToEft0FTmR7G9UtUc&amp;usp=drive_copy</t>
  </si>
  <si>
    <t>XXII.B.2</t>
  </si>
  <si>
    <t>Papringan, Plembutan, Playen</t>
  </si>
  <si>
    <t>Dicna Amelia</t>
  </si>
  <si>
    <t>Shinta Nuria Ratanarini</t>
  </si>
  <si>
    <t>Davy Vidi Prihastoro</t>
  </si>
  <si>
    <t>Mutmainnah</t>
  </si>
  <si>
    <t>Fatwarullah Islanddewangga Saffaro Tolly</t>
  </si>
  <si>
    <t>Tiara Wulandari</t>
  </si>
  <si>
    <t>Riska Nur Afdaliana Jhonnur</t>
  </si>
  <si>
    <t>Agus Febri Susanto</t>
  </si>
  <si>
    <t>Anggit Katon Linandri</t>
  </si>
  <si>
    <t>https://drive.google.com/open?id=1PedQQZZ84OiMFo693N_NG04uP-ZWcYd9bWCrfTuN3q4&amp;usp=drive_copy</t>
  </si>
  <si>
    <t>XXII.B.3</t>
  </si>
  <si>
    <t>Plembutan Barat, Plembutan, Playen</t>
  </si>
  <si>
    <t>Nadyacita Ramadhani</t>
  </si>
  <si>
    <t>Ika Ardhia Maulida</t>
  </si>
  <si>
    <t>M. Alfarizal</t>
  </si>
  <si>
    <t>Nadya Ika Apsaroh</t>
  </si>
  <si>
    <t>Faiq Adzwa Adilah</t>
  </si>
  <si>
    <t>Cindy Amara Dewi</t>
  </si>
  <si>
    <t>Brilly Annisa Asdiany</t>
  </si>
  <si>
    <t>Nasirudin Ahmad</t>
  </si>
  <si>
    <t>Devi Tiara Putri</t>
  </si>
  <si>
    <t>https://drive.google.com/open?id=1YqBBaniyF14mD60Fm1sG4tl90H188fWHllZV8WeghRc&amp;usp=drive_copy</t>
  </si>
  <si>
    <t>XXII.C.1</t>
  </si>
  <si>
    <t>Isana Arum Primasari, S.T., M.T.</t>
  </si>
  <si>
    <t>Plembutan Timur, Plembutan, Playen</t>
  </si>
  <si>
    <t>RAJA ARJUNIARTI INTAN SAFITRI</t>
  </si>
  <si>
    <t>Oktavia Riskyana</t>
  </si>
  <si>
    <t>Afrilia Pratrikasari</t>
  </si>
  <si>
    <t>Muhammad Taufik Aslam</t>
  </si>
  <si>
    <t>Umu Nur Janah</t>
  </si>
  <si>
    <t>Andi Subhan Ardiansyah Bachtiar</t>
  </si>
  <si>
    <t>Elfa Cynthia Devi</t>
  </si>
  <si>
    <t>Faturrahman</t>
  </si>
  <si>
    <t>Ade Safitri Aryani</t>
  </si>
  <si>
    <t>https://drive.google.com/open?id=1Qdkcu0bGP2GwNWE_f1ic2-g4KzvfN1l5y1NcBX5hZvk&amp;usp=drive_copy</t>
  </si>
  <si>
    <t>XXII.C.2</t>
  </si>
  <si>
    <t>Wiyoko Utara, Plembutan, Playen</t>
  </si>
  <si>
    <t>Fatsila</t>
  </si>
  <si>
    <t>Erni Pujiningsih</t>
  </si>
  <si>
    <t>Fitra Wahyudi</t>
  </si>
  <si>
    <t>Anisa Nur Utami</t>
  </si>
  <si>
    <t>Ilham Sholikhin Saputra</t>
  </si>
  <si>
    <t>Niken Pratiwi</t>
  </si>
  <si>
    <t>Meilani Wulan Permatasari</t>
  </si>
  <si>
    <t>Naufal Hidayatullah</t>
  </si>
  <si>
    <t>Novitasari Susilawati</t>
  </si>
  <si>
    <t>https://drive.google.com/open?id=1bTgNRyK39vkJ-4fk7f-e3fMLf-cXto449tmsgw762aE&amp;usp=drive_copy</t>
  </si>
  <si>
    <t>XXII.C.3</t>
  </si>
  <si>
    <t>Wiyoko Tengah, Plembutan, Playen</t>
  </si>
  <si>
    <t>Jilan Dhea Padhilah</t>
  </si>
  <si>
    <t>Ufrotun Khasanah</t>
  </si>
  <si>
    <t>Moh Nasrul Maulana</t>
  </si>
  <si>
    <t>Hanna Febriani Sutarman</t>
  </si>
  <si>
    <t>Rivaldi Dwi Yohana</t>
  </si>
  <si>
    <t>Hasiatun Amanah</t>
  </si>
  <si>
    <t>Amalia Putri Dwi Andriani</t>
  </si>
  <si>
    <t>Muhammad Lutfi Nur Fauzi</t>
  </si>
  <si>
    <t>Bijak Nuristi Meiwa</t>
  </si>
  <si>
    <t>081772867537?</t>
  </si>
  <si>
    <t>https://drive.google.com/open?id=1bjku_Gk_9iMSFZTNgcsAFZaECplFltPExyoSg0Sb4Is&amp;usp=drive_copy</t>
  </si>
  <si>
    <t>XXII.D.1</t>
  </si>
  <si>
    <t>Sucipto, M.Pd.BI., Ph.D.</t>
  </si>
  <si>
    <t>Wiyoko Selatan, Plembutan, Playen</t>
  </si>
  <si>
    <t>Ramadhani Adinda Novia</t>
  </si>
  <si>
    <t>Dwi Intan Septiana</t>
  </si>
  <si>
    <t>Puja Kesuma</t>
  </si>
  <si>
    <t>Yunita</t>
  </si>
  <si>
    <t>Muhamad Wahyu Husaini</t>
  </si>
  <si>
    <t>Fika Khoiri Nissa</t>
  </si>
  <si>
    <t>Raudatul Jannah</t>
  </si>
  <si>
    <t>Raihan Zain</t>
  </si>
  <si>
    <t>Putri Noor Rahmawati</t>
  </si>
  <si>
    <t>https://drive.google.com/open?id=1c93SYawf3vDqLUzX_RZpQXZDw6mAIyXefivHfven87I&amp;usp=drive_copy</t>
  </si>
  <si>
    <t>XXII.D.2</t>
  </si>
  <si>
    <t>Toboyo Barat, Plembutan, Playen</t>
  </si>
  <si>
    <t>Ulfah Fathiyatul Husna</t>
  </si>
  <si>
    <t>Lestiana Anggraini</t>
  </si>
  <si>
    <t>Candra Syura Nata</t>
  </si>
  <si>
    <t>Faradhita Widaswari Smaniedo</t>
  </si>
  <si>
    <t>Rafiq Fajar Mualief</t>
  </si>
  <si>
    <t>Tuty Suryani</t>
  </si>
  <si>
    <t>Derisna Sintasari Ayu</t>
  </si>
  <si>
    <t>Ilham Abdur Rohman</t>
  </si>
  <si>
    <t>Nur Hafizah Amriyanti</t>
  </si>
  <si>
    <t>https://drive.google.com/open?id=1cdSuyr-d86iL9kuHtngP0w4g8vgwBdMm9IB2dOWP-_8&amp;usp=drive_copy</t>
  </si>
  <si>
    <t>XXII.D.3</t>
  </si>
  <si>
    <t>Toboyo Timur, Plembutan, Playen</t>
  </si>
  <si>
    <t>Mudrika Rahma</t>
  </si>
  <si>
    <t>Tristania</t>
  </si>
  <si>
    <t>Wahyudi</t>
  </si>
  <si>
    <t>Ilham Habib Haspadilah</t>
  </si>
  <si>
    <t>Fresa Novaantika Pradita Putri</t>
  </si>
  <si>
    <t>Dina Riskiana</t>
  </si>
  <si>
    <t>Yayan Bagus Duandanto</t>
  </si>
  <si>
    <t>Faizatun Nur Hikmah</t>
  </si>
  <si>
    <t>Ummu Fitrotin Nursholihah</t>
  </si>
  <si>
    <t>62 823 40389874</t>
  </si>
  <si>
    <t>https://drive.google.com/open?id=1chz5gMDmUvWKj6RwlFH6E-YUViMTncRmCvRLW8a5juA&amp;usp=drive_copy</t>
  </si>
  <si>
    <t>XXIII.A.1</t>
  </si>
  <si>
    <t>Fariz Setyawan, M.Pd.</t>
  </si>
  <si>
    <t>Banjaran, Karangasem, Paliyan</t>
  </si>
  <si>
    <t>Nisaurrahmah</t>
  </si>
  <si>
    <t>Qothrun Nadaa</t>
  </si>
  <si>
    <t>Ivan Nurrasyid Shidiq</t>
  </si>
  <si>
    <t>Alifia Asadina</t>
  </si>
  <si>
    <t>Demiko</t>
  </si>
  <si>
    <t>Chatarina Dini Safitri</t>
  </si>
  <si>
    <t>Putri Retno Utami</t>
  </si>
  <si>
    <t>Al A`raaf Wira Adli</t>
  </si>
  <si>
    <t>Aprellianti Dwi Swastika</t>
  </si>
  <si>
    <t>https://drive.google.com/open?id=1cthv5jnBJlGdhZyvDCBx8gZP3C9tztTdSTf7burgAdU&amp;usp=drive_copy</t>
  </si>
  <si>
    <t>XXIII.A.2</t>
  </si>
  <si>
    <t>Trowono B, Karangasem, Paliyan</t>
  </si>
  <si>
    <t>Sonya Nurrahmawati</t>
  </si>
  <si>
    <t>Okki Dewi Malinda</t>
  </si>
  <si>
    <t>Aswir Dainitara</t>
  </si>
  <si>
    <t>Fajrina Dwi Aviana</t>
  </si>
  <si>
    <t>Athoriq Yusril Ihsan</t>
  </si>
  <si>
    <t>Radhiatul Utami Handayani</t>
  </si>
  <si>
    <t>Manda Nina Vania</t>
  </si>
  <si>
    <t>Muhammad Rafy Arrozaq</t>
  </si>
  <si>
    <t>Annisa Ayu Permata</t>
  </si>
  <si>
    <t>https://drive.google.com/open?id=1ehTXtNyKxI8sdWQJRalOE7CkLNIHyFSzeDerlfvIjho&amp;usp=drive_copy</t>
  </si>
  <si>
    <t>XXIII.A.3</t>
  </si>
  <si>
    <t>Namberan, Karangasem, Paliyan</t>
  </si>
  <si>
    <t>Ihda Chairunnisa</t>
  </si>
  <si>
    <t>Fira Wahyuni</t>
  </si>
  <si>
    <t>Tengku Muhammad Dzulfikar</t>
  </si>
  <si>
    <t>Jihan Tsuraya</t>
  </si>
  <si>
    <t>M. Hikam Aolaniy</t>
  </si>
  <si>
    <t>Annisa Nur Hafidha</t>
  </si>
  <si>
    <t>Nur Amelia Safirah</t>
  </si>
  <si>
    <t>Abi Hurairah</t>
  </si>
  <si>
    <t>Nurjannah Aini</t>
  </si>
  <si>
    <t>https://drive.google.com/open?id=1fJPPSztCgeJoPKljKa4vAQT50OmZjvhtAXJ3O8wavM8&amp;usp=drive_copy</t>
  </si>
  <si>
    <t>XXIII.B.1</t>
  </si>
  <si>
    <t>Qonitatul Hidayah, S.Si., M.Sc.</t>
  </si>
  <si>
    <t>Trukan, Karangasem, Paliyan</t>
  </si>
  <si>
    <t>Ara Kunantin</t>
  </si>
  <si>
    <t>Ryana Syafira</t>
  </si>
  <si>
    <t>Hammam Satmaka Hayyu Wibhawa</t>
  </si>
  <si>
    <t>Jevina Prasetyaningrum</t>
  </si>
  <si>
    <t>Muhamad Daffa Rizkia</t>
  </si>
  <si>
    <t>Isyraq Nabila Putri</t>
  </si>
  <si>
    <t>Lysa Shelviana</t>
  </si>
  <si>
    <t>Hendra Kusuma Pratama</t>
  </si>
  <si>
    <t>Tyas Kusumawardhani</t>
  </si>
  <si>
    <t>https://drive.google.com/open?id=1ficvqBHLJk6e99DgiH-WdiqrQG8boa8tEPe4zTVx0pc&amp;usp=drive_copy</t>
  </si>
  <si>
    <t>XXIII.B.2</t>
  </si>
  <si>
    <t>Cangkring, Karangasem, Paliyan</t>
  </si>
  <si>
    <t>Anita Herawati</t>
  </si>
  <si>
    <t>Atsna Dewi Shafrina</t>
  </si>
  <si>
    <t>Dimas Adi Purwanto</t>
  </si>
  <si>
    <t>Hanifah Putri Indira Permana</t>
  </si>
  <si>
    <t>Muhammad Mustofa</t>
  </si>
  <si>
    <t>Sekar Wulan Ramadhani</t>
  </si>
  <si>
    <t>Duie Sekar Larassati</t>
  </si>
  <si>
    <t>Muhammad Sofi'i</t>
  </si>
  <si>
    <t>Adzkia Sarah Qonita</t>
  </si>
  <si>
    <t>https://drive.google.com/open?id=1g_NUbBwo69eY5_dY7yaGXktnXb4aemyZRxtp-B3RCAw&amp;usp=drive_copy</t>
  </si>
  <si>
    <t>XXIII.B.3</t>
  </si>
  <si>
    <t>Lemahbang, Karangasem, Paliyan</t>
  </si>
  <si>
    <t>WICAKSONO AJI WIBOWO</t>
  </si>
  <si>
    <t>Nadia Febryana</t>
  </si>
  <si>
    <t>Erin Zeviona</t>
  </si>
  <si>
    <t>Andika Saputra Syarifuddin</t>
  </si>
  <si>
    <t>Aini Fatimatuzzahrah</t>
  </si>
  <si>
    <t>Oktya Tri Lestari</t>
  </si>
  <si>
    <t>Maulida Tri Lestari</t>
  </si>
  <si>
    <t>Dhany Fernandia Agustin</t>
  </si>
  <si>
    <t>Amelya Aprilliani Yolanda</t>
  </si>
  <si>
    <t>https://drive.google.com/open?id=1M4SpjUaM1L5pykCZK1fIbNtKEtSpv1PBHArHd0oBREc&amp;usp=drive_copy</t>
  </si>
  <si>
    <t>XXIII.C.1</t>
  </si>
  <si>
    <t>Subhan Zul Ardi, S.KM., M.Sc.</t>
  </si>
  <si>
    <t>Sidorejo, Sodo, Paliyan</t>
  </si>
  <si>
    <t>Nourma Jayanti</t>
  </si>
  <si>
    <t>Nur Faizah</t>
  </si>
  <si>
    <t>Sigit Agung Prabowo</t>
  </si>
  <si>
    <t>Safriyanti</t>
  </si>
  <si>
    <t>Salman Alfarizi</t>
  </si>
  <si>
    <t>Kanindya Nur Prasetyaningsih</t>
  </si>
  <si>
    <t>Chofifah Desyamsiah</t>
  </si>
  <si>
    <t>Pandu Ajisatya Chanif</t>
  </si>
  <si>
    <t>Silmi Shafa Nabila</t>
  </si>
  <si>
    <t>https://drive.google.com/open?id=1O0M1GF9FrEXr-6GoeB3fHoQbQ_QU62b75nZ_eZovKBM&amp;usp=drive_copy</t>
  </si>
  <si>
    <t>XXIII.C.2</t>
  </si>
  <si>
    <t>Pelemgede, Sodo, Paliyan</t>
  </si>
  <si>
    <t>Rindi Marantika</t>
  </si>
  <si>
    <t>Widya Suci Rahayu</t>
  </si>
  <si>
    <t>Zidani</t>
  </si>
  <si>
    <t>Atika Cahyani</t>
  </si>
  <si>
    <t>Arif Kurniawan</t>
  </si>
  <si>
    <t>Nadia Hasna Khairunnisa</t>
  </si>
  <si>
    <t>Siti Hardiyanti</t>
  </si>
  <si>
    <t>Muhammad Farid Wajdi</t>
  </si>
  <si>
    <t>Destiara Febriyanti</t>
  </si>
  <si>
    <t>https://drive.google.com/open?id=1O4E4rmZQPYX_bqdeTrWzUGKaYZYSNyC-jwDE9-ao9X0&amp;usp=drive_copy</t>
  </si>
  <si>
    <t>XXIII.C.3</t>
  </si>
  <si>
    <t>Selorejo, Sodo, Paliyan</t>
  </si>
  <si>
    <t>Eka Virnawati</t>
  </si>
  <si>
    <t>Erika Kusuma Wardani</t>
  </si>
  <si>
    <t>Muhammad Rafdinal Adrianto</t>
  </si>
  <si>
    <t>Salsabila Fadhilah Nafi</t>
  </si>
  <si>
    <t>Reynaldi Jefriansyah</t>
  </si>
  <si>
    <t>Ulfa Kurniati</t>
  </si>
  <si>
    <t>Zuraidah</t>
  </si>
  <si>
    <t>Nukhan Anwar</t>
  </si>
  <si>
    <t>Devi Anggraeni</t>
  </si>
  <si>
    <t>https://drive.google.com/open?id=1__D_DHUBWPg4FqLbqoqxmKhkWLnOeNx0lD5m702KrV0&amp;usp=drive_copy</t>
  </si>
  <si>
    <t>XXIII.D.1</t>
  </si>
  <si>
    <t>Desi Nurfita, S.K.M., M.Kes. (Epid</t>
  </si>
  <si>
    <t>Jamburejo, Sodo, Paliyan</t>
  </si>
  <si>
    <t>Tarisa Ayustiani Haryanto</t>
  </si>
  <si>
    <t>Muthia Rahma Nurhayati</t>
  </si>
  <si>
    <t>Fathirul Rais</t>
  </si>
  <si>
    <t>Defi Octavia</t>
  </si>
  <si>
    <t>Ilham Fikri Dhima Pamungkas</t>
  </si>
  <si>
    <t>Nurrizka Allifiani</t>
  </si>
  <si>
    <t>Putri Delima Sekar Kedaton</t>
  </si>
  <si>
    <t>Anugrah Amanu Pratama</t>
  </si>
  <si>
    <t>Atma Widiyanti</t>
  </si>
  <si>
    <t>https://drive.google.com/open?id=1LVaLs3dAZnPmRtkTeUSZWMie7s_xXnZYqev4OAV_NHE&amp;usp=drive_copy</t>
  </si>
  <si>
    <t>XXIII.D.2</t>
  </si>
  <si>
    <t>Tambakrejo, Sodo, Paliyan</t>
  </si>
  <si>
    <t>Tiara Kuswardani</t>
  </si>
  <si>
    <t>Ayu Anggraeni</t>
  </si>
  <si>
    <t>Firdaus Rico Anggoro</t>
  </si>
  <si>
    <t>RR Nurul Hidayati Yahya</t>
  </si>
  <si>
    <t>Doni Arya Prakosa</t>
  </si>
  <si>
    <t>Reginasari Hidariana</t>
  </si>
  <si>
    <t>Erika Puspitasari</t>
  </si>
  <si>
    <t>M. Syahrul Qhodi Alam</t>
  </si>
  <si>
    <t>Nurhaliza</t>
  </si>
  <si>
    <t>https://drive.google.com/open?id=1MXucdfS77PtxYhAhCcI0KwuMYEzMXwKM2mQnT9uVmuw&amp;usp=drive_copy</t>
  </si>
  <si>
    <t>XXIII.D.3</t>
  </si>
  <si>
    <t>Jetis, Pampang, Paliyan</t>
  </si>
  <si>
    <t>SATRIO BHAGASKORO</t>
  </si>
  <si>
    <t>Risa Nurpinesti</t>
  </si>
  <si>
    <t>Adelya Nova Irawan</t>
  </si>
  <si>
    <t>Nur Rizqi</t>
  </si>
  <si>
    <t>Nursyifa Rahima</t>
  </si>
  <si>
    <t>Malakhatun Nazikha</t>
  </si>
  <si>
    <t>Anton Rudi Kurniawan</t>
  </si>
  <si>
    <t>Alya Qudrotun Nisa'</t>
  </si>
  <si>
    <t>Octa Resti Yana</t>
  </si>
  <si>
    <t>https://drive.google.com/open?id=1KoqX765PQvMj11X18mMNM4VPmmrkK8EJcvExQ1GZYrM&amp;usp=drive_copy</t>
  </si>
  <si>
    <t>XXIV.A.1</t>
  </si>
  <si>
    <t>Mufti Alam Adha, S.E.I., M.Sc.</t>
  </si>
  <si>
    <t>Kedungdowo Kulon, Pampang, Paliyan</t>
  </si>
  <si>
    <t>Ucik Wulandari</t>
  </si>
  <si>
    <t>Rosy Lilyasari</t>
  </si>
  <si>
    <t>Alvisyah Riyadi</t>
  </si>
  <si>
    <t>Umamatul Faizah</t>
  </si>
  <si>
    <t>Arya Sona</t>
  </si>
  <si>
    <t>Aulia Akmandita Ramadhanti</t>
  </si>
  <si>
    <t>Putri Salwa Nabila</t>
  </si>
  <si>
    <t>Joko Purwanto</t>
  </si>
  <si>
    <t>Sinta Dewi Nursita</t>
  </si>
  <si>
    <t>https://drive.google.com/open?id=1N_WrHcr11qulhkAdEab8_wuC2B7JHCxGyuLUPO_BLz8&amp;usp=drive_copy</t>
  </si>
  <si>
    <t>XXIV.A.2</t>
  </si>
  <si>
    <t>Polaman, Pampang, Paliyan</t>
  </si>
  <si>
    <t>Rinda Aryanti</t>
  </si>
  <si>
    <t>Via Imanda Sari</t>
  </si>
  <si>
    <t>Baharuddin Yahya</t>
  </si>
  <si>
    <t>Esmiya Agustina</t>
  </si>
  <si>
    <t>Mustopa</t>
  </si>
  <si>
    <t>Arum Prabandari</t>
  </si>
  <si>
    <t>Henny Nur Hidayati Nasution</t>
  </si>
  <si>
    <t>Fahrul Rahmad Koni</t>
  </si>
  <si>
    <t>Sukmaningtyas Pratiwi</t>
  </si>
  <si>
    <t>https://drive.google.com/open?id=1s-L6qpGiijV9BQwFO--SrDFxriVRZmYTznS3vi4EEKw&amp;usp=drive_copy</t>
  </si>
  <si>
    <t>XXIV.A.3</t>
  </si>
  <si>
    <t>Kedungdowo Wetan, Pampang, Paliyan</t>
  </si>
  <si>
    <t>Nada Yumna Hanifah</t>
  </si>
  <si>
    <t>Laila Alifaturrosyidah</t>
  </si>
  <si>
    <t>Reza Gunawan</t>
  </si>
  <si>
    <t>Ditya Anggraheni Rahayu</t>
  </si>
  <si>
    <t>Aditya Furqon Hidayat</t>
  </si>
  <si>
    <t>Putri Eka Nur Lestari</t>
  </si>
  <si>
    <t>Widya Adiningsih</t>
  </si>
  <si>
    <t>Imam Sapii</t>
  </si>
  <si>
    <t>Ummu Nur Sa'adah</t>
  </si>
  <si>
    <t>https://drive.google.com/open?id=1rpP-ND357rpD0yc2zJ0P-_TadzWruVkDytkEfmMJzPE&amp;usp=drive_copy</t>
  </si>
  <si>
    <t>XXIV.B.1</t>
  </si>
  <si>
    <t>Meita Fitrianawati, M.Pd.</t>
  </si>
  <si>
    <t>Pampang, Pampang, Paliyan</t>
  </si>
  <si>
    <t>Afrida Nur Azizah Ahmad</t>
  </si>
  <si>
    <t>Dhian Siska Puspitaningrum</t>
  </si>
  <si>
    <t>Muhammad Satria Aji</t>
  </si>
  <si>
    <t>Baiq Viona Nida Islamy</t>
  </si>
  <si>
    <t>Firda Rizki Rhomadoni</t>
  </si>
  <si>
    <t>Prastiwi Widyaningrum</t>
  </si>
  <si>
    <t>Lisa Safitri</t>
  </si>
  <si>
    <t>M. Gio Aldi Afriadi</t>
  </si>
  <si>
    <t>Arda Rospita Dewi</t>
  </si>
  <si>
    <t>https://drive.google.com/open?id=1spbhJ9leRouDPHc59-QsvOpVu0HZJG_vS4I20yhg3DA&amp;usp=drive_copy</t>
  </si>
  <si>
    <t>XXIV.B.2</t>
  </si>
  <si>
    <t>Tahunan, Karangduwet, Paliyan</t>
  </si>
  <si>
    <t>Rio Saputra</t>
  </si>
  <si>
    <t>Lifian Rahmah Andriani</t>
  </si>
  <si>
    <t>Ainun Rahmawati</t>
  </si>
  <si>
    <t>Rahmat Alamsyah</t>
  </si>
  <si>
    <t>Tsania Bhetari Ayu Shabilla</t>
  </si>
  <si>
    <t>Rizki Alfandi</t>
  </si>
  <si>
    <t>Nur Istiqomah</t>
  </si>
  <si>
    <t>Fenny Wahyuning Tyas</t>
  </si>
  <si>
    <t>Oktavia Nurmalita Sari</t>
  </si>
  <si>
    <t>https://drive.google.com/open?id=1tEb11G8oP1Jx-Kfa31rJ-h1KP8rn2Iubpc4EMuUj7Ew&amp;usp=drive_copy</t>
  </si>
  <si>
    <t>XXIV.B.3</t>
  </si>
  <si>
    <t>Corot, Karangduwet, Paliyan</t>
  </si>
  <si>
    <t>FAHMI HIDAYATULLAH</t>
  </si>
  <si>
    <t>Nurul Istiqomah</t>
  </si>
  <si>
    <t>Indah Fitriyani</t>
  </si>
  <si>
    <t>Muhamad Sofyan Kholid</t>
  </si>
  <si>
    <t>Nadia Khoerunnisa</t>
  </si>
  <si>
    <t>Regita Kulo</t>
  </si>
  <si>
    <t>Abdurrahman Saputra</t>
  </si>
  <si>
    <t>Laili Nur Hidayah</t>
  </si>
  <si>
    <t>Nikmatun Khasanah</t>
  </si>
  <si>
    <t>https://drive.google.com/open?id=1u4Qs85Z2YWfr3FN8fpvzc1IKJqEijkVaqrG4bOuFOwM&amp;usp=drive_copy</t>
  </si>
  <si>
    <t>XXIV.C.1</t>
  </si>
  <si>
    <t>Fajar Dwi Putra, S.PT., M.Psi.</t>
  </si>
  <si>
    <t>Paliyan Kidul, Karangduwet, Paliyan</t>
  </si>
  <si>
    <t>IMADDUDIN ABIL FADHA</t>
  </si>
  <si>
    <t>Faizah Hanum</t>
  </si>
  <si>
    <t>Febby Utami</t>
  </si>
  <si>
    <t>Pauji Nurviana</t>
  </si>
  <si>
    <t>Adinda Maulani</t>
  </si>
  <si>
    <t>Gilang Muhammad Hatta Rafli</t>
  </si>
  <si>
    <t>Alfiyah Qatrun Nabila</t>
  </si>
  <si>
    <t>Ulfa Afrianti Ngupulu</t>
  </si>
  <si>
    <t>Shofi Ilham Khasanah</t>
  </si>
  <si>
    <t>https://drive.google.com/open?id=12cA8Txyp_qghhbZdtTjjNkmHKNSNteiz8CmQZXQJy0I&amp;usp=drive_copy</t>
  </si>
  <si>
    <t>XXIV.C.2</t>
  </si>
  <si>
    <t>Pendem, Karangduwet, Paliyan</t>
  </si>
  <si>
    <t>Nurma Indah Sari</t>
  </si>
  <si>
    <t>Faragita Nadiya Utami</t>
  </si>
  <si>
    <t>Zulfa Ahmad Assidiqi</t>
  </si>
  <si>
    <t>Dinda Ramayanti</t>
  </si>
  <si>
    <t>Muhammad Daffa Fiqrokhul Putra</t>
  </si>
  <si>
    <t>Risti Nur Amalia</t>
  </si>
  <si>
    <t>Aprilia Miranti Astuti</t>
  </si>
  <si>
    <t>Riyan Dimas Rinaldi</t>
  </si>
  <si>
    <t>Rahma Susilowati</t>
  </si>
  <si>
    <t>https://drive.google.com/open?id=14qyJ_PrmLfZMOf6cCWLpD4pKLNfTJMMpCu7ZEAopRsw&amp;usp=drive_copy</t>
  </si>
  <si>
    <t>XXIV.C.3</t>
  </si>
  <si>
    <t>Surulanang, Karangduwet, Paliyan</t>
  </si>
  <si>
    <t>Zulfiana Damaiyanti</t>
  </si>
  <si>
    <t>Finda Melina Citra</t>
  </si>
  <si>
    <t>Ilham Muazra</t>
  </si>
  <si>
    <t>Ratri Firda Riyani</t>
  </si>
  <si>
    <t>Muhamad Darmawan</t>
  </si>
  <si>
    <t>Dian Nisa Rahmawati Utami</t>
  </si>
  <si>
    <t>Ayu Novianti</t>
  </si>
  <si>
    <t>Aldi Al Husaini</t>
  </si>
  <si>
    <t>Dian Iryani</t>
  </si>
  <si>
    <t>https://drive.google.com/open?id=17ctAtEfIrJCw-H4Lw-EIHBSHHCtK27c8i3nBUBx-dok&amp;usp=drive_copy</t>
  </si>
  <si>
    <t>XXIV.D.1</t>
  </si>
  <si>
    <t>Khairunisa Ramadhani, S.Gz., M.Pd.</t>
  </si>
  <si>
    <t>Nasri, Giring, Paliyan</t>
  </si>
  <si>
    <t>Nor Sania Aripah</t>
  </si>
  <si>
    <t>Nur Syafira Dewi</t>
  </si>
  <si>
    <t>Febri Yuwanendra</t>
  </si>
  <si>
    <t>Dwi Safitri Nurullita</t>
  </si>
  <si>
    <t>Budi Setya Wardhana</t>
  </si>
  <si>
    <t>Wanda Oktavia Anggraini</t>
  </si>
  <si>
    <t>Hernita Salsa Nabilla</t>
  </si>
  <si>
    <t>Alaf Muhammad Zulfikri</t>
  </si>
  <si>
    <t>Farah Mustika Ningtyas</t>
  </si>
  <si>
    <t>https://drive.google.com/open?id=19K_0jUpJ8kktXDNGjYJ4WjRegT2dkmpWZZXQS7Bvz80&amp;usp=drive_copy</t>
  </si>
  <si>
    <t>XXIV.D.2</t>
  </si>
  <si>
    <t>Pulobener, Giring, Paliyan</t>
  </si>
  <si>
    <t>Muthia Wulandari</t>
  </si>
  <si>
    <t>Silvi Mu'alimah</t>
  </si>
  <si>
    <t>Rifky Mahendra</t>
  </si>
  <si>
    <t>Inayah Alifah Khairiah</t>
  </si>
  <si>
    <t>Rahmat Syafarel</t>
  </si>
  <si>
    <t>Avita Trista Ningrum</t>
  </si>
  <si>
    <t>Fasya Farah Salsabila</t>
  </si>
  <si>
    <t>Muhammad Maulidan Anshori</t>
  </si>
  <si>
    <t>Anggie Tri Agustin Alawiyah</t>
  </si>
  <si>
    <t>082281538959 / 081912402490</t>
  </si>
  <si>
    <t>https://drive.google.com/open?id=1I1UhfpkW-m-1Bd3aBTNW7KA6LO60WjaHn23KnBRDhj4&amp;usp=drive_copy</t>
  </si>
  <si>
    <t>XXIV.D.3</t>
  </si>
  <si>
    <t>Candi, Giring, Paliyan</t>
  </si>
  <si>
    <t>Apristya Laily Maghfiroh</t>
  </si>
  <si>
    <t>Idha Fitriyani</t>
  </si>
  <si>
    <t>Ibnu Ananto Wibowo</t>
  </si>
  <si>
    <t>Novi Selviani</t>
  </si>
  <si>
    <t>Zainal Abidin A</t>
  </si>
  <si>
    <t>Farah Rasendriya Rahmasari</t>
  </si>
  <si>
    <t>Larasati Fara Azzahra</t>
  </si>
  <si>
    <t>Muh Fiqran Hidayat</t>
  </si>
  <si>
    <t>Mila Nurfitri</t>
  </si>
  <si>
    <t>https://drive.google.com/open?id=1Jj5otQeDso0D0uNQp3S1GmCwFSEJTRkMJh8BeAIHIhI&amp;usp=drive_copy</t>
  </si>
  <si>
    <t>XXV.A.1</t>
  </si>
  <si>
    <t>Tungu, Grogol, Paliyan</t>
  </si>
  <si>
    <t>Nuril Wafiq Arza</t>
  </si>
  <si>
    <t>Etika Restu Priyantari</t>
  </si>
  <si>
    <t>Samhaji</t>
  </si>
  <si>
    <t>Diana Iman Rezky</t>
  </si>
  <si>
    <t>MUHAMMAD FARKHAN FIKRI HUDA</t>
  </si>
  <si>
    <t>Zahwa Laksmi Desfadia</t>
  </si>
  <si>
    <t>Salsa Zahva Ahviayata Malla</t>
  </si>
  <si>
    <t>Ikhsannudin Nur Hidayah</t>
  </si>
  <si>
    <t>Putri Nur Insani</t>
  </si>
  <si>
    <t>https://drive.google.com/open?id=1Ljnpf8pHlyilcVbJnrlTQb4FAW4jjkUGah_JbcMeEOs&amp;usp=drive_copy</t>
  </si>
  <si>
    <t>XXV.A.2</t>
  </si>
  <si>
    <t>Senedi, Grogol, Paliyan</t>
  </si>
  <si>
    <t>Amanda Ridha Lukman Saputri</t>
  </si>
  <si>
    <t>Eva Yovanda</t>
  </si>
  <si>
    <t>Frizha Octavian</t>
  </si>
  <si>
    <t>Qoni'atus Sa'adah</t>
  </si>
  <si>
    <t>Gralo Yopa Rahmat Pratama</t>
  </si>
  <si>
    <t>Galuh Muthia Rahma</t>
  </si>
  <si>
    <t>Widia Husnul Khatimah</t>
  </si>
  <si>
    <t>Muhammad Azhar Ma'shum</t>
  </si>
  <si>
    <t>Melina Amelia Sari</t>
  </si>
  <si>
    <t>https://drive.google.com/open?id=1MInGZBbEGIdR7hK4Xqu5znda_M1zVfDLfM5KQzwIRqI&amp;usp=drive_copy</t>
  </si>
  <si>
    <t>XXV.A.3</t>
  </si>
  <si>
    <t>Gerjo, Grogol, Paliyan</t>
  </si>
  <si>
    <t>WAHYU WINDU AJI</t>
  </si>
  <si>
    <t>Yekti Mukti Maghfiroh</t>
  </si>
  <si>
    <t>Desi Ramadhani. R</t>
  </si>
  <si>
    <t>Alim Priambada</t>
  </si>
  <si>
    <t>Dyiyah Kresna Eni Arofah</t>
  </si>
  <si>
    <t>Isro Dwian Yunandha</t>
  </si>
  <si>
    <t>Arini Salsabila</t>
  </si>
  <si>
    <t>Annisya Yulia</t>
  </si>
  <si>
    <t>Dita Permata Putriani</t>
  </si>
  <si>
    <t>https://drive.google.com/open?id=1RkY9vgAvvnwrhVQkyDoLOh52B2LswQkqzwCLbyEDhUY&amp;usp=drive_copy</t>
  </si>
  <si>
    <t>XXV.B.1</t>
  </si>
  <si>
    <t>Hasrul Rahman, S.Pd., M.Pd.</t>
  </si>
  <si>
    <t>Karangmojo A, Grogol, Paliyan</t>
  </si>
  <si>
    <t>CATUR CAHYONO PUTRA</t>
  </si>
  <si>
    <t>Diah Apriyanti</t>
  </si>
  <si>
    <t>Eva Virda Yanti</t>
  </si>
  <si>
    <t>Farisan Zakirinanda</t>
  </si>
  <si>
    <t>Denisha Dora Amanda</t>
  </si>
  <si>
    <t>Fatimah Az Zahra</t>
  </si>
  <si>
    <t>Kiki Rahayu</t>
  </si>
  <si>
    <t>Agung Nuryahya Muhaimin</t>
  </si>
  <si>
    <t>Dwi Siska Amanda</t>
  </si>
  <si>
    <t>083829264932?</t>
  </si>
  <si>
    <t>https://drive.google.com/open?id=1VIHyc81uNys5RoAfqoNDOA8KZkPHQ3WkTMo7867R4BA&amp;usp=drive_copy</t>
  </si>
  <si>
    <t>XXV.B.2</t>
  </si>
  <si>
    <t>Karangmojo B, Grogol, Paliyan</t>
  </si>
  <si>
    <t>Andhika Dwi Prasetio</t>
  </si>
  <si>
    <t>Fuadiyah Irfiana</t>
  </si>
  <si>
    <t>Nazmi Aulia</t>
  </si>
  <si>
    <t>Muhammad Haikal Putra Ananto</t>
  </si>
  <si>
    <t>Andrea Kusumastuti</t>
  </si>
  <si>
    <t>Afthasya Dwi Fahrezy Tabrani</t>
  </si>
  <si>
    <t>Prima Novita Putri</t>
  </si>
  <si>
    <t>Ardhian Muhammad Noor Fikriansyah</t>
  </si>
  <si>
    <t>Anggi Oktaviany</t>
  </si>
  <si>
    <t>https://drive.google.com/open?id=11KSxHMGnoHkgZ0DLKwBfZft8R0qdo6rocjbz5kAT-ec&amp;usp=drive_copy</t>
  </si>
  <si>
    <t>XXV.B.3</t>
  </si>
  <si>
    <t>Grogol, Grogol, Paliyan</t>
  </si>
  <si>
    <t>Shabira Hanun Anisa</t>
  </si>
  <si>
    <t>Dewi Khoirun Nisa'</t>
  </si>
  <si>
    <t>Zulfan Mumtaz</t>
  </si>
  <si>
    <t>Dhenok Riska Permatasari</t>
  </si>
  <si>
    <t>Zoelfiqar</t>
  </si>
  <si>
    <t>Dita Aulia Septiyani</t>
  </si>
  <si>
    <t>Widiyana Galih Bayu Putri</t>
  </si>
  <si>
    <t>Ikhwanudin Al Gusni</t>
  </si>
  <si>
    <t>Aprillia Rizki Melati</t>
  </si>
  <si>
    <t>https://drive.google.com/open?id=1VtV1VuFXIUlrUnyhxzTLQHZn6W1o8vEdxdeLKZwOWDs&amp;usp=drive_copy</t>
  </si>
  <si>
    <t>XXV.C.1</t>
  </si>
  <si>
    <t>Mahrus Lutfi Adi Kurniawan, S.E., M.E.</t>
  </si>
  <si>
    <t>Karangmiri, Mulusan, Paliyan</t>
  </si>
  <si>
    <t>Shindy Maulinda</t>
  </si>
  <si>
    <t>Indra Sari</t>
  </si>
  <si>
    <t>Asyifa Ahmad</t>
  </si>
  <si>
    <t>Albaqorina Farchannadine Zahara</t>
  </si>
  <si>
    <t>Sastro Rurono</t>
  </si>
  <si>
    <t>Berty Amelia</t>
  </si>
  <si>
    <t>Nadida Salsabila</t>
  </si>
  <si>
    <t>Ahmad Imaduddin Al-ghozi</t>
  </si>
  <si>
    <t>Wilda Sabrina Khairani</t>
  </si>
  <si>
    <t>https://drive.google.com/open?id=1xkC4xgU4cTSK2tdI9qeWL40RdsVwQTpd1Ve1jirfPEI&amp;usp=drive_copy</t>
  </si>
  <si>
    <t>XXV.C.2</t>
  </si>
  <si>
    <t>Watugilang A, Mulusan, Paliyan</t>
  </si>
  <si>
    <t>Legi Handrayani</t>
  </si>
  <si>
    <t>Dini Cahyaningsih</t>
  </si>
  <si>
    <t>Tera Rahardiansyah</t>
  </si>
  <si>
    <t>Haniifah Miftahul Farhah</t>
  </si>
  <si>
    <t>Afindra Hafiedz Akbar</t>
  </si>
  <si>
    <t>Suci Salsabila Rambe</t>
  </si>
  <si>
    <t>Muhamad Fani Sakti</t>
  </si>
  <si>
    <t>Nurul Latifah</t>
  </si>
  <si>
    <t>https://drive.google.com/open?id=1VwwKPJ-nn8QXgNoCc2vxkuGxRCW712tdCv1BNS9wOeA&amp;usp=drive_copy</t>
  </si>
  <si>
    <t>XXV.C.3</t>
  </si>
  <si>
    <t>Watugilang B, Mulusan, Paliyan</t>
  </si>
  <si>
    <t>Bekti Nurheni</t>
  </si>
  <si>
    <t>Fitriani Atiqah Putri</t>
  </si>
  <si>
    <t>Muhammad Milyarto</t>
  </si>
  <si>
    <t>Okta Mega Fortuna</t>
  </si>
  <si>
    <t>Muhammad Anas Yulianto</t>
  </si>
  <si>
    <t>Rinawati</t>
  </si>
  <si>
    <t>Nurbaiti Rahmah</t>
  </si>
  <si>
    <t>Aulia Farkhan</t>
  </si>
  <si>
    <t>Annisa Yasmin</t>
  </si>
  <si>
    <t>https://drive.google.com/open?id=1xI28XMduWiyRsQRuEg9pXhAKlm_zkHZsHtqs-pC4cOI&amp;usp=drive_copy</t>
  </si>
  <si>
    <t>XXV.D.1</t>
  </si>
  <si>
    <t>Pribawa E Pantas, S.E.Sy., M.E.K.</t>
  </si>
  <si>
    <t>Mulusan, Mulusan, Paliyan</t>
  </si>
  <si>
    <t>Nelvi Agustin</t>
  </si>
  <si>
    <t>Renita Febriana Sari</t>
  </si>
  <si>
    <t>Agung Adi Anggoro</t>
  </si>
  <si>
    <t>Lisa Nuryanti</t>
  </si>
  <si>
    <t>Arif Nugroho</t>
  </si>
  <si>
    <t>Hanna Kaori Ayu Faddillah</t>
  </si>
  <si>
    <t>Rizky Prabowo</t>
  </si>
  <si>
    <t>Onny Unifahtun Fathonah</t>
  </si>
  <si>
    <t>0895-8064-06582</t>
  </si>
  <si>
    <t>https://drive.google.com/open?id=1ys5ZaRCPKm6HywLUjjjNnUBNtGBYBbvxhUHvFQ4qtXk&amp;usp=drive_copy</t>
  </si>
  <si>
    <t>XXV.D.2</t>
  </si>
  <si>
    <t>Kenteng, Mulusan, Paliyan</t>
  </si>
  <si>
    <t>Fahima Andini</t>
  </si>
  <si>
    <t>Ratri Luvitasari</t>
  </si>
  <si>
    <t>Ardinnanda Rizky Pradana</t>
  </si>
  <si>
    <t>Zenta Norma Evriliana</t>
  </si>
  <si>
    <t>Dimas Satria Ramdhani</t>
  </si>
  <si>
    <t>Fina Aspi Dalimunthe</t>
  </si>
  <si>
    <t>Herpin Nurgiansyah</t>
  </si>
  <si>
    <t>Novita Hidayati</t>
  </si>
  <si>
    <t>https://drive.google.com/open?id=1xwIpShrkCBz1_8eaQfHo0xzMua8p3PMDeCEyaUFvY5g&amp;usp=drive_copy</t>
  </si>
  <si>
    <t>XXV.D.3</t>
  </si>
  <si>
    <t>Muntuk, Mulusan, Paliyan</t>
  </si>
  <si>
    <t>Khoirum Miftahul Janah</t>
  </si>
  <si>
    <t>Apria Tri Hastuti</t>
  </si>
  <si>
    <t>Haikal Faris Nada</t>
  </si>
  <si>
    <t>Ayuningtyas Safitri</t>
  </si>
  <si>
    <t>Ahmad Kamal Mustofa</t>
  </si>
  <si>
    <t>Tengku Bella Angelia</t>
  </si>
  <si>
    <t>Dinarsih Ayuning Wulan</t>
  </si>
  <si>
    <t>Lalu Wire Sanni Atmaja</t>
  </si>
  <si>
    <t>Lubna Nur Fathiyya</t>
  </si>
  <si>
    <t>https://drive.google.com/open?id=19qXGdILdbc4JDL36_zxPHLRf6R1RvVAhAa_2WkiReZs&amp;usp=drive_copy</t>
  </si>
  <si>
    <t>XXVI.A.1</t>
  </si>
  <si>
    <t>Arsyad Cahya Subrata, S.T., M.T.</t>
  </si>
  <si>
    <t>Pucangsari, Candirejo, Semanu</t>
  </si>
  <si>
    <t>Eva Rismawati Nur Afina</t>
  </si>
  <si>
    <t>Indah Puspitasari</t>
  </si>
  <si>
    <t>Adi Guzali</t>
  </si>
  <si>
    <t>Dias Regita Prameswari</t>
  </si>
  <si>
    <t>Rio Tri Ardika</t>
  </si>
  <si>
    <t>Khalisah Leticia Ailani</t>
  </si>
  <si>
    <t>Rheananda Rhere Fitrajaya</t>
  </si>
  <si>
    <t>Dahlan Anwar</t>
  </si>
  <si>
    <t>Aulia Ushwatun Khasanah</t>
  </si>
  <si>
    <t>https://drive.google.com/open?id=1mNN0GGJA5oEitryJ21T-8euFGdM4BbxAOzlU3ZjgdIk&amp;usp=drive_copy</t>
  </si>
  <si>
    <t>XXVI.A.2</t>
  </si>
  <si>
    <t>Soga, Candirejo, Semanu</t>
  </si>
  <si>
    <t>Friska Anggun Megita</t>
  </si>
  <si>
    <t>Monika Presilia</t>
  </si>
  <si>
    <t>Muhamad Fauzan Adiyatma</t>
  </si>
  <si>
    <t>Erniyati</t>
  </si>
  <si>
    <t>Eriko Alfian</t>
  </si>
  <si>
    <t>Aulia Rahma Wilda</t>
  </si>
  <si>
    <t>Tisna Retno Wilujeng</t>
  </si>
  <si>
    <t>Dony Rochim</t>
  </si>
  <si>
    <t>Putri Mayasaroh</t>
  </si>
  <si>
    <t>https://drive.google.com/open?id=1lUao2wmxTiEifXpnMqbltOkOVEkCh5fAzJBy1_d5gY8&amp;usp=drive_copy</t>
  </si>
  <si>
    <t>XXVI.B.1</t>
  </si>
  <si>
    <t>Marsudi Endang Sri Rejeki, S.E., M.M.</t>
  </si>
  <si>
    <t>Gunungkunir, Candirejo, Semanu</t>
  </si>
  <si>
    <t>Galuh Tri Utami</t>
  </si>
  <si>
    <t>Olpriani Nanda Syahputri</t>
  </si>
  <si>
    <t>Daffa Budiono</t>
  </si>
  <si>
    <t>Shintia Yulita Sari</t>
  </si>
  <si>
    <t>Muhammad Syahrul Akbar</t>
  </si>
  <si>
    <t>Larra Duta Fryanka</t>
  </si>
  <si>
    <t>Lisa Pramugita</t>
  </si>
  <si>
    <t>Budi Mulyadi</t>
  </si>
  <si>
    <t>Mutiara Habibah</t>
  </si>
  <si>
    <t>https://drive.google.com/open?id=1cXIw5mog84y1d-YPHijS147H1dCepZCWIhPv8aMD96M&amp;usp=drive_copy</t>
  </si>
  <si>
    <t>XXVI.B.2</t>
  </si>
  <si>
    <t>Nangsri Lor, Candirejo, Semanu</t>
  </si>
  <si>
    <t>Yulvira Salsabila Putri</t>
  </si>
  <si>
    <t>Oktavia Noor Aini</t>
  </si>
  <si>
    <t>Muhammad Tholibur Rikza</t>
  </si>
  <si>
    <t>Khusnul Khotimah</t>
  </si>
  <si>
    <t>Muhammad Tyo Saputra</t>
  </si>
  <si>
    <t>Nurhadira</t>
  </si>
  <si>
    <t>Ermanita Nopriyanti</t>
  </si>
  <si>
    <t>Bambang Putra Hendrawan</t>
  </si>
  <si>
    <t>Ahadya Silka Fajaranie</t>
  </si>
  <si>
    <t>https://drive.google.com/open?id=1XJHv7jdPLbc1XBDOi1nsvUH78PfcxrQOIpN8ZMCEnzs&amp;usp=drive_copy</t>
  </si>
  <si>
    <t>XXVI.B.3</t>
  </si>
  <si>
    <t>Nangsri Kidul, Candirejo, Semanu</t>
  </si>
  <si>
    <t>Gelby Ajeng Rawindri</t>
  </si>
  <si>
    <t>Mochamad Nurtiana</t>
  </si>
  <si>
    <t>Istiqomah Anggraini</t>
  </si>
  <si>
    <t>Ahmad Nur Wahyudi</t>
  </si>
  <si>
    <t>Putri Regina Pratiwi</t>
  </si>
  <si>
    <t>Sri Ayu Maharani Putri</t>
  </si>
  <si>
    <t>Rizky Nur Habib Saputra</t>
  </si>
  <si>
    <t>Lulu Lutpiyah</t>
  </si>
  <si>
    <t>https://drive.google.com/open?id=1mbTS3Bu6MS0ju-5srY3pPB5b8S95ojZrjyxgkkp-DiQ&amp;usp=drive_copy</t>
  </si>
  <si>
    <t>XXVI.C.1</t>
  </si>
  <si>
    <t>Prayudha, M.A.</t>
  </si>
  <si>
    <t>Plebengan Lor, Candirejo, Semanu</t>
  </si>
  <si>
    <t>Sania Rifqi Rufaida</t>
  </si>
  <si>
    <t>Normayani Nanda</t>
  </si>
  <si>
    <t>Muhammad Hafidh Fahrizal</t>
  </si>
  <si>
    <t>Novita Arianti</t>
  </si>
  <si>
    <t>Rasyid Aufa Al Mahdi</t>
  </si>
  <si>
    <t>Cihtra Rihana</t>
  </si>
  <si>
    <t>Candrika Kemala Putri</t>
  </si>
  <si>
    <t>Cahya Tri Djaka</t>
  </si>
  <si>
    <t>Anim Mafaza</t>
  </si>
  <si>
    <t>https://drive.google.com/open?id=1pSfHN2dkWjKfTx0ozR33SlCLhNVIlZzj11stTESMz9Y&amp;usp=drive_copy</t>
  </si>
  <si>
    <t>XXVI.C.2</t>
  </si>
  <si>
    <t>Plebengan Tengah, Candirejo, Semanu</t>
  </si>
  <si>
    <t>Kiranti</t>
  </si>
  <si>
    <t>Khaerun Nissa Billa</t>
  </si>
  <si>
    <t>Octario Fiqri Saputra</t>
  </si>
  <si>
    <t>Nurpita Dewi</t>
  </si>
  <si>
    <t>Alvin Kurniawan</t>
  </si>
  <si>
    <t>Vita Hapsari</t>
  </si>
  <si>
    <t>Devi Qoiru Nissa</t>
  </si>
  <si>
    <t>Rizal Ramdani</t>
  </si>
  <si>
    <t>Hanindya Luthfi Khairunnisa</t>
  </si>
  <si>
    <t>https://drive.google.com/open?id=1mZWWVltoMCDTOP9Wgo01tGmHcxLtDX60eDtdD9dKRoI&amp;usp=drive_copy</t>
  </si>
  <si>
    <t>XXVI.C.3</t>
  </si>
  <si>
    <t>Plebengan Kidul, Candirejo, Semanu</t>
  </si>
  <si>
    <t>Annisa Fitri Nuari</t>
  </si>
  <si>
    <t>Agistin Rina Anifah</t>
  </si>
  <si>
    <t>Isnan Akhmad Fauzi</t>
  </si>
  <si>
    <t>Mei Lina Primawati</t>
  </si>
  <si>
    <t>Syahridha Ma'ruf</t>
  </si>
  <si>
    <t>Helda Erlani</t>
  </si>
  <si>
    <t>Syarifatul Mukaromah</t>
  </si>
  <si>
    <t>Rifqy Fatchiyah Az-zahra</t>
  </si>
  <si>
    <t>https://drive.google.com/open?id=1mar7Gl-nlHAaQYOs5Hrjd_ZoB4W1yQWsAvHDIFO4ank&amp;usp=drive_copy</t>
  </si>
  <si>
    <t>XXVI.D.1</t>
  </si>
  <si>
    <t>Soviyah, S.Pd., M. Hum.</t>
  </si>
  <si>
    <t>Panggul Kulon, Candirejo, Semanu</t>
  </si>
  <si>
    <t>Nadia Miftakhul Jannah</t>
  </si>
  <si>
    <t>Putri Fauziyah</t>
  </si>
  <si>
    <t>Arya Dwi Satrio</t>
  </si>
  <si>
    <t>Sindy Meilasari</t>
  </si>
  <si>
    <t>Prasetya Murdaka Putra</t>
  </si>
  <si>
    <t>Rahmatika Yulia Dewi</t>
  </si>
  <si>
    <t>Anisa Mega Trimardhika</t>
  </si>
  <si>
    <t>Ihsan Fauzi</t>
  </si>
  <si>
    <t>Wahyu Eka Susiyani</t>
  </si>
  <si>
    <t>https://drive.google.com/open?id=1-Dx7y_31ZjX7fYtVRar7O_YSE4mdZnBmodjds8j_bgQ&amp;usp=drive_copy</t>
  </si>
  <si>
    <t>XXVI.D.2</t>
  </si>
  <si>
    <t>Panggul Wetan, Candirejo, Semanu</t>
  </si>
  <si>
    <t>HAQQUL FAHMI</t>
  </si>
  <si>
    <t>Indah Pratiwi</t>
  </si>
  <si>
    <t>Yayu Susmiati</t>
  </si>
  <si>
    <t>Farma Geri Al-fikri</t>
  </si>
  <si>
    <t>Eka Marwati</t>
  </si>
  <si>
    <t>M Yurry Gagarin</t>
  </si>
  <si>
    <t>Lisa Fitria Pusphita</t>
  </si>
  <si>
    <t>Fatiha Vidya Islami</t>
  </si>
  <si>
    <t>Izaz Hasna Meidyastuti</t>
  </si>
  <si>
    <t>https://drive.google.com/open?id=14nV8fwn8fLh3_L6UJsAYePmumEC_O2FQdP-ozBdcY20&amp;usp=drive_copy</t>
  </si>
  <si>
    <t>XXVI.D.3</t>
  </si>
  <si>
    <t>Panggul Tengah, Candirejo, Semanu</t>
  </si>
  <si>
    <t>TOSAN AJI BAYUSUTA</t>
  </si>
  <si>
    <t>Hismalina Rahyu Khabdila</t>
  </si>
  <si>
    <t>Anissa Febriyani</t>
  </si>
  <si>
    <t>Faiq Ja'far Sidiq</t>
  </si>
  <si>
    <t>Yulandari Arsyad</t>
  </si>
  <si>
    <t>Aldhila Shifa Nabilla</t>
  </si>
  <si>
    <t>Melati Timur Putri</t>
  </si>
  <si>
    <t>M. Zaki Amali</t>
  </si>
  <si>
    <t>Safira Restiara Dyah Palupi</t>
  </si>
  <si>
    <t>https://drive.google.com/open?id=14suCEkalgPVp2-MAHj2vV-P0IBZtDcItU-DnKDgR5RQ&amp;usp=drive_copy</t>
  </si>
  <si>
    <t>XXVII.A.1</t>
  </si>
  <si>
    <t>Nur Rifai Akhsan S.Pd., M.Ed.</t>
  </si>
  <si>
    <t>Gebang, Candirejo, Semanu</t>
  </si>
  <si>
    <t>ILHAM MAULANA</t>
  </si>
  <si>
    <t>Cindy Joe Sanjun</t>
  </si>
  <si>
    <t>Resky Andriani</t>
  </si>
  <si>
    <t>Dhevia Leuys Thiaqufyan</t>
  </si>
  <si>
    <t>Muhammad Iqbal Ash Shiddiqy</t>
  </si>
  <si>
    <t>Reskina</t>
  </si>
  <si>
    <t>Atha Kirana Indipradiva</t>
  </si>
  <si>
    <t>Septian Maulana Akhmad</t>
  </si>
  <si>
    <t>Audrey Annatiya Sanya Zoreen</t>
  </si>
  <si>
    <t>https://drive.google.com/open?id=1rpNu8ZwX5PG5PcLz3S5O2mSzQ-fLjtS5QNCQLe-Muj0&amp;usp=drive_copy</t>
  </si>
  <si>
    <t>XXVII.A.2</t>
  </si>
  <si>
    <t>Soka, Candirejo, Semanu</t>
  </si>
  <si>
    <t>Aniza Uswatun Mustafa</t>
  </si>
  <si>
    <t>Teti Nuryati</t>
  </si>
  <si>
    <t>Fendy Fajar Budianta</t>
  </si>
  <si>
    <t>Rafikah Eka Srilestari</t>
  </si>
  <si>
    <t>Ryan Alravi</t>
  </si>
  <si>
    <t>Nabila Atalya Nata Marchapada</t>
  </si>
  <si>
    <t>Raesita Zahara</t>
  </si>
  <si>
    <t>Anang Gunawan</t>
  </si>
  <si>
    <t>Titaniar Jaga Paramudita</t>
  </si>
  <si>
    <t>https://drive.google.com/open?id=1uI7v9DVy6DgtP0OIaUYChG2cm3G-a0HSJYQR42y8gMk&amp;usp=drive_copy</t>
  </si>
  <si>
    <t>XXVII.A.3</t>
  </si>
  <si>
    <t>Cuwelo Lor, Candirejo, Semanu</t>
  </si>
  <si>
    <t>Rr. Ratna Hapsari Puspitawati</t>
  </si>
  <si>
    <t>Arina Nawasikhana Putri</t>
  </si>
  <si>
    <t>Valen Tegar</t>
  </si>
  <si>
    <t>Sagita Dhya Rachmadina</t>
  </si>
  <si>
    <t>Mohamad Anom Purwo Wijaya</t>
  </si>
  <si>
    <t>Tiara Rachma Puspita</t>
  </si>
  <si>
    <t>Puja Amiliya</t>
  </si>
  <si>
    <t>Khaerul Tamir</t>
  </si>
  <si>
    <t>Latsa Alyautami</t>
  </si>
  <si>
    <t>https://drive.google.com/open?id=1v7i39sM4HmRQ9TF48oJ52a8YmotNhL_JjJK8ANwIxqk&amp;usp=drive_copy</t>
  </si>
  <si>
    <t>XXVII.B.1</t>
  </si>
  <si>
    <t>Nurul Hidayati Rofiah, M.Pd.I, Ph.D.</t>
  </si>
  <si>
    <t>Cuwelo Kidul, Candirejo, Semanu</t>
  </si>
  <si>
    <t>Fazul Istiqomah</t>
  </si>
  <si>
    <t>Linda Nur Rachmawati</t>
  </si>
  <si>
    <t>Bagus Riyono</t>
  </si>
  <si>
    <t>Hilda Isnaini</t>
  </si>
  <si>
    <t>Muhammad Iksan</t>
  </si>
  <si>
    <t>Shalma Ajeng Ambarwati</t>
  </si>
  <si>
    <t>Firda Nur Karima</t>
  </si>
  <si>
    <t>Muhammad Fahcrul Rizqy</t>
  </si>
  <si>
    <t>Ahyun Rofiah</t>
  </si>
  <si>
    <t>https://drive.google.com/open?id=1wAOwX8JShRYK_TrAzJtVGPmWa5FvO7On8DSPnC018XQ&amp;usp=drive_copy</t>
  </si>
  <si>
    <t>XXVII.B.2</t>
  </si>
  <si>
    <t>Pace, Candirejo, Semanu</t>
  </si>
  <si>
    <t>Cerly Fitria</t>
  </si>
  <si>
    <t>Rizka Atik Noor</t>
  </si>
  <si>
    <t>Setya Yuli Adi Nugroho</t>
  </si>
  <si>
    <t>Arini Putri Anwar</t>
  </si>
  <si>
    <t>Maulana Irfan Ghazy</t>
  </si>
  <si>
    <t>Vyska Try Purnanda</t>
  </si>
  <si>
    <t>Zahroh Rafika Sari</t>
  </si>
  <si>
    <t>Rendito Mahardyka Wijaya</t>
  </si>
  <si>
    <t>Windy Aprilia</t>
  </si>
  <si>
    <t>https://drive.google.com/open?id=1wC7-pCxOkogy929zyEPMm6J8Gv-WrGvooR1dcUKkg-U&amp;usp=drive_copy</t>
  </si>
  <si>
    <t>XXVII.B.3</t>
  </si>
  <si>
    <t>Kropak, Candirejo, Semanu</t>
  </si>
  <si>
    <t>Putri Sulistia Zulfasari</t>
  </si>
  <si>
    <t>Ami Melanie Fastilia Rizqi</t>
  </si>
  <si>
    <t>Bomo Wisnu Panuluh</t>
  </si>
  <si>
    <t>Berliana Andzini Perdana</t>
  </si>
  <si>
    <t>Finanda Dennis Ramadhan</t>
  </si>
  <si>
    <t>Susi Susanti</t>
  </si>
  <si>
    <t>Ika Suryani Purba</t>
  </si>
  <si>
    <t>Farid Al Farisi</t>
  </si>
  <si>
    <t>Ema Fidiatun Khasanah</t>
  </si>
  <si>
    <t>https://drive.google.com/open?id=1yKglbaiJ2AHEKXwNA8dXJzyIcE576a0Dn8I5b43TLik&amp;usp=drive_copy</t>
  </si>
  <si>
    <t>XXVII.C.1</t>
  </si>
  <si>
    <t>Azis Ikhsanudin, M.Sc., Apt.</t>
  </si>
  <si>
    <t>Mranggen, Candirejo, Semanu</t>
  </si>
  <si>
    <t>Selda Sari</t>
  </si>
  <si>
    <t>Hasma</t>
  </si>
  <si>
    <t>Purwadiantoro Kusuma Prayogo</t>
  </si>
  <si>
    <t>Aulia Novianti Eka Putri</t>
  </si>
  <si>
    <t>Harry Chrisna</t>
  </si>
  <si>
    <t>Santri</t>
  </si>
  <si>
    <t>Shafira Noor Amaliasari</t>
  </si>
  <si>
    <t>Yunan Chandra Witana</t>
  </si>
  <si>
    <t>Lesta Yahsa Giardi</t>
  </si>
  <si>
    <t>https://drive.google.com/open?id=1-wiyawIb7nuGz3R72e-F5f_5y2rnpSuziq4huDcp1LM&amp;usp=drive_copy</t>
  </si>
  <si>
    <t>XXVII.C.2</t>
  </si>
  <si>
    <t>Bulu, Candirejo, Semanu</t>
  </si>
  <si>
    <t>Normalita Fitriani</t>
  </si>
  <si>
    <t>Yuanisa</t>
  </si>
  <si>
    <t>Muhammad Faiq Abdillah</t>
  </si>
  <si>
    <t>Chairunnisya Nur Hanna</t>
  </si>
  <si>
    <t>Abdullah Fadli Yusuf</t>
  </si>
  <si>
    <t>Anisa Salsabila Kurniastuti</t>
  </si>
  <si>
    <t>Ummi Syafirah</t>
  </si>
  <si>
    <t>Fiqih Ardiansyah</t>
  </si>
  <si>
    <t>Erlina Terawati</t>
  </si>
  <si>
    <t>082129786045 / 0895413022777</t>
  </si>
  <si>
    <t>https://drive.google.com/open?id=15LwGcrE9V7r6eONxrF6shLmJZ32odris6qkdpZXNb8k&amp;usp=drive_copy</t>
  </si>
  <si>
    <t>XXVII.C.3</t>
  </si>
  <si>
    <t>Jati, Candirejo, Semanu</t>
  </si>
  <si>
    <t>Yulista Melati Anggraeni</t>
  </si>
  <si>
    <t>Silvia Nanda Saputri</t>
  </si>
  <si>
    <t>Febry Andi Saputra</t>
  </si>
  <si>
    <t>Farahdian Rasidtha Najli</t>
  </si>
  <si>
    <t>Kiki Deswanto</t>
  </si>
  <si>
    <t>Alfina Indah Meilani</t>
  </si>
  <si>
    <t>Isna Mar'atus Sholihah</t>
  </si>
  <si>
    <t>A. Hanief Alfadhil Sulaeman</t>
  </si>
  <si>
    <t>Tazkia Audina Rahma</t>
  </si>
  <si>
    <t>https://drive.google.com/open?id=17PMZXRQ_1B6Qqk7TdJ-LPPZxpEjiF7EJs8iczNpoijc&amp;usp=drive_copy</t>
  </si>
  <si>
    <t>XXVII.D.1</t>
  </si>
  <si>
    <t>Dr. Iin Inawati, S.Pd., M.Pd.</t>
  </si>
  <si>
    <t>Piyuyon, Pacarejo, Semanu</t>
  </si>
  <si>
    <t>Nabila Aghisna Al Sakhinah</t>
  </si>
  <si>
    <t>Ratika Dinda Eggeliana</t>
  </si>
  <si>
    <t>Yossi Ivone Tristi</t>
  </si>
  <si>
    <t>Bagus Setyo Wibowo</t>
  </si>
  <si>
    <t>Ilsa Nadya Adha</t>
  </si>
  <si>
    <t>Beni Purnomo</t>
  </si>
  <si>
    <t>Elmi Nada Angelin</t>
  </si>
  <si>
    <t>Vicky Fernando</t>
  </si>
  <si>
    <t>Tera Salsa Bila</t>
  </si>
  <si>
    <t>https://drive.google.com/open?id=19iOKPB14W0VGP-0ml8pziHOt6sYzXWaj7a4Zoum-tBI&amp;usp=drive_copy</t>
  </si>
  <si>
    <t>XXVII.D.2</t>
  </si>
  <si>
    <t>Pacing Lor, Pacarejo, Semanu</t>
  </si>
  <si>
    <t>Nabila May Aristyana</t>
  </si>
  <si>
    <t>Dina Nafira Atmarulina</t>
  </si>
  <si>
    <t>Awal Reza Fahlupi</t>
  </si>
  <si>
    <t>Liena Windyawati</t>
  </si>
  <si>
    <t>Muhammad Rizky Widhayat</t>
  </si>
  <si>
    <t>Rossiana Fatika Artha</t>
  </si>
  <si>
    <t>Vina Fadlila Sofyana</t>
  </si>
  <si>
    <t>Muhammad Al Rasyid Maulana Putra</t>
  </si>
  <si>
    <t>Milawati</t>
  </si>
  <si>
    <t>https://drive.google.com/open?id=1DCuZVQKauRTcA4dptxnDsgbbW76ZTGTU8xmjQO61cwI&amp;usp=drive_copy</t>
  </si>
  <si>
    <t>XXVII.D.3</t>
  </si>
  <si>
    <t>Pacing Kidul, Pacarejo, Semanu</t>
  </si>
  <si>
    <t>Bella Kierena Iranda</t>
  </si>
  <si>
    <t>Lolita Agnesilia Wati</t>
  </si>
  <si>
    <t>Yuski Al Asfat</t>
  </si>
  <si>
    <t>Agnes Diva Mardila</t>
  </si>
  <si>
    <t>Ruly Erwin Afandika</t>
  </si>
  <si>
    <t>Nada Chintia Pebrina</t>
  </si>
  <si>
    <t>Resti Aulia Ayu Wulandari</t>
  </si>
  <si>
    <t>Dimas Fajar Alfiansyah</t>
  </si>
  <si>
    <t>Aliftiya Oktinawati</t>
  </si>
  <si>
    <t>https://drive.google.com/open?id=1LrWvHuQX6DHow6YrL92yJDBgCwhl25PX9bpU07Pltj8&amp;usp=drive_copy</t>
  </si>
  <si>
    <t>XXVIII.A.1</t>
  </si>
  <si>
    <t>Suryana Hendrawan, S.E., M.B.A.</t>
  </si>
  <si>
    <t>Wilayu, Pacarejo, Semanu</t>
  </si>
  <si>
    <t>Annisa Nur Hidayati</t>
  </si>
  <si>
    <t>Safitri La Godjo</t>
  </si>
  <si>
    <t>Muhammad Maulidan</t>
  </si>
  <si>
    <t>Kharisma Nur Hayati</t>
  </si>
  <si>
    <t>Andika Firmansyah</t>
  </si>
  <si>
    <t>Adi Destriani</t>
  </si>
  <si>
    <t>Intan Kumala Dewi</t>
  </si>
  <si>
    <t>Andi Pratama</t>
  </si>
  <si>
    <t>aisyah Luthfi Hasanah</t>
  </si>
  <si>
    <t>0821 3520 9977</t>
  </si>
  <si>
    <t>https://drive.google.com/open?id=1512O-Mm7NdBhYen1YMEKrCEvruG_laGphSRrGhqy61k&amp;usp=drive_copy</t>
  </si>
  <si>
    <t>XXVIII.A.2</t>
  </si>
  <si>
    <t>Jasem Kidul, Pacarejo, Semanu</t>
  </si>
  <si>
    <t>Rena Andriani</t>
  </si>
  <si>
    <t>Yuliana Novita Sari</t>
  </si>
  <si>
    <t>Ndaru Krisna Mukti</t>
  </si>
  <si>
    <t>Farras Roihana</t>
  </si>
  <si>
    <t>Rahmat Rizkulloh Eka Taruna</t>
  </si>
  <si>
    <t>Dyta Adea</t>
  </si>
  <si>
    <t>Aninda Larasati</t>
  </si>
  <si>
    <t>Nurul Azmi</t>
  </si>
  <si>
    <t>Ria Nur Khasanah</t>
  </si>
  <si>
    <t>0853 33725967</t>
  </si>
  <si>
    <t>https://drive.google.com/open?id=1AoqLRMfbxDdlkLPp4-L-DGGIvP-y-_6RZ_9_ZGxvn1s&amp;usp=drive_copy</t>
  </si>
  <si>
    <t>XXVIII.A.3</t>
  </si>
  <si>
    <t>Trukan Ngampo, Pacarejo, Semanu</t>
  </si>
  <si>
    <t>Nurdiana Zaneti</t>
  </si>
  <si>
    <t>Fida Nur Azizah</t>
  </si>
  <si>
    <t>Aminudin Faisal Hidayat</t>
  </si>
  <si>
    <t>Nur Diah Rahmawati</t>
  </si>
  <si>
    <t>Aji Pamungkas</t>
  </si>
  <si>
    <t>Nuryani</t>
  </si>
  <si>
    <t>Anisa Viyata Suci Vidiyawati</t>
  </si>
  <si>
    <t>Muhammad Fauzi Abdullah</t>
  </si>
  <si>
    <t>Hesti</t>
  </si>
  <si>
    <t>https://drive.google.com/open?id=1B0_xXXaZ8ZSCeiKzIlt_mubbOv9uwjelHVYI2_025Os&amp;usp=drive_copy</t>
  </si>
  <si>
    <t>XXVIII.B.1</t>
  </si>
  <si>
    <t>Dwi Astuti, S.Pd.Si., M.Pd.</t>
  </si>
  <si>
    <t>Kenteng, Pacarejo, Semanu</t>
  </si>
  <si>
    <t>Safrina Nur Malitasari</t>
  </si>
  <si>
    <t>Nanda Trianisa Fiardi</t>
  </si>
  <si>
    <t>Ahmad Irfan Saputra</t>
  </si>
  <si>
    <t>Elsy Yolanda</t>
  </si>
  <si>
    <t>Adhitya Ilham Mukti Utomo</t>
  </si>
  <si>
    <t>Khusnul Nur Vaizi</t>
  </si>
  <si>
    <t>Nadila Ayuning Fidigri</t>
  </si>
  <si>
    <t>Muhammad Agung Sudibyo</t>
  </si>
  <si>
    <t>Alisha Deanna Hernawan</t>
  </si>
  <si>
    <t>https://drive.google.com/open?id=1FXY-UNoP9j2BPz7MCmhsJ1Jz7t9AOhN-j2OWoMZ-7Uk&amp;usp=drive_copy</t>
  </si>
  <si>
    <t>XXVIII.B.2</t>
  </si>
  <si>
    <t>Kepuh, Pacarejo, Semanu</t>
  </si>
  <si>
    <t>Hesti Nurhidayati</t>
  </si>
  <si>
    <t>Hanum Idlal Aribah</t>
  </si>
  <si>
    <t>Muhammad Reza Alkindi</t>
  </si>
  <si>
    <t>Niken Tiara Nita</t>
  </si>
  <si>
    <t>Faizlanna Sihan</t>
  </si>
  <si>
    <t>Vonny Novriellta</t>
  </si>
  <si>
    <t>Erytarina Sukmawanti</t>
  </si>
  <si>
    <t>Ali Akbar Hamka Al Jabri</t>
  </si>
  <si>
    <t>Eliza Rinda Nastiti</t>
  </si>
  <si>
    <t>https://drive.google.com/open?id=1HqzNGwGuqId77vArU1f5eOF-Z6oRpQuaNeof9YZidw8&amp;usp=drive_copy</t>
  </si>
  <si>
    <t>XXVIII.B.3</t>
  </si>
  <si>
    <t>Ngelak, Pacarejo, Semanu</t>
  </si>
  <si>
    <t>Lutfi Nindya Arum Isnanti</t>
  </si>
  <si>
    <t>Luthfi</t>
  </si>
  <si>
    <t>Ferian Okta Suprabana</t>
  </si>
  <si>
    <t>Az Zahra Safira Arsyaputri</t>
  </si>
  <si>
    <t>Alifi Kasita Nurraihan</t>
  </si>
  <si>
    <t>Prasasti Listiana Dewi</t>
  </si>
  <si>
    <t>Ghina Kamila Yasmin</t>
  </si>
  <si>
    <t>Halqi Mahfudz Mahmudi</t>
  </si>
  <si>
    <t>Yupy Citra Dewi</t>
  </si>
  <si>
    <t>088239885026/ 08988920590</t>
  </si>
  <si>
    <t>https://drive.google.com/open?id=1C8nqDXbJfAiIjuDjiMu5OkA0dHOJ_GCj6_z55jqJYyk&amp;usp=drive_copy</t>
  </si>
  <si>
    <t>XXVIII.C.1</t>
  </si>
  <si>
    <t>Jelok, Pacarejo, Semanu</t>
  </si>
  <si>
    <t>Sekar Ayu Arabella</t>
  </si>
  <si>
    <t>Arini Aristonemi</t>
  </si>
  <si>
    <t>Rizal Redita Putra</t>
  </si>
  <si>
    <t>Olivia Khoirunnisa Maulid</t>
  </si>
  <si>
    <t>M. Rizky Ardiansyah</t>
  </si>
  <si>
    <t>Yusfi Anni</t>
  </si>
  <si>
    <t>Hani Rosiana Julianti</t>
  </si>
  <si>
    <t>Musa Satria Kinasih</t>
  </si>
  <si>
    <t>Larasati</t>
  </si>
  <si>
    <t>https://drive.google.com/open?id=1Ku6IVJg6JSwAjBFTYmSAvpY8umlQSF_EevugWl3JX64&amp;usp=drive_copy</t>
  </si>
  <si>
    <t>XXVIII.C.2</t>
  </si>
  <si>
    <t>Jonge, Pacarejo, Semanu</t>
  </si>
  <si>
    <t>Firdha Andreyana Putri</t>
  </si>
  <si>
    <t>Ulya' Maghfiroh</t>
  </si>
  <si>
    <t>Niken Audriane Shahira</t>
  </si>
  <si>
    <t>Hanif Khairul Imam</t>
  </si>
  <si>
    <t>Sari Aminatul Muslimah</t>
  </si>
  <si>
    <t>Rifqi Sulthan Fadhila</t>
  </si>
  <si>
    <t>Melly Piranireki Umanis</t>
  </si>
  <si>
    <t>Anza Ramadhan Al-aulia</t>
  </si>
  <si>
    <t>Lutfiah Tul Fitri</t>
  </si>
  <si>
    <t>https://drive.google.com/open?id=1LqFLZW_eUurmtyfQLOzDSsHx14z9GnlepDz7V4O7uS8&amp;usp=drive_copy</t>
  </si>
  <si>
    <t>XXVIII.D.1</t>
  </si>
  <si>
    <t>Sunu Prasetya Adi, S.E.Sy., M.E.</t>
  </si>
  <si>
    <t>Jetis Kulon, Pacarejo, Semanu</t>
  </si>
  <si>
    <t>Alviana Rizka Azizah</t>
  </si>
  <si>
    <t>Riska Putri Meilinda</t>
  </si>
  <si>
    <t>Moh Fahrul</t>
  </si>
  <si>
    <t>Sintia Asmara</t>
  </si>
  <si>
    <t>Bagas Putra Anggara</t>
  </si>
  <si>
    <t>Bunga Dwi Agnez</t>
  </si>
  <si>
    <t>Muti Anggraeni</t>
  </si>
  <si>
    <t>Ahmad Amar Ridho</t>
  </si>
  <si>
    <t>Dyah Ayu Ika Wardhani</t>
  </si>
  <si>
    <t>https://drive.google.com/open?id=17Hq_5Fw1w9Vr5cydTPRPetk4gtdrKm7o5PNIqOGk8ks&amp;usp=drive_copy</t>
  </si>
  <si>
    <t>XXVIII.D.2</t>
  </si>
  <si>
    <t>Jetis Wetan, Pacarejo, Semanu</t>
  </si>
  <si>
    <t>DIAN ANITA</t>
  </si>
  <si>
    <t>Zulhanifah</t>
  </si>
  <si>
    <t>Ririn Putri Ardiyati</t>
  </si>
  <si>
    <t>Anggi Setyawan</t>
  </si>
  <si>
    <t>Ulfi Yandi Rizky</t>
  </si>
  <si>
    <t>Nabila Hayunisa Putri Hendratama</t>
  </si>
  <si>
    <t>Dea Rizqia Putri Salsabila</t>
  </si>
  <si>
    <t>Rizky Zia Ulhaq</t>
  </si>
  <si>
    <t>https://drive.google.com/open?id=1NxbUGqUHQ99sffyHI8XTxeIxOj9bdrNj1pszEIN-h4M&amp;usp=drive_copy</t>
  </si>
  <si>
    <t>Reguler Periode ke-102</t>
  </si>
  <si>
    <t>Titisari Juwitaningtyas, S.TP., M.Sc.</t>
  </si>
  <si>
    <t>Karang Tengah I, Karang Tengah, Wonosari</t>
  </si>
  <si>
    <t>NILAM PUTRI RAMADANNI</t>
  </si>
  <si>
    <t>Sahlan Docar Movera</t>
  </si>
  <si>
    <t>RANTY SHAKILA FAJRYATI</t>
  </si>
  <si>
    <t>AGUNG ADILMAN</t>
  </si>
  <si>
    <t>Maulana Ilham Syahputra</t>
  </si>
  <si>
    <t>Eva Vajarwati</t>
  </si>
  <si>
    <t>Nur Ifan Syah</t>
  </si>
  <si>
    <t>Indri Rahmawati</t>
  </si>
  <si>
    <t>Aji Apri Setiawan</t>
  </si>
  <si>
    <t>https://docs.google.com/spreadsheets/d/1BjyddFfxjN8ROUiwiMYWElu0fvqK_3TBhZOMHkgSzxg/edit?usp=share_link</t>
  </si>
  <si>
    <t>Duwet Rejo, Karang Tengah, Wonosari</t>
  </si>
  <si>
    <t>UMAR ADHI NUGROHO</t>
  </si>
  <si>
    <t>GUGUH MAKBUL RAHMADANI FITRA</t>
  </si>
  <si>
    <t>Widi Yuli Prihatiningsih</t>
  </si>
  <si>
    <t>Muchamad Manik Ridorahardjo</t>
  </si>
  <si>
    <t>Nuraisyah Binte Zainal</t>
  </si>
  <si>
    <t>Indah Tri Widiarini</t>
  </si>
  <si>
    <t>Dimas Ulinnuha Sadewo</t>
  </si>
  <si>
    <t>Nailul Fauziah</t>
  </si>
  <si>
    <t>Widagdo Eka Prasetio</t>
  </si>
  <si>
    <t>No HP: 077738868414 No WA: 081345420480</t>
  </si>
  <si>
    <t>https://drive.google.com/open?id=1BT3Cr_bOgCcUIpFKA8cfAA6l2-W-iDo-74bMGE3VfTI&amp;usp=drive_copy</t>
  </si>
  <si>
    <t>Kedung II, Karang Tengah, Wonosari</t>
  </si>
  <si>
    <t>Dendey Tero Seliger</t>
  </si>
  <si>
    <t>TANTO ANDRIANTO</t>
  </si>
  <si>
    <t>Ilham Ramadhan Oktavian</t>
  </si>
  <si>
    <t>Adilla Shafa Nafisa</t>
  </si>
  <si>
    <t>Azhar Mulya Alifina</t>
  </si>
  <si>
    <t>Ifti Rutaillah</t>
  </si>
  <si>
    <t>Nafadhila Ayu Afifah</t>
  </si>
  <si>
    <t>Yulizar Ragilda Putri</t>
  </si>
  <si>
    <t>Faisal Ari Wibowo</t>
  </si>
  <si>
    <t>https://drive.google.com/open?id=1EKKoijwi3vW4zyUrz7QL__fUmeTC4Sr48ZlKm7whbEs&amp;usp=drive_copy</t>
  </si>
  <si>
    <t>Dr. apt Nina Salamah, S.Si., M.Sc</t>
  </si>
  <si>
    <t>Wukirsari, Baleharjo, Wonosari</t>
  </si>
  <si>
    <t>UMMU AIMAN AMANAH MARIATUN SYA'ADAH</t>
  </si>
  <si>
    <t>Fajrul Mukarom</t>
  </si>
  <si>
    <t>Primanisa Betari</t>
  </si>
  <si>
    <t>Azizil Arya Rizki</t>
  </si>
  <si>
    <t>Hasan Syakirun Ni'am</t>
  </si>
  <si>
    <t>Lindha Kurniawati</t>
  </si>
  <si>
    <t>Yoga Handis Al Dani</t>
  </si>
  <si>
    <t>Fatimah Dzia'ul Fauziah</t>
  </si>
  <si>
    <t>Bagus Sudono Kumoroaji</t>
  </si>
  <si>
    <t>https://drive.google.com/open?id=1NBY0ZrUrZ0MdRN3p9Q17R9pb47g5c1fISG7knOlCmEE&amp;usp=drive_copy</t>
  </si>
  <si>
    <t>Purwosari, Baleharjo, Wonosari</t>
  </si>
  <si>
    <t>Arfan Madjid Almaghribi</t>
  </si>
  <si>
    <t>ACHMAD RIFQIL MACHZUM</t>
  </si>
  <si>
    <t>Novi Inayah Muswita</t>
  </si>
  <si>
    <t>Ari Susilo</t>
  </si>
  <si>
    <t>Devanda Rahma Adisgia</t>
  </si>
  <si>
    <t>Abdul Rahman Malueka</t>
  </si>
  <si>
    <t>Anugerah Mulya Paelongan</t>
  </si>
  <si>
    <t>Rerae Selsa Mahera</t>
  </si>
  <si>
    <t>Amatullah Tsurayya Adilah</t>
  </si>
  <si>
    <t>https://drive.google.com/open?id=1hQI2FxHX0goMdg176Rs4Cpm0kQynLiAuwnCuwoGSY9s&amp;usp=drive_copy</t>
  </si>
  <si>
    <t>Gedangsari, Baleharjo, Wonosari</t>
  </si>
  <si>
    <t>YARA FATRIZIA</t>
  </si>
  <si>
    <t>FARHAN ANGGORO NASHRUL ZAIN</t>
  </si>
  <si>
    <t>Farisa Nurul Pangesti</t>
  </si>
  <si>
    <t>Suci Rahmadini</t>
  </si>
  <si>
    <t>Irfan Nursalim</t>
  </si>
  <si>
    <t>Rizqi Adha Irawan</t>
  </si>
  <si>
    <t>Dwi Indah Purwanti</t>
  </si>
  <si>
    <t>Balqis Ivana Mahsa Zada</t>
  </si>
  <si>
    <t>Aldino Rizqi Hadi Sofwan</t>
  </si>
  <si>
    <t>https://drive.google.com/open?id=1lgnXlgMkjjvSwG3rWgPLOQf-vw9nTsUWYbLbN0aE23Y&amp;usp=drive_copy</t>
  </si>
  <si>
    <t>Amalya Nurul Khairi., S.TP., M.Sc.</t>
  </si>
  <si>
    <t>Singkar I, Wareng, Wonosari</t>
  </si>
  <si>
    <t>ZULFITRI MUHAMMAD AKBAR KAUCIL</t>
  </si>
  <si>
    <t>M. PUJI ARYA PUTRA</t>
  </si>
  <si>
    <t>IKE YURNI</t>
  </si>
  <si>
    <t>Annes Vilani Febrilika</t>
  </si>
  <si>
    <t>Lalu Khaidir Azwadi Manik</t>
  </si>
  <si>
    <t>Hera Amalia</t>
  </si>
  <si>
    <t>Fikri Muhamad Iqbal</t>
  </si>
  <si>
    <t>Sri Rezeki Togumarito Sinaga</t>
  </si>
  <si>
    <t>https://drive.google.com/open?id=1vbIpNLIrtsRBXqGoKiTY2MwTpkrvJpMfY-4jcOc-87Q&amp;usp=drive_copy</t>
  </si>
  <si>
    <t>Wareng I, Wareng, Wonosari</t>
  </si>
  <si>
    <t>Muhammad Said Ridho</t>
  </si>
  <si>
    <t>Gandis Aprilia Widiyani</t>
  </si>
  <si>
    <t>Rama Ilham Rachmawan</t>
  </si>
  <si>
    <t>Bustan Bagus Panuntun</t>
  </si>
  <si>
    <t>Ananda Majidah Sudiro</t>
  </si>
  <si>
    <t>Anzurullah Mardin Putra</t>
  </si>
  <si>
    <t>Khafifah Indah Rahayu</t>
  </si>
  <si>
    <t>Putri Rizky Amalia</t>
  </si>
  <si>
    <t>Ernasari</t>
  </si>
  <si>
    <t>https://drive.google.com/open?id=1yBs1KJvR8yku7URbo6W8Er7IUlsdgx9l5z5Z2FxLw_g&amp;usp=drive_copy</t>
  </si>
  <si>
    <t>Wareng III, Wareng, Wonosari</t>
  </si>
  <si>
    <t>INDRIYANI LESTARI</t>
  </si>
  <si>
    <t>Kharisma Ukhti Cahya Dyla</t>
  </si>
  <si>
    <t>Nandar Iskandar</t>
  </si>
  <si>
    <t>Muhammad Saddam Firmansyah</t>
  </si>
  <si>
    <t>Cindy Roliaty</t>
  </si>
  <si>
    <t>Fahri Rahmadi</t>
  </si>
  <si>
    <t>Erika Amalia Putri</t>
  </si>
  <si>
    <t>Adha Kurtubi Janah</t>
  </si>
  <si>
    <t>Rizqa Putri Aldina</t>
  </si>
  <si>
    <t>https://drive.google.com/open?id=1yhh5SIiKlDKerXM1zWFx3u6bfsWibIKjK8yjZy5wBwI&amp;usp=drive_copy</t>
  </si>
  <si>
    <t>Reguler Periode ke-103</t>
  </si>
  <si>
    <t>Dr. Surahma Asti Mulasari, S.Si, M.Kes.</t>
  </si>
  <si>
    <t>Tengklik, Tegalrejo, Gedangsari</t>
  </si>
  <si>
    <t>Jalu Yudha Anggoro</t>
  </si>
  <si>
    <t>Nisrina Nuraeni</t>
  </si>
  <si>
    <t>Dwi Yuliyanti</t>
  </si>
  <si>
    <t>Nurul Aulia Ardhani</t>
  </si>
  <si>
    <t>Ilham Rahmadan</t>
  </si>
  <si>
    <t>Annisa Aulia Rifkiana Ma'rufa</t>
  </si>
  <si>
    <t>Islam Pandu Utomo</t>
  </si>
  <si>
    <t>Siti Rahma Hardianti</t>
  </si>
  <si>
    <t>Andi Ainun Fitriah</t>
  </si>
  <si>
    <t>https://drive.google.com/open?id=1hdCeSha3PO3CZXUT5xSz1jdSDWQ3dPF5K74W5fUu0tA&amp;usp=drive_copy</t>
  </si>
  <si>
    <t>Candi, Tegalrejo, Gedangsari</t>
  </si>
  <si>
    <t>ZULFANURRAHMAN NUGRAHARDI</t>
  </si>
  <si>
    <t>Tri Nikmatur Rohmah</t>
  </si>
  <si>
    <t>Alika Fiodora</t>
  </si>
  <si>
    <t>Dwi Cahya Pertiwi</t>
  </si>
  <si>
    <t>Erky Fajar Zulfikar</t>
  </si>
  <si>
    <t>M. Chairul Ashari Akhmad</t>
  </si>
  <si>
    <t>Nafi'atun Nihayah</t>
  </si>
  <si>
    <t>Tiara Pramesti Oktaviana</t>
  </si>
  <si>
    <t>Salsabila Nurvinin Putridanna</t>
  </si>
  <si>
    <t>https://drive.google.com/open?id=10G9V0VEZprBs9Zf5LMvm7Gxcax3NI9VT_i5PbXq34wU&amp;usp=drive_copy</t>
  </si>
  <si>
    <t>Prengguk, Tegalrejo, Gedangsari</t>
  </si>
  <si>
    <t>RAIHAN AZHAR IBRAHIM</t>
  </si>
  <si>
    <t>DHITA APRILLIA</t>
  </si>
  <si>
    <t>Faradiza Salsabila</t>
  </si>
  <si>
    <t>Sekar Ganda Ning Tyas Arum</t>
  </si>
  <si>
    <t>Ramdhani Sujatmiko</t>
  </si>
  <si>
    <t>Rafi'ul Akmal Athaillah</t>
  </si>
  <si>
    <t>Ewika Chairany</t>
  </si>
  <si>
    <t>Calem</t>
  </si>
  <si>
    <t>Mariya Ulfa Damayanti</t>
  </si>
  <si>
    <t>https://drive.google.com/open?id=18wpsudP0sN6jREFfFPZ0UvvA4jm37aLeSzFUM9KcRMo&amp;usp=drive_copy</t>
  </si>
  <si>
    <t>Sulistyawati., S.Si., M.PH.,Ph.D</t>
  </si>
  <si>
    <t>Tegalrejo, Tegalrejo, Gedangsari</t>
  </si>
  <si>
    <t>TAUFIK SANDOYO</t>
  </si>
  <si>
    <t>Griselda Anindya</t>
  </si>
  <si>
    <t>Mila Ismiati Wulandari Pratama</t>
  </si>
  <si>
    <t>Cucu Cahyani</t>
  </si>
  <si>
    <t>Adam Bachtiar Damarjati Santoso</t>
  </si>
  <si>
    <t>Itsna Hilya Tasnim</t>
  </si>
  <si>
    <t>Muhammad Fauzan Islami</t>
  </si>
  <si>
    <t>Riski Bayu Lintang</t>
  </si>
  <si>
    <t>Tri Aulia Aflah</t>
  </si>
  <si>
    <t>https://drive.google.com/open?id=19vVI5odV63jHeaePT5HXI1chuVaH2t1gY7FP0jymLw4&amp;usp=drive_copy</t>
  </si>
  <si>
    <t>Tanjung, Tegalrejo, Gedangsari</t>
  </si>
  <si>
    <t>Azkia Fitrianis Mulyawati</t>
  </si>
  <si>
    <t>Muhammad Romadhon Panji Satrio</t>
  </si>
  <si>
    <t>Dita Windiantari Putri</t>
  </si>
  <si>
    <t>Wahyu Hana Saputra</t>
  </si>
  <si>
    <t>Abril Tafa'ul Lana</t>
  </si>
  <si>
    <t>Jihan Nabila</t>
  </si>
  <si>
    <t>Muhammad Annas Budiarto</t>
  </si>
  <si>
    <t>Chairunisa Nindy Aqila</t>
  </si>
  <si>
    <t>Naswa Karima Zahra</t>
  </si>
  <si>
    <t>https://drive.google.com/open?id=1P-SnFiPbUmTrneBVUziQqOrKU8u-uvlp-9-M5KtblnY&amp;usp=drive_copy</t>
  </si>
  <si>
    <t>Trembono, Tegalrejo, Gedangsari</t>
  </si>
  <si>
    <t>HAFIZH RADITYO KUSUMO</t>
  </si>
  <si>
    <t>Arif Muhammad Akbar</t>
  </si>
  <si>
    <t>Anadia Az Zahra</t>
  </si>
  <si>
    <t>Mufliha Salsabila</t>
  </si>
  <si>
    <t>Indo Ahya Maulana</t>
  </si>
  <si>
    <t>Denna Rianda Toni</t>
  </si>
  <si>
    <t>Rahayu Budiati</t>
  </si>
  <si>
    <t>Salsabila Thifani Imtinansuni</t>
  </si>
  <si>
    <t>Carissa Ardiningrum</t>
  </si>
  <si>
    <t>https://drive.google.com/open?id=1P_Uq8atya55FYnsbDHIdfixgL_JvDhgnKD9mHAzvdNE&amp;usp=drive_copy</t>
  </si>
  <si>
    <t>Dr. Bambang Sudarsono M.Pd.</t>
  </si>
  <si>
    <t>Gupit, Tegalrejo, Gedangsari</t>
  </si>
  <si>
    <t>Nabila Fikriya Dheani</t>
  </si>
  <si>
    <t>Febriana Newin Amandasari</t>
  </si>
  <si>
    <t>Muhammad Khairul Shafardi</t>
  </si>
  <si>
    <t>Silvia Nurul Hidayah</t>
  </si>
  <si>
    <t>Bagus Dewa Barunata</t>
  </si>
  <si>
    <t>Fajar Setiawan</t>
  </si>
  <si>
    <t>Wida Awangsih</t>
  </si>
  <si>
    <t>Widya Larasati</t>
  </si>
  <si>
    <t>Resmianti Daulay</t>
  </si>
  <si>
    <t>https://drive.google.com/open?id=1Quri5opIk3oNuE0qMxg-enBuT2fPJBEJoQHZThQaVGQ&amp;usp=drive_copy</t>
  </si>
  <si>
    <t>Ketelo, Tegalrejo, Gedangsari</t>
  </si>
  <si>
    <t>Sofan Nur Fitri</t>
  </si>
  <si>
    <t>Tazkiya Hanif Rahma</t>
  </si>
  <si>
    <t>Rizka Amelia Putri</t>
  </si>
  <si>
    <t>Faris Eka Farosi</t>
  </si>
  <si>
    <t>Fajriansyah Putra</t>
  </si>
  <si>
    <t>Eko Suwanto</t>
  </si>
  <si>
    <t>Adelya Asti Laksita</t>
  </si>
  <si>
    <t>Choirunisa Adilia Suryani</t>
  </si>
  <si>
    <t>Anis Rosyani</t>
  </si>
  <si>
    <t>https://drive.google.com/open?id=1ZxFfWGdhDcRY8GbsOm_dVlKVChEi0cduqg1zesDWfpY&amp;usp=drive_copy</t>
  </si>
  <si>
    <t>Cremo, Tegalrejo, Gedangsari</t>
  </si>
  <si>
    <t>Silfi Pratiwi</t>
  </si>
  <si>
    <t>Amalia Zhariya Macrufi</t>
  </si>
  <si>
    <t>Tata Arjuna Darmadeta</t>
  </si>
  <si>
    <t>Nadia Putri Ainiyah</t>
  </si>
  <si>
    <t>Dian Kurniawan</t>
  </si>
  <si>
    <t>Khusnul Rossidah</t>
  </si>
  <si>
    <t>Lusiana Indriawati</t>
  </si>
  <si>
    <t>Indah Sinawang Cahyani</t>
  </si>
  <si>
    <t>Abdurrohim</t>
  </si>
  <si>
    <t>https://drive.google.com/open?id=1aD6_JGEkVhdmoMpdF2lFkFtTC-iSiRta5fudcOvvcc4&amp;usp=drive_copy</t>
  </si>
  <si>
    <t>Fanani Arief Ghozali S.Pd., M.Pd.</t>
  </si>
  <si>
    <t>Ngipik, Tegalrejo, Gedangsari</t>
  </si>
  <si>
    <t>Fika Pita Loka</t>
  </si>
  <si>
    <t>Kartika Dewi Yulianti</t>
  </si>
  <si>
    <t>Feni Ferliani</t>
  </si>
  <si>
    <t>M. Bintang Arif Billah</t>
  </si>
  <si>
    <t>Wahyu Grajang</t>
  </si>
  <si>
    <t>Syamsa Nadzila Salsabila</t>
  </si>
  <si>
    <t>Riska Widiastuti</t>
  </si>
  <si>
    <t>Abidzar</t>
  </si>
  <si>
    <t>Alya Nur Laily</t>
  </si>
  <si>
    <t>0852-3714-2528</t>
  </si>
  <si>
    <t>https://drive.google.com/open?id=1hOkzqveopZKmXwhuw5dIbaF0tXxatRAlQ7MbuFCOcf8&amp;usp=drive_copy</t>
  </si>
  <si>
    <t>Hargosari, Tegalrejo, Gedangsari</t>
  </si>
  <si>
    <t>Ilmiyah Nurul Istiqomah</t>
  </si>
  <si>
    <t>Ghaitsa Hanun</t>
  </si>
  <si>
    <t>Lavania Arum Budiarti</t>
  </si>
  <si>
    <t>Fabian Mahendra Sakti</t>
  </si>
  <si>
    <t>Reno Setiaji</t>
  </si>
  <si>
    <t>Inayah Wahyuningrum</t>
  </si>
  <si>
    <t>Meta Sari</t>
  </si>
  <si>
    <t>Yasa Cahyo Wibisono</t>
  </si>
  <si>
    <t>Salsabila Indah Suci</t>
  </si>
  <si>
    <t>https://drive.google.com/open?id=1pAkRuvbyP7S49qfQYEnl6qBu_nFSTfzQ_s18PxCYCkI&amp;usp=drive_copy</t>
  </si>
  <si>
    <t>Reguler Periode ke-104</t>
  </si>
  <si>
    <t>Jefree Fahana., S.T., M.Kom.</t>
  </si>
  <si>
    <t>Sorobali, Karampi, Langgudu</t>
  </si>
  <si>
    <t>Bima</t>
  </si>
  <si>
    <t>Sabita Putri Dwi Ardyanti</t>
  </si>
  <si>
    <t>Eka Sri Marfu'ah</t>
  </si>
  <si>
    <t>Ahmad Rifai Sanuhung</t>
  </si>
  <si>
    <t>Fiina Ilhami Salsabila</t>
  </si>
  <si>
    <t>Anisa Nuraida Rahmah</t>
  </si>
  <si>
    <t>Ananda Riski Hakim</t>
  </si>
  <si>
    <t>https://drive.google.com/open?id=1AmKlJCKlDYJv3JiCFuqGgTQzhBtrQMnBYY964lmsTYw&amp;usp=drive_copy</t>
  </si>
  <si>
    <t>Oi Temba, Karampi, Langgudu</t>
  </si>
  <si>
    <t>Hurin Nabila</t>
  </si>
  <si>
    <t>Taffana Ainayya Chandany Sangadji</t>
  </si>
  <si>
    <t>Annisa Awalia Rahma Mh. Sibadu</t>
  </si>
  <si>
    <t>Rosta Hanifa Salsabila</t>
  </si>
  <si>
    <t>Maksuna Aji Saputro</t>
  </si>
  <si>
    <t>Putri Amanah Sulaeman</t>
  </si>
  <si>
    <t>Dian Sidik Kurniawan</t>
  </si>
  <si>
    <t>https://drive.google.com/open?id=1DF6pTjy58c2gOtQ92YudUQxeF-1wog3DOU0cC6z8WDA&amp;usp=drive_copy</t>
  </si>
  <si>
    <t>Mamba Na'e, Karampi, Langgudu</t>
  </si>
  <si>
    <t>Lailina Lutfiyah Ningrum</t>
  </si>
  <si>
    <t>Irfan Maulana</t>
  </si>
  <si>
    <t>Nada Auliya Rahman</t>
  </si>
  <si>
    <t>Nurhidayahtullaily F</t>
  </si>
  <si>
    <t>Nabila Mayalibit</t>
  </si>
  <si>
    <t>Tiara Dyah Murdaningrum</t>
  </si>
  <si>
    <t>https://drive.google.com/open?id=1ZKXxF_pUhiTP5zSE49s57MZjvJnEa6fNLXUny7a3gLg&amp;usp=drive_copy</t>
  </si>
  <si>
    <t>I.A.4</t>
  </si>
  <si>
    <t>Nanga Ni'u, Karampi, Langgudu</t>
  </si>
  <si>
    <t>Rahma Khoerunnisa Innayatullah</t>
  </si>
  <si>
    <t>Tri Aprilia</t>
  </si>
  <si>
    <t>Alim Akbar Anwar</t>
  </si>
  <si>
    <t>St. Rahmawati</t>
  </si>
  <si>
    <t>Nadya Erchan</t>
  </si>
  <si>
    <t>Sinta Nur Istiqomah</t>
  </si>
  <si>
    <t>Mohammad Haidar Albana</t>
  </si>
  <si>
    <t>https://drive.google.com/open?id=1qDjLQ2-zmIKipmsLWvCvt2a-M6hKKOyBZzsFPfmRvJM&amp;usp=drive_copy</t>
  </si>
  <si>
    <t>Reguler Periode ke-105</t>
  </si>
  <si>
    <t>Muh Saeful Effendi, M.Pd.B.I</t>
  </si>
  <si>
    <t>Songserm Sasana Vittaya School, Hatyai Songkhla, Thailand</t>
  </si>
  <si>
    <t>Songkhla</t>
  </si>
  <si>
    <t>Rafa Nafisah</t>
  </si>
  <si>
    <t>Inkana Uswah Azizah</t>
  </si>
  <si>
    <t>Ghina Azmi Faaiqoh</t>
  </si>
  <si>
    <t>Mahdaniatul Khusna</t>
  </si>
  <si>
    <t>Raindras Dilla Arsa</t>
  </si>
  <si>
    <t>https://drive.google.com/open?id=1OKYNgBw1sRj1poxBM34onfhiZ9PZQdw3aYlmjHg2wx4&amp;usp=drive_copy</t>
  </si>
  <si>
    <t>Sangkhom Islam Wittaya School, Sadao Songkhla, Thailand</t>
  </si>
  <si>
    <t>Hassika Laila</t>
  </si>
  <si>
    <t>Ibnu Adhitia Pratama</t>
  </si>
  <si>
    <t>Darmayanti Husen</t>
  </si>
  <si>
    <t>Galih Prastyo Nugroho</t>
  </si>
  <si>
    <t>Mochammad Adhis Raihan</t>
  </si>
  <si>
    <t>https://drive.google.com/open?id=15NnHwZNtdLvNa8kYHxaRq_aLhBMi5k1IUcV6fQmrbuw&amp;usp=drive_copy</t>
  </si>
  <si>
    <t>Kalamullah School, Pattani, Thailand</t>
  </si>
  <si>
    <t>Pattani</t>
  </si>
  <si>
    <t>Imam Khairil Akbar</t>
  </si>
  <si>
    <t>Dita Laudza</t>
  </si>
  <si>
    <t>Rizky Widyansyah Putra</t>
  </si>
  <si>
    <t>Bambang Syachirul Alim</t>
  </si>
  <si>
    <t>Belia Ananda Putri</t>
  </si>
  <si>
    <t>M. Hibzah Dasa Okka</t>
  </si>
  <si>
    <t>https://drive.google.com/open?id=1O5OIIO6A9Wl9qW8TUh5VgOVniNYpTvt3KJVJjPaO3IQ&amp;usp=drive_copy</t>
  </si>
  <si>
    <t>Reguler Periode ke-106</t>
  </si>
  <si>
    <t xml:space="preserve">Beni Suhendra Winarso S.E., M.Si. </t>
  </si>
  <si>
    <t>Malaysia</t>
  </si>
  <si>
    <t>CYNTIA DEWI</t>
  </si>
  <si>
    <t>Nurmelinia</t>
  </si>
  <si>
    <t>Anadian Rowdhatul Asyfa</t>
  </si>
  <si>
    <t>Nora Pita</t>
  </si>
  <si>
    <t>Maya Sofiya Intantri</t>
  </si>
  <si>
    <t>Salsabila Ariqoh Nisa Wibowo</t>
  </si>
  <si>
    <t>Dzaky Makarim</t>
  </si>
  <si>
    <t>Ri'ayatun Khasanah</t>
  </si>
  <si>
    <t>Iqbal Wahyu Tambusai</t>
  </si>
  <si>
    <t>Maulidya Eka Wahyudi</t>
  </si>
  <si>
    <t>Imam Suhardi</t>
  </si>
  <si>
    <t>0811-3408-114</t>
  </si>
  <si>
    <t>https://drive.google.com/open?id=1BKGz4VszRCofibN7fzSW16onHwd1FiEw8lKzXcKUvBU&amp;usp=drive_copy</t>
  </si>
  <si>
    <t>Alternatif Periode ke-86</t>
  </si>
  <si>
    <t>Masjid Al Muhtadin (Karangbendo Tengah), Karangbendo, Banguntapan</t>
  </si>
  <si>
    <t>MARSHALL ADRIAN HABIB</t>
  </si>
  <si>
    <t>BRILIAN ANUGRA</t>
  </si>
  <si>
    <t>TESYA PRATIWI</t>
  </si>
  <si>
    <t>CHINDY HAYATUN NUFUS SUNARDI</t>
  </si>
  <si>
    <t>FERA HAYANI HARAHAP</t>
  </si>
  <si>
    <t>Johan Bukhori</t>
  </si>
  <si>
    <t>FARIS ARDINSYAH</t>
  </si>
  <si>
    <t>Daren Zidni Zinedine</t>
  </si>
  <si>
    <t>Nur Rahma Soraya A.kure</t>
  </si>
  <si>
    <t>https://drive.google.com/open?id=1lQjB1bQpz-cknjSjwGGmxeegqSwBmLEZjef75RZP5H0&amp;usp=drive_copy</t>
  </si>
  <si>
    <t>Masjid Al Mukhlisun (Jomlang), Karangbendo, Banguntapan</t>
  </si>
  <si>
    <t>MUHAMMAD RAHMON SAPUTRA</t>
  </si>
  <si>
    <t>NUR AFIFA SALMA</t>
  </si>
  <si>
    <t>LILY ADITIA RENATA</t>
  </si>
  <si>
    <t>Tanti Solihat</t>
  </si>
  <si>
    <t>Ifnani Ulil Huda</t>
  </si>
  <si>
    <t>Reny Azhari</t>
  </si>
  <si>
    <t>Arifin Putratama Rahmawan</t>
  </si>
  <si>
    <t>Dewi Intan Permatasari</t>
  </si>
  <si>
    <t>Prayoga Hidayatullah</t>
  </si>
  <si>
    <t>0895640309053 (WA)</t>
  </si>
  <si>
    <t>https://drive.google.com/open?id=1EB30-NWraVTcttYufI_3EUjC2_XjBUnFx8Ycb248MlE&amp;usp=drive_copy</t>
  </si>
  <si>
    <t>Masjid Ar Rahman, Karangjambe, Banguntapan</t>
  </si>
  <si>
    <t>ILHAM BIMA BESTIAN</t>
  </si>
  <si>
    <t>SITI BARKAH PELLU</t>
  </si>
  <si>
    <t>DIMI SEKAR WIGATI</t>
  </si>
  <si>
    <t>Muhammad Arif Fatoni</t>
  </si>
  <si>
    <t>MILENIA PUTRI DARUNINGGAR</t>
  </si>
  <si>
    <t>ABI RAHMADANI</t>
  </si>
  <si>
    <t>Kartika Sekar Kinasih</t>
  </si>
  <si>
    <t>Afif Khoerul Basyar</t>
  </si>
  <si>
    <t>Irfan Burhanudin</t>
  </si>
  <si>
    <t>https://drive.google.com/open?id=1SvgwqPMmFRn7bd9BUNr0R5HUmumpGdQHHWFRch-vBN0&amp;usp=drive_copy</t>
  </si>
  <si>
    <t>Rokhmayanti, S.K.M., M.P.H</t>
  </si>
  <si>
    <t>Masjid Annur Modalan, Modalan, Banguntapan</t>
  </si>
  <si>
    <t>Untung Rahmat Ardianto</t>
  </si>
  <si>
    <t>ISNAINI ARIF NUGROHO</t>
  </si>
  <si>
    <t>Denta Karisma Sadewa</t>
  </si>
  <si>
    <t>Maulidya Kariska U Marasabessy</t>
  </si>
  <si>
    <t>EKO CANDRA PURNOMO</t>
  </si>
  <si>
    <t>Nurul Fajriani</t>
  </si>
  <si>
    <t>Faiz Angga Estiningtyas</t>
  </si>
  <si>
    <t>Arinda Puspita</t>
  </si>
  <si>
    <t>Muhammad Bintang Dewantara</t>
  </si>
  <si>
    <t>https://drive.google.com/open?id=1jhjuq4k1Sat4zS4c9e0ZJ0n-mHfTg_q_M33uzaEHqPQ&amp;usp=drive_copy</t>
  </si>
  <si>
    <t>Masjid Ar-rohmah Jogoragan, Modalan, Banguntapan</t>
  </si>
  <si>
    <t>IRMA SITA ADELYA</t>
  </si>
  <si>
    <t>WAHYU AMIN MAHMUD</t>
  </si>
  <si>
    <t>ALPARABI</t>
  </si>
  <si>
    <t>Chandra Dewa Kurniawan</t>
  </si>
  <si>
    <t>Ahmad Nur Hafids</t>
  </si>
  <si>
    <t>Nisa Fajriyanti Wisasmita Tuarita</t>
  </si>
  <si>
    <t>Alifah Nurva Indah</t>
  </si>
  <si>
    <t>Aceng Ahmad Fahrudin</t>
  </si>
  <si>
    <t>https://drive.google.com/open?id=1sE7EY91rg-Qo4QCzZdiSZxPdIAcvdZwllQsfa9An0Ak&amp;usp=drive_copy</t>
  </si>
  <si>
    <t>Masjid Nur Rohman, Pringgolayan, Banguntapan</t>
  </si>
  <si>
    <t>MAFTAHLI FADLI RAHMAD SYAH</t>
  </si>
  <si>
    <t>ANNUR FITRIANSYAH</t>
  </si>
  <si>
    <t>ADI RAHMANDANU</t>
  </si>
  <si>
    <t>FAHMI AHYANI</t>
  </si>
  <si>
    <t>RIAS RASYID</t>
  </si>
  <si>
    <t>SHINTA DEVIA</t>
  </si>
  <si>
    <t>Sukma Latifah</t>
  </si>
  <si>
    <t>Adinda Rahma Guswinaz</t>
  </si>
  <si>
    <t>https://drive.google.com/open?id=1textdPLKRNVtJANbhHPgxAt4NsrEeA1Z1tf6lyoCQeg&amp;usp=drive_copy</t>
  </si>
  <si>
    <t>Masjid Al Falaah, Karangjambe, Banguntapan</t>
  </si>
  <si>
    <t>SITI KHOLBIAH</t>
  </si>
  <si>
    <t>ADITYA BUDI PRASETYO</t>
  </si>
  <si>
    <t>Herda Norlesiana</t>
  </si>
  <si>
    <t>Angga Chairul Mahpud</t>
  </si>
  <si>
    <t>Fathan Abdulhalim</t>
  </si>
  <si>
    <t>Anggito Setiawan Ardiansyah</t>
  </si>
  <si>
    <t>Rizka Arum Pratiwi</t>
  </si>
  <si>
    <t>Luthfi Khulla Miqqotul Mala</t>
  </si>
  <si>
    <t>https://drive.google.com/open?id=1xbPBtISoPN6_NSY-RV0ySEF8bvHNKqTyK9jJjp6XIq4&amp;usp=drive_copy</t>
  </si>
  <si>
    <t>Masjid Al Muhtadin , Plumbon, Banguntapan</t>
  </si>
  <si>
    <t>Namira Prasetya Rizky Ramadhani</t>
  </si>
  <si>
    <t>Dewati Ardelia</t>
  </si>
  <si>
    <t>Moh Imam Masudi Kalim</t>
  </si>
  <si>
    <t>Yoga Rio Namas Saputra</t>
  </si>
  <si>
    <t>Muhammad Nazhifuddin Fikri</t>
  </si>
  <si>
    <t>Humaira Annisa Salsabilla</t>
  </si>
  <si>
    <t>M. Fatwa Alim Murahman</t>
  </si>
  <si>
    <t>Tri Cahyo Laksono</t>
  </si>
  <si>
    <t>Arista Ayu Sudrajat</t>
  </si>
  <si>
    <t>https://drive.google.com/open?id=12QyFqHTRjIZOnrLXNr9NmaSp8rnvYFKsPPRe_6Enczs&amp;usp=drive_copy</t>
  </si>
  <si>
    <t>Masjid Al Falah (Tegalkopen), Wonocatur, Banguntapan</t>
  </si>
  <si>
    <t>MUHAMMAD FIRDAUS FAHRULLAH</t>
  </si>
  <si>
    <t>MADIHA</t>
  </si>
  <si>
    <t>Bayu Putra Pamungkas</t>
  </si>
  <si>
    <t>Dien Cahya Puspita Sari</t>
  </si>
  <si>
    <t>MOCHAMAD ZULKIFLI ISKANDAR</t>
  </si>
  <si>
    <t>SIDIK YULIANTO</t>
  </si>
  <si>
    <t>Karina Melga Yustitia</t>
  </si>
  <si>
    <t>Tengku Asraa Fariza</t>
  </si>
  <si>
    <t>Rahmadia Nurafifah</t>
  </si>
  <si>
    <t>https://drive.google.com/open?id=1ApGxdJkropQH9b8abbEd0uNMhS1VXb_hUEjifOTPkIA&amp;usp=drive_copy</t>
  </si>
  <si>
    <t>Suci Musvita Ayu, M.P.H</t>
  </si>
  <si>
    <t>Masjid Al-Ittihad, Tegaltandan, Banguntapan</t>
  </si>
  <si>
    <t>FELA SEPTIAN</t>
  </si>
  <si>
    <t>AFNAN SA'UD  HANIFUDDIN</t>
  </si>
  <si>
    <t>Yuni Ferianto</t>
  </si>
  <si>
    <t>Arma Zaimaji</t>
  </si>
  <si>
    <t>FIQRI HASAN MUBAROK</t>
  </si>
  <si>
    <t>Putri Retno Pandini</t>
  </si>
  <si>
    <t>Anma Aqila</t>
  </si>
  <si>
    <t>Dede Santika</t>
  </si>
  <si>
    <t>Rizkon Nada</t>
  </si>
  <si>
    <t>https://drive.google.com/open?id=1F2PMExuSAdbpUTObtEtPgjRIZ5ZpbRG3gZrgcYiHtEU&amp;usp=drive_copy</t>
  </si>
  <si>
    <t>Masjid Al Manar, Tegaltandan, Banguntapan</t>
  </si>
  <si>
    <t>Galuh Pramestyaningrum</t>
  </si>
  <si>
    <t>Venti Nur Isnayni</t>
  </si>
  <si>
    <t>Khairul Ihsan</t>
  </si>
  <si>
    <t>Mochammad Faruq Husein</t>
  </si>
  <si>
    <t>Rais Cahya Subagya</t>
  </si>
  <si>
    <t>Ahmad Safar Wijayanto</t>
  </si>
  <si>
    <t>Sarniti Oktaviani Pertiwi</t>
  </si>
  <si>
    <t>Farid Nurfauzan</t>
  </si>
  <si>
    <t>Inda Lestari</t>
  </si>
  <si>
    <t>https://drive.google.com/open?id=1R0L5ciJv2yeK-jlb1a8GLazpOmD8SB8z61Uw26B4EO0&amp;usp=drive_copy</t>
  </si>
  <si>
    <t>Masjid Al-Hasanah, Pringgolayan, Banguntapan</t>
  </si>
  <si>
    <t>UMY MUSTAGFIROH</t>
  </si>
  <si>
    <t>IBNU PRABOWO</t>
  </si>
  <si>
    <t>DONI AZHARI</t>
  </si>
  <si>
    <t>ATINA MUSTAFIDA</t>
  </si>
  <si>
    <t>Safira Adni</t>
  </si>
  <si>
    <t>Adiffa Firki Diansyah</t>
  </si>
  <si>
    <t>Sri Astuti Wahyuningsih</t>
  </si>
  <si>
    <t>Muhammad Roihan Afif Erdin</t>
  </si>
  <si>
    <t>Akhmad Baharudin</t>
  </si>
  <si>
    <t>https://drive.google.com/open?id=1Tq9Xj7Em9_lW_2lpW-OoRc_MCq1ABdu3T2I984PjUnU&amp;usp=drive_copy</t>
  </si>
  <si>
    <t>Masjid Annur tegalsari, Jomblangan, Banguntapan</t>
  </si>
  <si>
    <t>DODI RIANSYAH</t>
  </si>
  <si>
    <t>APRISAL ZIKRI ANANDA</t>
  </si>
  <si>
    <t>AURIL DAMAIWANTI</t>
  </si>
  <si>
    <t>Melani Tri Mercyatun</t>
  </si>
  <si>
    <t>CANDRA CHOIRRUDIN</t>
  </si>
  <si>
    <t>Rahajeng Tiara Wijaya</t>
  </si>
  <si>
    <t>Risky Lutvi Faturohman</t>
  </si>
  <si>
    <t>Arief Rachman Mustafa</t>
  </si>
  <si>
    <t>Dhiya Shafarani Fauz</t>
  </si>
  <si>
    <t>https://drive.google.com/open?id=1YuEcudYycIAEz6Kj5tfliBJzbEOJLch9G62k9JrIOh0&amp;usp=drive_copy</t>
  </si>
  <si>
    <t>Masjid Sunan Kalijaga (RT 03), Jomblangan, Banguntapan</t>
  </si>
  <si>
    <t>ARIEF SAJIDINTARA</t>
  </si>
  <si>
    <t>ANDIKA CAHYO WIRA WIBOWO</t>
  </si>
  <si>
    <t>LATIFAH NANDA AMELIA</t>
  </si>
  <si>
    <t>Toni Aditya</t>
  </si>
  <si>
    <t>Diandari</t>
  </si>
  <si>
    <t>Miftah Dzul Alfan Syafa</t>
  </si>
  <si>
    <t>Muhammad Abul Khair An Nabhan</t>
  </si>
  <si>
    <t>Rofiqoh Salsabila Zein</t>
  </si>
  <si>
    <t>https://drive.google.com/open?id=1_NdIlA4_n_OgVCgBdztvn3Euv3Z8u8jQ61ocPZMYtkI&amp;usp=drive_copy</t>
  </si>
  <si>
    <t>Masjid Ad Darajat (Patok Negara), Plumbon, Banguntapan</t>
  </si>
  <si>
    <t>AHMAD ARIEF NUGROHO</t>
  </si>
  <si>
    <t>Annisa Nuril Syafarina</t>
  </si>
  <si>
    <t>ADITYA BAYU ASMARA</t>
  </si>
  <si>
    <t>JAUZI FIKRI PAHLEVI</t>
  </si>
  <si>
    <t>Galuh Putri Nurmaya Sari</t>
  </si>
  <si>
    <t>Cahya Sukma Khodijah</t>
  </si>
  <si>
    <t>Ilham Setiono</t>
  </si>
  <si>
    <t>Prisilla Maya Heni Pratiwi</t>
  </si>
  <si>
    <t>Yusuf Ramadhan</t>
  </si>
  <si>
    <t>0813 23811433</t>
  </si>
  <si>
    <t>https://drive.google.com/open?id=1aj0nnqQJ8kdvSNyQQZ6Mx1y7gRbQZ64taRxAvkpPcnk&amp;usp=drive_copy</t>
  </si>
  <si>
    <t>Vera Yuli Erviana, S.Pd., M.Pd</t>
  </si>
  <si>
    <t>Masjid Al-Furqon dan Masjid Al-Muhajirin , Pelemwulung, Banguntapan</t>
  </si>
  <si>
    <t>Sri Wahyuni</t>
  </si>
  <si>
    <t>Nurafdila Sari</t>
  </si>
  <si>
    <t>ANDRI A.HAFID</t>
  </si>
  <si>
    <t>ADI CANDRA</t>
  </si>
  <si>
    <t>ARLINE ALMIRA MARDIANA</t>
  </si>
  <si>
    <t>MUHAMMAD QADRHIZBULLAH</t>
  </si>
  <si>
    <t>TARMIDZI</t>
  </si>
  <si>
    <t>M. Tegar Imam Muzady</t>
  </si>
  <si>
    <t>Putri Umniati Sukma Nabila</t>
  </si>
  <si>
    <t>https://drive.google.com/open?id=1fdwJYovOBm4GBatw7NoRxwhxeZgIgsktpsUFfDiQgdM&amp;usp=drive_copy</t>
  </si>
  <si>
    <t>Masjid Al-Huda , Pelemwulung, Banguntapan</t>
  </si>
  <si>
    <t>RICHA RETNO RAHMADHANI SEMBIRING</t>
  </si>
  <si>
    <t>NOVIKAR TRI ALVIAN</t>
  </si>
  <si>
    <t>Ade Mugen Sempana</t>
  </si>
  <si>
    <t>TANIA ELKA VELIA</t>
  </si>
  <si>
    <t>Muhtar Latifu Nurrohmat</t>
  </si>
  <si>
    <t>LUKMAN HARSONO</t>
  </si>
  <si>
    <t>Noti Nurfatihah</t>
  </si>
  <si>
    <t>Yahya Pratama</t>
  </si>
  <si>
    <t>Putri Rahmadhaani</t>
  </si>
  <si>
    <t>https://drive.google.com/open?id=1jrewA50US-kcfwsHtGixg5WmlbNYmireP83_lqHx9qo&amp;usp=drive_copy</t>
  </si>
  <si>
    <t>Masjid Al-Hidayah, Jaranan, Banguntapan</t>
  </si>
  <si>
    <t>DINA AGUSTINA</t>
  </si>
  <si>
    <t>Mufti Fauzi Ramadhan</t>
  </si>
  <si>
    <t>Nursinta</t>
  </si>
  <si>
    <t>NASHRULLAH STIALANDRI</t>
  </si>
  <si>
    <t>APRILIANA TRI HANDAYANI</t>
  </si>
  <si>
    <t>Muhammad Yusril Ananta</t>
  </si>
  <si>
    <t>Igo Putra Pratama</t>
  </si>
  <si>
    <t>Ami Hamzah</t>
  </si>
  <si>
    <t>https://drive.google.com/open?id=1pv-oJn3kZ3J7LZWaKax10z-FmgwlT1FIZRjn_cFtR1Y&amp;usp=drive_copy</t>
  </si>
  <si>
    <t>Wajiran, S.S., M.A., Ph.D.</t>
  </si>
  <si>
    <t>Masjid At-Taqarub (Wonocatur), Wonocatur, Banguntapan</t>
  </si>
  <si>
    <t>GIERALD RIHHADAT E F</t>
  </si>
  <si>
    <t>SELIYANTI</t>
  </si>
  <si>
    <t>Aswa Amanina</t>
  </si>
  <si>
    <t>SATRIO DIRGANTORO GUNAWAN PUTRA</t>
  </si>
  <si>
    <t>Ardin</t>
  </si>
  <si>
    <t>Sabilla Rosyada</t>
  </si>
  <si>
    <t>Wahidin Ridwan</t>
  </si>
  <si>
    <t>Albar Hasan</t>
  </si>
  <si>
    <t>Khoirunnisa</t>
  </si>
  <si>
    <t>https://drive.google.com/open?id=11hH8ceQtzckvAhiPdC8A-_H9yjPAUzN47SxqyxbIpQA&amp;usp=drive_copy</t>
  </si>
  <si>
    <t>Masjid Jabir bin Abdullah, Sorowajan, Banguntapan</t>
  </si>
  <si>
    <t>Rafi Al Pasiri</t>
  </si>
  <si>
    <t>Abdul Azis Bethan</t>
  </si>
  <si>
    <t>Alfian Bagus Fitrianto</t>
  </si>
  <si>
    <t>YUDHA ARRASYID ALWATONY</t>
  </si>
  <si>
    <t>EVITA DWI YULIANTI</t>
  </si>
  <si>
    <t>Ratih Puspita Sari</t>
  </si>
  <si>
    <t>Novi Eka Putri</t>
  </si>
  <si>
    <t>Hanif Aqil Fauzi</t>
  </si>
  <si>
    <t>Ayu Lestari</t>
  </si>
  <si>
    <t>https://drive.google.com/open?id=1GXJycXRAsniebh4p2JAgv_fjiRPhZrrR90Ejy2Gi7wA&amp;usp=drive_copy</t>
  </si>
  <si>
    <t>Masjid Assalam Sorowajan, Sorowajan, Banguntapan</t>
  </si>
  <si>
    <t>ANDI FIRMANDA</t>
  </si>
  <si>
    <t>DESI KUMALA SARI TARIGAN</t>
  </si>
  <si>
    <t>Tedy Marta Kusuma</t>
  </si>
  <si>
    <t>Erwin Yoga Aditama</t>
  </si>
  <si>
    <t>Miskiah</t>
  </si>
  <si>
    <t>Henny Kusuma Wardani</t>
  </si>
  <si>
    <t>Hilda Amalia</t>
  </si>
  <si>
    <t>https://drive.google.com/open?id=1U_kPG4zCJtc6l-UJpJgBpPUPqFitSrp-l4jVTEIaJ24&amp;usp=drive_copy</t>
  </si>
  <si>
    <t>XXIX.A.1</t>
  </si>
  <si>
    <t>ADRIANTO SETYO NUGROHO</t>
  </si>
  <si>
    <t>Reguler Periode ke-107</t>
  </si>
  <si>
    <t>Cianjur</t>
  </si>
  <si>
    <t>MUHAMMAD FATTAH AR RIDLO</t>
  </si>
  <si>
    <t>Galuh Eryuwanda</t>
  </si>
  <si>
    <t>Raudhatul Rahmania</t>
  </si>
  <si>
    <t>Azmi Imaroh</t>
  </si>
  <si>
    <t>Mutiara Qulbi Nur Paksi</t>
  </si>
  <si>
    <t>Silvi Banowati</t>
  </si>
  <si>
    <t>https://docs.google.com/spreadsheets/d/1jLNf8Z_ggCDVtKRBWe0mr7gre3LCLqYYq10_rjFIYRA/edit?usp=sharing</t>
  </si>
  <si>
    <t>Reguler Periode ke-109</t>
  </si>
  <si>
    <t>Veni Ayu Dwi Lestari</t>
  </si>
  <si>
    <t>Muhammad Akmal Sya'bana</t>
  </si>
  <si>
    <t>Aina Noor Riswati</t>
  </si>
  <si>
    <t>Ramadhan Alifah Hakim</t>
  </si>
  <si>
    <t>Hanif Fitria Rahma</t>
  </si>
  <si>
    <t>Qoonitah Roosyidatul Azhaari</t>
  </si>
  <si>
    <t>Utama Hafizd Firdaus</t>
  </si>
  <si>
    <t>Khaerunisa Aulia Rizki</t>
  </si>
  <si>
    <t>Eka Dhewi Yanti</t>
  </si>
  <si>
    <t>Wulan Suci Fitrianingsih</t>
  </si>
  <si>
    <t>Natasya Maghfira Kumail</t>
  </si>
  <si>
    <t>Andiko Setya Putra</t>
  </si>
  <si>
    <t>Putri Vanesha Rizkika Gobel</t>
  </si>
  <si>
    <t>Novian Indah Marry Andien</t>
  </si>
  <si>
    <t>Bulan Aulia Bellucci Rahman</t>
  </si>
  <si>
    <t>Muhammad Reza Fadila</t>
  </si>
  <si>
    <t>Wulan Asa Budiani</t>
  </si>
  <si>
    <t>Eka Dhama Yanti</t>
  </si>
  <si>
    <t>Irnanda Darprihatini Mushilah</t>
  </si>
  <si>
    <t>Reguler Periode ke-108</t>
  </si>
  <si>
    <t>ARIF FAJAR FEBRIYANTO</t>
  </si>
  <si>
    <t>Ines S</t>
  </si>
  <si>
    <t>Aji Wahyu Nugroho</t>
  </si>
  <si>
    <t>Suci Ananda Ramadhini</t>
  </si>
  <si>
    <t>Mahmudah Sa'idah</t>
  </si>
  <si>
    <t>Eka Ajeng Parwanti</t>
  </si>
  <si>
    <t>Zahro Khoirunisa</t>
  </si>
  <si>
    <t>Riska Anisa Indriyani</t>
  </si>
  <si>
    <t>Fuad Dirahman</t>
  </si>
  <si>
    <t>62 812-1554-0133</t>
  </si>
  <si>
    <t>081227022980 (WA)</t>
  </si>
  <si>
    <t>https://drive.google.com/open?id=1IvGLXJoz7d75gHCbZLlH5wx6DhZu_UQO1BSisDEZXII&amp;usp=drive_copy</t>
  </si>
  <si>
    <t>Intan Khoirunisa Febiliana</t>
  </si>
  <si>
    <t>Laila Faizah</t>
  </si>
  <si>
    <t>Tsamarotul Habibah</t>
  </si>
  <si>
    <t>Ahla Zakiyyah Arofi</t>
  </si>
  <si>
    <t>Rizky Aditya Fardhana</t>
  </si>
  <si>
    <t>Dian Yuni Lestari</t>
  </si>
  <si>
    <t>Tiara Indriarti</t>
  </si>
  <si>
    <t>Afifah Nurhidayati</t>
  </si>
  <si>
    <t>Ahmad Firdaus. M</t>
  </si>
  <si>
    <t>https://drive.google.com/open?id=1bX4_htlOqKWKCW9xNvrHrxZSt6oE7Q1X-y9KDW4k49c&amp;usp=drive_copy</t>
  </si>
  <si>
    <t>NURUL ULFALAH</t>
  </si>
  <si>
    <t>Nur Muna Afifah Erdin</t>
  </si>
  <si>
    <t>Ismawati Kusuma Wardani</t>
  </si>
  <si>
    <t>Nadia Alma Saphira</t>
  </si>
  <si>
    <t>Dhiwa Adlani Nahar</t>
  </si>
  <si>
    <t>Humaira Azzahra</t>
  </si>
  <si>
    <t>Allya Shelyana Fachruddin Syah</t>
  </si>
  <si>
    <t>Fachri Amirul Abidin</t>
  </si>
  <si>
    <t>Wahyu Lestari</t>
  </si>
  <si>
    <t>https://drive.google.com/open?id=1iQSjjeoJohWWzyXysRFJ8BNRzz1HhY8KY0Eh-5wBr1Y&amp;usp=drive_copy</t>
  </si>
  <si>
    <t>Muhammad Habibi Miftakhul Marwa., S.H.I., M.H.</t>
  </si>
  <si>
    <t>Risza Presty Rumani</t>
  </si>
  <si>
    <t>Miftahul Jannah</t>
  </si>
  <si>
    <t>Deviana Ramadhanis</t>
  </si>
  <si>
    <t>Sherin Dwi Utami</t>
  </si>
  <si>
    <t>Vrisas Meri Setiawan</t>
  </si>
  <si>
    <t>Winda Safitri</t>
  </si>
  <si>
    <t>Vita Yuliana</t>
  </si>
  <si>
    <t>Amalia Lutfiani</t>
  </si>
  <si>
    <t>Yudi Mahenra</t>
  </si>
  <si>
    <t>https://drive.google.com/open?id=1KyEd3_sAVEYlbG-CIYysI3kHDN81hVIDDGJ993q-O0w&amp;usp=drive_copy</t>
  </si>
  <si>
    <t>ANGGA RIZKI SABDANA PUTRA</t>
  </si>
  <si>
    <t>Rima Dhiniyah</t>
  </si>
  <si>
    <t>Umi Margiati</t>
  </si>
  <si>
    <t>Zulfa Laila Fitri</t>
  </si>
  <si>
    <t>Putria Wati Nurjanah</t>
  </si>
  <si>
    <t>Rosyada Ayu Fatimah</t>
  </si>
  <si>
    <t>Dwi Nur Indah Sari</t>
  </si>
  <si>
    <t>Rika Andriana</t>
  </si>
  <si>
    <t>Muhammad Hafidhdin</t>
  </si>
  <si>
    <t>https://drive.google.com/open?id=1V6yu20UkgdKhMonMzjGUIWTYP2as6Onb-rGoh5RhXZk&amp;usp=drive_copy</t>
  </si>
  <si>
    <t>Iing Wahyuningsih</t>
  </si>
  <si>
    <t>Syafira Intan Muhliana</t>
  </si>
  <si>
    <t>Majelis Rena Tobasa</t>
  </si>
  <si>
    <t>Eqvista Runtun Pamungkas</t>
  </si>
  <si>
    <t>Rahma Sabilla</t>
  </si>
  <si>
    <t>Aulia Diah Safitri</t>
  </si>
  <si>
    <t>Luthfiah Fidaris Sakinah</t>
  </si>
  <si>
    <t>https://drive.google.com/open?id=1p_OgapkWx-5HjNula4UeZfj080vtBkeuUCZ0IbnMiqw&amp;usp=drive_copy</t>
  </si>
  <si>
    <t>Alternatif Periode ke-87</t>
  </si>
  <si>
    <t>Nur Fatimah, S.Pd, M.Hum.</t>
  </si>
  <si>
    <t>RW 10, Brontokusuman, Mergangsan</t>
  </si>
  <si>
    <t>Riski Yanto</t>
  </si>
  <si>
    <t>NANDINI HAYYUNOUR</t>
  </si>
  <si>
    <t>RADEN DWI ANTIKA KESUMA</t>
  </si>
  <si>
    <t>Aulia Putri Anggraini</t>
  </si>
  <si>
    <t>Sultan Mirza Akmal</t>
  </si>
  <si>
    <t>Mellano Budi Saputra</t>
  </si>
  <si>
    <t>Chindy Sintia Prasasti</t>
  </si>
  <si>
    <t>Dicky Darmawansa</t>
  </si>
  <si>
    <t>Khansa Aulia Arinda Putri</t>
  </si>
  <si>
    <t>Oktavia Tri Antika</t>
  </si>
  <si>
    <t>?082136826750?</t>
  </si>
  <si>
    <t>https://drive.google.com/open?id=1iUf28_s-jHH90j-QS6sqLcRJ5CjRxLXz_VFES7xmefk&amp;usp=drive_copy</t>
  </si>
  <si>
    <t>RW 11, Brontokusuman, Mergangsan</t>
  </si>
  <si>
    <t>SITI FADILLIAH UTAMI</t>
  </si>
  <si>
    <t>WILUJENG SEKAR DATU</t>
  </si>
  <si>
    <t>Mauludin</t>
  </si>
  <si>
    <t>Dimas Sundawa</t>
  </si>
  <si>
    <t>Muhammad Amin Fathori</t>
  </si>
  <si>
    <t>Andre Pandia</t>
  </si>
  <si>
    <t>Erika Gaby Aryati</t>
  </si>
  <si>
    <t>Alfina Revananda</t>
  </si>
  <si>
    <t>Umar Alwatasi</t>
  </si>
  <si>
    <t>Zhang Guosen</t>
  </si>
  <si>
    <t>Liu Yiming</t>
  </si>
  <si>
    <t>https://drive.google.com/open?id=1PPpDhspB4u9hX2w1lg9MB73NhEYQmUY3883AYCxVDCU&amp;usp=drive_copy</t>
  </si>
  <si>
    <t>RW 12, Brontokusuman, Mergangsan</t>
  </si>
  <si>
    <t>Ridwan Faisal Sani</t>
  </si>
  <si>
    <t>Rifa Indriyani</t>
  </si>
  <si>
    <t>Aziz Wibowo</t>
  </si>
  <si>
    <t>Muhammad Reva Aflaqi Fathoni</t>
  </si>
  <si>
    <t>Andhika Surya Mayangkoro</t>
  </si>
  <si>
    <t>Ayuningtyas Mustika Putri</t>
  </si>
  <si>
    <t>Almas Izzati</t>
  </si>
  <si>
    <t>Kharisa Alifia Putri</t>
  </si>
  <si>
    <t>https://drive.google.com/open?id=1um608jV13fNH1ZbjwoXwV-tSluf_VdhWse6cXP4D8hU&amp;usp=drive_copy</t>
  </si>
  <si>
    <t>Soviyah, S.Pd., M.Hum.</t>
  </si>
  <si>
    <t>RW 13, Brontokusuman, Mergangsan</t>
  </si>
  <si>
    <t>Queene Viera Paramitha Audline Bilgies</t>
  </si>
  <si>
    <t>RISHA ALFANDA</t>
  </si>
  <si>
    <t>Reny Alvina Anwar</t>
  </si>
  <si>
    <t>Fany Adi Setyawan</t>
  </si>
  <si>
    <t>Salsabilla</t>
  </si>
  <si>
    <t>M. Anas Kurniawan Az-hari</t>
  </si>
  <si>
    <t>Winda Hendrianingsih</t>
  </si>
  <si>
    <t>Hoerotunnisa</t>
  </si>
  <si>
    <t>Irsyad Alfath</t>
  </si>
  <si>
    <t>Ahmad Ario Akbar</t>
  </si>
  <si>
    <t>https://drive.google.com/open?id=1O-egH88Iib6M9rZre7M_JfG2fbOwBPlkGCSlQhpfDzg&amp;usp=drive_copy</t>
  </si>
  <si>
    <t>RW 14, Brontokusuman, Mergangsan</t>
  </si>
  <si>
    <t>ANANG MA'RUF</t>
  </si>
  <si>
    <t>KARMAN EKA FEBRIANTO</t>
  </si>
  <si>
    <t>Anisa Tri Mulyani</t>
  </si>
  <si>
    <t>Ilham Faza Loka</t>
  </si>
  <si>
    <t>Sindy Fajriyanti</t>
  </si>
  <si>
    <t>Prana Wahyu Tri Adji Pradika</t>
  </si>
  <si>
    <t>Tri Hardiyati Oktavia Pamungkas</t>
  </si>
  <si>
    <t>Wei Hongling</t>
  </si>
  <si>
    <t>Zhu Xiaoyu</t>
  </si>
  <si>
    <t>https://drive.google.com/open?id=1vf9IH1TNEzD_gmwTsqRsxcuNdYEbaq1G0-xDRGPnyqs&amp;usp=drive_copy</t>
  </si>
  <si>
    <t>RW 15, Brontokusuman, Mergangsan</t>
  </si>
  <si>
    <t>IRFAN ABDUL RASYID</t>
  </si>
  <si>
    <t>MUHAMMAD NAJIB AKBAR</t>
  </si>
  <si>
    <t>Fatimah</t>
  </si>
  <si>
    <t>Khoirudin</t>
  </si>
  <si>
    <t>Sintia Putri</t>
  </si>
  <si>
    <t>Thry Arya Septhiandy</t>
  </si>
  <si>
    <t>Ayu Nur Rahma</t>
  </si>
  <si>
    <t>Aulia Fitri Ramadhani</t>
  </si>
  <si>
    <t>Shinta Nurrochmah</t>
  </si>
  <si>
    <t>https://drive.google.com/open?id=1mO6C_b6mBKmePJE5cBj_hx6Seiu8PTdyMZYgrGWJuLI&amp;usp=drive_copy</t>
  </si>
  <si>
    <t>RW 23, Brontokusuman, Mergangsan</t>
  </si>
  <si>
    <t>ADI PERDANA</t>
  </si>
  <si>
    <t>Mijil Muthoha</t>
  </si>
  <si>
    <t>Viona Ayuning Tyas</t>
  </si>
  <si>
    <t>Chandra Surya Negarawan</t>
  </si>
  <si>
    <t>Dinda Anisasuci Wulandaryu</t>
  </si>
  <si>
    <t>Waldi Juma</t>
  </si>
  <si>
    <t>Robi Ramadan</t>
  </si>
  <si>
    <t>Muhammad Hamzah</t>
  </si>
  <si>
    <t>Annisa Nur Rahmawati</t>
  </si>
  <si>
    <t>Tassah Aulya Sakti</t>
  </si>
  <si>
    <t>https://drive.google.com/open?id=1Gyp4t-UQBK08oZO6biQiBfeO2ByzVN5eUy_Awhv5KCo&amp;usp=drive_copy</t>
  </si>
  <si>
    <t>RW 16, Brontokusuman, Mergangsan</t>
  </si>
  <si>
    <t>NURUDDIN HANIF AL MAHDI</t>
  </si>
  <si>
    <t>Fabio Benarivo</t>
  </si>
  <si>
    <t>NYA' RHAGA ARMADLONA</t>
  </si>
  <si>
    <t>FITRI ALFAINI</t>
  </si>
  <si>
    <t>Anggito Sulaksono</t>
  </si>
  <si>
    <t>Ika Nur Indriyani</t>
  </si>
  <si>
    <t>Awaldhi Yudistira</t>
  </si>
  <si>
    <t>Alfi Fathu Sabila</t>
  </si>
  <si>
    <t>https://drive.google.com/open?id=10DFYDDvNe3AZ4jpZx8gGBJWP8WiwHffFIRukjJi6Uw8&amp;usp=drive_copy</t>
  </si>
  <si>
    <t>RW 17, Brontokusuman, Mergangsan</t>
  </si>
  <si>
    <t>Dwi Isnawati</t>
  </si>
  <si>
    <t>Gilang Rediansyah</t>
  </si>
  <si>
    <t>Deden Purnama</t>
  </si>
  <si>
    <t>Ninda Alfani</t>
  </si>
  <si>
    <t>Rahmad Fadillah</t>
  </si>
  <si>
    <t>Anggun Dwiputri Rahayu</t>
  </si>
  <si>
    <t>Adika Bagas Santosa</t>
  </si>
  <si>
    <t>Agus Dwi Hatmoko</t>
  </si>
  <si>
    <t>Risa Rosiana</t>
  </si>
  <si>
    <t>https://drive.google.com/open?id=1XuQZNnibOyCytsARK_ziNOujKZT4jnSKfQXMe74mkpQ&amp;usp=drive_copy</t>
  </si>
  <si>
    <t>RW 20, Brontokusuman, Mergangsan</t>
  </si>
  <si>
    <t>IRFAN LAKSANA RAHMAPUTRA</t>
  </si>
  <si>
    <t>Eki Wahyu Saputra</t>
  </si>
  <si>
    <t>DESTTY YOHANA SARI</t>
  </si>
  <si>
    <t>Muhammad Nashif Ubaidillah</t>
  </si>
  <si>
    <t>Roro Sausan Hasna Putri Sulistiohadi</t>
  </si>
  <si>
    <t>Rozaq Maulana Ammarta</t>
  </si>
  <si>
    <t>Maslahul Ikhsan</t>
  </si>
  <si>
    <t>Reza Burhannudin Yusuf</t>
  </si>
  <si>
    <t>Alfi Faiz Nabilla</t>
  </si>
  <si>
    <t>Femi Lovitha Deya Monicyara</t>
  </si>
  <si>
    <t>https://drive.google.com/open?id=13TQ-__xDNE_0oT5PADtUN9vF5tqbAPeOY1xLTELvhe8&amp;usp=drive_copy</t>
  </si>
  <si>
    <t>RW 21, Brontokusuman, Mergangsan</t>
  </si>
  <si>
    <t>Siti Khusnul Fauziyah</t>
  </si>
  <si>
    <t>Muhamad Teddy</t>
  </si>
  <si>
    <t>Dela Amilia</t>
  </si>
  <si>
    <t>Muhammad Rosyid Ridlo</t>
  </si>
  <si>
    <t>Ahmad Redhani</t>
  </si>
  <si>
    <t>Althof Abiyyah</t>
  </si>
  <si>
    <t>Khoirul Chandra</t>
  </si>
  <si>
    <t>Shibghatallah Muhammad Azmi</t>
  </si>
  <si>
    <t>Indar Rupidara</t>
  </si>
  <si>
    <t>https://drive.google.com/open?id=1BZvpE2lIELEHrmqGgVagoASRdUm4x0umZ0AkPkuzWsA&amp;usp=drive_copy</t>
  </si>
  <si>
    <t>RW 22, Brontokusuman, Mergangsan</t>
  </si>
  <si>
    <t>Wahyu Aditiyo</t>
  </si>
  <si>
    <t>Hafiska Kurniyadi</t>
  </si>
  <si>
    <t>Tiara Ayuningtyas</t>
  </si>
  <si>
    <t>Faizal Sesotya Dananjaya</t>
  </si>
  <si>
    <t>Luthfi Tristyo Wahyu</t>
  </si>
  <si>
    <t>Bisma Arkan Faurizam</t>
  </si>
  <si>
    <t>Julia Mega Samitaningtyas</t>
  </si>
  <si>
    <t>Ukhti Aura Shiba</t>
  </si>
  <si>
    <t>Illa Feriyati</t>
  </si>
  <si>
    <t>081227210637/0895418171199</t>
  </si>
  <si>
    <t>https://drive.google.com/open?id=13XdAr_uOiINSRGWHFDHReJW5DqbVdCwUnPzlWN-nTPM&amp;usp=drive_copy</t>
  </si>
  <si>
    <t>Drs. Tedy Setiadi., M.T.</t>
  </si>
  <si>
    <t>RW 6, Brontokusuman, Mergangsan</t>
  </si>
  <si>
    <t>Aksan Isnawan</t>
  </si>
  <si>
    <t>MUHAMMAD RIZQI ISMANSYAH</t>
  </si>
  <si>
    <t>Ayala Andalika Firmansyah</t>
  </si>
  <si>
    <t>Ari Priyandani</t>
  </si>
  <si>
    <t>Muhamad Risqi Pradana Yusuf</t>
  </si>
  <si>
    <t>Anisa Nur Rahma</t>
  </si>
  <si>
    <t>Dedea Aminatus Sufa'ah</t>
  </si>
  <si>
    <t>Maiden Ayu Hendrawanto</t>
  </si>
  <si>
    <t>Ragil Aji Prabowo</t>
  </si>
  <si>
    <t>Muhammad Yusrrizal</t>
  </si>
  <si>
    <t>https://drive.google.com/open?id=1smYlJllyFxSDC7a-ozDjpGG1hoTNBhv6WlntctPNeto&amp;usp=drive_copy</t>
  </si>
  <si>
    <t>RW 18, Brontokusuman, Mergangsan</t>
  </si>
  <si>
    <t>HAZAM AMRULLAH</t>
  </si>
  <si>
    <t>LEGI ADI PRAMANA</t>
  </si>
  <si>
    <t>Arga Wisnu Wardana</t>
  </si>
  <si>
    <t>U'un Uliasari</t>
  </si>
  <si>
    <t>Syahrul Muhammad Basri</t>
  </si>
  <si>
    <t>Desi Rinika</t>
  </si>
  <si>
    <t>Rindan Alifa Shakti</t>
  </si>
  <si>
    <t>Hasniar</t>
  </si>
  <si>
    <t>Aldi Febri Hananta</t>
  </si>
  <si>
    <t>https://drive.google.com/open?id=1AlCJEWk90gOYN_FH1lIm3DFOtuZWqHqrk9efEBmlnME&amp;usp=drive_copy</t>
  </si>
  <si>
    <t>RW 19, Brontokusuman, Mergangsan</t>
  </si>
  <si>
    <t>BUYUNG ANGGA PRISTIAWAN</t>
  </si>
  <si>
    <t>MUHAMMAD ZAID ADDIN</t>
  </si>
  <si>
    <t>FIKRI HAEKAL</t>
  </si>
  <si>
    <t>Dinda Alvahira</t>
  </si>
  <si>
    <t>Dyah Annisa Hatmanti</t>
  </si>
  <si>
    <t>Lukmanul Hakim</t>
  </si>
  <si>
    <t>Veriza Ariella Anindita</t>
  </si>
  <si>
    <t>Kurnia Rega Nugraha</t>
  </si>
  <si>
    <t>Putri Anindita Zakiyah</t>
  </si>
  <si>
    <t>https://drive.google.com/open?id=1-kfmxs9yKJgS8-LGv2weDkxdMdtawqO7_cXAbtiItfo&amp;usp=drive_copy</t>
  </si>
  <si>
    <t>Mohammad Al Kautsar Cahya Anggita</t>
  </si>
  <si>
    <t>Agustina Ratih Putri Sumidi</t>
  </si>
  <si>
    <t>Widya Anggita Umabaihi</t>
  </si>
  <si>
    <t>Nuke Oktavia Putri Permata</t>
  </si>
  <si>
    <t>Nimuhammad Faiz Wan</t>
  </si>
  <si>
    <t>Anggun Puspita Ningrum</t>
  </si>
  <si>
    <t>Fillah Dwi Ardiansyah</t>
  </si>
  <si>
    <t>Hammam Alialthaf Shah</t>
  </si>
  <si>
    <t>Andini Putri Lestari</t>
  </si>
  <si>
    <t>Alfi Zidanurrohim</t>
  </si>
  <si>
    <t>087711095404/ 082112397831</t>
  </si>
  <si>
    <t>https://drive.google.com/open?id=1Osc1TlACMEIMn4XmQgWi2hFlB5ZBS9Nuo7CoJcYrF1I&amp;usp=drive_copy</t>
  </si>
  <si>
    <t>ADITYA PRIMADI</t>
  </si>
  <si>
    <t>ARIF AKBAR SATRIO</t>
  </si>
  <si>
    <t>Shintya Purnama Sari</t>
  </si>
  <si>
    <t>Krisna Dewanggara</t>
  </si>
  <si>
    <t>Septi Satiti Mahanani</t>
  </si>
  <si>
    <t>Annisa Inas Ghaida Widadsari</t>
  </si>
  <si>
    <t>Laeli Sa'adah</t>
  </si>
  <si>
    <t>Ni Putu Angely Indreswari</t>
  </si>
  <si>
    <t>Alwi Mubarok Assidiq</t>
  </si>
  <si>
    <t>https://drive.google.com/open?id=1r0A6VMUoBMQJDedztgn_IFmMNa1pB1E05khPQfRylQg&amp;usp=drive_copy</t>
  </si>
  <si>
    <t>DINDA AMELIA</t>
  </si>
  <si>
    <t>AFIN BURHAN PRAPSITA</t>
  </si>
  <si>
    <t>ZAIN FADHIL IBNU PRATAMA</t>
  </si>
  <si>
    <t>Abdul Afif Ihyatul Khusna</t>
  </si>
  <si>
    <t>Milinia Indah Saputri</t>
  </si>
  <si>
    <t>Chantika Putri Anugrah</t>
  </si>
  <si>
    <t>Muhammad Abdul Khamid</t>
  </si>
  <si>
    <t>Fadhila Ikmalina Faza</t>
  </si>
  <si>
    <t>https://drive.google.com/open?id=1EOXQuf60K_Uld5odEVzZydbD-vpkTuI-8a1bFmNADRk&amp;usp=drive_copy</t>
  </si>
  <si>
    <t>NUR FARIDA LESTARI</t>
  </si>
  <si>
    <t>HASYID NAUFAL RIFAI</t>
  </si>
  <si>
    <t>MUHAMMAD YUSUF PRAYUDHA</t>
  </si>
  <si>
    <t>ANGGARA EKA SAPUTRA</t>
  </si>
  <si>
    <t>INDAH PERMATA SARI</t>
  </si>
  <si>
    <t>Asmal Qonita Budi Rahayu</t>
  </si>
  <si>
    <t>Chandra Firando</t>
  </si>
  <si>
    <t>Sulistira Makatita</t>
  </si>
  <si>
    <t>Yuliyanti Indriani Rahayu</t>
  </si>
  <si>
    <t>083112572424 / 0882006173131</t>
  </si>
  <si>
    <t>https://drive.google.com/open?id=13eMIV8XLrFIsrYh0yzSrWSulrLz-SVqY0-vlmEdsu_A&amp;usp=drive_copy</t>
  </si>
  <si>
    <t>ANDRI RUSDIAN PERMANA</t>
  </si>
  <si>
    <t>Mirata Budi Allasya</t>
  </si>
  <si>
    <t>Hafish Azhar Fahreza</t>
  </si>
  <si>
    <t>Ratri Madya Palupi</t>
  </si>
  <si>
    <t>Yuni Afriani</t>
  </si>
  <si>
    <t>Muhammad Fikri Zein</t>
  </si>
  <si>
    <t>Ertha Dwi Setiyawan</t>
  </si>
  <si>
    <t>Adinda Sekar Dewantari</t>
  </si>
  <si>
    <t>Yulita Andini</t>
  </si>
  <si>
    <t>https://drive.google.com/open?id=1I7RkrNovslxB9JxiPXBExgVyzLZs3EkVNXTGrAx97qU&amp;usp=drive_copy</t>
  </si>
  <si>
    <t>Agung Nugroho</t>
  </si>
  <si>
    <t>Ine Imelia Rohiyatun</t>
  </si>
  <si>
    <t>Muhamad Lindu Aji</t>
  </si>
  <si>
    <t>Herti Herliani</t>
  </si>
  <si>
    <t>Muhammad Kenet Ajrun Niam</t>
  </si>
  <si>
    <t>Nur Annisa Meutiasari Setyobudi</t>
  </si>
  <si>
    <t>Yoga Dwi Julistiono</t>
  </si>
  <si>
    <t>Tsabitah Rizqi Atikasari</t>
  </si>
  <si>
    <t>https://drive.google.com/open?id=1H8A-sD_iZi5l3sdtxU0rmjoRdba5SgzQTJTB4ETGzd8&amp;usp=drive_copy</t>
  </si>
  <si>
    <t>Anggito Nur Fauzi</t>
  </si>
  <si>
    <t>Karnadi</t>
  </si>
  <si>
    <t>Freby Raka Mura</t>
  </si>
  <si>
    <t>Siti Sri Widya</t>
  </si>
  <si>
    <t>Sanju Astuti</t>
  </si>
  <si>
    <t>Yuyun Yuliana</t>
  </si>
  <si>
    <t>Dimas Ananta Pribadi</t>
  </si>
  <si>
    <t>Saskia Meutia Putri</t>
  </si>
  <si>
    <t>Li Xuelian</t>
  </si>
  <si>
    <t>Wei Wenhui</t>
  </si>
  <si>
    <t>https://drive.google.com/open?id=1CVec7J3OIvr4Ihx7henQ_ebOj3ZDuGwaOY4cGgm6rEM&amp;usp=drive_copy</t>
  </si>
  <si>
    <t>RICKY IHZA HERNANDA</t>
  </si>
  <si>
    <t>TIYAS DWI AGUSTIN</t>
  </si>
  <si>
    <t>Umi Habbibah</t>
  </si>
  <si>
    <t>Desi Indriyani</t>
  </si>
  <si>
    <t>Gabriella Mutiara Yumas</t>
  </si>
  <si>
    <t>Dimas Tito Mahardika</t>
  </si>
  <si>
    <t>Ega Prima Utami</t>
  </si>
  <si>
    <t>Umair</t>
  </si>
  <si>
    <t>https://drive.google.com/open?id=1xCCbkLrhy8swVra4EwyXrJwwS5tZm2iBK2NqKLo-a6A&amp;usp=drive_copy</t>
  </si>
  <si>
    <t>AHMAD RAKHA RIZAVIE</t>
  </si>
  <si>
    <t>RAYZA ALDINATA WIJAYA</t>
  </si>
  <si>
    <t>Najmah</t>
  </si>
  <si>
    <t>Sicillya Putri Utami</t>
  </si>
  <si>
    <t>Redho Mualana Adjie</t>
  </si>
  <si>
    <t>Dea Yushi Setyaningratri</t>
  </si>
  <si>
    <t>Ramadhan Sefian Perdana</t>
  </si>
  <si>
    <t>Putri Rahma Anindya</t>
  </si>
  <si>
    <t>Dewi Rahmawati</t>
  </si>
  <si>
    <t>https://drive.google.com/open?id=1X90azS6cpnwgPxZJZSS908nJMF-RJqkzZQmRNM-GSzU&amp;usp=drive_copy</t>
  </si>
  <si>
    <t>LUTVIANA SAFITRI</t>
  </si>
  <si>
    <t>Bima Adhi Surya Pradana</t>
  </si>
  <si>
    <t>Krisna Aji Wijaya</t>
  </si>
  <si>
    <t>Silvia Agustina</t>
  </si>
  <si>
    <t>Krisa Wahyu Kurniawan</t>
  </si>
  <si>
    <t>Nabila Yuanita Islamaya</t>
  </si>
  <si>
    <t>Azet Nur Aziz</t>
  </si>
  <si>
    <t>Afnania Yusditiani</t>
  </si>
  <si>
    <t>Nuri Cholidah Hanum</t>
  </si>
  <si>
    <t>Tang Zhiyuan</t>
  </si>
  <si>
    <t>Chen Bo</t>
  </si>
  <si>
    <t>https://drive.google.com/open?id=1iyMkQ5bE99SbqFBG65IjhxkVCaPQadRGxOrPyW59dw8&amp;usp=drive_copy</t>
  </si>
  <si>
    <t>NOVITA</t>
  </si>
  <si>
    <t>FAUZAN AKIF</t>
  </si>
  <si>
    <t>AFRIALDY PUTRA RAHMAT EFFENDI</t>
  </si>
  <si>
    <t>Elly Angellita Nur Muhibad</t>
  </si>
  <si>
    <t>Nur Syarifudin Hadiyanto</t>
  </si>
  <si>
    <t>Najla' Zaul Fadaukas</t>
  </si>
  <si>
    <t>M.taufik Hidayat</t>
  </si>
  <si>
    <t>Fharadita Eka Rachmalina</t>
  </si>
  <si>
    <t>Natasya Salsabilla Syarief</t>
  </si>
  <si>
    <t>https://drive.google.com/open?id=1eyMPBGxaiboIcQ6K95OtPfpdspAsOr1gMiDm5eRw6Fg&amp;usp=drive_copy</t>
  </si>
  <si>
    <t>TIRTA SURYA BASKHARA</t>
  </si>
  <si>
    <t>TEGAR SUANA</t>
  </si>
  <si>
    <t>Dora Irsalina Ilmuna</t>
  </si>
  <si>
    <t>Bambang Hadi Suprayitno</t>
  </si>
  <si>
    <t>Wulan Astika</t>
  </si>
  <si>
    <t>Kemas Ahmad Adnan Zuhdy Atho'illah</t>
  </si>
  <si>
    <t>Dhita Agustina</t>
  </si>
  <si>
    <t>Zulfa Atikah</t>
  </si>
  <si>
    <t>Istinganah</t>
  </si>
  <si>
    <t>https://drive.google.com/open?id=1wxxu2GO_U-eppy_8UcrmaUsKrFVSuaW9Pl2oHDxuQ8M&amp;usp=drive_copy</t>
  </si>
  <si>
    <t>FAJAR BUDI PERMANA</t>
  </si>
  <si>
    <t>ALANNAFI HUSEIN BAYU PASHADEWA</t>
  </si>
  <si>
    <t>Khairil Fikri Zaini</t>
  </si>
  <si>
    <t>Audilia Alifa Artha Putri</t>
  </si>
  <si>
    <t>Siti Aissifa Mayrizki</t>
  </si>
  <si>
    <t>Akbar Mahendrathama</t>
  </si>
  <si>
    <t>Yulita Purnamasari</t>
  </si>
  <si>
    <t>Natyanisa Satriafitri</t>
  </si>
  <si>
    <t>Hu Chaomei</t>
  </si>
  <si>
    <t>Tang Shaohua</t>
  </si>
  <si>
    <t>https://drive.google.com/open?id=1JLEnSKhvhMnskThAaSG44hKeH6IbfKN66bdqj9l_0nU&amp;usp=drive_copy</t>
  </si>
  <si>
    <t>YOLANDA DWI PARWATI</t>
  </si>
  <si>
    <t>AJI PANGESTU</t>
  </si>
  <si>
    <t>Sovi Sri Noviasara</t>
  </si>
  <si>
    <t>Rohis Tegar</t>
  </si>
  <si>
    <t>Al-fitho Faqih Abdilla</t>
  </si>
  <si>
    <t>Thariq Arfah Putranto</t>
  </si>
  <si>
    <t>Zumrotul Imanda Wachid Hakim</t>
  </si>
  <si>
    <t>Dellyana Shinta</t>
  </si>
  <si>
    <t>Whulan Khinanti Nuraini</t>
  </si>
  <si>
    <t>https://drive.google.com/open?id=1rrxsUgZcebmq_EXVre3yoGj5K7TK_OyeTWWFpXWC-tQ&amp;usp=drive_copy</t>
  </si>
  <si>
    <t>ALFIN MASKHURI</t>
  </si>
  <si>
    <t>MOCHAMMAD DHAFA NOFRIANDI</t>
  </si>
  <si>
    <t>Farah Trianindya</t>
  </si>
  <si>
    <t>Muhammad Yusuf Ansori</t>
  </si>
  <si>
    <t>Zulfa Tiara Assyifa</t>
  </si>
  <si>
    <t>Else Hana Al Munawaroh</t>
  </si>
  <si>
    <t>Muhammad Revaldo</t>
  </si>
  <si>
    <t>Kuni Taqiyyah</t>
  </si>
  <si>
    <t>Hilma Dani Situmorang</t>
  </si>
  <si>
    <t>https://drive.google.com/open?id=12aMFFPFGxnyKOAy28b8Yfg7kyBhhJJtpTDSjgPmE6wg&amp;usp=drive_copy</t>
  </si>
  <si>
    <t>DIMAS DWIYANTORO</t>
  </si>
  <si>
    <t>KATON BANGUN SANJAYA</t>
  </si>
  <si>
    <t>Hasbi Rosad</t>
  </si>
  <si>
    <t>Nazrin</t>
  </si>
  <si>
    <t>Ummu Zahra Habibah</t>
  </si>
  <si>
    <t>Elsa Fahira</t>
  </si>
  <si>
    <t>Hanifa Putri Anggraini</t>
  </si>
  <si>
    <t>Inayah Annasihah</t>
  </si>
  <si>
    <t>Nur Rahmah Fitria</t>
  </si>
  <si>
    <t>Li Xiaoxi</t>
  </si>
  <si>
    <t>Zhu Jiayi</t>
  </si>
  <si>
    <t>https://drive.google.com/open?id=1SJRubbY7l7dcgLIMPyI6le2_CBx4wVxVAE2kasxIm9Y&amp;usp=drive_copy</t>
  </si>
  <si>
    <t>DIMAS KIDINANA</t>
  </si>
  <si>
    <t>Bima Sulkhanna</t>
  </si>
  <si>
    <t>Annas Nurhidayat</t>
  </si>
  <si>
    <t>Umi Khalifah</t>
  </si>
  <si>
    <t>Genta Tomi Pratama</t>
  </si>
  <si>
    <t>Khoirunnisa'</t>
  </si>
  <si>
    <t>Henisa Hildayana</t>
  </si>
  <si>
    <t>Marisa Devi Isnaini Arifah</t>
  </si>
  <si>
    <t>Riski Nur Amalia</t>
  </si>
  <si>
    <t>08115933222 / 0895365540001</t>
  </si>
  <si>
    <t>https://drive.google.com/open?id=1SqgA_qKPTb2Ya7FcLr7_YCziGfCkP7ORR8cs2R3mvyM&amp;usp=drive_copy</t>
  </si>
  <si>
    <t>Rizal Apriadi</t>
  </si>
  <si>
    <t>Melita Puteri Wulan Sari</t>
  </si>
  <si>
    <t>Nur Khalis Jondu</t>
  </si>
  <si>
    <t>Benita Dwi Apriliana</t>
  </si>
  <si>
    <t>Ratno</t>
  </si>
  <si>
    <t>Aulia Sri Muliani</t>
  </si>
  <si>
    <t>Salsa Nurul Izza</t>
  </si>
  <si>
    <t>Nazhifa Hana Rafida</t>
  </si>
  <si>
    <t>https://drive.google.com/open?id=1_R9CcLA2GK7WTSR8APk-IirV2HdC0YNkGn50tPgK0zM&amp;usp=drive_copy</t>
  </si>
  <si>
    <t>MIRA FA'IZAH HENSIDES</t>
  </si>
  <si>
    <t>Mohamad Ghofar</t>
  </si>
  <si>
    <t>ADE M. FAUZAN</t>
  </si>
  <si>
    <t>Virama Salsabilla Mahaeswari</t>
  </si>
  <si>
    <t>Yudha Ichsan Nurul Aziz Sulistyanda</t>
  </si>
  <si>
    <t>Ricky Yoga Pangestu</t>
  </si>
  <si>
    <t>Thasya Amanta Nur Ramadhani</t>
  </si>
  <si>
    <t>Fika Wahyu Nurita</t>
  </si>
  <si>
    <t>Giska Amalia</t>
  </si>
  <si>
    <t>Lu Juan</t>
  </si>
  <si>
    <t>Yu Jing</t>
  </si>
  <si>
    <t>https://drive.google.com/open?id=1itRX-eU3oKaBwBg1eva1Iw86l7By9Zb7ciHV84aNRus&amp;usp=drive_copy</t>
  </si>
  <si>
    <t>Maudy Andita Putri</t>
  </si>
  <si>
    <t>Rian Artanto</t>
  </si>
  <si>
    <t>ANANDA DONI PRAMONO</t>
  </si>
  <si>
    <t>Muhammad Miftahul Fauzan</t>
  </si>
  <si>
    <t>Muhammad Nurlistiadi</t>
  </si>
  <si>
    <t>Salma Tasya Sabrina</t>
  </si>
  <si>
    <t>Syifa Aqila</t>
  </si>
  <si>
    <t>Anggriani Stia Arum</t>
  </si>
  <si>
    <t>Nia Syam Nuri</t>
  </si>
  <si>
    <t>https://drive.google.com/open?id=1zfOOpLHZu0Ucu1ogJqLlvB-fpVfg8rbnySQryzfIM48&amp;usp=drive_copy</t>
  </si>
  <si>
    <t>ANTIKA JASPAPA</t>
  </si>
  <si>
    <t>Ananda Ramadhan</t>
  </si>
  <si>
    <t>Thoriq Fatihul Haq</t>
  </si>
  <si>
    <t>Vikri Rizqa Putra</t>
  </si>
  <si>
    <t>Ira Mulyana</t>
  </si>
  <si>
    <t>Sayid Adam Bin Muchamad Agil Al Atas</t>
  </si>
  <si>
    <t>Deta Widyaningrum</t>
  </si>
  <si>
    <t>Nabila Atika Fauzia</t>
  </si>
  <si>
    <t>Utami Kartika Wulan</t>
  </si>
  <si>
    <t>https://drive.google.com/open?id=1qxVlRP3gJvJ83GVBugCrfcFudx0x3WrH7RK4vJKZdRA&amp;usp=drive_copy</t>
  </si>
  <si>
    <t>AHMAD DWI NURWANTO</t>
  </si>
  <si>
    <t>TEGAR ERDIANTO PRATAMA</t>
  </si>
  <si>
    <t>ARHAM ISLAMI</t>
  </si>
  <si>
    <t>Andika Wisnu Wibowo</t>
  </si>
  <si>
    <t>Ana Windra Werdana</t>
  </si>
  <si>
    <t>Aulia Dwinda Putri</t>
  </si>
  <si>
    <t>Prima Rosita Sari</t>
  </si>
  <si>
    <t>Mirsatun Khasanah</t>
  </si>
  <si>
    <t>Li Lanfeng</t>
  </si>
  <si>
    <t>Liao Xiaoqing</t>
  </si>
  <si>
    <t>https://drive.google.com/open?id=1zYL5bnFz5mu0SGSZvdxL0LUsjhwX4VzNaVuZnMUArCk&amp;usp=drive_copy</t>
  </si>
  <si>
    <t>MUHAMMAD SYAFIQ PRASETYO</t>
  </si>
  <si>
    <t>MUHAMMAD JAKA DARMAWAN</t>
  </si>
  <si>
    <t>RUDI WIDIYANA</t>
  </si>
  <si>
    <t>Rihadatul Aisy</t>
  </si>
  <si>
    <t>Agung Betuah Prantika</t>
  </si>
  <si>
    <t>Rosebella Nur Shahida Andhika Saputri</t>
  </si>
  <si>
    <t>Ragil Nursyarifah Amna</t>
  </si>
  <si>
    <t>Safira Anggraeni</t>
  </si>
  <si>
    <t>Fadila Nur Salsabela</t>
  </si>
  <si>
    <t>https://drive.google.com/open?id=19OXvvJG73L7zFakAj-D78OPeowZrM1dVOLUKMWse13M&amp;usp=drive_copy</t>
  </si>
  <si>
    <t>MUHAMMAD FAUZI ALFAYED</t>
  </si>
  <si>
    <t>PRAMALIA ULFY RISKY HASTANTO</t>
  </si>
  <si>
    <t>CHELSYA AZZAHRA LARASATI</t>
  </si>
  <si>
    <t>Diana Eka Septyawati</t>
  </si>
  <si>
    <t>Tegar Lesmana</t>
  </si>
  <si>
    <t>Nadia Oktaviani</t>
  </si>
  <si>
    <t>Muhammad Arifin Nuhuyanan</t>
  </si>
  <si>
    <t>Muflih Abdullah Zufar</t>
  </si>
  <si>
    <t>Erisa Putri Cahyani</t>
  </si>
  <si>
    <t>https://drive.google.com/open?id=1ux_omYs00ZIRBqO_vvyjDrGxqtMqjIMPcLxc9xdvc20&amp;usp=drive_copy</t>
  </si>
  <si>
    <t>SUJUD PANGESTU</t>
  </si>
  <si>
    <t>Iis Listiayana Salsabila</t>
  </si>
  <si>
    <t>Amiftha Salsabila Flancio</t>
  </si>
  <si>
    <t>Fakhri Wildan Yusuf</t>
  </si>
  <si>
    <t>Chiko Aditya Jaya</t>
  </si>
  <si>
    <t>Aqila Saniya Salsabila</t>
  </si>
  <si>
    <t>Yanis Insanul Ifkar</t>
  </si>
  <si>
    <t>Putri Dwi Wulandri</t>
  </si>
  <si>
    <t>Karina</t>
  </si>
  <si>
    <t>Teng Yan</t>
  </si>
  <si>
    <t>Zhang Qin</t>
  </si>
  <si>
    <t>https://drive.google.com/open?id=1hN48lGmjWpWkYR21-StJeMuNKeUeuY9SvvUkLpfTpH0&amp;usp=drive_copy</t>
  </si>
  <si>
    <t>MUHAMMAD FATHUR RACHMAN JIMMY</t>
  </si>
  <si>
    <t>Muhammad Faid Alim</t>
  </si>
  <si>
    <t>Vidha Kharisma</t>
  </si>
  <si>
    <t>Izul Muttaqin</t>
  </si>
  <si>
    <t>Urbana Dyah Putri Pinasthi</t>
  </si>
  <si>
    <t>Sevira Elza Erinaldy</t>
  </si>
  <si>
    <t>Tri Septy Nurmalasari</t>
  </si>
  <si>
    <t>Kamala Sukma Juliyanti</t>
  </si>
  <si>
    <t>https://drive.google.com/open?id=1MjSJ48VsUvAW9wEYhku_bTzxlU7EC2eYH8buDy7GMn0&amp;usp=drive_copy</t>
  </si>
  <si>
    <t>NAUFAL ARDHANA PUTRA</t>
  </si>
  <si>
    <t>ULVA WIKARDIYANTI</t>
  </si>
  <si>
    <t>Devi Nirmala Hapsari</t>
  </si>
  <si>
    <t>Handy Rayendra</t>
  </si>
  <si>
    <t>Ivana Meyda Lestari</t>
  </si>
  <si>
    <t>Alfitra Rifki Sebastian</t>
  </si>
  <si>
    <t>Hanifah Nur Erma</t>
  </si>
  <si>
    <t>https://drive.google.com/open?id=1GYquKqn3r0ZCMvCxQ0_dCzC-2h3S21njVFgNpsaEvEw&amp;usp=drive_copy</t>
  </si>
  <si>
    <t>Khodijah</t>
  </si>
  <si>
    <t>Sabrina Putri Fadhila</t>
  </si>
  <si>
    <t>Muh. Ryan Abdillah</t>
  </si>
  <si>
    <t>Erni Cipta Komala</t>
  </si>
  <si>
    <t>Noer Achmad Syahid Haq</t>
  </si>
  <si>
    <t>Amelina Sepriliani</t>
  </si>
  <si>
    <t>Haiqkal Bachtiar Usman</t>
  </si>
  <si>
    <t>Doni Oktawijaya Panggabean</t>
  </si>
  <si>
    <t>Yuni Wulandari</t>
  </si>
  <si>
    <t>Wei Feiyan</t>
  </si>
  <si>
    <t>Shao Xinjie</t>
  </si>
  <si>
    <t>https://drive.google.com/open?id=1_cpM8SFh9NZqujvKsLm6w5tNwwMFRflxdHMAv0X1HpE&amp;usp=drive_copy</t>
  </si>
  <si>
    <t>JEFRI EDI SUMANTRI</t>
  </si>
  <si>
    <t>KRISHNA KASIALANG</t>
  </si>
  <si>
    <t>Nisrina Khoirunnisa</t>
  </si>
  <si>
    <t>Tyas Permata Hayanti</t>
  </si>
  <si>
    <t>Ulinnuha Nur Alfissuroya</t>
  </si>
  <si>
    <t>Hermalia Rosalina Fitri</t>
  </si>
  <si>
    <t>Adhitya Wahyu Febry Kurniawan</t>
  </si>
  <si>
    <t>Haryo Tetuko</t>
  </si>
  <si>
    <t>Lulu Fitriani</t>
  </si>
  <si>
    <t>https://drive.google.com/open?id=1QYz-5adfwKa6Eptf2jisKw_mgaoIJEI4pp8242sJUMM&amp;usp=drive_copy</t>
  </si>
  <si>
    <t>MUHAMMAD FAISAL KHASBI</t>
  </si>
  <si>
    <t>ELDA AFRIANDAYANI</t>
  </si>
  <si>
    <t>Syahrul Hidayat</t>
  </si>
  <si>
    <t>MUHAMMAD ZAIN POHAN</t>
  </si>
  <si>
    <t>ELIZA FADILAH NAINGGOLAN</t>
  </si>
  <si>
    <t>Pangestika Rona Leonsa</t>
  </si>
  <si>
    <t>Ade Husni Laelati Noer</t>
  </si>
  <si>
    <t>Helmi Kamal</t>
  </si>
  <si>
    <t>Juwita Sukmaningsih</t>
  </si>
  <si>
    <t>https://drive.google.com/open?id=1I8C_UgjRaroa0SowO9lxKRWUEKhYffU47MZTZ2LS2Xw&amp;usp=drive_copy</t>
  </si>
  <si>
    <t>Gilang Romadhon</t>
  </si>
  <si>
    <t>Andrian Pratista Amarta</t>
  </si>
  <si>
    <t>Zahra Rasyida</t>
  </si>
  <si>
    <t>Vilia Bhekti Pertiwi</t>
  </si>
  <si>
    <t>Febi Kusdiana Sari</t>
  </si>
  <si>
    <t>Lupi Isnaniyah</t>
  </si>
  <si>
    <t>Imam Triwahyudi</t>
  </si>
  <si>
    <t>Sefi Fifit Fardana</t>
  </si>
  <si>
    <t>Zhou Yilin</t>
  </si>
  <si>
    <t>Huang Qitao</t>
  </si>
  <si>
    <t>https://drive.google.com/open?id=1v22mzuSWLt2ZDEoN1NNFkTozSm0nN0SKVh2EVilzU44&amp;usp=drive_copy</t>
  </si>
  <si>
    <t>SULMA ADHITYAYULI</t>
  </si>
  <si>
    <t>Agung Novianto</t>
  </si>
  <si>
    <t>Wahyu Tri Mahesa</t>
  </si>
  <si>
    <t>SURIANTI</t>
  </si>
  <si>
    <t>Alya Savira</t>
  </si>
  <si>
    <t>Sela Anggraini</t>
  </si>
  <si>
    <t>Risky Kristiyanto</t>
  </si>
  <si>
    <t>Eno Alifia</t>
  </si>
  <si>
    <t>Bagus Prakoso</t>
  </si>
  <si>
    <t>https://drive.google.com/open?id=1xmPvvV6D_6PxB9GT5NdPQTv2eJOtsA6v0GSQ1Xiu4a8&amp;usp=drive_copy</t>
  </si>
  <si>
    <t>Iffan Alifqha Ghazy</t>
  </si>
  <si>
    <t>FATHIYAH SALSABILA LATUCONSINA</t>
  </si>
  <si>
    <t>Siti Nur Amalia</t>
  </si>
  <si>
    <t>Hamim Fajar Al'abid</t>
  </si>
  <si>
    <t>Aditya Nanda Irawan</t>
  </si>
  <si>
    <t>Sambudi</t>
  </si>
  <si>
    <t>Aza Afa Usna</t>
  </si>
  <si>
    <t>Annis Nisa'ul Muna</t>
  </si>
  <si>
    <t>Lulu Mediamah Salsabila</t>
  </si>
  <si>
    <t>https://drive.google.com/open?id=1uQ9JHX2PHGbkCLb3Nl-puhFM8TAyzueOIKu5LntVzUM&amp;usp=drive_copy</t>
  </si>
  <si>
    <t>II.D.4</t>
  </si>
  <si>
    <t>SALWA RAHMADIYANTI</t>
  </si>
  <si>
    <t>MUHAMMAD FAISAL SUPRIANSYAH</t>
  </si>
  <si>
    <t>ALDO SUTAMA</t>
  </si>
  <si>
    <t>MOCH. IZZAL AZIZI</t>
  </si>
  <si>
    <t>Fajarullah Kapitang</t>
  </si>
  <si>
    <t>Anisa Santalia</t>
  </si>
  <si>
    <t>Trias Pramedikawati</t>
  </si>
  <si>
    <t>Hasna Martha Naura</t>
  </si>
  <si>
    <t>Rahmatika Maulida</t>
  </si>
  <si>
    <t>Li Jie</t>
  </si>
  <si>
    <t>Pu Weikang</t>
  </si>
  <si>
    <t>https://drive.google.com/open?id=1zqWk2RzD3ZISP5pEqRHV_UOKPxgiq3K2008z6ObDq-o&amp;usp=drive_copy</t>
  </si>
  <si>
    <t>IV.C.4</t>
  </si>
  <si>
    <t>ANGGA NOFE SEPTIAWAN</t>
  </si>
  <si>
    <t>Rohimatul Adawiyah</t>
  </si>
  <si>
    <t>Fawaz Yafi Arkana</t>
  </si>
  <si>
    <t>Muhammad Daffa Ramadhan</t>
  </si>
  <si>
    <t>Nisrina Qurratu' Ain</t>
  </si>
  <si>
    <t>Rijal Khoirul Anam</t>
  </si>
  <si>
    <t>Ade Krismaningrum</t>
  </si>
  <si>
    <t>Rika Anggraini</t>
  </si>
  <si>
    <t>Amelia Mahalifayzia</t>
  </si>
  <si>
    <t>https://drive.google.com/open?id=1S8HXocRKGh0PXzjCQQfus5g-NlIeRuYEaC7IsVRw54k&amp;usp=drive_copy</t>
  </si>
  <si>
    <t>AGUS LINAWATI</t>
  </si>
  <si>
    <t>Maulana Ibrohim</t>
  </si>
  <si>
    <t>Devinta Antika Devi</t>
  </si>
  <si>
    <t>Pandu Wijaya</t>
  </si>
  <si>
    <t>Mutia Nurfarida</t>
  </si>
  <si>
    <t>Agung Dwi Payana</t>
  </si>
  <si>
    <t>Dini Diarti</t>
  </si>
  <si>
    <t>Ach Basiturrohman</t>
  </si>
  <si>
    <t>Septiana Wahyu Wulandari</t>
  </si>
  <si>
    <t>https://drive.google.com/open?id=1F8mh2f_xCHvYVXqCZR4UE3A7zt9fJAtyBMCw_Pbd0-E&amp;usp=drive_copy</t>
  </si>
  <si>
    <t>Reguler Periode ke-111</t>
  </si>
  <si>
    <t>Kuroboyo, Caturharjo, Pandak</t>
  </si>
  <si>
    <t>Muhammad Afnan Reza Sholikhan</t>
  </si>
  <si>
    <t>Dian Agung Rahmawan</t>
  </si>
  <si>
    <t>Abdi Fahruzain</t>
  </si>
  <si>
    <t>Rukyatun</t>
  </si>
  <si>
    <t>Ratih Pujilestari</t>
  </si>
  <si>
    <t>Cynthia Triani Suwandi</t>
  </si>
  <si>
    <t>Ardelia Arista Putri</t>
  </si>
  <si>
    <t>Marchelya Putri Widasetya</t>
  </si>
  <si>
    <t>Tri Indah Sulistiawati</t>
  </si>
  <si>
    <t>https://drive.google.com/open?id=1W_GCuGDf3OciGTTLCGHtEvG_4wtDNIC5o7RV4Jfcpwo&amp;usp=drive_copy</t>
  </si>
  <si>
    <t>MAULANA NUR REZA PUTRA</t>
  </si>
  <si>
    <t>Habib Al Huda</t>
  </si>
  <si>
    <t>Dika Aulia</t>
  </si>
  <si>
    <t>Mutiara Nur Fadhilah</t>
  </si>
  <si>
    <t>Alya Tasya Widya Dhana</t>
  </si>
  <si>
    <t>Suqya Prajdna Bawika</t>
  </si>
  <si>
    <t>Lutfia Ananda Moury</t>
  </si>
  <si>
    <t>Ahmad Zidan Akbar</t>
  </si>
  <si>
    <t>Amanda Tirta Putri Cahyo</t>
  </si>
  <si>
    <t>https://drive.google.com/open?id=1Lkqbz3rBV8yB5jpHujxLdkQpr3Gb2Nmxp-CN8dwZ0W8&amp;usp=drive_copy</t>
  </si>
  <si>
    <t>IRVIN RYAN AFFANDI</t>
  </si>
  <si>
    <t>Bagus Prayoga</t>
  </si>
  <si>
    <t>Ma'ruf Aliansyah Rumatiga</t>
  </si>
  <si>
    <t>Difa Nur Agung Riani</t>
  </si>
  <si>
    <t>Nur Hasanah</t>
  </si>
  <si>
    <t>Irma Aulia Pratiwi</t>
  </si>
  <si>
    <t>Aghniatus Shelly Nabilah</t>
  </si>
  <si>
    <t>Zalfa Adtya Rahmabillah</t>
  </si>
  <si>
    <t>Harrosma Hawa Omberzky</t>
  </si>
  <si>
    <t>https://drive.google.com/open?id=16NmzZdRIh7OW3EYKMashGS-DuqM1W3V1603dcQGNJ2M&amp;usp=drive_copy</t>
  </si>
  <si>
    <t>Al Qarni Dhony Abdul Azis</t>
  </si>
  <si>
    <t>PRASTIKA BAGASKORO</t>
  </si>
  <si>
    <t>Finaldi Ardan Narendra</t>
  </si>
  <si>
    <t>Evanitha Kurrata Aini</t>
  </si>
  <si>
    <t>Baiq Alia Teni Susilawati</t>
  </si>
  <si>
    <t>Yasfin Syifa Syakirah</t>
  </si>
  <si>
    <t>Siti Nur Rahmah</t>
  </si>
  <si>
    <t>Adellya Dyah Pramudya Wardhani</t>
  </si>
  <si>
    <t>Salma Fauziyyah Ramadhani</t>
  </si>
  <si>
    <t>https://drive.google.com/open?id=16MyVWQLNl7HMCmx8YWNFG_zmTXRoJ1gwvLsSTUWr_wg&amp;usp=drive_copy</t>
  </si>
  <si>
    <t>Wahyu Noveriyanto</t>
  </si>
  <si>
    <t>Rizky Maulana Putra Milang</t>
  </si>
  <si>
    <t>KHAMDAN ADE ASROFI</t>
  </si>
  <si>
    <t>Qania Alivia Anindita</t>
  </si>
  <si>
    <t>Alifia Suryaning Pertiwi</t>
  </si>
  <si>
    <t>Sri Rahmawati Agus</t>
  </si>
  <si>
    <t>Mita Utami</t>
  </si>
  <si>
    <t>Risma Soliha Nita</t>
  </si>
  <si>
    <t>Putri Yulanda</t>
  </si>
  <si>
    <t>https://drive.google.com/open?id=1BU0UUT5RNqv4BJFlEX9VuiIHltXkcSj7Uea1cuR_7ow&amp;usp=drive_copy</t>
  </si>
  <si>
    <t>Gluntung Lor, Caturharjo, Pandak</t>
  </si>
  <si>
    <t>Winardi Adi Putra</t>
  </si>
  <si>
    <t>Dwi Irianto</t>
  </si>
  <si>
    <t>Lalu Aden Atmawinata</t>
  </si>
  <si>
    <t>Nilam Cahyanti</t>
  </si>
  <si>
    <t>Nur Intan Permatasari</t>
  </si>
  <si>
    <t>Yokmal Willis Ayuningtyas</t>
  </si>
  <si>
    <t>Yolanda Anastasya</t>
  </si>
  <si>
    <t>Afidah Yulia Septiani</t>
  </si>
  <si>
    <t>Salwa Nabila Rindra Siwi</t>
  </si>
  <si>
    <t>https://drive.google.com/open?id=1bUrbjQoyRd_8zWya9Ql-oZVVEdKMJVD62WjZnWWglEY&amp;usp=drive_copy</t>
  </si>
  <si>
    <t>Satria Bayu Heriaji</t>
  </si>
  <si>
    <t>Adha Syah Majid</t>
  </si>
  <si>
    <t>Ahmad Alfi Alfarizy</t>
  </si>
  <si>
    <t>Lisdini Nurbaeti</t>
  </si>
  <si>
    <t>Indah Yupitasari</t>
  </si>
  <si>
    <t>Khanisa Nathania</t>
  </si>
  <si>
    <t>Ristika Putri Rahmad Dewi</t>
  </si>
  <si>
    <t>Hamesti Kekeswari</t>
  </si>
  <si>
    <t>Aulia Haidar Syahida</t>
  </si>
  <si>
    <t>https://drive.google.com/open?id=1Dqc_Pf95YQXb5424igOMFHGNucg4DNgzS87U9cUeycU&amp;usp=drive_copy</t>
  </si>
  <si>
    <t>ZHAKI PHALOSA IVANEDO</t>
  </si>
  <si>
    <t>Dwi Yuliastanto</t>
  </si>
  <si>
    <t>Fatih Fahriyyani Fadila</t>
  </si>
  <si>
    <t>Muhamad Raihansyah Mudjarab</t>
  </si>
  <si>
    <t>Haniefah Lisa Arini</t>
  </si>
  <si>
    <t>Nurarina Dian Prihatin</t>
  </si>
  <si>
    <t>Diva Elian Tri Zena</t>
  </si>
  <si>
    <t>Tika Sabella</t>
  </si>
  <si>
    <t>Nida Latifah</t>
  </si>
  <si>
    <t>https://drive.google.com/open?id=1fRTVWq5RsLQHXiDjB1uhc_0c6GRGIzAkt24qjlxFN5o&amp;usp=drive_copy</t>
  </si>
  <si>
    <t>Albert Siraj Rozal Ginola</t>
  </si>
  <si>
    <t>Jangkung Pangestu Aji</t>
  </si>
  <si>
    <t>Novita Anggraeni Lestari</t>
  </si>
  <si>
    <t>Afiifah Indah Putri</t>
  </si>
  <si>
    <t>Aulia Rahmawati</t>
  </si>
  <si>
    <t>Nova Firrizqi Hariyanti</t>
  </si>
  <si>
    <t>Nabila Fitriana Putri</t>
  </si>
  <si>
    <t>Muhammad Rayhan Fuadi</t>
  </si>
  <si>
    <t>Fathiyya Zuba Hafizha</t>
  </si>
  <si>
    <t>https://drive.google.com/open?id=1RKYZkFFOssiMJvj3ZKK89rKRTdj2oQ5ZIGmHPlaWj8I&amp;usp=drive_copy</t>
  </si>
  <si>
    <t>Dhimas Panji Pratama</t>
  </si>
  <si>
    <t>Kulsum Misnawati</t>
  </si>
  <si>
    <t>Rizka Nurul Zahra</t>
  </si>
  <si>
    <t>Claudia Wildana Syiba</t>
  </si>
  <si>
    <t>Riyan Adi Saputro</t>
  </si>
  <si>
    <t>Nafilah Nur Irsyad</t>
  </si>
  <si>
    <t>Kharisma</t>
  </si>
  <si>
    <t>Agung Setya Fajar Barmantara</t>
  </si>
  <si>
    <t>Zulfa Nurfaizati</t>
  </si>
  <si>
    <t>https://drive.google.com/open?id=1f0Z3c9FhlPQcA_mStNucrGOMAA6WSd7OQOeTDngX6gk&amp;usp=drive_copy</t>
  </si>
  <si>
    <t>Muhammad Hasfar Asy'am</t>
  </si>
  <si>
    <t>Mohammad Noviyan Tandago</t>
  </si>
  <si>
    <t>Galuh Rizky Andini</t>
  </si>
  <si>
    <t>Priscella Aryzasativa Putri</t>
  </si>
  <si>
    <t>Rimadina Sukmasuci Lestari</t>
  </si>
  <si>
    <t>Putri Dira Nabila</t>
  </si>
  <si>
    <t>Dayinta Wimala</t>
  </si>
  <si>
    <t>Taufiq Qurohman</t>
  </si>
  <si>
    <t>Aisyah Melynia Amany</t>
  </si>
  <si>
    <t>https://drive.google.com/open?id=1fU1JXOTykueNJng4Yr5LHGOHott98hjFCCQ3_vke5nQ&amp;usp=drive_copy</t>
  </si>
  <si>
    <t>Fauzan Resta Maulana</t>
  </si>
  <si>
    <t>Agam Gunawan Setiaji</t>
  </si>
  <si>
    <t>Anggi Putri Widya Astuti</t>
  </si>
  <si>
    <t>Putri Arifa Cahya Maharani</t>
  </si>
  <si>
    <t>Yasmin Aliya Putri</t>
  </si>
  <si>
    <t>Dzakira Tsabita Atmaji</t>
  </si>
  <si>
    <t>Nur Fadzlina Sulistiyani</t>
  </si>
  <si>
    <t>Azka El Falaahi</t>
  </si>
  <si>
    <t>Eka Puji Rahayu</t>
  </si>
  <si>
    <t>https://drive.google.com/open?id=1qz-QanfNnKYCuEUwecPOPU4pSGBcW0ts_uhGZXtaLs8&amp;usp=drive_copy</t>
  </si>
  <si>
    <t>Tegallayang 10, Caturharjo, Pandak</t>
  </si>
  <si>
    <t>ALDI RIZKI</t>
  </si>
  <si>
    <t>Muhammad Deni Akbar</t>
  </si>
  <si>
    <t>Zam Zam Maulal Qodir Iskandar</t>
  </si>
  <si>
    <t>Erisca Mei Pracilia</t>
  </si>
  <si>
    <t>Baiq Yashinta Mega Kartika</t>
  </si>
  <si>
    <t>Lediana Mareza</t>
  </si>
  <si>
    <t>Ardana Cahya Putri</t>
  </si>
  <si>
    <t>Salsabila Balqis Wijaya</t>
  </si>
  <si>
    <t>Sinta Dewi</t>
  </si>
  <si>
    <t>https://drive.google.com/open?id=1I3AF19kK7L1mKBHF-HNiBhq5ToSl1LbuuMHzVkPdcUo&amp;usp=drive_copy</t>
  </si>
  <si>
    <t>Fajar Rifai</t>
  </si>
  <si>
    <t>Ikra Muhibban Ananta</t>
  </si>
  <si>
    <t>Resti Permatasari</t>
  </si>
  <si>
    <t>Indah Purnama Sari</t>
  </si>
  <si>
    <t>Elvaretta Fauziyah</t>
  </si>
  <si>
    <t>Priska Ardya Rahmawati</t>
  </si>
  <si>
    <t>Nurul Aini</t>
  </si>
  <si>
    <t>Malinda Satya Ningrum</t>
  </si>
  <si>
    <t>Akbar Halim Faridho</t>
  </si>
  <si>
    <t>https://drive.google.com/open?id=1jAMIDgWJQybcb8r7KykpfwMb-EcHt5QEdWF1kNkZ5Ns&amp;usp=drive_copy</t>
  </si>
  <si>
    <t>Razy Afqari</t>
  </si>
  <si>
    <t>Sucianti</t>
  </si>
  <si>
    <t>Ahmad Sukmo Buono</t>
  </si>
  <si>
    <t>Hanastiti</t>
  </si>
  <si>
    <t>Ivanka Anya Novembria Aksan</t>
  </si>
  <si>
    <t>Siti Nur Barokah</t>
  </si>
  <si>
    <t>Meysa Putri Aryani</t>
  </si>
  <si>
    <t>Yoga Budi Prabowo</t>
  </si>
  <si>
    <t>Wanda Zurohtul Mawadah</t>
  </si>
  <si>
    <t>https://drive.google.com/open?id=1sGrah5s8iEACXhZq_fvr19mWahjeuT0zh2ZVftcP-3k&amp;usp=drive_copy</t>
  </si>
  <si>
    <t>Tanjungan, Caturharjo, Pandak</t>
  </si>
  <si>
    <t>Muhammad Rais Panji Maulana</t>
  </si>
  <si>
    <t>Novi Intan Wulandari</t>
  </si>
  <si>
    <t>Rahmad Budi Setyawan</t>
  </si>
  <si>
    <t>Diza Shahdeva Utami</t>
  </si>
  <si>
    <t>Azra Layla Nurunnisa</t>
  </si>
  <si>
    <t>Nur Laila Isnaini</t>
  </si>
  <si>
    <t>Devi Andina Ningrum</t>
  </si>
  <si>
    <t>Rahman Al Padli</t>
  </si>
  <si>
    <t>Sakila Ghina Athifa Eka Bhavani</t>
  </si>
  <si>
    <t>https://drive.google.com/open?id=1EZZlf-oZkJOSuzCoedEqasBDz1cZkRN6OJBsdqLytVo&amp;usp=drive_copy</t>
  </si>
  <si>
    <t>TSALAS PUTRA AZRIT</t>
  </si>
  <si>
    <t>Alina Firdaus Ghozali</t>
  </si>
  <si>
    <t>Dhea Resmayu</t>
  </si>
  <si>
    <t>Elvira Nasria Yuniar</t>
  </si>
  <si>
    <t>Azzahra Anyelir Dinda Kinanty</t>
  </si>
  <si>
    <t>Rabiatul Adawiyah</t>
  </si>
  <si>
    <t>Tri Indah Lestari</t>
  </si>
  <si>
    <t>Natazya Warosati Dzularsyi</t>
  </si>
  <si>
    <t>Sobir Sahrudin</t>
  </si>
  <si>
    <t>085766811390 / 082377839851</t>
  </si>
  <si>
    <t>https://drive.google.com/open?id=1G6R0o5Pv0LcGQYBrrDDjvimc0cHTaZk2TzWJX4Wu7ns&amp;usp=drive_copy</t>
  </si>
  <si>
    <t>Julya Syahmin</t>
  </si>
  <si>
    <t>Danang Jati Prasojo</t>
  </si>
  <si>
    <t>Silvia Kiki Fatmawati</t>
  </si>
  <si>
    <t>Andini Cahya Lentari</t>
  </si>
  <si>
    <t>Audina Fitriani</t>
  </si>
  <si>
    <t>Rifta Dinda Sevira</t>
  </si>
  <si>
    <t>Bagas Nugroho Dewantoro</t>
  </si>
  <si>
    <t>Putri Nurhasanah Saragih</t>
  </si>
  <si>
    <t>Ridho Ayu Lestari</t>
  </si>
  <si>
    <t>https://drive.google.com/open?id=1biTi2ymlkV4x9dXvw9oFu6Sw05uBhDTp5wXV7PymxRg&amp;usp=drive_copy</t>
  </si>
  <si>
    <t>Tegallayang 9, Caturharjo, Pandak</t>
  </si>
  <si>
    <t>MIFTAHUL HUDA</t>
  </si>
  <si>
    <t>Liwa'ul Hamdi</t>
  </si>
  <si>
    <t>Anggraini Winda Saputri</t>
  </si>
  <si>
    <t>Nur Muthi'ah Ali</t>
  </si>
  <si>
    <t>Nida Nurmalia Mulyani</t>
  </si>
  <si>
    <t>Azzahro Imada Millah</t>
  </si>
  <si>
    <t>Suci Ika Listiani</t>
  </si>
  <si>
    <t>Sayshinta Maharani Rimbai</t>
  </si>
  <si>
    <t>Faris Husnan</t>
  </si>
  <si>
    <t>https://drive.google.com/open?id=188Cz7H5iEkxNMg9roX8vCsWndIEsyC3uohC-u-2_1FU&amp;usp=drive_copy</t>
  </si>
  <si>
    <t>ALDILLA WEDYA GUSMAN</t>
  </si>
  <si>
    <t>Rifqi Ahnaf Firdaus</t>
  </si>
  <si>
    <t>Lm. Ihram Alfadin Rihani</t>
  </si>
  <si>
    <t>Lilis Karlina</t>
  </si>
  <si>
    <t>Agil Oktanona</t>
  </si>
  <si>
    <t>Yessi Putri Sejati</t>
  </si>
  <si>
    <t>Zulfani Azizah</t>
  </si>
  <si>
    <t>Esty Dwi Lathifah</t>
  </si>
  <si>
    <t>Firman Mirdhi Putra</t>
  </si>
  <si>
    <t>https://drive.google.com/open?id=1RcvHn8UmSUJnVTdhZDqkVTd6AyOnH3nsRPYso4rouDk&amp;usp=drive_copy</t>
  </si>
  <si>
    <t>Amil Salim</t>
  </si>
  <si>
    <t>Mufid Prabowo</t>
  </si>
  <si>
    <t>Ewina Hasmita Hanisna</t>
  </si>
  <si>
    <t>Salsabilla Fitri Ayu Rizky</t>
  </si>
  <si>
    <t>Adzkia Sekar Ayuningtyas</t>
  </si>
  <si>
    <t>Syaima' Rihan Fasyir</t>
  </si>
  <si>
    <t>Adila Diyan Anggraeni</t>
  </si>
  <si>
    <t>Mahmud Suja'i</t>
  </si>
  <si>
    <t>Risma Rahmawati</t>
  </si>
  <si>
    <t>https://drive.google.com/open?id=1YH1tpdzFQjPmqYxFGID-KIc1M73TGdL9ohNRiS2KZpE&amp;usp=drive_copy</t>
  </si>
  <si>
    <t>Assadiqi Alfin Fadli</t>
  </si>
  <si>
    <t>Hanifah Syeivaul Afra</t>
  </si>
  <si>
    <t>Fihki Nur Rahmawati</t>
  </si>
  <si>
    <t>Meidinati Ikhlasul Amalia</t>
  </si>
  <si>
    <t>Faradina Dewi Ardiyanti</t>
  </si>
  <si>
    <t>M. Riyan Firmansyah</t>
  </si>
  <si>
    <t>Luthfia Akhsani</t>
  </si>
  <si>
    <t>Muthmainnatun Nur Khikmah</t>
  </si>
  <si>
    <t>Muhammad Dimas Abdillah</t>
  </si>
  <si>
    <t>https://drive.google.com/open?id=13QhkliNcfriD2DUW8HuH6dOshknm0I0cqz7sQlTzgmI&amp;usp=drive_copy</t>
  </si>
  <si>
    <t>Dimas Aditya Ananda</t>
  </si>
  <si>
    <t>Nur Faizatun Khasanah</t>
  </si>
  <si>
    <t>Firdha Amelia</t>
  </si>
  <si>
    <t>Evi Lutfia</t>
  </si>
  <si>
    <t>Aditya Waskitha Nugraha</t>
  </si>
  <si>
    <t>Namila Hidayatul Anjani</t>
  </si>
  <si>
    <t>Fifi Khoiriyati</t>
  </si>
  <si>
    <t>Aistifayah Lestita Sari</t>
  </si>
  <si>
    <t>https://drive.google.com/open?id=10mbr-0vwM8kYmIfhGJyI31hWVUgazf863FXyTN0cu2A&amp;usp=drive_copy</t>
  </si>
  <si>
    <t>Gesikan 3, Wijirejo, Pandak</t>
  </si>
  <si>
    <t>Mushlih Mugiri Suwandar</t>
  </si>
  <si>
    <t>Achmad Ardian Zuvani</t>
  </si>
  <si>
    <t>Dewi Kurniawati</t>
  </si>
  <si>
    <t>Aulia Fitriannisa</t>
  </si>
  <si>
    <t>Khairunnisa</t>
  </si>
  <si>
    <t>Etika Khairunisa</t>
  </si>
  <si>
    <t>Puspita Syifa Fadhila</t>
  </si>
  <si>
    <t>Muhammad Fathillah Risan</t>
  </si>
  <si>
    <t>Ely Devi Agustin</t>
  </si>
  <si>
    <t>https://drive.google.com/open?id=1YWX9TQlOJvLswET9G6iypcmHdHdVOFR_-rKFuAQyoUc&amp;usp=drive_copy</t>
  </si>
  <si>
    <t>Gesikan 4, Wijirejo, Pandak</t>
  </si>
  <si>
    <t>A.Achmad Amirul Dinul</t>
  </si>
  <si>
    <t>Hariyanto</t>
  </si>
  <si>
    <t>Putri Aryati</t>
  </si>
  <si>
    <t>Endang Makmuroh</t>
  </si>
  <si>
    <t>Annisa Shohwatul Islam</t>
  </si>
  <si>
    <t>Baiq Octavia Zahwa Islami</t>
  </si>
  <si>
    <t>Mia Aprilia Wulandari</t>
  </si>
  <si>
    <t>Muhammad Siade Ritonga</t>
  </si>
  <si>
    <t>Dian Ariyani</t>
  </si>
  <si>
    <t>https://drive.google.com/open?id=1_Z9xhlLNQp8Gg84MYo3lOwLL1j3O0rpkd188A6qymLE&amp;usp=drive_copy</t>
  </si>
  <si>
    <t>Wahyu Padliansyah Liambo</t>
  </si>
  <si>
    <t>Rinas Yahzunka Yunsharun</t>
  </si>
  <si>
    <t>Shalwa Aulia Rahma</t>
  </si>
  <si>
    <t>Rinduantika Dwi Putriansyah</t>
  </si>
  <si>
    <t>Salma Yasmin</t>
  </si>
  <si>
    <t>Hindri</t>
  </si>
  <si>
    <t>Wanda Amalia Putri</t>
  </si>
  <si>
    <t>Irma Suratna Wulandari</t>
  </si>
  <si>
    <t>https://drive.google.com/open?id=1kFh-M-hT8ij3Uec8M8S6NZ1xdxzBrB7XYxkvhSPqxGU&amp;usp=drive_copy</t>
  </si>
  <si>
    <t>Fachri Nugraha</t>
  </si>
  <si>
    <t>Enggal Duta Insani</t>
  </si>
  <si>
    <t>Marsita Wulandari</t>
  </si>
  <si>
    <t>Khoirunisa Salsabila</t>
  </si>
  <si>
    <t>Primas Nika Ambarani</t>
  </si>
  <si>
    <t>Rovinka Salma Moenikha</t>
  </si>
  <si>
    <t>Ahmad Nasrun Hidayat Subekhi</t>
  </si>
  <si>
    <t>Adesti Tasafya</t>
  </si>
  <si>
    <t>https://drive.google.com/open?id=13ss263b1v0zCi3a6DhT3Z7lXL24RgSPEnJ8zBbN4iKw&amp;usp=drive_copy</t>
  </si>
  <si>
    <t>Ahmad Zyusrotul Hanna</t>
  </si>
  <si>
    <t>Moh.arif Alfian.n</t>
  </si>
  <si>
    <t>Aula Sari</t>
  </si>
  <si>
    <t>Fairuz Azzahra Khairiyah Falah</t>
  </si>
  <si>
    <t>Dwi Arimbi Setia Ningrum</t>
  </si>
  <si>
    <t>Silvia Febrianti</t>
  </si>
  <si>
    <t>Frisca Linda Widiana</t>
  </si>
  <si>
    <t>Muchammad Maulana Isnan</t>
  </si>
  <si>
    <t>Halimatus Sabila</t>
  </si>
  <si>
    <t>https://drive.google.com/open?id=15KZ--t3Q0kkTCxhyfiIGFFjAhGJJsnt0xLok7nrdO38&amp;usp=drive_copy</t>
  </si>
  <si>
    <t>Yahya Wahyu Bagaskara</t>
  </si>
  <si>
    <t>Rachmada Eka Aryningtyas</t>
  </si>
  <si>
    <t>Aditya Fachluzi Fatiby</t>
  </si>
  <si>
    <t>Az'zahra Tiara Diranti</t>
  </si>
  <si>
    <t>Melvy Septria Maghfirroh</t>
  </si>
  <si>
    <t>Mahatma Ayu Kheila Sandi</t>
  </si>
  <si>
    <t>Khafiza Nurriati</t>
  </si>
  <si>
    <t>Hendra Saputra</t>
  </si>
  <si>
    <t>Iffatur Rohmah</t>
  </si>
  <si>
    <t>https://drive.google.com/open?id=1F_9OAvKz0KlFsPKIxwKI3CJWvfkj5tmmyxQqpkANOIc&amp;usp=drive_copy</t>
  </si>
  <si>
    <t>R. Sumantri Hardhianto</t>
  </si>
  <si>
    <t>Nur Lasni Romlah Latri Dasaningsih</t>
  </si>
  <si>
    <t>Muhammad Fajar Satria</t>
  </si>
  <si>
    <t>Lia Kharisma Putri</t>
  </si>
  <si>
    <t>Zafira Desy Wiratna</t>
  </si>
  <si>
    <t>Lailiyatul Fauziah</t>
  </si>
  <si>
    <t>Jesika Violina Kusumawati</t>
  </si>
  <si>
    <t>Dwi Arsita</t>
  </si>
  <si>
    <t>Afriza Afkar</t>
  </si>
  <si>
    <t>https://drive.google.com/open?id=1OkOJ9-fcwAxIY0UiNGHafkZR6crApqZVOZT7fs3rOh8&amp;usp=drive_copy</t>
  </si>
  <si>
    <t>Muhammad Yarham</t>
  </si>
  <si>
    <t>Rangga Alfaro Bagas Pangestu</t>
  </si>
  <si>
    <t>Rina Aulia</t>
  </si>
  <si>
    <t>Ayuninda Nur Padila</t>
  </si>
  <si>
    <t>Almaida Khansa Gunawan</t>
  </si>
  <si>
    <t>Meisa Dika Putri</t>
  </si>
  <si>
    <t>Shafira Qoriy Ramadhani</t>
  </si>
  <si>
    <t>Annas Maidanin</t>
  </si>
  <si>
    <t>Ngazzah Hanun Nabilah</t>
  </si>
  <si>
    <t>https://drive.google.com/open?id=1qi8RpRUilbwQp6yaE6A4fo9IsrE1w4X5EuFk7MfPJvw&amp;usp=drive_copy</t>
  </si>
  <si>
    <t>Kadisoro, Gilangharjo, Pandak</t>
  </si>
  <si>
    <t>IGES ALDA ALFATIHAH</t>
  </si>
  <si>
    <t>Gilar Hana Kusuma</t>
  </si>
  <si>
    <t>Shintia Ananda Susanto</t>
  </si>
  <si>
    <t>Bahiroh Agustin</t>
  </si>
  <si>
    <t>Elisa Afriani</t>
  </si>
  <si>
    <t>Maulana Putra</t>
  </si>
  <si>
    <t>Khanif Faozi</t>
  </si>
  <si>
    <t>Anis Afaf Azizah</t>
  </si>
  <si>
    <t>Anzela Kemala Devy</t>
  </si>
  <si>
    <t>https://drive.google.com/open?id=1jozkSJ-c0pOQMXXCjkAgYrmDaFrwUr9J-GPsDi4AnnM&amp;usp=drive_copy</t>
  </si>
  <si>
    <t>Trivita Annisa Utami</t>
  </si>
  <si>
    <t>Putri Utami</t>
  </si>
  <si>
    <t>Dwi Reza Damur Saputra</t>
  </si>
  <si>
    <t>Athiya Salma Nabila</t>
  </si>
  <si>
    <t>Sabitah Alya Putri</t>
  </si>
  <si>
    <t>Alda Amanatun Khoiriyah</t>
  </si>
  <si>
    <t>Farhan Subhani</t>
  </si>
  <si>
    <t>Yuliana Rahma Dewi</t>
  </si>
  <si>
    <t>https://drive.google.com/open?id=1qwXEmEX155112a9wvWtRYTctoBhotoIAq4SwhNWQGq0&amp;usp=drive_copy</t>
  </si>
  <si>
    <t>Nirmala Sari Nurhikmat Putri</t>
  </si>
  <si>
    <t>Andhika Pratama Indriansyah</t>
  </si>
  <si>
    <t>Dyanita Utami</t>
  </si>
  <si>
    <t>Nanda Dwi Putri Gamalia</t>
  </si>
  <si>
    <t>Rinday Zildjiani Salji</t>
  </si>
  <si>
    <t>Andhyka Arief Herlambang</t>
  </si>
  <si>
    <t>Deny Rachman</t>
  </si>
  <si>
    <t>Nur Faphuss Ikrimah</t>
  </si>
  <si>
    <t>Aisyah Tri Wahyu Anggraeni</t>
  </si>
  <si>
    <t>https://drive.google.com/open?id=18qSbAXw4IAiqN7UMYpJ_lqFs-ERDVHiBfjRGi1nDb6o&amp;usp=drive_copy</t>
  </si>
  <si>
    <t>Ratih Sekarini</t>
  </si>
  <si>
    <t>Ihsan Purnama Jaya</t>
  </si>
  <si>
    <t>Muhammad Sawalludin</t>
  </si>
  <si>
    <t>Levi Nadia Rosa Putri</t>
  </si>
  <si>
    <t>Novia Laras Wati</t>
  </si>
  <si>
    <t>Putry Ayu Auliasari</t>
  </si>
  <si>
    <t>Muhammad Fahmi Farobbi</t>
  </si>
  <si>
    <t>Henny Siska Amadianti</t>
  </si>
  <si>
    <t>Wulandari</t>
  </si>
  <si>
    <t>https://drive.google.com/open?id=1Q79oxW6H3J_Qyqs3cDucMJP-QsuGGkB1CzQx4IA372I&amp;usp=drive_copy</t>
  </si>
  <si>
    <t>SHINTIA SFIFANI</t>
  </si>
  <si>
    <t>Fhadila Akbar</t>
  </si>
  <si>
    <t>Andi Bunga Sanusi</t>
  </si>
  <si>
    <t>Deswita Rindiani</t>
  </si>
  <si>
    <t>Tsania Nidaul Husna</t>
  </si>
  <si>
    <t>Nafta Rizky Maulana</t>
  </si>
  <si>
    <t>Shifani Rahayu</t>
  </si>
  <si>
    <t>Aspar Taufiq</t>
  </si>
  <si>
    <t>Fazhar Nuryasari</t>
  </si>
  <si>
    <t>https://drive.google.com/open?id=112_AMzoi6eIQvc9EhNq3E6l0-jMuicXT_27Prs-ZtyA&amp;usp=drive_copy</t>
  </si>
  <si>
    <t>Rahmat Ghafur</t>
  </si>
  <si>
    <t>Dayana Nawangsa Putri</t>
  </si>
  <si>
    <t>Musti Sugianti</t>
  </si>
  <si>
    <t>Fauziah Nurhasanah</t>
  </si>
  <si>
    <t>Risa Asti Hermalasari</t>
  </si>
  <si>
    <t>Irene Enjeli Purba</t>
  </si>
  <si>
    <t>Muhammad Yusril Isma'il</t>
  </si>
  <si>
    <t>Dayu Mega Maharani</t>
  </si>
  <si>
    <t>Shaldi Agdita</t>
  </si>
  <si>
    <t>0812 20727816</t>
  </si>
  <si>
    <t>https://drive.google.com/open?id=1MabMWeb11l_jAiWX5XaI1pSiAKaScicTVXK6tjp2KlU&amp;usp=drive_copy</t>
  </si>
  <si>
    <t>Ngaran, Gilangharjo, Pandak</t>
  </si>
  <si>
    <t>Wisnu Wardhana Putra</t>
  </si>
  <si>
    <t>Annissa Nurmaningrum</t>
  </si>
  <si>
    <t>Izzah Tsabitah Qurrota A'yun</t>
  </si>
  <si>
    <t>Muhammad Rifky Gibran Irkhami</t>
  </si>
  <si>
    <t>Ardhana Putri Attama</t>
  </si>
  <si>
    <t>Faishal Nugroho Ramadani Putra</t>
  </si>
  <si>
    <t>Isnaini Valentina Nur Anisa</t>
  </si>
  <si>
    <t>Muhammad Arrullah Safriawan</t>
  </si>
  <si>
    <t>083119421684 / 082225992819</t>
  </si>
  <si>
    <t>https://drive.google.com/open?id=1bHeKpf4EVsL3rafD5oed2cGiFdyJruYGBv-FzcLrm6g&amp;usp=drive_copy</t>
  </si>
  <si>
    <t>Alifah Triandita Juliana</t>
  </si>
  <si>
    <t>Adimas Faiz Jati Husodo</t>
  </si>
  <si>
    <t>Clara Egidia</t>
  </si>
  <si>
    <t>Fadli Ramadan</t>
  </si>
  <si>
    <t>Icha Putri Purnamandari</t>
  </si>
  <si>
    <t>Safira Rahma Madani</t>
  </si>
  <si>
    <t>Hanif Mulia Hati</t>
  </si>
  <si>
    <t>Dieva Ayu Yasinta</t>
  </si>
  <si>
    <t>Risqi Maulana Afandi</t>
  </si>
  <si>
    <t>https://drive.google.com/open?id=1jX14CpXtesjpB5tgFjcb3mrSIbWULZ-AotF87YvuNsY&amp;usp=drive_copy</t>
  </si>
  <si>
    <t>Charmila Pattimura</t>
  </si>
  <si>
    <t>Muhammad Iqbaal Fadhlurrohman</t>
  </si>
  <si>
    <t>Ratna Widyaningsih</t>
  </si>
  <si>
    <t>Miftahul Solichin</t>
  </si>
  <si>
    <t>Aufa Daffa' Nazhifah</t>
  </si>
  <si>
    <t>Nabillah Rahmadani</t>
  </si>
  <si>
    <t>Erla Wulan Safitri</t>
  </si>
  <si>
    <t>Muhammad Ariq</t>
  </si>
  <si>
    <t>Adila Fitriani</t>
  </si>
  <si>
    <t>https://drive.google.com/open?id=1zZHX4a0FY2YJ2Eu5EhItf_gs00d53mwfU6nmXVTq2sI&amp;usp=drive_copy</t>
  </si>
  <si>
    <t>Krekah, Gilangharjo, Pandak</t>
  </si>
  <si>
    <t>Dimas Agung Nur Hidayat</t>
  </si>
  <si>
    <t>Zulhanton Bagasatya</t>
  </si>
  <si>
    <t>Dhea Ainun Zahira</t>
  </si>
  <si>
    <t>Lia Anggraini</t>
  </si>
  <si>
    <t>Iqbal Hidayat</t>
  </si>
  <si>
    <t>Gea Mu'inatul Umah</t>
  </si>
  <si>
    <t>Azizah Putri Kharismawati</t>
  </si>
  <si>
    <t>Sinta Anggraeni</t>
  </si>
  <si>
    <t>Hafidz Asadulloh</t>
  </si>
  <si>
    <t>https://drive.google.com/open?id=1gjojWKaW77IWMv44XbLSysOJaL7bE-RN3ZWpUdIommo&amp;usp=drive_copy</t>
  </si>
  <si>
    <t>Muhamad Fitroni</t>
  </si>
  <si>
    <t>Alip Zawahri</t>
  </si>
  <si>
    <t>Nanda Pretty Amalia Zakiah</t>
  </si>
  <si>
    <t>R Randa Dwi Noviansyah</t>
  </si>
  <si>
    <t>Aldya Nabila Rosmeisya</t>
  </si>
  <si>
    <t>Muhammad Rocky Candra Wijaya</t>
  </si>
  <si>
    <t>Annisa Shafa Khoeriyah</t>
  </si>
  <si>
    <t>Azalia Thifani Daffa</t>
  </si>
  <si>
    <t>Indah Dwi Kurniasari</t>
  </si>
  <si>
    <t>https://drive.google.com/open?id=1U9IhFiWSDuBKDWs_Q35FSL0yDRfuP0oq7UOlt7OUh4Y&amp;usp=drive_copy</t>
  </si>
  <si>
    <t>Tegallurung , Gilangharjo, Pandak</t>
  </si>
  <si>
    <t>Dimas Abimanyu</t>
  </si>
  <si>
    <t>Muh Ismail Alfan Zamzami</t>
  </si>
  <si>
    <t>Arum Aning Tiyas</t>
  </si>
  <si>
    <t>Nensi Astria Ningsih</t>
  </si>
  <si>
    <t>Resy Meirani</t>
  </si>
  <si>
    <t>Na'imatul Aufa</t>
  </si>
  <si>
    <t>Ripin</t>
  </si>
  <si>
    <t>Desalni Cyntha Wulandari</t>
  </si>
  <si>
    <t>Najma Farida</t>
  </si>
  <si>
    <t>https://drive.google.com/open?id=1EWNwkTNxoPbagahazsgN5ecMqHNPGiE2yIHWv4vyCk4&amp;usp=drive_copy</t>
  </si>
  <si>
    <t>Depok, Gilangharjo, Pandak</t>
  </si>
  <si>
    <t>Berryl Kholif Arachman</t>
  </si>
  <si>
    <t>Abdul Khaliq Jabir</t>
  </si>
  <si>
    <t>Dimas Adi Kurniawan Putra</t>
  </si>
  <si>
    <t>Ihsani Ristia Hawa</t>
  </si>
  <si>
    <t>Ananda Chicha Pradilla Dwi Putri Irawan</t>
  </si>
  <si>
    <t>Auralia Isninaini</t>
  </si>
  <si>
    <t>Andi Eka Wahyu Oktaviansyah</t>
  </si>
  <si>
    <t>Rikha Rahim Fatmala</t>
  </si>
  <si>
    <t>Desri Setia Ningsih</t>
  </si>
  <si>
    <t>https://drive.google.com/open?id=1_AAseG4k6qbmz9dnFEb5m4Wt2PHaxgFYS0EBaMH3BYM&amp;usp=drive_copy</t>
  </si>
  <si>
    <t>Bambang Robi'in S.T.,M.T.</t>
  </si>
  <si>
    <t>Plugon, Donomulyo, Nanggulan</t>
  </si>
  <si>
    <t>Nanggulan</t>
  </si>
  <si>
    <t>Ali Hanapiah</t>
  </si>
  <si>
    <t>Muhammad Hega Rabbani</t>
  </si>
  <si>
    <t>Ahmad Gibran</t>
  </si>
  <si>
    <t>Nurulita Diah Wulandari Masdi Maryanah</t>
  </si>
  <si>
    <t>Finggar Kurnia Murti</t>
  </si>
  <si>
    <t>Syifa Rakhmi Maulida</t>
  </si>
  <si>
    <t>Nur Shabrina Awanis</t>
  </si>
  <si>
    <t>Putri Fatimah Zahra</t>
  </si>
  <si>
    <t>Dimas Loveian Dwi Nugroho</t>
  </si>
  <si>
    <t>https://drive.google.com/open?id=1Lk6E6szCZxhHjuz7lZa-A1CxGfD2ia3gaD7SYUWrlCw&amp;usp=drive_copy</t>
  </si>
  <si>
    <t>Penjalin, Donomulyo, Nanggulan</t>
  </si>
  <si>
    <t>Achmad Harits Firmansyah</t>
  </si>
  <si>
    <t>Agusti Andres Setiawan</t>
  </si>
  <si>
    <t>Khairunisa</t>
  </si>
  <si>
    <t>Elsa Anggun Rahmawati</t>
  </si>
  <si>
    <t>Seviana Noor Rachmawati</t>
  </si>
  <si>
    <t>Yopita Eka Widiana</t>
  </si>
  <si>
    <t>Gitza Satralya</t>
  </si>
  <si>
    <t>Noor Muhammad Alif Sholahuddin</t>
  </si>
  <si>
    <t>Nabila Zalva Audhistya</t>
  </si>
  <si>
    <t>https://drive.google.com/open?id=1jajxmCI0_tJWdvCbQ1ARhcQODExydt4nspmZoWDLbYE&amp;usp=drive_copy</t>
  </si>
  <si>
    <t>Donomerto, Donomulyo, Nanggulan</t>
  </si>
  <si>
    <t>Aldi Rio Prayogi</t>
  </si>
  <si>
    <t>Yoga Aditya Putra Kusuma</t>
  </si>
  <si>
    <t>Bella Vernanda</t>
  </si>
  <si>
    <t>Cindy Fathia Hapsari</t>
  </si>
  <si>
    <t>Silvia Gita Saputri</t>
  </si>
  <si>
    <t>Nida Rahmadhia Saputra</t>
  </si>
  <si>
    <t>Sindi Antika</t>
  </si>
  <si>
    <t>Gunawan Saputra</t>
  </si>
  <si>
    <t>Nurfitriningsih</t>
  </si>
  <si>
    <t>https://drive.google.com/open?id=1C_4Dx2yWp5F-kWIdkAmd4xPLMP1r_axfG0EQDBFEN_4&amp;usp=drive_copy</t>
  </si>
  <si>
    <t>Sorogaten, Donomulyo, Nanggulan</t>
  </si>
  <si>
    <t>Muhammad Herpiko</t>
  </si>
  <si>
    <t>Moh Arif Islam Udin</t>
  </si>
  <si>
    <t>Ika Nandra Tiara</t>
  </si>
  <si>
    <t>Intan Mufida</t>
  </si>
  <si>
    <t>Zuhrotul Fatiah</t>
  </si>
  <si>
    <t>Diana Rukmana Putri</t>
  </si>
  <si>
    <t>Muhammad 'aqil Wahyunta</t>
  </si>
  <si>
    <t>Tiara Fatimah Az Zahra</t>
  </si>
  <si>
    <t>Aisyah Fadila Nur Izzahafiati</t>
  </si>
  <si>
    <t>https://drive.google.com/open?id=1gp-STXwLZ7ksJXWsEH9Se3ppe-mCXxDjiCtHrDrGUi8&amp;usp=drive_copy</t>
  </si>
  <si>
    <t>Wareng, Donomulyo, Nanggulan</t>
  </si>
  <si>
    <t>Dian Purnomo</t>
  </si>
  <si>
    <t>Imam Triyudho</t>
  </si>
  <si>
    <t>Vicamarinda Adeandari Citrasari</t>
  </si>
  <si>
    <t>Azizah Latifah</t>
  </si>
  <si>
    <t>Desy Yuzma Austin</t>
  </si>
  <si>
    <t>Ika Rahmawati</t>
  </si>
  <si>
    <t>Sutopo Habib Burohman</t>
  </si>
  <si>
    <t>Anggita Ari Prameswari Kawuryan</t>
  </si>
  <si>
    <t>Alya Azzahra Salsabila</t>
  </si>
  <si>
    <t>https://drive.google.com/open?id=1cqQPDYJshoAfoB9TRdfQY17UcIJ036j9FIUGLT35Mkg&amp;usp=drive_copy</t>
  </si>
  <si>
    <t>Jambon, Donomulyo, Nanggulan</t>
  </si>
  <si>
    <t>Febrian Razak Gusman</t>
  </si>
  <si>
    <t>Farid Aditya Putra</t>
  </si>
  <si>
    <t>Eshin Selina</t>
  </si>
  <si>
    <t>Asta Novita Said</t>
  </si>
  <si>
    <t>Ajeng Oka Dwi Saputri</t>
  </si>
  <si>
    <t>Asti Rizki Saputri</t>
  </si>
  <si>
    <t>Octa Farisca Vindiatmoko</t>
  </si>
  <si>
    <t>Annisa Kurnia Fitriani</t>
  </si>
  <si>
    <t>Anindya Ayu Pratiwi</t>
  </si>
  <si>
    <t>082159281449 / 081256365992</t>
  </si>
  <si>
    <t>https://drive.google.com/open?id=1kiSshQuQgpKyFFh5lh66q67s7KCAJ3wlZ5vtWI0lHcg&amp;usp=drive_copy</t>
  </si>
  <si>
    <t>Brangkal, Banyuroto, Nanggulan</t>
  </si>
  <si>
    <t>Nogizan Ekbal Sanusi</t>
  </si>
  <si>
    <t>Felki Triputra</t>
  </si>
  <si>
    <t>Nurul Fitria Syaifuddin</t>
  </si>
  <si>
    <t>Mekha Medina</t>
  </si>
  <si>
    <t>Utari Rindutia Wardhani</t>
  </si>
  <si>
    <t>Selvi Aprilia Dea Kumala</t>
  </si>
  <si>
    <t>Sofia Nur Kholisa</t>
  </si>
  <si>
    <t>Nur Maulana Ikhsan</t>
  </si>
  <si>
    <t>Windi Anisa Husnah</t>
  </si>
  <si>
    <t>https://drive.google.com/open?id=1fN9WTZ4BlhzJmkw5hijUhiIlKOUsybDyVzCyji02UAc&amp;usp=drive_copy</t>
  </si>
  <si>
    <t>Sambiroto, Banyuroto, Nanggulan</t>
  </si>
  <si>
    <t>GUSTI LUTHFI HAIKAL FIQRI</t>
  </si>
  <si>
    <t>Restu Panggraito</t>
  </si>
  <si>
    <t>Fadilla Ayu Lestari</t>
  </si>
  <si>
    <t>Indah Permatasari Angkotasan</t>
  </si>
  <si>
    <t>Kayla Azzalia</t>
  </si>
  <si>
    <t>Kartika Ash'shidhqu</t>
  </si>
  <si>
    <t>Khairunisyah Yusriah</t>
  </si>
  <si>
    <t>Asy-Syaffa Qotrunnada Mufida Yumna</t>
  </si>
  <si>
    <t>Tegar Adhitama Dava Patria</t>
  </si>
  <si>
    <t>https://drive.google.com/open?id=1qX1Cycb5q9fdejXxrC5tDEUuiRoPEL6lrlKM5_p1FK0&amp;usp=drive_copy</t>
  </si>
  <si>
    <t>Dlingo, Banyuroto, Nanggulan</t>
  </si>
  <si>
    <t>Muhammad Firza Anugrah Nur Pratama</t>
  </si>
  <si>
    <t>Ahmad Jundullah</t>
  </si>
  <si>
    <t>Celica Yuniar</t>
  </si>
  <si>
    <t>Aldera Mahendradata Kundewanto</t>
  </si>
  <si>
    <t>Windani Ayu Larasati Setya Ningrum</t>
  </si>
  <si>
    <t>Amanita Muscaria Putri</t>
  </si>
  <si>
    <t>Muhhamad Putra Akbar</t>
  </si>
  <si>
    <t>Alda Puspa Hidayat</t>
  </si>
  <si>
    <t>Mella Inaz Salsabila</t>
  </si>
  <si>
    <t>https://drive.google.com/open?id=1vJQhAHyCp0iYVhrC3FVecoPao5DKZVbzYlR0rdC8mug&amp;usp=drive_copy</t>
  </si>
  <si>
    <t>Klajuran, Tanjungharjo, Nanggulan</t>
  </si>
  <si>
    <t>Rahmad Adhie Prayoga</t>
  </si>
  <si>
    <t>Muhammad Tri Adzhari Iqsan</t>
  </si>
  <si>
    <t>Resti Erliani</t>
  </si>
  <si>
    <t>Nisa Fatimah</t>
  </si>
  <si>
    <t>Syifa Rabsyah</t>
  </si>
  <si>
    <t>Meisya Abida Efialeska</t>
  </si>
  <si>
    <t>Naufal Afif</t>
  </si>
  <si>
    <t>Nazhif Ghani Alvidri</t>
  </si>
  <si>
    <t>Afifah Alif Khoiriah</t>
  </si>
  <si>
    <t>https://drive.google.com/open?id=17kbKWMzjWXPAUvz-vPypeO3KNNGgrUZXvzztKfA-F84&amp;usp=drive_copy</t>
  </si>
  <si>
    <t>Tanggulangin, Tanjungharjo, Nanggulan</t>
  </si>
  <si>
    <t>Yusril Fatya</t>
  </si>
  <si>
    <t>Sukri Aria Ganda</t>
  </si>
  <si>
    <t>Nabil Muhyiddin Hajj</t>
  </si>
  <si>
    <t>Prasasti Shabrina</t>
  </si>
  <si>
    <t>Lutfia Nur Annisa</t>
  </si>
  <si>
    <t>Dewi Shefia</t>
  </si>
  <si>
    <t>Nurma Kurnia Dewi</t>
  </si>
  <si>
    <t>Senny Siara</t>
  </si>
  <si>
    <t>Siti Kamaria Ali Paokuma</t>
  </si>
  <si>
    <t>https://drive.google.com/open?id=1mco9cLjzQnY4uXiMOOPx_fU2rhhUTlz-LMmgaJIWQVM&amp;usp=drive_copy</t>
  </si>
  <si>
    <t>Kemukus, Tanjungharjo, Nanggulan</t>
  </si>
  <si>
    <t>Liandra Prayoga</t>
  </si>
  <si>
    <t>Salsabila Dwi Fatimah</t>
  </si>
  <si>
    <t>Oktavian Tri Nugroho</t>
  </si>
  <si>
    <t>Sarah Dwi Fauzia</t>
  </si>
  <si>
    <t>Hanan Akilah</t>
  </si>
  <si>
    <t>Nur Alia Nisa Mubarochah</t>
  </si>
  <si>
    <t>Ananda Wahyu Astuti</t>
  </si>
  <si>
    <t>Dimas Aditya Harianto</t>
  </si>
  <si>
    <t>Lisa Yuliyanti Cahyaningrum</t>
  </si>
  <si>
    <t>https://drive.google.com/open?id=1eAUiwnv25gIxi_M3hv8Y_2BqqOMs7Hz56cYir8lp70M&amp;usp=drive_copy</t>
  </si>
  <si>
    <t>Tegalsari, Wijimulyo, Nanggulan</t>
  </si>
  <si>
    <t>Yusuf</t>
  </si>
  <si>
    <t>Oktamidanta Hidayatur Rizal</t>
  </si>
  <si>
    <t>Salwa Tiara Nugraha</t>
  </si>
  <si>
    <t>Diah Eka Wahyuni</t>
  </si>
  <si>
    <t>Rema Adha</t>
  </si>
  <si>
    <t>Yunita Eka Kurniawati</t>
  </si>
  <si>
    <t>Ita Dewanti</t>
  </si>
  <si>
    <t>Zain Makruf</t>
  </si>
  <si>
    <t>Bela Herpera</t>
  </si>
  <si>
    <t>https://drive.google.com/open?id=1MrejJrplIKDiOadU5wBIaPWbk_bEaP81_zrIL-04hKQ&amp;usp=drive_copy</t>
  </si>
  <si>
    <t>Sokorojo, Wijimulyo, Nanggulan</t>
  </si>
  <si>
    <t>Catur Prasetiyo</t>
  </si>
  <si>
    <t>Nizar Risqy Andhreawan</t>
  </si>
  <si>
    <t>Adi Surahmat</t>
  </si>
  <si>
    <t>Eva Putri Wahyuningsih</t>
  </si>
  <si>
    <t>Diva Hayuningtyas</t>
  </si>
  <si>
    <t>Nursholehatunisah</t>
  </si>
  <si>
    <t>Teges Pagista</t>
  </si>
  <si>
    <t>Diah Agustina Ratri Ningrum</t>
  </si>
  <si>
    <t>Fatmawati Waldania</t>
  </si>
  <si>
    <t>https://drive.google.com/open?id=1tsIodRSz24w_PZMtOuk1zD2qSUpuAIJOMNZBmszMLGI&amp;usp=drive_copy</t>
  </si>
  <si>
    <t>Rejoso, Wijimulyo, Nanggulan</t>
  </si>
  <si>
    <t>PURNOMO AJI NUGROHO</t>
  </si>
  <si>
    <t>Mhd Rifki Armanda Sinaga</t>
  </si>
  <si>
    <t>Vina Kusdiyanti</t>
  </si>
  <si>
    <t>Annisa Shofi Rofifah</t>
  </si>
  <si>
    <t>Rizka Andriani</t>
  </si>
  <si>
    <t>Leoni Nanda Wulandari</t>
  </si>
  <si>
    <t>Mega Adiva Putri</t>
  </si>
  <si>
    <t>Danendra Tsaqifta V Firjatullah</t>
  </si>
  <si>
    <t>Farah Faisatun Nasirah</t>
  </si>
  <si>
    <t>https://drive.google.com/open?id=19HroPzzkmiZzm6tC2ANSMFbNSMSMb2EabDKeadenDbk&amp;usp=drive_copy</t>
  </si>
  <si>
    <t>Desi Nurfita, S.K.M., M.Kes. (Epid)</t>
  </si>
  <si>
    <t>Setan, Wijimulyo, Nanggulan</t>
  </si>
  <si>
    <t>Muhamad Taufikurrohman</t>
  </si>
  <si>
    <t>Arin Cintia Putri</t>
  </si>
  <si>
    <t>Alfian Fikri Indardi</t>
  </si>
  <si>
    <t>Aditya Kuncoro Jati</t>
  </si>
  <si>
    <t>Dwi Tara</t>
  </si>
  <si>
    <t>Riana Dewi</t>
  </si>
  <si>
    <t>Athifah Chanunah</t>
  </si>
  <si>
    <t>Annisa Rachma Mardiyah</t>
  </si>
  <si>
    <t>Shahwatul Islam Nurfadhilah</t>
  </si>
  <si>
    <t>https://drive.google.com/open?id=1M0O7KTLx0wqIvFensHByOPlVhErYtR1f0ZecyfXkFMs&amp;usp=drive_copy</t>
  </si>
  <si>
    <t>Wijilan, Wijimulyo, Nanggulan</t>
  </si>
  <si>
    <t>Randi Pranata</t>
  </si>
  <si>
    <t>Ayu Arrum Azzahra</t>
  </si>
  <si>
    <t>Khusna Fauziyyah</t>
  </si>
  <si>
    <t>Risa Widiastuti</t>
  </si>
  <si>
    <t>Sitti Naryah M. Ahad</t>
  </si>
  <si>
    <t>Yosa Mufrih Nasrulloh</t>
  </si>
  <si>
    <t>Salsabila Aghnaita Wiratama</t>
  </si>
  <si>
    <t>Rasendriya Apuila Sindhupaksi</t>
  </si>
  <si>
    <t>Muhammad Iqbal Zulfikar</t>
  </si>
  <si>
    <t>https://drive.google.com/open?id=102r7nKugopJHYu-XT1-7cBNDOnKcIGuFNtRHRl_2mcg&amp;usp=drive_copy</t>
  </si>
  <si>
    <t>Temanggal, Wijimulyo, Nanggulan</t>
  </si>
  <si>
    <t>Muhammad Arkaan Arief</t>
  </si>
  <si>
    <t>Haris Ihsan Adhyasa</t>
  </si>
  <si>
    <t>Prima Hendra Enggal Prayogi</t>
  </si>
  <si>
    <t>Chaterina Cahyani</t>
  </si>
  <si>
    <t>Nur Intan</t>
  </si>
  <si>
    <t>Meiliana Putri Wirdaningsih</t>
  </si>
  <si>
    <t>Najwa Soraya Iskandar</t>
  </si>
  <si>
    <t>Endang Kurniasih</t>
  </si>
  <si>
    <t>Alfin Rizki Fauzia</t>
  </si>
  <si>
    <t>0812?2951?5557? WA</t>
  </si>
  <si>
    <t>https://drive.google.com/open?id=1z3ChhJSr0KAV7qa0nJKi1S70IRf1GlAzGnAG20UpG_o&amp;usp=drive_copy</t>
  </si>
  <si>
    <t>Jatingarang Lor, Jatisarono, Nanggulan</t>
  </si>
  <si>
    <t>Novian Tri Saputra</t>
  </si>
  <si>
    <t>Ita Yulianti</t>
  </si>
  <si>
    <t>Yoga Dwi Putra Gotama</t>
  </si>
  <si>
    <t>Dewina Tya Fitriana</t>
  </si>
  <si>
    <t>Endah Puspa Ningrum</t>
  </si>
  <si>
    <t>Dini Hanifah</t>
  </si>
  <si>
    <t>Abdul Rozaq</t>
  </si>
  <si>
    <t>Lini Aulia Zuhra</t>
  </si>
  <si>
    <t>Febrianti Dwi Wahyuni</t>
  </si>
  <si>
    <t>https://drive.google.com/open?id=1FH-j3S2Aaq3Gofr7IzXAg0_U45KFkdKOl7hx9rjOyPg&amp;usp=drive_copy</t>
  </si>
  <si>
    <t>Kauman, Jatisarono, Nanggulan</t>
  </si>
  <si>
    <t>Muhammad Basila Ardi Syabana</t>
  </si>
  <si>
    <t>Nazhif Nafi' Dinulloh</t>
  </si>
  <si>
    <t>Eka Aprilia</t>
  </si>
  <si>
    <t>Fonnyka Sari</t>
  </si>
  <si>
    <t>Ernidawati</t>
  </si>
  <si>
    <t>Afifah Khoirunnisa</t>
  </si>
  <si>
    <t>Gery Jhordy</t>
  </si>
  <si>
    <t>Helsi Yanti Handayani</t>
  </si>
  <si>
    <t>Hindun Fadhillah</t>
  </si>
  <si>
    <t>https://drive.google.com/open?id=1rzdx9UAhbIRoxrMEutVUaRWfVqoguv6al7RHo09Q7qs&amp;usp=drive_copy</t>
  </si>
  <si>
    <t>Bejaten, Jatisarono, Nanggulan</t>
  </si>
  <si>
    <t>Rizki Aidil Akbar</t>
  </si>
  <si>
    <t>Muhammad Wafiq Rasyid</t>
  </si>
  <si>
    <t>Diah Pancawati</t>
  </si>
  <si>
    <t>Andini Rahmi Putri</t>
  </si>
  <si>
    <t>Annisa Pratiwi</t>
  </si>
  <si>
    <t>Rumaizah Izzatunnisa'</t>
  </si>
  <si>
    <t>Wahyu Febriana</t>
  </si>
  <si>
    <t>Semedhy Purwa Putra Ardava</t>
  </si>
  <si>
    <t>Salian</t>
  </si>
  <si>
    <t>https://drive.google.com/open?id=1rY1y9v9wU3tikCxYk5bZrEOXkSjSmrYf_42fVy3Wq3E&amp;usp=drive_copy</t>
  </si>
  <si>
    <t>Ana Hidayati S.Far., M.Sc.,Apt.</t>
  </si>
  <si>
    <t>Grubug, Jatisarono, Nanggulan</t>
  </si>
  <si>
    <t>SURAHMAN</t>
  </si>
  <si>
    <t>Fatihah Rizqiyah</t>
  </si>
  <si>
    <t>Arief Munawar</t>
  </si>
  <si>
    <t>Nidaan Hapiyya Datri</t>
  </si>
  <si>
    <t>Dita Nur Ayuni</t>
  </si>
  <si>
    <t>Annisa Ayu Pratita</t>
  </si>
  <si>
    <t>Sigit Nur Hidayat</t>
  </si>
  <si>
    <t>Mia Ranjani</t>
  </si>
  <si>
    <t>Ghina Siti Faozah</t>
  </si>
  <si>
    <t>https://drive.google.com/open?id=1NPdAmiUllW4QQdU323H-amB3GiuTrLbw65BFi1EUbw8&amp;usp=drive_copy</t>
  </si>
  <si>
    <t>Soronongan, Jatisarono, Nanggulan</t>
  </si>
  <si>
    <t>Ahmad Refi Arrahman</t>
  </si>
  <si>
    <t>Deana Ratnasari</t>
  </si>
  <si>
    <t>Fauzan Syafiq Abdullah</t>
  </si>
  <si>
    <t>Giska Aldilla Permana Putri</t>
  </si>
  <si>
    <t>Vallentina Astri Hapsari</t>
  </si>
  <si>
    <t>Lucky Juni Ardi</t>
  </si>
  <si>
    <t>Diah Ayu Ningtias</t>
  </si>
  <si>
    <t>Afwah Rafi Miftah Supriyadi</t>
  </si>
  <si>
    <t>Agna Aulia Azzahra</t>
  </si>
  <si>
    <t>https://drive.google.com/open?id=1zmrMFDtuU7Zb3qQokSgZvMH6lwHO2rzwp_0JiY5R4h8&amp;usp=drive_copy</t>
  </si>
  <si>
    <t>Karang, Jatisarono, Nanggulan</t>
  </si>
  <si>
    <t>Galang Arzika Syahda</t>
  </si>
  <si>
    <t>Habib Mustofa</t>
  </si>
  <si>
    <t>Annisa Rauf</t>
  </si>
  <si>
    <t>Sultan Tri Alifiansyah Supratman</t>
  </si>
  <si>
    <t>Raisya Mutiara Elvana</t>
  </si>
  <si>
    <t>Ratna Dwi Ningrum</t>
  </si>
  <si>
    <t>Mulyadi</t>
  </si>
  <si>
    <t>Giestha Dwie Noer Fadhillah</t>
  </si>
  <si>
    <t>Alsyifanita Ra. Oktaviana</t>
  </si>
  <si>
    <t>https://drive.google.com/open?id=1E-39bO3bNSRhmNES2Fyy636-L9pMZTXgm9NWrYaIPv0&amp;usp=drive_copy</t>
  </si>
  <si>
    <t>Pronosutan, Kembang, Nanggulan</t>
  </si>
  <si>
    <t>Naufal Angga Winatra</t>
  </si>
  <si>
    <t>Hanafi Nurhuda Avicena</t>
  </si>
  <si>
    <t>Cindy Cahyani Wulandari</t>
  </si>
  <si>
    <t>Scudetto Qudwah .a</t>
  </si>
  <si>
    <t>Fadiyah Shafa Salsabil</t>
  </si>
  <si>
    <t>Vina Fajri Arifati</t>
  </si>
  <si>
    <t>Hanna Putri Fayza</t>
  </si>
  <si>
    <t>Maliki Sirojudin Agani</t>
  </si>
  <si>
    <t>Anggun Nabila Husna</t>
  </si>
  <si>
    <t>0851-6152-6021</t>
  </si>
  <si>
    <t>https://drive.google.com/open?id=1CpcRgciqgAQrz5_BC2x-uy9_NNEMAfuy7JNhwF1hvqs&amp;usp=drive_copy</t>
  </si>
  <si>
    <t>Pundak Tegal, Kembang, Nanggulan</t>
  </si>
  <si>
    <t>Adella Wahyu Adriani</t>
  </si>
  <si>
    <t>Hendra Setiawan</t>
  </si>
  <si>
    <t>Aldi Tiar Mahendra</t>
  </si>
  <si>
    <t>Anggun Wahyuni</t>
  </si>
  <si>
    <t>Isna Rachma Fiany Wafiq Azizah</t>
  </si>
  <si>
    <t>Mohd. Ikbal Efer</t>
  </si>
  <si>
    <t>Devi Aulia Nanda</t>
  </si>
  <si>
    <t>Endi Nurkholis</t>
  </si>
  <si>
    <t>Nisrina Noor Khasanah</t>
  </si>
  <si>
    <t>https://drive.google.com/open?id=12ujRKi24oY7vpetZfrmCx5t98Ak9onutT0BxpFD2NXc&amp;usp=drive_copy</t>
  </si>
  <si>
    <t>Banyuurip, Jatimulyo, Dlingo</t>
  </si>
  <si>
    <t>MEGAWATI MOHALA</t>
  </si>
  <si>
    <t>Saka Virya Bagaskara</t>
  </si>
  <si>
    <t>Yuli Yulianti</t>
  </si>
  <si>
    <t>Muhammad Alfi Nur Romadhon</t>
  </si>
  <si>
    <t>Ulya Fadilah Haya</t>
  </si>
  <si>
    <t>Adelia Putri</t>
  </si>
  <si>
    <t>Hana Arneta Prasetyaningrum</t>
  </si>
  <si>
    <t>Yuni Juniarti</t>
  </si>
  <si>
    <t>Nurul Inayah</t>
  </si>
  <si>
    <t>https://drive.google.com/open?id=140ZhkVAiahpRT1th_6cUTltV8cws6uma-lJeeuJJT6k&amp;usp=drive_copy</t>
  </si>
  <si>
    <t>Maladan, Jatimulyo, Dlingo</t>
  </si>
  <si>
    <t>Ummi Faridha</t>
  </si>
  <si>
    <t>Yesshisfayn</t>
  </si>
  <si>
    <t>Klara Sagita</t>
  </si>
  <si>
    <t>Muhamad Wahyu Bahri</t>
  </si>
  <si>
    <t>Putri Ambar Ayu</t>
  </si>
  <si>
    <t>Nabila Syifa Az-zahra</t>
  </si>
  <si>
    <t>Mohammad Syah Rayhan Ibnu Cholis</t>
  </si>
  <si>
    <t>Zuhra Nur Fadhilah</t>
  </si>
  <si>
    <t>Anita Puspita Sari</t>
  </si>
  <si>
    <t>62 831-4931-3912</t>
  </si>
  <si>
    <t>https://drive.google.com/open?id=1aKhwhoTo6OQOu-TLg1sLxgh8ATb2bYtbLjtQyDGX5Sg&amp;usp=drive_copy</t>
  </si>
  <si>
    <t>Tegallawas, Jatimulyo, Dlingo</t>
  </si>
  <si>
    <t>Mumpuni Tisa Khasanah</t>
  </si>
  <si>
    <t>Ceyza Andryana Anwari</t>
  </si>
  <si>
    <t>Annisa Pratiwi Utami</t>
  </si>
  <si>
    <t>Fikri Naufal Mu'afy</t>
  </si>
  <si>
    <t>Rafna Nabilasari</t>
  </si>
  <si>
    <t>Silvia Enjelita</t>
  </si>
  <si>
    <t>Imam Hidayat</t>
  </si>
  <si>
    <t>Titiya Utami</t>
  </si>
  <si>
    <t>Marfu'atin Mutohharoh</t>
  </si>
  <si>
    <t>https://drive.google.com/open?id=1tJ9oaVdI4eBbESC0OH_aAq6lpZvnmI8SLOwxfCJ3yTk&amp;usp=drive_copy</t>
  </si>
  <si>
    <t>Heni Siswantari S.Pd., M.A</t>
  </si>
  <si>
    <t>Dodogan, Jatimulyo, Dlingo</t>
  </si>
  <si>
    <t>Iqbal Fikri</t>
  </si>
  <si>
    <t>Diesta Dwi Anggita</t>
  </si>
  <si>
    <t>Muhammad Hafidhuddin</t>
  </si>
  <si>
    <t>Ramla</t>
  </si>
  <si>
    <t>Agnin Candra Puspita</t>
  </si>
  <si>
    <t>Karimah</t>
  </si>
  <si>
    <t>Aisya Salma</t>
  </si>
  <si>
    <t>Arjunli Bagus Amorta</t>
  </si>
  <si>
    <t>Firda Widya Dewi</t>
  </si>
  <si>
    <t>https://drive.google.com/open?id=1n91_dZnAo6ulbP_WgpTe6DReCHsOLKzA0OoBXB3rE7E&amp;usp=drive_copy</t>
  </si>
  <si>
    <t>Gayam, Jatimulyo, Dlingo</t>
  </si>
  <si>
    <t>MUHAMMAD HASAN`</t>
  </si>
  <si>
    <t>Raihandy Rafi Suharman</t>
  </si>
  <si>
    <t>Nursilviyani</t>
  </si>
  <si>
    <t>Novita Widyasari</t>
  </si>
  <si>
    <t>Dimas Rizki Ramadhan</t>
  </si>
  <si>
    <t>A'yunir Rohmatun Nisa</t>
  </si>
  <si>
    <t>Rossa Al Hanifah</t>
  </si>
  <si>
    <t>Inggrita Nevada Sari</t>
  </si>
  <si>
    <t>Dita Zahrotul Fuadah</t>
  </si>
  <si>
    <t>https://drive.google.com/open?id=1GjupOWxtK-zw87q_JSH5PTCFprpcXdqguwBvEHPbSh8&amp;usp=drive_copy</t>
  </si>
  <si>
    <t>Badean, Jatimulyo, Dlingo</t>
  </si>
  <si>
    <t>Kendy Yanuarta</t>
  </si>
  <si>
    <t>Rafika Nur Cahya Setya Dewanti</t>
  </si>
  <si>
    <t>Safri Chusnuzon Muflichun</t>
  </si>
  <si>
    <t>Ali Akbar</t>
  </si>
  <si>
    <t>Hadija Abbas</t>
  </si>
  <si>
    <t>Rabiatul Adawiah</t>
  </si>
  <si>
    <t>Dias Cahya Ramadhan</t>
  </si>
  <si>
    <t>Angel Rizky Mentari Atmaja</t>
  </si>
  <si>
    <t>Yayuk Kusumawati</t>
  </si>
  <si>
    <t>https://drive.google.com/open?id=1YnweNW4B4kDthnEB8i0Nt5ZWP1XzZsnFWKgnuP1ypk4&amp;usp=drive_copy</t>
  </si>
  <si>
    <t>Wahidah Mahanani Rahayu S.TP., M.Sc.</t>
  </si>
  <si>
    <t>Loputih, Jatimulyo, Dlingo</t>
  </si>
  <si>
    <t>RADEN ADE KOESOEMA WIJAYA</t>
  </si>
  <si>
    <t>Raditya Pangestika Denta Arezha</t>
  </si>
  <si>
    <t>Ynggi Gabrillia Novewu</t>
  </si>
  <si>
    <t>Mahirda Tarekh Dwi Ananda</t>
  </si>
  <si>
    <t>Qonita Afifah</t>
  </si>
  <si>
    <t>Nafsi Hananti</t>
  </si>
  <si>
    <t>Aji Tasyhid Syakuri</t>
  </si>
  <si>
    <t>Sarah Claudia Day</t>
  </si>
  <si>
    <t>Maryam Aovira Nabila</t>
  </si>
  <si>
    <t>https://drive.google.com/open?id=13IXO_KWsN44UjR6jYAwOApXIcPgtchZKHLzXZN49ktc&amp;usp=drive_copy</t>
  </si>
  <si>
    <t>Semuten, Jatimulyo, Dlingo</t>
  </si>
  <si>
    <t>LILI SUSANTI</t>
  </si>
  <si>
    <t>Dewa Tristana Dea</t>
  </si>
  <si>
    <t>Kholitia Adinda Tiara</t>
  </si>
  <si>
    <t>Yusuf Abdillah Suroso</t>
  </si>
  <si>
    <t>Ananda Nur Rahmawati</t>
  </si>
  <si>
    <t>Farhan Adyaqsa Prihatmadi</t>
  </si>
  <si>
    <t>Widi Kurniawan</t>
  </si>
  <si>
    <t>Neizcha Salma Ramadhani</t>
  </si>
  <si>
    <t>https://drive.google.com/open?id=1zif92Bq28Io-nQ6s0AfutKm_ZvBTTgyYv8JscmasLRM&amp;usp=drive_copy</t>
  </si>
  <si>
    <t>Barry Nur Setyanto S.Pd., M.Pd.</t>
  </si>
  <si>
    <t>Rejosari, Jatimulyo, Dlingo</t>
  </si>
  <si>
    <t>Fajrin H Conoras</t>
  </si>
  <si>
    <t>Fadilah Rahma</t>
  </si>
  <si>
    <t>Sya'bani Hidayat</t>
  </si>
  <si>
    <t>Via Luthfiatul Haya</t>
  </si>
  <si>
    <t>Novita Ciptari Ramadhani</t>
  </si>
  <si>
    <t>Khofifah Rizqi Aunillah</t>
  </si>
  <si>
    <t>Miftah Nur Wahyu Anjaswari</t>
  </si>
  <si>
    <t>Aisy Zuhriyyatul Azizah</t>
  </si>
  <si>
    <t>https://drive.google.com/open?id=1N86qmhiBNI30g8xIMC8S5jr-tLrobxNcnQ0iKzmN4WQ&amp;usp=drive_copy</t>
  </si>
  <si>
    <t>Kedungdayak, Jatimulyo, Dlingo</t>
  </si>
  <si>
    <t>SIDDIQ UMARO ADNAN</t>
  </si>
  <si>
    <t>EKO SUPRYADIN</t>
  </si>
  <si>
    <t>Galuh Santoso</t>
  </si>
  <si>
    <t>Raflesia Rini Adelia Ridwan</t>
  </si>
  <si>
    <t>Winda Riska Amalia</t>
  </si>
  <si>
    <t>Nova Setiawati</t>
  </si>
  <si>
    <t>Zaidah Nisa Istiqomah</t>
  </si>
  <si>
    <t>Nahda Nadia Sholiha</t>
  </si>
  <si>
    <t>Siti Humairah</t>
  </si>
  <si>
    <t>https://drive.google.com/open?id=1Zo85uBGE13Qzd5paM2axQ0Ii1YohyoFaI_-_A5HcCoc&amp;usp=drive_copy</t>
  </si>
  <si>
    <t>Reguler Periode ke-112</t>
  </si>
  <si>
    <t>Dr. Rina Ratih Sri Sudaryani., M.Hum</t>
  </si>
  <si>
    <t>Buton, Sulawesi Tenggara</t>
  </si>
  <si>
    <t>Buton</t>
  </si>
  <si>
    <t>Andin Tresna Putri</t>
  </si>
  <si>
    <t>Laillya Annissa Kurniasih</t>
  </si>
  <si>
    <t>Fajar Ramadhan R</t>
  </si>
  <si>
    <t>Islam Madina</t>
  </si>
  <si>
    <t>Muhammad Latif Fauzi</t>
  </si>
  <si>
    <t>Fakhri Ilham Syarifudin</t>
  </si>
  <si>
    <t>Irvan Chaniago</t>
  </si>
  <si>
    <t>Vivi Alfiah Riski</t>
  </si>
  <si>
    <t>https://drive.google.com/open?id=1WqSWisKbH3gdREv0eGw5VBFk8RKNvQpjnt-ajyPCNvg&amp;usp=drive_copy</t>
  </si>
  <si>
    <t>Reguler Periode ke-114</t>
  </si>
  <si>
    <t>Herlin Sopianti</t>
  </si>
  <si>
    <t>Apridan Husaeni Muharam</t>
  </si>
  <si>
    <t>Niluh Sekar Zulfa Umardhani</t>
  </si>
  <si>
    <t>Siska Fadhilatul Laili</t>
  </si>
  <si>
    <t>Rafi Gastiadirijal Makhfudz</t>
  </si>
  <si>
    <t>Zulfa 'izzah Hanifah</t>
  </si>
  <si>
    <t>Muhammad Yusuf Fathony</t>
  </si>
  <si>
    <t>Rofiqoh Setianingsih</t>
  </si>
  <si>
    <t>Riyana Muftikhatul Khoiroh</t>
  </si>
  <si>
    <t>Walidatul Ulya</t>
  </si>
  <si>
    <t>Adilah Al Amirah</t>
  </si>
  <si>
    <t>https://drive.google.com/open?id=1eO-UXrCKF-KBpFJO6zIqf2VSS2FhG7PEzzz0H3z4uk8&amp;usp=drive_copy</t>
  </si>
  <si>
    <t>Reguler Periode ke-115</t>
  </si>
  <si>
    <t>Dr. Iis Wahyuningsih., M.Si., Apt.</t>
  </si>
  <si>
    <t>Sambas dan Bengkayang, Kalimantan Barat</t>
  </si>
  <si>
    <t>Kalimantan Barat</t>
  </si>
  <si>
    <t>IKHSAN CAHYA UTAMA</t>
  </si>
  <si>
    <t>Nuur Aziizah</t>
  </si>
  <si>
    <t>Vivin Octavia</t>
  </si>
  <si>
    <t>Rastiati</t>
  </si>
  <si>
    <t>Desvita Fitriyani</t>
  </si>
  <si>
    <t>Aziza Della Marza</t>
  </si>
  <si>
    <t>Nur Syahrul Salman Harun</t>
  </si>
  <si>
    <t>https://drive.google.com/open?id=1TRRqPufsYEUl_PyL7lkIkgBQ5pbDLDi8MOSLHu5EjuU&amp;usp=drive_copy</t>
  </si>
  <si>
    <t>Reguler Periode ke-116</t>
  </si>
  <si>
    <t>Adhitya Rechandy Christian, S.E., M.M., CFP.</t>
  </si>
  <si>
    <t>Sere, Bangorejo, Bangorejo</t>
  </si>
  <si>
    <t>Banyuwangi</t>
  </si>
  <si>
    <t>Algifani Rizki Arsayli</t>
  </si>
  <si>
    <t>Nabila Azizah Muchtar</t>
  </si>
  <si>
    <t>Putri Indah Lestari</t>
  </si>
  <si>
    <t>Winarsi J. Bidul</t>
  </si>
  <si>
    <t>Pinky Nur Syalshabilla</t>
  </si>
  <si>
    <t>Ardy Baiturrizki</t>
  </si>
  <si>
    <t>Qayyimatul Jauziyah Bethan</t>
  </si>
  <si>
    <t>Muhammad Endro Saputro</t>
  </si>
  <si>
    <t>Nurelisah</t>
  </si>
  <si>
    <t>085777309053 / 08115251201</t>
  </si>
  <si>
    <t>https://drive.google.com/open?id=1AGIoxrQ12COJppeFlqZktRitXux6_xbqrQu5wB1swoI&amp;usp=drive_copy</t>
  </si>
  <si>
    <t>Gunung Sari, Bangorejo, Bangorejo</t>
  </si>
  <si>
    <t>Agus Fajrin</t>
  </si>
  <si>
    <t>Rizal Dzaki Ferdiansyah</t>
  </si>
  <si>
    <t>Farkhah Kamilatunnuha</t>
  </si>
  <si>
    <t>Mutiara Pertiwi</t>
  </si>
  <si>
    <t>Maulinda Nurkhanifah</t>
  </si>
  <si>
    <t>Dina Utari</t>
  </si>
  <si>
    <t>Nabila Zahra Aulia</t>
  </si>
  <si>
    <t>Habib Ahmad Hasbullah</t>
  </si>
  <si>
    <t>Farah Esti Maulidia</t>
  </si>
  <si>
    <t>https://drive.google.com/open?id=1C_1B3o0dG9n_WF4jMaowYgYAN5ikM4iCmm-EnJNp9Tw&amp;usp=drive_copy</t>
  </si>
  <si>
    <t>Tanjungrejo, Kebondalem, Bangorejo</t>
  </si>
  <si>
    <t>RIFKI RAMADHAN</t>
  </si>
  <si>
    <t>Bayu Nur Cahyo Ardiyono</t>
  </si>
  <si>
    <t>Angga Dwi Cahyo Widodo</t>
  </si>
  <si>
    <t>Nurun Kurnia Ashatari</t>
  </si>
  <si>
    <t>Dika Khayatulisma</t>
  </si>
  <si>
    <t>Nadya Sabrina Husen</t>
  </si>
  <si>
    <t>Kiki Dwi Nuraini</t>
  </si>
  <si>
    <t>Clara Natasya Angelita</t>
  </si>
  <si>
    <t>Zulfatin Nafisah</t>
  </si>
  <si>
    <t>?0882?0080?07828?</t>
  </si>
  <si>
    <t>https://drive.google.com/open?id=1Xb0r4Qtg6NAcXp3XGsicju53acBxOt5Rptgp4Q1quIY&amp;usp=drive_copy</t>
  </si>
  <si>
    <t>Yuniar Wardani, S.KM. MPH., Ph.D</t>
  </si>
  <si>
    <t>Kedungagung, Sambirejo, Bangorejo</t>
  </si>
  <si>
    <t>M.Furkan</t>
  </si>
  <si>
    <t>Ashraf Nayif Abdullah</t>
  </si>
  <si>
    <t>Dwiana Oktin Syaharani</t>
  </si>
  <si>
    <t>Aminah</t>
  </si>
  <si>
    <t>Latifatul Maula</t>
  </si>
  <si>
    <t>Santriani Permata Dewi</t>
  </si>
  <si>
    <t>Dodi Apsaldi</t>
  </si>
  <si>
    <t>Rahma Diopeni Kusuma Aliya</t>
  </si>
  <si>
    <t>Ajeng Dwi Putri Pangestu</t>
  </si>
  <si>
    <t>https://drive.google.com/open?id=1-uT4_fCLFL6x8ngrsGxMr0SdOy_D5djhxqpz_vstw1c&amp;usp=drive_copy</t>
  </si>
  <si>
    <t>Bangorejo, Bangorejo, Bangorejo</t>
  </si>
  <si>
    <t>Taufiq Shidiq Permana</t>
  </si>
  <si>
    <t>Gista Khusnul Khotimah</t>
  </si>
  <si>
    <t>Bhagas Rhevansha Aqbil Pratama</t>
  </si>
  <si>
    <t>Neneng Nur Iriyani . S Opem</t>
  </si>
  <si>
    <t>Aura Haniyfa Hafazah</t>
  </si>
  <si>
    <t>Zana Pandya Pratisara</t>
  </si>
  <si>
    <t>Dwi Widia Febriani</t>
  </si>
  <si>
    <t>Billie Pramana Putra</t>
  </si>
  <si>
    <t>Lidya Nafa Angraeny</t>
  </si>
  <si>
    <t>https://drive.google.com/open?id=1OPTkergdFEZYezeXIKRwnn8PLvKWaiU62h3i052WOB8&amp;usp=drive_copy</t>
  </si>
  <si>
    <t>Taman Suruh, Bangorejo, Bangorejo</t>
  </si>
  <si>
    <t>Lita Nugraheni</t>
  </si>
  <si>
    <t>Moh. Faizan Diasamo</t>
  </si>
  <si>
    <t>Zahrotun Mirna Nisa</t>
  </si>
  <si>
    <t>Putri Puspita Sari</t>
  </si>
  <si>
    <t>Melita Siti Muniroh</t>
  </si>
  <si>
    <t>Taufik Osama Hatala</t>
  </si>
  <si>
    <t>Fadlia Salsabila</t>
  </si>
  <si>
    <t>Cahyannisa Pertiwi</t>
  </si>
  <si>
    <t>Muhammad Alif Bastomy</t>
  </si>
  <si>
    <t>https://drive.google.com/open?id=1Tz9-x0Pu6yHJvTFIRmaxWv633DUoqbpjw2sD3YRv0nA&amp;usp=drive_copy</t>
  </si>
  <si>
    <t>Yunda Maymanah Rahmadewi, S.T.P., M.Sc.</t>
  </si>
  <si>
    <t>Kedungrejo, Sambimulyo, Bangorejo</t>
  </si>
  <si>
    <t>Ical</t>
  </si>
  <si>
    <t>Adiva Sugiyondo</t>
  </si>
  <si>
    <t>Farhan Taena</t>
  </si>
  <si>
    <t>Aurelia Calista Witanto</t>
  </si>
  <si>
    <t>Indah Ayu Wulandari</t>
  </si>
  <si>
    <t>Winndy Astuti</t>
  </si>
  <si>
    <t>Nabilla Az Zahra</t>
  </si>
  <si>
    <t>Ullya Auliyana</t>
  </si>
  <si>
    <t>Anisa Rahmah</t>
  </si>
  <si>
    <t>https://drive.google.com/open?id=10XjszphET9bNnbIftOpOD-2suLE-v-UImiLMdELar-A&amp;usp=drive_copy</t>
  </si>
  <si>
    <t>Sambirejo, Sambimulyo, Bangorejo</t>
  </si>
  <si>
    <t>Zharifah Jannatunnisa</t>
  </si>
  <si>
    <t>Aulia Rahma Yuliana</t>
  </si>
  <si>
    <t>Latifah Mutiara Husnaa</t>
  </si>
  <si>
    <t>Muhammad Abdul Rosyid</t>
  </si>
  <si>
    <t>Siti Nurhasanah</t>
  </si>
  <si>
    <t>Sintawati</t>
  </si>
  <si>
    <t>Ali Fatchurrohman</t>
  </si>
  <si>
    <t>Maisha Madania</t>
  </si>
  <si>
    <t>Chandra Violetta Wahyu Israwan</t>
  </si>
  <si>
    <t>https://drive.google.com/open?id=1Ow6tt7GgsGzVDcxAbmTaGwFSVWBWdbuF0NCB0Fa9u_I&amp;usp=drive_copy</t>
  </si>
  <si>
    <t>Pasembon, Sambirejo, Bangorejo</t>
  </si>
  <si>
    <t>Aldiansyah</t>
  </si>
  <si>
    <t>Luk Luk Annisatul Mufida</t>
  </si>
  <si>
    <t>Puput Dyah Setiawati</t>
  </si>
  <si>
    <t>Nafira Tafassuha</t>
  </si>
  <si>
    <t>Julia Oryza Tesalonika Mendrofa</t>
  </si>
  <si>
    <t>Azzam Tafaqquhfiddin Alfaruq</t>
  </si>
  <si>
    <t>Alfina Diah Safitri</t>
  </si>
  <si>
    <t>Salma Maulidya Prastiwi</t>
  </si>
  <si>
    <t>Risalatun Nadhiroh</t>
  </si>
  <si>
    <t>https://drive.google.com/open?id=1f4WW9qVtuFPjrDhsFzzy7LYxpPaj0bfF8ZirxJlXjA0&amp;usp=drive_copy</t>
  </si>
  <si>
    <t>ToT DPL KKN PERIODE KE-2023</t>
  </si>
  <si>
    <t>Masjid Islamic Center</t>
  </si>
  <si>
    <t>Yosi</t>
  </si>
  <si>
    <t>Denik</t>
  </si>
  <si>
    <t>Dian</t>
  </si>
  <si>
    <t>https://drive.google.com/open?id=18u4QNBSKaftLb7YCpVYjGjn_Vn_8GY-HN-gq9j9oNcU&amp;usp=drive_copy</t>
  </si>
  <si>
    <t>Sovi</t>
  </si>
  <si>
    <t>Fitria</t>
  </si>
  <si>
    <t>https://drive.google.com/open?id=1LVR1aPL1dAq6g8CXTg-Gmkmx3cph1OJTlXvJQKr4mBc&amp;usp=drive_copy</t>
  </si>
  <si>
    <t>Qonita</t>
  </si>
  <si>
    <t>https://drive.google.com/open?id=1Unnleg8hS7znOSgPeU2DfMMPK1_N1a0l5x7A0C2wrq8&amp;usp=drive_copy</t>
  </si>
  <si>
    <t>Dyah</t>
  </si>
  <si>
    <t>Mustika</t>
  </si>
  <si>
    <t>https://drive.google.com/open?id=1_lB4xeo89spumEvb56SHsPLccl1hDrHyTSw3w4wSl6g&amp;usp=drive_copy</t>
  </si>
  <si>
    <t>Khaerunisa</t>
  </si>
  <si>
    <t>Tis'a</t>
  </si>
  <si>
    <t>https://drive.google.com/open?id=1fqX2rnwxnkl7OpLwjM8LgM7ahxyRsdrJL1xus5ReMp4&amp;usp=drive_copy</t>
  </si>
  <si>
    <t>Teten</t>
  </si>
  <si>
    <t>Herman</t>
  </si>
  <si>
    <t>https://drive.google.com/open?id=1lvbdhkKJuzWiWwfKdmxnWYl3x7bLTrm7ud7dSIaqUtE&amp;usp=drive_copy</t>
  </si>
  <si>
    <t>Azis</t>
  </si>
  <si>
    <t>Yoyo</t>
  </si>
  <si>
    <t>https://drive.google.com/open?id=10_OwX_aZhDoGS6yaVBeSj7im8Lh-mNudToK-z5iklOE&amp;usp=drive_copy</t>
  </si>
  <si>
    <t>Suci</t>
  </si>
  <si>
    <t>Tyas</t>
  </si>
  <si>
    <t>https://drive.google.com/open?id=1C3sM5khnjwmFxar7TH3x9KEFFy2k4oIL2zEJBDDpgA4&amp;usp=drive_copy</t>
  </si>
  <si>
    <t>Yuniar</t>
  </si>
  <si>
    <t>Anass</t>
  </si>
  <si>
    <t>https://drive.google.com/open?id=1CNO3FmxgKA-FxJwmkspUa5fYz5eQrg3bHmt3-wYfS2w&amp;usp=drive_copy</t>
  </si>
  <si>
    <t>Irvan</t>
  </si>
  <si>
    <t>Yusron</t>
  </si>
  <si>
    <t>https://drive.google.com/open?id=1DVU_uAKjdkGavMu_hijFuuToS4tOFsYkHQ0O7Lo-cPw&amp;usp=drive_copy</t>
  </si>
  <si>
    <t>Sutipyo</t>
  </si>
  <si>
    <t>Alif</t>
  </si>
  <si>
    <t>https://drive.google.com/open?id=1HHMaOW5q5JLo5M5MsXlALoKdzRAY0aRZEMGnEerxrzM&amp;usp=drive_copy</t>
  </si>
  <si>
    <t>Choliq</t>
  </si>
  <si>
    <t>Haris</t>
  </si>
  <si>
    <t>https://drive.google.com/open?id=1SOjXPypXqSXAHAEQPaFXljMmC25mCFzbBzRrsrA47ks&amp;usp=drive_copy</t>
  </si>
  <si>
    <t>Nabila</t>
  </si>
  <si>
    <t>Rovi</t>
  </si>
  <si>
    <t>https://drive.google.com/open?id=1UBvQoTk4qsIOAJkXVur7USHEjzssCdKMaKqRNrM7BH4&amp;usp=drive_copy</t>
  </si>
  <si>
    <t>Indah</t>
  </si>
  <si>
    <t>Nuni</t>
  </si>
  <si>
    <t>https://drive.google.com/open?id=1VlSGPNVTV7nzL827hVNFrN1CIZfDc1f05dfgc2qzpvw&amp;usp=drive_copy</t>
  </si>
  <si>
    <t>Amir</t>
  </si>
  <si>
    <t>Son</t>
  </si>
  <si>
    <t>Trisna</t>
  </si>
  <si>
    <t>https://drive.google.com/open?id=1YXoLIt-c7QGqA4FJ9oWi3ZPYX0JyzLkFWGf2aC-SkwU&amp;usp=drive_copy</t>
  </si>
  <si>
    <t>Yustria</t>
  </si>
  <si>
    <t>Sabri</t>
  </si>
  <si>
    <t>https://drive.google.com/open?id=1zMPB_qLJCPdy8KbBJ27lIU0enlk63xGUlGaT2u2Hsz4&amp;usp=drive_copy</t>
  </si>
  <si>
    <t>Yuzarion</t>
  </si>
  <si>
    <t>Sutarman</t>
  </si>
  <si>
    <t>https://drive.google.com/open?id=14zMP8wU-P9XDjEapTt2vNxCj7-A38ewKHzv8GbkMsEQ&amp;usp=drive_copy</t>
  </si>
  <si>
    <t>https://drive.google.com/open?id=18J-rPDBiPB6u-Rflumq7gBbzeQv6WylE_Hpoa7dVz04&amp;usp=drive_copy</t>
  </si>
  <si>
    <t>Nina</t>
  </si>
  <si>
    <t xml:space="preserve">Nur </t>
  </si>
  <si>
    <t>Fitri</t>
  </si>
  <si>
    <t>https://drive.google.com/open?id=1BiOy31ydaVVAcBt-Odrlic5lW7IjRXsL3sfcaf-bVN0&amp;usp=drive_copy</t>
  </si>
  <si>
    <t>Rendra</t>
  </si>
  <si>
    <t>Agung</t>
  </si>
  <si>
    <t>Aftoni</t>
  </si>
  <si>
    <t>https://drive.google.com/open?id=1DNmcaNb_9LHk5ypYwBKO4NM6uEQYNNPLWE6uFEI-oIs&amp;usp=drive_copy</t>
  </si>
  <si>
    <t>Meita</t>
  </si>
  <si>
    <t>Ika M</t>
  </si>
  <si>
    <t>https://drive.google.com/open?id=1Dk6MbPFSP5TugVSenmzuxwYGZyOxYX3l8PUwjiX__Es&amp;usp=drive_copy</t>
  </si>
  <si>
    <t>Avanti Vera</t>
  </si>
  <si>
    <t>Ully</t>
  </si>
  <si>
    <t>https://drive.google.com/open?id=1Fl8SB1u-OrjUIf3rPiFm60DJ3kkdeK849gSKfJPwxH0&amp;usp=drive_copy</t>
  </si>
  <si>
    <t>Yanti</t>
  </si>
  <si>
    <t>Nurul</t>
  </si>
  <si>
    <t>https://drive.google.com/open?id=1RaH9-IZl5nEqWw3pdo4ZQv6320aAO4wRUIT7d_TA56o&amp;usp=drive_copy</t>
  </si>
  <si>
    <t>Desi</t>
  </si>
  <si>
    <t>Khori</t>
  </si>
  <si>
    <t>https://drive.google.com/open?id=1U1_WC00FR3s7Xqllgrk-nYX6bEswGj3ea0FaYR3S7rI&amp;usp=drive_copy</t>
  </si>
  <si>
    <t>Solikhah</t>
  </si>
  <si>
    <t>https://drive.google.com/open?id=1X0c9rOIN3Ezxk5U_OM91vIdv2oTMZeLSywZ0MFV1WDA&amp;usp=drive_copy</t>
  </si>
  <si>
    <t>Uus</t>
  </si>
  <si>
    <t>Riduwan</t>
  </si>
  <si>
    <t>Mufti</t>
  </si>
  <si>
    <t>https://drive.google.com/open?id=1XmjjaxhccnvGh5nP_NwFuid8AOS8YXBHMmiOrkKZJXA&amp;usp=drive_copy</t>
  </si>
  <si>
    <t>Subhan</t>
  </si>
  <si>
    <t>Wahyu Nanda</t>
  </si>
  <si>
    <t>https://drive.google.com/open?id=16D9Wl55OB5imzgP8lk5OmxpV70KoxgBndXqnbh48UTM&amp;usp=drive_copy</t>
  </si>
  <si>
    <t>Ali</t>
  </si>
  <si>
    <t>Dedi</t>
  </si>
  <si>
    <t>Ahmad Fajar</t>
  </si>
  <si>
    <t>https://drive.google.com/open?id=1C3gI83EfwjXPAEk1x8HuqsYvPOf-XMjJTPVihXzB3LM&amp;usp=drive_copy</t>
  </si>
  <si>
    <t>Nur Alifa</t>
  </si>
  <si>
    <t>Vera Yul</t>
  </si>
  <si>
    <t>https://drive.google.com/open?id=1Dijqr-OktZIwWV0-PK1ir9pszEpEVDmfjf99l_EhFmo&amp;usp=drive_copy</t>
  </si>
  <si>
    <t>Rahma</t>
  </si>
  <si>
    <t>Yuni</t>
  </si>
  <si>
    <t>Sulis</t>
  </si>
  <si>
    <t>https://drive.google.com/open?id=1HWdETOZ0jWL3Cc2-y4iSvi5auBhr3Il96oHeeQjnPlA&amp;usp=drive_copy</t>
  </si>
  <si>
    <t>Panji</t>
  </si>
  <si>
    <t>Hardi</t>
  </si>
  <si>
    <t>Hasrul</t>
  </si>
  <si>
    <t>https://drive.google.com/open?id=1cDi4Jr4B31xD9wwGXqXPwWZ0K07bE62O4aZio_Ee-Vk&amp;usp=drive_copy</t>
  </si>
  <si>
    <t>Arif</t>
  </si>
  <si>
    <t>Sunu</t>
  </si>
  <si>
    <t>https://drive.google.com/open?id=1jlBih2S5uvCFmSog67HGX-rXOJDxzrzzphu-TTfjIhU&amp;usp=drive_copy</t>
  </si>
  <si>
    <t>Pribawa</t>
  </si>
  <si>
    <t>Zaki</t>
  </si>
  <si>
    <t>https://drive.google.com/open?id=1CMHEyAbKdUepMmAVaZOCvNVyMvzRnjr-8syUod6Qe9s&amp;usp=drive_copy</t>
  </si>
  <si>
    <t>KKN ADI PERIODE KE-1</t>
  </si>
  <si>
    <t>Hendea, Sampolawa, Buton Selatan</t>
  </si>
  <si>
    <t>Buton Selatan</t>
  </si>
  <si>
    <t>La Padu</t>
  </si>
  <si>
    <t>Fitriani</t>
  </si>
  <si>
    <t>L.M Wirya Mardani</t>
  </si>
  <si>
    <t>Friska Aprilia</t>
  </si>
  <si>
    <t>Rian Andika</t>
  </si>
  <si>
    <t>Wa Ode Aksa Amayliya</t>
  </si>
  <si>
    <t>Nur Wahida Arsad</t>
  </si>
  <si>
    <t>Dita Dwi Lestari</t>
  </si>
  <si>
    <t>092001039</t>
  </si>
  <si>
    <t>022001019</t>
  </si>
  <si>
    <t>072001008</t>
  </si>
  <si>
    <t>0102001002</t>
  </si>
  <si>
    <t>Psikologi UAD</t>
  </si>
  <si>
    <t>Ilmu Hadits UAD</t>
  </si>
  <si>
    <t>Perikanan ITBM</t>
  </si>
  <si>
    <t>TI ITBM</t>
  </si>
  <si>
    <t>Biologi UMB</t>
  </si>
  <si>
    <t>Ilmu Pemerintahan UMB</t>
  </si>
  <si>
    <t>Pendidikan Bahasa dan Sastra Indonesia UMB</t>
  </si>
  <si>
    <t>Syari'ah UMB</t>
  </si>
  <si>
    <t>Akutansi UMB</t>
  </si>
  <si>
    <t>Lipu Mangau, Sampolawa, Bangorejo</t>
  </si>
  <si>
    <t>Dewi Harianti H</t>
  </si>
  <si>
    <t>Aci Dafin</t>
  </si>
  <si>
    <t>Dina Mardiana</t>
  </si>
  <si>
    <t>Wahyudin Saputra</t>
  </si>
  <si>
    <t>Nurul Afsya</t>
  </si>
  <si>
    <t>Pratiwi Cahya Frida</t>
  </si>
  <si>
    <t>Samnawati</t>
  </si>
  <si>
    <t>Amai</t>
  </si>
  <si>
    <t>032001119</t>
  </si>
  <si>
    <t>032001147</t>
  </si>
  <si>
    <t>Bahasa dan Sastra Arab UAD</t>
  </si>
  <si>
    <t>Pengelolaan Sumber Daya Perairan UMB</t>
  </si>
  <si>
    <t>PGSD UMB</t>
  </si>
  <si>
    <t>Gunung Sejuk, Sampolawa, Bangorejo</t>
  </si>
  <si>
    <t>Ani Muzayaroh</t>
  </si>
  <si>
    <t>La Ode Fito Afriyanto</t>
  </si>
  <si>
    <t>Hafizah Sholehah</t>
  </si>
  <si>
    <t>Mutiara Alifyah Maharani</t>
  </si>
  <si>
    <t>Indah Lestari</t>
  </si>
  <si>
    <t>Intan Aulia Maharani</t>
  </si>
  <si>
    <t>Ulfah Masyhafara Raj</t>
  </si>
  <si>
    <t>012001006</t>
  </si>
  <si>
    <t>Biologi UAD</t>
  </si>
  <si>
    <t>Ilmu Hukum UAD</t>
  </si>
  <si>
    <t>Bisnis ITBM</t>
  </si>
  <si>
    <t>Bimbingan dan Konseling UMB</t>
  </si>
  <si>
    <t>Teknik Sipil UMB</t>
  </si>
  <si>
    <t>Manajemen UMB</t>
  </si>
  <si>
    <t>Agribisnis UMB</t>
  </si>
  <si>
    <t>Reguler Periode ke-117</t>
  </si>
  <si>
    <t>Yahya Hanafi M.Sc.</t>
  </si>
  <si>
    <t>Annisa Nur Azizah</t>
  </si>
  <si>
    <t>Natika Rahayu</t>
  </si>
  <si>
    <t>M.mazani Azizan Agil</t>
  </si>
  <si>
    <t>Fatonah Rahayu</t>
  </si>
  <si>
    <t>Aribah Chika Fardanti</t>
  </si>
  <si>
    <t>https://drive.google.com/open?id=1qzO6X1tKDTsOXKHHXgAWY0BThScdUBj-kN8SBlmt1kY&amp;usp=drive_copy</t>
  </si>
  <si>
    <t xml:space="preserve"> Dr. Wahyu Nanda Eka Saputra M. Pd., Kons</t>
  </si>
  <si>
    <t>Ermiyati</t>
  </si>
  <si>
    <t>Nurul Hanifah Puteri</t>
  </si>
  <si>
    <t>Qurrota A'yunin Hamza</t>
  </si>
  <si>
    <t>Amitha Kusuma Wahyu Nur Wikanti</t>
  </si>
  <si>
    <t>Nila Sari</t>
  </si>
  <si>
    <t>https://drive.google.com/open?id=1HgwxKJP6-XjGZYXnLuy-dAy8hCHXAspBVTq9KUkKxgA&amp;usp=drive_copy</t>
  </si>
  <si>
    <r>
      <t>Dr. Tri Wahyuni Sukesi</t>
    </r>
    <r>
      <rPr>
        <u/>
        <sz val="10"/>
        <rFont val="Arial"/>
        <family val="2"/>
      </rPr>
      <t xml:space="preserve"> </t>
    </r>
    <r>
      <rPr>
        <u/>
        <sz val="10"/>
        <color rgb="FF1155CC"/>
        <rFont val="Arial"/>
        <family val="2"/>
      </rPr>
      <t>S.Si.M.PH</t>
    </r>
  </si>
  <si>
    <t>Andini Cahya Putri</t>
  </si>
  <si>
    <t>Muhammad Syafi'ie Irfani</t>
  </si>
  <si>
    <t>Isnaini Ni'matul Kalmara</t>
  </si>
  <si>
    <t>Assalam Dewa Ali Mutakin</t>
  </si>
  <si>
    <t>https://drive.google.com/open?id=1C4qLmFbzdCUDhoZs1AxGfn3RXqtL1vs1dPHz29tN85A&amp;usp=drive_copy</t>
  </si>
  <si>
    <t>Irheisya Zalfa Syifa Kusuma</t>
  </si>
  <si>
    <t>Detya Nada Nisrina</t>
  </si>
  <si>
    <t>https://drive.google.com/open?id=1mOXbF6yfi6oNvpmZMbJmkg3T_Qp9tOva4cXGq7N9gM0&amp;usp=drive_copy</t>
  </si>
  <si>
    <t>Haris Imam Karim Fathurrahman S.Pd., M.Sc</t>
  </si>
  <si>
    <t>Muhammad Zikri Rahman</t>
  </si>
  <si>
    <t>Imam Haris Aulia</t>
  </si>
  <si>
    <t>Muhamad Ihsan Habibi</t>
  </si>
  <si>
    <t>Sigit Suryo Saputro</t>
  </si>
  <si>
    <t>Fian Pangestu</t>
  </si>
  <si>
    <t>https://drive.google.com/open?id=11kU6FZ9riH3rtFvnufRxnUW1LS2hCu-4EJLKiYufiUU&amp;usp=drive_copy</t>
  </si>
  <si>
    <t>Alternatif Periode ke-88</t>
  </si>
  <si>
    <t>Okka Adiyanto., S.T.P, M.Sc</t>
  </si>
  <si>
    <t>RW 09, Sorosutan, Umbulharjo</t>
  </si>
  <si>
    <t>M.irfan Erllangga</t>
  </si>
  <si>
    <t>Khoiri Indah Triani</t>
  </si>
  <si>
    <t>Yudha Alfiqri</t>
  </si>
  <si>
    <t>Gusti Winurma</t>
  </si>
  <si>
    <t>Elsa Maudy Rohman</t>
  </si>
  <si>
    <t>Putri Meilita Wulandari</t>
  </si>
  <si>
    <t>Shafira Madani Tanjung</t>
  </si>
  <si>
    <t>Angelica Cesaria Dyah Ayu Puspitasari</t>
  </si>
  <si>
    <t>Muhammad Reza Saputra</t>
  </si>
  <si>
    <t>Mia Hikmiah</t>
  </si>
  <si>
    <t>https://drive.google.com/open?id=1hpZT4rLx8oJP9qze-AN69HmDJwSjkfLUfdyUMBWBl3k&amp;usp=drive_copy</t>
  </si>
  <si>
    <t>RW 12, Sorosutan, Umbulharjo</t>
  </si>
  <si>
    <t>Alifa Rosa Widiantika</t>
  </si>
  <si>
    <t>Cindy Merni Maulidina</t>
  </si>
  <si>
    <t>Atiqi Tiya Adani</t>
  </si>
  <si>
    <t>Banasya Syafa</t>
  </si>
  <si>
    <t>Amanda Sekar Arum</t>
  </si>
  <si>
    <t>Muhammad Nurul Ikhsan</t>
  </si>
  <si>
    <t>Wahyu Gunawan</t>
  </si>
  <si>
    <t>Suci Rahmadani</t>
  </si>
  <si>
    <t>NICKOLA FILLIPS POWIEC</t>
  </si>
  <si>
    <t>https://drive.google.com/open?id=1ABl5HWNj_EPPJZ1lYqyBuuE9trN08kQPqWf5d3_xJSE&amp;usp=drive_copy</t>
  </si>
  <si>
    <t>RW 11, Sorosutan, Umbulharjo</t>
  </si>
  <si>
    <t>Qurrota A'yun Nisa Al-fitri</t>
  </si>
  <si>
    <t>Ziyad Muzakki Dwi Anhar</t>
  </si>
  <si>
    <t>Marissa Winimetha Amegia</t>
  </si>
  <si>
    <t>Rinawati Febriana</t>
  </si>
  <si>
    <t>Rhisyani Suciati</t>
  </si>
  <si>
    <t>Ira Pebri Wulandari</t>
  </si>
  <si>
    <t>Nuryan Ristita Anjani</t>
  </si>
  <si>
    <t>Jihan Parera</t>
  </si>
  <si>
    <t>Haidar Gibran</t>
  </si>
  <si>
    <t>https://drive.google.com/open?id=1SHKyeAS5y0pkTm_BBpkaT4UN7_ASCZxIEVWJ_rfV6Jk&amp;usp=drive_copy</t>
  </si>
  <si>
    <t>Alternatif Periode ke-89</t>
  </si>
  <si>
    <t>Masjid Tamtama, RW 7, Brontokusuman, Mergangsan</t>
  </si>
  <si>
    <t>At'ala Rania Insra</t>
  </si>
  <si>
    <t>Ratna Hidayati Khasanah</t>
  </si>
  <si>
    <t>Adika Dwi Juniardo Pareanda</t>
  </si>
  <si>
    <t>Nur Cholis Ichsanudin</t>
  </si>
  <si>
    <t>Annisa Fitrah</t>
  </si>
  <si>
    <t>Maharani Tantri Aberta</t>
  </si>
  <si>
    <t>Robbi Adam Arafahlan</t>
  </si>
  <si>
    <t>Zalsabella Aryanda Prastiwi</t>
  </si>
  <si>
    <t>Iban Idha Trisda Spando</t>
  </si>
  <si>
    <t>Qoni'ah Musallamah</t>
  </si>
  <si>
    <t>https://drive.google.com/open?id=1zNTlPO-P72XhQpDpk2tL1wsxpPrfBm_WxVsuKUD-yYU&amp;usp=drive_copy</t>
  </si>
  <si>
    <t>Masjid Baitul Karim, RW 18, Brontokusuman, Mergangsan</t>
  </si>
  <si>
    <t>Dorista Hiral Arda Kusuma</t>
  </si>
  <si>
    <t>Jagad Ari Murti</t>
  </si>
  <si>
    <t>Naurah Alya Nadhifah</t>
  </si>
  <si>
    <t>Risky Aprilia Pratiwi</t>
  </si>
  <si>
    <t>Qothrunnada Hasna Aulia</t>
  </si>
  <si>
    <t>Abdul Hakim</t>
  </si>
  <si>
    <t>Erviana Nur Aziziah</t>
  </si>
  <si>
    <t>Nurjannah Boru Hasibuan</t>
  </si>
  <si>
    <t>Hendra Mahardika</t>
  </si>
  <si>
    <t>https://drive.google.com/open?id=1EE7F9TdJWX39Eaf_HwosXUAAqTVHuiDKG-FG6pfOzP0&amp;usp=drive_copy</t>
  </si>
  <si>
    <t>Masjid Al Ahdhor, RW 23, Brontokusuman, Mergangsan</t>
  </si>
  <si>
    <t>NURUL NURLAISMA ISMET M. DASIM</t>
  </si>
  <si>
    <t>Tengku M Nijar</t>
  </si>
  <si>
    <t>Selvi Indah Retfika Mugitami</t>
  </si>
  <si>
    <t>Muhhidayah Yofi Dzulfikar</t>
  </si>
  <si>
    <t>Septiana Sefia Lestari</t>
  </si>
  <si>
    <t>Asna Adira Finan</t>
  </si>
  <si>
    <t>Faizal Meyrandi Zulfa</t>
  </si>
  <si>
    <t>Nura Rezka Maharani</t>
  </si>
  <si>
    <t>Krisna Rasyid Al Fittoh</t>
  </si>
  <si>
    <t>https://drive.google.com/open?id=1fvNCC2t16Qfk_o9AkKJAv-d_2t-c3Xre99PuELZhPZI&amp;usp=drive_copy</t>
  </si>
  <si>
    <t>Masjid Hayyalassolah, RW 22, Brontokusuman, Mergangsan</t>
  </si>
  <si>
    <t>Ferrian Dean</t>
  </si>
  <si>
    <t>Zaidan Hibatullah</t>
  </si>
  <si>
    <t>Nur Alifia</t>
  </si>
  <si>
    <t>Muhammad Fadhil Hilmi</t>
  </si>
  <si>
    <t>Diza Raistiana Andini</t>
  </si>
  <si>
    <t>Cania Mufidah</t>
  </si>
  <si>
    <t>Fadilah Salsabila</t>
  </si>
  <si>
    <t>Atun Lestari</t>
  </si>
  <si>
    <t>Yesi Nila Sari</t>
  </si>
  <si>
    <t>https://drive.google.com/open?id=1X8M_NgcJludMMtabQT_1et3zj9a_YUYut9f1tLdbY4A&amp;usp=drive_copy</t>
  </si>
  <si>
    <t>Masjid Baiturrohim, RW 4, Brontokusuman, Mergangsan</t>
  </si>
  <si>
    <t>Derby Karya Mukti</t>
  </si>
  <si>
    <t>Yasmine Rahayu Putri Mulyadi</t>
  </si>
  <si>
    <t>Iqbal Yusril Farghobi</t>
  </si>
  <si>
    <t>Nabilla Diva Ariani</t>
  </si>
  <si>
    <t>Indah Sulistyo Budi Wijaya</t>
  </si>
  <si>
    <t>Singgih Himawan</t>
  </si>
  <si>
    <t>Yukiko Yasykur Bakhiitah</t>
  </si>
  <si>
    <t>Oktavianti Nendra Utami</t>
  </si>
  <si>
    <t>Alan Alifudin Alghozi</t>
  </si>
  <si>
    <t>https://drive.google.com/open?id=165Su4-_ydhwK1-zm5fOKBdNpo6Mdcbt448UPuHUT4AI&amp;usp=drive_copy</t>
  </si>
  <si>
    <t>Mushola RW 16, RW 16, Brontokusuman, Mergangsan</t>
  </si>
  <si>
    <t>NUR UBAY PANGESDA HAJI</t>
  </si>
  <si>
    <t>M. RENALDI NAUFAL ARMANUSHA</t>
  </si>
  <si>
    <t>Rizki Khoirunnisa Puspaningrum</t>
  </si>
  <si>
    <t>Dian Seva Rahmadani</t>
  </si>
  <si>
    <t>Khairul Dwi Pangestu</t>
  </si>
  <si>
    <t>Iqbal Bagus Adityo</t>
  </si>
  <si>
    <t>Addini Nurul Aisyah</t>
  </si>
  <si>
    <t>Shinta Iffah Prawarningrum</t>
  </si>
  <si>
    <t>Muhammad Rayyan Eriza</t>
  </si>
  <si>
    <t>https://drive.google.com/open?id=1gB7ywvBiq1Y6KelcMxF4tOsyvdbg72yF0QBiljxdfW4&amp;usp=drive_copy</t>
  </si>
  <si>
    <t>Masjid Timuran, RW 1, Brontokusuman, Mergangsan</t>
  </si>
  <si>
    <t>Ai Haidar Syahmanan</t>
  </si>
  <si>
    <t>Annisa Aprilia Cahyaningsih</t>
  </si>
  <si>
    <t>Riski Zulmi Permana</t>
  </si>
  <si>
    <t>Elva Rosvita Damayanti</t>
  </si>
  <si>
    <t>Xavier Fikri</t>
  </si>
  <si>
    <t>Rohadatul Aisy</t>
  </si>
  <si>
    <t>Septi Nurdian</t>
  </si>
  <si>
    <t>Hibban Ahsanal Fatta</t>
  </si>
  <si>
    <t>Inda Laela Wahdah</t>
  </si>
  <si>
    <t>Eviana Agustin</t>
  </si>
  <si>
    <t>https://drive.google.com/open?id=1cL0YXRJErBHsz2Dcib-JJ3g-rV7waf3sC8Y2kKHtzBk&amp;usp=drive_copy</t>
  </si>
  <si>
    <t>Masjid Prawirotaman, RW 8, Brontokusuman, Mergangsan</t>
  </si>
  <si>
    <t>Widya Wulan Sari</t>
  </si>
  <si>
    <t>Putri Sarah Daeng Sinamu</t>
  </si>
  <si>
    <t>Pramudya Dimas Arjuna</t>
  </si>
  <si>
    <t>Asri Dwika Septi</t>
  </si>
  <si>
    <t>Ramdhani Zafitra Lasabuda</t>
  </si>
  <si>
    <t>Gilang Ihsan N</t>
  </si>
  <si>
    <t>Reyna Maulidian</t>
  </si>
  <si>
    <t>Abbad Hanif Al Falah</t>
  </si>
  <si>
    <t>Khairunisa Halima Binti Mahdi</t>
  </si>
  <si>
    <t>https://drive.google.com/open?id=1djoBP-C5Fs3sKkR7aWKGCf9uZIcsDwipHMLKjW05Svc&amp;usp=drive_copy</t>
  </si>
  <si>
    <t>Masjid Al Irsyad, RW 17, Brontokusuman, Mergangsan</t>
  </si>
  <si>
    <t>Muhammad Hanneza Frizki</t>
  </si>
  <si>
    <t>Rifaldi Fajri Isnan</t>
  </si>
  <si>
    <t>Ella Zulva Diningrum</t>
  </si>
  <si>
    <t>Aliya Hanifah</t>
  </si>
  <si>
    <t>Orlando Hartanto</t>
  </si>
  <si>
    <t>Adelia Tresnani</t>
  </si>
  <si>
    <t>Ashifa Ghaitsa Al Ghefira</t>
  </si>
  <si>
    <t>Ridlo Khiar Firdaus</t>
  </si>
  <si>
    <t>Anggie Perwitasari</t>
  </si>
  <si>
    <t>https://drive.google.com/open?id=1eXZVA_ImAE2XJu026QaWPTili5KXyoVrxabbT7-sc2I&amp;usp=drive_copy</t>
  </si>
  <si>
    <t>Masjid AI lhsan, RW 12, Brontokusuman, Mergangsan</t>
  </si>
  <si>
    <t>RIDO AULIA</t>
  </si>
  <si>
    <t>Muhammad Akbar Rhamdan Putra Abdi</t>
  </si>
  <si>
    <t>Dwi Zainu 'afif</t>
  </si>
  <si>
    <t>Xelentia</t>
  </si>
  <si>
    <t>Lintang Anggita Prasetyawati</t>
  </si>
  <si>
    <t>Cicilia Putri Ramdani</t>
  </si>
  <si>
    <t>Anisa Nur Hutami</t>
  </si>
  <si>
    <t>Dima Wahyu Nugroho</t>
  </si>
  <si>
    <t>Anisa Nur Rahmawati</t>
  </si>
  <si>
    <t>Jany Fitria Khoirunnisa</t>
  </si>
  <si>
    <t>https://drive.google.com/open?id=1hUu6hrodSNaoGtd6xwJ40UL3XVRZbrXOpkphpiJrEPw&amp;usp=drive_copy</t>
  </si>
  <si>
    <t>Masjid Syakirin, RW 14, Brontokusuman, Mergangsan</t>
  </si>
  <si>
    <t>Mhd. Farrel Adrian Haq</t>
  </si>
  <si>
    <t>Ananda Rico Kresna Murti</t>
  </si>
  <si>
    <t>Farah Khusna Lestari</t>
  </si>
  <si>
    <t>Hilda Azkiyatul Ma'rifah</t>
  </si>
  <si>
    <t>Muhammad Syakhish Fadhil</t>
  </si>
  <si>
    <t>Salsabilla Ari Sekar Agrisukma</t>
  </si>
  <si>
    <t>Aulia Nurul Isnani</t>
  </si>
  <si>
    <t>Khoirunnisa Endah Setiawati</t>
  </si>
  <si>
    <t>Muhammad Sofyan</t>
  </si>
  <si>
    <t>https://drive.google.com/open?id=1hj9Co6STaAQxdUSeZPqhGx7CfFMhdiHnGboJ9Knc1Fg&amp;usp=drive_copy</t>
  </si>
  <si>
    <t>Masjid Ar Rohmah, RW 9, Wirogunan, Mergangsan</t>
  </si>
  <si>
    <t>Ipul Iwandai</t>
  </si>
  <si>
    <t>Reissa Pradhita Healtha Pramudya</t>
  </si>
  <si>
    <t>Muhammad Lh. Fawad Fagwa</t>
  </si>
  <si>
    <t>Diki Herdiansyah</t>
  </si>
  <si>
    <t>Windy Wirdo Ningrum</t>
  </si>
  <si>
    <t>Mima Nuraeni</t>
  </si>
  <si>
    <t>Annisaa' Nurrohiim</t>
  </si>
  <si>
    <t>Mupidah</t>
  </si>
  <si>
    <t>Risma Yuliarti</t>
  </si>
  <si>
    <t>https://drive.google.com/open?id=1j-raWHTDg7bIkhIrOWNc1kkM9Fs7t5o3DO5-62nSJVM&amp;usp=drive_copy</t>
  </si>
  <si>
    <t>Hasrul Rahman, S.Pd., M.Pd</t>
  </si>
  <si>
    <t>Gedung Wakaf Asana Guna, RW 10, Brontokusuman, Mergangsan</t>
  </si>
  <si>
    <t>Prayogo Bambang Sudarminto</t>
  </si>
  <si>
    <t>Alfin Jonison</t>
  </si>
  <si>
    <t>Tito Arifien Moesa</t>
  </si>
  <si>
    <t>Ryanetta Octavia</t>
  </si>
  <si>
    <t>Diana Pungki Astri Ivo</t>
  </si>
  <si>
    <t>Fakhrun Nisaa Azzahraani</t>
  </si>
  <si>
    <t>Yesi Fitriyani</t>
  </si>
  <si>
    <t>Mufida Nidaul Azzahra</t>
  </si>
  <si>
    <t>Zakariya</t>
  </si>
  <si>
    <t>https://drive.google.com/open?id=1jbXLlkwoxgCySTy6o6zAcNPhyxQ0nEUCmjA-dKjU2ec&amp;usp=drive_copy</t>
  </si>
  <si>
    <t>Masjid At Tauhid, RW 1, Wirogunan, Mergangsan</t>
  </si>
  <si>
    <t>Endro Putro</t>
  </si>
  <si>
    <t>Marcella Deisvianti</t>
  </si>
  <si>
    <t>Usamah Bima Shafa</t>
  </si>
  <si>
    <t>Muhammad Farhan</t>
  </si>
  <si>
    <t>Intan Sholeha</t>
  </si>
  <si>
    <t>Nur Nawangsari</t>
  </si>
  <si>
    <t>Sifa Azahra</t>
  </si>
  <si>
    <t>Ahmad Syauqi</t>
  </si>
  <si>
    <t>Evie Nur Sofhiya</t>
  </si>
  <si>
    <t>https://drive.google.com/open?id=1k2CuP_y7KfJ3gCJ3lyOf7jIz04RA8pwtH9NE5aGpq24&amp;usp=drive_copy</t>
  </si>
  <si>
    <t>Masjid Ar Rido, RW 3, Wirogunan, Mergangsan</t>
  </si>
  <si>
    <t>PUTRA LOUROUNG ALKAUTSAR</t>
  </si>
  <si>
    <t>Anggoro Budi Prakosa</t>
  </si>
  <si>
    <t>Salas Lukman Hakim</t>
  </si>
  <si>
    <t>Lilis Handayani</t>
  </si>
  <si>
    <t>Ema Dwi Setya Rini</t>
  </si>
  <si>
    <t>Qori Arsy Zahaadah</t>
  </si>
  <si>
    <t>Rizki Agung Subakza</t>
  </si>
  <si>
    <t>Alya Fatmasari</t>
  </si>
  <si>
    <t>Yulia Luthfiyani Azizah</t>
  </si>
  <si>
    <t>https://drive.google.com/open?id=1kEC64J6e8Q_50XIjvhn6Wp-Fcg0WzH9a4oBMGplL_Cc&amp;usp=drive_copy</t>
  </si>
  <si>
    <t>Masjid Nurul Huda, RW 5, Wirogunan, Mergangsan</t>
  </si>
  <si>
    <t>Brilliant Yoshi Nugraha</t>
  </si>
  <si>
    <t>Angel Laeni Nur Ariasih</t>
  </si>
  <si>
    <t>Rizki Gusnando</t>
  </si>
  <si>
    <t>Rizki Fauzian</t>
  </si>
  <si>
    <t>Maya Putri Salumna</t>
  </si>
  <si>
    <t>Nusa Aisya Pasmara</t>
  </si>
  <si>
    <t>Muhammad Abdul Aziz</t>
  </si>
  <si>
    <t>Ajeng Pratiwi Defitri</t>
  </si>
  <si>
    <t>Vitya Qotrunnada</t>
  </si>
  <si>
    <t>https://drive.google.com/open?id=1kKOZ9UmMhjp7cM7JAMzefBqKghcwcKcqZJ_Nr5kvgkA&amp;usp=drive_copy</t>
  </si>
  <si>
    <t>Masjid Al Mizan, RW 7, Wirogunan, Mergangsan</t>
  </si>
  <si>
    <t>WAHYU KURNIAWAN</t>
  </si>
  <si>
    <t>Muhammad Arief Nurachman</t>
  </si>
  <si>
    <t>Annisa Nuratin</t>
  </si>
  <si>
    <t>Virma Tama Saputra</t>
  </si>
  <si>
    <t>Intan Nur Ainnisa</t>
  </si>
  <si>
    <t>Zinnia Teguh Sovieyanti</t>
  </si>
  <si>
    <t>Sayed Husein Nasr</t>
  </si>
  <si>
    <t>Andhika Sarah Dwi Anjaswati</t>
  </si>
  <si>
    <t>Natasa Olandari</t>
  </si>
  <si>
    <t>https://drive.google.com/open?id=1m45ah0LsT8DJwjY50L4zAQd2YwlIupO-Uy8WiZ-g_ic&amp;usp=drive_copy</t>
  </si>
  <si>
    <t>Masjid Baitul Na'im, RW 8, Wirogunan, Mergangsan</t>
  </si>
  <si>
    <t>Yanfriardana</t>
  </si>
  <si>
    <t>M Habiburrahman</t>
  </si>
  <si>
    <t>Muhammad Syaiful Ismail</t>
  </si>
  <si>
    <t>Muthia Fatikharani</t>
  </si>
  <si>
    <t>Dhita Amalia Firdaus</t>
  </si>
  <si>
    <t>Alliya Balqisviratu Hapsari</t>
  </si>
  <si>
    <t>Adelina Kusumawati</t>
  </si>
  <si>
    <t>Ithma Panggalih</t>
  </si>
  <si>
    <t>Daffa Kusuma Zain</t>
  </si>
  <si>
    <t>https://drive.google.com/open?id=1nIgLQUqkTZWxzZ7wba4p4rdet2tZLGLBiBV7eCpag2s&amp;usp=drive_copy</t>
  </si>
  <si>
    <t>Mushola Al Ma'ruf, RW 12, Wirogunan, Mergangsan</t>
  </si>
  <si>
    <t>PRAVIRA TRISNA GITA BESTARI</t>
  </si>
  <si>
    <t>Vania Insani Syita Harmony</t>
  </si>
  <si>
    <t>Rahma Nurul Izza Putri Sriyana</t>
  </si>
  <si>
    <t>Ginanjar Febrian Nugroho</t>
  </si>
  <si>
    <t>Afnan Syah Hananto</t>
  </si>
  <si>
    <t>Fahmiddin Abdullah</t>
  </si>
  <si>
    <t>Ayu Laela Kodariah</t>
  </si>
  <si>
    <t>Inayah Felzuka</t>
  </si>
  <si>
    <t>Perdana Rosyid Muttaqin</t>
  </si>
  <si>
    <t>https://drive.google.com/open?id=1qLY0KcjOX7FusoNyiFZK5bq0p_3x_Id1dbASVWLawMY&amp;usp=drive_copy</t>
  </si>
  <si>
    <t>Masjid Hidayah Al Makruf, RW 13, Wirogunan, Mergangsan</t>
  </si>
  <si>
    <t>MUHAMMAD IRFA'I</t>
  </si>
  <si>
    <t>Ummi Uswatun Hasanah</t>
  </si>
  <si>
    <t>Muhamad Sukhin Annur</t>
  </si>
  <si>
    <t>Sekar Pratiwi</t>
  </si>
  <si>
    <t>Aditama Huzaifi Ahmad</t>
  </si>
  <si>
    <t>Afifah Arsi Dhea Anggraeni</t>
  </si>
  <si>
    <t>Rani Salwa Ussyifa</t>
  </si>
  <si>
    <t>Muhammad Farhan Prasetyawan</t>
  </si>
  <si>
    <t>https://drive.google.com/open?id=1qSbpqhBnbT3tMzgcYUDNtl4jYShJmIvqrgwXWSJAw4I&amp;usp=drive_copy</t>
  </si>
  <si>
    <t>Masjid Al Ikhlas, RW 15, Wirogunan, Mergangsan</t>
  </si>
  <si>
    <t>EEP EPANDRI</t>
  </si>
  <si>
    <t>Risky Astya Rini</t>
  </si>
  <si>
    <t>Umi Khasanah</t>
  </si>
  <si>
    <t>Mita Ariyanti</t>
  </si>
  <si>
    <t>Taufiq Aditya Putra</t>
  </si>
  <si>
    <t>Hutri Puspita Sari</t>
  </si>
  <si>
    <t>Muhamad Arby Aditya</t>
  </si>
  <si>
    <t>Andi Dzakiyatul Aliyah</t>
  </si>
  <si>
    <t>Hisyam Aziz Alfawwazi</t>
  </si>
  <si>
    <t>https://drive.google.com/open?id=1qtSGRx_mTEwLDofEEe4umvjSPQXrgfqyrbLnZNgg5gU&amp;usp=drive_copy</t>
  </si>
  <si>
    <t>Heni Siswantari, S.Pd., M.A</t>
  </si>
  <si>
    <t>Masjid Al Widah, RW 17, Wirogunan, Mergangsan</t>
  </si>
  <si>
    <t>Leva Arja Misa</t>
  </si>
  <si>
    <t>Adisty Griselda</t>
  </si>
  <si>
    <t>Lazuardi Imam Santosa</t>
  </si>
  <si>
    <t>Faradhila Ningsih Maddalak</t>
  </si>
  <si>
    <t>Safira Ummaya</t>
  </si>
  <si>
    <t>Ivandi Awalurrijal</t>
  </si>
  <si>
    <t>Latifah Sapta Wiji Utami</t>
  </si>
  <si>
    <t>Tsaqif Wijaya Putra</t>
  </si>
  <si>
    <t>Sri Kukuh Prassetyo</t>
  </si>
  <si>
    <t>https://drive.google.com/open?id=1svK65Db2XbIZ3EF0tRrXJ89w6jJSrCjc46QLt0pRHA0&amp;usp=drive_copy</t>
  </si>
  <si>
    <t>Masjid Al Jihad, RW 18, Wirogunan, Mergangsan</t>
  </si>
  <si>
    <t>Alfarel Jalusena</t>
  </si>
  <si>
    <t>Dea 'aqillah Iran Harahap</t>
  </si>
  <si>
    <t>Tegar Prasetyo</t>
  </si>
  <si>
    <t>Aulia Hidayati</t>
  </si>
  <si>
    <t>Cholis Nur Azizah</t>
  </si>
  <si>
    <t>Nidha Amalia Nurillah</t>
  </si>
  <si>
    <t>Mau'idi Hafida</t>
  </si>
  <si>
    <t>Muhamad Difa Nugraha</t>
  </si>
  <si>
    <t>https://drive.google.com/open?id=1sx5WVhXNy6607d3_U7jfG-NEgRH4psUo-61KtcyYKGY&amp;usp=drive_copy</t>
  </si>
  <si>
    <t>Masjid An Nur, RW 21, Wirogunan, Mergangsan</t>
  </si>
  <si>
    <t>Asep Lakoni</t>
  </si>
  <si>
    <t>Ferdy Hermawan</t>
  </si>
  <si>
    <t>Zidan Darozat</t>
  </si>
  <si>
    <t>Fatma Auliya Salsabila</t>
  </si>
  <si>
    <t>Nava Yuni Naftivah</t>
  </si>
  <si>
    <t>Hasna Aeska Khoirunnisa</t>
  </si>
  <si>
    <t>Maynanda Triska Christiantono</t>
  </si>
  <si>
    <t>Anisa Qurrata'ayun</t>
  </si>
  <si>
    <t>Ibrahim Hasan Ali</t>
  </si>
  <si>
    <t>https://drive.google.com/open?id=1tLi36uvDnmqVH9TgaKuWyJvfbnSO90v1Rz6oqz_1QoQ&amp;usp=drive_copy</t>
  </si>
  <si>
    <t>Masjid Al Huffadh, RW 22, Wirogunan, Mergangsan</t>
  </si>
  <si>
    <t>NURING RARAS KUSUMANINGTYAS</t>
  </si>
  <si>
    <t>Abdul Munir</t>
  </si>
  <si>
    <t>Syahid Malik</t>
  </si>
  <si>
    <t>Asriyansyah</t>
  </si>
  <si>
    <t>Syarifah Pakung Wati</t>
  </si>
  <si>
    <t>Fayza Khoirunnisa</t>
  </si>
  <si>
    <t>Diah Ayu</t>
  </si>
  <si>
    <t>Vernah Saputri</t>
  </si>
  <si>
    <t>Muhammad Naufal Kharisma Putra</t>
  </si>
  <si>
    <t>https://drive.google.com/open?id=1tsl8mfgkSZosk35pnU1hGtMFXQDOUE44E0kBPsxi-d8&amp;usp=drive_copy</t>
  </si>
  <si>
    <t>Masjid Baiturrahman, RW 24, Wirogunan, Mergangsan</t>
  </si>
  <si>
    <t>AJIB WIJANARKO</t>
  </si>
  <si>
    <t>Tita Putri Nadiya</t>
  </si>
  <si>
    <t>Tri Kinanti</t>
  </si>
  <si>
    <t>Sonia</t>
  </si>
  <si>
    <t>Dewa Putra Hernanda</t>
  </si>
  <si>
    <t>Arista Stiyanti</t>
  </si>
  <si>
    <t>Aditiya Andi Kusuma</t>
  </si>
  <si>
    <t>Nadia Noor Yunita</t>
  </si>
  <si>
    <t>Rifkinda Zakiarahman</t>
  </si>
  <si>
    <t>https://drive.google.com/open?id=1w4DA1jJhQ2K5INJ9-6_26nQpEupQKgDkFwoyQib--3k&amp;usp=drive_copy</t>
  </si>
  <si>
    <t>Masjid Jami' Kintelan, RW 2, Keparakan, Mergangsan</t>
  </si>
  <si>
    <t>Wisnu Andrian</t>
  </si>
  <si>
    <t>Benny Fernandy</t>
  </si>
  <si>
    <t>Nur Puri Pujiyanti</t>
  </si>
  <si>
    <t>Muhammad Khoirun Nashruddin</t>
  </si>
  <si>
    <t>Ica Aprilia</t>
  </si>
  <si>
    <t>Rowhah Naqiyyah Thoyyibah</t>
  </si>
  <si>
    <t>Alvina Augista</t>
  </si>
  <si>
    <t>Zuhair Sudrajat Tiyan Mujiono</t>
  </si>
  <si>
    <t>Fatimah Ummul Adibah</t>
  </si>
  <si>
    <t>081285878267/085934909014</t>
  </si>
  <si>
    <t>https://drive.google.com/open?id=1w9TkOwhLPHAt_8L4y3JJCg5I4gzwaCy2E1NfouMG7bM&amp;usp=drive_copy</t>
  </si>
  <si>
    <t>Mushola Tarbiyatul Fikri, RW 3, Keparakan, Mergangsan</t>
  </si>
  <si>
    <t>RAFINA SEKAR ARSANTI</t>
  </si>
  <si>
    <t>Aston Lery</t>
  </si>
  <si>
    <t>Susilo Bambang Yudoyono</t>
  </si>
  <si>
    <t>Relita Firmanda</t>
  </si>
  <si>
    <t>Arya Difa Hendrawan</t>
  </si>
  <si>
    <t>Rifqi Haqoni Azeem</t>
  </si>
  <si>
    <t>Azalia Zahra Agus Ardiva</t>
  </si>
  <si>
    <t>Dwi Rialatifah</t>
  </si>
  <si>
    <t>Rifaah Salwa Albana</t>
  </si>
  <si>
    <t>https://drive.google.com/open?id=1wT6WZdIiN8LNxd30Go1lN5h7VTkHLPq-9zqeQsl9DoM&amp;usp=drive_copy</t>
  </si>
  <si>
    <t>Masjid Darussalam, RW 5, Keparakan, Mergangsan</t>
  </si>
  <si>
    <t>Yuhan Anendi</t>
  </si>
  <si>
    <t>Anggi Indrawati</t>
  </si>
  <si>
    <t>Wa Ode Rosyta Pua</t>
  </si>
  <si>
    <t>Yunisa Pangestuti</t>
  </si>
  <si>
    <t>Nurkholis Uliawan</t>
  </si>
  <si>
    <t>Novi Wijayanti</t>
  </si>
  <si>
    <t>PANDU HARY PRATAMA</t>
  </si>
  <si>
    <t>Mayllina Untari Adinanta</t>
  </si>
  <si>
    <t>DEDEN NURHIDAYAT</t>
  </si>
  <si>
    <t>https://drive.google.com/open?id=1yvD9HB4uTA5FRBLn7oY7nGWyfIL40vf_kazLPp3z5VY&amp;usp=drive_copy</t>
  </si>
  <si>
    <t>Masjid Al Fajar, RW 7, Keparakan, Mergangsan</t>
  </si>
  <si>
    <t>Aditya Farhan</t>
  </si>
  <si>
    <t>Salma Alifia Haritsah</t>
  </si>
  <si>
    <t>Taufiq Ashari</t>
  </si>
  <si>
    <t>Shaneva Fitria Desta Wibowo</t>
  </si>
  <si>
    <t>Anang Nur Prasetya</t>
  </si>
  <si>
    <t>Rizky Farra Hani Salsabila</t>
  </si>
  <si>
    <t>Fernanda Putri Aulia</t>
  </si>
  <si>
    <t>Alyfah Diah Maharani</t>
  </si>
  <si>
    <t>Wahyu Sugiarto</t>
  </si>
  <si>
    <t>https://drive.google.com/open?id=1-0X0HMeTQmIRCk_pJfwsz13RQ3KiqggzPT64BlsAfK8&amp;usp=drive_copy</t>
  </si>
  <si>
    <t>Masjid Al Mustaqim, RW 8, Keparakan, Mergangsan</t>
  </si>
  <si>
    <t>Fadhil Ahmad Naufal</t>
  </si>
  <si>
    <t>Veriera Riski Hidayat</t>
  </si>
  <si>
    <t>Aliftiana Abiyyah Safitri</t>
  </si>
  <si>
    <t>Wahyu Eria Putri</t>
  </si>
  <si>
    <t>Ajria Justicia Putri</t>
  </si>
  <si>
    <t>Naura Vita Salsabila</t>
  </si>
  <si>
    <t>Dhini Septianika</t>
  </si>
  <si>
    <t>Ahmad Baghir Hasan Pratama</t>
  </si>
  <si>
    <t>0852-6314-3483</t>
  </si>
  <si>
    <t>https://drive.google.com/open?id=12tatt3fXXJgU72IzH9B_W1uuNOmUjRYuA2iN4rIsRrk&amp;usp=drive_copy</t>
  </si>
  <si>
    <t>Masjid Al Amin, RW 10, Keparakan, Mergangsan</t>
  </si>
  <si>
    <t>AZIS MAULANA MALIK</t>
  </si>
  <si>
    <t>Fakih Fairuz Zayan</t>
  </si>
  <si>
    <t>Miar La Tara</t>
  </si>
  <si>
    <t>Rachmad Nur Fauzi</t>
  </si>
  <si>
    <t>Yulinda Ramadhani</t>
  </si>
  <si>
    <t>Selvira Damayanti</t>
  </si>
  <si>
    <t>Aqila Fahmi Rosyida</t>
  </si>
  <si>
    <t>Vyonatavayo Navararatry</t>
  </si>
  <si>
    <t>Imma Nurul Hayati</t>
  </si>
  <si>
    <t>https://drive.google.com/open?id=13_dDIvMy9lHcIsdHvdy4RDWKzFPH6Hgs4rKd7TyzFl8&amp;usp=drive_copy</t>
  </si>
  <si>
    <t>Masjid Al Anhar, RW 13, Keparakan, Mergangsan</t>
  </si>
  <si>
    <t>Aditya Ircham Syafrudin</t>
  </si>
  <si>
    <t>Muhammad Al Farisi</t>
  </si>
  <si>
    <t>Irma Maulani</t>
  </si>
  <si>
    <t>Khoirunnisa Fauziah</t>
  </si>
  <si>
    <t>Fatihah Shofa-ulhusna</t>
  </si>
  <si>
    <t>Hany Retno Widiya Sari</t>
  </si>
  <si>
    <t>Ridwan Aditya Pratama</t>
  </si>
  <si>
    <t>Syafiq Munifah Karin</t>
  </si>
  <si>
    <t>Sofia Nuring Tyas</t>
  </si>
  <si>
    <t>https://drive.google.com/open?id=14dpPW1hHjofL6btAyU5zz05BgNTvj0Aqyt6rGKwHZm4&amp;usp=drive_copy</t>
  </si>
  <si>
    <t>Dr. Vera Yuli Erviana S.Pd., M.Pd</t>
  </si>
  <si>
    <t>HUSNUL DZIKRI</t>
  </si>
  <si>
    <t>Elsa Vina Pramesti</t>
  </si>
  <si>
    <t>Doni Kurniawan Subakti</t>
  </si>
  <si>
    <t>Laili Rakhma Aidhina</t>
  </si>
  <si>
    <t>Ilma Umi Aulia Harjanto</t>
  </si>
  <si>
    <t>Siti Anisah</t>
  </si>
  <si>
    <t>Maria Magdalena P</t>
  </si>
  <si>
    <t>Alfiani Irma Aulia</t>
  </si>
  <si>
    <t>https://drive.google.com/open?id=15-OwXoXz34OvCqjAZ2nRt95M9w_mPT0G9Yv6SI6wV5Y&amp;usp=drive_copy</t>
  </si>
  <si>
    <t>NURUL HIDAYATI</t>
  </si>
  <si>
    <t>Abdul Syahrani</t>
  </si>
  <si>
    <t>Galuh Kartikasari Aribowo</t>
  </si>
  <si>
    <t>Risty Dwi Paresi</t>
  </si>
  <si>
    <t>Resta Anggraeni Puspita</t>
  </si>
  <si>
    <t>Muhammad Bayu Pamungkas</t>
  </si>
  <si>
    <t>Alif Safa Putri Niselwa</t>
  </si>
  <si>
    <t>Fikri Iqram Azhar Fahroni</t>
  </si>
  <si>
    <t>Verina Nur Utami Putri</t>
  </si>
  <si>
    <t>https://drive.google.com/open?id=15EG26otaYaMz5pLM2cwV__p3Hao_0saGDoTiGHY3n28&amp;usp=drive_copy</t>
  </si>
  <si>
    <t>RISKI SARJITO</t>
  </si>
  <si>
    <t>Lilik Anggraini</t>
  </si>
  <si>
    <t>ERVIER PRIANDE</t>
  </si>
  <si>
    <t>Yulita Fatimah Az-zahra</t>
  </si>
  <si>
    <t>Oktavia Vita Anggraini</t>
  </si>
  <si>
    <t>Frida Aruna Sukmahati</t>
  </si>
  <si>
    <t>Yadira Agustina</t>
  </si>
  <si>
    <t>Rudi Edhi Rahmadhani</t>
  </si>
  <si>
    <t>Vebi Radia Utami</t>
  </si>
  <si>
    <t>https://drive.google.com/open?id=15cU8phFe_v0WfxgLXoIIL-nMuKNfBi50Fu-YZUp_p1U&amp;usp=drive_copy</t>
  </si>
  <si>
    <t>Rendy Yurize</t>
  </si>
  <si>
    <t>Moh. Akil Gawi</t>
  </si>
  <si>
    <t>Fadhilah Salmaeka</t>
  </si>
  <si>
    <t>Artha Titi Sagita</t>
  </si>
  <si>
    <t>Yulinda Cahya Suryaningrum</t>
  </si>
  <si>
    <t>Hudzaifah Hanafie Ahmad</t>
  </si>
  <si>
    <t>Justicia Devi Apriliana</t>
  </si>
  <si>
    <t>Adistya Pramudea Nur Aini</t>
  </si>
  <si>
    <t>Rika Yuniarti</t>
  </si>
  <si>
    <t>https://drive.google.com/open?id=18V2TuR64ZwJVbQdxwGrz8h3eNOhofDrzvLfElk1FTBw&amp;usp=drive_copy</t>
  </si>
  <si>
    <t>Lucky Karya Handaris</t>
  </si>
  <si>
    <t>Echa Indrisa</t>
  </si>
  <si>
    <t>Bimo Nugroho Usman Ali</t>
  </si>
  <si>
    <t>Reneta Mage Tania</t>
  </si>
  <si>
    <t>Ervina Fajri Ramadhan</t>
  </si>
  <si>
    <t>Ahmad Kholid Fahmi</t>
  </si>
  <si>
    <t>Kurniawati</t>
  </si>
  <si>
    <t>Dian Prameswari</t>
  </si>
  <si>
    <t>Alda Meisyabella</t>
  </si>
  <si>
    <t>https://drive.google.com/open?id=1A7ENQBIOfZAZGbp-VVBqZFoB-GKf8A-cFOvzvIVS888&amp;usp=drive_copy</t>
  </si>
  <si>
    <t>Cessnaya Shafa Satriyoputri</t>
  </si>
  <si>
    <t>Muhammad Arif Rahman</t>
  </si>
  <si>
    <t>Nurul Fitaningsih</t>
  </si>
  <si>
    <t>Muhammad Tri Laksono</t>
  </si>
  <si>
    <t>Destri Putri Permadani</t>
  </si>
  <si>
    <t>Daffa Alif Murtaja</t>
  </si>
  <si>
    <t>Devina Miftah Nurjannah</t>
  </si>
  <si>
    <t>Nikita Khairunissa</t>
  </si>
  <si>
    <t>085764097614 / 083831596251 (WA)</t>
  </si>
  <si>
    <t>https://drive.google.com/open?id=1AMMlmC4XUlbgzoCrfB4-yxj8d7N3Ikzdi15FYBbxP9g&amp;usp=drive_copy</t>
  </si>
  <si>
    <t>Bambang Robi In S.T.,M.T.</t>
  </si>
  <si>
    <t>Fina Delvia Nuroniyah</t>
  </si>
  <si>
    <t>Tiara Fitraningrum</t>
  </si>
  <si>
    <t>Iqbal Hasyim</t>
  </si>
  <si>
    <t>Ilka Nur Iman</t>
  </si>
  <si>
    <t>Sulthan Rafi Yuwan Putra</t>
  </si>
  <si>
    <t>Dayu Ningsih</t>
  </si>
  <si>
    <t>Muhammad Rasikh Noor 'alim</t>
  </si>
  <si>
    <t>Desti Meliana Ramandhani</t>
  </si>
  <si>
    <t>Suharsih</t>
  </si>
  <si>
    <t>https://drive.google.com/open?id=1AWiq3H99nx8mHFS_NrvOVOBlS_CdwfE0EdXzlQIkc2M&amp;usp=drive_copy</t>
  </si>
  <si>
    <t>Ihsan Fahrudin</t>
  </si>
  <si>
    <t>Hermawan Rangga Kusuma</t>
  </si>
  <si>
    <t>Miranda Lorenza</t>
  </si>
  <si>
    <t>Fatin Hamamah</t>
  </si>
  <si>
    <t>Khomzil Fitriani</t>
  </si>
  <si>
    <t>Iis Nurkholifah</t>
  </si>
  <si>
    <t>Putra Elang Satya Anandita</t>
  </si>
  <si>
    <t>Rinda Rosyada Nafi'ah</t>
  </si>
  <si>
    <t>Dea Melinda</t>
  </si>
  <si>
    <t>https://drive.google.com/open?id=1AWtI7U2uCWMuOTWPTlQF3GEjxY7KA63HBrN6l_3QpVM&amp;usp=drive_copy</t>
  </si>
  <si>
    <t>NANO KURNIAWAN</t>
  </si>
  <si>
    <t>Noerlaela Alfa Rizkie</t>
  </si>
  <si>
    <t>Annisa Muthmainnah Lamondjong</t>
  </si>
  <si>
    <t>Meilisa Nurhalimah</t>
  </si>
  <si>
    <t>Muhammad Luthfi Septian Cahya</t>
  </si>
  <si>
    <t>Aliz Zulis Al Hurni</t>
  </si>
  <si>
    <t>Dimas Rifqi Prasetya</t>
  </si>
  <si>
    <t>Indah Rosmiati</t>
  </si>
  <si>
    <t>Adinda Yuniarti</t>
  </si>
  <si>
    <t>https://drive.google.com/open?id=1Ai4ecMLhjaGxhxEnEqL64cjB3nkz5cSYB_zSZLIcE0k&amp;usp=drive_copy</t>
  </si>
  <si>
    <t>KRISNA ADHITYA</t>
  </si>
  <si>
    <t>Sitti Khairunnisah Usup</t>
  </si>
  <si>
    <t>Arina Putri Yuniar</t>
  </si>
  <si>
    <t>Salsabilla Nindya Putri</t>
  </si>
  <si>
    <t>Maman Faudzi</t>
  </si>
  <si>
    <t>Luluk Luvitasari</t>
  </si>
  <si>
    <t>Alfiqri Rizka Apriza</t>
  </si>
  <si>
    <t>Luthfianing Widowati</t>
  </si>
  <si>
    <t>Alfina Rachmawati</t>
  </si>
  <si>
    <t>https://drive.google.com/open?id=1BVoWdQ2_uJwzb3-CirTDWlgBmzRuFF7_AsHqaYNzYN4&amp;usp=drive_copy</t>
  </si>
  <si>
    <t>Faizar Ahmad Afandi</t>
  </si>
  <si>
    <t>Wibowo Ginanjar Rejeki</t>
  </si>
  <si>
    <t>Resti Fitriani</t>
  </si>
  <si>
    <t>Nadila Halimatusyadiah</t>
  </si>
  <si>
    <t>Aisyah Putri Maharani</t>
  </si>
  <si>
    <t>Nada Amalina</t>
  </si>
  <si>
    <t>Aurellia Maharani Shafa</t>
  </si>
  <si>
    <t>Dzikriyah Wihdatul Ulya Harfi</t>
  </si>
  <si>
    <t>Budi Santoso</t>
  </si>
  <si>
    <t>https://drive.google.com/open?id=1DdzJmM06x-glnl3GscloMiRH_dyFnrzJVEoTTJWoqJg&amp;usp=drive_copy</t>
  </si>
  <si>
    <t>Adelia Dekrit Mega Bintang</t>
  </si>
  <si>
    <t>Dandung Kurniawan Saputro</t>
  </si>
  <si>
    <t>Novrilla Rezikadhani</t>
  </si>
  <si>
    <t>Kartika Ningtias</t>
  </si>
  <si>
    <t>Fadila Dwika Cahya Ningtyas</t>
  </si>
  <si>
    <t>Agung Prastyo</t>
  </si>
  <si>
    <t>Durotun Nasekha</t>
  </si>
  <si>
    <t>Dinda Ian Elistiana</t>
  </si>
  <si>
    <t>https://drive.google.com/open?id=1EGodTSi4EVGsscuAEweNLqHJexpFamluXrI8o4isKws&amp;usp=drive_copy</t>
  </si>
  <si>
    <t>RISALDI AMRISTA</t>
  </si>
  <si>
    <t>Ari Saputra</t>
  </si>
  <si>
    <t>Nurul Faizzah</t>
  </si>
  <si>
    <t>Rosita Agil Saputri</t>
  </si>
  <si>
    <t>Adnindya Ladunia Nurvira</t>
  </si>
  <si>
    <t>Syahrul Dwi Adi Candra</t>
  </si>
  <si>
    <t>Shopia Maya Fariza</t>
  </si>
  <si>
    <t>Dyah Ayu Sholikhah</t>
  </si>
  <si>
    <t>Linda Yunika</t>
  </si>
  <si>
    <t>087778846377?</t>
  </si>
  <si>
    <t>https://drive.google.com/open?id=1GKFZB2ZgLyj-2sXoNSsxZ7TMuEoz_6HUSJJCrNs6HGo&amp;usp=drive_copy</t>
  </si>
  <si>
    <t>Ponco Arif Wicaksono</t>
  </si>
  <si>
    <t>Fernanda Janice Lintangsari</t>
  </si>
  <si>
    <t>Giovanno Lino</t>
  </si>
  <si>
    <t>Ummi Nur Fathonah</t>
  </si>
  <si>
    <t>Tiara Nurahma</t>
  </si>
  <si>
    <t>Muh. Azhar</t>
  </si>
  <si>
    <t>Anifa Ardia Rahmani</t>
  </si>
  <si>
    <t>Desta Restu Puspitasari</t>
  </si>
  <si>
    <t>Risca Mokoginta</t>
  </si>
  <si>
    <t>https://drive.google.com/open?id=1GtMyGXZYhTZmt73tEue0FyKbQlpdxCgwlC3BHP5StoU&amp;usp=drive_copy</t>
  </si>
  <si>
    <t>Zaiful Richi Nurrohmat</t>
  </si>
  <si>
    <t>M. Nauval Althov</t>
  </si>
  <si>
    <t>Rahadian Nurachmat</t>
  </si>
  <si>
    <t>Difa Ayu Sabila</t>
  </si>
  <si>
    <t>Devita Septa Widyaningrum</t>
  </si>
  <si>
    <t>Ayuriati</t>
  </si>
  <si>
    <t>Avrilla Tri Ariesta</t>
  </si>
  <si>
    <t>Siti Mahmudah</t>
  </si>
  <si>
    <t>Mutiara Ayung</t>
  </si>
  <si>
    <t>https://drive.google.com/open?id=1IccExUFXt5XdjHHTMrTFVK-VM4nKT4kcsB6qQ482lao&amp;usp=drive_copy</t>
  </si>
  <si>
    <t>Izza Alvin Aditya</t>
  </si>
  <si>
    <t>Wisnu Nugroho Pamungkas</t>
  </si>
  <si>
    <t>Alya Adinti</t>
  </si>
  <si>
    <t>Helda Yanti</t>
  </si>
  <si>
    <t>Puput Dwi Arlintin</t>
  </si>
  <si>
    <t>Dedi Haryanto</t>
  </si>
  <si>
    <t>Renzy Rindiani Ibrahim</t>
  </si>
  <si>
    <t>Listiana Ayu Indarwati</t>
  </si>
  <si>
    <t>Ipho Silvia Alkisna</t>
  </si>
  <si>
    <t>https://drive.google.com/open?id=1NfSL4hQNYhYS76hNjW8IcTXq2ARCR3aTuOdBmpzbUo8&amp;usp=drive_copy</t>
  </si>
  <si>
    <t>FANDI IRYANTO</t>
  </si>
  <si>
    <t>REVATA DENDI AURIX P</t>
  </si>
  <si>
    <t>Kartika Yuniar</t>
  </si>
  <si>
    <t>Astriani Indah Septiya Ningsih</t>
  </si>
  <si>
    <t>Dwi Rahma Wulandari.l</t>
  </si>
  <si>
    <t>Salsa Oi Nabaa Refadua</t>
  </si>
  <si>
    <t>Abizar Devara</t>
  </si>
  <si>
    <t>Siti Sa'diyah Putri Widiastuty</t>
  </si>
  <si>
    <t>Nadiyah Khashibah</t>
  </si>
  <si>
    <t>https://drive.google.com/open?id=1Ktsuh0-AFhJe76t0Pi334cE3ekohdRbPx2bysuw-sG4&amp;usp=drive_copy</t>
  </si>
  <si>
    <t>Adhitya Rechandy Christian S.E., M.M., CFP.</t>
  </si>
  <si>
    <t>RW 1, Pakuncen, Wirobrajan</t>
  </si>
  <si>
    <t>MUHAMMAD DZIKRI</t>
  </si>
  <si>
    <t>Abdul Gani</t>
  </si>
  <si>
    <t>Difa Nabila Azahra</t>
  </si>
  <si>
    <t>Eliza Amalia Istiqomah</t>
  </si>
  <si>
    <t>Selva Dwi Purwanto</t>
  </si>
  <si>
    <t>Lenia Lulu Heriyanto</t>
  </si>
  <si>
    <t>Fityan Sofwaturrohman</t>
  </si>
  <si>
    <t>Maya Syahrani Adisti Bana</t>
  </si>
  <si>
    <t>Rizqi Amaliah Rauda Ananda</t>
  </si>
  <si>
    <t>https://drive.google.com/open?id=1KlknmlzdwCizIktTE1fk7Ov3VKf1zDKLF2eHBbbdjkE&amp;usp=drive_copy</t>
  </si>
  <si>
    <t>RW 2, Pakuncen, Wirobrajan</t>
  </si>
  <si>
    <t>Heru Kusuma Wijaya</t>
  </si>
  <si>
    <t>Syawal Saputra</t>
  </si>
  <si>
    <t>Dheva Adhi Dharma</t>
  </si>
  <si>
    <t>Tessa Dwi Maharani</t>
  </si>
  <si>
    <t>Anfielsyani Rizky</t>
  </si>
  <si>
    <t>Nadika Widuri</t>
  </si>
  <si>
    <t>Adiba Dyah Hapsari</t>
  </si>
  <si>
    <t>Friska Amalia Fahra</t>
  </si>
  <si>
    <t>Danti Hasanah Fatmawati</t>
  </si>
  <si>
    <t>https://drive.google.com/open?id=1yHOcB0P0-C8bbDp9y6_e3_QhPg-8swyMHSB4vAEEvvo&amp;usp=drive_copy</t>
  </si>
  <si>
    <t>RW 3, Pakuncen, Wirobrajan</t>
  </si>
  <si>
    <t>SATRIO. S JAGAD</t>
  </si>
  <si>
    <t>ZULFIKRI SODIQ ENDRAWAN</t>
  </si>
  <si>
    <t>Fakhri Andrian Hartanto</t>
  </si>
  <si>
    <t>Nurinisa Ramadanti</t>
  </si>
  <si>
    <t>Isna Fitria Alfiani Zulfa</t>
  </si>
  <si>
    <t>Aviliani Fajri Trijanah</t>
  </si>
  <si>
    <t>Mustika Muchlis</t>
  </si>
  <si>
    <t>Izza Zuhra Hafidlah</t>
  </si>
  <si>
    <t>Diniati Putri Vikasari</t>
  </si>
  <si>
    <t>https://drive.google.com/open?id=1v-LVk_FIVSQP6J1HbOw49lsrOQrwAMrqUGNvchMQ-RE&amp;usp=drive_copy</t>
  </si>
  <si>
    <t>Avanti Vera Risti Pramudyani S.Pd, M.Pd.</t>
  </si>
  <si>
    <t>RW 4, Pakuncen, Wirobrajan</t>
  </si>
  <si>
    <t>MIFTAHUL KHAIR</t>
  </si>
  <si>
    <t>SAPTO HARTONO</t>
  </si>
  <si>
    <t>Arizma Sari Tri Adi Tama</t>
  </si>
  <si>
    <t>Nunung Purwanti</t>
  </si>
  <si>
    <t>Desvindya Dwi Annastiti</t>
  </si>
  <si>
    <t>Dyah Anggraini Widya Astuti</t>
  </si>
  <si>
    <t>Kurniawanti</t>
  </si>
  <si>
    <t>Dian Selvina</t>
  </si>
  <si>
    <t>Raeyvaldo Dwi Hendriyanto</t>
  </si>
  <si>
    <t>https://drive.google.com/open?id=1uGLafnwIlis0kZmaAo4Pjzeo7Z74zkABUJIvqmVN_YE&amp;usp=drive_copy</t>
  </si>
  <si>
    <t>RW 5, Pakuncen, Wirobrajan</t>
  </si>
  <si>
    <t>Kana Aprilia Azizah</t>
  </si>
  <si>
    <t>Alen Savitri</t>
  </si>
  <si>
    <t>Eka Wahyu Wulandari</t>
  </si>
  <si>
    <t>Jagad Mahesa Jati</t>
  </si>
  <si>
    <t>Moch Naufal Al Abied</t>
  </si>
  <si>
    <t>Hananan Taqiyya</t>
  </si>
  <si>
    <t>Fahmi Faisal Akbar</t>
  </si>
  <si>
    <t>Halimatus Sadiah</t>
  </si>
  <si>
    <t>Al Ainnayah Poetri Zaika</t>
  </si>
  <si>
    <t>https://drive.google.com/open?id=1tIXgfS-dcEy6_5BXEfusPr8ZzvcYQTZ4ccKowazlDVY&amp;usp=drive_copy</t>
  </si>
  <si>
    <t>RW 6, Pakuncen, Wirobrajan</t>
  </si>
  <si>
    <t>Nega Romit Putri Pratiwi</t>
  </si>
  <si>
    <t>Bintang Arya Majid</t>
  </si>
  <si>
    <t>Sirly Noviani</t>
  </si>
  <si>
    <t>Rifqal Majid</t>
  </si>
  <si>
    <t>Sultana Amelia Rohmana</t>
  </si>
  <si>
    <t>Siti Azahra Walidatus Sabana</t>
  </si>
  <si>
    <t>Ahmad Paisol Putra</t>
  </si>
  <si>
    <t>Nabila Sulaksono</t>
  </si>
  <si>
    <t>https://drive.google.com/open?id=1sUZE1iVKscA9BL-_QSaoErR9lgGkVxkwuC5RyEU0yq8&amp;usp=drive_copy</t>
  </si>
  <si>
    <t>Dr.Surahma Asti Mulasari, S.Si, M.Kes.</t>
  </si>
  <si>
    <t>RW 7, Pakuncen, Wirobrajan</t>
  </si>
  <si>
    <t>Ade Putri Pramudwa</t>
  </si>
  <si>
    <t>Dicky Vecchio</t>
  </si>
  <si>
    <t>Dhini Apriliani</t>
  </si>
  <si>
    <t>Risma Indah Nurani</t>
  </si>
  <si>
    <t>Catur Maltaruna</t>
  </si>
  <si>
    <t>Setya Mulia Handayani</t>
  </si>
  <si>
    <t>Fauzi Tri Prasetyo</t>
  </si>
  <si>
    <t>Ummi Zahratul Mufidah</t>
  </si>
  <si>
    <t>Annisa Oktrivia Dewi</t>
  </si>
  <si>
    <t>https://drive.google.com/open?id=1sQstdyTWoH9wZivh1drMuerG_YTxIyrVkChnfl98yJA&amp;usp=drive_copy</t>
  </si>
  <si>
    <t>RW 8, Pakuncen, Wirobrajan</t>
  </si>
  <si>
    <t>Mutmainah</t>
  </si>
  <si>
    <t>Anty Kunanti</t>
  </si>
  <si>
    <t>Ika Ristiani</t>
  </si>
  <si>
    <t>Muh. Rehan Al Afgani</t>
  </si>
  <si>
    <t>M. Rizki Ernanda Nasution</t>
  </si>
  <si>
    <t>Ananda Aisyah Ragil Saputri</t>
  </si>
  <si>
    <t>Windi Dwi Astuti</t>
  </si>
  <si>
    <t>Rouf Zidan Nurrohman</t>
  </si>
  <si>
    <t>Nadia Ummi Fatiha</t>
  </si>
  <si>
    <t>https://drive.google.com/open?id=1mb1biGUdRjeJPMLsfv6DNq_8Xiud5nmDGHF308kq81g&amp;usp=drive_copy</t>
  </si>
  <si>
    <t>RW 10, Pakuncen, Wirobrajan</t>
  </si>
  <si>
    <t>Shelvy Yuliyani</t>
  </si>
  <si>
    <t>Laila Isnaeni Khusniyah</t>
  </si>
  <si>
    <t>Risa Rahmadaniah Putri</t>
  </si>
  <si>
    <t>Arif Rahman</t>
  </si>
  <si>
    <t>Asda Akmal Rizky</t>
  </si>
  <si>
    <t>Gheby Tri Okta Mulia</t>
  </si>
  <si>
    <t>Rifdah Auva Apriliana</t>
  </si>
  <si>
    <t>Abid Sholihin</t>
  </si>
  <si>
    <t>Nabila Amanda Putri</t>
  </si>
  <si>
    <t>https://drive.google.com/open?id=1d7iT8fLAxJeBp4TPBrgTuaes30t-zalwrkrCmeeEHI0&amp;usp=drive_copy</t>
  </si>
  <si>
    <t>Sulistyawati, S.Si., M.PH.,Ph.D</t>
  </si>
  <si>
    <t>RW 11, Pakuncen, Wirobrajan</t>
  </si>
  <si>
    <t>Randu Al Faqih</t>
  </si>
  <si>
    <t>Hidayah Ayom Kisnanti</t>
  </si>
  <si>
    <t>Ghina Mitsal</t>
  </si>
  <si>
    <t>Akbar Arif Muhammad</t>
  </si>
  <si>
    <t>Firda Fortuna</t>
  </si>
  <si>
    <t>Safina Rosita Indrawati</t>
  </si>
  <si>
    <t>Khusnul Chotimah</t>
  </si>
  <si>
    <t>Dea Monica</t>
  </si>
  <si>
    <t>Angga Yuniarto</t>
  </si>
  <si>
    <t>https://drive.google.com/open?id=1mWO9AEmxDWm4C2TVAo3lPzikYlFfBhdHUKgdSFb8h0Q&amp;usp=drive_copy</t>
  </si>
  <si>
    <t>RW 12, Pakuncen, Wirobrajan</t>
  </si>
  <si>
    <t>M. RIDHO AZUMARTA AZRA</t>
  </si>
  <si>
    <t>Huuriyah Nahda</t>
  </si>
  <si>
    <t>Viranika Ade Rahayu</t>
  </si>
  <si>
    <t>Nanda Satriatama</t>
  </si>
  <si>
    <t>Zhaqiela Ainayah</t>
  </si>
  <si>
    <t>Ade Annisa Jannati</t>
  </si>
  <si>
    <t>Faniya Nurul Rohmah</t>
  </si>
  <si>
    <t>Dimas Urip Santoso</t>
  </si>
  <si>
    <t>Banun Intan Isnaini</t>
  </si>
  <si>
    <t>https://drive.google.com/open?id=1m5dUtlmU7stLw5HoKctMMpoy3gQ6QrgFU3z3hCirk2A&amp;usp=drive_copy</t>
  </si>
  <si>
    <t>RW 2, Wirobrajan, Wirobrajan</t>
  </si>
  <si>
    <t>Fitria Lailatul Jannah</t>
  </si>
  <si>
    <t>Azizah Devi Mustikasari</t>
  </si>
  <si>
    <t>Alliffian Nandana Abner Maulana</t>
  </si>
  <si>
    <t>Mei Nurdayani</t>
  </si>
  <si>
    <t>Muh Imam Sholichin</t>
  </si>
  <si>
    <t>Ananda Zulfatya Rahmah</t>
  </si>
  <si>
    <t>Ahmad 'alim Wijaya</t>
  </si>
  <si>
    <t>Riska Mutia Nur Putri</t>
  </si>
  <si>
    <t>Mareta Yudhaningtyas</t>
  </si>
  <si>
    <t>https://drive.google.com/open?id=1iS7GQzTWD1xeGO-VZl3XCq2gJT68EXEs-laiahTPNSg&amp;usp=drive_copy</t>
  </si>
  <si>
    <t>RW 3, Wirobrajan, Wirobrajan</t>
  </si>
  <si>
    <t>MUHAMMAD SAUQI ALFATH JUNDULLAH</t>
  </si>
  <si>
    <t>M. ISMAWAN MAWARDI</t>
  </si>
  <si>
    <t>Siti Wardatun Warrahmah</t>
  </si>
  <si>
    <t>Salsabila Syifa Alfarisy</t>
  </si>
  <si>
    <t>Varisa Tri Utari</t>
  </si>
  <si>
    <t>Tsalsabila Tasya Kamila</t>
  </si>
  <si>
    <t>Lintang Ahmad Mustika Aji</t>
  </si>
  <si>
    <t>Annisa Aulia</t>
  </si>
  <si>
    <t>Roselyn Hanifa</t>
  </si>
  <si>
    <t>https://drive.google.com/open?id=1dex4fmiuuWlVcHMMSrRcYibNGJHvdGqAj1gqWoj0SZo&amp;usp=drive_copy</t>
  </si>
  <si>
    <t>RW 4, Wirobrajan, Wirobrajan</t>
  </si>
  <si>
    <t>Elfita Alif Diani</t>
  </si>
  <si>
    <t>Okhik Wahyu Vitria</t>
  </si>
  <si>
    <t>Megi Saputra</t>
  </si>
  <si>
    <t>Navaya Helena</t>
  </si>
  <si>
    <t>Faiz Al Ayyubi Harahap</t>
  </si>
  <si>
    <t>Arum Indah Febriyanti</t>
  </si>
  <si>
    <t>Rhafid Luhur Pambudi</t>
  </si>
  <si>
    <t>Eka Salma Dina</t>
  </si>
  <si>
    <t>Galuh Puspita Purborini</t>
  </si>
  <si>
    <t>https://drive.google.com/open?id=1dFYKnraWoB3WZ4MP41EP4ghyuPLXWsObUHIR97NukCk&amp;usp=drive_copy</t>
  </si>
  <si>
    <t>RW 6, Wirobrajan, Wirobrajan</t>
  </si>
  <si>
    <t>Witri Wulandari</t>
  </si>
  <si>
    <t>DINA FITRA SARI</t>
  </si>
  <si>
    <t>Gst Kadek Raka Septio Kaesar</t>
  </si>
  <si>
    <t>A. Ainun Wulandari</t>
  </si>
  <si>
    <t>Salsa Faranandita</t>
  </si>
  <si>
    <t>Frida Istiyawati Hastuti</t>
  </si>
  <si>
    <t>Hilman Navi'an</t>
  </si>
  <si>
    <t>Avif Ariyanto</t>
  </si>
  <si>
    <t>Fitri Rahmadani</t>
  </si>
  <si>
    <t>https://drive.google.com/open?id=1bpzPTv2x34Z3f7I7vnh0EdNcL2_IXuBRk0j86EfK_i8&amp;usp=drive_copy</t>
  </si>
  <si>
    <t>Anaas Tri Ridlo Dina Yuliana S.Pd., M.Pd.</t>
  </si>
  <si>
    <t>RW 7, Wirobrajan, Wirobrajan</t>
  </si>
  <si>
    <t>IMAS DWI MADINA</t>
  </si>
  <si>
    <t>Muhammad Farid Fadillah</t>
  </si>
  <si>
    <t>Arwika Praja Destra Nararya</t>
  </si>
  <si>
    <t>Agil Kiranti Devi</t>
  </si>
  <si>
    <t>Arinna Dhiyaa' Nisa Lathifah</t>
  </si>
  <si>
    <t>Haniyah Maulidya Kharis</t>
  </si>
  <si>
    <t>Dwi Nugroho</t>
  </si>
  <si>
    <t>Syakira Vina Sayyidina</t>
  </si>
  <si>
    <t>Aisyah Durrotul Hikmah</t>
  </si>
  <si>
    <t>https://drive.google.com/open?id=1bR2ufX8Op8eqV5gVUrYQu6WPHgJ5sr0fP6saaNEWL-k&amp;usp=drive_copy</t>
  </si>
  <si>
    <t>RW 8, Wirobrajan, Wirobrajan</t>
  </si>
  <si>
    <t>Choirul Maulana</t>
  </si>
  <si>
    <t>Khalida Lutfiah Munir</t>
  </si>
  <si>
    <t>Huwaida Salma Khoiriyah</t>
  </si>
  <si>
    <t>Muhammad Ridho Indra Akhyana</t>
  </si>
  <si>
    <t>Dhea Adisthy Nikmatullah</t>
  </si>
  <si>
    <t>Chandra Novianto</t>
  </si>
  <si>
    <t>Dhita Paramita Cahya Violeta</t>
  </si>
  <si>
    <t>895-622415283</t>
  </si>
  <si>
    <t>https://drive.google.com/open?id=1YELInT8SSBdYpiVlIAGwh7WCJDvXKgQuw-Jk_gt43w8&amp;usp=drive_copy</t>
  </si>
  <si>
    <t>RW 10, Wirobrajan, Wirobrajan</t>
  </si>
  <si>
    <t>MAHDI SUHARRANI</t>
  </si>
  <si>
    <t>Octavia Sindy Carolline</t>
  </si>
  <si>
    <t>David Candra Kusuma Wardana</t>
  </si>
  <si>
    <t>Viby Leria Putri</t>
  </si>
  <si>
    <t>Fa`izatur Rofidah</t>
  </si>
  <si>
    <t>Salsabila Ismunajar</t>
  </si>
  <si>
    <t>Neysa Salsabila Felasufa Amadea</t>
  </si>
  <si>
    <t>Muhammad Rifki</t>
  </si>
  <si>
    <t>Aina Firdha Kholaifatuzaen</t>
  </si>
  <si>
    <t>https://drive.google.com/open?id=1VIZS6PLpEBV87yqgP2xbtMPHM7PwDFK09G6hhgPNXac&amp;usp=drive_copy</t>
  </si>
  <si>
    <t>Nurul Satria Abdi S.H., M.H.</t>
  </si>
  <si>
    <t>RW 11, Wirobrajan, Wirobrajan</t>
  </si>
  <si>
    <t>Amanda Rahma Pambayun</t>
  </si>
  <si>
    <t>Maha Rizki Sambada</t>
  </si>
  <si>
    <t>Geoputri Andhikasari</t>
  </si>
  <si>
    <t>Muhammad Yusron Firdaus</t>
  </si>
  <si>
    <t>Eka Laila Fithria Nita</t>
  </si>
  <si>
    <t>Widyan Zulda Mahira</t>
  </si>
  <si>
    <t>Nurul Anisa Rahmadia</t>
  </si>
  <si>
    <t>Widi Kusumaningtyas Sucipto Putri</t>
  </si>
  <si>
    <t>Aisha Zuleyka</t>
  </si>
  <si>
    <t>https://drive.google.com/open?id=1R9atTXRoPxBG287AvyjX6m06NzqLOeB8pjDu-WO2m2k&amp;usp=drive_copy</t>
  </si>
  <si>
    <t>RW 1, Wirobrajan, Wirobrajan</t>
  </si>
  <si>
    <t>LAODE MUHAMAD ZULFICKRISYAH</t>
  </si>
  <si>
    <t>Citra Rana Sari</t>
  </si>
  <si>
    <t>Meiliya Widiastuti</t>
  </si>
  <si>
    <t>Aditya Yunus Darmawan</t>
  </si>
  <si>
    <t>Afnanda Puspa Pertiwi</t>
  </si>
  <si>
    <t>Fairuz Fatchiyyah Darajah</t>
  </si>
  <si>
    <t>Fania Ufairoh</t>
  </si>
  <si>
    <t>Ardiyan Muhammad Syafii Ma'arif</t>
  </si>
  <si>
    <t>Rahma Nur Shadrina</t>
  </si>
  <si>
    <t>https://drive.google.com/open?id=1J4OUfYVevYIkMTNs7PYRvwLNtypwqeEwHbNQuRVjSkY&amp;usp=drive_copy</t>
  </si>
  <si>
    <t>RW 12, Wirobrajan, Wirobrajan</t>
  </si>
  <si>
    <t>Cesaria Putri Melati</t>
  </si>
  <si>
    <t>Dewi Yulia Rachmawati</t>
  </si>
  <si>
    <t>Muhammad Elang Satria Putra</t>
  </si>
  <si>
    <t>Adelia Marizka Ardana</t>
  </si>
  <si>
    <t>Atalah Tadzaru Al-kindi</t>
  </si>
  <si>
    <t>Annisa Hidayanti</t>
  </si>
  <si>
    <t>Akbar Nulhakim</t>
  </si>
  <si>
    <t>Adinda Dika Insani</t>
  </si>
  <si>
    <t>Tari Noor Syahbani Praja</t>
  </si>
  <si>
    <t>https://drive.google.com/open?id=1HLBRY_1Lkamd5VGg5i5rIfoNxlv4N5eZyCauIpJV7UY&amp;usp=drive_copy</t>
  </si>
  <si>
    <t>RW 1, Patangpuluhan, Wirobrajan</t>
  </si>
  <si>
    <t>Moh. Resa</t>
  </si>
  <si>
    <t>Dineda Primas Septdiningtyas</t>
  </si>
  <si>
    <t>Aulia Cahya Pratiwi</t>
  </si>
  <si>
    <t>Sumarlin</t>
  </si>
  <si>
    <t>Aprilia Kusumaningrum</t>
  </si>
  <si>
    <t>Siti Nur Fatimah</t>
  </si>
  <si>
    <t>Dwi Putri Miftahatun Rodiyah</t>
  </si>
  <si>
    <t>Defrian Riski Muncar Atmana</t>
  </si>
  <si>
    <t>Ayun Ainaa Rizqi Khoirunnisa</t>
  </si>
  <si>
    <t>https://drive.google.com/open?id=1HBCQ_XXfUmpmKaHIn83dtmHplKxjITHcMoC7wOksBgw&amp;usp=drive_copy</t>
  </si>
  <si>
    <t>RW 4, Patangpuluhan, Wirobrajan</t>
  </si>
  <si>
    <t>AIFA NAFISA SETIAWAN</t>
  </si>
  <si>
    <t>Shafwa Maitsa Adzra Tsani</t>
  </si>
  <si>
    <t>Agam Adhy Prasetyo</t>
  </si>
  <si>
    <t>Dinda Yunita</t>
  </si>
  <si>
    <t>Anandito Putra Setiadi</t>
  </si>
  <si>
    <t>Tamira Kesuma</t>
  </si>
  <si>
    <t>Kartika Ningsih</t>
  </si>
  <si>
    <t>Salim Ibrahim Bin Kadim</t>
  </si>
  <si>
    <t>https://drive.google.com/open?id=1GUqqX2sUUIqUtHB-7RT8rcFxMd0I3LfOfcW5dGM5b5w&amp;usp=drive_copy</t>
  </si>
  <si>
    <t>RW 5, Patangpuluhan, Wirobrajan</t>
  </si>
  <si>
    <t>FAJAR RAMADHAN DEVA REZKI</t>
  </si>
  <si>
    <t>Andi Syahrani Nur Syahbani</t>
  </si>
  <si>
    <t>Nur Rohmah Dwi Latifah</t>
  </si>
  <si>
    <t>Imel Destri Ramadhona</t>
  </si>
  <si>
    <t>Alya Syakira Fatin</t>
  </si>
  <si>
    <t>Handra Rezky Pramudia</t>
  </si>
  <si>
    <t>Irza Wahyu Rahmawati</t>
  </si>
  <si>
    <t>Kory Aznam Ashari</t>
  </si>
  <si>
    <t>Shahrukh Yazid Gyimnastiar Shabri</t>
  </si>
  <si>
    <t>Ilmu Kesehatan Masyarakat Prosus</t>
  </si>
  <si>
    <t>https://drive.google.com/open?id=1GC_-EMnONn18eWpzwximFq5MMWMRoaBXdFM7ruWd1zM&amp;usp=drive_copy</t>
  </si>
  <si>
    <t>Iis Suwartini M. Pd.</t>
  </si>
  <si>
    <t>RW 7, Patangpuluhan, Wirobrajan</t>
  </si>
  <si>
    <t>Andina Aura Azalea</t>
  </si>
  <si>
    <t>Ghina Alfiyah</t>
  </si>
  <si>
    <t>Annisa Syifa</t>
  </si>
  <si>
    <t>Franscisco Andry Utomo</t>
  </si>
  <si>
    <t>Ragil Sanjaya</t>
  </si>
  <si>
    <t>Amalia Marta Prameswari</t>
  </si>
  <si>
    <t>Ahsan Noor Rizqy</t>
  </si>
  <si>
    <t>An Nisaa Zukhrufatul Jannah</t>
  </si>
  <si>
    <t>Olvy Mailandari</t>
  </si>
  <si>
    <t>0859-2609-6324</t>
  </si>
  <si>
    <t>0857-1362-6257</t>
  </si>
  <si>
    <t>https://drive.google.com/open?id=1CmuAZGYYfPT-pN3Q5YamQd_O0eWSCmuNl-kHlIwnRRM&amp;usp=drive_copy</t>
  </si>
  <si>
    <t>RW 9, Patangpuluhan, Wirobrajan</t>
  </si>
  <si>
    <t>Izul Kharimah</t>
  </si>
  <si>
    <t>Annisatul Kamaliah</t>
  </si>
  <si>
    <t>An-nisaa Fauziah</t>
  </si>
  <si>
    <t>Al Aliya Ashilah</t>
  </si>
  <si>
    <t>Muhamad Rivaldi</t>
  </si>
  <si>
    <t>Muhammad Danu Wicaksono</t>
  </si>
  <si>
    <t>Egi Nur Hudatun</t>
  </si>
  <si>
    <t>Rofiana</t>
  </si>
  <si>
    <t>Aswin Nurjanah</t>
  </si>
  <si>
    <t>https://drive.google.com/open?id=1AeBKCKz-zhMs5sPCu1DXxWnQsuZktwqEOljwcYK7n6Y&amp;usp=drive_copy</t>
  </si>
  <si>
    <t>Mufti Khakim, S.H., M.H.</t>
  </si>
  <si>
    <t>RW 10, Patangpuluhan, Wirobrajan</t>
  </si>
  <si>
    <t>Fadjar Nur Falaah</t>
  </si>
  <si>
    <t>Puspita Nurani</t>
  </si>
  <si>
    <t>Nasuha Alfaiza</t>
  </si>
  <si>
    <t>Senandika Setya Wardana</t>
  </si>
  <si>
    <t>Sadida Abdilla Putri</t>
  </si>
  <si>
    <t>Massyifa Ajeng Nur Pratiwi</t>
  </si>
  <si>
    <t>Rajiv Irghansyah</t>
  </si>
  <si>
    <t>Bunga Melati Sukma</t>
  </si>
  <si>
    <t>Ervina Tria Rimadhani</t>
  </si>
  <si>
    <t>https://drive.google.com/open?id=14S0Jqu9xTsc0TD7yxwv2vnF9BabyO01GUruZTKCgjxc&amp;usp=drive_copy</t>
  </si>
  <si>
    <t>RW 3, Patangpuluhan, Wirobrajan</t>
  </si>
  <si>
    <t>Muhammad Farhan Alamsyah</t>
  </si>
  <si>
    <t>Amran Razan Maharanis</t>
  </si>
  <si>
    <t>Ivan Padhillah</t>
  </si>
  <si>
    <t>Anggia Ayu Juwitasari</t>
  </si>
  <si>
    <t>Astrid Atika Widasari</t>
  </si>
  <si>
    <t>Alfian Fandi Firmansyah</t>
  </si>
  <si>
    <t>Renanda Aprilia Nurjanah</t>
  </si>
  <si>
    <t>Idha Putri Kinasih</t>
  </si>
  <si>
    <t>Annisa Choirunnisa</t>
  </si>
  <si>
    <t>083150109354?</t>
  </si>
  <si>
    <t>https://drive.google.com/open?id=128NztE3J2EIjNv_irPNggRTyrD4tQi0shpmk_Qd9n_4&amp;usp=drive_copy</t>
  </si>
  <si>
    <t>Reguler Periode ke-123</t>
  </si>
  <si>
    <t>Liena Sofiana S.KM., M.Sc</t>
  </si>
  <si>
    <t>Alya Laelatunnisa</t>
  </si>
  <si>
    <t>Fajar Auliya Akbar</t>
  </si>
  <si>
    <t>Churin Shirotus Sirly</t>
  </si>
  <si>
    <t>Aisyah Aulia Nugraha</t>
  </si>
  <si>
    <t>Ririn Kholifatu Yuliani</t>
  </si>
  <si>
    <t>Rani Swita Juliyanti Ismail</t>
  </si>
  <si>
    <t>Kinasti Dwi Lestari</t>
  </si>
  <si>
    <t>Rizkiana Ayu Hidayati</t>
  </si>
  <si>
    <t>Nafa Naili Fauziah</t>
  </si>
  <si>
    <t>085221365226</t>
  </si>
  <si>
    <t>https://drive.google.com/open?id=1f6ybG6ihbTg_jrev_6wUmBWAyhFAx1rZDSZ0tzjcXB8&amp;usp=drive_copy</t>
  </si>
  <si>
    <t>Dr. Rina Ratih Sri Sudaryani M.Hum</t>
  </si>
  <si>
    <t>Fhira Triana Maulani</t>
  </si>
  <si>
    <t>Muhammad Ibnu 'Athoillah</t>
  </si>
  <si>
    <t>Azis Nurrahman Septian</t>
  </si>
  <si>
    <t>Muhammad Faqih Mukhtar</t>
  </si>
  <si>
    <t>Dila Erisma Septiana</t>
  </si>
  <si>
    <t>IZZANI FATHUR RIZKY ARIFIN</t>
  </si>
  <si>
    <t>EGA SAPUTRA</t>
  </si>
  <si>
    <t>Ilham Julaiman</t>
  </si>
  <si>
    <t>Lala Indriani Rahman</t>
  </si>
  <si>
    <t>Ilham Fahmi</t>
  </si>
  <si>
    <t>https://drive.google.com/open?id=1tnid7ETYJfYjoPzqwcSHKT6xbWQY8q1WdtereWllGpU&amp;usp=drive_copy</t>
  </si>
  <si>
    <t>Hanif Amrin Rasyada</t>
  </si>
  <si>
    <t>NUR FADLILAH</t>
  </si>
  <si>
    <t>Anna Maulina</t>
  </si>
  <si>
    <t>Zahra Putri Azizah</t>
  </si>
  <si>
    <t>Hasna Dhiya Azzahra</t>
  </si>
  <si>
    <t>Balqis Hikmatullah</t>
  </si>
  <si>
    <t>FADLI MUZAKI</t>
  </si>
  <si>
    <t>Giga Jundan Al Huda</t>
  </si>
  <si>
    <t>Nur Afi Ardiansyah</t>
  </si>
  <si>
    <t>Muhammad Abduh</t>
  </si>
  <si>
    <t>https://drive.google.com/open?id=1JhCbbPaj6nNSi2eaVB4InnD5fX6_dRTCR5p9B1HiIDg&amp;usp=drive_copy</t>
  </si>
  <si>
    <t>Nais Nurkhasanah</t>
  </si>
  <si>
    <t>Aditya Arisma Oktavia</t>
  </si>
  <si>
    <t>Aisa Hanum Kinanti</t>
  </si>
  <si>
    <t>Siti Aminah</t>
  </si>
  <si>
    <t>Dara Fitra Damara</t>
  </si>
  <si>
    <t>Annisa Fatati Rahmah</t>
  </si>
  <si>
    <t>NENDEN WULAN SEPTIANNING TIYAS</t>
  </si>
  <si>
    <t>Rosalina Jovanka Putri</t>
  </si>
  <si>
    <t>Muhammad Rayhan Maulana</t>
  </si>
  <si>
    <t>Ninda Shavera Visty Happy Yana</t>
  </si>
  <si>
    <t>https://drive.google.com/open?id=1_IlLrpMCR8JwfyVw7TeHCLEb5PHpLme-K6LRIFBUVm0&amp;usp=drive_copy</t>
  </si>
  <si>
    <t>Dr. apt Iis Wahyuningsih M.Si.,</t>
  </si>
  <si>
    <t>Azzahro Aulia Firdausi</t>
  </si>
  <si>
    <t>Nurul Safira Basuki</t>
  </si>
  <si>
    <t>Fatimah Fadila Jannaty</t>
  </si>
  <si>
    <t>Shafira Diestra Afifa</t>
  </si>
  <si>
    <t>Dwi Kartika Indriani</t>
  </si>
  <si>
    <t>Devi Indri Alvian</t>
  </si>
  <si>
    <t>Sukma Andita Putrianti</t>
  </si>
  <si>
    <t>Kartika Nur Azizah</t>
  </si>
  <si>
    <t>Ardelia Shafa Raissa</t>
  </si>
  <si>
    <t>https://drive.google.com/open?id=1dfJqbnJ3FAMnAfoaYsjD7bVPLGUp8eWkE3ceFLs1YkI&amp;usp=drive_copy</t>
  </si>
  <si>
    <t>Mujadid Ulinnuha</t>
  </si>
  <si>
    <t>Ghoniyun Nisa Uskhulil Aska</t>
  </si>
  <si>
    <t>Salsabila Maulidya Phoena</t>
  </si>
  <si>
    <t>Destia Nur Romadhoni</t>
  </si>
  <si>
    <t>Laelatul Hidayah</t>
  </si>
  <si>
    <t>Ghaitsa Zahira Rahma</t>
  </si>
  <si>
    <t>Dini Rohmah</t>
  </si>
  <si>
    <t>Muhammad Syahrul Gunawan</t>
  </si>
  <si>
    <t>Muhammad Fauzi</t>
  </si>
  <si>
    <t>Anugrah Akbar Priyogo Wiratama</t>
  </si>
  <si>
    <t>https://drive.google.com/open?id=1G3KXYnyJg44v2A7MN_5-eQd0dGuxRhmYMgUmmWZ61zw&amp;usp=drive_copy</t>
  </si>
  <si>
    <t>Reguler Periode ke-118</t>
  </si>
  <si>
    <t>Fariz Setyawan M.Pd</t>
  </si>
  <si>
    <t>Dhinda Puspita Ayuningtyas</t>
  </si>
  <si>
    <t>Anggi Aulia Rizki</t>
  </si>
  <si>
    <t>Khansa Afifah Putri Permana</t>
  </si>
  <si>
    <t>Fani Dwi Rahmawati</t>
  </si>
  <si>
    <t>Pratita Pawestri</t>
  </si>
  <si>
    <t>Isti Nurhalisah</t>
  </si>
  <si>
    <t>Sintia Vamela</t>
  </si>
  <si>
    <t>Nabila Rabiatul Adwiah</t>
  </si>
  <si>
    <t>Fatharani Fadillah</t>
  </si>
  <si>
    <t>Oki Ariyanto</t>
  </si>
  <si>
    <t>https://drive.google.com/open?id=1g3hRnzu_zkX6M0lU4kh6wk94uChWtMO_sEGQT-791AA&amp;usp=drive_copy</t>
  </si>
  <si>
    <t>Rana Ashilah Zahra</t>
  </si>
  <si>
    <t>Naela Fariha Fajriyani</t>
  </si>
  <si>
    <t>Suci Agika Febiyanti</t>
  </si>
  <si>
    <t>Vera Yunita</t>
  </si>
  <si>
    <t>Reni Nuroniah</t>
  </si>
  <si>
    <t>Yasmin Amanda Nathania</t>
  </si>
  <si>
    <t>Agyem Mustaqim</t>
  </si>
  <si>
    <t>Suci Novita</t>
  </si>
  <si>
    <t>Siska Dwi Prasasti</t>
  </si>
  <si>
    <t>Ria Lutfi Wahyuni</t>
  </si>
  <si>
    <t>https://drive.google.com/open?id=1v94-53gvuSh_eOtsRIWOB6PO1E4V8VWq4vyiZu3ilIE&amp;usp=drive_copy</t>
  </si>
  <si>
    <t>AMADATUL FIRDAUSYAH</t>
  </si>
  <si>
    <t>Alinda Nastiti</t>
  </si>
  <si>
    <t>Farhanita</t>
  </si>
  <si>
    <t>Rara Raudhah Sakha Mahardika</t>
  </si>
  <si>
    <t>Debby Andarrisa Sintya Dewi</t>
  </si>
  <si>
    <t>Annisa Nur Sholihah</t>
  </si>
  <si>
    <t>Rinanda Gema Pangestika</t>
  </si>
  <si>
    <t>Kurnia Nada Safitri</t>
  </si>
  <si>
    <t>Nur Putriana Yuliawati</t>
  </si>
  <si>
    <t>Eryke Sukma Widiarna</t>
  </si>
  <si>
    <t>https://drive.google.com/open?id=11TIo12gaplYwBMjM1xADlYLIcaEjCnFCxLMJC4uYEDI&amp;usp=drive_copy</t>
  </si>
  <si>
    <t>Nadia Regita Pramesti</t>
  </si>
  <si>
    <t>Nadiva Silfia Ningyas</t>
  </si>
  <si>
    <t>Nurlaeli Putri</t>
  </si>
  <si>
    <t>Mohamad Ardi Hanzah</t>
  </si>
  <si>
    <t>Fatimah Sutomo</t>
  </si>
  <si>
    <t>Alifah Nur Azizah</t>
  </si>
  <si>
    <t>Salsabila Mutiara Sari</t>
  </si>
  <si>
    <t>Elvira Rachmasari Aulia</t>
  </si>
  <si>
    <t>Herawati Setiya Ningrum</t>
  </si>
  <si>
    <t>https://drive.google.com/open?id=1TjfXudfOEISX08ERgo5PAwsPnAoCj0eJMznwKsd1CqI&amp;usp=drive_copy</t>
  </si>
  <si>
    <t>Bela Saputri Dewi</t>
  </si>
  <si>
    <t>Atmi Maharani Purwanto</t>
  </si>
  <si>
    <t>Arika Dwi Astuti</t>
  </si>
  <si>
    <t>Ahmad Alwi</t>
  </si>
  <si>
    <t>Shalma Putri Ayu Dewanti</t>
  </si>
  <si>
    <t>Alvionita Sukawati</t>
  </si>
  <si>
    <t>Ahda Nurul Isnaini</t>
  </si>
  <si>
    <t>Diva Wahyu Pratiwi</t>
  </si>
  <si>
    <t>Nabila Cahya Safitri</t>
  </si>
  <si>
    <t>Tiara Afnaita</t>
  </si>
  <si>
    <t>https://drive.google.com/open?id=1mb56fxeCsNeZ0a6kyOs71lHHML1NvKdWPL1pxHAxARE&amp;usp=drive_copy</t>
  </si>
  <si>
    <t>Soffingathuz Zhahro</t>
  </si>
  <si>
    <t>Indriyani Abdul Buamona</t>
  </si>
  <si>
    <t>Aulia Zahra Zultoni Putri</t>
  </si>
  <si>
    <t>Marini Urfianti</t>
  </si>
  <si>
    <t>NIMAS WENING KURNIANNUR</t>
  </si>
  <si>
    <t>Nurul Fauziyah</t>
  </si>
  <si>
    <t>Dea Apriani</t>
  </si>
  <si>
    <t>Fadsya Estetika Imanni Putri</t>
  </si>
  <si>
    <t>Shelly Aulia Pratiwi</t>
  </si>
  <si>
    <t>https://drive.google.com/open?id=1NSKlN1dcSMn3V_13lnTKnPHZB5DyOSJWGOdV4pgZ8m8&amp;usp=drive_copy</t>
  </si>
  <si>
    <t>Reguler Periode ke-124</t>
  </si>
  <si>
    <t>Yahya Hanafi, M.Sc.</t>
  </si>
  <si>
    <t>Atika Nabila Surya</t>
  </si>
  <si>
    <t>Tiya Nurfitri Ningsih</t>
  </si>
  <si>
    <t>Alifa Amalia Izzati</t>
  </si>
  <si>
    <t>WIDYA EKSANDRA</t>
  </si>
  <si>
    <t>Andita Iftakhuzzulfa</t>
  </si>
  <si>
    <t>Nashrul Mu'minin</t>
  </si>
  <si>
    <t>Lail Syageta Lifeaningrum</t>
  </si>
  <si>
    <t>https://drive.google.com/open?id=1Tf3iC2J5EUzrdRnyTeE4mOHjdS3w8bycoFotZrJyjlw&amp;usp=drive_copy</t>
  </si>
  <si>
    <t>Restina Miyanti</t>
  </si>
  <si>
    <t>Nurul Putri Pradisty</t>
  </si>
  <si>
    <t>Anisa Nihaya</t>
  </si>
  <si>
    <t>Monica Gita Konipa</t>
  </si>
  <si>
    <t>Putri Diah Fitriani</t>
  </si>
  <si>
    <t>TIRA OKTAVIANDA</t>
  </si>
  <si>
    <t>Sendi Nurtanti</t>
  </si>
  <si>
    <t>Imam Mars Mi'asya Ibnu Ivan</t>
  </si>
  <si>
    <t>https://drive.google.com/open?id=18MREpkqj7gVpqlVVe-iK76z3Qxj6yF_oKO7AfG2qXT0&amp;usp=drive_copy</t>
  </si>
  <si>
    <t>Intan Farnisya</t>
  </si>
  <si>
    <t>Devi Febriana</t>
  </si>
  <si>
    <t>Merlyana Zuanifah</t>
  </si>
  <si>
    <t>Rifdatul Zahra</t>
  </si>
  <si>
    <t>Santita Rusti Prasanti</t>
  </si>
  <si>
    <t>Denis Triana</t>
  </si>
  <si>
    <t>Dinda Azzahra</t>
  </si>
  <si>
    <t>https://drive.google.com/open?id=1BlwP1IABydJc7mcPhy4Rz9nQT1QFO35n1_By8k9mMno&amp;usp=drive_copy</t>
  </si>
  <si>
    <t>https://drive.google.com/open?id=13OnRcW7ESZKNo15sgUzNkmd_L_7ZOIWewAWJ0X7Xv5Y&amp;usp=drive_copy</t>
  </si>
  <si>
    <t>Reguler Periode ke-120</t>
  </si>
  <si>
    <t>Buwuh, Mambalan, Gunungsari</t>
  </si>
  <si>
    <t>Lombok Barat</t>
  </si>
  <si>
    <t>Savira Rahmawati Putri</t>
  </si>
  <si>
    <t>Muh. Khalilurrahman</t>
  </si>
  <si>
    <t>Dimas Danu Santriaji</t>
  </si>
  <si>
    <t>Zaini Talib</t>
  </si>
  <si>
    <t>Adrian Hidayat Zain</t>
  </si>
  <si>
    <t>Muhammad Fauzal Hidayat</t>
  </si>
  <si>
    <t>Hendardi Yoga Pratama</t>
  </si>
  <si>
    <t>Diva Nadia Daniesvara</t>
  </si>
  <si>
    <t>Milenia D.r</t>
  </si>
  <si>
    <t>Carissa Araminta</t>
  </si>
  <si>
    <t>Sastri Damayanti</t>
  </si>
  <si>
    <t>https://drive.google.com/open?id=1G-Zc5IrYQz-VrfEhSe6--V8Yphx_t3cxSHKSIoM3Bew&amp;usp=drive_copy</t>
  </si>
  <si>
    <t>Reguler Periode ke-119</t>
  </si>
  <si>
    <t>Barry Nur Setyanto, M.Pd.</t>
  </si>
  <si>
    <t>Ego Andoris</t>
  </si>
  <si>
    <t>Ghina Saffana Intany</t>
  </si>
  <si>
    <t>Sari Dewi Utami</t>
  </si>
  <si>
    <t>Teguh Dwi Cahya Kusuma</t>
  </si>
  <si>
    <t>Alifa Risko Amalia</t>
  </si>
  <si>
    <t>Kelvin Purba</t>
  </si>
  <si>
    <t>Hizbullah Muhammad Huda</t>
  </si>
  <si>
    <t>Nurul Hayat Yunus</t>
  </si>
  <si>
    <t>Tri Isnaeni</t>
  </si>
  <si>
    <t>https://drive.google.com/open?id=13tlOIam5jvfpUcS-LUK1J1s9NXHkTmNyuik_xHu-9Qc&amp;usp=drive_copy</t>
  </si>
  <si>
    <t>Sheva Putra Bintang</t>
  </si>
  <si>
    <t>Hulwa Aisyah Ratnaningrum</t>
  </si>
  <si>
    <t>Siti Alfiah</t>
  </si>
  <si>
    <t>Aldy Amrullah</t>
  </si>
  <si>
    <t>Riandha Yasmin Habibah</t>
  </si>
  <si>
    <t>M.fadhilatul Ramadhan</t>
  </si>
  <si>
    <t>Siti Umrotus Sholichah</t>
  </si>
  <si>
    <t>Rizky Aditama</t>
  </si>
  <si>
    <t>Nissa Fitriani</t>
  </si>
  <si>
    <t>https://drive.google.com/open?id=15qvk2sQLMMWtLqCLn2YL-LAZOi6lcLH1svpqA0bhYiI&amp;usp=drive_copy</t>
  </si>
  <si>
    <t>KAFIN SYIFA' LINUWIH</t>
  </si>
  <si>
    <t>Nizala Anas Zidana</t>
  </si>
  <si>
    <t>Elsa Yofie Utari</t>
  </si>
  <si>
    <t>Rista Adinda Elmiyandani</t>
  </si>
  <si>
    <t>Muhammad Daffa Nuradi</t>
  </si>
  <si>
    <t>Ratu Anabella Delima Siburian</t>
  </si>
  <si>
    <t>Avendi Praditya</t>
  </si>
  <si>
    <t>Nur Azizah Rahmawati</t>
  </si>
  <si>
    <t>Ninda Dwi Septiani</t>
  </si>
  <si>
    <t>https://drive.google.com/open?id=1IMZkm8yKZby27A5acXdMX9BuSRfyc7XvRE9kjtzijxQ&amp;usp=drive_copy</t>
  </si>
  <si>
    <t>Khoeri Fadillah</t>
  </si>
  <si>
    <t>Ainun A'inayah</t>
  </si>
  <si>
    <t>Neno Putriadevi</t>
  </si>
  <si>
    <t>Zaydan Aymar Luthfy</t>
  </si>
  <si>
    <t>Zahra Auliya Putri Diani</t>
  </si>
  <si>
    <t>Muh. Janwar Bakir</t>
  </si>
  <si>
    <t>Dian Putri Aliyya</t>
  </si>
  <si>
    <t>Hanif Virgiawan</t>
  </si>
  <si>
    <t>Adinar Maryska Putri</t>
  </si>
  <si>
    <t>https://drive.google.com/open?id=1TnXziYPJSvf4zwM9FILC3S53fmJhIXI-pPKwCaB-Seg&amp;usp=drive_copy</t>
  </si>
  <si>
    <t>Bayu Ramadhan</t>
  </si>
  <si>
    <t>Ismail Burhanuddin</t>
  </si>
  <si>
    <t>Muhammad Putra Tanjung</t>
  </si>
  <si>
    <t>Aulia April</t>
  </si>
  <si>
    <t>Larisa Serapina</t>
  </si>
  <si>
    <t>Zulfa Istiqomah</t>
  </si>
  <si>
    <t>Wafiq Faurozi</t>
  </si>
  <si>
    <t>Charley Alrizka Anggarani</t>
  </si>
  <si>
    <t>Aniffatin</t>
  </si>
  <si>
    <t>https://drive.google.com/open?id=1VRx1_kzqtzOcQap8Edcli55mX_SZmlUdk6fdp24kplY&amp;usp=drive_copy</t>
  </si>
  <si>
    <t>Muhammad Fikri Asshidiq</t>
  </si>
  <si>
    <t>Alifia Prabasari</t>
  </si>
  <si>
    <t>Delia Mailina Amanda Putri</t>
  </si>
  <si>
    <t>Muhammad Dzulfadhlil Muiz</t>
  </si>
  <si>
    <t>Wahyu Saputri</t>
  </si>
  <si>
    <t>Iyos Locka Perdana</t>
  </si>
  <si>
    <t>Annisa Eka Octaviani</t>
  </si>
  <si>
    <t>Herman Junaidi Nasution</t>
  </si>
  <si>
    <t>Happy Norindah Insani</t>
  </si>
  <si>
    <t>https://drive.google.com/open?id=1gLvyPzUQ7pJx2S8jphwgB5IRLAR4qmgspg6kZfl1VhU&amp;usp=drive_copy</t>
  </si>
  <si>
    <t>Fitra Fajar Rostiawan</t>
  </si>
  <si>
    <t>Putri Nur Afifah</t>
  </si>
  <si>
    <t>Mukti Candela</t>
  </si>
  <si>
    <t>Dilla Aini Imroatusholiha</t>
  </si>
  <si>
    <t>Gusti Rizal Adypratama</t>
  </si>
  <si>
    <t>Mufidhatul Ulliya</t>
  </si>
  <si>
    <t>Muhammad Riesqi Arrashid</t>
  </si>
  <si>
    <t>Hera Donna Violleta</t>
  </si>
  <si>
    <t>https://drive.google.com/open?id=1iJNUFh3xGdGzCehlEuz7GJb8b3f_f2fV3cRqXvQ6iD4&amp;usp=drive_copy</t>
  </si>
  <si>
    <t>Nanang Edi Suprianto</t>
  </si>
  <si>
    <t>Muhammad Faiz Fikri</t>
  </si>
  <si>
    <t>Nafisa Rasidayanti</t>
  </si>
  <si>
    <t>Fazrina Sovyana</t>
  </si>
  <si>
    <t>Gilang Damar Maulana</t>
  </si>
  <si>
    <t>Difla Ayudya Hapsari</t>
  </si>
  <si>
    <t>Ahmad Fauzi</t>
  </si>
  <si>
    <t>Dinda Putri Radika</t>
  </si>
  <si>
    <t>Aldina Ainun Nisa</t>
  </si>
  <si>
    <t>https://drive.google.com/open?id=1wVihCEqK9oub6pMR7JEDElWSDWyEFx1YWo0ARiyhgcc&amp;usp=drive_copy</t>
  </si>
  <si>
    <t>RESKY ANDRE RESTA</t>
  </si>
  <si>
    <t>Ratna Dewi Wulansari</t>
  </si>
  <si>
    <t>Pipit Hasna Pradanti</t>
  </si>
  <si>
    <t>Rafli Jamal Purnama</t>
  </si>
  <si>
    <t>Sharah Salsabila</t>
  </si>
  <si>
    <t>Fauzia Sangaji</t>
  </si>
  <si>
    <t>Tejo Purnomo</t>
  </si>
  <si>
    <t>Alfina Putri Diani Susetyaningtyas</t>
  </si>
  <si>
    <t>Rifki Muamar Arafat</t>
  </si>
  <si>
    <t>https://drive.google.com/open?id=11Qn454PLPLi2WuRzh9mhThVAZsUwRMRPJ2a4FL48tq4&amp;usp=drive_copy</t>
  </si>
  <si>
    <t>Agung Dwi Febriansyah</t>
  </si>
  <si>
    <t>Farida Kusumaningrum</t>
  </si>
  <si>
    <t>Thizar Winulang</t>
  </si>
  <si>
    <t>Muhammad Syafiqurrahman</t>
  </si>
  <si>
    <t>Dea Aliffia</t>
  </si>
  <si>
    <t>Hafizh Aulia</t>
  </si>
  <si>
    <t>Lintang Kinasih Anya Herdana</t>
  </si>
  <si>
    <t>Lukman Abdurrohman</t>
  </si>
  <si>
    <t>Afrida Fadkhi Silmi</t>
  </si>
  <si>
    <t>https://drive.google.com/open?id=13UKQVBKtrm6kycmufaXNoBDOstV94QfjD6ps0Z9s1RA&amp;usp=drive_copy</t>
  </si>
  <si>
    <t>Dipa Bagus Wisanggeni</t>
  </si>
  <si>
    <t>Lesta Sulistiani</t>
  </si>
  <si>
    <t>Amalia Dwi Herjanti</t>
  </si>
  <si>
    <t>Hahan Nur Rizky</t>
  </si>
  <si>
    <t>Meri Rahmawati</t>
  </si>
  <si>
    <t>Riki Yoga Pratama Putra</t>
  </si>
  <si>
    <t>Maulana Shidqi Aghnia</t>
  </si>
  <si>
    <t>Nadziratul Ishlahiyah</t>
  </si>
  <si>
    <t>Rindi Deviani</t>
  </si>
  <si>
    <t>https://drive.google.com/open?id=15XzwiTLnXTVZU4W19qVl298eEfhfzwdZaYDqQkY-_hM&amp;usp=drive_copy</t>
  </si>
  <si>
    <t>Muhammad Anwar Maulana</t>
  </si>
  <si>
    <t>Lamanda Cinta Putri Nugraha</t>
  </si>
  <si>
    <t>Salwa Nadhifa Rachma</t>
  </si>
  <si>
    <t>Muhammad Ridho Hillabi Madhani</t>
  </si>
  <si>
    <t>Dena Anisah Izdihar</t>
  </si>
  <si>
    <t>Rean Andhika Putra</t>
  </si>
  <si>
    <t>Thabinta Salsabilla</t>
  </si>
  <si>
    <t>M. Zoel Vantorry</t>
  </si>
  <si>
    <t>Widia Purwitasari</t>
  </si>
  <si>
    <t>https://drive.google.com/open?id=164xIOjtl2axdo9kr5oxa8oPwHyE6tQgqB0rRsWfm_bE&amp;usp=drive_copy</t>
  </si>
  <si>
    <t>Drs. Tedy Setiadi. M.T.</t>
  </si>
  <si>
    <t>Krajan, Batur, Batur</t>
  </si>
  <si>
    <t>Banjarnegara</t>
  </si>
  <si>
    <t>R. Ilham Fauzi Wiranugraha</t>
  </si>
  <si>
    <t>Ayu Arum Yulianti</t>
  </si>
  <si>
    <t>Maya Nurvitasari</t>
  </si>
  <si>
    <t>Ferman Alfiansyah</t>
  </si>
  <si>
    <t>Mutiara Murti Pratiwi</t>
  </si>
  <si>
    <t>Oxi Hornavan Valiant As Shidiq</t>
  </si>
  <si>
    <t>Herlina Yunita</t>
  </si>
  <si>
    <t>Muhammad Dzaki</t>
  </si>
  <si>
    <t>Azizah Imroatu Nisa</t>
  </si>
  <si>
    <t>https://drive.google.com/open?id=16nOwJNZjj6axyzK5H8fPKZBhBLLYM3Q3bv2UD5YpI_U&amp;usp=drive_copy</t>
  </si>
  <si>
    <t>Ratan, Batur, Batur</t>
  </si>
  <si>
    <t>Lian Candra Ramadhan</t>
  </si>
  <si>
    <t>Rani Rahma Fika</t>
  </si>
  <si>
    <t>Gita Miranda</t>
  </si>
  <si>
    <t>Bonas Lutfiansyah</t>
  </si>
  <si>
    <t>Alda Risma Ariani</t>
  </si>
  <si>
    <t>Rully Rahmanda</t>
  </si>
  <si>
    <t>Cicik Iswati</t>
  </si>
  <si>
    <t>Muhamad Ginanjar</t>
  </si>
  <si>
    <t>Luvena Vickyetza Aurellia</t>
  </si>
  <si>
    <t>https://drive.google.com/open?id=18JOOyJE4xNDoZvD4njVJUwTqiyb45Op1PtUsA1_Q0BM&amp;usp=drive_copy</t>
  </si>
  <si>
    <t>Tieng, Batur, Batur</t>
  </si>
  <si>
    <t>Rahmad Boli Raya Bin Ridwan Leu Tuan</t>
  </si>
  <si>
    <t>Zulfa Ifana Kurniawati</t>
  </si>
  <si>
    <t>Dhea Salsabila</t>
  </si>
  <si>
    <t>Romano Fajar Ikhsan</t>
  </si>
  <si>
    <t>Salsabila Ainun Fadhilah</t>
  </si>
  <si>
    <t>Andre Dwi Saputra</t>
  </si>
  <si>
    <t>Farah</t>
  </si>
  <si>
    <t>Muhammad Zidan Mahasin</t>
  </si>
  <si>
    <t>Salsabila Nur Muharrani</t>
  </si>
  <si>
    <t>https://drive.google.com/open?id=1BsififttxAm_ypQ-el1S57hWPDPtTR2E_7UlI0wFcqY&amp;usp=drive_copy</t>
  </si>
  <si>
    <t>Sumberejo Lor, Sumberejo, Batur</t>
  </si>
  <si>
    <t>Lulu Putri Rahmadhani</t>
  </si>
  <si>
    <t>Arsyali Romadhona Novrianti</t>
  </si>
  <si>
    <t>Rifky Ramadhan</t>
  </si>
  <si>
    <t>Chintia Rahadatul Putri</t>
  </si>
  <si>
    <t>Muhammad Farhan Rahmatirromdoni</t>
  </si>
  <si>
    <t>Eka Nurlaila Hermaliati Suwandi</t>
  </si>
  <si>
    <t>Ahmad Rizky Sudanar</t>
  </si>
  <si>
    <t>Fadia Haya Putri</t>
  </si>
  <si>
    <t>Irfan Adit Prasetya</t>
  </si>
  <si>
    <t>https://drive.google.com/open?id=1J6vl1p7n0dc6Vxyb1AHnQXuduAlQzZ3KkmYCrMsBpXQ&amp;usp=drive_copy</t>
  </si>
  <si>
    <t>Karanganyar, Pasurenan, Batur</t>
  </si>
  <si>
    <t>Parhan Fauzan</t>
  </si>
  <si>
    <t>Elza Rahmi Maharani</t>
  </si>
  <si>
    <t>Syafira Dhiya Ulhaq Suryanto</t>
  </si>
  <si>
    <t>David Suka Laksana</t>
  </si>
  <si>
    <t>Fakhriya Abqoriyatu Tsaniya</t>
  </si>
  <si>
    <t>Legi Jumansyah</t>
  </si>
  <si>
    <t>Tasya Malika Risky Salzabila</t>
  </si>
  <si>
    <t>Waris Yadin</t>
  </si>
  <si>
    <t>Dian Aisyah Galuh Saputri</t>
  </si>
  <si>
    <t>https://drive.google.com/open?id=1JsN4x6qkeTs7wLVr6XLNgXiy5-mW__0v825hXWtWTPI&amp;usp=drive_copy</t>
  </si>
  <si>
    <t>Krajan, Pasurenan, Batur</t>
  </si>
  <si>
    <t>Yusup Tanjung Nugroho</t>
  </si>
  <si>
    <t>Triya Nurul Aeni</t>
  </si>
  <si>
    <t>Cindy Wahyuni</t>
  </si>
  <si>
    <t>Indra Wahyu Meitrisna</t>
  </si>
  <si>
    <t>Nia Kurnia Putri</t>
  </si>
  <si>
    <t>Muhammad Damar Wibisono</t>
  </si>
  <si>
    <t>Salma Arifa Putri Andreasari</t>
  </si>
  <si>
    <t>Muhammad Rizali Syahrul Nur Hamdani</t>
  </si>
  <si>
    <t>Jannatul Fitri Chairah</t>
  </si>
  <si>
    <t>https://drive.google.com/open?id=1MHJCwQcQNSV8n_R6I-zLfrAfKXBt2eiHCE_V_fEkUPU&amp;usp=drive_copy</t>
  </si>
  <si>
    <t>Wiroyoso, Pasurenan, Batur</t>
  </si>
  <si>
    <t>Vika Islamiyati</t>
  </si>
  <si>
    <t>Vickri Nur Fadillah</t>
  </si>
  <si>
    <t>Arum Puspita Sari</t>
  </si>
  <si>
    <t>Isna Rafika Salamah</t>
  </si>
  <si>
    <t>Naufal Firoos Asy Syarif</t>
  </si>
  <si>
    <t>Sri Rahayu Effendi</t>
  </si>
  <si>
    <t>Makhrus Syahdath</t>
  </si>
  <si>
    <t>Mu'aziz Latif</t>
  </si>
  <si>
    <t>Auliyaa Yoshi Faradilla</t>
  </si>
  <si>
    <t>https://drive.google.com/open?id=1NXloLPdh5MiFLQRsbudsl6t9ZaJ0tBudRZhDhnbvPVM&amp;usp=drive_copy</t>
  </si>
  <si>
    <t>Bakal Kulon, Bakal, Batur</t>
  </si>
  <si>
    <t>Yudha Dwi Prasetyo</t>
  </si>
  <si>
    <t>Nabila Nikmatul Qalbi</t>
  </si>
  <si>
    <t>Muhammad Rivaldo</t>
  </si>
  <si>
    <t>Yara Zian Amanda Laura</t>
  </si>
  <si>
    <t>Bahrul Adhim Rahmana</t>
  </si>
  <si>
    <t>Dwi Rizki Rahmah</t>
  </si>
  <si>
    <t>Hafizh Ananda Rizkilla</t>
  </si>
  <si>
    <t>Cahya Umi Azizah</t>
  </si>
  <si>
    <t>https://drive.google.com/open?id=1Pu4Zms7MKl4RvswRmnbczScpLk6wFSxSRxtfpMKaqIc&amp;usp=drive_copy</t>
  </si>
  <si>
    <t>Buntu, Bakal, Batur</t>
  </si>
  <si>
    <t>Rizal Asyifa Putra Dinata</t>
  </si>
  <si>
    <t>Sri Wahyu Nugrahaeni</t>
  </si>
  <si>
    <t>Mely Yuliana</t>
  </si>
  <si>
    <t>Nanda Ardianto</t>
  </si>
  <si>
    <t>Iin Ferona</t>
  </si>
  <si>
    <t>Azaindra Saliim</t>
  </si>
  <si>
    <t>Oclail Deby Syarifa</t>
  </si>
  <si>
    <t>Putri Paula</t>
  </si>
  <si>
    <t>Rheza Lathif Imantaka</t>
  </si>
  <si>
    <t>https://drive.google.com/open?id=1Q7yOGnlcdHOfhi2u-d7NAPhNn4lEPtu8ki0kQw_Ayus&amp;usp=drive_copy</t>
  </si>
  <si>
    <t>Dr. EMA NURMAYA. S.E., M.M.</t>
  </si>
  <si>
    <t>Garongan Pojok, Wonokerto, Turi</t>
  </si>
  <si>
    <t>Sleman</t>
  </si>
  <si>
    <t>Andre Triansya</t>
  </si>
  <si>
    <t>Kirana Salsabilla Marasfir</t>
  </si>
  <si>
    <t>Irma Octaviani</t>
  </si>
  <si>
    <t>Syaiful Ihsan</t>
  </si>
  <si>
    <t>Azahra Eva Febriyani</t>
  </si>
  <si>
    <t>Atalah Tareq Abudan</t>
  </si>
  <si>
    <t>Hawa Cinthya Nisa</t>
  </si>
  <si>
    <t>Pebrianda</t>
  </si>
  <si>
    <t>Fathul Hakim Saputra</t>
  </si>
  <si>
    <t>https://drive.google.com/open?id=1WIeOo_cavCz6IzPv-79HsdP8DPAiY2XsnlSzhq_-wfw&amp;usp=drive_copy</t>
  </si>
  <si>
    <t>Sempu, Wonokerto, Turi</t>
  </si>
  <si>
    <t>Muammar Aqsha</t>
  </si>
  <si>
    <t>Majmail Asma Tihurua</t>
  </si>
  <si>
    <t>Muhammad Yani Putra</t>
  </si>
  <si>
    <t>Sasmita Kurniawan</t>
  </si>
  <si>
    <t>Fika Sepyana Putri</t>
  </si>
  <si>
    <t>Aini Nurfadilah</t>
  </si>
  <si>
    <t>Shamad Arrasy Dai</t>
  </si>
  <si>
    <t>Nurasni A Usman</t>
  </si>
  <si>
    <t>Taufiq Ramadhan</t>
  </si>
  <si>
    <t>https://drive.google.com/open?id=1ZRu0cDPG3ZnOcMxstsnvp__GyPvKCgHY_Kw1yEDb1_k&amp;usp=drive_copy</t>
  </si>
  <si>
    <t>Dukuhsari, Wonokerto, Turi</t>
  </si>
  <si>
    <t>Mikel Nabil Abraham</t>
  </si>
  <si>
    <t>Juni Zanti</t>
  </si>
  <si>
    <t>Alya Rahma Nuradhiola</t>
  </si>
  <si>
    <t>Villanova Davis Vinka Santosa</t>
  </si>
  <si>
    <t>Rafhael Graita Widodo</t>
  </si>
  <si>
    <t>Nurul Annisa</t>
  </si>
  <si>
    <t>Fenny Widya Aneswari</t>
  </si>
  <si>
    <t>Ropiki Sagala</t>
  </si>
  <si>
    <t>https://drive.google.com/open?id=1bpanpWhQGFeHYhtox_A-JZcht_rFGNVfcwih-ljQgW8&amp;usp=drive_copy</t>
  </si>
  <si>
    <t>Dr.Tri Wahyuni Sukesi, S.Si., M.PH</t>
  </si>
  <si>
    <t>Selowangsan, Wonokerto, Turi</t>
  </si>
  <si>
    <t>Nabila Luthfiyah Balqish</t>
  </si>
  <si>
    <t>Ismail</t>
  </si>
  <si>
    <t>Taufiq Ismail</t>
  </si>
  <si>
    <t>Dyah Ayu Fitria Kurniawati</t>
  </si>
  <si>
    <t>Latifah Rachmawati</t>
  </si>
  <si>
    <t>Muhammad Fiandra Badia</t>
  </si>
  <si>
    <t>Silvia De'e</t>
  </si>
  <si>
    <t>Agung Dwi Nugroho</t>
  </si>
  <si>
    <t>Marshanda Sandini</t>
  </si>
  <si>
    <t>https://drive.google.com/open?id=1dK-1GRWW7qKlqYsPMEacabrPGPnUBnoxVl4_b5qXxx0&amp;usp=drive_copy</t>
  </si>
  <si>
    <t>Pulosari Becici, Wonokerto, Turi</t>
  </si>
  <si>
    <t>Fikra Ayu Agustin</t>
  </si>
  <si>
    <t>Angga Budi Saputra</t>
  </si>
  <si>
    <t>Annisa Apriliana Marsita Devi</t>
  </si>
  <si>
    <t>Ayu Anjani</t>
  </si>
  <si>
    <t>M. Rezky Septiodimas Halen</t>
  </si>
  <si>
    <t>Dinda Nafisa Tsaniya Putri</t>
  </si>
  <si>
    <t>Labib Dzulfahmi</t>
  </si>
  <si>
    <t>Muhammad Zulfahmi</t>
  </si>
  <si>
    <t>Citra Ningrum</t>
  </si>
  <si>
    <t>https://drive.google.com/open?id=1fCUY5EXexmjdnLDxMmzuos-LNQ8xkLSda7kL3wcZCsY&amp;usp=drive_copy</t>
  </si>
  <si>
    <t>Manggungsari, Wonokerto, Turi</t>
  </si>
  <si>
    <t>Fahrul Rayhan Muhammad</t>
  </si>
  <si>
    <t>Della Puspita Sari</t>
  </si>
  <si>
    <t>Ainundiah Nurhaliza</t>
  </si>
  <si>
    <t>Riki Rasuli</t>
  </si>
  <si>
    <t>Tsalitsa Hanifa Aninanda</t>
  </si>
  <si>
    <t>Muhammad Ilham Bintang Ramadhan</t>
  </si>
  <si>
    <t>Yowanda Karisma Andani</t>
  </si>
  <si>
    <t>Novikha Arada Sekar Arum</t>
  </si>
  <si>
    <t>Muhammad Royhan Kholiq</t>
  </si>
  <si>
    <t>https://drive.google.com/open?id=1gZAFYnonIrMoTqtO_2f2RZJgKxJ8vHI9GpKbRjcRDbs&amp;usp=drive_copy</t>
  </si>
  <si>
    <t>Haris Imam Karim Fathurrahman, S.Pd., M.Sc</t>
  </si>
  <si>
    <t>Tunggularum, Wonokerto, Turi</t>
  </si>
  <si>
    <t>Dhani Suryandono</t>
  </si>
  <si>
    <t>Intan Juwita Sal Sabila</t>
  </si>
  <si>
    <t>Lathfika Ayudya Natasya</t>
  </si>
  <si>
    <t>Aditya Atallah</t>
  </si>
  <si>
    <t>Kusuma Kharimah Ash-syawali</t>
  </si>
  <si>
    <t>Notarian Surya Putra</t>
  </si>
  <si>
    <t>Atikah Farzanah</t>
  </si>
  <si>
    <t>Febrillia Widowati</t>
  </si>
  <si>
    <t>https://drive.google.com/open?id=1ixk6PTLsAgjRwdaPEXyvycf1xmiVYn9IluVfFCoEgGs&amp;usp=drive_copy</t>
  </si>
  <si>
    <t>Banjarsari, Wonokerto, Turi</t>
  </si>
  <si>
    <t>Muhammad Furqan Budiman HS</t>
  </si>
  <si>
    <t>Syifa Nurjihanisa</t>
  </si>
  <si>
    <t>Nanda Dwi Safitri</t>
  </si>
  <si>
    <t>Wahyu Hidayat</t>
  </si>
  <si>
    <t>Novia Maulida Kholisoh</t>
  </si>
  <si>
    <t>Diany Fitiar Hapsari Putri</t>
  </si>
  <si>
    <t>Ahmad Fatkhurrochman Alfarisi</t>
  </si>
  <si>
    <t>Wardah Naila Ardhillah</t>
  </si>
  <si>
    <t>https://drive.google.com/open?id=1mnKPLyxOXQjn0E0yqs9JJZB9JiLp2bqc7d7hf0T9ySM&amp;usp=drive_copy</t>
  </si>
  <si>
    <t>Glagahombo, Girikerto, Turi</t>
  </si>
  <si>
    <t>Resa Naili Izati</t>
  </si>
  <si>
    <t>Fadhlan Manggara Dwi Tama</t>
  </si>
  <si>
    <t>Dira Efriyani</t>
  </si>
  <si>
    <t>Rahmat Ilham Murni</t>
  </si>
  <si>
    <t>Laura Kartika Sari</t>
  </si>
  <si>
    <t>Ardiyansyah</t>
  </si>
  <si>
    <t>Sulis Setiawati</t>
  </si>
  <si>
    <t>Faliant Chandra Putera</t>
  </si>
  <si>
    <t>Qurotul Aini Fauziah</t>
  </si>
  <si>
    <t>https://drive.google.com/open?id=1p7uvTMayYvM8cmBmRBJxovTB13d71VfVTxT69smOT0M&amp;usp=drive_copy</t>
  </si>
  <si>
    <t>ISANA ARUM PRIMASARI, S.T., M.T.</t>
  </si>
  <si>
    <t>Surodadi, Girikerto, Turi</t>
  </si>
  <si>
    <t>Celine Widyaningrum Kusumawardani</t>
  </si>
  <si>
    <t>Tri Widodo</t>
  </si>
  <si>
    <t>Mardiana Ekawati</t>
  </si>
  <si>
    <t>Akbar Pratama Suryamin</t>
  </si>
  <si>
    <t>Fadhillah</t>
  </si>
  <si>
    <t>Reyan Abdul Hakim</t>
  </si>
  <si>
    <t>Maulidya Aulia Rahma</t>
  </si>
  <si>
    <t>Andika Prasetia</t>
  </si>
  <si>
    <t>Tiara Lintang Sari</t>
  </si>
  <si>
    <t>https://drive.google.com/open?id=1qb1eOF5I_ykC4cNtNDoPOpiuPVxDie5KqzwQvzCBF-s&amp;usp=drive_copy</t>
  </si>
  <si>
    <t>Bening Nganggring, Girikerto, Turi</t>
  </si>
  <si>
    <t>Ghea Noor Fadhilla</t>
  </si>
  <si>
    <t>Rezi Saputra</t>
  </si>
  <si>
    <t>Nadya Khairun Nisa Kana</t>
  </si>
  <si>
    <t>Mohammad Jindan Dubbay Al Faresh</t>
  </si>
  <si>
    <t>Hidayani</t>
  </si>
  <si>
    <t>Alvin Zahro</t>
  </si>
  <si>
    <t>Eva Dwi Anggraeni</t>
  </si>
  <si>
    <t>Tika Ardita</t>
  </si>
  <si>
    <t>Kevin Dewa Adji</t>
  </si>
  <si>
    <t>https://drive.google.com/open?id=1rhKdNxZENi3iQXBOf2mtMsDAO5yX_2S-0pyN62VEn58&amp;usp=drive_copy</t>
  </si>
  <si>
    <t>Pancoh, Girikerto, Turi</t>
  </si>
  <si>
    <t>TOHA EDI SAPUTRA</t>
  </si>
  <si>
    <t>Vah Ryan Azhari</t>
  </si>
  <si>
    <t>Arma'atus Sholihah</t>
  </si>
  <si>
    <t>Elfany Dwi Saputra</t>
  </si>
  <si>
    <t>Florentina Yolanda Febriani</t>
  </si>
  <si>
    <t>Zulfa</t>
  </si>
  <si>
    <t>Rahmatul Linta Safitri</t>
  </si>
  <si>
    <t>Muh. Fadly Alif Juhardin</t>
  </si>
  <si>
    <t>Farah Suci Fauziyyah</t>
  </si>
  <si>
    <t>https://drive.google.com/open?id=1uFFREyj9FnrBR7QtVPEqYaXaViO_p0eGWshC7pUa8sY&amp;usp=drive_copy</t>
  </si>
  <si>
    <t>RENDRA WIDYATAMA,S.IP.,M.Si., Ph.D</t>
  </si>
  <si>
    <t>Karanggawang, Girikerto, Turi</t>
  </si>
  <si>
    <t>Arya Danang Perkasa</t>
  </si>
  <si>
    <t>Alifia Syahra Azizah</t>
  </si>
  <si>
    <t>Herlina Sal Sukmaningtyas</t>
  </si>
  <si>
    <t>Rinal Abdul Azis</t>
  </si>
  <si>
    <t>Fadhila Klara Yuniar</t>
  </si>
  <si>
    <t>Ikhsan Fatahillah</t>
  </si>
  <si>
    <t>Putri Rahayu Sya'baniah</t>
  </si>
  <si>
    <t>Rika May Linda Anggraini</t>
  </si>
  <si>
    <t>Fahril Meza Ardana</t>
  </si>
  <si>
    <t>https://drive.google.com/open?id=1wydgIhLcEgTNwZcbPqSh_ifapScHd3pZMv3hxIlHL5U&amp;usp=drive_copy</t>
  </si>
  <si>
    <t>Ngandong, Girikerto, Turi</t>
  </si>
  <si>
    <t>Oriska Nurwijayantri</t>
  </si>
  <si>
    <t>Roofiif Syahrul Mubarok</t>
  </si>
  <si>
    <t>Salsabila Isma Budiutami</t>
  </si>
  <si>
    <t>Nur Fauzi</t>
  </si>
  <si>
    <t>Nurrani Natasya Putri</t>
  </si>
  <si>
    <t>Ahmad Daffa Subagio</t>
  </si>
  <si>
    <t>Ayunda Nurul Arifah</t>
  </si>
  <si>
    <t>Nurfadila</t>
  </si>
  <si>
    <t>Iqbal Muttaqin Zuhdi</t>
  </si>
  <si>
    <t>https://drive.google.com/open?id=1xGj6NFbIzK3dda4h1VeMzV9oVdUVEjKq2_EsjFMj1ns&amp;usp=drive_copy</t>
  </si>
  <si>
    <t>Kloposawit, Girikerto, Turi</t>
  </si>
  <si>
    <t>Moh. Azmul Buatan</t>
  </si>
  <si>
    <t>Indah Marcella</t>
  </si>
  <si>
    <t>Deni Anggita Abimanyu</t>
  </si>
  <si>
    <t>Zhafira Nasywa Rizky Prasetya</t>
  </si>
  <si>
    <t>Irham Sidi Putra Wiratma</t>
  </si>
  <si>
    <t>Lacynta Brellyant Atmadja</t>
  </si>
  <si>
    <t>Kadek Sinta Widiandari</t>
  </si>
  <si>
    <t>Fakhrico Raka Ammar</t>
  </si>
  <si>
    <t>Eci Trisnawati</t>
  </si>
  <si>
    <t>https://drive.google.com/open?id=1yVJSFzpNooqOgLJUGiWtKAZxsvOVpESm_ce_i1tvsvY&amp;usp=drive_copy</t>
  </si>
  <si>
    <t>SUTIPYO R., S.Ag., M.Si.</t>
  </si>
  <si>
    <t>Surodadi, Donokerto, Turi</t>
  </si>
  <si>
    <t>Genduk Gita Aprilia</t>
  </si>
  <si>
    <t>Zumar Irfansyah</t>
  </si>
  <si>
    <t>Miftakhurrohmah</t>
  </si>
  <si>
    <t>Munazzad Risky M. Ways</t>
  </si>
  <si>
    <t>Nova Cania Putri</t>
  </si>
  <si>
    <t>Muhammad Tossa Purnama</t>
  </si>
  <si>
    <t>Putri Eka Mulyana Wahab</t>
  </si>
  <si>
    <t>Nakula Bagas Rahmamaulana</t>
  </si>
  <si>
    <t>https://drive.google.com/open?id=1-6L7eMel2mT86hlP2hhtSzWmzugKauA3IcddEA7o82I&amp;usp=drive_copy</t>
  </si>
  <si>
    <t>Randusongo, Donokerto, Turi</t>
  </si>
  <si>
    <t>Edy Mawardi</t>
  </si>
  <si>
    <t>Annisa Nurjanah</t>
  </si>
  <si>
    <t>Dinda Pratama</t>
  </si>
  <si>
    <t>Selvi Widiawati</t>
  </si>
  <si>
    <t>Muhammad Daffa Adhi Wijayanto</t>
  </si>
  <si>
    <t>Bismi Anggini</t>
  </si>
  <si>
    <t>Sulton Fathoni</t>
  </si>
  <si>
    <t>Leni Kurnia Safitri</t>
  </si>
  <si>
    <t>085246892796?</t>
  </si>
  <si>
    <t>https://drive.google.com/open?id=1-jrdE8cRZvI5Rfz7BI0il0R2v8zjsUJ4FcGlq3IJDbU&amp;usp=drive_copy</t>
  </si>
  <si>
    <t>Turi, Donokerto, Turi</t>
  </si>
  <si>
    <t>Rania Khairunnisak</t>
  </si>
  <si>
    <t>Ajij Abdilah</t>
  </si>
  <si>
    <t>Reghina Rahmawati</t>
  </si>
  <si>
    <t>Muhammad Asyam Dirhamsyah</t>
  </si>
  <si>
    <t>Silva Nuramalia</t>
  </si>
  <si>
    <t>Petrus Kanasius Kristiaga</t>
  </si>
  <si>
    <t>Adellia Amanda Putri</t>
  </si>
  <si>
    <t>Desi Retnawati</t>
  </si>
  <si>
    <t>Akmal Al Hawari</t>
  </si>
  <si>
    <t>https://drive.google.com/open?id=11Se6BOXImfM9O0fBFQM2VCinjPrwX42geCm-njfyD6U&amp;usp=drive_copy</t>
  </si>
  <si>
    <t>HANIF CAHYO ADI KISTORO, S.Ag., M.A.</t>
  </si>
  <si>
    <t>Karanganyar, Donokerto, Turi</t>
  </si>
  <si>
    <t>Alhilal Ridjan</t>
  </si>
  <si>
    <t>Annisa Septia Rahayu</t>
  </si>
  <si>
    <t>M. Zikri Agsah</t>
  </si>
  <si>
    <t>Firlawanti Zakir</t>
  </si>
  <si>
    <t>Elsa Aulia Lestari</t>
  </si>
  <si>
    <t>Mutiyah Berliyanty Witono</t>
  </si>
  <si>
    <t>Muhammad Hanif Prayogo</t>
  </si>
  <si>
    <t>Putri Nabila</t>
  </si>
  <si>
    <t>Dicky Rizky Pangestu</t>
  </si>
  <si>
    <t>https://drive.google.com/open?id=11pSpAn6jZkEYXXgtUW34KYQKHn2n_QTc_Z9qr2r9go4&amp;usp=drive_copy</t>
  </si>
  <si>
    <t>Pulerejo, Donokerto, Turi</t>
  </si>
  <si>
    <t>Agung Dwi Prasetyo</t>
  </si>
  <si>
    <t>Amelia Fitrahtunnisah Ramadhani</t>
  </si>
  <si>
    <t>Sheila Majid Azzahra</t>
  </si>
  <si>
    <t>Fachri Ahmad Fauzi</t>
  </si>
  <si>
    <t>Fibrianzia Bety Ardistya</t>
  </si>
  <si>
    <t>Mohammad Waes Alqorni</t>
  </si>
  <si>
    <t>Fitri Nurul A'in</t>
  </si>
  <si>
    <t>Naila Salsabila</t>
  </si>
  <si>
    <t>Iksan Fahrozi</t>
  </si>
  <si>
    <t>https://drive.google.com/open?id=11t1VkjBTaaNK_NdHKhawvQy0Rc9JhsgVEhXgftGm1Gs&amp;usp=drive_copy</t>
  </si>
  <si>
    <t>Daren Lor, Donokerto, Turi</t>
  </si>
  <si>
    <t>Muhammad Irfan Alfarizi</t>
  </si>
  <si>
    <t>Ainun Habiibah</t>
  </si>
  <si>
    <t>Annastasya Ardivanta</t>
  </si>
  <si>
    <t>Rizdho Fattah Putra</t>
  </si>
  <si>
    <t>Auliya Putri Tsaniya</t>
  </si>
  <si>
    <t>Faisal Mochammad Raisy</t>
  </si>
  <si>
    <t>Dina Habibah</t>
  </si>
  <si>
    <t>Anggita Rahmanantia</t>
  </si>
  <si>
    <t>Galang Awal Prasojo</t>
  </si>
  <si>
    <t>https://drive.google.com/open?id=125ckWSGOlwdkX5ypzvVX4Z86-le2ukVLGv7ghytrMXg&amp;usp=drive_copy</t>
  </si>
  <si>
    <t>Sunu Prasetya Adi, S.E.Sy., M.E</t>
  </si>
  <si>
    <t>Pules Kidul, Donokerto, Turi</t>
  </si>
  <si>
    <t>Elmira Retha Salsabil</t>
  </si>
  <si>
    <t>Tito Rivaldo</t>
  </si>
  <si>
    <t>Refi Tria Nabila</t>
  </si>
  <si>
    <t>Naufal Luqman Hanif</t>
  </si>
  <si>
    <t>Alfina Diah Puspita Anggraeni</t>
  </si>
  <si>
    <t>Yobri Yulizar</t>
  </si>
  <si>
    <t>Fazira Zuda Ramadhona</t>
  </si>
  <si>
    <t>Azmi Lani Oktavian</t>
  </si>
  <si>
    <t>Muhammad Rifqi El Maula</t>
  </si>
  <si>
    <t>https://drive.google.com/open?id=1288ftmk97ud5rhCBM1IvNd-eyBvZmxUgj3L45T3aJAI&amp;usp=drive_copy</t>
  </si>
  <si>
    <t>Bandaran, Donokerto, Turi</t>
  </si>
  <si>
    <t>Shafira Noferda Radianty</t>
  </si>
  <si>
    <t>Bayu Arif Fadhlullah</t>
  </si>
  <si>
    <t>Moza Sanita</t>
  </si>
  <si>
    <t>Wahyu Aji Pradani</t>
  </si>
  <si>
    <t>Nur Fatihah Izlin</t>
  </si>
  <si>
    <t>Muhammad Rafi Adrian</t>
  </si>
  <si>
    <t>Salma Idha Arumimtiaztuti</t>
  </si>
  <si>
    <t>Vellya Dwi Salsabilla</t>
  </si>
  <si>
    <t>Ilham Maulana Kudus</t>
  </si>
  <si>
    <t>https://drive.google.com/open?id=13kXOsLZnCg9HnW_SotthyrcIsOrNgMh5odIQqbEt0qc&amp;usp=drive_copy</t>
  </si>
  <si>
    <t>Kenaruhan, Donokerto, Turi</t>
  </si>
  <si>
    <t>Ganis Cahyanti</t>
  </si>
  <si>
    <t>Ridho Sufuan Nur Perkasa</t>
  </si>
  <si>
    <t>Annisa Ikhlasyah</t>
  </si>
  <si>
    <t>Michael Liow Suyono</t>
  </si>
  <si>
    <t>Seila Setiyani</t>
  </si>
  <si>
    <t>Nanda Pramudya Pangestu</t>
  </si>
  <si>
    <t>Sekar Ginaswari Subono Putri</t>
  </si>
  <si>
    <t>Octiviani Wulandari</t>
  </si>
  <si>
    <t>Rizki Aldhianto Utomo</t>
  </si>
  <si>
    <t>https://drive.google.com/open?id=13lZOdZecbBh2fhnG4TGBUVqHbVSVOdLgUg0MzVCLr-E&amp;usp=drive_copy</t>
  </si>
  <si>
    <t>Nabila Na'ma Aisa, S.E., M.Sc</t>
  </si>
  <si>
    <t>Gabugan, Donokerto, Turi</t>
  </si>
  <si>
    <t>Yusup Rahmad Romadhon</t>
  </si>
  <si>
    <t>Elisna Windarsih Cahyandani</t>
  </si>
  <si>
    <t>Rigen Rahayu</t>
  </si>
  <si>
    <t>Sigit Hendriana</t>
  </si>
  <si>
    <t>Evi Agustina</t>
  </si>
  <si>
    <t>Latif Dimas Udiyanto</t>
  </si>
  <si>
    <t>Fitha Nurizza Qurratulaini</t>
  </si>
  <si>
    <t>Maharani Della Saputri</t>
  </si>
  <si>
    <t>Yusuf Hikari</t>
  </si>
  <si>
    <t>https://drive.google.com/open?id=14P8BxsnIp5GPkBBcP9ANehw2qkofm97ZOqcXgzCog5s&amp;usp=drive_copy</t>
  </si>
  <si>
    <t>Klegung, Donokerto, Turi</t>
  </si>
  <si>
    <t>Fika Apriliandani</t>
  </si>
  <si>
    <t>Fakhrur Rohim Wahid Nugroho</t>
  </si>
  <si>
    <t>Rexsi Dwi Yulianto</t>
  </si>
  <si>
    <t>Indri Agustika</t>
  </si>
  <si>
    <t>Ahnaf Zaidan</t>
  </si>
  <si>
    <t>Maisya Nurhidayati</t>
  </si>
  <si>
    <t>Sinawang Anuria Arfanti</t>
  </si>
  <si>
    <t>Farhan Kamal Akhsan</t>
  </si>
  <si>
    <t>Putri Dewi Fajrida</t>
  </si>
  <si>
    <t>https://drive.google.com/open?id=17Ko1LM4jIp6bwuXmNtHl8M-offEqBv4yzu9oM9psBEg&amp;usp=drive_copy</t>
  </si>
  <si>
    <t>Muhammad Syamsu Hidayat, SE.,M.Sc.,Ph.D</t>
  </si>
  <si>
    <t>Grogol 9, Parangtritis, Kretek</t>
  </si>
  <si>
    <t>Wisnu Firman Agus Santoso</t>
  </si>
  <si>
    <t>Ersan Firdaus</t>
  </si>
  <si>
    <t>Arsi Fitri Rahmatillah</t>
  </si>
  <si>
    <t>Widia Apriana</t>
  </si>
  <si>
    <t>Firsya Alifya Sutrisno</t>
  </si>
  <si>
    <t>Muhammad Aldi Roziqin</t>
  </si>
  <si>
    <t>Cahya Wulandari</t>
  </si>
  <si>
    <t>Lenisa Mahar Dinta</t>
  </si>
  <si>
    <t>S.agung Gunawan</t>
  </si>
  <si>
    <t>https://drive.google.com/open?id=18PhNjCiYdveRUTmJqMlyM83BT8Ht9DlHAt7y4yZMHHQ&amp;usp=drive_copy</t>
  </si>
  <si>
    <t>Mancingan, Parangtritis, Kretek</t>
  </si>
  <si>
    <t>Rahmah Kurnia Dewi</t>
  </si>
  <si>
    <t>Afnan Subekti</t>
  </si>
  <si>
    <t>Anita Permata Aprilianti Ali</t>
  </si>
  <si>
    <t>Muhammad Rizki Alamsyah</t>
  </si>
  <si>
    <t>Dwi Septiana Siswati</t>
  </si>
  <si>
    <t>Hilmi Auraramadhan</t>
  </si>
  <si>
    <t>Shafira Putri Hermayanti</t>
  </si>
  <si>
    <t>Dinda Kusuma Alfrista</t>
  </si>
  <si>
    <t>Muhamad Vieronal</t>
  </si>
  <si>
    <t>?0882003718831?</t>
  </si>
  <si>
    <t>https://drive.google.com/open?id=19hwfWzDWGGP-vUtMI-Akz-XGqskRXgTxSNYezb8qyXY&amp;usp=drive_copy</t>
  </si>
  <si>
    <t>Depok, Parangtritis, Kretek</t>
  </si>
  <si>
    <t>Stefhan Alfan Putra</t>
  </si>
  <si>
    <t>Fathi Zahro</t>
  </si>
  <si>
    <t>Rosita Zafirani</t>
  </si>
  <si>
    <t>Muhammad Nafiz Aminuddin</t>
  </si>
  <si>
    <t>Irawan Apri Khalifah</t>
  </si>
  <si>
    <t>Indah Tri Prasetyaningsih</t>
  </si>
  <si>
    <t>Nisa Awaliyah Nur'azizah</t>
  </si>
  <si>
    <t>Aryo Rizky Zulkarnain</t>
  </si>
  <si>
    <t>Dwi Ayu Ningtyas</t>
  </si>
  <si>
    <t>082134854895 / 087898501825</t>
  </si>
  <si>
    <t>https://drive.google.com/open?id=19pAZ_XP5vnFRIEPwwgAtvBNmrCMOxTaquaPgMM-L1FI&amp;usp=drive_copy</t>
  </si>
  <si>
    <t>apt. Lolita, M.Sc., Ph.D</t>
  </si>
  <si>
    <t>Sono, Parangtritis, Kretek</t>
  </si>
  <si>
    <t>Dwika Priya Hadi Kusuma</t>
  </si>
  <si>
    <t>Lusiana Puspaningratri</t>
  </si>
  <si>
    <t>Laela Dwi Febriyanti</t>
  </si>
  <si>
    <t>Aldi Haryanto</t>
  </si>
  <si>
    <t>Rizka Septiana Zhirmayanti</t>
  </si>
  <si>
    <t>Anwar Sholeh Saputro</t>
  </si>
  <si>
    <t>Imelda Editasari</t>
  </si>
  <si>
    <t>Dewi Anggriani</t>
  </si>
  <si>
    <t>Fatrian Bima Nur Hananza</t>
  </si>
  <si>
    <t>https://drive.google.com/open?id=19sZMWEMpwmjetMOFzSZeryqbWg-QjBLFuhGIAZ3F2II&amp;usp=drive_copy</t>
  </si>
  <si>
    <t>Grogol 10, Parangtritis, Kretek</t>
  </si>
  <si>
    <t>Muhammad Rheza Alifian Meifajri</t>
  </si>
  <si>
    <t>Vita Nur Khasanah</t>
  </si>
  <si>
    <t>Pramudya Reza Ardianto</t>
  </si>
  <si>
    <t>Dwi Wahyu Ning Tyas</t>
  </si>
  <si>
    <t>Roy Huda Pratama</t>
  </si>
  <si>
    <t>Pita Adis Hernanda</t>
  </si>
  <si>
    <t>Bimo Satrio Wibowo</t>
  </si>
  <si>
    <t>Windy Ramadhani</t>
  </si>
  <si>
    <t>Qonita Riezka Farhani</t>
  </si>
  <si>
    <t>0812-1895-3771</t>
  </si>
  <si>
    <t>https://drive.google.com/open?id=1ArTc1K8fu0f2BVdKP5gSH6pWa8ATK9XDeWY34kBBcM4&amp;usp=drive_copy</t>
  </si>
  <si>
    <t>Grogol 8, Parangtritis, Kretek</t>
  </si>
  <si>
    <t>Replianor</t>
  </si>
  <si>
    <t>Gina Okta Humairoh</t>
  </si>
  <si>
    <t>Zena Sofiana Indah Jiati</t>
  </si>
  <si>
    <t>Muhammad Nur Alfi Syahrin</t>
  </si>
  <si>
    <t>Oceania Maharani Ramli</t>
  </si>
  <si>
    <t>Abbika Nugraha</t>
  </si>
  <si>
    <t>Choiril Salsabila Suada</t>
  </si>
  <si>
    <t>Sri Agustinaningsih</t>
  </si>
  <si>
    <t>Ridho Huda Albana</t>
  </si>
  <si>
    <t>https://drive.google.com/open?id=1C8EdgcVWAT4PGDVCSNA49KM6YQ_F1E04cahpenkUFcM&amp;usp=drive_copy</t>
  </si>
  <si>
    <t>Amir Hidayatulloh, S.E., M.Sc</t>
  </si>
  <si>
    <t>Duwuran, Parangtritis, Kretek</t>
  </si>
  <si>
    <t>Yunitra</t>
  </si>
  <si>
    <t>Adhitya Nur Rasyid</t>
  </si>
  <si>
    <t>Syariefan Muhammad</t>
  </si>
  <si>
    <t>Yolanda Waldatul Marwa</t>
  </si>
  <si>
    <t>Jeagi Bil Fitra</t>
  </si>
  <si>
    <t>Sari Nur Damayanti</t>
  </si>
  <si>
    <t>Shinta Karenia</t>
  </si>
  <si>
    <t>Oriza Abidharma Kurniadi</t>
  </si>
  <si>
    <t>Rindiani Ulfa Aprilianti</t>
  </si>
  <si>
    <t>https://drive.google.com/open?id=1CehHk5pu2q8DN6btSupLBm_7TGv5hMWZBOzI_ccjnmU&amp;usp=drive_copy</t>
  </si>
  <si>
    <t>Kretek, Parangtritis, Kretek</t>
  </si>
  <si>
    <t>Ahmad Arip</t>
  </si>
  <si>
    <t>Dwiyanti Rishandini</t>
  </si>
  <si>
    <t>Nadzifa Nur Fitriyana</t>
  </si>
  <si>
    <t>Dicky Setiawan</t>
  </si>
  <si>
    <t>Tsamara Hasnasari</t>
  </si>
  <si>
    <t>Surya Arif Richali</t>
  </si>
  <si>
    <t>Niken Amellia Sari Sukardi</t>
  </si>
  <si>
    <t>Mohammad Ilham Ma'a Martabatisysyaraf</t>
  </si>
  <si>
    <t>https://drive.google.com/open?id=1CpQlSWeyrqXlNd9ZJf8rGkAFLDdYCFcxRejlCGN8M9s&amp;usp=drive_copy</t>
  </si>
  <si>
    <t>Bungkus, Parangtritis, Kretek</t>
  </si>
  <si>
    <t>Afiandy Dwi Gunawan</t>
  </si>
  <si>
    <t>Puguh Wisubo Aji</t>
  </si>
  <si>
    <t>Novmiasti Sela Mardefi</t>
  </si>
  <si>
    <t>Fernanda Yoga Fitratama</t>
  </si>
  <si>
    <t>Radya Gayuh Aunillah</t>
  </si>
  <si>
    <t>Lutfi Dhani Permadi</t>
  </si>
  <si>
    <t>Isra Minsya Tampi</t>
  </si>
  <si>
    <t>Ummi Fauzia Ridhiati</t>
  </si>
  <si>
    <t>Hazmi Nurazizah</t>
  </si>
  <si>
    <t>https://drive.google.com/open?id=1EVKR1rqQgTJacdCSP0b-LQ5t1dDdS-CT8RmYoL1ihDQ&amp;usp=drive_copy</t>
  </si>
  <si>
    <t>Grogol 7, Parangtritis, Kretek</t>
  </si>
  <si>
    <t>Ouzy Kurniasandy</t>
  </si>
  <si>
    <t>Ayu Ipta Mufida</t>
  </si>
  <si>
    <t>Priyo Jatmiko Lindiatmojo</t>
  </si>
  <si>
    <t>Weni Rahayu</t>
  </si>
  <si>
    <t>Hisyam Agus Setiawan</t>
  </si>
  <si>
    <t>Wulan Anggarani</t>
  </si>
  <si>
    <t>Riskiani Kristia</t>
  </si>
  <si>
    <t>Intan Febriantika Hidayati</t>
  </si>
  <si>
    <t>Dwi Ardiyansyah</t>
  </si>
  <si>
    <t>https://drive.google.com/open?id=1EWIatL9Gr0INVKf3Rfp92LzAebemE5P8CXHdt_LomZQ&amp;usp=drive_copy</t>
  </si>
  <si>
    <t>Samiran, Parangtritis, Kretek</t>
  </si>
  <si>
    <t>Muhammad Zaky Zulfana Adrian</t>
  </si>
  <si>
    <t>Farhan Kurniawan Mahesta</t>
  </si>
  <si>
    <t>Leny Dwi Puspa Aprilia</t>
  </si>
  <si>
    <t>Dwi Indah Lestari</t>
  </si>
  <si>
    <t>Fahrizal Shofyan Aziz</t>
  </si>
  <si>
    <t>Rahmawati Nurhaliza</t>
  </si>
  <si>
    <t>Iffah Auliya</t>
  </si>
  <si>
    <t>Septi Istina</t>
  </si>
  <si>
    <t>Ilham Eko Prakoso</t>
  </si>
  <si>
    <t>https://drive.google.com/open?id=1EynSOIKAIklDQNjxGcPnGAPAUZF6_G6cclZscB0oF1U&amp;usp=drive_copy</t>
  </si>
  <si>
    <t>Baros, Tirtohargo, Kretek</t>
  </si>
  <si>
    <t>Dimas Andriyano Cahyo</t>
  </si>
  <si>
    <t>Safira Nur Fauzia</t>
  </si>
  <si>
    <t>Rifqi Lukman Hakim</t>
  </si>
  <si>
    <t>Az Zahra Nur Faiza</t>
  </si>
  <si>
    <t>Ammar Al Hakim Asshiddiqi</t>
  </si>
  <si>
    <t>Fajar Bhaskara Indraprastha</t>
  </si>
  <si>
    <t>Natasha Amelia</t>
  </si>
  <si>
    <t>Dian Cahyaningrum</t>
  </si>
  <si>
    <t>Nur Atika</t>
  </si>
  <si>
    <t>https://drive.google.com/open?id=1Ggwne6FhClLfHDLaniFGKfcevssvoYgQ7elRreZqWnY&amp;usp=drive_copy</t>
  </si>
  <si>
    <t>Muneng, Tirtohargo, Kretek</t>
  </si>
  <si>
    <t>Nadiah Zain</t>
  </si>
  <si>
    <t>Diva Pandu Ma'rufi</t>
  </si>
  <si>
    <t>Firra Primeswari Putri</t>
  </si>
  <si>
    <t>Imam Ramadhan</t>
  </si>
  <si>
    <t>Niken Amelia Salim</t>
  </si>
  <si>
    <t>Ridzcky Adhiyaksa Putra Sulistio</t>
  </si>
  <si>
    <t>Putri Aprilia Linda Dewi</t>
  </si>
  <si>
    <t>Lisa Dian Astuti</t>
  </si>
  <si>
    <t>Iqbal Risfianda Arraihan</t>
  </si>
  <si>
    <t>081382199090 (WA) 081808045770 (Ponsel)</t>
  </si>
  <si>
    <t>082138354768/083173228834</t>
  </si>
  <si>
    <t>https://drive.google.com/open?id=1I-vxLIVYfSOUtjQO7TMvGR1QBJWchh0c21ssBEdTrhY&amp;usp=drive_copy</t>
  </si>
  <si>
    <t>Gunung Kenci, Tirtohargo, Kretek</t>
  </si>
  <si>
    <t>Arum Titi Nurani</t>
  </si>
  <si>
    <t>Juli Afifah</t>
  </si>
  <si>
    <t>Muhammad Farkhan Maulana</t>
  </si>
  <si>
    <t>Nadya Candra Sari</t>
  </si>
  <si>
    <t>Mirza Tifzanaldi Pramudya</t>
  </si>
  <si>
    <t>Retno Ginasti</t>
  </si>
  <si>
    <t>Ni'matul Latifah</t>
  </si>
  <si>
    <t>Tan Linggar Pramudita</t>
  </si>
  <si>
    <t>https://drive.google.com/open?id=1KSkYoabZUfoRf9R2XZmQFgR73KPQxNQEVH8KjynjLa8&amp;usp=drive_copy</t>
  </si>
  <si>
    <t>Gegunung, Tirtohargo, Kretek</t>
  </si>
  <si>
    <t>Agustin Nurul Sejati</t>
  </si>
  <si>
    <t>Abid Rizal Ainul Yaqin</t>
  </si>
  <si>
    <t>Risma Fitria</t>
  </si>
  <si>
    <t>Muhamad Rizal Gufran B</t>
  </si>
  <si>
    <t>Zulfa Wafiyah</t>
  </si>
  <si>
    <t>Fariz Abi Kusuma</t>
  </si>
  <si>
    <t>Aini Zahra</t>
  </si>
  <si>
    <t>Desta Vivi Anjani</t>
  </si>
  <si>
    <t>Andrean Zida Pratama</t>
  </si>
  <si>
    <t>https://drive.google.com/open?id=1MafOfSGifK16z3HokW_RAoYg1UqD0vXESWIf4-UqBeE&amp;usp=drive_copy</t>
  </si>
  <si>
    <t>Indah Wenerda, S.Sn.,M.A</t>
  </si>
  <si>
    <t>Kalangan, Tirtohargo, Kretek</t>
  </si>
  <si>
    <t>Dwiky Dharma Panjaitan</t>
  </si>
  <si>
    <t>Vinda Ayu Pratama</t>
  </si>
  <si>
    <t>Firdaus Diba Fahrezi</t>
  </si>
  <si>
    <t>Fransiska Lorensha</t>
  </si>
  <si>
    <t>Muhammad Bagas Yudhanto</t>
  </si>
  <si>
    <t>Agustika</t>
  </si>
  <si>
    <t>Andi Irma Arningsari</t>
  </si>
  <si>
    <t>Rizky Mulyadi</t>
  </si>
  <si>
    <t>https://drive.google.com/open?id=1QIzz8HYesPRmic6Qkc5-ebla4knJzqQHHpoOj4BbwI0&amp;usp=drive_copy</t>
  </si>
  <si>
    <t>Karang, Tirtohargo, Kretek</t>
  </si>
  <si>
    <t>Imam Jauhar Muchlish</t>
  </si>
  <si>
    <t>Dwi Sekar Mawarni</t>
  </si>
  <si>
    <t>Widya Utami Putri</t>
  </si>
  <si>
    <t>Roofiif Ananta Fathan</t>
  </si>
  <si>
    <t>Perana Shima</t>
  </si>
  <si>
    <t>Farhan Syafiq Hibatullah</t>
  </si>
  <si>
    <t>Aulia Rahmadina Pratiwi</t>
  </si>
  <si>
    <t>Vinanda Rista Claudia</t>
  </si>
  <si>
    <t>Ibnu Albana</t>
  </si>
  <si>
    <t>https://drive.google.com/open?id=1R9wbltaLsx33FD0_S60X9zYWd8VCHYWJQuE6-tyjkds&amp;usp=drive_copy</t>
  </si>
  <si>
    <t>Mulekan 1, Tirtosari, Kretek</t>
  </si>
  <si>
    <t>Dita Nuzul Sholikhah</t>
  </si>
  <si>
    <t>Sandy Lukman Hakim</t>
  </si>
  <si>
    <t>Adinda Febriana Zulfi</t>
  </si>
  <si>
    <t>Arif Wicaksono Gegadang Putro</t>
  </si>
  <si>
    <t>Khusnul Khotimah R</t>
  </si>
  <si>
    <t>Irvan Nurcahyo</t>
  </si>
  <si>
    <t>Yesika Adi Ningsih</t>
  </si>
  <si>
    <t>Raden Rara Nurlaily Tika Fitriyani</t>
  </si>
  <si>
    <t>Muhammad Dimas Permadi</t>
  </si>
  <si>
    <t>https://drive.google.com/open?id=1R_kmgKHjC5dirWb3nEeOWZoW0lwdB2FKTN4qk-UUArg&amp;usp=drive_copy</t>
  </si>
  <si>
    <t>Dr. Moh. Irma Sukarelawan, M. Pd</t>
  </si>
  <si>
    <t>Mulekan 2, Tirtosari, Kretek</t>
  </si>
  <si>
    <t>Anita Putri Negari</t>
  </si>
  <si>
    <t>Wahyu Mahendra</t>
  </si>
  <si>
    <t>Anisa Larasati</t>
  </si>
  <si>
    <t>Muhammad Izza Nur Hakima</t>
  </si>
  <si>
    <t>Frameiza Cahyani</t>
  </si>
  <si>
    <t>Noviyanto</t>
  </si>
  <si>
    <t>Risnaida Ratri Andini</t>
  </si>
  <si>
    <t>Gita Amanda</t>
  </si>
  <si>
    <t>Indra Subakir</t>
  </si>
  <si>
    <t>https://drive.google.com/open?id=1Rf_DQtYJqINOD9eJuejVgUtrhGdHCajPjJp7VG1DiZs&amp;usp=drive_copy</t>
  </si>
  <si>
    <t>Pangkah, Tirtosari, Kretek</t>
  </si>
  <si>
    <t>Akhmad Rafi' Pamungkas</t>
  </si>
  <si>
    <t>Faras Indriani</t>
  </si>
  <si>
    <t>Lia Fatimah</t>
  </si>
  <si>
    <t>Amar Al Fatah</t>
  </si>
  <si>
    <t>Rifqandini Syahrushiyam</t>
  </si>
  <si>
    <t>Muhammad Asmar Aqilah</t>
  </si>
  <si>
    <t>Cut Nurul Arvita Regzi Mutuah</t>
  </si>
  <si>
    <t>Rina Tushofiah</t>
  </si>
  <si>
    <t>Rohman Hidayat</t>
  </si>
  <si>
    <t>https://drive.google.com/open?id=1Va5oy0t_jd39QSaMFrIyZnNU0FJBr-rAh53ey3ZEVLo&amp;usp=drive_copy</t>
  </si>
  <si>
    <t>Tegal Tapen, Tirtosari, Kretek</t>
  </si>
  <si>
    <t>Kamila Nur Faiza</t>
  </si>
  <si>
    <t>Septyan Hikmal Akbar</t>
  </si>
  <si>
    <t>Galuh Wahyu Kusuma Wardani</t>
  </si>
  <si>
    <t>Dani Wahyudi</t>
  </si>
  <si>
    <t>Nur Fadhilah</t>
  </si>
  <si>
    <t>Fathurrohman</t>
  </si>
  <si>
    <t>Karine Fathin Nufus</t>
  </si>
  <si>
    <t>Titi Deduri Azayu</t>
  </si>
  <si>
    <t>Rio Tirta Sudarma</t>
  </si>
  <si>
    <t>Pendidikan Vokasional Teknik Elektronika</t>
  </si>
  <si>
    <t>https://drive.google.com/open?id=1YLlvgfTuo2NZZkChUDmDqRmzzYZIhfhGyz2AW3J3xh4&amp;usp=drive_copy</t>
  </si>
  <si>
    <t>Suci Musvita Ayu S.KM, M.P.H</t>
  </si>
  <si>
    <t>Cimpon, Tirtosari, Kretek</t>
  </si>
  <si>
    <t>Aldi Pratama</t>
  </si>
  <si>
    <t>Mertya Robbiah</t>
  </si>
  <si>
    <t>Mahargyani Estu Putri</t>
  </si>
  <si>
    <t>Ma'ruf Muhtarif</t>
  </si>
  <si>
    <t>Zalfatira Ninddi Aulia</t>
  </si>
  <si>
    <t>Muhammad Faizal</t>
  </si>
  <si>
    <t>Hesti Hariyati</t>
  </si>
  <si>
    <t>Nur Alfiah Madaniah</t>
  </si>
  <si>
    <t>David Yoga Pradana</t>
  </si>
  <si>
    <t>088232408929 / 083867825125</t>
  </si>
  <si>
    <t>https://drive.google.com/open?id=1Z0IkKOp4cYidGPdsj94JisqcD0dMsoCFCUTH92Uz1P8&amp;usp=drive_copy</t>
  </si>
  <si>
    <t>Buruhan, Tirtosari, Kretek</t>
  </si>
  <si>
    <t>ALVIAN AQIELLA PUTRA</t>
  </si>
  <si>
    <t>Istiqomah Ragil Anjarwani</t>
  </si>
  <si>
    <t>Naufal Hafidz Fadillah</t>
  </si>
  <si>
    <t>Wina Indrayani</t>
  </si>
  <si>
    <t>Afifah Sandra Rosalia</t>
  </si>
  <si>
    <t>Mustofa Ilham Firmansyah</t>
  </si>
  <si>
    <t>Isyifa Lintan Az Zuhro</t>
  </si>
  <si>
    <t>Putri Dewi Purwati</t>
  </si>
  <si>
    <t>Waznan Fauzi Oktavian</t>
  </si>
  <si>
    <t>??085291100609?</t>
  </si>
  <si>
    <t>https://drive.google.com/open?id=1ZunsWjnXH-0PB8hBwvVNdCe1GRwXk_dwGjfOoEeEI-E&amp;usp=drive_copy</t>
  </si>
  <si>
    <t>Galan, Tirtosari, Kretek</t>
  </si>
  <si>
    <t>Anriko Rizki Dandy</t>
  </si>
  <si>
    <t>Nur Anisa</t>
  </si>
  <si>
    <t>Ramadhan Nur Setyawan</t>
  </si>
  <si>
    <t>Fadia Ratna Dila</t>
  </si>
  <si>
    <t>Mayang Wahyu Setianingsih</t>
  </si>
  <si>
    <t>Yudhistira Cielo Mufti</t>
  </si>
  <si>
    <t>Mutiya Eka Putri</t>
  </si>
  <si>
    <t>Gandhes Laninata Safitri</t>
  </si>
  <si>
    <t>https://drive.google.com/open?id=1a8LV4npoimBfBVZdQqg1Db57ovM38klupR7YzhDNDCI&amp;usp=drive_copy</t>
  </si>
  <si>
    <t>Irfan Yunianto, Ph.D</t>
  </si>
  <si>
    <t>Busuran, Donotirto, Kretek</t>
  </si>
  <si>
    <t>Vaisal Syaiful Amri</t>
  </si>
  <si>
    <t>Amanda Nur Fadilah</t>
  </si>
  <si>
    <t>Raikhan Shofi Syafii</t>
  </si>
  <si>
    <t>Melsy Gustiva</t>
  </si>
  <si>
    <t>Rosyamdani</t>
  </si>
  <si>
    <t>Muji Rahayu</t>
  </si>
  <si>
    <t>Ramadhan Damar Panuluh</t>
  </si>
  <si>
    <t>Baiq Annisa Solekhah</t>
  </si>
  <si>
    <t>Menik Salsabil Danisah</t>
  </si>
  <si>
    <t>https://drive.google.com/open?id=1dqoTdLhR_zIt6QNdClkbdCkQRRZY3qMc_OrdKh_EyIo&amp;usp=drive_copy</t>
  </si>
  <si>
    <t>Mersan, Donotirto, Kretek</t>
  </si>
  <si>
    <t>Tegar Laksono</t>
  </si>
  <si>
    <t>Fajar Oktavia Rahma</t>
  </si>
  <si>
    <t>Stiawati</t>
  </si>
  <si>
    <t>Hario Jati Pamungkas</t>
  </si>
  <si>
    <t>Ria Nirwanda</t>
  </si>
  <si>
    <t>Prabu Hasyim Ashari</t>
  </si>
  <si>
    <t>Elys Labibatul Adilla</t>
  </si>
  <si>
    <t>Salsabila Dian Ardani</t>
  </si>
  <si>
    <t>Sadam Risqi Ramdani</t>
  </si>
  <si>
    <t>https://drive.google.com/open?id=1gGRTR4Lur6u0_zRESzBU7KW1TPl4P5Iv880bTU8SJBs&amp;usp=drive_copy</t>
  </si>
  <si>
    <t>Kalipakel, Donotirto, Kretek</t>
  </si>
  <si>
    <t>Muhammad Yahya Nur Ardiantoro</t>
  </si>
  <si>
    <t>Diah Dwi Damayanti</t>
  </si>
  <si>
    <t>Sinthia Nurmalita Sari</t>
  </si>
  <si>
    <t>Muhamad Fadhlurrohman Hakim</t>
  </si>
  <si>
    <t>Nida Amalia Azmi</t>
  </si>
  <si>
    <t>Salsabil Isen R.</t>
  </si>
  <si>
    <t>Abelia Widianti Purwaningsih</t>
  </si>
  <si>
    <t>Nola Amalia</t>
  </si>
  <si>
    <t>Muhammad Nursyafdi Fadel</t>
  </si>
  <si>
    <t>https://drive.google.com/open?id=1hFRUOlfSu5TkfyULTbaFb_WXE3h6_xvfhVQx2Ms3gag&amp;usp=drive_copy</t>
  </si>
  <si>
    <t>Sabri, S.Sn., M.Sn.</t>
  </si>
  <si>
    <t>Tegalsari, Donotirto, Kretek</t>
  </si>
  <si>
    <t>Tamara Faradiba</t>
  </si>
  <si>
    <t>Khairullah</t>
  </si>
  <si>
    <t>Shinta Cameliawati Sulaeman</t>
  </si>
  <si>
    <t>Muhammad Sultan Reza Aditya Nurrahman</t>
  </si>
  <si>
    <t>Irna Irfiani</t>
  </si>
  <si>
    <t>M Dwi Putra Wijaya</t>
  </si>
  <si>
    <t>Riski Lingga Utami</t>
  </si>
  <si>
    <t>Nurul Andini</t>
  </si>
  <si>
    <t>Eska Luqman Aziz</t>
  </si>
  <si>
    <t>https://drive.google.com/open?id=1hr4sEDv5ImRr72xB6QGjWoqkfIbcBtFGSs6Nzxs-iJo&amp;usp=drive_copy</t>
  </si>
  <si>
    <t>Palangjiwan, Donotirto, Kretek</t>
  </si>
  <si>
    <t>Sonny Muhammad Ilham</t>
  </si>
  <si>
    <t>Zerina Qodrian</t>
  </si>
  <si>
    <t>Salisa Niswatun</t>
  </si>
  <si>
    <t>Yus Rizal Albab</t>
  </si>
  <si>
    <t>Galuh Pramudityasari</t>
  </si>
  <si>
    <t>Deva Fathuzzikri</t>
  </si>
  <si>
    <t>Ayu Marliana Agustine</t>
  </si>
  <si>
    <t>Sagita Shofa Amalia Sadin</t>
  </si>
  <si>
    <t>Dini Nurmala Damayanti</t>
  </si>
  <si>
    <t>https://drive.google.com/open?id=1iN8V6kILDpCOAUTUiY2gurcNtfqAKQwFaAYU2_j8xT0&amp;usp=drive_copy</t>
  </si>
  <si>
    <t>Dr. Riduwan, S.E., M.Ag.</t>
  </si>
  <si>
    <t>Mriyan, Donotirto, Kretek</t>
  </si>
  <si>
    <t>Luthfi Arrahman Tanjung</t>
  </si>
  <si>
    <t>Miftah Nur Fahruri</t>
  </si>
  <si>
    <t>Rena Anggerawati</t>
  </si>
  <si>
    <t>Ratri Zhohratun Aini</t>
  </si>
  <si>
    <t>Ramadhani Ari Putra</t>
  </si>
  <si>
    <t>Adniyah Fauziah Ajis</t>
  </si>
  <si>
    <t>Muhammad Sang Aji Pakarti</t>
  </si>
  <si>
    <t>Diyah Ayu Anggrorini</t>
  </si>
  <si>
    <t>Retfi Repiyani Rohimati</t>
  </si>
  <si>
    <t>0895410103030 / ?087827560561?</t>
  </si>
  <si>
    <t>https://drive.google.com/open?id=1i_Ppc1K3c0wvumPRTD5AH2CWBK-x9OCGuFLz13BOKpQ&amp;usp=drive_copy</t>
  </si>
  <si>
    <t>Sruwuh, Donotirto, Kretek</t>
  </si>
  <si>
    <t>Fatma Malsa Arika</t>
  </si>
  <si>
    <t>Levi Febriana</t>
  </si>
  <si>
    <t>Dhimas Prayoga Jullyantama A.R</t>
  </si>
  <si>
    <t>Luk Lu'il Hasanah</t>
  </si>
  <si>
    <t>Muhamad Khairon Riskullah</t>
  </si>
  <si>
    <t>Kayla Hanum Iffada</t>
  </si>
  <si>
    <t>Muhammad Fajar Nugraha</t>
  </si>
  <si>
    <t>Fatma Putri Ambika</t>
  </si>
  <si>
    <t>Riana Fitriani</t>
  </si>
  <si>
    <t>https://drive.google.com/open?id=1iiDWyPM3p_HDFcSXscTlPduf3RpRqVWAURHvIKjVW28&amp;usp=drive_copy</t>
  </si>
  <si>
    <t>Yasifa Amila Sani</t>
  </si>
  <si>
    <t>Miftakhul Gina Khoirunnisa</t>
  </si>
  <si>
    <t>Ahmad Muharram Habibie</t>
  </si>
  <si>
    <t>Anisa Nurul Pratiwi</t>
  </si>
  <si>
    <t>Tisna Hidayat</t>
  </si>
  <si>
    <t>Syarif Maulana Yusuf</t>
  </si>
  <si>
    <t>Nurul Fijrianti Syukur</t>
  </si>
  <si>
    <t>Intan Putri Pertiwi</t>
  </si>
  <si>
    <t>https://drive.google.com/open?id=1imT2Zwz9zf-XBmxV_g-zZwibwx9P-QFZPeT_cP-82FA&amp;usp=drive_copy</t>
  </si>
  <si>
    <t>Arista Silfianingrum</t>
  </si>
  <si>
    <t>Muhammad Fadwin Lamatokan</t>
  </si>
  <si>
    <t>Fadia Namira Amalina</t>
  </si>
  <si>
    <t>Jimy Fazrial</t>
  </si>
  <si>
    <t>Yoren Grasela Wati</t>
  </si>
  <si>
    <t>Daffa Yudha Tamtama</t>
  </si>
  <si>
    <t>Hana Sonya Ramadhani</t>
  </si>
  <si>
    <t>Arika Suci Wulan Dari</t>
  </si>
  <si>
    <t>https://drive.google.com/open?id=1lMZjxWXqAbgHw-PCv_Zz6wJogTEjdfThvWYzSt1Ghs8&amp;usp=drive_copy</t>
  </si>
  <si>
    <t>Ahmad Lukman Nur Sidik</t>
  </si>
  <si>
    <t>Alvina Kunti Sabilla</t>
  </si>
  <si>
    <t>Ayu Puspita Sari</t>
  </si>
  <si>
    <t>Desi Putri Padina</t>
  </si>
  <si>
    <t>Muhammad Al- Hafiz</t>
  </si>
  <si>
    <t>Ladynda Nabila Putri</t>
  </si>
  <si>
    <t>Muhamad Fadillah Arrafi</t>
  </si>
  <si>
    <t>Maradella Widiantika</t>
  </si>
  <si>
    <t>Faras Aulianida</t>
  </si>
  <si>
    <t>https://drive.google.com/open?id=1nBVPq7ay0513lbZ-WpWkih-to-LE1aXP6d8jXDeovKY&amp;usp=drive_copy</t>
  </si>
  <si>
    <t>Bambang Robiin, S.T.,M.T.</t>
  </si>
  <si>
    <t>Triamariska Septiara Ma'rifah</t>
  </si>
  <si>
    <t>Sekar Wijayanti</t>
  </si>
  <si>
    <t>Safwan Hakim</t>
  </si>
  <si>
    <t>Laila Aulia Adini</t>
  </si>
  <si>
    <t>Alhadid Sufa Purnama</t>
  </si>
  <si>
    <t>Regita</t>
  </si>
  <si>
    <t>Aldi Kusuma</t>
  </si>
  <si>
    <t>Erlina Adhia Riyane</t>
  </si>
  <si>
    <t>Fayda Zahrafani</t>
  </si>
  <si>
    <t>https://drive.google.com/open?id=1p379W6bykEQ8xe3zOi8uiLhwC58RyN8BBToJl6cMk2Y&amp;usp=drive_copy</t>
  </si>
  <si>
    <t>Aghni Rohmaniati</t>
  </si>
  <si>
    <t>Rini Suwandari</t>
  </si>
  <si>
    <t>Shidqi Fafi Aqilla</t>
  </si>
  <si>
    <t>Ulfia Nurhidaya Mamonto</t>
  </si>
  <si>
    <t>Maulana Farid Ma'ruf</t>
  </si>
  <si>
    <t>Firma Firdausa</t>
  </si>
  <si>
    <t>Munif Aqil Lewar</t>
  </si>
  <si>
    <t>Amadini Maisun Saffanah</t>
  </si>
  <si>
    <t>Nabila Ika Rahmawati</t>
  </si>
  <si>
    <t>https://drive.google.com/open?id=1t2uI5jSJvcoYzVphAG-PsbmtRBmaihD0bbE2MtW-_CI&amp;usp=drive_copy</t>
  </si>
  <si>
    <t>Novena Xzha Tilana</t>
  </si>
  <si>
    <t>Anggun Septy Noerazizah</t>
  </si>
  <si>
    <t>Ardila Riski Lukmana</t>
  </si>
  <si>
    <t>Herdita Anggit Prihaningtyas</t>
  </si>
  <si>
    <t>Raihan Fajar Ramadhan</t>
  </si>
  <si>
    <t>Rahmatika Hul Haqqi</t>
  </si>
  <si>
    <t>Bayu Aditya Kurniawan</t>
  </si>
  <si>
    <t>Rena Anjeli Wibowo</t>
  </si>
  <si>
    <t>Deviana Romadhona</t>
  </si>
  <si>
    <t>https://drive.google.com/open?id=1tHtlj7siaMRBFfV83T5Uls4JNBSa964qoiCMchp-Uzs&amp;usp=drive_copy</t>
  </si>
  <si>
    <t>Akhmad Wildan Abdi Maulana</t>
  </si>
  <si>
    <t>Lulu Enjjelina</t>
  </si>
  <si>
    <t>Reffi Andhini Kusuma</t>
  </si>
  <si>
    <t>Wahyu Surya Al Fikri</t>
  </si>
  <si>
    <t>Yusriyyah Al-mufiidah</t>
  </si>
  <si>
    <t>Khoirun Nikmatul Muslimah</t>
  </si>
  <si>
    <t>Muhammad Fikri Arif</t>
  </si>
  <si>
    <t>Tasya Elia</t>
  </si>
  <si>
    <t>Umami Nafi'ah</t>
  </si>
  <si>
    <t>https://drive.google.com/open?id=1tnkLhF9Kn3oaTPa60FYDCDC-brmRWrG3qMqMDEBUeck&amp;usp=drive_copy</t>
  </si>
  <si>
    <t>Anindita Hapsari Widyawati</t>
  </si>
  <si>
    <t>Nadia Rita Safitri</t>
  </si>
  <si>
    <t>Ragil Sernanda Putri</t>
  </si>
  <si>
    <t>Rasyid Rahman</t>
  </si>
  <si>
    <t>Hanifah Naufal</t>
  </si>
  <si>
    <t>George Herdian Alfindo</t>
  </si>
  <si>
    <t>Zahra Raihan Nissa</t>
  </si>
  <si>
    <t>Lianita Setyawati</t>
  </si>
  <si>
    <t>https://drive.google.com/open?id=1usiGc68IUfegekX67iDRg2CQD3p93OLTR-7dkGqC_hg&amp;usp=drive_copy</t>
  </si>
  <si>
    <t>Elmira Pavita Diah Gantari</t>
  </si>
  <si>
    <t>Niningsih</t>
  </si>
  <si>
    <t>Eka Frendy Setiawan</t>
  </si>
  <si>
    <t>Ragil Putri Junita</t>
  </si>
  <si>
    <t>Ronggo Surya Alfawwaz</t>
  </si>
  <si>
    <t>Rizka Bunga Sausaningrum</t>
  </si>
  <si>
    <t>Dimas Agung Nugroho</t>
  </si>
  <si>
    <t>Rizki Amelia</t>
  </si>
  <si>
    <t>Serly Diva Ardiana</t>
  </si>
  <si>
    <t>https://drive.google.com/open?id=1wdHweScfbL0EVUCVGK5VaH2M4EzFpkZ4OhyaDnZnXI8&amp;usp=drive_copy</t>
  </si>
  <si>
    <t>Dr. Sutarman, M.Hum.</t>
  </si>
  <si>
    <t>Arif Sujatmiko</t>
  </si>
  <si>
    <t>Isty Athalyana</t>
  </si>
  <si>
    <t>Ivana Choirunnisa Anindya</t>
  </si>
  <si>
    <t>Gitti Angelita Puri</t>
  </si>
  <si>
    <t>Afif Nurwidianto</t>
  </si>
  <si>
    <t>Annisa Safitri Suci</t>
  </si>
  <si>
    <t>Muhammad Hamas Lantip Trengginas</t>
  </si>
  <si>
    <t>Fadhilah Tri Aprillia</t>
  </si>
  <si>
    <t>Ciesa Nabila Sukmana</t>
  </si>
  <si>
    <t>https://drive.google.com/open?id=1wi98emzzWCsQjRb2OTNjUxya8qhrgXV8Ew9jbtSOpis&amp;usp=drive_copy</t>
  </si>
  <si>
    <t>Raidha Hidayah</t>
  </si>
  <si>
    <t>Al Maghfirah Zaga Amsul</t>
  </si>
  <si>
    <t>Rino Ribenza</t>
  </si>
  <si>
    <t>Thalita Risma Ratri</t>
  </si>
  <si>
    <t>Lia Faryunisa</t>
  </si>
  <si>
    <t>Fitra Ramadhon</t>
  </si>
  <si>
    <t>Frisa Arfiana Dewi</t>
  </si>
  <si>
    <t>Freti Prastika</t>
  </si>
  <si>
    <t>https://drive.google.com/open?id=1x6MgWiMfFeP-2w6mzPOjf5dUms4hyvgTcRY3gs6tuVE&amp;usp=drive_copy</t>
  </si>
  <si>
    <t>Muhamad Ilham Rahdiansyah</t>
  </si>
  <si>
    <t>Pebri Indah Natasya</t>
  </si>
  <si>
    <t>Riska Fransisca</t>
  </si>
  <si>
    <t>Nur Asyifa Ismi</t>
  </si>
  <si>
    <t>Muhamad Mulyana</t>
  </si>
  <si>
    <t>Aulia Salsabila Merdekasari</t>
  </si>
  <si>
    <t>Ardian Nur Wicaksono</t>
  </si>
  <si>
    <t>Widya Putri Utami</t>
  </si>
  <si>
    <t>Raisa Amrina Rasyada</t>
  </si>
  <si>
    <t>https://drive.google.com/open?id=1xseDbL76iqEG-ydpQtSFkcuLXuUm_zOGpGJTfkOHJfE&amp;usp=drive_copy</t>
  </si>
  <si>
    <t>Nurul Hidayati Rofiah, M.Pd.I, Ph.D</t>
  </si>
  <si>
    <t>Aulia Arrafah Wibowo</t>
  </si>
  <si>
    <t>Indah Nurlaili Rahmawati</t>
  </si>
  <si>
    <t>Hafizh Nuruddin Al Jauzi</t>
  </si>
  <si>
    <t>Aprisya Puspa Karinda</t>
  </si>
  <si>
    <t>Nizhaambiq Elbanny</t>
  </si>
  <si>
    <t>Witha Erdianti</t>
  </si>
  <si>
    <t>M. Julkiflin</t>
  </si>
  <si>
    <t>Nafila Desca Fitria</t>
  </si>
  <si>
    <t>Shifa Arzeta Faradila</t>
  </si>
  <si>
    <t>https://drive.google.com/open?id=10DOeXShPMSPnKnYFX7tLGdFEFi2xwBWCt9ByQDPQmr8&amp;usp=drive_copy</t>
  </si>
  <si>
    <t>Bangsren, Gilangharjo, Pandak</t>
  </si>
  <si>
    <t>Yasierly'an Sa'aini Atqia</t>
  </si>
  <si>
    <t>Bunga Divia</t>
  </si>
  <si>
    <t>Muhamad Syafei</t>
  </si>
  <si>
    <t>Zisnia Meilasariva Utari</t>
  </si>
  <si>
    <t>Ropiyandi</t>
  </si>
  <si>
    <t>Dwiana Priharsanti</t>
  </si>
  <si>
    <t>Dhaffa Hapsari Pramestihadi</t>
  </si>
  <si>
    <t>Ghinannafsi Rahma Gumilar</t>
  </si>
  <si>
    <t>Bi Shuangjie</t>
  </si>
  <si>
    <t>https://drive.google.com/open?id=11TI1BDEzXRacvim_OptN4swWA3caAZIuUCXrMABeO7I&amp;usp=drive_copy</t>
  </si>
  <si>
    <t>Jomboran, Gilangharjo, Pandak</t>
  </si>
  <si>
    <t>Sekar Asri Putri Nirwanawati</t>
  </si>
  <si>
    <t>Lyan Rahma Syarifah</t>
  </si>
  <si>
    <t>Rizal Arsyad Damardjati</t>
  </si>
  <si>
    <t>Tindra Arum Oktaviani</t>
  </si>
  <si>
    <t>Herfansya Adiyoce Atmaja</t>
  </si>
  <si>
    <t>Restu Rahayu</t>
  </si>
  <si>
    <t>Aisyah Putri Muharami</t>
  </si>
  <si>
    <t>Tang Jiaqi</t>
  </si>
  <si>
    <t>https://drive.google.com/open?id=13-y3TpYrrZJJ7orHEn9uXCsg4-o-JqqAhQi_QGT_m3E&amp;usp=drive_copy</t>
  </si>
  <si>
    <t>Riza Aulia Rahman</t>
  </si>
  <si>
    <t>Anissa Nur Halimatussayidah</t>
  </si>
  <si>
    <t>Ajeng Dwi Kurniasari</t>
  </si>
  <si>
    <t>Rafie Nashiruddin</t>
  </si>
  <si>
    <t>Meita Mar'atu Sholihah</t>
  </si>
  <si>
    <t>Andrew Ikhtisar Afiq</t>
  </si>
  <si>
    <t>Siti Robiatul Addawiah</t>
  </si>
  <si>
    <t>Tri Widayanti</t>
  </si>
  <si>
    <t>Refi Mariska</t>
  </si>
  <si>
    <t>https://drive.google.com/open?id=14AM6_aa-ThFRzFQxlFxDAPqVxMQW64NrnTw3fX8qFyI&amp;usp=drive_copy</t>
  </si>
  <si>
    <t>Pahla Sevia Novanti</t>
  </si>
  <si>
    <t>Septia Rahma Nur Kholifah</t>
  </si>
  <si>
    <t>Leo Naldi</t>
  </si>
  <si>
    <t>Afifah Rieke Meinawati</t>
  </si>
  <si>
    <t>Baharudin Nur Hidayat</t>
  </si>
  <si>
    <t>Nur Ashsiddiqiyyah Syarifuddin</t>
  </si>
  <si>
    <t>Elsa Ariah Ramadani</t>
  </si>
  <si>
    <t>Rara Ayu Diningtyas</t>
  </si>
  <si>
    <t>Huang Guanghui</t>
  </si>
  <si>
    <t>https://drive.google.com/open?id=14K4vBGbEPLrpjqxWuBqkMZisO1QpDOqeoS-1ntR6goM&amp;usp=drive_copy</t>
  </si>
  <si>
    <t>Suprayogi Budhi Purwanto</t>
  </si>
  <si>
    <t>Magfirotunnisa</t>
  </si>
  <si>
    <t>Nadia Rahma Kamila</t>
  </si>
  <si>
    <t>Muhammad Nadif Hafizhy</t>
  </si>
  <si>
    <t>Anjali Wafid Nafi'ah</t>
  </si>
  <si>
    <t>Baiq Nunung</t>
  </si>
  <si>
    <t>Firman Yoga Pratama</t>
  </si>
  <si>
    <t>Anindya Pramesty Sekar Amarilis</t>
  </si>
  <si>
    <t>Utin Fahira Rachmadanti</t>
  </si>
  <si>
    <t>https://drive.google.com/open?id=14xXIDMHktHinzKVs2eiN2Rnz5a8ew907SP0tyARAIuU&amp;usp=drive_copy</t>
  </si>
  <si>
    <t>Sulistyawati, S.Si., M.PH., Ph.D.</t>
  </si>
  <si>
    <t>Putri Wulandari</t>
  </si>
  <si>
    <t>Devitra Wisda Fatmawati</t>
  </si>
  <si>
    <t>Faris Afif Rodiyanto</t>
  </si>
  <si>
    <t>Dien Rosada Zahra</t>
  </si>
  <si>
    <t>Tiara Widya Puspita</t>
  </si>
  <si>
    <t>Amanah Nurhalisah</t>
  </si>
  <si>
    <t>Zhao Zuxian</t>
  </si>
  <si>
    <t>Chen Xiyao</t>
  </si>
  <si>
    <t>https://drive.google.com/open?id=15IFNGbKEJeYtpqeWbn1f6_jWdkkm-_yApAbXMfPaFOg&amp;usp=drive_copy</t>
  </si>
  <si>
    <t>Diyah Amellia</t>
  </si>
  <si>
    <t>Nur Azkiah Nofissah</t>
  </si>
  <si>
    <t>Rohmadoni Kokop</t>
  </si>
  <si>
    <t>Roro Ajeng Kurnia Dinanti</t>
  </si>
  <si>
    <t>M. Andrea Rossi</t>
  </si>
  <si>
    <t>Dini Mayank Sari</t>
  </si>
  <si>
    <t>Annas Ihsanul Khuluq</t>
  </si>
  <si>
    <t>Anggi Septya Anggreini</t>
  </si>
  <si>
    <t>Adinda Tyas Prabandari</t>
  </si>
  <si>
    <t>https://drive.google.com/open?id=15gskuiLJ7NnwRC3YF9-7hGMug8sEDze5zbG9chymo6U&amp;usp=drive_copy</t>
  </si>
  <si>
    <t>Danty Putri Oktavianty</t>
  </si>
  <si>
    <t>Mi'atu Duria Hanggarjati</t>
  </si>
  <si>
    <t>Nico Ayong Kusuma</t>
  </si>
  <si>
    <t>Zahrotu Sekaring Arum</t>
  </si>
  <si>
    <t>Ilhamsyah Osmar</t>
  </si>
  <si>
    <t>Karina Amelia</t>
  </si>
  <si>
    <t>Imam Pratama</t>
  </si>
  <si>
    <t>Novi Hartanti Fitria</t>
  </si>
  <si>
    <t>Maharani Ratna Intan</t>
  </si>
  <si>
    <t>https://drive.google.com/open?id=16Kzkc0An9X9x9gpUv8X_iRGhP2YimemOCL6bkkRmHK4&amp;usp=drive_copy</t>
  </si>
  <si>
    <t>Mufti Alam Adha, S.E.I.,M.Sc</t>
  </si>
  <si>
    <t>Siti Aisyah</t>
  </si>
  <si>
    <t>Ayu Vernanda Rahma Yuliati</t>
  </si>
  <si>
    <t>Zhio Priandyca Mahendra Putra</t>
  </si>
  <si>
    <t>Desta Khumairoh Ramadani</t>
  </si>
  <si>
    <t>Muhammad Fakhrul Amin</t>
  </si>
  <si>
    <t>Aish Amanda Annisa Putri</t>
  </si>
  <si>
    <t>Damas Endri Artomo</t>
  </si>
  <si>
    <t>Baiq Gelsa Chalista</t>
  </si>
  <si>
    <t>Eka Suntiawati</t>
  </si>
  <si>
    <t>https://drive.google.com/open?id=17MjiVkq4-IqFDqhagMXOFs7HEgZc8AUeRGcXk72DUN8&amp;usp=drive_copy</t>
  </si>
  <si>
    <t>CINDY CENORA</t>
  </si>
  <si>
    <t>Wina Apriyani</t>
  </si>
  <si>
    <t>Farah Zannuba Husna</t>
  </si>
  <si>
    <t>Cahyo Triyanto</t>
  </si>
  <si>
    <t>Fadli Darusalam</t>
  </si>
  <si>
    <t>Annisa Rahmadika</t>
  </si>
  <si>
    <t>Muhammad Refan Al-Falaq</t>
  </si>
  <si>
    <t>Azra Zein Addabani</t>
  </si>
  <si>
    <t>Uswatun Khasanah</t>
  </si>
  <si>
    <t>https://drive.google.com/open?id=18tSqRAUgcfwLQyGvD-S2v9IScY0XVSq6dLjtSiGUSvE&amp;usp=drive_copy</t>
  </si>
  <si>
    <t>Saarah Salsabila</t>
  </si>
  <si>
    <t>Aliya Ramadhita</t>
  </si>
  <si>
    <t>Galih Dwi Prihandika</t>
  </si>
  <si>
    <t>Rosa Oktaviani Kaswondo</t>
  </si>
  <si>
    <t>Fadel Muhammad Ikhsan</t>
  </si>
  <si>
    <t>Rizky Chendrakasih</t>
  </si>
  <si>
    <t>Bima Herianda</t>
  </si>
  <si>
    <t>Deanisa Azzira</t>
  </si>
  <si>
    <t>Maura Syamsa Hawa</t>
  </si>
  <si>
    <t>https://drive.google.com/open?id=19FnX7C-DXErXS6trn4mjEWD4dtuoA1r-Qn99_iD6rnY&amp;usp=drive_copy</t>
  </si>
  <si>
    <t>Dedi Wijayanti, S.Pd., M.Hum</t>
  </si>
  <si>
    <t>Amrinaa Rosyada</t>
  </si>
  <si>
    <t>Muhammad Irgi Adriansyah</t>
  </si>
  <si>
    <t>Juliana Setiadi</t>
  </si>
  <si>
    <t>Miftaqul Fiqi Firmansyah</t>
  </si>
  <si>
    <t>Nurul Fitriyani</t>
  </si>
  <si>
    <t>Muhammad Firhan Hudaya</t>
  </si>
  <si>
    <t>Anita Yasminia Suwandi</t>
  </si>
  <si>
    <t>Aura Kartika Ayudia Johan</t>
  </si>
  <si>
    <t>Cindy Fitriadita</t>
  </si>
  <si>
    <t>https://drive.google.com/open?id=19yc9NmctTc2hyHNhanpq9BxpRXWOynRnf2imPsqdp28&amp;usp=drive_copy</t>
  </si>
  <si>
    <t>Archelia Parlina Sari</t>
  </si>
  <si>
    <t>Nining Istiqomah</t>
  </si>
  <si>
    <t>Muhammad Hanif Mufid</t>
  </si>
  <si>
    <t>Maimona Rezki Kurata Ayun</t>
  </si>
  <si>
    <t>Jhorgi Gheovani Elbet</t>
  </si>
  <si>
    <t>Gressilia Inggar Resti</t>
  </si>
  <si>
    <t>Nazlah</t>
  </si>
  <si>
    <t>Wardani</t>
  </si>
  <si>
    <t>Luo Xingyong</t>
  </si>
  <si>
    <t>https://drive.google.com/open?id=1Amt0-y4F0ARykCl4GHi4GdTbUECV1DIPWFC28NWNkfQ&amp;usp=drive_copy</t>
  </si>
  <si>
    <t>Dinta Rosela Prameswari</t>
  </si>
  <si>
    <t>Avina Maulia Rahma</t>
  </si>
  <si>
    <t>Azriel Muhammad Alif Prakoso</t>
  </si>
  <si>
    <t>Firda Khuzaimah Isnaini</t>
  </si>
  <si>
    <t>Maulana Asyrafil Anam</t>
  </si>
  <si>
    <t>Mayangmarita Sari</t>
  </si>
  <si>
    <t>Muhammad Nory Ilham</t>
  </si>
  <si>
    <t>Nouvkilla Azzahra Khairunnisa</t>
  </si>
  <si>
    <t>Kinasih Cahya Arumi</t>
  </si>
  <si>
    <t>https://drive.google.com/open?id=1BoVERwmQ-a-yGG-PS5iIrmdlddaP1FQW59uBgpAPkUs&amp;usp=drive_copy</t>
  </si>
  <si>
    <t>Surahma Asti Mulasari, M.Kes</t>
  </si>
  <si>
    <t>Nabila Fakhira</t>
  </si>
  <si>
    <t>Rifaldo Febrianto Saputro</t>
  </si>
  <si>
    <t>Pitaloka Sukmawati Suciningtyas</t>
  </si>
  <si>
    <t>Reza Adiyat Dwi Kurniawan</t>
  </si>
  <si>
    <t>Shafa Aqila Syabani</t>
  </si>
  <si>
    <t>Jalba Barriel Fawwaz</t>
  </si>
  <si>
    <t>Lituhayu Liyudza Dwiagda Maheswari</t>
  </si>
  <si>
    <t>Annisa Tia Fadillah</t>
  </si>
  <si>
    <t>https://drive.google.com/open?id=1CMv1lSTwVVLlKgXC1iVk9cQ26fx-WnQDcg8x8ksQ9WY&amp;usp=drive_copy</t>
  </si>
  <si>
    <t>NURUL. H. MAINE</t>
  </si>
  <si>
    <t>Irma Dwi Kuswijayanti</t>
  </si>
  <si>
    <t>Tri Agung Pamungkas</t>
  </si>
  <si>
    <t>Nadhifa Tsabatiya</t>
  </si>
  <si>
    <t>Arindra Fajri Dewantara</t>
  </si>
  <si>
    <t>Dila Revina Aprilia</t>
  </si>
  <si>
    <t>Darmawan Kusuma</t>
  </si>
  <si>
    <t>Rina Sari</t>
  </si>
  <si>
    <t>Lidya Anggraeni Widiastuti</t>
  </si>
  <si>
    <t>https://drive.google.com/open?id=1DE2t0QXu5zy-D3SIpM-HzPtPAJOjoyyE6cov2Draufo&amp;usp=drive_copy</t>
  </si>
  <si>
    <t>Indah Wulan Safitri</t>
  </si>
  <si>
    <t>Rezka Yason Saputro</t>
  </si>
  <si>
    <t>Wahyu Dwi Prihani</t>
  </si>
  <si>
    <t>Widiyanto Firmansyah</t>
  </si>
  <si>
    <t>Diva Swastika Irawati</t>
  </si>
  <si>
    <t>Elma Aulia Ricky</t>
  </si>
  <si>
    <t>Nisrina Octavia Nur Aini</t>
  </si>
  <si>
    <t>Mita Nurpitasari</t>
  </si>
  <si>
    <t>https://drive.google.com/open?id=1DR4a8V1eMTqjMyeFxwmA12QFvAEKcMRA5SbChnS7qFo&amp;usp=drive_copy</t>
  </si>
  <si>
    <t>Ariesty Fujiastuti, M.Pd.</t>
  </si>
  <si>
    <t>Dinda Marita Rahma</t>
  </si>
  <si>
    <t>Dito Wijayatno</t>
  </si>
  <si>
    <t>Andini Aris Santi</t>
  </si>
  <si>
    <t>Rayhan Pangestu</t>
  </si>
  <si>
    <t>Muhammad Aufa Akram</t>
  </si>
  <si>
    <t>Ra. Nurmadella Retno Latifa</t>
  </si>
  <si>
    <t>Mirza Auly Yahya</t>
  </si>
  <si>
    <t>https://drive.google.com/open?id=1DreTUPvjfwZfdMHJ0RV1WXRdDItjSBuo1SnpO1WX0Bg&amp;usp=drive_copy</t>
  </si>
  <si>
    <t>Amanda Prisilia Putri</t>
  </si>
  <si>
    <t>M. Ferhy Agustiawan</t>
  </si>
  <si>
    <t>Qoirunnisa</t>
  </si>
  <si>
    <t>M. Syahril Rais</t>
  </si>
  <si>
    <t>Sefrina Astuti</t>
  </si>
  <si>
    <t>Abna Maulana</t>
  </si>
  <si>
    <t>Diah Daryanti Salim</t>
  </si>
  <si>
    <t>Efinita Zulandari</t>
  </si>
  <si>
    <t>https://drive.google.com/open?id=1EZrU53gtJdwsEYuNiHOgrMRTrEKmUh9hNrRFMLVCOGw&amp;usp=drive_copy</t>
  </si>
  <si>
    <t>Elasarmasela</t>
  </si>
  <si>
    <t>Rahmadian Iqbal Al Hakim</t>
  </si>
  <si>
    <t>Setya Pandu Wijayanti</t>
  </si>
  <si>
    <t>Devi Cyndiyana Putri</t>
  </si>
  <si>
    <t>Muhamad Khoirul Rijal</t>
  </si>
  <si>
    <t>Laudza Salma Az Zahra</t>
  </si>
  <si>
    <t>Widyaislami Castarena Dharma Siddha</t>
  </si>
  <si>
    <t>Novia Ayu Puspita</t>
  </si>
  <si>
    <t>M Fauzan</t>
  </si>
  <si>
    <t>https://drive.google.com/open?id=1Gj9Obdt_pt5xjryTJUUUqjMAzeze1zxwe0ZY2vIEEPc&amp;usp=drive_copy</t>
  </si>
  <si>
    <t>Dr. Yoyo, S.S., M.A</t>
  </si>
  <si>
    <t>Mifta Shanas Fauzia</t>
  </si>
  <si>
    <t>Maulana Risqi Ardiansyah</t>
  </si>
  <si>
    <t>Siti Nurul Palah</t>
  </si>
  <si>
    <t>Arif Dwi Nugroho</t>
  </si>
  <si>
    <t>Viona Aghda Ramadhani</t>
  </si>
  <si>
    <t>Dimas Aryo Wicaksono</t>
  </si>
  <si>
    <t>Andini Nur Fitriani Putri</t>
  </si>
  <si>
    <t>Larisa Fredlina Inez</t>
  </si>
  <si>
    <t>https://drive.google.com/open?id=1Hv6VNG6hlABhvRK5K9_0ZFagpo-NXNhJcAbMzbVL--Q&amp;usp=drive_copy</t>
  </si>
  <si>
    <t>Mirza Nor Fahmi</t>
  </si>
  <si>
    <t>Aldina</t>
  </si>
  <si>
    <t>Yuli Ero Saputro</t>
  </si>
  <si>
    <t>Anggi Anggraini</t>
  </si>
  <si>
    <t>Anabela Aji Prakasa</t>
  </si>
  <si>
    <t>Nur Atika Permatasari</t>
  </si>
  <si>
    <t>Sekar Fatikhah Madjid</t>
  </si>
  <si>
    <t>Septi Nur Kholizah</t>
  </si>
  <si>
    <t>https://drive.google.com/open?id=1J56tQGx5mtEW15sjHpVWJmBCL1_B-Xd1BtU1Ls_yCOc&amp;usp=drive_copy</t>
  </si>
  <si>
    <t>Kuni Khoirol Akmaliyah</t>
  </si>
  <si>
    <t>Azyu Marni</t>
  </si>
  <si>
    <t>Exsan Landung Panggalih</t>
  </si>
  <si>
    <t>Ardiansyah Latif</t>
  </si>
  <si>
    <t>Zhafira Nur Aulia</t>
  </si>
  <si>
    <t>Shohihuzzihni</t>
  </si>
  <si>
    <t>Lutfi Munifah Adila</t>
  </si>
  <si>
    <t>Safitri Chairunisa</t>
  </si>
  <si>
    <t>https://drive.google.com/open?id=1JX5AXL24KPqv1kxPnPeXQjYkHRZoOYrTG4bk8cOzoII&amp;usp=drive_copy</t>
  </si>
  <si>
    <t>Yosi Wulandari, S.Pd,M.Pd.</t>
  </si>
  <si>
    <t>Desnika Putri Pambayun Ogestina</t>
  </si>
  <si>
    <t>Nurul Hidayat Nugraha</t>
  </si>
  <si>
    <t>Ima Ristiani</t>
  </si>
  <si>
    <t>Rizki Akbar</t>
  </si>
  <si>
    <t>Putri Silviyana Dewi</t>
  </si>
  <si>
    <t>Muhammad Osama Afghan</t>
  </si>
  <si>
    <t>Shela Alvionita</t>
  </si>
  <si>
    <t>Muzarekita Mangunsong</t>
  </si>
  <si>
    <t>https://drive.google.com/open?id=1LqfVSef_aOuCX_dREDH3UXrgYQQU0JmKN_DM1HCw0RY&amp;usp=drive_copy</t>
  </si>
  <si>
    <t>Rika Khoerunisa</t>
  </si>
  <si>
    <t>Zulfan Rumasoreng</t>
  </si>
  <si>
    <t>Yuricho Verani Lalenoh</t>
  </si>
  <si>
    <t>Muhammad Rifqi Zakaria</t>
  </si>
  <si>
    <t>Dinirawati</t>
  </si>
  <si>
    <t>Alwi Nurshobroni</t>
  </si>
  <si>
    <t>Maisye Rindiani</t>
  </si>
  <si>
    <t>Maretha Indra Puspa</t>
  </si>
  <si>
    <t>https://drive.google.com/open?id=1NN1Kv0MfkYlHQUur9jCYPZ5bjPeTbmp8ZoqC6VmnXao&amp;usp=drive_copy</t>
  </si>
  <si>
    <t>Sindy Septika Rani</t>
  </si>
  <si>
    <t>Iqbal Manaf</t>
  </si>
  <si>
    <t>Shevi Anggraeni</t>
  </si>
  <si>
    <t>Bintang Muhammad Madani</t>
  </si>
  <si>
    <t>Alvina Mariska</t>
  </si>
  <si>
    <t>Rizky Haryo Dewanto</t>
  </si>
  <si>
    <t>Ronna Christinabilla Saputri</t>
  </si>
  <si>
    <t>Puterie Akila Bijakin Nasution</t>
  </si>
  <si>
    <t>https://drive.google.com/open?id=1OOHMI232_oP5oX8fS28pYSkDNtpR-MiqpIFkHZYrjJE&amp;usp=drive_copy</t>
  </si>
  <si>
    <t>Sucipto, M.Pd.B.I., Ph.D.</t>
  </si>
  <si>
    <t>Ratna Prihatiningsih</t>
  </si>
  <si>
    <t>Sufi Insani Sholihah Sunu</t>
  </si>
  <si>
    <t>M. Taufik Wildan Ramadhani</t>
  </si>
  <si>
    <t>Annisa Chiqa Sabrina</t>
  </si>
  <si>
    <t>Mohammad Amirul Kurniawan Putranto</t>
  </si>
  <si>
    <t>Tsabita Nuraini</t>
  </si>
  <si>
    <t>Ismaya Waluya Jati</t>
  </si>
  <si>
    <t>Firdha Yovianti Pratiwi</t>
  </si>
  <si>
    <t>Ghefira Septina Nur Aziza</t>
  </si>
  <si>
    <t>https://drive.google.com/open?id=1PBVCKZ15LG3PK_khMQh4cShqvtx1Rtou_3tp6Hitfkc&amp;usp=drive_copy</t>
  </si>
  <si>
    <t>Arsy Rachmatul Viky</t>
  </si>
  <si>
    <t>Iis Nurmaya</t>
  </si>
  <si>
    <t>Rudi Gunawan</t>
  </si>
  <si>
    <t>Aqilla Khairunnisa</t>
  </si>
  <si>
    <t>Yoga Pradana Budiyanto</t>
  </si>
  <si>
    <t>Seftigita Yulianto</t>
  </si>
  <si>
    <t>Mahendra Yuda Pangestu</t>
  </si>
  <si>
    <t>Rifa Nurfadilah</t>
  </si>
  <si>
    <t>Syaqifa Aulia Munandar</t>
  </si>
  <si>
    <t>https://drive.google.com/open?id=1Pp1Ghnniuzx4PhOej2_tv5nh-I-KZjV9hK2OKn10D-A&amp;usp=drive_copy</t>
  </si>
  <si>
    <t>Dr. Vera Yuli Erviana, M.Pd.</t>
  </si>
  <si>
    <t>Proketen, Trimurti, Srandakan</t>
  </si>
  <si>
    <t>Nadia Mumtaza Reswari</t>
  </si>
  <si>
    <t>Ulya Vusvitasari</t>
  </si>
  <si>
    <t>Moh. Arif Pratama Putra</t>
  </si>
  <si>
    <t>Vinna Rahmasari</t>
  </si>
  <si>
    <t>Fathin Irfan Permana</t>
  </si>
  <si>
    <t>Iriyani Igun</t>
  </si>
  <si>
    <t>Dicky Arya Ahmad Ramadhan</t>
  </si>
  <si>
    <t>Septia Syahwarani</t>
  </si>
  <si>
    <t>Lis Setyowati</t>
  </si>
  <si>
    <t>https://drive.google.com/open?id=1Pp76r7Ak4DuylWBxzrWd6SYxU6NF6ZiTCOTpZimQIJo&amp;usp=drive_copy</t>
  </si>
  <si>
    <t>Cagunan, Trimurti, Srandakan</t>
  </si>
  <si>
    <t>Deo Fransginola</t>
  </si>
  <si>
    <t>Wulan Dwi Yanti</t>
  </si>
  <si>
    <t>Haidar Yosumi Fajariyanto</t>
  </si>
  <si>
    <t>Yulia Restiani</t>
  </si>
  <si>
    <t>Avenda Pratama</t>
  </si>
  <si>
    <t>Nurul Zakiah</t>
  </si>
  <si>
    <t>Sabrina Salsabila Agustiningrum</t>
  </si>
  <si>
    <t>Rizka Nur Rahmasari</t>
  </si>
  <si>
    <t>Catur Rohmiasih</t>
  </si>
  <si>
    <t>https://drive.google.com/open?id=1PyeGAl9c8CKYVDRlFmDAMjJ7M3o1MMCwc3alUyFImH8&amp;usp=drive_copy</t>
  </si>
  <si>
    <t>Pedak, Trimurti, Srandakan</t>
  </si>
  <si>
    <t>Frida Nurhidayah</t>
  </si>
  <si>
    <t>Emyria Varny</t>
  </si>
  <si>
    <t>Agum Priady</t>
  </si>
  <si>
    <t>Isni Rahmawati</t>
  </si>
  <si>
    <t>Ahmad Rizgifan Fauzhy</t>
  </si>
  <si>
    <t>Shofaya Tsany Ediningtyas</t>
  </si>
  <si>
    <t>Diah Ayu Rosita</t>
  </si>
  <si>
    <t>Alifya Putri Suminar</t>
  </si>
  <si>
    <t>https://drive.google.com/open?id=1RPOd8h85ieURdIpnOM5w6_mXo8O5-jUQgD3PMix2wHQ&amp;usp=drive_copy</t>
  </si>
  <si>
    <t>XI.B.4</t>
  </si>
  <si>
    <t>Gerso, Trimurti, Srandakan</t>
  </si>
  <si>
    <t>Ardiyanto Priambada</t>
  </si>
  <si>
    <t>Muhammad Fajar Imani Alifa</t>
  </si>
  <si>
    <t>Fiya Adilla Madania</t>
  </si>
  <si>
    <t>Mutiara Fitrasari</t>
  </si>
  <si>
    <t>Pratiwi Kistiya Ningrum</t>
  </si>
  <si>
    <t>Akmal Hafif Alkafi</t>
  </si>
  <si>
    <t>Nadhifa Rifdal Arafah</t>
  </si>
  <si>
    <t>Hanifah Rulyastuti</t>
  </si>
  <si>
    <t>Della Rahmadani</t>
  </si>
  <si>
    <t>https://drive.google.com/open?id=1Tq84tGbE9Zkelp4obL2UpRADSSk6UrGr8H1kwfc0FjM&amp;usp=drive_copy</t>
  </si>
  <si>
    <t>Puron, Trimurti, Srandakan</t>
  </si>
  <si>
    <t>Lulu Keenness Izzati</t>
  </si>
  <si>
    <t>Risky Shepiani</t>
  </si>
  <si>
    <t>Nur Rahman Budi Rahmadhan</t>
  </si>
  <si>
    <t>Sintia Afriyani</t>
  </si>
  <si>
    <t>Rayinda Ananda Pamungkas</t>
  </si>
  <si>
    <t>Nurul Muhaily Yusuf</t>
  </si>
  <si>
    <t>Andhika Rizky Ramadhani Yoga Pratama</t>
  </si>
  <si>
    <t>Maria Ulfa Dwi Permatasari</t>
  </si>
  <si>
    <t>Rr. Syifa Aurora Nirwani</t>
  </si>
  <si>
    <t>https://drive.google.com/open?id=1ZAh-POS4IjlD2tAMXbtHwClTdpqE6l1x6BjzrPbIuYc&amp;usp=drive_copy</t>
  </si>
  <si>
    <t>Sapuangin, Trimurti, Srandakan</t>
  </si>
  <si>
    <t>Hanna Zaky Agsan</t>
  </si>
  <si>
    <t>Desma Arinda Safitri</t>
  </si>
  <si>
    <t>Alrija Mutawarik</t>
  </si>
  <si>
    <t>Dwi Agustia</t>
  </si>
  <si>
    <t>Pandu Akbar</t>
  </si>
  <si>
    <t>Afifah Hasna Fauzia</t>
  </si>
  <si>
    <t>Muhammad Warif F. S.</t>
  </si>
  <si>
    <t>Silvia Nur Laily</t>
  </si>
  <si>
    <t>Ram Famelia</t>
  </si>
  <si>
    <t>https://drive.google.com/open?id=1ZAjs8uOUu7KESrx8g76IIGgkiTAegU2Tt0XLsaupjXk&amp;usp=drive_copy</t>
  </si>
  <si>
    <t>Mangiran, Trimurti, Srandakan</t>
  </si>
  <si>
    <t>Irwiantisa Anis Dian Syafiana</t>
  </si>
  <si>
    <t>Zisloli</t>
  </si>
  <si>
    <t>Lalu Danu Daifullah Khalil</t>
  </si>
  <si>
    <t>Irma Binti Sya'idah</t>
  </si>
  <si>
    <t>Wahyu</t>
  </si>
  <si>
    <t>Helzanada Amalia Resitadevy</t>
  </si>
  <si>
    <t>Muh. Fachrul Rizal</t>
  </si>
  <si>
    <t>Pungki Yulia Fitriani</t>
  </si>
  <si>
    <t>Novita Sari</t>
  </si>
  <si>
    <t>https://drive.google.com/open?id=1_RlN0CKB4oFHtLfEPSJ_YfvD7h0DBUwU4T2yuUDA6aA&amp;usp=drive_copy</t>
  </si>
  <si>
    <t>Klurahan, Trimurti, Srandakan</t>
  </si>
  <si>
    <t>Annisa Dikna Nurwono</t>
  </si>
  <si>
    <t>Inas Amalia Putri</t>
  </si>
  <si>
    <t>Alal Falah Khoiri</t>
  </si>
  <si>
    <t>Tyas Kusuma Argani</t>
  </si>
  <si>
    <t>Muhammad Avila Landry</t>
  </si>
  <si>
    <t>Khonsa Khoirunnisa</t>
  </si>
  <si>
    <t>Kamilah Zafirah</t>
  </si>
  <si>
    <t>Riska Dwi Silviana Putri</t>
  </si>
  <si>
    <t>Anggun Prayoga</t>
  </si>
  <si>
    <t>https://drive.google.com/open?id=1csVtVocDwYktqQHT0X6msdnFWO0-LIeo5Pvful2mYe0&amp;usp=drive_copy</t>
  </si>
  <si>
    <t>Gunungsaren Lor, Trimurti, Srandakan</t>
  </si>
  <si>
    <t>Yulia Nur Afifah</t>
  </si>
  <si>
    <t>Vina Monica</t>
  </si>
  <si>
    <t>Muhammad Arsy Purwodiharjo</t>
  </si>
  <si>
    <t>Maya Rajuningsih</t>
  </si>
  <si>
    <t>Tegar Arsyadani</t>
  </si>
  <si>
    <t>Putri Hascaryaningrum</t>
  </si>
  <si>
    <t>Prasanwari Ranggi Bestari</t>
  </si>
  <si>
    <t>Radiva Zahran Jaizidha</t>
  </si>
  <si>
    <t>Mita Rahma Oktafiana</t>
  </si>
  <si>
    <t>https://drive.google.com/open?id=1itD7aYIfVoWMXwLix1VKtMaA65kphtZ6BmVMI3St-lw&amp;usp=drive_copy</t>
  </si>
  <si>
    <t>Puluhanla Lor, Trimurti, Srandakan</t>
  </si>
  <si>
    <t>Dina Muliddina Nurhasanah</t>
  </si>
  <si>
    <t>Janan Afifah</t>
  </si>
  <si>
    <t>Alfian Bagus Prakoso</t>
  </si>
  <si>
    <t>Khana Pujiyanti</t>
  </si>
  <si>
    <t>Rifqi Abdillah Wicaksana</t>
  </si>
  <si>
    <t>Devi Alya Dhiyana</t>
  </si>
  <si>
    <t>Fahrulrozi Apriyanto</t>
  </si>
  <si>
    <t>Yusriyyah Nur Afifah</t>
  </si>
  <si>
    <t>Lutfia Cahya Sari</t>
  </si>
  <si>
    <t>https://drive.google.com/open?id=1jRR5WGplGtp1GxJxtUDW66MOWCeFhBhceNQS0tSCfKI&amp;usp=drive_copy</t>
  </si>
  <si>
    <t>Sawahan, Trimurti, Srandakan</t>
  </si>
  <si>
    <t>Malihatus Solehah</t>
  </si>
  <si>
    <t>Siti Qotiyah</t>
  </si>
  <si>
    <t>Gusti Ahmad Ahlul Wafa</t>
  </si>
  <si>
    <t>Yulia Candra Dewi</t>
  </si>
  <si>
    <t>Krisna Tanjung Pangestu</t>
  </si>
  <si>
    <t>Fatika Zulkha Febriyani</t>
  </si>
  <si>
    <t>Muhammad Rizki Alhagi</t>
  </si>
  <si>
    <t>Amelia Nurhaliza Puteri</t>
  </si>
  <si>
    <t>Shelvi Naila Wahyudi</t>
  </si>
  <si>
    <t>https://drive.google.com/open?id=1pCy-7uCgNB6oTZL8D5rl2sClI77OeSEC0-Gmapc316U&amp;usp=drive_copy</t>
  </si>
  <si>
    <t>Nengahan, Trimurti, Srandakan</t>
  </si>
  <si>
    <t>Asy Syifa Dhewi</t>
  </si>
  <si>
    <t>Vilda Tarita Anggraeni</t>
  </si>
  <si>
    <t>Tiar Irawan</t>
  </si>
  <si>
    <t>Puspita Ambarwati</t>
  </si>
  <si>
    <t>Gema Faqih Ali Mashar</t>
  </si>
  <si>
    <t>Adinda Octavia Stevie Vai</t>
  </si>
  <si>
    <t>Emil Lutfi Darwis</t>
  </si>
  <si>
    <t>Karimatul Khalidah</t>
  </si>
  <si>
    <t>Kakharisma Nurhawa</t>
  </si>
  <si>
    <t>081225222550/081327664074</t>
  </si>
  <si>
    <t>https://drive.google.com/open?id=1rBfHBEcwMgZWV8H6veyT4I357O8fiuHjufKX3AAPC6g&amp;usp=drive_copy</t>
  </si>
  <si>
    <t>Lopati, Trimurti, Srandakan</t>
  </si>
  <si>
    <t>Devika Fita Saputri</t>
  </si>
  <si>
    <t>Muhammad Iqbal</t>
  </si>
  <si>
    <t>Nia Andriani Laila</t>
  </si>
  <si>
    <t>Faza Husain Muhammad Zaen</t>
  </si>
  <si>
    <t>Shofiah Alifah Puteri</t>
  </si>
  <si>
    <t>Farras Prasetya Pambudi</t>
  </si>
  <si>
    <t>Rina Purnama</t>
  </si>
  <si>
    <t>Siti Zubaidah Yasmine Putri Diva</t>
  </si>
  <si>
    <t>Siska Maulina</t>
  </si>
  <si>
    <t>https://drive.google.com/open?id=1rDqG8HquCwW9pnZZCYlHGX7ElQehNuNDHFV-OcxgQXA&amp;usp=drive_copy</t>
  </si>
  <si>
    <t>Srandakan, Trimurti, Srandakan</t>
  </si>
  <si>
    <t>Safilla Azhari Budiono</t>
  </si>
  <si>
    <t>Efan Mohammad Emir Abdillah</t>
  </si>
  <si>
    <t>Amelia Putri</t>
  </si>
  <si>
    <t>Abdilah Muttaqin</t>
  </si>
  <si>
    <t>Festiara Meylani Intan Diasty</t>
  </si>
  <si>
    <t>Tia Siti Azizah</t>
  </si>
  <si>
    <t>Adinda Niken Ayu Larasati</t>
  </si>
  <si>
    <t>Aldi Setiawan</t>
  </si>
  <si>
    <t>https://drive.google.com/open?id=1rcN_QM9ff91-_lRk_nMKAGVj3BuhRP0rKJHmf6BMUDI&amp;usp=drive_copy</t>
  </si>
  <si>
    <t>Puluhan Kidul, Trimurti, Srandakan</t>
  </si>
  <si>
    <t>Ni Masnilam Tantri</t>
  </si>
  <si>
    <t>Windi Aprilia Asidik</t>
  </si>
  <si>
    <t>Rizki Hidayatul Fadli</t>
  </si>
  <si>
    <t>Filhafirah Pratiwi</t>
  </si>
  <si>
    <t>Muhammad Arifin Hakim</t>
  </si>
  <si>
    <t>Marista Kusuma Wiraningrum</t>
  </si>
  <si>
    <t>Ahmad Suryadi</t>
  </si>
  <si>
    <t>Niken Arina Puspita Arum</t>
  </si>
  <si>
    <t>Reza Sri Susilawati</t>
  </si>
  <si>
    <t>https://drive.google.com/open?id=1upMbc2DOHsxHu_J0dPK37xsFchSINnXvgmYGT1j2Pcs&amp;usp=drive_copy</t>
  </si>
  <si>
    <t>Gunungsaren Kidul, Trimurti, Srandakan</t>
  </si>
  <si>
    <t>Megawati Wenyi</t>
  </si>
  <si>
    <t>Mira Aristiani</t>
  </si>
  <si>
    <t>Dinar Nur Arofah</t>
  </si>
  <si>
    <t>Hadiyono</t>
  </si>
  <si>
    <t>Nur Anisatun Azizah</t>
  </si>
  <si>
    <t>Muhammad Ilham Maulana</t>
  </si>
  <si>
    <t>Intan Kusuma Paramitha</t>
  </si>
  <si>
    <t>Danarsyah Wicakpratomo</t>
  </si>
  <si>
    <t>Annissa Khoiria</t>
  </si>
  <si>
    <t>https://drive.google.com/open?id=1v0B78fGKszZ0MIaj-OsnW-lOHAaOl0XbwGzHp5U5K90&amp;usp=drive_copy</t>
  </si>
  <si>
    <t>Bendo, Trimurti, Srandakan</t>
  </si>
  <si>
    <t>Sundusin Malawat</t>
  </si>
  <si>
    <t>Elvina Novi Riyanti</t>
  </si>
  <si>
    <t>Nuriza Adheatma Saputri</t>
  </si>
  <si>
    <t>Muhamad Murdani</t>
  </si>
  <si>
    <t>Ratemawati</t>
  </si>
  <si>
    <t>Amri Fatkhuddin</t>
  </si>
  <si>
    <t>Dian Anugrah Cahyani</t>
  </si>
  <si>
    <t>Sahda Maura Salsabila</t>
  </si>
  <si>
    <t>https://drive.google.com/open?id=1wvernDXmT_2VrScpmuBFFqYiEp5inaacKpnz9OgbA7c&amp;usp=drive_copy</t>
  </si>
  <si>
    <t>Celan, Trimurti, Srandakan</t>
  </si>
  <si>
    <t>Muhammad Alfin Hanif Yahya</t>
  </si>
  <si>
    <t>Elrida Syafa Qurrota A'yun</t>
  </si>
  <si>
    <t>Azizah Zulfiani</t>
  </si>
  <si>
    <t>Dewangga Fauz Dhiya Ulhaq</t>
  </si>
  <si>
    <t>Maulidya Ika Fahrani</t>
  </si>
  <si>
    <t>M. Hasanuddin</t>
  </si>
  <si>
    <t>Frisca Andini</t>
  </si>
  <si>
    <t>Herlin Rosita Denavia</t>
  </si>
  <si>
    <t>Baiq Haura Resti Amanda</t>
  </si>
  <si>
    <t>https://drive.google.com/open?id=1yMOLYb9iMFQeZGQLZTLsfmd4PiLm0glG1p5dxYVzzQo&amp;usp=drive_copy</t>
  </si>
  <si>
    <t>Jetis, Trimurti, Srandakan</t>
  </si>
  <si>
    <t>Alya Rahayu Pratiwi</t>
  </si>
  <si>
    <t>Dimas Maulana</t>
  </si>
  <si>
    <t>Indah Purwati</t>
  </si>
  <si>
    <t>Arya Prio Winoto</t>
  </si>
  <si>
    <t>Yara Fikri Afiazi</t>
  </si>
  <si>
    <t>Mohammad Rafi Rustaman</t>
  </si>
  <si>
    <t>Diah Safitri</t>
  </si>
  <si>
    <t>Fadia Nur Aprilia</t>
  </si>
  <si>
    <t>Ririn Vijayanti Indah Saputri</t>
  </si>
  <si>
    <t>https://drive.google.com/open?id=13ny4rOEDEnY1AGkF5RMKA1PU0YlibcUxOK5H3q3Is-M&amp;usp=drive_copy</t>
  </si>
  <si>
    <t>Dr. Agung Budiantoro, M.Si.</t>
  </si>
  <si>
    <t>Kuwaru, Poncosari, Srandakan</t>
  </si>
  <si>
    <t>Fira Eka Afrianti</t>
  </si>
  <si>
    <t>Muhammad Firdaus Tegar</t>
  </si>
  <si>
    <t>Taris Styaningrum</t>
  </si>
  <si>
    <t>Iqbal Rilcardo</t>
  </si>
  <si>
    <t>Sahra Febrin Arofah</t>
  </si>
  <si>
    <t>Arsyad Dzuhdy Hartono</t>
  </si>
  <si>
    <t>Risma Aolia Putri</t>
  </si>
  <si>
    <t>Shafa Alifia</t>
  </si>
  <si>
    <t>https://drive.google.com/open?id=16w475vVUAnM6o9vbOIsGpgiM76cKmsCLKWT-tz2V7tg&amp;usp=drive_copy</t>
  </si>
  <si>
    <t>Gunturgeni, Poncosari, Srandakan</t>
  </si>
  <si>
    <t>Syam Ikhlas Alfalah</t>
  </si>
  <si>
    <t>Elinsia Tahana Prananti</t>
  </si>
  <si>
    <t>Aprily Putri Suharja</t>
  </si>
  <si>
    <t>Afdal Fajri</t>
  </si>
  <si>
    <t>Sisca Nur Arafah Febriyanti</t>
  </si>
  <si>
    <t>Sendy Khoerur Rijal</t>
  </si>
  <si>
    <t>Elvira Rizqi Ramadhani</t>
  </si>
  <si>
    <t>Gt. Indi Dini Azhar Hidayat</t>
  </si>
  <si>
    <t>Indah Silvia Putri</t>
  </si>
  <si>
    <t>https://drive.google.com/open?id=180j7fWgZqA8Otl5yj05uFReYYKDtMlv7iRwSqorboWY&amp;usp=drive_copy</t>
  </si>
  <si>
    <t>Talkondo, Poncosari, Srandakan</t>
  </si>
  <si>
    <t>Nurul Adisty Adinda Melani</t>
  </si>
  <si>
    <t>Desinta Dwi Agustin</t>
  </si>
  <si>
    <t>Wahyu Ayatulloh</t>
  </si>
  <si>
    <t>Sheila Deswita Ariyanto</t>
  </si>
  <si>
    <t>Ilham Setyabudi</t>
  </si>
  <si>
    <t>Alyaura Khiyani</t>
  </si>
  <si>
    <t>Julio Gilang Fernanda</t>
  </si>
  <si>
    <t>Shania Kiki Amanda</t>
  </si>
  <si>
    <t>Nelsi Vitri</t>
  </si>
  <si>
    <t>https://drive.google.com/open?id=18AYpcdqW__Uj8oUK72dYYPB5Q2hpTfCpuTq7Cw18ztQ&amp;usp=drive_copy</t>
  </si>
  <si>
    <t>Denik Wirawati, M.Pd</t>
  </si>
  <si>
    <t>Jragan I, Poncosari, Srandakan</t>
  </si>
  <si>
    <t>Yullia Rustiana</t>
  </si>
  <si>
    <t>Alda Naila Amalia</t>
  </si>
  <si>
    <t>Dzulfiqar Dhiaulhaq Subagja</t>
  </si>
  <si>
    <t>Andrea Tiara Suparmadi</t>
  </si>
  <si>
    <t>Muhammad Ferry Munandar</t>
  </si>
  <si>
    <t>Tsabita Kemala Putri</t>
  </si>
  <si>
    <t>Ahmad Wahyudi</t>
  </si>
  <si>
    <t>Nidya Ananda Dewi</t>
  </si>
  <si>
    <t>Zulky Quin Avrillia</t>
  </si>
  <si>
    <t>https://drive.google.com/open?id=1BQLMl-8UBuSeh_FgdAPlfzOpMjxjY9XTh4On8FtFbJE&amp;usp=drive_copy</t>
  </si>
  <si>
    <t>Krajan, Poncosari, Srandakan</t>
  </si>
  <si>
    <t>Putra Aji</t>
  </si>
  <si>
    <t>Pramudya Gilang Shinta Devi</t>
  </si>
  <si>
    <t>Regita Yunda Anggraeni</t>
  </si>
  <si>
    <t>Rafif Nugie Indrasta</t>
  </si>
  <si>
    <t>Nova Windiastri</t>
  </si>
  <si>
    <t>Nur Wanda Fatikasari Faroland</t>
  </si>
  <si>
    <t>Puspita Dewi Kusumaningrum</t>
  </si>
  <si>
    <t>Miranda Diah Adisti</t>
  </si>
  <si>
    <t>https://drive.google.com/open?id=1FhbQwC2P78N7UvKbbEf4fZtLjUTmB9qkm15EbeT8pGI&amp;usp=drive_copy</t>
  </si>
  <si>
    <t>Polosiyo, Poncosari, Srandakan</t>
  </si>
  <si>
    <t>Widiatantri Laily Ikrimah</t>
  </si>
  <si>
    <t>Ayu Dwiyana Putri</t>
  </si>
  <si>
    <t>Rozaq Aji Luhur</t>
  </si>
  <si>
    <t>Andi Mulya Firman</t>
  </si>
  <si>
    <t>Herlin Mei Suci Tiara Devi</t>
  </si>
  <si>
    <t>Ijlal Thufail Fadhlurrahman</t>
  </si>
  <si>
    <t>Rametha</t>
  </si>
  <si>
    <t>Farah Khairunnisa</t>
  </si>
  <si>
    <t>Jihan Fatimah Az-zahra</t>
  </si>
  <si>
    <t>https://drive.google.com/open?id=1J4_dGJ0Evjsn88mrszCUSfHjg7Sv7ek2a9AdeLZNGcs&amp;usp=drive_copy</t>
  </si>
  <si>
    <t>Sambeng I, Poncosari, Srandakan</t>
  </si>
  <si>
    <t>Raihatul Jannah</t>
  </si>
  <si>
    <t>Nur Khofifah</t>
  </si>
  <si>
    <t>Febriyana Dwimas Praarafati</t>
  </si>
  <si>
    <t>Bintang Wahid Husaeni</t>
  </si>
  <si>
    <t>Nafissa Al-'abida</t>
  </si>
  <si>
    <t>Syahru Wardana</t>
  </si>
  <si>
    <t>Lisnawati Tri Utami</t>
  </si>
  <si>
    <t>Nazha Riyadh Alfan Nour</t>
  </si>
  <si>
    <t>Ridha Oktavia</t>
  </si>
  <si>
    <t>https://drive.google.com/open?id=1Kk5ljm1U1aNX9U-iO3woyNGOVfHVoaCk0XRcsdKqFE8&amp;usp=drive_copy</t>
  </si>
  <si>
    <t>Bibis, Poncosari, Srandakan</t>
  </si>
  <si>
    <t>Intan Dea Vera</t>
  </si>
  <si>
    <t>Tia Sandy Widyastuti</t>
  </si>
  <si>
    <t>Wildan Adittya Putra Alamsyah</t>
  </si>
  <si>
    <t>Fitriani Imran</t>
  </si>
  <si>
    <t>Wisnu Nur Arya Saputra</t>
  </si>
  <si>
    <t>Olivia Dea Ananda</t>
  </si>
  <si>
    <t>Muhammad Hafidz Al Hasani Ramadhan</t>
  </si>
  <si>
    <t>Ezra Sabrina Arifiani</t>
  </si>
  <si>
    <t>Maharani Suhira</t>
  </si>
  <si>
    <t>https://drive.google.com/open?id=1M4Ei5XLHh_AqnIF9110SlxEJXFTIrySqKK8HMc9rT8k&amp;usp=drive_copy</t>
  </si>
  <si>
    <t>Besole, Poncosari, Srandakan</t>
  </si>
  <si>
    <t>Sri Retnoningsih</t>
  </si>
  <si>
    <t>Noor Akhadi Royan</t>
  </si>
  <si>
    <t>Khalda Hafizhah Arina Wafa</t>
  </si>
  <si>
    <t>Ghazy Salman Hanif</t>
  </si>
  <si>
    <t>Novita Ayu Ruhmadani</t>
  </si>
  <si>
    <t>Muhammad Bina Almadani Parhan</t>
  </si>
  <si>
    <t>Astri Nine Legoningsih</t>
  </si>
  <si>
    <t>Aini Shafiyah</t>
  </si>
  <si>
    <t>https://drive.google.com/open?id=1MKr_jjc4GXU_Zmbncl1XMESpZh3TKe1CYRcrgEzOrc4&amp;usp=drive_copy</t>
  </si>
  <si>
    <t>Dr. Yusutria, S.Pd I, M.A</t>
  </si>
  <si>
    <t>Jragan II, Poncosari, Srandakan</t>
  </si>
  <si>
    <t>Angelina Salsabila Qurrota A'yun</t>
  </si>
  <si>
    <t>Enjang Nurrochim Restu P.</t>
  </si>
  <si>
    <t>Ersa Puspita</t>
  </si>
  <si>
    <t>Nur Aulia Siva</t>
  </si>
  <si>
    <t>Muhammad Bayu Almadani Parhan</t>
  </si>
  <si>
    <t>Ria Risti Nur Annisa</t>
  </si>
  <si>
    <t>N.h Nabila Farras</t>
  </si>
  <si>
    <t>Neissaroh Al Mardhiah</t>
  </si>
  <si>
    <t>https://drive.google.com/open?id=1RSm8btu3tw7llgbpmDPWH25n7KJAahHQqNmgb8cE86o&amp;usp=drive_copy</t>
  </si>
  <si>
    <t>Kukap, Poncosari, Srandakan</t>
  </si>
  <si>
    <t>Alfin Nur Indratama</t>
  </si>
  <si>
    <t>Aisyah Sulha Ramadani Purnomo</t>
  </si>
  <si>
    <t>Amalia Niswatuz Zahra</t>
  </si>
  <si>
    <t>Ahmad Nabil Utomo</t>
  </si>
  <si>
    <t>Muklisah Kamran Gomang</t>
  </si>
  <si>
    <t>Difa Zahra Dwinta</t>
  </si>
  <si>
    <t>Khalimurrauf Fadlian Anwar</t>
  </si>
  <si>
    <t>Winda Novianita</t>
  </si>
  <si>
    <t>Hannifa Aulia Puti</t>
  </si>
  <si>
    <t>https://drive.google.com/open?id=1VHeVNoEakEu_3Fys9GdA0tpaonxhxhDzgZdJEhTw7u0&amp;usp=drive_copy</t>
  </si>
  <si>
    <t>Koripan, Poncosari, Srandakan</t>
  </si>
  <si>
    <t>Iqbaal Maliih</t>
  </si>
  <si>
    <t>Indah Sri Wahyuni</t>
  </si>
  <si>
    <t>Muadzatuz Zahro</t>
  </si>
  <si>
    <t>Rizky Sukma Pratama</t>
  </si>
  <si>
    <t>Devi Triana Suci</t>
  </si>
  <si>
    <t>Ham Dandih</t>
  </si>
  <si>
    <t>Audiya Zhafiratul Fajriya</t>
  </si>
  <si>
    <t>Dewi Fitriani</t>
  </si>
  <si>
    <t>Rindanea Alsha Aura</t>
  </si>
  <si>
    <t>https://drive.google.com/open?id=1W8-YnxJU9mEmehXQIh8Ljt6bMy3x95GwhJYHGegfkxw&amp;usp=drive_copy</t>
  </si>
  <si>
    <t>Cangkring, Poncosari, Srandakan</t>
  </si>
  <si>
    <t>Deswita Rehani Kuncoro</t>
  </si>
  <si>
    <t>Adisya Gita Cantika</t>
  </si>
  <si>
    <t>Muhammad Dzikri Amrudin</t>
  </si>
  <si>
    <t>Ade Ilma Hasanah</t>
  </si>
  <si>
    <t>Muchammad Ichwanul Muslim</t>
  </si>
  <si>
    <t>Faiz Shofi Millatina</t>
  </si>
  <si>
    <t>Darmansyah S. Arsyad</t>
  </si>
  <si>
    <t>Wiji Nuraini</t>
  </si>
  <si>
    <t>Putri Aprilia Arjayanti</t>
  </si>
  <si>
    <t>https://drive.google.com/open?id=1hwkAUAByOT0oYcNjrPJFJL25inXb2j0PllUvrBO5hvQ&amp;usp=drive_copy</t>
  </si>
  <si>
    <t>Ngentak, Poncosari, Srandakan</t>
  </si>
  <si>
    <t>Anandia Ariesta Dwi Yuniarti</t>
  </si>
  <si>
    <t>Muhammad Fachri Maswi</t>
  </si>
  <si>
    <t>Hanis Fitriya Da'watus Sholihah</t>
  </si>
  <si>
    <t>Abhar Makhmoudin Laba</t>
  </si>
  <si>
    <t>Benazia Rahmadyanti</t>
  </si>
  <si>
    <t>Faisal Abbas</t>
  </si>
  <si>
    <t>Tiara Mulatsih Purbaningrum</t>
  </si>
  <si>
    <t>Hessy Sahana</t>
  </si>
  <si>
    <t>Ziadatu Zzulfa</t>
  </si>
  <si>
    <t>https://drive.google.com/open?id=1rE_ckqhKl7FSC5fenyBrcNODErnTSokKP3B0_36z4CY&amp;usp=drive_copy</t>
  </si>
  <si>
    <t>Sambeng III, Poncosari, Srandakan</t>
  </si>
  <si>
    <t>Tri Wahyu Ningrum</t>
  </si>
  <si>
    <t>Dian Mahardika</t>
  </si>
  <si>
    <t>Mazhendra</t>
  </si>
  <si>
    <t>Aula Zahra</t>
  </si>
  <si>
    <t>Ariyo Putra Pratama</t>
  </si>
  <si>
    <t>Ghaida Nissa Noviencka</t>
  </si>
  <si>
    <t>Muhammad Allifan Setya Almadhani</t>
  </si>
  <si>
    <t>Shafa Dania Ramanda</t>
  </si>
  <si>
    <t>Surya Hidayah Tsulatsiyu</t>
  </si>
  <si>
    <t>https://drive.google.com/open?id=1s2TfMVV6iHv16riausmRZ11glqryl6mn7rLxUsFPe00&amp;usp=drive_copy</t>
  </si>
  <si>
    <t>Karang, Poncosari, Srandakan</t>
  </si>
  <si>
    <t>A.R. BAHRY AL FARIZI</t>
  </si>
  <si>
    <t>Shinta Lailatul Jannah</t>
  </si>
  <si>
    <t>Andra Galih Firmansah</t>
  </si>
  <si>
    <t>Gustia Nanda Elfitra Santi</t>
  </si>
  <si>
    <t>Muhammad Rafidhia</t>
  </si>
  <si>
    <t>Annisa Wahyu Illahi</t>
  </si>
  <si>
    <t>Zulfa Diyanah Effendy</t>
  </si>
  <si>
    <t>Rizka Salsabila</t>
  </si>
  <si>
    <t>https://drive.google.com/open?id=1JzcGtbGzXkzj43IU3jfTpNYbAR-EcA_b2T5o8vdTkeo&amp;usp=drive_copy</t>
  </si>
  <si>
    <t>Bayuran, Poncosari, Srandakan</t>
  </si>
  <si>
    <t>Annisa Renata Nuswantari</t>
  </si>
  <si>
    <t>Farhan Nur Fauzi</t>
  </si>
  <si>
    <t>Weni Sepriani</t>
  </si>
  <si>
    <t>Iman Nurfaizi</t>
  </si>
  <si>
    <t>Risda Tantri</t>
  </si>
  <si>
    <t>Bunga Bilbina Rizkika</t>
  </si>
  <si>
    <t>Lidia Septi</t>
  </si>
  <si>
    <t>Muhammad Shahih Burhanuddin</t>
  </si>
  <si>
    <t>Ardyla Yuanita Wibowo</t>
  </si>
  <si>
    <t>https://drive.google.com/open?id=1fbASbdOk6qezIFeASok8XuHnJ5La5Gfv0GGAkgJj468&amp;usp=drive_copy</t>
  </si>
  <si>
    <t>Godegan, Poncosari, Srandakan</t>
  </si>
  <si>
    <t>Leni Agustina</t>
  </si>
  <si>
    <t>Fitri Agustina</t>
  </si>
  <si>
    <t>Miftah Mushobbirin</t>
  </si>
  <si>
    <t>Rengganis Pentagona Pertiwi</t>
  </si>
  <si>
    <t>Farhan Aufa Adhib</t>
  </si>
  <si>
    <t>Raida Jilan Izdihar</t>
  </si>
  <si>
    <t>M. Ulil Azmi</t>
  </si>
  <si>
    <t>Triana Aprilyta Annisa</t>
  </si>
  <si>
    <t>Maysa Tania</t>
  </si>
  <si>
    <t>https://drive.google.com/open?id=1rH6kyAVbX8pW5MAOrlk2Jokqia-0_4uWlt2iRtdD1mY&amp;usp=drive_copy</t>
  </si>
  <si>
    <t>Rokhmayanti, S.K.M.,M.PH</t>
  </si>
  <si>
    <t>Beji, Banjaroyo, Kalibawang</t>
  </si>
  <si>
    <t>Kulonprogo</t>
  </si>
  <si>
    <t>Salmah Sesari</t>
  </si>
  <si>
    <t>Nayla Mu'adzah</t>
  </si>
  <si>
    <t>Dewangga Insani Alhaq</t>
  </si>
  <si>
    <t>Retno Ayu Wulandari</t>
  </si>
  <si>
    <t>Raihan Ahmad Hafidz</t>
  </si>
  <si>
    <t>Hasna Anabila Manggala</t>
  </si>
  <si>
    <t>Muhammad Ahdiar Ramadhani</t>
  </si>
  <si>
    <t>Elza Aurelia Faradila</t>
  </si>
  <si>
    <t>Oryza Zativa Agatha</t>
  </si>
  <si>
    <t>https://drive.google.com/open?id=1prdDQAHRhsCE7UAcoNvSUPgG37gcwChHioujJD2Xbe0&amp;usp=drive_copy</t>
  </si>
  <si>
    <t>Dlingseng, Banjaroyo, Kalibawang</t>
  </si>
  <si>
    <t>Annisa Nur Ramadhani</t>
  </si>
  <si>
    <t>Rosita Septi Safitri</t>
  </si>
  <si>
    <t>Jadid Habibillah Al Ghazi Supriyono</t>
  </si>
  <si>
    <t>Dewi Nur Apriliyani</t>
  </si>
  <si>
    <t>Agus Herdiansyah</t>
  </si>
  <si>
    <t>Renilda Stefhani Ananda Yudhaningtyas</t>
  </si>
  <si>
    <t>Muhammad Ikhsan Hadi Pangestu</t>
  </si>
  <si>
    <t>Nabila Nur Rahma</t>
  </si>
  <si>
    <t>Syahrani Aslamia Siregar</t>
  </si>
  <si>
    <t>https://drive.google.com/open?id=1FkaDDLgFi_H-nJcPFo2xv32OCp-8Si-OgH6LiYw4PAo&amp;usp=drive_copy</t>
  </si>
  <si>
    <t>Klangon, Banjaroyo, Kalibawang</t>
  </si>
  <si>
    <t>Trisnawati Indijati</t>
  </si>
  <si>
    <t>Ifa Latifah</t>
  </si>
  <si>
    <t>Iqmal Purnawan Hardani</t>
  </si>
  <si>
    <t>Habbatul Qolbi H</t>
  </si>
  <si>
    <t>Dwi Khairani Puspita</t>
  </si>
  <si>
    <t>Zamir Bob Said</t>
  </si>
  <si>
    <t>Della Indriani</t>
  </si>
  <si>
    <t>Hikma Ayu Aprillia</t>
  </si>
  <si>
    <t>Bunga Putri Tatwo</t>
  </si>
  <si>
    <t>https://drive.google.com/open?id=14AjmcSxFqO98I0h0kG6Pk1ZscuoTColeCO15tJvy1I4&amp;usp=drive_copy</t>
  </si>
  <si>
    <t>Siti Kurnia Widi Hastuti, S.K.M., M.PH.</t>
  </si>
  <si>
    <t>Ririn Nur Valencia</t>
  </si>
  <si>
    <t>Widara</t>
  </si>
  <si>
    <t>Anjar Arshyl Sidiq</t>
  </si>
  <si>
    <t>Mayang Puspanjani</t>
  </si>
  <si>
    <t>Diki Akhmad Ilyas</t>
  </si>
  <si>
    <t>Aprilia Putri</t>
  </si>
  <si>
    <t>Moh Amirrulloh</t>
  </si>
  <si>
    <t>Afidah Hindun Noor Futuhah</t>
  </si>
  <si>
    <t>Ghentari Endang Ayu Sekar Palupi</t>
  </si>
  <si>
    <t>https://drive.google.com/open?id=1mxuSbGlj9k491eazC4Z3igjTPbInYE79aNtgLPzMC6Y&amp;usp=drive_copy</t>
  </si>
  <si>
    <t>Ewit Rahmania</t>
  </si>
  <si>
    <t>Qorine Meylanie Hartienah</t>
  </si>
  <si>
    <t>Niken Rismawati</t>
  </si>
  <si>
    <t>Tri Sulistiawan</t>
  </si>
  <si>
    <t>Isyaura Ramadhania</t>
  </si>
  <si>
    <t>Rahmat Hidayat</t>
  </si>
  <si>
    <t>Revasya Diva Oktaviani</t>
  </si>
  <si>
    <t>Sekar Gading Prameswari</t>
  </si>
  <si>
    <t>https://drive.google.com/open?id=1QI46iaT6QLn_FWY_QD7lgI6VdaqHfQWt1vFQMPzzr7Q&amp;usp=drive_copy</t>
  </si>
  <si>
    <t>Pantog Wetan, Banjaroyo, Kalibawang</t>
  </si>
  <si>
    <t>Revi Ardhita</t>
  </si>
  <si>
    <t>Azzahrotul Utari</t>
  </si>
  <si>
    <t>Bambang Arief Wijayanto</t>
  </si>
  <si>
    <t>Telly Indi Cahyaning Puteri</t>
  </si>
  <si>
    <t>Azam Azri Ahmad</t>
  </si>
  <si>
    <t>Latifa Tri Wulandari</t>
  </si>
  <si>
    <t>Nauval Harun Al Hakim</t>
  </si>
  <si>
    <t>Nisrinaa Ramadyaningsih</t>
  </si>
  <si>
    <t>Mutiara Dwi Apriani</t>
  </si>
  <si>
    <t>https://drive.google.com/open?id=1P30C7qC89zbuaidMCY1Hk2p00nfFb_PzLKl5HwA-xnU&amp;usp=drive_copy</t>
  </si>
  <si>
    <t>apt. AZIS IKHSANUDIN, M.Sc,.</t>
  </si>
  <si>
    <t>Alfiana Putri Dewanti</t>
  </si>
  <si>
    <t>Herliani</t>
  </si>
  <si>
    <t>Ferdy</t>
  </si>
  <si>
    <t>Aulia Asri Azzahra</t>
  </si>
  <si>
    <t>Yurhiko Arshal Fauzan</t>
  </si>
  <si>
    <t>Ummu Mukhlisah Salam</t>
  </si>
  <si>
    <t>Yudha Dhamar Prasetyo</t>
  </si>
  <si>
    <t>Karin Rizkia Novalina</t>
  </si>
  <si>
    <t>Putri Nadhira Al Layalia</t>
  </si>
  <si>
    <t>https://drive.google.com/open?id=1qCqj-iSsJPsQFZ560U3TOTy78w-l888Ydu7XQ3hU5hM&amp;usp=drive_copy</t>
  </si>
  <si>
    <t>Dukuh, Banjarasri, Kalibawang</t>
  </si>
  <si>
    <t>Agusti Oktania Zulfa</t>
  </si>
  <si>
    <t>Viony Putri</t>
  </si>
  <si>
    <t>Raihandy Mohammad Rifky</t>
  </si>
  <si>
    <t>Alya Firli Refanza Putri</t>
  </si>
  <si>
    <t>Aris Afrianto Nugroho</t>
  </si>
  <si>
    <t>Nino Sindi Retno Susanti</t>
  </si>
  <si>
    <t>Bachtiar Dwi Arya Wiguna</t>
  </si>
  <si>
    <t>Bunga Kharenina Putri Pardana</t>
  </si>
  <si>
    <t>Kartika Hariani</t>
  </si>
  <si>
    <t>https://drive.google.com/open?id=1gnt4AFyXmaaRGzayHdK0_PmNalG3gRic42cC1r0nYrw&amp;usp=drive_copy</t>
  </si>
  <si>
    <t>Darojatun Restuning Mariana</t>
  </si>
  <si>
    <t>Salsabila Sukma Putri</t>
  </si>
  <si>
    <t>Mukhammad Dzulfikar Ubad</t>
  </si>
  <si>
    <t>Dewi Rahmayanti</t>
  </si>
  <si>
    <t>Laudi Bintang Artuta</t>
  </si>
  <si>
    <t>Annisa Dewi Ramadhani</t>
  </si>
  <si>
    <t>Mukhamat Sholikin</t>
  </si>
  <si>
    <t>Indri Sulistiani Istiqomah</t>
  </si>
  <si>
    <t>Darin Syahidah Intifadah</t>
  </si>
  <si>
    <t>https://drive.google.com/open?id=1gD0Ddy423CRu97oM004S2MfK70Xjt-7BpeLO-rPcpqU&amp;usp=drive_copy</t>
  </si>
  <si>
    <t>Kalijeruk, Banjarasri, Kalibawang</t>
  </si>
  <si>
    <t>Tania Mentari Utami</t>
  </si>
  <si>
    <t>Ninditya Rian Cahyani</t>
  </si>
  <si>
    <t>Hilda Ni'matul Jannah</t>
  </si>
  <si>
    <t>Rahmad Medi Afrian</t>
  </si>
  <si>
    <t>Iga Wahyu Dewi Safura</t>
  </si>
  <si>
    <t>Dimas Asna Nugraha</t>
  </si>
  <si>
    <t>Muhammad Danil Fadillah</t>
  </si>
  <si>
    <t>Tika Oktaviani</t>
  </si>
  <si>
    <t>Luthfi Maria Ulfa</t>
  </si>
  <si>
    <t>https://drive.google.com/open?id=1WGDjKIPLXSJ9aE63m6Pfrx8u3HA-zqjEqydTTYEuU40&amp;usp=drive_copy</t>
  </si>
  <si>
    <t>Akbar Haryo Priyo Gati</t>
  </si>
  <si>
    <t>Ertika Rahmawati</t>
  </si>
  <si>
    <t>Anggraeni Kusumadewi</t>
  </si>
  <si>
    <t>Rizki Rahmanda</t>
  </si>
  <si>
    <t>Khoirunnisa Muttaqiyah</t>
  </si>
  <si>
    <t>Alfi Syahri</t>
  </si>
  <si>
    <t>Vista Ary Elza Veradani</t>
  </si>
  <si>
    <t>Aisyah Ayu Noor Afni</t>
  </si>
  <si>
    <t>Sita Fauzia Rahma</t>
  </si>
  <si>
    <t>https://drive.google.com/open?id=1chPG5BEYUfnuoEuJ6P16A7Hc4nj9jwlPafV2YxyrB0k&amp;usp=drive_copy</t>
  </si>
  <si>
    <t>Sheva Rizkia El Fathan</t>
  </si>
  <si>
    <t>Agreina Alkakia</t>
  </si>
  <si>
    <t>Aisyah Hashinatun Nithosiy</t>
  </si>
  <si>
    <t>Dian Pramesti Sakina</t>
  </si>
  <si>
    <t>Muhammad Fikrizza</t>
  </si>
  <si>
    <t>Nindi Seftiyana</t>
  </si>
  <si>
    <t>Fadil Sidiq Dwika Maulana</t>
  </si>
  <si>
    <t>Gina Aqilah Alfarosa</t>
  </si>
  <si>
    <t>Dina Rosanti Hadi Kusumah</t>
  </si>
  <si>
    <t>https://drive.google.com/open?id=1VXp94l-Nfkc0ZTjAuTbJndmx2OXlJ54HqPujmj9PHec&amp;usp=drive_copy</t>
  </si>
  <si>
    <t>Fariz Setyawan, S.Pd., M.Pd.</t>
  </si>
  <si>
    <t>Meging, Banjararum, Kalibawang</t>
  </si>
  <si>
    <t>Aulia Prahastuti</t>
  </si>
  <si>
    <t>Arzhavi Virta Afliqoh</t>
  </si>
  <si>
    <t>Muhammad Fadillah Ilham</t>
  </si>
  <si>
    <t>Annisa Wahyu Savitri</t>
  </si>
  <si>
    <t>Valerino Rifqi</t>
  </si>
  <si>
    <t>Lu'lu'ul Fuadah</t>
  </si>
  <si>
    <t>Muhammad Arfianto</t>
  </si>
  <si>
    <t>Telma Darus</t>
  </si>
  <si>
    <t>Aulya Rizki</t>
  </si>
  <si>
    <t>https://drive.google.com/open?id=1cJyH9G0xbvBMR_LB1KQIbph10iy8GP-WteejWLRZcuI&amp;usp=drive_copy</t>
  </si>
  <si>
    <t>Melani Putri Minang</t>
  </si>
  <si>
    <t>Fikri Ramadhani</t>
  </si>
  <si>
    <t>Siti Vuji Atviyanti</t>
  </si>
  <si>
    <t>Aldy Hakim</t>
  </si>
  <si>
    <t>Delfia</t>
  </si>
  <si>
    <t>Ainun Ibnu Zia Ulhaq</t>
  </si>
  <si>
    <t>Lathifa Camelia Putri</t>
  </si>
  <si>
    <t>Della Putri Aryani</t>
  </si>
  <si>
    <t>Arina Ifada</t>
  </si>
  <si>
    <t>https://drive.google.com/open?id=1ctiHswOXHo3kzhA152GSX_39DI2sUMqj3xHK9Wqye9M&amp;usp=drive_copy</t>
  </si>
  <si>
    <t>Fadila Vani Dea Risanti</t>
  </si>
  <si>
    <t>Rengginas Pentagona Putri</t>
  </si>
  <si>
    <t>Reza Dimas Rijaya</t>
  </si>
  <si>
    <t>Alliya Intan Az Zahra Wibowo</t>
  </si>
  <si>
    <t>Nur Ikhsan</t>
  </si>
  <si>
    <t>Selviani Arliska</t>
  </si>
  <si>
    <t>Muhammad Rizky Husuludin</t>
  </si>
  <si>
    <t>Aisya Nurtriavi Iskandar</t>
  </si>
  <si>
    <t>Putri Dewi Setiati</t>
  </si>
  <si>
    <t>087832052667/085249566890</t>
  </si>
  <si>
    <t>https://drive.google.com/open?id=1w9UDOhqKhK10CRAoIXE2ha0jsDoUupzOTUA82u2byeU&amp;usp=drive_copy</t>
  </si>
  <si>
    <t>SOVIYAH, M.Hum.</t>
  </si>
  <si>
    <t>Indira Salsabilla Ayu Putri Suwanto</t>
  </si>
  <si>
    <t>Puteri Shania Chairunnisa</t>
  </si>
  <si>
    <t>Rihhadatul 'aisy Salsabiilah</t>
  </si>
  <si>
    <t>Mita Deviliana</t>
  </si>
  <si>
    <t>Linggar Lazuardy Azzra</t>
  </si>
  <si>
    <t>Luzah Ulil Hikmah</t>
  </si>
  <si>
    <t>Ansory</t>
  </si>
  <si>
    <t>Ahmad Najib Musabbichin</t>
  </si>
  <si>
    <t>Nadia Agustina</t>
  </si>
  <si>
    <t>https://drive.google.com/open?id=1URKqqjoFy9KleK-0wRRLmr7qsdv9kOSC4MDvOL-FBUU&amp;usp=drive_copy</t>
  </si>
  <si>
    <t>Degan I, Banjararum, Kalibawang</t>
  </si>
  <si>
    <t>Saniatul Arnikmah Asmuni</t>
  </si>
  <si>
    <t>Delima Sirma Nopianti</t>
  </si>
  <si>
    <t>Sofwan Nabighi</t>
  </si>
  <si>
    <t>Waldi Darmansyah</t>
  </si>
  <si>
    <t>Diah Vita Kumala Sari</t>
  </si>
  <si>
    <t>Diah Ayu Sutri Wahyuningsih</t>
  </si>
  <si>
    <t>Umar Faruq Alghozi</t>
  </si>
  <si>
    <t>Terra Prafitra Gani Saputri</t>
  </si>
  <si>
    <t>Rika Mithsaluna Nur Anisa</t>
  </si>
  <si>
    <t>https://drive.google.com/open?id=1GCAPpFIfgtRLEPE5cXjUTuIQSSFK4GoNHcD-7Prx-i4&amp;usp=drive_copy</t>
  </si>
  <si>
    <t>Dhila Primayunika Sugiyanta</t>
  </si>
  <si>
    <t>Siti Marfuah Nurul Halimah</t>
  </si>
  <si>
    <t>Irgi Rizky Muharam</t>
  </si>
  <si>
    <t>Indah Rafni Yuni Pratiwi</t>
  </si>
  <si>
    <t>Nuruddin Hidayat</t>
  </si>
  <si>
    <t>Yassinta Salsabila Mahanani</t>
  </si>
  <si>
    <t>Niko Ferdian</t>
  </si>
  <si>
    <t>Fitria Maulida</t>
  </si>
  <si>
    <t>Caesar Mutiara Athifah Mubarak</t>
  </si>
  <si>
    <t>https://drive.google.com/open?id=1sriO7LK-YCbgERo-yBZZZuuhBm80zstjcD6_BDzydtY&amp;usp=drive_copy</t>
  </si>
  <si>
    <t>Hasrul Rahman, M.Pd.</t>
  </si>
  <si>
    <t>P. Wetan, Banjarharjo, Kalibawang</t>
  </si>
  <si>
    <t>Indah Naufal Hidayah</t>
  </si>
  <si>
    <t>Fina Altifatuahdiya</t>
  </si>
  <si>
    <t>Amirul Bimo Satrio Wicaksono</t>
  </si>
  <si>
    <t>Abdullah Gymnastiar</t>
  </si>
  <si>
    <t>Azizah Zein Fadilla</t>
  </si>
  <si>
    <t>Sela Viky Vimila Tina</t>
  </si>
  <si>
    <t>Muhamad Alfinnudin Cholil</t>
  </si>
  <si>
    <t>Hansa Sasqia Nabella</t>
  </si>
  <si>
    <t>Yuni Herliyanti</t>
  </si>
  <si>
    <t>https://drive.google.com/open?id=1hxDcUiR2_OPCKIaNZNICweaP8lJDq3LaLREI0EBTJ2Q&amp;usp=drive_copy</t>
  </si>
  <si>
    <t>P. Kulon, Banjarharjo, Kalibawang</t>
  </si>
  <si>
    <t>YAURONIN FITRAH</t>
  </si>
  <si>
    <t>Salma Anindya</t>
  </si>
  <si>
    <t>Tiara Salsabila</t>
  </si>
  <si>
    <t>Andrean Akbar</t>
  </si>
  <si>
    <t>Sugiarti Irmasari</t>
  </si>
  <si>
    <t>Wening Ayu Nugraheni</t>
  </si>
  <si>
    <t>Muhamad Fikri Wahyudi</t>
  </si>
  <si>
    <t>Aldefi Dissa Salsabilla</t>
  </si>
  <si>
    <t>Wulan Kencono Ratri</t>
  </si>
  <si>
    <t>https://drive.google.com/open?id=14zvWB5Roxv0q_85N-nEiyWk_OkhDmpZrsew3o1AoIMY&amp;usp=drive_copy</t>
  </si>
  <si>
    <t>TAUFIKKURRAHMAN</t>
  </si>
  <si>
    <t>Fathia Rania Azzahra</t>
  </si>
  <si>
    <t>Nolla Billa Nasokha</t>
  </si>
  <si>
    <t>Amirudin</t>
  </si>
  <si>
    <t>Fauziyah Zahrotul Ummah</t>
  </si>
  <si>
    <t>Indah Pertiwi</t>
  </si>
  <si>
    <t>Khaeru Nabil Saputra</t>
  </si>
  <si>
    <t>Cita Rizkiyah</t>
  </si>
  <si>
    <t>Novi Firrizqi Hariyanti</t>
  </si>
  <si>
    <t>https://drive.google.com/open?id=1Igi7B-Q9byhFAZ9R8IO-jln7Gl5LHt4lfnQuSKwKl60&amp;usp=drive_copy</t>
  </si>
  <si>
    <t>Wahyu Nanda Eka Saputra, M.Pd.,Kons</t>
  </si>
  <si>
    <t>Desta Firnanda Wulandari</t>
  </si>
  <si>
    <t>Anggun Andini</t>
  </si>
  <si>
    <t>Diaz Very Guntur Rada</t>
  </si>
  <si>
    <t>Sindi Rella</t>
  </si>
  <si>
    <t>Muhammad Raihandaffa Dzikrianasa</t>
  </si>
  <si>
    <t>Septi Nurul Al-fina Husdi</t>
  </si>
  <si>
    <t>Adiyatma Dinan Pradana</t>
  </si>
  <si>
    <t>Rachmalia Hasna Savryaninda</t>
  </si>
  <si>
    <t>Helma Yuliana Putri</t>
  </si>
  <si>
    <t>https://drive.google.com/open?id=1Q1GNst04UgagLwEZ_7X22Iy2C-TWl4929eYPzA-gvbE&amp;usp=drive_copy</t>
  </si>
  <si>
    <t>Anindya Utami Salsabil</t>
  </si>
  <si>
    <t>Fitriana Lestari</t>
  </si>
  <si>
    <t>Fajar Gibrani</t>
  </si>
  <si>
    <t>D.a.rosi Arsida Wardani</t>
  </si>
  <si>
    <t>Akbar Taufik Ramadhan</t>
  </si>
  <si>
    <t>Herlina Ayu Indriani</t>
  </si>
  <si>
    <t>Catur Hermawan</t>
  </si>
  <si>
    <t>Salsabila Putri Adistiani</t>
  </si>
  <si>
    <t>Rizkita Arfiana</t>
  </si>
  <si>
    <t>https://drive.google.com/open?id=1_mOIsl6Kzf2oblCtDdNkPF7l8gP9vmBlkEQKsWrz1KM&amp;usp=drive_copy</t>
  </si>
  <si>
    <t>Rahma Choirunnisa</t>
  </si>
  <si>
    <t>Ardian Albert Laurenc Steven</t>
  </si>
  <si>
    <t>Desi Laura Safitri</t>
  </si>
  <si>
    <t>Faqih 'ainul Yaqin Nursaid</t>
  </si>
  <si>
    <t>Atina Rianingrum</t>
  </si>
  <si>
    <t>Rahmad Dzuliyanto</t>
  </si>
  <si>
    <t>Bella Listya Ningrum</t>
  </si>
  <si>
    <t>Muthia Khairani</t>
  </si>
  <si>
    <t>Tri Novafitasari</t>
  </si>
  <si>
    <t>https://drive.google.com/open?id=1TFECJJopodwekhtR2PKF9WgnAcBWKltb4U9QfBUHZFc&amp;usp=drive_copy</t>
  </si>
  <si>
    <t>Dyah Suryani, S.Si.,M.Kes.</t>
  </si>
  <si>
    <t>Nuraini Sekar Farika</t>
  </si>
  <si>
    <t>Sahry Al Nurfatyn</t>
  </si>
  <si>
    <t>Yudhi Aditya Mahendra</t>
  </si>
  <si>
    <t>Elsan Febrian</t>
  </si>
  <si>
    <t>Muhammad Faris Rizaldi</t>
  </si>
  <si>
    <t>Salsabila Nurmalita Aryanti</t>
  </si>
  <si>
    <t>Royfanza Reynaldi</t>
  </si>
  <si>
    <t>Diva Aulia</t>
  </si>
  <si>
    <t>088233240074?</t>
  </si>
  <si>
    <t>https://drive.google.com/open?id=17eY4nROJpGsjg1W4voKbNn6KA0Puob4BAm6FRBK5jPQ&amp;usp=drive_copy</t>
  </si>
  <si>
    <t>Destiya Anggoro Putri</t>
  </si>
  <si>
    <t>Aulia Zahrotun Nisa</t>
  </si>
  <si>
    <t>Dzulkifli Hafidzdin Zuhri</t>
  </si>
  <si>
    <t>Afina Cinta Putri Amanda</t>
  </si>
  <si>
    <t>Eko Purwanto</t>
  </si>
  <si>
    <t>Rizqy Rahmana Ginting</t>
  </si>
  <si>
    <t>Riviana</t>
  </si>
  <si>
    <t>Nawa Candra Ramadhani</t>
  </si>
  <si>
    <t>Wei Qingqing</t>
  </si>
  <si>
    <t>https://drive.google.com/open?id=1hik3PZ4HHAcC15rCCghx5uFz39EaD1w2tTz7NvL9Wv4&amp;usp=drive_copy</t>
  </si>
  <si>
    <t>Bleder, Sidoharjo, Samigaluh</t>
  </si>
  <si>
    <t>Khairunnisa Damayanti</t>
  </si>
  <si>
    <t>Binari Exacta Putri</t>
  </si>
  <si>
    <t>Bilal Abdul Muis Irfan</t>
  </si>
  <si>
    <t>Atik Nur Karimah</t>
  </si>
  <si>
    <t>Muhammad Hanifudin Na'im</t>
  </si>
  <si>
    <t>David Dermawan</t>
  </si>
  <si>
    <t>Safira Desi Normalitasari</t>
  </si>
  <si>
    <t>Wilda Yulianti</t>
  </si>
  <si>
    <t>https://drive.google.com/open?id=1rUbnpZRlk35FQfy_BzYps7EJWLC6LQvmPDViGnVO1A8&amp;usp=drive_copy</t>
  </si>
  <si>
    <t>Ir. Son Ali Akbar, S.T., M.Eng.</t>
  </si>
  <si>
    <t>Tukmudal, Sidoharjo, Samigaluh</t>
  </si>
  <si>
    <t>Yuni Shara</t>
  </si>
  <si>
    <t>Zidan El Saif</t>
  </si>
  <si>
    <t>Nurfan Rahmat Berlian</t>
  </si>
  <si>
    <t>Clarissa Savira Madayanto</t>
  </si>
  <si>
    <t>Meliana Anisa Putri</t>
  </si>
  <si>
    <t>Iqbal Rabbani</t>
  </si>
  <si>
    <t>Isninda Nur Hanifa Arisetia</t>
  </si>
  <si>
    <t>Yunita Nur Aini</t>
  </si>
  <si>
    <t>081349041488 / 082150159470</t>
  </si>
  <si>
    <t>https://drive.google.com/open?id=1Z2Ie-rgR-WHtE0QkZNjOOd5ecTpkBy3G6MqfhcutgL0&amp;usp=drive_copy</t>
  </si>
  <si>
    <t>Neli Riska Noviyani</t>
  </si>
  <si>
    <t>Ikah Putri Purwani</t>
  </si>
  <si>
    <t>Muhammad Muhri Rukmaunis</t>
  </si>
  <si>
    <t>Muhamad Febriansyah</t>
  </si>
  <si>
    <t>Intan Dwi Suciningrum</t>
  </si>
  <si>
    <t>Ahmad Aditya Sidik Zulkarnain</t>
  </si>
  <si>
    <t>Mutiara Rahmaning Tyas</t>
  </si>
  <si>
    <t>Dean Febrianty</t>
  </si>
  <si>
    <t>Lan Liling</t>
  </si>
  <si>
    <t>https://drive.google.com/open?id=1YI2hk4HHlfbWi0j-gFAJvHCuMpfNy6vns0c3r3_HwNg&amp;usp=drive_copy</t>
  </si>
  <si>
    <t>Sulur, Sidoharjo, Samigaluh</t>
  </si>
  <si>
    <t>Alya Hilmi Hajari</t>
  </si>
  <si>
    <t>Ericka Isya Cantona</t>
  </si>
  <si>
    <t>Yusuf Dhany Pratama</t>
  </si>
  <si>
    <t>Zulfa Nur Annida</t>
  </si>
  <si>
    <t>Nail Dhiyaul Haq</t>
  </si>
  <si>
    <t>Genta Husega</t>
  </si>
  <si>
    <t>Sabella Sutriani</t>
  </si>
  <si>
    <t>Maylia Prima Sari</t>
  </si>
  <si>
    <t>Liu Qiaoyu</t>
  </si>
  <si>
    <t>https://docs.google.com/spreadsheets/d/1x3trs2wSiz5ktdTSnKOmaf0SXagaoGxqKwbd6xwRG0c/edit?usp=drive_link</t>
  </si>
  <si>
    <t>Fatma Nuraisyah, S.K.M.,M.P.H.</t>
  </si>
  <si>
    <t>Nungkep, Sidoharjo, Samigaluh</t>
  </si>
  <si>
    <t>Wahyu Nur Ilyasa</t>
  </si>
  <si>
    <t>Ibnu Fajar</t>
  </si>
  <si>
    <t>Alfi Maulana Akbar</t>
  </si>
  <si>
    <t>Riska Rahmawati</t>
  </si>
  <si>
    <t>Ana Asri Muliannisa</t>
  </si>
  <si>
    <t>Muhammad Kheyrul Sayni</t>
  </si>
  <si>
    <t>Nabila Shinta Paramesti</t>
  </si>
  <si>
    <t>Nur Alfi Syahriyah</t>
  </si>
  <si>
    <t>Melisa Kusuma Wardani</t>
  </si>
  <si>
    <t>https://drive.google.com/open?id=1VhOX0eYYn9UW6tI66ExqgnezmRHghm1suLHL-YT9a34&amp;usp=drive_copy</t>
  </si>
  <si>
    <t>Gorolangu, Sidoharjo, Samigaluh</t>
  </si>
  <si>
    <t>Hanifah Mutiara Puspa</t>
  </si>
  <si>
    <t>Ulfah Wulandari</t>
  </si>
  <si>
    <t>Muhammad Alfan Alfarizi</t>
  </si>
  <si>
    <t>Dinda Aulia Rizki</t>
  </si>
  <si>
    <t>Arjuna Reicardi</t>
  </si>
  <si>
    <t>Muslikah</t>
  </si>
  <si>
    <t>Mohammad Zain Badri</t>
  </si>
  <si>
    <t>Agnessia Ichwani</t>
  </si>
  <si>
    <t>Fauziah Anggraini</t>
  </si>
  <si>
    <t>https://drive.google.com/open?id=1GHl_BhP-EU9pjuHRxjFgow14W8msGSYW2g81zoBcegc&amp;usp=drive_copy</t>
  </si>
  <si>
    <t>Rosyidah Dyah Purnama Wati</t>
  </si>
  <si>
    <t>Ayu Maulidhia Choirunnisa</t>
  </si>
  <si>
    <t>Kandi Andika Pratama Jaya</t>
  </si>
  <si>
    <t>Imroatul Aulia</t>
  </si>
  <si>
    <t>Alhilal Wahyu Nurgini</t>
  </si>
  <si>
    <t>Esa Pranama Agung</t>
  </si>
  <si>
    <t>Dhiva Pandu Galuh Prasetya</t>
  </si>
  <si>
    <t>Felia Leonita</t>
  </si>
  <si>
    <t>Huang Yaoming</t>
  </si>
  <si>
    <t>https://drive.google.com/open?id=19NWPP5RBg_Y2vIZ7pIZnkUtOcfOb-OMaViWz0CT52PA&amp;usp=drive_copy</t>
  </si>
  <si>
    <t>Harnum Sekartanjung</t>
  </si>
  <si>
    <t>Mukhammad Dzulfikar Bilad</t>
  </si>
  <si>
    <t>Citra Dewi</t>
  </si>
  <si>
    <t>Mochamad Rafly Dwilian Indarji</t>
  </si>
  <si>
    <t>Sabar Stilla</t>
  </si>
  <si>
    <t>Hasna Arum Karimina</t>
  </si>
  <si>
    <t>Suluh Prasetyo Nugroho</t>
  </si>
  <si>
    <t>Diah Ayu Mutia</t>
  </si>
  <si>
    <t>https://drive.google.com/open?id=1hxBdbZw1SOqEdW8XqmgwKoLwu6HRBvC9xF4jkjV4rDY&amp;usp=drive_copy</t>
  </si>
  <si>
    <t>Nglambur, Sidoharjo, Samigaluh</t>
  </si>
  <si>
    <t>Kurnia Tri Pangesti</t>
  </si>
  <si>
    <t>Rendy Apria Nugraha</t>
  </si>
  <si>
    <t>Divanka Azarine Rahmadella</t>
  </si>
  <si>
    <t>Silfa</t>
  </si>
  <si>
    <t>Muhammad Rizky Pratama Putra</t>
  </si>
  <si>
    <t>Herdian Putra Lokananta</t>
  </si>
  <si>
    <t>Arthamesya Cheryl Putri Mulyadi</t>
  </si>
  <si>
    <t>Nurul Maela</t>
  </si>
  <si>
    <t>Huang Lin</t>
  </si>
  <si>
    <t>https://drive.google.com/open?id=1UMn0T1328tuDd33dVst5TEXOEmomwule8U0dioZVhRM&amp;usp=drive_copy</t>
  </si>
  <si>
    <t>Deliaf Primastuti</t>
  </si>
  <si>
    <t>Ferry Ardiansyah</t>
  </si>
  <si>
    <t>Lindu Arum Sari</t>
  </si>
  <si>
    <t>Avriani</t>
  </si>
  <si>
    <t>Hanif Abdurrasyid</t>
  </si>
  <si>
    <t>Farhat Fachrusalam</t>
  </si>
  <si>
    <t>Sekarjati Waluyo Putri</t>
  </si>
  <si>
    <t>Auliya Zulfa Imtiyaz</t>
  </si>
  <si>
    <t>Zou Xiaoqing</t>
  </si>
  <si>
    <t>https://drive.google.com/open?id=1kPFo6TDQXKDGPrteAimylU3WQsHgpnNz-WLO3fkIkUQ&amp;usp=drive_copy</t>
  </si>
  <si>
    <t>apt. Ana Hidayati, S.Far., M.Sc.</t>
  </si>
  <si>
    <t>Ghefira Zahira Shofa</t>
  </si>
  <si>
    <t>Reza Rahma Putri</t>
  </si>
  <si>
    <t>Sahda Salsabil</t>
  </si>
  <si>
    <t>Dafa Archam Maulana</t>
  </si>
  <si>
    <t>Feby Alhadi Afisha</t>
  </si>
  <si>
    <t>Muhammad Rizqy Ardh-sam</t>
  </si>
  <si>
    <t>Faika Faradilla</t>
  </si>
  <si>
    <t>Li Qingmei</t>
  </si>
  <si>
    <t>https://drive.google.com/open?id=1nTguIhz7s84xpHZvYXCDLKGXhAkn-m851iGpSU8Gkv0&amp;usp=drive_copy</t>
  </si>
  <si>
    <t>Mayda Kusumaningtyas</t>
  </si>
  <si>
    <t>Meliza Yolanda Putewa</t>
  </si>
  <si>
    <t>Abdan Auliahabbi Julfia</t>
  </si>
  <si>
    <t>Salsabila Annida Dina</t>
  </si>
  <si>
    <t>Mhd Antasena Atthoriq</t>
  </si>
  <si>
    <t>Anom Wibisono</t>
  </si>
  <si>
    <t>Wahyuniati Ibrahim</t>
  </si>
  <si>
    <t>Huang Xiaofeng</t>
  </si>
  <si>
    <t>https://drive.google.com/open?id=1YL-thVA9WsyYVWzPE53-uqCkY2pDDN0Urv2pbbKqh94&amp;usp=drive_copy</t>
  </si>
  <si>
    <t>Kedokan, Sidoharjo, Samigaluh</t>
  </si>
  <si>
    <t>Linda Fitrani</t>
  </si>
  <si>
    <t>Tria Yuliani</t>
  </si>
  <si>
    <t>Bondan Aji Anggoro</t>
  </si>
  <si>
    <t>Laili Iftitah</t>
  </si>
  <si>
    <t>Aditya Febriansah</t>
  </si>
  <si>
    <t>Ilham Fathin Zaki</t>
  </si>
  <si>
    <t>Alfiah Thursy Andiansyah</t>
  </si>
  <si>
    <t>Annisa Kurnia Cahyaningrum</t>
  </si>
  <si>
    <t>Mo Huoping</t>
  </si>
  <si>
    <t>082154445946 / 081549108146</t>
  </si>
  <si>
    <t>https://drive.google.com/open?id=1zBnO5IHOpYERp-YB7AyJDf4Q8yGUWuwiwTANjk_ACBc&amp;usp=drive_copy</t>
  </si>
  <si>
    <t>Hermanto, S.Pd.,M.Hum.</t>
  </si>
  <si>
    <t>Junut, Purwoharjo, Samigaluh</t>
  </si>
  <si>
    <t>Nadia Retno Wulansari</t>
  </si>
  <si>
    <t>Mutia Sindiani</t>
  </si>
  <si>
    <t>Muhammad Rizal Rifa'i</t>
  </si>
  <si>
    <t>Gladish Rizka Puspita</t>
  </si>
  <si>
    <t>Muhammad Lutfi Aji Pamungkas</t>
  </si>
  <si>
    <t>Sapri Hatun Hasanah</t>
  </si>
  <si>
    <t>Syakirah Purnamasari Ridha</t>
  </si>
  <si>
    <t>Muhammad Salman Farohi</t>
  </si>
  <si>
    <t>Herlin Septiana Kusniadi</t>
  </si>
  <si>
    <t>https://drive.google.com/open?id=1NPZRYGR4l9E_qQ95k7xwCdIB74YsO5sMjAxdN6bZPkY&amp;usp=drive_copy</t>
  </si>
  <si>
    <t>Kurnia Dwi Rahmawati</t>
  </si>
  <si>
    <t>Ririn Ekawati</t>
  </si>
  <si>
    <t>Thorik Fahad Kemal Nur Rahman</t>
  </si>
  <si>
    <t>Nurul Ainun Zakiah</t>
  </si>
  <si>
    <t>Wildan Ahdiana Rizky</t>
  </si>
  <si>
    <t>Fiona Hasanah</t>
  </si>
  <si>
    <t>Danang Raihan Akhwan</t>
  </si>
  <si>
    <t>Firda Puspita Sari</t>
  </si>
  <si>
    <t>Luo Xiaoqi</t>
  </si>
  <si>
    <t>https://drive.google.com/open?id=19ZDN6-sAUd9J7XkAkFvRVoMzw1UnPWUn7WxMS0UCz04&amp;usp=drive_copy</t>
  </si>
  <si>
    <t>Dukuh, Purwoharjo, Samigaluh</t>
  </si>
  <si>
    <t>Anggrita Putri Rahmawati</t>
  </si>
  <si>
    <t>Lya Nugraheni</t>
  </si>
  <si>
    <t>Akmal Rizky Mustofa</t>
  </si>
  <si>
    <t>Shenalita Dwifi</t>
  </si>
  <si>
    <t>Candhyamukti</t>
  </si>
  <si>
    <t>Sheroneva Febianisadanu</t>
  </si>
  <si>
    <t>Hanan Alpitra Salam</t>
  </si>
  <si>
    <t>Shella Anidhia Putri</t>
  </si>
  <si>
    <t>Hadaina Nur Endrairanti</t>
  </si>
  <si>
    <t>https://drive.google.com/open?id=1yjeF5-pkOGsYR_qPlRwkoxHwvdMtCJeEuOdytxXHgfs&amp;usp=drive_copy</t>
  </si>
  <si>
    <t>Dr. Ika Maryani, M.Pd.</t>
  </si>
  <si>
    <t>Kalinangka, Purwoharjo, Samigaluh</t>
  </si>
  <si>
    <t>Stephanie Rika Juwita</t>
  </si>
  <si>
    <t>Hanan Afifah Akhmad</t>
  </si>
  <si>
    <t>Deviana Vida Widiyastuti</t>
  </si>
  <si>
    <t>Hazairil Mahendra</t>
  </si>
  <si>
    <t>Farah Zahirotun Nisa</t>
  </si>
  <si>
    <t>Ali Zainal Abidin</t>
  </si>
  <si>
    <t>Gilang Agustian</t>
  </si>
  <si>
    <t>Salsabil Hutadatu</t>
  </si>
  <si>
    <t>Yang Ling</t>
  </si>
  <si>
    <t>https://drive.google.com/open?id=1QmUi7ARVrPxxYYnSt19fF4Ks8563tp3d8KxOA8uZSgY&amp;usp=drive_copy</t>
  </si>
  <si>
    <t>IQBAL PEBRIANSYAH HIDAYAT</t>
  </si>
  <si>
    <t>Farisya Hanatasya</t>
  </si>
  <si>
    <t>Dyah Martawidya</t>
  </si>
  <si>
    <t>Nafia Zan Sukmajati</t>
  </si>
  <si>
    <t>Itsnaini Irvina Khoirunnisa</t>
  </si>
  <si>
    <t>Ika Ritnawati</t>
  </si>
  <si>
    <t>Nalendra Putra Firdaus</t>
  </si>
  <si>
    <t>Ely Qodriawati</t>
  </si>
  <si>
    <t>https://drive.google.com/open?id=1IpmCgn885JULqdjoGvMFlAzAu-iojSZDeuFfFMfNlgA&amp;usp=drive_copy</t>
  </si>
  <si>
    <t>Besole, Purwoharjo, Samigaluh</t>
  </si>
  <si>
    <t>Rifa Nindya Ardhiani</t>
  </si>
  <si>
    <t>Nur Ashriatun Cahyaningtyas</t>
  </si>
  <si>
    <t>Andri Prasetyo</t>
  </si>
  <si>
    <t>Ranti Suistira Pertiwi</t>
  </si>
  <si>
    <t>Andika Heri Hartanto</t>
  </si>
  <si>
    <t>Aurelia Beliana Fathonah</t>
  </si>
  <si>
    <t>Deandra Fazauli Alsa</t>
  </si>
  <si>
    <t>Ukfa Nurussefiana</t>
  </si>
  <si>
    <t>Hanina Tito Estiningtyas</t>
  </si>
  <si>
    <t>https://drive.google.com/open?id=18wpXdoseD-Gd9NYjhyF4oSdsGUtMnRmt2naZm3cfpFQ&amp;usp=drive_copy</t>
  </si>
  <si>
    <t>Herman Yuliansyah, S.T., M.Eng. Ph.D.</t>
  </si>
  <si>
    <t>Duwet, Purwoharjo, Samigaluh</t>
  </si>
  <si>
    <t>Astika Lestaluhu</t>
  </si>
  <si>
    <t>Herlina Effendi</t>
  </si>
  <si>
    <t>Panggung Titi Wahyuni</t>
  </si>
  <si>
    <t>Nugroho Tri Hastomo</t>
  </si>
  <si>
    <t>Hikmatuz Zahra</t>
  </si>
  <si>
    <t>Dery Bagus Setiawan</t>
  </si>
  <si>
    <t>Dian Yuliana</t>
  </si>
  <si>
    <t>Zainurrifqy Alfian Ahmadi</t>
  </si>
  <si>
    <t>Galuh Regitaputri Rarasyaita</t>
  </si>
  <si>
    <t>https://drive.google.com/open?id=1TNTNRv981Yl3_UDj9snbr7qhrCIY4W-oZudH8Ubdoww&amp;usp=drive_copy</t>
  </si>
  <si>
    <t>Lini Siwi Larasati</t>
  </si>
  <si>
    <t>Emylda Putriku Sayang</t>
  </si>
  <si>
    <t>Noval Norsandy Putra</t>
  </si>
  <si>
    <t>Zahra Putri Zanuarti</t>
  </si>
  <si>
    <t>Fachrurrozi Ahmad</t>
  </si>
  <si>
    <t>Alisa Amalia Munif</t>
  </si>
  <si>
    <t>Hafizh Usan Rezda</t>
  </si>
  <si>
    <t>Shenna Miryam Asmiyanti Werfete</t>
  </si>
  <si>
    <t>Yolanda Martha Putri</t>
  </si>
  <si>
    <t>https://drive.google.com/open?id=1Bq43Mn1CskIWPWHSVZzU_8PM_ZaluHA5dYV635n1lwA&amp;usp=drive_copy</t>
  </si>
  <si>
    <t>Kedungrong, Purwoharjo, Samigaluh</t>
  </si>
  <si>
    <t>Trias Widiyanti</t>
  </si>
  <si>
    <t>Shiva Septiana</t>
  </si>
  <si>
    <t>Ghoin Ashar Syakara</t>
  </si>
  <si>
    <t>Mayasari</t>
  </si>
  <si>
    <t>Imam Rufi'i</t>
  </si>
  <si>
    <t>Nur Indiani Kaliky</t>
  </si>
  <si>
    <t>Muhammad Razin Athaya</t>
  </si>
  <si>
    <t>Fitri Baniaturrohmah</t>
  </si>
  <si>
    <t>Rahmah Yudi Karmila</t>
  </si>
  <si>
    <t>https://drive.google.com/open?id=1Yk1yQn_PGRwSe8BNNnKwSy6nlEdzEKhsFw9sdXWz_sk&amp;usp=drive_copy</t>
  </si>
  <si>
    <t>Pagutan, Purwoharjo, Samigaluh</t>
  </si>
  <si>
    <t>Ayu Yunia Cahyani</t>
  </si>
  <si>
    <t>Ananda Alfiannur Rizqi</t>
  </si>
  <si>
    <t>Imelda Kirana Sukmawati</t>
  </si>
  <si>
    <t>Amru Alfadli Ahmad</t>
  </si>
  <si>
    <t>Dewi Nurcahyani</t>
  </si>
  <si>
    <t>M.rafly Wahie Sopian</t>
  </si>
  <si>
    <t>Astrid Nur Rahayu</t>
  </si>
  <si>
    <t>Arina Musnaini</t>
  </si>
  <si>
    <t>Andhini Indah Cahyaning Adilla</t>
  </si>
  <si>
    <t>https://drive.google.com/open?id=1Mj88VmwjiSmHE8H5vF_BmqlUKbkSXPhyIef-g04zpMk&amp;usp=drive_copy</t>
  </si>
  <si>
    <t>Taman, Purwoharjo, Samigaluh</t>
  </si>
  <si>
    <t>ANJUNG BUDI SANTOSO</t>
  </si>
  <si>
    <t>Malinda Ayu Lestari</t>
  </si>
  <si>
    <t>Annisa Nahdiya</t>
  </si>
  <si>
    <t>Leo Fernando</t>
  </si>
  <si>
    <t>Ade Elyana</t>
  </si>
  <si>
    <t>Bagas Bayu Bismantaka</t>
  </si>
  <si>
    <t>Afifah Retno Muninggar</t>
  </si>
  <si>
    <t>Arifani Maulida Rahman</t>
  </si>
  <si>
    <t>https://drive.google.com/open?id=1ygoaH-E2xwIA3OpOd3RsnvMKCUNrtXMS7FrvC5diEF8&amp;usp=drive_copy</t>
  </si>
  <si>
    <t>Plarangan, Purwoharjo, Samigaluh</t>
  </si>
  <si>
    <t>DIMAS AQIL HUSEIN IZULHAQ</t>
  </si>
  <si>
    <t>Gita Sastro</t>
  </si>
  <si>
    <t>Noor Isnaeni Sukayat</t>
  </si>
  <si>
    <t>Eko Hadi Saputra</t>
  </si>
  <si>
    <t>Salma Adynda Saputri</t>
  </si>
  <si>
    <t>Mohammad Alamsyah</t>
  </si>
  <si>
    <t>Amalina Nurulaini Muthmainnah</t>
  </si>
  <si>
    <t>Ramadhani Tri Astuti</t>
  </si>
  <si>
    <t>Retno Risang Hapsari</t>
  </si>
  <si>
    <t>https://drive.google.com/open?id=1f6kulBS3UlSu7KAfRoL4VX778WExd9vtP47kwZUsYqE&amp;usp=drive_copy</t>
  </si>
  <si>
    <t>Dr. Fatwa Tentama, S.Psi., M.Si.</t>
  </si>
  <si>
    <t>Sendangrejo, Purwoharjo, Samigaluh</t>
  </si>
  <si>
    <t>Ima Warni</t>
  </si>
  <si>
    <t>Siti Rodiyah</t>
  </si>
  <si>
    <t>Jourdy Riodhia Falah</t>
  </si>
  <si>
    <t>Johanita Sari Dewi</t>
  </si>
  <si>
    <t>Alvin Sahri Alghifari</t>
  </si>
  <si>
    <t>Owyana Nur Hanifah</t>
  </si>
  <si>
    <t>Ahmad Jaiz Assalam</t>
  </si>
  <si>
    <t>Fadila Fitrista Sari</t>
  </si>
  <si>
    <t>Yuni Wahyuningsih Setiawan</t>
  </si>
  <si>
    <t>https://drive.google.com/open?id=1y9Lgqg477ZAdlL1jQZOz5i-QPCgso97UZOvDZhm0aMg&amp;usp=drive_copy</t>
  </si>
  <si>
    <t>Sendangmulyo, Purwoharjo, Samigaluh</t>
  </si>
  <si>
    <t>Aisya Risky Amalya</t>
  </si>
  <si>
    <t>Margita Cindy Wulandari</t>
  </si>
  <si>
    <t>Raden Thoriz Ebqoriy</t>
  </si>
  <si>
    <t>Inas Luthfianti Shaliha</t>
  </si>
  <si>
    <t>Idlal Khalish Sulthan</t>
  </si>
  <si>
    <t>Risca Maldi</t>
  </si>
  <si>
    <t>Anom Hidayat</t>
  </si>
  <si>
    <t>Fira Nuril Fauziah</t>
  </si>
  <si>
    <t>Siti Mutmainah</t>
  </si>
  <si>
    <t>https://drive.google.com/open?id=1ue2qeGje5VLC86p7V1m4P8ZaDfL6LC9A4hmmjrn0iSs&amp;usp=drive_copy</t>
  </si>
  <si>
    <t>Sendat, Gerbosari, Samigaluh</t>
  </si>
  <si>
    <t>Sayyidatul Fitriyah</t>
  </si>
  <si>
    <t>Sinta Nur Rohimah</t>
  </si>
  <si>
    <t>Muhammad Ihsan Syawal Rimosan</t>
  </si>
  <si>
    <t>Ely Susanti</t>
  </si>
  <si>
    <t>Muhammad Ihsan</t>
  </si>
  <si>
    <t>Firdha Chairin Zahra</t>
  </si>
  <si>
    <t>Yuan Jauhari Ikhsan</t>
  </si>
  <si>
    <t>Lathifah Irsyadiyah Husna</t>
  </si>
  <si>
    <t>Faika Faradinna</t>
  </si>
  <si>
    <t>https://drive.google.com/open?id=1KkMWFV9F_Olf03N8cs2fRlYh5SN1vdZN38G08P3Ys-k&amp;usp=drive_copy</t>
  </si>
  <si>
    <t>Fitriana Putri Utami, S.KM.,M.Kes</t>
  </si>
  <si>
    <t>Alfina Cahya Meytasari</t>
  </si>
  <si>
    <t>Dela Devinta Sari</t>
  </si>
  <si>
    <t>Rizki Azizul Haq</t>
  </si>
  <si>
    <t>Aulia Irfani</t>
  </si>
  <si>
    <t>Hasyim Athallah Yusran</t>
  </si>
  <si>
    <t>Safa Ardelia Nanda Saputri</t>
  </si>
  <si>
    <t>Anggi Pamungkas Romadhon</t>
  </si>
  <si>
    <t>Majida Nenu</t>
  </si>
  <si>
    <t>Hesti Khofifah</t>
  </si>
  <si>
    <t>https://drive.google.com/open?id=1YjVEQRCUIDfnygdO2tr6ZdE4nmIfuj5nl-rRwH7bOc0&amp;usp=drive_copy</t>
  </si>
  <si>
    <t>Kayugede, Gerbosari, Samigaluh</t>
  </si>
  <si>
    <t>Wahyu Nur Santi</t>
  </si>
  <si>
    <t>Azzahra Yatasa Alun</t>
  </si>
  <si>
    <t>Faizal Akbar Hidayat</t>
  </si>
  <si>
    <t>Hafizhah Dyanty Putri</t>
  </si>
  <si>
    <t>Ibnul Mubaraq</t>
  </si>
  <si>
    <t>Syakhisk Naufal Banin</t>
  </si>
  <si>
    <t>Asri Putri Satya Insani</t>
  </si>
  <si>
    <t>Ramadhana Haya Jihan Azizah</t>
  </si>
  <si>
    <t>0822-3655-3458</t>
  </si>
  <si>
    <t>https://drive.google.com/open?id=1Tvqk1bJKXdGbrS7ddGjVCJivUpazhwPnWsMb8MPpGWI&amp;usp=drive_copy</t>
  </si>
  <si>
    <t>Pengos A, Gerbosari, Samigaluh</t>
  </si>
  <si>
    <t>Amalina Salsabil</t>
  </si>
  <si>
    <t>Dinda Pratiwi</t>
  </si>
  <si>
    <t>King Abdul Aziz</t>
  </si>
  <si>
    <t>Balma Bahira Adzkia</t>
  </si>
  <si>
    <t>Fergiandi Hilmanda</t>
  </si>
  <si>
    <t>Galuh Candra Febrianingrum</t>
  </si>
  <si>
    <t>Arif Fauzan Amrullah</t>
  </si>
  <si>
    <t>Tri Cahyani Oktafiona</t>
  </si>
  <si>
    <t>Jazilah Zatayumni Najah</t>
  </si>
  <si>
    <t>https://drive.google.com/open?id=1HtUSkXQu9RYEKgAWQqmPbFTbzZkrb9t3uAmfHXapDII&amp;usp=drive_copy</t>
  </si>
  <si>
    <t>Subhan Zul Ardi, SKM.,M.Sc</t>
  </si>
  <si>
    <t>Sarimulyo, Gerbosari, Samigaluh</t>
  </si>
  <si>
    <t>Channigiavani Kaba Ibraini</t>
  </si>
  <si>
    <t>Anisa Muthmainah</t>
  </si>
  <si>
    <t>Ahmad Zaky Ausmar</t>
  </si>
  <si>
    <t>Nur Fatayah</t>
  </si>
  <si>
    <t>Fadli Surya Gumilar</t>
  </si>
  <si>
    <t>Septiana Dewi Rahmawati</t>
  </si>
  <si>
    <t>Affan Sandhy Adinata</t>
  </si>
  <si>
    <t>Risma Ayunissa</t>
  </si>
  <si>
    <t>Nurfaizah Jawardi</t>
  </si>
  <si>
    <t>https://drive.google.com/open?id=1ekEFpD9xXi9Za6ydKgp1dK3cOzwLqtoRxwEOjmN053E&amp;usp=drive_copy</t>
  </si>
  <si>
    <t>Pengos B, Gerbosari, Samigaluh</t>
  </si>
  <si>
    <t>Alifah Puspita Gayatri</t>
  </si>
  <si>
    <t>Nancy Khusnul Khotimah</t>
  </si>
  <si>
    <t>Arya Dika Ferdiansyah</t>
  </si>
  <si>
    <t>Sherlyane Anzarani Nur</t>
  </si>
  <si>
    <t>Rafli Aldigunawan</t>
  </si>
  <si>
    <t>Bahirotuzzakiah</t>
  </si>
  <si>
    <t>Ande Vawana</t>
  </si>
  <si>
    <t>Dyah Ayu Putri Utami</t>
  </si>
  <si>
    <t>Regita Anughi</t>
  </si>
  <si>
    <t>https://drive.google.com/open?id=1_WtIIkGQDdKqwcFGDGeWAtD4cjTivdYvwKFjZk1obHA&amp;usp=drive_copy</t>
  </si>
  <si>
    <t>Muhammad Rakhmat</t>
  </si>
  <si>
    <t>Nurafni</t>
  </si>
  <si>
    <t>Rosila</t>
  </si>
  <si>
    <t>Bachtiar Fauzi Hidayat</t>
  </si>
  <si>
    <t>Auliani Faiziah Haspari</t>
  </si>
  <si>
    <t>Muhammad Hafizh Abimanyu</t>
  </si>
  <si>
    <t>Riyanih</t>
  </si>
  <si>
    <t>Budi Lestari</t>
  </si>
  <si>
    <t>https://drive.google.com/open?id=1YiQnxI8HHD64PfzhO12VtbZTG1UoHBp5aEZ0BAgKhJM&amp;usp=drive_copy</t>
  </si>
  <si>
    <t>Nurulfadillah</t>
  </si>
  <si>
    <t>Fadhlur Rahman Al-ghoni</t>
  </si>
  <si>
    <t>Nurul Rahmawati</t>
  </si>
  <si>
    <t>Noeresa Galih Arisiwi Martaji Buana</t>
  </si>
  <si>
    <t>Rachma Chanesya Rizkina</t>
  </si>
  <si>
    <t>Meutia Nurul Izzah</t>
  </si>
  <si>
    <t>Lalu Renaldi Jibran Ramadan</t>
  </si>
  <si>
    <t>Zahra Syifarani</t>
  </si>
  <si>
    <t>Sitta Rachmah Aurelia</t>
  </si>
  <si>
    <t>https://drive.google.com/open?id=1SI4kIxZ-i0kHyYymJRPoUEJU2gRRKLyYzR_p8CbP-Rs&amp;usp=drive_copy</t>
  </si>
  <si>
    <t>Yuni Arima</t>
  </si>
  <si>
    <t>Muhammad Nadhif Waliyudin</t>
  </si>
  <si>
    <t>Zakiya Nurul Baity</t>
  </si>
  <si>
    <t>Zaidan Zulfy</t>
  </si>
  <si>
    <t>Nurul Jannah</t>
  </si>
  <si>
    <t>Purnama Indra Putra</t>
  </si>
  <si>
    <t>Fatihah Al Mutamaddinah</t>
  </si>
  <si>
    <t>Hasna Tahta Salsabila</t>
  </si>
  <si>
    <t>Heni Mina Nuryana</t>
  </si>
  <si>
    <t>https://drive.google.com/open?id=1anp0yAtCtObdnSGDXQSTByktqscnJWT4UdCOFYZgV7A&amp;usp=drive_copy</t>
  </si>
  <si>
    <t>Muhammad Hafiz Fauzan</t>
  </si>
  <si>
    <t>Halmilia Nitauli Riskaputri</t>
  </si>
  <si>
    <t>Wilia Safitri</t>
  </si>
  <si>
    <t>Sartika Gafur</t>
  </si>
  <si>
    <t>Asrul Fadhilah Afan</t>
  </si>
  <si>
    <t>Elfonda Dephinta Novia Putri</t>
  </si>
  <si>
    <t>Ahmad Taufiq</t>
  </si>
  <si>
    <t>Amelia Septiana</t>
  </si>
  <si>
    <t>Okvania Putri Nabila</t>
  </si>
  <si>
    <t>https://drive.google.com/open?id=13AMGlOKBAW-VZ8ToDUrrK6d4Xh26E-pLgYHTKTcAt_I&amp;usp=drive_copy</t>
  </si>
  <si>
    <t>Meita Fitrianawati, M.Pd</t>
  </si>
  <si>
    <t>Salma Nur Fatikah</t>
  </si>
  <si>
    <t>Frisca Bella</t>
  </si>
  <si>
    <t>Jihan Julianingsih</t>
  </si>
  <si>
    <t>Refki Nova Saputra</t>
  </si>
  <si>
    <t>Elsty Awalia Septiani</t>
  </si>
  <si>
    <t>M.alfin Alfitho</t>
  </si>
  <si>
    <t>Muhammad Avindra Yuliatama</t>
  </si>
  <si>
    <t>Khusnul Khasanah</t>
  </si>
  <si>
    <t>Chaerattun Nissa Achmad</t>
  </si>
  <si>
    <t>https://drive.google.com/open?id=17o-xDNHvJSK69tAcTwwjesRw5ogiJZi2LKam4LE6SLw&amp;usp=drive_copy</t>
  </si>
  <si>
    <t>Pelem, Kebonharjo, Samigaluh</t>
  </si>
  <si>
    <t>BUNGA LESTARI</t>
  </si>
  <si>
    <t>Sugesty Linda Kuswana</t>
  </si>
  <si>
    <t>Nazahah Husnun Khotimah</t>
  </si>
  <si>
    <t>Hafiz Dien Pratama</t>
  </si>
  <si>
    <t>Elinda</t>
  </si>
  <si>
    <t>Fajar Feriyanto</t>
  </si>
  <si>
    <t>Mukhlishin Abdullah</t>
  </si>
  <si>
    <t>Syarifah Aidatul Yumna</t>
  </si>
  <si>
    <t>https://drive.google.com/open?id=1Vp9XSd4bFFHPTkZ3pBXqVAaqQ3D5HakYfXbBEzzxmXk&amp;usp=drive_copy</t>
  </si>
  <si>
    <t>Dangsambuh, Kebonharjo, Samigaluh</t>
  </si>
  <si>
    <t>Ervania Putri Choirul Annisa</t>
  </si>
  <si>
    <t>Gracellia Viranti</t>
  </si>
  <si>
    <t>Agie Irgiansyah</t>
  </si>
  <si>
    <t>Sintya Putri Maretia</t>
  </si>
  <si>
    <t>Mauliend Dear Mahardika</t>
  </si>
  <si>
    <t>Arifiana</t>
  </si>
  <si>
    <t>Auliya Muliya Ramadhan</t>
  </si>
  <si>
    <t>Yani Lutfia Rizki</t>
  </si>
  <si>
    <t>Shelina Dwi Lestari</t>
  </si>
  <si>
    <t>https://drive.google.com/open?id=1_39KRmdaiGIG7rtsK7ZAqFSYeD0enwDKt_RE51wckss&amp;usp=drive_copy</t>
  </si>
  <si>
    <t>Mhd Dwi Safta Gara</t>
  </si>
  <si>
    <t>Windy Briptuandita Pratidina Naafi' Putri</t>
  </si>
  <si>
    <t>Riza Meilana</t>
  </si>
  <si>
    <t>Romadhoni Fajar Nurrohim</t>
  </si>
  <si>
    <t>Gading Sekar Kinanthi</t>
  </si>
  <si>
    <t>Reza Firmansyah</t>
  </si>
  <si>
    <t>Devika Cindy Fernanda</t>
  </si>
  <si>
    <t>Putri Fahma Fiddini</t>
  </si>
  <si>
    <t>Fadillah Tri Yuliani</t>
  </si>
  <si>
    <t>https://drive.google.com/open?id=1Yp7MGDRhRootSQcpTiZSPHdr0pJe93NgN45rRBfdZSk&amp;usp=drive_copy</t>
  </si>
  <si>
    <t>Moh. Zulfikar</t>
  </si>
  <si>
    <t>Jelita</t>
  </si>
  <si>
    <t>Herlin Anugrah Maherawati</t>
  </si>
  <si>
    <t>Siti Sabila Anandita</t>
  </si>
  <si>
    <t>Tedy Setiawan</t>
  </si>
  <si>
    <t>Athifa Fatimatu Zahro</t>
  </si>
  <si>
    <t>Dwi Tri Rezeki</t>
  </si>
  <si>
    <t>Rahma Sari</t>
  </si>
  <si>
    <t>Ardelia Luthfiyah Wulansari</t>
  </si>
  <si>
    <t>https://drive.google.com/open?id=1ZdKx-gRc7vXwqzxPiusLqIw3EvOaG9XKjXGP2XwAuqk&amp;usp=drive_copy</t>
  </si>
  <si>
    <t>Alifia Elvita Kusuma</t>
  </si>
  <si>
    <t>Intan Komariyah Bhanu</t>
  </si>
  <si>
    <t>Dhiya' Arkan Heriana Putra</t>
  </si>
  <si>
    <t>Adisti Oktaviana Dewi</t>
  </si>
  <si>
    <t>Achmad Prasetyo</t>
  </si>
  <si>
    <t>Zella Salsabila</t>
  </si>
  <si>
    <t>Sahrullah</t>
  </si>
  <si>
    <t>Fatonatul Khasanah</t>
  </si>
  <si>
    <t>Sarah Salsabila</t>
  </si>
  <si>
    <t>https://drive.google.com/open?id=1aq8xfzCuk-0oCPc09GmTTT9HuSNJBLDrDEOg5pu7ePw&amp;usp=drive_copy</t>
  </si>
  <si>
    <t>Mustika Cahya Nirmala Dewinta, S.Gz., MPH</t>
  </si>
  <si>
    <t>Niken</t>
  </si>
  <si>
    <t>Anggie Nur Indah Sari</t>
  </si>
  <si>
    <t>Ardes Orlando</t>
  </si>
  <si>
    <t>Ricky Yahya Wijaya</t>
  </si>
  <si>
    <t>Cindy Verari</t>
  </si>
  <si>
    <t>Soni Setiawan</t>
  </si>
  <si>
    <t>Risma Oktarina</t>
  </si>
  <si>
    <t>Asyifa Nazmi Rahmadina</t>
  </si>
  <si>
    <t>Fidia Fajri Utami</t>
  </si>
  <si>
    <t>https://drive.google.com/open?id=1X9977pSfw_8T_W2EuVY_pyF-dk1kRFmT3b_LiHa32eY&amp;usp=drive_copy</t>
  </si>
  <si>
    <t>Zulfaida Nur Rahmadani</t>
  </si>
  <si>
    <t>Istika Amilia Yahma</t>
  </si>
  <si>
    <t>Muhammad Siraj Dandi</t>
  </si>
  <si>
    <t>Anggun Fitriyanti</t>
  </si>
  <si>
    <t>Noorpani Ramadani</t>
  </si>
  <si>
    <t>Zaidar Rahma</t>
  </si>
  <si>
    <t>Galih Ferdian Hermawan</t>
  </si>
  <si>
    <t>Noor Khalisatur Rahmah Ar</t>
  </si>
  <si>
    <t>Honesty Fadillah</t>
  </si>
  <si>
    <t>https://drive.google.com/open?id=1hSjaegjwgA5As4lWIB31isr_ZX9MuwX0cOsIM01X-jE&amp;usp=drive_copy</t>
  </si>
  <si>
    <t>Gowok, Kebonharjo, Samigaluh</t>
  </si>
  <si>
    <t>Pristasya Salmanda</t>
  </si>
  <si>
    <t>Adisti Aulia</t>
  </si>
  <si>
    <t>M. Tedy</t>
  </si>
  <si>
    <t>Happy Ulil Azlina</t>
  </si>
  <si>
    <t>Danendra Dzulfikar Kusuma</t>
  </si>
  <si>
    <t>Umi Fatimah</t>
  </si>
  <si>
    <t>Rifqy Fawwaz Raihannur</t>
  </si>
  <si>
    <t>Siti Nur Azizah</t>
  </si>
  <si>
    <t>Duana Santun Budi Palupi</t>
  </si>
  <si>
    <t>https://drive.google.com/open?id=1Ma8B8P9T1jyN_GT7W61KRUZ_VMQgkur191iZWCk7QO8&amp;usp=drive_copy</t>
  </si>
  <si>
    <t>Kedunggupit, Kebonharjo, Samigaluh</t>
  </si>
  <si>
    <t>Meity Indriani</t>
  </si>
  <si>
    <t>Salisa Aulia Rakhma</t>
  </si>
  <si>
    <t>Dwi Cahya Prabowo</t>
  </si>
  <si>
    <t>Putri Febriyanti</t>
  </si>
  <si>
    <t>Dzaki Ramadhan Fatra</t>
  </si>
  <si>
    <t>Yasmine Sekar Kinanti</t>
  </si>
  <si>
    <t>Labibah Lina Fitriana</t>
  </si>
  <si>
    <t>Ahmad Syafiq Muharrom</t>
  </si>
  <si>
    <t>Salsabila Ummi Haibah</t>
  </si>
  <si>
    <t>https://drive.google.com/open?id=1aD66S7fa7G9sym6uAMjXVUDcezM9e12I2ff_EFj0kig&amp;usp=drive_copy</t>
  </si>
  <si>
    <t>Dellarose Jayanti</t>
  </si>
  <si>
    <t>Apriyani</t>
  </si>
  <si>
    <t>Muhammad Fajar Aulia Adhitama</t>
  </si>
  <si>
    <t>Della Novira</t>
  </si>
  <si>
    <t>Ahyar Rosidi</t>
  </si>
  <si>
    <t>Alfaini Lailatur Rahmah</t>
  </si>
  <si>
    <t>Asy Syifa Dhana Susila</t>
  </si>
  <si>
    <t>Muhamad Iqbal Wibisono</t>
  </si>
  <si>
    <t>Tusinda Amanda</t>
  </si>
  <si>
    <t>https://drive.google.com/open?id=1DiW_pSLEOElRrUJuczGmCnjl1xFdIgPXD7UANxgRO04&amp;usp=drive_copy</t>
  </si>
  <si>
    <t>Faradita Lailatul Janah</t>
  </si>
  <si>
    <t>Ika Puteri Angela</t>
  </si>
  <si>
    <t>Syavigny Arriffuzaqi</t>
  </si>
  <si>
    <t>Bahamas Ayu Drupadi</t>
  </si>
  <si>
    <t>Abdul Aziz</t>
  </si>
  <si>
    <t>Riris Risky Winanti</t>
  </si>
  <si>
    <t>Imamudin Hanif</t>
  </si>
  <si>
    <t>Candra Windi Arti</t>
  </si>
  <si>
    <t>https://drive.google.com/open?id=1HUXoVXu9KF3uSLy1NeUvbYHN6NI1q7ecDNxcINSf-2k&amp;usp=drive_copy</t>
  </si>
  <si>
    <t>Clara Claurita Salindri</t>
  </si>
  <si>
    <t>Qolbi Khoir</t>
  </si>
  <si>
    <t>Rio Satria Putra</t>
  </si>
  <si>
    <t>Stephanny Elsa Damara</t>
  </si>
  <si>
    <t>Mustafa Shidiq</t>
  </si>
  <si>
    <t>Azola Gustiara Vivaningtyas</t>
  </si>
  <si>
    <t>Adli Gimnastiar</t>
  </si>
  <si>
    <t>Dahlia Fitri Ichsanti</t>
  </si>
  <si>
    <t>Swastri Laras Ardyani</t>
  </si>
  <si>
    <t>https://drive.google.com/open?id=1dqJTwOHJYL_xbryi9hkDlRUtEz4fuB8nYqhqvT77a1A&amp;usp=drive_copy</t>
  </si>
  <si>
    <t>Nguntuk Untuk, Ngargosari, Samigaluh</t>
  </si>
  <si>
    <t>Anarchie Arus Bakti</t>
  </si>
  <si>
    <t>Indah Komala Sari</t>
  </si>
  <si>
    <t>Addina Cahyani Camellia</t>
  </si>
  <si>
    <t>Allisa Fadya Chairani</t>
  </si>
  <si>
    <t>Randa Karunia</t>
  </si>
  <si>
    <t>Salma Fairus Khusna</t>
  </si>
  <si>
    <t>Andri Yusva Setiawan</t>
  </si>
  <si>
    <t>Sinta Ratna Sari</t>
  </si>
  <si>
    <t>Dewi Putri Defitriana</t>
  </si>
  <si>
    <t>https://drive.google.com/open?id=1hhUgikEW5K-NuleAxxHugrZWLfJENeDn34ezodBXBz4&amp;usp=drive_copy</t>
  </si>
  <si>
    <t>Salsadilla Maryan Ningsih</t>
  </si>
  <si>
    <t>Latifah Nugraheni</t>
  </si>
  <si>
    <t>Yudhistya Dyatmika Riyanto</t>
  </si>
  <si>
    <t>Azizah Fathimatuzzahro</t>
  </si>
  <si>
    <t>Ikhlasul Amal</t>
  </si>
  <si>
    <t>Anandita Putri Nugraha</t>
  </si>
  <si>
    <t>Muhammad Ihcklasul Amil</t>
  </si>
  <si>
    <t>Dhiva Asri Damayanti</t>
  </si>
  <si>
    <t>Rizlia Farah Annisa</t>
  </si>
  <si>
    <t>https://drive.google.com/open?id=1nAUeg8nhByjQyE0nbbrN4HQq6Kwe4JMO1lmKt7iyi3E&amp;usp=drive_copy</t>
  </si>
  <si>
    <t>Drs., Uus Kusdinar, M.Pd.</t>
  </si>
  <si>
    <t>Gegerbajing, Pagerharjo, Samigaluh</t>
  </si>
  <si>
    <t>Alvin Trie Mukti</t>
  </si>
  <si>
    <t>Amanda Akilla</t>
  </si>
  <si>
    <t>Dita Lia Nurlaela</t>
  </si>
  <si>
    <t>Muh. Fachri</t>
  </si>
  <si>
    <t>Sulastriani</t>
  </si>
  <si>
    <t>Dewi Astri Anugrah Alamsyah</t>
  </si>
  <si>
    <t>Wardi Yusro</t>
  </si>
  <si>
    <t>Merza Azanni</t>
  </si>
  <si>
    <t>Hasna Diarahma</t>
  </si>
  <si>
    <t>https://drive.google.com/open?id=1onvwJOD3spBRN2COXsvyKzx5dTdKAme7H2G7ceBgQMs&amp;usp=drive_copy</t>
  </si>
  <si>
    <t>Kemesu, Pagerharjo, Samigaluh</t>
  </si>
  <si>
    <t>Rizka Ni'maturrahmah</t>
  </si>
  <si>
    <t>Britiya Intar Lufila</t>
  </si>
  <si>
    <t>Beny Nickholas Muhammad Irawan</t>
  </si>
  <si>
    <t>Ainunna'imah</t>
  </si>
  <si>
    <t>Devya Rantika Sari</t>
  </si>
  <si>
    <t>Annisa Vidhya Kemala</t>
  </si>
  <si>
    <t>Wajhiya Tamamul Kirom</t>
  </si>
  <si>
    <t>Husna Fitriani</t>
  </si>
  <si>
    <t>Muhammad Zandaru</t>
  </si>
  <si>
    <t>https://drive.google.com/open?id=1r9KcGfp64Cwn68Cnl7E0UQdtQ63FYNp0ZDtxe8PfQi8&amp;usp=drive_copy</t>
  </si>
  <si>
    <t>Sinogo, Pagerharjo, Samigaluh</t>
  </si>
  <si>
    <t>Rose Nurdiani Haseenah Lewinsky</t>
  </si>
  <si>
    <t>Adlina Fathnin Nabila</t>
  </si>
  <si>
    <t>Rofi'ah Nur Khasanah</t>
  </si>
  <si>
    <t>Gilang Sukma Pradana</t>
  </si>
  <si>
    <t>Rizqi Yunianti</t>
  </si>
  <si>
    <t>Faqih Achibulloh Achyar</t>
  </si>
  <si>
    <t>Dini Nurul Islami</t>
  </si>
  <si>
    <t>Abid Abdullah</t>
  </si>
  <si>
    <t>Maulie Nur Aini</t>
  </si>
  <si>
    <t>https://drive.google.com/open?id=1sTb2zaDnsrvopAxKPzSrbiCQ6KoxD9gMrwqhkHtnxMs&amp;usp=drive_copy</t>
  </si>
  <si>
    <t>Solikhah, S.KM.,M.Kes.,Dr.PH</t>
  </si>
  <si>
    <t>Nglinggo Timur, Pagerharjo, Samigaluh</t>
  </si>
  <si>
    <t>Kelvin Tri Andika</t>
  </si>
  <si>
    <t>Gilang Fajri Ramadhan</t>
  </si>
  <si>
    <t>Laily Nur Milawati</t>
  </si>
  <si>
    <t>Nadia Novita</t>
  </si>
  <si>
    <t>Fauzi Ramadhan</t>
  </si>
  <si>
    <t>Aldinna Wulan Anggraini</t>
  </si>
  <si>
    <t>Aliffia Putri Nadya Rahmawati</t>
  </si>
  <si>
    <t>Raudina Rahma Artyadi</t>
  </si>
  <si>
    <t>Aisyah Fajar Kurniati</t>
  </si>
  <si>
    <t>https://drive.google.com/open?id=1tZRJB1j9hziG_MFLArQoNBLT3XB73Dl60mxJ_A17UCk&amp;usp=drive_copy</t>
  </si>
  <si>
    <t>Kalirejo Utara, Pagerharjo, Samigaluh</t>
  </si>
  <si>
    <t>ASHIM MAHMUDI</t>
  </si>
  <si>
    <t>Erwan Setianto</t>
  </si>
  <si>
    <t>Siti Hanifah</t>
  </si>
  <si>
    <t>Oktavia Hardianti</t>
  </si>
  <si>
    <t>Ayu Faradibawati</t>
  </si>
  <si>
    <t>Abi Nazli Karuana</t>
  </si>
  <si>
    <t>Sarah Iznira Aziza</t>
  </si>
  <si>
    <t>Tiara Putri Amalia</t>
  </si>
  <si>
    <t>Widya Putri</t>
  </si>
  <si>
    <t>082199175739 / 085779035646</t>
  </si>
  <si>
    <t>https://drive.google.com/open?id=1yzpnK1mpmqmhTIzyD-WVvBmb8nnxvXjeEOIWehuHWlI&amp;usp=drive_copy</t>
  </si>
  <si>
    <t>Ngaglik, Pagerharjo, Samigaluh</t>
  </si>
  <si>
    <t>Muhammad Hafiz B.syafrudin</t>
  </si>
  <si>
    <t>Annisa Nurul Nabill Ryandani</t>
  </si>
  <si>
    <t>Ulfa Yuristiya</t>
  </si>
  <si>
    <t>Reni Mamila</t>
  </si>
  <si>
    <t>Satriawan Muammar Fadil</t>
  </si>
  <si>
    <t>Hanifi Puspasari</t>
  </si>
  <si>
    <t>Muhammad Fatah Amarulloh</t>
  </si>
  <si>
    <t>Dhuha Fitriana Nur Rohmah</t>
  </si>
  <si>
    <t>An Nissaa Puji Lestari</t>
  </si>
  <si>
    <t>08997452224/?081330454235?</t>
  </si>
  <si>
    <t>https://drive.google.com/open?id=1zh2TuFV0FMAEYytBJUChBSc9SIJItqctq-QBvrPHvxM&amp;usp=drive_copy</t>
  </si>
  <si>
    <t>Ngaran Barat, Banjarsari, Samigaluh</t>
  </si>
  <si>
    <t>Sinta Galih Pertiwi</t>
  </si>
  <si>
    <t>Alya Sukma Ardhana</t>
  </si>
  <si>
    <t>Ifan Aprida Rahman</t>
  </si>
  <si>
    <t>Nutri Asira</t>
  </si>
  <si>
    <t>Agus Rahman Hakim</t>
  </si>
  <si>
    <t>Mariah Kiftia Farhana</t>
  </si>
  <si>
    <t>Fakhri Hamzah Sunni</t>
  </si>
  <si>
    <t>Aulia Rahmani Fitrianingrum</t>
  </si>
  <si>
    <t>Ayunita Nur Wulan</t>
  </si>
  <si>
    <t>https://drive.google.com/open?id=1ztvYGRzFuUHJJXOlbYuan0yQswk_YQTFCI1Zo_whx3w&amp;usp=drive_copy</t>
  </si>
  <si>
    <t>Klendrekan, Banjarsari, Samigaluh</t>
  </si>
  <si>
    <t>Feby Widiastuti</t>
  </si>
  <si>
    <t>Khansa Putri Salsabila</t>
  </si>
  <si>
    <t>Luthfi Alleyda Fadhlullah</t>
  </si>
  <si>
    <t>Laila Sekar Gupita</t>
  </si>
  <si>
    <t>Aldo Wiguna</t>
  </si>
  <si>
    <t>Athiyyah Syifa Salsabilah</t>
  </si>
  <si>
    <t>Usman Arifin</t>
  </si>
  <si>
    <t>Devi Intan Fitriani</t>
  </si>
  <si>
    <t>Kharisma Ayu Lestari</t>
  </si>
  <si>
    <t>https://drive.google.com/open?id=1-3JhFXXVW8o5GzX7Ckq7KY5IRx3PBYngosj34uiJd7g&amp;usp=drive_copy</t>
  </si>
  <si>
    <t>Balong Timur, Banjarsari, Samigaluh</t>
  </si>
  <si>
    <t>MUHAMMAD DIRFAS HAIDAR</t>
  </si>
  <si>
    <t>Intan Septiani</t>
  </si>
  <si>
    <t>Dwi Vitasari</t>
  </si>
  <si>
    <t>Mafatihul Hidayah</t>
  </si>
  <si>
    <t>Fahriza Dwipa Putra</t>
  </si>
  <si>
    <t>Arda Wahyu Saputri</t>
  </si>
  <si>
    <t>Ridho Safrial</t>
  </si>
  <si>
    <t>Tiyas Nur Rizmaningsih</t>
  </si>
  <si>
    <t>Suryati</t>
  </si>
  <si>
    <t>https://drive.google.com/open?id=14-ELN3Sjstb2CkWNCRw-Esf0MIX4Psi8NCb19ohiuaA&amp;usp=drive_copy</t>
  </si>
  <si>
    <t xml:space="preserve">Yuniar Wardani S.KM. MPH., Ph.D        </t>
  </si>
  <si>
    <t>Kaliapak, Banjarsari, Samigaluh</t>
  </si>
  <si>
    <t>Muhammad Zaky Febriansyach</t>
  </si>
  <si>
    <t>Reviana</t>
  </si>
  <si>
    <t>Viqy Riuza Scherly Reha Permadhani</t>
  </si>
  <si>
    <t>Muhammad Jordan Bramada</t>
  </si>
  <si>
    <t>Aliffah Ammar Fadhila</t>
  </si>
  <si>
    <t>Ahmad Firdaus Hasibuan</t>
  </si>
  <si>
    <t>Rahmi Nur Maghfirah</t>
  </si>
  <si>
    <t>Muhammad Anas Kamaluddin</t>
  </si>
  <si>
    <t>Armelinda Febriana</t>
  </si>
  <si>
    <t>https://drive.google.com/open?id=1DKNtZaI3w_LqyItkhFKLoFoF-6YzzS75G-WzPlOpuNg&amp;usp=drive_copy</t>
  </si>
  <si>
    <t>Jumblangan Selatan, Banjarsari, Samigaluh</t>
  </si>
  <si>
    <t>Amalia Prinurida</t>
  </si>
  <si>
    <t>Adelia Prastiwi</t>
  </si>
  <si>
    <t>Alif Fajar</t>
  </si>
  <si>
    <t>Fatimatul Zahra</t>
  </si>
  <si>
    <t>Linggar Rahmat Dwiyono</t>
  </si>
  <si>
    <t>Adistya Ronna Almeidila</t>
  </si>
  <si>
    <t>Suprinanto</t>
  </si>
  <si>
    <t>Neha Remulia</t>
  </si>
  <si>
    <t>https://drive.google.com/open?id=1coomfJAONokVC15fN6Knp5MW4JZLrTtBNCi2DyhIolU&amp;usp=drive_copy</t>
  </si>
  <si>
    <t>Waru, Banjarsari, Samigaluh</t>
  </si>
  <si>
    <t>Nabiila Salwanisa Wibowo</t>
  </si>
  <si>
    <t>Ilham Aminudin</t>
  </si>
  <si>
    <t>Erkawati Dia A.k.p.n</t>
  </si>
  <si>
    <t>Agis Satria Mandala</t>
  </si>
  <si>
    <t>Dita Rahmalia</t>
  </si>
  <si>
    <t>Prima Notario</t>
  </si>
  <si>
    <t>Banafsaj Nabilah Rahman</t>
  </si>
  <si>
    <t>Yolanda Astrid Gibran</t>
  </si>
  <si>
    <t>Syahrul Osamma Affath Khan</t>
  </si>
  <si>
    <t>https://drive.google.com/open?id=1jObs-f0fcG_8ykBZQcT1C4OCWvDpQTexWm_gIpugJOs&amp;usp=drive_copy</t>
  </si>
  <si>
    <t>Tis'a Salma Muthi'ah, S.Gz., MPH</t>
  </si>
  <si>
    <t>Jumblangan, Banjarsari, Samigaluh</t>
  </si>
  <si>
    <t>Wulan Suci Purwaningsih</t>
  </si>
  <si>
    <t>Putri Dwi Puspitasari</t>
  </si>
  <si>
    <t>Arsyad Atpi Sidiq</t>
  </si>
  <si>
    <t>Tatik Nafiaturohmah</t>
  </si>
  <si>
    <t>Dwi Ilham Juari Romdlon</t>
  </si>
  <si>
    <t>Alisa Sukma Farizky</t>
  </si>
  <si>
    <t>Misbahuszuhrah Ibnu Bakrin</t>
  </si>
  <si>
    <t>Dani Dwi Meylawati</t>
  </si>
  <si>
    <t>https://drive.google.com/open?id=1m2oGMtfxLfiNjBvGTLFkpTzUTzOUo382KnAxilJGdhk&amp;usp=drive_copy</t>
  </si>
  <si>
    <t>Balong Tengah, Banjarsari, Samigaluh</t>
  </si>
  <si>
    <t>Fadhila Rizki Putri Prastiwi</t>
  </si>
  <si>
    <t>Herdian Aziz Qurnia Muharam</t>
  </si>
  <si>
    <t>Rosa Agnelia Rahmawati</t>
  </si>
  <si>
    <t>Refli Rezka Julianda</t>
  </si>
  <si>
    <t>Intan Cahyani</t>
  </si>
  <si>
    <t>Dzaky Fauzan Abid</t>
  </si>
  <si>
    <t>Deviana Ardiani Ikhwan</t>
  </si>
  <si>
    <t>Catur Rohmiati</t>
  </si>
  <si>
    <t>https://drive.google.com/open?id=1sPpECM-rL9ae2oTcbCokVyn1lkK79LtZ767loRcKsOo&amp;usp=drive_copy</t>
  </si>
  <si>
    <t>Dr. Sri Roviana, S.Ag., M.A.</t>
  </si>
  <si>
    <t>Ngaran Timur, Banjarsari, Samigaluh</t>
  </si>
  <si>
    <t>Putri Widayanti</t>
  </si>
  <si>
    <t>Dea Ananda</t>
  </si>
  <si>
    <t>Triyatno</t>
  </si>
  <si>
    <t>Dian Sari</t>
  </si>
  <si>
    <t>Fahrizal Adji Sya'bani</t>
  </si>
  <si>
    <t>Ranal Sagitha Az-zahra Iliwua</t>
  </si>
  <si>
    <t>Arya Permana Salaka</t>
  </si>
  <si>
    <t>Fatia Rizka Adela</t>
  </si>
  <si>
    <t>Pangestika Firda Fadhilah</t>
  </si>
  <si>
    <t>https://drive.google.com/open?id=1uNIGa0BmylAikCZTRfDYS7Z0d1-o7ET-2vGbGpJLHnQ&amp;usp=drive_copy</t>
  </si>
  <si>
    <t>Kaliwunglon, Banjarsari, Samigaluh</t>
  </si>
  <si>
    <t>Moh Nasiruddin</t>
  </si>
  <si>
    <t>Amadea Diva Agatha</t>
  </si>
  <si>
    <t>Fitrotu Zakia</t>
  </si>
  <si>
    <t>Intan Dyah Ayu Kumalasari</t>
  </si>
  <si>
    <t>Farisna Hamid Jabbar</t>
  </si>
  <si>
    <t>Firka Munawara</t>
  </si>
  <si>
    <t>Ghulam Dzaky Nur Khairy</t>
  </si>
  <si>
    <t>Dyta Ayu Safitri</t>
  </si>
  <si>
    <t>Dehan Lavedia</t>
  </si>
  <si>
    <t>https://drive.google.com/open?id=1VEK6lO97nwgpRksBKriuYQTICvxPgONd5ViVz6GtCvU&amp;usp=drive_copy</t>
  </si>
  <si>
    <t>Reguler Periode ke-121</t>
  </si>
  <si>
    <t>Songserm Sasana Vittaya School, Thailand</t>
  </si>
  <si>
    <t>Thailand</t>
  </si>
  <si>
    <t>Nurul A'ini Santika Dewani</t>
  </si>
  <si>
    <t>Asma Karimah</t>
  </si>
  <si>
    <t>Nur Aisyah Hasibuan</t>
  </si>
  <si>
    <t>Shifa Maulidya</t>
  </si>
  <si>
    <t>Tamara Gita Azzahra</t>
  </si>
  <si>
    <t>Sitti Aminah Fadhilah</t>
  </si>
  <si>
    <t>Annisa Maulida Hidayah</t>
  </si>
  <si>
    <t>https://drive.google.com/open?id=1tIX7CR72CMcniyd5f-f6DZd34NVygmN7eq59zwbplgE&amp;usp=drive_copy</t>
  </si>
  <si>
    <t>Sangkhom Islam Wittaya School, Thailand</t>
  </si>
  <si>
    <t>Rini Suphia Nuryati</t>
  </si>
  <si>
    <t>Dyah Ayu Prasetyaningrum</t>
  </si>
  <si>
    <t>Audia Puspita Anggraini</t>
  </si>
  <si>
    <t>Restu Anisa</t>
  </si>
  <si>
    <t>Arini Nur Rohmah</t>
  </si>
  <si>
    <t>Jihan Nahda</t>
  </si>
  <si>
    <t>Assyfa Cendana Rih Adila</t>
  </si>
  <si>
    <t>6.28E+12</t>
  </si>
  <si>
    <t>https://drive.google.com/open?id=1oduhaIf8fcwj-eWTKp7sVf9TAEuuoYJAHr0ygSM_pEo&amp;usp=drive_copy</t>
  </si>
  <si>
    <t>Kalamullah School, Thailanda</t>
  </si>
  <si>
    <t>Shaumi Natalia Putri</t>
  </si>
  <si>
    <t>Rezky Choirunnisa Suprapto</t>
  </si>
  <si>
    <t>Ellia Rahmawati</t>
  </si>
  <si>
    <t>Raka Afrinata</t>
  </si>
  <si>
    <t>Yunizar Amirul Haq</t>
  </si>
  <si>
    <t>Muhammad Tectona Akbar</t>
  </si>
  <si>
    <t>Elvira Rovi Rahmania</t>
  </si>
  <si>
    <t>https://drive.google.com/open?id=19Ot4b1Pasvdp7KssnBJ3memm5REKtMdFm0X5sc7j1m0&amp;usp=drive_copy</t>
  </si>
  <si>
    <t>Reguler Periode ke-122</t>
  </si>
  <si>
    <t>Nur Sa'adah Daulay</t>
  </si>
  <si>
    <t>Firzan Ahmad Chirzin Paputungan</t>
  </si>
  <si>
    <t>Anisa</t>
  </si>
  <si>
    <t>Kholifah Zainatun Nisa</t>
  </si>
  <si>
    <t>Muhammad Izzul Muslimin</t>
  </si>
  <si>
    <t>Diana Hasni Marfu'ah</t>
  </si>
  <si>
    <t>Esfan Sofyan</t>
  </si>
  <si>
    <t>https://drive.google.com/open?id=1re7KxSnGoHPIfrfLhDeKI3Pa-2ni4BBKVJT3qrXGkWQ&amp;usp=drive_copy</t>
  </si>
  <si>
    <t>Nindiyana Shafira</t>
  </si>
  <si>
    <t>Auliya Latiffah</t>
  </si>
  <si>
    <t>Wardah Asifa</t>
  </si>
  <si>
    <t>Sindi Amanah</t>
  </si>
  <si>
    <t>Muhammad Rezza Husin</t>
  </si>
  <si>
    <t>Anna Nurhasanah</t>
  </si>
  <si>
    <t>Nurma Izzalatuzzahro</t>
  </si>
  <si>
    <t>Kholif Fathan Muzakki</t>
  </si>
  <si>
    <t>https://drive.google.com/open?id=1fyOZhUTnosGJ4s8TnmySKCKTgZ7tnssCaHs9nyUUHkU&amp;usp=drive_copy</t>
  </si>
  <si>
    <t>Mafaaza Qurrata Afidah Jamal</t>
  </si>
  <si>
    <t>Arta Dwi Nafilah</t>
  </si>
  <si>
    <t>Dina Haqi Kuswinda</t>
  </si>
  <si>
    <t>Wahyu Triyanto</t>
  </si>
  <si>
    <t>Malika Mahira</t>
  </si>
  <si>
    <t>Edelia Putri Azzahro</t>
  </si>
  <si>
    <t>https://drive.google.com/open?id=16wByBKkq54MlVMp5UkjlFbElc_thB7GBJgwUFmV5emU&amp;usp=drive_copy</t>
  </si>
  <si>
    <t>Annisa Naufalia Salsabila Titatena</t>
  </si>
  <si>
    <t>Ardhana Mulyono</t>
  </si>
  <si>
    <t>Aulia Ahmad Husaini</t>
  </si>
  <si>
    <t>Nurul Fitrah Amaliah Suharsono</t>
  </si>
  <si>
    <t>Qiroatul Husna</t>
  </si>
  <si>
    <t>Lutvia Nuraini</t>
  </si>
  <si>
    <t>Ariessa Suryo</t>
  </si>
  <si>
    <t>https://drive.google.com/open?id=1YG8FCFfb_7C-VhPVWkjgcqsqSOCY3bVI7QNYB_FGnz0&amp;usp=drive_copy</t>
  </si>
  <si>
    <t>Alternatif Periode ke-90</t>
  </si>
  <si>
    <t>MUHAMMAD HAMAM AL BAYHAQY</t>
  </si>
  <si>
    <t>Gufira Sia</t>
  </si>
  <si>
    <t>Ahmad Soleh Abdul Nur Rohman</t>
  </si>
  <si>
    <t>Nabila Anjali Khan</t>
  </si>
  <si>
    <t>Duwi Oktoviyanti</t>
  </si>
  <si>
    <t>Galih Narizki Rahmat</t>
  </si>
  <si>
    <t>Alfin Syafuannur</t>
  </si>
  <si>
    <t>Feny Syahrani</t>
  </si>
  <si>
    <t>https://drive.google.com/open?id=1m9EJVnohl8ykmPyQm0Pl1-APfkFQXT33tLPGtmrrR18&amp;usp=drive_copy</t>
  </si>
  <si>
    <t>MUHAMMAD RIZQON FAJAR</t>
  </si>
  <si>
    <t>Taufiqurrohman</t>
  </si>
  <si>
    <t>Marlina</t>
  </si>
  <si>
    <t>Daffa Ario Syahputra</t>
  </si>
  <si>
    <t>Dina Sonia</t>
  </si>
  <si>
    <t>https://drive.google.com/open?id=1-NeEg7nf50XdGCSRBd2N1t-YTNjzk_8fBvgLsdFhFGU&amp;usp=drive_copy</t>
  </si>
  <si>
    <t xml:space="preserve">Masjid Al-Hidayah, Jaranan, Banguntapan
</t>
  </si>
  <si>
    <t>Sastra Hadi Wijaya</t>
  </si>
  <si>
    <t>Nur Safira</t>
  </si>
  <si>
    <t>Dwi Ayu Ghinanti</t>
  </si>
  <si>
    <t>Taufiq Muhammad Fajar</t>
  </si>
  <si>
    <t>Lusiana Dewi</t>
  </si>
  <si>
    <t>Muhammad Dinar Almadani</t>
  </si>
  <si>
    <t>https://drive.google.com/open?id=1CpCz0vLXMG11zC0rqWrZ5tvBrokKpg166AxbWCplO_g&amp;usp=drive_copy</t>
  </si>
  <si>
    <t xml:space="preserve">Sucipto M.Pd.BI., Ph.D. </t>
  </si>
  <si>
    <t>Ady Setyawan</t>
  </si>
  <si>
    <t>FARHAN NUR OKTAVIAN AKBAR</t>
  </si>
  <si>
    <t>Ahmad Revanzha</t>
  </si>
  <si>
    <t>Mainis Aqmar Zakirah</t>
  </si>
  <si>
    <t>Novia Eka Savitri</t>
  </si>
  <si>
    <t>Muhamad Zada Fikri</t>
  </si>
  <si>
    <t>https://drive.google.com/open?id=1aBTrGvbqltxSQtKd3zkmnYnyrZMF-P-VokD5amQDyMM&amp;usp=drive_copy</t>
  </si>
  <si>
    <t>Masjid Sunan Kalijaga (RT 03), Jomblangan, Banguntapan</t>
  </si>
  <si>
    <t>JEFRI GUSLIANSYAH</t>
  </si>
  <si>
    <t>MUHAMMAD BASIR</t>
  </si>
  <si>
    <t>Rohmah Aina Azizah</t>
  </si>
  <si>
    <t>Adinda Rima Melati Putih</t>
  </si>
  <si>
    <t>Vintya Dewi Anjani</t>
  </si>
  <si>
    <t>Ghifro Nur Alfianto</t>
  </si>
  <si>
    <t>https://drive.google.com/open?id=1hG1xZfWvrLZrkcDwtWpawuKV1-9Ijm0-E07otJ8fKBM&amp;usp=drive_copy</t>
  </si>
  <si>
    <t>Reguler Periode ke-125</t>
  </si>
  <si>
    <t>Masjid Al-Hadir, Nologaten, Jurangjero, Ngawen</t>
  </si>
  <si>
    <t>Ari Rahmadi</t>
  </si>
  <si>
    <t>Shabrina Nabiatun Salsabila</t>
  </si>
  <si>
    <t>Utut Abdillah Iskandar</t>
  </si>
  <si>
    <t>https://drive.google.com/open?id=1GS9yh4MIOl1HFEhjn8rVm8OzPUoBZg0WYu2bK_jBnpo&amp;usp=drive_copy</t>
  </si>
  <si>
    <t>Masjid Al-Huda, Nologaten, Jurangjero, Ngawen</t>
  </si>
  <si>
    <t>Aldi Hardiyatno</t>
  </si>
  <si>
    <t>Moh Rizal Khoeruman</t>
  </si>
  <si>
    <t>Amanda Fadia Amir</t>
  </si>
  <si>
    <t>https://drive.google.com/open?id=1KSoKnWVe3zFAuUCet34CnYqcyzNaUQXMs3T0nYVQnLg&amp;usp=drive_copy</t>
  </si>
  <si>
    <t>Mushola Al-Ikhlas, Nologaten, Jurangjero, Ngawen</t>
  </si>
  <si>
    <t>Fawaz Muhammad Assyahada</t>
  </si>
  <si>
    <t>Rian Apriliani</t>
  </si>
  <si>
    <t>Risky Putra Pratama</t>
  </si>
  <si>
    <t>https://drive.google.com/open?id=1gBEDRqZ-XUZ4pkRpGMoP6Zk6dOHbTSvD8I8Ya9tKuXc&amp;usp=drive_copy</t>
  </si>
  <si>
    <t>Masjid Al-Amin, Purworejo, Jurangjero, Ngawen</t>
  </si>
  <si>
    <t>RAFIF PRIMA ALFAIZ</t>
  </si>
  <si>
    <t>Zahratul Widad</t>
  </si>
  <si>
    <t>Shafly Zuhernata</t>
  </si>
  <si>
    <t>Putra Ardianto</t>
  </si>
  <si>
    <t>https://drive.google.com/open?id=1MiyDZVUXj1utHEsf2iRrXi2eY-C05IHgCItJy3NjnaU&amp;usp=drive_copy</t>
  </si>
  <si>
    <t>I.A.5</t>
  </si>
  <si>
    <t>Mushola Baiturohman, Purworejo, Jurangjero, Ngawen</t>
  </si>
  <si>
    <t>WENY NOVITA SARI</t>
  </si>
  <si>
    <t>Farchan Abdul Azis</t>
  </si>
  <si>
    <t>Restu Fadlurrahman</t>
  </si>
  <si>
    <t>Nabila Fadhila Rahma</t>
  </si>
  <si>
    <t>Ibnu Mahmuda</t>
  </si>
  <si>
    <t>https://drive.google.com/open?id=1osIE4GcDxk6_15hdNrHtYNNdIHD9MeFX8rABG_0MUlg&amp;usp=drive_copy</t>
  </si>
  <si>
    <t>I.A.6</t>
  </si>
  <si>
    <t>Masjid Baiturohman, Jambu, Jurangjero, Ngawen</t>
  </si>
  <si>
    <t>ETRY JAYANTI</t>
  </si>
  <si>
    <t>RYNALDY PURNAMA RAMADHAN</t>
  </si>
  <si>
    <t>AGUNG DWI CAHYO</t>
  </si>
  <si>
    <t>Ahdian</t>
  </si>
  <si>
    <t>Riski Aryani</t>
  </si>
  <si>
    <t>Bellafia Afisya</t>
  </si>
  <si>
    <t>Galang Saputra</t>
  </si>
  <si>
    <t>Aulia Rizky Fadhillah</t>
  </si>
  <si>
    <t>Aries Anang Anshori</t>
  </si>
  <si>
    <t>Wa / Telp 082137687030</t>
  </si>
  <si>
    <t>https://drive.google.com/open?id=1yyWpoI7sekFdjRmZBdv2nk40V__VZXy6Nxa_RTxVxYU&amp;usp=drive_copy</t>
  </si>
  <si>
    <t>Alternatif Periode ke-91</t>
  </si>
  <si>
    <t>Tegalrejo</t>
  </si>
  <si>
    <t>Rido Laksono</t>
  </si>
  <si>
    <t>Aura Meylinda</t>
  </si>
  <si>
    <t>Clarisa Jenianti Putri</t>
  </si>
  <si>
    <t>Mohammad Rafli A. Pango</t>
  </si>
  <si>
    <t>Adelila Hanifa</t>
  </si>
  <si>
    <t>Nabila Syafa Nurmalita</t>
  </si>
  <si>
    <t>Rizka Arifia</t>
  </si>
  <si>
    <t>Sidiq Beni Saputra</t>
  </si>
  <si>
    <t>Raflialdi Rasyaad</t>
  </si>
  <si>
    <t>Shifa Labibah Parmawati</t>
  </si>
  <si>
    <t>Muhammad Zikri</t>
  </si>
  <si>
    <t>Julkiflin</t>
  </si>
  <si>
    <t>Afriska Marselia Risqiwati</t>
  </si>
  <si>
    <t>Alvina Aini Syahidah</t>
  </si>
  <si>
    <t>Alvin Nuru Syah Gunawan</t>
  </si>
  <si>
    <t>M. Habibul Ihsan Al-Maghribi</t>
  </si>
  <si>
    <t>AFRED ABDILLAH</t>
  </si>
  <si>
    <t>Yuliza Caturina</t>
  </si>
  <si>
    <t>Diki Guntara</t>
  </si>
  <si>
    <t>Wahyu Sekar Putri Agung</t>
  </si>
  <si>
    <t>Muhammad Hendriyarta</t>
  </si>
  <si>
    <t>Fathan Nashrullah</t>
  </si>
  <si>
    <t>Qorina Indah Puspitasari</t>
  </si>
  <si>
    <t>Ikra Syaniara</t>
  </si>
  <si>
    <t>Muh.akbar.r</t>
  </si>
  <si>
    <t>AMIN YUDANTO</t>
  </si>
  <si>
    <t>Burhanudin Ahmad Fauzi</t>
  </si>
  <si>
    <t>Febri Sulistyani</t>
  </si>
  <si>
    <t>Lidya H. Maseke</t>
  </si>
  <si>
    <t>Achmad Tegar Liantono</t>
  </si>
  <si>
    <t>Nabila Nurfitria Alifa</t>
  </si>
  <si>
    <t>Nadia Anzella Putri</t>
  </si>
  <si>
    <t>Waznin Alief Almuzakky</t>
  </si>
  <si>
    <t>Nindi Septiani</t>
  </si>
  <si>
    <t>Putri Ayu Amanah</t>
  </si>
  <si>
    <t>Panji Satria Taqwa Putra Purnama</t>
  </si>
  <si>
    <t>Jeffry</t>
  </si>
  <si>
    <t>Novita Aulia Rahmah</t>
  </si>
  <si>
    <t>Marjuki Al-mujakir</t>
  </si>
  <si>
    <t>M. Fiqi Ulil Albab</t>
  </si>
  <si>
    <t>Muhammad Alfian Darmawan</t>
  </si>
  <si>
    <t>RENDY KURNIAWAN</t>
  </si>
  <si>
    <t>Agsixtean Silih Mulwahid</t>
  </si>
  <si>
    <t>Safiq Lutfi</t>
  </si>
  <si>
    <t>Ratu</t>
  </si>
  <si>
    <t>Yanuar Imam Prakoso</t>
  </si>
  <si>
    <t>Nada Adilah Anas</t>
  </si>
  <si>
    <t>Fitri Amalia</t>
  </si>
  <si>
    <t>Muh. Jufri</t>
  </si>
  <si>
    <t>Sutipyo R. S.Ag., M.Si.</t>
  </si>
  <si>
    <t>Wulan Dari</t>
  </si>
  <si>
    <t>Habib Aditiya Julianto</t>
  </si>
  <si>
    <t>Azhari Rahman Wyana</t>
  </si>
  <si>
    <t>Romala Sagita</t>
  </si>
  <si>
    <t>Adittya As Ari</t>
  </si>
  <si>
    <t>Reki Kusuma Wardana</t>
  </si>
  <si>
    <t>Irfan Taris Kamili</t>
  </si>
  <si>
    <t>Meilia Widiya Lestari</t>
  </si>
  <si>
    <t>Mauludiyah Khoirunnisa</t>
  </si>
  <si>
    <t>SULISTIA ARIANI</t>
  </si>
  <si>
    <t>Kurniawan Dwi Wijayanto</t>
  </si>
  <si>
    <t>Ferli Syahrul Gunawan</t>
  </si>
  <si>
    <t>Farah Budi Wisetya</t>
  </si>
  <si>
    <t>Mariska Hanagia Putri Bangun</t>
  </si>
  <si>
    <t>Cici Sriandini</t>
  </si>
  <si>
    <t>M.khaeril Syahputra Yusuf</t>
  </si>
  <si>
    <t>Subhi Hidayat</t>
  </si>
  <si>
    <t>Muhammad Fahri Ramadhan</t>
  </si>
  <si>
    <t>HUTOMO RASUL LILY</t>
  </si>
  <si>
    <t>Milganeko Taduri</t>
  </si>
  <si>
    <t>Alvian Arya Putra</t>
  </si>
  <si>
    <t>Cantika Juandy Putri Katiandagho</t>
  </si>
  <si>
    <t>Nabila Azzahra</t>
  </si>
  <si>
    <t>Nova Adella</t>
  </si>
  <si>
    <t>Nashrulloh</t>
  </si>
  <si>
    <t>Sekar Arum Hayasi</t>
  </si>
  <si>
    <t>Naufal Ammaar Fikri</t>
  </si>
  <si>
    <t>Pandega Cahaya Bima Sakti</t>
  </si>
  <si>
    <t>Iqbaal Izzulhaq</t>
  </si>
  <si>
    <t>Muhammad Afif Alfadly</t>
  </si>
  <si>
    <t>Desti Nurwahidah</t>
  </si>
  <si>
    <t>Kholilur Rahman</t>
  </si>
  <si>
    <t>Cholis Akbar Limatahu</t>
  </si>
  <si>
    <t>Fitri Handayani</t>
  </si>
  <si>
    <t>Zaharra Fadillah</t>
  </si>
  <si>
    <t>RIZKI RAMADHON</t>
  </si>
  <si>
    <t>M.indrat Ramadhan</t>
  </si>
  <si>
    <t>Rizka Maulina Saputri</t>
  </si>
  <si>
    <t>Fandhika Azhar</t>
  </si>
  <si>
    <t>Winda Yogista</t>
  </si>
  <si>
    <t>Aulia Salsabilla</t>
  </si>
  <si>
    <t>Muhammad</t>
  </si>
  <si>
    <t>Maulana Faris Ikhzul Haq</t>
  </si>
  <si>
    <t>Dwi Atmi Yuliarni</t>
  </si>
  <si>
    <t>Anggy Dwi Saputra</t>
  </si>
  <si>
    <t>CESARE PAHLAWAN ABULEBU</t>
  </si>
  <si>
    <t>MOCHAMAD HANAFI HENDRIAWAN</t>
  </si>
  <si>
    <t>Fawzian Prannanda Jusianto</t>
  </si>
  <si>
    <t>Umi Rosidah</t>
  </si>
  <si>
    <t>Khoirunnisa Maharani</t>
  </si>
  <si>
    <t>Abelya Firdana Putri</t>
  </si>
  <si>
    <t>Pandu Wirayudha Frandika</t>
  </si>
  <si>
    <t>Qo-idah Ariq Pangesti</t>
  </si>
  <si>
    <t>089685838648 / 081391423372</t>
  </si>
  <si>
    <t>NISWAH RUSYDA RAFI'</t>
  </si>
  <si>
    <t>MUHAMMAD RIZKI ADITYA</t>
  </si>
  <si>
    <t>Susanti Manaf</t>
  </si>
  <si>
    <t>Bukhori Anwar</t>
  </si>
  <si>
    <t>Muhammad Difido</t>
  </si>
  <si>
    <t>Pratiwi Rahmawati</t>
  </si>
  <si>
    <t>Geovanny Prima Syah Putra</t>
  </si>
  <si>
    <t>Muhammad Luthfi Nurhanifan</t>
  </si>
  <si>
    <t>Selvia Yolanda</t>
  </si>
  <si>
    <t>ASRULLAH</t>
  </si>
  <si>
    <t>M. Syafrie Ferdhian</t>
  </si>
  <si>
    <t>Nuur Istiqomah Devisca Theressa</t>
  </si>
  <si>
    <t>Risya Farahhani Candra Dewi</t>
  </si>
  <si>
    <t>Anggit Prasetyo Aji</t>
  </si>
  <si>
    <t>Rasyid Herbanu Indra Saputra</t>
  </si>
  <si>
    <t>Selly Violita Septiningrum</t>
  </si>
  <si>
    <t>Ratna Putri Pradita</t>
  </si>
  <si>
    <t>Elsa Tania</t>
  </si>
  <si>
    <t>Iqbhal Hasballah</t>
  </si>
  <si>
    <t>Tito Sumario</t>
  </si>
  <si>
    <t>Rosi Pratita Endramaji</t>
  </si>
  <si>
    <t>Akmalurrizqi Fudzni</t>
  </si>
  <si>
    <t>Selina Dwi Akhsalu Umam</t>
  </si>
  <si>
    <t>Erga Yunanda Eka Paksi</t>
  </si>
  <si>
    <t>Muhammad Afif Nur Tajuddin</t>
  </si>
  <si>
    <t>Madinatul Hasanah</t>
  </si>
  <si>
    <t>Indah Shofiyah S.E., M.Sc.</t>
  </si>
  <si>
    <t>Vito Milariska Putra</t>
  </si>
  <si>
    <t>Dae Alifia Nur Hikmah</t>
  </si>
  <si>
    <t>Melati Sukma Negari</t>
  </si>
  <si>
    <t>Rizky Amelia</t>
  </si>
  <si>
    <t>Bagus Aji Pamungkas</t>
  </si>
  <si>
    <t>Muhammad Iqrom Alkafi</t>
  </si>
  <si>
    <t>Ponda Torahunchi</t>
  </si>
  <si>
    <t>Azizah Norma Aulia</t>
  </si>
  <si>
    <t>Khofifah Tuwus Baniyah</t>
  </si>
  <si>
    <t>Fyolita Ramadhani Ayu Widyaningtyas</t>
  </si>
  <si>
    <t>Aisyah Nur An-nisa</t>
  </si>
  <si>
    <t>Rizal Efendi</t>
  </si>
  <si>
    <t>M Iqbal Taruna</t>
  </si>
  <si>
    <t>Marcelina Dias Fadila</t>
  </si>
  <si>
    <t>Andromeda Nusantara</t>
  </si>
  <si>
    <t>Putriana Khairunnisa</t>
  </si>
  <si>
    <t>ANGKY SATRIA ATMAJA</t>
  </si>
  <si>
    <t>Ilham MS</t>
  </si>
  <si>
    <t>Fauzia Balqis Mujilestari</t>
  </si>
  <si>
    <t>Hafid Ansori</t>
  </si>
  <si>
    <t>Nur Sholihatunnisa</t>
  </si>
  <si>
    <t>Heni Mulyani</t>
  </si>
  <si>
    <t>Dzikrina Maslahah</t>
  </si>
  <si>
    <t>Salih Arya Gumilang</t>
  </si>
  <si>
    <t>Chairani Lailatul Arafah</t>
  </si>
  <si>
    <t>FITRA PAMBUDI</t>
  </si>
  <si>
    <t>MERRY GANESA DE ROSSI</t>
  </si>
  <si>
    <t>Rahmawati Sofiya Fahmi</t>
  </si>
  <si>
    <t>M.deparama Oscar Vahlevi</t>
  </si>
  <si>
    <t>Nina Deliana Devi</t>
  </si>
  <si>
    <t>Indah Nur Dyaningsih</t>
  </si>
  <si>
    <t>Zaid Prayogo</t>
  </si>
  <si>
    <t>Wanda Nadila S</t>
  </si>
  <si>
    <t>Maulana Yusuf Habibi</t>
  </si>
  <si>
    <t>082128932369?</t>
  </si>
  <si>
    <t>RIKO PRASETIYO</t>
  </si>
  <si>
    <t>Natasya Cut Dian Amelia</t>
  </si>
  <si>
    <t>Muhammad Ghazi Ahnafi</t>
  </si>
  <si>
    <t>Nur Izzati Ayu Rustyaning</t>
  </si>
  <si>
    <t>Muchammad Daffa' Shiddiqie</t>
  </si>
  <si>
    <t>Az - Zahra Ramadhanya</t>
  </si>
  <si>
    <t>Alfia Salsabila Ramdhani</t>
  </si>
  <si>
    <t>Inayah Sofiana Rahman</t>
  </si>
  <si>
    <t>AYU TRI NURJANAH</t>
  </si>
  <si>
    <t>Nur Qoidah</t>
  </si>
  <si>
    <t>Dinda Dianto</t>
  </si>
  <si>
    <t>Galih Divan Pranathabudi</t>
  </si>
  <si>
    <t>Ulfa Fadila Rahmadani</t>
  </si>
  <si>
    <t>Aufatcha Ayutya Suryana</t>
  </si>
  <si>
    <t>Awalludin Muzaqi Abdillah</t>
  </si>
  <si>
    <t>Velly Sanzi</t>
  </si>
  <si>
    <t>Khafidhoh S.Pd., M.Pd</t>
  </si>
  <si>
    <t>Ayu Sri Utari</t>
  </si>
  <si>
    <t>FAHRIZAL</t>
  </si>
  <si>
    <t>Desi Nugrahane Nursusanti</t>
  </si>
  <si>
    <t>Muhammad Kevin Dwi Raharjo</t>
  </si>
  <si>
    <t>Tsabitah Ramadina</t>
  </si>
  <si>
    <t>Rizky Indiardi</t>
  </si>
  <si>
    <t>Dzakiyyah Witya Ihsani</t>
  </si>
  <si>
    <t>Anisa Humaero Rafifah</t>
  </si>
  <si>
    <t>Hilda Hidayatun Nafi'ah</t>
  </si>
  <si>
    <t>BHERNAD OFFI FAQTUR ANANDO</t>
  </si>
  <si>
    <t>Dimas Tirto Wibisono</t>
  </si>
  <si>
    <t>Dwi Varah Wati</t>
  </si>
  <si>
    <t>Miftahul Ibra Budi Hartawan</t>
  </si>
  <si>
    <t>Siti Qomariah</t>
  </si>
  <si>
    <t>Raihan Yusuf Firmansyah</t>
  </si>
  <si>
    <t>Filza Nuraini Hanisa</t>
  </si>
  <si>
    <t>Arifah Ayu Wulandari</t>
  </si>
  <si>
    <t>Nur'afiyah</t>
  </si>
  <si>
    <t>CANTIKA ODI GRASIA</t>
  </si>
  <si>
    <t>Naura Rahma Nadhifah</t>
  </si>
  <si>
    <t>Nur Auliyah</t>
  </si>
  <si>
    <t>Muhammad Ridho Anggia</t>
  </si>
  <si>
    <t>Onky Sahat Parulian Saragih</t>
  </si>
  <si>
    <t>Rathaza Anugrah Putra</t>
  </si>
  <si>
    <t>Kevin Indah Ramadhani</t>
  </si>
  <si>
    <t>Raikhan Daizona</t>
  </si>
  <si>
    <t>Rani Hanifah</t>
  </si>
  <si>
    <t>Bagas Ashfahani Gunawan</t>
  </si>
  <si>
    <t>Fransisca Wulandari</t>
  </si>
  <si>
    <t>Richo Pebrian</t>
  </si>
  <si>
    <t>Saddam Fidri</t>
  </si>
  <si>
    <t>Wardatus Sholihah Nur Laili</t>
  </si>
  <si>
    <t>Aprilian Nur Istiqomah</t>
  </si>
  <si>
    <t>Mita Setia Andini</t>
  </si>
  <si>
    <t>Anugrah Ainul Yakin</t>
  </si>
  <si>
    <t>Nona Carolina</t>
  </si>
  <si>
    <t>RW 9, Wirobrajan, Wirobrajan</t>
  </si>
  <si>
    <t>Intan Sari</t>
  </si>
  <si>
    <t>Muh. Rizki Abdullah</t>
  </si>
  <si>
    <t>Farhan Muhammad Efendi</t>
  </si>
  <si>
    <t>Wahyu Aji Pamungkas</t>
  </si>
  <si>
    <t>Rifqi Rahman Suryandhika</t>
  </si>
  <si>
    <t>Hervinda Listiyawati</t>
  </si>
  <si>
    <t>Mahmudah Auwaliyah</t>
  </si>
  <si>
    <t>Kartika Nur Asihaty</t>
  </si>
  <si>
    <t>Eidel Putri Maharani</t>
  </si>
  <si>
    <t>Cici Eka Novita</t>
  </si>
  <si>
    <t>Salwa Feby Annisa</t>
  </si>
  <si>
    <t>Budi Shihabudin</t>
  </si>
  <si>
    <t>Dicky Wahana Dirgantara</t>
  </si>
  <si>
    <t>Muhammad Shohibul Ilmi</t>
  </si>
  <si>
    <t>Syafiq Muhammad Nabil</t>
  </si>
  <si>
    <t>Alfiya Faiza Tsaqifadila</t>
  </si>
  <si>
    <t>Arvina Prakusa</t>
  </si>
  <si>
    <t>RW 6, Patangpuluhan, Wirobrajan</t>
  </si>
  <si>
    <t>Meitsya Futri Sri Wahyuni</t>
  </si>
  <si>
    <t>Alfian Ardi Nugroho</t>
  </si>
  <si>
    <t>Roy Aouriozona Santoso</t>
  </si>
  <si>
    <t>Citra Sari</t>
  </si>
  <si>
    <t>Ichya Muhaymin</t>
  </si>
  <si>
    <t>Vika Meila Sintia</t>
  </si>
  <si>
    <t>Alya Azkia Syifa</t>
  </si>
  <si>
    <t>Ayu Putri Utami</t>
  </si>
  <si>
    <t>Azfra Mahardika Millenium Putra</t>
  </si>
  <si>
    <t>Puguh Albaab Nurdin</t>
  </si>
  <si>
    <t>Ladya Risky Salsabila</t>
  </si>
  <si>
    <t>Mukhammad Dimas Khoiril</t>
  </si>
  <si>
    <t>Tia Sulastri</t>
  </si>
  <si>
    <t>Rezkhy Pratiwi Syamsul Buburanda</t>
  </si>
  <si>
    <t>Supriyati</t>
  </si>
  <si>
    <t>Subhi Ghous'til A'dom</t>
  </si>
  <si>
    <t>Hanif Nabhan Najib</t>
  </si>
  <si>
    <t>Winda Windiartin Aprilia</t>
  </si>
  <si>
    <t>Rahmat Apriandi</t>
  </si>
  <si>
    <t>Kintan Putri Mega Safira</t>
  </si>
  <si>
    <t>Siti Nurkholifah</t>
  </si>
  <si>
    <t>Muhammad Hudaifah Nurcholis Al Fatah</t>
  </si>
  <si>
    <t>Rianti</t>
  </si>
  <si>
    <t>Yuniar Wau</t>
  </si>
  <si>
    <t>Aditya Pratama Wahyudi</t>
  </si>
  <si>
    <t>Widiana</t>
  </si>
  <si>
    <t>Chafida Yusa Putra</t>
  </si>
  <si>
    <t>Bagas Ardianto</t>
  </si>
  <si>
    <t>Dinda Alfiani</t>
  </si>
  <si>
    <t>Rahmatia Fitri Penak</t>
  </si>
  <si>
    <t>M Nouval S R</t>
  </si>
  <si>
    <t>Xiong Ziru</t>
  </si>
  <si>
    <t>YUNANDA DWI FACHRI</t>
  </si>
  <si>
    <t>IRKHAM FATKHURROHMAN</t>
  </si>
  <si>
    <t>Fika Ayu Arinta</t>
  </si>
  <si>
    <t>Shabrina One Sinansari</t>
  </si>
  <si>
    <t>Elsha Gita Aprivia</t>
  </si>
  <si>
    <t>Nur Agnia Aenul Yasmin</t>
  </si>
  <si>
    <t>Safana Putri Nurmalia</t>
  </si>
  <si>
    <t>Ahmad Husein</t>
  </si>
  <si>
    <t>Dr Surahma Asti Mulasari S.Si, M.Kes.</t>
  </si>
  <si>
    <t>M Roby Akbar</t>
  </si>
  <si>
    <t>Syarifah Ghina Ulfah</t>
  </si>
  <si>
    <t>Nor Syahdhan Fitrianto</t>
  </si>
  <si>
    <t>Alika Pasya Nur Widiya Permata Sari</t>
  </si>
  <si>
    <t>Fachreza Prima Ramadhan</t>
  </si>
  <si>
    <t>Anikahanavia Susanti</t>
  </si>
  <si>
    <t>Masyithoh Intan Briliani Karismasari</t>
  </si>
  <si>
    <t>Eli Sulistari</t>
  </si>
  <si>
    <t>RW 9, Pakuncen, Wirobrajan</t>
  </si>
  <si>
    <t>M ARIF SETIAWAN</t>
  </si>
  <si>
    <t>Moh Rifki</t>
  </si>
  <si>
    <t>Azizah Dwi Astuti</t>
  </si>
  <si>
    <t>Mushariful Rakim</t>
  </si>
  <si>
    <t>Tiskawati Nur Rahma Putri Hapsari</t>
  </si>
  <si>
    <t>Ninda Widiani</t>
  </si>
  <si>
    <t>Nur Annisa Ramadhini</t>
  </si>
  <si>
    <t>Anastasya Paramitha Agustine</t>
  </si>
  <si>
    <t>Novrian Aditya Muhammad</t>
  </si>
  <si>
    <t>Nama</t>
  </si>
  <si>
    <t>No. HP</t>
  </si>
  <si>
    <t>GMAP</t>
  </si>
  <si>
    <t>Koordinat</t>
  </si>
  <si>
    <t>-7.803349008938106, 110.3673457858771</t>
  </si>
  <si>
    <t>-7.801960324389417, 110.3705114</t>
  </si>
  <si>
    <t>-7.802013471991662, 110.3705114</t>
  </si>
  <si>
    <t>-7.804837043588664, 110.3708281</t>
  </si>
  <si>
    <t>-7.806102685264874, 110.37064612276451</t>
  </si>
  <si>
    <t>-7.807754832848901, 110.37167817251067</t>
  </si>
  <si>
    <t>-7.806179619845927, 110.37223155769662</t>
  </si>
  <si>
    <t>-7.806838175636045, 110.3722602511179</t>
  </si>
  <si>
    <t>-7.807780615380295, 110.36949990000001</t>
  </si>
  <si>
    <t>-7.804388301614069, 110.37289059999999</t>
  </si>
  <si>
    <t>-7.805171696547518, 110.37209237116463</t>
  </si>
  <si>
    <t>-7.80448770801724, 110.37337063455938</t>
  </si>
  <si>
    <t>-7.797807, 110.362541</t>
  </si>
  <si>
    <t>-7.800687764662804, 110.37061301349196</t>
  </si>
  <si>
    <t>-7.801108764892858, 110.37091594232795</t>
  </si>
  <si>
    <t>-7.80147900604063, 110.3614704</t>
  </si>
  <si>
    <t>-7.801702905899819, 110.36316188465445</t>
  </si>
  <si>
    <t>-7.803314700781496, 110.36223241534556</t>
  </si>
  <si>
    <t>-7.796756376761583, 110.36260117672028</t>
  </si>
  <si>
    <t>-7.7960329621199875, 110.35612174232719</t>
  </si>
  <si>
    <t>-7.800800512451778, 110.35522624417686</t>
  </si>
  <si>
    <t>-7.799816471181984, 110.35649474232723</t>
  </si>
  <si>
    <t>-7.795776191652351, 110.35782624232797</t>
  </si>
  <si>
    <t>-7.797534816756652, 110.35984019177428</t>
  </si>
  <si>
    <t>-7.796758561514286, 110.36139612886981</t>
  </si>
  <si>
    <t>-7.798834, 110.358078</t>
  </si>
  <si>
    <t>-7.799743234575182, 110.36088775767276</t>
  </si>
  <si>
    <t>-7.799328268344761, 110.35996879576855</t>
  </si>
  <si>
    <t>-7.80178088334184, 110.35435311349197</t>
  </si>
  <si>
    <t>-7.802790742782212, 110.356038271164</t>
  </si>
  <si>
    <t>-7.805496896717051, 110.3558665730161</t>
  </si>
  <si>
    <t>-7.807189, 110.354790</t>
  </si>
  <si>
    <t>-7.795727266153547, 110.35743411419138</t>
  </si>
  <si>
    <t>-7.803590607302142, 110.35788731534404</t>
  </si>
  <si>
    <t>-7.802924533984745, 110.35726419795573</t>
  </si>
  <si>
    <t>-7.802661563356179, 110.35937182679196</t>
  </si>
  <si>
    <t>-7.809933021487776, 110.3563179</t>
  </si>
  <si>
    <t>-7.8050235396351075, 110.35631598465444</t>
  </si>
  <si>
    <t>-7.8068259680182805, 110.35911175531035</t>
  </si>
  <si>
    <t>-7.805410028479886, 110.36461859334635</t>
  </si>
  <si>
    <t>-7.803675012499453, 110.3601995460367</t>
  </si>
  <si>
    <t>-7.804698766855143, 110.36150228465443</t>
  </si>
  <si>
    <t>-7.8062038179365265, 110.36569021330125</t>
  </si>
  <si>
    <t>-7.809538398824601, 110.36121452883602</t>
  </si>
  <si>
    <t>-7.8131968715037265, 110.36237458650803</t>
  </si>
  <si>
    <t>-7.812045617170967, 110.35689690000001</t>
  </si>
  <si>
    <t>-7.810156699147116, 110.3606882</t>
  </si>
  <si>
    <t>-7.808850, 110.359161</t>
  </si>
  <si>
    <t>-7.811314233980981, 110.36477660000001</t>
  </si>
  <si>
    <t>-7.8126500712044695, 110.36776614232798</t>
  </si>
  <si>
    <t>-7.809317245355043, 110.36530027116397</t>
  </si>
  <si>
    <t>-7.806553467869256, 110.36600315767203</t>
  </si>
  <si>
    <t>-7.8080665567780905, 110.36687712883601</t>
  </si>
  <si>
    <t>-7.804215054965887, 110.3665787288364</t>
  </si>
  <si>
    <t>-7.8053332083434475, 110.36879685951837</t>
  </si>
  <si>
    <t>-7.79075529511332, 110.37500819207469</t>
  </si>
  <si>
    <t>-7.793342290385236, 110.37521379999998</t>
  </si>
  <si>
    <t>-7.7930389091984384, 110.37518189392812</t>
  </si>
  <si>
    <t>-7.792142579056997, 110.37433945581992</t>
  </si>
  <si>
    <t>-7.794335, 110.377045</t>
  </si>
  <si>
    <t>-7.794137747192619, 110.37547714137595</t>
  </si>
  <si>
    <t>-7.794669921992996, 110.37342679742551</t>
  </si>
  <si>
    <t>-7.795857451036537, 110.37630398465444</t>
  </si>
  <si>
    <t>-7.789754835519418, 110.36814703068812</t>
  </si>
  <si>
    <t>-7.792698819801307, 110.36805612883639</t>
  </si>
  <si>
    <t>-7.793679763591554, 110.36608441534406</t>
  </si>
  <si>
    <t>-7.790302275075409, 110.36902450000001</t>
  </si>
  <si>
    <t>-7.793135420017477, 110.37146284232797</t>
  </si>
  <si>
    <t>-7.793033487661786, 110.37153683440059</t>
  </si>
  <si>
    <t>-7.791311759542442, 110.37376518650805</t>
  </si>
  <si>
    <t>-7.789271534521926, 110.37233356997433</t>
  </si>
  <si>
    <t>-7.79407267714315, 110.37204799740185</t>
  </si>
  <si>
    <t>-7.796088491814972, 110.36885811534556</t>
  </si>
  <si>
    <t>-7.795855929068134, 110.37046216690881</t>
  </si>
  <si>
    <t>-7.814462455409587, 110.37816377116398</t>
  </si>
  <si>
    <t>-7.817320586389081, 110.37878718650803</t>
  </si>
  <si>
    <t>-7.8171156755804505, 110.3814621858456</t>
  </si>
  <si>
    <t>-7.82737133700573, 110.38450577116397</t>
  </si>
  <si>
    <t>-7.8253937759441365, 110.3817200306881</t>
  </si>
  <si>
    <t>-7.824884606837171, 110.3839932</t>
  </si>
  <si>
    <t>-7.829784675770044, 110.37513076119278</t>
  </si>
  <si>
    <t>-7.821155759757018, 110.37587484232796</t>
  </si>
  <si>
    <t>-7.822569008570936, 110.3758243539633</t>
  </si>
  <si>
    <t>-7.822967676854718, 110.37872227116398</t>
  </si>
  <si>
    <t>-7.823072297380966, 110.37873193967036</t>
  </si>
  <si>
    <t>-7.77623386117471, 110.36857552496215</t>
  </si>
  <si>
    <t>-7.798454193047028, 110.37412577116399</t>
  </si>
  <si>
    <t>-8.146976871955749, 111.13454935704782</t>
  </si>
  <si>
    <t>-8.147209306830181, 111.1265563711646</t>
  </si>
  <si>
    <t>-8.14817245108914, 111.13454289815222</t>
  </si>
  <si>
    <t>-8.161408300573965, 111.12967885990912</t>
  </si>
  <si>
    <t>-8.18452513985813, 111.12981696836543</t>
  </si>
  <si>
    <t>-8.191784993376352, 111.12247854232922</t>
  </si>
  <si>
    <t>-8.189582133882677, 111.13122291534623</t>
  </si>
  <si>
    <t>-8.211269172183325, 111.14092242591934</t>
  </si>
  <si>
    <t>-8.20834950266697, 111.13530679815224</t>
  </si>
  <si>
    <t>-8.204471581469127, 111.15226608650619</t>
  </si>
  <si>
    <t>-8.213239917559118, 111.13772318465841</t>
  </si>
  <si>
    <t>-8.216005468975169, 111.13281143068313</t>
  </si>
  <si>
    <t>-8.214715006242185, 111.13230845767076</t>
  </si>
  <si>
    <t>-7.9202970568326645, 110.3178900030778</t>
  </si>
  <si>
    <t>-7.925123246378239, 110.32316845582304</t>
  </si>
  <si>
    <t>-7.9217783387816025, 110.334852</t>
  </si>
  <si>
    <t>-7.937303752987454, 110.32520185767078</t>
  </si>
  <si>
    <t>-7.923119960350556, 110.33668499719913</t>
  </si>
  <si>
    <t>-7.931926722909085, 110.33178118370519</t>
  </si>
  <si>
    <t>-7.934131403520383, 110.30778218650619</t>
  </si>
  <si>
    <t>-7.934078272851372, 110.3077392711646</t>
  </si>
  <si>
    <t>-7.924292392982966, 110.30908825486986</t>
  </si>
  <si>
    <t>-7.9709180468031775, 110.32310844232921</t>
  </si>
  <si>
    <t>-7.956325977740203, 110.30328523860763</t>
  </si>
  <si>
    <t>-7.965400123402727, 110.30447138925143</t>
  </si>
  <si>
    <t>-7.957694489590217, 110.30845281349784</t>
  </si>
  <si>
    <t>-7.9197820657048466, 110.29114799291595</t>
  </si>
  <si>
    <t>-7.946471109585189, 110.29364105582303</t>
  </si>
  <si>
    <t>-7.95262496391242, 110.28942294232921</t>
  </si>
  <si>
    <t>-7.960983942162834, 110.29647500554323</t>
  </si>
  <si>
    <t>-7.9605592473115845, 110.2927596355823</t>
  </si>
  <si>
    <t>-7.954249062198834, 110.32263255767076</t>
  </si>
  <si>
    <t>-7.931894497681339, 110.31888255767078</t>
  </si>
  <si>
    <t>-7.944205973415669, 110.32250235302223</t>
  </si>
  <si>
    <t>-7.944180286063774, 110.31269878040335</t>
  </si>
  <si>
    <t>-7.952172309748434, 110.31359217301235</t>
  </si>
  <si>
    <t>-7.873534290809983, 110.32555680554258</t>
  </si>
  <si>
    <t>-7.8828097058472375, 110.33292518650617</t>
  </si>
  <si>
    <t>-7.889915817101074, 110.33045729694857</t>
  </si>
  <si>
    <t>-7.899644464890466, 110.33545937241053</t>
  </si>
  <si>
    <t>-7.885562542846338, 110.32773535526343</t>
  </si>
  <si>
    <t>-7.896912295677208, 110.32249088594658</t>
  </si>
  <si>
    <t>-7.903289834556539, 110.32488028835392</t>
  </si>
  <si>
    <t>-7.904597208374296, 110.31953600000001</t>
  </si>
  <si>
    <t>-7.894785214272704, 110.3146724548697</t>
  </si>
  <si>
    <t>-7.94786600409953, 110.64389417060498</t>
  </si>
  <si>
    <t>-7.910271879149124, 110.33527621254045</t>
  </si>
  <si>
    <t>-7.883573100520349, 110.31353966836335</t>
  </si>
  <si>
    <t>-7.8805076873132105, 110.31652498465843</t>
  </si>
  <si>
    <t>-7.8883693357259626, 110.31799118650618</t>
  </si>
  <si>
    <t>-7.890140391149308, 110.35605998650617</t>
  </si>
  <si>
    <t>-7.905257731232895, 110.3488484822511</t>
  </si>
  <si>
    <t>-7.888879017834325, 110.3508225711646</t>
  </si>
  <si>
    <t>-7.891035428405502, 110.3365529895787</t>
  </si>
  <si>
    <t>-7.8846563067009585, 110.33998155767078</t>
  </si>
  <si>
    <t>-7.887024074771653, 110.34620635302167</t>
  </si>
  <si>
    <t>-7.895974203491585, 110.34353681349383</t>
  </si>
  <si>
    <t>-7.886107249465363, 110.33938570739097</t>
  </si>
  <si>
    <t>-7.899419813533609, 110.35158964232923</t>
  </si>
  <si>
    <t>-7.909299964575818, 110.34522179815224</t>
  </si>
  <si>
    <t>-7.887514689394741, 110.348775</t>
  </si>
  <si>
    <t>-7.897615002193592, 110.34797582458032</t>
  </si>
  <si>
    <t>-7.904624810251043, 110.3380731395281</t>
  </si>
  <si>
    <t>-7.977425244126803, 110.28687253952864</t>
  </si>
  <si>
    <t>-7.980343101351156, 110.28749365767078</t>
  </si>
  <si>
    <t>-7.979127775454977, 110.28513416136627</t>
  </si>
  <si>
    <t>-7.983896252874145, 110.28615044232922</t>
  </si>
  <si>
    <t>-7.987072504851556, 110.28206562698763</t>
  </si>
  <si>
    <t>-7.984065303286949, 110.28328795397529</t>
  </si>
  <si>
    <t>-7.98120937726925, 110.27440860867912</t>
  </si>
  <si>
    <t>-7.983069377346538, 110.27391035767079</t>
  </si>
  <si>
    <t>-7.991259562018532, 110.27566820988281</t>
  </si>
  <si>
    <t>-7.993681008291922, 110.2824724166297</t>
  </si>
  <si>
    <t>-7.971775120839218, 110.27045072883469</t>
  </si>
  <si>
    <t>-7.976312749325525, 110.26211445767078</t>
  </si>
  <si>
    <t>-7.983456578730168, 110.26272658650619</t>
  </si>
  <si>
    <t>-7.986286204442399, 110.27220526080669</t>
  </si>
  <si>
    <t>-7.990521880642843, 110.26735444731284</t>
  </si>
  <si>
    <t>-7.970529497737781, 110.25615172883542</t>
  </si>
  <si>
    <t>-7.969379520012269, 110.25736278779434</t>
  </si>
  <si>
    <t>-7.976565868614909, 110.25562072603479</t>
  </si>
  <si>
    <t>-7.977655399953926, 110.25423129703304</t>
  </si>
  <si>
    <t>-7.980289975320526, 110.24859235461938</t>
  </si>
  <si>
    <t>-7.973630202729627, 110.24975264301493</t>
  </si>
  <si>
    <t>-7.973867637325894, 110.25482023842895</t>
  </si>
  <si>
    <t>-7.985445177590549, 110.25696781349382</t>
  </si>
  <si>
    <t>-7.962724913685331, 110.27777576252834</t>
  </si>
  <si>
    <t>-7.968038120207578, 110.27512199999998</t>
  </si>
  <si>
    <t>-7.971200971433343, 110.26118122273257</t>
  </si>
  <si>
    <t>-7.970050595216859, 110.27505306931687</t>
  </si>
  <si>
    <t>-7.897893204577762, 110.29515891534157</t>
  </si>
  <si>
    <t>-7.895502887405372, 110.29752685302186</t>
  </si>
  <si>
    <t>-7.897325885486563, 110.30070961534155</t>
  </si>
  <si>
    <t>-7.906912951162353, 110.28570267189313</t>
  </si>
  <si>
    <t>-7.911780839150137, 110.29310616931687</t>
  </si>
  <si>
    <t>-7.8970674582766565, 110.30486454232924</t>
  </si>
  <si>
    <t>-7.909768945087908, 110.30235949389717</t>
  </si>
  <si>
    <t>-7.9107034128422296, 110.30592108650619</t>
  </si>
  <si>
    <t>-7.9162562479309635, 110.30248425212754</t>
  </si>
  <si>
    <t>-7.905070935519705, 110.31207673807411</t>
  </si>
  <si>
    <t>-7.910635684487831, 110.30933320367438</t>
  </si>
  <si>
    <t>-7.9160155755058845, 110.30957045767077</t>
  </si>
  <si>
    <t>-7.928145005714028, 110.29746489759265</t>
  </si>
  <si>
    <t>-7.932575585939869, 110.29144399333757</t>
  </si>
  <si>
    <t>-7.945024386413318, 110.28115148465844</t>
  </si>
  <si>
    <t>-7.954350087858016, 110.27949905711118</t>
  </si>
  <si>
    <t>-7.949332485258392, 110.2697058134938</t>
  </si>
  <si>
    <t>-7.945562231642747, 110.26703762698766</t>
  </si>
  <si>
    <t>-7.9478813674376445, 110.27941928537707</t>
  </si>
  <si>
    <t>-7.936865143101232, 110.26467846265442</t>
  </si>
  <si>
    <t>-7.93815247947186, 110.2692512711646</t>
  </si>
  <si>
    <t>-7.724234896240796, 110.19291181349381</t>
  </si>
  <si>
    <t>-7.722874627092683, 110.19548372603309</t>
  </si>
  <si>
    <t>-7.729344666945095, 110.19993974361735</t>
  </si>
  <si>
    <t>-7.721921369147317, 110.21883199999999</t>
  </si>
  <si>
    <t>-7.720639257940298, 110.21204624121003</t>
  </si>
  <si>
    <t>-7.708758258142892, 110.21354117430052</t>
  </si>
  <si>
    <t>-7.732738574594469, 110.20879467116461</t>
  </si>
  <si>
    <t>-7.733265487338899, 110.21610791791787</t>
  </si>
  <si>
    <t>-7.655699903578828, 110.25050391534157</t>
  </si>
  <si>
    <t>-7.6507087001529275, 110.26064181349382</t>
  </si>
  <si>
    <t>-7.660741706191213, 110.25287413992187</t>
  </si>
  <si>
    <t>-7.658572804891991, 110.25983954232923</t>
  </si>
  <si>
    <t>-7.659297603980262, 110.2414217288354</t>
  </si>
  <si>
    <t>-7.708813790037015, 110.23147947060498</t>
  </si>
  <si>
    <t>-7.70666865302441, 110.23464305839933</t>
  </si>
  <si>
    <t>-7.677693979604551, 110.26127527116459</t>
  </si>
  <si>
    <t>-7.670475835826249, 110.25106466265441</t>
  </si>
  <si>
    <t>-7.667840810446262, 110.247941</t>
  </si>
  <si>
    <t>-7.700815990611613, 110.25726691534157</t>
  </si>
  <si>
    <t>-7.697520149810087, 110.24763827116462</t>
  </si>
  <si>
    <t>-7.697330976183597, 110.25368517490233</t>
  </si>
  <si>
    <t>-7.6834805198986205, 110.2416954</t>
  </si>
  <si>
    <t>-7.698447521612707, 110.20229487116461</t>
  </si>
  <si>
    <t>-7.693744148484501, 110.20587327116459</t>
  </si>
  <si>
    <t>-7.680858971976444, 110.18154287816495</t>
  </si>
  <si>
    <t>-7.649005632726411, 110.18918141293422</t>
  </si>
  <si>
    <t>-7.65432296851237, 110.19469718650619</t>
  </si>
  <si>
    <t>-7.674177581659543, 110.20168240554324</t>
  </si>
  <si>
    <t>-7.7975597180425495, 110.38647850936678</t>
  </si>
  <si>
    <t>-7.675651080531909, 110.21090535582302</t>
  </si>
  <si>
    <t>-7.7151153657239435, 110.17661891534156</t>
  </si>
  <si>
    <t>-7.697388999066455, 110.1497239491606</t>
  </si>
  <si>
    <t>-7.690807377719916, 110.32699350138864</t>
  </si>
  <si>
    <t>-7.697436655842633, 110.13866822088482</t>
  </si>
  <si>
    <t>-7.710583622574604, 110.16090791478197</t>
  </si>
  <si>
    <t>-7.70610366251832, 110.15375853656428</t>
  </si>
  <si>
    <t>-7.6505257000418005, 110.18087121478197</t>
  </si>
  <si>
    <t>-7.662010685200931, 110.16912460867913</t>
  </si>
  <si>
    <t>-7.6559563701337146, 110.17256184232923</t>
  </si>
  <si>
    <t>-7.656774236501809, 110.17253763381903</t>
  </si>
  <si>
    <t>-7.67095971076893, 110.16326</t>
  </si>
  <si>
    <t>-7.678054012416678, 110.1624870245803</t>
  </si>
  <si>
    <t>-7.660876970045155, 110.15648466634991</t>
  </si>
  <si>
    <t>-7.653906934015791, 110.15603023807412</t>
  </si>
  <si>
    <t>-7.649922133055926, 110.14814271164606</t>
  </si>
  <si>
    <t>-7.6751770858736466, 110.15292316634992</t>
  </si>
  <si>
    <t>-7.671400175037089, 110.12345589944037</t>
  </si>
  <si>
    <t>-7.927378052810468, 110.57316338964208</t>
  </si>
  <si>
    <t>-7.931493476029156, 110.57161145767077</t>
  </si>
  <si>
    <t>-7.926832605205596, 110.57502091534155</t>
  </si>
  <si>
    <t>-7.935783226077345, 110.57819127116461</t>
  </si>
  <si>
    <t>-7.943768437652737, 110.57807572217295</t>
  </si>
  <si>
    <t>-7.950554342931874, 110.56758036506177</t>
  </si>
  <si>
    <t>-7.9466699870948885, 110.56723134546513</t>
  </si>
  <si>
    <t>-7.947516232755613, 110.55153218650617</t>
  </si>
  <si>
    <t>-7.949470102903545, 110.54545997236828</t>
  </si>
  <si>
    <t>-7.9555580845919724, 110.55188577917855</t>
  </si>
  <si>
    <t>-7.960558741964331, 110.55194254417695</t>
  </si>
  <si>
    <t>-7.9632887432389134, 110.55350916931687</t>
  </si>
  <si>
    <t>-7.96626237111108, 110.55245126080668</t>
  </si>
  <si>
    <t>-7.962068354715366, 110.54509312707214</t>
  </si>
  <si>
    <t>-7.968836619688095, 110.54059400000001</t>
  </si>
  <si>
    <t>-7.973071245937886, 110.54394540734874</t>
  </si>
  <si>
    <t>-7.973697872795183, 110.54835677984373</t>
  </si>
  <si>
    <t>-8.050230784057415, 110.5202152711646</t>
  </si>
  <si>
    <t>-8.042793658258738, 110.5187883530228</t>
  </si>
  <si>
    <t>-8.04093956293311, 110.52203203012353</t>
  </si>
  <si>
    <t>-8.009516461571897, 110.53587367430052</t>
  </si>
  <si>
    <t>-7.995394956417631, 110.52217604731284</t>
  </si>
  <si>
    <t>-8.001910942914805, 110.55521764563407</t>
  </si>
  <si>
    <t>-8.010753451911311, 110.55925936651887</t>
  </si>
  <si>
    <t>-8.006246608891496, 110.56484158964206</t>
  </si>
  <si>
    <t>-8.008646922562034, 110.56178414233055</t>
  </si>
  <si>
    <t>-8.000486130481313, 110.55400808185793</t>
  </si>
  <si>
    <t>-7.98933937558181, 110.55579103952861</t>
  </si>
  <si>
    <t>-7.989740632185816, 110.54578127116459</t>
  </si>
  <si>
    <t>-8.002544391155576, 110.50689772883537</t>
  </si>
  <si>
    <t>-8.005488465896574, 110.5039336711646</t>
  </si>
  <si>
    <t>-8.009780268359574, 110.5082838134938</t>
  </si>
  <si>
    <t>-8.055023559749925, 110.55318292096929</t>
  </si>
  <si>
    <t>-8.019830338282574, 110.55913345767202</t>
  </si>
  <si>
    <t>-7.976884087043278, 110.53053503016089</t>
  </si>
  <si>
    <t>-7.985582286798043, 110.53122068625123</t>
  </si>
  <si>
    <t>-7.989291238510897, 110.53610972616244</t>
  </si>
  <si>
    <t>-7.982439514878942, 110.5342663</t>
  </si>
  <si>
    <t>-7.976202961793128, 110.54248927116397</t>
  </si>
  <si>
    <t>-8.014483838846477, 110.54429008465596</t>
  </si>
  <si>
    <t>-8.005000239267847, 110.54723174154392</t>
  </si>
  <si>
    <t>-8.01055145330203, 110.54267554232797</t>
  </si>
  <si>
    <t>-8.008372055451723, 110.5455556</t>
  </si>
  <si>
    <t>-8.005145650693207, 110.55497767434098</t>
  </si>
  <si>
    <t>-8.026543349993789, 110.64742333505475</t>
  </si>
  <si>
    <t>-8.034594690342695, 110.64733566673013</t>
  </si>
  <si>
    <t>-8.051669026962522, 110.64948704365283</t>
  </si>
  <si>
    <t>-8.045428970175914, 110.65217796137624</t>
  </si>
  <si>
    <t>-8.043475269228772, 110.66822857196162</t>
  </si>
  <si>
    <t>-8.047717848114791, 110.668453</t>
  </si>
  <si>
    <t>-8.048823225538131, 110.66649999999998</t>
  </si>
  <si>
    <t>-8.06279765992133, 110.65776950370419</t>
  </si>
  <si>
    <t>-8.072612595969058, 110.66633118650803</t>
  </si>
  <si>
    <t>-8.071024182605285, 110.67425321852105</t>
  </si>
  <si>
    <t>-8.070884314849613, 110.67640814735704</t>
  </si>
  <si>
    <t>-8.072237205722868, 110.67810434365286</t>
  </si>
  <si>
    <t>-8.079175990833901, 110.69656902579426</t>
  </si>
  <si>
    <t>-8.086700823122918, 110.70337355661756</t>
  </si>
  <si>
    <t>-8.053803966287049, 110.60607742407734</t>
  </si>
  <si>
    <t>-8.008628046606086, 110.59606745314642</t>
  </si>
  <si>
    <t>-8.014903931374278, 110.60199365767201</t>
  </si>
  <si>
    <t>-8.014111447432716, 110.622322932013</t>
  </si>
  <si>
    <t>-8.01024785315547, 110.61028414232797</t>
  </si>
  <si>
    <t>-8.002038646491087, 110.64986210586012</t>
  </si>
  <si>
    <t>-8.0003734270825, 110.62038962824118</t>
  </si>
  <si>
    <t>-8.001363617240813, 110.62316945039882</t>
  </si>
  <si>
    <t>-8.006700075687077, 110.620047728836</t>
  </si>
  <si>
    <t>-7.998057220683423, 110.6264986373125</t>
  </si>
  <si>
    <t>-8.00639820515634, 110.63293782694876</t>
  </si>
  <si>
    <t>-8.01366220292879, 110.6337969</t>
  </si>
  <si>
    <t>-8.015378199479445, 110.6354267730837</t>
  </si>
  <si>
    <t>-7.917123628759875, 110.60696314180073</t>
  </si>
  <si>
    <t>-7.91977688322783, 110.6165525111126</t>
  </si>
  <si>
    <t>-7.982648190115023, 110.61865516931188</t>
  </si>
  <si>
    <t>-7.9875810690425535, 110.57878027116398</t>
  </si>
  <si>
    <t>-7.801515612751679, 110.624145</t>
  </si>
  <si>
    <t>-7.801447200399467, 110.6302166243091</t>
  </si>
  <si>
    <t>-7.802507465657289, 110.64170299999999</t>
  </si>
  <si>
    <t>-7.798340685741482, 110.64578600000002</t>
  </si>
  <si>
    <t>-7.805548696744053, 110.65610072275246</t>
  </si>
  <si>
    <t>-7.822582873946343, 110.63629945499733</t>
  </si>
  <si>
    <t>-7.813907917953169, 110.64205364418007</t>
  </si>
  <si>
    <t>-8.769973830108345, 118.83970921085579</t>
  </si>
  <si>
    <t>7.053873862296925, 100.50587570688118</t>
  </si>
  <si>
    <t>6.635809149011594, 100.43405826848226</t>
  </si>
  <si>
    <t>6.870071490417302, 101.367244310599</t>
  </si>
  <si>
    <t>3.1902063037923782, 101.69513636667573</t>
  </si>
  <si>
    <t>-7.789007337355637, 110.40755012144119</t>
  </si>
  <si>
    <t>-7.786707576643119, 110.40978887804518</t>
  </si>
  <si>
    <t>-7.7973853924903604, 110.40684547248887</t>
  </si>
  <si>
    <t>-7.815658547856909, 110.40775151058538</t>
  </si>
  <si>
    <t>-7.828716622338761, 110.40699821296471</t>
  </si>
  <si>
    <t>-7.823936502452197, 110.4065958602312</t>
  </si>
  <si>
    <t>-7.791774510928009, 110.40915701666891</t>
  </si>
  <si>
    <t>-7.7948713148506625, 110.40317307248887</t>
  </si>
  <si>
    <t>-7.809934393777049, 110.40989192805198</t>
  </si>
  <si>
    <t>-7.8038281610710065, 110.40444237248883</t>
  </si>
  <si>
    <t>-7.816817148314233, 110.40677227434097</t>
  </si>
  <si>
    <t>-7.809973745613954, 110.4125525627011</t>
  </si>
  <si>
    <t>-7.808881586501929, 110.41380907196162</t>
  </si>
  <si>
    <t>-7.818210877968017, 110.40519543571718</t>
  </si>
  <si>
    <t>-7.82236621853384, 110.40334882090036</t>
  </si>
  <si>
    <t>-7.81165664518565, 110.41704272407888</t>
  </si>
  <si>
    <t>-7.7931370389805075, 110.40499344550493</t>
  </si>
  <si>
    <t>-8.074996451903555, 110.48312834974614</t>
  </si>
  <si>
    <t>-7.971910737115095, 110.57670586878464</t>
  </si>
  <si>
    <t>-7.814327747197351, 110.3724809124553</t>
  </si>
  <si>
    <t>-7.823173021847408, 110.37093390926051</t>
  </si>
  <si>
    <t>-7.823836951086571, 110.37427390317698</t>
  </si>
  <si>
    <t>-7.824896219944636, 110.37247562642287</t>
  </si>
  <si>
    <t>-7.822042876347969, 110.37622666084901</t>
  </si>
  <si>
    <t>-7.82056984649937, 110.3748489589969</t>
  </si>
  <si>
    <t>-7.81946576304674, 110.37114084293555</t>
  </si>
  <si>
    <t>-7.816536102476292, 110.37478872883601</t>
  </si>
  <si>
    <t>-7.817854132275755, 110.37551044418196</t>
  </si>
  <si>
    <t>-7.8208675,110.371723</t>
  </si>
  <si>
    <t>-7.791281470167354, 110.37498673440057</t>
  </si>
  <si>
    <t>-7.793016432275819, 110.37660407301236</t>
  </si>
  <si>
    <t>-7.793374179604237, 110.37569659762065</t>
  </si>
  <si>
    <t>-7.79236391967057, 110.3748493</t>
  </si>
  <si>
    <t>-7.794234939412636, 110.37722701534555</t>
  </si>
  <si>
    <t>-7.795985007131478, 110.37684042645668</t>
  </si>
  <si>
    <t>-7.790501315471186, 110.36831220740842</t>
  </si>
  <si>
    <t>-7.792162016758455, 110.37049157461138</t>
  </si>
  <si>
    <t>-7.79335555665518, 110.36767228313136</t>
  </si>
  <si>
    <t>-7.791112053651397, 110.36906235708219</t>
  </si>
  <si>
    <t>-7.7917074163435185, 110.3711636470558</t>
  </si>
  <si>
    <t>-7.793209828228135, 110.3718383515885</t>
  </si>
  <si>
    <t>-7.789077158323, 110.37320203571721</t>
  </si>
  <si>
    <t>-7.795244722238216, 110.37113808363905</t>
  </si>
  <si>
    <t>-7.8006552123908435, 110.35901716640534</t>
  </si>
  <si>
    <t>-7.795818710363238, 110.35844851481684</t>
  </si>
  <si>
    <t>-7.803665013653268, 110.35806970556419</t>
  </si>
  <si>
    <t>-7.796664090867659, 110.36191114536975</t>
  </si>
  <si>
    <t>-7.798739607586348, 110.35838054973638</t>
  </si>
  <si>
    <t>-7.789098418019139, 110.37324495106127</t>
  </si>
  <si>
    <t>-7.803654384175352, 110.35830573994862</t>
  </si>
  <si>
    <t>-7.8029175018179115, 110.35728027116397</t>
  </si>
  <si>
    <t>-7.791359963851287, 110.3740260873057</t>
  </si>
  <si>
    <t>-7.804320525559519, 110.36026072883601</t>
  </si>
  <si>
    <t>-7.93371460180277, 110.27109635969677</t>
  </si>
  <si>
    <t>-7.937433344206439, 110.26851487116356</t>
  </si>
  <si>
    <t>-7.949315172382059, 110.2697792711636</t>
  </si>
  <si>
    <t>-7.949621475453706, 110.27268381669496</t>
  </si>
  <si>
    <t>-7.94945842684864, 110.27599512883643</t>
  </si>
  <si>
    <t>-7.941506820112796, 110.26480792883643</t>
  </si>
  <si>
    <t>-7.9432961,110.2650144</t>
  </si>
  <si>
    <t>-7.9456649,110.2670604</t>
  </si>
  <si>
    <t>-7.945173402682088, 110.28122534173696</t>
  </si>
  <si>
    <t>-7.94494329930431, 110.28127991534569</t>
  </si>
  <si>
    <t>-7.8176908,110.387958</t>
  </si>
  <si>
    <t>-7.9359750131467495, 110.26358302883642</t>
  </si>
  <si>
    <t>-7.937788714201921, 110.2723654865093</t>
  </si>
  <si>
    <t>-7.949754534555044, 110.26613956050458</t>
  </si>
  <si>
    <t>-7.9494919,110.2672747</t>
  </si>
  <si>
    <t>-7.9384517,110.2571086</t>
  </si>
  <si>
    <t>-7.936348391574055, 110.26130998650929</t>
  </si>
  <si>
    <t>-7.938240036657116, 110.26007372458568</t>
  </si>
  <si>
    <t>-7.91173,110.2983447</t>
  </si>
  <si>
    <t>-7.909927778275542, 110.30191654232716</t>
  </si>
  <si>
    <t>-7.900547029097029, 110.30193429390194</t>
  </si>
  <si>
    <t>-7.897419761523404, 110.30058629814499</t>
  </si>
  <si>
    <t>-7.89336544278292, 110.2972456134907</t>
  </si>
  <si>
    <t>-7.897786226309726, 110.2951988865093</t>
  </si>
  <si>
    <t>-7.908153318578431, 110.29138157301857</t>
  </si>
  <si>
    <t>-7.9044665,110.2851175</t>
  </si>
  <si>
    <t>-7.8974962,110.3094548</t>
  </si>
  <si>
    <t>-7.905196021765442, 110.3116894534219</t>
  </si>
  <si>
    <t>-7.907688350340397, 110.31418874418216</t>
  </si>
  <si>
    <t>-7.907947004083938, 110.30489782883643</t>
  </si>
  <si>
    <t>-7.9203645,110.3084791</t>
  </si>
  <si>
    <t>-7.9163832,110.2975855</t>
  </si>
  <si>
    <t>-7.9259606,110.2954666</t>
  </si>
  <si>
    <t>-7.928107813705068, 110.29699282883642</t>
  </si>
  <si>
    <t>-7.9318606250012245, 110.29888889999998</t>
  </si>
  <si>
    <t>-7.940127163619471, 110.29784768465426</t>
  </si>
  <si>
    <t>-7.7990598933625375, 110.1969722</t>
  </si>
  <si>
    <t>-7.803112012056669, 110.2094392669116</t>
  </si>
  <si>
    <t>-7.799737123287562, 110.2211622134907</t>
  </si>
  <si>
    <t>-7.8144863520066306, 110.18478808040238</t>
  </si>
  <si>
    <t>-7.822363537498527, 110.18382067301856</t>
  </si>
  <si>
    <t>-7.806377752081718, 110.18244838124693</t>
  </si>
  <si>
    <t>-7.768753,110.2004432</t>
  </si>
  <si>
    <t>-7.780589726285196, 110.1913778092384</t>
  </si>
  <si>
    <t>-7.790601860017656, 110.20079953807492</t>
  </si>
  <si>
    <t>-7.78433275537767, 110.20810227116357</t>
  </si>
  <si>
    <t>-7.786952866123468, 110.21451823069144</t>
  </si>
  <si>
    <t>-7.79173421709363, 110.21649998650928</t>
  </si>
  <si>
    <t>-7.798640589157186, 110.23021514232715</t>
  </si>
  <si>
    <t>-7.7750934130845755, 110.2103056</t>
  </si>
  <si>
    <t>-7.7627506643496655, 110.20661500168713</t>
  </si>
  <si>
    <t>-7.766205651394666, 110.20887994574764</t>
  </si>
  <si>
    <t>-7.7611236958547565, 110.20856267116358</t>
  </si>
  <si>
    <t>-7.7581351,110.2184294</t>
  </si>
  <si>
    <t>-7.768962661023806, 110.21603328040193</t>
  </si>
  <si>
    <t>-7.757907894513251, 110.21001268465429</t>
  </si>
  <si>
    <t>-7.74698475177973, 110.20756437301857</t>
  </si>
  <si>
    <t>-7.739464703334053, 110.2114023030987</t>
  </si>
  <si>
    <t>-7.9038843366934355, 110.4930789134907</t>
  </si>
  <si>
    <t>-7.854209450374861, 110.3901389</t>
  </si>
  <si>
    <t>-7.926637163034267, 110.48660572458569</t>
  </si>
  <si>
    <t>-7.894415279097421, 110.48843399999966</t>
  </si>
  <si>
    <t>-7.897550934492675, 110.48291855581783</t>
  </si>
  <si>
    <t>-7.90746109157288, 110.4824570846543</t>
  </si>
  <si>
    <t>-7.922277243094603, 110.48722715581785</t>
  </si>
  <si>
    <t>-7.9209808,110.4850303</t>
  </si>
  <si>
    <t>-8.467302477555108, 114.1577433542158</t>
  </si>
  <si>
    <t>-8.464412038407307, 114.13513763624688</t>
  </si>
  <si>
    <t>-8.4693065,114.186249</t>
  </si>
  <si>
    <t>-8.474981063855305, 114.18168545334855</t>
  </si>
  <si>
    <t>-8.518114095560174, 114.17218645767218</t>
  </si>
  <si>
    <t>-8.5041399,114.1535049</t>
  </si>
  <si>
    <t>-7.842858373188538, 110.2349244153444</t>
  </si>
  <si>
    <t>-7.798947710409452, 110.46247675225098</t>
  </si>
  <si>
    <t>-7.801317465006918, 110.63035389814789</t>
  </si>
  <si>
    <t>-7.904367494155181, 110.48839180740843</t>
  </si>
  <si>
    <t>-7.952290402253197, 110.31398958412873</t>
  </si>
  <si>
    <t>-7.8225744245460715, 110.3843750711639</t>
  </si>
  <si>
    <t>-7.828206723965058, 110.38292911534441</t>
  </si>
  <si>
    <t>-7.829970168727566, 110.38508238465559</t>
  </si>
  <si>
    <t>-7.818316802782045, 110.37104659134667</t>
  </si>
  <si>
    <t>-7.816827390041505, 110.37325332883643</t>
  </si>
  <si>
    <t>-7.821910013702025, 110.37562584603712</t>
  </si>
  <si>
    <t>-7.816059476479392, 110.37528242327143</t>
  </si>
  <si>
    <t>-7.814599806879728, 110.37189327672857</t>
  </si>
  <si>
    <t>-7.817585361260672, 110.37333741163572</t>
  </si>
  <si>
    <t>-7.815517389457706, 110.37021049814498</t>
  </si>
  <si>
    <t>-7.820488107855044, 110.36886549629</t>
  </si>
  <si>
    <t>-7.820221075318327, 110.37432582889976</t>
  </si>
  <si>
    <t>-7.821819863256522, 110.36953364047214</t>
  </si>
  <si>
    <t>-7.823783806261903, 110.37357652883644</t>
  </si>
  <si>
    <t>-7.820284951391371, 110.3724999957481</t>
  </si>
  <si>
    <t>-7.802344847548402, 110.37261561534572</t>
  </si>
  <si>
    <t>-7.8040927959851, 110.3738187</t>
  </si>
  <si>
    <t>-7.804508384555344, 110.3767378134907</t>
  </si>
  <si>
    <t>-7.807141409424195, 110.3751770134907</t>
  </si>
  <si>
    <t>-7.819431970493488, 110.38814307242126</t>
  </si>
  <si>
    <t>-7.806366532407493, 110.37870025581783</t>
  </si>
  <si>
    <t>-7.806828059482797, 110.37844860717246</t>
  </si>
  <si>
    <t>-7.808845986486093, 110.37676700185501</t>
  </si>
  <si>
    <t>-7.807896814405299, 110.37871266930857</t>
  </si>
  <si>
    <t>-7.8106404771729165, 110.37699743861715</t>
  </si>
  <si>
    <t>-7.811861898976951, 110.37960778465428</t>
  </si>
  <si>
    <t>-7.81348737166272, 110.37706122698144</t>
  </si>
  <si>
    <t>-7.809309540048401, 110.37088762883643</t>
  </si>
  <si>
    <t>-7.809269105400562, 110.37132588465428</t>
  </si>
  <si>
    <t>-7.812198667632574, 110.3706556772343</t>
  </si>
  <si>
    <t>-7.807666250999114, 110.37354622883642</t>
  </si>
  <si>
    <t>-7.809490969475933, 110.37415989814501</t>
  </si>
  <si>
    <t>-7.810805623746861, 110.37349372698142</t>
  </si>
  <si>
    <t>-7.813807651980377, 110.37416215514321</t>
  </si>
  <si>
    <t>-7.799861312057943, 110.35564465581785</t>
  </si>
  <si>
    <t>-7.798056566604757, 110.35557872458432</t>
  </si>
  <si>
    <t>-7.799394930192014, 110.35691855581786</t>
  </si>
  <si>
    <t>-7.795797451008335, 110.3578155134907</t>
  </si>
  <si>
    <t>-7.80313885417165, 110.3578444</t>
  </si>
  <si>
    <t>-7.796602410691704, 110.36138002698141</t>
  </si>
  <si>
    <t>-7.799058152540854, 110.35750144232713</t>
  </si>
  <si>
    <t>-7.799936012089262, 110.36081321163572</t>
  </si>
  <si>
    <t>-7.7994303794635655, 110.35999051349071</t>
  </si>
  <si>
    <t>-7.80178088334184, 110.3543423846543</t>
  </si>
  <si>
    <t>-7.8036796,110.3557144</t>
  </si>
  <si>
    <t>-7.8049362375454505, 110.35594314418215</t>
  </si>
  <si>
    <t>-7.807077421233175, 110.35468538651004</t>
  </si>
  <si>
    <t>-7.801511735586492, 110.35849945767285</t>
  </si>
  <si>
    <t>-7.803668743128203, 110.35777136930858</t>
  </si>
  <si>
    <t>-7.802874983828576, 110.35719444047213</t>
  </si>
  <si>
    <t>-7.802397806589492, 110.35944762883642</t>
  </si>
  <si>
    <t>-7.793650949999844, 110.34998753809654</t>
  </si>
  <si>
    <t>-7.793123449752054, 110.35218126930856</t>
  </si>
  <si>
    <t>-7.794671050479087, 110.3544436846543</t>
  </si>
  <si>
    <t>-7.795452232122305, 110.35066202698144</t>
  </si>
  <si>
    <t>-7.798103033637423, 110.34901794232712</t>
  </si>
  <si>
    <t>-7.798467863449942, 110.35023894232714</t>
  </si>
  <si>
    <t>-7.797948455388183, 110.35184862272939</t>
  </si>
  <si>
    <t>-7.796034862121028, 110.35483787116357</t>
  </si>
  <si>
    <t>-7.797791466199501, 110.35439549266445</t>
  </si>
  <si>
    <t>-7.799282970985403, 110.35428608650929</t>
  </si>
  <si>
    <t>-7.799892016391946, 110.35067478465426</t>
  </si>
  <si>
    <t>-7.801443065075552, 110.3514190846543</t>
  </si>
  <si>
    <t>-7.802463083645336, 110.34976275581786</t>
  </si>
  <si>
    <t>-7.803366772490525, 110.34647822883643</t>
  </si>
  <si>
    <t>-7.80225592453592, 110.35331512698178</t>
  </si>
  <si>
    <t>-7.80428588445635, 110.35216359814501</t>
  </si>
  <si>
    <t>-7.805731873362556, 110.3530958134907</t>
  </si>
  <si>
    <t>-7.805190079215021, 110.3503701227525</t>
  </si>
  <si>
    <t>-7.809952331218244, 110.34775760792573</t>
  </si>
  <si>
    <t>-7.802266813066759, 110.34842677116355</t>
  </si>
  <si>
    <t>-7.80538665551705, 110.34549122698144</t>
  </si>
  <si>
    <t>-7.808109774239577, 110.34606834232919</t>
  </si>
  <si>
    <t>-7.807188006460469, 110.34784277101625</t>
  </si>
  <si>
    <t>-7.811890863429724, 110.34672665767079</t>
  </si>
  <si>
    <t>-7.836382317379514, 110.469654915856</t>
  </si>
  <si>
    <t>-7.808394474344601, 110.3518919288354</t>
  </si>
  <si>
    <t>-7.808837698459112, 110.35296781349379</t>
  </si>
  <si>
    <t>-7.810690375191643, 110.34785352883539</t>
  </si>
  <si>
    <t>-7.863669842881632, 110.40999850982155</t>
  </si>
  <si>
    <t>-8.146871437446794, 111.1346499981522</t>
  </si>
  <si>
    <t>-8.1410319,111.1323148,3a,75y,332.17h,71.89t</t>
  </si>
  <si>
    <t>-8.1482975,111.1346849,3a,75y,197.6h,76.7t</t>
  </si>
  <si>
    <t>-8.202647128984465, 111.13893479459321</t>
  </si>
  <si>
    <t>-8.205849024668442, 111.13691437301239</t>
  </si>
  <si>
    <t>-8.203709607490774, 111.13166756802815</t>
  </si>
  <si>
    <t>-8.2056658,111.1275768,3a,89.6y,290.17h,70.01t</t>
  </si>
  <si>
    <t>-7.80916919227315, 110.38637662665062</t>
  </si>
  <si>
    <t>-8.213239917559118, 111.1379163036956</t>
  </si>
  <si>
    <t>-8.175266823512535, 111.12856042434068</t>
  </si>
  <si>
    <t>-7.801529033589725, 110.40253066099018</t>
  </si>
  <si>
    <t>-8.184628433776851, 111.12986889999999</t>
  </si>
  <si>
    <t>-7.2006089724974265, 109.82772437133487</t>
  </si>
  <si>
    <t>-7.210631726127388, 109.82741670000001</t>
  </si>
  <si>
    <t>-7.212015953700554, 109.81528202788735</t>
  </si>
  <si>
    <t>-7.210457962168983, 109.83508991534158</t>
  </si>
  <si>
    <t>-7.2104792501488015, 109.83512210184779</t>
  </si>
  <si>
    <t>-7.225666717058835, 109.84652667726719</t>
  </si>
  <si>
    <t>-7.208404961469425, 109.85346157116459</t>
  </si>
  <si>
    <t>-7.221317834680611, 109.87767804048138</t>
  </si>
  <si>
    <t>-7.218313308649441, 109.88803135582297</t>
  </si>
  <si>
    <t>-7.641545912790859, 110.37992245767079</t>
  </si>
  <si>
    <t>-7.613490358102818, 110.3735983097982</t>
  </si>
  <si>
    <t>-7.6306005418497165, 110.38161172883538</t>
  </si>
  <si>
    <t>-7.641106446855215, 110.364360355823</t>
  </si>
  <si>
    <t>-7.625748573313597, 110.37168187816692</t>
  </si>
  <si>
    <t>-7.613712595223207, 110.3855058576708</t>
  </si>
  <si>
    <t>-7.599891778931353, 110.39363745767079</t>
  </si>
  <si>
    <t>-7.6199126,110.3723205,3a,75y,197.77h,70.26t</t>
  </si>
  <si>
    <t>-7.6413918577083475, 110.39168941413813</t>
  </si>
  <si>
    <t>-7.8059083778751, 110.39029978863357</t>
  </si>
  <si>
    <t>-7.631481932809883, 110.3973696483225</t>
  </si>
  <si>
    <t>-7.647262416222978, 110.3808915711646</t>
  </si>
  <si>
    <t>-7.595702539793017, 110.40990271349447</t>
  </si>
  <si>
    <t>-7.650827705232158, 110.38642935072943</t>
  </si>
  <si>
    <t>-7.646949382759151, 110.3848719865062</t>
  </si>
  <si>
    <t>-7.656325451975908, 110.37880427116458</t>
  </si>
  <si>
    <t>-7.6511065,110.3778962,3a,79.9y,128.44h,88.71t</t>
  </si>
  <si>
    <t>-7.6510616383370875, 110.38615040100902</t>
  </si>
  <si>
    <t>-7.650955305123478, 110.38544229787259</t>
  </si>
  <si>
    <t>-7.654185651540867, 110.3846944</t>
  </si>
  <si>
    <t>-7.650917417952793, 110.38119042810595</t>
  </si>
  <si>
    <t>-7.65654127851258, 110.37391526666438</t>
  </si>
  <si>
    <t>-7.663754212831858, 110.35987112248756</t>
  </si>
  <si>
    <t>-7.662208,110.381161,3a,75y,255.54h,88.96t</t>
  </si>
  <si>
    <t>-7.70326523185502, 110.35165831164598</t>
  </si>
  <si>
    <t>-8.011978319174064, 110.3216129153416</t>
  </si>
  <si>
    <t>-8.015478289299276, 110.33026411108682</t>
  </si>
  <si>
    <t>-8.012469438592525, 110.31307512620982</t>
  </si>
  <si>
    <t>-7.996580532253562, 110.31054334056653</t>
  </si>
  <si>
    <t>-8.0128775,110.3210786,3a,51.1y,108.45h,64.69t</t>
  </si>
  <si>
    <t>-8.009720077065804, 110.3194007288354</t>
  </si>
  <si>
    <t>-8.00264,110.3161712,3a,75y,255.61h,76.11t</t>
  </si>
  <si>
    <t>-7.992809995535688, 110.31338889999999</t>
  </si>
  <si>
    <t>-8.001373892939704, 110.30249554748373</t>
  </si>
  <si>
    <t>-8.008126323119948, 110.32156418200974</t>
  </si>
  <si>
    <t>-7.997353193865064, 110.30724318650618</t>
  </si>
  <si>
    <t>-7.997468434903487, 110.28511770714934</t>
  </si>
  <si>
    <t>-7.995838366958626, 110.2876046423292</t>
  </si>
  <si>
    <t>-7.996470380976939, 110.29195354260878</t>
  </si>
  <si>
    <t>-7.997493569425514, 110.293442</t>
  </si>
  <si>
    <t>-7.993757261219892, 110.29813262827622</t>
  </si>
  <si>
    <t>-8.000249561749342, 110.30040116504074</t>
  </si>
  <si>
    <t>-7.983398584603063, 110.29784365294199</t>
  </si>
  <si>
    <t>-7.984667355548273, 110.29284691802816</t>
  </si>
  <si>
    <t>-7.981799428666994, 110.29979452810595</t>
  </si>
  <si>
    <t>-7.98862096744419, 110.29698755767079</t>
  </si>
  <si>
    <t>-7.991535065894058, 110.29868327116459</t>
  </si>
  <si>
    <t>-7.994564085957128, 110.30049353471938</t>
  </si>
  <si>
    <t>-7.977904712580078, 110.31809735582299</t>
  </si>
  <si>
    <t>-7.980189067232673, 110.31987794574522</t>
  </si>
  <si>
    <t>-7.996130568946173, 110.3046421865062</t>
  </si>
  <si>
    <t>-7.97430366143808, 110.31619869204962</t>
  </si>
  <si>
    <t>-7.986628190374758, 110.30900327116457</t>
  </si>
  <si>
    <t>-7.827538125748275, 110.3618415423292</t>
  </si>
  <si>
    <t>-7.976717662127806, 110.31856818465839</t>
  </si>
  <si>
    <t>-7.899157170594106, 110.31088270735928</t>
  </si>
  <si>
    <t>-7.905171890894784, 110.31176560184778</t>
  </si>
  <si>
    <t>-7.910256065655018, 110.30814524232919</t>
  </si>
  <si>
    <t>-7.910956559903426, 110.31154564009249</t>
  </si>
  <si>
    <t>-7.918401515209075, 110.3099444</t>
  </si>
  <si>
    <t>-7.91640722081242, 110.30287582698759</t>
  </si>
  <si>
    <t>-7.9268312,110.2960325,3a,75y,328.52h,84.08t</t>
  </si>
  <si>
    <t>-7.928033429677083, 110.29703574417701</t>
  </si>
  <si>
    <t>-7.9362686,110.2917331,3a,75y,89.98h,77.24t</t>
  </si>
  <si>
    <t>-7.9291259358323165, 110.2995169710553</t>
  </si>
  <si>
    <t>-7.806078448572378, 110.39995574049405</t>
  </si>
  <si>
    <t>-7.93986239327559, 110.29813243783197</t>
  </si>
  <si>
    <t>-7.937060800358259, 110.28729881349379</t>
  </si>
  <si>
    <t>-7.921800838441155, 110.29707581502012</t>
  </si>
  <si>
    <t>-7.913085286548908, 110.31143367116461</t>
  </si>
  <si>
    <t>-7.947891193769691, 110.29094522279378</t>
  </si>
  <si>
    <t>-7.949471252585858, 110.27599212883538</t>
  </si>
  <si>
    <t>-7.9535898691076925, 110.28006142346229</t>
  </si>
  <si>
    <t>-7.949493796132918, 110.26967326666735</t>
  </si>
  <si>
    <t>-7.945854057939751, 110.2672138288354</t>
  </si>
  <si>
    <t>-7.949683404114644, 110.26642742883539</t>
  </si>
  <si>
    <t>-7.94161307952297, 110.26476501349379</t>
  </si>
  <si>
    <t>-7.938394182899707, 110.25706937301238</t>
  </si>
  <si>
    <t>-7.93820911471306, 110.26020256666735</t>
  </si>
  <si>
    <t>-7.933777800593895, 110.26130208016112</t>
  </si>
  <si>
    <t>-7.938921811095917, 110.27042101237545</t>
  </si>
  <si>
    <t>-7.933651783550229, 110.27228689232919</t>
  </si>
  <si>
    <t>-7.939787749202415, 110.27028944417701</t>
  </si>
  <si>
    <t>-7.940763775543086, 110.27753658650619</t>
  </si>
  <si>
    <t>-7.932025980072564, 110.27322030100902</t>
  </si>
  <si>
    <t>-7.9343401,110.2683068,3a,90y,81h,77.45t</t>
  </si>
  <si>
    <t>-7.911725166128303, 110.2929475423292</t>
  </si>
  <si>
    <t>-7.909931678277521, 110.30156632883539</t>
  </si>
  <si>
    <t>-7.9010201,110.3038877,3a,90y,347.91h,95.94t</t>
  </si>
  <si>
    <t>-7.90059202757334, 110.3015534576708</t>
  </si>
  <si>
    <t>-7.800423560791411, 110.39090060341601</t>
  </si>
  <si>
    <t>-7.893595797007116, 110.29824408016067</t>
  </si>
  <si>
    <t>-7.897591107435037, 110.29512968835465</t>
  </si>
  <si>
    <t>-7.9019265360129385, 110.2949168134938</t>
  </si>
  <si>
    <t>-7.9088221919761335, 110.2910341423292</t>
  </si>
  <si>
    <t>-7.907111910989146, 110.2847495423292</t>
  </si>
  <si>
    <t>-7.947836112889317, 110.2474913730124</t>
  </si>
  <si>
    <t>-7.930234734416334, 110.2604817</t>
  </si>
  <si>
    <t>-7.943850980015176, 110.2509027134938</t>
  </si>
  <si>
    <t>-7.943437795149909, 110.2487422711646</t>
  </si>
  <si>
    <t>-7.9505247964390335, 110.25295572433818</t>
  </si>
  <si>
    <t>-7.803739970419839, 110.39107226478245</t>
  </si>
  <si>
    <t>-7.937616808851152, 110.2663708134938</t>
  </si>
  <si>
    <t>-7.945275673597191, 110.24328694232919</t>
  </si>
  <si>
    <t>-7.9438609131081, 110.24495437838553</t>
  </si>
  <si>
    <t>-7.948461988621733, 110.263776788354</t>
  </si>
  <si>
    <t>-7.806035930904546, 110.39463423813538</t>
  </si>
  <si>
    <t>-7.935933111414871, 110.25028874111506</t>
  </si>
  <si>
    <t>-7.93112397949333, 110.25560671746153</t>
  </si>
  <si>
    <t>-7.934222305432781, 110.24705901007778</t>
  </si>
  <si>
    <t>-7.950908719072898, 110.2592262423292</t>
  </si>
  <si>
    <t>-7.929290532130328, 110.26087166959637</t>
  </si>
  <si>
    <t>-7.926664302562482, 110.2539174576708</t>
  </si>
  <si>
    <t>-7.928463566424569, 110.25835475767079</t>
  </si>
  <si>
    <t>-7.944939683661757, 110.25112987116461</t>
  </si>
  <si>
    <t>-7.985028682657447, 110.22768250899702</t>
  </si>
  <si>
    <t>-7.964093459118847, 110.24782705767079</t>
  </si>
  <si>
    <t>-7.951121058689853, 110.24116965582299</t>
  </si>
  <si>
    <t>-7.969194683827877, 110.2362544576708</t>
  </si>
  <si>
    <t>-7.980511137955387, 110.2266187</t>
  </si>
  <si>
    <t>-7.962339382487489, 110.2470725711646</t>
  </si>
  <si>
    <t>-7.963024781185944, 110.23521355582298</t>
  </si>
  <si>
    <t>-7.964633663260558, 110.22754019879494</t>
  </si>
  <si>
    <t>-7.963820027198657, 110.24179019550296</t>
  </si>
  <si>
    <t>-7.974521287113532, 110.23485238650622</t>
  </si>
  <si>
    <t>-7.974480486426837, 110.23771819815215</t>
  </si>
  <si>
    <t>-7.983353540194135, 110.24587224048139</t>
  </si>
  <si>
    <t>-7.98225094229084, 110.22354409105324</t>
  </si>
  <si>
    <t>-7.968137009616955, 110.2317065288354</t>
  </si>
  <si>
    <t>-7.983021289201984, 110.23360832883539</t>
  </si>
  <si>
    <t>-7.963091309633623, 110.24232964417699</t>
  </si>
  <si>
    <t>-7.953103553856049, 110.2482231865062</t>
  </si>
  <si>
    <t>-7.655252685191283, 110.2319653134938</t>
  </si>
  <si>
    <t>-7.645970882600668, 110.2570999153416</t>
  </si>
  <si>
    <t>-7.66065421399577, 110.25117320739122</t>
  </si>
  <si>
    <t>-7.6675705266140595, 110.2667492693778</t>
  </si>
  <si>
    <t>-7.706709332849392, 110.2343460693168</t>
  </si>
  <si>
    <t>-7.703787388315923, 110.23742982433568</t>
  </si>
  <si>
    <t>-7.708635837778333, 110.2310115423292</t>
  </si>
  <si>
    <t>-7.7009681,110.220176,3a,75y,315.93h,76.19t</t>
  </si>
  <si>
    <t>-7.707371209691186, 110.2437478576708</t>
  </si>
  <si>
    <t>-7.704001214058707, 110.24078987553058</t>
  </si>
  <si>
    <t>-7.722777959265602, 110.19539075582301</t>
  </si>
  <si>
    <t>-7.708586237760277, 110.2123005865062</t>
  </si>
  <si>
    <t>-7.731072139895926, 110.20855111349381</t>
  </si>
  <si>
    <t>-7.724087211924614, 110.193458</t>
  </si>
  <si>
    <t>-7.730997720684813, 110.20857257116461</t>
  </si>
  <si>
    <t>-7.6682401915567615, 110.2487359153416</t>
  </si>
  <si>
    <t>-7.684298516180327, 110.25155341084172</t>
  </si>
  <si>
    <t>-7.703187039517933, 110.25607568751526</t>
  </si>
  <si>
    <t>-7.690179388068751, 110.25158999550011</t>
  </si>
  <si>
    <t>-7.697224233625006, 110.2535385423292</t>
  </si>
  <si>
    <t>-7.680956082046613, 110.18115995277172</t>
  </si>
  <si>
    <t>-7.679747492351834, 110.18609926237545</t>
  </si>
  <si>
    <t>-7.67124508981845, 110.1828765423292</t>
  </si>
  <si>
    <t>-7.675127534116298, 110.19438231779115</t>
  </si>
  <si>
    <t>-7.657300920709341, 110.1987330153416</t>
  </si>
  <si>
    <t>-7.672165184081973, 110.18573580899431</t>
  </si>
  <si>
    <t>-7.80135896104172, 110.3909864341045</t>
  </si>
  <si>
    <t>-7.676523158787422, 110.20659598465842</t>
  </si>
  <si>
    <t>-7.681447893008488, 110.18638915767079</t>
  </si>
  <si>
    <t>-7.67574172392442, 110.21094027116457</t>
  </si>
  <si>
    <t>-7.663204790702755, 110.19338460173394</t>
  </si>
  <si>
    <t>-7.655941486720321, 110.20294381349379</t>
  </si>
  <si>
    <t>-7.6741391,110.2015449,3a,90y,201.42h,81.83t</t>
  </si>
  <si>
    <t>-7.812560126585192, 110.35418426666595</t>
  </si>
  <si>
    <t>-7.80016845126916, 110.39708041260673</t>
  </si>
  <si>
    <t>-7.698087173241402, 110.20225901534228</t>
  </si>
  <si>
    <t>-7.707845996970317, 110.20300937301239</t>
  </si>
  <si>
    <t>-7.692589296496792, 110.1756836711646</t>
  </si>
  <si>
    <t>-7.691309393029008, 110.20366095767079</t>
  </si>
  <si>
    <t>-7.694794121935652, 110.1807481153416</t>
  </si>
  <si>
    <t>-7.7107225646711575, 110.20667432466573</t>
  </si>
  <si>
    <t>-7.689322754365685, 110.18724754232919</t>
  </si>
  <si>
    <t>-7.7095592788569025, 110.21028991534159</t>
  </si>
  <si>
    <t>-7.7026609880484225, 110.19060926666482</t>
  </si>
  <si>
    <t>-7.6955476,110.1907611,3a,75y,353.14h,82.13t</t>
  </si>
  <si>
    <t>-7.66977252419304, 110.17671382813128</t>
  </si>
  <si>
    <t>-7.671113613389568, 110.16320680899359</t>
  </si>
  <si>
    <t>-7.651827489453721, 110.17697172670802</t>
  </si>
  <si>
    <t>-7.671450410387303, 110.16929074602481</t>
  </si>
  <si>
    <t>-7.691421662308174, 110.1751468089939</t>
  </si>
  <si>
    <t>-7.678196039798099, 110.17819076708803</t>
  </si>
  <si>
    <t>-7.6601887878368675, 110.17325475951858</t>
  </si>
  <si>
    <t>-7.658134421218344, 110.17064411164601</t>
  </si>
  <si>
    <t>-7.664869522969686, 110.17112817116457</t>
  </si>
  <si>
    <t>-7.65063735002804, 110.18025967116523</t>
  </si>
  <si>
    <t>-7.720790242208498, 110.15497219999999</t>
  </si>
  <si>
    <t>-7.805610753988328, 110.39248847105529</t>
  </si>
  <si>
    <t>-7.6985296662292395, 110.15046744563594</t>
  </si>
  <si>
    <t>-7.706078049400825, 110.15334031903855</t>
  </si>
  <si>
    <t>-7.711195989768932, 110.16069158465837</t>
  </si>
  <si>
    <t>-7.708495797125353, 110.15756587301239</t>
  </si>
  <si>
    <t>-7.705422587834779, 110.16538537558968</t>
  </si>
  <si>
    <t>-7.706861766183279, 110.14058016478242</t>
  </si>
  <si>
    <t>-7.705441096396612, 110.15344297116458</t>
  </si>
  <si>
    <t>-7.7055421,110.1534537,17z</t>
  </si>
  <si>
    <t>-7.653549735629648, 110.15535231018708</t>
  </si>
  <si>
    <t>-7.66224712004641, 110.15033998281058</t>
  </si>
  <si>
    <t>-7.671516519808149, 110.16022323782914</t>
  </si>
  <si>
    <t>-7.650260708973098, 110.14831580899349</t>
  </si>
  <si>
    <t>-7.681077212854655, 110.1318578142246</t>
  </si>
  <si>
    <t>-7.673255024921861, 110.1198649846584</t>
  </si>
  <si>
    <t>-7.656890785824708, 110.14241855582299</t>
  </si>
  <si>
    <t>-7.680809155680199, 110.13956818465839</t>
  </si>
  <si>
    <t>-7.670456191075425, 110.129919</t>
  </si>
  <si>
    <t>-7.7151711035824535, 110.1765158134938</t>
  </si>
  <si>
    <t>-7.692724821906359, 110.16525809037208</t>
  </si>
  <si>
    <t>-7.706434461218634, 110.17930426666483</t>
  </si>
  <si>
    <t>-7.682880728413769, 110.1576209404814</t>
  </si>
  <si>
    <t>-7.6938332258783335, 110.15192378465838</t>
  </si>
  <si>
    <t>-7.696821408281639, 110.14975181349381</t>
  </si>
  <si>
    <t>-7.692602406007094, 110.15256027116527</t>
  </si>
  <si>
    <t>-7.708751329060317, 110.173337355823</t>
  </si>
  <si>
    <t>-7.7169716887331985, 110.17931556755414</t>
  </si>
  <si>
    <t>-7.713821095462184, 110.18724608015876</t>
  </si>
  <si>
    <t>7.053703500175955, 100.5049959423292</t>
  </si>
  <si>
    <t>6.869872495794426, 101.36256365767079</t>
  </si>
  <si>
    <t>-8.768195056903954, 118.83872574232919</t>
  </si>
  <si>
    <t>-8.810090740221597, 118.92032769788528</t>
  </si>
  <si>
    <t>-8.764191534120963, 118.88486942883539</t>
  </si>
  <si>
    <t>-8.774405455852353, 118.9129118576708</t>
  </si>
  <si>
    <t>Periode KKN</t>
  </si>
  <si>
    <t>Kelompok</t>
  </si>
  <si>
    <t>Unit 1</t>
  </si>
  <si>
    <t>Unit 2</t>
  </si>
  <si>
    <t>Unit 3</t>
  </si>
  <si>
    <t>Unit 4</t>
  </si>
  <si>
    <t>Email</t>
  </si>
  <si>
    <t>Reguler ke-101</t>
  </si>
  <si>
    <t>I.A</t>
  </si>
  <si>
    <t>budi.utami@act.uad.ac.id</t>
  </si>
  <si>
    <t>I.B</t>
  </si>
  <si>
    <t>ema.nuryama@mgm.uad.ac.id</t>
  </si>
  <si>
    <t>I.C</t>
  </si>
  <si>
    <t>ahid.mudayana@ikm.uad.ac.id</t>
  </si>
  <si>
    <t>I.D</t>
  </si>
  <si>
    <t>ana.hidayati@pharm.uad.ac.id</t>
  </si>
  <si>
    <t>II.A</t>
  </si>
  <si>
    <t>vani.adiprabowo@comm.uad.ac.id</t>
  </si>
  <si>
    <t>II.B</t>
  </si>
  <si>
    <t>alitarmuji@tif.uad.ac.id</t>
  </si>
  <si>
    <t>II.C</t>
  </si>
  <si>
    <t>akh.prasetya@bk.uad.ac.id</t>
  </si>
  <si>
    <t>II.D</t>
  </si>
  <si>
    <t>bambang.robiin@tif.uad.ac.id</t>
  </si>
  <si>
    <t>III.A</t>
  </si>
  <si>
    <t>sartini.w@act.uad.ac.id</t>
  </si>
  <si>
    <t>III.B</t>
  </si>
  <si>
    <t>aftoni.sutanto@mm.uad.ac.id</t>
  </si>
  <si>
    <t>III.C</t>
  </si>
  <si>
    <t>aprilia.kusbandari@pharm.uad.ac.id</t>
  </si>
  <si>
    <t>III.D</t>
  </si>
  <si>
    <t>syahid.robbani@bsa.uad.ac.id</t>
  </si>
  <si>
    <t>IV.A</t>
  </si>
  <si>
    <t>fitri.indriani@pgsd.uad.ac.id</t>
  </si>
  <si>
    <t>IV.B</t>
  </si>
  <si>
    <t>rendrawidyatama@fsbk.uad.ac.id</t>
  </si>
  <si>
    <t>IV.C</t>
  </si>
  <si>
    <t>indah.wenerda@comm.uad.ac.id</t>
  </si>
  <si>
    <t>IV.D</t>
  </si>
  <si>
    <t>https://drive.google.com/open?id=1H5cH6I1Yn6c9FYo9qB21sOPPrX_AvVGO-__Zj9ZrtD4&amp;usp=drive_copy</t>
  </si>
  <si>
    <t>yusutria@pai.uad.ac.id</t>
  </si>
  <si>
    <t>V.A</t>
  </si>
  <si>
    <t>dian@math.uad.ac.id</t>
  </si>
  <si>
    <t>V.B</t>
  </si>
  <si>
    <t>haris.fathurrahman@te.uad.ac.id</t>
  </si>
  <si>
    <t>V.C</t>
  </si>
  <si>
    <t>solikhah@ikm.uad.ac.id</t>
  </si>
  <si>
    <t>V.D</t>
  </si>
  <si>
    <t xml:space="preserve">okimustava@pfis.uad.ac.id </t>
  </si>
  <si>
    <t>VI.A</t>
  </si>
  <si>
    <t>khoiriyah.isni@ikm.uad.ac.id</t>
  </si>
  <si>
    <t>VI.B</t>
  </si>
  <si>
    <t>lalu.irham@pharm.uad.ac.id</t>
  </si>
  <si>
    <t>VI.C</t>
  </si>
  <si>
    <t>hapsoro.jatmiko@ie.uad.ac.id</t>
  </si>
  <si>
    <t>VI.D</t>
  </si>
  <si>
    <t>nur.alifah@idlitera.uad.ac.id</t>
  </si>
  <si>
    <t>VII.A</t>
  </si>
  <si>
    <t>abdul.hidayat@mm.uad.ac.id</t>
  </si>
  <si>
    <t>VII.B</t>
  </si>
  <si>
    <t>ika.maryani@pgsd.uad.ac.id</t>
  </si>
  <si>
    <t>VII.C</t>
  </si>
  <si>
    <t>dedi.pramono@idlitera.uad.ac.id</t>
  </si>
  <si>
    <t>VII.D</t>
  </si>
  <si>
    <t>nur.syam@ikm.uad.ac.id</t>
  </si>
  <si>
    <t>VIII.A</t>
  </si>
  <si>
    <t xml:space="preserve">deasy.pertiwi@pharm.uad.ac.id </t>
  </si>
  <si>
    <t>VIII.B</t>
  </si>
  <si>
    <t>hardi.santosa@bk.uad.ac.id</t>
  </si>
  <si>
    <t>VIII.C</t>
  </si>
  <si>
    <t>dedi.wijayanti@pbsi.uad.ac.id</t>
  </si>
  <si>
    <t>VIII.D</t>
  </si>
  <si>
    <t>afit.istiandaru@pmat.uad.ac.id</t>
  </si>
  <si>
    <t>IX.A</t>
  </si>
  <si>
    <t>faizal.rangkuti@ikm.uad.ac.id</t>
  </si>
  <si>
    <t>IX.B</t>
  </si>
  <si>
    <t xml:space="preserve">adhitya.santoso@mgm.uad.ac.id </t>
  </si>
  <si>
    <t>IX.C</t>
  </si>
  <si>
    <t>vera.erviana@pgsd.uad.ac.id</t>
  </si>
  <si>
    <t>IX.D</t>
  </si>
  <si>
    <t>amir.hidayatulloh@act.uad.ac.id</t>
  </si>
  <si>
    <t>X.A</t>
  </si>
  <si>
    <t>musfirah@ikm.uad.ac.id</t>
  </si>
  <si>
    <t>X.B</t>
  </si>
  <si>
    <t>hanif.kistoro@pai.uad.ac.id</t>
  </si>
  <si>
    <t>X.C</t>
  </si>
  <si>
    <t>khafidhoh@pbi.uad.ac.id</t>
  </si>
  <si>
    <t>X.D</t>
  </si>
  <si>
    <t>nur.syuhada@psy.uad.ac.id</t>
  </si>
  <si>
    <t>XI.B</t>
  </si>
  <si>
    <t>avanti.pramudyani@pgpaud.uad.ac.id</t>
  </si>
  <si>
    <t>XI.C</t>
  </si>
  <si>
    <t>nur.hidayah@pgsd.uad.ac.id</t>
  </si>
  <si>
    <t>XI.D</t>
  </si>
  <si>
    <t>yusron.masduki@pai.uad.ac.id</t>
  </si>
  <si>
    <t>XII.A</t>
  </si>
  <si>
    <t>ariesty.fujiastuti@pbsi.uad.ac.id</t>
  </si>
  <si>
    <t>XII.B</t>
  </si>
  <si>
    <t>purnawan.purnawan@pvto.uad.ac.id</t>
  </si>
  <si>
    <t>XII.C</t>
  </si>
  <si>
    <t>Dr.Fithriatus Shalihah,SH,MH.</t>
  </si>
  <si>
    <t>fithriatus.shalihah@law.uad.ac.id</t>
  </si>
  <si>
    <t>XII.D</t>
  </si>
  <si>
    <t>indah.shofiyah@act.uad.ac.id</t>
  </si>
  <si>
    <t>XIII.A</t>
  </si>
  <si>
    <t>nurul.abdi@law.uad.ac.id</t>
  </si>
  <si>
    <t>XIII.B</t>
  </si>
  <si>
    <t>dyah.suryani@gizi.uad.ac.id</t>
  </si>
  <si>
    <t>XIII.C</t>
  </si>
  <si>
    <t>wahyu.saputra@bk.uad.ac.id</t>
  </si>
  <si>
    <t>XIII.D</t>
  </si>
  <si>
    <t>deslaely.putranti@law.uad.ac.id</t>
  </si>
  <si>
    <t>XIV.A</t>
  </si>
  <si>
    <t>arief.syamsuddin@pvto.uad.ac.id</t>
  </si>
  <si>
    <t>XIV.B</t>
  </si>
  <si>
    <t>rochana.ruliyandari@ikm.uad.ac.id</t>
  </si>
  <si>
    <t>XIV.C</t>
  </si>
  <si>
    <t>lolita@pharm.uad.ac.id</t>
  </si>
  <si>
    <t>XIV.D</t>
  </si>
  <si>
    <t>ichsan.luqmana@bio.uad.ac.id</t>
  </si>
  <si>
    <t>XV.A</t>
  </si>
  <si>
    <t>tyas.putri@ikm.uad.ac.id</t>
  </si>
  <si>
    <t>XV.B</t>
  </si>
  <si>
    <t>uus.kusdinar@pmat.uad.ac.id</t>
  </si>
  <si>
    <t>XV.C</t>
  </si>
  <si>
    <t>anaas.yuliana@pai.uad.ac.id</t>
  </si>
  <si>
    <t>XV.D</t>
  </si>
  <si>
    <t>sutipyo@pai.uad.ac.id</t>
  </si>
  <si>
    <t>XVI.A</t>
  </si>
  <si>
    <t>betty.rosa@bsa.uad.ac.id</t>
  </si>
  <si>
    <t>XVI.B</t>
  </si>
  <si>
    <t>https://drive.google.com/open?id=1_lnN7f__frGV5TBjwV-pKUmMFk3C4PUpbxVeTspt3xc&amp;usp=drive_copy</t>
  </si>
  <si>
    <t>syariful.fahmi@pmat.uad.ac.id</t>
  </si>
  <si>
    <t>XVI.C</t>
  </si>
  <si>
    <t>hardi.prasetiawan@bk.uad.ac.id</t>
  </si>
  <si>
    <t>XVI.D</t>
  </si>
  <si>
    <t>ahmad.annafiri@bsa.uad.ac.id</t>
  </si>
  <si>
    <t>XVII.A</t>
  </si>
  <si>
    <t>trisnasukmayadi@ppkn.uad.ac.id</t>
  </si>
  <si>
    <t>XVII.B</t>
  </si>
  <si>
    <t>bagus.gumelae@mgm.uad.ac.id</t>
  </si>
  <si>
    <t>XVII.C</t>
  </si>
  <si>
    <t>fatma.nuraisyah@ikm.uad.ac.id</t>
  </si>
  <si>
    <t>XVII.D</t>
  </si>
  <si>
    <t>farid.maruf@uad.ac.id</t>
  </si>
  <si>
    <t>XVIII.A</t>
  </si>
  <si>
    <t>kurnia.widihastuti@ikm.uad.ac.id</t>
  </si>
  <si>
    <t>XVIII.B</t>
  </si>
  <si>
    <t>rokhmayanti@ikm.uad.ac.id</t>
  </si>
  <si>
    <t>XVIII.C</t>
  </si>
  <si>
    <t>hermanto@pbsi.uad.ac.id</t>
  </si>
  <si>
    <t>XVIII.D</t>
  </si>
  <si>
    <t>https://drive.google.com/open?id=1jG2aZzWkKI0foYhYoD75c5xWt7RrFze8TranF-3Kejo&amp;usp=drive_copy</t>
  </si>
  <si>
    <t>agung.budiantoro@bio.uad.ac.id</t>
  </si>
  <si>
    <t>XIX.A</t>
  </si>
  <si>
    <t xml:space="preserve">ahmad.rizal@mgm.uad.ac.id </t>
  </si>
  <si>
    <t>XIX.B</t>
  </si>
  <si>
    <t>waharjani@ilha.uad.ac.id</t>
  </si>
  <si>
    <t>XIX.C</t>
  </si>
  <si>
    <t>muh.kurniawan@pai.uad.ac.id</t>
  </si>
  <si>
    <t>XIX.D</t>
  </si>
  <si>
    <t>moh.sukarelawan@mpfis.uad.ac.id</t>
  </si>
  <si>
    <t>XX.A</t>
  </si>
  <si>
    <t>suci.ayu@ikm.uad.ac.id</t>
  </si>
  <si>
    <t>XX.B</t>
  </si>
  <si>
    <t>zahrul.mufrodi@che.uad.ac.id</t>
  </si>
  <si>
    <t>XX.C</t>
  </si>
  <si>
    <t>rusdianto@act.uad.ac.id</t>
  </si>
  <si>
    <t>XX.D</t>
  </si>
  <si>
    <t>tedy.setiadi@tif.uad.ac.id</t>
  </si>
  <si>
    <t>XXI.A</t>
  </si>
  <si>
    <t>trianik.widyaningrum@pbio.uad.ac.id</t>
  </si>
  <si>
    <t>XXI.B</t>
  </si>
  <si>
    <t>panji.hidayat@pgsd.uad.ac.id</t>
  </si>
  <si>
    <t>XXI.C</t>
  </si>
  <si>
    <t>iis.suwartini@pbsi.uad.ac.id</t>
  </si>
  <si>
    <t>XXI.D</t>
  </si>
  <si>
    <t>habibi.marwa@law.uad.ac.id</t>
  </si>
  <si>
    <t>XXII.A</t>
  </si>
  <si>
    <t>purwati.diana@pbsi.uad.ac.id</t>
  </si>
  <si>
    <t>XXII.B</t>
  </si>
  <si>
    <t>andy.wijaya@pbs.ac.id</t>
  </si>
  <si>
    <t>XXII.C</t>
  </si>
  <si>
    <t>isana_prisa@ie.uad.ac.id</t>
  </si>
  <si>
    <t>XXII.D</t>
  </si>
  <si>
    <t>sucipto@pbi.uad.ac.id</t>
  </si>
  <si>
    <t>XXIII.A</t>
  </si>
  <si>
    <t>fariz.setyawan@pmat.uad.ac.id</t>
  </si>
  <si>
    <t>XXIII.B</t>
  </si>
  <si>
    <t>qonitatul.h@fisika.uad.ac.id</t>
  </si>
  <si>
    <t>XXIII.C</t>
  </si>
  <si>
    <t>zulardisubhan@ikm.uad.ac.id</t>
  </si>
  <si>
    <t>XXIII.D</t>
  </si>
  <si>
    <t>desi.nurfita@ikm.uad.ac.id</t>
  </si>
  <si>
    <t>XXIV.A</t>
  </si>
  <si>
    <t>mufti.alamadha@gmail.com</t>
  </si>
  <si>
    <t>XXIV.B</t>
  </si>
  <si>
    <t>meita.fitrianawati@pgsd.uad.ac.id</t>
  </si>
  <si>
    <t>XXIV.C</t>
  </si>
  <si>
    <t>dwiputra@fsbk.uad.ac</t>
  </si>
  <si>
    <t>XXIV.D</t>
  </si>
  <si>
    <t>khairunisa.ramadhani@gizi.uad.ac.id</t>
  </si>
  <si>
    <t>XXV.A</t>
  </si>
  <si>
    <t>laga.adhidharma@idlitera.uad.ac.id</t>
  </si>
  <si>
    <t>XXV.B</t>
  </si>
  <si>
    <t>hasrul.rahman@pbsi.uad.ac.id</t>
  </si>
  <si>
    <t>XXV.C</t>
  </si>
  <si>
    <t>mahrus.kurniawan@ep.uad.ac.id</t>
  </si>
  <si>
    <t>XXV.D</t>
  </si>
  <si>
    <t>pribawa.pantas@pbs.uad.ac.id</t>
  </si>
  <si>
    <t>XXVI.A</t>
  </si>
  <si>
    <t>arsyad.subrata@te.uad.ac.id</t>
  </si>
  <si>
    <t>XXVI.B</t>
  </si>
  <si>
    <t>marsudi.endang@culinary.uad.ac.id</t>
  </si>
  <si>
    <t>XXVI.C</t>
  </si>
  <si>
    <t>prayudha@pbi.uad.ac.id</t>
  </si>
  <si>
    <t>XXVI.D</t>
  </si>
  <si>
    <t>soviyah@pbi.uad.ac.id</t>
  </si>
  <si>
    <t>XXVII.A</t>
  </si>
  <si>
    <t>phisca.aditya@te.uad.ac.id</t>
  </si>
  <si>
    <t>XXVII.B</t>
  </si>
  <si>
    <t>nurulhidayati@pgsd.uad.ac.id</t>
  </si>
  <si>
    <t>XXVII.C</t>
  </si>
  <si>
    <t>azis.ikhsanudin@pharm.uad.ac.id</t>
  </si>
  <si>
    <t>XXVII.D</t>
  </si>
  <si>
    <t>iin.inawati@mpbi.uad.ac.id</t>
  </si>
  <si>
    <t>XXVIII.A</t>
  </si>
  <si>
    <t>suryana.hendrawan@mgm.uad.ac.id</t>
  </si>
  <si>
    <t>XXVIII.B</t>
  </si>
  <si>
    <t>dwi.astuti@pmat.uad.ac.id</t>
  </si>
  <si>
    <t>XXVIII.C</t>
  </si>
  <si>
    <t>barry.setyanto@pvte.uad.ac.id</t>
  </si>
  <si>
    <t>XXVIII.D</t>
  </si>
  <si>
    <t>sunu.adi@pbs.uad.ac.id</t>
  </si>
  <si>
    <t>Reguler ke-102</t>
  </si>
  <si>
    <t>titisari.juwitaningtyas@tp.uad.ac.id</t>
  </si>
  <si>
    <t>nina.salamah@pharm.uad.ac.id</t>
  </si>
  <si>
    <t>amalya.khairi@tp.uad.ac.id</t>
  </si>
  <si>
    <t>Reguler ke-103</t>
  </si>
  <si>
    <t>surahma.mulasari@ikm.uad.ac.id</t>
  </si>
  <si>
    <t>sulistyawati.suyanto@ikm.uad.ac.id</t>
  </si>
  <si>
    <t>bambang.sudarsono@pvto.uad.ac.id</t>
  </si>
  <si>
    <t>fanani.ghozali@pvte.uad.ac.id</t>
  </si>
  <si>
    <t>Reguler ke-104</t>
  </si>
  <si>
    <t>jefree.fahana@tif.uad.ac.id</t>
  </si>
  <si>
    <t>Reguler ke-105</t>
  </si>
  <si>
    <t>muh.effendi@pbi.uad.ac.id</t>
  </si>
  <si>
    <t>Reguler ke-106</t>
  </si>
  <si>
    <t>beni.winarso@act.uad.ac.id</t>
  </si>
  <si>
    <t>Job ID</t>
  </si>
  <si>
    <t>Job Name</t>
  </si>
  <si>
    <t>Template ID</t>
  </si>
  <si>
    <t>Data Sheet ID</t>
  </si>
  <si>
    <t>Header Row</t>
  </si>
  <si>
    <t>First Data Row</t>
  </si>
  <si>
    <t>File Name</t>
  </si>
  <si>
    <t>File Type</t>
  </si>
  <si>
    <t>Share As</t>
  </si>
  <si>
    <t>Folders</t>
  </si>
  <si>
    <t>Dynamic Folder Reference</t>
  </si>
  <si>
    <t>Conditionals</t>
  </si>
  <si>
    <t>Mode</t>
  </si>
  <si>
    <t>Append Breaks</t>
  </si>
  <si>
    <t>Tags</t>
  </si>
  <si>
    <t>Run On Time Trigger</t>
  </si>
  <si>
    <t>Time Trigger Frequency</t>
  </si>
  <si>
    <t>Run On Form Trigger</t>
  </si>
  <si>
    <t>Send Email And Share</t>
  </si>
  <si>
    <t>Email To</t>
  </si>
  <si>
    <t>Email CC</t>
  </si>
  <si>
    <t>Email BCC</t>
  </si>
  <si>
    <t>Email Reply To</t>
  </si>
  <si>
    <t>Email No Reply</t>
  </si>
  <si>
    <t>Email Subject</t>
  </si>
  <si>
    <t>Email Body</t>
  </si>
  <si>
    <t>Prevent Resharing</t>
  </si>
  <si>
    <t>Time Trigger Timestamp</t>
  </si>
  <si>
    <t>Form Trigger Timestamp</t>
  </si>
  <si>
    <t>#ERROR!</t>
  </si>
  <si>
    <t>895366110267</t>
  </si>
  <si>
    <t>895702236949</t>
  </si>
  <si>
    <t>895397427020</t>
  </si>
  <si>
    <t>895366980547</t>
  </si>
  <si>
    <t>859152908532</t>
  </si>
  <si>
    <t>895804810715</t>
  </si>
  <si>
    <t>895348497103</t>
  </si>
  <si>
    <t>895326746673</t>
  </si>
  <si>
    <t>KORCAM</t>
  </si>
  <si>
    <t>Email MHS 1</t>
  </si>
  <si>
    <t>Email MHS 2</t>
  </si>
  <si>
    <t>Email MHS 3</t>
  </si>
  <si>
    <t>Email MHS 4</t>
  </si>
  <si>
    <t>Email MHS 5</t>
  </si>
  <si>
    <t>Email MHS 6</t>
  </si>
  <si>
    <t>Email MHS 7</t>
  </si>
  <si>
    <t>Email MHS 8</t>
  </si>
  <si>
    <t>Email MHS 9</t>
  </si>
  <si>
    <t>Email MHS 10</t>
  </si>
  <si>
    <t>korcam1</t>
  </si>
  <si>
    <t>korcam2</t>
  </si>
  <si>
    <t>NIY/NIP DPL</t>
  </si>
  <si>
    <t>Email DPL</t>
  </si>
  <si>
    <t>Kecamatan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</si>
</sst>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36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sz val="11"/>
      <color rgb="FF000000"/>
      <name val="&quot;Arial Narrow&quot;"/>
    </font>
    <font>
      <sz val="10"/>
      <color theme="1"/>
      <name val="Arial"/>
      <family val="2"/>
    </font>
    <font>
      <sz val="12"/>
      <color theme="1"/>
      <name val="&quot;Arial Narrow&quot;"/>
    </font>
    <font>
      <sz val="10"/>
      <color theme="1"/>
      <name val="Roboto"/>
    </font>
    <font>
      <sz val="10"/>
      <color rgb="FF333333"/>
      <name val="Open Sans"/>
    </font>
    <font>
      <u/>
      <sz val="10"/>
      <color theme="1"/>
      <name val="Arial"/>
      <family val="2"/>
      <scheme val="minor"/>
    </font>
    <font>
      <u/>
      <sz val="10"/>
      <color rgb="FF0000FF"/>
      <name val="Arial"/>
      <family val="2"/>
    </font>
    <font>
      <sz val="10"/>
      <color rgb="FF333333"/>
      <name val="&quot;Open Sans&quot;"/>
    </font>
    <font>
      <sz val="10"/>
      <color rgb="FF000000"/>
      <name val="Arial"/>
      <family val="2"/>
    </font>
    <font>
      <sz val="10"/>
      <color rgb="FF000000"/>
      <name val="Roboto"/>
    </font>
    <font>
      <b/>
      <u/>
      <sz val="10"/>
      <color rgb="FF0000FF"/>
      <name val="Arial"/>
      <family val="2"/>
    </font>
    <font>
      <sz val="11"/>
      <color theme="1"/>
      <name val="Arial Narrow"/>
      <family val="2"/>
    </font>
    <font>
      <u/>
      <sz val="10"/>
      <color rgb="FF0000FF"/>
      <name val="Arial"/>
      <family val="2"/>
    </font>
    <font>
      <b/>
      <sz val="12"/>
      <color rgb="FF000000"/>
      <name val="&quot;Arial Narrow&quot;"/>
    </font>
    <font>
      <sz val="10"/>
      <color rgb="FF393939"/>
      <name val="&quot;Open Sans&quot;"/>
    </font>
    <font>
      <b/>
      <sz val="11"/>
      <color rgb="FF000000"/>
      <name val="&quot;Arial Narrow&quot;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b/>
      <u/>
      <sz val="12"/>
      <color rgb="FF000000"/>
      <name val="&quot;Arial Narrow&quot;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0"/>
      <color theme="1"/>
      <name val="Arial"/>
      <family val="2"/>
      <scheme val="minor"/>
    </font>
    <font>
      <sz val="11"/>
      <color rgb="FF000000"/>
      <name val="Inconsolata"/>
    </font>
    <font>
      <sz val="9"/>
      <color rgb="FF000000"/>
      <name val="&quot;Google Sans Mono&quot;"/>
    </font>
    <font>
      <u/>
      <sz val="10"/>
      <color theme="1"/>
      <name val="Arial"/>
      <family val="2"/>
      <scheme val="minor"/>
    </font>
    <font>
      <u/>
      <sz val="10"/>
      <color rgb="FF0000FF"/>
      <name val="Arial"/>
      <family val="2"/>
    </font>
    <font>
      <u/>
      <sz val="11"/>
      <color rgb="FF000000"/>
      <name val="Inconsolata"/>
    </font>
    <font>
      <sz val="10"/>
      <color rgb="FF3C4043"/>
      <name val="Roboto"/>
    </font>
    <font>
      <u/>
      <sz val="10"/>
      <color rgb="FF0000FF"/>
      <name val="Arial"/>
      <family val="2"/>
    </font>
    <font>
      <b/>
      <sz val="10"/>
      <color theme="1"/>
      <name val="Arial"/>
      <family val="2"/>
      <scheme val="minor"/>
    </font>
    <font>
      <u/>
      <sz val="10"/>
      <color rgb="FF0000FF"/>
      <name val="Arial"/>
      <family val="2"/>
    </font>
    <font>
      <u/>
      <sz val="10"/>
      <name val="Arial"/>
      <family val="2"/>
    </font>
    <font>
      <u/>
      <sz val="10"/>
      <color rgb="FF1155CC"/>
      <name val="Arial"/>
      <family val="2"/>
    </font>
    <font>
      <sz val="8"/>
      <name val="Arial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5F5F5"/>
        <bgColor rgb="FFF5F5F5"/>
      </patternFill>
    </fill>
    <fill>
      <patternFill patternType="solid">
        <fgColor rgb="FFFFFFFF"/>
        <bgColor rgb="FFFFFFFF"/>
      </patternFill>
    </fill>
    <fill>
      <patternFill patternType="solid">
        <fgColor rgb="FFF9F9F9"/>
        <bgColor rgb="FFF9F9F9"/>
      </patternFill>
    </fill>
    <fill>
      <patternFill patternType="solid">
        <fgColor rgb="FF00FFFF"/>
        <bgColor rgb="FF00FFFF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DDDDDD"/>
      </left>
      <right style="thin">
        <color rgb="FFDDDDDD"/>
      </right>
      <top style="thin">
        <color rgb="FFDDDDDD"/>
      </top>
      <bottom style="thin">
        <color rgb="FFDDDDDD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18">
    <xf numFmtId="0" fontId="0" fillId="0" borderId="0" xfId="0"/>
    <xf numFmtId="0" fontId="1" fillId="2" borderId="0" xfId="0" applyFont="1" applyFill="1" applyAlignment="1">
      <alignment horizontal="right" vertical="top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wrapText="1"/>
    </xf>
    <xf numFmtId="0" fontId="1" fillId="0" borderId="0" xfId="0" applyFont="1"/>
    <xf numFmtId="0" fontId="1" fillId="0" borderId="0" xfId="0" applyFont="1" applyAlignment="1">
      <alignment horizontal="center" wrapText="1"/>
    </xf>
    <xf numFmtId="0" fontId="2" fillId="0" borderId="1" xfId="0" applyFont="1" applyBorder="1" applyAlignment="1">
      <alignment horizontal="left"/>
    </xf>
    <xf numFmtId="0" fontId="3" fillId="0" borderId="0" xfId="0" applyFont="1"/>
    <xf numFmtId="0" fontId="1" fillId="0" borderId="0" xfId="0" applyFont="1" applyAlignment="1">
      <alignment horizontal="center"/>
    </xf>
    <xf numFmtId="49" fontId="3" fillId="0" borderId="0" xfId="0" applyNumberFormat="1" applyFont="1"/>
    <xf numFmtId="0" fontId="1" fillId="3" borderId="2" xfId="0" applyFont="1" applyFill="1" applyBorder="1" applyAlignment="1">
      <alignment vertical="top"/>
    </xf>
    <xf numFmtId="0" fontId="4" fillId="0" borderId="1" xfId="0" applyFont="1" applyBorder="1"/>
    <xf numFmtId="0" fontId="5" fillId="4" borderId="0" xfId="0" applyFont="1" applyFill="1"/>
    <xf numFmtId="0" fontId="6" fillId="4" borderId="0" xfId="0" applyFont="1" applyFill="1"/>
    <xf numFmtId="0" fontId="3" fillId="0" borderId="0" xfId="0" applyFont="1" applyAlignment="1">
      <alignment horizontal="right"/>
    </xf>
    <xf numFmtId="0" fontId="3" fillId="0" borderId="0" xfId="0" quotePrefix="1" applyFont="1"/>
    <xf numFmtId="0" fontId="7" fillId="0" borderId="0" xfId="0" applyFont="1"/>
    <xf numFmtId="0" fontId="4" fillId="0" borderId="3" xfId="0" applyFont="1" applyBorder="1"/>
    <xf numFmtId="0" fontId="8" fillId="0" borderId="0" xfId="0" applyFont="1"/>
    <xf numFmtId="0" fontId="1" fillId="5" borderId="0" xfId="0" applyFont="1" applyFill="1"/>
    <xf numFmtId="0" fontId="1" fillId="3" borderId="0" xfId="0" applyFont="1" applyFill="1"/>
    <xf numFmtId="0" fontId="9" fillId="3" borderId="0" xfId="0" applyFont="1" applyFill="1"/>
    <xf numFmtId="0" fontId="3" fillId="0" borderId="4" xfId="0" quotePrefix="1" applyFont="1" applyBorder="1"/>
    <xf numFmtId="0" fontId="10" fillId="0" borderId="0" xfId="0" applyFont="1" applyAlignment="1">
      <alignment horizontal="right"/>
    </xf>
    <xf numFmtId="0" fontId="10" fillId="0" borderId="0" xfId="0" applyFont="1"/>
    <xf numFmtId="0" fontId="11" fillId="4" borderId="0" xfId="0" applyFont="1" applyFill="1"/>
    <xf numFmtId="0" fontId="12" fillId="0" borderId="0" xfId="0" applyFont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49" fontId="2" fillId="0" borderId="0" xfId="0" applyNumberFormat="1" applyFont="1" applyAlignment="1">
      <alignment horizontal="center"/>
    </xf>
    <xf numFmtId="49" fontId="1" fillId="0" borderId="0" xfId="0" applyNumberFormat="1" applyFont="1"/>
    <xf numFmtId="0" fontId="2" fillId="0" borderId="0" xfId="0" quotePrefix="1" applyFont="1" applyAlignment="1">
      <alignment horizontal="left"/>
    </xf>
    <xf numFmtId="0" fontId="13" fillId="0" borderId="0" xfId="0" applyFont="1" applyAlignment="1">
      <alignment horizontal="center"/>
    </xf>
    <xf numFmtId="49" fontId="2" fillId="0" borderId="0" xfId="0" quotePrefix="1" applyNumberFormat="1" applyFont="1" applyAlignment="1">
      <alignment horizontal="center"/>
    </xf>
    <xf numFmtId="0" fontId="14" fillId="0" borderId="0" xfId="0" applyFont="1"/>
    <xf numFmtId="0" fontId="15" fillId="0" borderId="1" xfId="0" applyFont="1" applyBorder="1"/>
    <xf numFmtId="164" fontId="1" fillId="0" borderId="0" xfId="0" applyNumberFormat="1" applyFont="1"/>
    <xf numFmtId="0" fontId="15" fillId="0" borderId="3" xfId="0" applyFont="1" applyBorder="1"/>
    <xf numFmtId="0" fontId="3" fillId="0" borderId="1" xfId="0" applyFont="1" applyBorder="1" applyAlignment="1">
      <alignment horizontal="center"/>
    </xf>
    <xf numFmtId="0" fontId="16" fillId="3" borderId="0" xfId="0" applyFont="1" applyFill="1"/>
    <xf numFmtId="0" fontId="16" fillId="3" borderId="0" xfId="0" applyFont="1" applyFill="1" applyAlignment="1">
      <alignment horizontal="left"/>
    </xf>
    <xf numFmtId="0" fontId="17" fillId="0" borderId="0" xfId="0" applyFont="1" applyAlignment="1">
      <alignment horizontal="left"/>
    </xf>
    <xf numFmtId="0" fontId="2" fillId="0" borderId="0" xfId="0" quotePrefix="1" applyFont="1" applyAlignment="1">
      <alignment horizontal="center"/>
    </xf>
    <xf numFmtId="0" fontId="1" fillId="4" borderId="0" xfId="0" applyFont="1" applyFill="1"/>
    <xf numFmtId="0" fontId="15" fillId="4" borderId="3" xfId="0" applyFont="1" applyFill="1" applyBorder="1"/>
    <xf numFmtId="0" fontId="2" fillId="4" borderId="0" xfId="0" applyFont="1" applyFill="1" applyAlignment="1">
      <alignment horizontal="left"/>
    </xf>
    <xf numFmtId="0" fontId="13" fillId="4" borderId="0" xfId="0" applyFont="1" applyFill="1"/>
    <xf numFmtId="0" fontId="2" fillId="4" borderId="0" xfId="0" applyFont="1" applyFill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18" fillId="4" borderId="0" xfId="0" applyFont="1" applyFill="1"/>
    <xf numFmtId="164" fontId="1" fillId="4" borderId="0" xfId="0" applyNumberFormat="1" applyFont="1" applyFill="1"/>
    <xf numFmtId="0" fontId="13" fillId="0" borderId="0" xfId="0" applyFont="1"/>
    <xf numFmtId="0" fontId="1" fillId="2" borderId="0" xfId="0" applyFont="1" applyFill="1"/>
    <xf numFmtId="0" fontId="15" fillId="2" borderId="3" xfId="0" applyFont="1" applyFill="1" applyBorder="1"/>
    <xf numFmtId="0" fontId="2" fillId="2" borderId="0" xfId="0" applyFont="1" applyFill="1" applyAlignment="1">
      <alignment horizontal="left"/>
    </xf>
    <xf numFmtId="0" fontId="2" fillId="2" borderId="0" xfId="0" applyFont="1" applyFill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19" fillId="2" borderId="0" xfId="0" applyFont="1" applyFill="1"/>
    <xf numFmtId="164" fontId="1" fillId="2" borderId="0" xfId="0" applyNumberFormat="1" applyFont="1" applyFill="1"/>
    <xf numFmtId="0" fontId="2" fillId="0" borderId="1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13" fillId="0" borderId="3" xfId="0" applyFont="1" applyBorder="1" applyAlignment="1">
      <alignment horizontal="center"/>
    </xf>
    <xf numFmtId="0" fontId="2" fillId="0" borderId="3" xfId="0" applyFont="1" applyBorder="1" applyAlignment="1">
      <alignment horizontal="left"/>
    </xf>
    <xf numFmtId="0" fontId="20" fillId="0" borderId="3" xfId="0" applyFont="1" applyBorder="1"/>
    <xf numFmtId="0" fontId="21" fillId="0" borderId="1" xfId="0" applyFont="1" applyBorder="1"/>
    <xf numFmtId="0" fontId="21" fillId="0" borderId="3" xfId="0" applyFont="1" applyBorder="1"/>
    <xf numFmtId="0" fontId="2" fillId="0" borderId="0" xfId="0" applyFont="1"/>
    <xf numFmtId="0" fontId="3" fillId="0" borderId="1" xfId="0" applyFont="1" applyBorder="1" applyAlignment="1">
      <alignment horizontal="left" vertical="top"/>
    </xf>
    <xf numFmtId="0" fontId="3" fillId="0" borderId="5" xfId="0" applyFont="1" applyBorder="1" applyAlignment="1">
      <alignment horizontal="left" vertical="top"/>
    </xf>
    <xf numFmtId="0" fontId="3" fillId="0" borderId="0" xfId="0" applyFont="1" applyAlignment="1">
      <alignment horizontal="left" vertical="top"/>
    </xf>
    <xf numFmtId="0" fontId="22" fillId="4" borderId="0" xfId="0" applyFont="1" applyFill="1" applyAlignment="1">
      <alignment horizontal="left"/>
    </xf>
    <xf numFmtId="0" fontId="21" fillId="0" borderId="0" xfId="0" applyFont="1"/>
    <xf numFmtId="11" fontId="21" fillId="4" borderId="0" xfId="0" applyNumberFormat="1" applyFont="1" applyFill="1" applyAlignment="1">
      <alignment horizontal="center"/>
    </xf>
    <xf numFmtId="0" fontId="21" fillId="4" borderId="0" xfId="0" applyFont="1" applyFill="1" applyAlignment="1">
      <alignment horizontal="left"/>
    </xf>
    <xf numFmtId="0" fontId="13" fillId="0" borderId="0" xfId="0" applyFont="1" applyAlignment="1">
      <alignment horizontal="left"/>
    </xf>
    <xf numFmtId="0" fontId="13" fillId="0" borderId="0" xfId="0" applyFont="1" applyAlignment="1">
      <alignment horizontal="right"/>
    </xf>
    <xf numFmtId="0" fontId="2" fillId="0" borderId="0" xfId="0" applyFont="1" applyAlignment="1">
      <alignment horizontal="right"/>
    </xf>
    <xf numFmtId="0" fontId="21" fillId="0" borderId="0" xfId="0" applyFont="1" applyAlignment="1">
      <alignment horizontal="left"/>
    </xf>
    <xf numFmtId="0" fontId="22" fillId="0" borderId="0" xfId="0" applyFont="1" applyAlignment="1">
      <alignment horizontal="center"/>
    </xf>
    <xf numFmtId="0" fontId="22" fillId="0" borderId="0" xfId="0" applyFont="1"/>
    <xf numFmtId="0" fontId="22" fillId="0" borderId="0" xfId="0" applyFont="1" applyAlignment="1">
      <alignment horizontal="left"/>
    </xf>
    <xf numFmtId="0" fontId="22" fillId="0" borderId="0" xfId="0" applyFont="1" applyAlignment="1">
      <alignment horizontal="right"/>
    </xf>
    <xf numFmtId="0" fontId="2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21" fillId="0" borderId="0" xfId="0" applyFont="1" applyAlignment="1">
      <alignment horizontal="right"/>
    </xf>
    <xf numFmtId="0" fontId="1" fillId="0" borderId="0" xfId="0" applyFont="1" applyAlignment="1">
      <alignment horizontal="right"/>
    </xf>
    <xf numFmtId="0" fontId="1" fillId="0" borderId="0" xfId="0" quotePrefix="1" applyFont="1"/>
    <xf numFmtId="0" fontId="0" fillId="0" borderId="0" xfId="0" applyAlignment="1">
      <alignment horizontal="left"/>
    </xf>
    <xf numFmtId="0" fontId="23" fillId="0" borderId="0" xfId="0" applyFont="1"/>
    <xf numFmtId="0" fontId="23" fillId="0" borderId="0" xfId="0" applyFont="1" applyAlignment="1">
      <alignment horizontal="left"/>
    </xf>
    <xf numFmtId="0" fontId="2" fillId="0" borderId="6" xfId="0" applyFont="1" applyBorder="1" applyAlignment="1">
      <alignment horizontal="left"/>
    </xf>
    <xf numFmtId="0" fontId="2" fillId="0" borderId="6" xfId="0" applyFont="1" applyBorder="1" applyAlignment="1">
      <alignment horizontal="center"/>
    </xf>
    <xf numFmtId="0" fontId="21" fillId="0" borderId="1" xfId="0" applyFont="1" applyBorder="1" applyAlignment="1">
      <alignment horizontal="left"/>
    </xf>
    <xf numFmtId="0" fontId="21" fillId="0" borderId="6" xfId="0" applyFont="1" applyBorder="1" applyAlignment="1">
      <alignment horizontal="left"/>
    </xf>
    <xf numFmtId="0" fontId="21" fillId="0" borderId="1" xfId="0" applyFont="1" applyBorder="1" applyAlignment="1">
      <alignment horizontal="center"/>
    </xf>
    <xf numFmtId="0" fontId="21" fillId="0" borderId="6" xfId="0" applyFont="1" applyBorder="1" applyAlignment="1">
      <alignment horizontal="center"/>
    </xf>
    <xf numFmtId="0" fontId="24" fillId="4" borderId="0" xfId="0" applyFont="1" applyFill="1"/>
    <xf numFmtId="0" fontId="25" fillId="4" borderId="0" xfId="0" applyFont="1" applyFill="1"/>
    <xf numFmtId="0" fontId="26" fillId="0" borderId="0" xfId="0" applyFont="1"/>
    <xf numFmtId="0" fontId="27" fillId="0" borderId="0" xfId="0" applyFont="1"/>
    <xf numFmtId="0" fontId="24" fillId="4" borderId="0" xfId="0" applyFont="1" applyFill="1" applyAlignment="1">
      <alignment wrapText="1"/>
    </xf>
    <xf numFmtId="0" fontId="28" fillId="4" borderId="0" xfId="0" applyFont="1" applyFill="1" applyAlignment="1">
      <alignment wrapText="1"/>
    </xf>
    <xf numFmtId="0" fontId="29" fillId="4" borderId="0" xfId="0" applyFont="1" applyFill="1" applyAlignment="1">
      <alignment horizontal="left"/>
    </xf>
    <xf numFmtId="0" fontId="1" fillId="6" borderId="0" xfId="0" applyFont="1" applyFill="1"/>
    <xf numFmtId="0" fontId="30" fillId="6" borderId="0" xfId="0" applyFont="1" applyFill="1"/>
    <xf numFmtId="0" fontId="31" fillId="0" borderId="0" xfId="0" applyFont="1"/>
    <xf numFmtId="0" fontId="31" fillId="0" borderId="1" xfId="0" applyFont="1" applyBorder="1"/>
    <xf numFmtId="0" fontId="31" fillId="0" borderId="1" xfId="0" applyFont="1" applyBorder="1" applyAlignment="1">
      <alignment horizontal="center"/>
    </xf>
    <xf numFmtId="0" fontId="1" fillId="0" borderId="1" xfId="0" applyFont="1" applyBorder="1"/>
    <xf numFmtId="0" fontId="32" fillId="0" borderId="1" xfId="0" applyFont="1" applyBorder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1" xfId="0" applyFont="1" applyBorder="1" applyAlignment="1">
      <alignment horizontal="center"/>
    </xf>
    <xf numFmtId="0" fontId="15" fillId="0" borderId="0" xfId="0" applyFont="1"/>
    <xf numFmtId="49" fontId="2" fillId="0" borderId="1" xfId="0" applyNumberFormat="1" applyFont="1" applyBorder="1" applyAlignment="1">
      <alignment horizontal="center"/>
    </xf>
    <xf numFmtId="49" fontId="2" fillId="0" borderId="6" xfId="0" applyNumberFormat="1" applyFont="1" applyBorder="1" applyAlignment="1">
      <alignment horizontal="center"/>
    </xf>
    <xf numFmtId="49" fontId="0" fillId="0" borderId="0" xfId="0" applyNumberFormat="1"/>
  </cellXfs>
  <cellStyles count="1">
    <cellStyle name="Normal" xfId="0" builtinId="0"/>
  </cellStyles>
  <dxfs count="1">
    <dxf>
      <fill>
        <patternFill patternType="solid">
          <fgColor rgb="FFFF9900"/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1" Type="http://schemas.openxmlformats.org/officeDocument/2006/relationships/hyperlink" Target="https://docs.google.com/spreadsheets/d/1l1ee0kEYCAhG00p-dOwffGM5ewsPu44aSoHB723IlTw/edit?usp=sharing" TargetMode="External"/><Relationship Id="rId170" Type="http://schemas.openxmlformats.org/officeDocument/2006/relationships/hyperlink" Target="https://drive.google.com/open?id=1otcXblFr9qww47uEYhaUS54PBj0BwNGf-EZ8AjS8yH4&amp;usp=drive_copy" TargetMode="External"/><Relationship Id="rId268" Type="http://schemas.openxmlformats.org/officeDocument/2006/relationships/hyperlink" Target="https://drive.google.com/open?id=15FBk7sjgDl7cPUOvU963L9E2komH58om3QDtMZme2_Q&amp;usp=drive_copy" TargetMode="External"/><Relationship Id="rId475" Type="http://schemas.openxmlformats.org/officeDocument/2006/relationships/hyperlink" Target="https://drive.google.com/open?id=12QyFqHTRjIZOnrLXNr9NmaSp8rnvYFKsPPRe_6Enczs&amp;usp=drive_copy" TargetMode="External"/><Relationship Id="rId682" Type="http://schemas.openxmlformats.org/officeDocument/2006/relationships/hyperlink" Target="https://drive.google.com/open?id=1EE7F9TdJWX39Eaf_HwosXUAAqTVHuiDKG-FG6pfOzP0&amp;usp=drive_copy" TargetMode="External"/><Relationship Id="rId128" Type="http://schemas.openxmlformats.org/officeDocument/2006/relationships/hyperlink" Target="https://drive.google.com/open?id=1wuTP6ZyVjkSrlxTL8N9Ko9Ahw4roz-bpCZiVKoGmPgw&amp;usp=drive_copy" TargetMode="External"/><Relationship Id="rId335" Type="http://schemas.openxmlformats.org/officeDocument/2006/relationships/hyperlink" Target="https://drive.google.com/open?id=1hWjdpahK8LfWaI-boTIWY318vErkuc2PvkMTj5xpQrk&amp;usp=drive_copy" TargetMode="External"/><Relationship Id="rId542" Type="http://schemas.openxmlformats.org/officeDocument/2006/relationships/hyperlink" Target="https://drive.google.com/open?id=1xmPvvV6D_6PxB9GT5NdPQTv2eJOtsA6v0GSQ1Xiu4a8&amp;usp=drive_copy" TargetMode="External"/><Relationship Id="rId987" Type="http://schemas.openxmlformats.org/officeDocument/2006/relationships/hyperlink" Target="https://drive.google.com/open?id=1Tvqk1bJKXdGbrS7ddGjVCJivUpazhwPnWsMb8MPpGWI&amp;usp=drive_copy" TargetMode="External"/><Relationship Id="rId402" Type="http://schemas.openxmlformats.org/officeDocument/2006/relationships/hyperlink" Target="https://drive.google.com/open?id=1VwwKPJ-nn8QXgNoCc2vxkuGxRCW712tdCv1BNS9wOeA&amp;usp=drive_copy" TargetMode="External"/><Relationship Id="rId847" Type="http://schemas.openxmlformats.org/officeDocument/2006/relationships/hyperlink" Target="https://drive.google.com/open?id=1dqoTdLhR_zIt6QNdClkbdCkQRRZY3qMc_OrdKh_EyIo&amp;usp=drive_copy" TargetMode="External"/><Relationship Id="rId1032" Type="http://schemas.openxmlformats.org/officeDocument/2006/relationships/hyperlink" Target="https://drive.google.com/open?id=1YG8FCFfb_7C-VhPVWkjgcqsqSOCY3bVI7QNYB_FGnz0&amp;usp=drive_copy" TargetMode="External"/><Relationship Id="rId279" Type="http://schemas.openxmlformats.org/officeDocument/2006/relationships/hyperlink" Target="https://drive.google.com/open?id=1R3ix6TlsU6FSycPVRYy2KtmwR-m0tlKaLbuWDkusD0w&amp;usp=drive_copy" TargetMode="External"/><Relationship Id="rId486" Type="http://schemas.openxmlformats.org/officeDocument/2006/relationships/hyperlink" Target="https://drive.google.com/open?id=11hH8ceQtzckvAhiPdC8A-_H9yjPAUzN47SxqyxbIpQA&amp;usp=drive_copy" TargetMode="External"/><Relationship Id="rId693" Type="http://schemas.openxmlformats.org/officeDocument/2006/relationships/hyperlink" Target="https://drive.google.com/open?id=1jbXLlkwoxgCySTy6o6zAcNPhyxQ0nEUCmjA-dKjU2ec&amp;usp=drive_copy" TargetMode="External"/><Relationship Id="rId707" Type="http://schemas.openxmlformats.org/officeDocument/2006/relationships/hyperlink" Target="https://drive.google.com/open?id=1w9TkOwhLPHAt_8L4y3JJCg5I4gzwaCy2E1NfouMG7bM&amp;usp=drive_copy" TargetMode="External"/><Relationship Id="rId914" Type="http://schemas.openxmlformats.org/officeDocument/2006/relationships/hyperlink" Target="https://drive.google.com/open?id=16w475vVUAnM6o9vbOIsGpgiM76cKmsCLKWT-tz2V7tg&amp;usp=drive_copy" TargetMode="External"/><Relationship Id="rId43" Type="http://schemas.openxmlformats.org/officeDocument/2006/relationships/hyperlink" Target="https://docs.google.com/spreadsheets/d/1P70N1tP0AQfUI9AuGVgYgINBv65E1veuPvyuyMkt3ag/edit?usp=sharing" TargetMode="External"/><Relationship Id="rId139" Type="http://schemas.openxmlformats.org/officeDocument/2006/relationships/hyperlink" Target="https://drive.google.com/open?id=1G034Ca2SXPIjqSO13Pdt1kyW9xeO96TuNSKDyn9gYO0&amp;usp=drive_copy" TargetMode="External"/><Relationship Id="rId346" Type="http://schemas.openxmlformats.org/officeDocument/2006/relationships/hyperlink" Target="https://drive.google.com/open?id=1UYWMWHeW-M8GY0OSZNcPF2R8afJWdtf38jKAsq2fAho&amp;usp=drive_copy" TargetMode="External"/><Relationship Id="rId553" Type="http://schemas.openxmlformats.org/officeDocument/2006/relationships/hyperlink" Target="https://drive.google.com/open?id=1Dqc_Pf95YQXb5424igOMFHGNucg4DNgzS87U9cUeycU&amp;usp=drive_copy" TargetMode="External"/><Relationship Id="rId760" Type="http://schemas.openxmlformats.org/officeDocument/2006/relationships/hyperlink" Target="https://drive.google.com/open?id=1tnid7ETYJfYjoPzqwcSHKT6xbWQY8q1WdtereWllGpU&amp;usp=drive_copy" TargetMode="External"/><Relationship Id="rId998" Type="http://schemas.openxmlformats.org/officeDocument/2006/relationships/hyperlink" Target="https://drive.google.com/open?id=1Yp7MGDRhRootSQcpTiZSPHdr0pJe93NgN45rRBfdZSk&amp;usp=drive_copy" TargetMode="External"/><Relationship Id="rId192" Type="http://schemas.openxmlformats.org/officeDocument/2006/relationships/hyperlink" Target="https://drive.google.com/open?id=1RCIJO0JhFeMMnnju70d3As6zQjRA7MVNAIpbilwf-fg&amp;usp=drive_copy" TargetMode="External"/><Relationship Id="rId206" Type="http://schemas.openxmlformats.org/officeDocument/2006/relationships/hyperlink" Target="https://drive.google.com/open?id=10rSsdMFG_Z0Uwv1XwEOPegONArA48eFzWIqg21PpqOs&amp;usp=drive_copy" TargetMode="External"/><Relationship Id="rId413" Type="http://schemas.openxmlformats.org/officeDocument/2006/relationships/hyperlink" Target="https://drive.google.com/open?id=1mZWWVltoMCDTOP9Wgo01tGmHcxLtDX60eDtdD9dKRoI&amp;usp=drive_copy" TargetMode="External"/><Relationship Id="rId858" Type="http://schemas.openxmlformats.org/officeDocument/2006/relationships/hyperlink" Target="https://drive.google.com/open?id=1t2uI5jSJvcoYzVphAG-PsbmtRBmaihD0bbE2MtW-_CI&amp;usp=drive_copy" TargetMode="External"/><Relationship Id="rId1043" Type="http://schemas.openxmlformats.org/officeDocument/2006/relationships/hyperlink" Target="https://drive.google.com/open?id=1yyWpoI7sekFdjRmZBdv2nk40V__VZXy6Nxa_RTxVxYU&amp;usp=drive_copy" TargetMode="External"/><Relationship Id="rId497" Type="http://schemas.openxmlformats.org/officeDocument/2006/relationships/hyperlink" Target="https://drive.google.com/open?id=1PPpDhspB4u9hX2w1lg9MB73NhEYQmUY3883AYCxVDCU&amp;usp=drive_copy" TargetMode="External"/><Relationship Id="rId620" Type="http://schemas.openxmlformats.org/officeDocument/2006/relationships/hyperlink" Target="https://drive.google.com/open?id=1n91_dZnAo6ulbP_WgpTe6DReCHsOLKzA0OoBXB3rE7E&amp;usp=drive_copy" TargetMode="External"/><Relationship Id="rId718" Type="http://schemas.openxmlformats.org/officeDocument/2006/relationships/hyperlink" Target="https://drive.google.com/open?id=1A7ENQBIOfZAZGbp-VVBqZFoB-GKf8A-cFOvzvIVS888&amp;usp=drive_copy" TargetMode="External"/><Relationship Id="rId925" Type="http://schemas.openxmlformats.org/officeDocument/2006/relationships/hyperlink" Target="https://drive.google.com/open?id=1W8-YnxJU9mEmehXQIh8Ljt6bMy3x95GwhJYHGegfkxw&amp;usp=drive_copy" TargetMode="External"/><Relationship Id="rId357" Type="http://schemas.openxmlformats.org/officeDocument/2006/relationships/hyperlink" Target="https://drive.google.com/open?id=1ZvBcY12fipEHX1b4eUbGpDkpc5lwxJ2nzm0kqiRSDJU&amp;usp=drive_copy" TargetMode="External"/><Relationship Id="rId54" Type="http://schemas.openxmlformats.org/officeDocument/2006/relationships/hyperlink" Target="https://docs.google.com/spreadsheets/d/1Ljt-lgcOpgd1rE3OKtvbVNEF1-B63h7JpKmJS_G0DtU/edit?usp=sharing" TargetMode="External"/><Relationship Id="rId217" Type="http://schemas.openxmlformats.org/officeDocument/2006/relationships/hyperlink" Target="https://drive.google.com/open?id=1AJbyPTvEEwaelfVjmkCZi1R7IxeJYplBzCxK1aiIWKY&amp;usp=drive_copy" TargetMode="External"/><Relationship Id="rId564" Type="http://schemas.openxmlformats.org/officeDocument/2006/relationships/hyperlink" Target="https://drive.google.com/open?id=1biTi2ymlkV4x9dXvw9oFu6Sw05uBhDTp5wXV7PymxRg&amp;usp=drive_copy" TargetMode="External"/><Relationship Id="rId771" Type="http://schemas.openxmlformats.org/officeDocument/2006/relationships/hyperlink" Target="https://drive.google.com/open?id=1Tf3iC2J5EUzrdRnyTeE4mOHjdS3w8bycoFotZrJyjlw&amp;usp=drive_copy" TargetMode="External"/><Relationship Id="rId869" Type="http://schemas.openxmlformats.org/officeDocument/2006/relationships/hyperlink" Target="https://drive.google.com/open?id=14AM6_aa-ThFRzFQxlFxDAPqVxMQW64NrnTw3fX8qFyI&amp;usp=drive_copy" TargetMode="External"/><Relationship Id="rId424" Type="http://schemas.openxmlformats.org/officeDocument/2006/relationships/hyperlink" Target="https://drive.google.com/open?id=1-wiyawIb7nuGz3R72e-F5f_5y2rnpSuziq4huDcp1LM&amp;usp=drive_copy" TargetMode="External"/><Relationship Id="rId631" Type="http://schemas.openxmlformats.org/officeDocument/2006/relationships/hyperlink" Target="https://drive.google.com/open?id=1C_1B3o0dG9n_WF4jMaowYgYAN5ikM4iCmm-EnJNp9Tw&amp;usp=drive_copy" TargetMode="External"/><Relationship Id="rId729" Type="http://schemas.openxmlformats.org/officeDocument/2006/relationships/hyperlink" Target="https://drive.google.com/open?id=1NfSL4hQNYhYS76hNjW8IcTXq2ARCR3aTuOdBmpzbUo8&amp;usp=drive_copy" TargetMode="External"/><Relationship Id="rId270" Type="http://schemas.openxmlformats.org/officeDocument/2006/relationships/hyperlink" Target="https://drive.google.com/open?id=1x1nYgQm0DL8JVvoXjNimbVfc-ojGdplpqg0XdAUFygQ&amp;usp=drive_copy" TargetMode="External"/><Relationship Id="rId936" Type="http://schemas.openxmlformats.org/officeDocument/2006/relationships/hyperlink" Target="https://drive.google.com/open?id=1QI46iaT6QLn_FWY_QD7lgI6VdaqHfQWt1vFQMPzzr7Q&amp;usp=drive_copy" TargetMode="External"/><Relationship Id="rId65" Type="http://schemas.openxmlformats.org/officeDocument/2006/relationships/hyperlink" Target="https://docs.google.com/spreadsheets/d/1yQu_8qKdWU1iAVHxM6pd5K6Hl6M5VlhvsRoz6YD3MoM/edit?usp=sharing" TargetMode="External"/><Relationship Id="rId130" Type="http://schemas.openxmlformats.org/officeDocument/2006/relationships/hyperlink" Target="https://drive.google.com/open?id=1zuVHOafl08m2jZNZHiCWOmEPOxq6cwD9akQ1PkR1dEQ&amp;usp=drive_copy" TargetMode="External"/><Relationship Id="rId368" Type="http://schemas.openxmlformats.org/officeDocument/2006/relationships/hyperlink" Target="https://drive.google.com/open?id=1c93SYawf3vDqLUzX_RZpQXZDw6mAIyXefivHfven87I&amp;usp=drive_copy" TargetMode="External"/><Relationship Id="rId575" Type="http://schemas.openxmlformats.org/officeDocument/2006/relationships/hyperlink" Target="https://drive.google.com/open?id=1F_9OAvKz0KlFsPKIxwKI3CJWvfkj5tmmyxQqpkANOIc&amp;usp=drive_copy" TargetMode="External"/><Relationship Id="rId782" Type="http://schemas.openxmlformats.org/officeDocument/2006/relationships/hyperlink" Target="https://drive.google.com/open?id=1iJNUFh3xGdGzCehlEuz7GJb8b3f_f2fV3cRqXvQ6iD4&amp;usp=drive_copy" TargetMode="External"/><Relationship Id="rId228" Type="http://schemas.openxmlformats.org/officeDocument/2006/relationships/hyperlink" Target="https://drive.google.com/open?id=1L39DI1wMDf9LCozOoaK5V2Ca99oceCq6rC86LKyKju4&amp;usp=drive_copy" TargetMode="External"/><Relationship Id="rId435" Type="http://schemas.openxmlformats.org/officeDocument/2006/relationships/hyperlink" Target="https://drive.google.com/open?id=1C8nqDXbJfAiIjuDjiMu5OkA0dHOJ_GCj6_z55jqJYyk&amp;usp=drive_copy" TargetMode="External"/><Relationship Id="rId642" Type="http://schemas.openxmlformats.org/officeDocument/2006/relationships/hyperlink" Target="https://drive.google.com/open?id=1_lB4xeo89spumEvb56SHsPLccl1hDrHyTSw3w4wSl6g&amp;usp=drive_copy" TargetMode="External"/><Relationship Id="rId281" Type="http://schemas.openxmlformats.org/officeDocument/2006/relationships/hyperlink" Target="https://drive.google.com/open?id=1SsvHkRej2vBregcp2Lsl1i2jJj8r_J5OFIu_IM_TS5A&amp;usp=drive_copy" TargetMode="External"/><Relationship Id="rId502" Type="http://schemas.openxmlformats.org/officeDocument/2006/relationships/hyperlink" Target="https://drive.google.com/open?id=1Gyp4t-UQBK08oZO6biQiBfeO2ByzVN5eUy_Awhv5KCo&amp;usp=drive_copy" TargetMode="External"/><Relationship Id="rId947" Type="http://schemas.openxmlformats.org/officeDocument/2006/relationships/hyperlink" Target="https://drive.google.com/open?id=1URKqqjoFy9KleK-0wRRLmr7qsdv9kOSC4MDvOL-FBUU&amp;usp=drive_copy" TargetMode="External"/><Relationship Id="rId76" Type="http://schemas.openxmlformats.org/officeDocument/2006/relationships/hyperlink" Target="https://docs.google.com/spreadsheets/d/13hrtWhGH1L0V8pdKWX6OKx0XoRGg1xp7PRoQReBLuQE/edit?usp=sharing" TargetMode="External"/><Relationship Id="rId141" Type="http://schemas.openxmlformats.org/officeDocument/2006/relationships/hyperlink" Target="https://drive.google.com/open?id=17HoejRUtYdUex9FEOd11KvVVGbOhTZZ59f8aZATV5FI&amp;usp=drive_copy" TargetMode="External"/><Relationship Id="rId379" Type="http://schemas.openxmlformats.org/officeDocument/2006/relationships/hyperlink" Target="https://drive.google.com/open?id=1__D_DHUBWPg4FqLbqoqxmKhkWLnOeNx0lD5m702KrV0&amp;usp=drive_copy" TargetMode="External"/><Relationship Id="rId586" Type="http://schemas.openxmlformats.org/officeDocument/2006/relationships/hyperlink" Target="https://drive.google.com/open?id=1zZHX4a0FY2YJ2Eu5EhItf_gs00d53mwfU6nmXVTq2sI&amp;usp=drive_copy" TargetMode="External"/><Relationship Id="rId793" Type="http://schemas.openxmlformats.org/officeDocument/2006/relationships/hyperlink" Target="https://drive.google.com/open?id=1MHJCwQcQNSV8n_R6I-zLfrAfKXBt2eiHCE_V_fEkUPU&amp;usp=drive_copy" TargetMode="External"/><Relationship Id="rId807" Type="http://schemas.openxmlformats.org/officeDocument/2006/relationships/hyperlink" Target="https://drive.google.com/open?id=1rhKdNxZENi3iQXBOf2mtMsDAO5yX_2S-0pyN62VEn58&amp;usp=drive_copy" TargetMode="External"/><Relationship Id="rId7" Type="http://schemas.openxmlformats.org/officeDocument/2006/relationships/hyperlink" Target="https://docs.google.com/spreadsheets/d/1VnZRiUSLkcf280njKLZy4CbXomR3Lk2MA7HohaPJkLE/edit?usp=sharing" TargetMode="External"/><Relationship Id="rId239" Type="http://schemas.openxmlformats.org/officeDocument/2006/relationships/hyperlink" Target="https://drive.google.com/open?id=188gvfRHY-Lhh0buPxNcpokgAmKt2u7SV1hIsUVuVCrQ&amp;usp=drive_copy" TargetMode="External"/><Relationship Id="rId446" Type="http://schemas.openxmlformats.org/officeDocument/2006/relationships/hyperlink" Target="https://drive.google.com/open?id=1vbIpNLIrtsRBXqGoKiTY2MwTpkrvJpMfY-4jcOc-87Q&amp;usp=drive_copy" TargetMode="External"/><Relationship Id="rId653" Type="http://schemas.openxmlformats.org/officeDocument/2006/relationships/hyperlink" Target="https://drive.google.com/open?id=1YXoLIt-c7QGqA4FJ9oWi3ZPYX0JyzLkFWGf2aC-SkwU&amp;usp=drive_copy" TargetMode="External"/><Relationship Id="rId292" Type="http://schemas.openxmlformats.org/officeDocument/2006/relationships/hyperlink" Target="https://drive.google.com/open?id=1qFc_9tU5EuyCio1Xr_H-k3r6k_LmSw9oxgysADhEUVY&amp;usp=drive_copy" TargetMode="External"/><Relationship Id="rId306" Type="http://schemas.openxmlformats.org/officeDocument/2006/relationships/hyperlink" Target="https://drive.google.com/open?id=1oMvRKCsxFE6sjk4cGmyuzDcOCu378H6gDJ8b3vLGNa4&amp;usp=drive_copy" TargetMode="External"/><Relationship Id="rId860" Type="http://schemas.openxmlformats.org/officeDocument/2006/relationships/hyperlink" Target="https://drive.google.com/open?id=1tnkLhF9Kn3oaTPa60FYDCDC-brmRWrG3qMqMDEBUeck&amp;usp=drive_copy" TargetMode="External"/><Relationship Id="rId958" Type="http://schemas.openxmlformats.org/officeDocument/2006/relationships/hyperlink" Target="https://drive.google.com/open?id=1rUbnpZRlk35FQfy_BzYps7EJWLC6LQvmPDViGnVO1A8&amp;usp=drive_copy" TargetMode="External"/><Relationship Id="rId87" Type="http://schemas.openxmlformats.org/officeDocument/2006/relationships/hyperlink" Target="https://docs.google.com/spreadsheets/d/19a6MLDT0T9oizOnHoKcL7zlSLysVXV1SXIb-xwMsOyA/edit?usp=sharing" TargetMode="External"/><Relationship Id="rId513" Type="http://schemas.openxmlformats.org/officeDocument/2006/relationships/hyperlink" Target="https://drive.google.com/open?id=1EOXQuf60K_Uld5odEVzZydbD-vpkTuI-8a1bFmNADRk&amp;usp=drive_copy" TargetMode="External"/><Relationship Id="rId597" Type="http://schemas.openxmlformats.org/officeDocument/2006/relationships/hyperlink" Target="https://drive.google.com/open?id=1fN9WTZ4BlhzJmkw5hijUhiIlKOUsybDyVzCyji02UAc&amp;usp=drive_copy" TargetMode="External"/><Relationship Id="rId720" Type="http://schemas.openxmlformats.org/officeDocument/2006/relationships/hyperlink" Target="https://drive.google.com/open?id=1AWiq3H99nx8mHFS_NrvOVOBlS_CdwfE0EdXzlQIkc2M&amp;usp=drive_copy" TargetMode="External"/><Relationship Id="rId818" Type="http://schemas.openxmlformats.org/officeDocument/2006/relationships/hyperlink" Target="https://drive.google.com/open?id=1288ftmk97ud5rhCBM1IvNd-eyBvZmxUgj3L45T3aJAI&amp;usp=drive_copy" TargetMode="External"/><Relationship Id="rId152" Type="http://schemas.openxmlformats.org/officeDocument/2006/relationships/hyperlink" Target="https://docs.google.com/spreadsheets/d/1rca7FK11fX25ETdQ2QXO9FWeCoDB76u-aScPoDiZU2k/edit?usp=sharing" TargetMode="External"/><Relationship Id="rId457" Type="http://schemas.openxmlformats.org/officeDocument/2006/relationships/hyperlink" Target="https://drive.google.com/open?id=1aD6_JGEkVhdmoMpdF2lFkFtTC-iSiRta5fudcOvvcc4&amp;usp=drive_copy" TargetMode="External"/><Relationship Id="rId1003" Type="http://schemas.openxmlformats.org/officeDocument/2006/relationships/hyperlink" Target="https://drive.google.com/open?id=1Ma8B8P9T1jyN_GT7W61KRUZ_VMQgkur191iZWCk7QO8&amp;usp=drive_copy" TargetMode="External"/><Relationship Id="rId664" Type="http://schemas.openxmlformats.org/officeDocument/2006/relationships/hyperlink" Target="https://drive.google.com/open?id=1XmjjaxhccnvGh5nP_NwFuid8AOS8YXBHMmiOrkKZJXA&amp;usp=drive_copy" TargetMode="External"/><Relationship Id="rId871" Type="http://schemas.openxmlformats.org/officeDocument/2006/relationships/hyperlink" Target="https://drive.google.com/open?id=14xXIDMHktHinzKVs2eiN2Rnz5a8ew907SP0tyARAIuU&amp;usp=drive_copy" TargetMode="External"/><Relationship Id="rId969" Type="http://schemas.openxmlformats.org/officeDocument/2006/relationships/hyperlink" Target="https://drive.google.com/open?id=1YL-thVA9WsyYVWzPE53-uqCkY2pDDN0Urv2pbbKqh94&amp;usp=drive_copy" TargetMode="External"/><Relationship Id="rId14" Type="http://schemas.openxmlformats.org/officeDocument/2006/relationships/hyperlink" Target="https://docs.google.com/spreadsheets/d/1DpH6ubmGzpnCXYb7pJSgpt_1FxKAYTUv9FU1EfpMVUY/edit?usp=sharing" TargetMode="External"/><Relationship Id="rId317" Type="http://schemas.openxmlformats.org/officeDocument/2006/relationships/hyperlink" Target="https://drive.google.com/open?id=18rIwtIo9dWyf2Ut4Zmza2-vWtmaytdEvRgAiCozJi_0&amp;usp=drive_copy" TargetMode="External"/><Relationship Id="rId524" Type="http://schemas.openxmlformats.org/officeDocument/2006/relationships/hyperlink" Target="https://drive.google.com/open?id=1rrxsUgZcebmq_EXVre3yoGj5K7TK_OyeTWWFpXWC-tQ&amp;usp=drive_copy" TargetMode="External"/><Relationship Id="rId731" Type="http://schemas.openxmlformats.org/officeDocument/2006/relationships/hyperlink" Target="https://drive.google.com/open?id=1KlknmlzdwCizIktTE1fk7Ov3VKf1zDKLF2eHBbbdjkE&amp;usp=drive_copy" TargetMode="External"/><Relationship Id="rId98" Type="http://schemas.openxmlformats.org/officeDocument/2006/relationships/hyperlink" Target="https://docs.google.com/spreadsheets/d/1dfq-4mbH5Fxmq3qOJuQemQIfGGu0vhueCzCPUHM4N2Y/edit?usp=sharing" TargetMode="External"/><Relationship Id="rId163" Type="http://schemas.openxmlformats.org/officeDocument/2006/relationships/hyperlink" Target="https://drive.google.com/open?id=1gjKJcc4fjEHs9bZ7AL5vU3ozaX0XeN59sr1bDdfFhDo&amp;usp=drive_copy" TargetMode="External"/><Relationship Id="rId370" Type="http://schemas.openxmlformats.org/officeDocument/2006/relationships/hyperlink" Target="https://drive.google.com/open?id=1chz5gMDmUvWKj6RwlFH6E-YUViMTncRmCvRLW8a5juA&amp;usp=drive_copy" TargetMode="External"/><Relationship Id="rId829" Type="http://schemas.openxmlformats.org/officeDocument/2006/relationships/hyperlink" Target="https://drive.google.com/open?id=1CehHk5pu2q8DN6btSupLBm_7TGv5hMWZBOzI_ccjnmU&amp;usp=drive_copy" TargetMode="External"/><Relationship Id="rId1014" Type="http://schemas.openxmlformats.org/officeDocument/2006/relationships/hyperlink" Target="https://drive.google.com/open?id=1yzpnK1mpmqmhTIzyD-WVvBmb8nnxvXjeEOIWehuHWlI&amp;usp=drive_copy" TargetMode="External"/><Relationship Id="rId230" Type="http://schemas.openxmlformats.org/officeDocument/2006/relationships/hyperlink" Target="https://drive.google.com/open?id=1OGhMSmwLzY_YX9czT4J-ieZpRTQUnUIAMTS094bSnHo&amp;usp=drive_copy" TargetMode="External"/><Relationship Id="rId468" Type="http://schemas.openxmlformats.org/officeDocument/2006/relationships/hyperlink" Target="https://drive.google.com/open?id=1lQjB1bQpz-cknjSjwGGmxeegqSwBmLEZjef75RZP5H0&amp;usp=drive_copy" TargetMode="External"/><Relationship Id="rId675" Type="http://schemas.openxmlformats.org/officeDocument/2006/relationships/hyperlink" Target="https://drive.google.com/open?id=1C4qLmFbzdCUDhoZs1AxGfn3RXqtL1vs1dPHz29tN85A&amp;usp=drive_copy" TargetMode="External"/><Relationship Id="rId882" Type="http://schemas.openxmlformats.org/officeDocument/2006/relationships/hyperlink" Target="https://drive.google.com/open?id=1DE2t0QXu5zy-D3SIpM-HzPtPAJOjoyyE6cov2Draufo&amp;usp=drive_copy" TargetMode="External"/><Relationship Id="rId25" Type="http://schemas.openxmlformats.org/officeDocument/2006/relationships/hyperlink" Target="https://docs.google.com/spreadsheets/d/1atq5-5Swtert9m_EOhDzNkpiD8vV2GfgoRoyxIOr8uM/edit?usp=sharing" TargetMode="External"/><Relationship Id="rId328" Type="http://schemas.openxmlformats.org/officeDocument/2006/relationships/hyperlink" Target="https://drive.google.com/open?id=1jXkfqSZqGAawLE9ECl2MxpNxfFkEtfAvk3PDxmRuIRw&amp;usp=drive_copy" TargetMode="External"/><Relationship Id="rId535" Type="http://schemas.openxmlformats.org/officeDocument/2006/relationships/hyperlink" Target="https://drive.google.com/open?id=1hN48lGmjWpWkYR21-StJeMuNKeUeuY9SvvUkLpfTpH0&amp;usp=drive_copy" TargetMode="External"/><Relationship Id="rId742" Type="http://schemas.openxmlformats.org/officeDocument/2006/relationships/hyperlink" Target="https://drive.google.com/open?id=1iS7GQzTWD1xeGO-VZl3XCq2gJT68EXEs-laiahTPNSg&amp;usp=drive_copy" TargetMode="External"/><Relationship Id="rId174" Type="http://schemas.openxmlformats.org/officeDocument/2006/relationships/hyperlink" Target="https://drive.google.com/open?id=1vVWJqM_ZEbT8aB0cn9bEM5_yDhPt4R5bzNmGTet2Orw&amp;usp=drive_copy" TargetMode="External"/><Relationship Id="rId381" Type="http://schemas.openxmlformats.org/officeDocument/2006/relationships/hyperlink" Target="https://drive.google.com/open?id=1MXucdfS77PtxYhAhCcI0KwuMYEzMXwKM2mQnT9uVmuw&amp;usp=drive_copy" TargetMode="External"/><Relationship Id="rId602" Type="http://schemas.openxmlformats.org/officeDocument/2006/relationships/hyperlink" Target="https://drive.google.com/open?id=1eAUiwnv25gIxi_M3hv8Y_2BqqOMs7Hz56cYir8lp70M&amp;usp=drive_copy" TargetMode="External"/><Relationship Id="rId1025" Type="http://schemas.openxmlformats.org/officeDocument/2006/relationships/hyperlink" Target="https://drive.google.com/open?id=1VEK6lO97nwgpRksBKriuYQTICvxPgONd5ViVz6GtCvU&amp;usp=drive_copy" TargetMode="External"/><Relationship Id="rId241" Type="http://schemas.openxmlformats.org/officeDocument/2006/relationships/hyperlink" Target="https://drive.google.com/open?id=1ABRpeRqMDXErNoGQEaO1t9HHevH-K2aqmWK4TwlrTNg&amp;usp=drive_copy" TargetMode="External"/><Relationship Id="rId479" Type="http://schemas.openxmlformats.org/officeDocument/2006/relationships/hyperlink" Target="https://drive.google.com/open?id=1Tq9Xj7Em9_lW_2lpW-OoRc_MCq1ABdu3T2I984PjUnU&amp;usp=drive_copy" TargetMode="External"/><Relationship Id="rId686" Type="http://schemas.openxmlformats.org/officeDocument/2006/relationships/hyperlink" Target="https://drive.google.com/open?id=1gB7ywvBiq1Y6KelcMxF4tOsyvdbg72yF0QBiljxdfW4&amp;usp=drive_copy" TargetMode="External"/><Relationship Id="rId893" Type="http://schemas.openxmlformats.org/officeDocument/2006/relationships/hyperlink" Target="https://drive.google.com/open?id=1PBVCKZ15LG3PK_khMQh4cShqvtx1Rtou_3tp6Hitfkc&amp;usp=drive_copy" TargetMode="External"/><Relationship Id="rId907" Type="http://schemas.openxmlformats.org/officeDocument/2006/relationships/hyperlink" Target="https://drive.google.com/open?id=1rDqG8HquCwW9pnZZCYlHGX7ElQehNuNDHFV-OcxgQXA&amp;usp=drive_copy" TargetMode="External"/><Relationship Id="rId36" Type="http://schemas.openxmlformats.org/officeDocument/2006/relationships/hyperlink" Target="https://docs.google.com/spreadsheets/d/1IFZYTBc8VPvqx44JLaC2C9boWHZ4ZuCVPAAie7BjxQs/edit?usp=sharing" TargetMode="External"/><Relationship Id="rId339" Type="http://schemas.openxmlformats.org/officeDocument/2006/relationships/hyperlink" Target="https://drive.google.com/open?id=1peJyQg3YjVuVHh5KG223shFEj7aVpFUVJ_BIkxW-VyY&amp;usp=drive_copy" TargetMode="External"/><Relationship Id="rId546" Type="http://schemas.openxmlformats.org/officeDocument/2006/relationships/hyperlink" Target="https://drive.google.com/open?id=1F8mh2f_xCHvYVXqCZR4UE3A7zt9fJAtyBMCw_Pbd0-E&amp;usp=drive_copy" TargetMode="External"/><Relationship Id="rId753" Type="http://schemas.openxmlformats.org/officeDocument/2006/relationships/hyperlink" Target="https://drive.google.com/open?id=1GUqqX2sUUIqUtHB-7RT8rcFxMd0I3LfOfcW5dGM5b5w&amp;usp=drive_copy" TargetMode="External"/><Relationship Id="rId101" Type="http://schemas.openxmlformats.org/officeDocument/2006/relationships/hyperlink" Target="https://docs.google.com/spreadsheets/d/1Vj_ryLS_dMm6ONo4zmHjDbdOz1S4-zzbqk3W07-ISiw/edit?usp=sharing" TargetMode="External"/><Relationship Id="rId185" Type="http://schemas.openxmlformats.org/officeDocument/2006/relationships/hyperlink" Target="https://drive.google.com/open?id=1qTpeEQnt9Rpk-icmqGc9J1CNga9ryRfyiIzmEt_-ehQ&amp;usp=drive_copy" TargetMode="External"/><Relationship Id="rId406" Type="http://schemas.openxmlformats.org/officeDocument/2006/relationships/hyperlink" Target="https://drive.google.com/open?id=19qXGdILdbc4JDL36_zxPHLRf6R1RvVAhAa_2WkiReZs&amp;usp=drive_copy" TargetMode="External"/><Relationship Id="rId960" Type="http://schemas.openxmlformats.org/officeDocument/2006/relationships/hyperlink" Target="https://drive.google.com/open?id=1YI2hk4HHlfbWi0j-gFAJvHCuMpfNy6vns0c3r3_HwNg&amp;usp=drive_copy" TargetMode="External"/><Relationship Id="rId1036" Type="http://schemas.openxmlformats.org/officeDocument/2006/relationships/hyperlink" Target="https://drive.google.com/open?id=1aBTrGvbqltxSQtKd3zkmnYnyrZMF-P-VokD5amQDyMM&amp;usp=drive_copy" TargetMode="External"/><Relationship Id="rId392" Type="http://schemas.openxmlformats.org/officeDocument/2006/relationships/hyperlink" Target="https://drive.google.com/open?id=19K_0jUpJ8kktXDNGjYJ4WjRegT2dkmpWZZXQS7Bvz80&amp;usp=drive_copy" TargetMode="External"/><Relationship Id="rId613" Type="http://schemas.openxmlformats.org/officeDocument/2006/relationships/hyperlink" Target="https://drive.google.com/open?id=1zmrMFDtuU7Zb3qQokSgZvMH6lwHO2rzwp_0JiY5R4h8&amp;usp=drive_copy" TargetMode="External"/><Relationship Id="rId697" Type="http://schemas.openxmlformats.org/officeDocument/2006/relationships/hyperlink" Target="https://drive.google.com/open?id=1m45ah0LsT8DJwjY50L4zAQd2YwlIupO-Uy8WiZ-g_ic&amp;usp=drive_copy" TargetMode="External"/><Relationship Id="rId820" Type="http://schemas.openxmlformats.org/officeDocument/2006/relationships/hyperlink" Target="https://drive.google.com/open?id=13lZOdZecbBh2fhnG4TGBUVqHbVSVOdLgUg0MzVCLr-E&amp;usp=drive_copy" TargetMode="External"/><Relationship Id="rId918" Type="http://schemas.openxmlformats.org/officeDocument/2006/relationships/hyperlink" Target="https://drive.google.com/open?id=1FhbQwC2P78N7UvKbbEf4fZtLjUTmB9qkm15EbeT8pGI&amp;usp=drive_copy" TargetMode="External"/><Relationship Id="rId252" Type="http://schemas.openxmlformats.org/officeDocument/2006/relationships/hyperlink" Target="https://drive.google.com/open?id=1q_JiLk6_bA0dxtygieXCkIl4UPThvRWiS18iZb3nD7Y&amp;usp=drive_copy" TargetMode="External"/><Relationship Id="rId47" Type="http://schemas.openxmlformats.org/officeDocument/2006/relationships/hyperlink" Target="https://docs.google.com/spreadsheets/d/1Zrshi6jwOwyj2e8vcD0igRXjGqWyHD7nP52PJ8F94q0/edit?usp=sharing" TargetMode="External"/><Relationship Id="rId112" Type="http://schemas.openxmlformats.org/officeDocument/2006/relationships/hyperlink" Target="https://drive.google.com/open?id=1AI4iToPwSivpbJH_c1PI5SJZNZWkGtv0aSxNtZ098W4&amp;usp=drive_copy" TargetMode="External"/><Relationship Id="rId557" Type="http://schemas.openxmlformats.org/officeDocument/2006/relationships/hyperlink" Target="https://drive.google.com/open?id=1fU1JXOTykueNJng4Yr5LHGOHott98hjFCCQ3_vke5nQ&amp;usp=drive_copy" TargetMode="External"/><Relationship Id="rId764" Type="http://schemas.openxmlformats.org/officeDocument/2006/relationships/hyperlink" Target="https://drive.google.com/open?id=1G3KXYnyJg44v2A7MN_5-eQd0dGuxRhmYMgUmmWZ61zw&amp;usp=drive_copy" TargetMode="External"/><Relationship Id="rId971" Type="http://schemas.openxmlformats.org/officeDocument/2006/relationships/hyperlink" Target="https://drive.google.com/open?id=1NPZRYGR4l9E_qQ95k7xwCdIB74YsO5sMjAxdN6bZPkY&amp;usp=drive_copy" TargetMode="External"/><Relationship Id="rId196" Type="http://schemas.openxmlformats.org/officeDocument/2006/relationships/hyperlink" Target="https://drive.google.com/open?id=1hxgCjtNItbqkal9qqShLMIuRhyyoRk3nsd0Rq4-wTAg&amp;usp=drive_copy" TargetMode="External"/><Relationship Id="rId417" Type="http://schemas.openxmlformats.org/officeDocument/2006/relationships/hyperlink" Target="https://drive.google.com/open?id=14suCEkalgPVp2-MAHj2vV-P0IBZtDcItU-DnKDgR5RQ&amp;usp=drive_copy" TargetMode="External"/><Relationship Id="rId624" Type="http://schemas.openxmlformats.org/officeDocument/2006/relationships/hyperlink" Target="https://drive.google.com/open?id=1zif92Bq28Io-nQ6s0AfutKm_ZvBTTgyYv8JscmasLRM&amp;usp=drive_copy" TargetMode="External"/><Relationship Id="rId831" Type="http://schemas.openxmlformats.org/officeDocument/2006/relationships/hyperlink" Target="https://drive.google.com/open?id=1EVKR1rqQgTJacdCSP0b-LQ5t1dDdS-CT8RmYoL1ihDQ&amp;usp=drive_copy" TargetMode="External"/><Relationship Id="rId263" Type="http://schemas.openxmlformats.org/officeDocument/2006/relationships/hyperlink" Target="https://drive.google.com/open?id=1ka_ZCFmubGzHtBlmWPGgs7e1W9kN7l7EMDttPPG5ELc&amp;usp=drive_copy" TargetMode="External"/><Relationship Id="rId470" Type="http://schemas.openxmlformats.org/officeDocument/2006/relationships/hyperlink" Target="https://drive.google.com/open?id=1SvgwqPMmFRn7bd9BUNr0R5HUmumpGdQHHWFRch-vBN0&amp;usp=drive_copy" TargetMode="External"/><Relationship Id="rId929" Type="http://schemas.openxmlformats.org/officeDocument/2006/relationships/hyperlink" Target="https://drive.google.com/open?id=1JzcGtbGzXkzj43IU3jfTpNYbAR-EcA_b2T5o8vdTkeo&amp;usp=drive_copy" TargetMode="External"/><Relationship Id="rId58" Type="http://schemas.openxmlformats.org/officeDocument/2006/relationships/hyperlink" Target="https://docs.google.com/spreadsheets/d/1IkhgxPrRU82MJcUAj7-zT9MKALGy6DpfDtjnOT7djC8/edit?usp=sharing" TargetMode="External"/><Relationship Id="rId123" Type="http://schemas.openxmlformats.org/officeDocument/2006/relationships/hyperlink" Target="https://drive.google.com/open?id=1lbfJnMNqpi7gKnqhOm8ZeIrD89z1Gwdkb6n5q7UYH0s&amp;usp=drive_copy" TargetMode="External"/><Relationship Id="rId330" Type="http://schemas.openxmlformats.org/officeDocument/2006/relationships/hyperlink" Target="https://drive.google.com/open?id=1Ej1fn9ZntzCVNzdS9n2ooJM8aheySbhVY0aOsvlIxqU&amp;usp=drive_copy" TargetMode="External"/><Relationship Id="rId568" Type="http://schemas.openxmlformats.org/officeDocument/2006/relationships/hyperlink" Target="https://drive.google.com/open?id=13QhkliNcfriD2DUW8HuH6dOshknm0I0cqz7sQlTzgmI&amp;usp=drive_copy" TargetMode="External"/><Relationship Id="rId775" Type="http://schemas.openxmlformats.org/officeDocument/2006/relationships/hyperlink" Target="https://drive.google.com/open?id=1G-Zc5IrYQz-VrfEhSe6--V8Yphx_t3cxSHKSIoM3Bew&amp;usp=drive_copy" TargetMode="External"/><Relationship Id="rId982" Type="http://schemas.openxmlformats.org/officeDocument/2006/relationships/hyperlink" Target="https://drive.google.com/open?id=1f6kulBS3UlSu7KAfRoL4VX778WExd9vtP47kwZUsYqE&amp;usp=drive_copy" TargetMode="External"/><Relationship Id="rId428" Type="http://schemas.openxmlformats.org/officeDocument/2006/relationships/hyperlink" Target="https://drive.google.com/open?id=1DCuZVQKauRTcA4dptxnDsgbbW76ZTGTU8xmjQO61cwI&amp;usp=drive_copy" TargetMode="External"/><Relationship Id="rId635" Type="http://schemas.openxmlformats.org/officeDocument/2006/relationships/hyperlink" Target="https://drive.google.com/open?id=1Tz9-x0Pu6yHJvTFIRmaxWv633DUoqbpjw2sD3YRv0nA&amp;usp=drive_copy" TargetMode="External"/><Relationship Id="rId842" Type="http://schemas.openxmlformats.org/officeDocument/2006/relationships/hyperlink" Target="https://drive.google.com/open?id=1Va5oy0t_jd39QSaMFrIyZnNU0FJBr-rAh53ey3ZEVLo&amp;usp=drive_copy" TargetMode="External"/><Relationship Id="rId274" Type="http://schemas.openxmlformats.org/officeDocument/2006/relationships/hyperlink" Target="https://drive.google.com/open?id=1cTg3xUvhDaFWyE5aoIHPvBLFjFcxxdD2oEMDUw3CaVY&amp;usp=drive_copy" TargetMode="External"/><Relationship Id="rId481" Type="http://schemas.openxmlformats.org/officeDocument/2006/relationships/hyperlink" Target="https://drive.google.com/open?id=1_NdIlA4_n_OgVCgBdztvn3Euv3Z8u8jQ61ocPZMYtkI&amp;usp=drive_copy" TargetMode="External"/><Relationship Id="rId702" Type="http://schemas.openxmlformats.org/officeDocument/2006/relationships/hyperlink" Target="https://drive.google.com/open?id=1svK65Db2XbIZ3EF0tRrXJ89w6jJSrCjc46QLt0pRHA0&amp;usp=drive_copy" TargetMode="External"/><Relationship Id="rId69" Type="http://schemas.openxmlformats.org/officeDocument/2006/relationships/hyperlink" Target="https://docs.google.com/spreadsheets/d/1OWG1BeOI8lxmu5iERIoMZTenARVLf4fLsCsp-eie52s/edit?usp=sharing" TargetMode="External"/><Relationship Id="rId134" Type="http://schemas.openxmlformats.org/officeDocument/2006/relationships/hyperlink" Target="https://drive.google.com/open?id=11oNatRDgf7GL14aK3o_6sI2AtRPtWUSXcbIKwqJFPyY&amp;usp=drive_copy" TargetMode="External"/><Relationship Id="rId579" Type="http://schemas.openxmlformats.org/officeDocument/2006/relationships/hyperlink" Target="https://drive.google.com/open?id=1qwXEmEX155112a9wvWtRYTctoBhotoIAq4SwhNWQGq0&amp;usp=drive_copy" TargetMode="External"/><Relationship Id="rId786" Type="http://schemas.openxmlformats.org/officeDocument/2006/relationships/hyperlink" Target="https://drive.google.com/open?id=15XzwiTLnXTVZU4W19qVl298eEfhfzwdZaYDqQkY-_hM&amp;usp=drive_copy" TargetMode="External"/><Relationship Id="rId993" Type="http://schemas.openxmlformats.org/officeDocument/2006/relationships/hyperlink" Target="https://drive.google.com/open?id=1anp0yAtCtObdnSGDXQSTByktqscnJWT4UdCOFYZgV7A&amp;usp=drive_copy" TargetMode="External"/><Relationship Id="rId341" Type="http://schemas.openxmlformats.org/officeDocument/2006/relationships/hyperlink" Target="https://drive.google.com/open?id=1rnBeGu67CR0QBG4_DNubbzEK5NSk5mlBzMw_7iZ6Hs8&amp;usp=drive_copy" TargetMode="External"/><Relationship Id="rId439" Type="http://schemas.openxmlformats.org/officeDocument/2006/relationships/hyperlink" Target="https://drive.google.com/open?id=1NxbUGqUHQ99sffyHI8XTxeIxOj9bdrNj1pszEIN-h4M&amp;usp=drive_copy" TargetMode="External"/><Relationship Id="rId646" Type="http://schemas.openxmlformats.org/officeDocument/2006/relationships/hyperlink" Target="https://drive.google.com/open?id=1C3sM5khnjwmFxar7TH3x9KEFFy2k4oIL2zEJBDDpgA4&amp;usp=drive_copy" TargetMode="External"/><Relationship Id="rId201" Type="http://schemas.openxmlformats.org/officeDocument/2006/relationships/hyperlink" Target="https://drive.google.com/open?id=1qnUnVWn2kRKO8oLDUSWhjsxsZYJJh5ofKS5i2hS0Prk&amp;usp=drive_copy" TargetMode="External"/><Relationship Id="rId285" Type="http://schemas.openxmlformats.org/officeDocument/2006/relationships/hyperlink" Target="https://drive.google.com/open?id=1UrAz0CyyTWAism1BSpkvFvdO9j7BVmFyK4BvFMGqoN4&amp;usp=drive_copy" TargetMode="External"/><Relationship Id="rId506" Type="http://schemas.openxmlformats.org/officeDocument/2006/relationships/hyperlink" Target="https://drive.google.com/open?id=1BZvpE2lIELEHrmqGgVagoASRdUm4x0umZ0AkPkuzWsA&amp;usp=drive_copy" TargetMode="External"/><Relationship Id="rId853" Type="http://schemas.openxmlformats.org/officeDocument/2006/relationships/hyperlink" Target="https://drive.google.com/open?id=1iiDWyPM3p_HDFcSXscTlPduf3RpRqVWAURHvIKjVW28&amp;usp=drive_copy" TargetMode="External"/><Relationship Id="rId492" Type="http://schemas.openxmlformats.org/officeDocument/2006/relationships/hyperlink" Target="https://drive.google.com/open?id=1iQSjjeoJohWWzyXysRFJ8BNRzz1HhY8KY0Eh-5wBr1Y&amp;usp=drive_copy" TargetMode="External"/><Relationship Id="rId713" Type="http://schemas.openxmlformats.org/officeDocument/2006/relationships/hyperlink" Target="https://drive.google.com/open?id=14dpPW1hHjofL6btAyU5zz05BgNTvj0Aqyt6rGKwHZm4&amp;usp=drive_copy" TargetMode="External"/><Relationship Id="rId797" Type="http://schemas.openxmlformats.org/officeDocument/2006/relationships/hyperlink" Target="https://drive.google.com/open?id=1WIeOo_cavCz6IzPv-79HsdP8DPAiY2XsnlSzhq_-wfw&amp;usp=drive_copy" TargetMode="External"/><Relationship Id="rId920" Type="http://schemas.openxmlformats.org/officeDocument/2006/relationships/hyperlink" Target="https://drive.google.com/open?id=1Kk5ljm1U1aNX9U-iO3woyNGOVfHVoaCk0XRcsdKqFE8&amp;usp=drive_copy" TargetMode="External"/><Relationship Id="rId145" Type="http://schemas.openxmlformats.org/officeDocument/2006/relationships/hyperlink" Target="https://drive.google.com/open?id=1AflDdxj5GtkuKJsDK6EELF3DfYHgmCJlP-oIVpTgm_o&amp;usp=drive_copy" TargetMode="External"/><Relationship Id="rId352" Type="http://schemas.openxmlformats.org/officeDocument/2006/relationships/hyperlink" Target="https://drive.google.com/open?id=1Yza90-TlvGx99B7AxrZnd8orAhG1q79_xXyht58dmYQ&amp;usp=drive_copy" TargetMode="External"/><Relationship Id="rId212" Type="http://schemas.openxmlformats.org/officeDocument/2006/relationships/hyperlink" Target="https://drive.google.com/open?id=1jgQE3cruaVJyDwE5DjyrsE7tSbUIH7_1zQUIewmDbZE&amp;usp=drive_copy" TargetMode="External"/><Relationship Id="rId657" Type="http://schemas.openxmlformats.org/officeDocument/2006/relationships/hyperlink" Target="https://drive.google.com/open?id=1BiOy31ydaVVAcBt-Odrlic5lW7IjRXsL3sfcaf-bVN0&amp;usp=drive_copy" TargetMode="External"/><Relationship Id="rId864" Type="http://schemas.openxmlformats.org/officeDocument/2006/relationships/hyperlink" Target="https://drive.google.com/open?id=1x6MgWiMfFeP-2w6mzPOjf5dUms4hyvgTcRY3gs6tuVE&amp;usp=drive_copy" TargetMode="External"/><Relationship Id="rId296" Type="http://schemas.openxmlformats.org/officeDocument/2006/relationships/hyperlink" Target="https://drive.google.com/open?id=1KdqwKBtk-yEflHK_cIrmFrH-o0x9R7tXlkmmlGwwtS4&amp;usp=drive_copy" TargetMode="External"/><Relationship Id="rId517" Type="http://schemas.openxmlformats.org/officeDocument/2006/relationships/hyperlink" Target="https://drive.google.com/open?id=1CVec7J3OIvr4Ihx7henQ_ebOj3ZDuGwaOY4cGgm6rEM&amp;usp=drive_copy" TargetMode="External"/><Relationship Id="rId724" Type="http://schemas.openxmlformats.org/officeDocument/2006/relationships/hyperlink" Target="https://drive.google.com/open?id=1DdzJmM06x-glnl3GscloMiRH_dyFnrzJVEoTTJWoqJg&amp;usp=drive_copy" TargetMode="External"/><Relationship Id="rId931" Type="http://schemas.openxmlformats.org/officeDocument/2006/relationships/hyperlink" Target="https://drive.google.com/open?id=1rH6kyAVbX8pW5MAOrlk2Jokqia-0_4uWlt2iRtdD1mY&amp;usp=drive_copy" TargetMode="External"/><Relationship Id="rId60" Type="http://schemas.openxmlformats.org/officeDocument/2006/relationships/hyperlink" Target="https://docs.google.com/spreadsheets/d/1u3ydYXn7jjoGczqldwSU-Q7XHSS8keHbjbRvPqD5yvg/edit?usp=sharing" TargetMode="External"/><Relationship Id="rId156" Type="http://schemas.openxmlformats.org/officeDocument/2006/relationships/hyperlink" Target="https://drive.google.com/open?id=1J0DAmpEaH89_h2SBfiNxboUl8qE5ivgl7Qfoj9UAAc4&amp;usp=drive_copy" TargetMode="External"/><Relationship Id="rId363" Type="http://schemas.openxmlformats.org/officeDocument/2006/relationships/hyperlink" Target="https://drive.google.com/open?id=1PedQQZZ84OiMFo693N_NG04uP-ZWcYd9bWCrfTuN3q4&amp;usp=drive_copy" TargetMode="External"/><Relationship Id="rId570" Type="http://schemas.openxmlformats.org/officeDocument/2006/relationships/hyperlink" Target="https://drive.google.com/open?id=1YWX9TQlOJvLswET9G6iypcmHdHdVOFR_-rKFuAQyoUc&amp;usp=drive_copy" TargetMode="External"/><Relationship Id="rId1007" Type="http://schemas.openxmlformats.org/officeDocument/2006/relationships/hyperlink" Target="https://drive.google.com/open?id=1dqJTwOHJYL_xbryi9hkDlRUtEz4fuB8nYqhqvT77a1A&amp;usp=drive_copy" TargetMode="External"/><Relationship Id="rId223" Type="http://schemas.openxmlformats.org/officeDocument/2006/relationships/hyperlink" Target="https://drive.google.com/open?id=1IBOp12-8ahZqktw556yk84p1LLqJVyCZHCoqVBt70Rk&amp;usp=drive_copy" TargetMode="External"/><Relationship Id="rId430" Type="http://schemas.openxmlformats.org/officeDocument/2006/relationships/hyperlink" Target="https://drive.google.com/open?id=1512O-Mm7NdBhYen1YMEKrCEvruG_laGphSRrGhqy61k&amp;usp=drive_copy" TargetMode="External"/><Relationship Id="rId668" Type="http://schemas.openxmlformats.org/officeDocument/2006/relationships/hyperlink" Target="https://drive.google.com/open?id=1HWdETOZ0jWL3Cc2-y4iSvi5auBhr3Il96oHeeQjnPlA&amp;usp=drive_copy" TargetMode="External"/><Relationship Id="rId875" Type="http://schemas.openxmlformats.org/officeDocument/2006/relationships/hyperlink" Target="https://drive.google.com/open?id=17MjiVkq4-IqFDqhagMXOFs7HEgZc8AUeRGcXk72DUN8&amp;usp=drive_copy" TargetMode="External"/><Relationship Id="rId18" Type="http://schemas.openxmlformats.org/officeDocument/2006/relationships/hyperlink" Target="https://docs.google.com/spreadsheets/d/1RSL4MMjMBh_1O1TSAHjqORjB66GWZpOXffhdpj78Sks/edit?usp=sharing" TargetMode="External"/><Relationship Id="rId528" Type="http://schemas.openxmlformats.org/officeDocument/2006/relationships/hyperlink" Target="https://drive.google.com/open?id=1_R9CcLA2GK7WTSR8APk-IirV2HdC0YNkGn50tPgK0zM&amp;usp=drive_copy" TargetMode="External"/><Relationship Id="rId735" Type="http://schemas.openxmlformats.org/officeDocument/2006/relationships/hyperlink" Target="https://drive.google.com/open?id=1tIXgfS-dcEy6_5BXEfusPr8ZzvcYQTZ4ccKowazlDVY&amp;usp=drive_copy" TargetMode="External"/><Relationship Id="rId942" Type="http://schemas.openxmlformats.org/officeDocument/2006/relationships/hyperlink" Target="https://drive.google.com/open?id=1chPG5BEYUfnuoEuJ6P16A7Hc4nj9jwlPafV2YxyrB0k&amp;usp=drive_copy" TargetMode="External"/><Relationship Id="rId167" Type="http://schemas.openxmlformats.org/officeDocument/2006/relationships/hyperlink" Target="https://drive.google.com/open?id=1klx-jM_uw9hDg7VHOS0x529_pFTS9wvAdIFBexxrz1Q&amp;usp=drive_copy" TargetMode="External"/><Relationship Id="rId374" Type="http://schemas.openxmlformats.org/officeDocument/2006/relationships/hyperlink" Target="https://drive.google.com/open?id=1ficvqBHLJk6e99DgiH-WdiqrQG8boa8tEPe4zTVx0pc&amp;usp=drive_copy" TargetMode="External"/><Relationship Id="rId581" Type="http://schemas.openxmlformats.org/officeDocument/2006/relationships/hyperlink" Target="https://drive.google.com/open?id=1Q79oxW6H3J_Qyqs3cDucMJP-QsuGGkB1CzQx4IA372I&amp;usp=drive_copy" TargetMode="External"/><Relationship Id="rId1018" Type="http://schemas.openxmlformats.org/officeDocument/2006/relationships/hyperlink" Target="https://drive.google.com/open?id=14-ELN3Sjstb2CkWNCRw-Esf0MIX4Psi8NCb19ohiuaA&amp;usp=drive_copy" TargetMode="External"/><Relationship Id="rId71" Type="http://schemas.openxmlformats.org/officeDocument/2006/relationships/hyperlink" Target="https://docs.google.com/spreadsheets/d/1fWJXBlSF9tS6mBFQIHZtQjPBGhMPQDbMuP5K4wPmhjs/edit?usp=sharing" TargetMode="External"/><Relationship Id="rId234" Type="http://schemas.openxmlformats.org/officeDocument/2006/relationships/hyperlink" Target="https://drive.google.com/open?id=1Scrz15EVMsypf1pcMUHNhoybcUnhsXxJFKEiAOmHZAo&amp;usp=drive_copy" TargetMode="External"/><Relationship Id="rId679" Type="http://schemas.openxmlformats.org/officeDocument/2006/relationships/hyperlink" Target="https://drive.google.com/open?id=1ABl5HWNj_EPPJZ1lYqyBuuE9trN08kQPqWf5d3_xJSE&amp;usp=drive_copy" TargetMode="External"/><Relationship Id="rId802" Type="http://schemas.openxmlformats.org/officeDocument/2006/relationships/hyperlink" Target="https://drive.google.com/open?id=1gZAFYnonIrMoTqtO_2f2RZJgKxJ8vHI9GpKbRjcRDbs&amp;usp=drive_copy" TargetMode="External"/><Relationship Id="rId886" Type="http://schemas.openxmlformats.org/officeDocument/2006/relationships/hyperlink" Target="https://drive.google.com/open?id=1Gj9Obdt_pt5xjryTJUUUqjMAzeze1zxwe0ZY2vIEEPc&amp;usp=drive_copy" TargetMode="External"/><Relationship Id="rId2" Type="http://schemas.openxmlformats.org/officeDocument/2006/relationships/hyperlink" Target="https://docs.google.com/spreadsheets/d/11h4RKjz9ElZ-vdh72Wk6DEp_oot3FDAN2h6Jt5sAp2k/edit?usp=sharing" TargetMode="External"/><Relationship Id="rId29" Type="http://schemas.openxmlformats.org/officeDocument/2006/relationships/hyperlink" Target="https://docs.google.com/spreadsheets/d/1gMYRU0PUUxCrNDwFQ0mih1q6NdGLpK8wi4den6cwdmU/edit?usp=sharing" TargetMode="External"/><Relationship Id="rId441" Type="http://schemas.openxmlformats.org/officeDocument/2006/relationships/hyperlink" Target="https://drive.google.com/open?id=1BT3Cr_bOgCcUIpFKA8cfAA6l2-W-iDo-74bMGE3VfTI&amp;usp=drive_copy" TargetMode="External"/><Relationship Id="rId539" Type="http://schemas.openxmlformats.org/officeDocument/2006/relationships/hyperlink" Target="https://drive.google.com/open?id=1QYz-5adfwKa6Eptf2jisKw_mgaoIJEI4pp8242sJUMM&amp;usp=drive_copy" TargetMode="External"/><Relationship Id="rId746" Type="http://schemas.openxmlformats.org/officeDocument/2006/relationships/hyperlink" Target="https://drive.google.com/open?id=1bR2ufX8Op8eqV5gVUrYQu6WPHgJ5sr0fP6saaNEWL-k&amp;usp=drive_copy" TargetMode="External"/><Relationship Id="rId178" Type="http://schemas.openxmlformats.org/officeDocument/2006/relationships/hyperlink" Target="https://drive.google.com/open?id=13y-xpQPPXUCTfqu7A8owFAqLunprm0uplelyP_okWZU&amp;usp=drive_copy" TargetMode="External"/><Relationship Id="rId301" Type="http://schemas.openxmlformats.org/officeDocument/2006/relationships/hyperlink" Target="https://drive.google.com/open?id=1bd8DiGbSEZ3QJvrXK0bY80Zj7MSMvsa5mYzSSC_NGU8&amp;usp=drive_copy" TargetMode="External"/><Relationship Id="rId953" Type="http://schemas.openxmlformats.org/officeDocument/2006/relationships/hyperlink" Target="https://drive.google.com/open?id=1Q1GNst04UgagLwEZ_7X22Iy2C-TWl4929eYPzA-gvbE&amp;usp=drive_copy" TargetMode="External"/><Relationship Id="rId1029" Type="http://schemas.openxmlformats.org/officeDocument/2006/relationships/hyperlink" Target="https://drive.google.com/open?id=1re7KxSnGoHPIfrfLhDeKI3Pa-2ni4BBKVJT3qrXGkWQ&amp;usp=drive_copy" TargetMode="External"/><Relationship Id="rId82" Type="http://schemas.openxmlformats.org/officeDocument/2006/relationships/hyperlink" Target="https://docs.google.com/spreadsheets/d/1J__KrQBj7f9jahY4-LsPYNH1CTvwEdeUymvj4XRzAKI/edit?usp=sharing" TargetMode="External"/><Relationship Id="rId385" Type="http://schemas.openxmlformats.org/officeDocument/2006/relationships/hyperlink" Target="https://drive.google.com/open?id=1rpP-ND357rpD0yc2zJ0P-_TadzWruVkDytkEfmMJzPE&amp;usp=drive_copy" TargetMode="External"/><Relationship Id="rId592" Type="http://schemas.openxmlformats.org/officeDocument/2006/relationships/hyperlink" Target="https://drive.google.com/open?id=1jajxmCI0_tJWdvCbQ1ARhcQODExydt4nspmZoWDLbYE&amp;usp=drive_copy" TargetMode="External"/><Relationship Id="rId606" Type="http://schemas.openxmlformats.org/officeDocument/2006/relationships/hyperlink" Target="https://drive.google.com/open?id=1M0O7KTLx0wqIvFensHByOPlVhErYtR1f0ZecyfXkFMs&amp;usp=drive_copy" TargetMode="External"/><Relationship Id="rId813" Type="http://schemas.openxmlformats.org/officeDocument/2006/relationships/hyperlink" Target="https://drive.google.com/open?id=1-jrdE8cRZvI5Rfz7BI0il0R2v8zjsUJ4FcGlq3IJDbU&amp;usp=drive_copy" TargetMode="External"/><Relationship Id="rId245" Type="http://schemas.openxmlformats.org/officeDocument/2006/relationships/hyperlink" Target="https://drive.google.com/open?id=1cbeGkjsmhBnqkSbnaED3lH6sqZYfy4rst8pE_bRbCAM&amp;usp=drive_copy" TargetMode="External"/><Relationship Id="rId452" Type="http://schemas.openxmlformats.org/officeDocument/2006/relationships/hyperlink" Target="https://drive.google.com/open?id=19vVI5odV63jHeaePT5HXI1chuVaH2t1gY7FP0jymLw4&amp;usp=drive_copy" TargetMode="External"/><Relationship Id="rId897" Type="http://schemas.openxmlformats.org/officeDocument/2006/relationships/hyperlink" Target="https://drive.google.com/open?id=1RPOd8h85ieURdIpnOM5w6_mXo8O5-jUQgD3PMix2wHQ&amp;usp=drive_copy" TargetMode="External"/><Relationship Id="rId105" Type="http://schemas.openxmlformats.org/officeDocument/2006/relationships/hyperlink" Target="https://docs.google.com/spreadsheets/d/1eP_V33bTaEt96MDDOYovz_xGRcB2FhnyT9VHLyrzB00/edit?usp=sharing" TargetMode="External"/><Relationship Id="rId312" Type="http://schemas.openxmlformats.org/officeDocument/2006/relationships/hyperlink" Target="https://drive.google.com/open?id=1vPgpyo5KwkkYOHcKUiZVN-i7Gi-n4OudoxZ86i1DynE&amp;usp=drive_copy" TargetMode="External"/><Relationship Id="rId757" Type="http://schemas.openxmlformats.org/officeDocument/2006/relationships/hyperlink" Target="https://drive.google.com/open?id=14S0Jqu9xTsc0TD7yxwv2vnF9BabyO01GUruZTKCgjxc&amp;usp=drive_copy" TargetMode="External"/><Relationship Id="rId964" Type="http://schemas.openxmlformats.org/officeDocument/2006/relationships/hyperlink" Target="https://drive.google.com/open?id=19NWPP5RBg_Y2vIZ7pIZnkUtOcfOb-OMaViWz0CT52PA&amp;usp=drive_copy" TargetMode="External"/><Relationship Id="rId93" Type="http://schemas.openxmlformats.org/officeDocument/2006/relationships/hyperlink" Target="https://docs.google.com/spreadsheets/d/1vCbdjifXhMV_SAE5SqVRLiOBK1H_iuEQdXcFTsRahwo/edit?usp=sharing" TargetMode="External"/><Relationship Id="rId189" Type="http://schemas.openxmlformats.org/officeDocument/2006/relationships/hyperlink" Target="https://drive.google.com/open?id=1JsKkfTNpHQ6vgUslFSEQ7lK1l-YE9XAKa-CpJKgkhII&amp;usp=drive_copy" TargetMode="External"/><Relationship Id="rId396" Type="http://schemas.openxmlformats.org/officeDocument/2006/relationships/hyperlink" Target="https://drive.google.com/open?id=1MInGZBbEGIdR7hK4Xqu5znda_M1zVfDLfM5KQzwIRqI&amp;usp=drive_copy" TargetMode="External"/><Relationship Id="rId617" Type="http://schemas.openxmlformats.org/officeDocument/2006/relationships/hyperlink" Target="https://drive.google.com/open?id=140ZhkVAiahpRT1th_6cUTltV8cws6uma-lJeeuJJT6k&amp;usp=drive_copy" TargetMode="External"/><Relationship Id="rId824" Type="http://schemas.openxmlformats.org/officeDocument/2006/relationships/hyperlink" Target="https://drive.google.com/open?id=19hwfWzDWGGP-vUtMI-Akz-XGqskRXgTxSNYezb8qyXY&amp;usp=drive_copy" TargetMode="External"/><Relationship Id="rId256" Type="http://schemas.openxmlformats.org/officeDocument/2006/relationships/hyperlink" Target="https://drive.google.com/open?id=1jQ-7c5ERC3tXeayZb7oi74uqtsIppLSQRPAb2tzZs38&amp;usp=drive_copy" TargetMode="External"/><Relationship Id="rId463" Type="http://schemas.openxmlformats.org/officeDocument/2006/relationships/hyperlink" Target="https://drive.google.com/open?id=1qDjLQ2-zmIKipmsLWvCvt2a-M6hKKOyBZzsFPfmRvJM&amp;usp=drive_copy" TargetMode="External"/><Relationship Id="rId670" Type="http://schemas.openxmlformats.org/officeDocument/2006/relationships/hyperlink" Target="https://drive.google.com/open?id=1jlBih2S5uvCFmSog67HGX-rXOJDxzrzzphu-TTfjIhU&amp;usp=drive_copy" TargetMode="External"/><Relationship Id="rId116" Type="http://schemas.openxmlformats.org/officeDocument/2006/relationships/hyperlink" Target="https://drive.google.com/open?id=1NvyKEQQLihaYxVjpQNCskWiifuJhyRv3QMxhWIGQhFs&amp;usp=drive_copy" TargetMode="External"/><Relationship Id="rId323" Type="http://schemas.openxmlformats.org/officeDocument/2006/relationships/hyperlink" Target="https://drive.google.com/open?id=1BRXpynHU4hwj1t-FIBojMXbyvBVKSj0DiATGFbOTeS4&amp;usp=drive_copy" TargetMode="External"/><Relationship Id="rId530" Type="http://schemas.openxmlformats.org/officeDocument/2006/relationships/hyperlink" Target="https://drive.google.com/open?id=1zfOOpLHZu0Ucu1ogJqLlvB-fpVfg8rbnySQryzfIM48&amp;usp=drive_copy" TargetMode="External"/><Relationship Id="rId768" Type="http://schemas.openxmlformats.org/officeDocument/2006/relationships/hyperlink" Target="https://drive.google.com/open?id=1TjfXudfOEISX08ERgo5PAwsPnAoCj0eJMznwKsd1CqI&amp;usp=drive_copy" TargetMode="External"/><Relationship Id="rId975" Type="http://schemas.openxmlformats.org/officeDocument/2006/relationships/hyperlink" Target="https://drive.google.com/open?id=1IpmCgn885JULqdjoGvMFlAzAu-iojSZDeuFfFMfNlgA&amp;usp=drive_copy" TargetMode="External"/><Relationship Id="rId20" Type="http://schemas.openxmlformats.org/officeDocument/2006/relationships/hyperlink" Target="https://docs.google.com/spreadsheets/d/1au4oUBz7390z3Tyjuk8uCszWeLXsake_obXyQZLSDm4/edit?usp=sharing" TargetMode="External"/><Relationship Id="rId628" Type="http://schemas.openxmlformats.org/officeDocument/2006/relationships/hyperlink" Target="https://drive.google.com/open?id=1eO-UXrCKF-KBpFJO6zIqf2VSS2FhG7PEzzz0H3z4uk8&amp;usp=drive_copy" TargetMode="External"/><Relationship Id="rId835" Type="http://schemas.openxmlformats.org/officeDocument/2006/relationships/hyperlink" Target="https://drive.google.com/open?id=1I-vxLIVYfSOUtjQO7TMvGR1QBJWchh0c21ssBEdTrhY&amp;usp=drive_copy" TargetMode="External"/><Relationship Id="rId267" Type="http://schemas.openxmlformats.org/officeDocument/2006/relationships/hyperlink" Target="https://drive.google.com/open?id=1uCWinIH6cUW37QtJa6uHlsqiOk-vPNUym53_dbWCAU0&amp;usp=drive_copy" TargetMode="External"/><Relationship Id="rId474" Type="http://schemas.openxmlformats.org/officeDocument/2006/relationships/hyperlink" Target="https://drive.google.com/open?id=1xbPBtISoPN6_NSY-RV0ySEF8bvHNKqTyK9jJjp6XIq4&amp;usp=drive_copy" TargetMode="External"/><Relationship Id="rId1020" Type="http://schemas.openxmlformats.org/officeDocument/2006/relationships/hyperlink" Target="https://drive.google.com/open?id=1coomfJAONokVC15fN6Knp5MW4JZLrTtBNCi2DyhIolU&amp;usp=drive_copy" TargetMode="External"/><Relationship Id="rId127" Type="http://schemas.openxmlformats.org/officeDocument/2006/relationships/hyperlink" Target="https://drive.google.com/open?id=1uY6Pz6tteiw0PV8afHgeCW4qi-ZPFno6zGTGTFVrdVg&amp;usp=drive_copy" TargetMode="External"/><Relationship Id="rId681" Type="http://schemas.openxmlformats.org/officeDocument/2006/relationships/hyperlink" Target="https://drive.google.com/open?id=1zNTlPO-P72XhQpDpk2tL1wsxpPrfBm_WxVsuKUD-yYU&amp;usp=drive_copy" TargetMode="External"/><Relationship Id="rId779" Type="http://schemas.openxmlformats.org/officeDocument/2006/relationships/hyperlink" Target="https://drive.google.com/open?id=1TnXziYPJSvf4zwM9FILC3S53fmJhIXI-pPKwCaB-Seg&amp;usp=drive_copy" TargetMode="External"/><Relationship Id="rId902" Type="http://schemas.openxmlformats.org/officeDocument/2006/relationships/hyperlink" Target="https://drive.google.com/open?id=1csVtVocDwYktqQHT0X6msdnFWO0-LIeo5Pvful2mYe0&amp;usp=drive_copy" TargetMode="External"/><Relationship Id="rId986" Type="http://schemas.openxmlformats.org/officeDocument/2006/relationships/hyperlink" Target="https://drive.google.com/open?id=1YjVEQRCUIDfnygdO2tr6ZdE4nmIfuj5nl-rRwH7bOc0&amp;usp=drive_copy" TargetMode="External"/><Relationship Id="rId31" Type="http://schemas.openxmlformats.org/officeDocument/2006/relationships/hyperlink" Target="https://docs.google.com/spreadsheets/d/14WN4D4TO-6LDXmofCf4Hy2Hb4RVERBc-ybPxE3aFJqc/edit?usp=sharing" TargetMode="External"/><Relationship Id="rId334" Type="http://schemas.openxmlformats.org/officeDocument/2006/relationships/hyperlink" Target="https://drive.google.com/open?id=1I89-ivqqBLTbJ4zIJKYkwfz4sAqagth-EtFVNowz0PU&amp;usp=drive_copy" TargetMode="External"/><Relationship Id="rId541" Type="http://schemas.openxmlformats.org/officeDocument/2006/relationships/hyperlink" Target="https://drive.google.com/open?id=1v22mzuSWLt2ZDEoN1NNFkTozSm0nN0SKVh2EVilzU44&amp;usp=drive_copy" TargetMode="External"/><Relationship Id="rId639" Type="http://schemas.openxmlformats.org/officeDocument/2006/relationships/hyperlink" Target="https://drive.google.com/open?id=18u4QNBSKaftLb7YCpVYjGjn_Vn_8GY-HN-gq9j9oNcU&amp;usp=drive_copy" TargetMode="External"/><Relationship Id="rId180" Type="http://schemas.openxmlformats.org/officeDocument/2006/relationships/hyperlink" Target="https://drive.google.com/open?id=1BKzQyLoS7BSuZsRkiQApevcj2ZXn00Z3B8t-7Elt1lM&amp;usp=drive_copy" TargetMode="External"/><Relationship Id="rId278" Type="http://schemas.openxmlformats.org/officeDocument/2006/relationships/hyperlink" Target="https://drive.google.com/open?id=1Kn2yL1dfiBBlB42c2hoKnGu68Jscz_7oUT4UqjabIUA&amp;usp=drive_copy" TargetMode="External"/><Relationship Id="rId401" Type="http://schemas.openxmlformats.org/officeDocument/2006/relationships/hyperlink" Target="https://drive.google.com/open?id=1xkC4xgU4cTSK2tdI9qeWL40RdsVwQTpd1Ve1jirfPEI&amp;usp=drive_copy" TargetMode="External"/><Relationship Id="rId846" Type="http://schemas.openxmlformats.org/officeDocument/2006/relationships/hyperlink" Target="https://drive.google.com/open?id=1a8LV4npoimBfBVZdQqg1Db57ovM38klupR7YzhDNDCI&amp;usp=drive_copy" TargetMode="External"/><Relationship Id="rId1031" Type="http://schemas.openxmlformats.org/officeDocument/2006/relationships/hyperlink" Target="https://drive.google.com/open?id=16wByBKkq54MlVMp5UkjlFbElc_thB7GBJgwUFmV5emU&amp;usp=drive_copy" TargetMode="External"/><Relationship Id="rId485" Type="http://schemas.openxmlformats.org/officeDocument/2006/relationships/hyperlink" Target="https://drive.google.com/open?id=1pv-oJn3kZ3J7LZWaKax10z-FmgwlT1FIZRjn_cFtR1Y&amp;usp=drive_copy" TargetMode="External"/><Relationship Id="rId692" Type="http://schemas.openxmlformats.org/officeDocument/2006/relationships/hyperlink" Target="https://drive.google.com/open?id=1j-raWHTDg7bIkhIrOWNc1kkM9Fs7t5o3DO5-62nSJVM&amp;usp=drive_copy" TargetMode="External"/><Relationship Id="rId706" Type="http://schemas.openxmlformats.org/officeDocument/2006/relationships/hyperlink" Target="https://drive.google.com/open?id=1w4DA1jJhQ2K5INJ9-6_26nQpEupQKgDkFwoyQib--3k&amp;usp=drive_copy" TargetMode="External"/><Relationship Id="rId913" Type="http://schemas.openxmlformats.org/officeDocument/2006/relationships/hyperlink" Target="https://drive.google.com/open?id=13ny4rOEDEnY1AGkF5RMKA1PU0YlibcUxOK5H3q3Is-M&amp;usp=drive_copy" TargetMode="External"/><Relationship Id="rId42" Type="http://schemas.openxmlformats.org/officeDocument/2006/relationships/hyperlink" Target="https://docs.google.com/spreadsheets/d/1PaOdbkisq_h5JOWIsb20yQzuRUdWgHhIj9NjAje6Wyo/edit?usp=sharing" TargetMode="External"/><Relationship Id="rId138" Type="http://schemas.openxmlformats.org/officeDocument/2006/relationships/hyperlink" Target="https://drive.google.com/open?id=17BYHu_4eHwIFiihrpOpzhc-MhEVBCao5FjkTcBvd_1w&amp;usp=drive_copy" TargetMode="External"/><Relationship Id="rId345" Type="http://schemas.openxmlformats.org/officeDocument/2006/relationships/hyperlink" Target="https://drive.google.com/open?id=1VoWzqnXAG4wrW76pwo8BG4ArFcxU_NBzI4VBqkg0sBQ&amp;usp=drive_copy" TargetMode="External"/><Relationship Id="rId552" Type="http://schemas.openxmlformats.org/officeDocument/2006/relationships/hyperlink" Target="https://drive.google.com/open?id=1bUrbjQoyRd_8zWya9Ql-oZVVEdKMJVD62WjZnWWglEY&amp;usp=drive_copy" TargetMode="External"/><Relationship Id="rId997" Type="http://schemas.openxmlformats.org/officeDocument/2006/relationships/hyperlink" Target="https://drive.google.com/open?id=1_39KRmdaiGIG7rtsK7ZAqFSYeD0enwDKt_RE51wckss&amp;usp=drive_copy" TargetMode="External"/><Relationship Id="rId191" Type="http://schemas.openxmlformats.org/officeDocument/2006/relationships/hyperlink" Target="https://drive.google.com/open?id=1PFDpdbRVgz9VZlbHvv8WiY0UgO0HMj0hu7D7L2XJeho&amp;usp=drive_copy" TargetMode="External"/><Relationship Id="rId205" Type="http://schemas.openxmlformats.org/officeDocument/2006/relationships/hyperlink" Target="https://drive.google.com/open?id=10KSMWY1j7Zp9u_vkU1WsZAnqSniXIe-GwxlHsYPPdyQ&amp;usp=drive_copy" TargetMode="External"/><Relationship Id="rId412" Type="http://schemas.openxmlformats.org/officeDocument/2006/relationships/hyperlink" Target="https://drive.google.com/open?id=1pSfHN2dkWjKfTx0ozR33SlCLhNVIlZzj11stTESMz9Y&amp;usp=drive_copy" TargetMode="External"/><Relationship Id="rId857" Type="http://schemas.openxmlformats.org/officeDocument/2006/relationships/hyperlink" Target="https://drive.google.com/open?id=1p379W6bykEQ8xe3zOi8uiLhwC58RyN8BBToJl6cMk2Y&amp;usp=drive_copy" TargetMode="External"/><Relationship Id="rId1042" Type="http://schemas.openxmlformats.org/officeDocument/2006/relationships/hyperlink" Target="https://drive.google.com/open?id=1osIE4GcDxk6_15hdNrHtYNNdIHD9MeFX8rABG_0MUlg&amp;usp=drive_copy" TargetMode="External"/><Relationship Id="rId289" Type="http://schemas.openxmlformats.org/officeDocument/2006/relationships/hyperlink" Target="https://drive.google.com/open?id=1HTaVZe1FFZP8z6EJtKgSrY71HOWk1fPYEpqK9U86A_I&amp;usp=drive_copy" TargetMode="External"/><Relationship Id="rId496" Type="http://schemas.openxmlformats.org/officeDocument/2006/relationships/hyperlink" Target="https://drive.google.com/open?id=1iUf28_s-jHH90j-QS6sqLcRJ5CjRxLXz_VFES7xmefk&amp;usp=drive_copy" TargetMode="External"/><Relationship Id="rId717" Type="http://schemas.openxmlformats.org/officeDocument/2006/relationships/hyperlink" Target="https://drive.google.com/open?id=18V2TuR64ZwJVbQdxwGrz8h3eNOhofDrzvLfElk1FTBw&amp;usp=drive_copy" TargetMode="External"/><Relationship Id="rId924" Type="http://schemas.openxmlformats.org/officeDocument/2006/relationships/hyperlink" Target="https://drive.google.com/open?id=1VHeVNoEakEu_3Fys9GdA0tpaonxhxhDzgZdJEhTw7u0&amp;usp=drive_copy" TargetMode="External"/><Relationship Id="rId53" Type="http://schemas.openxmlformats.org/officeDocument/2006/relationships/hyperlink" Target="https://docs.google.com/spreadsheets/d/1CMFMHABfiex85dCoVLsKIT3_fLF_Y5oH1m-hjRkn91Q/edit?usp=sharing" TargetMode="External"/><Relationship Id="rId149" Type="http://schemas.openxmlformats.org/officeDocument/2006/relationships/hyperlink" Target="https://drive.google.com/open?id=1CRN8ALEZ1JhgGnTmc67xxrR2NkW3Rzxz2wjVTlzF6R0&amp;usp=drive_copy" TargetMode="External"/><Relationship Id="rId356" Type="http://schemas.openxmlformats.org/officeDocument/2006/relationships/hyperlink" Target="https://drive.google.com/open?id=1_Z1hkM7SRuL3P9byoBqA47W_Ayd8EFpoIHDvKWY5EmU&amp;usp=drive_copy" TargetMode="External"/><Relationship Id="rId563" Type="http://schemas.openxmlformats.org/officeDocument/2006/relationships/hyperlink" Target="https://drive.google.com/open?id=1G6R0o5Pv0LcGQYBrrDDjvimc0cHTaZk2TzWJX4Wu7ns&amp;usp=drive_copy" TargetMode="External"/><Relationship Id="rId770" Type="http://schemas.openxmlformats.org/officeDocument/2006/relationships/hyperlink" Target="https://drive.google.com/open?id=1NSKlN1dcSMn3V_13lnTKnPHZB5DyOSJWGOdV4pgZ8m8&amp;usp=drive_copy" TargetMode="External"/><Relationship Id="rId216" Type="http://schemas.openxmlformats.org/officeDocument/2006/relationships/hyperlink" Target="https://drive.google.com/open?id=1EAyahGhjxPCL1iX8D-KjVlO4ZVCAODx5WV0uFpjgnAM&amp;usp=drive_copy" TargetMode="External"/><Relationship Id="rId423" Type="http://schemas.openxmlformats.org/officeDocument/2006/relationships/hyperlink" Target="https://drive.google.com/open?id=1yKglbaiJ2AHEKXwNA8dXJzyIcE576a0Dn8I5b43TLik&amp;usp=drive_copy" TargetMode="External"/><Relationship Id="rId868" Type="http://schemas.openxmlformats.org/officeDocument/2006/relationships/hyperlink" Target="https://drive.google.com/open?id=13-y3TpYrrZJJ7orHEn9uXCsg4-o-JqqAhQi_QGT_m3E&amp;usp=drive_copy" TargetMode="External"/><Relationship Id="rId630" Type="http://schemas.openxmlformats.org/officeDocument/2006/relationships/hyperlink" Target="https://drive.google.com/open?id=1AGIoxrQ12COJppeFlqZktRitXux6_xbqrQu5wB1swoI&amp;usp=drive_copy" TargetMode="External"/><Relationship Id="rId728" Type="http://schemas.openxmlformats.org/officeDocument/2006/relationships/hyperlink" Target="https://drive.google.com/open?id=1IccExUFXt5XdjHHTMrTFVK-VM4nKT4kcsB6qQ482lao&amp;usp=drive_copy" TargetMode="External"/><Relationship Id="rId935" Type="http://schemas.openxmlformats.org/officeDocument/2006/relationships/hyperlink" Target="https://drive.google.com/open?id=1mxuSbGlj9k491eazC4Z3igjTPbInYE79aNtgLPzMC6Y&amp;usp=drive_copy" TargetMode="External"/><Relationship Id="rId64" Type="http://schemas.openxmlformats.org/officeDocument/2006/relationships/hyperlink" Target="https://docs.google.com/spreadsheets/d/1Vmu3dLndfXiswE23zjgbhUgs3aEH1--FP8pVMd86Xt0/edit?usp=sharing" TargetMode="External"/><Relationship Id="rId367" Type="http://schemas.openxmlformats.org/officeDocument/2006/relationships/hyperlink" Target="https://drive.google.com/open?id=1bjku_Gk_9iMSFZTNgcsAFZaECplFltPExyoSg0Sb4Is&amp;usp=drive_copy" TargetMode="External"/><Relationship Id="rId574" Type="http://schemas.openxmlformats.org/officeDocument/2006/relationships/hyperlink" Target="https://drive.google.com/open?id=15KZ--t3Q0kkTCxhyfiIGFFjAhGJJsnt0xLok7nrdO38&amp;usp=drive_copy" TargetMode="External"/><Relationship Id="rId227" Type="http://schemas.openxmlformats.org/officeDocument/2006/relationships/hyperlink" Target="https://drive.google.com/open?id=1JnDnaAKndNVUL00xE3ufawSO5PejocdvIEdEQHCKQlw&amp;usp=drive_copy" TargetMode="External"/><Relationship Id="rId781" Type="http://schemas.openxmlformats.org/officeDocument/2006/relationships/hyperlink" Target="https://drive.google.com/open?id=1gLvyPzUQ7pJx2S8jphwgB5IRLAR4qmgspg6kZfl1VhU&amp;usp=drive_copy" TargetMode="External"/><Relationship Id="rId879" Type="http://schemas.openxmlformats.org/officeDocument/2006/relationships/hyperlink" Target="https://drive.google.com/open?id=1Amt0-y4F0ARykCl4GHi4GdTbUECV1DIPWFC28NWNkfQ&amp;usp=drive_copy" TargetMode="External"/><Relationship Id="rId434" Type="http://schemas.openxmlformats.org/officeDocument/2006/relationships/hyperlink" Target="https://drive.google.com/open?id=1HqzNGwGuqId77vArU1f5eOF-Z6oRpQuaNeof9YZidw8&amp;usp=drive_copy" TargetMode="External"/><Relationship Id="rId641" Type="http://schemas.openxmlformats.org/officeDocument/2006/relationships/hyperlink" Target="https://drive.google.com/open?id=1Unnleg8hS7znOSgPeU2DfMMPK1_N1a0l5x7A0C2wrq8&amp;usp=drive_copy" TargetMode="External"/><Relationship Id="rId739" Type="http://schemas.openxmlformats.org/officeDocument/2006/relationships/hyperlink" Target="https://drive.google.com/open?id=1d7iT8fLAxJeBp4TPBrgTuaes30t-zalwrkrCmeeEHI0&amp;usp=drive_copy" TargetMode="External"/><Relationship Id="rId280" Type="http://schemas.openxmlformats.org/officeDocument/2006/relationships/hyperlink" Target="https://drive.google.com/open?id=1RZOcSjoSzOkP5YnNlLJv7nXNCo8hhzPRnwl65dW2FXs&amp;usp=drive_copy" TargetMode="External"/><Relationship Id="rId501" Type="http://schemas.openxmlformats.org/officeDocument/2006/relationships/hyperlink" Target="https://drive.google.com/open?id=1mO6C_b6mBKmePJE5cBj_hx6Seiu8PTdyMZYgrGWJuLI&amp;usp=drive_copy" TargetMode="External"/><Relationship Id="rId946" Type="http://schemas.openxmlformats.org/officeDocument/2006/relationships/hyperlink" Target="https://drive.google.com/open?id=1w9UDOhqKhK10CRAoIXE2ha0jsDoUupzOTUA82u2byeU&amp;usp=drive_copy" TargetMode="External"/><Relationship Id="rId75" Type="http://schemas.openxmlformats.org/officeDocument/2006/relationships/hyperlink" Target="https://docs.google.com/spreadsheets/d/1FQS5z-zo9dBOl2aEsvxYAe7QZrugXeyAb5Dbbhu2zHc/edit?usp=sharing" TargetMode="External"/><Relationship Id="rId140" Type="http://schemas.openxmlformats.org/officeDocument/2006/relationships/hyperlink" Target="https://drive.google.com/open?id=1405VFsE3hMwXuAmtEkcu630yJ7nxerAMrCTp5RKAzMc&amp;usp=drive_copy" TargetMode="External"/><Relationship Id="rId378" Type="http://schemas.openxmlformats.org/officeDocument/2006/relationships/hyperlink" Target="https://drive.google.com/open?id=1O4E4rmZQPYX_bqdeTrWzUGKaYZYSNyC-jwDE9-ao9X0&amp;usp=drive_copy" TargetMode="External"/><Relationship Id="rId585" Type="http://schemas.openxmlformats.org/officeDocument/2006/relationships/hyperlink" Target="https://drive.google.com/open?id=1jX14CpXtesjpB5tgFjcb3mrSIbWULZ-AotF87YvuNsY&amp;usp=drive_copy" TargetMode="External"/><Relationship Id="rId792" Type="http://schemas.openxmlformats.org/officeDocument/2006/relationships/hyperlink" Target="https://drive.google.com/open?id=1JsN4x6qkeTs7wLVr6XLNgXiy5-mW__0v825hXWtWTPI&amp;usp=drive_copy" TargetMode="External"/><Relationship Id="rId806" Type="http://schemas.openxmlformats.org/officeDocument/2006/relationships/hyperlink" Target="https://drive.google.com/open?id=1qb1eOF5I_ykC4cNtNDoPOpiuPVxDie5KqzwQvzCBF-s&amp;usp=drive_copy" TargetMode="External"/><Relationship Id="rId6" Type="http://schemas.openxmlformats.org/officeDocument/2006/relationships/hyperlink" Target="https://docs.google.com/spreadsheets/d/1gqdBtG8s8JckuZX-x0aajDR-3y-Xo_tUJH09PqpWZ44/edit?usp=sharing" TargetMode="External"/><Relationship Id="rId238" Type="http://schemas.openxmlformats.org/officeDocument/2006/relationships/hyperlink" Target="https://drive.google.com/open?id=1ZYsGL93hUEpIsfPXZXcFQ8UvpYdafnpu3DWPsXTaF3E&amp;usp=drive_copy" TargetMode="External"/><Relationship Id="rId445" Type="http://schemas.openxmlformats.org/officeDocument/2006/relationships/hyperlink" Target="https://drive.google.com/open?id=1lgnXlgMkjjvSwG3rWgPLOQf-vw9nTsUWYbLbN0aE23Y&amp;usp=drive_copy" TargetMode="External"/><Relationship Id="rId652" Type="http://schemas.openxmlformats.org/officeDocument/2006/relationships/hyperlink" Target="https://drive.google.com/open?id=1VlSGPNVTV7nzL827hVNFrN1CIZfDc1f05dfgc2qzpvw&amp;usp=drive_copy" TargetMode="External"/><Relationship Id="rId291" Type="http://schemas.openxmlformats.org/officeDocument/2006/relationships/hyperlink" Target="https://drive.google.com/open?id=1nrzWTiKA9ldC2FGpwiAyr3risojtNYjoRHz63RvDSfg&amp;usp=drive_copy" TargetMode="External"/><Relationship Id="rId305" Type="http://schemas.openxmlformats.org/officeDocument/2006/relationships/hyperlink" Target="https://drive.google.com/open?id=1ISEd3zZ3_P1FV2SCiUiV-r7i24_e-6GfzFQSFt3Oaak&amp;usp=drive_copy" TargetMode="External"/><Relationship Id="rId512" Type="http://schemas.openxmlformats.org/officeDocument/2006/relationships/hyperlink" Target="https://drive.google.com/open?id=1r0A6VMUoBMQJDedztgn_IFmMNa1pB1E05khPQfRylQg&amp;usp=drive_copy" TargetMode="External"/><Relationship Id="rId957" Type="http://schemas.openxmlformats.org/officeDocument/2006/relationships/hyperlink" Target="https://drive.google.com/open?id=1hik3PZ4HHAcC15rCCghx5uFz39EaD1w2tTz7NvL9Wv4&amp;usp=drive_copy" TargetMode="External"/><Relationship Id="rId86" Type="http://schemas.openxmlformats.org/officeDocument/2006/relationships/hyperlink" Target="https://docs.google.com/spreadsheets/d/1GWRmPdZOkI4gJs7AiX3I0NJG2E5MMTEJl-QwElTjSDA/edit?usp=sharing" TargetMode="External"/><Relationship Id="rId151" Type="http://schemas.openxmlformats.org/officeDocument/2006/relationships/hyperlink" Target="https://drive.google.com/open?id=1GHnXCx0LnJC_JIy1DlN9P9EQpaEVohRuYPHdak8VkZg&amp;usp=drive_copy" TargetMode="External"/><Relationship Id="rId389" Type="http://schemas.openxmlformats.org/officeDocument/2006/relationships/hyperlink" Target="https://drive.google.com/open?id=12cA8Txyp_qghhbZdtTjjNkmHKNSNteiz8CmQZXQJy0I&amp;usp=drive_copy" TargetMode="External"/><Relationship Id="rId596" Type="http://schemas.openxmlformats.org/officeDocument/2006/relationships/hyperlink" Target="https://drive.google.com/open?id=1kiSshQuQgpKyFFh5lh66q67s7KCAJ3wlZ5vtWI0lHcg&amp;usp=drive_copy" TargetMode="External"/><Relationship Id="rId817" Type="http://schemas.openxmlformats.org/officeDocument/2006/relationships/hyperlink" Target="https://drive.google.com/open?id=125ckWSGOlwdkX5ypzvVX4Z86-le2ukVLGv7ghytrMXg&amp;usp=drive_copy" TargetMode="External"/><Relationship Id="rId1002" Type="http://schemas.openxmlformats.org/officeDocument/2006/relationships/hyperlink" Target="https://drive.google.com/open?id=1hSjaegjwgA5As4lWIB31isr_ZX9MuwX0cOsIM01X-jE&amp;usp=drive_copy" TargetMode="External"/><Relationship Id="rId249" Type="http://schemas.openxmlformats.org/officeDocument/2006/relationships/hyperlink" Target="https://drive.google.com/open?id=1guCrqxjyAvw3Wse-sH49A4MJcrkldK5kLxFfybSBydA&amp;usp=drive_copy" TargetMode="External"/><Relationship Id="rId456" Type="http://schemas.openxmlformats.org/officeDocument/2006/relationships/hyperlink" Target="https://drive.google.com/open?id=1ZxFfWGdhDcRY8GbsOm_dVlKVChEi0cduqg1zesDWfpY&amp;usp=drive_copy" TargetMode="External"/><Relationship Id="rId663" Type="http://schemas.openxmlformats.org/officeDocument/2006/relationships/hyperlink" Target="https://drive.google.com/open?id=1X0c9rOIN3Ezxk5U_OM91vIdv2oTMZeLSywZ0MFV1WDA&amp;usp=drive_copy" TargetMode="External"/><Relationship Id="rId870" Type="http://schemas.openxmlformats.org/officeDocument/2006/relationships/hyperlink" Target="https://drive.google.com/open?id=14K4vBGbEPLrpjqxWuBqkMZisO1QpDOqeoS-1ntR6goM&amp;usp=drive_copy" TargetMode="External"/><Relationship Id="rId13" Type="http://schemas.openxmlformats.org/officeDocument/2006/relationships/hyperlink" Target="https://docs.google.com/spreadsheets/d/1mdEIdKk7Gr7TyJLVSqbwsXZAuZWLekCO3p-uKtz_UYs/edit?usp=sharing" TargetMode="External"/><Relationship Id="rId109" Type="http://schemas.openxmlformats.org/officeDocument/2006/relationships/hyperlink" Target="https://drive.google.com/open?id=14pItguOYIocttyz_yNgnWkgesemJTUOAstLF0YQIWsE&amp;usp=drive_copy" TargetMode="External"/><Relationship Id="rId316" Type="http://schemas.openxmlformats.org/officeDocument/2006/relationships/hyperlink" Target="https://drive.google.com/open?id=16WA4VfPvnflY-Rpfm4rXZH29RuxySB0zyhoz031Jeqw&amp;usp=drive_copy" TargetMode="External"/><Relationship Id="rId523" Type="http://schemas.openxmlformats.org/officeDocument/2006/relationships/hyperlink" Target="https://drive.google.com/open?id=1JLEnSKhvhMnskThAaSG44hKeH6IbfKN66bdqj9l_0nU&amp;usp=drive_copy" TargetMode="External"/><Relationship Id="rId968" Type="http://schemas.openxmlformats.org/officeDocument/2006/relationships/hyperlink" Target="https://drive.google.com/open?id=1nTguIhz7s84xpHZvYXCDLKGXhAkn-m851iGpSU8Gkv0&amp;usp=drive_copy" TargetMode="External"/><Relationship Id="rId97" Type="http://schemas.openxmlformats.org/officeDocument/2006/relationships/hyperlink" Target="https://docs.google.com/spreadsheets/d/1RaBb4CQNYNCR44ydY7G-u6f9xYWCHOZ3o4MQK2PzfMo/edit?usp=sharing" TargetMode="External"/><Relationship Id="rId730" Type="http://schemas.openxmlformats.org/officeDocument/2006/relationships/hyperlink" Target="https://drive.google.com/open?id=1Ktsuh0-AFhJe76t0Pi334cE3ekohdRbPx2bysuw-sG4&amp;usp=drive_copy" TargetMode="External"/><Relationship Id="rId828" Type="http://schemas.openxmlformats.org/officeDocument/2006/relationships/hyperlink" Target="https://drive.google.com/open?id=1C8EdgcVWAT4PGDVCSNA49KM6YQ_F1E04cahpenkUFcM&amp;usp=drive_copy" TargetMode="External"/><Relationship Id="rId1013" Type="http://schemas.openxmlformats.org/officeDocument/2006/relationships/hyperlink" Target="https://drive.google.com/open?id=1tZRJB1j9hziG_MFLArQoNBLT3XB73Dl60mxJ_A17UCk&amp;usp=drive_copy" TargetMode="External"/><Relationship Id="rId162" Type="http://schemas.openxmlformats.org/officeDocument/2006/relationships/hyperlink" Target="https://drive.google.com/open?id=1eHfVIuJUr35UiXp2DSH52bJfSrZ0A3gREZI4-n7FaQk&amp;usp=drive_copy" TargetMode="External"/><Relationship Id="rId467" Type="http://schemas.openxmlformats.org/officeDocument/2006/relationships/hyperlink" Target="https://drive.google.com/open?id=1BKGz4VszRCofibN7fzSW16onHwd1FiEw8lKzXcKUvBU&amp;usp=drive_copy" TargetMode="External"/><Relationship Id="rId674" Type="http://schemas.openxmlformats.org/officeDocument/2006/relationships/hyperlink" Target="http://s.si.m.ph/" TargetMode="External"/><Relationship Id="rId881" Type="http://schemas.openxmlformats.org/officeDocument/2006/relationships/hyperlink" Target="https://drive.google.com/open?id=1CMv1lSTwVVLlKgXC1iVk9cQ26fx-WnQDcg8x8ksQ9WY&amp;usp=drive_copy" TargetMode="External"/><Relationship Id="rId979" Type="http://schemas.openxmlformats.org/officeDocument/2006/relationships/hyperlink" Target="https://drive.google.com/open?id=1Yk1yQn_PGRwSe8BNNnKwSy6nlEdzEKhsFw9sdXWz_sk&amp;usp=drive_copy" TargetMode="External"/><Relationship Id="rId24" Type="http://schemas.openxmlformats.org/officeDocument/2006/relationships/hyperlink" Target="https://docs.google.com/spreadsheets/d/1Wiew3Vqrwe9Ch6R1cjbi65bdYpHgn3jH6WxGABSXMKY/edit?usp=sharing" TargetMode="External"/><Relationship Id="rId327" Type="http://schemas.openxmlformats.org/officeDocument/2006/relationships/hyperlink" Target="https://drive.google.com/open?id=1Hp6KMA0fPFywsxhr-xQPIhALtUqYjVodSXQvCSyfhYE&amp;usp=drive_copy" TargetMode="External"/><Relationship Id="rId534" Type="http://schemas.openxmlformats.org/officeDocument/2006/relationships/hyperlink" Target="https://drive.google.com/open?id=1ux_omYs00ZIRBqO_vvyjDrGxqtMqjIMPcLxc9xdvc20&amp;usp=drive_copy" TargetMode="External"/><Relationship Id="rId741" Type="http://schemas.openxmlformats.org/officeDocument/2006/relationships/hyperlink" Target="https://drive.google.com/open?id=1m5dUtlmU7stLw5HoKctMMpoy3gQ6QrgFU3z3hCirk2A&amp;usp=drive_copy" TargetMode="External"/><Relationship Id="rId839" Type="http://schemas.openxmlformats.org/officeDocument/2006/relationships/hyperlink" Target="https://drive.google.com/open?id=1R9wbltaLsx33FD0_S60X9zYWd8VCHYWJQuE6-tyjkds&amp;usp=drive_copy" TargetMode="External"/><Relationship Id="rId173" Type="http://schemas.openxmlformats.org/officeDocument/2006/relationships/hyperlink" Target="https://drive.google.com/open?id=1vUXqua83v3x9zh05wORCmfx2chW-Q5N-YKl7HU7_xxk&amp;usp=drive_copy" TargetMode="External"/><Relationship Id="rId380" Type="http://schemas.openxmlformats.org/officeDocument/2006/relationships/hyperlink" Target="https://drive.google.com/open?id=1LVaLs3dAZnPmRtkTeUSZWMie7s_xXnZYqev4OAV_NHE&amp;usp=drive_copy" TargetMode="External"/><Relationship Id="rId601" Type="http://schemas.openxmlformats.org/officeDocument/2006/relationships/hyperlink" Target="https://drive.google.com/open?id=1mco9cLjzQnY4uXiMOOPx_fU2rhhUTlz-LMmgaJIWQVM&amp;usp=drive_copy" TargetMode="External"/><Relationship Id="rId1024" Type="http://schemas.openxmlformats.org/officeDocument/2006/relationships/hyperlink" Target="https://drive.google.com/open?id=1uNIGa0BmylAikCZTRfDYS7Z0d1-o7ET-2vGbGpJLHnQ&amp;usp=drive_copy" TargetMode="External"/><Relationship Id="rId240" Type="http://schemas.openxmlformats.org/officeDocument/2006/relationships/hyperlink" Target="https://drive.google.com/open?id=19an57qPg6-LW9HFYiknpVSOIG8cltkLJUsfFA7qJj5A&amp;usp=drive_copy" TargetMode="External"/><Relationship Id="rId478" Type="http://schemas.openxmlformats.org/officeDocument/2006/relationships/hyperlink" Target="https://drive.google.com/open?id=1R0L5ciJv2yeK-jlb1a8GLazpOmD8SB8z61Uw26B4EO0&amp;usp=drive_copy" TargetMode="External"/><Relationship Id="rId685" Type="http://schemas.openxmlformats.org/officeDocument/2006/relationships/hyperlink" Target="https://drive.google.com/open?id=165Su4-_ydhwK1-zm5fOKBdNpo6Mdcbt448UPuHUT4AI&amp;usp=drive_copy" TargetMode="External"/><Relationship Id="rId892" Type="http://schemas.openxmlformats.org/officeDocument/2006/relationships/hyperlink" Target="https://drive.google.com/open?id=1OOHMI232_oP5oX8fS28pYSkDNtpR-MiqpIFkHZYrjJE&amp;usp=drive_copy" TargetMode="External"/><Relationship Id="rId906" Type="http://schemas.openxmlformats.org/officeDocument/2006/relationships/hyperlink" Target="https://drive.google.com/open?id=1rBfHBEcwMgZWV8H6veyT4I357O8fiuHjufKX3AAPC6g&amp;usp=drive_copy" TargetMode="External"/><Relationship Id="rId35" Type="http://schemas.openxmlformats.org/officeDocument/2006/relationships/hyperlink" Target="https://docs.google.com/spreadsheets/d/1FHoQOeZxHYPJ1dJd8f93dICw251n_SWKzk0SR4e2G94/edit?usp=sharing" TargetMode="External"/><Relationship Id="rId100" Type="http://schemas.openxmlformats.org/officeDocument/2006/relationships/hyperlink" Target="https://docs.google.com/spreadsheets/d/1iamB5AEKX-uFeL_eQkPQFvZQo32l5qdvQo6UhMAbPLs/edit?usp=sharing" TargetMode="External"/><Relationship Id="rId338" Type="http://schemas.openxmlformats.org/officeDocument/2006/relationships/hyperlink" Target="https://drive.google.com/open?id=1o-5W8XHiBwlQrrTfoctzCtfwFk4dgrJD1x2tJ4-lcgc&amp;usp=drive_copy" TargetMode="External"/><Relationship Id="rId545" Type="http://schemas.openxmlformats.org/officeDocument/2006/relationships/hyperlink" Target="https://drive.google.com/open?id=1S8HXocRKGh0PXzjCQQfus5g-NlIeRuYEaC7IsVRw54k&amp;usp=drive_copy" TargetMode="External"/><Relationship Id="rId752" Type="http://schemas.openxmlformats.org/officeDocument/2006/relationships/hyperlink" Target="https://drive.google.com/open?id=1HBCQ_XXfUmpmKaHIn83dtmHplKxjITHcMoC7wOksBgw&amp;usp=drive_copy" TargetMode="External"/><Relationship Id="rId184" Type="http://schemas.openxmlformats.org/officeDocument/2006/relationships/hyperlink" Target="https://drive.google.com/open?id=1mTnATP6SNd_2SY_eHs-Bqbc6X5cLrzmtKhuS0qCmXzc&amp;usp=drive_copy" TargetMode="External"/><Relationship Id="rId391" Type="http://schemas.openxmlformats.org/officeDocument/2006/relationships/hyperlink" Target="https://drive.google.com/open?id=17ctAtEfIrJCw-H4Lw-EIHBSHHCtK27c8i3nBUBx-dok&amp;usp=drive_copy" TargetMode="External"/><Relationship Id="rId405" Type="http://schemas.openxmlformats.org/officeDocument/2006/relationships/hyperlink" Target="https://drive.google.com/open?id=1xwIpShrkCBz1_8eaQfHo0xzMua8p3PMDeCEyaUFvY5g&amp;usp=drive_copy" TargetMode="External"/><Relationship Id="rId612" Type="http://schemas.openxmlformats.org/officeDocument/2006/relationships/hyperlink" Target="https://drive.google.com/open?id=1NPdAmiUllW4QQdU323H-amB3GiuTrLbw65BFi1EUbw8&amp;usp=drive_copy" TargetMode="External"/><Relationship Id="rId1035" Type="http://schemas.openxmlformats.org/officeDocument/2006/relationships/hyperlink" Target="https://drive.google.com/open?id=1CpCz0vLXMG11zC0rqWrZ5tvBrokKpg166AxbWCplO_g&amp;usp=drive_copy" TargetMode="External"/><Relationship Id="rId251" Type="http://schemas.openxmlformats.org/officeDocument/2006/relationships/hyperlink" Target="https://drive.google.com/open?id=1pHCmn5lXac1tgzmYkb6CtPNGruYb1PxdtkZucIpUu3A&amp;usp=drive_copy" TargetMode="External"/><Relationship Id="rId489" Type="http://schemas.openxmlformats.org/officeDocument/2006/relationships/hyperlink" Target="https://docs.google.com/spreadsheets/d/1jLNf8Z_ggCDVtKRBWe0mr7gre3LCLqYYq10_rjFIYRA/edit?usp=sharing" TargetMode="External"/><Relationship Id="rId696" Type="http://schemas.openxmlformats.org/officeDocument/2006/relationships/hyperlink" Target="https://drive.google.com/open?id=1kKOZ9UmMhjp7cM7JAMzefBqKghcwcKcqZJ_Nr5kvgkA&amp;usp=drive_copy" TargetMode="External"/><Relationship Id="rId917" Type="http://schemas.openxmlformats.org/officeDocument/2006/relationships/hyperlink" Target="https://drive.google.com/open?id=1BQLMl-8UBuSeh_FgdAPlfzOpMjxjY9XTh4On8FtFbJE&amp;usp=drive_copy" TargetMode="External"/><Relationship Id="rId46" Type="http://schemas.openxmlformats.org/officeDocument/2006/relationships/hyperlink" Target="https://docs.google.com/spreadsheets/d/1y8AS5XKvxtXucY3AFGBDvwPXdq8qKawtD3LgpnrvmQU/edit?usp=sharing" TargetMode="External"/><Relationship Id="rId349" Type="http://schemas.openxmlformats.org/officeDocument/2006/relationships/hyperlink" Target="https://drive.google.com/open?id=1XcYRqb7tFKMVwHMSlyWM_wXEQF0eDaSgcTGxvXqGMi4&amp;usp=drive_copy" TargetMode="External"/><Relationship Id="rId556" Type="http://schemas.openxmlformats.org/officeDocument/2006/relationships/hyperlink" Target="https://drive.google.com/open?id=1f0Z3c9FhlPQcA_mStNucrGOMAA6WSd7OQOeTDngX6gk&amp;usp=drive_copy" TargetMode="External"/><Relationship Id="rId763" Type="http://schemas.openxmlformats.org/officeDocument/2006/relationships/hyperlink" Target="https://drive.google.com/open?id=1dfJqbnJ3FAMnAfoaYsjD7bVPLGUp8eWkE3ceFLs1YkI&amp;usp=drive_copy" TargetMode="External"/><Relationship Id="rId111" Type="http://schemas.openxmlformats.org/officeDocument/2006/relationships/hyperlink" Target="https://drive.google.com/open?id=18Zb6D4T3btM3qXlej17u7QtC9wK0j_qI_oXj57HwkKs&amp;usp=drive_copy" TargetMode="External"/><Relationship Id="rId195" Type="http://schemas.openxmlformats.org/officeDocument/2006/relationships/hyperlink" Target="https://drive.google.com/open?id=1h_WoUgQLtAtpcxVeggaqOBw_o-opGErf0a4nla_B1Fc&amp;usp=drive_copy" TargetMode="External"/><Relationship Id="rId209" Type="http://schemas.openxmlformats.org/officeDocument/2006/relationships/hyperlink" Target="https://drive.google.com/open?id=15QfApwuhEO15jiw3v1uAAyQWvf6mevK46wqYBH7wyas&amp;usp=drive_copy" TargetMode="External"/><Relationship Id="rId416" Type="http://schemas.openxmlformats.org/officeDocument/2006/relationships/hyperlink" Target="https://drive.google.com/open?id=14nV8fwn8fLh3_L6UJsAYePmumEC_O2FQdP-ozBdcY20&amp;usp=drive_copy" TargetMode="External"/><Relationship Id="rId970" Type="http://schemas.openxmlformats.org/officeDocument/2006/relationships/hyperlink" Target="https://drive.google.com/open?id=1zBnO5IHOpYERp-YB7AyJDf4Q8yGUWuwiwTANjk_ACBc&amp;usp=drive_copy" TargetMode="External"/><Relationship Id="rId623" Type="http://schemas.openxmlformats.org/officeDocument/2006/relationships/hyperlink" Target="https://drive.google.com/open?id=13IXO_KWsN44UjR6jYAwOApXIcPgtchZKHLzXZN49ktc&amp;usp=drive_copy" TargetMode="External"/><Relationship Id="rId830" Type="http://schemas.openxmlformats.org/officeDocument/2006/relationships/hyperlink" Target="https://drive.google.com/open?id=1CpQlSWeyrqXlNd9ZJf8rGkAFLDdYCFcxRejlCGN8M9s&amp;usp=drive_copy" TargetMode="External"/><Relationship Id="rId928" Type="http://schemas.openxmlformats.org/officeDocument/2006/relationships/hyperlink" Target="https://drive.google.com/open?id=1s2TfMVV6iHv16riausmRZ11glqryl6mn7rLxUsFPe00&amp;usp=drive_copy" TargetMode="External"/><Relationship Id="rId57" Type="http://schemas.openxmlformats.org/officeDocument/2006/relationships/hyperlink" Target="https://docs.google.com/spreadsheets/d/1AwW9NT6YP-AmXchbApbdn70E4F8OFCgIjQ6n7koJCD0/edit?usp=sharing" TargetMode="External"/><Relationship Id="rId262" Type="http://schemas.openxmlformats.org/officeDocument/2006/relationships/hyperlink" Target="https://drive.google.com/open?id=1qpR5ONZQUsFyFulI_zYUaE953odJqd5EM5x3xK9XLW0&amp;usp=drive_copy" TargetMode="External"/><Relationship Id="rId567" Type="http://schemas.openxmlformats.org/officeDocument/2006/relationships/hyperlink" Target="https://drive.google.com/open?id=1YH1tpdzFQjPmqYxFGID-KIc1M73TGdL9ohNRiS2KZpE&amp;usp=drive_copy" TargetMode="External"/><Relationship Id="rId122" Type="http://schemas.openxmlformats.org/officeDocument/2006/relationships/hyperlink" Target="https://drive.google.com/open?id=1ZOx50n9LxDnUJ4WoZJfQAW77psTsnQhwPusYOEBG7Ng&amp;usp=drive_copy" TargetMode="External"/><Relationship Id="rId774" Type="http://schemas.openxmlformats.org/officeDocument/2006/relationships/hyperlink" Target="https://drive.google.com/open?id=13OnRcW7ESZKNo15sgUzNkmd_L_7ZOIWewAWJ0X7Xv5Y&amp;usp=drive_copy" TargetMode="External"/><Relationship Id="rId981" Type="http://schemas.openxmlformats.org/officeDocument/2006/relationships/hyperlink" Target="https://drive.google.com/open?id=1ygoaH-E2xwIA3OpOd3RsnvMKCUNrtXMS7FrvC5diEF8&amp;usp=drive_copy" TargetMode="External"/><Relationship Id="rId427" Type="http://schemas.openxmlformats.org/officeDocument/2006/relationships/hyperlink" Target="https://drive.google.com/open?id=19iOKPB14W0VGP-0ml8pziHOt6sYzXWaj7a4Zoum-tBI&amp;usp=drive_copy" TargetMode="External"/><Relationship Id="rId634" Type="http://schemas.openxmlformats.org/officeDocument/2006/relationships/hyperlink" Target="https://drive.google.com/open?id=1OPTkergdFEZYezeXIKRwnn8PLvKWaiU62h3i052WOB8&amp;usp=drive_copy" TargetMode="External"/><Relationship Id="rId841" Type="http://schemas.openxmlformats.org/officeDocument/2006/relationships/hyperlink" Target="https://drive.google.com/open?id=1Rf_DQtYJqINOD9eJuejVgUtrhGdHCajPjJp7VG1DiZs&amp;usp=drive_copy" TargetMode="External"/><Relationship Id="rId273" Type="http://schemas.openxmlformats.org/officeDocument/2006/relationships/hyperlink" Target="https://drive.google.com/open?id=18bzRr9eE6gLLi1p0jkO0gWjsihw1tqcNLPhmPjEus_I&amp;usp=drive_copy" TargetMode="External"/><Relationship Id="rId480" Type="http://schemas.openxmlformats.org/officeDocument/2006/relationships/hyperlink" Target="https://drive.google.com/open?id=1YuEcudYycIAEz6Kj5tfliBJzbEOJLch9G62k9JrIOh0&amp;usp=drive_copy" TargetMode="External"/><Relationship Id="rId701" Type="http://schemas.openxmlformats.org/officeDocument/2006/relationships/hyperlink" Target="https://drive.google.com/open?id=1qtSGRx_mTEwLDofEEe4umvjSPQXrgfqyrbLnZNgg5gU&amp;usp=drive_copy" TargetMode="External"/><Relationship Id="rId939" Type="http://schemas.openxmlformats.org/officeDocument/2006/relationships/hyperlink" Target="https://drive.google.com/open?id=1gnt4AFyXmaaRGzayHdK0_PmNalG3gRic42cC1r0nYrw&amp;usp=drive_copy" TargetMode="External"/><Relationship Id="rId68" Type="http://schemas.openxmlformats.org/officeDocument/2006/relationships/hyperlink" Target="https://docs.google.com/spreadsheets/d/1NAIDQDsM6unWiU0ohgUaoju3HNaPnjI6fV2f5jzrVy8/edit?usp=sharing" TargetMode="External"/><Relationship Id="rId133" Type="http://schemas.openxmlformats.org/officeDocument/2006/relationships/hyperlink" Target="https://drive.google.com/open?id=11OokbP0EVmmdg1_tOqNaSEJC7nRHVLe4ULP8VTkxO2s&amp;usp=drive_copy" TargetMode="External"/><Relationship Id="rId340" Type="http://schemas.openxmlformats.org/officeDocument/2006/relationships/hyperlink" Target="https://drive.google.com/open?id=1r9FRjTB0i50xfIz1__yWsyNKPNQ9aZGQ1Fmcqb0iR6Q&amp;usp=drive_copy" TargetMode="External"/><Relationship Id="rId578" Type="http://schemas.openxmlformats.org/officeDocument/2006/relationships/hyperlink" Target="https://drive.google.com/open?id=1jozkSJ-c0pOQMXXCjkAgYrmDaFrwUr9J-GPsDi4AnnM&amp;usp=drive_copy" TargetMode="External"/><Relationship Id="rId785" Type="http://schemas.openxmlformats.org/officeDocument/2006/relationships/hyperlink" Target="https://drive.google.com/open?id=13UKQVBKtrm6kycmufaXNoBDOstV94QfjD6ps0Z9s1RA&amp;usp=drive_copy" TargetMode="External"/><Relationship Id="rId992" Type="http://schemas.openxmlformats.org/officeDocument/2006/relationships/hyperlink" Target="https://drive.google.com/open?id=1SI4kIxZ-i0kHyYymJRPoUEJU2gRRKLyYzR_p8CbP-Rs&amp;usp=drive_copy" TargetMode="External"/><Relationship Id="rId200" Type="http://schemas.openxmlformats.org/officeDocument/2006/relationships/hyperlink" Target="https://drive.google.com/open?id=1oxvmIEAZSSpHSnqlebeMmpTXTl0exGkduKLiQzbjp00&amp;usp=drive_copy" TargetMode="External"/><Relationship Id="rId438" Type="http://schemas.openxmlformats.org/officeDocument/2006/relationships/hyperlink" Target="https://drive.google.com/open?id=17Hq_5Fw1w9Vr5cydTPRPetk4gtdrKm7o5PNIqOGk8ks&amp;usp=drive_copy" TargetMode="External"/><Relationship Id="rId645" Type="http://schemas.openxmlformats.org/officeDocument/2006/relationships/hyperlink" Target="https://drive.google.com/open?id=10_OwX_aZhDoGS6yaVBeSj7im8Lh-mNudToK-z5iklOE&amp;usp=drive_copy" TargetMode="External"/><Relationship Id="rId852" Type="http://schemas.openxmlformats.org/officeDocument/2006/relationships/hyperlink" Target="https://drive.google.com/open?id=1i_Ppc1K3c0wvumPRTD5AH2CWBK-x9OCGuFLz13BOKpQ&amp;usp=drive_copy" TargetMode="External"/><Relationship Id="rId284" Type="http://schemas.openxmlformats.org/officeDocument/2006/relationships/hyperlink" Target="https://drive.google.com/open?id=1TnmNTSo-03y6ulvYttT-hHHTp9QhfaNbZjV0kMWrqhg&amp;usp=drive_copy" TargetMode="External"/><Relationship Id="rId491" Type="http://schemas.openxmlformats.org/officeDocument/2006/relationships/hyperlink" Target="https://drive.google.com/open?id=1bX4_htlOqKWKCW9xNvrHrxZSt6oE7Q1X-y9KDW4k49c&amp;usp=drive_copy" TargetMode="External"/><Relationship Id="rId505" Type="http://schemas.openxmlformats.org/officeDocument/2006/relationships/hyperlink" Target="https://drive.google.com/open?id=13TQ-__xDNE_0oT5PADtUN9vF5tqbAPeOY1xLTELvhe8&amp;usp=drive_copy" TargetMode="External"/><Relationship Id="rId712" Type="http://schemas.openxmlformats.org/officeDocument/2006/relationships/hyperlink" Target="https://drive.google.com/open?id=13_dDIvMy9lHcIsdHvdy4RDWKzFPH6Hgs4rKd7TyzFl8&amp;usp=drive_copy" TargetMode="External"/><Relationship Id="rId79" Type="http://schemas.openxmlformats.org/officeDocument/2006/relationships/hyperlink" Target="https://docs.google.com/spreadsheets/d/1RMacLAUtlfrJ0QjHYYDO9GgdOjD5dz4ZQ9dW0ji9xQY/edit?usp=sharing" TargetMode="External"/><Relationship Id="rId144" Type="http://schemas.openxmlformats.org/officeDocument/2006/relationships/hyperlink" Target="https://drive.google.com/open?id=19qRxJrRdMxgahbGiT62u8qqWoDDxayy1xn4upAopWXI&amp;usp=drive_copy" TargetMode="External"/><Relationship Id="rId589" Type="http://schemas.openxmlformats.org/officeDocument/2006/relationships/hyperlink" Target="https://drive.google.com/open?id=1EWNwkTNxoPbagahazsgN5ecMqHNPGiE2yIHWv4vyCk4&amp;usp=drive_copy" TargetMode="External"/><Relationship Id="rId796" Type="http://schemas.openxmlformats.org/officeDocument/2006/relationships/hyperlink" Target="https://drive.google.com/open?id=1Q7yOGnlcdHOfhi2u-d7NAPhNn4lEPtu8ki0kQw_Ayus&amp;usp=drive_copy" TargetMode="External"/><Relationship Id="rId351" Type="http://schemas.openxmlformats.org/officeDocument/2006/relationships/hyperlink" Target="https://drive.google.com/open?id=1Yis8bvL-ziqT88RZfFPowTkK1R7KVfqun4L18uOAEzI&amp;usp=drive_copy" TargetMode="External"/><Relationship Id="rId449" Type="http://schemas.openxmlformats.org/officeDocument/2006/relationships/hyperlink" Target="https://drive.google.com/open?id=1hdCeSha3PO3CZXUT5xSz1jdSDWQ3dPF5K74W5fUu0tA&amp;usp=drive_copy" TargetMode="External"/><Relationship Id="rId656" Type="http://schemas.openxmlformats.org/officeDocument/2006/relationships/hyperlink" Target="https://drive.google.com/open?id=18J-rPDBiPB6u-Rflumq7gBbzeQv6WylE_Hpoa7dVz04&amp;usp=drive_copy" TargetMode="External"/><Relationship Id="rId863" Type="http://schemas.openxmlformats.org/officeDocument/2006/relationships/hyperlink" Target="https://drive.google.com/open?id=1wi98emzzWCsQjRb2OTNjUxya8qhrgXV8Ew9jbtSOpis&amp;usp=drive_copy" TargetMode="External"/><Relationship Id="rId211" Type="http://schemas.openxmlformats.org/officeDocument/2006/relationships/hyperlink" Target="https://drive.google.com/open?id=17cM9UFvvKqifEPwUjT3QS4xTRbFQ0_UZl_eZ-jq2rzk&amp;usp=drive_copy" TargetMode="External"/><Relationship Id="rId295" Type="http://schemas.openxmlformats.org/officeDocument/2006/relationships/hyperlink" Target="https://drive.google.com/open?id=1G9ZO3Ij_Px1N41zViF2lPSFfVn8iHHuSPCtMPo86bH4&amp;usp=drive_copy" TargetMode="External"/><Relationship Id="rId309" Type="http://schemas.openxmlformats.org/officeDocument/2006/relationships/hyperlink" Target="https://drive.google.com/open?id=1vM1v4OZYgij_oHrdxN3QvIJKTU0ApEqNdK3duiU4VII&amp;usp=drive_copy" TargetMode="External"/><Relationship Id="rId516" Type="http://schemas.openxmlformats.org/officeDocument/2006/relationships/hyperlink" Target="https://drive.google.com/open?id=1H8A-sD_iZi5l3sdtxU0rmjoRdba5SgzQTJTB4ETGzd8&amp;usp=drive_copy" TargetMode="External"/><Relationship Id="rId723" Type="http://schemas.openxmlformats.org/officeDocument/2006/relationships/hyperlink" Target="https://drive.google.com/open?id=1BVoWdQ2_uJwzb3-CirTDWlgBmzRuFF7_AsHqaYNzYN4&amp;usp=drive_copy" TargetMode="External"/><Relationship Id="rId930" Type="http://schemas.openxmlformats.org/officeDocument/2006/relationships/hyperlink" Target="https://drive.google.com/open?id=1fbASbdOk6qezIFeASok8XuHnJ5La5Gfv0GGAkgJj468&amp;usp=drive_copy" TargetMode="External"/><Relationship Id="rId1006" Type="http://schemas.openxmlformats.org/officeDocument/2006/relationships/hyperlink" Target="https://drive.google.com/open?id=1HUXoVXu9KF3uSLy1NeUvbYHN6NI1q7ecDNxcINSf-2k&amp;usp=drive_copy" TargetMode="External"/><Relationship Id="rId155" Type="http://schemas.openxmlformats.org/officeDocument/2006/relationships/hyperlink" Target="https://drive.google.com/open?id=1HyvwxqD5FNZqjR8zH5AobLOZNgEZj5B8DhfxGq-R-e8&amp;usp=drive_copy" TargetMode="External"/><Relationship Id="rId362" Type="http://schemas.openxmlformats.org/officeDocument/2006/relationships/hyperlink" Target="https://drive.google.com/open?id=1RAiyBpviyDH1LaSdNuoxdJepOzToEft0FTmR7G9UtUc&amp;usp=drive_copy" TargetMode="External"/><Relationship Id="rId222" Type="http://schemas.openxmlformats.org/officeDocument/2006/relationships/hyperlink" Target="https://drive.google.com/open?id=1Gpir0HMU-N9zt_jGne8XIfbSUW_8-K8jf6oflWxIePc&amp;usp=drive_copy" TargetMode="External"/><Relationship Id="rId667" Type="http://schemas.openxmlformats.org/officeDocument/2006/relationships/hyperlink" Target="https://drive.google.com/open?id=1Dijqr-OktZIwWV0-PK1ir9pszEpEVDmfjf99l_EhFmo&amp;usp=drive_copy" TargetMode="External"/><Relationship Id="rId874" Type="http://schemas.openxmlformats.org/officeDocument/2006/relationships/hyperlink" Target="https://drive.google.com/open?id=16Kzkc0An9X9x9gpUv8X_iRGhP2YimemOCL6bkkRmHK4&amp;usp=drive_copy" TargetMode="External"/><Relationship Id="rId17" Type="http://schemas.openxmlformats.org/officeDocument/2006/relationships/hyperlink" Target="https://docs.google.com/spreadsheets/d/101L9gkhuMxTZw173YmdxWNST82q44R5GkkiFc4KrpsM/edit?usp=sharing" TargetMode="External"/><Relationship Id="rId527" Type="http://schemas.openxmlformats.org/officeDocument/2006/relationships/hyperlink" Target="https://drive.google.com/open?id=1SqgA_qKPTb2Ya7FcLr7_YCziGfCkP7ORR8cs2R3mvyM&amp;usp=drive_copy" TargetMode="External"/><Relationship Id="rId734" Type="http://schemas.openxmlformats.org/officeDocument/2006/relationships/hyperlink" Target="https://drive.google.com/open?id=1uGLafnwIlis0kZmaAo4Pjzeo7Z74zkABUJIvqmVN_YE&amp;usp=drive_copy" TargetMode="External"/><Relationship Id="rId941" Type="http://schemas.openxmlformats.org/officeDocument/2006/relationships/hyperlink" Target="https://drive.google.com/open?id=1WGDjKIPLXSJ9aE63m6Pfrx8u3HA-zqjEqydTTYEuU40&amp;usp=drive_copy" TargetMode="External"/><Relationship Id="rId70" Type="http://schemas.openxmlformats.org/officeDocument/2006/relationships/hyperlink" Target="https://docs.google.com/spreadsheets/d/1sl21ob5CwA2C6Z6MtX2jkH3TdulxFTTFLsQXA5H5YxM/edit?usp=sharing" TargetMode="External"/><Relationship Id="rId166" Type="http://schemas.openxmlformats.org/officeDocument/2006/relationships/hyperlink" Target="https://drive.google.com/open?id=1k_Gd0Vrw4G7BWPAuQERQkoSXk7sws1wdJ9vK8QoMMQo&amp;usp=drive_copy" TargetMode="External"/><Relationship Id="rId373" Type="http://schemas.openxmlformats.org/officeDocument/2006/relationships/hyperlink" Target="https://drive.google.com/open?id=1fJPPSztCgeJoPKljKa4vAQT50OmZjvhtAXJ3O8wavM8&amp;usp=drive_copy" TargetMode="External"/><Relationship Id="rId580" Type="http://schemas.openxmlformats.org/officeDocument/2006/relationships/hyperlink" Target="https://drive.google.com/open?id=18qSbAXw4IAiqN7UMYpJ_lqFs-ERDVHiBfjRGi1nDb6o&amp;usp=drive_copy" TargetMode="External"/><Relationship Id="rId801" Type="http://schemas.openxmlformats.org/officeDocument/2006/relationships/hyperlink" Target="https://drive.google.com/open?id=1fCUY5EXexmjdnLDxMmzuos-LNQ8xkLSda7kL3wcZCsY&amp;usp=drive_copy" TargetMode="External"/><Relationship Id="rId1017" Type="http://schemas.openxmlformats.org/officeDocument/2006/relationships/hyperlink" Target="https://drive.google.com/open?id=1-3JhFXXVW8o5GzX7Ckq7KY5IRx3PBYngosj34uiJd7g&amp;usp=drive_copy" TargetMode="External"/><Relationship Id="rId1" Type="http://schemas.openxmlformats.org/officeDocument/2006/relationships/hyperlink" Target="https://docs.google.com/spreadsheets/d/1wcno1s0G1pPiHcxQBtcdj3G3r40Ic2k0IKZniS3SiiE/edit?usp=sharing" TargetMode="External"/><Relationship Id="rId233" Type="http://schemas.openxmlformats.org/officeDocument/2006/relationships/hyperlink" Target="https://drive.google.com/open?id=1QNC_GjwCaYLhAtQnqLKMIiNB46WOFjAYv6RyJ9_bKTc&amp;usp=drive_copy" TargetMode="External"/><Relationship Id="rId440" Type="http://schemas.openxmlformats.org/officeDocument/2006/relationships/hyperlink" Target="https://docs.google.com/spreadsheets/d/1BjyddFfxjN8ROUiwiMYWElu0fvqK_3TBhZOMHkgSzxg/edit?usp=share_link" TargetMode="External"/><Relationship Id="rId678" Type="http://schemas.openxmlformats.org/officeDocument/2006/relationships/hyperlink" Target="https://drive.google.com/open?id=1hpZT4rLx8oJP9qze-AN69HmDJwSjkfLUfdyUMBWBl3k&amp;usp=drive_copy" TargetMode="External"/><Relationship Id="rId885" Type="http://schemas.openxmlformats.org/officeDocument/2006/relationships/hyperlink" Target="https://drive.google.com/open?id=1EZrU53gtJdwsEYuNiHOgrMRTrEKmUh9hNrRFMLVCOGw&amp;usp=drive_copy" TargetMode="External"/><Relationship Id="rId28" Type="http://schemas.openxmlformats.org/officeDocument/2006/relationships/hyperlink" Target="https://docs.google.com/spreadsheets/d/1FCUHjldnIpeRYJ089tn2UxQMNFBEnzJzB90UMvuvAQ4/edit?usp=sharing" TargetMode="External"/><Relationship Id="rId300" Type="http://schemas.openxmlformats.org/officeDocument/2006/relationships/hyperlink" Target="https://drive.google.com/open?id=1ZXjnCYh3jDAeWfSq0f_qyjwCjqi05SxL2zJI-NPAl-s&amp;usp=drive_copy" TargetMode="External"/><Relationship Id="rId538" Type="http://schemas.openxmlformats.org/officeDocument/2006/relationships/hyperlink" Target="https://drive.google.com/open?id=1_cpM8SFh9NZqujvKsLm6w5tNwwMFRflxdHMAv0X1HpE&amp;usp=drive_copy" TargetMode="External"/><Relationship Id="rId745" Type="http://schemas.openxmlformats.org/officeDocument/2006/relationships/hyperlink" Target="https://drive.google.com/open?id=1bpzPTv2x34Z3f7I7vnh0EdNcL2_IXuBRk0j86EfK_i8&amp;usp=drive_copy" TargetMode="External"/><Relationship Id="rId952" Type="http://schemas.openxmlformats.org/officeDocument/2006/relationships/hyperlink" Target="https://drive.google.com/open?id=1Igi7B-Q9byhFAZ9R8IO-jln7Gl5LHt4lfnQuSKwKl60&amp;usp=drive_copy" TargetMode="External"/><Relationship Id="rId81" Type="http://schemas.openxmlformats.org/officeDocument/2006/relationships/hyperlink" Target="https://docs.google.com/spreadsheets/d/1ELYs3wkwB6uDtrPxadWcD_X8PSli0ejfpeCOxYJ5iTU/edit?usp=sharing" TargetMode="External"/><Relationship Id="rId177" Type="http://schemas.openxmlformats.org/officeDocument/2006/relationships/hyperlink" Target="https://drive.google.com/open?id=1x9U92VBdOh3QgmPp4ZWEHEVYci7yySVeST9S6KdeL5I&amp;usp=drive_copy" TargetMode="External"/><Relationship Id="rId384" Type="http://schemas.openxmlformats.org/officeDocument/2006/relationships/hyperlink" Target="https://drive.google.com/open?id=1s-L6qpGiijV9BQwFO--SrDFxriVRZmYTznS3vi4EEKw&amp;usp=drive_copy" TargetMode="External"/><Relationship Id="rId591" Type="http://schemas.openxmlformats.org/officeDocument/2006/relationships/hyperlink" Target="https://drive.google.com/open?id=1Lk6E6szCZxhHjuz7lZa-A1CxGfD2ia3gaD7SYUWrlCw&amp;usp=drive_copy" TargetMode="External"/><Relationship Id="rId605" Type="http://schemas.openxmlformats.org/officeDocument/2006/relationships/hyperlink" Target="https://drive.google.com/open?id=19HroPzzkmiZzm6tC2ANSMFbNSMSMb2EabDKeadenDbk&amp;usp=drive_copy" TargetMode="External"/><Relationship Id="rId812" Type="http://schemas.openxmlformats.org/officeDocument/2006/relationships/hyperlink" Target="https://drive.google.com/open?id=1-6L7eMel2mT86hlP2hhtSzWmzugKauA3IcddEA7o82I&amp;usp=drive_copy" TargetMode="External"/><Relationship Id="rId1028" Type="http://schemas.openxmlformats.org/officeDocument/2006/relationships/hyperlink" Target="https://drive.google.com/open?id=19Ot4b1Pasvdp7KssnBJ3memm5REKtMdFm0X5sc7j1m0&amp;usp=drive_copy" TargetMode="External"/><Relationship Id="rId244" Type="http://schemas.openxmlformats.org/officeDocument/2006/relationships/hyperlink" Target="https://drive.google.com/open?id=1c3br8TdeXFL5utojEt0poDYlrdaQ7v0TiQ9p2dXiWuA&amp;usp=drive_copy" TargetMode="External"/><Relationship Id="rId689" Type="http://schemas.openxmlformats.org/officeDocument/2006/relationships/hyperlink" Target="https://drive.google.com/open?id=1eXZVA_ImAE2XJu026QaWPTili5KXyoVrxabbT7-sc2I&amp;usp=drive_copy" TargetMode="External"/><Relationship Id="rId896" Type="http://schemas.openxmlformats.org/officeDocument/2006/relationships/hyperlink" Target="https://drive.google.com/open?id=1PyeGAl9c8CKYVDRlFmDAMjJ7M3o1MMCwc3alUyFImH8&amp;usp=drive_copy" TargetMode="External"/><Relationship Id="rId39" Type="http://schemas.openxmlformats.org/officeDocument/2006/relationships/hyperlink" Target="https://docs.google.com/spreadsheets/d/1esWHiFa3JeAbN45yB9gygjqFcqGmj9v5DGGSwKlQsIA/edit?usp=sharing" TargetMode="External"/><Relationship Id="rId451" Type="http://schemas.openxmlformats.org/officeDocument/2006/relationships/hyperlink" Target="https://drive.google.com/open?id=18wpsudP0sN6jREFfFPZ0UvvA4jm37aLeSzFUM9KcRMo&amp;usp=drive_copy" TargetMode="External"/><Relationship Id="rId549" Type="http://schemas.openxmlformats.org/officeDocument/2006/relationships/hyperlink" Target="https://drive.google.com/open?id=16NmzZdRIh7OW3EYKMashGS-DuqM1W3V1603dcQGNJ2M&amp;usp=drive_copy" TargetMode="External"/><Relationship Id="rId756" Type="http://schemas.openxmlformats.org/officeDocument/2006/relationships/hyperlink" Target="https://drive.google.com/open?id=1AeBKCKz-zhMs5sPCu1DXxWnQsuZktwqEOljwcYK7n6Y&amp;usp=drive_copy" TargetMode="External"/><Relationship Id="rId104" Type="http://schemas.openxmlformats.org/officeDocument/2006/relationships/hyperlink" Target="https://docs.google.com/spreadsheets/d/1gjoMZKes_NIT0Xon1vRxWAZO0LhcD9CcQXbzW16c-Yc/edit?usp=sharing" TargetMode="External"/><Relationship Id="rId188" Type="http://schemas.openxmlformats.org/officeDocument/2006/relationships/hyperlink" Target="https://drive.google.com/open?id=1BbO3XwPgprrRzRbJNU782pgl77q3nT4WmQQznQPUp9c&amp;usp=drive_copy" TargetMode="External"/><Relationship Id="rId311" Type="http://schemas.openxmlformats.org/officeDocument/2006/relationships/hyperlink" Target="https://drive.google.com/open?id=1zAyXeE1VA3-Wx0PJNINHXJUS8KXOyKmAYwLw6GycmbE&amp;usp=drive_copy" TargetMode="External"/><Relationship Id="rId395" Type="http://schemas.openxmlformats.org/officeDocument/2006/relationships/hyperlink" Target="https://drive.google.com/open?id=1Ljnpf8pHlyilcVbJnrlTQb4FAW4jjkUGah_JbcMeEOs&amp;usp=drive_copy" TargetMode="External"/><Relationship Id="rId409" Type="http://schemas.openxmlformats.org/officeDocument/2006/relationships/hyperlink" Target="https://drive.google.com/open?id=1cXIw5mog84y1d-YPHijS147H1dCepZCWIhPv8aMD96M&amp;usp=drive_copy" TargetMode="External"/><Relationship Id="rId963" Type="http://schemas.openxmlformats.org/officeDocument/2006/relationships/hyperlink" Target="https://drive.google.com/open?id=1GHl_BhP-EU9pjuHRxjFgow14W8msGSYW2g81zoBcegc&amp;usp=drive_copy" TargetMode="External"/><Relationship Id="rId1039" Type="http://schemas.openxmlformats.org/officeDocument/2006/relationships/hyperlink" Target="https://drive.google.com/open?id=1KSoKnWVe3zFAuUCet34CnYqcyzNaUQXMs3T0nYVQnLg&amp;usp=drive_copy" TargetMode="External"/><Relationship Id="rId92" Type="http://schemas.openxmlformats.org/officeDocument/2006/relationships/hyperlink" Target="https://docs.google.com/spreadsheets/d/1FD8pRTy-wVfTl4a0c52WQU9JKQyBqurQpFqpDWKegFM/edit?usp=sharing" TargetMode="External"/><Relationship Id="rId616" Type="http://schemas.openxmlformats.org/officeDocument/2006/relationships/hyperlink" Target="https://drive.google.com/open?id=12ujRKi24oY7vpetZfrmCx5t98Ak9onutT0BxpFD2NXc&amp;usp=drive_copy" TargetMode="External"/><Relationship Id="rId823" Type="http://schemas.openxmlformats.org/officeDocument/2006/relationships/hyperlink" Target="https://drive.google.com/open?id=18PhNjCiYdveRUTmJqMlyM83BT8Ht9DlHAt7y4yZMHHQ&amp;usp=drive_copy" TargetMode="External"/><Relationship Id="rId255" Type="http://schemas.openxmlformats.org/officeDocument/2006/relationships/hyperlink" Target="https://drive.google.com/open?id=1jHoKTzOHUEoVSMIKilhHMKvGU6KARjQzHPlRd-XMikY&amp;usp=drive_copy" TargetMode="External"/><Relationship Id="rId462" Type="http://schemas.openxmlformats.org/officeDocument/2006/relationships/hyperlink" Target="https://drive.google.com/open?id=1ZKXxF_pUhiTP5zSE49s57MZjvJnEa6fNLXUny7a3gLg&amp;usp=drive_copy" TargetMode="External"/><Relationship Id="rId115" Type="http://schemas.openxmlformats.org/officeDocument/2006/relationships/hyperlink" Target="https://drive.google.com/open?id=1KYugIwwEiOvYOpyPHcB98jKH13KQMTPamOpYz7YkUiE&amp;usp=drive_copy" TargetMode="External"/><Relationship Id="rId322" Type="http://schemas.openxmlformats.org/officeDocument/2006/relationships/hyperlink" Target="https://drive.google.com/open?id=1u3c-H54YC0yYkqIRUdPXagzZHtdWLl-WsNSOsUA693g&amp;usp=drive_copy" TargetMode="External"/><Relationship Id="rId767" Type="http://schemas.openxmlformats.org/officeDocument/2006/relationships/hyperlink" Target="https://drive.google.com/open?id=11TIo12gaplYwBMjM1xADlYLIcaEjCnFCxLMJC4uYEDI&amp;usp=drive_copy" TargetMode="External"/><Relationship Id="rId974" Type="http://schemas.openxmlformats.org/officeDocument/2006/relationships/hyperlink" Target="https://drive.google.com/open?id=1QmUi7ARVrPxxYYnSt19fF4Ks8563tp3d8KxOA8uZSgY&amp;usp=drive_copy" TargetMode="External"/><Relationship Id="rId199" Type="http://schemas.openxmlformats.org/officeDocument/2006/relationships/hyperlink" Target="https://drive.google.com/open?id=1nx420kvbsr8urnff_BRIgmZ5gNnHMe2FuM8H9lD6XEY&amp;usp=drive_copy" TargetMode="External"/><Relationship Id="rId627" Type="http://schemas.openxmlformats.org/officeDocument/2006/relationships/hyperlink" Target="https://drive.google.com/open?id=1WqSWisKbH3gdREv0eGw5VBFk8RKNvQpjnt-ajyPCNvg&amp;usp=drive_copy" TargetMode="External"/><Relationship Id="rId834" Type="http://schemas.openxmlformats.org/officeDocument/2006/relationships/hyperlink" Target="https://drive.google.com/open?id=1Ggwne6FhClLfHDLaniFGKfcevssvoYgQ7elRreZqWnY&amp;usp=drive_copy" TargetMode="External"/><Relationship Id="rId266" Type="http://schemas.openxmlformats.org/officeDocument/2006/relationships/hyperlink" Target="https://drive.google.com/open?id=10baP5j-2T_JSYMwfFwCs6CPVl4O06jIt9cqdrr9OtwE&amp;usp=drive_copy" TargetMode="External"/><Relationship Id="rId473" Type="http://schemas.openxmlformats.org/officeDocument/2006/relationships/hyperlink" Target="https://drive.google.com/open?id=1textdPLKRNVtJANbhHPgxAt4NsrEeA1Z1tf6lyoCQeg&amp;usp=drive_copy" TargetMode="External"/><Relationship Id="rId680" Type="http://schemas.openxmlformats.org/officeDocument/2006/relationships/hyperlink" Target="https://drive.google.com/open?id=1SHKyeAS5y0pkTm_BBpkaT4UN7_ASCZxIEVWJ_rfV6Jk&amp;usp=drive_copy" TargetMode="External"/><Relationship Id="rId901" Type="http://schemas.openxmlformats.org/officeDocument/2006/relationships/hyperlink" Target="https://drive.google.com/open?id=1_RlN0CKB4oFHtLfEPSJ_YfvD7h0DBUwU4T2yuUDA6aA&amp;usp=drive_copy" TargetMode="External"/><Relationship Id="rId30" Type="http://schemas.openxmlformats.org/officeDocument/2006/relationships/hyperlink" Target="https://docs.google.com/spreadsheets/d/1IREh9NizLiFYNuJ5NwQWP-XSMMvaD9IKBDeMk5oBAeI/edit?usp=sharing" TargetMode="External"/><Relationship Id="rId126" Type="http://schemas.openxmlformats.org/officeDocument/2006/relationships/hyperlink" Target="https://drive.google.com/open?id=1rtTNWNY9LpjZeUWyikVb8KbSfvtENrROve13kIkmVMk&amp;usp=drive_copy" TargetMode="External"/><Relationship Id="rId333" Type="http://schemas.openxmlformats.org/officeDocument/2006/relationships/hyperlink" Target="https://drive.google.com/open?id=1p9r9ZHTsIOZAQwuDiHReYmUzztPHbI4dg_hEC_4lG3Y&amp;usp=drive_copy" TargetMode="External"/><Relationship Id="rId540" Type="http://schemas.openxmlformats.org/officeDocument/2006/relationships/hyperlink" Target="https://drive.google.com/open?id=1I8C_UgjRaroa0SowO9lxKRWUEKhYffU47MZTZ2LS2Xw&amp;usp=drive_copy" TargetMode="External"/><Relationship Id="rId778" Type="http://schemas.openxmlformats.org/officeDocument/2006/relationships/hyperlink" Target="https://drive.google.com/open?id=1IMZkm8yKZby27A5acXdMX9BuSRfyc7XvRE9kjtzijxQ&amp;usp=drive_copy" TargetMode="External"/><Relationship Id="rId985" Type="http://schemas.openxmlformats.org/officeDocument/2006/relationships/hyperlink" Target="https://drive.google.com/open?id=1KkMWFV9F_Olf03N8cs2fRlYh5SN1vdZN38G08P3Ys-k&amp;usp=drive_copy" TargetMode="External"/><Relationship Id="rId638" Type="http://schemas.openxmlformats.org/officeDocument/2006/relationships/hyperlink" Target="https://drive.google.com/open?id=1f4WW9qVtuFPjrDhsFzzy7LYxpPaj0bfF8ZirxJlXjA0&amp;usp=drive_copy" TargetMode="External"/><Relationship Id="rId845" Type="http://schemas.openxmlformats.org/officeDocument/2006/relationships/hyperlink" Target="https://drive.google.com/open?id=1ZunsWjnXH-0PB8hBwvVNdCe1GRwXk_dwGjfOoEeEI-E&amp;usp=drive_copy" TargetMode="External"/><Relationship Id="rId1030" Type="http://schemas.openxmlformats.org/officeDocument/2006/relationships/hyperlink" Target="https://drive.google.com/open?id=1fyOZhUTnosGJ4s8TnmySKCKTgZ7tnssCaHs9nyUUHkU&amp;usp=drive_copy" TargetMode="External"/><Relationship Id="rId277" Type="http://schemas.openxmlformats.org/officeDocument/2006/relationships/hyperlink" Target="https://drive.google.com/open?id=1OhkZpAQmSa7eDZlcNCm4tpoVKg5llb1fotV9WHO8q6Q&amp;usp=drive_copy" TargetMode="External"/><Relationship Id="rId400" Type="http://schemas.openxmlformats.org/officeDocument/2006/relationships/hyperlink" Target="https://drive.google.com/open?id=1VtV1VuFXIUlrUnyhxzTLQHZn6W1o8vEdxdeLKZwOWDs&amp;usp=drive_copy" TargetMode="External"/><Relationship Id="rId484" Type="http://schemas.openxmlformats.org/officeDocument/2006/relationships/hyperlink" Target="https://drive.google.com/open?id=1jrewA50US-kcfwsHtGixg5WmlbNYmireP83_lqHx9qo&amp;usp=drive_copy" TargetMode="External"/><Relationship Id="rId705" Type="http://schemas.openxmlformats.org/officeDocument/2006/relationships/hyperlink" Target="https://drive.google.com/open?id=1tsl8mfgkSZosk35pnU1hGtMFXQDOUE44E0kBPsxi-d8&amp;usp=drive_copy" TargetMode="External"/><Relationship Id="rId137" Type="http://schemas.openxmlformats.org/officeDocument/2006/relationships/hyperlink" Target="https://drive.google.com/open?id=160mwCVwARWMQQn4nKh_XybjFtd9XBFLnLPGaCl9zHqA&amp;usp=drive_copy" TargetMode="External"/><Relationship Id="rId344" Type="http://schemas.openxmlformats.org/officeDocument/2006/relationships/hyperlink" Target="https://drive.google.com/open?id=1U3OXeXhbgaXTqO_-yUSfQiyA4NyEqttzT0DpZQKpNZM&amp;usp=drive_copy" TargetMode="External"/><Relationship Id="rId691" Type="http://schemas.openxmlformats.org/officeDocument/2006/relationships/hyperlink" Target="https://drive.google.com/open?id=1hj9Co6STaAQxdUSeZPqhGx7CfFMhdiHnGboJ9Knc1Fg&amp;usp=drive_copy" TargetMode="External"/><Relationship Id="rId789" Type="http://schemas.openxmlformats.org/officeDocument/2006/relationships/hyperlink" Target="https://drive.google.com/open?id=18JOOyJE4xNDoZvD4njVJUwTqiyb45Op1PtUsA1_Q0BM&amp;usp=drive_copy" TargetMode="External"/><Relationship Id="rId912" Type="http://schemas.openxmlformats.org/officeDocument/2006/relationships/hyperlink" Target="https://drive.google.com/open?id=1yMOLYb9iMFQeZGQLZTLsfmd4PiLm0glG1p5dxYVzzQo&amp;usp=drive_copy" TargetMode="External"/><Relationship Id="rId996" Type="http://schemas.openxmlformats.org/officeDocument/2006/relationships/hyperlink" Target="https://drive.google.com/open?id=1Vp9XSd4bFFHPTkZ3pBXqVAaqQ3D5HakYfXbBEzzxmXk&amp;usp=drive_copy" TargetMode="External"/><Relationship Id="rId41" Type="http://schemas.openxmlformats.org/officeDocument/2006/relationships/hyperlink" Target="https://docs.google.com/spreadsheets/d/1DKPgl5OJQ_2_CCepQjfg7nkhOkEMNm26ZdWwOgpRPP8/edit?usp=sharing" TargetMode="External"/><Relationship Id="rId551" Type="http://schemas.openxmlformats.org/officeDocument/2006/relationships/hyperlink" Target="https://drive.google.com/open?id=1BU0UUT5RNqv4BJFlEX9VuiIHltXkcSj7Uea1cuR_7ow&amp;usp=drive_copy" TargetMode="External"/><Relationship Id="rId649" Type="http://schemas.openxmlformats.org/officeDocument/2006/relationships/hyperlink" Target="https://drive.google.com/open?id=1HHMaOW5q5JLo5M5MsXlALoKdzRAY0aRZEMGnEerxrzM&amp;usp=drive_copy" TargetMode="External"/><Relationship Id="rId856" Type="http://schemas.openxmlformats.org/officeDocument/2006/relationships/hyperlink" Target="https://drive.google.com/open?id=1nBVPq7ay0513lbZ-WpWkih-to-LE1aXP6d8jXDeovKY&amp;usp=drive_copy" TargetMode="External"/><Relationship Id="rId190" Type="http://schemas.openxmlformats.org/officeDocument/2006/relationships/hyperlink" Target="https://drive.google.com/open?id=1N2b5eyYI6AWlfXQTEv_JxnPRRXHfsXF9RjK4Z3AUhcM&amp;usp=drive_copy" TargetMode="External"/><Relationship Id="rId204" Type="http://schemas.openxmlformats.org/officeDocument/2006/relationships/hyperlink" Target="https://drive.google.com/open?id=1-PkSCXaCqEA_VP1iUd0aZ4Dn8bKiT18hTPXtvMWMLOI&amp;usp=drive_copy" TargetMode="External"/><Relationship Id="rId288" Type="http://schemas.openxmlformats.org/officeDocument/2006/relationships/hyperlink" Target="https://drive.google.com/open?id=1GqkYkQuEJEjU5J0ZRInGet7apy2Crxxg2bkyABnVSs0&amp;usp=drive_copy" TargetMode="External"/><Relationship Id="rId411" Type="http://schemas.openxmlformats.org/officeDocument/2006/relationships/hyperlink" Target="https://drive.google.com/open?id=1mbTS3Bu6MS0ju-5srY3pPB5b8S95ojZrjyxgkkp-DiQ&amp;usp=drive_copy" TargetMode="External"/><Relationship Id="rId509" Type="http://schemas.openxmlformats.org/officeDocument/2006/relationships/hyperlink" Target="https://drive.google.com/open?id=1AlCJEWk90gOYN_FH1lIm3DFOtuZWqHqrk9efEBmlnME&amp;usp=drive_copy" TargetMode="External"/><Relationship Id="rId1041" Type="http://schemas.openxmlformats.org/officeDocument/2006/relationships/hyperlink" Target="https://drive.google.com/open?id=1MiyDZVUXj1utHEsf2iRrXi2eY-C05IHgCItJy3NjnaU&amp;usp=drive_copy" TargetMode="External"/><Relationship Id="rId495" Type="http://schemas.openxmlformats.org/officeDocument/2006/relationships/hyperlink" Target="https://drive.google.com/open?id=1p_OgapkWx-5HjNula4UeZfj080vtBkeuUCZ0IbnMiqw&amp;usp=drive_copy" TargetMode="External"/><Relationship Id="rId716" Type="http://schemas.openxmlformats.org/officeDocument/2006/relationships/hyperlink" Target="https://drive.google.com/open?id=15cU8phFe_v0WfxgLXoIIL-nMuKNfBi50Fu-YZUp_p1U&amp;usp=drive_copy" TargetMode="External"/><Relationship Id="rId923" Type="http://schemas.openxmlformats.org/officeDocument/2006/relationships/hyperlink" Target="https://drive.google.com/open?id=1RSm8btu3tw7llgbpmDPWH25n7KJAahHQqNmgb8cE86o&amp;usp=drive_copy" TargetMode="External"/><Relationship Id="rId52" Type="http://schemas.openxmlformats.org/officeDocument/2006/relationships/hyperlink" Target="https://docs.google.com/spreadsheets/d/19vyXBiiywcpbi_WIEqk-sTP5GqW3eBtIOf0PRlFuIaM/edit?usp=sharing" TargetMode="External"/><Relationship Id="rId148" Type="http://schemas.openxmlformats.org/officeDocument/2006/relationships/hyperlink" Target="https://drive.google.com/open?id=1C24n51dUAghWME3sjbKXDpU4l0jWyuZ8jJHxjN3_HL0&amp;usp=drive_copy" TargetMode="External"/><Relationship Id="rId355" Type="http://schemas.openxmlformats.org/officeDocument/2006/relationships/hyperlink" Target="https://drive.google.com/open?id=1aK8bRPBwSbG-NKbaP6D0bAEWum3Q8sPJXCBZv6Ea1l4&amp;usp=drive_copy" TargetMode="External"/><Relationship Id="rId562" Type="http://schemas.openxmlformats.org/officeDocument/2006/relationships/hyperlink" Target="https://drive.google.com/open?id=1EZZlf-oZkJOSuzCoedEqasBDz1cZkRN6OJBsdqLytVo&amp;usp=drive_copy" TargetMode="External"/><Relationship Id="rId215" Type="http://schemas.openxmlformats.org/officeDocument/2006/relationships/hyperlink" Target="https://drive.google.com/open?id=10ZQgOSd-0NV2Wu0yzlwduOcSejh5hy0ZK-G0ZfJqk5E&amp;usp=drive_copy" TargetMode="External"/><Relationship Id="rId422" Type="http://schemas.openxmlformats.org/officeDocument/2006/relationships/hyperlink" Target="https://drive.google.com/open?id=1wC7-pCxOkogy929zyEPMm6J8Gv-WrGvooR1dcUKkg-U&amp;usp=drive_copy" TargetMode="External"/><Relationship Id="rId867" Type="http://schemas.openxmlformats.org/officeDocument/2006/relationships/hyperlink" Target="https://drive.google.com/open?id=11TI1BDEzXRacvim_OptN4swWA3caAZIuUCXrMABeO7I&amp;usp=drive_copy" TargetMode="External"/><Relationship Id="rId299" Type="http://schemas.openxmlformats.org/officeDocument/2006/relationships/hyperlink" Target="https://drive.google.com/open?id=1ZmpHtiGG6GHbJ3t4f7m6mVz6YP-37MXVLkmgSzjbKqg&amp;usp=drive_copy" TargetMode="External"/><Relationship Id="rId727" Type="http://schemas.openxmlformats.org/officeDocument/2006/relationships/hyperlink" Target="https://drive.google.com/open?id=1GtMyGXZYhTZmt73tEue0FyKbQlpdxCgwlC3BHP5StoU&amp;usp=drive_copy" TargetMode="External"/><Relationship Id="rId934" Type="http://schemas.openxmlformats.org/officeDocument/2006/relationships/hyperlink" Target="https://drive.google.com/open?id=14AjmcSxFqO98I0h0kG6Pk1ZscuoTColeCO15tJvy1I4&amp;usp=drive_copy" TargetMode="External"/><Relationship Id="rId63" Type="http://schemas.openxmlformats.org/officeDocument/2006/relationships/hyperlink" Target="https://docs.google.com/spreadsheets/d/1NhTToGQ9cAKjYeEJfPeDGcsNE56h6SJh3yY5KqJsgxQ/edit?usp=sharing" TargetMode="External"/><Relationship Id="rId159" Type="http://schemas.openxmlformats.org/officeDocument/2006/relationships/hyperlink" Target="https://drive.google.com/open?id=1Jeqq8a6eQeAFJgcuEBZmj2cqIC2znoYyZT-OvV39pY4&amp;usp=drive_copy" TargetMode="External"/><Relationship Id="rId366" Type="http://schemas.openxmlformats.org/officeDocument/2006/relationships/hyperlink" Target="https://drive.google.com/open?id=1bTgNRyK39vkJ-4fk7f-e3fMLf-cXto449tmsgw762aE&amp;usp=drive_copy" TargetMode="External"/><Relationship Id="rId573" Type="http://schemas.openxmlformats.org/officeDocument/2006/relationships/hyperlink" Target="https://drive.google.com/open?id=13ss263b1v0zCi3a6DhT3Z7lXL24RgSPEnJ8zBbN4iKw&amp;usp=drive_copy" TargetMode="External"/><Relationship Id="rId780" Type="http://schemas.openxmlformats.org/officeDocument/2006/relationships/hyperlink" Target="https://drive.google.com/open?id=1VRx1_kzqtzOcQap8Edcli55mX_SZmlUdk6fdp24kplY&amp;usp=drive_copy" TargetMode="External"/><Relationship Id="rId226" Type="http://schemas.openxmlformats.org/officeDocument/2006/relationships/hyperlink" Target="https://drive.google.com/open?id=1Jk_5VSZ5FeXMMoESdIy82MTlH0QRHXsUPr3bwQLquuQ&amp;usp=drive_copy" TargetMode="External"/><Relationship Id="rId433" Type="http://schemas.openxmlformats.org/officeDocument/2006/relationships/hyperlink" Target="https://drive.google.com/open?id=1FXY-UNoP9j2BPz7MCmhsJ1Jz7t9AOhN-j2OWoMZ-7Uk&amp;usp=drive_copy" TargetMode="External"/><Relationship Id="rId878" Type="http://schemas.openxmlformats.org/officeDocument/2006/relationships/hyperlink" Target="https://drive.google.com/open?id=19yc9NmctTc2hyHNhanpq9BxpRXWOynRnf2imPsqdp28&amp;usp=drive_copy" TargetMode="External"/><Relationship Id="rId640" Type="http://schemas.openxmlformats.org/officeDocument/2006/relationships/hyperlink" Target="https://drive.google.com/open?id=1LVR1aPL1dAq6g8CXTg-Gmkmx3cph1OJTlXvJQKr4mBc&amp;usp=drive_copy" TargetMode="External"/><Relationship Id="rId738" Type="http://schemas.openxmlformats.org/officeDocument/2006/relationships/hyperlink" Target="https://drive.google.com/open?id=1mb1biGUdRjeJPMLsfv6DNq_8Xiud5nmDGHF308kq81g&amp;usp=drive_copy" TargetMode="External"/><Relationship Id="rId945" Type="http://schemas.openxmlformats.org/officeDocument/2006/relationships/hyperlink" Target="https://drive.google.com/open?id=1ctiHswOXHo3kzhA152GSX_39DI2sUMqj3xHK9Wqye9M&amp;usp=drive_copy" TargetMode="External"/><Relationship Id="rId74" Type="http://schemas.openxmlformats.org/officeDocument/2006/relationships/hyperlink" Target="https://docs.google.com/spreadsheets/d/1xQ7X23W5bprtCNGPNsX8mcA_ZLrBnEPDjNTe0J8h6l8/edit?usp=sharing" TargetMode="External"/><Relationship Id="rId377" Type="http://schemas.openxmlformats.org/officeDocument/2006/relationships/hyperlink" Target="https://drive.google.com/open?id=1O0M1GF9FrEXr-6GoeB3fHoQbQ_QU62b75nZ_eZovKBM&amp;usp=drive_copy" TargetMode="External"/><Relationship Id="rId500" Type="http://schemas.openxmlformats.org/officeDocument/2006/relationships/hyperlink" Target="https://drive.google.com/open?id=1vf9IH1TNEzD_gmwTsqRsxcuNdYEbaq1G0-xDRGPnyqs&amp;usp=drive_copy" TargetMode="External"/><Relationship Id="rId584" Type="http://schemas.openxmlformats.org/officeDocument/2006/relationships/hyperlink" Target="https://drive.google.com/open?id=1bHeKpf4EVsL3rafD5oed2cGiFdyJruYGBv-FzcLrm6g&amp;usp=drive_copy" TargetMode="External"/><Relationship Id="rId805" Type="http://schemas.openxmlformats.org/officeDocument/2006/relationships/hyperlink" Target="https://drive.google.com/open?id=1p7uvTMayYvM8cmBmRBJxovTB13d71VfVTxT69smOT0M&amp;usp=drive_copy" TargetMode="External"/><Relationship Id="rId5" Type="http://schemas.openxmlformats.org/officeDocument/2006/relationships/hyperlink" Target="https://docs.google.com/spreadsheets/d/1pbFwW_eopXMwzOxCr8aUIyhqOLIFi-1QqWmjWC8Xp7Q/edit?usp=sharing" TargetMode="External"/><Relationship Id="rId237" Type="http://schemas.openxmlformats.org/officeDocument/2006/relationships/hyperlink" Target="https://drive.google.com/open?id=1XvsihmVQFuIhNuYLr4ZY3pwe7z0DK2N9-5RGJzYmsxE&amp;usp=drive_copy" TargetMode="External"/><Relationship Id="rId791" Type="http://schemas.openxmlformats.org/officeDocument/2006/relationships/hyperlink" Target="https://drive.google.com/open?id=1J6vl1p7n0dc6Vxyb1AHnQXuduAlQzZ3KkmYCrMsBpXQ&amp;usp=drive_copy" TargetMode="External"/><Relationship Id="rId889" Type="http://schemas.openxmlformats.org/officeDocument/2006/relationships/hyperlink" Target="https://drive.google.com/open?id=1JX5AXL24KPqv1kxPnPeXQjYkHRZoOYrTG4bk8cOzoII&amp;usp=drive_copy" TargetMode="External"/><Relationship Id="rId444" Type="http://schemas.openxmlformats.org/officeDocument/2006/relationships/hyperlink" Target="https://drive.google.com/open?id=1hQI2FxHX0goMdg176Rs4Cpm0kQynLiAuwnCuwoGSY9s&amp;usp=drive_copy" TargetMode="External"/><Relationship Id="rId651" Type="http://schemas.openxmlformats.org/officeDocument/2006/relationships/hyperlink" Target="https://drive.google.com/open?id=1UBvQoTk4qsIOAJkXVur7USHEjzssCdKMaKqRNrM7BH4&amp;usp=drive_copy" TargetMode="External"/><Relationship Id="rId749" Type="http://schemas.openxmlformats.org/officeDocument/2006/relationships/hyperlink" Target="https://drive.google.com/open?id=1R9atTXRoPxBG287AvyjX6m06NzqLOeB8pjDu-WO2m2k&amp;usp=drive_copy" TargetMode="External"/><Relationship Id="rId290" Type="http://schemas.openxmlformats.org/officeDocument/2006/relationships/hyperlink" Target="https://drive.google.com/open?id=1SHUnS4dncNpz7YCd-hB6suWOY-kxE5GaGxxjn7571Oo&amp;usp=drive_copy" TargetMode="External"/><Relationship Id="rId304" Type="http://schemas.openxmlformats.org/officeDocument/2006/relationships/hyperlink" Target="https://drive.google.com/open?id=1Y8yBx_fF-SEJ2Rk10WMp0ZvBOfcYbS1064Q07Wm0wno&amp;usp=drive_copy" TargetMode="External"/><Relationship Id="rId388" Type="http://schemas.openxmlformats.org/officeDocument/2006/relationships/hyperlink" Target="https://drive.google.com/open?id=1u4Qs85Z2YWfr3FN8fpvzc1IKJqEijkVaqrG4bOuFOwM&amp;usp=drive_copy" TargetMode="External"/><Relationship Id="rId511" Type="http://schemas.openxmlformats.org/officeDocument/2006/relationships/hyperlink" Target="https://drive.google.com/open?id=1Osc1TlACMEIMn4XmQgWi2hFlB5ZBS9Nuo7CoJcYrF1I&amp;usp=drive_copy" TargetMode="External"/><Relationship Id="rId609" Type="http://schemas.openxmlformats.org/officeDocument/2006/relationships/hyperlink" Target="https://drive.google.com/open?id=1FH-j3S2Aaq3Gofr7IzXAg0_U45KFkdKOl7hx9rjOyPg&amp;usp=drive_copy" TargetMode="External"/><Relationship Id="rId956" Type="http://schemas.openxmlformats.org/officeDocument/2006/relationships/hyperlink" Target="https://drive.google.com/open?id=17eY4nROJpGsjg1W4voKbNn6KA0Puob4BAm6FRBK5jPQ&amp;usp=drive_copy" TargetMode="External"/><Relationship Id="rId85" Type="http://schemas.openxmlformats.org/officeDocument/2006/relationships/hyperlink" Target="https://docs.google.com/spreadsheets/d/1gEsEloOajdnAFVwhC1vaDfUSaQloLZZ5NQSG72no0a8/edit?usp=sharing" TargetMode="External"/><Relationship Id="rId150" Type="http://schemas.openxmlformats.org/officeDocument/2006/relationships/hyperlink" Target="https://drive.google.com/open?id=1EoaNMd42q4MFxfmg4M54yv37CFTdUayvvyc1t-QQQrY&amp;usp=drive_copy" TargetMode="External"/><Relationship Id="rId595" Type="http://schemas.openxmlformats.org/officeDocument/2006/relationships/hyperlink" Target="https://drive.google.com/open?id=1cqQPDYJshoAfoB9TRdfQY17UcIJ036j9FIUGLT35Mkg&amp;usp=drive_copy" TargetMode="External"/><Relationship Id="rId816" Type="http://schemas.openxmlformats.org/officeDocument/2006/relationships/hyperlink" Target="https://drive.google.com/open?id=11t1VkjBTaaNK_NdHKhawvQy0Rc9JhsgVEhXgftGm1Gs&amp;usp=drive_copy" TargetMode="External"/><Relationship Id="rId1001" Type="http://schemas.openxmlformats.org/officeDocument/2006/relationships/hyperlink" Target="https://drive.google.com/open?id=1X9977pSfw_8T_W2EuVY_pyF-dk1kRFmT3b_LiHa32eY&amp;usp=drive_copy" TargetMode="External"/><Relationship Id="rId248" Type="http://schemas.openxmlformats.org/officeDocument/2006/relationships/hyperlink" Target="https://drive.google.com/open?id=1fBKYLNch64XfKPNXo0qRVwGAGElTRl-N1CHAUKreBvs&amp;usp=drive_copy" TargetMode="External"/><Relationship Id="rId455" Type="http://schemas.openxmlformats.org/officeDocument/2006/relationships/hyperlink" Target="https://drive.google.com/open?id=1Quri5opIk3oNuE0qMxg-enBuT2fPJBEJoQHZThQaVGQ&amp;usp=drive_copy" TargetMode="External"/><Relationship Id="rId662" Type="http://schemas.openxmlformats.org/officeDocument/2006/relationships/hyperlink" Target="https://drive.google.com/open?id=1U1_WC00FR3s7Xqllgrk-nYX6bEswGj3ea0FaYR3S7rI&amp;usp=drive_copy" TargetMode="External"/><Relationship Id="rId12" Type="http://schemas.openxmlformats.org/officeDocument/2006/relationships/hyperlink" Target="https://docs.google.com/spreadsheets/d/1mb_BZPt2HMU-IcLb4vaK5c_CjHM23e3vhkmwItR5rAU/edit?usp=sharing" TargetMode="External"/><Relationship Id="rId108" Type="http://schemas.openxmlformats.org/officeDocument/2006/relationships/hyperlink" Target="https://drive.google.com/open?id=14PHFYBfwNIyFEI70LXz85hCHJNCd_-E4JiEYLXljb4U&amp;usp=drive_copy" TargetMode="External"/><Relationship Id="rId315" Type="http://schemas.openxmlformats.org/officeDocument/2006/relationships/hyperlink" Target="https://drive.google.com/open?id=13YSRYTciJoU95rV7WBPkBKL52TKOuw2safWr01Df0-g&amp;usp=drive_copy" TargetMode="External"/><Relationship Id="rId522" Type="http://schemas.openxmlformats.org/officeDocument/2006/relationships/hyperlink" Target="https://drive.google.com/open?id=1wxxu2GO_U-eppy_8UcrmaUsKrFVSuaW9Pl2oHDxuQ8M&amp;usp=drive_copy" TargetMode="External"/><Relationship Id="rId967" Type="http://schemas.openxmlformats.org/officeDocument/2006/relationships/hyperlink" Target="https://drive.google.com/open?id=1kPFo6TDQXKDGPrteAimylU3WQsHgpnNz-WLO3fkIkUQ&amp;usp=drive_copy" TargetMode="External"/><Relationship Id="rId96" Type="http://schemas.openxmlformats.org/officeDocument/2006/relationships/hyperlink" Target="https://docs.google.com/spreadsheets/d/1SFRqnqu-IIJQSxnEIhELKQyf3Iq3elYSOWiTz3lxelQ/edit?usp=sharing" TargetMode="External"/><Relationship Id="rId161" Type="http://schemas.openxmlformats.org/officeDocument/2006/relationships/hyperlink" Target="https://drive.google.com/open?id=1JrvEcBNIHds45QH3qMfqRQ_H-9ayBh5To_hJDicSlVE&amp;usp=drive_copy" TargetMode="External"/><Relationship Id="rId399" Type="http://schemas.openxmlformats.org/officeDocument/2006/relationships/hyperlink" Target="https://drive.google.com/open?id=11KSxHMGnoHkgZ0DLKwBfZft8R0qdo6rocjbz5kAT-ec&amp;usp=drive_copy" TargetMode="External"/><Relationship Id="rId827" Type="http://schemas.openxmlformats.org/officeDocument/2006/relationships/hyperlink" Target="https://drive.google.com/open?id=1ArTc1K8fu0f2BVdKP5gSH6pWa8ATK9XDeWY34kBBcM4&amp;usp=drive_copy" TargetMode="External"/><Relationship Id="rId1012" Type="http://schemas.openxmlformats.org/officeDocument/2006/relationships/hyperlink" Target="https://drive.google.com/open?id=1sTb2zaDnsrvopAxKPzSrbiCQ6KoxD9gMrwqhkHtnxMs&amp;usp=drive_copy" TargetMode="External"/><Relationship Id="rId259" Type="http://schemas.openxmlformats.org/officeDocument/2006/relationships/hyperlink" Target="https://drive.google.com/open?id=1k7dXBbFOVUnaY8cGkVNhZNLVJWVhuSnWIgfPvMcNjrY&amp;usp=drive_copy" TargetMode="External"/><Relationship Id="rId466" Type="http://schemas.openxmlformats.org/officeDocument/2006/relationships/hyperlink" Target="https://drive.google.com/open?id=1O5OIIO6A9Wl9qW8TUh5VgOVniNYpTvt3KJVJjPaO3IQ&amp;usp=drive_copy" TargetMode="External"/><Relationship Id="rId673" Type="http://schemas.openxmlformats.org/officeDocument/2006/relationships/hyperlink" Target="https://drive.google.com/open?id=1HgwxKJP6-XjGZYXnLuy-dAy8hCHXAspBVTq9KUkKxgA&amp;usp=drive_copy" TargetMode="External"/><Relationship Id="rId880" Type="http://schemas.openxmlformats.org/officeDocument/2006/relationships/hyperlink" Target="https://drive.google.com/open?id=1BoVERwmQ-a-yGG-PS5iIrmdlddaP1FQW59uBgpAPkUs&amp;usp=drive_copy" TargetMode="External"/><Relationship Id="rId23" Type="http://schemas.openxmlformats.org/officeDocument/2006/relationships/hyperlink" Target="https://docs.google.com/spreadsheets/d/13uvT7ht--uG714ac0UvaWP3zdnRerv07KIfGV_DeuiI/edit?usp=sharing" TargetMode="External"/><Relationship Id="rId119" Type="http://schemas.openxmlformats.org/officeDocument/2006/relationships/hyperlink" Target="https://drive.google.com/open?id=1V4yH_7ezu-rVrsvOpho86IBurptJI6IfVo1WT8tJzBI&amp;usp=drive_copy" TargetMode="External"/><Relationship Id="rId326" Type="http://schemas.openxmlformats.org/officeDocument/2006/relationships/hyperlink" Target="https://drive.google.com/open?id=1hbdePgcJfxdYIbmmQCKGKTkR0b1h2YZSc_zXl86g_VA&amp;usp=drive_copy" TargetMode="External"/><Relationship Id="rId533" Type="http://schemas.openxmlformats.org/officeDocument/2006/relationships/hyperlink" Target="https://drive.google.com/open?id=19OXvvJG73L7zFakAj-D78OPeowZrM1dVOLUKMWse13M&amp;usp=drive_copy" TargetMode="External"/><Relationship Id="rId978" Type="http://schemas.openxmlformats.org/officeDocument/2006/relationships/hyperlink" Target="https://drive.google.com/open?id=1Bq43Mn1CskIWPWHSVZzU_8PM_ZaluHA5dYV635n1lwA&amp;usp=drive_copy" TargetMode="External"/><Relationship Id="rId740" Type="http://schemas.openxmlformats.org/officeDocument/2006/relationships/hyperlink" Target="https://drive.google.com/open?id=1mWO9AEmxDWm4C2TVAo3lPzikYlFfBhdHUKgdSFb8h0Q&amp;usp=drive_copy" TargetMode="External"/><Relationship Id="rId838" Type="http://schemas.openxmlformats.org/officeDocument/2006/relationships/hyperlink" Target="https://drive.google.com/open?id=1QIzz8HYesPRmic6Qkc5-ebla4knJzqQHHpoOj4BbwI0&amp;usp=drive_copy" TargetMode="External"/><Relationship Id="rId1023" Type="http://schemas.openxmlformats.org/officeDocument/2006/relationships/hyperlink" Target="https://drive.google.com/open?id=1sPpECM-rL9ae2oTcbCokVyn1lkK79LtZ767loRcKsOo&amp;usp=drive_copy" TargetMode="External"/><Relationship Id="rId172" Type="http://schemas.openxmlformats.org/officeDocument/2006/relationships/hyperlink" Target="https://drive.google.com/open?id=1rmyKhBbN1Af6kfYBIrOuy2lf0HNARvUX1rj6V5C8IXc&amp;usp=drive_copy" TargetMode="External"/><Relationship Id="rId477" Type="http://schemas.openxmlformats.org/officeDocument/2006/relationships/hyperlink" Target="https://drive.google.com/open?id=1F2PMExuSAdbpUTObtEtPgjRIZ5ZpbRG3gZrgcYiHtEU&amp;usp=drive_copy" TargetMode="External"/><Relationship Id="rId600" Type="http://schemas.openxmlformats.org/officeDocument/2006/relationships/hyperlink" Target="https://drive.google.com/open?id=17kbKWMzjWXPAUvz-vPypeO3KNNGgrUZXvzztKfA-F84&amp;usp=drive_copy" TargetMode="External"/><Relationship Id="rId684" Type="http://schemas.openxmlformats.org/officeDocument/2006/relationships/hyperlink" Target="https://drive.google.com/open?id=1X8M_NgcJludMMtabQT_1et3zj9a_YUYut9f1tLdbY4A&amp;usp=drive_copy" TargetMode="External"/><Relationship Id="rId337" Type="http://schemas.openxmlformats.org/officeDocument/2006/relationships/hyperlink" Target="https://drive.google.com/open?id=1lwyss_7wMpUIv0Eb2qCb2YsEPlxjf0Fx4TJTyDHCL3Q&amp;usp=drive_copy" TargetMode="External"/><Relationship Id="rId891" Type="http://schemas.openxmlformats.org/officeDocument/2006/relationships/hyperlink" Target="https://drive.google.com/open?id=1NN1Kv0MfkYlHQUur9jCYPZ5bjPeTbmp8ZoqC6VmnXao&amp;usp=drive_copy" TargetMode="External"/><Relationship Id="rId905" Type="http://schemas.openxmlformats.org/officeDocument/2006/relationships/hyperlink" Target="https://drive.google.com/open?id=1pCy-7uCgNB6oTZL8D5rl2sClI77OeSEC0-Gmapc316U&amp;usp=drive_copy" TargetMode="External"/><Relationship Id="rId989" Type="http://schemas.openxmlformats.org/officeDocument/2006/relationships/hyperlink" Target="https://drive.google.com/open?id=1ekEFpD9xXi9Za6ydKgp1dK3cOzwLqtoRxwEOjmN053E&amp;usp=drive_copy" TargetMode="External"/><Relationship Id="rId34" Type="http://schemas.openxmlformats.org/officeDocument/2006/relationships/hyperlink" Target="https://docs.google.com/spreadsheets/d/1jkfM3Ow_URh5QCpEop8C3NcZlI-Kn4oNuniVaSYZU0g/edit?usp=sharing" TargetMode="External"/><Relationship Id="rId544" Type="http://schemas.openxmlformats.org/officeDocument/2006/relationships/hyperlink" Target="https://drive.google.com/open?id=1zqWk2RzD3ZISP5pEqRHV_UOKPxgiq3K2008z6ObDq-o&amp;usp=drive_copy" TargetMode="External"/><Relationship Id="rId751" Type="http://schemas.openxmlformats.org/officeDocument/2006/relationships/hyperlink" Target="https://drive.google.com/open?id=1HLBRY_1Lkamd5VGg5i5rIfoNxlv4N5eZyCauIpJV7UY&amp;usp=drive_copy" TargetMode="External"/><Relationship Id="rId849" Type="http://schemas.openxmlformats.org/officeDocument/2006/relationships/hyperlink" Target="https://drive.google.com/open?id=1hFRUOlfSu5TkfyULTbaFb_WXE3h6_xvfhVQx2Ms3gag&amp;usp=drive_copy" TargetMode="External"/><Relationship Id="rId183" Type="http://schemas.openxmlformats.org/officeDocument/2006/relationships/hyperlink" Target="https://drive.google.com/open?id=1WrO6d4_riEipMV3EXQ2EjXaQ2I5IYdIl5Mo4aYGadQg&amp;usp=drive_copy" TargetMode="External"/><Relationship Id="rId390" Type="http://schemas.openxmlformats.org/officeDocument/2006/relationships/hyperlink" Target="https://drive.google.com/open?id=14qyJ_PrmLfZMOf6cCWLpD4pKLNfTJMMpCu7ZEAopRsw&amp;usp=drive_copy" TargetMode="External"/><Relationship Id="rId404" Type="http://schemas.openxmlformats.org/officeDocument/2006/relationships/hyperlink" Target="https://drive.google.com/open?id=1ys5ZaRCPKm6HywLUjjjNnUBNtGBYBbvxhUHvFQ4qtXk&amp;usp=drive_copy" TargetMode="External"/><Relationship Id="rId611" Type="http://schemas.openxmlformats.org/officeDocument/2006/relationships/hyperlink" Target="https://drive.google.com/open?id=1rY1y9v9wU3tikCxYk5bZrEOXkSjSmrYf_42fVy3Wq3E&amp;usp=drive_copy" TargetMode="External"/><Relationship Id="rId1034" Type="http://schemas.openxmlformats.org/officeDocument/2006/relationships/hyperlink" Target="https://drive.google.com/open?id=1-NeEg7nf50XdGCSRBd2N1t-YTNjzk_8fBvgLsdFhFGU&amp;usp=drive_copy" TargetMode="External"/><Relationship Id="rId250" Type="http://schemas.openxmlformats.org/officeDocument/2006/relationships/hyperlink" Target="https://drive.google.com/open?id=1hudjfA1PESgxzvm0EBhX9fasftTYv54YJd2Ei6dRapM&amp;usp=drive_copy" TargetMode="External"/><Relationship Id="rId488" Type="http://schemas.openxmlformats.org/officeDocument/2006/relationships/hyperlink" Target="https://drive.google.com/open?id=1U_kPG4zCJtc6l-UJpJgBpPUPqFitSrp-l4jVTEIaJ24&amp;usp=drive_copy" TargetMode="External"/><Relationship Id="rId695" Type="http://schemas.openxmlformats.org/officeDocument/2006/relationships/hyperlink" Target="https://drive.google.com/open?id=1kEC64J6e8Q_50XIjvhn6Wp-Fcg0WzH9a4oBMGplL_Cc&amp;usp=drive_copy" TargetMode="External"/><Relationship Id="rId709" Type="http://schemas.openxmlformats.org/officeDocument/2006/relationships/hyperlink" Target="https://drive.google.com/open?id=1yvD9HB4uTA5FRBLn7oY7nGWyfIL40vf_kazLPp3z5VY&amp;usp=drive_copy" TargetMode="External"/><Relationship Id="rId916" Type="http://schemas.openxmlformats.org/officeDocument/2006/relationships/hyperlink" Target="https://drive.google.com/open?id=18AYpcdqW__Uj8oUK72dYYPB5Q2hpTfCpuTq7Cw18ztQ&amp;usp=drive_copy" TargetMode="External"/><Relationship Id="rId45" Type="http://schemas.openxmlformats.org/officeDocument/2006/relationships/hyperlink" Target="https://docs.google.com/spreadsheets/d/1l7feShSgrrgKEULxHUpZm9N6nbJu6Cvyk0aU_8xRLV0/edit?usp=sharing" TargetMode="External"/><Relationship Id="rId110" Type="http://schemas.openxmlformats.org/officeDocument/2006/relationships/hyperlink" Target="https://drive.google.com/open?id=16fLehssuVd-GMaM2DSjtd_PrXcBpzKOHjOJ7Iin75KU&amp;usp=drive_copy" TargetMode="External"/><Relationship Id="rId348" Type="http://schemas.openxmlformats.org/officeDocument/2006/relationships/hyperlink" Target="https://drive.google.com/open?id=1XZ0nOf_lIIurh_0YI6XJjrazj_ubPlOlFvi6ZJ7-62M&amp;usp=drive_copy" TargetMode="External"/><Relationship Id="rId555" Type="http://schemas.openxmlformats.org/officeDocument/2006/relationships/hyperlink" Target="https://drive.google.com/open?id=1RKYZkFFOssiMJvj3ZKK89rKRTdj2oQ5ZIGmHPlaWj8I&amp;usp=drive_copy" TargetMode="External"/><Relationship Id="rId762" Type="http://schemas.openxmlformats.org/officeDocument/2006/relationships/hyperlink" Target="https://drive.google.com/open?id=1_IlLrpMCR8JwfyVw7TeHCLEb5PHpLme-K6LRIFBUVm0&amp;usp=drive_copy" TargetMode="External"/><Relationship Id="rId194" Type="http://schemas.openxmlformats.org/officeDocument/2006/relationships/hyperlink" Target="https://drive.google.com/open?id=1U6kEjj_XDAOLOxEUaZbHGmj3dtJkSYFdJEZp8QL7Rb8&amp;usp=drive_copy" TargetMode="External"/><Relationship Id="rId208" Type="http://schemas.openxmlformats.org/officeDocument/2006/relationships/hyperlink" Target="https://drive.google.com/open?id=14GktVkRn0hcgPE5YqXFMiYhXUeLQl4jqYJtvFgF6hTU&amp;usp=drive_copy" TargetMode="External"/><Relationship Id="rId415" Type="http://schemas.openxmlformats.org/officeDocument/2006/relationships/hyperlink" Target="https://drive.google.com/open?id=1-Dx7y_31ZjX7fYtVRar7O_YSE4mdZnBmodjds8j_bgQ&amp;usp=drive_copy" TargetMode="External"/><Relationship Id="rId622" Type="http://schemas.openxmlformats.org/officeDocument/2006/relationships/hyperlink" Target="https://drive.google.com/open?id=1YnweNW4B4kDthnEB8i0Nt5ZWP1XzZsnFWKgnuP1ypk4&amp;usp=drive_copy" TargetMode="External"/><Relationship Id="rId1045" Type="http://schemas.openxmlformats.org/officeDocument/2006/relationships/comments" Target="../comments1.xml"/><Relationship Id="rId261" Type="http://schemas.openxmlformats.org/officeDocument/2006/relationships/hyperlink" Target="https://drive.google.com/open?id=1n9Aa6HxVngvQq50B4UTfv8sE_B-XeDhjObcHuM4I11E&amp;usp=drive_copy" TargetMode="External"/><Relationship Id="rId499" Type="http://schemas.openxmlformats.org/officeDocument/2006/relationships/hyperlink" Target="https://drive.google.com/open?id=1O-egH88Iib6M9rZre7M_JfG2fbOwBPlkGCSlQhpfDzg&amp;usp=drive_copy" TargetMode="External"/><Relationship Id="rId927" Type="http://schemas.openxmlformats.org/officeDocument/2006/relationships/hyperlink" Target="https://drive.google.com/open?id=1rE_ckqhKl7FSC5fenyBrcNODErnTSokKP3B0_36z4CY&amp;usp=drive_copy" TargetMode="External"/><Relationship Id="rId56" Type="http://schemas.openxmlformats.org/officeDocument/2006/relationships/hyperlink" Target="https://docs.google.com/spreadsheets/d/1CaV5OFRWvwBrRpGfp0vSeAMLH93QQMokzzePS-Py_G8/edit?usp=sharing" TargetMode="External"/><Relationship Id="rId359" Type="http://schemas.openxmlformats.org/officeDocument/2006/relationships/hyperlink" Target="https://drive.google.com/open?id=1Og3mVdnDiCjFpE9cXvXy66fPL0fhJjpQ-28U3d9XHf4&amp;usp=drive_copy" TargetMode="External"/><Relationship Id="rId566" Type="http://schemas.openxmlformats.org/officeDocument/2006/relationships/hyperlink" Target="https://drive.google.com/open?id=1RcvHn8UmSUJnVTdhZDqkVTd6AyOnH3nsRPYso4rouDk&amp;usp=drive_copy" TargetMode="External"/><Relationship Id="rId773" Type="http://schemas.openxmlformats.org/officeDocument/2006/relationships/hyperlink" Target="https://drive.google.com/open?id=1BlwP1IABydJc7mcPhy4Rz9nQT1QFO35n1_By8k9mMno&amp;usp=drive_copy" TargetMode="External"/><Relationship Id="rId121" Type="http://schemas.openxmlformats.org/officeDocument/2006/relationships/hyperlink" Target="https://drive.google.com/open?id=1hEZozbbt04pi8zcWWtApBLkiKCwsFW7GZPrEICLjDvs&amp;usp=drive_copy" TargetMode="External"/><Relationship Id="rId219" Type="http://schemas.openxmlformats.org/officeDocument/2006/relationships/hyperlink" Target="https://drive.google.com/open?id=1EjeRz5LjopaQ45gFnAY5NQCQpWc4QFs5vhI2fhhU_cA&amp;usp=drive_copy" TargetMode="External"/><Relationship Id="rId426" Type="http://schemas.openxmlformats.org/officeDocument/2006/relationships/hyperlink" Target="https://drive.google.com/open?id=17PMZXRQ_1B6Qqk7TdJ-LPPZxpEjiF7EJs8iczNpoijc&amp;usp=drive_copy" TargetMode="External"/><Relationship Id="rId633" Type="http://schemas.openxmlformats.org/officeDocument/2006/relationships/hyperlink" Target="https://drive.google.com/open?id=1-uT4_fCLFL6x8ngrsGxMr0SdOy_D5djhxqpz_vstw1c&amp;usp=drive_copy" TargetMode="External"/><Relationship Id="rId980" Type="http://schemas.openxmlformats.org/officeDocument/2006/relationships/hyperlink" Target="https://drive.google.com/open?id=1Mj88VmwjiSmHE8H5vF_BmqlUKbkSXPhyIef-g04zpMk&amp;usp=drive_copy" TargetMode="External"/><Relationship Id="rId840" Type="http://schemas.openxmlformats.org/officeDocument/2006/relationships/hyperlink" Target="https://drive.google.com/open?id=1R_kmgKHjC5dirWb3nEeOWZoW0lwdB2FKTN4qk-UUArg&amp;usp=drive_copy" TargetMode="External"/><Relationship Id="rId938" Type="http://schemas.openxmlformats.org/officeDocument/2006/relationships/hyperlink" Target="https://drive.google.com/open?id=1qCqj-iSsJPsQFZ560U3TOTy78w-l888Ydu7XQ3hU5hM&amp;usp=drive_copy" TargetMode="External"/><Relationship Id="rId67" Type="http://schemas.openxmlformats.org/officeDocument/2006/relationships/hyperlink" Target="https://docs.google.com/spreadsheets/d/15OGdoWojUHNFXiDfeU2kwF8VcDtq9WwspbU5tyRVpak/edit?usp=sharing" TargetMode="External"/><Relationship Id="rId272" Type="http://schemas.openxmlformats.org/officeDocument/2006/relationships/hyperlink" Target="https://drive.google.com/open?id=1xVwIVwhJZ1aLTQLS03BeQMS_wvvUh2wZfIX_cEuIWvY&amp;usp=drive_copy" TargetMode="External"/><Relationship Id="rId577" Type="http://schemas.openxmlformats.org/officeDocument/2006/relationships/hyperlink" Target="https://drive.google.com/open?id=1qi8RpRUilbwQp6yaE6A4fo9IsrE1w4X5EuFk7MfPJvw&amp;usp=drive_copy" TargetMode="External"/><Relationship Id="rId700" Type="http://schemas.openxmlformats.org/officeDocument/2006/relationships/hyperlink" Target="https://drive.google.com/open?id=1qSbpqhBnbT3tMzgcYUDNtl4jYShJmIvqrgwXWSJAw4I&amp;usp=drive_copy" TargetMode="External"/><Relationship Id="rId132" Type="http://schemas.openxmlformats.org/officeDocument/2006/relationships/hyperlink" Target="https://drive.google.com/open?id=10Zzf91qP1H2PDmRipKtckjdBJNkXcHj30vf15FYyiAA&amp;usp=drive_copy" TargetMode="External"/><Relationship Id="rId784" Type="http://schemas.openxmlformats.org/officeDocument/2006/relationships/hyperlink" Target="https://drive.google.com/open?id=11Qn454PLPLi2WuRzh9mhThVAZsUwRMRPJ2a4FL48tq4&amp;usp=drive_copy" TargetMode="External"/><Relationship Id="rId991" Type="http://schemas.openxmlformats.org/officeDocument/2006/relationships/hyperlink" Target="https://drive.google.com/open?id=1YiQnxI8HHD64PfzhO12VtbZTG1UoHBp5aEZ0BAgKhJM&amp;usp=drive_copy" TargetMode="External"/><Relationship Id="rId437" Type="http://schemas.openxmlformats.org/officeDocument/2006/relationships/hyperlink" Target="https://drive.google.com/open?id=1LqFLZW_eUurmtyfQLOzDSsHx14z9GnlepDz7V4O7uS8&amp;usp=drive_copy" TargetMode="External"/><Relationship Id="rId644" Type="http://schemas.openxmlformats.org/officeDocument/2006/relationships/hyperlink" Target="https://drive.google.com/open?id=1lvbdhkKJuzWiWwfKdmxnWYl3x7bLTrm7ud7dSIaqUtE&amp;usp=drive_copy" TargetMode="External"/><Relationship Id="rId851" Type="http://schemas.openxmlformats.org/officeDocument/2006/relationships/hyperlink" Target="https://drive.google.com/open?id=1iN8V6kILDpCOAUTUiY2gurcNtfqAKQwFaAYU2_j8xT0&amp;usp=drive_copy" TargetMode="External"/><Relationship Id="rId283" Type="http://schemas.openxmlformats.org/officeDocument/2006/relationships/hyperlink" Target="https://drive.google.com/open?id=1SvSKL8C75JPtL2AI67EGw9NrRz_8DeCqmRflP63W0HA&amp;usp=drive_copy" TargetMode="External"/><Relationship Id="rId490" Type="http://schemas.openxmlformats.org/officeDocument/2006/relationships/hyperlink" Target="https://drive.google.com/open?id=1IvGLXJoz7d75gHCbZLlH5wx6DhZu_UQO1BSisDEZXII&amp;usp=drive_copy" TargetMode="External"/><Relationship Id="rId504" Type="http://schemas.openxmlformats.org/officeDocument/2006/relationships/hyperlink" Target="https://drive.google.com/open?id=1XuQZNnibOyCytsARK_ziNOujKZT4jnSKfQXMe74mkpQ&amp;usp=drive_copy" TargetMode="External"/><Relationship Id="rId711" Type="http://schemas.openxmlformats.org/officeDocument/2006/relationships/hyperlink" Target="https://drive.google.com/open?id=12tatt3fXXJgU72IzH9B_W1uuNOmUjRYuA2iN4rIsRrk&amp;usp=drive_copy" TargetMode="External"/><Relationship Id="rId949" Type="http://schemas.openxmlformats.org/officeDocument/2006/relationships/hyperlink" Target="https://drive.google.com/open?id=1sriO7LK-YCbgERo-yBZZZuuhBm80zstjcD6_BDzydtY&amp;usp=drive_copy" TargetMode="External"/><Relationship Id="rId78" Type="http://schemas.openxmlformats.org/officeDocument/2006/relationships/hyperlink" Target="https://docs.google.com/spreadsheets/d/1Bla9-F0_9NEvH6RIKSx0MN5G8lakCSlubgPSo75sIjQ/edit?usp=sharing" TargetMode="External"/><Relationship Id="rId143" Type="http://schemas.openxmlformats.org/officeDocument/2006/relationships/hyperlink" Target="https://drive.google.com/open?id=19mvdKqjA3iNQhCYKdFz1K0ZTg-LZWhEycE1OuCt5jnQ&amp;usp=drive_copy" TargetMode="External"/><Relationship Id="rId350" Type="http://schemas.openxmlformats.org/officeDocument/2006/relationships/hyperlink" Target="https://drive.google.com/open?id=1RF_SaQ8OXRxtpMgTxwUdfOuwgKhTzVvKcjdfy5a-Q0o&amp;usp=drive_copy" TargetMode="External"/><Relationship Id="rId588" Type="http://schemas.openxmlformats.org/officeDocument/2006/relationships/hyperlink" Target="https://drive.google.com/open?id=1U9IhFiWSDuBKDWs_Q35FSL0yDRfuP0oq7UOlt7OUh4Y&amp;usp=drive_copy" TargetMode="External"/><Relationship Id="rId795" Type="http://schemas.openxmlformats.org/officeDocument/2006/relationships/hyperlink" Target="https://drive.google.com/open?id=1Pu4Zms7MKl4RvswRmnbczScpLk6wFSxSRxtfpMKaqIc&amp;usp=drive_copy" TargetMode="External"/><Relationship Id="rId809" Type="http://schemas.openxmlformats.org/officeDocument/2006/relationships/hyperlink" Target="https://drive.google.com/open?id=1wydgIhLcEgTNwZcbPqSh_ifapScHd3pZMv3hxIlHL5U&amp;usp=drive_copy" TargetMode="External"/><Relationship Id="rId9" Type="http://schemas.openxmlformats.org/officeDocument/2006/relationships/hyperlink" Target="https://docs.google.com/spreadsheets/d/1wTmDatKrvEnZbp6nvQFfhsoCwPVFl-smEnuXA3P29Rw/edit?usp=sharing" TargetMode="External"/><Relationship Id="rId210" Type="http://schemas.openxmlformats.org/officeDocument/2006/relationships/hyperlink" Target="https://drive.google.com/open?id=12gWK6tQNOTSZt94ws7BXA73VCpywG_LlVxI9ulMbO8E&amp;usp=drive_copy" TargetMode="External"/><Relationship Id="rId448" Type="http://schemas.openxmlformats.org/officeDocument/2006/relationships/hyperlink" Target="https://drive.google.com/open?id=1yhh5SIiKlDKerXM1zWFx3u6bfsWibIKjK8yjZy5wBwI&amp;usp=drive_copy" TargetMode="External"/><Relationship Id="rId655" Type="http://schemas.openxmlformats.org/officeDocument/2006/relationships/hyperlink" Target="https://drive.google.com/open?id=14zMP8wU-P9XDjEapTt2vNxCj7-A38ewKHzv8GbkMsEQ&amp;usp=drive_copy" TargetMode="External"/><Relationship Id="rId862" Type="http://schemas.openxmlformats.org/officeDocument/2006/relationships/hyperlink" Target="https://drive.google.com/open?id=1wdHweScfbL0EVUCVGK5VaH2M4EzFpkZ4OhyaDnZnXI8&amp;usp=drive_copy" TargetMode="External"/><Relationship Id="rId294" Type="http://schemas.openxmlformats.org/officeDocument/2006/relationships/hyperlink" Target="https://drive.google.com/open?id=1EfpRu0AWiuGZi-50E9z77xjsobE5vbJ4yk7Pv_htQlU&amp;usp=drive_copy" TargetMode="External"/><Relationship Id="rId308" Type="http://schemas.openxmlformats.org/officeDocument/2006/relationships/hyperlink" Target="https://drive.google.com/open?id=1r2igowZW-MNiaQKk3N14pNNARCuLmR3N_RVN2UXG0fc&amp;usp=drive_copy" TargetMode="External"/><Relationship Id="rId515" Type="http://schemas.openxmlformats.org/officeDocument/2006/relationships/hyperlink" Target="https://drive.google.com/open?id=1I7RkrNovslxB9JxiPXBExgVyzLZs3EkVNXTGrAx97qU&amp;usp=drive_copy" TargetMode="External"/><Relationship Id="rId722" Type="http://schemas.openxmlformats.org/officeDocument/2006/relationships/hyperlink" Target="https://drive.google.com/open?id=1Ai4ecMLhjaGxhxEnEqL64cjB3nkz5cSYB_zSZLIcE0k&amp;usp=drive_copy" TargetMode="External"/><Relationship Id="rId89" Type="http://schemas.openxmlformats.org/officeDocument/2006/relationships/hyperlink" Target="https://docs.google.com/spreadsheets/d/1rYE-oC22CjOtY3jfJIWxa7YKek6EXugqoq3cWQCzCyg/edit?usp=sharing" TargetMode="External"/><Relationship Id="rId154" Type="http://schemas.openxmlformats.org/officeDocument/2006/relationships/hyperlink" Target="https://drive.google.com/open?id=1HRxI6hz0luUE5zGREJtO7hMkntccRGx8FopS8oxozOk&amp;usp=drive_copy" TargetMode="External"/><Relationship Id="rId361" Type="http://schemas.openxmlformats.org/officeDocument/2006/relationships/hyperlink" Target="https://drive.google.com/open?id=1OFeUEHRjAsBnku94OcZF75jRFJ9XV4JaanumlcjbimY&amp;usp=drive_copy" TargetMode="External"/><Relationship Id="rId599" Type="http://schemas.openxmlformats.org/officeDocument/2006/relationships/hyperlink" Target="https://drive.google.com/open?id=1vJQhAHyCp0iYVhrC3FVecoPao5DKZVbzYlR0rdC8mug&amp;usp=drive_copy" TargetMode="External"/><Relationship Id="rId1005" Type="http://schemas.openxmlformats.org/officeDocument/2006/relationships/hyperlink" Target="https://drive.google.com/open?id=1DiW_pSLEOElRrUJuczGmCnjl1xFdIgPXD7UANxgRO04&amp;usp=drive_copy" TargetMode="External"/><Relationship Id="rId459" Type="http://schemas.openxmlformats.org/officeDocument/2006/relationships/hyperlink" Target="https://drive.google.com/open?id=1pAkRuvbyP7S49qfQYEnl6qBu_nFSTfzQ_s18PxCYCkI&amp;usp=drive_copy" TargetMode="External"/><Relationship Id="rId666" Type="http://schemas.openxmlformats.org/officeDocument/2006/relationships/hyperlink" Target="https://drive.google.com/open?id=1C3gI83EfwjXPAEk1x8HuqsYvPOf-XMjJTPVihXzB3LM&amp;usp=drive_copy" TargetMode="External"/><Relationship Id="rId873" Type="http://schemas.openxmlformats.org/officeDocument/2006/relationships/hyperlink" Target="https://drive.google.com/open?id=15gskuiLJ7NnwRC3YF9-7hGMug8sEDze5zbG9chymo6U&amp;usp=drive_copy" TargetMode="External"/><Relationship Id="rId16" Type="http://schemas.openxmlformats.org/officeDocument/2006/relationships/hyperlink" Target="https://docs.google.com/spreadsheets/d/1AkWfNG3UYk9CuV0j5d1__OQ_WVIg-e7aEfe28o2mRGI/edit?usp=sharing" TargetMode="External"/><Relationship Id="rId221" Type="http://schemas.openxmlformats.org/officeDocument/2006/relationships/hyperlink" Target="https://drive.google.com/open?id=1Fsx-5ZOCfCKVWOXLqp9p7s9qwc0IipvCRLJfiksv8n8&amp;usp=drive_copy" TargetMode="External"/><Relationship Id="rId319" Type="http://schemas.openxmlformats.org/officeDocument/2006/relationships/hyperlink" Target="https://drive.google.com/open?id=1nH62xTJNMa3X58-m-mj1l3cKnGDpbJbD-3xXHloHi90&amp;usp=drive_copy" TargetMode="External"/><Relationship Id="rId526" Type="http://schemas.openxmlformats.org/officeDocument/2006/relationships/hyperlink" Target="https://drive.google.com/open?id=1SJRubbY7l7dcgLIMPyI6le2_CBx4wVxVAE2kasxIm9Y&amp;usp=drive_copy" TargetMode="External"/><Relationship Id="rId733" Type="http://schemas.openxmlformats.org/officeDocument/2006/relationships/hyperlink" Target="https://drive.google.com/open?id=1v-LVk_FIVSQP6J1HbOw49lsrOQrwAMrqUGNvchMQ-RE&amp;usp=drive_copy" TargetMode="External"/><Relationship Id="rId940" Type="http://schemas.openxmlformats.org/officeDocument/2006/relationships/hyperlink" Target="https://drive.google.com/open?id=1gD0Ddy423CRu97oM004S2MfK70Xjt-7BpeLO-rPcpqU&amp;usp=drive_copy" TargetMode="External"/><Relationship Id="rId1016" Type="http://schemas.openxmlformats.org/officeDocument/2006/relationships/hyperlink" Target="https://drive.google.com/open?id=1ztvYGRzFuUHJJXOlbYuan0yQswk_YQTFCI1Zo_whx3w&amp;usp=drive_copy" TargetMode="External"/><Relationship Id="rId165" Type="http://schemas.openxmlformats.org/officeDocument/2006/relationships/hyperlink" Target="https://drive.google.com/open?id=1gjPzMk6r1lk_rGfRozFpEda6K5epzOqzLFAaYER5X3w&amp;usp=drive_copy" TargetMode="External"/><Relationship Id="rId372" Type="http://schemas.openxmlformats.org/officeDocument/2006/relationships/hyperlink" Target="https://drive.google.com/open?id=1ehTXtNyKxI8sdWQJRalOE7CkLNIHyFSzeDerlfvIjho&amp;usp=drive_copy" TargetMode="External"/><Relationship Id="rId677" Type="http://schemas.openxmlformats.org/officeDocument/2006/relationships/hyperlink" Target="https://drive.google.com/open?id=11kU6FZ9riH3rtFvnufRxnUW1LS2hCu-4EJLKiYufiUU&amp;usp=drive_copy" TargetMode="External"/><Relationship Id="rId800" Type="http://schemas.openxmlformats.org/officeDocument/2006/relationships/hyperlink" Target="https://drive.google.com/open?id=1dK-1GRWW7qKlqYsPMEacabrPGPnUBnoxVl4_b5qXxx0&amp;usp=drive_copy" TargetMode="External"/><Relationship Id="rId232" Type="http://schemas.openxmlformats.org/officeDocument/2006/relationships/hyperlink" Target="https://drive.google.com/open?id=1PixfsHZVJl09BlpcNdPDbSD8Y5E_kr-Y5Y90OrRDYIM&amp;usp=drive_copy" TargetMode="External"/><Relationship Id="rId884" Type="http://schemas.openxmlformats.org/officeDocument/2006/relationships/hyperlink" Target="https://drive.google.com/open?id=1DreTUPvjfwZfdMHJ0RV1WXRdDItjSBuo1SnpO1WX0Bg&amp;usp=drive_copy" TargetMode="External"/><Relationship Id="rId27" Type="http://schemas.openxmlformats.org/officeDocument/2006/relationships/hyperlink" Target="https://docs.google.com/spreadsheets/d/1tRA4RpPTeYIZVI8PYoYVplNI5uhZxIupTdN-noAYzTY/edit?usp=sharing" TargetMode="External"/><Relationship Id="rId537" Type="http://schemas.openxmlformats.org/officeDocument/2006/relationships/hyperlink" Target="https://drive.google.com/open?id=1GYquKqn3r0ZCMvCxQ0_dCzC-2h3S21njVFgNpsaEvEw&amp;usp=drive_copy" TargetMode="External"/><Relationship Id="rId744" Type="http://schemas.openxmlformats.org/officeDocument/2006/relationships/hyperlink" Target="https://drive.google.com/open?id=1dFYKnraWoB3WZ4MP41EP4ghyuPLXWsObUHIR97NukCk&amp;usp=drive_copy" TargetMode="External"/><Relationship Id="rId951" Type="http://schemas.openxmlformats.org/officeDocument/2006/relationships/hyperlink" Target="https://drive.google.com/open?id=14zvWB5Roxv0q_85N-nEiyWk_OkhDmpZrsew3o1AoIMY&amp;usp=drive_copy" TargetMode="External"/><Relationship Id="rId80" Type="http://schemas.openxmlformats.org/officeDocument/2006/relationships/hyperlink" Target="https://docs.google.com/spreadsheets/d/1o8FZaCsvodB69vWRZJS8nYL-5tVtDdmo4upTGixxcao/edit?usp=sharing" TargetMode="External"/><Relationship Id="rId176" Type="http://schemas.openxmlformats.org/officeDocument/2006/relationships/hyperlink" Target="https://drive.google.com/open?id=1wY0EQWBPA5XkGfdYi5TQrYeuM9fq39UgRZeQC3E-7NU&amp;usp=drive_copy" TargetMode="External"/><Relationship Id="rId383" Type="http://schemas.openxmlformats.org/officeDocument/2006/relationships/hyperlink" Target="https://drive.google.com/open?id=1N_WrHcr11qulhkAdEab8_wuC2B7JHCxGyuLUPO_BLz8&amp;usp=drive_copy" TargetMode="External"/><Relationship Id="rId590" Type="http://schemas.openxmlformats.org/officeDocument/2006/relationships/hyperlink" Target="https://drive.google.com/open?id=1_AAseG4k6qbmz9dnFEb5m4Wt2PHaxgFYS0EBaMH3BYM&amp;usp=drive_copy" TargetMode="External"/><Relationship Id="rId604" Type="http://schemas.openxmlformats.org/officeDocument/2006/relationships/hyperlink" Target="https://drive.google.com/open?id=1tsIodRSz24w_PZMtOuk1zD2qSUpuAIJOMNZBmszMLGI&amp;usp=drive_copy" TargetMode="External"/><Relationship Id="rId811" Type="http://schemas.openxmlformats.org/officeDocument/2006/relationships/hyperlink" Target="https://drive.google.com/open?id=1yVJSFzpNooqOgLJUGiWtKAZxsvOVpESm_ce_i1tvsvY&amp;usp=drive_copy" TargetMode="External"/><Relationship Id="rId1027" Type="http://schemas.openxmlformats.org/officeDocument/2006/relationships/hyperlink" Target="https://drive.google.com/open?id=1oduhaIf8fcwj-eWTKp7sVf9TAEuuoYJAHr0ygSM_pEo&amp;usp=drive_copy" TargetMode="External"/><Relationship Id="rId243" Type="http://schemas.openxmlformats.org/officeDocument/2006/relationships/hyperlink" Target="https://drive.google.com/open?id=1aPbxKEwoWAW89NUoyt5Dcy_08-96FShFe6vtAsXZh2o&amp;usp=drive_copy" TargetMode="External"/><Relationship Id="rId450" Type="http://schemas.openxmlformats.org/officeDocument/2006/relationships/hyperlink" Target="https://drive.google.com/open?id=10G9V0VEZprBs9Zf5LMvm7Gxcax3NI9VT_i5PbXq34wU&amp;usp=drive_copy" TargetMode="External"/><Relationship Id="rId688" Type="http://schemas.openxmlformats.org/officeDocument/2006/relationships/hyperlink" Target="https://drive.google.com/open?id=1djoBP-C5Fs3sKkR7aWKGCf9uZIcsDwipHMLKjW05Svc&amp;usp=drive_copy" TargetMode="External"/><Relationship Id="rId895" Type="http://schemas.openxmlformats.org/officeDocument/2006/relationships/hyperlink" Target="https://drive.google.com/open?id=1Pp76r7Ak4DuylWBxzrWd6SYxU6NF6ZiTCOTpZimQIJo&amp;usp=drive_copy" TargetMode="External"/><Relationship Id="rId909" Type="http://schemas.openxmlformats.org/officeDocument/2006/relationships/hyperlink" Target="https://drive.google.com/open?id=1upMbc2DOHsxHu_J0dPK37xsFchSINnXvgmYGT1j2Pcs&amp;usp=drive_copy" TargetMode="External"/><Relationship Id="rId38" Type="http://schemas.openxmlformats.org/officeDocument/2006/relationships/hyperlink" Target="https://docs.google.com/spreadsheets/d/1soxDTyCIvMXeAcorKNFbzHABCx_PqNab5bzfGd-64A4/edit?usp=sharing" TargetMode="External"/><Relationship Id="rId103" Type="http://schemas.openxmlformats.org/officeDocument/2006/relationships/hyperlink" Target="https://docs.google.com/spreadsheets/d/1gZ5dijV7J-SO8JaIDXQwuhoyxd7N0m6xVceIV7hOjaM/edit?usp=sharing" TargetMode="External"/><Relationship Id="rId310" Type="http://schemas.openxmlformats.org/officeDocument/2006/relationships/hyperlink" Target="https://drive.google.com/open?id=1wQ7Gp1aiuN3lQCKG1IF-1obOJ1fNlusp_nS6h4jRCvE&amp;usp=drive_copy" TargetMode="External"/><Relationship Id="rId548" Type="http://schemas.openxmlformats.org/officeDocument/2006/relationships/hyperlink" Target="https://drive.google.com/open?id=1Lkqbz3rBV8yB5jpHujxLdkQpr3Gb2Nmxp-CN8dwZ0W8&amp;usp=drive_copy" TargetMode="External"/><Relationship Id="rId755" Type="http://schemas.openxmlformats.org/officeDocument/2006/relationships/hyperlink" Target="https://drive.google.com/open?id=1CmuAZGYYfPT-pN3Q5YamQd_O0eWSCmuNl-kHlIwnRRM&amp;usp=drive_copy" TargetMode="External"/><Relationship Id="rId962" Type="http://schemas.openxmlformats.org/officeDocument/2006/relationships/hyperlink" Target="https://drive.google.com/open?id=1VhOX0eYYn9UW6tI66ExqgnezmRHghm1suLHL-YT9a34&amp;usp=drive_copy" TargetMode="External"/><Relationship Id="rId91" Type="http://schemas.openxmlformats.org/officeDocument/2006/relationships/hyperlink" Target="https://docs.google.com/spreadsheets/d/1JCBJ85vRz7dN4Gd7Fk9fUV2BLUA4_5mtokNwPYUDdvM/edit?usp=sharing" TargetMode="External"/><Relationship Id="rId187" Type="http://schemas.openxmlformats.org/officeDocument/2006/relationships/hyperlink" Target="https://drive.google.com/open?id=17qWmDGno2f-lqhJn0NXfqFhjW-rp-CZGjPw0JvZQt80&amp;usp=drive_copy" TargetMode="External"/><Relationship Id="rId394" Type="http://schemas.openxmlformats.org/officeDocument/2006/relationships/hyperlink" Target="https://drive.google.com/open?id=1Jj5otQeDso0D0uNQp3S1GmCwFSEJTRkMJh8BeAIHIhI&amp;usp=drive_copy" TargetMode="External"/><Relationship Id="rId408" Type="http://schemas.openxmlformats.org/officeDocument/2006/relationships/hyperlink" Target="https://drive.google.com/open?id=1lUao2wmxTiEifXpnMqbltOkOVEkCh5fAzJBy1_d5gY8&amp;usp=drive_copy" TargetMode="External"/><Relationship Id="rId615" Type="http://schemas.openxmlformats.org/officeDocument/2006/relationships/hyperlink" Target="https://drive.google.com/open?id=1CpcRgciqgAQrz5_BC2x-uy9_NNEMAfuy7JNhwF1hvqs&amp;usp=drive_copy" TargetMode="External"/><Relationship Id="rId822" Type="http://schemas.openxmlformats.org/officeDocument/2006/relationships/hyperlink" Target="https://drive.google.com/open?id=17Ko1LM4jIp6bwuXmNtHl8M-offEqBv4yzu9oM9psBEg&amp;usp=drive_copy" TargetMode="External"/><Relationship Id="rId1038" Type="http://schemas.openxmlformats.org/officeDocument/2006/relationships/hyperlink" Target="https://drive.google.com/open?id=1GS9yh4MIOl1HFEhjn8rVm8OzPUoBZg0WYu2bK_jBnpo&amp;usp=drive_copy" TargetMode="External"/><Relationship Id="rId254" Type="http://schemas.openxmlformats.org/officeDocument/2006/relationships/hyperlink" Target="https://drive.google.com/open?id=1r_4E1DJQBY0hYJ68f6K1LUruIPwYfjcgQ_f9QvwFH5c&amp;usp=drive_copy" TargetMode="External"/><Relationship Id="rId699" Type="http://schemas.openxmlformats.org/officeDocument/2006/relationships/hyperlink" Target="https://drive.google.com/open?id=1qLY0KcjOX7FusoNyiFZK5bq0p_3x_Id1dbASVWLawMY&amp;usp=drive_copy" TargetMode="External"/><Relationship Id="rId49" Type="http://schemas.openxmlformats.org/officeDocument/2006/relationships/hyperlink" Target="https://docs.google.com/spreadsheets/d/1tDGOr1-mQZ1j7enNWJkq4J-6UyRrxNp8PU4WHolfb4A/edit?usp=sharing" TargetMode="External"/><Relationship Id="rId114" Type="http://schemas.openxmlformats.org/officeDocument/2006/relationships/hyperlink" Target="https://drive.google.com/open?id=1HbDkQWBTrC4m6BP6mGZnpISwcXxH7rlaAYE9YshF_II&amp;usp=drive_copy" TargetMode="External"/><Relationship Id="rId461" Type="http://schemas.openxmlformats.org/officeDocument/2006/relationships/hyperlink" Target="https://drive.google.com/open?id=1DF6pTjy58c2gOtQ92YudUQxeF-1wog3DOU0cC6z8WDA&amp;usp=drive_copy" TargetMode="External"/><Relationship Id="rId559" Type="http://schemas.openxmlformats.org/officeDocument/2006/relationships/hyperlink" Target="https://drive.google.com/open?id=1I3AF19kK7L1mKBHF-HNiBhq5ToSl1LbuuMHzVkPdcUo&amp;usp=drive_copy" TargetMode="External"/><Relationship Id="rId766" Type="http://schemas.openxmlformats.org/officeDocument/2006/relationships/hyperlink" Target="https://drive.google.com/open?id=1v94-53gvuSh_eOtsRIWOB6PO1E4V8VWq4vyiZu3ilIE&amp;usp=drive_copy" TargetMode="External"/><Relationship Id="rId198" Type="http://schemas.openxmlformats.org/officeDocument/2006/relationships/hyperlink" Target="https://drive.google.com/open?id=1n5sWZltpsIm7cJhQVrF0clyV2ytJPBWzGhoGAnVcXNU&amp;usp=drive_copy" TargetMode="External"/><Relationship Id="rId321" Type="http://schemas.openxmlformats.org/officeDocument/2006/relationships/hyperlink" Target="https://drive.google.com/open?id=1nyt8JabHoQZBO5ILQhBG_Sj__zD2xgtWtYAOGnhypos&amp;usp=drive_copy" TargetMode="External"/><Relationship Id="rId419" Type="http://schemas.openxmlformats.org/officeDocument/2006/relationships/hyperlink" Target="https://drive.google.com/open?id=1uI7v9DVy6DgtP0OIaUYChG2cm3G-a0HSJYQR42y8gMk&amp;usp=drive_copy" TargetMode="External"/><Relationship Id="rId626" Type="http://schemas.openxmlformats.org/officeDocument/2006/relationships/hyperlink" Target="https://drive.google.com/open?id=1Zo85uBGE13Qzd5paM2axQ0Ii1YohyoFaI_-_A5HcCoc&amp;usp=drive_copy" TargetMode="External"/><Relationship Id="rId973" Type="http://schemas.openxmlformats.org/officeDocument/2006/relationships/hyperlink" Target="https://drive.google.com/open?id=1yjeF5-pkOGsYR_qPlRwkoxHwvdMtCJeEuOdytxXHgfs&amp;usp=drive_copy" TargetMode="External"/><Relationship Id="rId833" Type="http://schemas.openxmlformats.org/officeDocument/2006/relationships/hyperlink" Target="https://drive.google.com/open?id=1EynSOIKAIklDQNjxGcPnGAPAUZF6_G6cclZscB0oF1U&amp;usp=drive_copy" TargetMode="External"/><Relationship Id="rId265" Type="http://schemas.openxmlformats.org/officeDocument/2006/relationships/hyperlink" Target="https://drive.google.com/open?id=1sbWZJ_XxfiWrscuhfcTV-mv7Ts6hWGgMKhjjYhcnLjE&amp;usp=drive_copy" TargetMode="External"/><Relationship Id="rId472" Type="http://schemas.openxmlformats.org/officeDocument/2006/relationships/hyperlink" Target="https://drive.google.com/open?id=1sE7EY91rg-Qo4QCzZdiSZxPdIAcvdZwllQsfa9An0Ak&amp;usp=drive_copy" TargetMode="External"/><Relationship Id="rId900" Type="http://schemas.openxmlformats.org/officeDocument/2006/relationships/hyperlink" Target="https://drive.google.com/open?id=1ZAjs8uOUu7KESrx8g76IIGgkiTAegU2Tt0XLsaupjXk&amp;usp=drive_copy" TargetMode="External"/><Relationship Id="rId125" Type="http://schemas.openxmlformats.org/officeDocument/2006/relationships/hyperlink" Target="https://drive.google.com/open?id=1orFFrto1scfZ9mDQORWo96lHzeZL36XJm36lwAaox38&amp;usp=drive_copy" TargetMode="External"/><Relationship Id="rId332" Type="http://schemas.openxmlformats.org/officeDocument/2006/relationships/hyperlink" Target="https://drive.google.com/open?id=1oxOc09P3H6c3etcU2Cox3OmjdScC_NtBT9weDtr2OM0&amp;usp=drive_copy" TargetMode="External"/><Relationship Id="rId777" Type="http://schemas.openxmlformats.org/officeDocument/2006/relationships/hyperlink" Target="https://drive.google.com/open?id=15qvk2sQLMMWtLqCLn2YL-LAZOi6lcLH1svpqA0bhYiI&amp;usp=drive_copy" TargetMode="External"/><Relationship Id="rId984" Type="http://schemas.openxmlformats.org/officeDocument/2006/relationships/hyperlink" Target="https://drive.google.com/open?id=1ue2qeGje5VLC86p7V1m4P8ZaDfL6LC9A4hmmjrn0iSs&amp;usp=drive_copy" TargetMode="External"/><Relationship Id="rId637" Type="http://schemas.openxmlformats.org/officeDocument/2006/relationships/hyperlink" Target="https://drive.google.com/open?id=1Ow6tt7GgsGzVDcxAbmTaGwFSVWBWdbuF0NCB0Fa9u_I&amp;usp=drive_copy" TargetMode="External"/><Relationship Id="rId844" Type="http://schemas.openxmlformats.org/officeDocument/2006/relationships/hyperlink" Target="https://drive.google.com/open?id=1Z0IkKOp4cYidGPdsj94JisqcD0dMsoCFCUTH92Uz1P8&amp;usp=drive_copy" TargetMode="External"/><Relationship Id="rId276" Type="http://schemas.openxmlformats.org/officeDocument/2006/relationships/hyperlink" Target="https://drive.google.com/open?id=1LntP-_rHXhiJt7pzrWMylRoxHRo9Czlu5Sz3cUIMCrg&amp;usp=drive_copy" TargetMode="External"/><Relationship Id="rId483" Type="http://schemas.openxmlformats.org/officeDocument/2006/relationships/hyperlink" Target="https://drive.google.com/open?id=1fdwJYovOBm4GBatw7NoRxwhxeZgIgsktpsUFfDiQgdM&amp;usp=drive_copy" TargetMode="External"/><Relationship Id="rId690" Type="http://schemas.openxmlformats.org/officeDocument/2006/relationships/hyperlink" Target="https://drive.google.com/open?id=1hUu6hrodSNaoGtd6xwJ40UL3XVRZbrXOpkphpiJrEPw&amp;usp=drive_copy" TargetMode="External"/><Relationship Id="rId704" Type="http://schemas.openxmlformats.org/officeDocument/2006/relationships/hyperlink" Target="https://drive.google.com/open?id=1tLi36uvDnmqVH9TgaKuWyJvfbnSO90v1Rz6oqz_1QoQ&amp;usp=drive_copy" TargetMode="External"/><Relationship Id="rId911" Type="http://schemas.openxmlformats.org/officeDocument/2006/relationships/hyperlink" Target="https://drive.google.com/open?id=1wvernDXmT_2VrScpmuBFFqYiEp5inaacKpnz9OgbA7c&amp;usp=drive_copy" TargetMode="External"/><Relationship Id="rId40" Type="http://schemas.openxmlformats.org/officeDocument/2006/relationships/hyperlink" Target="https://docs.google.com/spreadsheets/d/1-rDlRbJ5aBoEgiO5iLXj-Ee6wVxKsfpXW-1RBx49hGQ/edit?usp=sharing" TargetMode="External"/><Relationship Id="rId136" Type="http://schemas.openxmlformats.org/officeDocument/2006/relationships/hyperlink" Target="https://drive.google.com/open?id=13zju-bIiFlXLoG38GhXwrj0pcNq_0PKACRFt4wNkVRU&amp;usp=drive_copy" TargetMode="External"/><Relationship Id="rId343" Type="http://schemas.openxmlformats.org/officeDocument/2006/relationships/hyperlink" Target="https://drive.google.com/open?id=1T4pmLI_UD2FFyn2DwaOSxDiHRY9oEfYkfnxHH8QmqxM&amp;usp=drive_copy" TargetMode="External"/><Relationship Id="rId550" Type="http://schemas.openxmlformats.org/officeDocument/2006/relationships/hyperlink" Target="https://drive.google.com/open?id=16MyVWQLNl7HMCmx8YWNFG_zmTXRoJ1gwvLsSTUWr_wg&amp;usp=drive_copy" TargetMode="External"/><Relationship Id="rId788" Type="http://schemas.openxmlformats.org/officeDocument/2006/relationships/hyperlink" Target="https://drive.google.com/open?id=16nOwJNZjj6axyzK5H8fPKZBhBLLYM3Q3bv2UD5YpI_U&amp;usp=drive_copy" TargetMode="External"/><Relationship Id="rId995" Type="http://schemas.openxmlformats.org/officeDocument/2006/relationships/hyperlink" Target="https://drive.google.com/open?id=17o-xDNHvJSK69tAcTwwjesRw5ogiJZi2LKam4LE6SLw&amp;usp=drive_copy" TargetMode="External"/><Relationship Id="rId203" Type="http://schemas.openxmlformats.org/officeDocument/2006/relationships/hyperlink" Target="https://drive.google.com/open?id=1zBfcx0TdF003nr_rzPiSnZ4drRXMsiwquWfhrFJ0A54&amp;usp=drive_copy" TargetMode="External"/><Relationship Id="rId648" Type="http://schemas.openxmlformats.org/officeDocument/2006/relationships/hyperlink" Target="https://drive.google.com/open?id=1DVU_uAKjdkGavMu_hijFuuToS4tOFsYkHQ0O7Lo-cPw&amp;usp=drive_copy" TargetMode="External"/><Relationship Id="rId855" Type="http://schemas.openxmlformats.org/officeDocument/2006/relationships/hyperlink" Target="https://drive.google.com/open?id=1lMZjxWXqAbgHw-PCv_Zz6wJogTEjdfThvWYzSt1Ghs8&amp;usp=drive_copy" TargetMode="External"/><Relationship Id="rId1040" Type="http://schemas.openxmlformats.org/officeDocument/2006/relationships/hyperlink" Target="https://drive.google.com/open?id=1gBEDRqZ-XUZ4pkRpGMoP6Zk6dOHbTSvD8I8Ya9tKuXc&amp;usp=drive_copy" TargetMode="External"/><Relationship Id="rId287" Type="http://schemas.openxmlformats.org/officeDocument/2006/relationships/hyperlink" Target="https://drive.google.com/open?id=1Es6h2bPMIK8HsDuzV7ioeTJf-2Khr8Dv68dgUc1gUFA&amp;usp=drive_copy" TargetMode="External"/><Relationship Id="rId410" Type="http://schemas.openxmlformats.org/officeDocument/2006/relationships/hyperlink" Target="https://drive.google.com/open?id=1XJHv7jdPLbc1XBDOi1nsvUH78PfcxrQOIpN8ZMCEnzs&amp;usp=drive_copy" TargetMode="External"/><Relationship Id="rId494" Type="http://schemas.openxmlformats.org/officeDocument/2006/relationships/hyperlink" Target="https://drive.google.com/open?id=1V6yu20UkgdKhMonMzjGUIWTYP2as6Onb-rGoh5RhXZk&amp;usp=drive_copy" TargetMode="External"/><Relationship Id="rId508" Type="http://schemas.openxmlformats.org/officeDocument/2006/relationships/hyperlink" Target="https://drive.google.com/open?id=1smYlJllyFxSDC7a-ozDjpGG1hoTNBhv6WlntctPNeto&amp;usp=drive_copy" TargetMode="External"/><Relationship Id="rId715" Type="http://schemas.openxmlformats.org/officeDocument/2006/relationships/hyperlink" Target="https://drive.google.com/open?id=15EG26otaYaMz5pLM2cwV__p3Hao_0saGDoTiGHY3n28&amp;usp=drive_copy" TargetMode="External"/><Relationship Id="rId922" Type="http://schemas.openxmlformats.org/officeDocument/2006/relationships/hyperlink" Target="https://drive.google.com/open?id=1MKr_jjc4GXU_Zmbncl1XMESpZh3TKe1CYRcrgEzOrc4&amp;usp=drive_copy" TargetMode="External"/><Relationship Id="rId147" Type="http://schemas.openxmlformats.org/officeDocument/2006/relationships/hyperlink" Target="https://drive.google.com/open?id=1BimylDMx5fgM9XP1o6hzt1LNhvXzNtxuwJksIdhWcdk&amp;usp=drive_copy" TargetMode="External"/><Relationship Id="rId354" Type="http://schemas.openxmlformats.org/officeDocument/2006/relationships/hyperlink" Target="https://drive.google.com/open?id=1ZIF5QzVr3TVMcW0EO7gHnYPOkn-Y0q2Godqr8sr-8LA&amp;usp=drive_copy" TargetMode="External"/><Relationship Id="rId799" Type="http://schemas.openxmlformats.org/officeDocument/2006/relationships/hyperlink" Target="https://drive.google.com/open?id=1bpanpWhQGFeHYhtox_A-JZcht_rFGNVfcwih-ljQgW8&amp;usp=drive_copy" TargetMode="External"/><Relationship Id="rId51" Type="http://schemas.openxmlformats.org/officeDocument/2006/relationships/hyperlink" Target="https://docs.google.com/spreadsheets/d/1zkVuN180kFTytWpzM39qPcl6YAl9Q2QmLu9jkwTktyA/edit?usp=sharing" TargetMode="External"/><Relationship Id="rId561" Type="http://schemas.openxmlformats.org/officeDocument/2006/relationships/hyperlink" Target="https://drive.google.com/open?id=1sGrah5s8iEACXhZq_fvr19mWahjeuT0zh2ZVftcP-3k&amp;usp=drive_copy" TargetMode="External"/><Relationship Id="rId659" Type="http://schemas.openxmlformats.org/officeDocument/2006/relationships/hyperlink" Target="https://drive.google.com/open?id=1Dk6MbPFSP5TugVSenmzuxwYGZyOxYX3l8PUwjiX__Es&amp;usp=drive_copy" TargetMode="External"/><Relationship Id="rId866" Type="http://schemas.openxmlformats.org/officeDocument/2006/relationships/hyperlink" Target="https://drive.google.com/open?id=10DOeXShPMSPnKnYFX7tLGdFEFi2xwBWCt9ByQDPQmr8&amp;usp=drive_copy" TargetMode="External"/><Relationship Id="rId214" Type="http://schemas.openxmlformats.org/officeDocument/2006/relationships/hyperlink" Target="https://drive.google.com/open?id=1mEfo-7STl9l7TDG-nmn0LLWcMxmNUWf5f-tIZ8daGaU&amp;usp=drive_copy" TargetMode="External"/><Relationship Id="rId298" Type="http://schemas.openxmlformats.org/officeDocument/2006/relationships/hyperlink" Target="https://drive.google.com/open?id=1SiaExMdZMm1Dni-vyfUNFOrWmmVsozZMLGGJM0q_hnQ&amp;usp=drive_copy" TargetMode="External"/><Relationship Id="rId421" Type="http://schemas.openxmlformats.org/officeDocument/2006/relationships/hyperlink" Target="https://drive.google.com/open?id=1wAOwX8JShRYK_TrAzJtVGPmWa5FvO7On8DSPnC018XQ&amp;usp=drive_copy" TargetMode="External"/><Relationship Id="rId519" Type="http://schemas.openxmlformats.org/officeDocument/2006/relationships/hyperlink" Target="https://drive.google.com/open?id=1X90azS6cpnwgPxZJZSS908nJMF-RJqkzZQmRNM-GSzU&amp;usp=drive_copy" TargetMode="External"/><Relationship Id="rId158" Type="http://schemas.openxmlformats.org/officeDocument/2006/relationships/hyperlink" Target="https://drive.google.com/open?id=1JNcgZ59fa_kKtT0fXm78eux6Um6S3Y8LBMXoUiGrf2w&amp;usp=drive_copy" TargetMode="External"/><Relationship Id="rId726" Type="http://schemas.openxmlformats.org/officeDocument/2006/relationships/hyperlink" Target="https://drive.google.com/open?id=1GKFZB2ZgLyj-2sXoNSsxZ7TMuEoz_6HUSJJCrNs6HGo&amp;usp=drive_copy" TargetMode="External"/><Relationship Id="rId933" Type="http://schemas.openxmlformats.org/officeDocument/2006/relationships/hyperlink" Target="https://drive.google.com/open?id=1FkaDDLgFi_H-nJcPFo2xv32OCp-8Si-OgH6LiYw4PAo&amp;usp=drive_copy" TargetMode="External"/><Relationship Id="rId1009" Type="http://schemas.openxmlformats.org/officeDocument/2006/relationships/hyperlink" Target="https://drive.google.com/open?id=1nAUeg8nhByjQyE0nbbrN4HQq6Kwe4JMO1lmKt7iyi3E&amp;usp=drive_copy" TargetMode="External"/><Relationship Id="rId62" Type="http://schemas.openxmlformats.org/officeDocument/2006/relationships/hyperlink" Target="https://docs.google.com/spreadsheets/d/10CETA8Tx5g2bYkmtdBoA79NYoAe7ZizCUArcBQ63XsI/edit?usp=sharing" TargetMode="External"/><Relationship Id="rId365" Type="http://schemas.openxmlformats.org/officeDocument/2006/relationships/hyperlink" Target="https://drive.google.com/open?id=1Qdkcu0bGP2GwNWE_f1ic2-g4KzvfN1l5y1NcBX5hZvk&amp;usp=drive_copy" TargetMode="External"/><Relationship Id="rId572" Type="http://schemas.openxmlformats.org/officeDocument/2006/relationships/hyperlink" Target="https://drive.google.com/open?id=1kFh-M-hT8ij3Uec8M8S6NZ1xdxzBrB7XYxkvhSPqxGU&amp;usp=drive_copy" TargetMode="External"/><Relationship Id="rId225" Type="http://schemas.openxmlformats.org/officeDocument/2006/relationships/hyperlink" Target="https://drive.google.com/open?id=1IpjbK_P7dAk_ICHRUCk0DpMxZOgclIBDIH9lpWsYM-E&amp;usp=drive_copy" TargetMode="External"/><Relationship Id="rId432" Type="http://schemas.openxmlformats.org/officeDocument/2006/relationships/hyperlink" Target="https://drive.google.com/open?id=1B0_xXXaZ8ZSCeiKzIlt_mubbOv9uwjelHVYI2_025Os&amp;usp=drive_copy" TargetMode="External"/><Relationship Id="rId877" Type="http://schemas.openxmlformats.org/officeDocument/2006/relationships/hyperlink" Target="https://drive.google.com/open?id=19FnX7C-DXErXS6trn4mjEWD4dtuoA1r-Qn99_iD6rnY&amp;usp=drive_copy" TargetMode="External"/><Relationship Id="rId737" Type="http://schemas.openxmlformats.org/officeDocument/2006/relationships/hyperlink" Target="https://drive.google.com/open?id=1sQstdyTWoH9wZivh1drMuerG_YTxIyrVkChnfl98yJA&amp;usp=drive_copy" TargetMode="External"/><Relationship Id="rId944" Type="http://schemas.openxmlformats.org/officeDocument/2006/relationships/hyperlink" Target="https://drive.google.com/open?id=1cJyH9G0xbvBMR_LB1KQIbph10iy8GP-WteejWLRZcuI&amp;usp=drive_copy" TargetMode="External"/><Relationship Id="rId73" Type="http://schemas.openxmlformats.org/officeDocument/2006/relationships/hyperlink" Target="https://docs.google.com/spreadsheets/d/1sQ40EaQXDWo9yWHueA9ZH28131agLuj7MnD-Sq7wbJI/edit?usp=sharing" TargetMode="External"/><Relationship Id="rId169" Type="http://schemas.openxmlformats.org/officeDocument/2006/relationships/hyperlink" Target="https://drive.google.com/open?id=1mRWp6cNSWVFM1mVPDKYl_lNOIvvSDoo0DPXuRJ6zqEA&amp;usp=drive_copy" TargetMode="External"/><Relationship Id="rId376" Type="http://schemas.openxmlformats.org/officeDocument/2006/relationships/hyperlink" Target="https://drive.google.com/open?id=1M4SpjUaM1L5pykCZK1fIbNtKEtSpv1PBHArHd0oBREc&amp;usp=drive_copy" TargetMode="External"/><Relationship Id="rId583" Type="http://schemas.openxmlformats.org/officeDocument/2006/relationships/hyperlink" Target="https://drive.google.com/open?id=1MabMWeb11l_jAiWX5XaI1pSiAKaScicTVXK6tjp2KlU&amp;usp=drive_copy" TargetMode="External"/><Relationship Id="rId790" Type="http://schemas.openxmlformats.org/officeDocument/2006/relationships/hyperlink" Target="https://drive.google.com/open?id=1BsififttxAm_ypQ-el1S57hWPDPtTR2E_7UlI0wFcqY&amp;usp=drive_copy" TargetMode="External"/><Relationship Id="rId804" Type="http://schemas.openxmlformats.org/officeDocument/2006/relationships/hyperlink" Target="https://drive.google.com/open?id=1mnKPLyxOXQjn0E0yqs9JJZB9JiLp2bqc7d7hf0T9ySM&amp;usp=drive_copy" TargetMode="External"/><Relationship Id="rId4" Type="http://schemas.openxmlformats.org/officeDocument/2006/relationships/hyperlink" Target="https://docs.google.com/spreadsheets/d/1OLSigPm7QKfN2jhQQW8zhuOO85ahX1EMJtyEMxUPcxM/edit?usp=sharing" TargetMode="External"/><Relationship Id="rId236" Type="http://schemas.openxmlformats.org/officeDocument/2006/relationships/hyperlink" Target="https://drive.google.com/open?id=1XBeelw9ucV4ytdCXxFLAtKpPLOvWqSDpL9PSFdCQDYA&amp;usp=drive_copy" TargetMode="External"/><Relationship Id="rId443" Type="http://schemas.openxmlformats.org/officeDocument/2006/relationships/hyperlink" Target="https://drive.google.com/open?id=1NBY0ZrUrZ0MdRN3p9Q17R9pb47g5c1fISG7knOlCmEE&amp;usp=drive_copy" TargetMode="External"/><Relationship Id="rId650" Type="http://schemas.openxmlformats.org/officeDocument/2006/relationships/hyperlink" Target="https://drive.google.com/open?id=1SOjXPypXqSXAHAEQPaFXljMmC25mCFzbBzRrsrA47ks&amp;usp=drive_copy" TargetMode="External"/><Relationship Id="rId888" Type="http://schemas.openxmlformats.org/officeDocument/2006/relationships/hyperlink" Target="https://drive.google.com/open?id=1J56tQGx5mtEW15sjHpVWJmBCL1_B-Xd1BtU1Ls_yCOc&amp;usp=drive_copy" TargetMode="External"/><Relationship Id="rId303" Type="http://schemas.openxmlformats.org/officeDocument/2006/relationships/hyperlink" Target="https://drive.google.com/open?id=1dzPt8b1d5eT0B7pQ_hU2et97TdFkZsm9N9j23a9t6EI&amp;usp=drive_copy" TargetMode="External"/><Relationship Id="rId748" Type="http://schemas.openxmlformats.org/officeDocument/2006/relationships/hyperlink" Target="https://drive.google.com/open?id=1VIZS6PLpEBV87yqgP2xbtMPHM7PwDFK09G6hhgPNXac&amp;usp=drive_copy" TargetMode="External"/><Relationship Id="rId955" Type="http://schemas.openxmlformats.org/officeDocument/2006/relationships/hyperlink" Target="https://drive.google.com/open?id=1TFECJJopodwekhtR2PKF9WgnAcBWKltb4U9QfBUHZFc&amp;usp=drive_copy" TargetMode="External"/><Relationship Id="rId84" Type="http://schemas.openxmlformats.org/officeDocument/2006/relationships/hyperlink" Target="https://docs.google.com/spreadsheets/d/1j7MrwdSrEECtRHzxeftUW1sX2DcvEoz1zQYzxjxQJ60/edit?usp=sharing" TargetMode="External"/><Relationship Id="rId387" Type="http://schemas.openxmlformats.org/officeDocument/2006/relationships/hyperlink" Target="https://drive.google.com/open?id=1tEb11G8oP1Jx-Kfa31rJ-h1KP8rn2Iubpc4EMuUj7Ew&amp;usp=drive_copy" TargetMode="External"/><Relationship Id="rId510" Type="http://schemas.openxmlformats.org/officeDocument/2006/relationships/hyperlink" Target="https://drive.google.com/open?id=1-kfmxs9yKJgS8-LGv2weDkxdMdtawqO7_cXAbtiItfo&amp;usp=drive_copy" TargetMode="External"/><Relationship Id="rId594" Type="http://schemas.openxmlformats.org/officeDocument/2006/relationships/hyperlink" Target="https://drive.google.com/open?id=1gp-STXwLZ7ksJXWsEH9Se3ppe-mCXxDjiCtHrDrGUi8&amp;usp=drive_copy" TargetMode="External"/><Relationship Id="rId608" Type="http://schemas.openxmlformats.org/officeDocument/2006/relationships/hyperlink" Target="https://drive.google.com/open?id=1z3ChhJSr0KAV7qa0nJKi1S70IRf1GlAzGnAG20UpG_o&amp;usp=drive_copy" TargetMode="External"/><Relationship Id="rId815" Type="http://schemas.openxmlformats.org/officeDocument/2006/relationships/hyperlink" Target="https://drive.google.com/open?id=11pSpAn6jZkEYXXgtUW34KYQKHn2n_QTc_Z9qr2r9go4&amp;usp=drive_copy" TargetMode="External"/><Relationship Id="rId247" Type="http://schemas.openxmlformats.org/officeDocument/2006/relationships/hyperlink" Target="https://drive.google.com/open?id=1eQfRi8k0tisrHhZXh7t6BKiuIbxVlL4ZebSu_6o7okk&amp;usp=drive_copy" TargetMode="External"/><Relationship Id="rId899" Type="http://schemas.openxmlformats.org/officeDocument/2006/relationships/hyperlink" Target="https://drive.google.com/open?id=1ZAh-POS4IjlD2tAMXbtHwClTdpqE6l1x6BjzrPbIuYc&amp;usp=drive_copy" TargetMode="External"/><Relationship Id="rId1000" Type="http://schemas.openxmlformats.org/officeDocument/2006/relationships/hyperlink" Target="https://drive.google.com/open?id=1aq8xfzCuk-0oCPc09GmTTT9HuSNJBLDrDEOg5pu7ePw&amp;usp=drive_copy" TargetMode="External"/><Relationship Id="rId107" Type="http://schemas.openxmlformats.org/officeDocument/2006/relationships/hyperlink" Target="https://drive.google.com/open?id=1GVr-0M9hcU_79EyI5DswcnDGE_b9NdSwX6WI63ieBLk&amp;usp=drive_copy" TargetMode="External"/><Relationship Id="rId454" Type="http://schemas.openxmlformats.org/officeDocument/2006/relationships/hyperlink" Target="https://drive.google.com/open?id=1P_Uq8atya55FYnsbDHIdfixgL_JvDhgnKD9mHAzvdNE&amp;usp=drive_copy" TargetMode="External"/><Relationship Id="rId661" Type="http://schemas.openxmlformats.org/officeDocument/2006/relationships/hyperlink" Target="https://drive.google.com/open?id=1RaH9-IZl5nEqWw3pdo4ZQv6320aAO4wRUIT7d_TA56o&amp;usp=drive_copy" TargetMode="External"/><Relationship Id="rId759" Type="http://schemas.openxmlformats.org/officeDocument/2006/relationships/hyperlink" Target="https://drive.google.com/open?id=1f6ybG6ihbTg_jrev_6wUmBWAyhFAx1rZDSZ0tzjcXB8&amp;usp=drive_copy" TargetMode="External"/><Relationship Id="rId966" Type="http://schemas.openxmlformats.org/officeDocument/2006/relationships/hyperlink" Target="https://drive.google.com/open?id=1UMn0T1328tuDd33dVst5TEXOEmomwule8U0dioZVhRM&amp;usp=drive_copy" TargetMode="External"/><Relationship Id="rId11" Type="http://schemas.openxmlformats.org/officeDocument/2006/relationships/hyperlink" Target="https://docs.google.com/spreadsheets/d/15WPjJJaiapTrjqvA8v70qJ9qqohXEXoqm8fjieBB7r8/edit?usp=sharing" TargetMode="External"/><Relationship Id="rId314" Type="http://schemas.openxmlformats.org/officeDocument/2006/relationships/hyperlink" Target="https://drive.google.com/open?id=10-e6i2Y1dJz7V0Ow6RYSOPsODg2DKNOiq-4_fCDRCow&amp;usp=drive_copy" TargetMode="External"/><Relationship Id="rId398" Type="http://schemas.openxmlformats.org/officeDocument/2006/relationships/hyperlink" Target="https://drive.google.com/open?id=1VIHyc81uNys5RoAfqoNDOA8KZkPHQ3WkTMo7867R4BA&amp;usp=drive_copy" TargetMode="External"/><Relationship Id="rId521" Type="http://schemas.openxmlformats.org/officeDocument/2006/relationships/hyperlink" Target="https://drive.google.com/open?id=1eyMPBGxaiboIcQ6K95OtPfpdspAsOr1gMiDm5eRw6Fg&amp;usp=drive_copy" TargetMode="External"/><Relationship Id="rId619" Type="http://schemas.openxmlformats.org/officeDocument/2006/relationships/hyperlink" Target="https://drive.google.com/open?id=1tJ9oaVdI4eBbESC0OH_aAq6lpZvnmI8SLOwxfCJ3yTk&amp;usp=drive_copy" TargetMode="External"/><Relationship Id="rId95" Type="http://schemas.openxmlformats.org/officeDocument/2006/relationships/hyperlink" Target="https://docs.google.com/spreadsheets/d/1SSPdi8fxUbr0OEnvMmcK7DpzlliSAFr09xptCauk0iY/edit?usp=sharing" TargetMode="External"/><Relationship Id="rId160" Type="http://schemas.openxmlformats.org/officeDocument/2006/relationships/hyperlink" Target="https://drive.google.com/open?id=1L5vtww-CHU4fACZrzXt5nk2pfWiLXeHt6bazKm20Y6s&amp;usp=drive_copy" TargetMode="External"/><Relationship Id="rId826" Type="http://schemas.openxmlformats.org/officeDocument/2006/relationships/hyperlink" Target="https://drive.google.com/open?id=19sZMWEMpwmjetMOFzSZeryqbWg-QjBLFuhGIAZ3F2II&amp;usp=drive_copy" TargetMode="External"/><Relationship Id="rId1011" Type="http://schemas.openxmlformats.org/officeDocument/2006/relationships/hyperlink" Target="https://drive.google.com/open?id=1r9KcGfp64Cwn68Cnl7E0UQdtQ63FYNp0ZDtxe8PfQi8&amp;usp=drive_copy" TargetMode="External"/><Relationship Id="rId258" Type="http://schemas.openxmlformats.org/officeDocument/2006/relationships/hyperlink" Target="https://drive.google.com/open?id=1h0da8XbNWNtnvc2iqgmLRYia5n8Ip5prEHOVJEHIFD4&amp;usp=drive_copy" TargetMode="External"/><Relationship Id="rId465" Type="http://schemas.openxmlformats.org/officeDocument/2006/relationships/hyperlink" Target="https://drive.google.com/open?id=15NnHwZNtdLvNa8kYHxaRq_aLhBMi5k1IUcV6fQmrbuw&amp;usp=drive_copy" TargetMode="External"/><Relationship Id="rId672" Type="http://schemas.openxmlformats.org/officeDocument/2006/relationships/hyperlink" Target="https://drive.google.com/open?id=1qzO6X1tKDTsOXKHHXgAWY0BThScdUBj-kN8SBlmt1kY&amp;usp=drive_copy" TargetMode="External"/><Relationship Id="rId22" Type="http://schemas.openxmlformats.org/officeDocument/2006/relationships/hyperlink" Target="https://docs.google.com/spreadsheets/d/1qwbmA1MrLWqNcPdslxbK_ce8Q5YJPeoHdSBT6eeR6Y0/edit?usp=sharing" TargetMode="External"/><Relationship Id="rId118" Type="http://schemas.openxmlformats.org/officeDocument/2006/relationships/hyperlink" Target="https://drive.google.com/open?id=1QxGgfCitr16o535x1d9UnMYRo9nTIkINAIMtBlh6o8c&amp;usp=drive_copy" TargetMode="External"/><Relationship Id="rId325" Type="http://schemas.openxmlformats.org/officeDocument/2006/relationships/hyperlink" Target="https://drive.google.com/open?id=1hpIaW6OPhu-Wzs4jCob0b3BJt3IFD0vHWxah8OTuuVQ&amp;usp=drive_copy" TargetMode="External"/><Relationship Id="rId532" Type="http://schemas.openxmlformats.org/officeDocument/2006/relationships/hyperlink" Target="https://drive.google.com/open?id=1zYL5bnFz5mu0SGSZvdxL0LUsjhwX4VzNaVuZnMUArCk&amp;usp=drive_copy" TargetMode="External"/><Relationship Id="rId977" Type="http://schemas.openxmlformats.org/officeDocument/2006/relationships/hyperlink" Target="https://drive.google.com/open?id=1TNTNRv981Yl3_UDj9snbr7qhrCIY4W-oZudH8Ubdoww&amp;usp=drive_copy" TargetMode="External"/><Relationship Id="rId171" Type="http://schemas.openxmlformats.org/officeDocument/2006/relationships/hyperlink" Target="https://drive.google.com/open?id=1qgLOwy0qMyZjypJatUEWeJiPf1ATQNjxTaHAxolzp48&amp;usp=drive_copy" TargetMode="External"/><Relationship Id="rId837" Type="http://schemas.openxmlformats.org/officeDocument/2006/relationships/hyperlink" Target="https://drive.google.com/open?id=1MafOfSGifK16z3HokW_RAoYg1UqD0vXESWIf4-UqBeE&amp;usp=drive_copy" TargetMode="External"/><Relationship Id="rId1022" Type="http://schemas.openxmlformats.org/officeDocument/2006/relationships/hyperlink" Target="https://drive.google.com/open?id=1m2oGMtfxLfiNjBvGTLFkpTzUTzOUo382KnAxilJGdhk&amp;usp=drive_copy" TargetMode="External"/><Relationship Id="rId269" Type="http://schemas.openxmlformats.org/officeDocument/2006/relationships/hyperlink" Target="https://drive.google.com/open?id=1vqcpIDfsJPgxHW6yf2s3coUSIobsgXr9ySfMuK_9-tA&amp;usp=drive_copy" TargetMode="External"/><Relationship Id="rId476" Type="http://schemas.openxmlformats.org/officeDocument/2006/relationships/hyperlink" Target="https://drive.google.com/open?id=1ApGxdJkropQH9b8abbEd0uNMhS1VXb_hUEjifOTPkIA&amp;usp=drive_copy" TargetMode="External"/><Relationship Id="rId683" Type="http://schemas.openxmlformats.org/officeDocument/2006/relationships/hyperlink" Target="https://drive.google.com/open?id=1fvNCC2t16Qfk_o9AkKJAv-d_2t-c3Xre99PuELZhPZI&amp;usp=drive_copy" TargetMode="External"/><Relationship Id="rId890" Type="http://schemas.openxmlformats.org/officeDocument/2006/relationships/hyperlink" Target="https://drive.google.com/open?id=1LqfVSef_aOuCX_dREDH3UXrgYQQU0JmKN_DM1HCw0RY&amp;usp=drive_copy" TargetMode="External"/><Relationship Id="rId904" Type="http://schemas.openxmlformats.org/officeDocument/2006/relationships/hyperlink" Target="https://drive.google.com/open?id=1jRR5WGplGtp1GxJxtUDW66MOWCeFhBhceNQS0tSCfKI&amp;usp=drive_copy" TargetMode="External"/><Relationship Id="rId33" Type="http://schemas.openxmlformats.org/officeDocument/2006/relationships/hyperlink" Target="https://docs.google.com/spreadsheets/d/1JDadAZ9sInAQxLvUtnYfZkukrKwMmqJhsII4hYz0RDQ/edit?usp=sharing" TargetMode="External"/><Relationship Id="rId129" Type="http://schemas.openxmlformats.org/officeDocument/2006/relationships/hyperlink" Target="https://drive.google.com/open?id=1xX2OCF10bCMG1NSt35BfuokC4pvbrNMI3vl4skht4QA&amp;usp=drive_copy" TargetMode="External"/><Relationship Id="rId336" Type="http://schemas.openxmlformats.org/officeDocument/2006/relationships/hyperlink" Target="https://drive.google.com/open?id=1lWcYdNugbKYhbj-NsLmjM1M7bBuXkOU_Z7TE6wmzidA&amp;usp=drive_copy" TargetMode="External"/><Relationship Id="rId543" Type="http://schemas.openxmlformats.org/officeDocument/2006/relationships/hyperlink" Target="https://drive.google.com/open?id=1uQ9JHX2PHGbkCLb3Nl-puhFM8TAyzueOIKu5LntVzUM&amp;usp=drive_copy" TargetMode="External"/><Relationship Id="rId988" Type="http://schemas.openxmlformats.org/officeDocument/2006/relationships/hyperlink" Target="https://drive.google.com/open?id=1HtUSkXQu9RYEKgAWQqmPbFTbzZkrb9t3uAmfHXapDII&amp;usp=drive_copy" TargetMode="External"/><Relationship Id="rId182" Type="http://schemas.openxmlformats.org/officeDocument/2006/relationships/hyperlink" Target="https://drive.google.com/open?id=1MF1fk8rVZIAco5Gnx8McsNwYVhLmA4lyw1YLhUMKXhU&amp;usp=drive_copy" TargetMode="External"/><Relationship Id="rId403" Type="http://schemas.openxmlformats.org/officeDocument/2006/relationships/hyperlink" Target="https://drive.google.com/open?id=1xI28XMduWiyRsQRuEg9pXhAKlm_zkHZsHtqs-pC4cOI&amp;usp=drive_copy" TargetMode="External"/><Relationship Id="rId750" Type="http://schemas.openxmlformats.org/officeDocument/2006/relationships/hyperlink" Target="https://drive.google.com/open?id=1J4OUfYVevYIkMTNs7PYRvwLNtypwqeEwHbNQuRVjSkY&amp;usp=drive_copy" TargetMode="External"/><Relationship Id="rId848" Type="http://schemas.openxmlformats.org/officeDocument/2006/relationships/hyperlink" Target="https://drive.google.com/open?id=1gGRTR4Lur6u0_zRESzBU7KW1TPl4P5Iv880bTU8SJBs&amp;usp=drive_copy" TargetMode="External"/><Relationship Id="rId1033" Type="http://schemas.openxmlformats.org/officeDocument/2006/relationships/hyperlink" Target="https://drive.google.com/open?id=1m9EJVnohl8ykmPyQm0Pl1-APfkFQXT33tLPGtmrrR18&amp;usp=drive_copy" TargetMode="External"/><Relationship Id="rId487" Type="http://schemas.openxmlformats.org/officeDocument/2006/relationships/hyperlink" Target="https://drive.google.com/open?id=1GXJycXRAsniebh4p2JAgv_fjiRPhZrrR90Ejy2Gi7wA&amp;usp=drive_copy" TargetMode="External"/><Relationship Id="rId610" Type="http://schemas.openxmlformats.org/officeDocument/2006/relationships/hyperlink" Target="https://drive.google.com/open?id=1rzdx9UAhbIRoxrMEutVUaRWfVqoguv6al7RHo09Q7qs&amp;usp=drive_copy" TargetMode="External"/><Relationship Id="rId694" Type="http://schemas.openxmlformats.org/officeDocument/2006/relationships/hyperlink" Target="https://drive.google.com/open?id=1k2CuP_y7KfJ3gCJ3lyOf7jIz04RA8pwtH9NE5aGpq24&amp;usp=drive_copy" TargetMode="External"/><Relationship Id="rId708" Type="http://schemas.openxmlformats.org/officeDocument/2006/relationships/hyperlink" Target="https://drive.google.com/open?id=1wT6WZdIiN8LNxd30Go1lN5h7VTkHLPq-9zqeQsl9DoM&amp;usp=drive_copy" TargetMode="External"/><Relationship Id="rId915" Type="http://schemas.openxmlformats.org/officeDocument/2006/relationships/hyperlink" Target="https://drive.google.com/open?id=180j7fWgZqA8Otl5yj05uFReYYKDtMlv7iRwSqorboWY&amp;usp=drive_copy" TargetMode="External"/><Relationship Id="rId347" Type="http://schemas.openxmlformats.org/officeDocument/2006/relationships/hyperlink" Target="https://drive.google.com/open?id=1XOOR8P92_AArpIzWPUqW3e7Ozp_SI-A1s85gzXPKDwc&amp;usp=drive_copy" TargetMode="External"/><Relationship Id="rId999" Type="http://schemas.openxmlformats.org/officeDocument/2006/relationships/hyperlink" Target="https://drive.google.com/open?id=1ZdKx-gRc7vXwqzxPiusLqIw3EvOaG9XKjXGP2XwAuqk&amp;usp=drive_copy" TargetMode="External"/><Relationship Id="rId44" Type="http://schemas.openxmlformats.org/officeDocument/2006/relationships/hyperlink" Target="https://docs.google.com/spreadsheets/d/1inBpI-Z0BO66TjIAGtxX2T7vUjYDbvpdEOxseMkvnT8/edit?usp=sharing" TargetMode="External"/><Relationship Id="rId554" Type="http://schemas.openxmlformats.org/officeDocument/2006/relationships/hyperlink" Target="https://drive.google.com/open?id=1fRTVWq5RsLQHXiDjB1uhc_0c6GRGIzAkt24qjlxFN5o&amp;usp=drive_copy" TargetMode="External"/><Relationship Id="rId761" Type="http://schemas.openxmlformats.org/officeDocument/2006/relationships/hyperlink" Target="https://drive.google.com/open?id=1JhCbbPaj6nNSi2eaVB4InnD5fX6_dRTCR5p9B1HiIDg&amp;usp=drive_copy" TargetMode="External"/><Relationship Id="rId859" Type="http://schemas.openxmlformats.org/officeDocument/2006/relationships/hyperlink" Target="https://drive.google.com/open?id=1tHtlj7siaMRBFfV83T5Uls4JNBSa964qoiCMchp-Uzs&amp;usp=drive_copy" TargetMode="External"/><Relationship Id="rId193" Type="http://schemas.openxmlformats.org/officeDocument/2006/relationships/hyperlink" Target="https://drive.google.com/open?id=1SnY-xXs5HOXNXveC_LuuiSk2pUsKAxuGGzLZ8RZFv9k&amp;usp=drive_copy" TargetMode="External"/><Relationship Id="rId207" Type="http://schemas.openxmlformats.org/officeDocument/2006/relationships/hyperlink" Target="https://drive.google.com/open?id=10r_UsZUdmg54QO7bo8serIG-MqG3xlhPZDRdK2r9Kpw&amp;usp=drive_copy" TargetMode="External"/><Relationship Id="rId414" Type="http://schemas.openxmlformats.org/officeDocument/2006/relationships/hyperlink" Target="https://drive.google.com/open?id=1mar7Gl-nlHAaQYOs5Hrjd_ZoB4W1yQWsAvHDIFO4ank&amp;usp=drive_copy" TargetMode="External"/><Relationship Id="rId498" Type="http://schemas.openxmlformats.org/officeDocument/2006/relationships/hyperlink" Target="https://drive.google.com/open?id=1um608jV13fNH1ZbjwoXwV-tSluf_VdhWse6cXP4D8hU&amp;usp=drive_copy" TargetMode="External"/><Relationship Id="rId621" Type="http://schemas.openxmlformats.org/officeDocument/2006/relationships/hyperlink" Target="https://drive.google.com/open?id=1GjupOWxtK-zw87q_JSH5PTCFprpcXdqguwBvEHPbSh8&amp;usp=drive_copy" TargetMode="External"/><Relationship Id="rId1044" Type="http://schemas.openxmlformats.org/officeDocument/2006/relationships/vmlDrawing" Target="../drawings/vmlDrawing1.vml"/><Relationship Id="rId260" Type="http://schemas.openxmlformats.org/officeDocument/2006/relationships/hyperlink" Target="https://drive.google.com/open?id=1mAI-2AuoIc-cvrKTWlOtSH-Vn_l2p76CjdS5TDlayT8&amp;usp=drive_copy" TargetMode="External"/><Relationship Id="rId719" Type="http://schemas.openxmlformats.org/officeDocument/2006/relationships/hyperlink" Target="https://drive.google.com/open?id=1AMMlmC4XUlbgzoCrfB4-yxj8d7N3Ikzdi15FYBbxP9g&amp;usp=drive_copy" TargetMode="External"/><Relationship Id="rId926" Type="http://schemas.openxmlformats.org/officeDocument/2006/relationships/hyperlink" Target="https://drive.google.com/open?id=1hwkAUAByOT0oYcNjrPJFJL25inXb2j0PllUvrBO5hvQ&amp;usp=drive_copy" TargetMode="External"/><Relationship Id="rId55" Type="http://schemas.openxmlformats.org/officeDocument/2006/relationships/hyperlink" Target="https://docs.google.com/spreadsheets/d/1tKqM1aTzQ7I8f6ncwehNxorI4OL67nR-0cPcq9IEHZE/edit?usp=sharing" TargetMode="External"/><Relationship Id="rId120" Type="http://schemas.openxmlformats.org/officeDocument/2006/relationships/hyperlink" Target="https://drive.google.com/open?id=1c7gv06DQzX8OMG64muBkEDU6ZJjbroMSSeWFQqiAAEQ&amp;usp=drive_copy" TargetMode="External"/><Relationship Id="rId358" Type="http://schemas.openxmlformats.org/officeDocument/2006/relationships/hyperlink" Target="https://drive.google.com/open?id=1c1kWZJ6TJz2qnu7YAzZ4WQdqgEDxu959vzQkAKsOzBI&amp;usp=drive_copy" TargetMode="External"/><Relationship Id="rId565" Type="http://schemas.openxmlformats.org/officeDocument/2006/relationships/hyperlink" Target="https://drive.google.com/open?id=188Cz7H5iEkxNMg9roX8vCsWndIEsyC3uohC-u-2_1FU&amp;usp=drive_copy" TargetMode="External"/><Relationship Id="rId772" Type="http://schemas.openxmlformats.org/officeDocument/2006/relationships/hyperlink" Target="https://drive.google.com/open?id=18MREpkqj7gVpqlVVe-iK76z3Qxj6yF_oKO7AfG2qXT0&amp;usp=drive_copy" TargetMode="External"/><Relationship Id="rId218" Type="http://schemas.openxmlformats.org/officeDocument/2006/relationships/hyperlink" Target="https://drive.google.com/open?id=1EU6FPBVs4_bHZk5YhLGRafEA6_g5xHbvZj8VG2o9qeY&amp;usp=drive_copy" TargetMode="External"/><Relationship Id="rId425" Type="http://schemas.openxmlformats.org/officeDocument/2006/relationships/hyperlink" Target="https://drive.google.com/open?id=15LwGcrE9V7r6eONxrF6shLmJZ32odris6qkdpZXNb8k&amp;usp=drive_copy" TargetMode="External"/><Relationship Id="rId632" Type="http://schemas.openxmlformats.org/officeDocument/2006/relationships/hyperlink" Target="https://drive.google.com/open?id=1Xb0r4Qtg6NAcXp3XGsicju53acBxOt5Rptgp4Q1quIY&amp;usp=drive_copy" TargetMode="External"/><Relationship Id="rId271" Type="http://schemas.openxmlformats.org/officeDocument/2006/relationships/hyperlink" Target="https://drive.google.com/open?id=1xoX4UWs_XJGjXdp-g9umMOGSZ3HZB4e9xmBRpmq07ik&amp;usp=drive_copy" TargetMode="External"/><Relationship Id="rId937" Type="http://schemas.openxmlformats.org/officeDocument/2006/relationships/hyperlink" Target="https://drive.google.com/open?id=1P30C7qC89zbuaidMCY1Hk2p00nfFb_PzLKl5HwA-xnU&amp;usp=drive_copy" TargetMode="External"/><Relationship Id="rId66" Type="http://schemas.openxmlformats.org/officeDocument/2006/relationships/hyperlink" Target="https://docs.google.com/spreadsheets/d/13rErnlCfxCiEtKMsQYLHvTwpmTRCXnNTzRIbjNzdOEE/edit?usp=sharing" TargetMode="External"/><Relationship Id="rId131" Type="http://schemas.openxmlformats.org/officeDocument/2006/relationships/hyperlink" Target="https://drive.google.com/open?id=10SsfHfjMWVVwwkAQdyfHcZnV2TxslEEFeE11YoZT14I&amp;usp=drive_copy" TargetMode="External"/><Relationship Id="rId369" Type="http://schemas.openxmlformats.org/officeDocument/2006/relationships/hyperlink" Target="https://drive.google.com/open?id=1cdSuyr-d86iL9kuHtngP0w4g8vgwBdMm9IB2dOWP-_8&amp;usp=drive_copy" TargetMode="External"/><Relationship Id="rId576" Type="http://schemas.openxmlformats.org/officeDocument/2006/relationships/hyperlink" Target="https://drive.google.com/open?id=1OkOJ9-fcwAxIY0UiNGHafkZR6crApqZVOZT7fs3rOh8&amp;usp=drive_copy" TargetMode="External"/><Relationship Id="rId783" Type="http://schemas.openxmlformats.org/officeDocument/2006/relationships/hyperlink" Target="https://drive.google.com/open?id=1wVihCEqK9oub6pMR7JEDElWSDWyEFx1YWo0ARiyhgcc&amp;usp=drive_copy" TargetMode="External"/><Relationship Id="rId990" Type="http://schemas.openxmlformats.org/officeDocument/2006/relationships/hyperlink" Target="https://drive.google.com/open?id=1_WtIIkGQDdKqwcFGDGeWAtD4cjTivdYvwKFjZk1obHA&amp;usp=drive_copy" TargetMode="External"/><Relationship Id="rId229" Type="http://schemas.openxmlformats.org/officeDocument/2006/relationships/hyperlink" Target="https://drive.google.com/open?id=1MCWYAfDexINng7XNBycVpbbjJ4zCkX3Uu46SR1hZ6EI&amp;usp=drive_copy" TargetMode="External"/><Relationship Id="rId436" Type="http://schemas.openxmlformats.org/officeDocument/2006/relationships/hyperlink" Target="https://drive.google.com/open?id=1Ku6IVJg6JSwAjBFTYmSAvpY8umlQSF_EevugWl3JX64&amp;usp=drive_copy" TargetMode="External"/><Relationship Id="rId643" Type="http://schemas.openxmlformats.org/officeDocument/2006/relationships/hyperlink" Target="https://drive.google.com/open?id=1fqX2rnwxnkl7OpLwjM8LgM7ahxyRsdrJL1xus5ReMp4&amp;usp=drive_copy" TargetMode="External"/><Relationship Id="rId850" Type="http://schemas.openxmlformats.org/officeDocument/2006/relationships/hyperlink" Target="https://drive.google.com/open?id=1hr4sEDv5ImRr72xB6QGjWoqkfIbcBtFGSs6Nzxs-iJo&amp;usp=drive_copy" TargetMode="External"/><Relationship Id="rId948" Type="http://schemas.openxmlformats.org/officeDocument/2006/relationships/hyperlink" Target="https://drive.google.com/open?id=1GCAPpFIfgtRLEPE5cXjUTuIQSSFK4GoNHcD-7Prx-i4&amp;usp=drive_copy" TargetMode="External"/><Relationship Id="rId77" Type="http://schemas.openxmlformats.org/officeDocument/2006/relationships/hyperlink" Target="https://docs.google.com/spreadsheets/d/16DJIlBw0Nb8RHzD_rV1mW0P61Ka_VUA33vdK-unwrRc/edit?usp=sharing" TargetMode="External"/><Relationship Id="rId282" Type="http://schemas.openxmlformats.org/officeDocument/2006/relationships/hyperlink" Target="https://drive.google.com/open?id=1R4017ykQ6WNTndHZCXTtl5SVSjMK56gg5ppQkqTA2rk&amp;usp=drive_copy" TargetMode="External"/><Relationship Id="rId503" Type="http://schemas.openxmlformats.org/officeDocument/2006/relationships/hyperlink" Target="https://drive.google.com/open?id=10DFYDDvNe3AZ4jpZx8gGBJWP8WiwHffFIRukjJi6Uw8&amp;usp=drive_copy" TargetMode="External"/><Relationship Id="rId587" Type="http://schemas.openxmlformats.org/officeDocument/2006/relationships/hyperlink" Target="https://drive.google.com/open?id=1gjojWKaW77IWMv44XbLSysOJaL7bE-RN3ZWpUdIommo&amp;usp=drive_copy" TargetMode="External"/><Relationship Id="rId710" Type="http://schemas.openxmlformats.org/officeDocument/2006/relationships/hyperlink" Target="https://drive.google.com/open?id=1-0X0HMeTQmIRCk_pJfwsz13RQ3KiqggzPT64BlsAfK8&amp;usp=drive_copy" TargetMode="External"/><Relationship Id="rId808" Type="http://schemas.openxmlformats.org/officeDocument/2006/relationships/hyperlink" Target="https://drive.google.com/open?id=1uFFREyj9FnrBR7QtVPEqYaXaViO_p0eGWshC7pUa8sY&amp;usp=drive_copy" TargetMode="External"/><Relationship Id="rId8" Type="http://schemas.openxmlformats.org/officeDocument/2006/relationships/hyperlink" Target="https://docs.google.com/spreadsheets/d/1Fmt3xTOqDakcaYdTYLKRHFZQiu-yqPrwjmAS2CwXYY8/edit?usp=sharing" TargetMode="External"/><Relationship Id="rId142" Type="http://schemas.openxmlformats.org/officeDocument/2006/relationships/hyperlink" Target="https://drive.google.com/open?id=19em8uyYuHZpV7EZI9rv_u0xfxQcUBavmiFpd7wOyhUs&amp;usp=drive_copy" TargetMode="External"/><Relationship Id="rId447" Type="http://schemas.openxmlformats.org/officeDocument/2006/relationships/hyperlink" Target="https://drive.google.com/open?id=1yBs1KJvR8yku7URbo6W8Er7IUlsdgx9l5z5Z2FxLw_g&amp;usp=drive_copy" TargetMode="External"/><Relationship Id="rId794" Type="http://schemas.openxmlformats.org/officeDocument/2006/relationships/hyperlink" Target="https://drive.google.com/open?id=1NXloLPdh5MiFLQRsbudsl6t9ZaJ0tBudRZhDhnbvPVM&amp;usp=drive_copy" TargetMode="External"/><Relationship Id="rId654" Type="http://schemas.openxmlformats.org/officeDocument/2006/relationships/hyperlink" Target="https://drive.google.com/open?id=1zMPB_qLJCPdy8KbBJ27lIU0enlk63xGUlGaT2u2Hsz4&amp;usp=drive_copy" TargetMode="External"/><Relationship Id="rId861" Type="http://schemas.openxmlformats.org/officeDocument/2006/relationships/hyperlink" Target="https://drive.google.com/open?id=1usiGc68IUfegekX67iDRg2CQD3p93OLTR-7dkGqC_hg&amp;usp=drive_copy" TargetMode="External"/><Relationship Id="rId959" Type="http://schemas.openxmlformats.org/officeDocument/2006/relationships/hyperlink" Target="https://drive.google.com/open?id=1Z2Ie-rgR-WHtE0QkZNjOOd5ecTpkBy3G6MqfhcutgL0&amp;usp=drive_copy" TargetMode="External"/><Relationship Id="rId293" Type="http://schemas.openxmlformats.org/officeDocument/2006/relationships/hyperlink" Target="https://drive.google.com/open?id=1D51xmYYsDlWkRFPh_MU2uGUmjNrYLMcOxoPoM89_OLg&amp;usp=drive_copy" TargetMode="External"/><Relationship Id="rId307" Type="http://schemas.openxmlformats.org/officeDocument/2006/relationships/hyperlink" Target="https://drive.google.com/open?id=1ebORm7--zDvIm4NamzjuPjOtUBAx5tZHACLcjK5Mq_c&amp;usp=drive_copy" TargetMode="External"/><Relationship Id="rId514" Type="http://schemas.openxmlformats.org/officeDocument/2006/relationships/hyperlink" Target="https://drive.google.com/open?id=13eMIV8XLrFIsrYh0yzSrWSulrLz-SVqY0-vlmEdsu_A&amp;usp=drive_copy" TargetMode="External"/><Relationship Id="rId721" Type="http://schemas.openxmlformats.org/officeDocument/2006/relationships/hyperlink" Target="https://drive.google.com/open?id=1AWtI7U2uCWMuOTWPTlQF3GEjxY7KA63HBrN6l_3QpVM&amp;usp=drive_copy" TargetMode="External"/><Relationship Id="rId88" Type="http://schemas.openxmlformats.org/officeDocument/2006/relationships/hyperlink" Target="https://docs.google.com/spreadsheets/d/1FCH0JLE4hJN_l0EMQoAl9dOslphzN8kKiPd0hrl6QhQ/edit?usp=sharing" TargetMode="External"/><Relationship Id="rId153" Type="http://schemas.openxmlformats.org/officeDocument/2006/relationships/hyperlink" Target="https://drive.google.com/open?id=1HPIyl5UtdBO-ymbxPudlDNqsab2jtEyizcVC86jtIPo&amp;usp=drive_copy" TargetMode="External"/><Relationship Id="rId360" Type="http://schemas.openxmlformats.org/officeDocument/2006/relationships/hyperlink" Target="https://drive.google.com/open?id=1OI0RdNMmZqRIPrr5sMuGO4qeAmlAlsu-4v37ggkdvKs&amp;usp=drive_copy" TargetMode="External"/><Relationship Id="rId598" Type="http://schemas.openxmlformats.org/officeDocument/2006/relationships/hyperlink" Target="https://drive.google.com/open?id=1qX1Cycb5q9fdejXxrC5tDEUuiRoPEL6lrlKM5_p1FK0&amp;usp=drive_copy" TargetMode="External"/><Relationship Id="rId819" Type="http://schemas.openxmlformats.org/officeDocument/2006/relationships/hyperlink" Target="https://drive.google.com/open?id=13kXOsLZnCg9HnW_SotthyrcIsOrNgMh5odIQqbEt0qc&amp;usp=drive_copy" TargetMode="External"/><Relationship Id="rId1004" Type="http://schemas.openxmlformats.org/officeDocument/2006/relationships/hyperlink" Target="https://drive.google.com/open?id=1aD66S7fa7G9sym6uAMjXVUDcezM9e12I2ff_EFj0kig&amp;usp=drive_copy" TargetMode="External"/><Relationship Id="rId220" Type="http://schemas.openxmlformats.org/officeDocument/2006/relationships/hyperlink" Target="https://drive.google.com/open?id=1FKcQjqLinauzehbSGs5V555Y3ChiwhHP6O0KoyrfEzg&amp;usp=drive_copy" TargetMode="External"/><Relationship Id="rId458" Type="http://schemas.openxmlformats.org/officeDocument/2006/relationships/hyperlink" Target="https://drive.google.com/open?id=1hOkzqveopZKmXwhuw5dIbaF0tXxatRAlQ7MbuFCOcf8&amp;usp=drive_copy" TargetMode="External"/><Relationship Id="rId665" Type="http://schemas.openxmlformats.org/officeDocument/2006/relationships/hyperlink" Target="https://drive.google.com/open?id=16D9Wl55OB5imzgP8lk5OmxpV70KoxgBndXqnbh48UTM&amp;usp=drive_copy" TargetMode="External"/><Relationship Id="rId872" Type="http://schemas.openxmlformats.org/officeDocument/2006/relationships/hyperlink" Target="https://drive.google.com/open?id=15IFNGbKEJeYtpqeWbn1f6_jWdkkm-_yApAbXMfPaFOg&amp;usp=drive_copy" TargetMode="External"/><Relationship Id="rId15" Type="http://schemas.openxmlformats.org/officeDocument/2006/relationships/hyperlink" Target="https://docs.google.com/spreadsheets/d/1DaYCZKPal0nRHm95UwYaToKm9sNEy-FRwVgkNCeHaOI/edit?usp=sharing" TargetMode="External"/><Relationship Id="rId318" Type="http://schemas.openxmlformats.org/officeDocument/2006/relationships/hyperlink" Target="https://drive.google.com/open?id=1ntJt78MMO8tHEAJei-fcRgs7q9llWOt0MnI-NMC4PjA&amp;usp=drive_copy" TargetMode="External"/><Relationship Id="rId525" Type="http://schemas.openxmlformats.org/officeDocument/2006/relationships/hyperlink" Target="https://drive.google.com/open?id=12aMFFPFGxnyKOAy28b8Yfg7kyBhhJJtpTDSjgPmE6wg&amp;usp=drive_copy" TargetMode="External"/><Relationship Id="rId732" Type="http://schemas.openxmlformats.org/officeDocument/2006/relationships/hyperlink" Target="https://drive.google.com/open?id=1yHOcB0P0-C8bbDp9y6_e3_QhPg-8swyMHSB4vAEEvvo&amp;usp=drive_copy" TargetMode="External"/><Relationship Id="rId99" Type="http://schemas.openxmlformats.org/officeDocument/2006/relationships/hyperlink" Target="https://docs.google.com/spreadsheets/d/1fVfSMimdy8MezBZ50Zhmr4f0zSBYX83QLeZsMK4qqq4/edit?usp=sharing" TargetMode="External"/><Relationship Id="rId164" Type="http://schemas.openxmlformats.org/officeDocument/2006/relationships/hyperlink" Target="https://drive.google.com/open?id=1kL6-1SfMeQDGwpswzdsMj0l4OJ7UXeB_xxxjKQALUjg&amp;usp=drive_copy" TargetMode="External"/><Relationship Id="rId371" Type="http://schemas.openxmlformats.org/officeDocument/2006/relationships/hyperlink" Target="https://drive.google.com/open?id=1cthv5jnBJlGdhZyvDCBx8gZP3C9tztTdSTf7burgAdU&amp;usp=drive_copy" TargetMode="External"/><Relationship Id="rId1015" Type="http://schemas.openxmlformats.org/officeDocument/2006/relationships/hyperlink" Target="https://drive.google.com/open?id=1zh2TuFV0FMAEYytBJUChBSc9SIJItqctq-QBvrPHvxM&amp;usp=drive_copy" TargetMode="External"/><Relationship Id="rId469" Type="http://schemas.openxmlformats.org/officeDocument/2006/relationships/hyperlink" Target="https://drive.google.com/open?id=1EB30-NWraVTcttYufI_3EUjC2_XjBUnFx8Ycb248MlE&amp;usp=drive_copy" TargetMode="External"/><Relationship Id="rId676" Type="http://schemas.openxmlformats.org/officeDocument/2006/relationships/hyperlink" Target="https://drive.google.com/open?id=1mOXbF6yfi6oNvpmZMbJmkg3T_Qp9tOva4cXGq7N9gM0&amp;usp=drive_copy" TargetMode="External"/><Relationship Id="rId883" Type="http://schemas.openxmlformats.org/officeDocument/2006/relationships/hyperlink" Target="https://drive.google.com/open?id=1DR4a8V1eMTqjMyeFxwmA12QFvAEKcMRA5SbChnS7qFo&amp;usp=drive_copy" TargetMode="External"/><Relationship Id="rId26" Type="http://schemas.openxmlformats.org/officeDocument/2006/relationships/hyperlink" Target="https://docs.google.com/spreadsheets/d/1r8elxg_xlILreh2P4w8j_EwCCYwUwtRBFcUPd9dVyqY/edit?usp=sharing" TargetMode="External"/><Relationship Id="rId231" Type="http://schemas.openxmlformats.org/officeDocument/2006/relationships/hyperlink" Target="https://drive.google.com/open?id=1P-hE-x-Nxd0tb3vcyrjzmtxs6VOeAGtQ7l_TrBZv7TU&amp;usp=drive_copy" TargetMode="External"/><Relationship Id="rId329" Type="http://schemas.openxmlformats.org/officeDocument/2006/relationships/hyperlink" Target="https://drive.google.com/open?id=1mMcWuFVAwZhxChwjTzrL6lEaJwmyg3DSMEy8jlJqa50&amp;usp=drive_copy" TargetMode="External"/><Relationship Id="rId536" Type="http://schemas.openxmlformats.org/officeDocument/2006/relationships/hyperlink" Target="https://drive.google.com/open?id=1MjSJ48VsUvAW9wEYhku_bTzxlU7EC2eYH8buDy7GMn0&amp;usp=drive_copy" TargetMode="External"/><Relationship Id="rId175" Type="http://schemas.openxmlformats.org/officeDocument/2006/relationships/hyperlink" Target="https://drive.google.com/open?id=1wMQbr05_r-X4uMyVsKJ8Ibj2ZQrvi7zlSBHbrv_H3VM&amp;usp=drive_copy" TargetMode="External"/><Relationship Id="rId743" Type="http://schemas.openxmlformats.org/officeDocument/2006/relationships/hyperlink" Target="https://drive.google.com/open?id=1dex4fmiuuWlVcHMMSrRcYibNGJHvdGqAj1gqWoj0SZo&amp;usp=drive_copy" TargetMode="External"/><Relationship Id="rId950" Type="http://schemas.openxmlformats.org/officeDocument/2006/relationships/hyperlink" Target="https://drive.google.com/open?id=1hxDcUiR2_OPCKIaNZNICweaP8lJDq3LaLREI0EBTJ2Q&amp;usp=drive_copy" TargetMode="External"/><Relationship Id="rId1026" Type="http://schemas.openxmlformats.org/officeDocument/2006/relationships/hyperlink" Target="https://drive.google.com/open?id=1tIX7CR72CMcniyd5f-f6DZd34NVygmN7eq59zwbplgE&amp;usp=drive_copy" TargetMode="External"/><Relationship Id="rId382" Type="http://schemas.openxmlformats.org/officeDocument/2006/relationships/hyperlink" Target="https://drive.google.com/open?id=1KoqX765PQvMj11X18mMNM4VPmmrkK8EJcvExQ1GZYrM&amp;usp=drive_copy" TargetMode="External"/><Relationship Id="rId603" Type="http://schemas.openxmlformats.org/officeDocument/2006/relationships/hyperlink" Target="https://drive.google.com/open?id=1MrejJrplIKDiOadU5wBIaPWbk_bEaP81_zrIL-04hKQ&amp;usp=drive_copy" TargetMode="External"/><Relationship Id="rId687" Type="http://schemas.openxmlformats.org/officeDocument/2006/relationships/hyperlink" Target="https://drive.google.com/open?id=1cL0YXRJErBHsz2Dcib-JJ3g-rV7waf3sC8Y2kKHtzBk&amp;usp=drive_copy" TargetMode="External"/><Relationship Id="rId810" Type="http://schemas.openxmlformats.org/officeDocument/2006/relationships/hyperlink" Target="https://drive.google.com/open?id=1xGj6NFbIzK3dda4h1VeMzV9oVdUVEjKq2_EsjFMj1ns&amp;usp=drive_copy" TargetMode="External"/><Relationship Id="rId908" Type="http://schemas.openxmlformats.org/officeDocument/2006/relationships/hyperlink" Target="https://drive.google.com/open?id=1rcN_QM9ff91-_lRk_nMKAGVj3BuhRP0rKJHmf6BMUDI&amp;usp=drive_copy" TargetMode="External"/><Relationship Id="rId242" Type="http://schemas.openxmlformats.org/officeDocument/2006/relationships/hyperlink" Target="https://drive.google.com/open?id=1_OC1x9LoKGkG1q2azWKy02arliNVRdFHPLG1bfvCfow&amp;usp=drive_copy" TargetMode="External"/><Relationship Id="rId894" Type="http://schemas.openxmlformats.org/officeDocument/2006/relationships/hyperlink" Target="https://drive.google.com/open?id=1Pp1Ghnniuzx4PhOej2_tv5nh-I-KZjV9hK2OKn10D-A&amp;usp=drive_copy" TargetMode="External"/><Relationship Id="rId37" Type="http://schemas.openxmlformats.org/officeDocument/2006/relationships/hyperlink" Target="https://docs.google.com/spreadsheets/d/1TiPT_Tsgnrlk4QJMQsGhAKbtPFE1hnk2JOocRVl6DIk/edit?usp=sharing" TargetMode="External"/><Relationship Id="rId102" Type="http://schemas.openxmlformats.org/officeDocument/2006/relationships/hyperlink" Target="https://docs.google.com/spreadsheets/d/12X9JD-AWbBkuWWezs5j-Wr8Pph2PVYUpR6vj5PVmvBw/edit?usp=sharing" TargetMode="External"/><Relationship Id="rId547" Type="http://schemas.openxmlformats.org/officeDocument/2006/relationships/hyperlink" Target="https://drive.google.com/open?id=1W_GCuGDf3OciGTTLCGHtEvG_4wtDNIC5o7RV4Jfcpwo&amp;usp=drive_copy" TargetMode="External"/><Relationship Id="rId754" Type="http://schemas.openxmlformats.org/officeDocument/2006/relationships/hyperlink" Target="https://drive.google.com/open?id=1GC_-EMnONn18eWpzwximFq5MMWMRoaBXdFM7ruWd1zM&amp;usp=drive_copy" TargetMode="External"/><Relationship Id="rId961" Type="http://schemas.openxmlformats.org/officeDocument/2006/relationships/hyperlink" Target="https://docs.google.com/spreadsheets/d/1x3trs2wSiz5ktdTSnKOmaf0SXagaoGxqKwbd6xwRG0c/edit?usp=drive_link" TargetMode="External"/><Relationship Id="rId90" Type="http://schemas.openxmlformats.org/officeDocument/2006/relationships/hyperlink" Target="https://docs.google.com/spreadsheets/d/1u7ZIaYWGVHH2cPOgN_F_C7OBcFxMFn74Mo5fl3kM_90/edit?usp=sharing" TargetMode="External"/><Relationship Id="rId186" Type="http://schemas.openxmlformats.org/officeDocument/2006/relationships/hyperlink" Target="https://drive.google.com/open?id=103KL_VjoShnKTLjchsuvs_etS-tYQqzNE8Dbs_m5QYo&amp;usp=drive_copy" TargetMode="External"/><Relationship Id="rId393" Type="http://schemas.openxmlformats.org/officeDocument/2006/relationships/hyperlink" Target="https://drive.google.com/open?id=1I1UhfpkW-m-1Bd3aBTNW7KA6LO60WjaHn23KnBRDhj4&amp;usp=drive_copy" TargetMode="External"/><Relationship Id="rId407" Type="http://schemas.openxmlformats.org/officeDocument/2006/relationships/hyperlink" Target="https://drive.google.com/open?id=1mNN0GGJA5oEitryJ21T-8euFGdM4BbxAOzlU3ZjgdIk&amp;usp=drive_copy" TargetMode="External"/><Relationship Id="rId614" Type="http://schemas.openxmlformats.org/officeDocument/2006/relationships/hyperlink" Target="https://drive.google.com/open?id=1E-39bO3bNSRhmNES2Fyy636-L9pMZTXgm9NWrYaIPv0&amp;usp=drive_copy" TargetMode="External"/><Relationship Id="rId821" Type="http://schemas.openxmlformats.org/officeDocument/2006/relationships/hyperlink" Target="https://drive.google.com/open?id=14P8BxsnIp5GPkBBcP9ANehw2qkofm97ZOqcXgzCog5s&amp;usp=drive_copy" TargetMode="External"/><Relationship Id="rId1037" Type="http://schemas.openxmlformats.org/officeDocument/2006/relationships/hyperlink" Target="https://drive.google.com/open?id=1hG1xZfWvrLZrkcDwtWpawuKV1-9Ijm0-E07otJ8fKBM&amp;usp=drive_copy" TargetMode="External"/><Relationship Id="rId253" Type="http://schemas.openxmlformats.org/officeDocument/2006/relationships/hyperlink" Target="https://drive.google.com/open?id=1ncnwZuMQy05fjCX98NBp_RkrmXPGyLpIea6g6mbazAg&amp;usp=drive_copy" TargetMode="External"/><Relationship Id="rId460" Type="http://schemas.openxmlformats.org/officeDocument/2006/relationships/hyperlink" Target="https://drive.google.com/open?id=1AmKlJCKlDYJv3JiCFuqGgTQzhBtrQMnBYY964lmsTYw&amp;usp=drive_copy" TargetMode="External"/><Relationship Id="rId698" Type="http://schemas.openxmlformats.org/officeDocument/2006/relationships/hyperlink" Target="https://drive.google.com/open?id=1nIgLQUqkTZWxzZ7wba4p4rdet2tZLGLBiBV7eCpag2s&amp;usp=drive_copy" TargetMode="External"/><Relationship Id="rId919" Type="http://schemas.openxmlformats.org/officeDocument/2006/relationships/hyperlink" Target="https://drive.google.com/open?id=1J4_dGJ0Evjsn88mrszCUSfHjg7Sv7ek2a9AdeLZNGcs&amp;usp=drive_copy" TargetMode="External"/><Relationship Id="rId48" Type="http://schemas.openxmlformats.org/officeDocument/2006/relationships/hyperlink" Target="https://docs.google.com/spreadsheets/d/1cgxhZHI42-wvnF_KMegFNiCeKEvgXbD0SY8Gb_CMSnk/edit?usp=sharing" TargetMode="External"/><Relationship Id="rId113" Type="http://schemas.openxmlformats.org/officeDocument/2006/relationships/hyperlink" Target="https://drive.google.com/open?id=1H_gw3ELahMZC8ASucf06ahSp52mLRSeuzs9WqLHuA2U&amp;usp=drive_copy" TargetMode="External"/><Relationship Id="rId320" Type="http://schemas.openxmlformats.org/officeDocument/2006/relationships/hyperlink" Target="https://drive.google.com/open?id=1_lZAeTR44NLPw8o0YVl4JkitOMzmqwe85Vai3zHQvHQ&amp;usp=drive_copy" TargetMode="External"/><Relationship Id="rId558" Type="http://schemas.openxmlformats.org/officeDocument/2006/relationships/hyperlink" Target="https://drive.google.com/open?id=1qz-QanfNnKYCuEUwecPOPU4pSGBcW0ts_uhGZXtaLs8&amp;usp=drive_copy" TargetMode="External"/><Relationship Id="rId765" Type="http://schemas.openxmlformats.org/officeDocument/2006/relationships/hyperlink" Target="https://drive.google.com/open?id=1g3hRnzu_zkX6M0lU4kh6wk94uChWtMO_sEGQT-791AA&amp;usp=drive_copy" TargetMode="External"/><Relationship Id="rId972" Type="http://schemas.openxmlformats.org/officeDocument/2006/relationships/hyperlink" Target="https://drive.google.com/open?id=19ZDN6-sAUd9J7XkAkFvRVoMzw1UnPWUn7WxMS0UCz04&amp;usp=drive_copy" TargetMode="External"/><Relationship Id="rId197" Type="http://schemas.openxmlformats.org/officeDocument/2006/relationships/hyperlink" Target="https://drive.google.com/open?id=1iuCdBVo6yQTl4ndwwoIEo4D2WdYc9qxKbP1EaXrMQLs&amp;usp=drive_copy" TargetMode="External"/><Relationship Id="rId418" Type="http://schemas.openxmlformats.org/officeDocument/2006/relationships/hyperlink" Target="https://drive.google.com/open?id=1rpNu8ZwX5PG5PcLz3S5O2mSzQ-fLjtS5QNCQLe-Muj0&amp;usp=drive_copy" TargetMode="External"/><Relationship Id="rId625" Type="http://schemas.openxmlformats.org/officeDocument/2006/relationships/hyperlink" Target="https://drive.google.com/open?id=1N86qmhiBNI30g8xIMC8S5jr-tLrobxNcnQ0iKzmN4WQ&amp;usp=drive_copy" TargetMode="External"/><Relationship Id="rId832" Type="http://schemas.openxmlformats.org/officeDocument/2006/relationships/hyperlink" Target="https://drive.google.com/open?id=1EWIatL9Gr0INVKf3Rfp92LzAebemE5P8CXHdt_LomZQ&amp;usp=drive_copy" TargetMode="External"/><Relationship Id="rId264" Type="http://schemas.openxmlformats.org/officeDocument/2006/relationships/hyperlink" Target="https://drive.google.com/open?id=1i_viCa1Ma0EfowXBQb0bgeYJxBglSuNcIB3Xq1pEsi0&amp;usp=drive_copy" TargetMode="External"/><Relationship Id="rId471" Type="http://schemas.openxmlformats.org/officeDocument/2006/relationships/hyperlink" Target="https://drive.google.com/open?id=1jhjuq4k1Sat4zS4c9e0ZJ0n-mHfTg_q_M33uzaEHqPQ&amp;usp=drive_copy" TargetMode="External"/><Relationship Id="rId59" Type="http://schemas.openxmlformats.org/officeDocument/2006/relationships/hyperlink" Target="https://docs.google.com/spreadsheets/d/1kh844CdPHfDcq7zmoZ_b7sjKyOsERJEfTDSosd9fBRU/edit?usp=sharing" TargetMode="External"/><Relationship Id="rId124" Type="http://schemas.openxmlformats.org/officeDocument/2006/relationships/hyperlink" Target="https://drive.google.com/open?id=1oXgW9d39z9Ms3zj6EQ_JgQZZGZMYRDeEVH0gGj1xLs8&amp;usp=drive_copy" TargetMode="External"/><Relationship Id="rId569" Type="http://schemas.openxmlformats.org/officeDocument/2006/relationships/hyperlink" Target="https://drive.google.com/open?id=10mbr-0vwM8kYmIfhGJyI31hWVUgazf863FXyTN0cu2A&amp;usp=drive_copy" TargetMode="External"/><Relationship Id="rId776" Type="http://schemas.openxmlformats.org/officeDocument/2006/relationships/hyperlink" Target="https://drive.google.com/open?id=13tlOIam5jvfpUcS-LUK1J1s9NXHkTmNyuik_xHu-9Qc&amp;usp=drive_copy" TargetMode="External"/><Relationship Id="rId983" Type="http://schemas.openxmlformats.org/officeDocument/2006/relationships/hyperlink" Target="https://drive.google.com/open?id=1y9Lgqg477ZAdlL1jQZOz5i-QPCgso97UZOvDZhm0aMg&amp;usp=drive_copy" TargetMode="External"/><Relationship Id="rId331" Type="http://schemas.openxmlformats.org/officeDocument/2006/relationships/hyperlink" Target="https://drive.google.com/open?id=1DI6KzFnPokmWGqcgy68XWI0vr-ytPKUTrVh8p7T3T8k&amp;usp=drive_copy" TargetMode="External"/><Relationship Id="rId429" Type="http://schemas.openxmlformats.org/officeDocument/2006/relationships/hyperlink" Target="https://drive.google.com/open?id=1LrWvHuQX6DHow6YrL92yJDBgCwhl25PX9bpU07Pltj8&amp;usp=drive_copy" TargetMode="External"/><Relationship Id="rId636" Type="http://schemas.openxmlformats.org/officeDocument/2006/relationships/hyperlink" Target="https://drive.google.com/open?id=10XjszphET9bNnbIftOpOD-2suLE-v-UImiLMdELar-A&amp;usp=drive_copy" TargetMode="External"/><Relationship Id="rId843" Type="http://schemas.openxmlformats.org/officeDocument/2006/relationships/hyperlink" Target="https://drive.google.com/open?id=1YLlvgfTuo2NZZkChUDmDqRmzzYZIhfhGyz2AW3J3xh4&amp;usp=drive_copy" TargetMode="External"/><Relationship Id="rId275" Type="http://schemas.openxmlformats.org/officeDocument/2006/relationships/hyperlink" Target="https://drive.google.com/open?id=1a6M75LEa0Mhn4ZyUiLyLZuTCwFWQ3H_ahBac0m_0iy8&amp;usp=drive_copy" TargetMode="External"/><Relationship Id="rId482" Type="http://schemas.openxmlformats.org/officeDocument/2006/relationships/hyperlink" Target="https://drive.google.com/open?id=1aj0nnqQJ8kdvSNyQQZ6Mx1y7gRbQZ64taRxAvkpPcnk&amp;usp=drive_copy" TargetMode="External"/><Relationship Id="rId703" Type="http://schemas.openxmlformats.org/officeDocument/2006/relationships/hyperlink" Target="https://drive.google.com/open?id=1sx5WVhXNy6607d3_U7jfG-NEgRH4psUo-61KtcyYKGY&amp;usp=drive_copy" TargetMode="External"/><Relationship Id="rId910" Type="http://schemas.openxmlformats.org/officeDocument/2006/relationships/hyperlink" Target="https://drive.google.com/open?id=1v0B78fGKszZ0MIaj-OsnW-lOHAaOl0XbwGzHp5U5K90&amp;usp=drive_copy" TargetMode="External"/><Relationship Id="rId135" Type="http://schemas.openxmlformats.org/officeDocument/2006/relationships/hyperlink" Target="https://drive.google.com/open?id=13o-MrHOy5GLcrolWE6M5psOzd-f1KxHoaJis0Yff9XE&amp;usp=drive_copy" TargetMode="External"/><Relationship Id="rId342" Type="http://schemas.openxmlformats.org/officeDocument/2006/relationships/hyperlink" Target="https://drive.google.com/open?id=1TkzLHbzxcPVx537kBW55zEu46XLYU1_bQM6apZhoGo0&amp;usp=drive_copy" TargetMode="External"/><Relationship Id="rId787" Type="http://schemas.openxmlformats.org/officeDocument/2006/relationships/hyperlink" Target="https://drive.google.com/open?id=164xIOjtl2axdo9kr5oxa8oPwHyE6tQgqB0rRsWfm_bE&amp;usp=drive_copy" TargetMode="External"/><Relationship Id="rId994" Type="http://schemas.openxmlformats.org/officeDocument/2006/relationships/hyperlink" Target="https://drive.google.com/open?id=13AMGlOKBAW-VZ8ToDUrrK6d4Xh26E-pLgYHTKTcAt_I&amp;usp=drive_copy" TargetMode="External"/><Relationship Id="rId202" Type="http://schemas.openxmlformats.org/officeDocument/2006/relationships/hyperlink" Target="https://drive.google.com/open?id=1sHX0KoJRZc74ISydtKpHe0VS4-7QQtWaOe8XLATipOk&amp;usp=drive_copy" TargetMode="External"/><Relationship Id="rId647" Type="http://schemas.openxmlformats.org/officeDocument/2006/relationships/hyperlink" Target="https://drive.google.com/open?id=1CNO3FmxgKA-FxJwmkspUa5fYz5eQrg3bHmt3-wYfS2w&amp;usp=drive_copy" TargetMode="External"/><Relationship Id="rId854" Type="http://schemas.openxmlformats.org/officeDocument/2006/relationships/hyperlink" Target="https://drive.google.com/open?id=1imT2Zwz9zf-XBmxV_g-zZwibwx9P-QFZPeT_cP-82FA&amp;usp=drive_copy" TargetMode="External"/><Relationship Id="rId286" Type="http://schemas.openxmlformats.org/officeDocument/2006/relationships/hyperlink" Target="https://drive.google.com/open?id=1VBIFWNzu4ZyE7Y8gI-koV7eH1KkE2kYEabvwLkoyQHA&amp;usp=drive_copy" TargetMode="External"/><Relationship Id="rId493" Type="http://schemas.openxmlformats.org/officeDocument/2006/relationships/hyperlink" Target="https://drive.google.com/open?id=1KyEd3_sAVEYlbG-CIYysI3kHDN81hVIDDGJ993q-O0w&amp;usp=drive_copy" TargetMode="External"/><Relationship Id="rId507" Type="http://schemas.openxmlformats.org/officeDocument/2006/relationships/hyperlink" Target="https://drive.google.com/open?id=13XdAr_uOiINSRGWHFDHReJW5DqbVdCwUnPzlWN-nTPM&amp;usp=drive_copy" TargetMode="External"/><Relationship Id="rId714" Type="http://schemas.openxmlformats.org/officeDocument/2006/relationships/hyperlink" Target="https://drive.google.com/open?id=15-OwXoXz34OvCqjAZ2nRt95M9w_mPT0G9Yv6SI6wV5Y&amp;usp=drive_copy" TargetMode="External"/><Relationship Id="rId921" Type="http://schemas.openxmlformats.org/officeDocument/2006/relationships/hyperlink" Target="https://drive.google.com/open?id=1M4Ei5XLHh_AqnIF9110SlxEJXFTIrySqKK8HMc9rT8k&amp;usp=drive_copy" TargetMode="External"/><Relationship Id="rId50" Type="http://schemas.openxmlformats.org/officeDocument/2006/relationships/hyperlink" Target="https://docs.google.com/spreadsheets/d/1j0Lk53rvth2OSnwbl_IFrDpyWIbY1rUqMlkzNIxd2Pw/edit?usp=sharing" TargetMode="External"/><Relationship Id="rId146" Type="http://schemas.openxmlformats.org/officeDocument/2006/relationships/hyperlink" Target="https://drive.google.com/open?id=1BfM1Y36k4wC-KmUwhmTbYQbvBXiMuVInq4baKJarnII&amp;usp=drive_copy" TargetMode="External"/><Relationship Id="rId353" Type="http://schemas.openxmlformats.org/officeDocument/2006/relationships/hyperlink" Target="https://drive.google.com/open?id=1ZGcE8KqSeQF0J6zfp80i1TrHAoE3eFk8gtM375IcFOY&amp;usp=drive_copy" TargetMode="External"/><Relationship Id="rId560" Type="http://schemas.openxmlformats.org/officeDocument/2006/relationships/hyperlink" Target="https://drive.google.com/open?id=1jAMIDgWJQybcb8r7KykpfwMb-EcHt5QEdWF1kNkZ5Ns&amp;usp=drive_copy" TargetMode="External"/><Relationship Id="rId798" Type="http://schemas.openxmlformats.org/officeDocument/2006/relationships/hyperlink" Target="https://drive.google.com/open?id=1ZRu0cDPG3ZnOcMxstsnvp__GyPvKCgHY_Kw1yEDb1_k&amp;usp=drive_copy" TargetMode="External"/><Relationship Id="rId213" Type="http://schemas.openxmlformats.org/officeDocument/2006/relationships/hyperlink" Target="https://drive.google.com/open?id=1lXklUJsSnA574n7icEVg2jxAsHLjkjQB2oPSXbLFI80&amp;usp=drive_copy" TargetMode="External"/><Relationship Id="rId420" Type="http://schemas.openxmlformats.org/officeDocument/2006/relationships/hyperlink" Target="https://drive.google.com/open?id=1v7i39sM4HmRQ9TF48oJ52a8YmotNhL_JjJK8ANwIxqk&amp;usp=drive_copy" TargetMode="External"/><Relationship Id="rId658" Type="http://schemas.openxmlformats.org/officeDocument/2006/relationships/hyperlink" Target="https://drive.google.com/open?id=1DNmcaNb_9LHk5ypYwBKO4NM6uEQYNNPLWE6uFEI-oIs&amp;usp=drive_copy" TargetMode="External"/><Relationship Id="rId865" Type="http://schemas.openxmlformats.org/officeDocument/2006/relationships/hyperlink" Target="https://drive.google.com/open?id=1xseDbL76iqEG-ydpQtSFkcuLXuUm_zOGpGJTfkOHJfE&amp;usp=drive_copy" TargetMode="External"/><Relationship Id="rId297" Type="http://schemas.openxmlformats.org/officeDocument/2006/relationships/hyperlink" Target="https://drive.google.com/open?id=1Qa-Rt-lPbfDnuTDFE_19OQ6U0Vwv9FKOcpnhbmelh6w&amp;usp=drive_copy" TargetMode="External"/><Relationship Id="rId518" Type="http://schemas.openxmlformats.org/officeDocument/2006/relationships/hyperlink" Target="https://drive.google.com/open?id=1xCCbkLrhy8swVra4EwyXrJwwS5tZm2iBK2NqKLo-a6A&amp;usp=drive_copy" TargetMode="External"/><Relationship Id="rId725" Type="http://schemas.openxmlformats.org/officeDocument/2006/relationships/hyperlink" Target="https://drive.google.com/open?id=1EGodTSi4EVGsscuAEweNLqHJexpFamluXrI8o4isKws&amp;usp=drive_copy" TargetMode="External"/><Relationship Id="rId932" Type="http://schemas.openxmlformats.org/officeDocument/2006/relationships/hyperlink" Target="https://drive.google.com/open?id=1prdDQAHRhsCE7UAcoNvSUPgG37gcwChHioujJD2Xbe0&amp;usp=drive_copy" TargetMode="External"/><Relationship Id="rId157" Type="http://schemas.openxmlformats.org/officeDocument/2006/relationships/hyperlink" Target="https://drive.google.com/open?id=1J3U-LaPM34_WDdgxDeVoMfwJHY-BdwXO6cpgiOzNGZM&amp;usp=drive_copy" TargetMode="External"/><Relationship Id="rId364" Type="http://schemas.openxmlformats.org/officeDocument/2006/relationships/hyperlink" Target="https://drive.google.com/open?id=1YqBBaniyF14mD60Fm1sG4tl90H188fWHllZV8WeghRc&amp;usp=drive_copy" TargetMode="External"/><Relationship Id="rId1008" Type="http://schemas.openxmlformats.org/officeDocument/2006/relationships/hyperlink" Target="https://drive.google.com/open?id=1hhUgikEW5K-NuleAxxHugrZWLfJENeDn34ezodBXBz4&amp;usp=drive_copy" TargetMode="External"/><Relationship Id="rId61" Type="http://schemas.openxmlformats.org/officeDocument/2006/relationships/hyperlink" Target="https://docs.google.com/spreadsheets/d/1CrHFHixT4a5ltdBQMyTC8-BNTWD32S809rVetEuK5Q0/edit?usp=sharing" TargetMode="External"/><Relationship Id="rId571" Type="http://schemas.openxmlformats.org/officeDocument/2006/relationships/hyperlink" Target="https://drive.google.com/open?id=1_Z9xhlLNQp8Gg84MYo3lOwLL1j3O0rpkd188A6qymLE&amp;usp=drive_copy" TargetMode="External"/><Relationship Id="rId669" Type="http://schemas.openxmlformats.org/officeDocument/2006/relationships/hyperlink" Target="https://drive.google.com/open?id=1cDi4Jr4B31xD9wwGXqXPwWZ0K07bE62O4aZio_Ee-Vk&amp;usp=drive_copy" TargetMode="External"/><Relationship Id="rId876" Type="http://schemas.openxmlformats.org/officeDocument/2006/relationships/hyperlink" Target="https://drive.google.com/open?id=18tSqRAUgcfwLQyGvD-S2v9IScY0XVSq6dLjtSiGUSvE&amp;usp=drive_copy" TargetMode="External"/><Relationship Id="rId19" Type="http://schemas.openxmlformats.org/officeDocument/2006/relationships/hyperlink" Target="https://docs.google.com/spreadsheets/d/1PnCXPopm7m_XIrY7rPQYCzXPKvRghZRuvMMXWqbOyUo/edit?usp=sharing" TargetMode="External"/><Relationship Id="rId224" Type="http://schemas.openxmlformats.org/officeDocument/2006/relationships/hyperlink" Target="https://drive.google.com/open?id=1IXb9Bk8sKJ83gCPkX3INib2baN24jj8mVj4yXEoI5IY&amp;usp=drive_copy" TargetMode="External"/><Relationship Id="rId431" Type="http://schemas.openxmlformats.org/officeDocument/2006/relationships/hyperlink" Target="https://drive.google.com/open?id=1AoqLRMfbxDdlkLPp4-L-DGGIvP-y-_6RZ_9_ZGxvn1s&amp;usp=drive_copy" TargetMode="External"/><Relationship Id="rId529" Type="http://schemas.openxmlformats.org/officeDocument/2006/relationships/hyperlink" Target="https://drive.google.com/open?id=1itRX-eU3oKaBwBg1eva1Iw86l7By9Zb7ciHV84aNRus&amp;usp=drive_copy" TargetMode="External"/><Relationship Id="rId736" Type="http://schemas.openxmlformats.org/officeDocument/2006/relationships/hyperlink" Target="https://drive.google.com/open?id=1sUZE1iVKscA9BL-_QSaoErR9lgGkVxkwuC5RyEU0yq8&amp;usp=drive_copy" TargetMode="External"/><Relationship Id="rId168" Type="http://schemas.openxmlformats.org/officeDocument/2006/relationships/hyperlink" Target="https://drive.google.com/open?id=1l_3BOphgSKiWS005QTyeceTwr4E4b1r5573yNsuQWMQ&amp;usp=drive_copy" TargetMode="External"/><Relationship Id="rId943" Type="http://schemas.openxmlformats.org/officeDocument/2006/relationships/hyperlink" Target="https://drive.google.com/open?id=1VXp94l-Nfkc0ZTjAuTbJndmx2OXlJ54HqPujmj9PHec&amp;usp=drive_copy" TargetMode="External"/><Relationship Id="rId1019" Type="http://schemas.openxmlformats.org/officeDocument/2006/relationships/hyperlink" Target="https://drive.google.com/open?id=1DKNtZaI3w_LqyItkhFKLoFoF-6YzzS75G-WzPlOpuNg&amp;usp=drive_copy" TargetMode="External"/><Relationship Id="rId72" Type="http://schemas.openxmlformats.org/officeDocument/2006/relationships/hyperlink" Target="https://docs.google.com/spreadsheets/d/1ldFXH30qfVlDiWGF7pYEMZZV2e-Q9rsJo6VEhFBDdrI/edit?usp=sharing" TargetMode="External"/><Relationship Id="rId375" Type="http://schemas.openxmlformats.org/officeDocument/2006/relationships/hyperlink" Target="https://drive.google.com/open?id=1g_NUbBwo69eY5_dY7yaGXktnXb4aemyZRxtp-B3RCAw&amp;usp=drive_copy" TargetMode="External"/><Relationship Id="rId582" Type="http://schemas.openxmlformats.org/officeDocument/2006/relationships/hyperlink" Target="https://drive.google.com/open?id=112_AMzoi6eIQvc9EhNq3E6l0-jMuicXT_27Prs-ZtyA&amp;usp=drive_copy" TargetMode="External"/><Relationship Id="rId803" Type="http://schemas.openxmlformats.org/officeDocument/2006/relationships/hyperlink" Target="https://drive.google.com/open?id=1ixk6PTLsAgjRwdaPEXyvycf1xmiVYn9IluVfFCoEgGs&amp;usp=drive_copy" TargetMode="External"/><Relationship Id="rId3" Type="http://schemas.openxmlformats.org/officeDocument/2006/relationships/hyperlink" Target="https://docs.google.com/spreadsheets/d/1ty7k5Icb_MsNYo5vdr5Wkqz3qiVji_4o0GJ3W2dHzg0/edit?usp=sharing" TargetMode="External"/><Relationship Id="rId235" Type="http://schemas.openxmlformats.org/officeDocument/2006/relationships/hyperlink" Target="https://drive.google.com/open?id=1T1TlUoxuPrXb59J6Pq0GSChhFotWcNzNzg3saMpJlHI&amp;usp=drive_copy" TargetMode="External"/><Relationship Id="rId442" Type="http://schemas.openxmlformats.org/officeDocument/2006/relationships/hyperlink" Target="https://drive.google.com/open?id=1EKKoijwi3vW4zyUrz7QL__fUmeTC4Sr48ZlKm7whbEs&amp;usp=drive_copy" TargetMode="External"/><Relationship Id="rId887" Type="http://schemas.openxmlformats.org/officeDocument/2006/relationships/hyperlink" Target="https://drive.google.com/open?id=1Hv6VNG6hlABhvRK5K9_0ZFagpo-NXNhJcAbMzbVL--Q&amp;usp=drive_copy" TargetMode="External"/><Relationship Id="rId302" Type="http://schemas.openxmlformats.org/officeDocument/2006/relationships/hyperlink" Target="https://drive.google.com/open?id=1TkTdkXWko63gVKw4ClRaliysr9nonpq8lJ-_glqYxpw&amp;usp=drive_copy" TargetMode="External"/><Relationship Id="rId747" Type="http://schemas.openxmlformats.org/officeDocument/2006/relationships/hyperlink" Target="https://drive.google.com/open?id=1YELInT8SSBdYpiVlIAGwh7WCJDvXKgQuw-Jk_gt43w8&amp;usp=drive_copy" TargetMode="External"/><Relationship Id="rId954" Type="http://schemas.openxmlformats.org/officeDocument/2006/relationships/hyperlink" Target="https://drive.google.com/open?id=1_mOIsl6Kzf2oblCtDdNkPF7l8gP9vmBlkEQKsWrz1KM&amp;usp=drive_copy" TargetMode="External"/><Relationship Id="rId83" Type="http://schemas.openxmlformats.org/officeDocument/2006/relationships/hyperlink" Target="https://docs.google.com/spreadsheets/d/1NaxcCtYDK5ytIaQ0soBtvVmV6MJGWF57k-8ZX-U3R9k/edit?usp=sharing" TargetMode="External"/><Relationship Id="rId179" Type="http://schemas.openxmlformats.org/officeDocument/2006/relationships/hyperlink" Target="https://drive.google.com/open?id=1ACl9i5ZG6F4mvLHP2SlwmLtMsamk9D5X0Ge7b1sU7YA&amp;usp=drive_copy" TargetMode="External"/><Relationship Id="rId386" Type="http://schemas.openxmlformats.org/officeDocument/2006/relationships/hyperlink" Target="https://drive.google.com/open?id=1spbhJ9leRouDPHc59-QsvOpVu0HZJG_vS4I20yhg3DA&amp;usp=drive_copy" TargetMode="External"/><Relationship Id="rId593" Type="http://schemas.openxmlformats.org/officeDocument/2006/relationships/hyperlink" Target="https://drive.google.com/open?id=1C_4Dx2yWp5F-kWIdkAmd4xPLMP1r_axfG0EQDBFEN_4&amp;usp=drive_copy" TargetMode="External"/><Relationship Id="rId607" Type="http://schemas.openxmlformats.org/officeDocument/2006/relationships/hyperlink" Target="https://drive.google.com/open?id=102r7nKugopJHYu-XT1-7cBNDOnKcIGuFNtRHRl_2mcg&amp;usp=drive_copy" TargetMode="External"/><Relationship Id="rId814" Type="http://schemas.openxmlformats.org/officeDocument/2006/relationships/hyperlink" Target="https://drive.google.com/open?id=11Se6BOXImfM9O0fBFQM2VCinjPrwX42geCm-njfyD6U&amp;usp=drive_copy" TargetMode="External"/><Relationship Id="rId246" Type="http://schemas.openxmlformats.org/officeDocument/2006/relationships/hyperlink" Target="https://drive.google.com/open?id=1cc0nC60HvZT-rjDdC-T_qjGOMNj7qr7Rawn8ISFSPuc&amp;usp=drive_copy" TargetMode="External"/><Relationship Id="rId453" Type="http://schemas.openxmlformats.org/officeDocument/2006/relationships/hyperlink" Target="https://drive.google.com/open?id=1P-SnFiPbUmTrneBVUziQqOrKU8u-uvlp-9-M5KtblnY&amp;usp=drive_copy" TargetMode="External"/><Relationship Id="rId660" Type="http://schemas.openxmlformats.org/officeDocument/2006/relationships/hyperlink" Target="https://drive.google.com/open?id=1Fl8SB1u-OrjUIf3rPiFm60DJ3kkdeK849gSKfJPwxH0&amp;usp=drive_copy" TargetMode="External"/><Relationship Id="rId898" Type="http://schemas.openxmlformats.org/officeDocument/2006/relationships/hyperlink" Target="https://drive.google.com/open?id=1Tq84tGbE9Zkelp4obL2UpRADSSk6UrGr8H1kwfc0FjM&amp;usp=drive_copy" TargetMode="External"/><Relationship Id="rId106" Type="http://schemas.openxmlformats.org/officeDocument/2006/relationships/hyperlink" Target="https://docs.google.com/spreadsheets/d/12mXedY5z58KXdD4H8WotwgFYFQqYtwnjc-mHiLSzOTE/edit?usp=sharing" TargetMode="External"/><Relationship Id="rId313" Type="http://schemas.openxmlformats.org/officeDocument/2006/relationships/hyperlink" Target="https://drive.google.com/open?id=1zV8tIvGoNK8aF3W0o-01UwnkDENQdvxe7JUTwTFxozA&amp;usp=drive_copy" TargetMode="External"/><Relationship Id="rId758" Type="http://schemas.openxmlformats.org/officeDocument/2006/relationships/hyperlink" Target="https://drive.google.com/open?id=128NztE3J2EIjNv_irPNggRTyrD4tQi0shpmk_Qd9n_4&amp;usp=drive_copy" TargetMode="External"/><Relationship Id="rId965" Type="http://schemas.openxmlformats.org/officeDocument/2006/relationships/hyperlink" Target="https://drive.google.com/open?id=1hxBdbZw1SOqEdW8XqmgwKoLwu6HRBvC9xF4jkjV4rDY&amp;usp=drive_copy" TargetMode="External"/><Relationship Id="rId10" Type="http://schemas.openxmlformats.org/officeDocument/2006/relationships/hyperlink" Target="https://docs.google.com/spreadsheets/d/1l4A9BRBr2tOGDY86IODPjAZJuovYvFZu2KA79jLKw00/edit?usp=sharing" TargetMode="External"/><Relationship Id="rId94" Type="http://schemas.openxmlformats.org/officeDocument/2006/relationships/hyperlink" Target="https://docs.google.com/spreadsheets/d/1dTWuN_rPXGLchtRguFxrOm5xqzZmFNiucEOr3YFDaRs/edit?usp=sharing" TargetMode="External"/><Relationship Id="rId397" Type="http://schemas.openxmlformats.org/officeDocument/2006/relationships/hyperlink" Target="https://drive.google.com/open?id=1RkY9vgAvvnwrhVQkyDoLOh52B2LswQkqzwCLbyEDhUY&amp;usp=drive_copy" TargetMode="External"/><Relationship Id="rId520" Type="http://schemas.openxmlformats.org/officeDocument/2006/relationships/hyperlink" Target="https://drive.google.com/open?id=1iyMkQ5bE99SbqFBG65IjhxkVCaPQadRGxOrPyW59dw8&amp;usp=drive_copy" TargetMode="External"/><Relationship Id="rId618" Type="http://schemas.openxmlformats.org/officeDocument/2006/relationships/hyperlink" Target="https://drive.google.com/open?id=1aKhwhoTo6OQOu-TLg1sLxgh8ATb2bYtbLjtQyDGX5Sg&amp;usp=drive_copy" TargetMode="External"/><Relationship Id="rId825" Type="http://schemas.openxmlformats.org/officeDocument/2006/relationships/hyperlink" Target="https://drive.google.com/open?id=19pAZ_XP5vnFRIEPwwgAtvBNmrCMOxTaquaPgMM-L1FI&amp;usp=drive_copy" TargetMode="External"/><Relationship Id="rId257" Type="http://schemas.openxmlformats.org/officeDocument/2006/relationships/hyperlink" Target="https://drive.google.com/open?id=1fg_dhVP4MOnnKKDl-3hzPsSmqw1h1XEes-_m6xCC11Y&amp;usp=drive_copy" TargetMode="External"/><Relationship Id="rId464" Type="http://schemas.openxmlformats.org/officeDocument/2006/relationships/hyperlink" Target="https://drive.google.com/open?id=1OKYNgBw1sRj1poxBM34onfhiZ9PZQdw3aYlmjHg2wx4&amp;usp=drive_copy" TargetMode="External"/><Relationship Id="rId1010" Type="http://schemas.openxmlformats.org/officeDocument/2006/relationships/hyperlink" Target="https://drive.google.com/open?id=1onvwJOD3spBRN2COXsvyKzx5dTdKAme7H2G7ceBgQMs&amp;usp=drive_copy" TargetMode="External"/><Relationship Id="rId117" Type="http://schemas.openxmlformats.org/officeDocument/2006/relationships/hyperlink" Target="https://drive.google.com/open?id=1PQ3epZ0_cfiTD7AcemI5BM1GW7jf3rCZXMMtmZXwkpg&amp;usp=drive_copy" TargetMode="External"/><Relationship Id="rId671" Type="http://schemas.openxmlformats.org/officeDocument/2006/relationships/hyperlink" Target="https://drive.google.com/open?id=1CMHEyAbKdUepMmAVaZOCvNVyMvzRnjr-8syUod6Qe9s&amp;usp=drive_copy" TargetMode="External"/><Relationship Id="rId769" Type="http://schemas.openxmlformats.org/officeDocument/2006/relationships/hyperlink" Target="https://drive.google.com/open?id=1mb56fxeCsNeZ0a6kyOs71lHHML1NvKdWPL1pxHAxARE&amp;usp=drive_copy" TargetMode="External"/><Relationship Id="rId976" Type="http://schemas.openxmlformats.org/officeDocument/2006/relationships/hyperlink" Target="https://drive.google.com/open?id=18wpXdoseD-Gd9NYjhyF4oSdsGUtMnRmt2naZm3cfpFQ&amp;usp=drive_copy" TargetMode="External"/><Relationship Id="rId324" Type="http://schemas.openxmlformats.org/officeDocument/2006/relationships/hyperlink" Target="https://drive.google.com/open?id=1gUp2of45r1p0dugD5kbOtWH35ont0ZVMOkqlLBlaYMo&amp;usp=drive_copy" TargetMode="External"/><Relationship Id="rId531" Type="http://schemas.openxmlformats.org/officeDocument/2006/relationships/hyperlink" Target="https://drive.google.com/open?id=1qxVlRP3gJvJ83GVBugCrfcFudx0x3WrH7RK4vJKZdRA&amp;usp=drive_copy" TargetMode="External"/><Relationship Id="rId629" Type="http://schemas.openxmlformats.org/officeDocument/2006/relationships/hyperlink" Target="https://drive.google.com/open?id=1TRRqPufsYEUl_PyL7lkIkgBQ5pbDLDi8MOSLHu5EjuU&amp;usp=drive_copy" TargetMode="External"/><Relationship Id="rId836" Type="http://schemas.openxmlformats.org/officeDocument/2006/relationships/hyperlink" Target="https://drive.google.com/open?id=1KSkYoabZUfoRf9R2XZmQFgR73KPQxNQEVH8KjynjLa8&amp;usp=drive_copy" TargetMode="External"/><Relationship Id="rId1021" Type="http://schemas.openxmlformats.org/officeDocument/2006/relationships/hyperlink" Target="https://drive.google.com/open?id=1jObs-f0fcG_8ykBZQcT1C4OCWvDpQTexWm_gIpugJOs&amp;usp=drive_copy" TargetMode="External"/><Relationship Id="rId903" Type="http://schemas.openxmlformats.org/officeDocument/2006/relationships/hyperlink" Target="https://drive.google.com/open?id=1itD7aYIfVoWMXwLix1VKtMaA65kphtZ6BmVMI3St-lw&amp;usp=drive_copy" TargetMode="External"/><Relationship Id="rId32" Type="http://schemas.openxmlformats.org/officeDocument/2006/relationships/hyperlink" Target="https://docs.google.com/spreadsheets/d/1HEixhZxIwIxcBQePyjNKswMkRCl5OIEnSOtLiwIC68Y/edit?usp=sharing" TargetMode="External"/><Relationship Id="rId181" Type="http://schemas.openxmlformats.org/officeDocument/2006/relationships/hyperlink" Target="https://drive.google.com/open?id=1GcfTeM06fL2h2DFNzZR1dtc4_cQ7sTpi7l_fflQK_YA&amp;usp=drive_copy" TargetMode="External"/></Relationships>
</file>

<file path=xl/worksheets/_rels/sheet6.xml.rels><?xml version="1.0" encoding="UTF-8" standalone="yes"?>
<Relationships xmlns="http://schemas.openxmlformats.org/package/2006/relationships"><Relationship Id="rId1827" Type="http://schemas.openxmlformats.org/officeDocument/2006/relationships/hyperlink" Target="https://docs.google.com/open?id=1Osc1TlACMEIMn4XmQgWi2hFlB5ZBS9Nuo7CoJcYrF1I" TargetMode="External"/><Relationship Id="rId3182" Type="http://schemas.openxmlformats.org/officeDocument/2006/relationships/hyperlink" Target="https://docs.google.com/spreadsheets/d/1iN8V6kILDpCOAUTUiY2gurcNtfqAKQwFaAYU2_j8xT0" TargetMode="External"/><Relationship Id="rId3042" Type="http://schemas.openxmlformats.org/officeDocument/2006/relationships/hyperlink" Target="https://docs.google.com/spreadsheets/d/11t1VkjBTaaNK_NdHKhawvQy0Rc9JhsgVEhXgftGm1Gs" TargetMode="External"/><Relationship Id="rId170" Type="http://schemas.openxmlformats.org/officeDocument/2006/relationships/hyperlink" Target="https://docs.google.com/spreadsheets/d/1GWRmPdZOkI4gJs7AiX3I0NJG2E5MMTEJl-QwElTjSDA/edit" TargetMode="External"/><Relationship Id="rId3859" Type="http://schemas.openxmlformats.org/officeDocument/2006/relationships/hyperlink" Target="https://docs.google.com/open?id=1coomfJAONokVC15fN6Knp5MW4JZLrTtBNCi2DyhIolU" TargetMode="External"/><Relationship Id="rId987" Type="http://schemas.openxmlformats.org/officeDocument/2006/relationships/hyperlink" Target="https://docs.google.com/open?id=1bd8DiGbSEZ3QJvrXK0bY80Zj7MSMvsa5mYzSSC_NGU8" TargetMode="External"/><Relationship Id="rId2668" Type="http://schemas.openxmlformats.org/officeDocument/2006/relationships/hyperlink" Target="https://drive.google.com/open?id=1BVoWdQ2_uJwzb3-CirTDWlgBmzRuFF7_AsHqaYNzYN4&amp;usp=drive_copy" TargetMode="External"/><Relationship Id="rId2875" Type="http://schemas.openxmlformats.org/officeDocument/2006/relationships/hyperlink" Target="https://docs.google.com/open?id=13OnRcW7ESZKNo15sgUzNkmd_L_7ZOIWewAWJ0X7Xv5Y" TargetMode="External"/><Relationship Id="rId3719" Type="http://schemas.openxmlformats.org/officeDocument/2006/relationships/hyperlink" Target="https://docs.google.com/open?id=1KkMWFV9F_Olf03N8cs2fRlYh5SN1vdZN38G08P3Ys-k" TargetMode="External"/><Relationship Id="rId3926" Type="http://schemas.openxmlformats.org/officeDocument/2006/relationships/hyperlink" Target="https://docs.google.com/spreadsheets/d/1hG1xZfWvrLZrkcDwtWpawuKV1-9Ijm0-E07otJ8fKBM" TargetMode="External"/><Relationship Id="rId847" Type="http://schemas.openxmlformats.org/officeDocument/2006/relationships/hyperlink" Target="https://docs.google.com/open?id=10baP5j-2T_JSYMwfFwCs6CPVl4O06jIt9cqdrr9OtwE" TargetMode="External"/><Relationship Id="rId1477" Type="http://schemas.openxmlformats.org/officeDocument/2006/relationships/hyperlink" Target="https://drive.google.com/open?id=1-wiyawIb7nuGz3R72e-F5f_5y2rnpSuziq4huDcp1LM" TargetMode="External"/><Relationship Id="rId1684" Type="http://schemas.openxmlformats.org/officeDocument/2006/relationships/hyperlink" Target="https://drive.google.com/open?id=1ApGxdJkropQH9b8abbEd0uNMhS1VXb_hUEjifOTPkIA&amp;usp=drive_copy" TargetMode="External"/><Relationship Id="rId1891" Type="http://schemas.openxmlformats.org/officeDocument/2006/relationships/hyperlink" Target="https://docs.google.com/open?id=1SqgA_qKPTb2Ya7FcLr7_YCziGfCkP7ORR8cs2R3mvyM" TargetMode="External"/><Relationship Id="rId2528" Type="http://schemas.openxmlformats.org/officeDocument/2006/relationships/hyperlink" Target="https://drive.google.com/open?id=1djoBP-C5Fs3sKkR7aWKGCf9uZIcsDwipHMLKjW05Svc&amp;usp=drive_copy" TargetMode="External"/><Relationship Id="rId2735" Type="http://schemas.openxmlformats.org/officeDocument/2006/relationships/hyperlink" Target="https://docs.google.com/open?id=1d7iT8fLAxJeBp4TPBrgTuaes30t-zalwrkrCmeeEHI0" TargetMode="External"/><Relationship Id="rId2942" Type="http://schemas.openxmlformats.org/officeDocument/2006/relationships/hyperlink" Target="https://docs.google.com/spreadsheets/d/1J6vl1p7n0dc6Vxyb1AHnQXuduAlQzZ3KkmYCrMsBpXQ" TargetMode="External"/><Relationship Id="rId707" Type="http://schemas.openxmlformats.org/officeDocument/2006/relationships/hyperlink" Target="https://docs.google.com/open?id=1P-hE-x-Nxd0tb3vcyrjzmtxs6VOeAGtQ7l_TrBZv7TU" TargetMode="External"/><Relationship Id="rId914" Type="http://schemas.openxmlformats.org/officeDocument/2006/relationships/hyperlink" Target="https://docs.google.com/spreadsheets/d/1SvSKL8C75JPtL2AI67EGw9NrRz_8DeCqmRflP63W0HA" TargetMode="External"/><Relationship Id="rId1337" Type="http://schemas.openxmlformats.org/officeDocument/2006/relationships/hyperlink" Target="https://drive.google.com/open?id=12cA8Txyp_qghhbZdtTjjNkmHKNSNteiz8CmQZXQJy0I" TargetMode="External"/><Relationship Id="rId1544" Type="http://schemas.openxmlformats.org/officeDocument/2006/relationships/hyperlink" Target="https://drive.google.com/open?id=1BT3Cr_bOgCcUIpFKA8cfAA6l2-W-iDo-74bMGE3VfTI&amp;usp=drive_copy" TargetMode="External"/><Relationship Id="rId1751" Type="http://schemas.openxmlformats.org/officeDocument/2006/relationships/hyperlink" Target="https://docs.google.com/open?id=1iQSjjeoJohWWzyXysRFJ8BNRzz1HhY8KY0Eh-5wBr1Y" TargetMode="External"/><Relationship Id="rId2802" Type="http://schemas.openxmlformats.org/officeDocument/2006/relationships/hyperlink" Target="https://docs.google.com/spreadsheets/d/1AeBKCKz-zhMs5sPCu1DXxWnQsuZktwqEOljwcYK7n6Y" TargetMode="External"/><Relationship Id="rId43" Type="http://schemas.openxmlformats.org/officeDocument/2006/relationships/hyperlink" Target="https://docs.google.com/spreadsheets/d/13uvT7ht--uG714ac0UvaWP3zdnRerv07KIfGV_DeuiI/edit?usp=sharing" TargetMode="External"/><Relationship Id="rId1404" Type="http://schemas.openxmlformats.org/officeDocument/2006/relationships/hyperlink" Target="https://drive.google.com/open?id=19qXGdILdbc4JDL36_zxPHLRf6R1RvVAhAa_2WkiReZs&amp;usp=drive_copy" TargetMode="External"/><Relationship Id="rId1611" Type="http://schemas.openxmlformats.org/officeDocument/2006/relationships/hyperlink" Target="https://docs.google.com/open?id=1aD6_JGEkVhdmoMpdF2lFkFtTC-iSiRta5fudcOvvcc4" TargetMode="External"/><Relationship Id="rId3369" Type="http://schemas.openxmlformats.org/officeDocument/2006/relationships/hyperlink" Target="https://drive.google.com/open?id=1Tq84tGbE9Zkelp4obL2UpRADSSk6UrGr8H1kwfc0FjM" TargetMode="External"/><Relationship Id="rId3576" Type="http://schemas.openxmlformats.org/officeDocument/2006/relationships/hyperlink" Target="https://drive.google.com/open?id=1hxDcUiR2_OPCKIaNZNICweaP8lJDq3LaLREI0EBTJ2Q&amp;usp=drive_copy" TargetMode="External"/><Relationship Id="rId497" Type="http://schemas.openxmlformats.org/officeDocument/2006/relationships/hyperlink" Target="https://drive.google.com/open?id=1ACl9i5ZG6F4mvLHP2SlwmLtMsamk9D5X0Ge7b1sU7YA" TargetMode="External"/><Relationship Id="rId2178" Type="http://schemas.openxmlformats.org/officeDocument/2006/relationships/hyperlink" Target="https://docs.google.com/spreadsheets/d/1vJQhAHyCp0iYVhrC3FVecoPao5DKZVbzYlR0rdC8mug" TargetMode="External"/><Relationship Id="rId2385" Type="http://schemas.openxmlformats.org/officeDocument/2006/relationships/hyperlink" Target="https://drive.google.com/open?id=1UBvQoTk4qsIOAJkXVur7USHEjzssCdKMaKqRNrM7BH4" TargetMode="External"/><Relationship Id="rId3229" Type="http://schemas.openxmlformats.org/officeDocument/2006/relationships/hyperlink" Target="https://drive.google.com/open?id=1wi98emzzWCsQjRb2OTNjUxya8qhrgXV8Ew9jbtSOpis" TargetMode="External"/><Relationship Id="rId3783" Type="http://schemas.openxmlformats.org/officeDocument/2006/relationships/hyperlink" Target="https://docs.google.com/open?id=1X9977pSfw_8T_W2EuVY_pyF-dk1kRFmT3b_LiHa32eY" TargetMode="External"/><Relationship Id="rId357" Type="http://schemas.openxmlformats.org/officeDocument/2006/relationships/hyperlink" Target="https://drive.google.com/open?id=19qRxJrRdMxgahbGiT62u8qqWoDDxayy1xn4upAopWXI" TargetMode="External"/><Relationship Id="rId1194" Type="http://schemas.openxmlformats.org/officeDocument/2006/relationships/hyperlink" Target="https://docs.google.com/spreadsheets/d/1ZGcE8KqSeQF0J6zfp80i1TrHAoE3eFk8gtM375IcFOY" TargetMode="External"/><Relationship Id="rId2038" Type="http://schemas.openxmlformats.org/officeDocument/2006/relationships/hyperlink" Target="https://docs.google.com/spreadsheets/d/1biTi2ymlkV4x9dXvw9oFu6Sw05uBhDTp5wXV7PymxRg" TargetMode="External"/><Relationship Id="rId2592" Type="http://schemas.openxmlformats.org/officeDocument/2006/relationships/hyperlink" Target="https://drive.google.com/open?id=1tLi36uvDnmqVH9TgaKuWyJvfbnSO90v1Rz6oqz_1QoQ&amp;usp=drive_copy" TargetMode="External"/><Relationship Id="rId3436" Type="http://schemas.openxmlformats.org/officeDocument/2006/relationships/hyperlink" Target="https://drive.google.com/open?id=180j7fWgZqA8Otl5yj05uFReYYKDtMlv7iRwSqorboWY&amp;usp=drive_copy" TargetMode="External"/><Relationship Id="rId3643" Type="http://schemas.openxmlformats.org/officeDocument/2006/relationships/hyperlink" Target="https://docs.google.com/open?id=1UMn0T1328tuDd33dVst5TEXOEmomwule8U0dioZVhRM" TargetMode="External"/><Relationship Id="rId3850" Type="http://schemas.openxmlformats.org/officeDocument/2006/relationships/hyperlink" Target="https://docs.google.com/spreadsheets/d/14-ELN3Sjstb2CkWNCRw-Esf0MIX4Psi8NCb19ohiuaA" TargetMode="External"/><Relationship Id="rId217" Type="http://schemas.openxmlformats.org/officeDocument/2006/relationships/hyperlink" Target="https://drive.google.com/open?id=14pItguOYIocttyz_yNgnWkgesemJTUOAstLF0YQIWsE" TargetMode="External"/><Relationship Id="rId564" Type="http://schemas.openxmlformats.org/officeDocument/2006/relationships/hyperlink" Target="https://drive.google.com/open?id=1hxgCjtNItbqkal9qqShLMIuRhyyoRk3nsd0Rq4-wTAg&amp;usp=drive_copy" TargetMode="External"/><Relationship Id="rId771" Type="http://schemas.openxmlformats.org/officeDocument/2006/relationships/hyperlink" Target="https://docs.google.com/open?id=1eQfRi8k0tisrHhZXh7t6BKiuIbxVlL4ZebSu_6o7okk" TargetMode="External"/><Relationship Id="rId2245" Type="http://schemas.openxmlformats.org/officeDocument/2006/relationships/hyperlink" Target="https://drive.google.com/open?id=12ujRKi24oY7vpetZfrmCx5t98Ak9onutT0BxpFD2NXc" TargetMode="External"/><Relationship Id="rId2452" Type="http://schemas.openxmlformats.org/officeDocument/2006/relationships/hyperlink" Target="https://drive.google.com/open?id=1HWdETOZ0jWL3Cc2-y4iSvi5auBhr3Il96oHeeQjnPlA&amp;usp=drive_copy" TargetMode="External"/><Relationship Id="rId3503" Type="http://schemas.openxmlformats.org/officeDocument/2006/relationships/hyperlink" Target="https://docs.google.com/open?id=1rH6kyAVbX8pW5MAOrlk2Jokqia-0_4uWlt2iRtdD1mY" TargetMode="External"/><Relationship Id="rId3710" Type="http://schemas.openxmlformats.org/officeDocument/2006/relationships/hyperlink" Target="https://docs.google.com/spreadsheets/d/1y9Lgqg477ZAdlL1jQZOz5i-QPCgso97UZOvDZhm0aMg" TargetMode="External"/><Relationship Id="rId424" Type="http://schemas.openxmlformats.org/officeDocument/2006/relationships/hyperlink" Target="https://drive.google.com/open?id=1JrvEcBNIHds45QH3qMfqRQ_H-9ayBh5To_hJDicSlVE&amp;usp=drive_copy" TargetMode="External"/><Relationship Id="rId631" Type="http://schemas.openxmlformats.org/officeDocument/2006/relationships/hyperlink" Target="https://docs.google.com/open?id=1jgQE3cruaVJyDwE5DjyrsE7tSbUIH7_1zQUIewmDbZE" TargetMode="External"/><Relationship Id="rId1054" Type="http://schemas.openxmlformats.org/officeDocument/2006/relationships/hyperlink" Target="https://docs.google.com/spreadsheets/d/1ntJt78MMO8tHEAJei-fcRgs7q9llWOt0MnI-NMC4PjA" TargetMode="External"/><Relationship Id="rId1261" Type="http://schemas.openxmlformats.org/officeDocument/2006/relationships/hyperlink" Target="https://drive.google.com/open?id=1chz5gMDmUvWKj6RwlFH6E-YUViMTncRmCvRLW8a5juA" TargetMode="External"/><Relationship Id="rId2105" Type="http://schemas.openxmlformats.org/officeDocument/2006/relationships/hyperlink" Target="https://drive.google.com/open?id=1Q79oxW6H3J_Qyqs3cDucMJP-QsuGGkB1CzQx4IA372I" TargetMode="External"/><Relationship Id="rId2312" Type="http://schemas.openxmlformats.org/officeDocument/2006/relationships/hyperlink" Target="https://drive.google.com/open?id=1-uT4_fCLFL6x8ngrsGxMr0SdOy_D5djhxqpz_vstw1c&amp;usp=drive_copy" TargetMode="External"/><Relationship Id="rId1121" Type="http://schemas.openxmlformats.org/officeDocument/2006/relationships/hyperlink" Target="https://drive.google.com/open?id=1hWjdpahK8LfWaI-boTIWY318vErkuc2PvkMTj5xpQrk" TargetMode="External"/><Relationship Id="rId3086" Type="http://schemas.openxmlformats.org/officeDocument/2006/relationships/hyperlink" Target="https://docs.google.com/spreadsheets/d/1ArTc1K8fu0f2BVdKP5gSH6pWa8ATK9XDeWY34kBBcM4" TargetMode="External"/><Relationship Id="rId3293" Type="http://schemas.openxmlformats.org/officeDocument/2006/relationships/hyperlink" Target="https://drive.google.com/open?id=1Amt0-y4F0ARykCl4GHi4GdTbUECV1DIPWFC28NWNkfQ" TargetMode="External"/><Relationship Id="rId1938" Type="http://schemas.openxmlformats.org/officeDocument/2006/relationships/hyperlink" Target="https://docs.google.com/spreadsheets/d/1QYz-5adfwKa6Eptf2jisKw_mgaoIJEI4pp8242sJUMM" TargetMode="External"/><Relationship Id="rId3153" Type="http://schemas.openxmlformats.org/officeDocument/2006/relationships/hyperlink" Target="https://drive.google.com/open?id=1Z0IkKOp4cYidGPdsj94JisqcD0dMsoCFCUTH92Uz1P8" TargetMode="External"/><Relationship Id="rId3360" Type="http://schemas.openxmlformats.org/officeDocument/2006/relationships/hyperlink" Target="https://drive.google.com/open?id=1PyeGAl9c8CKYVDRlFmDAMjJ7M3o1MMCwc3alUyFImH8&amp;usp=drive_copy" TargetMode="External"/><Relationship Id="rId281" Type="http://schemas.openxmlformats.org/officeDocument/2006/relationships/hyperlink" Target="https://drive.google.com/open?id=1orFFrto1scfZ9mDQORWo96lHzeZL36XJm36lwAaox38" TargetMode="External"/><Relationship Id="rId3013" Type="http://schemas.openxmlformats.org/officeDocument/2006/relationships/hyperlink" Target="https://drive.google.com/open?id=1wydgIhLcEgTNwZcbPqSh_ifapScHd3pZMv3hxIlHL5U" TargetMode="External"/><Relationship Id="rId141" Type="http://schemas.openxmlformats.org/officeDocument/2006/relationships/hyperlink" Target="https://docs.google.com/spreadsheets/d/1ldFXH30qfVlDiWGF7pYEMZZV2e-Q9rsJo6VEhFBDdrI/edit?usp=sharing" TargetMode="External"/><Relationship Id="rId3220" Type="http://schemas.openxmlformats.org/officeDocument/2006/relationships/hyperlink" Target="https://drive.google.com/open?id=1usiGc68IUfegekX67iDRg2CQD3p93OLTR-7dkGqC_hg&amp;usp=drive_copy" TargetMode="External"/><Relationship Id="rId7" Type="http://schemas.openxmlformats.org/officeDocument/2006/relationships/hyperlink" Target="https://docs.google.com/spreadsheets/d/1pbFwW_eopXMwzOxCr8aUIyhqOLIFi-1QqWmjWC8Xp7Q/edit?usp=sharing" TargetMode="External"/><Relationship Id="rId2779" Type="http://schemas.openxmlformats.org/officeDocument/2006/relationships/hyperlink" Target="https://docs.google.com/open?id=1J4OUfYVevYIkMTNs7PYRvwLNtypwqeEwHbNQuRVjSkY" TargetMode="External"/><Relationship Id="rId2986" Type="http://schemas.openxmlformats.org/officeDocument/2006/relationships/hyperlink" Target="https://docs.google.com/spreadsheets/d/1gZAFYnonIrMoTqtO_2f2RZJgKxJ8vHI9GpKbRjcRDbs" TargetMode="External"/><Relationship Id="rId958" Type="http://schemas.openxmlformats.org/officeDocument/2006/relationships/hyperlink" Target="https://docs.google.com/spreadsheets/d/1EfpRu0AWiuGZi-50E9z77xjsobE5vbJ4yk7Pv_htQlU" TargetMode="External"/><Relationship Id="rId1588" Type="http://schemas.openxmlformats.org/officeDocument/2006/relationships/hyperlink" Target="https://drive.google.com/open?id=19vVI5odV63jHeaePT5HXI1chuVaH2t1gY7FP0jymLw4&amp;usp=drive_copy" TargetMode="External"/><Relationship Id="rId1795" Type="http://schemas.openxmlformats.org/officeDocument/2006/relationships/hyperlink" Target="https://docs.google.com/open?id=10DFYDDvNe3AZ4jpZx8gGBJWP8WiwHffFIRukjJi6Uw8" TargetMode="External"/><Relationship Id="rId2639" Type="http://schemas.openxmlformats.org/officeDocument/2006/relationships/hyperlink" Target="https://docs.google.com/open?id=15EG26otaYaMz5pLM2cwV__p3Hao_0saGDoTiGHY3n28" TargetMode="External"/><Relationship Id="rId2846" Type="http://schemas.openxmlformats.org/officeDocument/2006/relationships/hyperlink" Target="https://docs.google.com/spreadsheets/d/11TIo12gaplYwBMjM1xADlYLIcaEjCnFCxLMJC4uYEDI" TargetMode="External"/><Relationship Id="rId87" Type="http://schemas.openxmlformats.org/officeDocument/2006/relationships/hyperlink" Target="https://docs.google.com/spreadsheets/d/1l7feShSgrrgKEULxHUpZm9N6nbJu6Cvyk0aU_8xRLV0/edit?usp=sharing" TargetMode="External"/><Relationship Id="rId818" Type="http://schemas.openxmlformats.org/officeDocument/2006/relationships/hyperlink" Target="https://docs.google.com/spreadsheets/d/1k7dXBbFOVUnaY8cGkVNhZNLVJWVhuSnWIgfPvMcNjrY" TargetMode="External"/><Relationship Id="rId1448" Type="http://schemas.openxmlformats.org/officeDocument/2006/relationships/hyperlink" Target="https://drive.google.com/open?id=14suCEkalgPVp2-MAHj2vV-P0IBZtDcItU-DnKDgR5RQ&amp;usp=drive_copy" TargetMode="External"/><Relationship Id="rId1655" Type="http://schemas.openxmlformats.org/officeDocument/2006/relationships/hyperlink" Target="https://docs.google.com/open?id=1lQjB1bQpz-cknjSjwGGmxeegqSwBmLEZjef75RZP5H0" TargetMode="External"/><Relationship Id="rId2706" Type="http://schemas.openxmlformats.org/officeDocument/2006/relationships/hyperlink" Target="https://docs.google.com/spreadsheets/d/1yHOcB0P0-C8bbDp9y6_e3_QhPg-8swyMHSB4vAEEvvo" TargetMode="External"/><Relationship Id="rId1308" Type="http://schemas.openxmlformats.org/officeDocument/2006/relationships/hyperlink" Target="https://drive.google.com/open?id=1KoqX765PQvMj11X18mMNM4VPmmrkK8EJcvExQ1GZYrM&amp;usp=drive_copy" TargetMode="External"/><Relationship Id="rId1862" Type="http://schemas.openxmlformats.org/officeDocument/2006/relationships/hyperlink" Target="https://docs.google.com/spreadsheets/d/1iyMkQ5bE99SbqFBG65IjhxkVCaPQadRGxOrPyW59dw8" TargetMode="External"/><Relationship Id="rId2913" Type="http://schemas.openxmlformats.org/officeDocument/2006/relationships/hyperlink" Target="https://drive.google.com/open?id=11Qn454PLPLi2WuRzh9mhThVAZsUwRMRPJ2a4FL48tq4" TargetMode="External"/><Relationship Id="rId1515" Type="http://schemas.openxmlformats.org/officeDocument/2006/relationships/hyperlink" Target="https://docs.google.com/open?id=1FXY-UNoP9j2BPz7MCmhsJ1Jz7t9AOhN-j2OWoMZ-7Uk" TargetMode="External"/><Relationship Id="rId1722" Type="http://schemas.openxmlformats.org/officeDocument/2006/relationships/hyperlink" Target="https://docs.google.com/spreadsheets/d/1pv-oJn3kZ3J7LZWaKax10z-FmgwlT1FIZRjn_cFtR1Y" TargetMode="External"/><Relationship Id="rId14" Type="http://schemas.openxmlformats.org/officeDocument/2006/relationships/hyperlink" Target="https://docs.google.com/spreadsheets/d/1Fmt3xTOqDakcaYdTYLKRHFZQiu-yqPrwjmAS2CwXYY8/edit" TargetMode="External"/><Relationship Id="rId3687" Type="http://schemas.openxmlformats.org/officeDocument/2006/relationships/hyperlink" Target="https://docs.google.com/open?id=1TNTNRv981Yl3_UDj9snbr7qhrCIY4W-oZudH8Ubdoww" TargetMode="External"/><Relationship Id="rId3894" Type="http://schemas.openxmlformats.org/officeDocument/2006/relationships/hyperlink" Target="https://docs.google.com/spreadsheets/d/1re7KxSnGoHPIfrfLhDeKI3Pa-2ni4BBKVJT3qrXGkWQ" TargetMode="External"/><Relationship Id="rId2289" Type="http://schemas.openxmlformats.org/officeDocument/2006/relationships/hyperlink" Target="https://drive.google.com/open?id=1WqSWisKbH3gdREv0eGw5VBFk8RKNvQpjnt-ajyPCNvg" TargetMode="External"/><Relationship Id="rId2496" Type="http://schemas.openxmlformats.org/officeDocument/2006/relationships/hyperlink" Target="https://drive.google.com/open?id=1SHKyeAS5y0pkTm_BBpkaT4UN7_ASCZxIEVWJ_rfV6Jk&amp;usp=drive_copy" TargetMode="External"/><Relationship Id="rId3547" Type="http://schemas.openxmlformats.org/officeDocument/2006/relationships/hyperlink" Target="https://docs.google.com/open?id=1chPG5BEYUfnuoEuJ6P16A7Hc4nj9jwlPafV2YxyrB0k" TargetMode="External"/><Relationship Id="rId3754" Type="http://schemas.openxmlformats.org/officeDocument/2006/relationships/hyperlink" Target="https://docs.google.com/spreadsheets/d/13AMGlOKBAW-VZ8ToDUrrK6d4Xh26E-pLgYHTKTcAt_I" TargetMode="External"/><Relationship Id="rId468" Type="http://schemas.openxmlformats.org/officeDocument/2006/relationships/hyperlink" Target="https://drive.google.com/open?id=1rmyKhBbN1Af6kfYBIrOuy2lf0HNARvUX1rj6V5C8IXc&amp;usp=drive_copy" TargetMode="External"/><Relationship Id="rId675" Type="http://schemas.openxmlformats.org/officeDocument/2006/relationships/hyperlink" Target="https://docs.google.com/open?id=1IBOp12-8ahZqktw556yk84p1LLqJVyCZHCoqVBt70Rk" TargetMode="External"/><Relationship Id="rId882" Type="http://schemas.openxmlformats.org/officeDocument/2006/relationships/hyperlink" Target="https://docs.google.com/spreadsheets/d/1a6M75LEa0Mhn4ZyUiLyLZuTCwFWQ3H_ahBac0m_0iy8" TargetMode="External"/><Relationship Id="rId1098" Type="http://schemas.openxmlformats.org/officeDocument/2006/relationships/hyperlink" Target="https://docs.google.com/spreadsheets/d/1mMcWuFVAwZhxChwjTzrL6lEaJwmyg3DSMEy8jlJqa50" TargetMode="External"/><Relationship Id="rId2149" Type="http://schemas.openxmlformats.org/officeDocument/2006/relationships/hyperlink" Target="https://drive.google.com/open?id=1jajxmCI0_tJWdvCbQ1ARhcQODExydt4nspmZoWDLbYE" TargetMode="External"/><Relationship Id="rId2356" Type="http://schemas.openxmlformats.org/officeDocument/2006/relationships/hyperlink" Target="https://drive.google.com/open?id=1lvbdhkKJuzWiWwfKdmxnWYl3x7bLTrm7ud7dSIaqUtE&amp;usp=drive_copy" TargetMode="External"/><Relationship Id="rId2563" Type="http://schemas.openxmlformats.org/officeDocument/2006/relationships/hyperlink" Target="https://docs.google.com/open?id=1kKOZ9UmMhjp7cM7JAMzefBqKghcwcKcqZJ_Nr5kvgkA" TargetMode="External"/><Relationship Id="rId2770" Type="http://schemas.openxmlformats.org/officeDocument/2006/relationships/hyperlink" Target="https://docs.google.com/spreadsheets/d/1VIZS6PLpEBV87yqgP2xbtMPHM7PwDFK09G6hhgPNXac" TargetMode="External"/><Relationship Id="rId3407" Type="http://schemas.openxmlformats.org/officeDocument/2006/relationships/hyperlink" Target="https://docs.google.com/open?id=1rDqG8HquCwW9pnZZCYlHGX7ElQehNuNDHFV-OcxgQXA" TargetMode="External"/><Relationship Id="rId3614" Type="http://schemas.openxmlformats.org/officeDocument/2006/relationships/hyperlink" Target="https://docs.google.com/spreadsheets/d/1Z2Ie-rgR-WHtE0QkZNjOOd5ecTpkBy3G6MqfhcutgL0" TargetMode="External"/><Relationship Id="rId3821" Type="http://schemas.openxmlformats.org/officeDocument/2006/relationships/hyperlink" Target="https://drive.google.com/open?id=1r9KcGfp64Cwn68Cnl7E0UQdtQ63FYNp0ZDtxe8PfQi8" TargetMode="External"/><Relationship Id="rId328" Type="http://schemas.openxmlformats.org/officeDocument/2006/relationships/hyperlink" Target="https://drive.google.com/open?id=160mwCVwARWMQQn4nKh_XybjFtd9XBFLnLPGaCl9zHqA&amp;usp=drive_copy" TargetMode="External"/><Relationship Id="rId535" Type="http://schemas.openxmlformats.org/officeDocument/2006/relationships/hyperlink" Target="https://docs.google.com/open?id=1BbO3XwPgprrRzRbJNU782pgl77q3nT4WmQQznQPUp9c" TargetMode="External"/><Relationship Id="rId742" Type="http://schemas.openxmlformats.org/officeDocument/2006/relationships/hyperlink" Target="https://docs.google.com/spreadsheets/d/19an57qPg6-LW9HFYiknpVSOIG8cltkLJUsfFA7qJj5A" TargetMode="External"/><Relationship Id="rId1165" Type="http://schemas.openxmlformats.org/officeDocument/2006/relationships/hyperlink" Target="https://drive.google.com/open?id=1UYWMWHeW-M8GY0OSZNcPF2R8afJWdtf38jKAsq2fAho" TargetMode="External"/><Relationship Id="rId1372" Type="http://schemas.openxmlformats.org/officeDocument/2006/relationships/hyperlink" Target="https://drive.google.com/open?id=1VIHyc81uNys5RoAfqoNDOA8KZkPHQ3WkTMo7867R4BA&amp;usp=drive_copy" TargetMode="External"/><Relationship Id="rId2009" Type="http://schemas.openxmlformats.org/officeDocument/2006/relationships/hyperlink" Target="https://drive.google.com/open?id=1fU1JXOTykueNJng4Yr5LHGOHott98hjFCCQ3_vke5nQ" TargetMode="External"/><Relationship Id="rId2216" Type="http://schemas.openxmlformats.org/officeDocument/2006/relationships/hyperlink" Target="https://drive.google.com/open?id=1FH-j3S2Aaq3Gofr7IzXAg0_U45KFkdKOl7hx9rjOyPg&amp;usp=drive_copy" TargetMode="External"/><Relationship Id="rId2423" Type="http://schemas.openxmlformats.org/officeDocument/2006/relationships/hyperlink" Target="https://docs.google.com/open?id=1Fl8SB1u-OrjUIf3rPiFm60DJ3kkdeK849gSKfJPwxH0" TargetMode="External"/><Relationship Id="rId2630" Type="http://schemas.openxmlformats.org/officeDocument/2006/relationships/hyperlink" Target="https://docs.google.com/spreadsheets/d/14dpPW1hHjofL6btAyU5zz05BgNTvj0Aqyt6rGKwHZm4" TargetMode="External"/><Relationship Id="rId602" Type="http://schemas.openxmlformats.org/officeDocument/2006/relationships/hyperlink" Target="https://docs.google.com/spreadsheets/d/10KSMWY1j7Zp9u_vkU1WsZAnqSniXIe-GwxlHsYPPdyQ" TargetMode="External"/><Relationship Id="rId1025" Type="http://schemas.openxmlformats.org/officeDocument/2006/relationships/hyperlink" Target="https://drive.google.com/open?id=1zAyXeE1VA3-Wx0PJNINHXJUS8KXOyKmAYwLw6GycmbE" TargetMode="External"/><Relationship Id="rId1232" Type="http://schemas.openxmlformats.org/officeDocument/2006/relationships/hyperlink" Target="https://drive.google.com/open?id=1PedQQZZ84OiMFo693N_NG04uP-ZWcYd9bWCrfTuN3q4&amp;usp=drive_copy" TargetMode="External"/><Relationship Id="rId3197" Type="http://schemas.openxmlformats.org/officeDocument/2006/relationships/hyperlink" Target="https://drive.google.com/open?id=1lMZjxWXqAbgHw-PCv_Zz6wJogTEjdfThvWYzSt1Ghs8" TargetMode="External"/><Relationship Id="rId3057" Type="http://schemas.openxmlformats.org/officeDocument/2006/relationships/hyperlink" Target="https://drive.google.com/open?id=13lZOdZecbBh2fhnG4TGBUVqHbVSVOdLgUg0MzVCLr-E" TargetMode="External"/><Relationship Id="rId185" Type="http://schemas.openxmlformats.org/officeDocument/2006/relationships/hyperlink" Target="https://docs.google.com/spreadsheets/d/1dTWuN_rPXGLchtRguFxrOm5xqzZmFNiucEOr3YFDaRs/edit?usp=sharing" TargetMode="External"/><Relationship Id="rId1909" Type="http://schemas.openxmlformats.org/officeDocument/2006/relationships/hyperlink" Target="https://drive.google.com/open?id=1zYL5bnFz5mu0SGSZvdxL0LUsjhwX4VzNaVuZnMUArCk" TargetMode="External"/><Relationship Id="rId3264" Type="http://schemas.openxmlformats.org/officeDocument/2006/relationships/hyperlink" Target="https://drive.google.com/open?id=15IFNGbKEJeYtpqeWbn1f6_jWdkkm-_yApAbXMfPaFOg&amp;usp=drive_copy" TargetMode="External"/><Relationship Id="rId3471" Type="http://schemas.openxmlformats.org/officeDocument/2006/relationships/hyperlink" Target="https://docs.google.com/open?id=1RSm8btu3tw7llgbpmDPWH25n7KJAahHQqNmgb8cE86o" TargetMode="External"/><Relationship Id="rId392" Type="http://schemas.openxmlformats.org/officeDocument/2006/relationships/hyperlink" Target="https://drive.google.com/open?id=1HPIyl5UtdBO-ymbxPudlDNqsab2jtEyizcVC86jtIPo&amp;usp=drive_copy" TargetMode="External"/><Relationship Id="rId2073" Type="http://schemas.openxmlformats.org/officeDocument/2006/relationships/hyperlink" Target="https://drive.google.com/open?id=13ss263b1v0zCi3a6DhT3Z7lXL24RgSPEnJ8zBbN4iKw" TargetMode="External"/><Relationship Id="rId2280" Type="http://schemas.openxmlformats.org/officeDocument/2006/relationships/hyperlink" Target="https://drive.google.com/open?id=1N86qmhiBNI30g8xIMC8S5jr-tLrobxNcnQ0iKzmN4WQ&amp;usp=drive_copy" TargetMode="External"/><Relationship Id="rId3124" Type="http://schemas.openxmlformats.org/officeDocument/2006/relationships/hyperlink" Target="https://drive.google.com/open?id=1MafOfSGifK16z3HokW_RAoYg1UqD0vXESWIf4-UqBeE&amp;usp=drive_copy" TargetMode="External"/><Relationship Id="rId3331" Type="http://schemas.openxmlformats.org/officeDocument/2006/relationships/hyperlink" Target="https://docs.google.com/open?id=1J56tQGx5mtEW15sjHpVWJmBCL1_B-Xd1BtU1Ls_yCOc" TargetMode="External"/><Relationship Id="rId252" Type="http://schemas.openxmlformats.org/officeDocument/2006/relationships/hyperlink" Target="https://drive.google.com/open?id=1QxGgfCitr16o535x1d9UnMYRo9nTIkINAIMtBlh6o8c&amp;usp=drive_copy" TargetMode="External"/><Relationship Id="rId2140" Type="http://schemas.openxmlformats.org/officeDocument/2006/relationships/hyperlink" Target="https://drive.google.com/open?id=1_AAseG4k6qbmz9dnFEb5m4Wt2PHaxgFYS0EBaMH3BYM&amp;usp=drive_copy" TargetMode="External"/><Relationship Id="rId112" Type="http://schemas.openxmlformats.org/officeDocument/2006/relationships/hyperlink" Target="https://docs.google.com/spreadsheets/d/1AwW9NT6YP-AmXchbApbdn70E4F8OFCgIjQ6n7koJCD0/edit" TargetMode="External"/><Relationship Id="rId1699" Type="http://schemas.openxmlformats.org/officeDocument/2006/relationships/hyperlink" Target="https://docs.google.com/open?id=1Tq9Xj7Em9_lW_2lpW-OoRc_MCq1ABdu3T2I984PjUnU" TargetMode="External"/><Relationship Id="rId2000" Type="http://schemas.openxmlformats.org/officeDocument/2006/relationships/hyperlink" Target="https://drive.google.com/open?id=1RKYZkFFOssiMJvj3ZKK89rKRTdj2oQ5ZIGmHPlaWj8I&amp;usp=drive_copy" TargetMode="External"/><Relationship Id="rId2957" Type="http://schemas.openxmlformats.org/officeDocument/2006/relationships/hyperlink" Target="https://drive.google.com/open?id=1Pu4Zms7MKl4RvswRmnbczScpLk6wFSxSRxtfpMKaqIc" TargetMode="External"/><Relationship Id="rId929" Type="http://schemas.openxmlformats.org/officeDocument/2006/relationships/hyperlink" Target="https://drive.google.com/open?id=1Es6h2bPMIK8HsDuzV7ioeTJf-2Khr8Dv68dgUc1gUFA" TargetMode="External"/><Relationship Id="rId1559" Type="http://schemas.openxmlformats.org/officeDocument/2006/relationships/hyperlink" Target="https://docs.google.com/open?id=1hQI2FxHX0goMdg176Rs4Cpm0kQynLiAuwnCuwoGSY9s" TargetMode="External"/><Relationship Id="rId1766" Type="http://schemas.openxmlformats.org/officeDocument/2006/relationships/hyperlink" Target="https://docs.google.com/spreadsheets/d/1iUf28_s-jHH90j-QS6sqLcRJ5CjRxLXz_VFES7xmefk" TargetMode="External"/><Relationship Id="rId1973" Type="http://schemas.openxmlformats.org/officeDocument/2006/relationships/hyperlink" Target="https://drive.google.com/open?id=1Lkqbz3rBV8yB5jpHujxLdkQpr3Gb2Nmxp-CN8dwZ0W8" TargetMode="External"/><Relationship Id="rId2817" Type="http://schemas.openxmlformats.org/officeDocument/2006/relationships/hyperlink" Target="https://drive.google.com/open?id=1tnid7ETYJfYjoPzqwcSHKT6xbWQY8q1WdtereWllGpU" TargetMode="External"/><Relationship Id="rId58" Type="http://schemas.openxmlformats.org/officeDocument/2006/relationships/hyperlink" Target="https://docs.google.com/spreadsheets/d/1IREh9NizLiFYNuJ5NwQWP-XSMMvaD9IKBDeMk5oBAeI/edit" TargetMode="External"/><Relationship Id="rId1419" Type="http://schemas.openxmlformats.org/officeDocument/2006/relationships/hyperlink" Target="https://docs.google.com/open?id=1cXIw5mog84y1d-YPHijS147H1dCepZCWIhPv8aMD96M" TargetMode="External"/><Relationship Id="rId1626" Type="http://schemas.openxmlformats.org/officeDocument/2006/relationships/hyperlink" Target="https://docs.google.com/spreadsheets/d/1DF6pTjy58c2gOtQ92YudUQxeF-1wog3DOU0cC6z8WDA" TargetMode="External"/><Relationship Id="rId1833" Type="http://schemas.openxmlformats.org/officeDocument/2006/relationships/hyperlink" Target="https://drive.google.com/open?id=1EOXQuf60K_Uld5odEVzZydbD-vpkTuI-8a1bFmNADRk" TargetMode="External"/><Relationship Id="rId1900" Type="http://schemas.openxmlformats.org/officeDocument/2006/relationships/hyperlink" Target="https://drive.google.com/open?id=1zfOOpLHZu0Ucu1ogJqLlvB-fpVfg8rbnySQryzfIM48&amp;usp=drive_copy" TargetMode="External"/><Relationship Id="rId3798" Type="http://schemas.openxmlformats.org/officeDocument/2006/relationships/hyperlink" Target="https://docs.google.com/spreadsheets/d/1DiW_pSLEOElRrUJuczGmCnjl1xFdIgPXD7UANxgRO04" TargetMode="External"/><Relationship Id="rId3658" Type="http://schemas.openxmlformats.org/officeDocument/2006/relationships/hyperlink" Target="https://docs.google.com/spreadsheets/d/1zBnO5IHOpYERp-YB7AyJDf4Q8yGUWuwiwTANjk_ACBc" TargetMode="External"/><Relationship Id="rId3865" Type="http://schemas.openxmlformats.org/officeDocument/2006/relationships/hyperlink" Target="https://drive.google.com/open?id=1m2oGMtfxLfiNjBvGTLFkpTzUTzOUo382KnAxilJGdhk" TargetMode="External"/><Relationship Id="rId579" Type="http://schemas.openxmlformats.org/officeDocument/2006/relationships/hyperlink" Target="https://docs.google.com/open?id=1nx420kvbsr8urnff_BRIgmZ5gNnHMe2FuM8H9lD6XEY" TargetMode="External"/><Relationship Id="rId786" Type="http://schemas.openxmlformats.org/officeDocument/2006/relationships/hyperlink" Target="https://docs.google.com/spreadsheets/d/1pHCmn5lXac1tgzmYkb6CtPNGruYb1PxdtkZucIpUu3A" TargetMode="External"/><Relationship Id="rId993" Type="http://schemas.openxmlformats.org/officeDocument/2006/relationships/hyperlink" Target="https://drive.google.com/open?id=1dzPt8b1d5eT0B7pQ_hU2et97TdFkZsm9N9j23a9t6EI" TargetMode="External"/><Relationship Id="rId2467" Type="http://schemas.openxmlformats.org/officeDocument/2006/relationships/hyperlink" Target="https://docs.google.com/open?id=1CMHEyAbKdUepMmAVaZOCvNVyMvzRnjr-8syUod6Qe9s" TargetMode="External"/><Relationship Id="rId2674" Type="http://schemas.openxmlformats.org/officeDocument/2006/relationships/hyperlink" Target="https://docs.google.com/spreadsheets/d/1DdzJmM06x-glnl3GscloMiRH_dyFnrzJVEoTTJWoqJg" TargetMode="External"/><Relationship Id="rId3518" Type="http://schemas.openxmlformats.org/officeDocument/2006/relationships/hyperlink" Target="https://docs.google.com/spreadsheets/d/1mxuSbGlj9k491eazC4Z3igjTPbInYE79aNtgLPzMC6Y" TargetMode="External"/><Relationship Id="rId439" Type="http://schemas.openxmlformats.org/officeDocument/2006/relationships/hyperlink" Target="https://docs.google.com/open?id=1kL6-1SfMeQDGwpswzdsMj0l4OJ7UXeB_xxxjKQALUjg" TargetMode="External"/><Relationship Id="rId646" Type="http://schemas.openxmlformats.org/officeDocument/2006/relationships/hyperlink" Target="https://docs.google.com/spreadsheets/d/1EAyahGhjxPCL1iX8D-KjVlO4ZVCAODx5WV0uFpjgnAM" TargetMode="External"/><Relationship Id="rId1069" Type="http://schemas.openxmlformats.org/officeDocument/2006/relationships/hyperlink" Target="https://drive.google.com/open?id=1u3c-H54YC0yYkqIRUdPXagzZHtdWLl-WsNSOsUA693g" TargetMode="External"/><Relationship Id="rId1276" Type="http://schemas.openxmlformats.org/officeDocument/2006/relationships/hyperlink" Target="https://drive.google.com/open?id=1ficvqBHLJk6e99DgiH-WdiqrQG8boa8tEPe4zTVx0pc&amp;usp=drive_copy" TargetMode="External"/><Relationship Id="rId1483" Type="http://schemas.openxmlformats.org/officeDocument/2006/relationships/hyperlink" Target="https://docs.google.com/open?id=15LwGcrE9V7r6eONxrF6shLmJZ32odris6qkdpZXNb8k" TargetMode="External"/><Relationship Id="rId2327" Type="http://schemas.openxmlformats.org/officeDocument/2006/relationships/hyperlink" Target="https://docs.google.com/open?id=10XjszphET9bNnbIftOpOD-2suLE-v-UImiLMdELar-A" TargetMode="External"/><Relationship Id="rId2881" Type="http://schemas.openxmlformats.org/officeDocument/2006/relationships/hyperlink" Target="https://drive.google.com/open?id=13tlOIam5jvfpUcS-LUK1J1s9NXHkTmNyuik_xHu-9Qc" TargetMode="External"/><Relationship Id="rId3725" Type="http://schemas.openxmlformats.org/officeDocument/2006/relationships/hyperlink" Target="https://drive.google.com/open?id=1Tvqk1bJKXdGbrS7ddGjVCJivUpazhwPnWsMb8MPpGWI" TargetMode="External"/><Relationship Id="rId3932" Type="http://schemas.openxmlformats.org/officeDocument/2006/relationships/hyperlink" Target="https://drive.google.com/open?id=1KSoKnWVe3zFAuUCet34CnYqcyzNaUQXMs3T0nYVQnLg&amp;usp=drive_copy" TargetMode="External"/><Relationship Id="rId506" Type="http://schemas.openxmlformats.org/officeDocument/2006/relationships/hyperlink" Target="https://docs.google.com/spreadsheets/d/1GcfTeM06fL2h2DFNzZR1dtc4_cQ7sTpi7l_fflQK_YA" TargetMode="External"/><Relationship Id="rId853" Type="http://schemas.openxmlformats.org/officeDocument/2006/relationships/hyperlink" Target="https://drive.google.com/open?id=15FBk7sjgDl7cPUOvU963L9E2komH58om3QDtMZme2_Q" TargetMode="External"/><Relationship Id="rId1136" Type="http://schemas.openxmlformats.org/officeDocument/2006/relationships/hyperlink" Target="https://drive.google.com/open?id=1peJyQg3YjVuVHh5KG223shFEj7aVpFUVJ_BIkxW-VyY&amp;usp=drive_copy" TargetMode="External"/><Relationship Id="rId1690" Type="http://schemas.openxmlformats.org/officeDocument/2006/relationships/hyperlink" Target="https://docs.google.com/spreadsheets/d/1F2PMExuSAdbpUTObtEtPgjRIZ5ZpbRG3gZrgcYiHtEU" TargetMode="External"/><Relationship Id="rId2534" Type="http://schemas.openxmlformats.org/officeDocument/2006/relationships/hyperlink" Target="https://docs.google.com/spreadsheets/d/1eXZVA_ImAE2XJu026QaWPTili5KXyoVrxabbT7-sc2I" TargetMode="External"/><Relationship Id="rId2741" Type="http://schemas.openxmlformats.org/officeDocument/2006/relationships/hyperlink" Target="https://drive.google.com/open?id=1m5dUtlmU7stLw5HoKctMMpoy3gQ6QrgFU3z3hCirk2A" TargetMode="External"/><Relationship Id="rId713" Type="http://schemas.openxmlformats.org/officeDocument/2006/relationships/hyperlink" Target="https://drive.google.com/open?id=1QNC_GjwCaYLhAtQnqLKMIiNB46WOFjAYv6RyJ9_bKTc" TargetMode="External"/><Relationship Id="rId920" Type="http://schemas.openxmlformats.org/officeDocument/2006/relationships/hyperlink" Target="https://drive.google.com/open?id=1UrAz0CyyTWAism1BSpkvFvdO9j7BVmFyK4BvFMGqoN4&amp;usp=drive_copy" TargetMode="External"/><Relationship Id="rId1343" Type="http://schemas.openxmlformats.org/officeDocument/2006/relationships/hyperlink" Target="https://docs.google.com/open?id=14qyJ_PrmLfZMOf6cCWLpD4pKLNfTJMMpCu7ZEAopRsw" TargetMode="External"/><Relationship Id="rId1550" Type="http://schemas.openxmlformats.org/officeDocument/2006/relationships/hyperlink" Target="https://docs.google.com/spreadsheets/d/1EKKoijwi3vW4zyUrz7QL__fUmeTC4Sr48ZlKm7whbEs" TargetMode="External"/><Relationship Id="rId2601" Type="http://schemas.openxmlformats.org/officeDocument/2006/relationships/hyperlink" Target="https://drive.google.com/open?id=1w4DA1jJhQ2K5INJ9-6_26nQpEupQKgDkFwoyQib--3k" TargetMode="External"/><Relationship Id="rId1203" Type="http://schemas.openxmlformats.org/officeDocument/2006/relationships/hyperlink" Target="https://docs.google.com/open?id=1aK8bRPBwSbG-NKbaP6D0bAEWum3Q8sPJXCBZv6Ea1l4" TargetMode="External"/><Relationship Id="rId1410" Type="http://schemas.openxmlformats.org/officeDocument/2006/relationships/hyperlink" Target="https://docs.google.com/spreadsheets/d/1mNN0GGJA5oEitryJ21T-8euFGdM4BbxAOzlU3ZjgdIk" TargetMode="External"/><Relationship Id="rId3168" Type="http://schemas.openxmlformats.org/officeDocument/2006/relationships/hyperlink" Target="https://drive.google.com/open?id=1gGRTR4Lur6u0_zRESzBU7KW1TPl4P5Iv880bTU8SJBs&amp;usp=drive_copy" TargetMode="External"/><Relationship Id="rId3375" Type="http://schemas.openxmlformats.org/officeDocument/2006/relationships/hyperlink" Target="https://docs.google.com/open?id=1ZAh-POS4IjlD2tAMXbtHwClTdpqE6l1x6BjzrPbIuYc" TargetMode="External"/><Relationship Id="rId3582" Type="http://schemas.openxmlformats.org/officeDocument/2006/relationships/hyperlink" Target="https://docs.google.com/spreadsheets/d/14zvWB5Roxv0q_85N-nEiyWk_OkhDmpZrsew3o1AoIMY" TargetMode="External"/><Relationship Id="rId296" Type="http://schemas.openxmlformats.org/officeDocument/2006/relationships/hyperlink" Target="https://drive.google.com/open?id=1xX2OCF10bCMG1NSt35BfuokC4pvbrNMI3vl4skht4QA&amp;usp=drive_copy" TargetMode="External"/><Relationship Id="rId2184" Type="http://schemas.openxmlformats.org/officeDocument/2006/relationships/hyperlink" Target="https://drive.google.com/open?id=1mco9cLjzQnY4uXiMOOPx_fU2rhhUTlz-LMmgaJIWQVM&amp;usp=drive_copy" TargetMode="External"/><Relationship Id="rId2391" Type="http://schemas.openxmlformats.org/officeDocument/2006/relationships/hyperlink" Target="https://docs.google.com/open?id=1VlSGPNVTV7nzL827hVNFrN1CIZfDc1f05dfgc2qzpvw" TargetMode="External"/><Relationship Id="rId3028" Type="http://schemas.openxmlformats.org/officeDocument/2006/relationships/hyperlink" Target="https://drive.google.com/open?id=1-jrdE8cRZvI5Rfz7BI0il0R2v8zjsUJ4FcGlq3IJDbU&amp;usp=drive_copy" TargetMode="External"/><Relationship Id="rId3235" Type="http://schemas.openxmlformats.org/officeDocument/2006/relationships/hyperlink" Target="https://docs.google.com/open?id=1x6MgWiMfFeP-2w6mzPOjf5dUms4hyvgTcRY3gs6tuVE" TargetMode="External"/><Relationship Id="rId3442" Type="http://schemas.openxmlformats.org/officeDocument/2006/relationships/hyperlink" Target="https://docs.google.com/spreadsheets/d/18AYpcdqW__Uj8oUK72dYYPB5Q2hpTfCpuTq7Cw18ztQ" TargetMode="External"/><Relationship Id="rId156" Type="http://schemas.openxmlformats.org/officeDocument/2006/relationships/hyperlink" Target="https://docs.google.com/spreadsheets/d/1RMacLAUtlfrJ0QjHYYDO9GgdOjD5dz4ZQ9dW0ji9xQY/edit" TargetMode="External"/><Relationship Id="rId363" Type="http://schemas.openxmlformats.org/officeDocument/2006/relationships/hyperlink" Target="https://docs.google.com/open?id=1AflDdxj5GtkuKJsDK6EELF3DfYHgmCJlP-oIVpTgm_o" TargetMode="External"/><Relationship Id="rId570" Type="http://schemas.openxmlformats.org/officeDocument/2006/relationships/hyperlink" Target="https://docs.google.com/spreadsheets/d/1iuCdBVo6yQTl4ndwwoIEo4D2WdYc9qxKbP1EaXrMQLs" TargetMode="External"/><Relationship Id="rId2044" Type="http://schemas.openxmlformats.org/officeDocument/2006/relationships/hyperlink" Target="https://drive.google.com/open?id=1RcvHn8UmSUJnVTdhZDqkVTd6AyOnH3nsRPYso4rouDk&amp;usp=drive_copy" TargetMode="External"/><Relationship Id="rId2251" Type="http://schemas.openxmlformats.org/officeDocument/2006/relationships/hyperlink" Target="https://docs.google.com/open?id=140ZhkVAiahpRT1th_6cUTltV8cws6uma-lJeeuJJT6k" TargetMode="External"/><Relationship Id="rId3302" Type="http://schemas.openxmlformats.org/officeDocument/2006/relationships/hyperlink" Target="https://docs.google.com/spreadsheets/d/1CMv1lSTwVVLlKgXC1iVk9cQ26fx-WnQDcg8x8ksQ9WY" TargetMode="External"/><Relationship Id="rId223" Type="http://schemas.openxmlformats.org/officeDocument/2006/relationships/hyperlink" Target="https://docs.google.com/open?id=16fLehssuVd-GMaM2DSjtd_PrXcBpzKOHjOJ7Iin75KU" TargetMode="External"/><Relationship Id="rId430" Type="http://schemas.openxmlformats.org/officeDocument/2006/relationships/hyperlink" Target="https://docs.google.com/spreadsheets/d/1eHfVIuJUr35UiXp2DSH52bJfSrZ0A3gREZI4-n7FaQk" TargetMode="External"/><Relationship Id="rId1060" Type="http://schemas.openxmlformats.org/officeDocument/2006/relationships/hyperlink" Target="https://drive.google.com/open?id=1_lZAeTR44NLPw8o0YVl4JkitOMzmqwe85Vai3zHQvHQ&amp;usp=drive_copy" TargetMode="External"/><Relationship Id="rId2111" Type="http://schemas.openxmlformats.org/officeDocument/2006/relationships/hyperlink" Target="https://docs.google.com/open?id=112_AMzoi6eIQvc9EhNq3E6l0-jMuicXT_27Prs-ZtyA" TargetMode="External"/><Relationship Id="rId1877" Type="http://schemas.openxmlformats.org/officeDocument/2006/relationships/hyperlink" Target="https://drive.google.com/open?id=1rrxsUgZcebmq_EXVre3yoGj5K7TK_OyeTWWFpXWC-tQ" TargetMode="External"/><Relationship Id="rId2928" Type="http://schemas.openxmlformats.org/officeDocument/2006/relationships/hyperlink" Target="https://drive.google.com/open?id=16nOwJNZjj6axyzK5H8fPKZBhBLLYM3Q3bv2UD5YpI_U&amp;usp=drive_copy" TargetMode="External"/><Relationship Id="rId1737" Type="http://schemas.openxmlformats.org/officeDocument/2006/relationships/hyperlink" Target="https://docs.google.com/spreadsheets/d/1jLNf8Z_ggCDVtKRBWe0mr7gre3LCLqYYq10_rjFIYRA/edit?usp=sharing" TargetMode="External"/><Relationship Id="rId1944" Type="http://schemas.openxmlformats.org/officeDocument/2006/relationships/hyperlink" Target="https://drive.google.com/open?id=1v22mzuSWLt2ZDEoN1NNFkTozSm0nN0SKVh2EVilzU44&amp;usp=drive_copy" TargetMode="External"/><Relationship Id="rId3092" Type="http://schemas.openxmlformats.org/officeDocument/2006/relationships/hyperlink" Target="https://drive.google.com/open?id=1CehHk5pu2q8DN6btSupLBm_7TGv5hMWZBOzI_ccjnmU&amp;usp=drive_copy" TargetMode="External"/><Relationship Id="rId29" Type="http://schemas.openxmlformats.org/officeDocument/2006/relationships/hyperlink" Target="https://docs.google.com/spreadsheets/d/1AkWfNG3UYk9CuV0j5d1__OQ_WVIg-e7aEfe28o2mRGI/edit?usp=sharing" TargetMode="External"/><Relationship Id="rId1804" Type="http://schemas.openxmlformats.org/officeDocument/2006/relationships/hyperlink" Target="https://drive.google.com/open?id=1BZvpE2lIELEHrmqGgVagoASRdUm4x0umZ0AkPkuzWsA&amp;usp=drive_copy" TargetMode="External"/><Relationship Id="rId3769" Type="http://schemas.openxmlformats.org/officeDocument/2006/relationships/hyperlink" Target="https://drive.google.com/open?id=1Yp7MGDRhRootSQcpTiZSPHdr0pJe93NgN45rRBfdZSk" TargetMode="External"/><Relationship Id="rId897" Type="http://schemas.openxmlformats.org/officeDocument/2006/relationships/hyperlink" Target="https://drive.google.com/open?id=1R3ix6TlsU6FSycPVRYy2KtmwR-m0tlKaLbuWDkusD0w" TargetMode="External"/><Relationship Id="rId2578" Type="http://schemas.openxmlformats.org/officeDocument/2006/relationships/hyperlink" Target="https://docs.google.com/spreadsheets/d/1qSbpqhBnbT3tMzgcYUDNtl4jYShJmIvqrgwXWSJAw4I" TargetMode="External"/><Relationship Id="rId2785" Type="http://schemas.openxmlformats.org/officeDocument/2006/relationships/hyperlink" Target="https://drive.google.com/open?id=1HBCQ_XXfUmpmKaHIn83dtmHplKxjITHcMoC7wOksBgw" TargetMode="External"/><Relationship Id="rId2992" Type="http://schemas.openxmlformats.org/officeDocument/2006/relationships/hyperlink" Target="https://drive.google.com/open?id=1mnKPLyxOXQjn0E0yqs9JJZB9JiLp2bqc7d7hf0T9ySM&amp;usp=drive_copy" TargetMode="External"/><Relationship Id="rId3629" Type="http://schemas.openxmlformats.org/officeDocument/2006/relationships/hyperlink" Target="https://drive.google.com/open?id=1GHl_BhP-EU9pjuHRxjFgow14W8msGSYW2g81zoBcegc" TargetMode="External"/><Relationship Id="rId3836" Type="http://schemas.openxmlformats.org/officeDocument/2006/relationships/hyperlink" Target="https://drive.google.com/open?id=1zh2TuFV0FMAEYytBJUChBSc9SIJItqctq-QBvrPHvxM&amp;usp=drive_copy" TargetMode="External"/><Relationship Id="rId757" Type="http://schemas.openxmlformats.org/officeDocument/2006/relationships/hyperlink" Target="https://drive.google.com/open?id=1c3br8TdeXFL5utojEt0poDYlrdaQ7v0TiQ9p2dXiWuA" TargetMode="External"/><Relationship Id="rId964" Type="http://schemas.openxmlformats.org/officeDocument/2006/relationships/hyperlink" Target="https://drive.google.com/open?id=1KdqwKBtk-yEflHK_cIrmFrH-o0x9R7tXlkmmlGwwtS4&amp;usp=drive_copy" TargetMode="External"/><Relationship Id="rId1387" Type="http://schemas.openxmlformats.org/officeDocument/2006/relationships/hyperlink" Target="https://docs.google.com/open?id=1xkC4xgU4cTSK2tdI9qeWL40RdsVwQTpd1Ve1jirfPEI" TargetMode="External"/><Relationship Id="rId1594" Type="http://schemas.openxmlformats.org/officeDocument/2006/relationships/hyperlink" Target="https://docs.google.com/spreadsheets/d/1P-SnFiPbUmTrneBVUziQqOrKU8u-uvlp-9-M5KtblnY" TargetMode="External"/><Relationship Id="rId2438" Type="http://schemas.openxmlformats.org/officeDocument/2006/relationships/hyperlink" Target="https://docs.google.com/spreadsheets/d/1XmjjaxhccnvGh5nP_NwFuid8AOS8YXBHMmiOrkKZJXA" TargetMode="External"/><Relationship Id="rId2645" Type="http://schemas.openxmlformats.org/officeDocument/2006/relationships/hyperlink" Target="https://drive.google.com/open?id=18V2TuR64ZwJVbQdxwGrz8h3eNOhofDrzvLfElk1FTBw" TargetMode="External"/><Relationship Id="rId2852" Type="http://schemas.openxmlformats.org/officeDocument/2006/relationships/hyperlink" Target="https://drive.google.com/open?id=1mb56fxeCsNeZ0a6kyOs71lHHML1NvKdWPL1pxHAxARE&amp;usp=drive_copy" TargetMode="External"/><Relationship Id="rId3903" Type="http://schemas.openxmlformats.org/officeDocument/2006/relationships/hyperlink" Target="https://docs.google.com/open?id=16wByBKkq54MlVMp5UkjlFbElc_thB7GBJgwUFmV5emU" TargetMode="External"/><Relationship Id="rId93" Type="http://schemas.openxmlformats.org/officeDocument/2006/relationships/hyperlink" Target="https://docs.google.com/spreadsheets/d/1cgxhZHI42-wvnF_KMegFNiCeKEvgXbD0SY8Gb_CMSnk/edit?usp=sharing" TargetMode="External"/><Relationship Id="rId617" Type="http://schemas.openxmlformats.org/officeDocument/2006/relationships/hyperlink" Target="https://drive.google.com/open?id=15QfApwuhEO15jiw3v1uAAyQWvf6mevK46wqYBH7wyas" TargetMode="External"/><Relationship Id="rId824" Type="http://schemas.openxmlformats.org/officeDocument/2006/relationships/hyperlink" Target="https://drive.google.com/open?id=1n9Aa6HxVngvQq50B4UTfv8sE_B-XeDhjObcHuM4I11E&amp;usp=drive_copy" TargetMode="External"/><Relationship Id="rId1247" Type="http://schemas.openxmlformats.org/officeDocument/2006/relationships/hyperlink" Target="https://docs.google.com/open?id=1bTgNRyK39vkJ-4fk7f-e3fMLf-cXto449tmsgw762aE" TargetMode="External"/><Relationship Id="rId1454" Type="http://schemas.openxmlformats.org/officeDocument/2006/relationships/hyperlink" Target="https://docs.google.com/spreadsheets/d/1rpNu8ZwX5PG5PcLz3S5O2mSzQ-fLjtS5QNCQLe-Muj0" TargetMode="External"/><Relationship Id="rId1661" Type="http://schemas.openxmlformats.org/officeDocument/2006/relationships/hyperlink" Target="https://drive.google.com/open?id=1SvgwqPMmFRn7bd9BUNr0R5HUmumpGdQHHWFRch-vBN0" TargetMode="External"/><Relationship Id="rId2505" Type="http://schemas.openxmlformats.org/officeDocument/2006/relationships/hyperlink" Target="https://drive.google.com/open?id=1EE7F9TdJWX39Eaf_HwosXUAAqTVHuiDKG-FG6pfOzP0" TargetMode="External"/><Relationship Id="rId2712" Type="http://schemas.openxmlformats.org/officeDocument/2006/relationships/hyperlink" Target="https://drive.google.com/open?id=1uGLafnwIlis0kZmaAo4Pjzeo7Z74zkABUJIvqmVN_YE&amp;usp=drive_copy" TargetMode="External"/><Relationship Id="rId1107" Type="http://schemas.openxmlformats.org/officeDocument/2006/relationships/hyperlink" Target="https://docs.google.com/open?id=1DI6KzFnPokmWGqcgy68XWI0vr-ytPKUTrVh8p7T3T8k" TargetMode="External"/><Relationship Id="rId1314" Type="http://schemas.openxmlformats.org/officeDocument/2006/relationships/hyperlink" Target="https://docs.google.com/spreadsheets/d/1N_WrHcr11qulhkAdEab8_wuC2B7JHCxGyuLUPO_BLz8" TargetMode="External"/><Relationship Id="rId1521" Type="http://schemas.openxmlformats.org/officeDocument/2006/relationships/hyperlink" Target="https://drive.google.com/open?id=1C8nqDXbJfAiIjuDjiMu5OkA0dHOJ_GCj6_z55jqJYyk" TargetMode="External"/><Relationship Id="rId3279" Type="http://schemas.openxmlformats.org/officeDocument/2006/relationships/hyperlink" Target="https://docs.google.com/open?id=17MjiVkq4-IqFDqhagMXOFs7HEgZc8AUeRGcXk72DUN8" TargetMode="External"/><Relationship Id="rId3486" Type="http://schemas.openxmlformats.org/officeDocument/2006/relationships/hyperlink" Target="https://docs.google.com/spreadsheets/d/1rE_ckqhKl7FSC5fenyBrcNODErnTSokKP3B0_36z4CY" TargetMode="External"/><Relationship Id="rId3693" Type="http://schemas.openxmlformats.org/officeDocument/2006/relationships/hyperlink" Target="https://drive.google.com/open?id=1Yk1yQn_PGRwSe8BNNnKwSy6nlEdzEKhsFw9sdXWz_sk" TargetMode="External"/><Relationship Id="rId20" Type="http://schemas.openxmlformats.org/officeDocument/2006/relationships/hyperlink" Target="https://docs.google.com/spreadsheets/d/15WPjJJaiapTrjqvA8v70qJ9qqohXEXoqm8fjieBB7r8/edit" TargetMode="External"/><Relationship Id="rId2088" Type="http://schemas.openxmlformats.org/officeDocument/2006/relationships/hyperlink" Target="https://drive.google.com/open?id=1qi8RpRUilbwQp6yaE6A4fo9IsrE1w4X5EuFk7MfPJvw&amp;usp=drive_copy" TargetMode="External"/><Relationship Id="rId2295" Type="http://schemas.openxmlformats.org/officeDocument/2006/relationships/hyperlink" Target="https://docs.google.com/open?id=1eO-UXrCKF-KBpFJO6zIqf2VSS2FhG7PEzzz0H3z4uk8" TargetMode="External"/><Relationship Id="rId3139" Type="http://schemas.openxmlformats.org/officeDocument/2006/relationships/hyperlink" Target="https://docs.google.com/open?id=1R_kmgKHjC5dirWb3nEeOWZoW0lwdB2FKTN4qk-UUArg" TargetMode="External"/><Relationship Id="rId3346" Type="http://schemas.openxmlformats.org/officeDocument/2006/relationships/hyperlink" Target="https://docs.google.com/spreadsheets/d/1OOHMI232_oP5oX8fS28pYSkDNtpR-MiqpIFkHZYrjJE" TargetMode="External"/><Relationship Id="rId267" Type="http://schemas.openxmlformats.org/officeDocument/2006/relationships/hyperlink" Target="https://docs.google.com/open?id=1hEZozbbt04pi8zcWWtApBLkiKCwsFW7GZPrEICLjDvs" TargetMode="External"/><Relationship Id="rId474" Type="http://schemas.openxmlformats.org/officeDocument/2006/relationships/hyperlink" Target="https://docs.google.com/spreadsheets/d/1vUXqua83v3x9zh05wORCmfx2chW-Q5N-YKl7HU7_xxk" TargetMode="External"/><Relationship Id="rId2155" Type="http://schemas.openxmlformats.org/officeDocument/2006/relationships/hyperlink" Target="https://docs.google.com/open?id=1C_4Dx2yWp5F-kWIdkAmd4xPLMP1r_axfG0EQDBFEN_4" TargetMode="External"/><Relationship Id="rId3553" Type="http://schemas.openxmlformats.org/officeDocument/2006/relationships/hyperlink" Target="https://drive.google.com/open?id=1cJyH9G0xbvBMR_LB1KQIbph10iy8GP-WteejWLRZcuI" TargetMode="External"/><Relationship Id="rId3760" Type="http://schemas.openxmlformats.org/officeDocument/2006/relationships/hyperlink" Target="https://drive.google.com/open?id=1Vp9XSd4bFFHPTkZ3pBXqVAaqQ3D5HakYfXbBEzzxmXk&amp;usp=drive_copy" TargetMode="External"/><Relationship Id="rId127" Type="http://schemas.openxmlformats.org/officeDocument/2006/relationships/hyperlink" Target="https://docs.google.com/spreadsheets/d/1yQu_8qKdWU1iAVHxM6pd5K6Hl6M5VlhvsRoz6YD3MoM/edit?usp=sharing" TargetMode="External"/><Relationship Id="rId681" Type="http://schemas.openxmlformats.org/officeDocument/2006/relationships/hyperlink" Target="https://drive.google.com/open?id=1IpjbK_P7dAk_ICHRUCk0DpMxZOgclIBDIH9lpWsYM-E" TargetMode="External"/><Relationship Id="rId2362" Type="http://schemas.openxmlformats.org/officeDocument/2006/relationships/hyperlink" Target="https://docs.google.com/spreadsheets/d/10_OwX_aZhDoGS6yaVBeSj7im8Lh-mNudToK-z5iklOE" TargetMode="External"/><Relationship Id="rId3206" Type="http://schemas.openxmlformats.org/officeDocument/2006/relationships/hyperlink" Target="https://docs.google.com/spreadsheets/d/1p379W6bykEQ8xe3zOi8uiLhwC58RyN8BBToJl6cMk2Y" TargetMode="External"/><Relationship Id="rId3413" Type="http://schemas.openxmlformats.org/officeDocument/2006/relationships/hyperlink" Target="https://drive.google.com/open?id=1upMbc2DOHsxHu_J0dPK37xsFchSINnXvgmYGT1j2Pcs" TargetMode="External"/><Relationship Id="rId3620" Type="http://schemas.openxmlformats.org/officeDocument/2006/relationships/hyperlink" Target="https://docs.google.com/spreadsheets/d/1x3trs2wSiz5ktdTSnKOmaf0SXagaoGxqKwbd6xwRG0c/edit?usp=drive_link" TargetMode="External"/><Relationship Id="rId334" Type="http://schemas.openxmlformats.org/officeDocument/2006/relationships/hyperlink" Target="https://docs.google.com/spreadsheets/d/17BYHu_4eHwIFiihrpOpzhc-MhEVBCao5FjkTcBvd_1w" TargetMode="External"/><Relationship Id="rId541" Type="http://schemas.openxmlformats.org/officeDocument/2006/relationships/hyperlink" Target="https://drive.google.com/open?id=1N2b5eyYI6AWlfXQTEv_JxnPRRXHfsXF9RjK4Z3AUhcM" TargetMode="External"/><Relationship Id="rId1171" Type="http://schemas.openxmlformats.org/officeDocument/2006/relationships/hyperlink" Target="https://docs.google.com/open?id=1XOOR8P92_AArpIzWPUqW3e7Ozp_SI-A1s85gzXPKDwc" TargetMode="External"/><Relationship Id="rId2015" Type="http://schemas.openxmlformats.org/officeDocument/2006/relationships/hyperlink" Target="https://docs.google.com/open?id=1qz-QanfNnKYCuEUwecPOPU4pSGBcW0ts_uhGZXtaLs8" TargetMode="External"/><Relationship Id="rId2222" Type="http://schemas.openxmlformats.org/officeDocument/2006/relationships/hyperlink" Target="https://docs.google.com/spreadsheets/d/1rzdx9UAhbIRoxrMEutVUaRWfVqoguv6al7RHo09Q7qs" TargetMode="External"/><Relationship Id="rId401" Type="http://schemas.openxmlformats.org/officeDocument/2006/relationships/hyperlink" Target="https://drive.google.com/open?id=1HyvwxqD5FNZqjR8zH5AobLOZNgEZj5B8DhfxGq-R-e8" TargetMode="External"/><Relationship Id="rId1031" Type="http://schemas.openxmlformats.org/officeDocument/2006/relationships/hyperlink" Target="https://docs.google.com/open?id=1vPgpyo5KwkkYOHcKUiZVN-i7Gi-n4OudoxZ86i1DynE" TargetMode="External"/><Relationship Id="rId1988" Type="http://schemas.openxmlformats.org/officeDocument/2006/relationships/hyperlink" Target="https://drive.google.com/open?id=1bUrbjQoyRd_8zWya9Ql-oZVVEdKMJVD62WjZnWWglEY&amp;usp=drive_copy" TargetMode="External"/><Relationship Id="rId1848" Type="http://schemas.openxmlformats.org/officeDocument/2006/relationships/hyperlink" Target="https://drive.google.com/open?id=1CVec7J3OIvr4Ihx7henQ_ebOj3ZDuGwaOY4cGgm6rEM&amp;usp=drive_copy" TargetMode="External"/><Relationship Id="rId3063" Type="http://schemas.openxmlformats.org/officeDocument/2006/relationships/hyperlink" Target="https://docs.google.com/open?id=14P8BxsnIp5GPkBBcP9ANehw2qkofm97ZOqcXgzCog5s" TargetMode="External"/><Relationship Id="rId3270" Type="http://schemas.openxmlformats.org/officeDocument/2006/relationships/hyperlink" Target="https://docs.google.com/spreadsheets/d/15gskuiLJ7NnwRC3YF9-7hGMug8sEDze5zbG9chymo6U" TargetMode="External"/><Relationship Id="rId191" Type="http://schemas.openxmlformats.org/officeDocument/2006/relationships/hyperlink" Target="https://docs.google.com/spreadsheets/d/1RaBb4CQNYNCR44ydY7G-u6f9xYWCHOZ3o4MQK2PzfMo/edit?usp=sharing" TargetMode="External"/><Relationship Id="rId1708" Type="http://schemas.openxmlformats.org/officeDocument/2006/relationships/hyperlink" Target="https://drive.google.com/open?id=1aj0nnqQJ8kdvSNyQQZ6Mx1y7gRbQZ64taRxAvkpPcnk&amp;usp=drive_copy" TargetMode="External"/><Relationship Id="rId1915" Type="http://schemas.openxmlformats.org/officeDocument/2006/relationships/hyperlink" Target="https://docs.google.com/open?id=19OXvvJG73L7zFakAj-D78OPeowZrM1dVOLUKMWse13M" TargetMode="External"/><Relationship Id="rId3130" Type="http://schemas.openxmlformats.org/officeDocument/2006/relationships/hyperlink" Target="https://docs.google.com/spreadsheets/d/1QIzz8HYesPRmic6Qkc5-ebla4knJzqQHHpoOj4BbwI0" TargetMode="External"/><Relationship Id="rId2689" Type="http://schemas.openxmlformats.org/officeDocument/2006/relationships/hyperlink" Target="https://drive.google.com/open?id=1IccExUFXt5XdjHHTMrTFVK-VM4nKT4kcsB6qQ482lao" TargetMode="External"/><Relationship Id="rId2896" Type="http://schemas.openxmlformats.org/officeDocument/2006/relationships/hyperlink" Target="https://drive.google.com/open?id=1VRx1_kzqtzOcQap8Edcli55mX_SZmlUdk6fdp24kplY&amp;usp=drive_copy" TargetMode="External"/><Relationship Id="rId3947" Type="http://schemas.openxmlformats.org/officeDocument/2006/relationships/hyperlink" Target="https://docs.google.com/open?id=1osIE4GcDxk6_15hdNrHtYNNdIHD9MeFX8rABG_0MUlg" TargetMode="External"/><Relationship Id="rId868" Type="http://schemas.openxmlformats.org/officeDocument/2006/relationships/hyperlink" Target="https://drive.google.com/open?id=1xVwIVwhJZ1aLTQLS03BeQMS_wvvUh2wZfIX_cEuIWvY&amp;usp=drive_copy" TargetMode="External"/><Relationship Id="rId1498" Type="http://schemas.openxmlformats.org/officeDocument/2006/relationships/hyperlink" Target="https://docs.google.com/spreadsheets/d/1LrWvHuQX6DHow6YrL92yJDBgCwhl25PX9bpU07Pltj8" TargetMode="External"/><Relationship Id="rId2549" Type="http://schemas.openxmlformats.org/officeDocument/2006/relationships/hyperlink" Target="https://drive.google.com/open?id=1jbXLlkwoxgCySTy6o6zAcNPhyxQ0nEUCmjA-dKjU2ec" TargetMode="External"/><Relationship Id="rId2756" Type="http://schemas.openxmlformats.org/officeDocument/2006/relationships/hyperlink" Target="https://drive.google.com/open?id=1bpzPTv2x34Z3f7I7vnh0EdNcL2_IXuBRk0j86EfK_i8&amp;usp=drive_copy" TargetMode="External"/><Relationship Id="rId2963" Type="http://schemas.openxmlformats.org/officeDocument/2006/relationships/hyperlink" Target="https://docs.google.com/open?id=1Q7yOGnlcdHOfhi2u-d7NAPhNn4lEPtu8ki0kQw_Ayus" TargetMode="External"/><Relationship Id="rId3807" Type="http://schemas.openxmlformats.org/officeDocument/2006/relationships/hyperlink" Target="https://docs.google.com/open?id=1dqJTwOHJYL_xbryi9hkDlRUtEz4fuB8nYqhqvT77a1A" TargetMode="External"/><Relationship Id="rId728" Type="http://schemas.openxmlformats.org/officeDocument/2006/relationships/hyperlink" Target="https://drive.google.com/open?id=1XvsihmVQFuIhNuYLr4ZY3pwe7z0DK2N9-5RGJzYmsxE&amp;usp=drive_copy" TargetMode="External"/><Relationship Id="rId935" Type="http://schemas.openxmlformats.org/officeDocument/2006/relationships/hyperlink" Target="https://docs.google.com/open?id=1GqkYkQuEJEjU5J0ZRInGet7apy2Crxxg2bkyABnVSs0" TargetMode="External"/><Relationship Id="rId1358" Type="http://schemas.openxmlformats.org/officeDocument/2006/relationships/hyperlink" Target="https://docs.google.com/spreadsheets/d/1Jj5otQeDso0D0uNQp3S1GmCwFSEJTRkMJh8BeAIHIhI" TargetMode="External"/><Relationship Id="rId1565" Type="http://schemas.openxmlformats.org/officeDocument/2006/relationships/hyperlink" Target="https://drive.google.com/open?id=1vbIpNLIrtsRBXqGoKiTY2MwTpkrvJpMfY-4jcOc-87Q" TargetMode="External"/><Relationship Id="rId1772" Type="http://schemas.openxmlformats.org/officeDocument/2006/relationships/hyperlink" Target="https://drive.google.com/open?id=1um608jV13fNH1ZbjwoXwV-tSluf_VdhWse6cXP4D8hU&amp;usp=drive_copy" TargetMode="External"/><Relationship Id="rId2409" Type="http://schemas.openxmlformats.org/officeDocument/2006/relationships/hyperlink" Target="https://drive.google.com/open?id=1BiOy31ydaVVAcBt-Odrlic5lW7IjRXsL3sfcaf-bVN0" TargetMode="External"/><Relationship Id="rId2616" Type="http://schemas.openxmlformats.org/officeDocument/2006/relationships/hyperlink" Target="https://drive.google.com/open?id=1-0X0HMeTQmIRCk_pJfwsz13RQ3KiqggzPT64BlsAfK8&amp;usp=drive_copy" TargetMode="External"/><Relationship Id="rId64" Type="http://schemas.openxmlformats.org/officeDocument/2006/relationships/hyperlink" Target="https://docs.google.com/spreadsheets/d/1JDadAZ9sInAQxLvUtnYfZkukrKwMmqJhsII4hYz0RDQ/edit" TargetMode="External"/><Relationship Id="rId1218" Type="http://schemas.openxmlformats.org/officeDocument/2006/relationships/hyperlink" Target="https://docs.google.com/spreadsheets/d/1Og3mVdnDiCjFpE9cXvXy66fPL0fhJjpQ-28U3d9XHf4" TargetMode="External"/><Relationship Id="rId1425" Type="http://schemas.openxmlformats.org/officeDocument/2006/relationships/hyperlink" Target="https://drive.google.com/open?id=1mbTS3Bu6MS0ju-5srY3pPB5b8S95ojZrjyxgkkp-DiQ" TargetMode="External"/><Relationship Id="rId2823" Type="http://schemas.openxmlformats.org/officeDocument/2006/relationships/hyperlink" Target="https://docs.google.com/open?id=1JhCbbPaj6nNSi2eaVB4InnD5fX6_dRTCR5p9B1HiIDg" TargetMode="External"/><Relationship Id="rId1632" Type="http://schemas.openxmlformats.org/officeDocument/2006/relationships/hyperlink" Target="https://drive.google.com/open?id=1qDjLQ2-zmIKipmsLWvCvt2a-M6hKKOyBZzsFPfmRvJM&amp;usp=drive_copy" TargetMode="External"/><Relationship Id="rId2199" Type="http://schemas.openxmlformats.org/officeDocument/2006/relationships/hyperlink" Target="https://docs.google.com/open?id=1tsIodRSz24w_PZMtOuk1zD2qSUpuAIJOMNZBmszMLGI" TargetMode="External"/><Relationship Id="rId3597" Type="http://schemas.openxmlformats.org/officeDocument/2006/relationships/hyperlink" Target="https://drive.google.com/open?id=1TFECJJopodwekhtR2PKF9WgnAcBWKltb4U9QfBUHZFc" TargetMode="External"/><Relationship Id="rId3457" Type="http://schemas.openxmlformats.org/officeDocument/2006/relationships/hyperlink" Target="https://drive.google.com/open?id=1Kk5ljm1U1aNX9U-iO3woyNGOVfHVoaCk0XRcsdKqFE8" TargetMode="External"/><Relationship Id="rId3664" Type="http://schemas.openxmlformats.org/officeDocument/2006/relationships/hyperlink" Target="https://drive.google.com/open?id=19ZDN6-sAUd9J7XkAkFvRVoMzw1UnPWUn7WxMS0UCz04&amp;usp=drive_copy" TargetMode="External"/><Relationship Id="rId3871" Type="http://schemas.openxmlformats.org/officeDocument/2006/relationships/hyperlink" Target="https://docs.google.com/open?id=1sPpECM-rL9ae2oTcbCokVyn1lkK79LtZ767loRcKsOo" TargetMode="External"/><Relationship Id="rId378" Type="http://schemas.openxmlformats.org/officeDocument/2006/relationships/hyperlink" Target="https://docs.google.com/spreadsheets/d/1CRN8ALEZ1JhgGnTmc67xxrR2NkW3Rzxz2wjVTlzF6R0" TargetMode="External"/><Relationship Id="rId585" Type="http://schemas.openxmlformats.org/officeDocument/2006/relationships/hyperlink" Target="https://drive.google.com/open?id=1qnUnVWn2kRKO8oLDUSWhjsxsZYJJh5ofKS5i2hS0Prk" TargetMode="External"/><Relationship Id="rId792" Type="http://schemas.openxmlformats.org/officeDocument/2006/relationships/hyperlink" Target="https://drive.google.com/open?id=1ncnwZuMQy05fjCX98NBp_RkrmXPGyLpIea6g6mbazAg&amp;usp=drive_copy" TargetMode="External"/><Relationship Id="rId2059" Type="http://schemas.openxmlformats.org/officeDocument/2006/relationships/hyperlink" Target="https://docs.google.com/open?id=10mbr-0vwM8kYmIfhGJyI31hWVUgazf863FXyTN0cu2A" TargetMode="External"/><Relationship Id="rId2266" Type="http://schemas.openxmlformats.org/officeDocument/2006/relationships/hyperlink" Target="https://docs.google.com/spreadsheets/d/1GjupOWxtK-zw87q_JSH5PTCFprpcXdqguwBvEHPbSh8" TargetMode="External"/><Relationship Id="rId2473" Type="http://schemas.openxmlformats.org/officeDocument/2006/relationships/hyperlink" Target="https://drive.google.com/open?id=1HgwxKJP6-XjGZYXnLuy-dAy8hCHXAspBVTq9KUkKxgA" TargetMode="External"/><Relationship Id="rId2680" Type="http://schemas.openxmlformats.org/officeDocument/2006/relationships/hyperlink" Target="https://drive.google.com/open?id=1GKFZB2ZgLyj-2sXoNSsxZ7TMuEoz_6HUSJJCrNs6HGo&amp;usp=drive_copy" TargetMode="External"/><Relationship Id="rId3317" Type="http://schemas.openxmlformats.org/officeDocument/2006/relationships/hyperlink" Target="https://drive.google.com/open?id=1EZrU53gtJdwsEYuNiHOgrMRTrEKmUh9hNrRFMLVCOGw" TargetMode="External"/><Relationship Id="rId3524" Type="http://schemas.openxmlformats.org/officeDocument/2006/relationships/hyperlink" Target="https://drive.google.com/open?id=1P30C7qC89zbuaidMCY1Hk2p00nfFb_PzLKl5HwA-xnU&amp;usp=drive_copy" TargetMode="External"/><Relationship Id="rId3731" Type="http://schemas.openxmlformats.org/officeDocument/2006/relationships/hyperlink" Target="https://docs.google.com/open?id=1HtUSkXQu9RYEKgAWQqmPbFTbzZkrb9t3uAmfHXapDII" TargetMode="External"/><Relationship Id="rId238" Type="http://schemas.openxmlformats.org/officeDocument/2006/relationships/hyperlink" Target="https://docs.google.com/spreadsheets/d/1HbDkQWBTrC4m6BP6mGZnpISwcXxH7rlaAYE9YshF_II" TargetMode="External"/><Relationship Id="rId445" Type="http://schemas.openxmlformats.org/officeDocument/2006/relationships/hyperlink" Target="https://drive.google.com/open?id=1k_Gd0Vrw4G7BWPAuQERQkoSXk7sws1wdJ9vK8QoMMQo" TargetMode="External"/><Relationship Id="rId652" Type="http://schemas.openxmlformats.org/officeDocument/2006/relationships/hyperlink" Target="https://drive.google.com/open?id=1EU6FPBVs4_bHZk5YhLGRafEA6_g5xHbvZj8VG2o9qeY&amp;usp=drive_copy" TargetMode="External"/><Relationship Id="rId1075" Type="http://schemas.openxmlformats.org/officeDocument/2006/relationships/hyperlink" Target="https://docs.google.com/open?id=1BRXpynHU4hwj1t-FIBojMXbyvBVKSj0DiATGFbOTeS4" TargetMode="External"/><Relationship Id="rId1282" Type="http://schemas.openxmlformats.org/officeDocument/2006/relationships/hyperlink" Target="https://docs.google.com/spreadsheets/d/1g_NUbBwo69eY5_dY7yaGXktnXb4aemyZRxtp-B3RCAw" TargetMode="External"/><Relationship Id="rId2126" Type="http://schemas.openxmlformats.org/officeDocument/2006/relationships/hyperlink" Target="https://docs.google.com/spreadsheets/d/1zZHX4a0FY2YJ2Eu5EhItf_gs00d53mwfU6nmXVTq2sI" TargetMode="External"/><Relationship Id="rId2333" Type="http://schemas.openxmlformats.org/officeDocument/2006/relationships/hyperlink" Target="https://drive.google.com/open?id=1f4WW9qVtuFPjrDhsFzzy7LYxpPaj0bfF8ZirxJlXjA0" TargetMode="External"/><Relationship Id="rId2540" Type="http://schemas.openxmlformats.org/officeDocument/2006/relationships/hyperlink" Target="https://drive.google.com/open?id=1hj9Co6STaAQxdUSeZPqhGx7CfFMhdiHnGboJ9Knc1Fg&amp;usp=drive_copy" TargetMode="External"/><Relationship Id="rId305" Type="http://schemas.openxmlformats.org/officeDocument/2006/relationships/hyperlink" Target="https://drive.google.com/open?id=10SsfHfjMWVVwwkAQdyfHcZnV2TxslEEFeE11YoZT14I" TargetMode="External"/><Relationship Id="rId512" Type="http://schemas.openxmlformats.org/officeDocument/2006/relationships/hyperlink" Target="https://drive.google.com/open?id=1WrO6d4_riEipMV3EXQ2EjXaQ2I5IYdIl5Mo4aYGadQg&amp;usp=drive_copy" TargetMode="External"/><Relationship Id="rId1142" Type="http://schemas.openxmlformats.org/officeDocument/2006/relationships/hyperlink" Target="https://docs.google.com/spreadsheets/d/1r9FRjTB0i50xfIz1__yWsyNKPNQ9aZGQ1Fmcqb0iR6Q" TargetMode="External"/><Relationship Id="rId2400" Type="http://schemas.openxmlformats.org/officeDocument/2006/relationships/hyperlink" Target="https://drive.google.com/open?id=14zMP8wU-P9XDjEapTt2vNxCj7-A38ewKHzv8GbkMsEQ&amp;usp=drive_copy" TargetMode="External"/><Relationship Id="rId1002" Type="http://schemas.openxmlformats.org/officeDocument/2006/relationships/hyperlink" Target="https://docs.google.com/spreadsheets/d/1ISEd3zZ3_P1FV2SCiUiV-r7i24_e-6GfzFQSFt3Oaak" TargetMode="External"/><Relationship Id="rId1959" Type="http://schemas.openxmlformats.org/officeDocument/2006/relationships/hyperlink" Target="https://docs.google.com/open?id=1zqWk2RzD3ZISP5pEqRHV_UOKPxgiq3K2008z6ObDq-o" TargetMode="External"/><Relationship Id="rId3174" Type="http://schemas.openxmlformats.org/officeDocument/2006/relationships/hyperlink" Target="https://docs.google.com/spreadsheets/d/1hFRUOlfSu5TkfyULTbaFb_WXE3h6_xvfhVQx2Ms3gag" TargetMode="External"/><Relationship Id="rId1819" Type="http://schemas.openxmlformats.org/officeDocument/2006/relationships/hyperlink" Target="https://docs.google.com/open?id=1AlCJEWk90gOYN_FH1lIm3DFOtuZWqHqrk9efEBmlnME" TargetMode="External"/><Relationship Id="rId3381" Type="http://schemas.openxmlformats.org/officeDocument/2006/relationships/hyperlink" Target="https://drive.google.com/open?id=1_RlN0CKB4oFHtLfEPSJ_YfvD7h0DBUwU4T2yuUDA6aA" TargetMode="External"/><Relationship Id="rId2190" Type="http://schemas.openxmlformats.org/officeDocument/2006/relationships/hyperlink" Target="https://docs.google.com/spreadsheets/d/1eAUiwnv25gIxi_M3hv8Y_2BqqOMs7Hz56cYir8lp70M" TargetMode="External"/><Relationship Id="rId3034" Type="http://schemas.openxmlformats.org/officeDocument/2006/relationships/hyperlink" Target="https://docs.google.com/spreadsheets/d/11Se6BOXImfM9O0fBFQM2VCinjPrwX42geCm-njfyD6U" TargetMode="External"/><Relationship Id="rId3241" Type="http://schemas.openxmlformats.org/officeDocument/2006/relationships/hyperlink" Target="https://drive.google.com/open?id=10DOeXShPMSPnKnYFX7tLGdFEFi2xwBWCt9ByQDPQmr8" TargetMode="External"/><Relationship Id="rId162" Type="http://schemas.openxmlformats.org/officeDocument/2006/relationships/hyperlink" Target="https://docs.google.com/spreadsheets/d/1J__KrQBj7f9jahY4-LsPYNH1CTvwEdeUymvj4XRzAKI/edit" TargetMode="External"/><Relationship Id="rId2050" Type="http://schemas.openxmlformats.org/officeDocument/2006/relationships/hyperlink" Target="https://docs.google.com/spreadsheets/d/1YH1tpdzFQjPmqYxFGID-KIc1M73TGdL9ohNRiS2KZpE" TargetMode="External"/><Relationship Id="rId3101" Type="http://schemas.openxmlformats.org/officeDocument/2006/relationships/hyperlink" Target="https://drive.google.com/open?id=1EVKR1rqQgTJacdCSP0b-LQ5t1dDdS-CT8RmYoL1ihDQ" TargetMode="External"/><Relationship Id="rId979" Type="http://schemas.openxmlformats.org/officeDocument/2006/relationships/hyperlink" Target="https://docs.google.com/open?id=1ZmpHtiGG6GHbJ3t4f7m6mVz6YP-37MXVLkmgSzjbKqg" TargetMode="External"/><Relationship Id="rId839" Type="http://schemas.openxmlformats.org/officeDocument/2006/relationships/hyperlink" Target="https://docs.google.com/open?id=1i_viCa1Ma0EfowXBQb0bgeYJxBglSuNcIB3Xq1pEsi0" TargetMode="External"/><Relationship Id="rId1469" Type="http://schemas.openxmlformats.org/officeDocument/2006/relationships/hyperlink" Target="https://drive.google.com/open?id=1wC7-pCxOkogy929zyEPMm6J8Gv-WrGvooR1dcUKkg-U" TargetMode="External"/><Relationship Id="rId2867" Type="http://schemas.openxmlformats.org/officeDocument/2006/relationships/hyperlink" Target="https://docs.google.com/open?id=18MREpkqj7gVpqlVVe-iK76z3Qxj6yF_oKO7AfG2qXT0" TargetMode="External"/><Relationship Id="rId3918" Type="http://schemas.openxmlformats.org/officeDocument/2006/relationships/hyperlink" Target="https://docs.google.com/spreadsheets/d/1CpCz0vLXMG11zC0rqWrZ5tvBrokKpg166AxbWCplO_g" TargetMode="External"/><Relationship Id="rId1676" Type="http://schemas.openxmlformats.org/officeDocument/2006/relationships/hyperlink" Target="https://drive.google.com/open?id=1xbPBtISoPN6_NSY-RV0ySEF8bvHNKqTyK9jJjp6XIq4&amp;usp=drive_copy" TargetMode="External"/><Relationship Id="rId1883" Type="http://schemas.openxmlformats.org/officeDocument/2006/relationships/hyperlink" Target="https://docs.google.com/open?id=12aMFFPFGxnyKOAy28b8Yfg7kyBhhJJtpTDSjgPmE6wg" TargetMode="External"/><Relationship Id="rId2727" Type="http://schemas.openxmlformats.org/officeDocument/2006/relationships/hyperlink" Target="https://docs.google.com/open?id=1sQstdyTWoH9wZivh1drMuerG_YTxIyrVkChnfl98yJA" TargetMode="External"/><Relationship Id="rId2934" Type="http://schemas.openxmlformats.org/officeDocument/2006/relationships/hyperlink" Target="https://docs.google.com/spreadsheets/d/18JOOyJE4xNDoZvD4njVJUwTqiyb45Op1PtUsA1_Q0BM" TargetMode="External"/><Relationship Id="rId906" Type="http://schemas.openxmlformats.org/officeDocument/2006/relationships/hyperlink" Target="https://docs.google.com/spreadsheets/d/1SsvHkRej2vBregcp2Lsl1i2jJj8r_J5OFIu_IM_TS5A" TargetMode="External"/><Relationship Id="rId1329" Type="http://schemas.openxmlformats.org/officeDocument/2006/relationships/hyperlink" Target="https://drive.google.com/open?id=1tEb11G8oP1Jx-Kfa31rJ-h1KP8rn2Iubpc4EMuUj7Ew" TargetMode="External"/><Relationship Id="rId1536" Type="http://schemas.openxmlformats.org/officeDocument/2006/relationships/hyperlink" Target="https://drive.google.com/open?id=1NxbUGqUHQ99sffyHI8XTxeIxOj9bdrNj1pszEIN-h4M&amp;usp=drive_copy" TargetMode="External"/><Relationship Id="rId1743" Type="http://schemas.openxmlformats.org/officeDocument/2006/relationships/hyperlink" Target="https://docs.google.com/open?id=1IvGLXJoz7d75gHCbZLlH5wx6DhZu_UQO1BSisDEZXII" TargetMode="External"/><Relationship Id="rId1950" Type="http://schemas.openxmlformats.org/officeDocument/2006/relationships/hyperlink" Target="https://docs.google.com/spreadsheets/d/1xmPvvV6D_6PxB9GT5NdPQTv2eJOtsA6v0GSQ1Xiu4a8" TargetMode="External"/><Relationship Id="rId35" Type="http://schemas.openxmlformats.org/officeDocument/2006/relationships/hyperlink" Target="https://docs.google.com/spreadsheets/d/1PnCXPopm7m_XIrY7rPQYCzXPKvRghZRuvMMXWqbOyUo/edit?usp=sharing" TargetMode="External"/><Relationship Id="rId1603" Type="http://schemas.openxmlformats.org/officeDocument/2006/relationships/hyperlink" Target="https://docs.google.com/open?id=1Quri5opIk3oNuE0qMxg-enBuT2fPJBEJoQHZThQaVGQ" TargetMode="External"/><Relationship Id="rId1810" Type="http://schemas.openxmlformats.org/officeDocument/2006/relationships/hyperlink" Target="https://docs.google.com/spreadsheets/d/13XdAr_uOiINSRGWHFDHReJW5DqbVdCwUnPzlWN-nTPM" TargetMode="External"/><Relationship Id="rId3568" Type="http://schemas.openxmlformats.org/officeDocument/2006/relationships/hyperlink" Target="https://drive.google.com/open?id=1GCAPpFIfgtRLEPE5cXjUTuIQSSFK4GoNHcD-7Prx-i4&amp;usp=drive_copy" TargetMode="External"/><Relationship Id="rId3775" Type="http://schemas.openxmlformats.org/officeDocument/2006/relationships/hyperlink" Target="https://docs.google.com/open?id=1ZdKx-gRc7vXwqzxPiusLqIw3EvOaG9XKjXGP2XwAuqk" TargetMode="External"/><Relationship Id="rId489" Type="http://schemas.openxmlformats.org/officeDocument/2006/relationships/hyperlink" Target="https://drive.google.com/open?id=1x9U92VBdOh3QgmPp4ZWEHEVYci7yySVeST9S6KdeL5I" TargetMode="External"/><Relationship Id="rId696" Type="http://schemas.openxmlformats.org/officeDocument/2006/relationships/hyperlink" Target="https://drive.google.com/open?id=1MCWYAfDexINng7XNBycVpbbjJ4zCkX3Uu46SR1hZ6EI&amp;usp=drive_copy" TargetMode="External"/><Relationship Id="rId2377" Type="http://schemas.openxmlformats.org/officeDocument/2006/relationships/hyperlink" Target="https://drive.google.com/open?id=1HHMaOW5q5JLo5M5MsXlALoKdzRAY0aRZEMGnEerxrzM" TargetMode="External"/><Relationship Id="rId2584" Type="http://schemas.openxmlformats.org/officeDocument/2006/relationships/hyperlink" Target="https://drive.google.com/open?id=1svK65Db2XbIZ3EF0tRrXJ89w6jJSrCjc46QLt0pRHA0&amp;usp=drive_copy" TargetMode="External"/><Relationship Id="rId2791" Type="http://schemas.openxmlformats.org/officeDocument/2006/relationships/hyperlink" Target="https://docs.google.com/open?id=1GUqqX2sUUIqUtHB-7RT8rcFxMd0I3LfOfcW5dGM5b5w" TargetMode="External"/><Relationship Id="rId3428" Type="http://schemas.openxmlformats.org/officeDocument/2006/relationships/hyperlink" Target="https://drive.google.com/open?id=13ny4rOEDEnY1AGkF5RMKA1PU0YlibcUxOK5H3q3Is-M&amp;usp=drive_copy" TargetMode="External"/><Relationship Id="rId3635" Type="http://schemas.openxmlformats.org/officeDocument/2006/relationships/hyperlink" Target="https://docs.google.com/open?id=19NWPP5RBg_Y2vIZ7pIZnkUtOcfOb-OMaViWz0CT52PA" TargetMode="External"/><Relationship Id="rId349" Type="http://schemas.openxmlformats.org/officeDocument/2006/relationships/hyperlink" Target="https://drive.google.com/open?id=19em8uyYuHZpV7EZI9rv_u0xfxQcUBavmiFpd7wOyhUs" TargetMode="External"/><Relationship Id="rId556" Type="http://schemas.openxmlformats.org/officeDocument/2006/relationships/hyperlink" Target="https://drive.google.com/open?id=1U6kEjj_XDAOLOxEUaZbHGmj3dtJkSYFdJEZp8QL7Rb8&amp;usp=drive_copy" TargetMode="External"/><Relationship Id="rId763" Type="http://schemas.openxmlformats.org/officeDocument/2006/relationships/hyperlink" Target="https://docs.google.com/open?id=1cbeGkjsmhBnqkSbnaED3lH6sqZYfy4rst8pE_bRbCAM" TargetMode="External"/><Relationship Id="rId1186" Type="http://schemas.openxmlformats.org/officeDocument/2006/relationships/hyperlink" Target="https://docs.google.com/spreadsheets/d/1Yis8bvL-ziqT88RZfFPowTkK1R7KVfqun4L18uOAEzI" TargetMode="External"/><Relationship Id="rId1393" Type="http://schemas.openxmlformats.org/officeDocument/2006/relationships/hyperlink" Target="https://drive.google.com/open?id=1xI28XMduWiyRsQRuEg9pXhAKlm_zkHZsHtqs-pC4cOI" TargetMode="External"/><Relationship Id="rId2237" Type="http://schemas.openxmlformats.org/officeDocument/2006/relationships/hyperlink" Target="https://drive.google.com/open?id=1E-39bO3bNSRhmNES2Fyy636-L9pMZTXgm9NWrYaIPv0" TargetMode="External"/><Relationship Id="rId2444" Type="http://schemas.openxmlformats.org/officeDocument/2006/relationships/hyperlink" Target="https://drive.google.com/open?id=1C3gI83EfwjXPAEk1x8HuqsYvPOf-XMjJTPVihXzB3LM&amp;usp=drive_copy" TargetMode="External"/><Relationship Id="rId3842" Type="http://schemas.openxmlformats.org/officeDocument/2006/relationships/hyperlink" Target="https://docs.google.com/spreadsheets/d/1ztvYGRzFuUHJJXOlbYuan0yQswk_YQTFCI1Zo_whx3w" TargetMode="External"/><Relationship Id="rId209" Type="http://schemas.openxmlformats.org/officeDocument/2006/relationships/hyperlink" Target="https://docs.google.com/spreadsheets/d/12mXedY5z58KXdD4H8WotwgFYFQqYtwnjc-mHiLSzOTE/edit?usp=sharing" TargetMode="External"/><Relationship Id="rId416" Type="http://schemas.openxmlformats.org/officeDocument/2006/relationships/hyperlink" Target="https://drive.google.com/open?id=1Jeqq8a6eQeAFJgcuEBZmj2cqIC2znoYyZT-OvV39pY4&amp;usp=drive_copy" TargetMode="External"/><Relationship Id="rId970" Type="http://schemas.openxmlformats.org/officeDocument/2006/relationships/hyperlink" Target="https://docs.google.com/spreadsheets/d/1Qa-Rt-lPbfDnuTDFE_19OQ6U0Vwv9FKOcpnhbmelh6w" TargetMode="External"/><Relationship Id="rId1046" Type="http://schemas.openxmlformats.org/officeDocument/2006/relationships/hyperlink" Target="https://docs.google.com/spreadsheets/d/16WA4VfPvnflY-Rpfm4rXZH29RuxySB0zyhoz031Jeqw" TargetMode="External"/><Relationship Id="rId1253" Type="http://schemas.openxmlformats.org/officeDocument/2006/relationships/hyperlink" Target="https://drive.google.com/open?id=1c93SYawf3vDqLUzX_RZpQXZDw6mAIyXefivHfven87I" TargetMode="External"/><Relationship Id="rId2651" Type="http://schemas.openxmlformats.org/officeDocument/2006/relationships/hyperlink" Target="https://docs.google.com/open?id=1A7ENQBIOfZAZGbp-VVBqZFoB-GKf8A-cFOvzvIVS888" TargetMode="External"/><Relationship Id="rId3702" Type="http://schemas.openxmlformats.org/officeDocument/2006/relationships/hyperlink" Target="https://docs.google.com/spreadsheets/d/1ygoaH-E2xwIA3OpOd3RsnvMKCUNrtXMS7FrvC5diEF8" TargetMode="External"/><Relationship Id="rId623" Type="http://schemas.openxmlformats.org/officeDocument/2006/relationships/hyperlink" Target="https://docs.google.com/open?id=12gWK6tQNOTSZt94ws7BXA73VCpywG_LlVxI9ulMbO8E" TargetMode="External"/><Relationship Id="rId830" Type="http://schemas.openxmlformats.org/officeDocument/2006/relationships/hyperlink" Target="https://docs.google.com/spreadsheets/d/1qpR5ONZQUsFyFulI_zYUaE953odJqd5EM5x3xK9XLW0" TargetMode="External"/><Relationship Id="rId1460" Type="http://schemas.openxmlformats.org/officeDocument/2006/relationships/hyperlink" Target="https://drive.google.com/open?id=1v7i39sM4HmRQ9TF48oJ52a8YmotNhL_JjJK8ANwIxqk&amp;usp=drive_copy" TargetMode="External"/><Relationship Id="rId2304" Type="http://schemas.openxmlformats.org/officeDocument/2006/relationships/hyperlink" Target="https://drive.google.com/open?id=1C_1B3o0dG9n_WF4jMaowYgYAN5ikM4iCmm-EnJNp9Tw&amp;usp=drive_copy" TargetMode="External"/><Relationship Id="rId2511" Type="http://schemas.openxmlformats.org/officeDocument/2006/relationships/hyperlink" Target="https://docs.google.com/open?id=1fvNCC2t16Qfk_o9AkKJAv-d_2t-c3Xre99PuELZhPZI" TargetMode="External"/><Relationship Id="rId1113" Type="http://schemas.openxmlformats.org/officeDocument/2006/relationships/hyperlink" Target="https://drive.google.com/open?id=1p9r9ZHTsIOZAQwuDiHReYmUzztPHbI4dg_hEC_4lG3Y" TargetMode="External"/><Relationship Id="rId1320" Type="http://schemas.openxmlformats.org/officeDocument/2006/relationships/hyperlink" Target="https://drive.google.com/open?id=1rpP-ND357rpD0yc2zJ0P-_TadzWruVkDytkEfmMJzPE&amp;usp=drive_copy" TargetMode="External"/><Relationship Id="rId3078" Type="http://schemas.openxmlformats.org/officeDocument/2006/relationships/hyperlink" Target="https://docs.google.com/spreadsheets/d/19pAZ_XP5vnFRIEPwwgAtvBNmrCMOxTaquaPgMM-L1FI" TargetMode="External"/><Relationship Id="rId3285" Type="http://schemas.openxmlformats.org/officeDocument/2006/relationships/hyperlink" Target="https://drive.google.com/open?id=19FnX7C-DXErXS6trn4mjEWD4dtuoA1r-Qn99_iD6rnY" TargetMode="External"/><Relationship Id="rId3492" Type="http://schemas.openxmlformats.org/officeDocument/2006/relationships/hyperlink" Target="https://drive.google.com/open?id=1JzcGtbGzXkzj43IU3jfTpNYbAR-EcA_b2T5o8vdTkeo&amp;usp=drive_copy" TargetMode="External"/><Relationship Id="rId2094" Type="http://schemas.openxmlformats.org/officeDocument/2006/relationships/hyperlink" Target="https://docs.google.com/spreadsheets/d/1jozkSJ-c0pOQMXXCjkAgYrmDaFrwUr9J-GPsDi4AnnM" TargetMode="External"/><Relationship Id="rId3145" Type="http://schemas.openxmlformats.org/officeDocument/2006/relationships/hyperlink" Target="https://drive.google.com/open?id=1Va5oy0t_jd39QSaMFrIyZnNU0FJBr-rAh53ey3ZEVLo" TargetMode="External"/><Relationship Id="rId3352" Type="http://schemas.openxmlformats.org/officeDocument/2006/relationships/hyperlink" Target="https://drive.google.com/open?id=1Pp1Ghnniuzx4PhOej2_tv5nh-I-KZjV9hK2OKn10D-A&amp;usp=drive_copy" TargetMode="External"/><Relationship Id="rId273" Type="http://schemas.openxmlformats.org/officeDocument/2006/relationships/hyperlink" Target="https://drive.google.com/open?id=1lbfJnMNqpi7gKnqhOm8ZeIrD89z1Gwdkb6n5q7UYH0s" TargetMode="External"/><Relationship Id="rId480" Type="http://schemas.openxmlformats.org/officeDocument/2006/relationships/hyperlink" Target="https://drive.google.com/open?id=1wMQbr05_r-X4uMyVsKJ8Ibj2ZQrvi7zlSBHbrv_H3VM&amp;usp=drive_copy" TargetMode="External"/><Relationship Id="rId2161" Type="http://schemas.openxmlformats.org/officeDocument/2006/relationships/hyperlink" Target="https://drive.google.com/open?id=1cqQPDYJshoAfoB9TRdfQY17UcIJ036j9FIUGLT35Mkg" TargetMode="External"/><Relationship Id="rId3005" Type="http://schemas.openxmlformats.org/officeDocument/2006/relationships/hyperlink" Target="https://drive.google.com/open?id=1rhKdNxZENi3iQXBOf2mtMsDAO5yX_2S-0pyN62VEn58" TargetMode="External"/><Relationship Id="rId3212" Type="http://schemas.openxmlformats.org/officeDocument/2006/relationships/hyperlink" Target="https://drive.google.com/open?id=1tHtlj7siaMRBFfV83T5Uls4JNBSa964qoiCMchp-Uzs&amp;usp=drive_copy" TargetMode="External"/><Relationship Id="rId133" Type="http://schemas.openxmlformats.org/officeDocument/2006/relationships/hyperlink" Target="https://docs.google.com/spreadsheets/d/1NAIDQDsM6unWiU0ohgUaoju3HNaPnjI6fV2f5jzrVy8/edit?usp=sharing" TargetMode="External"/><Relationship Id="rId340" Type="http://schemas.openxmlformats.org/officeDocument/2006/relationships/hyperlink" Target="https://drive.google.com/open?id=1405VFsE3hMwXuAmtEkcu630yJ7nxerAMrCTp5RKAzMc&amp;usp=drive_copy" TargetMode="External"/><Relationship Id="rId2021" Type="http://schemas.openxmlformats.org/officeDocument/2006/relationships/hyperlink" Target="https://drive.google.com/open?id=1jAMIDgWJQybcb8r7KykpfwMb-EcHt5QEdWF1kNkZ5Ns" TargetMode="External"/><Relationship Id="rId200" Type="http://schemas.openxmlformats.org/officeDocument/2006/relationships/hyperlink" Target="https://docs.google.com/spreadsheets/d/1Vj_ryLS_dMm6ONo4zmHjDbdOz1S4-zzbqk3W07-ISiw/edit" TargetMode="External"/><Relationship Id="rId2978" Type="http://schemas.openxmlformats.org/officeDocument/2006/relationships/hyperlink" Target="https://docs.google.com/spreadsheets/d/1dK-1GRWW7qKlqYsPMEacabrPGPnUBnoxVl4_b5qXxx0" TargetMode="External"/><Relationship Id="rId1787" Type="http://schemas.openxmlformats.org/officeDocument/2006/relationships/hyperlink" Target="https://docs.google.com/open?id=1mO6C_b6mBKmePJE5cBj_hx6Seiu8PTdyMZYgrGWJuLI" TargetMode="External"/><Relationship Id="rId1994" Type="http://schemas.openxmlformats.org/officeDocument/2006/relationships/hyperlink" Target="https://docs.google.com/spreadsheets/d/1Dqc_Pf95YQXb5424igOMFHGNucg4DNgzS87U9cUeycU" TargetMode="External"/><Relationship Id="rId2838" Type="http://schemas.openxmlformats.org/officeDocument/2006/relationships/hyperlink" Target="https://docs.google.com/spreadsheets/d/1g3hRnzu_zkX6M0lU4kh6wk94uChWtMO_sEGQT-791AA" TargetMode="External"/><Relationship Id="rId79" Type="http://schemas.openxmlformats.org/officeDocument/2006/relationships/hyperlink" Target="https://docs.google.com/spreadsheets/d/1DKPgl5OJQ_2_CCepQjfg7nkhOkEMNm26ZdWwOgpRPP8/edit?usp=sharing" TargetMode="External"/><Relationship Id="rId1647" Type="http://schemas.openxmlformats.org/officeDocument/2006/relationships/hyperlink" Target="https://docs.google.com/open?id=1O5OIIO6A9Wl9qW8TUh5VgOVniNYpTvt3KJVJjPaO3IQ" TargetMode="External"/><Relationship Id="rId1854" Type="http://schemas.openxmlformats.org/officeDocument/2006/relationships/hyperlink" Target="https://docs.google.com/spreadsheets/d/1xCCbkLrhy8swVra4EwyXrJwwS5tZm2iBK2NqKLo-a6A" TargetMode="External"/><Relationship Id="rId2905" Type="http://schemas.openxmlformats.org/officeDocument/2006/relationships/hyperlink" Target="https://drive.google.com/open?id=1iJNUFh3xGdGzCehlEuz7GJb8b3f_f2fV3cRqXvQ6iD4" TargetMode="External"/><Relationship Id="rId1507" Type="http://schemas.openxmlformats.org/officeDocument/2006/relationships/hyperlink" Target="https://docs.google.com/open?id=1AoqLRMfbxDdlkLPp4-L-DGGIvP-y-_6RZ_9_ZGxvn1s" TargetMode="External"/><Relationship Id="rId1714" Type="http://schemas.openxmlformats.org/officeDocument/2006/relationships/hyperlink" Target="https://docs.google.com/spreadsheets/d/1fdwJYovOBm4GBatw7NoRxwhxeZgIgsktpsUFfDiQgdM" TargetMode="External"/><Relationship Id="rId1921" Type="http://schemas.openxmlformats.org/officeDocument/2006/relationships/hyperlink" Target="https://drive.google.com/open?id=1hN48lGmjWpWkYR21-StJeMuNKeUeuY9SvvUkLpfTpH0" TargetMode="External"/><Relationship Id="rId3679" Type="http://schemas.openxmlformats.org/officeDocument/2006/relationships/hyperlink" Target="https://docs.google.com/open?id=1IpmCgn885JULqdjoGvMFlAzAu-iojSZDeuFfFMfNlgA" TargetMode="External"/><Relationship Id="rId2488" Type="http://schemas.openxmlformats.org/officeDocument/2006/relationships/hyperlink" Target="https://drive.google.com/open?id=1hpZT4rLx8oJP9qze-AN69HmDJwSjkfLUfdyUMBWBl3k&amp;usp=drive_copy" TargetMode="External"/><Relationship Id="rId3886" Type="http://schemas.openxmlformats.org/officeDocument/2006/relationships/hyperlink" Target="https://docs.google.com/spreadsheets/d/1oduhaIf8fcwj-eWTKp7sVf9TAEuuoYJAHr0ygSM_pEo" TargetMode="External"/><Relationship Id="rId1297" Type="http://schemas.openxmlformats.org/officeDocument/2006/relationships/hyperlink" Target="https://drive.google.com/open?id=1__D_DHUBWPg4FqLbqoqxmKhkWLnOeNx0lD5m702KrV0" TargetMode="External"/><Relationship Id="rId2695" Type="http://schemas.openxmlformats.org/officeDocument/2006/relationships/hyperlink" Target="https://docs.google.com/open?id=1NfSL4hQNYhYS76hNjW8IcTXq2ARCR3aTuOdBmpzbUo8" TargetMode="External"/><Relationship Id="rId3539" Type="http://schemas.openxmlformats.org/officeDocument/2006/relationships/hyperlink" Target="https://docs.google.com/open?id=1gD0Ddy423CRu97oM004S2MfK70Xjt-7BpeLO-rPcpqU" TargetMode="External"/><Relationship Id="rId3746" Type="http://schemas.openxmlformats.org/officeDocument/2006/relationships/hyperlink" Target="https://docs.google.com/spreadsheets/d/1SI4kIxZ-i0kHyYymJRPoUEJU2gRRKLyYzR_p8CbP-Rs" TargetMode="External"/><Relationship Id="rId667" Type="http://schemas.openxmlformats.org/officeDocument/2006/relationships/hyperlink" Target="https://docs.google.com/open?id=1Fsx-5ZOCfCKVWOXLqp9p7s9qwc0IipvCRLJfiksv8n8" TargetMode="External"/><Relationship Id="rId874" Type="http://schemas.openxmlformats.org/officeDocument/2006/relationships/hyperlink" Target="https://docs.google.com/spreadsheets/d/18bzRr9eE6gLLi1p0jkO0gWjsihw1tqcNLPhmPjEus_I" TargetMode="External"/><Relationship Id="rId2348" Type="http://schemas.openxmlformats.org/officeDocument/2006/relationships/hyperlink" Target="https://drive.google.com/open?id=1_lB4xeo89spumEvb56SHsPLccl1hDrHyTSw3w4wSl6g&amp;usp=drive_copy" TargetMode="External"/><Relationship Id="rId2555" Type="http://schemas.openxmlformats.org/officeDocument/2006/relationships/hyperlink" Target="https://docs.google.com/open?id=1k2CuP_y7KfJ3gCJ3lyOf7jIz04RA8pwtH9NE5aGpq24" TargetMode="External"/><Relationship Id="rId2762" Type="http://schemas.openxmlformats.org/officeDocument/2006/relationships/hyperlink" Target="https://docs.google.com/spreadsheets/d/1bR2ufX8Op8eqV5gVUrYQu6WPHgJ5sr0fP6saaNEWL-k" TargetMode="External"/><Relationship Id="rId3606" Type="http://schemas.openxmlformats.org/officeDocument/2006/relationships/hyperlink" Target="https://docs.google.com/spreadsheets/d/1hik3PZ4HHAcC15rCCghx5uFz39EaD1w2tTz7NvL9Wv4" TargetMode="External"/><Relationship Id="rId3813" Type="http://schemas.openxmlformats.org/officeDocument/2006/relationships/hyperlink" Target="https://drive.google.com/open?id=1nAUeg8nhByjQyE0nbbrN4HQq6Kwe4JMO1lmKt7iyi3E" TargetMode="External"/><Relationship Id="rId527" Type="http://schemas.openxmlformats.org/officeDocument/2006/relationships/hyperlink" Target="https://docs.google.com/open?id=103KL_VjoShnKTLjchsuvs_etS-tYQqzNE8Dbs_m5QYo" TargetMode="External"/><Relationship Id="rId734" Type="http://schemas.openxmlformats.org/officeDocument/2006/relationships/hyperlink" Target="https://docs.google.com/spreadsheets/d/1ZYsGL93hUEpIsfPXZXcFQ8UvpYdafnpu3DWPsXTaF3E" TargetMode="External"/><Relationship Id="rId941" Type="http://schemas.openxmlformats.org/officeDocument/2006/relationships/hyperlink" Target="https://drive.google.com/open?id=1SHUnS4dncNpz7YCd-hB6suWOY-kxE5GaGxxjn7571Oo" TargetMode="External"/><Relationship Id="rId1157" Type="http://schemas.openxmlformats.org/officeDocument/2006/relationships/hyperlink" Target="https://drive.google.com/open?id=1U3OXeXhbgaXTqO_-yUSfQiyA4NyEqttzT0DpZQKpNZM" TargetMode="External"/><Relationship Id="rId1364" Type="http://schemas.openxmlformats.org/officeDocument/2006/relationships/hyperlink" Target="https://drive.google.com/open?id=1MInGZBbEGIdR7hK4Xqu5znda_M1zVfDLfM5KQzwIRqI&amp;usp=drive_copy" TargetMode="External"/><Relationship Id="rId1571" Type="http://schemas.openxmlformats.org/officeDocument/2006/relationships/hyperlink" Target="https://docs.google.com/open?id=1yBs1KJvR8yku7URbo6W8Er7IUlsdgx9l5z5Z2FxLw_g" TargetMode="External"/><Relationship Id="rId2208" Type="http://schemas.openxmlformats.org/officeDocument/2006/relationships/hyperlink" Target="https://drive.google.com/open?id=102r7nKugopJHYu-XT1-7cBNDOnKcIGuFNtRHRl_2mcg&amp;usp=drive_copy" TargetMode="External"/><Relationship Id="rId2415" Type="http://schemas.openxmlformats.org/officeDocument/2006/relationships/hyperlink" Target="https://docs.google.com/open?id=1DNmcaNb_9LHk5ypYwBKO4NM6uEQYNNPLWE6uFEI-oIs" TargetMode="External"/><Relationship Id="rId2622" Type="http://schemas.openxmlformats.org/officeDocument/2006/relationships/hyperlink" Target="https://docs.google.com/spreadsheets/d/12tatt3fXXJgU72IzH9B_W1uuNOmUjRYuA2iN4rIsRrk" TargetMode="External"/><Relationship Id="rId70" Type="http://schemas.openxmlformats.org/officeDocument/2006/relationships/hyperlink" Target="https://docs.google.com/spreadsheets/d/1IFZYTBc8VPvqx44JLaC2C9boWHZ4ZuCVPAAie7BjxQs/edit" TargetMode="External"/><Relationship Id="rId801" Type="http://schemas.openxmlformats.org/officeDocument/2006/relationships/hyperlink" Target="https://drive.google.com/open?id=1jHoKTzOHUEoVSMIKilhHMKvGU6KARjQzHPlRd-XMikY" TargetMode="External"/><Relationship Id="rId1017" Type="http://schemas.openxmlformats.org/officeDocument/2006/relationships/hyperlink" Target="https://drive.google.com/open?id=1vM1v4OZYgij_oHrdxN3QvIJKTU0ApEqNdK3duiU4VII" TargetMode="External"/><Relationship Id="rId1224" Type="http://schemas.openxmlformats.org/officeDocument/2006/relationships/hyperlink" Target="https://drive.google.com/open?id=1OFeUEHRjAsBnku94OcZF75jRFJ9XV4JaanumlcjbimY&amp;usp=drive_copy" TargetMode="External"/><Relationship Id="rId1431" Type="http://schemas.openxmlformats.org/officeDocument/2006/relationships/hyperlink" Target="https://docs.google.com/open?id=1pSfHN2dkWjKfTx0ozR33SlCLhNVIlZzj11stTESMz9Y" TargetMode="External"/><Relationship Id="rId3189" Type="http://schemas.openxmlformats.org/officeDocument/2006/relationships/hyperlink" Target="https://drive.google.com/open?id=1iiDWyPM3p_HDFcSXscTlPduf3RpRqVWAURHvIKjVW28" TargetMode="External"/><Relationship Id="rId3396" Type="http://schemas.openxmlformats.org/officeDocument/2006/relationships/hyperlink" Target="https://drive.google.com/open?id=1pCy-7uCgNB6oTZL8D5rl2sClI77OeSEC0-Gmapc316U&amp;usp=drive_copy" TargetMode="External"/><Relationship Id="rId3049" Type="http://schemas.openxmlformats.org/officeDocument/2006/relationships/hyperlink" Target="https://drive.google.com/open?id=1288ftmk97ud5rhCBM1IvNd-eyBvZmxUgj3L45T3aJAI" TargetMode="External"/><Relationship Id="rId3256" Type="http://schemas.openxmlformats.org/officeDocument/2006/relationships/hyperlink" Target="https://drive.google.com/open?id=14K4vBGbEPLrpjqxWuBqkMZisO1QpDOqeoS-1ntR6goM&amp;usp=drive_copy" TargetMode="External"/><Relationship Id="rId3463" Type="http://schemas.openxmlformats.org/officeDocument/2006/relationships/hyperlink" Target="https://docs.google.com/open?id=1M4Ei5XLHh_AqnIF9110SlxEJXFTIrySqKK8HMc9rT8k" TargetMode="External"/><Relationship Id="rId177" Type="http://schemas.openxmlformats.org/officeDocument/2006/relationships/hyperlink" Target="https://docs.google.com/spreadsheets/d/1u7ZIaYWGVHH2cPOgN_F_C7OBcFxMFn74Mo5fl3kM_90/edit?usp=sharing" TargetMode="External"/><Relationship Id="rId384" Type="http://schemas.openxmlformats.org/officeDocument/2006/relationships/hyperlink" Target="https://drive.google.com/open?id=1GHnXCx0LnJC_JIy1DlN9P9EQpaEVohRuYPHdak8VkZg&amp;usp=drive_copy" TargetMode="External"/><Relationship Id="rId591" Type="http://schemas.openxmlformats.org/officeDocument/2006/relationships/hyperlink" Target="https://docs.google.com/open?id=1sHX0KoJRZc74ISydtKpHe0VS4-7QQtWaOe8XLATipOk" TargetMode="External"/><Relationship Id="rId2065" Type="http://schemas.openxmlformats.org/officeDocument/2006/relationships/hyperlink" Target="https://drive.google.com/open?id=1_Z9xhlLNQp8Gg84MYo3lOwLL1j3O0rpkd188A6qymLE" TargetMode="External"/><Relationship Id="rId2272" Type="http://schemas.openxmlformats.org/officeDocument/2006/relationships/hyperlink" Target="https://drive.google.com/open?id=13IXO_KWsN44UjR6jYAwOApXIcPgtchZKHLzXZN49ktc&amp;usp=drive_copy" TargetMode="External"/><Relationship Id="rId3116" Type="http://schemas.openxmlformats.org/officeDocument/2006/relationships/hyperlink" Target="https://drive.google.com/open?id=1I-vxLIVYfSOUtjQO7TMvGR1QBJWchh0c21ssBEdTrhY&amp;usp=drive_copy" TargetMode="External"/><Relationship Id="rId3670" Type="http://schemas.openxmlformats.org/officeDocument/2006/relationships/hyperlink" Target="https://docs.google.com/spreadsheets/d/1yjeF5-pkOGsYR_qPlRwkoxHwvdMtCJeEuOdytxXHgfs" TargetMode="External"/><Relationship Id="rId244" Type="http://schemas.openxmlformats.org/officeDocument/2006/relationships/hyperlink" Target="https://drive.google.com/open?id=1NvyKEQQLihaYxVjpQNCskWiifuJhyRv3QMxhWIGQhFs&amp;usp=drive_copy" TargetMode="External"/><Relationship Id="rId1081" Type="http://schemas.openxmlformats.org/officeDocument/2006/relationships/hyperlink" Target="https://drive.google.com/open?id=1hpIaW6OPhu-Wzs4jCob0b3BJt3IFD0vHWxah8OTuuVQ" TargetMode="External"/><Relationship Id="rId3323" Type="http://schemas.openxmlformats.org/officeDocument/2006/relationships/hyperlink" Target="https://docs.google.com/open?id=1Gj9Obdt_pt5xjryTJUUUqjMAzeze1zxwe0ZY2vIEEPc" TargetMode="External"/><Relationship Id="rId3530" Type="http://schemas.openxmlformats.org/officeDocument/2006/relationships/hyperlink" Target="https://docs.google.com/spreadsheets/d/1qCqj-iSsJPsQFZ560U3TOTy78w-l888Ydu7XQ3hU5hM" TargetMode="External"/><Relationship Id="rId451" Type="http://schemas.openxmlformats.org/officeDocument/2006/relationships/hyperlink" Target="https://docs.google.com/open?id=1klx-jM_uw9hDg7VHOS0x529_pFTS9wvAdIFBexxrz1Q" TargetMode="External"/><Relationship Id="rId2132" Type="http://schemas.openxmlformats.org/officeDocument/2006/relationships/hyperlink" Target="https://drive.google.com/open?id=1U9IhFiWSDuBKDWs_Q35FSL0yDRfuP0oq7UOlt7OUh4Y&amp;usp=drive_copy" TargetMode="External"/><Relationship Id="rId104" Type="http://schemas.openxmlformats.org/officeDocument/2006/relationships/hyperlink" Target="https://docs.google.com/spreadsheets/d/1CMFMHABfiex85dCoVLsKIT3_fLF_Y5oH1m-hjRkn91Q/edit" TargetMode="External"/><Relationship Id="rId311" Type="http://schemas.openxmlformats.org/officeDocument/2006/relationships/hyperlink" Target="https://docs.google.com/open?id=10Zzf91qP1H2PDmRipKtckjdBJNkXcHj30vf15FYyiAA" TargetMode="External"/><Relationship Id="rId1898" Type="http://schemas.openxmlformats.org/officeDocument/2006/relationships/hyperlink" Target="https://docs.google.com/spreadsheets/d/1itRX-eU3oKaBwBg1eva1Iw86l7By9Zb7ciHV84aNRus" TargetMode="External"/><Relationship Id="rId2949" Type="http://schemas.openxmlformats.org/officeDocument/2006/relationships/hyperlink" Target="https://drive.google.com/open?id=1MHJCwQcQNSV8n_R6I-zLfrAfKXBt2eiHCE_V_fEkUPU" TargetMode="External"/><Relationship Id="rId1758" Type="http://schemas.openxmlformats.org/officeDocument/2006/relationships/hyperlink" Target="https://docs.google.com/spreadsheets/d/1V6yu20UkgdKhMonMzjGUIWTYP2as6Onb-rGoh5RhXZk" TargetMode="External"/><Relationship Id="rId2809" Type="http://schemas.openxmlformats.org/officeDocument/2006/relationships/hyperlink" Target="https://drive.google.com/open?id=128NztE3J2EIjNv_irPNggRTyrD4tQi0shpmk_Qd9n_4" TargetMode="External"/><Relationship Id="rId1965" Type="http://schemas.openxmlformats.org/officeDocument/2006/relationships/hyperlink" Target="https://drive.google.com/open?id=1F8mh2f_xCHvYVXqCZR4UE3A7zt9fJAtyBMCw_Pbd0-E" TargetMode="External"/><Relationship Id="rId3180" Type="http://schemas.openxmlformats.org/officeDocument/2006/relationships/hyperlink" Target="https://drive.google.com/open?id=1iN8V6kILDpCOAUTUiY2gurcNtfqAKQwFaAYU2_j8xT0&amp;usp=drive_copy" TargetMode="External"/><Relationship Id="rId1618" Type="http://schemas.openxmlformats.org/officeDocument/2006/relationships/hyperlink" Target="https://docs.google.com/spreadsheets/d/1pAkRuvbyP7S49qfQYEnl6qBu_nFSTfzQ_s18PxCYCkI" TargetMode="External"/><Relationship Id="rId1825" Type="http://schemas.openxmlformats.org/officeDocument/2006/relationships/hyperlink" Target="https://drive.google.com/open?id=1Osc1TlACMEIMn4XmQgWi2hFlB5ZBS9Nuo7CoJcYrF1I" TargetMode="External"/><Relationship Id="rId3040" Type="http://schemas.openxmlformats.org/officeDocument/2006/relationships/hyperlink" Target="https://drive.google.com/open?id=11t1VkjBTaaNK_NdHKhawvQy0Rc9JhsgVEhXgftGm1Gs&amp;usp=drive_copy" TargetMode="External"/><Relationship Id="rId2599" Type="http://schemas.openxmlformats.org/officeDocument/2006/relationships/hyperlink" Target="https://docs.google.com/open?id=1tsl8mfgkSZosk35pnU1hGtMFXQDOUE44E0kBPsxi-d8" TargetMode="External"/><Relationship Id="rId3857" Type="http://schemas.openxmlformats.org/officeDocument/2006/relationships/hyperlink" Target="https://drive.google.com/open?id=1coomfJAONokVC15fN6Knp5MW4JZLrTtBNCi2DyhIolU" TargetMode="External"/><Relationship Id="rId778" Type="http://schemas.openxmlformats.org/officeDocument/2006/relationships/hyperlink" Target="https://docs.google.com/spreadsheets/d/1guCrqxjyAvw3Wse-sH49A4MJcrkldK5kLxFfybSBydA" TargetMode="External"/><Relationship Id="rId985" Type="http://schemas.openxmlformats.org/officeDocument/2006/relationships/hyperlink" Target="https://drive.google.com/open?id=1bd8DiGbSEZ3QJvrXK0bY80Zj7MSMvsa5mYzSSC_NGU8" TargetMode="External"/><Relationship Id="rId2459" Type="http://schemas.openxmlformats.org/officeDocument/2006/relationships/hyperlink" Target="https://docs.google.com/open?id=1cDi4Jr4B31xD9wwGXqXPwWZ0K07bE62O4aZio_Ee-Vk" TargetMode="External"/><Relationship Id="rId2666" Type="http://schemas.openxmlformats.org/officeDocument/2006/relationships/hyperlink" Target="https://docs.google.com/spreadsheets/d/1Ai4ecMLhjaGxhxEnEqL64cjB3nkz5cSYB_zSZLIcE0k" TargetMode="External"/><Relationship Id="rId2873" Type="http://schemas.openxmlformats.org/officeDocument/2006/relationships/hyperlink" Target="https://drive.google.com/open?id=13OnRcW7ESZKNo15sgUzNkmd_L_7ZOIWewAWJ0X7Xv5Y" TargetMode="External"/><Relationship Id="rId3717" Type="http://schemas.openxmlformats.org/officeDocument/2006/relationships/hyperlink" Target="https://drive.google.com/open?id=1KkMWFV9F_Olf03N8cs2fRlYh5SN1vdZN38G08P3Ys-k" TargetMode="External"/><Relationship Id="rId3924" Type="http://schemas.openxmlformats.org/officeDocument/2006/relationships/hyperlink" Target="https://drive.google.com/open?id=1hG1xZfWvrLZrkcDwtWpawuKV1-9Ijm0-E07otJ8fKBM&amp;usp=drive_copy" TargetMode="External"/><Relationship Id="rId638" Type="http://schemas.openxmlformats.org/officeDocument/2006/relationships/hyperlink" Target="https://docs.google.com/spreadsheets/d/1mEfo-7STl9l7TDG-nmn0LLWcMxmNUWf5f-tIZ8daGaU" TargetMode="External"/><Relationship Id="rId845" Type="http://schemas.openxmlformats.org/officeDocument/2006/relationships/hyperlink" Target="https://drive.google.com/open?id=10baP5j-2T_JSYMwfFwCs6CPVl4O06jIt9cqdrr9OtwE" TargetMode="External"/><Relationship Id="rId1268" Type="http://schemas.openxmlformats.org/officeDocument/2006/relationships/hyperlink" Target="https://drive.google.com/open?id=1ehTXtNyKxI8sdWQJRalOE7CkLNIHyFSzeDerlfvIjho&amp;usp=drive_copy" TargetMode="External"/><Relationship Id="rId1475" Type="http://schemas.openxmlformats.org/officeDocument/2006/relationships/hyperlink" Target="https://docs.google.com/open?id=1yKglbaiJ2AHEKXwNA8dXJzyIcE576a0Dn8I5b43TLik" TargetMode="External"/><Relationship Id="rId1682" Type="http://schemas.openxmlformats.org/officeDocument/2006/relationships/hyperlink" Target="https://docs.google.com/spreadsheets/d/12QyFqHTRjIZOnrLXNr9NmaSp8rnvYFKsPPRe_6Enczs" TargetMode="External"/><Relationship Id="rId2319" Type="http://schemas.openxmlformats.org/officeDocument/2006/relationships/hyperlink" Target="https://docs.google.com/open?id=1OPTkergdFEZYezeXIKRwnn8PLvKWaiU62h3i052WOB8" TargetMode="External"/><Relationship Id="rId2526" Type="http://schemas.openxmlformats.org/officeDocument/2006/relationships/hyperlink" Target="https://docs.google.com/spreadsheets/d/1cL0YXRJErBHsz2Dcib-JJ3g-rV7waf3sC8Y2kKHtzBk" TargetMode="External"/><Relationship Id="rId2733" Type="http://schemas.openxmlformats.org/officeDocument/2006/relationships/hyperlink" Target="https://drive.google.com/open?id=1d7iT8fLAxJeBp4TPBrgTuaes30t-zalwrkrCmeeEHI0" TargetMode="External"/><Relationship Id="rId705" Type="http://schemas.openxmlformats.org/officeDocument/2006/relationships/hyperlink" Target="https://drive.google.com/open?id=1P-hE-x-Nxd0tb3vcyrjzmtxs6VOeAGtQ7l_TrBZv7TU" TargetMode="External"/><Relationship Id="rId1128" Type="http://schemas.openxmlformats.org/officeDocument/2006/relationships/hyperlink" Target="https://drive.google.com/open?id=1lwyss_7wMpUIv0Eb2qCb2YsEPlxjf0Fx4TJTyDHCL3Q&amp;usp=drive_copy" TargetMode="External"/><Relationship Id="rId1335" Type="http://schemas.openxmlformats.org/officeDocument/2006/relationships/hyperlink" Target="https://docs.google.com/open?id=1u4Qs85Z2YWfr3FN8fpvzc1IKJqEijkVaqrG4bOuFOwM" TargetMode="External"/><Relationship Id="rId1542" Type="http://schemas.openxmlformats.org/officeDocument/2006/relationships/hyperlink" Target="https://docs.google.com/spreadsheets/d/1BjyddFfxjN8ROUiwiMYWElu0fvqK_3TBhZOMHkgSzxg/edit?usp=share_link" TargetMode="External"/><Relationship Id="rId2940" Type="http://schemas.openxmlformats.org/officeDocument/2006/relationships/hyperlink" Target="https://drive.google.com/open?id=1J6vl1p7n0dc6Vxyb1AHnQXuduAlQzZ3KkmYCrMsBpXQ&amp;usp=drive_copy" TargetMode="External"/><Relationship Id="rId912" Type="http://schemas.openxmlformats.org/officeDocument/2006/relationships/hyperlink" Target="https://drive.google.com/open?id=1SvSKL8C75JPtL2AI67EGw9NrRz_8DeCqmRflP63W0HA&amp;usp=drive_copy" TargetMode="External"/><Relationship Id="rId2800" Type="http://schemas.openxmlformats.org/officeDocument/2006/relationships/hyperlink" Target="https://drive.google.com/open?id=1AeBKCKz-zhMs5sPCu1DXxWnQsuZktwqEOljwcYK7n6Y&amp;usp=drive_copy" TargetMode="External"/><Relationship Id="rId41" Type="http://schemas.openxmlformats.org/officeDocument/2006/relationships/hyperlink" Target="https://docs.google.com/spreadsheets/d/1qwbmA1MrLWqNcPdslxbK_ce8Q5YJPeoHdSBT6eeR6Y0/edit?usp=sharing" TargetMode="External"/><Relationship Id="rId1402" Type="http://schemas.openxmlformats.org/officeDocument/2006/relationships/hyperlink" Target="https://docs.google.com/spreadsheets/d/1xwIpShrkCBz1_8eaQfHo0xzMua8p3PMDeCEyaUFvY5g" TargetMode="External"/><Relationship Id="rId288" Type="http://schemas.openxmlformats.org/officeDocument/2006/relationships/hyperlink" Target="https://drive.google.com/open?id=1uY6Pz6tteiw0PV8afHgeCW4qi-ZPFno6zGTGTFVrdVg&amp;usp=drive_copy" TargetMode="External"/><Relationship Id="rId3367" Type="http://schemas.openxmlformats.org/officeDocument/2006/relationships/hyperlink" Target="https://docs.google.com/open?id=1RPOd8h85ieURdIpnOM5w6_mXo8O5-jUQgD3PMix2wHQ" TargetMode="External"/><Relationship Id="rId3574" Type="http://schemas.openxmlformats.org/officeDocument/2006/relationships/hyperlink" Target="https://docs.google.com/spreadsheets/d/1sriO7LK-YCbgERo-yBZZZuuhBm80zstjcD6_BDzydtY" TargetMode="External"/><Relationship Id="rId3781" Type="http://schemas.openxmlformats.org/officeDocument/2006/relationships/hyperlink" Target="https://drive.google.com/open?id=1X9977pSfw_8T_W2EuVY_pyF-dk1kRFmT3b_LiHa32eY" TargetMode="External"/><Relationship Id="rId495" Type="http://schemas.openxmlformats.org/officeDocument/2006/relationships/hyperlink" Target="https://docs.google.com/open?id=13y-xpQPPXUCTfqu7A8owFAqLunprm0uplelyP_okWZU" TargetMode="External"/><Relationship Id="rId2176" Type="http://schemas.openxmlformats.org/officeDocument/2006/relationships/hyperlink" Target="https://drive.google.com/open?id=1vJQhAHyCp0iYVhrC3FVecoPao5DKZVbzYlR0rdC8mug&amp;usp=drive_copy" TargetMode="External"/><Relationship Id="rId2383" Type="http://schemas.openxmlformats.org/officeDocument/2006/relationships/hyperlink" Target="https://docs.google.com/open?id=1SOjXPypXqSXAHAEQPaFXljMmC25mCFzbBzRrsrA47ks" TargetMode="External"/><Relationship Id="rId2590" Type="http://schemas.openxmlformats.org/officeDocument/2006/relationships/hyperlink" Target="https://docs.google.com/spreadsheets/d/1sx5WVhXNy6607d3_U7jfG-NEgRH4psUo-61KtcyYKGY" TargetMode="External"/><Relationship Id="rId3227" Type="http://schemas.openxmlformats.org/officeDocument/2006/relationships/hyperlink" Target="https://docs.google.com/open?id=1wdHweScfbL0EVUCVGK5VaH2M4EzFpkZ4OhyaDnZnXI8" TargetMode="External"/><Relationship Id="rId3434" Type="http://schemas.openxmlformats.org/officeDocument/2006/relationships/hyperlink" Target="https://docs.google.com/spreadsheets/d/16w475vVUAnM6o9vbOIsGpgiM76cKmsCLKWT-tz2V7tg" TargetMode="External"/><Relationship Id="rId3641" Type="http://schemas.openxmlformats.org/officeDocument/2006/relationships/hyperlink" Target="https://drive.google.com/open?id=1UMn0T1328tuDd33dVst5TEXOEmomwule8U0dioZVhRM" TargetMode="External"/><Relationship Id="rId148" Type="http://schemas.openxmlformats.org/officeDocument/2006/relationships/hyperlink" Target="https://docs.google.com/spreadsheets/d/1FQS5z-zo9dBOl2aEsvxYAe7QZrugXeyAb5Dbbhu2zHc/edit" TargetMode="External"/><Relationship Id="rId355" Type="http://schemas.openxmlformats.org/officeDocument/2006/relationships/hyperlink" Target="https://docs.google.com/open?id=19mvdKqjA3iNQhCYKdFz1K0ZTg-LZWhEycE1OuCt5jnQ" TargetMode="External"/><Relationship Id="rId562" Type="http://schemas.openxmlformats.org/officeDocument/2006/relationships/hyperlink" Target="https://docs.google.com/spreadsheets/d/1h_WoUgQLtAtpcxVeggaqOBw_o-opGErf0a4nla_B1Fc" TargetMode="External"/><Relationship Id="rId1192" Type="http://schemas.openxmlformats.org/officeDocument/2006/relationships/hyperlink" Target="https://drive.google.com/open?id=1ZGcE8KqSeQF0J6zfp80i1TrHAoE3eFk8gtM375IcFOY&amp;usp=drive_copy" TargetMode="External"/><Relationship Id="rId2036" Type="http://schemas.openxmlformats.org/officeDocument/2006/relationships/hyperlink" Target="https://drive.google.com/open?id=1biTi2ymlkV4x9dXvw9oFu6Sw05uBhDTp5wXV7PymxRg&amp;usp=drive_copy" TargetMode="External"/><Relationship Id="rId2243" Type="http://schemas.openxmlformats.org/officeDocument/2006/relationships/hyperlink" Target="https://docs.google.com/open?id=1CpcRgciqgAQrz5_BC2x-uy9_NNEMAfuy7JNhwF1hvqs" TargetMode="External"/><Relationship Id="rId2450" Type="http://schemas.openxmlformats.org/officeDocument/2006/relationships/hyperlink" Target="https://docs.google.com/spreadsheets/d/1Dijqr-OktZIwWV0-PK1ir9pszEpEVDmfjf99l_EhFmo" TargetMode="External"/><Relationship Id="rId3501" Type="http://schemas.openxmlformats.org/officeDocument/2006/relationships/hyperlink" Target="https://drive.google.com/open?id=1rH6kyAVbX8pW5MAOrlk2Jokqia-0_4uWlt2iRtdD1mY" TargetMode="External"/><Relationship Id="rId215" Type="http://schemas.openxmlformats.org/officeDocument/2006/relationships/hyperlink" Target="https://docs.google.com/open?id=14PHFYBfwNIyFEI70LXz85hCHJNCd_-E4JiEYLXljb4U" TargetMode="External"/><Relationship Id="rId422" Type="http://schemas.openxmlformats.org/officeDocument/2006/relationships/hyperlink" Target="https://docs.google.com/spreadsheets/d/1L5vtww-CHU4fACZrzXt5nk2pfWiLXeHt6bazKm20Y6s" TargetMode="External"/><Relationship Id="rId1052" Type="http://schemas.openxmlformats.org/officeDocument/2006/relationships/hyperlink" Target="https://drive.google.com/open?id=1ntJt78MMO8tHEAJei-fcRgs7q9llWOt0MnI-NMC4PjA&amp;usp=drive_copy" TargetMode="External"/><Relationship Id="rId2103" Type="http://schemas.openxmlformats.org/officeDocument/2006/relationships/hyperlink" Target="https://docs.google.com/open?id=18qSbAXw4IAiqN7UMYpJ_lqFs-ERDVHiBfjRGi1nDb6o" TargetMode="External"/><Relationship Id="rId2310" Type="http://schemas.openxmlformats.org/officeDocument/2006/relationships/hyperlink" Target="https://docs.google.com/spreadsheets/d/1Xb0r4Qtg6NAcXp3XGsicju53acBxOt5Rptgp4Q1quIY" TargetMode="External"/><Relationship Id="rId1869" Type="http://schemas.openxmlformats.org/officeDocument/2006/relationships/hyperlink" Target="https://drive.google.com/open?id=1wxxu2GO_U-eppy_8UcrmaUsKrFVSuaW9Pl2oHDxuQ8M" TargetMode="External"/><Relationship Id="rId3084" Type="http://schemas.openxmlformats.org/officeDocument/2006/relationships/hyperlink" Target="https://drive.google.com/open?id=1ArTc1K8fu0f2BVdKP5gSH6pWa8ATK9XDeWY34kBBcM4&amp;usp=drive_copy" TargetMode="External"/><Relationship Id="rId3291" Type="http://schemas.openxmlformats.org/officeDocument/2006/relationships/hyperlink" Target="https://docs.google.com/open?id=19yc9NmctTc2hyHNhanpq9BxpRXWOynRnf2imPsqdp28" TargetMode="External"/><Relationship Id="rId1729" Type="http://schemas.openxmlformats.org/officeDocument/2006/relationships/hyperlink" Target="https://drive.google.com/open?id=1GXJycXRAsniebh4p2JAgv_fjiRPhZrrR90Ejy2Gi7wA" TargetMode="External"/><Relationship Id="rId1936" Type="http://schemas.openxmlformats.org/officeDocument/2006/relationships/hyperlink" Target="https://drive.google.com/open?id=1QYz-5adfwKa6Eptf2jisKw_mgaoIJEI4pp8242sJUMM&amp;usp=drive_copy" TargetMode="External"/><Relationship Id="rId3151" Type="http://schemas.openxmlformats.org/officeDocument/2006/relationships/hyperlink" Target="https://docs.google.com/open?id=1YLlvgfTuo2NZZkChUDmDqRmzzYZIhfhGyz2AW3J3xh4" TargetMode="External"/><Relationship Id="rId3011" Type="http://schemas.openxmlformats.org/officeDocument/2006/relationships/hyperlink" Target="https://docs.google.com/open?id=1uFFREyj9FnrBR7QtVPEqYaXaViO_p0eGWshC7pUa8sY" TargetMode="External"/><Relationship Id="rId5" Type="http://schemas.openxmlformats.org/officeDocument/2006/relationships/hyperlink" Target="https://docs.google.com/spreadsheets/d/1OLSigPm7QKfN2jhQQW8zhuOO85ahX1EMJtyEMxUPcxM/edit?usp=sharing" TargetMode="External"/><Relationship Id="rId889" Type="http://schemas.openxmlformats.org/officeDocument/2006/relationships/hyperlink" Target="https://drive.google.com/open?id=1OhkZpAQmSa7eDZlcNCm4tpoVKg5llb1fotV9WHO8q6Q" TargetMode="External"/><Relationship Id="rId2777" Type="http://schemas.openxmlformats.org/officeDocument/2006/relationships/hyperlink" Target="https://drive.google.com/open?id=1J4OUfYVevYIkMTNs7PYRvwLNtypwqeEwHbNQuRVjSkY" TargetMode="External"/><Relationship Id="rId749" Type="http://schemas.openxmlformats.org/officeDocument/2006/relationships/hyperlink" Target="https://drive.google.com/open?id=1_OC1x9LoKGkG1q2azWKy02arliNVRdFHPLG1bfvCfow" TargetMode="External"/><Relationship Id="rId1379" Type="http://schemas.openxmlformats.org/officeDocument/2006/relationships/hyperlink" Target="https://docs.google.com/open?id=11KSxHMGnoHkgZ0DLKwBfZft8R0qdo6rocjbz5kAT-ec" TargetMode="External"/><Relationship Id="rId1586" Type="http://schemas.openxmlformats.org/officeDocument/2006/relationships/hyperlink" Target="https://docs.google.com/spreadsheets/d/18wpsudP0sN6jREFfFPZ0UvvA4jm37aLeSzFUM9KcRMo" TargetMode="External"/><Relationship Id="rId2984" Type="http://schemas.openxmlformats.org/officeDocument/2006/relationships/hyperlink" Target="https://drive.google.com/open?id=1gZAFYnonIrMoTqtO_2f2RZJgKxJ8vHI9GpKbRjcRDbs&amp;usp=drive_copy" TargetMode="External"/><Relationship Id="rId3828" Type="http://schemas.openxmlformats.org/officeDocument/2006/relationships/hyperlink" Target="https://drive.google.com/open?id=1tZRJB1j9hziG_MFLArQoNBLT3XB73Dl60mxJ_A17UCk&amp;usp=drive_copy" TargetMode="External"/><Relationship Id="rId609" Type="http://schemas.openxmlformats.org/officeDocument/2006/relationships/hyperlink" Target="https://drive.google.com/open?id=10r_UsZUdmg54QO7bo8serIG-MqG3xlhPZDRdK2r9Kpw" TargetMode="External"/><Relationship Id="rId956" Type="http://schemas.openxmlformats.org/officeDocument/2006/relationships/hyperlink" Target="https://drive.google.com/open?id=1EfpRu0AWiuGZi-50E9z77xjsobE5vbJ4yk7Pv_htQlU&amp;usp=drive_copy" TargetMode="External"/><Relationship Id="rId1239" Type="http://schemas.openxmlformats.org/officeDocument/2006/relationships/hyperlink" Target="https://docs.google.com/open?id=1YqBBaniyF14mD60Fm1sG4tl90H188fWHllZV8WeghRc" TargetMode="External"/><Relationship Id="rId1793" Type="http://schemas.openxmlformats.org/officeDocument/2006/relationships/hyperlink" Target="https://drive.google.com/open?id=10DFYDDvNe3AZ4jpZx8gGBJWP8WiwHffFIRukjJi6Uw8" TargetMode="External"/><Relationship Id="rId2637" Type="http://schemas.openxmlformats.org/officeDocument/2006/relationships/hyperlink" Target="https://drive.google.com/open?id=15EG26otaYaMz5pLM2cwV__p3Hao_0saGDoTiGHY3n28" TargetMode="External"/><Relationship Id="rId2844" Type="http://schemas.openxmlformats.org/officeDocument/2006/relationships/hyperlink" Target="https://drive.google.com/open?id=11TIo12gaplYwBMjM1xADlYLIcaEjCnFCxLMJC4uYEDI&amp;usp=drive_copy" TargetMode="External"/><Relationship Id="rId85" Type="http://schemas.openxmlformats.org/officeDocument/2006/relationships/hyperlink" Target="https://docs.google.com/spreadsheets/d/1inBpI-Z0BO66TjIAGtxX2T7vUjYDbvpdEOxseMkvnT8/edit?usp=sharing" TargetMode="External"/><Relationship Id="rId816" Type="http://schemas.openxmlformats.org/officeDocument/2006/relationships/hyperlink" Target="https://drive.google.com/open?id=1k7dXBbFOVUnaY8cGkVNhZNLVJWVhuSnWIgfPvMcNjrY&amp;usp=drive_copy" TargetMode="External"/><Relationship Id="rId1446" Type="http://schemas.openxmlformats.org/officeDocument/2006/relationships/hyperlink" Target="https://docs.google.com/spreadsheets/d/14nV8fwn8fLh3_L6UJsAYePmumEC_O2FQdP-ozBdcY20" TargetMode="External"/><Relationship Id="rId1653" Type="http://schemas.openxmlformats.org/officeDocument/2006/relationships/hyperlink" Target="https://drive.google.com/open?id=1lQjB1bQpz-cknjSjwGGmxeegqSwBmLEZjef75RZP5H0" TargetMode="External"/><Relationship Id="rId1860" Type="http://schemas.openxmlformats.org/officeDocument/2006/relationships/hyperlink" Target="https://drive.google.com/open?id=1iyMkQ5bE99SbqFBG65IjhxkVCaPQadRGxOrPyW59dw8&amp;usp=drive_copy" TargetMode="External"/><Relationship Id="rId2704" Type="http://schemas.openxmlformats.org/officeDocument/2006/relationships/hyperlink" Target="https://drive.google.com/open?id=1yHOcB0P0-C8bbDp9y6_e3_QhPg-8swyMHSB4vAEEvvo&amp;usp=drive_copy" TargetMode="External"/><Relationship Id="rId2911" Type="http://schemas.openxmlformats.org/officeDocument/2006/relationships/hyperlink" Target="https://docs.google.com/open?id=1wVihCEqK9oub6pMR7JEDElWSDWyEFx1YWo0ARiyhgcc" TargetMode="External"/><Relationship Id="rId1306" Type="http://schemas.openxmlformats.org/officeDocument/2006/relationships/hyperlink" Target="https://docs.google.com/spreadsheets/d/1MXucdfS77PtxYhAhCcI0KwuMYEzMXwKM2mQnT9uVmuw" TargetMode="External"/><Relationship Id="rId1513" Type="http://schemas.openxmlformats.org/officeDocument/2006/relationships/hyperlink" Target="https://drive.google.com/open?id=1FXY-UNoP9j2BPz7MCmhsJ1Jz7t9AOhN-j2OWoMZ-7Uk" TargetMode="External"/><Relationship Id="rId1720" Type="http://schemas.openxmlformats.org/officeDocument/2006/relationships/hyperlink" Target="https://drive.google.com/open?id=1pv-oJn3kZ3J7LZWaKax10z-FmgwlT1FIZRjn_cFtR1Y&amp;usp=drive_copy" TargetMode="External"/><Relationship Id="rId12" Type="http://schemas.openxmlformats.org/officeDocument/2006/relationships/hyperlink" Target="https://docs.google.com/spreadsheets/d/1VnZRiUSLkcf280njKLZy4CbXomR3Lk2MA7HohaPJkLE/edit" TargetMode="External"/><Relationship Id="rId3478" Type="http://schemas.openxmlformats.org/officeDocument/2006/relationships/hyperlink" Target="https://docs.google.com/spreadsheets/d/1W8-YnxJU9mEmehXQIh8Ljt6bMy3x95GwhJYHGegfkxw" TargetMode="External"/><Relationship Id="rId3685" Type="http://schemas.openxmlformats.org/officeDocument/2006/relationships/hyperlink" Target="https://drive.google.com/open?id=1TNTNRv981Yl3_UDj9snbr7qhrCIY4W-oZudH8Ubdoww" TargetMode="External"/><Relationship Id="rId3892" Type="http://schemas.openxmlformats.org/officeDocument/2006/relationships/hyperlink" Target="https://drive.google.com/open?id=1re7KxSnGoHPIfrfLhDeKI3Pa-2ni4BBKVJT3qrXGkWQ&amp;usp=drive_copy" TargetMode="External"/><Relationship Id="rId399" Type="http://schemas.openxmlformats.org/officeDocument/2006/relationships/hyperlink" Target="https://docs.google.com/open?id=1HRxI6hz0luUE5zGREJtO7hMkntccRGx8FopS8oxozOk" TargetMode="External"/><Relationship Id="rId2287" Type="http://schemas.openxmlformats.org/officeDocument/2006/relationships/hyperlink" Target="https://docs.google.com/open?id=1Zo85uBGE13Qzd5paM2axQ0Ii1YohyoFaI_-_A5HcCoc" TargetMode="External"/><Relationship Id="rId2494" Type="http://schemas.openxmlformats.org/officeDocument/2006/relationships/hyperlink" Target="https://docs.google.com/spreadsheets/d/1ABl5HWNj_EPPJZ1lYqyBuuE9trN08kQPqWf5d3_xJSE" TargetMode="External"/><Relationship Id="rId3338" Type="http://schemas.openxmlformats.org/officeDocument/2006/relationships/hyperlink" Target="https://docs.google.com/spreadsheets/d/1LqfVSef_aOuCX_dREDH3UXrgYQQU0JmKN_DM1HCw0RY" TargetMode="External"/><Relationship Id="rId3545" Type="http://schemas.openxmlformats.org/officeDocument/2006/relationships/hyperlink" Target="https://drive.google.com/open?id=1chPG5BEYUfnuoEuJ6P16A7Hc4nj9jwlPafV2YxyrB0k" TargetMode="External"/><Relationship Id="rId3752" Type="http://schemas.openxmlformats.org/officeDocument/2006/relationships/hyperlink" Target="https://drive.google.com/open?id=13AMGlOKBAW-VZ8ToDUrrK6d4Xh26E-pLgYHTKTcAt_I&amp;usp=drive_copy" TargetMode="External"/><Relationship Id="rId259" Type="http://schemas.openxmlformats.org/officeDocument/2006/relationships/hyperlink" Target="https://docs.google.com/open?id=1V4yH_7ezu-rVrsvOpho86IBurptJI6IfVo1WT8tJzBI" TargetMode="External"/><Relationship Id="rId466" Type="http://schemas.openxmlformats.org/officeDocument/2006/relationships/hyperlink" Target="https://docs.google.com/spreadsheets/d/1qgLOwy0qMyZjypJatUEWeJiPf1ATQNjxTaHAxolzp48" TargetMode="External"/><Relationship Id="rId673" Type="http://schemas.openxmlformats.org/officeDocument/2006/relationships/hyperlink" Target="https://drive.google.com/open?id=1IBOp12-8ahZqktw556yk84p1LLqJVyCZHCoqVBt70Rk" TargetMode="External"/><Relationship Id="rId880" Type="http://schemas.openxmlformats.org/officeDocument/2006/relationships/hyperlink" Target="https://drive.google.com/open?id=1a6M75LEa0Mhn4ZyUiLyLZuTCwFWQ3H_ahBac0m_0iy8&amp;usp=drive_copy" TargetMode="External"/><Relationship Id="rId1096" Type="http://schemas.openxmlformats.org/officeDocument/2006/relationships/hyperlink" Target="https://drive.google.com/open?id=1mMcWuFVAwZhxChwjTzrL6lEaJwmyg3DSMEy8jlJqa50&amp;usp=drive_copy" TargetMode="External"/><Relationship Id="rId2147" Type="http://schemas.openxmlformats.org/officeDocument/2006/relationships/hyperlink" Target="https://docs.google.com/open?id=1Lk6E6szCZxhHjuz7lZa-A1CxGfD2ia3gaD7SYUWrlCw" TargetMode="External"/><Relationship Id="rId2354" Type="http://schemas.openxmlformats.org/officeDocument/2006/relationships/hyperlink" Target="https://docs.google.com/spreadsheets/d/1fqX2rnwxnkl7OpLwjM8LgM7ahxyRsdrJL1xus5ReMp4" TargetMode="External"/><Relationship Id="rId2561" Type="http://schemas.openxmlformats.org/officeDocument/2006/relationships/hyperlink" Target="https://drive.google.com/open?id=1kKOZ9UmMhjp7cM7JAMzefBqKghcwcKcqZJ_Nr5kvgkA" TargetMode="External"/><Relationship Id="rId3405" Type="http://schemas.openxmlformats.org/officeDocument/2006/relationships/hyperlink" Target="https://drive.google.com/open?id=1rDqG8HquCwW9pnZZCYlHGX7ElQehNuNDHFV-OcxgQXA" TargetMode="External"/><Relationship Id="rId119" Type="http://schemas.openxmlformats.org/officeDocument/2006/relationships/hyperlink" Target="https://docs.google.com/spreadsheets/d/1CrHFHixT4a5ltdBQMyTC8-BNTWD32S809rVetEuK5Q0/edit?usp=sharing" TargetMode="External"/><Relationship Id="rId326" Type="http://schemas.openxmlformats.org/officeDocument/2006/relationships/hyperlink" Target="https://docs.google.com/spreadsheets/d/13zju-bIiFlXLoG38GhXwrj0pcNq_0PKACRFt4wNkVRU" TargetMode="External"/><Relationship Id="rId533" Type="http://schemas.openxmlformats.org/officeDocument/2006/relationships/hyperlink" Target="https://drive.google.com/open?id=1BbO3XwPgprrRzRbJNU782pgl77q3nT4WmQQznQPUp9c" TargetMode="External"/><Relationship Id="rId1163" Type="http://schemas.openxmlformats.org/officeDocument/2006/relationships/hyperlink" Target="https://docs.google.com/open?id=1VoWzqnXAG4wrW76pwo8BG4ArFcxU_NBzI4VBqkg0sBQ" TargetMode="External"/><Relationship Id="rId1370" Type="http://schemas.openxmlformats.org/officeDocument/2006/relationships/hyperlink" Target="https://docs.google.com/spreadsheets/d/1RkY9vgAvvnwrhVQkyDoLOh52B2LswQkqzwCLbyEDhUY" TargetMode="External"/><Relationship Id="rId2007" Type="http://schemas.openxmlformats.org/officeDocument/2006/relationships/hyperlink" Target="https://docs.google.com/open?id=1f0Z3c9FhlPQcA_mStNucrGOMAA6WSd7OQOeTDngX6gk" TargetMode="External"/><Relationship Id="rId2214" Type="http://schemas.openxmlformats.org/officeDocument/2006/relationships/hyperlink" Target="https://docs.google.com/spreadsheets/d/1z3ChhJSr0KAV7qa0nJKi1S70IRf1GlAzGnAG20UpG_o" TargetMode="External"/><Relationship Id="rId3612" Type="http://schemas.openxmlformats.org/officeDocument/2006/relationships/hyperlink" Target="https://drive.google.com/open?id=1Z2Ie-rgR-WHtE0QkZNjOOd5ecTpkBy3G6MqfhcutgL0&amp;usp=drive_copy" TargetMode="External"/><Relationship Id="rId740" Type="http://schemas.openxmlformats.org/officeDocument/2006/relationships/hyperlink" Target="https://drive.google.com/open?id=19an57qPg6-LW9HFYiknpVSOIG8cltkLJUsfFA7qJj5A&amp;usp=drive_copy" TargetMode="External"/><Relationship Id="rId1023" Type="http://schemas.openxmlformats.org/officeDocument/2006/relationships/hyperlink" Target="https://docs.google.com/open?id=1wQ7Gp1aiuN3lQCKG1IF-1obOJ1fNlusp_nS6h4jRCvE" TargetMode="External"/><Relationship Id="rId2421" Type="http://schemas.openxmlformats.org/officeDocument/2006/relationships/hyperlink" Target="https://drive.google.com/open?id=1Fl8SB1u-OrjUIf3rPiFm60DJ3kkdeK849gSKfJPwxH0" TargetMode="External"/><Relationship Id="rId600" Type="http://schemas.openxmlformats.org/officeDocument/2006/relationships/hyperlink" Target="https://drive.google.com/open?id=10KSMWY1j7Zp9u_vkU1WsZAnqSniXIe-GwxlHsYPPdyQ&amp;usp=drive_copy" TargetMode="External"/><Relationship Id="rId1230" Type="http://schemas.openxmlformats.org/officeDocument/2006/relationships/hyperlink" Target="https://docs.google.com/spreadsheets/d/1RAiyBpviyDH1LaSdNuoxdJepOzToEft0FTmR7G9UtUc" TargetMode="External"/><Relationship Id="rId3195" Type="http://schemas.openxmlformats.org/officeDocument/2006/relationships/hyperlink" Target="https://docs.google.com/open?id=1imT2Zwz9zf-XBmxV_g-zZwibwx9P-QFZPeT_cP-82FA" TargetMode="External"/><Relationship Id="rId3055" Type="http://schemas.openxmlformats.org/officeDocument/2006/relationships/hyperlink" Target="https://docs.google.com/open?id=13kXOsLZnCg9HnW_SotthyrcIsOrNgMh5odIQqbEt0qc" TargetMode="External"/><Relationship Id="rId3262" Type="http://schemas.openxmlformats.org/officeDocument/2006/relationships/hyperlink" Target="https://docs.google.com/spreadsheets/d/14xXIDMHktHinzKVs2eiN2Rnz5a8ew907SP0tyARAIuU" TargetMode="External"/><Relationship Id="rId183" Type="http://schemas.openxmlformats.org/officeDocument/2006/relationships/hyperlink" Target="https://docs.google.com/spreadsheets/d/1vCbdjifXhMV_SAE5SqVRLiOBK1H_iuEQdXcFTsRahwo/edit?usp=sharing" TargetMode="External"/><Relationship Id="rId390" Type="http://schemas.openxmlformats.org/officeDocument/2006/relationships/hyperlink" Target="https://docs.google.com/spreadsheets/d/1rca7FK11fX25ETdQ2QXO9FWeCoDB76u-aScPoDiZU2k/edit?usp=sharing" TargetMode="External"/><Relationship Id="rId1907" Type="http://schemas.openxmlformats.org/officeDocument/2006/relationships/hyperlink" Target="https://docs.google.com/open?id=1qxVlRP3gJvJ83GVBugCrfcFudx0x3WrH7RK4vJKZdRA" TargetMode="External"/><Relationship Id="rId2071" Type="http://schemas.openxmlformats.org/officeDocument/2006/relationships/hyperlink" Target="https://docs.google.com/open?id=1kFh-M-hT8ij3Uec8M8S6NZ1xdxzBrB7XYxkvhSPqxGU" TargetMode="External"/><Relationship Id="rId3122" Type="http://schemas.openxmlformats.org/officeDocument/2006/relationships/hyperlink" Target="https://docs.google.com/spreadsheets/d/1KSkYoabZUfoRf9R2XZmQFgR73KPQxNQEVH8KjynjLa8" TargetMode="External"/><Relationship Id="rId250" Type="http://schemas.openxmlformats.org/officeDocument/2006/relationships/hyperlink" Target="https://docs.google.com/spreadsheets/d/1PQ3epZ0_cfiTD7AcemI5BM1GW7jf3rCZXMMtmZXwkpg" TargetMode="External"/><Relationship Id="rId110" Type="http://schemas.openxmlformats.org/officeDocument/2006/relationships/hyperlink" Target="https://docs.google.com/spreadsheets/d/1CaV5OFRWvwBrRpGfp0vSeAMLH93QQMokzzePS-Py_G8/edit" TargetMode="External"/><Relationship Id="rId2888" Type="http://schemas.openxmlformats.org/officeDocument/2006/relationships/hyperlink" Target="https://drive.google.com/open?id=1IMZkm8yKZby27A5acXdMX9BuSRfyc7XvRE9kjtzijxQ&amp;usp=drive_copy" TargetMode="External"/><Relationship Id="rId3939" Type="http://schemas.openxmlformats.org/officeDocument/2006/relationships/hyperlink" Target="https://docs.google.com/open?id=1gBEDRqZ-XUZ4pkRpGMoP6Zk6dOHbTSvD8I8Ya9tKuXc" TargetMode="External"/><Relationship Id="rId1697" Type="http://schemas.openxmlformats.org/officeDocument/2006/relationships/hyperlink" Target="https://drive.google.com/open?id=1Tq9Xj7Em9_lW_2lpW-OoRc_MCq1ABdu3T2I984PjUnU" TargetMode="External"/><Relationship Id="rId2748" Type="http://schemas.openxmlformats.org/officeDocument/2006/relationships/hyperlink" Target="https://drive.google.com/open?id=1dex4fmiuuWlVcHMMSrRcYibNGJHvdGqAj1gqWoj0SZo&amp;usp=drive_copy" TargetMode="External"/><Relationship Id="rId2955" Type="http://schemas.openxmlformats.org/officeDocument/2006/relationships/hyperlink" Target="https://docs.google.com/open?id=1NXloLPdh5MiFLQRsbudsl6t9ZaJ0tBudRZhDhnbvPVM" TargetMode="External"/><Relationship Id="rId927" Type="http://schemas.openxmlformats.org/officeDocument/2006/relationships/hyperlink" Target="https://docs.google.com/open?id=1VBIFWNzu4ZyE7Y8gI-koV7eH1KkE2kYEabvwLkoyQHA" TargetMode="External"/><Relationship Id="rId1557" Type="http://schemas.openxmlformats.org/officeDocument/2006/relationships/hyperlink" Target="https://drive.google.com/open?id=1hQI2FxHX0goMdg176Rs4Cpm0kQynLiAuwnCuwoGSY9s" TargetMode="External"/><Relationship Id="rId1764" Type="http://schemas.openxmlformats.org/officeDocument/2006/relationships/hyperlink" Target="https://drive.google.com/open?id=1iUf28_s-jHH90j-QS6sqLcRJ5CjRxLXz_VFES7xmefk&amp;usp=drive_copy" TargetMode="External"/><Relationship Id="rId1971" Type="http://schemas.openxmlformats.org/officeDocument/2006/relationships/hyperlink" Target="https://docs.google.com/open?id=1W_GCuGDf3OciGTTLCGHtEvG_4wtDNIC5o7RV4Jfcpwo" TargetMode="External"/><Relationship Id="rId2608" Type="http://schemas.openxmlformats.org/officeDocument/2006/relationships/hyperlink" Target="https://drive.google.com/open?id=1wT6WZdIiN8LNxd30Go1lN5h7VTkHLPq-9zqeQsl9DoM&amp;usp=drive_copy" TargetMode="External"/><Relationship Id="rId2815" Type="http://schemas.openxmlformats.org/officeDocument/2006/relationships/hyperlink" Target="https://docs.google.com/open?id=1f6ybG6ihbTg_jrev_6wUmBWAyhFAx1rZDSZ0tzjcXB8" TargetMode="External"/><Relationship Id="rId56" Type="http://schemas.openxmlformats.org/officeDocument/2006/relationships/hyperlink" Target="https://docs.google.com/spreadsheets/d/1gMYRU0PUUxCrNDwFQ0mih1q6NdGLpK8wi4den6cwdmU/edit" TargetMode="External"/><Relationship Id="rId1417" Type="http://schemas.openxmlformats.org/officeDocument/2006/relationships/hyperlink" Target="https://drive.google.com/open?id=1cXIw5mog84y1d-YPHijS147H1dCepZCWIhPv8aMD96M" TargetMode="External"/><Relationship Id="rId1624" Type="http://schemas.openxmlformats.org/officeDocument/2006/relationships/hyperlink" Target="https://drive.google.com/open?id=1DF6pTjy58c2gOtQ92YudUQxeF-1wog3DOU0cC6z8WDA&amp;usp=drive_copy" TargetMode="External"/><Relationship Id="rId1831" Type="http://schemas.openxmlformats.org/officeDocument/2006/relationships/hyperlink" Target="https://docs.google.com/open?id=1r0A6VMUoBMQJDedztgn_IFmMNa1pB1E05khPQfRylQg" TargetMode="External"/><Relationship Id="rId3589" Type="http://schemas.openxmlformats.org/officeDocument/2006/relationships/hyperlink" Target="https://drive.google.com/open?id=1Q1GNst04UgagLwEZ_7X22Iy2C-TWl4929eYPzA-gvbE" TargetMode="External"/><Relationship Id="rId3796" Type="http://schemas.openxmlformats.org/officeDocument/2006/relationships/hyperlink" Target="https://drive.google.com/open?id=1DiW_pSLEOElRrUJuczGmCnjl1xFdIgPXD7UANxgRO04&amp;usp=drive_copy" TargetMode="External"/><Relationship Id="rId2398" Type="http://schemas.openxmlformats.org/officeDocument/2006/relationships/hyperlink" Target="https://docs.google.com/spreadsheets/d/1zMPB_qLJCPdy8KbBJ27lIU0enlk63xGUlGaT2u2Hsz4" TargetMode="External"/><Relationship Id="rId3449" Type="http://schemas.openxmlformats.org/officeDocument/2006/relationships/hyperlink" Target="https://drive.google.com/open?id=1FhbQwC2P78N7UvKbbEf4fZtLjUTmB9qkm15EbeT8pGI" TargetMode="External"/><Relationship Id="rId577" Type="http://schemas.openxmlformats.org/officeDocument/2006/relationships/hyperlink" Target="https://drive.google.com/open?id=1nx420kvbsr8urnff_BRIgmZ5gNnHMe2FuM8H9lD6XEY" TargetMode="External"/><Relationship Id="rId2258" Type="http://schemas.openxmlformats.org/officeDocument/2006/relationships/hyperlink" Target="https://docs.google.com/spreadsheets/d/1tJ9oaVdI4eBbESC0OH_aAq6lpZvnmI8SLOwxfCJ3yTk" TargetMode="External"/><Relationship Id="rId3656" Type="http://schemas.openxmlformats.org/officeDocument/2006/relationships/hyperlink" Target="https://drive.google.com/open?id=1zBnO5IHOpYERp-YB7AyJDf4Q8yGUWuwiwTANjk_ACBc&amp;usp=drive_copy" TargetMode="External"/><Relationship Id="rId3863" Type="http://schemas.openxmlformats.org/officeDocument/2006/relationships/hyperlink" Target="https://docs.google.com/open?id=1jObs-f0fcG_8ykBZQcT1C4OCWvDpQTexWm_gIpugJOs" TargetMode="External"/><Relationship Id="rId784" Type="http://schemas.openxmlformats.org/officeDocument/2006/relationships/hyperlink" Target="https://drive.google.com/open?id=1pHCmn5lXac1tgzmYkb6CtPNGruYb1PxdtkZucIpUu3A&amp;usp=drive_copy" TargetMode="External"/><Relationship Id="rId991" Type="http://schemas.openxmlformats.org/officeDocument/2006/relationships/hyperlink" Target="https://docs.google.com/open?id=1TkTdkXWko63gVKw4ClRaliysr9nonpq8lJ-_glqYxpw" TargetMode="External"/><Relationship Id="rId1067" Type="http://schemas.openxmlformats.org/officeDocument/2006/relationships/hyperlink" Target="https://docs.google.com/open?id=1nyt8JabHoQZBO5ILQhBG_Sj__zD2xgtWtYAOGnhypos" TargetMode="External"/><Relationship Id="rId2465" Type="http://schemas.openxmlformats.org/officeDocument/2006/relationships/hyperlink" Target="https://drive.google.com/open?id=1CMHEyAbKdUepMmAVaZOCvNVyMvzRnjr-8syUod6Qe9s" TargetMode="External"/><Relationship Id="rId2672" Type="http://schemas.openxmlformats.org/officeDocument/2006/relationships/hyperlink" Target="https://drive.google.com/open?id=1DdzJmM06x-glnl3GscloMiRH_dyFnrzJVEoTTJWoqJg&amp;usp=drive_copy" TargetMode="External"/><Relationship Id="rId3309" Type="http://schemas.openxmlformats.org/officeDocument/2006/relationships/hyperlink" Target="https://drive.google.com/open?id=1DR4a8V1eMTqjMyeFxwmA12QFvAEKcMRA5SbChnS7qFo" TargetMode="External"/><Relationship Id="rId3516" Type="http://schemas.openxmlformats.org/officeDocument/2006/relationships/hyperlink" Target="https://drive.google.com/open?id=1mxuSbGlj9k491eazC4Z3igjTPbInYE79aNtgLPzMC6Y&amp;usp=drive_copy" TargetMode="External"/><Relationship Id="rId3723" Type="http://schemas.openxmlformats.org/officeDocument/2006/relationships/hyperlink" Target="https://docs.google.com/open?id=1YjVEQRCUIDfnygdO2tr6ZdE4nmIfuj5nl-rRwH7bOc0" TargetMode="External"/><Relationship Id="rId3930" Type="http://schemas.openxmlformats.org/officeDocument/2006/relationships/hyperlink" Target="https://docs.google.com/spreadsheets/d/1GS9yh4MIOl1HFEhjn8rVm8OzPUoBZg0WYu2bK_jBnpo" TargetMode="External"/><Relationship Id="rId437" Type="http://schemas.openxmlformats.org/officeDocument/2006/relationships/hyperlink" Target="https://drive.google.com/open?id=1kL6-1SfMeQDGwpswzdsMj0l4OJ7UXeB_xxxjKQALUjg" TargetMode="External"/><Relationship Id="rId644" Type="http://schemas.openxmlformats.org/officeDocument/2006/relationships/hyperlink" Target="https://drive.google.com/open?id=1EAyahGhjxPCL1iX8D-KjVlO4ZVCAODx5WV0uFpjgnAM&amp;usp=drive_copy" TargetMode="External"/><Relationship Id="rId851" Type="http://schemas.openxmlformats.org/officeDocument/2006/relationships/hyperlink" Target="https://docs.google.com/open?id=1uCWinIH6cUW37QtJa6uHlsqiOk-vPNUym53_dbWCAU0" TargetMode="External"/><Relationship Id="rId1274" Type="http://schemas.openxmlformats.org/officeDocument/2006/relationships/hyperlink" Target="https://docs.google.com/spreadsheets/d/1fJPPSztCgeJoPKljKa4vAQT50OmZjvhtAXJ3O8wavM8" TargetMode="External"/><Relationship Id="rId1481" Type="http://schemas.openxmlformats.org/officeDocument/2006/relationships/hyperlink" Target="https://drive.google.com/open?id=15LwGcrE9V7r6eONxrF6shLmJZ32odris6qkdpZXNb8k" TargetMode="External"/><Relationship Id="rId2118" Type="http://schemas.openxmlformats.org/officeDocument/2006/relationships/hyperlink" Target="https://docs.google.com/spreadsheets/d/1bHeKpf4EVsL3rafD5oed2cGiFdyJruYGBv-FzcLrm6g" TargetMode="External"/><Relationship Id="rId2325" Type="http://schemas.openxmlformats.org/officeDocument/2006/relationships/hyperlink" Target="https://drive.google.com/open?id=10XjszphET9bNnbIftOpOD-2suLE-v-UImiLMdELar-A" TargetMode="External"/><Relationship Id="rId2532" Type="http://schemas.openxmlformats.org/officeDocument/2006/relationships/hyperlink" Target="https://drive.google.com/open?id=1eXZVA_ImAE2XJu026QaWPTili5KXyoVrxabbT7-sc2I&amp;usp=drive_copy" TargetMode="External"/><Relationship Id="rId504" Type="http://schemas.openxmlformats.org/officeDocument/2006/relationships/hyperlink" Target="https://drive.google.com/open?id=1GcfTeM06fL2h2DFNzZR1dtc4_cQ7sTpi7l_fflQK_YA&amp;usp=drive_copy" TargetMode="External"/><Relationship Id="rId711" Type="http://schemas.openxmlformats.org/officeDocument/2006/relationships/hyperlink" Target="https://docs.google.com/open?id=1PixfsHZVJl09BlpcNdPDbSD8Y5E_kr-Y5Y90OrRDYIM" TargetMode="External"/><Relationship Id="rId1134" Type="http://schemas.openxmlformats.org/officeDocument/2006/relationships/hyperlink" Target="https://docs.google.com/spreadsheets/d/1o-5W8XHiBwlQrrTfoctzCtfwFk4dgrJD1x2tJ4-lcgc" TargetMode="External"/><Relationship Id="rId1341" Type="http://schemas.openxmlformats.org/officeDocument/2006/relationships/hyperlink" Target="https://drive.google.com/open?id=14qyJ_PrmLfZMOf6cCWLpD4pKLNfTJMMpCu7ZEAopRsw" TargetMode="External"/><Relationship Id="rId1201" Type="http://schemas.openxmlformats.org/officeDocument/2006/relationships/hyperlink" Target="https://drive.google.com/open?id=1aK8bRPBwSbG-NKbaP6D0bAEWum3Q8sPJXCBZv6Ea1l4" TargetMode="External"/><Relationship Id="rId3099" Type="http://schemas.openxmlformats.org/officeDocument/2006/relationships/hyperlink" Target="https://docs.google.com/open?id=1CpQlSWeyrqXlNd9ZJf8rGkAFLDdYCFcxRejlCGN8M9s" TargetMode="External"/><Relationship Id="rId3166" Type="http://schemas.openxmlformats.org/officeDocument/2006/relationships/hyperlink" Target="https://docs.google.com/spreadsheets/d/1dqoTdLhR_zIt6QNdClkbdCkQRRZY3qMc_OrdKh_EyIo" TargetMode="External"/><Relationship Id="rId3373" Type="http://schemas.openxmlformats.org/officeDocument/2006/relationships/hyperlink" Target="https://drive.google.com/open?id=1ZAh-POS4IjlD2tAMXbtHwClTdpqE6l1x6BjzrPbIuYc" TargetMode="External"/><Relationship Id="rId3580" Type="http://schemas.openxmlformats.org/officeDocument/2006/relationships/hyperlink" Target="https://drive.google.com/open?id=14zvWB5Roxv0q_85N-nEiyWk_OkhDmpZrsew3o1AoIMY&amp;usp=drive_copy" TargetMode="External"/><Relationship Id="rId294" Type="http://schemas.openxmlformats.org/officeDocument/2006/relationships/hyperlink" Target="https://docs.google.com/spreadsheets/d/1wuTP6ZyVjkSrlxTL8N9Ko9Ahw4roz-bpCZiVKoGmPgw" TargetMode="External"/><Relationship Id="rId2182" Type="http://schemas.openxmlformats.org/officeDocument/2006/relationships/hyperlink" Target="https://docs.google.com/spreadsheets/d/17kbKWMzjWXPAUvz-vPypeO3KNNGgrUZXvzztKfA-F84" TargetMode="External"/><Relationship Id="rId3026" Type="http://schemas.openxmlformats.org/officeDocument/2006/relationships/hyperlink" Target="https://docs.google.com/spreadsheets/d/1-6L7eMel2mT86hlP2hhtSzWmzugKauA3IcddEA7o82I" TargetMode="External"/><Relationship Id="rId3233" Type="http://schemas.openxmlformats.org/officeDocument/2006/relationships/hyperlink" Target="https://drive.google.com/open?id=1x6MgWiMfFeP-2w6mzPOjf5dUms4hyvgTcRY3gs6tuVE" TargetMode="External"/><Relationship Id="rId154" Type="http://schemas.openxmlformats.org/officeDocument/2006/relationships/hyperlink" Target="https://docs.google.com/spreadsheets/d/1Bla9-F0_9NEvH6RIKSx0MN5G8lakCSlubgPSo75sIjQ/edit" TargetMode="External"/><Relationship Id="rId361" Type="http://schemas.openxmlformats.org/officeDocument/2006/relationships/hyperlink" Target="https://drive.google.com/open?id=1AflDdxj5GtkuKJsDK6EELF3DfYHgmCJlP-oIVpTgm_o" TargetMode="External"/><Relationship Id="rId2042" Type="http://schemas.openxmlformats.org/officeDocument/2006/relationships/hyperlink" Target="https://docs.google.com/spreadsheets/d/188Cz7H5iEkxNMg9roX8vCsWndIEsyC3uohC-u-2_1FU" TargetMode="External"/><Relationship Id="rId3440" Type="http://schemas.openxmlformats.org/officeDocument/2006/relationships/hyperlink" Target="https://drive.google.com/open?id=18AYpcdqW__Uj8oUK72dYYPB5Q2hpTfCpuTq7Cw18ztQ&amp;usp=drive_copy" TargetMode="External"/><Relationship Id="rId2999" Type="http://schemas.openxmlformats.org/officeDocument/2006/relationships/hyperlink" Target="https://docs.google.com/open?id=1p7uvTMayYvM8cmBmRBJxovTB13d71VfVTxT69smOT0M" TargetMode="External"/><Relationship Id="rId3300" Type="http://schemas.openxmlformats.org/officeDocument/2006/relationships/hyperlink" Target="https://drive.google.com/open?id=1CMv1lSTwVVLlKgXC1iVk9cQ26fx-WnQDcg8x8ksQ9WY&amp;usp=drive_copy" TargetMode="External"/><Relationship Id="rId221" Type="http://schemas.openxmlformats.org/officeDocument/2006/relationships/hyperlink" Target="https://drive.google.com/open?id=16fLehssuVd-GMaM2DSjtd_PrXcBpzKOHjOJ7Iin75KU" TargetMode="External"/><Relationship Id="rId2859" Type="http://schemas.openxmlformats.org/officeDocument/2006/relationships/hyperlink" Target="https://docs.google.com/open?id=1NSKlN1dcSMn3V_13lnTKnPHZB5DyOSJWGOdV4pgZ8m8" TargetMode="External"/><Relationship Id="rId1668" Type="http://schemas.openxmlformats.org/officeDocument/2006/relationships/hyperlink" Target="https://drive.google.com/open?id=1sE7EY91rg-Qo4QCzZdiSZxPdIAcvdZwllQsfa9An0Ak&amp;usp=drive_copy" TargetMode="External"/><Relationship Id="rId1875" Type="http://schemas.openxmlformats.org/officeDocument/2006/relationships/hyperlink" Target="https://docs.google.com/open?id=1JLEnSKhvhMnskThAaSG44hKeH6IbfKN66bdqj9l_0nU" TargetMode="External"/><Relationship Id="rId2719" Type="http://schemas.openxmlformats.org/officeDocument/2006/relationships/hyperlink" Target="https://docs.google.com/open?id=1tIXgfS-dcEy6_5BXEfusPr8ZzvcYQTZ4ccKowazlDVY" TargetMode="External"/><Relationship Id="rId1528" Type="http://schemas.openxmlformats.org/officeDocument/2006/relationships/hyperlink" Target="https://drive.google.com/open?id=1LqFLZW_eUurmtyfQLOzDSsHx14z9GnlepDz7V4O7uS8&amp;usp=drive_copy" TargetMode="External"/><Relationship Id="rId2926" Type="http://schemas.openxmlformats.org/officeDocument/2006/relationships/hyperlink" Target="https://docs.google.com/spreadsheets/d/164xIOjtl2axdo9kr5oxa8oPwHyE6tQgqB0rRsWfm_bE" TargetMode="External"/><Relationship Id="rId3090" Type="http://schemas.openxmlformats.org/officeDocument/2006/relationships/hyperlink" Target="https://docs.google.com/spreadsheets/d/1C8EdgcVWAT4PGDVCSNA49KM6YQ_F1E04cahpenkUFcM" TargetMode="External"/><Relationship Id="rId1735" Type="http://schemas.openxmlformats.org/officeDocument/2006/relationships/hyperlink" Target="https://docs.google.com/open?id=1U_kPG4zCJtc6l-UJpJgBpPUPqFitSrp-l4jVTEIaJ24" TargetMode="External"/><Relationship Id="rId1942" Type="http://schemas.openxmlformats.org/officeDocument/2006/relationships/hyperlink" Target="https://docs.google.com/spreadsheets/d/1I8C_UgjRaroa0SowO9lxKRWUEKhYffU47MZTZ2LS2Xw" TargetMode="External"/><Relationship Id="rId27" Type="http://schemas.openxmlformats.org/officeDocument/2006/relationships/hyperlink" Target="https://docs.google.com/spreadsheets/d/1DaYCZKPal0nRHm95UwYaToKm9sNEy-FRwVgkNCeHaOI/edit?usp=sharing" TargetMode="External"/><Relationship Id="rId1802" Type="http://schemas.openxmlformats.org/officeDocument/2006/relationships/hyperlink" Target="https://docs.google.com/spreadsheets/d/13TQ-__xDNE_0oT5PADtUN9vF5tqbAPeOY1xLTELvhe8" TargetMode="External"/><Relationship Id="rId3767" Type="http://schemas.openxmlformats.org/officeDocument/2006/relationships/hyperlink" Target="https://docs.google.com/open?id=1_39KRmdaiGIG7rtsK7ZAqFSYeD0enwDKt_RE51wckss" TargetMode="External"/><Relationship Id="rId688" Type="http://schemas.openxmlformats.org/officeDocument/2006/relationships/hyperlink" Target="https://drive.google.com/open?id=1JnDnaAKndNVUL00xE3ufawSO5PejocdvIEdEQHCKQlw&amp;usp=drive_copy" TargetMode="External"/><Relationship Id="rId895" Type="http://schemas.openxmlformats.org/officeDocument/2006/relationships/hyperlink" Target="https://docs.google.com/open?id=1Kn2yL1dfiBBlB42c2hoKnGu68Jscz_7oUT4UqjabIUA" TargetMode="External"/><Relationship Id="rId2369" Type="http://schemas.openxmlformats.org/officeDocument/2006/relationships/hyperlink" Target="https://drive.google.com/open?id=1CNO3FmxgKA-FxJwmkspUa5fYz5eQrg3bHmt3-wYfS2w" TargetMode="External"/><Relationship Id="rId2576" Type="http://schemas.openxmlformats.org/officeDocument/2006/relationships/hyperlink" Target="https://drive.google.com/open?id=1qSbpqhBnbT3tMzgcYUDNtl4jYShJmIvqrgwXWSJAw4I&amp;usp=drive_copy" TargetMode="External"/><Relationship Id="rId2783" Type="http://schemas.openxmlformats.org/officeDocument/2006/relationships/hyperlink" Target="https://docs.google.com/open?id=1HLBRY_1Lkamd5VGg5i5rIfoNxlv4N5eZyCauIpJV7UY" TargetMode="External"/><Relationship Id="rId2990" Type="http://schemas.openxmlformats.org/officeDocument/2006/relationships/hyperlink" Target="https://docs.google.com/spreadsheets/d/1ixk6PTLsAgjRwdaPEXyvycf1xmiVYn9IluVfFCoEgGs" TargetMode="External"/><Relationship Id="rId3627" Type="http://schemas.openxmlformats.org/officeDocument/2006/relationships/hyperlink" Target="https://docs.google.com/open?id=1VhOX0eYYn9UW6tI66ExqgnezmRHghm1suLHL-YT9a34" TargetMode="External"/><Relationship Id="rId3834" Type="http://schemas.openxmlformats.org/officeDocument/2006/relationships/hyperlink" Target="https://docs.google.com/spreadsheets/d/1yzpnK1mpmqmhTIzyD-WVvBmb8nnxvXjeEOIWehuHWlI" TargetMode="External"/><Relationship Id="rId548" Type="http://schemas.openxmlformats.org/officeDocument/2006/relationships/hyperlink" Target="https://drive.google.com/open?id=1RCIJO0JhFeMMnnju70d3As6zQjRA7MVNAIpbilwf-fg&amp;usp=drive_copy" TargetMode="External"/><Relationship Id="rId755" Type="http://schemas.openxmlformats.org/officeDocument/2006/relationships/hyperlink" Target="https://docs.google.com/open?id=1aPbxKEwoWAW89NUoyt5Dcy_08-96FShFe6vtAsXZh2o" TargetMode="External"/><Relationship Id="rId962" Type="http://schemas.openxmlformats.org/officeDocument/2006/relationships/hyperlink" Target="https://docs.google.com/spreadsheets/d/1G9ZO3Ij_Px1N41zViF2lPSFfVn8iHHuSPCtMPo86bH4" TargetMode="External"/><Relationship Id="rId1178" Type="http://schemas.openxmlformats.org/officeDocument/2006/relationships/hyperlink" Target="https://docs.google.com/spreadsheets/d/1XcYRqb7tFKMVwHMSlyWM_wXEQF0eDaSgcTGxvXqGMi4" TargetMode="External"/><Relationship Id="rId1385" Type="http://schemas.openxmlformats.org/officeDocument/2006/relationships/hyperlink" Target="https://drive.google.com/open?id=1xkC4xgU4cTSK2tdI9qeWL40RdsVwQTpd1Ve1jirfPEI" TargetMode="External"/><Relationship Id="rId1592" Type="http://schemas.openxmlformats.org/officeDocument/2006/relationships/hyperlink" Target="https://drive.google.com/open?id=1P-SnFiPbUmTrneBVUziQqOrKU8u-uvlp-9-M5KtblnY&amp;usp=drive_copy" TargetMode="External"/><Relationship Id="rId2229" Type="http://schemas.openxmlformats.org/officeDocument/2006/relationships/hyperlink" Target="https://drive.google.com/open?id=1NPdAmiUllW4QQdU323H-amB3GiuTrLbw65BFi1EUbw8" TargetMode="External"/><Relationship Id="rId2436" Type="http://schemas.openxmlformats.org/officeDocument/2006/relationships/hyperlink" Target="https://drive.google.com/open?id=1XmjjaxhccnvGh5nP_NwFuid8AOS8YXBHMmiOrkKZJXA&amp;usp=drive_copy" TargetMode="External"/><Relationship Id="rId2643" Type="http://schemas.openxmlformats.org/officeDocument/2006/relationships/hyperlink" Target="https://docs.google.com/open?id=15cU8phFe_v0WfxgLXoIIL-nMuKNfBi50Fu-YZUp_p1U" TargetMode="External"/><Relationship Id="rId2850" Type="http://schemas.openxmlformats.org/officeDocument/2006/relationships/hyperlink" Target="https://docs.google.com/spreadsheets/d/1TjfXudfOEISX08ERgo5PAwsPnAoCj0eJMznwKsd1CqI" TargetMode="External"/><Relationship Id="rId91" Type="http://schemas.openxmlformats.org/officeDocument/2006/relationships/hyperlink" Target="https://docs.google.com/spreadsheets/d/1Zrshi6jwOwyj2e8vcD0igRXjGqWyHD7nP52PJ8F94q0/edit?usp=sharing" TargetMode="External"/><Relationship Id="rId408" Type="http://schemas.openxmlformats.org/officeDocument/2006/relationships/hyperlink" Target="https://drive.google.com/open?id=1J3U-LaPM34_WDdgxDeVoMfwJHY-BdwXO6cpgiOzNGZM&amp;usp=drive_copy" TargetMode="External"/><Relationship Id="rId615" Type="http://schemas.openxmlformats.org/officeDocument/2006/relationships/hyperlink" Target="https://docs.google.com/open?id=14GktVkRn0hcgPE5YqXFMiYhXUeLQl4jqYJtvFgF6hTU" TargetMode="External"/><Relationship Id="rId822" Type="http://schemas.openxmlformats.org/officeDocument/2006/relationships/hyperlink" Target="https://docs.google.com/spreadsheets/d/1mAI-2AuoIc-cvrKTWlOtSH-Vn_l2p76CjdS5TDlayT8" TargetMode="External"/><Relationship Id="rId1038" Type="http://schemas.openxmlformats.org/officeDocument/2006/relationships/hyperlink" Target="https://docs.google.com/spreadsheets/d/10-e6i2Y1dJz7V0Ow6RYSOPsODg2DKNOiq-4_fCDRCow" TargetMode="External"/><Relationship Id="rId1245" Type="http://schemas.openxmlformats.org/officeDocument/2006/relationships/hyperlink" Target="https://drive.google.com/open?id=1bTgNRyK39vkJ-4fk7f-e3fMLf-cXto449tmsgw762aE" TargetMode="External"/><Relationship Id="rId1452" Type="http://schemas.openxmlformats.org/officeDocument/2006/relationships/hyperlink" Target="https://drive.google.com/open?id=1rpNu8ZwX5PG5PcLz3S5O2mSzQ-fLjtS5QNCQLe-Muj0&amp;usp=drive_copy" TargetMode="External"/><Relationship Id="rId2503" Type="http://schemas.openxmlformats.org/officeDocument/2006/relationships/hyperlink" Target="https://docs.google.com/open?id=1zNTlPO-P72XhQpDpk2tL1wsxpPrfBm_WxVsuKUD-yYU" TargetMode="External"/><Relationship Id="rId3901" Type="http://schemas.openxmlformats.org/officeDocument/2006/relationships/hyperlink" Target="https://drive.google.com/open?id=16wByBKkq54MlVMp5UkjlFbElc_thB7GBJgwUFmV5emU" TargetMode="External"/><Relationship Id="rId1105" Type="http://schemas.openxmlformats.org/officeDocument/2006/relationships/hyperlink" Target="https://drive.google.com/open?id=1DI6KzFnPokmWGqcgy68XWI0vr-ytPKUTrVh8p7T3T8k" TargetMode="External"/><Relationship Id="rId1312" Type="http://schemas.openxmlformats.org/officeDocument/2006/relationships/hyperlink" Target="https://drive.google.com/open?id=1N_WrHcr11qulhkAdEab8_wuC2B7JHCxGyuLUPO_BLz8&amp;usp=drive_copy" TargetMode="External"/><Relationship Id="rId2710" Type="http://schemas.openxmlformats.org/officeDocument/2006/relationships/hyperlink" Target="https://docs.google.com/spreadsheets/d/1v-LVk_FIVSQP6J1HbOw49lsrOQrwAMrqUGNvchMQ-RE" TargetMode="External"/><Relationship Id="rId3277" Type="http://schemas.openxmlformats.org/officeDocument/2006/relationships/hyperlink" Target="https://drive.google.com/open?id=17MjiVkq4-IqFDqhagMXOFs7HEgZc8AUeRGcXk72DUN8" TargetMode="External"/><Relationship Id="rId198" Type="http://schemas.openxmlformats.org/officeDocument/2006/relationships/hyperlink" Target="https://docs.google.com/spreadsheets/d/1iamB5AEKX-uFeL_eQkPQFvZQo32l5qdvQo6UhMAbPLs/edit" TargetMode="External"/><Relationship Id="rId2086" Type="http://schemas.openxmlformats.org/officeDocument/2006/relationships/hyperlink" Target="https://docs.google.com/spreadsheets/d/1OkOJ9-fcwAxIY0UiNGHafkZR6crApqZVOZT7fs3rOh8" TargetMode="External"/><Relationship Id="rId3484" Type="http://schemas.openxmlformats.org/officeDocument/2006/relationships/hyperlink" Target="https://drive.google.com/open?id=1rE_ckqhKl7FSC5fenyBrcNODErnTSokKP3B0_36z4CY&amp;usp=drive_copy" TargetMode="External"/><Relationship Id="rId3691" Type="http://schemas.openxmlformats.org/officeDocument/2006/relationships/hyperlink" Target="https://docs.google.com/open?id=1Bq43Mn1CskIWPWHSVZzU_8PM_ZaluHA5dYV635n1lwA" TargetMode="External"/><Relationship Id="rId2293" Type="http://schemas.openxmlformats.org/officeDocument/2006/relationships/hyperlink" Target="https://drive.google.com/open?id=1eO-UXrCKF-KBpFJO6zIqf2VSS2FhG7PEzzz0H3z4uk8" TargetMode="External"/><Relationship Id="rId3137" Type="http://schemas.openxmlformats.org/officeDocument/2006/relationships/hyperlink" Target="https://drive.google.com/open?id=1R_kmgKHjC5dirWb3nEeOWZoW0lwdB2FKTN4qk-UUArg" TargetMode="External"/><Relationship Id="rId3344" Type="http://schemas.openxmlformats.org/officeDocument/2006/relationships/hyperlink" Target="https://drive.google.com/open?id=1OOHMI232_oP5oX8fS28pYSkDNtpR-MiqpIFkHZYrjJE&amp;usp=drive_copy" TargetMode="External"/><Relationship Id="rId3551" Type="http://schemas.openxmlformats.org/officeDocument/2006/relationships/hyperlink" Target="https://docs.google.com/open?id=1VXp94l-Nfkc0ZTjAuTbJndmx2OXlJ54HqPujmj9PHec" TargetMode="External"/><Relationship Id="rId265" Type="http://schemas.openxmlformats.org/officeDocument/2006/relationships/hyperlink" Target="https://drive.google.com/open?id=1hEZozbbt04pi8zcWWtApBLkiKCwsFW7GZPrEICLjDvs" TargetMode="External"/><Relationship Id="rId472" Type="http://schemas.openxmlformats.org/officeDocument/2006/relationships/hyperlink" Target="https://drive.google.com/open?id=1vUXqua83v3x9zh05wORCmfx2chW-Q5N-YKl7HU7_xxk&amp;usp=drive_copy" TargetMode="External"/><Relationship Id="rId2153" Type="http://schemas.openxmlformats.org/officeDocument/2006/relationships/hyperlink" Target="https://drive.google.com/open?id=1C_4Dx2yWp5F-kWIdkAmd4xPLMP1r_axfG0EQDBFEN_4" TargetMode="External"/><Relationship Id="rId2360" Type="http://schemas.openxmlformats.org/officeDocument/2006/relationships/hyperlink" Target="https://drive.google.com/open?id=10_OwX_aZhDoGS6yaVBeSj7im8Lh-mNudToK-z5iklOE&amp;usp=drive_copy" TargetMode="External"/><Relationship Id="rId3204" Type="http://schemas.openxmlformats.org/officeDocument/2006/relationships/hyperlink" Target="https://drive.google.com/open?id=1p379W6bykEQ8xe3zOi8uiLhwC58RyN8BBToJl6cMk2Y&amp;usp=drive_copy" TargetMode="External"/><Relationship Id="rId3411" Type="http://schemas.openxmlformats.org/officeDocument/2006/relationships/hyperlink" Target="https://docs.google.com/open?id=1rcN_QM9ff91-_lRk_nMKAGVj3BuhRP0rKJHmf6BMUDI" TargetMode="External"/><Relationship Id="rId125" Type="http://schemas.openxmlformats.org/officeDocument/2006/relationships/hyperlink" Target="https://docs.google.com/spreadsheets/d/1Vmu3dLndfXiswE23zjgbhUgs3aEH1--FP8pVMd86Xt0/edit?usp=sharing" TargetMode="External"/><Relationship Id="rId332" Type="http://schemas.openxmlformats.org/officeDocument/2006/relationships/hyperlink" Target="https://drive.google.com/open?id=17BYHu_4eHwIFiihrpOpzhc-MhEVBCao5FjkTcBvd_1w&amp;usp=drive_copy" TargetMode="External"/><Relationship Id="rId2013" Type="http://schemas.openxmlformats.org/officeDocument/2006/relationships/hyperlink" Target="https://drive.google.com/open?id=1qz-QanfNnKYCuEUwecPOPU4pSGBcW0ts_uhGZXtaLs8" TargetMode="External"/><Relationship Id="rId2220" Type="http://schemas.openxmlformats.org/officeDocument/2006/relationships/hyperlink" Target="https://drive.google.com/open?id=1rzdx9UAhbIRoxrMEutVUaRWfVqoguv6al7RHo09Q7qs&amp;usp=drive_copy" TargetMode="External"/><Relationship Id="rId1779" Type="http://schemas.openxmlformats.org/officeDocument/2006/relationships/hyperlink" Target="https://docs.google.com/open?id=1O-egH88Iib6M9rZre7M_JfG2fbOwBPlkGCSlQhpfDzg" TargetMode="External"/><Relationship Id="rId1986" Type="http://schemas.openxmlformats.org/officeDocument/2006/relationships/hyperlink" Target="https://docs.google.com/spreadsheets/d/1BU0UUT5RNqv4BJFlEX9VuiIHltXkcSj7Uea1cuR_7ow" TargetMode="External"/><Relationship Id="rId1639" Type="http://schemas.openxmlformats.org/officeDocument/2006/relationships/hyperlink" Target="https://docs.google.com/open?id=1OKYNgBw1sRj1poxBM34onfhiZ9PZQdw3aYlmjHg2wx4" TargetMode="External"/><Relationship Id="rId1846" Type="http://schemas.openxmlformats.org/officeDocument/2006/relationships/hyperlink" Target="https://docs.google.com/spreadsheets/d/1H8A-sD_iZi5l3sdtxU0rmjoRdba5SgzQTJTB4ETGzd8" TargetMode="External"/><Relationship Id="rId3061" Type="http://schemas.openxmlformats.org/officeDocument/2006/relationships/hyperlink" Target="https://drive.google.com/open?id=14P8BxsnIp5GPkBBcP9ANehw2qkofm97ZOqcXgzCog5s" TargetMode="External"/><Relationship Id="rId1706" Type="http://schemas.openxmlformats.org/officeDocument/2006/relationships/hyperlink" Target="https://docs.google.com/spreadsheets/d/1_NdIlA4_n_OgVCgBdztvn3Euv3Z8u8jQ61ocPZMYtkI" TargetMode="External"/><Relationship Id="rId1913" Type="http://schemas.openxmlformats.org/officeDocument/2006/relationships/hyperlink" Target="https://drive.google.com/open?id=19OXvvJG73L7zFakAj-D78OPeowZrM1dVOLUKMWse13M" TargetMode="External"/><Relationship Id="rId3878" Type="http://schemas.openxmlformats.org/officeDocument/2006/relationships/hyperlink" Target="https://docs.google.com/spreadsheets/d/1VEK6lO97nwgpRksBKriuYQTICvxPgONd5ViVz6GtCvU" TargetMode="External"/><Relationship Id="rId799" Type="http://schemas.openxmlformats.org/officeDocument/2006/relationships/hyperlink" Target="https://docs.google.com/open?id=1r_4E1DJQBY0hYJ68f6K1LUruIPwYfjcgQ_f9QvwFH5c" TargetMode="External"/><Relationship Id="rId2687" Type="http://schemas.openxmlformats.org/officeDocument/2006/relationships/hyperlink" Target="https://docs.google.com/open?id=1GtMyGXZYhTZmt73tEue0FyKbQlpdxCgwlC3BHP5StoU" TargetMode="External"/><Relationship Id="rId2894" Type="http://schemas.openxmlformats.org/officeDocument/2006/relationships/hyperlink" Target="https://docs.google.com/spreadsheets/d/1TnXziYPJSvf4zwM9FILC3S53fmJhIXI-pPKwCaB-Seg" TargetMode="External"/><Relationship Id="rId3738" Type="http://schemas.openxmlformats.org/officeDocument/2006/relationships/hyperlink" Target="https://docs.google.com/spreadsheets/d/1_WtIIkGQDdKqwcFGDGeWAtD4cjTivdYvwKFjZk1obHA" TargetMode="External"/><Relationship Id="rId659" Type="http://schemas.openxmlformats.org/officeDocument/2006/relationships/hyperlink" Target="https://docs.google.com/open?id=1EjeRz5LjopaQ45gFnAY5NQCQpWc4QFs5vhI2fhhU_cA" TargetMode="External"/><Relationship Id="rId866" Type="http://schemas.openxmlformats.org/officeDocument/2006/relationships/hyperlink" Target="https://docs.google.com/spreadsheets/d/1xoX4UWs_XJGjXdp-g9umMOGSZ3HZB4e9xmBRpmq07ik" TargetMode="External"/><Relationship Id="rId1289" Type="http://schemas.openxmlformats.org/officeDocument/2006/relationships/hyperlink" Target="https://drive.google.com/open?id=1O0M1GF9FrEXr-6GoeB3fHoQbQ_QU62b75nZ_eZovKBM" TargetMode="External"/><Relationship Id="rId1496" Type="http://schemas.openxmlformats.org/officeDocument/2006/relationships/hyperlink" Target="https://drive.google.com/open?id=1LrWvHuQX6DHow6YrL92yJDBgCwhl25PX9bpU07Pltj8&amp;usp=drive_copy" TargetMode="External"/><Relationship Id="rId2547" Type="http://schemas.openxmlformats.org/officeDocument/2006/relationships/hyperlink" Target="https://docs.google.com/open?id=1j-raWHTDg7bIkhIrOWNc1kkM9Fs7t5o3DO5-62nSJVM" TargetMode="External"/><Relationship Id="rId3945" Type="http://schemas.openxmlformats.org/officeDocument/2006/relationships/hyperlink" Target="https://drive.google.com/open?id=1osIE4GcDxk6_15hdNrHtYNNdIHD9MeFX8rABG_0MUlg" TargetMode="External"/><Relationship Id="rId519" Type="http://schemas.openxmlformats.org/officeDocument/2006/relationships/hyperlink" Target="https://docs.google.com/open?id=1mTnATP6SNd_2SY_eHs-Bqbc6X5cLrzmtKhuS0qCmXzc" TargetMode="External"/><Relationship Id="rId1149" Type="http://schemas.openxmlformats.org/officeDocument/2006/relationships/hyperlink" Target="https://drive.google.com/open?id=1TkzLHbzxcPVx537kBW55zEu46XLYU1_bQM6apZhoGo0" TargetMode="External"/><Relationship Id="rId1356" Type="http://schemas.openxmlformats.org/officeDocument/2006/relationships/hyperlink" Target="https://drive.google.com/open?id=1Jj5otQeDso0D0uNQp3S1GmCwFSEJTRkMJh8BeAIHIhI&amp;usp=drive_copy" TargetMode="External"/><Relationship Id="rId2754" Type="http://schemas.openxmlformats.org/officeDocument/2006/relationships/hyperlink" Target="https://docs.google.com/spreadsheets/d/1dFYKnraWoB3WZ4MP41EP4ghyuPLXWsObUHIR97NukCk" TargetMode="External"/><Relationship Id="rId2961" Type="http://schemas.openxmlformats.org/officeDocument/2006/relationships/hyperlink" Target="https://drive.google.com/open?id=1Q7yOGnlcdHOfhi2u-d7NAPhNn4lEPtu8ki0kQw_Ayus" TargetMode="External"/><Relationship Id="rId3805" Type="http://schemas.openxmlformats.org/officeDocument/2006/relationships/hyperlink" Target="https://drive.google.com/open?id=1dqJTwOHJYL_xbryi9hkDlRUtEz4fuB8nYqhqvT77a1A" TargetMode="External"/><Relationship Id="rId726" Type="http://schemas.openxmlformats.org/officeDocument/2006/relationships/hyperlink" Target="https://docs.google.com/spreadsheets/d/1XBeelw9ucV4ytdCXxFLAtKpPLOvWqSDpL9PSFdCQDYA" TargetMode="External"/><Relationship Id="rId933" Type="http://schemas.openxmlformats.org/officeDocument/2006/relationships/hyperlink" Target="https://drive.google.com/open?id=1GqkYkQuEJEjU5J0ZRInGet7apy2Crxxg2bkyABnVSs0" TargetMode="External"/><Relationship Id="rId1009" Type="http://schemas.openxmlformats.org/officeDocument/2006/relationships/hyperlink" Target="https://drive.google.com/open?id=1ebORm7--zDvIm4NamzjuPjOtUBAx5tZHACLcjK5Mq_c" TargetMode="External"/><Relationship Id="rId1563" Type="http://schemas.openxmlformats.org/officeDocument/2006/relationships/hyperlink" Target="https://docs.google.com/open?id=1lgnXlgMkjjvSwG3rWgPLOQf-vw9nTsUWYbLbN0aE23Y" TargetMode="External"/><Relationship Id="rId1770" Type="http://schemas.openxmlformats.org/officeDocument/2006/relationships/hyperlink" Target="https://docs.google.com/spreadsheets/d/1PPpDhspB4u9hX2w1lg9MB73NhEYQmUY3883AYCxVDCU" TargetMode="External"/><Relationship Id="rId2407" Type="http://schemas.openxmlformats.org/officeDocument/2006/relationships/hyperlink" Target="https://docs.google.com/open?id=18J-rPDBiPB6u-Rflumq7gBbzeQv6WylE_Hpoa7dVz04" TargetMode="External"/><Relationship Id="rId2614" Type="http://schemas.openxmlformats.org/officeDocument/2006/relationships/hyperlink" Target="https://docs.google.com/spreadsheets/d/1yvD9HB4uTA5FRBLn7oY7nGWyfIL40vf_kazLPp3z5VY" TargetMode="External"/><Relationship Id="rId2821" Type="http://schemas.openxmlformats.org/officeDocument/2006/relationships/hyperlink" Target="https://drive.google.com/open?id=1JhCbbPaj6nNSi2eaVB4InnD5fX6_dRTCR5p9B1HiIDg" TargetMode="External"/><Relationship Id="rId62" Type="http://schemas.openxmlformats.org/officeDocument/2006/relationships/hyperlink" Target="https://docs.google.com/spreadsheets/d/1HEixhZxIwIxcBQePyjNKswMkRCl5OIEnSOtLiwIC68Y/edit" TargetMode="External"/><Relationship Id="rId1216" Type="http://schemas.openxmlformats.org/officeDocument/2006/relationships/hyperlink" Target="https://drive.google.com/open?id=1Og3mVdnDiCjFpE9cXvXy66fPL0fhJjpQ-28U3d9XHf4&amp;usp=drive_copy" TargetMode="External"/><Relationship Id="rId1423" Type="http://schemas.openxmlformats.org/officeDocument/2006/relationships/hyperlink" Target="https://docs.google.com/open?id=1XJHv7jdPLbc1XBDOi1nsvUH78PfcxrQOIpN8ZMCEnzs" TargetMode="External"/><Relationship Id="rId1630" Type="http://schemas.openxmlformats.org/officeDocument/2006/relationships/hyperlink" Target="https://docs.google.com/spreadsheets/d/1ZKXxF_pUhiTP5zSE49s57MZjvJnEa6fNLXUny7a3gLg" TargetMode="External"/><Relationship Id="rId3388" Type="http://schemas.openxmlformats.org/officeDocument/2006/relationships/hyperlink" Target="https://drive.google.com/open?id=1itD7aYIfVoWMXwLix1VKtMaA65kphtZ6BmVMI3St-lw&amp;usp=drive_copy" TargetMode="External"/><Relationship Id="rId3595" Type="http://schemas.openxmlformats.org/officeDocument/2006/relationships/hyperlink" Target="https://docs.google.com/open?id=1_mOIsl6Kzf2oblCtDdNkPF7l8gP9vmBlkEQKsWrz1KM" TargetMode="External"/><Relationship Id="rId2197" Type="http://schemas.openxmlformats.org/officeDocument/2006/relationships/hyperlink" Target="https://drive.google.com/open?id=1tsIodRSz24w_PZMtOuk1zD2qSUpuAIJOMNZBmszMLGI" TargetMode="External"/><Relationship Id="rId3248" Type="http://schemas.openxmlformats.org/officeDocument/2006/relationships/hyperlink" Target="https://drive.google.com/open?id=13-y3TpYrrZJJ7orHEn9uXCsg4-o-JqqAhQi_QGT_m3E&amp;usp=drive_copy" TargetMode="External"/><Relationship Id="rId3455" Type="http://schemas.openxmlformats.org/officeDocument/2006/relationships/hyperlink" Target="https://docs.google.com/open?id=1J4_dGJ0Evjsn88mrszCUSfHjg7Sv7ek2a9AdeLZNGcs" TargetMode="External"/><Relationship Id="rId3662" Type="http://schemas.openxmlformats.org/officeDocument/2006/relationships/hyperlink" Target="https://docs.google.com/spreadsheets/d/1NPZRYGR4l9E_qQ95k7xwCdIB74YsO5sMjAxdN6bZPkY" TargetMode="External"/><Relationship Id="rId169" Type="http://schemas.openxmlformats.org/officeDocument/2006/relationships/hyperlink" Target="https://docs.google.com/spreadsheets/d/1GWRmPdZOkI4gJs7AiX3I0NJG2E5MMTEJl-QwElTjSDA/edit?usp=sharing" TargetMode="External"/><Relationship Id="rId376" Type="http://schemas.openxmlformats.org/officeDocument/2006/relationships/hyperlink" Target="https://drive.google.com/open?id=1CRN8ALEZ1JhgGnTmc67xxrR2NkW3Rzxz2wjVTlzF6R0&amp;usp=drive_copy" TargetMode="External"/><Relationship Id="rId583" Type="http://schemas.openxmlformats.org/officeDocument/2006/relationships/hyperlink" Target="https://docs.google.com/open?id=1oxvmIEAZSSpHSnqlebeMmpTXTl0exGkduKLiQzbjp00" TargetMode="External"/><Relationship Id="rId790" Type="http://schemas.openxmlformats.org/officeDocument/2006/relationships/hyperlink" Target="https://docs.google.com/spreadsheets/d/1q_JiLk6_bA0dxtygieXCkIl4UPThvRWiS18iZb3nD7Y" TargetMode="External"/><Relationship Id="rId2057" Type="http://schemas.openxmlformats.org/officeDocument/2006/relationships/hyperlink" Target="https://drive.google.com/open?id=10mbr-0vwM8kYmIfhGJyI31hWVUgazf863FXyTN0cu2A" TargetMode="External"/><Relationship Id="rId2264" Type="http://schemas.openxmlformats.org/officeDocument/2006/relationships/hyperlink" Target="https://drive.google.com/open?id=1GjupOWxtK-zw87q_JSH5PTCFprpcXdqguwBvEHPbSh8&amp;usp=drive_copy" TargetMode="External"/><Relationship Id="rId2471" Type="http://schemas.openxmlformats.org/officeDocument/2006/relationships/hyperlink" Target="https://docs.google.com/open?id=1qzO6X1tKDTsOXKHHXgAWY0BThScdUBj-kN8SBlmt1kY" TargetMode="External"/><Relationship Id="rId3108" Type="http://schemas.openxmlformats.org/officeDocument/2006/relationships/hyperlink" Target="https://drive.google.com/open?id=1EynSOIKAIklDQNjxGcPnGAPAUZF6_G6cclZscB0oF1U&amp;usp=drive_copy" TargetMode="External"/><Relationship Id="rId3315" Type="http://schemas.openxmlformats.org/officeDocument/2006/relationships/hyperlink" Target="https://docs.google.com/open?id=1DreTUPvjfwZfdMHJ0RV1WXRdDItjSBuo1SnpO1WX0Bg" TargetMode="External"/><Relationship Id="rId3522" Type="http://schemas.openxmlformats.org/officeDocument/2006/relationships/hyperlink" Target="https://docs.google.com/spreadsheets/d/1QI46iaT6QLn_FWY_QD7lgI6VdaqHfQWt1vFQMPzzr7Q" TargetMode="External"/><Relationship Id="rId236" Type="http://schemas.openxmlformats.org/officeDocument/2006/relationships/hyperlink" Target="https://drive.google.com/open?id=1HbDkQWBTrC4m6BP6mGZnpISwcXxH7rlaAYE9YshF_II&amp;usp=drive_copy" TargetMode="External"/><Relationship Id="rId443" Type="http://schemas.openxmlformats.org/officeDocument/2006/relationships/hyperlink" Target="https://docs.google.com/open?id=1gjPzMk6r1lk_rGfRozFpEda6K5epzOqzLFAaYER5X3w" TargetMode="External"/><Relationship Id="rId650" Type="http://schemas.openxmlformats.org/officeDocument/2006/relationships/hyperlink" Target="https://docs.google.com/spreadsheets/d/1AJbyPTvEEwaelfVjmkCZi1R7IxeJYplBzCxK1aiIWKY" TargetMode="External"/><Relationship Id="rId1073" Type="http://schemas.openxmlformats.org/officeDocument/2006/relationships/hyperlink" Target="https://drive.google.com/open?id=1BRXpynHU4hwj1t-FIBojMXbyvBVKSj0DiATGFbOTeS4" TargetMode="External"/><Relationship Id="rId1280" Type="http://schemas.openxmlformats.org/officeDocument/2006/relationships/hyperlink" Target="https://drive.google.com/open?id=1g_NUbBwo69eY5_dY7yaGXktnXb4aemyZRxtp-B3RCAw&amp;usp=drive_copy" TargetMode="External"/><Relationship Id="rId2124" Type="http://schemas.openxmlformats.org/officeDocument/2006/relationships/hyperlink" Target="https://drive.google.com/open?id=1zZHX4a0FY2YJ2Eu5EhItf_gs00d53mwfU6nmXVTq2sI&amp;usp=drive_copy" TargetMode="External"/><Relationship Id="rId2331" Type="http://schemas.openxmlformats.org/officeDocument/2006/relationships/hyperlink" Target="https://docs.google.com/open?id=1Ow6tt7GgsGzVDcxAbmTaGwFSVWBWdbuF0NCB0Fa9u_I" TargetMode="External"/><Relationship Id="rId303" Type="http://schemas.openxmlformats.org/officeDocument/2006/relationships/hyperlink" Target="https://docs.google.com/open?id=1zuVHOafl08m2jZNZHiCWOmEPOxq6cwD9akQ1PkR1dEQ" TargetMode="External"/><Relationship Id="rId1140" Type="http://schemas.openxmlformats.org/officeDocument/2006/relationships/hyperlink" Target="https://drive.google.com/open?id=1r9FRjTB0i50xfIz1__yWsyNKPNQ9aZGQ1Fmcqb0iR6Q&amp;usp=drive_copy" TargetMode="External"/><Relationship Id="rId510" Type="http://schemas.openxmlformats.org/officeDocument/2006/relationships/hyperlink" Target="https://docs.google.com/spreadsheets/d/1MF1fk8rVZIAco5Gnx8McsNwYVhLmA4lyw1YLhUMKXhU" TargetMode="External"/><Relationship Id="rId1000" Type="http://schemas.openxmlformats.org/officeDocument/2006/relationships/hyperlink" Target="https://drive.google.com/open?id=1ISEd3zZ3_P1FV2SCiUiV-r7i24_e-6GfzFQSFt3Oaak&amp;usp=drive_copy" TargetMode="External"/><Relationship Id="rId1957" Type="http://schemas.openxmlformats.org/officeDocument/2006/relationships/hyperlink" Target="https://drive.google.com/open?id=1zqWk2RzD3ZISP5pEqRHV_UOKPxgiq3K2008z6ObDq-o" TargetMode="External"/><Relationship Id="rId1817" Type="http://schemas.openxmlformats.org/officeDocument/2006/relationships/hyperlink" Target="https://drive.google.com/open?id=1AlCJEWk90gOYN_FH1lIm3DFOtuZWqHqrk9efEBmlnME" TargetMode="External"/><Relationship Id="rId3172" Type="http://schemas.openxmlformats.org/officeDocument/2006/relationships/hyperlink" Target="https://drive.google.com/open?id=1hFRUOlfSu5TkfyULTbaFb_WXE3h6_xvfhVQx2Ms3gag&amp;usp=drive_copy" TargetMode="External"/><Relationship Id="rId3032" Type="http://schemas.openxmlformats.org/officeDocument/2006/relationships/hyperlink" Target="https://drive.google.com/open?id=11Se6BOXImfM9O0fBFQM2VCinjPrwX42geCm-njfyD6U&amp;usp=drive_copy" TargetMode="External"/><Relationship Id="rId160" Type="http://schemas.openxmlformats.org/officeDocument/2006/relationships/hyperlink" Target="https://docs.google.com/spreadsheets/d/1ELYs3wkwB6uDtrPxadWcD_X8PSli0ejfpeCOxYJ5iTU/edit" TargetMode="External"/><Relationship Id="rId2798" Type="http://schemas.openxmlformats.org/officeDocument/2006/relationships/hyperlink" Target="https://docs.google.com/spreadsheets/d/1CmuAZGYYfPT-pN3Q5YamQd_O0eWSCmuNl-kHlIwnRRM" TargetMode="External"/><Relationship Id="rId3849" Type="http://schemas.openxmlformats.org/officeDocument/2006/relationships/hyperlink" Target="https://drive.google.com/open?id=14-ELN3Sjstb2CkWNCRw-Esf0MIX4Psi8NCb19ohiuaA" TargetMode="External"/><Relationship Id="rId977" Type="http://schemas.openxmlformats.org/officeDocument/2006/relationships/hyperlink" Target="https://drive.google.com/open?id=1ZmpHtiGG6GHbJ3t4f7m6mVz6YP-37MXVLkmgSzjbKqg" TargetMode="External"/><Relationship Id="rId2658" Type="http://schemas.openxmlformats.org/officeDocument/2006/relationships/hyperlink" Target="https://docs.google.com/spreadsheets/d/1AWiq3H99nx8mHFS_NrvOVOBlS_CdwfE0EdXzlQIkc2M" TargetMode="External"/><Relationship Id="rId2865" Type="http://schemas.openxmlformats.org/officeDocument/2006/relationships/hyperlink" Target="https://drive.google.com/open?id=18MREpkqj7gVpqlVVe-iK76z3Qxj6yF_oKO7AfG2qXT0" TargetMode="External"/><Relationship Id="rId3709" Type="http://schemas.openxmlformats.org/officeDocument/2006/relationships/hyperlink" Target="https://drive.google.com/open?id=1y9Lgqg477ZAdlL1jQZOz5i-QPCgso97UZOvDZhm0aMg" TargetMode="External"/><Relationship Id="rId3916" Type="http://schemas.openxmlformats.org/officeDocument/2006/relationships/hyperlink" Target="https://drive.google.com/open?id=1CpCz0vLXMG11zC0rqWrZ5tvBrokKpg166AxbWCplO_g&amp;usp=drive_copy" TargetMode="External"/><Relationship Id="rId837" Type="http://schemas.openxmlformats.org/officeDocument/2006/relationships/hyperlink" Target="https://drive.google.com/open?id=1i_viCa1Ma0EfowXBQb0bgeYJxBglSuNcIB3Xq1pEsi0" TargetMode="External"/><Relationship Id="rId1467" Type="http://schemas.openxmlformats.org/officeDocument/2006/relationships/hyperlink" Target="https://docs.google.com/open?id=1wAOwX8JShRYK_TrAzJtVGPmWa5FvO7On8DSPnC018XQ" TargetMode="External"/><Relationship Id="rId1674" Type="http://schemas.openxmlformats.org/officeDocument/2006/relationships/hyperlink" Target="https://docs.google.com/spreadsheets/d/1textdPLKRNVtJANbhHPgxAt4NsrEeA1Z1tf6lyoCQeg" TargetMode="External"/><Relationship Id="rId1881" Type="http://schemas.openxmlformats.org/officeDocument/2006/relationships/hyperlink" Target="https://drive.google.com/open?id=12aMFFPFGxnyKOAy28b8Yfg7kyBhhJJtpTDSjgPmE6wg" TargetMode="External"/><Relationship Id="rId2518" Type="http://schemas.openxmlformats.org/officeDocument/2006/relationships/hyperlink" Target="https://docs.google.com/spreadsheets/d/165Su4-_ydhwK1-zm5fOKBdNpo6Mdcbt448UPuHUT4AI" TargetMode="External"/><Relationship Id="rId2725" Type="http://schemas.openxmlformats.org/officeDocument/2006/relationships/hyperlink" Target="https://drive.google.com/open?id=1sQstdyTWoH9wZivh1drMuerG_YTxIyrVkChnfl98yJA" TargetMode="External"/><Relationship Id="rId2932" Type="http://schemas.openxmlformats.org/officeDocument/2006/relationships/hyperlink" Target="https://drive.google.com/open?id=18JOOyJE4xNDoZvD4njVJUwTqiyb45Op1PtUsA1_Q0BM&amp;usp=drive_copy" TargetMode="External"/><Relationship Id="rId904" Type="http://schemas.openxmlformats.org/officeDocument/2006/relationships/hyperlink" Target="https://drive.google.com/open?id=1SsvHkRej2vBregcp2Lsl1i2jJj8r_J5OFIu_IM_TS5A&amp;usp=drive_copy" TargetMode="External"/><Relationship Id="rId1327" Type="http://schemas.openxmlformats.org/officeDocument/2006/relationships/hyperlink" Target="https://docs.google.com/open?id=1spbhJ9leRouDPHc59-QsvOpVu0HZJG_vS4I20yhg3DA" TargetMode="External"/><Relationship Id="rId1534" Type="http://schemas.openxmlformats.org/officeDocument/2006/relationships/hyperlink" Target="https://docs.google.com/spreadsheets/d/17Hq_5Fw1w9Vr5cydTPRPetk4gtdrKm7o5PNIqOGk8ks" TargetMode="External"/><Relationship Id="rId1741" Type="http://schemas.openxmlformats.org/officeDocument/2006/relationships/hyperlink" Target="https://drive.google.com/open?id=1IvGLXJoz7d75gHCbZLlH5wx6DhZu_UQO1BSisDEZXII" TargetMode="External"/><Relationship Id="rId33" Type="http://schemas.openxmlformats.org/officeDocument/2006/relationships/hyperlink" Target="https://docs.google.com/spreadsheets/d/1RSL4MMjMBh_1O1TSAHjqORjB66GWZpOXffhdpj78Sks/edit?usp=sharing" TargetMode="External"/><Relationship Id="rId1601" Type="http://schemas.openxmlformats.org/officeDocument/2006/relationships/hyperlink" Target="https://drive.google.com/open?id=1Quri5opIk3oNuE0qMxg-enBuT2fPJBEJoQHZThQaVGQ" TargetMode="External"/><Relationship Id="rId3499" Type="http://schemas.openxmlformats.org/officeDocument/2006/relationships/hyperlink" Target="https://docs.google.com/open?id=1fbASbdOk6qezIFeASok8XuHnJ5La5Gfv0GGAkgJj468" TargetMode="External"/><Relationship Id="rId3359" Type="http://schemas.openxmlformats.org/officeDocument/2006/relationships/hyperlink" Target="https://docs.google.com/open?id=1Pp76r7Ak4DuylWBxzrWd6SYxU6NF6ZiTCOTpZimQIJo" TargetMode="External"/><Relationship Id="rId3566" Type="http://schemas.openxmlformats.org/officeDocument/2006/relationships/hyperlink" Target="https://docs.google.com/spreadsheets/d/1URKqqjoFy9KleK-0wRRLmr7qsdv9kOSC4MDvOL-FBUU" TargetMode="External"/><Relationship Id="rId487" Type="http://schemas.openxmlformats.org/officeDocument/2006/relationships/hyperlink" Target="https://docs.google.com/open?id=1wY0EQWBPA5XkGfdYi5TQrYeuM9fq39UgRZeQC3E-7NU" TargetMode="External"/><Relationship Id="rId694" Type="http://schemas.openxmlformats.org/officeDocument/2006/relationships/hyperlink" Target="https://docs.google.com/spreadsheets/d/1L39DI1wMDf9LCozOoaK5V2Ca99oceCq6rC86LKyKju4" TargetMode="External"/><Relationship Id="rId2168" Type="http://schemas.openxmlformats.org/officeDocument/2006/relationships/hyperlink" Target="https://drive.google.com/open?id=1fN9WTZ4BlhzJmkw5hijUhiIlKOUsybDyVzCyji02UAc&amp;usp=drive_copy" TargetMode="External"/><Relationship Id="rId2375" Type="http://schemas.openxmlformats.org/officeDocument/2006/relationships/hyperlink" Target="https://docs.google.com/open?id=1DVU_uAKjdkGavMu_hijFuuToS4tOFsYkHQ0O7Lo-cPw" TargetMode="External"/><Relationship Id="rId3219" Type="http://schemas.openxmlformats.org/officeDocument/2006/relationships/hyperlink" Target="https://docs.google.com/open?id=1tnkLhF9Kn3oaTPa60FYDCDC-brmRWrG3qMqMDEBUeck" TargetMode="External"/><Relationship Id="rId3773" Type="http://schemas.openxmlformats.org/officeDocument/2006/relationships/hyperlink" Target="https://drive.google.com/open?id=1ZdKx-gRc7vXwqzxPiusLqIw3EvOaG9XKjXGP2XwAuqk" TargetMode="External"/><Relationship Id="rId347" Type="http://schemas.openxmlformats.org/officeDocument/2006/relationships/hyperlink" Target="https://docs.google.com/open?id=17HoejRUtYdUex9FEOd11KvVVGbOhTZZ59f8aZATV5FI" TargetMode="External"/><Relationship Id="rId1184" Type="http://schemas.openxmlformats.org/officeDocument/2006/relationships/hyperlink" Target="https://drive.google.com/open?id=1Yis8bvL-ziqT88RZfFPowTkK1R7KVfqun4L18uOAEzI&amp;usp=drive_copy" TargetMode="External"/><Relationship Id="rId2028" Type="http://schemas.openxmlformats.org/officeDocument/2006/relationships/hyperlink" Target="https://drive.google.com/open?id=1EZZlf-oZkJOSuzCoedEqasBDz1cZkRN6OJBsdqLytVo&amp;usp=drive_copy" TargetMode="External"/><Relationship Id="rId2582" Type="http://schemas.openxmlformats.org/officeDocument/2006/relationships/hyperlink" Target="https://docs.google.com/spreadsheets/d/1qtSGRx_mTEwLDofEEe4umvjSPQXrgfqyrbLnZNgg5gU" TargetMode="External"/><Relationship Id="rId3426" Type="http://schemas.openxmlformats.org/officeDocument/2006/relationships/hyperlink" Target="https://docs.google.com/spreadsheets/d/1yMOLYb9iMFQeZGQLZTLsfmd4PiLm0glG1p5dxYVzzQo" TargetMode="External"/><Relationship Id="rId3633" Type="http://schemas.openxmlformats.org/officeDocument/2006/relationships/hyperlink" Target="https://drive.google.com/open?id=19NWPP5RBg_Y2vIZ7pIZnkUtOcfOb-OMaViWz0CT52PA" TargetMode="External"/><Relationship Id="rId3840" Type="http://schemas.openxmlformats.org/officeDocument/2006/relationships/hyperlink" Target="https://drive.google.com/open?id=1ztvYGRzFuUHJJXOlbYuan0yQswk_YQTFCI1Zo_whx3w&amp;usp=drive_copy" TargetMode="External"/><Relationship Id="rId554" Type="http://schemas.openxmlformats.org/officeDocument/2006/relationships/hyperlink" Target="https://docs.google.com/spreadsheets/d/1SnY-xXs5HOXNXveC_LuuiSk2pUsKAxuGGzLZ8RZFv9k" TargetMode="External"/><Relationship Id="rId761" Type="http://schemas.openxmlformats.org/officeDocument/2006/relationships/hyperlink" Target="https://drive.google.com/open?id=1cbeGkjsmhBnqkSbnaED3lH6sqZYfy4rst8pE_bRbCAM" TargetMode="External"/><Relationship Id="rId1391" Type="http://schemas.openxmlformats.org/officeDocument/2006/relationships/hyperlink" Target="https://docs.google.com/open?id=1VwwKPJ-nn8QXgNoCc2vxkuGxRCW712tdCv1BNS9wOeA" TargetMode="External"/><Relationship Id="rId2235" Type="http://schemas.openxmlformats.org/officeDocument/2006/relationships/hyperlink" Target="https://docs.google.com/open?id=1zmrMFDtuU7Zb3qQokSgZvMH6lwHO2rzwp_0JiY5R4h8" TargetMode="External"/><Relationship Id="rId2442" Type="http://schemas.openxmlformats.org/officeDocument/2006/relationships/hyperlink" Target="https://docs.google.com/spreadsheets/d/16D9Wl55OB5imzgP8lk5OmxpV70KoxgBndXqnbh48UTM" TargetMode="External"/><Relationship Id="rId3700" Type="http://schemas.openxmlformats.org/officeDocument/2006/relationships/hyperlink" Target="https://drive.google.com/open?id=1ygoaH-E2xwIA3OpOd3RsnvMKCUNrtXMS7FrvC5diEF8&amp;usp=drive_copy" TargetMode="External"/><Relationship Id="rId207" Type="http://schemas.openxmlformats.org/officeDocument/2006/relationships/hyperlink" Target="https://docs.google.com/spreadsheets/d/1eP_V33bTaEt96MDDOYovz_xGRcB2FhnyT9VHLyrzB00/edit?usp=sharing" TargetMode="External"/><Relationship Id="rId414" Type="http://schemas.openxmlformats.org/officeDocument/2006/relationships/hyperlink" Target="https://docs.google.com/spreadsheets/d/1JNcgZ59fa_kKtT0fXm78eux6Um6S3Y8LBMXoUiGrf2w" TargetMode="External"/><Relationship Id="rId621" Type="http://schemas.openxmlformats.org/officeDocument/2006/relationships/hyperlink" Target="https://drive.google.com/open?id=12gWK6tQNOTSZt94ws7BXA73VCpywG_LlVxI9ulMbO8E" TargetMode="External"/><Relationship Id="rId1044" Type="http://schemas.openxmlformats.org/officeDocument/2006/relationships/hyperlink" Target="https://drive.google.com/open?id=16WA4VfPvnflY-Rpfm4rXZH29RuxySB0zyhoz031Jeqw&amp;usp=drive_copy" TargetMode="External"/><Relationship Id="rId1251" Type="http://schemas.openxmlformats.org/officeDocument/2006/relationships/hyperlink" Target="https://docs.google.com/open?id=1bjku_Gk_9iMSFZTNgcsAFZaECplFltPExyoSg0Sb4Is" TargetMode="External"/><Relationship Id="rId2302" Type="http://schemas.openxmlformats.org/officeDocument/2006/relationships/hyperlink" Target="https://docs.google.com/spreadsheets/d/1AGIoxrQ12COJppeFlqZktRitXux6_xbqrQu5wB1swoI" TargetMode="External"/><Relationship Id="rId1111" Type="http://schemas.openxmlformats.org/officeDocument/2006/relationships/hyperlink" Target="https://docs.google.com/open?id=1oxOc09P3H6c3etcU2Cox3OmjdScC_NtBT9weDtr2OM0" TargetMode="External"/><Relationship Id="rId3076" Type="http://schemas.openxmlformats.org/officeDocument/2006/relationships/hyperlink" Target="https://drive.google.com/open?id=19pAZ_XP5vnFRIEPwwgAtvBNmrCMOxTaquaPgMM-L1FI&amp;usp=drive_copy" TargetMode="External"/><Relationship Id="rId3283" Type="http://schemas.openxmlformats.org/officeDocument/2006/relationships/hyperlink" Target="https://docs.google.com/open?id=18tSqRAUgcfwLQyGvD-S2v9IScY0XVSq6dLjtSiGUSvE" TargetMode="External"/><Relationship Id="rId3490" Type="http://schemas.openxmlformats.org/officeDocument/2006/relationships/hyperlink" Target="https://docs.google.com/spreadsheets/d/1s2TfMVV6iHv16riausmRZ11glqryl6mn7rLxUsFPe00" TargetMode="External"/><Relationship Id="rId1928" Type="http://schemas.openxmlformats.org/officeDocument/2006/relationships/hyperlink" Target="https://drive.google.com/open?id=1GYquKqn3r0ZCMvCxQ0_dCzC-2h3S21njVFgNpsaEvEw&amp;usp=drive_copy" TargetMode="External"/><Relationship Id="rId2092" Type="http://schemas.openxmlformats.org/officeDocument/2006/relationships/hyperlink" Target="https://drive.google.com/open?id=1jozkSJ-c0pOQMXXCjkAgYrmDaFrwUr9J-GPsDi4AnnM&amp;usp=drive_copy" TargetMode="External"/><Relationship Id="rId3143" Type="http://schemas.openxmlformats.org/officeDocument/2006/relationships/hyperlink" Target="https://docs.google.com/open?id=1Rf_DQtYJqINOD9eJuejVgUtrhGdHCajPjJp7VG1DiZs" TargetMode="External"/><Relationship Id="rId3350" Type="http://schemas.openxmlformats.org/officeDocument/2006/relationships/hyperlink" Target="https://docs.google.com/spreadsheets/d/1PBVCKZ15LG3PK_khMQh4cShqvtx1Rtou_3tp6Hitfkc" TargetMode="External"/><Relationship Id="rId271" Type="http://schemas.openxmlformats.org/officeDocument/2006/relationships/hyperlink" Target="https://docs.google.com/open?id=1ZOx50n9LxDnUJ4WoZJfQAW77psTsnQhwPusYOEBG7Ng" TargetMode="External"/><Relationship Id="rId3003" Type="http://schemas.openxmlformats.org/officeDocument/2006/relationships/hyperlink" Target="https://docs.google.com/open?id=1qb1eOF5I_ykC4cNtNDoPOpiuPVxDie5KqzwQvzCBF-s" TargetMode="External"/><Relationship Id="rId131" Type="http://schemas.openxmlformats.org/officeDocument/2006/relationships/hyperlink" Target="https://docs.google.com/spreadsheets/d/15OGdoWojUHNFXiDfeU2kwF8VcDtq9WwspbU5tyRVpak/edit?usp=sharing" TargetMode="External"/><Relationship Id="rId3210" Type="http://schemas.openxmlformats.org/officeDocument/2006/relationships/hyperlink" Target="https://docs.google.com/spreadsheets/d/1t2uI5jSJvcoYzVphAG-PsbmtRBmaihD0bbE2MtW-_CI" TargetMode="External"/><Relationship Id="rId2769" Type="http://schemas.openxmlformats.org/officeDocument/2006/relationships/hyperlink" Target="https://drive.google.com/open?id=1VIZS6PLpEBV87yqgP2xbtMPHM7PwDFK09G6hhgPNXac" TargetMode="External"/><Relationship Id="rId2976" Type="http://schemas.openxmlformats.org/officeDocument/2006/relationships/hyperlink" Target="https://drive.google.com/open?id=1dK-1GRWW7qKlqYsPMEacabrPGPnUBnoxVl4_b5qXxx0&amp;usp=drive_copy" TargetMode="External"/><Relationship Id="rId948" Type="http://schemas.openxmlformats.org/officeDocument/2006/relationships/hyperlink" Target="https://drive.google.com/open?id=1qFc_9tU5EuyCio1Xr_H-k3r6k_LmSw9oxgysADhEUVY&amp;usp=drive_copy" TargetMode="External"/><Relationship Id="rId1578" Type="http://schemas.openxmlformats.org/officeDocument/2006/relationships/hyperlink" Target="https://docs.google.com/spreadsheets/d/1hdCeSha3PO3CZXUT5xSz1jdSDWQ3dPF5K74W5fUu0tA" TargetMode="External"/><Relationship Id="rId1785" Type="http://schemas.openxmlformats.org/officeDocument/2006/relationships/hyperlink" Target="https://drive.google.com/open?id=1mO6C_b6mBKmePJE5cBj_hx6Seiu8PTdyMZYgrGWJuLI" TargetMode="External"/><Relationship Id="rId1992" Type="http://schemas.openxmlformats.org/officeDocument/2006/relationships/hyperlink" Target="https://drive.google.com/open?id=1Dqc_Pf95YQXb5424igOMFHGNucg4DNgzS87U9cUeycU&amp;usp=drive_copy" TargetMode="External"/><Relationship Id="rId2629" Type="http://schemas.openxmlformats.org/officeDocument/2006/relationships/hyperlink" Target="https://drive.google.com/open?id=14dpPW1hHjofL6btAyU5zz05BgNTvj0Aqyt6rGKwHZm4" TargetMode="External"/><Relationship Id="rId2836" Type="http://schemas.openxmlformats.org/officeDocument/2006/relationships/hyperlink" Target="https://drive.google.com/open?id=1g3hRnzu_zkX6M0lU4kh6wk94uChWtMO_sEGQT-791AA&amp;usp=drive_copy" TargetMode="External"/><Relationship Id="rId77" Type="http://schemas.openxmlformats.org/officeDocument/2006/relationships/hyperlink" Target="https://docs.google.com/spreadsheets/d/1-rDlRbJ5aBoEgiO5iLXj-Ee6wVxKsfpXW-1RBx49hGQ/edit?usp=sharing" TargetMode="External"/><Relationship Id="rId808" Type="http://schemas.openxmlformats.org/officeDocument/2006/relationships/hyperlink" Target="https://drive.google.com/open?id=1fg_dhVP4MOnnKKDl-3hzPsSmqw1h1XEes-_m6xCC11Y&amp;usp=drive_copy" TargetMode="External"/><Relationship Id="rId1438" Type="http://schemas.openxmlformats.org/officeDocument/2006/relationships/hyperlink" Target="https://docs.google.com/spreadsheets/d/1mar7Gl-nlHAaQYOs5Hrjd_ZoB4W1yQWsAvHDIFO4ank" TargetMode="External"/><Relationship Id="rId1645" Type="http://schemas.openxmlformats.org/officeDocument/2006/relationships/hyperlink" Target="https://drive.google.com/open?id=1O5OIIO6A9Wl9qW8TUh5VgOVniNYpTvt3KJVJjPaO3IQ" TargetMode="External"/><Relationship Id="rId1852" Type="http://schemas.openxmlformats.org/officeDocument/2006/relationships/hyperlink" Target="https://drive.google.com/open?id=1xCCbkLrhy8swVra4EwyXrJwwS5tZm2iBK2NqKLo-a6A&amp;usp=drive_copy" TargetMode="External"/><Relationship Id="rId2903" Type="http://schemas.openxmlformats.org/officeDocument/2006/relationships/hyperlink" Target="https://docs.google.com/open?id=1gLvyPzUQ7pJx2S8jphwgB5IRLAR4qmgspg6kZfl1VhU" TargetMode="External"/><Relationship Id="rId1505" Type="http://schemas.openxmlformats.org/officeDocument/2006/relationships/hyperlink" Target="https://drive.google.com/open?id=1AoqLRMfbxDdlkLPp4-L-DGGIvP-y-_6RZ_9_ZGxvn1s" TargetMode="External"/><Relationship Id="rId1712" Type="http://schemas.openxmlformats.org/officeDocument/2006/relationships/hyperlink" Target="https://drive.google.com/open?id=1fdwJYovOBm4GBatw7NoRxwhxeZgIgsktpsUFfDiQgdM&amp;usp=drive_copy" TargetMode="External"/><Relationship Id="rId3677" Type="http://schemas.openxmlformats.org/officeDocument/2006/relationships/hyperlink" Target="https://drive.google.com/open?id=1IpmCgn885JULqdjoGvMFlAzAu-iojSZDeuFfFMfNlgA" TargetMode="External"/><Relationship Id="rId3884" Type="http://schemas.openxmlformats.org/officeDocument/2006/relationships/hyperlink" Target="https://drive.google.com/open?id=1oduhaIf8fcwj-eWTKp7sVf9TAEuuoYJAHr0ygSM_pEo&amp;usp=drive_copy" TargetMode="External"/><Relationship Id="rId598" Type="http://schemas.openxmlformats.org/officeDocument/2006/relationships/hyperlink" Target="https://docs.google.com/spreadsheets/d/1-PkSCXaCqEA_VP1iUd0aZ4Dn8bKiT18hTPXtvMWMLOI" TargetMode="External"/><Relationship Id="rId2279" Type="http://schemas.openxmlformats.org/officeDocument/2006/relationships/hyperlink" Target="https://docs.google.com/open?id=1zif92Bq28Io-nQ6s0AfutKm_ZvBTTgyYv8JscmasLRM" TargetMode="External"/><Relationship Id="rId2486" Type="http://schemas.openxmlformats.org/officeDocument/2006/relationships/hyperlink" Target="https://docs.google.com/spreadsheets/d/11kU6FZ9riH3rtFvnufRxnUW1LS2hCu-4EJLKiYufiUU" TargetMode="External"/><Relationship Id="rId2693" Type="http://schemas.openxmlformats.org/officeDocument/2006/relationships/hyperlink" Target="https://drive.google.com/open?id=1NfSL4hQNYhYS76hNjW8IcTXq2ARCR3aTuOdBmpzbUo8" TargetMode="External"/><Relationship Id="rId3537" Type="http://schemas.openxmlformats.org/officeDocument/2006/relationships/hyperlink" Target="https://drive.google.com/open?id=1gD0Ddy423CRu97oM004S2MfK70Xjt-7BpeLO-rPcpqU" TargetMode="External"/><Relationship Id="rId3744" Type="http://schemas.openxmlformats.org/officeDocument/2006/relationships/hyperlink" Target="https://drive.google.com/open?id=1SI4kIxZ-i0kHyYymJRPoUEJU2gRRKLyYzR_p8CbP-Rs&amp;usp=drive_copy" TargetMode="External"/><Relationship Id="rId3951" Type="http://schemas.openxmlformats.org/officeDocument/2006/relationships/hyperlink" Target="https://docs.google.com/open?id=1yyWpoI7sekFdjRmZBdv2nk40V__VZXy6Nxa_RTxVxYU" TargetMode="External"/><Relationship Id="rId458" Type="http://schemas.openxmlformats.org/officeDocument/2006/relationships/hyperlink" Target="https://docs.google.com/spreadsheets/d/1mRWp6cNSWVFM1mVPDKYl_lNOIvvSDoo0DPXuRJ6zqEA" TargetMode="External"/><Relationship Id="rId665" Type="http://schemas.openxmlformats.org/officeDocument/2006/relationships/hyperlink" Target="https://drive.google.com/open?id=1Fsx-5ZOCfCKVWOXLqp9p7s9qwc0IipvCRLJfiksv8n8" TargetMode="External"/><Relationship Id="rId872" Type="http://schemas.openxmlformats.org/officeDocument/2006/relationships/hyperlink" Target="https://drive.google.com/open?id=18bzRr9eE6gLLi1p0jkO0gWjsihw1tqcNLPhmPjEus_I&amp;usp=drive_copy" TargetMode="External"/><Relationship Id="rId1088" Type="http://schemas.openxmlformats.org/officeDocument/2006/relationships/hyperlink" Target="https://drive.google.com/open?id=1Hp6KMA0fPFywsxhr-xQPIhALtUqYjVodSXQvCSyfhYE&amp;usp=drive_copy" TargetMode="External"/><Relationship Id="rId1295" Type="http://schemas.openxmlformats.org/officeDocument/2006/relationships/hyperlink" Target="https://docs.google.com/open?id=1O4E4rmZQPYX_bqdeTrWzUGKaYZYSNyC-jwDE9-ao9X0" TargetMode="External"/><Relationship Id="rId2139" Type="http://schemas.openxmlformats.org/officeDocument/2006/relationships/hyperlink" Target="https://docs.google.com/open?id=1EWNwkTNxoPbagahazsgN5ecMqHNPGiE2yIHWv4vyCk4" TargetMode="External"/><Relationship Id="rId2346" Type="http://schemas.openxmlformats.org/officeDocument/2006/relationships/hyperlink" Target="https://docs.google.com/spreadsheets/d/1Unnleg8hS7znOSgPeU2DfMMPK1_N1a0l5x7A0C2wrq8" TargetMode="External"/><Relationship Id="rId2553" Type="http://schemas.openxmlformats.org/officeDocument/2006/relationships/hyperlink" Target="https://drive.google.com/open?id=1k2CuP_y7KfJ3gCJ3lyOf7jIz04RA8pwtH9NE5aGpq24" TargetMode="External"/><Relationship Id="rId2760" Type="http://schemas.openxmlformats.org/officeDocument/2006/relationships/hyperlink" Target="https://drive.google.com/open?id=1bR2ufX8Op8eqV5gVUrYQu6WPHgJ5sr0fP6saaNEWL-k&amp;usp=drive_copy" TargetMode="External"/><Relationship Id="rId3604" Type="http://schemas.openxmlformats.org/officeDocument/2006/relationships/hyperlink" Target="https://drive.google.com/open?id=1hik3PZ4HHAcC15rCCghx5uFz39EaD1w2tTz7NvL9Wv4&amp;usp=drive_copy" TargetMode="External"/><Relationship Id="rId3811" Type="http://schemas.openxmlformats.org/officeDocument/2006/relationships/hyperlink" Target="https://docs.google.com/open?id=1hhUgikEW5K-NuleAxxHugrZWLfJENeDn34ezodBXBz4" TargetMode="External"/><Relationship Id="rId318" Type="http://schemas.openxmlformats.org/officeDocument/2006/relationships/hyperlink" Target="https://docs.google.com/spreadsheets/d/11oNatRDgf7GL14aK3o_6sI2AtRPtWUSXcbIKwqJFPyY" TargetMode="External"/><Relationship Id="rId525" Type="http://schemas.openxmlformats.org/officeDocument/2006/relationships/hyperlink" Target="https://drive.google.com/open?id=103KL_VjoShnKTLjchsuvs_etS-tYQqzNE8Dbs_m5QYo" TargetMode="External"/><Relationship Id="rId732" Type="http://schemas.openxmlformats.org/officeDocument/2006/relationships/hyperlink" Target="https://drive.google.com/open?id=1ZYsGL93hUEpIsfPXZXcFQ8UvpYdafnpu3DWPsXTaF3E&amp;usp=drive_copy" TargetMode="External"/><Relationship Id="rId1155" Type="http://schemas.openxmlformats.org/officeDocument/2006/relationships/hyperlink" Target="https://docs.google.com/open?id=1T4pmLI_UD2FFyn2DwaOSxDiHRY9oEfYkfnxHH8QmqxM" TargetMode="External"/><Relationship Id="rId1362" Type="http://schemas.openxmlformats.org/officeDocument/2006/relationships/hyperlink" Target="https://docs.google.com/spreadsheets/d/1Ljnpf8pHlyilcVbJnrlTQb4FAW4jjkUGah_JbcMeEOs" TargetMode="External"/><Relationship Id="rId2206" Type="http://schemas.openxmlformats.org/officeDocument/2006/relationships/hyperlink" Target="https://docs.google.com/spreadsheets/d/1M0O7KTLx0wqIvFensHByOPlVhErYtR1f0ZecyfXkFMs" TargetMode="External"/><Relationship Id="rId2413" Type="http://schemas.openxmlformats.org/officeDocument/2006/relationships/hyperlink" Target="https://drive.google.com/open?id=1DNmcaNb_9LHk5ypYwBKO4NM6uEQYNNPLWE6uFEI-oIs" TargetMode="External"/><Relationship Id="rId2620" Type="http://schemas.openxmlformats.org/officeDocument/2006/relationships/hyperlink" Target="https://drive.google.com/open?id=12tatt3fXXJgU72IzH9B_W1uuNOmUjRYuA2iN4rIsRrk&amp;usp=drive_copy" TargetMode="External"/><Relationship Id="rId1015" Type="http://schemas.openxmlformats.org/officeDocument/2006/relationships/hyperlink" Target="https://docs.google.com/open?id=1r2igowZW-MNiaQKk3N14pNNARCuLmR3N_RVN2UXG0fc" TargetMode="External"/><Relationship Id="rId1222" Type="http://schemas.openxmlformats.org/officeDocument/2006/relationships/hyperlink" Target="https://docs.google.com/spreadsheets/d/1OI0RdNMmZqRIPrr5sMuGO4qeAmlAlsu-4v37ggkdvKs" TargetMode="External"/><Relationship Id="rId3187" Type="http://schemas.openxmlformats.org/officeDocument/2006/relationships/hyperlink" Target="https://docs.google.com/open?id=1i_Ppc1K3c0wvumPRTD5AH2CWBK-x9OCGuFLz13BOKpQ" TargetMode="External"/><Relationship Id="rId3394" Type="http://schemas.openxmlformats.org/officeDocument/2006/relationships/hyperlink" Target="https://docs.google.com/spreadsheets/d/1jRR5WGplGtp1GxJxtUDW66MOWCeFhBhceNQS0tSCfKI" TargetMode="External"/><Relationship Id="rId3047" Type="http://schemas.openxmlformats.org/officeDocument/2006/relationships/hyperlink" Target="https://docs.google.com/open?id=125ckWSGOlwdkX5ypzvVX4Z86-le2ukVLGv7ghytrMXg" TargetMode="External"/><Relationship Id="rId175" Type="http://schemas.openxmlformats.org/officeDocument/2006/relationships/hyperlink" Target="https://docs.google.com/spreadsheets/d/1rYE-oC22CjOtY3jfJIWxa7YKek6EXugqoq3cWQCzCyg/edit?usp=sharing" TargetMode="External"/><Relationship Id="rId3254" Type="http://schemas.openxmlformats.org/officeDocument/2006/relationships/hyperlink" Target="https://docs.google.com/spreadsheets/d/14AM6_aa-ThFRzFQxlFxDAPqVxMQW64NrnTw3fX8qFyI" TargetMode="External"/><Relationship Id="rId3461" Type="http://schemas.openxmlformats.org/officeDocument/2006/relationships/hyperlink" Target="https://drive.google.com/open?id=1M4Ei5XLHh_AqnIF9110SlxEJXFTIrySqKK8HMc9rT8k" TargetMode="External"/><Relationship Id="rId382" Type="http://schemas.openxmlformats.org/officeDocument/2006/relationships/hyperlink" Target="https://docs.google.com/spreadsheets/d/1EoaNMd42q4MFxfmg4M54yv37CFTdUayvvyc1t-QQQrY" TargetMode="External"/><Relationship Id="rId2063" Type="http://schemas.openxmlformats.org/officeDocument/2006/relationships/hyperlink" Target="https://docs.google.com/open?id=1YWX9TQlOJvLswET9G6iypcmHdHdVOFR_-rKFuAQyoUc" TargetMode="External"/><Relationship Id="rId2270" Type="http://schemas.openxmlformats.org/officeDocument/2006/relationships/hyperlink" Target="https://docs.google.com/spreadsheets/d/1YnweNW4B4kDthnEB8i0Nt5ZWP1XzZsnFWKgnuP1ypk4" TargetMode="External"/><Relationship Id="rId3114" Type="http://schemas.openxmlformats.org/officeDocument/2006/relationships/hyperlink" Target="https://docs.google.com/spreadsheets/d/1Ggwne6FhClLfHDLaniFGKfcevssvoYgQ7elRreZqWnY" TargetMode="External"/><Relationship Id="rId3321" Type="http://schemas.openxmlformats.org/officeDocument/2006/relationships/hyperlink" Target="https://drive.google.com/open?id=1Gj9Obdt_pt5xjryTJUUUqjMAzeze1zxwe0ZY2vIEEPc" TargetMode="External"/><Relationship Id="rId242" Type="http://schemas.openxmlformats.org/officeDocument/2006/relationships/hyperlink" Target="https://docs.google.com/spreadsheets/d/1KYugIwwEiOvYOpyPHcB98jKH13KQMTPamOpYz7YkUiE" TargetMode="External"/><Relationship Id="rId2130" Type="http://schemas.openxmlformats.org/officeDocument/2006/relationships/hyperlink" Target="https://docs.google.com/spreadsheets/d/1gjojWKaW77IWMv44XbLSysOJaL7bE-RN3ZWpUdIommo" TargetMode="External"/><Relationship Id="rId102" Type="http://schemas.openxmlformats.org/officeDocument/2006/relationships/hyperlink" Target="https://docs.google.com/spreadsheets/d/19vyXBiiywcpbi_WIEqk-sTP5GqW3eBtIOf0PRlFuIaM/edit" TargetMode="External"/><Relationship Id="rId1689" Type="http://schemas.openxmlformats.org/officeDocument/2006/relationships/hyperlink" Target="https://drive.google.com/open?id=1F2PMExuSAdbpUTObtEtPgjRIZ5ZpbRG3gZrgcYiHtEU" TargetMode="External"/><Relationship Id="rId1896" Type="http://schemas.openxmlformats.org/officeDocument/2006/relationships/hyperlink" Target="https://drive.google.com/open?id=1itRX-eU3oKaBwBg1eva1Iw86l7By9Zb7ciHV84aNRus&amp;usp=drive_copy" TargetMode="External"/><Relationship Id="rId2947" Type="http://schemas.openxmlformats.org/officeDocument/2006/relationships/hyperlink" Target="https://docs.google.com/open?id=1JsN4x6qkeTs7wLVr6XLNgXiy5-mW__0v825hXWtWTPI" TargetMode="External"/><Relationship Id="rId919" Type="http://schemas.openxmlformats.org/officeDocument/2006/relationships/hyperlink" Target="https://docs.google.com/open?id=1TnmNTSo-03y6ulvYttT-hHHTp9QhfaNbZjV0kMWrqhg" TargetMode="External"/><Relationship Id="rId1549" Type="http://schemas.openxmlformats.org/officeDocument/2006/relationships/hyperlink" Target="https://drive.google.com/open?id=1EKKoijwi3vW4zyUrz7QL__fUmeTC4Sr48ZlKm7whbEs" TargetMode="External"/><Relationship Id="rId1756" Type="http://schemas.openxmlformats.org/officeDocument/2006/relationships/hyperlink" Target="https://drive.google.com/open?id=1V6yu20UkgdKhMonMzjGUIWTYP2as6Onb-rGoh5RhXZk&amp;usp=drive_copy" TargetMode="External"/><Relationship Id="rId1963" Type="http://schemas.openxmlformats.org/officeDocument/2006/relationships/hyperlink" Target="https://docs.google.com/open?id=1S8HXocRKGh0PXzjCQQfus5g-NlIeRuYEaC7IsVRw54k" TargetMode="External"/><Relationship Id="rId2807" Type="http://schemas.openxmlformats.org/officeDocument/2006/relationships/hyperlink" Target="https://docs.google.com/open?id=14S0Jqu9xTsc0TD7yxwv2vnF9BabyO01GUruZTKCgjxc" TargetMode="External"/><Relationship Id="rId48" Type="http://schemas.openxmlformats.org/officeDocument/2006/relationships/hyperlink" Target="https://docs.google.com/spreadsheets/d/1atq5-5Swtert9m_EOhDzNkpiD8vV2GfgoRoyxIOr8uM/edit" TargetMode="External"/><Relationship Id="rId1409" Type="http://schemas.openxmlformats.org/officeDocument/2006/relationships/hyperlink" Target="https://drive.google.com/open?id=1mNN0GGJA5oEitryJ21T-8euFGdM4BbxAOzlU3ZjgdIk" TargetMode="External"/><Relationship Id="rId1616" Type="http://schemas.openxmlformats.org/officeDocument/2006/relationships/hyperlink" Target="https://drive.google.com/open?id=1pAkRuvbyP7S49qfQYEnl6qBu_nFSTfzQ_s18PxCYCkI&amp;usp=drive_copy" TargetMode="External"/><Relationship Id="rId1823" Type="http://schemas.openxmlformats.org/officeDocument/2006/relationships/hyperlink" Target="https://docs.google.com/open?id=1-kfmxs9yKJgS8-LGv2weDkxdMdtawqO7_cXAbtiItfo" TargetMode="External"/><Relationship Id="rId3788" Type="http://schemas.openxmlformats.org/officeDocument/2006/relationships/hyperlink" Target="https://drive.google.com/open?id=1Ma8B8P9T1jyN_GT7W61KRUZ_VMQgkur191iZWCk7QO8&amp;usp=drive_copy" TargetMode="External"/><Relationship Id="rId2597" Type="http://schemas.openxmlformats.org/officeDocument/2006/relationships/hyperlink" Target="https://drive.google.com/open?id=1tsl8mfgkSZosk35pnU1hGtMFXQDOUE44E0kBPsxi-d8" TargetMode="External"/><Relationship Id="rId3648" Type="http://schemas.openxmlformats.org/officeDocument/2006/relationships/hyperlink" Target="https://drive.google.com/open?id=1nTguIhz7s84xpHZvYXCDLKGXhAkn-m851iGpSU8Gkv0&amp;usp=drive_copy" TargetMode="External"/><Relationship Id="rId3855" Type="http://schemas.openxmlformats.org/officeDocument/2006/relationships/hyperlink" Target="https://docs.google.com/open?id=1DKNtZaI3w_LqyItkhFKLoFoF-6YzzS75G-WzPlOpuNg" TargetMode="External"/><Relationship Id="rId569" Type="http://schemas.openxmlformats.org/officeDocument/2006/relationships/hyperlink" Target="https://drive.google.com/open?id=1iuCdBVo6yQTl4ndwwoIEo4D2WdYc9qxKbP1EaXrMQLs" TargetMode="External"/><Relationship Id="rId776" Type="http://schemas.openxmlformats.org/officeDocument/2006/relationships/hyperlink" Target="https://drive.google.com/open?id=1guCrqxjyAvw3Wse-sH49A4MJcrkldK5kLxFfybSBydA&amp;usp=drive_copy" TargetMode="External"/><Relationship Id="rId983" Type="http://schemas.openxmlformats.org/officeDocument/2006/relationships/hyperlink" Target="https://docs.google.com/open?id=1ZXjnCYh3jDAeWfSq0f_qyjwCjqi05SxL2zJI-NPAl-s" TargetMode="External"/><Relationship Id="rId1199" Type="http://schemas.openxmlformats.org/officeDocument/2006/relationships/hyperlink" Target="https://docs.google.com/open?id=1ZIF5QzVr3TVMcW0EO7gHnYPOkn-Y0q2Godqr8sr-8LA" TargetMode="External"/><Relationship Id="rId2457" Type="http://schemas.openxmlformats.org/officeDocument/2006/relationships/hyperlink" Target="https://drive.google.com/open?id=1cDi4Jr4B31xD9wwGXqXPwWZ0K07bE62O4aZio_Ee-Vk" TargetMode="External"/><Relationship Id="rId2664" Type="http://schemas.openxmlformats.org/officeDocument/2006/relationships/hyperlink" Target="https://drive.google.com/open?id=1Ai4ecMLhjaGxhxEnEqL64cjB3nkz5cSYB_zSZLIcE0k&amp;usp=drive_copy" TargetMode="External"/><Relationship Id="rId3508" Type="http://schemas.openxmlformats.org/officeDocument/2006/relationships/hyperlink" Target="https://drive.google.com/open?id=1FkaDDLgFi_H-nJcPFo2xv32OCp-8Si-OgH6LiYw4PAo&amp;usp=drive_copy" TargetMode="External"/><Relationship Id="rId429" Type="http://schemas.openxmlformats.org/officeDocument/2006/relationships/hyperlink" Target="https://drive.google.com/open?id=1eHfVIuJUr35UiXp2DSH52bJfSrZ0A3gREZI4-n7FaQk" TargetMode="External"/><Relationship Id="rId636" Type="http://schemas.openxmlformats.org/officeDocument/2006/relationships/hyperlink" Target="https://drive.google.com/open?id=1mEfo-7STl9l7TDG-nmn0LLWcMxmNUWf5f-tIZ8daGaU&amp;usp=drive_copy" TargetMode="External"/><Relationship Id="rId1059" Type="http://schemas.openxmlformats.org/officeDocument/2006/relationships/hyperlink" Target="https://docs.google.com/open?id=1nH62xTJNMa3X58-m-mj1l3cKnGDpbJbD-3xXHloHi90" TargetMode="External"/><Relationship Id="rId1266" Type="http://schemas.openxmlformats.org/officeDocument/2006/relationships/hyperlink" Target="https://docs.google.com/spreadsheets/d/1cthv5jnBJlGdhZyvDCBx8gZP3C9tztTdSTf7burgAdU" TargetMode="External"/><Relationship Id="rId1473" Type="http://schemas.openxmlformats.org/officeDocument/2006/relationships/hyperlink" Target="https://drive.google.com/open?id=1yKglbaiJ2AHEKXwNA8dXJzyIcE576a0Dn8I5b43TLik" TargetMode="External"/><Relationship Id="rId2317" Type="http://schemas.openxmlformats.org/officeDocument/2006/relationships/hyperlink" Target="https://drive.google.com/open?id=1OPTkergdFEZYezeXIKRwnn8PLvKWaiU62h3i052WOB8" TargetMode="External"/><Relationship Id="rId2871" Type="http://schemas.openxmlformats.org/officeDocument/2006/relationships/hyperlink" Target="https://docs.google.com/open?id=1BlwP1IABydJc7mcPhy4Rz9nQT1QFO35n1_By8k9mMno" TargetMode="External"/><Relationship Id="rId3715" Type="http://schemas.openxmlformats.org/officeDocument/2006/relationships/hyperlink" Target="https://docs.google.com/open?id=1ue2qeGje5VLC86p7V1m4P8ZaDfL6LC9A4hmmjrn0iSs" TargetMode="External"/><Relationship Id="rId3922" Type="http://schemas.openxmlformats.org/officeDocument/2006/relationships/hyperlink" Target="https://docs.google.com/spreadsheets/d/1aBTrGvbqltxSQtKd3zkmnYnyrZMF-P-VokD5amQDyMM" TargetMode="External"/><Relationship Id="rId843" Type="http://schemas.openxmlformats.org/officeDocument/2006/relationships/hyperlink" Target="https://docs.google.com/open?id=1sbWZJ_XxfiWrscuhfcTV-mv7Ts6hWGgMKhjjYhcnLjE" TargetMode="External"/><Relationship Id="rId1126" Type="http://schemas.openxmlformats.org/officeDocument/2006/relationships/hyperlink" Target="https://docs.google.com/spreadsheets/d/1lWcYdNugbKYhbj-NsLmjM1M7bBuXkOU_Z7TE6wmzidA" TargetMode="External"/><Relationship Id="rId1680" Type="http://schemas.openxmlformats.org/officeDocument/2006/relationships/hyperlink" Target="https://drive.google.com/open?id=12QyFqHTRjIZOnrLXNr9NmaSp8rnvYFKsPPRe_6Enczs&amp;usp=drive_copy" TargetMode="External"/><Relationship Id="rId2524" Type="http://schemas.openxmlformats.org/officeDocument/2006/relationships/hyperlink" Target="https://drive.google.com/open?id=1cL0YXRJErBHsz2Dcib-JJ3g-rV7waf3sC8Y2kKHtzBk&amp;usp=drive_copy" TargetMode="External"/><Relationship Id="rId2731" Type="http://schemas.openxmlformats.org/officeDocument/2006/relationships/hyperlink" Target="https://docs.google.com/open?id=1mb1biGUdRjeJPMLsfv6DNq_8Xiud5nmDGHF308kq81g" TargetMode="External"/><Relationship Id="rId703" Type="http://schemas.openxmlformats.org/officeDocument/2006/relationships/hyperlink" Target="https://docs.google.com/open?id=1OGhMSmwLzY_YX9czT4J-ieZpRTQUnUIAMTS094bSnHo" TargetMode="External"/><Relationship Id="rId910" Type="http://schemas.openxmlformats.org/officeDocument/2006/relationships/hyperlink" Target="https://docs.google.com/spreadsheets/d/1R4017ykQ6WNTndHZCXTtl5SVSjMK56gg5ppQkqTA2rk" TargetMode="External"/><Relationship Id="rId1333" Type="http://schemas.openxmlformats.org/officeDocument/2006/relationships/hyperlink" Target="https://drive.google.com/open?id=1u4Qs85Z2YWfr3FN8fpvzc1IKJqEijkVaqrG4bOuFOwM" TargetMode="External"/><Relationship Id="rId1540" Type="http://schemas.openxmlformats.org/officeDocument/2006/relationships/hyperlink" Target="https://docs.google.com/spreadsheets/d/1BjyddFfxjN8ROUiwiMYWElu0fvqK_3TBhZOMHkgSzxg/edit?usp=share_link" TargetMode="External"/><Relationship Id="rId1400" Type="http://schemas.openxmlformats.org/officeDocument/2006/relationships/hyperlink" Target="https://drive.google.com/open?id=1xwIpShrkCBz1_8eaQfHo0xzMua8p3PMDeCEyaUFvY5g&amp;usp=drive_copy" TargetMode="External"/><Relationship Id="rId3298" Type="http://schemas.openxmlformats.org/officeDocument/2006/relationships/hyperlink" Target="https://docs.google.com/spreadsheets/d/1BoVERwmQ-a-yGG-PS5iIrmdlddaP1FQW59uBgpAPkUs" TargetMode="External"/><Relationship Id="rId3158" Type="http://schemas.openxmlformats.org/officeDocument/2006/relationships/hyperlink" Target="https://docs.google.com/spreadsheets/d/1ZunsWjnXH-0PB8hBwvVNdCe1GRwXk_dwGjfOoEeEI-E" TargetMode="External"/><Relationship Id="rId3365" Type="http://schemas.openxmlformats.org/officeDocument/2006/relationships/hyperlink" Target="https://drive.google.com/open?id=1RPOd8h85ieURdIpnOM5w6_mXo8O5-jUQgD3PMix2wHQ" TargetMode="External"/><Relationship Id="rId3572" Type="http://schemas.openxmlformats.org/officeDocument/2006/relationships/hyperlink" Target="https://drive.google.com/open?id=1sriO7LK-YCbgERo-yBZZZuuhBm80zstjcD6_BDzydtY&amp;usp=drive_copy" TargetMode="External"/><Relationship Id="rId286" Type="http://schemas.openxmlformats.org/officeDocument/2006/relationships/hyperlink" Target="https://docs.google.com/spreadsheets/d/1rtTNWNY9LpjZeUWyikVb8KbSfvtENrROve13kIkmVMk" TargetMode="External"/><Relationship Id="rId493" Type="http://schemas.openxmlformats.org/officeDocument/2006/relationships/hyperlink" Target="https://drive.google.com/open?id=13y-xpQPPXUCTfqu7A8owFAqLunprm0uplelyP_okWZU" TargetMode="External"/><Relationship Id="rId2174" Type="http://schemas.openxmlformats.org/officeDocument/2006/relationships/hyperlink" Target="https://docs.google.com/spreadsheets/d/1qX1Cycb5q9fdejXxrC5tDEUuiRoPEL6lrlKM5_p1FK0" TargetMode="External"/><Relationship Id="rId2381" Type="http://schemas.openxmlformats.org/officeDocument/2006/relationships/hyperlink" Target="https://drive.google.com/open?id=1SOjXPypXqSXAHAEQPaFXljMmC25mCFzbBzRrsrA47ks" TargetMode="External"/><Relationship Id="rId3018" Type="http://schemas.openxmlformats.org/officeDocument/2006/relationships/hyperlink" Target="https://docs.google.com/spreadsheets/d/1xGj6NFbIzK3dda4h1VeMzV9oVdUVEjKq2_EsjFMj1ns" TargetMode="External"/><Relationship Id="rId3225" Type="http://schemas.openxmlformats.org/officeDocument/2006/relationships/hyperlink" Target="https://drive.google.com/open?id=1wdHweScfbL0EVUCVGK5VaH2M4EzFpkZ4OhyaDnZnXI8" TargetMode="External"/><Relationship Id="rId3432" Type="http://schemas.openxmlformats.org/officeDocument/2006/relationships/hyperlink" Target="https://drive.google.com/open?id=16w475vVUAnM6o9vbOIsGpgiM76cKmsCLKWT-tz2V7tg&amp;usp=drive_copy" TargetMode="External"/><Relationship Id="rId146" Type="http://schemas.openxmlformats.org/officeDocument/2006/relationships/hyperlink" Target="https://docs.google.com/spreadsheets/d/1xQ7X23W5bprtCNGPNsX8mcA_ZLrBnEPDjNTe0J8h6l8/edit" TargetMode="External"/><Relationship Id="rId353" Type="http://schemas.openxmlformats.org/officeDocument/2006/relationships/hyperlink" Target="https://drive.google.com/open?id=19mvdKqjA3iNQhCYKdFz1K0ZTg-LZWhEycE1OuCt5jnQ" TargetMode="External"/><Relationship Id="rId560" Type="http://schemas.openxmlformats.org/officeDocument/2006/relationships/hyperlink" Target="https://drive.google.com/open?id=1h_WoUgQLtAtpcxVeggaqOBw_o-opGErf0a4nla_B1Fc&amp;usp=drive_copy" TargetMode="External"/><Relationship Id="rId1190" Type="http://schemas.openxmlformats.org/officeDocument/2006/relationships/hyperlink" Target="https://docs.google.com/spreadsheets/d/1Yza90-TlvGx99B7AxrZnd8orAhG1q79_xXyht58dmYQ" TargetMode="External"/><Relationship Id="rId2034" Type="http://schemas.openxmlformats.org/officeDocument/2006/relationships/hyperlink" Target="https://docs.google.com/spreadsheets/d/1G6R0o5Pv0LcGQYBrrDDjvimc0cHTaZk2TzWJX4Wu7ns" TargetMode="External"/><Relationship Id="rId2241" Type="http://schemas.openxmlformats.org/officeDocument/2006/relationships/hyperlink" Target="https://drive.google.com/open?id=1CpcRgciqgAQrz5_BC2x-uy9_NNEMAfuy7JNhwF1hvqs" TargetMode="External"/><Relationship Id="rId213" Type="http://schemas.openxmlformats.org/officeDocument/2006/relationships/hyperlink" Target="https://drive.google.com/open?id=14PHFYBfwNIyFEI70LXz85hCHJNCd_-E4JiEYLXljb4U" TargetMode="External"/><Relationship Id="rId420" Type="http://schemas.openxmlformats.org/officeDocument/2006/relationships/hyperlink" Target="https://drive.google.com/open?id=1L5vtww-CHU4fACZrzXt5nk2pfWiLXeHt6bazKm20Y6s&amp;usp=drive_copy" TargetMode="External"/><Relationship Id="rId1050" Type="http://schemas.openxmlformats.org/officeDocument/2006/relationships/hyperlink" Target="https://docs.google.com/spreadsheets/d/18rIwtIo9dWyf2Ut4Zmza2-vWtmaytdEvRgAiCozJi_0" TargetMode="External"/><Relationship Id="rId2101" Type="http://schemas.openxmlformats.org/officeDocument/2006/relationships/hyperlink" Target="https://drive.google.com/open?id=18qSbAXw4IAiqN7UMYpJ_lqFs-ERDVHiBfjRGi1nDb6o" TargetMode="External"/><Relationship Id="rId1867" Type="http://schemas.openxmlformats.org/officeDocument/2006/relationships/hyperlink" Target="https://docs.google.com/open?id=1eyMPBGxaiboIcQ6K95OtPfpdspAsOr1gMiDm5eRw6Fg" TargetMode="External"/><Relationship Id="rId2918" Type="http://schemas.openxmlformats.org/officeDocument/2006/relationships/hyperlink" Target="https://docs.google.com/spreadsheets/d/13UKQVBKtrm6kycmufaXNoBDOstV94QfjD6ps0Z9s1RA" TargetMode="External"/><Relationship Id="rId1727" Type="http://schemas.openxmlformats.org/officeDocument/2006/relationships/hyperlink" Target="https://docs.google.com/open?id=11hH8ceQtzckvAhiPdC8A-_H9yjPAUzN47SxqyxbIpQA" TargetMode="External"/><Relationship Id="rId1934" Type="http://schemas.openxmlformats.org/officeDocument/2006/relationships/hyperlink" Target="https://docs.google.com/spreadsheets/d/1_cpM8SFh9NZqujvKsLm6w5tNwwMFRflxdHMAv0X1HpE" TargetMode="External"/><Relationship Id="rId3082" Type="http://schemas.openxmlformats.org/officeDocument/2006/relationships/hyperlink" Target="https://docs.google.com/spreadsheets/d/19sZMWEMpwmjetMOFzSZeryqbWg-QjBLFuhGIAZ3F2II" TargetMode="External"/><Relationship Id="rId19" Type="http://schemas.openxmlformats.org/officeDocument/2006/relationships/hyperlink" Target="https://docs.google.com/spreadsheets/d/15WPjJJaiapTrjqvA8v70qJ9qqohXEXoqm8fjieBB7r8/edit?usp=sharing" TargetMode="External"/><Relationship Id="rId3899" Type="http://schemas.openxmlformats.org/officeDocument/2006/relationships/hyperlink" Target="https://docs.google.com/open?id=1fyOZhUTnosGJ4s8TnmySKCKTgZ7tnssCaHs9nyUUHkU" TargetMode="External"/><Relationship Id="rId3759" Type="http://schemas.openxmlformats.org/officeDocument/2006/relationships/hyperlink" Target="https://docs.google.com/open?id=17o-xDNHvJSK69tAcTwwjesRw5ogiJZi2LKam4LE6SLw" TargetMode="External"/><Relationship Id="rId3" Type="http://schemas.openxmlformats.org/officeDocument/2006/relationships/hyperlink" Target="https://docs.google.com/spreadsheets/d/1ty7k5Icb_MsNYo5vdr5Wkqz3qiVji_4o0GJ3W2dHzg0/edit?usp=sharing" TargetMode="External"/><Relationship Id="rId887" Type="http://schemas.openxmlformats.org/officeDocument/2006/relationships/hyperlink" Target="https://docs.google.com/open?id=1LntP-_rHXhiJt7pzrWMylRoxHRo9Czlu5Sz3cUIMCrg" TargetMode="External"/><Relationship Id="rId2568" Type="http://schemas.openxmlformats.org/officeDocument/2006/relationships/hyperlink" Target="https://drive.google.com/open?id=1nIgLQUqkTZWxzZ7wba4p4rdet2tZLGLBiBV7eCpag2s&amp;usp=drive_copy" TargetMode="External"/><Relationship Id="rId2775" Type="http://schemas.openxmlformats.org/officeDocument/2006/relationships/hyperlink" Target="https://docs.google.com/open?id=1R9atTXRoPxBG287AvyjX6m06NzqLOeB8pjDu-WO2m2k" TargetMode="External"/><Relationship Id="rId2982" Type="http://schemas.openxmlformats.org/officeDocument/2006/relationships/hyperlink" Target="https://docs.google.com/spreadsheets/d/1fCUY5EXexmjdnLDxMmzuos-LNQ8xkLSda7kL3wcZCsY" TargetMode="External"/><Relationship Id="rId3619" Type="http://schemas.openxmlformats.org/officeDocument/2006/relationships/hyperlink" Target="https://docs.google.com/open?id=1YI2hk4HHlfbWi0j-gFAJvHCuMpfNy6vns0c3r3_HwNg" TargetMode="External"/><Relationship Id="rId3826" Type="http://schemas.openxmlformats.org/officeDocument/2006/relationships/hyperlink" Target="https://docs.google.com/spreadsheets/d/1sTb2zaDnsrvopAxKPzSrbiCQ6KoxD9gMrwqhkHtnxMs" TargetMode="External"/><Relationship Id="rId747" Type="http://schemas.openxmlformats.org/officeDocument/2006/relationships/hyperlink" Target="https://docs.google.com/open?id=1ABRpeRqMDXErNoGQEaO1t9HHevH-K2aqmWK4TwlrTNg" TargetMode="External"/><Relationship Id="rId954" Type="http://schemas.openxmlformats.org/officeDocument/2006/relationships/hyperlink" Target="https://docs.google.com/spreadsheets/d/1D51xmYYsDlWkRFPh_MU2uGUmjNrYLMcOxoPoM89_OLg" TargetMode="External"/><Relationship Id="rId1377" Type="http://schemas.openxmlformats.org/officeDocument/2006/relationships/hyperlink" Target="https://drive.google.com/open?id=11KSxHMGnoHkgZ0DLKwBfZft8R0qdo6rocjbz5kAT-ec" TargetMode="External"/><Relationship Id="rId1584" Type="http://schemas.openxmlformats.org/officeDocument/2006/relationships/hyperlink" Target="https://drive.google.com/open?id=18wpsudP0sN6jREFfFPZ0UvvA4jm37aLeSzFUM9KcRMo&amp;usp=drive_copy" TargetMode="External"/><Relationship Id="rId1791" Type="http://schemas.openxmlformats.org/officeDocument/2006/relationships/hyperlink" Target="https://docs.google.com/open?id=1Gyp4t-UQBK08oZO6biQiBfeO2ByzVN5eUy_Awhv5KCo" TargetMode="External"/><Relationship Id="rId2428" Type="http://schemas.openxmlformats.org/officeDocument/2006/relationships/hyperlink" Target="https://drive.google.com/open?id=1U1_WC00FR3s7Xqllgrk-nYX6bEswGj3ea0FaYR3S7rI&amp;usp=drive_copy" TargetMode="External"/><Relationship Id="rId2635" Type="http://schemas.openxmlformats.org/officeDocument/2006/relationships/hyperlink" Target="https://docs.google.com/open?id=15-OwXoXz34OvCqjAZ2nRt95M9w_mPT0G9Yv6SI6wV5Y" TargetMode="External"/><Relationship Id="rId2842" Type="http://schemas.openxmlformats.org/officeDocument/2006/relationships/hyperlink" Target="https://docs.google.com/spreadsheets/d/1v94-53gvuSh_eOtsRIWOB6PO1E4V8VWq4vyiZu3ilIE" TargetMode="External"/><Relationship Id="rId83" Type="http://schemas.openxmlformats.org/officeDocument/2006/relationships/hyperlink" Target="https://docs.google.com/spreadsheets/d/1P70N1tP0AQfUI9AuGVgYgINBv65E1veuPvyuyMkt3ag/edit?usp=sharing" TargetMode="External"/><Relationship Id="rId607" Type="http://schemas.openxmlformats.org/officeDocument/2006/relationships/hyperlink" Target="https://docs.google.com/open?id=10rSsdMFG_Z0Uwv1XwEOPegONArA48eFzWIqg21PpqOs" TargetMode="External"/><Relationship Id="rId814" Type="http://schemas.openxmlformats.org/officeDocument/2006/relationships/hyperlink" Target="https://docs.google.com/spreadsheets/d/1h0da8XbNWNtnvc2iqgmLRYia5n8Ip5prEHOVJEHIFD4" TargetMode="External"/><Relationship Id="rId1237" Type="http://schemas.openxmlformats.org/officeDocument/2006/relationships/hyperlink" Target="https://drive.google.com/open?id=1YqBBaniyF14mD60Fm1sG4tl90H188fWHllZV8WeghRc" TargetMode="External"/><Relationship Id="rId1444" Type="http://schemas.openxmlformats.org/officeDocument/2006/relationships/hyperlink" Target="https://drive.google.com/open?id=14nV8fwn8fLh3_L6UJsAYePmumEC_O2FQdP-ozBdcY20&amp;usp=drive_copy" TargetMode="External"/><Relationship Id="rId1651" Type="http://schemas.openxmlformats.org/officeDocument/2006/relationships/hyperlink" Target="https://docs.google.com/open?id=1BKGz4VszRCofibN7fzSW16onHwd1FiEw8lKzXcKUvBU" TargetMode="External"/><Relationship Id="rId2702" Type="http://schemas.openxmlformats.org/officeDocument/2006/relationships/hyperlink" Target="https://docs.google.com/spreadsheets/d/1KlknmlzdwCizIktTE1fk7Ov3VKf1zDKLF2eHBbbdjkE" TargetMode="External"/><Relationship Id="rId1304" Type="http://schemas.openxmlformats.org/officeDocument/2006/relationships/hyperlink" Target="https://drive.google.com/open?id=1MXucdfS77PtxYhAhCcI0KwuMYEzMXwKM2mQnT9uVmuw&amp;usp=drive_copy" TargetMode="External"/><Relationship Id="rId1511" Type="http://schemas.openxmlformats.org/officeDocument/2006/relationships/hyperlink" Target="https://docs.google.com/open?id=1B0_xXXaZ8ZSCeiKzIlt_mubbOv9uwjelHVYI2_025Os" TargetMode="External"/><Relationship Id="rId3269" Type="http://schemas.openxmlformats.org/officeDocument/2006/relationships/hyperlink" Target="https://drive.google.com/open?id=15gskuiLJ7NnwRC3YF9-7hGMug8sEDze5zbG9chymo6U" TargetMode="External"/><Relationship Id="rId3476" Type="http://schemas.openxmlformats.org/officeDocument/2006/relationships/hyperlink" Target="https://drive.google.com/open?id=1W8-YnxJU9mEmehXQIh8Ljt6bMy3x95GwhJYHGegfkxw&amp;usp=drive_copy" TargetMode="External"/><Relationship Id="rId3683" Type="http://schemas.openxmlformats.org/officeDocument/2006/relationships/hyperlink" Target="https://docs.google.com/open?id=18wpXdoseD-Gd9NYjhyF4oSdsGUtMnRmt2naZm3cfpFQ" TargetMode="External"/><Relationship Id="rId10" Type="http://schemas.openxmlformats.org/officeDocument/2006/relationships/hyperlink" Target="https://docs.google.com/spreadsheets/d/1gqdBtG8s8JckuZX-x0aajDR-3y-Xo_tUJH09PqpWZ44/edit" TargetMode="External"/><Relationship Id="rId397" Type="http://schemas.openxmlformats.org/officeDocument/2006/relationships/hyperlink" Target="https://drive.google.com/open?id=1HRxI6hz0luUE5zGREJtO7hMkntccRGx8FopS8oxozOk" TargetMode="External"/><Relationship Id="rId2078" Type="http://schemas.openxmlformats.org/officeDocument/2006/relationships/hyperlink" Target="https://docs.google.com/spreadsheets/d/15KZ--t3Q0kkTCxhyfiIGFFjAhGJJsnt0xLok7nrdO38" TargetMode="External"/><Relationship Id="rId2285" Type="http://schemas.openxmlformats.org/officeDocument/2006/relationships/hyperlink" Target="https://drive.google.com/open?id=1Zo85uBGE13Qzd5paM2axQ0Ii1YohyoFaI_-_A5HcCoc" TargetMode="External"/><Relationship Id="rId2492" Type="http://schemas.openxmlformats.org/officeDocument/2006/relationships/hyperlink" Target="https://drive.google.com/open?id=1ABl5HWNj_EPPJZ1lYqyBuuE9trN08kQPqWf5d3_xJSE&amp;usp=drive_copy" TargetMode="External"/><Relationship Id="rId3129" Type="http://schemas.openxmlformats.org/officeDocument/2006/relationships/hyperlink" Target="https://drive.google.com/open?id=1QIzz8HYesPRmic6Qkc5-ebla4knJzqQHHpoOj4BbwI0" TargetMode="External"/><Relationship Id="rId3336" Type="http://schemas.openxmlformats.org/officeDocument/2006/relationships/hyperlink" Target="https://drive.google.com/open?id=1LqfVSef_aOuCX_dREDH3UXrgYQQU0JmKN_DM1HCw0RY&amp;usp=drive_copy" TargetMode="External"/><Relationship Id="rId3890" Type="http://schemas.openxmlformats.org/officeDocument/2006/relationships/hyperlink" Target="https://docs.google.com/spreadsheets/d/19Ot4b1Pasvdp7KssnBJ3memm5REKtMdFm0X5sc7j1m0" TargetMode="External"/><Relationship Id="rId257" Type="http://schemas.openxmlformats.org/officeDocument/2006/relationships/hyperlink" Target="https://drive.google.com/open?id=1V4yH_7ezu-rVrsvOpho86IBurptJI6IfVo1WT8tJzBI" TargetMode="External"/><Relationship Id="rId464" Type="http://schemas.openxmlformats.org/officeDocument/2006/relationships/hyperlink" Target="https://drive.google.com/open?id=1qgLOwy0qMyZjypJatUEWeJiPf1ATQNjxTaHAxolzp48&amp;usp=drive_copy" TargetMode="External"/><Relationship Id="rId1094" Type="http://schemas.openxmlformats.org/officeDocument/2006/relationships/hyperlink" Target="https://docs.google.com/spreadsheets/d/1jXkfqSZqGAawLE9ECl2MxpNxfFkEtfAvk3PDxmRuIRw" TargetMode="External"/><Relationship Id="rId2145" Type="http://schemas.openxmlformats.org/officeDocument/2006/relationships/hyperlink" Target="https://drive.google.com/open?id=1Lk6E6szCZxhHjuz7lZa-A1CxGfD2ia3gaD7SYUWrlCw" TargetMode="External"/><Relationship Id="rId3543" Type="http://schemas.openxmlformats.org/officeDocument/2006/relationships/hyperlink" Target="https://docs.google.com/open?id=1WGDjKIPLXSJ9aE63m6Pfrx8u3HA-zqjEqydTTYEuU40" TargetMode="External"/><Relationship Id="rId3750" Type="http://schemas.openxmlformats.org/officeDocument/2006/relationships/hyperlink" Target="https://docs.google.com/spreadsheets/d/1anp0yAtCtObdnSGDXQSTByktqscnJWT4UdCOFYZgV7A" TargetMode="External"/><Relationship Id="rId117" Type="http://schemas.openxmlformats.org/officeDocument/2006/relationships/hyperlink" Target="https://docs.google.com/spreadsheets/d/1u3ydYXn7jjoGczqldwSU-Q7XHSS8keHbjbRvPqD5yvg/edit?usp=sharing" TargetMode="External"/><Relationship Id="rId671" Type="http://schemas.openxmlformats.org/officeDocument/2006/relationships/hyperlink" Target="https://docs.google.com/open?id=1Gpir0HMU-N9zt_jGne8XIfbSUW_8-K8jf6oflWxIePc" TargetMode="External"/><Relationship Id="rId2352" Type="http://schemas.openxmlformats.org/officeDocument/2006/relationships/hyperlink" Target="https://drive.google.com/open?id=1fqX2rnwxnkl7OpLwjM8LgM7ahxyRsdrJL1xus5ReMp4&amp;usp=drive_copy" TargetMode="External"/><Relationship Id="rId3403" Type="http://schemas.openxmlformats.org/officeDocument/2006/relationships/hyperlink" Target="https://docs.google.com/open?id=1rBfHBEcwMgZWV8H6veyT4I357O8fiuHjufKX3AAPC6g" TargetMode="External"/><Relationship Id="rId3610" Type="http://schemas.openxmlformats.org/officeDocument/2006/relationships/hyperlink" Target="https://docs.google.com/spreadsheets/d/1rUbnpZRlk35FQfy_BzYps7EJWLC6LQvmPDViGnVO1A8" TargetMode="External"/><Relationship Id="rId324" Type="http://schemas.openxmlformats.org/officeDocument/2006/relationships/hyperlink" Target="https://drive.google.com/open?id=13zju-bIiFlXLoG38GhXwrj0pcNq_0PKACRFt4wNkVRU&amp;usp=drive_copy" TargetMode="External"/><Relationship Id="rId531" Type="http://schemas.openxmlformats.org/officeDocument/2006/relationships/hyperlink" Target="https://docs.google.com/open?id=17qWmDGno2f-lqhJn0NXfqFhjW-rp-CZGjPw0JvZQt80" TargetMode="External"/><Relationship Id="rId1161" Type="http://schemas.openxmlformats.org/officeDocument/2006/relationships/hyperlink" Target="https://drive.google.com/open?id=1VoWzqnXAG4wrW76pwo8BG4ArFcxU_NBzI4VBqkg0sBQ" TargetMode="External"/><Relationship Id="rId2005" Type="http://schemas.openxmlformats.org/officeDocument/2006/relationships/hyperlink" Target="https://drive.google.com/open?id=1f0Z3c9FhlPQcA_mStNucrGOMAA6WSd7OQOeTDngX6gk" TargetMode="External"/><Relationship Id="rId2212" Type="http://schemas.openxmlformats.org/officeDocument/2006/relationships/hyperlink" Target="https://drive.google.com/open?id=1z3ChhJSr0KAV7qa0nJKi1S70IRf1GlAzGnAG20UpG_o&amp;usp=drive_copy" TargetMode="External"/><Relationship Id="rId1021" Type="http://schemas.openxmlformats.org/officeDocument/2006/relationships/hyperlink" Target="https://drive.google.com/open?id=1wQ7Gp1aiuN3lQCKG1IF-1obOJ1fNlusp_nS6h4jRCvE" TargetMode="External"/><Relationship Id="rId1978" Type="http://schemas.openxmlformats.org/officeDocument/2006/relationships/hyperlink" Target="https://docs.google.com/spreadsheets/d/16NmzZdRIh7OW3EYKMashGS-DuqM1W3V1603dcQGNJ2M" TargetMode="External"/><Relationship Id="rId3193" Type="http://schemas.openxmlformats.org/officeDocument/2006/relationships/hyperlink" Target="https://drive.google.com/open?id=1imT2Zwz9zf-XBmxV_g-zZwibwx9P-QFZPeT_cP-82FA" TargetMode="External"/><Relationship Id="rId1838" Type="http://schemas.openxmlformats.org/officeDocument/2006/relationships/hyperlink" Target="https://docs.google.com/spreadsheets/d/13eMIV8XLrFIsrYh0yzSrWSulrLz-SVqY0-vlmEdsu_A" TargetMode="External"/><Relationship Id="rId3053" Type="http://schemas.openxmlformats.org/officeDocument/2006/relationships/hyperlink" Target="https://drive.google.com/open?id=13kXOsLZnCg9HnW_SotthyrcIsOrNgMh5odIQqbEt0qc" TargetMode="External"/><Relationship Id="rId3260" Type="http://schemas.openxmlformats.org/officeDocument/2006/relationships/hyperlink" Target="https://drive.google.com/open?id=14xXIDMHktHinzKVs2eiN2Rnz5a8ew907SP0tyARAIuU&amp;usp=drive_copy" TargetMode="External"/><Relationship Id="rId181" Type="http://schemas.openxmlformats.org/officeDocument/2006/relationships/hyperlink" Target="https://docs.google.com/spreadsheets/d/1FD8pRTy-wVfTl4a0c52WQU9JKQyBqurQpFqpDWKegFM/edit?usp=sharing" TargetMode="External"/><Relationship Id="rId1905" Type="http://schemas.openxmlformats.org/officeDocument/2006/relationships/hyperlink" Target="https://drive.google.com/open?id=1qxVlRP3gJvJ83GVBugCrfcFudx0x3WrH7RK4vJKZdRA" TargetMode="External"/><Relationship Id="rId3120" Type="http://schemas.openxmlformats.org/officeDocument/2006/relationships/hyperlink" Target="https://drive.google.com/open?id=1KSkYoabZUfoRf9R2XZmQFgR73KPQxNQEVH8KjynjLa8&amp;usp=drive_copy" TargetMode="External"/><Relationship Id="rId998" Type="http://schemas.openxmlformats.org/officeDocument/2006/relationships/hyperlink" Target="https://docs.google.com/spreadsheets/d/1Y8yBx_fF-SEJ2Rk10WMp0ZvBOfcYbS1064Q07Wm0wno" TargetMode="External"/><Relationship Id="rId2679" Type="http://schemas.openxmlformats.org/officeDocument/2006/relationships/hyperlink" Target="https://docs.google.com/open?id=1EGodTSi4EVGsscuAEweNLqHJexpFamluXrI8o4isKws" TargetMode="External"/><Relationship Id="rId2886" Type="http://schemas.openxmlformats.org/officeDocument/2006/relationships/hyperlink" Target="https://docs.google.com/spreadsheets/d/15qvk2sQLMMWtLqCLn2YL-LAZOi6lcLH1svpqA0bhYiI" TargetMode="External"/><Relationship Id="rId3937" Type="http://schemas.openxmlformats.org/officeDocument/2006/relationships/hyperlink" Target="https://drive.google.com/open?id=1gBEDRqZ-XUZ4pkRpGMoP6Zk6dOHbTSvD8I8Ya9tKuXc" TargetMode="External"/><Relationship Id="rId858" Type="http://schemas.openxmlformats.org/officeDocument/2006/relationships/hyperlink" Target="https://docs.google.com/spreadsheets/d/1vqcpIDfsJPgxHW6yf2s3coUSIobsgXr9ySfMuK_9-tA" TargetMode="External"/><Relationship Id="rId1488" Type="http://schemas.openxmlformats.org/officeDocument/2006/relationships/hyperlink" Target="https://drive.google.com/open?id=19iOKPB14W0VGP-0ml8pziHOt6sYzXWaj7a4Zoum-tBI&amp;usp=drive_copy" TargetMode="External"/><Relationship Id="rId1695" Type="http://schemas.openxmlformats.org/officeDocument/2006/relationships/hyperlink" Target="https://docs.google.com/open?id=1R0L5ciJv2yeK-jlb1a8GLazpOmD8SB8z61Uw26B4EO0" TargetMode="External"/><Relationship Id="rId2539" Type="http://schemas.openxmlformats.org/officeDocument/2006/relationships/hyperlink" Target="https://docs.google.com/open?id=1hUu6hrodSNaoGtd6xwJ40UL3XVRZbrXOpkphpiJrEPw" TargetMode="External"/><Relationship Id="rId2746" Type="http://schemas.openxmlformats.org/officeDocument/2006/relationships/hyperlink" Target="https://docs.google.com/spreadsheets/d/1iS7GQzTWD1xeGO-VZl3XCq2gJT68EXEs-laiahTPNSg" TargetMode="External"/><Relationship Id="rId2953" Type="http://schemas.openxmlformats.org/officeDocument/2006/relationships/hyperlink" Target="https://drive.google.com/open?id=1NXloLPdh5MiFLQRsbudsl6t9ZaJ0tBudRZhDhnbvPVM" TargetMode="External"/><Relationship Id="rId718" Type="http://schemas.openxmlformats.org/officeDocument/2006/relationships/hyperlink" Target="https://docs.google.com/spreadsheets/d/1Scrz15EVMsypf1pcMUHNhoybcUnhsXxJFKEiAOmHZAo" TargetMode="External"/><Relationship Id="rId925" Type="http://schemas.openxmlformats.org/officeDocument/2006/relationships/hyperlink" Target="https://drive.google.com/open?id=1VBIFWNzu4ZyE7Y8gI-koV7eH1KkE2kYEabvwLkoyQHA" TargetMode="External"/><Relationship Id="rId1348" Type="http://schemas.openxmlformats.org/officeDocument/2006/relationships/hyperlink" Target="https://drive.google.com/open?id=19K_0jUpJ8kktXDNGjYJ4WjRegT2dkmpWZZXQS7Bvz80&amp;usp=drive_copy" TargetMode="External"/><Relationship Id="rId1555" Type="http://schemas.openxmlformats.org/officeDocument/2006/relationships/hyperlink" Target="https://docs.google.com/open?id=1NBY0ZrUrZ0MdRN3p9Q17R9pb47g5c1fISG7knOlCmEE" TargetMode="External"/><Relationship Id="rId1762" Type="http://schemas.openxmlformats.org/officeDocument/2006/relationships/hyperlink" Target="https://docs.google.com/spreadsheets/d/1p_OgapkWx-5HjNula4UeZfj080vtBkeuUCZ0IbnMiqw" TargetMode="External"/><Relationship Id="rId2606" Type="http://schemas.openxmlformats.org/officeDocument/2006/relationships/hyperlink" Target="https://docs.google.com/spreadsheets/d/1w9TkOwhLPHAt_8L4y3JJCg5I4gzwaCy2E1NfouMG7bM" TargetMode="External"/><Relationship Id="rId1208" Type="http://schemas.openxmlformats.org/officeDocument/2006/relationships/hyperlink" Target="https://drive.google.com/open?id=1ZvBcY12fipEHX1b4eUbGpDkpc5lwxJ2nzm0kqiRSDJU&amp;usp=drive_copy" TargetMode="External"/><Relationship Id="rId1415" Type="http://schemas.openxmlformats.org/officeDocument/2006/relationships/hyperlink" Target="https://docs.google.com/open?id=1lUao2wmxTiEifXpnMqbltOkOVEkCh5fAzJBy1_d5gY8" TargetMode="External"/><Relationship Id="rId2813" Type="http://schemas.openxmlformats.org/officeDocument/2006/relationships/hyperlink" Target="https://drive.google.com/open?id=1f6ybG6ihbTg_jrev_6wUmBWAyhFAx1rZDSZ0tzjcXB8" TargetMode="External"/><Relationship Id="rId54" Type="http://schemas.openxmlformats.org/officeDocument/2006/relationships/hyperlink" Target="https://docs.google.com/spreadsheets/d/1FCUHjldnIpeRYJ089tn2UxQMNFBEnzJzB90UMvuvAQ4/edit" TargetMode="External"/><Relationship Id="rId1622" Type="http://schemas.openxmlformats.org/officeDocument/2006/relationships/hyperlink" Target="https://docs.google.com/spreadsheets/d/1AmKlJCKlDYJv3JiCFuqGgTQzhBtrQMnBYY964lmsTYw" TargetMode="External"/><Relationship Id="rId2189" Type="http://schemas.openxmlformats.org/officeDocument/2006/relationships/hyperlink" Target="https://drive.google.com/open?id=1eAUiwnv25gIxi_M3hv8Y_2BqqOMs7Hz56cYir8lp70M" TargetMode="External"/><Relationship Id="rId3587" Type="http://schemas.openxmlformats.org/officeDocument/2006/relationships/hyperlink" Target="https://docs.google.com/open?id=1Igi7B-Q9byhFAZ9R8IO-jln7Gl5LHt4lfnQuSKwKl60" TargetMode="External"/><Relationship Id="rId3794" Type="http://schemas.openxmlformats.org/officeDocument/2006/relationships/hyperlink" Target="https://docs.google.com/spreadsheets/d/1aD66S7fa7G9sym6uAMjXVUDcezM9e12I2ff_EFj0kig" TargetMode="External"/><Relationship Id="rId2396" Type="http://schemas.openxmlformats.org/officeDocument/2006/relationships/hyperlink" Target="https://drive.google.com/open?id=1zMPB_qLJCPdy8KbBJ27lIU0enlk63xGUlGaT2u2Hsz4&amp;usp=drive_copy" TargetMode="External"/><Relationship Id="rId3447" Type="http://schemas.openxmlformats.org/officeDocument/2006/relationships/hyperlink" Target="https://docs.google.com/open?id=1BQLMl-8UBuSeh_FgdAPlfzOpMjxjY9XTh4On8FtFbJE" TargetMode="External"/><Relationship Id="rId3654" Type="http://schemas.openxmlformats.org/officeDocument/2006/relationships/hyperlink" Target="https://docs.google.com/spreadsheets/d/1YL-thVA9WsyYVWzPE53-uqCkY2pDDN0Urv2pbbKqh94" TargetMode="External"/><Relationship Id="rId3861" Type="http://schemas.openxmlformats.org/officeDocument/2006/relationships/hyperlink" Target="https://drive.google.com/open?id=1jObs-f0fcG_8ykBZQcT1C4OCWvDpQTexWm_gIpugJOs" TargetMode="External"/><Relationship Id="rId368" Type="http://schemas.openxmlformats.org/officeDocument/2006/relationships/hyperlink" Target="https://drive.google.com/open?id=1BimylDMx5fgM9XP1o6hzt1LNhvXzNtxuwJksIdhWcdk&amp;usp=drive_copy" TargetMode="External"/><Relationship Id="rId575" Type="http://schemas.openxmlformats.org/officeDocument/2006/relationships/hyperlink" Target="https://docs.google.com/open?id=1n5sWZltpsIm7cJhQVrF0clyV2ytJPBWzGhoGAnVcXNU" TargetMode="External"/><Relationship Id="rId782" Type="http://schemas.openxmlformats.org/officeDocument/2006/relationships/hyperlink" Target="https://docs.google.com/spreadsheets/d/1hudjfA1PESgxzvm0EBhX9fasftTYv54YJd2Ei6dRapM" TargetMode="External"/><Relationship Id="rId2049" Type="http://schemas.openxmlformats.org/officeDocument/2006/relationships/hyperlink" Target="https://drive.google.com/open?id=1YH1tpdzFQjPmqYxFGID-KIc1M73TGdL9ohNRiS2KZpE" TargetMode="External"/><Relationship Id="rId2256" Type="http://schemas.openxmlformats.org/officeDocument/2006/relationships/hyperlink" Target="https://drive.google.com/open?id=1tJ9oaVdI4eBbESC0OH_aAq6lpZvnmI8SLOwxfCJ3yTk&amp;usp=drive_copy" TargetMode="External"/><Relationship Id="rId2463" Type="http://schemas.openxmlformats.org/officeDocument/2006/relationships/hyperlink" Target="https://docs.google.com/open?id=1jlBih2S5uvCFmSog67HGX-rXOJDxzrzzphu-TTfjIhU" TargetMode="External"/><Relationship Id="rId2670" Type="http://schemas.openxmlformats.org/officeDocument/2006/relationships/hyperlink" Target="https://docs.google.com/spreadsheets/d/1BVoWdQ2_uJwzb3-CirTDWlgBmzRuFF7_AsHqaYNzYN4" TargetMode="External"/><Relationship Id="rId3307" Type="http://schemas.openxmlformats.org/officeDocument/2006/relationships/hyperlink" Target="https://docs.google.com/open?id=1DE2t0QXu5zy-D3SIpM-HzPtPAJOjoyyE6cov2Draufo" TargetMode="External"/><Relationship Id="rId3514" Type="http://schemas.openxmlformats.org/officeDocument/2006/relationships/hyperlink" Target="https://docs.google.com/spreadsheets/d/14AjmcSxFqO98I0h0kG6Pk1ZscuoTColeCO15tJvy1I4" TargetMode="External"/><Relationship Id="rId3721" Type="http://schemas.openxmlformats.org/officeDocument/2006/relationships/hyperlink" Target="https://drive.google.com/open?id=1YjVEQRCUIDfnygdO2tr6ZdE4nmIfuj5nl-rRwH7bOc0" TargetMode="External"/><Relationship Id="rId228" Type="http://schemas.openxmlformats.org/officeDocument/2006/relationships/hyperlink" Target="https://drive.google.com/open?id=1AI4iToPwSivpbJH_c1PI5SJZNZWkGtv0aSxNtZ098W4&amp;usp=drive_copy" TargetMode="External"/><Relationship Id="rId435" Type="http://schemas.openxmlformats.org/officeDocument/2006/relationships/hyperlink" Target="https://docs.google.com/open?id=1gjKJcc4fjEHs9bZ7AL5vU3ozaX0XeN59sr1bDdfFhDo" TargetMode="External"/><Relationship Id="rId642" Type="http://schemas.openxmlformats.org/officeDocument/2006/relationships/hyperlink" Target="https://docs.google.com/spreadsheets/d/10ZQgOSd-0NV2Wu0yzlwduOcSejh5hy0ZK-G0ZfJqk5E" TargetMode="External"/><Relationship Id="rId1065" Type="http://schemas.openxmlformats.org/officeDocument/2006/relationships/hyperlink" Target="https://drive.google.com/open?id=1nyt8JabHoQZBO5ILQhBG_Sj__zD2xgtWtYAOGnhypos" TargetMode="External"/><Relationship Id="rId1272" Type="http://schemas.openxmlformats.org/officeDocument/2006/relationships/hyperlink" Target="https://drive.google.com/open?id=1fJPPSztCgeJoPKljKa4vAQT50OmZjvhtAXJ3O8wavM8&amp;usp=drive_copy" TargetMode="External"/><Relationship Id="rId2116" Type="http://schemas.openxmlformats.org/officeDocument/2006/relationships/hyperlink" Target="https://drive.google.com/open?id=1bHeKpf4EVsL3rafD5oed2cGiFdyJruYGBv-FzcLrm6g&amp;usp=drive_copy" TargetMode="External"/><Relationship Id="rId2323" Type="http://schemas.openxmlformats.org/officeDocument/2006/relationships/hyperlink" Target="https://docs.google.com/open?id=1Tz9-x0Pu6yHJvTFIRmaxWv633DUoqbpjw2sD3YRv0nA" TargetMode="External"/><Relationship Id="rId2530" Type="http://schemas.openxmlformats.org/officeDocument/2006/relationships/hyperlink" Target="https://docs.google.com/spreadsheets/d/1djoBP-C5Fs3sKkR7aWKGCf9uZIcsDwipHMLKjW05Svc" TargetMode="External"/><Relationship Id="rId502" Type="http://schemas.openxmlformats.org/officeDocument/2006/relationships/hyperlink" Target="https://docs.google.com/spreadsheets/d/1BKzQyLoS7BSuZsRkiQApevcj2ZXn00Z3B8t-7Elt1lM" TargetMode="External"/><Relationship Id="rId1132" Type="http://schemas.openxmlformats.org/officeDocument/2006/relationships/hyperlink" Target="https://drive.google.com/open?id=1o-5W8XHiBwlQrrTfoctzCtfwFk4dgrJD1x2tJ4-lcgc&amp;usp=drive_copy" TargetMode="External"/><Relationship Id="rId3097" Type="http://schemas.openxmlformats.org/officeDocument/2006/relationships/hyperlink" Target="https://drive.google.com/open?id=1CpQlSWeyrqXlNd9ZJf8rGkAFLDdYCFcxRejlCGN8M9s" TargetMode="External"/><Relationship Id="rId1949" Type="http://schemas.openxmlformats.org/officeDocument/2006/relationships/hyperlink" Target="https://drive.google.com/open?id=1xmPvvV6D_6PxB9GT5NdPQTv2eJOtsA6v0GSQ1Xiu4a8" TargetMode="External"/><Relationship Id="rId3164" Type="http://schemas.openxmlformats.org/officeDocument/2006/relationships/hyperlink" Target="https://drive.google.com/open?id=1dqoTdLhR_zIt6QNdClkbdCkQRRZY3qMc_OrdKh_EyIo&amp;usp=drive_copy" TargetMode="External"/><Relationship Id="rId292" Type="http://schemas.openxmlformats.org/officeDocument/2006/relationships/hyperlink" Target="https://drive.google.com/open?id=1wuTP6ZyVjkSrlxTL8N9Ko9Ahw4roz-bpCZiVKoGmPgw&amp;usp=drive_copy" TargetMode="External"/><Relationship Id="rId1809" Type="http://schemas.openxmlformats.org/officeDocument/2006/relationships/hyperlink" Target="https://drive.google.com/open?id=13XdAr_uOiINSRGWHFDHReJW5DqbVdCwUnPzlWN-nTPM" TargetMode="External"/><Relationship Id="rId3371" Type="http://schemas.openxmlformats.org/officeDocument/2006/relationships/hyperlink" Target="https://docs.google.com/open?id=1Tq84tGbE9Zkelp4obL2UpRADSSk6UrGr8H1kwfc0FjM" TargetMode="External"/><Relationship Id="rId2180" Type="http://schemas.openxmlformats.org/officeDocument/2006/relationships/hyperlink" Target="https://drive.google.com/open?id=17kbKWMzjWXPAUvz-vPypeO3KNNGgrUZXvzztKfA-F84&amp;usp=drive_copy" TargetMode="External"/><Relationship Id="rId3024" Type="http://schemas.openxmlformats.org/officeDocument/2006/relationships/hyperlink" Target="https://drive.google.com/open?id=1-6L7eMel2mT86hlP2hhtSzWmzugKauA3IcddEA7o82I&amp;usp=drive_copy" TargetMode="External"/><Relationship Id="rId3231" Type="http://schemas.openxmlformats.org/officeDocument/2006/relationships/hyperlink" Target="https://docs.google.com/open?id=1wi98emzzWCsQjRb2OTNjUxya8qhrgXV8Ew9jbtSOpis" TargetMode="External"/><Relationship Id="rId152" Type="http://schemas.openxmlformats.org/officeDocument/2006/relationships/hyperlink" Target="https://docs.google.com/spreadsheets/d/16DJIlBw0Nb8RHzD_rV1mW0P61Ka_VUA33vdK-unwrRc/edit" TargetMode="External"/><Relationship Id="rId2040" Type="http://schemas.openxmlformats.org/officeDocument/2006/relationships/hyperlink" Target="https://drive.google.com/open?id=188Cz7H5iEkxNMg9roX8vCsWndIEsyC3uohC-u-2_1FU&amp;usp=drive_copy" TargetMode="External"/><Relationship Id="rId2997" Type="http://schemas.openxmlformats.org/officeDocument/2006/relationships/hyperlink" Target="https://drive.google.com/open?id=1p7uvTMayYvM8cmBmRBJxovTB13d71VfVTxT69smOT0M" TargetMode="External"/><Relationship Id="rId969" Type="http://schemas.openxmlformats.org/officeDocument/2006/relationships/hyperlink" Target="https://drive.google.com/open?id=1Qa-Rt-lPbfDnuTDFE_19OQ6U0Vwv9FKOcpnhbmelh6w" TargetMode="External"/><Relationship Id="rId1599" Type="http://schemas.openxmlformats.org/officeDocument/2006/relationships/hyperlink" Target="https://docs.google.com/open?id=1P_Uq8atya55FYnsbDHIdfixgL_JvDhgnKD9mHAzvdNE" TargetMode="External"/><Relationship Id="rId1459" Type="http://schemas.openxmlformats.org/officeDocument/2006/relationships/hyperlink" Target="https://docs.google.com/open?id=1uI7v9DVy6DgtP0OIaUYChG2cm3G-a0HSJYQR42y8gMk" TargetMode="External"/><Relationship Id="rId2857" Type="http://schemas.openxmlformats.org/officeDocument/2006/relationships/hyperlink" Target="https://drive.google.com/open?id=1NSKlN1dcSMn3V_13lnTKnPHZB5DyOSJWGOdV4pgZ8m8" TargetMode="External"/><Relationship Id="rId3908" Type="http://schemas.openxmlformats.org/officeDocument/2006/relationships/hyperlink" Target="https://drive.google.com/open?id=1m9EJVnohl8ykmPyQm0Pl1-APfkFQXT33tLPGtmrrR18&amp;usp=drive_copy" TargetMode="External"/><Relationship Id="rId98" Type="http://schemas.openxmlformats.org/officeDocument/2006/relationships/hyperlink" Target="https://docs.google.com/spreadsheets/d/1j0Lk53rvth2OSnwbl_IFrDpyWIbY1rUqMlkzNIxd2Pw/edit" TargetMode="External"/><Relationship Id="rId829" Type="http://schemas.openxmlformats.org/officeDocument/2006/relationships/hyperlink" Target="https://drive.google.com/open?id=1qpR5ONZQUsFyFulI_zYUaE953odJqd5EM5x3xK9XLW0" TargetMode="External"/><Relationship Id="rId1666" Type="http://schemas.openxmlformats.org/officeDocument/2006/relationships/hyperlink" Target="https://docs.google.com/spreadsheets/d/1jhjuq4k1Sat4zS4c9e0ZJ0n-mHfTg_q_M33uzaEHqPQ" TargetMode="External"/><Relationship Id="rId1873" Type="http://schemas.openxmlformats.org/officeDocument/2006/relationships/hyperlink" Target="https://drive.google.com/open?id=1JLEnSKhvhMnskThAaSG44hKeH6IbfKN66bdqj9l_0nU" TargetMode="External"/><Relationship Id="rId2717" Type="http://schemas.openxmlformats.org/officeDocument/2006/relationships/hyperlink" Target="https://drive.google.com/open?id=1tIXgfS-dcEy6_5BXEfusPr8ZzvcYQTZ4ccKowazlDVY" TargetMode="External"/><Relationship Id="rId2924" Type="http://schemas.openxmlformats.org/officeDocument/2006/relationships/hyperlink" Target="https://drive.google.com/open?id=164xIOjtl2axdo9kr5oxa8oPwHyE6tQgqB0rRsWfm_bE&amp;usp=drive_copy" TargetMode="External"/><Relationship Id="rId1319" Type="http://schemas.openxmlformats.org/officeDocument/2006/relationships/hyperlink" Target="https://docs.google.com/open?id=1s-L6qpGiijV9BQwFO--SrDFxriVRZmYTznS3vi4EEKw" TargetMode="External"/><Relationship Id="rId1526" Type="http://schemas.openxmlformats.org/officeDocument/2006/relationships/hyperlink" Target="https://docs.google.com/spreadsheets/d/1Ku6IVJg6JSwAjBFTYmSAvpY8umlQSF_EevugWl3JX64" TargetMode="External"/><Relationship Id="rId1733" Type="http://schemas.openxmlformats.org/officeDocument/2006/relationships/hyperlink" Target="https://drive.google.com/open?id=1U_kPG4zCJtc6l-UJpJgBpPUPqFitSrp-l4jVTEIaJ24" TargetMode="External"/><Relationship Id="rId1940" Type="http://schemas.openxmlformats.org/officeDocument/2006/relationships/hyperlink" Target="https://drive.google.com/open?id=1I8C_UgjRaroa0SowO9lxKRWUEKhYffU47MZTZ2LS2Xw&amp;usp=drive_copy" TargetMode="External"/><Relationship Id="rId25" Type="http://schemas.openxmlformats.org/officeDocument/2006/relationships/hyperlink" Target="https://docs.google.com/spreadsheets/d/1DpH6ubmGzpnCXYb7pJSgpt_1FxKAYTUv9FU1EfpMVUY/edit?usp=sharing" TargetMode="External"/><Relationship Id="rId1800" Type="http://schemas.openxmlformats.org/officeDocument/2006/relationships/hyperlink" Target="https://drive.google.com/open?id=13TQ-__xDNE_0oT5PADtUN9vF5tqbAPeOY1xLTELvhe8&amp;usp=drive_copy" TargetMode="External"/><Relationship Id="rId3698" Type="http://schemas.openxmlformats.org/officeDocument/2006/relationships/hyperlink" Target="https://docs.google.com/spreadsheets/d/1Mj88VmwjiSmHE8H5vF_BmqlUKbkSXPhyIef-g04zpMk" TargetMode="External"/><Relationship Id="rId3558" Type="http://schemas.openxmlformats.org/officeDocument/2006/relationships/hyperlink" Target="https://docs.google.com/spreadsheets/d/1ctiHswOXHo3kzhA152GSX_39DI2sUMqj3xHK9Wqye9M" TargetMode="External"/><Relationship Id="rId3765" Type="http://schemas.openxmlformats.org/officeDocument/2006/relationships/hyperlink" Target="https://drive.google.com/open?id=1_39KRmdaiGIG7rtsK7ZAqFSYeD0enwDKt_RE51wckss" TargetMode="External"/><Relationship Id="rId479" Type="http://schemas.openxmlformats.org/officeDocument/2006/relationships/hyperlink" Target="https://docs.google.com/open?id=1vVWJqM_ZEbT8aB0cn9bEM5_yDhPt4R5bzNmGTet2Orw" TargetMode="External"/><Relationship Id="rId686" Type="http://schemas.openxmlformats.org/officeDocument/2006/relationships/hyperlink" Target="https://docs.google.com/spreadsheets/d/1Jk_5VSZ5FeXMMoESdIy82MTlH0QRHXsUPr3bwQLquuQ" TargetMode="External"/><Relationship Id="rId893" Type="http://schemas.openxmlformats.org/officeDocument/2006/relationships/hyperlink" Target="https://drive.google.com/open?id=1Kn2yL1dfiBBlB42c2hoKnGu68Jscz_7oUT4UqjabIUA" TargetMode="External"/><Relationship Id="rId2367" Type="http://schemas.openxmlformats.org/officeDocument/2006/relationships/hyperlink" Target="https://docs.google.com/open?id=1C3sM5khnjwmFxar7TH3x9KEFFy2k4oIL2zEJBDDpgA4" TargetMode="External"/><Relationship Id="rId2574" Type="http://schemas.openxmlformats.org/officeDocument/2006/relationships/hyperlink" Target="https://docs.google.com/spreadsheets/d/1qLY0KcjOX7FusoNyiFZK5bq0p_3x_Id1dbASVWLawMY" TargetMode="External"/><Relationship Id="rId2781" Type="http://schemas.openxmlformats.org/officeDocument/2006/relationships/hyperlink" Target="https://drive.google.com/open?id=1HLBRY_1Lkamd5VGg5i5rIfoNxlv4N5eZyCauIpJV7UY" TargetMode="External"/><Relationship Id="rId3418" Type="http://schemas.openxmlformats.org/officeDocument/2006/relationships/hyperlink" Target="https://docs.google.com/spreadsheets/d/1v0B78fGKszZ0MIaj-OsnW-lOHAaOl0XbwGzHp5U5K90" TargetMode="External"/><Relationship Id="rId3625" Type="http://schemas.openxmlformats.org/officeDocument/2006/relationships/hyperlink" Target="https://drive.google.com/open?id=1VhOX0eYYn9UW6tI66ExqgnezmRHghm1suLHL-YT9a34" TargetMode="External"/><Relationship Id="rId339" Type="http://schemas.openxmlformats.org/officeDocument/2006/relationships/hyperlink" Target="https://docs.google.com/open?id=1G034Ca2SXPIjqSO13Pdt1kyW9xeO96TuNSKDyn9gYO0" TargetMode="External"/><Relationship Id="rId546" Type="http://schemas.openxmlformats.org/officeDocument/2006/relationships/hyperlink" Target="https://docs.google.com/spreadsheets/d/1PFDpdbRVgz9VZlbHvv8WiY0UgO0HMj0hu7D7L2XJeho" TargetMode="External"/><Relationship Id="rId753" Type="http://schemas.openxmlformats.org/officeDocument/2006/relationships/hyperlink" Target="https://drive.google.com/open?id=1aPbxKEwoWAW89NUoyt5Dcy_08-96FShFe6vtAsXZh2o" TargetMode="External"/><Relationship Id="rId1176" Type="http://schemas.openxmlformats.org/officeDocument/2006/relationships/hyperlink" Target="https://drive.google.com/open?id=1XcYRqb7tFKMVwHMSlyWM_wXEQF0eDaSgcTGxvXqGMi4&amp;usp=drive_copy" TargetMode="External"/><Relationship Id="rId1383" Type="http://schemas.openxmlformats.org/officeDocument/2006/relationships/hyperlink" Target="https://docs.google.com/open?id=1VtV1VuFXIUlrUnyhxzTLQHZn6W1o8vEdxdeLKZwOWDs" TargetMode="External"/><Relationship Id="rId2227" Type="http://schemas.openxmlformats.org/officeDocument/2006/relationships/hyperlink" Target="https://docs.google.com/open?id=1rY1y9v9wU3tikCxYk5bZrEOXkSjSmrYf_42fVy3Wq3E" TargetMode="External"/><Relationship Id="rId2434" Type="http://schemas.openxmlformats.org/officeDocument/2006/relationships/hyperlink" Target="https://docs.google.com/spreadsheets/d/1X0c9rOIN3Ezxk5U_OM91vIdv2oTMZeLSywZ0MFV1WDA" TargetMode="External"/><Relationship Id="rId3832" Type="http://schemas.openxmlformats.org/officeDocument/2006/relationships/hyperlink" Target="https://drive.google.com/open?id=1yzpnK1mpmqmhTIzyD-WVvBmb8nnxvXjeEOIWehuHWlI&amp;usp=drive_copy" TargetMode="External"/><Relationship Id="rId406" Type="http://schemas.openxmlformats.org/officeDocument/2006/relationships/hyperlink" Target="https://docs.google.com/spreadsheets/d/1J0DAmpEaH89_h2SBfiNxboUl8qE5ivgl7Qfoj9UAAc4" TargetMode="External"/><Relationship Id="rId960" Type="http://schemas.openxmlformats.org/officeDocument/2006/relationships/hyperlink" Target="https://drive.google.com/open?id=1G9ZO3Ij_Px1N41zViF2lPSFfVn8iHHuSPCtMPo86bH4&amp;usp=drive_copy" TargetMode="External"/><Relationship Id="rId1036" Type="http://schemas.openxmlformats.org/officeDocument/2006/relationships/hyperlink" Target="https://drive.google.com/open?id=10-e6i2Y1dJz7V0Ow6RYSOPsODg2DKNOiq-4_fCDRCow&amp;usp=drive_copy" TargetMode="External"/><Relationship Id="rId1243" Type="http://schemas.openxmlformats.org/officeDocument/2006/relationships/hyperlink" Target="https://docs.google.com/open?id=1Qdkcu0bGP2GwNWE_f1ic2-g4KzvfN1l5y1NcBX5hZvk" TargetMode="External"/><Relationship Id="rId1590" Type="http://schemas.openxmlformats.org/officeDocument/2006/relationships/hyperlink" Target="https://docs.google.com/spreadsheets/d/19vVI5odV63jHeaePT5HXI1chuVaH2t1gY7FP0jymLw4" TargetMode="External"/><Relationship Id="rId2641" Type="http://schemas.openxmlformats.org/officeDocument/2006/relationships/hyperlink" Target="https://drive.google.com/open?id=15cU8phFe_v0WfxgLXoIIL-nMuKNfBi50Fu-YZUp_p1U" TargetMode="External"/><Relationship Id="rId613" Type="http://schemas.openxmlformats.org/officeDocument/2006/relationships/hyperlink" Target="https://drive.google.com/open?id=14GktVkRn0hcgPE5YqXFMiYhXUeLQl4jqYJtvFgF6hTU" TargetMode="External"/><Relationship Id="rId820" Type="http://schemas.openxmlformats.org/officeDocument/2006/relationships/hyperlink" Target="https://drive.google.com/open?id=1mAI-2AuoIc-cvrKTWlOtSH-Vn_l2p76CjdS5TDlayT8&amp;usp=drive_copy" TargetMode="External"/><Relationship Id="rId1450" Type="http://schemas.openxmlformats.org/officeDocument/2006/relationships/hyperlink" Target="https://docs.google.com/spreadsheets/d/14suCEkalgPVp2-MAHj2vV-P0IBZtDcItU-DnKDgR5RQ" TargetMode="External"/><Relationship Id="rId2501" Type="http://schemas.openxmlformats.org/officeDocument/2006/relationships/hyperlink" Target="https://drive.google.com/open?id=1zNTlPO-P72XhQpDpk2tL1wsxpPrfBm_WxVsuKUD-yYU" TargetMode="External"/><Relationship Id="rId1103" Type="http://schemas.openxmlformats.org/officeDocument/2006/relationships/hyperlink" Target="https://docs.google.com/open?id=1Ej1fn9ZntzCVNzdS9n2ooJM8aheySbhVY0aOsvlIxqU" TargetMode="External"/><Relationship Id="rId1310" Type="http://schemas.openxmlformats.org/officeDocument/2006/relationships/hyperlink" Target="https://docs.google.com/spreadsheets/d/1KoqX765PQvMj11X18mMNM4VPmmrkK8EJcvExQ1GZYrM" TargetMode="External"/><Relationship Id="rId3068" Type="http://schemas.openxmlformats.org/officeDocument/2006/relationships/hyperlink" Target="https://drive.google.com/open?id=18PhNjCiYdveRUTmJqMlyM83BT8Ht9DlHAt7y4yZMHHQ&amp;usp=drive_copy" TargetMode="External"/><Relationship Id="rId3275" Type="http://schemas.openxmlformats.org/officeDocument/2006/relationships/hyperlink" Target="https://docs.google.com/open?id=16Kzkc0An9X9x9gpUv8X_iRGhP2YimemOCL6bkkRmHK4" TargetMode="External"/><Relationship Id="rId3482" Type="http://schemas.openxmlformats.org/officeDocument/2006/relationships/hyperlink" Target="https://docs.google.com/spreadsheets/d/1hwkAUAByOT0oYcNjrPJFJL25inXb2j0PllUvrBO5hvQ" TargetMode="External"/><Relationship Id="rId196" Type="http://schemas.openxmlformats.org/officeDocument/2006/relationships/hyperlink" Target="https://docs.google.com/spreadsheets/d/1fVfSMimdy8MezBZ50Zhmr4f0zSBYX83QLeZsMK4qqq4/edit" TargetMode="External"/><Relationship Id="rId2084" Type="http://schemas.openxmlformats.org/officeDocument/2006/relationships/hyperlink" Target="https://drive.google.com/open?id=1OkOJ9-fcwAxIY0UiNGHafkZR6crApqZVOZT7fs3rOh8&amp;usp=drive_copy" TargetMode="External"/><Relationship Id="rId2291" Type="http://schemas.openxmlformats.org/officeDocument/2006/relationships/hyperlink" Target="https://docs.google.com/open?id=1WqSWisKbH3gdREv0eGw5VBFk8RKNvQpjnt-ajyPCNvg" TargetMode="External"/><Relationship Id="rId3135" Type="http://schemas.openxmlformats.org/officeDocument/2006/relationships/hyperlink" Target="https://docs.google.com/open?id=1R9wbltaLsx33FD0_S60X9zYWd8VCHYWJQuE6-tyjkds" TargetMode="External"/><Relationship Id="rId3342" Type="http://schemas.openxmlformats.org/officeDocument/2006/relationships/hyperlink" Target="https://docs.google.com/spreadsheets/d/1NN1Kv0MfkYlHQUur9jCYPZ5bjPeTbmp8ZoqC6VmnXao" TargetMode="External"/><Relationship Id="rId263" Type="http://schemas.openxmlformats.org/officeDocument/2006/relationships/hyperlink" Target="https://docs.google.com/open?id=1c7gv06DQzX8OMG64muBkEDU6ZJjbroMSSeWFQqiAAEQ" TargetMode="External"/><Relationship Id="rId470" Type="http://schemas.openxmlformats.org/officeDocument/2006/relationships/hyperlink" Target="https://docs.google.com/spreadsheets/d/1rmyKhBbN1Af6kfYBIrOuy2lf0HNARvUX1rj6V5C8IXc" TargetMode="External"/><Relationship Id="rId2151" Type="http://schemas.openxmlformats.org/officeDocument/2006/relationships/hyperlink" Target="https://docs.google.com/open?id=1jajxmCI0_tJWdvCbQ1ARhcQODExydt4nspmZoWDLbYE" TargetMode="External"/><Relationship Id="rId3202" Type="http://schemas.openxmlformats.org/officeDocument/2006/relationships/hyperlink" Target="https://docs.google.com/spreadsheets/d/1nBVPq7ay0513lbZ-WpWkih-to-LE1aXP6d8jXDeovKY" TargetMode="External"/><Relationship Id="rId123" Type="http://schemas.openxmlformats.org/officeDocument/2006/relationships/hyperlink" Target="https://docs.google.com/spreadsheets/d/1NhTToGQ9cAKjYeEJfPeDGcsNE56h6SJh3yY5KqJsgxQ/edit?usp=sharing" TargetMode="External"/><Relationship Id="rId330" Type="http://schemas.openxmlformats.org/officeDocument/2006/relationships/hyperlink" Target="https://docs.google.com/spreadsheets/d/160mwCVwARWMQQn4nKh_XybjFtd9XBFLnLPGaCl9zHqA" TargetMode="External"/><Relationship Id="rId2011" Type="http://schemas.openxmlformats.org/officeDocument/2006/relationships/hyperlink" Target="https://docs.google.com/open?id=1fU1JXOTykueNJng4Yr5LHGOHott98hjFCCQ3_vke5nQ" TargetMode="External"/><Relationship Id="rId2968" Type="http://schemas.openxmlformats.org/officeDocument/2006/relationships/hyperlink" Target="https://drive.google.com/open?id=1ZRu0cDPG3ZnOcMxstsnvp__GyPvKCgHY_Kw1yEDb1_k&amp;usp=drive_copy" TargetMode="External"/><Relationship Id="rId1777" Type="http://schemas.openxmlformats.org/officeDocument/2006/relationships/hyperlink" Target="https://drive.google.com/open?id=1O-egH88Iib6M9rZre7M_JfG2fbOwBPlkGCSlQhpfDzg" TargetMode="External"/><Relationship Id="rId1984" Type="http://schemas.openxmlformats.org/officeDocument/2006/relationships/hyperlink" Target="https://drive.google.com/open?id=1BU0UUT5RNqv4BJFlEX9VuiIHltXkcSj7Uea1cuR_7ow&amp;usp=drive_copy" TargetMode="External"/><Relationship Id="rId2828" Type="http://schemas.openxmlformats.org/officeDocument/2006/relationships/hyperlink" Target="https://drive.google.com/open?id=1dfJqbnJ3FAMnAfoaYsjD7bVPLGUp8eWkE3ceFLs1YkI&amp;usp=drive_copy" TargetMode="External"/><Relationship Id="rId69" Type="http://schemas.openxmlformats.org/officeDocument/2006/relationships/hyperlink" Target="https://docs.google.com/spreadsheets/d/1IFZYTBc8VPvqx44JLaC2C9boWHZ4ZuCVPAAie7BjxQs/edit?usp=sharing" TargetMode="External"/><Relationship Id="rId1637" Type="http://schemas.openxmlformats.org/officeDocument/2006/relationships/hyperlink" Target="https://drive.google.com/open?id=1OKYNgBw1sRj1poxBM34onfhiZ9PZQdw3aYlmjHg2wx4" TargetMode="External"/><Relationship Id="rId1844" Type="http://schemas.openxmlformats.org/officeDocument/2006/relationships/hyperlink" Target="https://drive.google.com/open?id=1H8A-sD_iZi5l3sdtxU0rmjoRdba5SgzQTJTB4ETGzd8&amp;usp=drive_copy" TargetMode="External"/><Relationship Id="rId1704" Type="http://schemas.openxmlformats.org/officeDocument/2006/relationships/hyperlink" Target="https://drive.google.com/open?id=1_NdIlA4_n_OgVCgBdztvn3Euv3Z8u8jQ61ocPZMYtkI&amp;usp=drive_copy" TargetMode="External"/><Relationship Id="rId1911" Type="http://schemas.openxmlformats.org/officeDocument/2006/relationships/hyperlink" Target="https://docs.google.com/open?id=1zYL5bnFz5mu0SGSZvdxL0LUsjhwX4VzNaVuZnMUArCk" TargetMode="External"/><Relationship Id="rId3669" Type="http://schemas.openxmlformats.org/officeDocument/2006/relationships/hyperlink" Target="https://drive.google.com/open?id=1yjeF5-pkOGsYR_qPlRwkoxHwvdMtCJeEuOdytxXHgfs" TargetMode="External"/><Relationship Id="rId797" Type="http://schemas.openxmlformats.org/officeDocument/2006/relationships/hyperlink" Target="https://drive.google.com/open?id=1r_4E1DJQBY0hYJ68f6K1LUruIPwYfjcgQ_f9QvwFH5c" TargetMode="External"/><Relationship Id="rId2478" Type="http://schemas.openxmlformats.org/officeDocument/2006/relationships/hyperlink" Target="https://docs.google.com/spreadsheets/d/1C4qLmFbzdCUDhoZs1AxGfn3RXqtL1vs1dPHz29tN85A" TargetMode="External"/><Relationship Id="rId3876" Type="http://schemas.openxmlformats.org/officeDocument/2006/relationships/hyperlink" Target="https://drive.google.com/open?id=1VEK6lO97nwgpRksBKriuYQTICvxPgONd5ViVz6GtCvU&amp;usp=drive_copy" TargetMode="External"/><Relationship Id="rId1287" Type="http://schemas.openxmlformats.org/officeDocument/2006/relationships/hyperlink" Target="https://docs.google.com/open?id=1M4SpjUaM1L5pykCZK1fIbNtKEtSpv1PBHArHd0oBREc" TargetMode="External"/><Relationship Id="rId2685" Type="http://schemas.openxmlformats.org/officeDocument/2006/relationships/hyperlink" Target="https://drive.google.com/open?id=1GtMyGXZYhTZmt73tEue0FyKbQlpdxCgwlC3BHP5StoU" TargetMode="External"/><Relationship Id="rId2892" Type="http://schemas.openxmlformats.org/officeDocument/2006/relationships/hyperlink" Target="https://drive.google.com/open?id=1TnXziYPJSvf4zwM9FILC3S53fmJhIXI-pPKwCaB-Seg&amp;usp=drive_copy" TargetMode="External"/><Relationship Id="rId3529" Type="http://schemas.openxmlformats.org/officeDocument/2006/relationships/hyperlink" Target="https://drive.google.com/open?id=1qCqj-iSsJPsQFZ560U3TOTy78w-l888Ydu7XQ3hU5hM" TargetMode="External"/><Relationship Id="rId3736" Type="http://schemas.openxmlformats.org/officeDocument/2006/relationships/hyperlink" Target="https://drive.google.com/open?id=1_WtIIkGQDdKqwcFGDGeWAtD4cjTivdYvwKFjZk1obHA&amp;usp=drive_copy" TargetMode="External"/><Relationship Id="rId3943" Type="http://schemas.openxmlformats.org/officeDocument/2006/relationships/hyperlink" Target="https://docs.google.com/open?id=1MiyDZVUXj1utHEsf2iRrXi2eY-C05IHgCItJy3NjnaU" TargetMode="External"/><Relationship Id="rId657" Type="http://schemas.openxmlformats.org/officeDocument/2006/relationships/hyperlink" Target="https://drive.google.com/open?id=1EjeRz5LjopaQ45gFnAY5NQCQpWc4QFs5vhI2fhhU_cA" TargetMode="External"/><Relationship Id="rId864" Type="http://schemas.openxmlformats.org/officeDocument/2006/relationships/hyperlink" Target="https://drive.google.com/open?id=1xoX4UWs_XJGjXdp-g9umMOGSZ3HZB4e9xmBRpmq07ik&amp;usp=drive_copy" TargetMode="External"/><Relationship Id="rId1494" Type="http://schemas.openxmlformats.org/officeDocument/2006/relationships/hyperlink" Target="https://docs.google.com/spreadsheets/d/1DCuZVQKauRTcA4dptxnDsgbbW76ZTGTU8xmjQO61cwI" TargetMode="External"/><Relationship Id="rId2338" Type="http://schemas.openxmlformats.org/officeDocument/2006/relationships/hyperlink" Target="https://docs.google.com/spreadsheets/d/18u4QNBSKaftLb7YCpVYjGjn_Vn_8GY-HN-gq9j9oNcU" TargetMode="External"/><Relationship Id="rId2545" Type="http://schemas.openxmlformats.org/officeDocument/2006/relationships/hyperlink" Target="https://drive.google.com/open?id=1j-raWHTDg7bIkhIrOWNc1kkM9Fs7t5o3DO5-62nSJVM" TargetMode="External"/><Relationship Id="rId2752" Type="http://schemas.openxmlformats.org/officeDocument/2006/relationships/hyperlink" Target="https://drive.google.com/open?id=1dFYKnraWoB3WZ4MP41EP4ghyuPLXWsObUHIR97NukCk&amp;usp=drive_copy" TargetMode="External"/><Relationship Id="rId3803" Type="http://schemas.openxmlformats.org/officeDocument/2006/relationships/hyperlink" Target="https://docs.google.com/open?id=1HUXoVXu9KF3uSLy1NeUvbYHN6NI1q7ecDNxcINSf-2k" TargetMode="External"/><Relationship Id="rId517" Type="http://schemas.openxmlformats.org/officeDocument/2006/relationships/hyperlink" Target="https://drive.google.com/open?id=1mTnATP6SNd_2SY_eHs-Bqbc6X5cLrzmtKhuS0qCmXzc" TargetMode="External"/><Relationship Id="rId724" Type="http://schemas.openxmlformats.org/officeDocument/2006/relationships/hyperlink" Target="https://drive.google.com/open?id=1XBeelw9ucV4ytdCXxFLAtKpPLOvWqSDpL9PSFdCQDYA&amp;usp=drive_copy" TargetMode="External"/><Relationship Id="rId931" Type="http://schemas.openxmlformats.org/officeDocument/2006/relationships/hyperlink" Target="https://docs.google.com/open?id=1Es6h2bPMIK8HsDuzV7ioeTJf-2Khr8Dv68dgUc1gUFA" TargetMode="External"/><Relationship Id="rId1147" Type="http://schemas.openxmlformats.org/officeDocument/2006/relationships/hyperlink" Target="https://docs.google.com/open?id=1rnBeGu67CR0QBG4_DNubbzEK5NSk5mlBzMw_7iZ6Hs8" TargetMode="External"/><Relationship Id="rId1354" Type="http://schemas.openxmlformats.org/officeDocument/2006/relationships/hyperlink" Target="https://docs.google.com/spreadsheets/d/1I1UhfpkW-m-1Bd3aBTNW7KA6LO60WjaHn23KnBRDhj4" TargetMode="External"/><Relationship Id="rId1561" Type="http://schemas.openxmlformats.org/officeDocument/2006/relationships/hyperlink" Target="https://drive.google.com/open?id=1lgnXlgMkjjvSwG3rWgPLOQf-vw9nTsUWYbLbN0aE23Y" TargetMode="External"/><Relationship Id="rId2405" Type="http://schemas.openxmlformats.org/officeDocument/2006/relationships/hyperlink" Target="https://drive.google.com/open?id=18J-rPDBiPB6u-Rflumq7gBbzeQv6WylE_Hpoa7dVz04" TargetMode="External"/><Relationship Id="rId2612" Type="http://schemas.openxmlformats.org/officeDocument/2006/relationships/hyperlink" Target="https://drive.google.com/open?id=1yvD9HB4uTA5FRBLn7oY7nGWyfIL40vf_kazLPp3z5VY&amp;usp=drive_copy" TargetMode="External"/><Relationship Id="rId60" Type="http://schemas.openxmlformats.org/officeDocument/2006/relationships/hyperlink" Target="https://docs.google.com/spreadsheets/d/14WN4D4TO-6LDXmofCf4Hy2Hb4RVERBc-ybPxE3aFJqc/edit" TargetMode="External"/><Relationship Id="rId1007" Type="http://schemas.openxmlformats.org/officeDocument/2006/relationships/hyperlink" Target="https://docs.google.com/open?id=1oMvRKCsxFE6sjk4cGmyuzDcOCu378H6gDJ8b3vLGNa4" TargetMode="External"/><Relationship Id="rId1214" Type="http://schemas.openxmlformats.org/officeDocument/2006/relationships/hyperlink" Target="https://docs.google.com/spreadsheets/d/1c1kWZJ6TJz2qnu7YAzZ4WQdqgEDxu959vzQkAKsOzBI" TargetMode="External"/><Relationship Id="rId1421" Type="http://schemas.openxmlformats.org/officeDocument/2006/relationships/hyperlink" Target="https://drive.google.com/open?id=1XJHv7jdPLbc1XBDOi1nsvUH78PfcxrQOIpN8ZMCEnzs" TargetMode="External"/><Relationship Id="rId3179" Type="http://schemas.openxmlformats.org/officeDocument/2006/relationships/hyperlink" Target="https://docs.google.com/open?id=1hr4sEDv5ImRr72xB6QGjWoqkfIbcBtFGSs6Nzxs-iJo" TargetMode="External"/><Relationship Id="rId3386" Type="http://schemas.openxmlformats.org/officeDocument/2006/relationships/hyperlink" Target="https://docs.google.com/spreadsheets/d/1csVtVocDwYktqQHT0X6msdnFWO0-LIeo5Pvful2mYe0" TargetMode="External"/><Relationship Id="rId3593" Type="http://schemas.openxmlformats.org/officeDocument/2006/relationships/hyperlink" Target="https://drive.google.com/open?id=1_mOIsl6Kzf2oblCtDdNkPF7l8gP9vmBlkEQKsWrz1KM" TargetMode="External"/><Relationship Id="rId2195" Type="http://schemas.openxmlformats.org/officeDocument/2006/relationships/hyperlink" Target="https://docs.google.com/open?id=1MrejJrplIKDiOadU5wBIaPWbk_bEaP81_zrIL-04hKQ" TargetMode="External"/><Relationship Id="rId3039" Type="http://schemas.openxmlformats.org/officeDocument/2006/relationships/hyperlink" Target="https://docs.google.com/open?id=11pSpAn6jZkEYXXgtUW34KYQKHn2n_QTc_Z9qr2r9go4" TargetMode="External"/><Relationship Id="rId3246" Type="http://schemas.openxmlformats.org/officeDocument/2006/relationships/hyperlink" Target="https://docs.google.com/spreadsheets/d/11TI1BDEzXRacvim_OptN4swWA3caAZIuUCXrMABeO7I" TargetMode="External"/><Relationship Id="rId3453" Type="http://schemas.openxmlformats.org/officeDocument/2006/relationships/hyperlink" Target="https://drive.google.com/open?id=1J4_dGJ0Evjsn88mrszCUSfHjg7Sv7ek2a9AdeLZNGcs" TargetMode="External"/><Relationship Id="rId167" Type="http://schemas.openxmlformats.org/officeDocument/2006/relationships/hyperlink" Target="https://docs.google.com/spreadsheets/d/1gEsEloOajdnAFVwhC1vaDfUSaQloLZZ5NQSG72no0a8/edit?usp=sharing" TargetMode="External"/><Relationship Id="rId374" Type="http://schemas.openxmlformats.org/officeDocument/2006/relationships/hyperlink" Target="https://docs.google.com/spreadsheets/d/1C24n51dUAghWME3sjbKXDpU4l0jWyuZ8jJHxjN3_HL0" TargetMode="External"/><Relationship Id="rId581" Type="http://schemas.openxmlformats.org/officeDocument/2006/relationships/hyperlink" Target="https://drive.google.com/open?id=1oxvmIEAZSSpHSnqlebeMmpTXTl0exGkduKLiQzbjp00" TargetMode="External"/><Relationship Id="rId2055" Type="http://schemas.openxmlformats.org/officeDocument/2006/relationships/hyperlink" Target="https://docs.google.com/open?id=13QhkliNcfriD2DUW8HuH6dOshknm0I0cqz7sQlTzgmI" TargetMode="External"/><Relationship Id="rId2262" Type="http://schemas.openxmlformats.org/officeDocument/2006/relationships/hyperlink" Target="https://docs.google.com/spreadsheets/d/1n91_dZnAo6ulbP_WgpTe6DReCHsOLKzA0OoBXB3rE7E" TargetMode="External"/><Relationship Id="rId3106" Type="http://schemas.openxmlformats.org/officeDocument/2006/relationships/hyperlink" Target="https://docs.google.com/spreadsheets/d/1EWIatL9Gr0INVKf3Rfp92LzAebemE5P8CXHdt_LomZQ" TargetMode="External"/><Relationship Id="rId3660" Type="http://schemas.openxmlformats.org/officeDocument/2006/relationships/hyperlink" Target="https://drive.google.com/open?id=1NPZRYGR4l9E_qQ95k7xwCdIB74YsO5sMjAxdN6bZPkY&amp;usp=drive_copy" TargetMode="External"/><Relationship Id="rId234" Type="http://schemas.openxmlformats.org/officeDocument/2006/relationships/hyperlink" Target="https://docs.google.com/spreadsheets/d/1H_gw3ELahMZC8ASucf06ahSp52mLRSeuzs9WqLHuA2U" TargetMode="External"/><Relationship Id="rId3313" Type="http://schemas.openxmlformats.org/officeDocument/2006/relationships/hyperlink" Target="https://drive.google.com/open?id=1DreTUPvjfwZfdMHJ0RV1WXRdDItjSBuo1SnpO1WX0Bg" TargetMode="External"/><Relationship Id="rId3520" Type="http://schemas.openxmlformats.org/officeDocument/2006/relationships/hyperlink" Target="https://drive.google.com/open?id=1QI46iaT6QLn_FWY_QD7lgI6VdaqHfQWt1vFQMPzzr7Q&amp;usp=drive_copy" TargetMode="External"/><Relationship Id="rId441" Type="http://schemas.openxmlformats.org/officeDocument/2006/relationships/hyperlink" Target="https://drive.google.com/open?id=1gjPzMk6r1lk_rGfRozFpEda6K5epzOqzLFAaYER5X3w" TargetMode="External"/><Relationship Id="rId1071" Type="http://schemas.openxmlformats.org/officeDocument/2006/relationships/hyperlink" Target="https://docs.google.com/open?id=1u3c-H54YC0yYkqIRUdPXagzZHtdWLl-WsNSOsUA693g" TargetMode="External"/><Relationship Id="rId2122" Type="http://schemas.openxmlformats.org/officeDocument/2006/relationships/hyperlink" Target="https://docs.google.com/spreadsheets/d/1jX14CpXtesjpB5tgFjcb3mrSIbWULZ-AotF87YvuNsY" TargetMode="External"/><Relationship Id="rId301" Type="http://schemas.openxmlformats.org/officeDocument/2006/relationships/hyperlink" Target="https://drive.google.com/open?id=1zuVHOafl08m2jZNZHiCWOmEPOxq6cwD9akQ1PkR1dEQ" TargetMode="External"/><Relationship Id="rId1888" Type="http://schemas.openxmlformats.org/officeDocument/2006/relationships/hyperlink" Target="https://drive.google.com/open?id=1SqgA_qKPTb2Ya7FcLr7_YCziGfCkP7ORR8cs2R3mvyM&amp;usp=drive_copy" TargetMode="External"/><Relationship Id="rId2939" Type="http://schemas.openxmlformats.org/officeDocument/2006/relationships/hyperlink" Target="https://docs.google.com/open?id=1BsififttxAm_ypQ-el1S57hWPDPtTR2E_7UlI0wFcqY" TargetMode="External"/><Relationship Id="rId1748" Type="http://schemas.openxmlformats.org/officeDocument/2006/relationships/hyperlink" Target="https://drive.google.com/open?id=1iQSjjeoJohWWzyXysRFJ8BNRzz1HhY8KY0Eh-5wBr1Y&amp;usp=drive_copy" TargetMode="External"/><Relationship Id="rId1955" Type="http://schemas.openxmlformats.org/officeDocument/2006/relationships/hyperlink" Target="https://docs.google.com/open?id=1uQ9JHX2PHGbkCLb3Nl-puhFM8TAyzueOIKu5LntVzUM" TargetMode="External"/><Relationship Id="rId3170" Type="http://schemas.openxmlformats.org/officeDocument/2006/relationships/hyperlink" Target="https://docs.google.com/spreadsheets/d/1gGRTR4Lur6u0_zRESzBU7KW1TPl4P5Iv880bTU8SJBs" TargetMode="External"/><Relationship Id="rId1608" Type="http://schemas.openxmlformats.org/officeDocument/2006/relationships/hyperlink" Target="https://drive.google.com/open?id=1aD6_JGEkVhdmoMpdF2lFkFtTC-iSiRta5fudcOvvcc4&amp;usp=drive_copy" TargetMode="External"/><Relationship Id="rId1815" Type="http://schemas.openxmlformats.org/officeDocument/2006/relationships/hyperlink" Target="https://docs.google.com/open?id=1smYlJllyFxSDC7a-ozDjpGG1hoTNBhv6WlntctPNeto" TargetMode="External"/><Relationship Id="rId3030" Type="http://schemas.openxmlformats.org/officeDocument/2006/relationships/hyperlink" Target="https://docs.google.com/spreadsheets/d/1-jrdE8cRZvI5Rfz7BI0il0R2v8zjsUJ4FcGlq3IJDbU" TargetMode="External"/><Relationship Id="rId2589" Type="http://schemas.openxmlformats.org/officeDocument/2006/relationships/hyperlink" Target="https://drive.google.com/open?id=1sx5WVhXNy6607d3_U7jfG-NEgRH4psUo-61KtcyYKGY" TargetMode="External"/><Relationship Id="rId2796" Type="http://schemas.openxmlformats.org/officeDocument/2006/relationships/hyperlink" Target="https://drive.google.com/open?id=1CmuAZGYYfPT-pN3Q5YamQd_O0eWSCmuNl-kHlIwnRRM&amp;usp=drive_copy" TargetMode="External"/><Relationship Id="rId3847" Type="http://schemas.openxmlformats.org/officeDocument/2006/relationships/hyperlink" Target="https://docs.google.com/open?id=1-3JhFXXVW8o5GzX7Ckq7KY5IRx3PBYngosj34uiJd7g" TargetMode="External"/><Relationship Id="rId768" Type="http://schemas.openxmlformats.org/officeDocument/2006/relationships/hyperlink" Target="https://drive.google.com/open?id=1eQfRi8k0tisrHhZXh7t6BKiuIbxVlL4ZebSu_6o7okk&amp;usp=drive_copy" TargetMode="External"/><Relationship Id="rId975" Type="http://schemas.openxmlformats.org/officeDocument/2006/relationships/hyperlink" Target="https://docs.google.com/open?id=1SiaExMdZMm1Dni-vyfUNFOrWmmVsozZMLGGJM0q_hnQ" TargetMode="External"/><Relationship Id="rId1398" Type="http://schemas.openxmlformats.org/officeDocument/2006/relationships/hyperlink" Target="https://docs.google.com/spreadsheets/d/1ys5ZaRCPKm6HywLUjjjNnUBNtGBYBbvxhUHvFQ4qtXk" TargetMode="External"/><Relationship Id="rId2449" Type="http://schemas.openxmlformats.org/officeDocument/2006/relationships/hyperlink" Target="https://drive.google.com/open?id=1Dijqr-OktZIwWV0-PK1ir9pszEpEVDmfjf99l_EhFmo" TargetMode="External"/><Relationship Id="rId2656" Type="http://schemas.openxmlformats.org/officeDocument/2006/relationships/hyperlink" Target="https://drive.google.com/open?id=1AWiq3H99nx8mHFS_NrvOVOBlS_CdwfE0EdXzlQIkc2M&amp;usp=drive_copy" TargetMode="External"/><Relationship Id="rId2863" Type="http://schemas.openxmlformats.org/officeDocument/2006/relationships/hyperlink" Target="https://docs.google.com/open?id=1Tf3iC2J5EUzrdRnyTeE4mOHjdS3w8bycoFotZrJyjlw" TargetMode="External"/><Relationship Id="rId3707" Type="http://schemas.openxmlformats.org/officeDocument/2006/relationships/hyperlink" Target="https://docs.google.com/open?id=1f6kulBS3UlSu7KAfRoL4VX778WExd9vtP47kwZUsYqE" TargetMode="External"/><Relationship Id="rId3914" Type="http://schemas.openxmlformats.org/officeDocument/2006/relationships/hyperlink" Target="https://docs.google.com/spreadsheets/d/1-NeEg7nf50XdGCSRBd2N1t-YTNjzk_8fBvgLsdFhFGU" TargetMode="External"/><Relationship Id="rId628" Type="http://schemas.openxmlformats.org/officeDocument/2006/relationships/hyperlink" Target="https://drive.google.com/open?id=1jgQE3cruaVJyDwE5DjyrsE7tSbUIH7_1zQUIewmDbZE&amp;usp=drive_copy" TargetMode="External"/><Relationship Id="rId835" Type="http://schemas.openxmlformats.org/officeDocument/2006/relationships/hyperlink" Target="https://docs.google.com/open?id=1ka_ZCFmubGzHtBlmWPGgs7e1W9kN7l7EMDttPPG5ELc" TargetMode="External"/><Relationship Id="rId1258" Type="http://schemas.openxmlformats.org/officeDocument/2006/relationships/hyperlink" Target="https://docs.google.com/spreadsheets/d/1cdSuyr-d86iL9kuHtngP0w4g8vgwBdMm9IB2dOWP-_8" TargetMode="External"/><Relationship Id="rId1465" Type="http://schemas.openxmlformats.org/officeDocument/2006/relationships/hyperlink" Target="https://drive.google.com/open?id=1wAOwX8JShRYK_TrAzJtVGPmWa5FvO7On8DSPnC018XQ" TargetMode="External"/><Relationship Id="rId1672" Type="http://schemas.openxmlformats.org/officeDocument/2006/relationships/hyperlink" Target="https://drive.google.com/open?id=1textdPLKRNVtJANbhHPgxAt4NsrEeA1Z1tf6lyoCQeg&amp;usp=drive_copy" TargetMode="External"/><Relationship Id="rId2309" Type="http://schemas.openxmlformats.org/officeDocument/2006/relationships/hyperlink" Target="https://drive.google.com/open?id=1Xb0r4Qtg6NAcXp3XGsicju53acBxOt5Rptgp4Q1quIY" TargetMode="External"/><Relationship Id="rId2516" Type="http://schemas.openxmlformats.org/officeDocument/2006/relationships/hyperlink" Target="https://drive.google.com/open?id=165Su4-_ydhwK1-zm5fOKBdNpo6Mdcbt448UPuHUT4AI&amp;usp=drive_copy" TargetMode="External"/><Relationship Id="rId2723" Type="http://schemas.openxmlformats.org/officeDocument/2006/relationships/hyperlink" Target="https://docs.google.com/open?id=1sUZE1iVKscA9BL-_QSaoErR9lgGkVxkwuC5RyEU0yq8" TargetMode="External"/><Relationship Id="rId1118" Type="http://schemas.openxmlformats.org/officeDocument/2006/relationships/hyperlink" Target="https://docs.google.com/spreadsheets/d/1I89-ivqqBLTbJ4zIJKYkwfz4sAqagth-EtFVNowz0PU" TargetMode="External"/><Relationship Id="rId1325" Type="http://schemas.openxmlformats.org/officeDocument/2006/relationships/hyperlink" Target="https://drive.google.com/open?id=1spbhJ9leRouDPHc59-QsvOpVu0HZJG_vS4I20yhg3DA" TargetMode="External"/><Relationship Id="rId1532" Type="http://schemas.openxmlformats.org/officeDocument/2006/relationships/hyperlink" Target="https://drive.google.com/open?id=17Hq_5Fw1w9Vr5cydTPRPetk4gtdrKm7o5PNIqOGk8ks&amp;usp=drive_copy" TargetMode="External"/><Relationship Id="rId2930" Type="http://schemas.openxmlformats.org/officeDocument/2006/relationships/hyperlink" Target="https://docs.google.com/spreadsheets/d/16nOwJNZjj6axyzK5H8fPKZBhBLLYM3Q3bv2UD5YpI_U" TargetMode="External"/><Relationship Id="rId902" Type="http://schemas.openxmlformats.org/officeDocument/2006/relationships/hyperlink" Target="https://docs.google.com/spreadsheets/d/1RZOcSjoSzOkP5YnNlLJv7nXNCo8hhzPRnwl65dW2FXs" TargetMode="External"/><Relationship Id="rId3497" Type="http://schemas.openxmlformats.org/officeDocument/2006/relationships/hyperlink" Target="https://drive.google.com/open?id=1fbASbdOk6qezIFeASok8XuHnJ5La5Gfv0GGAkgJj468" TargetMode="External"/><Relationship Id="rId31" Type="http://schemas.openxmlformats.org/officeDocument/2006/relationships/hyperlink" Target="https://docs.google.com/spreadsheets/d/101L9gkhuMxTZw173YmdxWNST82q44R5GkkiFc4KrpsM/edit?usp=sharing" TargetMode="External"/><Relationship Id="rId2099" Type="http://schemas.openxmlformats.org/officeDocument/2006/relationships/hyperlink" Target="https://docs.google.com/open?id=1qwXEmEX155112a9wvWtRYTctoBhotoIAq4SwhNWQGq0" TargetMode="External"/><Relationship Id="rId278" Type="http://schemas.openxmlformats.org/officeDocument/2006/relationships/hyperlink" Target="https://docs.google.com/spreadsheets/d/1oXgW9d39z9Ms3zj6EQ_JgQZZGZMYRDeEVH0gGj1xLs8" TargetMode="External"/><Relationship Id="rId3357" Type="http://schemas.openxmlformats.org/officeDocument/2006/relationships/hyperlink" Target="https://drive.google.com/open?id=1Pp76r7Ak4DuylWBxzrWd6SYxU6NF6ZiTCOTpZimQIJo" TargetMode="External"/><Relationship Id="rId3564" Type="http://schemas.openxmlformats.org/officeDocument/2006/relationships/hyperlink" Target="https://drive.google.com/open?id=1URKqqjoFy9KleK-0wRRLmr7qsdv9kOSC4MDvOL-FBUU&amp;usp=drive_copy" TargetMode="External"/><Relationship Id="rId3771" Type="http://schemas.openxmlformats.org/officeDocument/2006/relationships/hyperlink" Target="https://docs.google.com/open?id=1Yp7MGDRhRootSQcpTiZSPHdr0pJe93NgN45rRBfdZSk" TargetMode="External"/><Relationship Id="rId485" Type="http://schemas.openxmlformats.org/officeDocument/2006/relationships/hyperlink" Target="https://drive.google.com/open?id=1wY0EQWBPA5XkGfdYi5TQrYeuM9fq39UgRZeQC3E-7NU" TargetMode="External"/><Relationship Id="rId692" Type="http://schemas.openxmlformats.org/officeDocument/2006/relationships/hyperlink" Target="https://drive.google.com/open?id=1L39DI1wMDf9LCozOoaK5V2Ca99oceCq6rC86LKyKju4&amp;usp=drive_copy" TargetMode="External"/><Relationship Id="rId2166" Type="http://schemas.openxmlformats.org/officeDocument/2006/relationships/hyperlink" Target="https://docs.google.com/spreadsheets/d/1kiSshQuQgpKyFFh5lh66q67s7KCAJ3wlZ5vtWI0lHcg" TargetMode="External"/><Relationship Id="rId2373" Type="http://schemas.openxmlformats.org/officeDocument/2006/relationships/hyperlink" Target="https://drive.google.com/open?id=1DVU_uAKjdkGavMu_hijFuuToS4tOFsYkHQ0O7Lo-cPw" TargetMode="External"/><Relationship Id="rId2580" Type="http://schemas.openxmlformats.org/officeDocument/2006/relationships/hyperlink" Target="https://drive.google.com/open?id=1qtSGRx_mTEwLDofEEe4umvjSPQXrgfqyrbLnZNgg5gU&amp;usp=drive_copy" TargetMode="External"/><Relationship Id="rId3217" Type="http://schemas.openxmlformats.org/officeDocument/2006/relationships/hyperlink" Target="https://drive.google.com/open?id=1tnkLhF9Kn3oaTPa60FYDCDC-brmRWrG3qMqMDEBUeck" TargetMode="External"/><Relationship Id="rId3424" Type="http://schemas.openxmlformats.org/officeDocument/2006/relationships/hyperlink" Target="https://drive.google.com/open?id=1yMOLYb9iMFQeZGQLZTLsfmd4PiLm0glG1p5dxYVzzQo&amp;usp=drive_copy" TargetMode="External"/><Relationship Id="rId3631" Type="http://schemas.openxmlformats.org/officeDocument/2006/relationships/hyperlink" Target="https://docs.google.com/open?id=1GHl_BhP-EU9pjuHRxjFgow14W8msGSYW2g81zoBcegc" TargetMode="External"/><Relationship Id="rId138" Type="http://schemas.openxmlformats.org/officeDocument/2006/relationships/hyperlink" Target="https://docs.google.com/spreadsheets/d/1sl21ob5CwA2C6Z6MtX2jkH3TdulxFTTFLsQXA5H5YxM/edit" TargetMode="External"/><Relationship Id="rId345" Type="http://schemas.openxmlformats.org/officeDocument/2006/relationships/hyperlink" Target="https://drive.google.com/open?id=17HoejRUtYdUex9FEOd11KvVVGbOhTZZ59f8aZATV5FI" TargetMode="External"/><Relationship Id="rId552" Type="http://schemas.openxmlformats.org/officeDocument/2006/relationships/hyperlink" Target="https://drive.google.com/open?id=1SnY-xXs5HOXNXveC_LuuiSk2pUsKAxuGGzLZ8RZFv9k&amp;usp=drive_copy" TargetMode="External"/><Relationship Id="rId1182" Type="http://schemas.openxmlformats.org/officeDocument/2006/relationships/hyperlink" Target="https://docs.google.com/spreadsheets/d/1RF_SaQ8OXRxtpMgTxwUdfOuwgKhTzVvKcjdfy5a-Q0o" TargetMode="External"/><Relationship Id="rId2026" Type="http://schemas.openxmlformats.org/officeDocument/2006/relationships/hyperlink" Target="https://docs.google.com/spreadsheets/d/1sGrah5s8iEACXhZq_fvr19mWahjeuT0zh2ZVftcP-3k" TargetMode="External"/><Relationship Id="rId2233" Type="http://schemas.openxmlformats.org/officeDocument/2006/relationships/hyperlink" Target="https://drive.google.com/open?id=1zmrMFDtuU7Zb3qQokSgZvMH6lwHO2rzwp_0JiY5R4h8" TargetMode="External"/><Relationship Id="rId2440" Type="http://schemas.openxmlformats.org/officeDocument/2006/relationships/hyperlink" Target="https://drive.google.com/open?id=16D9Wl55OB5imzgP8lk5OmxpV70KoxgBndXqnbh48UTM&amp;usp=drive_copy" TargetMode="External"/><Relationship Id="rId205" Type="http://schemas.openxmlformats.org/officeDocument/2006/relationships/hyperlink" Target="https://docs.google.com/spreadsheets/d/1gjoMZKes_NIT0Xon1vRxWAZO0LhcD9CcQXbzW16c-Yc/edit?usp=sharing" TargetMode="External"/><Relationship Id="rId412" Type="http://schemas.openxmlformats.org/officeDocument/2006/relationships/hyperlink" Target="https://drive.google.com/open?id=1JNcgZ59fa_kKtT0fXm78eux6Um6S3Y8LBMXoUiGrf2w&amp;usp=drive_copy" TargetMode="External"/><Relationship Id="rId1042" Type="http://schemas.openxmlformats.org/officeDocument/2006/relationships/hyperlink" Target="https://docs.google.com/spreadsheets/d/13YSRYTciJoU95rV7WBPkBKL52TKOuw2safWr01Df0-g" TargetMode="External"/><Relationship Id="rId2300" Type="http://schemas.openxmlformats.org/officeDocument/2006/relationships/hyperlink" Target="https://drive.google.com/open?id=1AGIoxrQ12COJppeFlqZktRitXux6_xbqrQu5wB1swoI&amp;usp=drive_copy" TargetMode="External"/><Relationship Id="rId1999" Type="http://schemas.openxmlformats.org/officeDocument/2006/relationships/hyperlink" Target="https://docs.google.com/open?id=1fRTVWq5RsLQHXiDjB1uhc_0c6GRGIzAkt24qjlxFN5o" TargetMode="External"/><Relationship Id="rId1859" Type="http://schemas.openxmlformats.org/officeDocument/2006/relationships/hyperlink" Target="https://docs.google.com/open?id=1X90azS6cpnwgPxZJZSS908nJMF-RJqkzZQmRNM-GSzU" TargetMode="External"/><Relationship Id="rId3074" Type="http://schemas.openxmlformats.org/officeDocument/2006/relationships/hyperlink" Target="https://docs.google.com/spreadsheets/d/19hwfWzDWGGP-vUtMI-Akz-XGqskRXgTxSNYezb8qyXY" TargetMode="External"/><Relationship Id="rId1719" Type="http://schemas.openxmlformats.org/officeDocument/2006/relationships/hyperlink" Target="https://docs.google.com/open?id=1jrewA50US-kcfwsHtGixg5WmlbNYmireP83_lqHx9qo" TargetMode="External"/><Relationship Id="rId1926" Type="http://schemas.openxmlformats.org/officeDocument/2006/relationships/hyperlink" Target="https://docs.google.com/spreadsheets/d/1MjSJ48VsUvAW9wEYhku_bTzxlU7EC2eYH8buDy7GMn0" TargetMode="External"/><Relationship Id="rId3281" Type="http://schemas.openxmlformats.org/officeDocument/2006/relationships/hyperlink" Target="https://drive.google.com/open?id=18tSqRAUgcfwLQyGvD-S2v9IScY0XVSq6dLjtSiGUSvE" TargetMode="External"/><Relationship Id="rId2090" Type="http://schemas.openxmlformats.org/officeDocument/2006/relationships/hyperlink" Target="https://docs.google.com/spreadsheets/d/1qi8RpRUilbwQp6yaE6A4fo9IsrE1w4X5EuFk7MfPJvw" TargetMode="External"/><Relationship Id="rId3141" Type="http://schemas.openxmlformats.org/officeDocument/2006/relationships/hyperlink" Target="https://drive.google.com/open?id=1Rf_DQtYJqINOD9eJuejVgUtrhGdHCajPjJp7VG1DiZs" TargetMode="External"/><Relationship Id="rId3001" Type="http://schemas.openxmlformats.org/officeDocument/2006/relationships/hyperlink" Target="https://drive.google.com/open?id=1qb1eOF5I_ykC4cNtNDoPOpiuPVxDie5KqzwQvzCBF-s" TargetMode="External"/><Relationship Id="rId879" Type="http://schemas.openxmlformats.org/officeDocument/2006/relationships/hyperlink" Target="https://docs.google.com/open?id=1cTg3xUvhDaFWyE5aoIHPvBLFjFcxxdD2oEMDUw3CaVY" TargetMode="External"/><Relationship Id="rId2767" Type="http://schemas.openxmlformats.org/officeDocument/2006/relationships/hyperlink" Target="https://docs.google.com/open?id=1YELInT8SSBdYpiVlIAGwh7WCJDvXKgQuw-Jk_gt43w8" TargetMode="External"/><Relationship Id="rId739" Type="http://schemas.openxmlformats.org/officeDocument/2006/relationships/hyperlink" Target="https://docs.google.com/open?id=188gvfRHY-Lhh0buPxNcpokgAmKt2u7SV1hIsUVuVCrQ" TargetMode="External"/><Relationship Id="rId1369" Type="http://schemas.openxmlformats.org/officeDocument/2006/relationships/hyperlink" Target="https://drive.google.com/open?id=1RkY9vgAvvnwrhVQkyDoLOh52B2LswQkqzwCLbyEDhUY" TargetMode="External"/><Relationship Id="rId1576" Type="http://schemas.openxmlformats.org/officeDocument/2006/relationships/hyperlink" Target="https://drive.google.com/open?id=1hdCeSha3PO3CZXUT5xSz1jdSDWQ3dPF5K74W5fUu0tA&amp;usp=drive_copy" TargetMode="External"/><Relationship Id="rId2974" Type="http://schemas.openxmlformats.org/officeDocument/2006/relationships/hyperlink" Target="https://docs.google.com/spreadsheets/d/1bpanpWhQGFeHYhtox_A-JZcht_rFGNVfcwih-ljQgW8" TargetMode="External"/><Relationship Id="rId3818" Type="http://schemas.openxmlformats.org/officeDocument/2006/relationships/hyperlink" Target="https://docs.google.com/spreadsheets/d/1onvwJOD3spBRN2COXsvyKzx5dTdKAme7H2G7ceBgQMs" TargetMode="External"/><Relationship Id="rId946" Type="http://schemas.openxmlformats.org/officeDocument/2006/relationships/hyperlink" Target="https://docs.google.com/spreadsheets/d/1nrzWTiKA9ldC2FGpwiAyr3risojtNYjoRHz63RvDSfg" TargetMode="External"/><Relationship Id="rId1229" Type="http://schemas.openxmlformats.org/officeDocument/2006/relationships/hyperlink" Target="https://drive.google.com/open?id=1RAiyBpviyDH1LaSdNuoxdJepOzToEft0FTmR7G9UtUc" TargetMode="External"/><Relationship Id="rId1783" Type="http://schemas.openxmlformats.org/officeDocument/2006/relationships/hyperlink" Target="https://docs.google.com/open?id=1vf9IH1TNEzD_gmwTsqRsxcuNdYEbaq1G0-xDRGPnyqs" TargetMode="External"/><Relationship Id="rId1990" Type="http://schemas.openxmlformats.org/officeDocument/2006/relationships/hyperlink" Target="https://docs.google.com/spreadsheets/d/1bUrbjQoyRd_8zWya9Ql-oZVVEdKMJVD62WjZnWWglEY" TargetMode="External"/><Relationship Id="rId2627" Type="http://schemas.openxmlformats.org/officeDocument/2006/relationships/hyperlink" Target="https://docs.google.com/open?id=13_dDIvMy9lHcIsdHvdy4RDWKzFPH6Hgs4rKd7TyzFl8" TargetMode="External"/><Relationship Id="rId2834" Type="http://schemas.openxmlformats.org/officeDocument/2006/relationships/hyperlink" Target="https://docs.google.com/spreadsheets/d/1G3KXYnyJg44v2A7MN_5-eQd0dGuxRhmYMgUmmWZ61zw" TargetMode="External"/><Relationship Id="rId75" Type="http://schemas.openxmlformats.org/officeDocument/2006/relationships/hyperlink" Target="https://docs.google.com/spreadsheets/d/1esWHiFa3JeAbN45yB9gygjqFcqGmj9v5DGGSwKlQsIA/edit?usp=sharing" TargetMode="External"/><Relationship Id="rId806" Type="http://schemas.openxmlformats.org/officeDocument/2006/relationships/hyperlink" Target="https://docs.google.com/spreadsheets/d/1jQ-7c5ERC3tXeayZb7oi74uqtsIppLSQRPAb2tzZs38" TargetMode="External"/><Relationship Id="rId1436" Type="http://schemas.openxmlformats.org/officeDocument/2006/relationships/hyperlink" Target="https://drive.google.com/open?id=1mar7Gl-nlHAaQYOs5Hrjd_ZoB4W1yQWsAvHDIFO4ank&amp;usp=drive_copy" TargetMode="External"/><Relationship Id="rId1643" Type="http://schemas.openxmlformats.org/officeDocument/2006/relationships/hyperlink" Target="https://docs.google.com/open?id=15NnHwZNtdLvNa8kYHxaRq_aLhBMi5k1IUcV6fQmrbuw" TargetMode="External"/><Relationship Id="rId1850" Type="http://schemas.openxmlformats.org/officeDocument/2006/relationships/hyperlink" Target="https://docs.google.com/spreadsheets/d/1CVec7J3OIvr4Ihx7henQ_ebOj3ZDuGwaOY4cGgm6rEM" TargetMode="External"/><Relationship Id="rId2901" Type="http://schemas.openxmlformats.org/officeDocument/2006/relationships/hyperlink" Target="https://drive.google.com/open?id=1gLvyPzUQ7pJx2S8jphwgB5IRLAR4qmgspg6kZfl1VhU" TargetMode="External"/><Relationship Id="rId1503" Type="http://schemas.openxmlformats.org/officeDocument/2006/relationships/hyperlink" Target="https://docs.google.com/open?id=1512O-Mm7NdBhYen1YMEKrCEvruG_laGphSRrGhqy61k" TargetMode="External"/><Relationship Id="rId1710" Type="http://schemas.openxmlformats.org/officeDocument/2006/relationships/hyperlink" Target="https://docs.google.com/spreadsheets/d/1aj0nnqQJ8kdvSNyQQZ6Mx1y7gRbQZ64taRxAvkpPcnk" TargetMode="External"/><Relationship Id="rId3468" Type="http://schemas.openxmlformats.org/officeDocument/2006/relationships/hyperlink" Target="https://drive.google.com/open?id=1RSm8btu3tw7llgbpmDPWH25n7KJAahHQqNmgb8cE86o&amp;usp=drive_copy" TargetMode="External"/><Relationship Id="rId3675" Type="http://schemas.openxmlformats.org/officeDocument/2006/relationships/hyperlink" Target="https://docs.google.com/open?id=1QmUi7ARVrPxxYYnSt19fF4Ks8563tp3d8KxOA8uZSgY" TargetMode="External"/><Relationship Id="rId3882" Type="http://schemas.openxmlformats.org/officeDocument/2006/relationships/hyperlink" Target="https://docs.google.com/spreadsheets/d/1tIX7CR72CMcniyd5f-f6DZd34NVygmN7eq59zwbplgE" TargetMode="External"/><Relationship Id="rId389" Type="http://schemas.openxmlformats.org/officeDocument/2006/relationships/hyperlink" Target="https://docs.google.com/spreadsheets/d/1rca7FK11fX25ETdQ2QXO9FWeCoDB76u-aScPoDiZU2k/edit?usp=sharing" TargetMode="External"/><Relationship Id="rId596" Type="http://schemas.openxmlformats.org/officeDocument/2006/relationships/hyperlink" Target="https://drive.google.com/open?id=1-PkSCXaCqEA_VP1iUd0aZ4Dn8bKiT18hTPXtvMWMLOI&amp;usp=drive_copy" TargetMode="External"/><Relationship Id="rId2277" Type="http://schemas.openxmlformats.org/officeDocument/2006/relationships/hyperlink" Target="https://drive.google.com/open?id=1zif92Bq28Io-nQ6s0AfutKm_ZvBTTgyYv8JscmasLRM" TargetMode="External"/><Relationship Id="rId2484" Type="http://schemas.openxmlformats.org/officeDocument/2006/relationships/hyperlink" Target="https://drive.google.com/open?id=11kU6FZ9riH3rtFvnufRxnUW1LS2hCu-4EJLKiYufiUU&amp;usp=drive_copy" TargetMode="External"/><Relationship Id="rId2691" Type="http://schemas.openxmlformats.org/officeDocument/2006/relationships/hyperlink" Target="https://docs.google.com/open?id=1IccExUFXt5XdjHHTMrTFVK-VM4nKT4kcsB6qQ482lao" TargetMode="External"/><Relationship Id="rId3328" Type="http://schemas.openxmlformats.org/officeDocument/2006/relationships/hyperlink" Target="https://drive.google.com/open?id=1J56tQGx5mtEW15sjHpVWJmBCL1_B-Xd1BtU1Ls_yCOc&amp;usp=drive_copy" TargetMode="External"/><Relationship Id="rId3535" Type="http://schemas.openxmlformats.org/officeDocument/2006/relationships/hyperlink" Target="https://docs.google.com/open?id=1gnt4AFyXmaaRGzayHdK0_PmNalG3gRic42cC1r0nYrw" TargetMode="External"/><Relationship Id="rId3742" Type="http://schemas.openxmlformats.org/officeDocument/2006/relationships/hyperlink" Target="https://docs.google.com/spreadsheets/d/1YiQnxI8HHD64PfzhO12VtbZTG1UoHBp5aEZ0BAgKhJM" TargetMode="External"/><Relationship Id="rId249" Type="http://schemas.openxmlformats.org/officeDocument/2006/relationships/hyperlink" Target="https://drive.google.com/open?id=1PQ3epZ0_cfiTD7AcemI5BM1GW7jf3rCZXMMtmZXwkpg" TargetMode="External"/><Relationship Id="rId456" Type="http://schemas.openxmlformats.org/officeDocument/2006/relationships/hyperlink" Target="https://drive.google.com/open?id=1mRWp6cNSWVFM1mVPDKYl_lNOIvvSDoo0DPXuRJ6zqEA&amp;usp=drive_copy" TargetMode="External"/><Relationship Id="rId663" Type="http://schemas.openxmlformats.org/officeDocument/2006/relationships/hyperlink" Target="https://docs.google.com/open?id=1FKcQjqLinauzehbSGs5V555Y3ChiwhHP6O0KoyrfEzg" TargetMode="External"/><Relationship Id="rId870" Type="http://schemas.openxmlformats.org/officeDocument/2006/relationships/hyperlink" Target="https://docs.google.com/spreadsheets/d/1xVwIVwhJZ1aLTQLS03BeQMS_wvvUh2wZfIX_cEuIWvY" TargetMode="External"/><Relationship Id="rId1086" Type="http://schemas.openxmlformats.org/officeDocument/2006/relationships/hyperlink" Target="https://docs.google.com/spreadsheets/d/1hbdePgcJfxdYIbmmQCKGKTkR0b1h2YZSc_zXl86g_VA" TargetMode="External"/><Relationship Id="rId1293" Type="http://schemas.openxmlformats.org/officeDocument/2006/relationships/hyperlink" Target="https://drive.google.com/open?id=1O4E4rmZQPYX_bqdeTrWzUGKaYZYSNyC-jwDE9-ao9X0" TargetMode="External"/><Relationship Id="rId2137" Type="http://schemas.openxmlformats.org/officeDocument/2006/relationships/hyperlink" Target="https://drive.google.com/open?id=1EWNwkTNxoPbagahazsgN5ecMqHNPGiE2yIHWv4vyCk4" TargetMode="External"/><Relationship Id="rId2344" Type="http://schemas.openxmlformats.org/officeDocument/2006/relationships/hyperlink" Target="https://drive.google.com/open?id=1Unnleg8hS7znOSgPeU2DfMMPK1_N1a0l5x7A0C2wrq8&amp;usp=drive_copy" TargetMode="External"/><Relationship Id="rId2551" Type="http://schemas.openxmlformats.org/officeDocument/2006/relationships/hyperlink" Target="https://docs.google.com/open?id=1jbXLlkwoxgCySTy6o6zAcNPhyxQ0nEUCmjA-dKjU2ec" TargetMode="External"/><Relationship Id="rId109" Type="http://schemas.openxmlformats.org/officeDocument/2006/relationships/hyperlink" Target="https://docs.google.com/spreadsheets/d/1CaV5OFRWvwBrRpGfp0vSeAMLH93QQMokzzePS-Py_G8/edit?usp=sharing" TargetMode="External"/><Relationship Id="rId316" Type="http://schemas.openxmlformats.org/officeDocument/2006/relationships/hyperlink" Target="https://drive.google.com/open?id=11oNatRDgf7GL14aK3o_6sI2AtRPtWUSXcbIKwqJFPyY&amp;usp=drive_copy" TargetMode="External"/><Relationship Id="rId523" Type="http://schemas.openxmlformats.org/officeDocument/2006/relationships/hyperlink" Target="https://docs.google.com/open?id=1qTpeEQnt9Rpk-icmqGc9J1CNga9ryRfyiIzmEt_-ehQ" TargetMode="External"/><Relationship Id="rId1153" Type="http://schemas.openxmlformats.org/officeDocument/2006/relationships/hyperlink" Target="https://drive.google.com/open?id=1T4pmLI_UD2FFyn2DwaOSxDiHRY9oEfYkfnxHH8QmqxM" TargetMode="External"/><Relationship Id="rId2204" Type="http://schemas.openxmlformats.org/officeDocument/2006/relationships/hyperlink" Target="https://drive.google.com/open?id=1M0O7KTLx0wqIvFensHByOPlVhErYtR1f0ZecyfXkFMs&amp;usp=drive_copy" TargetMode="External"/><Relationship Id="rId3602" Type="http://schemas.openxmlformats.org/officeDocument/2006/relationships/hyperlink" Target="https://docs.google.com/spreadsheets/d/17eY4nROJpGsjg1W4voKbNn6KA0Puob4BAm6FRBK5jPQ" TargetMode="External"/><Relationship Id="rId730" Type="http://schemas.openxmlformats.org/officeDocument/2006/relationships/hyperlink" Target="https://docs.google.com/spreadsheets/d/1XvsihmVQFuIhNuYLr4ZY3pwe7z0DK2N9-5RGJzYmsxE" TargetMode="External"/><Relationship Id="rId1013" Type="http://schemas.openxmlformats.org/officeDocument/2006/relationships/hyperlink" Target="https://drive.google.com/open?id=1r2igowZW-MNiaQKk3N14pNNARCuLmR3N_RVN2UXG0fc" TargetMode="External"/><Relationship Id="rId1360" Type="http://schemas.openxmlformats.org/officeDocument/2006/relationships/hyperlink" Target="https://drive.google.com/open?id=1Ljnpf8pHlyilcVbJnrlTQb4FAW4jjkUGah_JbcMeEOs&amp;usp=drive_copy" TargetMode="External"/><Relationship Id="rId2411" Type="http://schemas.openxmlformats.org/officeDocument/2006/relationships/hyperlink" Target="https://docs.google.com/open?id=1BiOy31ydaVVAcBt-Odrlic5lW7IjRXsL3sfcaf-bVN0" TargetMode="External"/><Relationship Id="rId1220" Type="http://schemas.openxmlformats.org/officeDocument/2006/relationships/hyperlink" Target="https://drive.google.com/open?id=1OI0RdNMmZqRIPrr5sMuGO4qeAmlAlsu-4v37ggkdvKs&amp;usp=drive_copy" TargetMode="External"/><Relationship Id="rId3185" Type="http://schemas.openxmlformats.org/officeDocument/2006/relationships/hyperlink" Target="https://drive.google.com/open?id=1i_Ppc1K3c0wvumPRTD5AH2CWBK-x9OCGuFLz13BOKpQ" TargetMode="External"/><Relationship Id="rId3392" Type="http://schemas.openxmlformats.org/officeDocument/2006/relationships/hyperlink" Target="https://drive.google.com/open?id=1jRR5WGplGtp1GxJxtUDW66MOWCeFhBhceNQS0tSCfKI&amp;usp=drive_copy" TargetMode="External"/><Relationship Id="rId3045" Type="http://schemas.openxmlformats.org/officeDocument/2006/relationships/hyperlink" Target="https://drive.google.com/open?id=125ckWSGOlwdkX5ypzvVX4Z86-le2ukVLGv7ghytrMXg" TargetMode="External"/><Relationship Id="rId3252" Type="http://schemas.openxmlformats.org/officeDocument/2006/relationships/hyperlink" Target="https://drive.google.com/open?id=14AM6_aa-ThFRzFQxlFxDAPqVxMQW64NrnTw3fX8qFyI&amp;usp=drive_copy" TargetMode="External"/><Relationship Id="rId173" Type="http://schemas.openxmlformats.org/officeDocument/2006/relationships/hyperlink" Target="https://docs.google.com/spreadsheets/d/1FCH0JLE4hJN_l0EMQoAl9dOslphzN8kKiPd0hrl6QhQ/edit?usp=sharing" TargetMode="External"/><Relationship Id="rId380" Type="http://schemas.openxmlformats.org/officeDocument/2006/relationships/hyperlink" Target="https://drive.google.com/open?id=1EoaNMd42q4MFxfmg4M54yv37CFTdUayvvyc1t-QQQrY&amp;usp=drive_copy" TargetMode="External"/><Relationship Id="rId2061" Type="http://schemas.openxmlformats.org/officeDocument/2006/relationships/hyperlink" Target="https://drive.google.com/open?id=1YWX9TQlOJvLswET9G6iypcmHdHdVOFR_-rKFuAQyoUc" TargetMode="External"/><Relationship Id="rId3112" Type="http://schemas.openxmlformats.org/officeDocument/2006/relationships/hyperlink" Target="https://drive.google.com/open?id=1Ggwne6FhClLfHDLaniFGKfcevssvoYgQ7elRreZqWnY&amp;usp=drive_copy" TargetMode="External"/><Relationship Id="rId240" Type="http://schemas.openxmlformats.org/officeDocument/2006/relationships/hyperlink" Target="https://drive.google.com/open?id=1KYugIwwEiOvYOpyPHcB98jKH13KQMTPamOpYz7YkUiE&amp;usp=drive_copy" TargetMode="External"/><Relationship Id="rId100" Type="http://schemas.openxmlformats.org/officeDocument/2006/relationships/hyperlink" Target="https://docs.google.com/spreadsheets/d/1zkVuN180kFTytWpzM39qPcl6YAl9Q2QmLu9jkwTktyA/edit" TargetMode="External"/><Relationship Id="rId2878" Type="http://schemas.openxmlformats.org/officeDocument/2006/relationships/hyperlink" Target="https://docs.google.com/spreadsheets/d/1G-Zc5IrYQz-VrfEhSe6--V8Yphx_t3cxSHKSIoM3Bew" TargetMode="External"/><Relationship Id="rId3929" Type="http://schemas.openxmlformats.org/officeDocument/2006/relationships/hyperlink" Target="https://drive.google.com/open?id=1GS9yh4MIOl1HFEhjn8rVm8OzPUoBZg0WYu2bK_jBnpo" TargetMode="External"/><Relationship Id="rId1687" Type="http://schemas.openxmlformats.org/officeDocument/2006/relationships/hyperlink" Target="https://docs.google.com/open?id=1ApGxdJkropQH9b8abbEd0uNMhS1VXb_hUEjifOTPkIA" TargetMode="External"/><Relationship Id="rId1894" Type="http://schemas.openxmlformats.org/officeDocument/2006/relationships/hyperlink" Target="https://docs.google.com/spreadsheets/d/1_R9CcLA2GK7WTSR8APk-IirV2HdC0YNkGn50tPgK0zM" TargetMode="External"/><Relationship Id="rId2738" Type="http://schemas.openxmlformats.org/officeDocument/2006/relationships/hyperlink" Target="https://docs.google.com/spreadsheets/d/1mWO9AEmxDWm4C2TVAo3lPzikYlFfBhdHUKgdSFb8h0Q" TargetMode="External"/><Relationship Id="rId2945" Type="http://schemas.openxmlformats.org/officeDocument/2006/relationships/hyperlink" Target="https://drive.google.com/open?id=1JsN4x6qkeTs7wLVr6XLNgXiy5-mW__0v825hXWtWTPI" TargetMode="External"/><Relationship Id="rId917" Type="http://schemas.openxmlformats.org/officeDocument/2006/relationships/hyperlink" Target="https://drive.google.com/open?id=1TnmNTSo-03y6ulvYttT-hHHTp9QhfaNbZjV0kMWrqhg" TargetMode="External"/><Relationship Id="rId1547" Type="http://schemas.openxmlformats.org/officeDocument/2006/relationships/hyperlink" Target="https://docs.google.com/open?id=1BT3Cr_bOgCcUIpFKA8cfAA6l2-W-iDo-74bMGE3VfTI" TargetMode="External"/><Relationship Id="rId1754" Type="http://schemas.openxmlformats.org/officeDocument/2006/relationships/hyperlink" Target="https://docs.google.com/spreadsheets/d/1KyEd3_sAVEYlbG-CIYysI3kHDN81hVIDDGJ993q-O0w" TargetMode="External"/><Relationship Id="rId1961" Type="http://schemas.openxmlformats.org/officeDocument/2006/relationships/hyperlink" Target="https://drive.google.com/open?id=1S8HXocRKGh0PXzjCQQfus5g-NlIeRuYEaC7IsVRw54k" TargetMode="External"/><Relationship Id="rId2805" Type="http://schemas.openxmlformats.org/officeDocument/2006/relationships/hyperlink" Target="https://drive.google.com/open?id=14S0Jqu9xTsc0TD7yxwv2vnF9BabyO01GUruZTKCgjxc" TargetMode="External"/><Relationship Id="rId46" Type="http://schemas.openxmlformats.org/officeDocument/2006/relationships/hyperlink" Target="https://docs.google.com/spreadsheets/d/1Wiew3Vqrwe9Ch6R1cjbi65bdYpHgn3jH6WxGABSXMKY/edit" TargetMode="External"/><Relationship Id="rId1407" Type="http://schemas.openxmlformats.org/officeDocument/2006/relationships/hyperlink" Target="https://docs.google.com/open?id=19qXGdILdbc4JDL36_zxPHLRf6R1RvVAhAa_2WkiReZs" TargetMode="External"/><Relationship Id="rId1614" Type="http://schemas.openxmlformats.org/officeDocument/2006/relationships/hyperlink" Target="https://docs.google.com/spreadsheets/d/1hOkzqveopZKmXwhuw5dIbaF0tXxatRAlQ7MbuFCOcf8" TargetMode="External"/><Relationship Id="rId1821" Type="http://schemas.openxmlformats.org/officeDocument/2006/relationships/hyperlink" Target="https://drive.google.com/open?id=1-kfmxs9yKJgS8-LGv2weDkxdMdtawqO7_cXAbtiItfo" TargetMode="External"/><Relationship Id="rId3579" Type="http://schemas.openxmlformats.org/officeDocument/2006/relationships/hyperlink" Target="https://docs.google.com/open?id=1hxDcUiR2_OPCKIaNZNICweaP8lJDq3LaLREI0EBTJ2Q" TargetMode="External"/><Relationship Id="rId3786" Type="http://schemas.openxmlformats.org/officeDocument/2006/relationships/hyperlink" Target="https://docs.google.com/spreadsheets/d/1hSjaegjwgA5As4lWIB31isr_ZX9MuwX0cOsIM01X-jE" TargetMode="External"/><Relationship Id="rId2388" Type="http://schemas.openxmlformats.org/officeDocument/2006/relationships/hyperlink" Target="https://drive.google.com/open?id=1VlSGPNVTV7nzL827hVNFrN1CIZfDc1f05dfgc2qzpvw&amp;usp=drive_copy" TargetMode="External"/><Relationship Id="rId2595" Type="http://schemas.openxmlformats.org/officeDocument/2006/relationships/hyperlink" Target="https://docs.google.com/open?id=1tLi36uvDnmqVH9TgaKuWyJvfbnSO90v1Rz6oqz_1QoQ" TargetMode="External"/><Relationship Id="rId3439" Type="http://schemas.openxmlformats.org/officeDocument/2006/relationships/hyperlink" Target="https://docs.google.com/open?id=180j7fWgZqA8Otl5yj05uFReYYKDtMlv7iRwSqorboWY" TargetMode="External"/><Relationship Id="rId567" Type="http://schemas.openxmlformats.org/officeDocument/2006/relationships/hyperlink" Target="https://docs.google.com/open?id=1hxgCjtNItbqkal9qqShLMIuRhyyoRk3nsd0Rq4-wTAg" TargetMode="External"/><Relationship Id="rId1197" Type="http://schemas.openxmlformats.org/officeDocument/2006/relationships/hyperlink" Target="https://drive.google.com/open?id=1ZIF5QzVr3TVMcW0EO7gHnYPOkn-Y0q2Godqr8sr-8LA" TargetMode="External"/><Relationship Id="rId2248" Type="http://schemas.openxmlformats.org/officeDocument/2006/relationships/hyperlink" Target="https://drive.google.com/open?id=140ZhkVAiahpRT1th_6cUTltV8cws6uma-lJeeuJJT6k&amp;usp=drive_copy" TargetMode="External"/><Relationship Id="rId3646" Type="http://schemas.openxmlformats.org/officeDocument/2006/relationships/hyperlink" Target="https://docs.google.com/spreadsheets/d/1kPFo6TDQXKDGPrteAimylU3WQsHgpnNz-WLO3fkIkUQ" TargetMode="External"/><Relationship Id="rId3853" Type="http://schemas.openxmlformats.org/officeDocument/2006/relationships/hyperlink" Target="https://drive.google.com/open?id=1DKNtZaI3w_LqyItkhFKLoFoF-6YzzS75G-WzPlOpuNg" TargetMode="External"/><Relationship Id="rId774" Type="http://schemas.openxmlformats.org/officeDocument/2006/relationships/hyperlink" Target="https://docs.google.com/spreadsheets/d/1fBKYLNch64XfKPNXo0qRVwGAGElTRl-N1CHAUKreBvs" TargetMode="External"/><Relationship Id="rId981" Type="http://schemas.openxmlformats.org/officeDocument/2006/relationships/hyperlink" Target="https://drive.google.com/open?id=1ZXjnCYh3jDAeWfSq0f_qyjwCjqi05SxL2zJI-NPAl-s" TargetMode="External"/><Relationship Id="rId1057" Type="http://schemas.openxmlformats.org/officeDocument/2006/relationships/hyperlink" Target="https://drive.google.com/open?id=1nH62xTJNMa3X58-m-mj1l3cKnGDpbJbD-3xXHloHi90" TargetMode="External"/><Relationship Id="rId2455" Type="http://schemas.openxmlformats.org/officeDocument/2006/relationships/hyperlink" Target="https://docs.google.com/open?id=1HWdETOZ0jWL3Cc2-y4iSvi5auBhr3Il96oHeeQjnPlA" TargetMode="External"/><Relationship Id="rId2662" Type="http://schemas.openxmlformats.org/officeDocument/2006/relationships/hyperlink" Target="https://docs.google.com/spreadsheets/d/1AWtI7U2uCWMuOTWPTlQF3GEjxY7KA63HBrN6l_3QpVM" TargetMode="External"/><Relationship Id="rId3506" Type="http://schemas.openxmlformats.org/officeDocument/2006/relationships/hyperlink" Target="https://docs.google.com/spreadsheets/d/1prdDQAHRhsCE7UAcoNvSUPgG37gcwChHioujJD2Xbe0" TargetMode="External"/><Relationship Id="rId3713" Type="http://schemas.openxmlformats.org/officeDocument/2006/relationships/hyperlink" Target="https://drive.google.com/open?id=1ue2qeGje5VLC86p7V1m4P8ZaDfL6LC9A4hmmjrn0iSs" TargetMode="External"/><Relationship Id="rId3920" Type="http://schemas.openxmlformats.org/officeDocument/2006/relationships/hyperlink" Target="https://drive.google.com/open?id=1aBTrGvbqltxSQtKd3zkmnYnyrZMF-P-VokD5amQDyMM&amp;usp=drive_copy" TargetMode="External"/><Relationship Id="rId427" Type="http://schemas.openxmlformats.org/officeDocument/2006/relationships/hyperlink" Target="https://docs.google.com/open?id=1JrvEcBNIHds45QH3qMfqRQ_H-9ayBh5To_hJDicSlVE" TargetMode="External"/><Relationship Id="rId634" Type="http://schemas.openxmlformats.org/officeDocument/2006/relationships/hyperlink" Target="https://docs.google.com/spreadsheets/d/1lXklUJsSnA574n7icEVg2jxAsHLjkjQB2oPSXbLFI80" TargetMode="External"/><Relationship Id="rId841" Type="http://schemas.openxmlformats.org/officeDocument/2006/relationships/hyperlink" Target="https://drive.google.com/open?id=1sbWZJ_XxfiWrscuhfcTV-mv7Ts6hWGgMKhjjYhcnLjE" TargetMode="External"/><Relationship Id="rId1264" Type="http://schemas.openxmlformats.org/officeDocument/2006/relationships/hyperlink" Target="https://drive.google.com/open?id=1cthv5jnBJlGdhZyvDCBx8gZP3C9tztTdSTf7burgAdU&amp;usp=drive_copy" TargetMode="External"/><Relationship Id="rId1471" Type="http://schemas.openxmlformats.org/officeDocument/2006/relationships/hyperlink" Target="https://docs.google.com/open?id=1wC7-pCxOkogy929zyEPMm6J8Gv-WrGvooR1dcUKkg-U" TargetMode="External"/><Relationship Id="rId2108" Type="http://schemas.openxmlformats.org/officeDocument/2006/relationships/hyperlink" Target="https://drive.google.com/open?id=112_AMzoi6eIQvc9EhNq3E6l0-jMuicXT_27Prs-ZtyA&amp;usp=drive_copy" TargetMode="External"/><Relationship Id="rId2315" Type="http://schemas.openxmlformats.org/officeDocument/2006/relationships/hyperlink" Target="https://docs.google.com/open?id=1-uT4_fCLFL6x8ngrsGxMr0SdOy_D5djhxqpz_vstw1c" TargetMode="External"/><Relationship Id="rId2522" Type="http://schemas.openxmlformats.org/officeDocument/2006/relationships/hyperlink" Target="https://docs.google.com/spreadsheets/d/1gB7ywvBiq1Y6KelcMxF4tOsyvdbg72yF0QBiljxdfW4" TargetMode="External"/><Relationship Id="rId701" Type="http://schemas.openxmlformats.org/officeDocument/2006/relationships/hyperlink" Target="https://drive.google.com/open?id=1OGhMSmwLzY_YX9czT4J-ieZpRTQUnUIAMTS094bSnHo" TargetMode="External"/><Relationship Id="rId1124" Type="http://schemas.openxmlformats.org/officeDocument/2006/relationships/hyperlink" Target="https://drive.google.com/open?id=1lWcYdNugbKYhbj-NsLmjM1M7bBuXkOU_Z7TE6wmzidA&amp;usp=drive_copy" TargetMode="External"/><Relationship Id="rId1331" Type="http://schemas.openxmlformats.org/officeDocument/2006/relationships/hyperlink" Target="https://docs.google.com/open?id=1tEb11G8oP1Jx-Kfa31rJ-h1KP8rn2Iubpc4EMuUj7Ew" TargetMode="External"/><Relationship Id="rId3089" Type="http://schemas.openxmlformats.org/officeDocument/2006/relationships/hyperlink" Target="https://drive.google.com/open?id=1C8EdgcVWAT4PGDVCSNA49KM6YQ_F1E04cahpenkUFcM" TargetMode="External"/><Relationship Id="rId3296" Type="http://schemas.openxmlformats.org/officeDocument/2006/relationships/hyperlink" Target="https://drive.google.com/open?id=1BoVERwmQ-a-yGG-PS5iIrmdlddaP1FQW59uBgpAPkUs&amp;usp=drive_copy" TargetMode="External"/><Relationship Id="rId3156" Type="http://schemas.openxmlformats.org/officeDocument/2006/relationships/hyperlink" Target="https://drive.google.com/open?id=1ZunsWjnXH-0PB8hBwvVNdCe1GRwXk_dwGjfOoEeEI-E&amp;usp=drive_copy" TargetMode="External"/><Relationship Id="rId3363" Type="http://schemas.openxmlformats.org/officeDocument/2006/relationships/hyperlink" Target="https://docs.google.com/open?id=1PyeGAl9c8CKYVDRlFmDAMjJ7M3o1MMCwc3alUyFImH8" TargetMode="External"/><Relationship Id="rId284" Type="http://schemas.openxmlformats.org/officeDocument/2006/relationships/hyperlink" Target="https://drive.google.com/open?id=1rtTNWNY9LpjZeUWyikVb8KbSfvtENrROve13kIkmVMk&amp;usp=drive_copy" TargetMode="External"/><Relationship Id="rId491" Type="http://schemas.openxmlformats.org/officeDocument/2006/relationships/hyperlink" Target="https://docs.google.com/open?id=1x9U92VBdOh3QgmPp4ZWEHEVYci7yySVeST9S6KdeL5I" TargetMode="External"/><Relationship Id="rId2172" Type="http://schemas.openxmlformats.org/officeDocument/2006/relationships/hyperlink" Target="https://drive.google.com/open?id=1qX1Cycb5q9fdejXxrC5tDEUuiRoPEL6lrlKM5_p1FK0&amp;usp=drive_copy" TargetMode="External"/><Relationship Id="rId3016" Type="http://schemas.openxmlformats.org/officeDocument/2006/relationships/hyperlink" Target="https://drive.google.com/open?id=1xGj6NFbIzK3dda4h1VeMzV9oVdUVEjKq2_EsjFMj1ns&amp;usp=drive_copy" TargetMode="External"/><Relationship Id="rId3223" Type="http://schemas.openxmlformats.org/officeDocument/2006/relationships/hyperlink" Target="https://docs.google.com/open?id=1usiGc68IUfegekX67iDRg2CQD3p93OLTR-7dkGqC_hg" TargetMode="External"/><Relationship Id="rId3570" Type="http://schemas.openxmlformats.org/officeDocument/2006/relationships/hyperlink" Target="https://docs.google.com/spreadsheets/d/1GCAPpFIfgtRLEPE5cXjUTuIQSSFK4GoNHcD-7Prx-i4" TargetMode="External"/><Relationship Id="rId144" Type="http://schemas.openxmlformats.org/officeDocument/2006/relationships/hyperlink" Target="https://docs.google.com/spreadsheets/d/1sQ40EaQXDWo9yWHueA9ZH28131agLuj7MnD-Sq7wbJI/edit" TargetMode="External"/><Relationship Id="rId3430" Type="http://schemas.openxmlformats.org/officeDocument/2006/relationships/hyperlink" Target="https://docs.google.com/spreadsheets/d/13ny4rOEDEnY1AGkF5RMKA1PU0YlibcUxOK5H3q3Is-M" TargetMode="External"/><Relationship Id="rId351" Type="http://schemas.openxmlformats.org/officeDocument/2006/relationships/hyperlink" Target="https://docs.google.com/open?id=19em8uyYuHZpV7EZI9rv_u0xfxQcUBavmiFpd7wOyhUs" TargetMode="External"/><Relationship Id="rId2032" Type="http://schemas.openxmlformats.org/officeDocument/2006/relationships/hyperlink" Target="https://drive.google.com/open?id=1G6R0o5Pv0LcGQYBrrDDjvimc0cHTaZk2TzWJX4Wu7ns&amp;usp=drive_copy" TargetMode="External"/><Relationship Id="rId2989" Type="http://schemas.openxmlformats.org/officeDocument/2006/relationships/hyperlink" Target="https://drive.google.com/open?id=1ixk6PTLsAgjRwdaPEXyvycf1xmiVYn9IluVfFCoEgGs" TargetMode="External"/><Relationship Id="rId211" Type="http://schemas.openxmlformats.org/officeDocument/2006/relationships/hyperlink" Target="https://drive.google.com/open?id=1GVr-0M9hcU_79EyI5DswcnDGE_b9NdSwX6WI63ieBLk&amp;usp=drive_copy" TargetMode="External"/><Relationship Id="rId1798" Type="http://schemas.openxmlformats.org/officeDocument/2006/relationships/hyperlink" Target="https://docs.google.com/spreadsheets/d/1XuQZNnibOyCytsARK_ziNOujKZT4jnSKfQXMe74mkpQ" TargetMode="External"/><Relationship Id="rId2849" Type="http://schemas.openxmlformats.org/officeDocument/2006/relationships/hyperlink" Target="https://drive.google.com/open?id=1TjfXudfOEISX08ERgo5PAwsPnAoCj0eJMznwKsd1CqI" TargetMode="External"/><Relationship Id="rId1658" Type="http://schemas.openxmlformats.org/officeDocument/2006/relationships/hyperlink" Target="https://docs.google.com/spreadsheets/d/1EB30-NWraVTcttYufI_3EUjC2_XjBUnFx8Ycb248MlE" TargetMode="External"/><Relationship Id="rId1865" Type="http://schemas.openxmlformats.org/officeDocument/2006/relationships/hyperlink" Target="https://drive.google.com/open?id=1eyMPBGxaiboIcQ6K95OtPfpdspAsOr1gMiDm5eRw6Fg" TargetMode="External"/><Relationship Id="rId2709" Type="http://schemas.openxmlformats.org/officeDocument/2006/relationships/hyperlink" Target="https://drive.google.com/open?id=1v-LVk_FIVSQP6J1HbOw49lsrOQrwAMrqUGNvchMQ-RE" TargetMode="External"/><Relationship Id="rId1518" Type="http://schemas.openxmlformats.org/officeDocument/2006/relationships/hyperlink" Target="https://docs.google.com/spreadsheets/d/1HqzNGwGuqId77vArU1f5eOF-Z6oRpQuaNeof9YZidw8" TargetMode="External"/><Relationship Id="rId2916" Type="http://schemas.openxmlformats.org/officeDocument/2006/relationships/hyperlink" Target="https://drive.google.com/open?id=13UKQVBKtrm6kycmufaXNoBDOstV94QfjD6ps0Z9s1RA&amp;usp=drive_copy" TargetMode="External"/><Relationship Id="rId3080" Type="http://schemas.openxmlformats.org/officeDocument/2006/relationships/hyperlink" Target="https://drive.google.com/open?id=19sZMWEMpwmjetMOFzSZeryqbWg-QjBLFuhGIAZ3F2II&amp;usp=drive_copy" TargetMode="External"/><Relationship Id="rId1725" Type="http://schemas.openxmlformats.org/officeDocument/2006/relationships/hyperlink" Target="https://drive.google.com/open?id=11hH8ceQtzckvAhiPdC8A-_H9yjPAUzN47SxqyxbIpQA" TargetMode="External"/><Relationship Id="rId1932" Type="http://schemas.openxmlformats.org/officeDocument/2006/relationships/hyperlink" Target="https://drive.google.com/open?id=1_cpM8SFh9NZqujvKsLm6w5tNwwMFRflxdHMAv0X1HpE&amp;usp=drive_copy" TargetMode="External"/><Relationship Id="rId17" Type="http://schemas.openxmlformats.org/officeDocument/2006/relationships/hyperlink" Target="https://docs.google.com/spreadsheets/d/1l4A9BRBr2tOGDY86IODPjAZJuovYvFZu2KA79jLKw00/edit?usp=sharing" TargetMode="External"/><Relationship Id="rId3897" Type="http://schemas.openxmlformats.org/officeDocument/2006/relationships/hyperlink" Target="https://drive.google.com/open?id=1fyOZhUTnosGJ4s8TnmySKCKTgZ7tnssCaHs9nyUUHkU" TargetMode="External"/><Relationship Id="rId2499" Type="http://schemas.openxmlformats.org/officeDocument/2006/relationships/hyperlink" Target="https://docs.google.com/open?id=1SHKyeAS5y0pkTm_BBpkaT4UN7_ASCZxIEVWJ_rfV6Jk" TargetMode="External"/><Relationship Id="rId3757" Type="http://schemas.openxmlformats.org/officeDocument/2006/relationships/hyperlink" Target="https://drive.google.com/open?id=17o-xDNHvJSK69tAcTwwjesRw5ogiJZi2LKam4LE6SLw" TargetMode="External"/><Relationship Id="rId1" Type="http://schemas.openxmlformats.org/officeDocument/2006/relationships/hyperlink" Target="https://docs.google.com/spreadsheets/d/1wcno1s0G1pPiHcxQBtcdj3G3r40Ic2k0IKZniS3SiiE/edit?usp=sharing" TargetMode="External"/><Relationship Id="rId678" Type="http://schemas.openxmlformats.org/officeDocument/2006/relationships/hyperlink" Target="https://docs.google.com/spreadsheets/d/1IXb9Bk8sKJ83gCPkX3INib2baN24jj8mVj4yXEoI5IY" TargetMode="External"/><Relationship Id="rId885" Type="http://schemas.openxmlformats.org/officeDocument/2006/relationships/hyperlink" Target="https://drive.google.com/open?id=1LntP-_rHXhiJt7pzrWMylRoxHRo9Czlu5Sz3cUIMCrg" TargetMode="External"/><Relationship Id="rId2359" Type="http://schemas.openxmlformats.org/officeDocument/2006/relationships/hyperlink" Target="https://docs.google.com/open?id=1lvbdhkKJuzWiWwfKdmxnWYl3x7bLTrm7ud7dSIaqUtE" TargetMode="External"/><Relationship Id="rId2566" Type="http://schemas.openxmlformats.org/officeDocument/2006/relationships/hyperlink" Target="https://docs.google.com/spreadsheets/d/1m45ah0LsT8DJwjY50L4zAQd2YwlIupO-Uy8WiZ-g_ic" TargetMode="External"/><Relationship Id="rId2773" Type="http://schemas.openxmlformats.org/officeDocument/2006/relationships/hyperlink" Target="https://drive.google.com/open?id=1R9atTXRoPxBG287AvyjX6m06NzqLOeB8pjDu-WO2m2k" TargetMode="External"/><Relationship Id="rId2980" Type="http://schemas.openxmlformats.org/officeDocument/2006/relationships/hyperlink" Target="https://drive.google.com/open?id=1fCUY5EXexmjdnLDxMmzuos-LNQ8xkLSda7kL3wcZCsY&amp;usp=drive_copy" TargetMode="External"/><Relationship Id="rId3617" Type="http://schemas.openxmlformats.org/officeDocument/2006/relationships/hyperlink" Target="https://drive.google.com/open?id=1YI2hk4HHlfbWi0j-gFAJvHCuMpfNy6vns0c3r3_HwNg" TargetMode="External"/><Relationship Id="rId3824" Type="http://schemas.openxmlformats.org/officeDocument/2006/relationships/hyperlink" Target="https://drive.google.com/open?id=1sTb2zaDnsrvopAxKPzSrbiCQ6KoxD9gMrwqhkHtnxMs&amp;usp=drive_copy" TargetMode="External"/><Relationship Id="rId538" Type="http://schemas.openxmlformats.org/officeDocument/2006/relationships/hyperlink" Target="https://docs.google.com/spreadsheets/d/1JsKkfTNpHQ6vgUslFSEQ7lK1l-YE9XAKa-CpJKgkhII" TargetMode="External"/><Relationship Id="rId745" Type="http://schemas.openxmlformats.org/officeDocument/2006/relationships/hyperlink" Target="https://drive.google.com/open?id=1ABRpeRqMDXErNoGQEaO1t9HHevH-K2aqmWK4TwlrTNg" TargetMode="External"/><Relationship Id="rId952" Type="http://schemas.openxmlformats.org/officeDocument/2006/relationships/hyperlink" Target="https://drive.google.com/open?id=1D51xmYYsDlWkRFPh_MU2uGUmjNrYLMcOxoPoM89_OLg&amp;usp=drive_copy" TargetMode="External"/><Relationship Id="rId1168" Type="http://schemas.openxmlformats.org/officeDocument/2006/relationships/hyperlink" Target="https://drive.google.com/open?id=1XOOR8P92_AArpIzWPUqW3e7Ozp_SI-A1s85gzXPKDwc&amp;usp=drive_copy" TargetMode="External"/><Relationship Id="rId1375" Type="http://schemas.openxmlformats.org/officeDocument/2006/relationships/hyperlink" Target="https://docs.google.com/open?id=1VIHyc81uNys5RoAfqoNDOA8KZkPHQ3WkTMo7867R4BA" TargetMode="External"/><Relationship Id="rId1582" Type="http://schemas.openxmlformats.org/officeDocument/2006/relationships/hyperlink" Target="https://docs.google.com/spreadsheets/d/10G9V0VEZprBs9Zf5LMvm7Gxcax3NI9VT_i5PbXq34wU" TargetMode="External"/><Relationship Id="rId2219" Type="http://schemas.openxmlformats.org/officeDocument/2006/relationships/hyperlink" Target="https://docs.google.com/open?id=1FH-j3S2Aaq3Gofr7IzXAg0_U45KFkdKOl7hx9rjOyPg" TargetMode="External"/><Relationship Id="rId2426" Type="http://schemas.openxmlformats.org/officeDocument/2006/relationships/hyperlink" Target="https://docs.google.com/spreadsheets/d/1RaH9-IZl5nEqWw3pdo4ZQv6320aAO4wRUIT7d_TA56o" TargetMode="External"/><Relationship Id="rId2633" Type="http://schemas.openxmlformats.org/officeDocument/2006/relationships/hyperlink" Target="https://drive.google.com/open?id=15-OwXoXz34OvCqjAZ2nRt95M9w_mPT0G9Yv6SI6wV5Y" TargetMode="External"/><Relationship Id="rId81" Type="http://schemas.openxmlformats.org/officeDocument/2006/relationships/hyperlink" Target="https://docs.google.com/spreadsheets/d/1PaOdbkisq_h5JOWIsb20yQzuRUdWgHhIj9NjAje6Wyo/edit?usp=sharing" TargetMode="External"/><Relationship Id="rId605" Type="http://schemas.openxmlformats.org/officeDocument/2006/relationships/hyperlink" Target="https://drive.google.com/open?id=10rSsdMFG_Z0Uwv1XwEOPegONArA48eFzWIqg21PpqOs" TargetMode="External"/><Relationship Id="rId812" Type="http://schemas.openxmlformats.org/officeDocument/2006/relationships/hyperlink" Target="https://drive.google.com/open?id=1h0da8XbNWNtnvc2iqgmLRYia5n8Ip5prEHOVJEHIFD4&amp;usp=drive_copy" TargetMode="External"/><Relationship Id="rId1028" Type="http://schemas.openxmlformats.org/officeDocument/2006/relationships/hyperlink" Target="https://drive.google.com/open?id=1vPgpyo5KwkkYOHcKUiZVN-i7Gi-n4OudoxZ86i1DynE&amp;usp=drive_copy" TargetMode="External"/><Relationship Id="rId1235" Type="http://schemas.openxmlformats.org/officeDocument/2006/relationships/hyperlink" Target="https://docs.google.com/open?id=1PedQQZZ84OiMFo693N_NG04uP-ZWcYd9bWCrfTuN3q4" TargetMode="External"/><Relationship Id="rId1442" Type="http://schemas.openxmlformats.org/officeDocument/2006/relationships/hyperlink" Target="https://docs.google.com/spreadsheets/d/1-Dx7y_31ZjX7fYtVRar7O_YSE4mdZnBmodjds8j_bgQ" TargetMode="External"/><Relationship Id="rId2840" Type="http://schemas.openxmlformats.org/officeDocument/2006/relationships/hyperlink" Target="https://drive.google.com/open?id=1v94-53gvuSh_eOtsRIWOB6PO1E4V8VWq4vyiZu3ilIE&amp;usp=drive_copy" TargetMode="External"/><Relationship Id="rId1302" Type="http://schemas.openxmlformats.org/officeDocument/2006/relationships/hyperlink" Target="https://docs.google.com/spreadsheets/d/1LVaLs3dAZnPmRtkTeUSZWMie7s_xXnZYqev4OAV_NHE" TargetMode="External"/><Relationship Id="rId2700" Type="http://schemas.openxmlformats.org/officeDocument/2006/relationships/hyperlink" Target="https://drive.google.com/open?id=1KlknmlzdwCizIktTE1fk7Ov3VKf1zDKLF2eHBbbdjkE&amp;usp=drive_copy" TargetMode="External"/><Relationship Id="rId3267" Type="http://schemas.openxmlformats.org/officeDocument/2006/relationships/hyperlink" Target="https://docs.google.com/open?id=15IFNGbKEJeYtpqeWbn1f6_jWdkkm-_yApAbXMfPaFOg" TargetMode="External"/><Relationship Id="rId188" Type="http://schemas.openxmlformats.org/officeDocument/2006/relationships/hyperlink" Target="https://docs.google.com/spreadsheets/d/1SSPdi8fxUbr0OEnvMmcK7DpzlliSAFr09xptCauk0iY/edit" TargetMode="External"/><Relationship Id="rId395" Type="http://schemas.openxmlformats.org/officeDocument/2006/relationships/hyperlink" Target="https://docs.google.com/open?id=1HPIyl5UtdBO-ymbxPudlDNqsab2jtEyizcVC86jtIPo" TargetMode="External"/><Relationship Id="rId2076" Type="http://schemas.openxmlformats.org/officeDocument/2006/relationships/hyperlink" Target="https://drive.google.com/open?id=15KZ--t3Q0kkTCxhyfiIGFFjAhGJJsnt0xLok7nrdO38&amp;usp=drive_copy" TargetMode="External"/><Relationship Id="rId3474" Type="http://schemas.openxmlformats.org/officeDocument/2006/relationships/hyperlink" Target="https://docs.google.com/spreadsheets/d/1VHeVNoEakEu_3Fys9GdA0tpaonxhxhDzgZdJEhTw7u0" TargetMode="External"/><Relationship Id="rId3681" Type="http://schemas.openxmlformats.org/officeDocument/2006/relationships/hyperlink" Target="https://drive.google.com/open?id=18wpXdoseD-Gd9NYjhyF4oSdsGUtMnRmt2naZm3cfpFQ" TargetMode="External"/><Relationship Id="rId2283" Type="http://schemas.openxmlformats.org/officeDocument/2006/relationships/hyperlink" Target="https://docs.google.com/open?id=1N86qmhiBNI30g8xIMC8S5jr-tLrobxNcnQ0iKzmN4WQ" TargetMode="External"/><Relationship Id="rId2490" Type="http://schemas.openxmlformats.org/officeDocument/2006/relationships/hyperlink" Target="https://docs.google.com/spreadsheets/d/1hpZT4rLx8oJP9qze-AN69HmDJwSjkfLUfdyUMBWBl3k" TargetMode="External"/><Relationship Id="rId3127" Type="http://schemas.openxmlformats.org/officeDocument/2006/relationships/hyperlink" Target="https://docs.google.com/open?id=1MafOfSGifK16z3HokW_RAoYg1UqD0vXESWIf4-UqBeE" TargetMode="External"/><Relationship Id="rId3334" Type="http://schemas.openxmlformats.org/officeDocument/2006/relationships/hyperlink" Target="https://docs.google.com/spreadsheets/d/1JX5AXL24KPqv1kxPnPeXQjYkHRZoOYrTG4bk8cOzoII" TargetMode="External"/><Relationship Id="rId3541" Type="http://schemas.openxmlformats.org/officeDocument/2006/relationships/hyperlink" Target="https://drive.google.com/open?id=1WGDjKIPLXSJ9aE63m6Pfrx8u3HA-zqjEqydTTYEuU40" TargetMode="External"/><Relationship Id="rId255" Type="http://schemas.openxmlformats.org/officeDocument/2006/relationships/hyperlink" Target="https://docs.google.com/open?id=1QxGgfCitr16o535x1d9UnMYRo9nTIkINAIMtBlh6o8c" TargetMode="External"/><Relationship Id="rId462" Type="http://schemas.openxmlformats.org/officeDocument/2006/relationships/hyperlink" Target="https://docs.google.com/spreadsheets/d/1otcXblFr9qww47uEYhaUS54PBj0BwNGf-EZ8AjS8yH4" TargetMode="External"/><Relationship Id="rId1092" Type="http://schemas.openxmlformats.org/officeDocument/2006/relationships/hyperlink" Target="https://drive.google.com/open?id=1jXkfqSZqGAawLE9ECl2MxpNxfFkEtfAvk3PDxmRuIRw&amp;usp=drive_copy" TargetMode="External"/><Relationship Id="rId2143" Type="http://schemas.openxmlformats.org/officeDocument/2006/relationships/hyperlink" Target="https://docs.google.com/open?id=1_AAseG4k6qbmz9dnFEb5m4Wt2PHaxgFYS0EBaMH3BYM" TargetMode="External"/><Relationship Id="rId2350" Type="http://schemas.openxmlformats.org/officeDocument/2006/relationships/hyperlink" Target="https://docs.google.com/spreadsheets/d/1_lB4xeo89spumEvb56SHsPLccl1hDrHyTSw3w4wSl6g" TargetMode="External"/><Relationship Id="rId3401" Type="http://schemas.openxmlformats.org/officeDocument/2006/relationships/hyperlink" Target="https://drive.google.com/open?id=1rBfHBEcwMgZWV8H6veyT4I357O8fiuHjufKX3AAPC6g" TargetMode="External"/><Relationship Id="rId115" Type="http://schemas.openxmlformats.org/officeDocument/2006/relationships/hyperlink" Target="https://docs.google.com/spreadsheets/d/1kh844CdPHfDcq7zmoZ_b7sjKyOsERJEfTDSosd9fBRU/edit?usp=sharing" TargetMode="External"/><Relationship Id="rId322" Type="http://schemas.openxmlformats.org/officeDocument/2006/relationships/hyperlink" Target="https://docs.google.com/spreadsheets/d/13o-MrHOy5GLcrolWE6M5psOzd-f1KxHoaJis0Yff9XE" TargetMode="External"/><Relationship Id="rId2003" Type="http://schemas.openxmlformats.org/officeDocument/2006/relationships/hyperlink" Target="https://docs.google.com/open?id=1RKYZkFFOssiMJvj3ZKK89rKRTdj2oQ5ZIGmHPlaWj8I" TargetMode="External"/><Relationship Id="rId2210" Type="http://schemas.openxmlformats.org/officeDocument/2006/relationships/hyperlink" Target="https://docs.google.com/spreadsheets/d/102r7nKugopJHYu-XT1-7cBNDOnKcIGuFNtRHRl_2mcg" TargetMode="External"/><Relationship Id="rId1769" Type="http://schemas.openxmlformats.org/officeDocument/2006/relationships/hyperlink" Target="https://drive.google.com/open?id=1PPpDhspB4u9hX2w1lg9MB73NhEYQmUY3883AYCxVDCU" TargetMode="External"/><Relationship Id="rId1976" Type="http://schemas.openxmlformats.org/officeDocument/2006/relationships/hyperlink" Target="https://drive.google.com/open?id=16NmzZdRIh7OW3EYKMashGS-DuqM1W3V1603dcQGNJ2M&amp;usp=drive_copy" TargetMode="External"/><Relationship Id="rId3191" Type="http://schemas.openxmlformats.org/officeDocument/2006/relationships/hyperlink" Target="https://docs.google.com/open?id=1iiDWyPM3p_HDFcSXscTlPduf3RpRqVWAURHvIKjVW28" TargetMode="External"/><Relationship Id="rId1629" Type="http://schemas.openxmlformats.org/officeDocument/2006/relationships/hyperlink" Target="https://drive.google.com/open?id=1ZKXxF_pUhiTP5zSE49s57MZjvJnEa6fNLXUny7a3gLg" TargetMode="External"/><Relationship Id="rId1836" Type="http://schemas.openxmlformats.org/officeDocument/2006/relationships/hyperlink" Target="https://drive.google.com/open?id=13eMIV8XLrFIsrYh0yzSrWSulrLz-SVqY0-vlmEdsu_A&amp;usp=drive_copy" TargetMode="External"/><Relationship Id="rId1903" Type="http://schemas.openxmlformats.org/officeDocument/2006/relationships/hyperlink" Target="https://docs.google.com/open?id=1zfOOpLHZu0Ucu1ogJqLlvB-fpVfg8rbnySQryzfIM48" TargetMode="External"/><Relationship Id="rId3051" Type="http://schemas.openxmlformats.org/officeDocument/2006/relationships/hyperlink" Target="https://docs.google.com/open?id=1288ftmk97ud5rhCBM1IvNd-eyBvZmxUgj3L45T3aJAI" TargetMode="External"/><Relationship Id="rId3868" Type="http://schemas.openxmlformats.org/officeDocument/2006/relationships/hyperlink" Target="https://drive.google.com/open?id=1sPpECM-rL9ae2oTcbCokVyn1lkK79LtZ767loRcKsOo&amp;usp=drive_copy" TargetMode="External"/><Relationship Id="rId789" Type="http://schemas.openxmlformats.org/officeDocument/2006/relationships/hyperlink" Target="https://drive.google.com/open?id=1q_JiLk6_bA0dxtygieXCkIl4UPThvRWiS18iZb3nD7Y" TargetMode="External"/><Relationship Id="rId996" Type="http://schemas.openxmlformats.org/officeDocument/2006/relationships/hyperlink" Target="https://drive.google.com/open?id=1Y8yBx_fF-SEJ2Rk10WMp0ZvBOfcYbS1064Q07Wm0wno&amp;usp=drive_copy" TargetMode="External"/><Relationship Id="rId2677" Type="http://schemas.openxmlformats.org/officeDocument/2006/relationships/hyperlink" Target="https://drive.google.com/open?id=1EGodTSi4EVGsscuAEweNLqHJexpFamluXrI8o4isKws" TargetMode="External"/><Relationship Id="rId2884" Type="http://schemas.openxmlformats.org/officeDocument/2006/relationships/hyperlink" Target="https://drive.google.com/open?id=15qvk2sQLMMWtLqCLn2YL-LAZOi6lcLH1svpqA0bhYiI&amp;usp=drive_copy" TargetMode="External"/><Relationship Id="rId3728" Type="http://schemas.openxmlformats.org/officeDocument/2006/relationships/hyperlink" Target="https://drive.google.com/open?id=1HtUSkXQu9RYEKgAWQqmPbFTbzZkrb9t3uAmfHXapDII&amp;usp=drive_copy" TargetMode="External"/><Relationship Id="rId649" Type="http://schemas.openxmlformats.org/officeDocument/2006/relationships/hyperlink" Target="https://drive.google.com/open?id=1AJbyPTvEEwaelfVjmkCZi1R7IxeJYplBzCxK1aiIWKY" TargetMode="External"/><Relationship Id="rId856" Type="http://schemas.openxmlformats.org/officeDocument/2006/relationships/hyperlink" Target="https://drive.google.com/open?id=1vqcpIDfsJPgxHW6yf2s3coUSIobsgXr9ySfMuK_9-tA&amp;usp=drive_copy" TargetMode="External"/><Relationship Id="rId1279" Type="http://schemas.openxmlformats.org/officeDocument/2006/relationships/hyperlink" Target="https://docs.google.com/open?id=1ficvqBHLJk6e99DgiH-WdiqrQG8boa8tEPe4zTVx0pc" TargetMode="External"/><Relationship Id="rId1486" Type="http://schemas.openxmlformats.org/officeDocument/2006/relationships/hyperlink" Target="https://docs.google.com/spreadsheets/d/17PMZXRQ_1B6Qqk7TdJ-LPPZxpEjiF7EJs8iczNpoijc" TargetMode="External"/><Relationship Id="rId2537" Type="http://schemas.openxmlformats.org/officeDocument/2006/relationships/hyperlink" Target="https://drive.google.com/open?id=1hUu6hrodSNaoGtd6xwJ40UL3XVRZbrXOpkphpiJrEPw" TargetMode="External"/><Relationship Id="rId3935" Type="http://schemas.openxmlformats.org/officeDocument/2006/relationships/hyperlink" Target="https://docs.google.com/open?id=1KSoKnWVe3zFAuUCet34CnYqcyzNaUQXMs3T0nYVQnLg" TargetMode="External"/><Relationship Id="rId509" Type="http://schemas.openxmlformats.org/officeDocument/2006/relationships/hyperlink" Target="https://drive.google.com/open?id=1MF1fk8rVZIAco5Gnx8McsNwYVhLmA4lyw1YLhUMKXhU" TargetMode="External"/><Relationship Id="rId1139" Type="http://schemas.openxmlformats.org/officeDocument/2006/relationships/hyperlink" Target="https://docs.google.com/open?id=1peJyQg3YjVuVHh5KG223shFEj7aVpFUVJ_BIkxW-VyY" TargetMode="External"/><Relationship Id="rId1346" Type="http://schemas.openxmlformats.org/officeDocument/2006/relationships/hyperlink" Target="https://docs.google.com/spreadsheets/d/17ctAtEfIrJCw-H4Lw-EIHBSHHCtK27c8i3nBUBx-dok" TargetMode="External"/><Relationship Id="rId1693" Type="http://schemas.openxmlformats.org/officeDocument/2006/relationships/hyperlink" Target="https://drive.google.com/open?id=1R0L5ciJv2yeK-jlb1a8GLazpOmD8SB8z61Uw26B4EO0" TargetMode="External"/><Relationship Id="rId2744" Type="http://schemas.openxmlformats.org/officeDocument/2006/relationships/hyperlink" Target="https://drive.google.com/open?id=1iS7GQzTWD1xeGO-VZl3XCq2gJT68EXEs-laiahTPNSg&amp;usp=drive_copy" TargetMode="External"/><Relationship Id="rId2951" Type="http://schemas.openxmlformats.org/officeDocument/2006/relationships/hyperlink" Target="https://docs.google.com/open?id=1MHJCwQcQNSV8n_R6I-zLfrAfKXBt2eiHCE_V_fEkUPU" TargetMode="External"/><Relationship Id="rId716" Type="http://schemas.openxmlformats.org/officeDocument/2006/relationships/hyperlink" Target="https://drive.google.com/open?id=1Scrz15EVMsypf1pcMUHNhoybcUnhsXxJFKEiAOmHZAo&amp;usp=drive_copy" TargetMode="External"/><Relationship Id="rId923" Type="http://schemas.openxmlformats.org/officeDocument/2006/relationships/hyperlink" Target="https://docs.google.com/open?id=1UrAz0CyyTWAism1BSpkvFvdO9j7BVmFyK4BvFMGqoN4" TargetMode="External"/><Relationship Id="rId1553" Type="http://schemas.openxmlformats.org/officeDocument/2006/relationships/hyperlink" Target="https://drive.google.com/open?id=1NBY0ZrUrZ0MdRN3p9Q17R9pb47g5c1fISG7knOlCmEE" TargetMode="External"/><Relationship Id="rId1760" Type="http://schemas.openxmlformats.org/officeDocument/2006/relationships/hyperlink" Target="https://drive.google.com/open?id=1p_OgapkWx-5HjNula4UeZfj080vtBkeuUCZ0IbnMiqw&amp;usp=drive_copy" TargetMode="External"/><Relationship Id="rId2604" Type="http://schemas.openxmlformats.org/officeDocument/2006/relationships/hyperlink" Target="https://drive.google.com/open?id=1w9TkOwhLPHAt_8L4y3JJCg5I4gzwaCy2E1NfouMG7bM&amp;usp=drive_copy" TargetMode="External"/><Relationship Id="rId2811" Type="http://schemas.openxmlformats.org/officeDocument/2006/relationships/hyperlink" Target="https://docs.google.com/open?id=128NztE3J2EIjNv_irPNggRTyrD4tQi0shpmk_Qd9n_4" TargetMode="External"/><Relationship Id="rId52" Type="http://schemas.openxmlformats.org/officeDocument/2006/relationships/hyperlink" Target="https://docs.google.com/spreadsheets/d/1tRA4RpPTeYIZVI8PYoYVplNI5uhZxIupTdN-noAYzTY/edit" TargetMode="External"/><Relationship Id="rId1206" Type="http://schemas.openxmlformats.org/officeDocument/2006/relationships/hyperlink" Target="https://docs.google.com/spreadsheets/d/1_Z1hkM7SRuL3P9byoBqA47W_Ayd8EFpoIHDvKWY5EmU" TargetMode="External"/><Relationship Id="rId1413" Type="http://schemas.openxmlformats.org/officeDocument/2006/relationships/hyperlink" Target="https://drive.google.com/open?id=1lUao2wmxTiEifXpnMqbltOkOVEkCh5fAzJBy1_d5gY8" TargetMode="External"/><Relationship Id="rId1620" Type="http://schemas.openxmlformats.org/officeDocument/2006/relationships/hyperlink" Target="https://drive.google.com/open?id=1AmKlJCKlDYJv3JiCFuqGgTQzhBtrQMnBYY964lmsTYw&amp;usp=drive_copy" TargetMode="External"/><Relationship Id="rId3378" Type="http://schemas.openxmlformats.org/officeDocument/2006/relationships/hyperlink" Target="https://docs.google.com/spreadsheets/d/1ZAjs8uOUu7KESrx8g76IIGgkiTAegU2Tt0XLsaupjXk" TargetMode="External"/><Relationship Id="rId3585" Type="http://schemas.openxmlformats.org/officeDocument/2006/relationships/hyperlink" Target="https://drive.google.com/open?id=1Igi7B-Q9byhFAZ9R8IO-jln7Gl5LHt4lfnQuSKwKl60" TargetMode="External"/><Relationship Id="rId3792" Type="http://schemas.openxmlformats.org/officeDocument/2006/relationships/hyperlink" Target="https://drive.google.com/open?id=1aD66S7fa7G9sym6uAMjXVUDcezM9e12I2ff_EFj0kig&amp;usp=drive_copy" TargetMode="External"/><Relationship Id="rId299" Type="http://schemas.openxmlformats.org/officeDocument/2006/relationships/hyperlink" Target="https://docs.google.com/open?id=1xX2OCF10bCMG1NSt35BfuokC4pvbrNMI3vl4skht4QA" TargetMode="External"/><Relationship Id="rId2187" Type="http://schemas.openxmlformats.org/officeDocument/2006/relationships/hyperlink" Target="https://docs.google.com/open?id=1mco9cLjzQnY4uXiMOOPx_fU2rhhUTlz-LMmgaJIWQVM" TargetMode="External"/><Relationship Id="rId2394" Type="http://schemas.openxmlformats.org/officeDocument/2006/relationships/hyperlink" Target="https://docs.google.com/spreadsheets/d/1YXoLIt-c7QGqA4FJ9oWi3ZPYX0JyzLkFWGf2aC-SkwU" TargetMode="External"/><Relationship Id="rId3238" Type="http://schemas.openxmlformats.org/officeDocument/2006/relationships/hyperlink" Target="https://docs.google.com/spreadsheets/d/1xseDbL76iqEG-ydpQtSFkcuLXuUm_zOGpGJTfkOHJfE" TargetMode="External"/><Relationship Id="rId3445" Type="http://schemas.openxmlformats.org/officeDocument/2006/relationships/hyperlink" Target="https://drive.google.com/open?id=1BQLMl-8UBuSeh_FgdAPlfzOpMjxjY9XTh4On8FtFbJE" TargetMode="External"/><Relationship Id="rId3652" Type="http://schemas.openxmlformats.org/officeDocument/2006/relationships/hyperlink" Target="https://drive.google.com/open?id=1YL-thVA9WsyYVWzPE53-uqCkY2pDDN0Urv2pbbKqh94&amp;usp=drive_copy" TargetMode="External"/><Relationship Id="rId159" Type="http://schemas.openxmlformats.org/officeDocument/2006/relationships/hyperlink" Target="https://docs.google.com/spreadsheets/d/1ELYs3wkwB6uDtrPxadWcD_X8PSli0ejfpeCOxYJ5iTU/edit?usp=sharing" TargetMode="External"/><Relationship Id="rId366" Type="http://schemas.openxmlformats.org/officeDocument/2006/relationships/hyperlink" Target="https://docs.google.com/spreadsheets/d/1BfM1Y36k4wC-KmUwhmTbYQbvBXiMuVInq4baKJarnII" TargetMode="External"/><Relationship Id="rId573" Type="http://schemas.openxmlformats.org/officeDocument/2006/relationships/hyperlink" Target="https://drive.google.com/open?id=1n5sWZltpsIm7cJhQVrF0clyV2ytJPBWzGhoGAnVcXNU" TargetMode="External"/><Relationship Id="rId780" Type="http://schemas.openxmlformats.org/officeDocument/2006/relationships/hyperlink" Target="https://drive.google.com/open?id=1hudjfA1PESgxzvm0EBhX9fasftTYv54YJd2Ei6dRapM&amp;usp=drive_copy" TargetMode="External"/><Relationship Id="rId2047" Type="http://schemas.openxmlformats.org/officeDocument/2006/relationships/hyperlink" Target="https://docs.google.com/open?id=1RcvHn8UmSUJnVTdhZDqkVTd6AyOnH3nsRPYso4rouDk" TargetMode="External"/><Relationship Id="rId2254" Type="http://schemas.openxmlformats.org/officeDocument/2006/relationships/hyperlink" Target="https://docs.google.com/spreadsheets/d/1aKhwhoTo6OQOu-TLg1sLxgh8ATb2bYtbLjtQyDGX5Sg" TargetMode="External"/><Relationship Id="rId2461" Type="http://schemas.openxmlformats.org/officeDocument/2006/relationships/hyperlink" Target="https://drive.google.com/open?id=1jlBih2S5uvCFmSog67HGX-rXOJDxzrzzphu-TTfjIhU" TargetMode="External"/><Relationship Id="rId3305" Type="http://schemas.openxmlformats.org/officeDocument/2006/relationships/hyperlink" Target="https://drive.google.com/open?id=1DE2t0QXu5zy-D3SIpM-HzPtPAJOjoyyE6cov2Draufo" TargetMode="External"/><Relationship Id="rId3512" Type="http://schemas.openxmlformats.org/officeDocument/2006/relationships/hyperlink" Target="https://drive.google.com/open?id=14AjmcSxFqO98I0h0kG6Pk1ZscuoTColeCO15tJvy1I4&amp;usp=drive_copy" TargetMode="External"/><Relationship Id="rId226" Type="http://schemas.openxmlformats.org/officeDocument/2006/relationships/hyperlink" Target="https://docs.google.com/spreadsheets/d/18Zb6D4T3btM3qXlej17u7QtC9wK0j_qI_oXj57HwkKs" TargetMode="External"/><Relationship Id="rId433" Type="http://schemas.openxmlformats.org/officeDocument/2006/relationships/hyperlink" Target="https://drive.google.com/open?id=1gjKJcc4fjEHs9bZ7AL5vU3ozaX0XeN59sr1bDdfFhDo" TargetMode="External"/><Relationship Id="rId1063" Type="http://schemas.openxmlformats.org/officeDocument/2006/relationships/hyperlink" Target="https://docs.google.com/open?id=1_lZAeTR44NLPw8o0YVl4JkitOMzmqwe85Vai3zHQvHQ" TargetMode="External"/><Relationship Id="rId1270" Type="http://schemas.openxmlformats.org/officeDocument/2006/relationships/hyperlink" Target="https://docs.google.com/spreadsheets/d/1ehTXtNyKxI8sdWQJRalOE7CkLNIHyFSzeDerlfvIjho" TargetMode="External"/><Relationship Id="rId2114" Type="http://schemas.openxmlformats.org/officeDocument/2006/relationships/hyperlink" Target="https://docs.google.com/spreadsheets/d/1MabMWeb11l_jAiWX5XaI1pSiAKaScicTVXK6tjp2KlU" TargetMode="External"/><Relationship Id="rId640" Type="http://schemas.openxmlformats.org/officeDocument/2006/relationships/hyperlink" Target="https://drive.google.com/open?id=10ZQgOSd-0NV2Wu0yzlwduOcSejh5hy0ZK-G0ZfJqk5E&amp;usp=drive_copy" TargetMode="External"/><Relationship Id="rId2321" Type="http://schemas.openxmlformats.org/officeDocument/2006/relationships/hyperlink" Target="https://drive.google.com/open?id=1Tz9-x0Pu6yHJvTFIRmaxWv633DUoqbpjw2sD3YRv0nA" TargetMode="External"/><Relationship Id="rId500" Type="http://schemas.openxmlformats.org/officeDocument/2006/relationships/hyperlink" Target="https://drive.google.com/open?id=1BKzQyLoS7BSuZsRkiQApevcj2ZXn00Z3B8t-7Elt1lM&amp;usp=drive_copy" TargetMode="External"/><Relationship Id="rId1130" Type="http://schemas.openxmlformats.org/officeDocument/2006/relationships/hyperlink" Target="https://docs.google.com/spreadsheets/d/1lwyss_7wMpUIv0Eb2qCb2YsEPlxjf0Fx4TJTyDHCL3Q" TargetMode="External"/><Relationship Id="rId1947" Type="http://schemas.openxmlformats.org/officeDocument/2006/relationships/hyperlink" Target="https://docs.google.com/open?id=1v22mzuSWLt2ZDEoN1NNFkTozSm0nN0SKVh2EVilzU44" TargetMode="External"/><Relationship Id="rId3095" Type="http://schemas.openxmlformats.org/officeDocument/2006/relationships/hyperlink" Target="https://docs.google.com/open?id=1CehHk5pu2q8DN6btSupLBm_7TGv5hMWZBOzI_ccjnmU" TargetMode="External"/><Relationship Id="rId1807" Type="http://schemas.openxmlformats.org/officeDocument/2006/relationships/hyperlink" Target="https://docs.google.com/open?id=1BZvpE2lIELEHrmqGgVagoASRdUm4x0umZ0AkPkuzWsA" TargetMode="External"/><Relationship Id="rId3162" Type="http://schemas.openxmlformats.org/officeDocument/2006/relationships/hyperlink" Target="https://docs.google.com/spreadsheets/d/1a8LV4npoimBfBVZdQqg1Db57ovM38klupR7YzhDNDCI" TargetMode="External"/><Relationship Id="rId290" Type="http://schemas.openxmlformats.org/officeDocument/2006/relationships/hyperlink" Target="https://docs.google.com/spreadsheets/d/1uY6Pz6tteiw0PV8afHgeCW4qi-ZPFno6zGTGTFVrdVg" TargetMode="External"/><Relationship Id="rId3022" Type="http://schemas.openxmlformats.org/officeDocument/2006/relationships/hyperlink" Target="https://docs.google.com/spreadsheets/d/1yVJSFzpNooqOgLJUGiWtKAZxsvOVpESm_ce_i1tvsvY" TargetMode="External"/><Relationship Id="rId150" Type="http://schemas.openxmlformats.org/officeDocument/2006/relationships/hyperlink" Target="https://docs.google.com/spreadsheets/d/13hrtWhGH1L0V8pdKWX6OKx0XoRGg1xp7PRoQReBLuQE/edit" TargetMode="External"/><Relationship Id="rId2788" Type="http://schemas.openxmlformats.org/officeDocument/2006/relationships/hyperlink" Target="https://drive.google.com/open?id=1GUqqX2sUUIqUtHB-7RT8rcFxMd0I3LfOfcW5dGM5b5w&amp;usp=drive_copy" TargetMode="External"/><Relationship Id="rId2995" Type="http://schemas.openxmlformats.org/officeDocument/2006/relationships/hyperlink" Target="https://docs.google.com/open?id=1mnKPLyxOXQjn0E0yqs9JJZB9JiLp2bqc7d7hf0T9ySM" TargetMode="External"/><Relationship Id="rId3839" Type="http://schemas.openxmlformats.org/officeDocument/2006/relationships/hyperlink" Target="https://docs.google.com/open?id=1zh2TuFV0FMAEYytBJUChBSc9SIJItqctq-QBvrPHvxM" TargetMode="External"/><Relationship Id="rId967" Type="http://schemas.openxmlformats.org/officeDocument/2006/relationships/hyperlink" Target="https://docs.google.com/open?id=1KdqwKBtk-yEflHK_cIrmFrH-o0x9R7tXlkmmlGwwtS4" TargetMode="External"/><Relationship Id="rId1597" Type="http://schemas.openxmlformats.org/officeDocument/2006/relationships/hyperlink" Target="https://drive.google.com/open?id=1P_Uq8atya55FYnsbDHIdfixgL_JvDhgnKD9mHAzvdNE" TargetMode="External"/><Relationship Id="rId2648" Type="http://schemas.openxmlformats.org/officeDocument/2006/relationships/hyperlink" Target="https://drive.google.com/open?id=1A7ENQBIOfZAZGbp-VVBqZFoB-GKf8A-cFOvzvIVS888&amp;usp=drive_copy" TargetMode="External"/><Relationship Id="rId2855" Type="http://schemas.openxmlformats.org/officeDocument/2006/relationships/hyperlink" Target="https://docs.google.com/open?id=1mb56fxeCsNeZ0a6kyOs71lHHML1NvKdWPL1pxHAxARE" TargetMode="External"/><Relationship Id="rId3906" Type="http://schemas.openxmlformats.org/officeDocument/2006/relationships/hyperlink" Target="https://docs.google.com/spreadsheets/d/1YG8FCFfb_7C-VhPVWkjgcqsqSOCY3bVI7QNYB_FGnz0" TargetMode="External"/><Relationship Id="rId96" Type="http://schemas.openxmlformats.org/officeDocument/2006/relationships/hyperlink" Target="https://docs.google.com/spreadsheets/d/1tDGOr1-mQZ1j7enNWJkq4J-6UyRrxNp8PU4WHolfb4A/edit" TargetMode="External"/><Relationship Id="rId827" Type="http://schemas.openxmlformats.org/officeDocument/2006/relationships/hyperlink" Target="https://docs.google.com/open?id=1n9Aa6HxVngvQq50B4UTfv8sE_B-XeDhjObcHuM4I11E" TargetMode="External"/><Relationship Id="rId1457" Type="http://schemas.openxmlformats.org/officeDocument/2006/relationships/hyperlink" Target="https://drive.google.com/open?id=1uI7v9DVy6DgtP0OIaUYChG2cm3G-a0HSJYQR42y8gMk" TargetMode="External"/><Relationship Id="rId1664" Type="http://schemas.openxmlformats.org/officeDocument/2006/relationships/hyperlink" Target="https://drive.google.com/open?id=1jhjuq4k1Sat4zS4c9e0ZJ0n-mHfTg_q_M33uzaEHqPQ&amp;usp=drive_copy" TargetMode="External"/><Relationship Id="rId1871" Type="http://schemas.openxmlformats.org/officeDocument/2006/relationships/hyperlink" Target="https://docs.google.com/open?id=1wxxu2GO_U-eppy_8UcrmaUsKrFVSuaW9Pl2oHDxuQ8M" TargetMode="External"/><Relationship Id="rId2508" Type="http://schemas.openxmlformats.org/officeDocument/2006/relationships/hyperlink" Target="https://drive.google.com/open?id=1fvNCC2t16Qfk_o9AkKJAv-d_2t-c3Xre99PuELZhPZI&amp;usp=drive_copy" TargetMode="External"/><Relationship Id="rId2715" Type="http://schemas.openxmlformats.org/officeDocument/2006/relationships/hyperlink" Target="https://docs.google.com/open?id=1uGLafnwIlis0kZmaAo4Pjzeo7Z74zkABUJIvqmVN_YE" TargetMode="External"/><Relationship Id="rId2922" Type="http://schemas.openxmlformats.org/officeDocument/2006/relationships/hyperlink" Target="https://docs.google.com/spreadsheets/d/15XzwiTLnXTVZU4W19qVl298eEfhfzwdZaYDqQkY-_hM" TargetMode="External"/><Relationship Id="rId1317" Type="http://schemas.openxmlformats.org/officeDocument/2006/relationships/hyperlink" Target="https://drive.google.com/open?id=1s-L6qpGiijV9BQwFO--SrDFxriVRZmYTznS3vi4EEKw" TargetMode="External"/><Relationship Id="rId1524" Type="http://schemas.openxmlformats.org/officeDocument/2006/relationships/hyperlink" Target="https://drive.google.com/open?id=1Ku6IVJg6JSwAjBFTYmSAvpY8umlQSF_EevugWl3JX64&amp;usp=drive_copy" TargetMode="External"/><Relationship Id="rId1731" Type="http://schemas.openxmlformats.org/officeDocument/2006/relationships/hyperlink" Target="https://docs.google.com/open?id=1GXJycXRAsniebh4p2JAgv_fjiRPhZrrR90Ejy2Gi7wA" TargetMode="External"/><Relationship Id="rId23" Type="http://schemas.openxmlformats.org/officeDocument/2006/relationships/hyperlink" Target="https://docs.google.com/spreadsheets/d/1mdEIdKk7Gr7TyJLVSqbwsXZAuZWLekCO3p-uKtz_UYs/edit?usp=sharing" TargetMode="External"/><Relationship Id="rId3489" Type="http://schemas.openxmlformats.org/officeDocument/2006/relationships/hyperlink" Target="https://drive.google.com/open?id=1s2TfMVV6iHv16riausmRZ11glqryl6mn7rLxUsFPe00" TargetMode="External"/><Relationship Id="rId3696" Type="http://schemas.openxmlformats.org/officeDocument/2006/relationships/hyperlink" Target="https://drive.google.com/open?id=1Mj88VmwjiSmHE8H5vF_BmqlUKbkSXPhyIef-g04zpMk&amp;usp=drive_copy" TargetMode="External"/><Relationship Id="rId2298" Type="http://schemas.openxmlformats.org/officeDocument/2006/relationships/hyperlink" Target="https://docs.google.com/spreadsheets/d/1TRRqPufsYEUl_PyL7lkIkgBQ5pbDLDi8MOSLHu5EjuU" TargetMode="External"/><Relationship Id="rId3349" Type="http://schemas.openxmlformats.org/officeDocument/2006/relationships/hyperlink" Target="https://drive.google.com/open?id=1PBVCKZ15LG3PK_khMQh4cShqvtx1Rtou_3tp6Hitfkc" TargetMode="External"/><Relationship Id="rId3556" Type="http://schemas.openxmlformats.org/officeDocument/2006/relationships/hyperlink" Target="https://drive.google.com/open?id=1ctiHswOXHo3kzhA152GSX_39DI2sUMqj3xHK9Wqye9M&amp;usp=drive_copy" TargetMode="External"/><Relationship Id="rId477" Type="http://schemas.openxmlformats.org/officeDocument/2006/relationships/hyperlink" Target="https://drive.google.com/open?id=1vVWJqM_ZEbT8aB0cn9bEM5_yDhPt4R5bzNmGTet2Orw" TargetMode="External"/><Relationship Id="rId684" Type="http://schemas.openxmlformats.org/officeDocument/2006/relationships/hyperlink" Target="https://drive.google.com/open?id=1Jk_5VSZ5FeXMMoESdIy82MTlH0QRHXsUPr3bwQLquuQ&amp;usp=drive_copy" TargetMode="External"/><Relationship Id="rId2158" Type="http://schemas.openxmlformats.org/officeDocument/2006/relationships/hyperlink" Target="https://docs.google.com/spreadsheets/d/1gp-STXwLZ7ksJXWsEH9Se3ppe-mCXxDjiCtHrDrGUi8" TargetMode="External"/><Relationship Id="rId2365" Type="http://schemas.openxmlformats.org/officeDocument/2006/relationships/hyperlink" Target="https://drive.google.com/open?id=1C3sM5khnjwmFxar7TH3x9KEFFy2k4oIL2zEJBDDpgA4" TargetMode="External"/><Relationship Id="rId3209" Type="http://schemas.openxmlformats.org/officeDocument/2006/relationships/hyperlink" Target="https://drive.google.com/open?id=1t2uI5jSJvcoYzVphAG-PsbmtRBmaihD0bbE2MtW-_CI" TargetMode="External"/><Relationship Id="rId3763" Type="http://schemas.openxmlformats.org/officeDocument/2006/relationships/hyperlink" Target="https://docs.google.com/open?id=1Vp9XSd4bFFHPTkZ3pBXqVAaqQ3D5HakYfXbBEzzxmXk" TargetMode="External"/><Relationship Id="rId337" Type="http://schemas.openxmlformats.org/officeDocument/2006/relationships/hyperlink" Target="https://drive.google.com/open?id=1G034Ca2SXPIjqSO13Pdt1kyW9xeO96TuNSKDyn9gYO0" TargetMode="External"/><Relationship Id="rId891" Type="http://schemas.openxmlformats.org/officeDocument/2006/relationships/hyperlink" Target="https://docs.google.com/open?id=1OhkZpAQmSa7eDZlcNCm4tpoVKg5llb1fotV9WHO8q6Q" TargetMode="External"/><Relationship Id="rId2018" Type="http://schemas.openxmlformats.org/officeDocument/2006/relationships/hyperlink" Target="https://docs.google.com/spreadsheets/d/1I3AF19kK7L1mKBHF-HNiBhq5ToSl1LbuuMHzVkPdcUo" TargetMode="External"/><Relationship Id="rId2572" Type="http://schemas.openxmlformats.org/officeDocument/2006/relationships/hyperlink" Target="https://drive.google.com/open?id=1qLY0KcjOX7FusoNyiFZK5bq0p_3x_Id1dbASVWLawMY&amp;usp=drive_copy" TargetMode="External"/><Relationship Id="rId3416" Type="http://schemas.openxmlformats.org/officeDocument/2006/relationships/hyperlink" Target="https://drive.google.com/open?id=1v0B78fGKszZ0MIaj-OsnW-lOHAaOl0XbwGzHp5U5K90&amp;usp=drive_copy" TargetMode="External"/><Relationship Id="rId3623" Type="http://schemas.openxmlformats.org/officeDocument/2006/relationships/hyperlink" Target="https://docs.google.com/spreadsheets/d/1x3trs2wSiz5ktdTSnKOmaf0SXagaoGxqKwbd6xwRG0c/edit?usp=drive_link" TargetMode="External"/><Relationship Id="rId3830" Type="http://schemas.openxmlformats.org/officeDocument/2006/relationships/hyperlink" Target="https://docs.google.com/spreadsheets/d/1tZRJB1j9hziG_MFLArQoNBLT3XB73Dl60mxJ_A17UCk" TargetMode="External"/><Relationship Id="rId544" Type="http://schemas.openxmlformats.org/officeDocument/2006/relationships/hyperlink" Target="https://drive.google.com/open?id=1PFDpdbRVgz9VZlbHvv8WiY0UgO0HMj0hu7D7L2XJeho&amp;usp=drive_copy" TargetMode="External"/><Relationship Id="rId751" Type="http://schemas.openxmlformats.org/officeDocument/2006/relationships/hyperlink" Target="https://docs.google.com/open?id=1_OC1x9LoKGkG1q2azWKy02arliNVRdFHPLG1bfvCfow" TargetMode="External"/><Relationship Id="rId1174" Type="http://schemas.openxmlformats.org/officeDocument/2006/relationships/hyperlink" Target="https://docs.google.com/spreadsheets/d/1XZ0nOf_lIIurh_0YI6XJjrazj_ubPlOlFvi6ZJ7-62M" TargetMode="External"/><Relationship Id="rId1381" Type="http://schemas.openxmlformats.org/officeDocument/2006/relationships/hyperlink" Target="https://drive.google.com/open?id=1VtV1VuFXIUlrUnyhxzTLQHZn6W1o8vEdxdeLKZwOWDs" TargetMode="External"/><Relationship Id="rId2225" Type="http://schemas.openxmlformats.org/officeDocument/2006/relationships/hyperlink" Target="https://drive.google.com/open?id=1rY1y9v9wU3tikCxYk5bZrEOXkSjSmrYf_42fVy3Wq3E" TargetMode="External"/><Relationship Id="rId2432" Type="http://schemas.openxmlformats.org/officeDocument/2006/relationships/hyperlink" Target="https://drive.google.com/open?id=1X0c9rOIN3Ezxk5U_OM91vIdv2oTMZeLSywZ0MFV1WDA&amp;usp=drive_copy" TargetMode="External"/><Relationship Id="rId404" Type="http://schemas.openxmlformats.org/officeDocument/2006/relationships/hyperlink" Target="https://drive.google.com/open?id=1J0DAmpEaH89_h2SBfiNxboUl8qE5ivgl7Qfoj9UAAc4&amp;usp=drive_copy" TargetMode="External"/><Relationship Id="rId611" Type="http://schemas.openxmlformats.org/officeDocument/2006/relationships/hyperlink" Target="https://docs.google.com/open?id=10r_UsZUdmg54QO7bo8serIG-MqG3xlhPZDRdK2r9Kpw" TargetMode="External"/><Relationship Id="rId1034" Type="http://schemas.openxmlformats.org/officeDocument/2006/relationships/hyperlink" Target="https://docs.google.com/spreadsheets/d/1zV8tIvGoNK8aF3W0o-01UwnkDENQdvxe7JUTwTFxozA" TargetMode="External"/><Relationship Id="rId1241" Type="http://schemas.openxmlformats.org/officeDocument/2006/relationships/hyperlink" Target="https://drive.google.com/open?id=1Qdkcu0bGP2GwNWE_f1ic2-g4KzvfN1l5y1NcBX5hZvk" TargetMode="External"/><Relationship Id="rId1101" Type="http://schemas.openxmlformats.org/officeDocument/2006/relationships/hyperlink" Target="https://drive.google.com/open?id=1Ej1fn9ZntzCVNzdS9n2ooJM8aheySbhVY0aOsvlIxqU" TargetMode="External"/><Relationship Id="rId3066" Type="http://schemas.openxmlformats.org/officeDocument/2006/relationships/hyperlink" Target="https://docs.google.com/spreadsheets/d/17Ko1LM4jIp6bwuXmNtHl8M-offEqBv4yzu9oM9psBEg" TargetMode="External"/><Relationship Id="rId3273" Type="http://schemas.openxmlformats.org/officeDocument/2006/relationships/hyperlink" Target="https://drive.google.com/open?id=16Kzkc0An9X9x9gpUv8X_iRGhP2YimemOCL6bkkRmHK4" TargetMode="External"/><Relationship Id="rId3480" Type="http://schemas.openxmlformats.org/officeDocument/2006/relationships/hyperlink" Target="https://drive.google.com/open?id=1hwkAUAByOT0oYcNjrPJFJL25inXb2j0PllUvrBO5hvQ&amp;usp=drive_copy" TargetMode="External"/><Relationship Id="rId194" Type="http://schemas.openxmlformats.org/officeDocument/2006/relationships/hyperlink" Target="https://docs.google.com/spreadsheets/d/1dfq-4mbH5Fxmq3qOJuQemQIfGGu0vhueCzCPUHM4N2Y/edit" TargetMode="External"/><Relationship Id="rId1918" Type="http://schemas.openxmlformats.org/officeDocument/2006/relationships/hyperlink" Target="https://docs.google.com/spreadsheets/d/1ux_omYs00ZIRBqO_vvyjDrGxqtMqjIMPcLxc9xdvc20" TargetMode="External"/><Relationship Id="rId2082" Type="http://schemas.openxmlformats.org/officeDocument/2006/relationships/hyperlink" Target="https://docs.google.com/spreadsheets/d/1F_9OAvKz0KlFsPKIxwKI3CJWvfkj5tmmyxQqpkANOIc" TargetMode="External"/><Relationship Id="rId3133" Type="http://schemas.openxmlformats.org/officeDocument/2006/relationships/hyperlink" Target="https://drive.google.com/open?id=1R9wbltaLsx33FD0_S60X9zYWd8VCHYWJQuE6-tyjkds" TargetMode="External"/><Relationship Id="rId261" Type="http://schemas.openxmlformats.org/officeDocument/2006/relationships/hyperlink" Target="https://drive.google.com/open?id=1c7gv06DQzX8OMG64muBkEDU6ZJjbroMSSeWFQqiAAEQ" TargetMode="External"/><Relationship Id="rId3340" Type="http://schemas.openxmlformats.org/officeDocument/2006/relationships/hyperlink" Target="https://drive.google.com/open?id=1NN1Kv0MfkYlHQUur9jCYPZ5bjPeTbmp8ZoqC6VmnXao&amp;usp=drive_copy" TargetMode="External"/><Relationship Id="rId2899" Type="http://schemas.openxmlformats.org/officeDocument/2006/relationships/hyperlink" Target="https://docs.google.com/open?id=1VRx1_kzqtzOcQap8Edcli55mX_SZmlUdk6fdp24kplY" TargetMode="External"/><Relationship Id="rId3200" Type="http://schemas.openxmlformats.org/officeDocument/2006/relationships/hyperlink" Target="https://drive.google.com/open?id=1nBVPq7ay0513lbZ-WpWkih-to-LE1aXP6d8jXDeovKY&amp;usp=drive_copy" TargetMode="External"/><Relationship Id="rId121" Type="http://schemas.openxmlformats.org/officeDocument/2006/relationships/hyperlink" Target="https://docs.google.com/spreadsheets/d/10CETA8Tx5g2bYkmtdBoA79NYoAe7ZizCUArcBQ63XsI/edit?usp=sharing" TargetMode="External"/><Relationship Id="rId2759" Type="http://schemas.openxmlformats.org/officeDocument/2006/relationships/hyperlink" Target="https://docs.google.com/open?id=1bpzPTv2x34Z3f7I7vnh0EdNcL2_IXuBRk0j86EfK_i8" TargetMode="External"/><Relationship Id="rId2966" Type="http://schemas.openxmlformats.org/officeDocument/2006/relationships/hyperlink" Target="https://docs.google.com/spreadsheets/d/1WIeOo_cavCz6IzPv-79HsdP8DPAiY2XsnlSzhq_-wfw" TargetMode="External"/><Relationship Id="rId938" Type="http://schemas.openxmlformats.org/officeDocument/2006/relationships/hyperlink" Target="https://docs.google.com/spreadsheets/d/1HTaVZe1FFZP8z6EJtKgSrY71HOWk1fPYEpqK9U86A_I" TargetMode="External"/><Relationship Id="rId1568" Type="http://schemas.openxmlformats.org/officeDocument/2006/relationships/hyperlink" Target="https://drive.google.com/open?id=1yBs1KJvR8yku7URbo6W8Er7IUlsdgx9l5z5Z2FxLw_g&amp;usp=drive_copy" TargetMode="External"/><Relationship Id="rId1775" Type="http://schemas.openxmlformats.org/officeDocument/2006/relationships/hyperlink" Target="https://docs.google.com/open?id=1um608jV13fNH1ZbjwoXwV-tSluf_VdhWse6cXP4D8hU" TargetMode="External"/><Relationship Id="rId2619" Type="http://schemas.openxmlformats.org/officeDocument/2006/relationships/hyperlink" Target="https://docs.google.com/open?id=1-0X0HMeTQmIRCk_pJfwsz13RQ3KiqggzPT64BlsAfK8" TargetMode="External"/><Relationship Id="rId2826" Type="http://schemas.openxmlformats.org/officeDocument/2006/relationships/hyperlink" Target="https://docs.google.com/spreadsheets/d/1_IlLrpMCR8JwfyVw7TeHCLEb5PHpLme-K6LRIFBUVm0" TargetMode="External"/><Relationship Id="rId67" Type="http://schemas.openxmlformats.org/officeDocument/2006/relationships/hyperlink" Target="https://docs.google.com/spreadsheets/d/1FHoQOeZxHYPJ1dJd8f93dICw251n_SWKzk0SR4e2G94/edit?usp=sharing" TargetMode="External"/><Relationship Id="rId1428" Type="http://schemas.openxmlformats.org/officeDocument/2006/relationships/hyperlink" Target="https://drive.google.com/open?id=1pSfHN2dkWjKfTx0ozR33SlCLhNVIlZzj11stTESMz9Y&amp;usp=drive_copy" TargetMode="External"/><Relationship Id="rId1635" Type="http://schemas.openxmlformats.org/officeDocument/2006/relationships/hyperlink" Target="https://docs.google.com/open?id=1qDjLQ2-zmIKipmsLWvCvt2a-M6hKKOyBZzsFPfmRvJM" TargetMode="External"/><Relationship Id="rId1982" Type="http://schemas.openxmlformats.org/officeDocument/2006/relationships/hyperlink" Target="https://docs.google.com/spreadsheets/d/16MyVWQLNl7HMCmx8YWNFG_zmTXRoJ1gwvLsSTUWr_wg" TargetMode="External"/><Relationship Id="rId1842" Type="http://schemas.openxmlformats.org/officeDocument/2006/relationships/hyperlink" Target="https://docs.google.com/spreadsheets/d/1I7RkrNovslxB9JxiPXBExgVyzLZs3EkVNXTGrAx97qU" TargetMode="External"/><Relationship Id="rId1702" Type="http://schemas.openxmlformats.org/officeDocument/2006/relationships/hyperlink" Target="https://docs.google.com/spreadsheets/d/1YuEcudYycIAEz6Kj5tfliBJzbEOJLch9G62k9JrIOh0" TargetMode="External"/><Relationship Id="rId3667" Type="http://schemas.openxmlformats.org/officeDocument/2006/relationships/hyperlink" Target="https://docs.google.com/open?id=19ZDN6-sAUd9J7XkAkFvRVoMzw1UnPWUn7WxMS0UCz04" TargetMode="External"/><Relationship Id="rId3874" Type="http://schemas.openxmlformats.org/officeDocument/2006/relationships/hyperlink" Target="https://docs.google.com/spreadsheets/d/1uNIGa0BmylAikCZTRfDYS7Z0d1-o7ET-2vGbGpJLHnQ" TargetMode="External"/><Relationship Id="rId588" Type="http://schemas.openxmlformats.org/officeDocument/2006/relationships/hyperlink" Target="https://drive.google.com/open?id=1sHX0KoJRZc74ISydtKpHe0VS4-7QQtWaOe8XLATipOk&amp;usp=drive_copy" TargetMode="External"/><Relationship Id="rId795" Type="http://schemas.openxmlformats.org/officeDocument/2006/relationships/hyperlink" Target="https://docs.google.com/open?id=1ncnwZuMQy05fjCX98NBp_RkrmXPGyLpIea6g6mbazAg" TargetMode="External"/><Relationship Id="rId2269" Type="http://schemas.openxmlformats.org/officeDocument/2006/relationships/hyperlink" Target="https://drive.google.com/open?id=1YnweNW4B4kDthnEB8i0Nt5ZWP1XzZsnFWKgnuP1ypk4" TargetMode="External"/><Relationship Id="rId2476" Type="http://schemas.openxmlformats.org/officeDocument/2006/relationships/hyperlink" Target="https://drive.google.com/open?id=1C4qLmFbzdCUDhoZs1AxGfn3RXqtL1vs1dPHz29tN85A&amp;usp=drive_copy" TargetMode="External"/><Relationship Id="rId2683" Type="http://schemas.openxmlformats.org/officeDocument/2006/relationships/hyperlink" Target="https://docs.google.com/open?id=1GKFZB2ZgLyj-2sXoNSsxZ7TMuEoz_6HUSJJCrNs6HGo" TargetMode="External"/><Relationship Id="rId2890" Type="http://schemas.openxmlformats.org/officeDocument/2006/relationships/hyperlink" Target="https://docs.google.com/spreadsheets/d/1IMZkm8yKZby27A5acXdMX9BuSRfyc7XvRE9kjtzijxQ" TargetMode="External"/><Relationship Id="rId3527" Type="http://schemas.openxmlformats.org/officeDocument/2006/relationships/hyperlink" Target="https://docs.google.com/open?id=1P30C7qC89zbuaidMCY1Hk2p00nfFb_PzLKl5HwA-xnU" TargetMode="External"/><Relationship Id="rId3734" Type="http://schemas.openxmlformats.org/officeDocument/2006/relationships/hyperlink" Target="https://docs.google.com/spreadsheets/d/1ekEFpD9xXi9Za6ydKgp1dK3cOzwLqtoRxwEOjmN053E" TargetMode="External"/><Relationship Id="rId3941" Type="http://schemas.openxmlformats.org/officeDocument/2006/relationships/hyperlink" Target="https://drive.google.com/open?id=1MiyDZVUXj1utHEsf2iRrXi2eY-C05IHgCItJy3NjnaU" TargetMode="External"/><Relationship Id="rId448" Type="http://schemas.openxmlformats.org/officeDocument/2006/relationships/hyperlink" Target="https://drive.google.com/open?id=1klx-jM_uw9hDg7VHOS0x529_pFTS9wvAdIFBexxrz1Q&amp;usp=drive_copy" TargetMode="External"/><Relationship Id="rId655" Type="http://schemas.openxmlformats.org/officeDocument/2006/relationships/hyperlink" Target="https://docs.google.com/open?id=1EU6FPBVs4_bHZk5YhLGRafEA6_g5xHbvZj8VG2o9qeY" TargetMode="External"/><Relationship Id="rId862" Type="http://schemas.openxmlformats.org/officeDocument/2006/relationships/hyperlink" Target="https://docs.google.com/spreadsheets/d/1x1nYgQm0DL8JVvoXjNimbVfc-ojGdplpqg0XdAUFygQ" TargetMode="External"/><Relationship Id="rId1078" Type="http://schemas.openxmlformats.org/officeDocument/2006/relationships/hyperlink" Target="https://docs.google.com/spreadsheets/d/1gUp2of45r1p0dugD5kbOtWH35ont0ZVMOkqlLBlaYMo" TargetMode="External"/><Relationship Id="rId1285" Type="http://schemas.openxmlformats.org/officeDocument/2006/relationships/hyperlink" Target="https://drive.google.com/open?id=1M4SpjUaM1L5pykCZK1fIbNtKEtSpv1PBHArHd0oBREc" TargetMode="External"/><Relationship Id="rId1492" Type="http://schemas.openxmlformats.org/officeDocument/2006/relationships/hyperlink" Target="https://drive.google.com/open?id=1DCuZVQKauRTcA4dptxnDsgbbW76ZTGTU8xmjQO61cwI&amp;usp=drive_copy" TargetMode="External"/><Relationship Id="rId2129" Type="http://schemas.openxmlformats.org/officeDocument/2006/relationships/hyperlink" Target="https://drive.google.com/open?id=1gjojWKaW77IWMv44XbLSysOJaL7bE-RN3ZWpUdIommo" TargetMode="External"/><Relationship Id="rId2336" Type="http://schemas.openxmlformats.org/officeDocument/2006/relationships/hyperlink" Target="https://drive.google.com/open?id=18u4QNBSKaftLb7YCpVYjGjn_Vn_8GY-HN-gq9j9oNcU&amp;usp=drive_copy" TargetMode="External"/><Relationship Id="rId2543" Type="http://schemas.openxmlformats.org/officeDocument/2006/relationships/hyperlink" Target="https://docs.google.com/open?id=1hj9Co6STaAQxdUSeZPqhGx7CfFMhdiHnGboJ9Knc1Fg" TargetMode="External"/><Relationship Id="rId2750" Type="http://schemas.openxmlformats.org/officeDocument/2006/relationships/hyperlink" Target="https://docs.google.com/spreadsheets/d/1dex4fmiuuWlVcHMMSrRcYibNGJHvdGqAj1gqWoj0SZo" TargetMode="External"/><Relationship Id="rId3801" Type="http://schemas.openxmlformats.org/officeDocument/2006/relationships/hyperlink" Target="https://drive.google.com/open?id=1HUXoVXu9KF3uSLy1NeUvbYHN6NI1q7ecDNxcINSf-2k" TargetMode="External"/><Relationship Id="rId308" Type="http://schemas.openxmlformats.org/officeDocument/2006/relationships/hyperlink" Target="https://drive.google.com/open?id=10Zzf91qP1H2PDmRipKtckjdBJNkXcHj30vf15FYyiAA&amp;usp=drive_copy" TargetMode="External"/><Relationship Id="rId515" Type="http://schemas.openxmlformats.org/officeDocument/2006/relationships/hyperlink" Target="https://docs.google.com/open?id=1WrO6d4_riEipMV3EXQ2EjXaQ2I5IYdIl5Mo4aYGadQg" TargetMode="External"/><Relationship Id="rId722" Type="http://schemas.openxmlformats.org/officeDocument/2006/relationships/hyperlink" Target="https://docs.google.com/spreadsheets/d/1T1TlUoxuPrXb59J6Pq0GSChhFotWcNzNzg3saMpJlHI" TargetMode="External"/><Relationship Id="rId1145" Type="http://schemas.openxmlformats.org/officeDocument/2006/relationships/hyperlink" Target="https://drive.google.com/open?id=1rnBeGu67CR0QBG4_DNubbzEK5NSk5mlBzMw_7iZ6Hs8" TargetMode="External"/><Relationship Id="rId1352" Type="http://schemas.openxmlformats.org/officeDocument/2006/relationships/hyperlink" Target="https://drive.google.com/open?id=1I1UhfpkW-m-1Bd3aBTNW7KA6LO60WjaHn23KnBRDhj4&amp;usp=drive_copy" TargetMode="External"/><Relationship Id="rId2403" Type="http://schemas.openxmlformats.org/officeDocument/2006/relationships/hyperlink" Target="https://docs.google.com/open?id=14zMP8wU-P9XDjEapTt2vNxCj7-A38ewKHzv8GbkMsEQ" TargetMode="External"/><Relationship Id="rId1005" Type="http://schemas.openxmlformats.org/officeDocument/2006/relationships/hyperlink" Target="https://drive.google.com/open?id=1oMvRKCsxFE6sjk4cGmyuzDcOCu378H6gDJ8b3vLGNa4" TargetMode="External"/><Relationship Id="rId1212" Type="http://schemas.openxmlformats.org/officeDocument/2006/relationships/hyperlink" Target="https://drive.google.com/open?id=1c1kWZJ6TJz2qnu7YAzZ4WQdqgEDxu959vzQkAKsOzBI&amp;usp=drive_copy" TargetMode="External"/><Relationship Id="rId2610" Type="http://schemas.openxmlformats.org/officeDocument/2006/relationships/hyperlink" Target="https://docs.google.com/spreadsheets/d/1wT6WZdIiN8LNxd30Go1lN5h7VTkHLPq-9zqeQsl9DoM" TargetMode="External"/><Relationship Id="rId3177" Type="http://schemas.openxmlformats.org/officeDocument/2006/relationships/hyperlink" Target="https://drive.google.com/open?id=1hr4sEDv5ImRr72xB6QGjWoqkfIbcBtFGSs6Nzxs-iJo" TargetMode="External"/><Relationship Id="rId3037" Type="http://schemas.openxmlformats.org/officeDocument/2006/relationships/hyperlink" Target="https://drive.google.com/open?id=11pSpAn6jZkEYXXgtUW34KYQKHn2n_QTc_Z9qr2r9go4" TargetMode="External"/><Relationship Id="rId3384" Type="http://schemas.openxmlformats.org/officeDocument/2006/relationships/hyperlink" Target="https://drive.google.com/open?id=1csVtVocDwYktqQHT0X6msdnFWO0-LIeo5Pvful2mYe0&amp;usp=drive_copy" TargetMode="External"/><Relationship Id="rId3591" Type="http://schemas.openxmlformats.org/officeDocument/2006/relationships/hyperlink" Target="https://docs.google.com/open?id=1Q1GNst04UgagLwEZ_7X22Iy2C-TWl4929eYPzA-gvbE" TargetMode="External"/><Relationship Id="rId2193" Type="http://schemas.openxmlformats.org/officeDocument/2006/relationships/hyperlink" Target="https://drive.google.com/open?id=1MrejJrplIKDiOadU5wBIaPWbk_bEaP81_zrIL-04hKQ" TargetMode="External"/><Relationship Id="rId3244" Type="http://schemas.openxmlformats.org/officeDocument/2006/relationships/hyperlink" Target="https://drive.google.com/open?id=11TI1BDEzXRacvim_OptN4swWA3caAZIuUCXrMABeO7I&amp;usp=drive_copy" TargetMode="External"/><Relationship Id="rId3451" Type="http://schemas.openxmlformats.org/officeDocument/2006/relationships/hyperlink" Target="https://docs.google.com/open?id=1FhbQwC2P78N7UvKbbEf4fZtLjUTmB9qkm15EbeT8pGI" TargetMode="External"/><Relationship Id="rId165" Type="http://schemas.openxmlformats.org/officeDocument/2006/relationships/hyperlink" Target="https://docs.google.com/spreadsheets/d/1j7MrwdSrEECtRHzxeftUW1sX2DcvEoz1zQYzxjxQJ60/edit?usp=sharing" TargetMode="External"/><Relationship Id="rId372" Type="http://schemas.openxmlformats.org/officeDocument/2006/relationships/hyperlink" Target="https://drive.google.com/open?id=1C24n51dUAghWME3sjbKXDpU4l0jWyuZ8jJHxjN3_HL0&amp;usp=drive_copy" TargetMode="External"/><Relationship Id="rId2053" Type="http://schemas.openxmlformats.org/officeDocument/2006/relationships/hyperlink" Target="https://drive.google.com/open?id=13QhkliNcfriD2DUW8HuH6dOshknm0I0cqz7sQlTzgmI" TargetMode="External"/><Relationship Id="rId2260" Type="http://schemas.openxmlformats.org/officeDocument/2006/relationships/hyperlink" Target="https://drive.google.com/open?id=1n91_dZnAo6ulbP_WgpTe6DReCHsOLKzA0OoBXB3rE7E&amp;usp=drive_copy" TargetMode="External"/><Relationship Id="rId3104" Type="http://schemas.openxmlformats.org/officeDocument/2006/relationships/hyperlink" Target="https://drive.google.com/open?id=1EWIatL9Gr0INVKf3Rfp92LzAebemE5P8CXHdt_LomZQ&amp;usp=drive_copy" TargetMode="External"/><Relationship Id="rId3311" Type="http://schemas.openxmlformats.org/officeDocument/2006/relationships/hyperlink" Target="https://docs.google.com/open?id=1DR4a8V1eMTqjMyeFxwmA12QFvAEKcMRA5SbChnS7qFo" TargetMode="External"/><Relationship Id="rId232" Type="http://schemas.openxmlformats.org/officeDocument/2006/relationships/hyperlink" Target="https://drive.google.com/open?id=1H_gw3ELahMZC8ASucf06ahSp52mLRSeuzs9WqLHuA2U&amp;usp=drive_copy" TargetMode="External"/><Relationship Id="rId2120" Type="http://schemas.openxmlformats.org/officeDocument/2006/relationships/hyperlink" Target="https://drive.google.com/open?id=1jX14CpXtesjpB5tgFjcb3mrSIbWULZ-AotF87YvuNsY&amp;usp=drive_copy" TargetMode="External"/><Relationship Id="rId1679" Type="http://schemas.openxmlformats.org/officeDocument/2006/relationships/hyperlink" Target="https://docs.google.com/open?id=1xbPBtISoPN6_NSY-RV0ySEF8bvHNKqTyK9jJjp6XIq4" TargetMode="External"/><Relationship Id="rId1886" Type="http://schemas.openxmlformats.org/officeDocument/2006/relationships/hyperlink" Target="https://docs.google.com/spreadsheets/d/1SJRubbY7l7dcgLIMPyI6le2_CBx4wVxVAE2kasxIm9Y" TargetMode="External"/><Relationship Id="rId2937" Type="http://schemas.openxmlformats.org/officeDocument/2006/relationships/hyperlink" Target="https://drive.google.com/open?id=1BsififttxAm_ypQ-el1S57hWPDPtTR2E_7UlI0wFcqY" TargetMode="External"/><Relationship Id="rId909" Type="http://schemas.openxmlformats.org/officeDocument/2006/relationships/hyperlink" Target="https://drive.google.com/open?id=1R4017ykQ6WNTndHZCXTtl5SVSjMK56gg5ppQkqTA2rk" TargetMode="External"/><Relationship Id="rId1539" Type="http://schemas.openxmlformats.org/officeDocument/2006/relationships/hyperlink" Target="https://docs.google.com/open?id=1NxbUGqUHQ99sffyHI8XTxeIxOj9bdrNj1pszEIN-h4M" TargetMode="External"/><Relationship Id="rId1746" Type="http://schemas.openxmlformats.org/officeDocument/2006/relationships/hyperlink" Target="https://docs.google.com/spreadsheets/d/1bX4_htlOqKWKCW9xNvrHrxZSt6oE7Q1X-y9KDW4k49c" TargetMode="External"/><Relationship Id="rId1953" Type="http://schemas.openxmlformats.org/officeDocument/2006/relationships/hyperlink" Target="https://drive.google.com/open?id=1uQ9JHX2PHGbkCLb3Nl-puhFM8TAyzueOIKu5LntVzUM" TargetMode="External"/><Relationship Id="rId38" Type="http://schemas.openxmlformats.org/officeDocument/2006/relationships/hyperlink" Target="https://docs.google.com/spreadsheets/d/1au4oUBz7390z3Tyjuk8uCszWeLXsake_obXyQZLSDm4/edit" TargetMode="External"/><Relationship Id="rId1606" Type="http://schemas.openxmlformats.org/officeDocument/2006/relationships/hyperlink" Target="https://docs.google.com/spreadsheets/d/1ZxFfWGdhDcRY8GbsOm_dVlKVChEi0cduqg1zesDWfpY" TargetMode="External"/><Relationship Id="rId1813" Type="http://schemas.openxmlformats.org/officeDocument/2006/relationships/hyperlink" Target="https://drive.google.com/open?id=1smYlJllyFxSDC7a-ozDjpGG1hoTNBhv6WlntctPNeto" TargetMode="External"/><Relationship Id="rId3778" Type="http://schemas.openxmlformats.org/officeDocument/2006/relationships/hyperlink" Target="https://docs.google.com/spreadsheets/d/1aq8xfzCuk-0oCPc09GmTTT9HuSNJBLDrDEOg5pu7ePw" TargetMode="External"/><Relationship Id="rId699" Type="http://schemas.openxmlformats.org/officeDocument/2006/relationships/hyperlink" Target="https://docs.google.com/open?id=1MCWYAfDexINng7XNBycVpbbjJ4zCkX3Uu46SR1hZ6EI" TargetMode="External"/><Relationship Id="rId2587" Type="http://schemas.openxmlformats.org/officeDocument/2006/relationships/hyperlink" Target="https://docs.google.com/open?id=1svK65Db2XbIZ3EF0tRrXJ89w6jJSrCjc46QLt0pRHA0" TargetMode="External"/><Relationship Id="rId2794" Type="http://schemas.openxmlformats.org/officeDocument/2006/relationships/hyperlink" Target="https://docs.google.com/spreadsheets/d/1GC_-EMnONn18eWpzwximFq5MMWMRoaBXdFM7ruWd1zM" TargetMode="External"/><Relationship Id="rId3638" Type="http://schemas.openxmlformats.org/officeDocument/2006/relationships/hyperlink" Target="https://docs.google.com/spreadsheets/d/1hxBdbZw1SOqEdW8XqmgwKoLwu6HRBvC9xF4jkjV4rDY" TargetMode="External"/><Relationship Id="rId3845" Type="http://schemas.openxmlformats.org/officeDocument/2006/relationships/hyperlink" Target="https://drive.google.com/open?id=1-3JhFXXVW8o5GzX7Ckq7KY5IRx3PBYngosj34uiJd7g" TargetMode="External"/><Relationship Id="rId559" Type="http://schemas.openxmlformats.org/officeDocument/2006/relationships/hyperlink" Target="https://docs.google.com/open?id=1U6kEjj_XDAOLOxEUaZbHGmj3dtJkSYFdJEZp8QL7Rb8" TargetMode="External"/><Relationship Id="rId766" Type="http://schemas.openxmlformats.org/officeDocument/2006/relationships/hyperlink" Target="https://docs.google.com/spreadsheets/d/1cc0nC60HvZT-rjDdC-T_qjGOMNj7qr7Rawn8ISFSPuc" TargetMode="External"/><Relationship Id="rId1189" Type="http://schemas.openxmlformats.org/officeDocument/2006/relationships/hyperlink" Target="https://drive.google.com/open?id=1Yza90-TlvGx99B7AxrZnd8orAhG1q79_xXyht58dmYQ" TargetMode="External"/><Relationship Id="rId1396" Type="http://schemas.openxmlformats.org/officeDocument/2006/relationships/hyperlink" Target="https://drive.google.com/open?id=1ys5ZaRCPKm6HywLUjjjNnUBNtGBYBbvxhUHvFQ4qtXk&amp;usp=drive_copy" TargetMode="External"/><Relationship Id="rId2447" Type="http://schemas.openxmlformats.org/officeDocument/2006/relationships/hyperlink" Target="https://docs.google.com/open?id=1C3gI83EfwjXPAEk1x8HuqsYvPOf-XMjJTPVihXzB3LM" TargetMode="External"/><Relationship Id="rId419" Type="http://schemas.openxmlformats.org/officeDocument/2006/relationships/hyperlink" Target="https://docs.google.com/open?id=1Jeqq8a6eQeAFJgcuEBZmj2cqIC2znoYyZT-OvV39pY4" TargetMode="External"/><Relationship Id="rId626" Type="http://schemas.openxmlformats.org/officeDocument/2006/relationships/hyperlink" Target="https://docs.google.com/spreadsheets/d/17cM9UFvvKqifEPwUjT3QS4xTRbFQ0_UZl_eZ-jq2rzk" TargetMode="External"/><Relationship Id="rId973" Type="http://schemas.openxmlformats.org/officeDocument/2006/relationships/hyperlink" Target="https://drive.google.com/open?id=1SiaExMdZMm1Dni-vyfUNFOrWmmVsozZMLGGJM0q_hnQ" TargetMode="External"/><Relationship Id="rId1049" Type="http://schemas.openxmlformats.org/officeDocument/2006/relationships/hyperlink" Target="https://drive.google.com/open?id=18rIwtIo9dWyf2Ut4Zmza2-vWtmaytdEvRgAiCozJi_0" TargetMode="External"/><Relationship Id="rId1256" Type="http://schemas.openxmlformats.org/officeDocument/2006/relationships/hyperlink" Target="https://drive.google.com/open?id=1cdSuyr-d86iL9kuHtngP0w4g8vgwBdMm9IB2dOWP-_8&amp;usp=drive_copy" TargetMode="External"/><Relationship Id="rId2307" Type="http://schemas.openxmlformats.org/officeDocument/2006/relationships/hyperlink" Target="https://docs.google.com/open?id=1C_1B3o0dG9n_WF4jMaowYgYAN5ikM4iCmm-EnJNp9Tw" TargetMode="External"/><Relationship Id="rId2654" Type="http://schemas.openxmlformats.org/officeDocument/2006/relationships/hyperlink" Target="https://docs.google.com/spreadsheets/d/1AMMlmC4XUlbgzoCrfB4-yxj8d7N3Ikzdi15FYBbxP9g" TargetMode="External"/><Relationship Id="rId2861" Type="http://schemas.openxmlformats.org/officeDocument/2006/relationships/hyperlink" Target="https://drive.google.com/open?id=1Tf3iC2J5EUzrdRnyTeE4mOHjdS3w8bycoFotZrJyjlw" TargetMode="External"/><Relationship Id="rId3705" Type="http://schemas.openxmlformats.org/officeDocument/2006/relationships/hyperlink" Target="https://drive.google.com/open?id=1f6kulBS3UlSu7KAfRoL4VX778WExd9vtP47kwZUsYqE" TargetMode="External"/><Relationship Id="rId3912" Type="http://schemas.openxmlformats.org/officeDocument/2006/relationships/hyperlink" Target="https://drive.google.com/open?id=1-NeEg7nf50XdGCSRBd2N1t-YTNjzk_8fBvgLsdFhFGU&amp;usp=drive_copy" TargetMode="External"/><Relationship Id="rId833" Type="http://schemas.openxmlformats.org/officeDocument/2006/relationships/hyperlink" Target="https://drive.google.com/open?id=1ka_ZCFmubGzHtBlmWPGgs7e1W9kN7l7EMDttPPG5ELc" TargetMode="External"/><Relationship Id="rId1116" Type="http://schemas.openxmlformats.org/officeDocument/2006/relationships/hyperlink" Target="https://drive.google.com/open?id=1I89-ivqqBLTbJ4zIJKYkwfz4sAqagth-EtFVNowz0PU&amp;usp=drive_copy" TargetMode="External"/><Relationship Id="rId1463" Type="http://schemas.openxmlformats.org/officeDocument/2006/relationships/hyperlink" Target="https://docs.google.com/open?id=1v7i39sM4HmRQ9TF48oJ52a8YmotNhL_JjJK8ANwIxqk" TargetMode="External"/><Relationship Id="rId1670" Type="http://schemas.openxmlformats.org/officeDocument/2006/relationships/hyperlink" Target="https://docs.google.com/spreadsheets/d/1sE7EY91rg-Qo4QCzZdiSZxPdIAcvdZwllQsfa9An0Ak" TargetMode="External"/><Relationship Id="rId2514" Type="http://schemas.openxmlformats.org/officeDocument/2006/relationships/hyperlink" Target="https://docs.google.com/spreadsheets/d/1X8M_NgcJludMMtabQT_1et3zj9a_YUYut9f1tLdbY4A" TargetMode="External"/><Relationship Id="rId2721" Type="http://schemas.openxmlformats.org/officeDocument/2006/relationships/hyperlink" Target="https://drive.google.com/open?id=1sUZE1iVKscA9BL-_QSaoErR9lgGkVxkwuC5RyEU0yq8" TargetMode="External"/><Relationship Id="rId900" Type="http://schemas.openxmlformats.org/officeDocument/2006/relationships/hyperlink" Target="https://drive.google.com/open?id=1RZOcSjoSzOkP5YnNlLJv7nXNCo8hhzPRnwl65dW2FXs&amp;usp=drive_copy" TargetMode="External"/><Relationship Id="rId1323" Type="http://schemas.openxmlformats.org/officeDocument/2006/relationships/hyperlink" Target="https://docs.google.com/open?id=1rpP-ND357rpD0yc2zJ0P-_TadzWruVkDytkEfmMJzPE" TargetMode="External"/><Relationship Id="rId1530" Type="http://schemas.openxmlformats.org/officeDocument/2006/relationships/hyperlink" Target="https://docs.google.com/spreadsheets/d/1LqFLZW_eUurmtyfQLOzDSsHx14z9GnlepDz7V4O7uS8" TargetMode="External"/><Relationship Id="rId3288" Type="http://schemas.openxmlformats.org/officeDocument/2006/relationships/hyperlink" Target="https://drive.google.com/open?id=19yc9NmctTc2hyHNhanpq9BxpRXWOynRnf2imPsqdp28&amp;usp=drive_copy" TargetMode="External"/><Relationship Id="rId3495" Type="http://schemas.openxmlformats.org/officeDocument/2006/relationships/hyperlink" Target="https://docs.google.com/open?id=1JzcGtbGzXkzj43IU3jfTpNYbAR-EcA_b2T5o8vdTkeo" TargetMode="External"/><Relationship Id="rId2097" Type="http://schemas.openxmlformats.org/officeDocument/2006/relationships/hyperlink" Target="https://drive.google.com/open?id=1qwXEmEX155112a9wvWtRYTctoBhotoIAq4SwhNWQGq0" TargetMode="External"/><Relationship Id="rId3148" Type="http://schemas.openxmlformats.org/officeDocument/2006/relationships/hyperlink" Target="https://drive.google.com/open?id=1YLlvgfTuo2NZZkChUDmDqRmzzYZIhfhGyz2AW3J3xh4&amp;usp=drive_copy" TargetMode="External"/><Relationship Id="rId3355" Type="http://schemas.openxmlformats.org/officeDocument/2006/relationships/hyperlink" Target="https://docs.google.com/open?id=1Pp1Ghnniuzx4PhOej2_tv5nh-I-KZjV9hK2OKn10D-A" TargetMode="External"/><Relationship Id="rId3562" Type="http://schemas.openxmlformats.org/officeDocument/2006/relationships/hyperlink" Target="https://docs.google.com/spreadsheets/d/1w9UDOhqKhK10CRAoIXE2ha0jsDoUupzOTUA82u2byeU" TargetMode="External"/><Relationship Id="rId276" Type="http://schemas.openxmlformats.org/officeDocument/2006/relationships/hyperlink" Target="https://drive.google.com/open?id=1oXgW9d39z9Ms3zj6EQ_JgQZZGZMYRDeEVH0gGj1xLs8&amp;usp=drive_copy" TargetMode="External"/><Relationship Id="rId483" Type="http://schemas.openxmlformats.org/officeDocument/2006/relationships/hyperlink" Target="https://docs.google.com/open?id=1wMQbr05_r-X4uMyVsKJ8Ibj2ZQrvi7zlSBHbrv_H3VM" TargetMode="External"/><Relationship Id="rId690" Type="http://schemas.openxmlformats.org/officeDocument/2006/relationships/hyperlink" Target="https://docs.google.com/spreadsheets/d/1JnDnaAKndNVUL00xE3ufawSO5PejocdvIEdEQHCKQlw" TargetMode="External"/><Relationship Id="rId2164" Type="http://schemas.openxmlformats.org/officeDocument/2006/relationships/hyperlink" Target="https://drive.google.com/open?id=1kiSshQuQgpKyFFh5lh66q67s7KCAJ3wlZ5vtWI0lHcg&amp;usp=drive_copy" TargetMode="External"/><Relationship Id="rId2371" Type="http://schemas.openxmlformats.org/officeDocument/2006/relationships/hyperlink" Target="https://docs.google.com/open?id=1CNO3FmxgKA-FxJwmkspUa5fYz5eQrg3bHmt3-wYfS2w" TargetMode="External"/><Relationship Id="rId3008" Type="http://schemas.openxmlformats.org/officeDocument/2006/relationships/hyperlink" Target="https://drive.google.com/open?id=1uFFREyj9FnrBR7QtVPEqYaXaViO_p0eGWshC7pUa8sY&amp;usp=drive_copy" TargetMode="External"/><Relationship Id="rId3215" Type="http://schemas.openxmlformats.org/officeDocument/2006/relationships/hyperlink" Target="https://docs.google.com/open?id=1tHtlj7siaMRBFfV83T5Uls4JNBSa964qoiCMchp-Uzs" TargetMode="External"/><Relationship Id="rId3422" Type="http://schemas.openxmlformats.org/officeDocument/2006/relationships/hyperlink" Target="https://docs.google.com/spreadsheets/d/1wvernDXmT_2VrScpmuBFFqYiEp5inaacKpnz9OgbA7c" TargetMode="External"/><Relationship Id="rId136" Type="http://schemas.openxmlformats.org/officeDocument/2006/relationships/hyperlink" Target="https://docs.google.com/spreadsheets/d/1OWG1BeOI8lxmu5iERIoMZTenARVLf4fLsCsp-eie52s/edit" TargetMode="External"/><Relationship Id="rId343" Type="http://schemas.openxmlformats.org/officeDocument/2006/relationships/hyperlink" Target="https://docs.google.com/open?id=1405VFsE3hMwXuAmtEkcu630yJ7nxerAMrCTp5RKAzMc" TargetMode="External"/><Relationship Id="rId550" Type="http://schemas.openxmlformats.org/officeDocument/2006/relationships/hyperlink" Target="https://docs.google.com/spreadsheets/d/1RCIJO0JhFeMMnnju70d3As6zQjRA7MVNAIpbilwf-fg" TargetMode="External"/><Relationship Id="rId1180" Type="http://schemas.openxmlformats.org/officeDocument/2006/relationships/hyperlink" Target="https://drive.google.com/open?id=1RF_SaQ8OXRxtpMgTxwUdfOuwgKhTzVvKcjdfy5a-Q0o&amp;usp=drive_copy" TargetMode="External"/><Relationship Id="rId2024" Type="http://schemas.openxmlformats.org/officeDocument/2006/relationships/hyperlink" Target="https://drive.google.com/open?id=1sGrah5s8iEACXhZq_fvr19mWahjeuT0zh2ZVftcP-3k&amp;usp=drive_copy" TargetMode="External"/><Relationship Id="rId2231" Type="http://schemas.openxmlformats.org/officeDocument/2006/relationships/hyperlink" Target="https://docs.google.com/open?id=1NPdAmiUllW4QQdU323H-amB3GiuTrLbw65BFi1EUbw8" TargetMode="External"/><Relationship Id="rId203" Type="http://schemas.openxmlformats.org/officeDocument/2006/relationships/hyperlink" Target="https://docs.google.com/spreadsheets/d/1gZ5dijV7J-SO8JaIDXQwuhoyxd7N0m6xVceIV7hOjaM/edit?usp=sharing" TargetMode="External"/><Relationship Id="rId1040" Type="http://schemas.openxmlformats.org/officeDocument/2006/relationships/hyperlink" Target="https://drive.google.com/open?id=13YSRYTciJoU95rV7WBPkBKL52TKOuw2safWr01Df0-g&amp;usp=drive_copy" TargetMode="External"/><Relationship Id="rId410" Type="http://schemas.openxmlformats.org/officeDocument/2006/relationships/hyperlink" Target="https://docs.google.com/spreadsheets/d/1J3U-LaPM34_WDdgxDeVoMfwJHY-BdwXO6cpgiOzNGZM" TargetMode="External"/><Relationship Id="rId1997" Type="http://schemas.openxmlformats.org/officeDocument/2006/relationships/hyperlink" Target="https://drive.google.com/open?id=1fRTVWq5RsLQHXiDjB1uhc_0c6GRGIzAkt24qjlxFN5o" TargetMode="External"/><Relationship Id="rId1857" Type="http://schemas.openxmlformats.org/officeDocument/2006/relationships/hyperlink" Target="https://drive.google.com/open?id=1X90azS6cpnwgPxZJZSS908nJMF-RJqkzZQmRNM-GSzU" TargetMode="External"/><Relationship Id="rId2908" Type="http://schemas.openxmlformats.org/officeDocument/2006/relationships/hyperlink" Target="https://drive.google.com/open?id=1wVihCEqK9oub6pMR7JEDElWSDWyEFx1YWo0ARiyhgcc&amp;usp=drive_copy" TargetMode="External"/><Relationship Id="rId1717" Type="http://schemas.openxmlformats.org/officeDocument/2006/relationships/hyperlink" Target="https://drive.google.com/open?id=1jrewA50US-kcfwsHtGixg5WmlbNYmireP83_lqHx9qo" TargetMode="External"/><Relationship Id="rId1924" Type="http://schemas.openxmlformats.org/officeDocument/2006/relationships/hyperlink" Target="https://drive.google.com/open?id=1MjSJ48VsUvAW9wEYhku_bTzxlU7EC2eYH8buDy7GMn0&amp;usp=drive_copy" TargetMode="External"/><Relationship Id="rId3072" Type="http://schemas.openxmlformats.org/officeDocument/2006/relationships/hyperlink" Target="https://drive.google.com/open?id=19hwfWzDWGGP-vUtMI-Akz-XGqskRXgTxSNYezb8qyXY&amp;usp=drive_copy" TargetMode="External"/><Relationship Id="rId3889" Type="http://schemas.openxmlformats.org/officeDocument/2006/relationships/hyperlink" Target="https://drive.google.com/open?id=19Ot4b1Pasvdp7KssnBJ3memm5REKtMdFm0X5sc7j1m0" TargetMode="External"/><Relationship Id="rId2698" Type="http://schemas.openxmlformats.org/officeDocument/2006/relationships/hyperlink" Target="https://docs.google.com/spreadsheets/d/1Ktsuh0-AFhJe76t0Pi334cE3ekohdRbPx2bysuw-sG4" TargetMode="External"/><Relationship Id="rId3749" Type="http://schemas.openxmlformats.org/officeDocument/2006/relationships/hyperlink" Target="https://drive.google.com/open?id=1anp0yAtCtObdnSGDXQSTByktqscnJWT4UdCOFYZgV7A" TargetMode="External"/><Relationship Id="rId877" Type="http://schemas.openxmlformats.org/officeDocument/2006/relationships/hyperlink" Target="https://drive.google.com/open?id=1cTg3xUvhDaFWyE5aoIHPvBLFjFcxxdD2oEMDUw3CaVY" TargetMode="External"/><Relationship Id="rId2558" Type="http://schemas.openxmlformats.org/officeDocument/2006/relationships/hyperlink" Target="https://docs.google.com/spreadsheets/d/1kEC64J6e8Q_50XIjvhn6Wp-Fcg0WzH9a4oBMGplL_Cc" TargetMode="External"/><Relationship Id="rId2765" Type="http://schemas.openxmlformats.org/officeDocument/2006/relationships/hyperlink" Target="https://drive.google.com/open?id=1YELInT8SSBdYpiVlIAGwh7WCJDvXKgQuw-Jk_gt43w8" TargetMode="External"/><Relationship Id="rId2972" Type="http://schemas.openxmlformats.org/officeDocument/2006/relationships/hyperlink" Target="https://drive.google.com/open?id=1bpanpWhQGFeHYhtox_A-JZcht_rFGNVfcwih-ljQgW8&amp;usp=drive_copy" TargetMode="External"/><Relationship Id="rId3609" Type="http://schemas.openxmlformats.org/officeDocument/2006/relationships/hyperlink" Target="https://drive.google.com/open?id=1rUbnpZRlk35FQfy_BzYps7EJWLC6LQvmPDViGnVO1A8" TargetMode="External"/><Relationship Id="rId3816" Type="http://schemas.openxmlformats.org/officeDocument/2006/relationships/hyperlink" Target="https://drive.google.com/open?id=1onvwJOD3spBRN2COXsvyKzx5dTdKAme7H2G7ceBgQMs&amp;usp=drive_copy" TargetMode="External"/><Relationship Id="rId737" Type="http://schemas.openxmlformats.org/officeDocument/2006/relationships/hyperlink" Target="https://drive.google.com/open?id=188gvfRHY-Lhh0buPxNcpokgAmKt2u7SV1hIsUVuVCrQ" TargetMode="External"/><Relationship Id="rId944" Type="http://schemas.openxmlformats.org/officeDocument/2006/relationships/hyperlink" Target="https://drive.google.com/open?id=1nrzWTiKA9ldC2FGpwiAyr3risojtNYjoRHz63RvDSfg&amp;usp=drive_copy" TargetMode="External"/><Relationship Id="rId1367" Type="http://schemas.openxmlformats.org/officeDocument/2006/relationships/hyperlink" Target="https://docs.google.com/open?id=1MInGZBbEGIdR7hK4Xqu5znda_M1zVfDLfM5KQzwIRqI" TargetMode="External"/><Relationship Id="rId1574" Type="http://schemas.openxmlformats.org/officeDocument/2006/relationships/hyperlink" Target="https://docs.google.com/spreadsheets/d/1yhh5SIiKlDKerXM1zWFx3u6bfsWibIKjK8yjZy5wBwI" TargetMode="External"/><Relationship Id="rId1781" Type="http://schemas.openxmlformats.org/officeDocument/2006/relationships/hyperlink" Target="https://drive.google.com/open?id=1vf9IH1TNEzD_gmwTsqRsxcuNdYEbaq1G0-xDRGPnyqs" TargetMode="External"/><Relationship Id="rId2418" Type="http://schemas.openxmlformats.org/officeDocument/2006/relationships/hyperlink" Target="https://docs.google.com/spreadsheets/d/1Dk6MbPFSP5TugVSenmzuxwYGZyOxYX3l8PUwjiX__Es" TargetMode="External"/><Relationship Id="rId2625" Type="http://schemas.openxmlformats.org/officeDocument/2006/relationships/hyperlink" Target="https://drive.google.com/open?id=13_dDIvMy9lHcIsdHvdy4RDWKzFPH6Hgs4rKd7TyzFl8" TargetMode="External"/><Relationship Id="rId2832" Type="http://schemas.openxmlformats.org/officeDocument/2006/relationships/hyperlink" Target="https://drive.google.com/open?id=1G3KXYnyJg44v2A7MN_5-eQd0dGuxRhmYMgUmmWZ61zw&amp;usp=drive_copy" TargetMode="External"/><Relationship Id="rId73" Type="http://schemas.openxmlformats.org/officeDocument/2006/relationships/hyperlink" Target="https://docs.google.com/spreadsheets/d/1soxDTyCIvMXeAcorKNFbzHABCx_PqNab5bzfGd-64A4/edit?usp=sharing" TargetMode="External"/><Relationship Id="rId804" Type="http://schemas.openxmlformats.org/officeDocument/2006/relationships/hyperlink" Target="https://drive.google.com/open?id=1jQ-7c5ERC3tXeayZb7oi74uqtsIppLSQRPAb2tzZs38&amp;usp=drive_copy" TargetMode="External"/><Relationship Id="rId1227" Type="http://schemas.openxmlformats.org/officeDocument/2006/relationships/hyperlink" Target="https://docs.google.com/open?id=1OFeUEHRjAsBnku94OcZF75jRFJ9XV4JaanumlcjbimY" TargetMode="External"/><Relationship Id="rId1434" Type="http://schemas.openxmlformats.org/officeDocument/2006/relationships/hyperlink" Target="https://docs.google.com/spreadsheets/d/1mZWWVltoMCDTOP9Wgo01tGmHcxLtDX60eDtdD9dKRoI" TargetMode="External"/><Relationship Id="rId1641" Type="http://schemas.openxmlformats.org/officeDocument/2006/relationships/hyperlink" Target="https://drive.google.com/open?id=15NnHwZNtdLvNa8kYHxaRq_aLhBMi5k1IUcV6fQmrbuw" TargetMode="External"/><Relationship Id="rId1501" Type="http://schemas.openxmlformats.org/officeDocument/2006/relationships/hyperlink" Target="https://drive.google.com/open?id=1512O-Mm7NdBhYen1YMEKrCEvruG_laGphSRrGhqy61k" TargetMode="External"/><Relationship Id="rId3399" Type="http://schemas.openxmlformats.org/officeDocument/2006/relationships/hyperlink" Target="https://docs.google.com/open?id=1pCy-7uCgNB6oTZL8D5rl2sClI77OeSEC0-Gmapc316U" TargetMode="External"/><Relationship Id="rId3259" Type="http://schemas.openxmlformats.org/officeDocument/2006/relationships/hyperlink" Target="https://docs.google.com/open?id=14K4vBGbEPLrpjqxWuBqkMZisO1QpDOqeoS-1ntR6goM" TargetMode="External"/><Relationship Id="rId3466" Type="http://schemas.openxmlformats.org/officeDocument/2006/relationships/hyperlink" Target="https://docs.google.com/spreadsheets/d/1MKr_jjc4GXU_Zmbncl1XMESpZh3TKe1CYRcrgEzOrc4" TargetMode="External"/><Relationship Id="rId387" Type="http://schemas.openxmlformats.org/officeDocument/2006/relationships/hyperlink" Target="https://docs.google.com/open?id=1GHnXCx0LnJC_JIy1DlN9P9EQpaEVohRuYPHdak8VkZg" TargetMode="External"/><Relationship Id="rId594" Type="http://schemas.openxmlformats.org/officeDocument/2006/relationships/hyperlink" Target="https://docs.google.com/spreadsheets/d/1zBfcx0TdF003nr_rzPiSnZ4drRXMsiwquWfhrFJ0A54" TargetMode="External"/><Relationship Id="rId2068" Type="http://schemas.openxmlformats.org/officeDocument/2006/relationships/hyperlink" Target="https://drive.google.com/open?id=1kFh-M-hT8ij3Uec8M8S6NZ1xdxzBrB7XYxkvhSPqxGU&amp;usp=drive_copy" TargetMode="External"/><Relationship Id="rId2275" Type="http://schemas.openxmlformats.org/officeDocument/2006/relationships/hyperlink" Target="https://docs.google.com/open?id=13IXO_KWsN44UjR6jYAwOApXIcPgtchZKHLzXZN49ktc" TargetMode="External"/><Relationship Id="rId3119" Type="http://schemas.openxmlformats.org/officeDocument/2006/relationships/hyperlink" Target="https://docs.google.com/open?id=1I-vxLIVYfSOUtjQO7TMvGR1QBJWchh0c21ssBEdTrhY" TargetMode="External"/><Relationship Id="rId3326" Type="http://schemas.openxmlformats.org/officeDocument/2006/relationships/hyperlink" Target="https://docs.google.com/spreadsheets/d/1Hv6VNG6hlABhvRK5K9_0ZFagpo-NXNhJcAbMzbVL--Q" TargetMode="External"/><Relationship Id="rId3673" Type="http://schemas.openxmlformats.org/officeDocument/2006/relationships/hyperlink" Target="https://drive.google.com/open?id=1QmUi7ARVrPxxYYnSt19fF4Ks8563tp3d8KxOA8uZSgY" TargetMode="External"/><Relationship Id="rId3880" Type="http://schemas.openxmlformats.org/officeDocument/2006/relationships/hyperlink" Target="https://drive.google.com/open?id=1tIX7CR72CMcniyd5f-f6DZd34NVygmN7eq59zwbplgE&amp;usp=drive_copy" TargetMode="External"/><Relationship Id="rId247" Type="http://schemas.openxmlformats.org/officeDocument/2006/relationships/hyperlink" Target="https://docs.google.com/open?id=1NvyKEQQLihaYxVjpQNCskWiifuJhyRv3QMxhWIGQhFs" TargetMode="External"/><Relationship Id="rId1084" Type="http://schemas.openxmlformats.org/officeDocument/2006/relationships/hyperlink" Target="https://drive.google.com/open?id=1hbdePgcJfxdYIbmmQCKGKTkR0b1h2YZSc_zXl86g_VA&amp;usp=drive_copy" TargetMode="External"/><Relationship Id="rId2482" Type="http://schemas.openxmlformats.org/officeDocument/2006/relationships/hyperlink" Target="https://docs.google.com/spreadsheets/d/1mOXbF6yfi6oNvpmZMbJmkg3T_Qp9tOva4cXGq7N9gM0" TargetMode="External"/><Relationship Id="rId3533" Type="http://schemas.openxmlformats.org/officeDocument/2006/relationships/hyperlink" Target="https://drive.google.com/open?id=1gnt4AFyXmaaRGzayHdK0_PmNalG3gRic42cC1r0nYrw" TargetMode="External"/><Relationship Id="rId3740" Type="http://schemas.openxmlformats.org/officeDocument/2006/relationships/hyperlink" Target="https://drive.google.com/open?id=1YiQnxI8HHD64PfzhO12VtbZTG1UoHBp5aEZ0BAgKhJM&amp;usp=drive_copy" TargetMode="External"/><Relationship Id="rId107" Type="http://schemas.openxmlformats.org/officeDocument/2006/relationships/hyperlink" Target="https://docs.google.com/spreadsheets/d/1tKqM1aTzQ7I8f6ncwehNxorI4OL67nR-0cPcq9IEHZE/edit?usp=sharing" TargetMode="External"/><Relationship Id="rId454" Type="http://schemas.openxmlformats.org/officeDocument/2006/relationships/hyperlink" Target="https://docs.google.com/spreadsheets/d/1l_3BOphgSKiWS005QTyeceTwr4E4b1r5573yNsuQWMQ" TargetMode="External"/><Relationship Id="rId661" Type="http://schemas.openxmlformats.org/officeDocument/2006/relationships/hyperlink" Target="https://drive.google.com/open?id=1FKcQjqLinauzehbSGs5V555Y3ChiwhHP6O0KoyrfEzg" TargetMode="External"/><Relationship Id="rId1291" Type="http://schemas.openxmlformats.org/officeDocument/2006/relationships/hyperlink" Target="https://docs.google.com/open?id=1O0M1GF9FrEXr-6GoeB3fHoQbQ_QU62b75nZ_eZovKBM" TargetMode="External"/><Relationship Id="rId2135" Type="http://schemas.openxmlformats.org/officeDocument/2006/relationships/hyperlink" Target="https://docs.google.com/open?id=1U9IhFiWSDuBKDWs_Q35FSL0yDRfuP0oq7UOlt7OUh4Y" TargetMode="External"/><Relationship Id="rId2342" Type="http://schemas.openxmlformats.org/officeDocument/2006/relationships/hyperlink" Target="https://docs.google.com/spreadsheets/d/1LVR1aPL1dAq6g8CXTg-Gmkmx3cph1OJTlXvJQKr4mBc" TargetMode="External"/><Relationship Id="rId3600" Type="http://schemas.openxmlformats.org/officeDocument/2006/relationships/hyperlink" Target="https://drive.google.com/open?id=17eY4nROJpGsjg1W4voKbNn6KA0Puob4BAm6FRBK5jPQ&amp;usp=drive_copy" TargetMode="External"/><Relationship Id="rId314" Type="http://schemas.openxmlformats.org/officeDocument/2006/relationships/hyperlink" Target="https://docs.google.com/spreadsheets/d/11OokbP0EVmmdg1_tOqNaSEJC7nRHVLe4ULP8VTkxO2s" TargetMode="External"/><Relationship Id="rId521" Type="http://schemas.openxmlformats.org/officeDocument/2006/relationships/hyperlink" Target="https://drive.google.com/open?id=1qTpeEQnt9Rpk-icmqGc9J1CNga9ryRfyiIzmEt_-ehQ" TargetMode="External"/><Relationship Id="rId1151" Type="http://schemas.openxmlformats.org/officeDocument/2006/relationships/hyperlink" Target="https://docs.google.com/open?id=1TkzLHbzxcPVx537kBW55zEu46XLYU1_bQM6apZhoGo0" TargetMode="External"/><Relationship Id="rId2202" Type="http://schemas.openxmlformats.org/officeDocument/2006/relationships/hyperlink" Target="https://docs.google.com/spreadsheets/d/19HroPzzkmiZzm6tC2ANSMFbNSMSMb2EabDKeadenDbk" TargetMode="External"/><Relationship Id="rId1011" Type="http://schemas.openxmlformats.org/officeDocument/2006/relationships/hyperlink" Target="https://docs.google.com/open?id=1ebORm7--zDvIm4NamzjuPjOtUBAx5tZHACLcjK5Mq_c" TargetMode="External"/><Relationship Id="rId1968" Type="http://schemas.openxmlformats.org/officeDocument/2006/relationships/hyperlink" Target="https://drive.google.com/open?id=1W_GCuGDf3OciGTTLCGHtEvG_4wtDNIC5o7RV4Jfcpwo&amp;usp=drive_copy" TargetMode="External"/><Relationship Id="rId3183" Type="http://schemas.openxmlformats.org/officeDocument/2006/relationships/hyperlink" Target="https://docs.google.com/open?id=1iN8V6kILDpCOAUTUiY2gurcNtfqAKQwFaAYU2_j8xT0" TargetMode="External"/><Relationship Id="rId3390" Type="http://schemas.openxmlformats.org/officeDocument/2006/relationships/hyperlink" Target="https://docs.google.com/spreadsheets/d/1itD7aYIfVoWMXwLix1VKtMaA65kphtZ6BmVMI3St-lw" TargetMode="External"/><Relationship Id="rId1828" Type="http://schemas.openxmlformats.org/officeDocument/2006/relationships/hyperlink" Target="https://drive.google.com/open?id=1r0A6VMUoBMQJDedztgn_IFmMNa1pB1E05khPQfRylQg&amp;usp=drive_copy" TargetMode="External"/><Relationship Id="rId3043" Type="http://schemas.openxmlformats.org/officeDocument/2006/relationships/hyperlink" Target="https://docs.google.com/open?id=11t1VkjBTaaNK_NdHKhawvQy0Rc9JhsgVEhXgftGm1Gs" TargetMode="External"/><Relationship Id="rId3250" Type="http://schemas.openxmlformats.org/officeDocument/2006/relationships/hyperlink" Target="https://docs.google.com/spreadsheets/d/13-y3TpYrrZJJ7orHEn9uXCsg4-o-JqqAhQi_QGT_m3E" TargetMode="External"/><Relationship Id="rId171" Type="http://schemas.openxmlformats.org/officeDocument/2006/relationships/hyperlink" Target="https://docs.google.com/spreadsheets/d/19a6MLDT0T9oizOnHoKcL7zlSLysVXV1SXIb-xwMsOyA/edit?usp=sharing" TargetMode="External"/><Relationship Id="rId3110" Type="http://schemas.openxmlformats.org/officeDocument/2006/relationships/hyperlink" Target="https://docs.google.com/spreadsheets/d/1EynSOIKAIklDQNjxGcPnGAPAUZF6_G6cclZscB0oF1U" TargetMode="External"/><Relationship Id="rId988" Type="http://schemas.openxmlformats.org/officeDocument/2006/relationships/hyperlink" Target="https://drive.google.com/open?id=1TkTdkXWko63gVKw4ClRaliysr9nonpq8lJ-_glqYxpw&amp;usp=drive_copy" TargetMode="External"/><Relationship Id="rId2669" Type="http://schemas.openxmlformats.org/officeDocument/2006/relationships/hyperlink" Target="https://drive.google.com/open?id=1BVoWdQ2_uJwzb3-CirTDWlgBmzRuFF7_AsHqaYNzYN4" TargetMode="External"/><Relationship Id="rId2876" Type="http://schemas.openxmlformats.org/officeDocument/2006/relationships/hyperlink" Target="https://drive.google.com/open?id=1G-Zc5IrYQz-VrfEhSe6--V8Yphx_t3cxSHKSIoM3Bew&amp;usp=drive_copy" TargetMode="External"/><Relationship Id="rId3927" Type="http://schemas.openxmlformats.org/officeDocument/2006/relationships/hyperlink" Target="https://docs.google.com/open?id=1hG1xZfWvrLZrkcDwtWpawuKV1-9Ijm0-E07otJ8fKBM" TargetMode="External"/><Relationship Id="rId848" Type="http://schemas.openxmlformats.org/officeDocument/2006/relationships/hyperlink" Target="https://drive.google.com/open?id=1uCWinIH6cUW37QtJa6uHlsqiOk-vPNUym53_dbWCAU0&amp;usp=drive_copy" TargetMode="External"/><Relationship Id="rId1478" Type="http://schemas.openxmlformats.org/officeDocument/2006/relationships/hyperlink" Target="https://docs.google.com/spreadsheets/d/1-wiyawIb7nuGz3R72e-F5f_5y2rnpSuziq4huDcp1LM" TargetMode="External"/><Relationship Id="rId1685" Type="http://schemas.openxmlformats.org/officeDocument/2006/relationships/hyperlink" Target="https://drive.google.com/open?id=1ApGxdJkropQH9b8abbEd0uNMhS1VXb_hUEjifOTPkIA" TargetMode="External"/><Relationship Id="rId1892" Type="http://schemas.openxmlformats.org/officeDocument/2006/relationships/hyperlink" Target="https://drive.google.com/open?id=1_R9CcLA2GK7WTSR8APk-IirV2HdC0YNkGn50tPgK0zM&amp;usp=drive_copy" TargetMode="External"/><Relationship Id="rId2529" Type="http://schemas.openxmlformats.org/officeDocument/2006/relationships/hyperlink" Target="https://drive.google.com/open?id=1djoBP-C5Fs3sKkR7aWKGCf9uZIcsDwipHMLKjW05Svc" TargetMode="External"/><Relationship Id="rId2736" Type="http://schemas.openxmlformats.org/officeDocument/2006/relationships/hyperlink" Target="https://drive.google.com/open?id=1mWO9AEmxDWm4C2TVAo3lPzikYlFfBhdHUKgdSFb8h0Q&amp;usp=drive_copy" TargetMode="External"/><Relationship Id="rId708" Type="http://schemas.openxmlformats.org/officeDocument/2006/relationships/hyperlink" Target="https://drive.google.com/open?id=1PixfsHZVJl09BlpcNdPDbSD8Y5E_kr-Y5Y90OrRDYIM&amp;usp=drive_copy" TargetMode="External"/><Relationship Id="rId915" Type="http://schemas.openxmlformats.org/officeDocument/2006/relationships/hyperlink" Target="https://docs.google.com/open?id=1SvSKL8C75JPtL2AI67EGw9NrRz_8DeCqmRflP63W0HA" TargetMode="External"/><Relationship Id="rId1338" Type="http://schemas.openxmlformats.org/officeDocument/2006/relationships/hyperlink" Target="https://docs.google.com/spreadsheets/d/12cA8Txyp_qghhbZdtTjjNkmHKNSNteiz8CmQZXQJy0I" TargetMode="External"/><Relationship Id="rId1545" Type="http://schemas.openxmlformats.org/officeDocument/2006/relationships/hyperlink" Target="https://drive.google.com/open?id=1BT3Cr_bOgCcUIpFKA8cfAA6l2-W-iDo-74bMGE3VfTI" TargetMode="External"/><Relationship Id="rId2943" Type="http://schemas.openxmlformats.org/officeDocument/2006/relationships/hyperlink" Target="https://docs.google.com/open?id=1J6vl1p7n0dc6Vxyb1AHnQXuduAlQzZ3KkmYCrMsBpXQ" TargetMode="External"/><Relationship Id="rId1405" Type="http://schemas.openxmlformats.org/officeDocument/2006/relationships/hyperlink" Target="https://drive.google.com/open?id=19qXGdILdbc4JDL36_zxPHLRf6R1RvVAhAa_2WkiReZs" TargetMode="External"/><Relationship Id="rId1752" Type="http://schemas.openxmlformats.org/officeDocument/2006/relationships/hyperlink" Target="https://drive.google.com/open?id=1KyEd3_sAVEYlbG-CIYysI3kHDN81hVIDDGJ993q-O0w&amp;usp=drive_copy" TargetMode="External"/><Relationship Id="rId2803" Type="http://schemas.openxmlformats.org/officeDocument/2006/relationships/hyperlink" Target="https://docs.google.com/open?id=1AeBKCKz-zhMs5sPCu1DXxWnQsuZktwqEOljwcYK7n6Y" TargetMode="External"/><Relationship Id="rId44" Type="http://schemas.openxmlformats.org/officeDocument/2006/relationships/hyperlink" Target="https://docs.google.com/spreadsheets/d/13uvT7ht--uG714ac0UvaWP3zdnRerv07KIfGV_DeuiI/edit" TargetMode="External"/><Relationship Id="rId1612" Type="http://schemas.openxmlformats.org/officeDocument/2006/relationships/hyperlink" Target="https://drive.google.com/open?id=1hOkzqveopZKmXwhuw5dIbaF0tXxatRAlQ7MbuFCOcf8&amp;usp=drive_copy" TargetMode="External"/><Relationship Id="rId498" Type="http://schemas.openxmlformats.org/officeDocument/2006/relationships/hyperlink" Target="https://docs.google.com/spreadsheets/d/1ACl9i5ZG6F4mvLHP2SlwmLtMsamk9D5X0Ge7b1sU7YA" TargetMode="External"/><Relationship Id="rId2179" Type="http://schemas.openxmlformats.org/officeDocument/2006/relationships/hyperlink" Target="https://docs.google.com/open?id=1vJQhAHyCp0iYVhrC3FVecoPao5DKZVbzYlR0rdC8mug" TargetMode="External"/><Relationship Id="rId3577" Type="http://schemas.openxmlformats.org/officeDocument/2006/relationships/hyperlink" Target="https://drive.google.com/open?id=1hxDcUiR2_OPCKIaNZNICweaP8lJDq3LaLREI0EBTJ2Q" TargetMode="External"/><Relationship Id="rId3784" Type="http://schemas.openxmlformats.org/officeDocument/2006/relationships/hyperlink" Target="https://drive.google.com/open?id=1hSjaegjwgA5As4lWIB31isr_ZX9MuwX0cOsIM01X-jE&amp;usp=drive_copy" TargetMode="External"/><Relationship Id="rId2386" Type="http://schemas.openxmlformats.org/officeDocument/2006/relationships/hyperlink" Target="https://docs.google.com/spreadsheets/d/1UBvQoTk4qsIOAJkXVur7USHEjzssCdKMaKqRNrM7BH4" TargetMode="External"/><Relationship Id="rId2593" Type="http://schemas.openxmlformats.org/officeDocument/2006/relationships/hyperlink" Target="https://drive.google.com/open?id=1tLi36uvDnmqVH9TgaKuWyJvfbnSO90v1Rz6oqz_1QoQ" TargetMode="External"/><Relationship Id="rId3437" Type="http://schemas.openxmlformats.org/officeDocument/2006/relationships/hyperlink" Target="https://drive.google.com/open?id=180j7fWgZqA8Otl5yj05uFReYYKDtMlv7iRwSqorboWY" TargetMode="External"/><Relationship Id="rId3644" Type="http://schemas.openxmlformats.org/officeDocument/2006/relationships/hyperlink" Target="https://drive.google.com/open?id=1kPFo6TDQXKDGPrteAimylU3WQsHgpnNz-WLO3fkIkUQ&amp;usp=drive_copy" TargetMode="External"/><Relationship Id="rId3851" Type="http://schemas.openxmlformats.org/officeDocument/2006/relationships/hyperlink" Target="https://docs.google.com/open?id=14-ELN3Sjstb2CkWNCRw-Esf0MIX4Psi8NCb19ohiuaA" TargetMode="External"/><Relationship Id="rId358" Type="http://schemas.openxmlformats.org/officeDocument/2006/relationships/hyperlink" Target="https://docs.google.com/spreadsheets/d/19qRxJrRdMxgahbGiT62u8qqWoDDxayy1xn4upAopWXI" TargetMode="External"/><Relationship Id="rId565" Type="http://schemas.openxmlformats.org/officeDocument/2006/relationships/hyperlink" Target="https://drive.google.com/open?id=1hxgCjtNItbqkal9qqShLMIuRhyyoRk3nsd0Rq4-wTAg" TargetMode="External"/><Relationship Id="rId772" Type="http://schemas.openxmlformats.org/officeDocument/2006/relationships/hyperlink" Target="https://drive.google.com/open?id=1fBKYLNch64XfKPNXo0qRVwGAGElTRl-N1CHAUKreBvs&amp;usp=drive_copy" TargetMode="External"/><Relationship Id="rId1195" Type="http://schemas.openxmlformats.org/officeDocument/2006/relationships/hyperlink" Target="https://docs.google.com/open?id=1ZGcE8KqSeQF0J6zfp80i1TrHAoE3eFk8gtM375IcFOY" TargetMode="External"/><Relationship Id="rId2039" Type="http://schemas.openxmlformats.org/officeDocument/2006/relationships/hyperlink" Target="https://docs.google.com/open?id=1biTi2ymlkV4x9dXvw9oFu6Sw05uBhDTp5wXV7PymxRg" TargetMode="External"/><Relationship Id="rId2246" Type="http://schemas.openxmlformats.org/officeDocument/2006/relationships/hyperlink" Target="https://docs.google.com/spreadsheets/d/12ujRKi24oY7vpetZfrmCx5t98Ak9onutT0BxpFD2NXc" TargetMode="External"/><Relationship Id="rId2453" Type="http://schemas.openxmlformats.org/officeDocument/2006/relationships/hyperlink" Target="https://drive.google.com/open?id=1HWdETOZ0jWL3Cc2-y4iSvi5auBhr3Il96oHeeQjnPlA" TargetMode="External"/><Relationship Id="rId2660" Type="http://schemas.openxmlformats.org/officeDocument/2006/relationships/hyperlink" Target="https://drive.google.com/open?id=1AWtI7U2uCWMuOTWPTlQF3GEjxY7KA63HBrN6l_3QpVM&amp;usp=drive_copy" TargetMode="External"/><Relationship Id="rId3504" Type="http://schemas.openxmlformats.org/officeDocument/2006/relationships/hyperlink" Target="https://drive.google.com/open?id=1prdDQAHRhsCE7UAcoNvSUPgG37gcwChHioujJD2Xbe0&amp;usp=drive_copy" TargetMode="External"/><Relationship Id="rId3711" Type="http://schemas.openxmlformats.org/officeDocument/2006/relationships/hyperlink" Target="https://docs.google.com/open?id=1y9Lgqg477ZAdlL1jQZOz5i-QPCgso97UZOvDZhm0aMg" TargetMode="External"/><Relationship Id="rId218" Type="http://schemas.openxmlformats.org/officeDocument/2006/relationships/hyperlink" Target="https://docs.google.com/spreadsheets/d/14pItguOYIocttyz_yNgnWkgesemJTUOAstLF0YQIWsE" TargetMode="External"/><Relationship Id="rId425" Type="http://schemas.openxmlformats.org/officeDocument/2006/relationships/hyperlink" Target="https://drive.google.com/open?id=1JrvEcBNIHds45QH3qMfqRQ_H-9ayBh5To_hJDicSlVE" TargetMode="External"/><Relationship Id="rId632" Type="http://schemas.openxmlformats.org/officeDocument/2006/relationships/hyperlink" Target="https://drive.google.com/open?id=1lXklUJsSnA574n7icEVg2jxAsHLjkjQB2oPSXbLFI80&amp;usp=drive_copy" TargetMode="External"/><Relationship Id="rId1055" Type="http://schemas.openxmlformats.org/officeDocument/2006/relationships/hyperlink" Target="https://docs.google.com/open?id=1ntJt78MMO8tHEAJei-fcRgs7q9llWOt0MnI-NMC4PjA" TargetMode="External"/><Relationship Id="rId1262" Type="http://schemas.openxmlformats.org/officeDocument/2006/relationships/hyperlink" Target="https://docs.google.com/spreadsheets/d/1chz5gMDmUvWKj6RwlFH6E-YUViMTncRmCvRLW8a5juA" TargetMode="External"/><Relationship Id="rId2106" Type="http://schemas.openxmlformats.org/officeDocument/2006/relationships/hyperlink" Target="https://docs.google.com/spreadsheets/d/1Q79oxW6H3J_Qyqs3cDucMJP-QsuGGkB1CzQx4IA372I" TargetMode="External"/><Relationship Id="rId2313" Type="http://schemas.openxmlformats.org/officeDocument/2006/relationships/hyperlink" Target="https://drive.google.com/open?id=1-uT4_fCLFL6x8ngrsGxMr0SdOy_D5djhxqpz_vstw1c" TargetMode="External"/><Relationship Id="rId2520" Type="http://schemas.openxmlformats.org/officeDocument/2006/relationships/hyperlink" Target="https://drive.google.com/open?id=1gB7ywvBiq1Y6KelcMxF4tOsyvdbg72yF0QBiljxdfW4&amp;usp=drive_copy" TargetMode="External"/><Relationship Id="rId1122" Type="http://schemas.openxmlformats.org/officeDocument/2006/relationships/hyperlink" Target="https://docs.google.com/spreadsheets/d/1hWjdpahK8LfWaI-boTIWY318vErkuc2PvkMTj5xpQrk" TargetMode="External"/><Relationship Id="rId3087" Type="http://schemas.openxmlformats.org/officeDocument/2006/relationships/hyperlink" Target="https://docs.google.com/open?id=1ArTc1K8fu0f2BVdKP5gSH6pWa8ATK9XDeWY34kBBcM4" TargetMode="External"/><Relationship Id="rId3294" Type="http://schemas.openxmlformats.org/officeDocument/2006/relationships/hyperlink" Target="https://docs.google.com/spreadsheets/d/1Amt0-y4F0ARykCl4GHi4GdTbUECV1DIPWFC28NWNkfQ" TargetMode="External"/><Relationship Id="rId1939" Type="http://schemas.openxmlformats.org/officeDocument/2006/relationships/hyperlink" Target="https://docs.google.com/open?id=1QYz-5adfwKa6Eptf2jisKw_mgaoIJEI4pp8242sJUMM" TargetMode="External"/><Relationship Id="rId3154" Type="http://schemas.openxmlformats.org/officeDocument/2006/relationships/hyperlink" Target="https://docs.google.com/spreadsheets/d/1Z0IkKOp4cYidGPdsj94JisqcD0dMsoCFCUTH92Uz1P8" TargetMode="External"/><Relationship Id="rId3361" Type="http://schemas.openxmlformats.org/officeDocument/2006/relationships/hyperlink" Target="https://drive.google.com/open?id=1PyeGAl9c8CKYVDRlFmDAMjJ7M3o1MMCwc3alUyFImH8" TargetMode="External"/><Relationship Id="rId282" Type="http://schemas.openxmlformats.org/officeDocument/2006/relationships/hyperlink" Target="https://docs.google.com/spreadsheets/d/1orFFrto1scfZ9mDQORWo96lHzeZL36XJm36lwAaox38" TargetMode="External"/><Relationship Id="rId2170" Type="http://schemas.openxmlformats.org/officeDocument/2006/relationships/hyperlink" Target="https://docs.google.com/spreadsheets/d/1fN9WTZ4BlhzJmkw5hijUhiIlKOUsybDyVzCyji02UAc" TargetMode="External"/><Relationship Id="rId3014" Type="http://schemas.openxmlformats.org/officeDocument/2006/relationships/hyperlink" Target="https://docs.google.com/spreadsheets/d/1wydgIhLcEgTNwZcbPqSh_ifapScHd3pZMv3hxIlHL5U" TargetMode="External"/><Relationship Id="rId3221" Type="http://schemas.openxmlformats.org/officeDocument/2006/relationships/hyperlink" Target="https://drive.google.com/open?id=1usiGc68IUfegekX67iDRg2CQD3p93OLTR-7dkGqC_hg" TargetMode="External"/><Relationship Id="rId8" Type="http://schemas.openxmlformats.org/officeDocument/2006/relationships/hyperlink" Target="https://docs.google.com/spreadsheets/d/1pbFwW_eopXMwzOxCr8aUIyhqOLIFi-1QqWmjWC8Xp7Q/edit" TargetMode="External"/><Relationship Id="rId142" Type="http://schemas.openxmlformats.org/officeDocument/2006/relationships/hyperlink" Target="https://docs.google.com/spreadsheets/d/1ldFXH30qfVlDiWGF7pYEMZZV2e-Q9rsJo6VEhFBDdrI/edit" TargetMode="External"/><Relationship Id="rId2030" Type="http://schemas.openxmlformats.org/officeDocument/2006/relationships/hyperlink" Target="https://docs.google.com/spreadsheets/d/1EZZlf-oZkJOSuzCoedEqasBDz1cZkRN6OJBsdqLytVo" TargetMode="External"/><Relationship Id="rId2987" Type="http://schemas.openxmlformats.org/officeDocument/2006/relationships/hyperlink" Target="https://docs.google.com/open?id=1gZAFYnonIrMoTqtO_2f2RZJgKxJ8vHI9GpKbRjcRDbs" TargetMode="External"/><Relationship Id="rId959" Type="http://schemas.openxmlformats.org/officeDocument/2006/relationships/hyperlink" Target="https://docs.google.com/open?id=1EfpRu0AWiuGZi-50E9z77xjsobE5vbJ4yk7Pv_htQlU" TargetMode="External"/><Relationship Id="rId1589" Type="http://schemas.openxmlformats.org/officeDocument/2006/relationships/hyperlink" Target="https://drive.google.com/open?id=19vVI5odV63jHeaePT5HXI1chuVaH2t1gY7FP0jymLw4" TargetMode="External"/><Relationship Id="rId1449" Type="http://schemas.openxmlformats.org/officeDocument/2006/relationships/hyperlink" Target="https://drive.google.com/open?id=14suCEkalgPVp2-MAHj2vV-P0IBZtDcItU-DnKDgR5RQ" TargetMode="External"/><Relationship Id="rId1796" Type="http://schemas.openxmlformats.org/officeDocument/2006/relationships/hyperlink" Target="https://drive.google.com/open?id=1XuQZNnibOyCytsARK_ziNOujKZT4jnSKfQXMe74mkpQ&amp;usp=drive_copy" TargetMode="External"/><Relationship Id="rId2847" Type="http://schemas.openxmlformats.org/officeDocument/2006/relationships/hyperlink" Target="https://docs.google.com/open?id=11TIo12gaplYwBMjM1xADlYLIcaEjCnFCxLMJC4uYEDI" TargetMode="External"/><Relationship Id="rId88" Type="http://schemas.openxmlformats.org/officeDocument/2006/relationships/hyperlink" Target="https://docs.google.com/spreadsheets/d/1l7feShSgrrgKEULxHUpZm9N6nbJu6Cvyk0aU_8xRLV0/edit" TargetMode="External"/><Relationship Id="rId819" Type="http://schemas.openxmlformats.org/officeDocument/2006/relationships/hyperlink" Target="https://docs.google.com/open?id=1k7dXBbFOVUnaY8cGkVNhZNLVJWVhuSnWIgfPvMcNjrY" TargetMode="External"/><Relationship Id="rId1656" Type="http://schemas.openxmlformats.org/officeDocument/2006/relationships/hyperlink" Target="https://drive.google.com/open?id=1EB30-NWraVTcttYufI_3EUjC2_XjBUnFx8Ycb248MlE&amp;usp=drive_copy" TargetMode="External"/><Relationship Id="rId1863" Type="http://schemas.openxmlformats.org/officeDocument/2006/relationships/hyperlink" Target="https://docs.google.com/open?id=1iyMkQ5bE99SbqFBG65IjhxkVCaPQadRGxOrPyW59dw8" TargetMode="External"/><Relationship Id="rId2707" Type="http://schemas.openxmlformats.org/officeDocument/2006/relationships/hyperlink" Target="https://docs.google.com/open?id=1yHOcB0P0-C8bbDp9y6_e3_QhPg-8swyMHSB4vAEEvvo" TargetMode="External"/><Relationship Id="rId2914" Type="http://schemas.openxmlformats.org/officeDocument/2006/relationships/hyperlink" Target="https://docs.google.com/spreadsheets/d/11Qn454PLPLi2WuRzh9mhThVAZsUwRMRPJ2a4FL48tq4" TargetMode="External"/><Relationship Id="rId1309" Type="http://schemas.openxmlformats.org/officeDocument/2006/relationships/hyperlink" Target="https://drive.google.com/open?id=1KoqX765PQvMj11X18mMNM4VPmmrkK8EJcvExQ1GZYrM" TargetMode="External"/><Relationship Id="rId1516" Type="http://schemas.openxmlformats.org/officeDocument/2006/relationships/hyperlink" Target="https://drive.google.com/open?id=1HqzNGwGuqId77vArU1f5eOF-Z6oRpQuaNeof9YZidw8&amp;usp=drive_copy" TargetMode="External"/><Relationship Id="rId1723" Type="http://schemas.openxmlformats.org/officeDocument/2006/relationships/hyperlink" Target="https://docs.google.com/open?id=1pv-oJn3kZ3J7LZWaKax10z-FmgwlT1FIZRjn_cFtR1Y" TargetMode="External"/><Relationship Id="rId1930" Type="http://schemas.openxmlformats.org/officeDocument/2006/relationships/hyperlink" Target="https://docs.google.com/spreadsheets/d/1GYquKqn3r0ZCMvCxQ0_dCzC-2h3S21njVFgNpsaEvEw" TargetMode="External"/><Relationship Id="rId3176" Type="http://schemas.openxmlformats.org/officeDocument/2006/relationships/hyperlink" Target="https://drive.google.com/open?id=1hr4sEDv5ImRr72xB6QGjWoqkfIbcBtFGSs6Nzxs-iJo&amp;usp=drive_copy" TargetMode="External"/><Relationship Id="rId3383" Type="http://schemas.openxmlformats.org/officeDocument/2006/relationships/hyperlink" Target="https://docs.google.com/open?id=1_RlN0CKB4oFHtLfEPSJ_YfvD7h0DBUwU4T2yuUDA6aA" TargetMode="External"/><Relationship Id="rId3590" Type="http://schemas.openxmlformats.org/officeDocument/2006/relationships/hyperlink" Target="https://docs.google.com/spreadsheets/d/1Q1GNst04UgagLwEZ_7X22Iy2C-TWl4929eYPzA-gvbE" TargetMode="External"/><Relationship Id="rId15" Type="http://schemas.openxmlformats.org/officeDocument/2006/relationships/hyperlink" Target="https://docs.google.com/spreadsheets/d/1wTmDatKrvEnZbp6nvQFfhsoCwPVFl-smEnuXA3P29Rw/edit?usp=sharing" TargetMode="External"/><Relationship Id="rId2192" Type="http://schemas.openxmlformats.org/officeDocument/2006/relationships/hyperlink" Target="https://drive.google.com/open?id=1MrejJrplIKDiOadU5wBIaPWbk_bEaP81_zrIL-04hKQ&amp;usp=drive_copy" TargetMode="External"/><Relationship Id="rId3036" Type="http://schemas.openxmlformats.org/officeDocument/2006/relationships/hyperlink" Target="https://drive.google.com/open?id=11pSpAn6jZkEYXXgtUW34KYQKHn2n_QTc_Z9qr2r9go4&amp;usp=drive_copy" TargetMode="External"/><Relationship Id="rId3243" Type="http://schemas.openxmlformats.org/officeDocument/2006/relationships/hyperlink" Target="https://docs.google.com/open?id=10DOeXShPMSPnKnYFX7tLGdFEFi2xwBWCt9ByQDPQmr8" TargetMode="External"/><Relationship Id="rId3688" Type="http://schemas.openxmlformats.org/officeDocument/2006/relationships/hyperlink" Target="https://drive.google.com/open?id=1Bq43Mn1CskIWPWHSVZzU_8PM_ZaluHA5dYV635n1lwA&amp;usp=drive_copy" TargetMode="External"/><Relationship Id="rId3895" Type="http://schemas.openxmlformats.org/officeDocument/2006/relationships/hyperlink" Target="https://docs.google.com/open?id=1re7KxSnGoHPIfrfLhDeKI3Pa-2ni4BBKVJT3qrXGkWQ" TargetMode="External"/><Relationship Id="rId164" Type="http://schemas.openxmlformats.org/officeDocument/2006/relationships/hyperlink" Target="https://docs.google.com/spreadsheets/d/1NaxcCtYDK5ytIaQ0soBtvVmV6MJGWF57k-8ZX-U3R9k/edit" TargetMode="External"/><Relationship Id="rId371" Type="http://schemas.openxmlformats.org/officeDocument/2006/relationships/hyperlink" Target="https://docs.google.com/open?id=1BimylDMx5fgM9XP1o6hzt1LNhvXzNtxuwJksIdhWcdk" TargetMode="External"/><Relationship Id="rId2052" Type="http://schemas.openxmlformats.org/officeDocument/2006/relationships/hyperlink" Target="https://drive.google.com/open?id=13QhkliNcfriD2DUW8HuH6dOshknm0I0cqz7sQlTzgmI&amp;usp=drive_copy" TargetMode="External"/><Relationship Id="rId2497" Type="http://schemas.openxmlformats.org/officeDocument/2006/relationships/hyperlink" Target="https://drive.google.com/open?id=1SHKyeAS5y0pkTm_BBpkaT4UN7_ASCZxIEVWJ_rfV6Jk" TargetMode="External"/><Relationship Id="rId3450" Type="http://schemas.openxmlformats.org/officeDocument/2006/relationships/hyperlink" Target="https://docs.google.com/spreadsheets/d/1FhbQwC2P78N7UvKbbEf4fZtLjUTmB9qkm15EbeT8pGI" TargetMode="External"/><Relationship Id="rId3548" Type="http://schemas.openxmlformats.org/officeDocument/2006/relationships/hyperlink" Target="https://drive.google.com/open?id=1VXp94l-Nfkc0ZTjAuTbJndmx2OXlJ54HqPujmj9PHec&amp;usp=drive_copy" TargetMode="External"/><Relationship Id="rId3755" Type="http://schemas.openxmlformats.org/officeDocument/2006/relationships/hyperlink" Target="https://docs.google.com/open?id=13AMGlOKBAW-VZ8ToDUrrK6d4Xh26E-pLgYHTKTcAt_I" TargetMode="External"/><Relationship Id="rId469" Type="http://schemas.openxmlformats.org/officeDocument/2006/relationships/hyperlink" Target="https://drive.google.com/open?id=1rmyKhBbN1Af6kfYBIrOuy2lf0HNARvUX1rj6V5C8IXc" TargetMode="External"/><Relationship Id="rId676" Type="http://schemas.openxmlformats.org/officeDocument/2006/relationships/hyperlink" Target="https://drive.google.com/open?id=1IXb9Bk8sKJ83gCPkX3INib2baN24jj8mVj4yXEoI5IY&amp;usp=drive_copy" TargetMode="External"/><Relationship Id="rId883" Type="http://schemas.openxmlformats.org/officeDocument/2006/relationships/hyperlink" Target="https://docs.google.com/open?id=1a6M75LEa0Mhn4ZyUiLyLZuTCwFWQ3H_ahBac0m_0iy8" TargetMode="External"/><Relationship Id="rId1099" Type="http://schemas.openxmlformats.org/officeDocument/2006/relationships/hyperlink" Target="https://docs.google.com/open?id=1mMcWuFVAwZhxChwjTzrL6lEaJwmyg3DSMEy8jlJqa50" TargetMode="External"/><Relationship Id="rId2357" Type="http://schemas.openxmlformats.org/officeDocument/2006/relationships/hyperlink" Target="https://drive.google.com/open?id=1lvbdhkKJuzWiWwfKdmxnWYl3x7bLTrm7ud7dSIaqUtE" TargetMode="External"/><Relationship Id="rId2564" Type="http://schemas.openxmlformats.org/officeDocument/2006/relationships/hyperlink" Target="https://drive.google.com/open?id=1m45ah0LsT8DJwjY50L4zAQd2YwlIupO-Uy8WiZ-g_ic&amp;usp=drive_copy" TargetMode="External"/><Relationship Id="rId3103" Type="http://schemas.openxmlformats.org/officeDocument/2006/relationships/hyperlink" Target="https://docs.google.com/open?id=1EVKR1rqQgTJacdCSP0b-LQ5t1dDdS-CT8RmYoL1ihDQ" TargetMode="External"/><Relationship Id="rId3310" Type="http://schemas.openxmlformats.org/officeDocument/2006/relationships/hyperlink" Target="https://docs.google.com/spreadsheets/d/1DR4a8V1eMTqjMyeFxwmA12QFvAEKcMRA5SbChnS7qFo" TargetMode="External"/><Relationship Id="rId3408" Type="http://schemas.openxmlformats.org/officeDocument/2006/relationships/hyperlink" Target="https://drive.google.com/open?id=1rcN_QM9ff91-_lRk_nMKAGVj3BuhRP0rKJHmf6BMUDI&amp;usp=drive_copy" TargetMode="External"/><Relationship Id="rId3615" Type="http://schemas.openxmlformats.org/officeDocument/2006/relationships/hyperlink" Target="https://docs.google.com/open?id=1Z2Ie-rgR-WHtE0QkZNjOOd5ecTpkBy3G6MqfhcutgL0" TargetMode="External"/><Relationship Id="rId231" Type="http://schemas.openxmlformats.org/officeDocument/2006/relationships/hyperlink" Target="https://docs.google.com/open?id=1AI4iToPwSivpbJH_c1PI5SJZNZWkGtv0aSxNtZ098W4" TargetMode="External"/><Relationship Id="rId329" Type="http://schemas.openxmlformats.org/officeDocument/2006/relationships/hyperlink" Target="https://drive.google.com/open?id=160mwCVwARWMQQn4nKh_XybjFtd9XBFLnLPGaCl9zHqA" TargetMode="External"/><Relationship Id="rId536" Type="http://schemas.openxmlformats.org/officeDocument/2006/relationships/hyperlink" Target="https://drive.google.com/open?id=1JsKkfTNpHQ6vgUslFSEQ7lK1l-YE9XAKa-CpJKgkhII&amp;usp=drive_copy" TargetMode="External"/><Relationship Id="rId1166" Type="http://schemas.openxmlformats.org/officeDocument/2006/relationships/hyperlink" Target="https://docs.google.com/spreadsheets/d/1UYWMWHeW-M8GY0OSZNcPF2R8afJWdtf38jKAsq2fAho" TargetMode="External"/><Relationship Id="rId1373" Type="http://schemas.openxmlformats.org/officeDocument/2006/relationships/hyperlink" Target="https://drive.google.com/open?id=1VIHyc81uNys5RoAfqoNDOA8KZkPHQ3WkTMo7867R4BA" TargetMode="External"/><Relationship Id="rId2217" Type="http://schemas.openxmlformats.org/officeDocument/2006/relationships/hyperlink" Target="https://drive.google.com/open?id=1FH-j3S2Aaq3Gofr7IzXAg0_U45KFkdKOl7hx9rjOyPg" TargetMode="External"/><Relationship Id="rId2771" Type="http://schemas.openxmlformats.org/officeDocument/2006/relationships/hyperlink" Target="https://docs.google.com/open?id=1VIZS6PLpEBV87yqgP2xbtMPHM7PwDFK09G6hhgPNXac" TargetMode="External"/><Relationship Id="rId2869" Type="http://schemas.openxmlformats.org/officeDocument/2006/relationships/hyperlink" Target="https://drive.google.com/open?id=1BlwP1IABydJc7mcPhy4Rz9nQT1QFO35n1_By8k9mMno" TargetMode="External"/><Relationship Id="rId3822" Type="http://schemas.openxmlformats.org/officeDocument/2006/relationships/hyperlink" Target="https://docs.google.com/spreadsheets/d/1r9KcGfp64Cwn68Cnl7E0UQdtQ63FYNp0ZDtxe8PfQi8" TargetMode="External"/><Relationship Id="rId743" Type="http://schemas.openxmlformats.org/officeDocument/2006/relationships/hyperlink" Target="https://docs.google.com/open?id=19an57qPg6-LW9HFYiknpVSOIG8cltkLJUsfFA7qJj5A" TargetMode="External"/><Relationship Id="rId950" Type="http://schemas.openxmlformats.org/officeDocument/2006/relationships/hyperlink" Target="https://docs.google.com/spreadsheets/d/1qFc_9tU5EuyCio1Xr_H-k3r6k_LmSw9oxgysADhEUVY" TargetMode="External"/><Relationship Id="rId1026" Type="http://schemas.openxmlformats.org/officeDocument/2006/relationships/hyperlink" Target="https://docs.google.com/spreadsheets/d/1zAyXeE1VA3-Wx0PJNINHXJUS8KXOyKmAYwLw6GycmbE" TargetMode="External"/><Relationship Id="rId1580" Type="http://schemas.openxmlformats.org/officeDocument/2006/relationships/hyperlink" Target="https://drive.google.com/open?id=10G9V0VEZprBs9Zf5LMvm7Gxcax3NI9VT_i5PbXq34wU&amp;usp=drive_copy" TargetMode="External"/><Relationship Id="rId1678" Type="http://schemas.openxmlformats.org/officeDocument/2006/relationships/hyperlink" Target="https://docs.google.com/spreadsheets/d/1xbPBtISoPN6_NSY-RV0ySEF8bvHNKqTyK9jJjp6XIq4" TargetMode="External"/><Relationship Id="rId1885" Type="http://schemas.openxmlformats.org/officeDocument/2006/relationships/hyperlink" Target="https://drive.google.com/open?id=1SJRubbY7l7dcgLIMPyI6le2_CBx4wVxVAE2kasxIm9Y" TargetMode="External"/><Relationship Id="rId2424" Type="http://schemas.openxmlformats.org/officeDocument/2006/relationships/hyperlink" Target="https://drive.google.com/open?id=1RaH9-IZl5nEqWw3pdo4ZQv6320aAO4wRUIT7d_TA56o&amp;usp=drive_copy" TargetMode="External"/><Relationship Id="rId2631" Type="http://schemas.openxmlformats.org/officeDocument/2006/relationships/hyperlink" Target="https://docs.google.com/open?id=14dpPW1hHjofL6btAyU5zz05BgNTvj0Aqyt6rGKwHZm4" TargetMode="External"/><Relationship Id="rId2729" Type="http://schemas.openxmlformats.org/officeDocument/2006/relationships/hyperlink" Target="https://drive.google.com/open?id=1mb1biGUdRjeJPMLsfv6DNq_8Xiud5nmDGHF308kq81g" TargetMode="External"/><Relationship Id="rId2936" Type="http://schemas.openxmlformats.org/officeDocument/2006/relationships/hyperlink" Target="https://drive.google.com/open?id=1BsififttxAm_ypQ-el1S57hWPDPtTR2E_7UlI0wFcqY&amp;usp=drive_copy" TargetMode="External"/><Relationship Id="rId603" Type="http://schemas.openxmlformats.org/officeDocument/2006/relationships/hyperlink" Target="https://docs.google.com/open?id=10KSMWY1j7Zp9u_vkU1WsZAnqSniXIe-GwxlHsYPPdyQ" TargetMode="External"/><Relationship Id="rId810" Type="http://schemas.openxmlformats.org/officeDocument/2006/relationships/hyperlink" Target="https://docs.google.com/spreadsheets/d/1fg_dhVP4MOnnKKDl-3hzPsSmqw1h1XEes-_m6xCC11Y" TargetMode="External"/><Relationship Id="rId908" Type="http://schemas.openxmlformats.org/officeDocument/2006/relationships/hyperlink" Target="https://drive.google.com/open?id=1R4017ykQ6WNTndHZCXTtl5SVSjMK56gg5ppQkqTA2rk&amp;usp=drive_copy" TargetMode="External"/><Relationship Id="rId1233" Type="http://schemas.openxmlformats.org/officeDocument/2006/relationships/hyperlink" Target="https://drive.google.com/open?id=1PedQQZZ84OiMFo693N_NG04uP-ZWcYd9bWCrfTuN3q4" TargetMode="External"/><Relationship Id="rId1440" Type="http://schemas.openxmlformats.org/officeDocument/2006/relationships/hyperlink" Target="https://drive.google.com/open?id=1-Dx7y_31ZjX7fYtVRar7O_YSE4mdZnBmodjds8j_bgQ&amp;usp=drive_copy" TargetMode="External"/><Relationship Id="rId1538" Type="http://schemas.openxmlformats.org/officeDocument/2006/relationships/hyperlink" Target="https://docs.google.com/spreadsheets/d/1NxbUGqUHQ99sffyHI8XTxeIxOj9bdrNj1pszEIN-h4M" TargetMode="External"/><Relationship Id="rId1300" Type="http://schemas.openxmlformats.org/officeDocument/2006/relationships/hyperlink" Target="https://drive.google.com/open?id=1LVaLs3dAZnPmRtkTeUSZWMie7s_xXnZYqev4OAV_NHE&amp;usp=drive_copy" TargetMode="External"/><Relationship Id="rId1745" Type="http://schemas.openxmlformats.org/officeDocument/2006/relationships/hyperlink" Target="https://drive.google.com/open?id=1bX4_htlOqKWKCW9xNvrHrxZSt6oE7Q1X-y9KDW4k49c" TargetMode="External"/><Relationship Id="rId1952" Type="http://schemas.openxmlformats.org/officeDocument/2006/relationships/hyperlink" Target="https://drive.google.com/open?id=1uQ9JHX2PHGbkCLb3Nl-puhFM8TAyzueOIKu5LntVzUM&amp;usp=drive_copy" TargetMode="External"/><Relationship Id="rId3198" Type="http://schemas.openxmlformats.org/officeDocument/2006/relationships/hyperlink" Target="https://docs.google.com/spreadsheets/d/1lMZjxWXqAbgHw-PCv_Zz6wJogTEjdfThvWYzSt1Ghs8" TargetMode="External"/><Relationship Id="rId37" Type="http://schemas.openxmlformats.org/officeDocument/2006/relationships/hyperlink" Target="https://docs.google.com/spreadsheets/d/1au4oUBz7390z3Tyjuk8uCszWeLXsake_obXyQZLSDm4/edit?usp=sharing" TargetMode="External"/><Relationship Id="rId1605" Type="http://schemas.openxmlformats.org/officeDocument/2006/relationships/hyperlink" Target="https://drive.google.com/open?id=1ZxFfWGdhDcRY8GbsOm_dVlKVChEi0cduqg1zesDWfpY" TargetMode="External"/><Relationship Id="rId1812" Type="http://schemas.openxmlformats.org/officeDocument/2006/relationships/hyperlink" Target="https://drive.google.com/open?id=1smYlJllyFxSDC7a-ozDjpGG1hoTNBhv6WlntctPNeto&amp;usp=drive_copy" TargetMode="External"/><Relationship Id="rId3058" Type="http://schemas.openxmlformats.org/officeDocument/2006/relationships/hyperlink" Target="https://docs.google.com/spreadsheets/d/13lZOdZecbBh2fhnG4TGBUVqHbVSVOdLgUg0MzVCLr-E" TargetMode="External"/><Relationship Id="rId3265" Type="http://schemas.openxmlformats.org/officeDocument/2006/relationships/hyperlink" Target="https://drive.google.com/open?id=15IFNGbKEJeYtpqeWbn1f6_jWdkkm-_yApAbXMfPaFOg" TargetMode="External"/><Relationship Id="rId3472" Type="http://schemas.openxmlformats.org/officeDocument/2006/relationships/hyperlink" Target="https://drive.google.com/open?id=1VHeVNoEakEu_3Fys9GdA0tpaonxhxhDzgZdJEhTw7u0&amp;usp=drive_copy" TargetMode="External"/><Relationship Id="rId186" Type="http://schemas.openxmlformats.org/officeDocument/2006/relationships/hyperlink" Target="https://docs.google.com/spreadsheets/d/1dTWuN_rPXGLchtRguFxrOm5xqzZmFNiucEOr3YFDaRs/edit" TargetMode="External"/><Relationship Id="rId393" Type="http://schemas.openxmlformats.org/officeDocument/2006/relationships/hyperlink" Target="https://drive.google.com/open?id=1HPIyl5UtdBO-ymbxPudlDNqsab2jtEyizcVC86jtIPo" TargetMode="External"/><Relationship Id="rId2074" Type="http://schemas.openxmlformats.org/officeDocument/2006/relationships/hyperlink" Target="https://docs.google.com/spreadsheets/d/13ss263b1v0zCi3a6DhT3Z7lXL24RgSPEnJ8zBbN4iKw" TargetMode="External"/><Relationship Id="rId2281" Type="http://schemas.openxmlformats.org/officeDocument/2006/relationships/hyperlink" Target="https://drive.google.com/open?id=1N86qmhiBNI30g8xIMC8S5jr-tLrobxNcnQ0iKzmN4WQ" TargetMode="External"/><Relationship Id="rId3125" Type="http://schemas.openxmlformats.org/officeDocument/2006/relationships/hyperlink" Target="https://drive.google.com/open?id=1MafOfSGifK16z3HokW_RAoYg1UqD0vXESWIf4-UqBeE" TargetMode="External"/><Relationship Id="rId3332" Type="http://schemas.openxmlformats.org/officeDocument/2006/relationships/hyperlink" Target="https://drive.google.com/open?id=1JX5AXL24KPqv1kxPnPeXQjYkHRZoOYrTG4bk8cOzoII&amp;usp=drive_copy" TargetMode="External"/><Relationship Id="rId3777" Type="http://schemas.openxmlformats.org/officeDocument/2006/relationships/hyperlink" Target="https://drive.google.com/open?id=1aq8xfzCuk-0oCPc09GmTTT9HuSNJBLDrDEOg5pu7ePw" TargetMode="External"/><Relationship Id="rId253" Type="http://schemas.openxmlformats.org/officeDocument/2006/relationships/hyperlink" Target="https://drive.google.com/open?id=1QxGgfCitr16o535x1d9UnMYRo9nTIkINAIMtBlh6o8c" TargetMode="External"/><Relationship Id="rId460" Type="http://schemas.openxmlformats.org/officeDocument/2006/relationships/hyperlink" Target="https://drive.google.com/open?id=1otcXblFr9qww47uEYhaUS54PBj0BwNGf-EZ8AjS8yH4&amp;usp=drive_copy" TargetMode="External"/><Relationship Id="rId698" Type="http://schemas.openxmlformats.org/officeDocument/2006/relationships/hyperlink" Target="https://docs.google.com/spreadsheets/d/1MCWYAfDexINng7XNBycVpbbjJ4zCkX3Uu46SR1hZ6EI" TargetMode="External"/><Relationship Id="rId1090" Type="http://schemas.openxmlformats.org/officeDocument/2006/relationships/hyperlink" Target="https://docs.google.com/spreadsheets/d/1Hp6KMA0fPFywsxhr-xQPIhALtUqYjVodSXQvCSyfhYE" TargetMode="External"/><Relationship Id="rId2141" Type="http://schemas.openxmlformats.org/officeDocument/2006/relationships/hyperlink" Target="https://drive.google.com/open?id=1_AAseG4k6qbmz9dnFEb5m4Wt2PHaxgFYS0EBaMH3BYM" TargetMode="External"/><Relationship Id="rId2379" Type="http://schemas.openxmlformats.org/officeDocument/2006/relationships/hyperlink" Target="https://docs.google.com/open?id=1HHMaOW5q5JLo5M5MsXlALoKdzRAY0aRZEMGnEerxrzM" TargetMode="External"/><Relationship Id="rId2586" Type="http://schemas.openxmlformats.org/officeDocument/2006/relationships/hyperlink" Target="https://docs.google.com/spreadsheets/d/1svK65Db2XbIZ3EF0tRrXJ89w6jJSrCjc46QLt0pRHA0" TargetMode="External"/><Relationship Id="rId2793" Type="http://schemas.openxmlformats.org/officeDocument/2006/relationships/hyperlink" Target="https://drive.google.com/open?id=1GC_-EMnONn18eWpzwximFq5MMWMRoaBXdFM7ruWd1zM" TargetMode="External"/><Relationship Id="rId3637" Type="http://schemas.openxmlformats.org/officeDocument/2006/relationships/hyperlink" Target="https://drive.google.com/open?id=1hxBdbZw1SOqEdW8XqmgwKoLwu6HRBvC9xF4jkjV4rDY" TargetMode="External"/><Relationship Id="rId3844" Type="http://schemas.openxmlformats.org/officeDocument/2006/relationships/hyperlink" Target="https://drive.google.com/open?id=1-3JhFXXVW8o5GzX7Ckq7KY5IRx3PBYngosj34uiJd7g&amp;usp=drive_copy" TargetMode="External"/><Relationship Id="rId113" Type="http://schemas.openxmlformats.org/officeDocument/2006/relationships/hyperlink" Target="https://docs.google.com/spreadsheets/d/1IkhgxPrRU82MJcUAj7-zT9MKALGy6DpfDtjnOT7djC8/edit?usp=sharing" TargetMode="External"/><Relationship Id="rId320" Type="http://schemas.openxmlformats.org/officeDocument/2006/relationships/hyperlink" Target="https://drive.google.com/open?id=13o-MrHOy5GLcrolWE6M5psOzd-f1KxHoaJis0Yff9XE&amp;usp=drive_copy" TargetMode="External"/><Relationship Id="rId558" Type="http://schemas.openxmlformats.org/officeDocument/2006/relationships/hyperlink" Target="https://docs.google.com/spreadsheets/d/1U6kEjj_XDAOLOxEUaZbHGmj3dtJkSYFdJEZp8QL7Rb8" TargetMode="External"/><Relationship Id="rId765" Type="http://schemas.openxmlformats.org/officeDocument/2006/relationships/hyperlink" Target="https://drive.google.com/open?id=1cc0nC60HvZT-rjDdC-T_qjGOMNj7qr7Rawn8ISFSPuc" TargetMode="External"/><Relationship Id="rId972" Type="http://schemas.openxmlformats.org/officeDocument/2006/relationships/hyperlink" Target="https://drive.google.com/open?id=1SiaExMdZMm1Dni-vyfUNFOrWmmVsozZMLGGJM0q_hnQ&amp;usp=drive_copy" TargetMode="External"/><Relationship Id="rId1188" Type="http://schemas.openxmlformats.org/officeDocument/2006/relationships/hyperlink" Target="https://drive.google.com/open?id=1Yza90-TlvGx99B7AxrZnd8orAhG1q79_xXyht58dmYQ&amp;usp=drive_copy" TargetMode="External"/><Relationship Id="rId1395" Type="http://schemas.openxmlformats.org/officeDocument/2006/relationships/hyperlink" Target="https://docs.google.com/open?id=1xI28XMduWiyRsQRuEg9pXhAKlm_zkHZsHtqs-pC4cOI" TargetMode="External"/><Relationship Id="rId2001" Type="http://schemas.openxmlformats.org/officeDocument/2006/relationships/hyperlink" Target="https://drive.google.com/open?id=1RKYZkFFOssiMJvj3ZKK89rKRTdj2oQ5ZIGmHPlaWj8I" TargetMode="External"/><Relationship Id="rId2239" Type="http://schemas.openxmlformats.org/officeDocument/2006/relationships/hyperlink" Target="https://docs.google.com/open?id=1E-39bO3bNSRhmNES2Fyy636-L9pMZTXgm9NWrYaIPv0" TargetMode="External"/><Relationship Id="rId2446" Type="http://schemas.openxmlformats.org/officeDocument/2006/relationships/hyperlink" Target="https://docs.google.com/spreadsheets/d/1C3gI83EfwjXPAEk1x8HuqsYvPOf-XMjJTPVihXzB3LM" TargetMode="External"/><Relationship Id="rId2653" Type="http://schemas.openxmlformats.org/officeDocument/2006/relationships/hyperlink" Target="https://drive.google.com/open?id=1AMMlmC4XUlbgzoCrfB4-yxj8d7N3Ikzdi15FYBbxP9g" TargetMode="External"/><Relationship Id="rId2860" Type="http://schemas.openxmlformats.org/officeDocument/2006/relationships/hyperlink" Target="https://drive.google.com/open?id=1Tf3iC2J5EUzrdRnyTeE4mOHjdS3w8bycoFotZrJyjlw&amp;usp=drive_copy" TargetMode="External"/><Relationship Id="rId3704" Type="http://schemas.openxmlformats.org/officeDocument/2006/relationships/hyperlink" Target="https://drive.google.com/open?id=1f6kulBS3UlSu7KAfRoL4VX778WExd9vtP47kwZUsYqE&amp;usp=drive_copy" TargetMode="External"/><Relationship Id="rId418" Type="http://schemas.openxmlformats.org/officeDocument/2006/relationships/hyperlink" Target="https://docs.google.com/spreadsheets/d/1Jeqq8a6eQeAFJgcuEBZmj2cqIC2znoYyZT-OvV39pY4" TargetMode="External"/><Relationship Id="rId625" Type="http://schemas.openxmlformats.org/officeDocument/2006/relationships/hyperlink" Target="https://drive.google.com/open?id=17cM9UFvvKqifEPwUjT3QS4xTRbFQ0_UZl_eZ-jq2rzk" TargetMode="External"/><Relationship Id="rId832" Type="http://schemas.openxmlformats.org/officeDocument/2006/relationships/hyperlink" Target="https://drive.google.com/open?id=1ka_ZCFmubGzHtBlmWPGgs7e1W9kN7l7EMDttPPG5ELc&amp;usp=drive_copy" TargetMode="External"/><Relationship Id="rId1048" Type="http://schemas.openxmlformats.org/officeDocument/2006/relationships/hyperlink" Target="https://drive.google.com/open?id=18rIwtIo9dWyf2Ut4Zmza2-vWtmaytdEvRgAiCozJi_0&amp;usp=drive_copy" TargetMode="External"/><Relationship Id="rId1255" Type="http://schemas.openxmlformats.org/officeDocument/2006/relationships/hyperlink" Target="https://docs.google.com/open?id=1c93SYawf3vDqLUzX_RZpQXZDw6mAIyXefivHfven87I" TargetMode="External"/><Relationship Id="rId1462" Type="http://schemas.openxmlformats.org/officeDocument/2006/relationships/hyperlink" Target="https://docs.google.com/spreadsheets/d/1v7i39sM4HmRQ9TF48oJ52a8YmotNhL_JjJK8ANwIxqk" TargetMode="External"/><Relationship Id="rId2306" Type="http://schemas.openxmlformats.org/officeDocument/2006/relationships/hyperlink" Target="https://docs.google.com/spreadsheets/d/1C_1B3o0dG9n_WF4jMaowYgYAN5ikM4iCmm-EnJNp9Tw" TargetMode="External"/><Relationship Id="rId2513" Type="http://schemas.openxmlformats.org/officeDocument/2006/relationships/hyperlink" Target="https://drive.google.com/open?id=1X8M_NgcJludMMtabQT_1et3zj9a_YUYut9f1tLdbY4A" TargetMode="External"/><Relationship Id="rId2958" Type="http://schemas.openxmlformats.org/officeDocument/2006/relationships/hyperlink" Target="https://docs.google.com/spreadsheets/d/1Pu4Zms7MKl4RvswRmnbczScpLk6wFSxSRxtfpMKaqIc" TargetMode="External"/><Relationship Id="rId3911" Type="http://schemas.openxmlformats.org/officeDocument/2006/relationships/hyperlink" Target="https://docs.google.com/open?id=1m9EJVnohl8ykmPyQm0Pl1-APfkFQXT33tLPGtmrrR18" TargetMode="External"/><Relationship Id="rId1115" Type="http://schemas.openxmlformats.org/officeDocument/2006/relationships/hyperlink" Target="https://docs.google.com/open?id=1p9r9ZHTsIOZAQwuDiHReYmUzztPHbI4dg_hEC_4lG3Y" TargetMode="External"/><Relationship Id="rId1322" Type="http://schemas.openxmlformats.org/officeDocument/2006/relationships/hyperlink" Target="https://docs.google.com/spreadsheets/d/1rpP-ND357rpD0yc2zJ0P-_TadzWruVkDytkEfmMJzPE" TargetMode="External"/><Relationship Id="rId1767" Type="http://schemas.openxmlformats.org/officeDocument/2006/relationships/hyperlink" Target="https://docs.google.com/open?id=1iUf28_s-jHH90j-QS6sqLcRJ5CjRxLXz_VFES7xmefk" TargetMode="External"/><Relationship Id="rId1974" Type="http://schemas.openxmlformats.org/officeDocument/2006/relationships/hyperlink" Target="https://docs.google.com/spreadsheets/d/1Lkqbz3rBV8yB5jpHujxLdkQpr3Gb2Nmxp-CN8dwZ0W8" TargetMode="External"/><Relationship Id="rId2720" Type="http://schemas.openxmlformats.org/officeDocument/2006/relationships/hyperlink" Target="https://drive.google.com/open?id=1sUZE1iVKscA9BL-_QSaoErR9lgGkVxkwuC5RyEU0yq8&amp;usp=drive_copy" TargetMode="External"/><Relationship Id="rId2818" Type="http://schemas.openxmlformats.org/officeDocument/2006/relationships/hyperlink" Target="https://docs.google.com/spreadsheets/d/1tnid7ETYJfYjoPzqwcSHKT6xbWQY8q1WdtereWllGpU" TargetMode="External"/><Relationship Id="rId59" Type="http://schemas.openxmlformats.org/officeDocument/2006/relationships/hyperlink" Target="https://docs.google.com/spreadsheets/d/14WN4D4TO-6LDXmofCf4Hy2Hb4RVERBc-ybPxE3aFJqc/edit?usp=sharing" TargetMode="External"/><Relationship Id="rId1627" Type="http://schemas.openxmlformats.org/officeDocument/2006/relationships/hyperlink" Target="https://docs.google.com/open?id=1DF6pTjy58c2gOtQ92YudUQxeF-1wog3DOU0cC6z8WDA" TargetMode="External"/><Relationship Id="rId1834" Type="http://schemas.openxmlformats.org/officeDocument/2006/relationships/hyperlink" Target="https://docs.google.com/spreadsheets/d/1EOXQuf60K_Uld5odEVzZydbD-vpkTuI-8a1bFmNADRk" TargetMode="External"/><Relationship Id="rId3287" Type="http://schemas.openxmlformats.org/officeDocument/2006/relationships/hyperlink" Target="https://docs.google.com/open?id=19FnX7C-DXErXS6trn4mjEWD4dtuoA1r-Qn99_iD6rnY" TargetMode="External"/><Relationship Id="rId2096" Type="http://schemas.openxmlformats.org/officeDocument/2006/relationships/hyperlink" Target="https://drive.google.com/open?id=1qwXEmEX155112a9wvWtRYTctoBhotoIAq4SwhNWQGq0&amp;usp=drive_copy" TargetMode="External"/><Relationship Id="rId3494" Type="http://schemas.openxmlformats.org/officeDocument/2006/relationships/hyperlink" Target="https://docs.google.com/spreadsheets/d/1JzcGtbGzXkzj43IU3jfTpNYbAR-EcA_b2T5o8vdTkeo" TargetMode="External"/><Relationship Id="rId3799" Type="http://schemas.openxmlformats.org/officeDocument/2006/relationships/hyperlink" Target="https://docs.google.com/open?id=1DiW_pSLEOElRrUJuczGmCnjl1xFdIgPXD7UANxgRO04" TargetMode="External"/><Relationship Id="rId1901" Type="http://schemas.openxmlformats.org/officeDocument/2006/relationships/hyperlink" Target="https://drive.google.com/open?id=1zfOOpLHZu0Ucu1ogJqLlvB-fpVfg8rbnySQryzfIM48" TargetMode="External"/><Relationship Id="rId3147" Type="http://schemas.openxmlformats.org/officeDocument/2006/relationships/hyperlink" Target="https://docs.google.com/open?id=1Va5oy0t_jd39QSaMFrIyZnNU0FJBr-rAh53ey3ZEVLo" TargetMode="External"/><Relationship Id="rId3354" Type="http://schemas.openxmlformats.org/officeDocument/2006/relationships/hyperlink" Target="https://docs.google.com/spreadsheets/d/1Pp1Ghnniuzx4PhOej2_tv5nh-I-KZjV9hK2OKn10D-A" TargetMode="External"/><Relationship Id="rId3561" Type="http://schemas.openxmlformats.org/officeDocument/2006/relationships/hyperlink" Target="https://drive.google.com/open?id=1w9UDOhqKhK10CRAoIXE2ha0jsDoUupzOTUA82u2byeU" TargetMode="External"/><Relationship Id="rId3659" Type="http://schemas.openxmlformats.org/officeDocument/2006/relationships/hyperlink" Target="https://docs.google.com/open?id=1zBnO5IHOpYERp-YB7AyJDf4Q8yGUWuwiwTANjk_ACBc" TargetMode="External"/><Relationship Id="rId275" Type="http://schemas.openxmlformats.org/officeDocument/2006/relationships/hyperlink" Target="https://docs.google.com/open?id=1lbfJnMNqpi7gKnqhOm8ZeIrD89z1Gwdkb6n5q7UYH0s" TargetMode="External"/><Relationship Id="rId482" Type="http://schemas.openxmlformats.org/officeDocument/2006/relationships/hyperlink" Target="https://docs.google.com/spreadsheets/d/1wMQbr05_r-X4uMyVsKJ8Ibj2ZQrvi7zlSBHbrv_H3VM" TargetMode="External"/><Relationship Id="rId2163" Type="http://schemas.openxmlformats.org/officeDocument/2006/relationships/hyperlink" Target="https://docs.google.com/open?id=1cqQPDYJshoAfoB9TRdfQY17UcIJ036j9FIUGLT35Mkg" TargetMode="External"/><Relationship Id="rId2370" Type="http://schemas.openxmlformats.org/officeDocument/2006/relationships/hyperlink" Target="https://docs.google.com/spreadsheets/d/1CNO3FmxgKA-FxJwmkspUa5fYz5eQrg3bHmt3-wYfS2w" TargetMode="External"/><Relationship Id="rId3007" Type="http://schemas.openxmlformats.org/officeDocument/2006/relationships/hyperlink" Target="https://docs.google.com/open?id=1rhKdNxZENi3iQXBOf2mtMsDAO5yX_2S-0pyN62VEn58" TargetMode="External"/><Relationship Id="rId3214" Type="http://schemas.openxmlformats.org/officeDocument/2006/relationships/hyperlink" Target="https://docs.google.com/spreadsheets/d/1tHtlj7siaMRBFfV83T5Uls4JNBSa964qoiCMchp-Uzs" TargetMode="External"/><Relationship Id="rId3421" Type="http://schemas.openxmlformats.org/officeDocument/2006/relationships/hyperlink" Target="https://drive.google.com/open?id=1wvernDXmT_2VrScpmuBFFqYiEp5inaacKpnz9OgbA7c" TargetMode="External"/><Relationship Id="rId3866" Type="http://schemas.openxmlformats.org/officeDocument/2006/relationships/hyperlink" Target="https://docs.google.com/spreadsheets/d/1m2oGMtfxLfiNjBvGTLFkpTzUTzOUo382KnAxilJGdhk" TargetMode="External"/><Relationship Id="rId135" Type="http://schemas.openxmlformats.org/officeDocument/2006/relationships/hyperlink" Target="https://docs.google.com/spreadsheets/d/1OWG1BeOI8lxmu5iERIoMZTenARVLf4fLsCsp-eie52s/edit?usp=sharing" TargetMode="External"/><Relationship Id="rId342" Type="http://schemas.openxmlformats.org/officeDocument/2006/relationships/hyperlink" Target="https://docs.google.com/spreadsheets/d/1405VFsE3hMwXuAmtEkcu630yJ7nxerAMrCTp5RKAzMc" TargetMode="External"/><Relationship Id="rId787" Type="http://schemas.openxmlformats.org/officeDocument/2006/relationships/hyperlink" Target="https://docs.google.com/open?id=1pHCmn5lXac1tgzmYkb6CtPNGruYb1PxdtkZucIpUu3A" TargetMode="External"/><Relationship Id="rId994" Type="http://schemas.openxmlformats.org/officeDocument/2006/relationships/hyperlink" Target="https://docs.google.com/spreadsheets/d/1dzPt8b1d5eT0B7pQ_hU2et97TdFkZsm9N9j23a9t6EI" TargetMode="External"/><Relationship Id="rId2023" Type="http://schemas.openxmlformats.org/officeDocument/2006/relationships/hyperlink" Target="https://docs.google.com/open?id=1jAMIDgWJQybcb8r7KykpfwMb-EcHt5QEdWF1kNkZ5Ns" TargetMode="External"/><Relationship Id="rId2230" Type="http://schemas.openxmlformats.org/officeDocument/2006/relationships/hyperlink" Target="https://docs.google.com/spreadsheets/d/1NPdAmiUllW4QQdU323H-amB3GiuTrLbw65BFi1EUbw8" TargetMode="External"/><Relationship Id="rId2468" Type="http://schemas.openxmlformats.org/officeDocument/2006/relationships/hyperlink" Target="https://drive.google.com/open?id=1qzO6X1tKDTsOXKHHXgAWY0BThScdUBj-kN8SBlmt1kY&amp;usp=drive_copy" TargetMode="External"/><Relationship Id="rId2675" Type="http://schemas.openxmlformats.org/officeDocument/2006/relationships/hyperlink" Target="https://docs.google.com/open?id=1DdzJmM06x-glnl3GscloMiRH_dyFnrzJVEoTTJWoqJg" TargetMode="External"/><Relationship Id="rId2882" Type="http://schemas.openxmlformats.org/officeDocument/2006/relationships/hyperlink" Target="https://docs.google.com/spreadsheets/d/13tlOIam5jvfpUcS-LUK1J1s9NXHkTmNyuik_xHu-9Qc" TargetMode="External"/><Relationship Id="rId3519" Type="http://schemas.openxmlformats.org/officeDocument/2006/relationships/hyperlink" Target="https://docs.google.com/open?id=1mxuSbGlj9k491eazC4Z3igjTPbInYE79aNtgLPzMC6Y" TargetMode="External"/><Relationship Id="rId3726" Type="http://schemas.openxmlformats.org/officeDocument/2006/relationships/hyperlink" Target="https://docs.google.com/spreadsheets/d/1Tvqk1bJKXdGbrS7ddGjVCJivUpazhwPnWsMb8MPpGWI" TargetMode="External"/><Relationship Id="rId3933" Type="http://schemas.openxmlformats.org/officeDocument/2006/relationships/hyperlink" Target="https://drive.google.com/open?id=1KSoKnWVe3zFAuUCet34CnYqcyzNaUQXMs3T0nYVQnLg" TargetMode="External"/><Relationship Id="rId202" Type="http://schemas.openxmlformats.org/officeDocument/2006/relationships/hyperlink" Target="https://docs.google.com/spreadsheets/d/12X9JD-AWbBkuWWezs5j-Wr8Pph2PVYUpR6vj5PVmvBw/edit" TargetMode="External"/><Relationship Id="rId647" Type="http://schemas.openxmlformats.org/officeDocument/2006/relationships/hyperlink" Target="https://docs.google.com/open?id=1EAyahGhjxPCL1iX8D-KjVlO4ZVCAODx5WV0uFpjgnAM" TargetMode="External"/><Relationship Id="rId854" Type="http://schemas.openxmlformats.org/officeDocument/2006/relationships/hyperlink" Target="https://docs.google.com/spreadsheets/d/15FBk7sjgDl7cPUOvU963L9E2komH58om3QDtMZme2_Q" TargetMode="External"/><Relationship Id="rId1277" Type="http://schemas.openxmlformats.org/officeDocument/2006/relationships/hyperlink" Target="https://drive.google.com/open?id=1ficvqBHLJk6e99DgiH-WdiqrQG8boa8tEPe4zTVx0pc" TargetMode="External"/><Relationship Id="rId1484" Type="http://schemas.openxmlformats.org/officeDocument/2006/relationships/hyperlink" Target="https://drive.google.com/open?id=17PMZXRQ_1B6Qqk7TdJ-LPPZxpEjiF7EJs8iczNpoijc&amp;usp=drive_copy" TargetMode="External"/><Relationship Id="rId1691" Type="http://schemas.openxmlformats.org/officeDocument/2006/relationships/hyperlink" Target="https://docs.google.com/open?id=1F2PMExuSAdbpUTObtEtPgjRIZ5ZpbRG3gZrgcYiHtEU" TargetMode="External"/><Relationship Id="rId2328" Type="http://schemas.openxmlformats.org/officeDocument/2006/relationships/hyperlink" Target="https://drive.google.com/open?id=1Ow6tt7GgsGzVDcxAbmTaGwFSVWBWdbuF0NCB0Fa9u_I&amp;usp=drive_copy" TargetMode="External"/><Relationship Id="rId2535" Type="http://schemas.openxmlformats.org/officeDocument/2006/relationships/hyperlink" Target="https://docs.google.com/open?id=1eXZVA_ImAE2XJu026QaWPTili5KXyoVrxabbT7-sc2I" TargetMode="External"/><Relationship Id="rId2742" Type="http://schemas.openxmlformats.org/officeDocument/2006/relationships/hyperlink" Target="https://docs.google.com/spreadsheets/d/1m5dUtlmU7stLw5HoKctMMpoy3gQ6QrgFU3z3hCirk2A" TargetMode="External"/><Relationship Id="rId507" Type="http://schemas.openxmlformats.org/officeDocument/2006/relationships/hyperlink" Target="https://docs.google.com/open?id=1GcfTeM06fL2h2DFNzZR1dtc4_cQ7sTpi7l_fflQK_YA" TargetMode="External"/><Relationship Id="rId714" Type="http://schemas.openxmlformats.org/officeDocument/2006/relationships/hyperlink" Target="https://docs.google.com/spreadsheets/d/1QNC_GjwCaYLhAtQnqLKMIiNB46WOFjAYv6RyJ9_bKTc" TargetMode="External"/><Relationship Id="rId921" Type="http://schemas.openxmlformats.org/officeDocument/2006/relationships/hyperlink" Target="https://drive.google.com/open?id=1UrAz0CyyTWAism1BSpkvFvdO9j7BVmFyK4BvFMGqoN4" TargetMode="External"/><Relationship Id="rId1137" Type="http://schemas.openxmlformats.org/officeDocument/2006/relationships/hyperlink" Target="https://drive.google.com/open?id=1peJyQg3YjVuVHh5KG223shFEj7aVpFUVJ_BIkxW-VyY" TargetMode="External"/><Relationship Id="rId1344" Type="http://schemas.openxmlformats.org/officeDocument/2006/relationships/hyperlink" Target="https://drive.google.com/open?id=17ctAtEfIrJCw-H4Lw-EIHBSHHCtK27c8i3nBUBx-dok&amp;usp=drive_copy" TargetMode="External"/><Relationship Id="rId1551" Type="http://schemas.openxmlformats.org/officeDocument/2006/relationships/hyperlink" Target="https://docs.google.com/open?id=1EKKoijwi3vW4zyUrz7QL__fUmeTC4Sr48ZlKm7whbEs" TargetMode="External"/><Relationship Id="rId1789" Type="http://schemas.openxmlformats.org/officeDocument/2006/relationships/hyperlink" Target="https://drive.google.com/open?id=1Gyp4t-UQBK08oZO6biQiBfeO2ByzVN5eUy_Awhv5KCo" TargetMode="External"/><Relationship Id="rId1996" Type="http://schemas.openxmlformats.org/officeDocument/2006/relationships/hyperlink" Target="https://drive.google.com/open?id=1fRTVWq5RsLQHXiDjB1uhc_0c6GRGIzAkt24qjlxFN5o&amp;usp=drive_copy" TargetMode="External"/><Relationship Id="rId2602" Type="http://schemas.openxmlformats.org/officeDocument/2006/relationships/hyperlink" Target="https://docs.google.com/spreadsheets/d/1w4DA1jJhQ2K5INJ9-6_26nQpEupQKgDkFwoyQib--3k" TargetMode="External"/><Relationship Id="rId50" Type="http://schemas.openxmlformats.org/officeDocument/2006/relationships/hyperlink" Target="https://docs.google.com/spreadsheets/d/1r8elxg_xlILreh2P4w8j_EwCCYwUwtRBFcUPd9dVyqY/edit" TargetMode="External"/><Relationship Id="rId1204" Type="http://schemas.openxmlformats.org/officeDocument/2006/relationships/hyperlink" Target="https://drive.google.com/open?id=1_Z1hkM7SRuL3P9byoBqA47W_Ayd8EFpoIHDvKWY5EmU&amp;usp=drive_copy" TargetMode="External"/><Relationship Id="rId1411" Type="http://schemas.openxmlformats.org/officeDocument/2006/relationships/hyperlink" Target="https://docs.google.com/open?id=1mNN0GGJA5oEitryJ21T-8euFGdM4BbxAOzlU3ZjgdIk" TargetMode="External"/><Relationship Id="rId1649" Type="http://schemas.openxmlformats.org/officeDocument/2006/relationships/hyperlink" Target="https://drive.google.com/open?id=1BKGz4VszRCofibN7fzSW16onHwd1FiEw8lKzXcKUvBU" TargetMode="External"/><Relationship Id="rId1856" Type="http://schemas.openxmlformats.org/officeDocument/2006/relationships/hyperlink" Target="https://drive.google.com/open?id=1X90azS6cpnwgPxZJZSS908nJMF-RJqkzZQmRNM-GSzU&amp;usp=drive_copy" TargetMode="External"/><Relationship Id="rId2907" Type="http://schemas.openxmlformats.org/officeDocument/2006/relationships/hyperlink" Target="https://docs.google.com/open?id=1iJNUFh3xGdGzCehlEuz7GJb8b3f_f2fV3cRqXvQ6iD4" TargetMode="External"/><Relationship Id="rId3071" Type="http://schemas.openxmlformats.org/officeDocument/2006/relationships/hyperlink" Target="https://docs.google.com/open?id=18PhNjCiYdveRUTmJqMlyM83BT8Ht9DlHAt7y4yZMHHQ" TargetMode="External"/><Relationship Id="rId1509" Type="http://schemas.openxmlformats.org/officeDocument/2006/relationships/hyperlink" Target="https://drive.google.com/open?id=1B0_xXXaZ8ZSCeiKzIlt_mubbOv9uwjelHVYI2_025Os" TargetMode="External"/><Relationship Id="rId1716" Type="http://schemas.openxmlformats.org/officeDocument/2006/relationships/hyperlink" Target="https://drive.google.com/open?id=1jrewA50US-kcfwsHtGixg5WmlbNYmireP83_lqHx9qo&amp;usp=drive_copy" TargetMode="External"/><Relationship Id="rId1923" Type="http://schemas.openxmlformats.org/officeDocument/2006/relationships/hyperlink" Target="https://docs.google.com/open?id=1hN48lGmjWpWkYR21-StJeMuNKeUeuY9SvvUkLpfTpH0" TargetMode="External"/><Relationship Id="rId3169" Type="http://schemas.openxmlformats.org/officeDocument/2006/relationships/hyperlink" Target="https://drive.google.com/open?id=1gGRTR4Lur6u0_zRESzBU7KW1TPl4P5Iv880bTU8SJBs" TargetMode="External"/><Relationship Id="rId3376" Type="http://schemas.openxmlformats.org/officeDocument/2006/relationships/hyperlink" Target="https://drive.google.com/open?id=1ZAjs8uOUu7KESrx8g76IIGgkiTAegU2Tt0XLsaupjXk&amp;usp=drive_copy" TargetMode="External"/><Relationship Id="rId3583" Type="http://schemas.openxmlformats.org/officeDocument/2006/relationships/hyperlink" Target="https://docs.google.com/open?id=14zvWB5Roxv0q_85N-nEiyWk_OkhDmpZrsew3o1AoIMY" TargetMode="External"/><Relationship Id="rId297" Type="http://schemas.openxmlformats.org/officeDocument/2006/relationships/hyperlink" Target="https://drive.google.com/open?id=1xX2OCF10bCMG1NSt35BfuokC4pvbrNMI3vl4skht4QA" TargetMode="External"/><Relationship Id="rId2185" Type="http://schemas.openxmlformats.org/officeDocument/2006/relationships/hyperlink" Target="https://drive.google.com/open?id=1mco9cLjzQnY4uXiMOOPx_fU2rhhUTlz-LMmgaJIWQVM" TargetMode="External"/><Relationship Id="rId2392" Type="http://schemas.openxmlformats.org/officeDocument/2006/relationships/hyperlink" Target="https://drive.google.com/open?id=1YXoLIt-c7QGqA4FJ9oWi3ZPYX0JyzLkFWGf2aC-SkwU&amp;usp=drive_copy" TargetMode="External"/><Relationship Id="rId3029" Type="http://schemas.openxmlformats.org/officeDocument/2006/relationships/hyperlink" Target="https://drive.google.com/open?id=1-jrdE8cRZvI5Rfz7BI0il0R2v8zjsUJ4FcGlq3IJDbU" TargetMode="External"/><Relationship Id="rId3236" Type="http://schemas.openxmlformats.org/officeDocument/2006/relationships/hyperlink" Target="https://drive.google.com/open?id=1xseDbL76iqEG-ydpQtSFkcuLXuUm_zOGpGJTfkOHJfE&amp;usp=drive_copy" TargetMode="External"/><Relationship Id="rId3790" Type="http://schemas.openxmlformats.org/officeDocument/2006/relationships/hyperlink" Target="https://docs.google.com/spreadsheets/d/1Ma8B8P9T1jyN_GT7W61KRUZ_VMQgkur191iZWCk7QO8" TargetMode="External"/><Relationship Id="rId3888" Type="http://schemas.openxmlformats.org/officeDocument/2006/relationships/hyperlink" Target="https://drive.google.com/open?id=19Ot4b1Pasvdp7KssnBJ3memm5REKtMdFm0X5sc7j1m0&amp;usp=drive_copy" TargetMode="External"/><Relationship Id="rId157" Type="http://schemas.openxmlformats.org/officeDocument/2006/relationships/hyperlink" Target="https://docs.google.com/spreadsheets/d/1o8FZaCsvodB69vWRZJS8nYL-5tVtDdmo4upTGixxcao/edit?usp=sharing" TargetMode="External"/><Relationship Id="rId364" Type="http://schemas.openxmlformats.org/officeDocument/2006/relationships/hyperlink" Target="https://drive.google.com/open?id=1BfM1Y36k4wC-KmUwhmTbYQbvBXiMuVInq4baKJarnII&amp;usp=drive_copy" TargetMode="External"/><Relationship Id="rId2045" Type="http://schemas.openxmlformats.org/officeDocument/2006/relationships/hyperlink" Target="https://drive.google.com/open?id=1RcvHn8UmSUJnVTdhZDqkVTd6AyOnH3nsRPYso4rouDk" TargetMode="External"/><Relationship Id="rId2697" Type="http://schemas.openxmlformats.org/officeDocument/2006/relationships/hyperlink" Target="https://drive.google.com/open?id=1Ktsuh0-AFhJe76t0Pi334cE3ekohdRbPx2bysuw-sG4" TargetMode="External"/><Relationship Id="rId3443" Type="http://schemas.openxmlformats.org/officeDocument/2006/relationships/hyperlink" Target="https://docs.google.com/open?id=18AYpcdqW__Uj8oUK72dYYPB5Q2hpTfCpuTq7Cw18ztQ" TargetMode="External"/><Relationship Id="rId3650" Type="http://schemas.openxmlformats.org/officeDocument/2006/relationships/hyperlink" Target="https://docs.google.com/spreadsheets/d/1nTguIhz7s84xpHZvYXCDLKGXhAkn-m851iGpSU8Gkv0" TargetMode="External"/><Relationship Id="rId3748" Type="http://schemas.openxmlformats.org/officeDocument/2006/relationships/hyperlink" Target="https://drive.google.com/open?id=1anp0yAtCtObdnSGDXQSTByktqscnJWT4UdCOFYZgV7A&amp;usp=drive_copy" TargetMode="External"/><Relationship Id="rId571" Type="http://schemas.openxmlformats.org/officeDocument/2006/relationships/hyperlink" Target="https://docs.google.com/open?id=1iuCdBVo6yQTl4ndwwoIEo4D2WdYc9qxKbP1EaXrMQLs" TargetMode="External"/><Relationship Id="rId669" Type="http://schemas.openxmlformats.org/officeDocument/2006/relationships/hyperlink" Target="https://drive.google.com/open?id=1Gpir0HMU-N9zt_jGne8XIfbSUW_8-K8jf6oflWxIePc" TargetMode="External"/><Relationship Id="rId876" Type="http://schemas.openxmlformats.org/officeDocument/2006/relationships/hyperlink" Target="https://drive.google.com/open?id=1cTg3xUvhDaFWyE5aoIHPvBLFjFcxxdD2oEMDUw3CaVY&amp;usp=drive_copy" TargetMode="External"/><Relationship Id="rId1299" Type="http://schemas.openxmlformats.org/officeDocument/2006/relationships/hyperlink" Target="https://docs.google.com/open?id=1__D_DHUBWPg4FqLbqoqxmKhkWLnOeNx0lD5m702KrV0" TargetMode="External"/><Relationship Id="rId2252" Type="http://schemas.openxmlformats.org/officeDocument/2006/relationships/hyperlink" Target="https://drive.google.com/open?id=1aKhwhoTo6OQOu-TLg1sLxgh8ATb2bYtbLjtQyDGX5Sg&amp;usp=drive_copy" TargetMode="External"/><Relationship Id="rId2557" Type="http://schemas.openxmlformats.org/officeDocument/2006/relationships/hyperlink" Target="https://drive.google.com/open?id=1kEC64J6e8Q_50XIjvhn6Wp-Fcg0WzH9a4oBMGplL_Cc" TargetMode="External"/><Relationship Id="rId3303" Type="http://schemas.openxmlformats.org/officeDocument/2006/relationships/hyperlink" Target="https://docs.google.com/open?id=1CMv1lSTwVVLlKgXC1iVk9cQ26fx-WnQDcg8x8ksQ9WY" TargetMode="External"/><Relationship Id="rId3510" Type="http://schemas.openxmlformats.org/officeDocument/2006/relationships/hyperlink" Target="https://docs.google.com/spreadsheets/d/1FkaDDLgFi_H-nJcPFo2xv32OCp-8Si-OgH6LiYw4PAo" TargetMode="External"/><Relationship Id="rId3608" Type="http://schemas.openxmlformats.org/officeDocument/2006/relationships/hyperlink" Target="https://drive.google.com/open?id=1rUbnpZRlk35FQfy_BzYps7EJWLC6LQvmPDViGnVO1A8&amp;usp=drive_copy" TargetMode="External"/><Relationship Id="rId224" Type="http://schemas.openxmlformats.org/officeDocument/2006/relationships/hyperlink" Target="https://drive.google.com/open?id=18Zb6D4T3btM3qXlej17u7QtC9wK0j_qI_oXj57HwkKs&amp;usp=drive_copy" TargetMode="External"/><Relationship Id="rId431" Type="http://schemas.openxmlformats.org/officeDocument/2006/relationships/hyperlink" Target="https://docs.google.com/open?id=1eHfVIuJUr35UiXp2DSH52bJfSrZ0A3gREZI4-n7FaQk" TargetMode="External"/><Relationship Id="rId529" Type="http://schemas.openxmlformats.org/officeDocument/2006/relationships/hyperlink" Target="https://drive.google.com/open?id=17qWmDGno2f-lqhJn0NXfqFhjW-rp-CZGjPw0JvZQt80" TargetMode="External"/><Relationship Id="rId736" Type="http://schemas.openxmlformats.org/officeDocument/2006/relationships/hyperlink" Target="https://drive.google.com/open?id=188gvfRHY-Lhh0buPxNcpokgAmKt2u7SV1hIsUVuVCrQ&amp;usp=drive_copy" TargetMode="External"/><Relationship Id="rId1061" Type="http://schemas.openxmlformats.org/officeDocument/2006/relationships/hyperlink" Target="https://drive.google.com/open?id=1_lZAeTR44NLPw8o0YVl4JkitOMzmqwe85Vai3zHQvHQ" TargetMode="External"/><Relationship Id="rId1159" Type="http://schemas.openxmlformats.org/officeDocument/2006/relationships/hyperlink" Target="https://docs.google.com/open?id=1U3OXeXhbgaXTqO_-yUSfQiyA4NyEqttzT0DpZQKpNZM" TargetMode="External"/><Relationship Id="rId1366" Type="http://schemas.openxmlformats.org/officeDocument/2006/relationships/hyperlink" Target="https://docs.google.com/spreadsheets/d/1MInGZBbEGIdR7hK4Xqu5znda_M1zVfDLfM5KQzwIRqI" TargetMode="External"/><Relationship Id="rId2112" Type="http://schemas.openxmlformats.org/officeDocument/2006/relationships/hyperlink" Target="https://drive.google.com/open?id=1MabMWeb11l_jAiWX5XaI1pSiAKaScicTVXK6tjp2KlU&amp;usp=drive_copy" TargetMode="External"/><Relationship Id="rId2417" Type="http://schemas.openxmlformats.org/officeDocument/2006/relationships/hyperlink" Target="https://drive.google.com/open?id=1Dk6MbPFSP5TugVSenmzuxwYGZyOxYX3l8PUwjiX__Es" TargetMode="External"/><Relationship Id="rId2764" Type="http://schemas.openxmlformats.org/officeDocument/2006/relationships/hyperlink" Target="https://drive.google.com/open?id=1YELInT8SSBdYpiVlIAGwh7WCJDvXKgQuw-Jk_gt43w8&amp;usp=drive_copy" TargetMode="External"/><Relationship Id="rId2971" Type="http://schemas.openxmlformats.org/officeDocument/2006/relationships/hyperlink" Target="https://docs.google.com/open?id=1ZRu0cDPG3ZnOcMxstsnvp__GyPvKCgHY_Kw1yEDb1_k" TargetMode="External"/><Relationship Id="rId3815" Type="http://schemas.openxmlformats.org/officeDocument/2006/relationships/hyperlink" Target="https://docs.google.com/open?id=1nAUeg8nhByjQyE0nbbrN4HQq6Kwe4JMO1lmKt7iyi3E" TargetMode="External"/><Relationship Id="rId943" Type="http://schemas.openxmlformats.org/officeDocument/2006/relationships/hyperlink" Target="https://docs.google.com/open?id=1SHUnS4dncNpz7YCd-hB6suWOY-kxE5GaGxxjn7571Oo" TargetMode="External"/><Relationship Id="rId1019" Type="http://schemas.openxmlformats.org/officeDocument/2006/relationships/hyperlink" Target="https://docs.google.com/open?id=1vM1v4OZYgij_oHrdxN3QvIJKTU0ApEqNdK3duiU4VII" TargetMode="External"/><Relationship Id="rId1573" Type="http://schemas.openxmlformats.org/officeDocument/2006/relationships/hyperlink" Target="https://drive.google.com/open?id=1yhh5SIiKlDKerXM1zWFx3u6bfsWibIKjK8yjZy5wBwI" TargetMode="External"/><Relationship Id="rId1780" Type="http://schemas.openxmlformats.org/officeDocument/2006/relationships/hyperlink" Target="https://drive.google.com/open?id=1vf9IH1TNEzD_gmwTsqRsxcuNdYEbaq1G0-xDRGPnyqs&amp;usp=drive_copy" TargetMode="External"/><Relationship Id="rId1878" Type="http://schemas.openxmlformats.org/officeDocument/2006/relationships/hyperlink" Target="https://docs.google.com/spreadsheets/d/1rrxsUgZcebmq_EXVre3yoGj5K7TK_OyeTWWFpXWC-tQ" TargetMode="External"/><Relationship Id="rId2624" Type="http://schemas.openxmlformats.org/officeDocument/2006/relationships/hyperlink" Target="https://drive.google.com/open?id=13_dDIvMy9lHcIsdHvdy4RDWKzFPH6Hgs4rKd7TyzFl8&amp;usp=drive_copy" TargetMode="External"/><Relationship Id="rId2831" Type="http://schemas.openxmlformats.org/officeDocument/2006/relationships/hyperlink" Target="https://docs.google.com/open?id=1dfJqbnJ3FAMnAfoaYsjD7bVPLGUp8eWkE3ceFLs1YkI" TargetMode="External"/><Relationship Id="rId2929" Type="http://schemas.openxmlformats.org/officeDocument/2006/relationships/hyperlink" Target="https://drive.google.com/open?id=16nOwJNZjj6axyzK5H8fPKZBhBLLYM3Q3bv2UD5YpI_U" TargetMode="External"/><Relationship Id="rId72" Type="http://schemas.openxmlformats.org/officeDocument/2006/relationships/hyperlink" Target="https://docs.google.com/spreadsheets/d/1TiPT_Tsgnrlk4QJMQsGhAKbtPFE1hnk2JOocRVl6DIk/edit" TargetMode="External"/><Relationship Id="rId803" Type="http://schemas.openxmlformats.org/officeDocument/2006/relationships/hyperlink" Target="https://docs.google.com/open?id=1jHoKTzOHUEoVSMIKilhHMKvGU6KARjQzHPlRd-XMikY" TargetMode="External"/><Relationship Id="rId1226" Type="http://schemas.openxmlformats.org/officeDocument/2006/relationships/hyperlink" Target="https://docs.google.com/spreadsheets/d/1OFeUEHRjAsBnku94OcZF75jRFJ9XV4JaanumlcjbimY" TargetMode="External"/><Relationship Id="rId1433" Type="http://schemas.openxmlformats.org/officeDocument/2006/relationships/hyperlink" Target="https://drive.google.com/open?id=1mZWWVltoMCDTOP9Wgo01tGmHcxLtDX60eDtdD9dKRoI" TargetMode="External"/><Relationship Id="rId1640" Type="http://schemas.openxmlformats.org/officeDocument/2006/relationships/hyperlink" Target="https://drive.google.com/open?id=15NnHwZNtdLvNa8kYHxaRq_aLhBMi5k1IUcV6fQmrbuw&amp;usp=drive_copy" TargetMode="External"/><Relationship Id="rId1738" Type="http://schemas.openxmlformats.org/officeDocument/2006/relationships/hyperlink" Target="https://docs.google.com/spreadsheets/d/1jLNf8Z_ggCDVtKRBWe0mr7gre3LCLqYYq10_rjFIYRA/edit?usp=sharing" TargetMode="External"/><Relationship Id="rId3093" Type="http://schemas.openxmlformats.org/officeDocument/2006/relationships/hyperlink" Target="https://drive.google.com/open?id=1CehHk5pu2q8DN6btSupLBm_7TGv5hMWZBOzI_ccjnmU" TargetMode="External"/><Relationship Id="rId1500" Type="http://schemas.openxmlformats.org/officeDocument/2006/relationships/hyperlink" Target="https://drive.google.com/open?id=1512O-Mm7NdBhYen1YMEKrCEvruG_laGphSRrGhqy61k&amp;usp=drive_copy" TargetMode="External"/><Relationship Id="rId1945" Type="http://schemas.openxmlformats.org/officeDocument/2006/relationships/hyperlink" Target="https://drive.google.com/open?id=1v22mzuSWLt2ZDEoN1NNFkTozSm0nN0SKVh2EVilzU44" TargetMode="External"/><Relationship Id="rId3160" Type="http://schemas.openxmlformats.org/officeDocument/2006/relationships/hyperlink" Target="https://drive.google.com/open?id=1a8LV4npoimBfBVZdQqg1Db57ovM38klupR7YzhDNDCI&amp;usp=drive_copy" TargetMode="External"/><Relationship Id="rId3398" Type="http://schemas.openxmlformats.org/officeDocument/2006/relationships/hyperlink" Target="https://docs.google.com/spreadsheets/d/1pCy-7uCgNB6oTZL8D5rl2sClI77OeSEC0-Gmapc316U" TargetMode="External"/><Relationship Id="rId1805" Type="http://schemas.openxmlformats.org/officeDocument/2006/relationships/hyperlink" Target="https://drive.google.com/open?id=1BZvpE2lIELEHrmqGgVagoASRdUm4x0umZ0AkPkuzWsA" TargetMode="External"/><Relationship Id="rId3020" Type="http://schemas.openxmlformats.org/officeDocument/2006/relationships/hyperlink" Target="https://drive.google.com/open?id=1yVJSFzpNooqOgLJUGiWtKAZxsvOVpESm_ce_i1tvsvY&amp;usp=drive_copy" TargetMode="External"/><Relationship Id="rId3258" Type="http://schemas.openxmlformats.org/officeDocument/2006/relationships/hyperlink" Target="https://docs.google.com/spreadsheets/d/14K4vBGbEPLrpjqxWuBqkMZisO1QpDOqeoS-1ntR6goM" TargetMode="External"/><Relationship Id="rId3465" Type="http://schemas.openxmlformats.org/officeDocument/2006/relationships/hyperlink" Target="https://drive.google.com/open?id=1MKr_jjc4GXU_Zmbncl1XMESpZh3TKe1CYRcrgEzOrc4" TargetMode="External"/><Relationship Id="rId3672" Type="http://schemas.openxmlformats.org/officeDocument/2006/relationships/hyperlink" Target="https://drive.google.com/open?id=1QmUi7ARVrPxxYYnSt19fF4Ks8563tp3d8KxOA8uZSgY&amp;usp=drive_copy" TargetMode="External"/><Relationship Id="rId179" Type="http://schemas.openxmlformats.org/officeDocument/2006/relationships/hyperlink" Target="https://docs.google.com/spreadsheets/d/1JCBJ85vRz7dN4Gd7Fk9fUV2BLUA4_5mtokNwPYUDdvM/edit?usp=sharing" TargetMode="External"/><Relationship Id="rId386" Type="http://schemas.openxmlformats.org/officeDocument/2006/relationships/hyperlink" Target="https://docs.google.com/spreadsheets/d/1GHnXCx0LnJC_JIy1DlN9P9EQpaEVohRuYPHdak8VkZg" TargetMode="External"/><Relationship Id="rId593" Type="http://schemas.openxmlformats.org/officeDocument/2006/relationships/hyperlink" Target="https://drive.google.com/open?id=1zBfcx0TdF003nr_rzPiSnZ4drRXMsiwquWfhrFJ0A54" TargetMode="External"/><Relationship Id="rId2067" Type="http://schemas.openxmlformats.org/officeDocument/2006/relationships/hyperlink" Target="https://docs.google.com/open?id=1_Z9xhlLNQp8Gg84MYo3lOwLL1j3O0rpkd188A6qymLE" TargetMode="External"/><Relationship Id="rId2274" Type="http://schemas.openxmlformats.org/officeDocument/2006/relationships/hyperlink" Target="https://docs.google.com/spreadsheets/d/13IXO_KWsN44UjR6jYAwOApXIcPgtchZKHLzXZN49ktc" TargetMode="External"/><Relationship Id="rId2481" Type="http://schemas.openxmlformats.org/officeDocument/2006/relationships/hyperlink" Target="https://drive.google.com/open?id=1mOXbF6yfi6oNvpmZMbJmkg3T_Qp9tOva4cXGq7N9gM0" TargetMode="External"/><Relationship Id="rId3118" Type="http://schemas.openxmlformats.org/officeDocument/2006/relationships/hyperlink" Target="https://docs.google.com/spreadsheets/d/1I-vxLIVYfSOUtjQO7TMvGR1QBJWchh0c21ssBEdTrhY" TargetMode="External"/><Relationship Id="rId3325" Type="http://schemas.openxmlformats.org/officeDocument/2006/relationships/hyperlink" Target="https://drive.google.com/open?id=1Hv6VNG6hlABhvRK5K9_0ZFagpo-NXNhJcAbMzbVL--Q" TargetMode="External"/><Relationship Id="rId3532" Type="http://schemas.openxmlformats.org/officeDocument/2006/relationships/hyperlink" Target="https://drive.google.com/open?id=1gnt4AFyXmaaRGzayHdK0_PmNalG3gRic42cC1r0nYrw&amp;usp=drive_copy" TargetMode="External"/><Relationship Id="rId246" Type="http://schemas.openxmlformats.org/officeDocument/2006/relationships/hyperlink" Target="https://docs.google.com/spreadsheets/d/1NvyKEQQLihaYxVjpQNCskWiifuJhyRv3QMxhWIGQhFs" TargetMode="External"/><Relationship Id="rId453" Type="http://schemas.openxmlformats.org/officeDocument/2006/relationships/hyperlink" Target="https://drive.google.com/open?id=1l_3BOphgSKiWS005QTyeceTwr4E4b1r5573yNsuQWMQ" TargetMode="External"/><Relationship Id="rId660" Type="http://schemas.openxmlformats.org/officeDocument/2006/relationships/hyperlink" Target="https://drive.google.com/open?id=1FKcQjqLinauzehbSGs5V555Y3ChiwhHP6O0KoyrfEzg&amp;usp=drive_copy" TargetMode="External"/><Relationship Id="rId898" Type="http://schemas.openxmlformats.org/officeDocument/2006/relationships/hyperlink" Target="https://docs.google.com/spreadsheets/d/1R3ix6TlsU6FSycPVRYy2KtmwR-m0tlKaLbuWDkusD0w" TargetMode="External"/><Relationship Id="rId1083" Type="http://schemas.openxmlformats.org/officeDocument/2006/relationships/hyperlink" Target="https://docs.google.com/open?id=1hpIaW6OPhu-Wzs4jCob0b3BJt3IFD0vHWxah8OTuuVQ" TargetMode="External"/><Relationship Id="rId1290" Type="http://schemas.openxmlformats.org/officeDocument/2006/relationships/hyperlink" Target="https://docs.google.com/spreadsheets/d/1O0M1GF9FrEXr-6GoeB3fHoQbQ_QU62b75nZ_eZovKBM" TargetMode="External"/><Relationship Id="rId2134" Type="http://schemas.openxmlformats.org/officeDocument/2006/relationships/hyperlink" Target="https://docs.google.com/spreadsheets/d/1U9IhFiWSDuBKDWs_Q35FSL0yDRfuP0oq7UOlt7OUh4Y" TargetMode="External"/><Relationship Id="rId2341" Type="http://schemas.openxmlformats.org/officeDocument/2006/relationships/hyperlink" Target="https://drive.google.com/open?id=1LVR1aPL1dAq6g8CXTg-Gmkmx3cph1OJTlXvJQKr4mBc" TargetMode="External"/><Relationship Id="rId2579" Type="http://schemas.openxmlformats.org/officeDocument/2006/relationships/hyperlink" Target="https://docs.google.com/open?id=1qSbpqhBnbT3tMzgcYUDNtl4jYShJmIvqrgwXWSJAw4I" TargetMode="External"/><Relationship Id="rId2786" Type="http://schemas.openxmlformats.org/officeDocument/2006/relationships/hyperlink" Target="https://docs.google.com/spreadsheets/d/1HBCQ_XXfUmpmKaHIn83dtmHplKxjITHcMoC7wOksBgw" TargetMode="External"/><Relationship Id="rId2993" Type="http://schemas.openxmlformats.org/officeDocument/2006/relationships/hyperlink" Target="https://drive.google.com/open?id=1mnKPLyxOXQjn0E0yqs9JJZB9JiLp2bqc7d7hf0T9ySM" TargetMode="External"/><Relationship Id="rId3837" Type="http://schemas.openxmlformats.org/officeDocument/2006/relationships/hyperlink" Target="https://drive.google.com/open?id=1zh2TuFV0FMAEYytBJUChBSc9SIJItqctq-QBvrPHvxM" TargetMode="External"/><Relationship Id="rId106" Type="http://schemas.openxmlformats.org/officeDocument/2006/relationships/hyperlink" Target="https://docs.google.com/spreadsheets/d/1Ljt-lgcOpgd1rE3OKtvbVNEF1-B63h7JpKmJS_G0DtU/edit" TargetMode="External"/><Relationship Id="rId313" Type="http://schemas.openxmlformats.org/officeDocument/2006/relationships/hyperlink" Target="https://drive.google.com/open?id=11OokbP0EVmmdg1_tOqNaSEJC7nRHVLe4ULP8VTkxO2s" TargetMode="External"/><Relationship Id="rId758" Type="http://schemas.openxmlformats.org/officeDocument/2006/relationships/hyperlink" Target="https://docs.google.com/spreadsheets/d/1c3br8TdeXFL5utojEt0poDYlrdaQ7v0TiQ9p2dXiWuA" TargetMode="External"/><Relationship Id="rId965" Type="http://schemas.openxmlformats.org/officeDocument/2006/relationships/hyperlink" Target="https://drive.google.com/open?id=1KdqwKBtk-yEflHK_cIrmFrH-o0x9R7tXlkmmlGwwtS4" TargetMode="External"/><Relationship Id="rId1150" Type="http://schemas.openxmlformats.org/officeDocument/2006/relationships/hyperlink" Target="https://docs.google.com/spreadsheets/d/1TkzLHbzxcPVx537kBW55zEu46XLYU1_bQM6apZhoGo0" TargetMode="External"/><Relationship Id="rId1388" Type="http://schemas.openxmlformats.org/officeDocument/2006/relationships/hyperlink" Target="https://drive.google.com/open?id=1VwwKPJ-nn8QXgNoCc2vxkuGxRCW712tdCv1BNS9wOeA&amp;usp=drive_copy" TargetMode="External"/><Relationship Id="rId1595" Type="http://schemas.openxmlformats.org/officeDocument/2006/relationships/hyperlink" Target="https://docs.google.com/open?id=1P-SnFiPbUmTrneBVUziQqOrKU8u-uvlp-9-M5KtblnY" TargetMode="External"/><Relationship Id="rId2439" Type="http://schemas.openxmlformats.org/officeDocument/2006/relationships/hyperlink" Target="https://docs.google.com/open?id=1XmjjaxhccnvGh5nP_NwFuid8AOS8YXBHMmiOrkKZJXA" TargetMode="External"/><Relationship Id="rId2646" Type="http://schemas.openxmlformats.org/officeDocument/2006/relationships/hyperlink" Target="https://docs.google.com/spreadsheets/d/18V2TuR64ZwJVbQdxwGrz8h3eNOhofDrzvLfElk1FTBw" TargetMode="External"/><Relationship Id="rId2853" Type="http://schemas.openxmlformats.org/officeDocument/2006/relationships/hyperlink" Target="https://drive.google.com/open?id=1mb56fxeCsNeZ0a6kyOs71lHHML1NvKdWPL1pxHAxARE" TargetMode="External"/><Relationship Id="rId3904" Type="http://schemas.openxmlformats.org/officeDocument/2006/relationships/hyperlink" Target="https://drive.google.com/open?id=1YG8FCFfb_7C-VhPVWkjgcqsqSOCY3bVI7QNYB_FGnz0&amp;usp=drive_copy" TargetMode="External"/><Relationship Id="rId94" Type="http://schemas.openxmlformats.org/officeDocument/2006/relationships/hyperlink" Target="https://docs.google.com/spreadsheets/d/1cgxhZHI42-wvnF_KMegFNiCeKEvgXbD0SY8Gb_CMSnk/edit" TargetMode="External"/><Relationship Id="rId520" Type="http://schemas.openxmlformats.org/officeDocument/2006/relationships/hyperlink" Target="https://drive.google.com/open?id=1qTpeEQnt9Rpk-icmqGc9J1CNga9ryRfyiIzmEt_-ehQ&amp;usp=drive_copy" TargetMode="External"/><Relationship Id="rId618" Type="http://schemas.openxmlformats.org/officeDocument/2006/relationships/hyperlink" Target="https://docs.google.com/spreadsheets/d/15QfApwuhEO15jiw3v1uAAyQWvf6mevK46wqYBH7wyas" TargetMode="External"/><Relationship Id="rId825" Type="http://schemas.openxmlformats.org/officeDocument/2006/relationships/hyperlink" Target="https://drive.google.com/open?id=1n9Aa6HxVngvQq50B4UTfv8sE_B-XeDhjObcHuM4I11E" TargetMode="External"/><Relationship Id="rId1248" Type="http://schemas.openxmlformats.org/officeDocument/2006/relationships/hyperlink" Target="https://drive.google.com/open?id=1bjku_Gk_9iMSFZTNgcsAFZaECplFltPExyoSg0Sb4Is&amp;usp=drive_copy" TargetMode="External"/><Relationship Id="rId1455" Type="http://schemas.openxmlformats.org/officeDocument/2006/relationships/hyperlink" Target="https://docs.google.com/open?id=1rpNu8ZwX5PG5PcLz3S5O2mSzQ-fLjtS5QNCQLe-Muj0" TargetMode="External"/><Relationship Id="rId1662" Type="http://schemas.openxmlformats.org/officeDocument/2006/relationships/hyperlink" Target="https://docs.google.com/spreadsheets/d/1SvgwqPMmFRn7bd9BUNr0R5HUmumpGdQHHWFRch-vBN0" TargetMode="External"/><Relationship Id="rId2201" Type="http://schemas.openxmlformats.org/officeDocument/2006/relationships/hyperlink" Target="https://drive.google.com/open?id=19HroPzzkmiZzm6tC2ANSMFbNSMSMb2EabDKeadenDbk" TargetMode="External"/><Relationship Id="rId2506" Type="http://schemas.openxmlformats.org/officeDocument/2006/relationships/hyperlink" Target="https://docs.google.com/spreadsheets/d/1EE7F9TdJWX39Eaf_HwosXUAAqTVHuiDKG-FG6pfOzP0" TargetMode="External"/><Relationship Id="rId1010" Type="http://schemas.openxmlformats.org/officeDocument/2006/relationships/hyperlink" Target="https://docs.google.com/spreadsheets/d/1ebORm7--zDvIm4NamzjuPjOtUBAx5tZHACLcjK5Mq_c" TargetMode="External"/><Relationship Id="rId1108" Type="http://schemas.openxmlformats.org/officeDocument/2006/relationships/hyperlink" Target="https://drive.google.com/open?id=1oxOc09P3H6c3etcU2Cox3OmjdScC_NtBT9weDtr2OM0&amp;usp=drive_copy" TargetMode="External"/><Relationship Id="rId1315" Type="http://schemas.openxmlformats.org/officeDocument/2006/relationships/hyperlink" Target="https://docs.google.com/open?id=1N_WrHcr11qulhkAdEab8_wuC2B7JHCxGyuLUPO_BLz8" TargetMode="External"/><Relationship Id="rId1967" Type="http://schemas.openxmlformats.org/officeDocument/2006/relationships/hyperlink" Target="https://docs.google.com/open?id=1F8mh2f_xCHvYVXqCZR4UE3A7zt9fJAtyBMCw_Pbd0-E" TargetMode="External"/><Relationship Id="rId2713" Type="http://schemas.openxmlformats.org/officeDocument/2006/relationships/hyperlink" Target="https://drive.google.com/open?id=1uGLafnwIlis0kZmaAo4Pjzeo7Z74zkABUJIvqmVN_YE" TargetMode="External"/><Relationship Id="rId2920" Type="http://schemas.openxmlformats.org/officeDocument/2006/relationships/hyperlink" Target="https://drive.google.com/open?id=15XzwiTLnXTVZU4W19qVl298eEfhfzwdZaYDqQkY-_hM&amp;usp=drive_copy" TargetMode="External"/><Relationship Id="rId1522" Type="http://schemas.openxmlformats.org/officeDocument/2006/relationships/hyperlink" Target="https://docs.google.com/spreadsheets/d/1C8nqDXbJfAiIjuDjiMu5OkA0dHOJ_GCj6_z55jqJYyk" TargetMode="External"/><Relationship Id="rId21" Type="http://schemas.openxmlformats.org/officeDocument/2006/relationships/hyperlink" Target="https://docs.google.com/spreadsheets/d/1mb_BZPt2HMU-IcLb4vaK5c_CjHM23e3vhkmwItR5rAU/edit?usp=sharing" TargetMode="External"/><Relationship Id="rId2089" Type="http://schemas.openxmlformats.org/officeDocument/2006/relationships/hyperlink" Target="https://drive.google.com/open?id=1qi8RpRUilbwQp6yaE6A4fo9IsrE1w4X5EuFk7MfPJvw" TargetMode="External"/><Relationship Id="rId3487" Type="http://schemas.openxmlformats.org/officeDocument/2006/relationships/hyperlink" Target="https://docs.google.com/open?id=1rE_ckqhKl7FSC5fenyBrcNODErnTSokKP3B0_36z4CY" TargetMode="External"/><Relationship Id="rId3694" Type="http://schemas.openxmlformats.org/officeDocument/2006/relationships/hyperlink" Target="https://docs.google.com/spreadsheets/d/1Yk1yQn_PGRwSe8BNNnKwSy6nlEdzEKhsFw9sdXWz_sk" TargetMode="External"/><Relationship Id="rId2296" Type="http://schemas.openxmlformats.org/officeDocument/2006/relationships/hyperlink" Target="https://drive.google.com/open?id=1TRRqPufsYEUl_PyL7lkIkgBQ5pbDLDi8MOSLHu5EjuU&amp;usp=drive_copy" TargetMode="External"/><Relationship Id="rId3347" Type="http://schemas.openxmlformats.org/officeDocument/2006/relationships/hyperlink" Target="https://docs.google.com/open?id=1OOHMI232_oP5oX8fS28pYSkDNtpR-MiqpIFkHZYrjJE" TargetMode="External"/><Relationship Id="rId3554" Type="http://schemas.openxmlformats.org/officeDocument/2006/relationships/hyperlink" Target="https://docs.google.com/spreadsheets/d/1cJyH9G0xbvBMR_LB1KQIbph10iy8GP-WteejWLRZcuI" TargetMode="External"/><Relationship Id="rId3761" Type="http://schemas.openxmlformats.org/officeDocument/2006/relationships/hyperlink" Target="https://drive.google.com/open?id=1Vp9XSd4bFFHPTkZ3pBXqVAaqQ3D5HakYfXbBEzzxmXk" TargetMode="External"/><Relationship Id="rId268" Type="http://schemas.openxmlformats.org/officeDocument/2006/relationships/hyperlink" Target="https://drive.google.com/open?id=1ZOx50n9LxDnUJ4WoZJfQAW77psTsnQhwPusYOEBG7Ng&amp;usp=drive_copy" TargetMode="External"/><Relationship Id="rId475" Type="http://schemas.openxmlformats.org/officeDocument/2006/relationships/hyperlink" Target="https://docs.google.com/open?id=1vUXqua83v3x9zh05wORCmfx2chW-Q5N-YKl7HU7_xxk" TargetMode="External"/><Relationship Id="rId682" Type="http://schemas.openxmlformats.org/officeDocument/2006/relationships/hyperlink" Target="https://docs.google.com/spreadsheets/d/1IpjbK_P7dAk_ICHRUCk0DpMxZOgclIBDIH9lpWsYM-E" TargetMode="External"/><Relationship Id="rId2156" Type="http://schemas.openxmlformats.org/officeDocument/2006/relationships/hyperlink" Target="https://drive.google.com/open?id=1gp-STXwLZ7ksJXWsEH9Se3ppe-mCXxDjiCtHrDrGUi8&amp;usp=drive_copy" TargetMode="External"/><Relationship Id="rId2363" Type="http://schemas.openxmlformats.org/officeDocument/2006/relationships/hyperlink" Target="https://docs.google.com/open?id=10_OwX_aZhDoGS6yaVBeSj7im8Lh-mNudToK-z5iklOE" TargetMode="External"/><Relationship Id="rId2570" Type="http://schemas.openxmlformats.org/officeDocument/2006/relationships/hyperlink" Target="https://docs.google.com/spreadsheets/d/1nIgLQUqkTZWxzZ7wba4p4rdet2tZLGLBiBV7eCpag2s" TargetMode="External"/><Relationship Id="rId3207" Type="http://schemas.openxmlformats.org/officeDocument/2006/relationships/hyperlink" Target="https://docs.google.com/open?id=1p379W6bykEQ8xe3zOi8uiLhwC58RyN8BBToJl6cMk2Y" TargetMode="External"/><Relationship Id="rId3414" Type="http://schemas.openxmlformats.org/officeDocument/2006/relationships/hyperlink" Target="https://docs.google.com/spreadsheets/d/1upMbc2DOHsxHu_J0dPK37xsFchSINnXvgmYGT1j2Pcs" TargetMode="External"/><Relationship Id="rId3621" Type="http://schemas.openxmlformats.org/officeDocument/2006/relationships/hyperlink" Target="https://docs.google.com/spreadsheets/d/1x3trs2wSiz5ktdTSnKOmaf0SXagaoGxqKwbd6xwRG0c/edit?usp=drive_link" TargetMode="External"/><Relationship Id="rId128" Type="http://schemas.openxmlformats.org/officeDocument/2006/relationships/hyperlink" Target="https://docs.google.com/spreadsheets/d/1yQu_8qKdWU1iAVHxM6pd5K6Hl6M5VlhvsRoz6YD3MoM/edit" TargetMode="External"/><Relationship Id="rId335" Type="http://schemas.openxmlformats.org/officeDocument/2006/relationships/hyperlink" Target="https://docs.google.com/open?id=17BYHu_4eHwIFiihrpOpzhc-MhEVBCao5FjkTcBvd_1w" TargetMode="External"/><Relationship Id="rId542" Type="http://schemas.openxmlformats.org/officeDocument/2006/relationships/hyperlink" Target="https://docs.google.com/spreadsheets/d/1N2b5eyYI6AWlfXQTEv_JxnPRRXHfsXF9RjK4Z3AUhcM" TargetMode="External"/><Relationship Id="rId1172" Type="http://schemas.openxmlformats.org/officeDocument/2006/relationships/hyperlink" Target="https://drive.google.com/open?id=1XZ0nOf_lIIurh_0YI6XJjrazj_ubPlOlFvi6ZJ7-62M&amp;usp=drive_copy" TargetMode="External"/><Relationship Id="rId2016" Type="http://schemas.openxmlformats.org/officeDocument/2006/relationships/hyperlink" Target="https://drive.google.com/open?id=1I3AF19kK7L1mKBHF-HNiBhq5ToSl1LbuuMHzVkPdcUo&amp;usp=drive_copy" TargetMode="External"/><Relationship Id="rId2223" Type="http://schemas.openxmlformats.org/officeDocument/2006/relationships/hyperlink" Target="https://docs.google.com/open?id=1rzdx9UAhbIRoxrMEutVUaRWfVqoguv6al7RHo09Q7qs" TargetMode="External"/><Relationship Id="rId2430" Type="http://schemas.openxmlformats.org/officeDocument/2006/relationships/hyperlink" Target="https://docs.google.com/spreadsheets/d/1U1_WC00FR3s7Xqllgrk-nYX6bEswGj3ea0FaYR3S7rI" TargetMode="External"/><Relationship Id="rId402" Type="http://schemas.openxmlformats.org/officeDocument/2006/relationships/hyperlink" Target="https://docs.google.com/spreadsheets/d/1HyvwxqD5FNZqjR8zH5AobLOZNgEZj5B8DhfxGq-R-e8" TargetMode="External"/><Relationship Id="rId1032" Type="http://schemas.openxmlformats.org/officeDocument/2006/relationships/hyperlink" Target="https://drive.google.com/open?id=1zV8tIvGoNK8aF3W0o-01UwnkDENQdvxe7JUTwTFxozA&amp;usp=drive_copy" TargetMode="External"/><Relationship Id="rId1989" Type="http://schemas.openxmlformats.org/officeDocument/2006/relationships/hyperlink" Target="https://drive.google.com/open?id=1bUrbjQoyRd_8zWya9Ql-oZVVEdKMJVD62WjZnWWglEY" TargetMode="External"/><Relationship Id="rId1849" Type="http://schemas.openxmlformats.org/officeDocument/2006/relationships/hyperlink" Target="https://drive.google.com/open?id=1CVec7J3OIvr4Ihx7henQ_ebOj3ZDuGwaOY4cGgm6rEM" TargetMode="External"/><Relationship Id="rId3064" Type="http://schemas.openxmlformats.org/officeDocument/2006/relationships/hyperlink" Target="https://drive.google.com/open?id=17Ko1LM4jIp6bwuXmNtHl8M-offEqBv4yzu9oM9psBEg&amp;usp=drive_copy" TargetMode="External"/><Relationship Id="rId192" Type="http://schemas.openxmlformats.org/officeDocument/2006/relationships/hyperlink" Target="https://docs.google.com/spreadsheets/d/1RaBb4CQNYNCR44ydY7G-u6f9xYWCHOZ3o4MQK2PzfMo/edit" TargetMode="External"/><Relationship Id="rId1709" Type="http://schemas.openxmlformats.org/officeDocument/2006/relationships/hyperlink" Target="https://drive.google.com/open?id=1aj0nnqQJ8kdvSNyQQZ6Mx1y7gRbQZ64taRxAvkpPcnk" TargetMode="External"/><Relationship Id="rId1916" Type="http://schemas.openxmlformats.org/officeDocument/2006/relationships/hyperlink" Target="https://drive.google.com/open?id=1ux_omYs00ZIRBqO_vvyjDrGxqtMqjIMPcLxc9xdvc20&amp;usp=drive_copy" TargetMode="External"/><Relationship Id="rId3271" Type="http://schemas.openxmlformats.org/officeDocument/2006/relationships/hyperlink" Target="https://docs.google.com/open?id=15gskuiLJ7NnwRC3YF9-7hGMug8sEDze5zbG9chymo6U" TargetMode="External"/><Relationship Id="rId2080" Type="http://schemas.openxmlformats.org/officeDocument/2006/relationships/hyperlink" Target="https://drive.google.com/open?id=1F_9OAvKz0KlFsPKIxwKI3CJWvfkj5tmmyxQqpkANOIc&amp;usp=drive_copy" TargetMode="External"/><Relationship Id="rId3131" Type="http://schemas.openxmlformats.org/officeDocument/2006/relationships/hyperlink" Target="https://docs.google.com/open?id=1QIzz8HYesPRmic6Qkc5-ebla4knJzqQHHpoOj4BbwI0" TargetMode="External"/><Relationship Id="rId2897" Type="http://schemas.openxmlformats.org/officeDocument/2006/relationships/hyperlink" Target="https://drive.google.com/open?id=1VRx1_kzqtzOcQap8Edcli55mX_SZmlUdk6fdp24kplY" TargetMode="External"/><Relationship Id="rId3948" Type="http://schemas.openxmlformats.org/officeDocument/2006/relationships/hyperlink" Target="https://drive.google.com/open?id=1yyWpoI7sekFdjRmZBdv2nk40V__VZXy6Nxa_RTxVxYU&amp;usp=drive_copy" TargetMode="External"/><Relationship Id="rId869" Type="http://schemas.openxmlformats.org/officeDocument/2006/relationships/hyperlink" Target="https://drive.google.com/open?id=1xVwIVwhJZ1aLTQLS03BeQMS_wvvUh2wZfIX_cEuIWvY" TargetMode="External"/><Relationship Id="rId1499" Type="http://schemas.openxmlformats.org/officeDocument/2006/relationships/hyperlink" Target="https://docs.google.com/open?id=1LrWvHuQX6DHow6YrL92yJDBgCwhl25PX9bpU07Pltj8" TargetMode="External"/><Relationship Id="rId729" Type="http://schemas.openxmlformats.org/officeDocument/2006/relationships/hyperlink" Target="https://drive.google.com/open?id=1XvsihmVQFuIhNuYLr4ZY3pwe7z0DK2N9-5RGJzYmsxE" TargetMode="External"/><Relationship Id="rId1359" Type="http://schemas.openxmlformats.org/officeDocument/2006/relationships/hyperlink" Target="https://docs.google.com/open?id=1Jj5otQeDso0D0uNQp3S1GmCwFSEJTRkMJh8BeAIHIhI" TargetMode="External"/><Relationship Id="rId2757" Type="http://schemas.openxmlformats.org/officeDocument/2006/relationships/hyperlink" Target="https://drive.google.com/open?id=1bpzPTv2x34Z3f7I7vnh0EdNcL2_IXuBRk0j86EfK_i8" TargetMode="External"/><Relationship Id="rId2964" Type="http://schemas.openxmlformats.org/officeDocument/2006/relationships/hyperlink" Target="https://drive.google.com/open?id=1WIeOo_cavCz6IzPv-79HsdP8DPAiY2XsnlSzhq_-wfw&amp;usp=drive_copy" TargetMode="External"/><Relationship Id="rId3808" Type="http://schemas.openxmlformats.org/officeDocument/2006/relationships/hyperlink" Target="https://drive.google.com/open?id=1hhUgikEW5K-NuleAxxHugrZWLfJENeDn34ezodBXBz4&amp;usp=drive_copy" TargetMode="External"/><Relationship Id="rId936" Type="http://schemas.openxmlformats.org/officeDocument/2006/relationships/hyperlink" Target="https://drive.google.com/open?id=1HTaVZe1FFZP8z6EJtKgSrY71HOWk1fPYEpqK9U86A_I&amp;usp=drive_copy" TargetMode="External"/><Relationship Id="rId1219" Type="http://schemas.openxmlformats.org/officeDocument/2006/relationships/hyperlink" Target="https://docs.google.com/open?id=1Og3mVdnDiCjFpE9cXvXy66fPL0fhJjpQ-28U3d9XHf4" TargetMode="External"/><Relationship Id="rId1566" Type="http://schemas.openxmlformats.org/officeDocument/2006/relationships/hyperlink" Target="https://docs.google.com/spreadsheets/d/1vbIpNLIrtsRBXqGoKiTY2MwTpkrvJpMfY-4jcOc-87Q" TargetMode="External"/><Relationship Id="rId1773" Type="http://schemas.openxmlformats.org/officeDocument/2006/relationships/hyperlink" Target="https://drive.google.com/open?id=1um608jV13fNH1ZbjwoXwV-tSluf_VdhWse6cXP4D8hU" TargetMode="External"/><Relationship Id="rId1980" Type="http://schemas.openxmlformats.org/officeDocument/2006/relationships/hyperlink" Target="https://drive.google.com/open?id=16MyVWQLNl7HMCmx8YWNFG_zmTXRoJ1gwvLsSTUWr_wg&amp;usp=drive_copy" TargetMode="External"/><Relationship Id="rId2617" Type="http://schemas.openxmlformats.org/officeDocument/2006/relationships/hyperlink" Target="https://drive.google.com/open?id=1-0X0HMeTQmIRCk_pJfwsz13RQ3KiqggzPT64BlsAfK8" TargetMode="External"/><Relationship Id="rId2824" Type="http://schemas.openxmlformats.org/officeDocument/2006/relationships/hyperlink" Target="https://drive.google.com/open?id=1_IlLrpMCR8JwfyVw7TeHCLEb5PHpLme-K6LRIFBUVm0&amp;usp=drive_copy" TargetMode="External"/><Relationship Id="rId65" Type="http://schemas.openxmlformats.org/officeDocument/2006/relationships/hyperlink" Target="https://docs.google.com/spreadsheets/d/1jkfM3Ow_URh5QCpEop8C3NcZlI-Kn4oNuniVaSYZU0g/edit?usp=sharing" TargetMode="External"/><Relationship Id="rId1426" Type="http://schemas.openxmlformats.org/officeDocument/2006/relationships/hyperlink" Target="https://docs.google.com/spreadsheets/d/1mbTS3Bu6MS0ju-5srY3pPB5b8S95ojZrjyxgkkp-DiQ" TargetMode="External"/><Relationship Id="rId1633" Type="http://schemas.openxmlformats.org/officeDocument/2006/relationships/hyperlink" Target="https://drive.google.com/open?id=1qDjLQ2-zmIKipmsLWvCvt2a-M6hKKOyBZzsFPfmRvJM" TargetMode="External"/><Relationship Id="rId1840" Type="http://schemas.openxmlformats.org/officeDocument/2006/relationships/hyperlink" Target="https://drive.google.com/open?id=1I7RkrNovslxB9JxiPXBExgVyzLZs3EkVNXTGrAx97qU&amp;usp=drive_copy" TargetMode="External"/><Relationship Id="rId1700" Type="http://schemas.openxmlformats.org/officeDocument/2006/relationships/hyperlink" Target="https://drive.google.com/open?id=1YuEcudYycIAEz6Kj5tfliBJzbEOJLch9G62k9JrIOh0&amp;usp=drive_copy" TargetMode="External"/><Relationship Id="rId3598" Type="http://schemas.openxmlformats.org/officeDocument/2006/relationships/hyperlink" Target="https://docs.google.com/spreadsheets/d/1TFECJJopodwekhtR2PKF9WgnAcBWKltb4U9QfBUHZFc" TargetMode="External"/><Relationship Id="rId3458" Type="http://schemas.openxmlformats.org/officeDocument/2006/relationships/hyperlink" Target="https://docs.google.com/spreadsheets/d/1Kk5ljm1U1aNX9U-iO3woyNGOVfHVoaCk0XRcsdKqFE8" TargetMode="External"/><Relationship Id="rId3665" Type="http://schemas.openxmlformats.org/officeDocument/2006/relationships/hyperlink" Target="https://drive.google.com/open?id=19ZDN6-sAUd9J7XkAkFvRVoMzw1UnPWUn7WxMS0UCz04" TargetMode="External"/><Relationship Id="rId3872" Type="http://schemas.openxmlformats.org/officeDocument/2006/relationships/hyperlink" Target="https://drive.google.com/open?id=1uNIGa0BmylAikCZTRfDYS7Z0d1-o7ET-2vGbGpJLHnQ&amp;usp=drive_copy" TargetMode="External"/><Relationship Id="rId379" Type="http://schemas.openxmlformats.org/officeDocument/2006/relationships/hyperlink" Target="https://docs.google.com/open?id=1CRN8ALEZ1JhgGnTmc67xxrR2NkW3Rzxz2wjVTlzF6R0" TargetMode="External"/><Relationship Id="rId586" Type="http://schemas.openxmlformats.org/officeDocument/2006/relationships/hyperlink" Target="https://docs.google.com/spreadsheets/d/1qnUnVWn2kRKO8oLDUSWhjsxsZYJJh5ofKS5i2hS0Prk" TargetMode="External"/><Relationship Id="rId793" Type="http://schemas.openxmlformats.org/officeDocument/2006/relationships/hyperlink" Target="https://drive.google.com/open?id=1ncnwZuMQy05fjCX98NBp_RkrmXPGyLpIea6g6mbazAg" TargetMode="External"/><Relationship Id="rId2267" Type="http://schemas.openxmlformats.org/officeDocument/2006/relationships/hyperlink" Target="https://docs.google.com/open?id=1GjupOWxtK-zw87q_JSH5PTCFprpcXdqguwBvEHPbSh8" TargetMode="External"/><Relationship Id="rId2474" Type="http://schemas.openxmlformats.org/officeDocument/2006/relationships/hyperlink" Target="https://docs.google.com/spreadsheets/d/1HgwxKJP6-XjGZYXnLuy-dAy8hCHXAspBVTq9KUkKxgA" TargetMode="External"/><Relationship Id="rId2681" Type="http://schemas.openxmlformats.org/officeDocument/2006/relationships/hyperlink" Target="https://drive.google.com/open?id=1GKFZB2ZgLyj-2sXoNSsxZ7TMuEoz_6HUSJJCrNs6HGo" TargetMode="External"/><Relationship Id="rId3318" Type="http://schemas.openxmlformats.org/officeDocument/2006/relationships/hyperlink" Target="https://docs.google.com/spreadsheets/d/1EZrU53gtJdwsEYuNiHOgrMRTrEKmUh9hNrRFMLVCOGw" TargetMode="External"/><Relationship Id="rId3525" Type="http://schemas.openxmlformats.org/officeDocument/2006/relationships/hyperlink" Target="https://drive.google.com/open?id=1P30C7qC89zbuaidMCY1Hk2p00nfFb_PzLKl5HwA-xnU" TargetMode="External"/><Relationship Id="rId239" Type="http://schemas.openxmlformats.org/officeDocument/2006/relationships/hyperlink" Target="https://docs.google.com/open?id=1HbDkQWBTrC4m6BP6mGZnpISwcXxH7rlaAYE9YshF_II" TargetMode="External"/><Relationship Id="rId446" Type="http://schemas.openxmlformats.org/officeDocument/2006/relationships/hyperlink" Target="https://docs.google.com/spreadsheets/d/1k_Gd0Vrw4G7BWPAuQERQkoSXk7sws1wdJ9vK8QoMMQo" TargetMode="External"/><Relationship Id="rId653" Type="http://schemas.openxmlformats.org/officeDocument/2006/relationships/hyperlink" Target="https://drive.google.com/open?id=1EU6FPBVs4_bHZk5YhLGRafEA6_g5xHbvZj8VG2o9qeY" TargetMode="External"/><Relationship Id="rId1076" Type="http://schemas.openxmlformats.org/officeDocument/2006/relationships/hyperlink" Target="https://drive.google.com/open?id=1gUp2of45r1p0dugD5kbOtWH35ont0ZVMOkqlLBlaYMo&amp;usp=drive_copy" TargetMode="External"/><Relationship Id="rId1283" Type="http://schemas.openxmlformats.org/officeDocument/2006/relationships/hyperlink" Target="https://docs.google.com/open?id=1g_NUbBwo69eY5_dY7yaGXktnXb4aemyZRxtp-B3RCAw" TargetMode="External"/><Relationship Id="rId1490" Type="http://schemas.openxmlformats.org/officeDocument/2006/relationships/hyperlink" Target="https://docs.google.com/spreadsheets/d/19iOKPB14W0VGP-0ml8pziHOt6sYzXWaj7a4Zoum-tBI" TargetMode="External"/><Relationship Id="rId2127" Type="http://schemas.openxmlformats.org/officeDocument/2006/relationships/hyperlink" Target="https://docs.google.com/open?id=1zZHX4a0FY2YJ2Eu5EhItf_gs00d53mwfU6nmXVTq2sI" TargetMode="External"/><Relationship Id="rId2334" Type="http://schemas.openxmlformats.org/officeDocument/2006/relationships/hyperlink" Target="https://docs.google.com/spreadsheets/d/1f4WW9qVtuFPjrDhsFzzy7LYxpPaj0bfF8ZirxJlXjA0" TargetMode="External"/><Relationship Id="rId3732" Type="http://schemas.openxmlformats.org/officeDocument/2006/relationships/hyperlink" Target="https://drive.google.com/open?id=1ekEFpD9xXi9Za6ydKgp1dK3cOzwLqtoRxwEOjmN053E&amp;usp=drive_copy" TargetMode="External"/><Relationship Id="rId306" Type="http://schemas.openxmlformats.org/officeDocument/2006/relationships/hyperlink" Target="https://docs.google.com/spreadsheets/d/10SsfHfjMWVVwwkAQdyfHcZnV2TxslEEFeE11YoZT14I" TargetMode="External"/><Relationship Id="rId860" Type="http://schemas.openxmlformats.org/officeDocument/2006/relationships/hyperlink" Target="https://drive.google.com/open?id=1x1nYgQm0DL8JVvoXjNimbVfc-ojGdplpqg0XdAUFygQ&amp;usp=drive_copy" TargetMode="External"/><Relationship Id="rId1143" Type="http://schemas.openxmlformats.org/officeDocument/2006/relationships/hyperlink" Target="https://docs.google.com/open?id=1r9FRjTB0i50xfIz1__yWsyNKPNQ9aZGQ1Fmcqb0iR6Q" TargetMode="External"/><Relationship Id="rId2541" Type="http://schemas.openxmlformats.org/officeDocument/2006/relationships/hyperlink" Target="https://drive.google.com/open?id=1hj9Co6STaAQxdUSeZPqhGx7CfFMhdiHnGboJ9Knc1Fg" TargetMode="External"/><Relationship Id="rId513" Type="http://schemas.openxmlformats.org/officeDocument/2006/relationships/hyperlink" Target="https://drive.google.com/open?id=1WrO6d4_riEipMV3EXQ2EjXaQ2I5IYdIl5Mo4aYGadQg" TargetMode="External"/><Relationship Id="rId720" Type="http://schemas.openxmlformats.org/officeDocument/2006/relationships/hyperlink" Target="https://drive.google.com/open?id=1T1TlUoxuPrXb59J6Pq0GSChhFotWcNzNzg3saMpJlHI&amp;usp=drive_copy" TargetMode="External"/><Relationship Id="rId1350" Type="http://schemas.openxmlformats.org/officeDocument/2006/relationships/hyperlink" Target="https://docs.google.com/spreadsheets/d/19K_0jUpJ8kktXDNGjYJ4WjRegT2dkmpWZZXQS7Bvz80" TargetMode="External"/><Relationship Id="rId2401" Type="http://schemas.openxmlformats.org/officeDocument/2006/relationships/hyperlink" Target="https://drive.google.com/open?id=14zMP8wU-P9XDjEapTt2vNxCj7-A38ewKHzv8GbkMsEQ" TargetMode="External"/><Relationship Id="rId1003" Type="http://schemas.openxmlformats.org/officeDocument/2006/relationships/hyperlink" Target="https://docs.google.com/open?id=1ISEd3zZ3_P1FV2SCiUiV-r7i24_e-6GfzFQSFt3Oaak" TargetMode="External"/><Relationship Id="rId1210" Type="http://schemas.openxmlformats.org/officeDocument/2006/relationships/hyperlink" Target="https://docs.google.com/spreadsheets/d/1ZvBcY12fipEHX1b4eUbGpDkpc5lwxJ2nzm0kqiRSDJU" TargetMode="External"/><Relationship Id="rId3175" Type="http://schemas.openxmlformats.org/officeDocument/2006/relationships/hyperlink" Target="https://docs.google.com/open?id=1hFRUOlfSu5TkfyULTbaFb_WXE3h6_xvfhVQx2Ms3gag" TargetMode="External"/><Relationship Id="rId3382" Type="http://schemas.openxmlformats.org/officeDocument/2006/relationships/hyperlink" Target="https://docs.google.com/spreadsheets/d/1_RlN0CKB4oFHtLfEPSJ_YfvD7h0DBUwU4T2yuUDA6aA" TargetMode="External"/><Relationship Id="rId2191" Type="http://schemas.openxmlformats.org/officeDocument/2006/relationships/hyperlink" Target="https://docs.google.com/open?id=1eAUiwnv25gIxi_M3hv8Y_2BqqOMs7Hz56cYir8lp70M" TargetMode="External"/><Relationship Id="rId3035" Type="http://schemas.openxmlformats.org/officeDocument/2006/relationships/hyperlink" Target="https://docs.google.com/open?id=11Se6BOXImfM9O0fBFQM2VCinjPrwX42geCm-njfyD6U" TargetMode="External"/><Relationship Id="rId3242" Type="http://schemas.openxmlformats.org/officeDocument/2006/relationships/hyperlink" Target="https://docs.google.com/spreadsheets/d/10DOeXShPMSPnKnYFX7tLGdFEFi2xwBWCt9ByQDPQmr8" TargetMode="External"/><Relationship Id="rId163" Type="http://schemas.openxmlformats.org/officeDocument/2006/relationships/hyperlink" Target="https://docs.google.com/spreadsheets/d/1NaxcCtYDK5ytIaQ0soBtvVmV6MJGWF57k-8ZX-U3R9k/edit?usp=sharing" TargetMode="External"/><Relationship Id="rId370" Type="http://schemas.openxmlformats.org/officeDocument/2006/relationships/hyperlink" Target="https://docs.google.com/spreadsheets/d/1BimylDMx5fgM9XP1o6hzt1LNhvXzNtxuwJksIdhWcdk" TargetMode="External"/><Relationship Id="rId2051" Type="http://schemas.openxmlformats.org/officeDocument/2006/relationships/hyperlink" Target="https://docs.google.com/open?id=1YH1tpdzFQjPmqYxFGID-KIc1M73TGdL9ohNRiS2KZpE" TargetMode="External"/><Relationship Id="rId3102" Type="http://schemas.openxmlformats.org/officeDocument/2006/relationships/hyperlink" Target="https://docs.google.com/spreadsheets/d/1EVKR1rqQgTJacdCSP0b-LQ5t1dDdS-CT8RmYoL1ihDQ" TargetMode="External"/><Relationship Id="rId230" Type="http://schemas.openxmlformats.org/officeDocument/2006/relationships/hyperlink" Target="https://docs.google.com/spreadsheets/d/1AI4iToPwSivpbJH_c1PI5SJZNZWkGtv0aSxNtZ098W4" TargetMode="External"/><Relationship Id="rId2868" Type="http://schemas.openxmlformats.org/officeDocument/2006/relationships/hyperlink" Target="https://drive.google.com/open?id=1BlwP1IABydJc7mcPhy4Rz9nQT1QFO35n1_By8k9mMno&amp;usp=drive_copy" TargetMode="External"/><Relationship Id="rId3919" Type="http://schemas.openxmlformats.org/officeDocument/2006/relationships/hyperlink" Target="https://docs.google.com/open?id=1CpCz0vLXMG11zC0rqWrZ5tvBrokKpg166AxbWCplO_g" TargetMode="External"/><Relationship Id="rId1677" Type="http://schemas.openxmlformats.org/officeDocument/2006/relationships/hyperlink" Target="https://drive.google.com/open?id=1xbPBtISoPN6_NSY-RV0ySEF8bvHNKqTyK9jJjp6XIq4" TargetMode="External"/><Relationship Id="rId1884" Type="http://schemas.openxmlformats.org/officeDocument/2006/relationships/hyperlink" Target="https://drive.google.com/open?id=1SJRubbY7l7dcgLIMPyI6le2_CBx4wVxVAE2kasxIm9Y&amp;usp=drive_copy" TargetMode="External"/><Relationship Id="rId2728" Type="http://schemas.openxmlformats.org/officeDocument/2006/relationships/hyperlink" Target="https://drive.google.com/open?id=1mb1biGUdRjeJPMLsfv6DNq_8Xiud5nmDGHF308kq81g&amp;usp=drive_copy" TargetMode="External"/><Relationship Id="rId2935" Type="http://schemas.openxmlformats.org/officeDocument/2006/relationships/hyperlink" Target="https://docs.google.com/open?id=18JOOyJE4xNDoZvD4njVJUwTqiyb45Op1PtUsA1_Q0BM" TargetMode="External"/><Relationship Id="rId907" Type="http://schemas.openxmlformats.org/officeDocument/2006/relationships/hyperlink" Target="https://docs.google.com/open?id=1SsvHkRej2vBregcp2Lsl1i2jJj8r_J5OFIu_IM_TS5A" TargetMode="External"/><Relationship Id="rId1537" Type="http://schemas.openxmlformats.org/officeDocument/2006/relationships/hyperlink" Target="https://drive.google.com/open?id=1NxbUGqUHQ99sffyHI8XTxeIxOj9bdrNj1pszEIN-h4M" TargetMode="External"/><Relationship Id="rId1744" Type="http://schemas.openxmlformats.org/officeDocument/2006/relationships/hyperlink" Target="https://drive.google.com/open?id=1bX4_htlOqKWKCW9xNvrHrxZSt6oE7Q1X-y9KDW4k49c&amp;usp=drive_copy" TargetMode="External"/><Relationship Id="rId1951" Type="http://schemas.openxmlformats.org/officeDocument/2006/relationships/hyperlink" Target="https://docs.google.com/open?id=1xmPvvV6D_6PxB9GT5NdPQTv2eJOtsA6v0GSQ1Xiu4a8" TargetMode="External"/><Relationship Id="rId36" Type="http://schemas.openxmlformats.org/officeDocument/2006/relationships/hyperlink" Target="https://docs.google.com/spreadsheets/d/1PnCXPopm7m_XIrY7rPQYCzXPKvRghZRuvMMXWqbOyUo/edit" TargetMode="External"/><Relationship Id="rId1604" Type="http://schemas.openxmlformats.org/officeDocument/2006/relationships/hyperlink" Target="https://drive.google.com/open?id=1ZxFfWGdhDcRY8GbsOm_dVlKVChEi0cduqg1zesDWfpY&amp;usp=drive_copy" TargetMode="External"/><Relationship Id="rId1811" Type="http://schemas.openxmlformats.org/officeDocument/2006/relationships/hyperlink" Target="https://docs.google.com/open?id=13XdAr_uOiINSRGWHFDHReJW5DqbVdCwUnPzlWN-nTPM" TargetMode="External"/><Relationship Id="rId3569" Type="http://schemas.openxmlformats.org/officeDocument/2006/relationships/hyperlink" Target="https://drive.google.com/open?id=1GCAPpFIfgtRLEPE5cXjUTuIQSSFK4GoNHcD-7Prx-i4" TargetMode="External"/><Relationship Id="rId697" Type="http://schemas.openxmlformats.org/officeDocument/2006/relationships/hyperlink" Target="https://drive.google.com/open?id=1MCWYAfDexINng7XNBycVpbbjJ4zCkX3Uu46SR1hZ6EI" TargetMode="External"/><Relationship Id="rId2378" Type="http://schemas.openxmlformats.org/officeDocument/2006/relationships/hyperlink" Target="https://docs.google.com/spreadsheets/d/1HHMaOW5q5JLo5M5MsXlALoKdzRAY0aRZEMGnEerxrzM" TargetMode="External"/><Relationship Id="rId3429" Type="http://schemas.openxmlformats.org/officeDocument/2006/relationships/hyperlink" Target="https://drive.google.com/open?id=13ny4rOEDEnY1AGkF5RMKA1PU0YlibcUxOK5H3q3Is-M" TargetMode="External"/><Relationship Id="rId3776" Type="http://schemas.openxmlformats.org/officeDocument/2006/relationships/hyperlink" Target="https://drive.google.com/open?id=1aq8xfzCuk-0oCPc09GmTTT9HuSNJBLDrDEOg5pu7ePw&amp;usp=drive_copy" TargetMode="External"/><Relationship Id="rId1187" Type="http://schemas.openxmlformats.org/officeDocument/2006/relationships/hyperlink" Target="https://docs.google.com/open?id=1Yis8bvL-ziqT88RZfFPowTkK1R7KVfqun4L18uOAEzI" TargetMode="External"/><Relationship Id="rId2585" Type="http://schemas.openxmlformats.org/officeDocument/2006/relationships/hyperlink" Target="https://drive.google.com/open?id=1svK65Db2XbIZ3EF0tRrXJ89w6jJSrCjc46QLt0pRHA0" TargetMode="External"/><Relationship Id="rId2792" Type="http://schemas.openxmlformats.org/officeDocument/2006/relationships/hyperlink" Target="https://drive.google.com/open?id=1GC_-EMnONn18eWpzwximFq5MMWMRoaBXdFM7ruWd1zM&amp;usp=drive_copy" TargetMode="External"/><Relationship Id="rId3636" Type="http://schemas.openxmlformats.org/officeDocument/2006/relationships/hyperlink" Target="https://drive.google.com/open?id=1hxBdbZw1SOqEdW8XqmgwKoLwu6HRBvC9xF4jkjV4rDY&amp;usp=drive_copy" TargetMode="External"/><Relationship Id="rId3843" Type="http://schemas.openxmlformats.org/officeDocument/2006/relationships/hyperlink" Target="https://docs.google.com/open?id=1ztvYGRzFuUHJJXOlbYuan0yQswk_YQTFCI1Zo_whx3w" TargetMode="External"/><Relationship Id="rId557" Type="http://schemas.openxmlformats.org/officeDocument/2006/relationships/hyperlink" Target="https://drive.google.com/open?id=1U6kEjj_XDAOLOxEUaZbHGmj3dtJkSYFdJEZp8QL7Rb8" TargetMode="External"/><Relationship Id="rId764" Type="http://schemas.openxmlformats.org/officeDocument/2006/relationships/hyperlink" Target="https://drive.google.com/open?id=1cc0nC60HvZT-rjDdC-T_qjGOMNj7qr7Rawn8ISFSPuc&amp;usp=drive_copy" TargetMode="External"/><Relationship Id="rId971" Type="http://schemas.openxmlformats.org/officeDocument/2006/relationships/hyperlink" Target="https://docs.google.com/open?id=1Qa-Rt-lPbfDnuTDFE_19OQ6U0Vwv9FKOcpnhbmelh6w" TargetMode="External"/><Relationship Id="rId1394" Type="http://schemas.openxmlformats.org/officeDocument/2006/relationships/hyperlink" Target="https://docs.google.com/spreadsheets/d/1xI28XMduWiyRsQRuEg9pXhAKlm_zkHZsHtqs-pC4cOI" TargetMode="External"/><Relationship Id="rId2238" Type="http://schemas.openxmlformats.org/officeDocument/2006/relationships/hyperlink" Target="https://docs.google.com/spreadsheets/d/1E-39bO3bNSRhmNES2Fyy636-L9pMZTXgm9NWrYaIPv0" TargetMode="External"/><Relationship Id="rId2445" Type="http://schemas.openxmlformats.org/officeDocument/2006/relationships/hyperlink" Target="https://drive.google.com/open?id=1C3gI83EfwjXPAEk1x8HuqsYvPOf-XMjJTPVihXzB3LM" TargetMode="External"/><Relationship Id="rId2652" Type="http://schemas.openxmlformats.org/officeDocument/2006/relationships/hyperlink" Target="https://drive.google.com/open?id=1AMMlmC4XUlbgzoCrfB4-yxj8d7N3Ikzdi15FYBbxP9g&amp;usp=drive_copy" TargetMode="External"/><Relationship Id="rId3703" Type="http://schemas.openxmlformats.org/officeDocument/2006/relationships/hyperlink" Target="https://docs.google.com/open?id=1ygoaH-E2xwIA3OpOd3RsnvMKCUNrtXMS7FrvC5diEF8" TargetMode="External"/><Relationship Id="rId3910" Type="http://schemas.openxmlformats.org/officeDocument/2006/relationships/hyperlink" Target="https://docs.google.com/spreadsheets/d/1m9EJVnohl8ykmPyQm0Pl1-APfkFQXT33tLPGtmrrR18" TargetMode="External"/><Relationship Id="rId417" Type="http://schemas.openxmlformats.org/officeDocument/2006/relationships/hyperlink" Target="https://drive.google.com/open?id=1Jeqq8a6eQeAFJgcuEBZmj2cqIC2znoYyZT-OvV39pY4" TargetMode="External"/><Relationship Id="rId624" Type="http://schemas.openxmlformats.org/officeDocument/2006/relationships/hyperlink" Target="https://drive.google.com/open?id=17cM9UFvvKqifEPwUjT3QS4xTRbFQ0_UZl_eZ-jq2rzk&amp;usp=drive_copy" TargetMode="External"/><Relationship Id="rId831" Type="http://schemas.openxmlformats.org/officeDocument/2006/relationships/hyperlink" Target="https://docs.google.com/open?id=1qpR5ONZQUsFyFulI_zYUaE953odJqd5EM5x3xK9XLW0" TargetMode="External"/><Relationship Id="rId1047" Type="http://schemas.openxmlformats.org/officeDocument/2006/relationships/hyperlink" Target="https://docs.google.com/open?id=16WA4VfPvnflY-Rpfm4rXZH29RuxySB0zyhoz031Jeqw" TargetMode="External"/><Relationship Id="rId1254" Type="http://schemas.openxmlformats.org/officeDocument/2006/relationships/hyperlink" Target="https://docs.google.com/spreadsheets/d/1c93SYawf3vDqLUzX_RZpQXZDw6mAIyXefivHfven87I" TargetMode="External"/><Relationship Id="rId1461" Type="http://schemas.openxmlformats.org/officeDocument/2006/relationships/hyperlink" Target="https://drive.google.com/open?id=1v7i39sM4HmRQ9TF48oJ52a8YmotNhL_JjJK8ANwIxqk" TargetMode="External"/><Relationship Id="rId2305" Type="http://schemas.openxmlformats.org/officeDocument/2006/relationships/hyperlink" Target="https://drive.google.com/open?id=1C_1B3o0dG9n_WF4jMaowYgYAN5ikM4iCmm-EnJNp9Tw" TargetMode="External"/><Relationship Id="rId2512" Type="http://schemas.openxmlformats.org/officeDocument/2006/relationships/hyperlink" Target="https://drive.google.com/open?id=1X8M_NgcJludMMtabQT_1et3zj9a_YUYut9f1tLdbY4A&amp;usp=drive_copy" TargetMode="External"/><Relationship Id="rId1114" Type="http://schemas.openxmlformats.org/officeDocument/2006/relationships/hyperlink" Target="https://docs.google.com/spreadsheets/d/1p9r9ZHTsIOZAQwuDiHReYmUzztPHbI4dg_hEC_4lG3Y" TargetMode="External"/><Relationship Id="rId1321" Type="http://schemas.openxmlformats.org/officeDocument/2006/relationships/hyperlink" Target="https://drive.google.com/open?id=1rpP-ND357rpD0yc2zJ0P-_TadzWruVkDytkEfmMJzPE" TargetMode="External"/><Relationship Id="rId3079" Type="http://schemas.openxmlformats.org/officeDocument/2006/relationships/hyperlink" Target="https://docs.google.com/open?id=19pAZ_XP5vnFRIEPwwgAtvBNmrCMOxTaquaPgMM-L1FI" TargetMode="External"/><Relationship Id="rId3286" Type="http://schemas.openxmlformats.org/officeDocument/2006/relationships/hyperlink" Target="https://docs.google.com/spreadsheets/d/19FnX7C-DXErXS6trn4mjEWD4dtuoA1r-Qn99_iD6rnY" TargetMode="External"/><Relationship Id="rId3493" Type="http://schemas.openxmlformats.org/officeDocument/2006/relationships/hyperlink" Target="https://drive.google.com/open?id=1JzcGtbGzXkzj43IU3jfTpNYbAR-EcA_b2T5o8vdTkeo" TargetMode="External"/><Relationship Id="rId2095" Type="http://schemas.openxmlformats.org/officeDocument/2006/relationships/hyperlink" Target="https://docs.google.com/open?id=1jozkSJ-c0pOQMXXCjkAgYrmDaFrwUr9J-GPsDi4AnnM" TargetMode="External"/><Relationship Id="rId3146" Type="http://schemas.openxmlformats.org/officeDocument/2006/relationships/hyperlink" Target="https://docs.google.com/spreadsheets/d/1Va5oy0t_jd39QSaMFrIyZnNU0FJBr-rAh53ey3ZEVLo" TargetMode="External"/><Relationship Id="rId3353" Type="http://schemas.openxmlformats.org/officeDocument/2006/relationships/hyperlink" Target="https://drive.google.com/open?id=1Pp1Ghnniuzx4PhOej2_tv5nh-I-KZjV9hK2OKn10D-A" TargetMode="External"/><Relationship Id="rId274" Type="http://schemas.openxmlformats.org/officeDocument/2006/relationships/hyperlink" Target="https://docs.google.com/spreadsheets/d/1lbfJnMNqpi7gKnqhOm8ZeIrD89z1Gwdkb6n5q7UYH0s" TargetMode="External"/><Relationship Id="rId481" Type="http://schemas.openxmlformats.org/officeDocument/2006/relationships/hyperlink" Target="https://drive.google.com/open?id=1wMQbr05_r-X4uMyVsKJ8Ibj2ZQrvi7zlSBHbrv_H3VM" TargetMode="External"/><Relationship Id="rId2162" Type="http://schemas.openxmlformats.org/officeDocument/2006/relationships/hyperlink" Target="https://docs.google.com/spreadsheets/d/1cqQPDYJshoAfoB9TRdfQY17UcIJ036j9FIUGLT35Mkg" TargetMode="External"/><Relationship Id="rId3006" Type="http://schemas.openxmlformats.org/officeDocument/2006/relationships/hyperlink" Target="https://docs.google.com/spreadsheets/d/1rhKdNxZENi3iQXBOf2mtMsDAO5yX_2S-0pyN62VEn58" TargetMode="External"/><Relationship Id="rId3560" Type="http://schemas.openxmlformats.org/officeDocument/2006/relationships/hyperlink" Target="https://drive.google.com/open?id=1w9UDOhqKhK10CRAoIXE2ha0jsDoUupzOTUA82u2byeU&amp;usp=drive_copy" TargetMode="External"/><Relationship Id="rId134" Type="http://schemas.openxmlformats.org/officeDocument/2006/relationships/hyperlink" Target="https://docs.google.com/spreadsheets/d/1NAIDQDsM6unWiU0ohgUaoju3HNaPnjI6fV2f5jzrVy8/edit" TargetMode="External"/><Relationship Id="rId3213" Type="http://schemas.openxmlformats.org/officeDocument/2006/relationships/hyperlink" Target="https://drive.google.com/open?id=1tHtlj7siaMRBFfV83T5Uls4JNBSa964qoiCMchp-Uzs" TargetMode="External"/><Relationship Id="rId3420" Type="http://schemas.openxmlformats.org/officeDocument/2006/relationships/hyperlink" Target="https://drive.google.com/open?id=1wvernDXmT_2VrScpmuBFFqYiEp5inaacKpnz9OgbA7c&amp;usp=drive_copy" TargetMode="External"/><Relationship Id="rId341" Type="http://schemas.openxmlformats.org/officeDocument/2006/relationships/hyperlink" Target="https://drive.google.com/open?id=1405VFsE3hMwXuAmtEkcu630yJ7nxerAMrCTp5RKAzMc" TargetMode="External"/><Relationship Id="rId2022" Type="http://schemas.openxmlformats.org/officeDocument/2006/relationships/hyperlink" Target="https://docs.google.com/spreadsheets/d/1jAMIDgWJQybcb8r7KykpfwMb-EcHt5QEdWF1kNkZ5Ns" TargetMode="External"/><Relationship Id="rId2979" Type="http://schemas.openxmlformats.org/officeDocument/2006/relationships/hyperlink" Target="https://docs.google.com/open?id=1dK-1GRWW7qKlqYsPMEacabrPGPnUBnoxVl4_b5qXxx0" TargetMode="External"/><Relationship Id="rId201" Type="http://schemas.openxmlformats.org/officeDocument/2006/relationships/hyperlink" Target="https://docs.google.com/spreadsheets/d/12X9JD-AWbBkuWWezs5j-Wr8Pph2PVYUpR6vj5PVmvBw/edit?usp=sharing" TargetMode="External"/><Relationship Id="rId1788" Type="http://schemas.openxmlformats.org/officeDocument/2006/relationships/hyperlink" Target="https://drive.google.com/open?id=1Gyp4t-UQBK08oZO6biQiBfeO2ByzVN5eUy_Awhv5KCo&amp;usp=drive_copy" TargetMode="External"/><Relationship Id="rId1995" Type="http://schemas.openxmlformats.org/officeDocument/2006/relationships/hyperlink" Target="https://docs.google.com/open?id=1Dqc_Pf95YQXb5424igOMFHGNucg4DNgzS87U9cUeycU" TargetMode="External"/><Relationship Id="rId2839" Type="http://schemas.openxmlformats.org/officeDocument/2006/relationships/hyperlink" Target="https://docs.google.com/open?id=1g3hRnzu_zkX6M0lU4kh6wk94uChWtMO_sEGQT-791AA" TargetMode="External"/><Relationship Id="rId1648" Type="http://schemas.openxmlformats.org/officeDocument/2006/relationships/hyperlink" Target="https://drive.google.com/open?id=1BKGz4VszRCofibN7fzSW16onHwd1FiEw8lKzXcKUvBU&amp;usp=drive_copy" TargetMode="External"/><Relationship Id="rId1508" Type="http://schemas.openxmlformats.org/officeDocument/2006/relationships/hyperlink" Target="https://drive.google.com/open?id=1B0_xXXaZ8ZSCeiKzIlt_mubbOv9uwjelHVYI2_025Os&amp;usp=drive_copy" TargetMode="External"/><Relationship Id="rId1855" Type="http://schemas.openxmlformats.org/officeDocument/2006/relationships/hyperlink" Target="https://docs.google.com/open?id=1xCCbkLrhy8swVra4EwyXrJwwS5tZm2iBK2NqKLo-a6A" TargetMode="External"/><Relationship Id="rId2906" Type="http://schemas.openxmlformats.org/officeDocument/2006/relationships/hyperlink" Target="https://docs.google.com/spreadsheets/d/1iJNUFh3xGdGzCehlEuz7GJb8b3f_f2fV3cRqXvQ6iD4" TargetMode="External"/><Relationship Id="rId3070" Type="http://schemas.openxmlformats.org/officeDocument/2006/relationships/hyperlink" Target="https://docs.google.com/spreadsheets/d/18PhNjCiYdveRUTmJqMlyM83BT8Ht9DlHAt7y4yZMHHQ" TargetMode="External"/><Relationship Id="rId1715" Type="http://schemas.openxmlformats.org/officeDocument/2006/relationships/hyperlink" Target="https://docs.google.com/open?id=1fdwJYovOBm4GBatw7NoRxwhxeZgIgsktpsUFfDiQgdM" TargetMode="External"/><Relationship Id="rId1922" Type="http://schemas.openxmlformats.org/officeDocument/2006/relationships/hyperlink" Target="https://docs.google.com/spreadsheets/d/1hN48lGmjWpWkYR21-StJeMuNKeUeuY9SvvUkLpfTpH0" TargetMode="External"/><Relationship Id="rId3887" Type="http://schemas.openxmlformats.org/officeDocument/2006/relationships/hyperlink" Target="https://docs.google.com/open?id=1oduhaIf8fcwj-eWTKp7sVf9TAEuuoYJAHr0ygSM_pEo" TargetMode="External"/><Relationship Id="rId2489" Type="http://schemas.openxmlformats.org/officeDocument/2006/relationships/hyperlink" Target="https://drive.google.com/open?id=1hpZT4rLx8oJP9qze-AN69HmDJwSjkfLUfdyUMBWBl3k" TargetMode="External"/><Relationship Id="rId2696" Type="http://schemas.openxmlformats.org/officeDocument/2006/relationships/hyperlink" Target="https://drive.google.com/open?id=1Ktsuh0-AFhJe76t0Pi334cE3ekohdRbPx2bysuw-sG4&amp;usp=drive_copy" TargetMode="External"/><Relationship Id="rId3747" Type="http://schemas.openxmlformats.org/officeDocument/2006/relationships/hyperlink" Target="https://docs.google.com/open?id=1SI4kIxZ-i0kHyYymJRPoUEJU2gRRKLyYzR_p8CbP-Rs" TargetMode="External"/><Relationship Id="rId668" Type="http://schemas.openxmlformats.org/officeDocument/2006/relationships/hyperlink" Target="https://drive.google.com/open?id=1Gpir0HMU-N9zt_jGne8XIfbSUW_8-K8jf6oflWxIePc&amp;usp=drive_copy" TargetMode="External"/><Relationship Id="rId875" Type="http://schemas.openxmlformats.org/officeDocument/2006/relationships/hyperlink" Target="https://docs.google.com/open?id=18bzRr9eE6gLLi1p0jkO0gWjsihw1tqcNLPhmPjEus_I" TargetMode="External"/><Relationship Id="rId1298" Type="http://schemas.openxmlformats.org/officeDocument/2006/relationships/hyperlink" Target="https://docs.google.com/spreadsheets/d/1__D_DHUBWPg4FqLbqoqxmKhkWLnOeNx0lD5m702KrV0" TargetMode="External"/><Relationship Id="rId2349" Type="http://schemas.openxmlformats.org/officeDocument/2006/relationships/hyperlink" Target="https://drive.google.com/open?id=1_lB4xeo89spumEvb56SHsPLccl1hDrHyTSw3w4wSl6g" TargetMode="External"/><Relationship Id="rId2556" Type="http://schemas.openxmlformats.org/officeDocument/2006/relationships/hyperlink" Target="https://drive.google.com/open?id=1kEC64J6e8Q_50XIjvhn6Wp-Fcg0WzH9a4oBMGplL_Cc&amp;usp=drive_copy" TargetMode="External"/><Relationship Id="rId2763" Type="http://schemas.openxmlformats.org/officeDocument/2006/relationships/hyperlink" Target="https://docs.google.com/open?id=1bR2ufX8Op8eqV5gVUrYQu6WPHgJ5sr0fP6saaNEWL-k" TargetMode="External"/><Relationship Id="rId2970" Type="http://schemas.openxmlformats.org/officeDocument/2006/relationships/hyperlink" Target="https://docs.google.com/spreadsheets/d/1ZRu0cDPG3ZnOcMxstsnvp__GyPvKCgHY_Kw1yEDb1_k" TargetMode="External"/><Relationship Id="rId3607" Type="http://schemas.openxmlformats.org/officeDocument/2006/relationships/hyperlink" Target="https://docs.google.com/open?id=1hik3PZ4HHAcC15rCCghx5uFz39EaD1w2tTz7NvL9Wv4" TargetMode="External"/><Relationship Id="rId3814" Type="http://schemas.openxmlformats.org/officeDocument/2006/relationships/hyperlink" Target="https://docs.google.com/spreadsheets/d/1nAUeg8nhByjQyE0nbbrN4HQq6Kwe4JMO1lmKt7iyi3E" TargetMode="External"/><Relationship Id="rId528" Type="http://schemas.openxmlformats.org/officeDocument/2006/relationships/hyperlink" Target="https://drive.google.com/open?id=17qWmDGno2f-lqhJn0NXfqFhjW-rp-CZGjPw0JvZQt80&amp;usp=drive_copy" TargetMode="External"/><Relationship Id="rId735" Type="http://schemas.openxmlformats.org/officeDocument/2006/relationships/hyperlink" Target="https://docs.google.com/open?id=1ZYsGL93hUEpIsfPXZXcFQ8UvpYdafnpu3DWPsXTaF3E" TargetMode="External"/><Relationship Id="rId942" Type="http://schemas.openxmlformats.org/officeDocument/2006/relationships/hyperlink" Target="https://docs.google.com/spreadsheets/d/1SHUnS4dncNpz7YCd-hB6suWOY-kxE5GaGxxjn7571Oo" TargetMode="External"/><Relationship Id="rId1158" Type="http://schemas.openxmlformats.org/officeDocument/2006/relationships/hyperlink" Target="https://docs.google.com/spreadsheets/d/1U3OXeXhbgaXTqO_-yUSfQiyA4NyEqttzT0DpZQKpNZM" TargetMode="External"/><Relationship Id="rId1365" Type="http://schemas.openxmlformats.org/officeDocument/2006/relationships/hyperlink" Target="https://drive.google.com/open?id=1MInGZBbEGIdR7hK4Xqu5znda_M1zVfDLfM5KQzwIRqI" TargetMode="External"/><Relationship Id="rId1572" Type="http://schemas.openxmlformats.org/officeDocument/2006/relationships/hyperlink" Target="https://drive.google.com/open?id=1yhh5SIiKlDKerXM1zWFx3u6bfsWibIKjK8yjZy5wBwI&amp;usp=drive_copy" TargetMode="External"/><Relationship Id="rId2209" Type="http://schemas.openxmlformats.org/officeDocument/2006/relationships/hyperlink" Target="https://drive.google.com/open?id=102r7nKugopJHYu-XT1-7cBNDOnKcIGuFNtRHRl_2mcg" TargetMode="External"/><Relationship Id="rId2416" Type="http://schemas.openxmlformats.org/officeDocument/2006/relationships/hyperlink" Target="https://drive.google.com/open?id=1Dk6MbPFSP5TugVSenmzuxwYGZyOxYX3l8PUwjiX__Es&amp;usp=drive_copy" TargetMode="External"/><Relationship Id="rId2623" Type="http://schemas.openxmlformats.org/officeDocument/2006/relationships/hyperlink" Target="https://docs.google.com/open?id=12tatt3fXXJgU72IzH9B_W1uuNOmUjRYuA2iN4rIsRrk" TargetMode="External"/><Relationship Id="rId1018" Type="http://schemas.openxmlformats.org/officeDocument/2006/relationships/hyperlink" Target="https://docs.google.com/spreadsheets/d/1vM1v4OZYgij_oHrdxN3QvIJKTU0ApEqNdK3duiU4VII" TargetMode="External"/><Relationship Id="rId1225" Type="http://schemas.openxmlformats.org/officeDocument/2006/relationships/hyperlink" Target="https://drive.google.com/open?id=1OFeUEHRjAsBnku94OcZF75jRFJ9XV4JaanumlcjbimY" TargetMode="External"/><Relationship Id="rId1432" Type="http://schemas.openxmlformats.org/officeDocument/2006/relationships/hyperlink" Target="https://drive.google.com/open?id=1mZWWVltoMCDTOP9Wgo01tGmHcxLtDX60eDtdD9dKRoI&amp;usp=drive_copy" TargetMode="External"/><Relationship Id="rId2830" Type="http://schemas.openxmlformats.org/officeDocument/2006/relationships/hyperlink" Target="https://docs.google.com/spreadsheets/d/1dfJqbnJ3FAMnAfoaYsjD7bVPLGUp8eWkE3ceFLs1YkI" TargetMode="External"/><Relationship Id="rId71" Type="http://schemas.openxmlformats.org/officeDocument/2006/relationships/hyperlink" Target="https://docs.google.com/spreadsheets/d/1TiPT_Tsgnrlk4QJMQsGhAKbtPFE1hnk2JOocRVl6DIk/edit?usp=sharing" TargetMode="External"/><Relationship Id="rId802" Type="http://schemas.openxmlformats.org/officeDocument/2006/relationships/hyperlink" Target="https://docs.google.com/spreadsheets/d/1jHoKTzOHUEoVSMIKilhHMKvGU6KARjQzHPlRd-XMikY" TargetMode="External"/><Relationship Id="rId3397" Type="http://schemas.openxmlformats.org/officeDocument/2006/relationships/hyperlink" Target="https://drive.google.com/open?id=1pCy-7uCgNB6oTZL8D5rl2sClI77OeSEC0-Gmapc316U" TargetMode="External"/><Relationship Id="rId178" Type="http://schemas.openxmlformats.org/officeDocument/2006/relationships/hyperlink" Target="https://docs.google.com/spreadsheets/d/1u7ZIaYWGVHH2cPOgN_F_C7OBcFxMFn74Mo5fl3kM_90/edit" TargetMode="External"/><Relationship Id="rId3257" Type="http://schemas.openxmlformats.org/officeDocument/2006/relationships/hyperlink" Target="https://drive.google.com/open?id=14K4vBGbEPLrpjqxWuBqkMZisO1QpDOqeoS-1ntR6goM" TargetMode="External"/><Relationship Id="rId3464" Type="http://schemas.openxmlformats.org/officeDocument/2006/relationships/hyperlink" Target="https://drive.google.com/open?id=1MKr_jjc4GXU_Zmbncl1XMESpZh3TKe1CYRcrgEzOrc4&amp;usp=drive_copy" TargetMode="External"/><Relationship Id="rId3671" Type="http://schemas.openxmlformats.org/officeDocument/2006/relationships/hyperlink" Target="https://docs.google.com/open?id=1yjeF5-pkOGsYR_qPlRwkoxHwvdMtCJeEuOdytxXHgfs" TargetMode="External"/><Relationship Id="rId385" Type="http://schemas.openxmlformats.org/officeDocument/2006/relationships/hyperlink" Target="https://drive.google.com/open?id=1GHnXCx0LnJC_JIy1DlN9P9EQpaEVohRuYPHdak8VkZg" TargetMode="External"/><Relationship Id="rId592" Type="http://schemas.openxmlformats.org/officeDocument/2006/relationships/hyperlink" Target="https://drive.google.com/open?id=1zBfcx0TdF003nr_rzPiSnZ4drRXMsiwquWfhrFJ0A54&amp;usp=drive_copy" TargetMode="External"/><Relationship Id="rId2066" Type="http://schemas.openxmlformats.org/officeDocument/2006/relationships/hyperlink" Target="https://docs.google.com/spreadsheets/d/1_Z9xhlLNQp8Gg84MYo3lOwLL1j3O0rpkd188A6qymLE" TargetMode="External"/><Relationship Id="rId2273" Type="http://schemas.openxmlformats.org/officeDocument/2006/relationships/hyperlink" Target="https://drive.google.com/open?id=13IXO_KWsN44UjR6jYAwOApXIcPgtchZKHLzXZN49ktc" TargetMode="External"/><Relationship Id="rId2480" Type="http://schemas.openxmlformats.org/officeDocument/2006/relationships/hyperlink" Target="https://drive.google.com/open?id=1mOXbF6yfi6oNvpmZMbJmkg3T_Qp9tOva4cXGq7N9gM0&amp;usp=drive_copy" TargetMode="External"/><Relationship Id="rId3117" Type="http://schemas.openxmlformats.org/officeDocument/2006/relationships/hyperlink" Target="https://drive.google.com/open?id=1I-vxLIVYfSOUtjQO7TMvGR1QBJWchh0c21ssBEdTrhY" TargetMode="External"/><Relationship Id="rId3324" Type="http://schemas.openxmlformats.org/officeDocument/2006/relationships/hyperlink" Target="https://drive.google.com/open?id=1Hv6VNG6hlABhvRK5K9_0ZFagpo-NXNhJcAbMzbVL--Q&amp;usp=drive_copy" TargetMode="External"/><Relationship Id="rId3531" Type="http://schemas.openxmlformats.org/officeDocument/2006/relationships/hyperlink" Target="https://docs.google.com/open?id=1qCqj-iSsJPsQFZ560U3TOTy78w-l888Ydu7XQ3hU5hM" TargetMode="External"/><Relationship Id="rId245" Type="http://schemas.openxmlformats.org/officeDocument/2006/relationships/hyperlink" Target="https://drive.google.com/open?id=1NvyKEQQLihaYxVjpQNCskWiifuJhyRv3QMxhWIGQhFs" TargetMode="External"/><Relationship Id="rId452" Type="http://schemas.openxmlformats.org/officeDocument/2006/relationships/hyperlink" Target="https://drive.google.com/open?id=1l_3BOphgSKiWS005QTyeceTwr4E4b1r5573yNsuQWMQ&amp;usp=drive_copy" TargetMode="External"/><Relationship Id="rId1082" Type="http://schemas.openxmlformats.org/officeDocument/2006/relationships/hyperlink" Target="https://docs.google.com/spreadsheets/d/1hpIaW6OPhu-Wzs4jCob0b3BJt3IFD0vHWxah8OTuuVQ" TargetMode="External"/><Relationship Id="rId2133" Type="http://schemas.openxmlformats.org/officeDocument/2006/relationships/hyperlink" Target="https://drive.google.com/open?id=1U9IhFiWSDuBKDWs_Q35FSL0yDRfuP0oq7UOlt7OUh4Y" TargetMode="External"/><Relationship Id="rId2340" Type="http://schemas.openxmlformats.org/officeDocument/2006/relationships/hyperlink" Target="https://drive.google.com/open?id=1LVR1aPL1dAq6g8CXTg-Gmkmx3cph1OJTlXvJQKr4mBc&amp;usp=drive_copy" TargetMode="External"/><Relationship Id="rId105" Type="http://schemas.openxmlformats.org/officeDocument/2006/relationships/hyperlink" Target="https://docs.google.com/spreadsheets/d/1Ljt-lgcOpgd1rE3OKtvbVNEF1-B63h7JpKmJS_G0DtU/edit?usp=sharing" TargetMode="External"/><Relationship Id="rId312" Type="http://schemas.openxmlformats.org/officeDocument/2006/relationships/hyperlink" Target="https://drive.google.com/open?id=11OokbP0EVmmdg1_tOqNaSEJC7nRHVLe4ULP8VTkxO2s&amp;usp=drive_copy" TargetMode="External"/><Relationship Id="rId2200" Type="http://schemas.openxmlformats.org/officeDocument/2006/relationships/hyperlink" Target="https://drive.google.com/open?id=19HroPzzkmiZzm6tC2ANSMFbNSMSMb2EabDKeadenDbk&amp;usp=drive_copy" TargetMode="External"/><Relationship Id="rId1899" Type="http://schemas.openxmlformats.org/officeDocument/2006/relationships/hyperlink" Target="https://docs.google.com/open?id=1itRX-eU3oKaBwBg1eva1Iw86l7By9Zb7ciHV84aNRus" TargetMode="External"/><Relationship Id="rId1759" Type="http://schemas.openxmlformats.org/officeDocument/2006/relationships/hyperlink" Target="https://docs.google.com/open?id=1V6yu20UkgdKhMonMzjGUIWTYP2as6Onb-rGoh5RhXZk" TargetMode="External"/><Relationship Id="rId1966" Type="http://schemas.openxmlformats.org/officeDocument/2006/relationships/hyperlink" Target="https://docs.google.com/spreadsheets/d/1F8mh2f_xCHvYVXqCZR4UE3A7zt9fJAtyBMCw_Pbd0-E" TargetMode="External"/><Relationship Id="rId3181" Type="http://schemas.openxmlformats.org/officeDocument/2006/relationships/hyperlink" Target="https://drive.google.com/open?id=1iN8V6kILDpCOAUTUiY2gurcNtfqAKQwFaAYU2_j8xT0" TargetMode="External"/><Relationship Id="rId1619" Type="http://schemas.openxmlformats.org/officeDocument/2006/relationships/hyperlink" Target="https://docs.google.com/open?id=1pAkRuvbyP7S49qfQYEnl6qBu_nFSTfzQ_s18PxCYCkI" TargetMode="External"/><Relationship Id="rId1826" Type="http://schemas.openxmlformats.org/officeDocument/2006/relationships/hyperlink" Target="https://docs.google.com/spreadsheets/d/1Osc1TlACMEIMn4XmQgWi2hFlB5ZBS9Nuo7CoJcYrF1I" TargetMode="External"/><Relationship Id="rId3041" Type="http://schemas.openxmlformats.org/officeDocument/2006/relationships/hyperlink" Target="https://drive.google.com/open?id=11t1VkjBTaaNK_NdHKhawvQy0Rc9JhsgVEhXgftGm1Gs" TargetMode="External"/><Relationship Id="rId3858" Type="http://schemas.openxmlformats.org/officeDocument/2006/relationships/hyperlink" Target="https://docs.google.com/spreadsheets/d/1coomfJAONokVC15fN6Knp5MW4JZLrTtBNCi2DyhIolU" TargetMode="External"/><Relationship Id="rId779" Type="http://schemas.openxmlformats.org/officeDocument/2006/relationships/hyperlink" Target="https://docs.google.com/open?id=1guCrqxjyAvw3Wse-sH49A4MJcrkldK5kLxFfybSBydA" TargetMode="External"/><Relationship Id="rId986" Type="http://schemas.openxmlformats.org/officeDocument/2006/relationships/hyperlink" Target="https://docs.google.com/spreadsheets/d/1bd8DiGbSEZ3QJvrXK0bY80Zj7MSMvsa5mYzSSC_NGU8" TargetMode="External"/><Relationship Id="rId2667" Type="http://schemas.openxmlformats.org/officeDocument/2006/relationships/hyperlink" Target="https://docs.google.com/open?id=1Ai4ecMLhjaGxhxEnEqL64cjB3nkz5cSYB_zSZLIcE0k" TargetMode="External"/><Relationship Id="rId3718" Type="http://schemas.openxmlformats.org/officeDocument/2006/relationships/hyperlink" Target="https://docs.google.com/spreadsheets/d/1KkMWFV9F_Olf03N8cs2fRlYh5SN1vdZN38G08P3Ys-k" TargetMode="External"/><Relationship Id="rId639" Type="http://schemas.openxmlformats.org/officeDocument/2006/relationships/hyperlink" Target="https://docs.google.com/open?id=1mEfo-7STl9l7TDG-nmn0LLWcMxmNUWf5f-tIZ8daGaU" TargetMode="External"/><Relationship Id="rId1269" Type="http://schemas.openxmlformats.org/officeDocument/2006/relationships/hyperlink" Target="https://drive.google.com/open?id=1ehTXtNyKxI8sdWQJRalOE7CkLNIHyFSzeDerlfvIjho" TargetMode="External"/><Relationship Id="rId1476" Type="http://schemas.openxmlformats.org/officeDocument/2006/relationships/hyperlink" Target="https://drive.google.com/open?id=1-wiyawIb7nuGz3R72e-F5f_5y2rnpSuziq4huDcp1LM&amp;usp=drive_copy" TargetMode="External"/><Relationship Id="rId2874" Type="http://schemas.openxmlformats.org/officeDocument/2006/relationships/hyperlink" Target="https://docs.google.com/spreadsheets/d/13OnRcW7ESZKNo15sgUzNkmd_L_7ZOIWewAWJ0X7Xv5Y" TargetMode="External"/><Relationship Id="rId3925" Type="http://schemas.openxmlformats.org/officeDocument/2006/relationships/hyperlink" Target="https://drive.google.com/open?id=1hG1xZfWvrLZrkcDwtWpawuKV1-9Ijm0-E07otJ8fKBM" TargetMode="External"/><Relationship Id="rId846" Type="http://schemas.openxmlformats.org/officeDocument/2006/relationships/hyperlink" Target="https://docs.google.com/spreadsheets/d/10baP5j-2T_JSYMwfFwCs6CPVl4O06jIt9cqdrr9OtwE" TargetMode="External"/><Relationship Id="rId1129" Type="http://schemas.openxmlformats.org/officeDocument/2006/relationships/hyperlink" Target="https://drive.google.com/open?id=1lwyss_7wMpUIv0Eb2qCb2YsEPlxjf0Fx4TJTyDHCL3Q" TargetMode="External"/><Relationship Id="rId1683" Type="http://schemas.openxmlformats.org/officeDocument/2006/relationships/hyperlink" Target="https://docs.google.com/open?id=12QyFqHTRjIZOnrLXNr9NmaSp8rnvYFKsPPRe_6Enczs" TargetMode="External"/><Relationship Id="rId1890" Type="http://schemas.openxmlformats.org/officeDocument/2006/relationships/hyperlink" Target="https://docs.google.com/spreadsheets/d/1SqgA_qKPTb2Ya7FcLr7_YCziGfCkP7ORR8cs2R3mvyM" TargetMode="External"/><Relationship Id="rId2527" Type="http://schemas.openxmlformats.org/officeDocument/2006/relationships/hyperlink" Target="https://docs.google.com/open?id=1cL0YXRJErBHsz2Dcib-JJ3g-rV7waf3sC8Y2kKHtzBk" TargetMode="External"/><Relationship Id="rId2734" Type="http://schemas.openxmlformats.org/officeDocument/2006/relationships/hyperlink" Target="https://docs.google.com/spreadsheets/d/1d7iT8fLAxJeBp4TPBrgTuaes30t-zalwrkrCmeeEHI0" TargetMode="External"/><Relationship Id="rId2941" Type="http://schemas.openxmlformats.org/officeDocument/2006/relationships/hyperlink" Target="https://drive.google.com/open?id=1J6vl1p7n0dc6Vxyb1AHnQXuduAlQzZ3KkmYCrMsBpXQ" TargetMode="External"/><Relationship Id="rId706" Type="http://schemas.openxmlformats.org/officeDocument/2006/relationships/hyperlink" Target="https://docs.google.com/spreadsheets/d/1P-hE-x-Nxd0tb3vcyrjzmtxs6VOeAGtQ7l_TrBZv7TU" TargetMode="External"/><Relationship Id="rId913" Type="http://schemas.openxmlformats.org/officeDocument/2006/relationships/hyperlink" Target="https://drive.google.com/open?id=1SvSKL8C75JPtL2AI67EGw9NrRz_8DeCqmRflP63W0HA" TargetMode="External"/><Relationship Id="rId1336" Type="http://schemas.openxmlformats.org/officeDocument/2006/relationships/hyperlink" Target="https://drive.google.com/open?id=12cA8Txyp_qghhbZdtTjjNkmHKNSNteiz8CmQZXQJy0I&amp;usp=drive_copy" TargetMode="External"/><Relationship Id="rId1543" Type="http://schemas.openxmlformats.org/officeDocument/2006/relationships/hyperlink" Target="https://docs.google.com/spreadsheets/d/1BjyddFfxjN8ROUiwiMYWElu0fvqK_3TBhZOMHkgSzxg/edit?usp=share_link" TargetMode="External"/><Relationship Id="rId1750" Type="http://schemas.openxmlformats.org/officeDocument/2006/relationships/hyperlink" Target="https://docs.google.com/spreadsheets/d/1iQSjjeoJohWWzyXysRFJ8BNRzz1HhY8KY0Eh-5wBr1Y" TargetMode="External"/><Relationship Id="rId2801" Type="http://schemas.openxmlformats.org/officeDocument/2006/relationships/hyperlink" Target="https://drive.google.com/open?id=1AeBKCKz-zhMs5sPCu1DXxWnQsuZktwqEOljwcYK7n6Y" TargetMode="External"/><Relationship Id="rId42" Type="http://schemas.openxmlformats.org/officeDocument/2006/relationships/hyperlink" Target="https://docs.google.com/spreadsheets/d/1qwbmA1MrLWqNcPdslxbK_ce8Q5YJPeoHdSBT6eeR6Y0/edit" TargetMode="External"/><Relationship Id="rId1403" Type="http://schemas.openxmlformats.org/officeDocument/2006/relationships/hyperlink" Target="https://docs.google.com/open?id=1xwIpShrkCBz1_8eaQfHo0xzMua8p3PMDeCEyaUFvY5g" TargetMode="External"/><Relationship Id="rId1610" Type="http://schemas.openxmlformats.org/officeDocument/2006/relationships/hyperlink" Target="https://docs.google.com/spreadsheets/d/1aD6_JGEkVhdmoMpdF2lFkFtTC-iSiRta5fudcOvvcc4" TargetMode="External"/><Relationship Id="rId3368" Type="http://schemas.openxmlformats.org/officeDocument/2006/relationships/hyperlink" Target="https://drive.google.com/open?id=1Tq84tGbE9Zkelp4obL2UpRADSSk6UrGr8H1kwfc0FjM&amp;usp=drive_copy" TargetMode="External"/><Relationship Id="rId3575" Type="http://schemas.openxmlformats.org/officeDocument/2006/relationships/hyperlink" Target="https://docs.google.com/open?id=1sriO7LK-YCbgERo-yBZZZuuhBm80zstjcD6_BDzydtY" TargetMode="External"/><Relationship Id="rId3782" Type="http://schemas.openxmlformats.org/officeDocument/2006/relationships/hyperlink" Target="https://docs.google.com/spreadsheets/d/1X9977pSfw_8T_W2EuVY_pyF-dk1kRFmT3b_LiHa32eY" TargetMode="External"/><Relationship Id="rId289" Type="http://schemas.openxmlformats.org/officeDocument/2006/relationships/hyperlink" Target="https://drive.google.com/open?id=1uY6Pz6tteiw0PV8afHgeCW4qi-ZPFno6zGTGTFVrdVg" TargetMode="External"/><Relationship Id="rId496" Type="http://schemas.openxmlformats.org/officeDocument/2006/relationships/hyperlink" Target="https://drive.google.com/open?id=1ACl9i5ZG6F4mvLHP2SlwmLtMsamk9D5X0Ge7b1sU7YA&amp;usp=drive_copy" TargetMode="External"/><Relationship Id="rId2177" Type="http://schemas.openxmlformats.org/officeDocument/2006/relationships/hyperlink" Target="https://drive.google.com/open?id=1vJQhAHyCp0iYVhrC3FVecoPao5DKZVbzYlR0rdC8mug" TargetMode="External"/><Relationship Id="rId2384" Type="http://schemas.openxmlformats.org/officeDocument/2006/relationships/hyperlink" Target="https://drive.google.com/open?id=1UBvQoTk4qsIOAJkXVur7USHEjzssCdKMaKqRNrM7BH4&amp;usp=drive_copy" TargetMode="External"/><Relationship Id="rId2591" Type="http://schemas.openxmlformats.org/officeDocument/2006/relationships/hyperlink" Target="https://docs.google.com/open?id=1sx5WVhXNy6607d3_U7jfG-NEgRH4psUo-61KtcyYKGY" TargetMode="External"/><Relationship Id="rId3228" Type="http://schemas.openxmlformats.org/officeDocument/2006/relationships/hyperlink" Target="https://drive.google.com/open?id=1wi98emzzWCsQjRb2OTNjUxya8qhrgXV8Ew9jbtSOpis&amp;usp=drive_copy" TargetMode="External"/><Relationship Id="rId3435" Type="http://schemas.openxmlformats.org/officeDocument/2006/relationships/hyperlink" Target="https://docs.google.com/open?id=16w475vVUAnM6o9vbOIsGpgiM76cKmsCLKWT-tz2V7tg" TargetMode="External"/><Relationship Id="rId3642" Type="http://schemas.openxmlformats.org/officeDocument/2006/relationships/hyperlink" Target="https://docs.google.com/spreadsheets/d/1UMn0T1328tuDd33dVst5TEXOEmomwule8U0dioZVhRM" TargetMode="External"/><Relationship Id="rId149" Type="http://schemas.openxmlformats.org/officeDocument/2006/relationships/hyperlink" Target="https://docs.google.com/spreadsheets/d/13hrtWhGH1L0V8pdKWX6OKx0XoRGg1xp7PRoQReBLuQE/edit?usp=sharing" TargetMode="External"/><Relationship Id="rId356" Type="http://schemas.openxmlformats.org/officeDocument/2006/relationships/hyperlink" Target="https://drive.google.com/open?id=19qRxJrRdMxgahbGiT62u8qqWoDDxayy1xn4upAopWXI&amp;usp=drive_copy" TargetMode="External"/><Relationship Id="rId563" Type="http://schemas.openxmlformats.org/officeDocument/2006/relationships/hyperlink" Target="https://docs.google.com/open?id=1h_WoUgQLtAtpcxVeggaqOBw_o-opGErf0a4nla_B1Fc" TargetMode="External"/><Relationship Id="rId770" Type="http://schemas.openxmlformats.org/officeDocument/2006/relationships/hyperlink" Target="https://docs.google.com/spreadsheets/d/1eQfRi8k0tisrHhZXh7t6BKiuIbxVlL4ZebSu_6o7okk" TargetMode="External"/><Relationship Id="rId1193" Type="http://schemas.openxmlformats.org/officeDocument/2006/relationships/hyperlink" Target="https://drive.google.com/open?id=1ZGcE8KqSeQF0J6zfp80i1TrHAoE3eFk8gtM375IcFOY" TargetMode="External"/><Relationship Id="rId2037" Type="http://schemas.openxmlformats.org/officeDocument/2006/relationships/hyperlink" Target="https://drive.google.com/open?id=1biTi2ymlkV4x9dXvw9oFu6Sw05uBhDTp5wXV7PymxRg" TargetMode="External"/><Relationship Id="rId2244" Type="http://schemas.openxmlformats.org/officeDocument/2006/relationships/hyperlink" Target="https://drive.google.com/open?id=12ujRKi24oY7vpetZfrmCx5t98Ak9onutT0BxpFD2NXc&amp;usp=drive_copy" TargetMode="External"/><Relationship Id="rId2451" Type="http://schemas.openxmlformats.org/officeDocument/2006/relationships/hyperlink" Target="https://docs.google.com/open?id=1Dijqr-OktZIwWV0-PK1ir9pszEpEVDmfjf99l_EhFmo" TargetMode="External"/><Relationship Id="rId216" Type="http://schemas.openxmlformats.org/officeDocument/2006/relationships/hyperlink" Target="https://drive.google.com/open?id=14pItguOYIocttyz_yNgnWkgesemJTUOAstLF0YQIWsE&amp;usp=drive_copy" TargetMode="External"/><Relationship Id="rId423" Type="http://schemas.openxmlformats.org/officeDocument/2006/relationships/hyperlink" Target="https://docs.google.com/open?id=1L5vtww-CHU4fACZrzXt5nk2pfWiLXeHt6bazKm20Y6s" TargetMode="External"/><Relationship Id="rId1053" Type="http://schemas.openxmlformats.org/officeDocument/2006/relationships/hyperlink" Target="https://drive.google.com/open?id=1ntJt78MMO8tHEAJei-fcRgs7q9llWOt0MnI-NMC4PjA" TargetMode="External"/><Relationship Id="rId1260" Type="http://schemas.openxmlformats.org/officeDocument/2006/relationships/hyperlink" Target="https://drive.google.com/open?id=1chz5gMDmUvWKj6RwlFH6E-YUViMTncRmCvRLW8a5juA&amp;usp=drive_copy" TargetMode="External"/><Relationship Id="rId2104" Type="http://schemas.openxmlformats.org/officeDocument/2006/relationships/hyperlink" Target="https://drive.google.com/open?id=1Q79oxW6H3J_Qyqs3cDucMJP-QsuGGkB1CzQx4IA372I&amp;usp=drive_copy" TargetMode="External"/><Relationship Id="rId3502" Type="http://schemas.openxmlformats.org/officeDocument/2006/relationships/hyperlink" Target="https://docs.google.com/spreadsheets/d/1rH6kyAVbX8pW5MAOrlk2Jokqia-0_4uWlt2iRtdD1mY" TargetMode="External"/><Relationship Id="rId630" Type="http://schemas.openxmlformats.org/officeDocument/2006/relationships/hyperlink" Target="https://docs.google.com/spreadsheets/d/1jgQE3cruaVJyDwE5DjyrsE7tSbUIH7_1zQUIewmDbZE" TargetMode="External"/><Relationship Id="rId2311" Type="http://schemas.openxmlformats.org/officeDocument/2006/relationships/hyperlink" Target="https://docs.google.com/open?id=1Xb0r4Qtg6NAcXp3XGsicju53acBxOt5Rptgp4Q1quIY" TargetMode="External"/><Relationship Id="rId1120" Type="http://schemas.openxmlformats.org/officeDocument/2006/relationships/hyperlink" Target="https://drive.google.com/open?id=1hWjdpahK8LfWaI-boTIWY318vErkuc2PvkMTj5xpQrk&amp;usp=drive_copy" TargetMode="External"/><Relationship Id="rId1937" Type="http://schemas.openxmlformats.org/officeDocument/2006/relationships/hyperlink" Target="https://drive.google.com/open?id=1QYz-5adfwKa6Eptf2jisKw_mgaoIJEI4pp8242sJUMM" TargetMode="External"/><Relationship Id="rId3085" Type="http://schemas.openxmlformats.org/officeDocument/2006/relationships/hyperlink" Target="https://drive.google.com/open?id=1ArTc1K8fu0f2BVdKP5gSH6pWa8ATK9XDeWY34kBBcM4" TargetMode="External"/><Relationship Id="rId3292" Type="http://schemas.openxmlformats.org/officeDocument/2006/relationships/hyperlink" Target="https://drive.google.com/open?id=1Amt0-y4F0ARykCl4GHi4GdTbUECV1DIPWFC28NWNkfQ&amp;usp=drive_copy" TargetMode="External"/><Relationship Id="rId3152" Type="http://schemas.openxmlformats.org/officeDocument/2006/relationships/hyperlink" Target="https://drive.google.com/open?id=1Z0IkKOp4cYidGPdsj94JisqcD0dMsoCFCUTH92Uz1P8&amp;usp=drive_copy" TargetMode="External"/><Relationship Id="rId280" Type="http://schemas.openxmlformats.org/officeDocument/2006/relationships/hyperlink" Target="https://drive.google.com/open?id=1orFFrto1scfZ9mDQORWo96lHzeZL36XJm36lwAaox38&amp;usp=drive_copy" TargetMode="External"/><Relationship Id="rId3012" Type="http://schemas.openxmlformats.org/officeDocument/2006/relationships/hyperlink" Target="https://drive.google.com/open?id=1wydgIhLcEgTNwZcbPqSh_ifapScHd3pZMv3hxIlHL5U&amp;usp=drive_copy" TargetMode="External"/><Relationship Id="rId140" Type="http://schemas.openxmlformats.org/officeDocument/2006/relationships/hyperlink" Target="https://docs.google.com/spreadsheets/d/1fWJXBlSF9tS6mBFQIHZtQjPBGhMPQDbMuP5K4wPmhjs/edit" TargetMode="External"/><Relationship Id="rId6" Type="http://schemas.openxmlformats.org/officeDocument/2006/relationships/hyperlink" Target="https://docs.google.com/spreadsheets/d/1OLSigPm7QKfN2jhQQW8zhuOO85ahX1EMJtyEMxUPcxM/edit" TargetMode="External"/><Relationship Id="rId2778" Type="http://schemas.openxmlformats.org/officeDocument/2006/relationships/hyperlink" Target="https://docs.google.com/spreadsheets/d/1J4OUfYVevYIkMTNs7PYRvwLNtypwqeEwHbNQuRVjSkY" TargetMode="External"/><Relationship Id="rId2985" Type="http://schemas.openxmlformats.org/officeDocument/2006/relationships/hyperlink" Target="https://drive.google.com/open?id=1gZAFYnonIrMoTqtO_2f2RZJgKxJ8vHI9GpKbRjcRDbs" TargetMode="External"/><Relationship Id="rId3829" Type="http://schemas.openxmlformats.org/officeDocument/2006/relationships/hyperlink" Target="https://drive.google.com/open?id=1tZRJB1j9hziG_MFLArQoNBLT3XB73Dl60mxJ_A17UCk" TargetMode="External"/><Relationship Id="rId957" Type="http://schemas.openxmlformats.org/officeDocument/2006/relationships/hyperlink" Target="https://drive.google.com/open?id=1EfpRu0AWiuGZi-50E9z77xjsobE5vbJ4yk7Pv_htQlU" TargetMode="External"/><Relationship Id="rId1587" Type="http://schemas.openxmlformats.org/officeDocument/2006/relationships/hyperlink" Target="https://docs.google.com/open?id=18wpsudP0sN6jREFfFPZ0UvvA4jm37aLeSzFUM9KcRMo" TargetMode="External"/><Relationship Id="rId1794" Type="http://schemas.openxmlformats.org/officeDocument/2006/relationships/hyperlink" Target="https://docs.google.com/spreadsheets/d/10DFYDDvNe3AZ4jpZx8gGBJWP8WiwHffFIRukjJi6Uw8" TargetMode="External"/><Relationship Id="rId2638" Type="http://schemas.openxmlformats.org/officeDocument/2006/relationships/hyperlink" Target="https://docs.google.com/spreadsheets/d/15EG26otaYaMz5pLM2cwV__p3Hao_0saGDoTiGHY3n28" TargetMode="External"/><Relationship Id="rId2845" Type="http://schemas.openxmlformats.org/officeDocument/2006/relationships/hyperlink" Target="https://drive.google.com/open?id=11TIo12gaplYwBMjM1xADlYLIcaEjCnFCxLMJC4uYEDI" TargetMode="External"/><Relationship Id="rId86" Type="http://schemas.openxmlformats.org/officeDocument/2006/relationships/hyperlink" Target="https://docs.google.com/spreadsheets/d/1inBpI-Z0BO66TjIAGtxX2T7vUjYDbvpdEOxseMkvnT8/edit" TargetMode="External"/><Relationship Id="rId817" Type="http://schemas.openxmlformats.org/officeDocument/2006/relationships/hyperlink" Target="https://drive.google.com/open?id=1k7dXBbFOVUnaY8cGkVNhZNLVJWVhuSnWIgfPvMcNjrY" TargetMode="External"/><Relationship Id="rId1447" Type="http://schemas.openxmlformats.org/officeDocument/2006/relationships/hyperlink" Target="https://docs.google.com/open?id=14nV8fwn8fLh3_L6UJsAYePmumEC_O2FQdP-ozBdcY20" TargetMode="External"/><Relationship Id="rId1654" Type="http://schemas.openxmlformats.org/officeDocument/2006/relationships/hyperlink" Target="https://docs.google.com/spreadsheets/d/1lQjB1bQpz-cknjSjwGGmxeegqSwBmLEZjef75RZP5H0" TargetMode="External"/><Relationship Id="rId1861" Type="http://schemas.openxmlformats.org/officeDocument/2006/relationships/hyperlink" Target="https://drive.google.com/open?id=1iyMkQ5bE99SbqFBG65IjhxkVCaPQadRGxOrPyW59dw8" TargetMode="External"/><Relationship Id="rId2705" Type="http://schemas.openxmlformats.org/officeDocument/2006/relationships/hyperlink" Target="https://drive.google.com/open?id=1yHOcB0P0-C8bbDp9y6_e3_QhPg-8swyMHSB4vAEEvvo" TargetMode="External"/><Relationship Id="rId2912" Type="http://schemas.openxmlformats.org/officeDocument/2006/relationships/hyperlink" Target="https://drive.google.com/open?id=11Qn454PLPLi2WuRzh9mhThVAZsUwRMRPJ2a4FL48tq4&amp;usp=drive_copy" TargetMode="External"/><Relationship Id="rId1307" Type="http://schemas.openxmlformats.org/officeDocument/2006/relationships/hyperlink" Target="https://docs.google.com/open?id=1MXucdfS77PtxYhAhCcI0KwuMYEzMXwKM2mQnT9uVmuw" TargetMode="External"/><Relationship Id="rId1514" Type="http://schemas.openxmlformats.org/officeDocument/2006/relationships/hyperlink" Target="https://docs.google.com/spreadsheets/d/1FXY-UNoP9j2BPz7MCmhsJ1Jz7t9AOhN-j2OWoMZ-7Uk" TargetMode="External"/><Relationship Id="rId1721" Type="http://schemas.openxmlformats.org/officeDocument/2006/relationships/hyperlink" Target="https://drive.google.com/open?id=1pv-oJn3kZ3J7LZWaKax10z-FmgwlT1FIZRjn_cFtR1Y" TargetMode="External"/><Relationship Id="rId13" Type="http://schemas.openxmlformats.org/officeDocument/2006/relationships/hyperlink" Target="https://docs.google.com/spreadsheets/d/1Fmt3xTOqDakcaYdTYLKRHFZQiu-yqPrwjmAS2CwXYY8/edit?usp=sharing" TargetMode="External"/><Relationship Id="rId3479" Type="http://schemas.openxmlformats.org/officeDocument/2006/relationships/hyperlink" Target="https://docs.google.com/open?id=1W8-YnxJU9mEmehXQIh8Ljt6bMy3x95GwhJYHGegfkxw" TargetMode="External"/><Relationship Id="rId3686" Type="http://schemas.openxmlformats.org/officeDocument/2006/relationships/hyperlink" Target="https://docs.google.com/spreadsheets/d/1TNTNRv981Yl3_UDj9snbr7qhrCIY4W-oZudH8Ubdoww" TargetMode="External"/><Relationship Id="rId2288" Type="http://schemas.openxmlformats.org/officeDocument/2006/relationships/hyperlink" Target="https://drive.google.com/open?id=1WqSWisKbH3gdREv0eGw5VBFk8RKNvQpjnt-ajyPCNvg&amp;usp=drive_copy" TargetMode="External"/><Relationship Id="rId2495" Type="http://schemas.openxmlformats.org/officeDocument/2006/relationships/hyperlink" Target="https://docs.google.com/open?id=1ABl5HWNj_EPPJZ1lYqyBuuE9trN08kQPqWf5d3_xJSE" TargetMode="External"/><Relationship Id="rId3339" Type="http://schemas.openxmlformats.org/officeDocument/2006/relationships/hyperlink" Target="https://docs.google.com/open?id=1LqfVSef_aOuCX_dREDH3UXrgYQQU0JmKN_DM1HCw0RY" TargetMode="External"/><Relationship Id="rId3893" Type="http://schemas.openxmlformats.org/officeDocument/2006/relationships/hyperlink" Target="https://drive.google.com/open?id=1re7KxSnGoHPIfrfLhDeKI3Pa-2ni4BBKVJT3qrXGkWQ" TargetMode="External"/><Relationship Id="rId467" Type="http://schemas.openxmlformats.org/officeDocument/2006/relationships/hyperlink" Target="https://docs.google.com/open?id=1qgLOwy0qMyZjypJatUEWeJiPf1ATQNjxTaHAxolzp48" TargetMode="External"/><Relationship Id="rId1097" Type="http://schemas.openxmlformats.org/officeDocument/2006/relationships/hyperlink" Target="https://drive.google.com/open?id=1mMcWuFVAwZhxChwjTzrL6lEaJwmyg3DSMEy8jlJqa50" TargetMode="External"/><Relationship Id="rId2148" Type="http://schemas.openxmlformats.org/officeDocument/2006/relationships/hyperlink" Target="https://drive.google.com/open?id=1jajxmCI0_tJWdvCbQ1ARhcQODExydt4nspmZoWDLbYE&amp;usp=drive_copy" TargetMode="External"/><Relationship Id="rId3546" Type="http://schemas.openxmlformats.org/officeDocument/2006/relationships/hyperlink" Target="https://docs.google.com/spreadsheets/d/1chPG5BEYUfnuoEuJ6P16A7Hc4nj9jwlPafV2YxyrB0k" TargetMode="External"/><Relationship Id="rId3753" Type="http://schemas.openxmlformats.org/officeDocument/2006/relationships/hyperlink" Target="https://drive.google.com/open?id=13AMGlOKBAW-VZ8ToDUrrK6d4Xh26E-pLgYHTKTcAt_I" TargetMode="External"/><Relationship Id="rId674" Type="http://schemas.openxmlformats.org/officeDocument/2006/relationships/hyperlink" Target="https://docs.google.com/spreadsheets/d/1IBOp12-8ahZqktw556yk84p1LLqJVyCZHCoqVBt70Rk" TargetMode="External"/><Relationship Id="rId881" Type="http://schemas.openxmlformats.org/officeDocument/2006/relationships/hyperlink" Target="https://drive.google.com/open?id=1a6M75LEa0Mhn4ZyUiLyLZuTCwFWQ3H_ahBac0m_0iy8" TargetMode="External"/><Relationship Id="rId2355" Type="http://schemas.openxmlformats.org/officeDocument/2006/relationships/hyperlink" Target="https://docs.google.com/open?id=1fqX2rnwxnkl7OpLwjM8LgM7ahxyRsdrJL1xus5ReMp4" TargetMode="External"/><Relationship Id="rId2562" Type="http://schemas.openxmlformats.org/officeDocument/2006/relationships/hyperlink" Target="https://docs.google.com/spreadsheets/d/1kKOZ9UmMhjp7cM7JAMzefBqKghcwcKcqZJ_Nr5kvgkA" TargetMode="External"/><Relationship Id="rId3406" Type="http://schemas.openxmlformats.org/officeDocument/2006/relationships/hyperlink" Target="https://docs.google.com/spreadsheets/d/1rDqG8HquCwW9pnZZCYlHGX7ElQehNuNDHFV-OcxgQXA" TargetMode="External"/><Relationship Id="rId3613" Type="http://schemas.openxmlformats.org/officeDocument/2006/relationships/hyperlink" Target="https://drive.google.com/open?id=1Z2Ie-rgR-WHtE0QkZNjOOd5ecTpkBy3G6MqfhcutgL0" TargetMode="External"/><Relationship Id="rId3820" Type="http://schemas.openxmlformats.org/officeDocument/2006/relationships/hyperlink" Target="https://drive.google.com/open?id=1r9KcGfp64Cwn68Cnl7E0UQdtQ63FYNp0ZDtxe8PfQi8&amp;usp=drive_copy" TargetMode="External"/><Relationship Id="rId327" Type="http://schemas.openxmlformats.org/officeDocument/2006/relationships/hyperlink" Target="https://docs.google.com/open?id=13zju-bIiFlXLoG38GhXwrj0pcNq_0PKACRFt4wNkVRU" TargetMode="External"/><Relationship Id="rId534" Type="http://schemas.openxmlformats.org/officeDocument/2006/relationships/hyperlink" Target="https://docs.google.com/spreadsheets/d/1BbO3XwPgprrRzRbJNU782pgl77q3nT4WmQQznQPUp9c" TargetMode="External"/><Relationship Id="rId741" Type="http://schemas.openxmlformats.org/officeDocument/2006/relationships/hyperlink" Target="https://drive.google.com/open?id=19an57qPg6-LW9HFYiknpVSOIG8cltkLJUsfFA7qJj5A" TargetMode="External"/><Relationship Id="rId1164" Type="http://schemas.openxmlformats.org/officeDocument/2006/relationships/hyperlink" Target="https://drive.google.com/open?id=1UYWMWHeW-M8GY0OSZNcPF2R8afJWdtf38jKAsq2fAho&amp;usp=drive_copy" TargetMode="External"/><Relationship Id="rId1371" Type="http://schemas.openxmlformats.org/officeDocument/2006/relationships/hyperlink" Target="https://docs.google.com/open?id=1RkY9vgAvvnwrhVQkyDoLOh52B2LswQkqzwCLbyEDhUY" TargetMode="External"/><Relationship Id="rId2008" Type="http://schemas.openxmlformats.org/officeDocument/2006/relationships/hyperlink" Target="https://drive.google.com/open?id=1fU1JXOTykueNJng4Yr5LHGOHott98hjFCCQ3_vke5nQ&amp;usp=drive_copy" TargetMode="External"/><Relationship Id="rId2215" Type="http://schemas.openxmlformats.org/officeDocument/2006/relationships/hyperlink" Target="https://docs.google.com/open?id=1z3ChhJSr0KAV7qa0nJKi1S70IRf1GlAzGnAG20UpG_o" TargetMode="External"/><Relationship Id="rId2422" Type="http://schemas.openxmlformats.org/officeDocument/2006/relationships/hyperlink" Target="https://docs.google.com/spreadsheets/d/1Fl8SB1u-OrjUIf3rPiFm60DJ3kkdeK849gSKfJPwxH0" TargetMode="External"/><Relationship Id="rId601" Type="http://schemas.openxmlformats.org/officeDocument/2006/relationships/hyperlink" Target="https://drive.google.com/open?id=10KSMWY1j7Zp9u_vkU1WsZAnqSniXIe-GwxlHsYPPdyQ" TargetMode="External"/><Relationship Id="rId1024" Type="http://schemas.openxmlformats.org/officeDocument/2006/relationships/hyperlink" Target="https://drive.google.com/open?id=1zAyXeE1VA3-Wx0PJNINHXJUS8KXOyKmAYwLw6GycmbE&amp;usp=drive_copy" TargetMode="External"/><Relationship Id="rId1231" Type="http://schemas.openxmlformats.org/officeDocument/2006/relationships/hyperlink" Target="https://docs.google.com/open?id=1RAiyBpviyDH1LaSdNuoxdJepOzToEft0FTmR7G9UtUc" TargetMode="External"/><Relationship Id="rId3196" Type="http://schemas.openxmlformats.org/officeDocument/2006/relationships/hyperlink" Target="https://drive.google.com/open?id=1lMZjxWXqAbgHw-PCv_Zz6wJogTEjdfThvWYzSt1Ghs8&amp;usp=drive_copy" TargetMode="External"/><Relationship Id="rId3056" Type="http://schemas.openxmlformats.org/officeDocument/2006/relationships/hyperlink" Target="https://drive.google.com/open?id=13lZOdZecbBh2fhnG4TGBUVqHbVSVOdLgUg0MzVCLr-E&amp;usp=drive_copy" TargetMode="External"/><Relationship Id="rId3263" Type="http://schemas.openxmlformats.org/officeDocument/2006/relationships/hyperlink" Target="https://docs.google.com/open?id=14xXIDMHktHinzKVs2eiN2Rnz5a8ew907SP0tyARAIuU" TargetMode="External"/><Relationship Id="rId3470" Type="http://schemas.openxmlformats.org/officeDocument/2006/relationships/hyperlink" Target="https://docs.google.com/spreadsheets/d/1RSm8btu3tw7llgbpmDPWH25n7KJAahHQqNmgb8cE86o" TargetMode="External"/><Relationship Id="rId184" Type="http://schemas.openxmlformats.org/officeDocument/2006/relationships/hyperlink" Target="https://docs.google.com/spreadsheets/d/1vCbdjifXhMV_SAE5SqVRLiOBK1H_iuEQdXcFTsRahwo/edit" TargetMode="External"/><Relationship Id="rId391" Type="http://schemas.openxmlformats.org/officeDocument/2006/relationships/hyperlink" Target="https://docs.google.com/spreadsheets/d/1rca7FK11fX25ETdQ2QXO9FWeCoDB76u-aScPoDiZU2k/edit?usp=sharing" TargetMode="External"/><Relationship Id="rId1908" Type="http://schemas.openxmlformats.org/officeDocument/2006/relationships/hyperlink" Target="https://drive.google.com/open?id=1zYL5bnFz5mu0SGSZvdxL0LUsjhwX4VzNaVuZnMUArCk&amp;usp=drive_copy" TargetMode="External"/><Relationship Id="rId2072" Type="http://schemas.openxmlformats.org/officeDocument/2006/relationships/hyperlink" Target="https://drive.google.com/open?id=13ss263b1v0zCi3a6DhT3Z7lXL24RgSPEnJ8zBbN4iKw&amp;usp=drive_copy" TargetMode="External"/><Relationship Id="rId3123" Type="http://schemas.openxmlformats.org/officeDocument/2006/relationships/hyperlink" Target="https://docs.google.com/open?id=1KSkYoabZUfoRf9R2XZmQFgR73KPQxNQEVH8KjynjLa8" TargetMode="External"/><Relationship Id="rId251" Type="http://schemas.openxmlformats.org/officeDocument/2006/relationships/hyperlink" Target="https://docs.google.com/open?id=1PQ3epZ0_cfiTD7AcemI5BM1GW7jf3rCZXMMtmZXwkpg" TargetMode="External"/><Relationship Id="rId3330" Type="http://schemas.openxmlformats.org/officeDocument/2006/relationships/hyperlink" Target="https://docs.google.com/spreadsheets/d/1J56tQGx5mtEW15sjHpVWJmBCL1_B-Xd1BtU1Ls_yCOc" TargetMode="External"/><Relationship Id="rId2889" Type="http://schemas.openxmlformats.org/officeDocument/2006/relationships/hyperlink" Target="https://drive.google.com/open?id=1IMZkm8yKZby27A5acXdMX9BuSRfyc7XvRE9kjtzijxQ" TargetMode="External"/><Relationship Id="rId111" Type="http://schemas.openxmlformats.org/officeDocument/2006/relationships/hyperlink" Target="https://docs.google.com/spreadsheets/d/1AwW9NT6YP-AmXchbApbdn70E4F8OFCgIjQ6n7koJCD0/edit?usp=sharing" TargetMode="External"/><Relationship Id="rId1698" Type="http://schemas.openxmlformats.org/officeDocument/2006/relationships/hyperlink" Target="https://docs.google.com/spreadsheets/d/1Tq9Xj7Em9_lW_2lpW-OoRc_MCq1ABdu3T2I984PjUnU" TargetMode="External"/><Relationship Id="rId2749" Type="http://schemas.openxmlformats.org/officeDocument/2006/relationships/hyperlink" Target="https://drive.google.com/open?id=1dex4fmiuuWlVcHMMSrRcYibNGJHvdGqAj1gqWoj0SZo" TargetMode="External"/><Relationship Id="rId2956" Type="http://schemas.openxmlformats.org/officeDocument/2006/relationships/hyperlink" Target="https://drive.google.com/open?id=1Pu4Zms7MKl4RvswRmnbczScpLk6wFSxSRxtfpMKaqIc&amp;usp=drive_copy" TargetMode="External"/><Relationship Id="rId928" Type="http://schemas.openxmlformats.org/officeDocument/2006/relationships/hyperlink" Target="https://drive.google.com/open?id=1Es6h2bPMIK8HsDuzV7ioeTJf-2Khr8Dv68dgUc1gUFA&amp;usp=drive_copy" TargetMode="External"/><Relationship Id="rId1558" Type="http://schemas.openxmlformats.org/officeDocument/2006/relationships/hyperlink" Target="https://docs.google.com/spreadsheets/d/1hQI2FxHX0goMdg176Rs4Cpm0kQynLiAuwnCuwoGSY9s" TargetMode="External"/><Relationship Id="rId1765" Type="http://schemas.openxmlformats.org/officeDocument/2006/relationships/hyperlink" Target="https://drive.google.com/open?id=1iUf28_s-jHH90j-QS6sqLcRJ5CjRxLXz_VFES7xmefk" TargetMode="External"/><Relationship Id="rId2609" Type="http://schemas.openxmlformats.org/officeDocument/2006/relationships/hyperlink" Target="https://drive.google.com/open?id=1wT6WZdIiN8LNxd30Go1lN5h7VTkHLPq-9zqeQsl9DoM" TargetMode="External"/><Relationship Id="rId57" Type="http://schemas.openxmlformats.org/officeDocument/2006/relationships/hyperlink" Target="https://docs.google.com/spreadsheets/d/1IREh9NizLiFYNuJ5NwQWP-XSMMvaD9IKBDeMk5oBAeI/edit?usp=sharing" TargetMode="External"/><Relationship Id="rId1418" Type="http://schemas.openxmlformats.org/officeDocument/2006/relationships/hyperlink" Target="https://docs.google.com/spreadsheets/d/1cXIw5mog84y1d-YPHijS147H1dCepZCWIhPv8aMD96M" TargetMode="External"/><Relationship Id="rId1972" Type="http://schemas.openxmlformats.org/officeDocument/2006/relationships/hyperlink" Target="https://drive.google.com/open?id=1Lkqbz3rBV8yB5jpHujxLdkQpr3Gb2Nmxp-CN8dwZ0W8&amp;usp=drive_copy" TargetMode="External"/><Relationship Id="rId2816" Type="http://schemas.openxmlformats.org/officeDocument/2006/relationships/hyperlink" Target="https://drive.google.com/open?id=1tnid7ETYJfYjoPzqwcSHKT6xbWQY8q1WdtereWllGpU&amp;usp=drive_copy" TargetMode="External"/><Relationship Id="rId1625" Type="http://schemas.openxmlformats.org/officeDocument/2006/relationships/hyperlink" Target="https://drive.google.com/open?id=1DF6pTjy58c2gOtQ92YudUQxeF-1wog3DOU0cC6z8WDA" TargetMode="External"/><Relationship Id="rId1832" Type="http://schemas.openxmlformats.org/officeDocument/2006/relationships/hyperlink" Target="https://drive.google.com/open?id=1EOXQuf60K_Uld5odEVzZydbD-vpkTuI-8a1bFmNADRk&amp;usp=drive_copy" TargetMode="External"/><Relationship Id="rId3797" Type="http://schemas.openxmlformats.org/officeDocument/2006/relationships/hyperlink" Target="https://drive.google.com/open?id=1DiW_pSLEOElRrUJuczGmCnjl1xFdIgPXD7UANxgRO04" TargetMode="External"/><Relationship Id="rId2399" Type="http://schemas.openxmlformats.org/officeDocument/2006/relationships/hyperlink" Target="https://docs.google.com/open?id=1zMPB_qLJCPdy8KbBJ27lIU0enlk63xGUlGaT2u2Hsz4" TargetMode="External"/><Relationship Id="rId3657" Type="http://schemas.openxmlformats.org/officeDocument/2006/relationships/hyperlink" Target="https://drive.google.com/open?id=1zBnO5IHOpYERp-YB7AyJDf4Q8yGUWuwiwTANjk_ACBc" TargetMode="External"/><Relationship Id="rId3864" Type="http://schemas.openxmlformats.org/officeDocument/2006/relationships/hyperlink" Target="https://drive.google.com/open?id=1m2oGMtfxLfiNjBvGTLFkpTzUTzOUo382KnAxilJGdhk&amp;usp=drive_copy" TargetMode="External"/><Relationship Id="rId578" Type="http://schemas.openxmlformats.org/officeDocument/2006/relationships/hyperlink" Target="https://docs.google.com/spreadsheets/d/1nx420kvbsr8urnff_BRIgmZ5gNnHMe2FuM8H9lD6XEY" TargetMode="External"/><Relationship Id="rId785" Type="http://schemas.openxmlformats.org/officeDocument/2006/relationships/hyperlink" Target="https://drive.google.com/open?id=1pHCmn5lXac1tgzmYkb6CtPNGruYb1PxdtkZucIpUu3A" TargetMode="External"/><Relationship Id="rId992" Type="http://schemas.openxmlformats.org/officeDocument/2006/relationships/hyperlink" Target="https://drive.google.com/open?id=1dzPt8b1d5eT0B7pQ_hU2et97TdFkZsm9N9j23a9t6EI&amp;usp=drive_copy" TargetMode="External"/><Relationship Id="rId2259" Type="http://schemas.openxmlformats.org/officeDocument/2006/relationships/hyperlink" Target="https://docs.google.com/open?id=1tJ9oaVdI4eBbESC0OH_aAq6lpZvnmI8SLOwxfCJ3yTk" TargetMode="External"/><Relationship Id="rId2466" Type="http://schemas.openxmlformats.org/officeDocument/2006/relationships/hyperlink" Target="https://docs.google.com/spreadsheets/d/1CMHEyAbKdUepMmAVaZOCvNVyMvzRnjr-8syUod6Qe9s" TargetMode="External"/><Relationship Id="rId2673" Type="http://schemas.openxmlformats.org/officeDocument/2006/relationships/hyperlink" Target="https://drive.google.com/open?id=1DdzJmM06x-glnl3GscloMiRH_dyFnrzJVEoTTJWoqJg" TargetMode="External"/><Relationship Id="rId2880" Type="http://schemas.openxmlformats.org/officeDocument/2006/relationships/hyperlink" Target="https://drive.google.com/open?id=13tlOIam5jvfpUcS-LUK1J1s9NXHkTmNyuik_xHu-9Qc&amp;usp=drive_copy" TargetMode="External"/><Relationship Id="rId3517" Type="http://schemas.openxmlformats.org/officeDocument/2006/relationships/hyperlink" Target="https://drive.google.com/open?id=1mxuSbGlj9k491eazC4Z3igjTPbInYE79aNtgLPzMC6Y" TargetMode="External"/><Relationship Id="rId3724" Type="http://schemas.openxmlformats.org/officeDocument/2006/relationships/hyperlink" Target="https://drive.google.com/open?id=1Tvqk1bJKXdGbrS7ddGjVCJivUpazhwPnWsMb8MPpGWI&amp;usp=drive_copy" TargetMode="External"/><Relationship Id="rId3931" Type="http://schemas.openxmlformats.org/officeDocument/2006/relationships/hyperlink" Target="https://docs.google.com/open?id=1GS9yh4MIOl1HFEhjn8rVm8OzPUoBZg0WYu2bK_jBnpo" TargetMode="External"/><Relationship Id="rId438" Type="http://schemas.openxmlformats.org/officeDocument/2006/relationships/hyperlink" Target="https://docs.google.com/spreadsheets/d/1kL6-1SfMeQDGwpswzdsMj0l4OJ7UXeB_xxxjKQALUjg" TargetMode="External"/><Relationship Id="rId645" Type="http://schemas.openxmlformats.org/officeDocument/2006/relationships/hyperlink" Target="https://drive.google.com/open?id=1EAyahGhjxPCL1iX8D-KjVlO4ZVCAODx5WV0uFpjgnAM" TargetMode="External"/><Relationship Id="rId852" Type="http://schemas.openxmlformats.org/officeDocument/2006/relationships/hyperlink" Target="https://drive.google.com/open?id=15FBk7sjgDl7cPUOvU963L9E2komH58om3QDtMZme2_Q&amp;usp=drive_copy" TargetMode="External"/><Relationship Id="rId1068" Type="http://schemas.openxmlformats.org/officeDocument/2006/relationships/hyperlink" Target="https://drive.google.com/open?id=1u3c-H54YC0yYkqIRUdPXagzZHtdWLl-WsNSOsUA693g&amp;usp=drive_copy" TargetMode="External"/><Relationship Id="rId1275" Type="http://schemas.openxmlformats.org/officeDocument/2006/relationships/hyperlink" Target="https://docs.google.com/open?id=1fJPPSztCgeJoPKljKa4vAQT50OmZjvhtAXJ3O8wavM8" TargetMode="External"/><Relationship Id="rId1482" Type="http://schemas.openxmlformats.org/officeDocument/2006/relationships/hyperlink" Target="https://docs.google.com/spreadsheets/d/15LwGcrE9V7r6eONxrF6shLmJZ32odris6qkdpZXNb8k" TargetMode="External"/><Relationship Id="rId2119" Type="http://schemas.openxmlformats.org/officeDocument/2006/relationships/hyperlink" Target="https://docs.google.com/open?id=1bHeKpf4EVsL3rafD5oed2cGiFdyJruYGBv-FzcLrm6g" TargetMode="External"/><Relationship Id="rId2326" Type="http://schemas.openxmlformats.org/officeDocument/2006/relationships/hyperlink" Target="https://docs.google.com/spreadsheets/d/10XjszphET9bNnbIftOpOD-2suLE-v-UImiLMdELar-A" TargetMode="External"/><Relationship Id="rId2533" Type="http://schemas.openxmlformats.org/officeDocument/2006/relationships/hyperlink" Target="https://drive.google.com/open?id=1eXZVA_ImAE2XJu026QaWPTili5KXyoVrxabbT7-sc2I" TargetMode="External"/><Relationship Id="rId2740" Type="http://schemas.openxmlformats.org/officeDocument/2006/relationships/hyperlink" Target="https://drive.google.com/open?id=1m5dUtlmU7stLw5HoKctMMpoy3gQ6QrgFU3z3hCirk2A&amp;usp=drive_copy" TargetMode="External"/><Relationship Id="rId505" Type="http://schemas.openxmlformats.org/officeDocument/2006/relationships/hyperlink" Target="https://drive.google.com/open?id=1GcfTeM06fL2h2DFNzZR1dtc4_cQ7sTpi7l_fflQK_YA" TargetMode="External"/><Relationship Id="rId712" Type="http://schemas.openxmlformats.org/officeDocument/2006/relationships/hyperlink" Target="https://drive.google.com/open?id=1QNC_GjwCaYLhAtQnqLKMIiNB46WOFjAYv6RyJ9_bKTc&amp;usp=drive_copy" TargetMode="External"/><Relationship Id="rId1135" Type="http://schemas.openxmlformats.org/officeDocument/2006/relationships/hyperlink" Target="https://docs.google.com/open?id=1o-5W8XHiBwlQrrTfoctzCtfwFk4dgrJD1x2tJ4-lcgc" TargetMode="External"/><Relationship Id="rId1342" Type="http://schemas.openxmlformats.org/officeDocument/2006/relationships/hyperlink" Target="https://docs.google.com/spreadsheets/d/14qyJ_PrmLfZMOf6cCWLpD4pKLNfTJMMpCu7ZEAopRsw" TargetMode="External"/><Relationship Id="rId1202" Type="http://schemas.openxmlformats.org/officeDocument/2006/relationships/hyperlink" Target="https://docs.google.com/spreadsheets/d/1aK8bRPBwSbG-NKbaP6D0bAEWum3Q8sPJXCBZv6Ea1l4" TargetMode="External"/><Relationship Id="rId2600" Type="http://schemas.openxmlformats.org/officeDocument/2006/relationships/hyperlink" Target="https://drive.google.com/open?id=1w4DA1jJhQ2K5INJ9-6_26nQpEupQKgDkFwoyQib--3k&amp;usp=drive_copy" TargetMode="External"/><Relationship Id="rId3167" Type="http://schemas.openxmlformats.org/officeDocument/2006/relationships/hyperlink" Target="https://docs.google.com/open?id=1dqoTdLhR_zIt6QNdClkbdCkQRRZY3qMc_OrdKh_EyIo" TargetMode="External"/><Relationship Id="rId295" Type="http://schemas.openxmlformats.org/officeDocument/2006/relationships/hyperlink" Target="https://docs.google.com/open?id=1wuTP6ZyVjkSrlxTL8N9Ko9Ahw4roz-bpCZiVKoGmPgw" TargetMode="External"/><Relationship Id="rId3374" Type="http://schemas.openxmlformats.org/officeDocument/2006/relationships/hyperlink" Target="https://docs.google.com/spreadsheets/d/1ZAh-POS4IjlD2tAMXbtHwClTdpqE6l1x6BjzrPbIuYc" TargetMode="External"/><Relationship Id="rId3581" Type="http://schemas.openxmlformats.org/officeDocument/2006/relationships/hyperlink" Target="https://drive.google.com/open?id=14zvWB5Roxv0q_85N-nEiyWk_OkhDmpZrsew3o1AoIMY" TargetMode="External"/><Relationship Id="rId2183" Type="http://schemas.openxmlformats.org/officeDocument/2006/relationships/hyperlink" Target="https://docs.google.com/open?id=17kbKWMzjWXPAUvz-vPypeO3KNNGgrUZXvzztKfA-F84" TargetMode="External"/><Relationship Id="rId2390" Type="http://schemas.openxmlformats.org/officeDocument/2006/relationships/hyperlink" Target="https://docs.google.com/spreadsheets/d/1VlSGPNVTV7nzL827hVNFrN1CIZfDc1f05dfgc2qzpvw" TargetMode="External"/><Relationship Id="rId3027" Type="http://schemas.openxmlformats.org/officeDocument/2006/relationships/hyperlink" Target="https://docs.google.com/open?id=1-6L7eMel2mT86hlP2hhtSzWmzugKauA3IcddEA7o82I" TargetMode="External"/><Relationship Id="rId3234" Type="http://schemas.openxmlformats.org/officeDocument/2006/relationships/hyperlink" Target="https://docs.google.com/spreadsheets/d/1x6MgWiMfFeP-2w6mzPOjf5dUms4hyvgTcRY3gs6tuVE" TargetMode="External"/><Relationship Id="rId3441" Type="http://schemas.openxmlformats.org/officeDocument/2006/relationships/hyperlink" Target="https://drive.google.com/open?id=18AYpcdqW__Uj8oUK72dYYPB5Q2hpTfCpuTq7Cw18ztQ" TargetMode="External"/><Relationship Id="rId155" Type="http://schemas.openxmlformats.org/officeDocument/2006/relationships/hyperlink" Target="https://docs.google.com/spreadsheets/d/1RMacLAUtlfrJ0QjHYYDO9GgdOjD5dz4ZQ9dW0ji9xQY/edit?usp=sharing" TargetMode="External"/><Relationship Id="rId362" Type="http://schemas.openxmlformats.org/officeDocument/2006/relationships/hyperlink" Target="https://docs.google.com/spreadsheets/d/1AflDdxj5GtkuKJsDK6EELF3DfYHgmCJlP-oIVpTgm_o" TargetMode="External"/><Relationship Id="rId2043" Type="http://schemas.openxmlformats.org/officeDocument/2006/relationships/hyperlink" Target="https://docs.google.com/open?id=188Cz7H5iEkxNMg9roX8vCsWndIEsyC3uohC-u-2_1FU" TargetMode="External"/><Relationship Id="rId2250" Type="http://schemas.openxmlformats.org/officeDocument/2006/relationships/hyperlink" Target="https://docs.google.com/spreadsheets/d/140ZhkVAiahpRT1th_6cUTltV8cws6uma-lJeeuJJT6k" TargetMode="External"/><Relationship Id="rId3301" Type="http://schemas.openxmlformats.org/officeDocument/2006/relationships/hyperlink" Target="https://drive.google.com/open?id=1CMv1lSTwVVLlKgXC1iVk9cQ26fx-WnQDcg8x8ksQ9WY" TargetMode="External"/><Relationship Id="rId222" Type="http://schemas.openxmlformats.org/officeDocument/2006/relationships/hyperlink" Target="https://docs.google.com/spreadsheets/d/16fLehssuVd-GMaM2DSjtd_PrXcBpzKOHjOJ7Iin75KU" TargetMode="External"/><Relationship Id="rId2110" Type="http://schemas.openxmlformats.org/officeDocument/2006/relationships/hyperlink" Target="https://docs.google.com/spreadsheets/d/112_AMzoi6eIQvc9EhNq3E6l0-jMuicXT_27Prs-ZtyA" TargetMode="External"/><Relationship Id="rId1669" Type="http://schemas.openxmlformats.org/officeDocument/2006/relationships/hyperlink" Target="https://drive.google.com/open?id=1sE7EY91rg-Qo4QCzZdiSZxPdIAcvdZwllQsfa9An0Ak" TargetMode="External"/><Relationship Id="rId1876" Type="http://schemas.openxmlformats.org/officeDocument/2006/relationships/hyperlink" Target="https://drive.google.com/open?id=1rrxsUgZcebmq_EXVre3yoGj5K7TK_OyeTWWFpXWC-tQ&amp;usp=drive_copy" TargetMode="External"/><Relationship Id="rId2927" Type="http://schemas.openxmlformats.org/officeDocument/2006/relationships/hyperlink" Target="https://docs.google.com/open?id=164xIOjtl2axdo9kr5oxa8oPwHyE6tQgqB0rRsWfm_bE" TargetMode="External"/><Relationship Id="rId3091" Type="http://schemas.openxmlformats.org/officeDocument/2006/relationships/hyperlink" Target="https://docs.google.com/open?id=1C8EdgcVWAT4PGDVCSNA49KM6YQ_F1E04cahpenkUFcM" TargetMode="External"/><Relationship Id="rId1529" Type="http://schemas.openxmlformats.org/officeDocument/2006/relationships/hyperlink" Target="https://drive.google.com/open?id=1LqFLZW_eUurmtyfQLOzDSsHx14z9GnlepDz7V4O7uS8" TargetMode="External"/><Relationship Id="rId1736" Type="http://schemas.openxmlformats.org/officeDocument/2006/relationships/hyperlink" Target="https://docs.google.com/spreadsheets/d/1jLNf8Z_ggCDVtKRBWe0mr7gre3LCLqYYq10_rjFIYRA/edit?usp=sharing" TargetMode="External"/><Relationship Id="rId1943" Type="http://schemas.openxmlformats.org/officeDocument/2006/relationships/hyperlink" Target="https://docs.google.com/open?id=1I8C_UgjRaroa0SowO9lxKRWUEKhYffU47MZTZ2LS2Xw" TargetMode="External"/><Relationship Id="rId28" Type="http://schemas.openxmlformats.org/officeDocument/2006/relationships/hyperlink" Target="https://docs.google.com/spreadsheets/d/1DaYCZKPal0nRHm95UwYaToKm9sNEy-FRwVgkNCeHaOI/edit" TargetMode="External"/><Relationship Id="rId1803" Type="http://schemas.openxmlformats.org/officeDocument/2006/relationships/hyperlink" Target="https://docs.google.com/open?id=13TQ-__xDNE_0oT5PADtUN9vF5tqbAPeOY1xLTELvhe8" TargetMode="External"/><Relationship Id="rId3768" Type="http://schemas.openxmlformats.org/officeDocument/2006/relationships/hyperlink" Target="https://drive.google.com/open?id=1Yp7MGDRhRootSQcpTiZSPHdr0pJe93NgN45rRBfdZSk&amp;usp=drive_copy" TargetMode="External"/><Relationship Id="rId689" Type="http://schemas.openxmlformats.org/officeDocument/2006/relationships/hyperlink" Target="https://drive.google.com/open?id=1JnDnaAKndNVUL00xE3ufawSO5PejocdvIEdEQHCKQlw" TargetMode="External"/><Relationship Id="rId896" Type="http://schemas.openxmlformats.org/officeDocument/2006/relationships/hyperlink" Target="https://drive.google.com/open?id=1R3ix6TlsU6FSycPVRYy2KtmwR-m0tlKaLbuWDkusD0w&amp;usp=drive_copy" TargetMode="External"/><Relationship Id="rId2577" Type="http://schemas.openxmlformats.org/officeDocument/2006/relationships/hyperlink" Target="https://drive.google.com/open?id=1qSbpqhBnbT3tMzgcYUDNtl4jYShJmIvqrgwXWSJAw4I" TargetMode="External"/><Relationship Id="rId2784" Type="http://schemas.openxmlformats.org/officeDocument/2006/relationships/hyperlink" Target="https://drive.google.com/open?id=1HBCQ_XXfUmpmKaHIn83dtmHplKxjITHcMoC7wOksBgw&amp;usp=drive_copy" TargetMode="External"/><Relationship Id="rId3628" Type="http://schemas.openxmlformats.org/officeDocument/2006/relationships/hyperlink" Target="https://drive.google.com/open?id=1GHl_BhP-EU9pjuHRxjFgow14W8msGSYW2g81zoBcegc&amp;usp=drive_copy" TargetMode="External"/><Relationship Id="rId549" Type="http://schemas.openxmlformats.org/officeDocument/2006/relationships/hyperlink" Target="https://drive.google.com/open?id=1RCIJO0JhFeMMnnju70d3As6zQjRA7MVNAIpbilwf-fg" TargetMode="External"/><Relationship Id="rId756" Type="http://schemas.openxmlformats.org/officeDocument/2006/relationships/hyperlink" Target="https://drive.google.com/open?id=1c3br8TdeXFL5utojEt0poDYlrdaQ7v0TiQ9p2dXiWuA&amp;usp=drive_copy" TargetMode="External"/><Relationship Id="rId1179" Type="http://schemas.openxmlformats.org/officeDocument/2006/relationships/hyperlink" Target="https://docs.google.com/open?id=1XcYRqb7tFKMVwHMSlyWM_wXEQF0eDaSgcTGxvXqGMi4" TargetMode="External"/><Relationship Id="rId1386" Type="http://schemas.openxmlformats.org/officeDocument/2006/relationships/hyperlink" Target="https://docs.google.com/spreadsheets/d/1xkC4xgU4cTSK2tdI9qeWL40RdsVwQTpd1Ve1jirfPEI" TargetMode="External"/><Relationship Id="rId1593" Type="http://schemas.openxmlformats.org/officeDocument/2006/relationships/hyperlink" Target="https://drive.google.com/open?id=1P-SnFiPbUmTrneBVUziQqOrKU8u-uvlp-9-M5KtblnY" TargetMode="External"/><Relationship Id="rId2437" Type="http://schemas.openxmlformats.org/officeDocument/2006/relationships/hyperlink" Target="https://drive.google.com/open?id=1XmjjaxhccnvGh5nP_NwFuid8AOS8YXBHMmiOrkKZJXA" TargetMode="External"/><Relationship Id="rId2991" Type="http://schemas.openxmlformats.org/officeDocument/2006/relationships/hyperlink" Target="https://docs.google.com/open?id=1ixk6PTLsAgjRwdaPEXyvycf1xmiVYn9IluVfFCoEgGs" TargetMode="External"/><Relationship Id="rId3835" Type="http://schemas.openxmlformats.org/officeDocument/2006/relationships/hyperlink" Target="https://docs.google.com/open?id=1yzpnK1mpmqmhTIzyD-WVvBmb8nnxvXjeEOIWehuHWlI" TargetMode="External"/><Relationship Id="rId409" Type="http://schemas.openxmlformats.org/officeDocument/2006/relationships/hyperlink" Target="https://drive.google.com/open?id=1J3U-LaPM34_WDdgxDeVoMfwJHY-BdwXO6cpgiOzNGZM" TargetMode="External"/><Relationship Id="rId963" Type="http://schemas.openxmlformats.org/officeDocument/2006/relationships/hyperlink" Target="https://docs.google.com/open?id=1G9ZO3Ij_Px1N41zViF2lPSFfVn8iHHuSPCtMPo86bH4" TargetMode="External"/><Relationship Id="rId1039" Type="http://schemas.openxmlformats.org/officeDocument/2006/relationships/hyperlink" Target="https://docs.google.com/open?id=10-e6i2Y1dJz7V0Ow6RYSOPsODg2DKNOiq-4_fCDRCow" TargetMode="External"/><Relationship Id="rId1246" Type="http://schemas.openxmlformats.org/officeDocument/2006/relationships/hyperlink" Target="https://docs.google.com/spreadsheets/d/1bTgNRyK39vkJ-4fk7f-e3fMLf-cXto449tmsgw762aE" TargetMode="External"/><Relationship Id="rId2644" Type="http://schemas.openxmlformats.org/officeDocument/2006/relationships/hyperlink" Target="https://drive.google.com/open?id=18V2TuR64ZwJVbQdxwGrz8h3eNOhofDrzvLfElk1FTBw&amp;usp=drive_copy" TargetMode="External"/><Relationship Id="rId2851" Type="http://schemas.openxmlformats.org/officeDocument/2006/relationships/hyperlink" Target="https://docs.google.com/open?id=1TjfXudfOEISX08ERgo5PAwsPnAoCj0eJMznwKsd1CqI" TargetMode="External"/><Relationship Id="rId3902" Type="http://schemas.openxmlformats.org/officeDocument/2006/relationships/hyperlink" Target="https://docs.google.com/spreadsheets/d/16wByBKkq54MlVMp5UkjlFbElc_thB7GBJgwUFmV5emU" TargetMode="External"/><Relationship Id="rId92" Type="http://schemas.openxmlformats.org/officeDocument/2006/relationships/hyperlink" Target="https://docs.google.com/spreadsheets/d/1Zrshi6jwOwyj2e8vcD0igRXjGqWyHD7nP52PJ8F94q0/edit" TargetMode="External"/><Relationship Id="rId616" Type="http://schemas.openxmlformats.org/officeDocument/2006/relationships/hyperlink" Target="https://drive.google.com/open?id=15QfApwuhEO15jiw3v1uAAyQWvf6mevK46wqYBH7wyas&amp;usp=drive_copy" TargetMode="External"/><Relationship Id="rId823" Type="http://schemas.openxmlformats.org/officeDocument/2006/relationships/hyperlink" Target="https://docs.google.com/open?id=1mAI-2AuoIc-cvrKTWlOtSH-Vn_l2p76CjdS5TDlayT8" TargetMode="External"/><Relationship Id="rId1453" Type="http://schemas.openxmlformats.org/officeDocument/2006/relationships/hyperlink" Target="https://drive.google.com/open?id=1rpNu8ZwX5PG5PcLz3S5O2mSzQ-fLjtS5QNCQLe-Muj0" TargetMode="External"/><Relationship Id="rId1660" Type="http://schemas.openxmlformats.org/officeDocument/2006/relationships/hyperlink" Target="https://drive.google.com/open?id=1SvgwqPMmFRn7bd9BUNr0R5HUmumpGdQHHWFRch-vBN0&amp;usp=drive_copy" TargetMode="External"/><Relationship Id="rId2504" Type="http://schemas.openxmlformats.org/officeDocument/2006/relationships/hyperlink" Target="https://drive.google.com/open?id=1EE7F9TdJWX39Eaf_HwosXUAAqTVHuiDKG-FG6pfOzP0&amp;usp=drive_copy" TargetMode="External"/><Relationship Id="rId2711" Type="http://schemas.openxmlformats.org/officeDocument/2006/relationships/hyperlink" Target="https://docs.google.com/open?id=1v-LVk_FIVSQP6J1HbOw49lsrOQrwAMrqUGNvchMQ-RE" TargetMode="External"/><Relationship Id="rId1106" Type="http://schemas.openxmlformats.org/officeDocument/2006/relationships/hyperlink" Target="https://docs.google.com/spreadsheets/d/1DI6KzFnPokmWGqcgy68XWI0vr-ytPKUTrVh8p7T3T8k" TargetMode="External"/><Relationship Id="rId1313" Type="http://schemas.openxmlformats.org/officeDocument/2006/relationships/hyperlink" Target="https://drive.google.com/open?id=1N_WrHcr11qulhkAdEab8_wuC2B7JHCxGyuLUPO_BLz8" TargetMode="External"/><Relationship Id="rId1520" Type="http://schemas.openxmlformats.org/officeDocument/2006/relationships/hyperlink" Target="https://drive.google.com/open?id=1C8nqDXbJfAiIjuDjiMu5OkA0dHOJ_GCj6_z55jqJYyk&amp;usp=drive_copy" TargetMode="External"/><Relationship Id="rId3278" Type="http://schemas.openxmlformats.org/officeDocument/2006/relationships/hyperlink" Target="https://docs.google.com/spreadsheets/d/17MjiVkq4-IqFDqhagMXOFs7HEgZc8AUeRGcXk72DUN8" TargetMode="External"/><Relationship Id="rId3485" Type="http://schemas.openxmlformats.org/officeDocument/2006/relationships/hyperlink" Target="https://drive.google.com/open?id=1rE_ckqhKl7FSC5fenyBrcNODErnTSokKP3B0_36z4CY" TargetMode="External"/><Relationship Id="rId3692" Type="http://schemas.openxmlformats.org/officeDocument/2006/relationships/hyperlink" Target="https://drive.google.com/open?id=1Yk1yQn_PGRwSe8BNNnKwSy6nlEdzEKhsFw9sdXWz_sk&amp;usp=drive_copy" TargetMode="External"/><Relationship Id="rId199" Type="http://schemas.openxmlformats.org/officeDocument/2006/relationships/hyperlink" Target="https://docs.google.com/spreadsheets/d/1Vj_ryLS_dMm6ONo4zmHjDbdOz1S4-zzbqk3W07-ISiw/edit?usp=sharing" TargetMode="External"/><Relationship Id="rId2087" Type="http://schemas.openxmlformats.org/officeDocument/2006/relationships/hyperlink" Target="https://docs.google.com/open?id=1OkOJ9-fcwAxIY0UiNGHafkZR6crApqZVOZT7fs3rOh8" TargetMode="External"/><Relationship Id="rId2294" Type="http://schemas.openxmlformats.org/officeDocument/2006/relationships/hyperlink" Target="https://docs.google.com/spreadsheets/d/1eO-UXrCKF-KBpFJO6zIqf2VSS2FhG7PEzzz0H3z4uk8" TargetMode="External"/><Relationship Id="rId3138" Type="http://schemas.openxmlformats.org/officeDocument/2006/relationships/hyperlink" Target="https://docs.google.com/spreadsheets/d/1R_kmgKHjC5dirWb3nEeOWZoW0lwdB2FKTN4qk-UUArg" TargetMode="External"/><Relationship Id="rId3345" Type="http://schemas.openxmlformats.org/officeDocument/2006/relationships/hyperlink" Target="https://drive.google.com/open?id=1OOHMI232_oP5oX8fS28pYSkDNtpR-MiqpIFkHZYrjJE" TargetMode="External"/><Relationship Id="rId3552" Type="http://schemas.openxmlformats.org/officeDocument/2006/relationships/hyperlink" Target="https://drive.google.com/open?id=1cJyH9G0xbvBMR_LB1KQIbph10iy8GP-WteejWLRZcuI&amp;usp=drive_copy" TargetMode="External"/><Relationship Id="rId266" Type="http://schemas.openxmlformats.org/officeDocument/2006/relationships/hyperlink" Target="https://docs.google.com/spreadsheets/d/1hEZozbbt04pi8zcWWtApBLkiKCwsFW7GZPrEICLjDvs" TargetMode="External"/><Relationship Id="rId473" Type="http://schemas.openxmlformats.org/officeDocument/2006/relationships/hyperlink" Target="https://drive.google.com/open?id=1vUXqua83v3x9zh05wORCmfx2chW-Q5N-YKl7HU7_xxk" TargetMode="External"/><Relationship Id="rId680" Type="http://schemas.openxmlformats.org/officeDocument/2006/relationships/hyperlink" Target="https://drive.google.com/open?id=1IpjbK_P7dAk_ICHRUCk0DpMxZOgclIBDIH9lpWsYM-E&amp;usp=drive_copy" TargetMode="External"/><Relationship Id="rId2154" Type="http://schemas.openxmlformats.org/officeDocument/2006/relationships/hyperlink" Target="https://docs.google.com/spreadsheets/d/1C_4Dx2yWp5F-kWIdkAmd4xPLMP1r_axfG0EQDBFEN_4" TargetMode="External"/><Relationship Id="rId2361" Type="http://schemas.openxmlformats.org/officeDocument/2006/relationships/hyperlink" Target="https://drive.google.com/open?id=10_OwX_aZhDoGS6yaVBeSj7im8Lh-mNudToK-z5iklOE" TargetMode="External"/><Relationship Id="rId3205" Type="http://schemas.openxmlformats.org/officeDocument/2006/relationships/hyperlink" Target="https://drive.google.com/open?id=1p379W6bykEQ8xe3zOi8uiLhwC58RyN8BBToJl6cMk2Y" TargetMode="External"/><Relationship Id="rId3412" Type="http://schemas.openxmlformats.org/officeDocument/2006/relationships/hyperlink" Target="https://drive.google.com/open?id=1upMbc2DOHsxHu_J0dPK37xsFchSINnXvgmYGT1j2Pcs&amp;usp=drive_copy" TargetMode="External"/><Relationship Id="rId126" Type="http://schemas.openxmlformats.org/officeDocument/2006/relationships/hyperlink" Target="https://docs.google.com/spreadsheets/d/1Vmu3dLndfXiswE23zjgbhUgs3aEH1--FP8pVMd86Xt0/edit" TargetMode="External"/><Relationship Id="rId333" Type="http://schemas.openxmlformats.org/officeDocument/2006/relationships/hyperlink" Target="https://drive.google.com/open?id=17BYHu_4eHwIFiihrpOpzhc-MhEVBCao5FjkTcBvd_1w" TargetMode="External"/><Relationship Id="rId540" Type="http://schemas.openxmlformats.org/officeDocument/2006/relationships/hyperlink" Target="https://drive.google.com/open?id=1N2b5eyYI6AWlfXQTEv_JxnPRRXHfsXF9RjK4Z3AUhcM&amp;usp=drive_copy" TargetMode="External"/><Relationship Id="rId1170" Type="http://schemas.openxmlformats.org/officeDocument/2006/relationships/hyperlink" Target="https://docs.google.com/spreadsheets/d/1XOOR8P92_AArpIzWPUqW3e7Ozp_SI-A1s85gzXPKDwc" TargetMode="External"/><Relationship Id="rId2014" Type="http://schemas.openxmlformats.org/officeDocument/2006/relationships/hyperlink" Target="https://docs.google.com/spreadsheets/d/1qz-QanfNnKYCuEUwecPOPU4pSGBcW0ts_uhGZXtaLs8" TargetMode="External"/><Relationship Id="rId2221" Type="http://schemas.openxmlformats.org/officeDocument/2006/relationships/hyperlink" Target="https://drive.google.com/open?id=1rzdx9UAhbIRoxrMEutVUaRWfVqoguv6al7RHo09Q7qs" TargetMode="External"/><Relationship Id="rId1030" Type="http://schemas.openxmlformats.org/officeDocument/2006/relationships/hyperlink" Target="https://docs.google.com/spreadsheets/d/1vPgpyo5KwkkYOHcKUiZVN-i7Gi-n4OudoxZ86i1DynE" TargetMode="External"/><Relationship Id="rId400" Type="http://schemas.openxmlformats.org/officeDocument/2006/relationships/hyperlink" Target="https://drive.google.com/open?id=1HyvwxqD5FNZqjR8zH5AobLOZNgEZj5B8DhfxGq-R-e8&amp;usp=drive_copy" TargetMode="External"/><Relationship Id="rId1987" Type="http://schemas.openxmlformats.org/officeDocument/2006/relationships/hyperlink" Target="https://docs.google.com/open?id=1BU0UUT5RNqv4BJFlEX9VuiIHltXkcSj7Uea1cuR_7ow" TargetMode="External"/><Relationship Id="rId1847" Type="http://schemas.openxmlformats.org/officeDocument/2006/relationships/hyperlink" Target="https://docs.google.com/open?id=1H8A-sD_iZi5l3sdtxU0rmjoRdba5SgzQTJTB4ETGzd8" TargetMode="External"/><Relationship Id="rId1707" Type="http://schemas.openxmlformats.org/officeDocument/2006/relationships/hyperlink" Target="https://docs.google.com/open?id=1_NdIlA4_n_OgVCgBdztvn3Euv3Z8u8jQ61ocPZMYtkI" TargetMode="External"/><Relationship Id="rId3062" Type="http://schemas.openxmlformats.org/officeDocument/2006/relationships/hyperlink" Target="https://docs.google.com/spreadsheets/d/14P8BxsnIp5GPkBBcP9ANehw2qkofm97ZOqcXgzCog5s" TargetMode="External"/><Relationship Id="rId190" Type="http://schemas.openxmlformats.org/officeDocument/2006/relationships/hyperlink" Target="https://docs.google.com/spreadsheets/d/1SFRqnqu-IIJQSxnEIhELKQyf3Iq3elYSOWiTz3lxelQ/edit" TargetMode="External"/><Relationship Id="rId1914" Type="http://schemas.openxmlformats.org/officeDocument/2006/relationships/hyperlink" Target="https://docs.google.com/spreadsheets/d/19OXvvJG73L7zFakAj-D78OPeowZrM1dVOLUKMWse13M" TargetMode="External"/><Relationship Id="rId3879" Type="http://schemas.openxmlformats.org/officeDocument/2006/relationships/hyperlink" Target="https://docs.google.com/open?id=1VEK6lO97nwgpRksBKriuYQTICvxPgONd5ViVz6GtCvU" TargetMode="External"/><Relationship Id="rId2688" Type="http://schemas.openxmlformats.org/officeDocument/2006/relationships/hyperlink" Target="https://drive.google.com/open?id=1IccExUFXt5XdjHHTMrTFVK-VM4nKT4kcsB6qQ482lao&amp;usp=drive_copy" TargetMode="External"/><Relationship Id="rId2895" Type="http://schemas.openxmlformats.org/officeDocument/2006/relationships/hyperlink" Target="https://docs.google.com/open?id=1TnXziYPJSvf4zwM9FILC3S53fmJhIXI-pPKwCaB-Seg" TargetMode="External"/><Relationship Id="rId3739" Type="http://schemas.openxmlformats.org/officeDocument/2006/relationships/hyperlink" Target="https://docs.google.com/open?id=1_WtIIkGQDdKqwcFGDGeWAtD4cjTivdYvwKFjZk1obHA" TargetMode="External"/><Relationship Id="rId3946" Type="http://schemas.openxmlformats.org/officeDocument/2006/relationships/hyperlink" Target="https://docs.google.com/spreadsheets/d/1osIE4GcDxk6_15hdNrHtYNNdIHD9MeFX8rABG_0MUlg" TargetMode="External"/><Relationship Id="rId867" Type="http://schemas.openxmlformats.org/officeDocument/2006/relationships/hyperlink" Target="https://docs.google.com/open?id=1xoX4UWs_XJGjXdp-g9umMOGSZ3HZB4e9xmBRpmq07ik" TargetMode="External"/><Relationship Id="rId1497" Type="http://schemas.openxmlformats.org/officeDocument/2006/relationships/hyperlink" Target="https://drive.google.com/open?id=1LrWvHuQX6DHow6YrL92yJDBgCwhl25PX9bpU07Pltj8" TargetMode="External"/><Relationship Id="rId2548" Type="http://schemas.openxmlformats.org/officeDocument/2006/relationships/hyperlink" Target="https://drive.google.com/open?id=1jbXLlkwoxgCySTy6o6zAcNPhyxQ0nEUCmjA-dKjU2ec&amp;usp=drive_copy" TargetMode="External"/><Relationship Id="rId2755" Type="http://schemas.openxmlformats.org/officeDocument/2006/relationships/hyperlink" Target="https://docs.google.com/open?id=1dFYKnraWoB3WZ4MP41EP4ghyuPLXWsObUHIR97NukCk" TargetMode="External"/><Relationship Id="rId2962" Type="http://schemas.openxmlformats.org/officeDocument/2006/relationships/hyperlink" Target="https://docs.google.com/spreadsheets/d/1Q7yOGnlcdHOfhi2u-d7NAPhNn4lEPtu8ki0kQw_Ayus" TargetMode="External"/><Relationship Id="rId3806" Type="http://schemas.openxmlformats.org/officeDocument/2006/relationships/hyperlink" Target="https://docs.google.com/spreadsheets/d/1dqJTwOHJYL_xbryi9hkDlRUtEz4fuB8nYqhqvT77a1A" TargetMode="External"/><Relationship Id="rId727" Type="http://schemas.openxmlformats.org/officeDocument/2006/relationships/hyperlink" Target="https://docs.google.com/open?id=1XBeelw9ucV4ytdCXxFLAtKpPLOvWqSDpL9PSFdCQDYA" TargetMode="External"/><Relationship Id="rId934" Type="http://schemas.openxmlformats.org/officeDocument/2006/relationships/hyperlink" Target="https://docs.google.com/spreadsheets/d/1GqkYkQuEJEjU5J0ZRInGet7apy2Crxxg2bkyABnVSs0" TargetMode="External"/><Relationship Id="rId1357" Type="http://schemas.openxmlformats.org/officeDocument/2006/relationships/hyperlink" Target="https://drive.google.com/open?id=1Jj5otQeDso0D0uNQp3S1GmCwFSEJTRkMJh8BeAIHIhI" TargetMode="External"/><Relationship Id="rId1564" Type="http://schemas.openxmlformats.org/officeDocument/2006/relationships/hyperlink" Target="https://drive.google.com/open?id=1vbIpNLIrtsRBXqGoKiTY2MwTpkrvJpMfY-4jcOc-87Q&amp;usp=drive_copy" TargetMode="External"/><Relationship Id="rId1771" Type="http://schemas.openxmlformats.org/officeDocument/2006/relationships/hyperlink" Target="https://docs.google.com/open?id=1PPpDhspB4u9hX2w1lg9MB73NhEYQmUY3883AYCxVDCU" TargetMode="External"/><Relationship Id="rId2408" Type="http://schemas.openxmlformats.org/officeDocument/2006/relationships/hyperlink" Target="https://drive.google.com/open?id=1BiOy31ydaVVAcBt-Odrlic5lW7IjRXsL3sfcaf-bVN0&amp;usp=drive_copy" TargetMode="External"/><Relationship Id="rId2615" Type="http://schemas.openxmlformats.org/officeDocument/2006/relationships/hyperlink" Target="https://docs.google.com/open?id=1yvD9HB4uTA5FRBLn7oY7nGWyfIL40vf_kazLPp3z5VY" TargetMode="External"/><Relationship Id="rId2822" Type="http://schemas.openxmlformats.org/officeDocument/2006/relationships/hyperlink" Target="https://docs.google.com/spreadsheets/d/1JhCbbPaj6nNSi2eaVB4InnD5fX6_dRTCR5p9B1HiIDg" TargetMode="External"/><Relationship Id="rId63" Type="http://schemas.openxmlformats.org/officeDocument/2006/relationships/hyperlink" Target="https://docs.google.com/spreadsheets/d/1JDadAZ9sInAQxLvUtnYfZkukrKwMmqJhsII4hYz0RDQ/edit?usp=sharing" TargetMode="External"/><Relationship Id="rId1217" Type="http://schemas.openxmlformats.org/officeDocument/2006/relationships/hyperlink" Target="https://drive.google.com/open?id=1Og3mVdnDiCjFpE9cXvXy66fPL0fhJjpQ-28U3d9XHf4" TargetMode="External"/><Relationship Id="rId1424" Type="http://schemas.openxmlformats.org/officeDocument/2006/relationships/hyperlink" Target="https://drive.google.com/open?id=1mbTS3Bu6MS0ju-5srY3pPB5b8S95ojZrjyxgkkp-DiQ&amp;usp=drive_copy" TargetMode="External"/><Relationship Id="rId1631" Type="http://schemas.openxmlformats.org/officeDocument/2006/relationships/hyperlink" Target="https://docs.google.com/open?id=1ZKXxF_pUhiTP5zSE49s57MZjvJnEa6fNLXUny7a3gLg" TargetMode="External"/><Relationship Id="rId3389" Type="http://schemas.openxmlformats.org/officeDocument/2006/relationships/hyperlink" Target="https://drive.google.com/open?id=1itD7aYIfVoWMXwLix1VKtMaA65kphtZ6BmVMI3St-lw" TargetMode="External"/><Relationship Id="rId3596" Type="http://schemas.openxmlformats.org/officeDocument/2006/relationships/hyperlink" Target="https://drive.google.com/open?id=1TFECJJopodwekhtR2PKF9WgnAcBWKltb4U9QfBUHZFc&amp;usp=drive_copy" TargetMode="External"/><Relationship Id="rId2198" Type="http://schemas.openxmlformats.org/officeDocument/2006/relationships/hyperlink" Target="https://docs.google.com/spreadsheets/d/1tsIodRSz24w_PZMtOuk1zD2qSUpuAIJOMNZBmszMLGI" TargetMode="External"/><Relationship Id="rId3249" Type="http://schemas.openxmlformats.org/officeDocument/2006/relationships/hyperlink" Target="https://drive.google.com/open?id=13-y3TpYrrZJJ7orHEn9uXCsg4-o-JqqAhQi_QGT_m3E" TargetMode="External"/><Relationship Id="rId3456" Type="http://schemas.openxmlformats.org/officeDocument/2006/relationships/hyperlink" Target="https://drive.google.com/open?id=1Kk5ljm1U1aNX9U-iO3woyNGOVfHVoaCk0XRcsdKqFE8&amp;usp=drive_copy" TargetMode="External"/><Relationship Id="rId377" Type="http://schemas.openxmlformats.org/officeDocument/2006/relationships/hyperlink" Target="https://drive.google.com/open?id=1CRN8ALEZ1JhgGnTmc67xxrR2NkW3Rzxz2wjVTlzF6R0" TargetMode="External"/><Relationship Id="rId584" Type="http://schemas.openxmlformats.org/officeDocument/2006/relationships/hyperlink" Target="https://drive.google.com/open?id=1qnUnVWn2kRKO8oLDUSWhjsxsZYJJh5ofKS5i2hS0Prk&amp;usp=drive_copy" TargetMode="External"/><Relationship Id="rId2058" Type="http://schemas.openxmlformats.org/officeDocument/2006/relationships/hyperlink" Target="https://docs.google.com/spreadsheets/d/10mbr-0vwM8kYmIfhGJyI31hWVUgazf863FXyTN0cu2A" TargetMode="External"/><Relationship Id="rId2265" Type="http://schemas.openxmlformats.org/officeDocument/2006/relationships/hyperlink" Target="https://drive.google.com/open?id=1GjupOWxtK-zw87q_JSH5PTCFprpcXdqguwBvEHPbSh8" TargetMode="External"/><Relationship Id="rId3109" Type="http://schemas.openxmlformats.org/officeDocument/2006/relationships/hyperlink" Target="https://drive.google.com/open?id=1EynSOIKAIklDQNjxGcPnGAPAUZF6_G6cclZscB0oF1U" TargetMode="External"/><Relationship Id="rId3663" Type="http://schemas.openxmlformats.org/officeDocument/2006/relationships/hyperlink" Target="https://docs.google.com/open?id=1NPZRYGR4l9E_qQ95k7xwCdIB74YsO5sMjAxdN6bZPkY" TargetMode="External"/><Relationship Id="rId3870" Type="http://schemas.openxmlformats.org/officeDocument/2006/relationships/hyperlink" Target="https://docs.google.com/spreadsheets/d/1sPpECM-rL9ae2oTcbCokVyn1lkK79LtZ767loRcKsOo" TargetMode="External"/><Relationship Id="rId237" Type="http://schemas.openxmlformats.org/officeDocument/2006/relationships/hyperlink" Target="https://drive.google.com/open?id=1HbDkQWBTrC4m6BP6mGZnpISwcXxH7rlaAYE9YshF_II" TargetMode="External"/><Relationship Id="rId791" Type="http://schemas.openxmlformats.org/officeDocument/2006/relationships/hyperlink" Target="https://docs.google.com/open?id=1q_JiLk6_bA0dxtygieXCkIl4UPThvRWiS18iZb3nD7Y" TargetMode="External"/><Relationship Id="rId1074" Type="http://schemas.openxmlformats.org/officeDocument/2006/relationships/hyperlink" Target="https://docs.google.com/spreadsheets/d/1BRXpynHU4hwj1t-FIBojMXbyvBVKSj0DiATGFbOTeS4" TargetMode="External"/><Relationship Id="rId2472" Type="http://schemas.openxmlformats.org/officeDocument/2006/relationships/hyperlink" Target="https://drive.google.com/open?id=1HgwxKJP6-XjGZYXnLuy-dAy8hCHXAspBVTq9KUkKxgA&amp;usp=drive_copy" TargetMode="External"/><Relationship Id="rId3316" Type="http://schemas.openxmlformats.org/officeDocument/2006/relationships/hyperlink" Target="https://drive.google.com/open?id=1EZrU53gtJdwsEYuNiHOgrMRTrEKmUh9hNrRFMLVCOGw&amp;usp=drive_copy" TargetMode="External"/><Relationship Id="rId3523" Type="http://schemas.openxmlformats.org/officeDocument/2006/relationships/hyperlink" Target="https://docs.google.com/open?id=1QI46iaT6QLn_FWY_QD7lgI6VdaqHfQWt1vFQMPzzr7Q" TargetMode="External"/><Relationship Id="rId3730" Type="http://schemas.openxmlformats.org/officeDocument/2006/relationships/hyperlink" Target="https://docs.google.com/spreadsheets/d/1HtUSkXQu9RYEKgAWQqmPbFTbzZkrb9t3uAmfHXapDII" TargetMode="External"/><Relationship Id="rId444" Type="http://schemas.openxmlformats.org/officeDocument/2006/relationships/hyperlink" Target="https://drive.google.com/open?id=1k_Gd0Vrw4G7BWPAuQERQkoSXk7sws1wdJ9vK8QoMMQo&amp;usp=drive_copy" TargetMode="External"/><Relationship Id="rId651" Type="http://schemas.openxmlformats.org/officeDocument/2006/relationships/hyperlink" Target="https://docs.google.com/open?id=1AJbyPTvEEwaelfVjmkCZi1R7IxeJYplBzCxK1aiIWKY" TargetMode="External"/><Relationship Id="rId1281" Type="http://schemas.openxmlformats.org/officeDocument/2006/relationships/hyperlink" Target="https://drive.google.com/open?id=1g_NUbBwo69eY5_dY7yaGXktnXb4aemyZRxtp-B3RCAw" TargetMode="External"/><Relationship Id="rId2125" Type="http://schemas.openxmlformats.org/officeDocument/2006/relationships/hyperlink" Target="https://drive.google.com/open?id=1zZHX4a0FY2YJ2Eu5EhItf_gs00d53mwfU6nmXVTq2sI" TargetMode="External"/><Relationship Id="rId2332" Type="http://schemas.openxmlformats.org/officeDocument/2006/relationships/hyperlink" Target="https://drive.google.com/open?id=1f4WW9qVtuFPjrDhsFzzy7LYxpPaj0bfF8ZirxJlXjA0&amp;usp=drive_copy" TargetMode="External"/><Relationship Id="rId304" Type="http://schemas.openxmlformats.org/officeDocument/2006/relationships/hyperlink" Target="https://drive.google.com/open?id=10SsfHfjMWVVwwkAQdyfHcZnV2TxslEEFeE11YoZT14I&amp;usp=drive_copy" TargetMode="External"/><Relationship Id="rId511" Type="http://schemas.openxmlformats.org/officeDocument/2006/relationships/hyperlink" Target="https://docs.google.com/open?id=1MF1fk8rVZIAco5Gnx8McsNwYVhLmA4lyw1YLhUMKXhU" TargetMode="External"/><Relationship Id="rId1141" Type="http://schemas.openxmlformats.org/officeDocument/2006/relationships/hyperlink" Target="https://drive.google.com/open?id=1r9FRjTB0i50xfIz1__yWsyNKPNQ9aZGQ1Fmcqb0iR6Q" TargetMode="External"/><Relationship Id="rId1001" Type="http://schemas.openxmlformats.org/officeDocument/2006/relationships/hyperlink" Target="https://drive.google.com/open?id=1ISEd3zZ3_P1FV2SCiUiV-r7i24_e-6GfzFQSFt3Oaak" TargetMode="External"/><Relationship Id="rId1958" Type="http://schemas.openxmlformats.org/officeDocument/2006/relationships/hyperlink" Target="https://docs.google.com/spreadsheets/d/1zqWk2RzD3ZISP5pEqRHV_UOKPxgiq3K2008z6ObDq-o" TargetMode="External"/><Relationship Id="rId3173" Type="http://schemas.openxmlformats.org/officeDocument/2006/relationships/hyperlink" Target="https://drive.google.com/open?id=1hFRUOlfSu5TkfyULTbaFb_WXE3h6_xvfhVQx2Ms3gag" TargetMode="External"/><Relationship Id="rId3380" Type="http://schemas.openxmlformats.org/officeDocument/2006/relationships/hyperlink" Target="https://drive.google.com/open?id=1_RlN0CKB4oFHtLfEPSJ_YfvD7h0DBUwU4T2yuUDA6aA&amp;usp=drive_copy" TargetMode="External"/><Relationship Id="rId1818" Type="http://schemas.openxmlformats.org/officeDocument/2006/relationships/hyperlink" Target="https://docs.google.com/spreadsheets/d/1AlCJEWk90gOYN_FH1lIm3DFOtuZWqHqrk9efEBmlnME" TargetMode="External"/><Relationship Id="rId3033" Type="http://schemas.openxmlformats.org/officeDocument/2006/relationships/hyperlink" Target="https://drive.google.com/open?id=11Se6BOXImfM9O0fBFQM2VCinjPrwX42geCm-njfyD6U" TargetMode="External"/><Relationship Id="rId3240" Type="http://schemas.openxmlformats.org/officeDocument/2006/relationships/hyperlink" Target="https://drive.google.com/open?id=10DOeXShPMSPnKnYFX7tLGdFEFi2xwBWCt9ByQDPQmr8&amp;usp=drive_copy" TargetMode="External"/><Relationship Id="rId161" Type="http://schemas.openxmlformats.org/officeDocument/2006/relationships/hyperlink" Target="https://docs.google.com/spreadsheets/d/1J__KrQBj7f9jahY4-LsPYNH1CTvwEdeUymvj4XRzAKI/edit?usp=sharing" TargetMode="External"/><Relationship Id="rId2799" Type="http://schemas.openxmlformats.org/officeDocument/2006/relationships/hyperlink" Target="https://docs.google.com/open?id=1CmuAZGYYfPT-pN3Q5YamQd_O0eWSCmuNl-kHlIwnRRM" TargetMode="External"/><Relationship Id="rId3100" Type="http://schemas.openxmlformats.org/officeDocument/2006/relationships/hyperlink" Target="https://drive.google.com/open?id=1EVKR1rqQgTJacdCSP0b-LQ5t1dDdS-CT8RmYoL1ihDQ&amp;usp=drive_copy" TargetMode="External"/><Relationship Id="rId978" Type="http://schemas.openxmlformats.org/officeDocument/2006/relationships/hyperlink" Target="https://docs.google.com/spreadsheets/d/1ZmpHtiGG6GHbJ3t4f7m6mVz6YP-37MXVLkmgSzjbKqg" TargetMode="External"/><Relationship Id="rId2659" Type="http://schemas.openxmlformats.org/officeDocument/2006/relationships/hyperlink" Target="https://docs.google.com/open?id=1AWiq3H99nx8mHFS_NrvOVOBlS_CdwfE0EdXzlQIkc2M" TargetMode="External"/><Relationship Id="rId2866" Type="http://schemas.openxmlformats.org/officeDocument/2006/relationships/hyperlink" Target="https://docs.google.com/spreadsheets/d/18MREpkqj7gVpqlVVe-iK76z3Qxj6yF_oKO7AfG2qXT0" TargetMode="External"/><Relationship Id="rId3917" Type="http://schemas.openxmlformats.org/officeDocument/2006/relationships/hyperlink" Target="https://drive.google.com/open?id=1CpCz0vLXMG11zC0rqWrZ5tvBrokKpg166AxbWCplO_g" TargetMode="External"/><Relationship Id="rId838" Type="http://schemas.openxmlformats.org/officeDocument/2006/relationships/hyperlink" Target="https://docs.google.com/spreadsheets/d/1i_viCa1Ma0EfowXBQb0bgeYJxBglSuNcIB3Xq1pEsi0" TargetMode="External"/><Relationship Id="rId1468" Type="http://schemas.openxmlformats.org/officeDocument/2006/relationships/hyperlink" Target="https://drive.google.com/open?id=1wC7-pCxOkogy929zyEPMm6J8Gv-WrGvooR1dcUKkg-U&amp;usp=drive_copy" TargetMode="External"/><Relationship Id="rId1675" Type="http://schemas.openxmlformats.org/officeDocument/2006/relationships/hyperlink" Target="https://docs.google.com/open?id=1textdPLKRNVtJANbhHPgxAt4NsrEeA1Z1tf6lyoCQeg" TargetMode="External"/><Relationship Id="rId1882" Type="http://schemas.openxmlformats.org/officeDocument/2006/relationships/hyperlink" Target="https://docs.google.com/spreadsheets/d/12aMFFPFGxnyKOAy28b8Yfg7kyBhhJJtpTDSjgPmE6wg" TargetMode="External"/><Relationship Id="rId2519" Type="http://schemas.openxmlformats.org/officeDocument/2006/relationships/hyperlink" Target="https://docs.google.com/open?id=165Su4-_ydhwK1-zm5fOKBdNpo6Mdcbt448UPuHUT4AI" TargetMode="External"/><Relationship Id="rId2726" Type="http://schemas.openxmlformats.org/officeDocument/2006/relationships/hyperlink" Target="https://docs.google.com/spreadsheets/d/1sQstdyTWoH9wZivh1drMuerG_YTxIyrVkChnfl98yJA" TargetMode="External"/><Relationship Id="rId1328" Type="http://schemas.openxmlformats.org/officeDocument/2006/relationships/hyperlink" Target="https://drive.google.com/open?id=1tEb11G8oP1Jx-Kfa31rJ-h1KP8rn2Iubpc4EMuUj7Ew&amp;usp=drive_copy" TargetMode="External"/><Relationship Id="rId1535" Type="http://schemas.openxmlformats.org/officeDocument/2006/relationships/hyperlink" Target="https://docs.google.com/open?id=17Hq_5Fw1w9Vr5cydTPRPetk4gtdrKm7o5PNIqOGk8ks" TargetMode="External"/><Relationship Id="rId2933" Type="http://schemas.openxmlformats.org/officeDocument/2006/relationships/hyperlink" Target="https://drive.google.com/open?id=18JOOyJE4xNDoZvD4njVJUwTqiyb45Op1PtUsA1_Q0BM" TargetMode="External"/><Relationship Id="rId905" Type="http://schemas.openxmlformats.org/officeDocument/2006/relationships/hyperlink" Target="https://drive.google.com/open?id=1SsvHkRej2vBregcp2Lsl1i2jJj8r_J5OFIu_IM_TS5A" TargetMode="External"/><Relationship Id="rId1742" Type="http://schemas.openxmlformats.org/officeDocument/2006/relationships/hyperlink" Target="https://docs.google.com/spreadsheets/d/1IvGLXJoz7d75gHCbZLlH5wx6DhZu_UQO1BSisDEZXII" TargetMode="External"/><Relationship Id="rId34" Type="http://schemas.openxmlformats.org/officeDocument/2006/relationships/hyperlink" Target="https://docs.google.com/spreadsheets/d/1RSL4MMjMBh_1O1TSAHjqORjB66GWZpOXffhdpj78Sks/edit" TargetMode="External"/><Relationship Id="rId1602" Type="http://schemas.openxmlformats.org/officeDocument/2006/relationships/hyperlink" Target="https://docs.google.com/spreadsheets/d/1Quri5opIk3oNuE0qMxg-enBuT2fPJBEJoQHZThQaVGQ" TargetMode="External"/><Relationship Id="rId3567" Type="http://schemas.openxmlformats.org/officeDocument/2006/relationships/hyperlink" Target="https://docs.google.com/open?id=1URKqqjoFy9KleK-0wRRLmr7qsdv9kOSC4MDvOL-FBUU" TargetMode="External"/><Relationship Id="rId3774" Type="http://schemas.openxmlformats.org/officeDocument/2006/relationships/hyperlink" Target="https://docs.google.com/spreadsheets/d/1ZdKx-gRc7vXwqzxPiusLqIw3EvOaG9XKjXGP2XwAuqk" TargetMode="External"/><Relationship Id="rId488" Type="http://schemas.openxmlformats.org/officeDocument/2006/relationships/hyperlink" Target="https://drive.google.com/open?id=1x9U92VBdOh3QgmPp4ZWEHEVYci7yySVeST9S6KdeL5I&amp;usp=drive_copy" TargetMode="External"/><Relationship Id="rId695" Type="http://schemas.openxmlformats.org/officeDocument/2006/relationships/hyperlink" Target="https://docs.google.com/open?id=1L39DI1wMDf9LCozOoaK5V2Ca99oceCq6rC86LKyKju4" TargetMode="External"/><Relationship Id="rId2169" Type="http://schemas.openxmlformats.org/officeDocument/2006/relationships/hyperlink" Target="https://drive.google.com/open?id=1fN9WTZ4BlhzJmkw5hijUhiIlKOUsybDyVzCyji02UAc" TargetMode="External"/><Relationship Id="rId2376" Type="http://schemas.openxmlformats.org/officeDocument/2006/relationships/hyperlink" Target="https://drive.google.com/open?id=1HHMaOW5q5JLo5M5MsXlALoKdzRAY0aRZEMGnEerxrzM&amp;usp=drive_copy" TargetMode="External"/><Relationship Id="rId2583" Type="http://schemas.openxmlformats.org/officeDocument/2006/relationships/hyperlink" Target="https://docs.google.com/open?id=1qtSGRx_mTEwLDofEEe4umvjSPQXrgfqyrbLnZNgg5gU" TargetMode="External"/><Relationship Id="rId2790" Type="http://schemas.openxmlformats.org/officeDocument/2006/relationships/hyperlink" Target="https://docs.google.com/spreadsheets/d/1GUqqX2sUUIqUtHB-7RT8rcFxMd0I3LfOfcW5dGM5b5w" TargetMode="External"/><Relationship Id="rId3427" Type="http://schemas.openxmlformats.org/officeDocument/2006/relationships/hyperlink" Target="https://docs.google.com/open?id=1yMOLYb9iMFQeZGQLZTLsfmd4PiLm0glG1p5dxYVzzQo" TargetMode="External"/><Relationship Id="rId3634" Type="http://schemas.openxmlformats.org/officeDocument/2006/relationships/hyperlink" Target="https://docs.google.com/spreadsheets/d/19NWPP5RBg_Y2vIZ7pIZnkUtOcfOb-OMaViWz0CT52PA" TargetMode="External"/><Relationship Id="rId3841" Type="http://schemas.openxmlformats.org/officeDocument/2006/relationships/hyperlink" Target="https://drive.google.com/open?id=1ztvYGRzFuUHJJXOlbYuan0yQswk_YQTFCI1Zo_whx3w" TargetMode="External"/><Relationship Id="rId348" Type="http://schemas.openxmlformats.org/officeDocument/2006/relationships/hyperlink" Target="https://drive.google.com/open?id=19em8uyYuHZpV7EZI9rv_u0xfxQcUBavmiFpd7wOyhUs&amp;usp=drive_copy" TargetMode="External"/><Relationship Id="rId555" Type="http://schemas.openxmlformats.org/officeDocument/2006/relationships/hyperlink" Target="https://docs.google.com/open?id=1SnY-xXs5HOXNXveC_LuuiSk2pUsKAxuGGzLZ8RZFv9k" TargetMode="External"/><Relationship Id="rId762" Type="http://schemas.openxmlformats.org/officeDocument/2006/relationships/hyperlink" Target="https://docs.google.com/spreadsheets/d/1cbeGkjsmhBnqkSbnaED3lH6sqZYfy4rst8pE_bRbCAM" TargetMode="External"/><Relationship Id="rId1185" Type="http://schemas.openxmlformats.org/officeDocument/2006/relationships/hyperlink" Target="https://drive.google.com/open?id=1Yis8bvL-ziqT88RZfFPowTkK1R7KVfqun4L18uOAEzI" TargetMode="External"/><Relationship Id="rId1392" Type="http://schemas.openxmlformats.org/officeDocument/2006/relationships/hyperlink" Target="https://drive.google.com/open?id=1xI28XMduWiyRsQRuEg9pXhAKlm_zkHZsHtqs-pC4cOI&amp;usp=drive_copy" TargetMode="External"/><Relationship Id="rId2029" Type="http://schemas.openxmlformats.org/officeDocument/2006/relationships/hyperlink" Target="https://drive.google.com/open?id=1EZZlf-oZkJOSuzCoedEqasBDz1cZkRN6OJBsdqLytVo" TargetMode="External"/><Relationship Id="rId2236" Type="http://schemas.openxmlformats.org/officeDocument/2006/relationships/hyperlink" Target="https://drive.google.com/open?id=1E-39bO3bNSRhmNES2Fyy636-L9pMZTXgm9NWrYaIPv0&amp;usp=drive_copy" TargetMode="External"/><Relationship Id="rId2443" Type="http://schemas.openxmlformats.org/officeDocument/2006/relationships/hyperlink" Target="https://docs.google.com/open?id=16D9Wl55OB5imzgP8lk5OmxpV70KoxgBndXqnbh48UTM" TargetMode="External"/><Relationship Id="rId2650" Type="http://schemas.openxmlformats.org/officeDocument/2006/relationships/hyperlink" Target="https://docs.google.com/spreadsheets/d/1A7ENQBIOfZAZGbp-VVBqZFoB-GKf8A-cFOvzvIVS888" TargetMode="External"/><Relationship Id="rId3701" Type="http://schemas.openxmlformats.org/officeDocument/2006/relationships/hyperlink" Target="https://drive.google.com/open?id=1ygoaH-E2xwIA3OpOd3RsnvMKCUNrtXMS7FrvC5diEF8" TargetMode="External"/><Relationship Id="rId208" Type="http://schemas.openxmlformats.org/officeDocument/2006/relationships/hyperlink" Target="https://docs.google.com/spreadsheets/d/1eP_V33bTaEt96MDDOYovz_xGRcB2FhnyT9VHLyrzB00/edit" TargetMode="External"/><Relationship Id="rId415" Type="http://schemas.openxmlformats.org/officeDocument/2006/relationships/hyperlink" Target="https://docs.google.com/open?id=1JNcgZ59fa_kKtT0fXm78eux6Um6S3Y8LBMXoUiGrf2w" TargetMode="External"/><Relationship Id="rId622" Type="http://schemas.openxmlformats.org/officeDocument/2006/relationships/hyperlink" Target="https://docs.google.com/spreadsheets/d/12gWK6tQNOTSZt94ws7BXA73VCpywG_LlVxI9ulMbO8E" TargetMode="External"/><Relationship Id="rId1045" Type="http://schemas.openxmlformats.org/officeDocument/2006/relationships/hyperlink" Target="https://drive.google.com/open?id=16WA4VfPvnflY-Rpfm4rXZH29RuxySB0zyhoz031Jeqw" TargetMode="External"/><Relationship Id="rId1252" Type="http://schemas.openxmlformats.org/officeDocument/2006/relationships/hyperlink" Target="https://drive.google.com/open?id=1c93SYawf3vDqLUzX_RZpQXZDw6mAIyXefivHfven87I&amp;usp=drive_copy" TargetMode="External"/><Relationship Id="rId2303" Type="http://schemas.openxmlformats.org/officeDocument/2006/relationships/hyperlink" Target="https://docs.google.com/open?id=1AGIoxrQ12COJppeFlqZktRitXux6_xbqrQu5wB1swoI" TargetMode="External"/><Relationship Id="rId2510" Type="http://schemas.openxmlformats.org/officeDocument/2006/relationships/hyperlink" Target="https://docs.google.com/spreadsheets/d/1fvNCC2t16Qfk_o9AkKJAv-d_2t-c3Xre99PuELZhPZI" TargetMode="External"/><Relationship Id="rId1112" Type="http://schemas.openxmlformats.org/officeDocument/2006/relationships/hyperlink" Target="https://drive.google.com/open?id=1p9r9ZHTsIOZAQwuDiHReYmUzztPHbI4dg_hEC_4lG3Y&amp;usp=drive_copy" TargetMode="External"/><Relationship Id="rId3077" Type="http://schemas.openxmlformats.org/officeDocument/2006/relationships/hyperlink" Target="https://drive.google.com/open?id=19pAZ_XP5vnFRIEPwwgAtvBNmrCMOxTaquaPgMM-L1FI" TargetMode="External"/><Relationship Id="rId3284" Type="http://schemas.openxmlformats.org/officeDocument/2006/relationships/hyperlink" Target="https://drive.google.com/open?id=19FnX7C-DXErXS6trn4mjEWD4dtuoA1r-Qn99_iD6rnY&amp;usp=drive_copy" TargetMode="External"/><Relationship Id="rId1929" Type="http://schemas.openxmlformats.org/officeDocument/2006/relationships/hyperlink" Target="https://drive.google.com/open?id=1GYquKqn3r0ZCMvCxQ0_dCzC-2h3S21njVFgNpsaEvEw" TargetMode="External"/><Relationship Id="rId2093" Type="http://schemas.openxmlformats.org/officeDocument/2006/relationships/hyperlink" Target="https://drive.google.com/open?id=1jozkSJ-c0pOQMXXCjkAgYrmDaFrwUr9J-GPsDi4AnnM" TargetMode="External"/><Relationship Id="rId3491" Type="http://schemas.openxmlformats.org/officeDocument/2006/relationships/hyperlink" Target="https://docs.google.com/open?id=1s2TfMVV6iHv16riausmRZ11glqryl6mn7rLxUsFPe00" TargetMode="External"/><Relationship Id="rId3144" Type="http://schemas.openxmlformats.org/officeDocument/2006/relationships/hyperlink" Target="https://drive.google.com/open?id=1Va5oy0t_jd39QSaMFrIyZnNU0FJBr-rAh53ey3ZEVLo&amp;usp=drive_copy" TargetMode="External"/><Relationship Id="rId3351" Type="http://schemas.openxmlformats.org/officeDocument/2006/relationships/hyperlink" Target="https://docs.google.com/open?id=1PBVCKZ15LG3PK_khMQh4cShqvtx1Rtou_3tp6Hitfkc" TargetMode="External"/><Relationship Id="rId272" Type="http://schemas.openxmlformats.org/officeDocument/2006/relationships/hyperlink" Target="https://drive.google.com/open?id=1lbfJnMNqpi7gKnqhOm8ZeIrD89z1Gwdkb6n5q7UYH0s&amp;usp=drive_copy" TargetMode="External"/><Relationship Id="rId2160" Type="http://schemas.openxmlformats.org/officeDocument/2006/relationships/hyperlink" Target="https://drive.google.com/open?id=1cqQPDYJshoAfoB9TRdfQY17UcIJ036j9FIUGLT35Mkg&amp;usp=drive_copy" TargetMode="External"/><Relationship Id="rId3004" Type="http://schemas.openxmlformats.org/officeDocument/2006/relationships/hyperlink" Target="https://drive.google.com/open?id=1rhKdNxZENi3iQXBOf2mtMsDAO5yX_2S-0pyN62VEn58&amp;usp=drive_copy" TargetMode="External"/><Relationship Id="rId3211" Type="http://schemas.openxmlformats.org/officeDocument/2006/relationships/hyperlink" Target="https://docs.google.com/open?id=1t2uI5jSJvcoYzVphAG-PsbmtRBmaihD0bbE2MtW-_CI" TargetMode="External"/><Relationship Id="rId132" Type="http://schemas.openxmlformats.org/officeDocument/2006/relationships/hyperlink" Target="https://docs.google.com/spreadsheets/d/15OGdoWojUHNFXiDfeU2kwF8VcDtq9WwspbU5tyRVpak/edit" TargetMode="External"/><Relationship Id="rId2020" Type="http://schemas.openxmlformats.org/officeDocument/2006/relationships/hyperlink" Target="https://drive.google.com/open?id=1jAMIDgWJQybcb8r7KykpfwMb-EcHt5QEdWF1kNkZ5Ns&amp;usp=drive_copy" TargetMode="External"/><Relationship Id="rId1579" Type="http://schemas.openxmlformats.org/officeDocument/2006/relationships/hyperlink" Target="https://docs.google.com/open?id=1hdCeSha3PO3CZXUT5xSz1jdSDWQ3dPF5K74W5fUu0tA" TargetMode="External"/><Relationship Id="rId2977" Type="http://schemas.openxmlformats.org/officeDocument/2006/relationships/hyperlink" Target="https://drive.google.com/open?id=1dK-1GRWW7qKlqYsPMEacabrPGPnUBnoxVl4_b5qXxx0" TargetMode="External"/><Relationship Id="rId949" Type="http://schemas.openxmlformats.org/officeDocument/2006/relationships/hyperlink" Target="https://drive.google.com/open?id=1qFc_9tU5EuyCio1Xr_H-k3r6k_LmSw9oxgysADhEUVY" TargetMode="External"/><Relationship Id="rId1786" Type="http://schemas.openxmlformats.org/officeDocument/2006/relationships/hyperlink" Target="https://docs.google.com/spreadsheets/d/1mO6C_b6mBKmePJE5cBj_hx6Seiu8PTdyMZYgrGWJuLI" TargetMode="External"/><Relationship Id="rId1993" Type="http://schemas.openxmlformats.org/officeDocument/2006/relationships/hyperlink" Target="https://drive.google.com/open?id=1Dqc_Pf95YQXb5424igOMFHGNucg4DNgzS87U9cUeycU" TargetMode="External"/><Relationship Id="rId2837" Type="http://schemas.openxmlformats.org/officeDocument/2006/relationships/hyperlink" Target="https://drive.google.com/open?id=1g3hRnzu_zkX6M0lU4kh6wk94uChWtMO_sEGQT-791AA" TargetMode="External"/><Relationship Id="rId78" Type="http://schemas.openxmlformats.org/officeDocument/2006/relationships/hyperlink" Target="https://docs.google.com/spreadsheets/d/1-rDlRbJ5aBoEgiO5iLXj-Ee6wVxKsfpXW-1RBx49hGQ/edit" TargetMode="External"/><Relationship Id="rId809" Type="http://schemas.openxmlformats.org/officeDocument/2006/relationships/hyperlink" Target="https://drive.google.com/open?id=1fg_dhVP4MOnnKKDl-3hzPsSmqw1h1XEes-_m6xCC11Y" TargetMode="External"/><Relationship Id="rId1439" Type="http://schemas.openxmlformats.org/officeDocument/2006/relationships/hyperlink" Target="https://docs.google.com/open?id=1mar7Gl-nlHAaQYOs5Hrjd_ZoB4W1yQWsAvHDIFO4ank" TargetMode="External"/><Relationship Id="rId1646" Type="http://schemas.openxmlformats.org/officeDocument/2006/relationships/hyperlink" Target="https://docs.google.com/spreadsheets/d/1O5OIIO6A9Wl9qW8TUh5VgOVniNYpTvt3KJVJjPaO3IQ" TargetMode="External"/><Relationship Id="rId1853" Type="http://schemas.openxmlformats.org/officeDocument/2006/relationships/hyperlink" Target="https://drive.google.com/open?id=1xCCbkLrhy8swVra4EwyXrJwwS5tZm2iBK2NqKLo-a6A" TargetMode="External"/><Relationship Id="rId2904" Type="http://schemas.openxmlformats.org/officeDocument/2006/relationships/hyperlink" Target="https://drive.google.com/open?id=1iJNUFh3xGdGzCehlEuz7GJb8b3f_f2fV3cRqXvQ6iD4&amp;usp=drive_copy" TargetMode="External"/><Relationship Id="rId1506" Type="http://schemas.openxmlformats.org/officeDocument/2006/relationships/hyperlink" Target="https://docs.google.com/spreadsheets/d/1AoqLRMfbxDdlkLPp4-L-DGGIvP-y-_6RZ_9_ZGxvn1s" TargetMode="External"/><Relationship Id="rId1713" Type="http://schemas.openxmlformats.org/officeDocument/2006/relationships/hyperlink" Target="https://drive.google.com/open?id=1fdwJYovOBm4GBatw7NoRxwhxeZgIgsktpsUFfDiQgdM" TargetMode="External"/><Relationship Id="rId1920" Type="http://schemas.openxmlformats.org/officeDocument/2006/relationships/hyperlink" Target="https://drive.google.com/open?id=1hN48lGmjWpWkYR21-StJeMuNKeUeuY9SvvUkLpfTpH0&amp;usp=drive_copy" TargetMode="External"/><Relationship Id="rId3678" Type="http://schemas.openxmlformats.org/officeDocument/2006/relationships/hyperlink" Target="https://docs.google.com/spreadsheets/d/1IpmCgn885JULqdjoGvMFlAzAu-iojSZDeuFfFMfNlgA" TargetMode="External"/><Relationship Id="rId3885" Type="http://schemas.openxmlformats.org/officeDocument/2006/relationships/hyperlink" Target="https://drive.google.com/open?id=1oduhaIf8fcwj-eWTKp7sVf9TAEuuoYJAHr0ygSM_pEo" TargetMode="External"/><Relationship Id="rId599" Type="http://schemas.openxmlformats.org/officeDocument/2006/relationships/hyperlink" Target="https://docs.google.com/open?id=1-PkSCXaCqEA_VP1iUd0aZ4Dn8bKiT18hTPXtvMWMLOI" TargetMode="External"/><Relationship Id="rId2487" Type="http://schemas.openxmlformats.org/officeDocument/2006/relationships/hyperlink" Target="https://docs.google.com/open?id=11kU6FZ9riH3rtFvnufRxnUW1LS2hCu-4EJLKiYufiUU" TargetMode="External"/><Relationship Id="rId2694" Type="http://schemas.openxmlformats.org/officeDocument/2006/relationships/hyperlink" Target="https://docs.google.com/spreadsheets/d/1NfSL4hQNYhYS76hNjW8IcTXq2ARCR3aTuOdBmpzbUo8" TargetMode="External"/><Relationship Id="rId3538" Type="http://schemas.openxmlformats.org/officeDocument/2006/relationships/hyperlink" Target="https://docs.google.com/spreadsheets/d/1gD0Ddy423CRu97oM004S2MfK70Xjt-7BpeLO-rPcpqU" TargetMode="External"/><Relationship Id="rId3745" Type="http://schemas.openxmlformats.org/officeDocument/2006/relationships/hyperlink" Target="https://drive.google.com/open?id=1SI4kIxZ-i0kHyYymJRPoUEJU2gRRKLyYzR_p8CbP-Rs" TargetMode="External"/><Relationship Id="rId459" Type="http://schemas.openxmlformats.org/officeDocument/2006/relationships/hyperlink" Target="https://docs.google.com/open?id=1mRWp6cNSWVFM1mVPDKYl_lNOIvvSDoo0DPXuRJ6zqEA" TargetMode="External"/><Relationship Id="rId666" Type="http://schemas.openxmlformats.org/officeDocument/2006/relationships/hyperlink" Target="https://docs.google.com/spreadsheets/d/1Fsx-5ZOCfCKVWOXLqp9p7s9qwc0IipvCRLJfiksv8n8" TargetMode="External"/><Relationship Id="rId873" Type="http://schemas.openxmlformats.org/officeDocument/2006/relationships/hyperlink" Target="https://drive.google.com/open?id=18bzRr9eE6gLLi1p0jkO0gWjsihw1tqcNLPhmPjEus_I" TargetMode="External"/><Relationship Id="rId1089" Type="http://schemas.openxmlformats.org/officeDocument/2006/relationships/hyperlink" Target="https://drive.google.com/open?id=1Hp6KMA0fPFywsxhr-xQPIhALtUqYjVodSXQvCSyfhYE" TargetMode="External"/><Relationship Id="rId1296" Type="http://schemas.openxmlformats.org/officeDocument/2006/relationships/hyperlink" Target="https://drive.google.com/open?id=1__D_DHUBWPg4FqLbqoqxmKhkWLnOeNx0lD5m702KrV0&amp;usp=drive_copy" TargetMode="External"/><Relationship Id="rId2347" Type="http://schemas.openxmlformats.org/officeDocument/2006/relationships/hyperlink" Target="https://docs.google.com/open?id=1Unnleg8hS7znOSgPeU2DfMMPK1_N1a0l5x7A0C2wrq8" TargetMode="External"/><Relationship Id="rId2554" Type="http://schemas.openxmlformats.org/officeDocument/2006/relationships/hyperlink" Target="https://docs.google.com/spreadsheets/d/1k2CuP_y7KfJ3gCJ3lyOf7jIz04RA8pwtH9NE5aGpq24" TargetMode="External"/><Relationship Id="rId319" Type="http://schemas.openxmlformats.org/officeDocument/2006/relationships/hyperlink" Target="https://docs.google.com/open?id=11oNatRDgf7GL14aK3o_6sI2AtRPtWUSXcbIKwqJFPyY" TargetMode="External"/><Relationship Id="rId526" Type="http://schemas.openxmlformats.org/officeDocument/2006/relationships/hyperlink" Target="https://docs.google.com/spreadsheets/d/103KL_VjoShnKTLjchsuvs_etS-tYQqzNE8Dbs_m5QYo" TargetMode="External"/><Relationship Id="rId1156" Type="http://schemas.openxmlformats.org/officeDocument/2006/relationships/hyperlink" Target="https://drive.google.com/open?id=1U3OXeXhbgaXTqO_-yUSfQiyA4NyEqttzT0DpZQKpNZM&amp;usp=drive_copy" TargetMode="External"/><Relationship Id="rId1363" Type="http://schemas.openxmlformats.org/officeDocument/2006/relationships/hyperlink" Target="https://docs.google.com/open?id=1Ljnpf8pHlyilcVbJnrlTQb4FAW4jjkUGah_JbcMeEOs" TargetMode="External"/><Relationship Id="rId2207" Type="http://schemas.openxmlformats.org/officeDocument/2006/relationships/hyperlink" Target="https://docs.google.com/open?id=1M0O7KTLx0wqIvFensHByOPlVhErYtR1f0ZecyfXkFMs" TargetMode="External"/><Relationship Id="rId2761" Type="http://schemas.openxmlformats.org/officeDocument/2006/relationships/hyperlink" Target="https://drive.google.com/open?id=1bR2ufX8Op8eqV5gVUrYQu6WPHgJ5sr0fP6saaNEWL-k" TargetMode="External"/><Relationship Id="rId3605" Type="http://schemas.openxmlformats.org/officeDocument/2006/relationships/hyperlink" Target="https://drive.google.com/open?id=1hik3PZ4HHAcC15rCCghx5uFz39EaD1w2tTz7NvL9Wv4" TargetMode="External"/><Relationship Id="rId3812" Type="http://schemas.openxmlformats.org/officeDocument/2006/relationships/hyperlink" Target="https://drive.google.com/open?id=1nAUeg8nhByjQyE0nbbrN4HQq6Kwe4JMO1lmKt7iyi3E&amp;usp=drive_copy" TargetMode="External"/><Relationship Id="rId733" Type="http://schemas.openxmlformats.org/officeDocument/2006/relationships/hyperlink" Target="https://drive.google.com/open?id=1ZYsGL93hUEpIsfPXZXcFQ8UvpYdafnpu3DWPsXTaF3E" TargetMode="External"/><Relationship Id="rId940" Type="http://schemas.openxmlformats.org/officeDocument/2006/relationships/hyperlink" Target="https://drive.google.com/open?id=1SHUnS4dncNpz7YCd-hB6suWOY-kxE5GaGxxjn7571Oo&amp;usp=drive_copy" TargetMode="External"/><Relationship Id="rId1016" Type="http://schemas.openxmlformats.org/officeDocument/2006/relationships/hyperlink" Target="https://drive.google.com/open?id=1vM1v4OZYgij_oHrdxN3QvIJKTU0ApEqNdK3duiU4VII&amp;usp=drive_copy" TargetMode="External"/><Relationship Id="rId1570" Type="http://schemas.openxmlformats.org/officeDocument/2006/relationships/hyperlink" Target="https://docs.google.com/spreadsheets/d/1yBs1KJvR8yku7URbo6W8Er7IUlsdgx9l5z5Z2FxLw_g" TargetMode="External"/><Relationship Id="rId2414" Type="http://schemas.openxmlformats.org/officeDocument/2006/relationships/hyperlink" Target="https://docs.google.com/spreadsheets/d/1DNmcaNb_9LHk5ypYwBKO4NM6uEQYNNPLWE6uFEI-oIs" TargetMode="External"/><Relationship Id="rId2621" Type="http://schemas.openxmlformats.org/officeDocument/2006/relationships/hyperlink" Target="https://drive.google.com/open?id=12tatt3fXXJgU72IzH9B_W1uuNOmUjRYuA2iN4rIsRrk" TargetMode="External"/><Relationship Id="rId800" Type="http://schemas.openxmlformats.org/officeDocument/2006/relationships/hyperlink" Target="https://drive.google.com/open?id=1jHoKTzOHUEoVSMIKilhHMKvGU6KARjQzHPlRd-XMikY&amp;usp=drive_copy" TargetMode="External"/><Relationship Id="rId1223" Type="http://schemas.openxmlformats.org/officeDocument/2006/relationships/hyperlink" Target="https://docs.google.com/open?id=1OI0RdNMmZqRIPrr5sMuGO4qeAmlAlsu-4v37ggkdvKs" TargetMode="External"/><Relationship Id="rId1430" Type="http://schemas.openxmlformats.org/officeDocument/2006/relationships/hyperlink" Target="https://docs.google.com/spreadsheets/d/1pSfHN2dkWjKfTx0ozR33SlCLhNVIlZzj11stTESMz9Y" TargetMode="External"/><Relationship Id="rId3188" Type="http://schemas.openxmlformats.org/officeDocument/2006/relationships/hyperlink" Target="https://drive.google.com/open?id=1iiDWyPM3p_HDFcSXscTlPduf3RpRqVWAURHvIKjVW28&amp;usp=drive_copy" TargetMode="External"/><Relationship Id="rId3395" Type="http://schemas.openxmlformats.org/officeDocument/2006/relationships/hyperlink" Target="https://docs.google.com/open?id=1jRR5WGplGtp1GxJxtUDW66MOWCeFhBhceNQS0tSCfKI" TargetMode="External"/><Relationship Id="rId3048" Type="http://schemas.openxmlformats.org/officeDocument/2006/relationships/hyperlink" Target="https://drive.google.com/open?id=1288ftmk97ud5rhCBM1IvNd-eyBvZmxUgj3L45T3aJAI&amp;usp=drive_copy" TargetMode="External"/><Relationship Id="rId3255" Type="http://schemas.openxmlformats.org/officeDocument/2006/relationships/hyperlink" Target="https://docs.google.com/open?id=14AM6_aa-ThFRzFQxlFxDAPqVxMQW64NrnTw3fX8qFyI" TargetMode="External"/><Relationship Id="rId3462" Type="http://schemas.openxmlformats.org/officeDocument/2006/relationships/hyperlink" Target="https://docs.google.com/spreadsheets/d/1M4Ei5XLHh_AqnIF9110SlxEJXFTIrySqKK8HMc9rT8k" TargetMode="External"/><Relationship Id="rId176" Type="http://schemas.openxmlformats.org/officeDocument/2006/relationships/hyperlink" Target="https://docs.google.com/spreadsheets/d/1rYE-oC22CjOtY3jfJIWxa7YKek6EXugqoq3cWQCzCyg/edit" TargetMode="External"/><Relationship Id="rId383" Type="http://schemas.openxmlformats.org/officeDocument/2006/relationships/hyperlink" Target="https://docs.google.com/open?id=1EoaNMd42q4MFxfmg4M54yv37CFTdUayvvyc1t-QQQrY" TargetMode="External"/><Relationship Id="rId590" Type="http://schemas.openxmlformats.org/officeDocument/2006/relationships/hyperlink" Target="https://docs.google.com/spreadsheets/d/1sHX0KoJRZc74ISydtKpHe0VS4-7QQtWaOe8XLATipOk" TargetMode="External"/><Relationship Id="rId2064" Type="http://schemas.openxmlformats.org/officeDocument/2006/relationships/hyperlink" Target="https://drive.google.com/open?id=1_Z9xhlLNQp8Gg84MYo3lOwLL1j3O0rpkd188A6qymLE&amp;usp=drive_copy" TargetMode="External"/><Relationship Id="rId2271" Type="http://schemas.openxmlformats.org/officeDocument/2006/relationships/hyperlink" Target="https://docs.google.com/open?id=1YnweNW4B4kDthnEB8i0Nt5ZWP1XzZsnFWKgnuP1ypk4" TargetMode="External"/><Relationship Id="rId3115" Type="http://schemas.openxmlformats.org/officeDocument/2006/relationships/hyperlink" Target="https://docs.google.com/open?id=1Ggwne6FhClLfHDLaniFGKfcevssvoYgQ7elRreZqWnY" TargetMode="External"/><Relationship Id="rId3322" Type="http://schemas.openxmlformats.org/officeDocument/2006/relationships/hyperlink" Target="https://docs.google.com/spreadsheets/d/1Gj9Obdt_pt5xjryTJUUUqjMAzeze1zxwe0ZY2vIEEPc" TargetMode="External"/><Relationship Id="rId243" Type="http://schemas.openxmlformats.org/officeDocument/2006/relationships/hyperlink" Target="https://docs.google.com/open?id=1KYugIwwEiOvYOpyPHcB98jKH13KQMTPamOpYz7YkUiE" TargetMode="External"/><Relationship Id="rId450" Type="http://schemas.openxmlformats.org/officeDocument/2006/relationships/hyperlink" Target="https://docs.google.com/spreadsheets/d/1klx-jM_uw9hDg7VHOS0x529_pFTS9wvAdIFBexxrz1Q" TargetMode="External"/><Relationship Id="rId1080" Type="http://schemas.openxmlformats.org/officeDocument/2006/relationships/hyperlink" Target="https://drive.google.com/open?id=1hpIaW6OPhu-Wzs4jCob0b3BJt3IFD0vHWxah8OTuuVQ&amp;usp=drive_copy" TargetMode="External"/><Relationship Id="rId2131" Type="http://schemas.openxmlformats.org/officeDocument/2006/relationships/hyperlink" Target="https://docs.google.com/open?id=1gjojWKaW77IWMv44XbLSysOJaL7bE-RN3ZWpUdIommo" TargetMode="External"/><Relationship Id="rId103" Type="http://schemas.openxmlformats.org/officeDocument/2006/relationships/hyperlink" Target="https://docs.google.com/spreadsheets/d/1CMFMHABfiex85dCoVLsKIT3_fLF_Y5oH1m-hjRkn91Q/edit?usp=sharing" TargetMode="External"/><Relationship Id="rId310" Type="http://schemas.openxmlformats.org/officeDocument/2006/relationships/hyperlink" Target="https://docs.google.com/spreadsheets/d/10Zzf91qP1H2PDmRipKtckjdBJNkXcHj30vf15FYyiAA" TargetMode="External"/><Relationship Id="rId1897" Type="http://schemas.openxmlformats.org/officeDocument/2006/relationships/hyperlink" Target="https://drive.google.com/open?id=1itRX-eU3oKaBwBg1eva1Iw86l7By9Zb7ciHV84aNRus" TargetMode="External"/><Relationship Id="rId2948" Type="http://schemas.openxmlformats.org/officeDocument/2006/relationships/hyperlink" Target="https://drive.google.com/open?id=1MHJCwQcQNSV8n_R6I-zLfrAfKXBt2eiHCE_V_fEkUPU&amp;usp=drive_copy" TargetMode="External"/><Relationship Id="rId1757" Type="http://schemas.openxmlformats.org/officeDocument/2006/relationships/hyperlink" Target="https://drive.google.com/open?id=1V6yu20UkgdKhMonMzjGUIWTYP2as6Onb-rGoh5RhXZk" TargetMode="External"/><Relationship Id="rId1964" Type="http://schemas.openxmlformats.org/officeDocument/2006/relationships/hyperlink" Target="https://drive.google.com/open?id=1F8mh2f_xCHvYVXqCZR4UE3A7zt9fJAtyBMCw_Pbd0-E&amp;usp=drive_copy" TargetMode="External"/><Relationship Id="rId2808" Type="http://schemas.openxmlformats.org/officeDocument/2006/relationships/hyperlink" Target="https://drive.google.com/open?id=128NztE3J2EIjNv_irPNggRTyrD4tQi0shpmk_Qd9n_4&amp;usp=drive_copy" TargetMode="External"/><Relationship Id="rId49" Type="http://schemas.openxmlformats.org/officeDocument/2006/relationships/hyperlink" Target="https://docs.google.com/spreadsheets/d/1r8elxg_xlILreh2P4w8j_EwCCYwUwtRBFcUPd9dVyqY/edit?usp=sharing" TargetMode="External"/><Relationship Id="rId1617" Type="http://schemas.openxmlformats.org/officeDocument/2006/relationships/hyperlink" Target="https://drive.google.com/open?id=1pAkRuvbyP7S49qfQYEnl6qBu_nFSTfzQ_s18PxCYCkI" TargetMode="External"/><Relationship Id="rId1824" Type="http://schemas.openxmlformats.org/officeDocument/2006/relationships/hyperlink" Target="https://drive.google.com/open?id=1Osc1TlACMEIMn4XmQgWi2hFlB5ZBS9Nuo7CoJcYrF1I&amp;usp=drive_copy" TargetMode="External"/><Relationship Id="rId3789" Type="http://schemas.openxmlformats.org/officeDocument/2006/relationships/hyperlink" Target="https://drive.google.com/open?id=1Ma8B8P9T1jyN_GT7W61KRUZ_VMQgkur191iZWCk7QO8" TargetMode="External"/><Relationship Id="rId2598" Type="http://schemas.openxmlformats.org/officeDocument/2006/relationships/hyperlink" Target="https://docs.google.com/spreadsheets/d/1tsl8mfgkSZosk35pnU1hGtMFXQDOUE44E0kBPsxi-d8" TargetMode="External"/><Relationship Id="rId3649" Type="http://schemas.openxmlformats.org/officeDocument/2006/relationships/hyperlink" Target="https://drive.google.com/open?id=1nTguIhz7s84xpHZvYXCDLKGXhAkn-m851iGpSU8Gkv0" TargetMode="External"/><Relationship Id="rId3856" Type="http://schemas.openxmlformats.org/officeDocument/2006/relationships/hyperlink" Target="https://drive.google.com/open?id=1coomfJAONokVC15fN6Knp5MW4JZLrTtBNCi2DyhIolU&amp;usp=drive_copy" TargetMode="External"/><Relationship Id="rId777" Type="http://schemas.openxmlformats.org/officeDocument/2006/relationships/hyperlink" Target="https://drive.google.com/open?id=1guCrqxjyAvw3Wse-sH49A4MJcrkldK5kLxFfybSBydA" TargetMode="External"/><Relationship Id="rId984" Type="http://schemas.openxmlformats.org/officeDocument/2006/relationships/hyperlink" Target="https://drive.google.com/open?id=1bd8DiGbSEZ3QJvrXK0bY80Zj7MSMvsa5mYzSSC_NGU8&amp;usp=drive_copy" TargetMode="External"/><Relationship Id="rId2458" Type="http://schemas.openxmlformats.org/officeDocument/2006/relationships/hyperlink" Target="https://docs.google.com/spreadsheets/d/1cDi4Jr4B31xD9wwGXqXPwWZ0K07bE62O4aZio_Ee-Vk" TargetMode="External"/><Relationship Id="rId2665" Type="http://schemas.openxmlformats.org/officeDocument/2006/relationships/hyperlink" Target="https://drive.google.com/open?id=1Ai4ecMLhjaGxhxEnEqL64cjB3nkz5cSYB_zSZLIcE0k" TargetMode="External"/><Relationship Id="rId2872" Type="http://schemas.openxmlformats.org/officeDocument/2006/relationships/hyperlink" Target="https://drive.google.com/open?id=13OnRcW7ESZKNo15sgUzNkmd_L_7ZOIWewAWJ0X7Xv5Y&amp;usp=drive_copy" TargetMode="External"/><Relationship Id="rId3509" Type="http://schemas.openxmlformats.org/officeDocument/2006/relationships/hyperlink" Target="https://drive.google.com/open?id=1FkaDDLgFi_H-nJcPFo2xv32OCp-8Si-OgH6LiYw4PAo" TargetMode="External"/><Relationship Id="rId3716" Type="http://schemas.openxmlformats.org/officeDocument/2006/relationships/hyperlink" Target="https://drive.google.com/open?id=1KkMWFV9F_Olf03N8cs2fRlYh5SN1vdZN38G08P3Ys-k&amp;usp=drive_copy" TargetMode="External"/><Relationship Id="rId3923" Type="http://schemas.openxmlformats.org/officeDocument/2006/relationships/hyperlink" Target="https://docs.google.com/open?id=1aBTrGvbqltxSQtKd3zkmnYnyrZMF-P-VokD5amQDyMM" TargetMode="External"/><Relationship Id="rId637" Type="http://schemas.openxmlformats.org/officeDocument/2006/relationships/hyperlink" Target="https://drive.google.com/open?id=1mEfo-7STl9l7TDG-nmn0LLWcMxmNUWf5f-tIZ8daGaU" TargetMode="External"/><Relationship Id="rId844" Type="http://schemas.openxmlformats.org/officeDocument/2006/relationships/hyperlink" Target="https://drive.google.com/open?id=10baP5j-2T_JSYMwfFwCs6CPVl4O06jIt9cqdrr9OtwE&amp;usp=drive_copy" TargetMode="External"/><Relationship Id="rId1267" Type="http://schemas.openxmlformats.org/officeDocument/2006/relationships/hyperlink" Target="https://docs.google.com/open?id=1cthv5jnBJlGdhZyvDCBx8gZP3C9tztTdSTf7burgAdU" TargetMode="External"/><Relationship Id="rId1474" Type="http://schemas.openxmlformats.org/officeDocument/2006/relationships/hyperlink" Target="https://docs.google.com/spreadsheets/d/1yKglbaiJ2AHEKXwNA8dXJzyIcE576a0Dn8I5b43TLik" TargetMode="External"/><Relationship Id="rId1681" Type="http://schemas.openxmlformats.org/officeDocument/2006/relationships/hyperlink" Target="https://drive.google.com/open?id=12QyFqHTRjIZOnrLXNr9NmaSp8rnvYFKsPPRe_6Enczs" TargetMode="External"/><Relationship Id="rId2318" Type="http://schemas.openxmlformats.org/officeDocument/2006/relationships/hyperlink" Target="https://docs.google.com/spreadsheets/d/1OPTkergdFEZYezeXIKRwnn8PLvKWaiU62h3i052WOB8" TargetMode="External"/><Relationship Id="rId2525" Type="http://schemas.openxmlformats.org/officeDocument/2006/relationships/hyperlink" Target="https://drive.google.com/open?id=1cL0YXRJErBHsz2Dcib-JJ3g-rV7waf3sC8Y2kKHtzBk" TargetMode="External"/><Relationship Id="rId2732" Type="http://schemas.openxmlformats.org/officeDocument/2006/relationships/hyperlink" Target="https://drive.google.com/open?id=1d7iT8fLAxJeBp4TPBrgTuaes30t-zalwrkrCmeeEHI0&amp;usp=drive_copy" TargetMode="External"/><Relationship Id="rId704" Type="http://schemas.openxmlformats.org/officeDocument/2006/relationships/hyperlink" Target="https://drive.google.com/open?id=1P-hE-x-Nxd0tb3vcyrjzmtxs6VOeAGtQ7l_TrBZv7TU&amp;usp=drive_copy" TargetMode="External"/><Relationship Id="rId911" Type="http://schemas.openxmlformats.org/officeDocument/2006/relationships/hyperlink" Target="https://docs.google.com/open?id=1R4017ykQ6WNTndHZCXTtl5SVSjMK56gg5ppQkqTA2rk" TargetMode="External"/><Relationship Id="rId1127" Type="http://schemas.openxmlformats.org/officeDocument/2006/relationships/hyperlink" Target="https://docs.google.com/open?id=1lWcYdNugbKYhbj-NsLmjM1M7bBuXkOU_Z7TE6wmzidA" TargetMode="External"/><Relationship Id="rId1334" Type="http://schemas.openxmlformats.org/officeDocument/2006/relationships/hyperlink" Target="https://docs.google.com/spreadsheets/d/1u4Qs85Z2YWfr3FN8fpvzc1IKJqEijkVaqrG4bOuFOwM" TargetMode="External"/><Relationship Id="rId1541" Type="http://schemas.openxmlformats.org/officeDocument/2006/relationships/hyperlink" Target="https://docs.google.com/spreadsheets/d/1BjyddFfxjN8ROUiwiMYWElu0fvqK_3TBhZOMHkgSzxg/edit?usp=share_link" TargetMode="External"/><Relationship Id="rId40" Type="http://schemas.openxmlformats.org/officeDocument/2006/relationships/hyperlink" Target="https://docs.google.com/spreadsheets/d/1l1ee0kEYCAhG00p-dOwffGM5ewsPu44aSoHB723IlTw/edit" TargetMode="External"/><Relationship Id="rId1401" Type="http://schemas.openxmlformats.org/officeDocument/2006/relationships/hyperlink" Target="https://drive.google.com/open?id=1xwIpShrkCBz1_8eaQfHo0xzMua8p3PMDeCEyaUFvY5g" TargetMode="External"/><Relationship Id="rId3299" Type="http://schemas.openxmlformats.org/officeDocument/2006/relationships/hyperlink" Target="https://docs.google.com/open?id=1BoVERwmQ-a-yGG-PS5iIrmdlddaP1FQW59uBgpAPkUs" TargetMode="External"/><Relationship Id="rId3159" Type="http://schemas.openxmlformats.org/officeDocument/2006/relationships/hyperlink" Target="https://docs.google.com/open?id=1ZunsWjnXH-0PB8hBwvVNdCe1GRwXk_dwGjfOoEeEI-E" TargetMode="External"/><Relationship Id="rId3366" Type="http://schemas.openxmlformats.org/officeDocument/2006/relationships/hyperlink" Target="https://docs.google.com/spreadsheets/d/1RPOd8h85ieURdIpnOM5w6_mXo8O5-jUQgD3PMix2wHQ" TargetMode="External"/><Relationship Id="rId3573" Type="http://schemas.openxmlformats.org/officeDocument/2006/relationships/hyperlink" Target="https://drive.google.com/open?id=1sriO7LK-YCbgERo-yBZZZuuhBm80zstjcD6_BDzydtY" TargetMode="External"/><Relationship Id="rId287" Type="http://schemas.openxmlformats.org/officeDocument/2006/relationships/hyperlink" Target="https://docs.google.com/open?id=1rtTNWNY9LpjZeUWyikVb8KbSfvtENrROve13kIkmVMk" TargetMode="External"/><Relationship Id="rId494" Type="http://schemas.openxmlformats.org/officeDocument/2006/relationships/hyperlink" Target="https://docs.google.com/spreadsheets/d/13y-xpQPPXUCTfqu7A8owFAqLunprm0uplelyP_okWZU" TargetMode="External"/><Relationship Id="rId2175" Type="http://schemas.openxmlformats.org/officeDocument/2006/relationships/hyperlink" Target="https://docs.google.com/open?id=1qX1Cycb5q9fdejXxrC5tDEUuiRoPEL6lrlKM5_p1FK0" TargetMode="External"/><Relationship Id="rId2382" Type="http://schemas.openxmlformats.org/officeDocument/2006/relationships/hyperlink" Target="https://docs.google.com/spreadsheets/d/1SOjXPypXqSXAHAEQPaFXljMmC25mCFzbBzRrsrA47ks" TargetMode="External"/><Relationship Id="rId3019" Type="http://schemas.openxmlformats.org/officeDocument/2006/relationships/hyperlink" Target="https://docs.google.com/open?id=1xGj6NFbIzK3dda4h1VeMzV9oVdUVEjKq2_EsjFMj1ns" TargetMode="External"/><Relationship Id="rId3226" Type="http://schemas.openxmlformats.org/officeDocument/2006/relationships/hyperlink" Target="https://docs.google.com/spreadsheets/d/1wdHweScfbL0EVUCVGK5VaH2M4EzFpkZ4OhyaDnZnXI8" TargetMode="External"/><Relationship Id="rId3780" Type="http://schemas.openxmlformats.org/officeDocument/2006/relationships/hyperlink" Target="https://drive.google.com/open?id=1X9977pSfw_8T_W2EuVY_pyF-dk1kRFmT3b_LiHa32eY&amp;usp=drive_copy" TargetMode="External"/><Relationship Id="rId147" Type="http://schemas.openxmlformats.org/officeDocument/2006/relationships/hyperlink" Target="https://docs.google.com/spreadsheets/d/1FQS5z-zo9dBOl2aEsvxYAe7QZrugXeyAb5Dbbhu2zHc/edit?usp=sharing" TargetMode="External"/><Relationship Id="rId354" Type="http://schemas.openxmlformats.org/officeDocument/2006/relationships/hyperlink" Target="https://docs.google.com/spreadsheets/d/19mvdKqjA3iNQhCYKdFz1K0ZTg-LZWhEycE1OuCt5jnQ" TargetMode="External"/><Relationship Id="rId1191" Type="http://schemas.openxmlformats.org/officeDocument/2006/relationships/hyperlink" Target="https://docs.google.com/open?id=1Yza90-TlvGx99B7AxrZnd8orAhG1q79_xXyht58dmYQ" TargetMode="External"/><Relationship Id="rId2035" Type="http://schemas.openxmlformats.org/officeDocument/2006/relationships/hyperlink" Target="https://docs.google.com/open?id=1G6R0o5Pv0LcGQYBrrDDjvimc0cHTaZk2TzWJX4Wu7ns" TargetMode="External"/><Relationship Id="rId3433" Type="http://schemas.openxmlformats.org/officeDocument/2006/relationships/hyperlink" Target="https://drive.google.com/open?id=16w475vVUAnM6o9vbOIsGpgiM76cKmsCLKWT-tz2V7tg" TargetMode="External"/><Relationship Id="rId3640" Type="http://schemas.openxmlformats.org/officeDocument/2006/relationships/hyperlink" Target="https://drive.google.com/open?id=1UMn0T1328tuDd33dVst5TEXOEmomwule8U0dioZVhRM&amp;usp=drive_copy" TargetMode="External"/><Relationship Id="rId561" Type="http://schemas.openxmlformats.org/officeDocument/2006/relationships/hyperlink" Target="https://drive.google.com/open?id=1h_WoUgQLtAtpcxVeggaqOBw_o-opGErf0a4nla_B1Fc" TargetMode="External"/><Relationship Id="rId2242" Type="http://schemas.openxmlformats.org/officeDocument/2006/relationships/hyperlink" Target="https://docs.google.com/spreadsheets/d/1CpcRgciqgAQrz5_BC2x-uy9_NNEMAfuy7JNhwF1hvqs" TargetMode="External"/><Relationship Id="rId3500" Type="http://schemas.openxmlformats.org/officeDocument/2006/relationships/hyperlink" Target="https://drive.google.com/open?id=1rH6kyAVbX8pW5MAOrlk2Jokqia-0_4uWlt2iRtdD1mY&amp;usp=drive_copy" TargetMode="External"/><Relationship Id="rId214" Type="http://schemas.openxmlformats.org/officeDocument/2006/relationships/hyperlink" Target="https://docs.google.com/spreadsheets/d/14PHFYBfwNIyFEI70LXz85hCHJNCd_-E4JiEYLXljb4U" TargetMode="External"/><Relationship Id="rId421" Type="http://schemas.openxmlformats.org/officeDocument/2006/relationships/hyperlink" Target="https://drive.google.com/open?id=1L5vtww-CHU4fACZrzXt5nk2pfWiLXeHt6bazKm20Y6s" TargetMode="External"/><Relationship Id="rId1051" Type="http://schemas.openxmlformats.org/officeDocument/2006/relationships/hyperlink" Target="https://docs.google.com/open?id=18rIwtIo9dWyf2Ut4Zmza2-vWtmaytdEvRgAiCozJi_0" TargetMode="External"/><Relationship Id="rId2102" Type="http://schemas.openxmlformats.org/officeDocument/2006/relationships/hyperlink" Target="https://docs.google.com/spreadsheets/d/18qSbAXw4IAiqN7UMYpJ_lqFs-ERDVHiBfjRGi1nDb6o" TargetMode="External"/><Relationship Id="rId1868" Type="http://schemas.openxmlformats.org/officeDocument/2006/relationships/hyperlink" Target="https://drive.google.com/open?id=1wxxu2GO_U-eppy_8UcrmaUsKrFVSuaW9Pl2oHDxuQ8M&amp;usp=drive_copy" TargetMode="External"/><Relationship Id="rId2919" Type="http://schemas.openxmlformats.org/officeDocument/2006/relationships/hyperlink" Target="https://docs.google.com/open?id=13UKQVBKtrm6kycmufaXNoBDOstV94QfjD6ps0Z9s1RA" TargetMode="External"/><Relationship Id="rId3083" Type="http://schemas.openxmlformats.org/officeDocument/2006/relationships/hyperlink" Target="https://docs.google.com/open?id=19sZMWEMpwmjetMOFzSZeryqbWg-QjBLFuhGIAZ3F2II" TargetMode="External"/><Relationship Id="rId3290" Type="http://schemas.openxmlformats.org/officeDocument/2006/relationships/hyperlink" Target="https://docs.google.com/spreadsheets/d/19yc9NmctTc2hyHNhanpq9BxpRXWOynRnf2imPsqdp28" TargetMode="External"/><Relationship Id="rId1728" Type="http://schemas.openxmlformats.org/officeDocument/2006/relationships/hyperlink" Target="https://drive.google.com/open?id=1GXJycXRAsniebh4p2JAgv_fjiRPhZrrR90Ejy2Gi7wA&amp;usp=drive_copy" TargetMode="External"/><Relationship Id="rId1935" Type="http://schemas.openxmlformats.org/officeDocument/2006/relationships/hyperlink" Target="https://docs.google.com/open?id=1_cpM8SFh9NZqujvKsLm6w5tNwwMFRflxdHMAv0X1HpE" TargetMode="External"/><Relationship Id="rId3150" Type="http://schemas.openxmlformats.org/officeDocument/2006/relationships/hyperlink" Target="https://docs.google.com/spreadsheets/d/1YLlvgfTuo2NZZkChUDmDqRmzzYZIhfhGyz2AW3J3xh4" TargetMode="External"/><Relationship Id="rId3010" Type="http://schemas.openxmlformats.org/officeDocument/2006/relationships/hyperlink" Target="https://docs.google.com/spreadsheets/d/1uFFREyj9FnrBR7QtVPEqYaXaViO_p0eGWshC7pUa8sY" TargetMode="External"/><Relationship Id="rId4" Type="http://schemas.openxmlformats.org/officeDocument/2006/relationships/hyperlink" Target="https://docs.google.com/spreadsheets/d/1ty7k5Icb_MsNYo5vdr5Wkqz3qiVji_4o0GJ3W2dHzg0/edit" TargetMode="External"/><Relationship Id="rId888" Type="http://schemas.openxmlformats.org/officeDocument/2006/relationships/hyperlink" Target="https://drive.google.com/open?id=1OhkZpAQmSa7eDZlcNCm4tpoVKg5llb1fotV9WHO8q6Q&amp;usp=drive_copy" TargetMode="External"/><Relationship Id="rId2569" Type="http://schemas.openxmlformats.org/officeDocument/2006/relationships/hyperlink" Target="https://drive.google.com/open?id=1nIgLQUqkTZWxzZ7wba4p4rdet2tZLGLBiBV7eCpag2s" TargetMode="External"/><Relationship Id="rId2776" Type="http://schemas.openxmlformats.org/officeDocument/2006/relationships/hyperlink" Target="https://drive.google.com/open?id=1J4OUfYVevYIkMTNs7PYRvwLNtypwqeEwHbNQuRVjSkY&amp;usp=drive_copy" TargetMode="External"/><Relationship Id="rId2983" Type="http://schemas.openxmlformats.org/officeDocument/2006/relationships/hyperlink" Target="https://docs.google.com/open?id=1fCUY5EXexmjdnLDxMmzuos-LNQ8xkLSda7kL3wcZCsY" TargetMode="External"/><Relationship Id="rId3827" Type="http://schemas.openxmlformats.org/officeDocument/2006/relationships/hyperlink" Target="https://docs.google.com/open?id=1sTb2zaDnsrvopAxKPzSrbiCQ6KoxD9gMrwqhkHtnxMs" TargetMode="External"/><Relationship Id="rId748" Type="http://schemas.openxmlformats.org/officeDocument/2006/relationships/hyperlink" Target="https://drive.google.com/open?id=1_OC1x9LoKGkG1q2azWKy02arliNVRdFHPLG1bfvCfow&amp;usp=drive_copy" TargetMode="External"/><Relationship Id="rId955" Type="http://schemas.openxmlformats.org/officeDocument/2006/relationships/hyperlink" Target="https://docs.google.com/open?id=1D51xmYYsDlWkRFPh_MU2uGUmjNrYLMcOxoPoM89_OLg" TargetMode="External"/><Relationship Id="rId1378" Type="http://schemas.openxmlformats.org/officeDocument/2006/relationships/hyperlink" Target="https://docs.google.com/spreadsheets/d/11KSxHMGnoHkgZ0DLKwBfZft8R0qdo6rocjbz5kAT-ec" TargetMode="External"/><Relationship Id="rId1585" Type="http://schemas.openxmlformats.org/officeDocument/2006/relationships/hyperlink" Target="https://drive.google.com/open?id=18wpsudP0sN6jREFfFPZ0UvvA4jm37aLeSzFUM9KcRMo" TargetMode="External"/><Relationship Id="rId1792" Type="http://schemas.openxmlformats.org/officeDocument/2006/relationships/hyperlink" Target="https://drive.google.com/open?id=10DFYDDvNe3AZ4jpZx8gGBJWP8WiwHffFIRukjJi6Uw8&amp;usp=drive_copy" TargetMode="External"/><Relationship Id="rId2429" Type="http://schemas.openxmlformats.org/officeDocument/2006/relationships/hyperlink" Target="https://drive.google.com/open?id=1U1_WC00FR3s7Xqllgrk-nYX6bEswGj3ea0FaYR3S7rI" TargetMode="External"/><Relationship Id="rId2636" Type="http://schemas.openxmlformats.org/officeDocument/2006/relationships/hyperlink" Target="https://drive.google.com/open?id=15EG26otaYaMz5pLM2cwV__p3Hao_0saGDoTiGHY3n28&amp;usp=drive_copy" TargetMode="External"/><Relationship Id="rId2843" Type="http://schemas.openxmlformats.org/officeDocument/2006/relationships/hyperlink" Target="https://docs.google.com/open?id=1v94-53gvuSh_eOtsRIWOB6PO1E4V8VWq4vyiZu3ilIE" TargetMode="External"/><Relationship Id="rId84" Type="http://schemas.openxmlformats.org/officeDocument/2006/relationships/hyperlink" Target="https://docs.google.com/spreadsheets/d/1P70N1tP0AQfUI9AuGVgYgINBv65E1veuPvyuyMkt3ag/edit" TargetMode="External"/><Relationship Id="rId608" Type="http://schemas.openxmlformats.org/officeDocument/2006/relationships/hyperlink" Target="https://drive.google.com/open?id=10r_UsZUdmg54QO7bo8serIG-MqG3xlhPZDRdK2r9Kpw&amp;usp=drive_copy" TargetMode="External"/><Relationship Id="rId815" Type="http://schemas.openxmlformats.org/officeDocument/2006/relationships/hyperlink" Target="https://docs.google.com/open?id=1h0da8XbNWNtnvc2iqgmLRYia5n8Ip5prEHOVJEHIFD4" TargetMode="External"/><Relationship Id="rId1238" Type="http://schemas.openxmlformats.org/officeDocument/2006/relationships/hyperlink" Target="https://docs.google.com/spreadsheets/d/1YqBBaniyF14mD60Fm1sG4tl90H188fWHllZV8WeghRc" TargetMode="External"/><Relationship Id="rId1445" Type="http://schemas.openxmlformats.org/officeDocument/2006/relationships/hyperlink" Target="https://drive.google.com/open?id=14nV8fwn8fLh3_L6UJsAYePmumEC_O2FQdP-ozBdcY20" TargetMode="External"/><Relationship Id="rId1652" Type="http://schemas.openxmlformats.org/officeDocument/2006/relationships/hyperlink" Target="https://drive.google.com/open?id=1lQjB1bQpz-cknjSjwGGmxeegqSwBmLEZjef75RZP5H0&amp;usp=drive_copy" TargetMode="External"/><Relationship Id="rId1305" Type="http://schemas.openxmlformats.org/officeDocument/2006/relationships/hyperlink" Target="https://drive.google.com/open?id=1MXucdfS77PtxYhAhCcI0KwuMYEzMXwKM2mQnT9uVmuw" TargetMode="External"/><Relationship Id="rId2703" Type="http://schemas.openxmlformats.org/officeDocument/2006/relationships/hyperlink" Target="https://docs.google.com/open?id=1KlknmlzdwCizIktTE1fk7Ov3VKf1zDKLF2eHBbbdjkE" TargetMode="External"/><Relationship Id="rId2910" Type="http://schemas.openxmlformats.org/officeDocument/2006/relationships/hyperlink" Target="https://docs.google.com/spreadsheets/d/1wVihCEqK9oub6pMR7JEDElWSDWyEFx1YWo0ARiyhgcc" TargetMode="External"/><Relationship Id="rId1512" Type="http://schemas.openxmlformats.org/officeDocument/2006/relationships/hyperlink" Target="https://drive.google.com/open?id=1FXY-UNoP9j2BPz7MCmhsJ1Jz7t9AOhN-j2OWoMZ-7Uk&amp;usp=drive_copy" TargetMode="External"/><Relationship Id="rId11" Type="http://schemas.openxmlformats.org/officeDocument/2006/relationships/hyperlink" Target="https://docs.google.com/spreadsheets/d/1VnZRiUSLkcf280njKLZy4CbXomR3Lk2MA7HohaPJkLE/edit?usp=sharing" TargetMode="External"/><Relationship Id="rId398" Type="http://schemas.openxmlformats.org/officeDocument/2006/relationships/hyperlink" Target="https://docs.google.com/spreadsheets/d/1HRxI6hz0luUE5zGREJtO7hMkntccRGx8FopS8oxozOk" TargetMode="External"/><Relationship Id="rId2079" Type="http://schemas.openxmlformats.org/officeDocument/2006/relationships/hyperlink" Target="https://docs.google.com/open?id=15KZ--t3Q0kkTCxhyfiIGFFjAhGJJsnt0xLok7nrdO38" TargetMode="External"/><Relationship Id="rId3477" Type="http://schemas.openxmlformats.org/officeDocument/2006/relationships/hyperlink" Target="https://drive.google.com/open?id=1W8-YnxJU9mEmehXQIh8Ljt6bMy3x95GwhJYHGegfkxw" TargetMode="External"/><Relationship Id="rId3684" Type="http://schemas.openxmlformats.org/officeDocument/2006/relationships/hyperlink" Target="https://drive.google.com/open?id=1TNTNRv981Yl3_UDj9snbr7qhrCIY4W-oZudH8Ubdoww&amp;usp=drive_copy" TargetMode="External"/><Relationship Id="rId3891" Type="http://schemas.openxmlformats.org/officeDocument/2006/relationships/hyperlink" Target="https://docs.google.com/open?id=19Ot4b1Pasvdp7KssnBJ3memm5REKtMdFm0X5sc7j1m0" TargetMode="External"/><Relationship Id="rId2286" Type="http://schemas.openxmlformats.org/officeDocument/2006/relationships/hyperlink" Target="https://docs.google.com/spreadsheets/d/1Zo85uBGE13Qzd5paM2axQ0Ii1YohyoFaI_-_A5HcCoc" TargetMode="External"/><Relationship Id="rId2493" Type="http://schemas.openxmlformats.org/officeDocument/2006/relationships/hyperlink" Target="https://drive.google.com/open?id=1ABl5HWNj_EPPJZ1lYqyBuuE9trN08kQPqWf5d3_xJSE" TargetMode="External"/><Relationship Id="rId3337" Type="http://schemas.openxmlformats.org/officeDocument/2006/relationships/hyperlink" Target="https://drive.google.com/open?id=1LqfVSef_aOuCX_dREDH3UXrgYQQU0JmKN_DM1HCw0RY" TargetMode="External"/><Relationship Id="rId3544" Type="http://schemas.openxmlformats.org/officeDocument/2006/relationships/hyperlink" Target="https://drive.google.com/open?id=1chPG5BEYUfnuoEuJ6P16A7Hc4nj9jwlPafV2YxyrB0k&amp;usp=drive_copy" TargetMode="External"/><Relationship Id="rId3751" Type="http://schemas.openxmlformats.org/officeDocument/2006/relationships/hyperlink" Target="https://docs.google.com/open?id=1anp0yAtCtObdnSGDXQSTByktqscnJWT4UdCOFYZgV7A" TargetMode="External"/><Relationship Id="rId258" Type="http://schemas.openxmlformats.org/officeDocument/2006/relationships/hyperlink" Target="https://docs.google.com/spreadsheets/d/1V4yH_7ezu-rVrsvOpho86IBurptJI6IfVo1WT8tJzBI" TargetMode="External"/><Relationship Id="rId465" Type="http://schemas.openxmlformats.org/officeDocument/2006/relationships/hyperlink" Target="https://drive.google.com/open?id=1qgLOwy0qMyZjypJatUEWeJiPf1ATQNjxTaHAxolzp48" TargetMode="External"/><Relationship Id="rId672" Type="http://schemas.openxmlformats.org/officeDocument/2006/relationships/hyperlink" Target="https://drive.google.com/open?id=1IBOp12-8ahZqktw556yk84p1LLqJVyCZHCoqVBt70Rk&amp;usp=drive_copy" TargetMode="External"/><Relationship Id="rId1095" Type="http://schemas.openxmlformats.org/officeDocument/2006/relationships/hyperlink" Target="https://docs.google.com/open?id=1jXkfqSZqGAawLE9ECl2MxpNxfFkEtfAvk3PDxmRuIRw" TargetMode="External"/><Relationship Id="rId2146" Type="http://schemas.openxmlformats.org/officeDocument/2006/relationships/hyperlink" Target="https://docs.google.com/spreadsheets/d/1Lk6E6szCZxhHjuz7lZa-A1CxGfD2ia3gaD7SYUWrlCw" TargetMode="External"/><Relationship Id="rId2353" Type="http://schemas.openxmlformats.org/officeDocument/2006/relationships/hyperlink" Target="https://drive.google.com/open?id=1fqX2rnwxnkl7OpLwjM8LgM7ahxyRsdrJL1xus5ReMp4" TargetMode="External"/><Relationship Id="rId2560" Type="http://schemas.openxmlformats.org/officeDocument/2006/relationships/hyperlink" Target="https://drive.google.com/open?id=1kKOZ9UmMhjp7cM7JAMzefBqKghcwcKcqZJ_Nr5kvgkA&amp;usp=drive_copy" TargetMode="External"/><Relationship Id="rId3404" Type="http://schemas.openxmlformats.org/officeDocument/2006/relationships/hyperlink" Target="https://drive.google.com/open?id=1rDqG8HquCwW9pnZZCYlHGX7ElQehNuNDHFV-OcxgQXA&amp;usp=drive_copy" TargetMode="External"/><Relationship Id="rId3611" Type="http://schemas.openxmlformats.org/officeDocument/2006/relationships/hyperlink" Target="https://docs.google.com/open?id=1rUbnpZRlk35FQfy_BzYps7EJWLC6LQvmPDViGnVO1A8" TargetMode="External"/><Relationship Id="rId118" Type="http://schemas.openxmlformats.org/officeDocument/2006/relationships/hyperlink" Target="https://docs.google.com/spreadsheets/d/1u3ydYXn7jjoGczqldwSU-Q7XHSS8keHbjbRvPqD5yvg/edit" TargetMode="External"/><Relationship Id="rId325" Type="http://schemas.openxmlformats.org/officeDocument/2006/relationships/hyperlink" Target="https://drive.google.com/open?id=13zju-bIiFlXLoG38GhXwrj0pcNq_0PKACRFt4wNkVRU" TargetMode="External"/><Relationship Id="rId532" Type="http://schemas.openxmlformats.org/officeDocument/2006/relationships/hyperlink" Target="https://drive.google.com/open?id=1BbO3XwPgprrRzRbJNU782pgl77q3nT4WmQQznQPUp9c&amp;usp=drive_copy" TargetMode="External"/><Relationship Id="rId1162" Type="http://schemas.openxmlformats.org/officeDocument/2006/relationships/hyperlink" Target="https://docs.google.com/spreadsheets/d/1VoWzqnXAG4wrW76pwo8BG4ArFcxU_NBzI4VBqkg0sBQ" TargetMode="External"/><Relationship Id="rId2006" Type="http://schemas.openxmlformats.org/officeDocument/2006/relationships/hyperlink" Target="https://docs.google.com/spreadsheets/d/1f0Z3c9FhlPQcA_mStNucrGOMAA6WSd7OQOeTDngX6gk" TargetMode="External"/><Relationship Id="rId2213" Type="http://schemas.openxmlformats.org/officeDocument/2006/relationships/hyperlink" Target="https://drive.google.com/open?id=1z3ChhJSr0KAV7qa0nJKi1S70IRf1GlAzGnAG20UpG_o" TargetMode="External"/><Relationship Id="rId2420" Type="http://schemas.openxmlformats.org/officeDocument/2006/relationships/hyperlink" Target="https://drive.google.com/open?id=1Fl8SB1u-OrjUIf3rPiFm60DJ3kkdeK849gSKfJPwxH0&amp;usp=drive_copy" TargetMode="External"/><Relationship Id="rId1022" Type="http://schemas.openxmlformats.org/officeDocument/2006/relationships/hyperlink" Target="https://docs.google.com/spreadsheets/d/1wQ7Gp1aiuN3lQCKG1IF-1obOJ1fNlusp_nS6h4jRCvE" TargetMode="External"/><Relationship Id="rId1979" Type="http://schemas.openxmlformats.org/officeDocument/2006/relationships/hyperlink" Target="https://docs.google.com/open?id=16NmzZdRIh7OW3EYKMashGS-DuqM1W3V1603dcQGNJ2M" TargetMode="External"/><Relationship Id="rId3194" Type="http://schemas.openxmlformats.org/officeDocument/2006/relationships/hyperlink" Target="https://docs.google.com/spreadsheets/d/1imT2Zwz9zf-XBmxV_g-zZwibwx9P-QFZPeT_cP-82FA" TargetMode="External"/><Relationship Id="rId1839" Type="http://schemas.openxmlformats.org/officeDocument/2006/relationships/hyperlink" Target="https://docs.google.com/open?id=13eMIV8XLrFIsrYh0yzSrWSulrLz-SVqY0-vlmEdsu_A" TargetMode="External"/><Relationship Id="rId3054" Type="http://schemas.openxmlformats.org/officeDocument/2006/relationships/hyperlink" Target="https://docs.google.com/spreadsheets/d/13kXOsLZnCg9HnW_SotthyrcIsOrNgMh5odIQqbEt0qc" TargetMode="External"/><Relationship Id="rId182" Type="http://schemas.openxmlformats.org/officeDocument/2006/relationships/hyperlink" Target="https://docs.google.com/spreadsheets/d/1FD8pRTy-wVfTl4a0c52WQU9JKQyBqurQpFqpDWKegFM/edit" TargetMode="External"/><Relationship Id="rId1906" Type="http://schemas.openxmlformats.org/officeDocument/2006/relationships/hyperlink" Target="https://docs.google.com/spreadsheets/d/1qxVlRP3gJvJ83GVBugCrfcFudx0x3WrH7RK4vJKZdRA" TargetMode="External"/><Relationship Id="rId3261" Type="http://schemas.openxmlformats.org/officeDocument/2006/relationships/hyperlink" Target="https://drive.google.com/open?id=14xXIDMHktHinzKVs2eiN2Rnz5a8ew907SP0tyARAIuU" TargetMode="External"/><Relationship Id="rId2070" Type="http://schemas.openxmlformats.org/officeDocument/2006/relationships/hyperlink" Target="https://docs.google.com/spreadsheets/d/1kFh-M-hT8ij3Uec8M8S6NZ1xdxzBrB7XYxkvhSPqxGU" TargetMode="External"/><Relationship Id="rId3121" Type="http://schemas.openxmlformats.org/officeDocument/2006/relationships/hyperlink" Target="https://drive.google.com/open?id=1KSkYoabZUfoRf9R2XZmQFgR73KPQxNQEVH8KjynjLa8" TargetMode="External"/><Relationship Id="rId999" Type="http://schemas.openxmlformats.org/officeDocument/2006/relationships/hyperlink" Target="https://docs.google.com/open?id=1Y8yBx_fF-SEJ2Rk10WMp0ZvBOfcYbS1064Q07Wm0wno" TargetMode="External"/><Relationship Id="rId2887" Type="http://schemas.openxmlformats.org/officeDocument/2006/relationships/hyperlink" Target="https://docs.google.com/open?id=15qvk2sQLMMWtLqCLn2YL-LAZOi6lcLH1svpqA0bhYiI" TargetMode="External"/><Relationship Id="rId859" Type="http://schemas.openxmlformats.org/officeDocument/2006/relationships/hyperlink" Target="https://docs.google.com/open?id=1vqcpIDfsJPgxHW6yf2s3coUSIobsgXr9ySfMuK_9-tA" TargetMode="External"/><Relationship Id="rId1489" Type="http://schemas.openxmlformats.org/officeDocument/2006/relationships/hyperlink" Target="https://drive.google.com/open?id=19iOKPB14W0VGP-0ml8pziHOt6sYzXWaj7a4Zoum-tBI" TargetMode="External"/><Relationship Id="rId1696" Type="http://schemas.openxmlformats.org/officeDocument/2006/relationships/hyperlink" Target="https://drive.google.com/open?id=1Tq9Xj7Em9_lW_2lpW-OoRc_MCq1ABdu3T2I984PjUnU&amp;usp=drive_copy" TargetMode="External"/><Relationship Id="rId3938" Type="http://schemas.openxmlformats.org/officeDocument/2006/relationships/hyperlink" Target="https://docs.google.com/spreadsheets/d/1gBEDRqZ-XUZ4pkRpGMoP6Zk6dOHbTSvD8I8Ya9tKuXc" TargetMode="External"/><Relationship Id="rId1349" Type="http://schemas.openxmlformats.org/officeDocument/2006/relationships/hyperlink" Target="https://drive.google.com/open?id=19K_0jUpJ8kktXDNGjYJ4WjRegT2dkmpWZZXQS7Bvz80" TargetMode="External"/><Relationship Id="rId2747" Type="http://schemas.openxmlformats.org/officeDocument/2006/relationships/hyperlink" Target="https://docs.google.com/open?id=1iS7GQzTWD1xeGO-VZl3XCq2gJT68EXEs-laiahTPNSg" TargetMode="External"/><Relationship Id="rId2954" Type="http://schemas.openxmlformats.org/officeDocument/2006/relationships/hyperlink" Target="https://docs.google.com/spreadsheets/d/1NXloLPdh5MiFLQRsbudsl6t9ZaJ0tBudRZhDhnbvPVM" TargetMode="External"/><Relationship Id="rId719" Type="http://schemas.openxmlformats.org/officeDocument/2006/relationships/hyperlink" Target="https://docs.google.com/open?id=1Scrz15EVMsypf1pcMUHNhoybcUnhsXxJFKEiAOmHZAo" TargetMode="External"/><Relationship Id="rId926" Type="http://schemas.openxmlformats.org/officeDocument/2006/relationships/hyperlink" Target="https://docs.google.com/spreadsheets/d/1VBIFWNzu4ZyE7Y8gI-koV7eH1KkE2kYEabvwLkoyQHA" TargetMode="External"/><Relationship Id="rId1556" Type="http://schemas.openxmlformats.org/officeDocument/2006/relationships/hyperlink" Target="https://drive.google.com/open?id=1hQI2FxHX0goMdg176Rs4Cpm0kQynLiAuwnCuwoGSY9s&amp;usp=drive_copy" TargetMode="External"/><Relationship Id="rId1763" Type="http://schemas.openxmlformats.org/officeDocument/2006/relationships/hyperlink" Target="https://docs.google.com/open?id=1p_OgapkWx-5HjNula4UeZfj080vtBkeuUCZ0IbnMiqw" TargetMode="External"/><Relationship Id="rId1970" Type="http://schemas.openxmlformats.org/officeDocument/2006/relationships/hyperlink" Target="https://docs.google.com/spreadsheets/d/1W_GCuGDf3OciGTTLCGHtEvG_4wtDNIC5o7RV4Jfcpwo" TargetMode="External"/><Relationship Id="rId2607" Type="http://schemas.openxmlformats.org/officeDocument/2006/relationships/hyperlink" Target="https://docs.google.com/open?id=1w9TkOwhLPHAt_8L4y3JJCg5I4gzwaCy2E1NfouMG7bM" TargetMode="External"/><Relationship Id="rId2814" Type="http://schemas.openxmlformats.org/officeDocument/2006/relationships/hyperlink" Target="https://docs.google.com/spreadsheets/d/1f6ybG6ihbTg_jrev_6wUmBWAyhFAx1rZDSZ0tzjcXB8" TargetMode="External"/><Relationship Id="rId55" Type="http://schemas.openxmlformats.org/officeDocument/2006/relationships/hyperlink" Target="https://docs.google.com/spreadsheets/d/1gMYRU0PUUxCrNDwFQ0mih1q6NdGLpK8wi4den6cwdmU/edit?usp=sharing" TargetMode="External"/><Relationship Id="rId1209" Type="http://schemas.openxmlformats.org/officeDocument/2006/relationships/hyperlink" Target="https://drive.google.com/open?id=1ZvBcY12fipEHX1b4eUbGpDkpc5lwxJ2nzm0kqiRSDJU" TargetMode="External"/><Relationship Id="rId1416" Type="http://schemas.openxmlformats.org/officeDocument/2006/relationships/hyperlink" Target="https://drive.google.com/open?id=1cXIw5mog84y1d-YPHijS147H1dCepZCWIhPv8aMD96M&amp;usp=drive_copy" TargetMode="External"/><Relationship Id="rId1623" Type="http://schemas.openxmlformats.org/officeDocument/2006/relationships/hyperlink" Target="https://docs.google.com/open?id=1AmKlJCKlDYJv3JiCFuqGgTQzhBtrQMnBYY964lmsTYw" TargetMode="External"/><Relationship Id="rId1830" Type="http://schemas.openxmlformats.org/officeDocument/2006/relationships/hyperlink" Target="https://docs.google.com/spreadsheets/d/1r0A6VMUoBMQJDedztgn_IFmMNa1pB1E05khPQfRylQg" TargetMode="External"/><Relationship Id="rId3588" Type="http://schemas.openxmlformats.org/officeDocument/2006/relationships/hyperlink" Target="https://drive.google.com/open?id=1Q1GNst04UgagLwEZ_7X22Iy2C-TWl4929eYPzA-gvbE&amp;usp=drive_copy" TargetMode="External"/><Relationship Id="rId3795" Type="http://schemas.openxmlformats.org/officeDocument/2006/relationships/hyperlink" Target="https://docs.google.com/open?id=1aD66S7fa7G9sym6uAMjXVUDcezM9e12I2ff_EFj0kig" TargetMode="External"/><Relationship Id="rId2397" Type="http://schemas.openxmlformats.org/officeDocument/2006/relationships/hyperlink" Target="https://drive.google.com/open?id=1zMPB_qLJCPdy8KbBJ27lIU0enlk63xGUlGaT2u2Hsz4" TargetMode="External"/><Relationship Id="rId3448" Type="http://schemas.openxmlformats.org/officeDocument/2006/relationships/hyperlink" Target="https://drive.google.com/open?id=1FhbQwC2P78N7UvKbbEf4fZtLjUTmB9qkm15EbeT8pGI&amp;usp=drive_copy" TargetMode="External"/><Relationship Id="rId3655" Type="http://schemas.openxmlformats.org/officeDocument/2006/relationships/hyperlink" Target="https://docs.google.com/open?id=1YL-thVA9WsyYVWzPE53-uqCkY2pDDN0Urv2pbbKqh94" TargetMode="External"/><Relationship Id="rId3862" Type="http://schemas.openxmlformats.org/officeDocument/2006/relationships/hyperlink" Target="https://docs.google.com/spreadsheets/d/1jObs-f0fcG_8ykBZQcT1C4OCWvDpQTexWm_gIpugJOs" TargetMode="External"/><Relationship Id="rId369" Type="http://schemas.openxmlformats.org/officeDocument/2006/relationships/hyperlink" Target="https://drive.google.com/open?id=1BimylDMx5fgM9XP1o6hzt1LNhvXzNtxuwJksIdhWcdk" TargetMode="External"/><Relationship Id="rId576" Type="http://schemas.openxmlformats.org/officeDocument/2006/relationships/hyperlink" Target="https://drive.google.com/open?id=1nx420kvbsr8urnff_BRIgmZ5gNnHMe2FuM8H9lD6XEY&amp;usp=drive_copy" TargetMode="External"/><Relationship Id="rId783" Type="http://schemas.openxmlformats.org/officeDocument/2006/relationships/hyperlink" Target="https://docs.google.com/open?id=1hudjfA1PESgxzvm0EBhX9fasftTYv54YJd2Ei6dRapM" TargetMode="External"/><Relationship Id="rId990" Type="http://schemas.openxmlformats.org/officeDocument/2006/relationships/hyperlink" Target="https://docs.google.com/spreadsheets/d/1TkTdkXWko63gVKw4ClRaliysr9nonpq8lJ-_glqYxpw" TargetMode="External"/><Relationship Id="rId2257" Type="http://schemas.openxmlformats.org/officeDocument/2006/relationships/hyperlink" Target="https://drive.google.com/open?id=1tJ9oaVdI4eBbESC0OH_aAq6lpZvnmI8SLOwxfCJ3yTk" TargetMode="External"/><Relationship Id="rId2464" Type="http://schemas.openxmlformats.org/officeDocument/2006/relationships/hyperlink" Target="https://drive.google.com/open?id=1CMHEyAbKdUepMmAVaZOCvNVyMvzRnjr-8syUod6Qe9s&amp;usp=drive_copy" TargetMode="External"/><Relationship Id="rId2671" Type="http://schemas.openxmlformats.org/officeDocument/2006/relationships/hyperlink" Target="https://docs.google.com/open?id=1BVoWdQ2_uJwzb3-CirTDWlgBmzRuFF7_AsHqaYNzYN4" TargetMode="External"/><Relationship Id="rId3308" Type="http://schemas.openxmlformats.org/officeDocument/2006/relationships/hyperlink" Target="https://drive.google.com/open?id=1DR4a8V1eMTqjMyeFxwmA12QFvAEKcMRA5SbChnS7qFo&amp;usp=drive_copy" TargetMode="External"/><Relationship Id="rId3515" Type="http://schemas.openxmlformats.org/officeDocument/2006/relationships/hyperlink" Target="https://docs.google.com/open?id=14AjmcSxFqO98I0h0kG6Pk1ZscuoTColeCO15tJvy1I4" TargetMode="External"/><Relationship Id="rId229" Type="http://schemas.openxmlformats.org/officeDocument/2006/relationships/hyperlink" Target="https://drive.google.com/open?id=1AI4iToPwSivpbJH_c1PI5SJZNZWkGtv0aSxNtZ098W4" TargetMode="External"/><Relationship Id="rId436" Type="http://schemas.openxmlformats.org/officeDocument/2006/relationships/hyperlink" Target="https://drive.google.com/open?id=1kL6-1SfMeQDGwpswzdsMj0l4OJ7UXeB_xxxjKQALUjg&amp;usp=drive_copy" TargetMode="External"/><Relationship Id="rId643" Type="http://schemas.openxmlformats.org/officeDocument/2006/relationships/hyperlink" Target="https://docs.google.com/open?id=10ZQgOSd-0NV2Wu0yzlwduOcSejh5hy0ZK-G0ZfJqk5E" TargetMode="External"/><Relationship Id="rId1066" Type="http://schemas.openxmlformats.org/officeDocument/2006/relationships/hyperlink" Target="https://docs.google.com/spreadsheets/d/1nyt8JabHoQZBO5ILQhBG_Sj__zD2xgtWtYAOGnhypos" TargetMode="External"/><Relationship Id="rId1273" Type="http://schemas.openxmlformats.org/officeDocument/2006/relationships/hyperlink" Target="https://drive.google.com/open?id=1fJPPSztCgeJoPKljKa4vAQT50OmZjvhtAXJ3O8wavM8" TargetMode="External"/><Relationship Id="rId1480" Type="http://schemas.openxmlformats.org/officeDocument/2006/relationships/hyperlink" Target="https://drive.google.com/open?id=15LwGcrE9V7r6eONxrF6shLmJZ32odris6qkdpZXNb8k&amp;usp=drive_copy" TargetMode="External"/><Relationship Id="rId2117" Type="http://schemas.openxmlformats.org/officeDocument/2006/relationships/hyperlink" Target="https://drive.google.com/open?id=1bHeKpf4EVsL3rafD5oed2cGiFdyJruYGBv-FzcLrm6g" TargetMode="External"/><Relationship Id="rId2324" Type="http://schemas.openxmlformats.org/officeDocument/2006/relationships/hyperlink" Target="https://drive.google.com/open?id=10XjszphET9bNnbIftOpOD-2suLE-v-UImiLMdELar-A&amp;usp=drive_copy" TargetMode="External"/><Relationship Id="rId3722" Type="http://schemas.openxmlformats.org/officeDocument/2006/relationships/hyperlink" Target="https://docs.google.com/spreadsheets/d/1YjVEQRCUIDfnygdO2tr6ZdE4nmIfuj5nl-rRwH7bOc0" TargetMode="External"/><Relationship Id="rId850" Type="http://schemas.openxmlformats.org/officeDocument/2006/relationships/hyperlink" Target="https://docs.google.com/spreadsheets/d/1uCWinIH6cUW37QtJa6uHlsqiOk-vPNUym53_dbWCAU0" TargetMode="External"/><Relationship Id="rId1133" Type="http://schemas.openxmlformats.org/officeDocument/2006/relationships/hyperlink" Target="https://drive.google.com/open?id=1o-5W8XHiBwlQrrTfoctzCtfwFk4dgrJD1x2tJ4-lcgc" TargetMode="External"/><Relationship Id="rId2531" Type="http://schemas.openxmlformats.org/officeDocument/2006/relationships/hyperlink" Target="https://docs.google.com/open?id=1djoBP-C5Fs3sKkR7aWKGCf9uZIcsDwipHMLKjW05Svc" TargetMode="External"/><Relationship Id="rId503" Type="http://schemas.openxmlformats.org/officeDocument/2006/relationships/hyperlink" Target="https://docs.google.com/open?id=1BKzQyLoS7BSuZsRkiQApevcj2ZXn00Z3B8t-7Elt1lM" TargetMode="External"/><Relationship Id="rId710" Type="http://schemas.openxmlformats.org/officeDocument/2006/relationships/hyperlink" Target="https://docs.google.com/spreadsheets/d/1PixfsHZVJl09BlpcNdPDbSD8Y5E_kr-Y5Y90OrRDYIM" TargetMode="External"/><Relationship Id="rId1340" Type="http://schemas.openxmlformats.org/officeDocument/2006/relationships/hyperlink" Target="https://drive.google.com/open?id=14qyJ_PrmLfZMOf6cCWLpD4pKLNfTJMMpCu7ZEAopRsw&amp;usp=drive_copy" TargetMode="External"/><Relationship Id="rId3098" Type="http://schemas.openxmlformats.org/officeDocument/2006/relationships/hyperlink" Target="https://docs.google.com/spreadsheets/d/1CpQlSWeyrqXlNd9ZJf8rGkAFLDdYCFcxRejlCGN8M9s" TargetMode="External"/><Relationship Id="rId1200" Type="http://schemas.openxmlformats.org/officeDocument/2006/relationships/hyperlink" Target="https://drive.google.com/open?id=1aK8bRPBwSbG-NKbaP6D0bAEWum3Q8sPJXCBZv6Ea1l4&amp;usp=drive_copy" TargetMode="External"/><Relationship Id="rId3165" Type="http://schemas.openxmlformats.org/officeDocument/2006/relationships/hyperlink" Target="https://drive.google.com/open?id=1dqoTdLhR_zIt6QNdClkbdCkQRRZY3qMc_OrdKh_EyIo" TargetMode="External"/><Relationship Id="rId3372" Type="http://schemas.openxmlformats.org/officeDocument/2006/relationships/hyperlink" Target="https://drive.google.com/open?id=1ZAh-POS4IjlD2tAMXbtHwClTdpqE6l1x6BjzrPbIuYc&amp;usp=drive_copy" TargetMode="External"/><Relationship Id="rId293" Type="http://schemas.openxmlformats.org/officeDocument/2006/relationships/hyperlink" Target="https://drive.google.com/open?id=1wuTP6ZyVjkSrlxTL8N9Ko9Ahw4roz-bpCZiVKoGmPgw" TargetMode="External"/><Relationship Id="rId2181" Type="http://schemas.openxmlformats.org/officeDocument/2006/relationships/hyperlink" Target="https://drive.google.com/open?id=17kbKWMzjWXPAUvz-vPypeO3KNNGgrUZXvzztKfA-F84" TargetMode="External"/><Relationship Id="rId3025" Type="http://schemas.openxmlformats.org/officeDocument/2006/relationships/hyperlink" Target="https://drive.google.com/open?id=1-6L7eMel2mT86hlP2hhtSzWmzugKauA3IcddEA7o82I" TargetMode="External"/><Relationship Id="rId3232" Type="http://schemas.openxmlformats.org/officeDocument/2006/relationships/hyperlink" Target="https://drive.google.com/open?id=1x6MgWiMfFeP-2w6mzPOjf5dUms4hyvgTcRY3gs6tuVE&amp;usp=drive_copy" TargetMode="External"/><Relationship Id="rId153" Type="http://schemas.openxmlformats.org/officeDocument/2006/relationships/hyperlink" Target="https://docs.google.com/spreadsheets/d/1Bla9-F0_9NEvH6RIKSx0MN5G8lakCSlubgPSo75sIjQ/edit?usp=sharing" TargetMode="External"/><Relationship Id="rId360" Type="http://schemas.openxmlformats.org/officeDocument/2006/relationships/hyperlink" Target="https://drive.google.com/open?id=1AflDdxj5GtkuKJsDK6EELF3DfYHgmCJlP-oIVpTgm_o&amp;usp=drive_copy" TargetMode="External"/><Relationship Id="rId2041" Type="http://schemas.openxmlformats.org/officeDocument/2006/relationships/hyperlink" Target="https://drive.google.com/open?id=188Cz7H5iEkxNMg9roX8vCsWndIEsyC3uohC-u-2_1FU" TargetMode="External"/><Relationship Id="rId220" Type="http://schemas.openxmlformats.org/officeDocument/2006/relationships/hyperlink" Target="https://drive.google.com/open?id=16fLehssuVd-GMaM2DSjtd_PrXcBpzKOHjOJ7Iin75KU&amp;usp=drive_copy" TargetMode="External"/><Relationship Id="rId2998" Type="http://schemas.openxmlformats.org/officeDocument/2006/relationships/hyperlink" Target="https://docs.google.com/spreadsheets/d/1p7uvTMayYvM8cmBmRBJxovTB13d71VfVTxT69smOT0M" TargetMode="External"/><Relationship Id="rId2858" Type="http://schemas.openxmlformats.org/officeDocument/2006/relationships/hyperlink" Target="https://docs.google.com/spreadsheets/d/1NSKlN1dcSMn3V_13lnTKnPHZB5DyOSJWGOdV4pgZ8m8" TargetMode="External"/><Relationship Id="rId3909" Type="http://schemas.openxmlformats.org/officeDocument/2006/relationships/hyperlink" Target="https://drive.google.com/open?id=1m9EJVnohl8ykmPyQm0Pl1-APfkFQXT33tLPGtmrrR18" TargetMode="External"/><Relationship Id="rId99" Type="http://schemas.openxmlformats.org/officeDocument/2006/relationships/hyperlink" Target="https://docs.google.com/spreadsheets/d/1zkVuN180kFTytWpzM39qPcl6YAl9Q2QmLu9jkwTktyA/edit?usp=sharing" TargetMode="External"/><Relationship Id="rId1667" Type="http://schemas.openxmlformats.org/officeDocument/2006/relationships/hyperlink" Target="https://docs.google.com/open?id=1jhjuq4k1Sat4zS4c9e0ZJ0n-mHfTg_q_M33uzaEHqPQ" TargetMode="External"/><Relationship Id="rId1874" Type="http://schemas.openxmlformats.org/officeDocument/2006/relationships/hyperlink" Target="https://docs.google.com/spreadsheets/d/1JLEnSKhvhMnskThAaSG44hKeH6IbfKN66bdqj9l_0nU" TargetMode="External"/><Relationship Id="rId2718" Type="http://schemas.openxmlformats.org/officeDocument/2006/relationships/hyperlink" Target="https://docs.google.com/spreadsheets/d/1tIXgfS-dcEy6_5BXEfusPr8ZzvcYQTZ4ccKowazlDVY" TargetMode="External"/><Relationship Id="rId2925" Type="http://schemas.openxmlformats.org/officeDocument/2006/relationships/hyperlink" Target="https://drive.google.com/open?id=164xIOjtl2axdo9kr5oxa8oPwHyE6tQgqB0rRsWfm_bE" TargetMode="External"/><Relationship Id="rId1527" Type="http://schemas.openxmlformats.org/officeDocument/2006/relationships/hyperlink" Target="https://docs.google.com/open?id=1Ku6IVJg6JSwAjBFTYmSAvpY8umlQSF_EevugWl3JX64" TargetMode="External"/><Relationship Id="rId1734" Type="http://schemas.openxmlformats.org/officeDocument/2006/relationships/hyperlink" Target="https://docs.google.com/spreadsheets/d/1U_kPG4zCJtc6l-UJpJgBpPUPqFitSrp-l4jVTEIaJ24" TargetMode="External"/><Relationship Id="rId1941" Type="http://schemas.openxmlformats.org/officeDocument/2006/relationships/hyperlink" Target="https://drive.google.com/open?id=1I8C_UgjRaroa0SowO9lxKRWUEKhYffU47MZTZ2LS2Xw" TargetMode="External"/><Relationship Id="rId26" Type="http://schemas.openxmlformats.org/officeDocument/2006/relationships/hyperlink" Target="https://docs.google.com/spreadsheets/d/1DpH6ubmGzpnCXYb7pJSgpt_1FxKAYTUv9FU1EfpMVUY/edit" TargetMode="External"/><Relationship Id="rId3699" Type="http://schemas.openxmlformats.org/officeDocument/2006/relationships/hyperlink" Target="https://docs.google.com/open?id=1Mj88VmwjiSmHE8H5vF_BmqlUKbkSXPhyIef-g04zpMk" TargetMode="External"/><Relationship Id="rId1801" Type="http://schemas.openxmlformats.org/officeDocument/2006/relationships/hyperlink" Target="https://drive.google.com/open?id=13TQ-__xDNE_0oT5PADtUN9vF5tqbAPeOY1xLTELvhe8" TargetMode="External"/><Relationship Id="rId3559" Type="http://schemas.openxmlformats.org/officeDocument/2006/relationships/hyperlink" Target="https://docs.google.com/open?id=1ctiHswOXHo3kzhA152GSX_39DI2sUMqj3xHK9Wqye9M" TargetMode="External"/><Relationship Id="rId687" Type="http://schemas.openxmlformats.org/officeDocument/2006/relationships/hyperlink" Target="https://docs.google.com/open?id=1Jk_5VSZ5FeXMMoESdIy82MTlH0QRHXsUPr3bwQLquuQ" TargetMode="External"/><Relationship Id="rId2368" Type="http://schemas.openxmlformats.org/officeDocument/2006/relationships/hyperlink" Target="https://drive.google.com/open?id=1CNO3FmxgKA-FxJwmkspUa5fYz5eQrg3bHmt3-wYfS2w&amp;usp=drive_copy" TargetMode="External"/><Relationship Id="rId3766" Type="http://schemas.openxmlformats.org/officeDocument/2006/relationships/hyperlink" Target="https://docs.google.com/spreadsheets/d/1_39KRmdaiGIG7rtsK7ZAqFSYeD0enwDKt_RE51wckss" TargetMode="External"/><Relationship Id="rId894" Type="http://schemas.openxmlformats.org/officeDocument/2006/relationships/hyperlink" Target="https://docs.google.com/spreadsheets/d/1Kn2yL1dfiBBlB42c2hoKnGu68Jscz_7oUT4UqjabIUA" TargetMode="External"/><Relationship Id="rId1177" Type="http://schemas.openxmlformats.org/officeDocument/2006/relationships/hyperlink" Target="https://drive.google.com/open?id=1XcYRqb7tFKMVwHMSlyWM_wXEQF0eDaSgcTGxvXqGMi4" TargetMode="External"/><Relationship Id="rId2575" Type="http://schemas.openxmlformats.org/officeDocument/2006/relationships/hyperlink" Target="https://docs.google.com/open?id=1qLY0KcjOX7FusoNyiFZK5bq0p_3x_Id1dbASVWLawMY" TargetMode="External"/><Relationship Id="rId2782" Type="http://schemas.openxmlformats.org/officeDocument/2006/relationships/hyperlink" Target="https://docs.google.com/spreadsheets/d/1HLBRY_1Lkamd5VGg5i5rIfoNxlv4N5eZyCauIpJV7UY" TargetMode="External"/><Relationship Id="rId3419" Type="http://schemas.openxmlformats.org/officeDocument/2006/relationships/hyperlink" Target="https://docs.google.com/open?id=1v0B78fGKszZ0MIaj-OsnW-lOHAaOl0XbwGzHp5U5K90" TargetMode="External"/><Relationship Id="rId3626" Type="http://schemas.openxmlformats.org/officeDocument/2006/relationships/hyperlink" Target="https://docs.google.com/spreadsheets/d/1VhOX0eYYn9UW6tI66ExqgnezmRHghm1suLHL-YT9a34" TargetMode="External"/><Relationship Id="rId3833" Type="http://schemas.openxmlformats.org/officeDocument/2006/relationships/hyperlink" Target="https://drive.google.com/open?id=1yzpnK1mpmqmhTIzyD-WVvBmb8nnxvXjeEOIWehuHWlI" TargetMode="External"/><Relationship Id="rId547" Type="http://schemas.openxmlformats.org/officeDocument/2006/relationships/hyperlink" Target="https://docs.google.com/open?id=1PFDpdbRVgz9VZlbHvv8WiY0UgO0HMj0hu7D7L2XJeho" TargetMode="External"/><Relationship Id="rId754" Type="http://schemas.openxmlformats.org/officeDocument/2006/relationships/hyperlink" Target="https://docs.google.com/spreadsheets/d/1aPbxKEwoWAW89NUoyt5Dcy_08-96FShFe6vtAsXZh2o" TargetMode="External"/><Relationship Id="rId961" Type="http://schemas.openxmlformats.org/officeDocument/2006/relationships/hyperlink" Target="https://drive.google.com/open?id=1G9ZO3Ij_Px1N41zViF2lPSFfVn8iHHuSPCtMPo86bH4" TargetMode="External"/><Relationship Id="rId1384" Type="http://schemas.openxmlformats.org/officeDocument/2006/relationships/hyperlink" Target="https://drive.google.com/open?id=1xkC4xgU4cTSK2tdI9qeWL40RdsVwQTpd1Ve1jirfPEI&amp;usp=drive_copy" TargetMode="External"/><Relationship Id="rId1591" Type="http://schemas.openxmlformats.org/officeDocument/2006/relationships/hyperlink" Target="https://docs.google.com/open?id=19vVI5odV63jHeaePT5HXI1chuVaH2t1gY7FP0jymLw4" TargetMode="External"/><Relationship Id="rId2228" Type="http://schemas.openxmlformats.org/officeDocument/2006/relationships/hyperlink" Target="https://drive.google.com/open?id=1NPdAmiUllW4QQdU323H-amB3GiuTrLbw65BFi1EUbw8&amp;usp=drive_copy" TargetMode="External"/><Relationship Id="rId2435" Type="http://schemas.openxmlformats.org/officeDocument/2006/relationships/hyperlink" Target="https://docs.google.com/open?id=1X0c9rOIN3Ezxk5U_OM91vIdv2oTMZeLSywZ0MFV1WDA" TargetMode="External"/><Relationship Id="rId2642" Type="http://schemas.openxmlformats.org/officeDocument/2006/relationships/hyperlink" Target="https://docs.google.com/spreadsheets/d/15cU8phFe_v0WfxgLXoIIL-nMuKNfBi50Fu-YZUp_p1U" TargetMode="External"/><Relationship Id="rId3900" Type="http://schemas.openxmlformats.org/officeDocument/2006/relationships/hyperlink" Target="https://drive.google.com/open?id=16wByBKkq54MlVMp5UkjlFbElc_thB7GBJgwUFmV5emU&amp;usp=drive_copy" TargetMode="External"/><Relationship Id="rId90" Type="http://schemas.openxmlformats.org/officeDocument/2006/relationships/hyperlink" Target="https://docs.google.com/spreadsheets/d/1y8AS5XKvxtXucY3AFGBDvwPXdq8qKawtD3LgpnrvmQU/edit" TargetMode="External"/><Relationship Id="rId407" Type="http://schemas.openxmlformats.org/officeDocument/2006/relationships/hyperlink" Target="https://docs.google.com/open?id=1J0DAmpEaH89_h2SBfiNxboUl8qE5ivgl7Qfoj9UAAc4" TargetMode="External"/><Relationship Id="rId614" Type="http://schemas.openxmlformats.org/officeDocument/2006/relationships/hyperlink" Target="https://docs.google.com/spreadsheets/d/14GktVkRn0hcgPE5YqXFMiYhXUeLQl4jqYJtvFgF6hTU" TargetMode="External"/><Relationship Id="rId821" Type="http://schemas.openxmlformats.org/officeDocument/2006/relationships/hyperlink" Target="https://drive.google.com/open?id=1mAI-2AuoIc-cvrKTWlOtSH-Vn_l2p76CjdS5TDlayT8" TargetMode="External"/><Relationship Id="rId1037" Type="http://schemas.openxmlformats.org/officeDocument/2006/relationships/hyperlink" Target="https://drive.google.com/open?id=10-e6i2Y1dJz7V0Ow6RYSOPsODg2DKNOiq-4_fCDRCow" TargetMode="External"/><Relationship Id="rId1244" Type="http://schemas.openxmlformats.org/officeDocument/2006/relationships/hyperlink" Target="https://drive.google.com/open?id=1bTgNRyK39vkJ-4fk7f-e3fMLf-cXto449tmsgw762aE&amp;usp=drive_copy" TargetMode="External"/><Relationship Id="rId1451" Type="http://schemas.openxmlformats.org/officeDocument/2006/relationships/hyperlink" Target="https://docs.google.com/open?id=14suCEkalgPVp2-MAHj2vV-P0IBZtDcItU-DnKDgR5RQ" TargetMode="External"/><Relationship Id="rId2502" Type="http://schemas.openxmlformats.org/officeDocument/2006/relationships/hyperlink" Target="https://docs.google.com/spreadsheets/d/1zNTlPO-P72XhQpDpk2tL1wsxpPrfBm_WxVsuKUD-yYU" TargetMode="External"/><Relationship Id="rId1104" Type="http://schemas.openxmlformats.org/officeDocument/2006/relationships/hyperlink" Target="https://drive.google.com/open?id=1DI6KzFnPokmWGqcgy68XWI0vr-ytPKUTrVh8p7T3T8k&amp;usp=drive_copy" TargetMode="External"/><Relationship Id="rId1311" Type="http://schemas.openxmlformats.org/officeDocument/2006/relationships/hyperlink" Target="https://docs.google.com/open?id=1KoqX765PQvMj11X18mMNM4VPmmrkK8EJcvExQ1GZYrM" TargetMode="External"/><Relationship Id="rId3069" Type="http://schemas.openxmlformats.org/officeDocument/2006/relationships/hyperlink" Target="https://drive.google.com/open?id=18PhNjCiYdveRUTmJqMlyM83BT8Ht9DlHAt7y4yZMHHQ" TargetMode="External"/><Relationship Id="rId3276" Type="http://schemas.openxmlformats.org/officeDocument/2006/relationships/hyperlink" Target="https://drive.google.com/open?id=17MjiVkq4-IqFDqhagMXOFs7HEgZc8AUeRGcXk72DUN8&amp;usp=drive_copy" TargetMode="External"/><Relationship Id="rId3483" Type="http://schemas.openxmlformats.org/officeDocument/2006/relationships/hyperlink" Target="https://docs.google.com/open?id=1hwkAUAByOT0oYcNjrPJFJL25inXb2j0PllUvrBO5hvQ" TargetMode="External"/><Relationship Id="rId3690" Type="http://schemas.openxmlformats.org/officeDocument/2006/relationships/hyperlink" Target="https://docs.google.com/spreadsheets/d/1Bq43Mn1CskIWPWHSVZzU_8PM_ZaluHA5dYV635n1lwA" TargetMode="External"/><Relationship Id="rId197" Type="http://schemas.openxmlformats.org/officeDocument/2006/relationships/hyperlink" Target="https://docs.google.com/spreadsheets/d/1iamB5AEKX-uFeL_eQkPQFvZQo32l5qdvQo6UhMAbPLs/edit?usp=sharing" TargetMode="External"/><Relationship Id="rId2085" Type="http://schemas.openxmlformats.org/officeDocument/2006/relationships/hyperlink" Target="https://drive.google.com/open?id=1OkOJ9-fcwAxIY0UiNGHafkZR6crApqZVOZT7fs3rOh8" TargetMode="External"/><Relationship Id="rId2292" Type="http://schemas.openxmlformats.org/officeDocument/2006/relationships/hyperlink" Target="https://drive.google.com/open?id=1eO-UXrCKF-KBpFJO6zIqf2VSS2FhG7PEzzz0H3z4uk8&amp;usp=drive_copy" TargetMode="External"/><Relationship Id="rId3136" Type="http://schemas.openxmlformats.org/officeDocument/2006/relationships/hyperlink" Target="https://drive.google.com/open?id=1R_kmgKHjC5dirWb3nEeOWZoW0lwdB2FKTN4qk-UUArg&amp;usp=drive_copy" TargetMode="External"/><Relationship Id="rId3343" Type="http://schemas.openxmlformats.org/officeDocument/2006/relationships/hyperlink" Target="https://docs.google.com/open?id=1NN1Kv0MfkYlHQUur9jCYPZ5bjPeTbmp8ZoqC6VmnXao" TargetMode="External"/><Relationship Id="rId264" Type="http://schemas.openxmlformats.org/officeDocument/2006/relationships/hyperlink" Target="https://drive.google.com/open?id=1hEZozbbt04pi8zcWWtApBLkiKCwsFW7GZPrEICLjDvs&amp;usp=drive_copy" TargetMode="External"/><Relationship Id="rId471" Type="http://schemas.openxmlformats.org/officeDocument/2006/relationships/hyperlink" Target="https://docs.google.com/open?id=1rmyKhBbN1Af6kfYBIrOuy2lf0HNARvUX1rj6V5C8IXc" TargetMode="External"/><Relationship Id="rId2152" Type="http://schemas.openxmlformats.org/officeDocument/2006/relationships/hyperlink" Target="https://drive.google.com/open?id=1C_4Dx2yWp5F-kWIdkAmd4xPLMP1r_axfG0EQDBFEN_4&amp;usp=drive_copy" TargetMode="External"/><Relationship Id="rId3550" Type="http://schemas.openxmlformats.org/officeDocument/2006/relationships/hyperlink" Target="https://docs.google.com/spreadsheets/d/1VXp94l-Nfkc0ZTjAuTbJndmx2OXlJ54HqPujmj9PHec" TargetMode="External"/><Relationship Id="rId124" Type="http://schemas.openxmlformats.org/officeDocument/2006/relationships/hyperlink" Target="https://docs.google.com/spreadsheets/d/1NhTToGQ9cAKjYeEJfPeDGcsNE56h6SJh3yY5KqJsgxQ/edit" TargetMode="External"/><Relationship Id="rId3203" Type="http://schemas.openxmlformats.org/officeDocument/2006/relationships/hyperlink" Target="https://docs.google.com/open?id=1nBVPq7ay0513lbZ-WpWkih-to-LE1aXP6d8jXDeovKY" TargetMode="External"/><Relationship Id="rId3410" Type="http://schemas.openxmlformats.org/officeDocument/2006/relationships/hyperlink" Target="https://docs.google.com/spreadsheets/d/1rcN_QM9ff91-_lRk_nMKAGVj3BuhRP0rKJHmf6BMUDI" TargetMode="External"/><Relationship Id="rId331" Type="http://schemas.openxmlformats.org/officeDocument/2006/relationships/hyperlink" Target="https://docs.google.com/open?id=160mwCVwARWMQQn4nKh_XybjFtd9XBFLnLPGaCl9zHqA" TargetMode="External"/><Relationship Id="rId2012" Type="http://schemas.openxmlformats.org/officeDocument/2006/relationships/hyperlink" Target="https://drive.google.com/open?id=1qz-QanfNnKYCuEUwecPOPU4pSGBcW0ts_uhGZXtaLs8&amp;usp=drive_copy" TargetMode="External"/><Relationship Id="rId2969" Type="http://schemas.openxmlformats.org/officeDocument/2006/relationships/hyperlink" Target="https://drive.google.com/open?id=1ZRu0cDPG3ZnOcMxstsnvp__GyPvKCgHY_Kw1yEDb1_k" TargetMode="External"/><Relationship Id="rId1778" Type="http://schemas.openxmlformats.org/officeDocument/2006/relationships/hyperlink" Target="https://docs.google.com/spreadsheets/d/1O-egH88Iib6M9rZre7M_JfG2fbOwBPlkGCSlQhpfDzg" TargetMode="External"/><Relationship Id="rId1985" Type="http://schemas.openxmlformats.org/officeDocument/2006/relationships/hyperlink" Target="https://drive.google.com/open?id=1BU0UUT5RNqv4BJFlEX9VuiIHltXkcSj7Uea1cuR_7ow" TargetMode="External"/><Relationship Id="rId2829" Type="http://schemas.openxmlformats.org/officeDocument/2006/relationships/hyperlink" Target="https://drive.google.com/open?id=1dfJqbnJ3FAMnAfoaYsjD7bVPLGUp8eWkE3ceFLs1YkI" TargetMode="External"/><Relationship Id="rId1638" Type="http://schemas.openxmlformats.org/officeDocument/2006/relationships/hyperlink" Target="https://docs.google.com/spreadsheets/d/1OKYNgBw1sRj1poxBM34onfhiZ9PZQdw3aYlmjHg2wx4" TargetMode="External"/><Relationship Id="rId1845" Type="http://schemas.openxmlformats.org/officeDocument/2006/relationships/hyperlink" Target="https://drive.google.com/open?id=1H8A-sD_iZi5l3sdtxU0rmjoRdba5SgzQTJTB4ETGzd8" TargetMode="External"/><Relationship Id="rId3060" Type="http://schemas.openxmlformats.org/officeDocument/2006/relationships/hyperlink" Target="https://drive.google.com/open?id=14P8BxsnIp5GPkBBcP9ANehw2qkofm97ZOqcXgzCog5s&amp;usp=drive_copy" TargetMode="External"/><Relationship Id="rId1705" Type="http://schemas.openxmlformats.org/officeDocument/2006/relationships/hyperlink" Target="https://drive.google.com/open?id=1_NdIlA4_n_OgVCgBdztvn3Euv3Z8u8jQ61ocPZMYtkI" TargetMode="External"/><Relationship Id="rId1912" Type="http://schemas.openxmlformats.org/officeDocument/2006/relationships/hyperlink" Target="https://drive.google.com/open?id=19OXvvJG73L7zFakAj-D78OPeowZrM1dVOLUKMWse13M&amp;usp=drive_copy" TargetMode="External"/><Relationship Id="rId3877" Type="http://schemas.openxmlformats.org/officeDocument/2006/relationships/hyperlink" Target="https://drive.google.com/open?id=1VEK6lO97nwgpRksBKriuYQTICvxPgONd5ViVz6GtCvU" TargetMode="External"/><Relationship Id="rId798" Type="http://schemas.openxmlformats.org/officeDocument/2006/relationships/hyperlink" Target="https://docs.google.com/spreadsheets/d/1r_4E1DJQBY0hYJ68f6K1LUruIPwYfjcgQ_f9QvwFH5c" TargetMode="External"/><Relationship Id="rId2479" Type="http://schemas.openxmlformats.org/officeDocument/2006/relationships/hyperlink" Target="https://docs.google.com/open?id=1C4qLmFbzdCUDhoZs1AxGfn3RXqtL1vs1dPHz29tN85A" TargetMode="External"/><Relationship Id="rId2686" Type="http://schemas.openxmlformats.org/officeDocument/2006/relationships/hyperlink" Target="https://docs.google.com/spreadsheets/d/1GtMyGXZYhTZmt73tEue0FyKbQlpdxCgwlC3BHP5StoU" TargetMode="External"/><Relationship Id="rId2893" Type="http://schemas.openxmlformats.org/officeDocument/2006/relationships/hyperlink" Target="https://drive.google.com/open?id=1TnXziYPJSvf4zwM9FILC3S53fmJhIXI-pPKwCaB-Seg" TargetMode="External"/><Relationship Id="rId3737" Type="http://schemas.openxmlformats.org/officeDocument/2006/relationships/hyperlink" Target="https://drive.google.com/open?id=1_WtIIkGQDdKqwcFGDGeWAtD4cjTivdYvwKFjZk1obHA" TargetMode="External"/><Relationship Id="rId3944" Type="http://schemas.openxmlformats.org/officeDocument/2006/relationships/hyperlink" Target="https://drive.google.com/open?id=1osIE4GcDxk6_15hdNrHtYNNdIHD9MeFX8rABG_0MUlg&amp;usp=drive_copy" TargetMode="External"/><Relationship Id="rId658" Type="http://schemas.openxmlformats.org/officeDocument/2006/relationships/hyperlink" Target="https://docs.google.com/spreadsheets/d/1EjeRz5LjopaQ45gFnAY5NQCQpWc4QFs5vhI2fhhU_cA" TargetMode="External"/><Relationship Id="rId865" Type="http://schemas.openxmlformats.org/officeDocument/2006/relationships/hyperlink" Target="https://drive.google.com/open?id=1xoX4UWs_XJGjXdp-g9umMOGSZ3HZB4e9xmBRpmq07ik" TargetMode="External"/><Relationship Id="rId1288" Type="http://schemas.openxmlformats.org/officeDocument/2006/relationships/hyperlink" Target="https://drive.google.com/open?id=1O0M1GF9FrEXr-6GoeB3fHoQbQ_QU62b75nZ_eZovKBM&amp;usp=drive_copy" TargetMode="External"/><Relationship Id="rId1495" Type="http://schemas.openxmlformats.org/officeDocument/2006/relationships/hyperlink" Target="https://docs.google.com/open?id=1DCuZVQKauRTcA4dptxnDsgbbW76ZTGTU8xmjQO61cwI" TargetMode="External"/><Relationship Id="rId2339" Type="http://schemas.openxmlformats.org/officeDocument/2006/relationships/hyperlink" Target="https://docs.google.com/open?id=18u4QNBSKaftLb7YCpVYjGjn_Vn_8GY-HN-gq9j9oNcU" TargetMode="External"/><Relationship Id="rId2546" Type="http://schemas.openxmlformats.org/officeDocument/2006/relationships/hyperlink" Target="https://docs.google.com/spreadsheets/d/1j-raWHTDg7bIkhIrOWNc1kkM9Fs7t5o3DO5-62nSJVM" TargetMode="External"/><Relationship Id="rId2753" Type="http://schemas.openxmlformats.org/officeDocument/2006/relationships/hyperlink" Target="https://drive.google.com/open?id=1dFYKnraWoB3WZ4MP41EP4ghyuPLXWsObUHIR97NukCk" TargetMode="External"/><Relationship Id="rId2960" Type="http://schemas.openxmlformats.org/officeDocument/2006/relationships/hyperlink" Target="https://drive.google.com/open?id=1Q7yOGnlcdHOfhi2u-d7NAPhNn4lEPtu8ki0kQw_Ayus&amp;usp=drive_copy" TargetMode="External"/><Relationship Id="rId3804" Type="http://schemas.openxmlformats.org/officeDocument/2006/relationships/hyperlink" Target="https://drive.google.com/open?id=1dqJTwOHJYL_xbryi9hkDlRUtEz4fuB8nYqhqvT77a1A&amp;usp=drive_copy" TargetMode="External"/><Relationship Id="rId518" Type="http://schemas.openxmlformats.org/officeDocument/2006/relationships/hyperlink" Target="https://docs.google.com/spreadsheets/d/1mTnATP6SNd_2SY_eHs-Bqbc6X5cLrzmtKhuS0qCmXzc" TargetMode="External"/><Relationship Id="rId725" Type="http://schemas.openxmlformats.org/officeDocument/2006/relationships/hyperlink" Target="https://drive.google.com/open?id=1XBeelw9ucV4ytdCXxFLAtKpPLOvWqSDpL9PSFdCQDYA" TargetMode="External"/><Relationship Id="rId932" Type="http://schemas.openxmlformats.org/officeDocument/2006/relationships/hyperlink" Target="https://drive.google.com/open?id=1GqkYkQuEJEjU5J0ZRInGet7apy2Crxxg2bkyABnVSs0&amp;usp=drive_copy" TargetMode="External"/><Relationship Id="rId1148" Type="http://schemas.openxmlformats.org/officeDocument/2006/relationships/hyperlink" Target="https://drive.google.com/open?id=1TkzLHbzxcPVx537kBW55zEu46XLYU1_bQM6apZhoGo0&amp;usp=drive_copy" TargetMode="External"/><Relationship Id="rId1355" Type="http://schemas.openxmlformats.org/officeDocument/2006/relationships/hyperlink" Target="https://docs.google.com/open?id=1I1UhfpkW-m-1Bd3aBTNW7KA6LO60WjaHn23KnBRDhj4" TargetMode="External"/><Relationship Id="rId1562" Type="http://schemas.openxmlformats.org/officeDocument/2006/relationships/hyperlink" Target="https://docs.google.com/spreadsheets/d/1lgnXlgMkjjvSwG3rWgPLOQf-vw9nTsUWYbLbN0aE23Y" TargetMode="External"/><Relationship Id="rId2406" Type="http://schemas.openxmlformats.org/officeDocument/2006/relationships/hyperlink" Target="https://docs.google.com/spreadsheets/d/18J-rPDBiPB6u-Rflumq7gBbzeQv6WylE_Hpoa7dVz04" TargetMode="External"/><Relationship Id="rId2613" Type="http://schemas.openxmlformats.org/officeDocument/2006/relationships/hyperlink" Target="https://drive.google.com/open?id=1yvD9HB4uTA5FRBLn7oY7nGWyfIL40vf_kazLPp3z5VY" TargetMode="External"/><Relationship Id="rId1008" Type="http://schemas.openxmlformats.org/officeDocument/2006/relationships/hyperlink" Target="https://drive.google.com/open?id=1ebORm7--zDvIm4NamzjuPjOtUBAx5tZHACLcjK5Mq_c&amp;usp=drive_copy" TargetMode="External"/><Relationship Id="rId1215" Type="http://schemas.openxmlformats.org/officeDocument/2006/relationships/hyperlink" Target="https://docs.google.com/open?id=1c1kWZJ6TJz2qnu7YAzZ4WQdqgEDxu959vzQkAKsOzBI" TargetMode="External"/><Relationship Id="rId1422" Type="http://schemas.openxmlformats.org/officeDocument/2006/relationships/hyperlink" Target="https://docs.google.com/spreadsheets/d/1XJHv7jdPLbc1XBDOi1nsvUH78PfcxrQOIpN8ZMCEnzs" TargetMode="External"/><Relationship Id="rId2820" Type="http://schemas.openxmlformats.org/officeDocument/2006/relationships/hyperlink" Target="https://drive.google.com/open?id=1JhCbbPaj6nNSi2eaVB4InnD5fX6_dRTCR5p9B1HiIDg&amp;usp=drive_copy" TargetMode="External"/><Relationship Id="rId61" Type="http://schemas.openxmlformats.org/officeDocument/2006/relationships/hyperlink" Target="https://docs.google.com/spreadsheets/d/1HEixhZxIwIxcBQePyjNKswMkRCl5OIEnSOtLiwIC68Y/edit?usp=sharing" TargetMode="External"/><Relationship Id="rId3387" Type="http://schemas.openxmlformats.org/officeDocument/2006/relationships/hyperlink" Target="https://docs.google.com/open?id=1csVtVocDwYktqQHT0X6msdnFWO0-LIeo5Pvful2mYe0" TargetMode="External"/><Relationship Id="rId2196" Type="http://schemas.openxmlformats.org/officeDocument/2006/relationships/hyperlink" Target="https://drive.google.com/open?id=1tsIodRSz24w_PZMtOuk1zD2qSUpuAIJOMNZBmszMLGI&amp;usp=drive_copy" TargetMode="External"/><Relationship Id="rId3594" Type="http://schemas.openxmlformats.org/officeDocument/2006/relationships/hyperlink" Target="https://docs.google.com/spreadsheets/d/1_mOIsl6Kzf2oblCtDdNkPF7l8gP9vmBlkEQKsWrz1KM" TargetMode="External"/><Relationship Id="rId168" Type="http://schemas.openxmlformats.org/officeDocument/2006/relationships/hyperlink" Target="https://docs.google.com/spreadsheets/d/1gEsEloOajdnAFVwhC1vaDfUSaQloLZZ5NQSG72no0a8/edit" TargetMode="External"/><Relationship Id="rId3247" Type="http://schemas.openxmlformats.org/officeDocument/2006/relationships/hyperlink" Target="https://docs.google.com/open?id=11TI1BDEzXRacvim_OptN4swWA3caAZIuUCXrMABeO7I" TargetMode="External"/><Relationship Id="rId3454" Type="http://schemas.openxmlformats.org/officeDocument/2006/relationships/hyperlink" Target="https://docs.google.com/spreadsheets/d/1J4_dGJ0Evjsn88mrszCUSfHjg7Sv7ek2a9AdeLZNGcs" TargetMode="External"/><Relationship Id="rId3661" Type="http://schemas.openxmlformats.org/officeDocument/2006/relationships/hyperlink" Target="https://drive.google.com/open?id=1NPZRYGR4l9E_qQ95k7xwCdIB74YsO5sMjAxdN6bZPkY" TargetMode="External"/><Relationship Id="rId375" Type="http://schemas.openxmlformats.org/officeDocument/2006/relationships/hyperlink" Target="https://docs.google.com/open?id=1C24n51dUAghWME3sjbKXDpU4l0jWyuZ8jJHxjN3_HL0" TargetMode="External"/><Relationship Id="rId582" Type="http://schemas.openxmlformats.org/officeDocument/2006/relationships/hyperlink" Target="https://docs.google.com/spreadsheets/d/1oxvmIEAZSSpHSnqlebeMmpTXTl0exGkduKLiQzbjp00" TargetMode="External"/><Relationship Id="rId2056" Type="http://schemas.openxmlformats.org/officeDocument/2006/relationships/hyperlink" Target="https://drive.google.com/open?id=10mbr-0vwM8kYmIfhGJyI31hWVUgazf863FXyTN0cu2A&amp;usp=drive_copy" TargetMode="External"/><Relationship Id="rId2263" Type="http://schemas.openxmlformats.org/officeDocument/2006/relationships/hyperlink" Target="https://docs.google.com/open?id=1n91_dZnAo6ulbP_WgpTe6DReCHsOLKzA0OoBXB3rE7E" TargetMode="External"/><Relationship Id="rId2470" Type="http://schemas.openxmlformats.org/officeDocument/2006/relationships/hyperlink" Target="https://docs.google.com/spreadsheets/d/1qzO6X1tKDTsOXKHHXgAWY0BThScdUBj-kN8SBlmt1kY" TargetMode="External"/><Relationship Id="rId3107" Type="http://schemas.openxmlformats.org/officeDocument/2006/relationships/hyperlink" Target="https://docs.google.com/open?id=1EWIatL9Gr0INVKf3Rfp92LzAebemE5P8CXHdt_LomZQ" TargetMode="External"/><Relationship Id="rId3314" Type="http://schemas.openxmlformats.org/officeDocument/2006/relationships/hyperlink" Target="https://docs.google.com/spreadsheets/d/1DreTUPvjfwZfdMHJ0RV1WXRdDItjSBuo1SnpO1WX0Bg" TargetMode="External"/><Relationship Id="rId3521" Type="http://schemas.openxmlformats.org/officeDocument/2006/relationships/hyperlink" Target="https://drive.google.com/open?id=1QI46iaT6QLn_FWY_QD7lgI6VdaqHfQWt1vFQMPzzr7Q" TargetMode="External"/><Relationship Id="rId235" Type="http://schemas.openxmlformats.org/officeDocument/2006/relationships/hyperlink" Target="https://docs.google.com/open?id=1H_gw3ELahMZC8ASucf06ahSp52mLRSeuzs9WqLHuA2U" TargetMode="External"/><Relationship Id="rId442" Type="http://schemas.openxmlformats.org/officeDocument/2006/relationships/hyperlink" Target="https://docs.google.com/spreadsheets/d/1gjPzMk6r1lk_rGfRozFpEda6K5epzOqzLFAaYER5X3w" TargetMode="External"/><Relationship Id="rId1072" Type="http://schemas.openxmlformats.org/officeDocument/2006/relationships/hyperlink" Target="https://drive.google.com/open?id=1BRXpynHU4hwj1t-FIBojMXbyvBVKSj0DiATGFbOTeS4&amp;usp=drive_copy" TargetMode="External"/><Relationship Id="rId2123" Type="http://schemas.openxmlformats.org/officeDocument/2006/relationships/hyperlink" Target="https://docs.google.com/open?id=1jX14CpXtesjpB5tgFjcb3mrSIbWULZ-AotF87YvuNsY" TargetMode="External"/><Relationship Id="rId2330" Type="http://schemas.openxmlformats.org/officeDocument/2006/relationships/hyperlink" Target="https://docs.google.com/spreadsheets/d/1Ow6tt7GgsGzVDcxAbmTaGwFSVWBWdbuF0NCB0Fa9u_I" TargetMode="External"/><Relationship Id="rId302" Type="http://schemas.openxmlformats.org/officeDocument/2006/relationships/hyperlink" Target="https://docs.google.com/spreadsheets/d/1zuVHOafl08m2jZNZHiCWOmEPOxq6cwD9akQ1PkR1dEQ" TargetMode="External"/><Relationship Id="rId1889" Type="http://schemas.openxmlformats.org/officeDocument/2006/relationships/hyperlink" Target="https://drive.google.com/open?id=1SqgA_qKPTb2Ya7FcLr7_YCziGfCkP7ORR8cs2R3mvyM" TargetMode="External"/><Relationship Id="rId1749" Type="http://schemas.openxmlformats.org/officeDocument/2006/relationships/hyperlink" Target="https://drive.google.com/open?id=1iQSjjeoJohWWzyXysRFJ8BNRzz1HhY8KY0Eh-5wBr1Y" TargetMode="External"/><Relationship Id="rId1956" Type="http://schemas.openxmlformats.org/officeDocument/2006/relationships/hyperlink" Target="https://drive.google.com/open?id=1zqWk2RzD3ZISP5pEqRHV_UOKPxgiq3K2008z6ObDq-o&amp;usp=drive_copy" TargetMode="External"/><Relationship Id="rId3171" Type="http://schemas.openxmlformats.org/officeDocument/2006/relationships/hyperlink" Target="https://docs.google.com/open?id=1gGRTR4Lur6u0_zRESzBU7KW1TPl4P5Iv880bTU8SJBs" TargetMode="External"/><Relationship Id="rId1609" Type="http://schemas.openxmlformats.org/officeDocument/2006/relationships/hyperlink" Target="https://drive.google.com/open?id=1aD6_JGEkVhdmoMpdF2lFkFtTC-iSiRta5fudcOvvcc4" TargetMode="External"/><Relationship Id="rId1816" Type="http://schemas.openxmlformats.org/officeDocument/2006/relationships/hyperlink" Target="https://drive.google.com/open?id=1AlCJEWk90gOYN_FH1lIm3DFOtuZWqHqrk9efEBmlnME&amp;usp=drive_copy" TargetMode="External"/><Relationship Id="rId3031" Type="http://schemas.openxmlformats.org/officeDocument/2006/relationships/hyperlink" Target="https://docs.google.com/open?id=1-jrdE8cRZvI5Rfz7BI0il0R2v8zjsUJ4FcGlq3IJDbU" TargetMode="External"/><Relationship Id="rId2797" Type="http://schemas.openxmlformats.org/officeDocument/2006/relationships/hyperlink" Target="https://drive.google.com/open?id=1CmuAZGYYfPT-pN3Q5YamQd_O0eWSCmuNl-kHlIwnRRM" TargetMode="External"/><Relationship Id="rId3848" Type="http://schemas.openxmlformats.org/officeDocument/2006/relationships/hyperlink" Target="https://drive.google.com/open?id=14-ELN3Sjstb2CkWNCRw-Esf0MIX4Psi8NCb19ohiuaA&amp;usp=drive_copy" TargetMode="External"/><Relationship Id="rId769" Type="http://schemas.openxmlformats.org/officeDocument/2006/relationships/hyperlink" Target="https://drive.google.com/open?id=1eQfRi8k0tisrHhZXh7t6BKiuIbxVlL4ZebSu_6o7okk" TargetMode="External"/><Relationship Id="rId976" Type="http://schemas.openxmlformats.org/officeDocument/2006/relationships/hyperlink" Target="https://drive.google.com/open?id=1ZmpHtiGG6GHbJ3t4f7m6mVz6YP-37MXVLkmgSzjbKqg&amp;usp=drive_copy" TargetMode="External"/><Relationship Id="rId1399" Type="http://schemas.openxmlformats.org/officeDocument/2006/relationships/hyperlink" Target="https://docs.google.com/open?id=1ys5ZaRCPKm6HywLUjjjNnUBNtGBYBbvxhUHvFQ4qtXk" TargetMode="External"/><Relationship Id="rId2657" Type="http://schemas.openxmlformats.org/officeDocument/2006/relationships/hyperlink" Target="https://drive.google.com/open?id=1AWiq3H99nx8mHFS_NrvOVOBlS_CdwfE0EdXzlQIkc2M" TargetMode="External"/><Relationship Id="rId629" Type="http://schemas.openxmlformats.org/officeDocument/2006/relationships/hyperlink" Target="https://drive.google.com/open?id=1jgQE3cruaVJyDwE5DjyrsE7tSbUIH7_1zQUIewmDbZE" TargetMode="External"/><Relationship Id="rId1259" Type="http://schemas.openxmlformats.org/officeDocument/2006/relationships/hyperlink" Target="https://docs.google.com/open?id=1cdSuyr-d86iL9kuHtngP0w4g8vgwBdMm9IB2dOWP-_8" TargetMode="External"/><Relationship Id="rId1466" Type="http://schemas.openxmlformats.org/officeDocument/2006/relationships/hyperlink" Target="https://docs.google.com/spreadsheets/d/1wAOwX8JShRYK_TrAzJtVGPmWa5FvO7On8DSPnC018XQ" TargetMode="External"/><Relationship Id="rId2864" Type="http://schemas.openxmlformats.org/officeDocument/2006/relationships/hyperlink" Target="https://drive.google.com/open?id=18MREpkqj7gVpqlVVe-iK76z3Qxj6yF_oKO7AfG2qXT0&amp;usp=drive_copy" TargetMode="External"/><Relationship Id="rId3708" Type="http://schemas.openxmlformats.org/officeDocument/2006/relationships/hyperlink" Target="https://drive.google.com/open?id=1y9Lgqg477ZAdlL1jQZOz5i-QPCgso97UZOvDZhm0aMg&amp;usp=drive_copy" TargetMode="External"/><Relationship Id="rId3915" Type="http://schemas.openxmlformats.org/officeDocument/2006/relationships/hyperlink" Target="https://docs.google.com/open?id=1-NeEg7nf50XdGCSRBd2N1t-YTNjzk_8fBvgLsdFhFGU" TargetMode="External"/><Relationship Id="rId836" Type="http://schemas.openxmlformats.org/officeDocument/2006/relationships/hyperlink" Target="https://drive.google.com/open?id=1i_viCa1Ma0EfowXBQb0bgeYJxBglSuNcIB3Xq1pEsi0&amp;usp=drive_copy" TargetMode="External"/><Relationship Id="rId1119" Type="http://schemas.openxmlformats.org/officeDocument/2006/relationships/hyperlink" Target="https://docs.google.com/open?id=1I89-ivqqBLTbJ4zIJKYkwfz4sAqagth-EtFVNowz0PU" TargetMode="External"/><Relationship Id="rId1673" Type="http://schemas.openxmlformats.org/officeDocument/2006/relationships/hyperlink" Target="https://drive.google.com/open?id=1textdPLKRNVtJANbhHPgxAt4NsrEeA1Z1tf6lyoCQeg" TargetMode="External"/><Relationship Id="rId1880" Type="http://schemas.openxmlformats.org/officeDocument/2006/relationships/hyperlink" Target="https://drive.google.com/open?id=12aMFFPFGxnyKOAy28b8Yfg7kyBhhJJtpTDSjgPmE6wg&amp;usp=drive_copy" TargetMode="External"/><Relationship Id="rId2517" Type="http://schemas.openxmlformats.org/officeDocument/2006/relationships/hyperlink" Target="https://drive.google.com/open?id=165Su4-_ydhwK1-zm5fOKBdNpo6Mdcbt448UPuHUT4AI" TargetMode="External"/><Relationship Id="rId2724" Type="http://schemas.openxmlformats.org/officeDocument/2006/relationships/hyperlink" Target="https://drive.google.com/open?id=1sQstdyTWoH9wZivh1drMuerG_YTxIyrVkChnfl98yJA&amp;usp=drive_copy" TargetMode="External"/><Relationship Id="rId2931" Type="http://schemas.openxmlformats.org/officeDocument/2006/relationships/hyperlink" Target="https://docs.google.com/open?id=16nOwJNZjj6axyzK5H8fPKZBhBLLYM3Q3bv2UD5YpI_U" TargetMode="External"/><Relationship Id="rId903" Type="http://schemas.openxmlformats.org/officeDocument/2006/relationships/hyperlink" Target="https://docs.google.com/open?id=1RZOcSjoSzOkP5YnNlLJv7nXNCo8hhzPRnwl65dW2FXs" TargetMode="External"/><Relationship Id="rId1326" Type="http://schemas.openxmlformats.org/officeDocument/2006/relationships/hyperlink" Target="https://docs.google.com/spreadsheets/d/1spbhJ9leRouDPHc59-QsvOpVu0HZJG_vS4I20yhg3DA" TargetMode="External"/><Relationship Id="rId1533" Type="http://schemas.openxmlformats.org/officeDocument/2006/relationships/hyperlink" Target="https://drive.google.com/open?id=17Hq_5Fw1w9Vr5cydTPRPetk4gtdrKm7o5PNIqOGk8ks" TargetMode="External"/><Relationship Id="rId1740" Type="http://schemas.openxmlformats.org/officeDocument/2006/relationships/hyperlink" Target="https://drive.google.com/open?id=1IvGLXJoz7d75gHCbZLlH5wx6DhZu_UQO1BSisDEZXII&amp;usp=drive_copy" TargetMode="External"/><Relationship Id="rId32" Type="http://schemas.openxmlformats.org/officeDocument/2006/relationships/hyperlink" Target="https://docs.google.com/spreadsheets/d/101L9gkhuMxTZw173YmdxWNST82q44R5GkkiFc4KrpsM/edit" TargetMode="External"/><Relationship Id="rId1600" Type="http://schemas.openxmlformats.org/officeDocument/2006/relationships/hyperlink" Target="https://drive.google.com/open?id=1Quri5opIk3oNuE0qMxg-enBuT2fPJBEJoQHZThQaVGQ&amp;usp=drive_copy" TargetMode="External"/><Relationship Id="rId3498" Type="http://schemas.openxmlformats.org/officeDocument/2006/relationships/hyperlink" Target="https://docs.google.com/spreadsheets/d/1fbASbdOk6qezIFeASok8XuHnJ5La5Gfv0GGAkgJj468" TargetMode="External"/><Relationship Id="rId3358" Type="http://schemas.openxmlformats.org/officeDocument/2006/relationships/hyperlink" Target="https://docs.google.com/spreadsheets/d/1Pp76r7Ak4DuylWBxzrWd6SYxU6NF6ZiTCOTpZimQIJo" TargetMode="External"/><Relationship Id="rId3565" Type="http://schemas.openxmlformats.org/officeDocument/2006/relationships/hyperlink" Target="https://drive.google.com/open?id=1URKqqjoFy9KleK-0wRRLmr7qsdv9kOSC4MDvOL-FBUU" TargetMode="External"/><Relationship Id="rId3772" Type="http://schemas.openxmlformats.org/officeDocument/2006/relationships/hyperlink" Target="https://drive.google.com/open?id=1ZdKx-gRc7vXwqzxPiusLqIw3EvOaG9XKjXGP2XwAuqk&amp;usp=drive_copy" TargetMode="External"/><Relationship Id="rId279" Type="http://schemas.openxmlformats.org/officeDocument/2006/relationships/hyperlink" Target="https://docs.google.com/open?id=1oXgW9d39z9Ms3zj6EQ_JgQZZGZMYRDeEVH0gGj1xLs8" TargetMode="External"/><Relationship Id="rId486" Type="http://schemas.openxmlformats.org/officeDocument/2006/relationships/hyperlink" Target="https://docs.google.com/spreadsheets/d/1wY0EQWBPA5XkGfdYi5TQrYeuM9fq39UgRZeQC3E-7NU" TargetMode="External"/><Relationship Id="rId693" Type="http://schemas.openxmlformats.org/officeDocument/2006/relationships/hyperlink" Target="https://drive.google.com/open?id=1L39DI1wMDf9LCozOoaK5V2Ca99oceCq6rC86LKyKju4" TargetMode="External"/><Relationship Id="rId2167" Type="http://schemas.openxmlformats.org/officeDocument/2006/relationships/hyperlink" Target="https://docs.google.com/open?id=1kiSshQuQgpKyFFh5lh66q67s7KCAJ3wlZ5vtWI0lHcg" TargetMode="External"/><Relationship Id="rId2374" Type="http://schemas.openxmlformats.org/officeDocument/2006/relationships/hyperlink" Target="https://docs.google.com/spreadsheets/d/1DVU_uAKjdkGavMu_hijFuuToS4tOFsYkHQ0O7Lo-cPw" TargetMode="External"/><Relationship Id="rId2581" Type="http://schemas.openxmlformats.org/officeDocument/2006/relationships/hyperlink" Target="https://drive.google.com/open?id=1qtSGRx_mTEwLDofEEe4umvjSPQXrgfqyrbLnZNgg5gU" TargetMode="External"/><Relationship Id="rId3218" Type="http://schemas.openxmlformats.org/officeDocument/2006/relationships/hyperlink" Target="https://docs.google.com/spreadsheets/d/1tnkLhF9Kn3oaTPa60FYDCDC-brmRWrG3qMqMDEBUeck" TargetMode="External"/><Relationship Id="rId3425" Type="http://schemas.openxmlformats.org/officeDocument/2006/relationships/hyperlink" Target="https://drive.google.com/open?id=1yMOLYb9iMFQeZGQLZTLsfmd4PiLm0glG1p5dxYVzzQo" TargetMode="External"/><Relationship Id="rId3632" Type="http://schemas.openxmlformats.org/officeDocument/2006/relationships/hyperlink" Target="https://drive.google.com/open?id=19NWPP5RBg_Y2vIZ7pIZnkUtOcfOb-OMaViWz0CT52PA&amp;usp=drive_copy" TargetMode="External"/><Relationship Id="rId139" Type="http://schemas.openxmlformats.org/officeDocument/2006/relationships/hyperlink" Target="https://docs.google.com/spreadsheets/d/1fWJXBlSF9tS6mBFQIHZtQjPBGhMPQDbMuP5K4wPmhjs/edit?usp=sharing" TargetMode="External"/><Relationship Id="rId346" Type="http://schemas.openxmlformats.org/officeDocument/2006/relationships/hyperlink" Target="https://docs.google.com/spreadsheets/d/17HoejRUtYdUex9FEOd11KvVVGbOhTZZ59f8aZATV5FI" TargetMode="External"/><Relationship Id="rId553" Type="http://schemas.openxmlformats.org/officeDocument/2006/relationships/hyperlink" Target="https://drive.google.com/open?id=1SnY-xXs5HOXNXveC_LuuiSk2pUsKAxuGGzLZ8RZFv9k" TargetMode="External"/><Relationship Id="rId760" Type="http://schemas.openxmlformats.org/officeDocument/2006/relationships/hyperlink" Target="https://drive.google.com/open?id=1cbeGkjsmhBnqkSbnaED3lH6sqZYfy4rst8pE_bRbCAM&amp;usp=drive_copy" TargetMode="External"/><Relationship Id="rId1183" Type="http://schemas.openxmlformats.org/officeDocument/2006/relationships/hyperlink" Target="https://docs.google.com/open?id=1RF_SaQ8OXRxtpMgTxwUdfOuwgKhTzVvKcjdfy5a-Q0o" TargetMode="External"/><Relationship Id="rId1390" Type="http://schemas.openxmlformats.org/officeDocument/2006/relationships/hyperlink" Target="https://docs.google.com/spreadsheets/d/1VwwKPJ-nn8QXgNoCc2vxkuGxRCW712tdCv1BNS9wOeA" TargetMode="External"/><Relationship Id="rId2027" Type="http://schemas.openxmlformats.org/officeDocument/2006/relationships/hyperlink" Target="https://docs.google.com/open?id=1sGrah5s8iEACXhZq_fvr19mWahjeuT0zh2ZVftcP-3k" TargetMode="External"/><Relationship Id="rId2234" Type="http://schemas.openxmlformats.org/officeDocument/2006/relationships/hyperlink" Target="https://docs.google.com/spreadsheets/d/1zmrMFDtuU7Zb3qQokSgZvMH6lwHO2rzwp_0JiY5R4h8" TargetMode="External"/><Relationship Id="rId2441" Type="http://schemas.openxmlformats.org/officeDocument/2006/relationships/hyperlink" Target="https://drive.google.com/open?id=16D9Wl55OB5imzgP8lk5OmxpV70KoxgBndXqnbh48UTM" TargetMode="External"/><Relationship Id="rId206" Type="http://schemas.openxmlformats.org/officeDocument/2006/relationships/hyperlink" Target="https://docs.google.com/spreadsheets/d/1gjoMZKes_NIT0Xon1vRxWAZO0LhcD9CcQXbzW16c-Yc/edit" TargetMode="External"/><Relationship Id="rId413" Type="http://schemas.openxmlformats.org/officeDocument/2006/relationships/hyperlink" Target="https://drive.google.com/open?id=1JNcgZ59fa_kKtT0fXm78eux6Um6S3Y8LBMXoUiGrf2w" TargetMode="External"/><Relationship Id="rId1043" Type="http://schemas.openxmlformats.org/officeDocument/2006/relationships/hyperlink" Target="https://docs.google.com/open?id=13YSRYTciJoU95rV7WBPkBKL52TKOuw2safWr01Df0-g" TargetMode="External"/><Relationship Id="rId620" Type="http://schemas.openxmlformats.org/officeDocument/2006/relationships/hyperlink" Target="https://drive.google.com/open?id=12gWK6tQNOTSZt94ws7BXA73VCpywG_LlVxI9ulMbO8E&amp;usp=drive_copy" TargetMode="External"/><Relationship Id="rId1250" Type="http://schemas.openxmlformats.org/officeDocument/2006/relationships/hyperlink" Target="https://docs.google.com/spreadsheets/d/1bjku_Gk_9iMSFZTNgcsAFZaECplFltPExyoSg0Sb4Is" TargetMode="External"/><Relationship Id="rId2301" Type="http://schemas.openxmlformats.org/officeDocument/2006/relationships/hyperlink" Target="https://drive.google.com/open?id=1AGIoxrQ12COJppeFlqZktRitXux6_xbqrQu5wB1swoI" TargetMode="External"/><Relationship Id="rId1110" Type="http://schemas.openxmlformats.org/officeDocument/2006/relationships/hyperlink" Target="https://docs.google.com/spreadsheets/d/1oxOc09P3H6c3etcU2Cox3OmjdScC_NtBT9weDtr2OM0" TargetMode="External"/><Relationship Id="rId1927" Type="http://schemas.openxmlformats.org/officeDocument/2006/relationships/hyperlink" Target="https://docs.google.com/open?id=1MjSJ48VsUvAW9wEYhku_bTzxlU7EC2eYH8buDy7GMn0" TargetMode="External"/><Relationship Id="rId3075" Type="http://schemas.openxmlformats.org/officeDocument/2006/relationships/hyperlink" Target="https://docs.google.com/open?id=19hwfWzDWGGP-vUtMI-Akz-XGqskRXgTxSNYezb8qyXY" TargetMode="External"/><Relationship Id="rId3282" Type="http://schemas.openxmlformats.org/officeDocument/2006/relationships/hyperlink" Target="https://docs.google.com/spreadsheets/d/18tSqRAUgcfwLQyGvD-S2v9IScY0XVSq6dLjtSiGUSvE" TargetMode="External"/><Relationship Id="rId2091" Type="http://schemas.openxmlformats.org/officeDocument/2006/relationships/hyperlink" Target="https://docs.google.com/open?id=1qi8RpRUilbwQp6yaE6A4fo9IsrE1w4X5EuFk7MfPJvw" TargetMode="External"/><Relationship Id="rId3142" Type="http://schemas.openxmlformats.org/officeDocument/2006/relationships/hyperlink" Target="https://docs.google.com/spreadsheets/d/1Rf_DQtYJqINOD9eJuejVgUtrhGdHCajPjJp7VG1DiZs" TargetMode="External"/><Relationship Id="rId270" Type="http://schemas.openxmlformats.org/officeDocument/2006/relationships/hyperlink" Target="https://docs.google.com/spreadsheets/d/1ZOx50n9LxDnUJ4WoZJfQAW77psTsnQhwPusYOEBG7Ng" TargetMode="External"/><Relationship Id="rId3002" Type="http://schemas.openxmlformats.org/officeDocument/2006/relationships/hyperlink" Target="https://docs.google.com/spreadsheets/d/1qb1eOF5I_ykC4cNtNDoPOpiuPVxDie5KqzwQvzCBF-s" TargetMode="External"/><Relationship Id="rId130" Type="http://schemas.openxmlformats.org/officeDocument/2006/relationships/hyperlink" Target="https://docs.google.com/spreadsheets/d/13rErnlCfxCiEtKMsQYLHvTwpmTRCXnNTzRIbjNzdOEE/edit" TargetMode="External"/><Relationship Id="rId2768" Type="http://schemas.openxmlformats.org/officeDocument/2006/relationships/hyperlink" Target="https://drive.google.com/open?id=1VIZS6PLpEBV87yqgP2xbtMPHM7PwDFK09G6hhgPNXac&amp;usp=drive_copy" TargetMode="External"/><Relationship Id="rId2975" Type="http://schemas.openxmlformats.org/officeDocument/2006/relationships/hyperlink" Target="https://docs.google.com/open?id=1bpanpWhQGFeHYhtox_A-JZcht_rFGNVfcwih-ljQgW8" TargetMode="External"/><Relationship Id="rId3819" Type="http://schemas.openxmlformats.org/officeDocument/2006/relationships/hyperlink" Target="https://docs.google.com/open?id=1onvwJOD3spBRN2COXsvyKzx5dTdKAme7H2G7ceBgQMs" TargetMode="External"/><Relationship Id="rId947" Type="http://schemas.openxmlformats.org/officeDocument/2006/relationships/hyperlink" Target="https://docs.google.com/open?id=1nrzWTiKA9ldC2FGpwiAyr3risojtNYjoRHz63RvDSfg" TargetMode="External"/><Relationship Id="rId1577" Type="http://schemas.openxmlformats.org/officeDocument/2006/relationships/hyperlink" Target="https://drive.google.com/open?id=1hdCeSha3PO3CZXUT5xSz1jdSDWQ3dPF5K74W5fUu0tA" TargetMode="External"/><Relationship Id="rId1784" Type="http://schemas.openxmlformats.org/officeDocument/2006/relationships/hyperlink" Target="https://drive.google.com/open?id=1mO6C_b6mBKmePJE5cBj_hx6Seiu8PTdyMZYgrGWJuLI&amp;usp=drive_copy" TargetMode="External"/><Relationship Id="rId1991" Type="http://schemas.openxmlformats.org/officeDocument/2006/relationships/hyperlink" Target="https://docs.google.com/open?id=1bUrbjQoyRd_8zWya9Ql-oZVVEdKMJVD62WjZnWWglEY" TargetMode="External"/><Relationship Id="rId2628" Type="http://schemas.openxmlformats.org/officeDocument/2006/relationships/hyperlink" Target="https://drive.google.com/open?id=14dpPW1hHjofL6btAyU5zz05BgNTvj0Aqyt6rGKwHZm4&amp;usp=drive_copy" TargetMode="External"/><Relationship Id="rId2835" Type="http://schemas.openxmlformats.org/officeDocument/2006/relationships/hyperlink" Target="https://docs.google.com/open?id=1G3KXYnyJg44v2A7MN_5-eQd0dGuxRhmYMgUmmWZ61zw" TargetMode="External"/><Relationship Id="rId76" Type="http://schemas.openxmlformats.org/officeDocument/2006/relationships/hyperlink" Target="https://docs.google.com/spreadsheets/d/1esWHiFa3JeAbN45yB9gygjqFcqGmj9v5DGGSwKlQsIA/edit" TargetMode="External"/><Relationship Id="rId807" Type="http://schemas.openxmlformats.org/officeDocument/2006/relationships/hyperlink" Target="https://docs.google.com/open?id=1jQ-7c5ERC3tXeayZb7oi74uqtsIppLSQRPAb2tzZs38" TargetMode="External"/><Relationship Id="rId1437" Type="http://schemas.openxmlformats.org/officeDocument/2006/relationships/hyperlink" Target="https://drive.google.com/open?id=1mar7Gl-nlHAaQYOs5Hrjd_ZoB4W1yQWsAvHDIFO4ank" TargetMode="External"/><Relationship Id="rId1644" Type="http://schemas.openxmlformats.org/officeDocument/2006/relationships/hyperlink" Target="https://drive.google.com/open?id=1O5OIIO6A9Wl9qW8TUh5VgOVniNYpTvt3KJVJjPaO3IQ&amp;usp=drive_copy" TargetMode="External"/><Relationship Id="rId1851" Type="http://schemas.openxmlformats.org/officeDocument/2006/relationships/hyperlink" Target="https://docs.google.com/open?id=1CVec7J3OIvr4Ihx7henQ_ebOj3ZDuGwaOY4cGgm6rEM" TargetMode="External"/><Relationship Id="rId2902" Type="http://schemas.openxmlformats.org/officeDocument/2006/relationships/hyperlink" Target="https://docs.google.com/spreadsheets/d/1gLvyPzUQ7pJx2S8jphwgB5IRLAR4qmgspg6kZfl1VhU" TargetMode="External"/><Relationship Id="rId1504" Type="http://schemas.openxmlformats.org/officeDocument/2006/relationships/hyperlink" Target="https://drive.google.com/open?id=1AoqLRMfbxDdlkLPp4-L-DGGIvP-y-_6RZ_9_ZGxvn1s&amp;usp=drive_copy" TargetMode="External"/><Relationship Id="rId1711" Type="http://schemas.openxmlformats.org/officeDocument/2006/relationships/hyperlink" Target="https://docs.google.com/open?id=1aj0nnqQJ8kdvSNyQQZ6Mx1y7gRbQZ64taRxAvkpPcnk" TargetMode="External"/><Relationship Id="rId3469" Type="http://schemas.openxmlformats.org/officeDocument/2006/relationships/hyperlink" Target="https://drive.google.com/open?id=1RSm8btu3tw7llgbpmDPWH25n7KJAahHQqNmgb8cE86o" TargetMode="External"/><Relationship Id="rId3676" Type="http://schemas.openxmlformats.org/officeDocument/2006/relationships/hyperlink" Target="https://drive.google.com/open?id=1IpmCgn885JULqdjoGvMFlAzAu-iojSZDeuFfFMfNlgA&amp;usp=drive_copy" TargetMode="External"/><Relationship Id="rId597" Type="http://schemas.openxmlformats.org/officeDocument/2006/relationships/hyperlink" Target="https://drive.google.com/open?id=1-PkSCXaCqEA_VP1iUd0aZ4Dn8bKiT18hTPXtvMWMLOI" TargetMode="External"/><Relationship Id="rId2278" Type="http://schemas.openxmlformats.org/officeDocument/2006/relationships/hyperlink" Target="https://docs.google.com/spreadsheets/d/1zif92Bq28Io-nQ6s0AfutKm_ZvBTTgyYv8JscmasLRM" TargetMode="External"/><Relationship Id="rId2485" Type="http://schemas.openxmlformats.org/officeDocument/2006/relationships/hyperlink" Target="https://drive.google.com/open?id=11kU6FZ9riH3rtFvnufRxnUW1LS2hCu-4EJLKiYufiUU" TargetMode="External"/><Relationship Id="rId3329" Type="http://schemas.openxmlformats.org/officeDocument/2006/relationships/hyperlink" Target="https://drive.google.com/open?id=1J56tQGx5mtEW15sjHpVWJmBCL1_B-Xd1BtU1Ls_yCOc" TargetMode="External"/><Relationship Id="rId3883" Type="http://schemas.openxmlformats.org/officeDocument/2006/relationships/hyperlink" Target="https://docs.google.com/open?id=1tIX7CR72CMcniyd5f-f6DZd34NVygmN7eq59zwbplgE" TargetMode="External"/><Relationship Id="rId457" Type="http://schemas.openxmlformats.org/officeDocument/2006/relationships/hyperlink" Target="https://drive.google.com/open?id=1mRWp6cNSWVFM1mVPDKYl_lNOIvvSDoo0DPXuRJ6zqEA" TargetMode="External"/><Relationship Id="rId1087" Type="http://schemas.openxmlformats.org/officeDocument/2006/relationships/hyperlink" Target="https://docs.google.com/open?id=1hbdePgcJfxdYIbmmQCKGKTkR0b1h2YZSc_zXl86g_VA" TargetMode="External"/><Relationship Id="rId1294" Type="http://schemas.openxmlformats.org/officeDocument/2006/relationships/hyperlink" Target="https://docs.google.com/spreadsheets/d/1O4E4rmZQPYX_bqdeTrWzUGKaYZYSNyC-jwDE9-ao9X0" TargetMode="External"/><Relationship Id="rId2138" Type="http://schemas.openxmlformats.org/officeDocument/2006/relationships/hyperlink" Target="https://docs.google.com/spreadsheets/d/1EWNwkTNxoPbagahazsgN5ecMqHNPGiE2yIHWv4vyCk4" TargetMode="External"/><Relationship Id="rId2692" Type="http://schemas.openxmlformats.org/officeDocument/2006/relationships/hyperlink" Target="https://drive.google.com/open?id=1NfSL4hQNYhYS76hNjW8IcTXq2ARCR3aTuOdBmpzbUo8&amp;usp=drive_copy" TargetMode="External"/><Relationship Id="rId3536" Type="http://schemas.openxmlformats.org/officeDocument/2006/relationships/hyperlink" Target="https://drive.google.com/open?id=1gD0Ddy423CRu97oM004S2MfK70Xjt-7BpeLO-rPcpqU&amp;usp=drive_copy" TargetMode="External"/><Relationship Id="rId3743" Type="http://schemas.openxmlformats.org/officeDocument/2006/relationships/hyperlink" Target="https://docs.google.com/open?id=1YiQnxI8HHD64PfzhO12VtbZTG1UoHBp5aEZ0BAgKhJM" TargetMode="External"/><Relationship Id="rId3950" Type="http://schemas.openxmlformats.org/officeDocument/2006/relationships/hyperlink" Target="https://docs.google.com/spreadsheets/d/1yyWpoI7sekFdjRmZBdv2nk40V__VZXy6Nxa_RTxVxYU" TargetMode="External"/><Relationship Id="rId664" Type="http://schemas.openxmlformats.org/officeDocument/2006/relationships/hyperlink" Target="https://drive.google.com/open?id=1Fsx-5ZOCfCKVWOXLqp9p7s9qwc0IipvCRLJfiksv8n8&amp;usp=drive_copy" TargetMode="External"/><Relationship Id="rId871" Type="http://schemas.openxmlformats.org/officeDocument/2006/relationships/hyperlink" Target="https://docs.google.com/open?id=1xVwIVwhJZ1aLTQLS03BeQMS_wvvUh2wZfIX_cEuIWvY" TargetMode="External"/><Relationship Id="rId2345" Type="http://schemas.openxmlformats.org/officeDocument/2006/relationships/hyperlink" Target="https://drive.google.com/open?id=1Unnleg8hS7znOSgPeU2DfMMPK1_N1a0l5x7A0C2wrq8" TargetMode="External"/><Relationship Id="rId2552" Type="http://schemas.openxmlformats.org/officeDocument/2006/relationships/hyperlink" Target="https://drive.google.com/open?id=1k2CuP_y7KfJ3gCJ3lyOf7jIz04RA8pwtH9NE5aGpq24&amp;usp=drive_copy" TargetMode="External"/><Relationship Id="rId3603" Type="http://schemas.openxmlformats.org/officeDocument/2006/relationships/hyperlink" Target="https://docs.google.com/open?id=17eY4nROJpGsjg1W4voKbNn6KA0Puob4BAm6FRBK5jPQ" TargetMode="External"/><Relationship Id="rId3810" Type="http://schemas.openxmlformats.org/officeDocument/2006/relationships/hyperlink" Target="https://docs.google.com/spreadsheets/d/1hhUgikEW5K-NuleAxxHugrZWLfJENeDn34ezodBXBz4" TargetMode="External"/><Relationship Id="rId317" Type="http://schemas.openxmlformats.org/officeDocument/2006/relationships/hyperlink" Target="https://drive.google.com/open?id=11oNatRDgf7GL14aK3o_6sI2AtRPtWUSXcbIKwqJFPyY" TargetMode="External"/><Relationship Id="rId524" Type="http://schemas.openxmlformats.org/officeDocument/2006/relationships/hyperlink" Target="https://drive.google.com/open?id=103KL_VjoShnKTLjchsuvs_etS-tYQqzNE8Dbs_m5QYo&amp;usp=drive_copy" TargetMode="External"/><Relationship Id="rId731" Type="http://schemas.openxmlformats.org/officeDocument/2006/relationships/hyperlink" Target="https://docs.google.com/open?id=1XvsihmVQFuIhNuYLr4ZY3pwe7z0DK2N9-5RGJzYmsxE" TargetMode="External"/><Relationship Id="rId1154" Type="http://schemas.openxmlformats.org/officeDocument/2006/relationships/hyperlink" Target="https://docs.google.com/spreadsheets/d/1T4pmLI_UD2FFyn2DwaOSxDiHRY9oEfYkfnxHH8QmqxM" TargetMode="External"/><Relationship Id="rId1361" Type="http://schemas.openxmlformats.org/officeDocument/2006/relationships/hyperlink" Target="https://drive.google.com/open?id=1Ljnpf8pHlyilcVbJnrlTQb4FAW4jjkUGah_JbcMeEOs" TargetMode="External"/><Relationship Id="rId2205" Type="http://schemas.openxmlformats.org/officeDocument/2006/relationships/hyperlink" Target="https://drive.google.com/open?id=1M0O7KTLx0wqIvFensHByOPlVhErYtR1f0ZecyfXkFMs" TargetMode="External"/><Relationship Id="rId2412" Type="http://schemas.openxmlformats.org/officeDocument/2006/relationships/hyperlink" Target="https://drive.google.com/open?id=1DNmcaNb_9LHk5ypYwBKO4NM6uEQYNNPLWE6uFEI-oIs&amp;usp=drive_copy" TargetMode="External"/><Relationship Id="rId1014" Type="http://schemas.openxmlformats.org/officeDocument/2006/relationships/hyperlink" Target="https://docs.google.com/spreadsheets/d/1r2igowZW-MNiaQKk3N14pNNARCuLmR3N_RVN2UXG0fc" TargetMode="External"/><Relationship Id="rId1221" Type="http://schemas.openxmlformats.org/officeDocument/2006/relationships/hyperlink" Target="https://drive.google.com/open?id=1OI0RdNMmZqRIPrr5sMuGO4qeAmlAlsu-4v37ggkdvKs" TargetMode="External"/><Relationship Id="rId3186" Type="http://schemas.openxmlformats.org/officeDocument/2006/relationships/hyperlink" Target="https://docs.google.com/spreadsheets/d/1i_Ppc1K3c0wvumPRTD5AH2CWBK-x9OCGuFLz13BOKpQ" TargetMode="External"/><Relationship Id="rId3393" Type="http://schemas.openxmlformats.org/officeDocument/2006/relationships/hyperlink" Target="https://drive.google.com/open?id=1jRR5WGplGtp1GxJxtUDW66MOWCeFhBhceNQS0tSCfKI" TargetMode="External"/><Relationship Id="rId3046" Type="http://schemas.openxmlformats.org/officeDocument/2006/relationships/hyperlink" Target="https://docs.google.com/spreadsheets/d/125ckWSGOlwdkX5ypzvVX4Z86-le2ukVLGv7ghytrMXg" TargetMode="External"/><Relationship Id="rId3253" Type="http://schemas.openxmlformats.org/officeDocument/2006/relationships/hyperlink" Target="https://drive.google.com/open?id=14AM6_aa-ThFRzFQxlFxDAPqVxMQW64NrnTw3fX8qFyI" TargetMode="External"/><Relationship Id="rId3460" Type="http://schemas.openxmlformats.org/officeDocument/2006/relationships/hyperlink" Target="https://drive.google.com/open?id=1M4Ei5XLHh_AqnIF9110SlxEJXFTIrySqKK8HMc9rT8k&amp;usp=drive_copy" TargetMode="External"/><Relationship Id="rId174" Type="http://schemas.openxmlformats.org/officeDocument/2006/relationships/hyperlink" Target="https://docs.google.com/spreadsheets/d/1FCH0JLE4hJN_l0EMQoAl9dOslphzN8kKiPd0hrl6QhQ/edit" TargetMode="External"/><Relationship Id="rId381" Type="http://schemas.openxmlformats.org/officeDocument/2006/relationships/hyperlink" Target="https://drive.google.com/open?id=1EoaNMd42q4MFxfmg4M54yv37CFTdUayvvyc1t-QQQrY" TargetMode="External"/><Relationship Id="rId2062" Type="http://schemas.openxmlformats.org/officeDocument/2006/relationships/hyperlink" Target="https://docs.google.com/spreadsheets/d/1YWX9TQlOJvLswET9G6iypcmHdHdVOFR_-rKFuAQyoUc" TargetMode="External"/><Relationship Id="rId3113" Type="http://schemas.openxmlformats.org/officeDocument/2006/relationships/hyperlink" Target="https://drive.google.com/open?id=1Ggwne6FhClLfHDLaniFGKfcevssvoYgQ7elRreZqWnY" TargetMode="External"/><Relationship Id="rId241" Type="http://schemas.openxmlformats.org/officeDocument/2006/relationships/hyperlink" Target="https://drive.google.com/open?id=1KYugIwwEiOvYOpyPHcB98jKH13KQMTPamOpYz7YkUiE" TargetMode="External"/><Relationship Id="rId3320" Type="http://schemas.openxmlformats.org/officeDocument/2006/relationships/hyperlink" Target="https://drive.google.com/open?id=1Gj9Obdt_pt5xjryTJUUUqjMAzeze1zxwe0ZY2vIEEPc&amp;usp=drive_copy" TargetMode="External"/><Relationship Id="rId2879" Type="http://schemas.openxmlformats.org/officeDocument/2006/relationships/hyperlink" Target="https://docs.google.com/open?id=1G-Zc5IrYQz-VrfEhSe6--V8Yphx_t3cxSHKSIoM3Bew" TargetMode="External"/><Relationship Id="rId101" Type="http://schemas.openxmlformats.org/officeDocument/2006/relationships/hyperlink" Target="https://docs.google.com/spreadsheets/d/19vyXBiiywcpbi_WIEqk-sTP5GqW3eBtIOf0PRlFuIaM/edit?usp=sharing" TargetMode="External"/><Relationship Id="rId1688" Type="http://schemas.openxmlformats.org/officeDocument/2006/relationships/hyperlink" Target="https://drive.google.com/open?id=1F2PMExuSAdbpUTObtEtPgjRIZ5ZpbRG3gZrgcYiHtEU&amp;usp=drive_copy" TargetMode="External"/><Relationship Id="rId1895" Type="http://schemas.openxmlformats.org/officeDocument/2006/relationships/hyperlink" Target="https://docs.google.com/open?id=1_R9CcLA2GK7WTSR8APk-IirV2HdC0YNkGn50tPgK0zM" TargetMode="External"/><Relationship Id="rId2739" Type="http://schemas.openxmlformats.org/officeDocument/2006/relationships/hyperlink" Target="https://docs.google.com/open?id=1mWO9AEmxDWm4C2TVAo3lPzikYlFfBhdHUKgdSFb8h0Q" TargetMode="External"/><Relationship Id="rId2946" Type="http://schemas.openxmlformats.org/officeDocument/2006/relationships/hyperlink" Target="https://docs.google.com/spreadsheets/d/1JsN4x6qkeTs7wLVr6XLNgXiy5-mW__0v825hXWtWTPI" TargetMode="External"/><Relationship Id="rId918" Type="http://schemas.openxmlformats.org/officeDocument/2006/relationships/hyperlink" Target="https://docs.google.com/spreadsheets/d/1TnmNTSo-03y6ulvYttT-hHHTp9QhfaNbZjV0kMWrqhg" TargetMode="External"/><Relationship Id="rId1548" Type="http://schemas.openxmlformats.org/officeDocument/2006/relationships/hyperlink" Target="https://drive.google.com/open?id=1EKKoijwi3vW4zyUrz7QL__fUmeTC4Sr48ZlKm7whbEs&amp;usp=drive_copy" TargetMode="External"/><Relationship Id="rId1755" Type="http://schemas.openxmlformats.org/officeDocument/2006/relationships/hyperlink" Target="https://docs.google.com/open?id=1KyEd3_sAVEYlbG-CIYysI3kHDN81hVIDDGJ993q-O0w" TargetMode="External"/><Relationship Id="rId1408" Type="http://schemas.openxmlformats.org/officeDocument/2006/relationships/hyperlink" Target="https://drive.google.com/open?id=1mNN0GGJA5oEitryJ21T-8euFGdM4BbxAOzlU3ZjgdIk&amp;usp=drive_copy" TargetMode="External"/><Relationship Id="rId1962" Type="http://schemas.openxmlformats.org/officeDocument/2006/relationships/hyperlink" Target="https://docs.google.com/spreadsheets/d/1S8HXocRKGh0PXzjCQQfus5g-NlIeRuYEaC7IsVRw54k" TargetMode="External"/><Relationship Id="rId2806" Type="http://schemas.openxmlformats.org/officeDocument/2006/relationships/hyperlink" Target="https://docs.google.com/spreadsheets/d/14S0Jqu9xTsc0TD7yxwv2vnF9BabyO01GUruZTKCgjxc" TargetMode="External"/><Relationship Id="rId47" Type="http://schemas.openxmlformats.org/officeDocument/2006/relationships/hyperlink" Target="https://docs.google.com/spreadsheets/d/1atq5-5Swtert9m_EOhDzNkpiD8vV2GfgoRoyxIOr8uM/edit?usp=sharing" TargetMode="External"/><Relationship Id="rId1615" Type="http://schemas.openxmlformats.org/officeDocument/2006/relationships/hyperlink" Target="https://docs.google.com/open?id=1hOkzqveopZKmXwhuw5dIbaF0tXxatRAlQ7MbuFCOcf8" TargetMode="External"/><Relationship Id="rId1822" Type="http://schemas.openxmlformats.org/officeDocument/2006/relationships/hyperlink" Target="https://docs.google.com/spreadsheets/d/1-kfmxs9yKJgS8-LGv2weDkxdMdtawqO7_cXAbtiItfo" TargetMode="External"/><Relationship Id="rId3787" Type="http://schemas.openxmlformats.org/officeDocument/2006/relationships/hyperlink" Target="https://docs.google.com/open?id=1hSjaegjwgA5As4lWIB31isr_ZX9MuwX0cOsIM01X-jE" TargetMode="External"/><Relationship Id="rId2389" Type="http://schemas.openxmlformats.org/officeDocument/2006/relationships/hyperlink" Target="https://drive.google.com/open?id=1VlSGPNVTV7nzL827hVNFrN1CIZfDc1f05dfgc2qzpvw" TargetMode="External"/><Relationship Id="rId2596" Type="http://schemas.openxmlformats.org/officeDocument/2006/relationships/hyperlink" Target="https://drive.google.com/open?id=1tsl8mfgkSZosk35pnU1hGtMFXQDOUE44E0kBPsxi-d8&amp;usp=drive_copy" TargetMode="External"/><Relationship Id="rId3647" Type="http://schemas.openxmlformats.org/officeDocument/2006/relationships/hyperlink" Target="https://docs.google.com/open?id=1kPFo6TDQXKDGPrteAimylU3WQsHgpnNz-WLO3fkIkUQ" TargetMode="External"/><Relationship Id="rId3854" Type="http://schemas.openxmlformats.org/officeDocument/2006/relationships/hyperlink" Target="https://docs.google.com/spreadsheets/d/1DKNtZaI3w_LqyItkhFKLoFoF-6YzzS75G-WzPlOpuNg" TargetMode="External"/><Relationship Id="rId568" Type="http://schemas.openxmlformats.org/officeDocument/2006/relationships/hyperlink" Target="https://drive.google.com/open?id=1iuCdBVo6yQTl4ndwwoIEo4D2WdYc9qxKbP1EaXrMQLs&amp;usp=drive_copy" TargetMode="External"/><Relationship Id="rId775" Type="http://schemas.openxmlformats.org/officeDocument/2006/relationships/hyperlink" Target="https://docs.google.com/open?id=1fBKYLNch64XfKPNXo0qRVwGAGElTRl-N1CHAUKreBvs" TargetMode="External"/><Relationship Id="rId982" Type="http://schemas.openxmlformats.org/officeDocument/2006/relationships/hyperlink" Target="https://docs.google.com/spreadsheets/d/1ZXjnCYh3jDAeWfSq0f_qyjwCjqi05SxL2zJI-NPAl-s" TargetMode="External"/><Relationship Id="rId1198" Type="http://schemas.openxmlformats.org/officeDocument/2006/relationships/hyperlink" Target="https://docs.google.com/spreadsheets/d/1ZIF5QzVr3TVMcW0EO7gHnYPOkn-Y0q2Godqr8sr-8LA" TargetMode="External"/><Relationship Id="rId2249" Type="http://schemas.openxmlformats.org/officeDocument/2006/relationships/hyperlink" Target="https://drive.google.com/open?id=140ZhkVAiahpRT1th_6cUTltV8cws6uma-lJeeuJJT6k" TargetMode="External"/><Relationship Id="rId2456" Type="http://schemas.openxmlformats.org/officeDocument/2006/relationships/hyperlink" Target="https://drive.google.com/open?id=1cDi4Jr4B31xD9wwGXqXPwWZ0K07bE62O4aZio_Ee-Vk&amp;usp=drive_copy" TargetMode="External"/><Relationship Id="rId2663" Type="http://schemas.openxmlformats.org/officeDocument/2006/relationships/hyperlink" Target="https://docs.google.com/open?id=1AWtI7U2uCWMuOTWPTlQF3GEjxY7KA63HBrN6l_3QpVM" TargetMode="External"/><Relationship Id="rId2870" Type="http://schemas.openxmlformats.org/officeDocument/2006/relationships/hyperlink" Target="https://docs.google.com/spreadsheets/d/1BlwP1IABydJc7mcPhy4Rz9nQT1QFO35n1_By8k9mMno" TargetMode="External"/><Relationship Id="rId3507" Type="http://schemas.openxmlformats.org/officeDocument/2006/relationships/hyperlink" Target="https://docs.google.com/open?id=1prdDQAHRhsCE7UAcoNvSUPgG37gcwChHioujJD2Xbe0" TargetMode="External"/><Relationship Id="rId3714" Type="http://schemas.openxmlformats.org/officeDocument/2006/relationships/hyperlink" Target="https://docs.google.com/spreadsheets/d/1ue2qeGje5VLC86p7V1m4P8ZaDfL6LC9A4hmmjrn0iSs" TargetMode="External"/><Relationship Id="rId3921" Type="http://schemas.openxmlformats.org/officeDocument/2006/relationships/hyperlink" Target="https://drive.google.com/open?id=1aBTrGvbqltxSQtKd3zkmnYnyrZMF-P-VokD5amQDyMM" TargetMode="External"/><Relationship Id="rId428" Type="http://schemas.openxmlformats.org/officeDocument/2006/relationships/hyperlink" Target="https://drive.google.com/open?id=1eHfVIuJUr35UiXp2DSH52bJfSrZ0A3gREZI4-n7FaQk&amp;usp=drive_copy" TargetMode="External"/><Relationship Id="rId635" Type="http://schemas.openxmlformats.org/officeDocument/2006/relationships/hyperlink" Target="https://docs.google.com/open?id=1lXklUJsSnA574n7icEVg2jxAsHLjkjQB2oPSXbLFI80" TargetMode="External"/><Relationship Id="rId842" Type="http://schemas.openxmlformats.org/officeDocument/2006/relationships/hyperlink" Target="https://docs.google.com/spreadsheets/d/1sbWZJ_XxfiWrscuhfcTV-mv7Ts6hWGgMKhjjYhcnLjE" TargetMode="External"/><Relationship Id="rId1058" Type="http://schemas.openxmlformats.org/officeDocument/2006/relationships/hyperlink" Target="https://docs.google.com/spreadsheets/d/1nH62xTJNMa3X58-m-mj1l3cKnGDpbJbD-3xXHloHi90" TargetMode="External"/><Relationship Id="rId1265" Type="http://schemas.openxmlformats.org/officeDocument/2006/relationships/hyperlink" Target="https://drive.google.com/open?id=1cthv5jnBJlGdhZyvDCBx8gZP3C9tztTdSTf7burgAdU" TargetMode="External"/><Relationship Id="rId1472" Type="http://schemas.openxmlformats.org/officeDocument/2006/relationships/hyperlink" Target="https://drive.google.com/open?id=1yKglbaiJ2AHEKXwNA8dXJzyIcE576a0Dn8I5b43TLik&amp;usp=drive_copy" TargetMode="External"/><Relationship Id="rId2109" Type="http://schemas.openxmlformats.org/officeDocument/2006/relationships/hyperlink" Target="https://drive.google.com/open?id=112_AMzoi6eIQvc9EhNq3E6l0-jMuicXT_27Prs-ZtyA" TargetMode="External"/><Relationship Id="rId2316" Type="http://schemas.openxmlformats.org/officeDocument/2006/relationships/hyperlink" Target="https://drive.google.com/open?id=1OPTkergdFEZYezeXIKRwnn8PLvKWaiU62h3i052WOB8&amp;usp=drive_copy" TargetMode="External"/><Relationship Id="rId2523" Type="http://schemas.openxmlformats.org/officeDocument/2006/relationships/hyperlink" Target="https://docs.google.com/open?id=1gB7ywvBiq1Y6KelcMxF4tOsyvdbg72yF0QBiljxdfW4" TargetMode="External"/><Relationship Id="rId2730" Type="http://schemas.openxmlformats.org/officeDocument/2006/relationships/hyperlink" Target="https://docs.google.com/spreadsheets/d/1mb1biGUdRjeJPMLsfv6DNq_8Xiud5nmDGHF308kq81g" TargetMode="External"/><Relationship Id="rId702" Type="http://schemas.openxmlformats.org/officeDocument/2006/relationships/hyperlink" Target="https://docs.google.com/spreadsheets/d/1OGhMSmwLzY_YX9czT4J-ieZpRTQUnUIAMTS094bSnHo" TargetMode="External"/><Relationship Id="rId1125" Type="http://schemas.openxmlformats.org/officeDocument/2006/relationships/hyperlink" Target="https://drive.google.com/open?id=1lWcYdNugbKYhbj-NsLmjM1M7bBuXkOU_Z7TE6wmzidA" TargetMode="External"/><Relationship Id="rId1332" Type="http://schemas.openxmlformats.org/officeDocument/2006/relationships/hyperlink" Target="https://drive.google.com/open?id=1u4Qs85Z2YWfr3FN8fpvzc1IKJqEijkVaqrG4bOuFOwM&amp;usp=drive_copy" TargetMode="External"/><Relationship Id="rId3297" Type="http://schemas.openxmlformats.org/officeDocument/2006/relationships/hyperlink" Target="https://drive.google.com/open?id=1BoVERwmQ-a-yGG-PS5iIrmdlddaP1FQW59uBgpAPkUs" TargetMode="External"/><Relationship Id="rId3157" Type="http://schemas.openxmlformats.org/officeDocument/2006/relationships/hyperlink" Target="https://drive.google.com/open?id=1ZunsWjnXH-0PB8hBwvVNdCe1GRwXk_dwGjfOoEeEI-E" TargetMode="External"/><Relationship Id="rId285" Type="http://schemas.openxmlformats.org/officeDocument/2006/relationships/hyperlink" Target="https://drive.google.com/open?id=1rtTNWNY9LpjZeUWyikVb8KbSfvtENrROve13kIkmVMk" TargetMode="External"/><Relationship Id="rId3364" Type="http://schemas.openxmlformats.org/officeDocument/2006/relationships/hyperlink" Target="https://drive.google.com/open?id=1RPOd8h85ieURdIpnOM5w6_mXo8O5-jUQgD3PMix2wHQ&amp;usp=drive_copy" TargetMode="External"/><Relationship Id="rId3571" Type="http://schemas.openxmlformats.org/officeDocument/2006/relationships/hyperlink" Target="https://docs.google.com/open?id=1GCAPpFIfgtRLEPE5cXjUTuIQSSFK4GoNHcD-7Prx-i4" TargetMode="External"/><Relationship Id="rId492" Type="http://schemas.openxmlformats.org/officeDocument/2006/relationships/hyperlink" Target="https://drive.google.com/open?id=13y-xpQPPXUCTfqu7A8owFAqLunprm0uplelyP_okWZU&amp;usp=drive_copy" TargetMode="External"/><Relationship Id="rId2173" Type="http://schemas.openxmlformats.org/officeDocument/2006/relationships/hyperlink" Target="https://drive.google.com/open?id=1qX1Cycb5q9fdejXxrC5tDEUuiRoPEL6lrlKM5_p1FK0" TargetMode="External"/><Relationship Id="rId2380" Type="http://schemas.openxmlformats.org/officeDocument/2006/relationships/hyperlink" Target="https://drive.google.com/open?id=1SOjXPypXqSXAHAEQPaFXljMmC25mCFzbBzRrsrA47ks&amp;usp=drive_copy" TargetMode="External"/><Relationship Id="rId3017" Type="http://schemas.openxmlformats.org/officeDocument/2006/relationships/hyperlink" Target="https://drive.google.com/open?id=1xGj6NFbIzK3dda4h1VeMzV9oVdUVEjKq2_EsjFMj1ns" TargetMode="External"/><Relationship Id="rId3224" Type="http://schemas.openxmlformats.org/officeDocument/2006/relationships/hyperlink" Target="https://drive.google.com/open?id=1wdHweScfbL0EVUCVGK5VaH2M4EzFpkZ4OhyaDnZnXI8&amp;usp=drive_copy" TargetMode="External"/><Relationship Id="rId3431" Type="http://schemas.openxmlformats.org/officeDocument/2006/relationships/hyperlink" Target="https://docs.google.com/open?id=13ny4rOEDEnY1AGkF5RMKA1PU0YlibcUxOK5H3q3Is-M" TargetMode="External"/><Relationship Id="rId145" Type="http://schemas.openxmlformats.org/officeDocument/2006/relationships/hyperlink" Target="https://docs.google.com/spreadsheets/d/1xQ7X23W5bprtCNGPNsX8mcA_ZLrBnEPDjNTe0J8h6l8/edit?usp=sharing" TargetMode="External"/><Relationship Id="rId352" Type="http://schemas.openxmlformats.org/officeDocument/2006/relationships/hyperlink" Target="https://drive.google.com/open?id=19mvdKqjA3iNQhCYKdFz1K0ZTg-LZWhEycE1OuCt5jnQ&amp;usp=drive_copy" TargetMode="External"/><Relationship Id="rId2033" Type="http://schemas.openxmlformats.org/officeDocument/2006/relationships/hyperlink" Target="https://drive.google.com/open?id=1G6R0o5Pv0LcGQYBrrDDjvimc0cHTaZk2TzWJX4Wu7ns" TargetMode="External"/><Relationship Id="rId2240" Type="http://schemas.openxmlformats.org/officeDocument/2006/relationships/hyperlink" Target="https://drive.google.com/open?id=1CpcRgciqgAQrz5_BC2x-uy9_NNEMAfuy7JNhwF1hvqs&amp;usp=drive_copy" TargetMode="External"/><Relationship Id="rId212" Type="http://schemas.openxmlformats.org/officeDocument/2006/relationships/hyperlink" Target="https://drive.google.com/open?id=14PHFYBfwNIyFEI70LXz85hCHJNCd_-E4JiEYLXljb4U&amp;usp=drive_copy" TargetMode="External"/><Relationship Id="rId1799" Type="http://schemas.openxmlformats.org/officeDocument/2006/relationships/hyperlink" Target="https://docs.google.com/open?id=1XuQZNnibOyCytsARK_ziNOujKZT4jnSKfQXMe74mkpQ" TargetMode="External"/><Relationship Id="rId2100" Type="http://schemas.openxmlformats.org/officeDocument/2006/relationships/hyperlink" Target="https://drive.google.com/open?id=18qSbAXw4IAiqN7UMYpJ_lqFs-ERDVHiBfjRGi1nDb6o&amp;usp=drive_copy" TargetMode="External"/><Relationship Id="rId1659" Type="http://schemas.openxmlformats.org/officeDocument/2006/relationships/hyperlink" Target="https://docs.google.com/open?id=1EB30-NWraVTcttYufI_3EUjC2_XjBUnFx8Ycb248MlE" TargetMode="External"/><Relationship Id="rId1866" Type="http://schemas.openxmlformats.org/officeDocument/2006/relationships/hyperlink" Target="https://docs.google.com/spreadsheets/d/1eyMPBGxaiboIcQ6K95OtPfpdspAsOr1gMiDm5eRw6Fg" TargetMode="External"/><Relationship Id="rId2917" Type="http://schemas.openxmlformats.org/officeDocument/2006/relationships/hyperlink" Target="https://drive.google.com/open?id=13UKQVBKtrm6kycmufaXNoBDOstV94QfjD6ps0Z9s1RA" TargetMode="External"/><Relationship Id="rId3081" Type="http://schemas.openxmlformats.org/officeDocument/2006/relationships/hyperlink" Target="https://drive.google.com/open?id=19sZMWEMpwmjetMOFzSZeryqbWg-QjBLFuhGIAZ3F2II" TargetMode="External"/><Relationship Id="rId1519" Type="http://schemas.openxmlformats.org/officeDocument/2006/relationships/hyperlink" Target="https://docs.google.com/open?id=1HqzNGwGuqId77vArU1f5eOF-Z6oRpQuaNeof9YZidw8" TargetMode="External"/><Relationship Id="rId1726" Type="http://schemas.openxmlformats.org/officeDocument/2006/relationships/hyperlink" Target="https://docs.google.com/spreadsheets/d/11hH8ceQtzckvAhiPdC8A-_H9yjPAUzN47SxqyxbIpQA" TargetMode="External"/><Relationship Id="rId1933" Type="http://schemas.openxmlformats.org/officeDocument/2006/relationships/hyperlink" Target="https://drive.google.com/open?id=1_cpM8SFh9NZqujvKsLm6w5tNwwMFRflxdHMAv0X1HpE" TargetMode="External"/><Relationship Id="rId18" Type="http://schemas.openxmlformats.org/officeDocument/2006/relationships/hyperlink" Target="https://docs.google.com/spreadsheets/d/1l4A9BRBr2tOGDY86IODPjAZJuovYvFZu2KA79jLKw00/edit" TargetMode="External"/><Relationship Id="rId3898" Type="http://schemas.openxmlformats.org/officeDocument/2006/relationships/hyperlink" Target="https://docs.google.com/spreadsheets/d/1fyOZhUTnosGJ4s8TnmySKCKTgZ7tnssCaHs9nyUUHkU" TargetMode="External"/><Relationship Id="rId3758" Type="http://schemas.openxmlformats.org/officeDocument/2006/relationships/hyperlink" Target="https://docs.google.com/spreadsheets/d/17o-xDNHvJSK69tAcTwwjesRw5ogiJZi2LKam4LE6SLw" TargetMode="External"/><Relationship Id="rId679" Type="http://schemas.openxmlformats.org/officeDocument/2006/relationships/hyperlink" Target="https://docs.google.com/open?id=1IXb9Bk8sKJ83gCPkX3INib2baN24jj8mVj4yXEoI5IY" TargetMode="External"/><Relationship Id="rId886" Type="http://schemas.openxmlformats.org/officeDocument/2006/relationships/hyperlink" Target="https://docs.google.com/spreadsheets/d/1LntP-_rHXhiJt7pzrWMylRoxHRo9Czlu5Sz3cUIMCrg" TargetMode="External"/><Relationship Id="rId2567" Type="http://schemas.openxmlformats.org/officeDocument/2006/relationships/hyperlink" Target="https://docs.google.com/open?id=1m45ah0LsT8DJwjY50L4zAQd2YwlIupO-Uy8WiZ-g_ic" TargetMode="External"/><Relationship Id="rId2774" Type="http://schemas.openxmlformats.org/officeDocument/2006/relationships/hyperlink" Target="https://docs.google.com/spreadsheets/d/1R9atTXRoPxBG287AvyjX6m06NzqLOeB8pjDu-WO2m2k" TargetMode="External"/><Relationship Id="rId3618" Type="http://schemas.openxmlformats.org/officeDocument/2006/relationships/hyperlink" Target="https://docs.google.com/spreadsheets/d/1YI2hk4HHlfbWi0j-gFAJvHCuMpfNy6vns0c3r3_HwNg" TargetMode="External"/><Relationship Id="rId2" Type="http://schemas.openxmlformats.org/officeDocument/2006/relationships/hyperlink" Target="https://docs.google.com/spreadsheets/d/11h4RKjz9ElZ-vdh72Wk6DEp_oot3FDAN2h6Jt5sAp2k/edit?usp=sharing" TargetMode="External"/><Relationship Id="rId539" Type="http://schemas.openxmlformats.org/officeDocument/2006/relationships/hyperlink" Target="https://docs.google.com/open?id=1JsKkfTNpHQ6vgUslFSEQ7lK1l-YE9XAKa-CpJKgkhII" TargetMode="External"/><Relationship Id="rId746" Type="http://schemas.openxmlformats.org/officeDocument/2006/relationships/hyperlink" Target="https://docs.google.com/spreadsheets/d/1ABRpeRqMDXErNoGQEaO1t9HHevH-K2aqmWK4TwlrTNg" TargetMode="External"/><Relationship Id="rId1169" Type="http://schemas.openxmlformats.org/officeDocument/2006/relationships/hyperlink" Target="https://drive.google.com/open?id=1XOOR8P92_AArpIzWPUqW3e7Ozp_SI-A1s85gzXPKDwc" TargetMode="External"/><Relationship Id="rId1376" Type="http://schemas.openxmlformats.org/officeDocument/2006/relationships/hyperlink" Target="https://drive.google.com/open?id=11KSxHMGnoHkgZ0DLKwBfZft8R0qdo6rocjbz5kAT-ec&amp;usp=drive_copy" TargetMode="External"/><Relationship Id="rId1583" Type="http://schemas.openxmlformats.org/officeDocument/2006/relationships/hyperlink" Target="https://docs.google.com/open?id=10G9V0VEZprBs9Zf5LMvm7Gxcax3NI9VT_i5PbXq34wU" TargetMode="External"/><Relationship Id="rId2427" Type="http://schemas.openxmlformats.org/officeDocument/2006/relationships/hyperlink" Target="https://docs.google.com/open?id=1RaH9-IZl5nEqWw3pdo4ZQv6320aAO4wRUIT7d_TA56o" TargetMode="External"/><Relationship Id="rId2981" Type="http://schemas.openxmlformats.org/officeDocument/2006/relationships/hyperlink" Target="https://drive.google.com/open?id=1fCUY5EXexmjdnLDxMmzuos-LNQ8xkLSda7kL3wcZCsY" TargetMode="External"/><Relationship Id="rId3825" Type="http://schemas.openxmlformats.org/officeDocument/2006/relationships/hyperlink" Target="https://drive.google.com/open?id=1sTb2zaDnsrvopAxKPzSrbiCQ6KoxD9gMrwqhkHtnxMs" TargetMode="External"/><Relationship Id="rId953" Type="http://schemas.openxmlformats.org/officeDocument/2006/relationships/hyperlink" Target="https://drive.google.com/open?id=1D51xmYYsDlWkRFPh_MU2uGUmjNrYLMcOxoPoM89_OLg" TargetMode="External"/><Relationship Id="rId1029" Type="http://schemas.openxmlformats.org/officeDocument/2006/relationships/hyperlink" Target="https://drive.google.com/open?id=1vPgpyo5KwkkYOHcKUiZVN-i7Gi-n4OudoxZ86i1DynE" TargetMode="External"/><Relationship Id="rId1236" Type="http://schemas.openxmlformats.org/officeDocument/2006/relationships/hyperlink" Target="https://drive.google.com/open?id=1YqBBaniyF14mD60Fm1sG4tl90H188fWHllZV8WeghRc&amp;usp=drive_copy" TargetMode="External"/><Relationship Id="rId1790" Type="http://schemas.openxmlformats.org/officeDocument/2006/relationships/hyperlink" Target="https://docs.google.com/spreadsheets/d/1Gyp4t-UQBK08oZO6biQiBfeO2ByzVN5eUy_Awhv5KCo" TargetMode="External"/><Relationship Id="rId2634" Type="http://schemas.openxmlformats.org/officeDocument/2006/relationships/hyperlink" Target="https://docs.google.com/spreadsheets/d/15-OwXoXz34OvCqjAZ2nRt95M9w_mPT0G9Yv6SI6wV5Y" TargetMode="External"/><Relationship Id="rId2841" Type="http://schemas.openxmlformats.org/officeDocument/2006/relationships/hyperlink" Target="https://drive.google.com/open?id=1v94-53gvuSh_eOtsRIWOB6PO1E4V8VWq4vyiZu3ilIE" TargetMode="External"/><Relationship Id="rId82" Type="http://schemas.openxmlformats.org/officeDocument/2006/relationships/hyperlink" Target="https://docs.google.com/spreadsheets/d/1PaOdbkisq_h5JOWIsb20yQzuRUdWgHhIj9NjAje6Wyo/edit" TargetMode="External"/><Relationship Id="rId606" Type="http://schemas.openxmlformats.org/officeDocument/2006/relationships/hyperlink" Target="https://docs.google.com/spreadsheets/d/10rSsdMFG_Z0Uwv1XwEOPegONArA48eFzWIqg21PpqOs" TargetMode="External"/><Relationship Id="rId813" Type="http://schemas.openxmlformats.org/officeDocument/2006/relationships/hyperlink" Target="https://drive.google.com/open?id=1h0da8XbNWNtnvc2iqgmLRYia5n8Ip5prEHOVJEHIFD4" TargetMode="External"/><Relationship Id="rId1443" Type="http://schemas.openxmlformats.org/officeDocument/2006/relationships/hyperlink" Target="https://docs.google.com/open?id=1-Dx7y_31ZjX7fYtVRar7O_YSE4mdZnBmodjds8j_bgQ" TargetMode="External"/><Relationship Id="rId1650" Type="http://schemas.openxmlformats.org/officeDocument/2006/relationships/hyperlink" Target="https://docs.google.com/spreadsheets/d/1BKGz4VszRCofibN7fzSW16onHwd1FiEw8lKzXcKUvBU" TargetMode="External"/><Relationship Id="rId2701" Type="http://schemas.openxmlformats.org/officeDocument/2006/relationships/hyperlink" Target="https://drive.google.com/open?id=1KlknmlzdwCizIktTE1fk7Ov3VKf1zDKLF2eHBbbdjkE" TargetMode="External"/><Relationship Id="rId1303" Type="http://schemas.openxmlformats.org/officeDocument/2006/relationships/hyperlink" Target="https://docs.google.com/open?id=1LVaLs3dAZnPmRtkTeUSZWMie7s_xXnZYqev4OAV_NHE" TargetMode="External"/><Relationship Id="rId1510" Type="http://schemas.openxmlformats.org/officeDocument/2006/relationships/hyperlink" Target="https://docs.google.com/spreadsheets/d/1B0_xXXaZ8ZSCeiKzIlt_mubbOv9uwjelHVYI2_025Os" TargetMode="External"/><Relationship Id="rId3268" Type="http://schemas.openxmlformats.org/officeDocument/2006/relationships/hyperlink" Target="https://drive.google.com/open?id=15gskuiLJ7NnwRC3YF9-7hGMug8sEDze5zbG9chymo6U&amp;usp=drive_copy" TargetMode="External"/><Relationship Id="rId3475" Type="http://schemas.openxmlformats.org/officeDocument/2006/relationships/hyperlink" Target="https://docs.google.com/open?id=1VHeVNoEakEu_3Fys9GdA0tpaonxhxhDzgZdJEhTw7u0" TargetMode="External"/><Relationship Id="rId3682" Type="http://schemas.openxmlformats.org/officeDocument/2006/relationships/hyperlink" Target="https://docs.google.com/spreadsheets/d/18wpXdoseD-Gd9NYjhyF4oSdsGUtMnRmt2naZm3cfpFQ" TargetMode="External"/><Relationship Id="rId189" Type="http://schemas.openxmlformats.org/officeDocument/2006/relationships/hyperlink" Target="https://docs.google.com/spreadsheets/d/1SFRqnqu-IIJQSxnEIhELKQyf3Iq3elYSOWiTz3lxelQ/edit?usp=sharing" TargetMode="External"/><Relationship Id="rId396" Type="http://schemas.openxmlformats.org/officeDocument/2006/relationships/hyperlink" Target="https://drive.google.com/open?id=1HRxI6hz0luUE5zGREJtO7hMkntccRGx8FopS8oxozOk&amp;usp=drive_copy" TargetMode="External"/><Relationship Id="rId2077" Type="http://schemas.openxmlformats.org/officeDocument/2006/relationships/hyperlink" Target="https://drive.google.com/open?id=15KZ--t3Q0kkTCxhyfiIGFFjAhGJJsnt0xLok7nrdO38" TargetMode="External"/><Relationship Id="rId2284" Type="http://schemas.openxmlformats.org/officeDocument/2006/relationships/hyperlink" Target="https://drive.google.com/open?id=1Zo85uBGE13Qzd5paM2axQ0Ii1YohyoFaI_-_A5HcCoc&amp;usp=drive_copy" TargetMode="External"/><Relationship Id="rId2491" Type="http://schemas.openxmlformats.org/officeDocument/2006/relationships/hyperlink" Target="https://docs.google.com/open?id=1hpZT4rLx8oJP9qze-AN69HmDJwSjkfLUfdyUMBWBl3k" TargetMode="External"/><Relationship Id="rId3128" Type="http://schemas.openxmlformats.org/officeDocument/2006/relationships/hyperlink" Target="https://drive.google.com/open?id=1QIzz8HYesPRmic6Qkc5-ebla4knJzqQHHpoOj4BbwI0&amp;usp=drive_copy" TargetMode="External"/><Relationship Id="rId3335" Type="http://schemas.openxmlformats.org/officeDocument/2006/relationships/hyperlink" Target="https://docs.google.com/open?id=1JX5AXL24KPqv1kxPnPeXQjYkHRZoOYrTG4bk8cOzoII" TargetMode="External"/><Relationship Id="rId3542" Type="http://schemas.openxmlformats.org/officeDocument/2006/relationships/hyperlink" Target="https://docs.google.com/spreadsheets/d/1WGDjKIPLXSJ9aE63m6Pfrx8u3HA-zqjEqydTTYEuU40" TargetMode="External"/><Relationship Id="rId256" Type="http://schemas.openxmlformats.org/officeDocument/2006/relationships/hyperlink" Target="https://drive.google.com/open?id=1V4yH_7ezu-rVrsvOpho86IBurptJI6IfVo1WT8tJzBI&amp;usp=drive_copy" TargetMode="External"/><Relationship Id="rId463" Type="http://schemas.openxmlformats.org/officeDocument/2006/relationships/hyperlink" Target="https://docs.google.com/open?id=1otcXblFr9qww47uEYhaUS54PBj0BwNGf-EZ8AjS8yH4" TargetMode="External"/><Relationship Id="rId670" Type="http://schemas.openxmlformats.org/officeDocument/2006/relationships/hyperlink" Target="https://docs.google.com/spreadsheets/d/1Gpir0HMU-N9zt_jGne8XIfbSUW_8-K8jf6oflWxIePc" TargetMode="External"/><Relationship Id="rId1093" Type="http://schemas.openxmlformats.org/officeDocument/2006/relationships/hyperlink" Target="https://drive.google.com/open?id=1jXkfqSZqGAawLE9ECl2MxpNxfFkEtfAvk3PDxmRuIRw" TargetMode="External"/><Relationship Id="rId2144" Type="http://schemas.openxmlformats.org/officeDocument/2006/relationships/hyperlink" Target="https://drive.google.com/open?id=1Lk6E6szCZxhHjuz7lZa-A1CxGfD2ia3gaD7SYUWrlCw&amp;usp=drive_copy" TargetMode="External"/><Relationship Id="rId2351" Type="http://schemas.openxmlformats.org/officeDocument/2006/relationships/hyperlink" Target="https://docs.google.com/open?id=1_lB4xeo89spumEvb56SHsPLccl1hDrHyTSw3w4wSl6g" TargetMode="External"/><Relationship Id="rId3402" Type="http://schemas.openxmlformats.org/officeDocument/2006/relationships/hyperlink" Target="https://docs.google.com/spreadsheets/d/1rBfHBEcwMgZWV8H6veyT4I357O8fiuHjufKX3AAPC6g" TargetMode="External"/><Relationship Id="rId116" Type="http://schemas.openxmlformats.org/officeDocument/2006/relationships/hyperlink" Target="https://docs.google.com/spreadsheets/d/1kh844CdPHfDcq7zmoZ_b7sjKyOsERJEfTDSosd9fBRU/edit" TargetMode="External"/><Relationship Id="rId323" Type="http://schemas.openxmlformats.org/officeDocument/2006/relationships/hyperlink" Target="https://docs.google.com/open?id=13o-MrHOy5GLcrolWE6M5psOzd-f1KxHoaJis0Yff9XE" TargetMode="External"/><Relationship Id="rId530" Type="http://schemas.openxmlformats.org/officeDocument/2006/relationships/hyperlink" Target="https://docs.google.com/spreadsheets/d/17qWmDGno2f-lqhJn0NXfqFhjW-rp-CZGjPw0JvZQt80" TargetMode="External"/><Relationship Id="rId1160" Type="http://schemas.openxmlformats.org/officeDocument/2006/relationships/hyperlink" Target="https://drive.google.com/open?id=1VoWzqnXAG4wrW76pwo8BG4ArFcxU_NBzI4VBqkg0sBQ&amp;usp=drive_copy" TargetMode="External"/><Relationship Id="rId2004" Type="http://schemas.openxmlformats.org/officeDocument/2006/relationships/hyperlink" Target="https://drive.google.com/open?id=1f0Z3c9FhlPQcA_mStNucrGOMAA6WSd7OQOeTDngX6gk&amp;usp=drive_copy" TargetMode="External"/><Relationship Id="rId2211" Type="http://schemas.openxmlformats.org/officeDocument/2006/relationships/hyperlink" Target="https://docs.google.com/open?id=102r7nKugopJHYu-XT1-7cBNDOnKcIGuFNtRHRl_2mcg" TargetMode="External"/><Relationship Id="rId1020" Type="http://schemas.openxmlformats.org/officeDocument/2006/relationships/hyperlink" Target="https://drive.google.com/open?id=1wQ7Gp1aiuN3lQCKG1IF-1obOJ1fNlusp_nS6h4jRCvE&amp;usp=drive_copy" TargetMode="External"/><Relationship Id="rId1977" Type="http://schemas.openxmlformats.org/officeDocument/2006/relationships/hyperlink" Target="https://drive.google.com/open?id=16NmzZdRIh7OW3EYKMashGS-DuqM1W3V1603dcQGNJ2M" TargetMode="External"/><Relationship Id="rId1837" Type="http://schemas.openxmlformats.org/officeDocument/2006/relationships/hyperlink" Target="https://drive.google.com/open?id=13eMIV8XLrFIsrYh0yzSrWSulrLz-SVqY0-vlmEdsu_A" TargetMode="External"/><Relationship Id="rId3192" Type="http://schemas.openxmlformats.org/officeDocument/2006/relationships/hyperlink" Target="https://drive.google.com/open?id=1imT2Zwz9zf-XBmxV_g-zZwibwx9P-QFZPeT_cP-82FA&amp;usp=drive_copy" TargetMode="External"/><Relationship Id="rId3052" Type="http://schemas.openxmlformats.org/officeDocument/2006/relationships/hyperlink" Target="https://drive.google.com/open?id=13kXOsLZnCg9HnW_SotthyrcIsOrNgMh5odIQqbEt0qc&amp;usp=drive_copy" TargetMode="External"/><Relationship Id="rId180" Type="http://schemas.openxmlformats.org/officeDocument/2006/relationships/hyperlink" Target="https://docs.google.com/spreadsheets/d/1JCBJ85vRz7dN4Gd7Fk9fUV2BLUA4_5mtokNwPYUDdvM/edit" TargetMode="External"/><Relationship Id="rId1904" Type="http://schemas.openxmlformats.org/officeDocument/2006/relationships/hyperlink" Target="https://drive.google.com/open?id=1qxVlRP3gJvJ83GVBugCrfcFudx0x3WrH7RK4vJKZdRA&amp;usp=drive_copy" TargetMode="External"/><Relationship Id="rId3869" Type="http://schemas.openxmlformats.org/officeDocument/2006/relationships/hyperlink" Target="https://drive.google.com/open?id=1sPpECM-rL9ae2oTcbCokVyn1lkK79LtZ767loRcKsOo" TargetMode="External"/><Relationship Id="rId997" Type="http://schemas.openxmlformats.org/officeDocument/2006/relationships/hyperlink" Target="https://drive.google.com/open?id=1Y8yBx_fF-SEJ2Rk10WMp0ZvBOfcYbS1064Q07Wm0wno" TargetMode="External"/><Relationship Id="rId2678" Type="http://schemas.openxmlformats.org/officeDocument/2006/relationships/hyperlink" Target="https://docs.google.com/spreadsheets/d/1EGodTSi4EVGsscuAEweNLqHJexpFamluXrI8o4isKws" TargetMode="External"/><Relationship Id="rId2885" Type="http://schemas.openxmlformats.org/officeDocument/2006/relationships/hyperlink" Target="https://drive.google.com/open?id=15qvk2sQLMMWtLqCLn2YL-LAZOi6lcLH1svpqA0bhYiI" TargetMode="External"/><Relationship Id="rId3729" Type="http://schemas.openxmlformats.org/officeDocument/2006/relationships/hyperlink" Target="https://drive.google.com/open?id=1HtUSkXQu9RYEKgAWQqmPbFTbzZkrb9t3uAmfHXapDII" TargetMode="External"/><Relationship Id="rId3936" Type="http://schemas.openxmlformats.org/officeDocument/2006/relationships/hyperlink" Target="https://drive.google.com/open?id=1gBEDRqZ-XUZ4pkRpGMoP6Zk6dOHbTSvD8I8Ya9tKuXc&amp;usp=drive_copy" TargetMode="External"/><Relationship Id="rId857" Type="http://schemas.openxmlformats.org/officeDocument/2006/relationships/hyperlink" Target="https://drive.google.com/open?id=1vqcpIDfsJPgxHW6yf2s3coUSIobsgXr9ySfMuK_9-tA" TargetMode="External"/><Relationship Id="rId1487" Type="http://schemas.openxmlformats.org/officeDocument/2006/relationships/hyperlink" Target="https://docs.google.com/open?id=17PMZXRQ_1B6Qqk7TdJ-LPPZxpEjiF7EJs8iczNpoijc" TargetMode="External"/><Relationship Id="rId1694" Type="http://schemas.openxmlformats.org/officeDocument/2006/relationships/hyperlink" Target="https://docs.google.com/spreadsheets/d/1R0L5ciJv2yeK-jlb1a8GLazpOmD8SB8z61Uw26B4EO0" TargetMode="External"/><Relationship Id="rId2538" Type="http://schemas.openxmlformats.org/officeDocument/2006/relationships/hyperlink" Target="https://docs.google.com/spreadsheets/d/1hUu6hrodSNaoGtd6xwJ40UL3XVRZbrXOpkphpiJrEPw" TargetMode="External"/><Relationship Id="rId2745" Type="http://schemas.openxmlformats.org/officeDocument/2006/relationships/hyperlink" Target="https://drive.google.com/open?id=1iS7GQzTWD1xeGO-VZl3XCq2gJT68EXEs-laiahTPNSg" TargetMode="External"/><Relationship Id="rId2952" Type="http://schemas.openxmlformats.org/officeDocument/2006/relationships/hyperlink" Target="https://drive.google.com/open?id=1NXloLPdh5MiFLQRsbudsl6t9ZaJ0tBudRZhDhnbvPVM&amp;usp=drive_copy" TargetMode="External"/><Relationship Id="rId717" Type="http://schemas.openxmlformats.org/officeDocument/2006/relationships/hyperlink" Target="https://drive.google.com/open?id=1Scrz15EVMsypf1pcMUHNhoybcUnhsXxJFKEiAOmHZAo" TargetMode="External"/><Relationship Id="rId924" Type="http://schemas.openxmlformats.org/officeDocument/2006/relationships/hyperlink" Target="https://drive.google.com/open?id=1VBIFWNzu4ZyE7Y8gI-koV7eH1KkE2kYEabvwLkoyQHA&amp;usp=drive_copy" TargetMode="External"/><Relationship Id="rId1347" Type="http://schemas.openxmlformats.org/officeDocument/2006/relationships/hyperlink" Target="https://docs.google.com/open?id=17ctAtEfIrJCw-H4Lw-EIHBSHHCtK27c8i3nBUBx-dok" TargetMode="External"/><Relationship Id="rId1554" Type="http://schemas.openxmlformats.org/officeDocument/2006/relationships/hyperlink" Target="https://docs.google.com/spreadsheets/d/1NBY0ZrUrZ0MdRN3p9Q17R9pb47g5c1fISG7knOlCmEE" TargetMode="External"/><Relationship Id="rId1761" Type="http://schemas.openxmlformats.org/officeDocument/2006/relationships/hyperlink" Target="https://drive.google.com/open?id=1p_OgapkWx-5HjNula4UeZfj080vtBkeuUCZ0IbnMiqw" TargetMode="External"/><Relationship Id="rId2605" Type="http://schemas.openxmlformats.org/officeDocument/2006/relationships/hyperlink" Target="https://drive.google.com/open?id=1w9TkOwhLPHAt_8L4y3JJCg5I4gzwaCy2E1NfouMG7bM" TargetMode="External"/><Relationship Id="rId2812" Type="http://schemas.openxmlformats.org/officeDocument/2006/relationships/hyperlink" Target="https://drive.google.com/open?id=1f6ybG6ihbTg_jrev_6wUmBWAyhFAx1rZDSZ0tzjcXB8&amp;usp=drive_copy" TargetMode="External"/><Relationship Id="rId53" Type="http://schemas.openxmlformats.org/officeDocument/2006/relationships/hyperlink" Target="https://docs.google.com/spreadsheets/d/1FCUHjldnIpeRYJ089tn2UxQMNFBEnzJzB90UMvuvAQ4/edit?usp=sharing" TargetMode="External"/><Relationship Id="rId1207" Type="http://schemas.openxmlformats.org/officeDocument/2006/relationships/hyperlink" Target="https://docs.google.com/open?id=1_Z1hkM7SRuL3P9byoBqA47W_Ayd8EFpoIHDvKWY5EmU" TargetMode="External"/><Relationship Id="rId1414" Type="http://schemas.openxmlformats.org/officeDocument/2006/relationships/hyperlink" Target="https://docs.google.com/spreadsheets/d/1lUao2wmxTiEifXpnMqbltOkOVEkCh5fAzJBy1_d5gY8" TargetMode="External"/><Relationship Id="rId1621" Type="http://schemas.openxmlformats.org/officeDocument/2006/relationships/hyperlink" Target="https://drive.google.com/open?id=1AmKlJCKlDYJv3JiCFuqGgTQzhBtrQMnBYY964lmsTYw" TargetMode="External"/><Relationship Id="rId3379" Type="http://schemas.openxmlformats.org/officeDocument/2006/relationships/hyperlink" Target="https://docs.google.com/open?id=1ZAjs8uOUu7KESrx8g76IIGgkiTAegU2Tt0XLsaupjXk" TargetMode="External"/><Relationship Id="rId3586" Type="http://schemas.openxmlformats.org/officeDocument/2006/relationships/hyperlink" Target="https://docs.google.com/spreadsheets/d/1Igi7B-Q9byhFAZ9R8IO-jln7Gl5LHt4lfnQuSKwKl60" TargetMode="External"/><Relationship Id="rId3793" Type="http://schemas.openxmlformats.org/officeDocument/2006/relationships/hyperlink" Target="https://drive.google.com/open?id=1aD66S7fa7G9sym6uAMjXVUDcezM9e12I2ff_EFj0kig" TargetMode="External"/><Relationship Id="rId2188" Type="http://schemas.openxmlformats.org/officeDocument/2006/relationships/hyperlink" Target="https://drive.google.com/open?id=1eAUiwnv25gIxi_M3hv8Y_2BqqOMs7Hz56cYir8lp70M&amp;usp=drive_copy" TargetMode="External"/><Relationship Id="rId2395" Type="http://schemas.openxmlformats.org/officeDocument/2006/relationships/hyperlink" Target="https://docs.google.com/open?id=1YXoLIt-c7QGqA4FJ9oWi3ZPYX0JyzLkFWGf2aC-SkwU" TargetMode="External"/><Relationship Id="rId3239" Type="http://schemas.openxmlformats.org/officeDocument/2006/relationships/hyperlink" Target="https://docs.google.com/open?id=1xseDbL76iqEG-ydpQtSFkcuLXuUm_zOGpGJTfkOHJfE" TargetMode="External"/><Relationship Id="rId3446" Type="http://schemas.openxmlformats.org/officeDocument/2006/relationships/hyperlink" Target="https://docs.google.com/spreadsheets/d/1BQLMl-8UBuSeh_FgdAPlfzOpMjxjY9XTh4On8FtFbJE" TargetMode="External"/><Relationship Id="rId367" Type="http://schemas.openxmlformats.org/officeDocument/2006/relationships/hyperlink" Target="https://docs.google.com/open?id=1BfM1Y36k4wC-KmUwhmTbYQbvBXiMuVInq4baKJarnII" TargetMode="External"/><Relationship Id="rId574" Type="http://schemas.openxmlformats.org/officeDocument/2006/relationships/hyperlink" Target="https://docs.google.com/spreadsheets/d/1n5sWZltpsIm7cJhQVrF0clyV2ytJPBWzGhoGAnVcXNU" TargetMode="External"/><Relationship Id="rId2048" Type="http://schemas.openxmlformats.org/officeDocument/2006/relationships/hyperlink" Target="https://drive.google.com/open?id=1YH1tpdzFQjPmqYxFGID-KIc1M73TGdL9ohNRiS2KZpE&amp;usp=drive_copy" TargetMode="External"/><Relationship Id="rId2255" Type="http://schemas.openxmlformats.org/officeDocument/2006/relationships/hyperlink" Target="https://docs.google.com/open?id=1aKhwhoTo6OQOu-TLg1sLxgh8ATb2bYtbLjtQyDGX5Sg" TargetMode="External"/><Relationship Id="rId3653" Type="http://schemas.openxmlformats.org/officeDocument/2006/relationships/hyperlink" Target="https://drive.google.com/open?id=1YL-thVA9WsyYVWzPE53-uqCkY2pDDN0Urv2pbbKqh94" TargetMode="External"/><Relationship Id="rId3860" Type="http://schemas.openxmlformats.org/officeDocument/2006/relationships/hyperlink" Target="https://drive.google.com/open?id=1jObs-f0fcG_8ykBZQcT1C4OCWvDpQTexWm_gIpugJOs&amp;usp=drive_copy" TargetMode="External"/><Relationship Id="rId227" Type="http://schemas.openxmlformats.org/officeDocument/2006/relationships/hyperlink" Target="https://docs.google.com/open?id=18Zb6D4T3btM3qXlej17u7QtC9wK0j_qI_oXj57HwkKs" TargetMode="External"/><Relationship Id="rId781" Type="http://schemas.openxmlformats.org/officeDocument/2006/relationships/hyperlink" Target="https://drive.google.com/open?id=1hudjfA1PESgxzvm0EBhX9fasftTYv54YJd2Ei6dRapM" TargetMode="External"/><Relationship Id="rId2462" Type="http://schemas.openxmlformats.org/officeDocument/2006/relationships/hyperlink" Target="https://docs.google.com/spreadsheets/d/1jlBih2S5uvCFmSog67HGX-rXOJDxzrzzphu-TTfjIhU" TargetMode="External"/><Relationship Id="rId3306" Type="http://schemas.openxmlformats.org/officeDocument/2006/relationships/hyperlink" Target="https://docs.google.com/spreadsheets/d/1DE2t0QXu5zy-D3SIpM-HzPtPAJOjoyyE6cov2Draufo" TargetMode="External"/><Relationship Id="rId3513" Type="http://schemas.openxmlformats.org/officeDocument/2006/relationships/hyperlink" Target="https://drive.google.com/open?id=14AjmcSxFqO98I0h0kG6Pk1ZscuoTColeCO15tJvy1I4" TargetMode="External"/><Relationship Id="rId3720" Type="http://schemas.openxmlformats.org/officeDocument/2006/relationships/hyperlink" Target="https://drive.google.com/open?id=1YjVEQRCUIDfnygdO2tr6ZdE4nmIfuj5nl-rRwH7bOc0&amp;usp=drive_copy" TargetMode="External"/><Relationship Id="rId434" Type="http://schemas.openxmlformats.org/officeDocument/2006/relationships/hyperlink" Target="https://docs.google.com/spreadsheets/d/1gjKJcc4fjEHs9bZ7AL5vU3ozaX0XeN59sr1bDdfFhDo" TargetMode="External"/><Relationship Id="rId641" Type="http://schemas.openxmlformats.org/officeDocument/2006/relationships/hyperlink" Target="https://drive.google.com/open?id=10ZQgOSd-0NV2Wu0yzlwduOcSejh5hy0ZK-G0ZfJqk5E" TargetMode="External"/><Relationship Id="rId1064" Type="http://schemas.openxmlformats.org/officeDocument/2006/relationships/hyperlink" Target="https://drive.google.com/open?id=1nyt8JabHoQZBO5ILQhBG_Sj__zD2xgtWtYAOGnhypos&amp;usp=drive_copy" TargetMode="External"/><Relationship Id="rId1271" Type="http://schemas.openxmlformats.org/officeDocument/2006/relationships/hyperlink" Target="https://docs.google.com/open?id=1ehTXtNyKxI8sdWQJRalOE7CkLNIHyFSzeDerlfvIjho" TargetMode="External"/><Relationship Id="rId2115" Type="http://schemas.openxmlformats.org/officeDocument/2006/relationships/hyperlink" Target="https://docs.google.com/open?id=1MabMWeb11l_jAiWX5XaI1pSiAKaScicTVXK6tjp2KlU" TargetMode="External"/><Relationship Id="rId2322" Type="http://schemas.openxmlformats.org/officeDocument/2006/relationships/hyperlink" Target="https://docs.google.com/spreadsheets/d/1Tz9-x0Pu6yHJvTFIRmaxWv633DUoqbpjw2sD3YRv0nA" TargetMode="External"/><Relationship Id="rId501" Type="http://schemas.openxmlformats.org/officeDocument/2006/relationships/hyperlink" Target="https://drive.google.com/open?id=1BKzQyLoS7BSuZsRkiQApevcj2ZXn00Z3B8t-7Elt1lM" TargetMode="External"/><Relationship Id="rId1131" Type="http://schemas.openxmlformats.org/officeDocument/2006/relationships/hyperlink" Target="https://docs.google.com/open?id=1lwyss_7wMpUIv0Eb2qCb2YsEPlxjf0Fx4TJTyDHCL3Q" TargetMode="External"/><Relationship Id="rId3096" Type="http://schemas.openxmlformats.org/officeDocument/2006/relationships/hyperlink" Target="https://drive.google.com/open?id=1CpQlSWeyrqXlNd9ZJf8rGkAFLDdYCFcxRejlCGN8M9s&amp;usp=drive_copy" TargetMode="External"/><Relationship Id="rId1948" Type="http://schemas.openxmlformats.org/officeDocument/2006/relationships/hyperlink" Target="https://drive.google.com/open?id=1xmPvvV6D_6PxB9GT5NdPQTv2eJOtsA6v0GSQ1Xiu4a8&amp;usp=drive_copy" TargetMode="External"/><Relationship Id="rId3163" Type="http://schemas.openxmlformats.org/officeDocument/2006/relationships/hyperlink" Target="https://docs.google.com/open?id=1a8LV4npoimBfBVZdQqg1Db57ovM38klupR7YzhDNDCI" TargetMode="External"/><Relationship Id="rId3370" Type="http://schemas.openxmlformats.org/officeDocument/2006/relationships/hyperlink" Target="https://docs.google.com/spreadsheets/d/1Tq84tGbE9Zkelp4obL2UpRADSSk6UrGr8H1kwfc0FjM" TargetMode="External"/><Relationship Id="rId291" Type="http://schemas.openxmlformats.org/officeDocument/2006/relationships/hyperlink" Target="https://docs.google.com/open?id=1uY6Pz6tteiw0PV8afHgeCW4qi-ZPFno6zGTGTFVrdVg" TargetMode="External"/><Relationship Id="rId1808" Type="http://schemas.openxmlformats.org/officeDocument/2006/relationships/hyperlink" Target="https://drive.google.com/open?id=13XdAr_uOiINSRGWHFDHReJW5DqbVdCwUnPzlWN-nTPM&amp;usp=drive_copy" TargetMode="External"/><Relationship Id="rId3023" Type="http://schemas.openxmlformats.org/officeDocument/2006/relationships/hyperlink" Target="https://docs.google.com/open?id=1yVJSFzpNooqOgLJUGiWtKAZxsvOVpESm_ce_i1tvsvY" TargetMode="External"/><Relationship Id="rId151" Type="http://schemas.openxmlformats.org/officeDocument/2006/relationships/hyperlink" Target="https://docs.google.com/spreadsheets/d/16DJIlBw0Nb8RHzD_rV1mW0P61Ka_VUA33vdK-unwrRc/edit?usp=sharing" TargetMode="External"/><Relationship Id="rId3230" Type="http://schemas.openxmlformats.org/officeDocument/2006/relationships/hyperlink" Target="https://docs.google.com/spreadsheets/d/1wi98emzzWCsQjRb2OTNjUxya8qhrgXV8Ew9jbtSOpis" TargetMode="External"/><Relationship Id="rId2789" Type="http://schemas.openxmlformats.org/officeDocument/2006/relationships/hyperlink" Target="https://drive.google.com/open?id=1GUqqX2sUUIqUtHB-7RT8rcFxMd0I3LfOfcW5dGM5b5w" TargetMode="External"/><Relationship Id="rId2996" Type="http://schemas.openxmlformats.org/officeDocument/2006/relationships/hyperlink" Target="https://drive.google.com/open?id=1p7uvTMayYvM8cmBmRBJxovTB13d71VfVTxT69smOT0M&amp;usp=drive_copy" TargetMode="External"/><Relationship Id="rId968" Type="http://schemas.openxmlformats.org/officeDocument/2006/relationships/hyperlink" Target="https://drive.google.com/open?id=1Qa-Rt-lPbfDnuTDFE_19OQ6U0Vwv9FKOcpnhbmelh6w&amp;usp=drive_copy" TargetMode="External"/><Relationship Id="rId1598" Type="http://schemas.openxmlformats.org/officeDocument/2006/relationships/hyperlink" Target="https://docs.google.com/spreadsheets/d/1P_Uq8atya55FYnsbDHIdfixgL_JvDhgnKD9mHAzvdNE" TargetMode="External"/><Relationship Id="rId2649" Type="http://schemas.openxmlformats.org/officeDocument/2006/relationships/hyperlink" Target="https://drive.google.com/open?id=1A7ENQBIOfZAZGbp-VVBqZFoB-GKf8A-cFOvzvIVS888" TargetMode="External"/><Relationship Id="rId2856" Type="http://schemas.openxmlformats.org/officeDocument/2006/relationships/hyperlink" Target="https://drive.google.com/open?id=1NSKlN1dcSMn3V_13lnTKnPHZB5DyOSJWGOdV4pgZ8m8&amp;usp=drive_copy" TargetMode="External"/><Relationship Id="rId3907" Type="http://schemas.openxmlformats.org/officeDocument/2006/relationships/hyperlink" Target="https://docs.google.com/open?id=1YG8FCFfb_7C-VhPVWkjgcqsqSOCY3bVI7QNYB_FGnz0" TargetMode="External"/><Relationship Id="rId97" Type="http://schemas.openxmlformats.org/officeDocument/2006/relationships/hyperlink" Target="https://docs.google.com/spreadsheets/d/1j0Lk53rvth2OSnwbl_IFrDpyWIbY1rUqMlkzNIxd2Pw/edit?usp=sharing" TargetMode="External"/><Relationship Id="rId828" Type="http://schemas.openxmlformats.org/officeDocument/2006/relationships/hyperlink" Target="https://drive.google.com/open?id=1qpR5ONZQUsFyFulI_zYUaE953odJqd5EM5x3xK9XLW0&amp;usp=drive_copy" TargetMode="External"/><Relationship Id="rId1458" Type="http://schemas.openxmlformats.org/officeDocument/2006/relationships/hyperlink" Target="https://docs.google.com/spreadsheets/d/1uI7v9DVy6DgtP0OIaUYChG2cm3G-a0HSJYQR42y8gMk" TargetMode="External"/><Relationship Id="rId1665" Type="http://schemas.openxmlformats.org/officeDocument/2006/relationships/hyperlink" Target="https://drive.google.com/open?id=1jhjuq4k1Sat4zS4c9e0ZJ0n-mHfTg_q_M33uzaEHqPQ" TargetMode="External"/><Relationship Id="rId1872" Type="http://schemas.openxmlformats.org/officeDocument/2006/relationships/hyperlink" Target="https://drive.google.com/open?id=1JLEnSKhvhMnskThAaSG44hKeH6IbfKN66bdqj9l_0nU&amp;usp=drive_copy" TargetMode="External"/><Relationship Id="rId2509" Type="http://schemas.openxmlformats.org/officeDocument/2006/relationships/hyperlink" Target="https://drive.google.com/open?id=1fvNCC2t16Qfk_o9AkKJAv-d_2t-c3Xre99PuELZhPZI" TargetMode="External"/><Relationship Id="rId2716" Type="http://schemas.openxmlformats.org/officeDocument/2006/relationships/hyperlink" Target="https://drive.google.com/open?id=1tIXgfS-dcEy6_5BXEfusPr8ZzvcYQTZ4ccKowazlDVY&amp;usp=drive_copy" TargetMode="External"/><Relationship Id="rId1318" Type="http://schemas.openxmlformats.org/officeDocument/2006/relationships/hyperlink" Target="https://docs.google.com/spreadsheets/d/1s-L6qpGiijV9BQwFO--SrDFxriVRZmYTznS3vi4EEKw" TargetMode="External"/><Relationship Id="rId1525" Type="http://schemas.openxmlformats.org/officeDocument/2006/relationships/hyperlink" Target="https://drive.google.com/open?id=1Ku6IVJg6JSwAjBFTYmSAvpY8umlQSF_EevugWl3JX64" TargetMode="External"/><Relationship Id="rId2923" Type="http://schemas.openxmlformats.org/officeDocument/2006/relationships/hyperlink" Target="https://docs.google.com/open?id=15XzwiTLnXTVZU4W19qVl298eEfhfzwdZaYDqQkY-_hM" TargetMode="External"/><Relationship Id="rId1732" Type="http://schemas.openxmlformats.org/officeDocument/2006/relationships/hyperlink" Target="https://drive.google.com/open?id=1U_kPG4zCJtc6l-UJpJgBpPUPqFitSrp-l4jVTEIaJ24&amp;usp=drive_copy" TargetMode="External"/><Relationship Id="rId24" Type="http://schemas.openxmlformats.org/officeDocument/2006/relationships/hyperlink" Target="https://docs.google.com/spreadsheets/d/1mdEIdKk7Gr7TyJLVSqbwsXZAuZWLekCO3p-uKtz_UYs/edit" TargetMode="External"/><Relationship Id="rId2299" Type="http://schemas.openxmlformats.org/officeDocument/2006/relationships/hyperlink" Target="https://docs.google.com/open?id=1TRRqPufsYEUl_PyL7lkIkgBQ5pbDLDi8MOSLHu5EjuU" TargetMode="External"/><Relationship Id="rId3697" Type="http://schemas.openxmlformats.org/officeDocument/2006/relationships/hyperlink" Target="https://drive.google.com/open?id=1Mj88VmwjiSmHE8H5vF_BmqlUKbkSXPhyIef-g04zpMk" TargetMode="External"/><Relationship Id="rId3557" Type="http://schemas.openxmlformats.org/officeDocument/2006/relationships/hyperlink" Target="https://drive.google.com/open?id=1ctiHswOXHo3kzhA152GSX_39DI2sUMqj3xHK9Wqye9M" TargetMode="External"/><Relationship Id="rId3764" Type="http://schemas.openxmlformats.org/officeDocument/2006/relationships/hyperlink" Target="https://drive.google.com/open?id=1_39KRmdaiGIG7rtsK7ZAqFSYeD0enwDKt_RE51wckss&amp;usp=drive_copy" TargetMode="External"/><Relationship Id="rId478" Type="http://schemas.openxmlformats.org/officeDocument/2006/relationships/hyperlink" Target="https://docs.google.com/spreadsheets/d/1vVWJqM_ZEbT8aB0cn9bEM5_yDhPt4R5bzNmGTet2Orw" TargetMode="External"/><Relationship Id="rId685" Type="http://schemas.openxmlformats.org/officeDocument/2006/relationships/hyperlink" Target="https://drive.google.com/open?id=1Jk_5VSZ5FeXMMoESdIy82MTlH0QRHXsUPr3bwQLquuQ" TargetMode="External"/><Relationship Id="rId892" Type="http://schemas.openxmlformats.org/officeDocument/2006/relationships/hyperlink" Target="https://drive.google.com/open?id=1Kn2yL1dfiBBlB42c2hoKnGu68Jscz_7oUT4UqjabIUA&amp;usp=drive_copy" TargetMode="External"/><Relationship Id="rId2159" Type="http://schemas.openxmlformats.org/officeDocument/2006/relationships/hyperlink" Target="https://docs.google.com/open?id=1gp-STXwLZ7ksJXWsEH9Se3ppe-mCXxDjiCtHrDrGUi8" TargetMode="External"/><Relationship Id="rId2366" Type="http://schemas.openxmlformats.org/officeDocument/2006/relationships/hyperlink" Target="https://docs.google.com/spreadsheets/d/1C3sM5khnjwmFxar7TH3x9KEFFy2k4oIL2zEJBDDpgA4" TargetMode="External"/><Relationship Id="rId2573" Type="http://schemas.openxmlformats.org/officeDocument/2006/relationships/hyperlink" Target="https://drive.google.com/open?id=1qLY0KcjOX7FusoNyiFZK5bq0p_3x_Id1dbASVWLawMY" TargetMode="External"/><Relationship Id="rId2780" Type="http://schemas.openxmlformats.org/officeDocument/2006/relationships/hyperlink" Target="https://drive.google.com/open?id=1HLBRY_1Lkamd5VGg5i5rIfoNxlv4N5eZyCauIpJV7UY&amp;usp=drive_copy" TargetMode="External"/><Relationship Id="rId3417" Type="http://schemas.openxmlformats.org/officeDocument/2006/relationships/hyperlink" Target="https://drive.google.com/open?id=1v0B78fGKszZ0MIaj-OsnW-lOHAaOl0XbwGzHp5U5K90" TargetMode="External"/><Relationship Id="rId3624" Type="http://schemas.openxmlformats.org/officeDocument/2006/relationships/hyperlink" Target="https://drive.google.com/open?id=1VhOX0eYYn9UW6tI66ExqgnezmRHghm1suLHL-YT9a34&amp;usp=drive_copy" TargetMode="External"/><Relationship Id="rId3831" Type="http://schemas.openxmlformats.org/officeDocument/2006/relationships/hyperlink" Target="https://docs.google.com/open?id=1tZRJB1j9hziG_MFLArQoNBLT3XB73Dl60mxJ_A17UCk" TargetMode="External"/><Relationship Id="rId338" Type="http://schemas.openxmlformats.org/officeDocument/2006/relationships/hyperlink" Target="https://docs.google.com/spreadsheets/d/1G034Ca2SXPIjqSO13Pdt1kyW9xeO96TuNSKDyn9gYO0" TargetMode="External"/><Relationship Id="rId545" Type="http://schemas.openxmlformats.org/officeDocument/2006/relationships/hyperlink" Target="https://drive.google.com/open?id=1PFDpdbRVgz9VZlbHvv8WiY0UgO0HMj0hu7D7L2XJeho" TargetMode="External"/><Relationship Id="rId752" Type="http://schemas.openxmlformats.org/officeDocument/2006/relationships/hyperlink" Target="https://drive.google.com/open?id=1aPbxKEwoWAW89NUoyt5Dcy_08-96FShFe6vtAsXZh2o&amp;usp=drive_copy" TargetMode="External"/><Relationship Id="rId1175" Type="http://schemas.openxmlformats.org/officeDocument/2006/relationships/hyperlink" Target="https://docs.google.com/open?id=1XZ0nOf_lIIurh_0YI6XJjrazj_ubPlOlFvi6ZJ7-62M" TargetMode="External"/><Relationship Id="rId1382" Type="http://schemas.openxmlformats.org/officeDocument/2006/relationships/hyperlink" Target="https://docs.google.com/spreadsheets/d/1VtV1VuFXIUlrUnyhxzTLQHZn6W1o8vEdxdeLKZwOWDs" TargetMode="External"/><Relationship Id="rId2019" Type="http://schemas.openxmlformats.org/officeDocument/2006/relationships/hyperlink" Target="https://docs.google.com/open?id=1I3AF19kK7L1mKBHF-HNiBhq5ToSl1LbuuMHzVkPdcUo" TargetMode="External"/><Relationship Id="rId2226" Type="http://schemas.openxmlformats.org/officeDocument/2006/relationships/hyperlink" Target="https://docs.google.com/spreadsheets/d/1rY1y9v9wU3tikCxYk5bZrEOXkSjSmrYf_42fVy3Wq3E" TargetMode="External"/><Relationship Id="rId2433" Type="http://schemas.openxmlformats.org/officeDocument/2006/relationships/hyperlink" Target="https://drive.google.com/open?id=1X0c9rOIN3Ezxk5U_OM91vIdv2oTMZeLSywZ0MFV1WDA" TargetMode="External"/><Relationship Id="rId2640" Type="http://schemas.openxmlformats.org/officeDocument/2006/relationships/hyperlink" Target="https://drive.google.com/open?id=15cU8phFe_v0WfxgLXoIIL-nMuKNfBi50Fu-YZUp_p1U&amp;usp=drive_copy" TargetMode="External"/><Relationship Id="rId405" Type="http://schemas.openxmlformats.org/officeDocument/2006/relationships/hyperlink" Target="https://drive.google.com/open?id=1J0DAmpEaH89_h2SBfiNxboUl8qE5ivgl7Qfoj9UAAc4" TargetMode="External"/><Relationship Id="rId612" Type="http://schemas.openxmlformats.org/officeDocument/2006/relationships/hyperlink" Target="https://drive.google.com/open?id=14GktVkRn0hcgPE5YqXFMiYhXUeLQl4jqYJtvFgF6hTU&amp;usp=drive_copy" TargetMode="External"/><Relationship Id="rId1035" Type="http://schemas.openxmlformats.org/officeDocument/2006/relationships/hyperlink" Target="https://docs.google.com/open?id=1zV8tIvGoNK8aF3W0o-01UwnkDENQdvxe7JUTwTFxozA" TargetMode="External"/><Relationship Id="rId1242" Type="http://schemas.openxmlformats.org/officeDocument/2006/relationships/hyperlink" Target="https://docs.google.com/spreadsheets/d/1Qdkcu0bGP2GwNWE_f1ic2-g4KzvfN1l5y1NcBX5hZvk" TargetMode="External"/><Relationship Id="rId2500" Type="http://schemas.openxmlformats.org/officeDocument/2006/relationships/hyperlink" Target="https://drive.google.com/open?id=1zNTlPO-P72XhQpDpk2tL1wsxpPrfBm_WxVsuKUD-yYU&amp;usp=drive_copy" TargetMode="External"/><Relationship Id="rId1102" Type="http://schemas.openxmlformats.org/officeDocument/2006/relationships/hyperlink" Target="https://docs.google.com/spreadsheets/d/1Ej1fn9ZntzCVNzdS9n2ooJM8aheySbhVY0aOsvlIxqU" TargetMode="External"/><Relationship Id="rId3067" Type="http://schemas.openxmlformats.org/officeDocument/2006/relationships/hyperlink" Target="https://docs.google.com/open?id=17Ko1LM4jIp6bwuXmNtHl8M-offEqBv4yzu9oM9psBEg" TargetMode="External"/><Relationship Id="rId3274" Type="http://schemas.openxmlformats.org/officeDocument/2006/relationships/hyperlink" Target="https://docs.google.com/spreadsheets/d/16Kzkc0An9X9x9gpUv8X_iRGhP2YimemOCL6bkkRmHK4" TargetMode="External"/><Relationship Id="rId195" Type="http://schemas.openxmlformats.org/officeDocument/2006/relationships/hyperlink" Target="https://docs.google.com/spreadsheets/d/1fVfSMimdy8MezBZ50Zhmr4f0zSBYX83QLeZsMK4qqq4/edit?usp=sharing" TargetMode="External"/><Relationship Id="rId1919" Type="http://schemas.openxmlformats.org/officeDocument/2006/relationships/hyperlink" Target="https://docs.google.com/open?id=1ux_omYs00ZIRBqO_vvyjDrGxqtMqjIMPcLxc9xdvc20" TargetMode="External"/><Relationship Id="rId3481" Type="http://schemas.openxmlformats.org/officeDocument/2006/relationships/hyperlink" Target="https://drive.google.com/open?id=1hwkAUAByOT0oYcNjrPJFJL25inXb2j0PllUvrBO5hvQ" TargetMode="External"/><Relationship Id="rId2083" Type="http://schemas.openxmlformats.org/officeDocument/2006/relationships/hyperlink" Target="https://docs.google.com/open?id=1F_9OAvKz0KlFsPKIxwKI3CJWvfkj5tmmyxQqpkANOIc" TargetMode="External"/><Relationship Id="rId2290" Type="http://schemas.openxmlformats.org/officeDocument/2006/relationships/hyperlink" Target="https://docs.google.com/spreadsheets/d/1WqSWisKbH3gdREv0eGw5VBFk8RKNvQpjnt-ajyPCNvg" TargetMode="External"/><Relationship Id="rId3134" Type="http://schemas.openxmlformats.org/officeDocument/2006/relationships/hyperlink" Target="https://docs.google.com/spreadsheets/d/1R9wbltaLsx33FD0_S60X9zYWd8VCHYWJQuE6-tyjkds" TargetMode="External"/><Relationship Id="rId3341" Type="http://schemas.openxmlformats.org/officeDocument/2006/relationships/hyperlink" Target="https://drive.google.com/open?id=1NN1Kv0MfkYlHQUur9jCYPZ5bjPeTbmp8ZoqC6VmnXao" TargetMode="External"/><Relationship Id="rId262" Type="http://schemas.openxmlformats.org/officeDocument/2006/relationships/hyperlink" Target="https://docs.google.com/spreadsheets/d/1c7gv06DQzX8OMG64muBkEDU6ZJjbroMSSeWFQqiAAEQ" TargetMode="External"/><Relationship Id="rId2150" Type="http://schemas.openxmlformats.org/officeDocument/2006/relationships/hyperlink" Target="https://docs.google.com/spreadsheets/d/1jajxmCI0_tJWdvCbQ1ARhcQODExydt4nspmZoWDLbYE" TargetMode="External"/><Relationship Id="rId3201" Type="http://schemas.openxmlformats.org/officeDocument/2006/relationships/hyperlink" Target="https://drive.google.com/open?id=1nBVPq7ay0513lbZ-WpWkih-to-LE1aXP6d8jXDeovKY" TargetMode="External"/><Relationship Id="rId122" Type="http://schemas.openxmlformats.org/officeDocument/2006/relationships/hyperlink" Target="https://docs.google.com/spreadsheets/d/10CETA8Tx5g2bYkmtdBoA79NYoAe7ZizCUArcBQ63XsI/edit" TargetMode="External"/><Relationship Id="rId2010" Type="http://schemas.openxmlformats.org/officeDocument/2006/relationships/hyperlink" Target="https://docs.google.com/spreadsheets/d/1fU1JXOTykueNJng4Yr5LHGOHott98hjFCCQ3_vke5nQ" TargetMode="External"/><Relationship Id="rId1569" Type="http://schemas.openxmlformats.org/officeDocument/2006/relationships/hyperlink" Target="https://drive.google.com/open?id=1yBs1KJvR8yku7URbo6W8Er7IUlsdgx9l5z5Z2FxLw_g" TargetMode="External"/><Relationship Id="rId2967" Type="http://schemas.openxmlformats.org/officeDocument/2006/relationships/hyperlink" Target="https://docs.google.com/open?id=1WIeOo_cavCz6IzPv-79HsdP8DPAiY2XsnlSzhq_-wfw" TargetMode="External"/><Relationship Id="rId939" Type="http://schemas.openxmlformats.org/officeDocument/2006/relationships/hyperlink" Target="https://docs.google.com/open?id=1HTaVZe1FFZP8z6EJtKgSrY71HOWk1fPYEpqK9U86A_I" TargetMode="External"/><Relationship Id="rId1776" Type="http://schemas.openxmlformats.org/officeDocument/2006/relationships/hyperlink" Target="https://drive.google.com/open?id=1O-egH88Iib6M9rZre7M_JfG2fbOwBPlkGCSlQhpfDzg&amp;usp=drive_copy" TargetMode="External"/><Relationship Id="rId1983" Type="http://schemas.openxmlformats.org/officeDocument/2006/relationships/hyperlink" Target="https://docs.google.com/open?id=16MyVWQLNl7HMCmx8YWNFG_zmTXRoJ1gwvLsSTUWr_wg" TargetMode="External"/><Relationship Id="rId2827" Type="http://schemas.openxmlformats.org/officeDocument/2006/relationships/hyperlink" Target="https://docs.google.com/open?id=1_IlLrpMCR8JwfyVw7TeHCLEb5PHpLme-K6LRIFBUVm0" TargetMode="External"/><Relationship Id="rId68" Type="http://schemas.openxmlformats.org/officeDocument/2006/relationships/hyperlink" Target="https://docs.google.com/spreadsheets/d/1FHoQOeZxHYPJ1dJd8f93dICw251n_SWKzk0SR4e2G94/edit" TargetMode="External"/><Relationship Id="rId1429" Type="http://schemas.openxmlformats.org/officeDocument/2006/relationships/hyperlink" Target="https://drive.google.com/open?id=1pSfHN2dkWjKfTx0ozR33SlCLhNVIlZzj11stTESMz9Y" TargetMode="External"/><Relationship Id="rId1636" Type="http://schemas.openxmlformats.org/officeDocument/2006/relationships/hyperlink" Target="https://drive.google.com/open?id=1OKYNgBw1sRj1poxBM34onfhiZ9PZQdw3aYlmjHg2wx4&amp;usp=drive_copy" TargetMode="External"/><Relationship Id="rId1843" Type="http://schemas.openxmlformats.org/officeDocument/2006/relationships/hyperlink" Target="https://docs.google.com/open?id=1I7RkrNovslxB9JxiPXBExgVyzLZs3EkVNXTGrAx97qU" TargetMode="External"/><Relationship Id="rId1703" Type="http://schemas.openxmlformats.org/officeDocument/2006/relationships/hyperlink" Target="https://docs.google.com/open?id=1YuEcudYycIAEz6Kj5tfliBJzbEOJLch9G62k9JrIOh0" TargetMode="External"/><Relationship Id="rId1910" Type="http://schemas.openxmlformats.org/officeDocument/2006/relationships/hyperlink" Target="https://docs.google.com/spreadsheets/d/1zYL5bnFz5mu0SGSZvdxL0LUsjhwX4VzNaVuZnMUArCk" TargetMode="External"/><Relationship Id="rId3668" Type="http://schemas.openxmlformats.org/officeDocument/2006/relationships/hyperlink" Target="https://drive.google.com/open?id=1yjeF5-pkOGsYR_qPlRwkoxHwvdMtCJeEuOdytxXHgfs&amp;usp=drive_copy" TargetMode="External"/><Relationship Id="rId3875" Type="http://schemas.openxmlformats.org/officeDocument/2006/relationships/hyperlink" Target="https://docs.google.com/open?id=1uNIGa0BmylAikCZTRfDYS7Z0d1-o7ET-2vGbGpJLHnQ" TargetMode="External"/><Relationship Id="rId589" Type="http://schemas.openxmlformats.org/officeDocument/2006/relationships/hyperlink" Target="https://drive.google.com/open?id=1sHX0KoJRZc74ISydtKpHe0VS4-7QQtWaOe8XLATipOk" TargetMode="External"/><Relationship Id="rId796" Type="http://schemas.openxmlformats.org/officeDocument/2006/relationships/hyperlink" Target="https://drive.google.com/open?id=1r_4E1DJQBY0hYJ68f6K1LUruIPwYfjcgQ_f9QvwFH5c&amp;usp=drive_copy" TargetMode="External"/><Relationship Id="rId2477" Type="http://schemas.openxmlformats.org/officeDocument/2006/relationships/hyperlink" Target="https://drive.google.com/open?id=1C4qLmFbzdCUDhoZs1AxGfn3RXqtL1vs1dPHz29tN85A" TargetMode="External"/><Relationship Id="rId2684" Type="http://schemas.openxmlformats.org/officeDocument/2006/relationships/hyperlink" Target="https://drive.google.com/open?id=1GtMyGXZYhTZmt73tEue0FyKbQlpdxCgwlC3BHP5StoU&amp;usp=drive_copy" TargetMode="External"/><Relationship Id="rId3528" Type="http://schemas.openxmlformats.org/officeDocument/2006/relationships/hyperlink" Target="https://drive.google.com/open?id=1qCqj-iSsJPsQFZ560U3TOTy78w-l888Ydu7XQ3hU5hM&amp;usp=drive_copy" TargetMode="External"/><Relationship Id="rId3735" Type="http://schemas.openxmlformats.org/officeDocument/2006/relationships/hyperlink" Target="https://docs.google.com/open?id=1ekEFpD9xXi9Za6ydKgp1dK3cOzwLqtoRxwEOjmN053E" TargetMode="External"/><Relationship Id="rId449" Type="http://schemas.openxmlformats.org/officeDocument/2006/relationships/hyperlink" Target="https://drive.google.com/open?id=1klx-jM_uw9hDg7VHOS0x529_pFTS9wvAdIFBexxrz1Q" TargetMode="External"/><Relationship Id="rId656" Type="http://schemas.openxmlformats.org/officeDocument/2006/relationships/hyperlink" Target="https://drive.google.com/open?id=1EjeRz5LjopaQ45gFnAY5NQCQpWc4QFs5vhI2fhhU_cA&amp;usp=drive_copy" TargetMode="External"/><Relationship Id="rId863" Type="http://schemas.openxmlformats.org/officeDocument/2006/relationships/hyperlink" Target="https://docs.google.com/open?id=1x1nYgQm0DL8JVvoXjNimbVfc-ojGdplpqg0XdAUFygQ" TargetMode="External"/><Relationship Id="rId1079" Type="http://schemas.openxmlformats.org/officeDocument/2006/relationships/hyperlink" Target="https://docs.google.com/open?id=1gUp2of45r1p0dugD5kbOtWH35ont0ZVMOkqlLBlaYMo" TargetMode="External"/><Relationship Id="rId1286" Type="http://schemas.openxmlformats.org/officeDocument/2006/relationships/hyperlink" Target="https://docs.google.com/spreadsheets/d/1M4SpjUaM1L5pykCZK1fIbNtKEtSpv1PBHArHd0oBREc" TargetMode="External"/><Relationship Id="rId1493" Type="http://schemas.openxmlformats.org/officeDocument/2006/relationships/hyperlink" Target="https://drive.google.com/open?id=1DCuZVQKauRTcA4dptxnDsgbbW76ZTGTU8xmjQO61cwI" TargetMode="External"/><Relationship Id="rId2337" Type="http://schemas.openxmlformats.org/officeDocument/2006/relationships/hyperlink" Target="https://drive.google.com/open?id=18u4QNBSKaftLb7YCpVYjGjn_Vn_8GY-HN-gq9j9oNcU" TargetMode="External"/><Relationship Id="rId2544" Type="http://schemas.openxmlformats.org/officeDocument/2006/relationships/hyperlink" Target="https://drive.google.com/open?id=1j-raWHTDg7bIkhIrOWNc1kkM9Fs7t5o3DO5-62nSJVM&amp;usp=drive_copy" TargetMode="External"/><Relationship Id="rId2891" Type="http://schemas.openxmlformats.org/officeDocument/2006/relationships/hyperlink" Target="https://docs.google.com/open?id=1IMZkm8yKZby27A5acXdMX9BuSRfyc7XvRE9kjtzijxQ" TargetMode="External"/><Relationship Id="rId3942" Type="http://schemas.openxmlformats.org/officeDocument/2006/relationships/hyperlink" Target="https://docs.google.com/spreadsheets/d/1MiyDZVUXj1utHEsf2iRrXi2eY-C05IHgCItJy3NjnaU" TargetMode="External"/><Relationship Id="rId309" Type="http://schemas.openxmlformats.org/officeDocument/2006/relationships/hyperlink" Target="https://drive.google.com/open?id=10Zzf91qP1H2PDmRipKtckjdBJNkXcHj30vf15FYyiAA" TargetMode="External"/><Relationship Id="rId516" Type="http://schemas.openxmlformats.org/officeDocument/2006/relationships/hyperlink" Target="https://drive.google.com/open?id=1mTnATP6SNd_2SY_eHs-Bqbc6X5cLrzmtKhuS0qCmXzc&amp;usp=drive_copy" TargetMode="External"/><Relationship Id="rId1146" Type="http://schemas.openxmlformats.org/officeDocument/2006/relationships/hyperlink" Target="https://docs.google.com/spreadsheets/d/1rnBeGu67CR0QBG4_DNubbzEK5NSk5mlBzMw_7iZ6Hs8" TargetMode="External"/><Relationship Id="rId2751" Type="http://schemas.openxmlformats.org/officeDocument/2006/relationships/hyperlink" Target="https://docs.google.com/open?id=1dex4fmiuuWlVcHMMSrRcYibNGJHvdGqAj1gqWoj0SZo" TargetMode="External"/><Relationship Id="rId3802" Type="http://schemas.openxmlformats.org/officeDocument/2006/relationships/hyperlink" Target="https://docs.google.com/spreadsheets/d/1HUXoVXu9KF3uSLy1NeUvbYHN6NI1q7ecDNxcINSf-2k" TargetMode="External"/><Relationship Id="rId723" Type="http://schemas.openxmlformats.org/officeDocument/2006/relationships/hyperlink" Target="https://docs.google.com/open?id=1T1TlUoxuPrXb59J6Pq0GSChhFotWcNzNzg3saMpJlHI" TargetMode="External"/><Relationship Id="rId930" Type="http://schemas.openxmlformats.org/officeDocument/2006/relationships/hyperlink" Target="https://docs.google.com/spreadsheets/d/1Es6h2bPMIK8HsDuzV7ioeTJf-2Khr8Dv68dgUc1gUFA" TargetMode="External"/><Relationship Id="rId1006" Type="http://schemas.openxmlformats.org/officeDocument/2006/relationships/hyperlink" Target="https://docs.google.com/spreadsheets/d/1oMvRKCsxFE6sjk4cGmyuzDcOCu378H6gDJ8b3vLGNa4" TargetMode="External"/><Relationship Id="rId1353" Type="http://schemas.openxmlformats.org/officeDocument/2006/relationships/hyperlink" Target="https://drive.google.com/open?id=1I1UhfpkW-m-1Bd3aBTNW7KA6LO60WjaHn23KnBRDhj4" TargetMode="External"/><Relationship Id="rId1560" Type="http://schemas.openxmlformats.org/officeDocument/2006/relationships/hyperlink" Target="https://drive.google.com/open?id=1lgnXlgMkjjvSwG3rWgPLOQf-vw9nTsUWYbLbN0aE23Y&amp;usp=drive_copy" TargetMode="External"/><Relationship Id="rId2404" Type="http://schemas.openxmlformats.org/officeDocument/2006/relationships/hyperlink" Target="https://drive.google.com/open?id=18J-rPDBiPB6u-Rflumq7gBbzeQv6WylE_Hpoa7dVz04&amp;usp=drive_copy" TargetMode="External"/><Relationship Id="rId2611" Type="http://schemas.openxmlformats.org/officeDocument/2006/relationships/hyperlink" Target="https://docs.google.com/open?id=1wT6WZdIiN8LNxd30Go1lN5h7VTkHLPq-9zqeQsl9DoM" TargetMode="External"/><Relationship Id="rId1213" Type="http://schemas.openxmlformats.org/officeDocument/2006/relationships/hyperlink" Target="https://drive.google.com/open?id=1c1kWZJ6TJz2qnu7YAzZ4WQdqgEDxu959vzQkAKsOzBI" TargetMode="External"/><Relationship Id="rId1420" Type="http://schemas.openxmlformats.org/officeDocument/2006/relationships/hyperlink" Target="https://drive.google.com/open?id=1XJHv7jdPLbc1XBDOi1nsvUH78PfcxrQOIpN8ZMCEnzs&amp;usp=drive_copy" TargetMode="External"/><Relationship Id="rId3178" Type="http://schemas.openxmlformats.org/officeDocument/2006/relationships/hyperlink" Target="https://docs.google.com/spreadsheets/d/1hr4sEDv5ImRr72xB6QGjWoqkfIbcBtFGSs6Nzxs-iJo" TargetMode="External"/><Relationship Id="rId3385" Type="http://schemas.openxmlformats.org/officeDocument/2006/relationships/hyperlink" Target="https://drive.google.com/open?id=1csVtVocDwYktqQHT0X6msdnFWO0-LIeo5Pvful2mYe0" TargetMode="External"/><Relationship Id="rId3592" Type="http://schemas.openxmlformats.org/officeDocument/2006/relationships/hyperlink" Target="https://drive.google.com/open?id=1_mOIsl6Kzf2oblCtDdNkPF7l8gP9vmBlkEQKsWrz1KM&amp;usp=drive_copy" TargetMode="External"/><Relationship Id="rId2194" Type="http://schemas.openxmlformats.org/officeDocument/2006/relationships/hyperlink" Target="https://docs.google.com/spreadsheets/d/1MrejJrplIKDiOadU5wBIaPWbk_bEaP81_zrIL-04hKQ" TargetMode="External"/><Relationship Id="rId3038" Type="http://schemas.openxmlformats.org/officeDocument/2006/relationships/hyperlink" Target="https://docs.google.com/spreadsheets/d/11pSpAn6jZkEYXXgtUW34KYQKHn2n_QTc_Z9qr2r9go4" TargetMode="External"/><Relationship Id="rId3245" Type="http://schemas.openxmlformats.org/officeDocument/2006/relationships/hyperlink" Target="https://drive.google.com/open?id=11TI1BDEzXRacvim_OptN4swWA3caAZIuUCXrMABeO7I" TargetMode="External"/><Relationship Id="rId3452" Type="http://schemas.openxmlformats.org/officeDocument/2006/relationships/hyperlink" Target="https://drive.google.com/open?id=1J4_dGJ0Evjsn88mrszCUSfHjg7Sv7ek2a9AdeLZNGcs&amp;usp=drive_copy" TargetMode="External"/><Relationship Id="rId166" Type="http://schemas.openxmlformats.org/officeDocument/2006/relationships/hyperlink" Target="https://docs.google.com/spreadsheets/d/1j7MrwdSrEECtRHzxeftUW1sX2DcvEoz1zQYzxjxQJ60/edit" TargetMode="External"/><Relationship Id="rId373" Type="http://schemas.openxmlformats.org/officeDocument/2006/relationships/hyperlink" Target="https://drive.google.com/open?id=1C24n51dUAghWME3sjbKXDpU4l0jWyuZ8jJHxjN3_HL0" TargetMode="External"/><Relationship Id="rId580" Type="http://schemas.openxmlformats.org/officeDocument/2006/relationships/hyperlink" Target="https://drive.google.com/open?id=1oxvmIEAZSSpHSnqlebeMmpTXTl0exGkduKLiQzbjp00&amp;usp=drive_copy" TargetMode="External"/><Relationship Id="rId2054" Type="http://schemas.openxmlformats.org/officeDocument/2006/relationships/hyperlink" Target="https://docs.google.com/spreadsheets/d/13QhkliNcfriD2DUW8HuH6dOshknm0I0cqz7sQlTzgmI" TargetMode="External"/><Relationship Id="rId2261" Type="http://schemas.openxmlformats.org/officeDocument/2006/relationships/hyperlink" Target="https://drive.google.com/open?id=1n91_dZnAo6ulbP_WgpTe6DReCHsOLKzA0OoBXB3rE7E" TargetMode="External"/><Relationship Id="rId3105" Type="http://schemas.openxmlformats.org/officeDocument/2006/relationships/hyperlink" Target="https://drive.google.com/open?id=1EWIatL9Gr0INVKf3Rfp92LzAebemE5P8CXHdt_LomZQ" TargetMode="External"/><Relationship Id="rId3312" Type="http://schemas.openxmlformats.org/officeDocument/2006/relationships/hyperlink" Target="https://drive.google.com/open?id=1DreTUPvjfwZfdMHJ0RV1WXRdDItjSBuo1SnpO1WX0Bg&amp;usp=drive_copy" TargetMode="External"/><Relationship Id="rId233" Type="http://schemas.openxmlformats.org/officeDocument/2006/relationships/hyperlink" Target="https://drive.google.com/open?id=1H_gw3ELahMZC8ASucf06ahSp52mLRSeuzs9WqLHuA2U" TargetMode="External"/><Relationship Id="rId440" Type="http://schemas.openxmlformats.org/officeDocument/2006/relationships/hyperlink" Target="https://drive.google.com/open?id=1gjPzMk6r1lk_rGfRozFpEda6K5epzOqzLFAaYER5X3w&amp;usp=drive_copy" TargetMode="External"/><Relationship Id="rId1070" Type="http://schemas.openxmlformats.org/officeDocument/2006/relationships/hyperlink" Target="https://docs.google.com/spreadsheets/d/1u3c-H54YC0yYkqIRUdPXagzZHtdWLl-WsNSOsUA693g" TargetMode="External"/><Relationship Id="rId2121" Type="http://schemas.openxmlformats.org/officeDocument/2006/relationships/hyperlink" Target="https://drive.google.com/open?id=1jX14CpXtesjpB5tgFjcb3mrSIbWULZ-AotF87YvuNsY" TargetMode="External"/><Relationship Id="rId300" Type="http://schemas.openxmlformats.org/officeDocument/2006/relationships/hyperlink" Target="https://drive.google.com/open?id=1zuVHOafl08m2jZNZHiCWOmEPOxq6cwD9akQ1PkR1dEQ&amp;usp=drive_copy" TargetMode="External"/><Relationship Id="rId1887" Type="http://schemas.openxmlformats.org/officeDocument/2006/relationships/hyperlink" Target="https://docs.google.com/open?id=1SJRubbY7l7dcgLIMPyI6le2_CBx4wVxVAE2kasxIm9Y" TargetMode="External"/><Relationship Id="rId2938" Type="http://schemas.openxmlformats.org/officeDocument/2006/relationships/hyperlink" Target="https://docs.google.com/spreadsheets/d/1BsififttxAm_ypQ-el1S57hWPDPtTR2E_7UlI0wFcqY" TargetMode="External"/><Relationship Id="rId1747" Type="http://schemas.openxmlformats.org/officeDocument/2006/relationships/hyperlink" Target="https://docs.google.com/open?id=1bX4_htlOqKWKCW9xNvrHrxZSt6oE7Q1X-y9KDW4k49c" TargetMode="External"/><Relationship Id="rId1954" Type="http://schemas.openxmlformats.org/officeDocument/2006/relationships/hyperlink" Target="https://docs.google.com/spreadsheets/d/1uQ9JHX2PHGbkCLb3Nl-puhFM8TAyzueOIKu5LntVzUM" TargetMode="External"/><Relationship Id="rId39" Type="http://schemas.openxmlformats.org/officeDocument/2006/relationships/hyperlink" Target="https://docs.google.com/spreadsheets/d/1l1ee0kEYCAhG00p-dOwffGM5ewsPu44aSoHB723IlTw/edit?usp=sharing" TargetMode="External"/><Relationship Id="rId1607" Type="http://schemas.openxmlformats.org/officeDocument/2006/relationships/hyperlink" Target="https://docs.google.com/open?id=1ZxFfWGdhDcRY8GbsOm_dVlKVChEi0cduqg1zesDWfpY" TargetMode="External"/><Relationship Id="rId1814" Type="http://schemas.openxmlformats.org/officeDocument/2006/relationships/hyperlink" Target="https://docs.google.com/spreadsheets/d/1smYlJllyFxSDC7a-ozDjpGG1hoTNBhv6WlntctPNeto" TargetMode="External"/><Relationship Id="rId3779" Type="http://schemas.openxmlformats.org/officeDocument/2006/relationships/hyperlink" Target="https://docs.google.com/open?id=1aq8xfzCuk-0oCPc09GmTTT9HuSNJBLDrDEOg5pu7ePw" TargetMode="External"/><Relationship Id="rId2588" Type="http://schemas.openxmlformats.org/officeDocument/2006/relationships/hyperlink" Target="https://drive.google.com/open?id=1sx5WVhXNy6607d3_U7jfG-NEgRH4psUo-61KtcyYKGY&amp;usp=drive_copy" TargetMode="External"/><Relationship Id="rId1397" Type="http://schemas.openxmlformats.org/officeDocument/2006/relationships/hyperlink" Target="https://drive.google.com/open?id=1ys5ZaRCPKm6HywLUjjjNnUBNtGBYBbvxhUHvFQ4qtXk" TargetMode="External"/><Relationship Id="rId2795" Type="http://schemas.openxmlformats.org/officeDocument/2006/relationships/hyperlink" Target="https://docs.google.com/open?id=1GC_-EMnONn18eWpzwximFq5MMWMRoaBXdFM7ruWd1zM" TargetMode="External"/><Relationship Id="rId3639" Type="http://schemas.openxmlformats.org/officeDocument/2006/relationships/hyperlink" Target="https://docs.google.com/open?id=1hxBdbZw1SOqEdW8XqmgwKoLwu6HRBvC9xF4jkjV4rDY" TargetMode="External"/><Relationship Id="rId3846" Type="http://schemas.openxmlformats.org/officeDocument/2006/relationships/hyperlink" Target="https://docs.google.com/spreadsheets/d/1-3JhFXXVW8o5GzX7Ckq7KY5IRx3PBYngosj34uiJd7g" TargetMode="External"/><Relationship Id="rId767" Type="http://schemas.openxmlformats.org/officeDocument/2006/relationships/hyperlink" Target="https://docs.google.com/open?id=1cc0nC60HvZT-rjDdC-T_qjGOMNj7qr7Rawn8ISFSPuc" TargetMode="External"/><Relationship Id="rId974" Type="http://schemas.openxmlformats.org/officeDocument/2006/relationships/hyperlink" Target="https://docs.google.com/spreadsheets/d/1SiaExMdZMm1Dni-vyfUNFOrWmmVsozZMLGGJM0q_hnQ" TargetMode="External"/><Relationship Id="rId2448" Type="http://schemas.openxmlformats.org/officeDocument/2006/relationships/hyperlink" Target="https://drive.google.com/open?id=1Dijqr-OktZIwWV0-PK1ir9pszEpEVDmfjf99l_EhFmo&amp;usp=drive_copy" TargetMode="External"/><Relationship Id="rId2655" Type="http://schemas.openxmlformats.org/officeDocument/2006/relationships/hyperlink" Target="https://docs.google.com/open?id=1AMMlmC4XUlbgzoCrfB4-yxj8d7N3Ikzdi15FYBbxP9g" TargetMode="External"/><Relationship Id="rId2862" Type="http://schemas.openxmlformats.org/officeDocument/2006/relationships/hyperlink" Target="https://docs.google.com/spreadsheets/d/1Tf3iC2J5EUzrdRnyTeE4mOHjdS3w8bycoFotZrJyjlw" TargetMode="External"/><Relationship Id="rId3706" Type="http://schemas.openxmlformats.org/officeDocument/2006/relationships/hyperlink" Target="https://docs.google.com/spreadsheets/d/1f6kulBS3UlSu7KAfRoL4VX778WExd9vtP47kwZUsYqE" TargetMode="External"/><Relationship Id="rId3913" Type="http://schemas.openxmlformats.org/officeDocument/2006/relationships/hyperlink" Target="https://drive.google.com/open?id=1-NeEg7nf50XdGCSRBd2N1t-YTNjzk_8fBvgLsdFhFGU" TargetMode="External"/><Relationship Id="rId627" Type="http://schemas.openxmlformats.org/officeDocument/2006/relationships/hyperlink" Target="https://docs.google.com/open?id=17cM9UFvvKqifEPwUjT3QS4xTRbFQ0_UZl_eZ-jq2rzk" TargetMode="External"/><Relationship Id="rId834" Type="http://schemas.openxmlformats.org/officeDocument/2006/relationships/hyperlink" Target="https://docs.google.com/spreadsheets/d/1ka_ZCFmubGzHtBlmWPGgs7e1W9kN7l7EMDttPPG5ELc" TargetMode="External"/><Relationship Id="rId1257" Type="http://schemas.openxmlformats.org/officeDocument/2006/relationships/hyperlink" Target="https://drive.google.com/open?id=1cdSuyr-d86iL9kuHtngP0w4g8vgwBdMm9IB2dOWP-_8" TargetMode="External"/><Relationship Id="rId1464" Type="http://schemas.openxmlformats.org/officeDocument/2006/relationships/hyperlink" Target="https://drive.google.com/open?id=1wAOwX8JShRYK_TrAzJtVGPmWa5FvO7On8DSPnC018XQ&amp;usp=drive_copy" TargetMode="External"/><Relationship Id="rId1671" Type="http://schemas.openxmlformats.org/officeDocument/2006/relationships/hyperlink" Target="https://docs.google.com/open?id=1sE7EY91rg-Qo4QCzZdiSZxPdIAcvdZwllQsfa9An0Ak" TargetMode="External"/><Relationship Id="rId2308" Type="http://schemas.openxmlformats.org/officeDocument/2006/relationships/hyperlink" Target="https://drive.google.com/open?id=1Xb0r4Qtg6NAcXp3XGsicju53acBxOt5Rptgp4Q1quIY&amp;usp=drive_copy" TargetMode="External"/><Relationship Id="rId2515" Type="http://schemas.openxmlformats.org/officeDocument/2006/relationships/hyperlink" Target="https://docs.google.com/open?id=1X8M_NgcJludMMtabQT_1et3zj9a_YUYut9f1tLdbY4A" TargetMode="External"/><Relationship Id="rId2722" Type="http://schemas.openxmlformats.org/officeDocument/2006/relationships/hyperlink" Target="https://docs.google.com/spreadsheets/d/1sUZE1iVKscA9BL-_QSaoErR9lgGkVxkwuC5RyEU0yq8" TargetMode="External"/><Relationship Id="rId901" Type="http://schemas.openxmlformats.org/officeDocument/2006/relationships/hyperlink" Target="https://drive.google.com/open?id=1RZOcSjoSzOkP5YnNlLJv7nXNCo8hhzPRnwl65dW2FXs" TargetMode="External"/><Relationship Id="rId1117" Type="http://schemas.openxmlformats.org/officeDocument/2006/relationships/hyperlink" Target="https://drive.google.com/open?id=1I89-ivqqBLTbJ4zIJKYkwfz4sAqagth-EtFVNowz0PU" TargetMode="External"/><Relationship Id="rId1324" Type="http://schemas.openxmlformats.org/officeDocument/2006/relationships/hyperlink" Target="https://drive.google.com/open?id=1spbhJ9leRouDPHc59-QsvOpVu0HZJG_vS4I20yhg3DA&amp;usp=drive_copy" TargetMode="External"/><Relationship Id="rId1531" Type="http://schemas.openxmlformats.org/officeDocument/2006/relationships/hyperlink" Target="https://docs.google.com/open?id=1LqFLZW_eUurmtyfQLOzDSsHx14z9GnlepDz7V4O7uS8" TargetMode="External"/><Relationship Id="rId30" Type="http://schemas.openxmlformats.org/officeDocument/2006/relationships/hyperlink" Target="https://docs.google.com/spreadsheets/d/1AkWfNG3UYk9CuV0j5d1__OQ_WVIg-e7aEfe28o2mRGI/edit" TargetMode="External"/><Relationship Id="rId3289" Type="http://schemas.openxmlformats.org/officeDocument/2006/relationships/hyperlink" Target="https://drive.google.com/open?id=19yc9NmctTc2hyHNhanpq9BxpRXWOynRnf2imPsqdp28" TargetMode="External"/><Relationship Id="rId3496" Type="http://schemas.openxmlformats.org/officeDocument/2006/relationships/hyperlink" Target="https://drive.google.com/open?id=1fbASbdOk6qezIFeASok8XuHnJ5La5Gfv0GGAkgJj468&amp;usp=drive_copy" TargetMode="External"/><Relationship Id="rId2098" Type="http://schemas.openxmlformats.org/officeDocument/2006/relationships/hyperlink" Target="https://docs.google.com/spreadsheets/d/1qwXEmEX155112a9wvWtRYTctoBhotoIAq4SwhNWQGq0" TargetMode="External"/><Relationship Id="rId3149" Type="http://schemas.openxmlformats.org/officeDocument/2006/relationships/hyperlink" Target="https://drive.google.com/open?id=1YLlvgfTuo2NZZkChUDmDqRmzzYZIhfhGyz2AW3J3xh4" TargetMode="External"/><Relationship Id="rId3356" Type="http://schemas.openxmlformats.org/officeDocument/2006/relationships/hyperlink" Target="https://drive.google.com/open?id=1Pp76r7Ak4DuylWBxzrWd6SYxU6NF6ZiTCOTpZimQIJo&amp;usp=drive_copy" TargetMode="External"/><Relationship Id="rId3563" Type="http://schemas.openxmlformats.org/officeDocument/2006/relationships/hyperlink" Target="https://docs.google.com/open?id=1w9UDOhqKhK10CRAoIXE2ha0jsDoUupzOTUA82u2byeU" TargetMode="External"/><Relationship Id="rId277" Type="http://schemas.openxmlformats.org/officeDocument/2006/relationships/hyperlink" Target="https://drive.google.com/open?id=1oXgW9d39z9Ms3zj6EQ_JgQZZGZMYRDeEVH0gGj1xLs8" TargetMode="External"/><Relationship Id="rId484" Type="http://schemas.openxmlformats.org/officeDocument/2006/relationships/hyperlink" Target="https://drive.google.com/open?id=1wY0EQWBPA5XkGfdYi5TQrYeuM9fq39UgRZeQC3E-7NU&amp;usp=drive_copy" TargetMode="External"/><Relationship Id="rId2165" Type="http://schemas.openxmlformats.org/officeDocument/2006/relationships/hyperlink" Target="https://drive.google.com/open?id=1kiSshQuQgpKyFFh5lh66q67s7KCAJ3wlZ5vtWI0lHcg" TargetMode="External"/><Relationship Id="rId3009" Type="http://schemas.openxmlformats.org/officeDocument/2006/relationships/hyperlink" Target="https://drive.google.com/open?id=1uFFREyj9FnrBR7QtVPEqYaXaViO_p0eGWshC7pUa8sY" TargetMode="External"/><Relationship Id="rId3216" Type="http://schemas.openxmlformats.org/officeDocument/2006/relationships/hyperlink" Target="https://drive.google.com/open?id=1tnkLhF9Kn3oaTPa60FYDCDC-brmRWrG3qMqMDEBUeck&amp;usp=drive_copy" TargetMode="External"/><Relationship Id="rId3770" Type="http://schemas.openxmlformats.org/officeDocument/2006/relationships/hyperlink" Target="https://docs.google.com/spreadsheets/d/1Yp7MGDRhRootSQcpTiZSPHdr0pJe93NgN45rRBfdZSk" TargetMode="External"/><Relationship Id="rId137" Type="http://schemas.openxmlformats.org/officeDocument/2006/relationships/hyperlink" Target="https://docs.google.com/spreadsheets/d/1sl21ob5CwA2C6Z6MtX2jkH3TdulxFTTFLsQXA5H5YxM/edit?usp=sharing" TargetMode="External"/><Relationship Id="rId344" Type="http://schemas.openxmlformats.org/officeDocument/2006/relationships/hyperlink" Target="https://drive.google.com/open?id=17HoejRUtYdUex9FEOd11KvVVGbOhTZZ59f8aZATV5FI&amp;usp=drive_copy" TargetMode="External"/><Relationship Id="rId691" Type="http://schemas.openxmlformats.org/officeDocument/2006/relationships/hyperlink" Target="https://docs.google.com/open?id=1JnDnaAKndNVUL00xE3ufawSO5PejocdvIEdEQHCKQlw" TargetMode="External"/><Relationship Id="rId2025" Type="http://schemas.openxmlformats.org/officeDocument/2006/relationships/hyperlink" Target="https://drive.google.com/open?id=1sGrah5s8iEACXhZq_fvr19mWahjeuT0zh2ZVftcP-3k" TargetMode="External"/><Relationship Id="rId2372" Type="http://schemas.openxmlformats.org/officeDocument/2006/relationships/hyperlink" Target="https://drive.google.com/open?id=1DVU_uAKjdkGavMu_hijFuuToS4tOFsYkHQ0O7Lo-cPw&amp;usp=drive_copy" TargetMode="External"/><Relationship Id="rId3423" Type="http://schemas.openxmlformats.org/officeDocument/2006/relationships/hyperlink" Target="https://docs.google.com/open?id=1wvernDXmT_2VrScpmuBFFqYiEp5inaacKpnz9OgbA7c" TargetMode="External"/><Relationship Id="rId3630" Type="http://schemas.openxmlformats.org/officeDocument/2006/relationships/hyperlink" Target="https://docs.google.com/spreadsheets/d/1GHl_BhP-EU9pjuHRxjFgow14W8msGSYW2g81zoBcegc" TargetMode="External"/><Relationship Id="rId551" Type="http://schemas.openxmlformats.org/officeDocument/2006/relationships/hyperlink" Target="https://docs.google.com/open?id=1RCIJO0JhFeMMnnju70d3As6zQjRA7MVNAIpbilwf-fg" TargetMode="External"/><Relationship Id="rId1181" Type="http://schemas.openxmlformats.org/officeDocument/2006/relationships/hyperlink" Target="https://drive.google.com/open?id=1RF_SaQ8OXRxtpMgTxwUdfOuwgKhTzVvKcjdfy5a-Q0o" TargetMode="External"/><Relationship Id="rId2232" Type="http://schemas.openxmlformats.org/officeDocument/2006/relationships/hyperlink" Target="https://drive.google.com/open?id=1zmrMFDtuU7Zb3qQokSgZvMH6lwHO2rzwp_0JiY5R4h8&amp;usp=drive_copy" TargetMode="External"/><Relationship Id="rId204" Type="http://schemas.openxmlformats.org/officeDocument/2006/relationships/hyperlink" Target="https://docs.google.com/spreadsheets/d/1gZ5dijV7J-SO8JaIDXQwuhoyxd7N0m6xVceIV7hOjaM/edit" TargetMode="External"/><Relationship Id="rId411" Type="http://schemas.openxmlformats.org/officeDocument/2006/relationships/hyperlink" Target="https://docs.google.com/open?id=1J3U-LaPM34_WDdgxDeVoMfwJHY-BdwXO6cpgiOzNGZM" TargetMode="External"/><Relationship Id="rId1041" Type="http://schemas.openxmlformats.org/officeDocument/2006/relationships/hyperlink" Target="https://drive.google.com/open?id=13YSRYTciJoU95rV7WBPkBKL52TKOuw2safWr01Df0-g" TargetMode="External"/><Relationship Id="rId1998" Type="http://schemas.openxmlformats.org/officeDocument/2006/relationships/hyperlink" Target="https://docs.google.com/spreadsheets/d/1fRTVWq5RsLQHXiDjB1uhc_0c6GRGIzAkt24qjlxFN5o" TargetMode="External"/><Relationship Id="rId1858" Type="http://schemas.openxmlformats.org/officeDocument/2006/relationships/hyperlink" Target="https://docs.google.com/spreadsheets/d/1X90azS6cpnwgPxZJZSS908nJMF-RJqkzZQmRNM-GSzU" TargetMode="External"/><Relationship Id="rId2909" Type="http://schemas.openxmlformats.org/officeDocument/2006/relationships/hyperlink" Target="https://drive.google.com/open?id=1wVihCEqK9oub6pMR7JEDElWSDWyEFx1YWo0ARiyhgcc" TargetMode="External"/><Relationship Id="rId3073" Type="http://schemas.openxmlformats.org/officeDocument/2006/relationships/hyperlink" Target="https://drive.google.com/open?id=19hwfWzDWGGP-vUtMI-Akz-XGqskRXgTxSNYezb8qyXY" TargetMode="External"/><Relationship Id="rId3280" Type="http://schemas.openxmlformats.org/officeDocument/2006/relationships/hyperlink" Target="https://drive.google.com/open?id=18tSqRAUgcfwLQyGvD-S2v9IScY0XVSq6dLjtSiGUSvE&amp;usp=drive_copy" TargetMode="External"/><Relationship Id="rId1718" Type="http://schemas.openxmlformats.org/officeDocument/2006/relationships/hyperlink" Target="https://docs.google.com/spreadsheets/d/1jrewA50US-kcfwsHtGixg5WmlbNYmireP83_lqHx9qo" TargetMode="External"/><Relationship Id="rId1925" Type="http://schemas.openxmlformats.org/officeDocument/2006/relationships/hyperlink" Target="https://drive.google.com/open?id=1MjSJ48VsUvAW9wEYhku_bTzxlU7EC2eYH8buDy7GMn0" TargetMode="External"/><Relationship Id="rId3140" Type="http://schemas.openxmlformats.org/officeDocument/2006/relationships/hyperlink" Target="https://drive.google.com/open?id=1Rf_DQtYJqINOD9eJuejVgUtrhGdHCajPjJp7VG1DiZs&amp;usp=drive_copy" TargetMode="External"/><Relationship Id="rId2699" Type="http://schemas.openxmlformats.org/officeDocument/2006/relationships/hyperlink" Target="https://docs.google.com/open?id=1Ktsuh0-AFhJe76t0Pi334cE3ekohdRbPx2bysuw-sG4" TargetMode="External"/><Relationship Id="rId3000" Type="http://schemas.openxmlformats.org/officeDocument/2006/relationships/hyperlink" Target="https://drive.google.com/open?id=1qb1eOF5I_ykC4cNtNDoPOpiuPVxDie5KqzwQvzCBF-s&amp;usp=drive_copy" TargetMode="External"/><Relationship Id="rId878" Type="http://schemas.openxmlformats.org/officeDocument/2006/relationships/hyperlink" Target="https://docs.google.com/spreadsheets/d/1cTg3xUvhDaFWyE5aoIHPvBLFjFcxxdD2oEMDUw3CaVY" TargetMode="External"/><Relationship Id="rId2559" Type="http://schemas.openxmlformats.org/officeDocument/2006/relationships/hyperlink" Target="https://docs.google.com/open?id=1kEC64J6e8Q_50XIjvhn6Wp-Fcg0WzH9a4oBMGplL_Cc" TargetMode="External"/><Relationship Id="rId2766" Type="http://schemas.openxmlformats.org/officeDocument/2006/relationships/hyperlink" Target="https://docs.google.com/spreadsheets/d/1YELInT8SSBdYpiVlIAGwh7WCJDvXKgQuw-Jk_gt43w8" TargetMode="External"/><Relationship Id="rId2973" Type="http://schemas.openxmlformats.org/officeDocument/2006/relationships/hyperlink" Target="https://drive.google.com/open?id=1bpanpWhQGFeHYhtox_A-JZcht_rFGNVfcwih-ljQgW8" TargetMode="External"/><Relationship Id="rId3817" Type="http://schemas.openxmlformats.org/officeDocument/2006/relationships/hyperlink" Target="https://drive.google.com/open?id=1onvwJOD3spBRN2COXsvyKzx5dTdKAme7H2G7ceBgQMs" TargetMode="External"/><Relationship Id="rId738" Type="http://schemas.openxmlformats.org/officeDocument/2006/relationships/hyperlink" Target="https://docs.google.com/spreadsheets/d/188gvfRHY-Lhh0buPxNcpokgAmKt2u7SV1hIsUVuVCrQ" TargetMode="External"/><Relationship Id="rId945" Type="http://schemas.openxmlformats.org/officeDocument/2006/relationships/hyperlink" Target="https://drive.google.com/open?id=1nrzWTiKA9ldC2FGpwiAyr3risojtNYjoRHz63RvDSfg" TargetMode="External"/><Relationship Id="rId1368" Type="http://schemas.openxmlformats.org/officeDocument/2006/relationships/hyperlink" Target="https://drive.google.com/open?id=1RkY9vgAvvnwrhVQkyDoLOh52B2LswQkqzwCLbyEDhUY&amp;usp=drive_copy" TargetMode="External"/><Relationship Id="rId1575" Type="http://schemas.openxmlformats.org/officeDocument/2006/relationships/hyperlink" Target="https://docs.google.com/open?id=1yhh5SIiKlDKerXM1zWFx3u6bfsWibIKjK8yjZy5wBwI" TargetMode="External"/><Relationship Id="rId1782" Type="http://schemas.openxmlformats.org/officeDocument/2006/relationships/hyperlink" Target="https://docs.google.com/spreadsheets/d/1vf9IH1TNEzD_gmwTsqRsxcuNdYEbaq1G0-xDRGPnyqs" TargetMode="External"/><Relationship Id="rId2419" Type="http://schemas.openxmlformats.org/officeDocument/2006/relationships/hyperlink" Target="https://docs.google.com/open?id=1Dk6MbPFSP5TugVSenmzuxwYGZyOxYX3l8PUwjiX__Es" TargetMode="External"/><Relationship Id="rId2626" Type="http://schemas.openxmlformats.org/officeDocument/2006/relationships/hyperlink" Target="https://docs.google.com/spreadsheets/d/13_dDIvMy9lHcIsdHvdy4RDWKzFPH6Hgs4rKd7TyzFl8" TargetMode="External"/><Relationship Id="rId2833" Type="http://schemas.openxmlformats.org/officeDocument/2006/relationships/hyperlink" Target="https://drive.google.com/open?id=1G3KXYnyJg44v2A7MN_5-eQd0dGuxRhmYMgUmmWZ61zw" TargetMode="External"/><Relationship Id="rId74" Type="http://schemas.openxmlformats.org/officeDocument/2006/relationships/hyperlink" Target="https://docs.google.com/spreadsheets/d/1soxDTyCIvMXeAcorKNFbzHABCx_PqNab5bzfGd-64A4/edit" TargetMode="External"/><Relationship Id="rId805" Type="http://schemas.openxmlformats.org/officeDocument/2006/relationships/hyperlink" Target="https://drive.google.com/open?id=1jQ-7c5ERC3tXeayZb7oi74uqtsIppLSQRPAb2tzZs38" TargetMode="External"/><Relationship Id="rId1228" Type="http://schemas.openxmlformats.org/officeDocument/2006/relationships/hyperlink" Target="https://drive.google.com/open?id=1RAiyBpviyDH1LaSdNuoxdJepOzToEft0FTmR7G9UtUc&amp;usp=drive_copy" TargetMode="External"/><Relationship Id="rId1435" Type="http://schemas.openxmlformats.org/officeDocument/2006/relationships/hyperlink" Target="https://docs.google.com/open?id=1mZWWVltoMCDTOP9Wgo01tGmHcxLtDX60eDtdD9dKRoI" TargetMode="External"/><Relationship Id="rId1642" Type="http://schemas.openxmlformats.org/officeDocument/2006/relationships/hyperlink" Target="https://docs.google.com/spreadsheets/d/15NnHwZNtdLvNa8kYHxaRq_aLhBMi5k1IUcV6fQmrbuw" TargetMode="External"/><Relationship Id="rId2900" Type="http://schemas.openxmlformats.org/officeDocument/2006/relationships/hyperlink" Target="https://drive.google.com/open?id=1gLvyPzUQ7pJx2S8jphwgB5IRLAR4qmgspg6kZfl1VhU&amp;usp=drive_copy" TargetMode="External"/><Relationship Id="rId1502" Type="http://schemas.openxmlformats.org/officeDocument/2006/relationships/hyperlink" Target="https://docs.google.com/spreadsheets/d/1512O-Mm7NdBhYen1YMEKrCEvruG_laGphSRrGhqy61k" TargetMode="External"/><Relationship Id="rId388" Type="http://schemas.openxmlformats.org/officeDocument/2006/relationships/hyperlink" Target="https://docs.google.com/spreadsheets/d/1rca7FK11fX25ETdQ2QXO9FWeCoDB76u-aScPoDiZU2k/edit?usp=sharing" TargetMode="External"/><Relationship Id="rId2069" Type="http://schemas.openxmlformats.org/officeDocument/2006/relationships/hyperlink" Target="https://drive.google.com/open?id=1kFh-M-hT8ij3Uec8M8S6NZ1xdxzBrB7XYxkvhSPqxGU" TargetMode="External"/><Relationship Id="rId3467" Type="http://schemas.openxmlformats.org/officeDocument/2006/relationships/hyperlink" Target="https://docs.google.com/open?id=1MKr_jjc4GXU_Zmbncl1XMESpZh3TKe1CYRcrgEzOrc4" TargetMode="External"/><Relationship Id="rId3674" Type="http://schemas.openxmlformats.org/officeDocument/2006/relationships/hyperlink" Target="https://docs.google.com/spreadsheets/d/1QmUi7ARVrPxxYYnSt19fF4Ks8563tp3d8KxOA8uZSgY" TargetMode="External"/><Relationship Id="rId3881" Type="http://schemas.openxmlformats.org/officeDocument/2006/relationships/hyperlink" Target="https://drive.google.com/open?id=1tIX7CR72CMcniyd5f-f6DZd34NVygmN7eq59zwbplgE" TargetMode="External"/><Relationship Id="rId595" Type="http://schemas.openxmlformats.org/officeDocument/2006/relationships/hyperlink" Target="https://docs.google.com/open?id=1zBfcx0TdF003nr_rzPiSnZ4drRXMsiwquWfhrFJ0A54" TargetMode="External"/><Relationship Id="rId2276" Type="http://schemas.openxmlformats.org/officeDocument/2006/relationships/hyperlink" Target="https://drive.google.com/open?id=1zif92Bq28Io-nQ6s0AfutKm_ZvBTTgyYv8JscmasLRM&amp;usp=drive_copy" TargetMode="External"/><Relationship Id="rId2483" Type="http://schemas.openxmlformats.org/officeDocument/2006/relationships/hyperlink" Target="https://docs.google.com/open?id=1mOXbF6yfi6oNvpmZMbJmkg3T_Qp9tOva4cXGq7N9gM0" TargetMode="External"/><Relationship Id="rId2690" Type="http://schemas.openxmlformats.org/officeDocument/2006/relationships/hyperlink" Target="https://docs.google.com/spreadsheets/d/1IccExUFXt5XdjHHTMrTFVK-VM4nKT4kcsB6qQ482lao" TargetMode="External"/><Relationship Id="rId3327" Type="http://schemas.openxmlformats.org/officeDocument/2006/relationships/hyperlink" Target="https://docs.google.com/open?id=1Hv6VNG6hlABhvRK5K9_0ZFagpo-NXNhJcAbMzbVL--Q" TargetMode="External"/><Relationship Id="rId3534" Type="http://schemas.openxmlformats.org/officeDocument/2006/relationships/hyperlink" Target="https://docs.google.com/spreadsheets/d/1gnt4AFyXmaaRGzayHdK0_PmNalG3gRic42cC1r0nYrw" TargetMode="External"/><Relationship Id="rId3741" Type="http://schemas.openxmlformats.org/officeDocument/2006/relationships/hyperlink" Target="https://drive.google.com/open?id=1YiQnxI8HHD64PfzhO12VtbZTG1UoHBp5aEZ0BAgKhJM" TargetMode="External"/><Relationship Id="rId248" Type="http://schemas.openxmlformats.org/officeDocument/2006/relationships/hyperlink" Target="https://drive.google.com/open?id=1PQ3epZ0_cfiTD7AcemI5BM1GW7jf3rCZXMMtmZXwkpg&amp;usp=drive_copy" TargetMode="External"/><Relationship Id="rId455" Type="http://schemas.openxmlformats.org/officeDocument/2006/relationships/hyperlink" Target="https://docs.google.com/open?id=1l_3BOphgSKiWS005QTyeceTwr4E4b1r5573yNsuQWMQ" TargetMode="External"/><Relationship Id="rId662" Type="http://schemas.openxmlformats.org/officeDocument/2006/relationships/hyperlink" Target="https://docs.google.com/spreadsheets/d/1FKcQjqLinauzehbSGs5V555Y3ChiwhHP6O0KoyrfEzg" TargetMode="External"/><Relationship Id="rId1085" Type="http://schemas.openxmlformats.org/officeDocument/2006/relationships/hyperlink" Target="https://drive.google.com/open?id=1hbdePgcJfxdYIbmmQCKGKTkR0b1h2YZSc_zXl86g_VA" TargetMode="External"/><Relationship Id="rId1292" Type="http://schemas.openxmlformats.org/officeDocument/2006/relationships/hyperlink" Target="https://drive.google.com/open?id=1O4E4rmZQPYX_bqdeTrWzUGKaYZYSNyC-jwDE9-ao9X0&amp;usp=drive_copy" TargetMode="External"/><Relationship Id="rId2136" Type="http://schemas.openxmlformats.org/officeDocument/2006/relationships/hyperlink" Target="https://drive.google.com/open?id=1EWNwkTNxoPbagahazsgN5ecMqHNPGiE2yIHWv4vyCk4&amp;usp=drive_copy" TargetMode="External"/><Relationship Id="rId2343" Type="http://schemas.openxmlformats.org/officeDocument/2006/relationships/hyperlink" Target="https://docs.google.com/open?id=1LVR1aPL1dAq6g8CXTg-Gmkmx3cph1OJTlXvJQKr4mBc" TargetMode="External"/><Relationship Id="rId2550" Type="http://schemas.openxmlformats.org/officeDocument/2006/relationships/hyperlink" Target="https://docs.google.com/spreadsheets/d/1jbXLlkwoxgCySTy6o6zAcNPhyxQ0nEUCmjA-dKjU2ec" TargetMode="External"/><Relationship Id="rId3601" Type="http://schemas.openxmlformats.org/officeDocument/2006/relationships/hyperlink" Target="https://drive.google.com/open?id=17eY4nROJpGsjg1W4voKbNn6KA0Puob4BAm6FRBK5jPQ" TargetMode="External"/><Relationship Id="rId108" Type="http://schemas.openxmlformats.org/officeDocument/2006/relationships/hyperlink" Target="https://docs.google.com/spreadsheets/d/1tKqM1aTzQ7I8f6ncwehNxorI4OL67nR-0cPcq9IEHZE/edit" TargetMode="External"/><Relationship Id="rId315" Type="http://schemas.openxmlformats.org/officeDocument/2006/relationships/hyperlink" Target="https://docs.google.com/open?id=11OokbP0EVmmdg1_tOqNaSEJC7nRHVLe4ULP8VTkxO2s" TargetMode="External"/><Relationship Id="rId522" Type="http://schemas.openxmlformats.org/officeDocument/2006/relationships/hyperlink" Target="https://docs.google.com/spreadsheets/d/1qTpeEQnt9Rpk-icmqGc9J1CNga9ryRfyiIzmEt_-ehQ" TargetMode="External"/><Relationship Id="rId1152" Type="http://schemas.openxmlformats.org/officeDocument/2006/relationships/hyperlink" Target="https://drive.google.com/open?id=1T4pmLI_UD2FFyn2DwaOSxDiHRY9oEfYkfnxHH8QmqxM&amp;usp=drive_copy" TargetMode="External"/><Relationship Id="rId2203" Type="http://schemas.openxmlformats.org/officeDocument/2006/relationships/hyperlink" Target="https://docs.google.com/open?id=19HroPzzkmiZzm6tC2ANSMFbNSMSMb2EabDKeadenDbk" TargetMode="External"/><Relationship Id="rId2410" Type="http://schemas.openxmlformats.org/officeDocument/2006/relationships/hyperlink" Target="https://docs.google.com/spreadsheets/d/1BiOy31ydaVVAcBt-Odrlic5lW7IjRXsL3sfcaf-bVN0" TargetMode="External"/><Relationship Id="rId1012" Type="http://schemas.openxmlformats.org/officeDocument/2006/relationships/hyperlink" Target="https://drive.google.com/open?id=1r2igowZW-MNiaQKk3N14pNNARCuLmR3N_RVN2UXG0fc&amp;usp=drive_copy" TargetMode="External"/><Relationship Id="rId1969" Type="http://schemas.openxmlformats.org/officeDocument/2006/relationships/hyperlink" Target="https://drive.google.com/open?id=1W_GCuGDf3OciGTTLCGHtEvG_4wtDNIC5o7RV4Jfcpwo" TargetMode="External"/><Relationship Id="rId3184" Type="http://schemas.openxmlformats.org/officeDocument/2006/relationships/hyperlink" Target="https://drive.google.com/open?id=1i_Ppc1K3c0wvumPRTD5AH2CWBK-x9OCGuFLz13BOKpQ&amp;usp=drive_copy" TargetMode="External"/><Relationship Id="rId1829" Type="http://schemas.openxmlformats.org/officeDocument/2006/relationships/hyperlink" Target="https://drive.google.com/open?id=1r0A6VMUoBMQJDedztgn_IFmMNa1pB1E05khPQfRylQg" TargetMode="External"/><Relationship Id="rId3391" Type="http://schemas.openxmlformats.org/officeDocument/2006/relationships/hyperlink" Target="https://docs.google.com/open?id=1itD7aYIfVoWMXwLix1VKtMaA65kphtZ6BmVMI3St-lw" TargetMode="External"/><Relationship Id="rId3044" Type="http://schemas.openxmlformats.org/officeDocument/2006/relationships/hyperlink" Target="https://drive.google.com/open?id=125ckWSGOlwdkX5ypzvVX4Z86-le2ukVLGv7ghytrMXg&amp;usp=drive_copy" TargetMode="External"/><Relationship Id="rId3251" Type="http://schemas.openxmlformats.org/officeDocument/2006/relationships/hyperlink" Target="https://docs.google.com/open?id=13-y3TpYrrZJJ7orHEn9uXCsg4-o-JqqAhQi_QGT_m3E" TargetMode="External"/><Relationship Id="rId172" Type="http://schemas.openxmlformats.org/officeDocument/2006/relationships/hyperlink" Target="https://docs.google.com/spreadsheets/d/19a6MLDT0T9oizOnHoKcL7zlSLysVXV1SXIb-xwMsOyA/edit" TargetMode="External"/><Relationship Id="rId2060" Type="http://schemas.openxmlformats.org/officeDocument/2006/relationships/hyperlink" Target="https://drive.google.com/open?id=1YWX9TQlOJvLswET9G6iypcmHdHdVOFR_-rKFuAQyoUc&amp;usp=drive_copy" TargetMode="External"/><Relationship Id="rId3111" Type="http://schemas.openxmlformats.org/officeDocument/2006/relationships/hyperlink" Target="https://docs.google.com/open?id=1EynSOIKAIklDQNjxGcPnGAPAUZF6_G6cclZscB0oF1U" TargetMode="External"/><Relationship Id="rId989" Type="http://schemas.openxmlformats.org/officeDocument/2006/relationships/hyperlink" Target="https://drive.google.com/open?id=1TkTdkXWko63gVKw4ClRaliysr9nonpq8lJ-_glqYxpw" TargetMode="External"/><Relationship Id="rId2877" Type="http://schemas.openxmlformats.org/officeDocument/2006/relationships/hyperlink" Target="https://drive.google.com/open?id=1G-Zc5IrYQz-VrfEhSe6--V8Yphx_t3cxSHKSIoM3Bew" TargetMode="External"/><Relationship Id="rId849" Type="http://schemas.openxmlformats.org/officeDocument/2006/relationships/hyperlink" Target="https://drive.google.com/open?id=1uCWinIH6cUW37QtJa6uHlsqiOk-vPNUym53_dbWCAU0" TargetMode="External"/><Relationship Id="rId1479" Type="http://schemas.openxmlformats.org/officeDocument/2006/relationships/hyperlink" Target="https://docs.google.com/open?id=1-wiyawIb7nuGz3R72e-F5f_5y2rnpSuziq4huDcp1LM" TargetMode="External"/><Relationship Id="rId1686" Type="http://schemas.openxmlformats.org/officeDocument/2006/relationships/hyperlink" Target="https://docs.google.com/spreadsheets/d/1ApGxdJkropQH9b8abbEd0uNMhS1VXb_hUEjifOTPkIA" TargetMode="External"/><Relationship Id="rId3928" Type="http://schemas.openxmlformats.org/officeDocument/2006/relationships/hyperlink" Target="https://drive.google.com/open?id=1GS9yh4MIOl1HFEhjn8rVm8OzPUoBZg0WYu2bK_jBnpo&amp;usp=drive_copy" TargetMode="External"/><Relationship Id="rId1339" Type="http://schemas.openxmlformats.org/officeDocument/2006/relationships/hyperlink" Target="https://docs.google.com/open?id=12cA8Txyp_qghhbZdtTjjNkmHKNSNteiz8CmQZXQJy0I" TargetMode="External"/><Relationship Id="rId1893" Type="http://schemas.openxmlformats.org/officeDocument/2006/relationships/hyperlink" Target="https://drive.google.com/open?id=1_R9CcLA2GK7WTSR8APk-IirV2HdC0YNkGn50tPgK0zM" TargetMode="External"/><Relationship Id="rId2737" Type="http://schemas.openxmlformats.org/officeDocument/2006/relationships/hyperlink" Target="https://drive.google.com/open?id=1mWO9AEmxDWm4C2TVAo3lPzikYlFfBhdHUKgdSFb8h0Q" TargetMode="External"/><Relationship Id="rId2944" Type="http://schemas.openxmlformats.org/officeDocument/2006/relationships/hyperlink" Target="https://drive.google.com/open?id=1JsN4x6qkeTs7wLVr6XLNgXiy5-mW__0v825hXWtWTPI&amp;usp=drive_copy" TargetMode="External"/><Relationship Id="rId709" Type="http://schemas.openxmlformats.org/officeDocument/2006/relationships/hyperlink" Target="https://drive.google.com/open?id=1PixfsHZVJl09BlpcNdPDbSD8Y5E_kr-Y5Y90OrRDYIM" TargetMode="External"/><Relationship Id="rId916" Type="http://schemas.openxmlformats.org/officeDocument/2006/relationships/hyperlink" Target="https://drive.google.com/open?id=1TnmNTSo-03y6ulvYttT-hHHTp9QhfaNbZjV0kMWrqhg&amp;usp=drive_copy" TargetMode="External"/><Relationship Id="rId1546" Type="http://schemas.openxmlformats.org/officeDocument/2006/relationships/hyperlink" Target="https://docs.google.com/spreadsheets/d/1BT3Cr_bOgCcUIpFKA8cfAA6l2-W-iDo-74bMGE3VfTI" TargetMode="External"/><Relationship Id="rId1753" Type="http://schemas.openxmlformats.org/officeDocument/2006/relationships/hyperlink" Target="https://drive.google.com/open?id=1KyEd3_sAVEYlbG-CIYysI3kHDN81hVIDDGJ993q-O0w" TargetMode="External"/><Relationship Id="rId1960" Type="http://schemas.openxmlformats.org/officeDocument/2006/relationships/hyperlink" Target="https://drive.google.com/open?id=1S8HXocRKGh0PXzjCQQfus5g-NlIeRuYEaC7IsVRw54k&amp;usp=drive_copy" TargetMode="External"/><Relationship Id="rId2804" Type="http://schemas.openxmlformats.org/officeDocument/2006/relationships/hyperlink" Target="https://drive.google.com/open?id=14S0Jqu9xTsc0TD7yxwv2vnF9BabyO01GUruZTKCgjxc&amp;usp=drive_copy" TargetMode="External"/><Relationship Id="rId45" Type="http://schemas.openxmlformats.org/officeDocument/2006/relationships/hyperlink" Target="https://docs.google.com/spreadsheets/d/1Wiew3Vqrwe9Ch6R1cjbi65bdYpHgn3jH6WxGABSXMKY/edit?usp=sharing" TargetMode="External"/><Relationship Id="rId1406" Type="http://schemas.openxmlformats.org/officeDocument/2006/relationships/hyperlink" Target="https://docs.google.com/spreadsheets/d/19qXGdILdbc4JDL36_zxPHLRf6R1RvVAhAa_2WkiReZs" TargetMode="External"/><Relationship Id="rId1613" Type="http://schemas.openxmlformats.org/officeDocument/2006/relationships/hyperlink" Target="https://drive.google.com/open?id=1hOkzqveopZKmXwhuw5dIbaF0tXxatRAlQ7MbuFCOcf8" TargetMode="External"/><Relationship Id="rId1820" Type="http://schemas.openxmlformats.org/officeDocument/2006/relationships/hyperlink" Target="https://drive.google.com/open?id=1-kfmxs9yKJgS8-LGv2weDkxdMdtawqO7_cXAbtiItfo&amp;usp=drive_copy" TargetMode="External"/><Relationship Id="rId3578" Type="http://schemas.openxmlformats.org/officeDocument/2006/relationships/hyperlink" Target="https://docs.google.com/spreadsheets/d/1hxDcUiR2_OPCKIaNZNICweaP8lJDq3LaLREI0EBTJ2Q" TargetMode="External"/><Relationship Id="rId3785" Type="http://schemas.openxmlformats.org/officeDocument/2006/relationships/hyperlink" Target="https://drive.google.com/open?id=1hSjaegjwgA5As4lWIB31isr_ZX9MuwX0cOsIM01X-jE" TargetMode="External"/><Relationship Id="rId499" Type="http://schemas.openxmlformats.org/officeDocument/2006/relationships/hyperlink" Target="https://docs.google.com/open?id=1ACl9i5ZG6F4mvLHP2SlwmLtMsamk9D5X0Ge7b1sU7YA" TargetMode="External"/><Relationship Id="rId2387" Type="http://schemas.openxmlformats.org/officeDocument/2006/relationships/hyperlink" Target="https://docs.google.com/open?id=1UBvQoTk4qsIOAJkXVur7USHEjzssCdKMaKqRNrM7BH4" TargetMode="External"/><Relationship Id="rId2594" Type="http://schemas.openxmlformats.org/officeDocument/2006/relationships/hyperlink" Target="https://docs.google.com/spreadsheets/d/1tLi36uvDnmqVH9TgaKuWyJvfbnSO90v1Rz6oqz_1QoQ" TargetMode="External"/><Relationship Id="rId3438" Type="http://schemas.openxmlformats.org/officeDocument/2006/relationships/hyperlink" Target="https://docs.google.com/spreadsheets/d/180j7fWgZqA8Otl5yj05uFReYYKDtMlv7iRwSqorboWY" TargetMode="External"/><Relationship Id="rId3645" Type="http://schemas.openxmlformats.org/officeDocument/2006/relationships/hyperlink" Target="https://drive.google.com/open?id=1kPFo6TDQXKDGPrteAimylU3WQsHgpnNz-WLO3fkIkUQ" TargetMode="External"/><Relationship Id="rId3852" Type="http://schemas.openxmlformats.org/officeDocument/2006/relationships/hyperlink" Target="https://drive.google.com/open?id=1DKNtZaI3w_LqyItkhFKLoFoF-6YzzS75G-WzPlOpuNg&amp;usp=drive_copy" TargetMode="External"/><Relationship Id="rId359" Type="http://schemas.openxmlformats.org/officeDocument/2006/relationships/hyperlink" Target="https://docs.google.com/open?id=19qRxJrRdMxgahbGiT62u8qqWoDDxayy1xn4upAopWXI" TargetMode="External"/><Relationship Id="rId566" Type="http://schemas.openxmlformats.org/officeDocument/2006/relationships/hyperlink" Target="https://docs.google.com/spreadsheets/d/1hxgCjtNItbqkal9qqShLMIuRhyyoRk3nsd0Rq4-wTAg" TargetMode="External"/><Relationship Id="rId773" Type="http://schemas.openxmlformats.org/officeDocument/2006/relationships/hyperlink" Target="https://drive.google.com/open?id=1fBKYLNch64XfKPNXo0qRVwGAGElTRl-N1CHAUKreBvs" TargetMode="External"/><Relationship Id="rId1196" Type="http://schemas.openxmlformats.org/officeDocument/2006/relationships/hyperlink" Target="https://drive.google.com/open?id=1ZIF5QzVr3TVMcW0EO7gHnYPOkn-Y0q2Godqr8sr-8LA&amp;usp=drive_copy" TargetMode="External"/><Relationship Id="rId2247" Type="http://schemas.openxmlformats.org/officeDocument/2006/relationships/hyperlink" Target="https://docs.google.com/open?id=12ujRKi24oY7vpetZfrmCx5t98Ak9onutT0BxpFD2NXc" TargetMode="External"/><Relationship Id="rId2454" Type="http://schemas.openxmlformats.org/officeDocument/2006/relationships/hyperlink" Target="https://docs.google.com/spreadsheets/d/1HWdETOZ0jWL3Cc2-y4iSvi5auBhr3Il96oHeeQjnPlA" TargetMode="External"/><Relationship Id="rId3505" Type="http://schemas.openxmlformats.org/officeDocument/2006/relationships/hyperlink" Target="https://drive.google.com/open?id=1prdDQAHRhsCE7UAcoNvSUPgG37gcwChHioujJD2Xbe0" TargetMode="External"/><Relationship Id="rId219" Type="http://schemas.openxmlformats.org/officeDocument/2006/relationships/hyperlink" Target="https://docs.google.com/open?id=14pItguOYIocttyz_yNgnWkgesemJTUOAstLF0YQIWsE" TargetMode="External"/><Relationship Id="rId426" Type="http://schemas.openxmlformats.org/officeDocument/2006/relationships/hyperlink" Target="https://docs.google.com/spreadsheets/d/1JrvEcBNIHds45QH3qMfqRQ_H-9ayBh5To_hJDicSlVE" TargetMode="External"/><Relationship Id="rId633" Type="http://schemas.openxmlformats.org/officeDocument/2006/relationships/hyperlink" Target="https://drive.google.com/open?id=1lXklUJsSnA574n7icEVg2jxAsHLjkjQB2oPSXbLFI80" TargetMode="External"/><Relationship Id="rId980" Type="http://schemas.openxmlformats.org/officeDocument/2006/relationships/hyperlink" Target="https://drive.google.com/open?id=1ZXjnCYh3jDAeWfSq0f_qyjwCjqi05SxL2zJI-NPAl-s&amp;usp=drive_copy" TargetMode="External"/><Relationship Id="rId1056" Type="http://schemas.openxmlformats.org/officeDocument/2006/relationships/hyperlink" Target="https://drive.google.com/open?id=1nH62xTJNMa3X58-m-mj1l3cKnGDpbJbD-3xXHloHi90&amp;usp=drive_copy" TargetMode="External"/><Relationship Id="rId1263" Type="http://schemas.openxmlformats.org/officeDocument/2006/relationships/hyperlink" Target="https://docs.google.com/open?id=1chz5gMDmUvWKj6RwlFH6E-YUViMTncRmCvRLW8a5juA" TargetMode="External"/><Relationship Id="rId2107" Type="http://schemas.openxmlformats.org/officeDocument/2006/relationships/hyperlink" Target="https://docs.google.com/open?id=1Q79oxW6H3J_Qyqs3cDucMJP-QsuGGkB1CzQx4IA372I" TargetMode="External"/><Relationship Id="rId2314" Type="http://schemas.openxmlformats.org/officeDocument/2006/relationships/hyperlink" Target="https://docs.google.com/spreadsheets/d/1-uT4_fCLFL6x8ngrsGxMr0SdOy_D5djhxqpz_vstw1c" TargetMode="External"/><Relationship Id="rId2661" Type="http://schemas.openxmlformats.org/officeDocument/2006/relationships/hyperlink" Target="https://drive.google.com/open?id=1AWtI7U2uCWMuOTWPTlQF3GEjxY7KA63HBrN6l_3QpVM" TargetMode="External"/><Relationship Id="rId3712" Type="http://schemas.openxmlformats.org/officeDocument/2006/relationships/hyperlink" Target="https://drive.google.com/open?id=1ue2qeGje5VLC86p7V1m4P8ZaDfL6LC9A4hmmjrn0iSs&amp;usp=drive_copy" TargetMode="External"/><Relationship Id="rId840" Type="http://schemas.openxmlformats.org/officeDocument/2006/relationships/hyperlink" Target="https://drive.google.com/open?id=1sbWZJ_XxfiWrscuhfcTV-mv7Ts6hWGgMKhjjYhcnLjE&amp;usp=drive_copy" TargetMode="External"/><Relationship Id="rId1470" Type="http://schemas.openxmlformats.org/officeDocument/2006/relationships/hyperlink" Target="https://docs.google.com/spreadsheets/d/1wC7-pCxOkogy929zyEPMm6J8Gv-WrGvooR1dcUKkg-U" TargetMode="External"/><Relationship Id="rId2521" Type="http://schemas.openxmlformats.org/officeDocument/2006/relationships/hyperlink" Target="https://drive.google.com/open?id=1gB7ywvBiq1Y6KelcMxF4tOsyvdbg72yF0QBiljxdfW4" TargetMode="External"/><Relationship Id="rId700" Type="http://schemas.openxmlformats.org/officeDocument/2006/relationships/hyperlink" Target="https://drive.google.com/open?id=1OGhMSmwLzY_YX9czT4J-ieZpRTQUnUIAMTS094bSnHo&amp;usp=drive_copy" TargetMode="External"/><Relationship Id="rId1123" Type="http://schemas.openxmlformats.org/officeDocument/2006/relationships/hyperlink" Target="https://docs.google.com/open?id=1hWjdpahK8LfWaI-boTIWY318vErkuc2PvkMTj5xpQrk" TargetMode="External"/><Relationship Id="rId1330" Type="http://schemas.openxmlformats.org/officeDocument/2006/relationships/hyperlink" Target="https://docs.google.com/spreadsheets/d/1tEb11G8oP1Jx-Kfa31rJ-h1KP8rn2Iubpc4EMuUj7Ew" TargetMode="External"/><Relationship Id="rId3088" Type="http://schemas.openxmlformats.org/officeDocument/2006/relationships/hyperlink" Target="https://drive.google.com/open?id=1C8EdgcVWAT4PGDVCSNA49KM6YQ_F1E04cahpenkUFcM&amp;usp=drive_copy" TargetMode="External"/><Relationship Id="rId3295" Type="http://schemas.openxmlformats.org/officeDocument/2006/relationships/hyperlink" Target="https://docs.google.com/open?id=1Amt0-y4F0ARykCl4GHi4GdTbUECV1DIPWFC28NWNkfQ" TargetMode="External"/><Relationship Id="rId3155" Type="http://schemas.openxmlformats.org/officeDocument/2006/relationships/hyperlink" Target="https://docs.google.com/open?id=1Z0IkKOp4cYidGPdsj94JisqcD0dMsoCFCUTH92Uz1P8" TargetMode="External"/><Relationship Id="rId3362" Type="http://schemas.openxmlformats.org/officeDocument/2006/relationships/hyperlink" Target="https://docs.google.com/spreadsheets/d/1PyeGAl9c8CKYVDRlFmDAMjJ7M3o1MMCwc3alUyFImH8" TargetMode="External"/><Relationship Id="rId283" Type="http://schemas.openxmlformats.org/officeDocument/2006/relationships/hyperlink" Target="https://docs.google.com/open?id=1orFFrto1scfZ9mDQORWo96lHzeZL36XJm36lwAaox38" TargetMode="External"/><Relationship Id="rId490" Type="http://schemas.openxmlformats.org/officeDocument/2006/relationships/hyperlink" Target="https://docs.google.com/spreadsheets/d/1x9U92VBdOh3QgmPp4ZWEHEVYci7yySVeST9S6KdeL5I" TargetMode="External"/><Relationship Id="rId2171" Type="http://schemas.openxmlformats.org/officeDocument/2006/relationships/hyperlink" Target="https://docs.google.com/open?id=1fN9WTZ4BlhzJmkw5hijUhiIlKOUsybDyVzCyji02UAc" TargetMode="External"/><Relationship Id="rId3015" Type="http://schemas.openxmlformats.org/officeDocument/2006/relationships/hyperlink" Target="https://docs.google.com/open?id=1wydgIhLcEgTNwZcbPqSh_ifapScHd3pZMv3hxIlHL5U" TargetMode="External"/><Relationship Id="rId3222" Type="http://schemas.openxmlformats.org/officeDocument/2006/relationships/hyperlink" Target="https://docs.google.com/spreadsheets/d/1usiGc68IUfegekX67iDRg2CQD3p93OLTR-7dkGqC_hg" TargetMode="External"/><Relationship Id="rId143" Type="http://schemas.openxmlformats.org/officeDocument/2006/relationships/hyperlink" Target="https://docs.google.com/spreadsheets/d/1sQ40EaQXDWo9yWHueA9ZH28131agLuj7MnD-Sq7wbJI/edit?usp=sharing" TargetMode="External"/><Relationship Id="rId350" Type="http://schemas.openxmlformats.org/officeDocument/2006/relationships/hyperlink" Target="https://docs.google.com/spreadsheets/d/19em8uyYuHZpV7EZI9rv_u0xfxQcUBavmiFpd7wOyhUs" TargetMode="External"/><Relationship Id="rId2031" Type="http://schemas.openxmlformats.org/officeDocument/2006/relationships/hyperlink" Target="https://docs.google.com/open?id=1EZZlf-oZkJOSuzCoedEqasBDz1cZkRN6OJBsdqLytVo" TargetMode="External"/><Relationship Id="rId9" Type="http://schemas.openxmlformats.org/officeDocument/2006/relationships/hyperlink" Target="https://docs.google.com/spreadsheets/d/1gqdBtG8s8JckuZX-x0aajDR-3y-Xo_tUJH09PqpWZ44/edit?usp=sharing" TargetMode="External"/><Relationship Id="rId210" Type="http://schemas.openxmlformats.org/officeDocument/2006/relationships/hyperlink" Target="https://docs.google.com/spreadsheets/d/12mXedY5z58KXdD4H8WotwgFYFQqYtwnjc-mHiLSzOTE/edit" TargetMode="External"/><Relationship Id="rId2988" Type="http://schemas.openxmlformats.org/officeDocument/2006/relationships/hyperlink" Target="https://drive.google.com/open?id=1ixk6PTLsAgjRwdaPEXyvycf1xmiVYn9IluVfFCoEgGs&amp;usp=drive_copy" TargetMode="External"/><Relationship Id="rId1797" Type="http://schemas.openxmlformats.org/officeDocument/2006/relationships/hyperlink" Target="https://drive.google.com/open?id=1XuQZNnibOyCytsARK_ziNOujKZT4jnSKfQXMe74mkpQ" TargetMode="External"/><Relationship Id="rId2848" Type="http://schemas.openxmlformats.org/officeDocument/2006/relationships/hyperlink" Target="https://drive.google.com/open?id=1TjfXudfOEISX08ERgo5PAwsPnAoCj0eJMznwKsd1CqI&amp;usp=drive_copy" TargetMode="External"/><Relationship Id="rId89" Type="http://schemas.openxmlformats.org/officeDocument/2006/relationships/hyperlink" Target="https://docs.google.com/spreadsheets/d/1y8AS5XKvxtXucY3AFGBDvwPXdq8qKawtD3LgpnrvmQU/edit?usp=sharing" TargetMode="External"/><Relationship Id="rId1657" Type="http://schemas.openxmlformats.org/officeDocument/2006/relationships/hyperlink" Target="https://drive.google.com/open?id=1EB30-NWraVTcttYufI_3EUjC2_XjBUnFx8Ycb248MlE" TargetMode="External"/><Relationship Id="rId1864" Type="http://schemas.openxmlformats.org/officeDocument/2006/relationships/hyperlink" Target="https://drive.google.com/open?id=1eyMPBGxaiboIcQ6K95OtPfpdspAsOr1gMiDm5eRw6Fg&amp;usp=drive_copy" TargetMode="External"/><Relationship Id="rId2708" Type="http://schemas.openxmlformats.org/officeDocument/2006/relationships/hyperlink" Target="https://drive.google.com/open?id=1v-LVk_FIVSQP6J1HbOw49lsrOQrwAMrqUGNvchMQ-RE&amp;usp=drive_copy" TargetMode="External"/><Relationship Id="rId2915" Type="http://schemas.openxmlformats.org/officeDocument/2006/relationships/hyperlink" Target="https://docs.google.com/open?id=11Qn454PLPLi2WuRzh9mhThVAZsUwRMRPJ2a4FL48tq4" TargetMode="External"/><Relationship Id="rId1517" Type="http://schemas.openxmlformats.org/officeDocument/2006/relationships/hyperlink" Target="https://drive.google.com/open?id=1HqzNGwGuqId77vArU1f5eOF-Z6oRpQuaNeof9YZidw8" TargetMode="External"/><Relationship Id="rId1724" Type="http://schemas.openxmlformats.org/officeDocument/2006/relationships/hyperlink" Target="https://drive.google.com/open?id=11hH8ceQtzckvAhiPdC8A-_H9yjPAUzN47SxqyxbIpQA&amp;usp=drive_copy" TargetMode="External"/><Relationship Id="rId16" Type="http://schemas.openxmlformats.org/officeDocument/2006/relationships/hyperlink" Target="https://docs.google.com/spreadsheets/d/1wTmDatKrvEnZbp6nvQFfhsoCwPVFl-smEnuXA3P29Rw/edit" TargetMode="External"/><Relationship Id="rId1931" Type="http://schemas.openxmlformats.org/officeDocument/2006/relationships/hyperlink" Target="https://docs.google.com/open?id=1GYquKqn3r0ZCMvCxQ0_dCzC-2h3S21njVFgNpsaEvEw" TargetMode="External"/><Relationship Id="rId3689" Type="http://schemas.openxmlformats.org/officeDocument/2006/relationships/hyperlink" Target="https://drive.google.com/open?id=1Bq43Mn1CskIWPWHSVZzU_8PM_ZaluHA5dYV635n1lwA" TargetMode="External"/><Relationship Id="rId3896" Type="http://schemas.openxmlformats.org/officeDocument/2006/relationships/hyperlink" Target="https://drive.google.com/open?id=1fyOZhUTnosGJ4s8TnmySKCKTgZ7tnssCaHs9nyUUHkU&amp;usp=drive_copy" TargetMode="External"/><Relationship Id="rId2498" Type="http://schemas.openxmlformats.org/officeDocument/2006/relationships/hyperlink" Target="https://docs.google.com/spreadsheets/d/1SHKyeAS5y0pkTm_BBpkaT4UN7_ASCZxIEVWJ_rfV6Jk" TargetMode="External"/><Relationship Id="rId3549" Type="http://schemas.openxmlformats.org/officeDocument/2006/relationships/hyperlink" Target="https://drive.google.com/open?id=1VXp94l-Nfkc0ZTjAuTbJndmx2OXlJ54HqPujmj9PHec" TargetMode="External"/><Relationship Id="rId677" Type="http://schemas.openxmlformats.org/officeDocument/2006/relationships/hyperlink" Target="https://drive.google.com/open?id=1IXb9Bk8sKJ83gCPkX3INib2baN24jj8mVj4yXEoI5IY" TargetMode="External"/><Relationship Id="rId2358" Type="http://schemas.openxmlformats.org/officeDocument/2006/relationships/hyperlink" Target="https://docs.google.com/spreadsheets/d/1lvbdhkKJuzWiWwfKdmxnWYl3x7bLTrm7ud7dSIaqUtE" TargetMode="External"/><Relationship Id="rId3756" Type="http://schemas.openxmlformats.org/officeDocument/2006/relationships/hyperlink" Target="https://drive.google.com/open?id=17o-xDNHvJSK69tAcTwwjesRw5ogiJZi2LKam4LE6SLw&amp;usp=drive_copy" TargetMode="External"/><Relationship Id="rId884" Type="http://schemas.openxmlformats.org/officeDocument/2006/relationships/hyperlink" Target="https://drive.google.com/open?id=1LntP-_rHXhiJt7pzrWMylRoxHRo9Czlu5Sz3cUIMCrg&amp;usp=drive_copy" TargetMode="External"/><Relationship Id="rId2565" Type="http://schemas.openxmlformats.org/officeDocument/2006/relationships/hyperlink" Target="https://drive.google.com/open?id=1m45ah0LsT8DJwjY50L4zAQd2YwlIupO-Uy8WiZ-g_ic" TargetMode="External"/><Relationship Id="rId2772" Type="http://schemas.openxmlformats.org/officeDocument/2006/relationships/hyperlink" Target="https://drive.google.com/open?id=1R9atTXRoPxBG287AvyjX6m06NzqLOeB8pjDu-WO2m2k&amp;usp=drive_copy" TargetMode="External"/><Relationship Id="rId3409" Type="http://schemas.openxmlformats.org/officeDocument/2006/relationships/hyperlink" Target="https://drive.google.com/open?id=1rcN_QM9ff91-_lRk_nMKAGVj3BuhRP0rKJHmf6BMUDI" TargetMode="External"/><Relationship Id="rId3616" Type="http://schemas.openxmlformats.org/officeDocument/2006/relationships/hyperlink" Target="https://drive.google.com/open?id=1YI2hk4HHlfbWi0j-gFAJvHCuMpfNy6vns0c3r3_HwNg&amp;usp=drive_copy" TargetMode="External"/><Relationship Id="rId3823" Type="http://schemas.openxmlformats.org/officeDocument/2006/relationships/hyperlink" Target="https://docs.google.com/open?id=1r9KcGfp64Cwn68Cnl7E0UQdtQ63FYNp0ZDtxe8PfQi8" TargetMode="External"/><Relationship Id="rId537" Type="http://schemas.openxmlformats.org/officeDocument/2006/relationships/hyperlink" Target="https://drive.google.com/open?id=1JsKkfTNpHQ6vgUslFSEQ7lK1l-YE9XAKa-CpJKgkhII" TargetMode="External"/><Relationship Id="rId744" Type="http://schemas.openxmlformats.org/officeDocument/2006/relationships/hyperlink" Target="https://drive.google.com/open?id=1ABRpeRqMDXErNoGQEaO1t9HHevH-K2aqmWK4TwlrTNg&amp;usp=drive_copy" TargetMode="External"/><Relationship Id="rId951" Type="http://schemas.openxmlformats.org/officeDocument/2006/relationships/hyperlink" Target="https://docs.google.com/open?id=1qFc_9tU5EuyCio1Xr_H-k3r6k_LmSw9oxgysADhEUVY" TargetMode="External"/><Relationship Id="rId1167" Type="http://schemas.openxmlformats.org/officeDocument/2006/relationships/hyperlink" Target="https://docs.google.com/open?id=1UYWMWHeW-M8GY0OSZNcPF2R8afJWdtf38jKAsq2fAho" TargetMode="External"/><Relationship Id="rId1374" Type="http://schemas.openxmlformats.org/officeDocument/2006/relationships/hyperlink" Target="https://docs.google.com/spreadsheets/d/1VIHyc81uNys5RoAfqoNDOA8KZkPHQ3WkTMo7867R4BA" TargetMode="External"/><Relationship Id="rId1581" Type="http://schemas.openxmlformats.org/officeDocument/2006/relationships/hyperlink" Target="https://drive.google.com/open?id=10G9V0VEZprBs9Zf5LMvm7Gxcax3NI9VT_i5PbXq34wU" TargetMode="External"/><Relationship Id="rId2218" Type="http://schemas.openxmlformats.org/officeDocument/2006/relationships/hyperlink" Target="https://docs.google.com/spreadsheets/d/1FH-j3S2Aaq3Gofr7IzXAg0_U45KFkdKOl7hx9rjOyPg" TargetMode="External"/><Relationship Id="rId2425" Type="http://schemas.openxmlformats.org/officeDocument/2006/relationships/hyperlink" Target="https://drive.google.com/open?id=1RaH9-IZl5nEqWw3pdo4ZQv6320aAO4wRUIT7d_TA56o" TargetMode="External"/><Relationship Id="rId2632" Type="http://schemas.openxmlformats.org/officeDocument/2006/relationships/hyperlink" Target="https://drive.google.com/open?id=15-OwXoXz34OvCqjAZ2nRt95M9w_mPT0G9Yv6SI6wV5Y&amp;usp=drive_copy" TargetMode="External"/><Relationship Id="rId80" Type="http://schemas.openxmlformats.org/officeDocument/2006/relationships/hyperlink" Target="https://docs.google.com/spreadsheets/d/1DKPgl5OJQ_2_CCepQjfg7nkhOkEMNm26ZdWwOgpRPP8/edit" TargetMode="External"/><Relationship Id="rId604" Type="http://schemas.openxmlformats.org/officeDocument/2006/relationships/hyperlink" Target="https://drive.google.com/open?id=10rSsdMFG_Z0Uwv1XwEOPegONArA48eFzWIqg21PpqOs&amp;usp=drive_copy" TargetMode="External"/><Relationship Id="rId811" Type="http://schemas.openxmlformats.org/officeDocument/2006/relationships/hyperlink" Target="https://docs.google.com/open?id=1fg_dhVP4MOnnKKDl-3hzPsSmqw1h1XEes-_m6xCC11Y" TargetMode="External"/><Relationship Id="rId1027" Type="http://schemas.openxmlformats.org/officeDocument/2006/relationships/hyperlink" Target="https://docs.google.com/open?id=1zAyXeE1VA3-Wx0PJNINHXJUS8KXOyKmAYwLw6GycmbE" TargetMode="External"/><Relationship Id="rId1234" Type="http://schemas.openxmlformats.org/officeDocument/2006/relationships/hyperlink" Target="https://docs.google.com/spreadsheets/d/1PedQQZZ84OiMFo693N_NG04uP-ZWcYd9bWCrfTuN3q4" TargetMode="External"/><Relationship Id="rId1441" Type="http://schemas.openxmlformats.org/officeDocument/2006/relationships/hyperlink" Target="https://drive.google.com/open?id=1-Dx7y_31ZjX7fYtVRar7O_YSE4mdZnBmodjds8j_bgQ" TargetMode="External"/><Relationship Id="rId1301" Type="http://schemas.openxmlformats.org/officeDocument/2006/relationships/hyperlink" Target="https://drive.google.com/open?id=1LVaLs3dAZnPmRtkTeUSZWMie7s_xXnZYqev4OAV_NHE" TargetMode="External"/><Relationship Id="rId3199" Type="http://schemas.openxmlformats.org/officeDocument/2006/relationships/hyperlink" Target="https://docs.google.com/open?id=1lMZjxWXqAbgHw-PCv_Zz6wJogTEjdfThvWYzSt1Ghs8" TargetMode="External"/><Relationship Id="rId3059" Type="http://schemas.openxmlformats.org/officeDocument/2006/relationships/hyperlink" Target="https://docs.google.com/open?id=13lZOdZecbBh2fhnG4TGBUVqHbVSVOdLgUg0MzVCLr-E" TargetMode="External"/><Relationship Id="rId3266" Type="http://schemas.openxmlformats.org/officeDocument/2006/relationships/hyperlink" Target="https://docs.google.com/spreadsheets/d/15IFNGbKEJeYtpqeWbn1f6_jWdkkm-_yApAbXMfPaFOg" TargetMode="External"/><Relationship Id="rId3473" Type="http://schemas.openxmlformats.org/officeDocument/2006/relationships/hyperlink" Target="https://drive.google.com/open?id=1VHeVNoEakEu_3Fys9GdA0tpaonxhxhDzgZdJEhTw7u0" TargetMode="External"/><Relationship Id="rId187" Type="http://schemas.openxmlformats.org/officeDocument/2006/relationships/hyperlink" Target="https://docs.google.com/spreadsheets/d/1SSPdi8fxUbr0OEnvMmcK7DpzlliSAFr09xptCauk0iY/edit?usp=sharing" TargetMode="External"/><Relationship Id="rId394" Type="http://schemas.openxmlformats.org/officeDocument/2006/relationships/hyperlink" Target="https://docs.google.com/spreadsheets/d/1HPIyl5UtdBO-ymbxPudlDNqsab2jtEyizcVC86jtIPo" TargetMode="External"/><Relationship Id="rId2075" Type="http://schemas.openxmlformats.org/officeDocument/2006/relationships/hyperlink" Target="https://docs.google.com/open?id=13ss263b1v0zCi3a6DhT3Z7lXL24RgSPEnJ8zBbN4iKw" TargetMode="External"/><Relationship Id="rId2282" Type="http://schemas.openxmlformats.org/officeDocument/2006/relationships/hyperlink" Target="https://docs.google.com/spreadsheets/d/1N86qmhiBNI30g8xIMC8S5jr-tLrobxNcnQ0iKzmN4WQ" TargetMode="External"/><Relationship Id="rId3126" Type="http://schemas.openxmlformats.org/officeDocument/2006/relationships/hyperlink" Target="https://docs.google.com/spreadsheets/d/1MafOfSGifK16z3HokW_RAoYg1UqD0vXESWIf4-UqBeE" TargetMode="External"/><Relationship Id="rId3680" Type="http://schemas.openxmlformats.org/officeDocument/2006/relationships/hyperlink" Target="https://drive.google.com/open?id=18wpXdoseD-Gd9NYjhyF4oSdsGUtMnRmt2naZm3cfpFQ&amp;usp=drive_copy" TargetMode="External"/><Relationship Id="rId254" Type="http://schemas.openxmlformats.org/officeDocument/2006/relationships/hyperlink" Target="https://docs.google.com/spreadsheets/d/1QxGgfCitr16o535x1d9UnMYRo9nTIkINAIMtBlh6o8c" TargetMode="External"/><Relationship Id="rId1091" Type="http://schemas.openxmlformats.org/officeDocument/2006/relationships/hyperlink" Target="https://docs.google.com/open?id=1Hp6KMA0fPFywsxhr-xQPIhALtUqYjVodSXQvCSyfhYE" TargetMode="External"/><Relationship Id="rId3333" Type="http://schemas.openxmlformats.org/officeDocument/2006/relationships/hyperlink" Target="https://drive.google.com/open?id=1JX5AXL24KPqv1kxPnPeXQjYkHRZoOYrTG4bk8cOzoII" TargetMode="External"/><Relationship Id="rId3540" Type="http://schemas.openxmlformats.org/officeDocument/2006/relationships/hyperlink" Target="https://drive.google.com/open?id=1WGDjKIPLXSJ9aE63m6Pfrx8u3HA-zqjEqydTTYEuU40&amp;usp=drive_copy" TargetMode="External"/><Relationship Id="rId114" Type="http://schemas.openxmlformats.org/officeDocument/2006/relationships/hyperlink" Target="https://docs.google.com/spreadsheets/d/1IkhgxPrRU82MJcUAj7-zT9MKALGy6DpfDtjnOT7djC8/edit" TargetMode="External"/><Relationship Id="rId461" Type="http://schemas.openxmlformats.org/officeDocument/2006/relationships/hyperlink" Target="https://drive.google.com/open?id=1otcXblFr9qww47uEYhaUS54PBj0BwNGf-EZ8AjS8yH4" TargetMode="External"/><Relationship Id="rId2142" Type="http://schemas.openxmlformats.org/officeDocument/2006/relationships/hyperlink" Target="https://docs.google.com/spreadsheets/d/1_AAseG4k6qbmz9dnFEb5m4Wt2PHaxgFYS0EBaMH3BYM" TargetMode="External"/><Relationship Id="rId3400" Type="http://schemas.openxmlformats.org/officeDocument/2006/relationships/hyperlink" Target="https://drive.google.com/open?id=1rBfHBEcwMgZWV8H6veyT4I357O8fiuHjufKX3AAPC6g&amp;usp=drive_copy" TargetMode="External"/><Relationship Id="rId321" Type="http://schemas.openxmlformats.org/officeDocument/2006/relationships/hyperlink" Target="https://drive.google.com/open?id=13o-MrHOy5GLcrolWE6M5psOzd-f1KxHoaJis0Yff9XE" TargetMode="External"/><Relationship Id="rId2002" Type="http://schemas.openxmlformats.org/officeDocument/2006/relationships/hyperlink" Target="https://docs.google.com/spreadsheets/d/1RKYZkFFOssiMJvj3ZKK89rKRTdj2oQ5ZIGmHPlaWj8I" TargetMode="External"/><Relationship Id="rId2959" Type="http://schemas.openxmlformats.org/officeDocument/2006/relationships/hyperlink" Target="https://docs.google.com/open?id=1Pu4Zms7MKl4RvswRmnbczScpLk6wFSxSRxtfpMKaqIc" TargetMode="External"/><Relationship Id="rId1768" Type="http://schemas.openxmlformats.org/officeDocument/2006/relationships/hyperlink" Target="https://drive.google.com/open?id=1PPpDhspB4u9hX2w1lg9MB73NhEYQmUY3883AYCxVDCU&amp;usp=drive_copy" TargetMode="External"/><Relationship Id="rId2819" Type="http://schemas.openxmlformats.org/officeDocument/2006/relationships/hyperlink" Target="https://docs.google.com/open?id=1tnid7ETYJfYjoPzqwcSHKT6xbWQY8q1WdtereWllGpU" TargetMode="External"/><Relationship Id="rId1628" Type="http://schemas.openxmlformats.org/officeDocument/2006/relationships/hyperlink" Target="https://drive.google.com/open?id=1ZKXxF_pUhiTP5zSE49s57MZjvJnEa6fNLXUny7a3gLg&amp;usp=drive_copy" TargetMode="External"/><Relationship Id="rId1975" Type="http://schemas.openxmlformats.org/officeDocument/2006/relationships/hyperlink" Target="https://docs.google.com/open?id=1Lkqbz3rBV8yB5jpHujxLdkQpr3Gb2Nmxp-CN8dwZ0W8" TargetMode="External"/><Relationship Id="rId3190" Type="http://schemas.openxmlformats.org/officeDocument/2006/relationships/hyperlink" Target="https://docs.google.com/spreadsheets/d/1iiDWyPM3p_HDFcSXscTlPduf3RpRqVWAURHvIKjVW28" TargetMode="External"/><Relationship Id="rId1835" Type="http://schemas.openxmlformats.org/officeDocument/2006/relationships/hyperlink" Target="https://docs.google.com/open?id=1EOXQuf60K_Uld5odEVzZydbD-vpkTuI-8a1bFmNADRk" TargetMode="External"/><Relationship Id="rId3050" Type="http://schemas.openxmlformats.org/officeDocument/2006/relationships/hyperlink" Target="https://docs.google.com/spreadsheets/d/1288ftmk97ud5rhCBM1IvNd-eyBvZmxUgj3L45T3aJAI" TargetMode="External"/><Relationship Id="rId1902" Type="http://schemas.openxmlformats.org/officeDocument/2006/relationships/hyperlink" Target="https://docs.google.com/spreadsheets/d/1zfOOpLHZu0Ucu1ogJqLlvB-fpVfg8rbnySQryzfIM48" TargetMode="External"/><Relationship Id="rId3867" Type="http://schemas.openxmlformats.org/officeDocument/2006/relationships/hyperlink" Target="https://docs.google.com/open?id=1m2oGMtfxLfiNjBvGTLFkpTzUTzOUo382KnAxilJGdhk" TargetMode="External"/><Relationship Id="rId788" Type="http://schemas.openxmlformats.org/officeDocument/2006/relationships/hyperlink" Target="https://drive.google.com/open?id=1q_JiLk6_bA0dxtygieXCkIl4UPThvRWiS18iZb3nD7Y&amp;usp=drive_copy" TargetMode="External"/><Relationship Id="rId995" Type="http://schemas.openxmlformats.org/officeDocument/2006/relationships/hyperlink" Target="https://docs.google.com/open?id=1dzPt8b1d5eT0B7pQ_hU2et97TdFkZsm9N9j23a9t6EI" TargetMode="External"/><Relationship Id="rId2469" Type="http://schemas.openxmlformats.org/officeDocument/2006/relationships/hyperlink" Target="https://drive.google.com/open?id=1qzO6X1tKDTsOXKHHXgAWY0BThScdUBj-kN8SBlmt1kY" TargetMode="External"/><Relationship Id="rId2676" Type="http://schemas.openxmlformats.org/officeDocument/2006/relationships/hyperlink" Target="https://drive.google.com/open?id=1EGodTSi4EVGsscuAEweNLqHJexpFamluXrI8o4isKws&amp;usp=drive_copy" TargetMode="External"/><Relationship Id="rId2883" Type="http://schemas.openxmlformats.org/officeDocument/2006/relationships/hyperlink" Target="https://docs.google.com/open?id=13tlOIam5jvfpUcS-LUK1J1s9NXHkTmNyuik_xHu-9Qc" TargetMode="External"/><Relationship Id="rId3727" Type="http://schemas.openxmlformats.org/officeDocument/2006/relationships/hyperlink" Target="https://docs.google.com/open?id=1Tvqk1bJKXdGbrS7ddGjVCJivUpazhwPnWsMb8MPpGWI" TargetMode="External"/><Relationship Id="rId3934" Type="http://schemas.openxmlformats.org/officeDocument/2006/relationships/hyperlink" Target="https://docs.google.com/spreadsheets/d/1KSoKnWVe3zFAuUCet34CnYqcyzNaUQXMs3T0nYVQnLg" TargetMode="External"/><Relationship Id="rId648" Type="http://schemas.openxmlformats.org/officeDocument/2006/relationships/hyperlink" Target="https://drive.google.com/open?id=1AJbyPTvEEwaelfVjmkCZi1R7IxeJYplBzCxK1aiIWKY&amp;usp=drive_copy" TargetMode="External"/><Relationship Id="rId855" Type="http://schemas.openxmlformats.org/officeDocument/2006/relationships/hyperlink" Target="https://docs.google.com/open?id=15FBk7sjgDl7cPUOvU963L9E2komH58om3QDtMZme2_Q" TargetMode="External"/><Relationship Id="rId1278" Type="http://schemas.openxmlformats.org/officeDocument/2006/relationships/hyperlink" Target="https://docs.google.com/spreadsheets/d/1ficvqBHLJk6e99DgiH-WdiqrQG8boa8tEPe4zTVx0pc" TargetMode="External"/><Relationship Id="rId1485" Type="http://schemas.openxmlformats.org/officeDocument/2006/relationships/hyperlink" Target="https://drive.google.com/open?id=17PMZXRQ_1B6Qqk7TdJ-LPPZxpEjiF7EJs8iczNpoijc" TargetMode="External"/><Relationship Id="rId1692" Type="http://schemas.openxmlformats.org/officeDocument/2006/relationships/hyperlink" Target="https://drive.google.com/open?id=1R0L5ciJv2yeK-jlb1a8GLazpOmD8SB8z61Uw26B4EO0&amp;usp=drive_copy" TargetMode="External"/><Relationship Id="rId2329" Type="http://schemas.openxmlformats.org/officeDocument/2006/relationships/hyperlink" Target="https://drive.google.com/open?id=1Ow6tt7GgsGzVDcxAbmTaGwFSVWBWdbuF0NCB0Fa9u_I" TargetMode="External"/><Relationship Id="rId2536" Type="http://schemas.openxmlformats.org/officeDocument/2006/relationships/hyperlink" Target="https://drive.google.com/open?id=1hUu6hrodSNaoGtd6xwJ40UL3XVRZbrXOpkphpiJrEPw&amp;usp=drive_copy" TargetMode="External"/><Relationship Id="rId2743" Type="http://schemas.openxmlformats.org/officeDocument/2006/relationships/hyperlink" Target="https://docs.google.com/open?id=1m5dUtlmU7stLw5HoKctMMpoy3gQ6QrgFU3z3hCirk2A" TargetMode="External"/><Relationship Id="rId508" Type="http://schemas.openxmlformats.org/officeDocument/2006/relationships/hyperlink" Target="https://drive.google.com/open?id=1MF1fk8rVZIAco5Gnx8McsNwYVhLmA4lyw1YLhUMKXhU&amp;usp=drive_copy" TargetMode="External"/><Relationship Id="rId715" Type="http://schemas.openxmlformats.org/officeDocument/2006/relationships/hyperlink" Target="https://docs.google.com/open?id=1QNC_GjwCaYLhAtQnqLKMIiNB46WOFjAYv6RyJ9_bKTc" TargetMode="External"/><Relationship Id="rId922" Type="http://schemas.openxmlformats.org/officeDocument/2006/relationships/hyperlink" Target="https://docs.google.com/spreadsheets/d/1UrAz0CyyTWAism1BSpkvFvdO9j7BVmFyK4BvFMGqoN4" TargetMode="External"/><Relationship Id="rId1138" Type="http://schemas.openxmlformats.org/officeDocument/2006/relationships/hyperlink" Target="https://docs.google.com/spreadsheets/d/1peJyQg3YjVuVHh5KG223shFEj7aVpFUVJ_BIkxW-VyY" TargetMode="External"/><Relationship Id="rId1345" Type="http://schemas.openxmlformats.org/officeDocument/2006/relationships/hyperlink" Target="https://drive.google.com/open?id=17ctAtEfIrJCw-H4Lw-EIHBSHHCtK27c8i3nBUBx-dok" TargetMode="External"/><Relationship Id="rId1552" Type="http://schemas.openxmlformats.org/officeDocument/2006/relationships/hyperlink" Target="https://drive.google.com/open?id=1NBY0ZrUrZ0MdRN3p9Q17R9pb47g5c1fISG7knOlCmEE&amp;usp=drive_copy" TargetMode="External"/><Relationship Id="rId2603" Type="http://schemas.openxmlformats.org/officeDocument/2006/relationships/hyperlink" Target="https://docs.google.com/open?id=1w4DA1jJhQ2K5INJ9-6_26nQpEupQKgDkFwoyQib--3k" TargetMode="External"/><Relationship Id="rId2950" Type="http://schemas.openxmlformats.org/officeDocument/2006/relationships/hyperlink" Target="https://docs.google.com/spreadsheets/d/1MHJCwQcQNSV8n_R6I-zLfrAfKXBt2eiHCE_V_fEkUPU" TargetMode="External"/><Relationship Id="rId1205" Type="http://schemas.openxmlformats.org/officeDocument/2006/relationships/hyperlink" Target="https://drive.google.com/open?id=1_Z1hkM7SRuL3P9byoBqA47W_Ayd8EFpoIHDvKWY5EmU" TargetMode="External"/><Relationship Id="rId2810" Type="http://schemas.openxmlformats.org/officeDocument/2006/relationships/hyperlink" Target="https://docs.google.com/spreadsheets/d/128NztE3J2EIjNv_irPNggRTyrD4tQi0shpmk_Qd9n_4" TargetMode="External"/><Relationship Id="rId51" Type="http://schemas.openxmlformats.org/officeDocument/2006/relationships/hyperlink" Target="https://docs.google.com/spreadsheets/d/1tRA4RpPTeYIZVI8PYoYVplNI5uhZxIupTdN-noAYzTY/edit?usp=sharing" TargetMode="External"/><Relationship Id="rId1412" Type="http://schemas.openxmlformats.org/officeDocument/2006/relationships/hyperlink" Target="https://drive.google.com/open?id=1lUao2wmxTiEifXpnMqbltOkOVEkCh5fAzJBy1_d5gY8&amp;usp=drive_copy" TargetMode="External"/><Relationship Id="rId3377" Type="http://schemas.openxmlformats.org/officeDocument/2006/relationships/hyperlink" Target="https://drive.google.com/open?id=1ZAjs8uOUu7KESrx8g76IIGgkiTAegU2Tt0XLsaupjXk" TargetMode="External"/><Relationship Id="rId298" Type="http://schemas.openxmlformats.org/officeDocument/2006/relationships/hyperlink" Target="https://docs.google.com/spreadsheets/d/1xX2OCF10bCMG1NSt35BfuokC4pvbrNMI3vl4skht4QA" TargetMode="External"/><Relationship Id="rId3584" Type="http://schemas.openxmlformats.org/officeDocument/2006/relationships/hyperlink" Target="https://drive.google.com/open?id=1Igi7B-Q9byhFAZ9R8IO-jln7Gl5LHt4lfnQuSKwKl60&amp;usp=drive_copy" TargetMode="External"/><Relationship Id="rId3791" Type="http://schemas.openxmlformats.org/officeDocument/2006/relationships/hyperlink" Target="https://docs.google.com/open?id=1Ma8B8P9T1jyN_GT7W61KRUZ_VMQgkur191iZWCk7QO8" TargetMode="External"/><Relationship Id="rId158" Type="http://schemas.openxmlformats.org/officeDocument/2006/relationships/hyperlink" Target="https://docs.google.com/spreadsheets/d/1o8FZaCsvodB69vWRZJS8nYL-5tVtDdmo4upTGixxcao/edit" TargetMode="External"/><Relationship Id="rId2186" Type="http://schemas.openxmlformats.org/officeDocument/2006/relationships/hyperlink" Target="https://docs.google.com/spreadsheets/d/1mco9cLjzQnY4uXiMOOPx_fU2rhhUTlz-LMmgaJIWQVM" TargetMode="External"/><Relationship Id="rId2393" Type="http://schemas.openxmlformats.org/officeDocument/2006/relationships/hyperlink" Target="https://drive.google.com/open?id=1YXoLIt-c7QGqA4FJ9oWi3ZPYX0JyzLkFWGf2aC-SkwU" TargetMode="External"/><Relationship Id="rId3237" Type="http://schemas.openxmlformats.org/officeDocument/2006/relationships/hyperlink" Target="https://drive.google.com/open?id=1xseDbL76iqEG-ydpQtSFkcuLXuUm_zOGpGJTfkOHJfE" TargetMode="External"/><Relationship Id="rId3444" Type="http://schemas.openxmlformats.org/officeDocument/2006/relationships/hyperlink" Target="https://drive.google.com/open?id=1BQLMl-8UBuSeh_FgdAPlfzOpMjxjY9XTh4On8FtFbJE&amp;usp=drive_copy" TargetMode="External"/><Relationship Id="rId3651" Type="http://schemas.openxmlformats.org/officeDocument/2006/relationships/hyperlink" Target="https://docs.google.com/open?id=1nTguIhz7s84xpHZvYXCDLKGXhAkn-m851iGpSU8Gkv0" TargetMode="External"/><Relationship Id="rId365" Type="http://schemas.openxmlformats.org/officeDocument/2006/relationships/hyperlink" Target="https://drive.google.com/open?id=1BfM1Y36k4wC-KmUwhmTbYQbvBXiMuVInq4baKJarnII" TargetMode="External"/><Relationship Id="rId572" Type="http://schemas.openxmlformats.org/officeDocument/2006/relationships/hyperlink" Target="https://drive.google.com/open?id=1n5sWZltpsIm7cJhQVrF0clyV2ytJPBWzGhoGAnVcXNU&amp;usp=drive_copy" TargetMode="External"/><Relationship Id="rId2046" Type="http://schemas.openxmlformats.org/officeDocument/2006/relationships/hyperlink" Target="https://docs.google.com/spreadsheets/d/1RcvHn8UmSUJnVTdhZDqkVTd6AyOnH3nsRPYso4rouDk" TargetMode="External"/><Relationship Id="rId2253" Type="http://schemas.openxmlformats.org/officeDocument/2006/relationships/hyperlink" Target="https://drive.google.com/open?id=1aKhwhoTo6OQOu-TLg1sLxgh8ATb2bYtbLjtQyDGX5Sg" TargetMode="External"/><Relationship Id="rId2460" Type="http://schemas.openxmlformats.org/officeDocument/2006/relationships/hyperlink" Target="https://drive.google.com/open?id=1jlBih2S5uvCFmSog67HGX-rXOJDxzrzzphu-TTfjIhU&amp;usp=drive_copy" TargetMode="External"/><Relationship Id="rId3304" Type="http://schemas.openxmlformats.org/officeDocument/2006/relationships/hyperlink" Target="https://drive.google.com/open?id=1DE2t0QXu5zy-D3SIpM-HzPtPAJOjoyyE6cov2Draufo&amp;usp=drive_copy" TargetMode="External"/><Relationship Id="rId3511" Type="http://schemas.openxmlformats.org/officeDocument/2006/relationships/hyperlink" Target="https://docs.google.com/open?id=1FkaDDLgFi_H-nJcPFo2xv32OCp-8Si-OgH6LiYw4PAo" TargetMode="External"/><Relationship Id="rId225" Type="http://schemas.openxmlformats.org/officeDocument/2006/relationships/hyperlink" Target="https://drive.google.com/open?id=18Zb6D4T3btM3qXlej17u7QtC9wK0j_qI_oXj57HwkKs" TargetMode="External"/><Relationship Id="rId432" Type="http://schemas.openxmlformats.org/officeDocument/2006/relationships/hyperlink" Target="https://drive.google.com/open?id=1gjKJcc4fjEHs9bZ7AL5vU3ozaX0XeN59sr1bDdfFhDo&amp;usp=drive_copy" TargetMode="External"/><Relationship Id="rId1062" Type="http://schemas.openxmlformats.org/officeDocument/2006/relationships/hyperlink" Target="https://docs.google.com/spreadsheets/d/1_lZAeTR44NLPw8o0YVl4JkitOMzmqwe85Vai3zHQvHQ" TargetMode="External"/><Relationship Id="rId2113" Type="http://schemas.openxmlformats.org/officeDocument/2006/relationships/hyperlink" Target="https://drive.google.com/open?id=1MabMWeb11l_jAiWX5XaI1pSiAKaScicTVXK6tjp2KlU" TargetMode="External"/><Relationship Id="rId2320" Type="http://schemas.openxmlformats.org/officeDocument/2006/relationships/hyperlink" Target="https://drive.google.com/open?id=1Tz9-x0Pu6yHJvTFIRmaxWv633DUoqbpjw2sD3YRv0nA&amp;usp=drive_copy" TargetMode="External"/><Relationship Id="rId1879" Type="http://schemas.openxmlformats.org/officeDocument/2006/relationships/hyperlink" Target="https://docs.google.com/open?id=1rrxsUgZcebmq_EXVre3yoGj5K7TK_OyeTWWFpXWC-tQ" TargetMode="External"/><Relationship Id="rId3094" Type="http://schemas.openxmlformats.org/officeDocument/2006/relationships/hyperlink" Target="https://docs.google.com/spreadsheets/d/1CehHk5pu2q8DN6btSupLBm_7TGv5hMWZBOzI_ccjnmU" TargetMode="External"/><Relationship Id="rId1739" Type="http://schemas.openxmlformats.org/officeDocument/2006/relationships/hyperlink" Target="https://docs.google.com/spreadsheets/d/1jLNf8Z_ggCDVtKRBWe0mr7gre3LCLqYYq10_rjFIYRA/edit?usp=sharing" TargetMode="External"/><Relationship Id="rId1946" Type="http://schemas.openxmlformats.org/officeDocument/2006/relationships/hyperlink" Target="https://docs.google.com/spreadsheets/d/1v22mzuSWLt2ZDEoN1NNFkTozSm0nN0SKVh2EVilzU44" TargetMode="External"/><Relationship Id="rId1806" Type="http://schemas.openxmlformats.org/officeDocument/2006/relationships/hyperlink" Target="https://docs.google.com/spreadsheets/d/1BZvpE2lIELEHrmqGgVagoASRdUm4x0umZ0AkPkuzWsA" TargetMode="External"/><Relationship Id="rId3161" Type="http://schemas.openxmlformats.org/officeDocument/2006/relationships/hyperlink" Target="https://drive.google.com/open?id=1a8LV4npoimBfBVZdQqg1Db57ovM38klupR7YzhDNDCI" TargetMode="External"/><Relationship Id="rId3021" Type="http://schemas.openxmlformats.org/officeDocument/2006/relationships/hyperlink" Target="https://drive.google.com/open?id=1yVJSFzpNooqOgLJUGiWtKAZxsvOVpESm_ce_i1tvsvY" TargetMode="External"/><Relationship Id="rId899" Type="http://schemas.openxmlformats.org/officeDocument/2006/relationships/hyperlink" Target="https://docs.google.com/open?id=1R3ix6TlsU6FSycPVRYy2KtmwR-m0tlKaLbuWDkusD0w" TargetMode="External"/><Relationship Id="rId2787" Type="http://schemas.openxmlformats.org/officeDocument/2006/relationships/hyperlink" Target="https://docs.google.com/open?id=1HBCQ_XXfUmpmKaHIn83dtmHplKxjITHcMoC7wOksBgw" TargetMode="External"/><Relationship Id="rId3838" Type="http://schemas.openxmlformats.org/officeDocument/2006/relationships/hyperlink" Target="https://docs.google.com/spreadsheets/d/1zh2TuFV0FMAEYytBJUChBSc9SIJItqctq-QBvrPHvxM" TargetMode="External"/><Relationship Id="rId759" Type="http://schemas.openxmlformats.org/officeDocument/2006/relationships/hyperlink" Target="https://docs.google.com/open?id=1c3br8TdeXFL5utojEt0poDYlrdaQ7v0TiQ9p2dXiWuA" TargetMode="External"/><Relationship Id="rId966" Type="http://schemas.openxmlformats.org/officeDocument/2006/relationships/hyperlink" Target="https://docs.google.com/spreadsheets/d/1KdqwKBtk-yEflHK_cIrmFrH-o0x9R7tXlkmmlGwwtS4" TargetMode="External"/><Relationship Id="rId1389" Type="http://schemas.openxmlformats.org/officeDocument/2006/relationships/hyperlink" Target="https://drive.google.com/open?id=1VwwKPJ-nn8QXgNoCc2vxkuGxRCW712tdCv1BNS9wOeA" TargetMode="External"/><Relationship Id="rId1596" Type="http://schemas.openxmlformats.org/officeDocument/2006/relationships/hyperlink" Target="https://drive.google.com/open?id=1P_Uq8atya55FYnsbDHIdfixgL_JvDhgnKD9mHAzvdNE&amp;usp=drive_copy" TargetMode="External"/><Relationship Id="rId2647" Type="http://schemas.openxmlformats.org/officeDocument/2006/relationships/hyperlink" Target="https://docs.google.com/open?id=18V2TuR64ZwJVbQdxwGrz8h3eNOhofDrzvLfElk1FTBw" TargetMode="External"/><Relationship Id="rId2994" Type="http://schemas.openxmlformats.org/officeDocument/2006/relationships/hyperlink" Target="https://docs.google.com/spreadsheets/d/1mnKPLyxOXQjn0E0yqs9JJZB9JiLp2bqc7d7hf0T9ySM" TargetMode="External"/><Relationship Id="rId619" Type="http://schemas.openxmlformats.org/officeDocument/2006/relationships/hyperlink" Target="https://docs.google.com/open?id=15QfApwuhEO15jiw3v1uAAyQWvf6mevK46wqYBH7wyas" TargetMode="External"/><Relationship Id="rId1249" Type="http://schemas.openxmlformats.org/officeDocument/2006/relationships/hyperlink" Target="https://drive.google.com/open?id=1bjku_Gk_9iMSFZTNgcsAFZaECplFltPExyoSg0Sb4Is" TargetMode="External"/><Relationship Id="rId2854" Type="http://schemas.openxmlformats.org/officeDocument/2006/relationships/hyperlink" Target="https://docs.google.com/spreadsheets/d/1mb56fxeCsNeZ0a6kyOs71lHHML1NvKdWPL1pxHAxARE" TargetMode="External"/><Relationship Id="rId3905" Type="http://schemas.openxmlformats.org/officeDocument/2006/relationships/hyperlink" Target="https://drive.google.com/open?id=1YG8FCFfb_7C-VhPVWkjgcqsqSOCY3bVI7QNYB_FGnz0" TargetMode="External"/><Relationship Id="rId95" Type="http://schemas.openxmlformats.org/officeDocument/2006/relationships/hyperlink" Target="https://docs.google.com/spreadsheets/d/1tDGOr1-mQZ1j7enNWJkq4J-6UyRrxNp8PU4WHolfb4A/edit?usp=sharing" TargetMode="External"/><Relationship Id="rId826" Type="http://schemas.openxmlformats.org/officeDocument/2006/relationships/hyperlink" Target="https://docs.google.com/spreadsheets/d/1n9Aa6HxVngvQq50B4UTfv8sE_B-XeDhjObcHuM4I11E" TargetMode="External"/><Relationship Id="rId1109" Type="http://schemas.openxmlformats.org/officeDocument/2006/relationships/hyperlink" Target="https://drive.google.com/open?id=1oxOc09P3H6c3etcU2Cox3OmjdScC_NtBT9weDtr2OM0" TargetMode="External"/><Relationship Id="rId1456" Type="http://schemas.openxmlformats.org/officeDocument/2006/relationships/hyperlink" Target="https://drive.google.com/open?id=1uI7v9DVy6DgtP0OIaUYChG2cm3G-a0HSJYQR42y8gMk&amp;usp=drive_copy" TargetMode="External"/><Relationship Id="rId1663" Type="http://schemas.openxmlformats.org/officeDocument/2006/relationships/hyperlink" Target="https://docs.google.com/open?id=1SvgwqPMmFRn7bd9BUNr0R5HUmumpGdQHHWFRch-vBN0" TargetMode="External"/><Relationship Id="rId1870" Type="http://schemas.openxmlformats.org/officeDocument/2006/relationships/hyperlink" Target="https://docs.google.com/spreadsheets/d/1wxxu2GO_U-eppy_8UcrmaUsKrFVSuaW9Pl2oHDxuQ8M" TargetMode="External"/><Relationship Id="rId2507" Type="http://schemas.openxmlformats.org/officeDocument/2006/relationships/hyperlink" Target="https://docs.google.com/open?id=1EE7F9TdJWX39Eaf_HwosXUAAqTVHuiDKG-FG6pfOzP0" TargetMode="External"/><Relationship Id="rId2714" Type="http://schemas.openxmlformats.org/officeDocument/2006/relationships/hyperlink" Target="https://docs.google.com/spreadsheets/d/1uGLafnwIlis0kZmaAo4Pjzeo7Z74zkABUJIvqmVN_YE" TargetMode="External"/><Relationship Id="rId2921" Type="http://schemas.openxmlformats.org/officeDocument/2006/relationships/hyperlink" Target="https://drive.google.com/open?id=15XzwiTLnXTVZU4W19qVl298eEfhfzwdZaYDqQkY-_hM" TargetMode="External"/><Relationship Id="rId1316" Type="http://schemas.openxmlformats.org/officeDocument/2006/relationships/hyperlink" Target="https://drive.google.com/open?id=1s-L6qpGiijV9BQwFO--SrDFxriVRZmYTznS3vi4EEKw&amp;usp=drive_copy" TargetMode="External"/><Relationship Id="rId1523" Type="http://schemas.openxmlformats.org/officeDocument/2006/relationships/hyperlink" Target="https://docs.google.com/open?id=1C8nqDXbJfAiIjuDjiMu5OkA0dHOJ_GCj6_z55jqJYyk" TargetMode="External"/><Relationship Id="rId1730" Type="http://schemas.openxmlformats.org/officeDocument/2006/relationships/hyperlink" Target="https://docs.google.com/spreadsheets/d/1GXJycXRAsniebh4p2JAgv_fjiRPhZrrR90Ejy2Gi7wA" TargetMode="External"/><Relationship Id="rId22" Type="http://schemas.openxmlformats.org/officeDocument/2006/relationships/hyperlink" Target="https://docs.google.com/spreadsheets/d/1mb_BZPt2HMU-IcLb4vaK5c_CjHM23e3vhkmwItR5rAU/edit" TargetMode="External"/><Relationship Id="rId3488" Type="http://schemas.openxmlformats.org/officeDocument/2006/relationships/hyperlink" Target="https://drive.google.com/open?id=1s2TfMVV6iHv16riausmRZ11glqryl6mn7rLxUsFPe00&amp;usp=drive_copy" TargetMode="External"/><Relationship Id="rId3695" Type="http://schemas.openxmlformats.org/officeDocument/2006/relationships/hyperlink" Target="https://docs.google.com/open?id=1Yk1yQn_PGRwSe8BNNnKwSy6nlEdzEKhsFw9sdXWz_sk" TargetMode="External"/><Relationship Id="rId2297" Type="http://schemas.openxmlformats.org/officeDocument/2006/relationships/hyperlink" Target="https://drive.google.com/open?id=1TRRqPufsYEUl_PyL7lkIkgBQ5pbDLDi8MOSLHu5EjuU" TargetMode="External"/><Relationship Id="rId3348" Type="http://schemas.openxmlformats.org/officeDocument/2006/relationships/hyperlink" Target="https://drive.google.com/open?id=1PBVCKZ15LG3PK_khMQh4cShqvtx1Rtou_3tp6Hitfkc&amp;usp=drive_copy" TargetMode="External"/><Relationship Id="rId3555" Type="http://schemas.openxmlformats.org/officeDocument/2006/relationships/hyperlink" Target="https://docs.google.com/open?id=1cJyH9G0xbvBMR_LB1KQIbph10iy8GP-WteejWLRZcuI" TargetMode="External"/><Relationship Id="rId3762" Type="http://schemas.openxmlformats.org/officeDocument/2006/relationships/hyperlink" Target="https://docs.google.com/spreadsheets/d/1Vp9XSd4bFFHPTkZ3pBXqVAaqQ3D5HakYfXbBEzzxmXk" TargetMode="External"/><Relationship Id="rId269" Type="http://schemas.openxmlformats.org/officeDocument/2006/relationships/hyperlink" Target="https://drive.google.com/open?id=1ZOx50n9LxDnUJ4WoZJfQAW77psTsnQhwPusYOEBG7Ng" TargetMode="External"/><Relationship Id="rId476" Type="http://schemas.openxmlformats.org/officeDocument/2006/relationships/hyperlink" Target="https://drive.google.com/open?id=1vVWJqM_ZEbT8aB0cn9bEM5_yDhPt4R5bzNmGTet2Orw&amp;usp=drive_copy" TargetMode="External"/><Relationship Id="rId683" Type="http://schemas.openxmlformats.org/officeDocument/2006/relationships/hyperlink" Target="https://docs.google.com/open?id=1IpjbK_P7dAk_ICHRUCk0DpMxZOgclIBDIH9lpWsYM-E" TargetMode="External"/><Relationship Id="rId890" Type="http://schemas.openxmlformats.org/officeDocument/2006/relationships/hyperlink" Target="https://docs.google.com/spreadsheets/d/1OhkZpAQmSa7eDZlcNCm4tpoVKg5llb1fotV9WHO8q6Q" TargetMode="External"/><Relationship Id="rId2157" Type="http://schemas.openxmlformats.org/officeDocument/2006/relationships/hyperlink" Target="https://drive.google.com/open?id=1gp-STXwLZ7ksJXWsEH9Se3ppe-mCXxDjiCtHrDrGUi8" TargetMode="External"/><Relationship Id="rId2364" Type="http://schemas.openxmlformats.org/officeDocument/2006/relationships/hyperlink" Target="https://drive.google.com/open?id=1C3sM5khnjwmFxar7TH3x9KEFFy2k4oIL2zEJBDDpgA4&amp;usp=drive_copy" TargetMode="External"/><Relationship Id="rId2571" Type="http://schemas.openxmlformats.org/officeDocument/2006/relationships/hyperlink" Target="https://docs.google.com/open?id=1nIgLQUqkTZWxzZ7wba4p4rdet2tZLGLBiBV7eCpag2s" TargetMode="External"/><Relationship Id="rId3208" Type="http://schemas.openxmlformats.org/officeDocument/2006/relationships/hyperlink" Target="https://drive.google.com/open?id=1t2uI5jSJvcoYzVphAG-PsbmtRBmaihD0bbE2MtW-_CI&amp;usp=drive_copy" TargetMode="External"/><Relationship Id="rId3415" Type="http://schemas.openxmlformats.org/officeDocument/2006/relationships/hyperlink" Target="https://docs.google.com/open?id=1upMbc2DOHsxHu_J0dPK37xsFchSINnXvgmYGT1j2Pcs" TargetMode="External"/><Relationship Id="rId129" Type="http://schemas.openxmlformats.org/officeDocument/2006/relationships/hyperlink" Target="https://docs.google.com/spreadsheets/d/13rErnlCfxCiEtKMsQYLHvTwpmTRCXnNTzRIbjNzdOEE/edit?usp=sharing" TargetMode="External"/><Relationship Id="rId336" Type="http://schemas.openxmlformats.org/officeDocument/2006/relationships/hyperlink" Target="https://drive.google.com/open?id=1G034Ca2SXPIjqSO13Pdt1kyW9xeO96TuNSKDyn9gYO0&amp;usp=drive_copy" TargetMode="External"/><Relationship Id="rId543" Type="http://schemas.openxmlformats.org/officeDocument/2006/relationships/hyperlink" Target="https://docs.google.com/open?id=1N2b5eyYI6AWlfXQTEv_JxnPRRXHfsXF9RjK4Z3AUhcM" TargetMode="External"/><Relationship Id="rId1173" Type="http://schemas.openxmlformats.org/officeDocument/2006/relationships/hyperlink" Target="https://drive.google.com/open?id=1XZ0nOf_lIIurh_0YI6XJjrazj_ubPlOlFvi6ZJ7-62M" TargetMode="External"/><Relationship Id="rId1380" Type="http://schemas.openxmlformats.org/officeDocument/2006/relationships/hyperlink" Target="https://drive.google.com/open?id=1VtV1VuFXIUlrUnyhxzTLQHZn6W1o8vEdxdeLKZwOWDs&amp;usp=drive_copy" TargetMode="External"/><Relationship Id="rId2017" Type="http://schemas.openxmlformats.org/officeDocument/2006/relationships/hyperlink" Target="https://drive.google.com/open?id=1I3AF19kK7L1mKBHF-HNiBhq5ToSl1LbuuMHzVkPdcUo" TargetMode="External"/><Relationship Id="rId2224" Type="http://schemas.openxmlformats.org/officeDocument/2006/relationships/hyperlink" Target="https://drive.google.com/open?id=1rY1y9v9wU3tikCxYk5bZrEOXkSjSmrYf_42fVy3Wq3E&amp;usp=drive_copy" TargetMode="External"/><Relationship Id="rId3622" Type="http://schemas.openxmlformats.org/officeDocument/2006/relationships/hyperlink" Target="https://docs.google.com/spreadsheets/d/1x3trs2wSiz5ktdTSnKOmaf0SXagaoGxqKwbd6xwRG0c/edit?usp=drive_link" TargetMode="External"/><Relationship Id="rId403" Type="http://schemas.openxmlformats.org/officeDocument/2006/relationships/hyperlink" Target="https://docs.google.com/open?id=1HyvwxqD5FNZqjR8zH5AobLOZNgEZj5B8DhfxGq-R-e8" TargetMode="External"/><Relationship Id="rId750" Type="http://schemas.openxmlformats.org/officeDocument/2006/relationships/hyperlink" Target="https://docs.google.com/spreadsheets/d/1_OC1x9LoKGkG1q2azWKy02arliNVRdFHPLG1bfvCfow" TargetMode="External"/><Relationship Id="rId1033" Type="http://schemas.openxmlformats.org/officeDocument/2006/relationships/hyperlink" Target="https://drive.google.com/open?id=1zV8tIvGoNK8aF3W0o-01UwnkDENQdvxe7JUTwTFxozA" TargetMode="External"/><Relationship Id="rId2431" Type="http://schemas.openxmlformats.org/officeDocument/2006/relationships/hyperlink" Target="https://docs.google.com/open?id=1U1_WC00FR3s7Xqllgrk-nYX6bEswGj3ea0FaYR3S7rI" TargetMode="External"/><Relationship Id="rId610" Type="http://schemas.openxmlformats.org/officeDocument/2006/relationships/hyperlink" Target="https://docs.google.com/spreadsheets/d/10r_UsZUdmg54QO7bo8serIG-MqG3xlhPZDRdK2r9Kpw" TargetMode="External"/><Relationship Id="rId1240" Type="http://schemas.openxmlformats.org/officeDocument/2006/relationships/hyperlink" Target="https://drive.google.com/open?id=1Qdkcu0bGP2GwNWE_f1ic2-g4KzvfN1l5y1NcBX5hZvk&amp;usp=drive_copy" TargetMode="External"/><Relationship Id="rId1100" Type="http://schemas.openxmlformats.org/officeDocument/2006/relationships/hyperlink" Target="https://drive.google.com/open?id=1Ej1fn9ZntzCVNzdS9n2ooJM8aheySbhVY0aOsvlIxqU&amp;usp=drive_copy" TargetMode="External"/><Relationship Id="rId1917" Type="http://schemas.openxmlformats.org/officeDocument/2006/relationships/hyperlink" Target="https://drive.google.com/open?id=1ux_omYs00ZIRBqO_vvyjDrGxqtMqjIMPcLxc9xdvc20" TargetMode="External"/><Relationship Id="rId3065" Type="http://schemas.openxmlformats.org/officeDocument/2006/relationships/hyperlink" Target="https://drive.google.com/open?id=17Ko1LM4jIp6bwuXmNtHl8M-offEqBv4yzu9oM9psBEg" TargetMode="External"/><Relationship Id="rId3272" Type="http://schemas.openxmlformats.org/officeDocument/2006/relationships/hyperlink" Target="https://drive.google.com/open?id=16Kzkc0An9X9x9gpUv8X_iRGhP2YimemOCL6bkkRmHK4&amp;usp=drive_copy" TargetMode="External"/><Relationship Id="rId193" Type="http://schemas.openxmlformats.org/officeDocument/2006/relationships/hyperlink" Target="https://docs.google.com/spreadsheets/d/1dfq-4mbH5Fxmq3qOJuQemQIfGGu0vhueCzCPUHM4N2Y/edit?usp=sharing" TargetMode="External"/><Relationship Id="rId2081" Type="http://schemas.openxmlformats.org/officeDocument/2006/relationships/hyperlink" Target="https://drive.google.com/open?id=1F_9OAvKz0KlFsPKIxwKI3CJWvfkj5tmmyxQqpkANOIc" TargetMode="External"/><Relationship Id="rId3132" Type="http://schemas.openxmlformats.org/officeDocument/2006/relationships/hyperlink" Target="https://drive.google.com/open?id=1R9wbltaLsx33FD0_S60X9zYWd8VCHYWJQuE6-tyjkds&amp;usp=drive_copy" TargetMode="External"/><Relationship Id="rId260" Type="http://schemas.openxmlformats.org/officeDocument/2006/relationships/hyperlink" Target="https://drive.google.com/open?id=1c7gv06DQzX8OMG64muBkEDU6ZJjbroMSSeWFQqiAAEQ&amp;usp=drive_copy" TargetMode="External"/><Relationship Id="rId120" Type="http://schemas.openxmlformats.org/officeDocument/2006/relationships/hyperlink" Target="https://docs.google.com/spreadsheets/d/1CrHFHixT4a5ltdBQMyTC8-BNTWD32S809rVetEuK5Q0/edit" TargetMode="External"/><Relationship Id="rId2898" Type="http://schemas.openxmlformats.org/officeDocument/2006/relationships/hyperlink" Target="https://docs.google.com/spreadsheets/d/1VRx1_kzqtzOcQap8Edcli55mX_SZmlUdk6fdp24kplY" TargetMode="External"/><Relationship Id="rId3949" Type="http://schemas.openxmlformats.org/officeDocument/2006/relationships/hyperlink" Target="https://drive.google.com/open?id=1yyWpoI7sekFdjRmZBdv2nk40V__VZXy6Nxa_RTxVxYU" TargetMode="External"/><Relationship Id="rId2758" Type="http://schemas.openxmlformats.org/officeDocument/2006/relationships/hyperlink" Target="https://docs.google.com/spreadsheets/d/1bpzPTv2x34Z3f7I7vnh0EdNcL2_IXuBRk0j86EfK_i8" TargetMode="External"/><Relationship Id="rId2965" Type="http://schemas.openxmlformats.org/officeDocument/2006/relationships/hyperlink" Target="https://drive.google.com/open?id=1WIeOo_cavCz6IzPv-79HsdP8DPAiY2XsnlSzhq_-wfw" TargetMode="External"/><Relationship Id="rId3809" Type="http://schemas.openxmlformats.org/officeDocument/2006/relationships/hyperlink" Target="https://drive.google.com/open?id=1hhUgikEW5K-NuleAxxHugrZWLfJENeDn34ezodBXBz4" TargetMode="External"/><Relationship Id="rId937" Type="http://schemas.openxmlformats.org/officeDocument/2006/relationships/hyperlink" Target="https://drive.google.com/open?id=1HTaVZe1FFZP8z6EJtKgSrY71HOWk1fPYEpqK9U86A_I" TargetMode="External"/><Relationship Id="rId1567" Type="http://schemas.openxmlformats.org/officeDocument/2006/relationships/hyperlink" Target="https://docs.google.com/open?id=1vbIpNLIrtsRBXqGoKiTY2MwTpkrvJpMfY-4jcOc-87Q" TargetMode="External"/><Relationship Id="rId1774" Type="http://schemas.openxmlformats.org/officeDocument/2006/relationships/hyperlink" Target="https://docs.google.com/spreadsheets/d/1um608jV13fNH1ZbjwoXwV-tSluf_VdhWse6cXP4D8hU" TargetMode="External"/><Relationship Id="rId1981" Type="http://schemas.openxmlformats.org/officeDocument/2006/relationships/hyperlink" Target="https://drive.google.com/open?id=16MyVWQLNl7HMCmx8YWNFG_zmTXRoJ1gwvLsSTUWr_wg" TargetMode="External"/><Relationship Id="rId2618" Type="http://schemas.openxmlformats.org/officeDocument/2006/relationships/hyperlink" Target="https://docs.google.com/spreadsheets/d/1-0X0HMeTQmIRCk_pJfwsz13RQ3KiqggzPT64BlsAfK8" TargetMode="External"/><Relationship Id="rId2825" Type="http://schemas.openxmlformats.org/officeDocument/2006/relationships/hyperlink" Target="https://drive.google.com/open?id=1_IlLrpMCR8JwfyVw7TeHCLEb5PHpLme-K6LRIFBUVm0" TargetMode="External"/><Relationship Id="rId66" Type="http://schemas.openxmlformats.org/officeDocument/2006/relationships/hyperlink" Target="https://docs.google.com/spreadsheets/d/1jkfM3Ow_URh5QCpEop8C3NcZlI-Kn4oNuniVaSYZU0g/edit" TargetMode="External"/><Relationship Id="rId1427" Type="http://schemas.openxmlformats.org/officeDocument/2006/relationships/hyperlink" Target="https://docs.google.com/open?id=1mbTS3Bu6MS0ju-5srY3pPB5b8S95ojZrjyxgkkp-DiQ" TargetMode="External"/><Relationship Id="rId1634" Type="http://schemas.openxmlformats.org/officeDocument/2006/relationships/hyperlink" Target="https://docs.google.com/spreadsheets/d/1qDjLQ2-zmIKipmsLWvCvt2a-M6hKKOyBZzsFPfmRvJM" TargetMode="External"/><Relationship Id="rId1841" Type="http://schemas.openxmlformats.org/officeDocument/2006/relationships/hyperlink" Target="https://drive.google.com/open?id=1I7RkrNovslxB9JxiPXBExgVyzLZs3EkVNXTGrAx97qU" TargetMode="External"/><Relationship Id="rId3599" Type="http://schemas.openxmlformats.org/officeDocument/2006/relationships/hyperlink" Target="https://docs.google.com/open?id=1TFECJJopodwekhtR2PKF9WgnAcBWKltb4U9QfBUHZFc" TargetMode="External"/><Relationship Id="rId1701" Type="http://schemas.openxmlformats.org/officeDocument/2006/relationships/hyperlink" Target="https://drive.google.com/open?id=1YuEcudYycIAEz6Kj5tfliBJzbEOJLch9G62k9JrIOh0" TargetMode="External"/><Relationship Id="rId3459" Type="http://schemas.openxmlformats.org/officeDocument/2006/relationships/hyperlink" Target="https://docs.google.com/open?id=1Kk5ljm1U1aNX9U-iO3woyNGOVfHVoaCk0XRcsdKqFE8" TargetMode="External"/><Relationship Id="rId3666" Type="http://schemas.openxmlformats.org/officeDocument/2006/relationships/hyperlink" Target="https://docs.google.com/spreadsheets/d/19ZDN6-sAUd9J7XkAkFvRVoMzw1UnPWUn7WxMS0UCz04" TargetMode="External"/><Relationship Id="rId587" Type="http://schemas.openxmlformats.org/officeDocument/2006/relationships/hyperlink" Target="https://docs.google.com/open?id=1qnUnVWn2kRKO8oLDUSWhjsxsZYJJh5ofKS5i2hS0Prk" TargetMode="External"/><Relationship Id="rId2268" Type="http://schemas.openxmlformats.org/officeDocument/2006/relationships/hyperlink" Target="https://drive.google.com/open?id=1YnweNW4B4kDthnEB8i0Nt5ZWP1XzZsnFWKgnuP1ypk4&amp;usp=drive_copy" TargetMode="External"/><Relationship Id="rId3319" Type="http://schemas.openxmlformats.org/officeDocument/2006/relationships/hyperlink" Target="https://docs.google.com/open?id=1EZrU53gtJdwsEYuNiHOgrMRTrEKmUh9hNrRFMLVCOGw" TargetMode="External"/><Relationship Id="rId3873" Type="http://schemas.openxmlformats.org/officeDocument/2006/relationships/hyperlink" Target="https://drive.google.com/open?id=1uNIGa0BmylAikCZTRfDYS7Z0d1-o7ET-2vGbGpJLHnQ" TargetMode="External"/><Relationship Id="rId447" Type="http://schemas.openxmlformats.org/officeDocument/2006/relationships/hyperlink" Target="https://docs.google.com/open?id=1k_Gd0Vrw4G7BWPAuQERQkoSXk7sws1wdJ9vK8QoMMQo" TargetMode="External"/><Relationship Id="rId794" Type="http://schemas.openxmlformats.org/officeDocument/2006/relationships/hyperlink" Target="https://docs.google.com/spreadsheets/d/1ncnwZuMQy05fjCX98NBp_RkrmXPGyLpIea6g6mbazAg" TargetMode="External"/><Relationship Id="rId1077" Type="http://schemas.openxmlformats.org/officeDocument/2006/relationships/hyperlink" Target="https://drive.google.com/open?id=1gUp2of45r1p0dugD5kbOtWH35ont0ZVMOkqlLBlaYMo" TargetMode="External"/><Relationship Id="rId2128" Type="http://schemas.openxmlformats.org/officeDocument/2006/relationships/hyperlink" Target="https://drive.google.com/open?id=1gjojWKaW77IWMv44XbLSysOJaL7bE-RN3ZWpUdIommo&amp;usp=drive_copy" TargetMode="External"/><Relationship Id="rId2475" Type="http://schemas.openxmlformats.org/officeDocument/2006/relationships/hyperlink" Target="https://docs.google.com/open?id=1HgwxKJP6-XjGZYXnLuy-dAy8hCHXAspBVTq9KUkKxgA" TargetMode="External"/><Relationship Id="rId2682" Type="http://schemas.openxmlformats.org/officeDocument/2006/relationships/hyperlink" Target="https://docs.google.com/spreadsheets/d/1GKFZB2ZgLyj-2sXoNSsxZ7TMuEoz_6HUSJJCrNs6HGo" TargetMode="External"/><Relationship Id="rId3526" Type="http://schemas.openxmlformats.org/officeDocument/2006/relationships/hyperlink" Target="https://docs.google.com/spreadsheets/d/1P30C7qC89zbuaidMCY1Hk2p00nfFb_PzLKl5HwA-xnU" TargetMode="External"/><Relationship Id="rId3733" Type="http://schemas.openxmlformats.org/officeDocument/2006/relationships/hyperlink" Target="https://drive.google.com/open?id=1ekEFpD9xXi9Za6ydKgp1dK3cOzwLqtoRxwEOjmN053E" TargetMode="External"/><Relationship Id="rId3940" Type="http://schemas.openxmlformats.org/officeDocument/2006/relationships/hyperlink" Target="https://drive.google.com/open?id=1MiyDZVUXj1utHEsf2iRrXi2eY-C05IHgCItJy3NjnaU&amp;usp=drive_copy" TargetMode="External"/><Relationship Id="rId654" Type="http://schemas.openxmlformats.org/officeDocument/2006/relationships/hyperlink" Target="https://docs.google.com/spreadsheets/d/1EU6FPBVs4_bHZk5YhLGRafEA6_g5xHbvZj8VG2o9qeY" TargetMode="External"/><Relationship Id="rId861" Type="http://schemas.openxmlformats.org/officeDocument/2006/relationships/hyperlink" Target="https://drive.google.com/open?id=1x1nYgQm0DL8JVvoXjNimbVfc-ojGdplpqg0XdAUFygQ" TargetMode="External"/><Relationship Id="rId1284" Type="http://schemas.openxmlformats.org/officeDocument/2006/relationships/hyperlink" Target="https://drive.google.com/open?id=1M4SpjUaM1L5pykCZK1fIbNtKEtSpv1PBHArHd0oBREc&amp;usp=drive_copy" TargetMode="External"/><Relationship Id="rId1491" Type="http://schemas.openxmlformats.org/officeDocument/2006/relationships/hyperlink" Target="https://docs.google.com/open?id=19iOKPB14W0VGP-0ml8pziHOt6sYzXWaj7a4Zoum-tBI" TargetMode="External"/><Relationship Id="rId2335" Type="http://schemas.openxmlformats.org/officeDocument/2006/relationships/hyperlink" Target="https://docs.google.com/open?id=1f4WW9qVtuFPjrDhsFzzy7LYxpPaj0bfF8ZirxJlXjA0" TargetMode="External"/><Relationship Id="rId2542" Type="http://schemas.openxmlformats.org/officeDocument/2006/relationships/hyperlink" Target="https://docs.google.com/spreadsheets/d/1hj9Co6STaAQxdUSeZPqhGx7CfFMhdiHnGboJ9Knc1Fg" TargetMode="External"/><Relationship Id="rId3800" Type="http://schemas.openxmlformats.org/officeDocument/2006/relationships/hyperlink" Target="https://drive.google.com/open?id=1HUXoVXu9KF3uSLy1NeUvbYHN6NI1q7ecDNxcINSf-2k&amp;usp=drive_copy" TargetMode="External"/><Relationship Id="rId307" Type="http://schemas.openxmlformats.org/officeDocument/2006/relationships/hyperlink" Target="https://docs.google.com/open?id=10SsfHfjMWVVwwkAQdyfHcZnV2TxslEEFeE11YoZT14I" TargetMode="External"/><Relationship Id="rId514" Type="http://schemas.openxmlformats.org/officeDocument/2006/relationships/hyperlink" Target="https://docs.google.com/spreadsheets/d/1WrO6d4_riEipMV3EXQ2EjXaQ2I5IYdIl5Mo4aYGadQg" TargetMode="External"/><Relationship Id="rId721" Type="http://schemas.openxmlformats.org/officeDocument/2006/relationships/hyperlink" Target="https://drive.google.com/open?id=1T1TlUoxuPrXb59J6Pq0GSChhFotWcNzNzg3saMpJlHI" TargetMode="External"/><Relationship Id="rId1144" Type="http://schemas.openxmlformats.org/officeDocument/2006/relationships/hyperlink" Target="https://drive.google.com/open?id=1rnBeGu67CR0QBG4_DNubbzEK5NSk5mlBzMw_7iZ6Hs8&amp;usp=drive_copy" TargetMode="External"/><Relationship Id="rId1351" Type="http://schemas.openxmlformats.org/officeDocument/2006/relationships/hyperlink" Target="https://docs.google.com/open?id=19K_0jUpJ8kktXDNGjYJ4WjRegT2dkmpWZZXQS7Bvz80" TargetMode="External"/><Relationship Id="rId2402" Type="http://schemas.openxmlformats.org/officeDocument/2006/relationships/hyperlink" Target="https://docs.google.com/spreadsheets/d/14zMP8wU-P9XDjEapTt2vNxCj7-A38ewKHzv8GbkMsEQ" TargetMode="External"/><Relationship Id="rId1004" Type="http://schemas.openxmlformats.org/officeDocument/2006/relationships/hyperlink" Target="https://drive.google.com/open?id=1oMvRKCsxFE6sjk4cGmyuzDcOCu378H6gDJ8b3vLGNa4&amp;usp=drive_copy" TargetMode="External"/><Relationship Id="rId1211" Type="http://schemas.openxmlformats.org/officeDocument/2006/relationships/hyperlink" Target="https://docs.google.com/open?id=1ZvBcY12fipEHX1b4eUbGpDkpc5lwxJ2nzm0kqiRSDJU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open?id=1HyvwxqD5FNZqjR8zH5AobLOZNgEZj5B8DhfxGq-R-e8&amp;usp=drive_copy" TargetMode="External"/><Relationship Id="rId13" Type="http://schemas.openxmlformats.org/officeDocument/2006/relationships/hyperlink" Target="https://drive.google.com/open?id=1oxvmIEAZSSpHSnqlebeMmpTXTl0exGkduKLiQzbjp00&amp;usp=drive_copy" TargetMode="External"/><Relationship Id="rId18" Type="http://schemas.openxmlformats.org/officeDocument/2006/relationships/hyperlink" Target="https://drive.google.com/open?id=1D51xmYYsDlWkRFPh_MU2uGUmjNrYLMcOxoPoM89_OLg&amp;usp=drive_copy" TargetMode="External"/><Relationship Id="rId3" Type="http://schemas.openxmlformats.org/officeDocument/2006/relationships/hyperlink" Target="https://drive.google.com/open?id=1KYugIwwEiOvYOpyPHcB98jKH13KQMTPamOpYz7YkUiE&amp;usp=drive_copy" TargetMode="External"/><Relationship Id="rId21" Type="http://schemas.openxmlformats.org/officeDocument/2006/relationships/hyperlink" Target="https://drive.google.com/open?id=10-e6i2Y1dJz7V0Ow6RYSOPsODg2DKNOiq-4_fCDRCow&amp;usp=drive_copy" TargetMode="External"/><Relationship Id="rId7" Type="http://schemas.openxmlformats.org/officeDocument/2006/relationships/hyperlink" Target="https://drive.google.com/open?id=1H5cH6I1Yn6c9FYo9qB21sOPPrX_AvVGO-__Zj9ZrtD4&amp;usp=drive_copy" TargetMode="External"/><Relationship Id="rId12" Type="http://schemas.openxmlformats.org/officeDocument/2006/relationships/hyperlink" Target="https://drive.google.com/open?id=1wMQbr05_r-X4uMyVsKJ8Ibj2ZQrvi7zlSBHbrv_H3VM&amp;usp=drive_copy" TargetMode="External"/><Relationship Id="rId17" Type="http://schemas.openxmlformats.org/officeDocument/2006/relationships/hyperlink" Target="https://drive.google.com/open?id=1TnmNTSo-03y6ulvYttT-hHHTp9QhfaNbZjV0kMWrqhg&amp;usp=drive_copy" TargetMode="External"/><Relationship Id="rId2" Type="http://schemas.openxmlformats.org/officeDocument/2006/relationships/hyperlink" Target="https://drive.google.com/open?id=14PHFYBfwNIyFEI70LXz85hCHJNCd_-E4JiEYLXljb4U&amp;usp=drive_copy" TargetMode="External"/><Relationship Id="rId16" Type="http://schemas.openxmlformats.org/officeDocument/2006/relationships/hyperlink" Target="https://drive.google.com/open?id=1cbeGkjsmhBnqkSbnaED3lH6sqZYfy4rst8pE_bRbCAM&amp;usp=drive_copy" TargetMode="External"/><Relationship Id="rId20" Type="http://schemas.openxmlformats.org/officeDocument/2006/relationships/hyperlink" Target="https://drive.google.com/open?id=1ISEd3zZ3_P1FV2SCiUiV-r7i24_e-6GfzFQSFt3Oaak&amp;usp=drive_copy" TargetMode="External"/><Relationship Id="rId1" Type="http://schemas.openxmlformats.org/officeDocument/2006/relationships/hyperlink" Target="https://drive.google.com/open?id=1GVr-0M9hcU_79EyI5DswcnDGE_b9NdSwX6WI63ieBLk&amp;usp=drive_copy" TargetMode="External"/><Relationship Id="rId6" Type="http://schemas.openxmlformats.org/officeDocument/2006/relationships/hyperlink" Target="https://drive.google.com/open?id=160mwCVwARWMQQn4nKh_XybjFtd9XBFLnLPGaCl9zHqA&amp;usp=drive_copy" TargetMode="External"/><Relationship Id="rId11" Type="http://schemas.openxmlformats.org/officeDocument/2006/relationships/hyperlink" Target="https://drive.google.com/open?id=1klx-jM_uw9hDg7VHOS0x529_pFTS9wvAdIFBexxrz1Q&amp;usp=drive_copy" TargetMode="External"/><Relationship Id="rId5" Type="http://schemas.openxmlformats.org/officeDocument/2006/relationships/hyperlink" Target="https://drive.google.com/open?id=1wuTP6ZyVjkSrlxTL8N9Ko9Ahw4roz-bpCZiVKoGmPgw&amp;usp=drive_copy" TargetMode="External"/><Relationship Id="rId15" Type="http://schemas.openxmlformats.org/officeDocument/2006/relationships/hyperlink" Target="https://drive.google.com/open?id=1IXb9Bk8sKJ83gCPkX3INib2baN24jj8mVj4yXEoI5IY&amp;usp=drive_copy" TargetMode="External"/><Relationship Id="rId10" Type="http://schemas.openxmlformats.org/officeDocument/2006/relationships/hyperlink" Target="https://drive.google.com/open?id=1JrvEcBNIHds45QH3qMfqRQ_H-9ayBh5To_hJDicSlVE&amp;usp=drive_copy" TargetMode="External"/><Relationship Id="rId19" Type="http://schemas.openxmlformats.org/officeDocument/2006/relationships/hyperlink" Target="https://drive.google.com/open?id=1ZmpHtiGG6GHbJ3t4f7m6mVz6YP-37MXVLkmgSzjbKqg&amp;usp=drive_copy" TargetMode="External"/><Relationship Id="rId4" Type="http://schemas.openxmlformats.org/officeDocument/2006/relationships/hyperlink" Target="https://drive.google.com/open?id=1hEZozbbt04pi8zcWWtApBLkiKCwsFW7GZPrEICLjDvs&amp;usp=drive_copy" TargetMode="External"/><Relationship Id="rId9" Type="http://schemas.openxmlformats.org/officeDocument/2006/relationships/hyperlink" Target="https://drive.google.com/open?id=1Jeqq8a6eQeAFJgcuEBZmj2cqIC2znoYyZT-OvV39pY4&amp;usp=drive_copy" TargetMode="External"/><Relationship Id="rId14" Type="http://schemas.openxmlformats.org/officeDocument/2006/relationships/hyperlink" Target="https://drive.google.com/open?id=15QfApwuhEO15jiw3v1uAAyQWvf6mevK46wqYBH7wyas&amp;usp=drive_copy" TargetMode="External"/><Relationship Id="rId22" Type="http://schemas.openxmlformats.org/officeDocument/2006/relationships/hyperlink" Target="https://drive.google.com/open?id=1_Z1hkM7SRuL3P9byoBqA47W_Ayd8EFpoIHDvKWY5EmU&amp;usp=drive_cop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76"/>
  <sheetViews>
    <sheetView topLeftCell="A7" workbookViewId="0">
      <selection activeCell="B12" sqref="B12"/>
    </sheetView>
  </sheetViews>
  <sheetFormatPr defaultColWidth="12.6328125" defaultRowHeight="15.75" customHeight="1"/>
  <cols>
    <col min="1" max="1" width="18.90625" customWidth="1"/>
    <col min="2" max="2" width="43.90625" customWidth="1"/>
    <col min="3" max="3" width="56.36328125" customWidth="1"/>
  </cols>
  <sheetData>
    <row r="1" spans="1:3" ht="25">
      <c r="A1" s="1" t="s">
        <v>0</v>
      </c>
      <c r="B1" s="2"/>
      <c r="C1" s="3" t="s">
        <v>1</v>
      </c>
    </row>
    <row r="2" spans="1:3" ht="25">
      <c r="A2" s="1" t="s">
        <v>2</v>
      </c>
      <c r="B2" s="2"/>
      <c r="C2" s="3" t="s">
        <v>3</v>
      </c>
    </row>
    <row r="3" spans="1:3" ht="25">
      <c r="A3" s="1" t="s">
        <v>4</v>
      </c>
      <c r="B3" s="2"/>
      <c r="C3" s="3" t="s">
        <v>3</v>
      </c>
    </row>
    <row r="4" spans="1:3" ht="37.5">
      <c r="A4" s="1" t="s">
        <v>5</v>
      </c>
      <c r="B4" s="2"/>
      <c r="C4" s="3" t="s">
        <v>6</v>
      </c>
    </row>
    <row r="5" spans="1:3" ht="12.5">
      <c r="A5" s="1" t="s">
        <v>7</v>
      </c>
      <c r="B5" s="2"/>
      <c r="C5" s="3" t="s">
        <v>8</v>
      </c>
    </row>
    <row r="6" spans="1:3" ht="187.5" customHeight="1">
      <c r="A6" s="1" t="s">
        <v>9</v>
      </c>
      <c r="B6" s="2"/>
      <c r="C6" s="3" t="s">
        <v>8</v>
      </c>
    </row>
    <row r="7" spans="1:3" ht="50">
      <c r="A7" s="1" t="s">
        <v>10</v>
      </c>
      <c r="B7" s="2"/>
      <c r="C7" s="3" t="s">
        <v>11</v>
      </c>
    </row>
    <row r="8" spans="1:3" ht="12.5">
      <c r="A8" s="1" t="s">
        <v>12</v>
      </c>
      <c r="B8" s="4" t="s">
        <v>13</v>
      </c>
    </row>
    <row r="9" spans="1:3" ht="12.5">
      <c r="B9" s="4" t="s">
        <v>14</v>
      </c>
    </row>
    <row r="10" spans="1:3" ht="12.5">
      <c r="B10" s="4" t="s">
        <v>15</v>
      </c>
    </row>
    <row r="11" spans="1:3" ht="12.5">
      <c r="B11" s="4" t="s">
        <v>16</v>
      </c>
    </row>
    <row r="12" spans="1:3" ht="12.5">
      <c r="B12" s="4" t="s">
        <v>17</v>
      </c>
    </row>
    <row r="13" spans="1:3" ht="12.5">
      <c r="B13" s="4" t="s">
        <v>18</v>
      </c>
    </row>
    <row r="14" spans="1:3" ht="12.5">
      <c r="B14" s="4" t="s">
        <v>19</v>
      </c>
    </row>
    <row r="15" spans="1:3" ht="12.5">
      <c r="B15" s="4" t="s">
        <v>20</v>
      </c>
    </row>
    <row r="16" spans="1:3" ht="12.5">
      <c r="B16" s="4" t="s">
        <v>21</v>
      </c>
    </row>
    <row r="17" spans="2:2" ht="12.5">
      <c r="B17" s="4" t="s">
        <v>22</v>
      </c>
    </row>
    <row r="18" spans="2:2" ht="12.5">
      <c r="B18" s="4" t="s">
        <v>23</v>
      </c>
    </row>
    <row r="19" spans="2:2" ht="12.5">
      <c r="B19" s="4" t="s">
        <v>24</v>
      </c>
    </row>
    <row r="20" spans="2:2" ht="12.5">
      <c r="B20" s="4" t="s">
        <v>25</v>
      </c>
    </row>
    <row r="21" spans="2:2" ht="12.5">
      <c r="B21" s="4" t="s">
        <v>26</v>
      </c>
    </row>
    <row r="22" spans="2:2" ht="12.5">
      <c r="B22" s="4" t="s">
        <v>27</v>
      </c>
    </row>
    <row r="23" spans="2:2" ht="12.5">
      <c r="B23" s="4" t="s">
        <v>28</v>
      </c>
    </row>
    <row r="24" spans="2:2" ht="12.5">
      <c r="B24" s="4" t="s">
        <v>29</v>
      </c>
    </row>
    <row r="25" spans="2:2" ht="12.5">
      <c r="B25" s="4" t="s">
        <v>30</v>
      </c>
    </row>
    <row r="26" spans="2:2" ht="12.5">
      <c r="B26" s="4" t="s">
        <v>31</v>
      </c>
    </row>
    <row r="27" spans="2:2" ht="12.5">
      <c r="B27" s="4" t="s">
        <v>32</v>
      </c>
    </row>
    <row r="28" spans="2:2" ht="12.5">
      <c r="B28" s="4" t="s">
        <v>33</v>
      </c>
    </row>
    <row r="29" spans="2:2" ht="12.5">
      <c r="B29" s="4" t="s">
        <v>34</v>
      </c>
    </row>
    <row r="30" spans="2:2" ht="12.5">
      <c r="B30" s="4" t="s">
        <v>35</v>
      </c>
    </row>
    <row r="31" spans="2:2" ht="12.5">
      <c r="B31" s="4" t="s">
        <v>36</v>
      </c>
    </row>
    <row r="32" spans="2:2" ht="12.5">
      <c r="B32" s="4" t="s">
        <v>37</v>
      </c>
    </row>
    <row r="33" spans="2:2" ht="12.5">
      <c r="B33" s="4" t="s">
        <v>38</v>
      </c>
    </row>
    <row r="34" spans="2:2" ht="12.5">
      <c r="B34" s="4" t="s">
        <v>39</v>
      </c>
    </row>
    <row r="35" spans="2:2" ht="12.5">
      <c r="B35" s="4" t="s">
        <v>40</v>
      </c>
    </row>
    <row r="36" spans="2:2" ht="12.5">
      <c r="B36" s="4" t="s">
        <v>41</v>
      </c>
    </row>
    <row r="37" spans="2:2" ht="12.5">
      <c r="B37" s="4" t="s">
        <v>42</v>
      </c>
    </row>
    <row r="38" spans="2:2" ht="12.5">
      <c r="B38" s="4" t="s">
        <v>43</v>
      </c>
    </row>
    <row r="39" spans="2:2" ht="12.5">
      <c r="B39" s="4" t="s">
        <v>44</v>
      </c>
    </row>
    <row r="40" spans="2:2" ht="12.5">
      <c r="B40" s="4" t="s">
        <v>45</v>
      </c>
    </row>
    <row r="41" spans="2:2" ht="12.5">
      <c r="B41" s="4" t="s">
        <v>46</v>
      </c>
    </row>
    <row r="42" spans="2:2" ht="12.5">
      <c r="B42" s="4" t="s">
        <v>47</v>
      </c>
    </row>
    <row r="43" spans="2:2" ht="12.5">
      <c r="B43" s="4" t="s">
        <v>48</v>
      </c>
    </row>
    <row r="44" spans="2:2" ht="12.5">
      <c r="B44" s="4" t="s">
        <v>49</v>
      </c>
    </row>
    <row r="45" spans="2:2" ht="12.5">
      <c r="B45" s="4" t="s">
        <v>50</v>
      </c>
    </row>
    <row r="46" spans="2:2" ht="12.5">
      <c r="B46" s="4" t="s">
        <v>51</v>
      </c>
    </row>
    <row r="47" spans="2:2" ht="12.5">
      <c r="B47" s="4" t="s">
        <v>52</v>
      </c>
    </row>
    <row r="48" spans="2:2" ht="12.5">
      <c r="B48" s="4" t="s">
        <v>53</v>
      </c>
    </row>
    <row r="49" spans="2:2" ht="12.5">
      <c r="B49" s="4" t="s">
        <v>54</v>
      </c>
    </row>
    <row r="50" spans="2:2" ht="12.5">
      <c r="B50" s="4" t="s">
        <v>55</v>
      </c>
    </row>
    <row r="51" spans="2:2" ht="12.5">
      <c r="B51" s="4" t="s">
        <v>56</v>
      </c>
    </row>
    <row r="52" spans="2:2" ht="12.5">
      <c r="B52" s="4" t="s">
        <v>57</v>
      </c>
    </row>
    <row r="53" spans="2:2" ht="12.5">
      <c r="B53" s="4" t="s">
        <v>58</v>
      </c>
    </row>
    <row r="54" spans="2:2" ht="12.5">
      <c r="B54" s="4" t="s">
        <v>59</v>
      </c>
    </row>
    <row r="55" spans="2:2" ht="12.5">
      <c r="B55" s="4" t="s">
        <v>60</v>
      </c>
    </row>
    <row r="56" spans="2:2" ht="12.5">
      <c r="B56" s="4" t="s">
        <v>61</v>
      </c>
    </row>
    <row r="57" spans="2:2" ht="12.5">
      <c r="B57" s="4" t="s">
        <v>62</v>
      </c>
    </row>
    <row r="58" spans="2:2" ht="12.5">
      <c r="B58" s="4" t="s">
        <v>63</v>
      </c>
    </row>
    <row r="59" spans="2:2" ht="12.5">
      <c r="B59" s="4" t="s">
        <v>64</v>
      </c>
    </row>
    <row r="60" spans="2:2" ht="12.5">
      <c r="B60" s="4" t="s">
        <v>65</v>
      </c>
    </row>
    <row r="61" spans="2:2" ht="12.5">
      <c r="B61" s="4" t="s">
        <v>66</v>
      </c>
    </row>
    <row r="62" spans="2:2" ht="12.5">
      <c r="B62" s="4" t="s">
        <v>67</v>
      </c>
    </row>
    <row r="63" spans="2:2" ht="12.5">
      <c r="B63" s="4" t="s">
        <v>68</v>
      </c>
    </row>
    <row r="64" spans="2:2" ht="12.5">
      <c r="B64" s="4" t="s">
        <v>69</v>
      </c>
    </row>
    <row r="65" spans="2:2" ht="12.5">
      <c r="B65" s="4" t="s">
        <v>70</v>
      </c>
    </row>
    <row r="66" spans="2:2" ht="12.5">
      <c r="B66" s="4" t="s">
        <v>71</v>
      </c>
    </row>
    <row r="67" spans="2:2" ht="12.5">
      <c r="B67" s="4" t="s">
        <v>72</v>
      </c>
    </row>
    <row r="68" spans="2:2" ht="12.5">
      <c r="B68" s="4" t="s">
        <v>73</v>
      </c>
    </row>
    <row r="69" spans="2:2" ht="12.5">
      <c r="B69" s="4" t="s">
        <v>74</v>
      </c>
    </row>
    <row r="70" spans="2:2" ht="12.5">
      <c r="B70" s="4" t="s">
        <v>75</v>
      </c>
    </row>
    <row r="71" spans="2:2" ht="12.5">
      <c r="B71" s="4" t="s">
        <v>76</v>
      </c>
    </row>
    <row r="72" spans="2:2" ht="12.5">
      <c r="B72" s="4" t="s">
        <v>77</v>
      </c>
    </row>
    <row r="73" spans="2:2" ht="12.5">
      <c r="B73" s="4" t="s">
        <v>78</v>
      </c>
    </row>
    <row r="74" spans="2:2" ht="12.5">
      <c r="B74" s="4" t="s">
        <v>79</v>
      </c>
    </row>
    <row r="75" spans="2:2" ht="12.5">
      <c r="B75" s="4" t="s">
        <v>80</v>
      </c>
    </row>
    <row r="76" spans="2:2" ht="12.5">
      <c r="B76" s="4" t="s">
        <v>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D7"/>
  <sheetViews>
    <sheetView workbookViewId="0"/>
  </sheetViews>
  <sheetFormatPr defaultColWidth="12.6328125" defaultRowHeight="15.75" customHeight="1"/>
  <sheetData>
    <row r="1" spans="1:56" ht="15.75" customHeight="1">
      <c r="A1" s="4" t="s">
        <v>82</v>
      </c>
      <c r="B1" s="4" t="s">
        <v>83</v>
      </c>
      <c r="C1" s="4" t="s">
        <v>82</v>
      </c>
      <c r="D1" s="4" t="s">
        <v>82</v>
      </c>
      <c r="E1" s="4" t="s">
        <v>82</v>
      </c>
      <c r="F1" s="4" t="s">
        <v>82</v>
      </c>
      <c r="G1" s="4" t="s">
        <v>82</v>
      </c>
      <c r="H1" s="4" t="s">
        <v>83</v>
      </c>
      <c r="I1" s="4" t="s">
        <v>82</v>
      </c>
      <c r="J1" s="4" t="s">
        <v>83</v>
      </c>
      <c r="K1" s="4" t="s">
        <v>82</v>
      </c>
      <c r="L1" s="4" t="s">
        <v>82</v>
      </c>
      <c r="M1" s="4" t="s">
        <v>82</v>
      </c>
      <c r="N1" s="4" t="s">
        <v>82</v>
      </c>
      <c r="O1" s="4" t="s">
        <v>83</v>
      </c>
      <c r="P1" s="4" t="s">
        <v>83</v>
      </c>
      <c r="Q1" s="4" t="s">
        <v>82</v>
      </c>
      <c r="R1" s="4" t="s">
        <v>83</v>
      </c>
      <c r="S1" s="4" t="s">
        <v>83</v>
      </c>
      <c r="T1" s="4" t="s">
        <v>82</v>
      </c>
      <c r="U1" s="4" t="s">
        <v>82</v>
      </c>
      <c r="V1" s="4" t="s">
        <v>83</v>
      </c>
      <c r="W1" s="4" t="s">
        <v>82</v>
      </c>
      <c r="X1" s="4" t="s">
        <v>83</v>
      </c>
      <c r="Y1" s="4" t="s">
        <v>82</v>
      </c>
      <c r="Z1" s="4" t="s">
        <v>82</v>
      </c>
      <c r="AA1" s="4" t="s">
        <v>82</v>
      </c>
      <c r="AB1" s="4" t="s">
        <v>82</v>
      </c>
      <c r="AC1" s="4" t="s">
        <v>82</v>
      </c>
      <c r="AD1" s="4" t="s">
        <v>82</v>
      </c>
      <c r="AE1" s="4" t="s">
        <v>82</v>
      </c>
      <c r="AF1" s="4" t="s">
        <v>82</v>
      </c>
      <c r="AG1" s="4" t="s">
        <v>82</v>
      </c>
      <c r="AH1" s="4" t="s">
        <v>82</v>
      </c>
      <c r="AI1" s="4" t="s">
        <v>82</v>
      </c>
      <c r="AJ1" s="4" t="s">
        <v>82</v>
      </c>
      <c r="AK1" s="4" t="s">
        <v>82</v>
      </c>
      <c r="AL1" s="4" t="s">
        <v>82</v>
      </c>
      <c r="AM1" s="4" t="s">
        <v>83</v>
      </c>
      <c r="AN1" s="4" t="s">
        <v>82</v>
      </c>
      <c r="AO1" s="4" t="s">
        <v>82</v>
      </c>
      <c r="AP1" s="4" t="s">
        <v>82</v>
      </c>
      <c r="AQ1" s="4" t="s">
        <v>83</v>
      </c>
      <c r="AR1" s="4" t="s">
        <v>82</v>
      </c>
      <c r="AS1" s="4" t="s">
        <v>82</v>
      </c>
      <c r="AT1" s="4" t="s">
        <v>82</v>
      </c>
      <c r="AU1" s="4" t="s">
        <v>82</v>
      </c>
      <c r="AV1" s="4" t="s">
        <v>82</v>
      </c>
      <c r="AW1" s="4" t="s">
        <v>82</v>
      </c>
      <c r="AX1" s="4" t="s">
        <v>82</v>
      </c>
      <c r="AY1" s="4" t="s">
        <v>82</v>
      </c>
      <c r="AZ1" s="4" t="s">
        <v>82</v>
      </c>
      <c r="BA1" s="4" t="s">
        <v>82</v>
      </c>
      <c r="BB1" s="4" t="s">
        <v>82</v>
      </c>
      <c r="BC1" s="4" t="s">
        <v>82</v>
      </c>
      <c r="BD1" s="4" t="s">
        <v>82</v>
      </c>
    </row>
    <row r="2" spans="1:56" ht="15.75" customHeight="1">
      <c r="A2" s="4" t="s">
        <v>84</v>
      </c>
      <c r="B2" s="4" t="s">
        <v>85</v>
      </c>
      <c r="C2" s="4" t="s">
        <v>84</v>
      </c>
      <c r="D2" s="4" t="s">
        <v>84</v>
      </c>
      <c r="E2" s="4" t="s">
        <v>84</v>
      </c>
      <c r="F2" s="4" t="s">
        <v>84</v>
      </c>
      <c r="G2" s="4" t="s">
        <v>84</v>
      </c>
      <c r="H2" s="4" t="s">
        <v>85</v>
      </c>
      <c r="I2" s="4" t="s">
        <v>84</v>
      </c>
      <c r="J2" s="4" t="s">
        <v>85</v>
      </c>
      <c r="K2" s="4" t="s">
        <v>84</v>
      </c>
      <c r="L2" s="4" t="s">
        <v>84</v>
      </c>
      <c r="M2" s="4" t="s">
        <v>84</v>
      </c>
      <c r="N2" s="4" t="s">
        <v>84</v>
      </c>
      <c r="O2" s="4" t="s">
        <v>85</v>
      </c>
      <c r="P2" s="4" t="s">
        <v>85</v>
      </c>
      <c r="Q2" s="4" t="s">
        <v>84</v>
      </c>
      <c r="R2" s="4" t="s">
        <v>85</v>
      </c>
      <c r="S2" s="4" t="s">
        <v>85</v>
      </c>
      <c r="T2" s="4" t="s">
        <v>84</v>
      </c>
      <c r="U2" s="4" t="s">
        <v>84</v>
      </c>
      <c r="V2" s="4" t="s">
        <v>85</v>
      </c>
      <c r="W2" s="4" t="s">
        <v>84</v>
      </c>
      <c r="X2" s="4" t="s">
        <v>85</v>
      </c>
      <c r="Y2" s="4" t="s">
        <v>84</v>
      </c>
      <c r="Z2" s="4" t="s">
        <v>84</v>
      </c>
      <c r="AA2" s="4" t="s">
        <v>84</v>
      </c>
      <c r="AB2" s="4" t="s">
        <v>84</v>
      </c>
      <c r="AC2" s="4" t="s">
        <v>84</v>
      </c>
      <c r="AD2" s="4" t="s">
        <v>84</v>
      </c>
      <c r="AE2" s="4" t="s">
        <v>84</v>
      </c>
      <c r="AF2" s="4" t="s">
        <v>84</v>
      </c>
      <c r="AG2" s="4" t="s">
        <v>84</v>
      </c>
      <c r="AH2" s="4" t="s">
        <v>84</v>
      </c>
      <c r="AI2" s="4" t="s">
        <v>84</v>
      </c>
      <c r="AJ2" s="4" t="s">
        <v>84</v>
      </c>
      <c r="AK2" s="4" t="s">
        <v>84</v>
      </c>
      <c r="AL2" s="4" t="s">
        <v>84</v>
      </c>
      <c r="AM2" s="4" t="s">
        <v>85</v>
      </c>
      <c r="AN2" s="4" t="s">
        <v>84</v>
      </c>
      <c r="AO2" s="4" t="s">
        <v>84</v>
      </c>
      <c r="AP2" s="4" t="s">
        <v>84</v>
      </c>
      <c r="AQ2" s="4" t="s">
        <v>85</v>
      </c>
      <c r="AR2" s="4" t="s">
        <v>84</v>
      </c>
      <c r="AS2" s="4" t="s">
        <v>84</v>
      </c>
      <c r="AT2" s="4" t="s">
        <v>84</v>
      </c>
      <c r="AU2" s="4" t="s">
        <v>84</v>
      </c>
      <c r="AV2" s="4" t="s">
        <v>84</v>
      </c>
      <c r="AW2" s="4" t="s">
        <v>84</v>
      </c>
      <c r="AX2" s="4" t="s">
        <v>84</v>
      </c>
      <c r="AY2" s="4" t="s">
        <v>84</v>
      </c>
      <c r="AZ2" s="4" t="s">
        <v>84</v>
      </c>
      <c r="BA2" s="4" t="s">
        <v>84</v>
      </c>
      <c r="BB2" s="4" t="s">
        <v>84</v>
      </c>
      <c r="BC2" s="4" t="s">
        <v>84</v>
      </c>
      <c r="BD2" s="4" t="s">
        <v>84</v>
      </c>
    </row>
    <row r="3" spans="1:56" ht="15.75" customHeight="1">
      <c r="A3" s="4" t="s">
        <v>86</v>
      </c>
      <c r="B3" s="4" t="s">
        <v>87</v>
      </c>
      <c r="C3" s="4" t="s">
        <v>86</v>
      </c>
      <c r="D3" s="4" t="s">
        <v>86</v>
      </c>
      <c r="E3" s="4" t="s">
        <v>86</v>
      </c>
      <c r="F3" s="4" t="s">
        <v>86</v>
      </c>
      <c r="G3" s="4" t="s">
        <v>86</v>
      </c>
      <c r="H3" s="4" t="s">
        <v>87</v>
      </c>
      <c r="I3" s="4" t="s">
        <v>86</v>
      </c>
      <c r="J3" s="4" t="s">
        <v>87</v>
      </c>
      <c r="K3" s="4" t="s">
        <v>86</v>
      </c>
      <c r="L3" s="4" t="s">
        <v>86</v>
      </c>
      <c r="M3" s="4" t="s">
        <v>86</v>
      </c>
      <c r="N3" s="4" t="s">
        <v>86</v>
      </c>
      <c r="O3" s="4" t="s">
        <v>87</v>
      </c>
      <c r="P3" s="4" t="s">
        <v>87</v>
      </c>
      <c r="Q3" s="4" t="s">
        <v>86</v>
      </c>
      <c r="R3" s="4" t="s">
        <v>87</v>
      </c>
      <c r="S3" s="4" t="s">
        <v>87</v>
      </c>
      <c r="T3" s="4" t="s">
        <v>86</v>
      </c>
      <c r="U3" s="4" t="s">
        <v>86</v>
      </c>
      <c r="V3" s="4" t="s">
        <v>87</v>
      </c>
      <c r="W3" s="4" t="s">
        <v>86</v>
      </c>
      <c r="X3" s="4" t="s">
        <v>87</v>
      </c>
      <c r="Y3" s="4" t="s">
        <v>86</v>
      </c>
      <c r="Z3" s="4" t="s">
        <v>86</v>
      </c>
      <c r="AA3" s="4" t="s">
        <v>86</v>
      </c>
      <c r="AB3" s="4" t="s">
        <v>86</v>
      </c>
      <c r="AC3" s="4" t="s">
        <v>86</v>
      </c>
      <c r="AD3" s="4" t="s">
        <v>86</v>
      </c>
      <c r="AE3" s="4" t="s">
        <v>86</v>
      </c>
      <c r="AF3" s="4" t="s">
        <v>86</v>
      </c>
      <c r="AG3" s="4" t="s">
        <v>86</v>
      </c>
      <c r="AH3" s="4" t="s">
        <v>86</v>
      </c>
      <c r="AI3" s="4" t="s">
        <v>86</v>
      </c>
      <c r="AJ3" s="4" t="s">
        <v>86</v>
      </c>
      <c r="AK3" s="4" t="s">
        <v>86</v>
      </c>
      <c r="AL3" s="4" t="s">
        <v>86</v>
      </c>
      <c r="AM3" s="4" t="s">
        <v>87</v>
      </c>
      <c r="AN3" s="4" t="s">
        <v>86</v>
      </c>
      <c r="AO3" s="4" t="s">
        <v>86</v>
      </c>
      <c r="AP3" s="4" t="s">
        <v>86</v>
      </c>
      <c r="AQ3" s="4" t="s">
        <v>87</v>
      </c>
      <c r="AR3" s="4" t="s">
        <v>86</v>
      </c>
      <c r="AS3" s="4" t="s">
        <v>86</v>
      </c>
      <c r="AT3" s="4" t="s">
        <v>86</v>
      </c>
      <c r="AU3" s="4" t="s">
        <v>86</v>
      </c>
      <c r="AV3" s="4" t="s">
        <v>86</v>
      </c>
      <c r="AW3" s="4" t="s">
        <v>86</v>
      </c>
      <c r="AX3" s="4" t="s">
        <v>86</v>
      </c>
      <c r="AY3" s="4" t="s">
        <v>86</v>
      </c>
      <c r="AZ3" s="4" t="s">
        <v>86</v>
      </c>
      <c r="BA3" s="4" t="s">
        <v>86</v>
      </c>
      <c r="BB3" s="4" t="s">
        <v>86</v>
      </c>
      <c r="BC3" s="4" t="s">
        <v>86</v>
      </c>
      <c r="BD3" s="4" t="s">
        <v>86</v>
      </c>
    </row>
    <row r="4" spans="1:56" ht="15.75" customHeight="1">
      <c r="A4" s="4" t="s">
        <v>88</v>
      </c>
      <c r="B4" s="4" t="s">
        <v>89</v>
      </c>
      <c r="C4" s="4" t="s">
        <v>88</v>
      </c>
      <c r="D4" s="4" t="s">
        <v>88</v>
      </c>
      <c r="E4" s="4" t="s">
        <v>88</v>
      </c>
      <c r="F4" s="4" t="s">
        <v>88</v>
      </c>
      <c r="G4" s="4" t="s">
        <v>88</v>
      </c>
      <c r="H4" s="4" t="s">
        <v>89</v>
      </c>
      <c r="I4" s="4" t="s">
        <v>88</v>
      </c>
      <c r="J4" s="4" t="s">
        <v>89</v>
      </c>
      <c r="K4" s="4" t="s">
        <v>88</v>
      </c>
      <c r="L4" s="4" t="s">
        <v>88</v>
      </c>
      <c r="M4" s="4" t="s">
        <v>88</v>
      </c>
      <c r="N4" s="4" t="s">
        <v>88</v>
      </c>
      <c r="O4" s="4" t="s">
        <v>89</v>
      </c>
      <c r="P4" s="4" t="s">
        <v>89</v>
      </c>
      <c r="Q4" s="4" t="s">
        <v>88</v>
      </c>
      <c r="R4" s="4" t="s">
        <v>89</v>
      </c>
      <c r="S4" s="4" t="s">
        <v>89</v>
      </c>
      <c r="T4" s="4" t="s">
        <v>88</v>
      </c>
      <c r="U4" s="4" t="s">
        <v>88</v>
      </c>
      <c r="V4" s="4" t="s">
        <v>89</v>
      </c>
      <c r="W4" s="4" t="s">
        <v>88</v>
      </c>
      <c r="X4" s="4" t="s">
        <v>89</v>
      </c>
      <c r="Y4" s="4" t="s">
        <v>88</v>
      </c>
      <c r="Z4" s="4" t="s">
        <v>88</v>
      </c>
      <c r="AA4" s="4" t="s">
        <v>88</v>
      </c>
      <c r="AB4" s="4" t="s">
        <v>88</v>
      </c>
      <c r="AC4" s="4" t="s">
        <v>88</v>
      </c>
      <c r="AD4" s="4" t="s">
        <v>88</v>
      </c>
      <c r="AE4" s="4" t="s">
        <v>88</v>
      </c>
      <c r="AF4" s="4" t="s">
        <v>88</v>
      </c>
      <c r="AG4" s="4" t="s">
        <v>88</v>
      </c>
      <c r="AH4" s="4" t="s">
        <v>88</v>
      </c>
      <c r="AI4" s="4" t="s">
        <v>88</v>
      </c>
      <c r="AJ4" s="4" t="s">
        <v>88</v>
      </c>
      <c r="AK4" s="4" t="s">
        <v>88</v>
      </c>
      <c r="AL4" s="4" t="s">
        <v>88</v>
      </c>
      <c r="AM4" s="4" t="s">
        <v>89</v>
      </c>
      <c r="AN4" s="4" t="s">
        <v>88</v>
      </c>
      <c r="AO4" s="4" t="s">
        <v>88</v>
      </c>
      <c r="AP4" s="4" t="s">
        <v>88</v>
      </c>
      <c r="AQ4" s="4" t="s">
        <v>89</v>
      </c>
      <c r="AR4" s="4" t="s">
        <v>88</v>
      </c>
      <c r="AS4" s="4" t="s">
        <v>88</v>
      </c>
      <c r="AT4" s="4" t="s">
        <v>88</v>
      </c>
      <c r="AU4" s="4" t="s">
        <v>88</v>
      </c>
      <c r="AV4" s="4" t="s">
        <v>88</v>
      </c>
      <c r="AW4" s="4" t="s">
        <v>88</v>
      </c>
      <c r="AX4" s="4" t="s">
        <v>88</v>
      </c>
      <c r="AY4" s="4" t="s">
        <v>88</v>
      </c>
      <c r="AZ4" s="4" t="s">
        <v>88</v>
      </c>
      <c r="BA4" s="4" t="s">
        <v>88</v>
      </c>
      <c r="BB4" s="4" t="s">
        <v>88</v>
      </c>
      <c r="BC4" s="4" t="s">
        <v>88</v>
      </c>
      <c r="BD4" s="4" t="s">
        <v>88</v>
      </c>
    </row>
    <row r="5" spans="1:56" ht="15.75" customHeight="1">
      <c r="A5" s="4" t="s">
        <v>90</v>
      </c>
      <c r="B5" s="4" t="s">
        <v>91</v>
      </c>
      <c r="C5" s="4" t="s">
        <v>90</v>
      </c>
      <c r="D5" s="4" t="s">
        <v>90</v>
      </c>
      <c r="E5" s="4" t="s">
        <v>90</v>
      </c>
      <c r="F5" s="4" t="s">
        <v>90</v>
      </c>
      <c r="G5" s="4" t="s">
        <v>90</v>
      </c>
      <c r="H5" s="4" t="s">
        <v>91</v>
      </c>
      <c r="I5" s="4" t="s">
        <v>90</v>
      </c>
      <c r="J5" s="4" t="s">
        <v>91</v>
      </c>
      <c r="K5" s="4" t="s">
        <v>90</v>
      </c>
      <c r="L5" s="4" t="s">
        <v>90</v>
      </c>
      <c r="M5" s="4" t="s">
        <v>90</v>
      </c>
      <c r="N5" s="4" t="s">
        <v>90</v>
      </c>
      <c r="O5" s="4" t="s">
        <v>91</v>
      </c>
      <c r="P5" s="4" t="s">
        <v>91</v>
      </c>
      <c r="Q5" s="4" t="s">
        <v>90</v>
      </c>
      <c r="R5" s="4" t="s">
        <v>91</v>
      </c>
      <c r="S5" s="4" t="s">
        <v>91</v>
      </c>
      <c r="T5" s="4" t="s">
        <v>90</v>
      </c>
      <c r="U5" s="4" t="s">
        <v>90</v>
      </c>
      <c r="V5" s="4" t="s">
        <v>91</v>
      </c>
      <c r="W5" s="4" t="s">
        <v>90</v>
      </c>
      <c r="X5" s="4" t="s">
        <v>91</v>
      </c>
      <c r="Y5" s="4" t="s">
        <v>90</v>
      </c>
      <c r="Z5" s="4" t="s">
        <v>90</v>
      </c>
      <c r="AA5" s="4" t="s">
        <v>90</v>
      </c>
      <c r="AB5" s="4" t="s">
        <v>90</v>
      </c>
      <c r="AC5" s="4" t="s">
        <v>90</v>
      </c>
      <c r="AD5" s="4" t="s">
        <v>90</v>
      </c>
      <c r="AE5" s="4" t="s">
        <v>90</v>
      </c>
      <c r="AF5" s="4" t="s">
        <v>90</v>
      </c>
      <c r="AG5" s="4" t="s">
        <v>90</v>
      </c>
      <c r="AH5" s="4" t="s">
        <v>90</v>
      </c>
      <c r="AI5" s="4" t="s">
        <v>90</v>
      </c>
      <c r="AJ5" s="4" t="s">
        <v>90</v>
      </c>
      <c r="AK5" s="4" t="s">
        <v>90</v>
      </c>
      <c r="AL5" s="4" t="s">
        <v>90</v>
      </c>
      <c r="AM5" s="4" t="s">
        <v>91</v>
      </c>
      <c r="AN5" s="4" t="s">
        <v>90</v>
      </c>
      <c r="AO5" s="4" t="s">
        <v>90</v>
      </c>
      <c r="AP5" s="4" t="s">
        <v>90</v>
      </c>
      <c r="AQ5" s="4" t="s">
        <v>91</v>
      </c>
      <c r="AR5" s="4" t="s">
        <v>90</v>
      </c>
      <c r="AS5" s="4" t="s">
        <v>90</v>
      </c>
      <c r="AT5" s="4" t="s">
        <v>90</v>
      </c>
      <c r="AU5" s="4" t="s">
        <v>90</v>
      </c>
      <c r="AV5" s="4" t="s">
        <v>90</v>
      </c>
      <c r="AW5" s="4" t="s">
        <v>90</v>
      </c>
      <c r="AX5" s="4" t="s">
        <v>90</v>
      </c>
      <c r="AY5" s="4" t="s">
        <v>90</v>
      </c>
      <c r="AZ5" s="4" t="s">
        <v>90</v>
      </c>
      <c r="BA5" s="4" t="s">
        <v>90</v>
      </c>
      <c r="BB5" s="4" t="s">
        <v>90</v>
      </c>
      <c r="BC5" s="4" t="s">
        <v>90</v>
      </c>
      <c r="BD5" s="4" t="s">
        <v>90</v>
      </c>
    </row>
    <row r="6" spans="1:56" ht="15.75" customHeight="1">
      <c r="A6" s="4" t="s">
        <v>92</v>
      </c>
      <c r="B6" s="4" t="s">
        <v>87</v>
      </c>
      <c r="C6" s="4" t="s">
        <v>92</v>
      </c>
      <c r="D6" s="4" t="s">
        <v>92</v>
      </c>
      <c r="E6" s="4" t="s">
        <v>92</v>
      </c>
      <c r="F6" s="4" t="s">
        <v>92</v>
      </c>
      <c r="G6" s="4" t="s">
        <v>92</v>
      </c>
      <c r="H6" s="4" t="s">
        <v>87</v>
      </c>
      <c r="I6" s="4" t="s">
        <v>92</v>
      </c>
      <c r="J6" s="4" t="s">
        <v>87</v>
      </c>
      <c r="K6" s="4" t="s">
        <v>92</v>
      </c>
      <c r="L6" s="4" t="s">
        <v>92</v>
      </c>
      <c r="M6" s="4" t="s">
        <v>92</v>
      </c>
      <c r="N6" s="4" t="s">
        <v>92</v>
      </c>
      <c r="O6" s="4" t="s">
        <v>87</v>
      </c>
      <c r="P6" s="4" t="s">
        <v>87</v>
      </c>
      <c r="Q6" s="4" t="s">
        <v>92</v>
      </c>
      <c r="R6" s="4" t="s">
        <v>87</v>
      </c>
      <c r="S6" s="4" t="s">
        <v>87</v>
      </c>
      <c r="T6" s="4" t="s">
        <v>92</v>
      </c>
      <c r="U6" s="4" t="s">
        <v>92</v>
      </c>
      <c r="V6" s="4" t="s">
        <v>87</v>
      </c>
      <c r="W6" s="4" t="s">
        <v>92</v>
      </c>
      <c r="X6" s="4" t="s">
        <v>87</v>
      </c>
      <c r="Y6" s="4" t="s">
        <v>92</v>
      </c>
      <c r="Z6" s="4" t="s">
        <v>92</v>
      </c>
      <c r="AA6" s="4" t="s">
        <v>92</v>
      </c>
      <c r="AB6" s="4" t="s">
        <v>92</v>
      </c>
      <c r="AC6" s="4" t="s">
        <v>92</v>
      </c>
      <c r="AD6" s="4" t="s">
        <v>92</v>
      </c>
      <c r="AE6" s="4" t="s">
        <v>92</v>
      </c>
      <c r="AF6" s="4" t="s">
        <v>92</v>
      </c>
      <c r="AG6" s="4" t="s">
        <v>92</v>
      </c>
      <c r="AH6" s="4" t="s">
        <v>92</v>
      </c>
      <c r="AI6" s="4" t="s">
        <v>92</v>
      </c>
      <c r="AJ6" s="4" t="s">
        <v>92</v>
      </c>
      <c r="AK6" s="4" t="s">
        <v>92</v>
      </c>
      <c r="AL6" s="4" t="s">
        <v>92</v>
      </c>
      <c r="AM6" s="4" t="s">
        <v>87</v>
      </c>
      <c r="AN6" s="4" t="s">
        <v>92</v>
      </c>
      <c r="AO6" s="4" t="s">
        <v>92</v>
      </c>
      <c r="AP6" s="4" t="s">
        <v>92</v>
      </c>
      <c r="AQ6" s="4" t="s">
        <v>87</v>
      </c>
      <c r="AR6" s="4" t="s">
        <v>92</v>
      </c>
      <c r="AS6" s="4" t="s">
        <v>92</v>
      </c>
      <c r="AT6" s="4" t="s">
        <v>92</v>
      </c>
      <c r="AU6" s="4" t="s">
        <v>92</v>
      </c>
      <c r="AV6" s="4" t="s">
        <v>92</v>
      </c>
      <c r="AW6" s="4" t="s">
        <v>92</v>
      </c>
      <c r="AX6" s="4" t="s">
        <v>92</v>
      </c>
      <c r="AY6" s="4" t="s">
        <v>92</v>
      </c>
      <c r="AZ6" s="4" t="s">
        <v>92</v>
      </c>
      <c r="BA6" s="4" t="s">
        <v>92</v>
      </c>
      <c r="BB6" s="4" t="s">
        <v>92</v>
      </c>
      <c r="BC6" s="4" t="s">
        <v>92</v>
      </c>
      <c r="BD6" s="4" t="s">
        <v>92</v>
      </c>
    </row>
    <row r="7" spans="1:56" ht="15.75" customHeight="1">
      <c r="A7" s="4" t="s">
        <v>93</v>
      </c>
      <c r="B7" s="4" t="s">
        <v>94</v>
      </c>
      <c r="C7" s="4" t="s">
        <v>93</v>
      </c>
      <c r="D7" s="4" t="s">
        <v>93</v>
      </c>
      <c r="E7" s="4" t="s">
        <v>93</v>
      </c>
      <c r="F7" s="4" t="s">
        <v>93</v>
      </c>
      <c r="G7" s="4" t="s">
        <v>93</v>
      </c>
      <c r="H7" s="4" t="s">
        <v>94</v>
      </c>
      <c r="I7" s="4" t="s">
        <v>93</v>
      </c>
      <c r="J7" s="4" t="s">
        <v>94</v>
      </c>
      <c r="K7" s="4" t="s">
        <v>93</v>
      </c>
      <c r="L7" s="4" t="s">
        <v>93</v>
      </c>
      <c r="M7" s="4" t="s">
        <v>93</v>
      </c>
      <c r="N7" s="4" t="s">
        <v>93</v>
      </c>
      <c r="O7" s="4" t="s">
        <v>94</v>
      </c>
      <c r="P7" s="4" t="s">
        <v>94</v>
      </c>
      <c r="Q7" s="4" t="s">
        <v>93</v>
      </c>
      <c r="R7" s="4" t="s">
        <v>94</v>
      </c>
      <c r="S7" s="4" t="s">
        <v>94</v>
      </c>
      <c r="T7" s="4" t="s">
        <v>93</v>
      </c>
      <c r="U7" s="4" t="s">
        <v>93</v>
      </c>
      <c r="V7" s="4" t="s">
        <v>94</v>
      </c>
      <c r="W7" s="4" t="s">
        <v>93</v>
      </c>
      <c r="X7" s="4" t="s">
        <v>94</v>
      </c>
      <c r="Y7" s="4" t="s">
        <v>93</v>
      </c>
      <c r="Z7" s="4" t="s">
        <v>93</v>
      </c>
      <c r="AA7" s="4" t="s">
        <v>93</v>
      </c>
      <c r="AB7" s="4" t="s">
        <v>93</v>
      </c>
      <c r="AC7" s="4" t="s">
        <v>93</v>
      </c>
      <c r="AD7" s="4" t="s">
        <v>93</v>
      </c>
      <c r="AE7" s="4" t="s">
        <v>93</v>
      </c>
      <c r="AF7" s="4" t="s">
        <v>93</v>
      </c>
      <c r="AG7" s="4" t="s">
        <v>93</v>
      </c>
      <c r="AH7" s="4" t="s">
        <v>93</v>
      </c>
      <c r="AI7" s="4" t="s">
        <v>93</v>
      </c>
      <c r="AJ7" s="4" t="s">
        <v>93</v>
      </c>
      <c r="AK7" s="4" t="s">
        <v>93</v>
      </c>
      <c r="AL7" s="4" t="s">
        <v>93</v>
      </c>
      <c r="AM7" s="4" t="s">
        <v>94</v>
      </c>
      <c r="AN7" s="4" t="s">
        <v>93</v>
      </c>
      <c r="AO7" s="4" t="s">
        <v>93</v>
      </c>
      <c r="AP7" s="4" t="s">
        <v>93</v>
      </c>
      <c r="AQ7" s="4" t="s">
        <v>94</v>
      </c>
      <c r="AR7" s="4" t="s">
        <v>93</v>
      </c>
      <c r="AS7" s="4" t="s">
        <v>93</v>
      </c>
      <c r="AT7" s="4" t="s">
        <v>93</v>
      </c>
      <c r="AU7" s="4" t="s">
        <v>93</v>
      </c>
      <c r="AV7" s="4" t="s">
        <v>93</v>
      </c>
      <c r="AW7" s="4" t="s">
        <v>93</v>
      </c>
      <c r="AX7" s="4" t="s">
        <v>93</v>
      </c>
      <c r="AY7" s="4" t="s">
        <v>93</v>
      </c>
      <c r="AZ7" s="4" t="s">
        <v>93</v>
      </c>
      <c r="BA7" s="4" t="s">
        <v>93</v>
      </c>
      <c r="BB7" s="4" t="s">
        <v>93</v>
      </c>
      <c r="BC7" s="4" t="s">
        <v>93</v>
      </c>
      <c r="BD7" s="4" t="s">
        <v>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U1705"/>
  <sheetViews>
    <sheetView workbookViewId="0">
      <pane xSplit="4" ySplit="1" topLeftCell="BP854" activePane="bottomRight" state="frozen"/>
      <selection pane="topRight" activeCell="E1" sqref="E1"/>
      <selection pane="bottomLeft" activeCell="A3" sqref="A3"/>
      <selection pane="bottomRight" activeCell="A848" sqref="A848:XFD867"/>
    </sheetView>
  </sheetViews>
  <sheetFormatPr defaultColWidth="12.6328125" defaultRowHeight="15.75" customHeight="1"/>
  <cols>
    <col min="1" max="1" width="29" hidden="1" customWidth="1"/>
    <col min="2" max="2" width="26.26953125" customWidth="1"/>
    <col min="3" max="3" width="8.6328125" customWidth="1"/>
    <col min="4" max="4" width="22.6328125" customWidth="1"/>
    <col min="5" max="5" width="38.36328125" customWidth="1"/>
    <col min="43" max="51" width="7.453125" customWidth="1"/>
    <col min="52" max="54" width="8.36328125" customWidth="1"/>
    <col min="66" max="66" width="8.90625" customWidth="1"/>
    <col min="67" max="67" width="17.6328125" customWidth="1"/>
    <col min="68" max="68" width="27.6328125" customWidth="1"/>
    <col min="69" max="69" width="15" customWidth="1"/>
    <col min="70" max="70" width="15.08984375" customWidth="1"/>
    <col min="71" max="73" width="18.90625" customWidth="1"/>
  </cols>
  <sheetData>
    <row r="1" spans="1:73" ht="15.75" customHeight="1">
      <c r="A1" s="4" t="str">
        <f t="array" ref="A1:A1705">B1:B1705&amp;" "&amp;C1:C1705</f>
        <v>JENIS KKN UNIT</v>
      </c>
      <c r="B1" s="4" t="s">
        <v>95</v>
      </c>
      <c r="C1" s="4" t="s">
        <v>96</v>
      </c>
      <c r="D1" s="4" t="s">
        <v>97</v>
      </c>
      <c r="E1" s="4" t="s">
        <v>98</v>
      </c>
      <c r="F1" s="4" t="s">
        <v>99</v>
      </c>
      <c r="G1" s="4" t="s">
        <v>100</v>
      </c>
      <c r="H1" s="4" t="s">
        <v>101</v>
      </c>
      <c r="I1" s="4" t="s">
        <v>102</v>
      </c>
      <c r="J1" s="4" t="s">
        <v>103</v>
      </c>
      <c r="K1" s="4" t="s">
        <v>104</v>
      </c>
      <c r="L1" s="4" t="s">
        <v>105</v>
      </c>
      <c r="M1" s="4" t="s">
        <v>106</v>
      </c>
      <c r="N1" s="4" t="s">
        <v>107</v>
      </c>
      <c r="O1" s="4" t="s">
        <v>108</v>
      </c>
      <c r="P1" s="4" t="s">
        <v>109</v>
      </c>
      <c r="Q1" s="4" t="s">
        <v>110</v>
      </c>
      <c r="R1" s="4" t="s">
        <v>111</v>
      </c>
      <c r="S1" s="4" t="s">
        <v>112</v>
      </c>
      <c r="T1" s="4" t="s">
        <v>113</v>
      </c>
      <c r="U1" s="4" t="s">
        <v>114</v>
      </c>
      <c r="V1" s="4" t="s">
        <v>115</v>
      </c>
      <c r="W1" s="4" t="s">
        <v>116</v>
      </c>
      <c r="X1" s="4" t="s">
        <v>117</v>
      </c>
      <c r="Y1" s="4" t="s">
        <v>118</v>
      </c>
      <c r="Z1" s="4" t="s">
        <v>119</v>
      </c>
      <c r="AA1" s="4" t="s">
        <v>120</v>
      </c>
      <c r="AB1" s="4" t="s">
        <v>121</v>
      </c>
      <c r="AC1" s="4" t="s">
        <v>122</v>
      </c>
      <c r="AD1" s="4" t="s">
        <v>123</v>
      </c>
      <c r="AE1" s="4" t="s">
        <v>124</v>
      </c>
      <c r="AF1" s="4" t="s">
        <v>125</v>
      </c>
      <c r="AG1" s="4" t="s">
        <v>126</v>
      </c>
      <c r="AH1" s="4" t="s">
        <v>127</v>
      </c>
      <c r="AI1" s="4" t="s">
        <v>128</v>
      </c>
      <c r="AJ1" s="4" t="s">
        <v>129</v>
      </c>
      <c r="AK1" s="4" t="s">
        <v>130</v>
      </c>
      <c r="AL1" s="4" t="s">
        <v>131</v>
      </c>
      <c r="AM1" s="4" t="s">
        <v>132</v>
      </c>
      <c r="AN1" s="4" t="s">
        <v>133</v>
      </c>
      <c r="AO1" s="4" t="s">
        <v>134</v>
      </c>
      <c r="AP1" s="4" t="s">
        <v>135</v>
      </c>
      <c r="AQ1" s="4" t="s">
        <v>136</v>
      </c>
      <c r="AR1" s="4" t="s">
        <v>137</v>
      </c>
      <c r="AS1" s="4" t="s">
        <v>138</v>
      </c>
      <c r="AT1" s="4" t="s">
        <v>139</v>
      </c>
      <c r="AU1" s="4" t="s">
        <v>140</v>
      </c>
      <c r="AV1" s="4" t="s">
        <v>141</v>
      </c>
      <c r="AW1" s="4" t="s">
        <v>142</v>
      </c>
      <c r="AX1" s="4" t="s">
        <v>143</v>
      </c>
      <c r="AY1" s="4" t="s">
        <v>144</v>
      </c>
      <c r="AZ1" s="4" t="s">
        <v>145</v>
      </c>
      <c r="BA1" s="4" t="s">
        <v>146</v>
      </c>
      <c r="BB1" s="4" t="s">
        <v>147</v>
      </c>
      <c r="BC1" s="4" t="s">
        <v>148</v>
      </c>
      <c r="BD1" s="4" t="s">
        <v>149</v>
      </c>
      <c r="BE1" s="4" t="s">
        <v>150</v>
      </c>
      <c r="BF1" s="4" t="s">
        <v>151</v>
      </c>
      <c r="BG1" s="4" t="s">
        <v>152</v>
      </c>
      <c r="BH1" s="4" t="s">
        <v>153</v>
      </c>
      <c r="BI1" s="4" t="s">
        <v>154</v>
      </c>
      <c r="BJ1" s="4" t="s">
        <v>155</v>
      </c>
      <c r="BK1" s="4" t="s">
        <v>156</v>
      </c>
      <c r="BL1" s="4" t="s">
        <v>157</v>
      </c>
      <c r="BM1" s="4" t="s">
        <v>158</v>
      </c>
      <c r="BN1" s="4" t="s">
        <v>159</v>
      </c>
      <c r="BO1" s="4" t="s">
        <v>160</v>
      </c>
      <c r="BP1" s="4" t="s">
        <v>161</v>
      </c>
      <c r="BQ1" s="4" t="s">
        <v>162</v>
      </c>
      <c r="BR1" s="5" t="s">
        <v>163</v>
      </c>
      <c r="BS1" s="4"/>
      <c r="BT1" s="4"/>
      <c r="BU1" s="4"/>
    </row>
    <row r="2" spans="1:73">
      <c r="A2" s="4" t="str">
        <v>Alternatif Periode ke-82 I.A.1</v>
      </c>
      <c r="B2" s="4" t="s">
        <v>164</v>
      </c>
      <c r="C2" s="4" t="s">
        <v>165</v>
      </c>
      <c r="D2" s="4" t="s">
        <v>166</v>
      </c>
      <c r="E2" s="4" t="s">
        <v>167</v>
      </c>
      <c r="F2" s="4" t="s">
        <v>168</v>
      </c>
      <c r="G2" s="4" t="s">
        <v>169</v>
      </c>
      <c r="H2" s="4" t="s">
        <v>170</v>
      </c>
      <c r="I2" s="4" t="s">
        <v>171</v>
      </c>
      <c r="J2" s="4" t="s">
        <v>172</v>
      </c>
      <c r="K2" s="4" t="s">
        <v>173</v>
      </c>
      <c r="L2" s="4" t="s">
        <v>174</v>
      </c>
      <c r="M2" s="4" t="s">
        <v>175</v>
      </c>
      <c r="N2" s="4" t="s">
        <v>176</v>
      </c>
      <c r="O2" s="4" t="s">
        <v>177</v>
      </c>
      <c r="S2" s="6">
        <v>1900029001</v>
      </c>
      <c r="T2" s="6">
        <v>1900029002</v>
      </c>
      <c r="U2" s="6">
        <v>1900029003</v>
      </c>
      <c r="V2" s="6">
        <v>1900029004</v>
      </c>
      <c r="W2" s="6">
        <v>1900029005</v>
      </c>
      <c r="X2" s="6">
        <v>1900029006</v>
      </c>
      <c r="Y2" s="6">
        <v>1900029007</v>
      </c>
      <c r="Z2" s="6">
        <v>1900029008</v>
      </c>
      <c r="AA2" s="6">
        <v>1900029009</v>
      </c>
      <c r="AE2" s="6" t="s">
        <v>178</v>
      </c>
      <c r="AF2" s="4" t="s">
        <v>179</v>
      </c>
      <c r="AG2" s="4" t="s">
        <v>180</v>
      </c>
      <c r="AH2" s="4" t="s">
        <v>181</v>
      </c>
      <c r="AI2" s="4" t="s">
        <v>182</v>
      </c>
      <c r="AJ2" s="4" t="s">
        <v>183</v>
      </c>
      <c r="AK2" s="4" t="s">
        <v>184</v>
      </c>
      <c r="AL2" s="4" t="s">
        <v>184</v>
      </c>
      <c r="AM2" s="4" t="s">
        <v>185</v>
      </c>
      <c r="AQ2" s="7" t="s">
        <v>186</v>
      </c>
      <c r="AR2" s="7" t="s">
        <v>187</v>
      </c>
      <c r="AS2" s="7" t="s">
        <v>187</v>
      </c>
      <c r="AT2" s="7" t="s">
        <v>186</v>
      </c>
      <c r="AU2" s="7" t="s">
        <v>186</v>
      </c>
      <c r="AV2" s="7" t="s">
        <v>187</v>
      </c>
      <c r="AW2" s="7" t="s">
        <v>187</v>
      </c>
      <c r="AX2" s="7" t="s">
        <v>186</v>
      </c>
      <c r="AY2" s="7" t="s">
        <v>186</v>
      </c>
      <c r="BC2" s="4" t="s">
        <v>188</v>
      </c>
      <c r="BD2" s="4" t="s">
        <v>188</v>
      </c>
      <c r="BE2" s="4" t="s">
        <v>188</v>
      </c>
      <c r="BF2" s="4" t="s">
        <v>188</v>
      </c>
      <c r="BG2" s="4" t="s">
        <v>188</v>
      </c>
      <c r="BH2" s="4" t="s">
        <v>188</v>
      </c>
      <c r="BI2" s="4" t="s">
        <v>188</v>
      </c>
      <c r="BJ2" s="4" t="s">
        <v>188</v>
      </c>
      <c r="BK2" s="4" t="s">
        <v>188</v>
      </c>
      <c r="BO2" s="4" t="s">
        <v>189</v>
      </c>
      <c r="BR2" s="8">
        <f t="shared" ref="BR2:BR256" si="0">COUNTA(G2:R2)</f>
        <v>9</v>
      </c>
    </row>
    <row r="3" spans="1:73" ht="15.75" customHeight="1">
      <c r="A3" s="4" t="str">
        <v>ToT DPL Periode ke-2022 I.A.1</v>
      </c>
      <c r="B3" s="4" t="s">
        <v>190</v>
      </c>
      <c r="C3" s="9" t="s">
        <v>165</v>
      </c>
      <c r="D3" s="10" t="s">
        <v>191</v>
      </c>
      <c r="E3" s="11" t="s">
        <v>192</v>
      </c>
      <c r="F3" s="4" t="s">
        <v>193</v>
      </c>
      <c r="G3" s="7" t="s">
        <v>194</v>
      </c>
      <c r="H3" s="7" t="s">
        <v>195</v>
      </c>
      <c r="I3" s="7" t="s">
        <v>196</v>
      </c>
      <c r="J3" s="12" t="s">
        <v>197</v>
      </c>
      <c r="K3" s="13" t="s">
        <v>198</v>
      </c>
      <c r="L3" s="13" t="s">
        <v>199</v>
      </c>
      <c r="M3" s="13" t="s">
        <v>200</v>
      </c>
      <c r="S3" s="14">
        <v>60150813</v>
      </c>
      <c r="T3" s="14">
        <v>60160930</v>
      </c>
      <c r="U3" s="14">
        <v>60130753</v>
      </c>
      <c r="V3" s="14">
        <v>60150829</v>
      </c>
      <c r="W3" s="14">
        <v>60181164</v>
      </c>
      <c r="X3" s="14">
        <v>60160932</v>
      </c>
      <c r="Y3" s="14">
        <v>60211290</v>
      </c>
      <c r="AE3" s="7" t="s">
        <v>201</v>
      </c>
      <c r="AF3" s="7" t="s">
        <v>202</v>
      </c>
      <c r="AG3" s="7" t="s">
        <v>203</v>
      </c>
      <c r="AH3" s="7" t="s">
        <v>204</v>
      </c>
      <c r="AI3" s="7" t="s">
        <v>205</v>
      </c>
      <c r="AJ3" s="7" t="s">
        <v>206</v>
      </c>
      <c r="AK3" s="7" t="s">
        <v>207</v>
      </c>
      <c r="BC3" s="15" t="s">
        <v>208</v>
      </c>
      <c r="BD3" s="15" t="s">
        <v>209</v>
      </c>
      <c r="BE3" s="15" t="s">
        <v>210</v>
      </c>
      <c r="BF3" s="15" t="s">
        <v>211</v>
      </c>
      <c r="BG3" s="15" t="s">
        <v>212</v>
      </c>
      <c r="BH3" s="15" t="s">
        <v>213</v>
      </c>
      <c r="BI3" s="15" t="s">
        <v>214</v>
      </c>
      <c r="BO3" s="14">
        <v>60160979</v>
      </c>
      <c r="BP3" s="16" t="s">
        <v>215</v>
      </c>
      <c r="BR3" s="8">
        <f t="shared" si="0"/>
        <v>7</v>
      </c>
    </row>
    <row r="4" spans="1:73" ht="15.75" customHeight="1">
      <c r="A4" s="4" t="str">
        <v>ToT DPL Periode ke-2022 I.A.2</v>
      </c>
      <c r="B4" s="4" t="s">
        <v>190</v>
      </c>
      <c r="C4" s="9" t="s">
        <v>216</v>
      </c>
      <c r="D4" s="10" t="s">
        <v>191</v>
      </c>
      <c r="E4" s="17" t="s">
        <v>217</v>
      </c>
      <c r="F4" s="4" t="s">
        <v>193</v>
      </c>
      <c r="G4" s="7" t="s">
        <v>218</v>
      </c>
      <c r="H4" s="7" t="s">
        <v>219</v>
      </c>
      <c r="I4" s="7" t="s">
        <v>220</v>
      </c>
      <c r="J4" s="7" t="s">
        <v>221</v>
      </c>
      <c r="K4" s="7" t="s">
        <v>222</v>
      </c>
      <c r="L4" s="7" t="s">
        <v>223</v>
      </c>
      <c r="M4" s="7" t="s">
        <v>224</v>
      </c>
      <c r="S4" s="14">
        <v>60150802</v>
      </c>
      <c r="T4" s="14">
        <v>60160969</v>
      </c>
      <c r="U4" s="14">
        <v>60080554</v>
      </c>
      <c r="V4" s="14">
        <v>60191179</v>
      </c>
      <c r="W4" s="7" t="s">
        <v>225</v>
      </c>
      <c r="X4" s="14">
        <v>60171070</v>
      </c>
      <c r="Y4" s="14">
        <v>60160975</v>
      </c>
      <c r="AE4" s="7" t="s">
        <v>202</v>
      </c>
      <c r="AF4" s="7" t="s">
        <v>226</v>
      </c>
      <c r="AG4" s="7" t="s">
        <v>227</v>
      </c>
      <c r="AH4" s="7" t="s">
        <v>228</v>
      </c>
      <c r="AI4" s="7" t="s">
        <v>206</v>
      </c>
      <c r="AJ4" s="7" t="s">
        <v>229</v>
      </c>
      <c r="AK4" s="7" t="s">
        <v>202</v>
      </c>
      <c r="BC4" s="15" t="s">
        <v>230</v>
      </c>
      <c r="BD4" s="15" t="s">
        <v>231</v>
      </c>
      <c r="BE4" s="15" t="s">
        <v>232</v>
      </c>
      <c r="BF4" s="15" t="s">
        <v>233</v>
      </c>
      <c r="BG4" s="15" t="s">
        <v>234</v>
      </c>
      <c r="BH4" s="15" t="s">
        <v>235</v>
      </c>
      <c r="BI4" s="15" t="s">
        <v>236</v>
      </c>
      <c r="BO4" s="14">
        <v>60160979</v>
      </c>
      <c r="BP4" s="16" t="s">
        <v>237</v>
      </c>
      <c r="BR4" s="8">
        <f t="shared" si="0"/>
        <v>7</v>
      </c>
    </row>
    <row r="5" spans="1:73" ht="15.75" customHeight="1">
      <c r="A5" s="4" t="str">
        <v>ToT DPL Periode ke-2022 I.A.3</v>
      </c>
      <c r="B5" s="4" t="s">
        <v>190</v>
      </c>
      <c r="C5" s="9" t="s">
        <v>238</v>
      </c>
      <c r="D5" s="10" t="s">
        <v>191</v>
      </c>
      <c r="E5" s="17" t="s">
        <v>239</v>
      </c>
      <c r="F5" s="4" t="s">
        <v>193</v>
      </c>
      <c r="G5" s="7" t="s">
        <v>240</v>
      </c>
      <c r="H5" s="7" t="s">
        <v>241</v>
      </c>
      <c r="I5" s="7" t="s">
        <v>242</v>
      </c>
      <c r="J5" s="7" t="s">
        <v>243</v>
      </c>
      <c r="K5" s="7" t="s">
        <v>244</v>
      </c>
      <c r="L5" s="7" t="s">
        <v>245</v>
      </c>
      <c r="M5" s="7" t="s">
        <v>246</v>
      </c>
      <c r="S5" s="14">
        <v>60150803</v>
      </c>
      <c r="T5" s="14">
        <v>60160971</v>
      </c>
      <c r="U5" s="14">
        <v>60201249</v>
      </c>
      <c r="V5" s="14">
        <v>60150790</v>
      </c>
      <c r="W5" s="14">
        <v>60191231</v>
      </c>
      <c r="X5" s="14">
        <v>60191230</v>
      </c>
      <c r="Y5" s="14">
        <v>60160986</v>
      </c>
      <c r="AE5" s="7" t="s">
        <v>202</v>
      </c>
      <c r="AF5" s="7" t="s">
        <v>226</v>
      </c>
      <c r="AG5" s="7" t="s">
        <v>247</v>
      </c>
      <c r="AH5" s="7" t="s">
        <v>248</v>
      </c>
      <c r="AI5" s="7" t="s">
        <v>249</v>
      </c>
      <c r="AJ5" s="7" t="s">
        <v>250</v>
      </c>
      <c r="AK5" s="7" t="s">
        <v>251</v>
      </c>
      <c r="BC5" s="15" t="s">
        <v>252</v>
      </c>
      <c r="BD5" s="15" t="s">
        <v>253</v>
      </c>
      <c r="BE5" s="15" t="s">
        <v>254</v>
      </c>
      <c r="BF5" s="15" t="s">
        <v>255</v>
      </c>
      <c r="BG5" s="15" t="s">
        <v>256</v>
      </c>
      <c r="BH5" s="15" t="s">
        <v>257</v>
      </c>
      <c r="BI5" s="15" t="s">
        <v>258</v>
      </c>
      <c r="BO5" s="14">
        <v>60160979</v>
      </c>
      <c r="BP5" s="18" t="s">
        <v>259</v>
      </c>
      <c r="BR5" s="8">
        <f t="shared" si="0"/>
        <v>7</v>
      </c>
    </row>
    <row r="6" spans="1:73" ht="15.75" customHeight="1">
      <c r="A6" s="4" t="str">
        <v>ToT DPL Periode ke-2022 I.B.1</v>
      </c>
      <c r="B6" s="4" t="s">
        <v>190</v>
      </c>
      <c r="C6" s="9" t="s">
        <v>260</v>
      </c>
      <c r="D6" s="19" t="s">
        <v>261</v>
      </c>
      <c r="E6" s="17" t="s">
        <v>262</v>
      </c>
      <c r="F6" s="4" t="s">
        <v>193</v>
      </c>
      <c r="G6" s="7" t="s">
        <v>263</v>
      </c>
      <c r="H6" s="7" t="s">
        <v>264</v>
      </c>
      <c r="I6" s="7" t="s">
        <v>265</v>
      </c>
      <c r="J6" s="7" t="s">
        <v>266</v>
      </c>
      <c r="K6" s="7" t="s">
        <v>267</v>
      </c>
      <c r="L6" s="7" t="s">
        <v>268</v>
      </c>
      <c r="M6" s="7" t="s">
        <v>269</v>
      </c>
      <c r="S6" s="14">
        <v>60150814</v>
      </c>
      <c r="T6" s="14">
        <v>60010369</v>
      </c>
      <c r="U6" s="14">
        <v>60171064</v>
      </c>
      <c r="V6" s="14">
        <v>60111623</v>
      </c>
      <c r="W6" s="14">
        <v>60090574</v>
      </c>
      <c r="X6" s="14">
        <v>60120723</v>
      </c>
      <c r="Y6" s="14">
        <v>60211301</v>
      </c>
      <c r="AE6" s="7" t="s">
        <v>251</v>
      </c>
      <c r="AF6" s="7" t="s">
        <v>248</v>
      </c>
      <c r="AG6" s="7" t="s">
        <v>206</v>
      </c>
      <c r="AH6" s="7" t="s">
        <v>251</v>
      </c>
      <c r="AI6" s="7" t="s">
        <v>270</v>
      </c>
      <c r="AJ6" s="7" t="s">
        <v>207</v>
      </c>
      <c r="AK6" s="7" t="s">
        <v>271</v>
      </c>
      <c r="BC6" s="15" t="s">
        <v>272</v>
      </c>
      <c r="BD6" s="15" t="s">
        <v>273</v>
      </c>
      <c r="BE6" s="15" t="s">
        <v>274</v>
      </c>
      <c r="BF6" s="15" t="s">
        <v>275</v>
      </c>
      <c r="BG6" s="15" t="s">
        <v>276</v>
      </c>
      <c r="BH6" s="15" t="s">
        <v>277</v>
      </c>
      <c r="BI6" s="15" t="s">
        <v>278</v>
      </c>
      <c r="BO6" s="14">
        <v>60090585</v>
      </c>
      <c r="BP6" s="18" t="s">
        <v>279</v>
      </c>
      <c r="BR6" s="8">
        <f t="shared" si="0"/>
        <v>7</v>
      </c>
    </row>
    <row r="7" spans="1:73" ht="15.75" customHeight="1">
      <c r="A7" s="4" t="str">
        <v>ToT DPL Periode ke-2022 I.B.2</v>
      </c>
      <c r="B7" s="4" t="s">
        <v>190</v>
      </c>
      <c r="C7" s="9" t="s">
        <v>280</v>
      </c>
      <c r="D7" s="19" t="s">
        <v>261</v>
      </c>
      <c r="E7" s="17" t="s">
        <v>281</v>
      </c>
      <c r="F7" s="4" t="s">
        <v>193</v>
      </c>
      <c r="G7" s="7" t="s">
        <v>282</v>
      </c>
      <c r="H7" s="7" t="s">
        <v>283</v>
      </c>
      <c r="I7" s="7" t="s">
        <v>284</v>
      </c>
      <c r="J7" s="7" t="s">
        <v>285</v>
      </c>
      <c r="K7" s="7" t="s">
        <v>286</v>
      </c>
      <c r="L7" s="7" t="s">
        <v>287</v>
      </c>
      <c r="M7" s="7" t="s">
        <v>288</v>
      </c>
      <c r="S7" s="14">
        <v>60110622</v>
      </c>
      <c r="T7" s="14">
        <v>60110646</v>
      </c>
      <c r="U7" s="14">
        <v>60181169</v>
      </c>
      <c r="V7" s="14">
        <v>60081548</v>
      </c>
      <c r="W7" s="14">
        <v>60171048</v>
      </c>
      <c r="X7" s="14">
        <v>60160964</v>
      </c>
      <c r="Y7" s="14">
        <v>60150805</v>
      </c>
      <c r="AE7" s="7" t="s">
        <v>202</v>
      </c>
      <c r="AF7" s="7" t="s">
        <v>202</v>
      </c>
      <c r="AG7" s="7" t="s">
        <v>289</v>
      </c>
      <c r="AH7" s="7" t="s">
        <v>270</v>
      </c>
      <c r="AI7" s="7" t="s">
        <v>248</v>
      </c>
      <c r="AJ7" s="7" t="s">
        <v>290</v>
      </c>
      <c r="AK7" s="7" t="s">
        <v>202</v>
      </c>
      <c r="BC7" s="15" t="s">
        <v>291</v>
      </c>
      <c r="BD7" s="15" t="s">
        <v>292</v>
      </c>
      <c r="BE7" s="15" t="s">
        <v>293</v>
      </c>
      <c r="BF7" s="15" t="s">
        <v>294</v>
      </c>
      <c r="BG7" s="15" t="s">
        <v>295</v>
      </c>
      <c r="BH7" s="7" t="s">
        <v>296</v>
      </c>
      <c r="BI7" s="15" t="s">
        <v>297</v>
      </c>
      <c r="BO7" s="14">
        <v>60090585</v>
      </c>
      <c r="BP7" s="18" t="s">
        <v>298</v>
      </c>
      <c r="BR7" s="8">
        <f t="shared" si="0"/>
        <v>7</v>
      </c>
    </row>
    <row r="8" spans="1:73" ht="15.75" customHeight="1">
      <c r="A8" s="4" t="str">
        <v>ToT DPL Periode ke-2022 I.B.3</v>
      </c>
      <c r="B8" s="4" t="s">
        <v>190</v>
      </c>
      <c r="C8" s="9" t="s">
        <v>299</v>
      </c>
      <c r="D8" s="19" t="s">
        <v>261</v>
      </c>
      <c r="E8" s="17" t="s">
        <v>300</v>
      </c>
      <c r="F8" s="4" t="s">
        <v>193</v>
      </c>
      <c r="G8" s="7" t="s">
        <v>301</v>
      </c>
      <c r="H8" s="7" t="s">
        <v>302</v>
      </c>
      <c r="I8" s="7" t="s">
        <v>303</v>
      </c>
      <c r="J8" s="7" t="s">
        <v>304</v>
      </c>
      <c r="K8" s="7" t="s">
        <v>305</v>
      </c>
      <c r="L8" s="7" t="s">
        <v>306</v>
      </c>
      <c r="M8" s="7" t="s">
        <v>307</v>
      </c>
      <c r="S8" s="7" t="s">
        <v>308</v>
      </c>
      <c r="T8" s="14">
        <v>60090583</v>
      </c>
      <c r="U8" s="14">
        <v>60160933</v>
      </c>
      <c r="V8" s="14">
        <v>60010363</v>
      </c>
      <c r="W8" s="14">
        <v>60211275</v>
      </c>
      <c r="X8" s="14">
        <v>60910094</v>
      </c>
      <c r="Y8" s="14">
        <v>60191210</v>
      </c>
      <c r="AE8" s="7" t="s">
        <v>309</v>
      </c>
      <c r="AF8" s="7" t="s">
        <v>202</v>
      </c>
      <c r="AG8" s="7" t="s">
        <v>206</v>
      </c>
      <c r="AH8" s="7" t="s">
        <v>270</v>
      </c>
      <c r="AI8" s="7" t="s">
        <v>310</v>
      </c>
      <c r="AJ8" s="7" t="s">
        <v>311</v>
      </c>
      <c r="AK8" s="7" t="s">
        <v>247</v>
      </c>
      <c r="BC8" s="15" t="s">
        <v>312</v>
      </c>
      <c r="BD8" s="15" t="s">
        <v>313</v>
      </c>
      <c r="BE8" s="15" t="s">
        <v>314</v>
      </c>
      <c r="BF8" s="7" t="s">
        <v>315</v>
      </c>
      <c r="BG8" s="15" t="s">
        <v>316</v>
      </c>
      <c r="BH8" s="15" t="s">
        <v>317</v>
      </c>
      <c r="BI8" s="15" t="s">
        <v>318</v>
      </c>
      <c r="BO8" s="14">
        <v>60090585</v>
      </c>
      <c r="BP8" s="18" t="s">
        <v>319</v>
      </c>
      <c r="BR8" s="8">
        <f t="shared" si="0"/>
        <v>7</v>
      </c>
    </row>
    <row r="9" spans="1:73" ht="15.75" customHeight="1">
      <c r="A9" s="4" t="str">
        <v>ToT DPL Periode ke-2022 I.C.1</v>
      </c>
      <c r="B9" s="4" t="s">
        <v>190</v>
      </c>
      <c r="C9" s="9" t="s">
        <v>320</v>
      </c>
      <c r="D9" s="20" t="s">
        <v>321</v>
      </c>
      <c r="E9" s="17" t="s">
        <v>322</v>
      </c>
      <c r="F9" s="4" t="s">
        <v>193</v>
      </c>
      <c r="G9" s="7" t="s">
        <v>323</v>
      </c>
      <c r="H9" s="7" t="s">
        <v>324</v>
      </c>
      <c r="I9" s="7" t="s">
        <v>325</v>
      </c>
      <c r="J9" s="7" t="s">
        <v>326</v>
      </c>
      <c r="K9" s="7" t="s">
        <v>327</v>
      </c>
      <c r="L9" s="7" t="s">
        <v>328</v>
      </c>
      <c r="M9" s="7" t="s">
        <v>329</v>
      </c>
      <c r="S9" s="14">
        <v>60160976</v>
      </c>
      <c r="T9" s="14">
        <v>60171050</v>
      </c>
      <c r="U9" s="14">
        <v>60181158</v>
      </c>
      <c r="V9" s="14">
        <v>60030462</v>
      </c>
      <c r="W9" s="14">
        <v>60191232</v>
      </c>
      <c r="X9" s="14">
        <v>60191217</v>
      </c>
      <c r="Y9" s="14">
        <v>60191189</v>
      </c>
      <c r="AE9" s="7" t="s">
        <v>202</v>
      </c>
      <c r="AF9" s="7" t="s">
        <v>248</v>
      </c>
      <c r="AG9" s="7" t="s">
        <v>206</v>
      </c>
      <c r="AH9" s="7" t="s">
        <v>330</v>
      </c>
      <c r="AI9" s="7" t="s">
        <v>248</v>
      </c>
      <c r="AJ9" s="7" t="s">
        <v>331</v>
      </c>
      <c r="AK9" s="7" t="s">
        <v>247</v>
      </c>
      <c r="BC9" s="15" t="s">
        <v>332</v>
      </c>
      <c r="BD9" s="15" t="s">
        <v>333</v>
      </c>
      <c r="BE9" s="15" t="s">
        <v>334</v>
      </c>
      <c r="BF9" s="15" t="s">
        <v>335</v>
      </c>
      <c r="BG9" s="15" t="s">
        <v>336</v>
      </c>
      <c r="BH9" s="15" t="s">
        <v>337</v>
      </c>
      <c r="BI9" s="15" t="s">
        <v>338</v>
      </c>
      <c r="BO9" s="14">
        <v>60150780</v>
      </c>
      <c r="BP9" s="18" t="s">
        <v>339</v>
      </c>
      <c r="BR9" s="8">
        <f t="shared" si="0"/>
        <v>7</v>
      </c>
    </row>
    <row r="10" spans="1:73" ht="15.75" customHeight="1">
      <c r="A10" s="4" t="str">
        <v>ToT DPL Periode ke-2022 I.C.2</v>
      </c>
      <c r="B10" s="4" t="s">
        <v>190</v>
      </c>
      <c r="C10" s="9" t="s">
        <v>340</v>
      </c>
      <c r="D10" s="20" t="s">
        <v>321</v>
      </c>
      <c r="E10" s="17" t="s">
        <v>341</v>
      </c>
      <c r="F10" s="4" t="s">
        <v>193</v>
      </c>
      <c r="G10" s="7" t="s">
        <v>342</v>
      </c>
      <c r="H10" s="7" t="s">
        <v>343</v>
      </c>
      <c r="I10" s="7" t="s">
        <v>344</v>
      </c>
      <c r="J10" s="7" t="s">
        <v>345</v>
      </c>
      <c r="K10" s="7" t="s">
        <v>346</v>
      </c>
      <c r="L10" s="7" t="s">
        <v>347</v>
      </c>
      <c r="M10" s="21" t="s">
        <v>348</v>
      </c>
      <c r="S10" s="14">
        <v>60130747</v>
      </c>
      <c r="T10" s="14">
        <v>60150783</v>
      </c>
      <c r="U10" s="7" t="s">
        <v>349</v>
      </c>
      <c r="V10" s="14">
        <v>60091593</v>
      </c>
      <c r="W10" s="14">
        <v>60160966</v>
      </c>
      <c r="X10" s="14">
        <v>60130738</v>
      </c>
      <c r="Y10" s="14">
        <v>60010305</v>
      </c>
      <c r="AE10" s="7" t="s">
        <v>204</v>
      </c>
      <c r="AF10" s="7" t="s">
        <v>204</v>
      </c>
      <c r="AG10" s="7" t="s">
        <v>331</v>
      </c>
      <c r="AH10" s="7" t="s">
        <v>202</v>
      </c>
      <c r="AI10" s="7" t="s">
        <v>350</v>
      </c>
      <c r="AJ10" s="7" t="s">
        <v>271</v>
      </c>
      <c r="AK10" s="21" t="s">
        <v>351</v>
      </c>
      <c r="BC10" s="15" t="s">
        <v>352</v>
      </c>
      <c r="BD10" s="15" t="s">
        <v>353</v>
      </c>
      <c r="BE10" s="15" t="s">
        <v>354</v>
      </c>
      <c r="BF10" s="15" t="s">
        <v>355</v>
      </c>
      <c r="BG10" s="15" t="s">
        <v>356</v>
      </c>
      <c r="BH10" s="15" t="s">
        <v>357</v>
      </c>
      <c r="BI10" s="22" t="s">
        <v>358</v>
      </c>
      <c r="BO10" s="14">
        <v>60150780</v>
      </c>
      <c r="BP10" s="18" t="s">
        <v>359</v>
      </c>
      <c r="BR10" s="8">
        <f t="shared" si="0"/>
        <v>7</v>
      </c>
    </row>
    <row r="11" spans="1:73" ht="15.75" customHeight="1">
      <c r="A11" s="4" t="str">
        <v>ToT DPL Periode ke-2022 I.C.3</v>
      </c>
      <c r="B11" s="4" t="s">
        <v>190</v>
      </c>
      <c r="C11" s="9" t="s">
        <v>360</v>
      </c>
      <c r="D11" s="20" t="s">
        <v>321</v>
      </c>
      <c r="E11" s="17" t="s">
        <v>361</v>
      </c>
      <c r="F11" s="4" t="s">
        <v>193</v>
      </c>
      <c r="G11" s="7" t="s">
        <v>362</v>
      </c>
      <c r="H11" s="7" t="s">
        <v>363</v>
      </c>
      <c r="I11" s="7" t="s">
        <v>364</v>
      </c>
      <c r="J11" s="7" t="s">
        <v>365</v>
      </c>
      <c r="K11" s="7" t="s">
        <v>366</v>
      </c>
      <c r="L11" s="7" t="s">
        <v>367</v>
      </c>
      <c r="M11" s="21" t="s">
        <v>368</v>
      </c>
      <c r="S11" s="14">
        <v>60110666</v>
      </c>
      <c r="T11" s="14">
        <v>60060538</v>
      </c>
      <c r="U11" s="14">
        <v>60201251</v>
      </c>
      <c r="V11" s="14">
        <v>60110625</v>
      </c>
      <c r="W11" s="14">
        <v>60150838</v>
      </c>
      <c r="X11" s="14">
        <v>60191216</v>
      </c>
      <c r="Y11" s="14">
        <v>60080555</v>
      </c>
      <c r="AE11" s="7" t="s">
        <v>204</v>
      </c>
      <c r="AF11" s="7" t="s">
        <v>202</v>
      </c>
      <c r="AG11" s="7" t="s">
        <v>369</v>
      </c>
      <c r="AH11" s="7" t="s">
        <v>201</v>
      </c>
      <c r="AI11" s="7" t="s">
        <v>331</v>
      </c>
      <c r="AJ11" s="7" t="s">
        <v>331</v>
      </c>
      <c r="AK11" s="12" t="s">
        <v>370</v>
      </c>
      <c r="BC11" s="15" t="s">
        <v>371</v>
      </c>
      <c r="BD11" s="15" t="s">
        <v>372</v>
      </c>
      <c r="BE11" s="15" t="s">
        <v>373</v>
      </c>
      <c r="BF11" s="15" t="s">
        <v>374</v>
      </c>
      <c r="BG11" s="15" t="s">
        <v>375</v>
      </c>
      <c r="BH11" s="15" t="s">
        <v>376</v>
      </c>
      <c r="BI11" s="15" t="s">
        <v>377</v>
      </c>
      <c r="BO11" s="14">
        <v>60150780</v>
      </c>
      <c r="BP11" s="18" t="s">
        <v>378</v>
      </c>
      <c r="BR11" s="8">
        <f t="shared" si="0"/>
        <v>7</v>
      </c>
    </row>
    <row r="12" spans="1:73" ht="15.75" customHeight="1">
      <c r="A12" s="4" t="str">
        <v>ToT DPL Periode ke-2022 I.D.1</v>
      </c>
      <c r="B12" s="4" t="s">
        <v>190</v>
      </c>
      <c r="C12" s="9" t="s">
        <v>379</v>
      </c>
      <c r="D12" s="20" t="s">
        <v>321</v>
      </c>
      <c r="E12" s="17" t="s">
        <v>380</v>
      </c>
      <c r="F12" s="4" t="s">
        <v>193</v>
      </c>
      <c r="G12" s="7" t="s">
        <v>381</v>
      </c>
      <c r="H12" s="7" t="s">
        <v>382</v>
      </c>
      <c r="I12" s="7" t="s">
        <v>383</v>
      </c>
      <c r="J12" s="7" t="s">
        <v>384</v>
      </c>
      <c r="K12" s="7" t="s">
        <v>385</v>
      </c>
      <c r="L12" s="7" t="s">
        <v>386</v>
      </c>
      <c r="S12" s="14">
        <v>60130750</v>
      </c>
      <c r="T12" s="14">
        <v>60191192</v>
      </c>
      <c r="U12" s="14">
        <v>60150788</v>
      </c>
      <c r="V12" s="14">
        <v>60010216</v>
      </c>
      <c r="W12" s="14">
        <v>60191229</v>
      </c>
      <c r="X12" s="14">
        <v>60160998</v>
      </c>
      <c r="AE12" s="7" t="s">
        <v>204</v>
      </c>
      <c r="AF12" s="7" t="s">
        <v>228</v>
      </c>
      <c r="AG12" s="7" t="s">
        <v>247</v>
      </c>
      <c r="AH12" s="7" t="s">
        <v>201</v>
      </c>
      <c r="AI12" s="7" t="s">
        <v>250</v>
      </c>
      <c r="AJ12" s="7" t="s">
        <v>387</v>
      </c>
      <c r="BC12" s="15" t="s">
        <v>388</v>
      </c>
      <c r="BD12" s="15" t="s">
        <v>389</v>
      </c>
      <c r="BE12" s="15" t="s">
        <v>390</v>
      </c>
      <c r="BF12" s="15" t="s">
        <v>391</v>
      </c>
      <c r="BG12" s="15" t="s">
        <v>392</v>
      </c>
      <c r="BH12" s="15" t="s">
        <v>393</v>
      </c>
      <c r="BO12" s="14">
        <v>60150780</v>
      </c>
      <c r="BP12" s="18" t="s">
        <v>394</v>
      </c>
      <c r="BR12" s="8">
        <f t="shared" si="0"/>
        <v>6</v>
      </c>
    </row>
    <row r="13" spans="1:73" ht="15.75" customHeight="1">
      <c r="A13" s="4" t="str">
        <v>ToT DPL 2 Periode ke-2022 I.A.1</v>
      </c>
      <c r="B13" s="4" t="s">
        <v>395</v>
      </c>
      <c r="C13" s="4" t="s">
        <v>165</v>
      </c>
      <c r="D13" s="10" t="s">
        <v>191</v>
      </c>
      <c r="E13" s="11" t="s">
        <v>192</v>
      </c>
      <c r="F13" s="4" t="s">
        <v>193</v>
      </c>
      <c r="G13" s="7" t="s">
        <v>343</v>
      </c>
      <c r="H13" s="7" t="s">
        <v>396</v>
      </c>
      <c r="I13" s="7" t="s">
        <v>397</v>
      </c>
      <c r="J13" s="7" t="s">
        <v>398</v>
      </c>
      <c r="K13" s="7" t="s">
        <v>399</v>
      </c>
      <c r="L13" s="7" t="s">
        <v>400</v>
      </c>
      <c r="M13" s="7" t="s">
        <v>401</v>
      </c>
      <c r="N13" s="7" t="s">
        <v>402</v>
      </c>
      <c r="S13" s="14">
        <v>60150783</v>
      </c>
      <c r="T13" s="14">
        <v>60211293</v>
      </c>
      <c r="U13" s="14">
        <v>60171046</v>
      </c>
      <c r="V13" s="14">
        <v>60920105</v>
      </c>
      <c r="W13" s="14">
        <v>60211292</v>
      </c>
      <c r="X13" s="14">
        <v>60160941</v>
      </c>
      <c r="Y13" s="14">
        <v>60120711</v>
      </c>
      <c r="Z13" s="14">
        <v>60160962</v>
      </c>
      <c r="AE13" s="7" t="s">
        <v>204</v>
      </c>
      <c r="AF13" s="7" t="s">
        <v>289</v>
      </c>
      <c r="AG13" s="7" t="s">
        <v>403</v>
      </c>
      <c r="AH13" s="7" t="s">
        <v>404</v>
      </c>
      <c r="AI13" s="7" t="s">
        <v>289</v>
      </c>
      <c r="AJ13" s="7" t="s">
        <v>204</v>
      </c>
      <c r="AK13" s="7" t="s">
        <v>204</v>
      </c>
      <c r="AL13" s="7" t="s">
        <v>290</v>
      </c>
      <c r="BC13" s="15" t="s">
        <v>353</v>
      </c>
      <c r="BD13" s="15" t="s">
        <v>405</v>
      </c>
      <c r="BE13" s="15" t="s">
        <v>406</v>
      </c>
      <c r="BF13" s="15" t="s">
        <v>407</v>
      </c>
      <c r="BG13" s="15" t="s">
        <v>408</v>
      </c>
      <c r="BH13" s="15" t="s">
        <v>409</v>
      </c>
      <c r="BI13" s="15" t="s">
        <v>410</v>
      </c>
      <c r="BJ13" s="15" t="s">
        <v>411</v>
      </c>
      <c r="BO13" s="14">
        <v>60160979</v>
      </c>
      <c r="BP13" s="18" t="s">
        <v>412</v>
      </c>
      <c r="BR13" s="8">
        <f t="shared" si="0"/>
        <v>8</v>
      </c>
    </row>
    <row r="14" spans="1:73" ht="15.75" customHeight="1">
      <c r="A14" s="4" t="str">
        <v>ToT DPL 2 Periode ke-2022 I.A.2</v>
      </c>
      <c r="B14" s="4" t="s">
        <v>395</v>
      </c>
      <c r="C14" s="9" t="s">
        <v>216</v>
      </c>
      <c r="D14" s="10" t="s">
        <v>191</v>
      </c>
      <c r="E14" s="17" t="s">
        <v>217</v>
      </c>
      <c r="F14" s="4" t="s">
        <v>193</v>
      </c>
      <c r="G14" s="7" t="s">
        <v>413</v>
      </c>
      <c r="H14" s="7" t="s">
        <v>414</v>
      </c>
      <c r="I14" s="7" t="s">
        <v>415</v>
      </c>
      <c r="J14" s="7" t="s">
        <v>416</v>
      </c>
      <c r="K14" s="7" t="s">
        <v>417</v>
      </c>
      <c r="L14" s="7" t="s">
        <v>418</v>
      </c>
      <c r="M14" s="7" t="s">
        <v>419</v>
      </c>
      <c r="N14" s="7" t="s">
        <v>420</v>
      </c>
      <c r="S14" s="23">
        <v>60160997</v>
      </c>
      <c r="T14" s="23">
        <v>60191198</v>
      </c>
      <c r="U14" s="23">
        <v>60181102</v>
      </c>
      <c r="V14" s="23">
        <v>60211289</v>
      </c>
      <c r="W14" s="23">
        <v>60110640</v>
      </c>
      <c r="X14" s="23">
        <v>60171055</v>
      </c>
      <c r="Y14" s="23">
        <v>60150800</v>
      </c>
      <c r="Z14" s="23">
        <v>60211271</v>
      </c>
      <c r="AE14" s="24" t="s">
        <v>387</v>
      </c>
      <c r="AF14" s="24" t="s">
        <v>248</v>
      </c>
      <c r="AG14" s="24" t="s">
        <v>226</v>
      </c>
      <c r="AH14" s="24" t="s">
        <v>421</v>
      </c>
      <c r="AI14" s="24" t="s">
        <v>251</v>
      </c>
      <c r="AJ14" s="24" t="s">
        <v>387</v>
      </c>
      <c r="AK14" s="24" t="s">
        <v>422</v>
      </c>
      <c r="AL14" s="24" t="s">
        <v>202</v>
      </c>
      <c r="BC14" s="15" t="s">
        <v>423</v>
      </c>
      <c r="BD14" s="15" t="s">
        <v>424</v>
      </c>
      <c r="BE14" s="15" t="s">
        <v>425</v>
      </c>
      <c r="BF14" s="15" t="s">
        <v>426</v>
      </c>
      <c r="BG14" s="15" t="s">
        <v>427</v>
      </c>
      <c r="BH14" s="15" t="s">
        <v>428</v>
      </c>
      <c r="BI14" s="15" t="s">
        <v>429</v>
      </c>
      <c r="BJ14" s="15" t="s">
        <v>430</v>
      </c>
      <c r="BO14" s="14">
        <v>60160979</v>
      </c>
      <c r="BP14" s="18" t="s">
        <v>431</v>
      </c>
      <c r="BR14" s="8">
        <f t="shared" si="0"/>
        <v>8</v>
      </c>
    </row>
    <row r="15" spans="1:73" ht="15.75" customHeight="1">
      <c r="A15" s="4" t="str">
        <v>ToT DPL 2 Periode ke-2022 I.A.3</v>
      </c>
      <c r="B15" s="4" t="s">
        <v>395</v>
      </c>
      <c r="C15" s="9" t="s">
        <v>238</v>
      </c>
      <c r="D15" s="10" t="s">
        <v>191</v>
      </c>
      <c r="E15" s="17" t="s">
        <v>239</v>
      </c>
      <c r="F15" s="4" t="s">
        <v>193</v>
      </c>
      <c r="G15" s="7" t="s">
        <v>432</v>
      </c>
      <c r="H15" s="7" t="s">
        <v>433</v>
      </c>
      <c r="I15" s="7" t="s">
        <v>434</v>
      </c>
      <c r="J15" s="7" t="s">
        <v>435</v>
      </c>
      <c r="K15" s="7" t="s">
        <v>436</v>
      </c>
      <c r="L15" s="7" t="s">
        <v>437</v>
      </c>
      <c r="M15" s="7" t="s">
        <v>438</v>
      </c>
      <c r="N15" s="7" t="s">
        <v>439</v>
      </c>
      <c r="S15" s="23">
        <v>60110644</v>
      </c>
      <c r="T15" s="23">
        <v>60110639</v>
      </c>
      <c r="U15" s="23">
        <v>60191236</v>
      </c>
      <c r="V15" s="23">
        <v>60030475</v>
      </c>
      <c r="W15" s="23">
        <v>60171099</v>
      </c>
      <c r="X15" s="23">
        <v>60191213</v>
      </c>
      <c r="Y15" s="23">
        <v>60150804</v>
      </c>
      <c r="Z15" s="23">
        <v>60191237</v>
      </c>
      <c r="AE15" s="24" t="s">
        <v>202</v>
      </c>
      <c r="AF15" s="24" t="s">
        <v>251</v>
      </c>
      <c r="AG15" s="24" t="s">
        <v>440</v>
      </c>
      <c r="AH15" s="24" t="s">
        <v>309</v>
      </c>
      <c r="AI15" s="24" t="s">
        <v>330</v>
      </c>
      <c r="AJ15" s="24" t="s">
        <v>247</v>
      </c>
      <c r="AK15" s="24" t="s">
        <v>202</v>
      </c>
      <c r="AL15" s="24" t="s">
        <v>207</v>
      </c>
      <c r="BC15" s="15" t="s">
        <v>441</v>
      </c>
      <c r="BD15" s="15" t="s">
        <v>442</v>
      </c>
      <c r="BE15" s="15" t="s">
        <v>443</v>
      </c>
      <c r="BF15" s="15" t="s">
        <v>444</v>
      </c>
      <c r="BG15" s="15" t="s">
        <v>445</v>
      </c>
      <c r="BH15" s="15" t="s">
        <v>446</v>
      </c>
      <c r="BI15" s="15" t="s">
        <v>447</v>
      </c>
      <c r="BJ15" s="15" t="s">
        <v>448</v>
      </c>
      <c r="BO15" s="14">
        <v>60160979</v>
      </c>
      <c r="BP15" s="18" t="s">
        <v>449</v>
      </c>
      <c r="BR15" s="8">
        <f t="shared" si="0"/>
        <v>8</v>
      </c>
    </row>
    <row r="16" spans="1:73" ht="15.75" customHeight="1">
      <c r="A16" s="4" t="str">
        <v>ToT DPL 2 Periode ke-2022 I.B.1</v>
      </c>
      <c r="B16" s="4" t="s">
        <v>395</v>
      </c>
      <c r="C16" s="9" t="s">
        <v>260</v>
      </c>
      <c r="D16" s="19" t="s">
        <v>261</v>
      </c>
      <c r="E16" s="17" t="s">
        <v>262</v>
      </c>
      <c r="F16" s="4" t="s">
        <v>193</v>
      </c>
      <c r="G16" s="7" t="s">
        <v>450</v>
      </c>
      <c r="H16" s="7" t="s">
        <v>451</v>
      </c>
      <c r="I16" s="7" t="s">
        <v>452</v>
      </c>
      <c r="J16" s="7" t="s">
        <v>453</v>
      </c>
      <c r="K16" s="7" t="s">
        <v>454</v>
      </c>
      <c r="L16" s="7" t="s">
        <v>455</v>
      </c>
      <c r="M16" s="25" t="s">
        <v>456</v>
      </c>
      <c r="N16" s="7" t="s">
        <v>457</v>
      </c>
      <c r="S16" s="23">
        <v>60211300</v>
      </c>
      <c r="T16" s="23">
        <v>60181152</v>
      </c>
      <c r="U16" s="23">
        <v>60211276</v>
      </c>
      <c r="V16" s="23">
        <v>60150830</v>
      </c>
      <c r="W16" s="23">
        <v>60150812</v>
      </c>
      <c r="X16" s="23">
        <v>60191181</v>
      </c>
      <c r="Y16" s="4">
        <v>60191189</v>
      </c>
      <c r="Z16" s="23">
        <v>60150793</v>
      </c>
      <c r="AE16" s="24" t="s">
        <v>271</v>
      </c>
      <c r="AF16" s="24" t="s">
        <v>207</v>
      </c>
      <c r="AG16" s="24" t="s">
        <v>310</v>
      </c>
      <c r="AH16" s="24" t="s">
        <v>311</v>
      </c>
      <c r="AI16" s="24" t="s">
        <v>201</v>
      </c>
      <c r="AJ16" s="24" t="s">
        <v>207</v>
      </c>
      <c r="AK16" s="24" t="s">
        <v>247</v>
      </c>
      <c r="AL16" s="24" t="s">
        <v>440</v>
      </c>
      <c r="BC16" s="15" t="s">
        <v>458</v>
      </c>
      <c r="BD16" s="15" t="s">
        <v>459</v>
      </c>
      <c r="BE16" s="15" t="s">
        <v>460</v>
      </c>
      <c r="BF16" s="15" t="s">
        <v>461</v>
      </c>
      <c r="BG16" s="15" t="s">
        <v>462</v>
      </c>
      <c r="BH16" s="15" t="s">
        <v>463</v>
      </c>
      <c r="BI16" s="15" t="s">
        <v>464</v>
      </c>
      <c r="BJ16" s="15" t="s">
        <v>465</v>
      </c>
      <c r="BO16" s="14">
        <v>60090585</v>
      </c>
      <c r="BP16" s="18" t="s">
        <v>466</v>
      </c>
      <c r="BR16" s="8">
        <f t="shared" si="0"/>
        <v>8</v>
      </c>
    </row>
    <row r="17" spans="1:70" ht="15.75" customHeight="1">
      <c r="A17" s="4" t="str">
        <v>ToT DPL 2 Periode ke-2022 I.B.2</v>
      </c>
      <c r="B17" s="4" t="s">
        <v>395</v>
      </c>
      <c r="C17" s="9" t="s">
        <v>280</v>
      </c>
      <c r="D17" s="19" t="s">
        <v>261</v>
      </c>
      <c r="E17" s="17" t="s">
        <v>281</v>
      </c>
      <c r="F17" s="4" t="s">
        <v>193</v>
      </c>
      <c r="G17" s="7" t="s">
        <v>467</v>
      </c>
      <c r="H17" s="7" t="s">
        <v>468</v>
      </c>
      <c r="I17" s="7" t="s">
        <v>469</v>
      </c>
      <c r="J17" s="7" t="s">
        <v>470</v>
      </c>
      <c r="K17" s="7" t="s">
        <v>471</v>
      </c>
      <c r="L17" s="7" t="s">
        <v>472</v>
      </c>
      <c r="M17" s="7" t="s">
        <v>473</v>
      </c>
      <c r="N17" s="7" t="s">
        <v>474</v>
      </c>
      <c r="S17" s="23">
        <v>60181168</v>
      </c>
      <c r="T17" s="23">
        <v>60010238</v>
      </c>
      <c r="U17" s="23">
        <v>60010240</v>
      </c>
      <c r="V17" s="23">
        <v>60201253</v>
      </c>
      <c r="W17" s="23">
        <v>60201256</v>
      </c>
      <c r="X17" s="23">
        <v>60150792</v>
      </c>
      <c r="Y17" s="23">
        <v>60150789</v>
      </c>
      <c r="Z17" s="23">
        <v>60160931</v>
      </c>
      <c r="AE17" s="24" t="s">
        <v>289</v>
      </c>
      <c r="AF17" s="24" t="s">
        <v>350</v>
      </c>
      <c r="AG17" s="24" t="s">
        <v>475</v>
      </c>
      <c r="AH17" s="24" t="s">
        <v>369</v>
      </c>
      <c r="AI17" s="24" t="s">
        <v>227</v>
      </c>
      <c r="AJ17" s="24" t="s">
        <v>440</v>
      </c>
      <c r="AK17" s="24" t="s">
        <v>247</v>
      </c>
      <c r="AL17" s="24" t="s">
        <v>202</v>
      </c>
      <c r="BC17" s="15" t="s">
        <v>476</v>
      </c>
      <c r="BD17" s="15" t="s">
        <v>477</v>
      </c>
      <c r="BE17" s="15" t="s">
        <v>478</v>
      </c>
      <c r="BF17" s="15" t="s">
        <v>479</v>
      </c>
      <c r="BG17" s="15" t="s">
        <v>480</v>
      </c>
      <c r="BH17" s="15" t="s">
        <v>481</v>
      </c>
      <c r="BI17" s="15" t="s">
        <v>482</v>
      </c>
      <c r="BJ17" s="14">
        <v>81229517992</v>
      </c>
      <c r="BO17" s="14">
        <v>60090585</v>
      </c>
      <c r="BP17" s="18" t="s">
        <v>483</v>
      </c>
      <c r="BR17" s="8">
        <f t="shared" si="0"/>
        <v>8</v>
      </c>
    </row>
    <row r="18" spans="1:70" ht="15.75" customHeight="1">
      <c r="A18" s="4" t="str">
        <v>ToT DPL 2 Periode ke-2022 I.B.3</v>
      </c>
      <c r="B18" s="4" t="s">
        <v>395</v>
      </c>
      <c r="C18" s="9" t="s">
        <v>299</v>
      </c>
      <c r="D18" s="19" t="s">
        <v>261</v>
      </c>
      <c r="E18" s="17" t="s">
        <v>300</v>
      </c>
      <c r="F18" s="4" t="s">
        <v>193</v>
      </c>
      <c r="G18" s="7" t="s">
        <v>484</v>
      </c>
      <c r="H18" s="7" t="s">
        <v>485</v>
      </c>
      <c r="I18" s="7" t="s">
        <v>486</v>
      </c>
      <c r="J18" s="7" t="s">
        <v>487</v>
      </c>
      <c r="K18" s="7" t="s">
        <v>488</v>
      </c>
      <c r="L18" s="7" t="s">
        <v>489</v>
      </c>
      <c r="M18" s="7" t="s">
        <v>490</v>
      </c>
      <c r="S18" s="7" t="s">
        <v>491</v>
      </c>
      <c r="T18" s="14">
        <v>60160968</v>
      </c>
      <c r="U18" s="14">
        <v>60970160</v>
      </c>
      <c r="V18" s="14">
        <v>60160936</v>
      </c>
      <c r="W18" s="14">
        <v>60171096</v>
      </c>
      <c r="X18" s="14">
        <v>60171085</v>
      </c>
      <c r="Y18" s="14">
        <v>60090578</v>
      </c>
      <c r="AE18" s="24" t="s">
        <v>309</v>
      </c>
      <c r="AF18" s="24" t="s">
        <v>440</v>
      </c>
      <c r="AG18" s="24" t="s">
        <v>492</v>
      </c>
      <c r="AH18" s="24" t="s">
        <v>311</v>
      </c>
      <c r="AI18" s="24" t="s">
        <v>204</v>
      </c>
      <c r="AJ18" s="24" t="s">
        <v>228</v>
      </c>
      <c r="AK18" s="24" t="s">
        <v>311</v>
      </c>
      <c r="BC18" s="7" t="s">
        <v>493</v>
      </c>
      <c r="BD18" s="15" t="s">
        <v>494</v>
      </c>
      <c r="BE18" s="15" t="s">
        <v>495</v>
      </c>
      <c r="BF18" s="15" t="s">
        <v>496</v>
      </c>
      <c r="BG18" s="15" t="s">
        <v>497</v>
      </c>
      <c r="BH18" s="15" t="s">
        <v>498</v>
      </c>
      <c r="BI18" s="15" t="s">
        <v>499</v>
      </c>
      <c r="BO18" s="14">
        <v>60090585</v>
      </c>
      <c r="BP18" s="26" t="s">
        <v>500</v>
      </c>
      <c r="BR18" s="8">
        <f t="shared" si="0"/>
        <v>7</v>
      </c>
    </row>
    <row r="19" spans="1:70" ht="15.75" customHeight="1">
      <c r="A19" s="4" t="str">
        <v>ToT DPL 2 Periode ke-2022 I.C.1</v>
      </c>
      <c r="B19" s="4" t="s">
        <v>395</v>
      </c>
      <c r="C19" s="9" t="s">
        <v>320</v>
      </c>
      <c r="D19" s="19" t="s">
        <v>261</v>
      </c>
      <c r="E19" s="17" t="s">
        <v>322</v>
      </c>
      <c r="F19" s="4" t="s">
        <v>193</v>
      </c>
      <c r="G19" s="7" t="s">
        <v>501</v>
      </c>
      <c r="H19" s="7" t="s">
        <v>502</v>
      </c>
      <c r="I19" s="7" t="s">
        <v>503</v>
      </c>
      <c r="J19" s="7" t="s">
        <v>504</v>
      </c>
      <c r="K19" s="7" t="s">
        <v>505</v>
      </c>
      <c r="L19" s="7" t="s">
        <v>506</v>
      </c>
      <c r="M19" s="7" t="s">
        <v>507</v>
      </c>
      <c r="S19" s="23">
        <v>60080543</v>
      </c>
      <c r="T19" s="23">
        <v>60201258</v>
      </c>
      <c r="U19" s="23">
        <v>60181120</v>
      </c>
      <c r="V19" s="23">
        <v>60150815</v>
      </c>
      <c r="W19" s="23">
        <v>60191200</v>
      </c>
      <c r="X19" s="23">
        <v>60040503</v>
      </c>
      <c r="Y19" s="23">
        <v>60150835</v>
      </c>
      <c r="AE19" s="24" t="s">
        <v>270</v>
      </c>
      <c r="AF19" s="24" t="s">
        <v>250</v>
      </c>
      <c r="AG19" s="24" t="s">
        <v>508</v>
      </c>
      <c r="AH19" s="24" t="s">
        <v>251</v>
      </c>
      <c r="AI19" s="24" t="s">
        <v>475</v>
      </c>
      <c r="AJ19" s="24" t="s">
        <v>207</v>
      </c>
      <c r="AK19" s="24" t="s">
        <v>509</v>
      </c>
      <c r="BC19" s="15" t="s">
        <v>510</v>
      </c>
      <c r="BD19" s="15" t="s">
        <v>511</v>
      </c>
      <c r="BE19" s="15" t="s">
        <v>512</v>
      </c>
      <c r="BF19" s="15" t="s">
        <v>513</v>
      </c>
      <c r="BG19" s="15" t="s">
        <v>514</v>
      </c>
      <c r="BH19" s="15" t="s">
        <v>515</v>
      </c>
      <c r="BI19" s="15" t="s">
        <v>516</v>
      </c>
      <c r="BO19" s="14">
        <v>60090586</v>
      </c>
      <c r="BP19" s="18" t="s">
        <v>517</v>
      </c>
      <c r="BR19" s="8">
        <f t="shared" si="0"/>
        <v>7</v>
      </c>
    </row>
    <row r="20" spans="1:70">
      <c r="A20" s="4" t="str">
        <v>Alternatif Periode ke-84 I.A.1</v>
      </c>
      <c r="B20" s="4" t="s">
        <v>518</v>
      </c>
      <c r="C20" s="4" t="s">
        <v>165</v>
      </c>
      <c r="D20" s="4" t="s">
        <v>457</v>
      </c>
      <c r="E20" s="4" t="s">
        <v>519</v>
      </c>
      <c r="F20" s="4" t="s">
        <v>520</v>
      </c>
      <c r="G20" s="27" t="s">
        <v>521</v>
      </c>
      <c r="H20" s="27" t="s">
        <v>522</v>
      </c>
      <c r="I20" s="27" t="s">
        <v>523</v>
      </c>
      <c r="J20" s="27" t="s">
        <v>524</v>
      </c>
      <c r="K20" s="27" t="s">
        <v>525</v>
      </c>
      <c r="L20" s="27" t="s">
        <v>526</v>
      </c>
      <c r="M20" s="27" t="s">
        <v>527</v>
      </c>
      <c r="N20" s="27" t="s">
        <v>528</v>
      </c>
      <c r="O20" s="27" t="s">
        <v>529</v>
      </c>
      <c r="P20" s="27" t="s">
        <v>530</v>
      </c>
      <c r="S20" s="27">
        <v>1600018160</v>
      </c>
      <c r="T20" s="27">
        <v>1700030150</v>
      </c>
      <c r="U20" s="27">
        <v>1800016037</v>
      </c>
      <c r="V20" s="27">
        <v>1900001021</v>
      </c>
      <c r="W20" s="27">
        <v>1900004023</v>
      </c>
      <c r="X20" s="27">
        <v>1900005083</v>
      </c>
      <c r="Y20" s="27">
        <v>1900010169</v>
      </c>
      <c r="Z20" s="27">
        <v>1900029249</v>
      </c>
      <c r="AA20" s="27">
        <v>1900031085</v>
      </c>
      <c r="AB20" s="27">
        <v>1900034046</v>
      </c>
      <c r="AE20" s="27" t="s">
        <v>179</v>
      </c>
      <c r="AF20" s="27" t="s">
        <v>184</v>
      </c>
      <c r="AG20" s="27" t="s">
        <v>531</v>
      </c>
      <c r="AH20" s="27" t="s">
        <v>180</v>
      </c>
      <c r="AI20" s="27" t="s">
        <v>201</v>
      </c>
      <c r="AJ20" s="27" t="s">
        <v>181</v>
      </c>
      <c r="AK20" s="27" t="s">
        <v>532</v>
      </c>
      <c r="AL20" s="27" t="s">
        <v>533</v>
      </c>
      <c r="AM20" s="27" t="s">
        <v>185</v>
      </c>
      <c r="AN20" s="27" t="s">
        <v>534</v>
      </c>
      <c r="AQ20" s="28" t="s">
        <v>187</v>
      </c>
      <c r="AR20" s="28" t="s">
        <v>187</v>
      </c>
      <c r="AS20" s="28" t="s">
        <v>186</v>
      </c>
      <c r="AT20" s="28" t="s">
        <v>187</v>
      </c>
      <c r="AU20" s="28" t="s">
        <v>186</v>
      </c>
      <c r="AV20" s="28" t="s">
        <v>186</v>
      </c>
      <c r="AW20" s="28" t="s">
        <v>186</v>
      </c>
      <c r="AX20" s="28" t="s">
        <v>186</v>
      </c>
      <c r="AY20" s="28" t="s">
        <v>186</v>
      </c>
      <c r="AZ20" s="28" t="s">
        <v>187</v>
      </c>
      <c r="BC20" s="28">
        <v>85157942766</v>
      </c>
      <c r="BD20" s="28">
        <f>6281386123872</f>
        <v>6281386123872</v>
      </c>
      <c r="BE20" s="28">
        <v>82238137456</v>
      </c>
      <c r="BF20" s="28">
        <v>82289664774</v>
      </c>
      <c r="BG20" s="28">
        <v>89605081805</v>
      </c>
      <c r="BH20" s="28">
        <v>81384976810</v>
      </c>
      <c r="BI20" s="28">
        <v>85728051489</v>
      </c>
      <c r="BJ20" s="28">
        <v>87855758553</v>
      </c>
      <c r="BK20" s="28">
        <v>81271064034</v>
      </c>
      <c r="BL20" s="28">
        <v>895378719766</v>
      </c>
      <c r="BO20" s="29">
        <v>60150793</v>
      </c>
      <c r="BP20" s="18" t="s">
        <v>535</v>
      </c>
      <c r="BR20" s="8">
        <f t="shared" si="0"/>
        <v>10</v>
      </c>
    </row>
    <row r="21" spans="1:70">
      <c r="A21" s="4" t="str">
        <v>Alternatif Periode ke-84 I.A.2</v>
      </c>
      <c r="B21" s="4" t="s">
        <v>518</v>
      </c>
      <c r="C21" s="4" t="s">
        <v>216</v>
      </c>
      <c r="D21" s="4" t="s">
        <v>457</v>
      </c>
      <c r="E21" s="4" t="s">
        <v>536</v>
      </c>
      <c r="F21" s="4" t="s">
        <v>520</v>
      </c>
      <c r="G21" s="27" t="s">
        <v>537</v>
      </c>
      <c r="H21" s="27" t="s">
        <v>538</v>
      </c>
      <c r="I21" s="27" t="s">
        <v>539</v>
      </c>
      <c r="J21" s="27" t="s">
        <v>540</v>
      </c>
      <c r="K21" s="27" t="s">
        <v>541</v>
      </c>
      <c r="L21" s="27" t="s">
        <v>542</v>
      </c>
      <c r="M21" s="27" t="s">
        <v>543</v>
      </c>
      <c r="N21" s="27" t="s">
        <v>544</v>
      </c>
      <c r="O21" s="27" t="s">
        <v>545</v>
      </c>
      <c r="S21" s="27">
        <v>1700018043</v>
      </c>
      <c r="T21" s="27">
        <v>1800016114</v>
      </c>
      <c r="U21" s="27">
        <v>1800331022</v>
      </c>
      <c r="V21" s="27">
        <v>1900001070</v>
      </c>
      <c r="W21" s="27">
        <v>1900004089</v>
      </c>
      <c r="X21" s="27">
        <v>1900010320</v>
      </c>
      <c r="Y21" s="27">
        <v>1900029217</v>
      </c>
      <c r="Z21" s="27">
        <v>1900030231</v>
      </c>
      <c r="AA21" s="27">
        <v>1900031192</v>
      </c>
      <c r="AE21" s="27" t="s">
        <v>179</v>
      </c>
      <c r="AF21" s="27" t="s">
        <v>531</v>
      </c>
      <c r="AG21" s="27" t="s">
        <v>546</v>
      </c>
      <c r="AH21" s="27" t="s">
        <v>180</v>
      </c>
      <c r="AI21" s="27" t="s">
        <v>201</v>
      </c>
      <c r="AJ21" s="27" t="s">
        <v>532</v>
      </c>
      <c r="AK21" s="27" t="s">
        <v>533</v>
      </c>
      <c r="AL21" s="27" t="s">
        <v>184</v>
      </c>
      <c r="AM21" s="27" t="s">
        <v>185</v>
      </c>
      <c r="AQ21" s="28" t="s">
        <v>187</v>
      </c>
      <c r="AR21" s="28" t="s">
        <v>186</v>
      </c>
      <c r="AS21" s="28" t="s">
        <v>187</v>
      </c>
      <c r="AT21" s="28" t="s">
        <v>187</v>
      </c>
      <c r="AU21" s="28" t="s">
        <v>186</v>
      </c>
      <c r="AV21" s="28" t="s">
        <v>186</v>
      </c>
      <c r="AW21" s="28" t="s">
        <v>186</v>
      </c>
      <c r="AX21" s="28" t="s">
        <v>187</v>
      </c>
      <c r="AY21" s="28" t="s">
        <v>186</v>
      </c>
      <c r="BC21" s="28">
        <v>82339779026</v>
      </c>
      <c r="BD21" s="28">
        <v>81344674664</v>
      </c>
      <c r="BE21" s="28">
        <v>81548567432</v>
      </c>
      <c r="BF21" s="28">
        <v>82182795113</v>
      </c>
      <c r="BG21" s="28">
        <v>81326212966</v>
      </c>
      <c r="BH21" s="28">
        <v>895400373465</v>
      </c>
      <c r="BI21" s="28">
        <v>895391452329</v>
      </c>
      <c r="BJ21" s="28">
        <v>85227854211</v>
      </c>
      <c r="BK21" s="28">
        <v>82350076182</v>
      </c>
      <c r="BO21" s="29">
        <v>60150793</v>
      </c>
      <c r="BP21" s="18" t="s">
        <v>547</v>
      </c>
      <c r="BR21" s="8">
        <f t="shared" si="0"/>
        <v>9</v>
      </c>
    </row>
    <row r="22" spans="1:70" ht="14">
      <c r="A22" s="4" t="str">
        <v>Alternatif Periode ke-84 I.A.3</v>
      </c>
      <c r="B22" s="4" t="s">
        <v>518</v>
      </c>
      <c r="C22" s="4" t="s">
        <v>238</v>
      </c>
      <c r="D22" s="4" t="s">
        <v>457</v>
      </c>
      <c r="E22" s="4" t="s">
        <v>536</v>
      </c>
      <c r="F22" s="4" t="s">
        <v>520</v>
      </c>
      <c r="G22" s="27" t="s">
        <v>548</v>
      </c>
      <c r="H22" s="27" t="s">
        <v>549</v>
      </c>
      <c r="I22" s="27" t="s">
        <v>550</v>
      </c>
      <c r="J22" s="27" t="s">
        <v>551</v>
      </c>
      <c r="K22" s="27" t="s">
        <v>552</v>
      </c>
      <c r="L22" s="27" t="s">
        <v>553</v>
      </c>
      <c r="M22" s="27" t="s">
        <v>554</v>
      </c>
      <c r="N22" s="27" t="s">
        <v>555</v>
      </c>
      <c r="O22" s="27" t="s">
        <v>556</v>
      </c>
      <c r="S22" s="27">
        <v>1800018084</v>
      </c>
      <c r="T22" s="27">
        <v>1800030293</v>
      </c>
      <c r="U22" s="27">
        <v>1900001069</v>
      </c>
      <c r="V22" s="27">
        <v>1900005340</v>
      </c>
      <c r="W22" s="27">
        <v>1900010007</v>
      </c>
      <c r="X22" s="27">
        <v>1900016169</v>
      </c>
      <c r="Y22" s="27">
        <v>1900029065</v>
      </c>
      <c r="Z22" s="27">
        <v>1900031352</v>
      </c>
      <c r="AA22" s="27">
        <v>1900331047</v>
      </c>
      <c r="AE22" s="27" t="s">
        <v>179</v>
      </c>
      <c r="AF22" s="27" t="s">
        <v>184</v>
      </c>
      <c r="AG22" s="27" t="s">
        <v>180</v>
      </c>
      <c r="AH22" s="27" t="s">
        <v>181</v>
      </c>
      <c r="AI22" s="27" t="s">
        <v>532</v>
      </c>
      <c r="AJ22" s="27" t="s">
        <v>531</v>
      </c>
      <c r="AK22" s="27" t="s">
        <v>533</v>
      </c>
      <c r="AL22" s="27" t="s">
        <v>185</v>
      </c>
      <c r="AM22" s="27" t="s">
        <v>546</v>
      </c>
      <c r="AQ22" s="28" t="s">
        <v>187</v>
      </c>
      <c r="AR22" s="28" t="s">
        <v>187</v>
      </c>
      <c r="AS22" s="28" t="s">
        <v>187</v>
      </c>
      <c r="AT22" s="28" t="s">
        <v>186</v>
      </c>
      <c r="AU22" s="28" t="s">
        <v>186</v>
      </c>
      <c r="AV22" s="28" t="s">
        <v>186</v>
      </c>
      <c r="AW22" s="28" t="s">
        <v>186</v>
      </c>
      <c r="AX22" s="28" t="s">
        <v>186</v>
      </c>
      <c r="AY22" s="28" t="s">
        <v>187</v>
      </c>
      <c r="BC22" s="28">
        <v>817270447</v>
      </c>
      <c r="BD22" s="28">
        <v>85161526785</v>
      </c>
      <c r="BE22" s="28">
        <v>82298228757</v>
      </c>
      <c r="BF22" s="28">
        <v>81388504435</v>
      </c>
      <c r="BG22" s="28">
        <v>85646634901</v>
      </c>
      <c r="BH22" s="28">
        <v>89666744523</v>
      </c>
      <c r="BI22" s="28">
        <v>85656236972</v>
      </c>
      <c r="BJ22" s="28">
        <v>81809469229</v>
      </c>
      <c r="BK22" s="28">
        <v>83870904929</v>
      </c>
      <c r="BO22" s="29">
        <v>60150793</v>
      </c>
      <c r="BP22" s="18" t="s">
        <v>557</v>
      </c>
      <c r="BR22" s="8">
        <f t="shared" si="0"/>
        <v>9</v>
      </c>
    </row>
    <row r="23" spans="1:70" ht="14">
      <c r="A23" s="4" t="str">
        <v>Alternatif Periode ke-84 I.B.1</v>
      </c>
      <c r="B23" s="4" t="s">
        <v>518</v>
      </c>
      <c r="C23" s="4" t="s">
        <v>260</v>
      </c>
      <c r="D23" s="4" t="s">
        <v>558</v>
      </c>
      <c r="E23" s="4" t="s">
        <v>559</v>
      </c>
      <c r="F23" s="4" t="s">
        <v>520</v>
      </c>
      <c r="G23" s="27" t="s">
        <v>560</v>
      </c>
      <c r="H23" s="27" t="s">
        <v>561</v>
      </c>
      <c r="I23" s="27" t="s">
        <v>562</v>
      </c>
      <c r="J23" s="27" t="s">
        <v>563</v>
      </c>
      <c r="K23" s="27" t="s">
        <v>564</v>
      </c>
      <c r="L23" s="27" t="s">
        <v>565</v>
      </c>
      <c r="M23" s="27" t="s">
        <v>566</v>
      </c>
      <c r="N23" s="27" t="s">
        <v>567</v>
      </c>
      <c r="O23" s="27" t="s">
        <v>568</v>
      </c>
      <c r="P23" s="27" t="s">
        <v>569</v>
      </c>
      <c r="S23" s="27">
        <v>1700026140</v>
      </c>
      <c r="T23" s="27">
        <v>1800030139</v>
      </c>
      <c r="U23" s="27">
        <v>1900001013</v>
      </c>
      <c r="V23" s="27">
        <v>1900005258</v>
      </c>
      <c r="W23" s="27">
        <v>1900011381</v>
      </c>
      <c r="X23" s="27">
        <v>1900016001</v>
      </c>
      <c r="Y23" s="27">
        <v>1900018204</v>
      </c>
      <c r="Z23" s="27">
        <v>1900030285</v>
      </c>
      <c r="AA23" s="27">
        <v>1900031233</v>
      </c>
      <c r="AB23" s="27">
        <v>1900331037</v>
      </c>
      <c r="AE23" s="27" t="s">
        <v>570</v>
      </c>
      <c r="AF23" s="27" t="s">
        <v>184</v>
      </c>
      <c r="AG23" s="27" t="s">
        <v>180</v>
      </c>
      <c r="AH23" s="27" t="s">
        <v>181</v>
      </c>
      <c r="AI23" s="27" t="s">
        <v>182</v>
      </c>
      <c r="AJ23" s="27" t="s">
        <v>531</v>
      </c>
      <c r="AK23" s="27" t="s">
        <v>179</v>
      </c>
      <c r="AL23" s="27" t="s">
        <v>184</v>
      </c>
      <c r="AM23" s="27" t="s">
        <v>185</v>
      </c>
      <c r="AN23" s="27" t="s">
        <v>546</v>
      </c>
      <c r="AQ23" s="28" t="s">
        <v>186</v>
      </c>
      <c r="AR23" s="28" t="s">
        <v>187</v>
      </c>
      <c r="AS23" s="28" t="s">
        <v>187</v>
      </c>
      <c r="AT23" s="28" t="s">
        <v>186</v>
      </c>
      <c r="AU23" s="28" t="s">
        <v>186</v>
      </c>
      <c r="AV23" s="28" t="s">
        <v>186</v>
      </c>
      <c r="AW23" s="28" t="s">
        <v>187</v>
      </c>
      <c r="AX23" s="28" t="s">
        <v>186</v>
      </c>
      <c r="AY23" s="28" t="s">
        <v>186</v>
      </c>
      <c r="AZ23" s="28" t="s">
        <v>187</v>
      </c>
      <c r="BC23" s="28">
        <v>85824392564</v>
      </c>
      <c r="BD23" s="28">
        <v>81313824289</v>
      </c>
      <c r="BE23" s="28">
        <v>88214809626</v>
      </c>
      <c r="BF23" s="28">
        <v>85868462486</v>
      </c>
      <c r="BG23" s="28">
        <v>82283906075</v>
      </c>
      <c r="BH23" s="28">
        <v>81225074569</v>
      </c>
      <c r="BI23" s="28">
        <v>81393203219</v>
      </c>
      <c r="BJ23" s="28">
        <v>81450258276</v>
      </c>
      <c r="BK23" s="28" t="s">
        <v>571</v>
      </c>
      <c r="BL23" s="28">
        <v>81237344294</v>
      </c>
      <c r="BO23" s="29">
        <v>60110622</v>
      </c>
      <c r="BP23" s="18" t="s">
        <v>572</v>
      </c>
      <c r="BR23" s="8">
        <f t="shared" si="0"/>
        <v>10</v>
      </c>
    </row>
    <row r="24" spans="1:70" ht="14">
      <c r="A24" s="4" t="str">
        <v>Alternatif Periode ke-84 I.B.2</v>
      </c>
      <c r="B24" s="4" t="s">
        <v>518</v>
      </c>
      <c r="C24" s="4" t="s">
        <v>280</v>
      </c>
      <c r="D24" s="4" t="s">
        <v>558</v>
      </c>
      <c r="E24" s="4" t="s">
        <v>573</v>
      </c>
      <c r="F24" s="4" t="s">
        <v>520</v>
      </c>
      <c r="G24" s="27" t="s">
        <v>574</v>
      </c>
      <c r="H24" s="27" t="s">
        <v>575</v>
      </c>
      <c r="I24" s="27" t="s">
        <v>576</v>
      </c>
      <c r="J24" s="27" t="s">
        <v>577</v>
      </c>
      <c r="K24" s="27" t="s">
        <v>578</v>
      </c>
      <c r="L24" s="27" t="s">
        <v>579</v>
      </c>
      <c r="M24" s="27" t="s">
        <v>580</v>
      </c>
      <c r="N24" s="27" t="s">
        <v>581</v>
      </c>
      <c r="O24" s="27" t="s">
        <v>582</v>
      </c>
      <c r="S24" s="27">
        <v>1700011182</v>
      </c>
      <c r="T24" s="27">
        <v>1800018058</v>
      </c>
      <c r="U24" s="27">
        <v>1800030477</v>
      </c>
      <c r="V24" s="27">
        <v>1900001026</v>
      </c>
      <c r="W24" s="27">
        <v>1900005004</v>
      </c>
      <c r="X24" s="27">
        <v>1900016166</v>
      </c>
      <c r="Y24" s="27">
        <v>1900031209</v>
      </c>
      <c r="Z24" s="27">
        <v>1900034029</v>
      </c>
      <c r="AA24" s="27">
        <v>1900331011</v>
      </c>
      <c r="AE24" s="27" t="s">
        <v>182</v>
      </c>
      <c r="AF24" s="27" t="s">
        <v>179</v>
      </c>
      <c r="AG24" s="27" t="s">
        <v>184</v>
      </c>
      <c r="AH24" s="27" t="s">
        <v>180</v>
      </c>
      <c r="AI24" s="27" t="s">
        <v>181</v>
      </c>
      <c r="AJ24" s="27" t="s">
        <v>531</v>
      </c>
      <c r="AK24" s="27" t="s">
        <v>185</v>
      </c>
      <c r="AL24" s="27" t="s">
        <v>534</v>
      </c>
      <c r="AM24" s="27" t="s">
        <v>546</v>
      </c>
      <c r="AQ24" s="28" t="s">
        <v>186</v>
      </c>
      <c r="AR24" s="28" t="s">
        <v>187</v>
      </c>
      <c r="AS24" s="28" t="s">
        <v>187</v>
      </c>
      <c r="AT24" s="28" t="s">
        <v>187</v>
      </c>
      <c r="AU24" s="28" t="s">
        <v>186</v>
      </c>
      <c r="AV24" s="28" t="s">
        <v>186</v>
      </c>
      <c r="AW24" s="28" t="s">
        <v>186</v>
      </c>
      <c r="AX24" s="28" t="s">
        <v>186</v>
      </c>
      <c r="AY24" s="28" t="s">
        <v>187</v>
      </c>
      <c r="BC24" s="28">
        <v>81253719934</v>
      </c>
      <c r="BD24" s="28">
        <v>81282496277</v>
      </c>
      <c r="BE24" s="28">
        <v>82350003727</v>
      </c>
      <c r="BF24" s="28">
        <v>85322007747</v>
      </c>
      <c r="BG24" s="28">
        <v>89673568133</v>
      </c>
      <c r="BH24" s="28">
        <v>89672837900</v>
      </c>
      <c r="BI24" s="28">
        <v>8976886495</v>
      </c>
      <c r="BJ24" s="28">
        <v>85646603149</v>
      </c>
      <c r="BK24" s="28">
        <v>85848662002</v>
      </c>
      <c r="BO24" s="29">
        <v>60110622</v>
      </c>
      <c r="BP24" s="18" t="s">
        <v>583</v>
      </c>
      <c r="BR24" s="8">
        <f t="shared" si="0"/>
        <v>9</v>
      </c>
    </row>
    <row r="25" spans="1:70" ht="14">
      <c r="A25" s="4" t="str">
        <v>Alternatif Periode ke-84 I.B.3</v>
      </c>
      <c r="B25" s="4" t="s">
        <v>518</v>
      </c>
      <c r="C25" s="4" t="s">
        <v>299</v>
      </c>
      <c r="D25" s="4" t="s">
        <v>558</v>
      </c>
      <c r="E25" s="4" t="s">
        <v>584</v>
      </c>
      <c r="F25" s="4" t="s">
        <v>520</v>
      </c>
      <c r="G25" s="27" t="s">
        <v>585</v>
      </c>
      <c r="H25" s="27" t="s">
        <v>586</v>
      </c>
      <c r="I25" s="27" t="s">
        <v>587</v>
      </c>
      <c r="J25" s="27" t="s">
        <v>588</v>
      </c>
      <c r="K25" s="27" t="s">
        <v>589</v>
      </c>
      <c r="L25" s="27" t="s">
        <v>590</v>
      </c>
      <c r="M25" s="27" t="s">
        <v>591</v>
      </c>
      <c r="N25" s="27" t="s">
        <v>592</v>
      </c>
      <c r="O25" s="27" t="s">
        <v>593</v>
      </c>
      <c r="S25" s="27">
        <v>1700030335</v>
      </c>
      <c r="T25" s="27">
        <v>1800011241</v>
      </c>
      <c r="U25" s="27">
        <v>1800016032</v>
      </c>
      <c r="V25" s="27">
        <v>1800030363</v>
      </c>
      <c r="W25" s="27">
        <v>1900003061</v>
      </c>
      <c r="X25" s="27">
        <v>1900005260</v>
      </c>
      <c r="Y25" s="27">
        <v>1900018038</v>
      </c>
      <c r="Z25" s="27">
        <v>1900031059</v>
      </c>
      <c r="AA25" s="27">
        <v>1900331008</v>
      </c>
      <c r="AE25" s="27" t="s">
        <v>184</v>
      </c>
      <c r="AF25" s="27" t="s">
        <v>182</v>
      </c>
      <c r="AG25" s="27" t="s">
        <v>531</v>
      </c>
      <c r="AH25" s="27" t="s">
        <v>184</v>
      </c>
      <c r="AI25" s="27" t="s">
        <v>178</v>
      </c>
      <c r="AJ25" s="27" t="s">
        <v>181</v>
      </c>
      <c r="AK25" s="27" t="s">
        <v>179</v>
      </c>
      <c r="AL25" s="27" t="s">
        <v>185</v>
      </c>
      <c r="AM25" s="27" t="s">
        <v>546</v>
      </c>
      <c r="AQ25" s="28" t="s">
        <v>186</v>
      </c>
      <c r="AR25" s="28" t="s">
        <v>186</v>
      </c>
      <c r="AS25" s="28" t="s">
        <v>186</v>
      </c>
      <c r="AT25" s="28" t="s">
        <v>187</v>
      </c>
      <c r="AU25" s="28" t="s">
        <v>187</v>
      </c>
      <c r="AV25" s="28" t="s">
        <v>186</v>
      </c>
      <c r="AW25" s="28" t="s">
        <v>187</v>
      </c>
      <c r="AX25" s="28" t="s">
        <v>186</v>
      </c>
      <c r="AY25" s="28" t="s">
        <v>187</v>
      </c>
      <c r="BC25" s="28">
        <v>81393159983</v>
      </c>
      <c r="BD25" s="28">
        <v>81293370953</v>
      </c>
      <c r="BE25" s="28">
        <v>82265061407</v>
      </c>
      <c r="BF25" s="28" t="s">
        <v>594</v>
      </c>
      <c r="BG25" s="28">
        <v>88276307571</v>
      </c>
      <c r="BH25" s="28">
        <v>85747329110</v>
      </c>
      <c r="BI25" s="28">
        <v>81265166538</v>
      </c>
      <c r="BJ25" s="28">
        <v>81804539893</v>
      </c>
      <c r="BK25" s="28">
        <v>81327466106</v>
      </c>
      <c r="BO25" s="29">
        <v>60110622</v>
      </c>
      <c r="BP25" s="18" t="s">
        <v>595</v>
      </c>
      <c r="BR25" s="8">
        <f t="shared" si="0"/>
        <v>9</v>
      </c>
    </row>
    <row r="26" spans="1:70" ht="14">
      <c r="A26" s="4" t="str">
        <v>Alternatif Periode ke-84 I.C.1</v>
      </c>
      <c r="B26" s="4" t="s">
        <v>518</v>
      </c>
      <c r="C26" s="4" t="s">
        <v>320</v>
      </c>
      <c r="D26" s="4" t="s">
        <v>367</v>
      </c>
      <c r="E26" s="4" t="s">
        <v>596</v>
      </c>
      <c r="F26" s="4" t="s">
        <v>520</v>
      </c>
      <c r="G26" s="27" t="s">
        <v>597</v>
      </c>
      <c r="H26" s="27" t="s">
        <v>598</v>
      </c>
      <c r="I26" s="27" t="s">
        <v>599</v>
      </c>
      <c r="J26" s="27" t="s">
        <v>600</v>
      </c>
      <c r="K26" s="27" t="s">
        <v>601</v>
      </c>
      <c r="L26" s="27" t="s">
        <v>602</v>
      </c>
      <c r="M26" s="27" t="s">
        <v>603</v>
      </c>
      <c r="N26" s="27" t="s">
        <v>604</v>
      </c>
      <c r="O26" s="27" t="s">
        <v>605</v>
      </c>
      <c r="P26" s="27" t="s">
        <v>606</v>
      </c>
      <c r="S26" s="27">
        <v>1600030127</v>
      </c>
      <c r="T26" s="27">
        <v>1800001073</v>
      </c>
      <c r="U26" s="27">
        <v>1900003054</v>
      </c>
      <c r="V26" s="27">
        <v>1900005153</v>
      </c>
      <c r="W26" s="27">
        <v>1900011120</v>
      </c>
      <c r="X26" s="27">
        <v>1900017094</v>
      </c>
      <c r="Y26" s="27">
        <v>1900018212</v>
      </c>
      <c r="Z26" s="27">
        <v>1900026172</v>
      </c>
      <c r="AA26" s="27">
        <v>1900030172</v>
      </c>
      <c r="AB26" s="27">
        <v>1900031281</v>
      </c>
      <c r="AE26" s="27" t="s">
        <v>184</v>
      </c>
      <c r="AF26" s="27" t="s">
        <v>180</v>
      </c>
      <c r="AG26" s="27" t="s">
        <v>178</v>
      </c>
      <c r="AH26" s="27" t="s">
        <v>181</v>
      </c>
      <c r="AI26" s="27" t="s">
        <v>182</v>
      </c>
      <c r="AJ26" s="27" t="s">
        <v>183</v>
      </c>
      <c r="AK26" s="27" t="s">
        <v>179</v>
      </c>
      <c r="AL26" s="27" t="s">
        <v>570</v>
      </c>
      <c r="AM26" s="27" t="s">
        <v>184</v>
      </c>
      <c r="AN26" s="27" t="s">
        <v>185</v>
      </c>
      <c r="AQ26" s="28" t="s">
        <v>187</v>
      </c>
      <c r="AR26" s="28" t="s">
        <v>186</v>
      </c>
      <c r="AS26" s="28" t="s">
        <v>187</v>
      </c>
      <c r="AT26" s="28" t="s">
        <v>186</v>
      </c>
      <c r="AU26" s="28" t="s">
        <v>186</v>
      </c>
      <c r="AV26" s="28" t="s">
        <v>186</v>
      </c>
      <c r="AW26" s="28" t="s">
        <v>187</v>
      </c>
      <c r="AX26" s="28" t="s">
        <v>186</v>
      </c>
      <c r="AY26" s="28" t="s">
        <v>186</v>
      </c>
      <c r="AZ26" s="28" t="s">
        <v>186</v>
      </c>
      <c r="BC26" s="28">
        <v>82278838781</v>
      </c>
      <c r="BD26" s="28">
        <v>81329600176</v>
      </c>
      <c r="BE26" s="28">
        <v>85865637291</v>
      </c>
      <c r="BF26" s="28">
        <v>83184625647</v>
      </c>
      <c r="BG26" s="28">
        <v>81238923492</v>
      </c>
      <c r="BH26" s="28">
        <v>87863076347</v>
      </c>
      <c r="BI26" s="28">
        <v>82237952718</v>
      </c>
      <c r="BJ26" s="28">
        <v>895378069712</v>
      </c>
      <c r="BK26" s="28">
        <v>82244645013</v>
      </c>
      <c r="BL26" s="28">
        <v>85643800053</v>
      </c>
      <c r="BO26" s="29">
        <v>60191216</v>
      </c>
      <c r="BP26" s="18" t="s">
        <v>607</v>
      </c>
      <c r="BR26" s="8">
        <f t="shared" si="0"/>
        <v>10</v>
      </c>
    </row>
    <row r="27" spans="1:70" ht="14">
      <c r="A27" s="4" t="str">
        <v>Alternatif Periode ke-84 I.C.2</v>
      </c>
      <c r="B27" s="4" t="s">
        <v>518</v>
      </c>
      <c r="C27" s="4" t="s">
        <v>340</v>
      </c>
      <c r="D27" s="4" t="s">
        <v>367</v>
      </c>
      <c r="E27" s="4" t="s">
        <v>596</v>
      </c>
      <c r="F27" s="4" t="s">
        <v>520</v>
      </c>
      <c r="G27" s="27" t="s">
        <v>608</v>
      </c>
      <c r="H27" s="27" t="s">
        <v>609</v>
      </c>
      <c r="I27" s="27" t="s">
        <v>610</v>
      </c>
      <c r="J27" s="27" t="s">
        <v>611</v>
      </c>
      <c r="K27" s="27" t="s">
        <v>612</v>
      </c>
      <c r="L27" s="27" t="s">
        <v>613</v>
      </c>
      <c r="M27" s="27" t="s">
        <v>614</v>
      </c>
      <c r="N27" s="27" t="s">
        <v>615</v>
      </c>
      <c r="O27" s="27" t="s">
        <v>616</v>
      </c>
      <c r="S27" s="27">
        <v>1800018305</v>
      </c>
      <c r="T27" s="27">
        <v>1800030415</v>
      </c>
      <c r="U27" s="27">
        <v>1800030433</v>
      </c>
      <c r="V27" s="27">
        <v>1900001230</v>
      </c>
      <c r="W27" s="27">
        <v>1900003016</v>
      </c>
      <c r="X27" s="27">
        <v>1900005287</v>
      </c>
      <c r="Y27" s="27">
        <v>1900011237</v>
      </c>
      <c r="Z27" s="27">
        <v>1900017006</v>
      </c>
      <c r="AA27" s="27">
        <v>1900031078</v>
      </c>
      <c r="AE27" s="27" t="s">
        <v>179</v>
      </c>
      <c r="AF27" s="27" t="s">
        <v>184</v>
      </c>
      <c r="AG27" s="27" t="s">
        <v>184</v>
      </c>
      <c r="AH27" s="27" t="s">
        <v>180</v>
      </c>
      <c r="AI27" s="27" t="s">
        <v>178</v>
      </c>
      <c r="AJ27" s="27" t="s">
        <v>181</v>
      </c>
      <c r="AK27" s="27" t="s">
        <v>182</v>
      </c>
      <c r="AL27" s="27" t="s">
        <v>183</v>
      </c>
      <c r="AM27" s="27" t="s">
        <v>185</v>
      </c>
      <c r="AQ27" s="28" t="s">
        <v>187</v>
      </c>
      <c r="AR27" s="28" t="s">
        <v>186</v>
      </c>
      <c r="AS27" s="28" t="s">
        <v>187</v>
      </c>
      <c r="AT27" s="28" t="s">
        <v>186</v>
      </c>
      <c r="AU27" s="28" t="s">
        <v>187</v>
      </c>
      <c r="AV27" s="28" t="s">
        <v>186</v>
      </c>
      <c r="AW27" s="28" t="s">
        <v>186</v>
      </c>
      <c r="AX27" s="28" t="s">
        <v>186</v>
      </c>
      <c r="AY27" s="28" t="s">
        <v>186</v>
      </c>
      <c r="BC27" s="28">
        <v>82339675845</v>
      </c>
      <c r="BD27" s="28">
        <v>87861225927</v>
      </c>
      <c r="BE27" s="28">
        <v>82285262466</v>
      </c>
      <c r="BF27" s="28">
        <v>82279258129</v>
      </c>
      <c r="BG27" s="28">
        <v>8112616470</v>
      </c>
      <c r="BH27" s="28">
        <v>85600084098</v>
      </c>
      <c r="BI27" s="28">
        <v>81703275518</v>
      </c>
      <c r="BJ27" s="28">
        <v>88239502638</v>
      </c>
      <c r="BK27" s="28">
        <v>89682096392</v>
      </c>
      <c r="BO27" s="29">
        <v>60191216</v>
      </c>
      <c r="BP27" s="18" t="s">
        <v>617</v>
      </c>
      <c r="BR27" s="8">
        <f t="shared" si="0"/>
        <v>9</v>
      </c>
    </row>
    <row r="28" spans="1:70" ht="14">
      <c r="A28" s="4" t="str">
        <v>Alternatif Periode ke-84 I.C.3</v>
      </c>
      <c r="B28" s="4" t="s">
        <v>518</v>
      </c>
      <c r="C28" s="4" t="s">
        <v>360</v>
      </c>
      <c r="D28" s="4" t="s">
        <v>367</v>
      </c>
      <c r="E28" s="4" t="s">
        <v>618</v>
      </c>
      <c r="F28" s="4" t="s">
        <v>520</v>
      </c>
      <c r="G28" s="27" t="s">
        <v>619</v>
      </c>
      <c r="H28" s="27" t="s">
        <v>620</v>
      </c>
      <c r="I28" s="27" t="s">
        <v>621</v>
      </c>
      <c r="J28" s="27" t="s">
        <v>622</v>
      </c>
      <c r="K28" s="27" t="s">
        <v>623</v>
      </c>
      <c r="L28" s="27" t="s">
        <v>624</v>
      </c>
      <c r="M28" s="27" t="s">
        <v>625</v>
      </c>
      <c r="N28" s="27" t="s">
        <v>626</v>
      </c>
      <c r="O28" s="27" t="s">
        <v>627</v>
      </c>
      <c r="S28" s="27">
        <v>1700003101</v>
      </c>
      <c r="T28" s="27">
        <v>1800018040</v>
      </c>
      <c r="U28" s="27">
        <v>1900001222</v>
      </c>
      <c r="V28" s="27">
        <v>1900005148</v>
      </c>
      <c r="W28" s="27">
        <v>1900011122</v>
      </c>
      <c r="X28" s="27">
        <v>1900017051</v>
      </c>
      <c r="Y28" s="27">
        <v>1900030202</v>
      </c>
      <c r="Z28" s="27">
        <v>1900030262</v>
      </c>
      <c r="AA28" s="27">
        <v>1900031068</v>
      </c>
      <c r="AE28" s="27" t="s">
        <v>178</v>
      </c>
      <c r="AF28" s="27" t="s">
        <v>179</v>
      </c>
      <c r="AG28" s="27" t="s">
        <v>180</v>
      </c>
      <c r="AH28" s="27" t="s">
        <v>181</v>
      </c>
      <c r="AI28" s="27" t="s">
        <v>182</v>
      </c>
      <c r="AJ28" s="27" t="s">
        <v>183</v>
      </c>
      <c r="AK28" s="27" t="s">
        <v>184</v>
      </c>
      <c r="AL28" s="27" t="s">
        <v>184</v>
      </c>
      <c r="AM28" s="27" t="s">
        <v>185</v>
      </c>
      <c r="AQ28" s="28" t="s">
        <v>187</v>
      </c>
      <c r="AR28" s="28" t="s">
        <v>187</v>
      </c>
      <c r="AS28" s="28" t="s">
        <v>186</v>
      </c>
      <c r="AT28" s="28" t="s">
        <v>186</v>
      </c>
      <c r="AU28" s="28" t="s">
        <v>186</v>
      </c>
      <c r="AV28" s="28" t="s">
        <v>186</v>
      </c>
      <c r="AW28" s="28" t="s">
        <v>186</v>
      </c>
      <c r="AX28" s="28" t="s">
        <v>187</v>
      </c>
      <c r="AY28" s="28" t="s">
        <v>186</v>
      </c>
      <c r="BC28" s="28">
        <v>82247050938</v>
      </c>
      <c r="BD28" s="28">
        <v>81317517659</v>
      </c>
      <c r="BE28" s="28">
        <v>81335322168</v>
      </c>
      <c r="BF28" s="28">
        <v>82242233118</v>
      </c>
      <c r="BG28" s="28">
        <v>82144426045</v>
      </c>
      <c r="BH28" s="28">
        <v>85817057774</v>
      </c>
      <c r="BI28" s="28">
        <v>82267521561</v>
      </c>
      <c r="BJ28" s="28" t="s">
        <v>628</v>
      </c>
      <c r="BK28" s="28">
        <v>89672434599</v>
      </c>
      <c r="BO28" s="29">
        <v>60191216</v>
      </c>
      <c r="BP28" s="18" t="s">
        <v>629</v>
      </c>
      <c r="BR28" s="8">
        <f t="shared" si="0"/>
        <v>9</v>
      </c>
    </row>
    <row r="29" spans="1:70" ht="14">
      <c r="A29" s="4" t="str">
        <v>Alternatif Periode ke-84 I.D.1</v>
      </c>
      <c r="B29" s="4" t="s">
        <v>518</v>
      </c>
      <c r="C29" s="4" t="s">
        <v>379</v>
      </c>
      <c r="D29" s="4" t="s">
        <v>301</v>
      </c>
      <c r="E29" s="4" t="s">
        <v>630</v>
      </c>
      <c r="F29" s="4" t="s">
        <v>520</v>
      </c>
      <c r="G29" s="27" t="s">
        <v>631</v>
      </c>
      <c r="H29" s="27" t="s">
        <v>632</v>
      </c>
      <c r="I29" s="27" t="s">
        <v>633</v>
      </c>
      <c r="J29" s="27" t="s">
        <v>634</v>
      </c>
      <c r="K29" s="27" t="s">
        <v>635</v>
      </c>
      <c r="L29" s="27" t="s">
        <v>636</v>
      </c>
      <c r="M29" s="27" t="s">
        <v>637</v>
      </c>
      <c r="N29" s="27" t="s">
        <v>638</v>
      </c>
      <c r="O29" s="27" t="s">
        <v>639</v>
      </c>
      <c r="P29" s="27" t="s">
        <v>640</v>
      </c>
      <c r="S29" s="27">
        <v>1800018409</v>
      </c>
      <c r="T29" s="27">
        <v>1800030088</v>
      </c>
      <c r="U29" s="27">
        <v>1900001128</v>
      </c>
      <c r="V29" s="27">
        <v>1900003023</v>
      </c>
      <c r="W29" s="27">
        <v>1900005122</v>
      </c>
      <c r="X29" s="27">
        <v>1900010312</v>
      </c>
      <c r="Y29" s="27">
        <v>1900011168</v>
      </c>
      <c r="Z29" s="27">
        <v>1900017083</v>
      </c>
      <c r="AA29" s="27">
        <v>1900030228</v>
      </c>
      <c r="AB29" s="27">
        <v>1900031343</v>
      </c>
      <c r="AE29" s="27" t="s">
        <v>179</v>
      </c>
      <c r="AF29" s="27" t="s">
        <v>184</v>
      </c>
      <c r="AG29" s="27" t="s">
        <v>180</v>
      </c>
      <c r="AH29" s="27" t="s">
        <v>178</v>
      </c>
      <c r="AI29" s="27" t="s">
        <v>181</v>
      </c>
      <c r="AJ29" s="27" t="s">
        <v>532</v>
      </c>
      <c r="AK29" s="27" t="s">
        <v>182</v>
      </c>
      <c r="AL29" s="27" t="s">
        <v>183</v>
      </c>
      <c r="AM29" s="27" t="s">
        <v>184</v>
      </c>
      <c r="AN29" s="27" t="s">
        <v>185</v>
      </c>
      <c r="AQ29" s="28" t="s">
        <v>187</v>
      </c>
      <c r="AR29" s="28" t="s">
        <v>186</v>
      </c>
      <c r="AS29" s="28" t="s">
        <v>186</v>
      </c>
      <c r="AT29" s="28" t="s">
        <v>187</v>
      </c>
      <c r="AU29" s="28" t="s">
        <v>186</v>
      </c>
      <c r="AV29" s="28" t="s">
        <v>186</v>
      </c>
      <c r="AW29" s="28" t="s">
        <v>186</v>
      </c>
      <c r="AX29" s="28" t="s">
        <v>186</v>
      </c>
      <c r="AY29" s="28" t="s">
        <v>187</v>
      </c>
      <c r="AZ29" s="28" t="s">
        <v>186</v>
      </c>
      <c r="BB29" s="28"/>
      <c r="BC29" s="28">
        <v>85230013197</v>
      </c>
      <c r="BD29" s="28">
        <v>82199835456</v>
      </c>
      <c r="BE29" s="28">
        <v>87802570048</v>
      </c>
      <c r="BF29" s="28">
        <v>82180676517</v>
      </c>
      <c r="BG29" s="28">
        <v>81326572703</v>
      </c>
      <c r="BH29" s="28">
        <v>81214672211</v>
      </c>
      <c r="BI29" s="28">
        <v>89651625157</v>
      </c>
      <c r="BJ29" s="28">
        <v>895330232022</v>
      </c>
      <c r="BK29" s="28">
        <v>85366557200</v>
      </c>
      <c r="BL29" s="28">
        <v>82221942982</v>
      </c>
      <c r="BO29" s="4" t="s">
        <v>308</v>
      </c>
      <c r="BP29" s="18" t="s">
        <v>641</v>
      </c>
      <c r="BR29" s="8">
        <f t="shared" si="0"/>
        <v>10</v>
      </c>
    </row>
    <row r="30" spans="1:70" ht="14">
      <c r="A30" s="4" t="str">
        <v>Alternatif Periode ke-84 I.D.2</v>
      </c>
      <c r="B30" s="4" t="s">
        <v>518</v>
      </c>
      <c r="C30" s="4" t="s">
        <v>642</v>
      </c>
      <c r="D30" s="4" t="s">
        <v>301</v>
      </c>
      <c r="E30" s="4" t="s">
        <v>643</v>
      </c>
      <c r="F30" s="4" t="s">
        <v>520</v>
      </c>
      <c r="G30" s="27" t="s">
        <v>644</v>
      </c>
      <c r="H30" s="27" t="s">
        <v>645</v>
      </c>
      <c r="I30" s="27" t="s">
        <v>646</v>
      </c>
      <c r="J30" s="27" t="s">
        <v>647</v>
      </c>
      <c r="K30" s="27" t="s">
        <v>648</v>
      </c>
      <c r="L30" s="27" t="s">
        <v>649</v>
      </c>
      <c r="M30" s="27" t="s">
        <v>650</v>
      </c>
      <c r="N30" s="27" t="s">
        <v>651</v>
      </c>
      <c r="O30" s="27" t="s">
        <v>652</v>
      </c>
      <c r="S30" s="27">
        <v>1600003191</v>
      </c>
      <c r="T30" s="27">
        <v>1700018120</v>
      </c>
      <c r="U30" s="27">
        <v>1800017135</v>
      </c>
      <c r="V30" s="27">
        <v>1800030501</v>
      </c>
      <c r="W30" s="27">
        <v>1800030507</v>
      </c>
      <c r="X30" s="27">
        <v>1900001058</v>
      </c>
      <c r="Y30" s="27">
        <v>1900005127</v>
      </c>
      <c r="Z30" s="27">
        <v>1900011179</v>
      </c>
      <c r="AA30" s="27">
        <v>1900031140</v>
      </c>
      <c r="AE30" s="27" t="s">
        <v>178</v>
      </c>
      <c r="AF30" s="27" t="s">
        <v>179</v>
      </c>
      <c r="AG30" s="27" t="s">
        <v>183</v>
      </c>
      <c r="AH30" s="27" t="s">
        <v>184</v>
      </c>
      <c r="AI30" s="27" t="s">
        <v>184</v>
      </c>
      <c r="AJ30" s="27" t="s">
        <v>180</v>
      </c>
      <c r="AK30" s="27" t="s">
        <v>181</v>
      </c>
      <c r="AL30" s="27" t="s">
        <v>182</v>
      </c>
      <c r="AM30" s="27" t="s">
        <v>185</v>
      </c>
      <c r="AQ30" s="28" t="s">
        <v>187</v>
      </c>
      <c r="AR30" s="28" t="s">
        <v>187</v>
      </c>
      <c r="AS30" s="28" t="s">
        <v>186</v>
      </c>
      <c r="AT30" s="28" t="s">
        <v>186</v>
      </c>
      <c r="AU30" s="28" t="s">
        <v>187</v>
      </c>
      <c r="AV30" s="28" t="s">
        <v>186</v>
      </c>
      <c r="AW30" s="28" t="s">
        <v>186</v>
      </c>
      <c r="AX30" s="28" t="s">
        <v>186</v>
      </c>
      <c r="AY30" s="28" t="s">
        <v>186</v>
      </c>
      <c r="BB30" s="28"/>
      <c r="BC30" s="28">
        <v>81272185818</v>
      </c>
      <c r="BD30" s="28">
        <v>81392572417</v>
      </c>
      <c r="BE30" s="28">
        <v>83116933205</v>
      </c>
      <c r="BF30" s="28">
        <v>81393686496</v>
      </c>
      <c r="BG30" s="28">
        <v>8121003393</v>
      </c>
      <c r="BH30" s="28">
        <v>8882685910</v>
      </c>
      <c r="BI30" s="28">
        <v>81367529620</v>
      </c>
      <c r="BJ30" s="28">
        <v>85267270775</v>
      </c>
      <c r="BK30" s="28">
        <v>81373944116</v>
      </c>
      <c r="BO30" s="4" t="s">
        <v>308</v>
      </c>
      <c r="BP30" s="18" t="s">
        <v>653</v>
      </c>
      <c r="BR30" s="8">
        <f t="shared" si="0"/>
        <v>9</v>
      </c>
    </row>
    <row r="31" spans="1:70" ht="14">
      <c r="A31" s="4" t="str">
        <v>Alternatif Periode ke-84 I.D.3</v>
      </c>
      <c r="B31" s="4" t="s">
        <v>518</v>
      </c>
      <c r="C31" s="4" t="s">
        <v>654</v>
      </c>
      <c r="D31" s="4" t="s">
        <v>301</v>
      </c>
      <c r="E31" s="4" t="s">
        <v>655</v>
      </c>
      <c r="F31" s="4" t="s">
        <v>520</v>
      </c>
      <c r="G31" s="27" t="s">
        <v>656</v>
      </c>
      <c r="H31" s="27" t="s">
        <v>657</v>
      </c>
      <c r="I31" s="27" t="s">
        <v>658</v>
      </c>
      <c r="J31" s="27" t="s">
        <v>659</v>
      </c>
      <c r="K31" s="27" t="s">
        <v>660</v>
      </c>
      <c r="L31" s="27" t="s">
        <v>661</v>
      </c>
      <c r="M31" s="27" t="s">
        <v>662</v>
      </c>
      <c r="N31" s="27" t="s">
        <v>663</v>
      </c>
      <c r="O31" s="27" t="s">
        <v>664</v>
      </c>
      <c r="S31" s="27">
        <v>1600030040</v>
      </c>
      <c r="T31" s="27">
        <v>1800011014</v>
      </c>
      <c r="U31" s="27">
        <v>1800017053</v>
      </c>
      <c r="V31" s="27">
        <v>1800018081</v>
      </c>
      <c r="W31" s="27">
        <v>1800030013</v>
      </c>
      <c r="X31" s="27">
        <v>1900001076</v>
      </c>
      <c r="Y31" s="27">
        <v>1900003055</v>
      </c>
      <c r="Z31" s="27">
        <v>1900005316</v>
      </c>
      <c r="AA31" s="27">
        <v>1900031287</v>
      </c>
      <c r="AE31" s="27" t="s">
        <v>184</v>
      </c>
      <c r="AF31" s="27" t="s">
        <v>182</v>
      </c>
      <c r="AG31" s="27" t="s">
        <v>183</v>
      </c>
      <c r="AH31" s="27" t="s">
        <v>179</v>
      </c>
      <c r="AI31" s="27" t="s">
        <v>184</v>
      </c>
      <c r="AJ31" s="27" t="s">
        <v>180</v>
      </c>
      <c r="AK31" s="27" t="s">
        <v>178</v>
      </c>
      <c r="AL31" s="27" t="s">
        <v>181</v>
      </c>
      <c r="AM31" s="27" t="s">
        <v>185</v>
      </c>
      <c r="AQ31" s="28" t="s">
        <v>187</v>
      </c>
      <c r="AR31" s="28" t="s">
        <v>186</v>
      </c>
      <c r="AS31" s="28" t="s">
        <v>186</v>
      </c>
      <c r="AT31" s="28" t="s">
        <v>187</v>
      </c>
      <c r="AU31" s="28" t="s">
        <v>186</v>
      </c>
      <c r="AV31" s="28" t="s">
        <v>186</v>
      </c>
      <c r="AW31" s="28" t="s">
        <v>187</v>
      </c>
      <c r="AX31" s="28" t="s">
        <v>186</v>
      </c>
      <c r="AY31" s="28" t="s">
        <v>186</v>
      </c>
      <c r="BB31" s="28"/>
      <c r="BC31" s="28">
        <v>82288394970</v>
      </c>
      <c r="BD31" s="28">
        <v>85727510146</v>
      </c>
      <c r="BE31" s="28">
        <v>83114007899</v>
      </c>
      <c r="BF31" s="28">
        <v>82285163390</v>
      </c>
      <c r="BG31" s="28">
        <v>88232422990</v>
      </c>
      <c r="BH31" s="28">
        <v>87727506553</v>
      </c>
      <c r="BI31" s="28">
        <v>85848160490</v>
      </c>
      <c r="BJ31" s="28">
        <v>81391138821</v>
      </c>
      <c r="BK31" s="28">
        <v>89619442644</v>
      </c>
      <c r="BO31" s="4" t="s">
        <v>308</v>
      </c>
      <c r="BP31" s="18" t="s">
        <v>665</v>
      </c>
      <c r="BR31" s="8">
        <f t="shared" si="0"/>
        <v>9</v>
      </c>
    </row>
    <row r="32" spans="1:70" ht="14">
      <c r="A32" s="4" t="str">
        <v>Alternatif Periode ke-84 I.D.4</v>
      </c>
      <c r="B32" s="4" t="s">
        <v>518</v>
      </c>
      <c r="C32" s="4" t="s">
        <v>666</v>
      </c>
      <c r="D32" s="4" t="s">
        <v>301</v>
      </c>
      <c r="E32" s="4" t="s">
        <v>667</v>
      </c>
      <c r="F32" s="4" t="s">
        <v>520</v>
      </c>
      <c r="G32" s="27" t="s">
        <v>668</v>
      </c>
      <c r="H32" s="27" t="s">
        <v>669</v>
      </c>
      <c r="I32" s="27" t="s">
        <v>670</v>
      </c>
      <c r="J32" s="27" t="s">
        <v>671</v>
      </c>
      <c r="K32" s="27" t="s">
        <v>672</v>
      </c>
      <c r="L32" s="27" t="s">
        <v>673</v>
      </c>
      <c r="M32" s="27" t="s">
        <v>674</v>
      </c>
      <c r="N32" s="27" t="s">
        <v>675</v>
      </c>
      <c r="O32" s="27" t="s">
        <v>676</v>
      </c>
      <c r="S32" s="27">
        <v>1600001081</v>
      </c>
      <c r="T32" s="27">
        <v>1700016037</v>
      </c>
      <c r="U32" s="27">
        <v>1900003107</v>
      </c>
      <c r="V32" s="27">
        <v>1900010315</v>
      </c>
      <c r="W32" s="27">
        <v>1900013283</v>
      </c>
      <c r="X32" s="27">
        <v>1900028102</v>
      </c>
      <c r="Y32" s="27">
        <v>1900031074</v>
      </c>
      <c r="Z32" s="27">
        <v>1900031106</v>
      </c>
      <c r="AA32" s="27">
        <v>1900034013</v>
      </c>
      <c r="AE32" s="27" t="s">
        <v>180</v>
      </c>
      <c r="AF32" s="27" t="s">
        <v>531</v>
      </c>
      <c r="AG32" s="27" t="s">
        <v>178</v>
      </c>
      <c r="AH32" s="27" t="s">
        <v>532</v>
      </c>
      <c r="AI32" s="27" t="s">
        <v>677</v>
      </c>
      <c r="AJ32" s="27" t="s">
        <v>678</v>
      </c>
      <c r="AK32" s="27" t="s">
        <v>185</v>
      </c>
      <c r="AL32" s="27" t="s">
        <v>185</v>
      </c>
      <c r="AM32" s="27" t="s">
        <v>534</v>
      </c>
      <c r="AO32" s="28"/>
      <c r="AQ32" s="28" t="s">
        <v>187</v>
      </c>
      <c r="AR32" s="28" t="s">
        <v>187</v>
      </c>
      <c r="AS32" s="28" t="s">
        <v>186</v>
      </c>
      <c r="AT32" s="28" t="s">
        <v>186</v>
      </c>
      <c r="AU32" s="28" t="s">
        <v>186</v>
      </c>
      <c r="AV32" s="28" t="s">
        <v>187</v>
      </c>
      <c r="AW32" s="28" t="s">
        <v>187</v>
      </c>
      <c r="AX32" s="28" t="s">
        <v>186</v>
      </c>
      <c r="AY32" s="28" t="s">
        <v>186</v>
      </c>
      <c r="BB32" s="28"/>
      <c r="BC32" s="28">
        <v>81220974875</v>
      </c>
      <c r="BD32" s="28">
        <v>81327577689</v>
      </c>
      <c r="BE32" s="28">
        <v>85866909580</v>
      </c>
      <c r="BF32" s="28">
        <v>89520075719</v>
      </c>
      <c r="BG32" s="28">
        <v>81259853022</v>
      </c>
      <c r="BH32" s="28">
        <v>895423029179</v>
      </c>
      <c r="BI32" s="28">
        <v>81314160254</v>
      </c>
      <c r="BJ32" s="28">
        <v>82187566017</v>
      </c>
      <c r="BK32" s="28">
        <v>81215423061</v>
      </c>
      <c r="BO32" s="4" t="s">
        <v>308</v>
      </c>
      <c r="BP32" s="18" t="s">
        <v>679</v>
      </c>
      <c r="BR32" s="8">
        <f t="shared" si="0"/>
        <v>9</v>
      </c>
    </row>
    <row r="33" spans="1:70" ht="14">
      <c r="A33" s="4" t="str">
        <v>Alternatif Periode ke-84 II.A.1</v>
      </c>
      <c r="B33" s="4" t="s">
        <v>518</v>
      </c>
      <c r="C33" s="4" t="s">
        <v>680</v>
      </c>
      <c r="D33" s="4" t="s">
        <v>681</v>
      </c>
      <c r="E33" s="4" t="s">
        <v>682</v>
      </c>
      <c r="F33" s="4" t="s">
        <v>520</v>
      </c>
      <c r="G33" s="27" t="s">
        <v>683</v>
      </c>
      <c r="H33" s="27" t="s">
        <v>684</v>
      </c>
      <c r="I33" s="27" t="s">
        <v>685</v>
      </c>
      <c r="J33" s="27" t="s">
        <v>686</v>
      </c>
      <c r="K33" s="27" t="s">
        <v>687</v>
      </c>
      <c r="L33" s="27" t="s">
        <v>688</v>
      </c>
      <c r="M33" s="27" t="s">
        <v>689</v>
      </c>
      <c r="N33" s="27" t="s">
        <v>690</v>
      </c>
      <c r="O33" s="27" t="s">
        <v>691</v>
      </c>
      <c r="P33" s="27" t="s">
        <v>692</v>
      </c>
      <c r="S33" s="27">
        <v>1600004020</v>
      </c>
      <c r="T33" s="27">
        <v>1800018295</v>
      </c>
      <c r="U33" s="27">
        <v>1800030010</v>
      </c>
      <c r="V33" s="27">
        <v>1800030190</v>
      </c>
      <c r="W33" s="27">
        <v>1900001002</v>
      </c>
      <c r="X33" s="27">
        <v>1900003126</v>
      </c>
      <c r="Y33" s="27">
        <v>1900005118</v>
      </c>
      <c r="Z33" s="27">
        <v>1900011222</v>
      </c>
      <c r="AA33" s="27">
        <v>1900017049</v>
      </c>
      <c r="AB33" s="27">
        <v>1900031076</v>
      </c>
      <c r="AE33" s="27" t="s">
        <v>201</v>
      </c>
      <c r="AF33" s="27" t="s">
        <v>179</v>
      </c>
      <c r="AG33" s="27" t="s">
        <v>184</v>
      </c>
      <c r="AH33" s="27" t="s">
        <v>184</v>
      </c>
      <c r="AI33" s="27" t="s">
        <v>180</v>
      </c>
      <c r="AJ33" s="27" t="s">
        <v>178</v>
      </c>
      <c r="AK33" s="27" t="s">
        <v>181</v>
      </c>
      <c r="AL33" s="27" t="s">
        <v>182</v>
      </c>
      <c r="AM33" s="27" t="s">
        <v>183</v>
      </c>
      <c r="AN33" s="27" t="s">
        <v>185</v>
      </c>
      <c r="AO33" s="28"/>
      <c r="AQ33" s="28" t="s">
        <v>187</v>
      </c>
      <c r="AR33" s="28" t="s">
        <v>187</v>
      </c>
      <c r="AS33" s="28" t="s">
        <v>187</v>
      </c>
      <c r="AT33" s="28" t="s">
        <v>186</v>
      </c>
      <c r="AU33" s="28" t="s">
        <v>186</v>
      </c>
      <c r="AV33" s="28" t="s">
        <v>187</v>
      </c>
      <c r="AW33" s="28" t="s">
        <v>186</v>
      </c>
      <c r="AX33" s="28" t="s">
        <v>186</v>
      </c>
      <c r="AY33" s="28" t="s">
        <v>186</v>
      </c>
      <c r="AZ33" s="28" t="s">
        <v>186</v>
      </c>
      <c r="BB33" s="28"/>
      <c r="BC33" s="28">
        <v>81268953439</v>
      </c>
      <c r="BD33" s="28">
        <v>81947772797</v>
      </c>
      <c r="BE33" s="28">
        <v>81377546248</v>
      </c>
      <c r="BF33" s="28">
        <v>82191474211</v>
      </c>
      <c r="BG33" s="28">
        <v>85379572474</v>
      </c>
      <c r="BH33" s="28">
        <v>8993243049</v>
      </c>
      <c r="BI33" s="28">
        <v>82184764814</v>
      </c>
      <c r="BJ33" s="28">
        <v>87745501918</v>
      </c>
      <c r="BK33" s="28">
        <v>87722466200</v>
      </c>
      <c r="BL33" s="28">
        <v>85764297471</v>
      </c>
      <c r="BO33" s="29">
        <v>60150815</v>
      </c>
      <c r="BP33" s="18" t="s">
        <v>693</v>
      </c>
      <c r="BR33" s="8">
        <f t="shared" si="0"/>
        <v>10</v>
      </c>
    </row>
    <row r="34" spans="1:70" ht="14">
      <c r="A34" s="4" t="str">
        <v>Alternatif Periode ke-84 II.A.2</v>
      </c>
      <c r="B34" s="4" t="s">
        <v>518</v>
      </c>
      <c r="C34" s="4" t="s">
        <v>694</v>
      </c>
      <c r="D34" s="4" t="s">
        <v>681</v>
      </c>
      <c r="E34" s="4" t="s">
        <v>695</v>
      </c>
      <c r="F34" s="4" t="s">
        <v>520</v>
      </c>
      <c r="G34" s="27" t="s">
        <v>696</v>
      </c>
      <c r="H34" s="27" t="s">
        <v>697</v>
      </c>
      <c r="I34" s="27" t="s">
        <v>698</v>
      </c>
      <c r="J34" s="27" t="s">
        <v>699</v>
      </c>
      <c r="K34" s="27" t="s">
        <v>700</v>
      </c>
      <c r="L34" s="27" t="s">
        <v>701</v>
      </c>
      <c r="M34" s="27" t="s">
        <v>702</v>
      </c>
      <c r="N34" s="27" t="s">
        <v>703</v>
      </c>
      <c r="O34" s="27" t="s">
        <v>704</v>
      </c>
      <c r="S34" s="27">
        <v>1800011283</v>
      </c>
      <c r="T34" s="27">
        <v>1900001029</v>
      </c>
      <c r="U34" s="27">
        <v>1900004194</v>
      </c>
      <c r="V34" s="27">
        <v>1900005285</v>
      </c>
      <c r="W34" s="27">
        <v>1900017066</v>
      </c>
      <c r="X34" s="27">
        <v>1900019028</v>
      </c>
      <c r="Y34" s="27">
        <v>1900030028</v>
      </c>
      <c r="Z34" s="27">
        <v>1900030315</v>
      </c>
      <c r="AA34" s="27">
        <v>1900031037</v>
      </c>
      <c r="AE34" s="27" t="s">
        <v>182</v>
      </c>
      <c r="AF34" s="27" t="s">
        <v>180</v>
      </c>
      <c r="AG34" s="27" t="s">
        <v>201</v>
      </c>
      <c r="AH34" s="27" t="s">
        <v>181</v>
      </c>
      <c r="AI34" s="27" t="s">
        <v>183</v>
      </c>
      <c r="AJ34" s="27" t="s">
        <v>705</v>
      </c>
      <c r="AK34" s="27" t="s">
        <v>184</v>
      </c>
      <c r="AL34" s="27" t="s">
        <v>184</v>
      </c>
      <c r="AM34" s="27" t="s">
        <v>185</v>
      </c>
      <c r="AO34" s="28"/>
      <c r="AQ34" s="28" t="s">
        <v>186</v>
      </c>
      <c r="AR34" s="28" t="s">
        <v>186</v>
      </c>
      <c r="AS34" s="28" t="s">
        <v>187</v>
      </c>
      <c r="AT34" s="28" t="s">
        <v>186</v>
      </c>
      <c r="AU34" s="28" t="s">
        <v>186</v>
      </c>
      <c r="AV34" s="28" t="s">
        <v>187</v>
      </c>
      <c r="AW34" s="28" t="s">
        <v>187</v>
      </c>
      <c r="AX34" s="28" t="s">
        <v>186</v>
      </c>
      <c r="AY34" s="28" t="s">
        <v>186</v>
      </c>
      <c r="BB34" s="28"/>
      <c r="BC34" s="28">
        <v>882003983660</v>
      </c>
      <c r="BD34" s="28">
        <v>81230203302</v>
      </c>
      <c r="BE34" s="28">
        <v>85253712092</v>
      </c>
      <c r="BF34" s="28">
        <v>81548686064</v>
      </c>
      <c r="BG34" s="28">
        <v>85217338987</v>
      </c>
      <c r="BH34" s="28">
        <v>81326668073</v>
      </c>
      <c r="BI34" s="28">
        <v>81238346049</v>
      </c>
      <c r="BJ34" s="28">
        <v>89637862214</v>
      </c>
      <c r="BK34" s="28">
        <v>82269180821</v>
      </c>
      <c r="BO34" s="29">
        <v>60150815</v>
      </c>
      <c r="BP34" s="18" t="s">
        <v>706</v>
      </c>
      <c r="BR34" s="8">
        <f t="shared" si="0"/>
        <v>9</v>
      </c>
    </row>
    <row r="35" spans="1:70" ht="14">
      <c r="A35" s="4" t="str">
        <v>Alternatif Periode ke-84 II.A.3</v>
      </c>
      <c r="B35" s="4" t="s">
        <v>518</v>
      </c>
      <c r="C35" s="4" t="s">
        <v>707</v>
      </c>
      <c r="D35" s="4" t="s">
        <v>681</v>
      </c>
      <c r="E35" s="4" t="s">
        <v>708</v>
      </c>
      <c r="F35" s="4" t="s">
        <v>520</v>
      </c>
      <c r="G35" s="27" t="s">
        <v>709</v>
      </c>
      <c r="H35" s="27" t="s">
        <v>710</v>
      </c>
      <c r="I35" s="27" t="s">
        <v>711</v>
      </c>
      <c r="J35" s="27" t="s">
        <v>712</v>
      </c>
      <c r="K35" s="27" t="s">
        <v>713</v>
      </c>
      <c r="L35" s="27" t="s">
        <v>714</v>
      </c>
      <c r="M35" s="27" t="s">
        <v>715</v>
      </c>
      <c r="N35" s="27" t="s">
        <v>716</v>
      </c>
      <c r="O35" s="27" t="s">
        <v>717</v>
      </c>
      <c r="S35" s="27">
        <v>1600019050</v>
      </c>
      <c r="T35" s="27">
        <v>1700030075</v>
      </c>
      <c r="U35" s="27">
        <v>1800001037</v>
      </c>
      <c r="V35" s="27">
        <v>1800004221</v>
      </c>
      <c r="W35" s="27">
        <v>1900005333</v>
      </c>
      <c r="X35" s="27">
        <v>1900011005</v>
      </c>
      <c r="Y35" s="27">
        <v>1900017047</v>
      </c>
      <c r="Z35" s="27">
        <v>1900030313</v>
      </c>
      <c r="AA35" s="27">
        <v>1900031326</v>
      </c>
      <c r="AE35" s="27" t="s">
        <v>705</v>
      </c>
      <c r="AF35" s="27" t="s">
        <v>184</v>
      </c>
      <c r="AG35" s="27" t="s">
        <v>180</v>
      </c>
      <c r="AH35" s="27" t="s">
        <v>201</v>
      </c>
      <c r="AI35" s="27" t="s">
        <v>181</v>
      </c>
      <c r="AJ35" s="27" t="s">
        <v>182</v>
      </c>
      <c r="AK35" s="27" t="s">
        <v>183</v>
      </c>
      <c r="AL35" s="27" t="s">
        <v>184</v>
      </c>
      <c r="AM35" s="27" t="s">
        <v>185</v>
      </c>
      <c r="AO35" s="28"/>
      <c r="AQ35" s="28" t="s">
        <v>187</v>
      </c>
      <c r="AR35" s="28" t="s">
        <v>187</v>
      </c>
      <c r="AS35" s="28" t="s">
        <v>186</v>
      </c>
      <c r="AT35" s="28" t="s">
        <v>187</v>
      </c>
      <c r="AU35" s="28" t="s">
        <v>186</v>
      </c>
      <c r="AV35" s="28" t="s">
        <v>186</v>
      </c>
      <c r="AW35" s="28" t="s">
        <v>186</v>
      </c>
      <c r="AX35" s="28" t="s">
        <v>186</v>
      </c>
      <c r="AY35" s="28" t="s">
        <v>186</v>
      </c>
      <c r="BB35" s="28"/>
      <c r="BC35" s="28">
        <v>89642236639</v>
      </c>
      <c r="BD35" s="28">
        <v>85337828779</v>
      </c>
      <c r="BE35" s="28">
        <v>85218874843</v>
      </c>
      <c r="BF35" s="28">
        <v>81339850657</v>
      </c>
      <c r="BG35" s="28">
        <v>89613586290</v>
      </c>
      <c r="BH35" s="28">
        <v>81245422787</v>
      </c>
      <c r="BI35" s="28">
        <v>89648598160</v>
      </c>
      <c r="BJ35" s="28">
        <v>82242660800</v>
      </c>
      <c r="BK35" s="28">
        <v>87737891957</v>
      </c>
      <c r="BO35" s="29">
        <v>60150815</v>
      </c>
      <c r="BP35" s="18" t="s">
        <v>718</v>
      </c>
      <c r="BR35" s="8">
        <f t="shared" si="0"/>
        <v>9</v>
      </c>
    </row>
    <row r="36" spans="1:70" ht="14">
      <c r="A36" s="4" t="str">
        <v>Alternatif Periode ke-84 II.B.1</v>
      </c>
      <c r="B36" s="4" t="s">
        <v>518</v>
      </c>
      <c r="C36" s="4" t="s">
        <v>719</v>
      </c>
      <c r="D36" s="4" t="s">
        <v>720</v>
      </c>
      <c r="E36" s="4" t="s">
        <v>721</v>
      </c>
      <c r="F36" s="4" t="s">
        <v>520</v>
      </c>
      <c r="G36" s="27" t="s">
        <v>722</v>
      </c>
      <c r="H36" s="27" t="s">
        <v>723</v>
      </c>
      <c r="I36" s="27" t="s">
        <v>724</v>
      </c>
      <c r="J36" s="27" t="s">
        <v>725</v>
      </c>
      <c r="K36" s="27" t="s">
        <v>726</v>
      </c>
      <c r="L36" s="27" t="s">
        <v>727</v>
      </c>
      <c r="M36" s="27" t="s">
        <v>728</v>
      </c>
      <c r="N36" s="27" t="s">
        <v>729</v>
      </c>
      <c r="O36" s="27" t="s">
        <v>730</v>
      </c>
      <c r="P36" s="27" t="s">
        <v>731</v>
      </c>
      <c r="S36" s="27">
        <v>1800019076</v>
      </c>
      <c r="T36" s="27">
        <v>1900001007</v>
      </c>
      <c r="U36" s="27">
        <v>1900004144</v>
      </c>
      <c r="V36" s="27">
        <v>1900005090</v>
      </c>
      <c r="W36" s="27">
        <v>1900005358</v>
      </c>
      <c r="X36" s="27">
        <v>1900011156</v>
      </c>
      <c r="Y36" s="27">
        <v>1900017057</v>
      </c>
      <c r="Z36" s="27">
        <v>1900030241</v>
      </c>
      <c r="AA36" s="27">
        <v>1900030242</v>
      </c>
      <c r="AB36" s="27">
        <v>1900032018</v>
      </c>
      <c r="AE36" s="27" t="s">
        <v>705</v>
      </c>
      <c r="AF36" s="27" t="s">
        <v>180</v>
      </c>
      <c r="AG36" s="27" t="s">
        <v>201</v>
      </c>
      <c r="AH36" s="27" t="s">
        <v>181</v>
      </c>
      <c r="AI36" s="27" t="s">
        <v>181</v>
      </c>
      <c r="AJ36" s="27" t="s">
        <v>182</v>
      </c>
      <c r="AK36" s="27" t="s">
        <v>183</v>
      </c>
      <c r="AL36" s="27" t="s">
        <v>184</v>
      </c>
      <c r="AM36" s="27" t="s">
        <v>184</v>
      </c>
      <c r="AN36" s="27" t="s">
        <v>732</v>
      </c>
      <c r="AO36" s="28"/>
      <c r="AQ36" s="28" t="s">
        <v>187</v>
      </c>
      <c r="AR36" s="28" t="s">
        <v>186</v>
      </c>
      <c r="AS36" s="28" t="s">
        <v>187</v>
      </c>
      <c r="AT36" s="28" t="s">
        <v>186</v>
      </c>
      <c r="AU36" s="28" t="s">
        <v>186</v>
      </c>
      <c r="AV36" s="28" t="s">
        <v>186</v>
      </c>
      <c r="AW36" s="28" t="s">
        <v>186</v>
      </c>
      <c r="AX36" s="28" t="s">
        <v>187</v>
      </c>
      <c r="AY36" s="28" t="s">
        <v>186</v>
      </c>
      <c r="AZ36" s="28" t="s">
        <v>186</v>
      </c>
      <c r="BB36" s="28"/>
      <c r="BC36" s="28">
        <v>81251070045</v>
      </c>
      <c r="BD36" s="28">
        <v>82376858367</v>
      </c>
      <c r="BE36" s="28">
        <v>82250585602</v>
      </c>
      <c r="BF36" s="28">
        <v>82133981087</v>
      </c>
      <c r="BG36" s="28">
        <v>88239871148</v>
      </c>
      <c r="BH36" s="28">
        <v>85799697275</v>
      </c>
      <c r="BI36" s="28">
        <v>82178016289</v>
      </c>
      <c r="BJ36" s="28">
        <v>83135474147</v>
      </c>
      <c r="BK36" s="28">
        <v>895358303669</v>
      </c>
      <c r="BL36" s="28">
        <v>82296115492</v>
      </c>
      <c r="BO36" s="29">
        <v>60080554</v>
      </c>
      <c r="BP36" s="18" t="s">
        <v>733</v>
      </c>
      <c r="BR36" s="8">
        <f t="shared" si="0"/>
        <v>10</v>
      </c>
    </row>
    <row r="37" spans="1:70" ht="14">
      <c r="A37" s="4" t="str">
        <v>Alternatif Periode ke-84 II.B.2</v>
      </c>
      <c r="B37" s="4" t="s">
        <v>518</v>
      </c>
      <c r="C37" s="4" t="s">
        <v>734</v>
      </c>
      <c r="D37" s="4" t="s">
        <v>720</v>
      </c>
      <c r="E37" s="4" t="s">
        <v>735</v>
      </c>
      <c r="F37" s="4" t="s">
        <v>520</v>
      </c>
      <c r="G37" s="27" t="s">
        <v>736</v>
      </c>
      <c r="H37" s="27" t="s">
        <v>737</v>
      </c>
      <c r="I37" s="27" t="s">
        <v>738</v>
      </c>
      <c r="J37" s="27" t="s">
        <v>739</v>
      </c>
      <c r="K37" s="27" t="s">
        <v>740</v>
      </c>
      <c r="L37" s="27" t="s">
        <v>741</v>
      </c>
      <c r="M37" s="27" t="s">
        <v>742</v>
      </c>
      <c r="N37" s="27" t="s">
        <v>743</v>
      </c>
      <c r="O37" s="27" t="s">
        <v>744</v>
      </c>
      <c r="S37" s="27">
        <v>1700016072</v>
      </c>
      <c r="T37" s="27">
        <v>1800004207</v>
      </c>
      <c r="U37" s="27">
        <v>1800030441</v>
      </c>
      <c r="V37" s="27">
        <v>1800030448</v>
      </c>
      <c r="W37" s="27">
        <v>1900006075</v>
      </c>
      <c r="X37" s="27">
        <v>1900011243</v>
      </c>
      <c r="Y37" s="27">
        <v>1900017067</v>
      </c>
      <c r="Z37" s="27">
        <v>1900019040</v>
      </c>
      <c r="AA37" s="27">
        <v>1900032057</v>
      </c>
      <c r="AE37" s="27" t="s">
        <v>531</v>
      </c>
      <c r="AF37" s="27" t="s">
        <v>201</v>
      </c>
      <c r="AG37" s="27" t="s">
        <v>184</v>
      </c>
      <c r="AH37" s="27" t="s">
        <v>184</v>
      </c>
      <c r="AI37" s="27" t="s">
        <v>745</v>
      </c>
      <c r="AJ37" s="27" t="s">
        <v>182</v>
      </c>
      <c r="AK37" s="27" t="s">
        <v>183</v>
      </c>
      <c r="AL37" s="27" t="s">
        <v>705</v>
      </c>
      <c r="AM37" s="27" t="s">
        <v>732</v>
      </c>
      <c r="AO37" s="28"/>
      <c r="AQ37" s="28" t="s">
        <v>187</v>
      </c>
      <c r="AR37" s="28" t="s">
        <v>187</v>
      </c>
      <c r="AS37" s="28" t="s">
        <v>186</v>
      </c>
      <c r="AT37" s="28" t="s">
        <v>187</v>
      </c>
      <c r="AU37" s="28" t="s">
        <v>186</v>
      </c>
      <c r="AV37" s="28" t="s">
        <v>186</v>
      </c>
      <c r="AW37" s="28" t="s">
        <v>186</v>
      </c>
      <c r="AX37" s="28" t="s">
        <v>187</v>
      </c>
      <c r="AY37" s="28" t="s">
        <v>186</v>
      </c>
      <c r="BB37" s="28"/>
      <c r="BC37" s="28">
        <v>89618475958</v>
      </c>
      <c r="BD37" s="28">
        <v>82223218589</v>
      </c>
      <c r="BE37" s="28">
        <v>85813662640</v>
      </c>
      <c r="BF37" s="28">
        <v>81391121007</v>
      </c>
      <c r="BG37" s="28">
        <v>83156674249</v>
      </c>
      <c r="BH37" s="28">
        <v>85641447517</v>
      </c>
      <c r="BI37" s="28">
        <v>81804223225</v>
      </c>
      <c r="BJ37" s="28">
        <v>82284712174</v>
      </c>
      <c r="BK37" s="28">
        <v>882006849423</v>
      </c>
      <c r="BO37" s="29">
        <v>60080554</v>
      </c>
      <c r="BP37" s="18" t="s">
        <v>746</v>
      </c>
      <c r="BR37" s="8">
        <f t="shared" si="0"/>
        <v>9</v>
      </c>
    </row>
    <row r="38" spans="1:70" ht="14">
      <c r="A38" s="4" t="str">
        <v>Alternatif Periode ke-84 II.B.3</v>
      </c>
      <c r="B38" s="4" t="s">
        <v>518</v>
      </c>
      <c r="C38" s="4" t="s">
        <v>747</v>
      </c>
      <c r="D38" s="4" t="s">
        <v>720</v>
      </c>
      <c r="E38" s="4" t="s">
        <v>748</v>
      </c>
      <c r="F38" s="4" t="s">
        <v>520</v>
      </c>
      <c r="G38" s="27" t="s">
        <v>749</v>
      </c>
      <c r="H38" s="27" t="s">
        <v>750</v>
      </c>
      <c r="I38" s="27" t="s">
        <v>751</v>
      </c>
      <c r="J38" s="27" t="s">
        <v>752</v>
      </c>
      <c r="K38" s="27" t="s">
        <v>753</v>
      </c>
      <c r="L38" s="27" t="s">
        <v>754</v>
      </c>
      <c r="M38" s="27" t="s">
        <v>755</v>
      </c>
      <c r="N38" s="27" t="s">
        <v>756</v>
      </c>
      <c r="O38" s="27" t="s">
        <v>757</v>
      </c>
      <c r="S38" s="27">
        <v>1700030073</v>
      </c>
      <c r="T38" s="27">
        <v>1800004205</v>
      </c>
      <c r="U38" s="27">
        <v>1800019037</v>
      </c>
      <c r="V38" s="27">
        <v>1800030207</v>
      </c>
      <c r="W38" s="27">
        <v>1900001025</v>
      </c>
      <c r="X38" s="27">
        <v>1900006060</v>
      </c>
      <c r="Y38" s="27">
        <v>1900011151</v>
      </c>
      <c r="Z38" s="27">
        <v>1900018034</v>
      </c>
      <c r="AA38" s="27">
        <v>1900032043</v>
      </c>
      <c r="AE38" s="27" t="s">
        <v>184</v>
      </c>
      <c r="AF38" s="27" t="s">
        <v>201</v>
      </c>
      <c r="AG38" s="27" t="s">
        <v>705</v>
      </c>
      <c r="AH38" s="27" t="s">
        <v>184</v>
      </c>
      <c r="AI38" s="27" t="s">
        <v>180</v>
      </c>
      <c r="AJ38" s="27" t="s">
        <v>745</v>
      </c>
      <c r="AK38" s="27" t="s">
        <v>182</v>
      </c>
      <c r="AL38" s="27" t="s">
        <v>179</v>
      </c>
      <c r="AM38" s="27" t="s">
        <v>732</v>
      </c>
      <c r="AO38" s="28"/>
      <c r="AQ38" s="28" t="s">
        <v>187</v>
      </c>
      <c r="AR38" s="28" t="s">
        <v>187</v>
      </c>
      <c r="AS38" s="28" t="s">
        <v>187</v>
      </c>
      <c r="AT38" s="28" t="s">
        <v>186</v>
      </c>
      <c r="AU38" s="28" t="s">
        <v>186</v>
      </c>
      <c r="AV38" s="28" t="s">
        <v>186</v>
      </c>
      <c r="AW38" s="28" t="s">
        <v>186</v>
      </c>
      <c r="AX38" s="28" t="s">
        <v>186</v>
      </c>
      <c r="AY38" s="28" t="s">
        <v>186</v>
      </c>
      <c r="BC38" s="28">
        <v>89693820720</v>
      </c>
      <c r="BD38" s="28">
        <v>81344111313</v>
      </c>
      <c r="BE38" s="28">
        <v>82183721780</v>
      </c>
      <c r="BF38" s="28">
        <v>82285771750</v>
      </c>
      <c r="BG38" s="28">
        <v>87732934031</v>
      </c>
      <c r="BH38" s="28">
        <v>81325330097</v>
      </c>
      <c r="BI38" s="28">
        <v>81322947931</v>
      </c>
      <c r="BJ38" s="28">
        <v>82137593179</v>
      </c>
      <c r="BK38" s="28">
        <v>82298860933</v>
      </c>
      <c r="BO38" s="29">
        <v>60080554</v>
      </c>
      <c r="BP38" s="18" t="s">
        <v>758</v>
      </c>
      <c r="BR38" s="8">
        <f t="shared" si="0"/>
        <v>9</v>
      </c>
    </row>
    <row r="39" spans="1:70" ht="14">
      <c r="A39" s="4" t="str">
        <v>Alternatif Periode ke-84 II.B.4</v>
      </c>
      <c r="B39" s="4" t="s">
        <v>518</v>
      </c>
      <c r="C39" s="4" t="s">
        <v>759</v>
      </c>
      <c r="D39" s="4" t="s">
        <v>720</v>
      </c>
      <c r="E39" s="4" t="s">
        <v>760</v>
      </c>
      <c r="F39" s="4" t="s">
        <v>520</v>
      </c>
      <c r="G39" s="27" t="s">
        <v>761</v>
      </c>
      <c r="H39" s="27" t="s">
        <v>762</v>
      </c>
      <c r="I39" s="27" t="s">
        <v>763</v>
      </c>
      <c r="J39" s="27" t="s">
        <v>764</v>
      </c>
      <c r="K39" s="27" t="s">
        <v>765</v>
      </c>
      <c r="L39" s="27" t="s">
        <v>766</v>
      </c>
      <c r="M39" s="27" t="s">
        <v>767</v>
      </c>
      <c r="N39" s="27" t="s">
        <v>768</v>
      </c>
      <c r="O39" s="27" t="s">
        <v>769</v>
      </c>
      <c r="S39" s="27">
        <v>1600004010</v>
      </c>
      <c r="T39" s="27">
        <v>1700013254</v>
      </c>
      <c r="U39" s="27">
        <v>1800018300</v>
      </c>
      <c r="V39" s="27">
        <v>1800030107</v>
      </c>
      <c r="W39" s="27">
        <v>1900010113</v>
      </c>
      <c r="X39" s="27">
        <v>1900014040</v>
      </c>
      <c r="Y39" s="27">
        <v>1900029073</v>
      </c>
      <c r="Z39" s="27">
        <v>1900031170</v>
      </c>
      <c r="AA39" s="27">
        <v>1900034001</v>
      </c>
      <c r="AE39" s="27" t="s">
        <v>201</v>
      </c>
      <c r="AF39" s="27" t="s">
        <v>677</v>
      </c>
      <c r="AG39" s="27" t="s">
        <v>179</v>
      </c>
      <c r="AH39" s="27" t="s">
        <v>184</v>
      </c>
      <c r="AI39" s="27" t="s">
        <v>532</v>
      </c>
      <c r="AJ39" s="27" t="s">
        <v>770</v>
      </c>
      <c r="AK39" s="27" t="s">
        <v>533</v>
      </c>
      <c r="AL39" s="27" t="s">
        <v>185</v>
      </c>
      <c r="AM39" s="27" t="s">
        <v>534</v>
      </c>
      <c r="AO39" s="28"/>
      <c r="AQ39" s="28" t="s">
        <v>186</v>
      </c>
      <c r="AR39" s="28" t="s">
        <v>186</v>
      </c>
      <c r="AS39" s="28" t="s">
        <v>187</v>
      </c>
      <c r="AT39" s="28" t="s">
        <v>187</v>
      </c>
      <c r="AU39" s="28" t="s">
        <v>186</v>
      </c>
      <c r="AV39" s="28" t="s">
        <v>186</v>
      </c>
      <c r="AW39" s="28" t="s">
        <v>186</v>
      </c>
      <c r="AX39" s="28" t="s">
        <v>186</v>
      </c>
      <c r="AY39" s="28" t="s">
        <v>187</v>
      </c>
      <c r="BC39" s="28">
        <v>89639343840</v>
      </c>
      <c r="BD39" s="28">
        <v>81373864431</v>
      </c>
      <c r="BE39" s="28">
        <v>81327327478</v>
      </c>
      <c r="BF39" s="28">
        <v>85786718239</v>
      </c>
      <c r="BG39" s="28">
        <v>85691547688</v>
      </c>
      <c r="BH39" s="28">
        <v>85943071443</v>
      </c>
      <c r="BI39" s="28">
        <v>82136920042</v>
      </c>
      <c r="BJ39" s="28">
        <v>85727430279</v>
      </c>
      <c r="BK39" s="28">
        <v>82256804275</v>
      </c>
      <c r="BO39" s="29">
        <v>60080554</v>
      </c>
      <c r="BP39" s="18" t="s">
        <v>771</v>
      </c>
      <c r="BR39" s="8">
        <f t="shared" si="0"/>
        <v>9</v>
      </c>
    </row>
    <row r="40" spans="1:70" ht="14">
      <c r="A40" s="4" t="str">
        <v>Alternatif Periode ke-84 II.C.1</v>
      </c>
      <c r="B40" s="4" t="s">
        <v>518</v>
      </c>
      <c r="C40" s="4" t="s">
        <v>772</v>
      </c>
      <c r="D40" s="4" t="s">
        <v>197</v>
      </c>
      <c r="E40" s="4" t="s">
        <v>773</v>
      </c>
      <c r="F40" s="4" t="s">
        <v>520</v>
      </c>
      <c r="G40" s="27" t="s">
        <v>774</v>
      </c>
      <c r="H40" s="27" t="s">
        <v>775</v>
      </c>
      <c r="I40" s="27" t="s">
        <v>776</v>
      </c>
      <c r="J40" s="27" t="s">
        <v>777</v>
      </c>
      <c r="K40" s="27" t="s">
        <v>778</v>
      </c>
      <c r="L40" s="27" t="s">
        <v>779</v>
      </c>
      <c r="M40" s="27" t="s">
        <v>780</v>
      </c>
      <c r="N40" s="27" t="s">
        <v>781</v>
      </c>
      <c r="O40" s="27" t="s">
        <v>782</v>
      </c>
      <c r="P40" s="27" t="s">
        <v>783</v>
      </c>
      <c r="S40" s="27">
        <v>1600030155</v>
      </c>
      <c r="T40" s="27">
        <v>1700018025</v>
      </c>
      <c r="U40" s="27">
        <v>1800019093</v>
      </c>
      <c r="V40" s="27">
        <v>1800030487</v>
      </c>
      <c r="W40" s="27">
        <v>1900001204</v>
      </c>
      <c r="X40" s="27">
        <v>1900004128</v>
      </c>
      <c r="Y40" s="27">
        <v>1900011178</v>
      </c>
      <c r="Z40" s="27">
        <v>1900030122</v>
      </c>
      <c r="AA40" s="27">
        <v>1900032007</v>
      </c>
      <c r="AB40" s="27">
        <v>1911006059</v>
      </c>
      <c r="AE40" s="27" t="s">
        <v>184</v>
      </c>
      <c r="AF40" s="27" t="s">
        <v>179</v>
      </c>
      <c r="AG40" s="27" t="s">
        <v>705</v>
      </c>
      <c r="AH40" s="27" t="s">
        <v>184</v>
      </c>
      <c r="AI40" s="27" t="s">
        <v>180</v>
      </c>
      <c r="AJ40" s="27" t="s">
        <v>201</v>
      </c>
      <c r="AK40" s="27" t="s">
        <v>182</v>
      </c>
      <c r="AL40" s="27" t="s">
        <v>184</v>
      </c>
      <c r="AM40" s="27" t="s">
        <v>732</v>
      </c>
      <c r="AN40" s="27" t="s">
        <v>745</v>
      </c>
      <c r="AO40" s="28"/>
      <c r="AQ40" s="28" t="s">
        <v>187</v>
      </c>
      <c r="AR40" s="28" t="s">
        <v>186</v>
      </c>
      <c r="AS40" s="28" t="s">
        <v>187</v>
      </c>
      <c r="AT40" s="28" t="s">
        <v>186</v>
      </c>
      <c r="AU40" s="28" t="s">
        <v>186</v>
      </c>
      <c r="AV40" s="28" t="s">
        <v>187</v>
      </c>
      <c r="AW40" s="28" t="s">
        <v>186</v>
      </c>
      <c r="AX40" s="28" t="s">
        <v>186</v>
      </c>
      <c r="AY40" s="28" t="s">
        <v>186</v>
      </c>
      <c r="AZ40" s="28" t="s">
        <v>186</v>
      </c>
      <c r="BC40" s="28">
        <v>87807484905</v>
      </c>
      <c r="BD40" s="28">
        <v>82339385810</v>
      </c>
      <c r="BE40" s="28">
        <v>81217972181</v>
      </c>
      <c r="BF40" s="28">
        <v>81575159735</v>
      </c>
      <c r="BG40" s="28">
        <v>82216501877</v>
      </c>
      <c r="BH40" s="28">
        <v>82225607779</v>
      </c>
      <c r="BI40" s="28">
        <v>85238315127</v>
      </c>
      <c r="BJ40" s="28">
        <v>82197689491</v>
      </c>
      <c r="BK40" s="28">
        <v>85799830601</v>
      </c>
      <c r="BL40" s="28">
        <v>82165015437</v>
      </c>
      <c r="BO40" s="29">
        <v>60150829</v>
      </c>
      <c r="BP40" s="18" t="s">
        <v>784</v>
      </c>
      <c r="BR40" s="8">
        <f t="shared" si="0"/>
        <v>10</v>
      </c>
    </row>
    <row r="41" spans="1:70" ht="14">
      <c r="A41" s="4" t="str">
        <v>Alternatif Periode ke-84 II.C.2</v>
      </c>
      <c r="B41" s="4" t="s">
        <v>518</v>
      </c>
      <c r="C41" s="4" t="s">
        <v>785</v>
      </c>
      <c r="D41" s="4" t="s">
        <v>197</v>
      </c>
      <c r="E41" s="4" t="s">
        <v>786</v>
      </c>
      <c r="F41" s="4" t="s">
        <v>520</v>
      </c>
      <c r="G41" s="27" t="s">
        <v>787</v>
      </c>
      <c r="H41" s="27" t="s">
        <v>788</v>
      </c>
      <c r="I41" s="27" t="s">
        <v>789</v>
      </c>
      <c r="J41" s="27" t="s">
        <v>790</v>
      </c>
      <c r="K41" s="27" t="s">
        <v>791</v>
      </c>
      <c r="L41" s="27" t="s">
        <v>792</v>
      </c>
      <c r="M41" s="27" t="s">
        <v>793</v>
      </c>
      <c r="N41" s="27" t="s">
        <v>794</v>
      </c>
      <c r="O41" s="27" t="s">
        <v>795</v>
      </c>
      <c r="S41" s="27">
        <v>1700020163</v>
      </c>
      <c r="T41" s="27">
        <v>1800011126</v>
      </c>
      <c r="U41" s="27">
        <v>1800030219</v>
      </c>
      <c r="V41" s="27">
        <v>1900001211</v>
      </c>
      <c r="W41" s="27">
        <v>1900004149</v>
      </c>
      <c r="X41" s="27">
        <v>1900006066</v>
      </c>
      <c r="Y41" s="27">
        <v>1900018078</v>
      </c>
      <c r="Z41" s="27">
        <v>1900030364</v>
      </c>
      <c r="AA41" s="27">
        <v>1900032168</v>
      </c>
      <c r="AE41" s="27" t="s">
        <v>351</v>
      </c>
      <c r="AF41" s="27" t="s">
        <v>182</v>
      </c>
      <c r="AG41" s="27" t="s">
        <v>184</v>
      </c>
      <c r="AH41" s="27" t="s">
        <v>180</v>
      </c>
      <c r="AI41" s="27" t="s">
        <v>201</v>
      </c>
      <c r="AJ41" s="27" t="s">
        <v>745</v>
      </c>
      <c r="AK41" s="27" t="s">
        <v>179</v>
      </c>
      <c r="AL41" s="27" t="s">
        <v>184</v>
      </c>
      <c r="AM41" s="27" t="s">
        <v>732</v>
      </c>
      <c r="AO41" s="28"/>
      <c r="AQ41" s="28" t="s">
        <v>187</v>
      </c>
      <c r="AR41" s="28" t="s">
        <v>186</v>
      </c>
      <c r="AS41" s="28" t="s">
        <v>186</v>
      </c>
      <c r="AT41" s="28" t="s">
        <v>186</v>
      </c>
      <c r="AU41" s="28" t="s">
        <v>187</v>
      </c>
      <c r="AV41" s="28" t="s">
        <v>186</v>
      </c>
      <c r="AW41" s="28" t="s">
        <v>186</v>
      </c>
      <c r="AX41" s="28" t="s">
        <v>187</v>
      </c>
      <c r="AY41" s="28" t="s">
        <v>186</v>
      </c>
      <c r="BB41" s="28"/>
      <c r="BC41" s="28">
        <v>8994608819</v>
      </c>
      <c r="BD41" s="28">
        <v>82288166381</v>
      </c>
      <c r="BE41" s="28">
        <v>81586163426</v>
      </c>
      <c r="BF41" s="28">
        <v>85624378094</v>
      </c>
      <c r="BG41" s="28">
        <v>83151961033</v>
      </c>
      <c r="BH41" s="28">
        <v>89620995415</v>
      </c>
      <c r="BI41" s="28">
        <v>82330173294</v>
      </c>
      <c r="BJ41" s="28">
        <v>85325351383</v>
      </c>
      <c r="BK41" s="28">
        <v>81369452853</v>
      </c>
      <c r="BO41" s="29">
        <v>60150829</v>
      </c>
      <c r="BP41" s="18" t="s">
        <v>796</v>
      </c>
      <c r="BR41" s="8">
        <f t="shared" si="0"/>
        <v>9</v>
      </c>
    </row>
    <row r="42" spans="1:70" ht="14">
      <c r="A42" s="4" t="str">
        <v>Alternatif Periode ke-84 II.C.3</v>
      </c>
      <c r="B42" s="4" t="s">
        <v>518</v>
      </c>
      <c r="C42" s="4" t="s">
        <v>797</v>
      </c>
      <c r="D42" s="4" t="s">
        <v>197</v>
      </c>
      <c r="E42" s="4" t="s">
        <v>798</v>
      </c>
      <c r="F42" s="4" t="s">
        <v>520</v>
      </c>
      <c r="G42" s="27" t="s">
        <v>799</v>
      </c>
      <c r="H42" s="27" t="s">
        <v>800</v>
      </c>
      <c r="I42" s="27" t="s">
        <v>801</v>
      </c>
      <c r="J42" s="27" t="s">
        <v>802</v>
      </c>
      <c r="K42" s="27" t="s">
        <v>803</v>
      </c>
      <c r="L42" s="27" t="s">
        <v>804</v>
      </c>
      <c r="M42" s="27" t="s">
        <v>805</v>
      </c>
      <c r="N42" s="27" t="s">
        <v>806</v>
      </c>
      <c r="O42" s="27" t="s">
        <v>807</v>
      </c>
      <c r="S42" s="27">
        <v>1700001020</v>
      </c>
      <c r="T42" s="27">
        <v>1700004035</v>
      </c>
      <c r="U42" s="27">
        <v>1800020176</v>
      </c>
      <c r="V42" s="27">
        <v>1800030278</v>
      </c>
      <c r="W42" s="27">
        <v>1900011170</v>
      </c>
      <c r="X42" s="27">
        <v>1900018352</v>
      </c>
      <c r="Y42" s="27">
        <v>1900030197</v>
      </c>
      <c r="Z42" s="27">
        <v>1900032014</v>
      </c>
      <c r="AA42" s="27">
        <v>1911006063</v>
      </c>
      <c r="AE42" s="27" t="s">
        <v>180</v>
      </c>
      <c r="AF42" s="27" t="s">
        <v>201</v>
      </c>
      <c r="AG42" s="27" t="s">
        <v>351</v>
      </c>
      <c r="AH42" s="27" t="s">
        <v>184</v>
      </c>
      <c r="AI42" s="27" t="s">
        <v>182</v>
      </c>
      <c r="AJ42" s="27" t="s">
        <v>179</v>
      </c>
      <c r="AK42" s="27" t="s">
        <v>184</v>
      </c>
      <c r="AL42" s="27" t="s">
        <v>732</v>
      </c>
      <c r="AM42" s="27" t="s">
        <v>745</v>
      </c>
      <c r="AQ42" s="28" t="s">
        <v>186</v>
      </c>
      <c r="AR42" s="28" t="s">
        <v>187</v>
      </c>
      <c r="AS42" s="28" t="s">
        <v>187</v>
      </c>
      <c r="AT42" s="28" t="s">
        <v>187</v>
      </c>
      <c r="AU42" s="28" t="s">
        <v>186</v>
      </c>
      <c r="AV42" s="28" t="s">
        <v>186</v>
      </c>
      <c r="AW42" s="28" t="s">
        <v>186</v>
      </c>
      <c r="AX42" s="28" t="s">
        <v>186</v>
      </c>
      <c r="AY42" s="28" t="s">
        <v>186</v>
      </c>
      <c r="BB42" s="28"/>
      <c r="BC42" s="28">
        <v>8976623081</v>
      </c>
      <c r="BD42" s="28">
        <v>895327963770</v>
      </c>
      <c r="BE42" s="28">
        <v>88980891521</v>
      </c>
      <c r="BF42" s="28">
        <v>81344943700</v>
      </c>
      <c r="BG42" s="28">
        <v>89629840970</v>
      </c>
      <c r="BH42" s="28">
        <v>85352558149</v>
      </c>
      <c r="BI42" s="28">
        <v>82118973674</v>
      </c>
      <c r="BJ42" s="28">
        <v>88212741566</v>
      </c>
      <c r="BK42" s="28">
        <v>88299401523</v>
      </c>
      <c r="BO42" s="29">
        <v>60150829</v>
      </c>
      <c r="BP42" s="18" t="s">
        <v>808</v>
      </c>
      <c r="BR42" s="8">
        <f t="shared" si="0"/>
        <v>9</v>
      </c>
    </row>
    <row r="43" spans="1:70" ht="14">
      <c r="A43" s="4" t="str">
        <v>Alternatif Periode ke-84 II.D.1</v>
      </c>
      <c r="B43" s="4" t="s">
        <v>518</v>
      </c>
      <c r="C43" s="4" t="s">
        <v>809</v>
      </c>
      <c r="D43" s="4" t="s">
        <v>810</v>
      </c>
      <c r="E43" s="4" t="s">
        <v>811</v>
      </c>
      <c r="F43" s="4" t="s">
        <v>520</v>
      </c>
      <c r="G43" s="27" t="s">
        <v>812</v>
      </c>
      <c r="H43" s="27" t="s">
        <v>813</v>
      </c>
      <c r="I43" s="27" t="s">
        <v>814</v>
      </c>
      <c r="J43" s="27" t="s">
        <v>815</v>
      </c>
      <c r="K43" s="27" t="s">
        <v>816</v>
      </c>
      <c r="L43" s="27" t="s">
        <v>817</v>
      </c>
      <c r="M43" s="27" t="s">
        <v>818</v>
      </c>
      <c r="N43" s="27" t="s">
        <v>819</v>
      </c>
      <c r="O43" s="27" t="s">
        <v>820</v>
      </c>
      <c r="P43" s="27" t="s">
        <v>821</v>
      </c>
      <c r="S43" s="27">
        <v>1700006080</v>
      </c>
      <c r="T43" s="27">
        <v>1700018163</v>
      </c>
      <c r="U43" s="27">
        <v>1800001127</v>
      </c>
      <c r="V43" s="27">
        <v>1900004153</v>
      </c>
      <c r="W43" s="27">
        <v>1900011067</v>
      </c>
      <c r="X43" s="27">
        <v>1900020066</v>
      </c>
      <c r="Y43" s="27">
        <v>1900030086</v>
      </c>
      <c r="Z43" s="27">
        <v>1900030129</v>
      </c>
      <c r="AA43" s="27">
        <v>1900030160</v>
      </c>
      <c r="AB43" s="27">
        <v>1900032061</v>
      </c>
      <c r="AE43" s="27" t="s">
        <v>745</v>
      </c>
      <c r="AF43" s="27" t="s">
        <v>179</v>
      </c>
      <c r="AG43" s="27" t="s">
        <v>180</v>
      </c>
      <c r="AH43" s="27" t="s">
        <v>201</v>
      </c>
      <c r="AI43" s="27" t="s">
        <v>182</v>
      </c>
      <c r="AJ43" s="27" t="s">
        <v>351</v>
      </c>
      <c r="AK43" s="27" t="s">
        <v>184</v>
      </c>
      <c r="AL43" s="27" t="s">
        <v>184</v>
      </c>
      <c r="AM43" s="27" t="s">
        <v>184</v>
      </c>
      <c r="AN43" s="27" t="s">
        <v>732</v>
      </c>
      <c r="AQ43" s="28" t="s">
        <v>186</v>
      </c>
      <c r="AR43" s="28" t="s">
        <v>186</v>
      </c>
      <c r="AS43" s="28" t="s">
        <v>186</v>
      </c>
      <c r="AT43" s="28" t="s">
        <v>187</v>
      </c>
      <c r="AU43" s="28" t="s">
        <v>186</v>
      </c>
      <c r="AV43" s="28" t="s">
        <v>187</v>
      </c>
      <c r="AW43" s="28" t="s">
        <v>187</v>
      </c>
      <c r="AX43" s="28" t="s">
        <v>187</v>
      </c>
      <c r="AY43" s="28" t="s">
        <v>186</v>
      </c>
      <c r="AZ43" s="28" t="s">
        <v>186</v>
      </c>
      <c r="BB43" s="28"/>
      <c r="BC43" s="28">
        <v>895417231144</v>
      </c>
      <c r="BD43" s="28">
        <v>82293873989</v>
      </c>
      <c r="BE43" s="28">
        <v>82134366579</v>
      </c>
      <c r="BF43" s="28">
        <v>82133955422</v>
      </c>
      <c r="BG43" s="28">
        <v>85383804984</v>
      </c>
      <c r="BH43" s="28">
        <v>85820695815</v>
      </c>
      <c r="BI43" s="28" t="s">
        <v>822</v>
      </c>
      <c r="BJ43" s="28">
        <v>85225303920</v>
      </c>
      <c r="BK43" s="28">
        <v>89618483763</v>
      </c>
      <c r="BL43" s="28">
        <v>85786315498</v>
      </c>
      <c r="BO43" s="29">
        <v>60191217</v>
      </c>
      <c r="BP43" s="18" t="s">
        <v>823</v>
      </c>
      <c r="BR43" s="8">
        <f t="shared" si="0"/>
        <v>10</v>
      </c>
    </row>
    <row r="44" spans="1:70" ht="14">
      <c r="A44" s="4" t="str">
        <v>Alternatif Periode ke-84 II.D.2</v>
      </c>
      <c r="B44" s="4" t="s">
        <v>518</v>
      </c>
      <c r="C44" s="4" t="s">
        <v>824</v>
      </c>
      <c r="D44" s="4" t="s">
        <v>810</v>
      </c>
      <c r="E44" s="4" t="s">
        <v>825</v>
      </c>
      <c r="F44" s="4" t="s">
        <v>520</v>
      </c>
      <c r="G44" s="27" t="s">
        <v>826</v>
      </c>
      <c r="H44" s="27" t="s">
        <v>827</v>
      </c>
      <c r="I44" s="27" t="s">
        <v>828</v>
      </c>
      <c r="J44" s="27" t="s">
        <v>829</v>
      </c>
      <c r="K44" s="27" t="s">
        <v>830</v>
      </c>
      <c r="L44" s="27" t="s">
        <v>831</v>
      </c>
      <c r="M44" s="27" t="s">
        <v>832</v>
      </c>
      <c r="N44" s="27" t="s">
        <v>833</v>
      </c>
      <c r="O44" s="27" t="s">
        <v>834</v>
      </c>
      <c r="S44" s="27">
        <v>1700005071</v>
      </c>
      <c r="T44" s="27">
        <v>1800020144</v>
      </c>
      <c r="U44" s="27">
        <v>1800030097</v>
      </c>
      <c r="V44" s="27">
        <v>1900001072</v>
      </c>
      <c r="W44" s="27">
        <v>1900006120</v>
      </c>
      <c r="X44" s="27">
        <v>1900011214</v>
      </c>
      <c r="Y44" s="27">
        <v>1900018093</v>
      </c>
      <c r="Z44" s="27">
        <v>1900030304</v>
      </c>
      <c r="AA44" s="27">
        <v>1900032036</v>
      </c>
      <c r="AE44" s="27" t="s">
        <v>181</v>
      </c>
      <c r="AF44" s="27" t="s">
        <v>351</v>
      </c>
      <c r="AG44" s="27" t="s">
        <v>184</v>
      </c>
      <c r="AH44" s="27" t="s">
        <v>180</v>
      </c>
      <c r="AI44" s="27" t="s">
        <v>745</v>
      </c>
      <c r="AJ44" s="27" t="s">
        <v>182</v>
      </c>
      <c r="AK44" s="27" t="s">
        <v>179</v>
      </c>
      <c r="AL44" s="27" t="s">
        <v>184</v>
      </c>
      <c r="AM44" s="27" t="s">
        <v>732</v>
      </c>
      <c r="AQ44" s="28" t="s">
        <v>187</v>
      </c>
      <c r="AR44" s="28" t="s">
        <v>187</v>
      </c>
      <c r="AS44" s="28" t="s">
        <v>187</v>
      </c>
      <c r="AT44" s="28" t="s">
        <v>186</v>
      </c>
      <c r="AU44" s="28" t="s">
        <v>186</v>
      </c>
      <c r="AV44" s="28" t="s">
        <v>186</v>
      </c>
      <c r="AW44" s="28" t="s">
        <v>186</v>
      </c>
      <c r="AX44" s="28" t="s">
        <v>186</v>
      </c>
      <c r="AY44" s="28" t="s">
        <v>186</v>
      </c>
      <c r="BB44" s="28"/>
      <c r="BC44" s="28">
        <v>81392538847</v>
      </c>
      <c r="BD44" s="28">
        <v>82293302321</v>
      </c>
      <c r="BE44" s="28">
        <v>82254161338</v>
      </c>
      <c r="BF44" s="28">
        <v>895321885654</v>
      </c>
      <c r="BG44" s="28">
        <v>87788398667</v>
      </c>
      <c r="BH44" s="28">
        <v>82289896226</v>
      </c>
      <c r="BI44" s="28">
        <v>82215779976</v>
      </c>
      <c r="BJ44" s="28">
        <v>89612736066</v>
      </c>
      <c r="BK44" s="28">
        <v>81227356993</v>
      </c>
      <c r="BO44" s="29">
        <v>60191217</v>
      </c>
      <c r="BP44" s="18" t="s">
        <v>835</v>
      </c>
      <c r="BR44" s="8">
        <f t="shared" si="0"/>
        <v>9</v>
      </c>
    </row>
    <row r="45" spans="1:70" ht="14">
      <c r="A45" s="4" t="str">
        <v>Alternatif Periode ke-84 II.D.3</v>
      </c>
      <c r="B45" s="4" t="s">
        <v>518</v>
      </c>
      <c r="C45" s="4" t="s">
        <v>836</v>
      </c>
      <c r="D45" s="4" t="s">
        <v>810</v>
      </c>
      <c r="E45" s="4" t="s">
        <v>837</v>
      </c>
      <c r="F45" s="4" t="s">
        <v>520</v>
      </c>
      <c r="G45" s="27" t="s">
        <v>838</v>
      </c>
      <c r="H45" s="27" t="s">
        <v>839</v>
      </c>
      <c r="I45" s="27" t="s">
        <v>840</v>
      </c>
      <c r="J45" s="27" t="s">
        <v>841</v>
      </c>
      <c r="K45" s="27" t="s">
        <v>842</v>
      </c>
      <c r="L45" s="27" t="s">
        <v>843</v>
      </c>
      <c r="M45" s="27" t="s">
        <v>844</v>
      </c>
      <c r="N45" s="27" t="s">
        <v>845</v>
      </c>
      <c r="O45" s="27" t="s">
        <v>846</v>
      </c>
      <c r="S45" s="27">
        <v>1600001209</v>
      </c>
      <c r="T45" s="27">
        <v>1800018259</v>
      </c>
      <c r="U45" s="27">
        <v>1800020178</v>
      </c>
      <c r="V45" s="27">
        <v>1800030157</v>
      </c>
      <c r="W45" s="27">
        <v>1900005309</v>
      </c>
      <c r="X45" s="27">
        <v>1900006054</v>
      </c>
      <c r="Y45" s="27">
        <v>1900030345</v>
      </c>
      <c r="Z45" s="27">
        <v>1900032103</v>
      </c>
      <c r="AA45" s="27">
        <v>2101011160</v>
      </c>
      <c r="AD45" s="27"/>
      <c r="AE45" s="27" t="s">
        <v>180</v>
      </c>
      <c r="AF45" s="27" t="s">
        <v>179</v>
      </c>
      <c r="AG45" s="27" t="s">
        <v>351</v>
      </c>
      <c r="AH45" s="27" t="s">
        <v>184</v>
      </c>
      <c r="AI45" s="27" t="s">
        <v>181</v>
      </c>
      <c r="AJ45" s="27" t="s">
        <v>745</v>
      </c>
      <c r="AK45" s="27" t="s">
        <v>184</v>
      </c>
      <c r="AL45" s="27" t="s">
        <v>732</v>
      </c>
      <c r="AM45" s="27" t="s">
        <v>182</v>
      </c>
      <c r="AQ45" s="28" t="s">
        <v>186</v>
      </c>
      <c r="AR45" s="28" t="s">
        <v>186</v>
      </c>
      <c r="AS45" s="28" t="s">
        <v>187</v>
      </c>
      <c r="AT45" s="28" t="s">
        <v>186</v>
      </c>
      <c r="AU45" s="28" t="s">
        <v>187</v>
      </c>
      <c r="AV45" s="28" t="s">
        <v>186</v>
      </c>
      <c r="AW45" s="28" t="s">
        <v>187</v>
      </c>
      <c r="AX45" s="28" t="s">
        <v>186</v>
      </c>
      <c r="AY45" s="28" t="s">
        <v>186</v>
      </c>
      <c r="BB45" s="28"/>
      <c r="BC45" s="28">
        <v>81220235741</v>
      </c>
      <c r="BD45" s="28">
        <v>81241199637</v>
      </c>
      <c r="BE45" s="28">
        <v>81393602437</v>
      </c>
      <c r="BF45" s="28">
        <v>82133294447</v>
      </c>
      <c r="BG45" s="28">
        <v>8976156435</v>
      </c>
      <c r="BH45" s="28">
        <v>895359884070</v>
      </c>
      <c r="BI45" s="28">
        <v>895411645527</v>
      </c>
      <c r="BJ45" s="28">
        <v>82261016455</v>
      </c>
      <c r="BK45" s="28">
        <v>81370007617</v>
      </c>
      <c r="BO45" s="29">
        <v>60191217</v>
      </c>
      <c r="BP45" s="18" t="s">
        <v>847</v>
      </c>
      <c r="BR45" s="8">
        <f t="shared" si="0"/>
        <v>9</v>
      </c>
    </row>
    <row r="46" spans="1:70" ht="14">
      <c r="A46" s="4" t="str">
        <v>Alternatif Periode ke-84 III.A.1</v>
      </c>
      <c r="B46" s="4" t="s">
        <v>518</v>
      </c>
      <c r="C46" s="4" t="s">
        <v>848</v>
      </c>
      <c r="D46" s="4" t="s">
        <v>849</v>
      </c>
      <c r="E46" s="27" t="s">
        <v>850</v>
      </c>
      <c r="F46" s="4" t="s">
        <v>520</v>
      </c>
      <c r="G46" s="27" t="s">
        <v>851</v>
      </c>
      <c r="H46" s="27" t="s">
        <v>852</v>
      </c>
      <c r="I46" s="27" t="s">
        <v>853</v>
      </c>
      <c r="J46" s="27" t="s">
        <v>854</v>
      </c>
      <c r="K46" s="27" t="s">
        <v>855</v>
      </c>
      <c r="L46" s="27" t="s">
        <v>856</v>
      </c>
      <c r="M46" s="27" t="s">
        <v>857</v>
      </c>
      <c r="N46" s="27" t="s">
        <v>858</v>
      </c>
      <c r="O46" s="27" t="s">
        <v>859</v>
      </c>
      <c r="S46" s="27">
        <v>1700030179</v>
      </c>
      <c r="T46" s="27">
        <v>1800018200</v>
      </c>
      <c r="U46" s="27">
        <v>1800030490</v>
      </c>
      <c r="V46" s="27">
        <v>1900001215</v>
      </c>
      <c r="W46" s="27">
        <v>1900006053</v>
      </c>
      <c r="X46" s="27">
        <v>1900011176</v>
      </c>
      <c r="Y46" s="27">
        <v>1900020083</v>
      </c>
      <c r="Z46" s="27">
        <v>1900030167</v>
      </c>
      <c r="AA46" s="27">
        <v>1900032083</v>
      </c>
      <c r="AD46" s="27"/>
      <c r="AE46" s="27" t="s">
        <v>184</v>
      </c>
      <c r="AF46" s="27" t="s">
        <v>179</v>
      </c>
      <c r="AG46" s="27" t="s">
        <v>184</v>
      </c>
      <c r="AH46" s="27" t="s">
        <v>180</v>
      </c>
      <c r="AI46" s="27" t="s">
        <v>745</v>
      </c>
      <c r="AJ46" s="27" t="s">
        <v>182</v>
      </c>
      <c r="AK46" s="27" t="s">
        <v>351</v>
      </c>
      <c r="AL46" s="27" t="s">
        <v>184</v>
      </c>
      <c r="AM46" s="27" t="s">
        <v>732</v>
      </c>
      <c r="AQ46" s="28" t="s">
        <v>187</v>
      </c>
      <c r="AR46" s="28" t="s">
        <v>186</v>
      </c>
      <c r="AS46" s="28" t="s">
        <v>186</v>
      </c>
      <c r="AT46" s="28" t="s">
        <v>186</v>
      </c>
      <c r="AU46" s="28" t="s">
        <v>186</v>
      </c>
      <c r="AV46" s="28" t="s">
        <v>186</v>
      </c>
      <c r="AW46" s="28" t="s">
        <v>187</v>
      </c>
      <c r="AX46" s="28" t="s">
        <v>186</v>
      </c>
      <c r="AY46" s="28" t="s">
        <v>186</v>
      </c>
      <c r="BC46" s="28">
        <v>81291606423</v>
      </c>
      <c r="BD46" s="28">
        <v>6285338775294</v>
      </c>
      <c r="BE46" s="28">
        <v>895385951170</v>
      </c>
      <c r="BF46" s="28">
        <f>6285712000343</f>
        <v>6285712000343</v>
      </c>
      <c r="BG46" s="28">
        <v>85273323371</v>
      </c>
      <c r="BH46" s="28">
        <v>81324178407</v>
      </c>
      <c r="BI46" s="28">
        <v>85225515772</v>
      </c>
      <c r="BJ46" s="28">
        <v>83869580838</v>
      </c>
      <c r="BK46" s="28">
        <v>87715045490</v>
      </c>
      <c r="BO46" s="29">
        <v>60160976</v>
      </c>
      <c r="BP46" s="18" t="s">
        <v>860</v>
      </c>
      <c r="BR46" s="8">
        <f t="shared" si="0"/>
        <v>9</v>
      </c>
    </row>
    <row r="47" spans="1:70" ht="14">
      <c r="A47" s="4" t="str">
        <v>Alternatif Periode ke-84 III.A.2</v>
      </c>
      <c r="B47" s="4" t="s">
        <v>518</v>
      </c>
      <c r="C47" s="4" t="s">
        <v>861</v>
      </c>
      <c r="D47" s="4" t="s">
        <v>849</v>
      </c>
      <c r="E47" s="27" t="s">
        <v>862</v>
      </c>
      <c r="F47" s="4" t="s">
        <v>520</v>
      </c>
      <c r="G47" s="27" t="s">
        <v>863</v>
      </c>
      <c r="H47" s="27" t="s">
        <v>864</v>
      </c>
      <c r="I47" s="27" t="s">
        <v>865</v>
      </c>
      <c r="J47" s="27" t="s">
        <v>866</v>
      </c>
      <c r="K47" s="27" t="s">
        <v>867</v>
      </c>
      <c r="L47" s="27" t="s">
        <v>868</v>
      </c>
      <c r="M47" s="27" t="s">
        <v>869</v>
      </c>
      <c r="N47" s="27" t="s">
        <v>870</v>
      </c>
      <c r="O47" s="27" t="s">
        <v>871</v>
      </c>
      <c r="S47" s="27">
        <v>1701030287</v>
      </c>
      <c r="T47" s="27">
        <v>1800022031</v>
      </c>
      <c r="U47" s="27">
        <v>1800030262</v>
      </c>
      <c r="V47" s="27">
        <v>1900001052</v>
      </c>
      <c r="W47" s="27">
        <v>1900006097</v>
      </c>
      <c r="X47" s="27">
        <v>1900006114</v>
      </c>
      <c r="Y47" s="27">
        <v>1900011011</v>
      </c>
      <c r="Z47" s="27">
        <v>1900020001</v>
      </c>
      <c r="AA47" s="27">
        <v>1900032040</v>
      </c>
      <c r="AD47" s="27"/>
      <c r="AE47" s="27" t="s">
        <v>184</v>
      </c>
      <c r="AF47" s="27" t="s">
        <v>872</v>
      </c>
      <c r="AG47" s="27" t="s">
        <v>184</v>
      </c>
      <c r="AH47" s="27" t="s">
        <v>180</v>
      </c>
      <c r="AI47" s="27" t="s">
        <v>745</v>
      </c>
      <c r="AJ47" s="27" t="s">
        <v>745</v>
      </c>
      <c r="AK47" s="27" t="s">
        <v>182</v>
      </c>
      <c r="AL47" s="27" t="s">
        <v>351</v>
      </c>
      <c r="AM47" s="27" t="s">
        <v>732</v>
      </c>
      <c r="AQ47" s="28" t="s">
        <v>187</v>
      </c>
      <c r="AR47" s="28" t="s">
        <v>187</v>
      </c>
      <c r="AS47" s="28" t="s">
        <v>186</v>
      </c>
      <c r="AT47" s="28" t="s">
        <v>186</v>
      </c>
      <c r="AU47" s="28" t="s">
        <v>186</v>
      </c>
      <c r="AV47" s="28" t="s">
        <v>187</v>
      </c>
      <c r="AW47" s="28" t="s">
        <v>186</v>
      </c>
      <c r="AX47" s="28" t="s">
        <v>186</v>
      </c>
      <c r="AY47" s="28" t="s">
        <v>186</v>
      </c>
      <c r="BB47" s="28"/>
      <c r="BC47" s="28">
        <v>85770521124</v>
      </c>
      <c r="BD47" s="28">
        <v>85865471057</v>
      </c>
      <c r="BE47" s="28">
        <v>85347816836</v>
      </c>
      <c r="BF47" s="28">
        <v>81215090394</v>
      </c>
      <c r="BG47" s="28">
        <v>88224297934</v>
      </c>
      <c r="BH47" s="28">
        <v>87794471059</v>
      </c>
      <c r="BI47" s="28">
        <v>81393021510</v>
      </c>
      <c r="BJ47" s="28">
        <v>82233305941</v>
      </c>
      <c r="BK47" s="28">
        <v>88233006258</v>
      </c>
      <c r="BO47" s="29">
        <v>60160976</v>
      </c>
      <c r="BP47" s="18" t="s">
        <v>873</v>
      </c>
      <c r="BR47" s="8">
        <f t="shared" si="0"/>
        <v>9</v>
      </c>
    </row>
    <row r="48" spans="1:70" ht="14">
      <c r="A48" s="4" t="str">
        <v>Alternatif Periode ke-84 III.A.3</v>
      </c>
      <c r="B48" s="4" t="s">
        <v>518</v>
      </c>
      <c r="C48" s="4" t="s">
        <v>874</v>
      </c>
      <c r="D48" s="4" t="s">
        <v>849</v>
      </c>
      <c r="E48" s="27" t="s">
        <v>875</v>
      </c>
      <c r="F48" s="4" t="s">
        <v>520</v>
      </c>
      <c r="G48" s="27" t="s">
        <v>876</v>
      </c>
      <c r="H48" s="27" t="s">
        <v>877</v>
      </c>
      <c r="I48" s="27" t="s">
        <v>878</v>
      </c>
      <c r="J48" s="27" t="s">
        <v>879</v>
      </c>
      <c r="K48" s="27" t="s">
        <v>880</v>
      </c>
      <c r="L48" s="27" t="s">
        <v>881</v>
      </c>
      <c r="M48" s="27" t="s">
        <v>882</v>
      </c>
      <c r="N48" s="27" t="s">
        <v>883</v>
      </c>
      <c r="O48" s="27" t="s">
        <v>884</v>
      </c>
      <c r="S48" s="27">
        <v>1800006122</v>
      </c>
      <c r="T48" s="27">
        <v>1800022098</v>
      </c>
      <c r="U48" s="27">
        <v>1800030357</v>
      </c>
      <c r="V48" s="27">
        <v>1900001197</v>
      </c>
      <c r="W48" s="27">
        <v>1900006119</v>
      </c>
      <c r="X48" s="27">
        <v>1900012243</v>
      </c>
      <c r="Y48" s="27">
        <v>1900020055</v>
      </c>
      <c r="Z48" s="27">
        <v>1900030289</v>
      </c>
      <c r="AA48" s="27">
        <v>1900032029</v>
      </c>
      <c r="AD48" s="27"/>
      <c r="AE48" s="27" t="s">
        <v>745</v>
      </c>
      <c r="AF48" s="27" t="s">
        <v>872</v>
      </c>
      <c r="AG48" s="27" t="s">
        <v>184</v>
      </c>
      <c r="AH48" s="27" t="s">
        <v>180</v>
      </c>
      <c r="AI48" s="27" t="s">
        <v>745</v>
      </c>
      <c r="AJ48" s="27" t="s">
        <v>885</v>
      </c>
      <c r="AK48" s="27" t="s">
        <v>351</v>
      </c>
      <c r="AL48" s="27" t="s">
        <v>184</v>
      </c>
      <c r="AM48" s="27" t="s">
        <v>732</v>
      </c>
      <c r="AQ48" s="28" t="s">
        <v>187</v>
      </c>
      <c r="AR48" s="28" t="s">
        <v>187</v>
      </c>
      <c r="AS48" s="28" t="s">
        <v>187</v>
      </c>
      <c r="AT48" s="28" t="s">
        <v>186</v>
      </c>
      <c r="AU48" s="28" t="s">
        <v>186</v>
      </c>
      <c r="AV48" s="28" t="s">
        <v>186</v>
      </c>
      <c r="AW48" s="28" t="s">
        <v>186</v>
      </c>
      <c r="AX48" s="28" t="s">
        <v>186</v>
      </c>
      <c r="AY48" s="28" t="s">
        <v>186</v>
      </c>
      <c r="BB48" s="28"/>
      <c r="BC48" s="28">
        <v>85758164412</v>
      </c>
      <c r="BD48" s="28">
        <v>85225725571</v>
      </c>
      <c r="BE48" s="28">
        <v>82210172156</v>
      </c>
      <c r="BF48" s="28">
        <v>895609838354</v>
      </c>
      <c r="BG48" s="28">
        <v>85225353330</v>
      </c>
      <c r="BH48" s="28">
        <v>85713362679</v>
      </c>
      <c r="BI48" s="28">
        <v>89612725634</v>
      </c>
      <c r="BJ48" s="28">
        <v>85397738276</v>
      </c>
      <c r="BK48" s="28">
        <v>83131172344</v>
      </c>
      <c r="BO48" s="29">
        <v>60160976</v>
      </c>
      <c r="BP48" s="18" t="s">
        <v>886</v>
      </c>
      <c r="BR48" s="8">
        <f t="shared" si="0"/>
        <v>9</v>
      </c>
    </row>
    <row r="49" spans="1:70" ht="14">
      <c r="A49" s="4" t="str">
        <v>Alternatif Periode ke-84 III.B.1</v>
      </c>
      <c r="B49" s="4" t="s">
        <v>518</v>
      </c>
      <c r="C49" s="4" t="s">
        <v>887</v>
      </c>
      <c r="D49" s="4" t="s">
        <v>288</v>
      </c>
      <c r="E49" s="27" t="s">
        <v>888</v>
      </c>
      <c r="F49" s="4" t="s">
        <v>520</v>
      </c>
      <c r="G49" s="27" t="s">
        <v>889</v>
      </c>
      <c r="H49" s="27" t="s">
        <v>890</v>
      </c>
      <c r="I49" s="27" t="s">
        <v>891</v>
      </c>
      <c r="J49" s="27" t="s">
        <v>892</v>
      </c>
      <c r="K49" s="27" t="s">
        <v>893</v>
      </c>
      <c r="L49" s="27" t="s">
        <v>894</v>
      </c>
      <c r="M49" s="27" t="s">
        <v>895</v>
      </c>
      <c r="N49" s="27" t="s">
        <v>896</v>
      </c>
      <c r="O49" s="27" t="s">
        <v>897</v>
      </c>
      <c r="P49" s="27" t="s">
        <v>898</v>
      </c>
      <c r="S49" s="27">
        <v>1600006080</v>
      </c>
      <c r="T49" s="27">
        <v>1800023037</v>
      </c>
      <c r="U49" s="27">
        <v>1800030393</v>
      </c>
      <c r="V49" s="27">
        <v>1900001138</v>
      </c>
      <c r="W49" s="27">
        <v>1900006105</v>
      </c>
      <c r="X49" s="27">
        <v>1900012217</v>
      </c>
      <c r="Y49" s="27">
        <v>1900020094</v>
      </c>
      <c r="Z49" s="27">
        <v>1900030103</v>
      </c>
      <c r="AA49" s="27">
        <v>1900030288</v>
      </c>
      <c r="AB49" s="27">
        <v>1911032099</v>
      </c>
      <c r="AD49" s="27"/>
      <c r="AE49" s="27" t="s">
        <v>745</v>
      </c>
      <c r="AF49" s="27" t="s">
        <v>899</v>
      </c>
      <c r="AG49" s="27" t="s">
        <v>184</v>
      </c>
      <c r="AH49" s="27" t="s">
        <v>180</v>
      </c>
      <c r="AI49" s="27" t="s">
        <v>745</v>
      </c>
      <c r="AJ49" s="27" t="s">
        <v>885</v>
      </c>
      <c r="AK49" s="27" t="s">
        <v>351</v>
      </c>
      <c r="AL49" s="27" t="s">
        <v>184</v>
      </c>
      <c r="AM49" s="27" t="s">
        <v>184</v>
      </c>
      <c r="AN49" s="27" t="s">
        <v>732</v>
      </c>
      <c r="AO49" s="28"/>
      <c r="AQ49" s="28" t="s">
        <v>186</v>
      </c>
      <c r="AR49" s="28" t="s">
        <v>187</v>
      </c>
      <c r="AS49" s="28" t="s">
        <v>187</v>
      </c>
      <c r="AT49" s="28" t="s">
        <v>186</v>
      </c>
      <c r="AU49" s="28" t="s">
        <v>187</v>
      </c>
      <c r="AV49" s="28" t="s">
        <v>186</v>
      </c>
      <c r="AW49" s="28" t="s">
        <v>186</v>
      </c>
      <c r="AX49" s="28" t="s">
        <v>187</v>
      </c>
      <c r="AY49" s="28" t="s">
        <v>186</v>
      </c>
      <c r="AZ49" s="28" t="s">
        <v>186</v>
      </c>
      <c r="BC49" s="28">
        <v>82139120031</v>
      </c>
      <c r="BD49" s="28">
        <v>82242774364</v>
      </c>
      <c r="BE49" s="28">
        <v>81393088584</v>
      </c>
      <c r="BF49" s="28">
        <v>83133702864</v>
      </c>
      <c r="BG49" s="28">
        <v>82122214133</v>
      </c>
      <c r="BH49" s="28">
        <v>82134259486</v>
      </c>
      <c r="BI49" s="28">
        <v>82211534316</v>
      </c>
      <c r="BJ49" s="28">
        <v>85377350924</v>
      </c>
      <c r="BK49" s="28">
        <v>82325538741</v>
      </c>
      <c r="BL49" s="28">
        <v>85228047237</v>
      </c>
      <c r="BO49" s="29">
        <v>60150805</v>
      </c>
      <c r="BP49" s="18" t="s">
        <v>900</v>
      </c>
      <c r="BR49" s="8">
        <f t="shared" si="0"/>
        <v>10</v>
      </c>
    </row>
    <row r="50" spans="1:70" ht="14">
      <c r="A50" s="4" t="str">
        <v>Alternatif Periode ke-84 III.B.2</v>
      </c>
      <c r="B50" s="4" t="s">
        <v>518</v>
      </c>
      <c r="C50" s="4" t="s">
        <v>901</v>
      </c>
      <c r="D50" s="4" t="s">
        <v>288</v>
      </c>
      <c r="E50" s="27" t="s">
        <v>902</v>
      </c>
      <c r="F50" s="4" t="s">
        <v>520</v>
      </c>
      <c r="G50" s="27" t="s">
        <v>903</v>
      </c>
      <c r="H50" s="27" t="s">
        <v>904</v>
      </c>
      <c r="I50" s="27" t="s">
        <v>905</v>
      </c>
      <c r="J50" s="27" t="s">
        <v>906</v>
      </c>
      <c r="K50" s="27" t="s">
        <v>907</v>
      </c>
      <c r="L50" s="27" t="s">
        <v>908</v>
      </c>
      <c r="M50" s="27" t="s">
        <v>909</v>
      </c>
      <c r="N50" s="27" t="s">
        <v>910</v>
      </c>
      <c r="O50" s="27" t="s">
        <v>911</v>
      </c>
      <c r="S50" s="27">
        <v>1800023204</v>
      </c>
      <c r="T50" s="27">
        <v>1900001077</v>
      </c>
      <c r="U50" s="27">
        <v>1900006072</v>
      </c>
      <c r="V50" s="27">
        <v>1900006091</v>
      </c>
      <c r="W50" s="27">
        <v>1900013360</v>
      </c>
      <c r="X50" s="27">
        <v>1900020067</v>
      </c>
      <c r="Y50" s="27">
        <v>1900030161</v>
      </c>
      <c r="Z50" s="27">
        <v>1900030308</v>
      </c>
      <c r="AA50" s="27">
        <v>1900032204</v>
      </c>
      <c r="AD50" s="27"/>
      <c r="AE50" s="27" t="s">
        <v>899</v>
      </c>
      <c r="AF50" s="27" t="s">
        <v>180</v>
      </c>
      <c r="AG50" s="27" t="s">
        <v>745</v>
      </c>
      <c r="AH50" s="27" t="s">
        <v>745</v>
      </c>
      <c r="AI50" s="27" t="s">
        <v>677</v>
      </c>
      <c r="AJ50" s="27" t="s">
        <v>351</v>
      </c>
      <c r="AK50" s="27" t="s">
        <v>184</v>
      </c>
      <c r="AL50" s="27" t="s">
        <v>184</v>
      </c>
      <c r="AM50" s="27" t="s">
        <v>732</v>
      </c>
      <c r="AO50" s="28"/>
      <c r="AQ50" s="28" t="s">
        <v>187</v>
      </c>
      <c r="AR50" s="28" t="s">
        <v>186</v>
      </c>
      <c r="AS50" s="28" t="s">
        <v>186</v>
      </c>
      <c r="AT50" s="28" t="s">
        <v>187</v>
      </c>
      <c r="AU50" s="28" t="s">
        <v>186</v>
      </c>
      <c r="AV50" s="28" t="s">
        <v>186</v>
      </c>
      <c r="AW50" s="28" t="s">
        <v>186</v>
      </c>
      <c r="AX50" s="28" t="s">
        <v>187</v>
      </c>
      <c r="AY50" s="28" t="s">
        <v>186</v>
      </c>
      <c r="BB50" s="28"/>
      <c r="BC50" s="28">
        <v>81233870015</v>
      </c>
      <c r="BD50" s="28">
        <v>81226549358</v>
      </c>
      <c r="BE50" s="28">
        <v>87873405034</v>
      </c>
      <c r="BF50" s="28">
        <v>85853350422</v>
      </c>
      <c r="BG50" s="28">
        <v>82199980720</v>
      </c>
      <c r="BH50" s="28">
        <v>81289242326</v>
      </c>
      <c r="BI50" s="28">
        <v>82391068468</v>
      </c>
      <c r="BJ50" s="28">
        <v>82283639267</v>
      </c>
      <c r="BK50" s="28">
        <v>895360496083</v>
      </c>
      <c r="BO50" s="29">
        <v>60150805</v>
      </c>
      <c r="BP50" s="18" t="s">
        <v>912</v>
      </c>
      <c r="BR50" s="8">
        <f t="shared" si="0"/>
        <v>9</v>
      </c>
    </row>
    <row r="51" spans="1:70" ht="14">
      <c r="A51" s="4" t="str">
        <v>Alternatif Periode ke-84 III.B.3</v>
      </c>
      <c r="B51" s="4" t="s">
        <v>518</v>
      </c>
      <c r="C51" s="4" t="s">
        <v>913</v>
      </c>
      <c r="D51" s="4" t="s">
        <v>288</v>
      </c>
      <c r="E51" s="27" t="s">
        <v>914</v>
      </c>
      <c r="F51" s="4" t="s">
        <v>520</v>
      </c>
      <c r="G51" s="27" t="s">
        <v>915</v>
      </c>
      <c r="H51" s="27" t="s">
        <v>916</v>
      </c>
      <c r="I51" s="27" t="s">
        <v>917</v>
      </c>
      <c r="J51" s="27" t="s">
        <v>918</v>
      </c>
      <c r="K51" s="27" t="s">
        <v>919</v>
      </c>
      <c r="L51" s="27" t="s">
        <v>920</v>
      </c>
      <c r="M51" s="27" t="s">
        <v>921</v>
      </c>
      <c r="N51" s="27" t="s">
        <v>922</v>
      </c>
      <c r="O51" s="27" t="s">
        <v>923</v>
      </c>
      <c r="S51" s="27">
        <v>1700030235</v>
      </c>
      <c r="T51" s="27">
        <v>1800030367</v>
      </c>
      <c r="U51" s="27">
        <v>1900001091</v>
      </c>
      <c r="V51" s="27">
        <v>1900006055</v>
      </c>
      <c r="W51" s="27">
        <v>1900006125</v>
      </c>
      <c r="X51" s="27">
        <v>1900013392</v>
      </c>
      <c r="Y51" s="27">
        <v>1900020105</v>
      </c>
      <c r="Z51" s="27">
        <v>1900024015</v>
      </c>
      <c r="AA51" s="27">
        <v>1900032065</v>
      </c>
      <c r="AD51" s="27"/>
      <c r="AE51" s="27" t="s">
        <v>184</v>
      </c>
      <c r="AF51" s="27" t="s">
        <v>184</v>
      </c>
      <c r="AG51" s="27" t="s">
        <v>180</v>
      </c>
      <c r="AH51" s="27" t="s">
        <v>745</v>
      </c>
      <c r="AI51" s="27" t="s">
        <v>745</v>
      </c>
      <c r="AJ51" s="27" t="s">
        <v>677</v>
      </c>
      <c r="AK51" s="27" t="s">
        <v>351</v>
      </c>
      <c r="AL51" s="27" t="s">
        <v>924</v>
      </c>
      <c r="AM51" s="27" t="s">
        <v>732</v>
      </c>
      <c r="AO51" s="28"/>
      <c r="AQ51" s="28" t="s">
        <v>187</v>
      </c>
      <c r="AR51" s="28" t="s">
        <v>186</v>
      </c>
      <c r="AS51" s="28" t="s">
        <v>186</v>
      </c>
      <c r="AT51" s="28" t="s">
        <v>186</v>
      </c>
      <c r="AU51" s="28" t="s">
        <v>187</v>
      </c>
      <c r="AV51" s="28" t="s">
        <v>186</v>
      </c>
      <c r="AW51" s="28" t="s">
        <v>186</v>
      </c>
      <c r="AX51" s="28" t="s">
        <v>187</v>
      </c>
      <c r="AY51" s="28" t="s">
        <v>186</v>
      </c>
      <c r="BB51" s="28"/>
      <c r="BC51" s="28">
        <v>81805606756</v>
      </c>
      <c r="BD51" s="28">
        <v>88232052366</v>
      </c>
      <c r="BE51" s="28">
        <v>81218546305</v>
      </c>
      <c r="BF51" s="28">
        <v>85244559080</v>
      </c>
      <c r="BG51" s="28">
        <v>82134132308</v>
      </c>
      <c r="BH51" s="28">
        <v>81223097272</v>
      </c>
      <c r="BI51" s="28">
        <v>8976896206</v>
      </c>
      <c r="BJ51" s="28">
        <v>81325432112</v>
      </c>
      <c r="BK51" s="28">
        <v>82259659512</v>
      </c>
      <c r="BO51" s="29">
        <v>60150805</v>
      </c>
      <c r="BP51" s="18" t="s">
        <v>925</v>
      </c>
      <c r="BR51" s="8">
        <f t="shared" si="0"/>
        <v>9</v>
      </c>
    </row>
    <row r="52" spans="1:70" ht="14">
      <c r="A52" s="4" t="str">
        <v>Alternatif Periode ke-84 III.B.4</v>
      </c>
      <c r="B52" s="4" t="s">
        <v>518</v>
      </c>
      <c r="C52" s="4" t="s">
        <v>926</v>
      </c>
      <c r="D52" s="4" t="s">
        <v>288</v>
      </c>
      <c r="E52" s="27" t="s">
        <v>927</v>
      </c>
      <c r="F52" s="4" t="s">
        <v>520</v>
      </c>
      <c r="G52" s="27" t="s">
        <v>928</v>
      </c>
      <c r="H52" s="27" t="s">
        <v>929</v>
      </c>
      <c r="I52" s="27" t="s">
        <v>930</v>
      </c>
      <c r="J52" s="27" t="s">
        <v>931</v>
      </c>
      <c r="K52" s="27" t="s">
        <v>932</v>
      </c>
      <c r="L52" s="27" t="s">
        <v>933</v>
      </c>
      <c r="M52" s="27" t="s">
        <v>934</v>
      </c>
      <c r="N52" s="27" t="s">
        <v>935</v>
      </c>
      <c r="O52" s="27" t="s">
        <v>936</v>
      </c>
      <c r="S52" s="27">
        <v>1600018057</v>
      </c>
      <c r="T52" s="27">
        <v>1800028055</v>
      </c>
      <c r="U52" s="27">
        <v>1800029101</v>
      </c>
      <c r="V52" s="27">
        <v>1900004002</v>
      </c>
      <c r="W52" s="27">
        <v>1900010072</v>
      </c>
      <c r="X52" s="27">
        <v>1900015047</v>
      </c>
      <c r="Y52" s="27">
        <v>1900030258</v>
      </c>
      <c r="Z52" s="27">
        <v>1900031274</v>
      </c>
      <c r="AA52" s="27">
        <v>1900034012</v>
      </c>
      <c r="AD52" s="27"/>
      <c r="AE52" s="27" t="s">
        <v>179</v>
      </c>
      <c r="AF52" s="27" t="s">
        <v>678</v>
      </c>
      <c r="AG52" s="27" t="s">
        <v>533</v>
      </c>
      <c r="AH52" s="27" t="s">
        <v>201</v>
      </c>
      <c r="AI52" s="27" t="s">
        <v>532</v>
      </c>
      <c r="AJ52" s="27" t="s">
        <v>937</v>
      </c>
      <c r="AK52" s="27" t="s">
        <v>184</v>
      </c>
      <c r="AL52" s="27" t="s">
        <v>185</v>
      </c>
      <c r="AM52" s="27" t="s">
        <v>534</v>
      </c>
      <c r="AO52" s="28"/>
      <c r="AQ52" s="28" t="s">
        <v>187</v>
      </c>
      <c r="AR52" s="28" t="s">
        <v>186</v>
      </c>
      <c r="AS52" s="28" t="s">
        <v>186</v>
      </c>
      <c r="AT52" s="28" t="s">
        <v>186</v>
      </c>
      <c r="AU52" s="28" t="s">
        <v>186</v>
      </c>
      <c r="AV52" s="28" t="s">
        <v>186</v>
      </c>
      <c r="AW52" s="28" t="s">
        <v>187</v>
      </c>
      <c r="AX52" s="28" t="s">
        <v>186</v>
      </c>
      <c r="AY52" s="28" t="s">
        <v>187</v>
      </c>
      <c r="BB52" s="28"/>
      <c r="BC52" s="28">
        <v>85244411230</v>
      </c>
      <c r="BD52" s="28">
        <v>81228512503</v>
      </c>
      <c r="BE52" s="28">
        <v>81257652948</v>
      </c>
      <c r="BF52" s="28">
        <v>82252105309</v>
      </c>
      <c r="BG52" s="28">
        <v>85842730191</v>
      </c>
      <c r="BH52" s="28">
        <v>85867483795</v>
      </c>
      <c r="BI52" s="28">
        <v>895605808928</v>
      </c>
      <c r="BJ52" s="28">
        <v>82132089705</v>
      </c>
      <c r="BK52" s="28">
        <v>82123350179</v>
      </c>
      <c r="BO52" s="29">
        <v>60150805</v>
      </c>
      <c r="BP52" s="18" t="s">
        <v>938</v>
      </c>
      <c r="BR52" s="8">
        <f t="shared" si="0"/>
        <v>9</v>
      </c>
    </row>
    <row r="53" spans="1:70" ht="14">
      <c r="A53" s="4" t="str">
        <v>Alternatif Periode ke-84 III.C.1</v>
      </c>
      <c r="B53" s="4" t="s">
        <v>518</v>
      </c>
      <c r="C53" s="4" t="s">
        <v>939</v>
      </c>
      <c r="D53" s="4" t="s">
        <v>940</v>
      </c>
      <c r="E53" s="27" t="s">
        <v>941</v>
      </c>
      <c r="F53" s="4" t="s">
        <v>520</v>
      </c>
      <c r="G53" s="27" t="s">
        <v>942</v>
      </c>
      <c r="H53" s="27" t="s">
        <v>943</v>
      </c>
      <c r="I53" s="27" t="s">
        <v>944</v>
      </c>
      <c r="J53" s="27" t="s">
        <v>945</v>
      </c>
      <c r="K53" s="27" t="s">
        <v>946</v>
      </c>
      <c r="L53" s="27" t="s">
        <v>947</v>
      </c>
      <c r="M53" s="27" t="s">
        <v>948</v>
      </c>
      <c r="N53" s="27" t="s">
        <v>949</v>
      </c>
      <c r="O53" s="27" t="s">
        <v>950</v>
      </c>
      <c r="P53" s="27" t="s">
        <v>951</v>
      </c>
      <c r="S53" s="27">
        <v>1600024093</v>
      </c>
      <c r="T53" s="27">
        <v>1800009019</v>
      </c>
      <c r="U53" s="27">
        <v>1900001099</v>
      </c>
      <c r="V53" s="27">
        <v>1900013045</v>
      </c>
      <c r="W53" s="27">
        <v>1900020021</v>
      </c>
      <c r="X53" s="27">
        <v>1900024212</v>
      </c>
      <c r="Y53" s="27">
        <v>1900030293</v>
      </c>
      <c r="Z53" s="27">
        <v>1900031303</v>
      </c>
      <c r="AA53" s="27">
        <v>1900032045</v>
      </c>
      <c r="AB53" s="27">
        <v>1911006085</v>
      </c>
      <c r="AD53" s="27"/>
      <c r="AE53" s="27" t="s">
        <v>924</v>
      </c>
      <c r="AF53" s="27" t="s">
        <v>952</v>
      </c>
      <c r="AG53" s="27" t="s">
        <v>180</v>
      </c>
      <c r="AH53" s="27" t="s">
        <v>677</v>
      </c>
      <c r="AI53" s="27" t="s">
        <v>351</v>
      </c>
      <c r="AJ53" s="27" t="s">
        <v>924</v>
      </c>
      <c r="AK53" s="27" t="s">
        <v>184</v>
      </c>
      <c r="AL53" s="27" t="s">
        <v>185</v>
      </c>
      <c r="AM53" s="27" t="s">
        <v>732</v>
      </c>
      <c r="AN53" s="27" t="s">
        <v>745</v>
      </c>
      <c r="AO53" s="28"/>
      <c r="AQ53" s="28" t="s">
        <v>187</v>
      </c>
      <c r="AR53" s="28" t="s">
        <v>187</v>
      </c>
      <c r="AS53" s="28" t="s">
        <v>186</v>
      </c>
      <c r="AT53" s="28" t="s">
        <v>186</v>
      </c>
      <c r="AU53" s="28" t="s">
        <v>186</v>
      </c>
      <c r="AV53" s="28" t="s">
        <v>187</v>
      </c>
      <c r="AW53" s="28" t="s">
        <v>186</v>
      </c>
      <c r="AX53" s="28" t="s">
        <v>187</v>
      </c>
      <c r="AY53" s="28" t="s">
        <v>186</v>
      </c>
      <c r="AZ53" s="28" t="s">
        <v>186</v>
      </c>
      <c r="BB53" s="28"/>
      <c r="BC53" s="28">
        <v>85923333156</v>
      </c>
      <c r="BD53" s="30" t="s">
        <v>953</v>
      </c>
      <c r="BE53" s="28">
        <v>81210591351</v>
      </c>
      <c r="BF53" s="28">
        <v>895422408218</v>
      </c>
      <c r="BG53" s="28">
        <v>82118213286</v>
      </c>
      <c r="BH53" s="28">
        <v>81808315774</v>
      </c>
      <c r="BI53" s="28">
        <v>89509043612</v>
      </c>
      <c r="BJ53" s="28">
        <v>81328983615</v>
      </c>
      <c r="BK53" s="28">
        <v>82334357503</v>
      </c>
      <c r="BL53" s="28">
        <v>87744671196</v>
      </c>
      <c r="BO53" s="29">
        <v>60150790</v>
      </c>
      <c r="BP53" s="18" t="s">
        <v>954</v>
      </c>
      <c r="BR53" s="8">
        <f t="shared" si="0"/>
        <v>10</v>
      </c>
    </row>
    <row r="54" spans="1:70" ht="14">
      <c r="A54" s="4" t="str">
        <v>Alternatif Periode ke-84 III.C.2</v>
      </c>
      <c r="B54" s="4" t="s">
        <v>518</v>
      </c>
      <c r="C54" s="4" t="s">
        <v>955</v>
      </c>
      <c r="D54" s="4" t="s">
        <v>940</v>
      </c>
      <c r="E54" s="27" t="s">
        <v>956</v>
      </c>
      <c r="F54" s="4" t="s">
        <v>520</v>
      </c>
      <c r="G54" s="27" t="s">
        <v>957</v>
      </c>
      <c r="H54" s="27" t="s">
        <v>958</v>
      </c>
      <c r="I54" s="27" t="s">
        <v>959</v>
      </c>
      <c r="J54" s="27" t="s">
        <v>960</v>
      </c>
      <c r="K54" s="27" t="s">
        <v>961</v>
      </c>
      <c r="L54" s="27" t="s">
        <v>962</v>
      </c>
      <c r="M54" s="27" t="s">
        <v>963</v>
      </c>
      <c r="N54" s="27" t="s">
        <v>964</v>
      </c>
      <c r="O54" s="27" t="s">
        <v>965</v>
      </c>
      <c r="S54" s="27">
        <v>1800001177</v>
      </c>
      <c r="T54" s="27">
        <v>1800009059</v>
      </c>
      <c r="U54" s="27">
        <v>1800024044</v>
      </c>
      <c r="V54" s="27">
        <v>1800032076</v>
      </c>
      <c r="W54" s="27">
        <v>1900006061</v>
      </c>
      <c r="X54" s="27">
        <v>1900013098</v>
      </c>
      <c r="Y54" s="27">
        <v>1900020005</v>
      </c>
      <c r="Z54" s="27">
        <v>1900030227</v>
      </c>
      <c r="AA54" s="27">
        <v>1900031080</v>
      </c>
      <c r="AD54" s="27"/>
      <c r="AE54" s="27" t="s">
        <v>180</v>
      </c>
      <c r="AF54" s="27" t="s">
        <v>952</v>
      </c>
      <c r="AG54" s="27" t="s">
        <v>924</v>
      </c>
      <c r="AH54" s="27" t="s">
        <v>732</v>
      </c>
      <c r="AI54" s="27" t="s">
        <v>745</v>
      </c>
      <c r="AJ54" s="27" t="s">
        <v>677</v>
      </c>
      <c r="AK54" s="27" t="s">
        <v>351</v>
      </c>
      <c r="AL54" s="27" t="s">
        <v>184</v>
      </c>
      <c r="AM54" s="27" t="s">
        <v>185</v>
      </c>
      <c r="AO54" s="28"/>
      <c r="AQ54" s="28" t="s">
        <v>186</v>
      </c>
      <c r="AR54" s="28" t="s">
        <v>187</v>
      </c>
      <c r="AS54" s="28" t="s">
        <v>187</v>
      </c>
      <c r="AT54" s="28" t="s">
        <v>186</v>
      </c>
      <c r="AU54" s="28" t="s">
        <v>186</v>
      </c>
      <c r="AV54" s="28" t="s">
        <v>186</v>
      </c>
      <c r="AW54" s="28" t="s">
        <v>186</v>
      </c>
      <c r="AX54" s="28" t="s">
        <v>186</v>
      </c>
      <c r="AY54" s="28" t="s">
        <v>187</v>
      </c>
      <c r="BB54" s="28"/>
      <c r="BC54" s="28">
        <v>813744444306</v>
      </c>
      <c r="BD54" s="28">
        <v>87850563222</v>
      </c>
      <c r="BE54" s="28">
        <v>82198365517</v>
      </c>
      <c r="BF54" s="28">
        <v>85750147068</v>
      </c>
      <c r="BG54" s="28">
        <v>88706399460</v>
      </c>
      <c r="BH54" s="28">
        <v>89674023038</v>
      </c>
      <c r="BI54" s="28">
        <v>81380699700</v>
      </c>
      <c r="BJ54" s="28">
        <v>82223255611</v>
      </c>
      <c r="BK54" s="28">
        <v>82285687516</v>
      </c>
      <c r="BO54" s="29">
        <v>60150790</v>
      </c>
      <c r="BP54" s="18" t="s">
        <v>966</v>
      </c>
      <c r="BR54" s="8">
        <f t="shared" si="0"/>
        <v>9</v>
      </c>
    </row>
    <row r="55" spans="1:70" ht="14">
      <c r="A55" s="4" t="str">
        <v>Alternatif Periode ke-84 III.C.3</v>
      </c>
      <c r="B55" s="4" t="s">
        <v>518</v>
      </c>
      <c r="C55" s="4" t="s">
        <v>967</v>
      </c>
      <c r="D55" s="4" t="s">
        <v>940</v>
      </c>
      <c r="E55" s="4" t="s">
        <v>968</v>
      </c>
      <c r="F55" s="4" t="s">
        <v>520</v>
      </c>
      <c r="G55" s="27" t="s">
        <v>969</v>
      </c>
      <c r="H55" s="27" t="s">
        <v>970</v>
      </c>
      <c r="I55" s="27" t="s">
        <v>971</v>
      </c>
      <c r="J55" s="27" t="s">
        <v>972</v>
      </c>
      <c r="K55" s="27" t="s">
        <v>973</v>
      </c>
      <c r="L55" s="27" t="s">
        <v>974</v>
      </c>
      <c r="M55" s="27" t="s">
        <v>975</v>
      </c>
      <c r="N55" s="27" t="s">
        <v>976</v>
      </c>
      <c r="O55" s="27" t="s">
        <v>977</v>
      </c>
      <c r="S55" s="27">
        <v>1700013163</v>
      </c>
      <c r="T55" s="27">
        <v>1800024086</v>
      </c>
      <c r="U55" s="27">
        <v>1900001196</v>
      </c>
      <c r="V55" s="27">
        <v>1900006058</v>
      </c>
      <c r="W55" s="27">
        <v>1900009039</v>
      </c>
      <c r="X55" s="27">
        <v>1900020099</v>
      </c>
      <c r="Y55" s="27">
        <v>1900031039</v>
      </c>
      <c r="Z55" s="27">
        <v>1900031049</v>
      </c>
      <c r="AA55" s="27">
        <v>1900032130</v>
      </c>
      <c r="AE55" s="27" t="s">
        <v>677</v>
      </c>
      <c r="AF55" s="27" t="s">
        <v>924</v>
      </c>
      <c r="AG55" s="27" t="s">
        <v>180</v>
      </c>
      <c r="AH55" s="27" t="s">
        <v>745</v>
      </c>
      <c r="AI55" s="27" t="s">
        <v>952</v>
      </c>
      <c r="AJ55" s="27" t="s">
        <v>351</v>
      </c>
      <c r="AK55" s="27" t="s">
        <v>185</v>
      </c>
      <c r="AL55" s="27" t="s">
        <v>185</v>
      </c>
      <c r="AM55" s="27" t="s">
        <v>732</v>
      </c>
      <c r="AO55" s="28"/>
      <c r="AQ55" s="28" t="s">
        <v>186</v>
      </c>
      <c r="AR55" s="28" t="s">
        <v>187</v>
      </c>
      <c r="AS55" s="28" t="s">
        <v>186</v>
      </c>
      <c r="AT55" s="28" t="s">
        <v>186</v>
      </c>
      <c r="AU55" s="28" t="s">
        <v>187</v>
      </c>
      <c r="AV55" s="28" t="s">
        <v>186</v>
      </c>
      <c r="AW55" s="28" t="s">
        <v>186</v>
      </c>
      <c r="AX55" s="28" t="s">
        <v>187</v>
      </c>
      <c r="AY55" s="28" t="s">
        <v>186</v>
      </c>
      <c r="BB55" s="28"/>
      <c r="BC55" s="30" t="s">
        <v>978</v>
      </c>
      <c r="BD55" s="30" t="s">
        <v>979</v>
      </c>
      <c r="BE55" s="30" t="s">
        <v>980</v>
      </c>
      <c r="BF55" s="30" t="s">
        <v>981</v>
      </c>
      <c r="BG55" s="30" t="s">
        <v>982</v>
      </c>
      <c r="BH55" s="30" t="s">
        <v>983</v>
      </c>
      <c r="BI55" s="30" t="s">
        <v>984</v>
      </c>
      <c r="BJ55" s="30" t="s">
        <v>985</v>
      </c>
      <c r="BK55" s="30" t="s">
        <v>986</v>
      </c>
      <c r="BL55" s="31"/>
      <c r="BM55" s="31"/>
      <c r="BO55" s="29">
        <v>60150790</v>
      </c>
      <c r="BP55" s="18" t="s">
        <v>987</v>
      </c>
      <c r="BR55" s="8">
        <f t="shared" si="0"/>
        <v>9</v>
      </c>
    </row>
    <row r="56" spans="1:70" ht="14">
      <c r="A56" s="4" t="str">
        <v>Alternatif Periode ke-84 III.C.4</v>
      </c>
      <c r="B56" s="4" t="s">
        <v>518</v>
      </c>
      <c r="C56" s="4" t="s">
        <v>988</v>
      </c>
      <c r="D56" s="4" t="s">
        <v>940</v>
      </c>
      <c r="E56" s="4" t="s">
        <v>989</v>
      </c>
      <c r="F56" s="4" t="s">
        <v>520</v>
      </c>
      <c r="G56" s="27" t="s">
        <v>990</v>
      </c>
      <c r="H56" s="27" t="s">
        <v>991</v>
      </c>
      <c r="I56" s="27" t="s">
        <v>992</v>
      </c>
      <c r="J56" s="27" t="s">
        <v>993</v>
      </c>
      <c r="K56" s="27" t="s">
        <v>994</v>
      </c>
      <c r="L56" s="27" t="s">
        <v>995</v>
      </c>
      <c r="M56" s="27" t="s">
        <v>996</v>
      </c>
      <c r="N56" s="27" t="s">
        <v>997</v>
      </c>
      <c r="O56" s="27" t="s">
        <v>998</v>
      </c>
      <c r="S56" s="27">
        <v>1700016022</v>
      </c>
      <c r="T56" s="27">
        <v>1800010121</v>
      </c>
      <c r="U56" s="27">
        <v>1800018318</v>
      </c>
      <c r="V56" s="27">
        <v>1800030230</v>
      </c>
      <c r="W56" s="27">
        <v>1900004009</v>
      </c>
      <c r="X56" s="27">
        <v>1900029177</v>
      </c>
      <c r="Y56" s="27">
        <v>1900030323</v>
      </c>
      <c r="Z56" s="27">
        <v>1900031359</v>
      </c>
      <c r="AA56" s="27">
        <v>1900034049</v>
      </c>
      <c r="AE56" s="27" t="s">
        <v>531</v>
      </c>
      <c r="AF56" s="27" t="s">
        <v>532</v>
      </c>
      <c r="AG56" s="27" t="s">
        <v>179</v>
      </c>
      <c r="AH56" s="27" t="s">
        <v>184</v>
      </c>
      <c r="AI56" s="27" t="s">
        <v>201</v>
      </c>
      <c r="AJ56" s="27" t="s">
        <v>533</v>
      </c>
      <c r="AK56" s="27" t="s">
        <v>184</v>
      </c>
      <c r="AL56" s="27" t="s">
        <v>185</v>
      </c>
      <c r="AM56" s="27" t="s">
        <v>534</v>
      </c>
      <c r="AO56" s="28"/>
      <c r="AQ56" s="28" t="s">
        <v>186</v>
      </c>
      <c r="AR56" s="28" t="s">
        <v>186</v>
      </c>
      <c r="AS56" s="28" t="s">
        <v>187</v>
      </c>
      <c r="AT56" s="28" t="s">
        <v>187</v>
      </c>
      <c r="AU56" s="28" t="s">
        <v>186</v>
      </c>
      <c r="AV56" s="28" t="s">
        <v>186</v>
      </c>
      <c r="AW56" s="28" t="s">
        <v>186</v>
      </c>
      <c r="AX56" s="28" t="s">
        <v>186</v>
      </c>
      <c r="AY56" s="28" t="s">
        <v>187</v>
      </c>
      <c r="BB56" s="28"/>
      <c r="BC56" s="30" t="s">
        <v>999</v>
      </c>
      <c r="BD56" s="30" t="s">
        <v>1000</v>
      </c>
      <c r="BE56" s="30" t="s">
        <v>1001</v>
      </c>
      <c r="BF56" s="30" t="s">
        <v>1002</v>
      </c>
      <c r="BG56" s="30" t="s">
        <v>1003</v>
      </c>
      <c r="BH56" s="30" t="s">
        <v>1004</v>
      </c>
      <c r="BI56" s="30" t="s">
        <v>1005</v>
      </c>
      <c r="BJ56" s="30" t="s">
        <v>1006</v>
      </c>
      <c r="BK56" s="30" t="s">
        <v>1007</v>
      </c>
      <c r="BL56" s="31"/>
      <c r="BM56" s="31"/>
      <c r="BO56" s="29">
        <v>60150790</v>
      </c>
      <c r="BP56" s="18" t="s">
        <v>1008</v>
      </c>
      <c r="BR56" s="8">
        <f t="shared" si="0"/>
        <v>9</v>
      </c>
    </row>
    <row r="57" spans="1:70" ht="14">
      <c r="A57" s="4" t="str">
        <v>Alternatif Periode ke-84 III.D.1</v>
      </c>
      <c r="B57" s="4" t="s">
        <v>518</v>
      </c>
      <c r="C57" s="4" t="s">
        <v>1009</v>
      </c>
      <c r="D57" s="4" t="s">
        <v>1010</v>
      </c>
      <c r="E57" s="4" t="s">
        <v>1011</v>
      </c>
      <c r="F57" s="4" t="s">
        <v>520</v>
      </c>
      <c r="G57" s="27" t="s">
        <v>1012</v>
      </c>
      <c r="H57" s="27" t="s">
        <v>1013</v>
      </c>
      <c r="I57" s="27" t="s">
        <v>1014</v>
      </c>
      <c r="J57" s="27" t="s">
        <v>1015</v>
      </c>
      <c r="K57" s="27" t="s">
        <v>1016</v>
      </c>
      <c r="L57" s="27" t="s">
        <v>1017</v>
      </c>
      <c r="M57" s="27" t="s">
        <v>1018</v>
      </c>
      <c r="N57" s="27" t="s">
        <v>1019</v>
      </c>
      <c r="O57" s="27" t="s">
        <v>1020</v>
      </c>
      <c r="S57" s="27">
        <v>1800001134</v>
      </c>
      <c r="T57" s="27">
        <v>1900007013</v>
      </c>
      <c r="U57" s="27">
        <v>1900009056</v>
      </c>
      <c r="V57" s="27">
        <v>1900013381</v>
      </c>
      <c r="W57" s="27">
        <v>1900020075</v>
      </c>
      <c r="X57" s="27">
        <v>1900024062</v>
      </c>
      <c r="Y57" s="27">
        <v>1900031015</v>
      </c>
      <c r="Z57" s="27">
        <v>1900031031</v>
      </c>
      <c r="AA57" s="27">
        <v>1900032066</v>
      </c>
      <c r="AE57" s="27" t="s">
        <v>180</v>
      </c>
      <c r="AF57" s="27" t="s">
        <v>1021</v>
      </c>
      <c r="AG57" s="27" t="s">
        <v>952</v>
      </c>
      <c r="AH57" s="27" t="s">
        <v>677</v>
      </c>
      <c r="AI57" s="27" t="s">
        <v>351</v>
      </c>
      <c r="AJ57" s="27" t="s">
        <v>924</v>
      </c>
      <c r="AK57" s="27" t="s">
        <v>185</v>
      </c>
      <c r="AL57" s="27" t="s">
        <v>185</v>
      </c>
      <c r="AM57" s="27" t="s">
        <v>732</v>
      </c>
      <c r="AO57" s="28"/>
      <c r="AQ57" s="28" t="s">
        <v>186</v>
      </c>
      <c r="AR57" s="28" t="s">
        <v>186</v>
      </c>
      <c r="AS57" s="28" t="s">
        <v>187</v>
      </c>
      <c r="AT57" s="28" t="s">
        <v>186</v>
      </c>
      <c r="AU57" s="28" t="s">
        <v>186</v>
      </c>
      <c r="AV57" s="28" t="s">
        <v>187</v>
      </c>
      <c r="AW57" s="28" t="s">
        <v>186</v>
      </c>
      <c r="AX57" s="28" t="s">
        <v>187</v>
      </c>
      <c r="AY57" s="28" t="s">
        <v>186</v>
      </c>
      <c r="BB57" s="28"/>
      <c r="BC57" s="30" t="s">
        <v>1022</v>
      </c>
      <c r="BD57" s="30" t="s">
        <v>1023</v>
      </c>
      <c r="BE57" s="30" t="s">
        <v>1024</v>
      </c>
      <c r="BF57" s="30" t="s">
        <v>1025</v>
      </c>
      <c r="BG57" s="30" t="s">
        <v>1026</v>
      </c>
      <c r="BH57" s="30" t="s">
        <v>1027</v>
      </c>
      <c r="BI57" s="30" t="s">
        <v>1028</v>
      </c>
      <c r="BJ57" s="30" t="s">
        <v>1029</v>
      </c>
      <c r="BK57" s="30" t="s">
        <v>1030</v>
      </c>
      <c r="BL57" s="31"/>
      <c r="BM57" s="31"/>
      <c r="BO57" s="29">
        <v>60160975</v>
      </c>
      <c r="BP57" s="18" t="s">
        <v>1031</v>
      </c>
      <c r="BR57" s="8">
        <f t="shared" si="0"/>
        <v>9</v>
      </c>
    </row>
    <row r="58" spans="1:70" ht="14">
      <c r="A58" s="4" t="str">
        <v>Alternatif Periode ke-84 III.D.2</v>
      </c>
      <c r="B58" s="4" t="s">
        <v>518</v>
      </c>
      <c r="C58" s="4" t="s">
        <v>1032</v>
      </c>
      <c r="D58" s="4" t="s">
        <v>1010</v>
      </c>
      <c r="E58" s="4" t="s">
        <v>1033</v>
      </c>
      <c r="F58" s="4" t="s">
        <v>520</v>
      </c>
      <c r="G58" s="27" t="s">
        <v>1034</v>
      </c>
      <c r="H58" s="27" t="s">
        <v>1035</v>
      </c>
      <c r="I58" s="27" t="s">
        <v>1036</v>
      </c>
      <c r="J58" s="27" t="s">
        <v>1037</v>
      </c>
      <c r="K58" s="27" t="s">
        <v>1038</v>
      </c>
      <c r="L58" s="27" t="s">
        <v>1039</v>
      </c>
      <c r="M58" s="27" t="s">
        <v>1040</v>
      </c>
      <c r="N58" s="27" t="s">
        <v>1041</v>
      </c>
      <c r="O58" s="27" t="s">
        <v>1042</v>
      </c>
      <c r="S58" s="27">
        <v>1700013114</v>
      </c>
      <c r="T58" s="27">
        <v>1700024119</v>
      </c>
      <c r="U58" s="27">
        <v>1800020010</v>
      </c>
      <c r="V58" s="27">
        <v>1800032072</v>
      </c>
      <c r="W58" s="27">
        <v>1900007003</v>
      </c>
      <c r="X58" s="27">
        <v>1900009029</v>
      </c>
      <c r="Y58" s="27">
        <v>1900031123</v>
      </c>
      <c r="Z58" s="27">
        <v>1900031364</v>
      </c>
      <c r="AA58" s="27">
        <v>1914002050</v>
      </c>
      <c r="AE58" s="27" t="s">
        <v>677</v>
      </c>
      <c r="AF58" s="27" t="s">
        <v>924</v>
      </c>
      <c r="AG58" s="27" t="s">
        <v>351</v>
      </c>
      <c r="AH58" s="27" t="s">
        <v>732</v>
      </c>
      <c r="AI58" s="27" t="s">
        <v>1021</v>
      </c>
      <c r="AJ58" s="27" t="s">
        <v>952</v>
      </c>
      <c r="AK58" s="27" t="s">
        <v>185</v>
      </c>
      <c r="AL58" s="27" t="s">
        <v>185</v>
      </c>
      <c r="AM58" s="27" t="s">
        <v>1043</v>
      </c>
      <c r="AQ58" s="28" t="s">
        <v>186</v>
      </c>
      <c r="AR58" s="28" t="s">
        <v>187</v>
      </c>
      <c r="AS58" s="28" t="s">
        <v>186</v>
      </c>
      <c r="AT58" s="28" t="s">
        <v>186</v>
      </c>
      <c r="AU58" s="28" t="s">
        <v>186</v>
      </c>
      <c r="AV58" s="28" t="s">
        <v>187</v>
      </c>
      <c r="AW58" s="28" t="s">
        <v>186</v>
      </c>
      <c r="AX58" s="28" t="s">
        <v>187</v>
      </c>
      <c r="AY58" s="28" t="s">
        <v>186</v>
      </c>
      <c r="BB58" s="28"/>
      <c r="BC58" s="30" t="s">
        <v>1044</v>
      </c>
      <c r="BD58" s="30" t="s">
        <v>1045</v>
      </c>
      <c r="BE58" s="30" t="s">
        <v>1046</v>
      </c>
      <c r="BF58" s="30" t="s">
        <v>1047</v>
      </c>
      <c r="BG58" s="30" t="s">
        <v>1048</v>
      </c>
      <c r="BH58" s="30" t="s">
        <v>1049</v>
      </c>
      <c r="BI58" s="30" t="s">
        <v>1050</v>
      </c>
      <c r="BJ58" s="30" t="s">
        <v>1051</v>
      </c>
      <c r="BK58" s="30" t="s">
        <v>1052</v>
      </c>
      <c r="BL58" s="31"/>
      <c r="BM58" s="31"/>
      <c r="BO58" s="29">
        <v>60160975</v>
      </c>
      <c r="BP58" s="18" t="s">
        <v>1053</v>
      </c>
      <c r="BR58" s="8">
        <f t="shared" si="0"/>
        <v>9</v>
      </c>
    </row>
    <row r="59" spans="1:70" ht="14">
      <c r="A59" s="4" t="str">
        <v>Alternatif Periode ke-84 III.D.3</v>
      </c>
      <c r="B59" s="4" t="s">
        <v>518</v>
      </c>
      <c r="C59" s="4" t="s">
        <v>1054</v>
      </c>
      <c r="D59" s="4" t="s">
        <v>1010</v>
      </c>
      <c r="E59" s="4" t="s">
        <v>1055</v>
      </c>
      <c r="F59" s="4" t="s">
        <v>520</v>
      </c>
      <c r="G59" s="27" t="s">
        <v>1056</v>
      </c>
      <c r="H59" s="27" t="s">
        <v>1057</v>
      </c>
      <c r="I59" s="27" t="s">
        <v>1058</v>
      </c>
      <c r="J59" s="27" t="s">
        <v>1059</v>
      </c>
      <c r="K59" s="27" t="s">
        <v>1060</v>
      </c>
      <c r="L59" s="27" t="s">
        <v>1061</v>
      </c>
      <c r="M59" s="27" t="s">
        <v>1062</v>
      </c>
      <c r="N59" s="27" t="s">
        <v>1063</v>
      </c>
      <c r="O59" s="27" t="s">
        <v>1064</v>
      </c>
      <c r="S59" s="27">
        <v>1600013357</v>
      </c>
      <c r="T59" s="27">
        <v>1700009072</v>
      </c>
      <c r="U59" s="27">
        <v>1800024255</v>
      </c>
      <c r="V59" s="27">
        <v>1900007009</v>
      </c>
      <c r="W59" s="27">
        <v>1900023071</v>
      </c>
      <c r="X59" s="27">
        <v>1900031204</v>
      </c>
      <c r="Y59" s="27">
        <v>1900031305</v>
      </c>
      <c r="Z59" s="27">
        <v>1900032113</v>
      </c>
      <c r="AA59" s="27">
        <v>1914002041</v>
      </c>
      <c r="AE59" s="27" t="s">
        <v>677</v>
      </c>
      <c r="AF59" s="27" t="s">
        <v>952</v>
      </c>
      <c r="AG59" s="27" t="s">
        <v>924</v>
      </c>
      <c r="AH59" s="27" t="s">
        <v>1021</v>
      </c>
      <c r="AI59" s="27" t="s">
        <v>899</v>
      </c>
      <c r="AJ59" s="27" t="s">
        <v>185</v>
      </c>
      <c r="AK59" s="27" t="s">
        <v>185</v>
      </c>
      <c r="AL59" s="27" t="s">
        <v>732</v>
      </c>
      <c r="AM59" s="27" t="s">
        <v>1043</v>
      </c>
      <c r="AQ59" s="28" t="s">
        <v>186</v>
      </c>
      <c r="AR59" s="28" t="s">
        <v>187</v>
      </c>
      <c r="AS59" s="28" t="s">
        <v>187</v>
      </c>
      <c r="AT59" s="28" t="s">
        <v>186</v>
      </c>
      <c r="AU59" s="28" t="s">
        <v>186</v>
      </c>
      <c r="AV59" s="28" t="s">
        <v>186</v>
      </c>
      <c r="AW59" s="28" t="s">
        <v>187</v>
      </c>
      <c r="AX59" s="28" t="s">
        <v>186</v>
      </c>
      <c r="AY59" s="28" t="s">
        <v>186</v>
      </c>
      <c r="BC59" s="30" t="s">
        <v>1065</v>
      </c>
      <c r="BD59" s="30" t="s">
        <v>1066</v>
      </c>
      <c r="BE59" s="30" t="s">
        <v>1067</v>
      </c>
      <c r="BF59" s="30" t="s">
        <v>1068</v>
      </c>
      <c r="BG59" s="30" t="s">
        <v>1069</v>
      </c>
      <c r="BH59" s="30" t="s">
        <v>1070</v>
      </c>
      <c r="BI59" s="30" t="s">
        <v>1071</v>
      </c>
      <c r="BJ59" s="30" t="s">
        <v>1072</v>
      </c>
      <c r="BK59" s="30" t="s">
        <v>1073</v>
      </c>
      <c r="BL59" s="31"/>
      <c r="BM59" s="31"/>
      <c r="BO59" s="29">
        <v>60160975</v>
      </c>
      <c r="BP59" s="18" t="s">
        <v>1074</v>
      </c>
      <c r="BR59" s="8">
        <f t="shared" si="0"/>
        <v>9</v>
      </c>
    </row>
    <row r="60" spans="1:70" ht="14">
      <c r="A60" s="4" t="str">
        <v>Alternatif Periode ke-84 IV.A.1</v>
      </c>
      <c r="B60" s="4" t="s">
        <v>518</v>
      </c>
      <c r="C60" s="4" t="s">
        <v>1075</v>
      </c>
      <c r="D60" s="4" t="s">
        <v>1076</v>
      </c>
      <c r="E60" s="4" t="s">
        <v>1077</v>
      </c>
      <c r="F60" s="4" t="s">
        <v>520</v>
      </c>
      <c r="G60" s="27" t="s">
        <v>1078</v>
      </c>
      <c r="H60" s="27" t="s">
        <v>1079</v>
      </c>
      <c r="I60" s="27" t="s">
        <v>1080</v>
      </c>
      <c r="J60" s="27" t="s">
        <v>1081</v>
      </c>
      <c r="K60" s="27" t="s">
        <v>1082</v>
      </c>
      <c r="L60" s="27" t="s">
        <v>1083</v>
      </c>
      <c r="M60" s="27" t="s">
        <v>1084</v>
      </c>
      <c r="N60" s="27" t="s">
        <v>1085</v>
      </c>
      <c r="O60" s="27" t="s">
        <v>1086</v>
      </c>
      <c r="S60" s="27">
        <v>1600024077</v>
      </c>
      <c r="T60" s="27">
        <v>1800010021</v>
      </c>
      <c r="U60" s="27">
        <v>1900013341</v>
      </c>
      <c r="V60" s="27">
        <v>1900023032</v>
      </c>
      <c r="W60" s="27">
        <v>1900031182</v>
      </c>
      <c r="X60" s="27">
        <v>1900031306</v>
      </c>
      <c r="Y60" s="27">
        <v>1900032092</v>
      </c>
      <c r="Z60" s="27">
        <v>1914002047</v>
      </c>
      <c r="AA60" s="27">
        <v>1915007019</v>
      </c>
      <c r="AE60" s="27" t="s">
        <v>924</v>
      </c>
      <c r="AF60" s="27" t="s">
        <v>532</v>
      </c>
      <c r="AG60" s="27" t="s">
        <v>677</v>
      </c>
      <c r="AH60" s="27" t="s">
        <v>899</v>
      </c>
      <c r="AI60" s="27" t="s">
        <v>185</v>
      </c>
      <c r="AJ60" s="27" t="s">
        <v>185</v>
      </c>
      <c r="AK60" s="27" t="s">
        <v>732</v>
      </c>
      <c r="AL60" s="27" t="s">
        <v>1043</v>
      </c>
      <c r="AM60" s="27" t="s">
        <v>1021</v>
      </c>
      <c r="AQ60" s="28" t="s">
        <v>187</v>
      </c>
      <c r="AR60" s="28" t="s">
        <v>187</v>
      </c>
      <c r="AS60" s="28" t="s">
        <v>186</v>
      </c>
      <c r="AT60" s="28" t="s">
        <v>186</v>
      </c>
      <c r="AU60" s="28" t="s">
        <v>187</v>
      </c>
      <c r="AV60" s="28" t="s">
        <v>186</v>
      </c>
      <c r="AW60" s="28" t="s">
        <v>186</v>
      </c>
      <c r="AX60" s="28" t="s">
        <v>186</v>
      </c>
      <c r="AY60" s="28" t="s">
        <v>186</v>
      </c>
      <c r="BC60" s="28">
        <v>85238496225</v>
      </c>
      <c r="BD60" s="28">
        <v>85709707313</v>
      </c>
      <c r="BE60" s="28">
        <v>82293756108</v>
      </c>
      <c r="BF60" s="28">
        <v>81318806353</v>
      </c>
      <c r="BG60" s="28">
        <v>8995423621</v>
      </c>
      <c r="BH60" s="28">
        <v>81939465620</v>
      </c>
      <c r="BI60" s="28">
        <v>88224297965</v>
      </c>
      <c r="BJ60" s="28">
        <v>85399667302</v>
      </c>
      <c r="BK60" s="28">
        <v>88216765137</v>
      </c>
      <c r="BL60" s="31"/>
      <c r="BM60" s="31"/>
      <c r="BO60" s="29">
        <v>60160970</v>
      </c>
      <c r="BP60" s="18" t="s">
        <v>1087</v>
      </c>
      <c r="BR60" s="8">
        <f t="shared" si="0"/>
        <v>9</v>
      </c>
    </row>
    <row r="61" spans="1:70" ht="14">
      <c r="A61" s="4" t="str">
        <v>Alternatif Periode ke-84 IV.A.2</v>
      </c>
      <c r="B61" s="4" t="s">
        <v>518</v>
      </c>
      <c r="C61" s="4" t="s">
        <v>1088</v>
      </c>
      <c r="D61" s="4" t="s">
        <v>1076</v>
      </c>
      <c r="E61" s="4" t="s">
        <v>1089</v>
      </c>
      <c r="F61" s="4" t="s">
        <v>520</v>
      </c>
      <c r="G61" s="27" t="s">
        <v>1090</v>
      </c>
      <c r="H61" s="27" t="s">
        <v>1091</v>
      </c>
      <c r="I61" s="32" t="s">
        <v>1092</v>
      </c>
      <c r="J61" s="27" t="s">
        <v>1093</v>
      </c>
      <c r="K61" s="27" t="s">
        <v>1094</v>
      </c>
      <c r="L61" s="27" t="s">
        <v>1095</v>
      </c>
      <c r="M61" s="27" t="s">
        <v>1096</v>
      </c>
      <c r="N61" s="27" t="s">
        <v>1097</v>
      </c>
      <c r="O61" s="27" t="s">
        <v>1098</v>
      </c>
      <c r="S61" s="27">
        <v>1800031225</v>
      </c>
      <c r="T61" s="27">
        <v>1800032025</v>
      </c>
      <c r="U61" s="27">
        <v>1900010041</v>
      </c>
      <c r="V61" s="27">
        <v>1900013154</v>
      </c>
      <c r="W61" s="27">
        <v>1900023221</v>
      </c>
      <c r="X61" s="27">
        <v>1900024155</v>
      </c>
      <c r="Y61" s="27">
        <v>1900031167</v>
      </c>
      <c r="Z61" s="27">
        <v>1914002048</v>
      </c>
      <c r="AA61" s="27">
        <v>1915007015</v>
      </c>
      <c r="AE61" s="27" t="s">
        <v>185</v>
      </c>
      <c r="AF61" s="27" t="s">
        <v>732</v>
      </c>
      <c r="AG61" s="27" t="s">
        <v>532</v>
      </c>
      <c r="AH61" s="27" t="s">
        <v>677</v>
      </c>
      <c r="AI61" s="27" t="s">
        <v>899</v>
      </c>
      <c r="AJ61" s="27" t="s">
        <v>924</v>
      </c>
      <c r="AK61" s="27" t="s">
        <v>185</v>
      </c>
      <c r="AL61" s="27" t="s">
        <v>1043</v>
      </c>
      <c r="AM61" s="27" t="s">
        <v>1021</v>
      </c>
      <c r="AQ61" s="28" t="s">
        <v>187</v>
      </c>
      <c r="AR61" s="28" t="s">
        <v>186</v>
      </c>
      <c r="AS61" s="28" t="s">
        <v>187</v>
      </c>
      <c r="AT61" s="28" t="s">
        <v>186</v>
      </c>
      <c r="AU61" s="28" t="s">
        <v>186</v>
      </c>
      <c r="AV61" s="28" t="s">
        <v>187</v>
      </c>
      <c r="AW61" s="28" t="s">
        <v>186</v>
      </c>
      <c r="AX61" s="28" t="s">
        <v>186</v>
      </c>
      <c r="AY61" s="28" t="s">
        <v>186</v>
      </c>
      <c r="BA61" s="28"/>
      <c r="BB61" s="31"/>
      <c r="BC61" s="28">
        <v>85291319475</v>
      </c>
      <c r="BD61" s="28">
        <v>85215235527</v>
      </c>
      <c r="BE61" s="28">
        <v>88232522049</v>
      </c>
      <c r="BF61" s="28">
        <v>82360527672</v>
      </c>
      <c r="BG61" s="28">
        <v>81212928966</v>
      </c>
      <c r="BH61" s="28">
        <v>81225700602</v>
      </c>
      <c r="BI61" s="28">
        <v>82341789987</v>
      </c>
      <c r="BJ61" s="28">
        <v>82353612445</v>
      </c>
      <c r="BK61" s="28">
        <v>859130913187</v>
      </c>
      <c r="BL61" s="31"/>
      <c r="BM61" s="31"/>
      <c r="BO61" s="29">
        <v>60160970</v>
      </c>
      <c r="BP61" s="18" t="s">
        <v>1099</v>
      </c>
      <c r="BR61" s="8">
        <f t="shared" si="0"/>
        <v>9</v>
      </c>
    </row>
    <row r="62" spans="1:70" ht="14">
      <c r="A62" s="4" t="str">
        <v>Alternatif Periode ke-84 IV.A.3</v>
      </c>
      <c r="B62" s="4" t="s">
        <v>518</v>
      </c>
      <c r="C62" s="4" t="s">
        <v>1100</v>
      </c>
      <c r="D62" s="4" t="s">
        <v>1076</v>
      </c>
      <c r="E62" s="4" t="s">
        <v>1101</v>
      </c>
      <c r="F62" s="4" t="s">
        <v>520</v>
      </c>
      <c r="G62" s="27" t="s">
        <v>1102</v>
      </c>
      <c r="H62" s="27" t="s">
        <v>1103</v>
      </c>
      <c r="I62" s="27" t="s">
        <v>1104</v>
      </c>
      <c r="J62" s="27" t="s">
        <v>1105</v>
      </c>
      <c r="K62" s="27" t="s">
        <v>1106</v>
      </c>
      <c r="L62" s="27" t="s">
        <v>1107</v>
      </c>
      <c r="M62" s="27" t="s">
        <v>1108</v>
      </c>
      <c r="N62" s="27" t="s">
        <v>1109</v>
      </c>
      <c r="O62" s="27" t="s">
        <v>1110</v>
      </c>
      <c r="S62" s="27">
        <v>1800010074</v>
      </c>
      <c r="T62" s="27">
        <v>1800024089</v>
      </c>
      <c r="U62" s="27">
        <v>1900008003</v>
      </c>
      <c r="V62" s="27">
        <v>1900013058</v>
      </c>
      <c r="W62" s="27">
        <v>1900024104</v>
      </c>
      <c r="X62" s="27">
        <v>1900031289</v>
      </c>
      <c r="Y62" s="27">
        <v>1900031332</v>
      </c>
      <c r="Z62" s="27">
        <v>1900033001</v>
      </c>
      <c r="AA62" s="27">
        <v>1914002053</v>
      </c>
      <c r="AE62" s="27" t="s">
        <v>532</v>
      </c>
      <c r="AF62" s="27" t="s">
        <v>924</v>
      </c>
      <c r="AG62" s="27" t="s">
        <v>1111</v>
      </c>
      <c r="AH62" s="27" t="s">
        <v>677</v>
      </c>
      <c r="AI62" s="27" t="s">
        <v>924</v>
      </c>
      <c r="AJ62" s="27" t="s">
        <v>185</v>
      </c>
      <c r="AK62" s="27" t="s">
        <v>185</v>
      </c>
      <c r="AL62" s="27" t="s">
        <v>1112</v>
      </c>
      <c r="AM62" s="27" t="s">
        <v>1043</v>
      </c>
      <c r="AQ62" s="28" t="s">
        <v>187</v>
      </c>
      <c r="AR62" s="28" t="s">
        <v>187</v>
      </c>
      <c r="AS62" s="28" t="s">
        <v>186</v>
      </c>
      <c r="AT62" s="28" t="s">
        <v>186</v>
      </c>
      <c r="AU62" s="28" t="s">
        <v>186</v>
      </c>
      <c r="AV62" s="28" t="s">
        <v>187</v>
      </c>
      <c r="AW62" s="28" t="s">
        <v>186</v>
      </c>
      <c r="AX62" s="28" t="s">
        <v>186</v>
      </c>
      <c r="AY62" s="28" t="s">
        <v>186</v>
      </c>
      <c r="BA62" s="28"/>
      <c r="BB62" s="30"/>
      <c r="BC62" s="28">
        <v>87730673187</v>
      </c>
      <c r="BD62" s="28">
        <v>81325540287</v>
      </c>
      <c r="BE62" s="28">
        <v>87849915294</v>
      </c>
      <c r="BF62" s="28">
        <v>85299292464</v>
      </c>
      <c r="BG62" s="28">
        <v>81327035739</v>
      </c>
      <c r="BH62" s="28">
        <v>85157459422</v>
      </c>
      <c r="BI62" s="28">
        <v>81225340607</v>
      </c>
      <c r="BJ62" s="28">
        <v>81328706021</v>
      </c>
      <c r="BK62" s="28">
        <v>82197939492</v>
      </c>
      <c r="BL62" s="31"/>
      <c r="BM62" s="31"/>
      <c r="BO62" s="29">
        <v>60160970</v>
      </c>
      <c r="BP62" s="18" t="s">
        <v>1113</v>
      </c>
      <c r="BR62" s="8">
        <f t="shared" si="0"/>
        <v>9</v>
      </c>
    </row>
    <row r="63" spans="1:70" ht="14">
      <c r="A63" s="4" t="str">
        <v>Alternatif Periode ke-84 IV.B.1</v>
      </c>
      <c r="B63" s="4" t="s">
        <v>518</v>
      </c>
      <c r="C63" s="4" t="s">
        <v>1114</v>
      </c>
      <c r="D63" s="4" t="s">
        <v>1115</v>
      </c>
      <c r="E63" s="4" t="s">
        <v>1116</v>
      </c>
      <c r="F63" s="4" t="s">
        <v>520</v>
      </c>
      <c r="G63" s="27" t="s">
        <v>1117</v>
      </c>
      <c r="H63" s="27" t="s">
        <v>1118</v>
      </c>
      <c r="I63" s="27" t="s">
        <v>1119</v>
      </c>
      <c r="J63" s="27" t="s">
        <v>1120</v>
      </c>
      <c r="K63" s="27" t="s">
        <v>1121</v>
      </c>
      <c r="L63" s="27" t="s">
        <v>1122</v>
      </c>
      <c r="M63" s="27" t="s">
        <v>1123</v>
      </c>
      <c r="N63" s="27" t="s">
        <v>1124</v>
      </c>
      <c r="O63" s="27" t="s">
        <v>1125</v>
      </c>
      <c r="S63" s="27">
        <v>1800002008</v>
      </c>
      <c r="T63" s="27">
        <v>1800010052</v>
      </c>
      <c r="U63" s="27">
        <v>1900008027</v>
      </c>
      <c r="V63" s="27">
        <v>1900013147</v>
      </c>
      <c r="W63" s="27">
        <v>1900024152</v>
      </c>
      <c r="X63" s="27">
        <v>1900024304</v>
      </c>
      <c r="Y63" s="27">
        <v>1900031120</v>
      </c>
      <c r="Z63" s="27">
        <v>1900031253</v>
      </c>
      <c r="AA63" s="27">
        <v>1900033106</v>
      </c>
      <c r="AE63" s="27" t="s">
        <v>1043</v>
      </c>
      <c r="AF63" s="27" t="s">
        <v>532</v>
      </c>
      <c r="AG63" s="27" t="s">
        <v>1111</v>
      </c>
      <c r="AH63" s="27" t="s">
        <v>677</v>
      </c>
      <c r="AI63" s="27" t="s">
        <v>924</v>
      </c>
      <c r="AJ63" s="27" t="s">
        <v>924</v>
      </c>
      <c r="AK63" s="27" t="s">
        <v>185</v>
      </c>
      <c r="AL63" s="27" t="s">
        <v>185</v>
      </c>
      <c r="AM63" s="27" t="s">
        <v>1112</v>
      </c>
      <c r="AQ63" s="28" t="s">
        <v>186</v>
      </c>
      <c r="AR63" s="28" t="s">
        <v>187</v>
      </c>
      <c r="AS63" s="28" t="s">
        <v>186</v>
      </c>
      <c r="AT63" s="28" t="s">
        <v>186</v>
      </c>
      <c r="AU63" s="28" t="s">
        <v>187</v>
      </c>
      <c r="AV63" s="28" t="s">
        <v>186</v>
      </c>
      <c r="AW63" s="28" t="s">
        <v>186</v>
      </c>
      <c r="AX63" s="28" t="s">
        <v>187</v>
      </c>
      <c r="AY63" s="28" t="s">
        <v>186</v>
      </c>
      <c r="AZ63" s="28"/>
      <c r="BA63" s="28"/>
      <c r="BB63" s="30"/>
      <c r="BC63" s="30" t="s">
        <v>1126</v>
      </c>
      <c r="BD63" s="30" t="s">
        <v>1127</v>
      </c>
      <c r="BE63" s="30" t="s">
        <v>1128</v>
      </c>
      <c r="BF63" s="30" t="s">
        <v>1129</v>
      </c>
      <c r="BG63" s="30" t="s">
        <v>1130</v>
      </c>
      <c r="BH63" s="30" t="s">
        <v>1131</v>
      </c>
      <c r="BI63" s="30" t="s">
        <v>1132</v>
      </c>
      <c r="BJ63" s="30" t="s">
        <v>1133</v>
      </c>
      <c r="BK63" s="30" t="s">
        <v>1134</v>
      </c>
      <c r="BL63" s="31"/>
      <c r="BM63" s="31"/>
      <c r="BO63" s="29">
        <v>60201247</v>
      </c>
      <c r="BP63" s="18" t="s">
        <v>1135</v>
      </c>
      <c r="BR63" s="8">
        <f t="shared" si="0"/>
        <v>9</v>
      </c>
    </row>
    <row r="64" spans="1:70" ht="14">
      <c r="A64" s="4" t="str">
        <v>Alternatif Periode ke-84 IV.B.2</v>
      </c>
      <c r="B64" s="4" t="s">
        <v>518</v>
      </c>
      <c r="C64" s="4" t="s">
        <v>1136</v>
      </c>
      <c r="D64" s="4" t="s">
        <v>1115</v>
      </c>
      <c r="E64" s="4" t="s">
        <v>1137</v>
      </c>
      <c r="F64" s="4" t="s">
        <v>520</v>
      </c>
      <c r="G64" s="27" t="s">
        <v>1138</v>
      </c>
      <c r="H64" s="27" t="s">
        <v>1139</v>
      </c>
      <c r="I64" s="27" t="s">
        <v>1140</v>
      </c>
      <c r="J64" s="27" t="s">
        <v>1141</v>
      </c>
      <c r="K64" s="27" t="s">
        <v>1142</v>
      </c>
      <c r="L64" s="27" t="s">
        <v>1143</v>
      </c>
      <c r="M64" s="27" t="s">
        <v>1144</v>
      </c>
      <c r="N64" s="27" t="s">
        <v>1145</v>
      </c>
      <c r="O64" s="27" t="s">
        <v>1146</v>
      </c>
      <c r="S64" s="27">
        <v>1500031115</v>
      </c>
      <c r="T64" s="27">
        <v>1600024282</v>
      </c>
      <c r="U64" s="27">
        <v>1800010088</v>
      </c>
      <c r="V64" s="27">
        <v>1800024228</v>
      </c>
      <c r="W64" s="27">
        <v>1900008053</v>
      </c>
      <c r="X64" s="27">
        <v>1900013065</v>
      </c>
      <c r="Y64" s="27">
        <v>1900031339</v>
      </c>
      <c r="Z64" s="27">
        <v>1900033055</v>
      </c>
      <c r="AA64" s="27">
        <v>1915002025</v>
      </c>
      <c r="AE64" s="27" t="s">
        <v>185</v>
      </c>
      <c r="AF64" s="27" t="s">
        <v>924</v>
      </c>
      <c r="AG64" s="27" t="s">
        <v>532</v>
      </c>
      <c r="AH64" s="27" t="s">
        <v>924</v>
      </c>
      <c r="AI64" s="27" t="s">
        <v>1111</v>
      </c>
      <c r="AJ64" s="27" t="s">
        <v>677</v>
      </c>
      <c r="AK64" s="27" t="s">
        <v>185</v>
      </c>
      <c r="AL64" s="27" t="s">
        <v>1112</v>
      </c>
      <c r="AM64" s="27" t="s">
        <v>1043</v>
      </c>
      <c r="AQ64" s="28" t="s">
        <v>187</v>
      </c>
      <c r="AR64" s="28" t="s">
        <v>187</v>
      </c>
      <c r="AS64" s="28" t="s">
        <v>187</v>
      </c>
      <c r="AT64" s="28" t="s">
        <v>186</v>
      </c>
      <c r="AU64" s="28" t="s">
        <v>186</v>
      </c>
      <c r="AV64" s="28" t="s">
        <v>186</v>
      </c>
      <c r="AW64" s="28" t="s">
        <v>186</v>
      </c>
      <c r="AX64" s="28" t="s">
        <v>186</v>
      </c>
      <c r="AY64" s="28" t="s">
        <v>186</v>
      </c>
      <c r="AZ64" s="28"/>
      <c r="BA64" s="28"/>
      <c r="BB64" s="30"/>
      <c r="BC64" s="30" t="s">
        <v>1147</v>
      </c>
      <c r="BD64" s="30" t="s">
        <v>1148</v>
      </c>
      <c r="BE64" s="30" t="s">
        <v>1149</v>
      </c>
      <c r="BF64" s="30" t="s">
        <v>1150</v>
      </c>
      <c r="BG64" s="30" t="s">
        <v>1151</v>
      </c>
      <c r="BH64" s="30" t="s">
        <v>1152</v>
      </c>
      <c r="BI64" s="30" t="s">
        <v>1153</v>
      </c>
      <c r="BJ64" s="30" t="s">
        <v>1154</v>
      </c>
      <c r="BK64" s="30" t="s">
        <v>1155</v>
      </c>
      <c r="BL64" s="31"/>
      <c r="BM64" s="31"/>
      <c r="BO64" s="29">
        <v>60201247</v>
      </c>
      <c r="BP64" s="18" t="s">
        <v>1156</v>
      </c>
      <c r="BR64" s="8">
        <f t="shared" si="0"/>
        <v>9</v>
      </c>
    </row>
    <row r="65" spans="1:70" ht="14">
      <c r="A65" s="4" t="str">
        <v>Alternatif Periode ke-84 IV.B.3</v>
      </c>
      <c r="B65" s="4" t="s">
        <v>518</v>
      </c>
      <c r="C65" s="4" t="s">
        <v>1157</v>
      </c>
      <c r="D65" s="4" t="s">
        <v>1115</v>
      </c>
      <c r="E65" s="4" t="s">
        <v>1158</v>
      </c>
      <c r="F65" s="4" t="s">
        <v>520</v>
      </c>
      <c r="G65" s="27" t="s">
        <v>1159</v>
      </c>
      <c r="H65" s="27" t="s">
        <v>1160</v>
      </c>
      <c r="I65" s="27" t="s">
        <v>1161</v>
      </c>
      <c r="J65" s="27" t="s">
        <v>1162</v>
      </c>
      <c r="K65" s="27" t="s">
        <v>1163</v>
      </c>
      <c r="L65" s="27" t="s">
        <v>1164</v>
      </c>
      <c r="M65" s="27" t="s">
        <v>1165</v>
      </c>
      <c r="N65" s="27" t="s">
        <v>1166</v>
      </c>
      <c r="O65" s="27" t="s">
        <v>1167</v>
      </c>
      <c r="S65" s="27">
        <v>1700010172</v>
      </c>
      <c r="T65" s="27">
        <v>1800002022</v>
      </c>
      <c r="U65" s="27">
        <v>1800024266</v>
      </c>
      <c r="V65" s="27">
        <v>1900008086</v>
      </c>
      <c r="W65" s="27">
        <v>1900013364</v>
      </c>
      <c r="X65" s="27">
        <v>1900025005</v>
      </c>
      <c r="Y65" s="27">
        <v>1900031019</v>
      </c>
      <c r="Z65" s="27">
        <v>1900031211</v>
      </c>
      <c r="AA65" s="27">
        <v>1900033040</v>
      </c>
      <c r="AE65" s="27" t="s">
        <v>532</v>
      </c>
      <c r="AF65" s="27" t="s">
        <v>1043</v>
      </c>
      <c r="AG65" s="27" t="s">
        <v>924</v>
      </c>
      <c r="AH65" s="27" t="s">
        <v>1111</v>
      </c>
      <c r="AI65" s="27" t="s">
        <v>677</v>
      </c>
      <c r="AJ65" s="27" t="s">
        <v>1168</v>
      </c>
      <c r="AK65" s="27" t="s">
        <v>185</v>
      </c>
      <c r="AL65" s="27" t="s">
        <v>185</v>
      </c>
      <c r="AM65" s="27" t="s">
        <v>1112</v>
      </c>
      <c r="AQ65" s="28" t="s">
        <v>187</v>
      </c>
      <c r="AR65" s="28" t="s">
        <v>186</v>
      </c>
      <c r="AS65" s="28" t="s">
        <v>187</v>
      </c>
      <c r="AT65" s="28" t="s">
        <v>186</v>
      </c>
      <c r="AU65" s="28" t="s">
        <v>186</v>
      </c>
      <c r="AV65" s="28" t="s">
        <v>186</v>
      </c>
      <c r="AW65" s="28" t="s">
        <v>187</v>
      </c>
      <c r="AX65" s="28" t="s">
        <v>186</v>
      </c>
      <c r="AY65" s="28" t="s">
        <v>186</v>
      </c>
      <c r="AZ65" s="28"/>
      <c r="BA65" s="28"/>
      <c r="BB65" s="30"/>
      <c r="BC65" s="30" t="s">
        <v>1169</v>
      </c>
      <c r="BD65" s="30" t="s">
        <v>1170</v>
      </c>
      <c r="BE65" s="30" t="s">
        <v>1171</v>
      </c>
      <c r="BF65" s="30" t="s">
        <v>1172</v>
      </c>
      <c r="BG65" s="30" t="s">
        <v>1173</v>
      </c>
      <c r="BH65" s="30" t="s">
        <v>1174</v>
      </c>
      <c r="BI65" s="30" t="s">
        <v>1175</v>
      </c>
      <c r="BJ65" s="30" t="s">
        <v>1176</v>
      </c>
      <c r="BK65" s="30" t="s">
        <v>1177</v>
      </c>
      <c r="BL65" s="31"/>
      <c r="BM65" s="31"/>
      <c r="BO65" s="29">
        <v>60201247</v>
      </c>
      <c r="BP65" s="18" t="s">
        <v>1178</v>
      </c>
      <c r="BR65" s="8">
        <f t="shared" si="0"/>
        <v>9</v>
      </c>
    </row>
    <row r="66" spans="1:70" ht="14">
      <c r="A66" s="4" t="str">
        <v>Alternatif Periode ke-84 IV.C.1</v>
      </c>
      <c r="B66" s="4" t="s">
        <v>518</v>
      </c>
      <c r="C66" s="4" t="s">
        <v>1179</v>
      </c>
      <c r="D66" s="4" t="s">
        <v>1180</v>
      </c>
      <c r="E66" s="4" t="s">
        <v>1181</v>
      </c>
      <c r="F66" s="4" t="s">
        <v>520</v>
      </c>
      <c r="G66" s="27" t="s">
        <v>1182</v>
      </c>
      <c r="H66" s="27" t="s">
        <v>1183</v>
      </c>
      <c r="I66" s="27" t="s">
        <v>1184</v>
      </c>
      <c r="J66" s="27" t="s">
        <v>1185</v>
      </c>
      <c r="K66" s="27" t="s">
        <v>1186</v>
      </c>
      <c r="L66" s="27" t="s">
        <v>1187</v>
      </c>
      <c r="M66" s="27" t="s">
        <v>1188</v>
      </c>
      <c r="N66" s="27" t="s">
        <v>1189</v>
      </c>
      <c r="O66" s="27" t="s">
        <v>1190</v>
      </c>
      <c r="S66" s="27">
        <v>1500008055</v>
      </c>
      <c r="T66" s="27">
        <v>1700024125</v>
      </c>
      <c r="U66" s="27">
        <v>1800010156</v>
      </c>
      <c r="V66" s="27">
        <v>1800025015</v>
      </c>
      <c r="W66" s="27">
        <v>1900013228</v>
      </c>
      <c r="X66" s="27">
        <v>1900031215</v>
      </c>
      <c r="Y66" s="27">
        <v>1900031291</v>
      </c>
      <c r="Z66" s="27">
        <v>1900033035</v>
      </c>
      <c r="AA66" s="27">
        <v>1914002040</v>
      </c>
      <c r="AE66" s="27" t="s">
        <v>1111</v>
      </c>
      <c r="AF66" s="27" t="s">
        <v>924</v>
      </c>
      <c r="AG66" s="27" t="s">
        <v>532</v>
      </c>
      <c r="AH66" s="27" t="s">
        <v>1168</v>
      </c>
      <c r="AI66" s="27" t="s">
        <v>677</v>
      </c>
      <c r="AJ66" s="27" t="s">
        <v>185</v>
      </c>
      <c r="AK66" s="27" t="s">
        <v>185</v>
      </c>
      <c r="AL66" s="27" t="s">
        <v>1112</v>
      </c>
      <c r="AM66" s="27" t="s">
        <v>1043</v>
      </c>
      <c r="AQ66" s="28" t="s">
        <v>186</v>
      </c>
      <c r="AR66" s="28" t="s">
        <v>187</v>
      </c>
      <c r="AS66" s="28" t="s">
        <v>187</v>
      </c>
      <c r="AT66" s="28" t="s">
        <v>186</v>
      </c>
      <c r="AU66" s="28" t="s">
        <v>186</v>
      </c>
      <c r="AV66" s="28" t="s">
        <v>187</v>
      </c>
      <c r="AW66" s="28" t="s">
        <v>186</v>
      </c>
      <c r="AX66" s="28" t="s">
        <v>186</v>
      </c>
      <c r="AY66" s="28" t="s">
        <v>186</v>
      </c>
      <c r="AZ66" s="28"/>
      <c r="BA66" s="28"/>
      <c r="BB66" s="30"/>
      <c r="BC66" s="30" t="s">
        <v>1191</v>
      </c>
      <c r="BD66" s="30" t="s">
        <v>1192</v>
      </c>
      <c r="BE66" s="30" t="s">
        <v>1193</v>
      </c>
      <c r="BF66" s="30" t="s">
        <v>1194</v>
      </c>
      <c r="BG66" s="30" t="s">
        <v>1195</v>
      </c>
      <c r="BH66" s="30" t="s">
        <v>1196</v>
      </c>
      <c r="BI66" s="30" t="s">
        <v>1197</v>
      </c>
      <c r="BJ66" s="30" t="s">
        <v>1198</v>
      </c>
      <c r="BK66" s="30" t="s">
        <v>1199</v>
      </c>
      <c r="BL66" s="31"/>
      <c r="BM66" s="31"/>
      <c r="BO66" s="29">
        <v>60160931</v>
      </c>
      <c r="BP66" s="18" t="s">
        <v>1200</v>
      </c>
      <c r="BR66" s="8">
        <f t="shared" si="0"/>
        <v>9</v>
      </c>
    </row>
    <row r="67" spans="1:70" ht="14">
      <c r="A67" s="4" t="str">
        <v>Alternatif Periode ke-84 IV.C.2</v>
      </c>
      <c r="B67" s="4" t="s">
        <v>518</v>
      </c>
      <c r="C67" s="4" t="s">
        <v>1201</v>
      </c>
      <c r="D67" s="4" t="s">
        <v>1180</v>
      </c>
      <c r="E67" s="4" t="s">
        <v>1202</v>
      </c>
      <c r="F67" s="4" t="s">
        <v>520</v>
      </c>
      <c r="G67" s="27" t="s">
        <v>1203</v>
      </c>
      <c r="H67" s="27" t="s">
        <v>1204</v>
      </c>
      <c r="I67" s="27" t="s">
        <v>1205</v>
      </c>
      <c r="J67" s="27" t="s">
        <v>1206</v>
      </c>
      <c r="K67" s="27" t="s">
        <v>1207</v>
      </c>
      <c r="L67" s="27" t="s">
        <v>1208</v>
      </c>
      <c r="M67" s="27" t="s">
        <v>1209</v>
      </c>
      <c r="N67" s="27" t="s">
        <v>1210</v>
      </c>
      <c r="O67" s="27" t="s">
        <v>1211</v>
      </c>
      <c r="S67" s="27">
        <v>1800010112</v>
      </c>
      <c r="T67" s="27">
        <v>1800024275</v>
      </c>
      <c r="U67" s="27">
        <v>1800031001</v>
      </c>
      <c r="V67" s="27">
        <v>1900008065</v>
      </c>
      <c r="W67" s="27">
        <v>1900013326</v>
      </c>
      <c r="X67" s="27">
        <v>1900025065</v>
      </c>
      <c r="Y67" s="27">
        <v>1900031255</v>
      </c>
      <c r="Z67" s="27">
        <v>1900033066</v>
      </c>
      <c r="AA67" s="27">
        <v>1914002046</v>
      </c>
      <c r="AE67" s="27" t="s">
        <v>532</v>
      </c>
      <c r="AF67" s="27" t="s">
        <v>924</v>
      </c>
      <c r="AG67" s="27" t="s">
        <v>185</v>
      </c>
      <c r="AH67" s="27" t="s">
        <v>1111</v>
      </c>
      <c r="AI67" s="27" t="s">
        <v>677</v>
      </c>
      <c r="AJ67" s="27" t="s">
        <v>1168</v>
      </c>
      <c r="AK67" s="27" t="s">
        <v>185</v>
      </c>
      <c r="AL67" s="27" t="s">
        <v>1112</v>
      </c>
      <c r="AM67" s="27" t="s">
        <v>1043</v>
      </c>
      <c r="AQ67" s="28" t="s">
        <v>187</v>
      </c>
      <c r="AR67" s="28" t="s">
        <v>187</v>
      </c>
      <c r="AS67" s="28" t="s">
        <v>186</v>
      </c>
      <c r="AT67" s="28" t="s">
        <v>186</v>
      </c>
      <c r="AU67" s="28" t="s">
        <v>186</v>
      </c>
      <c r="AV67" s="28" t="s">
        <v>186</v>
      </c>
      <c r="AW67" s="28" t="s">
        <v>187</v>
      </c>
      <c r="AX67" s="28" t="s">
        <v>186</v>
      </c>
      <c r="AY67" s="28" t="s">
        <v>186</v>
      </c>
      <c r="AZ67" s="28"/>
      <c r="BA67" s="28"/>
      <c r="BB67" s="30"/>
      <c r="BC67" s="30" t="s">
        <v>1212</v>
      </c>
      <c r="BD67" s="30" t="s">
        <v>1213</v>
      </c>
      <c r="BE67" s="30" t="s">
        <v>1214</v>
      </c>
      <c r="BF67" s="30" t="s">
        <v>1215</v>
      </c>
      <c r="BG67" s="30" t="s">
        <v>1216</v>
      </c>
      <c r="BH67" s="30" t="s">
        <v>1217</v>
      </c>
      <c r="BI67" s="30" t="s">
        <v>1218</v>
      </c>
      <c r="BJ67" s="30" t="s">
        <v>1219</v>
      </c>
      <c r="BK67" s="30" t="s">
        <v>1220</v>
      </c>
      <c r="BL67" s="31"/>
      <c r="BM67" s="31"/>
      <c r="BO67" s="29">
        <v>60160931</v>
      </c>
      <c r="BP67" s="18" t="s">
        <v>1221</v>
      </c>
      <c r="BR67" s="8">
        <f t="shared" si="0"/>
        <v>9</v>
      </c>
    </row>
    <row r="68" spans="1:70" ht="14">
      <c r="A68" s="4" t="str">
        <v>Alternatif Periode ke-84 IV.C.3</v>
      </c>
      <c r="B68" s="4" t="s">
        <v>518</v>
      </c>
      <c r="C68" s="4" t="s">
        <v>1222</v>
      </c>
      <c r="D68" s="4" t="s">
        <v>1180</v>
      </c>
      <c r="E68" s="4" t="s">
        <v>1223</v>
      </c>
      <c r="F68" s="4" t="s">
        <v>520</v>
      </c>
      <c r="G68" s="27" t="s">
        <v>1224</v>
      </c>
      <c r="H68" s="27" t="s">
        <v>1225</v>
      </c>
      <c r="I68" s="27" t="s">
        <v>1226</v>
      </c>
      <c r="J68" s="27" t="s">
        <v>1227</v>
      </c>
      <c r="K68" s="27" t="s">
        <v>1228</v>
      </c>
      <c r="L68" s="27" t="s">
        <v>1229</v>
      </c>
      <c r="M68" s="27" t="s">
        <v>1230</v>
      </c>
      <c r="N68" s="27" t="s">
        <v>1231</v>
      </c>
      <c r="O68" s="27" t="s">
        <v>1232</v>
      </c>
      <c r="S68" s="27">
        <v>1800025007</v>
      </c>
      <c r="T68" s="27">
        <v>1900008006</v>
      </c>
      <c r="U68" s="27">
        <v>1900010033</v>
      </c>
      <c r="V68" s="27">
        <v>1900013287</v>
      </c>
      <c r="W68" s="27">
        <v>1900025060</v>
      </c>
      <c r="X68" s="27">
        <v>1900031172</v>
      </c>
      <c r="Y68" s="27">
        <v>1900031341</v>
      </c>
      <c r="Z68" s="27">
        <v>1900033005</v>
      </c>
      <c r="AA68" s="27">
        <v>1914002042</v>
      </c>
      <c r="AE68" s="27" t="s">
        <v>1168</v>
      </c>
      <c r="AF68" s="27" t="s">
        <v>1111</v>
      </c>
      <c r="AG68" s="27" t="s">
        <v>532</v>
      </c>
      <c r="AH68" s="27" t="s">
        <v>677</v>
      </c>
      <c r="AI68" s="27" t="s">
        <v>1168</v>
      </c>
      <c r="AJ68" s="27" t="s">
        <v>185</v>
      </c>
      <c r="AK68" s="27" t="s">
        <v>185</v>
      </c>
      <c r="AL68" s="27" t="s">
        <v>1112</v>
      </c>
      <c r="AM68" s="27" t="s">
        <v>1043</v>
      </c>
      <c r="AQ68" s="28" t="s">
        <v>187</v>
      </c>
      <c r="AR68" s="28" t="s">
        <v>186</v>
      </c>
      <c r="AS68" s="28" t="s">
        <v>187</v>
      </c>
      <c r="AT68" s="28" t="s">
        <v>186</v>
      </c>
      <c r="AU68" s="28" t="s">
        <v>186</v>
      </c>
      <c r="AV68" s="28" t="s">
        <v>187</v>
      </c>
      <c r="AW68" s="28" t="s">
        <v>186</v>
      </c>
      <c r="AX68" s="28" t="s">
        <v>186</v>
      </c>
      <c r="AY68" s="28" t="s">
        <v>186</v>
      </c>
      <c r="AZ68" s="28"/>
      <c r="BA68" s="28"/>
      <c r="BB68" s="30"/>
      <c r="BC68" s="30" t="s">
        <v>1233</v>
      </c>
      <c r="BD68" s="30" t="s">
        <v>1234</v>
      </c>
      <c r="BE68" s="30" t="s">
        <v>1235</v>
      </c>
      <c r="BF68" s="30" t="s">
        <v>1236</v>
      </c>
      <c r="BG68" s="30" t="s">
        <v>1237</v>
      </c>
      <c r="BH68" s="30" t="s">
        <v>1238</v>
      </c>
      <c r="BI68" s="30" t="s">
        <v>1239</v>
      </c>
      <c r="BJ68" s="30" t="s">
        <v>1240</v>
      </c>
      <c r="BK68" s="30" t="s">
        <v>1241</v>
      </c>
      <c r="BL68" s="31"/>
      <c r="BM68" s="31"/>
      <c r="BO68" s="29">
        <v>60160931</v>
      </c>
      <c r="BP68" s="18" t="s">
        <v>1242</v>
      </c>
      <c r="BR68" s="8">
        <f t="shared" si="0"/>
        <v>9</v>
      </c>
    </row>
    <row r="69" spans="1:70" ht="14">
      <c r="A69" s="4" t="str">
        <v>Alternatif Periode ke-84 IV.D.1</v>
      </c>
      <c r="B69" s="4" t="s">
        <v>518</v>
      </c>
      <c r="C69" s="4" t="s">
        <v>1243</v>
      </c>
      <c r="D69" s="4" t="s">
        <v>1244</v>
      </c>
      <c r="E69" s="4" t="s">
        <v>1245</v>
      </c>
      <c r="F69" s="4" t="s">
        <v>520</v>
      </c>
      <c r="G69" s="27" t="s">
        <v>1246</v>
      </c>
      <c r="H69" s="27" t="s">
        <v>1247</v>
      </c>
      <c r="I69" s="27" t="s">
        <v>1248</v>
      </c>
      <c r="J69" s="27" t="s">
        <v>1249</v>
      </c>
      <c r="K69" s="27" t="s">
        <v>1250</v>
      </c>
      <c r="L69" s="27" t="s">
        <v>1251</v>
      </c>
      <c r="M69" s="27" t="s">
        <v>1252</v>
      </c>
      <c r="N69" s="27" t="s">
        <v>1253</v>
      </c>
      <c r="O69" s="27" t="s">
        <v>1254</v>
      </c>
      <c r="S69" s="27">
        <v>1800010190</v>
      </c>
      <c r="T69" s="27">
        <v>1800013231</v>
      </c>
      <c r="U69" s="27">
        <v>1800025020</v>
      </c>
      <c r="V69" s="27">
        <v>1900008033</v>
      </c>
      <c r="W69" s="27">
        <v>1900025084</v>
      </c>
      <c r="X69" s="27">
        <v>1900031189</v>
      </c>
      <c r="Y69" s="27">
        <v>1900031272</v>
      </c>
      <c r="Z69" s="27">
        <v>1900033048</v>
      </c>
      <c r="AA69" s="27">
        <v>1914002044</v>
      </c>
      <c r="AE69" s="27" t="s">
        <v>532</v>
      </c>
      <c r="AF69" s="27" t="s">
        <v>677</v>
      </c>
      <c r="AG69" s="27" t="s">
        <v>1168</v>
      </c>
      <c r="AH69" s="27" t="s">
        <v>1111</v>
      </c>
      <c r="AI69" s="27" t="s">
        <v>1168</v>
      </c>
      <c r="AJ69" s="27" t="s">
        <v>185</v>
      </c>
      <c r="AK69" s="27" t="s">
        <v>185</v>
      </c>
      <c r="AL69" s="27" t="s">
        <v>1112</v>
      </c>
      <c r="AM69" s="27" t="s">
        <v>1043</v>
      </c>
      <c r="AQ69" s="28" t="s">
        <v>187</v>
      </c>
      <c r="AR69" s="28" t="s">
        <v>186</v>
      </c>
      <c r="AS69" s="28" t="s">
        <v>187</v>
      </c>
      <c r="AT69" s="28" t="s">
        <v>186</v>
      </c>
      <c r="AU69" s="28" t="s">
        <v>186</v>
      </c>
      <c r="AV69" s="28" t="s">
        <v>186</v>
      </c>
      <c r="AW69" s="28" t="s">
        <v>187</v>
      </c>
      <c r="AX69" s="28" t="s">
        <v>186</v>
      </c>
      <c r="AY69" s="28" t="s">
        <v>186</v>
      </c>
      <c r="AZ69" s="28"/>
      <c r="BA69" s="28"/>
      <c r="BB69" s="30"/>
      <c r="BC69" s="30" t="s">
        <v>1255</v>
      </c>
      <c r="BD69" s="30" t="s">
        <v>1256</v>
      </c>
      <c r="BE69" s="30" t="s">
        <v>1257</v>
      </c>
      <c r="BF69" s="30" t="s">
        <v>1258</v>
      </c>
      <c r="BG69" s="30" t="s">
        <v>1259</v>
      </c>
      <c r="BH69" s="30" t="s">
        <v>1260</v>
      </c>
      <c r="BI69" s="30" t="s">
        <v>1261</v>
      </c>
      <c r="BJ69" s="30" t="s">
        <v>1262</v>
      </c>
      <c r="BK69" s="30" t="s">
        <v>1263</v>
      </c>
      <c r="BL69" s="31"/>
      <c r="BM69" s="31"/>
      <c r="BO69" s="29">
        <v>60030475</v>
      </c>
      <c r="BP69" s="18" t="s">
        <v>1264</v>
      </c>
      <c r="BR69" s="8">
        <f t="shared" si="0"/>
        <v>9</v>
      </c>
    </row>
    <row r="70" spans="1:70" ht="14">
      <c r="A70" s="4" t="str">
        <v>Alternatif Periode ke-84 IV.D.2</v>
      </c>
      <c r="B70" s="4" t="s">
        <v>518</v>
      </c>
      <c r="C70" s="4" t="s">
        <v>1265</v>
      </c>
      <c r="D70" s="4" t="s">
        <v>1244</v>
      </c>
      <c r="E70" s="4" t="s">
        <v>1266</v>
      </c>
      <c r="F70" s="4" t="s">
        <v>520</v>
      </c>
      <c r="G70" s="27" t="s">
        <v>1267</v>
      </c>
      <c r="H70" s="27" t="s">
        <v>1268</v>
      </c>
      <c r="I70" s="27" t="s">
        <v>1269</v>
      </c>
      <c r="J70" s="27" t="s">
        <v>1270</v>
      </c>
      <c r="K70" s="27" t="s">
        <v>1271</v>
      </c>
      <c r="L70" s="27" t="s">
        <v>1272</v>
      </c>
      <c r="M70" s="27" t="s">
        <v>1273</v>
      </c>
      <c r="N70" s="27" t="s">
        <v>1274</v>
      </c>
      <c r="O70" s="27" t="s">
        <v>1275</v>
      </c>
      <c r="S70" s="27">
        <v>1800010055</v>
      </c>
      <c r="T70" s="27">
        <v>1800025035</v>
      </c>
      <c r="U70" s="27">
        <v>1900008005</v>
      </c>
      <c r="V70" s="27">
        <v>1900013370</v>
      </c>
      <c r="W70" s="27">
        <v>1900025030</v>
      </c>
      <c r="X70" s="27">
        <v>1900031202</v>
      </c>
      <c r="Y70" s="27">
        <v>1900031304</v>
      </c>
      <c r="Z70" s="27">
        <v>1900033033</v>
      </c>
      <c r="AA70" s="27">
        <v>1914002045</v>
      </c>
      <c r="AE70" s="27" t="s">
        <v>532</v>
      </c>
      <c r="AF70" s="27" t="s">
        <v>1168</v>
      </c>
      <c r="AG70" s="27" t="s">
        <v>1111</v>
      </c>
      <c r="AH70" s="27" t="s">
        <v>677</v>
      </c>
      <c r="AI70" s="27" t="s">
        <v>1168</v>
      </c>
      <c r="AJ70" s="27" t="s">
        <v>185</v>
      </c>
      <c r="AK70" s="27" t="s">
        <v>185</v>
      </c>
      <c r="AL70" s="27" t="s">
        <v>1112</v>
      </c>
      <c r="AM70" s="27" t="s">
        <v>1043</v>
      </c>
      <c r="AQ70" s="28" t="s">
        <v>187</v>
      </c>
      <c r="AR70" s="28" t="s">
        <v>187</v>
      </c>
      <c r="AS70" s="28" t="s">
        <v>186</v>
      </c>
      <c r="AT70" s="28" t="s">
        <v>186</v>
      </c>
      <c r="AU70" s="28" t="s">
        <v>186</v>
      </c>
      <c r="AV70" s="28" t="s">
        <v>186</v>
      </c>
      <c r="AW70" s="28" t="s">
        <v>187</v>
      </c>
      <c r="AX70" s="28" t="s">
        <v>186</v>
      </c>
      <c r="AY70" s="28" t="s">
        <v>186</v>
      </c>
      <c r="AZ70" s="28"/>
      <c r="BB70" s="30"/>
      <c r="BC70" s="30" t="s">
        <v>1276</v>
      </c>
      <c r="BD70" s="30" t="s">
        <v>1277</v>
      </c>
      <c r="BE70" s="30" t="s">
        <v>1278</v>
      </c>
      <c r="BF70" s="30" t="s">
        <v>1279</v>
      </c>
      <c r="BG70" s="30" t="s">
        <v>1280</v>
      </c>
      <c r="BH70" s="30" t="s">
        <v>1281</v>
      </c>
      <c r="BI70" s="30" t="s">
        <v>1282</v>
      </c>
      <c r="BJ70" s="30" t="s">
        <v>1283</v>
      </c>
      <c r="BK70" s="30" t="s">
        <v>1284</v>
      </c>
      <c r="BL70" s="31"/>
      <c r="BM70" s="31"/>
      <c r="BO70" s="29">
        <v>60030475</v>
      </c>
      <c r="BP70" s="18" t="s">
        <v>1285</v>
      </c>
      <c r="BR70" s="8">
        <f t="shared" si="0"/>
        <v>9</v>
      </c>
    </row>
    <row r="71" spans="1:70" ht="14">
      <c r="A71" s="4" t="str">
        <v>Alternatif Periode ke-84 IV.D.3</v>
      </c>
      <c r="B71" s="4" t="s">
        <v>518</v>
      </c>
      <c r="C71" s="4" t="s">
        <v>1286</v>
      </c>
      <c r="D71" s="4" t="s">
        <v>1244</v>
      </c>
      <c r="E71" s="4" t="s">
        <v>1287</v>
      </c>
      <c r="F71" s="4" t="s">
        <v>520</v>
      </c>
      <c r="G71" s="27" t="s">
        <v>1288</v>
      </c>
      <c r="H71" s="27" t="s">
        <v>1289</v>
      </c>
      <c r="I71" s="27" t="s">
        <v>1290</v>
      </c>
      <c r="J71" s="27" t="s">
        <v>1291</v>
      </c>
      <c r="K71" s="27" t="s">
        <v>1292</v>
      </c>
      <c r="L71" s="27" t="s">
        <v>1293</v>
      </c>
      <c r="M71" s="27" t="s">
        <v>1294</v>
      </c>
      <c r="N71" s="27" t="s">
        <v>1295</v>
      </c>
      <c r="O71" s="27" t="s">
        <v>1296</v>
      </c>
      <c r="S71" s="27">
        <v>1800010094</v>
      </c>
      <c r="T71" s="27">
        <v>1800025051</v>
      </c>
      <c r="U71" s="27">
        <v>1900003104</v>
      </c>
      <c r="V71" s="27">
        <v>1900008085</v>
      </c>
      <c r="W71" s="27">
        <v>1900013262</v>
      </c>
      <c r="X71" s="27">
        <v>1900026109</v>
      </c>
      <c r="Y71" s="27">
        <v>1900031014</v>
      </c>
      <c r="Z71" s="27">
        <v>1900031239</v>
      </c>
      <c r="AA71" s="27">
        <v>1900033004</v>
      </c>
      <c r="AE71" s="27" t="s">
        <v>532</v>
      </c>
      <c r="AF71" s="27" t="s">
        <v>1168</v>
      </c>
      <c r="AG71" s="27" t="s">
        <v>178</v>
      </c>
      <c r="AH71" s="27" t="s">
        <v>1111</v>
      </c>
      <c r="AI71" s="27" t="s">
        <v>677</v>
      </c>
      <c r="AJ71" s="27" t="s">
        <v>570</v>
      </c>
      <c r="AK71" s="27" t="s">
        <v>185</v>
      </c>
      <c r="AL71" s="27" t="s">
        <v>185</v>
      </c>
      <c r="AM71" s="27" t="s">
        <v>1112</v>
      </c>
      <c r="AQ71" s="33" t="s">
        <v>187</v>
      </c>
      <c r="AR71" s="33" t="s">
        <v>187</v>
      </c>
      <c r="AS71" s="33" t="s">
        <v>186</v>
      </c>
      <c r="AT71" s="33" t="s">
        <v>186</v>
      </c>
      <c r="AU71" s="33" t="s">
        <v>186</v>
      </c>
      <c r="AV71" s="33" t="s">
        <v>186</v>
      </c>
      <c r="AW71" s="33" t="s">
        <v>187</v>
      </c>
      <c r="AX71" s="33" t="s">
        <v>186</v>
      </c>
      <c r="AY71" s="33" t="s">
        <v>186</v>
      </c>
      <c r="AZ71" s="28"/>
      <c r="BB71" s="31"/>
      <c r="BC71" s="30" t="s">
        <v>1297</v>
      </c>
      <c r="BD71" s="30" t="s">
        <v>1298</v>
      </c>
      <c r="BE71" s="30" t="s">
        <v>1299</v>
      </c>
      <c r="BF71" s="30" t="s">
        <v>1300</v>
      </c>
      <c r="BG71" s="30" t="s">
        <v>1301</v>
      </c>
      <c r="BH71" s="30" t="s">
        <v>1302</v>
      </c>
      <c r="BI71" s="30" t="s">
        <v>1303</v>
      </c>
      <c r="BJ71" s="30" t="s">
        <v>1304</v>
      </c>
      <c r="BK71" s="30" t="s">
        <v>1305</v>
      </c>
      <c r="BL71" s="31"/>
      <c r="BM71" s="31"/>
      <c r="BO71" s="29">
        <v>60030475</v>
      </c>
      <c r="BP71" s="18" t="s">
        <v>1306</v>
      </c>
      <c r="BR71" s="8">
        <f t="shared" si="0"/>
        <v>9</v>
      </c>
    </row>
    <row r="72" spans="1:70" ht="14">
      <c r="A72" s="4" t="str">
        <v>Alternatif Periode ke-84 IV.D.4</v>
      </c>
      <c r="B72" s="4" t="s">
        <v>518</v>
      </c>
      <c r="C72" s="4" t="s">
        <v>1307</v>
      </c>
      <c r="D72" s="4" t="s">
        <v>1244</v>
      </c>
      <c r="E72" s="4" t="s">
        <v>1308</v>
      </c>
      <c r="F72" s="4" t="s">
        <v>520</v>
      </c>
      <c r="G72" s="27" t="s">
        <v>1309</v>
      </c>
      <c r="H72" s="27" t="s">
        <v>1310</v>
      </c>
      <c r="I72" s="27" t="s">
        <v>1311</v>
      </c>
      <c r="J72" s="27" t="s">
        <v>1312</v>
      </c>
      <c r="K72" s="27" t="s">
        <v>1313</v>
      </c>
      <c r="L72" s="27" t="s">
        <v>1314</v>
      </c>
      <c r="M72" s="27" t="s">
        <v>1315</v>
      </c>
      <c r="N72" s="27" t="s">
        <v>1316</v>
      </c>
      <c r="O72" s="27" t="s">
        <v>1317</v>
      </c>
      <c r="S72" s="27">
        <v>1800018376</v>
      </c>
      <c r="T72" s="27">
        <v>1800030208</v>
      </c>
      <c r="U72" s="27">
        <v>1900002010</v>
      </c>
      <c r="V72" s="27">
        <v>1900004045</v>
      </c>
      <c r="W72" s="27">
        <v>1900010297</v>
      </c>
      <c r="X72" s="27">
        <v>1900016049</v>
      </c>
      <c r="Y72" s="27">
        <v>1900029251</v>
      </c>
      <c r="Z72" s="27">
        <v>1900031297</v>
      </c>
      <c r="AA72" s="27">
        <v>1900034039</v>
      </c>
      <c r="AE72" s="27" t="s">
        <v>179</v>
      </c>
      <c r="AF72" s="27" t="s">
        <v>184</v>
      </c>
      <c r="AG72" s="27" t="s">
        <v>1043</v>
      </c>
      <c r="AH72" s="27" t="s">
        <v>201</v>
      </c>
      <c r="AI72" s="27" t="s">
        <v>532</v>
      </c>
      <c r="AJ72" s="27" t="s">
        <v>531</v>
      </c>
      <c r="AK72" s="27" t="s">
        <v>533</v>
      </c>
      <c r="AL72" s="27" t="s">
        <v>185</v>
      </c>
      <c r="AM72" s="27" t="s">
        <v>534</v>
      </c>
      <c r="AQ72" s="28" t="s">
        <v>187</v>
      </c>
      <c r="AR72" s="28" t="s">
        <v>187</v>
      </c>
      <c r="AS72" s="28" t="s">
        <v>186</v>
      </c>
      <c r="AT72" s="28" t="s">
        <v>186</v>
      </c>
      <c r="AU72" s="28" t="s">
        <v>186</v>
      </c>
      <c r="AV72" s="28" t="s">
        <v>186</v>
      </c>
      <c r="AW72" s="28" t="s">
        <v>186</v>
      </c>
      <c r="AX72" s="28" t="s">
        <v>186</v>
      </c>
      <c r="AY72" s="28" t="s">
        <v>187</v>
      </c>
      <c r="BB72" s="31"/>
      <c r="BC72" s="30" t="s">
        <v>1318</v>
      </c>
      <c r="BD72" s="30" t="s">
        <v>1319</v>
      </c>
      <c r="BE72" s="30" t="s">
        <v>1320</v>
      </c>
      <c r="BF72" s="30" t="s">
        <v>1321</v>
      </c>
      <c r="BG72" s="30" t="s">
        <v>1322</v>
      </c>
      <c r="BH72" s="30" t="s">
        <v>1323</v>
      </c>
      <c r="BI72" s="30" t="s">
        <v>1324</v>
      </c>
      <c r="BJ72" s="30" t="s">
        <v>1325</v>
      </c>
      <c r="BK72" s="30" t="s">
        <v>1326</v>
      </c>
      <c r="BL72" s="31"/>
      <c r="BM72" s="31"/>
      <c r="BO72" s="29">
        <v>60030475</v>
      </c>
      <c r="BP72" s="18" t="s">
        <v>1327</v>
      </c>
      <c r="BR72" s="8">
        <f t="shared" si="0"/>
        <v>9</v>
      </c>
    </row>
    <row r="73" spans="1:70" ht="14">
      <c r="A73" s="4" t="str">
        <v>Alternatif Periode ke-84 V.A.1</v>
      </c>
      <c r="B73" s="4" t="s">
        <v>518</v>
      </c>
      <c r="C73" s="4" t="s">
        <v>1328</v>
      </c>
      <c r="D73" s="4" t="s">
        <v>1329</v>
      </c>
      <c r="E73" s="4" t="s">
        <v>1330</v>
      </c>
      <c r="F73" s="4" t="s">
        <v>520</v>
      </c>
      <c r="G73" s="27" t="s">
        <v>1331</v>
      </c>
      <c r="H73" s="27" t="s">
        <v>1332</v>
      </c>
      <c r="I73" s="27" t="s">
        <v>1333</v>
      </c>
      <c r="J73" s="27" t="s">
        <v>1334</v>
      </c>
      <c r="K73" s="27" t="s">
        <v>1335</v>
      </c>
      <c r="L73" s="27" t="s">
        <v>1336</v>
      </c>
      <c r="M73" s="27" t="s">
        <v>1337</v>
      </c>
      <c r="N73" s="27" t="s">
        <v>1338</v>
      </c>
      <c r="O73" s="27" t="s">
        <v>1339</v>
      </c>
      <c r="S73" s="27">
        <v>1800011027</v>
      </c>
      <c r="T73" s="27">
        <v>1800013028</v>
      </c>
      <c r="U73" s="27">
        <v>1900003101</v>
      </c>
      <c r="V73" s="27">
        <v>1900008077</v>
      </c>
      <c r="W73" s="27">
        <v>1900026233</v>
      </c>
      <c r="X73" s="27">
        <v>1900031038</v>
      </c>
      <c r="Y73" s="27">
        <v>1900031102</v>
      </c>
      <c r="Z73" s="27">
        <v>1900033041</v>
      </c>
      <c r="AA73" s="27">
        <v>1911025054</v>
      </c>
      <c r="AE73" s="27" t="s">
        <v>182</v>
      </c>
      <c r="AF73" s="27" t="s">
        <v>677</v>
      </c>
      <c r="AG73" s="27" t="s">
        <v>178</v>
      </c>
      <c r="AH73" s="27" t="s">
        <v>1111</v>
      </c>
      <c r="AI73" s="27" t="s">
        <v>570</v>
      </c>
      <c r="AJ73" s="27" t="s">
        <v>185</v>
      </c>
      <c r="AK73" s="27" t="s">
        <v>185</v>
      </c>
      <c r="AL73" s="27" t="s">
        <v>1112</v>
      </c>
      <c r="AM73" s="27" t="s">
        <v>1168</v>
      </c>
      <c r="AQ73" s="28" t="s">
        <v>187</v>
      </c>
      <c r="AR73" s="28" t="s">
        <v>186</v>
      </c>
      <c r="AS73" s="28" t="s">
        <v>186</v>
      </c>
      <c r="AT73" s="28" t="s">
        <v>186</v>
      </c>
      <c r="AU73" s="28" t="s">
        <v>186</v>
      </c>
      <c r="AV73" s="28" t="s">
        <v>186</v>
      </c>
      <c r="AW73" s="28" t="s">
        <v>187</v>
      </c>
      <c r="AX73" s="28" t="s">
        <v>186</v>
      </c>
      <c r="AY73" s="28" t="s">
        <v>187</v>
      </c>
      <c r="BB73" s="31"/>
      <c r="BC73" s="30" t="s">
        <v>1340</v>
      </c>
      <c r="BD73" s="34" t="s">
        <v>1341</v>
      </c>
      <c r="BE73" s="30" t="s">
        <v>1342</v>
      </c>
      <c r="BF73" s="30" t="s">
        <v>1343</v>
      </c>
      <c r="BG73" s="30" t="s">
        <v>1344</v>
      </c>
      <c r="BH73" s="30" t="s">
        <v>1345</v>
      </c>
      <c r="BI73" s="30" t="s">
        <v>1346</v>
      </c>
      <c r="BJ73" s="30" t="s">
        <v>1347</v>
      </c>
      <c r="BK73" s="30" t="s">
        <v>1348</v>
      </c>
      <c r="BL73" s="31"/>
      <c r="BM73" s="31"/>
      <c r="BO73" s="29">
        <v>60181158</v>
      </c>
      <c r="BP73" s="18" t="s">
        <v>1349</v>
      </c>
      <c r="BR73" s="8">
        <f t="shared" si="0"/>
        <v>9</v>
      </c>
    </row>
    <row r="74" spans="1:70" ht="14">
      <c r="A74" s="4" t="str">
        <v>Alternatif Periode ke-84 V.A.2</v>
      </c>
      <c r="B74" s="4" t="s">
        <v>518</v>
      </c>
      <c r="C74" s="4" t="s">
        <v>1350</v>
      </c>
      <c r="D74" s="4" t="s">
        <v>1329</v>
      </c>
      <c r="E74" s="4" t="s">
        <v>1351</v>
      </c>
      <c r="F74" s="4" t="s">
        <v>520</v>
      </c>
      <c r="G74" s="27" t="s">
        <v>1352</v>
      </c>
      <c r="H74" s="27" t="s">
        <v>1353</v>
      </c>
      <c r="I74" s="27" t="s">
        <v>1354</v>
      </c>
      <c r="J74" s="27" t="s">
        <v>1355</v>
      </c>
      <c r="K74" s="27" t="s">
        <v>1356</v>
      </c>
      <c r="L74" s="27" t="s">
        <v>1357</v>
      </c>
      <c r="M74" s="27" t="s">
        <v>1358</v>
      </c>
      <c r="N74" s="27" t="s">
        <v>1359</v>
      </c>
      <c r="O74" s="27" t="s">
        <v>1360</v>
      </c>
      <c r="S74" s="27">
        <v>1600011038</v>
      </c>
      <c r="T74" s="27">
        <v>1800026035</v>
      </c>
      <c r="U74" s="27">
        <v>1900003145</v>
      </c>
      <c r="V74" s="27">
        <v>1900008001</v>
      </c>
      <c r="W74" s="27">
        <v>1900013043</v>
      </c>
      <c r="X74" s="27">
        <v>1900026065</v>
      </c>
      <c r="Y74" s="27">
        <v>1900031062</v>
      </c>
      <c r="Z74" s="27">
        <v>1900031084</v>
      </c>
      <c r="AA74" s="27">
        <v>1900033171</v>
      </c>
      <c r="AE74" s="27" t="s">
        <v>182</v>
      </c>
      <c r="AF74" s="27" t="s">
        <v>570</v>
      </c>
      <c r="AG74" s="27" t="s">
        <v>178</v>
      </c>
      <c r="AH74" s="27" t="s">
        <v>1111</v>
      </c>
      <c r="AI74" s="27" t="s">
        <v>677</v>
      </c>
      <c r="AJ74" s="27" t="s">
        <v>570</v>
      </c>
      <c r="AK74" s="27" t="s">
        <v>185</v>
      </c>
      <c r="AL74" s="27" t="s">
        <v>185</v>
      </c>
      <c r="AM74" s="27" t="s">
        <v>1112</v>
      </c>
      <c r="AQ74" s="28" t="s">
        <v>187</v>
      </c>
      <c r="AR74" s="28" t="s">
        <v>187</v>
      </c>
      <c r="AS74" s="28" t="s">
        <v>186</v>
      </c>
      <c r="AT74" s="28" t="s">
        <v>186</v>
      </c>
      <c r="AU74" s="28" t="s">
        <v>186</v>
      </c>
      <c r="AV74" s="28" t="s">
        <v>186</v>
      </c>
      <c r="AW74" s="28" t="s">
        <v>187</v>
      </c>
      <c r="AX74" s="28" t="s">
        <v>186</v>
      </c>
      <c r="AY74" s="28" t="s">
        <v>186</v>
      </c>
      <c r="BB74" s="31"/>
      <c r="BC74" s="30" t="s">
        <v>1361</v>
      </c>
      <c r="BD74" s="30" t="s">
        <v>1362</v>
      </c>
      <c r="BE74" s="30" t="s">
        <v>1363</v>
      </c>
      <c r="BF74" s="30" t="s">
        <v>1364</v>
      </c>
      <c r="BG74" s="30" t="s">
        <v>1365</v>
      </c>
      <c r="BH74" s="30" t="s">
        <v>1366</v>
      </c>
      <c r="BI74" s="30" t="s">
        <v>1367</v>
      </c>
      <c r="BJ74" s="30" t="s">
        <v>1368</v>
      </c>
      <c r="BK74" s="30" t="s">
        <v>1369</v>
      </c>
      <c r="BL74" s="31"/>
      <c r="BM74" s="31"/>
      <c r="BO74" s="29">
        <v>60181158</v>
      </c>
      <c r="BP74" s="18" t="s">
        <v>1370</v>
      </c>
      <c r="BR74" s="8">
        <f t="shared" si="0"/>
        <v>9</v>
      </c>
    </row>
    <row r="75" spans="1:70" ht="14">
      <c r="A75" s="4" t="str">
        <v>Alternatif Periode ke-84 V.A.3</v>
      </c>
      <c r="B75" s="4" t="s">
        <v>518</v>
      </c>
      <c r="C75" s="4" t="s">
        <v>1371</v>
      </c>
      <c r="D75" s="4" t="s">
        <v>1329</v>
      </c>
      <c r="E75" s="4" t="s">
        <v>1372</v>
      </c>
      <c r="F75" s="4" t="s">
        <v>520</v>
      </c>
      <c r="G75" s="27" t="s">
        <v>1373</v>
      </c>
      <c r="H75" s="27" t="s">
        <v>1374</v>
      </c>
      <c r="I75" s="27" t="s">
        <v>1375</v>
      </c>
      <c r="J75" s="27" t="s">
        <v>1376</v>
      </c>
      <c r="K75" s="27" t="s">
        <v>1377</v>
      </c>
      <c r="L75" s="27" t="s">
        <v>1378</v>
      </c>
      <c r="M75" s="27" t="s">
        <v>1379</v>
      </c>
      <c r="N75" s="27" t="s">
        <v>1380</v>
      </c>
      <c r="O75" s="27" t="s">
        <v>1381</v>
      </c>
      <c r="S75" s="27">
        <v>1700013127</v>
      </c>
      <c r="T75" s="27">
        <v>1800011017</v>
      </c>
      <c r="U75" s="27">
        <v>1800026206</v>
      </c>
      <c r="V75" s="27">
        <v>1900003090</v>
      </c>
      <c r="W75" s="27">
        <v>1900009048</v>
      </c>
      <c r="X75" s="27">
        <v>1900026211</v>
      </c>
      <c r="Y75" s="27">
        <v>1900031127</v>
      </c>
      <c r="Z75" s="27">
        <v>1900031249</v>
      </c>
      <c r="AA75" s="27">
        <v>1911033056</v>
      </c>
      <c r="AE75" s="27" t="s">
        <v>677</v>
      </c>
      <c r="AF75" s="27" t="s">
        <v>182</v>
      </c>
      <c r="AG75" s="27" t="s">
        <v>570</v>
      </c>
      <c r="AH75" s="27" t="s">
        <v>178</v>
      </c>
      <c r="AI75" s="27" t="s">
        <v>952</v>
      </c>
      <c r="AJ75" s="27" t="s">
        <v>570</v>
      </c>
      <c r="AK75" s="27" t="s">
        <v>185</v>
      </c>
      <c r="AL75" s="27" t="s">
        <v>185</v>
      </c>
      <c r="AM75" s="27" t="s">
        <v>1112</v>
      </c>
      <c r="AQ75" s="28" t="s">
        <v>186</v>
      </c>
      <c r="AR75" s="28" t="s">
        <v>187</v>
      </c>
      <c r="AS75" s="28" t="s">
        <v>186</v>
      </c>
      <c r="AT75" s="28" t="s">
        <v>186</v>
      </c>
      <c r="AU75" s="28" t="s">
        <v>186</v>
      </c>
      <c r="AV75" s="28" t="s">
        <v>187</v>
      </c>
      <c r="AW75" s="28" t="s">
        <v>186</v>
      </c>
      <c r="AX75" s="28" t="s">
        <v>187</v>
      </c>
      <c r="AY75" s="28" t="s">
        <v>186</v>
      </c>
      <c r="BB75" s="31"/>
      <c r="BC75" s="30" t="s">
        <v>1382</v>
      </c>
      <c r="BD75" s="30" t="s">
        <v>1383</v>
      </c>
      <c r="BE75" s="30" t="s">
        <v>1384</v>
      </c>
      <c r="BF75" s="30" t="s">
        <v>1385</v>
      </c>
      <c r="BG75" s="30" t="s">
        <v>1386</v>
      </c>
      <c r="BH75" s="30" t="s">
        <v>1387</v>
      </c>
      <c r="BI75" s="30" t="s">
        <v>1388</v>
      </c>
      <c r="BJ75" s="30" t="s">
        <v>1389</v>
      </c>
      <c r="BK75" s="30" t="s">
        <v>1390</v>
      </c>
      <c r="BL75" s="31"/>
      <c r="BM75" s="31"/>
      <c r="BO75" s="29">
        <v>60181158</v>
      </c>
      <c r="BP75" s="18" t="s">
        <v>1391</v>
      </c>
      <c r="BR75" s="8">
        <f t="shared" si="0"/>
        <v>9</v>
      </c>
    </row>
    <row r="76" spans="1:70" ht="14">
      <c r="A76" s="4" t="str">
        <v>Alternatif Periode ke-84 V.B.1</v>
      </c>
      <c r="B76" s="4" t="s">
        <v>518</v>
      </c>
      <c r="C76" s="4" t="s">
        <v>1392</v>
      </c>
      <c r="D76" s="4" t="s">
        <v>1393</v>
      </c>
      <c r="E76" s="4" t="s">
        <v>1394</v>
      </c>
      <c r="F76" s="4" t="s">
        <v>520</v>
      </c>
      <c r="G76" s="27" t="s">
        <v>1395</v>
      </c>
      <c r="H76" s="27" t="s">
        <v>1396</v>
      </c>
      <c r="I76" s="27" t="s">
        <v>1397</v>
      </c>
      <c r="J76" s="27" t="s">
        <v>1398</v>
      </c>
      <c r="K76" s="27" t="s">
        <v>1399</v>
      </c>
      <c r="L76" s="27" t="s">
        <v>1400</v>
      </c>
      <c r="M76" s="27" t="s">
        <v>1401</v>
      </c>
      <c r="N76" s="27" t="s">
        <v>1402</v>
      </c>
      <c r="O76" s="27" t="s">
        <v>1403</v>
      </c>
      <c r="S76" s="27">
        <v>1800011298</v>
      </c>
      <c r="T76" s="27">
        <v>1900003114</v>
      </c>
      <c r="U76" s="27">
        <v>1900009051</v>
      </c>
      <c r="V76" s="27">
        <v>1900013166</v>
      </c>
      <c r="W76" s="27">
        <v>1900026096</v>
      </c>
      <c r="X76" s="27">
        <v>1900026281</v>
      </c>
      <c r="Y76" s="27">
        <v>1900031155</v>
      </c>
      <c r="Z76" s="27">
        <v>1900031344</v>
      </c>
      <c r="AA76" s="27">
        <v>1900033107</v>
      </c>
      <c r="AE76" s="27" t="s">
        <v>182</v>
      </c>
      <c r="AF76" s="27" t="s">
        <v>178</v>
      </c>
      <c r="AG76" s="27" t="s">
        <v>952</v>
      </c>
      <c r="AH76" s="27" t="s">
        <v>677</v>
      </c>
      <c r="AI76" s="27" t="s">
        <v>570</v>
      </c>
      <c r="AJ76" s="27" t="s">
        <v>570</v>
      </c>
      <c r="AK76" s="27" t="s">
        <v>185</v>
      </c>
      <c r="AL76" s="27" t="s">
        <v>185</v>
      </c>
      <c r="AM76" s="27" t="s">
        <v>1112</v>
      </c>
      <c r="AQ76" s="28" t="s">
        <v>187</v>
      </c>
      <c r="AR76" s="28" t="s">
        <v>186</v>
      </c>
      <c r="AS76" s="28" t="s">
        <v>186</v>
      </c>
      <c r="AT76" s="28" t="s">
        <v>186</v>
      </c>
      <c r="AU76" s="28" t="s">
        <v>186</v>
      </c>
      <c r="AV76" s="28" t="s">
        <v>187</v>
      </c>
      <c r="AW76" s="28" t="s">
        <v>187</v>
      </c>
      <c r="AX76" s="28" t="s">
        <v>186</v>
      </c>
      <c r="AY76" s="28" t="s">
        <v>186</v>
      </c>
      <c r="BB76" s="31"/>
      <c r="BC76" s="30" t="s">
        <v>1404</v>
      </c>
      <c r="BD76" s="30" t="s">
        <v>1405</v>
      </c>
      <c r="BE76" s="30" t="s">
        <v>1406</v>
      </c>
      <c r="BF76" s="30" t="s">
        <v>1407</v>
      </c>
      <c r="BG76" s="30" t="s">
        <v>1408</v>
      </c>
      <c r="BH76" s="30" t="s">
        <v>1409</v>
      </c>
      <c r="BI76" s="30" t="s">
        <v>1410</v>
      </c>
      <c r="BJ76" s="30" t="s">
        <v>1411</v>
      </c>
      <c r="BK76" s="30" t="s">
        <v>1412</v>
      </c>
      <c r="BL76" s="31"/>
      <c r="BM76" s="31"/>
      <c r="BO76" s="29">
        <v>60181159</v>
      </c>
      <c r="BP76" s="18" t="s">
        <v>1413</v>
      </c>
      <c r="BR76" s="8">
        <f t="shared" si="0"/>
        <v>9</v>
      </c>
    </row>
    <row r="77" spans="1:70" ht="14">
      <c r="A77" s="4" t="str">
        <v>Alternatif Periode ke-84 V.B.2</v>
      </c>
      <c r="B77" s="4" t="s">
        <v>518</v>
      </c>
      <c r="C77" s="4" t="s">
        <v>1414</v>
      </c>
      <c r="D77" s="4" t="s">
        <v>1393</v>
      </c>
      <c r="E77" s="4" t="s">
        <v>1415</v>
      </c>
      <c r="F77" s="4" t="s">
        <v>520</v>
      </c>
      <c r="G77" s="27" t="s">
        <v>1416</v>
      </c>
      <c r="H77" s="27" t="s">
        <v>1417</v>
      </c>
      <c r="I77" s="27" t="s">
        <v>1418</v>
      </c>
      <c r="J77" s="27" t="s">
        <v>1419</v>
      </c>
      <c r="K77" s="27" t="s">
        <v>1420</v>
      </c>
      <c r="L77" s="27" t="s">
        <v>1421</v>
      </c>
      <c r="M77" s="27" t="s">
        <v>1422</v>
      </c>
      <c r="N77" s="27" t="s">
        <v>1423</v>
      </c>
      <c r="O77" s="27" t="s">
        <v>1424</v>
      </c>
      <c r="S77" s="27">
        <v>1600026202</v>
      </c>
      <c r="T77" s="27">
        <v>1700013105</v>
      </c>
      <c r="U77" s="27">
        <v>1800011235</v>
      </c>
      <c r="V77" s="27">
        <v>1900003001</v>
      </c>
      <c r="W77" s="27">
        <v>1900009054</v>
      </c>
      <c r="X77" s="27">
        <v>1900026029</v>
      </c>
      <c r="Y77" s="27">
        <v>1900031016</v>
      </c>
      <c r="Z77" s="27">
        <v>1900031021</v>
      </c>
      <c r="AA77" s="27">
        <v>1900034030</v>
      </c>
      <c r="AE77" s="27" t="s">
        <v>570</v>
      </c>
      <c r="AF77" s="27" t="s">
        <v>677</v>
      </c>
      <c r="AG77" s="27" t="s">
        <v>182</v>
      </c>
      <c r="AH77" s="27" t="s">
        <v>178</v>
      </c>
      <c r="AI77" s="27" t="s">
        <v>952</v>
      </c>
      <c r="AJ77" s="27" t="s">
        <v>570</v>
      </c>
      <c r="AK77" s="27" t="s">
        <v>185</v>
      </c>
      <c r="AL77" s="27" t="s">
        <v>185</v>
      </c>
      <c r="AM77" s="27" t="s">
        <v>534</v>
      </c>
      <c r="AQ77" s="28" t="s">
        <v>187</v>
      </c>
      <c r="AR77" s="28" t="s">
        <v>186</v>
      </c>
      <c r="AS77" s="28" t="s">
        <v>187</v>
      </c>
      <c r="AT77" s="28" t="s">
        <v>186</v>
      </c>
      <c r="AU77" s="28" t="s">
        <v>186</v>
      </c>
      <c r="AV77" s="28" t="s">
        <v>186</v>
      </c>
      <c r="AW77" s="28" t="s">
        <v>186</v>
      </c>
      <c r="AX77" s="28" t="s">
        <v>187</v>
      </c>
      <c r="AY77" s="28" t="s">
        <v>186</v>
      </c>
      <c r="BB77" s="31"/>
      <c r="BC77" s="30" t="s">
        <v>1425</v>
      </c>
      <c r="BD77" s="30" t="s">
        <v>1426</v>
      </c>
      <c r="BE77" s="30" t="s">
        <v>1427</v>
      </c>
      <c r="BF77" s="30" t="s">
        <v>1428</v>
      </c>
      <c r="BG77" s="30" t="s">
        <v>1429</v>
      </c>
      <c r="BH77" s="30" t="s">
        <v>1430</v>
      </c>
      <c r="BI77" s="30" t="s">
        <v>1431</v>
      </c>
      <c r="BJ77" s="30" t="s">
        <v>1432</v>
      </c>
      <c r="BK77" s="30" t="s">
        <v>1433</v>
      </c>
      <c r="BL77" s="31"/>
      <c r="BM77" s="31"/>
      <c r="BO77" s="29">
        <v>60181159</v>
      </c>
      <c r="BP77" s="18" t="s">
        <v>1434</v>
      </c>
      <c r="BR77" s="8">
        <f t="shared" si="0"/>
        <v>9</v>
      </c>
    </row>
    <row r="78" spans="1:70" ht="14">
      <c r="A78" s="4" t="str">
        <v>Alternatif Periode ke-84 V.B.3</v>
      </c>
      <c r="B78" s="4" t="s">
        <v>518</v>
      </c>
      <c r="C78" s="4" t="s">
        <v>1435</v>
      </c>
      <c r="D78" s="4" t="s">
        <v>1393</v>
      </c>
      <c r="E78" s="4" t="s">
        <v>1436</v>
      </c>
      <c r="F78" s="4" t="s">
        <v>520</v>
      </c>
      <c r="G78" s="27" t="s">
        <v>1437</v>
      </c>
      <c r="H78" s="27" t="s">
        <v>1438</v>
      </c>
      <c r="I78" s="27" t="s">
        <v>1439</v>
      </c>
      <c r="J78" s="27" t="s">
        <v>1440</v>
      </c>
      <c r="K78" s="27" t="s">
        <v>1441</v>
      </c>
      <c r="L78" s="27" t="s">
        <v>1442</v>
      </c>
      <c r="M78" s="27" t="s">
        <v>1443</v>
      </c>
      <c r="N78" s="27" t="s">
        <v>1444</v>
      </c>
      <c r="O78" s="27" t="s">
        <v>1445</v>
      </c>
      <c r="S78" s="27">
        <v>1700003113</v>
      </c>
      <c r="T78" s="27">
        <v>1800026245</v>
      </c>
      <c r="U78" s="27">
        <v>1800026290</v>
      </c>
      <c r="V78" s="27">
        <v>1900011187</v>
      </c>
      <c r="W78" s="27">
        <v>1900013308</v>
      </c>
      <c r="X78" s="27">
        <v>1900031117</v>
      </c>
      <c r="Y78" s="27">
        <v>1900031149</v>
      </c>
      <c r="Z78" s="27">
        <v>1900034018</v>
      </c>
      <c r="AA78" s="27">
        <v>1911009044</v>
      </c>
      <c r="AE78" s="27" t="s">
        <v>178</v>
      </c>
      <c r="AF78" s="27" t="s">
        <v>570</v>
      </c>
      <c r="AG78" s="27" t="s">
        <v>570</v>
      </c>
      <c r="AH78" s="27" t="s">
        <v>182</v>
      </c>
      <c r="AI78" s="27" t="s">
        <v>677</v>
      </c>
      <c r="AJ78" s="27" t="s">
        <v>185</v>
      </c>
      <c r="AK78" s="27" t="s">
        <v>185</v>
      </c>
      <c r="AL78" s="27" t="s">
        <v>534</v>
      </c>
      <c r="AM78" s="27" t="s">
        <v>952</v>
      </c>
      <c r="AQ78" s="28" t="s">
        <v>186</v>
      </c>
      <c r="AR78" s="28" t="s">
        <v>186</v>
      </c>
      <c r="AS78" s="28" t="s">
        <v>187</v>
      </c>
      <c r="AT78" s="28" t="s">
        <v>187</v>
      </c>
      <c r="AU78" s="28" t="s">
        <v>186</v>
      </c>
      <c r="AV78" s="28" t="s">
        <v>187</v>
      </c>
      <c r="AW78" s="28" t="s">
        <v>186</v>
      </c>
      <c r="AX78" s="28" t="s">
        <v>186</v>
      </c>
      <c r="AY78" s="28" t="s">
        <v>186</v>
      </c>
      <c r="BB78" s="31"/>
      <c r="BC78" s="30" t="s">
        <v>1446</v>
      </c>
      <c r="BD78" s="30" t="s">
        <v>1447</v>
      </c>
      <c r="BE78" s="30" t="s">
        <v>1448</v>
      </c>
      <c r="BF78" s="30" t="s">
        <v>1449</v>
      </c>
      <c r="BG78" s="30" t="s">
        <v>1450</v>
      </c>
      <c r="BH78" s="30" t="s">
        <v>1451</v>
      </c>
      <c r="BI78" s="30" t="s">
        <v>1452</v>
      </c>
      <c r="BJ78" s="30" t="s">
        <v>1453</v>
      </c>
      <c r="BK78" s="30" t="s">
        <v>1454</v>
      </c>
      <c r="BL78" s="31"/>
      <c r="BM78" s="31"/>
      <c r="BO78" s="29">
        <v>60181159</v>
      </c>
      <c r="BP78" s="18" t="s">
        <v>1455</v>
      </c>
      <c r="BR78" s="8">
        <f t="shared" si="0"/>
        <v>9</v>
      </c>
    </row>
    <row r="79" spans="1:70" ht="14">
      <c r="A79" s="4" t="str">
        <v>Alternatif Periode ke-84 V.C.1</v>
      </c>
      <c r="B79" s="4" t="s">
        <v>518</v>
      </c>
      <c r="C79" s="4" t="s">
        <v>1456</v>
      </c>
      <c r="D79" s="4" t="s">
        <v>1457</v>
      </c>
      <c r="E79" s="4" t="s">
        <v>1458</v>
      </c>
      <c r="F79" s="4" t="s">
        <v>520</v>
      </c>
      <c r="G79" s="27" t="s">
        <v>1459</v>
      </c>
      <c r="H79" s="27" t="s">
        <v>1460</v>
      </c>
      <c r="I79" s="27" t="s">
        <v>1461</v>
      </c>
      <c r="J79" s="27" t="s">
        <v>1462</v>
      </c>
      <c r="K79" s="27" t="s">
        <v>1463</v>
      </c>
      <c r="L79" s="27" t="s">
        <v>1464</v>
      </c>
      <c r="M79" s="27" t="s">
        <v>1465</v>
      </c>
      <c r="N79" s="27" t="s">
        <v>1466</v>
      </c>
      <c r="O79" s="27" t="s">
        <v>1467</v>
      </c>
      <c r="S79" s="27">
        <v>1700013164</v>
      </c>
      <c r="T79" s="27">
        <v>1800011065</v>
      </c>
      <c r="U79" s="27">
        <v>1900003011</v>
      </c>
      <c r="V79" s="27">
        <v>1900009011</v>
      </c>
      <c r="W79" s="27">
        <v>1900026031</v>
      </c>
      <c r="X79" s="27">
        <v>1900026148</v>
      </c>
      <c r="Y79" s="27">
        <v>1900031109</v>
      </c>
      <c r="Z79" s="27">
        <v>1900031298</v>
      </c>
      <c r="AA79" s="27">
        <v>1900034037</v>
      </c>
      <c r="AE79" s="27" t="s">
        <v>677</v>
      </c>
      <c r="AF79" s="27" t="s">
        <v>182</v>
      </c>
      <c r="AG79" s="27" t="s">
        <v>178</v>
      </c>
      <c r="AH79" s="27" t="s">
        <v>952</v>
      </c>
      <c r="AI79" s="27" t="s">
        <v>570</v>
      </c>
      <c r="AJ79" s="27" t="s">
        <v>570</v>
      </c>
      <c r="AK79" s="27" t="s">
        <v>185</v>
      </c>
      <c r="AL79" s="27" t="s">
        <v>185</v>
      </c>
      <c r="AM79" s="27" t="s">
        <v>534</v>
      </c>
      <c r="AQ79" s="28" t="s">
        <v>186</v>
      </c>
      <c r="AR79" s="28" t="s">
        <v>187</v>
      </c>
      <c r="AS79" s="28" t="s">
        <v>186</v>
      </c>
      <c r="AT79" s="28" t="s">
        <v>186</v>
      </c>
      <c r="AU79" s="28" t="s">
        <v>186</v>
      </c>
      <c r="AV79" s="28" t="s">
        <v>187</v>
      </c>
      <c r="AW79" s="28" t="s">
        <v>186</v>
      </c>
      <c r="AX79" s="28" t="s">
        <v>187</v>
      </c>
      <c r="AY79" s="28" t="s">
        <v>186</v>
      </c>
      <c r="BC79" s="30" t="s">
        <v>1468</v>
      </c>
      <c r="BD79" s="30" t="s">
        <v>1469</v>
      </c>
      <c r="BE79" s="30" t="s">
        <v>1470</v>
      </c>
      <c r="BF79" s="30" t="s">
        <v>1471</v>
      </c>
      <c r="BG79" s="30" t="s">
        <v>1472</v>
      </c>
      <c r="BH79" s="30" t="s">
        <v>1473</v>
      </c>
      <c r="BI79" s="30" t="s">
        <v>1474</v>
      </c>
      <c r="BJ79" s="30" t="s">
        <v>1475</v>
      </c>
      <c r="BK79" s="30" t="s">
        <v>1476</v>
      </c>
      <c r="BL79" s="31"/>
      <c r="BM79" s="31"/>
      <c r="BO79" s="29">
        <v>60060538</v>
      </c>
      <c r="BP79" s="18" t="s">
        <v>1477</v>
      </c>
      <c r="BR79" s="8">
        <f t="shared" si="0"/>
        <v>9</v>
      </c>
    </row>
    <row r="80" spans="1:70" ht="14">
      <c r="A80" s="4" t="str">
        <v>Alternatif Periode ke-84 V.C.2</v>
      </c>
      <c r="B80" s="4" t="s">
        <v>518</v>
      </c>
      <c r="C80" s="4" t="s">
        <v>1478</v>
      </c>
      <c r="D80" s="4" t="s">
        <v>1457</v>
      </c>
      <c r="E80" s="4" t="s">
        <v>1458</v>
      </c>
      <c r="F80" s="4" t="s">
        <v>520</v>
      </c>
      <c r="G80" s="27" t="s">
        <v>1479</v>
      </c>
      <c r="H80" s="27" t="s">
        <v>1480</v>
      </c>
      <c r="I80" s="27" t="s">
        <v>1481</v>
      </c>
      <c r="J80" s="27" t="s">
        <v>1482</v>
      </c>
      <c r="K80" s="27" t="s">
        <v>1483</v>
      </c>
      <c r="L80" s="27" t="s">
        <v>1484</v>
      </c>
      <c r="M80" s="27" t="s">
        <v>1485</v>
      </c>
      <c r="N80" s="27" t="s">
        <v>1486</v>
      </c>
      <c r="O80" s="27" t="s">
        <v>1487</v>
      </c>
      <c r="S80" s="27">
        <v>1700026169</v>
      </c>
      <c r="T80" s="27">
        <v>1900003115</v>
      </c>
      <c r="U80" s="27">
        <v>1900009061</v>
      </c>
      <c r="V80" s="27">
        <v>1900011165</v>
      </c>
      <c r="W80" s="27">
        <v>1900013019</v>
      </c>
      <c r="X80" s="27">
        <v>1900026110</v>
      </c>
      <c r="Y80" s="27">
        <v>1900031066</v>
      </c>
      <c r="Z80" s="27">
        <v>1900031321</v>
      </c>
      <c r="AA80" s="27">
        <v>1900034026</v>
      </c>
      <c r="AE80" s="27" t="s">
        <v>570</v>
      </c>
      <c r="AF80" s="27" t="s">
        <v>178</v>
      </c>
      <c r="AG80" s="27" t="s">
        <v>952</v>
      </c>
      <c r="AH80" s="27" t="s">
        <v>182</v>
      </c>
      <c r="AI80" s="27" t="s">
        <v>677</v>
      </c>
      <c r="AJ80" s="27" t="s">
        <v>570</v>
      </c>
      <c r="AK80" s="27" t="s">
        <v>185</v>
      </c>
      <c r="AL80" s="27" t="s">
        <v>185</v>
      </c>
      <c r="AM80" s="27" t="s">
        <v>534</v>
      </c>
      <c r="AQ80" s="28" t="s">
        <v>187</v>
      </c>
      <c r="AR80" s="28" t="s">
        <v>186</v>
      </c>
      <c r="AS80" s="28" t="s">
        <v>186</v>
      </c>
      <c r="AT80" s="28" t="s">
        <v>187</v>
      </c>
      <c r="AU80" s="28" t="s">
        <v>186</v>
      </c>
      <c r="AV80" s="28" t="s">
        <v>186</v>
      </c>
      <c r="AW80" s="28" t="s">
        <v>186</v>
      </c>
      <c r="AX80" s="28" t="s">
        <v>187</v>
      </c>
      <c r="AY80" s="28" t="s">
        <v>186</v>
      </c>
      <c r="BC80" s="30" t="s">
        <v>1488</v>
      </c>
      <c r="BD80" s="30" t="s">
        <v>1489</v>
      </c>
      <c r="BE80" s="30" t="s">
        <v>1490</v>
      </c>
      <c r="BF80" s="30" t="s">
        <v>1491</v>
      </c>
      <c r="BG80" s="30" t="s">
        <v>1492</v>
      </c>
      <c r="BH80" s="30" t="s">
        <v>1493</v>
      </c>
      <c r="BI80" s="30" t="s">
        <v>1494</v>
      </c>
      <c r="BJ80" s="30" t="s">
        <v>1495</v>
      </c>
      <c r="BK80" s="30" t="s">
        <v>1496</v>
      </c>
      <c r="BL80" s="31"/>
      <c r="BM80" s="31"/>
      <c r="BO80" s="29">
        <v>60060538</v>
      </c>
      <c r="BP80" s="18" t="s">
        <v>1497</v>
      </c>
      <c r="BR80" s="8">
        <f t="shared" si="0"/>
        <v>9</v>
      </c>
    </row>
    <row r="81" spans="1:70" ht="14">
      <c r="A81" s="4" t="str">
        <v>Alternatif Periode ke-84 V.C.3</v>
      </c>
      <c r="B81" s="4" t="s">
        <v>518</v>
      </c>
      <c r="C81" s="4" t="s">
        <v>1498</v>
      </c>
      <c r="D81" s="4" t="s">
        <v>1457</v>
      </c>
      <c r="E81" s="4" t="s">
        <v>1499</v>
      </c>
      <c r="F81" s="4" t="s">
        <v>520</v>
      </c>
      <c r="G81" s="27" t="s">
        <v>1500</v>
      </c>
      <c r="H81" s="27" t="s">
        <v>1501</v>
      </c>
      <c r="I81" s="27" t="s">
        <v>1502</v>
      </c>
      <c r="J81" s="27" t="s">
        <v>1503</v>
      </c>
      <c r="K81" s="27" t="s">
        <v>1504</v>
      </c>
      <c r="L81" s="27" t="s">
        <v>1505</v>
      </c>
      <c r="M81" s="27" t="s">
        <v>1506</v>
      </c>
      <c r="N81" s="27" t="s">
        <v>1507</v>
      </c>
      <c r="O81" s="27" t="s">
        <v>1508</v>
      </c>
      <c r="S81" s="27">
        <v>1800011152</v>
      </c>
      <c r="T81" s="27">
        <v>1800026078</v>
      </c>
      <c r="U81" s="27">
        <v>1800026137</v>
      </c>
      <c r="V81" s="27">
        <v>1900003071</v>
      </c>
      <c r="W81" s="27">
        <v>1900009064</v>
      </c>
      <c r="X81" s="27">
        <v>1900013331</v>
      </c>
      <c r="Y81" s="27">
        <v>1900031164</v>
      </c>
      <c r="Z81" s="27">
        <v>1900031331</v>
      </c>
      <c r="AA81" s="27">
        <v>1900034028</v>
      </c>
      <c r="AE81" s="27" t="s">
        <v>182</v>
      </c>
      <c r="AF81" s="27" t="s">
        <v>570</v>
      </c>
      <c r="AG81" s="27" t="s">
        <v>570</v>
      </c>
      <c r="AH81" s="27" t="s">
        <v>178</v>
      </c>
      <c r="AI81" s="27" t="s">
        <v>952</v>
      </c>
      <c r="AJ81" s="27" t="s">
        <v>677</v>
      </c>
      <c r="AK81" s="27" t="s">
        <v>185</v>
      </c>
      <c r="AL81" s="27" t="s">
        <v>185</v>
      </c>
      <c r="AM81" s="27" t="s">
        <v>534</v>
      </c>
      <c r="AQ81" s="28" t="s">
        <v>187</v>
      </c>
      <c r="AR81" s="28" t="s">
        <v>186</v>
      </c>
      <c r="AS81" s="28" t="s">
        <v>187</v>
      </c>
      <c r="AT81" s="28" t="s">
        <v>186</v>
      </c>
      <c r="AU81" s="28" t="s">
        <v>186</v>
      </c>
      <c r="AV81" s="28" t="s">
        <v>186</v>
      </c>
      <c r="AW81" s="28" t="s">
        <v>187</v>
      </c>
      <c r="AX81" s="28" t="s">
        <v>186</v>
      </c>
      <c r="AY81" s="28" t="s">
        <v>186</v>
      </c>
      <c r="BC81" s="30" t="s">
        <v>1509</v>
      </c>
      <c r="BD81" s="30" t="s">
        <v>1510</v>
      </c>
      <c r="BE81" s="30" t="s">
        <v>1511</v>
      </c>
      <c r="BF81" s="30" t="s">
        <v>1512</v>
      </c>
      <c r="BG81" s="30" t="s">
        <v>1513</v>
      </c>
      <c r="BH81" s="30" t="s">
        <v>1514</v>
      </c>
      <c r="BI81" s="30" t="s">
        <v>1515</v>
      </c>
      <c r="BJ81" s="30" t="s">
        <v>1516</v>
      </c>
      <c r="BK81" s="30" t="s">
        <v>1517</v>
      </c>
      <c r="BL81" s="31"/>
      <c r="BM81" s="31"/>
      <c r="BO81" s="29">
        <v>60060538</v>
      </c>
      <c r="BP81" s="18" t="s">
        <v>1518</v>
      </c>
      <c r="BR81" s="8">
        <f t="shared" si="0"/>
        <v>9</v>
      </c>
    </row>
    <row r="82" spans="1:70" ht="14">
      <c r="A82" s="4" t="str">
        <v>Alternatif Periode ke-84 V.D.1</v>
      </c>
      <c r="B82" s="4" t="s">
        <v>518</v>
      </c>
      <c r="C82" s="4" t="s">
        <v>1519</v>
      </c>
      <c r="D82" s="4" t="s">
        <v>219</v>
      </c>
      <c r="E82" s="4" t="s">
        <v>1520</v>
      </c>
      <c r="F82" s="4" t="s">
        <v>520</v>
      </c>
      <c r="G82" s="27" t="s">
        <v>1521</v>
      </c>
      <c r="H82" s="27" t="s">
        <v>1522</v>
      </c>
      <c r="I82" s="27" t="s">
        <v>1523</v>
      </c>
      <c r="J82" s="27" t="s">
        <v>1524</v>
      </c>
      <c r="K82" s="27" t="s">
        <v>1525</v>
      </c>
      <c r="L82" s="27" t="s">
        <v>1526</v>
      </c>
      <c r="M82" s="27" t="s">
        <v>1527</v>
      </c>
      <c r="N82" s="27" t="s">
        <v>1528</v>
      </c>
      <c r="O82" s="27" t="s">
        <v>1529</v>
      </c>
      <c r="S82" s="27">
        <v>1800003020</v>
      </c>
      <c r="T82" s="27">
        <v>1900013340</v>
      </c>
      <c r="U82" s="27">
        <v>1900026094</v>
      </c>
      <c r="V82" s="27">
        <v>1900031081</v>
      </c>
      <c r="W82" s="27">
        <v>1900031329</v>
      </c>
      <c r="X82" s="27">
        <v>1900034007</v>
      </c>
      <c r="Y82" s="27">
        <v>1911009036</v>
      </c>
      <c r="Z82" s="27">
        <v>1911028078</v>
      </c>
      <c r="AA82" s="27">
        <v>2103011248</v>
      </c>
      <c r="AE82" s="27" t="s">
        <v>178</v>
      </c>
      <c r="AF82" s="27" t="s">
        <v>677</v>
      </c>
      <c r="AG82" s="27" t="s">
        <v>570</v>
      </c>
      <c r="AH82" s="27" t="s">
        <v>185</v>
      </c>
      <c r="AI82" s="27" t="s">
        <v>185</v>
      </c>
      <c r="AJ82" s="27" t="s">
        <v>534</v>
      </c>
      <c r="AK82" s="27" t="s">
        <v>952</v>
      </c>
      <c r="AL82" s="27" t="s">
        <v>678</v>
      </c>
      <c r="AM82" s="27" t="s">
        <v>182</v>
      </c>
      <c r="AQ82" s="28" t="s">
        <v>186</v>
      </c>
      <c r="AR82" s="28" t="s">
        <v>186</v>
      </c>
      <c r="AS82" s="28" t="s">
        <v>186</v>
      </c>
      <c r="AT82" s="28" t="s">
        <v>186</v>
      </c>
      <c r="AU82" s="28" t="s">
        <v>187</v>
      </c>
      <c r="AV82" s="28" t="s">
        <v>186</v>
      </c>
      <c r="AW82" s="28" t="s">
        <v>186</v>
      </c>
      <c r="AX82" s="28" t="s">
        <v>187</v>
      </c>
      <c r="AY82" s="28" t="s">
        <v>187</v>
      </c>
      <c r="BC82" s="30" t="s">
        <v>1530</v>
      </c>
      <c r="BD82" s="30" t="s">
        <v>1531</v>
      </c>
      <c r="BE82" s="30" t="s">
        <v>1532</v>
      </c>
      <c r="BF82" s="30" t="s">
        <v>1533</v>
      </c>
      <c r="BG82" s="30" t="s">
        <v>1534</v>
      </c>
      <c r="BH82" s="30" t="s">
        <v>1535</v>
      </c>
      <c r="BI82" s="30" t="s">
        <v>1536</v>
      </c>
      <c r="BJ82" s="30" t="s">
        <v>1537</v>
      </c>
      <c r="BK82" s="30" t="s">
        <v>1538</v>
      </c>
      <c r="BL82" s="31"/>
      <c r="BM82" s="31"/>
      <c r="BO82" s="29">
        <v>60160969</v>
      </c>
      <c r="BP82" s="18" t="s">
        <v>1539</v>
      </c>
      <c r="BR82" s="8">
        <f t="shared" si="0"/>
        <v>9</v>
      </c>
    </row>
    <row r="83" spans="1:70" ht="14">
      <c r="A83" s="4" t="str">
        <v>Alternatif Periode ke-84 V.D.2</v>
      </c>
      <c r="B83" s="4" t="s">
        <v>518</v>
      </c>
      <c r="C83" s="4" t="s">
        <v>1540</v>
      </c>
      <c r="D83" s="4" t="s">
        <v>219</v>
      </c>
      <c r="E83" s="4" t="s">
        <v>1541</v>
      </c>
      <c r="F83" s="4" t="s">
        <v>520</v>
      </c>
      <c r="G83" s="27" t="s">
        <v>1542</v>
      </c>
      <c r="H83" s="27" t="s">
        <v>1543</v>
      </c>
      <c r="I83" s="27" t="s">
        <v>1544</v>
      </c>
      <c r="J83" s="27" t="s">
        <v>1545</v>
      </c>
      <c r="K83" s="27" t="s">
        <v>1546</v>
      </c>
      <c r="L83" s="27" t="s">
        <v>1547</v>
      </c>
      <c r="M83" s="27" t="s">
        <v>1548</v>
      </c>
      <c r="N83" s="27" t="s">
        <v>1549</v>
      </c>
      <c r="O83" s="27" t="s">
        <v>1550</v>
      </c>
      <c r="S83" s="27">
        <v>1800011034</v>
      </c>
      <c r="T83" s="27">
        <v>1900003105</v>
      </c>
      <c r="U83" s="27">
        <v>1900009031</v>
      </c>
      <c r="V83" s="27">
        <v>1900013286</v>
      </c>
      <c r="W83" s="27">
        <v>1900026225</v>
      </c>
      <c r="X83" s="27">
        <v>1900028092</v>
      </c>
      <c r="Y83" s="27">
        <v>1900031090</v>
      </c>
      <c r="Z83" s="27">
        <v>1900031334</v>
      </c>
      <c r="AA83" s="27">
        <v>1900034048</v>
      </c>
      <c r="AE83" s="27" t="s">
        <v>182</v>
      </c>
      <c r="AF83" s="27" t="s">
        <v>178</v>
      </c>
      <c r="AG83" s="27" t="s">
        <v>952</v>
      </c>
      <c r="AH83" s="27" t="s">
        <v>677</v>
      </c>
      <c r="AI83" s="27" t="s">
        <v>570</v>
      </c>
      <c r="AJ83" s="27" t="s">
        <v>678</v>
      </c>
      <c r="AK83" s="27" t="s">
        <v>185</v>
      </c>
      <c r="AL83" s="27" t="s">
        <v>185</v>
      </c>
      <c r="AM83" s="27" t="s">
        <v>534</v>
      </c>
      <c r="AQ83" s="28" t="s">
        <v>187</v>
      </c>
      <c r="AR83" s="28" t="s">
        <v>186</v>
      </c>
      <c r="AS83" s="28" t="s">
        <v>186</v>
      </c>
      <c r="AT83" s="28" t="s">
        <v>186</v>
      </c>
      <c r="AU83" s="28" t="s">
        <v>186</v>
      </c>
      <c r="AV83" s="28" t="s">
        <v>187</v>
      </c>
      <c r="AW83" s="28" t="s">
        <v>187</v>
      </c>
      <c r="AX83" s="28" t="s">
        <v>186</v>
      </c>
      <c r="AY83" s="28" t="s">
        <v>186</v>
      </c>
      <c r="BC83" s="30" t="s">
        <v>1551</v>
      </c>
      <c r="BD83" s="30" t="s">
        <v>1552</v>
      </c>
      <c r="BE83" s="30" t="s">
        <v>1553</v>
      </c>
      <c r="BF83" s="30" t="s">
        <v>1554</v>
      </c>
      <c r="BG83" s="30" t="s">
        <v>1555</v>
      </c>
      <c r="BH83" s="30" t="s">
        <v>1556</v>
      </c>
      <c r="BI83" s="30" t="s">
        <v>1557</v>
      </c>
      <c r="BJ83" s="30" t="s">
        <v>1558</v>
      </c>
      <c r="BK83" s="30" t="s">
        <v>1559</v>
      </c>
      <c r="BL83" s="31"/>
      <c r="BM83" s="31"/>
      <c r="BO83" s="29">
        <v>60160969</v>
      </c>
      <c r="BP83" s="18" t="s">
        <v>1560</v>
      </c>
      <c r="BR83" s="8">
        <f t="shared" si="0"/>
        <v>9</v>
      </c>
    </row>
    <row r="84" spans="1:70" ht="14">
      <c r="A84" s="4" t="str">
        <v>Alternatif Periode ke-84 V.D.3</v>
      </c>
      <c r="B84" s="4" t="s">
        <v>518</v>
      </c>
      <c r="C84" s="4" t="s">
        <v>1561</v>
      </c>
      <c r="D84" s="4" t="s">
        <v>219</v>
      </c>
      <c r="E84" s="4" t="s">
        <v>1562</v>
      </c>
      <c r="F84" s="4" t="s">
        <v>520</v>
      </c>
      <c r="G84" s="27" t="s">
        <v>1563</v>
      </c>
      <c r="H84" s="27" t="s">
        <v>1564</v>
      </c>
      <c r="I84" s="27" t="s">
        <v>1565</v>
      </c>
      <c r="J84" s="27" t="s">
        <v>1566</v>
      </c>
      <c r="K84" s="27" t="s">
        <v>1567</v>
      </c>
      <c r="L84" s="27" t="s">
        <v>1568</v>
      </c>
      <c r="M84" s="27" t="s">
        <v>1569</v>
      </c>
      <c r="N84" s="27" t="s">
        <v>1570</v>
      </c>
      <c r="O84" s="27" t="s">
        <v>1571</v>
      </c>
      <c r="S84" s="27">
        <v>1800012117</v>
      </c>
      <c r="T84" s="27">
        <v>1800026098</v>
      </c>
      <c r="U84" s="27">
        <v>1900003038</v>
      </c>
      <c r="V84" s="27">
        <v>1900009057</v>
      </c>
      <c r="W84" s="27">
        <v>1900013350</v>
      </c>
      <c r="X84" s="27">
        <v>1900028090</v>
      </c>
      <c r="Y84" s="27">
        <v>1900031259</v>
      </c>
      <c r="Z84" s="27">
        <v>1900031386</v>
      </c>
      <c r="AA84" s="27">
        <v>1900034038</v>
      </c>
      <c r="AE84" s="27" t="s">
        <v>885</v>
      </c>
      <c r="AF84" s="27" t="s">
        <v>570</v>
      </c>
      <c r="AG84" s="27" t="s">
        <v>178</v>
      </c>
      <c r="AH84" s="27" t="s">
        <v>952</v>
      </c>
      <c r="AI84" s="27" t="s">
        <v>677</v>
      </c>
      <c r="AJ84" s="27" t="s">
        <v>678</v>
      </c>
      <c r="AK84" s="27" t="s">
        <v>185</v>
      </c>
      <c r="AL84" s="27" t="s">
        <v>185</v>
      </c>
      <c r="AM84" s="27" t="s">
        <v>534</v>
      </c>
      <c r="AQ84" s="28" t="s">
        <v>187</v>
      </c>
      <c r="AR84" s="28" t="s">
        <v>186</v>
      </c>
      <c r="AS84" s="28" t="s">
        <v>186</v>
      </c>
      <c r="AT84" s="28" t="s">
        <v>186</v>
      </c>
      <c r="AU84" s="28" t="s">
        <v>186</v>
      </c>
      <c r="AV84" s="28" t="s">
        <v>187</v>
      </c>
      <c r="AW84" s="28" t="s">
        <v>186</v>
      </c>
      <c r="AX84" s="28" t="s">
        <v>187</v>
      </c>
      <c r="AY84" s="28" t="s">
        <v>186</v>
      </c>
      <c r="BC84" s="30" t="s">
        <v>1572</v>
      </c>
      <c r="BD84" s="30" t="s">
        <v>1573</v>
      </c>
      <c r="BE84" s="30" t="s">
        <v>1574</v>
      </c>
      <c r="BF84" s="30" t="s">
        <v>1575</v>
      </c>
      <c r="BG84" s="30" t="s">
        <v>1576</v>
      </c>
      <c r="BH84" s="30" t="s">
        <v>1577</v>
      </c>
      <c r="BI84" s="30" t="s">
        <v>1578</v>
      </c>
      <c r="BJ84" s="30" t="s">
        <v>1579</v>
      </c>
      <c r="BK84" s="30" t="s">
        <v>1580</v>
      </c>
      <c r="BL84" s="31"/>
      <c r="BM84" s="31"/>
      <c r="BO84" s="29">
        <v>60160969</v>
      </c>
      <c r="BP84" s="18" t="s">
        <v>1581</v>
      </c>
      <c r="BR84" s="8">
        <f t="shared" si="0"/>
        <v>9</v>
      </c>
    </row>
    <row r="85" spans="1:70" ht="14">
      <c r="A85" s="4" t="str">
        <v>Alternatif Periode ke-84 VI.A.1</v>
      </c>
      <c r="B85" s="4" t="s">
        <v>518</v>
      </c>
      <c r="C85" s="4" t="s">
        <v>1582</v>
      </c>
      <c r="D85" s="4" t="s">
        <v>1583</v>
      </c>
      <c r="E85" s="4" t="s">
        <v>1584</v>
      </c>
      <c r="F85" s="4" t="s">
        <v>520</v>
      </c>
      <c r="G85" s="27" t="s">
        <v>1585</v>
      </c>
      <c r="H85" s="27" t="s">
        <v>1586</v>
      </c>
      <c r="I85" s="27" t="s">
        <v>1587</v>
      </c>
      <c r="J85" s="27" t="s">
        <v>1588</v>
      </c>
      <c r="K85" s="27" t="s">
        <v>1589</v>
      </c>
      <c r="L85" s="27" t="s">
        <v>1590</v>
      </c>
      <c r="M85" s="27" t="s">
        <v>1591</v>
      </c>
      <c r="N85" s="27" t="s">
        <v>1592</v>
      </c>
      <c r="O85" s="27" t="s">
        <v>1593</v>
      </c>
      <c r="S85" s="27">
        <v>1600026009</v>
      </c>
      <c r="T85" s="27">
        <v>1800012105</v>
      </c>
      <c r="U85" s="27">
        <v>1900003121</v>
      </c>
      <c r="V85" s="27">
        <v>1900009052</v>
      </c>
      <c r="W85" s="27">
        <v>1900013368</v>
      </c>
      <c r="X85" s="27">
        <v>1900028068</v>
      </c>
      <c r="Y85" s="27">
        <v>1900031072</v>
      </c>
      <c r="Z85" s="27">
        <v>1900031330</v>
      </c>
      <c r="AA85" s="27">
        <v>1900034019</v>
      </c>
      <c r="AE85" s="27" t="s">
        <v>570</v>
      </c>
      <c r="AF85" s="27" t="s">
        <v>885</v>
      </c>
      <c r="AG85" s="27" t="s">
        <v>178</v>
      </c>
      <c r="AH85" s="27" t="s">
        <v>952</v>
      </c>
      <c r="AI85" s="27" t="s">
        <v>677</v>
      </c>
      <c r="AJ85" s="27" t="s">
        <v>678</v>
      </c>
      <c r="AK85" s="27" t="s">
        <v>185</v>
      </c>
      <c r="AL85" s="27" t="s">
        <v>185</v>
      </c>
      <c r="AM85" s="27" t="s">
        <v>534</v>
      </c>
      <c r="AQ85" s="28" t="s">
        <v>186</v>
      </c>
      <c r="AR85" s="28" t="s">
        <v>187</v>
      </c>
      <c r="AS85" s="28" t="s">
        <v>186</v>
      </c>
      <c r="AT85" s="28" t="s">
        <v>186</v>
      </c>
      <c r="AU85" s="28" t="s">
        <v>186</v>
      </c>
      <c r="AV85" s="28" t="s">
        <v>187</v>
      </c>
      <c r="AW85" s="28" t="s">
        <v>187</v>
      </c>
      <c r="AX85" s="28" t="s">
        <v>186</v>
      </c>
      <c r="AY85" s="28" t="s">
        <v>186</v>
      </c>
      <c r="BC85" s="30" t="s">
        <v>1594</v>
      </c>
      <c r="BD85" s="30" t="s">
        <v>1595</v>
      </c>
      <c r="BE85" s="30" t="s">
        <v>1596</v>
      </c>
      <c r="BF85" s="30" t="s">
        <v>1597</v>
      </c>
      <c r="BG85" s="30" t="s">
        <v>1598</v>
      </c>
      <c r="BH85" s="30" t="s">
        <v>1599</v>
      </c>
      <c r="BI85" s="30" t="s">
        <v>1600</v>
      </c>
      <c r="BJ85" s="30" t="s">
        <v>1601</v>
      </c>
      <c r="BK85" s="30" t="s">
        <v>1602</v>
      </c>
      <c r="BL85" s="31"/>
      <c r="BM85" s="31"/>
      <c r="BO85" s="29">
        <v>60160924</v>
      </c>
      <c r="BP85" s="18" t="s">
        <v>1603</v>
      </c>
      <c r="BR85" s="8">
        <f t="shared" si="0"/>
        <v>9</v>
      </c>
    </row>
    <row r="86" spans="1:70" ht="14">
      <c r="A86" s="4" t="str">
        <v>Alternatif Periode ke-84 VI.A.2</v>
      </c>
      <c r="B86" s="4" t="s">
        <v>518</v>
      </c>
      <c r="C86" s="4" t="s">
        <v>1604</v>
      </c>
      <c r="D86" s="4" t="s">
        <v>1583</v>
      </c>
      <c r="E86" s="4" t="s">
        <v>1605</v>
      </c>
      <c r="F86" s="4" t="s">
        <v>520</v>
      </c>
      <c r="G86" s="27" t="s">
        <v>1606</v>
      </c>
      <c r="H86" s="27" t="s">
        <v>1607</v>
      </c>
      <c r="I86" s="27" t="s">
        <v>1608</v>
      </c>
      <c r="J86" s="27" t="s">
        <v>1609</v>
      </c>
      <c r="K86" s="27" t="s">
        <v>1610</v>
      </c>
      <c r="L86" s="27" t="s">
        <v>1611</v>
      </c>
      <c r="M86" s="27" t="s">
        <v>1612</v>
      </c>
      <c r="N86" s="27" t="s">
        <v>1613</v>
      </c>
      <c r="O86" s="27" t="s">
        <v>1614</v>
      </c>
      <c r="S86" s="27">
        <v>1500013340</v>
      </c>
      <c r="T86" s="27">
        <v>1900003099</v>
      </c>
      <c r="U86" s="27">
        <v>1900009045</v>
      </c>
      <c r="V86" s="27">
        <v>1900012105</v>
      </c>
      <c r="W86" s="27">
        <v>1900026177</v>
      </c>
      <c r="X86" s="27">
        <v>1900028119</v>
      </c>
      <c r="Y86" s="27">
        <v>1900031245</v>
      </c>
      <c r="Z86" s="27">
        <v>1900031335</v>
      </c>
      <c r="AA86" s="27">
        <v>1900034008</v>
      </c>
      <c r="AE86" s="27" t="s">
        <v>677</v>
      </c>
      <c r="AF86" s="27" t="s">
        <v>178</v>
      </c>
      <c r="AG86" s="27" t="s">
        <v>952</v>
      </c>
      <c r="AH86" s="27" t="s">
        <v>885</v>
      </c>
      <c r="AI86" s="27" t="s">
        <v>570</v>
      </c>
      <c r="AJ86" s="27" t="s">
        <v>678</v>
      </c>
      <c r="AK86" s="27" t="s">
        <v>185</v>
      </c>
      <c r="AL86" s="27" t="s">
        <v>185</v>
      </c>
      <c r="AM86" s="27" t="s">
        <v>534</v>
      </c>
      <c r="AQ86" s="28" t="s">
        <v>186</v>
      </c>
      <c r="AR86" s="28" t="s">
        <v>186</v>
      </c>
      <c r="AS86" s="28" t="s">
        <v>186</v>
      </c>
      <c r="AT86" s="28" t="s">
        <v>187</v>
      </c>
      <c r="AU86" s="28" t="s">
        <v>186</v>
      </c>
      <c r="AV86" s="28" t="s">
        <v>187</v>
      </c>
      <c r="AW86" s="28" t="s">
        <v>186</v>
      </c>
      <c r="AX86" s="28" t="s">
        <v>187</v>
      </c>
      <c r="AY86" s="28" t="s">
        <v>186</v>
      </c>
      <c r="BC86" s="30" t="s">
        <v>1615</v>
      </c>
      <c r="BD86" s="30" t="s">
        <v>1616</v>
      </c>
      <c r="BE86" s="30" t="s">
        <v>1617</v>
      </c>
      <c r="BF86" s="30" t="s">
        <v>1618</v>
      </c>
      <c r="BG86" s="30" t="s">
        <v>1619</v>
      </c>
      <c r="BH86" s="30" t="s">
        <v>1620</v>
      </c>
      <c r="BI86" s="30" t="s">
        <v>1621</v>
      </c>
      <c r="BJ86" s="30" t="s">
        <v>1622</v>
      </c>
      <c r="BK86" s="30" t="s">
        <v>1623</v>
      </c>
      <c r="BL86" s="31"/>
      <c r="BM86" s="31"/>
      <c r="BO86" s="29">
        <v>60160924</v>
      </c>
      <c r="BP86" s="18" t="s">
        <v>1624</v>
      </c>
      <c r="BR86" s="8">
        <f t="shared" si="0"/>
        <v>9</v>
      </c>
    </row>
    <row r="87" spans="1:70" ht="14">
      <c r="A87" s="4" t="str">
        <v>Alternatif Periode ke-84 VI.A.3</v>
      </c>
      <c r="B87" s="4" t="s">
        <v>518</v>
      </c>
      <c r="C87" s="4" t="s">
        <v>1625</v>
      </c>
      <c r="D87" s="4" t="s">
        <v>1583</v>
      </c>
      <c r="E87" s="4" t="s">
        <v>1626</v>
      </c>
      <c r="F87" s="4" t="s">
        <v>520</v>
      </c>
      <c r="G87" s="27" t="s">
        <v>1627</v>
      </c>
      <c r="H87" s="27" t="s">
        <v>1628</v>
      </c>
      <c r="I87" s="27" t="s">
        <v>1629</v>
      </c>
      <c r="J87" s="27" t="s">
        <v>1630</v>
      </c>
      <c r="K87" s="27" t="s">
        <v>1631</v>
      </c>
      <c r="L87" s="27" t="s">
        <v>1632</v>
      </c>
      <c r="M87" s="27" t="s">
        <v>1633</v>
      </c>
      <c r="N87" s="27" t="s">
        <v>1634</v>
      </c>
      <c r="O87" s="27" t="s">
        <v>1635</v>
      </c>
      <c r="S87" s="27">
        <v>1900003091</v>
      </c>
      <c r="T87" s="27">
        <v>1900009006</v>
      </c>
      <c r="U87" s="27">
        <v>1900013257</v>
      </c>
      <c r="V87" s="27">
        <v>1900013296</v>
      </c>
      <c r="W87" s="27">
        <v>1900026174</v>
      </c>
      <c r="X87" s="27">
        <v>1900028055</v>
      </c>
      <c r="Y87" s="27">
        <v>1900031041</v>
      </c>
      <c r="Z87" s="27">
        <v>1900031250</v>
      </c>
      <c r="AA87" s="27">
        <v>1900034044</v>
      </c>
      <c r="AE87" s="27" t="s">
        <v>178</v>
      </c>
      <c r="AF87" s="27" t="s">
        <v>952</v>
      </c>
      <c r="AG87" s="27" t="s">
        <v>677</v>
      </c>
      <c r="AH87" s="27" t="s">
        <v>677</v>
      </c>
      <c r="AI87" s="27" t="s">
        <v>570</v>
      </c>
      <c r="AJ87" s="27" t="s">
        <v>678</v>
      </c>
      <c r="AK87" s="27" t="s">
        <v>185</v>
      </c>
      <c r="AL87" s="27" t="s">
        <v>185</v>
      </c>
      <c r="AM87" s="27" t="s">
        <v>534</v>
      </c>
      <c r="AQ87" s="28" t="s">
        <v>186</v>
      </c>
      <c r="AR87" s="28" t="s">
        <v>186</v>
      </c>
      <c r="AS87" s="28" t="s">
        <v>187</v>
      </c>
      <c r="AT87" s="28" t="s">
        <v>186</v>
      </c>
      <c r="AU87" s="28" t="s">
        <v>186</v>
      </c>
      <c r="AV87" s="28" t="s">
        <v>187</v>
      </c>
      <c r="AW87" s="28" t="s">
        <v>187</v>
      </c>
      <c r="AX87" s="28" t="s">
        <v>186</v>
      </c>
      <c r="AY87" s="28" t="s">
        <v>186</v>
      </c>
      <c r="BC87" s="30" t="s">
        <v>1636</v>
      </c>
      <c r="BD87" s="30" t="s">
        <v>1637</v>
      </c>
      <c r="BE87" s="30" t="s">
        <v>1638</v>
      </c>
      <c r="BF87" s="30" t="s">
        <v>1639</v>
      </c>
      <c r="BG87" s="30" t="s">
        <v>1640</v>
      </c>
      <c r="BH87" s="30" t="s">
        <v>1641</v>
      </c>
      <c r="BI87" s="30" t="s">
        <v>1642</v>
      </c>
      <c r="BJ87" s="30" t="s">
        <v>1643</v>
      </c>
      <c r="BK87" s="30" t="s">
        <v>1644</v>
      </c>
      <c r="BL87" s="31"/>
      <c r="BM87" s="31"/>
      <c r="BO87" s="29">
        <v>60160924</v>
      </c>
      <c r="BP87" s="18" t="s">
        <v>1645</v>
      </c>
      <c r="BR87" s="8">
        <f t="shared" si="0"/>
        <v>9</v>
      </c>
    </row>
    <row r="88" spans="1:70" ht="14">
      <c r="A88" s="4" t="str">
        <v>Alternatif Periode ke-84 VI.B.1</v>
      </c>
      <c r="B88" s="4" t="s">
        <v>518</v>
      </c>
      <c r="C88" s="4" t="s">
        <v>1646</v>
      </c>
      <c r="D88" s="4" t="s">
        <v>1647</v>
      </c>
      <c r="E88" s="4" t="s">
        <v>1648</v>
      </c>
      <c r="F88" s="4" t="s">
        <v>520</v>
      </c>
      <c r="G88" s="27" t="s">
        <v>1649</v>
      </c>
      <c r="H88" s="27" t="s">
        <v>1650</v>
      </c>
      <c r="I88" s="27" t="s">
        <v>1651</v>
      </c>
      <c r="J88" s="27" t="s">
        <v>1652</v>
      </c>
      <c r="K88" s="27" t="s">
        <v>1653</v>
      </c>
      <c r="L88" s="27" t="s">
        <v>1654</v>
      </c>
      <c r="M88" s="27" t="s">
        <v>1655</v>
      </c>
      <c r="N88" s="27" t="s">
        <v>1656</v>
      </c>
      <c r="O88" s="27" t="s">
        <v>1657</v>
      </c>
      <c r="S88" s="27">
        <v>1700013136</v>
      </c>
      <c r="T88" s="27">
        <v>1900003062</v>
      </c>
      <c r="U88" s="27">
        <v>1900009049</v>
      </c>
      <c r="V88" s="27">
        <v>1900013160</v>
      </c>
      <c r="W88" s="27">
        <v>1900026173</v>
      </c>
      <c r="X88" s="27">
        <v>1900028050</v>
      </c>
      <c r="Y88" s="27">
        <v>1900031236</v>
      </c>
      <c r="Z88" s="27">
        <v>1900031238</v>
      </c>
      <c r="AA88" s="27">
        <v>1900034053</v>
      </c>
      <c r="AE88" s="27" t="s">
        <v>677</v>
      </c>
      <c r="AF88" s="27" t="s">
        <v>178</v>
      </c>
      <c r="AG88" s="27" t="s">
        <v>952</v>
      </c>
      <c r="AH88" s="27" t="s">
        <v>677</v>
      </c>
      <c r="AI88" s="27" t="s">
        <v>570</v>
      </c>
      <c r="AJ88" s="27" t="s">
        <v>678</v>
      </c>
      <c r="AK88" s="27" t="s">
        <v>185</v>
      </c>
      <c r="AL88" s="27" t="s">
        <v>185</v>
      </c>
      <c r="AM88" s="27" t="s">
        <v>534</v>
      </c>
      <c r="AQ88" s="28" t="s">
        <v>187</v>
      </c>
      <c r="AR88" s="28" t="s">
        <v>186</v>
      </c>
      <c r="AS88" s="28" t="s">
        <v>186</v>
      </c>
      <c r="AT88" s="28" t="s">
        <v>186</v>
      </c>
      <c r="AU88" s="28" t="s">
        <v>186</v>
      </c>
      <c r="AV88" s="28" t="s">
        <v>187</v>
      </c>
      <c r="AW88" s="28" t="s">
        <v>187</v>
      </c>
      <c r="AX88" s="28" t="s">
        <v>186</v>
      </c>
      <c r="AY88" s="28" t="s">
        <v>186</v>
      </c>
      <c r="BC88" s="30" t="s">
        <v>1658</v>
      </c>
      <c r="BD88" s="30" t="s">
        <v>1659</v>
      </c>
      <c r="BE88" s="30" t="s">
        <v>1660</v>
      </c>
      <c r="BF88" s="30" t="s">
        <v>1661</v>
      </c>
      <c r="BG88" s="30" t="s">
        <v>1662</v>
      </c>
      <c r="BH88" s="30" t="s">
        <v>1663</v>
      </c>
      <c r="BI88" s="30" t="s">
        <v>1664</v>
      </c>
      <c r="BJ88" s="30" t="s">
        <v>1665</v>
      </c>
      <c r="BK88" s="30" t="s">
        <v>1666</v>
      </c>
      <c r="BL88" s="31"/>
      <c r="BM88" s="31"/>
      <c r="BO88" s="29">
        <v>60010363</v>
      </c>
      <c r="BP88" s="18" t="s">
        <v>1667</v>
      </c>
      <c r="BR88" s="8">
        <f t="shared" si="0"/>
        <v>9</v>
      </c>
    </row>
    <row r="89" spans="1:70" ht="14">
      <c r="A89" s="4" t="str">
        <v>Alternatif Periode ke-84 VI.B.2</v>
      </c>
      <c r="B89" s="4" t="s">
        <v>518</v>
      </c>
      <c r="C89" s="4" t="s">
        <v>1668</v>
      </c>
      <c r="D89" s="4" t="s">
        <v>1647</v>
      </c>
      <c r="E89" s="4" t="s">
        <v>1669</v>
      </c>
      <c r="F89" s="4" t="s">
        <v>520</v>
      </c>
      <c r="G89" s="27" t="s">
        <v>1670</v>
      </c>
      <c r="H89" s="27" t="s">
        <v>1671</v>
      </c>
      <c r="I89" s="27" t="s">
        <v>1672</v>
      </c>
      <c r="J89" s="27" t="s">
        <v>1673</v>
      </c>
      <c r="K89" s="27" t="s">
        <v>1674</v>
      </c>
      <c r="L89" s="27" t="s">
        <v>1675</v>
      </c>
      <c r="M89" s="27" t="s">
        <v>1676</v>
      </c>
      <c r="N89" s="27" t="s">
        <v>1677</v>
      </c>
      <c r="O89" s="27" t="s">
        <v>1678</v>
      </c>
      <c r="S89" s="27">
        <v>1700013206</v>
      </c>
      <c r="T89" s="27">
        <v>1800026029</v>
      </c>
      <c r="U89" s="27">
        <v>1900003142</v>
      </c>
      <c r="V89" s="27">
        <v>1900010305</v>
      </c>
      <c r="W89" s="27">
        <v>1900013298</v>
      </c>
      <c r="X89" s="27">
        <v>1900028074</v>
      </c>
      <c r="Y89" s="27">
        <v>1900031243</v>
      </c>
      <c r="Z89" s="27">
        <v>1900031322</v>
      </c>
      <c r="AA89" s="27">
        <v>1900034017</v>
      </c>
      <c r="AE89" s="27" t="s">
        <v>677</v>
      </c>
      <c r="AF89" s="27" t="s">
        <v>570</v>
      </c>
      <c r="AG89" s="27" t="s">
        <v>178</v>
      </c>
      <c r="AH89" s="27" t="s">
        <v>532</v>
      </c>
      <c r="AI89" s="27" t="s">
        <v>677</v>
      </c>
      <c r="AJ89" s="27" t="s">
        <v>678</v>
      </c>
      <c r="AK89" s="27" t="s">
        <v>185</v>
      </c>
      <c r="AL89" s="27" t="s">
        <v>185</v>
      </c>
      <c r="AM89" s="27" t="s">
        <v>534</v>
      </c>
      <c r="AQ89" s="28" t="s">
        <v>187</v>
      </c>
      <c r="AR89" s="28" t="s">
        <v>186</v>
      </c>
      <c r="AS89" s="28" t="s">
        <v>186</v>
      </c>
      <c r="AT89" s="28" t="s">
        <v>186</v>
      </c>
      <c r="AU89" s="28" t="s">
        <v>186</v>
      </c>
      <c r="AV89" s="28" t="s">
        <v>187</v>
      </c>
      <c r="AW89" s="28" t="s">
        <v>186</v>
      </c>
      <c r="AX89" s="28" t="s">
        <v>187</v>
      </c>
      <c r="AY89" s="28" t="s">
        <v>186</v>
      </c>
      <c r="BC89" s="30" t="s">
        <v>1679</v>
      </c>
      <c r="BD89" s="30" t="s">
        <v>1680</v>
      </c>
      <c r="BE89" s="30" t="s">
        <v>1681</v>
      </c>
      <c r="BF89" s="30" t="s">
        <v>1682</v>
      </c>
      <c r="BG89" s="30" t="s">
        <v>1683</v>
      </c>
      <c r="BH89" s="30" t="s">
        <v>1684</v>
      </c>
      <c r="BI89" s="30" t="s">
        <v>1685</v>
      </c>
      <c r="BJ89" s="30" t="s">
        <v>1686</v>
      </c>
      <c r="BK89" s="30" t="s">
        <v>1687</v>
      </c>
      <c r="BL89" s="31"/>
      <c r="BM89" s="31"/>
      <c r="BO89" s="29">
        <v>60010363</v>
      </c>
      <c r="BP89" s="18" t="s">
        <v>1688</v>
      </c>
      <c r="BR89" s="8">
        <f t="shared" si="0"/>
        <v>9</v>
      </c>
    </row>
    <row r="90" spans="1:70" ht="14">
      <c r="A90" s="4" t="str">
        <v>Alternatif Periode ke-84 VI.B.3</v>
      </c>
      <c r="B90" s="4" t="s">
        <v>518</v>
      </c>
      <c r="C90" s="4" t="s">
        <v>1689</v>
      </c>
      <c r="D90" s="4" t="s">
        <v>1647</v>
      </c>
      <c r="E90" s="4" t="s">
        <v>1669</v>
      </c>
      <c r="F90" s="4" t="s">
        <v>520</v>
      </c>
      <c r="G90" s="27" t="s">
        <v>1690</v>
      </c>
      <c r="H90" s="27" t="s">
        <v>1691</v>
      </c>
      <c r="I90" s="27" t="s">
        <v>1692</v>
      </c>
      <c r="J90" s="27" t="s">
        <v>1693</v>
      </c>
      <c r="K90" s="27" t="s">
        <v>1694</v>
      </c>
      <c r="L90" s="27" t="s">
        <v>1695</v>
      </c>
      <c r="M90" s="27" t="s">
        <v>1696</v>
      </c>
      <c r="N90" s="27" t="s">
        <v>1697</v>
      </c>
      <c r="O90" s="27" t="s">
        <v>1698</v>
      </c>
      <c r="S90" s="27">
        <v>1600026078</v>
      </c>
      <c r="T90" s="27">
        <v>1800013117</v>
      </c>
      <c r="U90" s="27">
        <v>1900003003</v>
      </c>
      <c r="V90" s="27">
        <v>1900010170</v>
      </c>
      <c r="W90" s="27">
        <v>1900013040</v>
      </c>
      <c r="X90" s="27">
        <v>1900028081</v>
      </c>
      <c r="Y90" s="27">
        <v>1900031176</v>
      </c>
      <c r="Z90" s="27">
        <v>1900031229</v>
      </c>
      <c r="AA90" s="27">
        <v>1900034035</v>
      </c>
      <c r="AE90" s="27" t="s">
        <v>570</v>
      </c>
      <c r="AF90" s="27" t="s">
        <v>677</v>
      </c>
      <c r="AG90" s="27" t="s">
        <v>178</v>
      </c>
      <c r="AH90" s="27" t="s">
        <v>532</v>
      </c>
      <c r="AI90" s="27" t="s">
        <v>677</v>
      </c>
      <c r="AJ90" s="27" t="s">
        <v>678</v>
      </c>
      <c r="AK90" s="27" t="s">
        <v>185</v>
      </c>
      <c r="AL90" s="27" t="s">
        <v>185</v>
      </c>
      <c r="AM90" s="27" t="s">
        <v>534</v>
      </c>
      <c r="AQ90" s="28" t="s">
        <v>186</v>
      </c>
      <c r="AR90" s="28" t="s">
        <v>187</v>
      </c>
      <c r="AS90" s="28" t="s">
        <v>186</v>
      </c>
      <c r="AT90" s="28" t="s">
        <v>186</v>
      </c>
      <c r="AU90" s="28" t="s">
        <v>186</v>
      </c>
      <c r="AV90" s="28" t="s">
        <v>187</v>
      </c>
      <c r="AW90" s="28" t="s">
        <v>187</v>
      </c>
      <c r="AX90" s="28" t="s">
        <v>186</v>
      </c>
      <c r="AY90" s="28" t="s">
        <v>186</v>
      </c>
      <c r="BC90" s="30" t="s">
        <v>1699</v>
      </c>
      <c r="BD90" s="30" t="s">
        <v>1700</v>
      </c>
      <c r="BE90" s="30" t="s">
        <v>1701</v>
      </c>
      <c r="BF90" s="30" t="s">
        <v>1702</v>
      </c>
      <c r="BG90" s="30" t="s">
        <v>1703</v>
      </c>
      <c r="BH90" s="30" t="s">
        <v>1704</v>
      </c>
      <c r="BI90" s="30" t="s">
        <v>1705</v>
      </c>
      <c r="BJ90" s="34" t="s">
        <v>1706</v>
      </c>
      <c r="BK90" s="30" t="s">
        <v>1707</v>
      </c>
      <c r="BL90" s="31"/>
      <c r="BM90" s="31"/>
      <c r="BO90" s="29">
        <v>60010363</v>
      </c>
      <c r="BP90" s="18" t="s">
        <v>1708</v>
      </c>
      <c r="BR90" s="8">
        <f t="shared" si="0"/>
        <v>9</v>
      </c>
    </row>
    <row r="91" spans="1:70" ht="14">
      <c r="A91" s="4" t="str">
        <v>Alternatif Periode ke-84 VI.C.1</v>
      </c>
      <c r="B91" s="4" t="s">
        <v>518</v>
      </c>
      <c r="C91" s="4" t="s">
        <v>1709</v>
      </c>
      <c r="D91" s="4" t="s">
        <v>1710</v>
      </c>
      <c r="E91" s="4" t="s">
        <v>1711</v>
      </c>
      <c r="F91" s="4" t="s">
        <v>520</v>
      </c>
      <c r="G91" s="27" t="s">
        <v>1712</v>
      </c>
      <c r="H91" s="27" t="s">
        <v>1713</v>
      </c>
      <c r="I91" s="27" t="s">
        <v>1714</v>
      </c>
      <c r="J91" s="27" t="s">
        <v>1715</v>
      </c>
      <c r="K91" s="27" t="s">
        <v>1716</v>
      </c>
      <c r="L91" s="27" t="s">
        <v>1717</v>
      </c>
      <c r="M91" s="27" t="s">
        <v>1718</v>
      </c>
      <c r="N91" s="27" t="s">
        <v>1719</v>
      </c>
      <c r="O91" s="27" t="s">
        <v>1720</v>
      </c>
      <c r="S91" s="27">
        <v>1600013255</v>
      </c>
      <c r="T91" s="27">
        <v>1800028063</v>
      </c>
      <c r="U91" s="27">
        <v>1800031205</v>
      </c>
      <c r="V91" s="27">
        <v>1900010156</v>
      </c>
      <c r="W91" s="27">
        <v>1900013277</v>
      </c>
      <c r="X91" s="27">
        <v>1900026133</v>
      </c>
      <c r="Y91" s="27">
        <v>1900031063</v>
      </c>
      <c r="Z91" s="27">
        <v>1900034006</v>
      </c>
      <c r="AA91" s="27">
        <v>1911003076</v>
      </c>
      <c r="AE91" s="27" t="s">
        <v>677</v>
      </c>
      <c r="AF91" s="27" t="s">
        <v>678</v>
      </c>
      <c r="AG91" s="27" t="s">
        <v>185</v>
      </c>
      <c r="AH91" s="27" t="s">
        <v>532</v>
      </c>
      <c r="AI91" s="27" t="s">
        <v>677</v>
      </c>
      <c r="AJ91" s="27" t="s">
        <v>570</v>
      </c>
      <c r="AK91" s="27" t="s">
        <v>185</v>
      </c>
      <c r="AL91" s="27" t="s">
        <v>534</v>
      </c>
      <c r="AM91" s="27" t="s">
        <v>178</v>
      </c>
      <c r="AQ91" s="28" t="s">
        <v>186</v>
      </c>
      <c r="AR91" s="28" t="s">
        <v>187</v>
      </c>
      <c r="AS91" s="28" t="s">
        <v>187</v>
      </c>
      <c r="AT91" s="28" t="s">
        <v>186</v>
      </c>
      <c r="AU91" s="28" t="s">
        <v>187</v>
      </c>
      <c r="AV91" s="28" t="s">
        <v>186</v>
      </c>
      <c r="AW91" s="28" t="s">
        <v>186</v>
      </c>
      <c r="AX91" s="28" t="s">
        <v>186</v>
      </c>
      <c r="AY91" s="28" t="s">
        <v>186</v>
      </c>
      <c r="BC91" s="30" t="s">
        <v>1721</v>
      </c>
      <c r="BD91" s="30" t="s">
        <v>1722</v>
      </c>
      <c r="BE91" s="30" t="s">
        <v>1723</v>
      </c>
      <c r="BF91" s="30" t="s">
        <v>1724</v>
      </c>
      <c r="BG91" s="30" t="s">
        <v>1725</v>
      </c>
      <c r="BH91" s="30" t="s">
        <v>1726</v>
      </c>
      <c r="BI91" s="30" t="s">
        <v>1727</v>
      </c>
      <c r="BJ91" s="30" t="s">
        <v>1728</v>
      </c>
      <c r="BK91" s="30" t="s">
        <v>1729</v>
      </c>
      <c r="BL91" s="31"/>
      <c r="BM91" s="31"/>
      <c r="BO91" s="29">
        <v>60110646</v>
      </c>
      <c r="BP91" s="18" t="s">
        <v>1730</v>
      </c>
      <c r="BR91" s="8">
        <f t="shared" si="0"/>
        <v>9</v>
      </c>
    </row>
    <row r="92" spans="1:70" ht="14">
      <c r="A92" s="4" t="str">
        <v>Alternatif Periode ke-84 VI.C.2</v>
      </c>
      <c r="B92" s="4" t="s">
        <v>518</v>
      </c>
      <c r="C92" s="4" t="s">
        <v>1731</v>
      </c>
      <c r="D92" s="4" t="s">
        <v>1710</v>
      </c>
      <c r="E92" s="4" t="s">
        <v>1732</v>
      </c>
      <c r="F92" s="4" t="s">
        <v>520</v>
      </c>
      <c r="G92" s="27" t="s">
        <v>1733</v>
      </c>
      <c r="H92" s="27" t="s">
        <v>1734</v>
      </c>
      <c r="I92" s="27" t="s">
        <v>1735</v>
      </c>
      <c r="J92" s="27" t="s">
        <v>1736</v>
      </c>
      <c r="K92" s="27" t="s">
        <v>1737</v>
      </c>
      <c r="L92" s="27" t="s">
        <v>1738</v>
      </c>
      <c r="M92" s="27" t="s">
        <v>1739</v>
      </c>
      <c r="N92" s="27" t="s">
        <v>1740</v>
      </c>
      <c r="O92" s="27" t="s">
        <v>1741</v>
      </c>
      <c r="S92" s="27">
        <v>1800013322</v>
      </c>
      <c r="T92" s="27">
        <v>1900003157</v>
      </c>
      <c r="U92" s="27">
        <v>1900010084</v>
      </c>
      <c r="V92" s="27">
        <v>1900013027</v>
      </c>
      <c r="W92" s="27">
        <v>1900026151</v>
      </c>
      <c r="X92" s="27">
        <v>1900028043</v>
      </c>
      <c r="Y92" s="27">
        <v>1900031103</v>
      </c>
      <c r="Z92" s="27">
        <v>1900031196</v>
      </c>
      <c r="AA92" s="27">
        <v>1900034002</v>
      </c>
      <c r="AE92" s="27" t="s">
        <v>677</v>
      </c>
      <c r="AF92" s="27" t="s">
        <v>178</v>
      </c>
      <c r="AG92" s="27" t="s">
        <v>532</v>
      </c>
      <c r="AH92" s="27" t="s">
        <v>677</v>
      </c>
      <c r="AI92" s="27" t="s">
        <v>570</v>
      </c>
      <c r="AJ92" s="27" t="s">
        <v>678</v>
      </c>
      <c r="AK92" s="27" t="s">
        <v>185</v>
      </c>
      <c r="AL92" s="27" t="s">
        <v>185</v>
      </c>
      <c r="AM92" s="27" t="s">
        <v>534</v>
      </c>
      <c r="AQ92" s="28" t="s">
        <v>187</v>
      </c>
      <c r="AR92" s="28" t="s">
        <v>186</v>
      </c>
      <c r="AS92" s="28" t="s">
        <v>186</v>
      </c>
      <c r="AT92" s="28" t="s">
        <v>186</v>
      </c>
      <c r="AU92" s="28" t="s">
        <v>186</v>
      </c>
      <c r="AV92" s="28" t="s">
        <v>187</v>
      </c>
      <c r="AW92" s="28" t="s">
        <v>186</v>
      </c>
      <c r="AX92" s="28" t="s">
        <v>187</v>
      </c>
      <c r="AY92" s="28" t="s">
        <v>186</v>
      </c>
      <c r="BC92" s="30" t="s">
        <v>1742</v>
      </c>
      <c r="BD92" s="30" t="s">
        <v>1743</v>
      </c>
      <c r="BE92" s="30" t="s">
        <v>1744</v>
      </c>
      <c r="BF92" s="30" t="s">
        <v>1745</v>
      </c>
      <c r="BG92" s="30" t="s">
        <v>1746</v>
      </c>
      <c r="BH92" s="30" t="s">
        <v>1747</v>
      </c>
      <c r="BI92" s="30" t="s">
        <v>1748</v>
      </c>
      <c r="BJ92" s="30" t="s">
        <v>1749</v>
      </c>
      <c r="BK92" s="30" t="s">
        <v>1750</v>
      </c>
      <c r="BL92" s="31"/>
      <c r="BM92" s="31"/>
      <c r="BO92" s="29">
        <v>60110646</v>
      </c>
      <c r="BP92" s="18" t="s">
        <v>1751</v>
      </c>
      <c r="BR92" s="8">
        <f t="shared" si="0"/>
        <v>9</v>
      </c>
    </row>
    <row r="93" spans="1:70" ht="14">
      <c r="A93" s="4" t="str">
        <v>Alternatif Periode ke-84 VI.C.3</v>
      </c>
      <c r="B93" s="4" t="s">
        <v>518</v>
      </c>
      <c r="C93" s="4" t="s">
        <v>1752</v>
      </c>
      <c r="D93" s="4" t="s">
        <v>1710</v>
      </c>
      <c r="E93" s="4" t="s">
        <v>1753</v>
      </c>
      <c r="F93" s="4" t="s">
        <v>520</v>
      </c>
      <c r="G93" s="27" t="s">
        <v>1754</v>
      </c>
      <c r="H93" s="27" t="s">
        <v>1755</v>
      </c>
      <c r="I93" s="27" t="s">
        <v>1756</v>
      </c>
      <c r="J93" s="27" t="s">
        <v>1757</v>
      </c>
      <c r="K93" s="27" t="s">
        <v>1758</v>
      </c>
      <c r="L93" s="27" t="s">
        <v>1759</v>
      </c>
      <c r="M93" s="27" t="s">
        <v>1760</v>
      </c>
      <c r="N93" s="27" t="s">
        <v>1761</v>
      </c>
      <c r="O93" s="27" t="s">
        <v>1762</v>
      </c>
      <c r="S93" s="27">
        <v>1600030107</v>
      </c>
      <c r="T93" s="27">
        <v>1800013208</v>
      </c>
      <c r="U93" s="27">
        <v>1900003109</v>
      </c>
      <c r="V93" s="27">
        <v>1900010239</v>
      </c>
      <c r="W93" s="27">
        <v>1900027010</v>
      </c>
      <c r="X93" s="27">
        <v>1900028132</v>
      </c>
      <c r="Y93" s="27">
        <v>1900031058</v>
      </c>
      <c r="Z93" s="27">
        <v>1900031101</v>
      </c>
      <c r="AA93" s="27">
        <v>1900034014</v>
      </c>
      <c r="AE93" s="27" t="s">
        <v>184</v>
      </c>
      <c r="AF93" s="27" t="s">
        <v>677</v>
      </c>
      <c r="AG93" s="27" t="s">
        <v>178</v>
      </c>
      <c r="AH93" s="27" t="s">
        <v>532</v>
      </c>
      <c r="AI93" s="27" t="s">
        <v>1763</v>
      </c>
      <c r="AJ93" s="27" t="s">
        <v>678</v>
      </c>
      <c r="AK93" s="27" t="s">
        <v>185</v>
      </c>
      <c r="AL93" s="27" t="s">
        <v>185</v>
      </c>
      <c r="AM93" s="27" t="s">
        <v>534</v>
      </c>
      <c r="AQ93" s="28" t="s">
        <v>186</v>
      </c>
      <c r="AR93" s="28" t="s">
        <v>187</v>
      </c>
      <c r="AS93" s="28" t="s">
        <v>186</v>
      </c>
      <c r="AT93" s="28" t="s">
        <v>186</v>
      </c>
      <c r="AU93" s="28" t="s">
        <v>186</v>
      </c>
      <c r="AV93" s="28" t="s">
        <v>187</v>
      </c>
      <c r="AW93" s="28" t="s">
        <v>186</v>
      </c>
      <c r="AX93" s="28" t="s">
        <v>187</v>
      </c>
      <c r="AY93" s="28" t="s">
        <v>186</v>
      </c>
      <c r="BC93" s="30" t="s">
        <v>1764</v>
      </c>
      <c r="BD93" s="30" t="s">
        <v>1765</v>
      </c>
      <c r="BE93" s="30" t="s">
        <v>1766</v>
      </c>
      <c r="BF93" s="30" t="s">
        <v>1767</v>
      </c>
      <c r="BG93" s="30" t="s">
        <v>1768</v>
      </c>
      <c r="BH93" s="30" t="s">
        <v>1769</v>
      </c>
      <c r="BI93" s="30" t="s">
        <v>1770</v>
      </c>
      <c r="BJ93" s="30" t="s">
        <v>1771</v>
      </c>
      <c r="BK93" s="30" t="s">
        <v>1772</v>
      </c>
      <c r="BL93" s="31"/>
      <c r="BM93" s="31"/>
      <c r="BO93" s="29">
        <v>60110646</v>
      </c>
      <c r="BP93" s="18" t="s">
        <v>1773</v>
      </c>
      <c r="BR93" s="8">
        <f t="shared" si="0"/>
        <v>9</v>
      </c>
    </row>
    <row r="94" spans="1:70" ht="14">
      <c r="A94" s="4" t="str">
        <v>Alternatif Periode ke-84 VI.D.1</v>
      </c>
      <c r="B94" s="4" t="s">
        <v>518</v>
      </c>
      <c r="C94" s="4" t="s">
        <v>1774</v>
      </c>
      <c r="D94" s="4" t="s">
        <v>1775</v>
      </c>
      <c r="E94" s="4" t="s">
        <v>1776</v>
      </c>
      <c r="F94" s="4" t="s">
        <v>520</v>
      </c>
      <c r="G94" s="27" t="s">
        <v>1777</v>
      </c>
      <c r="H94" s="27" t="s">
        <v>1778</v>
      </c>
      <c r="I94" s="27" t="s">
        <v>1779</v>
      </c>
      <c r="J94" s="27" t="s">
        <v>1780</v>
      </c>
      <c r="K94" s="27" t="s">
        <v>1781</v>
      </c>
      <c r="L94" s="27" t="s">
        <v>1782</v>
      </c>
      <c r="M94" s="27" t="s">
        <v>1783</v>
      </c>
      <c r="N94" s="27" t="s">
        <v>1784</v>
      </c>
      <c r="O94" s="27" t="s">
        <v>1785</v>
      </c>
      <c r="S94" s="27">
        <v>1600013123</v>
      </c>
      <c r="T94" s="27">
        <v>1900003048</v>
      </c>
      <c r="U94" s="27">
        <v>1900010304</v>
      </c>
      <c r="V94" s="27">
        <v>1900013390</v>
      </c>
      <c r="W94" s="27">
        <v>1900027068</v>
      </c>
      <c r="X94" s="27">
        <v>1900028129</v>
      </c>
      <c r="Y94" s="27">
        <v>1900031251</v>
      </c>
      <c r="Z94" s="27">
        <v>1900031337</v>
      </c>
      <c r="AA94" s="27">
        <v>1900034023</v>
      </c>
      <c r="AE94" s="27" t="s">
        <v>677</v>
      </c>
      <c r="AF94" s="27" t="s">
        <v>178</v>
      </c>
      <c r="AG94" s="27" t="s">
        <v>532</v>
      </c>
      <c r="AH94" s="27" t="s">
        <v>677</v>
      </c>
      <c r="AI94" s="27" t="s">
        <v>1763</v>
      </c>
      <c r="AJ94" s="27" t="s">
        <v>678</v>
      </c>
      <c r="AK94" s="27" t="s">
        <v>185</v>
      </c>
      <c r="AL94" s="27" t="s">
        <v>185</v>
      </c>
      <c r="AM94" s="27" t="s">
        <v>534</v>
      </c>
      <c r="AQ94" s="28" t="s">
        <v>187</v>
      </c>
      <c r="AR94" s="28" t="s">
        <v>186</v>
      </c>
      <c r="AS94" s="28" t="s">
        <v>186</v>
      </c>
      <c r="AT94" s="28" t="s">
        <v>186</v>
      </c>
      <c r="AU94" s="28" t="s">
        <v>186</v>
      </c>
      <c r="AV94" s="28" t="s">
        <v>187</v>
      </c>
      <c r="AW94" s="28" t="s">
        <v>187</v>
      </c>
      <c r="AX94" s="28" t="s">
        <v>186</v>
      </c>
      <c r="AY94" s="28" t="s">
        <v>186</v>
      </c>
      <c r="BC94" s="30" t="s">
        <v>1786</v>
      </c>
      <c r="BD94" s="30" t="s">
        <v>1787</v>
      </c>
      <c r="BE94" s="30" t="s">
        <v>1788</v>
      </c>
      <c r="BF94" s="30" t="s">
        <v>1789</v>
      </c>
      <c r="BG94" s="34" t="s">
        <v>1790</v>
      </c>
      <c r="BH94" s="30" t="s">
        <v>1791</v>
      </c>
      <c r="BI94" s="30" t="s">
        <v>1792</v>
      </c>
      <c r="BJ94" s="30" t="s">
        <v>1793</v>
      </c>
      <c r="BK94" s="30" t="s">
        <v>1794</v>
      </c>
      <c r="BL94" s="31"/>
      <c r="BM94" s="31"/>
      <c r="BO94" s="29">
        <v>60090574</v>
      </c>
      <c r="BP94" s="18" t="s">
        <v>1795</v>
      </c>
      <c r="BR94" s="8">
        <f t="shared" si="0"/>
        <v>9</v>
      </c>
    </row>
    <row r="95" spans="1:70" ht="14">
      <c r="A95" s="4" t="str">
        <v>Alternatif Periode ke-84 VI.D.2</v>
      </c>
      <c r="B95" s="4" t="s">
        <v>518</v>
      </c>
      <c r="C95" s="4" t="s">
        <v>1796</v>
      </c>
      <c r="D95" s="4" t="s">
        <v>1775</v>
      </c>
      <c r="E95" s="4" t="s">
        <v>1797</v>
      </c>
      <c r="F95" s="4" t="s">
        <v>520</v>
      </c>
      <c r="G95" s="27" t="s">
        <v>1798</v>
      </c>
      <c r="H95" s="27" t="s">
        <v>1799</v>
      </c>
      <c r="I95" s="27" t="s">
        <v>1800</v>
      </c>
      <c r="J95" s="27" t="s">
        <v>1801</v>
      </c>
      <c r="K95" s="27" t="s">
        <v>1802</v>
      </c>
      <c r="L95" s="27" t="s">
        <v>1803</v>
      </c>
      <c r="M95" s="27" t="s">
        <v>1804</v>
      </c>
      <c r="N95" s="27" t="s">
        <v>1805</v>
      </c>
      <c r="O95" s="27" t="s">
        <v>1806</v>
      </c>
      <c r="S95" s="27">
        <v>1900003149</v>
      </c>
      <c r="T95" s="27">
        <v>1900010022</v>
      </c>
      <c r="U95" s="27">
        <v>1900013126</v>
      </c>
      <c r="V95" s="27">
        <v>1900014029</v>
      </c>
      <c r="W95" s="27">
        <v>1900027008</v>
      </c>
      <c r="X95" s="27">
        <v>1900028093</v>
      </c>
      <c r="Y95" s="27">
        <v>1900031046</v>
      </c>
      <c r="Z95" s="27">
        <v>1900031260</v>
      </c>
      <c r="AA95" s="27">
        <v>1900034033</v>
      </c>
      <c r="AE95" s="27" t="s">
        <v>178</v>
      </c>
      <c r="AF95" s="27" t="s">
        <v>532</v>
      </c>
      <c r="AG95" s="27" t="s">
        <v>677</v>
      </c>
      <c r="AH95" s="27" t="s">
        <v>770</v>
      </c>
      <c r="AI95" s="27" t="s">
        <v>1763</v>
      </c>
      <c r="AJ95" s="27" t="s">
        <v>678</v>
      </c>
      <c r="AK95" s="27" t="s">
        <v>185</v>
      </c>
      <c r="AL95" s="27" t="s">
        <v>185</v>
      </c>
      <c r="AM95" s="27" t="s">
        <v>534</v>
      </c>
      <c r="AQ95" s="28" t="s">
        <v>186</v>
      </c>
      <c r="AR95" s="28" t="s">
        <v>186</v>
      </c>
      <c r="AS95" s="28" t="s">
        <v>186</v>
      </c>
      <c r="AT95" s="28" t="s">
        <v>187</v>
      </c>
      <c r="AU95" s="28" t="s">
        <v>186</v>
      </c>
      <c r="AV95" s="28" t="s">
        <v>187</v>
      </c>
      <c r="AW95" s="28" t="s">
        <v>187</v>
      </c>
      <c r="AX95" s="28" t="s">
        <v>186</v>
      </c>
      <c r="AY95" s="28" t="s">
        <v>186</v>
      </c>
      <c r="BC95" s="30" t="s">
        <v>1807</v>
      </c>
      <c r="BD95" s="30" t="s">
        <v>1808</v>
      </c>
      <c r="BE95" s="30" t="s">
        <v>1809</v>
      </c>
      <c r="BF95" s="30" t="s">
        <v>1810</v>
      </c>
      <c r="BG95" s="30" t="s">
        <v>1811</v>
      </c>
      <c r="BH95" s="30" t="s">
        <v>1812</v>
      </c>
      <c r="BI95" s="30" t="s">
        <v>1813</v>
      </c>
      <c r="BJ95" s="30" t="s">
        <v>1814</v>
      </c>
      <c r="BK95" s="30" t="s">
        <v>1815</v>
      </c>
      <c r="BL95" s="31"/>
      <c r="BM95" s="31"/>
      <c r="BO95" s="29">
        <v>60090574</v>
      </c>
      <c r="BP95" s="18" t="s">
        <v>1816</v>
      </c>
      <c r="BR95" s="8">
        <f t="shared" si="0"/>
        <v>9</v>
      </c>
    </row>
    <row r="96" spans="1:70" ht="14">
      <c r="A96" s="4" t="str">
        <v>Alternatif Periode ke-84 VII.A.1</v>
      </c>
      <c r="B96" s="4" t="s">
        <v>518</v>
      </c>
      <c r="C96" s="4" t="s">
        <v>1817</v>
      </c>
      <c r="D96" s="4" t="s">
        <v>1818</v>
      </c>
      <c r="E96" s="4" t="s">
        <v>1819</v>
      </c>
      <c r="F96" s="4" t="s">
        <v>520</v>
      </c>
      <c r="G96" s="27" t="s">
        <v>1820</v>
      </c>
      <c r="H96" s="27" t="s">
        <v>1821</v>
      </c>
      <c r="I96" s="27" t="s">
        <v>1822</v>
      </c>
      <c r="J96" s="27" t="s">
        <v>1823</v>
      </c>
      <c r="K96" s="27" t="s">
        <v>1824</v>
      </c>
      <c r="L96" s="27" t="s">
        <v>1825</v>
      </c>
      <c r="M96" s="27" t="s">
        <v>1826</v>
      </c>
      <c r="N96" s="27" t="s">
        <v>1827</v>
      </c>
      <c r="O96" s="27" t="s">
        <v>1828</v>
      </c>
      <c r="S96" s="27">
        <v>1700013156</v>
      </c>
      <c r="T96" s="27">
        <v>1800028118</v>
      </c>
      <c r="U96" s="27">
        <v>1900003078</v>
      </c>
      <c r="V96" s="27">
        <v>1900010251</v>
      </c>
      <c r="W96" s="27">
        <v>1900016083</v>
      </c>
      <c r="X96" s="27">
        <v>1900028115</v>
      </c>
      <c r="Y96" s="27">
        <v>1900031104</v>
      </c>
      <c r="Z96" s="27">
        <v>1900032094</v>
      </c>
      <c r="AA96" s="27">
        <v>1900034011</v>
      </c>
      <c r="AE96" s="27" t="s">
        <v>677</v>
      </c>
      <c r="AF96" s="27" t="s">
        <v>678</v>
      </c>
      <c r="AG96" s="27" t="s">
        <v>178</v>
      </c>
      <c r="AH96" s="27" t="s">
        <v>532</v>
      </c>
      <c r="AI96" s="27" t="s">
        <v>531</v>
      </c>
      <c r="AJ96" s="27" t="s">
        <v>678</v>
      </c>
      <c r="AK96" s="27" t="s">
        <v>185</v>
      </c>
      <c r="AL96" s="27" t="s">
        <v>732</v>
      </c>
      <c r="AM96" s="27" t="s">
        <v>534</v>
      </c>
      <c r="AQ96" s="28" t="s">
        <v>186</v>
      </c>
      <c r="AR96" s="28" t="s">
        <v>187</v>
      </c>
      <c r="AS96" s="28" t="s">
        <v>186</v>
      </c>
      <c r="AT96" s="28" t="s">
        <v>186</v>
      </c>
      <c r="AU96" s="28" t="s">
        <v>187</v>
      </c>
      <c r="AV96" s="28" t="s">
        <v>186</v>
      </c>
      <c r="AW96" s="28" t="s">
        <v>186</v>
      </c>
      <c r="AX96" s="28" t="s">
        <v>187</v>
      </c>
      <c r="AY96" s="28" t="s">
        <v>186</v>
      </c>
      <c r="BC96" s="30" t="s">
        <v>1829</v>
      </c>
      <c r="BD96" s="30" t="s">
        <v>1830</v>
      </c>
      <c r="BE96" s="30" t="s">
        <v>1831</v>
      </c>
      <c r="BF96" s="30" t="s">
        <v>1832</v>
      </c>
      <c r="BG96" s="30" t="s">
        <v>1833</v>
      </c>
      <c r="BH96" s="30" t="s">
        <v>1834</v>
      </c>
      <c r="BI96" s="30" t="s">
        <v>1835</v>
      </c>
      <c r="BJ96" s="30" t="s">
        <v>1836</v>
      </c>
      <c r="BK96" s="30" t="s">
        <v>1837</v>
      </c>
      <c r="BL96" s="31"/>
      <c r="BM96" s="31"/>
      <c r="BO96" s="29">
        <v>60110634</v>
      </c>
      <c r="BP96" s="18" t="s">
        <v>1838</v>
      </c>
      <c r="BR96" s="8">
        <f t="shared" si="0"/>
        <v>9</v>
      </c>
    </row>
    <row r="97" spans="1:71" ht="14">
      <c r="A97" s="4" t="str">
        <v>Alternatif Periode ke-84 VII.A.2</v>
      </c>
      <c r="B97" s="4" t="s">
        <v>518</v>
      </c>
      <c r="C97" s="4" t="s">
        <v>1839</v>
      </c>
      <c r="D97" s="4" t="s">
        <v>1818</v>
      </c>
      <c r="E97" s="4" t="s">
        <v>1840</v>
      </c>
      <c r="F97" s="4" t="s">
        <v>520</v>
      </c>
      <c r="G97" s="27" t="s">
        <v>1841</v>
      </c>
      <c r="H97" s="27" t="s">
        <v>1842</v>
      </c>
      <c r="I97" s="27" t="s">
        <v>1843</v>
      </c>
      <c r="J97" s="27" t="s">
        <v>1844</v>
      </c>
      <c r="K97" s="27" t="s">
        <v>1845</v>
      </c>
      <c r="L97" s="27" t="s">
        <v>1846</v>
      </c>
      <c r="M97" s="27" t="s">
        <v>1847</v>
      </c>
      <c r="N97" s="27" t="s">
        <v>1848</v>
      </c>
      <c r="O97" s="27" t="s">
        <v>1849</v>
      </c>
      <c r="S97" s="27">
        <v>1600016066</v>
      </c>
      <c r="T97" s="27">
        <v>1800010188</v>
      </c>
      <c r="U97" s="27">
        <v>1800032024</v>
      </c>
      <c r="V97" s="27">
        <v>1900003135</v>
      </c>
      <c r="W97" s="27">
        <v>1900013267</v>
      </c>
      <c r="X97" s="27">
        <v>1900028098</v>
      </c>
      <c r="Y97" s="27">
        <v>1900029305</v>
      </c>
      <c r="Z97" s="27">
        <v>1900031225</v>
      </c>
      <c r="AA97" s="27">
        <v>1900034043</v>
      </c>
      <c r="AE97" s="27" t="s">
        <v>531</v>
      </c>
      <c r="AF97" s="27" t="s">
        <v>532</v>
      </c>
      <c r="AG97" s="27" t="s">
        <v>732</v>
      </c>
      <c r="AH97" s="27" t="s">
        <v>178</v>
      </c>
      <c r="AI97" s="27" t="s">
        <v>677</v>
      </c>
      <c r="AJ97" s="27" t="s">
        <v>678</v>
      </c>
      <c r="AK97" s="27" t="s">
        <v>533</v>
      </c>
      <c r="AL97" s="27" t="s">
        <v>185</v>
      </c>
      <c r="AM97" s="27" t="s">
        <v>534</v>
      </c>
      <c r="AQ97" s="28" t="s">
        <v>187</v>
      </c>
      <c r="AR97" s="28" t="s">
        <v>186</v>
      </c>
      <c r="AS97" s="28" t="s">
        <v>187</v>
      </c>
      <c r="AT97" s="28" t="s">
        <v>186</v>
      </c>
      <c r="AU97" s="28" t="s">
        <v>186</v>
      </c>
      <c r="AV97" s="28" t="s">
        <v>186</v>
      </c>
      <c r="AW97" s="28" t="s">
        <v>187</v>
      </c>
      <c r="AX97" s="28" t="s">
        <v>186</v>
      </c>
      <c r="AY97" s="28" t="s">
        <v>186</v>
      </c>
      <c r="BC97" s="30" t="s">
        <v>1850</v>
      </c>
      <c r="BD97" s="30" t="s">
        <v>1851</v>
      </c>
      <c r="BE97" s="30" t="s">
        <v>1852</v>
      </c>
      <c r="BF97" s="30" t="s">
        <v>1853</v>
      </c>
      <c r="BG97" s="30" t="s">
        <v>1854</v>
      </c>
      <c r="BH97" s="30" t="s">
        <v>1855</v>
      </c>
      <c r="BI97" s="30" t="s">
        <v>1856</v>
      </c>
      <c r="BJ97" s="30" t="s">
        <v>1857</v>
      </c>
      <c r="BK97" s="30" t="s">
        <v>1858</v>
      </c>
      <c r="BL97" s="31"/>
      <c r="BM97" s="31"/>
      <c r="BO97" s="29">
        <v>60110634</v>
      </c>
      <c r="BP97" s="18" t="s">
        <v>1859</v>
      </c>
      <c r="BR97" s="8">
        <f t="shared" si="0"/>
        <v>9</v>
      </c>
    </row>
    <row r="98" spans="1:71" ht="14">
      <c r="A98" s="4" t="str">
        <v>Alternatif Periode ke-84 VII.A.3</v>
      </c>
      <c r="B98" s="4" t="s">
        <v>518</v>
      </c>
      <c r="C98" s="4" t="s">
        <v>1860</v>
      </c>
      <c r="D98" s="4" t="s">
        <v>1818</v>
      </c>
      <c r="E98" s="4" t="s">
        <v>1861</v>
      </c>
      <c r="F98" s="4" t="s">
        <v>520</v>
      </c>
      <c r="G98" s="27" t="s">
        <v>1862</v>
      </c>
      <c r="H98" s="27" t="s">
        <v>1863</v>
      </c>
      <c r="I98" s="27" t="s">
        <v>1864</v>
      </c>
      <c r="J98" s="27" t="s">
        <v>1865</v>
      </c>
      <c r="K98" s="27" t="s">
        <v>1866</v>
      </c>
      <c r="L98" s="27" t="s">
        <v>1867</v>
      </c>
      <c r="M98" s="27" t="s">
        <v>1868</v>
      </c>
      <c r="N98" s="27" t="s">
        <v>1869</v>
      </c>
      <c r="O98" s="27" t="s">
        <v>1870</v>
      </c>
      <c r="S98" s="27">
        <v>1600001254</v>
      </c>
      <c r="T98" s="27">
        <v>1700029257</v>
      </c>
      <c r="U98" s="27">
        <v>1800010138</v>
      </c>
      <c r="V98" s="27">
        <v>1800016135</v>
      </c>
      <c r="W98" s="27">
        <v>1900003108</v>
      </c>
      <c r="X98" s="27">
        <v>1900013273</v>
      </c>
      <c r="Y98" s="27">
        <v>1900028020</v>
      </c>
      <c r="Z98" s="27">
        <v>1900031316</v>
      </c>
      <c r="AA98" s="27">
        <v>1900032186</v>
      </c>
      <c r="AE98" s="27" t="s">
        <v>180</v>
      </c>
      <c r="AF98" s="27" t="s">
        <v>533</v>
      </c>
      <c r="AG98" s="27" t="s">
        <v>532</v>
      </c>
      <c r="AH98" s="27" t="s">
        <v>531</v>
      </c>
      <c r="AI98" s="27" t="s">
        <v>178</v>
      </c>
      <c r="AJ98" s="27" t="s">
        <v>677</v>
      </c>
      <c r="AK98" s="27" t="s">
        <v>678</v>
      </c>
      <c r="AL98" s="27" t="s">
        <v>185</v>
      </c>
      <c r="AM98" s="27" t="s">
        <v>732</v>
      </c>
      <c r="AQ98" s="28" t="s">
        <v>187</v>
      </c>
      <c r="AR98" s="28" t="s">
        <v>187</v>
      </c>
      <c r="AS98" s="28" t="s">
        <v>186</v>
      </c>
      <c r="AT98" s="28" t="s">
        <v>187</v>
      </c>
      <c r="AU98" s="28" t="s">
        <v>186</v>
      </c>
      <c r="AV98" s="28" t="s">
        <v>186</v>
      </c>
      <c r="AW98" s="28" t="s">
        <v>186</v>
      </c>
      <c r="AX98" s="28" t="s">
        <v>186</v>
      </c>
      <c r="AY98" s="28" t="s">
        <v>187</v>
      </c>
      <c r="BC98" s="30" t="s">
        <v>1871</v>
      </c>
      <c r="BD98" s="30" t="s">
        <v>1872</v>
      </c>
      <c r="BE98" s="30" t="s">
        <v>1873</v>
      </c>
      <c r="BF98" s="30" t="s">
        <v>1874</v>
      </c>
      <c r="BG98" s="30" t="s">
        <v>1875</v>
      </c>
      <c r="BH98" s="30" t="s">
        <v>1876</v>
      </c>
      <c r="BI98" s="30" t="s">
        <v>1877</v>
      </c>
      <c r="BJ98" s="30" t="s">
        <v>1878</v>
      </c>
      <c r="BK98" s="30" t="s">
        <v>1879</v>
      </c>
      <c r="BL98" s="31"/>
      <c r="BM98" s="31"/>
      <c r="BO98" s="29">
        <v>60110634</v>
      </c>
      <c r="BP98" s="18" t="s">
        <v>1880</v>
      </c>
      <c r="BR98" s="8">
        <f t="shared" si="0"/>
        <v>9</v>
      </c>
    </row>
    <row r="99" spans="1:71" ht="14">
      <c r="A99" s="4" t="str">
        <v>Alternatif Periode ke-84 VII.B.1</v>
      </c>
      <c r="B99" s="4" t="s">
        <v>518</v>
      </c>
      <c r="C99" s="4" t="s">
        <v>1881</v>
      </c>
      <c r="D99" s="4" t="s">
        <v>1882</v>
      </c>
      <c r="E99" s="4" t="s">
        <v>1883</v>
      </c>
      <c r="F99" s="4" t="s">
        <v>520</v>
      </c>
      <c r="G99" s="27" t="s">
        <v>1884</v>
      </c>
      <c r="H99" s="27" t="s">
        <v>1885</v>
      </c>
      <c r="I99" s="27" t="s">
        <v>1886</v>
      </c>
      <c r="J99" s="27" t="s">
        <v>1887</v>
      </c>
      <c r="K99" s="27" t="s">
        <v>1888</v>
      </c>
      <c r="L99" s="27" t="s">
        <v>1889</v>
      </c>
      <c r="M99" s="27" t="s">
        <v>1890</v>
      </c>
      <c r="N99" s="27" t="s">
        <v>1891</v>
      </c>
      <c r="O99" s="27" t="s">
        <v>1892</v>
      </c>
      <c r="S99" s="27">
        <v>1600030171</v>
      </c>
      <c r="T99" s="27">
        <v>1800034053</v>
      </c>
      <c r="U99" s="27">
        <v>1900003019</v>
      </c>
      <c r="V99" s="27">
        <v>1900010006</v>
      </c>
      <c r="W99" s="27">
        <v>1900013280</v>
      </c>
      <c r="X99" s="27">
        <v>1900028024</v>
      </c>
      <c r="Y99" s="27">
        <v>1900031003</v>
      </c>
      <c r="Z99" s="27">
        <v>1900032139</v>
      </c>
      <c r="AA99" s="27">
        <v>1911016121</v>
      </c>
      <c r="AE99" s="27" t="s">
        <v>184</v>
      </c>
      <c r="AF99" s="27" t="s">
        <v>534</v>
      </c>
      <c r="AG99" s="27" t="s">
        <v>178</v>
      </c>
      <c r="AH99" s="27" t="s">
        <v>532</v>
      </c>
      <c r="AI99" s="27" t="s">
        <v>677</v>
      </c>
      <c r="AJ99" s="27" t="s">
        <v>678</v>
      </c>
      <c r="AK99" s="27" t="s">
        <v>185</v>
      </c>
      <c r="AL99" s="27" t="s">
        <v>732</v>
      </c>
      <c r="AM99" s="27" t="s">
        <v>531</v>
      </c>
      <c r="AQ99" s="28" t="s">
        <v>187</v>
      </c>
      <c r="AR99" s="28" t="s">
        <v>186</v>
      </c>
      <c r="AS99" s="28" t="s">
        <v>186</v>
      </c>
      <c r="AT99" s="28" t="s">
        <v>186</v>
      </c>
      <c r="AU99" s="28" t="s">
        <v>186</v>
      </c>
      <c r="AV99" s="28" t="s">
        <v>186</v>
      </c>
      <c r="AW99" s="28" t="s">
        <v>186</v>
      </c>
      <c r="AX99" s="28" t="s">
        <v>187</v>
      </c>
      <c r="AY99" s="28" t="s">
        <v>187</v>
      </c>
      <c r="BC99" s="30" t="s">
        <v>1893</v>
      </c>
      <c r="BD99" s="30" t="s">
        <v>1894</v>
      </c>
      <c r="BE99" s="30" t="s">
        <v>1895</v>
      </c>
      <c r="BF99" s="30" t="s">
        <v>1896</v>
      </c>
      <c r="BG99" s="30" t="s">
        <v>1897</v>
      </c>
      <c r="BH99" s="30" t="s">
        <v>1898</v>
      </c>
      <c r="BI99" s="30" t="s">
        <v>1899</v>
      </c>
      <c r="BJ99" s="30" t="s">
        <v>1900</v>
      </c>
      <c r="BK99" s="30" t="s">
        <v>1901</v>
      </c>
      <c r="BL99" s="31"/>
      <c r="BM99" s="31"/>
      <c r="BO99" s="29">
        <v>60081548</v>
      </c>
      <c r="BP99" s="18" t="s">
        <v>1902</v>
      </c>
      <c r="BR99" s="8">
        <f t="shared" si="0"/>
        <v>9</v>
      </c>
    </row>
    <row r="100" spans="1:71" ht="14">
      <c r="A100" s="4" t="str">
        <v>Alternatif Periode ke-84 VII.B.2</v>
      </c>
      <c r="B100" s="4" t="s">
        <v>518</v>
      </c>
      <c r="C100" s="4" t="s">
        <v>1903</v>
      </c>
      <c r="D100" s="4" t="s">
        <v>1882</v>
      </c>
      <c r="E100" s="4" t="s">
        <v>1904</v>
      </c>
      <c r="F100" s="4" t="s">
        <v>520</v>
      </c>
      <c r="G100" s="27" t="s">
        <v>1905</v>
      </c>
      <c r="H100" s="27" t="s">
        <v>1906</v>
      </c>
      <c r="I100" s="27" t="s">
        <v>1907</v>
      </c>
      <c r="J100" s="27" t="s">
        <v>1908</v>
      </c>
      <c r="K100" s="27" t="s">
        <v>1909</v>
      </c>
      <c r="L100" s="27" t="s">
        <v>1910</v>
      </c>
      <c r="M100" s="27" t="s">
        <v>1911</v>
      </c>
      <c r="N100" s="27" t="s">
        <v>1912</v>
      </c>
      <c r="O100" s="27" t="s">
        <v>1913</v>
      </c>
      <c r="S100" s="27">
        <v>1800016043</v>
      </c>
      <c r="T100" s="27">
        <v>1800030263</v>
      </c>
      <c r="U100" s="27">
        <v>1900003047</v>
      </c>
      <c r="V100" s="27">
        <v>1900010149</v>
      </c>
      <c r="W100" s="27">
        <v>1900013122</v>
      </c>
      <c r="X100" s="27">
        <v>1900031283</v>
      </c>
      <c r="Y100" s="27">
        <v>1900032088</v>
      </c>
      <c r="Z100" s="27">
        <v>1900034054</v>
      </c>
      <c r="AA100" s="27">
        <v>1911028054</v>
      </c>
      <c r="AE100" s="27" t="s">
        <v>531</v>
      </c>
      <c r="AF100" s="27" t="s">
        <v>184</v>
      </c>
      <c r="AG100" s="27" t="s">
        <v>178</v>
      </c>
      <c r="AH100" s="27" t="s">
        <v>532</v>
      </c>
      <c r="AI100" s="27" t="s">
        <v>677</v>
      </c>
      <c r="AJ100" s="27" t="s">
        <v>185</v>
      </c>
      <c r="AK100" s="27" t="s">
        <v>732</v>
      </c>
      <c r="AL100" s="27" t="s">
        <v>534</v>
      </c>
      <c r="AM100" s="27" t="s">
        <v>678</v>
      </c>
      <c r="AQ100" s="28" t="s">
        <v>187</v>
      </c>
      <c r="AR100" s="28" t="s">
        <v>187</v>
      </c>
      <c r="AS100" s="28" t="s">
        <v>186</v>
      </c>
      <c r="AT100" s="28" t="s">
        <v>186</v>
      </c>
      <c r="AU100" s="28" t="s">
        <v>186</v>
      </c>
      <c r="AV100" s="28" t="s">
        <v>186</v>
      </c>
      <c r="AW100" s="28" t="s">
        <v>187</v>
      </c>
      <c r="AX100" s="28" t="s">
        <v>186</v>
      </c>
      <c r="AY100" s="28" t="s">
        <v>186</v>
      </c>
      <c r="BC100" s="30" t="s">
        <v>1914</v>
      </c>
      <c r="BD100" s="30" t="s">
        <v>1915</v>
      </c>
      <c r="BE100" s="30" t="s">
        <v>1916</v>
      </c>
      <c r="BF100" s="30" t="s">
        <v>1917</v>
      </c>
      <c r="BG100" s="30" t="s">
        <v>1918</v>
      </c>
      <c r="BH100" s="30" t="s">
        <v>1919</v>
      </c>
      <c r="BI100" s="30" t="s">
        <v>1920</v>
      </c>
      <c r="BJ100" s="30" t="s">
        <v>1921</v>
      </c>
      <c r="BK100" s="30" t="s">
        <v>1922</v>
      </c>
      <c r="BL100" s="31"/>
      <c r="BM100" s="31"/>
      <c r="BO100" s="29">
        <v>60081548</v>
      </c>
      <c r="BP100" s="18" t="s">
        <v>1923</v>
      </c>
      <c r="BR100" s="8">
        <f t="shared" si="0"/>
        <v>9</v>
      </c>
    </row>
    <row r="101" spans="1:71" ht="14">
      <c r="A101" s="4" t="str">
        <v>Alternatif Periode ke-84 VII.B.3</v>
      </c>
      <c r="B101" s="4" t="s">
        <v>518</v>
      </c>
      <c r="C101" s="4" t="s">
        <v>1924</v>
      </c>
      <c r="D101" s="4" t="s">
        <v>1882</v>
      </c>
      <c r="E101" s="4" t="s">
        <v>1925</v>
      </c>
      <c r="F101" s="4" t="s">
        <v>520</v>
      </c>
      <c r="G101" s="27" t="s">
        <v>1926</v>
      </c>
      <c r="H101" s="27" t="s">
        <v>1927</v>
      </c>
      <c r="I101" s="27" t="s">
        <v>1928</v>
      </c>
      <c r="J101" s="27" t="s">
        <v>1929</v>
      </c>
      <c r="K101" s="27" t="s">
        <v>1930</v>
      </c>
      <c r="L101" s="27" t="s">
        <v>1931</v>
      </c>
      <c r="M101" s="27" t="s">
        <v>1932</v>
      </c>
      <c r="N101" s="27" t="s">
        <v>1933</v>
      </c>
      <c r="O101" s="27" t="s">
        <v>1934</v>
      </c>
      <c r="S101" s="27">
        <v>1600001285</v>
      </c>
      <c r="T101" s="27">
        <v>1600030335</v>
      </c>
      <c r="U101" s="27">
        <v>1800032010</v>
      </c>
      <c r="V101" s="27">
        <v>1900004048</v>
      </c>
      <c r="W101" s="27">
        <v>1900010064</v>
      </c>
      <c r="X101" s="27">
        <v>1900013311</v>
      </c>
      <c r="Y101" s="27">
        <v>1900016179</v>
      </c>
      <c r="Z101" s="27">
        <v>1900029093</v>
      </c>
      <c r="AA101" s="27">
        <v>1900031051</v>
      </c>
      <c r="AE101" s="27" t="s">
        <v>180</v>
      </c>
      <c r="AF101" s="27" t="s">
        <v>184</v>
      </c>
      <c r="AG101" s="27" t="s">
        <v>732</v>
      </c>
      <c r="AH101" s="27" t="s">
        <v>201</v>
      </c>
      <c r="AI101" s="27" t="s">
        <v>532</v>
      </c>
      <c r="AJ101" s="27" t="s">
        <v>677</v>
      </c>
      <c r="AK101" s="27" t="s">
        <v>531</v>
      </c>
      <c r="AL101" s="27" t="s">
        <v>533</v>
      </c>
      <c r="AM101" s="27" t="s">
        <v>185</v>
      </c>
      <c r="AQ101" s="28" t="s">
        <v>187</v>
      </c>
      <c r="AR101" s="28" t="s">
        <v>187</v>
      </c>
      <c r="AS101" s="28" t="s">
        <v>187</v>
      </c>
      <c r="AT101" s="28" t="s">
        <v>186</v>
      </c>
      <c r="AU101" s="28" t="s">
        <v>186</v>
      </c>
      <c r="AV101" s="28" t="s">
        <v>186</v>
      </c>
      <c r="AW101" s="28" t="s">
        <v>187</v>
      </c>
      <c r="AX101" s="28" t="s">
        <v>186</v>
      </c>
      <c r="AY101" s="28" t="s">
        <v>186</v>
      </c>
      <c r="BC101" s="30" t="s">
        <v>1935</v>
      </c>
      <c r="BD101" s="30" t="s">
        <v>1936</v>
      </c>
      <c r="BE101" s="30" t="s">
        <v>1937</v>
      </c>
      <c r="BF101" s="30" t="s">
        <v>1938</v>
      </c>
      <c r="BG101" s="30" t="s">
        <v>1939</v>
      </c>
      <c r="BH101" s="30" t="s">
        <v>1940</v>
      </c>
      <c r="BI101" s="30" t="s">
        <v>1941</v>
      </c>
      <c r="BJ101" s="30" t="s">
        <v>1942</v>
      </c>
      <c r="BK101" s="30" t="s">
        <v>1943</v>
      </c>
      <c r="BL101" s="31"/>
      <c r="BM101" s="31"/>
      <c r="BO101" s="29">
        <v>60081548</v>
      </c>
      <c r="BP101" s="18" t="s">
        <v>1944</v>
      </c>
      <c r="BR101" s="8">
        <f t="shared" si="0"/>
        <v>9</v>
      </c>
    </row>
    <row r="102" spans="1:71" ht="14">
      <c r="A102" s="4" t="str">
        <v>Alternatif Periode ke-84 VII.C.1</v>
      </c>
      <c r="B102" s="4" t="s">
        <v>518</v>
      </c>
      <c r="C102" s="4" t="s">
        <v>1945</v>
      </c>
      <c r="D102" s="4" t="s">
        <v>1946</v>
      </c>
      <c r="E102" s="4" t="s">
        <v>1947</v>
      </c>
      <c r="F102" s="4" t="s">
        <v>520</v>
      </c>
      <c r="G102" s="27" t="s">
        <v>1948</v>
      </c>
      <c r="H102" s="27" t="s">
        <v>1949</v>
      </c>
      <c r="I102" s="27" t="s">
        <v>1950</v>
      </c>
      <c r="J102" s="27" t="s">
        <v>1951</v>
      </c>
      <c r="K102" s="27" t="s">
        <v>1952</v>
      </c>
      <c r="L102" s="27" t="s">
        <v>1953</v>
      </c>
      <c r="M102" s="27" t="s">
        <v>1954</v>
      </c>
      <c r="N102" s="27" t="s">
        <v>1955</v>
      </c>
      <c r="O102" s="27" t="s">
        <v>1956</v>
      </c>
      <c r="S102" s="27">
        <v>1800010152</v>
      </c>
      <c r="T102" s="27">
        <v>1800029030</v>
      </c>
      <c r="U102" s="27">
        <v>1800030285</v>
      </c>
      <c r="V102" s="27">
        <v>1900004118</v>
      </c>
      <c r="W102" s="27">
        <v>1900014020</v>
      </c>
      <c r="X102" s="27">
        <v>1900016050</v>
      </c>
      <c r="Y102" s="27">
        <v>1900031097</v>
      </c>
      <c r="Z102" s="27">
        <v>1900032069</v>
      </c>
      <c r="AA102" s="27">
        <v>1911331018</v>
      </c>
      <c r="AE102" s="27" t="s">
        <v>532</v>
      </c>
      <c r="AF102" s="27" t="s">
        <v>533</v>
      </c>
      <c r="AG102" s="27" t="s">
        <v>184</v>
      </c>
      <c r="AH102" s="27" t="s">
        <v>201</v>
      </c>
      <c r="AI102" s="27" t="s">
        <v>770</v>
      </c>
      <c r="AJ102" s="27" t="s">
        <v>531</v>
      </c>
      <c r="AK102" s="27" t="s">
        <v>185</v>
      </c>
      <c r="AL102" s="27" t="s">
        <v>732</v>
      </c>
      <c r="AM102" s="27" t="s">
        <v>546</v>
      </c>
      <c r="AQ102" s="28" t="s">
        <v>186</v>
      </c>
      <c r="AR102" s="28" t="s">
        <v>186</v>
      </c>
      <c r="AS102" s="28" t="s">
        <v>187</v>
      </c>
      <c r="AT102" s="28" t="s">
        <v>186</v>
      </c>
      <c r="AU102" s="28" t="s">
        <v>186</v>
      </c>
      <c r="AV102" s="28" t="s">
        <v>187</v>
      </c>
      <c r="AW102" s="28" t="s">
        <v>186</v>
      </c>
      <c r="AX102" s="28" t="s">
        <v>187</v>
      </c>
      <c r="AY102" s="28" t="s">
        <v>186</v>
      </c>
      <c r="BC102" s="30" t="s">
        <v>1957</v>
      </c>
      <c r="BD102" s="30" t="s">
        <v>1958</v>
      </c>
      <c r="BE102" s="30" t="s">
        <v>1959</v>
      </c>
      <c r="BF102" s="30" t="s">
        <v>1960</v>
      </c>
      <c r="BG102" s="30" t="s">
        <v>1961</v>
      </c>
      <c r="BH102" s="30" t="s">
        <v>1962</v>
      </c>
      <c r="BI102" s="30" t="s">
        <v>1963</v>
      </c>
      <c r="BJ102" s="30" t="s">
        <v>1964</v>
      </c>
      <c r="BK102" s="30" t="s">
        <v>1965</v>
      </c>
      <c r="BL102" s="31"/>
      <c r="BM102" s="31"/>
      <c r="BO102" s="29" t="s">
        <v>491</v>
      </c>
      <c r="BP102" s="18" t="s">
        <v>1966</v>
      </c>
      <c r="BR102" s="8">
        <f t="shared" si="0"/>
        <v>9</v>
      </c>
    </row>
    <row r="103" spans="1:71" ht="14">
      <c r="A103" s="4" t="str">
        <v>Alternatif Periode ke-84 VII.C.2</v>
      </c>
      <c r="B103" s="4" t="s">
        <v>518</v>
      </c>
      <c r="C103" s="4" t="s">
        <v>1967</v>
      </c>
      <c r="D103" s="4" t="s">
        <v>1946</v>
      </c>
      <c r="E103" s="4" t="s">
        <v>1968</v>
      </c>
      <c r="F103" s="4" t="s">
        <v>520</v>
      </c>
      <c r="G103" s="27" t="s">
        <v>1969</v>
      </c>
      <c r="H103" s="27" t="s">
        <v>1970</v>
      </c>
      <c r="I103" s="27" t="s">
        <v>1971</v>
      </c>
      <c r="J103" s="27" t="s">
        <v>1972</v>
      </c>
      <c r="K103" s="27" t="s">
        <v>1973</v>
      </c>
      <c r="L103" s="27" t="s">
        <v>1974</v>
      </c>
      <c r="M103" s="27" t="s">
        <v>1975</v>
      </c>
      <c r="N103" s="27" t="s">
        <v>1976</v>
      </c>
      <c r="O103" s="27" t="s">
        <v>1977</v>
      </c>
      <c r="S103" s="27">
        <v>1800017072</v>
      </c>
      <c r="T103" s="27">
        <v>1800030193</v>
      </c>
      <c r="U103" s="27">
        <v>1900004041</v>
      </c>
      <c r="V103" s="27">
        <v>1900010277</v>
      </c>
      <c r="W103" s="27">
        <v>1900014023</v>
      </c>
      <c r="X103" s="27">
        <v>1900029101</v>
      </c>
      <c r="Y103" s="27">
        <v>1900031361</v>
      </c>
      <c r="Z103" s="27">
        <v>1900034024</v>
      </c>
      <c r="AA103" s="27">
        <v>1911331033</v>
      </c>
      <c r="AE103" s="27" t="s">
        <v>183</v>
      </c>
      <c r="AF103" s="27" t="s">
        <v>184</v>
      </c>
      <c r="AG103" s="27" t="s">
        <v>201</v>
      </c>
      <c r="AH103" s="27" t="s">
        <v>532</v>
      </c>
      <c r="AI103" s="27" t="s">
        <v>770</v>
      </c>
      <c r="AJ103" s="27" t="s">
        <v>533</v>
      </c>
      <c r="AK103" s="27" t="s">
        <v>185</v>
      </c>
      <c r="AL103" s="27" t="s">
        <v>534</v>
      </c>
      <c r="AM103" s="27" t="s">
        <v>546</v>
      </c>
      <c r="AQ103" s="28" t="s">
        <v>187</v>
      </c>
      <c r="AR103" s="28" t="s">
        <v>187</v>
      </c>
      <c r="AS103" s="28" t="s">
        <v>186</v>
      </c>
      <c r="AT103" s="28" t="s">
        <v>186</v>
      </c>
      <c r="AU103" s="28" t="s">
        <v>186</v>
      </c>
      <c r="AV103" s="28" t="s">
        <v>186</v>
      </c>
      <c r="AW103" s="28" t="s">
        <v>186</v>
      </c>
      <c r="AX103" s="28" t="s">
        <v>187</v>
      </c>
      <c r="AY103" s="28" t="s">
        <v>186</v>
      </c>
      <c r="BC103" s="30" t="s">
        <v>1978</v>
      </c>
      <c r="BD103" s="30" t="s">
        <v>1979</v>
      </c>
      <c r="BE103" s="30" t="s">
        <v>1980</v>
      </c>
      <c r="BF103" s="30" t="s">
        <v>1981</v>
      </c>
      <c r="BG103" s="30" t="s">
        <v>1982</v>
      </c>
      <c r="BH103" s="30" t="s">
        <v>1983</v>
      </c>
      <c r="BI103" s="30" t="s">
        <v>1984</v>
      </c>
      <c r="BJ103" s="30" t="s">
        <v>1985</v>
      </c>
      <c r="BK103" s="30" t="s">
        <v>1986</v>
      </c>
      <c r="BL103" s="31"/>
      <c r="BM103" s="31"/>
      <c r="BO103" s="29" t="s">
        <v>491</v>
      </c>
      <c r="BP103" s="18" t="s">
        <v>1987</v>
      </c>
      <c r="BR103" s="8">
        <f t="shared" si="0"/>
        <v>9</v>
      </c>
    </row>
    <row r="104" spans="1:71" ht="14">
      <c r="A104" s="4" t="str">
        <v>Alternatif Periode ke-84 VII.C.3</v>
      </c>
      <c r="B104" s="4" t="s">
        <v>518</v>
      </c>
      <c r="C104" s="4" t="s">
        <v>1988</v>
      </c>
      <c r="D104" s="4" t="s">
        <v>1946</v>
      </c>
      <c r="E104" s="4" t="s">
        <v>1989</v>
      </c>
      <c r="F104" s="4" t="s">
        <v>520</v>
      </c>
      <c r="G104" s="27" t="s">
        <v>1990</v>
      </c>
      <c r="H104" s="27" t="s">
        <v>1991</v>
      </c>
      <c r="I104" s="27" t="s">
        <v>1992</v>
      </c>
      <c r="J104" s="27" t="s">
        <v>1993</v>
      </c>
      <c r="K104" s="27" t="s">
        <v>1994</v>
      </c>
      <c r="L104" s="27" t="s">
        <v>1995</v>
      </c>
      <c r="M104" s="27" t="s">
        <v>1996</v>
      </c>
      <c r="N104" s="27" t="s">
        <v>1997</v>
      </c>
      <c r="O104" s="27" t="s">
        <v>1998</v>
      </c>
      <c r="S104" s="27">
        <v>1800018212</v>
      </c>
      <c r="T104" s="27">
        <v>1800030059</v>
      </c>
      <c r="U104" s="27">
        <v>1800034021</v>
      </c>
      <c r="V104" s="27">
        <v>1900010347</v>
      </c>
      <c r="W104" s="27">
        <v>1900014014</v>
      </c>
      <c r="X104" s="27">
        <v>1900029169</v>
      </c>
      <c r="Y104" s="27">
        <v>1900030168</v>
      </c>
      <c r="Z104" s="27">
        <v>1900031350</v>
      </c>
      <c r="AA104" s="27">
        <v>1911004137</v>
      </c>
      <c r="AE104" s="27" t="s">
        <v>179</v>
      </c>
      <c r="AF104" s="27" t="s">
        <v>184</v>
      </c>
      <c r="AG104" s="27" t="s">
        <v>534</v>
      </c>
      <c r="AH104" s="27" t="s">
        <v>532</v>
      </c>
      <c r="AI104" s="27" t="s">
        <v>770</v>
      </c>
      <c r="AJ104" s="27" t="s">
        <v>533</v>
      </c>
      <c r="AK104" s="27" t="s">
        <v>184</v>
      </c>
      <c r="AL104" s="27" t="s">
        <v>185</v>
      </c>
      <c r="AM104" s="27" t="s">
        <v>201</v>
      </c>
      <c r="AQ104" s="28" t="s">
        <v>187</v>
      </c>
      <c r="AR104" s="28" t="s">
        <v>187</v>
      </c>
      <c r="AS104" s="28" t="s">
        <v>187</v>
      </c>
      <c r="AT104" s="28" t="s">
        <v>186</v>
      </c>
      <c r="AU104" s="28" t="s">
        <v>186</v>
      </c>
      <c r="AV104" s="28" t="s">
        <v>186</v>
      </c>
      <c r="AW104" s="28" t="s">
        <v>186</v>
      </c>
      <c r="AX104" s="28" t="s">
        <v>186</v>
      </c>
      <c r="AY104" s="28" t="s">
        <v>186</v>
      </c>
      <c r="BC104" s="30" t="s">
        <v>1999</v>
      </c>
      <c r="BD104" s="30" t="s">
        <v>2000</v>
      </c>
      <c r="BE104" s="30" t="s">
        <v>2001</v>
      </c>
      <c r="BF104" s="30" t="s">
        <v>2002</v>
      </c>
      <c r="BG104" s="30" t="s">
        <v>2003</v>
      </c>
      <c r="BH104" s="30" t="s">
        <v>2004</v>
      </c>
      <c r="BI104" s="30" t="s">
        <v>2005</v>
      </c>
      <c r="BJ104" s="30" t="s">
        <v>2006</v>
      </c>
      <c r="BK104" s="30" t="s">
        <v>2007</v>
      </c>
      <c r="BL104" s="31"/>
      <c r="BM104" s="31"/>
      <c r="BO104" s="29" t="s">
        <v>491</v>
      </c>
      <c r="BP104" s="18" t="s">
        <v>2008</v>
      </c>
      <c r="BR104" s="8">
        <f t="shared" si="0"/>
        <v>9</v>
      </c>
    </row>
    <row r="105" spans="1:71" ht="14">
      <c r="A105" s="4" t="str">
        <v>Alternatif Periode ke-84 VII.D.1</v>
      </c>
      <c r="B105" s="4" t="s">
        <v>518</v>
      </c>
      <c r="C105" s="4" t="s">
        <v>2009</v>
      </c>
      <c r="D105" s="4" t="s">
        <v>2010</v>
      </c>
      <c r="E105" s="4" t="s">
        <v>2011</v>
      </c>
      <c r="F105" s="4" t="s">
        <v>520</v>
      </c>
      <c r="G105" s="27" t="s">
        <v>2012</v>
      </c>
      <c r="H105" s="27" t="s">
        <v>2013</v>
      </c>
      <c r="I105" s="27" t="s">
        <v>2014</v>
      </c>
      <c r="J105" s="27" t="s">
        <v>2015</v>
      </c>
      <c r="K105" s="27" t="s">
        <v>2016</v>
      </c>
      <c r="L105" s="27" t="s">
        <v>2017</v>
      </c>
      <c r="M105" s="27" t="s">
        <v>2018</v>
      </c>
      <c r="N105" s="27" t="s">
        <v>2019</v>
      </c>
      <c r="O105" s="27" t="s">
        <v>2020</v>
      </c>
      <c r="S105" s="27">
        <v>1800013325</v>
      </c>
      <c r="T105" s="27">
        <v>1800018330</v>
      </c>
      <c r="U105" s="27">
        <v>1800030352</v>
      </c>
      <c r="V105" s="27">
        <v>1900004195</v>
      </c>
      <c r="W105" s="27">
        <v>1900010086</v>
      </c>
      <c r="X105" s="27">
        <v>1900014013</v>
      </c>
      <c r="Y105" s="27">
        <v>1900029143</v>
      </c>
      <c r="Z105" s="27">
        <v>1900031285</v>
      </c>
      <c r="AA105" s="27">
        <v>1900034016</v>
      </c>
      <c r="AE105" s="27" t="s">
        <v>677</v>
      </c>
      <c r="AF105" s="27" t="s">
        <v>179</v>
      </c>
      <c r="AG105" s="27" t="s">
        <v>184</v>
      </c>
      <c r="AH105" s="27" t="s">
        <v>201</v>
      </c>
      <c r="AI105" s="27" t="s">
        <v>532</v>
      </c>
      <c r="AJ105" s="27" t="s">
        <v>770</v>
      </c>
      <c r="AK105" s="27" t="s">
        <v>533</v>
      </c>
      <c r="AL105" s="27" t="s">
        <v>185</v>
      </c>
      <c r="AM105" s="27" t="s">
        <v>534</v>
      </c>
      <c r="AQ105" s="28" t="s">
        <v>186</v>
      </c>
      <c r="AR105" s="28" t="s">
        <v>187</v>
      </c>
      <c r="AS105" s="28" t="s">
        <v>187</v>
      </c>
      <c r="AT105" s="28" t="s">
        <v>186</v>
      </c>
      <c r="AU105" s="28" t="s">
        <v>186</v>
      </c>
      <c r="AV105" s="28" t="s">
        <v>186</v>
      </c>
      <c r="AW105" s="28" t="s">
        <v>186</v>
      </c>
      <c r="AX105" s="28" t="s">
        <v>186</v>
      </c>
      <c r="AY105" s="28" t="s">
        <v>187</v>
      </c>
      <c r="BC105" s="30" t="s">
        <v>2021</v>
      </c>
      <c r="BD105" s="30" t="s">
        <v>2022</v>
      </c>
      <c r="BE105" s="30" t="s">
        <v>2023</v>
      </c>
      <c r="BF105" s="30" t="s">
        <v>2024</v>
      </c>
      <c r="BG105" s="30" t="s">
        <v>2025</v>
      </c>
      <c r="BH105" s="30" t="s">
        <v>2026</v>
      </c>
      <c r="BI105" s="30" t="s">
        <v>2027</v>
      </c>
      <c r="BJ105" s="30" t="s">
        <v>2028</v>
      </c>
      <c r="BK105" s="30" t="s">
        <v>2029</v>
      </c>
      <c r="BL105" s="31"/>
      <c r="BM105" s="31"/>
      <c r="BO105" s="29">
        <v>60081531</v>
      </c>
      <c r="BP105" s="18" t="s">
        <v>2030</v>
      </c>
      <c r="BR105" s="8">
        <f t="shared" si="0"/>
        <v>9</v>
      </c>
    </row>
    <row r="106" spans="1:71" ht="14">
      <c r="A106" s="4" t="str">
        <v>Alternatif Periode ke-84 VII.D.2</v>
      </c>
      <c r="B106" s="4" t="s">
        <v>518</v>
      </c>
      <c r="C106" s="4" t="s">
        <v>2031</v>
      </c>
      <c r="D106" s="4" t="s">
        <v>2010</v>
      </c>
      <c r="E106" s="4" t="s">
        <v>2032</v>
      </c>
      <c r="F106" s="4" t="s">
        <v>520</v>
      </c>
      <c r="G106" s="27" t="s">
        <v>2033</v>
      </c>
      <c r="H106" s="27" t="s">
        <v>2034</v>
      </c>
      <c r="I106" s="27" t="s">
        <v>2035</v>
      </c>
      <c r="J106" s="27" t="s">
        <v>2036</v>
      </c>
      <c r="K106" s="27" t="s">
        <v>2037</v>
      </c>
      <c r="L106" s="27" t="s">
        <v>2038</v>
      </c>
      <c r="M106" s="27" t="s">
        <v>2039</v>
      </c>
      <c r="N106" s="27" t="s">
        <v>2040</v>
      </c>
      <c r="O106" s="27" t="s">
        <v>2041</v>
      </c>
      <c r="S106" s="27">
        <v>1800018380</v>
      </c>
      <c r="T106" s="27">
        <v>1800030381</v>
      </c>
      <c r="U106" s="27">
        <v>1900004077</v>
      </c>
      <c r="V106" s="27">
        <v>1900010295</v>
      </c>
      <c r="W106" s="27">
        <v>1900014033</v>
      </c>
      <c r="X106" s="27">
        <v>1900029044</v>
      </c>
      <c r="Y106" s="27">
        <v>1900031286</v>
      </c>
      <c r="Z106" s="27">
        <v>1900034022</v>
      </c>
      <c r="AA106" s="27">
        <v>1911331025</v>
      </c>
      <c r="AE106" s="27" t="s">
        <v>179</v>
      </c>
      <c r="AF106" s="27" t="s">
        <v>184</v>
      </c>
      <c r="AG106" s="27" t="s">
        <v>201</v>
      </c>
      <c r="AH106" s="27" t="s">
        <v>532</v>
      </c>
      <c r="AI106" s="27" t="s">
        <v>770</v>
      </c>
      <c r="AJ106" s="27" t="s">
        <v>533</v>
      </c>
      <c r="AK106" s="27" t="s">
        <v>185</v>
      </c>
      <c r="AL106" s="27" t="s">
        <v>534</v>
      </c>
      <c r="AM106" s="27" t="s">
        <v>546</v>
      </c>
      <c r="AQ106" s="28" t="s">
        <v>187</v>
      </c>
      <c r="AR106" s="28" t="s">
        <v>187</v>
      </c>
      <c r="AS106" s="28" t="s">
        <v>186</v>
      </c>
      <c r="AT106" s="28" t="s">
        <v>186</v>
      </c>
      <c r="AU106" s="28" t="s">
        <v>186</v>
      </c>
      <c r="AV106" s="28" t="s">
        <v>186</v>
      </c>
      <c r="AW106" s="28" t="s">
        <v>186</v>
      </c>
      <c r="AX106" s="28" t="s">
        <v>187</v>
      </c>
      <c r="AY106" s="28" t="s">
        <v>186</v>
      </c>
      <c r="BC106" s="30" t="s">
        <v>2042</v>
      </c>
      <c r="BD106" s="30" t="s">
        <v>2043</v>
      </c>
      <c r="BE106" s="30" t="s">
        <v>2044</v>
      </c>
      <c r="BF106" s="30" t="s">
        <v>2045</v>
      </c>
      <c r="BG106" s="30" t="s">
        <v>2046</v>
      </c>
      <c r="BH106" s="30" t="s">
        <v>2047</v>
      </c>
      <c r="BI106" s="30" t="s">
        <v>2048</v>
      </c>
      <c r="BJ106" s="30" t="s">
        <v>2049</v>
      </c>
      <c r="BK106" s="30" t="s">
        <v>2050</v>
      </c>
      <c r="BL106" s="31"/>
      <c r="BM106" s="31"/>
      <c r="BO106" s="29">
        <v>60081531</v>
      </c>
      <c r="BP106" s="18" t="s">
        <v>2051</v>
      </c>
      <c r="BR106" s="8">
        <f t="shared" si="0"/>
        <v>9</v>
      </c>
    </row>
    <row r="107" spans="1:71" ht="14">
      <c r="A107" s="4" t="str">
        <v>Alternatif Periode ke-85 I.A.1</v>
      </c>
      <c r="B107" s="4" t="s">
        <v>2052</v>
      </c>
      <c r="C107" s="4" t="s">
        <v>165</v>
      </c>
      <c r="D107" s="4" t="s">
        <v>2053</v>
      </c>
      <c r="E107" s="7" t="s">
        <v>2054</v>
      </c>
      <c r="F107" s="4" t="s">
        <v>520</v>
      </c>
      <c r="G107" s="27" t="s">
        <v>2055</v>
      </c>
      <c r="H107" s="27" t="s">
        <v>2056</v>
      </c>
      <c r="I107" s="27" t="s">
        <v>2057</v>
      </c>
      <c r="J107" s="27" t="s">
        <v>2058</v>
      </c>
      <c r="K107" s="27" t="s">
        <v>2059</v>
      </c>
      <c r="L107" s="27" t="s">
        <v>2060</v>
      </c>
      <c r="M107" s="27" t="s">
        <v>2061</v>
      </c>
      <c r="S107" s="27">
        <v>1900011378</v>
      </c>
      <c r="T107" s="27">
        <v>1900025033</v>
      </c>
      <c r="U107" s="27">
        <v>1900028106</v>
      </c>
      <c r="V107" s="27">
        <v>1900030151</v>
      </c>
      <c r="W107" s="27">
        <v>1900031150</v>
      </c>
      <c r="X107" s="27">
        <v>1911002023</v>
      </c>
      <c r="Y107" s="27">
        <v>1911005222</v>
      </c>
      <c r="AE107" s="4" t="s">
        <v>182</v>
      </c>
      <c r="AF107" s="27" t="s">
        <v>1168</v>
      </c>
      <c r="AG107" s="27" t="s">
        <v>678</v>
      </c>
      <c r="AH107" s="27" t="s">
        <v>184</v>
      </c>
      <c r="AI107" s="27" t="s">
        <v>185</v>
      </c>
      <c r="AJ107" s="27" t="s">
        <v>1043</v>
      </c>
      <c r="AK107" s="27" t="s">
        <v>181</v>
      </c>
      <c r="AQ107" s="28" t="s">
        <v>187</v>
      </c>
      <c r="AR107" s="28" t="s">
        <v>186</v>
      </c>
      <c r="AS107" s="28" t="s">
        <v>187</v>
      </c>
      <c r="AT107" s="28" t="s">
        <v>187</v>
      </c>
      <c r="AU107" s="28" t="s">
        <v>187</v>
      </c>
      <c r="AV107" s="28" t="s">
        <v>186</v>
      </c>
      <c r="AW107" s="28" t="s">
        <v>186</v>
      </c>
      <c r="AX107" s="28"/>
      <c r="AY107" s="28"/>
      <c r="BC107" s="4">
        <v>87726315320</v>
      </c>
      <c r="BD107" s="4">
        <v>882005649863</v>
      </c>
      <c r="BE107" s="4">
        <v>89519212133</v>
      </c>
      <c r="BF107" s="4">
        <v>82358515940</v>
      </c>
      <c r="BG107" s="4">
        <v>85974757932</v>
      </c>
      <c r="BH107" s="4">
        <v>895321770466</v>
      </c>
      <c r="BI107" s="4">
        <v>81904000668</v>
      </c>
      <c r="BO107" s="4">
        <v>60110644</v>
      </c>
      <c r="BP107" s="35" t="s">
        <v>2062</v>
      </c>
      <c r="BR107" s="8">
        <f t="shared" si="0"/>
        <v>7</v>
      </c>
    </row>
    <row r="108" spans="1:71" ht="14">
      <c r="A108" s="4" t="str">
        <v>Alternatif Periode ke-85 I.A.2</v>
      </c>
      <c r="B108" s="4" t="s">
        <v>2052</v>
      </c>
      <c r="C108" s="4" t="s">
        <v>216</v>
      </c>
      <c r="D108" s="4" t="s">
        <v>2053</v>
      </c>
      <c r="E108" s="7" t="s">
        <v>2063</v>
      </c>
      <c r="F108" s="4" t="s">
        <v>520</v>
      </c>
      <c r="G108" s="27" t="s">
        <v>2064</v>
      </c>
      <c r="H108" s="27" t="s">
        <v>2065</v>
      </c>
      <c r="I108" s="27" t="s">
        <v>2066</v>
      </c>
      <c r="J108" s="27" t="s">
        <v>2067</v>
      </c>
      <c r="K108" s="27" t="s">
        <v>2068</v>
      </c>
      <c r="L108" s="27" t="s">
        <v>2069</v>
      </c>
      <c r="M108" s="27" t="s">
        <v>2070</v>
      </c>
      <c r="S108" s="27">
        <v>1900011066</v>
      </c>
      <c r="T108" s="27">
        <v>1900028035</v>
      </c>
      <c r="U108" s="27">
        <v>1900028112</v>
      </c>
      <c r="V108" s="27">
        <v>1900031355</v>
      </c>
      <c r="W108" s="27">
        <v>1911002022</v>
      </c>
      <c r="X108" s="27">
        <v>1911035005</v>
      </c>
      <c r="Y108" s="27">
        <v>1911035006</v>
      </c>
      <c r="AE108" s="4" t="s">
        <v>182</v>
      </c>
      <c r="AF108" s="27" t="s">
        <v>678</v>
      </c>
      <c r="AG108" s="27" t="s">
        <v>678</v>
      </c>
      <c r="AH108" s="27" t="s">
        <v>185</v>
      </c>
      <c r="AI108" s="27" t="s">
        <v>1043</v>
      </c>
      <c r="AJ108" s="27" t="s">
        <v>2071</v>
      </c>
      <c r="AK108" s="27" t="s">
        <v>2071</v>
      </c>
      <c r="AQ108" s="28" t="s">
        <v>186</v>
      </c>
      <c r="AR108" s="28" t="s">
        <v>187</v>
      </c>
      <c r="AS108" s="28" t="s">
        <v>187</v>
      </c>
      <c r="AT108" s="28" t="s">
        <v>187</v>
      </c>
      <c r="AU108" s="28" t="s">
        <v>186</v>
      </c>
      <c r="AV108" s="28" t="s">
        <v>187</v>
      </c>
      <c r="AW108" s="28" t="s">
        <v>186</v>
      </c>
      <c r="AX108" s="28"/>
      <c r="AY108" s="28"/>
      <c r="BC108" s="4">
        <v>81216091506</v>
      </c>
      <c r="BD108" s="4">
        <v>82242038441</v>
      </c>
      <c r="BE108" s="4">
        <v>81373218422</v>
      </c>
      <c r="BF108" s="4">
        <v>81225640806</v>
      </c>
      <c r="BG108" s="4">
        <v>82271488865</v>
      </c>
      <c r="BH108" s="4">
        <v>85643902126</v>
      </c>
      <c r="BI108" s="4">
        <v>81225765956</v>
      </c>
      <c r="BO108" s="4">
        <v>60110644</v>
      </c>
      <c r="BP108" s="18" t="s">
        <v>2072</v>
      </c>
      <c r="BR108" s="8">
        <f t="shared" si="0"/>
        <v>7</v>
      </c>
    </row>
    <row r="109" spans="1:71" ht="15.5">
      <c r="A109" s="4" t="str">
        <v>Reguler Periode ke-101 I.A.1</v>
      </c>
      <c r="B109" s="4" t="s">
        <v>2073</v>
      </c>
      <c r="C109" s="36" t="s">
        <v>165</v>
      </c>
      <c r="D109" s="4" t="s">
        <v>2074</v>
      </c>
      <c r="E109" s="7" t="s">
        <v>2075</v>
      </c>
      <c r="F109" s="4" t="s">
        <v>2076</v>
      </c>
      <c r="G109" s="27" t="s">
        <v>2077</v>
      </c>
      <c r="H109" s="27" t="s">
        <v>2078</v>
      </c>
      <c r="I109" s="27" t="s">
        <v>2079</v>
      </c>
      <c r="J109" s="27" t="s">
        <v>2080</v>
      </c>
      <c r="K109" s="27" t="s">
        <v>2081</v>
      </c>
      <c r="L109" s="27" t="s">
        <v>2082</v>
      </c>
      <c r="M109" s="27" t="s">
        <v>2083</v>
      </c>
      <c r="N109" s="27" t="s">
        <v>2084</v>
      </c>
      <c r="O109" s="27" t="s">
        <v>2085</v>
      </c>
      <c r="S109" s="27">
        <v>1800024205</v>
      </c>
      <c r="T109" s="27">
        <v>1900001045</v>
      </c>
      <c r="U109" s="27">
        <v>1900005245</v>
      </c>
      <c r="V109" s="27">
        <v>1900011061</v>
      </c>
      <c r="W109" s="27">
        <v>1900015031</v>
      </c>
      <c r="X109" s="27">
        <v>1900016086</v>
      </c>
      <c r="Y109" s="27">
        <v>1900023026</v>
      </c>
      <c r="Z109" s="27">
        <v>1900030239</v>
      </c>
      <c r="AA109" s="27">
        <v>1900032229</v>
      </c>
      <c r="AE109" s="27" t="s">
        <v>924</v>
      </c>
      <c r="AF109" s="27" t="s">
        <v>180</v>
      </c>
      <c r="AG109" s="27" t="s">
        <v>181</v>
      </c>
      <c r="AH109" s="27" t="s">
        <v>182</v>
      </c>
      <c r="AI109" s="27" t="s">
        <v>937</v>
      </c>
      <c r="AJ109" s="27" t="s">
        <v>531</v>
      </c>
      <c r="AK109" s="27" t="s">
        <v>899</v>
      </c>
      <c r="AL109" s="27" t="s">
        <v>184</v>
      </c>
      <c r="AM109" s="27" t="s">
        <v>732</v>
      </c>
      <c r="AQ109" s="28" t="s">
        <v>186</v>
      </c>
      <c r="AR109" s="28" t="s">
        <v>187</v>
      </c>
      <c r="AS109" s="28" t="s">
        <v>186</v>
      </c>
      <c r="AT109" s="28" t="s">
        <v>186</v>
      </c>
      <c r="AU109" s="28" t="s">
        <v>187</v>
      </c>
      <c r="AV109" s="28" t="s">
        <v>186</v>
      </c>
      <c r="AW109" s="28" t="s">
        <v>187</v>
      </c>
      <c r="AX109" s="28" t="s">
        <v>186</v>
      </c>
      <c r="AY109" s="28" t="s">
        <v>187</v>
      </c>
      <c r="BC109" s="28" t="s">
        <v>2086</v>
      </c>
      <c r="BD109" s="28">
        <v>82269127643</v>
      </c>
      <c r="BE109" s="28">
        <v>82284336949</v>
      </c>
      <c r="BF109" s="28">
        <v>88227517114</v>
      </c>
      <c r="BG109" s="28">
        <v>81277369036</v>
      </c>
      <c r="BH109" s="28">
        <v>82373658232</v>
      </c>
      <c r="BI109" s="28">
        <v>81264335303</v>
      </c>
      <c r="BJ109" s="28">
        <v>82320291288</v>
      </c>
      <c r="BK109" s="28">
        <v>81312056305</v>
      </c>
      <c r="BO109" s="29">
        <v>60191198</v>
      </c>
      <c r="BP109" s="18" t="s">
        <v>2087</v>
      </c>
      <c r="BQ109" s="37">
        <v>44956</v>
      </c>
      <c r="BR109" s="8">
        <f t="shared" si="0"/>
        <v>9</v>
      </c>
      <c r="BS109" s="4">
        <f>COUNTIF(AQ109:BA129,"L")</f>
        <v>83</v>
      </c>
    </row>
    <row r="110" spans="1:71" ht="15.5">
      <c r="A110" s="4" t="str">
        <v>Reguler Periode ke-101 I.A.2</v>
      </c>
      <c r="B110" s="4" t="s">
        <v>2073</v>
      </c>
      <c r="C110" s="38" t="s">
        <v>216</v>
      </c>
      <c r="D110" s="4" t="s">
        <v>2074</v>
      </c>
      <c r="E110" s="4" t="s">
        <v>2088</v>
      </c>
      <c r="F110" s="4" t="s">
        <v>2076</v>
      </c>
      <c r="G110" s="27" t="s">
        <v>2089</v>
      </c>
      <c r="H110" s="27" t="s">
        <v>2090</v>
      </c>
      <c r="I110" s="27" t="s">
        <v>2091</v>
      </c>
      <c r="J110" s="27" t="s">
        <v>2092</v>
      </c>
      <c r="K110" s="27" t="s">
        <v>2093</v>
      </c>
      <c r="L110" s="27" t="s">
        <v>2094</v>
      </c>
      <c r="M110" s="27" t="s">
        <v>2095</v>
      </c>
      <c r="N110" s="27" t="s">
        <v>2096</v>
      </c>
      <c r="O110" s="27" t="s">
        <v>2097</v>
      </c>
      <c r="S110" s="27">
        <v>1900001206</v>
      </c>
      <c r="T110" s="27">
        <v>1900005226</v>
      </c>
      <c r="U110" s="27">
        <v>1900011091</v>
      </c>
      <c r="V110" s="27">
        <v>1900015053</v>
      </c>
      <c r="W110" s="27">
        <v>1900016039</v>
      </c>
      <c r="X110" s="27">
        <v>1900023204</v>
      </c>
      <c r="Y110" s="27">
        <v>1900024019</v>
      </c>
      <c r="Z110" s="27">
        <v>1900030038</v>
      </c>
      <c r="AA110" s="27">
        <v>1900032119</v>
      </c>
      <c r="AE110" s="27" t="s">
        <v>180</v>
      </c>
      <c r="AF110" s="27" t="s">
        <v>181</v>
      </c>
      <c r="AG110" s="27" t="s">
        <v>182</v>
      </c>
      <c r="AH110" s="27" t="s">
        <v>937</v>
      </c>
      <c r="AI110" s="27" t="s">
        <v>531</v>
      </c>
      <c r="AJ110" s="27" t="s">
        <v>899</v>
      </c>
      <c r="AK110" s="27" t="s">
        <v>924</v>
      </c>
      <c r="AL110" s="27" t="s">
        <v>184</v>
      </c>
      <c r="AM110" s="27" t="s">
        <v>732</v>
      </c>
      <c r="AQ110" s="28" t="s">
        <v>187</v>
      </c>
      <c r="AR110" s="28" t="s">
        <v>186</v>
      </c>
      <c r="AS110" s="28" t="s">
        <v>186</v>
      </c>
      <c r="AT110" s="28" t="s">
        <v>187</v>
      </c>
      <c r="AU110" s="28" t="s">
        <v>186</v>
      </c>
      <c r="AV110" s="28" t="s">
        <v>187</v>
      </c>
      <c r="AW110" s="28" t="s">
        <v>186</v>
      </c>
      <c r="AX110" s="28" t="s">
        <v>186</v>
      </c>
      <c r="AY110" s="28" t="s">
        <v>187</v>
      </c>
      <c r="BC110" s="28">
        <v>82126136631</v>
      </c>
      <c r="BD110" s="28">
        <v>89688371859</v>
      </c>
      <c r="BE110" s="28" t="s">
        <v>2098</v>
      </c>
      <c r="BF110" s="28">
        <v>85156281876</v>
      </c>
      <c r="BG110" s="28">
        <v>82384804571</v>
      </c>
      <c r="BH110" s="28">
        <v>82147502560</v>
      </c>
      <c r="BI110" s="28">
        <v>85697664208</v>
      </c>
      <c r="BJ110" s="28">
        <v>81296091858</v>
      </c>
      <c r="BK110" s="28">
        <v>85373326349</v>
      </c>
      <c r="BO110" s="29">
        <v>60191198</v>
      </c>
      <c r="BP110" s="18" t="s">
        <v>2099</v>
      </c>
      <c r="BQ110" s="37">
        <v>44956</v>
      </c>
      <c r="BR110" s="8">
        <f t="shared" si="0"/>
        <v>9</v>
      </c>
      <c r="BS110" s="4">
        <f>COUNTIF(AQ109:BA129,"P")</f>
        <v>105</v>
      </c>
    </row>
    <row r="111" spans="1:71" ht="15.5">
      <c r="A111" s="4" t="str">
        <v>Reguler Periode ke-101 I.A.3</v>
      </c>
      <c r="B111" s="4" t="s">
        <v>2073</v>
      </c>
      <c r="C111" s="38" t="s">
        <v>238</v>
      </c>
      <c r="D111" s="4" t="s">
        <v>2074</v>
      </c>
      <c r="E111" s="4" t="s">
        <v>2100</v>
      </c>
      <c r="F111" s="4" t="s">
        <v>2076</v>
      </c>
      <c r="G111" s="27" t="s">
        <v>2101</v>
      </c>
      <c r="H111" s="27" t="s">
        <v>2102</v>
      </c>
      <c r="I111" s="27" t="s">
        <v>2103</v>
      </c>
      <c r="J111" s="27" t="s">
        <v>2104</v>
      </c>
      <c r="K111" s="27" t="s">
        <v>2105</v>
      </c>
      <c r="L111" s="27" t="s">
        <v>2106</v>
      </c>
      <c r="M111" s="27" t="s">
        <v>2107</v>
      </c>
      <c r="N111" s="27" t="s">
        <v>2108</v>
      </c>
      <c r="O111" s="27" t="s">
        <v>2109</v>
      </c>
      <c r="S111" s="27">
        <v>1800030281</v>
      </c>
      <c r="T111" s="27">
        <v>1900001155</v>
      </c>
      <c r="U111" s="27">
        <v>1900005311</v>
      </c>
      <c r="V111" s="27">
        <v>1900011337</v>
      </c>
      <c r="W111" s="27">
        <v>1900015069</v>
      </c>
      <c r="X111" s="27">
        <v>1900016140</v>
      </c>
      <c r="Y111" s="27">
        <v>1900023067</v>
      </c>
      <c r="Z111" s="27">
        <v>1900024347</v>
      </c>
      <c r="AA111" s="27">
        <v>1900032076</v>
      </c>
      <c r="AE111" s="27" t="s">
        <v>184</v>
      </c>
      <c r="AF111" s="27" t="s">
        <v>180</v>
      </c>
      <c r="AG111" s="27" t="s">
        <v>181</v>
      </c>
      <c r="AH111" s="27" t="s">
        <v>182</v>
      </c>
      <c r="AI111" s="27" t="s">
        <v>937</v>
      </c>
      <c r="AJ111" s="27" t="s">
        <v>531</v>
      </c>
      <c r="AK111" s="27" t="s">
        <v>899</v>
      </c>
      <c r="AL111" s="27" t="s">
        <v>924</v>
      </c>
      <c r="AM111" s="27" t="s">
        <v>732</v>
      </c>
      <c r="AQ111" s="28" t="s">
        <v>186</v>
      </c>
      <c r="AR111" s="28" t="s">
        <v>187</v>
      </c>
      <c r="AS111" s="28" t="s">
        <v>186</v>
      </c>
      <c r="AT111" s="28" t="s">
        <v>186</v>
      </c>
      <c r="AU111" s="28" t="s">
        <v>187</v>
      </c>
      <c r="AV111" s="28" t="s">
        <v>186</v>
      </c>
      <c r="AW111" s="28" t="s">
        <v>187</v>
      </c>
      <c r="AX111" s="28" t="s">
        <v>186</v>
      </c>
      <c r="AY111" s="28" t="s">
        <v>187</v>
      </c>
      <c r="BC111" s="28">
        <v>82242789423</v>
      </c>
      <c r="BD111" s="28">
        <v>81542772687</v>
      </c>
      <c r="BE111" s="28">
        <v>83840616575</v>
      </c>
      <c r="BF111" s="28">
        <v>85950008414</v>
      </c>
      <c r="BG111" s="28">
        <v>85225856755</v>
      </c>
      <c r="BH111" s="28">
        <v>83836871727</v>
      </c>
      <c r="BI111" s="28">
        <v>85156198295</v>
      </c>
      <c r="BJ111" s="28">
        <v>89618626443</v>
      </c>
      <c r="BK111" s="28">
        <v>85659085325</v>
      </c>
      <c r="BO111" s="29">
        <v>60191198</v>
      </c>
      <c r="BP111" s="18" t="s">
        <v>2110</v>
      </c>
      <c r="BQ111" s="37">
        <v>44956</v>
      </c>
      <c r="BR111" s="8">
        <f t="shared" si="0"/>
        <v>9</v>
      </c>
    </row>
    <row r="112" spans="1:71" ht="15.5">
      <c r="A112" s="4" t="str">
        <v>Reguler Periode ke-101 I.B.1</v>
      </c>
      <c r="B112" s="4" t="s">
        <v>2073</v>
      </c>
      <c r="C112" s="38" t="s">
        <v>260</v>
      </c>
      <c r="D112" s="4" t="s">
        <v>2111</v>
      </c>
      <c r="E112" s="4" t="s">
        <v>2112</v>
      </c>
      <c r="F112" s="4" t="s">
        <v>2076</v>
      </c>
      <c r="G112" s="27" t="s">
        <v>2113</v>
      </c>
      <c r="H112" s="27" t="s">
        <v>2114</v>
      </c>
      <c r="I112" s="27" t="s">
        <v>2115</v>
      </c>
      <c r="J112" s="27" t="s">
        <v>2116</v>
      </c>
      <c r="K112" s="27" t="s">
        <v>2117</v>
      </c>
      <c r="L112" s="27" t="s">
        <v>2118</v>
      </c>
      <c r="M112" s="27" t="s">
        <v>2119</v>
      </c>
      <c r="N112" s="27" t="s">
        <v>2120</v>
      </c>
      <c r="O112" s="27" t="s">
        <v>2121</v>
      </c>
      <c r="S112" s="27">
        <v>1900001195</v>
      </c>
      <c r="T112" s="27">
        <v>1900005404</v>
      </c>
      <c r="U112" s="27">
        <v>1900011333</v>
      </c>
      <c r="V112" s="27">
        <v>1900015062</v>
      </c>
      <c r="W112" s="27">
        <v>1900016038</v>
      </c>
      <c r="X112" s="27">
        <v>1900023187</v>
      </c>
      <c r="Y112" s="27">
        <v>1900024249</v>
      </c>
      <c r="Z112" s="27">
        <v>1900030254</v>
      </c>
      <c r="AA112" s="27">
        <v>1900032077</v>
      </c>
      <c r="AE112" s="27" t="s">
        <v>180</v>
      </c>
      <c r="AF112" s="27" t="s">
        <v>181</v>
      </c>
      <c r="AG112" s="27" t="s">
        <v>182</v>
      </c>
      <c r="AH112" s="27" t="s">
        <v>937</v>
      </c>
      <c r="AI112" s="27" t="s">
        <v>531</v>
      </c>
      <c r="AJ112" s="27" t="s">
        <v>899</v>
      </c>
      <c r="AK112" s="27" t="s">
        <v>924</v>
      </c>
      <c r="AL112" s="27" t="s">
        <v>184</v>
      </c>
      <c r="AM112" s="27" t="s">
        <v>732</v>
      </c>
      <c r="AQ112" s="28" t="s">
        <v>187</v>
      </c>
      <c r="AR112" s="28" t="s">
        <v>186</v>
      </c>
      <c r="AS112" s="28" t="s">
        <v>186</v>
      </c>
      <c r="AT112" s="28" t="s">
        <v>187</v>
      </c>
      <c r="AU112" s="28" t="s">
        <v>186</v>
      </c>
      <c r="AV112" s="28" t="s">
        <v>187</v>
      </c>
      <c r="AW112" s="28" t="s">
        <v>186</v>
      </c>
      <c r="AX112" s="28" t="s">
        <v>186</v>
      </c>
      <c r="AY112" s="28" t="s">
        <v>187</v>
      </c>
      <c r="BC112" s="28">
        <v>81211518082</v>
      </c>
      <c r="BD112" s="28">
        <v>85899183238</v>
      </c>
      <c r="BE112" s="28">
        <v>81556461385</v>
      </c>
      <c r="BF112" s="28">
        <v>81225110091</v>
      </c>
      <c r="BG112" s="28" t="s">
        <v>2122</v>
      </c>
      <c r="BH112" s="28">
        <v>81279669399</v>
      </c>
      <c r="BI112" s="28">
        <v>81271994513</v>
      </c>
      <c r="BJ112" s="28">
        <v>88232495880</v>
      </c>
      <c r="BK112" s="28">
        <v>83803072468</v>
      </c>
      <c r="BO112" s="29">
        <v>60181102</v>
      </c>
      <c r="BP112" s="18" t="s">
        <v>2123</v>
      </c>
      <c r="BQ112" s="37">
        <v>44956</v>
      </c>
      <c r="BR112" s="8">
        <f t="shared" si="0"/>
        <v>9</v>
      </c>
    </row>
    <row r="113" spans="1:70" ht="15.5">
      <c r="A113" s="4" t="str">
        <v>Reguler Periode ke-101 I.B.2</v>
      </c>
      <c r="B113" s="4" t="s">
        <v>2073</v>
      </c>
      <c r="C113" s="38" t="s">
        <v>280</v>
      </c>
      <c r="D113" s="4" t="s">
        <v>2111</v>
      </c>
      <c r="E113" s="4" t="s">
        <v>2124</v>
      </c>
      <c r="F113" s="4" t="s">
        <v>2076</v>
      </c>
      <c r="G113" s="27" t="s">
        <v>2125</v>
      </c>
      <c r="H113" s="27" t="s">
        <v>2126</v>
      </c>
      <c r="I113" s="27" t="s">
        <v>2127</v>
      </c>
      <c r="J113" s="27" t="s">
        <v>2128</v>
      </c>
      <c r="K113" s="27" t="s">
        <v>2129</v>
      </c>
      <c r="L113" s="27" t="s">
        <v>2130</v>
      </c>
      <c r="M113" s="27" t="s">
        <v>2131</v>
      </c>
      <c r="N113" s="27" t="s">
        <v>2132</v>
      </c>
      <c r="O113" s="27" t="s">
        <v>2133</v>
      </c>
      <c r="S113" s="27">
        <v>1900001194</v>
      </c>
      <c r="T113" s="27">
        <v>1900005347</v>
      </c>
      <c r="U113" s="27">
        <v>1900011236</v>
      </c>
      <c r="V113" s="27">
        <v>1900016092</v>
      </c>
      <c r="W113" s="27">
        <v>1900016149</v>
      </c>
      <c r="X113" s="27">
        <v>1900023244</v>
      </c>
      <c r="Y113" s="27">
        <v>1900024188</v>
      </c>
      <c r="Z113" s="27">
        <v>1900030056</v>
      </c>
      <c r="AA113" s="27">
        <v>1900032038</v>
      </c>
      <c r="AE113" s="27" t="s">
        <v>180</v>
      </c>
      <c r="AF113" s="27" t="s">
        <v>181</v>
      </c>
      <c r="AG113" s="27" t="s">
        <v>182</v>
      </c>
      <c r="AH113" s="27" t="s">
        <v>531</v>
      </c>
      <c r="AI113" s="27" t="s">
        <v>531</v>
      </c>
      <c r="AJ113" s="27" t="s">
        <v>899</v>
      </c>
      <c r="AK113" s="27" t="s">
        <v>924</v>
      </c>
      <c r="AL113" s="27" t="s">
        <v>184</v>
      </c>
      <c r="AM113" s="27" t="s">
        <v>732</v>
      </c>
      <c r="AQ113" s="28" t="s">
        <v>187</v>
      </c>
      <c r="AR113" s="28" t="s">
        <v>186</v>
      </c>
      <c r="AS113" s="28" t="s">
        <v>186</v>
      </c>
      <c r="AT113" s="28" t="s">
        <v>186</v>
      </c>
      <c r="AU113" s="28" t="s">
        <v>187</v>
      </c>
      <c r="AV113" s="28" t="s">
        <v>187</v>
      </c>
      <c r="AW113" s="28" t="s">
        <v>186</v>
      </c>
      <c r="AX113" s="28" t="s">
        <v>186</v>
      </c>
      <c r="AY113" s="28" t="s">
        <v>187</v>
      </c>
      <c r="BC113" s="28">
        <v>85643332961</v>
      </c>
      <c r="BD113" s="28">
        <v>89506786271</v>
      </c>
      <c r="BE113" s="28">
        <v>895620477487</v>
      </c>
      <c r="BF113" s="28">
        <v>82329410919</v>
      </c>
      <c r="BG113" s="28">
        <v>81262909061</v>
      </c>
      <c r="BH113" s="28">
        <v>81931546454</v>
      </c>
      <c r="BI113" s="28">
        <v>82214210912</v>
      </c>
      <c r="BJ113" s="28">
        <v>82317584597</v>
      </c>
      <c r="BK113" s="28">
        <v>81578649615</v>
      </c>
      <c r="BO113" s="29">
        <v>60181102</v>
      </c>
      <c r="BP113" s="18" t="s">
        <v>2134</v>
      </c>
      <c r="BQ113" s="37">
        <v>44956</v>
      </c>
      <c r="BR113" s="8">
        <f t="shared" si="0"/>
        <v>9</v>
      </c>
    </row>
    <row r="114" spans="1:70" ht="15.5">
      <c r="A114" s="4" t="str">
        <v>Reguler Periode ke-101 I.B.3</v>
      </c>
      <c r="B114" s="4" t="s">
        <v>2073</v>
      </c>
      <c r="C114" s="38" t="s">
        <v>299</v>
      </c>
      <c r="D114" s="4" t="s">
        <v>2111</v>
      </c>
      <c r="E114" s="4" t="s">
        <v>2135</v>
      </c>
      <c r="F114" s="4" t="s">
        <v>2076</v>
      </c>
      <c r="G114" s="27" t="s">
        <v>2136</v>
      </c>
      <c r="H114" s="27" t="s">
        <v>2137</v>
      </c>
      <c r="I114" s="27" t="s">
        <v>2138</v>
      </c>
      <c r="J114" s="27" t="s">
        <v>2139</v>
      </c>
      <c r="K114" s="27" t="s">
        <v>2140</v>
      </c>
      <c r="L114" s="27" t="s">
        <v>2141</v>
      </c>
      <c r="M114" s="27" t="s">
        <v>2142</v>
      </c>
      <c r="N114" s="27" t="s">
        <v>2143</v>
      </c>
      <c r="O114" s="27" t="s">
        <v>2144</v>
      </c>
      <c r="S114" s="27">
        <v>1900001167</v>
      </c>
      <c r="T114" s="27">
        <v>1900005201</v>
      </c>
      <c r="U114" s="27">
        <v>1900011291</v>
      </c>
      <c r="V114" s="27">
        <v>1900016062</v>
      </c>
      <c r="W114" s="27">
        <v>1900016124</v>
      </c>
      <c r="X114" s="27">
        <v>1900023125</v>
      </c>
      <c r="Y114" s="27">
        <v>1900024006</v>
      </c>
      <c r="Z114" s="27">
        <v>1900030209</v>
      </c>
      <c r="AA114" s="27">
        <v>1900032102</v>
      </c>
      <c r="AE114" s="27" t="s">
        <v>180</v>
      </c>
      <c r="AF114" s="27" t="s">
        <v>181</v>
      </c>
      <c r="AG114" s="27" t="s">
        <v>182</v>
      </c>
      <c r="AH114" s="27" t="s">
        <v>531</v>
      </c>
      <c r="AI114" s="27" t="s">
        <v>531</v>
      </c>
      <c r="AJ114" s="27" t="s">
        <v>899</v>
      </c>
      <c r="AK114" s="27" t="s">
        <v>924</v>
      </c>
      <c r="AL114" s="27" t="s">
        <v>184</v>
      </c>
      <c r="AM114" s="27" t="s">
        <v>732</v>
      </c>
      <c r="AQ114" s="28" t="s">
        <v>187</v>
      </c>
      <c r="AR114" s="28" t="s">
        <v>186</v>
      </c>
      <c r="AS114" s="28" t="s">
        <v>186</v>
      </c>
      <c r="AT114" s="28" t="s">
        <v>186</v>
      </c>
      <c r="AU114" s="28" t="s">
        <v>187</v>
      </c>
      <c r="AV114" s="28" t="s">
        <v>187</v>
      </c>
      <c r="AW114" s="28" t="s">
        <v>186</v>
      </c>
      <c r="AX114" s="28" t="s">
        <v>186</v>
      </c>
      <c r="AY114" s="28" t="s">
        <v>187</v>
      </c>
      <c r="BC114" s="28">
        <v>81353633312</v>
      </c>
      <c r="BD114" s="28">
        <v>85786748893</v>
      </c>
      <c r="BE114" s="28">
        <v>81210878184</v>
      </c>
      <c r="BF114" s="28">
        <v>895339168728</v>
      </c>
      <c r="BG114" s="28">
        <v>81249885674</v>
      </c>
      <c r="BH114" s="28">
        <v>81337667795</v>
      </c>
      <c r="BI114" s="28">
        <v>8562674680</v>
      </c>
      <c r="BJ114" s="28">
        <v>85856335058</v>
      </c>
      <c r="BK114" s="28">
        <v>82143638551</v>
      </c>
      <c r="BO114" s="29">
        <v>60181102</v>
      </c>
      <c r="BP114" s="18" t="s">
        <v>2145</v>
      </c>
      <c r="BQ114" s="37">
        <v>44956</v>
      </c>
      <c r="BR114" s="8">
        <f t="shared" si="0"/>
        <v>9</v>
      </c>
    </row>
    <row r="115" spans="1:70" ht="15.5">
      <c r="A115" s="4" t="str">
        <v>Reguler Periode ke-101 I.C.1</v>
      </c>
      <c r="B115" s="4" t="s">
        <v>2073</v>
      </c>
      <c r="C115" s="38" t="s">
        <v>320</v>
      </c>
      <c r="D115" s="4" t="s">
        <v>2053</v>
      </c>
      <c r="E115" s="4" t="s">
        <v>2146</v>
      </c>
      <c r="F115" s="4" t="s">
        <v>2076</v>
      </c>
      <c r="G115" s="27" t="s">
        <v>2147</v>
      </c>
      <c r="H115" s="27" t="s">
        <v>2148</v>
      </c>
      <c r="I115" s="27" t="s">
        <v>2149</v>
      </c>
      <c r="J115" s="27" t="s">
        <v>2150</v>
      </c>
      <c r="K115" s="27" t="s">
        <v>2151</v>
      </c>
      <c r="L115" s="27" t="s">
        <v>2152</v>
      </c>
      <c r="M115" s="27" t="s">
        <v>2153</v>
      </c>
      <c r="N115" s="27" t="s">
        <v>2154</v>
      </c>
      <c r="O115" s="27" t="s">
        <v>2155</v>
      </c>
      <c r="S115" s="27">
        <v>1900001027</v>
      </c>
      <c r="T115" s="27">
        <v>1900005400</v>
      </c>
      <c r="U115" s="27">
        <v>1900011282</v>
      </c>
      <c r="V115" s="27">
        <v>1900016113</v>
      </c>
      <c r="W115" s="27">
        <v>1900023097</v>
      </c>
      <c r="X115" s="27">
        <v>1900024252</v>
      </c>
      <c r="Y115" s="27">
        <v>1900030022</v>
      </c>
      <c r="Z115" s="27">
        <v>1900032185</v>
      </c>
      <c r="AA115" s="27">
        <v>1915016137</v>
      </c>
      <c r="AE115" s="27" t="s">
        <v>180</v>
      </c>
      <c r="AF115" s="27" t="s">
        <v>181</v>
      </c>
      <c r="AG115" s="27" t="s">
        <v>182</v>
      </c>
      <c r="AH115" s="27" t="s">
        <v>531</v>
      </c>
      <c r="AI115" s="27" t="s">
        <v>899</v>
      </c>
      <c r="AJ115" s="27" t="s">
        <v>924</v>
      </c>
      <c r="AK115" s="27" t="s">
        <v>184</v>
      </c>
      <c r="AL115" s="27" t="s">
        <v>732</v>
      </c>
      <c r="AM115" s="27" t="s">
        <v>531</v>
      </c>
      <c r="AQ115" s="28" t="s">
        <v>187</v>
      </c>
      <c r="AR115" s="28" t="s">
        <v>186</v>
      </c>
      <c r="AS115" s="28" t="s">
        <v>186</v>
      </c>
      <c r="AT115" s="28" t="s">
        <v>187</v>
      </c>
      <c r="AU115" s="28" t="s">
        <v>187</v>
      </c>
      <c r="AV115" s="28" t="s">
        <v>186</v>
      </c>
      <c r="AW115" s="28" t="s">
        <v>186</v>
      </c>
      <c r="AX115" s="28" t="s">
        <v>187</v>
      </c>
      <c r="AY115" s="28" t="s">
        <v>186</v>
      </c>
      <c r="BC115" s="28">
        <v>8816754987</v>
      </c>
      <c r="BD115" s="28">
        <v>895416505020</v>
      </c>
      <c r="BE115" s="28">
        <v>85709615360</v>
      </c>
      <c r="BF115" s="28">
        <v>82233111139</v>
      </c>
      <c r="BG115" s="28">
        <v>81271732361</v>
      </c>
      <c r="BH115" s="28">
        <v>85696475429</v>
      </c>
      <c r="BI115" s="28">
        <v>82149347990</v>
      </c>
      <c r="BJ115" s="28">
        <v>81298821727</v>
      </c>
      <c r="BK115" s="28">
        <v>82329440578</v>
      </c>
      <c r="BO115" s="29">
        <v>60110644</v>
      </c>
      <c r="BP115" s="18" t="s">
        <v>2156</v>
      </c>
      <c r="BQ115" s="37">
        <v>44956</v>
      </c>
      <c r="BR115" s="8">
        <f t="shared" si="0"/>
        <v>9</v>
      </c>
    </row>
    <row r="116" spans="1:70" ht="15.5">
      <c r="A116" s="4" t="str">
        <v>Reguler Periode ke-101 I.C.2</v>
      </c>
      <c r="B116" s="4" t="s">
        <v>2073</v>
      </c>
      <c r="C116" s="38" t="s">
        <v>340</v>
      </c>
      <c r="D116" s="4" t="s">
        <v>2053</v>
      </c>
      <c r="E116" s="4" t="s">
        <v>2157</v>
      </c>
      <c r="F116" s="4" t="s">
        <v>2076</v>
      </c>
      <c r="G116" s="27" t="s">
        <v>2158</v>
      </c>
      <c r="H116" s="27" t="s">
        <v>2159</v>
      </c>
      <c r="I116" s="27" t="s">
        <v>2160</v>
      </c>
      <c r="J116" s="27" t="s">
        <v>2161</v>
      </c>
      <c r="K116" s="27" t="s">
        <v>2162</v>
      </c>
      <c r="L116" s="27" t="s">
        <v>2163</v>
      </c>
      <c r="M116" s="27" t="s">
        <v>2164</v>
      </c>
      <c r="N116" s="27" t="s">
        <v>2165</v>
      </c>
      <c r="O116" s="27" t="s">
        <v>2166</v>
      </c>
      <c r="S116" s="27">
        <v>1900001225</v>
      </c>
      <c r="T116" s="27">
        <v>1900005397</v>
      </c>
      <c r="U116" s="27">
        <v>1900011023</v>
      </c>
      <c r="V116" s="27">
        <v>1900016005</v>
      </c>
      <c r="W116" s="27">
        <v>1900016084</v>
      </c>
      <c r="X116" s="27">
        <v>1900023188</v>
      </c>
      <c r="Y116" s="27">
        <v>1900024361</v>
      </c>
      <c r="Z116" s="27">
        <v>1900030145</v>
      </c>
      <c r="AA116" s="27">
        <v>1900032176</v>
      </c>
      <c r="AE116" s="27" t="s">
        <v>180</v>
      </c>
      <c r="AF116" s="27" t="s">
        <v>181</v>
      </c>
      <c r="AG116" s="27" t="s">
        <v>182</v>
      </c>
      <c r="AH116" s="27" t="s">
        <v>531</v>
      </c>
      <c r="AI116" s="27" t="s">
        <v>531</v>
      </c>
      <c r="AJ116" s="27" t="s">
        <v>899</v>
      </c>
      <c r="AK116" s="27" t="s">
        <v>924</v>
      </c>
      <c r="AL116" s="27" t="s">
        <v>184</v>
      </c>
      <c r="AM116" s="27" t="s">
        <v>732</v>
      </c>
      <c r="AQ116" s="28" t="s">
        <v>187</v>
      </c>
      <c r="AR116" s="28" t="s">
        <v>186</v>
      </c>
      <c r="AS116" s="28" t="s">
        <v>186</v>
      </c>
      <c r="AT116" s="28" t="s">
        <v>187</v>
      </c>
      <c r="AU116" s="28" t="s">
        <v>186</v>
      </c>
      <c r="AV116" s="28" t="s">
        <v>187</v>
      </c>
      <c r="AW116" s="28" t="s">
        <v>186</v>
      </c>
      <c r="AX116" s="28" t="s">
        <v>186</v>
      </c>
      <c r="AY116" s="28" t="s">
        <v>187</v>
      </c>
      <c r="BC116" s="28">
        <v>82281033866</v>
      </c>
      <c r="BD116" s="28">
        <v>8988716166</v>
      </c>
      <c r="BE116" s="28">
        <v>82242706854</v>
      </c>
      <c r="BF116" s="28">
        <v>82169067903</v>
      </c>
      <c r="BG116" s="28">
        <v>81339609403</v>
      </c>
      <c r="BH116" s="28">
        <v>82324895411</v>
      </c>
      <c r="BI116" s="28">
        <v>82133229992</v>
      </c>
      <c r="BJ116" s="28">
        <v>81353355385</v>
      </c>
      <c r="BK116" s="28">
        <v>81278395550</v>
      </c>
      <c r="BO116" s="29">
        <v>60110644</v>
      </c>
      <c r="BP116" s="18" t="s">
        <v>2167</v>
      </c>
      <c r="BQ116" s="37">
        <v>44956</v>
      </c>
      <c r="BR116" s="8">
        <f t="shared" si="0"/>
        <v>9</v>
      </c>
    </row>
    <row r="117" spans="1:70" ht="15.5">
      <c r="A117" s="4" t="str">
        <v>Reguler Periode ke-101 I.C.3</v>
      </c>
      <c r="B117" s="4" t="s">
        <v>2073</v>
      </c>
      <c r="C117" s="38" t="s">
        <v>360</v>
      </c>
      <c r="D117" s="4" t="s">
        <v>2053</v>
      </c>
      <c r="E117" s="4" t="s">
        <v>2168</v>
      </c>
      <c r="F117" s="4" t="s">
        <v>2076</v>
      </c>
      <c r="G117" s="27" t="s">
        <v>2169</v>
      </c>
      <c r="H117" s="27" t="s">
        <v>2170</v>
      </c>
      <c r="I117" s="27" t="s">
        <v>2171</v>
      </c>
      <c r="J117" s="27" t="s">
        <v>2172</v>
      </c>
      <c r="K117" s="27" t="s">
        <v>2173</v>
      </c>
      <c r="L117" s="27" t="s">
        <v>2174</v>
      </c>
      <c r="M117" s="27" t="s">
        <v>2175</v>
      </c>
      <c r="N117" s="27" t="s">
        <v>2176</v>
      </c>
      <c r="O117" s="27" t="s">
        <v>2177</v>
      </c>
      <c r="S117" s="27">
        <v>1900001192</v>
      </c>
      <c r="T117" s="27">
        <v>1900005363</v>
      </c>
      <c r="U117" s="27">
        <v>1900011191</v>
      </c>
      <c r="V117" s="27">
        <v>1900016090</v>
      </c>
      <c r="W117" s="27">
        <v>1900016134</v>
      </c>
      <c r="X117" s="27">
        <v>1900023181</v>
      </c>
      <c r="Y117" s="27">
        <v>1900024220</v>
      </c>
      <c r="Z117" s="27">
        <v>1900030388</v>
      </c>
      <c r="AA117" s="27">
        <v>1900032214</v>
      </c>
      <c r="AE117" s="27" t="s">
        <v>180</v>
      </c>
      <c r="AF117" s="27" t="s">
        <v>181</v>
      </c>
      <c r="AG117" s="27" t="s">
        <v>182</v>
      </c>
      <c r="AH117" s="27" t="s">
        <v>531</v>
      </c>
      <c r="AI117" s="27" t="s">
        <v>531</v>
      </c>
      <c r="AJ117" s="27" t="s">
        <v>899</v>
      </c>
      <c r="AK117" s="27" t="s">
        <v>924</v>
      </c>
      <c r="AL117" s="27" t="s">
        <v>184</v>
      </c>
      <c r="AM117" s="27" t="s">
        <v>732</v>
      </c>
      <c r="AQ117" s="28" t="s">
        <v>187</v>
      </c>
      <c r="AR117" s="28" t="s">
        <v>186</v>
      </c>
      <c r="AS117" s="28" t="s">
        <v>186</v>
      </c>
      <c r="AT117" s="28" t="s">
        <v>186</v>
      </c>
      <c r="AU117" s="28" t="s">
        <v>187</v>
      </c>
      <c r="AV117" s="28" t="s">
        <v>187</v>
      </c>
      <c r="AW117" s="28" t="s">
        <v>186</v>
      </c>
      <c r="AX117" s="28" t="s">
        <v>186</v>
      </c>
      <c r="AY117" s="28" t="s">
        <v>187</v>
      </c>
      <c r="BC117" s="28">
        <v>82216036820</v>
      </c>
      <c r="BD117" s="28">
        <v>85703202960</v>
      </c>
      <c r="BE117" s="28">
        <v>82121002536</v>
      </c>
      <c r="BF117" s="28">
        <v>89614616165</v>
      </c>
      <c r="BG117" s="28">
        <v>83861827513</v>
      </c>
      <c r="BH117" s="28">
        <v>82282754672</v>
      </c>
      <c r="BI117" s="28">
        <v>895608151867</v>
      </c>
      <c r="BJ117" s="28">
        <v>85363502089</v>
      </c>
      <c r="BK117" s="28">
        <v>82278895076</v>
      </c>
      <c r="BO117" s="29">
        <v>60110644</v>
      </c>
      <c r="BP117" s="18" t="s">
        <v>2178</v>
      </c>
      <c r="BQ117" s="37">
        <v>44956</v>
      </c>
      <c r="BR117" s="8">
        <f t="shared" si="0"/>
        <v>9</v>
      </c>
    </row>
    <row r="118" spans="1:70" ht="15.5">
      <c r="A118" s="4" t="str">
        <v>Reguler Periode ke-101 I.D.1</v>
      </c>
      <c r="B118" s="4" t="s">
        <v>2073</v>
      </c>
      <c r="C118" s="38" t="s">
        <v>379</v>
      </c>
      <c r="D118" s="4" t="s">
        <v>2179</v>
      </c>
      <c r="E118" s="4" t="s">
        <v>2180</v>
      </c>
      <c r="F118" s="4" t="s">
        <v>2076</v>
      </c>
      <c r="G118" s="27" t="s">
        <v>2181</v>
      </c>
      <c r="H118" s="27" t="s">
        <v>2182</v>
      </c>
      <c r="I118" s="27" t="s">
        <v>2183</v>
      </c>
      <c r="J118" s="27" t="s">
        <v>2184</v>
      </c>
      <c r="K118" s="27" t="s">
        <v>2185</v>
      </c>
      <c r="L118" s="27" t="s">
        <v>2186</v>
      </c>
      <c r="M118" s="27" t="s">
        <v>2187</v>
      </c>
      <c r="N118" s="27" t="s">
        <v>2188</v>
      </c>
      <c r="O118" s="27" t="s">
        <v>2189</v>
      </c>
      <c r="S118" s="27">
        <v>1900001151</v>
      </c>
      <c r="T118" s="27">
        <v>1900005330</v>
      </c>
      <c r="U118" s="27">
        <v>1900011289</v>
      </c>
      <c r="V118" s="27">
        <v>1900016052</v>
      </c>
      <c r="W118" s="27">
        <v>1900016153</v>
      </c>
      <c r="X118" s="27">
        <v>1900024105</v>
      </c>
      <c r="Y118" s="27">
        <v>1900024313</v>
      </c>
      <c r="Z118" s="27">
        <v>1900030121</v>
      </c>
      <c r="AA118" s="27">
        <v>1900032160</v>
      </c>
      <c r="AE118" s="27" t="s">
        <v>180</v>
      </c>
      <c r="AF118" s="27" t="s">
        <v>181</v>
      </c>
      <c r="AG118" s="27" t="s">
        <v>182</v>
      </c>
      <c r="AH118" s="27" t="s">
        <v>531</v>
      </c>
      <c r="AI118" s="27" t="s">
        <v>531</v>
      </c>
      <c r="AJ118" s="27" t="s">
        <v>924</v>
      </c>
      <c r="AK118" s="27" t="s">
        <v>924</v>
      </c>
      <c r="AL118" s="27" t="s">
        <v>184</v>
      </c>
      <c r="AM118" s="27" t="s">
        <v>732</v>
      </c>
      <c r="AQ118" s="28" t="s">
        <v>187</v>
      </c>
      <c r="AR118" s="28" t="s">
        <v>186</v>
      </c>
      <c r="AS118" s="28" t="s">
        <v>186</v>
      </c>
      <c r="AT118" s="28" t="s">
        <v>187</v>
      </c>
      <c r="AU118" s="28" t="s">
        <v>186</v>
      </c>
      <c r="AV118" s="28" t="s">
        <v>186</v>
      </c>
      <c r="AW118" s="28" t="s">
        <v>187</v>
      </c>
      <c r="AX118" s="28" t="s">
        <v>186</v>
      </c>
      <c r="AY118" s="28" t="s">
        <v>187</v>
      </c>
      <c r="BC118" s="28">
        <v>82133451471</v>
      </c>
      <c r="BD118" s="28">
        <v>88221051738</v>
      </c>
      <c r="BE118" s="28">
        <v>81336476091</v>
      </c>
      <c r="BF118" s="28">
        <v>85157911301</v>
      </c>
      <c r="BG118" s="28">
        <v>85607205633</v>
      </c>
      <c r="BH118" s="28">
        <v>82341375169</v>
      </c>
      <c r="BI118" s="28">
        <v>85839327024</v>
      </c>
      <c r="BJ118" s="28">
        <v>85248930740</v>
      </c>
      <c r="BK118" s="28">
        <v>82274349342</v>
      </c>
      <c r="BO118" s="29">
        <v>60080543</v>
      </c>
      <c r="BP118" s="18" t="s">
        <v>2190</v>
      </c>
      <c r="BQ118" s="37">
        <v>44956</v>
      </c>
      <c r="BR118" s="8">
        <f t="shared" si="0"/>
        <v>9</v>
      </c>
    </row>
    <row r="119" spans="1:70" ht="15.5">
      <c r="A119" s="4" t="str">
        <v>Reguler Periode ke-101 I.D.2</v>
      </c>
      <c r="B119" s="4" t="s">
        <v>2073</v>
      </c>
      <c r="C119" s="38" t="s">
        <v>642</v>
      </c>
      <c r="D119" s="4" t="s">
        <v>2179</v>
      </c>
      <c r="E119" s="4" t="s">
        <v>2191</v>
      </c>
      <c r="F119" s="4" t="s">
        <v>2076</v>
      </c>
      <c r="G119" s="27" t="s">
        <v>2192</v>
      </c>
      <c r="H119" s="27" t="s">
        <v>2193</v>
      </c>
      <c r="I119" s="27" t="s">
        <v>2194</v>
      </c>
      <c r="J119" s="27" t="s">
        <v>2195</v>
      </c>
      <c r="K119" s="27" t="s">
        <v>2196</v>
      </c>
      <c r="L119" s="27" t="s">
        <v>2197</v>
      </c>
      <c r="M119" s="27" t="s">
        <v>2198</v>
      </c>
      <c r="N119" s="27" t="s">
        <v>2199</v>
      </c>
      <c r="O119" s="27" t="s">
        <v>2200</v>
      </c>
      <c r="S119" s="27">
        <v>1900001161</v>
      </c>
      <c r="T119" s="27">
        <v>1900005191</v>
      </c>
      <c r="U119" s="27">
        <v>1900011286</v>
      </c>
      <c r="V119" s="27">
        <v>1900016165</v>
      </c>
      <c r="W119" s="27">
        <v>1900024286</v>
      </c>
      <c r="X119" s="27">
        <v>1900025014</v>
      </c>
      <c r="Y119" s="27">
        <v>1900030272</v>
      </c>
      <c r="Z119" s="27">
        <v>1900032124</v>
      </c>
      <c r="AA119" s="27">
        <v>1915016176</v>
      </c>
      <c r="AE119" s="27" t="s">
        <v>180</v>
      </c>
      <c r="AF119" s="27" t="s">
        <v>181</v>
      </c>
      <c r="AG119" s="27" t="s">
        <v>182</v>
      </c>
      <c r="AH119" s="27" t="s">
        <v>531</v>
      </c>
      <c r="AI119" s="27" t="s">
        <v>924</v>
      </c>
      <c r="AJ119" s="27" t="s">
        <v>1168</v>
      </c>
      <c r="AK119" s="27" t="s">
        <v>184</v>
      </c>
      <c r="AL119" s="27" t="s">
        <v>732</v>
      </c>
      <c r="AM119" s="27" t="s">
        <v>531</v>
      </c>
      <c r="AQ119" s="28" t="s">
        <v>187</v>
      </c>
      <c r="AR119" s="28" t="s">
        <v>186</v>
      </c>
      <c r="AS119" s="28" t="s">
        <v>186</v>
      </c>
      <c r="AT119" s="28" t="s">
        <v>187</v>
      </c>
      <c r="AU119" s="28" t="s">
        <v>187</v>
      </c>
      <c r="AV119" s="28" t="s">
        <v>186</v>
      </c>
      <c r="AW119" s="28" t="s">
        <v>186</v>
      </c>
      <c r="AX119" s="28" t="s">
        <v>187</v>
      </c>
      <c r="AY119" s="28" t="s">
        <v>186</v>
      </c>
      <c r="BC119" s="28">
        <v>81211116313</v>
      </c>
      <c r="BD119" s="28">
        <v>82117549588</v>
      </c>
      <c r="BE119" s="28">
        <v>81392424600</v>
      </c>
      <c r="BF119" s="28">
        <v>85806274393</v>
      </c>
      <c r="BG119" s="28">
        <v>85866429885</v>
      </c>
      <c r="BH119" s="28">
        <v>82136990385</v>
      </c>
      <c r="BI119" s="28">
        <v>83895552044</v>
      </c>
      <c r="BJ119" s="28">
        <v>87708733171</v>
      </c>
      <c r="BK119" s="28">
        <v>89668590222</v>
      </c>
      <c r="BO119" s="29">
        <v>60080543</v>
      </c>
      <c r="BP119" s="18" t="s">
        <v>2201</v>
      </c>
      <c r="BQ119" s="37">
        <v>44956</v>
      </c>
      <c r="BR119" s="8">
        <f t="shared" si="0"/>
        <v>9</v>
      </c>
    </row>
    <row r="120" spans="1:70" ht="15.5">
      <c r="A120" s="4" t="str">
        <v>Reguler Periode ke-101 I.D.3</v>
      </c>
      <c r="B120" s="4" t="s">
        <v>2073</v>
      </c>
      <c r="C120" s="38" t="s">
        <v>654</v>
      </c>
      <c r="D120" s="4" t="s">
        <v>2179</v>
      </c>
      <c r="E120" s="4" t="s">
        <v>2202</v>
      </c>
      <c r="F120" s="4" t="s">
        <v>2076</v>
      </c>
      <c r="G120" s="27" t="s">
        <v>2203</v>
      </c>
      <c r="H120" s="27" t="s">
        <v>2204</v>
      </c>
      <c r="I120" s="27" t="s">
        <v>2205</v>
      </c>
      <c r="J120" s="27" t="s">
        <v>2206</v>
      </c>
      <c r="K120" s="27" t="s">
        <v>2207</v>
      </c>
      <c r="L120" s="27" t="s">
        <v>2208</v>
      </c>
      <c r="M120" s="27" t="s">
        <v>2209</v>
      </c>
      <c r="N120" s="27" t="s">
        <v>2210</v>
      </c>
      <c r="O120" s="27" t="s">
        <v>2211</v>
      </c>
      <c r="S120" s="27">
        <v>1800024392</v>
      </c>
      <c r="T120" s="27">
        <v>1900001006</v>
      </c>
      <c r="U120" s="27">
        <v>1900005348</v>
      </c>
      <c r="V120" s="27">
        <v>1900011347</v>
      </c>
      <c r="W120" s="27">
        <v>1900016036</v>
      </c>
      <c r="X120" s="27">
        <v>1900016162</v>
      </c>
      <c r="Y120" s="27">
        <v>1900025069</v>
      </c>
      <c r="Z120" s="27">
        <v>1900030045</v>
      </c>
      <c r="AA120" s="27">
        <v>1900032109</v>
      </c>
      <c r="AE120" s="27" t="s">
        <v>924</v>
      </c>
      <c r="AF120" s="27" t="s">
        <v>180</v>
      </c>
      <c r="AG120" s="27" t="s">
        <v>181</v>
      </c>
      <c r="AH120" s="27" t="s">
        <v>182</v>
      </c>
      <c r="AI120" s="27" t="s">
        <v>531</v>
      </c>
      <c r="AJ120" s="27" t="s">
        <v>531</v>
      </c>
      <c r="AK120" s="27" t="s">
        <v>1168</v>
      </c>
      <c r="AL120" s="27" t="s">
        <v>184</v>
      </c>
      <c r="AM120" s="27" t="s">
        <v>732</v>
      </c>
      <c r="AQ120" s="28" t="s">
        <v>187</v>
      </c>
      <c r="AR120" s="28" t="s">
        <v>187</v>
      </c>
      <c r="AS120" s="28" t="s">
        <v>186</v>
      </c>
      <c r="AT120" s="28" t="s">
        <v>186</v>
      </c>
      <c r="AU120" s="28" t="s">
        <v>187</v>
      </c>
      <c r="AV120" s="28" t="s">
        <v>186</v>
      </c>
      <c r="AW120" s="28" t="s">
        <v>186</v>
      </c>
      <c r="AX120" s="28" t="s">
        <v>186</v>
      </c>
      <c r="AY120" s="28" t="s">
        <v>187</v>
      </c>
      <c r="BC120" s="28">
        <v>82281715453</v>
      </c>
      <c r="BD120" s="28">
        <v>85876059210</v>
      </c>
      <c r="BE120" s="28">
        <v>82273973905</v>
      </c>
      <c r="BF120" s="28">
        <v>81226916845</v>
      </c>
      <c r="BG120" s="28">
        <v>81326290348</v>
      </c>
      <c r="BH120" s="28">
        <v>82295402486</v>
      </c>
      <c r="BI120" s="28">
        <v>81347452332</v>
      </c>
      <c r="BJ120" s="28">
        <v>85803561925</v>
      </c>
      <c r="BK120" s="28">
        <v>82125967292</v>
      </c>
      <c r="BO120" s="29">
        <v>60080543</v>
      </c>
      <c r="BP120" s="18" t="s">
        <v>2212</v>
      </c>
      <c r="BQ120" s="37">
        <v>44956</v>
      </c>
      <c r="BR120" s="8">
        <f t="shared" si="0"/>
        <v>9</v>
      </c>
    </row>
    <row r="121" spans="1:70" ht="15.5">
      <c r="A121" s="4" t="str">
        <v>Reguler Periode ke-101 II.A.1</v>
      </c>
      <c r="B121" s="4" t="s">
        <v>2073</v>
      </c>
      <c r="C121" s="38" t="s">
        <v>680</v>
      </c>
      <c r="D121" s="4" t="s">
        <v>2213</v>
      </c>
      <c r="E121" s="4" t="s">
        <v>2214</v>
      </c>
      <c r="F121" s="4" t="s">
        <v>2076</v>
      </c>
      <c r="G121" s="27" t="s">
        <v>2215</v>
      </c>
      <c r="H121" s="27" t="s">
        <v>2216</v>
      </c>
      <c r="I121" s="27" t="s">
        <v>2217</v>
      </c>
      <c r="J121" s="27" t="s">
        <v>2218</v>
      </c>
      <c r="K121" s="27" t="s">
        <v>2219</v>
      </c>
      <c r="L121" s="27" t="s">
        <v>2220</v>
      </c>
      <c r="M121" s="27" t="s">
        <v>2221</v>
      </c>
      <c r="N121" s="27" t="s">
        <v>2222</v>
      </c>
      <c r="O121" s="27" t="s">
        <v>2223</v>
      </c>
      <c r="S121" s="27">
        <v>1800032180</v>
      </c>
      <c r="T121" s="27">
        <v>1900001125</v>
      </c>
      <c r="U121" s="27">
        <v>1900005275</v>
      </c>
      <c r="V121" s="27">
        <v>1900011265</v>
      </c>
      <c r="W121" s="27">
        <v>1900016020</v>
      </c>
      <c r="X121" s="27">
        <v>1900016157</v>
      </c>
      <c r="Y121" s="27">
        <v>1900024197</v>
      </c>
      <c r="Z121" s="27">
        <v>1900025055</v>
      </c>
      <c r="AA121" s="27">
        <v>1900030334</v>
      </c>
      <c r="AE121" s="27" t="s">
        <v>732</v>
      </c>
      <c r="AF121" s="27" t="s">
        <v>180</v>
      </c>
      <c r="AG121" s="27" t="s">
        <v>181</v>
      </c>
      <c r="AH121" s="27" t="s">
        <v>182</v>
      </c>
      <c r="AI121" s="27" t="s">
        <v>531</v>
      </c>
      <c r="AJ121" s="27" t="s">
        <v>531</v>
      </c>
      <c r="AK121" s="27" t="s">
        <v>924</v>
      </c>
      <c r="AL121" s="27" t="s">
        <v>1168</v>
      </c>
      <c r="AM121" s="27" t="s">
        <v>184</v>
      </c>
      <c r="AQ121" s="28" t="s">
        <v>187</v>
      </c>
      <c r="AR121" s="28" t="s">
        <v>187</v>
      </c>
      <c r="AS121" s="28" t="s">
        <v>186</v>
      </c>
      <c r="AT121" s="28" t="s">
        <v>186</v>
      </c>
      <c r="AU121" s="28" t="s">
        <v>186</v>
      </c>
      <c r="AV121" s="28" t="s">
        <v>187</v>
      </c>
      <c r="AW121" s="28" t="s">
        <v>187</v>
      </c>
      <c r="AX121" s="28" t="s">
        <v>186</v>
      </c>
      <c r="AY121" s="28" t="s">
        <v>186</v>
      </c>
      <c r="BC121" s="28">
        <v>82326836946</v>
      </c>
      <c r="BD121" s="28">
        <v>89652187081</v>
      </c>
      <c r="BE121" s="28">
        <v>895330262475</v>
      </c>
      <c r="BF121" s="28">
        <v>85788149901</v>
      </c>
      <c r="BG121" s="28">
        <v>85280639339</v>
      </c>
      <c r="BH121" s="28">
        <v>81278142735</v>
      </c>
      <c r="BI121" s="28">
        <v>82250677497</v>
      </c>
      <c r="BJ121" s="28">
        <v>83842982389</v>
      </c>
      <c r="BK121" s="28">
        <v>87730393245</v>
      </c>
      <c r="BO121" s="29">
        <v>60171064</v>
      </c>
      <c r="BP121" s="18" t="s">
        <v>2224</v>
      </c>
      <c r="BQ121" s="37">
        <v>44956</v>
      </c>
      <c r="BR121" s="8">
        <f t="shared" si="0"/>
        <v>9</v>
      </c>
    </row>
    <row r="122" spans="1:70" ht="15.5">
      <c r="A122" s="4" t="str">
        <v>Reguler Periode ke-101 II.A.2</v>
      </c>
      <c r="B122" s="4" t="s">
        <v>2073</v>
      </c>
      <c r="C122" s="38" t="s">
        <v>694</v>
      </c>
      <c r="D122" s="4" t="s">
        <v>2213</v>
      </c>
      <c r="E122" s="4" t="s">
        <v>2225</v>
      </c>
      <c r="F122" s="4" t="s">
        <v>2076</v>
      </c>
      <c r="G122" s="27" t="s">
        <v>2226</v>
      </c>
      <c r="H122" s="27" t="s">
        <v>2227</v>
      </c>
      <c r="I122" s="27" t="s">
        <v>2228</v>
      </c>
      <c r="J122" s="27" t="s">
        <v>2229</v>
      </c>
      <c r="K122" s="27" t="s">
        <v>2230</v>
      </c>
      <c r="L122" s="27" t="s">
        <v>2231</v>
      </c>
      <c r="M122" s="27" t="s">
        <v>2232</v>
      </c>
      <c r="N122" s="27" t="s">
        <v>2233</v>
      </c>
      <c r="O122" s="27" t="s">
        <v>2234</v>
      </c>
      <c r="S122" s="27">
        <v>1800011234</v>
      </c>
      <c r="T122" s="27">
        <v>1900001141</v>
      </c>
      <c r="U122" s="27">
        <v>1900005263</v>
      </c>
      <c r="V122" s="27">
        <v>1900016065</v>
      </c>
      <c r="W122" s="27">
        <v>1900016180</v>
      </c>
      <c r="X122" s="27">
        <v>1900024168</v>
      </c>
      <c r="Y122" s="27">
        <v>1900025070</v>
      </c>
      <c r="Z122" s="27">
        <v>1900030413</v>
      </c>
      <c r="AA122" s="27">
        <v>1900033187</v>
      </c>
      <c r="AE122" s="27" t="s">
        <v>182</v>
      </c>
      <c r="AF122" s="27" t="s">
        <v>180</v>
      </c>
      <c r="AG122" s="27" t="s">
        <v>181</v>
      </c>
      <c r="AH122" s="27" t="s">
        <v>531</v>
      </c>
      <c r="AI122" s="27" t="s">
        <v>531</v>
      </c>
      <c r="AJ122" s="27" t="s">
        <v>924</v>
      </c>
      <c r="AK122" s="27" t="s">
        <v>1168</v>
      </c>
      <c r="AL122" s="27" t="s">
        <v>184</v>
      </c>
      <c r="AM122" s="27" t="s">
        <v>1112</v>
      </c>
      <c r="AQ122" s="28" t="s">
        <v>186</v>
      </c>
      <c r="AR122" s="28" t="s">
        <v>187</v>
      </c>
      <c r="AS122" s="28" t="s">
        <v>186</v>
      </c>
      <c r="AT122" s="28" t="s">
        <v>187</v>
      </c>
      <c r="AU122" s="28" t="s">
        <v>186</v>
      </c>
      <c r="AV122" s="28" t="s">
        <v>187</v>
      </c>
      <c r="AW122" s="28" t="s">
        <v>186</v>
      </c>
      <c r="AX122" s="28" t="s">
        <v>186</v>
      </c>
      <c r="AY122" s="28" t="s">
        <v>187</v>
      </c>
      <c r="BC122" s="28" t="s">
        <v>2235</v>
      </c>
      <c r="BD122" s="28">
        <v>81277363270</v>
      </c>
      <c r="BE122" s="28">
        <v>895401209705</v>
      </c>
      <c r="BF122" s="28">
        <v>82282193558</v>
      </c>
      <c r="BG122" s="28">
        <v>88235762884</v>
      </c>
      <c r="BH122" s="28">
        <v>81244188775</v>
      </c>
      <c r="BI122" s="28">
        <v>89649306025</v>
      </c>
      <c r="BJ122" s="28" t="s">
        <v>2236</v>
      </c>
      <c r="BK122" s="28">
        <v>81398186398</v>
      </c>
      <c r="BO122" s="29">
        <v>60171064</v>
      </c>
      <c r="BP122" s="18" t="s">
        <v>2237</v>
      </c>
      <c r="BQ122" s="37">
        <v>44956</v>
      </c>
      <c r="BR122" s="8">
        <f t="shared" si="0"/>
        <v>9</v>
      </c>
    </row>
    <row r="123" spans="1:70" ht="15.5">
      <c r="A123" s="4" t="str">
        <v>Reguler Periode ke-101 II.A.3</v>
      </c>
      <c r="B123" s="4" t="s">
        <v>2073</v>
      </c>
      <c r="C123" s="38" t="s">
        <v>707</v>
      </c>
      <c r="D123" s="4" t="s">
        <v>2213</v>
      </c>
      <c r="E123" s="4" t="s">
        <v>2238</v>
      </c>
      <c r="F123" s="4" t="s">
        <v>2076</v>
      </c>
      <c r="G123" s="27" t="s">
        <v>2239</v>
      </c>
      <c r="H123" s="27" t="s">
        <v>2240</v>
      </c>
      <c r="I123" s="27" t="s">
        <v>2241</v>
      </c>
      <c r="J123" s="27" t="s">
        <v>2242</v>
      </c>
      <c r="K123" s="27" t="s">
        <v>2243</v>
      </c>
      <c r="L123" s="27" t="s">
        <v>2244</v>
      </c>
      <c r="M123" s="27" t="s">
        <v>2245</v>
      </c>
      <c r="N123" s="27" t="s">
        <v>2246</v>
      </c>
      <c r="O123" s="27" t="s">
        <v>2247</v>
      </c>
      <c r="S123" s="27">
        <v>1900001237</v>
      </c>
      <c r="T123" s="27">
        <v>1900005094</v>
      </c>
      <c r="U123" s="27">
        <v>1900011335</v>
      </c>
      <c r="V123" s="27">
        <v>1900016097</v>
      </c>
      <c r="W123" s="27">
        <v>1900016142</v>
      </c>
      <c r="X123" s="27">
        <v>1900024135</v>
      </c>
      <c r="Y123" s="27">
        <v>1900025086</v>
      </c>
      <c r="Z123" s="27">
        <v>1900030032</v>
      </c>
      <c r="AA123" s="27">
        <v>1900033015</v>
      </c>
      <c r="AE123" s="27" t="s">
        <v>180</v>
      </c>
      <c r="AF123" s="27" t="s">
        <v>181</v>
      </c>
      <c r="AG123" s="27" t="s">
        <v>182</v>
      </c>
      <c r="AH123" s="27" t="s">
        <v>531</v>
      </c>
      <c r="AI123" s="27" t="s">
        <v>531</v>
      </c>
      <c r="AJ123" s="27" t="s">
        <v>924</v>
      </c>
      <c r="AK123" s="27" t="s">
        <v>1168</v>
      </c>
      <c r="AL123" s="27" t="s">
        <v>184</v>
      </c>
      <c r="AM123" s="27" t="s">
        <v>1112</v>
      </c>
      <c r="AQ123" s="28" t="s">
        <v>187</v>
      </c>
      <c r="AR123" s="28" t="s">
        <v>186</v>
      </c>
      <c r="AS123" s="28" t="s">
        <v>186</v>
      </c>
      <c r="AT123" s="28" t="s">
        <v>186</v>
      </c>
      <c r="AU123" s="28" t="s">
        <v>187</v>
      </c>
      <c r="AV123" s="28" t="s">
        <v>187</v>
      </c>
      <c r="AW123" s="28" t="s">
        <v>186</v>
      </c>
      <c r="AX123" s="28" t="s">
        <v>186</v>
      </c>
      <c r="AY123" s="28" t="s">
        <v>187</v>
      </c>
      <c r="BC123" s="28">
        <v>85691358010</v>
      </c>
      <c r="BD123" s="28">
        <v>895343035113</v>
      </c>
      <c r="BE123" s="28">
        <v>85323818469</v>
      </c>
      <c r="BF123" s="28">
        <v>85368638474</v>
      </c>
      <c r="BG123" s="28">
        <v>895392656477</v>
      </c>
      <c r="BH123" s="28">
        <v>85733393903</v>
      </c>
      <c r="BI123" s="28">
        <v>82318105840</v>
      </c>
      <c r="BJ123" s="28">
        <v>88232065063</v>
      </c>
      <c r="BK123" s="28">
        <v>85770985478</v>
      </c>
      <c r="BO123" s="29">
        <v>60171064</v>
      </c>
      <c r="BP123" s="18" t="s">
        <v>2248</v>
      </c>
      <c r="BQ123" s="37">
        <v>44956</v>
      </c>
      <c r="BR123" s="8">
        <f t="shared" si="0"/>
        <v>9</v>
      </c>
    </row>
    <row r="124" spans="1:70" ht="15.5">
      <c r="A124" s="4" t="str">
        <v>Reguler Periode ke-101 II.B.1</v>
      </c>
      <c r="B124" s="4" t="s">
        <v>2073</v>
      </c>
      <c r="C124" s="38" t="s">
        <v>719</v>
      </c>
      <c r="D124" s="4" t="s">
        <v>2249</v>
      </c>
      <c r="E124" s="4" t="s">
        <v>2250</v>
      </c>
      <c r="F124" s="4" t="s">
        <v>2076</v>
      </c>
      <c r="G124" s="27" t="s">
        <v>2251</v>
      </c>
      <c r="H124" s="27" t="s">
        <v>2252</v>
      </c>
      <c r="I124" s="27" t="s">
        <v>2253</v>
      </c>
      <c r="J124" s="27" t="s">
        <v>2254</v>
      </c>
      <c r="K124" s="27" t="s">
        <v>2255</v>
      </c>
      <c r="L124" s="27" t="s">
        <v>2256</v>
      </c>
      <c r="M124" s="27" t="s">
        <v>2257</v>
      </c>
      <c r="N124" s="27" t="s">
        <v>2258</v>
      </c>
      <c r="O124" s="27" t="s">
        <v>2259</v>
      </c>
      <c r="S124" s="27">
        <v>1900001179</v>
      </c>
      <c r="T124" s="27">
        <v>1900005018</v>
      </c>
      <c r="U124" s="27">
        <v>1900011089</v>
      </c>
      <c r="V124" s="27">
        <v>1900016078</v>
      </c>
      <c r="W124" s="27">
        <v>1900016158</v>
      </c>
      <c r="X124" s="27">
        <v>1900024007</v>
      </c>
      <c r="Y124" s="27">
        <v>1900025015</v>
      </c>
      <c r="Z124" s="27">
        <v>1900030164</v>
      </c>
      <c r="AA124" s="27">
        <v>1900033016</v>
      </c>
      <c r="AE124" s="27" t="s">
        <v>180</v>
      </c>
      <c r="AF124" s="27" t="s">
        <v>181</v>
      </c>
      <c r="AG124" s="27" t="s">
        <v>182</v>
      </c>
      <c r="AH124" s="27" t="s">
        <v>531</v>
      </c>
      <c r="AI124" s="27" t="s">
        <v>531</v>
      </c>
      <c r="AJ124" s="27" t="s">
        <v>924</v>
      </c>
      <c r="AK124" s="27" t="s">
        <v>1168</v>
      </c>
      <c r="AL124" s="27" t="s">
        <v>184</v>
      </c>
      <c r="AM124" s="27" t="s">
        <v>1112</v>
      </c>
      <c r="AQ124" s="28" t="s">
        <v>187</v>
      </c>
      <c r="AR124" s="28" t="s">
        <v>186</v>
      </c>
      <c r="AS124" s="28" t="s">
        <v>186</v>
      </c>
      <c r="AT124" s="28" t="s">
        <v>187</v>
      </c>
      <c r="AU124" s="28" t="s">
        <v>186</v>
      </c>
      <c r="AV124" s="28" t="s">
        <v>187</v>
      </c>
      <c r="AW124" s="28" t="s">
        <v>186</v>
      </c>
      <c r="AX124" s="28" t="s">
        <v>186</v>
      </c>
      <c r="AY124" s="28" t="s">
        <v>187</v>
      </c>
      <c r="BC124" s="28">
        <v>85840709342</v>
      </c>
      <c r="BD124" s="28">
        <v>85876946645</v>
      </c>
      <c r="BE124" s="28">
        <v>895389195687</v>
      </c>
      <c r="BF124" s="28">
        <v>82254377632</v>
      </c>
      <c r="BG124" s="28">
        <v>89510847569</v>
      </c>
      <c r="BH124" s="28">
        <v>82154121292</v>
      </c>
      <c r="BI124" s="28">
        <v>81390119512</v>
      </c>
      <c r="BJ124" s="28">
        <v>81225654952</v>
      </c>
      <c r="BK124" s="28">
        <v>85975115033</v>
      </c>
      <c r="BO124" s="29" t="s">
        <v>491</v>
      </c>
      <c r="BP124" s="18" t="s">
        <v>2260</v>
      </c>
      <c r="BQ124" s="37">
        <v>44956</v>
      </c>
      <c r="BR124" s="8">
        <f t="shared" si="0"/>
        <v>9</v>
      </c>
    </row>
    <row r="125" spans="1:70" ht="15.5">
      <c r="A125" s="4" t="str">
        <v>Reguler Periode ke-101 II.B.2</v>
      </c>
      <c r="B125" s="4" t="s">
        <v>2073</v>
      </c>
      <c r="C125" s="38" t="s">
        <v>734</v>
      </c>
      <c r="D125" s="4" t="s">
        <v>2249</v>
      </c>
      <c r="E125" s="4" t="s">
        <v>2261</v>
      </c>
      <c r="F125" s="4" t="s">
        <v>2076</v>
      </c>
      <c r="G125" s="27" t="s">
        <v>2262</v>
      </c>
      <c r="H125" s="27" t="s">
        <v>2263</v>
      </c>
      <c r="I125" s="27" t="s">
        <v>2264</v>
      </c>
      <c r="J125" s="27" t="s">
        <v>2265</v>
      </c>
      <c r="K125" s="27" t="s">
        <v>2266</v>
      </c>
      <c r="L125" s="27" t="s">
        <v>2267</v>
      </c>
      <c r="M125" s="27" t="s">
        <v>2268</v>
      </c>
      <c r="N125" s="27" t="s">
        <v>2269</v>
      </c>
      <c r="O125" s="27" t="s">
        <v>2270</v>
      </c>
      <c r="S125" s="27">
        <v>1900001172</v>
      </c>
      <c r="T125" s="27">
        <v>1900005264</v>
      </c>
      <c r="U125" s="27">
        <v>1900011128</v>
      </c>
      <c r="V125" s="27">
        <v>1900016147</v>
      </c>
      <c r="W125" s="27">
        <v>1900016195</v>
      </c>
      <c r="X125" s="27">
        <v>1900024134</v>
      </c>
      <c r="Y125" s="27">
        <v>1900025032</v>
      </c>
      <c r="Z125" s="27">
        <v>1900030077</v>
      </c>
      <c r="AA125" s="27">
        <v>1900033114</v>
      </c>
      <c r="AE125" s="27" t="s">
        <v>180</v>
      </c>
      <c r="AF125" s="27" t="s">
        <v>181</v>
      </c>
      <c r="AG125" s="27" t="s">
        <v>182</v>
      </c>
      <c r="AH125" s="27" t="s">
        <v>531</v>
      </c>
      <c r="AI125" s="27" t="s">
        <v>531</v>
      </c>
      <c r="AJ125" s="27" t="s">
        <v>924</v>
      </c>
      <c r="AK125" s="27" t="s">
        <v>1168</v>
      </c>
      <c r="AL125" s="27" t="s">
        <v>184</v>
      </c>
      <c r="AM125" s="27" t="s">
        <v>1112</v>
      </c>
      <c r="AO125" s="28"/>
      <c r="AQ125" s="28" t="s">
        <v>187</v>
      </c>
      <c r="AR125" s="28" t="s">
        <v>186</v>
      </c>
      <c r="AS125" s="28" t="s">
        <v>186</v>
      </c>
      <c r="AT125" s="28" t="s">
        <v>187</v>
      </c>
      <c r="AU125" s="28" t="s">
        <v>186</v>
      </c>
      <c r="AV125" s="28" t="s">
        <v>187</v>
      </c>
      <c r="AW125" s="28" t="s">
        <v>186</v>
      </c>
      <c r="AX125" s="28" t="s">
        <v>186</v>
      </c>
      <c r="AY125" s="28" t="s">
        <v>187</v>
      </c>
      <c r="BC125" s="28">
        <v>82137996407</v>
      </c>
      <c r="BD125" s="28">
        <v>83177319167</v>
      </c>
      <c r="BE125" s="28">
        <v>81229302216</v>
      </c>
      <c r="BF125" s="28">
        <v>85260029954</v>
      </c>
      <c r="BG125" s="28">
        <v>82175900230</v>
      </c>
      <c r="BH125" s="28">
        <v>81290489938</v>
      </c>
      <c r="BI125" s="28">
        <v>82215737025</v>
      </c>
      <c r="BJ125" s="28">
        <v>81255668996</v>
      </c>
      <c r="BK125" s="28">
        <v>81392509226</v>
      </c>
      <c r="BO125" s="29" t="s">
        <v>491</v>
      </c>
      <c r="BP125" s="18" t="s">
        <v>2271</v>
      </c>
      <c r="BQ125" s="37">
        <v>44956</v>
      </c>
      <c r="BR125" s="8">
        <f t="shared" si="0"/>
        <v>9</v>
      </c>
    </row>
    <row r="126" spans="1:70" ht="15.5">
      <c r="A126" s="4" t="str">
        <v>Reguler Periode ke-101 II.B.3</v>
      </c>
      <c r="B126" s="4" t="s">
        <v>2073</v>
      </c>
      <c r="C126" s="38" t="s">
        <v>747</v>
      </c>
      <c r="D126" s="4" t="s">
        <v>2249</v>
      </c>
      <c r="E126" s="4" t="s">
        <v>2272</v>
      </c>
      <c r="F126" s="4" t="s">
        <v>2076</v>
      </c>
      <c r="G126" s="27" t="s">
        <v>2273</v>
      </c>
      <c r="H126" s="27" t="s">
        <v>2274</v>
      </c>
      <c r="I126" s="27" t="s">
        <v>2275</v>
      </c>
      <c r="J126" s="27" t="s">
        <v>2276</v>
      </c>
      <c r="K126" s="27" t="s">
        <v>2277</v>
      </c>
      <c r="L126" s="27" t="s">
        <v>2278</v>
      </c>
      <c r="M126" s="27" t="s">
        <v>2279</v>
      </c>
      <c r="N126" s="27" t="s">
        <v>2280</v>
      </c>
      <c r="O126" s="27" t="s">
        <v>2281</v>
      </c>
      <c r="S126" s="27">
        <v>1900001213</v>
      </c>
      <c r="T126" s="27">
        <v>1900005138</v>
      </c>
      <c r="U126" s="27">
        <v>1900011206</v>
      </c>
      <c r="V126" s="27">
        <v>1900016125</v>
      </c>
      <c r="W126" s="27">
        <v>1900016135</v>
      </c>
      <c r="X126" s="27">
        <v>1900024164</v>
      </c>
      <c r="Y126" s="27">
        <v>1900025001</v>
      </c>
      <c r="Z126" s="27">
        <v>1900030029</v>
      </c>
      <c r="AA126" s="27">
        <v>1900033053</v>
      </c>
      <c r="AE126" s="27" t="s">
        <v>180</v>
      </c>
      <c r="AF126" s="27" t="s">
        <v>181</v>
      </c>
      <c r="AG126" s="27" t="s">
        <v>182</v>
      </c>
      <c r="AH126" s="27" t="s">
        <v>531</v>
      </c>
      <c r="AI126" s="27" t="s">
        <v>531</v>
      </c>
      <c r="AJ126" s="27" t="s">
        <v>924</v>
      </c>
      <c r="AK126" s="27" t="s">
        <v>1168</v>
      </c>
      <c r="AL126" s="27" t="s">
        <v>184</v>
      </c>
      <c r="AM126" s="27" t="s">
        <v>1112</v>
      </c>
      <c r="AO126" s="28"/>
      <c r="AQ126" s="28" t="s">
        <v>187</v>
      </c>
      <c r="AR126" s="28" t="s">
        <v>186</v>
      </c>
      <c r="AS126" s="28" t="s">
        <v>186</v>
      </c>
      <c r="AT126" s="28" t="s">
        <v>186</v>
      </c>
      <c r="AU126" s="28" t="s">
        <v>187</v>
      </c>
      <c r="AV126" s="28" t="s">
        <v>187</v>
      </c>
      <c r="AW126" s="28" t="s">
        <v>186</v>
      </c>
      <c r="AX126" s="28" t="s">
        <v>186</v>
      </c>
      <c r="AY126" s="28" t="s">
        <v>187</v>
      </c>
      <c r="BC126" s="28">
        <v>89653900062</v>
      </c>
      <c r="BD126" s="28">
        <v>895612733030</v>
      </c>
      <c r="BE126" s="28">
        <v>82233618927</v>
      </c>
      <c r="BF126" s="28">
        <v>89690809554</v>
      </c>
      <c r="BG126" s="28">
        <v>82329515480</v>
      </c>
      <c r="BH126" s="28">
        <v>85333969042</v>
      </c>
      <c r="BI126" s="28"/>
      <c r="BJ126" s="28">
        <v>88238599291</v>
      </c>
      <c r="BK126" s="28">
        <v>82267056875</v>
      </c>
      <c r="BO126" s="29" t="s">
        <v>491</v>
      </c>
      <c r="BP126" s="18" t="s">
        <v>2282</v>
      </c>
      <c r="BQ126" s="37">
        <v>44956</v>
      </c>
      <c r="BR126" s="8">
        <f t="shared" si="0"/>
        <v>9</v>
      </c>
    </row>
    <row r="127" spans="1:70" ht="15.5">
      <c r="A127" s="4" t="str">
        <v>Reguler Periode ke-101 II.C.1</v>
      </c>
      <c r="B127" s="4" t="s">
        <v>2073</v>
      </c>
      <c r="C127" s="38" t="s">
        <v>772</v>
      </c>
      <c r="D127" s="4" t="s">
        <v>2283</v>
      </c>
      <c r="E127" s="4" t="s">
        <v>2284</v>
      </c>
      <c r="F127" s="4" t="s">
        <v>2076</v>
      </c>
      <c r="G127" s="27" t="s">
        <v>2285</v>
      </c>
      <c r="H127" s="27" t="s">
        <v>2286</v>
      </c>
      <c r="I127" s="27" t="s">
        <v>2287</v>
      </c>
      <c r="J127" s="27" t="s">
        <v>2288</v>
      </c>
      <c r="K127" s="27" t="s">
        <v>2289</v>
      </c>
      <c r="L127" s="27" t="s">
        <v>2290</v>
      </c>
      <c r="M127" s="27" t="s">
        <v>2291</v>
      </c>
      <c r="N127" s="27" t="s">
        <v>2292</v>
      </c>
      <c r="S127" s="27">
        <v>1900001234</v>
      </c>
      <c r="T127" s="27">
        <v>1900005056</v>
      </c>
      <c r="U127" s="27">
        <v>1900011208</v>
      </c>
      <c r="V127" s="27">
        <v>1900016103</v>
      </c>
      <c r="W127" s="27">
        <v>1900024170</v>
      </c>
      <c r="X127" s="27">
        <v>1900025052</v>
      </c>
      <c r="Y127" s="27">
        <v>1900030150</v>
      </c>
      <c r="Z127" s="27">
        <v>1900033085</v>
      </c>
      <c r="AE127" s="27" t="s">
        <v>180</v>
      </c>
      <c r="AF127" s="27" t="s">
        <v>181</v>
      </c>
      <c r="AG127" s="27" t="s">
        <v>182</v>
      </c>
      <c r="AH127" s="27" t="s">
        <v>531</v>
      </c>
      <c r="AI127" s="27" t="s">
        <v>924</v>
      </c>
      <c r="AJ127" s="27" t="s">
        <v>1168</v>
      </c>
      <c r="AK127" s="27" t="s">
        <v>184</v>
      </c>
      <c r="AL127" s="27" t="s">
        <v>1112</v>
      </c>
      <c r="AO127" s="28"/>
      <c r="AQ127" s="28" t="s">
        <v>187</v>
      </c>
      <c r="AR127" s="28" t="s">
        <v>186</v>
      </c>
      <c r="AS127" s="28" t="s">
        <v>186</v>
      </c>
      <c r="AT127" s="28" t="s">
        <v>186</v>
      </c>
      <c r="AU127" s="28" t="s">
        <v>187</v>
      </c>
      <c r="AV127" s="28" t="s">
        <v>186</v>
      </c>
      <c r="AW127" s="28" t="s">
        <v>186</v>
      </c>
      <c r="AX127" s="28" t="s">
        <v>187</v>
      </c>
      <c r="BC127" s="28">
        <v>82297366640</v>
      </c>
      <c r="BD127" s="28">
        <v>82135232134</v>
      </c>
      <c r="BE127" s="28">
        <v>82289309148</v>
      </c>
      <c r="BF127" s="28">
        <v>82283042448</v>
      </c>
      <c r="BG127" s="28">
        <v>81227853355</v>
      </c>
      <c r="BH127" s="28">
        <v>85700720837</v>
      </c>
      <c r="BI127" s="28">
        <v>83103303671</v>
      </c>
      <c r="BJ127" s="28">
        <v>85718801859</v>
      </c>
      <c r="BO127" s="39">
        <v>60160968</v>
      </c>
      <c r="BP127" s="18" t="s">
        <v>2293</v>
      </c>
      <c r="BQ127" s="37">
        <v>44956</v>
      </c>
      <c r="BR127" s="8">
        <f t="shared" si="0"/>
        <v>8</v>
      </c>
    </row>
    <row r="128" spans="1:70" ht="15.5">
      <c r="A128" s="4" t="str">
        <v>Reguler Periode ke-101 II.C.2</v>
      </c>
      <c r="B128" s="4" t="s">
        <v>2073</v>
      </c>
      <c r="C128" s="38" t="s">
        <v>785</v>
      </c>
      <c r="D128" s="4" t="s">
        <v>2283</v>
      </c>
      <c r="E128" s="4" t="s">
        <v>2294</v>
      </c>
      <c r="F128" s="4" t="s">
        <v>2076</v>
      </c>
      <c r="G128" s="27" t="s">
        <v>2295</v>
      </c>
      <c r="H128" s="27" t="s">
        <v>2296</v>
      </c>
      <c r="I128" s="27" t="s">
        <v>2297</v>
      </c>
      <c r="J128" s="27" t="s">
        <v>2298</v>
      </c>
      <c r="K128" s="27" t="s">
        <v>2299</v>
      </c>
      <c r="L128" s="27" t="s">
        <v>2300</v>
      </c>
      <c r="M128" s="27" t="s">
        <v>2301</v>
      </c>
      <c r="N128" s="27" t="s">
        <v>2302</v>
      </c>
      <c r="O128" s="27" t="s">
        <v>2303</v>
      </c>
      <c r="S128" s="27">
        <v>1900001149</v>
      </c>
      <c r="T128" s="27">
        <v>1900005315</v>
      </c>
      <c r="U128" s="27">
        <v>1900011315</v>
      </c>
      <c r="V128" s="27">
        <v>1900016053</v>
      </c>
      <c r="W128" s="27">
        <v>1900017019</v>
      </c>
      <c r="X128" s="27">
        <v>1900024318</v>
      </c>
      <c r="Y128" s="27">
        <v>1900025068</v>
      </c>
      <c r="Z128" s="27">
        <v>1900030037</v>
      </c>
      <c r="AA128" s="27">
        <v>1900033059</v>
      </c>
      <c r="AE128" s="27" t="s">
        <v>180</v>
      </c>
      <c r="AF128" s="27" t="s">
        <v>181</v>
      </c>
      <c r="AG128" s="27" t="s">
        <v>182</v>
      </c>
      <c r="AH128" s="27" t="s">
        <v>531</v>
      </c>
      <c r="AI128" s="27" t="s">
        <v>183</v>
      </c>
      <c r="AJ128" s="27" t="s">
        <v>924</v>
      </c>
      <c r="AK128" s="27" t="s">
        <v>1168</v>
      </c>
      <c r="AL128" s="27" t="s">
        <v>184</v>
      </c>
      <c r="AM128" s="27" t="s">
        <v>1112</v>
      </c>
      <c r="AO128" s="28"/>
      <c r="AQ128" s="28" t="s">
        <v>187</v>
      </c>
      <c r="AR128" s="28" t="s">
        <v>186</v>
      </c>
      <c r="AS128" s="28" t="s">
        <v>186</v>
      </c>
      <c r="AT128" s="28" t="s">
        <v>187</v>
      </c>
      <c r="AU128" s="28" t="s">
        <v>186</v>
      </c>
      <c r="AV128" s="28" t="s">
        <v>187</v>
      </c>
      <c r="AW128" s="28" t="s">
        <v>186</v>
      </c>
      <c r="AX128" s="28" t="s">
        <v>186</v>
      </c>
      <c r="AY128" s="28" t="s">
        <v>187</v>
      </c>
      <c r="BC128" s="28">
        <v>85786577797</v>
      </c>
      <c r="BD128" s="28">
        <v>82282429091</v>
      </c>
      <c r="BE128" s="28">
        <v>82137673543</v>
      </c>
      <c r="BF128" s="28">
        <v>85156496370</v>
      </c>
      <c r="BG128" s="28">
        <v>89671704247</v>
      </c>
      <c r="BH128" s="28">
        <v>82183216169</v>
      </c>
      <c r="BI128" s="28">
        <v>83155779049</v>
      </c>
      <c r="BJ128" s="28">
        <v>85338763443</v>
      </c>
      <c r="BK128" s="28">
        <v>89618064455</v>
      </c>
      <c r="BO128" s="39">
        <v>60160968</v>
      </c>
      <c r="BP128" s="18" t="s">
        <v>2304</v>
      </c>
      <c r="BQ128" s="37">
        <v>44956</v>
      </c>
      <c r="BR128" s="8">
        <f t="shared" si="0"/>
        <v>9</v>
      </c>
    </row>
    <row r="129" spans="1:70" ht="15.5">
      <c r="A129" s="4" t="str">
        <v>Reguler Periode ke-101 II.C.3</v>
      </c>
      <c r="B129" s="4" t="s">
        <v>2073</v>
      </c>
      <c r="C129" s="38" t="s">
        <v>797</v>
      </c>
      <c r="D129" s="4" t="s">
        <v>2283</v>
      </c>
      <c r="E129" s="4" t="s">
        <v>2305</v>
      </c>
      <c r="F129" s="4" t="s">
        <v>2076</v>
      </c>
      <c r="G129" s="27" t="s">
        <v>2306</v>
      </c>
      <c r="H129" s="27" t="s">
        <v>2307</v>
      </c>
      <c r="I129" s="27" t="s">
        <v>2308</v>
      </c>
      <c r="J129" s="27" t="s">
        <v>2309</v>
      </c>
      <c r="K129" s="27" t="s">
        <v>2310</v>
      </c>
      <c r="L129" s="27" t="s">
        <v>2311</v>
      </c>
      <c r="M129" s="27" t="s">
        <v>2312</v>
      </c>
      <c r="N129" s="27" t="s">
        <v>2313</v>
      </c>
      <c r="O129" s="27" t="s">
        <v>2314</v>
      </c>
      <c r="S129" s="27">
        <v>1900001207</v>
      </c>
      <c r="T129" s="27">
        <v>1900005016</v>
      </c>
      <c r="U129" s="27">
        <v>1900011118</v>
      </c>
      <c r="V129" s="27">
        <v>1900016100</v>
      </c>
      <c r="W129" s="27">
        <v>1900017074</v>
      </c>
      <c r="X129" s="27">
        <v>1900024324</v>
      </c>
      <c r="Y129" s="27">
        <v>1900025087</v>
      </c>
      <c r="Z129" s="27">
        <v>1900030269</v>
      </c>
      <c r="AA129" s="27">
        <v>1900033164</v>
      </c>
      <c r="AD129" s="27"/>
      <c r="AE129" s="27" t="s">
        <v>180</v>
      </c>
      <c r="AF129" s="27" t="s">
        <v>181</v>
      </c>
      <c r="AG129" s="27" t="s">
        <v>182</v>
      </c>
      <c r="AH129" s="27" t="s">
        <v>531</v>
      </c>
      <c r="AI129" s="27" t="s">
        <v>183</v>
      </c>
      <c r="AJ129" s="27" t="s">
        <v>924</v>
      </c>
      <c r="AK129" s="27" t="s">
        <v>1168</v>
      </c>
      <c r="AL129" s="27" t="s">
        <v>184</v>
      </c>
      <c r="AM129" s="27" t="s">
        <v>1112</v>
      </c>
      <c r="AO129" s="28"/>
      <c r="AQ129" s="28" t="s">
        <v>187</v>
      </c>
      <c r="AR129" s="28" t="s">
        <v>186</v>
      </c>
      <c r="AS129" s="28" t="s">
        <v>186</v>
      </c>
      <c r="AT129" s="28" t="s">
        <v>187</v>
      </c>
      <c r="AU129" s="28" t="s">
        <v>186</v>
      </c>
      <c r="AV129" s="28" t="s">
        <v>187</v>
      </c>
      <c r="AW129" s="28" t="s">
        <v>186</v>
      </c>
      <c r="AX129" s="28" t="s">
        <v>186</v>
      </c>
      <c r="AY129" s="28" t="s">
        <v>187</v>
      </c>
      <c r="BC129" s="28">
        <v>87737992088</v>
      </c>
      <c r="BD129" s="28">
        <v>888239943732</v>
      </c>
      <c r="BE129" s="28">
        <v>82188853243</v>
      </c>
      <c r="BF129" s="28">
        <v>81352012197</v>
      </c>
      <c r="BG129" s="28">
        <v>85741663297</v>
      </c>
      <c r="BH129" s="28">
        <v>82324476466</v>
      </c>
      <c r="BI129" s="28">
        <v>85867004236</v>
      </c>
      <c r="BJ129" s="28">
        <v>8990393782</v>
      </c>
      <c r="BK129" s="28">
        <v>81337292722</v>
      </c>
      <c r="BO129" s="39">
        <v>60160968</v>
      </c>
      <c r="BP129" s="18" t="s">
        <v>2315</v>
      </c>
      <c r="BQ129" s="37">
        <v>44956</v>
      </c>
      <c r="BR129" s="8">
        <f t="shared" si="0"/>
        <v>9</v>
      </c>
    </row>
    <row r="130" spans="1:70" ht="15.5">
      <c r="A130" s="4" t="str">
        <v>Reguler Periode ke-101 II.D.1</v>
      </c>
      <c r="B130" s="4" t="s">
        <v>2073</v>
      </c>
      <c r="C130" s="38" t="s">
        <v>809</v>
      </c>
      <c r="D130" s="4" t="s">
        <v>301</v>
      </c>
      <c r="E130" s="4" t="s">
        <v>2316</v>
      </c>
      <c r="F130" s="4" t="s">
        <v>193</v>
      </c>
      <c r="G130" s="27" t="s">
        <v>2317</v>
      </c>
      <c r="H130" s="27" t="s">
        <v>2318</v>
      </c>
      <c r="I130" s="27" t="s">
        <v>2319</v>
      </c>
      <c r="J130" s="27" t="s">
        <v>2320</v>
      </c>
      <c r="K130" s="27" t="s">
        <v>2321</v>
      </c>
      <c r="L130" s="27" t="s">
        <v>2322</v>
      </c>
      <c r="M130" s="27" t="s">
        <v>2323</v>
      </c>
      <c r="N130" s="27" t="s">
        <v>2324</v>
      </c>
      <c r="O130" s="27" t="s">
        <v>2325</v>
      </c>
      <c r="S130" s="27">
        <v>1900001035</v>
      </c>
      <c r="T130" s="27">
        <v>1900005366</v>
      </c>
      <c r="U130" s="27">
        <v>1900011268</v>
      </c>
      <c r="V130" s="27">
        <v>1900016183</v>
      </c>
      <c r="W130" s="27">
        <v>1900017002</v>
      </c>
      <c r="X130" s="27">
        <v>1900024110</v>
      </c>
      <c r="Y130" s="27">
        <v>1900025013</v>
      </c>
      <c r="Z130" s="27">
        <v>1900030320</v>
      </c>
      <c r="AA130" s="27">
        <v>1900033176</v>
      </c>
      <c r="AD130" s="27"/>
      <c r="AE130" s="27" t="s">
        <v>180</v>
      </c>
      <c r="AF130" s="27" t="s">
        <v>181</v>
      </c>
      <c r="AG130" s="27" t="s">
        <v>182</v>
      </c>
      <c r="AH130" s="27" t="s">
        <v>531</v>
      </c>
      <c r="AI130" s="27" t="s">
        <v>183</v>
      </c>
      <c r="AJ130" s="27" t="s">
        <v>924</v>
      </c>
      <c r="AK130" s="27" t="s">
        <v>1168</v>
      </c>
      <c r="AL130" s="27" t="s">
        <v>184</v>
      </c>
      <c r="AM130" s="27" t="s">
        <v>1112</v>
      </c>
      <c r="AO130" s="28"/>
      <c r="AQ130" s="28" t="s">
        <v>187</v>
      </c>
      <c r="AR130" s="28" t="s">
        <v>186</v>
      </c>
      <c r="AS130" s="28" t="s">
        <v>186</v>
      </c>
      <c r="AT130" s="28" t="s">
        <v>187</v>
      </c>
      <c r="AU130" s="28" t="s">
        <v>186</v>
      </c>
      <c r="AV130" s="28" t="s">
        <v>187</v>
      </c>
      <c r="AW130" s="28" t="s">
        <v>186</v>
      </c>
      <c r="AX130" s="28" t="s">
        <v>186</v>
      </c>
      <c r="AY130" s="28" t="s">
        <v>187</v>
      </c>
      <c r="BC130" s="28">
        <v>85257430847</v>
      </c>
      <c r="BD130" s="28">
        <v>895621104162</v>
      </c>
      <c r="BE130" s="28">
        <v>85727323802</v>
      </c>
      <c r="BF130" s="28">
        <v>85229425025</v>
      </c>
      <c r="BG130" s="28">
        <v>85363868762</v>
      </c>
      <c r="BH130" s="28">
        <v>8986834455</v>
      </c>
      <c r="BI130" s="28">
        <v>85200477546</v>
      </c>
      <c r="BJ130" s="28">
        <v>895629143582</v>
      </c>
      <c r="BK130" s="28">
        <v>81325228679</v>
      </c>
      <c r="BO130" s="39" t="s">
        <v>308</v>
      </c>
      <c r="BP130" s="18" t="s">
        <v>2326</v>
      </c>
      <c r="BQ130" s="37">
        <v>44957</v>
      </c>
      <c r="BR130" s="8">
        <f t="shared" si="0"/>
        <v>9</v>
      </c>
    </row>
    <row r="131" spans="1:70" ht="15.5">
      <c r="A131" s="4" t="str">
        <v>Reguler Periode ke-101 II.D.2</v>
      </c>
      <c r="B131" s="4" t="s">
        <v>2073</v>
      </c>
      <c r="C131" s="38" t="s">
        <v>824</v>
      </c>
      <c r="D131" s="4" t="s">
        <v>301</v>
      </c>
      <c r="E131" s="4" t="s">
        <v>2327</v>
      </c>
      <c r="F131" s="4" t="s">
        <v>193</v>
      </c>
      <c r="G131" s="27" t="s">
        <v>2328</v>
      </c>
      <c r="H131" s="27" t="s">
        <v>2329</v>
      </c>
      <c r="I131" s="27" t="s">
        <v>2330</v>
      </c>
      <c r="J131" s="27" t="s">
        <v>2331</v>
      </c>
      <c r="K131" s="27" t="s">
        <v>2332</v>
      </c>
      <c r="L131" s="27" t="s">
        <v>2333</v>
      </c>
      <c r="M131" s="27" t="s">
        <v>2334</v>
      </c>
      <c r="N131" s="27" t="s">
        <v>2335</v>
      </c>
      <c r="O131" s="27" t="s">
        <v>2336</v>
      </c>
      <c r="S131" s="27">
        <v>1800025074</v>
      </c>
      <c r="T131" s="27">
        <v>1900001116</v>
      </c>
      <c r="U131" s="27">
        <v>1900005261</v>
      </c>
      <c r="V131" s="27">
        <v>1900011239</v>
      </c>
      <c r="W131" s="27">
        <v>1900016015</v>
      </c>
      <c r="X131" s="27">
        <v>1900017052</v>
      </c>
      <c r="Y131" s="27">
        <v>1900024049</v>
      </c>
      <c r="Z131" s="27">
        <v>1900030218</v>
      </c>
      <c r="AA131" s="27">
        <v>1900033132</v>
      </c>
      <c r="AD131" s="27"/>
      <c r="AE131" s="27" t="s">
        <v>1168</v>
      </c>
      <c r="AF131" s="27" t="s">
        <v>180</v>
      </c>
      <c r="AG131" s="27" t="s">
        <v>181</v>
      </c>
      <c r="AH131" s="27" t="s">
        <v>182</v>
      </c>
      <c r="AI131" s="27" t="s">
        <v>531</v>
      </c>
      <c r="AJ131" s="27" t="s">
        <v>183</v>
      </c>
      <c r="AK131" s="27" t="s">
        <v>924</v>
      </c>
      <c r="AL131" s="27" t="s">
        <v>184</v>
      </c>
      <c r="AM131" s="27" t="s">
        <v>1112</v>
      </c>
      <c r="AO131" s="28"/>
      <c r="AQ131" s="28" t="s">
        <v>186</v>
      </c>
      <c r="AR131" s="28" t="s">
        <v>187</v>
      </c>
      <c r="AS131" s="28" t="s">
        <v>186</v>
      </c>
      <c r="AT131" s="28" t="s">
        <v>186</v>
      </c>
      <c r="AU131" s="28" t="s">
        <v>187</v>
      </c>
      <c r="AV131" s="28" t="s">
        <v>186</v>
      </c>
      <c r="AW131" s="28" t="s">
        <v>187</v>
      </c>
      <c r="AX131" s="28" t="s">
        <v>186</v>
      </c>
      <c r="AY131" s="28" t="s">
        <v>187</v>
      </c>
      <c r="BC131" s="28">
        <v>88227249100</v>
      </c>
      <c r="BD131" s="28">
        <v>87770142504</v>
      </c>
      <c r="BE131" s="28">
        <v>895335427986</v>
      </c>
      <c r="BF131" s="28">
        <v>85523896189</v>
      </c>
      <c r="BG131" s="28">
        <v>85601112507</v>
      </c>
      <c r="BH131" s="28">
        <v>87816104123</v>
      </c>
      <c r="BI131" s="28">
        <v>81260812937</v>
      </c>
      <c r="BJ131" s="28">
        <v>82347130197</v>
      </c>
      <c r="BK131" s="28">
        <v>82150222622</v>
      </c>
      <c r="BO131" s="39" t="s">
        <v>308</v>
      </c>
      <c r="BP131" s="18" t="s">
        <v>2337</v>
      </c>
      <c r="BQ131" s="37">
        <v>44957</v>
      </c>
      <c r="BR131" s="8">
        <f t="shared" si="0"/>
        <v>9</v>
      </c>
    </row>
    <row r="132" spans="1:70" ht="15.5">
      <c r="A132" s="4" t="str">
        <v>Reguler Periode ke-101 II.D.3</v>
      </c>
      <c r="B132" s="4" t="s">
        <v>2073</v>
      </c>
      <c r="C132" s="38" t="s">
        <v>836</v>
      </c>
      <c r="D132" s="4" t="s">
        <v>301</v>
      </c>
      <c r="E132" s="4" t="s">
        <v>2338</v>
      </c>
      <c r="F132" s="4" t="s">
        <v>193</v>
      </c>
      <c r="G132" s="27" t="s">
        <v>2339</v>
      </c>
      <c r="H132" s="27" t="s">
        <v>2340</v>
      </c>
      <c r="I132" s="27" t="s">
        <v>2341</v>
      </c>
      <c r="J132" s="27" t="s">
        <v>2342</v>
      </c>
      <c r="K132" s="27" t="s">
        <v>2343</v>
      </c>
      <c r="L132" s="27" t="s">
        <v>2344</v>
      </c>
      <c r="M132" s="27" t="s">
        <v>2345</v>
      </c>
      <c r="N132" s="27" t="s">
        <v>2346</v>
      </c>
      <c r="O132" s="27" t="s">
        <v>2347</v>
      </c>
      <c r="S132" s="27">
        <v>1900001089</v>
      </c>
      <c r="T132" s="27">
        <v>1900005312</v>
      </c>
      <c r="U132" s="27">
        <v>1900011261</v>
      </c>
      <c r="V132" s="27">
        <v>1900016131</v>
      </c>
      <c r="W132" s="27">
        <v>1900017055</v>
      </c>
      <c r="X132" s="27">
        <v>1900024243</v>
      </c>
      <c r="Y132" s="27">
        <v>1900025025</v>
      </c>
      <c r="Z132" s="27">
        <v>1900030183</v>
      </c>
      <c r="AA132" s="27">
        <v>1900033138</v>
      </c>
      <c r="AD132" s="27"/>
      <c r="AE132" s="27" t="s">
        <v>180</v>
      </c>
      <c r="AF132" s="27" t="s">
        <v>181</v>
      </c>
      <c r="AG132" s="27" t="s">
        <v>182</v>
      </c>
      <c r="AH132" s="27" t="s">
        <v>531</v>
      </c>
      <c r="AI132" s="27" t="s">
        <v>183</v>
      </c>
      <c r="AJ132" s="27" t="s">
        <v>924</v>
      </c>
      <c r="AK132" s="27" t="s">
        <v>1168</v>
      </c>
      <c r="AL132" s="27" t="s">
        <v>184</v>
      </c>
      <c r="AM132" s="27" t="s">
        <v>1112</v>
      </c>
      <c r="AO132" s="28"/>
      <c r="AQ132" s="28" t="s">
        <v>187</v>
      </c>
      <c r="AR132" s="28" t="s">
        <v>186</v>
      </c>
      <c r="AS132" s="28" t="s">
        <v>186</v>
      </c>
      <c r="AT132" s="28" t="s">
        <v>187</v>
      </c>
      <c r="AU132" s="28" t="s">
        <v>186</v>
      </c>
      <c r="AV132" s="28" t="s">
        <v>187</v>
      </c>
      <c r="AW132" s="28" t="s">
        <v>186</v>
      </c>
      <c r="AX132" s="28" t="s">
        <v>186</v>
      </c>
      <c r="AY132" s="28" t="s">
        <v>187</v>
      </c>
      <c r="BC132" s="28">
        <v>82289766885</v>
      </c>
      <c r="BD132" s="28">
        <v>83870361059</v>
      </c>
      <c r="BE132" s="28">
        <v>81392287594</v>
      </c>
      <c r="BF132" s="28">
        <v>81273207517</v>
      </c>
      <c r="BG132" s="28">
        <v>85799490084</v>
      </c>
      <c r="BH132" s="28">
        <v>8995518254</v>
      </c>
      <c r="BI132" s="28">
        <v>82282589340</v>
      </c>
      <c r="BJ132" s="28">
        <v>85725140385</v>
      </c>
      <c r="BK132" s="28">
        <v>89613901365</v>
      </c>
      <c r="BO132" s="39" t="s">
        <v>308</v>
      </c>
      <c r="BP132" s="18" t="s">
        <v>2348</v>
      </c>
      <c r="BQ132" s="37">
        <v>44957</v>
      </c>
      <c r="BR132" s="8">
        <f t="shared" si="0"/>
        <v>9</v>
      </c>
    </row>
    <row r="133" spans="1:70" ht="15.5">
      <c r="A133" s="4" t="str">
        <v>Reguler Periode ke-101 III.A.1</v>
      </c>
      <c r="B133" s="4" t="s">
        <v>2073</v>
      </c>
      <c r="C133" s="38" t="s">
        <v>848</v>
      </c>
      <c r="D133" s="4" t="s">
        <v>2349</v>
      </c>
      <c r="E133" s="4" t="s">
        <v>2350</v>
      </c>
      <c r="F133" s="4" t="s">
        <v>193</v>
      </c>
      <c r="G133" s="27" t="s">
        <v>2351</v>
      </c>
      <c r="H133" s="27" t="s">
        <v>2352</v>
      </c>
      <c r="I133" s="27" t="s">
        <v>2353</v>
      </c>
      <c r="J133" s="27" t="s">
        <v>2354</v>
      </c>
      <c r="K133" s="27" t="s">
        <v>2355</v>
      </c>
      <c r="L133" s="27" t="s">
        <v>2356</v>
      </c>
      <c r="M133" s="27" t="s">
        <v>2357</v>
      </c>
      <c r="N133" s="27" t="s">
        <v>2358</v>
      </c>
      <c r="O133" s="27" t="s">
        <v>2359</v>
      </c>
      <c r="S133" s="27">
        <v>1900001153</v>
      </c>
      <c r="T133" s="27">
        <v>1900005207</v>
      </c>
      <c r="U133" s="27">
        <v>1900011293</v>
      </c>
      <c r="V133" s="27">
        <v>1900016046</v>
      </c>
      <c r="W133" s="27">
        <v>1900017044</v>
      </c>
      <c r="X133" s="27">
        <v>1900024359</v>
      </c>
      <c r="Y133" s="27">
        <v>1900025047</v>
      </c>
      <c r="Z133" s="27">
        <v>1900030274</v>
      </c>
      <c r="AA133" s="27">
        <v>1900033024</v>
      </c>
      <c r="AD133" s="27"/>
      <c r="AE133" s="27" t="s">
        <v>180</v>
      </c>
      <c r="AF133" s="27" t="s">
        <v>181</v>
      </c>
      <c r="AG133" s="27" t="s">
        <v>182</v>
      </c>
      <c r="AH133" s="27" t="s">
        <v>531</v>
      </c>
      <c r="AI133" s="27" t="s">
        <v>183</v>
      </c>
      <c r="AJ133" s="27" t="s">
        <v>924</v>
      </c>
      <c r="AK133" s="27" t="s">
        <v>1168</v>
      </c>
      <c r="AL133" s="27" t="s">
        <v>184</v>
      </c>
      <c r="AM133" s="27" t="s">
        <v>1112</v>
      </c>
      <c r="AO133" s="28"/>
      <c r="AQ133" s="28" t="s">
        <v>187</v>
      </c>
      <c r="AR133" s="28" t="s">
        <v>186</v>
      </c>
      <c r="AS133" s="28" t="s">
        <v>186</v>
      </c>
      <c r="AT133" s="28" t="s">
        <v>187</v>
      </c>
      <c r="AU133" s="28" t="s">
        <v>186</v>
      </c>
      <c r="AV133" s="28" t="s">
        <v>187</v>
      </c>
      <c r="AW133" s="28" t="s">
        <v>186</v>
      </c>
      <c r="AX133" s="28" t="s">
        <v>186</v>
      </c>
      <c r="AY133" s="28" t="s">
        <v>187</v>
      </c>
      <c r="BC133" s="28">
        <v>81395400271</v>
      </c>
      <c r="BD133" s="28">
        <f>6281217683947</f>
        <v>6281217683947</v>
      </c>
      <c r="BE133" s="28">
        <v>81339833546</v>
      </c>
      <c r="BF133" s="28">
        <v>82159486193</v>
      </c>
      <c r="BG133" s="28">
        <v>82278826621</v>
      </c>
      <c r="BH133" s="28">
        <v>88232111044</v>
      </c>
      <c r="BI133" s="28">
        <v>8877044873</v>
      </c>
      <c r="BJ133" s="28">
        <v>8111181617</v>
      </c>
      <c r="BK133" s="28">
        <v>81266633792</v>
      </c>
      <c r="BO133" s="39">
        <v>60010369</v>
      </c>
      <c r="BP133" s="18" t="s">
        <v>2360</v>
      </c>
      <c r="BQ133" s="37">
        <v>44957</v>
      </c>
      <c r="BR133" s="8">
        <f t="shared" si="0"/>
        <v>9</v>
      </c>
    </row>
    <row r="134" spans="1:70" ht="15.5">
      <c r="A134" s="4" t="str">
        <v>Reguler Periode ke-101 III.A.2</v>
      </c>
      <c r="B134" s="4" t="s">
        <v>2073</v>
      </c>
      <c r="C134" s="38" t="s">
        <v>861</v>
      </c>
      <c r="D134" s="4" t="s">
        <v>2349</v>
      </c>
      <c r="E134" s="4" t="s">
        <v>2361</v>
      </c>
      <c r="F134" s="4" t="s">
        <v>193</v>
      </c>
      <c r="G134" s="27" t="s">
        <v>2362</v>
      </c>
      <c r="H134" s="27" t="s">
        <v>2363</v>
      </c>
      <c r="I134" s="27" t="s">
        <v>2364</v>
      </c>
      <c r="J134" s="27" t="s">
        <v>2365</v>
      </c>
      <c r="K134" s="27" t="s">
        <v>2366</v>
      </c>
      <c r="L134" s="27" t="s">
        <v>2367</v>
      </c>
      <c r="M134" s="27" t="s">
        <v>2368</v>
      </c>
      <c r="N134" s="27" t="s">
        <v>692</v>
      </c>
      <c r="O134" s="27" t="s">
        <v>2369</v>
      </c>
      <c r="S134" s="27">
        <v>1900001113</v>
      </c>
      <c r="T134" s="27">
        <v>1900005156</v>
      </c>
      <c r="U134" s="27">
        <v>1900011318</v>
      </c>
      <c r="V134" s="27">
        <v>1900016112</v>
      </c>
      <c r="W134" s="27">
        <v>1900017050</v>
      </c>
      <c r="X134" s="27">
        <v>1900024147</v>
      </c>
      <c r="Y134" s="27">
        <v>1900025076</v>
      </c>
      <c r="Z134" s="27">
        <v>1900030095</v>
      </c>
      <c r="AA134" s="27">
        <v>1900033170</v>
      </c>
      <c r="AD134" s="27"/>
      <c r="AE134" s="27" t="s">
        <v>180</v>
      </c>
      <c r="AF134" s="27" t="s">
        <v>181</v>
      </c>
      <c r="AG134" s="27" t="s">
        <v>182</v>
      </c>
      <c r="AH134" s="27" t="s">
        <v>531</v>
      </c>
      <c r="AI134" s="27" t="s">
        <v>183</v>
      </c>
      <c r="AJ134" s="27" t="s">
        <v>924</v>
      </c>
      <c r="AK134" s="27" t="s">
        <v>1168</v>
      </c>
      <c r="AL134" s="27" t="s">
        <v>184</v>
      </c>
      <c r="AM134" s="27" t="s">
        <v>1112</v>
      </c>
      <c r="AQ134" s="28" t="s">
        <v>187</v>
      </c>
      <c r="AR134" s="28" t="s">
        <v>186</v>
      </c>
      <c r="AS134" s="28" t="s">
        <v>186</v>
      </c>
      <c r="AT134" s="28" t="s">
        <v>187</v>
      </c>
      <c r="AU134" s="28" t="s">
        <v>186</v>
      </c>
      <c r="AV134" s="28" t="s">
        <v>187</v>
      </c>
      <c r="AW134" s="28" t="s">
        <v>186</v>
      </c>
      <c r="AX134" s="28" t="s">
        <v>186</v>
      </c>
      <c r="AY134" s="28" t="s">
        <v>187</v>
      </c>
      <c r="BC134" s="28">
        <v>82371553808</v>
      </c>
      <c r="BD134" s="28">
        <v>89629671505</v>
      </c>
      <c r="BE134" s="28">
        <v>85876500609</v>
      </c>
      <c r="BF134" s="28">
        <v>82199255314</v>
      </c>
      <c r="BG134" s="28">
        <f>6282231082994</f>
        <v>6282231082994</v>
      </c>
      <c r="BH134" s="28">
        <v>85157665178</v>
      </c>
      <c r="BI134" s="28">
        <v>87739912043</v>
      </c>
      <c r="BJ134" s="28">
        <v>81215551323</v>
      </c>
      <c r="BK134" s="28">
        <v>81775481764</v>
      </c>
      <c r="BO134" s="39">
        <v>60010369</v>
      </c>
      <c r="BP134" s="18" t="s">
        <v>2370</v>
      </c>
      <c r="BQ134" s="37">
        <v>44957</v>
      </c>
      <c r="BR134" s="8">
        <f t="shared" si="0"/>
        <v>9</v>
      </c>
    </row>
    <row r="135" spans="1:70" ht="15.5">
      <c r="A135" s="4" t="str">
        <v>Reguler Periode ke-101 III.A.3</v>
      </c>
      <c r="B135" s="4" t="s">
        <v>2073</v>
      </c>
      <c r="C135" s="38" t="s">
        <v>874</v>
      </c>
      <c r="D135" s="4" t="s">
        <v>2349</v>
      </c>
      <c r="E135" s="4" t="s">
        <v>2371</v>
      </c>
      <c r="F135" s="4" t="s">
        <v>193</v>
      </c>
      <c r="G135" s="27" t="s">
        <v>2372</v>
      </c>
      <c r="H135" s="27" t="s">
        <v>2373</v>
      </c>
      <c r="I135" s="27" t="s">
        <v>2374</v>
      </c>
      <c r="J135" s="27" t="s">
        <v>2375</v>
      </c>
      <c r="K135" s="27" t="s">
        <v>2376</v>
      </c>
      <c r="L135" s="27" t="s">
        <v>2377</v>
      </c>
      <c r="M135" s="27" t="s">
        <v>2378</v>
      </c>
      <c r="N135" s="27" t="s">
        <v>2379</v>
      </c>
      <c r="O135" s="27" t="s">
        <v>2380</v>
      </c>
      <c r="S135" s="27">
        <v>1900001010</v>
      </c>
      <c r="T135" s="27">
        <v>1900005082</v>
      </c>
      <c r="U135" s="27">
        <v>1900011040</v>
      </c>
      <c r="V135" s="27">
        <v>1900016042</v>
      </c>
      <c r="W135" s="27">
        <v>1900017035</v>
      </c>
      <c r="X135" s="27">
        <v>1900024093</v>
      </c>
      <c r="Y135" s="27">
        <v>1900030267</v>
      </c>
      <c r="Z135" s="27">
        <v>1900033022</v>
      </c>
      <c r="AA135" s="27">
        <v>1915025031</v>
      </c>
      <c r="AD135" s="27"/>
      <c r="AE135" s="27" t="s">
        <v>180</v>
      </c>
      <c r="AF135" s="27" t="s">
        <v>181</v>
      </c>
      <c r="AG135" s="27" t="s">
        <v>182</v>
      </c>
      <c r="AH135" s="27" t="s">
        <v>531</v>
      </c>
      <c r="AI135" s="27" t="s">
        <v>183</v>
      </c>
      <c r="AJ135" s="27" t="s">
        <v>924</v>
      </c>
      <c r="AK135" s="27" t="s">
        <v>184</v>
      </c>
      <c r="AL135" s="27" t="s">
        <v>1112</v>
      </c>
      <c r="AM135" s="27" t="s">
        <v>1168</v>
      </c>
      <c r="AQ135" s="28" t="s">
        <v>187</v>
      </c>
      <c r="AR135" s="28" t="s">
        <v>186</v>
      </c>
      <c r="AS135" s="28" t="s">
        <v>186</v>
      </c>
      <c r="AT135" s="28" t="s">
        <v>187</v>
      </c>
      <c r="AU135" s="28" t="s">
        <v>186</v>
      </c>
      <c r="AV135" s="28" t="s">
        <v>187</v>
      </c>
      <c r="AW135" s="28" t="s">
        <v>186</v>
      </c>
      <c r="AX135" s="28" t="s">
        <v>187</v>
      </c>
      <c r="AY135" s="28" t="s">
        <v>186</v>
      </c>
      <c r="BC135" s="28">
        <v>81901260188</v>
      </c>
      <c r="BD135" s="28">
        <v>85841596962</v>
      </c>
      <c r="BE135" s="28">
        <v>85879870885</v>
      </c>
      <c r="BF135" s="28">
        <v>82248811367</v>
      </c>
      <c r="BG135" s="28">
        <v>87744500647</v>
      </c>
      <c r="BH135" s="28">
        <v>89503745177</v>
      </c>
      <c r="BI135" s="28">
        <v>82214969503</v>
      </c>
      <c r="BJ135" s="28">
        <v>85727067320</v>
      </c>
      <c r="BK135" s="28">
        <v>85600389007</v>
      </c>
      <c r="BO135" s="39">
        <v>60010369</v>
      </c>
      <c r="BP135" s="18" t="s">
        <v>2381</v>
      </c>
      <c r="BQ135" s="37">
        <v>44957</v>
      </c>
      <c r="BR135" s="8">
        <f t="shared" si="0"/>
        <v>9</v>
      </c>
    </row>
    <row r="136" spans="1:70" ht="15.5">
      <c r="A136" s="4" t="str">
        <v>Reguler Periode ke-101 III.B.1</v>
      </c>
      <c r="B136" s="4" t="s">
        <v>2073</v>
      </c>
      <c r="C136" s="38" t="s">
        <v>887</v>
      </c>
      <c r="D136" s="4" t="s">
        <v>2382</v>
      </c>
      <c r="E136" s="4" t="s">
        <v>2383</v>
      </c>
      <c r="F136" s="4" t="s">
        <v>193</v>
      </c>
      <c r="G136" s="27" t="s">
        <v>2384</v>
      </c>
      <c r="H136" s="27" t="s">
        <v>2385</v>
      </c>
      <c r="I136" s="27" t="s">
        <v>2386</v>
      </c>
      <c r="J136" s="27" t="s">
        <v>2387</v>
      </c>
      <c r="K136" s="27" t="s">
        <v>2388</v>
      </c>
      <c r="L136" s="27" t="s">
        <v>2389</v>
      </c>
      <c r="M136" s="27" t="s">
        <v>2390</v>
      </c>
      <c r="N136" s="27" t="s">
        <v>2391</v>
      </c>
      <c r="O136" s="27" t="s">
        <v>2392</v>
      </c>
      <c r="S136" s="27">
        <v>1800001144</v>
      </c>
      <c r="T136" s="27">
        <v>1800024166</v>
      </c>
      <c r="U136" s="27">
        <v>1900005390</v>
      </c>
      <c r="V136" s="27">
        <v>1900011175</v>
      </c>
      <c r="W136" s="27">
        <v>1900016174</v>
      </c>
      <c r="X136" s="27">
        <v>1900017097</v>
      </c>
      <c r="Y136" s="27">
        <v>1900025082</v>
      </c>
      <c r="Z136" s="27">
        <v>1900030332</v>
      </c>
      <c r="AA136" s="27">
        <v>1900033123</v>
      </c>
      <c r="AD136" s="27"/>
      <c r="AE136" s="27" t="s">
        <v>180</v>
      </c>
      <c r="AF136" s="27" t="s">
        <v>924</v>
      </c>
      <c r="AG136" s="27" t="s">
        <v>181</v>
      </c>
      <c r="AH136" s="27" t="s">
        <v>182</v>
      </c>
      <c r="AI136" s="27" t="s">
        <v>531</v>
      </c>
      <c r="AJ136" s="27" t="s">
        <v>183</v>
      </c>
      <c r="AK136" s="27" t="s">
        <v>1168</v>
      </c>
      <c r="AL136" s="27" t="s">
        <v>184</v>
      </c>
      <c r="AM136" s="27" t="s">
        <v>1112</v>
      </c>
      <c r="AQ136" s="28" t="s">
        <v>187</v>
      </c>
      <c r="AR136" s="28" t="s">
        <v>187</v>
      </c>
      <c r="AS136" s="28" t="s">
        <v>186</v>
      </c>
      <c r="AT136" s="28" t="s">
        <v>186</v>
      </c>
      <c r="AU136" s="28" t="s">
        <v>187</v>
      </c>
      <c r="AV136" s="28" t="s">
        <v>186</v>
      </c>
      <c r="AW136" s="28" t="s">
        <v>186</v>
      </c>
      <c r="AX136" s="28" t="s">
        <v>186</v>
      </c>
      <c r="AY136" s="28" t="s">
        <v>187</v>
      </c>
      <c r="BC136" s="28">
        <v>87812517914</v>
      </c>
      <c r="BD136" s="28">
        <v>81320744175</v>
      </c>
      <c r="BE136" s="28">
        <v>81338345152</v>
      </c>
      <c r="BF136" s="28">
        <v>6281296570877</v>
      </c>
      <c r="BG136" s="28">
        <v>81935676685</v>
      </c>
      <c r="BH136" s="28">
        <v>87839464981</v>
      </c>
      <c r="BI136" s="28">
        <v>82332168081</v>
      </c>
      <c r="BJ136" s="28">
        <v>82336567594</v>
      </c>
      <c r="BK136" s="28">
        <v>87831618333</v>
      </c>
      <c r="BO136" s="39">
        <v>60010238</v>
      </c>
      <c r="BP136" s="18" t="s">
        <v>2393</v>
      </c>
      <c r="BQ136" s="37">
        <v>44957</v>
      </c>
      <c r="BR136" s="8">
        <f t="shared" si="0"/>
        <v>9</v>
      </c>
    </row>
    <row r="137" spans="1:70" ht="15.5">
      <c r="A137" s="4" t="str">
        <v>Reguler Periode ke-101 III.B.2</v>
      </c>
      <c r="B137" s="4" t="s">
        <v>2073</v>
      </c>
      <c r="C137" s="38" t="s">
        <v>901</v>
      </c>
      <c r="D137" s="4" t="s">
        <v>2382</v>
      </c>
      <c r="E137" s="4" t="s">
        <v>2394</v>
      </c>
      <c r="F137" s="4" t="s">
        <v>193</v>
      </c>
      <c r="G137" s="27" t="s">
        <v>2395</v>
      </c>
      <c r="H137" s="27" t="s">
        <v>2396</v>
      </c>
      <c r="I137" s="27" t="s">
        <v>2397</v>
      </c>
      <c r="J137" s="27" t="s">
        <v>2398</v>
      </c>
      <c r="K137" s="27" t="s">
        <v>2399</v>
      </c>
      <c r="L137" s="27" t="s">
        <v>2400</v>
      </c>
      <c r="M137" s="27" t="s">
        <v>2401</v>
      </c>
      <c r="N137" s="27" t="s">
        <v>2402</v>
      </c>
      <c r="O137" s="27" t="s">
        <v>2403</v>
      </c>
      <c r="S137" s="27">
        <v>1900001184</v>
      </c>
      <c r="T137" s="27">
        <v>1900005233</v>
      </c>
      <c r="U137" s="27">
        <v>1900011161</v>
      </c>
      <c r="V137" s="27">
        <v>1900016071</v>
      </c>
      <c r="W137" s="27">
        <v>1900017086</v>
      </c>
      <c r="X137" s="27">
        <v>1900024301</v>
      </c>
      <c r="Y137" s="27">
        <v>1900025029</v>
      </c>
      <c r="Z137" s="27">
        <v>1900030026</v>
      </c>
      <c r="AA137" s="27">
        <v>1900033076</v>
      </c>
      <c r="AE137" s="27" t="s">
        <v>180</v>
      </c>
      <c r="AF137" s="27" t="s">
        <v>181</v>
      </c>
      <c r="AG137" s="27" t="s">
        <v>182</v>
      </c>
      <c r="AH137" s="27" t="s">
        <v>531</v>
      </c>
      <c r="AI137" s="27" t="s">
        <v>183</v>
      </c>
      <c r="AJ137" s="27" t="s">
        <v>924</v>
      </c>
      <c r="AK137" s="27" t="s">
        <v>1168</v>
      </c>
      <c r="AL137" s="27" t="s">
        <v>184</v>
      </c>
      <c r="AM137" s="27" t="s">
        <v>1112</v>
      </c>
      <c r="AQ137" s="28" t="s">
        <v>187</v>
      </c>
      <c r="AR137" s="28" t="s">
        <v>186</v>
      </c>
      <c r="AS137" s="28" t="s">
        <v>186</v>
      </c>
      <c r="AT137" s="28" t="s">
        <v>187</v>
      </c>
      <c r="AU137" s="28" t="s">
        <v>186</v>
      </c>
      <c r="AV137" s="28" t="s">
        <v>187</v>
      </c>
      <c r="AW137" s="28" t="s">
        <v>186</v>
      </c>
      <c r="AX137" s="28" t="s">
        <v>186</v>
      </c>
      <c r="AY137" s="28" t="s">
        <v>187</v>
      </c>
      <c r="BC137" s="28">
        <v>85163209972</v>
      </c>
      <c r="BD137" s="28">
        <v>85814772308</v>
      </c>
      <c r="BE137" s="28">
        <v>85327341478</v>
      </c>
      <c r="BF137" s="28">
        <v>82159823576</v>
      </c>
      <c r="BG137" s="28">
        <v>81578480803</v>
      </c>
      <c r="BH137" s="28">
        <v>82199377927</v>
      </c>
      <c r="BI137" s="28">
        <v>82372486154</v>
      </c>
      <c r="BJ137" s="28">
        <v>81240609170</v>
      </c>
      <c r="BK137" s="28">
        <v>85701197529</v>
      </c>
      <c r="BO137" s="39">
        <v>60010238</v>
      </c>
      <c r="BP137" s="18" t="s">
        <v>2404</v>
      </c>
      <c r="BQ137" s="37">
        <v>44957</v>
      </c>
      <c r="BR137" s="8">
        <f t="shared" si="0"/>
        <v>9</v>
      </c>
    </row>
    <row r="138" spans="1:70" ht="15.5">
      <c r="A138" s="4" t="str">
        <v>Reguler Periode ke-101 III.B.3</v>
      </c>
      <c r="B138" s="4" t="s">
        <v>2073</v>
      </c>
      <c r="C138" s="38" t="s">
        <v>913</v>
      </c>
      <c r="D138" s="4" t="s">
        <v>2382</v>
      </c>
      <c r="E138" s="4" t="s">
        <v>2405</v>
      </c>
      <c r="F138" s="4" t="s">
        <v>193</v>
      </c>
      <c r="G138" s="27" t="s">
        <v>2406</v>
      </c>
      <c r="H138" s="27" t="s">
        <v>2407</v>
      </c>
      <c r="I138" s="27" t="s">
        <v>2408</v>
      </c>
      <c r="J138" s="27" t="s">
        <v>2409</v>
      </c>
      <c r="K138" s="27" t="s">
        <v>2410</v>
      </c>
      <c r="L138" s="27" t="s">
        <v>2411</v>
      </c>
      <c r="M138" s="27" t="s">
        <v>2412</v>
      </c>
      <c r="N138" s="27" t="s">
        <v>2413</v>
      </c>
      <c r="O138" s="27" t="s">
        <v>2414</v>
      </c>
      <c r="R138" s="27"/>
      <c r="S138" s="27">
        <v>1900003092</v>
      </c>
      <c r="T138" s="27">
        <v>1900005170</v>
      </c>
      <c r="U138" s="27">
        <v>1900011149</v>
      </c>
      <c r="V138" s="27">
        <v>1900016104</v>
      </c>
      <c r="W138" s="27">
        <v>1900017110</v>
      </c>
      <c r="X138" s="27">
        <v>1900024229</v>
      </c>
      <c r="Y138" s="27">
        <v>1900025009</v>
      </c>
      <c r="Z138" s="27">
        <v>1900030248</v>
      </c>
      <c r="AA138" s="27">
        <v>1900033051</v>
      </c>
      <c r="AE138" s="27" t="s">
        <v>178</v>
      </c>
      <c r="AF138" s="27" t="s">
        <v>181</v>
      </c>
      <c r="AG138" s="27" t="s">
        <v>182</v>
      </c>
      <c r="AH138" s="27" t="s">
        <v>531</v>
      </c>
      <c r="AI138" s="27" t="s">
        <v>183</v>
      </c>
      <c r="AJ138" s="27" t="s">
        <v>924</v>
      </c>
      <c r="AK138" s="27" t="s">
        <v>1168</v>
      </c>
      <c r="AL138" s="27" t="s">
        <v>184</v>
      </c>
      <c r="AM138" s="27" t="s">
        <v>1112</v>
      </c>
      <c r="AQ138" s="28" t="s">
        <v>187</v>
      </c>
      <c r="AR138" s="28" t="s">
        <v>186</v>
      </c>
      <c r="AS138" s="28" t="s">
        <v>186</v>
      </c>
      <c r="AT138" s="28" t="s">
        <v>187</v>
      </c>
      <c r="AU138" s="28" t="s">
        <v>186</v>
      </c>
      <c r="AV138" s="28" t="s">
        <v>187</v>
      </c>
      <c r="AW138" s="28" t="s">
        <v>186</v>
      </c>
      <c r="AX138" s="28" t="s">
        <v>186</v>
      </c>
      <c r="AY138" s="28" t="s">
        <v>187</v>
      </c>
      <c r="BC138" s="28">
        <v>87715305194</v>
      </c>
      <c r="BD138" s="28">
        <v>81262306517</v>
      </c>
      <c r="BE138" s="28">
        <v>89666974092</v>
      </c>
      <c r="BF138" s="28">
        <v>82190278651</v>
      </c>
      <c r="BG138" s="28">
        <v>82135718576</v>
      </c>
      <c r="BH138" s="28">
        <v>82149508006</v>
      </c>
      <c r="BI138" s="28">
        <v>81317549761</v>
      </c>
      <c r="BJ138" s="28">
        <v>87758825405</v>
      </c>
      <c r="BK138" s="28">
        <v>82336731919</v>
      </c>
      <c r="BO138" s="39">
        <v>60010238</v>
      </c>
      <c r="BP138" s="18" t="s">
        <v>2415</v>
      </c>
      <c r="BQ138" s="37">
        <v>44957</v>
      </c>
      <c r="BR138" s="8">
        <f t="shared" si="0"/>
        <v>9</v>
      </c>
    </row>
    <row r="139" spans="1:70" ht="15.5">
      <c r="A139" s="4" t="str">
        <v>Reguler Periode ke-101 III.C.1</v>
      </c>
      <c r="B139" s="4" t="s">
        <v>2073</v>
      </c>
      <c r="C139" s="38" t="s">
        <v>939</v>
      </c>
      <c r="D139" s="4" t="s">
        <v>2416</v>
      </c>
      <c r="E139" s="4" t="s">
        <v>2417</v>
      </c>
      <c r="F139" s="4" t="s">
        <v>193</v>
      </c>
      <c r="G139" s="27" t="s">
        <v>2418</v>
      </c>
      <c r="H139" s="27" t="s">
        <v>2419</v>
      </c>
      <c r="I139" s="27" t="s">
        <v>2420</v>
      </c>
      <c r="J139" s="27" t="s">
        <v>2421</v>
      </c>
      <c r="K139" s="27" t="s">
        <v>2422</v>
      </c>
      <c r="L139" s="27" t="s">
        <v>2423</v>
      </c>
      <c r="M139" s="27" t="s">
        <v>2424</v>
      </c>
      <c r="N139" s="27" t="s">
        <v>2425</v>
      </c>
      <c r="O139" s="27" t="s">
        <v>2426</v>
      </c>
      <c r="R139" s="27"/>
      <c r="S139" s="27">
        <v>1800003105</v>
      </c>
      <c r="T139" s="27">
        <v>1900005038</v>
      </c>
      <c r="U139" s="27">
        <v>1900011356</v>
      </c>
      <c r="V139" s="27">
        <v>1900016136</v>
      </c>
      <c r="W139" s="27">
        <v>1900017008</v>
      </c>
      <c r="X139" s="27">
        <v>1900024205</v>
      </c>
      <c r="Y139" s="27">
        <v>1900025036</v>
      </c>
      <c r="Z139" s="27">
        <v>1900030192</v>
      </c>
      <c r="AA139" s="27">
        <v>1900311002</v>
      </c>
      <c r="AE139" s="27" t="s">
        <v>178</v>
      </c>
      <c r="AF139" s="27" t="s">
        <v>181</v>
      </c>
      <c r="AG139" s="27" t="s">
        <v>182</v>
      </c>
      <c r="AH139" s="27" t="s">
        <v>531</v>
      </c>
      <c r="AI139" s="27" t="s">
        <v>183</v>
      </c>
      <c r="AJ139" s="27" t="s">
        <v>924</v>
      </c>
      <c r="AK139" s="27" t="s">
        <v>1168</v>
      </c>
      <c r="AL139" s="27" t="s">
        <v>184</v>
      </c>
      <c r="AM139" s="27" t="s">
        <v>2427</v>
      </c>
      <c r="AP139" s="28"/>
      <c r="AQ139" s="28" t="s">
        <v>187</v>
      </c>
      <c r="AR139" s="28" t="s">
        <v>186</v>
      </c>
      <c r="AS139" s="28" t="s">
        <v>186</v>
      </c>
      <c r="AT139" s="28" t="s">
        <v>187</v>
      </c>
      <c r="AU139" s="28" t="s">
        <v>186</v>
      </c>
      <c r="AV139" s="28" t="s">
        <v>187</v>
      </c>
      <c r="AW139" s="28" t="s">
        <v>186</v>
      </c>
      <c r="AX139" s="28" t="s">
        <v>186</v>
      </c>
      <c r="AY139" s="28" t="s">
        <v>187</v>
      </c>
      <c r="BC139" s="28">
        <v>85607829340</v>
      </c>
      <c r="BD139" s="28">
        <v>882003362394</v>
      </c>
      <c r="BE139" s="28">
        <v>85338406176</v>
      </c>
      <c r="BF139" s="28">
        <v>85950248458</v>
      </c>
      <c r="BG139" s="28">
        <v>89674438716</v>
      </c>
      <c r="BH139" s="28">
        <v>88224426291</v>
      </c>
      <c r="BI139" s="28">
        <v>882003472116</v>
      </c>
      <c r="BJ139" s="28">
        <v>895603778384</v>
      </c>
      <c r="BK139" s="28">
        <v>81938078666</v>
      </c>
      <c r="BO139" s="39">
        <v>60081531</v>
      </c>
      <c r="BP139" s="18" t="s">
        <v>2428</v>
      </c>
      <c r="BQ139" s="37">
        <v>44957</v>
      </c>
      <c r="BR139" s="8">
        <f t="shared" si="0"/>
        <v>9</v>
      </c>
    </row>
    <row r="140" spans="1:70" ht="15.5">
      <c r="A140" s="4" t="str">
        <v>Reguler Periode ke-101 III.C.2</v>
      </c>
      <c r="B140" s="4" t="s">
        <v>2073</v>
      </c>
      <c r="C140" s="38" t="s">
        <v>955</v>
      </c>
      <c r="D140" s="4" t="s">
        <v>2416</v>
      </c>
      <c r="E140" s="4" t="s">
        <v>2429</v>
      </c>
      <c r="F140" s="4" t="s">
        <v>193</v>
      </c>
      <c r="G140" s="27" t="s">
        <v>2430</v>
      </c>
      <c r="H140" s="27" t="s">
        <v>2431</v>
      </c>
      <c r="I140" s="27" t="s">
        <v>2432</v>
      </c>
      <c r="J140" s="27" t="s">
        <v>2433</v>
      </c>
      <c r="K140" s="27" t="s">
        <v>2434</v>
      </c>
      <c r="L140" s="27" t="s">
        <v>2435</v>
      </c>
      <c r="M140" s="27" t="s">
        <v>2436</v>
      </c>
      <c r="N140" s="27" t="s">
        <v>2437</v>
      </c>
      <c r="O140" s="27" t="s">
        <v>2438</v>
      </c>
      <c r="R140" s="27"/>
      <c r="S140" s="27">
        <v>1800016166</v>
      </c>
      <c r="T140" s="27">
        <v>1900003110</v>
      </c>
      <c r="U140" s="27">
        <v>1900005251</v>
      </c>
      <c r="V140" s="27">
        <v>1900011272</v>
      </c>
      <c r="W140" s="27">
        <v>1900017041</v>
      </c>
      <c r="X140" s="27">
        <v>1900024235</v>
      </c>
      <c r="Y140" s="27">
        <v>1900026223</v>
      </c>
      <c r="Z140" s="27">
        <v>1900030356</v>
      </c>
      <c r="AA140" s="27">
        <v>1911331026</v>
      </c>
      <c r="AE140" s="27" t="s">
        <v>531</v>
      </c>
      <c r="AF140" s="27" t="s">
        <v>178</v>
      </c>
      <c r="AG140" s="27" t="s">
        <v>181</v>
      </c>
      <c r="AH140" s="27" t="s">
        <v>182</v>
      </c>
      <c r="AI140" s="27" t="s">
        <v>183</v>
      </c>
      <c r="AJ140" s="27" t="s">
        <v>924</v>
      </c>
      <c r="AK140" s="27" t="s">
        <v>570</v>
      </c>
      <c r="AL140" s="27" t="s">
        <v>184</v>
      </c>
      <c r="AM140" s="27" t="s">
        <v>546</v>
      </c>
      <c r="AP140" s="28"/>
      <c r="AQ140" s="28" t="s">
        <v>187</v>
      </c>
      <c r="AR140" s="28" t="s">
        <v>187</v>
      </c>
      <c r="AS140" s="28" t="s">
        <v>186</v>
      </c>
      <c r="AT140" s="28" t="s">
        <v>186</v>
      </c>
      <c r="AU140" s="28" t="s">
        <v>186</v>
      </c>
      <c r="AV140" s="28" t="s">
        <v>187</v>
      </c>
      <c r="AW140" s="28" t="s">
        <v>186</v>
      </c>
      <c r="AX140" s="28" t="s">
        <v>186</v>
      </c>
      <c r="AY140" s="28" t="s">
        <v>187</v>
      </c>
      <c r="BC140" s="28">
        <v>895363122327</v>
      </c>
      <c r="BD140" s="28">
        <v>85320449149</v>
      </c>
      <c r="BE140" s="28">
        <v>82180348791</v>
      </c>
      <c r="BF140" s="28">
        <v>85810909839</v>
      </c>
      <c r="BG140" s="28">
        <v>81252228939</v>
      </c>
      <c r="BH140" s="28">
        <v>895604774726</v>
      </c>
      <c r="BI140" s="28">
        <v>82136353237</v>
      </c>
      <c r="BJ140" s="28">
        <v>81345655083</v>
      </c>
      <c r="BK140" s="28">
        <v>82115930353</v>
      </c>
      <c r="BO140" s="39">
        <v>60081531</v>
      </c>
      <c r="BP140" s="18" t="s">
        <v>2439</v>
      </c>
      <c r="BQ140" s="37">
        <v>44957</v>
      </c>
      <c r="BR140" s="8">
        <f t="shared" si="0"/>
        <v>9</v>
      </c>
    </row>
    <row r="141" spans="1:70" ht="15.5">
      <c r="A141" s="4" t="str">
        <v>Reguler Periode ke-101 III.C.3</v>
      </c>
      <c r="B141" s="4" t="s">
        <v>2073</v>
      </c>
      <c r="C141" s="38" t="s">
        <v>967</v>
      </c>
      <c r="D141" s="4" t="s">
        <v>2416</v>
      </c>
      <c r="E141" s="4" t="s">
        <v>2440</v>
      </c>
      <c r="F141" s="4" t="s">
        <v>193</v>
      </c>
      <c r="G141" s="27" t="s">
        <v>2441</v>
      </c>
      <c r="H141" s="27" t="s">
        <v>2442</v>
      </c>
      <c r="I141" s="27" t="s">
        <v>2443</v>
      </c>
      <c r="J141" s="27" t="s">
        <v>2444</v>
      </c>
      <c r="K141" s="27" t="s">
        <v>2445</v>
      </c>
      <c r="L141" s="27" t="s">
        <v>2446</v>
      </c>
      <c r="M141" s="27" t="s">
        <v>2447</v>
      </c>
      <c r="N141" s="27" t="s">
        <v>2448</v>
      </c>
      <c r="O141" s="27" t="s">
        <v>2449</v>
      </c>
      <c r="Q141" s="27"/>
      <c r="R141" s="27"/>
      <c r="S141" s="27">
        <v>1800016128</v>
      </c>
      <c r="T141" s="27">
        <v>1811331033</v>
      </c>
      <c r="U141" s="27">
        <v>1900003100</v>
      </c>
      <c r="V141" s="27">
        <v>1900005053</v>
      </c>
      <c r="W141" s="27">
        <v>1900011269</v>
      </c>
      <c r="X141" s="27">
        <v>1900017021</v>
      </c>
      <c r="Y141" s="27">
        <v>1900024335</v>
      </c>
      <c r="Z141" s="27">
        <v>1900026128</v>
      </c>
      <c r="AA141" s="27">
        <v>1900030194</v>
      </c>
      <c r="AE141" s="27" t="s">
        <v>531</v>
      </c>
      <c r="AF141" s="27" t="s">
        <v>546</v>
      </c>
      <c r="AG141" s="27" t="s">
        <v>178</v>
      </c>
      <c r="AH141" s="27" t="s">
        <v>181</v>
      </c>
      <c r="AI141" s="27" t="s">
        <v>182</v>
      </c>
      <c r="AJ141" s="27" t="s">
        <v>183</v>
      </c>
      <c r="AK141" s="27" t="s">
        <v>924</v>
      </c>
      <c r="AL141" s="27" t="s">
        <v>570</v>
      </c>
      <c r="AM141" s="27" t="s">
        <v>184</v>
      </c>
      <c r="AP141" s="28"/>
      <c r="AQ141" s="28" t="s">
        <v>187</v>
      </c>
      <c r="AR141" s="28" t="s">
        <v>187</v>
      </c>
      <c r="AS141" s="28" t="s">
        <v>187</v>
      </c>
      <c r="AT141" s="28" t="s">
        <v>186</v>
      </c>
      <c r="AU141" s="28" t="s">
        <v>186</v>
      </c>
      <c r="AV141" s="28" t="s">
        <v>186</v>
      </c>
      <c r="AW141" s="28" t="s">
        <v>187</v>
      </c>
      <c r="AX141" s="28" t="s">
        <v>186</v>
      </c>
      <c r="AY141" s="28" t="s">
        <v>186</v>
      </c>
      <c r="BA141" s="28"/>
      <c r="BB141" s="28"/>
      <c r="BC141" s="28">
        <v>85751545980</v>
      </c>
      <c r="BD141" s="28">
        <v>81338618987</v>
      </c>
      <c r="BE141" s="28">
        <v>81903422139</v>
      </c>
      <c r="BF141" s="28">
        <v>81227158013</v>
      </c>
      <c r="BG141" s="28">
        <v>82174502544</v>
      </c>
      <c r="BH141" s="28">
        <v>85885255597</v>
      </c>
      <c r="BI141" s="28">
        <v>88233136789</v>
      </c>
      <c r="BJ141" s="28">
        <v>85855511745</v>
      </c>
      <c r="BK141" s="28">
        <v>85879658159</v>
      </c>
      <c r="BO141" s="39">
        <v>60081531</v>
      </c>
      <c r="BP141" s="18" t="s">
        <v>2450</v>
      </c>
      <c r="BQ141" s="37">
        <v>44957</v>
      </c>
      <c r="BR141" s="8">
        <f t="shared" si="0"/>
        <v>9</v>
      </c>
    </row>
    <row r="142" spans="1:70" ht="15.5">
      <c r="A142" s="4" t="str">
        <v>Reguler Periode ke-101 III.D.1</v>
      </c>
      <c r="B142" s="4" t="s">
        <v>2073</v>
      </c>
      <c r="C142" s="38" t="s">
        <v>1009</v>
      </c>
      <c r="D142" s="4" t="s">
        <v>2451</v>
      </c>
      <c r="E142" s="4" t="s">
        <v>2452</v>
      </c>
      <c r="F142" s="4" t="s">
        <v>193</v>
      </c>
      <c r="G142" s="27" t="s">
        <v>2453</v>
      </c>
      <c r="H142" s="27" t="s">
        <v>2454</v>
      </c>
      <c r="I142" s="27" t="s">
        <v>2455</v>
      </c>
      <c r="J142" s="27" t="s">
        <v>2456</v>
      </c>
      <c r="K142" s="27" t="s">
        <v>2457</v>
      </c>
      <c r="L142" s="27" t="s">
        <v>2458</v>
      </c>
      <c r="M142" s="27" t="s">
        <v>2459</v>
      </c>
      <c r="N142" s="27" t="s">
        <v>2460</v>
      </c>
      <c r="O142" s="27" t="s">
        <v>2461</v>
      </c>
      <c r="Q142" s="27"/>
      <c r="S142" s="27">
        <v>1900003089</v>
      </c>
      <c r="T142" s="27">
        <v>1900005041</v>
      </c>
      <c r="U142" s="27">
        <v>1900011166</v>
      </c>
      <c r="V142" s="27">
        <v>1900016118</v>
      </c>
      <c r="W142" s="27">
        <v>1900017093</v>
      </c>
      <c r="X142" s="27">
        <v>1900024248</v>
      </c>
      <c r="Y142" s="27">
        <v>1900026017</v>
      </c>
      <c r="Z142" s="27">
        <v>1900030153</v>
      </c>
      <c r="AA142" s="27">
        <v>1900331051</v>
      </c>
      <c r="AE142" s="27" t="s">
        <v>178</v>
      </c>
      <c r="AF142" s="27" t="s">
        <v>181</v>
      </c>
      <c r="AG142" s="27" t="s">
        <v>182</v>
      </c>
      <c r="AH142" s="27" t="s">
        <v>531</v>
      </c>
      <c r="AI142" s="27" t="s">
        <v>183</v>
      </c>
      <c r="AJ142" s="27" t="s">
        <v>924</v>
      </c>
      <c r="AK142" s="27" t="s">
        <v>570</v>
      </c>
      <c r="AL142" s="27" t="s">
        <v>184</v>
      </c>
      <c r="AM142" s="27" t="s">
        <v>546</v>
      </c>
      <c r="AP142" s="28"/>
      <c r="AQ142" s="28" t="s">
        <v>187</v>
      </c>
      <c r="AR142" s="28" t="s">
        <v>186</v>
      </c>
      <c r="AS142" s="28" t="s">
        <v>186</v>
      </c>
      <c r="AT142" s="28" t="s">
        <v>187</v>
      </c>
      <c r="AU142" s="28" t="s">
        <v>186</v>
      </c>
      <c r="AV142" s="28" t="s">
        <v>187</v>
      </c>
      <c r="AW142" s="28" t="s">
        <v>186</v>
      </c>
      <c r="AX142" s="28" t="s">
        <v>186</v>
      </c>
      <c r="AY142" s="28" t="s">
        <v>187</v>
      </c>
      <c r="BA142" s="28"/>
      <c r="BB142" s="28"/>
      <c r="BC142" s="28">
        <v>85155437849</v>
      </c>
      <c r="BD142" s="28">
        <v>87713383288</v>
      </c>
      <c r="BE142" s="28">
        <v>87709323688</v>
      </c>
      <c r="BF142" s="28">
        <v>85244005724</v>
      </c>
      <c r="BG142" s="28">
        <v>85694463717</v>
      </c>
      <c r="BH142" s="28">
        <v>83188653886</v>
      </c>
      <c r="BI142" s="28">
        <v>85346577302</v>
      </c>
      <c r="BJ142" s="28">
        <v>85357524122</v>
      </c>
      <c r="BK142" s="28">
        <v>87837430828</v>
      </c>
      <c r="BO142" s="39">
        <v>60211301</v>
      </c>
      <c r="BP142" s="18" t="s">
        <v>2462</v>
      </c>
      <c r="BQ142" s="37">
        <v>44957</v>
      </c>
      <c r="BR142" s="8">
        <f t="shared" si="0"/>
        <v>9</v>
      </c>
    </row>
    <row r="143" spans="1:70" ht="15.5">
      <c r="A143" s="4" t="str">
        <v>Reguler Periode ke-101 III.D.2</v>
      </c>
      <c r="B143" s="4" t="s">
        <v>2073</v>
      </c>
      <c r="C143" s="38" t="s">
        <v>1032</v>
      </c>
      <c r="D143" s="4" t="s">
        <v>2451</v>
      </c>
      <c r="E143" s="4" t="s">
        <v>2463</v>
      </c>
      <c r="F143" s="4" t="s">
        <v>193</v>
      </c>
      <c r="G143" s="27" t="s">
        <v>2464</v>
      </c>
      <c r="H143" s="27" t="s">
        <v>2465</v>
      </c>
      <c r="I143" s="27" t="s">
        <v>2466</v>
      </c>
      <c r="J143" s="27" t="s">
        <v>2467</v>
      </c>
      <c r="K143" s="27" t="s">
        <v>2468</v>
      </c>
      <c r="L143" s="27" t="s">
        <v>2469</v>
      </c>
      <c r="M143" s="27" t="s">
        <v>2470</v>
      </c>
      <c r="N143" s="27" t="s">
        <v>2471</v>
      </c>
      <c r="O143" s="27" t="s">
        <v>2472</v>
      </c>
      <c r="Q143" s="27"/>
      <c r="S143" s="27">
        <v>1800024388</v>
      </c>
      <c r="T143" s="27">
        <v>1900003119</v>
      </c>
      <c r="U143" s="27">
        <v>1900005398</v>
      </c>
      <c r="V143" s="27">
        <v>1900011114</v>
      </c>
      <c r="W143" s="27">
        <v>1900017017</v>
      </c>
      <c r="X143" s="27">
        <v>1900026146</v>
      </c>
      <c r="Y143" s="27">
        <v>1900030148</v>
      </c>
      <c r="Z143" s="27">
        <v>1900070038</v>
      </c>
      <c r="AA143" s="27">
        <v>1915016132</v>
      </c>
      <c r="AD143" s="27"/>
      <c r="AE143" s="27" t="s">
        <v>924</v>
      </c>
      <c r="AF143" s="27" t="s">
        <v>178</v>
      </c>
      <c r="AG143" s="27" t="s">
        <v>181</v>
      </c>
      <c r="AH143" s="27" t="s">
        <v>182</v>
      </c>
      <c r="AI143" s="27" t="s">
        <v>183</v>
      </c>
      <c r="AJ143" s="27" t="s">
        <v>570</v>
      </c>
      <c r="AK143" s="27" t="s">
        <v>184</v>
      </c>
      <c r="AL143" s="27" t="s">
        <v>2473</v>
      </c>
      <c r="AM143" s="27" t="s">
        <v>531</v>
      </c>
      <c r="AQ143" s="28" t="s">
        <v>187</v>
      </c>
      <c r="AR143" s="28" t="s">
        <v>187</v>
      </c>
      <c r="AS143" s="28" t="s">
        <v>186</v>
      </c>
      <c r="AT143" s="28" t="s">
        <v>186</v>
      </c>
      <c r="AU143" s="28" t="s">
        <v>186</v>
      </c>
      <c r="AV143" s="28" t="s">
        <v>186</v>
      </c>
      <c r="AW143" s="28" t="s">
        <v>186</v>
      </c>
      <c r="AX143" s="28" t="s">
        <v>187</v>
      </c>
      <c r="AY143" s="28" t="s">
        <v>187</v>
      </c>
      <c r="BA143" s="28"/>
      <c r="BB143" s="28"/>
      <c r="BC143" s="28">
        <v>82290000270</v>
      </c>
      <c r="BD143" s="28">
        <v>89684976492</v>
      </c>
      <c r="BE143" s="28">
        <v>895603105836</v>
      </c>
      <c r="BF143" s="28">
        <v>895390818345</v>
      </c>
      <c r="BG143" s="28">
        <v>81331198349</v>
      </c>
      <c r="BH143" s="28">
        <v>82249033842</v>
      </c>
      <c r="BI143" s="28">
        <v>8812889528</v>
      </c>
      <c r="BJ143" s="28">
        <v>85726595651</v>
      </c>
      <c r="BK143" s="28">
        <v>89636465453</v>
      </c>
      <c r="BO143" s="39">
        <v>60211301</v>
      </c>
      <c r="BP143" s="18" t="s">
        <v>2474</v>
      </c>
      <c r="BQ143" s="37">
        <v>44957</v>
      </c>
      <c r="BR143" s="8">
        <f t="shared" si="0"/>
        <v>9</v>
      </c>
    </row>
    <row r="144" spans="1:70" ht="15.5">
      <c r="A144" s="4" t="str">
        <v>Reguler Periode ke-101 III.D.3</v>
      </c>
      <c r="B144" s="4" t="s">
        <v>2073</v>
      </c>
      <c r="C144" s="38" t="s">
        <v>1054</v>
      </c>
      <c r="D144" s="4" t="s">
        <v>2451</v>
      </c>
      <c r="E144" s="4" t="s">
        <v>2475</v>
      </c>
      <c r="F144" s="4" t="s">
        <v>193</v>
      </c>
      <c r="G144" s="27" t="s">
        <v>2476</v>
      </c>
      <c r="H144" s="27" t="s">
        <v>2477</v>
      </c>
      <c r="I144" s="27" t="s">
        <v>2478</v>
      </c>
      <c r="J144" s="27" t="s">
        <v>2479</v>
      </c>
      <c r="K144" s="27" t="s">
        <v>2480</v>
      </c>
      <c r="L144" s="27" t="s">
        <v>2481</v>
      </c>
      <c r="M144" s="27" t="s">
        <v>2482</v>
      </c>
      <c r="N144" s="27" t="s">
        <v>2483</v>
      </c>
      <c r="O144" s="27" t="s">
        <v>2484</v>
      </c>
      <c r="Q144" s="27"/>
      <c r="R144" s="27"/>
      <c r="S144" s="27">
        <v>1800024270</v>
      </c>
      <c r="T144" s="27">
        <v>1900003014</v>
      </c>
      <c r="U144" s="27">
        <v>1900005059</v>
      </c>
      <c r="V144" s="27">
        <v>1900011218</v>
      </c>
      <c r="W144" s="27">
        <v>1900016171</v>
      </c>
      <c r="X144" s="27">
        <v>1900017027</v>
      </c>
      <c r="Y144" s="27">
        <v>1900026138</v>
      </c>
      <c r="Z144" s="27">
        <v>1900030307</v>
      </c>
      <c r="AA144" s="27">
        <v>1900070003</v>
      </c>
      <c r="AD144" s="27"/>
      <c r="AE144" s="27" t="s">
        <v>924</v>
      </c>
      <c r="AF144" s="27" t="s">
        <v>178</v>
      </c>
      <c r="AG144" s="27" t="s">
        <v>181</v>
      </c>
      <c r="AH144" s="27" t="s">
        <v>182</v>
      </c>
      <c r="AI144" s="27" t="s">
        <v>531</v>
      </c>
      <c r="AJ144" s="27" t="s">
        <v>183</v>
      </c>
      <c r="AK144" s="27" t="s">
        <v>570</v>
      </c>
      <c r="AL144" s="27" t="s">
        <v>184</v>
      </c>
      <c r="AM144" s="27" t="s">
        <v>2473</v>
      </c>
      <c r="AP144" s="28"/>
      <c r="AQ144" s="28" t="s">
        <v>187</v>
      </c>
      <c r="AR144" s="28" t="s">
        <v>187</v>
      </c>
      <c r="AS144" s="28" t="s">
        <v>186</v>
      </c>
      <c r="AT144" s="28" t="s">
        <v>186</v>
      </c>
      <c r="AU144" s="28" t="s">
        <v>187</v>
      </c>
      <c r="AV144" s="28" t="s">
        <v>186</v>
      </c>
      <c r="AW144" s="28" t="s">
        <v>186</v>
      </c>
      <c r="AX144" s="28" t="s">
        <v>186</v>
      </c>
      <c r="AY144" s="28" t="s">
        <v>187</v>
      </c>
      <c r="BA144" s="28"/>
      <c r="BC144" s="28">
        <v>81272728161</v>
      </c>
      <c r="BD144" s="28">
        <v>895705438792</v>
      </c>
      <c r="BE144" s="28">
        <v>83136701224</v>
      </c>
      <c r="BF144" s="28">
        <v>82248226037</v>
      </c>
      <c r="BG144" s="28">
        <v>85750804367</v>
      </c>
      <c r="BH144" s="28">
        <v>85212460399</v>
      </c>
      <c r="BI144" s="28">
        <v>82241376300</v>
      </c>
      <c r="BJ144" s="28">
        <v>82227488638</v>
      </c>
      <c r="BK144" s="28">
        <v>89697392235</v>
      </c>
      <c r="BO144" s="39">
        <v>60211301</v>
      </c>
      <c r="BP144" s="18" t="s">
        <v>2485</v>
      </c>
      <c r="BQ144" s="37">
        <v>44957</v>
      </c>
      <c r="BR144" s="8">
        <f t="shared" si="0"/>
        <v>9</v>
      </c>
    </row>
    <row r="145" spans="1:70" ht="15.5">
      <c r="A145" s="4" t="str">
        <v>Reguler Periode ke-101 IV.A.1</v>
      </c>
      <c r="B145" s="4" t="s">
        <v>2073</v>
      </c>
      <c r="C145" s="38" t="s">
        <v>1075</v>
      </c>
      <c r="D145" s="4" t="s">
        <v>342</v>
      </c>
      <c r="E145" s="4" t="s">
        <v>2486</v>
      </c>
      <c r="F145" s="4" t="s">
        <v>193</v>
      </c>
      <c r="G145" s="27" t="s">
        <v>2487</v>
      </c>
      <c r="H145" s="27" t="s">
        <v>2488</v>
      </c>
      <c r="I145" s="27" t="s">
        <v>2489</v>
      </c>
      <c r="J145" s="27" t="s">
        <v>2490</v>
      </c>
      <c r="K145" s="27" t="s">
        <v>2491</v>
      </c>
      <c r="L145" s="27" t="s">
        <v>2492</v>
      </c>
      <c r="M145" s="27" t="s">
        <v>2493</v>
      </c>
      <c r="N145" s="27" t="s">
        <v>2494</v>
      </c>
      <c r="R145" s="27"/>
      <c r="S145" s="27">
        <v>1900003102</v>
      </c>
      <c r="T145" s="27">
        <v>1900005283</v>
      </c>
      <c r="U145" s="27">
        <v>1900011213</v>
      </c>
      <c r="V145" s="27">
        <v>1900016017</v>
      </c>
      <c r="W145" s="27">
        <v>1900017079</v>
      </c>
      <c r="X145" s="27">
        <v>1900024129</v>
      </c>
      <c r="Y145" s="27">
        <v>1900026035</v>
      </c>
      <c r="Z145" s="27">
        <v>1900030102</v>
      </c>
      <c r="AD145" s="27"/>
      <c r="AE145" s="27" t="s">
        <v>178</v>
      </c>
      <c r="AF145" s="27" t="s">
        <v>181</v>
      </c>
      <c r="AG145" s="27" t="s">
        <v>182</v>
      </c>
      <c r="AH145" s="27" t="s">
        <v>531</v>
      </c>
      <c r="AI145" s="27" t="s">
        <v>183</v>
      </c>
      <c r="AJ145" s="27" t="s">
        <v>924</v>
      </c>
      <c r="AK145" s="27" t="s">
        <v>570</v>
      </c>
      <c r="AL145" s="27" t="s">
        <v>184</v>
      </c>
      <c r="AQ145" s="28" t="s">
        <v>187</v>
      </c>
      <c r="AR145" s="28" t="s">
        <v>186</v>
      </c>
      <c r="AS145" s="28" t="s">
        <v>186</v>
      </c>
      <c r="AT145" s="28" t="s">
        <v>187</v>
      </c>
      <c r="AU145" s="28" t="s">
        <v>186</v>
      </c>
      <c r="AV145" s="28" t="s">
        <v>187</v>
      </c>
      <c r="AW145" s="28" t="s">
        <v>186</v>
      </c>
      <c r="AX145" s="28" t="s">
        <v>186</v>
      </c>
      <c r="BA145" s="28"/>
      <c r="BC145" s="28" t="s">
        <v>2495</v>
      </c>
      <c r="BD145" s="28">
        <v>82286809682</v>
      </c>
      <c r="BE145" s="28">
        <v>81210806996</v>
      </c>
      <c r="BF145" s="28">
        <v>895806402737</v>
      </c>
      <c r="BG145" s="28">
        <v>89524890602</v>
      </c>
      <c r="BH145" s="28">
        <v>89663751382</v>
      </c>
      <c r="BI145" s="28">
        <v>85939320822</v>
      </c>
      <c r="BJ145" s="28">
        <v>81957392623</v>
      </c>
      <c r="BO145" s="39">
        <v>60130747</v>
      </c>
      <c r="BP145" s="18" t="s">
        <v>2496</v>
      </c>
      <c r="BQ145" s="37">
        <v>44957</v>
      </c>
      <c r="BR145" s="8">
        <f t="shared" si="0"/>
        <v>8</v>
      </c>
    </row>
    <row r="146" spans="1:70" ht="15.5">
      <c r="A146" s="4" t="str">
        <v>Reguler Periode ke-101 IV.A.2</v>
      </c>
      <c r="B146" s="4" t="s">
        <v>2073</v>
      </c>
      <c r="C146" s="38" t="s">
        <v>1088</v>
      </c>
      <c r="D146" s="4" t="s">
        <v>342</v>
      </c>
      <c r="E146" s="4" t="s">
        <v>2497</v>
      </c>
      <c r="F146" s="4" t="s">
        <v>193</v>
      </c>
      <c r="G146" s="27" t="s">
        <v>2498</v>
      </c>
      <c r="H146" s="27" t="s">
        <v>2499</v>
      </c>
      <c r="I146" s="27" t="s">
        <v>2500</v>
      </c>
      <c r="J146" s="27" t="s">
        <v>2501</v>
      </c>
      <c r="K146" s="27" t="s">
        <v>2502</v>
      </c>
      <c r="L146" s="27" t="s">
        <v>2503</v>
      </c>
      <c r="M146" s="27" t="s">
        <v>2504</v>
      </c>
      <c r="N146" s="27" t="s">
        <v>2505</v>
      </c>
      <c r="Q146" s="27"/>
      <c r="R146" s="27"/>
      <c r="S146" s="27">
        <v>1800026267</v>
      </c>
      <c r="T146" s="27">
        <v>1900001093</v>
      </c>
      <c r="U146" s="27">
        <v>1900003144</v>
      </c>
      <c r="V146" s="27">
        <v>1900005270</v>
      </c>
      <c r="W146" s="27">
        <v>1900011353</v>
      </c>
      <c r="X146" s="27">
        <v>1900017071</v>
      </c>
      <c r="Y146" s="27">
        <v>1900024257</v>
      </c>
      <c r="Z146" s="27">
        <v>1900030127</v>
      </c>
      <c r="AB146" s="27"/>
      <c r="AD146" s="27"/>
      <c r="AE146" s="27" t="s">
        <v>570</v>
      </c>
      <c r="AF146" s="27" t="s">
        <v>180</v>
      </c>
      <c r="AG146" s="27" t="s">
        <v>178</v>
      </c>
      <c r="AH146" s="27" t="s">
        <v>181</v>
      </c>
      <c r="AI146" s="27" t="s">
        <v>182</v>
      </c>
      <c r="AJ146" s="27" t="s">
        <v>183</v>
      </c>
      <c r="AK146" s="27" t="s">
        <v>924</v>
      </c>
      <c r="AL146" s="27" t="s">
        <v>184</v>
      </c>
      <c r="AQ146" s="28" t="s">
        <v>186</v>
      </c>
      <c r="AR146" s="28" t="s">
        <v>186</v>
      </c>
      <c r="AS146" s="28" t="s">
        <v>187</v>
      </c>
      <c r="AT146" s="28" t="s">
        <v>186</v>
      </c>
      <c r="AU146" s="28" t="s">
        <v>186</v>
      </c>
      <c r="AV146" s="28" t="s">
        <v>186</v>
      </c>
      <c r="AW146" s="28" t="s">
        <v>187</v>
      </c>
      <c r="AX146" s="28" t="s">
        <v>186</v>
      </c>
      <c r="BA146" s="28"/>
      <c r="BB146" s="28"/>
      <c r="BC146" s="28">
        <v>82180180741</v>
      </c>
      <c r="BD146" s="28">
        <v>88239938365</v>
      </c>
      <c r="BE146" s="28">
        <v>82134172873</v>
      </c>
      <c r="BF146" s="28">
        <v>82225030134</v>
      </c>
      <c r="BG146" s="28">
        <v>82137910601</v>
      </c>
      <c r="BH146" s="28">
        <v>81278654241</v>
      </c>
      <c r="BI146" s="28">
        <v>81318034768</v>
      </c>
      <c r="BJ146" s="28">
        <v>85643220898</v>
      </c>
      <c r="BO146" s="39">
        <v>60130747</v>
      </c>
      <c r="BP146" s="18" t="s">
        <v>2506</v>
      </c>
      <c r="BQ146" s="37">
        <v>44957</v>
      </c>
      <c r="BR146" s="8">
        <f t="shared" si="0"/>
        <v>8</v>
      </c>
    </row>
    <row r="147" spans="1:70" ht="15.5">
      <c r="A147" s="4" t="str">
        <v>Reguler Periode ke-101 IV.A.3</v>
      </c>
      <c r="B147" s="4" t="s">
        <v>2073</v>
      </c>
      <c r="C147" s="38" t="s">
        <v>1100</v>
      </c>
      <c r="D147" s="4" t="s">
        <v>342</v>
      </c>
      <c r="E147" s="4" t="s">
        <v>2507</v>
      </c>
      <c r="F147" s="4" t="s">
        <v>193</v>
      </c>
      <c r="G147" s="27" t="s">
        <v>2508</v>
      </c>
      <c r="H147" s="27" t="s">
        <v>2509</v>
      </c>
      <c r="I147" s="27" t="s">
        <v>2510</v>
      </c>
      <c r="J147" s="27" t="s">
        <v>2511</v>
      </c>
      <c r="K147" s="27" t="s">
        <v>2512</v>
      </c>
      <c r="L147" s="27" t="s">
        <v>2513</v>
      </c>
      <c r="M147" s="27" t="s">
        <v>2514</v>
      </c>
      <c r="N147" s="27" t="s">
        <v>2515</v>
      </c>
      <c r="O147" s="27" t="s">
        <v>2516</v>
      </c>
      <c r="Q147" s="27"/>
      <c r="R147" s="27"/>
      <c r="S147" s="27">
        <v>1900001132</v>
      </c>
      <c r="T147" s="27">
        <v>1900003162</v>
      </c>
      <c r="U147" s="27">
        <v>1900005189</v>
      </c>
      <c r="V147" s="27">
        <v>1900011370</v>
      </c>
      <c r="W147" s="27">
        <v>1900016152</v>
      </c>
      <c r="X147" s="27">
        <v>1900017070</v>
      </c>
      <c r="Y147" s="27">
        <v>1900024036</v>
      </c>
      <c r="Z147" s="27">
        <v>1900026143</v>
      </c>
      <c r="AA147" s="27">
        <v>1900030054</v>
      </c>
      <c r="AB147" s="27"/>
      <c r="AC147" s="27"/>
      <c r="AD147" s="27"/>
      <c r="AE147" s="27" t="s">
        <v>180</v>
      </c>
      <c r="AF147" s="27" t="s">
        <v>178</v>
      </c>
      <c r="AG147" s="27" t="s">
        <v>181</v>
      </c>
      <c r="AH147" s="27" t="s">
        <v>182</v>
      </c>
      <c r="AI147" s="27" t="s">
        <v>531</v>
      </c>
      <c r="AJ147" s="27" t="s">
        <v>183</v>
      </c>
      <c r="AK147" s="27" t="s">
        <v>924</v>
      </c>
      <c r="AL147" s="27" t="s">
        <v>570</v>
      </c>
      <c r="AM147" s="27" t="s">
        <v>184</v>
      </c>
      <c r="AP147" s="28"/>
      <c r="AQ147" s="28" t="s">
        <v>186</v>
      </c>
      <c r="AR147" s="28" t="s">
        <v>187</v>
      </c>
      <c r="AS147" s="28" t="s">
        <v>186</v>
      </c>
      <c r="AT147" s="28" t="s">
        <v>186</v>
      </c>
      <c r="AU147" s="28" t="s">
        <v>187</v>
      </c>
      <c r="AV147" s="28" t="s">
        <v>186</v>
      </c>
      <c r="AW147" s="28" t="s">
        <v>187</v>
      </c>
      <c r="AX147" s="28" t="s">
        <v>186</v>
      </c>
      <c r="AY147" s="28" t="s">
        <v>186</v>
      </c>
      <c r="BA147" s="28"/>
      <c r="BB147" s="28"/>
      <c r="BC147" s="28">
        <v>85839187898</v>
      </c>
      <c r="BD147" s="28">
        <v>82171016384</v>
      </c>
      <c r="BE147" s="28">
        <v>87889803918</v>
      </c>
      <c r="BF147" s="28">
        <v>895392403419</v>
      </c>
      <c r="BG147" s="28">
        <v>85339958580</v>
      </c>
      <c r="BH147" s="28">
        <v>85729408754</v>
      </c>
      <c r="BI147" s="28">
        <v>81274965574</v>
      </c>
      <c r="BJ147" s="28">
        <v>82286140522</v>
      </c>
      <c r="BK147" s="28">
        <v>88227750130</v>
      </c>
      <c r="BO147" s="39">
        <v>60130747</v>
      </c>
      <c r="BP147" s="18" t="s">
        <v>2517</v>
      </c>
      <c r="BQ147" s="37">
        <v>44957</v>
      </c>
      <c r="BR147" s="8">
        <f t="shared" si="0"/>
        <v>9</v>
      </c>
    </row>
    <row r="148" spans="1:70" ht="15.5">
      <c r="A148" s="4" t="str">
        <v>Reguler Periode ke-101 IV.B.1</v>
      </c>
      <c r="B148" s="4" t="s">
        <v>2073</v>
      </c>
      <c r="C148" s="38" t="s">
        <v>1114</v>
      </c>
      <c r="D148" s="4" t="s">
        <v>2518</v>
      </c>
      <c r="E148" s="4" t="s">
        <v>2519</v>
      </c>
      <c r="F148" s="4" t="s">
        <v>193</v>
      </c>
      <c r="G148" s="27" t="s">
        <v>2520</v>
      </c>
      <c r="H148" s="27" t="s">
        <v>2521</v>
      </c>
      <c r="I148" s="27" t="s">
        <v>2522</v>
      </c>
      <c r="J148" s="27" t="s">
        <v>2523</v>
      </c>
      <c r="K148" s="27" t="s">
        <v>2524</v>
      </c>
      <c r="L148" s="27" t="s">
        <v>2525</v>
      </c>
      <c r="M148" s="27" t="s">
        <v>2526</v>
      </c>
      <c r="N148" s="27" t="s">
        <v>2527</v>
      </c>
      <c r="O148" s="27" t="s">
        <v>2528</v>
      </c>
      <c r="Q148" s="27"/>
      <c r="R148" s="27"/>
      <c r="S148" s="27">
        <v>1800024051</v>
      </c>
      <c r="T148" s="27">
        <v>1900001060</v>
      </c>
      <c r="U148" s="27">
        <v>1900003043</v>
      </c>
      <c r="V148" s="27">
        <v>1900005296</v>
      </c>
      <c r="W148" s="27">
        <v>1900011046</v>
      </c>
      <c r="X148" s="27">
        <v>1900016029</v>
      </c>
      <c r="Y148" s="27">
        <v>1900017088</v>
      </c>
      <c r="Z148" s="27">
        <v>1900026060</v>
      </c>
      <c r="AA148" s="27">
        <v>1900030406</v>
      </c>
      <c r="AB148" s="27"/>
      <c r="AC148" s="27"/>
      <c r="AD148" s="27"/>
      <c r="AE148" s="27" t="s">
        <v>924</v>
      </c>
      <c r="AF148" s="27" t="s">
        <v>180</v>
      </c>
      <c r="AG148" s="27" t="s">
        <v>178</v>
      </c>
      <c r="AH148" s="27" t="s">
        <v>181</v>
      </c>
      <c r="AI148" s="27" t="s">
        <v>182</v>
      </c>
      <c r="AJ148" s="27" t="s">
        <v>531</v>
      </c>
      <c r="AK148" s="27" t="s">
        <v>183</v>
      </c>
      <c r="AL148" s="27" t="s">
        <v>570</v>
      </c>
      <c r="AM148" s="27" t="s">
        <v>184</v>
      </c>
      <c r="AP148" s="28"/>
      <c r="AQ148" s="28" t="s">
        <v>187</v>
      </c>
      <c r="AR148" s="28" t="s">
        <v>186</v>
      </c>
      <c r="AS148" s="28" t="s">
        <v>187</v>
      </c>
      <c r="AT148" s="28" t="s">
        <v>186</v>
      </c>
      <c r="AU148" s="28" t="s">
        <v>186</v>
      </c>
      <c r="AV148" s="28" t="s">
        <v>187</v>
      </c>
      <c r="AW148" s="28" t="s">
        <v>186</v>
      </c>
      <c r="AX148" s="28" t="s">
        <v>186</v>
      </c>
      <c r="AY148" s="28" t="s">
        <v>186</v>
      </c>
      <c r="BA148" s="28"/>
      <c r="BB148" s="28"/>
      <c r="BC148" s="28">
        <v>82283150716</v>
      </c>
      <c r="BD148" s="28">
        <v>81393424009</v>
      </c>
      <c r="BE148" s="28">
        <v>8886631513</v>
      </c>
      <c r="BF148" s="28">
        <v>81328744200</v>
      </c>
      <c r="BG148" s="28">
        <v>83823971589</v>
      </c>
      <c r="BH148" s="28">
        <v>85786947244</v>
      </c>
      <c r="BI148" s="28">
        <v>82241961813</v>
      </c>
      <c r="BJ148" s="28">
        <v>85768402994</v>
      </c>
      <c r="BK148" s="28">
        <v>82179433718</v>
      </c>
      <c r="BO148" s="39" t="s">
        <v>225</v>
      </c>
      <c r="BP148" s="18" t="s">
        <v>2529</v>
      </c>
      <c r="BQ148" s="37">
        <v>44957</v>
      </c>
      <c r="BR148" s="8">
        <f t="shared" si="0"/>
        <v>9</v>
      </c>
    </row>
    <row r="149" spans="1:70" ht="15.5">
      <c r="A149" s="4" t="str">
        <v>Reguler Periode ke-101 IV.B.2</v>
      </c>
      <c r="B149" s="4" t="s">
        <v>2073</v>
      </c>
      <c r="C149" s="38" t="s">
        <v>1136</v>
      </c>
      <c r="D149" s="4" t="s">
        <v>2518</v>
      </c>
      <c r="E149" s="4" t="s">
        <v>2530</v>
      </c>
      <c r="F149" s="4" t="s">
        <v>193</v>
      </c>
      <c r="G149" s="27" t="s">
        <v>2531</v>
      </c>
      <c r="H149" s="27" t="s">
        <v>2532</v>
      </c>
      <c r="I149" s="27" t="s">
        <v>2533</v>
      </c>
      <c r="J149" s="27" t="s">
        <v>2534</v>
      </c>
      <c r="K149" s="27" t="s">
        <v>2535</v>
      </c>
      <c r="L149" s="27" t="s">
        <v>2536</v>
      </c>
      <c r="M149" s="27" t="s">
        <v>2537</v>
      </c>
      <c r="N149" s="27" t="s">
        <v>2538</v>
      </c>
      <c r="O149" s="27" t="s">
        <v>2539</v>
      </c>
      <c r="Q149" s="27"/>
      <c r="R149" s="27"/>
      <c r="S149" s="27">
        <v>1800026004</v>
      </c>
      <c r="T149" s="27">
        <v>1900001198</v>
      </c>
      <c r="U149" s="27">
        <v>1900003085</v>
      </c>
      <c r="V149" s="27">
        <v>1900005031</v>
      </c>
      <c r="W149" s="27">
        <v>1900011253</v>
      </c>
      <c r="X149" s="27">
        <v>1900016154</v>
      </c>
      <c r="Y149" s="27">
        <v>1900017078</v>
      </c>
      <c r="Z149" s="27">
        <v>1900024340</v>
      </c>
      <c r="AA149" s="27">
        <v>1900030199</v>
      </c>
      <c r="AB149" s="27"/>
      <c r="AC149" s="27"/>
      <c r="AD149" s="27"/>
      <c r="AE149" s="27" t="s">
        <v>570</v>
      </c>
      <c r="AF149" s="27" t="s">
        <v>180</v>
      </c>
      <c r="AG149" s="27" t="s">
        <v>178</v>
      </c>
      <c r="AH149" s="27" t="s">
        <v>181</v>
      </c>
      <c r="AI149" s="27" t="s">
        <v>182</v>
      </c>
      <c r="AJ149" s="27" t="s">
        <v>531</v>
      </c>
      <c r="AK149" s="27" t="s">
        <v>183</v>
      </c>
      <c r="AL149" s="27" t="s">
        <v>924</v>
      </c>
      <c r="AM149" s="27" t="s">
        <v>184</v>
      </c>
      <c r="AP149" s="28"/>
      <c r="AQ149" s="28" t="s">
        <v>186</v>
      </c>
      <c r="AR149" s="28" t="s">
        <v>186</v>
      </c>
      <c r="AS149" s="28" t="s">
        <v>187</v>
      </c>
      <c r="AT149" s="28" t="s">
        <v>186</v>
      </c>
      <c r="AU149" s="28" t="s">
        <v>186</v>
      </c>
      <c r="AV149" s="28" t="s">
        <v>187</v>
      </c>
      <c r="AW149" s="28" t="s">
        <v>186</v>
      </c>
      <c r="AX149" s="28" t="s">
        <v>187</v>
      </c>
      <c r="AY149" s="28" t="s">
        <v>186</v>
      </c>
      <c r="BA149" s="28"/>
      <c r="BB149" s="28"/>
      <c r="BC149" s="28">
        <v>895326178265</v>
      </c>
      <c r="BD149" s="28">
        <v>85755242973</v>
      </c>
      <c r="BE149" s="28">
        <v>89527554921</v>
      </c>
      <c r="BF149" s="28">
        <v>85256673326</v>
      </c>
      <c r="BG149" s="28">
        <v>85238727770</v>
      </c>
      <c r="BH149" s="28">
        <v>81280711515</v>
      </c>
      <c r="BI149" s="28">
        <f>6289631692841</f>
        <v>6289631692841</v>
      </c>
      <c r="BJ149" s="28">
        <v>82179474131</v>
      </c>
      <c r="BK149" s="28">
        <v>881024710537</v>
      </c>
      <c r="BO149" s="39" t="s">
        <v>225</v>
      </c>
      <c r="BP149" s="18" t="s">
        <v>2540</v>
      </c>
      <c r="BQ149" s="37">
        <v>44957</v>
      </c>
      <c r="BR149" s="8">
        <f t="shared" si="0"/>
        <v>9</v>
      </c>
    </row>
    <row r="150" spans="1:70" ht="15.5">
      <c r="A150" s="4" t="str">
        <v>Reguler Periode ke-101 IV.B.3</v>
      </c>
      <c r="B150" s="4" t="s">
        <v>2073</v>
      </c>
      <c r="C150" s="38" t="s">
        <v>1157</v>
      </c>
      <c r="D150" s="4" t="s">
        <v>2518</v>
      </c>
      <c r="E150" s="4" t="s">
        <v>2541</v>
      </c>
      <c r="F150" s="4" t="s">
        <v>193</v>
      </c>
      <c r="G150" s="27" t="s">
        <v>2542</v>
      </c>
      <c r="H150" s="27" t="s">
        <v>2543</v>
      </c>
      <c r="I150" s="27" t="s">
        <v>2544</v>
      </c>
      <c r="J150" s="27" t="s">
        <v>2545</v>
      </c>
      <c r="K150" s="27" t="s">
        <v>2546</v>
      </c>
      <c r="L150" s="27" t="s">
        <v>2547</v>
      </c>
      <c r="M150" s="27" t="s">
        <v>2548</v>
      </c>
      <c r="N150" s="27" t="s">
        <v>2549</v>
      </c>
      <c r="O150" s="27" t="s">
        <v>2550</v>
      </c>
      <c r="Q150" s="27"/>
      <c r="R150" s="27"/>
      <c r="S150" s="27">
        <v>1900001208</v>
      </c>
      <c r="T150" s="27">
        <v>1900003095</v>
      </c>
      <c r="U150" s="27">
        <v>1900005307</v>
      </c>
      <c r="V150" s="27">
        <v>1900011348</v>
      </c>
      <c r="W150" s="27">
        <v>1900016060</v>
      </c>
      <c r="X150" s="27">
        <v>1900017011</v>
      </c>
      <c r="Y150" s="27">
        <v>1900024033</v>
      </c>
      <c r="Z150" s="27">
        <v>1900026081</v>
      </c>
      <c r="AA150" s="27">
        <v>1900030149</v>
      </c>
      <c r="AB150" s="27"/>
      <c r="AC150" s="27"/>
      <c r="AE150" s="27" t="s">
        <v>180</v>
      </c>
      <c r="AF150" s="27" t="s">
        <v>178</v>
      </c>
      <c r="AG150" s="27" t="s">
        <v>181</v>
      </c>
      <c r="AH150" s="27" t="s">
        <v>182</v>
      </c>
      <c r="AI150" s="27" t="s">
        <v>531</v>
      </c>
      <c r="AJ150" s="27" t="s">
        <v>183</v>
      </c>
      <c r="AK150" s="27" t="s">
        <v>924</v>
      </c>
      <c r="AL150" s="27" t="s">
        <v>570</v>
      </c>
      <c r="AM150" s="27" t="s">
        <v>184</v>
      </c>
      <c r="AP150" s="28"/>
      <c r="AQ150" s="28" t="s">
        <v>186</v>
      </c>
      <c r="AR150" s="28" t="s">
        <v>187</v>
      </c>
      <c r="AS150" s="28" t="s">
        <v>186</v>
      </c>
      <c r="AT150" s="28" t="s">
        <v>186</v>
      </c>
      <c r="AU150" s="28" t="s">
        <v>187</v>
      </c>
      <c r="AV150" s="28" t="s">
        <v>186</v>
      </c>
      <c r="AW150" s="28" t="s">
        <v>187</v>
      </c>
      <c r="AX150" s="28" t="s">
        <v>186</v>
      </c>
      <c r="AY150" s="28" t="s">
        <v>186</v>
      </c>
      <c r="BA150" s="4"/>
      <c r="BC150" s="28">
        <v>87833730188</v>
      </c>
      <c r="BD150" s="28">
        <v>82269924705</v>
      </c>
      <c r="BE150" s="28">
        <v>85337027572</v>
      </c>
      <c r="BF150" s="28">
        <v>81267668203</v>
      </c>
      <c r="BG150" s="28">
        <v>82134955263</v>
      </c>
      <c r="BH150" s="28">
        <v>81329235404</v>
      </c>
      <c r="BI150" s="28">
        <v>895613713600</v>
      </c>
      <c r="BJ150" s="28">
        <v>89530577676</v>
      </c>
      <c r="BK150" s="28">
        <v>89671395437</v>
      </c>
      <c r="BO150" s="39" t="s">
        <v>225</v>
      </c>
      <c r="BP150" s="18" t="s">
        <v>2551</v>
      </c>
      <c r="BQ150" s="37">
        <v>44957</v>
      </c>
      <c r="BR150" s="8">
        <f t="shared" si="0"/>
        <v>9</v>
      </c>
    </row>
    <row r="151" spans="1:70" ht="15.5">
      <c r="A151" s="4" t="str">
        <v>Reguler Periode ke-101 IV.C.1</v>
      </c>
      <c r="B151" s="4" t="s">
        <v>2073</v>
      </c>
      <c r="C151" s="38" t="s">
        <v>1179</v>
      </c>
      <c r="D151" s="4" t="s">
        <v>2552</v>
      </c>
      <c r="E151" s="4" t="s">
        <v>2553</v>
      </c>
      <c r="F151" s="4" t="s">
        <v>193</v>
      </c>
      <c r="G151" s="27" t="s">
        <v>2554</v>
      </c>
      <c r="H151" s="27" t="s">
        <v>2555</v>
      </c>
      <c r="I151" s="27" t="s">
        <v>2556</v>
      </c>
      <c r="J151" s="27" t="s">
        <v>2557</v>
      </c>
      <c r="K151" s="27" t="s">
        <v>2558</v>
      </c>
      <c r="L151" s="27" t="s">
        <v>2559</v>
      </c>
      <c r="M151" s="27" t="s">
        <v>2560</v>
      </c>
      <c r="N151" s="27" t="s">
        <v>2561</v>
      </c>
      <c r="O151" s="27" t="s">
        <v>2562</v>
      </c>
      <c r="Q151" s="27"/>
      <c r="S151" s="27">
        <v>1900001037</v>
      </c>
      <c r="T151" s="27">
        <v>1900003013</v>
      </c>
      <c r="U151" s="27">
        <v>1900005314</v>
      </c>
      <c r="V151" s="27">
        <v>1900011245</v>
      </c>
      <c r="W151" s="27">
        <v>1900016079</v>
      </c>
      <c r="X151" s="27">
        <v>1900018126</v>
      </c>
      <c r="Y151" s="27">
        <v>1900024305</v>
      </c>
      <c r="Z151" s="27">
        <v>1900026246</v>
      </c>
      <c r="AA151" s="27">
        <v>1900030040</v>
      </c>
      <c r="AB151" s="27"/>
      <c r="AC151" s="27"/>
      <c r="AE151" s="27" t="s">
        <v>180</v>
      </c>
      <c r="AF151" s="27" t="s">
        <v>178</v>
      </c>
      <c r="AG151" s="27" t="s">
        <v>181</v>
      </c>
      <c r="AH151" s="27" t="s">
        <v>182</v>
      </c>
      <c r="AI151" s="27" t="s">
        <v>531</v>
      </c>
      <c r="AJ151" s="27" t="s">
        <v>179</v>
      </c>
      <c r="AK151" s="27" t="s">
        <v>924</v>
      </c>
      <c r="AL151" s="27" t="s">
        <v>570</v>
      </c>
      <c r="AM151" s="27" t="s">
        <v>184</v>
      </c>
      <c r="AO151" s="28"/>
      <c r="AP151" s="28"/>
      <c r="AQ151" s="28" t="s">
        <v>186</v>
      </c>
      <c r="AR151" s="28" t="s">
        <v>187</v>
      </c>
      <c r="AS151" s="28" t="s">
        <v>186</v>
      </c>
      <c r="AT151" s="28" t="s">
        <v>186</v>
      </c>
      <c r="AU151" s="28" t="s">
        <v>187</v>
      </c>
      <c r="AV151" s="28" t="s">
        <v>186</v>
      </c>
      <c r="AW151" s="28" t="s">
        <v>187</v>
      </c>
      <c r="AX151" s="28" t="s">
        <v>186</v>
      </c>
      <c r="AY151" s="28" t="s">
        <v>186</v>
      </c>
      <c r="BA151" s="28"/>
      <c r="BB151" s="28"/>
      <c r="BC151" s="28">
        <v>82120053566</v>
      </c>
      <c r="BD151" s="28">
        <v>895335547494</v>
      </c>
      <c r="BE151" s="28">
        <v>82150910227</v>
      </c>
      <c r="BF151" s="28">
        <v>81296491986</v>
      </c>
      <c r="BG151" s="28">
        <v>87879787922</v>
      </c>
      <c r="BH151" s="28">
        <v>87738842376</v>
      </c>
      <c r="BI151" s="28">
        <v>85600831850</v>
      </c>
      <c r="BJ151" s="28">
        <v>895609989651</v>
      </c>
      <c r="BK151" s="28">
        <v>81228263785</v>
      </c>
      <c r="BO151" s="39">
        <v>60160933</v>
      </c>
      <c r="BP151" s="18" t="s">
        <v>2563</v>
      </c>
      <c r="BQ151" s="37">
        <v>44957</v>
      </c>
      <c r="BR151" s="8">
        <f t="shared" si="0"/>
        <v>9</v>
      </c>
    </row>
    <row r="152" spans="1:70" ht="15.5">
      <c r="A152" s="4" t="str">
        <v>Reguler Periode ke-101 IV.C.2</v>
      </c>
      <c r="B152" s="4" t="s">
        <v>2073</v>
      </c>
      <c r="C152" s="38" t="s">
        <v>1201</v>
      </c>
      <c r="D152" s="4" t="s">
        <v>2552</v>
      </c>
      <c r="E152" s="4" t="s">
        <v>2564</v>
      </c>
      <c r="F152" s="4" t="s">
        <v>193</v>
      </c>
      <c r="G152" s="27" t="s">
        <v>2565</v>
      </c>
      <c r="H152" s="27" t="s">
        <v>2566</v>
      </c>
      <c r="I152" s="27" t="s">
        <v>2567</v>
      </c>
      <c r="J152" s="27" t="s">
        <v>2568</v>
      </c>
      <c r="K152" s="27" t="s">
        <v>2569</v>
      </c>
      <c r="L152" s="27" t="s">
        <v>2570</v>
      </c>
      <c r="M152" s="27" t="s">
        <v>2571</v>
      </c>
      <c r="N152" s="27" t="s">
        <v>2572</v>
      </c>
      <c r="O152" s="27" t="s">
        <v>2573</v>
      </c>
      <c r="Q152" s="27"/>
      <c r="R152" s="27"/>
      <c r="S152" s="27">
        <v>1900001241</v>
      </c>
      <c r="T152" s="27">
        <v>1900003147</v>
      </c>
      <c r="U152" s="27">
        <v>1900005048</v>
      </c>
      <c r="V152" s="27">
        <v>1900011352</v>
      </c>
      <c r="W152" s="27">
        <v>1900016044</v>
      </c>
      <c r="X152" s="27">
        <v>1900018261</v>
      </c>
      <c r="Y152" s="27">
        <v>1900024273</v>
      </c>
      <c r="Z152" s="27">
        <v>1900026153</v>
      </c>
      <c r="AA152" s="27">
        <v>1900030003</v>
      </c>
      <c r="AB152" s="27"/>
      <c r="AC152" s="27"/>
      <c r="AD152" s="27"/>
      <c r="AE152" s="27" t="s">
        <v>180</v>
      </c>
      <c r="AF152" s="27" t="s">
        <v>178</v>
      </c>
      <c r="AG152" s="27" t="s">
        <v>181</v>
      </c>
      <c r="AH152" s="27" t="s">
        <v>182</v>
      </c>
      <c r="AI152" s="27" t="s">
        <v>531</v>
      </c>
      <c r="AJ152" s="27" t="s">
        <v>179</v>
      </c>
      <c r="AK152" s="27" t="s">
        <v>924</v>
      </c>
      <c r="AL152" s="27" t="s">
        <v>570</v>
      </c>
      <c r="AM152" s="27" t="s">
        <v>184</v>
      </c>
      <c r="AO152" s="28"/>
      <c r="AP152" s="28"/>
      <c r="AQ152" s="28" t="s">
        <v>186</v>
      </c>
      <c r="AR152" s="28" t="s">
        <v>187</v>
      </c>
      <c r="AS152" s="28" t="s">
        <v>186</v>
      </c>
      <c r="AT152" s="28" t="s">
        <v>186</v>
      </c>
      <c r="AU152" s="28" t="s">
        <v>187</v>
      </c>
      <c r="AV152" s="28" t="s">
        <v>186</v>
      </c>
      <c r="AW152" s="28" t="s">
        <v>187</v>
      </c>
      <c r="AX152" s="28" t="s">
        <v>186</v>
      </c>
      <c r="AY152" s="28" t="s">
        <v>186</v>
      </c>
      <c r="BA152" s="28"/>
      <c r="BB152" s="28"/>
      <c r="BC152" s="28">
        <v>81556966910</v>
      </c>
      <c r="BD152" s="28">
        <v>83838718946</v>
      </c>
      <c r="BE152" s="28">
        <v>87719782148</v>
      </c>
      <c r="BF152" s="28">
        <v>81573337162</v>
      </c>
      <c r="BG152" s="28">
        <v>82279133745</v>
      </c>
      <c r="BH152" s="28">
        <v>8985323578</v>
      </c>
      <c r="BI152" s="28">
        <v>82226087776</v>
      </c>
      <c r="BJ152" s="28">
        <v>81379255922</v>
      </c>
      <c r="BK152" s="28">
        <v>89607018253</v>
      </c>
      <c r="BO152" s="39">
        <v>60160933</v>
      </c>
      <c r="BP152" s="18" t="s">
        <v>2574</v>
      </c>
      <c r="BQ152" s="37">
        <v>44957</v>
      </c>
      <c r="BR152" s="8">
        <f t="shared" si="0"/>
        <v>9</v>
      </c>
    </row>
    <row r="153" spans="1:70" ht="15.5">
      <c r="A153" s="4" t="str">
        <v>Reguler Periode ke-101 IV.C.3</v>
      </c>
      <c r="B153" s="4" t="s">
        <v>2073</v>
      </c>
      <c r="C153" s="38" t="s">
        <v>1222</v>
      </c>
      <c r="D153" s="4" t="s">
        <v>2552</v>
      </c>
      <c r="E153" s="4" t="s">
        <v>2575</v>
      </c>
      <c r="F153" s="4" t="s">
        <v>193</v>
      </c>
      <c r="G153" s="27" t="s">
        <v>2576</v>
      </c>
      <c r="H153" s="27" t="s">
        <v>2577</v>
      </c>
      <c r="I153" s="27" t="s">
        <v>2578</v>
      </c>
      <c r="J153" s="27" t="s">
        <v>2579</v>
      </c>
      <c r="K153" s="27" t="s">
        <v>2580</v>
      </c>
      <c r="L153" s="27" t="s">
        <v>2581</v>
      </c>
      <c r="M153" s="27" t="s">
        <v>2582</v>
      </c>
      <c r="N153" s="27" t="s">
        <v>2583</v>
      </c>
      <c r="O153" s="27" t="s">
        <v>2584</v>
      </c>
      <c r="Q153" s="27"/>
      <c r="S153" s="27">
        <v>1900001119</v>
      </c>
      <c r="T153" s="27">
        <v>1900003150</v>
      </c>
      <c r="U153" s="27">
        <v>1900005149</v>
      </c>
      <c r="V153" s="27">
        <v>1900011262</v>
      </c>
      <c r="W153" s="27">
        <v>1900016105</v>
      </c>
      <c r="X153" s="27">
        <v>1900018055</v>
      </c>
      <c r="Y153" s="27">
        <v>1900024211</v>
      </c>
      <c r="Z153" s="27">
        <v>1900026134</v>
      </c>
      <c r="AA153" s="27">
        <v>1900030215</v>
      </c>
      <c r="AB153" s="27"/>
      <c r="AC153" s="27"/>
      <c r="AD153" s="27"/>
      <c r="AE153" s="27" t="s">
        <v>180</v>
      </c>
      <c r="AF153" s="27" t="s">
        <v>178</v>
      </c>
      <c r="AG153" s="27" t="s">
        <v>181</v>
      </c>
      <c r="AH153" s="27" t="s">
        <v>182</v>
      </c>
      <c r="AI153" s="27" t="s">
        <v>531</v>
      </c>
      <c r="AJ153" s="27" t="s">
        <v>179</v>
      </c>
      <c r="AK153" s="27" t="s">
        <v>924</v>
      </c>
      <c r="AL153" s="27" t="s">
        <v>570</v>
      </c>
      <c r="AM153" s="27" t="s">
        <v>184</v>
      </c>
      <c r="AO153" s="28"/>
      <c r="AP153" s="28"/>
      <c r="AQ153" s="28" t="s">
        <v>186</v>
      </c>
      <c r="AR153" s="28" t="s">
        <v>187</v>
      </c>
      <c r="AS153" s="28" t="s">
        <v>186</v>
      </c>
      <c r="AT153" s="28" t="s">
        <v>186</v>
      </c>
      <c r="AU153" s="28" t="s">
        <v>187</v>
      </c>
      <c r="AV153" s="28" t="s">
        <v>186</v>
      </c>
      <c r="AW153" s="28" t="s">
        <v>187</v>
      </c>
      <c r="AX153" s="28" t="s">
        <v>186</v>
      </c>
      <c r="AY153" s="28" t="s">
        <v>186</v>
      </c>
      <c r="BA153" s="28"/>
      <c r="BB153" s="28"/>
      <c r="BC153" s="28">
        <v>81217375337</v>
      </c>
      <c r="BD153" s="28">
        <v>895413643636</v>
      </c>
      <c r="BE153" s="28">
        <v>82186808825</v>
      </c>
      <c r="BF153" s="28">
        <v>85604993313</v>
      </c>
      <c r="BG153" s="28">
        <v>82135526352</v>
      </c>
      <c r="BH153" s="28">
        <v>82291321436</v>
      </c>
      <c r="BI153" s="28">
        <v>81271896368</v>
      </c>
      <c r="BJ153" s="28">
        <v>81275752121</v>
      </c>
      <c r="BK153" s="28">
        <v>85159970202</v>
      </c>
      <c r="BO153" s="39">
        <v>60160933</v>
      </c>
      <c r="BP153" s="18" t="s">
        <v>2585</v>
      </c>
      <c r="BQ153" s="37">
        <v>44957</v>
      </c>
      <c r="BR153" s="8">
        <f t="shared" si="0"/>
        <v>9</v>
      </c>
    </row>
    <row r="154" spans="1:70" ht="15.5">
      <c r="A154" s="4" t="str">
        <v>Reguler Periode ke-101 IV.D.1</v>
      </c>
      <c r="B154" s="4" t="s">
        <v>2073</v>
      </c>
      <c r="C154" s="38" t="s">
        <v>1243</v>
      </c>
      <c r="D154" s="4" t="s">
        <v>242</v>
      </c>
      <c r="E154" s="4" t="s">
        <v>2586</v>
      </c>
      <c r="F154" s="4" t="s">
        <v>193</v>
      </c>
      <c r="G154" s="27" t="s">
        <v>2587</v>
      </c>
      <c r="H154" s="27" t="s">
        <v>2588</v>
      </c>
      <c r="I154" s="27" t="s">
        <v>2589</v>
      </c>
      <c r="J154" s="27" t="s">
        <v>2590</v>
      </c>
      <c r="K154" s="27" t="s">
        <v>2591</v>
      </c>
      <c r="L154" s="27" t="s">
        <v>2592</v>
      </c>
      <c r="M154" s="27" t="s">
        <v>2593</v>
      </c>
      <c r="N154" s="27" t="s">
        <v>2594</v>
      </c>
      <c r="O154" s="27" t="s">
        <v>2595</v>
      </c>
      <c r="Q154" s="27"/>
      <c r="R154" s="27"/>
      <c r="S154" s="27">
        <v>1900001178</v>
      </c>
      <c r="T154" s="27">
        <v>1900003079</v>
      </c>
      <c r="U154" s="27">
        <v>1900005367</v>
      </c>
      <c r="V154" s="27">
        <v>1900011145</v>
      </c>
      <c r="W154" s="27">
        <v>1900016120</v>
      </c>
      <c r="X154" s="27">
        <v>1900018061</v>
      </c>
      <c r="Y154" s="27">
        <v>1900024349</v>
      </c>
      <c r="Z154" s="27">
        <v>1900026037</v>
      </c>
      <c r="AA154" s="27">
        <v>1900030013</v>
      </c>
      <c r="AB154" s="27"/>
      <c r="AD154" s="27"/>
      <c r="AE154" s="27" t="s">
        <v>180</v>
      </c>
      <c r="AF154" s="27" t="s">
        <v>178</v>
      </c>
      <c r="AG154" s="27" t="s">
        <v>181</v>
      </c>
      <c r="AH154" s="27" t="s">
        <v>182</v>
      </c>
      <c r="AI154" s="27" t="s">
        <v>531</v>
      </c>
      <c r="AJ154" s="27" t="s">
        <v>179</v>
      </c>
      <c r="AK154" s="27" t="s">
        <v>924</v>
      </c>
      <c r="AL154" s="27" t="s">
        <v>570</v>
      </c>
      <c r="AM154" s="27" t="s">
        <v>184</v>
      </c>
      <c r="AO154" s="28"/>
      <c r="AQ154" s="28" t="s">
        <v>186</v>
      </c>
      <c r="AR154" s="28" t="s">
        <v>187</v>
      </c>
      <c r="AS154" s="28" t="s">
        <v>186</v>
      </c>
      <c r="AT154" s="28" t="s">
        <v>186</v>
      </c>
      <c r="AU154" s="28" t="s">
        <v>187</v>
      </c>
      <c r="AV154" s="28" t="s">
        <v>186</v>
      </c>
      <c r="AW154" s="28" t="s">
        <v>187</v>
      </c>
      <c r="AX154" s="28" t="s">
        <v>186</v>
      </c>
      <c r="AY154" s="28" t="s">
        <v>186</v>
      </c>
      <c r="BA154" s="28"/>
      <c r="BB154" s="28"/>
      <c r="BC154" s="28">
        <v>82120038464</v>
      </c>
      <c r="BD154" s="28">
        <v>81326019320</v>
      </c>
      <c r="BE154" s="28">
        <v>81949921685</v>
      </c>
      <c r="BF154" s="28">
        <v>81223281270</v>
      </c>
      <c r="BG154" s="28">
        <v>81330217821</v>
      </c>
      <c r="BH154" s="28">
        <v>81916903892</v>
      </c>
      <c r="BI154" s="28">
        <v>85727514592</v>
      </c>
      <c r="BJ154" s="28">
        <v>81273141254</v>
      </c>
      <c r="BK154" s="28">
        <v>82140932543</v>
      </c>
      <c r="BO154" s="39">
        <v>60201249</v>
      </c>
      <c r="BP154" s="18" t="s">
        <v>2596</v>
      </c>
      <c r="BQ154" s="37">
        <v>44957</v>
      </c>
      <c r="BR154" s="8">
        <f t="shared" si="0"/>
        <v>9</v>
      </c>
    </row>
    <row r="155" spans="1:70" ht="15.5">
      <c r="A155" s="4" t="str">
        <v>Reguler Periode ke-101 IV.D.2</v>
      </c>
      <c r="B155" s="4" t="s">
        <v>2073</v>
      </c>
      <c r="C155" s="38" t="s">
        <v>1265</v>
      </c>
      <c r="D155" s="4" t="s">
        <v>242</v>
      </c>
      <c r="E155" s="4" t="s">
        <v>2597</v>
      </c>
      <c r="F155" s="4" t="s">
        <v>193</v>
      </c>
      <c r="G155" s="27" t="s">
        <v>2598</v>
      </c>
      <c r="H155" s="27" t="s">
        <v>2599</v>
      </c>
      <c r="I155" s="27" t="s">
        <v>2600</v>
      </c>
      <c r="J155" s="27" t="s">
        <v>2601</v>
      </c>
      <c r="K155" s="27" t="s">
        <v>2602</v>
      </c>
      <c r="L155" s="27" t="s">
        <v>2603</v>
      </c>
      <c r="M155" s="27" t="s">
        <v>2604</v>
      </c>
      <c r="N155" s="27" t="s">
        <v>2605</v>
      </c>
      <c r="O155" s="27" t="s">
        <v>2606</v>
      </c>
      <c r="R155" s="27"/>
      <c r="S155" s="27">
        <v>1900001020</v>
      </c>
      <c r="T155" s="27">
        <v>1900003030</v>
      </c>
      <c r="U155" s="27">
        <v>1900005116</v>
      </c>
      <c r="V155" s="27">
        <v>1900011164</v>
      </c>
      <c r="W155" s="27">
        <v>1900016037</v>
      </c>
      <c r="X155" s="27">
        <v>1900018007</v>
      </c>
      <c r="Y155" s="27">
        <v>1900024144</v>
      </c>
      <c r="Z155" s="27">
        <v>1900026215</v>
      </c>
      <c r="AA155" s="27">
        <v>1900030321</v>
      </c>
      <c r="AC155" s="27"/>
      <c r="AE155" s="27" t="s">
        <v>180</v>
      </c>
      <c r="AF155" s="27" t="s">
        <v>178</v>
      </c>
      <c r="AG155" s="27" t="s">
        <v>181</v>
      </c>
      <c r="AH155" s="27" t="s">
        <v>182</v>
      </c>
      <c r="AI155" s="27" t="s">
        <v>531</v>
      </c>
      <c r="AJ155" s="27" t="s">
        <v>179</v>
      </c>
      <c r="AK155" s="27" t="s">
        <v>924</v>
      </c>
      <c r="AL155" s="27" t="s">
        <v>570</v>
      </c>
      <c r="AM155" s="27" t="s">
        <v>184</v>
      </c>
      <c r="AP155" s="28"/>
      <c r="AQ155" s="28" t="s">
        <v>186</v>
      </c>
      <c r="AR155" s="28" t="s">
        <v>187</v>
      </c>
      <c r="AS155" s="28" t="s">
        <v>186</v>
      </c>
      <c r="AT155" s="28" t="s">
        <v>186</v>
      </c>
      <c r="AU155" s="28" t="s">
        <v>187</v>
      </c>
      <c r="AV155" s="28" t="s">
        <v>186</v>
      </c>
      <c r="AW155" s="28" t="s">
        <v>187</v>
      </c>
      <c r="AX155" s="28" t="s">
        <v>186</v>
      </c>
      <c r="AY155" s="28" t="s">
        <v>186</v>
      </c>
      <c r="BA155" s="28"/>
      <c r="BC155" s="28" t="s">
        <v>2607</v>
      </c>
      <c r="BD155" s="28">
        <v>88224160948</v>
      </c>
      <c r="BE155" s="28">
        <v>81234299237</v>
      </c>
      <c r="BF155" s="28">
        <v>81326570391</v>
      </c>
      <c r="BG155" s="28">
        <v>82342042271</v>
      </c>
      <c r="BH155" s="28">
        <v>89509065486</v>
      </c>
      <c r="BI155" s="28">
        <v>81333071916</v>
      </c>
      <c r="BJ155" s="28">
        <v>82134186779</v>
      </c>
      <c r="BK155" s="28" t="s">
        <v>2608</v>
      </c>
      <c r="BO155" s="39">
        <v>60201249</v>
      </c>
      <c r="BP155" s="18" t="s">
        <v>2609</v>
      </c>
      <c r="BQ155" s="37">
        <v>44957</v>
      </c>
      <c r="BR155" s="8">
        <f t="shared" si="0"/>
        <v>9</v>
      </c>
    </row>
    <row r="156" spans="1:70" ht="15.5">
      <c r="A156" s="4" t="str">
        <v>Reguler Periode ke-101 IV.D.3</v>
      </c>
      <c r="B156" s="4" t="s">
        <v>2073</v>
      </c>
      <c r="C156" s="38" t="s">
        <v>1286</v>
      </c>
      <c r="D156" s="4" t="s">
        <v>242</v>
      </c>
      <c r="E156" s="4" t="s">
        <v>2610</v>
      </c>
      <c r="F156" s="4" t="s">
        <v>193</v>
      </c>
      <c r="G156" s="27" t="s">
        <v>2611</v>
      </c>
      <c r="H156" s="27" t="s">
        <v>2612</v>
      </c>
      <c r="I156" s="27" t="s">
        <v>2613</v>
      </c>
      <c r="J156" s="27" t="s">
        <v>2614</v>
      </c>
      <c r="K156" s="27" t="s">
        <v>2615</v>
      </c>
      <c r="L156" s="27" t="s">
        <v>2616</v>
      </c>
      <c r="M156" s="27" t="s">
        <v>2617</v>
      </c>
      <c r="N156" s="27" t="s">
        <v>2618</v>
      </c>
      <c r="O156" s="27" t="s">
        <v>2619</v>
      </c>
      <c r="R156" s="27"/>
      <c r="S156" s="27">
        <v>1900001105</v>
      </c>
      <c r="T156" s="27">
        <v>1900004020</v>
      </c>
      <c r="U156" s="27">
        <v>1900005143</v>
      </c>
      <c r="V156" s="27">
        <v>1900011212</v>
      </c>
      <c r="W156" s="27">
        <v>1900016163</v>
      </c>
      <c r="X156" s="27">
        <v>1900018248</v>
      </c>
      <c r="Y156" s="27">
        <v>1900024030</v>
      </c>
      <c r="Z156" s="27">
        <v>1900026198</v>
      </c>
      <c r="AA156" s="27">
        <v>1900030226</v>
      </c>
      <c r="AC156" s="27"/>
      <c r="AD156" s="27"/>
      <c r="AE156" s="27" t="s">
        <v>180</v>
      </c>
      <c r="AF156" s="27" t="s">
        <v>201</v>
      </c>
      <c r="AG156" s="27" t="s">
        <v>181</v>
      </c>
      <c r="AH156" s="27" t="s">
        <v>182</v>
      </c>
      <c r="AI156" s="27" t="s">
        <v>531</v>
      </c>
      <c r="AJ156" s="27" t="s">
        <v>179</v>
      </c>
      <c r="AK156" s="27" t="s">
        <v>924</v>
      </c>
      <c r="AL156" s="27" t="s">
        <v>570</v>
      </c>
      <c r="AM156" s="27" t="s">
        <v>184</v>
      </c>
      <c r="AO156" s="28"/>
      <c r="AP156" s="28"/>
      <c r="AQ156" s="28" t="s">
        <v>186</v>
      </c>
      <c r="AR156" s="28" t="s">
        <v>187</v>
      </c>
      <c r="AS156" s="28" t="s">
        <v>186</v>
      </c>
      <c r="AT156" s="28" t="s">
        <v>186</v>
      </c>
      <c r="AU156" s="28" t="s">
        <v>187</v>
      </c>
      <c r="AV156" s="28" t="s">
        <v>186</v>
      </c>
      <c r="AW156" s="28" t="s">
        <v>187</v>
      </c>
      <c r="AX156" s="28" t="s">
        <v>186</v>
      </c>
      <c r="AY156" s="28" t="s">
        <v>186</v>
      </c>
      <c r="BA156" s="28"/>
      <c r="BB156" s="28"/>
      <c r="BC156" s="28">
        <v>81522506829</v>
      </c>
      <c r="BD156" s="28">
        <v>85810470914</v>
      </c>
      <c r="BE156" s="28">
        <v>859130972188</v>
      </c>
      <c r="BF156" s="28">
        <v>82149803772</v>
      </c>
      <c r="BG156" s="28">
        <v>88224150249</v>
      </c>
      <c r="BH156" s="28">
        <v>85238213927</v>
      </c>
      <c r="BI156" s="28">
        <v>82346308390</v>
      </c>
      <c r="BJ156" s="28">
        <v>85731139088</v>
      </c>
      <c r="BK156" s="28">
        <v>81227467455</v>
      </c>
      <c r="BO156" s="39">
        <v>60201249</v>
      </c>
      <c r="BP156" s="18" t="s">
        <v>2620</v>
      </c>
      <c r="BQ156" s="37">
        <v>44957</v>
      </c>
      <c r="BR156" s="8">
        <f t="shared" si="0"/>
        <v>9</v>
      </c>
    </row>
    <row r="157" spans="1:70" ht="15.5">
      <c r="A157" s="4" t="str">
        <v>Reguler Periode ke-101 V.A.1</v>
      </c>
      <c r="B157" s="4" t="s">
        <v>2073</v>
      </c>
      <c r="C157" s="38" t="s">
        <v>1328</v>
      </c>
      <c r="D157" s="4" t="s">
        <v>2621</v>
      </c>
      <c r="E157" s="4" t="s">
        <v>2622</v>
      </c>
      <c r="F157" s="4" t="s">
        <v>193</v>
      </c>
      <c r="G157" s="27" t="s">
        <v>2623</v>
      </c>
      <c r="H157" s="27" t="s">
        <v>2624</v>
      </c>
      <c r="I157" s="27" t="s">
        <v>2625</v>
      </c>
      <c r="J157" s="27" t="s">
        <v>2626</v>
      </c>
      <c r="K157" s="27" t="s">
        <v>2627</v>
      </c>
      <c r="L157" s="27" t="s">
        <v>2628</v>
      </c>
      <c r="M157" s="27" t="s">
        <v>2629</v>
      </c>
      <c r="N157" s="27" t="s">
        <v>2630</v>
      </c>
      <c r="O157" s="27" t="s">
        <v>2631</v>
      </c>
      <c r="S157" s="27">
        <v>1800024088</v>
      </c>
      <c r="T157" s="27">
        <v>1900001171</v>
      </c>
      <c r="U157" s="27">
        <v>1900004138</v>
      </c>
      <c r="V157" s="27">
        <v>1900005349</v>
      </c>
      <c r="W157" s="27">
        <v>1900011369</v>
      </c>
      <c r="X157" s="27">
        <v>1900016004</v>
      </c>
      <c r="Y157" s="27">
        <v>1900018080</v>
      </c>
      <c r="Z157" s="27">
        <v>1900026277</v>
      </c>
      <c r="AA157" s="27">
        <v>1900030252</v>
      </c>
      <c r="AC157" s="27"/>
      <c r="AE157" s="27" t="s">
        <v>924</v>
      </c>
      <c r="AF157" s="27" t="s">
        <v>180</v>
      </c>
      <c r="AG157" s="27" t="s">
        <v>201</v>
      </c>
      <c r="AH157" s="27" t="s">
        <v>181</v>
      </c>
      <c r="AI157" s="27" t="s">
        <v>182</v>
      </c>
      <c r="AJ157" s="27" t="s">
        <v>531</v>
      </c>
      <c r="AK157" s="27" t="s">
        <v>179</v>
      </c>
      <c r="AL157" s="27" t="s">
        <v>570</v>
      </c>
      <c r="AM157" s="27" t="s">
        <v>184</v>
      </c>
      <c r="AO157" s="28"/>
      <c r="AP157" s="28"/>
      <c r="AQ157" s="28" t="s">
        <v>187</v>
      </c>
      <c r="AR157" s="28" t="s">
        <v>186</v>
      </c>
      <c r="AS157" s="28" t="s">
        <v>187</v>
      </c>
      <c r="AT157" s="28" t="s">
        <v>186</v>
      </c>
      <c r="AU157" s="28" t="s">
        <v>186</v>
      </c>
      <c r="AV157" s="28" t="s">
        <v>187</v>
      </c>
      <c r="AW157" s="28" t="s">
        <v>186</v>
      </c>
      <c r="AX157" s="28" t="s">
        <v>186</v>
      </c>
      <c r="AY157" s="28" t="s">
        <v>186</v>
      </c>
      <c r="BA157" s="28"/>
      <c r="BB157" s="28"/>
      <c r="BC157" s="28">
        <v>85338818600</v>
      </c>
      <c r="BD157" s="28">
        <v>85869507088</v>
      </c>
      <c r="BE157" s="28">
        <v>87745448956</v>
      </c>
      <c r="BF157" s="28">
        <v>81336953279</v>
      </c>
      <c r="BG157" s="28">
        <v>85878861759</v>
      </c>
      <c r="BH157" s="28">
        <v>81228881335</v>
      </c>
      <c r="BI157" s="28">
        <v>81238743430</v>
      </c>
      <c r="BJ157" s="28">
        <v>81237522590</v>
      </c>
      <c r="BK157" s="28">
        <v>81325136511</v>
      </c>
      <c r="BO157" s="39">
        <v>60130753</v>
      </c>
      <c r="BP157" s="18" t="s">
        <v>2632</v>
      </c>
      <c r="BQ157" s="37">
        <v>44957</v>
      </c>
      <c r="BR157" s="8">
        <f t="shared" si="0"/>
        <v>9</v>
      </c>
    </row>
    <row r="158" spans="1:70" ht="15.5">
      <c r="A158" s="4" t="str">
        <v>Reguler Periode ke-101 V.A.2</v>
      </c>
      <c r="B158" s="4" t="s">
        <v>2073</v>
      </c>
      <c r="C158" s="38" t="s">
        <v>1350</v>
      </c>
      <c r="D158" s="4" t="s">
        <v>2621</v>
      </c>
      <c r="E158" s="4" t="s">
        <v>2633</v>
      </c>
      <c r="F158" s="4" t="s">
        <v>193</v>
      </c>
      <c r="G158" s="27" t="s">
        <v>2634</v>
      </c>
      <c r="H158" s="27" t="s">
        <v>2635</v>
      </c>
      <c r="I158" s="27" t="s">
        <v>2636</v>
      </c>
      <c r="J158" s="27" t="s">
        <v>2637</v>
      </c>
      <c r="K158" s="27" t="s">
        <v>2638</v>
      </c>
      <c r="L158" s="27" t="s">
        <v>2639</v>
      </c>
      <c r="M158" s="27" t="s">
        <v>2640</v>
      </c>
      <c r="N158" s="27" t="s">
        <v>2641</v>
      </c>
      <c r="O158" s="27" t="s">
        <v>2642</v>
      </c>
      <c r="R158" s="27"/>
      <c r="S158" s="27">
        <v>1800005331</v>
      </c>
      <c r="T158" s="27">
        <v>1900001205</v>
      </c>
      <c r="U158" s="27">
        <v>1900004111</v>
      </c>
      <c r="V158" s="27">
        <v>1900011231</v>
      </c>
      <c r="W158" s="27">
        <v>1900016010</v>
      </c>
      <c r="X158" s="27">
        <v>1900018312</v>
      </c>
      <c r="Y158" s="27">
        <v>1900024265</v>
      </c>
      <c r="Z158" s="27">
        <v>1900026046</v>
      </c>
      <c r="AA158" s="27">
        <v>1900030142</v>
      </c>
      <c r="AC158" s="27"/>
      <c r="AD158" s="27"/>
      <c r="AE158" s="27" t="s">
        <v>181</v>
      </c>
      <c r="AF158" s="27" t="s">
        <v>180</v>
      </c>
      <c r="AG158" s="27" t="s">
        <v>201</v>
      </c>
      <c r="AH158" s="27" t="s">
        <v>182</v>
      </c>
      <c r="AI158" s="27" t="s">
        <v>531</v>
      </c>
      <c r="AJ158" s="27" t="s">
        <v>179</v>
      </c>
      <c r="AK158" s="27" t="s">
        <v>924</v>
      </c>
      <c r="AL158" s="27" t="s">
        <v>570</v>
      </c>
      <c r="AM158" s="27" t="s">
        <v>184</v>
      </c>
      <c r="AO158" s="28"/>
      <c r="AP158" s="28"/>
      <c r="AQ158" s="28" t="s">
        <v>186</v>
      </c>
      <c r="AR158" s="28" t="s">
        <v>186</v>
      </c>
      <c r="AS158" s="28" t="s">
        <v>187</v>
      </c>
      <c r="AT158" s="28" t="s">
        <v>186</v>
      </c>
      <c r="AU158" s="28" t="s">
        <v>187</v>
      </c>
      <c r="AV158" s="28" t="s">
        <v>186</v>
      </c>
      <c r="AW158" s="28" t="s">
        <v>187</v>
      </c>
      <c r="AX158" s="28" t="s">
        <v>186</v>
      </c>
      <c r="AY158" s="28" t="s">
        <v>186</v>
      </c>
      <c r="BA158" s="28"/>
      <c r="BC158" s="28">
        <v>895363155716</v>
      </c>
      <c r="BD158" s="28">
        <v>82218858629</v>
      </c>
      <c r="BE158" s="28">
        <v>81272888553</v>
      </c>
      <c r="BF158" s="28">
        <v>82112129872</v>
      </c>
      <c r="BG158" s="28">
        <v>82230360123</v>
      </c>
      <c r="BH158" s="28">
        <v>81377744268</v>
      </c>
      <c r="BI158" s="28">
        <v>85951636401</v>
      </c>
      <c r="BJ158" s="28">
        <v>85728564059</v>
      </c>
      <c r="BK158" s="28">
        <v>89670591219</v>
      </c>
      <c r="BO158" s="39">
        <v>60130753</v>
      </c>
      <c r="BP158" s="18" t="s">
        <v>2643</v>
      </c>
      <c r="BQ158" s="37">
        <v>44957</v>
      </c>
      <c r="BR158" s="8">
        <f t="shared" si="0"/>
        <v>9</v>
      </c>
    </row>
    <row r="159" spans="1:70" ht="15.5">
      <c r="A159" s="4" t="str">
        <v>Reguler Periode ke-101 V.A.3</v>
      </c>
      <c r="B159" s="4" t="s">
        <v>2073</v>
      </c>
      <c r="C159" s="38" t="s">
        <v>1371</v>
      </c>
      <c r="D159" s="4" t="s">
        <v>2621</v>
      </c>
      <c r="E159" s="4" t="s">
        <v>2644</v>
      </c>
      <c r="F159" s="4" t="s">
        <v>193</v>
      </c>
      <c r="G159" s="27" t="s">
        <v>2645</v>
      </c>
      <c r="H159" s="27" t="s">
        <v>2646</v>
      </c>
      <c r="I159" s="27" t="s">
        <v>2647</v>
      </c>
      <c r="J159" s="27" t="s">
        <v>2648</v>
      </c>
      <c r="K159" s="27" t="s">
        <v>2649</v>
      </c>
      <c r="L159" s="27" t="s">
        <v>2650</v>
      </c>
      <c r="M159" s="27" t="s">
        <v>2651</v>
      </c>
      <c r="N159" s="27" t="s">
        <v>2652</v>
      </c>
      <c r="O159" s="27" t="s">
        <v>2653</v>
      </c>
      <c r="R159" s="27"/>
      <c r="S159" s="27">
        <v>1900001189</v>
      </c>
      <c r="T159" s="27">
        <v>1900004007</v>
      </c>
      <c r="U159" s="27">
        <v>1900005223</v>
      </c>
      <c r="V159" s="27">
        <v>1900012253</v>
      </c>
      <c r="W159" s="27">
        <v>1900016041</v>
      </c>
      <c r="X159" s="27">
        <v>1900018059</v>
      </c>
      <c r="Y159" s="27">
        <v>1900024052</v>
      </c>
      <c r="Z159" s="27">
        <v>1900026090</v>
      </c>
      <c r="AA159" s="27">
        <v>1900030397</v>
      </c>
      <c r="AC159" s="27"/>
      <c r="AE159" s="27" t="s">
        <v>180</v>
      </c>
      <c r="AF159" s="27" t="s">
        <v>201</v>
      </c>
      <c r="AG159" s="27" t="s">
        <v>181</v>
      </c>
      <c r="AH159" s="27" t="s">
        <v>885</v>
      </c>
      <c r="AI159" s="27" t="s">
        <v>531</v>
      </c>
      <c r="AJ159" s="27" t="s">
        <v>179</v>
      </c>
      <c r="AK159" s="27" t="s">
        <v>924</v>
      </c>
      <c r="AL159" s="27" t="s">
        <v>570</v>
      </c>
      <c r="AM159" s="27" t="s">
        <v>184</v>
      </c>
      <c r="AO159" s="28"/>
      <c r="AP159" s="28"/>
      <c r="AQ159" s="28" t="s">
        <v>186</v>
      </c>
      <c r="AR159" s="28" t="s">
        <v>187</v>
      </c>
      <c r="AS159" s="28" t="s">
        <v>186</v>
      </c>
      <c r="AT159" s="28" t="s">
        <v>186</v>
      </c>
      <c r="AU159" s="28" t="s">
        <v>187</v>
      </c>
      <c r="AV159" s="28" t="s">
        <v>186</v>
      </c>
      <c r="AW159" s="28" t="s">
        <v>187</v>
      </c>
      <c r="AX159" s="28" t="s">
        <v>186</v>
      </c>
      <c r="AY159" s="28" t="s">
        <v>186</v>
      </c>
      <c r="BA159" s="28"/>
      <c r="BB159" s="28"/>
      <c r="BC159" s="28">
        <v>81542144502</v>
      </c>
      <c r="BD159" s="28">
        <v>85210446863</v>
      </c>
      <c r="BE159" s="28">
        <v>895340072056</v>
      </c>
      <c r="BF159" s="28">
        <v>83802778032</v>
      </c>
      <c r="BG159" s="28">
        <v>85217337802</v>
      </c>
      <c r="BH159" s="28">
        <v>895428611789</v>
      </c>
      <c r="BI159" s="28">
        <v>87828332088</v>
      </c>
      <c r="BJ159" s="28">
        <v>81273898271</v>
      </c>
      <c r="BK159" s="28">
        <v>81227311438</v>
      </c>
      <c r="BO159" s="39">
        <v>60130753</v>
      </c>
      <c r="BP159" s="18" t="s">
        <v>2654</v>
      </c>
      <c r="BQ159" s="37">
        <v>44957</v>
      </c>
      <c r="BR159" s="8">
        <f t="shared" si="0"/>
        <v>9</v>
      </c>
    </row>
    <row r="160" spans="1:70" ht="15.5">
      <c r="A160" s="4" t="str">
        <v>Reguler Periode ke-101 V.B.1</v>
      </c>
      <c r="B160" s="4" t="s">
        <v>2073</v>
      </c>
      <c r="C160" s="38" t="s">
        <v>1392</v>
      </c>
      <c r="D160" s="4" t="s">
        <v>2655</v>
      </c>
      <c r="E160" s="4" t="s">
        <v>2656</v>
      </c>
      <c r="F160" s="4" t="s">
        <v>193</v>
      </c>
      <c r="G160" s="27" t="s">
        <v>2657</v>
      </c>
      <c r="H160" s="27" t="s">
        <v>2658</v>
      </c>
      <c r="I160" s="27" t="s">
        <v>2659</v>
      </c>
      <c r="J160" s="27" t="s">
        <v>2660</v>
      </c>
      <c r="K160" s="27" t="s">
        <v>2661</v>
      </c>
      <c r="L160" s="27" t="s">
        <v>2662</v>
      </c>
      <c r="M160" s="27" t="s">
        <v>2663</v>
      </c>
      <c r="N160" s="27" t="s">
        <v>2664</v>
      </c>
      <c r="O160" s="27" t="s">
        <v>2665</v>
      </c>
      <c r="R160" s="27"/>
      <c r="S160" s="27">
        <v>1800004010</v>
      </c>
      <c r="T160" s="27">
        <v>1900001088</v>
      </c>
      <c r="U160" s="27">
        <v>1900005319</v>
      </c>
      <c r="V160" s="27">
        <v>1900012245</v>
      </c>
      <c r="W160" s="27">
        <v>1900016161</v>
      </c>
      <c r="X160" s="27">
        <v>1900018053</v>
      </c>
      <c r="Y160" s="27">
        <v>1900024112</v>
      </c>
      <c r="Z160" s="27">
        <v>1900026067</v>
      </c>
      <c r="AA160" s="27">
        <v>1900030402</v>
      </c>
      <c r="AC160" s="27"/>
      <c r="AD160" s="27"/>
      <c r="AE160" s="27" t="s">
        <v>201</v>
      </c>
      <c r="AF160" s="27" t="s">
        <v>180</v>
      </c>
      <c r="AG160" s="27" t="s">
        <v>181</v>
      </c>
      <c r="AH160" s="27" t="s">
        <v>885</v>
      </c>
      <c r="AI160" s="27" t="s">
        <v>531</v>
      </c>
      <c r="AJ160" s="27" t="s">
        <v>179</v>
      </c>
      <c r="AK160" s="27" t="s">
        <v>924</v>
      </c>
      <c r="AL160" s="27" t="s">
        <v>570</v>
      </c>
      <c r="AM160" s="27" t="s">
        <v>184</v>
      </c>
      <c r="AO160" s="28"/>
      <c r="AQ160" s="28" t="s">
        <v>187</v>
      </c>
      <c r="AR160" s="28" t="s">
        <v>186</v>
      </c>
      <c r="AS160" s="28" t="s">
        <v>186</v>
      </c>
      <c r="AT160" s="28" t="s">
        <v>186</v>
      </c>
      <c r="AU160" s="28" t="s">
        <v>187</v>
      </c>
      <c r="AV160" s="28" t="s">
        <v>186</v>
      </c>
      <c r="AW160" s="28" t="s">
        <v>187</v>
      </c>
      <c r="AX160" s="28" t="s">
        <v>186</v>
      </c>
      <c r="AY160" s="28" t="s">
        <v>186</v>
      </c>
      <c r="BC160" s="28">
        <v>81230243573</v>
      </c>
      <c r="BD160" s="28">
        <v>82288030950</v>
      </c>
      <c r="BE160" s="28">
        <v>81939544352</v>
      </c>
      <c r="BF160" s="28">
        <v>82322560992</v>
      </c>
      <c r="BG160" s="28">
        <v>87889355021</v>
      </c>
      <c r="BH160" s="28">
        <v>81263484796</v>
      </c>
      <c r="BI160" s="28">
        <v>85338998342</v>
      </c>
      <c r="BJ160" s="28">
        <v>85741939131</v>
      </c>
      <c r="BK160" s="28">
        <v>85647353646</v>
      </c>
      <c r="BO160" s="39">
        <v>60211292</v>
      </c>
      <c r="BP160" s="18" t="s">
        <v>2666</v>
      </c>
      <c r="BQ160" s="37">
        <v>44957</v>
      </c>
      <c r="BR160" s="8">
        <f t="shared" si="0"/>
        <v>9</v>
      </c>
    </row>
    <row r="161" spans="1:70" ht="15.5">
      <c r="A161" s="4" t="str">
        <v>Reguler Periode ke-101 V.B.2</v>
      </c>
      <c r="B161" s="4" t="s">
        <v>2073</v>
      </c>
      <c r="C161" s="38" t="s">
        <v>1414</v>
      </c>
      <c r="D161" s="4" t="s">
        <v>2655</v>
      </c>
      <c r="E161" s="4" t="s">
        <v>2667</v>
      </c>
      <c r="F161" s="4" t="s">
        <v>193</v>
      </c>
      <c r="G161" s="27" t="s">
        <v>2668</v>
      </c>
      <c r="H161" s="27" t="s">
        <v>2669</v>
      </c>
      <c r="I161" s="27" t="s">
        <v>2670</v>
      </c>
      <c r="J161" s="27" t="s">
        <v>2671</v>
      </c>
      <c r="K161" s="27" t="s">
        <v>2672</v>
      </c>
      <c r="L161" s="27" t="s">
        <v>2673</v>
      </c>
      <c r="M161" s="27" t="s">
        <v>2674</v>
      </c>
      <c r="N161" s="27" t="s">
        <v>2675</v>
      </c>
      <c r="O161" s="27" t="s">
        <v>2676</v>
      </c>
      <c r="R161" s="27"/>
      <c r="S161" s="27">
        <v>1900001176</v>
      </c>
      <c r="T161" s="27">
        <v>1900004148</v>
      </c>
      <c r="U161" s="27">
        <v>1900005246</v>
      </c>
      <c r="V161" s="27">
        <v>1900012193</v>
      </c>
      <c r="W161" s="27">
        <v>1900016138</v>
      </c>
      <c r="X161" s="27">
        <v>1900018244</v>
      </c>
      <c r="Y161" s="27">
        <v>1900024354</v>
      </c>
      <c r="Z161" s="27">
        <v>1900026015</v>
      </c>
      <c r="AA161" s="27">
        <v>1900030058</v>
      </c>
      <c r="AC161" s="27"/>
      <c r="AE161" s="27" t="s">
        <v>180</v>
      </c>
      <c r="AF161" s="27" t="s">
        <v>201</v>
      </c>
      <c r="AG161" s="27" t="s">
        <v>181</v>
      </c>
      <c r="AH161" s="27" t="s">
        <v>885</v>
      </c>
      <c r="AI161" s="27" t="s">
        <v>531</v>
      </c>
      <c r="AJ161" s="27" t="s">
        <v>179</v>
      </c>
      <c r="AK161" s="27" t="s">
        <v>924</v>
      </c>
      <c r="AL161" s="27" t="s">
        <v>570</v>
      </c>
      <c r="AM161" s="27" t="s">
        <v>184</v>
      </c>
      <c r="AO161" s="28"/>
      <c r="AQ161" s="28" t="s">
        <v>186</v>
      </c>
      <c r="AR161" s="28" t="s">
        <v>187</v>
      </c>
      <c r="AS161" s="28" t="s">
        <v>186</v>
      </c>
      <c r="AT161" s="28" t="s">
        <v>186</v>
      </c>
      <c r="AU161" s="28" t="s">
        <v>187</v>
      </c>
      <c r="AV161" s="28" t="s">
        <v>186</v>
      </c>
      <c r="AW161" s="28" t="s">
        <v>187</v>
      </c>
      <c r="AX161" s="28" t="s">
        <v>186</v>
      </c>
      <c r="AY161" s="28" t="s">
        <v>186</v>
      </c>
      <c r="BC161" s="28">
        <v>89522797300</v>
      </c>
      <c r="BD161" s="28">
        <v>82131907060</v>
      </c>
      <c r="BE161" s="28">
        <v>85338267721</v>
      </c>
      <c r="BF161" s="28">
        <v>83838653554</v>
      </c>
      <c r="BG161" s="28">
        <v>82299550781</v>
      </c>
      <c r="BH161" s="28">
        <v>81254025362</v>
      </c>
      <c r="BI161" s="28">
        <v>895609908369</v>
      </c>
      <c r="BJ161" s="28">
        <v>89528834808</v>
      </c>
      <c r="BK161" s="28">
        <v>85381134160</v>
      </c>
      <c r="BO161" s="39">
        <v>60211292</v>
      </c>
      <c r="BP161" s="18" t="s">
        <v>2677</v>
      </c>
      <c r="BQ161" s="37">
        <v>44957</v>
      </c>
      <c r="BR161" s="8">
        <f t="shared" si="0"/>
        <v>9</v>
      </c>
    </row>
    <row r="162" spans="1:70" ht="15.5">
      <c r="A162" s="4" t="str">
        <v>Reguler Periode ke-101 V.B.3</v>
      </c>
      <c r="B162" s="4" t="s">
        <v>2073</v>
      </c>
      <c r="C162" s="38" t="s">
        <v>1435</v>
      </c>
      <c r="D162" s="4" t="s">
        <v>2655</v>
      </c>
      <c r="E162" s="4" t="s">
        <v>2678</v>
      </c>
      <c r="F162" s="4" t="s">
        <v>193</v>
      </c>
      <c r="G162" s="27" t="s">
        <v>2679</v>
      </c>
      <c r="H162" s="27" t="s">
        <v>2680</v>
      </c>
      <c r="I162" s="27" t="s">
        <v>2681</v>
      </c>
      <c r="J162" s="27" t="s">
        <v>2682</v>
      </c>
      <c r="K162" s="27" t="s">
        <v>2683</v>
      </c>
      <c r="L162" s="27" t="s">
        <v>2684</v>
      </c>
      <c r="M162" s="27" t="s">
        <v>2685</v>
      </c>
      <c r="N162" s="27" t="s">
        <v>2686</v>
      </c>
      <c r="O162" s="27" t="s">
        <v>2687</v>
      </c>
      <c r="Q162" s="27"/>
      <c r="R162" s="27"/>
      <c r="S162" s="27">
        <v>1800004003</v>
      </c>
      <c r="T162" s="27">
        <v>1900001109</v>
      </c>
      <c r="U162" s="27">
        <v>1900005188</v>
      </c>
      <c r="V162" s="27">
        <v>1900012061</v>
      </c>
      <c r="W162" s="27">
        <v>1900016167</v>
      </c>
      <c r="X162" s="27">
        <v>1900018321</v>
      </c>
      <c r="Y162" s="27">
        <v>1900024161</v>
      </c>
      <c r="Z162" s="27">
        <v>1900026033</v>
      </c>
      <c r="AA162" s="27">
        <v>1900030208</v>
      </c>
      <c r="AC162" s="27"/>
      <c r="AD162" s="27"/>
      <c r="AE162" s="27" t="s">
        <v>201</v>
      </c>
      <c r="AF162" s="27" t="s">
        <v>180</v>
      </c>
      <c r="AG162" s="27" t="s">
        <v>181</v>
      </c>
      <c r="AH162" s="27" t="s">
        <v>885</v>
      </c>
      <c r="AI162" s="27" t="s">
        <v>531</v>
      </c>
      <c r="AJ162" s="27" t="s">
        <v>179</v>
      </c>
      <c r="AK162" s="27" t="s">
        <v>924</v>
      </c>
      <c r="AL162" s="27" t="s">
        <v>570</v>
      </c>
      <c r="AM162" s="27" t="s">
        <v>184</v>
      </c>
      <c r="AO162" s="28"/>
      <c r="AP162" s="28"/>
      <c r="AQ162" s="28" t="s">
        <v>187</v>
      </c>
      <c r="AR162" s="28" t="s">
        <v>186</v>
      </c>
      <c r="AS162" s="28" t="s">
        <v>186</v>
      </c>
      <c r="AT162" s="28" t="s">
        <v>186</v>
      </c>
      <c r="AU162" s="28" t="s">
        <v>187</v>
      </c>
      <c r="AV162" s="28" t="s">
        <v>186</v>
      </c>
      <c r="AW162" s="28" t="s">
        <v>187</v>
      </c>
      <c r="AX162" s="28" t="s">
        <v>186</v>
      </c>
      <c r="AY162" s="28" t="s">
        <v>186</v>
      </c>
      <c r="BC162" s="28">
        <v>85868941943</v>
      </c>
      <c r="BD162" s="28">
        <v>82141083300</v>
      </c>
      <c r="BE162" s="28">
        <v>89517889576</v>
      </c>
      <c r="BF162" s="28">
        <v>859166322685</v>
      </c>
      <c r="BG162" s="28">
        <v>81466712053</v>
      </c>
      <c r="BH162" s="28">
        <v>82340271312</v>
      </c>
      <c r="BI162" s="28">
        <v>82237680539</v>
      </c>
      <c r="BJ162" s="28">
        <v>81717450766</v>
      </c>
      <c r="BK162" s="28">
        <v>89514151159</v>
      </c>
      <c r="BO162" s="39">
        <v>60211292</v>
      </c>
      <c r="BP162" s="18" t="s">
        <v>2688</v>
      </c>
      <c r="BQ162" s="37">
        <v>44957</v>
      </c>
      <c r="BR162" s="8">
        <f t="shared" si="0"/>
        <v>9</v>
      </c>
    </row>
    <row r="163" spans="1:70" ht="15.5">
      <c r="A163" s="4" t="str">
        <v>Reguler Periode ke-101 V.C.1</v>
      </c>
      <c r="B163" s="4" t="s">
        <v>2073</v>
      </c>
      <c r="C163" s="38" t="s">
        <v>1456</v>
      </c>
      <c r="D163" s="4" t="s">
        <v>2689</v>
      </c>
      <c r="E163" s="4" t="s">
        <v>2690</v>
      </c>
      <c r="F163" s="4" t="s">
        <v>193</v>
      </c>
      <c r="G163" s="27" t="s">
        <v>2691</v>
      </c>
      <c r="H163" s="27" t="s">
        <v>2692</v>
      </c>
      <c r="I163" s="27" t="s">
        <v>2693</v>
      </c>
      <c r="J163" s="27" t="s">
        <v>2694</v>
      </c>
      <c r="K163" s="27" t="s">
        <v>2695</v>
      </c>
      <c r="L163" s="27" t="s">
        <v>2696</v>
      </c>
      <c r="M163" s="27" t="s">
        <v>2697</v>
      </c>
      <c r="N163" s="27" t="s">
        <v>2698</v>
      </c>
      <c r="O163" s="27" t="s">
        <v>2699</v>
      </c>
      <c r="Q163" s="27"/>
      <c r="R163" s="27"/>
      <c r="S163" s="27">
        <v>1700030151</v>
      </c>
      <c r="T163" s="27">
        <v>1900001165</v>
      </c>
      <c r="U163" s="27">
        <v>1900004070</v>
      </c>
      <c r="V163" s="27">
        <v>1900005241</v>
      </c>
      <c r="W163" s="27">
        <v>1900012104</v>
      </c>
      <c r="X163" s="27">
        <v>1900016024</v>
      </c>
      <c r="Y163" s="27">
        <v>1900018136</v>
      </c>
      <c r="Z163" s="27">
        <v>1900024054</v>
      </c>
      <c r="AA163" s="27">
        <v>1900026199</v>
      </c>
      <c r="AD163" s="27"/>
      <c r="AE163" s="27" t="s">
        <v>184</v>
      </c>
      <c r="AF163" s="27" t="s">
        <v>180</v>
      </c>
      <c r="AG163" s="27" t="s">
        <v>201</v>
      </c>
      <c r="AH163" s="27" t="s">
        <v>181</v>
      </c>
      <c r="AI163" s="27" t="s">
        <v>885</v>
      </c>
      <c r="AJ163" s="27" t="s">
        <v>531</v>
      </c>
      <c r="AK163" s="27" t="s">
        <v>179</v>
      </c>
      <c r="AL163" s="27" t="s">
        <v>924</v>
      </c>
      <c r="AM163" s="27" t="s">
        <v>570</v>
      </c>
      <c r="AO163" s="28"/>
      <c r="AP163" s="28"/>
      <c r="AQ163" s="28" t="s">
        <v>186</v>
      </c>
      <c r="AR163" s="28" t="s">
        <v>186</v>
      </c>
      <c r="AS163" s="28" t="s">
        <v>187</v>
      </c>
      <c r="AT163" s="28" t="s">
        <v>186</v>
      </c>
      <c r="AU163" s="28" t="s">
        <v>186</v>
      </c>
      <c r="AV163" s="28" t="s">
        <v>187</v>
      </c>
      <c r="AW163" s="28" t="s">
        <v>186</v>
      </c>
      <c r="AX163" s="28" t="s">
        <v>187</v>
      </c>
      <c r="AY163" s="28" t="s">
        <v>186</v>
      </c>
      <c r="BB163" s="28"/>
      <c r="BC163" s="28">
        <v>82291501376</v>
      </c>
      <c r="BD163" s="28">
        <v>88267109741</v>
      </c>
      <c r="BE163" s="28">
        <v>81253008884</v>
      </c>
      <c r="BF163" s="28">
        <v>81366847366</v>
      </c>
      <c r="BG163" s="28">
        <v>85244159911</v>
      </c>
      <c r="BH163" s="28">
        <v>81335227796</v>
      </c>
      <c r="BI163" s="28">
        <v>82169243577</v>
      </c>
      <c r="BJ163" s="28">
        <v>85326049870</v>
      </c>
      <c r="BK163" s="28">
        <v>8812900855</v>
      </c>
      <c r="BO163" s="39">
        <v>60050527</v>
      </c>
      <c r="BP163" s="18" t="s">
        <v>2700</v>
      </c>
      <c r="BQ163" s="37">
        <v>44957</v>
      </c>
      <c r="BR163" s="8">
        <f t="shared" si="0"/>
        <v>9</v>
      </c>
    </row>
    <row r="164" spans="1:70" ht="15.5">
      <c r="A164" s="4" t="str">
        <v>Reguler Periode ke-101 V.C.2</v>
      </c>
      <c r="B164" s="4" t="s">
        <v>2073</v>
      </c>
      <c r="C164" s="38" t="s">
        <v>1478</v>
      </c>
      <c r="D164" s="4" t="s">
        <v>2689</v>
      </c>
      <c r="E164" s="4" t="s">
        <v>2701</v>
      </c>
      <c r="F164" s="4" t="s">
        <v>193</v>
      </c>
      <c r="G164" s="27" t="s">
        <v>2702</v>
      </c>
      <c r="H164" s="27" t="s">
        <v>2703</v>
      </c>
      <c r="I164" s="27" t="s">
        <v>2704</v>
      </c>
      <c r="J164" s="27" t="s">
        <v>2705</v>
      </c>
      <c r="K164" s="27" t="s">
        <v>2706</v>
      </c>
      <c r="L164" s="27" t="s">
        <v>2707</v>
      </c>
      <c r="M164" s="27" t="s">
        <v>2708</v>
      </c>
      <c r="N164" s="27" t="s">
        <v>2709</v>
      </c>
      <c r="O164" s="27" t="s">
        <v>2710</v>
      </c>
      <c r="Q164" s="27"/>
      <c r="R164" s="27"/>
      <c r="S164" s="27">
        <v>1900001140</v>
      </c>
      <c r="T164" s="27">
        <v>1900004190</v>
      </c>
      <c r="U164" s="27">
        <v>1900005376</v>
      </c>
      <c r="V164" s="27">
        <v>1900012046</v>
      </c>
      <c r="W164" s="27">
        <v>1900016190</v>
      </c>
      <c r="X164" s="27">
        <v>1900018157</v>
      </c>
      <c r="Y164" s="27">
        <v>1900024133</v>
      </c>
      <c r="Z164" s="27">
        <v>1900026227</v>
      </c>
      <c r="AA164" s="27">
        <v>1900030112</v>
      </c>
      <c r="AC164" s="27"/>
      <c r="AE164" s="27" t="s">
        <v>180</v>
      </c>
      <c r="AF164" s="27" t="s">
        <v>201</v>
      </c>
      <c r="AG164" s="27" t="s">
        <v>181</v>
      </c>
      <c r="AH164" s="27" t="s">
        <v>885</v>
      </c>
      <c r="AI164" s="27" t="s">
        <v>531</v>
      </c>
      <c r="AJ164" s="27" t="s">
        <v>179</v>
      </c>
      <c r="AK164" s="27" t="s">
        <v>924</v>
      </c>
      <c r="AL164" s="27" t="s">
        <v>570</v>
      </c>
      <c r="AM164" s="27" t="s">
        <v>184</v>
      </c>
      <c r="AO164" s="28"/>
      <c r="AQ164" s="28" t="s">
        <v>186</v>
      </c>
      <c r="AR164" s="28" t="s">
        <v>187</v>
      </c>
      <c r="AS164" s="28" t="s">
        <v>186</v>
      </c>
      <c r="AT164" s="28" t="s">
        <v>186</v>
      </c>
      <c r="AU164" s="28" t="s">
        <v>187</v>
      </c>
      <c r="AV164" s="28" t="s">
        <v>186</v>
      </c>
      <c r="AW164" s="28" t="s">
        <v>187</v>
      </c>
      <c r="AX164" s="28" t="s">
        <v>186</v>
      </c>
      <c r="AY164" s="28" t="s">
        <v>186</v>
      </c>
      <c r="BC164" s="28">
        <v>85709118874</v>
      </c>
      <c r="BD164" s="28">
        <v>85801009273</v>
      </c>
      <c r="BE164" s="28">
        <v>85714276469</v>
      </c>
      <c r="BF164" s="28">
        <v>82358371224</v>
      </c>
      <c r="BG164" s="28">
        <v>81393697103</v>
      </c>
      <c r="BH164" s="28">
        <v>87762116698</v>
      </c>
      <c r="BI164" s="28">
        <v>85624775639</v>
      </c>
      <c r="BJ164" s="28">
        <v>81227691551</v>
      </c>
      <c r="BK164" s="28">
        <v>88286686716</v>
      </c>
      <c r="BO164" s="39">
        <v>60050527</v>
      </c>
      <c r="BP164" s="18" t="s">
        <v>2711</v>
      </c>
      <c r="BQ164" s="37">
        <v>44957</v>
      </c>
      <c r="BR164" s="8">
        <f t="shared" si="0"/>
        <v>9</v>
      </c>
    </row>
    <row r="165" spans="1:70" ht="15.5">
      <c r="A165" s="4" t="str">
        <v>Reguler Periode ke-101 V.C.3</v>
      </c>
      <c r="B165" s="4" t="s">
        <v>2073</v>
      </c>
      <c r="C165" s="38" t="s">
        <v>1498</v>
      </c>
      <c r="D165" s="4" t="s">
        <v>2689</v>
      </c>
      <c r="E165" s="4" t="s">
        <v>2712</v>
      </c>
      <c r="F165" s="4" t="s">
        <v>193</v>
      </c>
      <c r="G165" s="27" t="s">
        <v>2713</v>
      </c>
      <c r="H165" s="27" t="s">
        <v>2714</v>
      </c>
      <c r="I165" s="27" t="s">
        <v>2715</v>
      </c>
      <c r="J165" s="27" t="s">
        <v>2716</v>
      </c>
      <c r="K165" s="27" t="s">
        <v>2717</v>
      </c>
      <c r="L165" s="27" t="s">
        <v>2718</v>
      </c>
      <c r="M165" s="27" t="s">
        <v>2719</v>
      </c>
      <c r="N165" s="27" t="s">
        <v>2720</v>
      </c>
      <c r="O165" s="27" t="s">
        <v>2721</v>
      </c>
      <c r="Q165" s="27"/>
      <c r="S165" s="27">
        <v>1900001166</v>
      </c>
      <c r="T165" s="27">
        <v>1900004036</v>
      </c>
      <c r="U165" s="27">
        <v>1900005113</v>
      </c>
      <c r="V165" s="27">
        <v>1900012234</v>
      </c>
      <c r="W165" s="27">
        <v>1900016028</v>
      </c>
      <c r="X165" s="27">
        <v>1900018291</v>
      </c>
      <c r="Y165" s="27">
        <v>1900024296</v>
      </c>
      <c r="Z165" s="27">
        <v>1900026254</v>
      </c>
      <c r="AA165" s="27">
        <v>1900030255</v>
      </c>
      <c r="AC165" s="27"/>
      <c r="AE165" s="27" t="s">
        <v>180</v>
      </c>
      <c r="AF165" s="27" t="s">
        <v>201</v>
      </c>
      <c r="AG165" s="27" t="s">
        <v>181</v>
      </c>
      <c r="AH165" s="27" t="s">
        <v>885</v>
      </c>
      <c r="AI165" s="27" t="s">
        <v>531</v>
      </c>
      <c r="AJ165" s="27" t="s">
        <v>179</v>
      </c>
      <c r="AK165" s="27" t="s">
        <v>924</v>
      </c>
      <c r="AL165" s="27" t="s">
        <v>570</v>
      </c>
      <c r="AM165" s="27" t="s">
        <v>184</v>
      </c>
      <c r="AQ165" s="28" t="s">
        <v>186</v>
      </c>
      <c r="AR165" s="28" t="s">
        <v>187</v>
      </c>
      <c r="AS165" s="28" t="s">
        <v>186</v>
      </c>
      <c r="AT165" s="28" t="s">
        <v>186</v>
      </c>
      <c r="AU165" s="28" t="s">
        <v>187</v>
      </c>
      <c r="AV165" s="28" t="s">
        <v>186</v>
      </c>
      <c r="AW165" s="28" t="s">
        <v>187</v>
      </c>
      <c r="AX165" s="28" t="s">
        <v>186</v>
      </c>
      <c r="AY165" s="28" t="s">
        <v>186</v>
      </c>
      <c r="BB165" s="28"/>
      <c r="BC165" s="28">
        <v>85864931096</v>
      </c>
      <c r="BD165" s="28">
        <v>87846160001</v>
      </c>
      <c r="BE165" s="28" t="s">
        <v>2722</v>
      </c>
      <c r="BF165" s="28">
        <v>6285269806037</v>
      </c>
      <c r="BG165" s="28">
        <v>82278600417</v>
      </c>
      <c r="BH165" s="28">
        <v>81915241374</v>
      </c>
      <c r="BI165" s="28">
        <v>81335332994</v>
      </c>
      <c r="BJ165" s="28">
        <v>89526535912</v>
      </c>
      <c r="BK165" s="28">
        <v>81277997991</v>
      </c>
      <c r="BO165" s="39">
        <v>60050527</v>
      </c>
      <c r="BP165" s="18" t="s">
        <v>2723</v>
      </c>
      <c r="BQ165" s="37">
        <v>44957</v>
      </c>
      <c r="BR165" s="8">
        <f t="shared" si="0"/>
        <v>9</v>
      </c>
    </row>
    <row r="166" spans="1:70" ht="15.5">
      <c r="A166" s="4" t="str">
        <v>Reguler Periode ke-101 V.D.1</v>
      </c>
      <c r="B166" s="4" t="s">
        <v>2073</v>
      </c>
      <c r="C166" s="38" t="s">
        <v>1519</v>
      </c>
      <c r="D166" s="4" t="s">
        <v>2724</v>
      </c>
      <c r="E166" s="4" t="s">
        <v>2725</v>
      </c>
      <c r="F166" s="4" t="s">
        <v>193</v>
      </c>
      <c r="G166" s="27" t="s">
        <v>2726</v>
      </c>
      <c r="H166" s="27" t="s">
        <v>2727</v>
      </c>
      <c r="I166" s="27" t="s">
        <v>2728</v>
      </c>
      <c r="J166" s="27" t="s">
        <v>2729</v>
      </c>
      <c r="K166" s="27" t="s">
        <v>2730</v>
      </c>
      <c r="L166" s="27" t="s">
        <v>2731</v>
      </c>
      <c r="M166" s="27" t="s">
        <v>2732</v>
      </c>
      <c r="N166" s="27" t="s">
        <v>2733</v>
      </c>
      <c r="O166" s="27" t="s">
        <v>2734</v>
      </c>
      <c r="Q166" s="27"/>
      <c r="R166" s="27"/>
      <c r="S166" s="27">
        <v>1900001129</v>
      </c>
      <c r="T166" s="27">
        <v>1900004181</v>
      </c>
      <c r="U166" s="27">
        <v>1900005111</v>
      </c>
      <c r="V166" s="27">
        <v>1900012108</v>
      </c>
      <c r="W166" s="27">
        <v>1900016025</v>
      </c>
      <c r="X166" s="27">
        <v>1900018229</v>
      </c>
      <c r="Y166" s="27">
        <v>1900024362</v>
      </c>
      <c r="Z166" s="27">
        <v>1900026242</v>
      </c>
      <c r="AA166" s="27">
        <v>1900030041</v>
      </c>
      <c r="AC166" s="27"/>
      <c r="AD166" s="27"/>
      <c r="AE166" s="27" t="s">
        <v>180</v>
      </c>
      <c r="AF166" s="27" t="s">
        <v>201</v>
      </c>
      <c r="AG166" s="27" t="s">
        <v>181</v>
      </c>
      <c r="AH166" s="27" t="s">
        <v>885</v>
      </c>
      <c r="AI166" s="27" t="s">
        <v>531</v>
      </c>
      <c r="AJ166" s="27" t="s">
        <v>179</v>
      </c>
      <c r="AK166" s="27" t="s">
        <v>924</v>
      </c>
      <c r="AL166" s="27" t="s">
        <v>570</v>
      </c>
      <c r="AM166" s="27" t="s">
        <v>184</v>
      </c>
      <c r="AP166" s="28"/>
      <c r="AQ166" s="28" t="s">
        <v>186</v>
      </c>
      <c r="AR166" s="28" t="s">
        <v>187</v>
      </c>
      <c r="AS166" s="28" t="s">
        <v>186</v>
      </c>
      <c r="AT166" s="28" t="s">
        <v>186</v>
      </c>
      <c r="AU166" s="28" t="s">
        <v>187</v>
      </c>
      <c r="AV166" s="28" t="s">
        <v>186</v>
      </c>
      <c r="AW166" s="28" t="s">
        <v>187</v>
      </c>
      <c r="AX166" s="28" t="s">
        <v>186</v>
      </c>
      <c r="AY166" s="28" t="s">
        <v>186</v>
      </c>
      <c r="BC166" s="28">
        <v>881023562447</v>
      </c>
      <c r="BD166" s="28">
        <v>81293380375</v>
      </c>
      <c r="BE166" s="28">
        <v>82253004851</v>
      </c>
      <c r="BF166" s="28">
        <v>81477046971</v>
      </c>
      <c r="BG166" s="28">
        <v>89517517954</v>
      </c>
      <c r="BH166" s="28">
        <v>895395648727</v>
      </c>
      <c r="BI166" s="28">
        <v>811530332</v>
      </c>
      <c r="BJ166" s="28">
        <v>85713230434</v>
      </c>
      <c r="BK166" s="28">
        <v>81229993422</v>
      </c>
      <c r="BO166" s="39">
        <v>60110634</v>
      </c>
      <c r="BP166" s="18" t="s">
        <v>2735</v>
      </c>
      <c r="BQ166" s="37">
        <v>44957</v>
      </c>
      <c r="BR166" s="8">
        <f t="shared" si="0"/>
        <v>9</v>
      </c>
    </row>
    <row r="167" spans="1:70" ht="15.5">
      <c r="A167" s="4" t="str">
        <v>Reguler Periode ke-101 V.D.2</v>
      </c>
      <c r="B167" s="4" t="s">
        <v>2073</v>
      </c>
      <c r="C167" s="38" t="s">
        <v>1540</v>
      </c>
      <c r="D167" s="4" t="s">
        <v>2724</v>
      </c>
      <c r="E167" s="4" t="s">
        <v>2736</v>
      </c>
      <c r="F167" s="4" t="s">
        <v>193</v>
      </c>
      <c r="G167" s="27" t="s">
        <v>2737</v>
      </c>
      <c r="H167" s="27" t="s">
        <v>2738</v>
      </c>
      <c r="I167" s="27" t="s">
        <v>2739</v>
      </c>
      <c r="J167" s="27" t="s">
        <v>2740</v>
      </c>
      <c r="K167" s="27" t="s">
        <v>2741</v>
      </c>
      <c r="L167" s="27" t="s">
        <v>2742</v>
      </c>
      <c r="M167" s="27" t="s">
        <v>2743</v>
      </c>
      <c r="N167" s="27" t="s">
        <v>2744</v>
      </c>
      <c r="O167" s="27" t="s">
        <v>2745</v>
      </c>
      <c r="Q167" s="27"/>
      <c r="S167" s="27">
        <v>1900001162</v>
      </c>
      <c r="T167" s="27">
        <v>1900004132</v>
      </c>
      <c r="U167" s="27">
        <v>1900005184</v>
      </c>
      <c r="V167" s="27">
        <v>1900012172</v>
      </c>
      <c r="W167" s="27">
        <v>1900016117</v>
      </c>
      <c r="X167" s="27">
        <v>1900018185</v>
      </c>
      <c r="Y167" s="27">
        <v>1900024037</v>
      </c>
      <c r="Z167" s="27">
        <v>1900026079</v>
      </c>
      <c r="AA167" s="27">
        <v>1900030333</v>
      </c>
      <c r="AC167" s="27"/>
      <c r="AE167" s="27" t="s">
        <v>180</v>
      </c>
      <c r="AF167" s="27" t="s">
        <v>201</v>
      </c>
      <c r="AG167" s="27" t="s">
        <v>181</v>
      </c>
      <c r="AH167" s="27" t="s">
        <v>885</v>
      </c>
      <c r="AI167" s="27" t="s">
        <v>531</v>
      </c>
      <c r="AJ167" s="27" t="s">
        <v>179</v>
      </c>
      <c r="AK167" s="27" t="s">
        <v>924</v>
      </c>
      <c r="AL167" s="27" t="s">
        <v>570</v>
      </c>
      <c r="AM167" s="27" t="s">
        <v>184</v>
      </c>
      <c r="AP167" s="28"/>
      <c r="AQ167" s="28" t="s">
        <v>186</v>
      </c>
      <c r="AR167" s="28" t="s">
        <v>187</v>
      </c>
      <c r="AS167" s="28" t="s">
        <v>186</v>
      </c>
      <c r="AT167" s="28" t="s">
        <v>186</v>
      </c>
      <c r="AU167" s="28" t="s">
        <v>187</v>
      </c>
      <c r="AV167" s="28" t="s">
        <v>186</v>
      </c>
      <c r="AW167" s="28" t="s">
        <v>187</v>
      </c>
      <c r="AX167" s="28" t="s">
        <v>186</v>
      </c>
      <c r="AY167" s="28" t="s">
        <v>186</v>
      </c>
      <c r="BC167" s="28">
        <v>81226926494</v>
      </c>
      <c r="BD167" s="28">
        <v>89671374235</v>
      </c>
      <c r="BE167" s="28">
        <v>85758455218</v>
      </c>
      <c r="BF167" s="28">
        <v>85877507540</v>
      </c>
      <c r="BG167" s="28">
        <v>85891254851</v>
      </c>
      <c r="BH167" s="28">
        <v>89663836973</v>
      </c>
      <c r="BI167" s="28">
        <v>82246637227</v>
      </c>
      <c r="BJ167" s="28">
        <v>89630983256</v>
      </c>
      <c r="BK167" s="28">
        <v>81225789193</v>
      </c>
      <c r="BO167" s="39">
        <v>60110634</v>
      </c>
      <c r="BP167" s="18" t="s">
        <v>2746</v>
      </c>
      <c r="BQ167" s="37">
        <v>44957</v>
      </c>
      <c r="BR167" s="8">
        <f t="shared" si="0"/>
        <v>9</v>
      </c>
    </row>
    <row r="168" spans="1:70" ht="15.5">
      <c r="A168" s="4" t="str">
        <v>Reguler Periode ke-101 V.D.3</v>
      </c>
      <c r="B168" s="4" t="s">
        <v>2073</v>
      </c>
      <c r="C168" s="38" t="s">
        <v>1561</v>
      </c>
      <c r="D168" s="4" t="s">
        <v>2724</v>
      </c>
      <c r="E168" s="4" t="s">
        <v>2747</v>
      </c>
      <c r="F168" s="4" t="s">
        <v>193</v>
      </c>
      <c r="G168" s="27" t="s">
        <v>2748</v>
      </c>
      <c r="H168" s="27" t="s">
        <v>2749</v>
      </c>
      <c r="I168" s="27" t="s">
        <v>2750</v>
      </c>
      <c r="J168" s="27" t="s">
        <v>2751</v>
      </c>
      <c r="K168" s="27" t="s">
        <v>2752</v>
      </c>
      <c r="L168" s="27" t="s">
        <v>2753</v>
      </c>
      <c r="M168" s="27" t="s">
        <v>2754</v>
      </c>
      <c r="N168" s="27" t="s">
        <v>2755</v>
      </c>
      <c r="O168" s="27" t="s">
        <v>2756</v>
      </c>
      <c r="Q168" s="27"/>
      <c r="S168" s="27">
        <v>1800018413</v>
      </c>
      <c r="T168" s="27">
        <v>1900001094</v>
      </c>
      <c r="U168" s="27">
        <v>1900004101</v>
      </c>
      <c r="V168" s="27">
        <v>1900005105</v>
      </c>
      <c r="W168" s="27">
        <v>1900012142</v>
      </c>
      <c r="X168" s="27">
        <v>1900016095</v>
      </c>
      <c r="Y168" s="27">
        <v>1900024103</v>
      </c>
      <c r="Z168" s="27">
        <v>1900026009</v>
      </c>
      <c r="AA168" s="27">
        <v>1900030057</v>
      </c>
      <c r="AE168" s="27" t="s">
        <v>179</v>
      </c>
      <c r="AF168" s="27" t="s">
        <v>180</v>
      </c>
      <c r="AG168" s="27" t="s">
        <v>201</v>
      </c>
      <c r="AH168" s="27" t="s">
        <v>181</v>
      </c>
      <c r="AI168" s="27" t="s">
        <v>885</v>
      </c>
      <c r="AJ168" s="27" t="s">
        <v>531</v>
      </c>
      <c r="AK168" s="27" t="s">
        <v>924</v>
      </c>
      <c r="AL168" s="27" t="s">
        <v>570</v>
      </c>
      <c r="AM168" s="27" t="s">
        <v>184</v>
      </c>
      <c r="AP168" s="28"/>
      <c r="AQ168" s="28" t="s">
        <v>186</v>
      </c>
      <c r="AR168" s="28" t="s">
        <v>186</v>
      </c>
      <c r="AS168" s="28" t="s">
        <v>187</v>
      </c>
      <c r="AT168" s="28" t="s">
        <v>186</v>
      </c>
      <c r="AU168" s="28" t="s">
        <v>186</v>
      </c>
      <c r="AV168" s="28" t="s">
        <v>187</v>
      </c>
      <c r="AW168" s="28" t="s">
        <v>187</v>
      </c>
      <c r="AX168" s="28" t="s">
        <v>186</v>
      </c>
      <c r="AY168" s="28" t="s">
        <v>186</v>
      </c>
      <c r="BC168" s="28">
        <v>85865351705</v>
      </c>
      <c r="BD168" s="28">
        <v>83820489290</v>
      </c>
      <c r="BE168" s="28">
        <v>8983173327</v>
      </c>
      <c r="BF168" s="28">
        <v>87798884292</v>
      </c>
      <c r="BG168" s="28">
        <v>87775210565</v>
      </c>
      <c r="BH168" s="28">
        <v>82279403258</v>
      </c>
      <c r="BI168" s="28">
        <v>81225103210</v>
      </c>
      <c r="BJ168" s="28">
        <v>81216477898</v>
      </c>
      <c r="BK168" s="28">
        <v>83863795472</v>
      </c>
      <c r="BO168" s="39">
        <v>60110634</v>
      </c>
      <c r="BP168" s="18" t="s">
        <v>2757</v>
      </c>
      <c r="BQ168" s="37">
        <v>44957</v>
      </c>
      <c r="BR168" s="8">
        <f t="shared" si="0"/>
        <v>9</v>
      </c>
    </row>
    <row r="169" spans="1:70" ht="15.5">
      <c r="A169" s="4" t="str">
        <v>Reguler Periode ke-101 VI.A.1</v>
      </c>
      <c r="B169" s="4" t="s">
        <v>2073</v>
      </c>
      <c r="C169" s="38" t="s">
        <v>1582</v>
      </c>
      <c r="D169" s="4" t="s">
        <v>2758</v>
      </c>
      <c r="E169" s="4" t="s">
        <v>2759</v>
      </c>
      <c r="F169" s="4" t="s">
        <v>193</v>
      </c>
      <c r="G169" s="27" t="s">
        <v>2760</v>
      </c>
      <c r="H169" s="27" t="s">
        <v>2761</v>
      </c>
      <c r="I169" s="27" t="s">
        <v>2762</v>
      </c>
      <c r="J169" s="27" t="s">
        <v>2763</v>
      </c>
      <c r="K169" s="27" t="s">
        <v>2764</v>
      </c>
      <c r="L169" s="27" t="s">
        <v>2765</v>
      </c>
      <c r="M169" s="27" t="s">
        <v>2766</v>
      </c>
      <c r="N169" s="27" t="s">
        <v>2767</v>
      </c>
      <c r="O169" s="27" t="s">
        <v>2768</v>
      </c>
      <c r="R169" s="27"/>
      <c r="S169" s="27">
        <v>1900001236</v>
      </c>
      <c r="T169" s="27">
        <v>1900004152</v>
      </c>
      <c r="U169" s="27">
        <v>1900005288</v>
      </c>
      <c r="V169" s="27">
        <v>1900012139</v>
      </c>
      <c r="W169" s="27">
        <v>1900016019</v>
      </c>
      <c r="X169" s="27">
        <v>1900018430</v>
      </c>
      <c r="Y169" s="27">
        <v>1900024088</v>
      </c>
      <c r="Z169" s="27">
        <v>1900026050</v>
      </c>
      <c r="AA169" s="27">
        <v>1900030079</v>
      </c>
      <c r="AC169" s="27"/>
      <c r="AD169" s="27"/>
      <c r="AE169" s="27" t="s">
        <v>180</v>
      </c>
      <c r="AF169" s="27" t="s">
        <v>201</v>
      </c>
      <c r="AG169" s="27" t="s">
        <v>181</v>
      </c>
      <c r="AH169" s="27" t="s">
        <v>885</v>
      </c>
      <c r="AI169" s="27" t="s">
        <v>531</v>
      </c>
      <c r="AJ169" s="27" t="s">
        <v>179</v>
      </c>
      <c r="AK169" s="27" t="s">
        <v>924</v>
      </c>
      <c r="AL169" s="27" t="s">
        <v>570</v>
      </c>
      <c r="AM169" s="27" t="s">
        <v>184</v>
      </c>
      <c r="AQ169" s="28" t="s">
        <v>186</v>
      </c>
      <c r="AR169" s="28" t="s">
        <v>187</v>
      </c>
      <c r="AS169" s="28" t="s">
        <v>186</v>
      </c>
      <c r="AT169" s="28" t="s">
        <v>186</v>
      </c>
      <c r="AU169" s="28" t="s">
        <v>187</v>
      </c>
      <c r="AV169" s="28" t="s">
        <v>186</v>
      </c>
      <c r="AW169" s="28" t="s">
        <v>187</v>
      </c>
      <c r="AX169" s="28" t="s">
        <v>186</v>
      </c>
      <c r="AY169" s="28" t="s">
        <v>186</v>
      </c>
      <c r="BC169" s="28">
        <v>85723526374</v>
      </c>
      <c r="BD169" s="28">
        <v>81272668846</v>
      </c>
      <c r="BE169" s="28">
        <v>82281778810</v>
      </c>
      <c r="BF169" s="28">
        <v>82214239652</v>
      </c>
      <c r="BG169" s="28">
        <v>82285329856</v>
      </c>
      <c r="BH169" s="28">
        <v>82135942471</v>
      </c>
      <c r="BI169" s="28">
        <v>85821885834</v>
      </c>
      <c r="BJ169" s="28">
        <v>8159837327</v>
      </c>
      <c r="BK169" s="28">
        <v>895324292219</v>
      </c>
      <c r="BO169" s="39">
        <v>60150802</v>
      </c>
      <c r="BP169" s="18" t="s">
        <v>2769</v>
      </c>
      <c r="BQ169" s="37">
        <v>44957</v>
      </c>
      <c r="BR169" s="8">
        <f t="shared" si="0"/>
        <v>9</v>
      </c>
    </row>
    <row r="170" spans="1:70" ht="15.5">
      <c r="A170" s="4" t="str">
        <v>Reguler Periode ke-101 VI.A.2</v>
      </c>
      <c r="B170" s="4" t="s">
        <v>2073</v>
      </c>
      <c r="C170" s="38" t="s">
        <v>1604</v>
      </c>
      <c r="D170" s="4" t="s">
        <v>2758</v>
      </c>
      <c r="E170" s="4" t="s">
        <v>2770</v>
      </c>
      <c r="F170" s="4" t="s">
        <v>193</v>
      </c>
      <c r="G170" s="27" t="s">
        <v>2771</v>
      </c>
      <c r="H170" s="27" t="s">
        <v>2772</v>
      </c>
      <c r="I170" s="27" t="s">
        <v>2773</v>
      </c>
      <c r="J170" s="27" t="s">
        <v>2774</v>
      </c>
      <c r="K170" s="27" t="s">
        <v>2775</v>
      </c>
      <c r="L170" s="27" t="s">
        <v>2776</v>
      </c>
      <c r="M170" s="27" t="s">
        <v>2777</v>
      </c>
      <c r="N170" s="27" t="s">
        <v>2778</v>
      </c>
      <c r="O170" s="27" t="s">
        <v>2779</v>
      </c>
      <c r="Q170" s="27"/>
      <c r="S170" s="27">
        <v>1900001142</v>
      </c>
      <c r="T170" s="27">
        <v>1900004124</v>
      </c>
      <c r="U170" s="27">
        <v>1900005305</v>
      </c>
      <c r="V170" s="27">
        <v>1900012045</v>
      </c>
      <c r="W170" s="27">
        <v>1900016034</v>
      </c>
      <c r="X170" s="27">
        <v>1900018227</v>
      </c>
      <c r="Y170" s="27">
        <v>1900024053</v>
      </c>
      <c r="Z170" s="27">
        <v>1900026185</v>
      </c>
      <c r="AA170" s="27">
        <v>1900030414</v>
      </c>
      <c r="AC170" s="27"/>
      <c r="AD170" s="27"/>
      <c r="AE170" s="27" t="s">
        <v>180</v>
      </c>
      <c r="AF170" s="27" t="s">
        <v>201</v>
      </c>
      <c r="AG170" s="27" t="s">
        <v>181</v>
      </c>
      <c r="AH170" s="27" t="s">
        <v>885</v>
      </c>
      <c r="AI170" s="27" t="s">
        <v>531</v>
      </c>
      <c r="AJ170" s="27" t="s">
        <v>179</v>
      </c>
      <c r="AK170" s="27" t="s">
        <v>924</v>
      </c>
      <c r="AL170" s="27" t="s">
        <v>570</v>
      </c>
      <c r="AM170" s="27" t="s">
        <v>184</v>
      </c>
      <c r="AP170" s="28"/>
      <c r="AQ170" s="28" t="s">
        <v>186</v>
      </c>
      <c r="AR170" s="28" t="s">
        <v>187</v>
      </c>
      <c r="AS170" s="28" t="s">
        <v>186</v>
      </c>
      <c r="AT170" s="28" t="s">
        <v>186</v>
      </c>
      <c r="AU170" s="28" t="s">
        <v>187</v>
      </c>
      <c r="AV170" s="28" t="s">
        <v>186</v>
      </c>
      <c r="AW170" s="28" t="s">
        <v>187</v>
      </c>
      <c r="AX170" s="28" t="s">
        <v>186</v>
      </c>
      <c r="AY170" s="28" t="s">
        <v>186</v>
      </c>
      <c r="BC170" s="28">
        <v>81227109162</v>
      </c>
      <c r="BD170" s="28">
        <v>85725655572</v>
      </c>
      <c r="BE170" s="28">
        <v>82134957088</v>
      </c>
      <c r="BF170" s="28">
        <v>85341743715</v>
      </c>
      <c r="BG170" s="28">
        <v>85848583551</v>
      </c>
      <c r="BH170" s="28">
        <v>82288188042</v>
      </c>
      <c r="BI170" s="28">
        <v>895391478598</v>
      </c>
      <c r="BJ170" s="28">
        <v>81225126790</v>
      </c>
      <c r="BK170" s="28">
        <v>81223164414</v>
      </c>
      <c r="BO170" s="39">
        <v>60150802</v>
      </c>
      <c r="BP170" s="18" t="s">
        <v>2780</v>
      </c>
      <c r="BQ170" s="37">
        <v>44957</v>
      </c>
      <c r="BR170" s="8">
        <f t="shared" si="0"/>
        <v>9</v>
      </c>
    </row>
    <row r="171" spans="1:70" ht="15.5">
      <c r="A171" s="4" t="str">
        <v>Reguler Periode ke-101 VI.A.3</v>
      </c>
      <c r="B171" s="4" t="s">
        <v>2073</v>
      </c>
      <c r="C171" s="38" t="s">
        <v>1625</v>
      </c>
      <c r="D171" s="4" t="s">
        <v>2758</v>
      </c>
      <c r="E171" s="4" t="s">
        <v>2781</v>
      </c>
      <c r="F171" s="4" t="s">
        <v>193</v>
      </c>
      <c r="G171" s="27" t="s">
        <v>2782</v>
      </c>
      <c r="H171" s="27" t="s">
        <v>2783</v>
      </c>
      <c r="I171" s="27" t="s">
        <v>2784</v>
      </c>
      <c r="J171" s="27" t="s">
        <v>2785</v>
      </c>
      <c r="K171" s="27" t="s">
        <v>2786</v>
      </c>
      <c r="L171" s="27" t="s">
        <v>2787</v>
      </c>
      <c r="M171" s="27" t="s">
        <v>2788</v>
      </c>
      <c r="N171" s="27" t="s">
        <v>2789</v>
      </c>
      <c r="O171" s="27" t="s">
        <v>2790</v>
      </c>
      <c r="Q171" s="27"/>
      <c r="R171" s="27"/>
      <c r="S171" s="27">
        <v>1900001228</v>
      </c>
      <c r="T171" s="27">
        <v>1900004087</v>
      </c>
      <c r="U171" s="27">
        <v>1900005342</v>
      </c>
      <c r="V171" s="27">
        <v>1900012073</v>
      </c>
      <c r="W171" s="27">
        <v>1900016014</v>
      </c>
      <c r="X171" s="27">
        <v>1900018299</v>
      </c>
      <c r="Y171" s="27">
        <v>1900024186</v>
      </c>
      <c r="Z171" s="27">
        <v>1900026184</v>
      </c>
      <c r="AA171" s="27">
        <v>1900030016</v>
      </c>
      <c r="AC171" s="27"/>
      <c r="AD171" s="27"/>
      <c r="AE171" s="27" t="s">
        <v>180</v>
      </c>
      <c r="AF171" s="27" t="s">
        <v>201</v>
      </c>
      <c r="AG171" s="27" t="s">
        <v>181</v>
      </c>
      <c r="AH171" s="27" t="s">
        <v>885</v>
      </c>
      <c r="AI171" s="27" t="s">
        <v>531</v>
      </c>
      <c r="AJ171" s="27" t="s">
        <v>179</v>
      </c>
      <c r="AK171" s="27" t="s">
        <v>924</v>
      </c>
      <c r="AL171" s="27" t="s">
        <v>570</v>
      </c>
      <c r="AM171" s="27" t="s">
        <v>184</v>
      </c>
      <c r="AO171" s="28"/>
      <c r="AQ171" s="28" t="s">
        <v>186</v>
      </c>
      <c r="AR171" s="28" t="s">
        <v>187</v>
      </c>
      <c r="AS171" s="28" t="s">
        <v>186</v>
      </c>
      <c r="AT171" s="28" t="s">
        <v>186</v>
      </c>
      <c r="AU171" s="28" t="s">
        <v>187</v>
      </c>
      <c r="AV171" s="28" t="s">
        <v>186</v>
      </c>
      <c r="AW171" s="28" t="s">
        <v>187</v>
      </c>
      <c r="AX171" s="28" t="s">
        <v>186</v>
      </c>
      <c r="AY171" s="28" t="s">
        <v>186</v>
      </c>
      <c r="BC171" s="28">
        <v>89619932411</v>
      </c>
      <c r="BD171" s="28">
        <v>82170908751</v>
      </c>
      <c r="BE171" s="28">
        <v>81548896675</v>
      </c>
      <c r="BF171" s="28">
        <v>85876952048</v>
      </c>
      <c r="BG171" s="28">
        <v>89692739020</v>
      </c>
      <c r="BH171" s="28">
        <v>85786776708</v>
      </c>
      <c r="BI171" s="28">
        <v>82172722529</v>
      </c>
      <c r="BJ171" s="28">
        <v>85642741039</v>
      </c>
      <c r="BK171" s="28">
        <v>81225827362</v>
      </c>
      <c r="BO171" s="39">
        <v>60150802</v>
      </c>
      <c r="BP171" s="18" t="s">
        <v>2791</v>
      </c>
      <c r="BQ171" s="37">
        <v>44957</v>
      </c>
      <c r="BR171" s="8">
        <f t="shared" si="0"/>
        <v>9</v>
      </c>
    </row>
    <row r="172" spans="1:70" ht="15.5">
      <c r="A172" s="4" t="str">
        <v>Reguler Periode ke-101 VI.B.1</v>
      </c>
      <c r="B172" s="4" t="s">
        <v>2073</v>
      </c>
      <c r="C172" s="38" t="s">
        <v>1646</v>
      </c>
      <c r="D172" s="4" t="s">
        <v>2792</v>
      </c>
      <c r="E172" s="4" t="s">
        <v>2793</v>
      </c>
      <c r="F172" s="4" t="s">
        <v>193</v>
      </c>
      <c r="G172" s="27" t="s">
        <v>2794</v>
      </c>
      <c r="H172" s="27" t="s">
        <v>2795</v>
      </c>
      <c r="I172" s="27" t="s">
        <v>2796</v>
      </c>
      <c r="J172" s="27" t="s">
        <v>2797</v>
      </c>
      <c r="K172" s="27" t="s">
        <v>2798</v>
      </c>
      <c r="L172" s="27" t="s">
        <v>2799</v>
      </c>
      <c r="M172" s="27" t="s">
        <v>2800</v>
      </c>
      <c r="N172" s="27" t="s">
        <v>2801</v>
      </c>
      <c r="O172" s="27" t="s">
        <v>2802</v>
      </c>
      <c r="Q172" s="27"/>
      <c r="R172" s="27"/>
      <c r="S172" s="27">
        <v>1900001092</v>
      </c>
      <c r="T172" s="27">
        <v>1900004177</v>
      </c>
      <c r="U172" s="27">
        <v>1900005298</v>
      </c>
      <c r="V172" s="27">
        <v>1900012236</v>
      </c>
      <c r="W172" s="27">
        <v>1900016072</v>
      </c>
      <c r="X172" s="27">
        <v>1900018106</v>
      </c>
      <c r="Y172" s="27">
        <v>1900024370</v>
      </c>
      <c r="Z172" s="27">
        <v>1900026264</v>
      </c>
      <c r="AA172" s="27">
        <v>1900030135</v>
      </c>
      <c r="AB172" s="27"/>
      <c r="AC172" s="27"/>
      <c r="AD172" s="27"/>
      <c r="AE172" s="27" t="s">
        <v>180</v>
      </c>
      <c r="AF172" s="27" t="s">
        <v>201</v>
      </c>
      <c r="AG172" s="27" t="s">
        <v>181</v>
      </c>
      <c r="AH172" s="27" t="s">
        <v>885</v>
      </c>
      <c r="AI172" s="27" t="s">
        <v>531</v>
      </c>
      <c r="AJ172" s="27" t="s">
        <v>179</v>
      </c>
      <c r="AK172" s="27" t="s">
        <v>924</v>
      </c>
      <c r="AL172" s="27" t="s">
        <v>570</v>
      </c>
      <c r="AM172" s="27" t="s">
        <v>184</v>
      </c>
      <c r="AP172" s="28"/>
      <c r="AQ172" s="28" t="s">
        <v>186</v>
      </c>
      <c r="AR172" s="28" t="s">
        <v>187</v>
      </c>
      <c r="AS172" s="28" t="s">
        <v>186</v>
      </c>
      <c r="AT172" s="28" t="s">
        <v>186</v>
      </c>
      <c r="AU172" s="28" t="s">
        <v>187</v>
      </c>
      <c r="AV172" s="28" t="s">
        <v>186</v>
      </c>
      <c r="AW172" s="28" t="s">
        <v>187</v>
      </c>
      <c r="AX172" s="28" t="s">
        <v>186</v>
      </c>
      <c r="AY172" s="28" t="s">
        <v>186</v>
      </c>
      <c r="BB172" s="28"/>
      <c r="BC172" s="28">
        <v>83173808362</v>
      </c>
      <c r="BD172" s="28">
        <v>81315718553</v>
      </c>
      <c r="BE172" s="28">
        <v>83146514984</v>
      </c>
      <c r="BF172" s="28">
        <v>82352706623</v>
      </c>
      <c r="BG172" s="28">
        <v>85722382371</v>
      </c>
      <c r="BH172" s="28">
        <v>87721830287</v>
      </c>
      <c r="BI172" s="28">
        <v>81370683401</v>
      </c>
      <c r="BJ172" s="28">
        <v>89673548280</v>
      </c>
      <c r="BK172" s="28">
        <v>82112002312</v>
      </c>
      <c r="BO172" s="39">
        <v>60160916</v>
      </c>
      <c r="BP172" s="18" t="s">
        <v>2803</v>
      </c>
      <c r="BQ172" s="37">
        <v>44957</v>
      </c>
      <c r="BR172" s="8">
        <f t="shared" si="0"/>
        <v>9</v>
      </c>
    </row>
    <row r="173" spans="1:70" ht="15.5">
      <c r="A173" s="4" t="str">
        <v>Reguler Periode ke-101 VI.B.2</v>
      </c>
      <c r="B173" s="4" t="s">
        <v>2073</v>
      </c>
      <c r="C173" s="38" t="s">
        <v>1668</v>
      </c>
      <c r="D173" s="4" t="s">
        <v>2792</v>
      </c>
      <c r="E173" s="4" t="s">
        <v>2804</v>
      </c>
      <c r="F173" s="4" t="s">
        <v>193</v>
      </c>
      <c r="G173" s="27" t="s">
        <v>2805</v>
      </c>
      <c r="H173" s="27" t="s">
        <v>2806</v>
      </c>
      <c r="I173" s="27" t="s">
        <v>2807</v>
      </c>
      <c r="J173" s="27" t="s">
        <v>2808</v>
      </c>
      <c r="K173" s="27" t="s">
        <v>2809</v>
      </c>
      <c r="L173" s="27" t="s">
        <v>2810</v>
      </c>
      <c r="M173" s="27" t="s">
        <v>2811</v>
      </c>
      <c r="N173" s="27" t="s">
        <v>2812</v>
      </c>
      <c r="O173" s="27" t="s">
        <v>2813</v>
      </c>
      <c r="S173" s="27">
        <v>1700026106</v>
      </c>
      <c r="T173" s="27">
        <v>1800012061</v>
      </c>
      <c r="U173" s="27">
        <v>1800025054</v>
      </c>
      <c r="V173" s="27">
        <v>1900001160</v>
      </c>
      <c r="W173" s="27">
        <v>1900004165</v>
      </c>
      <c r="X173" s="27">
        <v>1900005158</v>
      </c>
      <c r="Y173" s="27">
        <v>1900016026</v>
      </c>
      <c r="Z173" s="27">
        <v>1900018143</v>
      </c>
      <c r="AA173" s="27">
        <v>1900030365</v>
      </c>
      <c r="AB173" s="27"/>
      <c r="AC173" s="27"/>
      <c r="AE173" s="27" t="s">
        <v>570</v>
      </c>
      <c r="AF173" s="27" t="s">
        <v>885</v>
      </c>
      <c r="AG173" s="27" t="s">
        <v>1168</v>
      </c>
      <c r="AH173" s="27" t="s">
        <v>180</v>
      </c>
      <c r="AI173" s="27" t="s">
        <v>201</v>
      </c>
      <c r="AJ173" s="27" t="s">
        <v>181</v>
      </c>
      <c r="AK173" s="27" t="s">
        <v>531</v>
      </c>
      <c r="AL173" s="27" t="s">
        <v>179</v>
      </c>
      <c r="AM173" s="27" t="s">
        <v>184</v>
      </c>
      <c r="AO173" s="28"/>
      <c r="AP173" s="28"/>
      <c r="AQ173" s="28" t="s">
        <v>186</v>
      </c>
      <c r="AR173" s="28" t="s">
        <v>186</v>
      </c>
      <c r="AS173" s="28" t="s">
        <v>187</v>
      </c>
      <c r="AT173" s="28" t="s">
        <v>186</v>
      </c>
      <c r="AU173" s="28" t="s">
        <v>187</v>
      </c>
      <c r="AV173" s="28" t="s">
        <v>186</v>
      </c>
      <c r="AW173" s="28" t="s">
        <v>187</v>
      </c>
      <c r="AX173" s="28" t="s">
        <v>186</v>
      </c>
      <c r="AY173" s="28" t="s">
        <v>186</v>
      </c>
      <c r="BB173" s="28"/>
      <c r="BC173" s="28">
        <v>81329844803</v>
      </c>
      <c r="BD173" s="28">
        <v>87856799176</v>
      </c>
      <c r="BE173" s="28">
        <v>81236104403</v>
      </c>
      <c r="BF173" s="28">
        <v>89656752128</v>
      </c>
      <c r="BG173" s="28">
        <v>81345374330</v>
      </c>
      <c r="BH173" s="28">
        <v>82231975143</v>
      </c>
      <c r="BI173" s="28">
        <v>89661382675</v>
      </c>
      <c r="BJ173" s="28">
        <v>85337143988</v>
      </c>
      <c r="BK173" s="28">
        <v>87786189623</v>
      </c>
      <c r="BO173" s="39">
        <v>60160916</v>
      </c>
      <c r="BP173" s="18" t="s">
        <v>2814</v>
      </c>
      <c r="BQ173" s="37">
        <v>44957</v>
      </c>
      <c r="BR173" s="8">
        <f t="shared" si="0"/>
        <v>9</v>
      </c>
    </row>
    <row r="174" spans="1:70" ht="15.5">
      <c r="A174" s="4" t="str">
        <v>Reguler Periode ke-101 VI.B.3</v>
      </c>
      <c r="B174" s="4" t="s">
        <v>2073</v>
      </c>
      <c r="C174" s="38" t="s">
        <v>1689</v>
      </c>
      <c r="D174" s="4" t="s">
        <v>2792</v>
      </c>
      <c r="E174" s="4" t="s">
        <v>2815</v>
      </c>
      <c r="F174" s="4" t="s">
        <v>193</v>
      </c>
      <c r="G174" s="27" t="s">
        <v>2816</v>
      </c>
      <c r="H174" s="27" t="s">
        <v>2817</v>
      </c>
      <c r="I174" s="27" t="s">
        <v>2818</v>
      </c>
      <c r="J174" s="27" t="s">
        <v>2819</v>
      </c>
      <c r="K174" s="27" t="s">
        <v>2820</v>
      </c>
      <c r="L174" s="27" t="s">
        <v>2821</v>
      </c>
      <c r="M174" s="27" t="s">
        <v>2822</v>
      </c>
      <c r="N174" s="27" t="s">
        <v>2823</v>
      </c>
      <c r="O174" s="27" t="s">
        <v>2824</v>
      </c>
      <c r="R174" s="27"/>
      <c r="S174" s="27">
        <v>1900001115</v>
      </c>
      <c r="T174" s="27">
        <v>1900004146</v>
      </c>
      <c r="U174" s="27">
        <v>1900005114</v>
      </c>
      <c r="V174" s="27">
        <v>1900012120</v>
      </c>
      <c r="W174" s="27">
        <v>1900016141</v>
      </c>
      <c r="X174" s="27">
        <v>1900018332</v>
      </c>
      <c r="Y174" s="27">
        <v>1900025026</v>
      </c>
      <c r="Z174" s="27">
        <v>1900026056</v>
      </c>
      <c r="AA174" s="27">
        <v>1900030284</v>
      </c>
      <c r="AB174" s="27"/>
      <c r="AC174" s="27"/>
      <c r="AD174" s="27"/>
      <c r="AE174" s="27" t="s">
        <v>180</v>
      </c>
      <c r="AF174" s="27" t="s">
        <v>201</v>
      </c>
      <c r="AG174" s="27" t="s">
        <v>181</v>
      </c>
      <c r="AH174" s="27" t="s">
        <v>885</v>
      </c>
      <c r="AI174" s="27" t="s">
        <v>531</v>
      </c>
      <c r="AJ174" s="27" t="s">
        <v>179</v>
      </c>
      <c r="AK174" s="27" t="s">
        <v>1168</v>
      </c>
      <c r="AL174" s="27" t="s">
        <v>570</v>
      </c>
      <c r="AM174" s="27" t="s">
        <v>184</v>
      </c>
      <c r="AO174" s="28"/>
      <c r="AP174" s="28"/>
      <c r="AQ174" s="28" t="s">
        <v>186</v>
      </c>
      <c r="AR174" s="28" t="s">
        <v>187</v>
      </c>
      <c r="AS174" s="28" t="s">
        <v>186</v>
      </c>
      <c r="AT174" s="28" t="s">
        <v>186</v>
      </c>
      <c r="AU174" s="28" t="s">
        <v>187</v>
      </c>
      <c r="AV174" s="28" t="s">
        <v>186</v>
      </c>
      <c r="AW174" s="28" t="s">
        <v>187</v>
      </c>
      <c r="AX174" s="28" t="s">
        <v>186</v>
      </c>
      <c r="AY174" s="28" t="s">
        <v>186</v>
      </c>
      <c r="BA174" s="28"/>
      <c r="BC174" s="28">
        <v>81392918611</v>
      </c>
      <c r="BD174" s="28">
        <v>82177665013</v>
      </c>
      <c r="BE174" s="28">
        <v>85609427246</v>
      </c>
      <c r="BF174" s="28">
        <v>81330571189</v>
      </c>
      <c r="BG174" s="28">
        <v>82144355717</v>
      </c>
      <c r="BH174" s="28">
        <v>82340243654</v>
      </c>
      <c r="BI174" s="28">
        <v>81380069810</v>
      </c>
      <c r="BJ174" s="28">
        <v>895385266975</v>
      </c>
      <c r="BK174" s="28">
        <v>82323934451</v>
      </c>
      <c r="BO174" s="39">
        <v>60160916</v>
      </c>
      <c r="BP174" s="18" t="s">
        <v>2825</v>
      </c>
      <c r="BQ174" s="37">
        <v>44957</v>
      </c>
      <c r="BR174" s="8">
        <f t="shared" si="0"/>
        <v>9</v>
      </c>
    </row>
    <row r="175" spans="1:70" ht="15.5">
      <c r="A175" s="4" t="str">
        <v>Reguler Periode ke-101 VI.C.1</v>
      </c>
      <c r="B175" s="4" t="s">
        <v>2073</v>
      </c>
      <c r="C175" s="38" t="s">
        <v>1709</v>
      </c>
      <c r="D175" s="4" t="s">
        <v>2826</v>
      </c>
      <c r="E175" s="4" t="s">
        <v>2827</v>
      </c>
      <c r="F175" s="4" t="s">
        <v>193</v>
      </c>
      <c r="G175" s="27" t="s">
        <v>2828</v>
      </c>
      <c r="H175" s="27" t="s">
        <v>2829</v>
      </c>
      <c r="I175" s="27" t="s">
        <v>2830</v>
      </c>
      <c r="J175" s="27" t="s">
        <v>2831</v>
      </c>
      <c r="K175" s="27" t="s">
        <v>2832</v>
      </c>
      <c r="L175" s="27" t="s">
        <v>2833</v>
      </c>
      <c r="M175" s="27" t="s">
        <v>2834</v>
      </c>
      <c r="N175" s="27" t="s">
        <v>2835</v>
      </c>
      <c r="O175" s="27" t="s">
        <v>2836</v>
      </c>
      <c r="Q175" s="27"/>
      <c r="S175" s="27">
        <v>1800018347</v>
      </c>
      <c r="T175" s="27">
        <v>1800030483</v>
      </c>
      <c r="U175" s="27">
        <v>1900001180</v>
      </c>
      <c r="V175" s="27">
        <v>1900005128</v>
      </c>
      <c r="W175" s="27">
        <v>1900005276</v>
      </c>
      <c r="X175" s="27">
        <v>1900012110</v>
      </c>
      <c r="Y175" s="27">
        <v>1900016130</v>
      </c>
      <c r="Z175" s="27">
        <v>1900025073</v>
      </c>
      <c r="AA175" s="27">
        <v>1900026051</v>
      </c>
      <c r="AB175" s="27"/>
      <c r="AC175" s="27"/>
      <c r="AE175" s="27" t="s">
        <v>179</v>
      </c>
      <c r="AF175" s="27" t="s">
        <v>184</v>
      </c>
      <c r="AG175" s="27" t="s">
        <v>180</v>
      </c>
      <c r="AH175" s="27" t="s">
        <v>181</v>
      </c>
      <c r="AI175" s="27" t="s">
        <v>181</v>
      </c>
      <c r="AJ175" s="27" t="s">
        <v>885</v>
      </c>
      <c r="AK175" s="27" t="s">
        <v>531</v>
      </c>
      <c r="AL175" s="27" t="s">
        <v>1168</v>
      </c>
      <c r="AM175" s="27" t="s">
        <v>570</v>
      </c>
      <c r="AN175" s="28"/>
      <c r="AO175" s="28"/>
      <c r="AQ175" s="28" t="s">
        <v>186</v>
      </c>
      <c r="AR175" s="28" t="s">
        <v>186</v>
      </c>
      <c r="AS175" s="28" t="s">
        <v>186</v>
      </c>
      <c r="AT175" s="28" t="s">
        <v>186</v>
      </c>
      <c r="AU175" s="28" t="s">
        <v>187</v>
      </c>
      <c r="AV175" s="28" t="s">
        <v>186</v>
      </c>
      <c r="AW175" s="28" t="s">
        <v>187</v>
      </c>
      <c r="AX175" s="28" t="s">
        <v>187</v>
      </c>
      <c r="AY175" s="28" t="s">
        <v>186</v>
      </c>
      <c r="BA175" s="28"/>
      <c r="BC175" s="28">
        <v>85290693025</v>
      </c>
      <c r="BD175" s="28">
        <v>82119293800</v>
      </c>
      <c r="BE175" s="28">
        <v>81227004510</v>
      </c>
      <c r="BF175" s="28">
        <v>895329558318</v>
      </c>
      <c r="BG175" s="28">
        <v>87802571424</v>
      </c>
      <c r="BH175" s="28">
        <v>85702223262</v>
      </c>
      <c r="BI175" s="28">
        <v>81247735492</v>
      </c>
      <c r="BJ175" s="28">
        <v>81992284678</v>
      </c>
      <c r="BK175" s="28">
        <v>85524434842</v>
      </c>
      <c r="BO175" s="39">
        <v>60181170</v>
      </c>
      <c r="BP175" s="18" t="s">
        <v>2837</v>
      </c>
      <c r="BQ175" s="37">
        <v>44957</v>
      </c>
      <c r="BR175" s="8">
        <f t="shared" si="0"/>
        <v>9</v>
      </c>
    </row>
    <row r="176" spans="1:70" ht="15.5">
      <c r="A176" s="4" t="str">
        <v>Reguler Periode ke-101 VI.C.2</v>
      </c>
      <c r="B176" s="4" t="s">
        <v>2073</v>
      </c>
      <c r="C176" s="38" t="s">
        <v>1731</v>
      </c>
      <c r="D176" s="4" t="s">
        <v>2826</v>
      </c>
      <c r="E176" s="4" t="s">
        <v>2838</v>
      </c>
      <c r="F176" s="4" t="s">
        <v>193</v>
      </c>
      <c r="G176" s="27" t="s">
        <v>2839</v>
      </c>
      <c r="H176" s="27" t="s">
        <v>2840</v>
      </c>
      <c r="I176" s="27" t="s">
        <v>2841</v>
      </c>
      <c r="J176" s="27" t="s">
        <v>2842</v>
      </c>
      <c r="K176" s="27" t="s">
        <v>2843</v>
      </c>
      <c r="L176" s="27" t="s">
        <v>2844</v>
      </c>
      <c r="M176" s="27" t="s">
        <v>2845</v>
      </c>
      <c r="N176" s="27" t="s">
        <v>2846</v>
      </c>
      <c r="O176" s="27" t="s">
        <v>2847</v>
      </c>
      <c r="R176" s="27"/>
      <c r="S176" s="27">
        <v>1900001154</v>
      </c>
      <c r="T176" s="27">
        <v>1900005195</v>
      </c>
      <c r="U176" s="27">
        <v>1900005292</v>
      </c>
      <c r="V176" s="27">
        <v>1900012087</v>
      </c>
      <c r="W176" s="27">
        <v>1900016116</v>
      </c>
      <c r="X176" s="27">
        <v>1900018377</v>
      </c>
      <c r="Y176" s="27">
        <v>1900025049</v>
      </c>
      <c r="Z176" s="27">
        <v>1900026293</v>
      </c>
      <c r="AA176" s="27">
        <v>1900030176</v>
      </c>
      <c r="AD176" s="27"/>
      <c r="AE176" s="27" t="s">
        <v>180</v>
      </c>
      <c r="AF176" s="27" t="s">
        <v>181</v>
      </c>
      <c r="AG176" s="27" t="s">
        <v>181</v>
      </c>
      <c r="AH176" s="27" t="s">
        <v>885</v>
      </c>
      <c r="AI176" s="27" t="s">
        <v>531</v>
      </c>
      <c r="AJ176" s="27" t="s">
        <v>179</v>
      </c>
      <c r="AK176" s="27" t="s">
        <v>1168</v>
      </c>
      <c r="AL176" s="27" t="s">
        <v>570</v>
      </c>
      <c r="AM176" s="27" t="s">
        <v>184</v>
      </c>
      <c r="AN176" s="28"/>
      <c r="AO176" s="28"/>
      <c r="AQ176" s="28" t="s">
        <v>186</v>
      </c>
      <c r="AR176" s="28" t="s">
        <v>186</v>
      </c>
      <c r="AS176" s="28" t="s">
        <v>187</v>
      </c>
      <c r="AT176" s="28" t="s">
        <v>186</v>
      </c>
      <c r="AU176" s="28" t="s">
        <v>187</v>
      </c>
      <c r="AV176" s="28" t="s">
        <v>186</v>
      </c>
      <c r="AW176" s="28" t="s">
        <v>187</v>
      </c>
      <c r="AX176" s="28" t="s">
        <v>186</v>
      </c>
      <c r="AY176" s="28" t="s">
        <v>186</v>
      </c>
      <c r="BB176" s="28"/>
      <c r="BC176" s="28">
        <v>81228188028</v>
      </c>
      <c r="BD176" s="28">
        <v>895345957300</v>
      </c>
      <c r="BE176" s="28">
        <v>87701530781</v>
      </c>
      <c r="BF176" s="28">
        <v>82279836740</v>
      </c>
      <c r="BG176" s="28">
        <v>8974102936</v>
      </c>
      <c r="BH176" s="28">
        <v>82322293124</v>
      </c>
      <c r="BI176" s="28">
        <v>8965519340</v>
      </c>
      <c r="BJ176" s="28">
        <v>82140308342</v>
      </c>
      <c r="BK176" s="28">
        <v>895377055465</v>
      </c>
      <c r="BO176" s="39">
        <v>60181170</v>
      </c>
      <c r="BP176" s="18" t="s">
        <v>2848</v>
      </c>
      <c r="BQ176" s="37">
        <v>44957</v>
      </c>
      <c r="BR176" s="8">
        <f t="shared" si="0"/>
        <v>9</v>
      </c>
    </row>
    <row r="177" spans="1:70" ht="15.5">
      <c r="A177" s="4" t="str">
        <v>Reguler Periode ke-101 VI.C.3</v>
      </c>
      <c r="B177" s="4" t="s">
        <v>2073</v>
      </c>
      <c r="C177" s="38" t="s">
        <v>1752</v>
      </c>
      <c r="D177" s="4" t="s">
        <v>2826</v>
      </c>
      <c r="E177" s="4" t="s">
        <v>2849</v>
      </c>
      <c r="F177" s="4" t="s">
        <v>193</v>
      </c>
      <c r="G177" s="27" t="s">
        <v>2850</v>
      </c>
      <c r="H177" s="27" t="s">
        <v>2851</v>
      </c>
      <c r="I177" s="27" t="s">
        <v>2852</v>
      </c>
      <c r="J177" s="27" t="s">
        <v>2853</v>
      </c>
      <c r="K177" s="27" t="s">
        <v>2854</v>
      </c>
      <c r="L177" s="27" t="s">
        <v>2855</v>
      </c>
      <c r="M177" s="27" t="s">
        <v>2856</v>
      </c>
      <c r="N177" s="27" t="s">
        <v>2857</v>
      </c>
      <c r="O177" s="27" t="s">
        <v>2858</v>
      </c>
      <c r="Q177" s="27"/>
      <c r="R177" s="27"/>
      <c r="S177" s="27">
        <v>1900001063</v>
      </c>
      <c r="T177" s="27">
        <v>1900005023</v>
      </c>
      <c r="U177" s="27">
        <v>1900005055</v>
      </c>
      <c r="V177" s="27">
        <v>1900012119</v>
      </c>
      <c r="W177" s="27">
        <v>1900016098</v>
      </c>
      <c r="X177" s="27">
        <v>1900018339</v>
      </c>
      <c r="Y177" s="27">
        <v>1900025050</v>
      </c>
      <c r="Z177" s="27">
        <v>1900026062</v>
      </c>
      <c r="AA177" s="27">
        <v>1900030046</v>
      </c>
      <c r="AB177" s="27"/>
      <c r="AC177" s="27"/>
      <c r="AD177" s="27"/>
      <c r="AE177" s="27" t="s">
        <v>180</v>
      </c>
      <c r="AF177" s="27" t="s">
        <v>181</v>
      </c>
      <c r="AG177" s="27" t="s">
        <v>181</v>
      </c>
      <c r="AH177" s="27" t="s">
        <v>885</v>
      </c>
      <c r="AI177" s="27" t="s">
        <v>531</v>
      </c>
      <c r="AJ177" s="27" t="s">
        <v>179</v>
      </c>
      <c r="AK177" s="27" t="s">
        <v>1168</v>
      </c>
      <c r="AL177" s="27" t="s">
        <v>570</v>
      </c>
      <c r="AM177" s="27" t="s">
        <v>184</v>
      </c>
      <c r="AN177" s="28"/>
      <c r="AP177" s="28"/>
      <c r="AQ177" s="28" t="s">
        <v>186</v>
      </c>
      <c r="AR177" s="28" t="s">
        <v>187</v>
      </c>
      <c r="AS177" s="28" t="s">
        <v>186</v>
      </c>
      <c r="AT177" s="28" t="s">
        <v>186</v>
      </c>
      <c r="AU177" s="28" t="s">
        <v>187</v>
      </c>
      <c r="AV177" s="28" t="s">
        <v>186</v>
      </c>
      <c r="AW177" s="28" t="s">
        <v>187</v>
      </c>
      <c r="AX177" s="28" t="s">
        <v>186</v>
      </c>
      <c r="AY177" s="28" t="s">
        <v>186</v>
      </c>
      <c r="BB177" s="28"/>
      <c r="BC177" s="28">
        <v>87869206195</v>
      </c>
      <c r="BD177" s="28">
        <v>82226247863</v>
      </c>
      <c r="BE177" s="28">
        <v>85821447726</v>
      </c>
      <c r="BF177" s="28">
        <v>81268175749</v>
      </c>
      <c r="BG177" s="28">
        <v>83869188721</v>
      </c>
      <c r="BH177" s="28">
        <v>81220683774</v>
      </c>
      <c r="BI177" s="28">
        <v>85721625377</v>
      </c>
      <c r="BJ177" s="28">
        <v>83154759051</v>
      </c>
      <c r="BK177" s="28">
        <v>81217150348</v>
      </c>
      <c r="BO177" s="39">
        <v>60181170</v>
      </c>
      <c r="BP177" s="18" t="s">
        <v>2859</v>
      </c>
      <c r="BQ177" s="37">
        <v>44957</v>
      </c>
      <c r="BR177" s="8">
        <f t="shared" si="0"/>
        <v>9</v>
      </c>
    </row>
    <row r="178" spans="1:70" ht="15.5">
      <c r="A178" s="4" t="str">
        <v>Reguler Periode ke-101 VI.D.1</v>
      </c>
      <c r="B178" s="4" t="s">
        <v>2073</v>
      </c>
      <c r="C178" s="38" t="s">
        <v>1774</v>
      </c>
      <c r="D178" s="4" t="s">
        <v>2860</v>
      </c>
      <c r="E178" s="4" t="s">
        <v>2861</v>
      </c>
      <c r="F178" s="4" t="s">
        <v>193</v>
      </c>
      <c r="G178" s="27" t="s">
        <v>2862</v>
      </c>
      <c r="H178" s="27" t="s">
        <v>2863</v>
      </c>
      <c r="I178" s="27" t="s">
        <v>2864</v>
      </c>
      <c r="J178" s="27" t="s">
        <v>2865</v>
      </c>
      <c r="K178" s="27" t="s">
        <v>2866</v>
      </c>
      <c r="L178" s="27" t="s">
        <v>2867</v>
      </c>
      <c r="M178" s="27" t="s">
        <v>2868</v>
      </c>
      <c r="N178" s="27" t="s">
        <v>2869</v>
      </c>
      <c r="O178" s="27" t="s">
        <v>2870</v>
      </c>
      <c r="Q178" s="27"/>
      <c r="S178" s="27">
        <v>1900001030</v>
      </c>
      <c r="T178" s="27">
        <v>1900005070</v>
      </c>
      <c r="U178" s="27">
        <v>1900005077</v>
      </c>
      <c r="V178" s="27">
        <v>1900012101</v>
      </c>
      <c r="W178" s="27">
        <v>1900016185</v>
      </c>
      <c r="X178" s="27">
        <v>1900018144</v>
      </c>
      <c r="Y178" s="27">
        <v>1900025067</v>
      </c>
      <c r="Z178" s="27">
        <v>1900026113</v>
      </c>
      <c r="AA178" s="27">
        <v>1900030277</v>
      </c>
      <c r="AC178" s="27"/>
      <c r="AD178" s="27"/>
      <c r="AE178" s="27" t="s">
        <v>180</v>
      </c>
      <c r="AF178" s="27" t="s">
        <v>181</v>
      </c>
      <c r="AG178" s="27" t="s">
        <v>181</v>
      </c>
      <c r="AH178" s="27" t="s">
        <v>885</v>
      </c>
      <c r="AI178" s="27" t="s">
        <v>531</v>
      </c>
      <c r="AJ178" s="27" t="s">
        <v>179</v>
      </c>
      <c r="AK178" s="27" t="s">
        <v>1168</v>
      </c>
      <c r="AL178" s="27" t="s">
        <v>570</v>
      </c>
      <c r="AM178" s="27" t="s">
        <v>184</v>
      </c>
      <c r="AN178" s="28"/>
      <c r="AO178" s="28"/>
      <c r="AQ178" s="28" t="s">
        <v>186</v>
      </c>
      <c r="AR178" s="28" t="s">
        <v>186</v>
      </c>
      <c r="AS178" s="28" t="s">
        <v>187</v>
      </c>
      <c r="AT178" s="28" t="s">
        <v>186</v>
      </c>
      <c r="AU178" s="28" t="s">
        <v>187</v>
      </c>
      <c r="AV178" s="28" t="s">
        <v>186</v>
      </c>
      <c r="AW178" s="28" t="s">
        <v>187</v>
      </c>
      <c r="AX178" s="28" t="s">
        <v>186</v>
      </c>
      <c r="AY178" s="28" t="s">
        <v>186</v>
      </c>
      <c r="BB178" s="28"/>
      <c r="BC178" s="28">
        <v>81391669471</v>
      </c>
      <c r="BD178" s="28">
        <v>88232639415</v>
      </c>
      <c r="BE178" s="28">
        <v>81349682955</v>
      </c>
      <c r="BF178" s="28">
        <v>81379701962</v>
      </c>
      <c r="BG178" s="28">
        <v>82241225041</v>
      </c>
      <c r="BH178" s="28">
        <v>85337074205</v>
      </c>
      <c r="BI178" s="28">
        <v>81214294544</v>
      </c>
      <c r="BJ178" s="28">
        <v>87763610735</v>
      </c>
      <c r="BK178" s="28">
        <v>82220957563</v>
      </c>
      <c r="BO178" s="39">
        <v>60191217</v>
      </c>
      <c r="BP178" s="18" t="s">
        <v>2871</v>
      </c>
      <c r="BQ178" s="37">
        <v>44957</v>
      </c>
      <c r="BR178" s="8">
        <f t="shared" si="0"/>
        <v>9</v>
      </c>
    </row>
    <row r="179" spans="1:70" ht="15.5">
      <c r="A179" s="4" t="str">
        <v>Reguler Periode ke-101 VI.D.2</v>
      </c>
      <c r="B179" s="4" t="s">
        <v>2073</v>
      </c>
      <c r="C179" s="38" t="s">
        <v>1796</v>
      </c>
      <c r="D179" s="4" t="s">
        <v>2860</v>
      </c>
      <c r="E179" s="4" t="s">
        <v>2872</v>
      </c>
      <c r="F179" s="4" t="s">
        <v>193</v>
      </c>
      <c r="G179" s="27" t="s">
        <v>2873</v>
      </c>
      <c r="H179" s="27" t="s">
        <v>2874</v>
      </c>
      <c r="I179" s="27" t="s">
        <v>2875</v>
      </c>
      <c r="J179" s="27" t="s">
        <v>2876</v>
      </c>
      <c r="K179" s="27" t="s">
        <v>2877</v>
      </c>
      <c r="L179" s="27" t="s">
        <v>2878</v>
      </c>
      <c r="M179" s="27" t="s">
        <v>2879</v>
      </c>
      <c r="N179" s="27" t="s">
        <v>2880</v>
      </c>
      <c r="O179" s="27" t="s">
        <v>2881</v>
      </c>
      <c r="Q179" s="27"/>
      <c r="R179" s="27"/>
      <c r="S179" s="27">
        <v>1900001145</v>
      </c>
      <c r="T179" s="27">
        <v>1900005350</v>
      </c>
      <c r="U179" s="27">
        <v>1900005393</v>
      </c>
      <c r="V179" s="27">
        <v>1900012218</v>
      </c>
      <c r="W179" s="27">
        <v>1900016012</v>
      </c>
      <c r="X179" s="27">
        <v>1900018133</v>
      </c>
      <c r="Y179" s="27">
        <v>1900025063</v>
      </c>
      <c r="Z179" s="27">
        <v>1900026007</v>
      </c>
      <c r="AA179" s="27">
        <v>1900030360</v>
      </c>
      <c r="AB179" s="27"/>
      <c r="AC179" s="27"/>
      <c r="AE179" s="27" t="s">
        <v>180</v>
      </c>
      <c r="AF179" s="27" t="s">
        <v>181</v>
      </c>
      <c r="AG179" s="27" t="s">
        <v>181</v>
      </c>
      <c r="AH179" s="27" t="s">
        <v>885</v>
      </c>
      <c r="AI179" s="27" t="s">
        <v>531</v>
      </c>
      <c r="AJ179" s="27" t="s">
        <v>179</v>
      </c>
      <c r="AK179" s="27" t="s">
        <v>1168</v>
      </c>
      <c r="AL179" s="27" t="s">
        <v>570</v>
      </c>
      <c r="AM179" s="27" t="s">
        <v>184</v>
      </c>
      <c r="AN179" s="28"/>
      <c r="AO179" s="28"/>
      <c r="AP179" s="28"/>
      <c r="AQ179" s="28" t="s">
        <v>186</v>
      </c>
      <c r="AR179" s="28" t="s">
        <v>187</v>
      </c>
      <c r="AS179" s="28" t="s">
        <v>186</v>
      </c>
      <c r="AT179" s="28" t="s">
        <v>186</v>
      </c>
      <c r="AU179" s="28" t="s">
        <v>187</v>
      </c>
      <c r="AV179" s="28" t="s">
        <v>186</v>
      </c>
      <c r="AW179" s="28" t="s">
        <v>187</v>
      </c>
      <c r="AX179" s="28" t="s">
        <v>186</v>
      </c>
      <c r="AY179" s="28" t="s">
        <v>186</v>
      </c>
      <c r="BA179" s="28"/>
      <c r="BB179" s="28"/>
      <c r="BC179" s="28">
        <v>81386122890</v>
      </c>
      <c r="BD179" s="28">
        <v>88238037498</v>
      </c>
      <c r="BE179" s="28">
        <v>895424490093</v>
      </c>
      <c r="BF179" s="28">
        <v>81347370214</v>
      </c>
      <c r="BG179" s="28">
        <v>82213222210</v>
      </c>
      <c r="BH179" s="28">
        <v>83896829275</v>
      </c>
      <c r="BI179" s="28">
        <v>85799493397</v>
      </c>
      <c r="BJ179" s="28">
        <v>82232962667</v>
      </c>
      <c r="BK179" s="28">
        <v>89686784929</v>
      </c>
      <c r="BO179" s="39">
        <v>60191217</v>
      </c>
      <c r="BP179" s="18" t="s">
        <v>2882</v>
      </c>
      <c r="BQ179" s="37">
        <v>44957</v>
      </c>
      <c r="BR179" s="8">
        <f t="shared" si="0"/>
        <v>9</v>
      </c>
    </row>
    <row r="180" spans="1:70" ht="15.5">
      <c r="A180" s="4" t="str">
        <v>Reguler Periode ke-101 VI.D.3</v>
      </c>
      <c r="B180" s="4" t="s">
        <v>2073</v>
      </c>
      <c r="C180" s="38" t="s">
        <v>2883</v>
      </c>
      <c r="D180" s="4" t="s">
        <v>2860</v>
      </c>
      <c r="E180" s="4" t="s">
        <v>2884</v>
      </c>
      <c r="F180" s="4" t="s">
        <v>193</v>
      </c>
      <c r="G180" s="27" t="s">
        <v>2885</v>
      </c>
      <c r="H180" s="27" t="s">
        <v>2886</v>
      </c>
      <c r="I180" s="27" t="s">
        <v>2887</v>
      </c>
      <c r="J180" s="27" t="s">
        <v>2888</v>
      </c>
      <c r="K180" s="27" t="s">
        <v>2889</v>
      </c>
      <c r="L180" s="27" t="s">
        <v>2890</v>
      </c>
      <c r="M180" s="27" t="s">
        <v>2891</v>
      </c>
      <c r="N180" s="27" t="s">
        <v>2892</v>
      </c>
      <c r="O180" s="27" t="s">
        <v>2893</v>
      </c>
      <c r="S180" s="27">
        <v>1800005141</v>
      </c>
      <c r="T180" s="27">
        <v>1900001110</v>
      </c>
      <c r="U180" s="27">
        <v>1900005155</v>
      </c>
      <c r="V180" s="27">
        <v>1900012058</v>
      </c>
      <c r="W180" s="27">
        <v>1900016067</v>
      </c>
      <c r="X180" s="27">
        <v>1900018304</v>
      </c>
      <c r="Y180" s="27">
        <v>1900025064</v>
      </c>
      <c r="Z180" s="27">
        <v>1900026161</v>
      </c>
      <c r="AA180" s="27">
        <v>1900031206</v>
      </c>
      <c r="AB180" s="27"/>
      <c r="AC180" s="27"/>
      <c r="AD180" s="27"/>
      <c r="AE180" s="27" t="s">
        <v>181</v>
      </c>
      <c r="AF180" s="27" t="s">
        <v>180</v>
      </c>
      <c r="AG180" s="27" t="s">
        <v>181</v>
      </c>
      <c r="AH180" s="27" t="s">
        <v>885</v>
      </c>
      <c r="AI180" s="27" t="s">
        <v>531</v>
      </c>
      <c r="AJ180" s="27" t="s">
        <v>179</v>
      </c>
      <c r="AK180" s="27" t="s">
        <v>1168</v>
      </c>
      <c r="AL180" s="27" t="s">
        <v>570</v>
      </c>
      <c r="AM180" s="27" t="s">
        <v>185</v>
      </c>
      <c r="AN180" s="28"/>
      <c r="AO180" s="28"/>
      <c r="AQ180" s="28" t="s">
        <v>187</v>
      </c>
      <c r="AR180" s="28" t="s">
        <v>186</v>
      </c>
      <c r="AS180" s="28" t="s">
        <v>186</v>
      </c>
      <c r="AT180" s="28" t="s">
        <v>186</v>
      </c>
      <c r="AU180" s="28" t="s">
        <v>187</v>
      </c>
      <c r="AV180" s="28" t="s">
        <v>186</v>
      </c>
      <c r="AW180" s="28" t="s">
        <v>187</v>
      </c>
      <c r="AX180" s="28" t="s">
        <v>186</v>
      </c>
      <c r="AY180" s="28" t="s">
        <v>186</v>
      </c>
      <c r="BA180" s="28"/>
      <c r="BC180" s="28">
        <v>81274831743</v>
      </c>
      <c r="BD180" s="28">
        <v>81288539664</v>
      </c>
      <c r="BE180" s="28">
        <v>82138371132</v>
      </c>
      <c r="BF180" s="28">
        <v>82180021122</v>
      </c>
      <c r="BG180" s="28">
        <v>81337259070</v>
      </c>
      <c r="BH180" s="28">
        <v>89637893512</v>
      </c>
      <c r="BI180" s="28">
        <v>89623070222</v>
      </c>
      <c r="BJ180" s="28">
        <v>87878311399</v>
      </c>
      <c r="BK180" s="28">
        <v>85747415578</v>
      </c>
      <c r="BO180" s="39">
        <v>60191217</v>
      </c>
      <c r="BP180" s="18" t="s">
        <v>2894</v>
      </c>
      <c r="BQ180" s="37">
        <v>44957</v>
      </c>
      <c r="BR180" s="8">
        <f t="shared" si="0"/>
        <v>9</v>
      </c>
    </row>
    <row r="181" spans="1:70" ht="15.5">
      <c r="A181" s="4" t="str">
        <v>Reguler Periode ke-101 VII.A.1</v>
      </c>
      <c r="B181" s="4" t="s">
        <v>2073</v>
      </c>
      <c r="C181" s="38" t="s">
        <v>1817</v>
      </c>
      <c r="D181" s="4" t="s">
        <v>346</v>
      </c>
      <c r="E181" s="4" t="s">
        <v>2895</v>
      </c>
      <c r="F181" s="4" t="s">
        <v>193</v>
      </c>
      <c r="G181" s="27" t="s">
        <v>2896</v>
      </c>
      <c r="H181" s="27" t="s">
        <v>2897</v>
      </c>
      <c r="I181" s="27" t="s">
        <v>2898</v>
      </c>
      <c r="J181" s="27" t="s">
        <v>2899</v>
      </c>
      <c r="K181" s="27" t="s">
        <v>2900</v>
      </c>
      <c r="L181" s="27" t="s">
        <v>2901</v>
      </c>
      <c r="M181" s="27" t="s">
        <v>2902</v>
      </c>
      <c r="N181" s="27" t="s">
        <v>2903</v>
      </c>
      <c r="O181" s="27" t="s">
        <v>2904</v>
      </c>
      <c r="Q181" s="27"/>
      <c r="R181" s="27"/>
      <c r="S181" s="27">
        <v>1900001053</v>
      </c>
      <c r="T181" s="27">
        <v>1900005123</v>
      </c>
      <c r="U181" s="27">
        <v>1900005386</v>
      </c>
      <c r="V181" s="27">
        <v>1900012028</v>
      </c>
      <c r="W181" s="27">
        <v>1900016151</v>
      </c>
      <c r="X181" s="27">
        <v>1900018288</v>
      </c>
      <c r="Y181" s="27">
        <v>1900025045</v>
      </c>
      <c r="Z181" s="27">
        <v>1900026192</v>
      </c>
      <c r="AA181" s="27">
        <v>1900031119</v>
      </c>
      <c r="AB181" s="27"/>
      <c r="AC181" s="27"/>
      <c r="AE181" s="27" t="s">
        <v>180</v>
      </c>
      <c r="AF181" s="27" t="s">
        <v>181</v>
      </c>
      <c r="AG181" s="27" t="s">
        <v>181</v>
      </c>
      <c r="AH181" s="27" t="s">
        <v>885</v>
      </c>
      <c r="AI181" s="27" t="s">
        <v>531</v>
      </c>
      <c r="AJ181" s="27" t="s">
        <v>179</v>
      </c>
      <c r="AK181" s="27" t="s">
        <v>1168</v>
      </c>
      <c r="AL181" s="27" t="s">
        <v>570</v>
      </c>
      <c r="AM181" s="27" t="s">
        <v>185</v>
      </c>
      <c r="AN181" s="28"/>
      <c r="AO181" s="28"/>
      <c r="AQ181" s="28" t="s">
        <v>186</v>
      </c>
      <c r="AR181" s="28" t="s">
        <v>187</v>
      </c>
      <c r="AS181" s="28" t="s">
        <v>186</v>
      </c>
      <c r="AT181" s="28" t="s">
        <v>186</v>
      </c>
      <c r="AU181" s="28" t="s">
        <v>187</v>
      </c>
      <c r="AV181" s="28" t="s">
        <v>186</v>
      </c>
      <c r="AW181" s="28" t="s">
        <v>187</v>
      </c>
      <c r="AX181" s="28" t="s">
        <v>186</v>
      </c>
      <c r="AY181" s="28" t="s">
        <v>186</v>
      </c>
      <c r="BC181" s="28">
        <v>83842065628</v>
      </c>
      <c r="BD181" s="28">
        <v>85802548440</v>
      </c>
      <c r="BE181" s="28">
        <v>85870301011</v>
      </c>
      <c r="BF181" s="28">
        <v>85754073693</v>
      </c>
      <c r="BG181" s="28">
        <v>85351985500</v>
      </c>
      <c r="BH181" s="28">
        <v>81243839503</v>
      </c>
      <c r="BI181" s="28">
        <v>87830300722</v>
      </c>
      <c r="BJ181" s="28">
        <v>81804036301</v>
      </c>
      <c r="BK181" s="28">
        <v>82124005816</v>
      </c>
      <c r="BO181" s="39">
        <v>60160966</v>
      </c>
      <c r="BP181" s="18" t="s">
        <v>2905</v>
      </c>
      <c r="BQ181" s="37">
        <v>44957</v>
      </c>
      <c r="BR181" s="8">
        <f t="shared" si="0"/>
        <v>9</v>
      </c>
    </row>
    <row r="182" spans="1:70" ht="15.5">
      <c r="A182" s="4" t="str">
        <v>Reguler Periode ke-101 VII.A.2</v>
      </c>
      <c r="B182" s="4" t="s">
        <v>2073</v>
      </c>
      <c r="C182" s="38" t="s">
        <v>1839</v>
      </c>
      <c r="D182" s="4" t="s">
        <v>346</v>
      </c>
      <c r="E182" s="4" t="s">
        <v>2906</v>
      </c>
      <c r="F182" s="4" t="s">
        <v>193</v>
      </c>
      <c r="G182" s="27" t="s">
        <v>2907</v>
      </c>
      <c r="H182" s="27" t="s">
        <v>2908</v>
      </c>
      <c r="I182" s="27" t="s">
        <v>2909</v>
      </c>
      <c r="J182" s="27" t="s">
        <v>2910</v>
      </c>
      <c r="K182" s="27" t="s">
        <v>2911</v>
      </c>
      <c r="L182" s="27" t="s">
        <v>2912</v>
      </c>
      <c r="M182" s="27" t="s">
        <v>2913</v>
      </c>
      <c r="N182" s="27" t="s">
        <v>2914</v>
      </c>
      <c r="O182" s="27" t="s">
        <v>2915</v>
      </c>
      <c r="R182" s="27"/>
      <c r="S182" s="27">
        <v>1811025065</v>
      </c>
      <c r="T182" s="27">
        <v>1900001221</v>
      </c>
      <c r="U182" s="27">
        <v>1900005196</v>
      </c>
      <c r="V182" s="27">
        <v>1900005294</v>
      </c>
      <c r="W182" s="27">
        <v>1900012211</v>
      </c>
      <c r="X182" s="27">
        <v>1900016196</v>
      </c>
      <c r="Y182" s="27">
        <v>1900018228</v>
      </c>
      <c r="Z182" s="27">
        <v>1900026292</v>
      </c>
      <c r="AA182" s="27">
        <v>1900031129</v>
      </c>
      <c r="AB182" s="27"/>
      <c r="AE182" s="27" t="s">
        <v>1168</v>
      </c>
      <c r="AF182" s="27" t="s">
        <v>180</v>
      </c>
      <c r="AG182" s="27" t="s">
        <v>181</v>
      </c>
      <c r="AH182" s="27" t="s">
        <v>181</v>
      </c>
      <c r="AI182" s="27" t="s">
        <v>885</v>
      </c>
      <c r="AJ182" s="27" t="s">
        <v>531</v>
      </c>
      <c r="AK182" s="27" t="s">
        <v>179</v>
      </c>
      <c r="AL182" s="27" t="s">
        <v>570</v>
      </c>
      <c r="AM182" s="27" t="s">
        <v>185</v>
      </c>
      <c r="AN182" s="28"/>
      <c r="AO182" s="28"/>
      <c r="AP182" s="28"/>
      <c r="AQ182" s="28" t="s">
        <v>187</v>
      </c>
      <c r="AR182" s="28" t="s">
        <v>186</v>
      </c>
      <c r="AS182" s="28" t="s">
        <v>187</v>
      </c>
      <c r="AT182" s="28" t="s">
        <v>186</v>
      </c>
      <c r="AU182" s="28" t="s">
        <v>186</v>
      </c>
      <c r="AV182" s="28" t="s">
        <v>187</v>
      </c>
      <c r="AW182" s="28" t="s">
        <v>186</v>
      </c>
      <c r="AX182" s="28" t="s">
        <v>186</v>
      </c>
      <c r="AY182" s="28" t="s">
        <v>186</v>
      </c>
      <c r="BA182" s="28"/>
      <c r="BC182" s="28">
        <v>8993124827</v>
      </c>
      <c r="BD182" s="28">
        <v>85759121242</v>
      </c>
      <c r="BE182" s="28">
        <v>82119698098</v>
      </c>
      <c r="BF182" s="28">
        <v>81586772910</v>
      </c>
      <c r="BG182" s="28">
        <v>85273792003</v>
      </c>
      <c r="BH182" s="28">
        <v>628974526699</v>
      </c>
      <c r="BI182" s="28">
        <v>82298882451</v>
      </c>
      <c r="BJ182" s="28">
        <v>895363327098</v>
      </c>
      <c r="BK182" s="28">
        <v>82252132503</v>
      </c>
      <c r="BO182" s="39">
        <v>60160966</v>
      </c>
      <c r="BP182" s="18" t="s">
        <v>2916</v>
      </c>
      <c r="BQ182" s="37">
        <v>44957</v>
      </c>
      <c r="BR182" s="8">
        <f t="shared" si="0"/>
        <v>9</v>
      </c>
    </row>
    <row r="183" spans="1:70" ht="15.5">
      <c r="A183" s="4" t="str">
        <v>Reguler Periode ke-101 VII.A.3</v>
      </c>
      <c r="B183" s="4" t="s">
        <v>2073</v>
      </c>
      <c r="C183" s="38" t="s">
        <v>1860</v>
      </c>
      <c r="D183" s="4" t="s">
        <v>346</v>
      </c>
      <c r="E183" s="4" t="s">
        <v>2917</v>
      </c>
      <c r="F183" s="4" t="s">
        <v>193</v>
      </c>
      <c r="G183" s="27" t="s">
        <v>2918</v>
      </c>
      <c r="H183" s="27" t="s">
        <v>2919</v>
      </c>
      <c r="I183" s="27" t="s">
        <v>2920</v>
      </c>
      <c r="J183" s="27" t="s">
        <v>2921</v>
      </c>
      <c r="K183" s="27" t="s">
        <v>2922</v>
      </c>
      <c r="L183" s="27" t="s">
        <v>2923</v>
      </c>
      <c r="M183" s="27" t="s">
        <v>2924</v>
      </c>
      <c r="N183" s="27" t="s">
        <v>2925</v>
      </c>
      <c r="O183" s="27" t="s">
        <v>2926</v>
      </c>
      <c r="Q183" s="27"/>
      <c r="S183" s="27">
        <v>1900001082</v>
      </c>
      <c r="T183" s="27">
        <v>1900005012</v>
      </c>
      <c r="U183" s="27">
        <v>1900005351</v>
      </c>
      <c r="V183" s="27">
        <v>1900012185</v>
      </c>
      <c r="W183" s="27">
        <v>1900016074</v>
      </c>
      <c r="X183" s="27">
        <v>1900018235</v>
      </c>
      <c r="Y183" s="27">
        <v>1900025028</v>
      </c>
      <c r="Z183" s="27">
        <v>1900026195</v>
      </c>
      <c r="AA183" s="27">
        <v>1900031282</v>
      </c>
      <c r="AB183" s="27"/>
      <c r="AC183" s="27"/>
      <c r="AE183" s="27" t="s">
        <v>180</v>
      </c>
      <c r="AF183" s="27" t="s">
        <v>181</v>
      </c>
      <c r="AG183" s="27" t="s">
        <v>181</v>
      </c>
      <c r="AH183" s="27" t="s">
        <v>885</v>
      </c>
      <c r="AI183" s="27" t="s">
        <v>531</v>
      </c>
      <c r="AJ183" s="27" t="s">
        <v>179</v>
      </c>
      <c r="AK183" s="27" t="s">
        <v>1168</v>
      </c>
      <c r="AL183" s="27" t="s">
        <v>570</v>
      </c>
      <c r="AM183" s="27" t="s">
        <v>185</v>
      </c>
      <c r="AN183" s="28"/>
      <c r="AO183" s="28"/>
      <c r="AQ183" s="28" t="s">
        <v>186</v>
      </c>
      <c r="AR183" s="28" t="s">
        <v>186</v>
      </c>
      <c r="AS183" s="28" t="s">
        <v>187</v>
      </c>
      <c r="AT183" s="28" t="s">
        <v>186</v>
      </c>
      <c r="AU183" s="28" t="s">
        <v>187</v>
      </c>
      <c r="AV183" s="28" t="s">
        <v>186</v>
      </c>
      <c r="AW183" s="28" t="s">
        <v>187</v>
      </c>
      <c r="AX183" s="28" t="s">
        <v>186</v>
      </c>
      <c r="AY183" s="28" t="s">
        <v>186</v>
      </c>
      <c r="BA183" s="28"/>
      <c r="BB183" s="28"/>
      <c r="BC183" s="28">
        <v>82282502595</v>
      </c>
      <c r="BD183" s="28">
        <v>89524075900</v>
      </c>
      <c r="BE183" s="28">
        <v>82180263702</v>
      </c>
      <c r="BF183" s="28">
        <v>87755157449</v>
      </c>
      <c r="BG183" s="28">
        <v>82328622825</v>
      </c>
      <c r="BH183" s="28">
        <v>81347638255</v>
      </c>
      <c r="BI183" s="28">
        <v>81933791999</v>
      </c>
      <c r="BJ183" s="28">
        <v>85800506685</v>
      </c>
      <c r="BK183" s="28">
        <v>82327710766</v>
      </c>
      <c r="BO183" s="39">
        <v>60160966</v>
      </c>
      <c r="BP183" s="18" t="s">
        <v>2927</v>
      </c>
      <c r="BQ183" s="37">
        <v>44957</v>
      </c>
      <c r="BR183" s="8">
        <f t="shared" si="0"/>
        <v>9</v>
      </c>
    </row>
    <row r="184" spans="1:70" ht="15.5">
      <c r="A184" s="4" t="str">
        <v>Reguler Periode ke-101 VII.B.1</v>
      </c>
      <c r="B184" s="4" t="s">
        <v>2073</v>
      </c>
      <c r="C184" s="38" t="s">
        <v>1881</v>
      </c>
      <c r="D184" s="4" t="s">
        <v>2928</v>
      </c>
      <c r="E184" s="4" t="s">
        <v>2929</v>
      </c>
      <c r="F184" s="4" t="s">
        <v>193</v>
      </c>
      <c r="G184" s="27" t="s">
        <v>2930</v>
      </c>
      <c r="H184" s="27" t="s">
        <v>2931</v>
      </c>
      <c r="I184" s="27" t="s">
        <v>2932</v>
      </c>
      <c r="J184" s="27" t="s">
        <v>2933</v>
      </c>
      <c r="K184" s="27" t="s">
        <v>2934</v>
      </c>
      <c r="L184" s="27" t="s">
        <v>2935</v>
      </c>
      <c r="M184" s="27" t="s">
        <v>2936</v>
      </c>
      <c r="N184" s="27" t="s">
        <v>2937</v>
      </c>
      <c r="O184" s="27" t="s">
        <v>2938</v>
      </c>
      <c r="R184" s="27"/>
      <c r="S184" s="27">
        <v>1900001108</v>
      </c>
      <c r="T184" s="27">
        <v>1900005335</v>
      </c>
      <c r="U184" s="27">
        <v>1900005399</v>
      </c>
      <c r="V184" s="27">
        <v>1900012171</v>
      </c>
      <c r="W184" s="27">
        <v>1900017022</v>
      </c>
      <c r="X184" s="27">
        <v>1900018169</v>
      </c>
      <c r="Y184" s="27">
        <v>1900025075</v>
      </c>
      <c r="Z184" s="27">
        <v>1900026231</v>
      </c>
      <c r="AA184" s="27">
        <v>1900031195</v>
      </c>
      <c r="AB184" s="27"/>
      <c r="AC184" s="27"/>
      <c r="AD184" s="27"/>
      <c r="AE184" s="27" t="s">
        <v>180</v>
      </c>
      <c r="AF184" s="27" t="s">
        <v>181</v>
      </c>
      <c r="AG184" s="27" t="s">
        <v>181</v>
      </c>
      <c r="AH184" s="27" t="s">
        <v>885</v>
      </c>
      <c r="AI184" s="27" t="s">
        <v>183</v>
      </c>
      <c r="AJ184" s="27" t="s">
        <v>179</v>
      </c>
      <c r="AK184" s="27" t="s">
        <v>1168</v>
      </c>
      <c r="AL184" s="27" t="s">
        <v>570</v>
      </c>
      <c r="AM184" s="27" t="s">
        <v>185</v>
      </c>
      <c r="AO184" s="28"/>
      <c r="AQ184" s="28" t="s">
        <v>186</v>
      </c>
      <c r="AR184" s="28" t="s">
        <v>187</v>
      </c>
      <c r="AS184" s="28" t="s">
        <v>186</v>
      </c>
      <c r="AT184" s="28" t="s">
        <v>186</v>
      </c>
      <c r="AU184" s="28" t="s">
        <v>187</v>
      </c>
      <c r="AV184" s="28" t="s">
        <v>186</v>
      </c>
      <c r="AW184" s="28" t="s">
        <v>187</v>
      </c>
      <c r="AX184" s="28" t="s">
        <v>186</v>
      </c>
      <c r="AY184" s="28" t="s">
        <v>186</v>
      </c>
      <c r="BA184" s="28"/>
      <c r="BC184" s="28">
        <v>83867424549</v>
      </c>
      <c r="BD184" s="28">
        <v>85648531372</v>
      </c>
      <c r="BE184" s="28">
        <v>81329666358</v>
      </c>
      <c r="BF184" s="28">
        <v>81229623848</v>
      </c>
      <c r="BG184" s="28">
        <v>81228959087</v>
      </c>
      <c r="BH184" s="28">
        <v>81233047854</v>
      </c>
      <c r="BI184" s="28">
        <v>81326244941</v>
      </c>
      <c r="BJ184" s="28">
        <v>88214930619</v>
      </c>
      <c r="BK184" s="28">
        <v>859138572882</v>
      </c>
      <c r="BO184" s="39">
        <v>60150783</v>
      </c>
      <c r="BP184" s="18" t="s">
        <v>2939</v>
      </c>
      <c r="BQ184" s="37">
        <v>44957</v>
      </c>
      <c r="BR184" s="8">
        <f t="shared" si="0"/>
        <v>9</v>
      </c>
    </row>
    <row r="185" spans="1:70" ht="15.5">
      <c r="A185" s="4" t="str">
        <v>Reguler Periode ke-101 VII.B.2</v>
      </c>
      <c r="B185" s="4" t="s">
        <v>2073</v>
      </c>
      <c r="C185" s="38" t="s">
        <v>1903</v>
      </c>
      <c r="D185" s="4" t="s">
        <v>2928</v>
      </c>
      <c r="E185" s="4" t="s">
        <v>2940</v>
      </c>
      <c r="F185" s="4" t="s">
        <v>193</v>
      </c>
      <c r="G185" s="27" t="s">
        <v>2941</v>
      </c>
      <c r="H185" s="27" t="s">
        <v>2942</v>
      </c>
      <c r="I185" s="27" t="s">
        <v>2943</v>
      </c>
      <c r="J185" s="27" t="s">
        <v>2944</v>
      </c>
      <c r="K185" s="27" t="s">
        <v>2945</v>
      </c>
      <c r="L185" s="27" t="s">
        <v>2946</v>
      </c>
      <c r="M185" s="27" t="s">
        <v>2947</v>
      </c>
      <c r="N185" s="27" t="s">
        <v>2948</v>
      </c>
      <c r="O185" s="27" t="s">
        <v>2949</v>
      </c>
      <c r="Q185" s="27"/>
      <c r="S185" s="27">
        <v>1900001163</v>
      </c>
      <c r="T185" s="27">
        <v>1900005300</v>
      </c>
      <c r="U185" s="27">
        <v>1900005373</v>
      </c>
      <c r="V185" s="27">
        <v>1900012157</v>
      </c>
      <c r="W185" s="27">
        <v>1900017104</v>
      </c>
      <c r="X185" s="27">
        <v>1900018276</v>
      </c>
      <c r="Y185" s="27">
        <v>1900025056</v>
      </c>
      <c r="Z185" s="27">
        <v>1900026229</v>
      </c>
      <c r="AA185" s="27">
        <v>1900031244</v>
      </c>
      <c r="AB185" s="27"/>
      <c r="AD185" s="27"/>
      <c r="AE185" s="27" t="s">
        <v>180</v>
      </c>
      <c r="AF185" s="27" t="s">
        <v>181</v>
      </c>
      <c r="AG185" s="27" t="s">
        <v>181</v>
      </c>
      <c r="AH185" s="27" t="s">
        <v>885</v>
      </c>
      <c r="AI185" s="27" t="s">
        <v>183</v>
      </c>
      <c r="AJ185" s="27" t="s">
        <v>179</v>
      </c>
      <c r="AK185" s="27" t="s">
        <v>1168</v>
      </c>
      <c r="AL185" s="27" t="s">
        <v>570</v>
      </c>
      <c r="AM185" s="27" t="s">
        <v>185</v>
      </c>
      <c r="AO185" s="28"/>
      <c r="AQ185" s="28" t="s">
        <v>186</v>
      </c>
      <c r="AR185" s="28" t="s">
        <v>187</v>
      </c>
      <c r="AS185" s="28" t="s">
        <v>186</v>
      </c>
      <c r="AT185" s="28" t="s">
        <v>186</v>
      </c>
      <c r="AU185" s="28" t="s">
        <v>187</v>
      </c>
      <c r="AV185" s="28" t="s">
        <v>186</v>
      </c>
      <c r="AW185" s="28" t="s">
        <v>187</v>
      </c>
      <c r="AX185" s="28" t="s">
        <v>186</v>
      </c>
      <c r="AY185" s="28" t="s">
        <v>186</v>
      </c>
      <c r="BA185" s="28"/>
      <c r="BB185" s="28"/>
      <c r="BC185" s="28">
        <v>8822291005</v>
      </c>
      <c r="BD185" s="28">
        <v>82133892103</v>
      </c>
      <c r="BE185" s="28">
        <v>85641946212</v>
      </c>
      <c r="BF185" s="28">
        <v>85327829081</v>
      </c>
      <c r="BG185" s="28">
        <v>895392126464</v>
      </c>
      <c r="BH185" s="28">
        <v>895423494095</v>
      </c>
      <c r="BI185" s="28">
        <v>82313116939</v>
      </c>
      <c r="BJ185" s="28">
        <v>81342625474</v>
      </c>
      <c r="BK185" s="28">
        <v>85226401569</v>
      </c>
      <c r="BO185" s="39">
        <v>60150783</v>
      </c>
      <c r="BP185" s="18" t="s">
        <v>2950</v>
      </c>
      <c r="BQ185" s="37">
        <v>44957</v>
      </c>
      <c r="BR185" s="8">
        <f t="shared" si="0"/>
        <v>9</v>
      </c>
    </row>
    <row r="186" spans="1:70" ht="15.5">
      <c r="A186" s="4" t="str">
        <v>Reguler Periode ke-101 VII.B.3</v>
      </c>
      <c r="B186" s="4" t="s">
        <v>2073</v>
      </c>
      <c r="C186" s="38" t="s">
        <v>1924</v>
      </c>
      <c r="D186" s="4" t="s">
        <v>2928</v>
      </c>
      <c r="E186" s="4" t="s">
        <v>2951</v>
      </c>
      <c r="F186" s="4" t="s">
        <v>193</v>
      </c>
      <c r="G186" s="27" t="s">
        <v>2952</v>
      </c>
      <c r="H186" s="27" t="s">
        <v>2953</v>
      </c>
      <c r="I186" s="27" t="s">
        <v>2954</v>
      </c>
      <c r="J186" s="27" t="s">
        <v>2955</v>
      </c>
      <c r="K186" s="27" t="s">
        <v>2956</v>
      </c>
      <c r="L186" s="27" t="s">
        <v>2957</v>
      </c>
      <c r="M186" s="27" t="s">
        <v>2958</v>
      </c>
      <c r="N186" s="27" t="s">
        <v>2959</v>
      </c>
      <c r="O186" s="27" t="s">
        <v>2960</v>
      </c>
      <c r="Q186" s="27"/>
      <c r="R186" s="27"/>
      <c r="S186" s="27">
        <v>1800031060</v>
      </c>
      <c r="T186" s="27">
        <v>1900001148</v>
      </c>
      <c r="U186" s="27">
        <v>1900005208</v>
      </c>
      <c r="V186" s="27">
        <v>1900005214</v>
      </c>
      <c r="W186" s="27">
        <v>1900012109</v>
      </c>
      <c r="X186" s="27">
        <v>1900017099</v>
      </c>
      <c r="Y186" s="27">
        <v>1900018359</v>
      </c>
      <c r="Z186" s="27">
        <v>1900025072</v>
      </c>
      <c r="AA186" s="27">
        <v>1900026089</v>
      </c>
      <c r="AC186" s="27"/>
      <c r="AD186" s="27"/>
      <c r="AE186" s="27" t="s">
        <v>185</v>
      </c>
      <c r="AF186" s="27" t="s">
        <v>180</v>
      </c>
      <c r="AG186" s="27" t="s">
        <v>181</v>
      </c>
      <c r="AH186" s="27" t="s">
        <v>181</v>
      </c>
      <c r="AI186" s="27" t="s">
        <v>885</v>
      </c>
      <c r="AJ186" s="27" t="s">
        <v>183</v>
      </c>
      <c r="AK186" s="27" t="s">
        <v>179</v>
      </c>
      <c r="AL186" s="27" t="s">
        <v>1168</v>
      </c>
      <c r="AM186" s="27" t="s">
        <v>570</v>
      </c>
      <c r="AO186" s="28"/>
      <c r="AP186" s="28"/>
      <c r="AQ186" s="28" t="s">
        <v>186</v>
      </c>
      <c r="AR186" s="28" t="s">
        <v>186</v>
      </c>
      <c r="AS186" s="28" t="s">
        <v>186</v>
      </c>
      <c r="AT186" s="28" t="s">
        <v>187</v>
      </c>
      <c r="AU186" s="28" t="s">
        <v>186</v>
      </c>
      <c r="AV186" s="28" t="s">
        <v>187</v>
      </c>
      <c r="AW186" s="28" t="s">
        <v>186</v>
      </c>
      <c r="AX186" s="28" t="s">
        <v>187</v>
      </c>
      <c r="AY186" s="28" t="s">
        <v>186</v>
      </c>
      <c r="BB186" s="28"/>
      <c r="BC186" s="28">
        <v>85878720797</v>
      </c>
      <c r="BD186" s="28">
        <v>82241946715</v>
      </c>
      <c r="BE186" s="28">
        <v>87730947559</v>
      </c>
      <c r="BF186" s="28">
        <v>81353161315</v>
      </c>
      <c r="BG186" s="28">
        <v>81341096158</v>
      </c>
      <c r="BH186" s="28">
        <v>87730114174</v>
      </c>
      <c r="BI186" s="28">
        <v>81226888625</v>
      </c>
      <c r="BJ186" s="28">
        <v>8985507078</v>
      </c>
      <c r="BK186" s="28" t="s">
        <v>2961</v>
      </c>
      <c r="BO186" s="39">
        <v>60150783</v>
      </c>
      <c r="BP186" s="18" t="s">
        <v>2962</v>
      </c>
      <c r="BQ186" s="37">
        <v>44957</v>
      </c>
      <c r="BR186" s="8">
        <f t="shared" si="0"/>
        <v>9</v>
      </c>
    </row>
    <row r="187" spans="1:70" ht="15.5">
      <c r="A187" s="4" t="str">
        <v>Reguler Periode ke-101 VII.C.1</v>
      </c>
      <c r="B187" s="4" t="s">
        <v>2073</v>
      </c>
      <c r="C187" s="38" t="s">
        <v>1945</v>
      </c>
      <c r="D187" s="4" t="s">
        <v>344</v>
      </c>
      <c r="E187" s="4" t="s">
        <v>2963</v>
      </c>
      <c r="F187" s="4" t="s">
        <v>193</v>
      </c>
      <c r="G187" s="27" t="s">
        <v>2964</v>
      </c>
      <c r="H187" s="27" t="s">
        <v>2965</v>
      </c>
      <c r="I187" s="27" t="s">
        <v>2966</v>
      </c>
      <c r="J187" s="27" t="s">
        <v>2967</v>
      </c>
      <c r="K187" s="27" t="s">
        <v>2968</v>
      </c>
      <c r="L187" s="27" t="s">
        <v>2969</v>
      </c>
      <c r="M187" s="27" t="s">
        <v>2970</v>
      </c>
      <c r="N187" s="27" t="s">
        <v>2971</v>
      </c>
      <c r="O187" s="27" t="s">
        <v>2972</v>
      </c>
      <c r="Q187" s="27"/>
      <c r="S187" s="27">
        <v>1900001003</v>
      </c>
      <c r="T187" s="27">
        <v>1900005079</v>
      </c>
      <c r="U187" s="27">
        <v>1900005206</v>
      </c>
      <c r="V187" s="27">
        <v>1900012081</v>
      </c>
      <c r="W187" s="27">
        <v>1900017029</v>
      </c>
      <c r="X187" s="27">
        <v>1900018234</v>
      </c>
      <c r="Y187" s="27">
        <v>1900025071</v>
      </c>
      <c r="Z187" s="27">
        <v>1900026047</v>
      </c>
      <c r="AA187" s="27">
        <v>1900031165</v>
      </c>
      <c r="AB187" s="27"/>
      <c r="AD187" s="27"/>
      <c r="AE187" s="27" t="s">
        <v>180</v>
      </c>
      <c r="AF187" s="27" t="s">
        <v>181</v>
      </c>
      <c r="AG187" s="27" t="s">
        <v>181</v>
      </c>
      <c r="AH187" s="27" t="s">
        <v>885</v>
      </c>
      <c r="AI187" s="27" t="s">
        <v>183</v>
      </c>
      <c r="AJ187" s="27" t="s">
        <v>179</v>
      </c>
      <c r="AK187" s="27" t="s">
        <v>1168</v>
      </c>
      <c r="AL187" s="27" t="s">
        <v>570</v>
      </c>
      <c r="AM187" s="27" t="s">
        <v>185</v>
      </c>
      <c r="AQ187" s="28" t="s">
        <v>186</v>
      </c>
      <c r="AR187" s="28" t="s">
        <v>187</v>
      </c>
      <c r="AS187" s="28" t="s">
        <v>186</v>
      </c>
      <c r="AT187" s="28" t="s">
        <v>186</v>
      </c>
      <c r="AU187" s="28" t="s">
        <v>187</v>
      </c>
      <c r="AV187" s="28" t="s">
        <v>186</v>
      </c>
      <c r="AW187" s="28" t="s">
        <v>187</v>
      </c>
      <c r="AX187" s="28" t="s">
        <v>186</v>
      </c>
      <c r="AY187" s="28" t="s">
        <v>186</v>
      </c>
      <c r="BA187" s="28"/>
      <c r="BB187" s="28"/>
      <c r="BC187" s="28">
        <v>85821880900</v>
      </c>
      <c r="BD187" s="28">
        <v>8976867443</v>
      </c>
      <c r="BE187" s="28">
        <v>895363174499</v>
      </c>
      <c r="BF187" s="28">
        <v>82238669084</v>
      </c>
      <c r="BG187" s="28">
        <v>82338492471</v>
      </c>
      <c r="BH187" s="28">
        <v>81389106906</v>
      </c>
      <c r="BI187" s="28">
        <v>82226293031</v>
      </c>
      <c r="BJ187" s="28">
        <v>82116196665</v>
      </c>
      <c r="BK187" s="28">
        <v>82285898176</v>
      </c>
      <c r="BO187" s="39" t="s">
        <v>349</v>
      </c>
      <c r="BP187" s="18" t="s">
        <v>2973</v>
      </c>
      <c r="BQ187" s="37">
        <v>44957</v>
      </c>
      <c r="BR187" s="8">
        <f t="shared" si="0"/>
        <v>9</v>
      </c>
    </row>
    <row r="188" spans="1:70" ht="15.5">
      <c r="A188" s="4" t="str">
        <v>Reguler Periode ke-101 VII.C.2</v>
      </c>
      <c r="B188" s="4" t="s">
        <v>2073</v>
      </c>
      <c r="C188" s="38" t="s">
        <v>1967</v>
      </c>
      <c r="D188" s="4" t="s">
        <v>344</v>
      </c>
      <c r="E188" s="4" t="s">
        <v>2974</v>
      </c>
      <c r="F188" s="4" t="s">
        <v>193</v>
      </c>
      <c r="G188" s="27" t="s">
        <v>2975</v>
      </c>
      <c r="H188" s="27" t="s">
        <v>2976</v>
      </c>
      <c r="I188" s="27" t="s">
        <v>2977</v>
      </c>
      <c r="J188" s="27" t="s">
        <v>2978</v>
      </c>
      <c r="K188" s="27" t="s">
        <v>2979</v>
      </c>
      <c r="L188" s="27" t="s">
        <v>2980</v>
      </c>
      <c r="M188" s="27" t="s">
        <v>2981</v>
      </c>
      <c r="N188" s="27" t="s">
        <v>2982</v>
      </c>
      <c r="O188" s="27" t="s">
        <v>2983</v>
      </c>
      <c r="Q188" s="27"/>
      <c r="S188" s="27">
        <v>1900001156</v>
      </c>
      <c r="T188" s="27">
        <v>1900005032</v>
      </c>
      <c r="U188" s="27">
        <v>1900005232</v>
      </c>
      <c r="V188" s="27">
        <v>1900012050</v>
      </c>
      <c r="W188" s="27">
        <v>1900017033</v>
      </c>
      <c r="X188" s="27">
        <v>1900018214</v>
      </c>
      <c r="Y188" s="27">
        <v>1900025088</v>
      </c>
      <c r="Z188" s="27">
        <v>1900026234</v>
      </c>
      <c r="AA188" s="27">
        <v>1900031357</v>
      </c>
      <c r="AB188" s="27"/>
      <c r="AC188" s="27"/>
      <c r="AE188" s="27" t="s">
        <v>180</v>
      </c>
      <c r="AF188" s="27" t="s">
        <v>181</v>
      </c>
      <c r="AG188" s="27" t="s">
        <v>181</v>
      </c>
      <c r="AH188" s="27" t="s">
        <v>885</v>
      </c>
      <c r="AI188" s="27" t="s">
        <v>183</v>
      </c>
      <c r="AJ188" s="27" t="s">
        <v>179</v>
      </c>
      <c r="AK188" s="27" t="s">
        <v>1168</v>
      </c>
      <c r="AL188" s="27" t="s">
        <v>570</v>
      </c>
      <c r="AM188" s="27" t="s">
        <v>185</v>
      </c>
      <c r="AP188" s="28"/>
      <c r="AQ188" s="28" t="s">
        <v>186</v>
      </c>
      <c r="AR188" s="28" t="s">
        <v>187</v>
      </c>
      <c r="AS188" s="28" t="s">
        <v>186</v>
      </c>
      <c r="AT188" s="28" t="s">
        <v>186</v>
      </c>
      <c r="AU188" s="28" t="s">
        <v>187</v>
      </c>
      <c r="AV188" s="28" t="s">
        <v>186</v>
      </c>
      <c r="AW188" s="28" t="s">
        <v>187</v>
      </c>
      <c r="AX188" s="28" t="s">
        <v>186</v>
      </c>
      <c r="AY188" s="28" t="s">
        <v>186</v>
      </c>
      <c r="BA188" s="28"/>
      <c r="BB188" s="28"/>
      <c r="BC188" s="28" t="s">
        <v>2984</v>
      </c>
      <c r="BD188" s="28">
        <v>81957173942</v>
      </c>
      <c r="BE188" s="28">
        <v>81271600803</v>
      </c>
      <c r="BF188" s="28">
        <v>85239532001</v>
      </c>
      <c r="BG188" s="28">
        <v>89674273754</v>
      </c>
      <c r="BH188" s="28">
        <v>89530498892</v>
      </c>
      <c r="BI188" s="28">
        <v>88980002018</v>
      </c>
      <c r="BJ188" s="28">
        <v>85701145392</v>
      </c>
      <c r="BK188" s="28">
        <v>85715644843</v>
      </c>
      <c r="BO188" s="39" t="s">
        <v>349</v>
      </c>
      <c r="BP188" s="18" t="s">
        <v>2985</v>
      </c>
      <c r="BQ188" s="37">
        <v>44957</v>
      </c>
      <c r="BR188" s="8">
        <f t="shared" si="0"/>
        <v>9</v>
      </c>
    </row>
    <row r="189" spans="1:70" ht="15.5">
      <c r="A189" s="4" t="str">
        <v>Reguler Periode ke-101 VII.C.3</v>
      </c>
      <c r="B189" s="4" t="s">
        <v>2073</v>
      </c>
      <c r="C189" s="38" t="s">
        <v>1988</v>
      </c>
      <c r="D189" s="4" t="s">
        <v>344</v>
      </c>
      <c r="E189" s="4" t="s">
        <v>2986</v>
      </c>
      <c r="F189" s="4" t="s">
        <v>193</v>
      </c>
      <c r="G189" s="27" t="s">
        <v>2987</v>
      </c>
      <c r="H189" s="27" t="s">
        <v>2988</v>
      </c>
      <c r="I189" s="27" t="s">
        <v>2989</v>
      </c>
      <c r="J189" s="27" t="s">
        <v>2990</v>
      </c>
      <c r="K189" s="27" t="s">
        <v>2991</v>
      </c>
      <c r="L189" s="27" t="s">
        <v>2992</v>
      </c>
      <c r="M189" s="27" t="s">
        <v>2993</v>
      </c>
      <c r="N189" s="27" t="s">
        <v>2994</v>
      </c>
      <c r="O189" s="27" t="s">
        <v>2995</v>
      </c>
      <c r="Q189" s="27"/>
      <c r="R189" s="27"/>
      <c r="S189" s="27">
        <v>1900001040</v>
      </c>
      <c r="T189" s="27">
        <v>1900005322</v>
      </c>
      <c r="U189" s="27">
        <v>1900005327</v>
      </c>
      <c r="V189" s="27">
        <v>1900012029</v>
      </c>
      <c r="W189" s="27">
        <v>1900017053</v>
      </c>
      <c r="X189" s="27">
        <v>1900018020</v>
      </c>
      <c r="Y189" s="27">
        <v>1900026159</v>
      </c>
      <c r="Z189" s="27">
        <v>1900026228</v>
      </c>
      <c r="AA189" s="27">
        <v>1900031214</v>
      </c>
      <c r="AB189" s="27"/>
      <c r="AC189" s="27"/>
      <c r="AE189" s="27" t="s">
        <v>180</v>
      </c>
      <c r="AF189" s="27" t="s">
        <v>181</v>
      </c>
      <c r="AG189" s="27" t="s">
        <v>181</v>
      </c>
      <c r="AH189" s="27" t="s">
        <v>885</v>
      </c>
      <c r="AI189" s="27" t="s">
        <v>183</v>
      </c>
      <c r="AJ189" s="27" t="s">
        <v>179</v>
      </c>
      <c r="AK189" s="27" t="s">
        <v>570</v>
      </c>
      <c r="AL189" s="27" t="s">
        <v>570</v>
      </c>
      <c r="AM189" s="27" t="s">
        <v>185</v>
      </c>
      <c r="AO189" s="28"/>
      <c r="AP189" s="28"/>
      <c r="AQ189" s="28" t="s">
        <v>186</v>
      </c>
      <c r="AR189" s="28" t="s">
        <v>187</v>
      </c>
      <c r="AS189" s="28" t="s">
        <v>186</v>
      </c>
      <c r="AT189" s="28" t="s">
        <v>186</v>
      </c>
      <c r="AU189" s="28" t="s">
        <v>187</v>
      </c>
      <c r="AV189" s="28" t="s">
        <v>186</v>
      </c>
      <c r="AW189" s="28" t="s">
        <v>186</v>
      </c>
      <c r="AX189" s="28" t="s">
        <v>187</v>
      </c>
      <c r="AY189" s="28" t="s">
        <v>186</v>
      </c>
      <c r="AZ189" s="28"/>
      <c r="BA189" s="28"/>
      <c r="BC189" s="28">
        <v>82175836904</v>
      </c>
      <c r="BD189" s="28">
        <v>85743266874</v>
      </c>
      <c r="BE189" s="28">
        <v>895605095617</v>
      </c>
      <c r="BF189" s="28">
        <v>82247544278</v>
      </c>
      <c r="BG189" s="28">
        <v>85826683329</v>
      </c>
      <c r="BH189" s="28">
        <v>85363430844</v>
      </c>
      <c r="BI189" s="28">
        <v>82293947243</v>
      </c>
      <c r="BJ189" s="28">
        <v>83164352774</v>
      </c>
      <c r="BK189" s="28">
        <v>895379207198</v>
      </c>
      <c r="BO189" s="39" t="s">
        <v>349</v>
      </c>
      <c r="BP189" s="18" t="s">
        <v>2996</v>
      </c>
      <c r="BQ189" s="37">
        <v>44957</v>
      </c>
      <c r="BR189" s="8">
        <f t="shared" si="0"/>
        <v>9</v>
      </c>
    </row>
    <row r="190" spans="1:70" ht="15.5">
      <c r="A190" s="4" t="str">
        <v>Reguler Periode ke-101 VII.D.1</v>
      </c>
      <c r="B190" s="4" t="s">
        <v>2073</v>
      </c>
      <c r="C190" s="38" t="s">
        <v>2009</v>
      </c>
      <c r="D190" s="4" t="s">
        <v>2997</v>
      </c>
      <c r="E190" s="4" t="s">
        <v>2998</v>
      </c>
      <c r="F190" s="4" t="s">
        <v>193</v>
      </c>
      <c r="G190" s="27" t="s">
        <v>2999</v>
      </c>
      <c r="H190" s="27" t="s">
        <v>3000</v>
      </c>
      <c r="I190" s="27" t="s">
        <v>3001</v>
      </c>
      <c r="J190" s="27" t="s">
        <v>3002</v>
      </c>
      <c r="K190" s="27" t="s">
        <v>3003</v>
      </c>
      <c r="L190" s="27" t="s">
        <v>3004</v>
      </c>
      <c r="M190" s="27" t="s">
        <v>3005</v>
      </c>
      <c r="N190" s="27" t="s">
        <v>3006</v>
      </c>
      <c r="O190" s="27" t="s">
        <v>3007</v>
      </c>
      <c r="P190" s="27" t="s">
        <v>3008</v>
      </c>
      <c r="Q190" s="27" t="s">
        <v>3009</v>
      </c>
      <c r="S190" s="27">
        <v>1900001065</v>
      </c>
      <c r="T190" s="27">
        <v>1900005200</v>
      </c>
      <c r="U190" s="27">
        <v>1900005243</v>
      </c>
      <c r="V190" s="27">
        <v>1900012024</v>
      </c>
      <c r="W190" s="27">
        <v>1900018075</v>
      </c>
      <c r="X190" s="27">
        <v>1900018131</v>
      </c>
      <c r="Y190" s="27">
        <v>1900026186</v>
      </c>
      <c r="Z190" s="27">
        <v>1900026210</v>
      </c>
      <c r="AA190" s="27">
        <v>1900031299</v>
      </c>
      <c r="AB190" s="27">
        <v>2123025070</v>
      </c>
      <c r="AC190" s="27">
        <v>2123025078</v>
      </c>
      <c r="AD190" s="27"/>
      <c r="AE190" s="27" t="s">
        <v>180</v>
      </c>
      <c r="AF190" s="27" t="s">
        <v>181</v>
      </c>
      <c r="AG190" s="27" t="s">
        <v>181</v>
      </c>
      <c r="AH190" s="27" t="s">
        <v>885</v>
      </c>
      <c r="AI190" s="27" t="s">
        <v>179</v>
      </c>
      <c r="AJ190" s="27" t="s">
        <v>179</v>
      </c>
      <c r="AK190" s="27" t="s">
        <v>570</v>
      </c>
      <c r="AL190" s="27" t="s">
        <v>570</v>
      </c>
      <c r="AM190" s="27" t="s">
        <v>185</v>
      </c>
      <c r="AN190" s="27" t="s">
        <v>1168</v>
      </c>
      <c r="AO190" s="27" t="s">
        <v>1168</v>
      </c>
      <c r="AQ190" s="28" t="s">
        <v>186</v>
      </c>
      <c r="AR190" s="28" t="s">
        <v>187</v>
      </c>
      <c r="AS190" s="28" t="s">
        <v>186</v>
      </c>
      <c r="AT190" s="28" t="s">
        <v>186</v>
      </c>
      <c r="AU190" s="28" t="s">
        <v>187</v>
      </c>
      <c r="AV190" s="28" t="s">
        <v>186</v>
      </c>
      <c r="AW190" s="28" t="s">
        <v>186</v>
      </c>
      <c r="AX190" s="28" t="s">
        <v>187</v>
      </c>
      <c r="AY190" s="28" t="s">
        <v>186</v>
      </c>
      <c r="AZ190" s="28" t="s">
        <v>186</v>
      </c>
      <c r="BA190" s="28" t="s">
        <v>187</v>
      </c>
      <c r="BB190" s="28"/>
      <c r="BC190" s="28">
        <v>88238524583</v>
      </c>
      <c r="BD190" s="28">
        <v>85247666666</v>
      </c>
      <c r="BE190" s="28">
        <v>82243618351</v>
      </c>
      <c r="BF190" s="28">
        <v>85339353723</v>
      </c>
      <c r="BG190" s="28">
        <v>82279907523</v>
      </c>
      <c r="BH190" s="28">
        <v>882003292488</v>
      </c>
      <c r="BI190" s="28">
        <v>85219395086</v>
      </c>
      <c r="BJ190" s="28">
        <v>85657307683</v>
      </c>
      <c r="BK190" s="28">
        <v>82269541934</v>
      </c>
      <c r="BL190" s="28">
        <v>8617803601617</v>
      </c>
      <c r="BM190" s="28">
        <v>17687351227</v>
      </c>
      <c r="BO190" s="39">
        <v>60160975</v>
      </c>
      <c r="BP190" s="18" t="s">
        <v>3010</v>
      </c>
      <c r="BQ190" s="37">
        <v>44957</v>
      </c>
      <c r="BR190" s="8">
        <f t="shared" si="0"/>
        <v>11</v>
      </c>
    </row>
    <row r="191" spans="1:70" ht="15.5">
      <c r="A191" s="4" t="str">
        <v>Reguler Periode ke-101 VII.D.2</v>
      </c>
      <c r="B191" s="4" t="s">
        <v>2073</v>
      </c>
      <c r="C191" s="38" t="s">
        <v>2031</v>
      </c>
      <c r="D191" s="4" t="s">
        <v>2997</v>
      </c>
      <c r="E191" s="4" t="s">
        <v>3011</v>
      </c>
      <c r="F191" s="4" t="s">
        <v>193</v>
      </c>
      <c r="G191" s="27" t="s">
        <v>3012</v>
      </c>
      <c r="H191" s="27" t="s">
        <v>3013</v>
      </c>
      <c r="I191" s="27" t="s">
        <v>3014</v>
      </c>
      <c r="J191" s="27" t="s">
        <v>3015</v>
      </c>
      <c r="K191" s="27" t="s">
        <v>3016</v>
      </c>
      <c r="L191" s="27" t="s">
        <v>3017</v>
      </c>
      <c r="M191" s="27" t="s">
        <v>3018</v>
      </c>
      <c r="N191" s="27" t="s">
        <v>3019</v>
      </c>
      <c r="O191" s="27" t="s">
        <v>3020</v>
      </c>
      <c r="Q191" s="27"/>
      <c r="S191" s="27">
        <v>1900001066</v>
      </c>
      <c r="T191" s="27">
        <v>1900005084</v>
      </c>
      <c r="U191" s="27">
        <v>1900005125</v>
      </c>
      <c r="V191" s="27">
        <v>1900012065</v>
      </c>
      <c r="W191" s="27">
        <v>1900018084</v>
      </c>
      <c r="X191" s="27">
        <v>1900018404</v>
      </c>
      <c r="Y191" s="27">
        <v>1900026157</v>
      </c>
      <c r="Z191" s="27">
        <v>1900026249</v>
      </c>
      <c r="AA191" s="27">
        <v>1900031141</v>
      </c>
      <c r="AB191" s="27"/>
      <c r="AC191" s="27"/>
      <c r="AE191" s="27" t="s">
        <v>180</v>
      </c>
      <c r="AF191" s="27" t="s">
        <v>181</v>
      </c>
      <c r="AG191" s="27" t="s">
        <v>181</v>
      </c>
      <c r="AH191" s="27" t="s">
        <v>885</v>
      </c>
      <c r="AI191" s="27" t="s">
        <v>179</v>
      </c>
      <c r="AJ191" s="27" t="s">
        <v>179</v>
      </c>
      <c r="AK191" s="27" t="s">
        <v>570</v>
      </c>
      <c r="AL191" s="27" t="s">
        <v>570</v>
      </c>
      <c r="AM191" s="27" t="s">
        <v>185</v>
      </c>
      <c r="AO191" s="28"/>
      <c r="AP191" s="28"/>
      <c r="AQ191" s="28" t="s">
        <v>186</v>
      </c>
      <c r="AR191" s="28" t="s">
        <v>186</v>
      </c>
      <c r="AS191" s="28" t="s">
        <v>187</v>
      </c>
      <c r="AT191" s="28" t="s">
        <v>186</v>
      </c>
      <c r="AU191" s="28" t="s">
        <v>186</v>
      </c>
      <c r="AV191" s="28" t="s">
        <v>187</v>
      </c>
      <c r="AW191" s="28" t="s">
        <v>186</v>
      </c>
      <c r="AX191" s="28" t="s">
        <v>187</v>
      </c>
      <c r="AY191" s="28" t="s">
        <v>186</v>
      </c>
      <c r="AZ191" s="28"/>
      <c r="BA191" s="28"/>
      <c r="BC191" s="28">
        <v>85876126400</v>
      </c>
      <c r="BD191" s="28">
        <v>81350743850</v>
      </c>
      <c r="BE191" s="28">
        <v>83837017146</v>
      </c>
      <c r="BF191" s="28">
        <v>83169502939</v>
      </c>
      <c r="BG191" s="28">
        <v>82234635355</v>
      </c>
      <c r="BH191" s="28">
        <v>85379897522</v>
      </c>
      <c r="BI191" s="28">
        <v>89687706415</v>
      </c>
      <c r="BJ191" s="28">
        <v>82232099358</v>
      </c>
      <c r="BK191" s="28">
        <v>82226098367</v>
      </c>
      <c r="BO191" s="39">
        <v>60160975</v>
      </c>
      <c r="BP191" s="18" t="s">
        <v>3021</v>
      </c>
      <c r="BQ191" s="37">
        <v>44957</v>
      </c>
      <c r="BR191" s="8">
        <f t="shared" si="0"/>
        <v>9</v>
      </c>
    </row>
    <row r="192" spans="1:70" ht="15.5">
      <c r="A192" s="4" t="str">
        <v>Reguler Periode ke-101 VII.D.3</v>
      </c>
      <c r="B192" s="4" t="s">
        <v>2073</v>
      </c>
      <c r="C192" s="38" t="s">
        <v>3022</v>
      </c>
      <c r="D192" s="4" t="s">
        <v>2997</v>
      </c>
      <c r="E192" s="4" t="s">
        <v>3023</v>
      </c>
      <c r="F192" s="4" t="s">
        <v>193</v>
      </c>
      <c r="G192" s="27" t="s">
        <v>3024</v>
      </c>
      <c r="H192" s="27" t="s">
        <v>3025</v>
      </c>
      <c r="I192" s="27" t="s">
        <v>3026</v>
      </c>
      <c r="J192" s="27" t="s">
        <v>3027</v>
      </c>
      <c r="K192" s="27" t="s">
        <v>3028</v>
      </c>
      <c r="L192" s="27" t="s">
        <v>3029</v>
      </c>
      <c r="M192" s="27" t="s">
        <v>3030</v>
      </c>
      <c r="N192" s="27" t="s">
        <v>3031</v>
      </c>
      <c r="O192" s="27" t="s">
        <v>3032</v>
      </c>
      <c r="Q192" s="27"/>
      <c r="R192" s="27"/>
      <c r="S192" s="27">
        <v>1900001124</v>
      </c>
      <c r="T192" s="27">
        <v>1900005074</v>
      </c>
      <c r="U192" s="27">
        <v>1900005112</v>
      </c>
      <c r="V192" s="27">
        <v>1900012025</v>
      </c>
      <c r="W192" s="27">
        <v>1900018231</v>
      </c>
      <c r="X192" s="27">
        <v>1900018308</v>
      </c>
      <c r="Y192" s="27">
        <v>1900026136</v>
      </c>
      <c r="Z192" s="27">
        <v>1900026213</v>
      </c>
      <c r="AA192" s="27">
        <v>1900031159</v>
      </c>
      <c r="AB192" s="27"/>
      <c r="AC192" s="27"/>
      <c r="AD192" s="27"/>
      <c r="AE192" s="27" t="s">
        <v>180</v>
      </c>
      <c r="AF192" s="27" t="s">
        <v>181</v>
      </c>
      <c r="AG192" s="27" t="s">
        <v>181</v>
      </c>
      <c r="AH192" s="27" t="s">
        <v>885</v>
      </c>
      <c r="AI192" s="27" t="s">
        <v>179</v>
      </c>
      <c r="AJ192" s="27" t="s">
        <v>179</v>
      </c>
      <c r="AK192" s="27" t="s">
        <v>570</v>
      </c>
      <c r="AL192" s="27" t="s">
        <v>570</v>
      </c>
      <c r="AM192" s="27" t="s">
        <v>185</v>
      </c>
      <c r="AO192" s="28"/>
      <c r="AP192" s="28"/>
      <c r="AQ192" s="28" t="s">
        <v>186</v>
      </c>
      <c r="AR192" s="28" t="s">
        <v>186</v>
      </c>
      <c r="AS192" s="28" t="s">
        <v>187</v>
      </c>
      <c r="AT192" s="28" t="s">
        <v>186</v>
      </c>
      <c r="AU192" s="28" t="s">
        <v>186</v>
      </c>
      <c r="AV192" s="28" t="s">
        <v>187</v>
      </c>
      <c r="AW192" s="28" t="s">
        <v>187</v>
      </c>
      <c r="AX192" s="28" t="s">
        <v>186</v>
      </c>
      <c r="AY192" s="28" t="s">
        <v>186</v>
      </c>
      <c r="AZ192" s="28"/>
      <c r="BA192" s="28"/>
      <c r="BB192" s="28"/>
      <c r="BC192" s="28">
        <v>85817606596</v>
      </c>
      <c r="BD192" s="28">
        <v>83175741812</v>
      </c>
      <c r="BE192" s="28">
        <v>83175721849</v>
      </c>
      <c r="BF192" s="28">
        <v>81348369759</v>
      </c>
      <c r="BG192" s="28">
        <v>82158998011</v>
      </c>
      <c r="BH192" s="28">
        <v>81294060468</v>
      </c>
      <c r="BI192" s="28">
        <v>895639417300</v>
      </c>
      <c r="BJ192" s="28">
        <v>82334362562</v>
      </c>
      <c r="BK192" s="28">
        <v>81278766876</v>
      </c>
      <c r="BO192" s="39">
        <v>60160975</v>
      </c>
      <c r="BP192" s="18" t="s">
        <v>3033</v>
      </c>
      <c r="BQ192" s="37">
        <v>44957</v>
      </c>
      <c r="BR192" s="8">
        <f t="shared" si="0"/>
        <v>9</v>
      </c>
    </row>
    <row r="193" spans="1:70" ht="15.5">
      <c r="A193" s="4" t="str">
        <v>Reguler Periode ke-101 VIII.A.1</v>
      </c>
      <c r="B193" s="4" t="s">
        <v>2073</v>
      </c>
      <c r="C193" s="38" t="s">
        <v>3034</v>
      </c>
      <c r="D193" s="4" t="s">
        <v>3035</v>
      </c>
      <c r="E193" s="4" t="s">
        <v>3036</v>
      </c>
      <c r="F193" s="4" t="s">
        <v>193</v>
      </c>
      <c r="G193" s="27" t="s">
        <v>3037</v>
      </c>
      <c r="H193" s="27" t="s">
        <v>3038</v>
      </c>
      <c r="I193" s="27" t="s">
        <v>3039</v>
      </c>
      <c r="J193" s="27" t="s">
        <v>3040</v>
      </c>
      <c r="K193" s="27" t="s">
        <v>3041</v>
      </c>
      <c r="L193" s="27" t="s">
        <v>3042</v>
      </c>
      <c r="M193" s="27" t="s">
        <v>3043</v>
      </c>
      <c r="N193" s="27" t="s">
        <v>3044</v>
      </c>
      <c r="O193" s="27" t="s">
        <v>3045</v>
      </c>
      <c r="P193" s="27" t="s">
        <v>3046</v>
      </c>
      <c r="Q193" s="27" t="s">
        <v>3047</v>
      </c>
      <c r="R193" s="27"/>
      <c r="S193" s="27">
        <v>1900001080</v>
      </c>
      <c r="T193" s="27">
        <v>1900005100</v>
      </c>
      <c r="U193" s="27">
        <v>1900005364</v>
      </c>
      <c r="V193" s="27">
        <v>1900012096</v>
      </c>
      <c r="W193" s="27">
        <v>1900018048</v>
      </c>
      <c r="X193" s="27">
        <v>1900018405</v>
      </c>
      <c r="Y193" s="27">
        <v>1900026043</v>
      </c>
      <c r="Z193" s="27">
        <v>1900026284</v>
      </c>
      <c r="AA193" s="27">
        <v>1900031266</v>
      </c>
      <c r="AB193" s="27">
        <v>2123025081</v>
      </c>
      <c r="AC193" s="27">
        <v>2123025080</v>
      </c>
      <c r="AD193" s="27"/>
      <c r="AE193" s="27" t="s">
        <v>180</v>
      </c>
      <c r="AF193" s="27" t="s">
        <v>181</v>
      </c>
      <c r="AG193" s="27" t="s">
        <v>181</v>
      </c>
      <c r="AH193" s="27" t="s">
        <v>885</v>
      </c>
      <c r="AI193" s="27" t="s">
        <v>179</v>
      </c>
      <c r="AJ193" s="27" t="s">
        <v>179</v>
      </c>
      <c r="AK193" s="27" t="s">
        <v>570</v>
      </c>
      <c r="AL193" s="27" t="s">
        <v>570</v>
      </c>
      <c r="AM193" s="27" t="s">
        <v>185</v>
      </c>
      <c r="AN193" s="27" t="s">
        <v>1168</v>
      </c>
      <c r="AO193" s="27" t="s">
        <v>1168</v>
      </c>
      <c r="AQ193" s="28" t="s">
        <v>186</v>
      </c>
      <c r="AR193" s="28" t="s">
        <v>186</v>
      </c>
      <c r="AS193" s="28" t="s">
        <v>187</v>
      </c>
      <c r="AT193" s="28" t="s">
        <v>186</v>
      </c>
      <c r="AU193" s="28" t="s">
        <v>186</v>
      </c>
      <c r="AV193" s="28" t="s">
        <v>187</v>
      </c>
      <c r="AW193" s="28" t="s">
        <v>186</v>
      </c>
      <c r="AX193" s="28" t="s">
        <v>187</v>
      </c>
      <c r="AY193" s="28" t="s">
        <v>186</v>
      </c>
      <c r="AZ193" s="28" t="s">
        <v>186</v>
      </c>
      <c r="BA193" s="28" t="s">
        <v>186</v>
      </c>
      <c r="BC193" s="28">
        <v>82318906486</v>
      </c>
      <c r="BD193" s="28">
        <v>82136052469</v>
      </c>
      <c r="BE193" s="28">
        <v>89526005591</v>
      </c>
      <c r="BF193" s="28">
        <v>85327692557</v>
      </c>
      <c r="BG193" s="28">
        <v>81290177790</v>
      </c>
      <c r="BH193" s="28">
        <v>81238382679</v>
      </c>
      <c r="BI193" s="28">
        <v>88220246630</v>
      </c>
      <c r="BJ193" s="28">
        <v>81370053584</v>
      </c>
      <c r="BK193" s="28">
        <v>85747135809</v>
      </c>
      <c r="BL193" s="28">
        <v>18172350435</v>
      </c>
      <c r="BM193" s="28">
        <v>17687665994</v>
      </c>
      <c r="BO193" s="39">
        <v>60160915</v>
      </c>
      <c r="BP193" s="18" t="s">
        <v>3048</v>
      </c>
      <c r="BQ193" s="37">
        <v>44957</v>
      </c>
      <c r="BR193" s="8">
        <f t="shared" si="0"/>
        <v>11</v>
      </c>
    </row>
    <row r="194" spans="1:70" ht="15.5">
      <c r="A194" s="4" t="str">
        <v>Reguler Periode ke-101 VIII.A.2</v>
      </c>
      <c r="B194" s="4" t="s">
        <v>2073</v>
      </c>
      <c r="C194" s="38" t="s">
        <v>3049</v>
      </c>
      <c r="D194" s="4" t="s">
        <v>3035</v>
      </c>
      <c r="E194" s="4" t="s">
        <v>3050</v>
      </c>
      <c r="F194" s="4" t="s">
        <v>193</v>
      </c>
      <c r="G194" s="27" t="s">
        <v>3051</v>
      </c>
      <c r="H194" s="27" t="s">
        <v>3052</v>
      </c>
      <c r="I194" s="27" t="s">
        <v>3053</v>
      </c>
      <c r="J194" s="27" t="s">
        <v>3054</v>
      </c>
      <c r="K194" s="27" t="s">
        <v>3055</v>
      </c>
      <c r="L194" s="27" t="s">
        <v>3056</v>
      </c>
      <c r="M194" s="27" t="s">
        <v>3057</v>
      </c>
      <c r="N194" s="27" t="s">
        <v>3058</v>
      </c>
      <c r="O194" s="27" t="s">
        <v>3059</v>
      </c>
      <c r="R194" s="27"/>
      <c r="S194" s="27">
        <v>1900001101</v>
      </c>
      <c r="T194" s="27">
        <v>1900005076</v>
      </c>
      <c r="U194" s="27">
        <v>1900005353</v>
      </c>
      <c r="V194" s="27">
        <v>1900012060</v>
      </c>
      <c r="W194" s="27">
        <v>1900018102</v>
      </c>
      <c r="X194" s="27">
        <v>1900018383</v>
      </c>
      <c r="Y194" s="27">
        <v>1900026003</v>
      </c>
      <c r="Z194" s="27">
        <v>1900026261</v>
      </c>
      <c r="AA194" s="27">
        <v>1900031199</v>
      </c>
      <c r="AB194" s="27"/>
      <c r="AC194" s="27"/>
      <c r="AE194" s="27" t="s">
        <v>180</v>
      </c>
      <c r="AF194" s="27" t="s">
        <v>181</v>
      </c>
      <c r="AG194" s="27" t="s">
        <v>181</v>
      </c>
      <c r="AH194" s="27" t="s">
        <v>885</v>
      </c>
      <c r="AI194" s="27" t="s">
        <v>179</v>
      </c>
      <c r="AJ194" s="27" t="s">
        <v>179</v>
      </c>
      <c r="AK194" s="27" t="s">
        <v>570</v>
      </c>
      <c r="AL194" s="27" t="s">
        <v>570</v>
      </c>
      <c r="AM194" s="27" t="s">
        <v>185</v>
      </c>
      <c r="AO194" s="28"/>
      <c r="AQ194" s="28" t="s">
        <v>186</v>
      </c>
      <c r="AR194" s="28" t="s">
        <v>186</v>
      </c>
      <c r="AS194" s="28" t="s">
        <v>187</v>
      </c>
      <c r="AT194" s="28" t="s">
        <v>186</v>
      </c>
      <c r="AU194" s="28" t="s">
        <v>187</v>
      </c>
      <c r="AV194" s="28" t="s">
        <v>186</v>
      </c>
      <c r="AW194" s="28" t="s">
        <v>186</v>
      </c>
      <c r="AX194" s="28" t="s">
        <v>187</v>
      </c>
      <c r="AY194" s="28" t="s">
        <v>186</v>
      </c>
      <c r="AZ194" s="28"/>
      <c r="BA194" s="28"/>
      <c r="BB194" s="28"/>
      <c r="BC194" s="28">
        <v>87736857440</v>
      </c>
      <c r="BD194" s="28">
        <v>83175467908</v>
      </c>
      <c r="BE194" s="28">
        <v>81907937643</v>
      </c>
      <c r="BF194" s="28">
        <v>82296563331</v>
      </c>
      <c r="BG194" s="28">
        <v>82282618112</v>
      </c>
      <c r="BH194" s="28">
        <v>81222117862</v>
      </c>
      <c r="BI194" s="28">
        <v>85342726571</v>
      </c>
      <c r="BJ194" s="28">
        <v>89506305950</v>
      </c>
      <c r="BK194" s="28">
        <v>85803947453</v>
      </c>
      <c r="BO194" s="39">
        <v>60160915</v>
      </c>
      <c r="BP194" s="18" t="s">
        <v>3060</v>
      </c>
      <c r="BQ194" s="37">
        <v>44957</v>
      </c>
      <c r="BR194" s="8">
        <f t="shared" si="0"/>
        <v>9</v>
      </c>
    </row>
    <row r="195" spans="1:70" ht="15.5">
      <c r="A195" s="4" t="str">
        <v>Reguler Periode ke-101 VIII.A.3</v>
      </c>
      <c r="B195" s="4" t="s">
        <v>2073</v>
      </c>
      <c r="C195" s="38" t="s">
        <v>3061</v>
      </c>
      <c r="D195" s="4" t="s">
        <v>3035</v>
      </c>
      <c r="E195" s="4" t="s">
        <v>3062</v>
      </c>
      <c r="F195" s="4" t="s">
        <v>193</v>
      </c>
      <c r="G195" s="27" t="s">
        <v>3063</v>
      </c>
      <c r="H195" s="27" t="s">
        <v>3064</v>
      </c>
      <c r="I195" s="27" t="s">
        <v>3065</v>
      </c>
      <c r="J195" s="27" t="s">
        <v>3066</v>
      </c>
      <c r="K195" s="27" t="s">
        <v>3067</v>
      </c>
      <c r="L195" s="27" t="s">
        <v>3068</v>
      </c>
      <c r="M195" s="27" t="s">
        <v>3069</v>
      </c>
      <c r="N195" s="27" t="s">
        <v>3070</v>
      </c>
      <c r="O195" s="27" t="s">
        <v>3071</v>
      </c>
      <c r="S195" s="27">
        <v>1800005099</v>
      </c>
      <c r="T195" s="27">
        <v>1900001218</v>
      </c>
      <c r="U195" s="27">
        <v>1900005028</v>
      </c>
      <c r="V195" s="27">
        <v>1900012041</v>
      </c>
      <c r="W195" s="27">
        <v>1900018003</v>
      </c>
      <c r="X195" s="27">
        <v>1900018287</v>
      </c>
      <c r="Y195" s="27">
        <v>1900026131</v>
      </c>
      <c r="Z195" s="27">
        <v>1900026216</v>
      </c>
      <c r="AA195" s="27">
        <v>1900031098</v>
      </c>
      <c r="AB195" s="27"/>
      <c r="AC195" s="27"/>
      <c r="AE195" s="27" t="s">
        <v>181</v>
      </c>
      <c r="AF195" s="27" t="s">
        <v>180</v>
      </c>
      <c r="AG195" s="27" t="s">
        <v>181</v>
      </c>
      <c r="AH195" s="27" t="s">
        <v>885</v>
      </c>
      <c r="AI195" s="27" t="s">
        <v>179</v>
      </c>
      <c r="AJ195" s="27" t="s">
        <v>179</v>
      </c>
      <c r="AK195" s="27" t="s">
        <v>570</v>
      </c>
      <c r="AL195" s="27" t="s">
        <v>570</v>
      </c>
      <c r="AM195" s="27" t="s">
        <v>185</v>
      </c>
      <c r="AO195" s="28"/>
      <c r="AQ195" s="28" t="s">
        <v>187</v>
      </c>
      <c r="AR195" s="28" t="s">
        <v>186</v>
      </c>
      <c r="AS195" s="28" t="s">
        <v>186</v>
      </c>
      <c r="AT195" s="28" t="s">
        <v>186</v>
      </c>
      <c r="AU195" s="28" t="s">
        <v>186</v>
      </c>
      <c r="AV195" s="28" t="s">
        <v>187</v>
      </c>
      <c r="AW195" s="28" t="s">
        <v>186</v>
      </c>
      <c r="AX195" s="28" t="s">
        <v>187</v>
      </c>
      <c r="AY195" s="28" t="s">
        <v>186</v>
      </c>
      <c r="AZ195" s="28"/>
      <c r="BB195" s="28"/>
      <c r="BC195" s="28">
        <v>85321790312</v>
      </c>
      <c r="BD195" s="28">
        <v>895803217672</v>
      </c>
      <c r="BE195" s="28">
        <v>82257691707</v>
      </c>
      <c r="BF195" s="28">
        <v>81995597735</v>
      </c>
      <c r="BG195" s="28">
        <v>81247470684</v>
      </c>
      <c r="BH195" s="28">
        <v>85100416830</v>
      </c>
      <c r="BI195" s="28">
        <v>82131446595</v>
      </c>
      <c r="BJ195" s="28">
        <v>8988717992</v>
      </c>
      <c r="BK195" s="28">
        <v>85643256878</v>
      </c>
      <c r="BO195" s="39">
        <v>60160915</v>
      </c>
      <c r="BP195" s="18" t="s">
        <v>3072</v>
      </c>
      <c r="BQ195" s="37">
        <v>44957</v>
      </c>
      <c r="BR195" s="8">
        <f t="shared" si="0"/>
        <v>9</v>
      </c>
    </row>
    <row r="196" spans="1:70" ht="15.5">
      <c r="A196" s="4" t="str">
        <v>Reguler Periode ke-101 VIII.B.1</v>
      </c>
      <c r="B196" s="4" t="s">
        <v>2073</v>
      </c>
      <c r="C196" s="38" t="s">
        <v>3073</v>
      </c>
      <c r="D196" s="4" t="s">
        <v>3074</v>
      </c>
      <c r="E196" s="4" t="s">
        <v>322</v>
      </c>
      <c r="F196" s="4" t="s">
        <v>193</v>
      </c>
      <c r="G196" s="27" t="s">
        <v>3075</v>
      </c>
      <c r="H196" s="27" t="s">
        <v>3076</v>
      </c>
      <c r="I196" s="27" t="s">
        <v>3077</v>
      </c>
      <c r="J196" s="27" t="s">
        <v>3078</v>
      </c>
      <c r="K196" s="27" t="s">
        <v>3079</v>
      </c>
      <c r="L196" s="27" t="s">
        <v>3080</v>
      </c>
      <c r="M196" s="27" t="s">
        <v>3081</v>
      </c>
      <c r="N196" s="27" t="s">
        <v>3082</v>
      </c>
      <c r="O196" s="27" t="s">
        <v>3083</v>
      </c>
      <c r="P196" s="27" t="s">
        <v>3084</v>
      </c>
      <c r="Q196" s="27" t="s">
        <v>3085</v>
      </c>
      <c r="S196" s="27">
        <v>1900001044</v>
      </c>
      <c r="T196" s="27">
        <v>1900005182</v>
      </c>
      <c r="U196" s="27">
        <v>1900005299</v>
      </c>
      <c r="V196" s="27">
        <v>1900012055</v>
      </c>
      <c r="W196" s="27">
        <v>1900018039</v>
      </c>
      <c r="X196" s="27">
        <v>1900018362</v>
      </c>
      <c r="Y196" s="27">
        <v>1900026030</v>
      </c>
      <c r="Z196" s="27">
        <v>1900026203</v>
      </c>
      <c r="AA196" s="27">
        <v>1900031177</v>
      </c>
      <c r="AB196" s="27">
        <v>2123025082</v>
      </c>
      <c r="AC196" s="27">
        <v>2123025086</v>
      </c>
      <c r="AD196" s="27"/>
      <c r="AE196" s="27" t="s">
        <v>180</v>
      </c>
      <c r="AF196" s="27" t="s">
        <v>181</v>
      </c>
      <c r="AG196" s="27" t="s">
        <v>181</v>
      </c>
      <c r="AH196" s="27" t="s">
        <v>885</v>
      </c>
      <c r="AI196" s="27" t="s">
        <v>179</v>
      </c>
      <c r="AJ196" s="27" t="s">
        <v>179</v>
      </c>
      <c r="AK196" s="27" t="s">
        <v>570</v>
      </c>
      <c r="AL196" s="27" t="s">
        <v>570</v>
      </c>
      <c r="AM196" s="27" t="s">
        <v>185</v>
      </c>
      <c r="AN196" s="27" t="s">
        <v>1168</v>
      </c>
      <c r="AO196" s="27" t="s">
        <v>1168</v>
      </c>
      <c r="AP196" s="28"/>
      <c r="AQ196" s="28" t="s">
        <v>186</v>
      </c>
      <c r="AR196" s="28" t="s">
        <v>186</v>
      </c>
      <c r="AS196" s="28" t="s">
        <v>187</v>
      </c>
      <c r="AT196" s="28" t="s">
        <v>186</v>
      </c>
      <c r="AU196" s="28" t="s">
        <v>186</v>
      </c>
      <c r="AV196" s="28" t="s">
        <v>187</v>
      </c>
      <c r="AW196" s="28" t="s">
        <v>186</v>
      </c>
      <c r="AX196" s="28" t="s">
        <v>187</v>
      </c>
      <c r="AY196" s="28" t="s">
        <v>186</v>
      </c>
      <c r="AZ196" s="28" t="s">
        <v>186</v>
      </c>
      <c r="BA196" s="28" t="s">
        <v>186</v>
      </c>
      <c r="BC196" s="28">
        <v>81312223990</v>
      </c>
      <c r="BD196" s="28">
        <v>85747737663</v>
      </c>
      <c r="BE196" s="28">
        <v>81372283601</v>
      </c>
      <c r="BF196" s="28">
        <v>85832228206</v>
      </c>
      <c r="BG196" s="28">
        <v>82339454424</v>
      </c>
      <c r="BH196" s="28">
        <v>81772889602</v>
      </c>
      <c r="BI196" s="28">
        <v>85762657183</v>
      </c>
      <c r="BJ196" s="28">
        <v>81348704549</v>
      </c>
      <c r="BK196" s="28">
        <v>82225336866</v>
      </c>
      <c r="BL196" s="28">
        <v>18172332287</v>
      </c>
      <c r="BM196" s="28">
        <v>17877920390</v>
      </c>
      <c r="BO196" s="39">
        <v>60191236</v>
      </c>
      <c r="BP196" s="18" t="s">
        <v>3086</v>
      </c>
      <c r="BQ196" s="37">
        <v>44957</v>
      </c>
      <c r="BR196" s="8">
        <f t="shared" si="0"/>
        <v>11</v>
      </c>
    </row>
    <row r="197" spans="1:70" ht="15.5">
      <c r="A197" s="4" t="str">
        <v>Reguler Periode ke-101 VIII.B.2</v>
      </c>
      <c r="B197" s="4" t="s">
        <v>2073</v>
      </c>
      <c r="C197" s="38" t="s">
        <v>3087</v>
      </c>
      <c r="D197" s="4" t="s">
        <v>3074</v>
      </c>
      <c r="E197" s="4" t="s">
        <v>341</v>
      </c>
      <c r="F197" s="4" t="s">
        <v>193</v>
      </c>
      <c r="G197" s="27" t="s">
        <v>3088</v>
      </c>
      <c r="H197" s="27" t="s">
        <v>3089</v>
      </c>
      <c r="I197" s="27" t="s">
        <v>3090</v>
      </c>
      <c r="J197" s="27" t="s">
        <v>3091</v>
      </c>
      <c r="K197" s="27" t="s">
        <v>3092</v>
      </c>
      <c r="L197" s="27" t="s">
        <v>3093</v>
      </c>
      <c r="M197" s="27" t="s">
        <v>3094</v>
      </c>
      <c r="N197" s="27" t="s">
        <v>3095</v>
      </c>
      <c r="Q197" s="27"/>
      <c r="R197" s="27"/>
      <c r="S197" s="27">
        <v>1900001216</v>
      </c>
      <c r="T197" s="27">
        <v>1900005034</v>
      </c>
      <c r="U197" s="27">
        <v>1900005205</v>
      </c>
      <c r="V197" s="27">
        <v>1900012132</v>
      </c>
      <c r="W197" s="27">
        <v>1900018202</v>
      </c>
      <c r="X197" s="27">
        <v>1900018216</v>
      </c>
      <c r="Y197" s="27">
        <v>1900026279</v>
      </c>
      <c r="Z197" s="27">
        <v>1900031216</v>
      </c>
      <c r="AC197" s="27"/>
      <c r="AD197" s="27"/>
      <c r="AE197" s="27" t="s">
        <v>180</v>
      </c>
      <c r="AF197" s="27" t="s">
        <v>181</v>
      </c>
      <c r="AG197" s="27" t="s">
        <v>181</v>
      </c>
      <c r="AH197" s="27" t="s">
        <v>885</v>
      </c>
      <c r="AI197" s="27" t="s">
        <v>179</v>
      </c>
      <c r="AJ197" s="27" t="s">
        <v>179</v>
      </c>
      <c r="AK197" s="27" t="s">
        <v>570</v>
      </c>
      <c r="AL197" s="27" t="s">
        <v>185</v>
      </c>
      <c r="AP197" s="28"/>
      <c r="AQ197" s="28" t="s">
        <v>186</v>
      </c>
      <c r="AR197" s="28" t="s">
        <v>187</v>
      </c>
      <c r="AS197" s="28" t="s">
        <v>186</v>
      </c>
      <c r="AT197" s="28" t="s">
        <v>186</v>
      </c>
      <c r="AU197" s="28" t="s">
        <v>187</v>
      </c>
      <c r="AV197" s="28" t="s">
        <v>186</v>
      </c>
      <c r="AW197" s="28" t="s">
        <v>187</v>
      </c>
      <c r="AX197" s="28" t="s">
        <v>186</v>
      </c>
      <c r="AZ197" s="28"/>
      <c r="BA197" s="28"/>
      <c r="BB197" s="28"/>
      <c r="BC197" s="28">
        <v>87725522112</v>
      </c>
      <c r="BD197" s="28">
        <v>89526742010</v>
      </c>
      <c r="BE197" s="28">
        <v>85885733780</v>
      </c>
      <c r="BF197" s="28">
        <v>895343153635</v>
      </c>
      <c r="BG197" s="28">
        <v>82278765871</v>
      </c>
      <c r="BH197" s="28">
        <v>85254712703</v>
      </c>
      <c r="BI197" s="28">
        <v>81290959465</v>
      </c>
      <c r="BJ197" s="28">
        <v>88227865358</v>
      </c>
      <c r="BO197" s="39">
        <v>60191236</v>
      </c>
      <c r="BP197" s="18" t="s">
        <v>3096</v>
      </c>
      <c r="BQ197" s="37">
        <v>44957</v>
      </c>
      <c r="BR197" s="8">
        <f t="shared" si="0"/>
        <v>8</v>
      </c>
    </row>
    <row r="198" spans="1:70" ht="15.5">
      <c r="A198" s="4" t="str">
        <v>Reguler Periode ke-101 VIII.B.3</v>
      </c>
      <c r="B198" s="4" t="s">
        <v>2073</v>
      </c>
      <c r="C198" s="38" t="s">
        <v>3097</v>
      </c>
      <c r="D198" s="4" t="s">
        <v>3074</v>
      </c>
      <c r="E198" s="4" t="s">
        <v>3098</v>
      </c>
      <c r="F198" s="4" t="s">
        <v>193</v>
      </c>
      <c r="G198" s="27" t="s">
        <v>3099</v>
      </c>
      <c r="H198" s="27" t="s">
        <v>3100</v>
      </c>
      <c r="I198" s="27" t="s">
        <v>3101</v>
      </c>
      <c r="J198" s="27" t="s">
        <v>3102</v>
      </c>
      <c r="K198" s="27" t="s">
        <v>3103</v>
      </c>
      <c r="L198" s="27" t="s">
        <v>3104</v>
      </c>
      <c r="M198" s="27" t="s">
        <v>3105</v>
      </c>
      <c r="N198" s="27" t="s">
        <v>3106</v>
      </c>
      <c r="O198" s="27" t="s">
        <v>3107</v>
      </c>
      <c r="Q198" s="27"/>
      <c r="S198" s="27">
        <v>1800026285</v>
      </c>
      <c r="T198" s="27">
        <v>1900001188</v>
      </c>
      <c r="U198" s="27">
        <v>1900005338</v>
      </c>
      <c r="V198" s="27">
        <v>1900005408</v>
      </c>
      <c r="W198" s="27">
        <v>1900012064</v>
      </c>
      <c r="X198" s="27">
        <v>1900018052</v>
      </c>
      <c r="Y198" s="27">
        <v>1900018090</v>
      </c>
      <c r="Z198" s="27">
        <v>1900026053</v>
      </c>
      <c r="AA198" s="27">
        <v>1900031353</v>
      </c>
      <c r="AC198" s="27"/>
      <c r="AE198" s="27" t="s">
        <v>570</v>
      </c>
      <c r="AF198" s="27" t="s">
        <v>180</v>
      </c>
      <c r="AG198" s="27" t="s">
        <v>181</v>
      </c>
      <c r="AH198" s="27" t="s">
        <v>181</v>
      </c>
      <c r="AI198" s="27" t="s">
        <v>885</v>
      </c>
      <c r="AJ198" s="27" t="s">
        <v>179</v>
      </c>
      <c r="AK198" s="27" t="s">
        <v>179</v>
      </c>
      <c r="AL198" s="27" t="s">
        <v>570</v>
      </c>
      <c r="AM198" s="27" t="s">
        <v>185</v>
      </c>
      <c r="AO198" s="28"/>
      <c r="AQ198" s="28" t="s">
        <v>187</v>
      </c>
      <c r="AR198" s="28" t="s">
        <v>186</v>
      </c>
      <c r="AS198" s="28" t="s">
        <v>187</v>
      </c>
      <c r="AT198" s="28" t="s">
        <v>186</v>
      </c>
      <c r="AU198" s="28" t="s">
        <v>186</v>
      </c>
      <c r="AV198" s="28" t="s">
        <v>186</v>
      </c>
      <c r="AW198" s="28" t="s">
        <v>187</v>
      </c>
      <c r="AX198" s="28" t="s">
        <v>186</v>
      </c>
      <c r="AY198" s="28" t="s">
        <v>186</v>
      </c>
      <c r="BA198" s="28"/>
      <c r="BC198" s="28">
        <v>82228444289</v>
      </c>
      <c r="BD198" s="28">
        <v>82371655724</v>
      </c>
      <c r="BE198" s="28">
        <v>82225083945</v>
      </c>
      <c r="BF198" s="28">
        <v>82280883166</v>
      </c>
      <c r="BG198" s="28">
        <v>85712183294</v>
      </c>
      <c r="BH198" s="28">
        <v>85321104008</v>
      </c>
      <c r="BI198" s="28">
        <v>89522288300</v>
      </c>
      <c r="BJ198" s="28">
        <v>85225315557</v>
      </c>
      <c r="BK198" s="28">
        <v>82321249811</v>
      </c>
      <c r="BO198" s="39">
        <v>60191236</v>
      </c>
      <c r="BP198" s="18" t="s">
        <v>3108</v>
      </c>
      <c r="BQ198" s="37">
        <v>44957</v>
      </c>
      <c r="BR198" s="8">
        <f t="shared" si="0"/>
        <v>9</v>
      </c>
    </row>
    <row r="199" spans="1:70" ht="15.5">
      <c r="A199" s="4" t="str">
        <v>Reguler Periode ke-101 VIII.C.1</v>
      </c>
      <c r="B199" s="4" t="s">
        <v>2073</v>
      </c>
      <c r="C199" s="38" t="s">
        <v>3109</v>
      </c>
      <c r="D199" s="4" t="s">
        <v>3110</v>
      </c>
      <c r="E199" s="4" t="s">
        <v>281</v>
      </c>
      <c r="F199" s="4" t="s">
        <v>193</v>
      </c>
      <c r="G199" s="27" t="s">
        <v>3111</v>
      </c>
      <c r="H199" s="27" t="s">
        <v>3112</v>
      </c>
      <c r="I199" s="27" t="s">
        <v>3113</v>
      </c>
      <c r="J199" s="27" t="s">
        <v>3114</v>
      </c>
      <c r="K199" s="27" t="s">
        <v>3115</v>
      </c>
      <c r="L199" s="27" t="s">
        <v>3116</v>
      </c>
      <c r="M199" s="27" t="s">
        <v>3117</v>
      </c>
      <c r="N199" s="27" t="s">
        <v>3118</v>
      </c>
      <c r="O199" s="27" t="s">
        <v>3119</v>
      </c>
      <c r="P199" s="27" t="s">
        <v>3120</v>
      </c>
      <c r="Q199" s="27" t="s">
        <v>3121</v>
      </c>
      <c r="R199" s="27"/>
      <c r="S199" s="27">
        <v>1900001169</v>
      </c>
      <c r="T199" s="27">
        <v>1900005106</v>
      </c>
      <c r="U199" s="27">
        <v>1900005164</v>
      </c>
      <c r="V199" s="27">
        <v>1900012214</v>
      </c>
      <c r="W199" s="27">
        <v>1900018037</v>
      </c>
      <c r="X199" s="27">
        <v>1900018338</v>
      </c>
      <c r="Y199" s="27">
        <v>1900026252</v>
      </c>
      <c r="Z199" s="27">
        <v>1900026290</v>
      </c>
      <c r="AA199" s="27">
        <v>1900031135</v>
      </c>
      <c r="AB199" s="27">
        <v>2123025088</v>
      </c>
      <c r="AC199" s="27">
        <v>2123025094</v>
      </c>
      <c r="AD199" s="27"/>
      <c r="AE199" s="27" t="s">
        <v>180</v>
      </c>
      <c r="AF199" s="27" t="s">
        <v>181</v>
      </c>
      <c r="AG199" s="27" t="s">
        <v>181</v>
      </c>
      <c r="AH199" s="27" t="s">
        <v>885</v>
      </c>
      <c r="AI199" s="27" t="s">
        <v>179</v>
      </c>
      <c r="AJ199" s="27" t="s">
        <v>179</v>
      </c>
      <c r="AK199" s="27" t="s">
        <v>570</v>
      </c>
      <c r="AL199" s="27" t="s">
        <v>570</v>
      </c>
      <c r="AM199" s="27" t="s">
        <v>185</v>
      </c>
      <c r="AN199" s="27" t="s">
        <v>1168</v>
      </c>
      <c r="AO199" s="27" t="s">
        <v>1168</v>
      </c>
      <c r="AQ199" s="28" t="s">
        <v>186</v>
      </c>
      <c r="AR199" s="28" t="s">
        <v>187</v>
      </c>
      <c r="AS199" s="28" t="s">
        <v>186</v>
      </c>
      <c r="AT199" s="28" t="s">
        <v>186</v>
      </c>
      <c r="AU199" s="28" t="s">
        <v>187</v>
      </c>
      <c r="AV199" s="28" t="s">
        <v>186</v>
      </c>
      <c r="AW199" s="28" t="s">
        <v>187</v>
      </c>
      <c r="AX199" s="28" t="s">
        <v>186</v>
      </c>
      <c r="AY199" s="28" t="s">
        <v>186</v>
      </c>
      <c r="AZ199" s="28" t="s">
        <v>187</v>
      </c>
      <c r="BA199" s="28" t="s">
        <v>186</v>
      </c>
      <c r="BC199" s="28">
        <v>85701269195</v>
      </c>
      <c r="BD199" s="28">
        <v>81545183921</v>
      </c>
      <c r="BE199" s="28">
        <v>81329873833</v>
      </c>
      <c r="BF199" s="28">
        <v>85342991117</v>
      </c>
      <c r="BG199" s="28">
        <v>816907019</v>
      </c>
      <c r="BH199" s="28">
        <v>85230449424</v>
      </c>
      <c r="BI199" s="28">
        <v>81325513421</v>
      </c>
      <c r="BJ199" s="28">
        <v>8157723613</v>
      </c>
      <c r="BK199" s="28">
        <v>81325375832</v>
      </c>
      <c r="BL199" s="28">
        <v>13977627222</v>
      </c>
      <c r="BM199" s="28">
        <v>15277796497</v>
      </c>
      <c r="BO199" s="39">
        <v>60110639</v>
      </c>
      <c r="BP199" s="18" t="s">
        <v>3122</v>
      </c>
      <c r="BQ199" s="37">
        <v>44957</v>
      </c>
      <c r="BR199" s="8">
        <f t="shared" si="0"/>
        <v>11</v>
      </c>
    </row>
    <row r="200" spans="1:70" ht="15.5">
      <c r="A200" s="4" t="str">
        <v>Reguler Periode ke-101 VIII.C.2</v>
      </c>
      <c r="B200" s="4" t="s">
        <v>2073</v>
      </c>
      <c r="C200" s="38" t="s">
        <v>3123</v>
      </c>
      <c r="D200" s="4" t="s">
        <v>3110</v>
      </c>
      <c r="E200" s="4" t="s">
        <v>217</v>
      </c>
      <c r="F200" s="4" t="s">
        <v>193</v>
      </c>
      <c r="G200" s="27" t="s">
        <v>3124</v>
      </c>
      <c r="H200" s="27" t="s">
        <v>3125</v>
      </c>
      <c r="I200" s="27" t="s">
        <v>3126</v>
      </c>
      <c r="J200" s="27" t="s">
        <v>3127</v>
      </c>
      <c r="K200" s="27" t="s">
        <v>3128</v>
      </c>
      <c r="L200" s="27" t="s">
        <v>3129</v>
      </c>
      <c r="M200" s="27" t="s">
        <v>3130</v>
      </c>
      <c r="N200" s="27" t="s">
        <v>3131</v>
      </c>
      <c r="O200" s="27" t="s">
        <v>3132</v>
      </c>
      <c r="P200" s="27" t="s">
        <v>3133</v>
      </c>
      <c r="R200" s="27"/>
      <c r="S200" s="27">
        <v>1800024043</v>
      </c>
      <c r="T200" s="27">
        <v>1900001051</v>
      </c>
      <c r="U200" s="27">
        <v>1900005308</v>
      </c>
      <c r="V200" s="27">
        <v>1900005357</v>
      </c>
      <c r="W200" s="27">
        <v>1900012100</v>
      </c>
      <c r="X200" s="27">
        <v>1900018168</v>
      </c>
      <c r="Y200" s="27">
        <v>1900018322</v>
      </c>
      <c r="Z200" s="27">
        <v>1900026044</v>
      </c>
      <c r="AA200" s="27">
        <v>1900026164</v>
      </c>
      <c r="AB200" s="27">
        <v>1900031293</v>
      </c>
      <c r="AC200" s="27"/>
      <c r="AD200" s="27"/>
      <c r="AE200" s="27" t="s">
        <v>924</v>
      </c>
      <c r="AF200" s="27" t="s">
        <v>180</v>
      </c>
      <c r="AG200" s="27" t="s">
        <v>181</v>
      </c>
      <c r="AH200" s="27" t="s">
        <v>181</v>
      </c>
      <c r="AI200" s="27" t="s">
        <v>885</v>
      </c>
      <c r="AJ200" s="27" t="s">
        <v>179</v>
      </c>
      <c r="AK200" s="27" t="s">
        <v>179</v>
      </c>
      <c r="AL200" s="27" t="s">
        <v>570</v>
      </c>
      <c r="AM200" s="27" t="s">
        <v>570</v>
      </c>
      <c r="AN200" s="27" t="s">
        <v>185</v>
      </c>
      <c r="AO200" s="28"/>
      <c r="AP200" s="28"/>
      <c r="AQ200" s="28" t="s">
        <v>186</v>
      </c>
      <c r="AR200" s="28" t="s">
        <v>186</v>
      </c>
      <c r="AS200" s="28" t="s">
        <v>187</v>
      </c>
      <c r="AT200" s="28" t="s">
        <v>186</v>
      </c>
      <c r="AU200" s="28" t="s">
        <v>186</v>
      </c>
      <c r="AV200" s="28" t="s">
        <v>187</v>
      </c>
      <c r="AW200" s="28" t="s">
        <v>186</v>
      </c>
      <c r="AX200" s="28" t="s">
        <v>186</v>
      </c>
      <c r="AY200" s="28" t="s">
        <v>187</v>
      </c>
      <c r="AZ200" s="28" t="s">
        <v>186</v>
      </c>
      <c r="BA200" s="28"/>
      <c r="BB200" s="28"/>
      <c r="BC200" s="28">
        <v>87739289043</v>
      </c>
      <c r="BD200" s="28">
        <v>87727730017</v>
      </c>
      <c r="BE200" s="28">
        <v>85841911561</v>
      </c>
      <c r="BF200" s="28">
        <v>85740994313</v>
      </c>
      <c r="BG200" s="28">
        <v>81226206935</v>
      </c>
      <c r="BH200" s="28">
        <v>895422474367</v>
      </c>
      <c r="BI200" s="28">
        <v>895392326487</v>
      </c>
      <c r="BJ200" s="28">
        <v>81290436928</v>
      </c>
      <c r="BK200" s="28">
        <v>81990318179</v>
      </c>
      <c r="BL200" s="28">
        <v>82258487441</v>
      </c>
      <c r="BO200" s="39">
        <v>60110639</v>
      </c>
      <c r="BP200" s="18" t="s">
        <v>3134</v>
      </c>
      <c r="BQ200" s="37">
        <v>44957</v>
      </c>
      <c r="BR200" s="8">
        <f t="shared" si="0"/>
        <v>10</v>
      </c>
    </row>
    <row r="201" spans="1:70" ht="15.5">
      <c r="A201" s="4" t="str">
        <v>Reguler Periode ke-101 VIII.C.3</v>
      </c>
      <c r="B201" s="4" t="s">
        <v>2073</v>
      </c>
      <c r="C201" s="38" t="s">
        <v>3135</v>
      </c>
      <c r="D201" s="4" t="s">
        <v>3110</v>
      </c>
      <c r="E201" s="4" t="s">
        <v>300</v>
      </c>
      <c r="F201" s="4" t="s">
        <v>193</v>
      </c>
      <c r="G201" s="27" t="s">
        <v>3136</v>
      </c>
      <c r="H201" s="27" t="s">
        <v>3137</v>
      </c>
      <c r="I201" s="27" t="s">
        <v>3138</v>
      </c>
      <c r="J201" s="27" t="s">
        <v>3139</v>
      </c>
      <c r="K201" s="27" t="s">
        <v>3140</v>
      </c>
      <c r="L201" s="27" t="s">
        <v>3141</v>
      </c>
      <c r="M201" s="27" t="s">
        <v>3142</v>
      </c>
      <c r="N201" s="27" t="s">
        <v>3143</v>
      </c>
      <c r="O201" s="27" t="s">
        <v>3144</v>
      </c>
      <c r="Q201" s="27"/>
      <c r="R201" s="27"/>
      <c r="S201" s="27">
        <v>1900001083</v>
      </c>
      <c r="T201" s="27">
        <v>1900005063</v>
      </c>
      <c r="U201" s="27">
        <v>1900005119</v>
      </c>
      <c r="V201" s="27">
        <v>1900012092</v>
      </c>
      <c r="W201" s="27">
        <v>1900018072</v>
      </c>
      <c r="X201" s="27">
        <v>1900018337</v>
      </c>
      <c r="Y201" s="27">
        <v>1900026100</v>
      </c>
      <c r="Z201" s="27">
        <v>1900026248</v>
      </c>
      <c r="AA201" s="27">
        <v>1900031273</v>
      </c>
      <c r="AB201" s="27"/>
      <c r="AC201" s="27"/>
      <c r="AD201" s="27"/>
      <c r="AE201" s="27" t="s">
        <v>180</v>
      </c>
      <c r="AF201" s="27" t="s">
        <v>181</v>
      </c>
      <c r="AG201" s="27" t="s">
        <v>181</v>
      </c>
      <c r="AH201" s="27" t="s">
        <v>885</v>
      </c>
      <c r="AI201" s="27" t="s">
        <v>179</v>
      </c>
      <c r="AJ201" s="27" t="s">
        <v>179</v>
      </c>
      <c r="AK201" s="27" t="s">
        <v>570</v>
      </c>
      <c r="AL201" s="27" t="s">
        <v>570</v>
      </c>
      <c r="AM201" s="27" t="s">
        <v>185</v>
      </c>
      <c r="AO201" s="28"/>
      <c r="AP201" s="28"/>
      <c r="AQ201" s="28" t="s">
        <v>186</v>
      </c>
      <c r="AR201" s="28" t="s">
        <v>186</v>
      </c>
      <c r="AS201" s="28" t="s">
        <v>187</v>
      </c>
      <c r="AT201" s="28" t="s">
        <v>186</v>
      </c>
      <c r="AU201" s="28" t="s">
        <v>186</v>
      </c>
      <c r="AV201" s="28" t="s">
        <v>187</v>
      </c>
      <c r="AW201" s="28" t="s">
        <v>186</v>
      </c>
      <c r="AX201" s="28" t="s">
        <v>187</v>
      </c>
      <c r="AY201" s="28" t="s">
        <v>186</v>
      </c>
      <c r="BB201" s="28"/>
      <c r="BC201" s="28">
        <v>895378066257</v>
      </c>
      <c r="BD201" s="28">
        <v>82176506417</v>
      </c>
      <c r="BE201" s="28">
        <v>83103495925</v>
      </c>
      <c r="BF201" s="28">
        <v>82278893938</v>
      </c>
      <c r="BG201" s="28">
        <v>82261159248</v>
      </c>
      <c r="BH201" s="28">
        <v>85786773205</v>
      </c>
      <c r="BI201" s="28">
        <v>81347967436</v>
      </c>
      <c r="BJ201" s="28">
        <v>81329997067</v>
      </c>
      <c r="BK201" s="28">
        <v>81366167540</v>
      </c>
      <c r="BO201" s="39">
        <v>60110639</v>
      </c>
      <c r="BP201" s="18" t="s">
        <v>3145</v>
      </c>
      <c r="BQ201" s="37">
        <v>44957</v>
      </c>
      <c r="BR201" s="8">
        <f t="shared" si="0"/>
        <v>9</v>
      </c>
    </row>
    <row r="202" spans="1:70" ht="15.5">
      <c r="A202" s="4" t="str">
        <v>Reguler Periode ke-101 VIII.D.1</v>
      </c>
      <c r="B202" s="4" t="s">
        <v>2073</v>
      </c>
      <c r="C202" s="38" t="s">
        <v>3146</v>
      </c>
      <c r="D202" s="4" t="s">
        <v>3147</v>
      </c>
      <c r="E202" s="4" t="s">
        <v>3148</v>
      </c>
      <c r="F202" s="4" t="s">
        <v>193</v>
      </c>
      <c r="G202" s="27" t="s">
        <v>3149</v>
      </c>
      <c r="H202" s="27" t="s">
        <v>3150</v>
      </c>
      <c r="I202" s="27" t="s">
        <v>3151</v>
      </c>
      <c r="J202" s="27" t="s">
        <v>3152</v>
      </c>
      <c r="K202" s="27" t="s">
        <v>3153</v>
      </c>
      <c r="L202" s="27" t="s">
        <v>3154</v>
      </c>
      <c r="M202" s="27" t="s">
        <v>3155</v>
      </c>
      <c r="N202" s="27" t="s">
        <v>3156</v>
      </c>
      <c r="O202" s="27" t="s">
        <v>3157</v>
      </c>
      <c r="P202" s="40" t="s">
        <v>3158</v>
      </c>
      <c r="Q202" s="40" t="s">
        <v>3159</v>
      </c>
      <c r="R202" s="27"/>
      <c r="S202" s="27">
        <v>1900001024</v>
      </c>
      <c r="T202" s="27">
        <v>1900005022</v>
      </c>
      <c r="U202" s="27">
        <v>1900005225</v>
      </c>
      <c r="V202" s="27">
        <v>1900012189</v>
      </c>
      <c r="W202" s="27">
        <v>1900018010</v>
      </c>
      <c r="X202" s="27">
        <v>1900018301</v>
      </c>
      <c r="Y202" s="27">
        <v>1900026125</v>
      </c>
      <c r="Z202" s="27">
        <v>1900026145</v>
      </c>
      <c r="AA202" s="27">
        <v>1900031100</v>
      </c>
      <c r="AB202" s="41">
        <v>2123025087</v>
      </c>
      <c r="AC202" s="40">
        <v>2123025097</v>
      </c>
      <c r="AD202" s="27"/>
      <c r="AE202" s="27" t="s">
        <v>180</v>
      </c>
      <c r="AF202" s="27" t="s">
        <v>181</v>
      </c>
      <c r="AG202" s="27" t="s">
        <v>181</v>
      </c>
      <c r="AH202" s="27" t="s">
        <v>885</v>
      </c>
      <c r="AI202" s="27" t="s">
        <v>179</v>
      </c>
      <c r="AJ202" s="27" t="s">
        <v>179</v>
      </c>
      <c r="AK202" s="27" t="s">
        <v>570</v>
      </c>
      <c r="AL202" s="27" t="s">
        <v>570</v>
      </c>
      <c r="AM202" s="27" t="s">
        <v>185</v>
      </c>
      <c r="AN202" s="40" t="s">
        <v>1168</v>
      </c>
      <c r="AO202" s="40" t="s">
        <v>1168</v>
      </c>
      <c r="AP202" s="28"/>
      <c r="AQ202" s="28" t="s">
        <v>186</v>
      </c>
      <c r="AR202" s="28" t="s">
        <v>187</v>
      </c>
      <c r="AS202" s="28" t="s">
        <v>186</v>
      </c>
      <c r="AT202" s="28" t="s">
        <v>186</v>
      </c>
      <c r="AU202" s="28" t="s">
        <v>187</v>
      </c>
      <c r="AV202" s="28" t="s">
        <v>186</v>
      </c>
      <c r="AW202" s="28" t="s">
        <v>187</v>
      </c>
      <c r="AX202" s="28" t="s">
        <v>186</v>
      </c>
      <c r="AY202" s="28" t="s">
        <v>186</v>
      </c>
      <c r="AZ202" s="4" t="s">
        <v>186</v>
      </c>
      <c r="BA202" s="4" t="s">
        <v>186</v>
      </c>
      <c r="BB202" s="28"/>
      <c r="BC202" s="28">
        <v>88802611877</v>
      </c>
      <c r="BD202" s="28">
        <v>85215471312</v>
      </c>
      <c r="BE202" s="28">
        <v>85730147380</v>
      </c>
      <c r="BF202" s="28">
        <v>85536354083</v>
      </c>
      <c r="BG202" s="28">
        <v>81348157626</v>
      </c>
      <c r="BH202" s="28">
        <v>82153845885</v>
      </c>
      <c r="BI202" s="28">
        <v>85830001226</v>
      </c>
      <c r="BJ202" s="28">
        <v>87736708839</v>
      </c>
      <c r="BK202" s="28">
        <v>85290398787</v>
      </c>
      <c r="BO202" s="39">
        <v>60160935</v>
      </c>
      <c r="BP202" s="18" t="s">
        <v>3160</v>
      </c>
      <c r="BQ202" s="37">
        <v>44957</v>
      </c>
      <c r="BR202" s="8">
        <f t="shared" si="0"/>
        <v>11</v>
      </c>
    </row>
    <row r="203" spans="1:70" ht="15.5">
      <c r="A203" s="4" t="str">
        <v>Reguler Periode ke-101 VIII.D.2</v>
      </c>
      <c r="B203" s="4" t="s">
        <v>2073</v>
      </c>
      <c r="C203" s="38" t="s">
        <v>3161</v>
      </c>
      <c r="D203" s="4" t="s">
        <v>3147</v>
      </c>
      <c r="E203" s="4" t="s">
        <v>262</v>
      </c>
      <c r="F203" s="4" t="s">
        <v>193</v>
      </c>
      <c r="G203" s="27" t="s">
        <v>3162</v>
      </c>
      <c r="H203" s="27" t="s">
        <v>3163</v>
      </c>
      <c r="I203" s="27" t="s">
        <v>3164</v>
      </c>
      <c r="J203" s="27" t="s">
        <v>3165</v>
      </c>
      <c r="K203" s="27" t="s">
        <v>3166</v>
      </c>
      <c r="L203" s="27" t="s">
        <v>3167</v>
      </c>
      <c r="M203" s="27" t="s">
        <v>3168</v>
      </c>
      <c r="N203" s="27" t="s">
        <v>3169</v>
      </c>
      <c r="O203" s="27" t="s">
        <v>3170</v>
      </c>
      <c r="S203" s="27">
        <v>1900001009</v>
      </c>
      <c r="T203" s="27">
        <v>1900005176</v>
      </c>
      <c r="U203" s="27">
        <v>1900005249</v>
      </c>
      <c r="V203" s="27">
        <v>1900012059</v>
      </c>
      <c r="W203" s="27">
        <v>1900018310</v>
      </c>
      <c r="X203" s="27">
        <v>1900018317</v>
      </c>
      <c r="Y203" s="27">
        <v>1900026144</v>
      </c>
      <c r="Z203" s="27">
        <v>1900026180</v>
      </c>
      <c r="AA203" s="27">
        <v>1900031035</v>
      </c>
      <c r="AB203" s="27"/>
      <c r="AC203" s="27"/>
      <c r="AD203" s="27"/>
      <c r="AE203" s="27" t="s">
        <v>180</v>
      </c>
      <c r="AF203" s="27" t="s">
        <v>181</v>
      </c>
      <c r="AG203" s="27" t="s">
        <v>181</v>
      </c>
      <c r="AH203" s="27" t="s">
        <v>885</v>
      </c>
      <c r="AI203" s="27" t="s">
        <v>179</v>
      </c>
      <c r="AJ203" s="27" t="s">
        <v>179</v>
      </c>
      <c r="AK203" s="27" t="s">
        <v>570</v>
      </c>
      <c r="AL203" s="27" t="s">
        <v>570</v>
      </c>
      <c r="AM203" s="27" t="s">
        <v>185</v>
      </c>
      <c r="AO203" s="28"/>
      <c r="AQ203" s="28" t="s">
        <v>186</v>
      </c>
      <c r="AR203" s="28" t="s">
        <v>187</v>
      </c>
      <c r="AS203" s="28" t="s">
        <v>186</v>
      </c>
      <c r="AT203" s="28" t="s">
        <v>186</v>
      </c>
      <c r="AU203" s="28" t="s">
        <v>187</v>
      </c>
      <c r="AV203" s="28" t="s">
        <v>186</v>
      </c>
      <c r="AW203" s="28" t="s">
        <v>187</v>
      </c>
      <c r="AX203" s="28" t="s">
        <v>186</v>
      </c>
      <c r="AY203" s="28" t="s">
        <v>186</v>
      </c>
      <c r="BA203" s="28"/>
      <c r="BC203" s="28">
        <v>6288224297989</v>
      </c>
      <c r="BD203" s="28">
        <v>82144669986</v>
      </c>
      <c r="BE203" s="28">
        <v>82325232918</v>
      </c>
      <c r="BF203" s="28">
        <v>85788141007</v>
      </c>
      <c r="BG203" s="28">
        <v>83896956721</v>
      </c>
      <c r="BH203" s="28">
        <v>87724411086</v>
      </c>
      <c r="BI203" s="28">
        <v>82269104015</v>
      </c>
      <c r="BJ203" s="28">
        <v>81392510648</v>
      </c>
      <c r="BK203" s="28">
        <v>8990992631</v>
      </c>
      <c r="BO203" s="39">
        <v>60160935</v>
      </c>
      <c r="BP203" s="18" t="s">
        <v>3171</v>
      </c>
      <c r="BQ203" s="37">
        <v>44957</v>
      </c>
      <c r="BR203" s="8">
        <f t="shared" si="0"/>
        <v>9</v>
      </c>
    </row>
    <row r="204" spans="1:70" ht="15.5">
      <c r="A204" s="4" t="str">
        <v>Reguler Periode ke-101 VIII.D.3</v>
      </c>
      <c r="B204" s="4" t="s">
        <v>2073</v>
      </c>
      <c r="C204" s="38" t="s">
        <v>3172</v>
      </c>
      <c r="D204" s="4" t="s">
        <v>3147</v>
      </c>
      <c r="E204" s="4" t="s">
        <v>3173</v>
      </c>
      <c r="F204" s="4" t="s">
        <v>193</v>
      </c>
      <c r="G204" s="27" t="s">
        <v>3174</v>
      </c>
      <c r="H204" s="27" t="s">
        <v>3175</v>
      </c>
      <c r="I204" s="27" t="s">
        <v>3176</v>
      </c>
      <c r="J204" s="27" t="s">
        <v>3177</v>
      </c>
      <c r="K204" s="27" t="s">
        <v>3178</v>
      </c>
      <c r="L204" s="27" t="s">
        <v>3179</v>
      </c>
      <c r="M204" s="27" t="s">
        <v>3180</v>
      </c>
      <c r="N204" s="27" t="s">
        <v>3181</v>
      </c>
      <c r="O204" s="27" t="s">
        <v>3182</v>
      </c>
      <c r="Q204" s="27"/>
      <c r="S204" s="27">
        <v>1900001011</v>
      </c>
      <c r="T204" s="27">
        <v>1900005266</v>
      </c>
      <c r="U204" s="27">
        <v>1900005280</v>
      </c>
      <c r="V204" s="27">
        <v>1900012020</v>
      </c>
      <c r="W204" s="27">
        <v>1900018239</v>
      </c>
      <c r="X204" s="27">
        <v>1900018425</v>
      </c>
      <c r="Y204" s="27">
        <v>1900026182</v>
      </c>
      <c r="Z204" s="27">
        <v>1900026241</v>
      </c>
      <c r="AA204" s="27">
        <v>1900031314</v>
      </c>
      <c r="AB204" s="27"/>
      <c r="AE204" s="27" t="s">
        <v>180</v>
      </c>
      <c r="AF204" s="27" t="s">
        <v>181</v>
      </c>
      <c r="AG204" s="27" t="s">
        <v>181</v>
      </c>
      <c r="AH204" s="27" t="s">
        <v>885</v>
      </c>
      <c r="AI204" s="27" t="s">
        <v>179</v>
      </c>
      <c r="AJ204" s="27" t="s">
        <v>179</v>
      </c>
      <c r="AK204" s="27" t="s">
        <v>570</v>
      </c>
      <c r="AL204" s="27" t="s">
        <v>570</v>
      </c>
      <c r="AM204" s="27" t="s">
        <v>185</v>
      </c>
      <c r="AO204" s="28"/>
      <c r="AQ204" s="28" t="s">
        <v>186</v>
      </c>
      <c r="AR204" s="28" t="s">
        <v>186</v>
      </c>
      <c r="AS204" s="28" t="s">
        <v>187</v>
      </c>
      <c r="AT204" s="28" t="s">
        <v>186</v>
      </c>
      <c r="AU204" s="28" t="s">
        <v>187</v>
      </c>
      <c r="AV204" s="28" t="s">
        <v>186</v>
      </c>
      <c r="AW204" s="28" t="s">
        <v>186</v>
      </c>
      <c r="AX204" s="28" t="s">
        <v>187</v>
      </c>
      <c r="AY204" s="28" t="s">
        <v>186</v>
      </c>
      <c r="BA204" s="28"/>
      <c r="BB204" s="28"/>
      <c r="BC204" s="28">
        <v>82217896207</v>
      </c>
      <c r="BD204" s="28">
        <v>82138091272</v>
      </c>
      <c r="BE204" s="28">
        <v>85786579335</v>
      </c>
      <c r="BF204" s="28">
        <v>85336190740</v>
      </c>
      <c r="BG204" s="28">
        <v>811540047</v>
      </c>
      <c r="BH204" s="28">
        <v>81912875024</v>
      </c>
      <c r="BI204" s="28">
        <v>82256118281</v>
      </c>
      <c r="BJ204" s="28">
        <v>85768208120</v>
      </c>
      <c r="BK204" s="28">
        <v>87772007415</v>
      </c>
      <c r="BO204" s="39">
        <v>60160935</v>
      </c>
      <c r="BP204" s="18" t="s">
        <v>3183</v>
      </c>
      <c r="BQ204" s="37">
        <v>44957</v>
      </c>
      <c r="BR204" s="8">
        <f t="shared" si="0"/>
        <v>9</v>
      </c>
    </row>
    <row r="205" spans="1:70" ht="15.5">
      <c r="A205" s="4" t="str">
        <v>Reguler Periode ke-101 IX.A.1</v>
      </c>
      <c r="B205" s="4" t="s">
        <v>2073</v>
      </c>
      <c r="C205" s="38" t="s">
        <v>3184</v>
      </c>
      <c r="D205" s="4" t="s">
        <v>288</v>
      </c>
      <c r="E205" s="4" t="s">
        <v>3185</v>
      </c>
      <c r="F205" s="4" t="s">
        <v>193</v>
      </c>
      <c r="G205" s="27" t="s">
        <v>3186</v>
      </c>
      <c r="H205" s="27" t="s">
        <v>3187</v>
      </c>
      <c r="I205" s="27" t="s">
        <v>3188</v>
      </c>
      <c r="J205" s="27" t="s">
        <v>3189</v>
      </c>
      <c r="K205" s="27" t="s">
        <v>3190</v>
      </c>
      <c r="L205" s="27" t="s">
        <v>3191</v>
      </c>
      <c r="M205" s="27" t="s">
        <v>3192</v>
      </c>
      <c r="N205" s="27" t="s">
        <v>3193</v>
      </c>
      <c r="O205" s="27" t="s">
        <v>3194</v>
      </c>
      <c r="Q205" s="42"/>
      <c r="R205" s="27"/>
      <c r="S205" s="27">
        <v>1900001238</v>
      </c>
      <c r="T205" s="27">
        <v>1900005137</v>
      </c>
      <c r="U205" s="27">
        <v>1900005269</v>
      </c>
      <c r="V205" s="27">
        <v>1900012049</v>
      </c>
      <c r="W205" s="27">
        <v>1900018071</v>
      </c>
      <c r="X205" s="27">
        <v>1900018147</v>
      </c>
      <c r="Y205" s="27">
        <v>1900026024</v>
      </c>
      <c r="Z205" s="27">
        <v>1900026179</v>
      </c>
      <c r="AA205" s="27">
        <v>1900031175</v>
      </c>
      <c r="AC205" s="27"/>
      <c r="AE205" s="27" t="s">
        <v>180</v>
      </c>
      <c r="AF205" s="27" t="s">
        <v>181</v>
      </c>
      <c r="AG205" s="27" t="s">
        <v>181</v>
      </c>
      <c r="AH205" s="27" t="s">
        <v>885</v>
      </c>
      <c r="AI205" s="27" t="s">
        <v>179</v>
      </c>
      <c r="AJ205" s="27" t="s">
        <v>179</v>
      </c>
      <c r="AK205" s="27" t="s">
        <v>570</v>
      </c>
      <c r="AL205" s="27" t="s">
        <v>570</v>
      </c>
      <c r="AM205" s="27" t="s">
        <v>185</v>
      </c>
      <c r="AO205" s="28"/>
      <c r="AQ205" s="28" t="s">
        <v>186</v>
      </c>
      <c r="AR205" s="28" t="s">
        <v>187</v>
      </c>
      <c r="AS205" s="28" t="s">
        <v>186</v>
      </c>
      <c r="AT205" s="28" t="s">
        <v>186</v>
      </c>
      <c r="AU205" s="28" t="s">
        <v>187</v>
      </c>
      <c r="AV205" s="28" t="s">
        <v>186</v>
      </c>
      <c r="AW205" s="28" t="s">
        <v>187</v>
      </c>
      <c r="AX205" s="28" t="s">
        <v>186</v>
      </c>
      <c r="AY205" s="28" t="s">
        <v>186</v>
      </c>
      <c r="BA205" s="28"/>
      <c r="BB205" s="28"/>
      <c r="BC205" s="28">
        <v>881027121350</v>
      </c>
      <c r="BD205" s="28">
        <v>87847462400</v>
      </c>
      <c r="BE205" s="28">
        <v>85839667589</v>
      </c>
      <c r="BF205" s="28">
        <v>82288002318</v>
      </c>
      <c r="BG205" s="28">
        <v>82177466435</v>
      </c>
      <c r="BH205" s="28">
        <v>87835125836</v>
      </c>
      <c r="BI205" s="28">
        <v>87705492317</v>
      </c>
      <c r="BJ205" s="28">
        <v>895363513778</v>
      </c>
      <c r="BK205" s="28">
        <v>89506957953</v>
      </c>
      <c r="BO205" s="39">
        <v>60150805</v>
      </c>
      <c r="BP205" s="18" t="s">
        <v>3195</v>
      </c>
      <c r="BQ205" s="37">
        <v>44957</v>
      </c>
      <c r="BR205" s="8">
        <f t="shared" si="0"/>
        <v>9</v>
      </c>
    </row>
    <row r="206" spans="1:70" ht="15.5">
      <c r="A206" s="4" t="str">
        <v>Reguler Periode ke-101 IX.A.2</v>
      </c>
      <c r="B206" s="4" t="s">
        <v>2073</v>
      </c>
      <c r="C206" s="38" t="s">
        <v>3196</v>
      </c>
      <c r="D206" s="4" t="s">
        <v>288</v>
      </c>
      <c r="E206" s="4" t="s">
        <v>3197</v>
      </c>
      <c r="F206" s="4" t="s">
        <v>193</v>
      </c>
      <c r="G206" s="27" t="s">
        <v>3198</v>
      </c>
      <c r="H206" s="27" t="s">
        <v>3199</v>
      </c>
      <c r="I206" s="27" t="s">
        <v>3200</v>
      </c>
      <c r="J206" s="27" t="s">
        <v>3201</v>
      </c>
      <c r="K206" s="27" t="s">
        <v>3202</v>
      </c>
      <c r="L206" s="27" t="s">
        <v>3203</v>
      </c>
      <c r="M206" s="27" t="s">
        <v>3204</v>
      </c>
      <c r="N206" s="27" t="s">
        <v>3205</v>
      </c>
      <c r="O206" s="27" t="s">
        <v>3206</v>
      </c>
      <c r="R206" s="27"/>
      <c r="S206" s="27">
        <v>1900001043</v>
      </c>
      <c r="T206" s="27">
        <v>1900005099</v>
      </c>
      <c r="U206" s="27">
        <v>1900005394</v>
      </c>
      <c r="V206" s="27">
        <v>1900012241</v>
      </c>
      <c r="W206" s="27">
        <v>1900018134</v>
      </c>
      <c r="X206" s="27">
        <v>1900018347</v>
      </c>
      <c r="Y206" s="27">
        <v>1900026105</v>
      </c>
      <c r="Z206" s="27">
        <v>1900026181</v>
      </c>
      <c r="AA206" s="27">
        <v>1900031384</v>
      </c>
      <c r="AB206" s="27"/>
      <c r="AD206" s="27"/>
      <c r="AE206" s="27" t="s">
        <v>180</v>
      </c>
      <c r="AF206" s="27" t="s">
        <v>181</v>
      </c>
      <c r="AG206" s="27" t="s">
        <v>181</v>
      </c>
      <c r="AH206" s="27" t="s">
        <v>885</v>
      </c>
      <c r="AI206" s="27" t="s">
        <v>179</v>
      </c>
      <c r="AJ206" s="27" t="s">
        <v>179</v>
      </c>
      <c r="AK206" s="27" t="s">
        <v>570</v>
      </c>
      <c r="AL206" s="27" t="s">
        <v>570</v>
      </c>
      <c r="AM206" s="27" t="s">
        <v>185</v>
      </c>
      <c r="AO206" s="28"/>
      <c r="AQ206" s="28" t="s">
        <v>186</v>
      </c>
      <c r="AR206" s="28" t="s">
        <v>187</v>
      </c>
      <c r="AS206" s="28" t="s">
        <v>186</v>
      </c>
      <c r="AT206" s="28" t="s">
        <v>186</v>
      </c>
      <c r="AU206" s="28" t="s">
        <v>186</v>
      </c>
      <c r="AV206" s="28" t="s">
        <v>187</v>
      </c>
      <c r="AW206" s="28" t="s">
        <v>187</v>
      </c>
      <c r="AX206" s="28" t="s">
        <v>186</v>
      </c>
      <c r="AY206" s="28" t="s">
        <v>186</v>
      </c>
      <c r="BA206" s="28"/>
      <c r="BB206" s="28"/>
      <c r="BC206" s="28">
        <v>895322349064</v>
      </c>
      <c r="BD206" s="28">
        <v>82133608359</v>
      </c>
      <c r="BE206" s="28">
        <v>82254265607</v>
      </c>
      <c r="BF206" s="28">
        <v>82244641959</v>
      </c>
      <c r="BG206" s="28">
        <v>82399787466</v>
      </c>
      <c r="BH206" s="28">
        <v>85855441274</v>
      </c>
      <c r="BI206" s="28">
        <v>83844139808</v>
      </c>
      <c r="BJ206" s="28">
        <v>87838621222</v>
      </c>
      <c r="BK206" s="28">
        <v>85524638050</v>
      </c>
      <c r="BO206" s="39">
        <v>60150805</v>
      </c>
      <c r="BP206" s="18" t="s">
        <v>3207</v>
      </c>
      <c r="BQ206" s="37">
        <v>44957</v>
      </c>
      <c r="BR206" s="8">
        <f t="shared" si="0"/>
        <v>9</v>
      </c>
    </row>
    <row r="207" spans="1:70" ht="15.5">
      <c r="A207" s="4" t="str">
        <v>Reguler Periode ke-101 IX.A.3</v>
      </c>
      <c r="B207" s="4" t="s">
        <v>2073</v>
      </c>
      <c r="C207" s="38" t="s">
        <v>3208</v>
      </c>
      <c r="D207" s="4" t="s">
        <v>288</v>
      </c>
      <c r="E207" s="4" t="s">
        <v>3209</v>
      </c>
      <c r="F207" s="4" t="s">
        <v>193</v>
      </c>
      <c r="G207" s="27" t="s">
        <v>3210</v>
      </c>
      <c r="H207" s="27" t="s">
        <v>3211</v>
      </c>
      <c r="I207" s="27" t="s">
        <v>3212</v>
      </c>
      <c r="J207" s="27" t="s">
        <v>3213</v>
      </c>
      <c r="K207" s="27" t="s">
        <v>3214</v>
      </c>
      <c r="L207" s="27" t="s">
        <v>3215</v>
      </c>
      <c r="M207" s="27" t="s">
        <v>3216</v>
      </c>
      <c r="N207" s="27" t="s">
        <v>3217</v>
      </c>
      <c r="O207" s="27" t="s">
        <v>3218</v>
      </c>
      <c r="Q207" s="27"/>
      <c r="S207" s="27">
        <v>1900001050</v>
      </c>
      <c r="T207" s="27">
        <v>1900005159</v>
      </c>
      <c r="U207" s="27">
        <v>1900005168</v>
      </c>
      <c r="V207" s="27">
        <v>1900012194</v>
      </c>
      <c r="W207" s="27">
        <v>1900018094</v>
      </c>
      <c r="X207" s="27">
        <v>1900018369</v>
      </c>
      <c r="Y207" s="27">
        <v>1900026077</v>
      </c>
      <c r="Z207" s="27">
        <v>1900026175</v>
      </c>
      <c r="AA207" s="27">
        <v>1900031376</v>
      </c>
      <c r="AD207" s="27"/>
      <c r="AE207" s="27" t="s">
        <v>180</v>
      </c>
      <c r="AF207" s="27" t="s">
        <v>181</v>
      </c>
      <c r="AG207" s="27" t="s">
        <v>181</v>
      </c>
      <c r="AH207" s="27" t="s">
        <v>885</v>
      </c>
      <c r="AI207" s="27" t="s">
        <v>179</v>
      </c>
      <c r="AJ207" s="27" t="s">
        <v>179</v>
      </c>
      <c r="AK207" s="27" t="s">
        <v>570</v>
      </c>
      <c r="AL207" s="27" t="s">
        <v>570</v>
      </c>
      <c r="AM207" s="27" t="s">
        <v>185</v>
      </c>
      <c r="AO207" s="28"/>
      <c r="AP207" s="28"/>
      <c r="AQ207" s="28" t="s">
        <v>186</v>
      </c>
      <c r="AR207" s="28" t="s">
        <v>187</v>
      </c>
      <c r="AS207" s="28" t="s">
        <v>186</v>
      </c>
      <c r="AT207" s="28" t="s">
        <v>186</v>
      </c>
      <c r="AU207" s="28" t="s">
        <v>187</v>
      </c>
      <c r="AV207" s="28" t="s">
        <v>186</v>
      </c>
      <c r="AW207" s="28" t="s">
        <v>187</v>
      </c>
      <c r="AX207" s="28" t="s">
        <v>186</v>
      </c>
      <c r="AY207" s="28" t="s">
        <v>186</v>
      </c>
      <c r="BB207" s="28"/>
      <c r="BC207" s="28">
        <v>82322569939</v>
      </c>
      <c r="BD207" s="28">
        <v>85867154465</v>
      </c>
      <c r="BE207" s="28">
        <v>895326099596</v>
      </c>
      <c r="BF207" s="43" t="s">
        <v>3219</v>
      </c>
      <c r="BG207" s="28">
        <v>81913817501</v>
      </c>
      <c r="BH207" s="28" t="s">
        <v>3220</v>
      </c>
      <c r="BI207" s="28">
        <v>81990790535</v>
      </c>
      <c r="BJ207" s="28">
        <v>89608934422</v>
      </c>
      <c r="BK207" s="28">
        <v>81274881630</v>
      </c>
      <c r="BO207" s="39">
        <v>60150805</v>
      </c>
      <c r="BP207" s="18" t="s">
        <v>3221</v>
      </c>
      <c r="BQ207" s="37">
        <v>44957</v>
      </c>
      <c r="BR207" s="8">
        <f t="shared" si="0"/>
        <v>9</v>
      </c>
    </row>
    <row r="208" spans="1:70" ht="15.5">
      <c r="A208" s="4" t="str">
        <v>Reguler Periode ke-101 IX.B.1</v>
      </c>
      <c r="B208" s="4" t="s">
        <v>2073</v>
      </c>
      <c r="C208" s="38" t="s">
        <v>3222</v>
      </c>
      <c r="D208" s="4" t="s">
        <v>3223</v>
      </c>
      <c r="E208" s="4" t="s">
        <v>3224</v>
      </c>
      <c r="F208" s="4" t="s">
        <v>193</v>
      </c>
      <c r="G208" s="27" t="s">
        <v>3225</v>
      </c>
      <c r="H208" s="27" t="s">
        <v>3226</v>
      </c>
      <c r="I208" s="27" t="s">
        <v>3227</v>
      </c>
      <c r="J208" s="27" t="s">
        <v>3228</v>
      </c>
      <c r="K208" s="27" t="s">
        <v>3229</v>
      </c>
      <c r="L208" s="27" t="s">
        <v>3230</v>
      </c>
      <c r="M208" s="27" t="s">
        <v>3231</v>
      </c>
      <c r="N208" s="27" t="s">
        <v>3232</v>
      </c>
      <c r="O208" s="27" t="s">
        <v>3233</v>
      </c>
      <c r="Q208" s="27"/>
      <c r="S208" s="27">
        <v>1900001150</v>
      </c>
      <c r="T208" s="27">
        <v>1900005131</v>
      </c>
      <c r="U208" s="27">
        <v>1900005328</v>
      </c>
      <c r="V208" s="27">
        <v>1900012036</v>
      </c>
      <c r="W208" s="27">
        <v>1900018250</v>
      </c>
      <c r="X208" s="27">
        <v>1900018401</v>
      </c>
      <c r="Y208" s="27">
        <v>1900026116</v>
      </c>
      <c r="Z208" s="27">
        <v>1900026263</v>
      </c>
      <c r="AA208" s="27">
        <v>1900031391</v>
      </c>
      <c r="AB208" s="27"/>
      <c r="AD208" s="27"/>
      <c r="AE208" s="27" t="s">
        <v>180</v>
      </c>
      <c r="AF208" s="27" t="s">
        <v>181</v>
      </c>
      <c r="AG208" s="27" t="s">
        <v>181</v>
      </c>
      <c r="AH208" s="27" t="s">
        <v>885</v>
      </c>
      <c r="AI208" s="27" t="s">
        <v>179</v>
      </c>
      <c r="AJ208" s="27" t="s">
        <v>179</v>
      </c>
      <c r="AK208" s="27" t="s">
        <v>570</v>
      </c>
      <c r="AL208" s="27" t="s">
        <v>570</v>
      </c>
      <c r="AM208" s="27" t="s">
        <v>185</v>
      </c>
      <c r="AO208" s="28"/>
      <c r="AP208" s="28"/>
      <c r="AQ208" s="28" t="s">
        <v>186</v>
      </c>
      <c r="AR208" s="28" t="s">
        <v>187</v>
      </c>
      <c r="AS208" s="28" t="s">
        <v>186</v>
      </c>
      <c r="AT208" s="28" t="s">
        <v>186</v>
      </c>
      <c r="AU208" s="28" t="s">
        <v>186</v>
      </c>
      <c r="AV208" s="28" t="s">
        <v>187</v>
      </c>
      <c r="AW208" s="28" t="s">
        <v>186</v>
      </c>
      <c r="AX208" s="28" t="s">
        <v>187</v>
      </c>
      <c r="AY208" s="28" t="s">
        <v>186</v>
      </c>
      <c r="BA208" s="28"/>
      <c r="BB208" s="28"/>
      <c r="BC208" s="28">
        <v>89509046450</v>
      </c>
      <c r="BD208" s="28">
        <v>85702047915</v>
      </c>
      <c r="BE208" s="28">
        <v>89644802711</v>
      </c>
      <c r="BF208" s="28">
        <v>85859450572</v>
      </c>
      <c r="BG208" s="28">
        <v>895421436177</v>
      </c>
      <c r="BH208" s="28">
        <v>895372695825</v>
      </c>
      <c r="BI208" s="28">
        <v>87744509879</v>
      </c>
      <c r="BJ208" s="28">
        <v>81325369126</v>
      </c>
      <c r="BK208" s="28">
        <v>89650259377</v>
      </c>
      <c r="BO208" s="39">
        <v>60181159</v>
      </c>
      <c r="BP208" s="18" t="s">
        <v>3234</v>
      </c>
      <c r="BQ208" s="37">
        <v>44957</v>
      </c>
      <c r="BR208" s="8">
        <f t="shared" si="0"/>
        <v>9</v>
      </c>
    </row>
    <row r="209" spans="1:70" ht="15.5">
      <c r="A209" s="4" t="str">
        <v>Reguler Periode ke-101 IX.B.2</v>
      </c>
      <c r="B209" s="4" t="s">
        <v>2073</v>
      </c>
      <c r="C209" s="38" t="s">
        <v>3235</v>
      </c>
      <c r="D209" s="4" t="s">
        <v>3223</v>
      </c>
      <c r="E209" s="4" t="s">
        <v>3236</v>
      </c>
      <c r="F209" s="4" t="s">
        <v>193</v>
      </c>
      <c r="G209" s="27" t="s">
        <v>3237</v>
      </c>
      <c r="H209" s="27" t="s">
        <v>3238</v>
      </c>
      <c r="I209" s="27" t="s">
        <v>3239</v>
      </c>
      <c r="J209" s="27" t="s">
        <v>3240</v>
      </c>
      <c r="K209" s="27" t="s">
        <v>3241</v>
      </c>
      <c r="L209" s="27" t="s">
        <v>3242</v>
      </c>
      <c r="M209" s="27" t="s">
        <v>3243</v>
      </c>
      <c r="N209" s="27" t="s">
        <v>3244</v>
      </c>
      <c r="O209" s="27" t="s">
        <v>3245</v>
      </c>
      <c r="Q209" s="27"/>
      <c r="R209" s="27"/>
      <c r="S209" s="27">
        <v>1900001014</v>
      </c>
      <c r="T209" s="27">
        <v>1900005163</v>
      </c>
      <c r="U209" s="27">
        <v>1900005202</v>
      </c>
      <c r="V209" s="27">
        <v>1900012009</v>
      </c>
      <c r="W209" s="27">
        <v>1900018391</v>
      </c>
      <c r="X209" s="27">
        <v>1900018422</v>
      </c>
      <c r="Y209" s="27">
        <v>1900026005</v>
      </c>
      <c r="Z209" s="27">
        <v>1900026230</v>
      </c>
      <c r="AA209" s="27">
        <v>1900031317</v>
      </c>
      <c r="AB209" s="27"/>
      <c r="AC209" s="27"/>
      <c r="AD209" s="27"/>
      <c r="AE209" s="27" t="s">
        <v>180</v>
      </c>
      <c r="AF209" s="27" t="s">
        <v>181</v>
      </c>
      <c r="AG209" s="27" t="s">
        <v>181</v>
      </c>
      <c r="AH209" s="27" t="s">
        <v>885</v>
      </c>
      <c r="AI209" s="27" t="s">
        <v>179</v>
      </c>
      <c r="AJ209" s="27" t="s">
        <v>179</v>
      </c>
      <c r="AK209" s="27" t="s">
        <v>570</v>
      </c>
      <c r="AL209" s="27" t="s">
        <v>570</v>
      </c>
      <c r="AM209" s="27" t="s">
        <v>185</v>
      </c>
      <c r="AQ209" s="28" t="s">
        <v>186</v>
      </c>
      <c r="AR209" s="28" t="s">
        <v>187</v>
      </c>
      <c r="AS209" s="28" t="s">
        <v>186</v>
      </c>
      <c r="AT209" s="28" t="s">
        <v>186</v>
      </c>
      <c r="AU209" s="28" t="s">
        <v>186</v>
      </c>
      <c r="AV209" s="28" t="s">
        <v>187</v>
      </c>
      <c r="AW209" s="28" t="s">
        <v>186</v>
      </c>
      <c r="AX209" s="28" t="s">
        <v>187</v>
      </c>
      <c r="AY209" s="28" t="s">
        <v>186</v>
      </c>
      <c r="BA209" s="28"/>
      <c r="BB209" s="28"/>
      <c r="BC209" s="28">
        <v>85201226206</v>
      </c>
      <c r="BD209" s="28">
        <v>81369040168</v>
      </c>
      <c r="BE209" s="28">
        <v>82280523467</v>
      </c>
      <c r="BF209" s="28">
        <v>81949726485</v>
      </c>
      <c r="BG209" s="28">
        <v>85242950119</v>
      </c>
      <c r="BH209" s="28">
        <v>82280445975</v>
      </c>
      <c r="BI209" s="28">
        <v>83146744996</v>
      </c>
      <c r="BJ209" s="28">
        <v>81393709156</v>
      </c>
      <c r="BK209" s="28">
        <v>83971757249</v>
      </c>
      <c r="BO209" s="39">
        <v>60181159</v>
      </c>
      <c r="BP209" s="18" t="s">
        <v>3246</v>
      </c>
      <c r="BQ209" s="37">
        <v>44957</v>
      </c>
      <c r="BR209" s="8">
        <f t="shared" si="0"/>
        <v>9</v>
      </c>
    </row>
    <row r="210" spans="1:70" ht="15.5">
      <c r="A210" s="4" t="str">
        <v>Reguler Periode ke-101 IX.B.3</v>
      </c>
      <c r="B210" s="4" t="s">
        <v>2073</v>
      </c>
      <c r="C210" s="38" t="s">
        <v>3247</v>
      </c>
      <c r="D210" s="4" t="s">
        <v>3223</v>
      </c>
      <c r="E210" s="4" t="s">
        <v>3248</v>
      </c>
      <c r="F210" s="4" t="s">
        <v>193</v>
      </c>
      <c r="G210" s="27" t="s">
        <v>3249</v>
      </c>
      <c r="H210" s="27" t="s">
        <v>3250</v>
      </c>
      <c r="I210" s="27" t="s">
        <v>3251</v>
      </c>
      <c r="J210" s="27" t="s">
        <v>3252</v>
      </c>
      <c r="K210" s="27" t="s">
        <v>3253</v>
      </c>
      <c r="L210" s="27" t="s">
        <v>3254</v>
      </c>
      <c r="M210" s="27" t="s">
        <v>3255</v>
      </c>
      <c r="N210" s="27" t="s">
        <v>3256</v>
      </c>
      <c r="O210" s="27" t="s">
        <v>3257</v>
      </c>
      <c r="Q210" s="27"/>
      <c r="R210" s="27"/>
      <c r="S210" s="27">
        <v>1900001164</v>
      </c>
      <c r="T210" s="27">
        <v>1900005134</v>
      </c>
      <c r="U210" s="27">
        <v>1900005356</v>
      </c>
      <c r="V210" s="27">
        <v>1900012141</v>
      </c>
      <c r="W210" s="27">
        <v>1900018176</v>
      </c>
      <c r="X210" s="27">
        <v>1900018198</v>
      </c>
      <c r="Y210" s="27">
        <v>1900026018</v>
      </c>
      <c r="Z210" s="27">
        <v>1900026098</v>
      </c>
      <c r="AA210" s="27">
        <v>1900031262</v>
      </c>
      <c r="AB210" s="27"/>
      <c r="AD210" s="27"/>
      <c r="AE210" s="27" t="s">
        <v>180</v>
      </c>
      <c r="AF210" s="27" t="s">
        <v>181</v>
      </c>
      <c r="AG210" s="27" t="s">
        <v>181</v>
      </c>
      <c r="AH210" s="27" t="s">
        <v>885</v>
      </c>
      <c r="AI210" s="27" t="s">
        <v>179</v>
      </c>
      <c r="AJ210" s="27" t="s">
        <v>179</v>
      </c>
      <c r="AK210" s="27" t="s">
        <v>570</v>
      </c>
      <c r="AL210" s="27" t="s">
        <v>570</v>
      </c>
      <c r="AM210" s="27" t="s">
        <v>185</v>
      </c>
      <c r="AP210" s="28"/>
      <c r="AQ210" s="28" t="s">
        <v>186</v>
      </c>
      <c r="AR210" s="28" t="s">
        <v>187</v>
      </c>
      <c r="AS210" s="28" t="s">
        <v>186</v>
      </c>
      <c r="AT210" s="28" t="s">
        <v>186</v>
      </c>
      <c r="AU210" s="28" t="s">
        <v>186</v>
      </c>
      <c r="AV210" s="28" t="s">
        <v>187</v>
      </c>
      <c r="AW210" s="28" t="s">
        <v>186</v>
      </c>
      <c r="AX210" s="28" t="s">
        <v>187</v>
      </c>
      <c r="AY210" s="28" t="s">
        <v>186</v>
      </c>
      <c r="BA210" s="28"/>
      <c r="BC210" s="28">
        <v>85158746882</v>
      </c>
      <c r="BD210" s="28">
        <v>81977391343</v>
      </c>
      <c r="BE210" s="28">
        <v>81325519306</v>
      </c>
      <c r="BF210" s="28">
        <v>85384367811</v>
      </c>
      <c r="BG210" s="28">
        <v>85338508220</v>
      </c>
      <c r="BH210" s="28">
        <v>81254723944</v>
      </c>
      <c r="BI210" s="28">
        <v>82143496938</v>
      </c>
      <c r="BJ210" s="28">
        <v>82284381355</v>
      </c>
      <c r="BK210" s="28">
        <v>82145646695</v>
      </c>
      <c r="BO210" s="39">
        <v>60181159</v>
      </c>
      <c r="BP210" s="18" t="s">
        <v>3258</v>
      </c>
      <c r="BQ210" s="37">
        <v>44957</v>
      </c>
      <c r="BR210" s="8">
        <f t="shared" si="0"/>
        <v>9</v>
      </c>
    </row>
    <row r="211" spans="1:70" ht="15.5">
      <c r="A211" s="4" t="str">
        <v>Reguler Periode ke-101 IX.C.1</v>
      </c>
      <c r="B211" s="4" t="s">
        <v>2073</v>
      </c>
      <c r="C211" s="38" t="s">
        <v>3259</v>
      </c>
      <c r="D211" s="4" t="s">
        <v>197</v>
      </c>
      <c r="E211" s="4" t="s">
        <v>3260</v>
      </c>
      <c r="F211" s="4" t="s">
        <v>193</v>
      </c>
      <c r="G211" s="27" t="s">
        <v>3261</v>
      </c>
      <c r="H211" s="27" t="s">
        <v>3262</v>
      </c>
      <c r="I211" s="27" t="s">
        <v>3263</v>
      </c>
      <c r="J211" s="27" t="s">
        <v>3264</v>
      </c>
      <c r="K211" s="27" t="s">
        <v>3265</v>
      </c>
      <c r="L211" s="27" t="s">
        <v>3266</v>
      </c>
      <c r="M211" s="27" t="s">
        <v>3267</v>
      </c>
      <c r="N211" s="27" t="s">
        <v>3268</v>
      </c>
      <c r="O211" s="27" t="s">
        <v>3269</v>
      </c>
      <c r="Q211" s="27"/>
      <c r="R211" s="27"/>
      <c r="S211" s="27">
        <v>1800026268</v>
      </c>
      <c r="T211" s="27">
        <v>1900001226</v>
      </c>
      <c r="U211" s="27">
        <v>1900005237</v>
      </c>
      <c r="V211" s="27">
        <v>1900005352</v>
      </c>
      <c r="W211" s="27">
        <v>1900012117</v>
      </c>
      <c r="X211" s="27">
        <v>1900018328</v>
      </c>
      <c r="Y211" s="27">
        <v>1900018367</v>
      </c>
      <c r="Z211" s="27">
        <v>1900026294</v>
      </c>
      <c r="AA211" s="27">
        <v>1900031113</v>
      </c>
      <c r="AB211" s="27"/>
      <c r="AC211" s="27"/>
      <c r="AD211" s="27"/>
      <c r="AE211" s="27" t="s">
        <v>570</v>
      </c>
      <c r="AF211" s="27" t="s">
        <v>180</v>
      </c>
      <c r="AG211" s="27" t="s">
        <v>181</v>
      </c>
      <c r="AH211" s="27" t="s">
        <v>181</v>
      </c>
      <c r="AI211" s="27" t="s">
        <v>885</v>
      </c>
      <c r="AJ211" s="27" t="s">
        <v>179</v>
      </c>
      <c r="AK211" s="27" t="s">
        <v>179</v>
      </c>
      <c r="AL211" s="27" t="s">
        <v>570</v>
      </c>
      <c r="AM211" s="27" t="s">
        <v>185</v>
      </c>
      <c r="AP211" s="28"/>
      <c r="AQ211" s="28" t="s">
        <v>187</v>
      </c>
      <c r="AR211" s="28" t="s">
        <v>186</v>
      </c>
      <c r="AS211" s="28" t="s">
        <v>187</v>
      </c>
      <c r="AT211" s="28" t="s">
        <v>186</v>
      </c>
      <c r="AU211" s="28" t="s">
        <v>186</v>
      </c>
      <c r="AV211" s="28" t="s">
        <v>187</v>
      </c>
      <c r="AW211" s="28" t="s">
        <v>186</v>
      </c>
      <c r="AX211" s="28" t="s">
        <v>186</v>
      </c>
      <c r="AY211" s="28" t="s">
        <v>186</v>
      </c>
      <c r="BA211" s="28"/>
      <c r="BB211" s="28"/>
      <c r="BC211" s="28">
        <v>85161447522</v>
      </c>
      <c r="BD211" s="28">
        <v>85944609188</v>
      </c>
      <c r="BE211" s="28">
        <v>895363239994</v>
      </c>
      <c r="BF211" s="28">
        <v>85841504150</v>
      </c>
      <c r="BG211" s="28">
        <v>85939288123</v>
      </c>
      <c r="BH211" s="28">
        <v>82138225333</v>
      </c>
      <c r="BI211" s="28">
        <v>87837889551</v>
      </c>
      <c r="BJ211" s="28">
        <v>81809506691</v>
      </c>
      <c r="BK211" s="28">
        <v>82133196771</v>
      </c>
      <c r="BO211" s="39">
        <v>60150829</v>
      </c>
      <c r="BP211" s="18" t="s">
        <v>3270</v>
      </c>
      <c r="BQ211" s="37">
        <v>44957</v>
      </c>
      <c r="BR211" s="8">
        <f t="shared" si="0"/>
        <v>9</v>
      </c>
    </row>
    <row r="212" spans="1:70" ht="15.5">
      <c r="A212" s="4" t="str">
        <v>Reguler Periode ke-101 IX.C.2</v>
      </c>
      <c r="B212" s="4" t="s">
        <v>2073</v>
      </c>
      <c r="C212" s="38" t="s">
        <v>3271</v>
      </c>
      <c r="D212" s="4" t="s">
        <v>197</v>
      </c>
      <c r="E212" s="4" t="s">
        <v>3272</v>
      </c>
      <c r="F212" s="4" t="s">
        <v>193</v>
      </c>
      <c r="G212" s="27" t="s">
        <v>3273</v>
      </c>
      <c r="H212" s="27" t="s">
        <v>3274</v>
      </c>
      <c r="I212" s="27" t="s">
        <v>3275</v>
      </c>
      <c r="J212" s="27" t="s">
        <v>3276</v>
      </c>
      <c r="K212" s="27" t="s">
        <v>3277</v>
      </c>
      <c r="L212" s="27" t="s">
        <v>3278</v>
      </c>
      <c r="M212" s="27" t="s">
        <v>3279</v>
      </c>
      <c r="N212" s="27" t="s">
        <v>3280</v>
      </c>
      <c r="O212" s="27" t="s">
        <v>3281</v>
      </c>
      <c r="P212" s="27"/>
      <c r="Q212" s="27"/>
      <c r="R212" s="27"/>
      <c r="S212" s="27">
        <v>1800026164</v>
      </c>
      <c r="T212" s="27">
        <v>1900001114</v>
      </c>
      <c r="U212" s="27">
        <v>1900005026</v>
      </c>
      <c r="V212" s="27">
        <v>1900005389</v>
      </c>
      <c r="W212" s="27">
        <v>1900012165</v>
      </c>
      <c r="X212" s="27">
        <v>1900018325</v>
      </c>
      <c r="Y212" s="27">
        <v>1900018341</v>
      </c>
      <c r="Z212" s="27">
        <v>1900026272</v>
      </c>
      <c r="AA212" s="27">
        <v>1900031188</v>
      </c>
      <c r="AB212" s="27"/>
      <c r="AC212" s="27"/>
      <c r="AD212" s="27"/>
      <c r="AE212" s="27" t="s">
        <v>570</v>
      </c>
      <c r="AF212" s="27" t="s">
        <v>180</v>
      </c>
      <c r="AG212" s="27" t="s">
        <v>181</v>
      </c>
      <c r="AH212" s="27" t="s">
        <v>181</v>
      </c>
      <c r="AI212" s="27" t="s">
        <v>885</v>
      </c>
      <c r="AJ212" s="27" t="s">
        <v>179</v>
      </c>
      <c r="AK212" s="27" t="s">
        <v>179</v>
      </c>
      <c r="AL212" s="27" t="s">
        <v>570</v>
      </c>
      <c r="AM212" s="27" t="s">
        <v>185</v>
      </c>
      <c r="AQ212" s="28" t="s">
        <v>187</v>
      </c>
      <c r="AR212" s="28" t="s">
        <v>186</v>
      </c>
      <c r="AS212" s="28" t="s">
        <v>187</v>
      </c>
      <c r="AT212" s="28" t="s">
        <v>186</v>
      </c>
      <c r="AU212" s="28" t="s">
        <v>186</v>
      </c>
      <c r="AV212" s="28" t="s">
        <v>187</v>
      </c>
      <c r="AW212" s="28" t="s">
        <v>186</v>
      </c>
      <c r="AX212" s="28" t="s">
        <v>186</v>
      </c>
      <c r="AY212" s="28" t="s">
        <v>186</v>
      </c>
      <c r="BC212" s="28">
        <v>85338081547</v>
      </c>
      <c r="BD212" s="28" t="s">
        <v>3282</v>
      </c>
      <c r="BE212" s="28">
        <v>85727972714</v>
      </c>
      <c r="BF212" s="28">
        <v>88216601230</v>
      </c>
      <c r="BG212" s="28">
        <v>82341290223</v>
      </c>
      <c r="BH212" s="28">
        <v>82219994645</v>
      </c>
      <c r="BI212" s="28">
        <v>881024669935</v>
      </c>
      <c r="BJ212" s="28">
        <v>85923242399</v>
      </c>
      <c r="BK212" s="28">
        <v>82250064397</v>
      </c>
      <c r="BO212" s="39">
        <v>60150829</v>
      </c>
      <c r="BP212" s="18" t="s">
        <v>3283</v>
      </c>
      <c r="BQ212" s="37">
        <v>44957</v>
      </c>
      <c r="BR212" s="8">
        <f t="shared" si="0"/>
        <v>9</v>
      </c>
    </row>
    <row r="213" spans="1:70" ht="15.5">
      <c r="A213" s="4" t="str">
        <v>Reguler Periode ke-101 IX.C.3</v>
      </c>
      <c r="B213" s="4" t="s">
        <v>2073</v>
      </c>
      <c r="C213" s="38" t="s">
        <v>3284</v>
      </c>
      <c r="D213" s="4" t="s">
        <v>197</v>
      </c>
      <c r="E213" s="4" t="s">
        <v>3285</v>
      </c>
      <c r="F213" s="4" t="s">
        <v>193</v>
      </c>
      <c r="G213" s="27" t="s">
        <v>3286</v>
      </c>
      <c r="H213" s="27" t="s">
        <v>3287</v>
      </c>
      <c r="I213" s="27" t="s">
        <v>3288</v>
      </c>
      <c r="J213" s="27" t="s">
        <v>3289</v>
      </c>
      <c r="K213" s="27" t="s">
        <v>3290</v>
      </c>
      <c r="L213" s="27" t="s">
        <v>3291</v>
      </c>
      <c r="M213" s="27" t="s">
        <v>3292</v>
      </c>
      <c r="N213" s="27" t="s">
        <v>3293</v>
      </c>
      <c r="O213" s="27" t="s">
        <v>3294</v>
      </c>
      <c r="P213" s="27"/>
      <c r="Q213" s="27"/>
      <c r="S213" s="27">
        <v>1800026217</v>
      </c>
      <c r="T213" s="27">
        <v>1900001022</v>
      </c>
      <c r="U213" s="27">
        <v>1900005186</v>
      </c>
      <c r="V213" s="27">
        <v>1900005321</v>
      </c>
      <c r="W213" s="27">
        <v>1900012199</v>
      </c>
      <c r="X213" s="27">
        <v>1900018099</v>
      </c>
      <c r="Y213" s="27">
        <v>1900018406</v>
      </c>
      <c r="Z213" s="27">
        <v>1900026147</v>
      </c>
      <c r="AA213" s="27">
        <v>1900031258</v>
      </c>
      <c r="AB213" s="27"/>
      <c r="AC213" s="27"/>
      <c r="AD213" s="27"/>
      <c r="AE213" s="27" t="s">
        <v>570</v>
      </c>
      <c r="AF213" s="27" t="s">
        <v>180</v>
      </c>
      <c r="AG213" s="27" t="s">
        <v>181</v>
      </c>
      <c r="AH213" s="27" t="s">
        <v>181</v>
      </c>
      <c r="AI213" s="27" t="s">
        <v>885</v>
      </c>
      <c r="AJ213" s="27" t="s">
        <v>179</v>
      </c>
      <c r="AK213" s="27" t="s">
        <v>179</v>
      </c>
      <c r="AL213" s="27" t="s">
        <v>570</v>
      </c>
      <c r="AM213" s="27" t="s">
        <v>185</v>
      </c>
      <c r="AQ213" s="28" t="s">
        <v>186</v>
      </c>
      <c r="AR213" s="28" t="s">
        <v>186</v>
      </c>
      <c r="AS213" s="28" t="s">
        <v>187</v>
      </c>
      <c r="AT213" s="28" t="s">
        <v>186</v>
      </c>
      <c r="AU213" s="28" t="s">
        <v>186</v>
      </c>
      <c r="AV213" s="28" t="s">
        <v>186</v>
      </c>
      <c r="AW213" s="28" t="s">
        <v>187</v>
      </c>
      <c r="AX213" s="28" t="s">
        <v>187</v>
      </c>
      <c r="AY213" s="28" t="s">
        <v>186</v>
      </c>
      <c r="BA213" s="28"/>
      <c r="BB213" s="28"/>
      <c r="BC213" s="28">
        <v>882003587328</v>
      </c>
      <c r="BD213" s="28">
        <v>81325252810</v>
      </c>
      <c r="BE213" s="28">
        <v>85641979748</v>
      </c>
      <c r="BF213" s="28">
        <v>85215355085</v>
      </c>
      <c r="BG213" s="28">
        <v>85333366839</v>
      </c>
      <c r="BH213" s="28">
        <v>81215084007</v>
      </c>
      <c r="BI213" s="28">
        <v>81779066512</v>
      </c>
      <c r="BJ213" s="28">
        <v>81818272335</v>
      </c>
      <c r="BK213" s="28">
        <v>85866144839</v>
      </c>
      <c r="BO213" s="39">
        <v>60150829</v>
      </c>
      <c r="BP213" s="18" t="s">
        <v>3295</v>
      </c>
      <c r="BQ213" s="37">
        <v>44957</v>
      </c>
      <c r="BR213" s="8">
        <f t="shared" si="0"/>
        <v>9</v>
      </c>
    </row>
    <row r="214" spans="1:70" ht="15.5">
      <c r="A214" s="4" t="str">
        <v>Reguler Periode ke-101 IX.D.1</v>
      </c>
      <c r="B214" s="4" t="s">
        <v>2073</v>
      </c>
      <c r="C214" s="38" t="s">
        <v>3296</v>
      </c>
      <c r="D214" s="4" t="s">
        <v>3297</v>
      </c>
      <c r="E214" s="4" t="s">
        <v>3298</v>
      </c>
      <c r="F214" s="4" t="s">
        <v>193</v>
      </c>
      <c r="G214" s="27" t="s">
        <v>3299</v>
      </c>
      <c r="H214" s="27" t="s">
        <v>3300</v>
      </c>
      <c r="I214" s="27" t="s">
        <v>3301</v>
      </c>
      <c r="J214" s="27" t="s">
        <v>3302</v>
      </c>
      <c r="K214" s="27" t="s">
        <v>3303</v>
      </c>
      <c r="L214" s="27" t="s">
        <v>3304</v>
      </c>
      <c r="M214" s="27" t="s">
        <v>3305</v>
      </c>
      <c r="N214" s="27" t="s">
        <v>3306</v>
      </c>
      <c r="O214" s="27" t="s">
        <v>3307</v>
      </c>
      <c r="P214" s="27" t="s">
        <v>3308</v>
      </c>
      <c r="R214" s="27"/>
      <c r="S214" s="27">
        <v>1600026058</v>
      </c>
      <c r="T214" s="27">
        <v>1800031096</v>
      </c>
      <c r="U214" s="27">
        <v>1900001023</v>
      </c>
      <c r="V214" s="27">
        <v>1900005065</v>
      </c>
      <c r="W214" s="27">
        <v>1900005262</v>
      </c>
      <c r="X214" s="27">
        <v>1900012086</v>
      </c>
      <c r="Y214" s="27">
        <v>1900018320</v>
      </c>
      <c r="Z214" s="27">
        <v>1900018340</v>
      </c>
      <c r="AA214" s="27">
        <v>1900026011</v>
      </c>
      <c r="AB214" s="27">
        <v>2123025092</v>
      </c>
      <c r="AC214" s="27"/>
      <c r="AD214" s="27"/>
      <c r="AE214" s="27" t="s">
        <v>570</v>
      </c>
      <c r="AF214" s="27" t="s">
        <v>185</v>
      </c>
      <c r="AG214" s="27" t="s">
        <v>180</v>
      </c>
      <c r="AH214" s="27" t="s">
        <v>181</v>
      </c>
      <c r="AI214" s="27" t="s">
        <v>181</v>
      </c>
      <c r="AJ214" s="27" t="s">
        <v>885</v>
      </c>
      <c r="AK214" s="27" t="s">
        <v>179</v>
      </c>
      <c r="AL214" s="27" t="s">
        <v>179</v>
      </c>
      <c r="AM214" s="27" t="s">
        <v>570</v>
      </c>
      <c r="AN214" s="4" t="s">
        <v>1168</v>
      </c>
      <c r="AQ214" s="28" t="s">
        <v>187</v>
      </c>
      <c r="AR214" s="28" t="s">
        <v>186</v>
      </c>
      <c r="AS214" s="28" t="s">
        <v>186</v>
      </c>
      <c r="AT214" s="28" t="s">
        <v>186</v>
      </c>
      <c r="AU214" s="28" t="s">
        <v>187</v>
      </c>
      <c r="AV214" s="28" t="s">
        <v>186</v>
      </c>
      <c r="AW214" s="28" t="s">
        <v>187</v>
      </c>
      <c r="AX214" s="28" t="s">
        <v>186</v>
      </c>
      <c r="AY214" s="28" t="s">
        <v>186</v>
      </c>
      <c r="BA214" s="28"/>
      <c r="BB214" s="28"/>
      <c r="BC214" s="28">
        <v>83838385748</v>
      </c>
      <c r="BD214" s="28">
        <v>82145562421</v>
      </c>
      <c r="BE214" s="28">
        <v>85643453253</v>
      </c>
      <c r="BF214" s="28">
        <v>85325876887</v>
      </c>
      <c r="BG214" s="28">
        <v>8985776755</v>
      </c>
      <c r="BH214" s="28">
        <v>81354517569</v>
      </c>
      <c r="BI214" s="28">
        <v>6281230447023</v>
      </c>
      <c r="BJ214" s="28">
        <v>82115919216</v>
      </c>
      <c r="BK214" s="28">
        <v>895411018923</v>
      </c>
      <c r="BO214" s="39">
        <v>60150790</v>
      </c>
      <c r="BP214" s="18" t="s">
        <v>3309</v>
      </c>
      <c r="BQ214" s="37">
        <v>44957</v>
      </c>
      <c r="BR214" s="8">
        <f t="shared" si="0"/>
        <v>10</v>
      </c>
    </row>
    <row r="215" spans="1:70" ht="15.5">
      <c r="A215" s="4" t="str">
        <v>Reguler Periode ke-101 IX.D.2</v>
      </c>
      <c r="B215" s="4" t="s">
        <v>2073</v>
      </c>
      <c r="C215" s="38" t="s">
        <v>3310</v>
      </c>
      <c r="D215" s="4" t="s">
        <v>3297</v>
      </c>
      <c r="E215" s="4" t="s">
        <v>3311</v>
      </c>
      <c r="F215" s="4" t="s">
        <v>193</v>
      </c>
      <c r="G215" s="27" t="s">
        <v>3312</v>
      </c>
      <c r="H215" s="27" t="s">
        <v>3313</v>
      </c>
      <c r="I215" s="27" t="s">
        <v>3314</v>
      </c>
      <c r="J215" s="27" t="s">
        <v>3315</v>
      </c>
      <c r="K215" s="27" t="s">
        <v>3316</v>
      </c>
      <c r="L215" s="27" t="s">
        <v>3317</v>
      </c>
      <c r="M215" s="27" t="s">
        <v>3318</v>
      </c>
      <c r="N215" s="27" t="s">
        <v>3319</v>
      </c>
      <c r="O215" s="27" t="s">
        <v>3320</v>
      </c>
      <c r="P215" s="27"/>
      <c r="Q215" s="27"/>
      <c r="R215" s="27"/>
      <c r="S215" s="27">
        <v>1900001240</v>
      </c>
      <c r="T215" s="27">
        <v>1900005326</v>
      </c>
      <c r="U215" s="27">
        <v>1900005370</v>
      </c>
      <c r="V215" s="27">
        <v>1900012042</v>
      </c>
      <c r="W215" s="27">
        <v>1900018033</v>
      </c>
      <c r="X215" s="27">
        <v>1900018246</v>
      </c>
      <c r="Y215" s="27">
        <v>1900026016</v>
      </c>
      <c r="Z215" s="27">
        <v>1900026028</v>
      </c>
      <c r="AA215" s="27">
        <v>1900031114</v>
      </c>
      <c r="AB215" s="27"/>
      <c r="AE215" s="27" t="s">
        <v>180</v>
      </c>
      <c r="AF215" s="27" t="s">
        <v>181</v>
      </c>
      <c r="AG215" s="27" t="s">
        <v>181</v>
      </c>
      <c r="AH215" s="27" t="s">
        <v>885</v>
      </c>
      <c r="AI215" s="27" t="s">
        <v>179</v>
      </c>
      <c r="AJ215" s="27" t="s">
        <v>179</v>
      </c>
      <c r="AK215" s="27" t="s">
        <v>570</v>
      </c>
      <c r="AL215" s="27" t="s">
        <v>570</v>
      </c>
      <c r="AM215" s="27" t="s">
        <v>185</v>
      </c>
      <c r="AQ215" s="28" t="s">
        <v>186</v>
      </c>
      <c r="AR215" s="28" t="s">
        <v>186</v>
      </c>
      <c r="AS215" s="28" t="s">
        <v>187</v>
      </c>
      <c r="AT215" s="28" t="s">
        <v>186</v>
      </c>
      <c r="AU215" s="28" t="s">
        <v>187</v>
      </c>
      <c r="AV215" s="28" t="s">
        <v>186</v>
      </c>
      <c r="AW215" s="28" t="s">
        <v>186</v>
      </c>
      <c r="AX215" s="28" t="s">
        <v>187</v>
      </c>
      <c r="AY215" s="28" t="s">
        <v>186</v>
      </c>
      <c r="BB215" s="28"/>
      <c r="BC215" s="28">
        <v>82126356462</v>
      </c>
      <c r="BD215" s="28">
        <v>82268961002</v>
      </c>
      <c r="BE215" s="28">
        <v>85865375478</v>
      </c>
      <c r="BF215" s="28">
        <v>85338349443</v>
      </c>
      <c r="BG215" s="28">
        <v>85334678097</v>
      </c>
      <c r="BH215" s="28">
        <v>85723480822</v>
      </c>
      <c r="BI215" s="28">
        <v>85156854865</v>
      </c>
      <c r="BJ215" s="28">
        <v>895323978040</v>
      </c>
      <c r="BK215" s="28">
        <v>81228467154</v>
      </c>
      <c r="BO215" s="39">
        <v>60150790</v>
      </c>
      <c r="BP215" s="18" t="s">
        <v>3321</v>
      </c>
      <c r="BQ215" s="37">
        <v>44957</v>
      </c>
      <c r="BR215" s="8">
        <f t="shared" si="0"/>
        <v>9</v>
      </c>
    </row>
    <row r="216" spans="1:70" ht="15.5">
      <c r="A216" s="4" t="str">
        <v>Reguler Periode ke-101 IX.D.3</v>
      </c>
      <c r="B216" s="4" t="s">
        <v>2073</v>
      </c>
      <c r="C216" s="38" t="s">
        <v>3322</v>
      </c>
      <c r="D216" s="4" t="s">
        <v>3297</v>
      </c>
      <c r="E216" s="4" t="s">
        <v>3323</v>
      </c>
      <c r="F216" s="4" t="s">
        <v>193</v>
      </c>
      <c r="G216" s="27" t="s">
        <v>3324</v>
      </c>
      <c r="H216" s="27" t="s">
        <v>3325</v>
      </c>
      <c r="I216" s="27" t="s">
        <v>3326</v>
      </c>
      <c r="J216" s="27" t="s">
        <v>3327</v>
      </c>
      <c r="K216" s="27" t="s">
        <v>3328</v>
      </c>
      <c r="L216" s="27" t="s">
        <v>3329</v>
      </c>
      <c r="M216" s="27" t="s">
        <v>3330</v>
      </c>
      <c r="N216" s="27" t="s">
        <v>3331</v>
      </c>
      <c r="O216" s="27" t="s">
        <v>3332</v>
      </c>
      <c r="Q216" s="27"/>
      <c r="R216" s="27"/>
      <c r="S216" s="27">
        <v>1700005320</v>
      </c>
      <c r="T216" s="27">
        <v>1800026071</v>
      </c>
      <c r="U216" s="27">
        <v>1900001182</v>
      </c>
      <c r="V216" s="27">
        <v>1900005224</v>
      </c>
      <c r="W216" s="27">
        <v>1900012230</v>
      </c>
      <c r="X216" s="27">
        <v>1900018091</v>
      </c>
      <c r="Y216" s="27">
        <v>1900018100</v>
      </c>
      <c r="Z216" s="27">
        <v>1900026099</v>
      </c>
      <c r="AA216" s="27">
        <v>1900031351</v>
      </c>
      <c r="AC216" s="27"/>
      <c r="AD216" s="27"/>
      <c r="AE216" s="27" t="s">
        <v>181</v>
      </c>
      <c r="AF216" s="27" t="s">
        <v>570</v>
      </c>
      <c r="AG216" s="27" t="s">
        <v>180</v>
      </c>
      <c r="AH216" s="27" t="s">
        <v>181</v>
      </c>
      <c r="AI216" s="27" t="s">
        <v>885</v>
      </c>
      <c r="AJ216" s="27" t="s">
        <v>179</v>
      </c>
      <c r="AK216" s="27" t="s">
        <v>179</v>
      </c>
      <c r="AL216" s="27" t="s">
        <v>570</v>
      </c>
      <c r="AM216" s="27" t="s">
        <v>185</v>
      </c>
      <c r="AQ216" s="28" t="s">
        <v>187</v>
      </c>
      <c r="AR216" s="28" t="s">
        <v>187</v>
      </c>
      <c r="AS216" s="28" t="s">
        <v>186</v>
      </c>
      <c r="AT216" s="28" t="s">
        <v>186</v>
      </c>
      <c r="AU216" s="28" t="s">
        <v>186</v>
      </c>
      <c r="AV216" s="28" t="s">
        <v>187</v>
      </c>
      <c r="AW216" s="28" t="s">
        <v>186</v>
      </c>
      <c r="AX216" s="28" t="s">
        <v>186</v>
      </c>
      <c r="AY216" s="28" t="s">
        <v>186</v>
      </c>
      <c r="BA216" s="28"/>
      <c r="BC216" s="28">
        <v>81230676925</v>
      </c>
      <c r="BD216" s="28">
        <v>88742814113</v>
      </c>
      <c r="BE216" s="28">
        <v>88226598655</v>
      </c>
      <c r="BF216" s="28">
        <v>82245244674</v>
      </c>
      <c r="BG216" s="28">
        <v>8970488283</v>
      </c>
      <c r="BH216" s="28">
        <v>81345229484</v>
      </c>
      <c r="BI216" s="28">
        <v>82129576451</v>
      </c>
      <c r="BJ216" s="28">
        <v>85290391139</v>
      </c>
      <c r="BK216" s="28">
        <v>85856072016</v>
      </c>
      <c r="BO216" s="39">
        <v>60150790</v>
      </c>
      <c r="BP216" s="18" t="s">
        <v>3333</v>
      </c>
      <c r="BQ216" s="37">
        <v>44957</v>
      </c>
      <c r="BR216" s="8">
        <f t="shared" si="0"/>
        <v>9</v>
      </c>
    </row>
    <row r="217" spans="1:70" ht="15.5">
      <c r="A217" s="4" t="str">
        <v>Reguler Periode ke-101 X.A.1</v>
      </c>
      <c r="B217" s="4" t="s">
        <v>2073</v>
      </c>
      <c r="C217" s="38" t="s">
        <v>3334</v>
      </c>
      <c r="D217" s="4" t="s">
        <v>240</v>
      </c>
      <c r="E217" s="4" t="s">
        <v>3335</v>
      </c>
      <c r="F217" s="4" t="s">
        <v>193</v>
      </c>
      <c r="G217" s="27" t="s">
        <v>3336</v>
      </c>
      <c r="H217" s="27" t="s">
        <v>3337</v>
      </c>
      <c r="I217" s="27" t="s">
        <v>3338</v>
      </c>
      <c r="J217" s="27" t="s">
        <v>3339</v>
      </c>
      <c r="K217" s="27" t="s">
        <v>3340</v>
      </c>
      <c r="L217" s="27" t="s">
        <v>3341</v>
      </c>
      <c r="M217" s="27" t="s">
        <v>3342</v>
      </c>
      <c r="N217" s="27" t="s">
        <v>3343</v>
      </c>
      <c r="O217" s="27" t="s">
        <v>3344</v>
      </c>
      <c r="P217" s="27"/>
      <c r="Q217" s="27"/>
      <c r="R217" s="27"/>
      <c r="S217" s="27">
        <v>1800018229</v>
      </c>
      <c r="T217" s="27">
        <v>1800026227</v>
      </c>
      <c r="U217" s="27">
        <v>1900001175</v>
      </c>
      <c r="V217" s="27">
        <v>1900005126</v>
      </c>
      <c r="W217" s="27">
        <v>1900005210</v>
      </c>
      <c r="X217" s="27">
        <v>1900012155</v>
      </c>
      <c r="Y217" s="27">
        <v>1900018130</v>
      </c>
      <c r="Z217" s="27">
        <v>1900026141</v>
      </c>
      <c r="AA217" s="27">
        <v>1900031191</v>
      </c>
      <c r="AB217" s="27"/>
      <c r="AE217" s="27" t="s">
        <v>179</v>
      </c>
      <c r="AF217" s="27" t="s">
        <v>570</v>
      </c>
      <c r="AG217" s="27" t="s">
        <v>180</v>
      </c>
      <c r="AH217" s="27" t="s">
        <v>181</v>
      </c>
      <c r="AI217" s="27" t="s">
        <v>181</v>
      </c>
      <c r="AJ217" s="27" t="s">
        <v>885</v>
      </c>
      <c r="AK217" s="27" t="s">
        <v>179</v>
      </c>
      <c r="AL217" s="27" t="s">
        <v>570</v>
      </c>
      <c r="AM217" s="27" t="s">
        <v>185</v>
      </c>
      <c r="AP217" s="28"/>
      <c r="AQ217" s="28" t="s">
        <v>187</v>
      </c>
      <c r="AR217" s="28" t="s">
        <v>187</v>
      </c>
      <c r="AS217" s="28" t="s">
        <v>186</v>
      </c>
      <c r="AT217" s="28" t="s">
        <v>187</v>
      </c>
      <c r="AU217" s="28" t="s">
        <v>186</v>
      </c>
      <c r="AV217" s="28" t="s">
        <v>186</v>
      </c>
      <c r="AW217" s="28" t="s">
        <v>186</v>
      </c>
      <c r="AX217" s="28" t="s">
        <v>186</v>
      </c>
      <c r="AY217" s="28" t="s">
        <v>186</v>
      </c>
      <c r="AZ217" s="28"/>
      <c r="BA217" s="28"/>
      <c r="BB217" s="28"/>
      <c r="BC217" s="28">
        <v>82134604478</v>
      </c>
      <c r="BD217" s="28">
        <v>85395248181</v>
      </c>
      <c r="BE217" s="28">
        <v>81267986487</v>
      </c>
      <c r="BF217" s="28">
        <v>82328296923</v>
      </c>
      <c r="BG217" s="28">
        <v>82223587647</v>
      </c>
      <c r="BH217" s="28">
        <v>87719266417</v>
      </c>
      <c r="BI217" s="28">
        <v>895601381985</v>
      </c>
      <c r="BJ217" s="28">
        <v>81282057842</v>
      </c>
      <c r="BK217" s="28">
        <v>85156573468</v>
      </c>
      <c r="BO217" s="39">
        <v>60150803</v>
      </c>
      <c r="BP217" s="18" t="s">
        <v>3345</v>
      </c>
      <c r="BQ217" s="37">
        <v>44957</v>
      </c>
      <c r="BR217" s="8">
        <f t="shared" si="0"/>
        <v>9</v>
      </c>
    </row>
    <row r="218" spans="1:70" ht="15.5">
      <c r="A218" s="4" t="str">
        <v>Reguler Periode ke-101 X.A.2</v>
      </c>
      <c r="B218" s="4" t="s">
        <v>2073</v>
      </c>
      <c r="C218" s="38" t="s">
        <v>3346</v>
      </c>
      <c r="D218" s="4" t="s">
        <v>240</v>
      </c>
      <c r="E218" s="4" t="s">
        <v>3347</v>
      </c>
      <c r="F218" s="4" t="s">
        <v>193</v>
      </c>
      <c r="G218" s="27" t="s">
        <v>3348</v>
      </c>
      <c r="H218" s="27" t="s">
        <v>3349</v>
      </c>
      <c r="I218" s="27" t="s">
        <v>3350</v>
      </c>
      <c r="J218" s="27" t="s">
        <v>3351</v>
      </c>
      <c r="K218" s="27" t="s">
        <v>3352</v>
      </c>
      <c r="L218" s="27" t="s">
        <v>3353</v>
      </c>
      <c r="M218" s="27" t="s">
        <v>3354</v>
      </c>
      <c r="N218" s="27" t="s">
        <v>3355</v>
      </c>
      <c r="O218" s="27" t="s">
        <v>3356</v>
      </c>
      <c r="P218" s="27"/>
      <c r="Q218" s="27"/>
      <c r="R218" s="27"/>
      <c r="S218" s="27">
        <v>1900001157</v>
      </c>
      <c r="T218" s="27">
        <v>1900005091</v>
      </c>
      <c r="U218" s="27">
        <v>1900005302</v>
      </c>
      <c r="V218" s="27">
        <v>1900012154</v>
      </c>
      <c r="W218" s="27">
        <v>1900018293</v>
      </c>
      <c r="X218" s="27">
        <v>1900019056</v>
      </c>
      <c r="Y218" s="27">
        <v>1900026026</v>
      </c>
      <c r="Z218" s="27">
        <v>1900026137</v>
      </c>
      <c r="AA218" s="27">
        <v>1900031348</v>
      </c>
      <c r="AB218" s="27"/>
      <c r="AC218" s="27"/>
      <c r="AD218" s="27"/>
      <c r="AE218" s="27" t="s">
        <v>180</v>
      </c>
      <c r="AF218" s="27" t="s">
        <v>181</v>
      </c>
      <c r="AG218" s="27" t="s">
        <v>181</v>
      </c>
      <c r="AH218" s="27" t="s">
        <v>885</v>
      </c>
      <c r="AI218" s="27" t="s">
        <v>179</v>
      </c>
      <c r="AJ218" s="27" t="s">
        <v>705</v>
      </c>
      <c r="AK218" s="27" t="s">
        <v>570</v>
      </c>
      <c r="AL218" s="27" t="s">
        <v>570</v>
      </c>
      <c r="AM218" s="27" t="s">
        <v>185</v>
      </c>
      <c r="AP218" s="28"/>
      <c r="AQ218" s="28" t="s">
        <v>186</v>
      </c>
      <c r="AR218" s="28" t="s">
        <v>187</v>
      </c>
      <c r="AS218" s="28" t="s">
        <v>186</v>
      </c>
      <c r="AT218" s="28" t="s">
        <v>186</v>
      </c>
      <c r="AU218" s="28" t="s">
        <v>187</v>
      </c>
      <c r="AV218" s="28" t="s">
        <v>186</v>
      </c>
      <c r="AW218" s="28" t="s">
        <v>187</v>
      </c>
      <c r="AX218" s="28" t="s">
        <v>186</v>
      </c>
      <c r="AY218" s="28" t="s">
        <v>186</v>
      </c>
      <c r="BA218" s="28"/>
      <c r="BB218" s="28"/>
      <c r="BC218" s="28">
        <v>85163641247</v>
      </c>
      <c r="BD218" s="28">
        <v>81237847616</v>
      </c>
      <c r="BE218" s="28">
        <v>85338529126</v>
      </c>
      <c r="BF218" s="28">
        <v>89639164655</v>
      </c>
      <c r="BG218" s="28">
        <v>89656448972</v>
      </c>
      <c r="BH218" s="28">
        <v>82189090737</v>
      </c>
      <c r="BI218" s="28">
        <v>81271129430</v>
      </c>
      <c r="BJ218" s="28">
        <v>81329810262</v>
      </c>
      <c r="BK218" s="28">
        <v>82177967165</v>
      </c>
      <c r="BO218" s="39">
        <v>60150803</v>
      </c>
      <c r="BP218" s="18" t="s">
        <v>3357</v>
      </c>
      <c r="BQ218" s="37">
        <v>44957</v>
      </c>
      <c r="BR218" s="8">
        <f t="shared" si="0"/>
        <v>9</v>
      </c>
    </row>
    <row r="219" spans="1:70" ht="15.5">
      <c r="A219" s="4" t="str">
        <v>Reguler Periode ke-101 X.A.3</v>
      </c>
      <c r="B219" s="4" t="s">
        <v>2073</v>
      </c>
      <c r="C219" s="38" t="s">
        <v>3358</v>
      </c>
      <c r="D219" s="4" t="s">
        <v>240</v>
      </c>
      <c r="E219" s="4" t="s">
        <v>3359</v>
      </c>
      <c r="F219" s="4" t="s">
        <v>193</v>
      </c>
      <c r="G219" s="27" t="s">
        <v>3360</v>
      </c>
      <c r="H219" s="27" t="s">
        <v>3361</v>
      </c>
      <c r="I219" s="27" t="s">
        <v>3362</v>
      </c>
      <c r="J219" s="27" t="s">
        <v>3363</v>
      </c>
      <c r="K219" s="27" t="s">
        <v>3364</v>
      </c>
      <c r="L219" s="27" t="s">
        <v>3365</v>
      </c>
      <c r="M219" s="27" t="s">
        <v>3366</v>
      </c>
      <c r="N219" s="27" t="s">
        <v>3367</v>
      </c>
      <c r="O219" s="27" t="s">
        <v>3368</v>
      </c>
      <c r="P219" s="27"/>
      <c r="Q219" s="27"/>
      <c r="R219" s="27"/>
      <c r="S219" s="27">
        <v>1800026047</v>
      </c>
      <c r="T219" s="27">
        <v>1900001120</v>
      </c>
      <c r="U219" s="27">
        <v>1900005002</v>
      </c>
      <c r="V219" s="27">
        <v>1900005086</v>
      </c>
      <c r="W219" s="27">
        <v>1900012056</v>
      </c>
      <c r="X219" s="27">
        <v>1900018273</v>
      </c>
      <c r="Y219" s="27">
        <v>1900019107</v>
      </c>
      <c r="Z219" s="27">
        <v>1900026078</v>
      </c>
      <c r="AA219" s="27">
        <v>1900031208</v>
      </c>
      <c r="AB219" s="27"/>
      <c r="AC219" s="27"/>
      <c r="AD219" s="27"/>
      <c r="AE219" s="27" t="s">
        <v>570</v>
      </c>
      <c r="AF219" s="27" t="s">
        <v>180</v>
      </c>
      <c r="AG219" s="27" t="s">
        <v>181</v>
      </c>
      <c r="AH219" s="27" t="s">
        <v>181</v>
      </c>
      <c r="AI219" s="27" t="s">
        <v>885</v>
      </c>
      <c r="AJ219" s="27" t="s">
        <v>179</v>
      </c>
      <c r="AK219" s="27" t="s">
        <v>705</v>
      </c>
      <c r="AL219" s="27" t="s">
        <v>570</v>
      </c>
      <c r="AM219" s="27" t="s">
        <v>185</v>
      </c>
      <c r="AQ219" s="28" t="s">
        <v>187</v>
      </c>
      <c r="AR219" s="28" t="s">
        <v>186</v>
      </c>
      <c r="AS219" s="28" t="s">
        <v>186</v>
      </c>
      <c r="AT219" s="28" t="s">
        <v>187</v>
      </c>
      <c r="AU219" s="28" t="s">
        <v>186</v>
      </c>
      <c r="AV219" s="28" t="s">
        <v>187</v>
      </c>
      <c r="AW219" s="28" t="s">
        <v>186</v>
      </c>
      <c r="AX219" s="28" t="s">
        <v>186</v>
      </c>
      <c r="AY219" s="28" t="s">
        <v>186</v>
      </c>
      <c r="AZ219" s="28"/>
      <c r="BB219" s="28"/>
      <c r="BC219" s="28">
        <v>85254255225</v>
      </c>
      <c r="BD219" s="28">
        <v>85713119335</v>
      </c>
      <c r="BE219" s="28">
        <v>89672361700</v>
      </c>
      <c r="BF219" s="28">
        <v>89646171989</v>
      </c>
      <c r="BG219" s="28">
        <v>82175293002</v>
      </c>
      <c r="BH219" s="28">
        <v>89643466582</v>
      </c>
      <c r="BI219" s="28">
        <v>82190515104</v>
      </c>
      <c r="BJ219" s="43" t="s">
        <v>3369</v>
      </c>
      <c r="BK219" s="28">
        <v>88228327553</v>
      </c>
      <c r="BO219" s="39">
        <v>60150803</v>
      </c>
      <c r="BP219" s="18" t="s">
        <v>3370</v>
      </c>
      <c r="BQ219" s="37">
        <v>44957</v>
      </c>
      <c r="BR219" s="8">
        <f t="shared" si="0"/>
        <v>9</v>
      </c>
    </row>
    <row r="220" spans="1:70" ht="15.5">
      <c r="A220" s="4" t="str">
        <v>Reguler Periode ke-101 X.B.1</v>
      </c>
      <c r="B220" s="4" t="s">
        <v>2073</v>
      </c>
      <c r="C220" s="38" t="s">
        <v>3371</v>
      </c>
      <c r="D220" s="4" t="s">
        <v>3372</v>
      </c>
      <c r="E220" s="4" t="s">
        <v>3373</v>
      </c>
      <c r="F220" s="4" t="s">
        <v>193</v>
      </c>
      <c r="G220" s="27" t="s">
        <v>3374</v>
      </c>
      <c r="H220" s="27" t="s">
        <v>3375</v>
      </c>
      <c r="I220" s="27" t="s">
        <v>3376</v>
      </c>
      <c r="J220" s="27" t="s">
        <v>3377</v>
      </c>
      <c r="K220" s="27" t="s">
        <v>3378</v>
      </c>
      <c r="L220" s="27" t="s">
        <v>3379</v>
      </c>
      <c r="M220" s="27" t="s">
        <v>3380</v>
      </c>
      <c r="N220" s="27" t="s">
        <v>3381</v>
      </c>
      <c r="O220" s="27" t="s">
        <v>3382</v>
      </c>
      <c r="P220" s="27"/>
      <c r="R220" s="27"/>
      <c r="S220" s="27">
        <v>1800005072</v>
      </c>
      <c r="T220" s="27">
        <v>1900001086</v>
      </c>
      <c r="U220" s="27">
        <v>1900005006</v>
      </c>
      <c r="V220" s="27">
        <v>1900012122</v>
      </c>
      <c r="W220" s="27">
        <v>1900018160</v>
      </c>
      <c r="X220" s="27">
        <v>1900019132</v>
      </c>
      <c r="Y220" s="27">
        <v>1900026085</v>
      </c>
      <c r="Z220" s="27">
        <v>1900026244</v>
      </c>
      <c r="AA220" s="27">
        <v>1900031095</v>
      </c>
      <c r="AB220" s="27"/>
      <c r="AE220" s="27" t="s">
        <v>181</v>
      </c>
      <c r="AF220" s="27" t="s">
        <v>180</v>
      </c>
      <c r="AG220" s="27" t="s">
        <v>181</v>
      </c>
      <c r="AH220" s="27" t="s">
        <v>885</v>
      </c>
      <c r="AI220" s="27" t="s">
        <v>179</v>
      </c>
      <c r="AJ220" s="27" t="s">
        <v>705</v>
      </c>
      <c r="AK220" s="27" t="s">
        <v>570</v>
      </c>
      <c r="AL220" s="27" t="s">
        <v>570</v>
      </c>
      <c r="AM220" s="27" t="s">
        <v>185</v>
      </c>
      <c r="AO220" s="28"/>
      <c r="AQ220" s="28" t="s">
        <v>187</v>
      </c>
      <c r="AR220" s="28" t="s">
        <v>186</v>
      </c>
      <c r="AS220" s="28" t="s">
        <v>186</v>
      </c>
      <c r="AT220" s="28" t="s">
        <v>186</v>
      </c>
      <c r="AU220" s="28" t="s">
        <v>187</v>
      </c>
      <c r="AV220" s="28" t="s">
        <v>186</v>
      </c>
      <c r="AW220" s="28" t="s">
        <v>186</v>
      </c>
      <c r="AX220" s="28" t="s">
        <v>187</v>
      </c>
      <c r="AY220" s="28" t="s">
        <v>186</v>
      </c>
      <c r="AZ220" s="28"/>
      <c r="BB220" s="28"/>
      <c r="BC220" s="28">
        <v>87734939832</v>
      </c>
      <c r="BD220" s="28">
        <v>83869368970</v>
      </c>
      <c r="BE220" s="28">
        <v>85337863437</v>
      </c>
      <c r="BF220" s="28">
        <v>859138740329</v>
      </c>
      <c r="BG220" s="28">
        <v>82339456055</v>
      </c>
      <c r="BH220" s="28">
        <v>82316212013</v>
      </c>
      <c r="BI220" s="28">
        <v>81277174919</v>
      </c>
      <c r="BJ220" s="28">
        <v>895401215321</v>
      </c>
      <c r="BK220" s="28">
        <v>83185831164</v>
      </c>
      <c r="BO220" s="39">
        <v>60150788</v>
      </c>
      <c r="BP220" s="18" t="s">
        <v>3383</v>
      </c>
      <c r="BQ220" s="37">
        <v>44957</v>
      </c>
      <c r="BR220" s="8">
        <f t="shared" si="0"/>
        <v>9</v>
      </c>
    </row>
    <row r="221" spans="1:70" ht="15.5">
      <c r="A221" s="4" t="str">
        <v>Reguler Periode ke-101 X.B.2</v>
      </c>
      <c r="B221" s="4" t="s">
        <v>2073</v>
      </c>
      <c r="C221" s="38" t="s">
        <v>3384</v>
      </c>
      <c r="D221" s="4" t="s">
        <v>3372</v>
      </c>
      <c r="E221" s="4" t="s">
        <v>3385</v>
      </c>
      <c r="F221" s="4" t="s">
        <v>193</v>
      </c>
      <c r="G221" s="27" t="s">
        <v>3386</v>
      </c>
      <c r="H221" s="27" t="s">
        <v>3387</v>
      </c>
      <c r="I221" s="27" t="s">
        <v>3388</v>
      </c>
      <c r="J221" s="27" t="s">
        <v>3389</v>
      </c>
      <c r="K221" s="27" t="s">
        <v>3390</v>
      </c>
      <c r="L221" s="27" t="s">
        <v>3391</v>
      </c>
      <c r="M221" s="27" t="s">
        <v>3392</v>
      </c>
      <c r="N221" s="27" t="s">
        <v>3393</v>
      </c>
      <c r="O221" s="27" t="s">
        <v>3394</v>
      </c>
      <c r="P221" s="27"/>
      <c r="R221" s="27"/>
      <c r="S221" s="27">
        <v>1800005148</v>
      </c>
      <c r="T221" s="27">
        <v>1900001087</v>
      </c>
      <c r="U221" s="27">
        <v>1900005278</v>
      </c>
      <c r="V221" s="27">
        <v>1900012095</v>
      </c>
      <c r="W221" s="27">
        <v>1900018022</v>
      </c>
      <c r="X221" s="27">
        <v>1900019082</v>
      </c>
      <c r="Y221" s="27">
        <v>1900026121</v>
      </c>
      <c r="Z221" s="27">
        <v>1900026160</v>
      </c>
      <c r="AA221" s="27">
        <v>1900031009</v>
      </c>
      <c r="AC221" s="27"/>
      <c r="AD221" s="27"/>
      <c r="AE221" s="27" t="s">
        <v>181</v>
      </c>
      <c r="AF221" s="27" t="s">
        <v>180</v>
      </c>
      <c r="AG221" s="27" t="s">
        <v>181</v>
      </c>
      <c r="AH221" s="27" t="s">
        <v>885</v>
      </c>
      <c r="AI221" s="27" t="s">
        <v>179</v>
      </c>
      <c r="AJ221" s="27" t="s">
        <v>705</v>
      </c>
      <c r="AK221" s="27" t="s">
        <v>570</v>
      </c>
      <c r="AL221" s="27" t="s">
        <v>570</v>
      </c>
      <c r="AM221" s="27" t="s">
        <v>185</v>
      </c>
      <c r="AO221" s="28"/>
      <c r="AQ221" s="28" t="s">
        <v>187</v>
      </c>
      <c r="AR221" s="28" t="s">
        <v>186</v>
      </c>
      <c r="AS221" s="28" t="s">
        <v>186</v>
      </c>
      <c r="AT221" s="28" t="s">
        <v>186</v>
      </c>
      <c r="AU221" s="28" t="s">
        <v>187</v>
      </c>
      <c r="AV221" s="28" t="s">
        <v>186</v>
      </c>
      <c r="AW221" s="28" t="s">
        <v>187</v>
      </c>
      <c r="AX221" s="28" t="s">
        <v>186</v>
      </c>
      <c r="AY221" s="28" t="s">
        <v>186</v>
      </c>
      <c r="AZ221" s="28"/>
      <c r="BA221" s="28"/>
      <c r="BB221" s="28"/>
      <c r="BC221" s="28">
        <v>81915492104</v>
      </c>
      <c r="BD221" s="28">
        <v>8975740418</v>
      </c>
      <c r="BE221" s="28">
        <v>87741241571</v>
      </c>
      <c r="BF221" s="28">
        <v>89627181109</v>
      </c>
      <c r="BG221" s="28">
        <v>81325362789</v>
      </c>
      <c r="BH221" s="28">
        <v>85960143340</v>
      </c>
      <c r="BI221" s="28">
        <v>85559217365</v>
      </c>
      <c r="BJ221" s="28">
        <v>81218370766</v>
      </c>
      <c r="BK221" s="28">
        <v>89518384776</v>
      </c>
      <c r="BO221" s="39">
        <v>60150788</v>
      </c>
      <c r="BP221" s="18" t="s">
        <v>3395</v>
      </c>
      <c r="BQ221" s="37">
        <v>44957</v>
      </c>
      <c r="BR221" s="8">
        <f t="shared" si="0"/>
        <v>9</v>
      </c>
    </row>
    <row r="222" spans="1:70" ht="15.5">
      <c r="A222" s="4" t="str">
        <v>Reguler Periode ke-101 X.B.3</v>
      </c>
      <c r="B222" s="4" t="s">
        <v>2073</v>
      </c>
      <c r="C222" s="38" t="s">
        <v>3396</v>
      </c>
      <c r="D222" s="4" t="s">
        <v>3372</v>
      </c>
      <c r="E222" s="4" t="s">
        <v>3397</v>
      </c>
      <c r="F222" s="4" t="s">
        <v>193</v>
      </c>
      <c r="G222" s="27" t="s">
        <v>3398</v>
      </c>
      <c r="H222" s="27" t="s">
        <v>3399</v>
      </c>
      <c r="I222" s="27" t="s">
        <v>3400</v>
      </c>
      <c r="J222" s="27" t="s">
        <v>3401</v>
      </c>
      <c r="K222" s="27" t="s">
        <v>3402</v>
      </c>
      <c r="L222" s="27" t="s">
        <v>3403</v>
      </c>
      <c r="M222" s="27" t="s">
        <v>3404</v>
      </c>
      <c r="N222" s="27" t="s">
        <v>3405</v>
      </c>
      <c r="O222" s="27" t="s">
        <v>3406</v>
      </c>
      <c r="P222" s="27"/>
      <c r="Q222" s="27"/>
      <c r="R222" s="27"/>
      <c r="S222" s="27">
        <v>1900001048</v>
      </c>
      <c r="T222" s="27">
        <v>1900005015</v>
      </c>
      <c r="U222" s="27">
        <v>1900005229</v>
      </c>
      <c r="V222" s="27">
        <v>1900012031</v>
      </c>
      <c r="W222" s="27">
        <v>1900018046</v>
      </c>
      <c r="X222" s="27">
        <v>1900019067</v>
      </c>
      <c r="Y222" s="27">
        <v>1900026087</v>
      </c>
      <c r="Z222" s="27">
        <v>1900026201</v>
      </c>
      <c r="AA222" s="27">
        <v>1900031311</v>
      </c>
      <c r="AB222" s="27"/>
      <c r="AC222" s="27"/>
      <c r="AD222" s="27"/>
      <c r="AE222" s="27" t="s">
        <v>180</v>
      </c>
      <c r="AF222" s="27" t="s">
        <v>181</v>
      </c>
      <c r="AG222" s="27" t="s">
        <v>181</v>
      </c>
      <c r="AH222" s="27" t="s">
        <v>885</v>
      </c>
      <c r="AI222" s="27" t="s">
        <v>179</v>
      </c>
      <c r="AJ222" s="27" t="s">
        <v>705</v>
      </c>
      <c r="AK222" s="27" t="s">
        <v>570</v>
      </c>
      <c r="AL222" s="27" t="s">
        <v>570</v>
      </c>
      <c r="AM222" s="27" t="s">
        <v>185</v>
      </c>
      <c r="AO222" s="28"/>
      <c r="AP222" s="28"/>
      <c r="AQ222" s="28" t="s">
        <v>186</v>
      </c>
      <c r="AR222" s="28" t="s">
        <v>186</v>
      </c>
      <c r="AS222" s="28" t="s">
        <v>187</v>
      </c>
      <c r="AT222" s="28" t="s">
        <v>186</v>
      </c>
      <c r="AU222" s="28" t="s">
        <v>187</v>
      </c>
      <c r="AV222" s="28" t="s">
        <v>186</v>
      </c>
      <c r="AW222" s="28" t="s">
        <v>186</v>
      </c>
      <c r="AX222" s="28" t="s">
        <v>187</v>
      </c>
      <c r="AY222" s="28" t="s">
        <v>186</v>
      </c>
      <c r="AZ222" s="28"/>
      <c r="BA222" s="28"/>
      <c r="BB222" s="28"/>
      <c r="BC222" s="28">
        <v>85523666906</v>
      </c>
      <c r="BD222" s="28">
        <v>87897979733</v>
      </c>
      <c r="BE222" s="28">
        <v>85799220196</v>
      </c>
      <c r="BF222" s="28">
        <v>82190499220</v>
      </c>
      <c r="BG222" s="28">
        <v>85290103159</v>
      </c>
      <c r="BH222" s="28">
        <v>82227254363</v>
      </c>
      <c r="BI222" s="28">
        <v>82253632861</v>
      </c>
      <c r="BJ222" s="28">
        <v>82217991820</v>
      </c>
      <c r="BK222" s="28">
        <v>82267859514</v>
      </c>
      <c r="BO222" s="39">
        <v>60150788</v>
      </c>
      <c r="BP222" s="18" t="s">
        <v>3407</v>
      </c>
      <c r="BQ222" s="37">
        <v>44957</v>
      </c>
      <c r="BR222" s="8">
        <f t="shared" si="0"/>
        <v>9</v>
      </c>
    </row>
    <row r="223" spans="1:70" ht="15.5">
      <c r="A223" s="4" t="str">
        <v>Reguler Periode ke-101 X.C.1</v>
      </c>
      <c r="B223" s="4" t="s">
        <v>2073</v>
      </c>
      <c r="C223" s="38" t="s">
        <v>3408</v>
      </c>
      <c r="D223" s="4" t="s">
        <v>3409</v>
      </c>
      <c r="E223" s="4" t="s">
        <v>3410</v>
      </c>
      <c r="F223" s="4" t="s">
        <v>193</v>
      </c>
      <c r="G223" s="27" t="s">
        <v>3411</v>
      </c>
      <c r="H223" s="27" t="s">
        <v>3412</v>
      </c>
      <c r="I223" s="27" t="s">
        <v>3413</v>
      </c>
      <c r="J223" s="27" t="s">
        <v>3414</v>
      </c>
      <c r="K223" s="27" t="s">
        <v>3415</v>
      </c>
      <c r="L223" s="27" t="s">
        <v>3416</v>
      </c>
      <c r="M223" s="27" t="s">
        <v>3417</v>
      </c>
      <c r="N223" s="27" t="s">
        <v>3418</v>
      </c>
      <c r="O223" s="27" t="s">
        <v>3419</v>
      </c>
      <c r="P223" s="27"/>
      <c r="Q223" s="27"/>
      <c r="R223" s="27"/>
      <c r="S223" s="27">
        <v>1800007012</v>
      </c>
      <c r="T223" s="27">
        <v>1900002005</v>
      </c>
      <c r="U223" s="27">
        <v>1900005368</v>
      </c>
      <c r="V223" s="27">
        <v>1900012039</v>
      </c>
      <c r="W223" s="27">
        <v>1900018413</v>
      </c>
      <c r="X223" s="27">
        <v>1900019091</v>
      </c>
      <c r="Y223" s="27">
        <v>1900026091</v>
      </c>
      <c r="Z223" s="27">
        <v>1900026092</v>
      </c>
      <c r="AA223" s="27">
        <v>1900031378</v>
      </c>
      <c r="AE223" s="27" t="s">
        <v>1021</v>
      </c>
      <c r="AF223" s="27" t="s">
        <v>1043</v>
      </c>
      <c r="AG223" s="27" t="s">
        <v>181</v>
      </c>
      <c r="AH223" s="27" t="s">
        <v>885</v>
      </c>
      <c r="AI223" s="27" t="s">
        <v>179</v>
      </c>
      <c r="AJ223" s="27" t="s">
        <v>705</v>
      </c>
      <c r="AK223" s="27" t="s">
        <v>570</v>
      </c>
      <c r="AL223" s="27" t="s">
        <v>570</v>
      </c>
      <c r="AM223" s="27" t="s">
        <v>185</v>
      </c>
      <c r="AQ223" s="28" t="s">
        <v>187</v>
      </c>
      <c r="AR223" s="28" t="s">
        <v>186</v>
      </c>
      <c r="AS223" s="28" t="s">
        <v>186</v>
      </c>
      <c r="AT223" s="28" t="s">
        <v>186</v>
      </c>
      <c r="AU223" s="28" t="s">
        <v>187</v>
      </c>
      <c r="AV223" s="28" t="s">
        <v>186</v>
      </c>
      <c r="AW223" s="28" t="s">
        <v>186</v>
      </c>
      <c r="AX223" s="28" t="s">
        <v>187</v>
      </c>
      <c r="AY223" s="28" t="s">
        <v>186</v>
      </c>
      <c r="AZ223" s="28"/>
      <c r="BA223" s="28"/>
      <c r="BB223" s="28"/>
      <c r="BC223" s="28">
        <v>85819111800</v>
      </c>
      <c r="BD223" s="28">
        <v>81326022847</v>
      </c>
      <c r="BE223" s="28">
        <v>89633905467</v>
      </c>
      <c r="BF223" s="28">
        <v>88220287539</v>
      </c>
      <c r="BG223" s="28">
        <v>8979200549</v>
      </c>
      <c r="BH223" s="28">
        <v>83861812618</v>
      </c>
      <c r="BI223" s="28">
        <v>85223407140</v>
      </c>
      <c r="BJ223" s="28">
        <v>89652949681</v>
      </c>
      <c r="BK223" s="28">
        <v>89668223739</v>
      </c>
      <c r="BO223" s="39">
        <v>60150812</v>
      </c>
      <c r="BP223" s="18" t="s">
        <v>3420</v>
      </c>
      <c r="BQ223" s="37">
        <v>44957</v>
      </c>
      <c r="BR223" s="8">
        <f t="shared" si="0"/>
        <v>9</v>
      </c>
    </row>
    <row r="224" spans="1:70" ht="15.5">
      <c r="A224" s="4" t="str">
        <v>Reguler Periode ke-101 X.C.2</v>
      </c>
      <c r="B224" s="4" t="s">
        <v>2073</v>
      </c>
      <c r="C224" s="38" t="s">
        <v>3421</v>
      </c>
      <c r="D224" s="4" t="s">
        <v>3409</v>
      </c>
      <c r="E224" s="4" t="s">
        <v>3422</v>
      </c>
      <c r="F224" s="4" t="s">
        <v>193</v>
      </c>
      <c r="G224" s="27" t="s">
        <v>3423</v>
      </c>
      <c r="H224" s="27" t="s">
        <v>3424</v>
      </c>
      <c r="I224" s="27" t="s">
        <v>3425</v>
      </c>
      <c r="J224" s="27" t="s">
        <v>3426</v>
      </c>
      <c r="K224" s="27" t="s">
        <v>3427</v>
      </c>
      <c r="L224" s="27" t="s">
        <v>3428</v>
      </c>
      <c r="M224" s="27" t="s">
        <v>3429</v>
      </c>
      <c r="N224" s="27" t="s">
        <v>3430</v>
      </c>
      <c r="O224" s="27" t="s">
        <v>3431</v>
      </c>
      <c r="P224" s="27"/>
      <c r="Q224" s="27"/>
      <c r="R224" s="27"/>
      <c r="S224" s="27">
        <v>1700031056</v>
      </c>
      <c r="T224" s="27">
        <v>1800002013</v>
      </c>
      <c r="U224" s="27">
        <v>1800026215</v>
      </c>
      <c r="V224" s="27">
        <v>1900005098</v>
      </c>
      <c r="W224" s="27">
        <v>1900007012</v>
      </c>
      <c r="X224" s="27">
        <v>1900012138</v>
      </c>
      <c r="Y224" s="27">
        <v>1900018009</v>
      </c>
      <c r="Z224" s="27">
        <v>1900019127</v>
      </c>
      <c r="AA224" s="27">
        <v>1900026260</v>
      </c>
      <c r="AB224" s="27"/>
      <c r="AC224" s="27"/>
      <c r="AE224" s="27" t="s">
        <v>185</v>
      </c>
      <c r="AF224" s="27" t="s">
        <v>1043</v>
      </c>
      <c r="AG224" s="27" t="s">
        <v>570</v>
      </c>
      <c r="AH224" s="27" t="s">
        <v>181</v>
      </c>
      <c r="AI224" s="27" t="s">
        <v>1021</v>
      </c>
      <c r="AJ224" s="27" t="s">
        <v>885</v>
      </c>
      <c r="AK224" s="27" t="s">
        <v>179</v>
      </c>
      <c r="AL224" s="27" t="s">
        <v>705</v>
      </c>
      <c r="AM224" s="27" t="s">
        <v>570</v>
      </c>
      <c r="AO224" s="28"/>
      <c r="AP224" s="28"/>
      <c r="AQ224" s="28" t="s">
        <v>186</v>
      </c>
      <c r="AR224" s="28" t="s">
        <v>186</v>
      </c>
      <c r="AS224" s="28" t="s">
        <v>186</v>
      </c>
      <c r="AT224" s="28" t="s">
        <v>186</v>
      </c>
      <c r="AU224" s="28" t="s">
        <v>187</v>
      </c>
      <c r="AV224" s="28" t="s">
        <v>186</v>
      </c>
      <c r="AW224" s="28" t="s">
        <v>187</v>
      </c>
      <c r="AX224" s="28" t="s">
        <v>186</v>
      </c>
      <c r="AY224" s="28" t="s">
        <v>187</v>
      </c>
      <c r="BA224" s="28"/>
      <c r="BB224" s="28"/>
      <c r="BC224" s="28">
        <v>83896334230</v>
      </c>
      <c r="BD224" s="28">
        <v>85253676067</v>
      </c>
      <c r="BE224" s="28">
        <v>82231014113</v>
      </c>
      <c r="BF224" s="28">
        <v>82278788049</v>
      </c>
      <c r="BG224" s="28">
        <v>81949427807</v>
      </c>
      <c r="BH224" s="28">
        <v>81380843475</v>
      </c>
      <c r="BI224" s="28">
        <v>82281588161</v>
      </c>
      <c r="BJ224" s="28">
        <v>83861491047</v>
      </c>
      <c r="BK224" s="28">
        <v>859171546187</v>
      </c>
      <c r="BO224" s="39">
        <v>60150812</v>
      </c>
      <c r="BP224" s="18" t="s">
        <v>3432</v>
      </c>
      <c r="BQ224" s="37">
        <v>44957</v>
      </c>
      <c r="BR224" s="8">
        <f t="shared" si="0"/>
        <v>9</v>
      </c>
    </row>
    <row r="225" spans="1:73" ht="15.5">
      <c r="A225" s="4" t="str">
        <v>Reguler Periode ke-101 X.C.3</v>
      </c>
      <c r="B225" s="4" t="s">
        <v>2073</v>
      </c>
      <c r="C225" s="38" t="s">
        <v>3433</v>
      </c>
      <c r="D225" s="4" t="s">
        <v>3409</v>
      </c>
      <c r="E225" s="4" t="s">
        <v>3434</v>
      </c>
      <c r="F225" s="4" t="s">
        <v>193</v>
      </c>
      <c r="G225" s="27" t="s">
        <v>3435</v>
      </c>
      <c r="H225" s="27" t="s">
        <v>3436</v>
      </c>
      <c r="I225" s="27" t="s">
        <v>3437</v>
      </c>
      <c r="J225" s="27" t="s">
        <v>3438</v>
      </c>
      <c r="K225" s="27" t="s">
        <v>3439</v>
      </c>
      <c r="L225" s="27" t="s">
        <v>3440</v>
      </c>
      <c r="M225" s="27" t="s">
        <v>3441</v>
      </c>
      <c r="N225" s="27" t="s">
        <v>3442</v>
      </c>
      <c r="O225" s="27" t="s">
        <v>3443</v>
      </c>
      <c r="P225" s="27"/>
      <c r="Q225" s="27"/>
      <c r="R225" s="27"/>
      <c r="S225" s="27">
        <v>1900002037</v>
      </c>
      <c r="T225" s="27">
        <v>1900005014</v>
      </c>
      <c r="U225" s="27">
        <v>1900008010</v>
      </c>
      <c r="V225" s="27">
        <v>1900012240</v>
      </c>
      <c r="W225" s="27">
        <v>1900018294</v>
      </c>
      <c r="X225" s="27">
        <v>1900019110</v>
      </c>
      <c r="Y225" s="27">
        <v>1900026054</v>
      </c>
      <c r="Z225" s="27">
        <v>1900026107</v>
      </c>
      <c r="AA225" s="27">
        <v>1900031346</v>
      </c>
      <c r="AD225" s="27"/>
      <c r="AE225" s="27" t="s">
        <v>1043</v>
      </c>
      <c r="AF225" s="27" t="s">
        <v>181</v>
      </c>
      <c r="AG225" s="27" t="s">
        <v>1111</v>
      </c>
      <c r="AH225" s="27" t="s">
        <v>885</v>
      </c>
      <c r="AI225" s="27" t="s">
        <v>179</v>
      </c>
      <c r="AJ225" s="27" t="s">
        <v>705</v>
      </c>
      <c r="AK225" s="27" t="s">
        <v>570</v>
      </c>
      <c r="AL225" s="27" t="s">
        <v>570</v>
      </c>
      <c r="AM225" s="27" t="s">
        <v>185</v>
      </c>
      <c r="AO225" s="28"/>
      <c r="AP225" s="28"/>
      <c r="AQ225" s="28" t="s">
        <v>186</v>
      </c>
      <c r="AR225" s="28" t="s">
        <v>186</v>
      </c>
      <c r="AS225" s="28" t="s">
        <v>187</v>
      </c>
      <c r="AT225" s="28" t="s">
        <v>186</v>
      </c>
      <c r="AU225" s="28" t="s">
        <v>187</v>
      </c>
      <c r="AV225" s="28" t="s">
        <v>186</v>
      </c>
      <c r="AW225" s="28" t="s">
        <v>186</v>
      </c>
      <c r="AX225" s="28" t="s">
        <v>187</v>
      </c>
      <c r="AY225" s="28" t="s">
        <v>186</v>
      </c>
      <c r="AZ225" s="28"/>
      <c r="BA225" s="28"/>
      <c r="BB225" s="28"/>
      <c r="BC225" s="28">
        <v>85713695996</v>
      </c>
      <c r="BD225" s="28">
        <v>81228103529</v>
      </c>
      <c r="BE225" s="28">
        <v>85641418902</v>
      </c>
      <c r="BF225" s="28">
        <v>85384859565</v>
      </c>
      <c r="BG225" s="28">
        <v>81779578397</v>
      </c>
      <c r="BH225" s="28">
        <v>8158938126</v>
      </c>
      <c r="BI225" s="28">
        <v>895363093932</v>
      </c>
      <c r="BJ225" s="28">
        <v>89692720032</v>
      </c>
      <c r="BK225" s="28">
        <v>81279057522</v>
      </c>
      <c r="BO225" s="39">
        <v>60150812</v>
      </c>
      <c r="BP225" s="18" t="s">
        <v>3444</v>
      </c>
      <c r="BQ225" s="37">
        <v>44957</v>
      </c>
      <c r="BR225" s="8">
        <f t="shared" si="0"/>
        <v>9</v>
      </c>
    </row>
    <row r="226" spans="1:73" ht="15.5">
      <c r="A226" s="4" t="str">
        <v>Reguler Periode ke-101 X.D.1</v>
      </c>
      <c r="B226" s="4" t="s">
        <v>2073</v>
      </c>
      <c r="C226" s="38" t="s">
        <v>3445</v>
      </c>
      <c r="D226" s="4" t="s">
        <v>3446</v>
      </c>
      <c r="E226" s="4" t="s">
        <v>3447</v>
      </c>
      <c r="F226" s="4" t="s">
        <v>193</v>
      </c>
      <c r="G226" s="27" t="s">
        <v>3448</v>
      </c>
      <c r="H226" s="27" t="s">
        <v>3449</v>
      </c>
      <c r="I226" s="27" t="s">
        <v>3450</v>
      </c>
      <c r="J226" s="27" t="s">
        <v>3451</v>
      </c>
      <c r="K226" s="27" t="s">
        <v>3452</v>
      </c>
      <c r="L226" s="27" t="s">
        <v>3453</v>
      </c>
      <c r="M226" s="27" t="s">
        <v>3454</v>
      </c>
      <c r="N226" s="27" t="s">
        <v>3455</v>
      </c>
      <c r="O226" s="27" t="s">
        <v>3456</v>
      </c>
      <c r="Q226" s="27"/>
      <c r="S226" s="27">
        <v>1900002035</v>
      </c>
      <c r="T226" s="27">
        <v>1900005406</v>
      </c>
      <c r="U226" s="27">
        <v>1900008030</v>
      </c>
      <c r="V226" s="27">
        <v>1900012195</v>
      </c>
      <c r="W226" s="27">
        <v>1900018221</v>
      </c>
      <c r="X226" s="27">
        <v>1900019101</v>
      </c>
      <c r="Y226" s="27">
        <v>1900026021</v>
      </c>
      <c r="Z226" s="27">
        <v>1900026139</v>
      </c>
      <c r="AA226" s="27">
        <v>1900031181</v>
      </c>
      <c r="AC226" s="27"/>
      <c r="AD226" s="27"/>
      <c r="AE226" s="27" t="s">
        <v>1043</v>
      </c>
      <c r="AF226" s="27" t="s">
        <v>181</v>
      </c>
      <c r="AG226" s="27" t="s">
        <v>1111</v>
      </c>
      <c r="AH226" s="27" t="s">
        <v>885</v>
      </c>
      <c r="AI226" s="27" t="s">
        <v>179</v>
      </c>
      <c r="AJ226" s="27" t="s">
        <v>705</v>
      </c>
      <c r="AK226" s="27" t="s">
        <v>570</v>
      </c>
      <c r="AL226" s="27" t="s">
        <v>570</v>
      </c>
      <c r="AM226" s="27" t="s">
        <v>185</v>
      </c>
      <c r="AO226" s="28"/>
      <c r="AP226" s="28"/>
      <c r="AQ226" s="28" t="s">
        <v>186</v>
      </c>
      <c r="AR226" s="28" t="s">
        <v>186</v>
      </c>
      <c r="AS226" s="28" t="s">
        <v>187</v>
      </c>
      <c r="AT226" s="28" t="s">
        <v>186</v>
      </c>
      <c r="AU226" s="28" t="s">
        <v>187</v>
      </c>
      <c r="AV226" s="28" t="s">
        <v>186</v>
      </c>
      <c r="AW226" s="28" t="s">
        <v>186</v>
      </c>
      <c r="AX226" s="28" t="s">
        <v>187</v>
      </c>
      <c r="AY226" s="28" t="s">
        <v>186</v>
      </c>
      <c r="AZ226" s="28"/>
      <c r="BA226" s="28"/>
      <c r="BC226" s="28">
        <v>85921971561</v>
      </c>
      <c r="BD226" s="28">
        <v>82280861014</v>
      </c>
      <c r="BE226" s="28">
        <v>85641111121</v>
      </c>
      <c r="BF226" s="28">
        <v>82340844878</v>
      </c>
      <c r="BG226" s="28">
        <v>82136956567</v>
      </c>
      <c r="BH226" s="28">
        <v>82328582531</v>
      </c>
      <c r="BI226" s="28">
        <v>8998962603</v>
      </c>
      <c r="BJ226" s="28">
        <v>8980570125</v>
      </c>
      <c r="BK226" s="28">
        <v>82144070321</v>
      </c>
      <c r="BO226" s="39">
        <v>60181164</v>
      </c>
      <c r="BP226" s="18" t="s">
        <v>3457</v>
      </c>
      <c r="BQ226" s="37">
        <v>44957</v>
      </c>
      <c r="BR226" s="8">
        <f t="shared" si="0"/>
        <v>9</v>
      </c>
    </row>
    <row r="227" spans="1:73" ht="15.5">
      <c r="A227" s="4" t="str">
        <v>Reguler Periode ke-101 X.D.2</v>
      </c>
      <c r="B227" s="4" t="s">
        <v>2073</v>
      </c>
      <c r="C227" s="38" t="s">
        <v>3458</v>
      </c>
      <c r="D227" s="4" t="s">
        <v>3446</v>
      </c>
      <c r="E227" s="4" t="s">
        <v>3459</v>
      </c>
      <c r="F227" s="4" t="s">
        <v>193</v>
      </c>
      <c r="G227" s="27" t="s">
        <v>3460</v>
      </c>
      <c r="H227" s="27" t="s">
        <v>3461</v>
      </c>
      <c r="I227" s="27" t="s">
        <v>3462</v>
      </c>
      <c r="J227" s="27" t="s">
        <v>3463</v>
      </c>
      <c r="K227" s="27" t="s">
        <v>3464</v>
      </c>
      <c r="L227" s="27" t="s">
        <v>3465</v>
      </c>
      <c r="M227" s="27" t="s">
        <v>3466</v>
      </c>
      <c r="N227" s="27" t="s">
        <v>3467</v>
      </c>
      <c r="O227" s="27" t="s">
        <v>3468</v>
      </c>
      <c r="Q227" s="27"/>
      <c r="S227" s="27">
        <v>1800026272</v>
      </c>
      <c r="T227" s="27">
        <v>1900005007</v>
      </c>
      <c r="U227" s="27">
        <v>1900008071</v>
      </c>
      <c r="V227" s="27">
        <v>1900012035</v>
      </c>
      <c r="W227" s="27">
        <v>1900018070</v>
      </c>
      <c r="X227" s="27">
        <v>1900019184</v>
      </c>
      <c r="Y227" s="27">
        <v>1900026154</v>
      </c>
      <c r="Z227" s="27">
        <v>1900031125</v>
      </c>
      <c r="AA227" s="27">
        <v>1911002028</v>
      </c>
      <c r="AC227" s="27"/>
      <c r="AD227" s="27"/>
      <c r="AE227" s="27" t="s">
        <v>570</v>
      </c>
      <c r="AF227" s="27" t="s">
        <v>181</v>
      </c>
      <c r="AG227" s="27" t="s">
        <v>1111</v>
      </c>
      <c r="AH227" s="27" t="s">
        <v>885</v>
      </c>
      <c r="AI227" s="27" t="s">
        <v>179</v>
      </c>
      <c r="AJ227" s="27" t="s">
        <v>705</v>
      </c>
      <c r="AK227" s="27" t="s">
        <v>570</v>
      </c>
      <c r="AL227" s="27" t="s">
        <v>185</v>
      </c>
      <c r="AM227" s="27" t="s">
        <v>1043</v>
      </c>
      <c r="AO227" s="28"/>
      <c r="AP227" s="28"/>
      <c r="AQ227" s="28" t="s">
        <v>187</v>
      </c>
      <c r="AR227" s="28" t="s">
        <v>186</v>
      </c>
      <c r="AS227" s="28" t="s">
        <v>187</v>
      </c>
      <c r="AT227" s="28" t="s">
        <v>186</v>
      </c>
      <c r="AU227" s="28" t="s">
        <v>187</v>
      </c>
      <c r="AV227" s="28" t="s">
        <v>186</v>
      </c>
      <c r="AW227" s="28" t="s">
        <v>186</v>
      </c>
      <c r="AX227" s="28" t="s">
        <v>186</v>
      </c>
      <c r="AY227" s="28" t="s">
        <v>186</v>
      </c>
      <c r="AZ227" s="28"/>
      <c r="BA227" s="28"/>
      <c r="BC227" s="28">
        <v>89698596245</v>
      </c>
      <c r="BD227" s="28">
        <v>88232535501</v>
      </c>
      <c r="BE227" s="28">
        <v>81328915695</v>
      </c>
      <c r="BF227" s="28">
        <v>82285320811</v>
      </c>
      <c r="BG227" s="28">
        <v>82243673017</v>
      </c>
      <c r="BH227" s="28">
        <v>81243105982</v>
      </c>
      <c r="BI227" s="28">
        <v>81271818643</v>
      </c>
      <c r="BJ227" s="28">
        <v>81575656431</v>
      </c>
      <c r="BK227" s="28">
        <v>88216451958</v>
      </c>
      <c r="BO227" s="39">
        <v>60181164</v>
      </c>
      <c r="BP227" s="18" t="s">
        <v>3469</v>
      </c>
      <c r="BQ227" s="37">
        <v>44957</v>
      </c>
      <c r="BR227" s="8">
        <f t="shared" si="0"/>
        <v>9</v>
      </c>
    </row>
    <row r="228" spans="1:73" ht="15.5">
      <c r="A228" s="4" t="str">
        <v>Reguler Periode ke-101 X.D.3</v>
      </c>
      <c r="B228" s="4" t="s">
        <v>2073</v>
      </c>
      <c r="C228" s="38" t="s">
        <v>3470</v>
      </c>
      <c r="D228" s="4" t="s">
        <v>3446</v>
      </c>
      <c r="E228" s="4" t="s">
        <v>3471</v>
      </c>
      <c r="F228" s="4" t="s">
        <v>193</v>
      </c>
      <c r="G228" s="27" t="s">
        <v>3472</v>
      </c>
      <c r="H228" s="27" t="s">
        <v>3473</v>
      </c>
      <c r="I228" s="27" t="s">
        <v>3474</v>
      </c>
      <c r="J228" s="27" t="s">
        <v>3475</v>
      </c>
      <c r="K228" s="27" t="s">
        <v>3476</v>
      </c>
      <c r="L228" s="27" t="s">
        <v>3477</v>
      </c>
      <c r="M228" s="27" t="s">
        <v>3478</v>
      </c>
      <c r="N228" s="27" t="s">
        <v>3479</v>
      </c>
      <c r="O228" s="27" t="s">
        <v>3480</v>
      </c>
      <c r="Q228" s="27"/>
      <c r="S228" s="27">
        <v>1800027059</v>
      </c>
      <c r="T228" s="27">
        <v>1900002002</v>
      </c>
      <c r="U228" s="27">
        <v>1900005051</v>
      </c>
      <c r="V228" s="27">
        <v>1900009066</v>
      </c>
      <c r="W228" s="27">
        <v>1900012032</v>
      </c>
      <c r="X228" s="27">
        <v>1900018412</v>
      </c>
      <c r="Y228" s="27">
        <v>1900019086</v>
      </c>
      <c r="Z228" s="27">
        <v>1900026200</v>
      </c>
      <c r="AA228" s="27">
        <v>1900031265</v>
      </c>
      <c r="AC228" s="28"/>
      <c r="AE228" s="27" t="s">
        <v>1763</v>
      </c>
      <c r="AF228" s="27" t="s">
        <v>1043</v>
      </c>
      <c r="AG228" s="27" t="s">
        <v>181</v>
      </c>
      <c r="AH228" s="27" t="s">
        <v>952</v>
      </c>
      <c r="AI228" s="27" t="s">
        <v>885</v>
      </c>
      <c r="AJ228" s="27" t="s">
        <v>179</v>
      </c>
      <c r="AK228" s="27" t="s">
        <v>705</v>
      </c>
      <c r="AL228" s="27" t="s">
        <v>570</v>
      </c>
      <c r="AM228" s="27" t="s">
        <v>185</v>
      </c>
      <c r="AO228" s="28"/>
      <c r="AP228" s="28"/>
      <c r="AQ228" s="28" t="s">
        <v>187</v>
      </c>
      <c r="AR228" s="28" t="s">
        <v>186</v>
      </c>
      <c r="AS228" s="28" t="s">
        <v>186</v>
      </c>
      <c r="AT228" s="28" t="s">
        <v>187</v>
      </c>
      <c r="AU228" s="28" t="s">
        <v>186</v>
      </c>
      <c r="AV228" s="28" t="s">
        <v>187</v>
      </c>
      <c r="AW228" s="28" t="s">
        <v>186</v>
      </c>
      <c r="AX228" s="28" t="s">
        <v>186</v>
      </c>
      <c r="AY228" s="28" t="s">
        <v>186</v>
      </c>
      <c r="AZ228" s="28"/>
      <c r="BA228" s="28"/>
      <c r="BC228" s="28">
        <v>85379403731</v>
      </c>
      <c r="BD228" s="28">
        <v>895363282760</v>
      </c>
      <c r="BE228" s="28">
        <v>82221307059</v>
      </c>
      <c r="BF228" s="28">
        <v>895363209601</v>
      </c>
      <c r="BG228" s="28">
        <v>82291229457</v>
      </c>
      <c r="BH228" s="28">
        <v>82271386088</v>
      </c>
      <c r="BI228" s="28">
        <v>82359069871</v>
      </c>
      <c r="BJ228" s="28">
        <v>859162721408</v>
      </c>
      <c r="BK228" s="28">
        <v>81239106881</v>
      </c>
      <c r="BO228" s="39">
        <v>60181164</v>
      </c>
      <c r="BP228" s="18" t="s">
        <v>3481</v>
      </c>
      <c r="BQ228" s="37">
        <v>44957</v>
      </c>
      <c r="BR228" s="8">
        <f t="shared" si="0"/>
        <v>9</v>
      </c>
    </row>
    <row r="229" spans="1:73" ht="15.5">
      <c r="A229" s="44" t="str">
        <v>Reguler Periode ke-101 XI.A.1</v>
      </c>
      <c r="B229" s="44" t="s">
        <v>2073</v>
      </c>
      <c r="C229" s="45" t="s">
        <v>3482</v>
      </c>
      <c r="D229" s="44" t="s">
        <v>3483</v>
      </c>
      <c r="E229" s="44" t="s">
        <v>3484</v>
      </c>
      <c r="F229" s="44" t="s">
        <v>193</v>
      </c>
      <c r="G229" s="46" t="s">
        <v>3485</v>
      </c>
      <c r="H229" s="46" t="s">
        <v>3486</v>
      </c>
      <c r="I229" s="46" t="s">
        <v>3487</v>
      </c>
      <c r="J229" s="46" t="s">
        <v>3488</v>
      </c>
      <c r="K229" s="46" t="s">
        <v>3489</v>
      </c>
      <c r="L229" s="46" t="s">
        <v>3490</v>
      </c>
      <c r="M229" s="46" t="s">
        <v>3491</v>
      </c>
      <c r="N229" s="46" t="s">
        <v>3492</v>
      </c>
      <c r="O229" s="46" t="s">
        <v>3493</v>
      </c>
      <c r="P229" s="44"/>
      <c r="Q229" s="46"/>
      <c r="R229" s="44"/>
      <c r="S229" s="46">
        <v>1900002039</v>
      </c>
      <c r="T229" s="46">
        <v>1900005230</v>
      </c>
      <c r="U229" s="46">
        <v>1900009053</v>
      </c>
      <c r="V229" s="46">
        <v>1900012137</v>
      </c>
      <c r="W229" s="46">
        <v>1900018040</v>
      </c>
      <c r="X229" s="46">
        <v>1900019173</v>
      </c>
      <c r="Y229" s="46">
        <v>1900026183</v>
      </c>
      <c r="Z229" s="46">
        <v>1900027114</v>
      </c>
      <c r="AA229" s="46">
        <v>1900031198</v>
      </c>
      <c r="AB229" s="44"/>
      <c r="AC229" s="44"/>
      <c r="AD229" s="44"/>
      <c r="AE229" s="47" t="s">
        <v>1043</v>
      </c>
      <c r="AF229" s="47" t="s">
        <v>181</v>
      </c>
      <c r="AG229" s="47" t="s">
        <v>952</v>
      </c>
      <c r="AH229" s="47" t="s">
        <v>885</v>
      </c>
      <c r="AI229" s="47" t="s">
        <v>179</v>
      </c>
      <c r="AJ229" s="47" t="s">
        <v>705</v>
      </c>
      <c r="AK229" s="47" t="s">
        <v>570</v>
      </c>
      <c r="AL229" s="47" t="s">
        <v>1763</v>
      </c>
      <c r="AM229" s="47" t="s">
        <v>185</v>
      </c>
      <c r="AN229" s="44"/>
      <c r="AO229" s="48"/>
      <c r="AP229" s="48"/>
      <c r="AQ229" s="48" t="s">
        <v>186</v>
      </c>
      <c r="AR229" s="48" t="s">
        <v>186</v>
      </c>
      <c r="AS229" s="48" t="s">
        <v>187</v>
      </c>
      <c r="AT229" s="48" t="s">
        <v>186</v>
      </c>
      <c r="AU229" s="48" t="s">
        <v>187</v>
      </c>
      <c r="AV229" s="48" t="s">
        <v>186</v>
      </c>
      <c r="AW229" s="48" t="s">
        <v>186</v>
      </c>
      <c r="AX229" s="48" t="s">
        <v>187</v>
      </c>
      <c r="AY229" s="48" t="s">
        <v>186</v>
      </c>
      <c r="AZ229" s="48"/>
      <c r="BA229" s="48"/>
      <c r="BB229" s="44"/>
      <c r="BC229" s="48">
        <v>8989213245</v>
      </c>
      <c r="BD229" s="48">
        <v>85743860658</v>
      </c>
      <c r="BE229" s="48">
        <v>8978812740</v>
      </c>
      <c r="BF229" s="48">
        <v>82148766541</v>
      </c>
      <c r="BG229" s="48">
        <v>81393784144</v>
      </c>
      <c r="BH229" s="48">
        <v>85208193993</v>
      </c>
      <c r="BI229" s="48">
        <v>81395851276</v>
      </c>
      <c r="BJ229" s="48">
        <v>87733777909</v>
      </c>
      <c r="BK229" s="48">
        <v>85641290239</v>
      </c>
      <c r="BL229" s="44"/>
      <c r="BM229" s="44"/>
      <c r="BN229" s="44"/>
      <c r="BO229" s="49">
        <v>60171050</v>
      </c>
      <c r="BP229" s="50" t="s">
        <v>3494</v>
      </c>
      <c r="BQ229" s="51">
        <v>44957</v>
      </c>
      <c r="BR229" s="8">
        <f t="shared" si="0"/>
        <v>9</v>
      </c>
      <c r="BS229" s="44"/>
      <c r="BT229" s="44"/>
      <c r="BU229" s="44"/>
    </row>
    <row r="230" spans="1:73" ht="15.5">
      <c r="A230" s="4" t="str">
        <v>Reguler Periode ke-101 XI.A.2</v>
      </c>
      <c r="B230" s="4" t="s">
        <v>2073</v>
      </c>
      <c r="C230" s="38" t="s">
        <v>3495</v>
      </c>
      <c r="D230" s="4" t="s">
        <v>3483</v>
      </c>
      <c r="E230" s="4" t="s">
        <v>3496</v>
      </c>
      <c r="F230" s="4" t="s">
        <v>193</v>
      </c>
      <c r="G230" s="27" t="s">
        <v>3478</v>
      </c>
      <c r="H230" s="27" t="s">
        <v>3497</v>
      </c>
      <c r="I230" s="27" t="s">
        <v>3498</v>
      </c>
      <c r="J230" s="27" t="s">
        <v>3499</v>
      </c>
      <c r="K230" s="27" t="s">
        <v>3500</v>
      </c>
      <c r="L230" s="27" t="s">
        <v>3501</v>
      </c>
      <c r="M230" s="27" t="s">
        <v>3502</v>
      </c>
      <c r="N230" s="27" t="s">
        <v>3503</v>
      </c>
      <c r="O230" s="27" t="s">
        <v>3504</v>
      </c>
      <c r="Q230" s="27"/>
      <c r="S230" s="27">
        <v>1900002021</v>
      </c>
      <c r="T230" s="27">
        <v>1900005344</v>
      </c>
      <c r="U230" s="27">
        <v>1900009002</v>
      </c>
      <c r="V230" s="27">
        <v>1900012144</v>
      </c>
      <c r="W230" s="27">
        <v>1900018125</v>
      </c>
      <c r="X230" s="27">
        <v>1900019022</v>
      </c>
      <c r="Y230" s="27">
        <v>1900026106</v>
      </c>
      <c r="Z230" s="27">
        <v>1900027075</v>
      </c>
      <c r="AA230" s="27">
        <v>1900031057</v>
      </c>
      <c r="AB230" s="27"/>
      <c r="AD230" s="52"/>
      <c r="AE230" s="27" t="s">
        <v>1043</v>
      </c>
      <c r="AF230" s="27" t="s">
        <v>181</v>
      </c>
      <c r="AG230" s="27" t="s">
        <v>952</v>
      </c>
      <c r="AH230" s="27" t="s">
        <v>885</v>
      </c>
      <c r="AI230" s="27" t="s">
        <v>179</v>
      </c>
      <c r="AJ230" s="27" t="s">
        <v>705</v>
      </c>
      <c r="AK230" s="27" t="s">
        <v>570</v>
      </c>
      <c r="AL230" s="27" t="s">
        <v>1763</v>
      </c>
      <c r="AM230" s="27" t="s">
        <v>185</v>
      </c>
      <c r="AO230" s="28"/>
      <c r="AP230" s="28"/>
      <c r="AQ230" s="28" t="s">
        <v>186</v>
      </c>
      <c r="AR230" s="28" t="s">
        <v>186</v>
      </c>
      <c r="AS230" s="28" t="s">
        <v>187</v>
      </c>
      <c r="AT230" s="28" t="s">
        <v>186</v>
      </c>
      <c r="AU230" s="28" t="s">
        <v>187</v>
      </c>
      <c r="AV230" s="28" t="s">
        <v>186</v>
      </c>
      <c r="AW230" s="28" t="s">
        <v>186</v>
      </c>
      <c r="AX230" s="28" t="s">
        <v>187</v>
      </c>
      <c r="AY230" s="28" t="s">
        <v>186</v>
      </c>
      <c r="AZ230" s="28"/>
      <c r="BA230" s="28"/>
      <c r="BC230" s="28">
        <v>82281671446</v>
      </c>
      <c r="BD230" s="28">
        <v>81229645402</v>
      </c>
      <c r="BE230" s="28">
        <v>82322521692</v>
      </c>
      <c r="BF230" s="28">
        <v>85861343464</v>
      </c>
      <c r="BG230" s="28">
        <v>85338887201</v>
      </c>
      <c r="BH230" s="28">
        <v>81440074614</v>
      </c>
      <c r="BI230" s="28">
        <v>85398955776</v>
      </c>
      <c r="BJ230" s="28">
        <v>81374501329</v>
      </c>
      <c r="BK230" s="28">
        <v>82391061527</v>
      </c>
      <c r="BO230" s="39">
        <v>60171050</v>
      </c>
      <c r="BP230" s="18" t="s">
        <v>3505</v>
      </c>
      <c r="BQ230" s="37">
        <v>44957</v>
      </c>
      <c r="BR230" s="8">
        <f t="shared" si="0"/>
        <v>9</v>
      </c>
    </row>
    <row r="231" spans="1:73" ht="15.5">
      <c r="A231" s="4" t="str">
        <v>Reguler Periode ke-101 XI.A.3</v>
      </c>
      <c r="B231" s="4" t="s">
        <v>2073</v>
      </c>
      <c r="C231" s="38" t="s">
        <v>3506</v>
      </c>
      <c r="D231" s="4" t="s">
        <v>3483</v>
      </c>
      <c r="E231" s="4" t="s">
        <v>3507</v>
      </c>
      <c r="F231" s="4" t="s">
        <v>193</v>
      </c>
      <c r="G231" s="27" t="s">
        <v>3508</v>
      </c>
      <c r="H231" s="27" t="s">
        <v>3509</v>
      </c>
      <c r="I231" s="27" t="s">
        <v>3510</v>
      </c>
      <c r="J231" s="27" t="s">
        <v>3511</v>
      </c>
      <c r="K231" s="27" t="s">
        <v>3512</v>
      </c>
      <c r="L231" s="27" t="s">
        <v>3513</v>
      </c>
      <c r="M231" s="27" t="s">
        <v>3514</v>
      </c>
      <c r="N231" s="27" t="s">
        <v>3515</v>
      </c>
      <c r="O231" s="27" t="s">
        <v>3516</v>
      </c>
      <c r="S231" s="27">
        <v>1800026201</v>
      </c>
      <c r="T231" s="27">
        <v>1900002034</v>
      </c>
      <c r="U231" s="27">
        <v>1900005097</v>
      </c>
      <c r="V231" s="27">
        <v>1900009067</v>
      </c>
      <c r="W231" s="27">
        <v>1900012222</v>
      </c>
      <c r="X231" s="27">
        <v>1900018173</v>
      </c>
      <c r="Y231" s="27">
        <v>1900019167</v>
      </c>
      <c r="Z231" s="27">
        <v>1900027084</v>
      </c>
      <c r="AA231" s="27">
        <v>1900031050</v>
      </c>
      <c r="AB231" s="27"/>
      <c r="AC231" s="27"/>
      <c r="AD231" s="52"/>
      <c r="AE231" s="27" t="s">
        <v>570</v>
      </c>
      <c r="AF231" s="27" t="s">
        <v>1043</v>
      </c>
      <c r="AG231" s="27" t="s">
        <v>181</v>
      </c>
      <c r="AH231" s="27" t="s">
        <v>952</v>
      </c>
      <c r="AI231" s="27" t="s">
        <v>885</v>
      </c>
      <c r="AJ231" s="27" t="s">
        <v>179</v>
      </c>
      <c r="AK231" s="27" t="s">
        <v>705</v>
      </c>
      <c r="AL231" s="27" t="s">
        <v>1763</v>
      </c>
      <c r="AM231" s="27" t="s">
        <v>185</v>
      </c>
      <c r="AO231" s="28"/>
      <c r="AP231" s="28"/>
      <c r="AQ231" s="28" t="s">
        <v>186</v>
      </c>
      <c r="AR231" s="28" t="s">
        <v>186</v>
      </c>
      <c r="AS231" s="28" t="s">
        <v>186</v>
      </c>
      <c r="AT231" s="28" t="s">
        <v>187</v>
      </c>
      <c r="AU231" s="28" t="s">
        <v>186</v>
      </c>
      <c r="AV231" s="28" t="s">
        <v>187</v>
      </c>
      <c r="AW231" s="28" t="s">
        <v>186</v>
      </c>
      <c r="AX231" s="28" t="s">
        <v>187</v>
      </c>
      <c r="AY231" s="28" t="s">
        <v>186</v>
      </c>
      <c r="AZ231" s="28"/>
      <c r="BA231" s="28"/>
      <c r="BC231" s="28">
        <v>81904298167</v>
      </c>
      <c r="BD231" s="28">
        <v>81334874161</v>
      </c>
      <c r="BE231" s="28">
        <v>81805251940</v>
      </c>
      <c r="BF231" s="28">
        <v>85975108670</v>
      </c>
      <c r="BG231" s="28">
        <v>82358371264</v>
      </c>
      <c r="BH231" s="28">
        <v>895706010525</v>
      </c>
      <c r="BI231" s="28">
        <v>82252526305</v>
      </c>
      <c r="BJ231" s="28">
        <v>82193077143</v>
      </c>
      <c r="BK231" s="28">
        <v>83183190327</v>
      </c>
      <c r="BO231" s="39">
        <v>60171050</v>
      </c>
      <c r="BP231" s="18" t="s">
        <v>3517</v>
      </c>
      <c r="BQ231" s="37">
        <v>44957</v>
      </c>
      <c r="BR231" s="8">
        <f t="shared" si="0"/>
        <v>9</v>
      </c>
    </row>
    <row r="232" spans="1:73" ht="15.5">
      <c r="A232" s="4" t="str">
        <v>Reguler Periode ke-101 XI.B.1</v>
      </c>
      <c r="B232" s="4" t="s">
        <v>2073</v>
      </c>
      <c r="C232" s="38" t="s">
        <v>3518</v>
      </c>
      <c r="D232" s="4" t="s">
        <v>3519</v>
      </c>
      <c r="E232" s="4" t="s">
        <v>3520</v>
      </c>
      <c r="F232" s="4" t="s">
        <v>193</v>
      </c>
      <c r="G232" s="27" t="s">
        <v>3521</v>
      </c>
      <c r="H232" s="27" t="s">
        <v>3522</v>
      </c>
      <c r="I232" s="27" t="s">
        <v>3523</v>
      </c>
      <c r="J232" s="27" t="s">
        <v>3524</v>
      </c>
      <c r="K232" s="27" t="s">
        <v>3525</v>
      </c>
      <c r="L232" s="27" t="s">
        <v>3526</v>
      </c>
      <c r="M232" s="27" t="s">
        <v>3527</v>
      </c>
      <c r="N232" s="27" t="s">
        <v>3528</v>
      </c>
      <c r="O232" s="27" t="s">
        <v>3529</v>
      </c>
      <c r="S232" s="27">
        <v>1900002030</v>
      </c>
      <c r="T232" s="27">
        <v>1900005061</v>
      </c>
      <c r="U232" s="27">
        <v>1900009041</v>
      </c>
      <c r="V232" s="27">
        <v>1900012210</v>
      </c>
      <c r="W232" s="27">
        <v>1900018284</v>
      </c>
      <c r="X232" s="27">
        <v>1900019165</v>
      </c>
      <c r="Y232" s="27">
        <v>1900026080</v>
      </c>
      <c r="Z232" s="27">
        <v>1900027037</v>
      </c>
      <c r="AA232" s="27">
        <v>1900031370</v>
      </c>
      <c r="AB232" s="27"/>
      <c r="AC232" s="27"/>
      <c r="AD232" s="52"/>
      <c r="AE232" s="27" t="s">
        <v>1043</v>
      </c>
      <c r="AF232" s="27" t="s">
        <v>181</v>
      </c>
      <c r="AG232" s="27" t="s">
        <v>952</v>
      </c>
      <c r="AH232" s="27" t="s">
        <v>885</v>
      </c>
      <c r="AI232" s="27" t="s">
        <v>179</v>
      </c>
      <c r="AJ232" s="27" t="s">
        <v>705</v>
      </c>
      <c r="AK232" s="27" t="s">
        <v>570</v>
      </c>
      <c r="AL232" s="27" t="s">
        <v>1763</v>
      </c>
      <c r="AM232" s="27" t="s">
        <v>185</v>
      </c>
      <c r="AN232" s="28"/>
      <c r="AO232" s="28"/>
      <c r="AP232" s="28"/>
      <c r="AQ232" s="28" t="s">
        <v>186</v>
      </c>
      <c r="AR232" s="28" t="s">
        <v>186</v>
      </c>
      <c r="AS232" s="28" t="s">
        <v>187</v>
      </c>
      <c r="AT232" s="28" t="s">
        <v>186</v>
      </c>
      <c r="AU232" s="28" t="s">
        <v>187</v>
      </c>
      <c r="AV232" s="28" t="s">
        <v>186</v>
      </c>
      <c r="AW232" s="28" t="s">
        <v>186</v>
      </c>
      <c r="AX232" s="28" t="s">
        <v>187</v>
      </c>
      <c r="AY232" s="28" t="s">
        <v>186</v>
      </c>
      <c r="AZ232" s="28"/>
      <c r="BC232" s="28">
        <v>82154236877</v>
      </c>
      <c r="BD232" s="28">
        <v>83170810846</v>
      </c>
      <c r="BE232" s="28">
        <v>81357091934</v>
      </c>
      <c r="BF232" s="28">
        <v>81235156019</v>
      </c>
      <c r="BG232" s="28">
        <v>8988714313</v>
      </c>
      <c r="BH232" s="28">
        <v>88268382049</v>
      </c>
      <c r="BI232" s="28">
        <v>87812947478</v>
      </c>
      <c r="BJ232" s="28">
        <v>81215287397</v>
      </c>
      <c r="BK232" s="28">
        <v>895422802805</v>
      </c>
      <c r="BO232" s="39">
        <v>60110662</v>
      </c>
      <c r="BP232" s="18" t="s">
        <v>3530</v>
      </c>
      <c r="BQ232" s="37">
        <v>44957</v>
      </c>
      <c r="BR232" s="8">
        <f t="shared" si="0"/>
        <v>9</v>
      </c>
    </row>
    <row r="233" spans="1:73" ht="15.5">
      <c r="A233" s="4" t="str">
        <v>Reguler Periode ke-101 XI.B.2</v>
      </c>
      <c r="B233" s="4" t="s">
        <v>2073</v>
      </c>
      <c r="C233" s="38" t="s">
        <v>3531</v>
      </c>
      <c r="D233" s="4" t="s">
        <v>3519</v>
      </c>
      <c r="E233" s="4" t="s">
        <v>3532</v>
      </c>
      <c r="F233" s="4" t="s">
        <v>193</v>
      </c>
      <c r="G233" s="27" t="s">
        <v>3533</v>
      </c>
      <c r="H233" s="27" t="s">
        <v>3534</v>
      </c>
      <c r="I233" s="27" t="s">
        <v>3535</v>
      </c>
      <c r="J233" s="27" t="s">
        <v>3536</v>
      </c>
      <c r="K233" s="27" t="s">
        <v>3537</v>
      </c>
      <c r="L233" s="27" t="s">
        <v>3538</v>
      </c>
      <c r="M233" s="27" t="s">
        <v>3539</v>
      </c>
      <c r="N233" s="27" t="s">
        <v>3540</v>
      </c>
      <c r="O233" s="27" t="s">
        <v>3541</v>
      </c>
      <c r="S233" s="27">
        <v>1900002038</v>
      </c>
      <c r="T233" s="27">
        <v>1900005020</v>
      </c>
      <c r="U233" s="27">
        <v>1900010048</v>
      </c>
      <c r="V233" s="27">
        <v>1900012180</v>
      </c>
      <c r="W233" s="27">
        <v>1900018354</v>
      </c>
      <c r="X233" s="27">
        <v>1900019106</v>
      </c>
      <c r="Y233" s="27">
        <v>1900026114</v>
      </c>
      <c r="Z233" s="27">
        <v>1900027040</v>
      </c>
      <c r="AA233" s="27">
        <v>1900031082</v>
      </c>
      <c r="AB233" s="27"/>
      <c r="AC233" s="27"/>
      <c r="AD233" s="52"/>
      <c r="AE233" s="27" t="s">
        <v>1043</v>
      </c>
      <c r="AF233" s="27" t="s">
        <v>181</v>
      </c>
      <c r="AG233" s="27" t="s">
        <v>532</v>
      </c>
      <c r="AH233" s="27" t="s">
        <v>885</v>
      </c>
      <c r="AI233" s="27" t="s">
        <v>179</v>
      </c>
      <c r="AJ233" s="27" t="s">
        <v>705</v>
      </c>
      <c r="AK233" s="27" t="s">
        <v>570</v>
      </c>
      <c r="AL233" s="27" t="s">
        <v>1763</v>
      </c>
      <c r="AM233" s="27" t="s">
        <v>185</v>
      </c>
      <c r="AN233" s="28"/>
      <c r="AO233" s="28"/>
      <c r="AQ233" s="28" t="s">
        <v>186</v>
      </c>
      <c r="AR233" s="28" t="s">
        <v>186</v>
      </c>
      <c r="AS233" s="28" t="s">
        <v>187</v>
      </c>
      <c r="AT233" s="28" t="s">
        <v>186</v>
      </c>
      <c r="AU233" s="28" t="s">
        <v>187</v>
      </c>
      <c r="AV233" s="28" t="s">
        <v>186</v>
      </c>
      <c r="AW233" s="28" t="s">
        <v>186</v>
      </c>
      <c r="AX233" s="28" t="s">
        <v>187</v>
      </c>
      <c r="AY233" s="28" t="s">
        <v>186</v>
      </c>
      <c r="AZ233" s="28"/>
      <c r="BC233" s="28">
        <v>8992262499</v>
      </c>
      <c r="BD233" s="28">
        <v>85254418784</v>
      </c>
      <c r="BE233" s="28">
        <v>83169834874</v>
      </c>
      <c r="BF233" s="28">
        <v>8975826360</v>
      </c>
      <c r="BG233" s="28">
        <v>82323403911</v>
      </c>
      <c r="BH233" s="28">
        <v>82293621865</v>
      </c>
      <c r="BI233" s="28">
        <v>85848137582</v>
      </c>
      <c r="BJ233" s="28">
        <v>82170404618</v>
      </c>
      <c r="BK233" s="28">
        <v>82213979861</v>
      </c>
      <c r="BO233" s="39">
        <v>60110662</v>
      </c>
      <c r="BP233" s="18" t="s">
        <v>3542</v>
      </c>
      <c r="BQ233" s="37">
        <v>44957</v>
      </c>
      <c r="BR233" s="8">
        <f t="shared" si="0"/>
        <v>9</v>
      </c>
    </row>
    <row r="234" spans="1:73" ht="15.5">
      <c r="A234" s="4" t="str">
        <v>Reguler Periode ke-101 XI.B.3</v>
      </c>
      <c r="B234" s="4" t="s">
        <v>2073</v>
      </c>
      <c r="C234" s="38" t="s">
        <v>3543</v>
      </c>
      <c r="D234" s="4" t="s">
        <v>3519</v>
      </c>
      <c r="E234" s="4" t="s">
        <v>3544</v>
      </c>
      <c r="F234" s="4" t="s">
        <v>193</v>
      </c>
      <c r="G234" s="27" t="s">
        <v>3545</v>
      </c>
      <c r="H234" s="27" t="s">
        <v>3546</v>
      </c>
      <c r="I234" s="27" t="s">
        <v>3547</v>
      </c>
      <c r="J234" s="27" t="s">
        <v>3548</v>
      </c>
      <c r="K234" s="27" t="s">
        <v>3549</v>
      </c>
      <c r="L234" s="27" t="s">
        <v>3550</v>
      </c>
      <c r="M234" s="27" t="s">
        <v>3551</v>
      </c>
      <c r="N234" s="27" t="s">
        <v>3552</v>
      </c>
      <c r="O234" s="27" t="s">
        <v>3553</v>
      </c>
      <c r="S234" s="27">
        <v>1900002017</v>
      </c>
      <c r="T234" s="27">
        <v>1900006089</v>
      </c>
      <c r="U234" s="27">
        <v>1900010122</v>
      </c>
      <c r="V234" s="27">
        <v>1900012124</v>
      </c>
      <c r="W234" s="27">
        <v>1900018416</v>
      </c>
      <c r="X234" s="27">
        <v>1900019126</v>
      </c>
      <c r="Y234" s="27">
        <v>1900026212</v>
      </c>
      <c r="Z234" s="27">
        <v>1900027079</v>
      </c>
      <c r="AA234" s="27">
        <v>1900031180</v>
      </c>
      <c r="AB234" s="27"/>
      <c r="AC234" s="27"/>
      <c r="AD234" s="52"/>
      <c r="AE234" s="27" t="s">
        <v>1043</v>
      </c>
      <c r="AF234" s="27" t="s">
        <v>745</v>
      </c>
      <c r="AG234" s="27" t="s">
        <v>532</v>
      </c>
      <c r="AH234" s="27" t="s">
        <v>885</v>
      </c>
      <c r="AI234" s="27" t="s">
        <v>179</v>
      </c>
      <c r="AJ234" s="27" t="s">
        <v>705</v>
      </c>
      <c r="AK234" s="27" t="s">
        <v>570</v>
      </c>
      <c r="AL234" s="27" t="s">
        <v>1763</v>
      </c>
      <c r="AM234" s="27" t="s">
        <v>185</v>
      </c>
      <c r="AN234" s="28"/>
      <c r="AO234" s="28"/>
      <c r="AQ234" s="28" t="s">
        <v>186</v>
      </c>
      <c r="AR234" s="28" t="s">
        <v>186</v>
      </c>
      <c r="AS234" s="28" t="s">
        <v>187</v>
      </c>
      <c r="AT234" s="28" t="s">
        <v>186</v>
      </c>
      <c r="AU234" s="28" t="s">
        <v>187</v>
      </c>
      <c r="AV234" s="28" t="s">
        <v>186</v>
      </c>
      <c r="AW234" s="28" t="s">
        <v>186</v>
      </c>
      <c r="AX234" s="28" t="s">
        <v>187</v>
      </c>
      <c r="AY234" s="28" t="s">
        <v>186</v>
      </c>
      <c r="BC234" s="28">
        <v>81343977843</v>
      </c>
      <c r="BD234" s="28">
        <v>81316637688</v>
      </c>
      <c r="BE234" s="28">
        <v>81339369703</v>
      </c>
      <c r="BF234" s="28">
        <v>85743181762</v>
      </c>
      <c r="BG234" s="28">
        <v>89522792400</v>
      </c>
      <c r="BH234" s="28">
        <v>85878495249</v>
      </c>
      <c r="BI234" s="28">
        <v>895424281200</v>
      </c>
      <c r="BJ234" s="28">
        <v>81249248212</v>
      </c>
      <c r="BK234" s="28">
        <v>895366203142</v>
      </c>
      <c r="BO234" s="39">
        <v>60110662</v>
      </c>
      <c r="BP234" s="18" t="s">
        <v>3554</v>
      </c>
      <c r="BQ234" s="37">
        <v>44957</v>
      </c>
      <c r="BR234" s="8">
        <f t="shared" si="0"/>
        <v>9</v>
      </c>
    </row>
    <row r="235" spans="1:73" ht="15.5">
      <c r="A235" s="4" t="str">
        <v>Reguler Periode ke-101 XI.C.1</v>
      </c>
      <c r="B235" s="4" t="s">
        <v>2073</v>
      </c>
      <c r="C235" s="38" t="s">
        <v>3555</v>
      </c>
      <c r="D235" s="4" t="s">
        <v>3556</v>
      </c>
      <c r="E235" s="4" t="s">
        <v>3557</v>
      </c>
      <c r="F235" s="4" t="s">
        <v>193</v>
      </c>
      <c r="G235" s="27" t="s">
        <v>3558</v>
      </c>
      <c r="H235" s="27" t="s">
        <v>3559</v>
      </c>
      <c r="I235" s="27" t="s">
        <v>3560</v>
      </c>
      <c r="J235" s="27" t="s">
        <v>3561</v>
      </c>
      <c r="K235" s="27" t="s">
        <v>3562</v>
      </c>
      <c r="L235" s="27" t="s">
        <v>3563</v>
      </c>
      <c r="M235" s="27" t="s">
        <v>3564</v>
      </c>
      <c r="N235" s="27" t="s">
        <v>3565</v>
      </c>
      <c r="O235" s="27" t="s">
        <v>3566</v>
      </c>
      <c r="S235" s="27">
        <v>1800018055</v>
      </c>
      <c r="T235" s="27">
        <v>1900002033</v>
      </c>
      <c r="U235" s="27">
        <v>1900006037</v>
      </c>
      <c r="V235" s="27">
        <v>1900010142</v>
      </c>
      <c r="W235" s="27">
        <v>1900012134</v>
      </c>
      <c r="X235" s="27">
        <v>1900019170</v>
      </c>
      <c r="Y235" s="27">
        <v>1900026155</v>
      </c>
      <c r="Z235" s="27">
        <v>1900027088</v>
      </c>
      <c r="AA235" s="27">
        <v>1900031323</v>
      </c>
      <c r="AB235" s="27"/>
      <c r="AC235" s="27"/>
      <c r="AD235" s="52"/>
      <c r="AE235" s="27" t="s">
        <v>179</v>
      </c>
      <c r="AF235" s="27" t="s">
        <v>1043</v>
      </c>
      <c r="AG235" s="27" t="s">
        <v>745</v>
      </c>
      <c r="AH235" s="27" t="s">
        <v>532</v>
      </c>
      <c r="AI235" s="27" t="s">
        <v>885</v>
      </c>
      <c r="AJ235" s="27" t="s">
        <v>705</v>
      </c>
      <c r="AK235" s="27" t="s">
        <v>570</v>
      </c>
      <c r="AL235" s="27" t="s">
        <v>1763</v>
      </c>
      <c r="AM235" s="27" t="s">
        <v>185</v>
      </c>
      <c r="AN235" s="28"/>
      <c r="AO235" s="28"/>
      <c r="AQ235" s="28" t="s">
        <v>187</v>
      </c>
      <c r="AR235" s="28" t="s">
        <v>186</v>
      </c>
      <c r="AS235" s="28" t="s">
        <v>186</v>
      </c>
      <c r="AT235" s="28" t="s">
        <v>187</v>
      </c>
      <c r="AU235" s="28" t="s">
        <v>186</v>
      </c>
      <c r="AV235" s="28" t="s">
        <v>186</v>
      </c>
      <c r="AW235" s="28" t="s">
        <v>186</v>
      </c>
      <c r="AX235" s="28" t="s">
        <v>187</v>
      </c>
      <c r="AY235" s="28" t="s">
        <v>186</v>
      </c>
      <c r="BC235" s="28">
        <v>82240350433</v>
      </c>
      <c r="BD235" s="28">
        <v>81391528093</v>
      </c>
      <c r="BE235" s="28">
        <v>85853754565</v>
      </c>
      <c r="BF235" s="28">
        <v>81934036171</v>
      </c>
      <c r="BG235" s="28">
        <v>81277120184</v>
      </c>
      <c r="BH235" s="28">
        <v>81367367299</v>
      </c>
      <c r="BI235" s="28">
        <v>85225971810</v>
      </c>
      <c r="BJ235" s="28">
        <v>81382069148</v>
      </c>
      <c r="BK235" s="28">
        <v>82288299650</v>
      </c>
      <c r="BO235" s="39">
        <v>60110666</v>
      </c>
      <c r="BP235" s="18" t="s">
        <v>3567</v>
      </c>
      <c r="BQ235" s="37">
        <v>44957</v>
      </c>
      <c r="BR235" s="8">
        <f t="shared" si="0"/>
        <v>9</v>
      </c>
    </row>
    <row r="236" spans="1:73" ht="15.5">
      <c r="A236" s="4" t="str">
        <v>Reguler Periode ke-101 XI.C.2</v>
      </c>
      <c r="B236" s="4" t="s">
        <v>2073</v>
      </c>
      <c r="C236" s="38" t="s">
        <v>3568</v>
      </c>
      <c r="D236" s="4" t="s">
        <v>3556</v>
      </c>
      <c r="E236" s="4" t="s">
        <v>3569</v>
      </c>
      <c r="F236" s="4" t="s">
        <v>193</v>
      </c>
      <c r="G236" s="27" t="s">
        <v>3570</v>
      </c>
      <c r="H236" s="27" t="s">
        <v>3571</v>
      </c>
      <c r="I236" s="27" t="s">
        <v>3572</v>
      </c>
      <c r="J236" s="27" t="s">
        <v>3573</v>
      </c>
      <c r="K236" s="27" t="s">
        <v>3574</v>
      </c>
      <c r="L236" s="27" t="s">
        <v>3575</v>
      </c>
      <c r="M236" s="27" t="s">
        <v>3576</v>
      </c>
      <c r="N236" s="27" t="s">
        <v>3577</v>
      </c>
      <c r="O236" s="27" t="s">
        <v>3578</v>
      </c>
      <c r="S236" s="27">
        <v>1900002009</v>
      </c>
      <c r="T236" s="27">
        <v>1900006038</v>
      </c>
      <c r="U236" s="27">
        <v>1900010065</v>
      </c>
      <c r="V236" s="27">
        <v>1900012216</v>
      </c>
      <c r="W236" s="27">
        <v>1900018389</v>
      </c>
      <c r="X236" s="27">
        <v>1900019039</v>
      </c>
      <c r="Y236" s="27">
        <v>1900026194</v>
      </c>
      <c r="Z236" s="27">
        <v>1900027112</v>
      </c>
      <c r="AA236" s="27">
        <v>1900031124</v>
      </c>
      <c r="AB236" s="27"/>
      <c r="AC236" s="27"/>
      <c r="AD236" s="52"/>
      <c r="AE236" s="27" t="s">
        <v>1043</v>
      </c>
      <c r="AF236" s="27" t="s">
        <v>745</v>
      </c>
      <c r="AG236" s="27" t="s">
        <v>532</v>
      </c>
      <c r="AH236" s="27" t="s">
        <v>885</v>
      </c>
      <c r="AI236" s="27" t="s">
        <v>179</v>
      </c>
      <c r="AJ236" s="27" t="s">
        <v>705</v>
      </c>
      <c r="AK236" s="27" t="s">
        <v>570</v>
      </c>
      <c r="AL236" s="27" t="s">
        <v>1763</v>
      </c>
      <c r="AM236" s="27" t="s">
        <v>185</v>
      </c>
      <c r="AN236" s="28"/>
      <c r="AO236" s="28"/>
      <c r="AQ236" s="28" t="s">
        <v>186</v>
      </c>
      <c r="AR236" s="28" t="s">
        <v>186</v>
      </c>
      <c r="AS236" s="28" t="s">
        <v>187</v>
      </c>
      <c r="AT236" s="28" t="s">
        <v>186</v>
      </c>
      <c r="AU236" s="28" t="s">
        <v>187</v>
      </c>
      <c r="AV236" s="28" t="s">
        <v>186</v>
      </c>
      <c r="AW236" s="28" t="s">
        <v>186</v>
      </c>
      <c r="AX236" s="28" t="s">
        <v>187</v>
      </c>
      <c r="AY236" s="28" t="s">
        <v>186</v>
      </c>
      <c r="BC236" s="28">
        <v>82177582883</v>
      </c>
      <c r="BD236" s="28">
        <v>87838178258</v>
      </c>
      <c r="BE236" s="28">
        <v>82339733219</v>
      </c>
      <c r="BF236" s="28">
        <v>85237562311</v>
      </c>
      <c r="BG236" s="28">
        <v>82112095160</v>
      </c>
      <c r="BH236" s="28">
        <v>81329808909</v>
      </c>
      <c r="BI236" s="28">
        <v>89661531527</v>
      </c>
      <c r="BJ236" s="28">
        <v>85823777260</v>
      </c>
      <c r="BK236" s="28">
        <v>85888541548</v>
      </c>
      <c r="BO236" s="39">
        <v>60110666</v>
      </c>
      <c r="BP236" s="18" t="s">
        <v>3579</v>
      </c>
      <c r="BQ236" s="37">
        <v>44957</v>
      </c>
      <c r="BR236" s="8">
        <f t="shared" si="0"/>
        <v>9</v>
      </c>
    </row>
    <row r="237" spans="1:73" ht="15.5">
      <c r="A237" s="4" t="str">
        <v>Reguler Periode ke-101 XI.C.3</v>
      </c>
      <c r="B237" s="4" t="s">
        <v>2073</v>
      </c>
      <c r="C237" s="38" t="s">
        <v>3580</v>
      </c>
      <c r="D237" s="4" t="s">
        <v>3556</v>
      </c>
      <c r="E237" s="4" t="s">
        <v>3581</v>
      </c>
      <c r="F237" s="4" t="s">
        <v>193</v>
      </c>
      <c r="G237" s="27" t="s">
        <v>3582</v>
      </c>
      <c r="H237" s="27" t="s">
        <v>3583</v>
      </c>
      <c r="I237" s="27" t="s">
        <v>3584</v>
      </c>
      <c r="J237" s="27" t="s">
        <v>3585</v>
      </c>
      <c r="K237" s="27" t="s">
        <v>3586</v>
      </c>
      <c r="L237" s="27" t="s">
        <v>3587</v>
      </c>
      <c r="M237" s="27" t="s">
        <v>3588</v>
      </c>
      <c r="N237" s="27" t="s">
        <v>3589</v>
      </c>
      <c r="S237" s="27">
        <v>1900003070</v>
      </c>
      <c r="T237" s="27">
        <v>1900006079</v>
      </c>
      <c r="U237" s="27">
        <v>1900010308</v>
      </c>
      <c r="V237" s="27">
        <v>1900012201</v>
      </c>
      <c r="W237" s="27">
        <v>1900018050</v>
      </c>
      <c r="X237" s="27">
        <v>1900019168</v>
      </c>
      <c r="Y237" s="27">
        <v>1900026122</v>
      </c>
      <c r="Z237" s="27">
        <v>1900032082</v>
      </c>
      <c r="AB237" s="27"/>
      <c r="AC237" s="27"/>
      <c r="AD237" s="52"/>
      <c r="AE237" s="52" t="s">
        <v>178</v>
      </c>
      <c r="AF237" s="52" t="s">
        <v>745</v>
      </c>
      <c r="AG237" s="52" t="s">
        <v>532</v>
      </c>
      <c r="AH237" s="52" t="s">
        <v>885</v>
      </c>
      <c r="AI237" s="52" t="s">
        <v>179</v>
      </c>
      <c r="AJ237" s="52" t="s">
        <v>705</v>
      </c>
      <c r="AK237" s="52" t="s">
        <v>570</v>
      </c>
      <c r="AL237" s="52" t="s">
        <v>732</v>
      </c>
      <c r="AN237" s="28"/>
      <c r="AO237" s="28"/>
      <c r="AQ237" s="28" t="s">
        <v>186</v>
      </c>
      <c r="AR237" s="28" t="s">
        <v>186</v>
      </c>
      <c r="AS237" s="28" t="s">
        <v>187</v>
      </c>
      <c r="AT237" s="28" t="s">
        <v>186</v>
      </c>
      <c r="AU237" s="28" t="s">
        <v>187</v>
      </c>
      <c r="AV237" s="28" t="s">
        <v>186</v>
      </c>
      <c r="AW237" s="28" t="s">
        <v>186</v>
      </c>
      <c r="AX237" s="28" t="s">
        <v>186</v>
      </c>
      <c r="BC237" s="28">
        <v>82169130852</v>
      </c>
      <c r="BD237" s="28">
        <v>85743913421</v>
      </c>
      <c r="BE237" s="28">
        <v>89616214747</v>
      </c>
      <c r="BF237" s="28">
        <v>85786264505</v>
      </c>
      <c r="BG237" s="28">
        <v>85201117231</v>
      </c>
      <c r="BH237" s="28">
        <v>82322481785</v>
      </c>
      <c r="BI237" s="28">
        <v>8388508690</v>
      </c>
      <c r="BJ237" s="28">
        <v>895384209995</v>
      </c>
      <c r="BO237" s="39">
        <v>60110666</v>
      </c>
      <c r="BP237" s="18" t="s">
        <v>3590</v>
      </c>
      <c r="BQ237" s="37">
        <v>44957</v>
      </c>
      <c r="BR237" s="8">
        <f t="shared" si="0"/>
        <v>8</v>
      </c>
    </row>
    <row r="238" spans="1:73" ht="15.5">
      <c r="A238" s="4" t="str">
        <v>Reguler Periode ke-101 XI.D.1</v>
      </c>
      <c r="B238" s="4" t="s">
        <v>2073</v>
      </c>
      <c r="C238" s="38" t="s">
        <v>3591</v>
      </c>
      <c r="D238" s="4" t="s">
        <v>3592</v>
      </c>
      <c r="E238" s="4" t="s">
        <v>3593</v>
      </c>
      <c r="F238" s="4" t="s">
        <v>193</v>
      </c>
      <c r="G238" s="27" t="s">
        <v>3594</v>
      </c>
      <c r="H238" s="27" t="s">
        <v>3595</v>
      </c>
      <c r="I238" s="27" t="s">
        <v>3596</v>
      </c>
      <c r="J238" s="27" t="s">
        <v>2948</v>
      </c>
      <c r="K238" s="27" t="s">
        <v>3597</v>
      </c>
      <c r="L238" s="27" t="s">
        <v>3598</v>
      </c>
      <c r="M238" s="27" t="s">
        <v>3599</v>
      </c>
      <c r="N238" s="27" t="s">
        <v>3600</v>
      </c>
      <c r="O238" s="27" t="s">
        <v>3601</v>
      </c>
      <c r="S238" s="27">
        <v>1900003139</v>
      </c>
      <c r="T238" s="27">
        <v>1900006052</v>
      </c>
      <c r="U238" s="27">
        <v>1900010274</v>
      </c>
      <c r="V238" s="27">
        <v>1900012048</v>
      </c>
      <c r="W238" s="27">
        <v>1900018041</v>
      </c>
      <c r="X238" s="27">
        <v>1900019157</v>
      </c>
      <c r="Y238" s="27">
        <v>1900026189</v>
      </c>
      <c r="Z238" s="27">
        <v>1900027030</v>
      </c>
      <c r="AA238" s="27">
        <v>1900032013</v>
      </c>
      <c r="AB238" s="27"/>
      <c r="AC238" s="27"/>
      <c r="AD238" s="52"/>
      <c r="AE238" s="52" t="s">
        <v>178</v>
      </c>
      <c r="AF238" s="52" t="s">
        <v>745</v>
      </c>
      <c r="AG238" s="52" t="s">
        <v>532</v>
      </c>
      <c r="AH238" s="52" t="s">
        <v>885</v>
      </c>
      <c r="AI238" s="52" t="s">
        <v>179</v>
      </c>
      <c r="AJ238" s="52" t="s">
        <v>705</v>
      </c>
      <c r="AK238" s="52" t="s">
        <v>570</v>
      </c>
      <c r="AL238" s="52" t="s">
        <v>1763</v>
      </c>
      <c r="AM238" s="52" t="s">
        <v>732</v>
      </c>
      <c r="AN238" s="28"/>
      <c r="AO238" s="28"/>
      <c r="AQ238" s="28" t="s">
        <v>186</v>
      </c>
      <c r="AR238" s="28" t="s">
        <v>186</v>
      </c>
      <c r="AS238" s="28" t="s">
        <v>187</v>
      </c>
      <c r="AT238" s="28" t="s">
        <v>186</v>
      </c>
      <c r="AU238" s="28" t="s">
        <v>187</v>
      </c>
      <c r="AV238" s="28" t="s">
        <v>186</v>
      </c>
      <c r="AW238" s="28" t="s">
        <v>186</v>
      </c>
      <c r="AX238" s="28" t="s">
        <v>187</v>
      </c>
      <c r="AY238" s="28" t="s">
        <v>186</v>
      </c>
      <c r="BC238" s="28">
        <v>83130610145</v>
      </c>
      <c r="BD238" s="28">
        <v>89628423062</v>
      </c>
      <c r="BE238" s="28">
        <v>89618092138</v>
      </c>
      <c r="BF238" s="28">
        <v>82340787691</v>
      </c>
      <c r="BG238" s="28">
        <v>88221721506</v>
      </c>
      <c r="BH238" s="28">
        <v>89648635885</v>
      </c>
      <c r="BI238" s="28">
        <v>85722337097</v>
      </c>
      <c r="BJ238" s="28">
        <v>81368357191</v>
      </c>
      <c r="BK238" s="28">
        <v>85871341480</v>
      </c>
      <c r="BO238" s="39">
        <v>60191189</v>
      </c>
      <c r="BP238" s="18" t="s">
        <v>3602</v>
      </c>
      <c r="BQ238" s="37">
        <v>44957</v>
      </c>
      <c r="BR238" s="8">
        <f t="shared" si="0"/>
        <v>9</v>
      </c>
    </row>
    <row r="239" spans="1:73" ht="15.5">
      <c r="A239" s="4" t="str">
        <v>Reguler Periode ke-101 XI.D.2</v>
      </c>
      <c r="B239" s="4" t="s">
        <v>2073</v>
      </c>
      <c r="C239" s="38" t="s">
        <v>3603</v>
      </c>
      <c r="D239" s="4" t="s">
        <v>3592</v>
      </c>
      <c r="E239" s="4" t="s">
        <v>3604</v>
      </c>
      <c r="F239" s="4" t="s">
        <v>193</v>
      </c>
      <c r="G239" s="27" t="s">
        <v>3605</v>
      </c>
      <c r="H239" s="27" t="s">
        <v>3606</v>
      </c>
      <c r="I239" s="27" t="s">
        <v>3607</v>
      </c>
      <c r="J239" s="27" t="s">
        <v>3608</v>
      </c>
      <c r="K239" s="27" t="s">
        <v>3609</v>
      </c>
      <c r="L239" s="27" t="s">
        <v>3610</v>
      </c>
      <c r="M239" s="27" t="s">
        <v>3611</v>
      </c>
      <c r="N239" s="27" t="s">
        <v>3612</v>
      </c>
      <c r="O239" s="27" t="s">
        <v>3613</v>
      </c>
      <c r="S239" s="27">
        <v>1900003044</v>
      </c>
      <c r="T239" s="27">
        <v>1900006098</v>
      </c>
      <c r="U239" s="27">
        <v>1900010036</v>
      </c>
      <c r="V239" s="27">
        <v>1900012183</v>
      </c>
      <c r="W239" s="27">
        <v>1900018385</v>
      </c>
      <c r="X239" s="27">
        <v>1900019100</v>
      </c>
      <c r="Y239" s="27">
        <v>1900026156</v>
      </c>
      <c r="Z239" s="27">
        <v>1900027110</v>
      </c>
      <c r="AA239" s="27">
        <v>1900032048</v>
      </c>
      <c r="AC239" s="27"/>
      <c r="AD239" s="27"/>
      <c r="AE239" s="52" t="s">
        <v>178</v>
      </c>
      <c r="AF239" s="52" t="s">
        <v>745</v>
      </c>
      <c r="AG239" s="52" t="s">
        <v>532</v>
      </c>
      <c r="AH239" s="52" t="s">
        <v>885</v>
      </c>
      <c r="AI239" s="52" t="s">
        <v>179</v>
      </c>
      <c r="AJ239" s="52" t="s">
        <v>705</v>
      </c>
      <c r="AK239" s="52" t="s">
        <v>570</v>
      </c>
      <c r="AL239" s="52" t="s">
        <v>1763</v>
      </c>
      <c r="AM239" s="52" t="s">
        <v>732</v>
      </c>
      <c r="AN239" s="28"/>
      <c r="AO239" s="28"/>
      <c r="AQ239" s="28" t="s">
        <v>186</v>
      </c>
      <c r="AR239" s="28" t="s">
        <v>186</v>
      </c>
      <c r="AS239" s="28" t="s">
        <v>187</v>
      </c>
      <c r="AT239" s="28" t="s">
        <v>186</v>
      </c>
      <c r="AU239" s="28" t="s">
        <v>187</v>
      </c>
      <c r="AV239" s="28" t="s">
        <v>186</v>
      </c>
      <c r="AW239" s="28" t="s">
        <v>186</v>
      </c>
      <c r="AX239" s="28" t="s">
        <v>187</v>
      </c>
      <c r="AY239" s="28" t="s">
        <v>186</v>
      </c>
      <c r="BC239" s="28">
        <v>89512811320</v>
      </c>
      <c r="BD239" s="28">
        <v>87817584038</v>
      </c>
      <c r="BE239" s="28">
        <v>81292828080</v>
      </c>
      <c r="BF239" s="28">
        <v>82219156788</v>
      </c>
      <c r="BG239" s="28">
        <v>85799837793</v>
      </c>
      <c r="BH239" s="28">
        <v>85878166825</v>
      </c>
      <c r="BI239" s="28">
        <v>81229443739</v>
      </c>
      <c r="BJ239" s="28">
        <v>87781139234</v>
      </c>
      <c r="BK239" s="28">
        <v>85609909554</v>
      </c>
      <c r="BO239" s="39">
        <v>60191189</v>
      </c>
      <c r="BP239" s="18" t="s">
        <v>3614</v>
      </c>
      <c r="BQ239" s="37">
        <v>44957</v>
      </c>
      <c r="BR239" s="8">
        <f t="shared" si="0"/>
        <v>9</v>
      </c>
    </row>
    <row r="240" spans="1:73" ht="15.5">
      <c r="A240" s="4" t="str">
        <v>Reguler Periode ke-101 XI.D.3</v>
      </c>
      <c r="B240" s="4" t="s">
        <v>2073</v>
      </c>
      <c r="C240" s="38" t="s">
        <v>3615</v>
      </c>
      <c r="D240" s="4" t="s">
        <v>3592</v>
      </c>
      <c r="E240" s="4" t="s">
        <v>3616</v>
      </c>
      <c r="F240" s="4" t="s">
        <v>193</v>
      </c>
      <c r="G240" s="27" t="s">
        <v>3617</v>
      </c>
      <c r="H240" s="27" t="s">
        <v>3618</v>
      </c>
      <c r="I240" s="27" t="s">
        <v>3619</v>
      </c>
      <c r="J240" s="27" t="s">
        <v>3620</v>
      </c>
      <c r="K240" s="27" t="s">
        <v>3621</v>
      </c>
      <c r="L240" s="27" t="s">
        <v>3622</v>
      </c>
      <c r="M240" s="27" t="s">
        <v>3623</v>
      </c>
      <c r="N240" s="27" t="s">
        <v>3624</v>
      </c>
      <c r="O240" s="27" t="s">
        <v>3625</v>
      </c>
      <c r="S240" s="27">
        <v>1900003046</v>
      </c>
      <c r="T240" s="27">
        <v>1900006030</v>
      </c>
      <c r="U240" s="27">
        <v>1900010044</v>
      </c>
      <c r="V240" s="27">
        <v>1900012103</v>
      </c>
      <c r="W240" s="27">
        <v>1900018311</v>
      </c>
      <c r="X240" s="27">
        <v>1900019090</v>
      </c>
      <c r="Y240" s="27">
        <v>1900026001</v>
      </c>
      <c r="Z240" s="27">
        <v>1900027099</v>
      </c>
      <c r="AA240" s="27">
        <v>1900032081</v>
      </c>
      <c r="AE240" s="52" t="s">
        <v>178</v>
      </c>
      <c r="AF240" s="52" t="s">
        <v>745</v>
      </c>
      <c r="AG240" s="52" t="s">
        <v>532</v>
      </c>
      <c r="AH240" s="52" t="s">
        <v>885</v>
      </c>
      <c r="AI240" s="52" t="s">
        <v>179</v>
      </c>
      <c r="AJ240" s="52" t="s">
        <v>705</v>
      </c>
      <c r="AK240" s="52" t="s">
        <v>570</v>
      </c>
      <c r="AL240" s="52" t="s">
        <v>1763</v>
      </c>
      <c r="AM240" s="52" t="s">
        <v>732</v>
      </c>
      <c r="AN240" s="28"/>
      <c r="AO240" s="28"/>
      <c r="AQ240" s="28" t="s">
        <v>186</v>
      </c>
      <c r="AR240" s="28" t="s">
        <v>186</v>
      </c>
      <c r="AS240" s="28" t="s">
        <v>187</v>
      </c>
      <c r="AT240" s="28" t="s">
        <v>186</v>
      </c>
      <c r="AU240" s="28" t="s">
        <v>187</v>
      </c>
      <c r="AV240" s="28" t="s">
        <v>186</v>
      </c>
      <c r="AW240" s="28" t="s">
        <v>186</v>
      </c>
      <c r="AX240" s="28" t="s">
        <v>187</v>
      </c>
      <c r="AY240" s="28" t="s">
        <v>186</v>
      </c>
      <c r="BC240" s="28">
        <v>85776732535</v>
      </c>
      <c r="BD240" s="28">
        <v>82151384103</v>
      </c>
      <c r="BE240" s="28">
        <v>895359026350</v>
      </c>
      <c r="BF240" s="28">
        <v>81990359291</v>
      </c>
      <c r="BG240" s="43" t="s">
        <v>3626</v>
      </c>
      <c r="BH240" s="28">
        <v>8980810460</v>
      </c>
      <c r="BI240" s="28">
        <v>89630436499</v>
      </c>
      <c r="BJ240" s="28">
        <v>81354548852</v>
      </c>
      <c r="BK240" s="28">
        <v>89530259431</v>
      </c>
      <c r="BO240" s="39">
        <v>60191189</v>
      </c>
      <c r="BP240" s="18" t="s">
        <v>3627</v>
      </c>
      <c r="BQ240" s="37">
        <v>44957</v>
      </c>
      <c r="BR240" s="8">
        <f t="shared" si="0"/>
        <v>9</v>
      </c>
    </row>
    <row r="241" spans="1:73" ht="15.5">
      <c r="A241" s="44" t="str">
        <v>Reguler Periode ke-101 XII.A.1</v>
      </c>
      <c r="B241" s="44" t="s">
        <v>2073</v>
      </c>
      <c r="C241" s="45" t="s">
        <v>3628</v>
      </c>
      <c r="D241" s="44" t="s">
        <v>263</v>
      </c>
      <c r="E241" s="44" t="s">
        <v>3629</v>
      </c>
      <c r="F241" s="44" t="s">
        <v>193</v>
      </c>
      <c r="G241" s="46" t="s">
        <v>3630</v>
      </c>
      <c r="H241" s="46" t="s">
        <v>3631</v>
      </c>
      <c r="I241" s="46" t="s">
        <v>3632</v>
      </c>
      <c r="J241" s="46" t="s">
        <v>3633</v>
      </c>
      <c r="K241" s="46" t="s">
        <v>3634</v>
      </c>
      <c r="L241" s="46" t="s">
        <v>3635</v>
      </c>
      <c r="M241" s="46" t="s">
        <v>3636</v>
      </c>
      <c r="N241" s="46" t="s">
        <v>3637</v>
      </c>
      <c r="O241" s="46" t="s">
        <v>3638</v>
      </c>
      <c r="P241" s="44"/>
      <c r="Q241" s="44"/>
      <c r="R241" s="44"/>
      <c r="S241" s="46">
        <v>1900003093</v>
      </c>
      <c r="T241" s="46">
        <v>1900006103</v>
      </c>
      <c r="U241" s="46">
        <v>1900010185</v>
      </c>
      <c r="V241" s="46">
        <v>1900012150</v>
      </c>
      <c r="W241" s="46">
        <v>1900018305</v>
      </c>
      <c r="X241" s="46">
        <v>1900019069</v>
      </c>
      <c r="Y241" s="46">
        <v>1900026166</v>
      </c>
      <c r="Z241" s="46">
        <v>1900027067</v>
      </c>
      <c r="AA241" s="46">
        <v>1900032193</v>
      </c>
      <c r="AB241" s="44"/>
      <c r="AC241" s="44"/>
      <c r="AD241" s="44"/>
      <c r="AE241" s="47" t="s">
        <v>178</v>
      </c>
      <c r="AF241" s="47" t="s">
        <v>745</v>
      </c>
      <c r="AG241" s="47" t="s">
        <v>532</v>
      </c>
      <c r="AH241" s="47" t="s">
        <v>885</v>
      </c>
      <c r="AI241" s="47" t="s">
        <v>179</v>
      </c>
      <c r="AJ241" s="47" t="s">
        <v>705</v>
      </c>
      <c r="AK241" s="47" t="s">
        <v>570</v>
      </c>
      <c r="AL241" s="47" t="s">
        <v>1763</v>
      </c>
      <c r="AM241" s="47" t="s">
        <v>732</v>
      </c>
      <c r="AN241" s="44"/>
      <c r="AO241" s="44"/>
      <c r="AP241" s="44"/>
      <c r="AQ241" s="48" t="s">
        <v>186</v>
      </c>
      <c r="AR241" s="48" t="s">
        <v>186</v>
      </c>
      <c r="AS241" s="48" t="s">
        <v>187</v>
      </c>
      <c r="AT241" s="48" t="s">
        <v>186</v>
      </c>
      <c r="AU241" s="48" t="s">
        <v>187</v>
      </c>
      <c r="AV241" s="48" t="s">
        <v>186</v>
      </c>
      <c r="AW241" s="48" t="s">
        <v>186</v>
      </c>
      <c r="AX241" s="48" t="s">
        <v>187</v>
      </c>
      <c r="AY241" s="48" t="s">
        <v>186</v>
      </c>
      <c r="AZ241" s="44"/>
      <c r="BA241" s="44"/>
      <c r="BB241" s="44"/>
      <c r="BC241" s="48">
        <v>82288147009</v>
      </c>
      <c r="BD241" s="48">
        <v>85786669818</v>
      </c>
      <c r="BE241" s="48">
        <v>82232425811</v>
      </c>
      <c r="BF241" s="48">
        <v>85339785309</v>
      </c>
      <c r="BG241" s="48">
        <v>85727707993</v>
      </c>
      <c r="BH241" s="48">
        <v>87876835453</v>
      </c>
      <c r="BI241" s="48">
        <f>6287736973418 / 62895384214610</f>
        <v>9.9971358024670734E-2</v>
      </c>
      <c r="BJ241" s="48">
        <v>82143265919</v>
      </c>
      <c r="BK241" s="48">
        <v>82245359346</v>
      </c>
      <c r="BL241" s="44"/>
      <c r="BM241" s="44"/>
      <c r="BN241" s="44"/>
      <c r="BO241" s="49">
        <v>60150814</v>
      </c>
      <c r="BP241" s="50" t="s">
        <v>3639</v>
      </c>
      <c r="BQ241" s="51">
        <v>44957</v>
      </c>
      <c r="BR241" s="8">
        <f t="shared" si="0"/>
        <v>9</v>
      </c>
      <c r="BS241" s="44"/>
      <c r="BT241" s="44"/>
      <c r="BU241" s="44"/>
    </row>
    <row r="242" spans="1:73" ht="15.5">
      <c r="A242" s="4" t="str">
        <v>Reguler Periode ke-101 XII.A.2</v>
      </c>
      <c r="B242" s="4" t="s">
        <v>2073</v>
      </c>
      <c r="C242" s="38" t="s">
        <v>3640</v>
      </c>
      <c r="D242" s="4" t="s">
        <v>263</v>
      </c>
      <c r="E242" s="4" t="s">
        <v>3641</v>
      </c>
      <c r="F242" s="4" t="s">
        <v>193</v>
      </c>
      <c r="G242" s="27" t="s">
        <v>3642</v>
      </c>
      <c r="H242" s="27" t="s">
        <v>3643</v>
      </c>
      <c r="I242" s="27" t="s">
        <v>3644</v>
      </c>
      <c r="J242" s="27" t="s">
        <v>3645</v>
      </c>
      <c r="K242" s="27" t="s">
        <v>3646</v>
      </c>
      <c r="L242" s="27" t="s">
        <v>3647</v>
      </c>
      <c r="M242" s="27" t="s">
        <v>3648</v>
      </c>
      <c r="N242" s="27" t="s">
        <v>3649</v>
      </c>
      <c r="O242" s="27" t="s">
        <v>3650</v>
      </c>
      <c r="S242" s="27">
        <v>1900003041</v>
      </c>
      <c r="T242" s="27">
        <v>1900006062</v>
      </c>
      <c r="U242" s="27">
        <v>1900010275</v>
      </c>
      <c r="V242" s="27">
        <v>1900012133</v>
      </c>
      <c r="W242" s="27">
        <v>1900018296</v>
      </c>
      <c r="X242" s="27">
        <v>1900019060</v>
      </c>
      <c r="Y242" s="27">
        <v>1900026023</v>
      </c>
      <c r="Z242" s="27">
        <v>1900027120</v>
      </c>
      <c r="AA242" s="27">
        <v>1900032195</v>
      </c>
      <c r="AE242" s="27" t="s">
        <v>178</v>
      </c>
      <c r="AF242" s="27" t="s">
        <v>745</v>
      </c>
      <c r="AG242" s="27" t="s">
        <v>532</v>
      </c>
      <c r="AH242" s="27" t="s">
        <v>885</v>
      </c>
      <c r="AI242" s="27" t="s">
        <v>179</v>
      </c>
      <c r="AJ242" s="27" t="s">
        <v>705</v>
      </c>
      <c r="AK242" s="27" t="s">
        <v>570</v>
      </c>
      <c r="AL242" s="27" t="s">
        <v>1763</v>
      </c>
      <c r="AM242" s="27" t="s">
        <v>732</v>
      </c>
      <c r="AQ242" s="28" t="s">
        <v>186</v>
      </c>
      <c r="AR242" s="28" t="s">
        <v>186</v>
      </c>
      <c r="AS242" s="28" t="s">
        <v>187</v>
      </c>
      <c r="AT242" s="28" t="s">
        <v>186</v>
      </c>
      <c r="AU242" s="28" t="s">
        <v>187</v>
      </c>
      <c r="AV242" s="28" t="s">
        <v>186</v>
      </c>
      <c r="AW242" s="28" t="s">
        <v>186</v>
      </c>
      <c r="AX242" s="28" t="s">
        <v>187</v>
      </c>
      <c r="AY242" s="28" t="s">
        <v>186</v>
      </c>
      <c r="BC242" s="28">
        <v>89507332000</v>
      </c>
      <c r="BD242" s="28">
        <v>81278727892</v>
      </c>
      <c r="BE242" s="28">
        <v>81548638444</v>
      </c>
      <c r="BF242" s="28">
        <v>82292854295</v>
      </c>
      <c r="BG242" s="28">
        <v>82241566833</v>
      </c>
      <c r="BH242" s="28">
        <v>81291087250</v>
      </c>
      <c r="BI242" s="28">
        <v>85939810640</v>
      </c>
      <c r="BJ242" s="28">
        <v>81218205691</v>
      </c>
      <c r="BK242" s="28">
        <v>82271544793</v>
      </c>
      <c r="BO242" s="39">
        <v>60150814</v>
      </c>
      <c r="BP242" s="18" t="s">
        <v>3651</v>
      </c>
      <c r="BQ242" s="37">
        <v>44957</v>
      </c>
      <c r="BR242" s="8">
        <f t="shared" si="0"/>
        <v>9</v>
      </c>
    </row>
    <row r="243" spans="1:73" ht="15.5">
      <c r="A243" s="4" t="str">
        <v>Reguler Periode ke-101 XII.A.3</v>
      </c>
      <c r="B243" s="4" t="s">
        <v>2073</v>
      </c>
      <c r="C243" s="38" t="s">
        <v>3652</v>
      </c>
      <c r="D243" s="4" t="s">
        <v>263</v>
      </c>
      <c r="E243" s="4" t="s">
        <v>3653</v>
      </c>
      <c r="F243" s="4" t="s">
        <v>193</v>
      </c>
      <c r="G243" s="27" t="s">
        <v>3654</v>
      </c>
      <c r="H243" s="27" t="s">
        <v>3655</v>
      </c>
      <c r="I243" s="27" t="s">
        <v>3656</v>
      </c>
      <c r="J243" s="27" t="s">
        <v>3657</v>
      </c>
      <c r="K243" s="27" t="s">
        <v>3658</v>
      </c>
      <c r="L243" s="27" t="s">
        <v>3659</v>
      </c>
      <c r="M243" s="27" t="s">
        <v>3660</v>
      </c>
      <c r="N243" s="27" t="s">
        <v>3661</v>
      </c>
      <c r="O243" s="27" t="s">
        <v>3662</v>
      </c>
      <c r="S243" s="27">
        <v>1800026020</v>
      </c>
      <c r="T243" s="27">
        <v>1900003008</v>
      </c>
      <c r="U243" s="27">
        <v>1900006051</v>
      </c>
      <c r="V243" s="27">
        <v>1900010271</v>
      </c>
      <c r="W243" s="27">
        <v>1900012094</v>
      </c>
      <c r="X243" s="27">
        <v>1900018351</v>
      </c>
      <c r="Y243" s="27">
        <v>1900019149</v>
      </c>
      <c r="Z243" s="27">
        <v>1900028114</v>
      </c>
      <c r="AA243" s="27">
        <v>1900032202</v>
      </c>
      <c r="AE243" s="27" t="s">
        <v>570</v>
      </c>
      <c r="AF243" s="27" t="s">
        <v>178</v>
      </c>
      <c r="AG243" s="27" t="s">
        <v>745</v>
      </c>
      <c r="AH243" s="27" t="s">
        <v>532</v>
      </c>
      <c r="AI243" s="27" t="s">
        <v>885</v>
      </c>
      <c r="AJ243" s="27" t="s">
        <v>179</v>
      </c>
      <c r="AK243" s="27" t="s">
        <v>705</v>
      </c>
      <c r="AL243" s="27" t="s">
        <v>678</v>
      </c>
      <c r="AM243" s="27" t="s">
        <v>732</v>
      </c>
      <c r="AQ243" s="28" t="s">
        <v>186</v>
      </c>
      <c r="AR243" s="28" t="s">
        <v>186</v>
      </c>
      <c r="AS243" s="28" t="s">
        <v>186</v>
      </c>
      <c r="AT243" s="28" t="s">
        <v>187</v>
      </c>
      <c r="AU243" s="28" t="s">
        <v>186</v>
      </c>
      <c r="AV243" s="28" t="s">
        <v>187</v>
      </c>
      <c r="AW243" s="28" t="s">
        <v>186</v>
      </c>
      <c r="AX243" s="28" t="s">
        <v>187</v>
      </c>
      <c r="AY243" s="28" t="s">
        <v>186</v>
      </c>
      <c r="BC243" s="28">
        <v>85257880235</v>
      </c>
      <c r="BD243" s="28">
        <v>8993041523</v>
      </c>
      <c r="BE243" s="28">
        <v>82324799842</v>
      </c>
      <c r="BF243" s="28">
        <v>89648545985</v>
      </c>
      <c r="BG243" s="28">
        <v>81239034743</v>
      </c>
      <c r="BH243" s="28">
        <v>82278788474</v>
      </c>
      <c r="BI243" s="28">
        <v>85882433894</v>
      </c>
      <c r="BJ243" s="28">
        <v>81393246186</v>
      </c>
      <c r="BK243" s="28">
        <v>895321793425</v>
      </c>
      <c r="BO243" s="39">
        <v>60150814</v>
      </c>
      <c r="BP243" s="18" t="s">
        <v>3663</v>
      </c>
      <c r="BQ243" s="37">
        <v>44957</v>
      </c>
      <c r="BR243" s="8">
        <f t="shared" si="0"/>
        <v>9</v>
      </c>
    </row>
    <row r="244" spans="1:73" ht="15.5">
      <c r="A244" s="4" t="str">
        <v>Reguler Periode ke-101 XII.B.1</v>
      </c>
      <c r="B244" s="4" t="s">
        <v>2073</v>
      </c>
      <c r="C244" s="38" t="s">
        <v>3664</v>
      </c>
      <c r="D244" s="4" t="s">
        <v>3665</v>
      </c>
      <c r="E244" s="4" t="s">
        <v>3666</v>
      </c>
      <c r="F244" s="4" t="s">
        <v>193</v>
      </c>
      <c r="G244" s="27" t="s">
        <v>3667</v>
      </c>
      <c r="H244" s="27" t="s">
        <v>3668</v>
      </c>
      <c r="I244" s="27" t="s">
        <v>3669</v>
      </c>
      <c r="J244" s="27" t="s">
        <v>3670</v>
      </c>
      <c r="K244" s="27" t="s">
        <v>3671</v>
      </c>
      <c r="L244" s="27" t="s">
        <v>3672</v>
      </c>
      <c r="M244" s="27" t="s">
        <v>3673</v>
      </c>
      <c r="N244" s="27" t="s">
        <v>3674</v>
      </c>
      <c r="O244" s="27" t="s">
        <v>3675</v>
      </c>
      <c r="S244" s="27">
        <v>1900003067</v>
      </c>
      <c r="T244" s="27">
        <v>1900006080</v>
      </c>
      <c r="U244" s="27">
        <v>1900010234</v>
      </c>
      <c r="V244" s="27">
        <v>1900012242</v>
      </c>
      <c r="W244" s="27">
        <v>1900018300</v>
      </c>
      <c r="X244" s="27">
        <v>1900019038</v>
      </c>
      <c r="Y244" s="27">
        <v>1900026250</v>
      </c>
      <c r="Z244" s="27">
        <v>1900028066</v>
      </c>
      <c r="AA244" s="27">
        <v>1900032187</v>
      </c>
      <c r="AE244" s="52" t="s">
        <v>178</v>
      </c>
      <c r="AF244" s="52" t="s">
        <v>745</v>
      </c>
      <c r="AG244" s="52" t="s">
        <v>532</v>
      </c>
      <c r="AH244" s="52" t="s">
        <v>885</v>
      </c>
      <c r="AI244" s="52" t="s">
        <v>179</v>
      </c>
      <c r="AJ244" s="52" t="s">
        <v>705</v>
      </c>
      <c r="AK244" s="52" t="s">
        <v>570</v>
      </c>
      <c r="AL244" s="52" t="s">
        <v>678</v>
      </c>
      <c r="AM244" s="52" t="s">
        <v>732</v>
      </c>
      <c r="AQ244" s="28" t="s">
        <v>186</v>
      </c>
      <c r="AR244" s="28" t="s">
        <v>186</v>
      </c>
      <c r="AS244" s="28" t="s">
        <v>187</v>
      </c>
      <c r="AT244" s="28" t="s">
        <v>186</v>
      </c>
      <c r="AU244" s="28" t="s">
        <v>187</v>
      </c>
      <c r="AV244" s="28" t="s">
        <v>186</v>
      </c>
      <c r="AW244" s="28" t="s">
        <v>186</v>
      </c>
      <c r="AX244" s="28" t="s">
        <v>187</v>
      </c>
      <c r="AY244" s="28" t="s">
        <v>186</v>
      </c>
      <c r="BC244" s="28">
        <v>81268491364</v>
      </c>
      <c r="BD244" s="28">
        <v>89690842300</v>
      </c>
      <c r="BE244" s="28">
        <v>85786686960</v>
      </c>
      <c r="BF244" s="28">
        <v>8986179133</v>
      </c>
      <c r="BG244" s="28">
        <v>81578596164</v>
      </c>
      <c r="BH244" s="28">
        <v>88293093502</v>
      </c>
      <c r="BI244" s="28">
        <v>895423490997</v>
      </c>
      <c r="BJ244" s="28">
        <v>81328802686</v>
      </c>
      <c r="BK244" s="28">
        <v>882007540991</v>
      </c>
      <c r="BO244" s="39">
        <v>60191230</v>
      </c>
      <c r="BP244" s="18" t="s">
        <v>3676</v>
      </c>
      <c r="BQ244" s="37">
        <v>44957</v>
      </c>
      <c r="BR244" s="8">
        <f t="shared" si="0"/>
        <v>9</v>
      </c>
    </row>
    <row r="245" spans="1:73" ht="15.5">
      <c r="A245" s="4" t="str">
        <v>Reguler Periode ke-101 XII.B.2</v>
      </c>
      <c r="B245" s="4" t="s">
        <v>2073</v>
      </c>
      <c r="C245" s="38" t="s">
        <v>3677</v>
      </c>
      <c r="D245" s="4" t="s">
        <v>3665</v>
      </c>
      <c r="E245" s="4" t="s">
        <v>3678</v>
      </c>
      <c r="F245" s="4" t="s">
        <v>193</v>
      </c>
      <c r="G245" s="27" t="s">
        <v>3679</v>
      </c>
      <c r="H245" s="27" t="s">
        <v>3680</v>
      </c>
      <c r="I245" s="27" t="s">
        <v>3681</v>
      </c>
      <c r="J245" s="27" t="s">
        <v>3682</v>
      </c>
      <c r="K245" s="27" t="s">
        <v>3683</v>
      </c>
      <c r="L245" s="27" t="s">
        <v>3684</v>
      </c>
      <c r="M245" s="27" t="s">
        <v>3685</v>
      </c>
      <c r="N245" s="27" t="s">
        <v>3686</v>
      </c>
      <c r="O245" s="27" t="s">
        <v>3687</v>
      </c>
      <c r="S245" s="27">
        <v>1900003153</v>
      </c>
      <c r="T245" s="27">
        <v>1900006102</v>
      </c>
      <c r="U245" s="27">
        <v>1900010194</v>
      </c>
      <c r="V245" s="27">
        <v>1900012152</v>
      </c>
      <c r="W245" s="27">
        <v>1900018182</v>
      </c>
      <c r="X245" s="27">
        <v>1900019148</v>
      </c>
      <c r="Y245" s="27">
        <v>1900026296</v>
      </c>
      <c r="Z245" s="27">
        <v>1900028121</v>
      </c>
      <c r="AA245" s="27">
        <v>1900032133</v>
      </c>
      <c r="AE245" s="27" t="s">
        <v>178</v>
      </c>
      <c r="AF245" s="27" t="s">
        <v>745</v>
      </c>
      <c r="AG245" s="27" t="s">
        <v>532</v>
      </c>
      <c r="AH245" s="27" t="s">
        <v>885</v>
      </c>
      <c r="AI245" s="27" t="s">
        <v>179</v>
      </c>
      <c r="AJ245" s="27" t="s">
        <v>705</v>
      </c>
      <c r="AK245" s="27" t="s">
        <v>570</v>
      </c>
      <c r="AL245" s="27" t="s">
        <v>678</v>
      </c>
      <c r="AM245" s="27" t="s">
        <v>732</v>
      </c>
      <c r="AQ245" s="28" t="s">
        <v>186</v>
      </c>
      <c r="AR245" s="28" t="s">
        <v>186</v>
      </c>
      <c r="AS245" s="28" t="s">
        <v>187</v>
      </c>
      <c r="AT245" s="28" t="s">
        <v>186</v>
      </c>
      <c r="AU245" s="28" t="s">
        <v>187</v>
      </c>
      <c r="AV245" s="28" t="s">
        <v>186</v>
      </c>
      <c r="AW245" s="28" t="s">
        <v>186</v>
      </c>
      <c r="AX245" s="28" t="s">
        <v>187</v>
      </c>
      <c r="AY245" s="28" t="s">
        <v>186</v>
      </c>
      <c r="BC245" s="28">
        <v>85727096250</v>
      </c>
      <c r="BD245" s="28">
        <v>85712691266</v>
      </c>
      <c r="BE245" s="28">
        <v>81228529407</v>
      </c>
      <c r="BF245" s="28">
        <v>89609357505</v>
      </c>
      <c r="BG245" s="28">
        <v>895347001687</v>
      </c>
      <c r="BH245" s="28">
        <v>81927882094</v>
      </c>
      <c r="BI245" s="28">
        <v>895703132138</v>
      </c>
      <c r="BJ245" s="28">
        <v>82333399797</v>
      </c>
      <c r="BK245" s="28">
        <v>81359731845</v>
      </c>
      <c r="BO245" s="39">
        <v>60191230</v>
      </c>
      <c r="BP245" s="18" t="s">
        <v>3688</v>
      </c>
      <c r="BQ245" s="37">
        <v>44957</v>
      </c>
      <c r="BR245" s="8">
        <f t="shared" si="0"/>
        <v>9</v>
      </c>
    </row>
    <row r="246" spans="1:73" ht="15.5">
      <c r="A246" s="4" t="str">
        <v>Reguler Periode ke-101 XII.B.3</v>
      </c>
      <c r="B246" s="4" t="s">
        <v>2073</v>
      </c>
      <c r="C246" s="38" t="s">
        <v>3689</v>
      </c>
      <c r="D246" s="4" t="s">
        <v>3665</v>
      </c>
      <c r="E246" s="4" t="s">
        <v>3690</v>
      </c>
      <c r="F246" s="4" t="s">
        <v>193</v>
      </c>
      <c r="G246" s="27" t="s">
        <v>3691</v>
      </c>
      <c r="H246" s="27" t="s">
        <v>3692</v>
      </c>
      <c r="I246" s="27" t="s">
        <v>3693</v>
      </c>
      <c r="J246" s="27" t="s">
        <v>3694</v>
      </c>
      <c r="K246" s="27" t="s">
        <v>3695</v>
      </c>
      <c r="L246" s="27" t="s">
        <v>3696</v>
      </c>
      <c r="M246" s="27" t="s">
        <v>3697</v>
      </c>
      <c r="N246" s="27" t="s">
        <v>3698</v>
      </c>
      <c r="O246" s="27" t="s">
        <v>3699</v>
      </c>
      <c r="S246" s="27">
        <v>1800010087</v>
      </c>
      <c r="T246" s="27">
        <v>1900003022</v>
      </c>
      <c r="U246" s="27">
        <v>1900006021</v>
      </c>
      <c r="V246" s="27">
        <v>1900012153</v>
      </c>
      <c r="W246" s="27">
        <v>1900018138</v>
      </c>
      <c r="X246" s="27">
        <v>1900019105</v>
      </c>
      <c r="Y246" s="27">
        <v>1900026162</v>
      </c>
      <c r="Z246" s="27">
        <v>1900028039</v>
      </c>
      <c r="AA246" s="27">
        <v>1900032126</v>
      </c>
      <c r="AE246" s="27" t="s">
        <v>532</v>
      </c>
      <c r="AF246" s="27" t="s">
        <v>178</v>
      </c>
      <c r="AG246" s="27" t="s">
        <v>745</v>
      </c>
      <c r="AH246" s="27" t="s">
        <v>885</v>
      </c>
      <c r="AI246" s="27" t="s">
        <v>179</v>
      </c>
      <c r="AJ246" s="27" t="s">
        <v>705</v>
      </c>
      <c r="AK246" s="27" t="s">
        <v>570</v>
      </c>
      <c r="AL246" s="27" t="s">
        <v>678</v>
      </c>
      <c r="AM246" s="27" t="s">
        <v>732</v>
      </c>
      <c r="AQ246" s="28" t="s">
        <v>187</v>
      </c>
      <c r="AR246" s="28" t="s">
        <v>186</v>
      </c>
      <c r="AS246" s="28" t="s">
        <v>186</v>
      </c>
      <c r="AT246" s="28" t="s">
        <v>186</v>
      </c>
      <c r="AU246" s="28" t="s">
        <v>187</v>
      </c>
      <c r="AV246" s="28" t="s">
        <v>186</v>
      </c>
      <c r="AW246" s="28" t="s">
        <v>186</v>
      </c>
      <c r="AX246" s="28" t="s">
        <v>187</v>
      </c>
      <c r="AY246" s="28" t="s">
        <v>186</v>
      </c>
      <c r="BC246" s="28">
        <v>895421383864</v>
      </c>
      <c r="BD246" s="28">
        <v>8979145834</v>
      </c>
      <c r="BE246" s="28">
        <v>82289573191</v>
      </c>
      <c r="BF246" s="28">
        <v>82298540339</v>
      </c>
      <c r="BG246" s="28">
        <v>81288793122</v>
      </c>
      <c r="BH246" s="28">
        <v>87727729399</v>
      </c>
      <c r="BI246" s="28">
        <v>81326118401</v>
      </c>
      <c r="BJ246" s="28">
        <v>81373692040</v>
      </c>
      <c r="BK246" s="28">
        <v>85775967250</v>
      </c>
      <c r="BO246" s="39">
        <v>60191230</v>
      </c>
      <c r="BP246" s="18" t="s">
        <v>3700</v>
      </c>
      <c r="BQ246" s="37">
        <v>44957</v>
      </c>
      <c r="BR246" s="8">
        <f t="shared" si="0"/>
        <v>9</v>
      </c>
    </row>
    <row r="247" spans="1:73" ht="15.5">
      <c r="A247" s="4" t="str">
        <v>Reguler Periode ke-101 XII.C.1</v>
      </c>
      <c r="B247" s="4" t="s">
        <v>2073</v>
      </c>
      <c r="C247" s="38" t="s">
        <v>3701</v>
      </c>
      <c r="D247" s="4" t="s">
        <v>3702</v>
      </c>
      <c r="E247" s="4" t="s">
        <v>3703</v>
      </c>
      <c r="F247" s="4" t="s">
        <v>193</v>
      </c>
      <c r="G247" s="27" t="s">
        <v>3704</v>
      </c>
      <c r="H247" s="27" t="s">
        <v>3705</v>
      </c>
      <c r="I247" s="27" t="s">
        <v>3706</v>
      </c>
      <c r="J247" s="27" t="s">
        <v>3707</v>
      </c>
      <c r="K247" s="27" t="s">
        <v>3708</v>
      </c>
      <c r="L247" s="27" t="s">
        <v>3709</v>
      </c>
      <c r="M247" s="27" t="s">
        <v>3710</v>
      </c>
      <c r="N247" s="27" t="s">
        <v>3711</v>
      </c>
      <c r="O247" s="27" t="s">
        <v>3712</v>
      </c>
      <c r="S247" s="27">
        <v>1900003131</v>
      </c>
      <c r="T247" s="27">
        <v>1900006090</v>
      </c>
      <c r="U247" s="27">
        <v>1900010293</v>
      </c>
      <c r="V247" s="27">
        <v>1900012066</v>
      </c>
      <c r="W247" s="27">
        <v>1900018364</v>
      </c>
      <c r="X247" s="27">
        <v>1900019006</v>
      </c>
      <c r="Y247" s="27">
        <v>1900026069</v>
      </c>
      <c r="Z247" s="27">
        <v>1900028110</v>
      </c>
      <c r="AA247" s="27">
        <v>1900032234</v>
      </c>
      <c r="AE247" s="52" t="s">
        <v>178</v>
      </c>
      <c r="AF247" s="52" t="s">
        <v>745</v>
      </c>
      <c r="AG247" s="52" t="s">
        <v>532</v>
      </c>
      <c r="AH247" s="52" t="s">
        <v>885</v>
      </c>
      <c r="AI247" s="52" t="s">
        <v>179</v>
      </c>
      <c r="AJ247" s="52" t="s">
        <v>705</v>
      </c>
      <c r="AK247" s="52" t="s">
        <v>570</v>
      </c>
      <c r="AL247" s="52" t="s">
        <v>678</v>
      </c>
      <c r="AM247" s="52" t="s">
        <v>732</v>
      </c>
      <c r="AQ247" s="28" t="s">
        <v>186</v>
      </c>
      <c r="AR247" s="28" t="s">
        <v>186</v>
      </c>
      <c r="AS247" s="28" t="s">
        <v>187</v>
      </c>
      <c r="AT247" s="28" t="s">
        <v>186</v>
      </c>
      <c r="AU247" s="28" t="s">
        <v>187</v>
      </c>
      <c r="AV247" s="28" t="s">
        <v>186</v>
      </c>
      <c r="AW247" s="28" t="s">
        <v>186</v>
      </c>
      <c r="AX247" s="28" t="s">
        <v>187</v>
      </c>
      <c r="AY247" s="28" t="s">
        <v>186</v>
      </c>
      <c r="BC247" s="28">
        <v>85869876739</v>
      </c>
      <c r="BD247" s="28">
        <v>895335686059</v>
      </c>
      <c r="BE247" s="28">
        <v>81553932791</v>
      </c>
      <c r="BF247" s="28">
        <v>83877793666</v>
      </c>
      <c r="BG247" s="28">
        <v>82334630457</v>
      </c>
      <c r="BH247" s="28">
        <v>85256059531</v>
      </c>
      <c r="BI247" s="28">
        <v>81393940374</v>
      </c>
      <c r="BJ247" s="28">
        <v>895329870002</v>
      </c>
      <c r="BK247" s="28">
        <v>8978401864</v>
      </c>
      <c r="BO247" s="39">
        <v>60191183</v>
      </c>
      <c r="BP247" s="18" t="s">
        <v>3713</v>
      </c>
      <c r="BQ247" s="37">
        <v>44957</v>
      </c>
      <c r="BR247" s="8">
        <f t="shared" si="0"/>
        <v>9</v>
      </c>
    </row>
    <row r="248" spans="1:73" ht="15.5">
      <c r="A248" s="4" t="str">
        <v>Reguler Periode ke-101 XII.C.2</v>
      </c>
      <c r="B248" s="4" t="s">
        <v>2073</v>
      </c>
      <c r="C248" s="38" t="s">
        <v>3714</v>
      </c>
      <c r="D248" s="4" t="s">
        <v>3702</v>
      </c>
      <c r="E248" s="4" t="s">
        <v>3715</v>
      </c>
      <c r="F248" s="4" t="s">
        <v>193</v>
      </c>
      <c r="G248" s="27" t="s">
        <v>3716</v>
      </c>
      <c r="H248" s="27" t="s">
        <v>3717</v>
      </c>
      <c r="I248" s="27" t="s">
        <v>3718</v>
      </c>
      <c r="J248" s="27" t="s">
        <v>3719</v>
      </c>
      <c r="K248" s="27" t="s">
        <v>3720</v>
      </c>
      <c r="L248" s="27" t="s">
        <v>3721</v>
      </c>
      <c r="M248" s="27" t="s">
        <v>3722</v>
      </c>
      <c r="N248" s="27" t="s">
        <v>3723</v>
      </c>
      <c r="O248" s="27" t="s">
        <v>3724</v>
      </c>
      <c r="S248" s="27">
        <v>1900003096</v>
      </c>
      <c r="T248" s="27">
        <v>1900006012</v>
      </c>
      <c r="U248" s="27">
        <v>1900010191</v>
      </c>
      <c r="V248" s="27">
        <v>1900012228</v>
      </c>
      <c r="W248" s="27">
        <v>1900018283</v>
      </c>
      <c r="X248" s="27">
        <v>1900019080</v>
      </c>
      <c r="Y248" s="27">
        <v>1900026126</v>
      </c>
      <c r="Z248" s="27">
        <v>1900028122</v>
      </c>
      <c r="AA248" s="27">
        <v>1900032101</v>
      </c>
      <c r="AE248" s="52" t="s">
        <v>178</v>
      </c>
      <c r="AF248" s="52" t="s">
        <v>745</v>
      </c>
      <c r="AG248" s="52" t="s">
        <v>532</v>
      </c>
      <c r="AH248" s="52" t="s">
        <v>885</v>
      </c>
      <c r="AI248" s="52" t="s">
        <v>179</v>
      </c>
      <c r="AJ248" s="52" t="s">
        <v>705</v>
      </c>
      <c r="AK248" s="52" t="s">
        <v>570</v>
      </c>
      <c r="AL248" s="52" t="s">
        <v>678</v>
      </c>
      <c r="AM248" s="52" t="s">
        <v>732</v>
      </c>
      <c r="AT248" s="28"/>
      <c r="BC248" s="28">
        <v>81314268424</v>
      </c>
      <c r="BD248" s="28">
        <v>81542951185</v>
      </c>
      <c r="BE248" s="28">
        <v>87737585615</v>
      </c>
      <c r="BF248" s="28">
        <v>81227516368</v>
      </c>
      <c r="BG248" s="28">
        <v>85753489168</v>
      </c>
      <c r="BH248" s="28">
        <v>81379290196</v>
      </c>
      <c r="BI248" s="28">
        <v>895346247775</v>
      </c>
      <c r="BJ248" s="28">
        <v>85237864669</v>
      </c>
      <c r="BK248" s="28">
        <v>85664780695</v>
      </c>
      <c r="BO248" s="39">
        <v>60191183</v>
      </c>
      <c r="BP248" s="18" t="s">
        <v>3725</v>
      </c>
      <c r="BQ248" s="37">
        <v>44957</v>
      </c>
      <c r="BR248" s="8">
        <f t="shared" si="0"/>
        <v>9</v>
      </c>
    </row>
    <row r="249" spans="1:73" ht="15.5">
      <c r="A249" s="4" t="str">
        <v>Reguler Periode ke-101 XII.C.3</v>
      </c>
      <c r="B249" s="4" t="s">
        <v>2073</v>
      </c>
      <c r="C249" s="38" t="s">
        <v>3726</v>
      </c>
      <c r="D249" s="4" t="s">
        <v>3702</v>
      </c>
      <c r="E249" s="4" t="s">
        <v>3727</v>
      </c>
      <c r="F249" s="4" t="s">
        <v>193</v>
      </c>
      <c r="G249" s="27" t="s">
        <v>3728</v>
      </c>
      <c r="H249" s="27" t="s">
        <v>3729</v>
      </c>
      <c r="I249" s="27" t="s">
        <v>3730</v>
      </c>
      <c r="J249" s="27" t="s">
        <v>3731</v>
      </c>
      <c r="K249" s="27" t="s">
        <v>3732</v>
      </c>
      <c r="L249" s="27" t="s">
        <v>3733</v>
      </c>
      <c r="M249" s="27" t="s">
        <v>3734</v>
      </c>
      <c r="N249" s="27" t="s">
        <v>3735</v>
      </c>
      <c r="O249" s="27" t="s">
        <v>3736</v>
      </c>
      <c r="S249" s="27">
        <v>1900003161</v>
      </c>
      <c r="T249" s="27">
        <v>1900006092</v>
      </c>
      <c r="U249" s="27">
        <v>1900010236</v>
      </c>
      <c r="V249" s="27">
        <v>1900012248</v>
      </c>
      <c r="W249" s="27">
        <v>1900018271</v>
      </c>
      <c r="X249" s="27">
        <v>1900019054</v>
      </c>
      <c r="Y249" s="27">
        <v>1900026158</v>
      </c>
      <c r="Z249" s="27">
        <v>1900028034</v>
      </c>
      <c r="AA249" s="27">
        <v>1900032200</v>
      </c>
      <c r="AE249" s="52" t="s">
        <v>178</v>
      </c>
      <c r="AF249" s="52" t="s">
        <v>745</v>
      </c>
      <c r="AG249" s="52" t="s">
        <v>532</v>
      </c>
      <c r="AH249" s="52" t="s">
        <v>885</v>
      </c>
      <c r="AI249" s="52" t="s">
        <v>179</v>
      </c>
      <c r="AJ249" s="52" t="s">
        <v>705</v>
      </c>
      <c r="AK249" s="52" t="s">
        <v>570</v>
      </c>
      <c r="AL249" s="52" t="s">
        <v>678</v>
      </c>
      <c r="AM249" s="52" t="s">
        <v>732</v>
      </c>
      <c r="AS249" s="28"/>
      <c r="AT249" s="28"/>
      <c r="BB249" s="28"/>
      <c r="BC249" s="28">
        <v>81228842832</v>
      </c>
      <c r="BD249" s="28" t="s">
        <v>3737</v>
      </c>
      <c r="BE249" s="28">
        <v>81368871785</v>
      </c>
      <c r="BF249" s="28" t="s">
        <v>3738</v>
      </c>
      <c r="BG249" s="28">
        <f>6281345968914</f>
        <v>6281345968914</v>
      </c>
      <c r="BH249" s="28">
        <v>82276393638</v>
      </c>
      <c r="BI249" s="28">
        <v>82299254455</v>
      </c>
      <c r="BJ249" s="28">
        <v>87778663355</v>
      </c>
      <c r="BK249" s="28">
        <v>87830369000</v>
      </c>
      <c r="BO249" s="39">
        <v>60191183</v>
      </c>
      <c r="BP249" s="18" t="s">
        <v>3739</v>
      </c>
      <c r="BQ249" s="37">
        <v>44957</v>
      </c>
      <c r="BR249" s="8">
        <f t="shared" si="0"/>
        <v>9</v>
      </c>
    </row>
    <row r="250" spans="1:73" ht="15.5">
      <c r="A250" s="4" t="str">
        <v>Reguler Periode ke-101 XII.D.1</v>
      </c>
      <c r="B250" s="4" t="s">
        <v>2073</v>
      </c>
      <c r="C250" s="38" t="s">
        <v>3740</v>
      </c>
      <c r="D250" s="4" t="s">
        <v>3741</v>
      </c>
      <c r="E250" s="4" t="s">
        <v>3742</v>
      </c>
      <c r="F250" s="4" t="s">
        <v>193</v>
      </c>
      <c r="G250" s="27" t="s">
        <v>3743</v>
      </c>
      <c r="H250" s="27" t="s">
        <v>3744</v>
      </c>
      <c r="I250" s="27" t="s">
        <v>3745</v>
      </c>
      <c r="J250" s="27" t="s">
        <v>3746</v>
      </c>
      <c r="K250" s="27" t="s">
        <v>3747</v>
      </c>
      <c r="L250" s="27" t="s">
        <v>3748</v>
      </c>
      <c r="M250" s="27" t="s">
        <v>3749</v>
      </c>
      <c r="N250" s="27" t="s">
        <v>3750</v>
      </c>
      <c r="O250" s="27" t="s">
        <v>3751</v>
      </c>
      <c r="S250" s="27">
        <v>1900003075</v>
      </c>
      <c r="T250" s="27">
        <v>1900006050</v>
      </c>
      <c r="U250" s="27">
        <v>1900010214</v>
      </c>
      <c r="V250" s="27">
        <v>1900012083</v>
      </c>
      <c r="W250" s="27">
        <v>1900018356</v>
      </c>
      <c r="X250" s="27">
        <v>1900019093</v>
      </c>
      <c r="Y250" s="27">
        <v>1900026045</v>
      </c>
      <c r="Z250" s="27">
        <v>1900028047</v>
      </c>
      <c r="AA250" s="27">
        <v>1900032115</v>
      </c>
      <c r="AE250" s="52" t="s">
        <v>178</v>
      </c>
      <c r="AF250" s="52" t="s">
        <v>745</v>
      </c>
      <c r="AG250" s="52" t="s">
        <v>532</v>
      </c>
      <c r="AH250" s="52" t="s">
        <v>885</v>
      </c>
      <c r="AI250" s="52" t="s">
        <v>179</v>
      </c>
      <c r="AJ250" s="52" t="s">
        <v>705</v>
      </c>
      <c r="AK250" s="52" t="s">
        <v>570</v>
      </c>
      <c r="AL250" s="52" t="s">
        <v>678</v>
      </c>
      <c r="AM250" s="52" t="s">
        <v>732</v>
      </c>
      <c r="AR250" s="28"/>
      <c r="AS250" s="28"/>
      <c r="AT250" s="28"/>
      <c r="BB250" s="28"/>
      <c r="BC250" s="28">
        <v>8988999584</v>
      </c>
      <c r="BD250" s="28">
        <v>81326006360</v>
      </c>
      <c r="BE250" s="28">
        <v>85701085560</v>
      </c>
      <c r="BF250" s="28">
        <v>82127442208</v>
      </c>
      <c r="BG250" s="28">
        <v>85156264959</v>
      </c>
      <c r="BH250" s="28">
        <v>82296840943</v>
      </c>
      <c r="BI250" s="28">
        <v>85642678528</v>
      </c>
      <c r="BJ250" s="28">
        <v>85225226351</v>
      </c>
      <c r="BK250" s="28">
        <v>85758036203</v>
      </c>
      <c r="BO250" s="39">
        <v>60191232</v>
      </c>
      <c r="BP250" s="18" t="s">
        <v>3752</v>
      </c>
      <c r="BQ250" s="37">
        <v>44957</v>
      </c>
      <c r="BR250" s="8">
        <f t="shared" si="0"/>
        <v>9</v>
      </c>
    </row>
    <row r="251" spans="1:73" ht="15.5">
      <c r="A251" s="4" t="str">
        <v>Reguler Periode ke-101 XII.D.2</v>
      </c>
      <c r="B251" s="4" t="s">
        <v>2073</v>
      </c>
      <c r="C251" s="38" t="s">
        <v>3753</v>
      </c>
      <c r="D251" s="4" t="s">
        <v>3741</v>
      </c>
      <c r="E251" s="4" t="s">
        <v>3754</v>
      </c>
      <c r="F251" s="4" t="s">
        <v>193</v>
      </c>
      <c r="G251" s="27" t="s">
        <v>3755</v>
      </c>
      <c r="H251" s="27" t="s">
        <v>3756</v>
      </c>
      <c r="I251" s="27" t="s">
        <v>3757</v>
      </c>
      <c r="J251" s="27" t="s">
        <v>3758</v>
      </c>
      <c r="K251" s="27" t="s">
        <v>3759</v>
      </c>
      <c r="L251" s="27" t="s">
        <v>3760</v>
      </c>
      <c r="M251" s="27" t="s">
        <v>3761</v>
      </c>
      <c r="N251" s="27" t="s">
        <v>3762</v>
      </c>
      <c r="O251" s="27" t="s">
        <v>3763</v>
      </c>
      <c r="S251" s="27">
        <v>1900003125</v>
      </c>
      <c r="T251" s="27">
        <v>1900006045</v>
      </c>
      <c r="U251" s="27">
        <v>1900010105</v>
      </c>
      <c r="V251" s="27">
        <v>1900012159</v>
      </c>
      <c r="W251" s="27">
        <v>1900018192</v>
      </c>
      <c r="X251" s="27">
        <v>1900019052</v>
      </c>
      <c r="Y251" s="27">
        <v>1900026197</v>
      </c>
      <c r="Z251" s="27">
        <v>1900028031</v>
      </c>
      <c r="AA251" s="27">
        <v>1900032068</v>
      </c>
      <c r="AE251" s="52" t="s">
        <v>178</v>
      </c>
      <c r="AF251" s="52" t="s">
        <v>745</v>
      </c>
      <c r="AG251" s="52" t="s">
        <v>532</v>
      </c>
      <c r="AH251" s="52" t="s">
        <v>885</v>
      </c>
      <c r="AI251" s="52" t="s">
        <v>179</v>
      </c>
      <c r="AJ251" s="52" t="s">
        <v>705</v>
      </c>
      <c r="AK251" s="52" t="s">
        <v>570</v>
      </c>
      <c r="AL251" s="52" t="s">
        <v>678</v>
      </c>
      <c r="AM251" s="52" t="s">
        <v>732</v>
      </c>
      <c r="AR251" s="28"/>
      <c r="AS251" s="28"/>
      <c r="AT251" s="28"/>
      <c r="BB251" s="28"/>
      <c r="BC251" s="28">
        <v>82138596254</v>
      </c>
      <c r="BD251" s="28">
        <v>82211979192</v>
      </c>
      <c r="BE251" s="28">
        <v>81238682751</v>
      </c>
      <c r="BF251" s="28">
        <v>82296651673</v>
      </c>
      <c r="BG251" s="28">
        <v>85786203679</v>
      </c>
      <c r="BH251" s="28">
        <v>81242354162</v>
      </c>
      <c r="BI251" s="28">
        <v>88902883166</v>
      </c>
      <c r="BJ251" s="28">
        <v>81334805206</v>
      </c>
      <c r="BK251" s="28">
        <v>85338895108</v>
      </c>
      <c r="BO251" s="39">
        <v>60191232</v>
      </c>
      <c r="BP251" s="18" t="s">
        <v>3764</v>
      </c>
      <c r="BQ251" s="37">
        <v>44957</v>
      </c>
      <c r="BR251" s="8">
        <f t="shared" si="0"/>
        <v>9</v>
      </c>
    </row>
    <row r="252" spans="1:73" ht="15.5">
      <c r="A252" s="4" t="str">
        <v>Reguler Periode ke-101 XII.D.3</v>
      </c>
      <c r="B252" s="4" t="s">
        <v>2073</v>
      </c>
      <c r="C252" s="38" t="s">
        <v>3765</v>
      </c>
      <c r="D252" s="4" t="s">
        <v>3741</v>
      </c>
      <c r="E252" s="4" t="s">
        <v>3766</v>
      </c>
      <c r="F252" s="4" t="s">
        <v>193</v>
      </c>
      <c r="G252" s="27" t="s">
        <v>3767</v>
      </c>
      <c r="H252" s="27" t="s">
        <v>3768</v>
      </c>
      <c r="I252" s="27" t="s">
        <v>3769</v>
      </c>
      <c r="J252" s="27" t="s">
        <v>3770</v>
      </c>
      <c r="K252" s="27" t="s">
        <v>3771</v>
      </c>
      <c r="L252" s="27" t="s">
        <v>3772</v>
      </c>
      <c r="M252" s="27" t="s">
        <v>3773</v>
      </c>
      <c r="N252" s="27" t="s">
        <v>3774</v>
      </c>
      <c r="O252" s="27" t="s">
        <v>3775</v>
      </c>
      <c r="S252" s="27">
        <v>1900003042</v>
      </c>
      <c r="T252" s="27">
        <v>1900006004</v>
      </c>
      <c r="U252" s="27">
        <v>1900010011</v>
      </c>
      <c r="V252" s="27">
        <v>1900012227</v>
      </c>
      <c r="W252" s="27">
        <v>1900018111</v>
      </c>
      <c r="X252" s="27">
        <v>1900019116</v>
      </c>
      <c r="Y252" s="27">
        <v>1900026237</v>
      </c>
      <c r="Z252" s="27">
        <v>1900028126</v>
      </c>
      <c r="AA252" s="27">
        <v>1900032059</v>
      </c>
      <c r="AE252" s="27" t="s">
        <v>178</v>
      </c>
      <c r="AF252" s="27" t="s">
        <v>745</v>
      </c>
      <c r="AG252" s="27" t="s">
        <v>532</v>
      </c>
      <c r="AH252" s="27" t="s">
        <v>885</v>
      </c>
      <c r="AI252" s="27" t="s">
        <v>179</v>
      </c>
      <c r="AJ252" s="27" t="s">
        <v>705</v>
      </c>
      <c r="AK252" s="27" t="s">
        <v>570</v>
      </c>
      <c r="AL252" s="27" t="s">
        <v>678</v>
      </c>
      <c r="AM252" s="27" t="s">
        <v>732</v>
      </c>
      <c r="AS252" s="28"/>
      <c r="AT252" s="28"/>
      <c r="BB252" s="28"/>
      <c r="BC252" s="28">
        <v>83805939776</v>
      </c>
      <c r="BD252" s="28">
        <v>89674583299</v>
      </c>
      <c r="BE252" s="28">
        <v>85156682395</v>
      </c>
      <c r="BF252" s="28">
        <v>85742421381</v>
      </c>
      <c r="BG252" s="28">
        <v>895401560295</v>
      </c>
      <c r="BH252" s="28">
        <v>81393185312</v>
      </c>
      <c r="BI252" s="28">
        <v>85641419377</v>
      </c>
      <c r="BJ252" s="28">
        <v>89505941960</v>
      </c>
      <c r="BK252" s="28">
        <v>82340568907</v>
      </c>
      <c r="BO252" s="39">
        <v>60191232</v>
      </c>
      <c r="BP252" s="18" t="s">
        <v>3776</v>
      </c>
      <c r="BQ252" s="37">
        <v>44957</v>
      </c>
      <c r="BR252" s="8">
        <f t="shared" si="0"/>
        <v>9</v>
      </c>
    </row>
    <row r="253" spans="1:73" ht="15.5">
      <c r="A253" s="4" t="str">
        <v>Reguler Periode ke-101 XIII.A.1</v>
      </c>
      <c r="B253" s="4" t="s">
        <v>2073</v>
      </c>
      <c r="C253" s="38" t="s">
        <v>3777</v>
      </c>
      <c r="D253" s="4" t="s">
        <v>3778</v>
      </c>
      <c r="E253" s="4" t="s">
        <v>3779</v>
      </c>
      <c r="F253" s="4" t="s">
        <v>193</v>
      </c>
      <c r="G253" s="27" t="s">
        <v>3780</v>
      </c>
      <c r="H253" s="27" t="s">
        <v>3781</v>
      </c>
      <c r="I253" s="27" t="s">
        <v>3782</v>
      </c>
      <c r="J253" s="27" t="s">
        <v>3783</v>
      </c>
      <c r="K253" s="27" t="s">
        <v>3784</v>
      </c>
      <c r="L253" s="27" t="s">
        <v>3785</v>
      </c>
      <c r="M253" s="27" t="s">
        <v>3786</v>
      </c>
      <c r="N253" s="27" t="s">
        <v>3787</v>
      </c>
      <c r="O253" s="27" t="s">
        <v>3788</v>
      </c>
      <c r="S253" s="27">
        <v>1900003072</v>
      </c>
      <c r="T253" s="27">
        <v>1900006083</v>
      </c>
      <c r="U253" s="27">
        <v>1900010241</v>
      </c>
      <c r="V253" s="27">
        <v>1900012085</v>
      </c>
      <c r="W253" s="27">
        <v>1900018254</v>
      </c>
      <c r="X253" s="27">
        <v>1900019185</v>
      </c>
      <c r="Y253" s="27">
        <v>1900027073</v>
      </c>
      <c r="Z253" s="27">
        <v>1900028063</v>
      </c>
      <c r="AA253" s="27">
        <v>1900032149</v>
      </c>
      <c r="AE253" s="52" t="s">
        <v>178</v>
      </c>
      <c r="AF253" s="52" t="s">
        <v>745</v>
      </c>
      <c r="AG253" s="52" t="s">
        <v>532</v>
      </c>
      <c r="AH253" s="52" t="s">
        <v>885</v>
      </c>
      <c r="AI253" s="52" t="s">
        <v>179</v>
      </c>
      <c r="AJ253" s="52" t="s">
        <v>705</v>
      </c>
      <c r="AK253" s="52" t="s">
        <v>1763</v>
      </c>
      <c r="AL253" s="52" t="s">
        <v>678</v>
      </c>
      <c r="AM253" s="52" t="s">
        <v>732</v>
      </c>
      <c r="AR253" s="28"/>
      <c r="AS253" s="28"/>
      <c r="AT253" s="28"/>
      <c r="BB253" s="28"/>
      <c r="BC253" s="28">
        <v>85263699941</v>
      </c>
      <c r="BD253" s="28">
        <v>82134171661</v>
      </c>
      <c r="BE253" s="28">
        <v>89608666776</v>
      </c>
      <c r="BF253" s="28">
        <v>83869791444</v>
      </c>
      <c r="BG253" s="28">
        <v>87718082631</v>
      </c>
      <c r="BH253" s="28">
        <v>895359667894</v>
      </c>
      <c r="BI253" s="28">
        <v>81257531308</v>
      </c>
      <c r="BJ253" s="28">
        <v>85768187749</v>
      </c>
      <c r="BK253" s="28">
        <v>85741810468</v>
      </c>
      <c r="BO253" s="39">
        <v>60040503</v>
      </c>
      <c r="BP253" s="18" t="s">
        <v>3789</v>
      </c>
      <c r="BQ253" s="37">
        <v>44957</v>
      </c>
      <c r="BR253" s="8">
        <f t="shared" si="0"/>
        <v>9</v>
      </c>
    </row>
    <row r="254" spans="1:73" ht="15.5">
      <c r="A254" s="4" t="str">
        <v>Reguler Periode ke-101 XIII.A.2</v>
      </c>
      <c r="B254" s="4" t="s">
        <v>2073</v>
      </c>
      <c r="C254" s="38" t="s">
        <v>3790</v>
      </c>
      <c r="D254" s="4" t="s">
        <v>3778</v>
      </c>
      <c r="E254" s="4" t="s">
        <v>3791</v>
      </c>
      <c r="F254" s="4" t="s">
        <v>193</v>
      </c>
      <c r="G254" s="27" t="s">
        <v>3792</v>
      </c>
      <c r="H254" s="27" t="s">
        <v>3793</v>
      </c>
      <c r="I254" s="27" t="s">
        <v>3794</v>
      </c>
      <c r="J254" s="27" t="s">
        <v>3795</v>
      </c>
      <c r="K254" s="27" t="s">
        <v>3796</v>
      </c>
      <c r="L254" s="27" t="s">
        <v>3797</v>
      </c>
      <c r="M254" s="27" t="s">
        <v>3798</v>
      </c>
      <c r="N254" s="27" t="s">
        <v>3799</v>
      </c>
      <c r="O254" s="27" t="s">
        <v>3800</v>
      </c>
      <c r="S254" s="27">
        <v>1900003064</v>
      </c>
      <c r="T254" s="27">
        <v>1900006002</v>
      </c>
      <c r="U254" s="27">
        <v>1900010074</v>
      </c>
      <c r="V254" s="27">
        <v>1900012200</v>
      </c>
      <c r="W254" s="27">
        <v>1900018081</v>
      </c>
      <c r="X254" s="27">
        <v>1900019133</v>
      </c>
      <c r="Y254" s="27">
        <v>1900027043</v>
      </c>
      <c r="Z254" s="27">
        <v>1900028032</v>
      </c>
      <c r="AA254" s="27">
        <v>1900032089</v>
      </c>
      <c r="AE254" s="27" t="s">
        <v>178</v>
      </c>
      <c r="AF254" s="27" t="s">
        <v>745</v>
      </c>
      <c r="AG254" s="27" t="s">
        <v>532</v>
      </c>
      <c r="AH254" s="27" t="s">
        <v>885</v>
      </c>
      <c r="AI254" s="27" t="s">
        <v>179</v>
      </c>
      <c r="AJ254" s="27" t="s">
        <v>705</v>
      </c>
      <c r="AK254" s="27" t="s">
        <v>1763</v>
      </c>
      <c r="AL254" s="27" t="s">
        <v>678</v>
      </c>
      <c r="AM254" s="27" t="s">
        <v>732</v>
      </c>
      <c r="AR254" s="28"/>
      <c r="AS254" s="28"/>
      <c r="AT254" s="28"/>
      <c r="BB254" s="28"/>
      <c r="BC254" s="28">
        <v>6282289915934</v>
      </c>
      <c r="BD254" s="28">
        <v>81930704799</v>
      </c>
      <c r="BE254" s="28">
        <v>82149416015</v>
      </c>
      <c r="BF254" s="28">
        <v>82134691542</v>
      </c>
      <c r="BG254" s="28">
        <v>87839395912</v>
      </c>
      <c r="BH254" s="28">
        <v>85950693027</v>
      </c>
      <c r="BI254" s="28">
        <v>82262348429</v>
      </c>
      <c r="BJ254" s="28">
        <v>895380135456</v>
      </c>
      <c r="BK254" s="28">
        <v>82313267750</v>
      </c>
      <c r="BO254" s="39">
        <v>60040503</v>
      </c>
      <c r="BP254" s="18" t="s">
        <v>3801</v>
      </c>
      <c r="BQ254" s="37">
        <v>44957</v>
      </c>
      <c r="BR254" s="8">
        <f t="shared" si="0"/>
        <v>9</v>
      </c>
    </row>
    <row r="255" spans="1:73" ht="15.5">
      <c r="A255" s="4" t="str">
        <v>Reguler Periode ke-101 XIII.A.3</v>
      </c>
      <c r="B255" s="4" t="s">
        <v>2073</v>
      </c>
      <c r="C255" s="38" t="s">
        <v>3802</v>
      </c>
      <c r="D255" s="4" t="s">
        <v>3778</v>
      </c>
      <c r="E255" s="4" t="s">
        <v>3803</v>
      </c>
      <c r="F255" s="4" t="s">
        <v>193</v>
      </c>
      <c r="G255" s="27" t="s">
        <v>3804</v>
      </c>
      <c r="H255" s="27" t="s">
        <v>3805</v>
      </c>
      <c r="I255" s="27" t="s">
        <v>3806</v>
      </c>
      <c r="J255" s="27" t="s">
        <v>3807</v>
      </c>
      <c r="K255" s="27" t="s">
        <v>3808</v>
      </c>
      <c r="L255" s="27" t="s">
        <v>3809</v>
      </c>
      <c r="M255" s="27" t="s">
        <v>3810</v>
      </c>
      <c r="N255" s="27" t="s">
        <v>3811</v>
      </c>
      <c r="O255" s="27" t="s">
        <v>3812</v>
      </c>
      <c r="S255" s="27">
        <v>1900003154</v>
      </c>
      <c r="T255" s="27">
        <v>1900006086</v>
      </c>
      <c r="U255" s="27">
        <v>1900010221</v>
      </c>
      <c r="V255" s="27">
        <v>1900012136</v>
      </c>
      <c r="W255" s="27">
        <v>1900018218</v>
      </c>
      <c r="X255" s="27">
        <v>1900019121</v>
      </c>
      <c r="Y255" s="27">
        <v>1900027029</v>
      </c>
      <c r="Z255" s="27">
        <v>1900029206</v>
      </c>
      <c r="AA255" s="27">
        <v>1900032087</v>
      </c>
      <c r="AE255" s="27" t="s">
        <v>178</v>
      </c>
      <c r="AF255" s="27" t="s">
        <v>745</v>
      </c>
      <c r="AG255" s="27" t="s">
        <v>532</v>
      </c>
      <c r="AH255" s="27" t="s">
        <v>885</v>
      </c>
      <c r="AI255" s="27" t="s">
        <v>179</v>
      </c>
      <c r="AJ255" s="27" t="s">
        <v>705</v>
      </c>
      <c r="AK255" s="27" t="s">
        <v>1763</v>
      </c>
      <c r="AL255" s="27" t="s">
        <v>533</v>
      </c>
      <c r="AM255" s="27" t="s">
        <v>732</v>
      </c>
      <c r="AR255" s="28"/>
      <c r="AS255" s="28"/>
      <c r="AT255" s="28"/>
      <c r="BB255" s="28"/>
      <c r="BC255" s="28">
        <v>895339032134</v>
      </c>
      <c r="BD255" s="28">
        <v>82122932480</v>
      </c>
      <c r="BE255" s="28">
        <v>85838260160</v>
      </c>
      <c r="BF255" s="28">
        <v>81299569645</v>
      </c>
      <c r="BG255" s="28">
        <v>895365556135</v>
      </c>
      <c r="BH255" s="28">
        <v>81228392128</v>
      </c>
      <c r="BI255" s="28">
        <v>82180301424</v>
      </c>
      <c r="BJ255" s="28">
        <v>87881306197</v>
      </c>
      <c r="BK255" s="28">
        <v>85238153079</v>
      </c>
      <c r="BO255" s="39">
        <v>60040503</v>
      </c>
      <c r="BP255" s="18" t="s">
        <v>3813</v>
      </c>
      <c r="BQ255" s="37">
        <v>44957</v>
      </c>
      <c r="BR255" s="8">
        <f t="shared" si="0"/>
        <v>9</v>
      </c>
    </row>
    <row r="256" spans="1:73" ht="15.5">
      <c r="A256" s="4" t="str">
        <v>Reguler Periode ke-101 XIII.B.1</v>
      </c>
      <c r="B256" s="4" t="s">
        <v>2073</v>
      </c>
      <c r="C256" s="38" t="s">
        <v>3814</v>
      </c>
      <c r="D256" s="4" t="s">
        <v>3815</v>
      </c>
      <c r="E256" s="4" t="s">
        <v>3816</v>
      </c>
      <c r="F256" s="4" t="s">
        <v>193</v>
      </c>
      <c r="G256" s="27" t="s">
        <v>3817</v>
      </c>
      <c r="H256" s="27" t="s">
        <v>3818</v>
      </c>
      <c r="I256" s="27" t="s">
        <v>3819</v>
      </c>
      <c r="J256" s="27" t="s">
        <v>3820</v>
      </c>
      <c r="K256" s="27" t="s">
        <v>3821</v>
      </c>
      <c r="L256" s="27" t="s">
        <v>3822</v>
      </c>
      <c r="M256" s="27" t="s">
        <v>3823</v>
      </c>
      <c r="N256" s="27" t="s">
        <v>3824</v>
      </c>
      <c r="O256" s="27" t="s">
        <v>3825</v>
      </c>
      <c r="S256" s="27">
        <v>1700010038</v>
      </c>
      <c r="T256" s="27">
        <v>1900003063</v>
      </c>
      <c r="U256" s="27">
        <v>1900006039</v>
      </c>
      <c r="V256" s="27">
        <v>1900012099</v>
      </c>
      <c r="W256" s="27">
        <v>1900018415</v>
      </c>
      <c r="X256" s="27">
        <v>1900020072</v>
      </c>
      <c r="Y256" s="27">
        <v>1900027049</v>
      </c>
      <c r="Z256" s="27">
        <v>1900029002</v>
      </c>
      <c r="AA256" s="27">
        <v>1900032213</v>
      </c>
      <c r="AE256" s="27" t="s">
        <v>532</v>
      </c>
      <c r="AF256" s="27" t="s">
        <v>178</v>
      </c>
      <c r="AG256" s="27" t="s">
        <v>745</v>
      </c>
      <c r="AH256" s="27" t="s">
        <v>885</v>
      </c>
      <c r="AI256" s="27" t="s">
        <v>179</v>
      </c>
      <c r="AJ256" s="27" t="s">
        <v>351</v>
      </c>
      <c r="AK256" s="27" t="s">
        <v>1763</v>
      </c>
      <c r="AL256" s="27" t="s">
        <v>533</v>
      </c>
      <c r="AM256" s="27" t="s">
        <v>732</v>
      </c>
      <c r="AR256" s="28"/>
      <c r="AS256" s="28"/>
      <c r="AT256" s="28"/>
      <c r="BB256" s="28"/>
      <c r="BC256" s="28">
        <v>81903323629</v>
      </c>
      <c r="BD256" s="28">
        <v>89648801238</v>
      </c>
      <c r="BE256" s="28">
        <v>82150182847</v>
      </c>
      <c r="BF256" s="28">
        <v>81271601886</v>
      </c>
      <c r="BG256" s="28">
        <v>81225402408</v>
      </c>
      <c r="BH256" s="28">
        <v>81259904192</v>
      </c>
      <c r="BI256" s="28">
        <v>82348977707</v>
      </c>
      <c r="BJ256" s="28">
        <v>89606760784</v>
      </c>
      <c r="BK256" s="28">
        <v>81553638458</v>
      </c>
      <c r="BO256" s="39">
        <v>60080554</v>
      </c>
      <c r="BP256" s="18" t="s">
        <v>3826</v>
      </c>
      <c r="BQ256" s="37">
        <v>44957</v>
      </c>
      <c r="BR256" s="8">
        <f t="shared" si="0"/>
        <v>9</v>
      </c>
    </row>
    <row r="257" spans="1:70" ht="15.5">
      <c r="A257" s="4" t="str">
        <v>Reguler Periode ke-101 XIII.B.2</v>
      </c>
      <c r="B257" s="4" t="s">
        <v>2073</v>
      </c>
      <c r="C257" s="38" t="s">
        <v>3827</v>
      </c>
      <c r="D257" s="4" t="s">
        <v>3815</v>
      </c>
      <c r="E257" s="4" t="s">
        <v>3828</v>
      </c>
      <c r="F257" s="4" t="s">
        <v>193</v>
      </c>
      <c r="G257" s="27" t="s">
        <v>3829</v>
      </c>
      <c r="H257" s="27" t="s">
        <v>3830</v>
      </c>
      <c r="I257" s="27" t="s">
        <v>3831</v>
      </c>
      <c r="J257" s="27" t="s">
        <v>3832</v>
      </c>
      <c r="K257" s="27" t="s">
        <v>3833</v>
      </c>
      <c r="L257" s="27" t="s">
        <v>3834</v>
      </c>
      <c r="M257" s="27" t="s">
        <v>3835</v>
      </c>
      <c r="N257" s="27" t="s">
        <v>3836</v>
      </c>
      <c r="O257" s="27" t="s">
        <v>3837</v>
      </c>
      <c r="S257" s="27">
        <v>1900003170</v>
      </c>
      <c r="T257" s="27">
        <v>1900006029</v>
      </c>
      <c r="U257" s="27">
        <v>1900010071</v>
      </c>
      <c r="V257" s="27">
        <v>1900012131</v>
      </c>
      <c r="W257" s="27">
        <v>1900018181</v>
      </c>
      <c r="X257" s="27">
        <v>1900020100</v>
      </c>
      <c r="Y257" s="27">
        <v>1900028134</v>
      </c>
      <c r="Z257" s="27">
        <v>1900029309</v>
      </c>
      <c r="AA257" s="27">
        <v>1900032055</v>
      </c>
      <c r="AE257" s="52" t="s">
        <v>178</v>
      </c>
      <c r="AF257" s="52" t="s">
        <v>745</v>
      </c>
      <c r="AG257" s="52" t="s">
        <v>532</v>
      </c>
      <c r="AH257" s="52" t="s">
        <v>885</v>
      </c>
      <c r="AI257" s="52" t="s">
        <v>179</v>
      </c>
      <c r="AJ257" s="52" t="s">
        <v>351</v>
      </c>
      <c r="AK257" s="52" t="s">
        <v>678</v>
      </c>
      <c r="AL257" s="52" t="s">
        <v>533</v>
      </c>
      <c r="AM257" s="52" t="s">
        <v>732</v>
      </c>
      <c r="AR257" s="28"/>
      <c r="AS257" s="28"/>
      <c r="AT257" s="28"/>
      <c r="BB257" s="28"/>
      <c r="BC257" s="28">
        <v>85786261082</v>
      </c>
      <c r="BD257" s="28">
        <v>82184761628</v>
      </c>
      <c r="BE257" s="28">
        <v>85732472869</v>
      </c>
      <c r="BF257" s="28">
        <v>85348113070</v>
      </c>
      <c r="BG257" s="28">
        <v>81345932804</v>
      </c>
      <c r="BH257" s="28">
        <v>85700200572</v>
      </c>
      <c r="BI257" s="28">
        <v>81285651848</v>
      </c>
      <c r="BJ257" s="28">
        <v>81226555516</v>
      </c>
      <c r="BK257" s="28">
        <v>859123006930</v>
      </c>
      <c r="BO257" s="39">
        <v>60080554</v>
      </c>
      <c r="BP257" s="18" t="s">
        <v>3838</v>
      </c>
      <c r="BQ257" s="37">
        <v>44957</v>
      </c>
      <c r="BR257" s="8">
        <f t="shared" ref="BR257:BR511" si="1">COUNTA(G257:R257)</f>
        <v>9</v>
      </c>
    </row>
    <row r="258" spans="1:70" ht="15.5">
      <c r="A258" s="4" t="str">
        <v>Reguler Periode ke-101 XIII.B.3</v>
      </c>
      <c r="B258" s="4" t="s">
        <v>2073</v>
      </c>
      <c r="C258" s="38" t="s">
        <v>3839</v>
      </c>
      <c r="D258" s="4" t="s">
        <v>3815</v>
      </c>
      <c r="E258" s="4" t="s">
        <v>3840</v>
      </c>
      <c r="F258" s="4" t="s">
        <v>193</v>
      </c>
      <c r="G258" s="27" t="s">
        <v>3841</v>
      </c>
      <c r="H258" s="27" t="s">
        <v>3842</v>
      </c>
      <c r="I258" s="27" t="s">
        <v>3843</v>
      </c>
      <c r="J258" s="27" t="s">
        <v>3844</v>
      </c>
      <c r="K258" s="27" t="s">
        <v>3845</v>
      </c>
      <c r="L258" s="27" t="s">
        <v>3846</v>
      </c>
      <c r="M258" s="27" t="s">
        <v>3847</v>
      </c>
      <c r="N258" s="27" t="s">
        <v>3848</v>
      </c>
      <c r="O258" s="27" t="s">
        <v>3849</v>
      </c>
      <c r="S258" s="27">
        <v>1900003134</v>
      </c>
      <c r="T258" s="27">
        <v>1900006016</v>
      </c>
      <c r="U258" s="27">
        <v>1900010160</v>
      </c>
      <c r="V258" s="27">
        <v>1900012163</v>
      </c>
      <c r="W258" s="27">
        <v>1900018274</v>
      </c>
      <c r="X258" s="27">
        <v>1900020088</v>
      </c>
      <c r="Y258" s="27">
        <v>1900028061</v>
      </c>
      <c r="Z258" s="27">
        <v>1900029222</v>
      </c>
      <c r="AA258" s="27">
        <v>1900032005</v>
      </c>
      <c r="AE258" s="27" t="s">
        <v>178</v>
      </c>
      <c r="AF258" s="27" t="s">
        <v>745</v>
      </c>
      <c r="AG258" s="27" t="s">
        <v>532</v>
      </c>
      <c r="AH258" s="27" t="s">
        <v>885</v>
      </c>
      <c r="AI258" s="27" t="s">
        <v>179</v>
      </c>
      <c r="AJ258" s="27" t="s">
        <v>351</v>
      </c>
      <c r="AK258" s="27" t="s">
        <v>678</v>
      </c>
      <c r="AL258" s="27" t="s">
        <v>533</v>
      </c>
      <c r="AM258" s="27" t="s">
        <v>732</v>
      </c>
      <c r="AR258" s="28"/>
      <c r="AS258" s="28"/>
      <c r="AT258" s="28"/>
      <c r="BC258" s="28" t="s">
        <v>3850</v>
      </c>
      <c r="BD258" s="28">
        <v>81225972602</v>
      </c>
      <c r="BE258" s="28">
        <v>82324689769</v>
      </c>
      <c r="BF258" s="28">
        <v>82363640032</v>
      </c>
      <c r="BG258" s="28">
        <v>85972555646</v>
      </c>
      <c r="BH258" s="28">
        <v>82365542215</v>
      </c>
      <c r="BI258" s="28">
        <v>8526247070</v>
      </c>
      <c r="BJ258" s="28">
        <v>85326754342</v>
      </c>
      <c r="BK258" s="28" t="s">
        <v>3851</v>
      </c>
      <c r="BO258" s="39">
        <v>60080554</v>
      </c>
      <c r="BP258" s="18" t="s">
        <v>3852</v>
      </c>
      <c r="BQ258" s="37">
        <v>44957</v>
      </c>
      <c r="BR258" s="8">
        <f t="shared" si="1"/>
        <v>9</v>
      </c>
    </row>
    <row r="259" spans="1:70" ht="15.5">
      <c r="A259" s="4" t="str">
        <v>Reguler Periode ke-101 XIII.C.1</v>
      </c>
      <c r="B259" s="4" t="s">
        <v>2073</v>
      </c>
      <c r="C259" s="38" t="s">
        <v>3853</v>
      </c>
      <c r="D259" s="4" t="s">
        <v>457</v>
      </c>
      <c r="E259" s="4" t="s">
        <v>3854</v>
      </c>
      <c r="F259" s="4" t="s">
        <v>193</v>
      </c>
      <c r="G259" s="27" t="s">
        <v>3855</v>
      </c>
      <c r="H259" s="27" t="s">
        <v>3856</v>
      </c>
      <c r="I259" s="27" t="s">
        <v>3857</v>
      </c>
      <c r="J259" s="27" t="s">
        <v>3858</v>
      </c>
      <c r="K259" s="27" t="s">
        <v>3859</v>
      </c>
      <c r="L259" s="27" t="s">
        <v>3860</v>
      </c>
      <c r="M259" s="27" t="s">
        <v>3861</v>
      </c>
      <c r="N259" s="27" t="s">
        <v>3862</v>
      </c>
      <c r="O259" s="27" t="s">
        <v>3863</v>
      </c>
      <c r="S259" s="27">
        <v>1900003127</v>
      </c>
      <c r="T259" s="27">
        <v>1900010220</v>
      </c>
      <c r="U259" s="27">
        <v>1900012130</v>
      </c>
      <c r="V259" s="27">
        <v>1900018242</v>
      </c>
      <c r="W259" s="27">
        <v>1900020036</v>
      </c>
      <c r="X259" s="27">
        <v>1900028015</v>
      </c>
      <c r="Y259" s="27">
        <v>1900029098</v>
      </c>
      <c r="Z259" s="27">
        <v>1900032022</v>
      </c>
      <c r="AA259" s="27">
        <v>1911007016</v>
      </c>
      <c r="AE259" s="27" t="s">
        <v>178</v>
      </c>
      <c r="AF259" s="27" t="s">
        <v>532</v>
      </c>
      <c r="AG259" s="27" t="s">
        <v>885</v>
      </c>
      <c r="AH259" s="27" t="s">
        <v>179</v>
      </c>
      <c r="AI259" s="27" t="s">
        <v>351</v>
      </c>
      <c r="AJ259" s="27" t="s">
        <v>678</v>
      </c>
      <c r="AK259" s="27" t="s">
        <v>533</v>
      </c>
      <c r="AL259" s="27" t="s">
        <v>732</v>
      </c>
      <c r="AM259" s="27" t="s">
        <v>1021</v>
      </c>
      <c r="AR259" s="28"/>
      <c r="AS259" s="28"/>
      <c r="BC259" s="28">
        <v>81227318982</v>
      </c>
      <c r="BD259" s="28">
        <v>85869183681</v>
      </c>
      <c r="BE259" s="28">
        <v>88233684074</v>
      </c>
      <c r="BF259" s="28">
        <v>85828949439</v>
      </c>
      <c r="BG259" s="28">
        <v>88287010671</v>
      </c>
      <c r="BH259" s="28">
        <v>85338381601</v>
      </c>
      <c r="BI259" s="28">
        <v>81255648704</v>
      </c>
      <c r="BJ259" s="28">
        <v>85713614446</v>
      </c>
      <c r="BK259" s="28">
        <v>85641480965</v>
      </c>
      <c r="BO259" s="39">
        <v>60150793</v>
      </c>
      <c r="BP259" s="18" t="s">
        <v>3864</v>
      </c>
      <c r="BQ259" s="37">
        <v>44957</v>
      </c>
      <c r="BR259" s="8">
        <f t="shared" si="1"/>
        <v>9</v>
      </c>
    </row>
    <row r="260" spans="1:70" ht="15.5">
      <c r="A260" s="4" t="str">
        <v>Reguler Periode ke-101 XIII.C.2</v>
      </c>
      <c r="B260" s="4" t="s">
        <v>2073</v>
      </c>
      <c r="C260" s="38" t="s">
        <v>3865</v>
      </c>
      <c r="D260" s="4" t="s">
        <v>457</v>
      </c>
      <c r="E260" s="4" t="s">
        <v>3866</v>
      </c>
      <c r="F260" s="4" t="s">
        <v>193</v>
      </c>
      <c r="G260" s="27" t="s">
        <v>3867</v>
      </c>
      <c r="H260" s="27" t="s">
        <v>3868</v>
      </c>
      <c r="I260" s="27" t="s">
        <v>3869</v>
      </c>
      <c r="J260" s="27" t="s">
        <v>3870</v>
      </c>
      <c r="K260" s="27" t="s">
        <v>3871</v>
      </c>
      <c r="L260" s="27" t="s">
        <v>3872</v>
      </c>
      <c r="M260" s="27" t="s">
        <v>3873</v>
      </c>
      <c r="N260" s="27" t="s">
        <v>3874</v>
      </c>
      <c r="O260" s="27" t="s">
        <v>3875</v>
      </c>
      <c r="S260" s="27">
        <v>1900003164</v>
      </c>
      <c r="T260" s="27">
        <v>1900007025</v>
      </c>
      <c r="U260" s="27">
        <v>1900010103</v>
      </c>
      <c r="V260" s="27">
        <v>1900012019</v>
      </c>
      <c r="W260" s="27">
        <v>1900018044</v>
      </c>
      <c r="X260" s="27">
        <v>1900020093</v>
      </c>
      <c r="Y260" s="27">
        <v>1900028030</v>
      </c>
      <c r="Z260" s="27">
        <v>1900029272</v>
      </c>
      <c r="AA260" s="27">
        <v>1900032049</v>
      </c>
      <c r="AE260" s="52" t="s">
        <v>178</v>
      </c>
      <c r="AF260" s="52" t="s">
        <v>1021</v>
      </c>
      <c r="AG260" s="52" t="s">
        <v>532</v>
      </c>
      <c r="AH260" s="52" t="s">
        <v>885</v>
      </c>
      <c r="AI260" s="52" t="s">
        <v>179</v>
      </c>
      <c r="AJ260" s="52" t="s">
        <v>351</v>
      </c>
      <c r="AK260" s="52" t="s">
        <v>678</v>
      </c>
      <c r="AL260" s="52" t="s">
        <v>533</v>
      </c>
      <c r="AM260" s="52" t="s">
        <v>732</v>
      </c>
      <c r="AR260" s="28"/>
      <c r="AS260" s="28"/>
      <c r="BC260" s="28">
        <v>83134393180</v>
      </c>
      <c r="BD260" s="28">
        <v>81245294956</v>
      </c>
      <c r="BE260" s="28">
        <v>81288841506</v>
      </c>
      <c r="BF260" s="28">
        <v>85395242652</v>
      </c>
      <c r="BG260" s="28">
        <v>81392738052</v>
      </c>
      <c r="BH260" s="28">
        <v>85290103080</v>
      </c>
      <c r="BI260" s="28">
        <v>89655049379</v>
      </c>
      <c r="BJ260" s="28">
        <v>89687289628</v>
      </c>
      <c r="BK260" s="28">
        <v>85600071321</v>
      </c>
      <c r="BO260" s="39">
        <v>60150793</v>
      </c>
      <c r="BP260" s="18" t="s">
        <v>3876</v>
      </c>
      <c r="BQ260" s="37">
        <v>44957</v>
      </c>
      <c r="BR260" s="8">
        <f t="shared" si="1"/>
        <v>9</v>
      </c>
    </row>
    <row r="261" spans="1:70" ht="15.5">
      <c r="A261" s="4" t="str">
        <v>Reguler Periode ke-101 XIII.C.3</v>
      </c>
      <c r="B261" s="4" t="s">
        <v>2073</v>
      </c>
      <c r="C261" s="38" t="s">
        <v>3877</v>
      </c>
      <c r="D261" s="4" t="s">
        <v>457</v>
      </c>
      <c r="E261" s="4" t="s">
        <v>3878</v>
      </c>
      <c r="F261" s="4" t="s">
        <v>193</v>
      </c>
      <c r="G261" s="27" t="s">
        <v>3879</v>
      </c>
      <c r="H261" s="27" t="s">
        <v>3880</v>
      </c>
      <c r="I261" s="27" t="s">
        <v>3881</v>
      </c>
      <c r="J261" s="27" t="s">
        <v>3882</v>
      </c>
      <c r="K261" s="27" t="s">
        <v>3883</v>
      </c>
      <c r="L261" s="27" t="s">
        <v>3884</v>
      </c>
      <c r="M261" s="27" t="s">
        <v>3885</v>
      </c>
      <c r="N261" s="27" t="s">
        <v>3886</v>
      </c>
      <c r="O261" s="27" t="s">
        <v>3887</v>
      </c>
      <c r="S261" s="27">
        <v>1900003005</v>
      </c>
      <c r="T261" s="27">
        <v>1900007026</v>
      </c>
      <c r="U261" s="27">
        <v>1900010327</v>
      </c>
      <c r="V261" s="27">
        <v>1900012014</v>
      </c>
      <c r="W261" s="27">
        <v>1900018062</v>
      </c>
      <c r="X261" s="27">
        <v>1900020086</v>
      </c>
      <c r="Y261" s="27">
        <v>1900028130</v>
      </c>
      <c r="Z261" s="27">
        <v>1900029112</v>
      </c>
      <c r="AA261" s="27">
        <v>1900032153</v>
      </c>
      <c r="AE261" s="27" t="s">
        <v>178</v>
      </c>
      <c r="AF261" s="27" t="s">
        <v>1021</v>
      </c>
      <c r="AG261" s="27" t="s">
        <v>532</v>
      </c>
      <c r="AH261" s="27" t="s">
        <v>885</v>
      </c>
      <c r="AI261" s="27" t="s">
        <v>179</v>
      </c>
      <c r="AJ261" s="27" t="s">
        <v>351</v>
      </c>
      <c r="AK261" s="27" t="s">
        <v>678</v>
      </c>
      <c r="AL261" s="27" t="s">
        <v>533</v>
      </c>
      <c r="AM261" s="27" t="s">
        <v>732</v>
      </c>
      <c r="AR261" s="28"/>
      <c r="AS261" s="28"/>
      <c r="BC261" s="28">
        <v>895801102641</v>
      </c>
      <c r="BD261" s="28">
        <v>81225344021</v>
      </c>
      <c r="BE261" s="28">
        <v>87786588812</v>
      </c>
      <c r="BF261" s="28">
        <v>895357144943</v>
      </c>
      <c r="BG261" s="28">
        <v>6285811414508</v>
      </c>
      <c r="BH261" s="28">
        <v>85741498358</v>
      </c>
      <c r="BI261" s="28">
        <v>6282284935308</v>
      </c>
      <c r="BJ261" s="28">
        <v>82183607342</v>
      </c>
      <c r="BK261" s="28">
        <v>85658975228</v>
      </c>
      <c r="BO261" s="39">
        <v>60150793</v>
      </c>
      <c r="BP261" s="18" t="s">
        <v>3888</v>
      </c>
      <c r="BQ261" s="37">
        <v>44957</v>
      </c>
      <c r="BR261" s="8">
        <f t="shared" si="1"/>
        <v>9</v>
      </c>
    </row>
    <row r="262" spans="1:70" ht="15.5">
      <c r="A262" s="4" t="str">
        <v>Reguler Periode ke-101 XIII.D.1</v>
      </c>
      <c r="B262" s="4" t="s">
        <v>2073</v>
      </c>
      <c r="C262" s="38" t="s">
        <v>3889</v>
      </c>
      <c r="D262" s="4" t="s">
        <v>3890</v>
      </c>
      <c r="E262" s="4" t="s">
        <v>3891</v>
      </c>
      <c r="F262" s="4" t="s">
        <v>193</v>
      </c>
      <c r="G262" s="27" t="s">
        <v>3892</v>
      </c>
      <c r="H262" s="27" t="s">
        <v>3893</v>
      </c>
      <c r="I262" s="27" t="s">
        <v>3894</v>
      </c>
      <c r="J262" s="27" t="s">
        <v>2015</v>
      </c>
      <c r="K262" s="27" t="s">
        <v>3895</v>
      </c>
      <c r="L262" s="27" t="s">
        <v>3896</v>
      </c>
      <c r="M262" s="27" t="s">
        <v>3897</v>
      </c>
      <c r="N262" s="27" t="s">
        <v>3898</v>
      </c>
      <c r="O262" s="27" t="s">
        <v>3899</v>
      </c>
      <c r="S262" s="27">
        <v>1800007002</v>
      </c>
      <c r="T262" s="27">
        <v>1900003073</v>
      </c>
      <c r="U262" s="27">
        <v>1900010331</v>
      </c>
      <c r="V262" s="27">
        <v>1900012062</v>
      </c>
      <c r="W262" s="27">
        <v>1900018109</v>
      </c>
      <c r="X262" s="27">
        <v>1900020054</v>
      </c>
      <c r="Y262" s="27">
        <v>1900028005</v>
      </c>
      <c r="Z262" s="27">
        <v>1900029245</v>
      </c>
      <c r="AA262" s="27">
        <v>1900032232</v>
      </c>
      <c r="AE262" s="27" t="s">
        <v>1021</v>
      </c>
      <c r="AF262" s="27" t="s">
        <v>178</v>
      </c>
      <c r="AG262" s="27" t="s">
        <v>532</v>
      </c>
      <c r="AH262" s="27" t="s">
        <v>885</v>
      </c>
      <c r="AI262" s="27" t="s">
        <v>179</v>
      </c>
      <c r="AJ262" s="27" t="s">
        <v>351</v>
      </c>
      <c r="AK262" s="27" t="s">
        <v>678</v>
      </c>
      <c r="AL262" s="27" t="s">
        <v>533</v>
      </c>
      <c r="AM262" s="27" t="s">
        <v>732</v>
      </c>
      <c r="BC262" s="28">
        <v>81393274491</v>
      </c>
      <c r="BD262" s="28">
        <v>81229298280</v>
      </c>
      <c r="BE262" s="28">
        <v>85268892271</v>
      </c>
      <c r="BF262" s="28">
        <v>81271141496</v>
      </c>
      <c r="BG262" s="28">
        <v>88232048667</v>
      </c>
      <c r="BH262" s="28">
        <v>82326481346</v>
      </c>
      <c r="BI262" s="28">
        <v>895605362562</v>
      </c>
      <c r="BJ262" s="28">
        <v>82173049005</v>
      </c>
      <c r="BK262" s="28">
        <v>82223227233</v>
      </c>
      <c r="BO262" s="39">
        <v>60181152</v>
      </c>
      <c r="BP262" s="18" t="s">
        <v>3900</v>
      </c>
      <c r="BQ262" s="37">
        <v>44957</v>
      </c>
      <c r="BR262" s="8">
        <f t="shared" si="1"/>
        <v>9</v>
      </c>
    </row>
    <row r="263" spans="1:70" ht="15.5">
      <c r="A263" s="4" t="str">
        <v>Reguler Periode ke-101 XIII.D.2</v>
      </c>
      <c r="B263" s="4" t="s">
        <v>2073</v>
      </c>
      <c r="C263" s="38" t="s">
        <v>3901</v>
      </c>
      <c r="D263" s="4" t="s">
        <v>3890</v>
      </c>
      <c r="E263" s="4" t="s">
        <v>3902</v>
      </c>
      <c r="F263" s="4" t="s">
        <v>193</v>
      </c>
      <c r="G263" s="27" t="s">
        <v>3903</v>
      </c>
      <c r="H263" s="27" t="s">
        <v>3904</v>
      </c>
      <c r="I263" s="27" t="s">
        <v>3905</v>
      </c>
      <c r="J263" s="27" t="s">
        <v>3906</v>
      </c>
      <c r="K263" s="27" t="s">
        <v>3907</v>
      </c>
      <c r="L263" s="27" t="s">
        <v>3908</v>
      </c>
      <c r="M263" s="27" t="s">
        <v>3909</v>
      </c>
      <c r="N263" s="27" t="s">
        <v>3910</v>
      </c>
      <c r="O263" s="27" t="s">
        <v>3911</v>
      </c>
      <c r="S263" s="27">
        <v>1800010104</v>
      </c>
      <c r="T263" s="27">
        <v>1900003140</v>
      </c>
      <c r="U263" s="27">
        <v>1900007023</v>
      </c>
      <c r="V263" s="27">
        <v>1900012097</v>
      </c>
      <c r="W263" s="27">
        <v>1900018158</v>
      </c>
      <c r="X263" s="27">
        <v>1900020096</v>
      </c>
      <c r="Y263" s="27">
        <v>1900028040</v>
      </c>
      <c r="Z263" s="27">
        <v>1900029242</v>
      </c>
      <c r="AA263" s="27">
        <v>1900032179</v>
      </c>
      <c r="AE263" s="27" t="s">
        <v>532</v>
      </c>
      <c r="AF263" s="27" t="s">
        <v>178</v>
      </c>
      <c r="AG263" s="27" t="s">
        <v>1021</v>
      </c>
      <c r="AH263" s="27" t="s">
        <v>885</v>
      </c>
      <c r="AI263" s="27" t="s">
        <v>179</v>
      </c>
      <c r="AJ263" s="27" t="s">
        <v>351</v>
      </c>
      <c r="AK263" s="27" t="s">
        <v>678</v>
      </c>
      <c r="AL263" s="27" t="s">
        <v>533</v>
      </c>
      <c r="AM263" s="27" t="s">
        <v>732</v>
      </c>
      <c r="BC263" s="28">
        <v>82133897884</v>
      </c>
      <c r="BD263" s="28">
        <v>85789019624</v>
      </c>
      <c r="BE263" s="28">
        <v>81539911079</v>
      </c>
      <c r="BF263" s="28">
        <v>81385461302</v>
      </c>
      <c r="BG263" s="28">
        <v>87731523378</v>
      </c>
      <c r="BH263" s="28">
        <v>82281586445</v>
      </c>
      <c r="BI263" s="28">
        <v>81344107923</v>
      </c>
      <c r="BJ263" s="28">
        <v>81374173483</v>
      </c>
      <c r="BK263" s="28">
        <v>82352267872</v>
      </c>
      <c r="BO263" s="39">
        <v>60181152</v>
      </c>
      <c r="BP263" s="18" t="s">
        <v>3912</v>
      </c>
      <c r="BQ263" s="37">
        <v>44957</v>
      </c>
      <c r="BR263" s="8">
        <f t="shared" si="1"/>
        <v>9</v>
      </c>
    </row>
    <row r="264" spans="1:70" ht="15.5">
      <c r="A264" s="4" t="str">
        <v>Reguler Periode ke-101 XIII.D.3</v>
      </c>
      <c r="B264" s="4" t="s">
        <v>2073</v>
      </c>
      <c r="C264" s="38" t="s">
        <v>3913</v>
      </c>
      <c r="D264" s="4" t="s">
        <v>3890</v>
      </c>
      <c r="E264" s="4" t="s">
        <v>3914</v>
      </c>
      <c r="F264" s="4" t="s">
        <v>193</v>
      </c>
      <c r="G264" s="27" t="s">
        <v>3915</v>
      </c>
      <c r="H264" s="27" t="s">
        <v>3916</v>
      </c>
      <c r="I264" s="27" t="s">
        <v>3917</v>
      </c>
      <c r="J264" s="27" t="s">
        <v>3918</v>
      </c>
      <c r="K264" s="27" t="s">
        <v>3919</v>
      </c>
      <c r="L264" s="27" t="s">
        <v>3920</v>
      </c>
      <c r="M264" s="27" t="s">
        <v>3921</v>
      </c>
      <c r="N264" s="27" t="s">
        <v>3922</v>
      </c>
      <c r="O264" s="27" t="s">
        <v>3923</v>
      </c>
      <c r="S264" s="27">
        <v>1900003077</v>
      </c>
      <c r="T264" s="27">
        <v>1900007010</v>
      </c>
      <c r="U264" s="27">
        <v>1900010190</v>
      </c>
      <c r="V264" s="27">
        <v>1900012184</v>
      </c>
      <c r="W264" s="27">
        <v>1900018292</v>
      </c>
      <c r="X264" s="27">
        <v>1900020044</v>
      </c>
      <c r="Y264" s="27">
        <v>1900028100</v>
      </c>
      <c r="Z264" s="27">
        <v>1900029118</v>
      </c>
      <c r="AA264" s="27">
        <v>1900032175</v>
      </c>
      <c r="AE264" s="52" t="s">
        <v>178</v>
      </c>
      <c r="AF264" s="52" t="s">
        <v>1021</v>
      </c>
      <c r="AG264" s="52" t="s">
        <v>532</v>
      </c>
      <c r="AH264" s="52" t="s">
        <v>885</v>
      </c>
      <c r="AI264" s="52" t="s">
        <v>179</v>
      </c>
      <c r="AJ264" s="52" t="s">
        <v>351</v>
      </c>
      <c r="AK264" s="52" t="s">
        <v>678</v>
      </c>
      <c r="AL264" s="52" t="s">
        <v>533</v>
      </c>
      <c r="AM264" s="52" t="s">
        <v>732</v>
      </c>
      <c r="BC264" s="28">
        <v>81617736557</v>
      </c>
      <c r="BD264" s="28">
        <v>82160611232</v>
      </c>
      <c r="BE264" s="28">
        <v>895380188334</v>
      </c>
      <c r="BF264" s="28">
        <v>82147452001</v>
      </c>
      <c r="BG264" s="28">
        <v>82113357681</v>
      </c>
      <c r="BH264" s="28">
        <v>82313505788</v>
      </c>
      <c r="BI264" s="28">
        <v>85838441388</v>
      </c>
      <c r="BJ264" s="28">
        <v>83148738908</v>
      </c>
      <c r="BK264" s="28">
        <v>81770435188</v>
      </c>
      <c r="BO264" s="39">
        <v>60181152</v>
      </c>
      <c r="BP264" s="18" t="s">
        <v>3924</v>
      </c>
      <c r="BQ264" s="37">
        <v>44957</v>
      </c>
      <c r="BR264" s="8">
        <f t="shared" si="1"/>
        <v>9</v>
      </c>
    </row>
    <row r="265" spans="1:70" ht="15.5">
      <c r="A265" s="4" t="str">
        <v>Reguler Periode ke-101 XIV.A.1</v>
      </c>
      <c r="B265" s="4" t="s">
        <v>2073</v>
      </c>
      <c r="C265" s="38" t="s">
        <v>3925</v>
      </c>
      <c r="D265" s="4" t="s">
        <v>3926</v>
      </c>
      <c r="E265" s="4" t="s">
        <v>3927</v>
      </c>
      <c r="F265" s="4" t="s">
        <v>193</v>
      </c>
      <c r="G265" s="27" t="s">
        <v>3928</v>
      </c>
      <c r="H265" s="27" t="s">
        <v>3929</v>
      </c>
      <c r="I265" s="27" t="s">
        <v>3930</v>
      </c>
      <c r="J265" s="27" t="s">
        <v>3931</v>
      </c>
      <c r="K265" s="27" t="s">
        <v>3932</v>
      </c>
      <c r="L265" s="27" t="s">
        <v>3933</v>
      </c>
      <c r="M265" s="27" t="s">
        <v>3934</v>
      </c>
      <c r="N265" s="27" t="s">
        <v>3935</v>
      </c>
      <c r="O265" s="27" t="s">
        <v>3936</v>
      </c>
      <c r="S265" s="27">
        <v>1900003032</v>
      </c>
      <c r="T265" s="27">
        <v>1900007014</v>
      </c>
      <c r="U265" s="27">
        <v>1900010184</v>
      </c>
      <c r="V265" s="27">
        <v>1900012220</v>
      </c>
      <c r="W265" s="27">
        <v>1900018411</v>
      </c>
      <c r="X265" s="27">
        <v>1900020098</v>
      </c>
      <c r="Y265" s="27">
        <v>1900028062</v>
      </c>
      <c r="Z265" s="27">
        <v>1900029070</v>
      </c>
      <c r="AA265" s="27">
        <v>1900032222</v>
      </c>
      <c r="AE265" s="27" t="s">
        <v>178</v>
      </c>
      <c r="AF265" s="27" t="s">
        <v>1021</v>
      </c>
      <c r="AG265" s="27" t="s">
        <v>532</v>
      </c>
      <c r="AH265" s="27" t="s">
        <v>885</v>
      </c>
      <c r="AI265" s="27" t="s">
        <v>179</v>
      </c>
      <c r="AJ265" s="27" t="s">
        <v>351</v>
      </c>
      <c r="AK265" s="27" t="s">
        <v>678</v>
      </c>
      <c r="AL265" s="27" t="s">
        <v>533</v>
      </c>
      <c r="AM265" s="27" t="s">
        <v>732</v>
      </c>
      <c r="BC265" s="28">
        <v>81235536965</v>
      </c>
      <c r="BD265" s="28">
        <v>81283770409</v>
      </c>
      <c r="BE265" s="28">
        <v>82164689303</v>
      </c>
      <c r="BF265" s="28">
        <v>81347259467</v>
      </c>
      <c r="BG265" s="28">
        <v>89671740464</v>
      </c>
      <c r="BH265" s="28">
        <v>81259662533</v>
      </c>
      <c r="BI265" s="28">
        <v>85880369235</v>
      </c>
      <c r="BJ265" s="28">
        <v>81267290658</v>
      </c>
      <c r="BK265" s="28">
        <v>82398216194</v>
      </c>
      <c r="BO265" s="39">
        <v>60191229</v>
      </c>
      <c r="BP265" s="18" t="s">
        <v>3937</v>
      </c>
      <c r="BQ265" s="37">
        <v>44957</v>
      </c>
      <c r="BR265" s="8">
        <f t="shared" si="1"/>
        <v>9</v>
      </c>
    </row>
    <row r="266" spans="1:70" ht="15.5">
      <c r="A266" s="4" t="str">
        <v>Reguler Periode ke-101 XIV.A.2</v>
      </c>
      <c r="B266" s="4" t="s">
        <v>2073</v>
      </c>
      <c r="C266" s="38" t="s">
        <v>3938</v>
      </c>
      <c r="D266" s="4" t="s">
        <v>3926</v>
      </c>
      <c r="E266" s="4" t="s">
        <v>3939</v>
      </c>
      <c r="F266" s="4" t="s">
        <v>193</v>
      </c>
      <c r="G266" s="27" t="s">
        <v>3940</v>
      </c>
      <c r="H266" s="27" t="s">
        <v>3941</v>
      </c>
      <c r="I266" s="27" t="s">
        <v>3942</v>
      </c>
      <c r="J266" s="27" t="s">
        <v>3943</v>
      </c>
      <c r="K266" s="27" t="s">
        <v>3944</v>
      </c>
      <c r="L266" s="27" t="s">
        <v>3945</v>
      </c>
      <c r="M266" s="27" t="s">
        <v>3946</v>
      </c>
      <c r="N266" s="27" t="s">
        <v>3947</v>
      </c>
      <c r="O266" s="27" t="s">
        <v>3948</v>
      </c>
      <c r="S266" s="27">
        <v>1900003066</v>
      </c>
      <c r="T266" s="27">
        <v>1900008024</v>
      </c>
      <c r="U266" s="27">
        <v>1900010248</v>
      </c>
      <c r="V266" s="27">
        <v>1900012018</v>
      </c>
      <c r="W266" s="27">
        <v>1900018366</v>
      </c>
      <c r="X266" s="27">
        <v>1900020104</v>
      </c>
      <c r="Y266" s="27">
        <v>1900028067</v>
      </c>
      <c r="Z266" s="27">
        <v>1900029126</v>
      </c>
      <c r="AA266" s="27">
        <v>1900032026</v>
      </c>
      <c r="AE266" s="27" t="s">
        <v>178</v>
      </c>
      <c r="AF266" s="27" t="s">
        <v>1111</v>
      </c>
      <c r="AG266" s="27" t="s">
        <v>532</v>
      </c>
      <c r="AH266" s="27" t="s">
        <v>885</v>
      </c>
      <c r="AI266" s="27" t="s">
        <v>179</v>
      </c>
      <c r="AJ266" s="27" t="s">
        <v>351</v>
      </c>
      <c r="AK266" s="27" t="s">
        <v>678</v>
      </c>
      <c r="AL266" s="27" t="s">
        <v>533</v>
      </c>
      <c r="AM266" s="27" t="s">
        <v>732</v>
      </c>
      <c r="BC266" s="28">
        <v>83853100155</v>
      </c>
      <c r="BD266" s="28">
        <v>88286596226</v>
      </c>
      <c r="BE266" s="28">
        <v>83867205764</v>
      </c>
      <c r="BF266" s="28">
        <v>85338165069</v>
      </c>
      <c r="BG266" s="28">
        <v>85743032082</v>
      </c>
      <c r="BH266" s="28">
        <v>89688014666</v>
      </c>
      <c r="BI266" s="28">
        <v>82361465351</v>
      </c>
      <c r="BJ266" s="28">
        <v>81226360665</v>
      </c>
      <c r="BK266" s="28">
        <v>85875327798</v>
      </c>
      <c r="BO266" s="39">
        <v>60191229</v>
      </c>
      <c r="BP266" s="18" t="s">
        <v>3949</v>
      </c>
      <c r="BQ266" s="37">
        <v>44957</v>
      </c>
      <c r="BR266" s="8">
        <f t="shared" si="1"/>
        <v>9</v>
      </c>
    </row>
    <row r="267" spans="1:70" ht="15.5">
      <c r="A267" s="4" t="str">
        <v>Reguler Periode ke-101 XIV.A.3</v>
      </c>
      <c r="B267" s="4" t="s">
        <v>2073</v>
      </c>
      <c r="C267" s="38" t="s">
        <v>3950</v>
      </c>
      <c r="D267" s="4" t="s">
        <v>3926</v>
      </c>
      <c r="E267" s="4" t="s">
        <v>3951</v>
      </c>
      <c r="F267" s="4" t="s">
        <v>193</v>
      </c>
      <c r="G267" s="27" t="s">
        <v>3952</v>
      </c>
      <c r="H267" s="27" t="s">
        <v>3953</v>
      </c>
      <c r="I267" s="27" t="s">
        <v>3954</v>
      </c>
      <c r="J267" s="27" t="s">
        <v>3955</v>
      </c>
      <c r="K267" s="27" t="s">
        <v>3956</v>
      </c>
      <c r="L267" s="27" t="s">
        <v>3957</v>
      </c>
      <c r="M267" s="27" t="s">
        <v>3958</v>
      </c>
      <c r="N267" s="27" t="s">
        <v>3959</v>
      </c>
      <c r="O267" s="27" t="s">
        <v>3960</v>
      </c>
      <c r="S267" s="27">
        <v>1900003012</v>
      </c>
      <c r="T267" s="27">
        <v>1900008082</v>
      </c>
      <c r="U267" s="27">
        <v>1900010309</v>
      </c>
      <c r="V267" s="27">
        <v>1900012044</v>
      </c>
      <c r="W267" s="27">
        <v>1900018196</v>
      </c>
      <c r="X267" s="27">
        <v>1900020092</v>
      </c>
      <c r="Y267" s="27">
        <v>1900029026</v>
      </c>
      <c r="Z267" s="27">
        <v>1900029274</v>
      </c>
      <c r="AA267" s="27">
        <v>1900032166</v>
      </c>
      <c r="AE267" s="52" t="s">
        <v>178</v>
      </c>
      <c r="AF267" s="52" t="s">
        <v>1111</v>
      </c>
      <c r="AG267" s="52" t="s">
        <v>532</v>
      </c>
      <c r="AH267" s="52" t="s">
        <v>885</v>
      </c>
      <c r="AI267" s="52" t="s">
        <v>179</v>
      </c>
      <c r="AJ267" s="52" t="s">
        <v>351</v>
      </c>
      <c r="AK267" s="52" t="s">
        <v>533</v>
      </c>
      <c r="AL267" s="52" t="s">
        <v>533</v>
      </c>
      <c r="AM267" s="52" t="s">
        <v>732</v>
      </c>
      <c r="BC267" s="28">
        <v>85700997358</v>
      </c>
      <c r="BD267" s="28" t="s">
        <v>3961</v>
      </c>
      <c r="BE267" s="28">
        <v>81226765899</v>
      </c>
      <c r="BF267" s="28">
        <v>83866944525</v>
      </c>
      <c r="BG267" s="28">
        <v>89527734166</v>
      </c>
      <c r="BH267" s="28">
        <v>89620648945</v>
      </c>
      <c r="BI267" s="28">
        <v>81215505897</v>
      </c>
      <c r="BJ267" s="28">
        <v>85397244347</v>
      </c>
      <c r="BK267" s="28">
        <v>85742476952</v>
      </c>
      <c r="BO267" s="39">
        <v>60191229</v>
      </c>
      <c r="BP267" s="18" t="s">
        <v>3962</v>
      </c>
      <c r="BQ267" s="37">
        <v>44957</v>
      </c>
      <c r="BR267" s="8">
        <f t="shared" si="1"/>
        <v>9</v>
      </c>
    </row>
    <row r="268" spans="1:70" ht="15.5">
      <c r="A268" s="4" t="str">
        <v>Reguler Periode ke-101 XIV.B.1</v>
      </c>
      <c r="B268" s="4" t="s">
        <v>2073</v>
      </c>
      <c r="C268" s="38" t="s">
        <v>3963</v>
      </c>
      <c r="D268" s="4" t="s">
        <v>3964</v>
      </c>
      <c r="E268" s="4" t="s">
        <v>3965</v>
      </c>
      <c r="F268" s="4" t="s">
        <v>193</v>
      </c>
      <c r="G268" s="27" t="s">
        <v>3966</v>
      </c>
      <c r="H268" s="27" t="s">
        <v>3967</v>
      </c>
      <c r="I268" s="27" t="s">
        <v>3968</v>
      </c>
      <c r="J268" s="27" t="s">
        <v>3969</v>
      </c>
      <c r="K268" s="27" t="s">
        <v>3970</v>
      </c>
      <c r="L268" s="27" t="s">
        <v>3971</v>
      </c>
      <c r="M268" s="27" t="s">
        <v>3972</v>
      </c>
      <c r="N268" s="27" t="s">
        <v>3973</v>
      </c>
      <c r="O268" s="27" t="s">
        <v>3974</v>
      </c>
      <c r="S268" s="27">
        <v>1900003138</v>
      </c>
      <c r="T268" s="27">
        <v>1900008047</v>
      </c>
      <c r="U268" s="27">
        <v>1900010268</v>
      </c>
      <c r="V268" s="27">
        <v>1900012052</v>
      </c>
      <c r="W268" s="27">
        <v>1900018124</v>
      </c>
      <c r="X268" s="27">
        <v>1900020079</v>
      </c>
      <c r="Y268" s="27">
        <v>1900029072</v>
      </c>
      <c r="Z268" s="27">
        <v>1900029230</v>
      </c>
      <c r="AA268" s="27">
        <v>1900032009</v>
      </c>
      <c r="AE268" s="52" t="s">
        <v>178</v>
      </c>
      <c r="AF268" s="52" t="s">
        <v>1111</v>
      </c>
      <c r="AG268" s="52" t="s">
        <v>532</v>
      </c>
      <c r="AH268" s="52" t="s">
        <v>885</v>
      </c>
      <c r="AI268" s="52" t="s">
        <v>179</v>
      </c>
      <c r="AJ268" s="52" t="s">
        <v>351</v>
      </c>
      <c r="AK268" s="52" t="s">
        <v>533</v>
      </c>
      <c r="AL268" s="52" t="s">
        <v>533</v>
      </c>
      <c r="AM268" s="52" t="s">
        <v>732</v>
      </c>
      <c r="BC268" s="28">
        <v>8157681119</v>
      </c>
      <c r="BD268" s="28">
        <v>81354027697</v>
      </c>
      <c r="BE268" s="28">
        <v>81217190248</v>
      </c>
      <c r="BF268" s="28">
        <v>85267390064</v>
      </c>
      <c r="BG268" s="28">
        <v>83802250531</v>
      </c>
      <c r="BH268" s="28">
        <v>82214833136</v>
      </c>
      <c r="BI268" s="28">
        <v>81311430271</v>
      </c>
      <c r="BJ268" s="28">
        <v>82170927821</v>
      </c>
      <c r="BK268" s="28">
        <v>85802158489</v>
      </c>
      <c r="BO268" s="39">
        <v>60160930</v>
      </c>
      <c r="BP268" s="18" t="s">
        <v>3975</v>
      </c>
      <c r="BQ268" s="37">
        <v>44957</v>
      </c>
      <c r="BR268" s="8">
        <f t="shared" si="1"/>
        <v>9</v>
      </c>
    </row>
    <row r="269" spans="1:70" ht="15.5">
      <c r="A269" s="4" t="str">
        <v>Reguler Periode ke-101 XIV.B.2</v>
      </c>
      <c r="B269" s="4" t="s">
        <v>2073</v>
      </c>
      <c r="C269" s="38" t="s">
        <v>3976</v>
      </c>
      <c r="D269" s="4" t="s">
        <v>3964</v>
      </c>
      <c r="E269" s="4" t="s">
        <v>3977</v>
      </c>
      <c r="F269" s="4" t="s">
        <v>193</v>
      </c>
      <c r="G269" s="27" t="s">
        <v>3978</v>
      </c>
      <c r="H269" s="27" t="s">
        <v>3979</v>
      </c>
      <c r="I269" s="27" t="s">
        <v>3980</v>
      </c>
      <c r="J269" s="27" t="s">
        <v>3981</v>
      </c>
      <c r="K269" s="27" t="s">
        <v>3982</v>
      </c>
      <c r="L269" s="27" t="s">
        <v>3983</v>
      </c>
      <c r="M269" s="27" t="s">
        <v>3984</v>
      </c>
      <c r="N269" s="27" t="s">
        <v>3985</v>
      </c>
      <c r="O269" s="27" t="s">
        <v>3986</v>
      </c>
      <c r="S269" s="27">
        <v>1900003084</v>
      </c>
      <c r="T269" s="27">
        <v>1900008069</v>
      </c>
      <c r="U269" s="27">
        <v>1900010279</v>
      </c>
      <c r="V269" s="27">
        <v>1900012197</v>
      </c>
      <c r="W269" s="27">
        <v>1900018342</v>
      </c>
      <c r="X269" s="27">
        <v>1900020045</v>
      </c>
      <c r="Y269" s="27">
        <v>1900029232</v>
      </c>
      <c r="Z269" s="27">
        <v>1900029293</v>
      </c>
      <c r="AA269" s="27">
        <v>1900032190</v>
      </c>
      <c r="AE269" s="27" t="s">
        <v>178</v>
      </c>
      <c r="AF269" s="27" t="s">
        <v>1111</v>
      </c>
      <c r="AG269" s="27" t="s">
        <v>532</v>
      </c>
      <c r="AH269" s="27" t="s">
        <v>885</v>
      </c>
      <c r="AI269" s="27" t="s">
        <v>179</v>
      </c>
      <c r="AJ269" s="27" t="s">
        <v>351</v>
      </c>
      <c r="AK269" s="27" t="s">
        <v>533</v>
      </c>
      <c r="AL269" s="27" t="s">
        <v>533</v>
      </c>
      <c r="AM269" s="27" t="s">
        <v>732</v>
      </c>
      <c r="BC269" s="28">
        <v>81934186160</v>
      </c>
      <c r="BD269" s="28">
        <v>85603019714</v>
      </c>
      <c r="BE269" s="28">
        <v>85950711024</v>
      </c>
      <c r="BF269" s="28">
        <v>88225229718</v>
      </c>
      <c r="BG269" s="28">
        <v>82223017754</v>
      </c>
      <c r="BH269" s="28">
        <v>81949421717</v>
      </c>
      <c r="BI269" s="28">
        <v>82284376753</v>
      </c>
      <c r="BJ269" s="28">
        <v>85961082949</v>
      </c>
      <c r="BK269" s="28">
        <v>82184774768</v>
      </c>
      <c r="BO269" s="39">
        <v>60160930</v>
      </c>
      <c r="BP269" s="18" t="s">
        <v>3987</v>
      </c>
      <c r="BQ269" s="37">
        <v>44957</v>
      </c>
      <c r="BR269" s="8">
        <f t="shared" si="1"/>
        <v>9</v>
      </c>
    </row>
    <row r="270" spans="1:70" ht="15.5">
      <c r="A270" s="4" t="str">
        <v>Reguler Periode ke-101 XIV.B.3</v>
      </c>
      <c r="B270" s="4" t="s">
        <v>2073</v>
      </c>
      <c r="C270" s="38" t="s">
        <v>3988</v>
      </c>
      <c r="D270" s="4" t="s">
        <v>3964</v>
      </c>
      <c r="E270" s="4" t="s">
        <v>3989</v>
      </c>
      <c r="F270" s="4" t="s">
        <v>193</v>
      </c>
      <c r="G270" s="27" t="s">
        <v>3990</v>
      </c>
      <c r="H270" s="27" t="s">
        <v>3991</v>
      </c>
      <c r="I270" s="27" t="s">
        <v>3992</v>
      </c>
      <c r="J270" s="27" t="s">
        <v>3993</v>
      </c>
      <c r="K270" s="27" t="s">
        <v>3994</v>
      </c>
      <c r="L270" s="27" t="s">
        <v>3995</v>
      </c>
      <c r="M270" s="27" t="s">
        <v>3996</v>
      </c>
      <c r="N270" s="27" t="s">
        <v>3997</v>
      </c>
      <c r="O270" s="27" t="s">
        <v>3998</v>
      </c>
      <c r="S270" s="27">
        <v>1900003083</v>
      </c>
      <c r="T270" s="27">
        <v>1900008046</v>
      </c>
      <c r="U270" s="27">
        <v>1900010290</v>
      </c>
      <c r="V270" s="27">
        <v>1900012151</v>
      </c>
      <c r="W270" s="27">
        <v>1900018247</v>
      </c>
      <c r="X270" s="27">
        <v>1900020053</v>
      </c>
      <c r="Y270" s="27">
        <v>1900029218</v>
      </c>
      <c r="Z270" s="27">
        <v>1900030125</v>
      </c>
      <c r="AA270" s="27">
        <v>1900032072</v>
      </c>
      <c r="AE270" s="27" t="s">
        <v>178</v>
      </c>
      <c r="AF270" s="27" t="s">
        <v>1111</v>
      </c>
      <c r="AG270" s="27" t="s">
        <v>532</v>
      </c>
      <c r="AH270" s="27" t="s">
        <v>885</v>
      </c>
      <c r="AI270" s="27" t="s">
        <v>179</v>
      </c>
      <c r="AJ270" s="27" t="s">
        <v>351</v>
      </c>
      <c r="AK270" s="27" t="s">
        <v>533</v>
      </c>
      <c r="AL270" s="27" t="s">
        <v>184</v>
      </c>
      <c r="AM270" s="27" t="s">
        <v>732</v>
      </c>
      <c r="BC270" s="28">
        <v>8882645380</v>
      </c>
      <c r="BD270" s="28">
        <v>85540303880</v>
      </c>
      <c r="BE270" s="28">
        <v>81223063534</v>
      </c>
      <c r="BF270" s="28">
        <v>81329091044</v>
      </c>
      <c r="BG270" s="28">
        <v>81375721620</v>
      </c>
      <c r="BH270" s="28">
        <v>88233225407</v>
      </c>
      <c r="BI270" s="28">
        <v>82118794759</v>
      </c>
      <c r="BJ270" s="28">
        <v>81228554947</v>
      </c>
      <c r="BK270" s="28">
        <v>85869715553</v>
      </c>
      <c r="BO270" s="39">
        <v>60160930</v>
      </c>
      <c r="BP270" s="18" t="s">
        <v>3999</v>
      </c>
      <c r="BQ270" s="37">
        <v>44957</v>
      </c>
      <c r="BR270" s="8">
        <f t="shared" si="1"/>
        <v>9</v>
      </c>
    </row>
    <row r="271" spans="1:70" ht="15.5">
      <c r="A271" s="4" t="str">
        <v>Reguler Periode ke-101 XIV.C.1</v>
      </c>
      <c r="B271" s="4" t="s">
        <v>2073</v>
      </c>
      <c r="C271" s="38" t="s">
        <v>4000</v>
      </c>
      <c r="D271" s="4" t="s">
        <v>285</v>
      </c>
      <c r="E271" s="4" t="s">
        <v>4001</v>
      </c>
      <c r="F271" s="4" t="s">
        <v>193</v>
      </c>
      <c r="G271" s="27" t="s">
        <v>4002</v>
      </c>
      <c r="H271" s="27" t="s">
        <v>4003</v>
      </c>
      <c r="I271" s="27" t="s">
        <v>4004</v>
      </c>
      <c r="J271" s="27" t="s">
        <v>4005</v>
      </c>
      <c r="K271" s="27" t="s">
        <v>4006</v>
      </c>
      <c r="L271" s="27" t="s">
        <v>4007</v>
      </c>
      <c r="M271" s="27" t="s">
        <v>4008</v>
      </c>
      <c r="N271" s="27" t="s">
        <v>4009</v>
      </c>
      <c r="O271" s="27" t="s">
        <v>4010</v>
      </c>
      <c r="S271" s="27">
        <v>1700030023</v>
      </c>
      <c r="T271" s="27">
        <v>1900003168</v>
      </c>
      <c r="U271" s="27">
        <v>1900008083</v>
      </c>
      <c r="V271" s="27">
        <v>1900010318</v>
      </c>
      <c r="W271" s="27">
        <v>1900012223</v>
      </c>
      <c r="X271" s="27">
        <v>1900018398</v>
      </c>
      <c r="Y271" s="27">
        <v>1900020061</v>
      </c>
      <c r="Z271" s="27">
        <v>1900029163</v>
      </c>
      <c r="AA271" s="27">
        <v>1900032053</v>
      </c>
      <c r="AE271" s="27" t="s">
        <v>184</v>
      </c>
      <c r="AF271" s="27" t="s">
        <v>178</v>
      </c>
      <c r="AG271" s="27" t="s">
        <v>1111</v>
      </c>
      <c r="AH271" s="27" t="s">
        <v>532</v>
      </c>
      <c r="AI271" s="27" t="s">
        <v>885</v>
      </c>
      <c r="AJ271" s="27" t="s">
        <v>179</v>
      </c>
      <c r="AK271" s="27" t="s">
        <v>351</v>
      </c>
      <c r="AL271" s="27" t="s">
        <v>533</v>
      </c>
      <c r="AM271" s="27" t="s">
        <v>732</v>
      </c>
      <c r="BC271" s="28">
        <v>82319621787</v>
      </c>
      <c r="BD271" s="28">
        <v>87845354739</v>
      </c>
      <c r="BE271" s="28">
        <v>82283891803</v>
      </c>
      <c r="BF271" s="28">
        <v>85727689918</v>
      </c>
      <c r="BG271" s="28">
        <v>85865678689</v>
      </c>
      <c r="BH271" s="28">
        <v>895360702055</v>
      </c>
      <c r="BI271" s="28">
        <v>81266201624</v>
      </c>
      <c r="BJ271" s="28">
        <v>85821884634</v>
      </c>
      <c r="BK271" s="28">
        <v>81246731594</v>
      </c>
      <c r="BO271" s="39">
        <v>60081548</v>
      </c>
      <c r="BP271" s="18" t="s">
        <v>4011</v>
      </c>
      <c r="BQ271" s="37">
        <v>44957</v>
      </c>
      <c r="BR271" s="8">
        <f t="shared" si="1"/>
        <v>9</v>
      </c>
    </row>
    <row r="272" spans="1:70" ht="15.5">
      <c r="A272" s="4" t="str">
        <v>Reguler Periode ke-101 XIV.C.2</v>
      </c>
      <c r="B272" s="4" t="s">
        <v>2073</v>
      </c>
      <c r="C272" s="38" t="s">
        <v>4012</v>
      </c>
      <c r="D272" s="4" t="s">
        <v>285</v>
      </c>
      <c r="E272" s="4" t="s">
        <v>4013</v>
      </c>
      <c r="F272" s="4" t="s">
        <v>193</v>
      </c>
      <c r="G272" s="27" t="s">
        <v>4014</v>
      </c>
      <c r="H272" s="27" t="s">
        <v>4015</v>
      </c>
      <c r="I272" s="27" t="s">
        <v>4016</v>
      </c>
      <c r="J272" s="27" t="s">
        <v>4017</v>
      </c>
      <c r="K272" s="27" t="s">
        <v>4018</v>
      </c>
      <c r="L272" s="27" t="s">
        <v>4019</v>
      </c>
      <c r="M272" s="27" t="s">
        <v>4020</v>
      </c>
      <c r="N272" s="27" t="s">
        <v>4021</v>
      </c>
      <c r="O272" s="27" t="s">
        <v>4022</v>
      </c>
      <c r="S272" s="27">
        <v>1900003034</v>
      </c>
      <c r="T272" s="27">
        <v>1900010216</v>
      </c>
      <c r="U272" s="27">
        <v>1900012173</v>
      </c>
      <c r="V272" s="27">
        <v>1900018387</v>
      </c>
      <c r="W272" s="27">
        <v>1900020095</v>
      </c>
      <c r="X272" s="27">
        <v>1900029174</v>
      </c>
      <c r="Y272" s="27">
        <v>1900030377</v>
      </c>
      <c r="Z272" s="27">
        <v>1900032163</v>
      </c>
      <c r="AA272" s="27">
        <v>1915008059</v>
      </c>
      <c r="AE272" s="27" t="s">
        <v>178</v>
      </c>
      <c r="AF272" s="27" t="s">
        <v>532</v>
      </c>
      <c r="AG272" s="27" t="s">
        <v>885</v>
      </c>
      <c r="AH272" s="27" t="s">
        <v>179</v>
      </c>
      <c r="AI272" s="27" t="s">
        <v>351</v>
      </c>
      <c r="AJ272" s="27" t="s">
        <v>533</v>
      </c>
      <c r="AK272" s="27" t="s">
        <v>184</v>
      </c>
      <c r="AL272" s="27" t="s">
        <v>732</v>
      </c>
      <c r="AM272" s="27" t="s">
        <v>1111</v>
      </c>
      <c r="BC272" s="28">
        <v>89674407702</v>
      </c>
      <c r="BD272" s="28">
        <v>82256563156</v>
      </c>
      <c r="BE272" s="28">
        <v>89630428936</v>
      </c>
      <c r="BF272" s="28">
        <v>81328759469</v>
      </c>
      <c r="BG272" s="28">
        <v>82192559745</v>
      </c>
      <c r="BH272" s="28">
        <v>85212253919</v>
      </c>
      <c r="BI272" s="28">
        <v>85802433194</v>
      </c>
      <c r="BJ272" s="28">
        <v>82197530204</v>
      </c>
      <c r="BK272" s="28">
        <v>85877134849</v>
      </c>
      <c r="BO272" s="39">
        <v>60081548</v>
      </c>
      <c r="BP272" s="18" t="s">
        <v>4023</v>
      </c>
      <c r="BQ272" s="37">
        <v>44957</v>
      </c>
      <c r="BR272" s="8">
        <f t="shared" si="1"/>
        <v>9</v>
      </c>
    </row>
    <row r="273" spans="1:73" ht="15.5">
      <c r="A273" s="4" t="str">
        <v>Reguler Periode ke-101 XIV.C.3</v>
      </c>
      <c r="B273" s="4" t="s">
        <v>2073</v>
      </c>
      <c r="C273" s="38" t="s">
        <v>4024</v>
      </c>
      <c r="D273" s="4" t="s">
        <v>285</v>
      </c>
      <c r="E273" s="4" t="s">
        <v>4025</v>
      </c>
      <c r="F273" s="4" t="s">
        <v>193</v>
      </c>
      <c r="G273" s="27" t="s">
        <v>4026</v>
      </c>
      <c r="H273" s="27" t="s">
        <v>4027</v>
      </c>
      <c r="I273" s="27" t="s">
        <v>4028</v>
      </c>
      <c r="J273" s="27" t="s">
        <v>4029</v>
      </c>
      <c r="K273" s="27" t="s">
        <v>4030</v>
      </c>
      <c r="L273" s="27" t="s">
        <v>4031</v>
      </c>
      <c r="M273" s="27" t="s">
        <v>4032</v>
      </c>
      <c r="N273" s="27" t="s">
        <v>4033</v>
      </c>
      <c r="O273" s="27" t="s">
        <v>4034</v>
      </c>
      <c r="S273" s="27">
        <v>1900003128</v>
      </c>
      <c r="T273" s="27">
        <v>1900008072</v>
      </c>
      <c r="U273" s="27">
        <v>1900010127</v>
      </c>
      <c r="V273" s="27">
        <v>1900012091</v>
      </c>
      <c r="W273" s="27">
        <v>1900018076</v>
      </c>
      <c r="X273" s="27">
        <v>1900020022</v>
      </c>
      <c r="Y273" s="27">
        <v>1900029193</v>
      </c>
      <c r="Z273" s="27">
        <v>1900030111</v>
      </c>
      <c r="AA273" s="27">
        <v>1900032091</v>
      </c>
      <c r="AE273" s="52" t="s">
        <v>178</v>
      </c>
      <c r="AF273" s="52" t="s">
        <v>1111</v>
      </c>
      <c r="AG273" s="52" t="s">
        <v>532</v>
      </c>
      <c r="AH273" s="52" t="s">
        <v>885</v>
      </c>
      <c r="AI273" s="52" t="s">
        <v>179</v>
      </c>
      <c r="AJ273" s="52" t="s">
        <v>351</v>
      </c>
      <c r="AK273" s="52" t="s">
        <v>533</v>
      </c>
      <c r="AL273" s="52" t="s">
        <v>184</v>
      </c>
      <c r="AM273" s="52" t="s">
        <v>732</v>
      </c>
      <c r="BC273" s="28">
        <v>87896776712</v>
      </c>
      <c r="BD273" s="28">
        <v>85894550165</v>
      </c>
      <c r="BE273" s="28">
        <v>81346530331</v>
      </c>
      <c r="BF273" s="28">
        <v>89514810546</v>
      </c>
      <c r="BG273" s="28">
        <v>81337209633</v>
      </c>
      <c r="BH273" s="28">
        <v>85756716977</v>
      </c>
      <c r="BI273" s="28">
        <v>87845209477</v>
      </c>
      <c r="BJ273" s="28">
        <v>81361517233</v>
      </c>
      <c r="BK273" s="28">
        <v>83844555399</v>
      </c>
      <c r="BO273" s="39">
        <v>60081548</v>
      </c>
      <c r="BP273" s="18" t="s">
        <v>4035</v>
      </c>
      <c r="BQ273" s="37">
        <v>44957</v>
      </c>
      <c r="BR273" s="8">
        <f t="shared" si="1"/>
        <v>9</v>
      </c>
    </row>
    <row r="274" spans="1:73" ht="15.5">
      <c r="A274" s="4" t="str">
        <v>Reguler Periode ke-101 XIV.D.1</v>
      </c>
      <c r="B274" s="4" t="s">
        <v>2073</v>
      </c>
      <c r="C274" s="38" t="s">
        <v>4036</v>
      </c>
      <c r="D274" s="4" t="s">
        <v>4037</v>
      </c>
      <c r="E274" s="4" t="s">
        <v>4038</v>
      </c>
      <c r="F274" s="4" t="s">
        <v>4039</v>
      </c>
      <c r="G274" s="27" t="s">
        <v>4040</v>
      </c>
      <c r="H274" s="27" t="s">
        <v>4041</v>
      </c>
      <c r="I274" s="27" t="s">
        <v>4042</v>
      </c>
      <c r="J274" s="27" t="s">
        <v>4043</v>
      </c>
      <c r="K274" s="27" t="s">
        <v>4044</v>
      </c>
      <c r="L274" s="27" t="s">
        <v>4045</v>
      </c>
      <c r="M274" s="27" t="s">
        <v>4046</v>
      </c>
      <c r="N274" s="27" t="s">
        <v>4047</v>
      </c>
      <c r="O274" s="27" t="s">
        <v>4048</v>
      </c>
      <c r="S274" s="27">
        <v>1900003136</v>
      </c>
      <c r="T274" s="27">
        <v>1900008016</v>
      </c>
      <c r="U274" s="27">
        <v>1900010025</v>
      </c>
      <c r="V274" s="27">
        <v>1900012196</v>
      </c>
      <c r="W274" s="27">
        <v>1900018336</v>
      </c>
      <c r="X274" s="27">
        <v>1900020063</v>
      </c>
      <c r="Y274" s="27">
        <v>1900029243</v>
      </c>
      <c r="Z274" s="27">
        <v>1900030051</v>
      </c>
      <c r="AA274" s="27">
        <v>1900032192</v>
      </c>
      <c r="AE274" s="27" t="s">
        <v>178</v>
      </c>
      <c r="AF274" s="27" t="s">
        <v>1111</v>
      </c>
      <c r="AG274" s="27" t="s">
        <v>532</v>
      </c>
      <c r="AH274" s="27" t="s">
        <v>885</v>
      </c>
      <c r="AI274" s="27" t="s">
        <v>179</v>
      </c>
      <c r="AJ274" s="27" t="s">
        <v>351</v>
      </c>
      <c r="AK274" s="27" t="s">
        <v>533</v>
      </c>
      <c r="AL274" s="27" t="s">
        <v>184</v>
      </c>
      <c r="AM274" s="27" t="s">
        <v>732</v>
      </c>
      <c r="BC274" s="28">
        <v>895363363215</v>
      </c>
      <c r="BD274" s="28">
        <v>85668425824</v>
      </c>
      <c r="BE274" s="28">
        <v>81939541567</v>
      </c>
      <c r="BF274" s="28">
        <v>81578219957</v>
      </c>
      <c r="BG274" s="28">
        <v>82257955457</v>
      </c>
      <c r="BH274" s="28">
        <v>82137835161</v>
      </c>
      <c r="BI274" s="28">
        <v>83827620088</v>
      </c>
      <c r="BJ274" s="28">
        <v>82251110492</v>
      </c>
      <c r="BK274" s="28">
        <v>85600389069</v>
      </c>
      <c r="BO274" s="39">
        <v>60171099</v>
      </c>
      <c r="BP274" s="18" t="s">
        <v>4049</v>
      </c>
      <c r="BQ274" s="37">
        <v>44957</v>
      </c>
      <c r="BR274" s="8">
        <f t="shared" si="1"/>
        <v>9</v>
      </c>
    </row>
    <row r="275" spans="1:73" ht="15.5">
      <c r="A275" s="4" t="str">
        <v>Reguler Periode ke-101 XIV.D.2</v>
      </c>
      <c r="B275" s="4" t="s">
        <v>2073</v>
      </c>
      <c r="C275" s="38" t="s">
        <v>4050</v>
      </c>
      <c r="D275" s="4" t="s">
        <v>4037</v>
      </c>
      <c r="E275" s="4" t="s">
        <v>4051</v>
      </c>
      <c r="F275" s="4" t="s">
        <v>4039</v>
      </c>
      <c r="G275" s="27" t="s">
        <v>4052</v>
      </c>
      <c r="H275" s="27" t="s">
        <v>4053</v>
      </c>
      <c r="I275" s="27" t="s">
        <v>4054</v>
      </c>
      <c r="J275" s="27" t="s">
        <v>4055</v>
      </c>
      <c r="K275" s="27" t="s">
        <v>4056</v>
      </c>
      <c r="L275" s="27" t="s">
        <v>4057</v>
      </c>
      <c r="M275" s="27" t="s">
        <v>4058</v>
      </c>
      <c r="N275" s="27" t="s">
        <v>4059</v>
      </c>
      <c r="O275" s="27" t="s">
        <v>4060</v>
      </c>
      <c r="S275" s="27">
        <v>1700010033</v>
      </c>
      <c r="T275" s="27">
        <v>1900003143</v>
      </c>
      <c r="U275" s="27">
        <v>1900008088</v>
      </c>
      <c r="V275" s="27">
        <v>1900012070</v>
      </c>
      <c r="W275" s="27">
        <v>1900018318</v>
      </c>
      <c r="X275" s="27">
        <v>1900020090</v>
      </c>
      <c r="Y275" s="27">
        <v>1900029253</v>
      </c>
      <c r="Z275" s="27">
        <v>1900030031</v>
      </c>
      <c r="AA275" s="27">
        <v>1900032078</v>
      </c>
      <c r="AE275" s="27" t="s">
        <v>532</v>
      </c>
      <c r="AF275" s="27" t="s">
        <v>178</v>
      </c>
      <c r="AG275" s="27" t="s">
        <v>1111</v>
      </c>
      <c r="AH275" s="27" t="s">
        <v>885</v>
      </c>
      <c r="AI275" s="27" t="s">
        <v>179</v>
      </c>
      <c r="AJ275" s="27" t="s">
        <v>351</v>
      </c>
      <c r="AK275" s="27" t="s">
        <v>533</v>
      </c>
      <c r="AL275" s="27" t="s">
        <v>184</v>
      </c>
      <c r="AM275" s="27" t="s">
        <v>732</v>
      </c>
      <c r="BC275" s="28">
        <v>85337281805</v>
      </c>
      <c r="BD275" s="28">
        <v>83149724585</v>
      </c>
      <c r="BE275" s="28">
        <v>82170954458</v>
      </c>
      <c r="BF275" s="28">
        <v>82272378711</v>
      </c>
      <c r="BG275" s="28">
        <v>85238888171</v>
      </c>
      <c r="BH275" s="28">
        <v>82373319518</v>
      </c>
      <c r="BI275" s="28">
        <v>87846328152</v>
      </c>
      <c r="BJ275" s="28">
        <v>8994290750</v>
      </c>
      <c r="BK275" s="28">
        <v>87875745394</v>
      </c>
      <c r="BO275" s="39">
        <v>60171099</v>
      </c>
      <c r="BP275" s="18" t="s">
        <v>4061</v>
      </c>
      <c r="BQ275" s="37">
        <v>44957</v>
      </c>
      <c r="BR275" s="8">
        <f t="shared" si="1"/>
        <v>9</v>
      </c>
    </row>
    <row r="276" spans="1:73" ht="15.5">
      <c r="A276" s="4" t="str">
        <v>Reguler Periode ke-101 XIV.D.3</v>
      </c>
      <c r="B276" s="4" t="s">
        <v>2073</v>
      </c>
      <c r="C276" s="38" t="s">
        <v>4062</v>
      </c>
      <c r="D276" s="4" t="s">
        <v>4037</v>
      </c>
      <c r="E276" s="4" t="s">
        <v>4063</v>
      </c>
      <c r="F276" s="4" t="s">
        <v>4039</v>
      </c>
      <c r="G276" s="27" t="s">
        <v>4064</v>
      </c>
      <c r="H276" s="27" t="s">
        <v>4065</v>
      </c>
      <c r="I276" s="27" t="s">
        <v>4066</v>
      </c>
      <c r="J276" s="27" t="s">
        <v>4067</v>
      </c>
      <c r="K276" s="27" t="s">
        <v>3874</v>
      </c>
      <c r="L276" s="27" t="s">
        <v>4068</v>
      </c>
      <c r="M276" s="27" t="s">
        <v>4069</v>
      </c>
      <c r="N276" s="27" t="s">
        <v>4070</v>
      </c>
      <c r="O276" s="27" t="s">
        <v>4071</v>
      </c>
      <c r="S276" s="27">
        <v>1900003129</v>
      </c>
      <c r="T276" s="27">
        <v>1900008012</v>
      </c>
      <c r="U276" s="27">
        <v>1900010300</v>
      </c>
      <c r="V276" s="27">
        <v>1900012123</v>
      </c>
      <c r="W276" s="27">
        <v>1900018226</v>
      </c>
      <c r="X276" s="27">
        <v>1900020008</v>
      </c>
      <c r="Y276" s="27">
        <v>1900029172</v>
      </c>
      <c r="Z276" s="27">
        <v>1900030166</v>
      </c>
      <c r="AA276" s="27">
        <v>1900032159</v>
      </c>
      <c r="AE276" s="27" t="s">
        <v>178</v>
      </c>
      <c r="AF276" s="27" t="s">
        <v>1111</v>
      </c>
      <c r="AG276" s="27" t="s">
        <v>532</v>
      </c>
      <c r="AH276" s="27" t="s">
        <v>885</v>
      </c>
      <c r="AI276" s="27" t="s">
        <v>179</v>
      </c>
      <c r="AJ276" s="27" t="s">
        <v>351</v>
      </c>
      <c r="AK276" s="27" t="s">
        <v>533</v>
      </c>
      <c r="AL276" s="27" t="s">
        <v>184</v>
      </c>
      <c r="AM276" s="27" t="s">
        <v>732</v>
      </c>
      <c r="BC276" s="28">
        <v>81380192945</v>
      </c>
      <c r="BD276" s="28">
        <v>895358186885</v>
      </c>
      <c r="BE276" s="28">
        <v>85161416574</v>
      </c>
      <c r="BF276" s="28">
        <v>82136123991</v>
      </c>
      <c r="BG276" s="28">
        <v>85727685149</v>
      </c>
      <c r="BH276" s="28">
        <v>81273473946</v>
      </c>
      <c r="BI276" s="28">
        <v>87836741248</v>
      </c>
      <c r="BJ276" s="28">
        <v>85725225409</v>
      </c>
      <c r="BK276" s="28">
        <v>8995993540</v>
      </c>
      <c r="BO276" s="39">
        <v>60171099</v>
      </c>
      <c r="BP276" s="18" t="s">
        <v>4072</v>
      </c>
      <c r="BQ276" s="37">
        <v>44957</v>
      </c>
      <c r="BR276" s="8">
        <f t="shared" si="1"/>
        <v>9</v>
      </c>
    </row>
    <row r="277" spans="1:73" ht="15.5">
      <c r="A277" s="4" t="str">
        <v>Reguler Periode ke-101 XV.A.1</v>
      </c>
      <c r="B277" s="4" t="s">
        <v>2073</v>
      </c>
      <c r="C277" s="38" t="s">
        <v>4073</v>
      </c>
      <c r="D277" s="4" t="s">
        <v>4074</v>
      </c>
      <c r="E277" s="4" t="s">
        <v>4075</v>
      </c>
      <c r="F277" s="4" t="s">
        <v>4039</v>
      </c>
      <c r="G277" s="27" t="s">
        <v>4076</v>
      </c>
      <c r="H277" s="27" t="s">
        <v>4077</v>
      </c>
      <c r="I277" s="27" t="s">
        <v>4078</v>
      </c>
      <c r="J277" s="27" t="s">
        <v>4079</v>
      </c>
      <c r="K277" s="27" t="s">
        <v>4080</v>
      </c>
      <c r="L277" s="27" t="s">
        <v>4081</v>
      </c>
      <c r="M277" s="27" t="s">
        <v>4082</v>
      </c>
      <c r="N277" s="27" t="s">
        <v>4083</v>
      </c>
      <c r="O277" s="27" t="s">
        <v>4084</v>
      </c>
      <c r="S277" s="27">
        <v>1900003029</v>
      </c>
      <c r="T277" s="27">
        <v>1900010338</v>
      </c>
      <c r="U277" s="27">
        <v>1900012125</v>
      </c>
      <c r="V277" s="27">
        <v>1900018257</v>
      </c>
      <c r="W277" s="27">
        <v>1900020097</v>
      </c>
      <c r="X277" s="27">
        <v>1900029068</v>
      </c>
      <c r="Y277" s="27">
        <v>1900030393</v>
      </c>
      <c r="Z277" s="27">
        <v>1900032129</v>
      </c>
      <c r="AA277" s="27">
        <v>1911008091</v>
      </c>
      <c r="AE277" s="27" t="s">
        <v>178</v>
      </c>
      <c r="AF277" s="27" t="s">
        <v>532</v>
      </c>
      <c r="AG277" s="27" t="s">
        <v>885</v>
      </c>
      <c r="AH277" s="27" t="s">
        <v>179</v>
      </c>
      <c r="AI277" s="27" t="s">
        <v>351</v>
      </c>
      <c r="AJ277" s="27" t="s">
        <v>533</v>
      </c>
      <c r="AK277" s="27" t="s">
        <v>184</v>
      </c>
      <c r="AL277" s="27" t="s">
        <v>732</v>
      </c>
      <c r="AM277" s="27" t="s">
        <v>1111</v>
      </c>
      <c r="BC277" s="28">
        <v>82135925510</v>
      </c>
      <c r="BD277" s="28">
        <v>82280033540</v>
      </c>
      <c r="BE277" s="28">
        <v>87832003542</v>
      </c>
      <c r="BF277" s="28">
        <v>82384073098</v>
      </c>
      <c r="BG277" s="28">
        <v>88233936959</v>
      </c>
      <c r="BH277" s="28">
        <v>81717252507</v>
      </c>
      <c r="BI277" s="28">
        <v>82121863707</v>
      </c>
      <c r="BJ277" s="28">
        <v>88239881646</v>
      </c>
      <c r="BK277" s="28">
        <v>85778149094</v>
      </c>
      <c r="BO277" s="39">
        <v>60211271</v>
      </c>
      <c r="BP277" s="18" t="s">
        <v>4085</v>
      </c>
      <c r="BQ277" s="37">
        <v>44957</v>
      </c>
      <c r="BR277" s="8">
        <f t="shared" si="1"/>
        <v>9</v>
      </c>
    </row>
    <row r="278" spans="1:73" ht="15.5">
      <c r="A278" s="4" t="str">
        <v>Reguler Periode ke-101 XV.A.2</v>
      </c>
      <c r="B278" s="4" t="s">
        <v>2073</v>
      </c>
      <c r="C278" s="38" t="s">
        <v>4086</v>
      </c>
      <c r="D278" s="4" t="s">
        <v>4074</v>
      </c>
      <c r="E278" s="4" t="s">
        <v>4087</v>
      </c>
      <c r="F278" s="4" t="s">
        <v>4039</v>
      </c>
      <c r="G278" s="27" t="s">
        <v>4088</v>
      </c>
      <c r="H278" s="27" t="s">
        <v>4089</v>
      </c>
      <c r="I278" s="27" t="s">
        <v>4090</v>
      </c>
      <c r="J278" s="27" t="s">
        <v>4091</v>
      </c>
      <c r="K278" s="27" t="s">
        <v>4092</v>
      </c>
      <c r="L278" s="27" t="s">
        <v>4093</v>
      </c>
      <c r="M278" s="27" t="s">
        <v>4094</v>
      </c>
      <c r="N278" s="27" t="s">
        <v>4095</v>
      </c>
      <c r="O278" s="27" t="s">
        <v>4096</v>
      </c>
      <c r="S278" s="27">
        <v>1900003082</v>
      </c>
      <c r="T278" s="27">
        <v>1900008080</v>
      </c>
      <c r="U278" s="27">
        <v>1900010205</v>
      </c>
      <c r="V278" s="27">
        <v>1900013353</v>
      </c>
      <c r="W278" s="27">
        <v>1900018172</v>
      </c>
      <c r="X278" s="27">
        <v>1900020015</v>
      </c>
      <c r="Y278" s="27">
        <v>1900029135</v>
      </c>
      <c r="Z278" s="27">
        <v>1900030404</v>
      </c>
      <c r="AA278" s="27">
        <v>1900032147</v>
      </c>
      <c r="AE278" s="27" t="s">
        <v>178</v>
      </c>
      <c r="AF278" s="27" t="s">
        <v>1111</v>
      </c>
      <c r="AG278" s="27" t="s">
        <v>532</v>
      </c>
      <c r="AH278" s="27" t="s">
        <v>677</v>
      </c>
      <c r="AI278" s="27" t="s">
        <v>179</v>
      </c>
      <c r="AJ278" s="27" t="s">
        <v>351</v>
      </c>
      <c r="AK278" s="27" t="s">
        <v>533</v>
      </c>
      <c r="AL278" s="27" t="s">
        <v>184</v>
      </c>
      <c r="AM278" s="27" t="s">
        <v>732</v>
      </c>
      <c r="BC278" s="28">
        <v>85643496621</v>
      </c>
      <c r="BD278" s="28">
        <v>82248999598</v>
      </c>
      <c r="BE278" s="28">
        <v>82221504631</v>
      </c>
      <c r="BF278" s="28">
        <v>82358221616</v>
      </c>
      <c r="BG278" s="28">
        <v>81249662886</v>
      </c>
      <c r="BH278" s="28">
        <v>82287694597</v>
      </c>
      <c r="BI278" s="28">
        <v>81228342188</v>
      </c>
      <c r="BJ278" s="28">
        <v>89652695328</v>
      </c>
      <c r="BK278" s="28">
        <v>81385576702</v>
      </c>
      <c r="BO278" s="39">
        <v>60211271</v>
      </c>
      <c r="BP278" s="18" t="s">
        <v>4097</v>
      </c>
      <c r="BQ278" s="37">
        <v>44957</v>
      </c>
      <c r="BR278" s="8">
        <f t="shared" si="1"/>
        <v>9</v>
      </c>
    </row>
    <row r="279" spans="1:73" ht="15.5">
      <c r="A279" s="4" t="str">
        <v>Reguler Periode ke-101 XV.A.3</v>
      </c>
      <c r="B279" s="4" t="s">
        <v>2073</v>
      </c>
      <c r="C279" s="38" t="s">
        <v>4098</v>
      </c>
      <c r="D279" s="4" t="s">
        <v>4074</v>
      </c>
      <c r="E279" s="4" t="s">
        <v>4099</v>
      </c>
      <c r="F279" s="4" t="s">
        <v>4039</v>
      </c>
      <c r="G279" s="27" t="s">
        <v>4100</v>
      </c>
      <c r="H279" s="27" t="s">
        <v>4101</v>
      </c>
      <c r="I279" s="27" t="s">
        <v>4102</v>
      </c>
      <c r="J279" s="27" t="s">
        <v>4103</v>
      </c>
      <c r="K279" s="27" t="s">
        <v>4104</v>
      </c>
      <c r="L279" s="27" t="s">
        <v>4105</v>
      </c>
      <c r="M279" s="27" t="s">
        <v>4106</v>
      </c>
      <c r="N279" s="27" t="s">
        <v>4107</v>
      </c>
      <c r="O279" s="27" t="s">
        <v>4108</v>
      </c>
      <c r="S279" s="27">
        <v>1900003088</v>
      </c>
      <c r="T279" s="27">
        <v>1900008041</v>
      </c>
      <c r="U279" s="27">
        <v>1900010283</v>
      </c>
      <c r="V279" s="27">
        <v>1900013110</v>
      </c>
      <c r="W279" s="27">
        <v>1900018205</v>
      </c>
      <c r="X279" s="27">
        <v>1900020016</v>
      </c>
      <c r="Y279" s="27">
        <v>1900029154</v>
      </c>
      <c r="Z279" s="27">
        <v>1900030136</v>
      </c>
      <c r="AA279" s="27">
        <v>1900032017</v>
      </c>
      <c r="AE279" s="27" t="s">
        <v>178</v>
      </c>
      <c r="AF279" s="27" t="s">
        <v>1111</v>
      </c>
      <c r="AG279" s="27" t="s">
        <v>532</v>
      </c>
      <c r="AH279" s="27" t="s">
        <v>677</v>
      </c>
      <c r="AI279" s="27" t="s">
        <v>179</v>
      </c>
      <c r="AJ279" s="27" t="s">
        <v>351</v>
      </c>
      <c r="AK279" s="27" t="s">
        <v>533</v>
      </c>
      <c r="AL279" s="27" t="s">
        <v>184</v>
      </c>
      <c r="AM279" s="27" t="s">
        <v>732</v>
      </c>
      <c r="BC279" s="28">
        <v>87760727319</v>
      </c>
      <c r="BD279" s="28">
        <v>81804181816</v>
      </c>
      <c r="BE279" s="28">
        <v>85895377193</v>
      </c>
      <c r="BF279" s="28">
        <v>85889219069</v>
      </c>
      <c r="BG279" s="28">
        <v>85353149869</v>
      </c>
      <c r="BH279" s="28">
        <v>85299163021</v>
      </c>
      <c r="BI279" s="28">
        <v>81353083015</v>
      </c>
      <c r="BJ279" s="28">
        <v>82358838864</v>
      </c>
      <c r="BK279" s="28">
        <v>83140761891</v>
      </c>
      <c r="BO279" s="39">
        <v>60211271</v>
      </c>
      <c r="BP279" s="18" t="s">
        <v>4109</v>
      </c>
      <c r="BQ279" s="37">
        <v>44957</v>
      </c>
      <c r="BR279" s="8">
        <f t="shared" si="1"/>
        <v>9</v>
      </c>
    </row>
    <row r="280" spans="1:73" ht="15.5">
      <c r="A280" s="4" t="str">
        <v>Reguler Periode ke-101 XV.B.1</v>
      </c>
      <c r="B280" s="4" t="s">
        <v>2073</v>
      </c>
      <c r="C280" s="38" t="s">
        <v>4110</v>
      </c>
      <c r="D280" s="4" t="s">
        <v>4111</v>
      </c>
      <c r="E280" s="4" t="s">
        <v>4112</v>
      </c>
      <c r="F280" s="4" t="s">
        <v>4039</v>
      </c>
      <c r="G280" s="27" t="s">
        <v>4113</v>
      </c>
      <c r="H280" s="27" t="s">
        <v>4114</v>
      </c>
      <c r="I280" s="27" t="s">
        <v>4115</v>
      </c>
      <c r="J280" s="27" t="s">
        <v>4116</v>
      </c>
      <c r="K280" s="27" t="s">
        <v>4117</v>
      </c>
      <c r="L280" s="27" t="s">
        <v>4118</v>
      </c>
      <c r="M280" s="27" t="s">
        <v>4119</v>
      </c>
      <c r="N280" s="27" t="s">
        <v>4120</v>
      </c>
      <c r="O280" s="27" t="s">
        <v>4121</v>
      </c>
      <c r="S280" s="27">
        <v>1800010268</v>
      </c>
      <c r="T280" s="27">
        <v>1900003074</v>
      </c>
      <c r="U280" s="27">
        <v>1900008067</v>
      </c>
      <c r="V280" s="27">
        <v>1900013190</v>
      </c>
      <c r="W280" s="27">
        <v>1900018029</v>
      </c>
      <c r="X280" s="27">
        <v>1900020062</v>
      </c>
      <c r="Y280" s="27">
        <v>1900029054</v>
      </c>
      <c r="Z280" s="27">
        <v>1900030099</v>
      </c>
      <c r="AA280" s="27">
        <v>1900032107</v>
      </c>
      <c r="AE280" s="27" t="s">
        <v>532</v>
      </c>
      <c r="AF280" s="27" t="s">
        <v>178</v>
      </c>
      <c r="AG280" s="27" t="s">
        <v>1111</v>
      </c>
      <c r="AH280" s="27" t="s">
        <v>677</v>
      </c>
      <c r="AI280" s="27" t="s">
        <v>179</v>
      </c>
      <c r="AJ280" s="27" t="s">
        <v>351</v>
      </c>
      <c r="AK280" s="27" t="s">
        <v>533</v>
      </c>
      <c r="AL280" s="27" t="s">
        <v>184</v>
      </c>
      <c r="AM280" s="27" t="s">
        <v>732</v>
      </c>
      <c r="BC280" s="28">
        <v>85325544883</v>
      </c>
      <c r="BD280" s="28">
        <v>87801175873</v>
      </c>
      <c r="BE280" s="28">
        <v>81280657607</v>
      </c>
      <c r="BF280" s="28">
        <v>82259598720</v>
      </c>
      <c r="BG280" s="28">
        <v>81347620603</v>
      </c>
      <c r="BH280" s="28">
        <v>83195739048</v>
      </c>
      <c r="BI280" s="28">
        <v>82248219754</v>
      </c>
      <c r="BJ280" s="28">
        <v>85669536383</v>
      </c>
      <c r="BK280" s="28">
        <v>81383802611</v>
      </c>
      <c r="BO280" s="39">
        <v>60910094</v>
      </c>
      <c r="BP280" s="18" t="s">
        <v>4122</v>
      </c>
      <c r="BQ280" s="37">
        <v>44957</v>
      </c>
      <c r="BR280" s="8">
        <f t="shared" si="1"/>
        <v>9</v>
      </c>
    </row>
    <row r="281" spans="1:73" ht="15.5">
      <c r="A281" s="4" t="str">
        <v>Reguler Periode ke-101 XV.B.2</v>
      </c>
      <c r="B281" s="4" t="s">
        <v>2073</v>
      </c>
      <c r="C281" s="38" t="s">
        <v>4123</v>
      </c>
      <c r="D281" s="4" t="s">
        <v>4111</v>
      </c>
      <c r="E281" s="4" t="s">
        <v>4124</v>
      </c>
      <c r="F281" s="4" t="s">
        <v>4039</v>
      </c>
      <c r="G281" s="27" t="s">
        <v>4125</v>
      </c>
      <c r="H281" s="27" t="s">
        <v>4126</v>
      </c>
      <c r="I281" s="27" t="s">
        <v>4127</v>
      </c>
      <c r="J281" s="27" t="s">
        <v>4128</v>
      </c>
      <c r="K281" s="27" t="s">
        <v>4129</v>
      </c>
      <c r="L281" s="27" t="s">
        <v>4130</v>
      </c>
      <c r="M281" s="27" t="s">
        <v>4131</v>
      </c>
      <c r="N281" s="27" t="s">
        <v>4132</v>
      </c>
      <c r="O281" s="27" t="s">
        <v>4133</v>
      </c>
      <c r="S281" s="27">
        <v>1900003130</v>
      </c>
      <c r="T281" s="27">
        <v>1900008032</v>
      </c>
      <c r="U281" s="27">
        <v>1900010058</v>
      </c>
      <c r="V281" s="27">
        <v>1900013119</v>
      </c>
      <c r="W281" s="27">
        <v>1900018191</v>
      </c>
      <c r="X281" s="27">
        <v>1900020103</v>
      </c>
      <c r="Y281" s="27">
        <v>1900029051</v>
      </c>
      <c r="Z281" s="27">
        <v>1900030230</v>
      </c>
      <c r="AA281" s="27">
        <v>1900032054</v>
      </c>
      <c r="AE281" s="27" t="s">
        <v>178</v>
      </c>
      <c r="AF281" s="27" t="s">
        <v>1111</v>
      </c>
      <c r="AG281" s="27" t="s">
        <v>532</v>
      </c>
      <c r="AH281" s="27" t="s">
        <v>677</v>
      </c>
      <c r="AI281" s="27" t="s">
        <v>179</v>
      </c>
      <c r="AJ281" s="27" t="s">
        <v>351</v>
      </c>
      <c r="AK281" s="27" t="s">
        <v>533</v>
      </c>
      <c r="AL281" s="27" t="s">
        <v>184</v>
      </c>
      <c r="AM281" s="27" t="s">
        <v>732</v>
      </c>
      <c r="BC281" s="28">
        <v>85385451741</v>
      </c>
      <c r="BD281" s="28">
        <v>85854957855</v>
      </c>
      <c r="BE281" s="28">
        <v>81278703744</v>
      </c>
      <c r="BF281" s="28">
        <v>89693669998</v>
      </c>
      <c r="BG281" s="28">
        <v>82225941413</v>
      </c>
      <c r="BH281" s="28">
        <v>85651312187</v>
      </c>
      <c r="BI281" s="28">
        <v>82184371948</v>
      </c>
      <c r="BJ281" s="28">
        <v>81326997590</v>
      </c>
      <c r="BK281" s="28">
        <v>81228824026</v>
      </c>
      <c r="BO281" s="39">
        <v>60910094</v>
      </c>
      <c r="BP281" s="18" t="s">
        <v>4134</v>
      </c>
      <c r="BQ281" s="37">
        <v>44957</v>
      </c>
      <c r="BR281" s="8">
        <f t="shared" si="1"/>
        <v>9</v>
      </c>
    </row>
    <row r="282" spans="1:73" ht="15.5">
      <c r="A282" s="4" t="str">
        <v>Reguler Periode ke-101 XV.B.3</v>
      </c>
      <c r="B282" s="4" t="s">
        <v>2073</v>
      </c>
      <c r="C282" s="38" t="s">
        <v>4135</v>
      </c>
      <c r="D282" s="4" t="s">
        <v>4111</v>
      </c>
      <c r="E282" s="4" t="s">
        <v>4136</v>
      </c>
      <c r="F282" s="4" t="s">
        <v>4039</v>
      </c>
      <c r="G282" s="27" t="s">
        <v>4137</v>
      </c>
      <c r="H282" s="27" t="s">
        <v>4138</v>
      </c>
      <c r="I282" s="27" t="s">
        <v>4139</v>
      </c>
      <c r="J282" s="27" t="s">
        <v>4140</v>
      </c>
      <c r="K282" s="27" t="s">
        <v>4141</v>
      </c>
      <c r="L282" s="27" t="s">
        <v>4142</v>
      </c>
      <c r="M282" s="27" t="s">
        <v>4143</v>
      </c>
      <c r="N282" s="27" t="s">
        <v>4144</v>
      </c>
      <c r="O282" s="27" t="s">
        <v>4145</v>
      </c>
      <c r="S282" s="27">
        <v>1800030007</v>
      </c>
      <c r="T282" s="27">
        <v>1900003120</v>
      </c>
      <c r="U282" s="27">
        <v>1900008019</v>
      </c>
      <c r="V282" s="27">
        <v>1900010050</v>
      </c>
      <c r="W282" s="27">
        <v>1900013218</v>
      </c>
      <c r="X282" s="27">
        <v>1900018392</v>
      </c>
      <c r="Y282" s="27">
        <v>1900020071</v>
      </c>
      <c r="Z282" s="27">
        <v>1900029115</v>
      </c>
      <c r="AA282" s="27">
        <v>1900032116</v>
      </c>
      <c r="AE282" s="27" t="s">
        <v>184</v>
      </c>
      <c r="AF282" s="27" t="s">
        <v>178</v>
      </c>
      <c r="AG282" s="27" t="s">
        <v>1111</v>
      </c>
      <c r="AH282" s="27" t="s">
        <v>532</v>
      </c>
      <c r="AI282" s="27" t="s">
        <v>677</v>
      </c>
      <c r="AJ282" s="27" t="s">
        <v>179</v>
      </c>
      <c r="AK282" s="27" t="s">
        <v>351</v>
      </c>
      <c r="AL282" s="27" t="s">
        <v>533</v>
      </c>
      <c r="AM282" s="27" t="s">
        <v>732</v>
      </c>
      <c r="BC282" s="28">
        <v>85712129254</v>
      </c>
      <c r="BD282" s="28">
        <v>85876007065</v>
      </c>
      <c r="BE282" s="28">
        <v>82134181547</v>
      </c>
      <c r="BF282" s="28">
        <v>85314544791</v>
      </c>
      <c r="BG282" s="28">
        <v>81244325105</v>
      </c>
      <c r="BH282" s="28">
        <v>895416003385</v>
      </c>
      <c r="BI282" s="28">
        <v>82157589915</v>
      </c>
      <c r="BJ282" s="28">
        <v>85740223121</v>
      </c>
      <c r="BK282" s="28">
        <v>85267029901</v>
      </c>
      <c r="BO282" s="39">
        <v>60910094</v>
      </c>
      <c r="BP282" s="18" t="s">
        <v>4146</v>
      </c>
      <c r="BQ282" s="37">
        <v>44957</v>
      </c>
      <c r="BR282" s="8">
        <f t="shared" si="1"/>
        <v>9</v>
      </c>
    </row>
    <row r="283" spans="1:73" ht="15.5">
      <c r="A283" s="4" t="str">
        <v>Reguler Periode ke-101 XV.C.1</v>
      </c>
      <c r="B283" s="4" t="s">
        <v>2073</v>
      </c>
      <c r="C283" s="38" t="s">
        <v>4147</v>
      </c>
      <c r="D283" s="4" t="s">
        <v>307</v>
      </c>
      <c r="E283" s="4" t="s">
        <v>4148</v>
      </c>
      <c r="F283" s="4" t="s">
        <v>4039</v>
      </c>
      <c r="G283" s="27" t="s">
        <v>4149</v>
      </c>
      <c r="H283" s="27" t="s">
        <v>4150</v>
      </c>
      <c r="I283" s="27" t="s">
        <v>4151</v>
      </c>
      <c r="J283" s="27" t="s">
        <v>4152</v>
      </c>
      <c r="K283" s="27" t="s">
        <v>4153</v>
      </c>
      <c r="L283" s="27" t="s">
        <v>4154</v>
      </c>
      <c r="M283" s="27" t="s">
        <v>4155</v>
      </c>
      <c r="N283" s="27" t="s">
        <v>4156</v>
      </c>
      <c r="O283" s="27" t="s">
        <v>4157</v>
      </c>
      <c r="S283" s="27">
        <v>1900004049</v>
      </c>
      <c r="T283" s="27">
        <v>1900008020</v>
      </c>
      <c r="U283" s="27">
        <v>1900010121</v>
      </c>
      <c r="V283" s="27">
        <v>1900013373</v>
      </c>
      <c r="W283" s="27">
        <v>1900018189</v>
      </c>
      <c r="X283" s="27">
        <v>1900020080</v>
      </c>
      <c r="Y283" s="27">
        <v>1900029129</v>
      </c>
      <c r="Z283" s="27">
        <v>1900030249</v>
      </c>
      <c r="AA283" s="27">
        <v>1900032123</v>
      </c>
      <c r="AE283" s="27" t="s">
        <v>201</v>
      </c>
      <c r="AF283" s="27" t="s">
        <v>1111</v>
      </c>
      <c r="AG283" s="27" t="s">
        <v>532</v>
      </c>
      <c r="AH283" s="27" t="s">
        <v>677</v>
      </c>
      <c r="AI283" s="27" t="s">
        <v>179</v>
      </c>
      <c r="AJ283" s="27" t="s">
        <v>351</v>
      </c>
      <c r="AK283" s="27" t="s">
        <v>533</v>
      </c>
      <c r="AL283" s="27" t="s">
        <v>184</v>
      </c>
      <c r="AM283" s="27" t="s">
        <v>732</v>
      </c>
      <c r="BC283" s="28">
        <v>895604468175</v>
      </c>
      <c r="BD283" s="28">
        <v>87774548620</v>
      </c>
      <c r="BE283" s="28">
        <v>81327965700</v>
      </c>
      <c r="BF283" s="28">
        <v>81335657954</v>
      </c>
      <c r="BG283" s="28">
        <v>85793472455</v>
      </c>
      <c r="BH283" s="28">
        <v>81477072921</v>
      </c>
      <c r="BI283" s="28">
        <v>83103849332</v>
      </c>
      <c r="BJ283" s="28">
        <v>81226653122</v>
      </c>
      <c r="BK283" s="28">
        <v>85337856686</v>
      </c>
      <c r="BO283" s="39">
        <v>60191210</v>
      </c>
      <c r="BP283" s="18" t="s">
        <v>4158</v>
      </c>
      <c r="BQ283" s="37">
        <v>44957</v>
      </c>
      <c r="BR283" s="8">
        <f t="shared" si="1"/>
        <v>9</v>
      </c>
    </row>
    <row r="284" spans="1:73" ht="15.5">
      <c r="A284" s="4" t="str">
        <v>Reguler Periode ke-101 XV.C.2</v>
      </c>
      <c r="B284" s="4" t="s">
        <v>2073</v>
      </c>
      <c r="C284" s="38" t="s">
        <v>4159</v>
      </c>
      <c r="D284" s="4" t="s">
        <v>307</v>
      </c>
      <c r="E284" s="4" t="s">
        <v>4160</v>
      </c>
      <c r="F284" s="4" t="s">
        <v>4039</v>
      </c>
      <c r="G284" s="27" t="s">
        <v>4161</v>
      </c>
      <c r="H284" s="27" t="s">
        <v>4162</v>
      </c>
      <c r="I284" s="27" t="s">
        <v>4163</v>
      </c>
      <c r="J284" s="27" t="s">
        <v>4164</v>
      </c>
      <c r="K284" s="27" t="s">
        <v>4165</v>
      </c>
      <c r="L284" s="27" t="s">
        <v>4166</v>
      </c>
      <c r="M284" s="27" t="s">
        <v>4167</v>
      </c>
      <c r="N284" s="27" t="s">
        <v>4168</v>
      </c>
      <c r="O284" s="27" t="s">
        <v>4169</v>
      </c>
      <c r="S284" s="27">
        <v>1900004147</v>
      </c>
      <c r="T284" s="27">
        <v>1900008050</v>
      </c>
      <c r="U284" s="27">
        <v>1900010238</v>
      </c>
      <c r="V284" s="27">
        <v>1900013232</v>
      </c>
      <c r="W284" s="27">
        <v>1900018186</v>
      </c>
      <c r="X284" s="27">
        <v>1900020070</v>
      </c>
      <c r="Y284" s="27">
        <v>1900029276</v>
      </c>
      <c r="Z284" s="27">
        <v>1900030263</v>
      </c>
      <c r="AA284" s="27">
        <v>1900032162</v>
      </c>
      <c r="AE284" s="27" t="s">
        <v>201</v>
      </c>
      <c r="AF284" s="27" t="s">
        <v>1111</v>
      </c>
      <c r="AG284" s="27" t="s">
        <v>532</v>
      </c>
      <c r="AH284" s="27" t="s">
        <v>677</v>
      </c>
      <c r="AI284" s="27" t="s">
        <v>179</v>
      </c>
      <c r="AJ284" s="27" t="s">
        <v>351</v>
      </c>
      <c r="AK284" s="27" t="s">
        <v>533</v>
      </c>
      <c r="AL284" s="27" t="s">
        <v>184</v>
      </c>
      <c r="AM284" s="27" t="s">
        <v>732</v>
      </c>
      <c r="BC284" s="28">
        <v>8882636084</v>
      </c>
      <c r="BD284" s="28">
        <v>81211425561</v>
      </c>
      <c r="BE284" s="28">
        <v>81227515872</v>
      </c>
      <c r="BF284" s="28">
        <v>85700604723</v>
      </c>
      <c r="BG284" s="28">
        <v>82133130386</v>
      </c>
      <c r="BH284" s="28">
        <v>81273132986</v>
      </c>
      <c r="BI284" s="28">
        <v>82148484317</v>
      </c>
      <c r="BJ284" s="28">
        <v>82177211697</v>
      </c>
      <c r="BK284" s="28">
        <v>81366625605</v>
      </c>
      <c r="BO284" s="39">
        <v>60191210</v>
      </c>
      <c r="BP284" s="18" t="s">
        <v>4170</v>
      </c>
      <c r="BQ284" s="37">
        <v>44957</v>
      </c>
      <c r="BR284" s="8">
        <f t="shared" si="1"/>
        <v>9</v>
      </c>
    </row>
    <row r="285" spans="1:73" ht="15.5">
      <c r="A285" s="4" t="str">
        <v>Reguler Periode ke-101 XV.C.3</v>
      </c>
      <c r="B285" s="4" t="s">
        <v>2073</v>
      </c>
      <c r="C285" s="38" t="s">
        <v>4171</v>
      </c>
      <c r="D285" s="4" t="s">
        <v>307</v>
      </c>
      <c r="E285" s="4" t="s">
        <v>4172</v>
      </c>
      <c r="F285" s="4" t="s">
        <v>4039</v>
      </c>
      <c r="G285" s="27" t="s">
        <v>4173</v>
      </c>
      <c r="H285" s="27" t="s">
        <v>4174</v>
      </c>
      <c r="I285" s="27" t="s">
        <v>4175</v>
      </c>
      <c r="J285" s="27" t="s">
        <v>4176</v>
      </c>
      <c r="K285" s="27" t="s">
        <v>4177</v>
      </c>
      <c r="L285" s="27" t="s">
        <v>4178</v>
      </c>
      <c r="M285" s="27" t="s">
        <v>4179</v>
      </c>
      <c r="N285" s="27" t="s">
        <v>4180</v>
      </c>
      <c r="O285" s="27" t="s">
        <v>4181</v>
      </c>
      <c r="S285" s="27">
        <v>1800020052</v>
      </c>
      <c r="T285" s="27">
        <v>1900004065</v>
      </c>
      <c r="U285" s="27">
        <v>1900008011</v>
      </c>
      <c r="V285" s="27">
        <v>1900010265</v>
      </c>
      <c r="W285" s="27">
        <v>1900013026</v>
      </c>
      <c r="X285" s="27">
        <v>1900018243</v>
      </c>
      <c r="Y285" s="27">
        <v>1900029303</v>
      </c>
      <c r="Z285" s="27">
        <v>1900030214</v>
      </c>
      <c r="AA285" s="27">
        <v>1900032097</v>
      </c>
      <c r="AE285" s="27" t="s">
        <v>351</v>
      </c>
      <c r="AF285" s="27" t="s">
        <v>201</v>
      </c>
      <c r="AG285" s="27" t="s">
        <v>1111</v>
      </c>
      <c r="AH285" s="27" t="s">
        <v>532</v>
      </c>
      <c r="AI285" s="27" t="s">
        <v>677</v>
      </c>
      <c r="AJ285" s="27" t="s">
        <v>179</v>
      </c>
      <c r="AK285" s="27" t="s">
        <v>533</v>
      </c>
      <c r="AL285" s="27" t="s">
        <v>184</v>
      </c>
      <c r="AM285" s="27" t="s">
        <v>732</v>
      </c>
      <c r="BC285" s="28">
        <v>83101363751</v>
      </c>
      <c r="BD285" s="28">
        <v>895603516294</v>
      </c>
      <c r="BE285" s="28">
        <v>82137456070</v>
      </c>
      <c r="BF285" s="28">
        <v>87837818384</v>
      </c>
      <c r="BG285" s="28">
        <v>81325510602</v>
      </c>
      <c r="BH285" s="28">
        <v>85325612616</v>
      </c>
      <c r="BI285" s="28">
        <v>83121370680</v>
      </c>
      <c r="BJ285" s="28">
        <v>87752845216</v>
      </c>
      <c r="BK285" s="28">
        <v>85271043784</v>
      </c>
      <c r="BO285" s="39">
        <v>60191210</v>
      </c>
      <c r="BP285" s="18" t="s">
        <v>4182</v>
      </c>
      <c r="BQ285" s="37">
        <v>44957</v>
      </c>
      <c r="BR285" s="8">
        <f t="shared" si="1"/>
        <v>9</v>
      </c>
    </row>
    <row r="286" spans="1:73" ht="15.5">
      <c r="A286" s="4" t="str">
        <v>Reguler Periode ke-101 XV.D.1</v>
      </c>
      <c r="B286" s="4" t="s">
        <v>2073</v>
      </c>
      <c r="C286" s="38" t="s">
        <v>4183</v>
      </c>
      <c r="D286" s="4" t="s">
        <v>4184</v>
      </c>
      <c r="E286" s="4" t="s">
        <v>4185</v>
      </c>
      <c r="F286" s="4" t="s">
        <v>4039</v>
      </c>
      <c r="G286" s="27" t="s">
        <v>4186</v>
      </c>
      <c r="H286" s="27" t="s">
        <v>4187</v>
      </c>
      <c r="I286" s="27" t="s">
        <v>4188</v>
      </c>
      <c r="J286" s="27" t="s">
        <v>4189</v>
      </c>
      <c r="K286" s="27" t="s">
        <v>4190</v>
      </c>
      <c r="L286" s="27" t="s">
        <v>4191</v>
      </c>
      <c r="M286" s="27" t="s">
        <v>4192</v>
      </c>
      <c r="N286" s="27" t="s">
        <v>4193</v>
      </c>
      <c r="O286" s="27" t="s">
        <v>4194</v>
      </c>
      <c r="S286" s="27">
        <v>1900004174</v>
      </c>
      <c r="T286" s="27">
        <v>1900008008</v>
      </c>
      <c r="U286" s="27">
        <v>1900010020</v>
      </c>
      <c r="V286" s="27">
        <v>1900013363</v>
      </c>
      <c r="W286" s="27">
        <v>1900018290</v>
      </c>
      <c r="X286" s="27">
        <v>1900020073</v>
      </c>
      <c r="Y286" s="27">
        <v>1900029043</v>
      </c>
      <c r="Z286" s="27">
        <v>1900030229</v>
      </c>
      <c r="AA286" s="27">
        <v>1900032233</v>
      </c>
      <c r="AE286" s="27" t="s">
        <v>201</v>
      </c>
      <c r="AF286" s="27" t="s">
        <v>1111</v>
      </c>
      <c r="AG286" s="27" t="s">
        <v>532</v>
      </c>
      <c r="AH286" s="27" t="s">
        <v>677</v>
      </c>
      <c r="AI286" s="27" t="s">
        <v>179</v>
      </c>
      <c r="AJ286" s="27" t="s">
        <v>351</v>
      </c>
      <c r="AK286" s="27" t="s">
        <v>533</v>
      </c>
      <c r="AL286" s="27" t="s">
        <v>184</v>
      </c>
      <c r="AM286" s="27" t="s">
        <v>732</v>
      </c>
      <c r="BC286" s="28" t="s">
        <v>4195</v>
      </c>
      <c r="BD286" s="28">
        <v>82211242435</v>
      </c>
      <c r="BE286" s="28">
        <v>85869930986</v>
      </c>
      <c r="BF286" s="28">
        <v>85388866639</v>
      </c>
      <c r="BG286" s="28">
        <v>81238255322</v>
      </c>
      <c r="BH286" s="28">
        <v>87873191836</v>
      </c>
      <c r="BI286" s="28">
        <v>82141456278</v>
      </c>
      <c r="BJ286" s="28">
        <v>87743327779</v>
      </c>
      <c r="BK286" s="28">
        <v>85959593524</v>
      </c>
      <c r="BO286" s="39">
        <v>60150789</v>
      </c>
      <c r="BP286" s="18" t="s">
        <v>4196</v>
      </c>
      <c r="BQ286" s="37">
        <v>44957</v>
      </c>
      <c r="BR286" s="8">
        <f t="shared" si="1"/>
        <v>9</v>
      </c>
    </row>
    <row r="287" spans="1:73" ht="15.5">
      <c r="A287" s="4" t="str">
        <v>Reguler Periode ke-101 XV.D.2</v>
      </c>
      <c r="B287" s="4" t="s">
        <v>2073</v>
      </c>
      <c r="C287" s="38" t="s">
        <v>4197</v>
      </c>
      <c r="D287" s="4" t="s">
        <v>4184</v>
      </c>
      <c r="E287" s="4" t="s">
        <v>4198</v>
      </c>
      <c r="F287" s="4" t="s">
        <v>4039</v>
      </c>
      <c r="G287" s="27" t="s">
        <v>4199</v>
      </c>
      <c r="H287" s="27" t="s">
        <v>4200</v>
      </c>
      <c r="I287" s="27" t="s">
        <v>4201</v>
      </c>
      <c r="J287" s="27" t="s">
        <v>4202</v>
      </c>
      <c r="K287" s="27" t="s">
        <v>4203</v>
      </c>
      <c r="L287" s="27" t="s">
        <v>4204</v>
      </c>
      <c r="M287" s="27" t="s">
        <v>4205</v>
      </c>
      <c r="N287" s="27" t="s">
        <v>4206</v>
      </c>
      <c r="O287" s="27" t="s">
        <v>4207</v>
      </c>
      <c r="S287" s="27">
        <v>1800030292</v>
      </c>
      <c r="T287" s="27">
        <v>1900004013</v>
      </c>
      <c r="U287" s="27">
        <v>1900008109</v>
      </c>
      <c r="V287" s="27">
        <v>1900010206</v>
      </c>
      <c r="W287" s="27">
        <v>1900013137</v>
      </c>
      <c r="X287" s="27">
        <v>1900018113</v>
      </c>
      <c r="Y287" s="27">
        <v>1900022061</v>
      </c>
      <c r="Z287" s="27">
        <v>1900029049</v>
      </c>
      <c r="AA287" s="27">
        <v>1900032212</v>
      </c>
      <c r="AE287" s="27" t="s">
        <v>184</v>
      </c>
      <c r="AF287" s="27" t="s">
        <v>201</v>
      </c>
      <c r="AG287" s="27" t="s">
        <v>1111</v>
      </c>
      <c r="AH287" s="27" t="s">
        <v>532</v>
      </c>
      <c r="AI287" s="27" t="s">
        <v>677</v>
      </c>
      <c r="AJ287" s="27" t="s">
        <v>179</v>
      </c>
      <c r="AK287" s="27" t="s">
        <v>872</v>
      </c>
      <c r="AL287" s="27" t="s">
        <v>533</v>
      </c>
      <c r="AM287" s="27" t="s">
        <v>732</v>
      </c>
      <c r="BC287" s="28">
        <v>895395907187</v>
      </c>
      <c r="BD287" s="28">
        <v>88216746967</v>
      </c>
      <c r="BE287" s="28">
        <v>82144070406</v>
      </c>
      <c r="BF287" s="28">
        <v>8995489480</v>
      </c>
      <c r="BG287" s="28">
        <v>85842993603</v>
      </c>
      <c r="BH287" s="28">
        <v>81776582431</v>
      </c>
      <c r="BI287" s="28">
        <v>85238918905</v>
      </c>
      <c r="BJ287" s="28">
        <v>82184314607</v>
      </c>
      <c r="BK287" s="28" t="s">
        <v>4208</v>
      </c>
      <c r="BO287" s="39">
        <v>60150789</v>
      </c>
      <c r="BP287" s="18" t="s">
        <v>4209</v>
      </c>
      <c r="BQ287" s="37">
        <v>44957</v>
      </c>
      <c r="BR287" s="8">
        <f t="shared" si="1"/>
        <v>9</v>
      </c>
    </row>
    <row r="288" spans="1:73" ht="15.5">
      <c r="A288" s="44" t="str">
        <v>Reguler Periode ke-101 XV.D.3</v>
      </c>
      <c r="B288" s="44" t="s">
        <v>2073</v>
      </c>
      <c r="C288" s="45" t="s">
        <v>4210</v>
      </c>
      <c r="D288" s="44" t="s">
        <v>4184</v>
      </c>
      <c r="E288" s="44" t="s">
        <v>4211</v>
      </c>
      <c r="F288" s="44" t="s">
        <v>4039</v>
      </c>
      <c r="G288" s="46" t="s">
        <v>4212</v>
      </c>
      <c r="H288" s="46" t="s">
        <v>4213</v>
      </c>
      <c r="I288" s="46" t="s">
        <v>4214</v>
      </c>
      <c r="J288" s="46" t="s">
        <v>4215</v>
      </c>
      <c r="K288" s="46" t="s">
        <v>4216</v>
      </c>
      <c r="L288" s="46" t="s">
        <v>4217</v>
      </c>
      <c r="M288" s="46" t="s">
        <v>4218</v>
      </c>
      <c r="N288" s="46" t="s">
        <v>4219</v>
      </c>
      <c r="O288" s="46" t="s">
        <v>4220</v>
      </c>
      <c r="P288" s="44"/>
      <c r="Q288" s="44"/>
      <c r="R288" s="44"/>
      <c r="S288" s="46">
        <v>1800018105</v>
      </c>
      <c r="T288" s="46">
        <v>1900004011</v>
      </c>
      <c r="U288" s="46">
        <v>1900008057</v>
      </c>
      <c r="V288" s="46">
        <v>1900010209</v>
      </c>
      <c r="W288" s="46">
        <v>1900013337</v>
      </c>
      <c r="X288" s="46">
        <v>1900022049</v>
      </c>
      <c r="Y288" s="46">
        <v>1900029134</v>
      </c>
      <c r="Z288" s="46">
        <v>1900030116</v>
      </c>
      <c r="AA288" s="46">
        <v>1900032154</v>
      </c>
      <c r="AB288" s="44"/>
      <c r="AC288" s="44"/>
      <c r="AD288" s="44"/>
      <c r="AE288" s="47" t="s">
        <v>179</v>
      </c>
      <c r="AF288" s="47" t="s">
        <v>201</v>
      </c>
      <c r="AG288" s="47" t="s">
        <v>1111</v>
      </c>
      <c r="AH288" s="47" t="s">
        <v>532</v>
      </c>
      <c r="AI288" s="47" t="s">
        <v>677</v>
      </c>
      <c r="AJ288" s="47" t="s">
        <v>872</v>
      </c>
      <c r="AK288" s="47" t="s">
        <v>533</v>
      </c>
      <c r="AL288" s="47" t="s">
        <v>184</v>
      </c>
      <c r="AM288" s="47" t="s">
        <v>732</v>
      </c>
      <c r="AN288" s="44"/>
      <c r="AO288" s="44"/>
      <c r="AP288" s="44"/>
      <c r="AQ288" s="44"/>
      <c r="AR288" s="44"/>
      <c r="AS288" s="44"/>
      <c r="AT288" s="44"/>
      <c r="AU288" s="44"/>
      <c r="AV288" s="44"/>
      <c r="AW288" s="44"/>
      <c r="AX288" s="44"/>
      <c r="AY288" s="44"/>
      <c r="AZ288" s="44"/>
      <c r="BA288" s="44"/>
      <c r="BB288" s="44"/>
      <c r="BC288" s="48">
        <v>81278001345</v>
      </c>
      <c r="BD288" s="48">
        <v>81224365134</v>
      </c>
      <c r="BE288" s="48">
        <v>82183704968</v>
      </c>
      <c r="BF288" s="48">
        <v>82140082786</v>
      </c>
      <c r="BG288" s="48">
        <v>81214803499</v>
      </c>
      <c r="BH288" s="48">
        <v>85280215367</v>
      </c>
      <c r="BI288" s="48">
        <v>85804811432</v>
      </c>
      <c r="BJ288" s="48">
        <v>81227979140</v>
      </c>
      <c r="BK288" s="48">
        <v>88214125401</v>
      </c>
      <c r="BL288" s="44"/>
      <c r="BM288" s="44"/>
      <c r="BN288" s="44"/>
      <c r="BO288" s="49">
        <v>60150789</v>
      </c>
      <c r="BP288" s="50" t="s">
        <v>4221</v>
      </c>
      <c r="BQ288" s="51">
        <v>44957</v>
      </c>
      <c r="BR288" s="8">
        <f t="shared" si="1"/>
        <v>9</v>
      </c>
      <c r="BS288" s="44"/>
      <c r="BT288" s="44"/>
      <c r="BU288" s="44"/>
    </row>
    <row r="289" spans="1:73" ht="15.5">
      <c r="A289" s="4" t="str">
        <v>Reguler Periode ke-101 XVI.A.1</v>
      </c>
      <c r="B289" s="4" t="s">
        <v>2073</v>
      </c>
      <c r="C289" s="38" t="s">
        <v>4222</v>
      </c>
      <c r="D289" s="4" t="s">
        <v>4223</v>
      </c>
      <c r="E289" s="4" t="s">
        <v>4224</v>
      </c>
      <c r="F289" s="4" t="s">
        <v>4039</v>
      </c>
      <c r="G289" s="27" t="s">
        <v>4225</v>
      </c>
      <c r="H289" s="27" t="s">
        <v>4226</v>
      </c>
      <c r="I289" s="27" t="s">
        <v>4227</v>
      </c>
      <c r="J289" s="27" t="s">
        <v>4228</v>
      </c>
      <c r="K289" s="27" t="s">
        <v>4229</v>
      </c>
      <c r="L289" s="27" t="s">
        <v>4230</v>
      </c>
      <c r="M289" s="27" t="s">
        <v>4231</v>
      </c>
      <c r="N289" s="27" t="s">
        <v>4232</v>
      </c>
      <c r="O289" s="27" t="s">
        <v>4233</v>
      </c>
      <c r="S289" s="27">
        <v>1800018176</v>
      </c>
      <c r="T289" s="27">
        <v>1900004169</v>
      </c>
      <c r="U289" s="27">
        <v>1900008018</v>
      </c>
      <c r="V289" s="27">
        <v>1900010143</v>
      </c>
      <c r="W289" s="27">
        <v>1900013225</v>
      </c>
      <c r="X289" s="27">
        <v>1900022039</v>
      </c>
      <c r="Y289" s="27">
        <v>1900029252</v>
      </c>
      <c r="Z289" s="27">
        <v>1900030352</v>
      </c>
      <c r="AA289" s="27">
        <v>1900032120</v>
      </c>
      <c r="AE289" s="27" t="s">
        <v>179</v>
      </c>
      <c r="AF289" s="27" t="s">
        <v>201</v>
      </c>
      <c r="AG289" s="27" t="s">
        <v>1111</v>
      </c>
      <c r="AH289" s="27" t="s">
        <v>532</v>
      </c>
      <c r="AI289" s="27" t="s">
        <v>677</v>
      </c>
      <c r="AJ289" s="27" t="s">
        <v>872</v>
      </c>
      <c r="AK289" s="27" t="s">
        <v>533</v>
      </c>
      <c r="AL289" s="27" t="s">
        <v>184</v>
      </c>
      <c r="AM289" s="27" t="s">
        <v>732</v>
      </c>
      <c r="BC289" s="28">
        <v>81258857674</v>
      </c>
      <c r="BD289" s="28">
        <v>895365070129</v>
      </c>
      <c r="BE289" s="28">
        <v>81315714854</v>
      </c>
      <c r="BF289" s="28">
        <v>85783614177</v>
      </c>
      <c r="BG289" s="28">
        <v>81373075389</v>
      </c>
      <c r="BH289" s="28">
        <v>8992665964</v>
      </c>
      <c r="BI289" s="28">
        <v>89603636297</v>
      </c>
      <c r="BJ289" s="28">
        <v>82232520652</v>
      </c>
      <c r="BK289" s="28">
        <v>85337207919</v>
      </c>
      <c r="BO289" s="39">
        <v>60171046</v>
      </c>
      <c r="BP289" s="18" t="s">
        <v>4234</v>
      </c>
      <c r="BQ289" s="37">
        <v>44957</v>
      </c>
      <c r="BR289" s="8">
        <f t="shared" si="1"/>
        <v>9</v>
      </c>
    </row>
    <row r="290" spans="1:73" ht="15.5">
      <c r="A290" s="4" t="str">
        <v>Reguler Periode ke-101 XVI.A.2</v>
      </c>
      <c r="B290" s="4" t="s">
        <v>2073</v>
      </c>
      <c r="C290" s="38" t="s">
        <v>4235</v>
      </c>
      <c r="D290" s="4" t="s">
        <v>4223</v>
      </c>
      <c r="E290" s="4" t="s">
        <v>4236</v>
      </c>
      <c r="F290" s="4" t="s">
        <v>4039</v>
      </c>
      <c r="G290" s="27" t="s">
        <v>4237</v>
      </c>
      <c r="H290" s="27" t="s">
        <v>4238</v>
      </c>
      <c r="I290" s="27" t="s">
        <v>4239</v>
      </c>
      <c r="J290" s="27" t="s">
        <v>4240</v>
      </c>
      <c r="K290" s="27" t="s">
        <v>4241</v>
      </c>
      <c r="L290" s="27" t="s">
        <v>4242</v>
      </c>
      <c r="M290" s="27" t="s">
        <v>4243</v>
      </c>
      <c r="N290" s="27" t="s">
        <v>4244</v>
      </c>
      <c r="O290" s="27" t="s">
        <v>4245</v>
      </c>
      <c r="S290" s="27">
        <v>1900004109</v>
      </c>
      <c r="T290" s="27">
        <v>1900008078</v>
      </c>
      <c r="U290" s="27">
        <v>1900010146</v>
      </c>
      <c r="V290" s="27">
        <v>1900013118</v>
      </c>
      <c r="W290" s="27">
        <v>1900018232</v>
      </c>
      <c r="X290" s="27">
        <v>1900022052</v>
      </c>
      <c r="Y290" s="27">
        <v>1900029023</v>
      </c>
      <c r="Z290" s="27">
        <v>1900030061</v>
      </c>
      <c r="AA290" s="27">
        <v>1900032148</v>
      </c>
      <c r="AE290" s="27" t="s">
        <v>201</v>
      </c>
      <c r="AF290" s="27" t="s">
        <v>1111</v>
      </c>
      <c r="AG290" s="27" t="s">
        <v>532</v>
      </c>
      <c r="AH290" s="27" t="s">
        <v>677</v>
      </c>
      <c r="AI290" s="27" t="s">
        <v>179</v>
      </c>
      <c r="AJ290" s="27" t="s">
        <v>872</v>
      </c>
      <c r="AK290" s="27" t="s">
        <v>533</v>
      </c>
      <c r="AL290" s="27" t="s">
        <v>184</v>
      </c>
      <c r="AM290" s="27" t="s">
        <v>732</v>
      </c>
      <c r="BC290" s="28">
        <v>82375889332</v>
      </c>
      <c r="BD290" s="28">
        <v>89680507014</v>
      </c>
      <c r="BE290" s="28">
        <v>89619736475</v>
      </c>
      <c r="BF290" s="28">
        <v>82387111978</v>
      </c>
      <c r="BG290" s="28">
        <v>82112129869</v>
      </c>
      <c r="BH290" s="28">
        <v>82225647665</v>
      </c>
      <c r="BI290" s="28">
        <v>85226041692</v>
      </c>
      <c r="BJ290" s="28">
        <v>81226141297</v>
      </c>
      <c r="BK290" s="28">
        <v>89648719462</v>
      </c>
      <c r="BO290" s="39">
        <v>60171046</v>
      </c>
      <c r="BP290" s="18" t="s">
        <v>4246</v>
      </c>
      <c r="BQ290" s="37">
        <v>44957</v>
      </c>
      <c r="BR290" s="8">
        <f t="shared" si="1"/>
        <v>9</v>
      </c>
    </row>
    <row r="291" spans="1:73" ht="15.5">
      <c r="A291" s="4" t="str">
        <v>Reguler Periode ke-101 XVI.A.3</v>
      </c>
      <c r="B291" s="4" t="s">
        <v>2073</v>
      </c>
      <c r="C291" s="38" t="s">
        <v>4247</v>
      </c>
      <c r="D291" s="4" t="s">
        <v>4223</v>
      </c>
      <c r="E291" s="4" t="s">
        <v>4248</v>
      </c>
      <c r="F291" s="4" t="s">
        <v>4039</v>
      </c>
      <c r="G291" s="27" t="s">
        <v>4249</v>
      </c>
      <c r="H291" s="27" t="s">
        <v>4250</v>
      </c>
      <c r="I291" s="27" t="s">
        <v>4251</v>
      </c>
      <c r="J291" s="27" t="s">
        <v>4252</v>
      </c>
      <c r="K291" s="27" t="s">
        <v>4253</v>
      </c>
      <c r="L291" s="27" t="s">
        <v>4254</v>
      </c>
      <c r="M291" s="27" t="s">
        <v>4255</v>
      </c>
      <c r="N291" s="27" t="s">
        <v>4256</v>
      </c>
      <c r="O291" s="27" t="s">
        <v>4257</v>
      </c>
      <c r="S291" s="27">
        <v>1900004182</v>
      </c>
      <c r="T291" s="27">
        <v>1900008004</v>
      </c>
      <c r="U291" s="27">
        <v>1900010038</v>
      </c>
      <c r="V291" s="27">
        <v>1900013092</v>
      </c>
      <c r="W291" s="27">
        <v>1900018420</v>
      </c>
      <c r="X291" s="27">
        <v>1900023250</v>
      </c>
      <c r="Y291" s="27">
        <v>1900029077</v>
      </c>
      <c r="Z291" s="27">
        <v>1900030234</v>
      </c>
      <c r="AA291" s="27">
        <v>1900032194</v>
      </c>
      <c r="AE291" s="52" t="s">
        <v>201</v>
      </c>
      <c r="AF291" s="52" t="s">
        <v>1111</v>
      </c>
      <c r="AG291" s="52" t="s">
        <v>532</v>
      </c>
      <c r="AH291" s="52" t="s">
        <v>677</v>
      </c>
      <c r="AI291" s="52" t="s">
        <v>179</v>
      </c>
      <c r="AJ291" s="52" t="s">
        <v>899</v>
      </c>
      <c r="AK291" s="52" t="s">
        <v>533</v>
      </c>
      <c r="AL291" s="52" t="s">
        <v>184</v>
      </c>
      <c r="AM291" s="52" t="s">
        <v>732</v>
      </c>
      <c r="BC291" s="28">
        <v>85217923017</v>
      </c>
      <c r="BD291" s="28" t="s">
        <v>4258</v>
      </c>
      <c r="BE291" s="28">
        <v>81215382744</v>
      </c>
      <c r="BF291" s="28">
        <v>85727628821</v>
      </c>
      <c r="BG291" s="28">
        <v>85879666776</v>
      </c>
      <c r="BH291" s="28">
        <v>82287156958</v>
      </c>
      <c r="BI291" s="28">
        <v>82248187027</v>
      </c>
      <c r="BJ291" s="28">
        <v>89657065865</v>
      </c>
      <c r="BK291" s="28">
        <v>8994645559</v>
      </c>
      <c r="BO291" s="39">
        <v>60171046</v>
      </c>
      <c r="BP291" s="18" t="s">
        <v>4259</v>
      </c>
      <c r="BQ291" s="37">
        <v>44957</v>
      </c>
      <c r="BR291" s="8">
        <f t="shared" si="1"/>
        <v>9</v>
      </c>
    </row>
    <row r="292" spans="1:73" ht="15.5">
      <c r="A292" s="4" t="str">
        <v>Reguler Periode ke-101 XVI.B.1</v>
      </c>
      <c r="B292" s="4" t="s">
        <v>2073</v>
      </c>
      <c r="C292" s="38" t="s">
        <v>4260</v>
      </c>
      <c r="D292" s="4" t="s">
        <v>4261</v>
      </c>
      <c r="E292" s="4" t="s">
        <v>4262</v>
      </c>
      <c r="F292" s="4" t="s">
        <v>4039</v>
      </c>
      <c r="G292" s="27" t="s">
        <v>4263</v>
      </c>
      <c r="H292" s="27" t="s">
        <v>4264</v>
      </c>
      <c r="I292" s="27" t="s">
        <v>4265</v>
      </c>
      <c r="J292" s="27" t="s">
        <v>4266</v>
      </c>
      <c r="K292" s="27" t="s">
        <v>4267</v>
      </c>
      <c r="L292" s="27" t="s">
        <v>4268</v>
      </c>
      <c r="M292" s="27" t="s">
        <v>4269</v>
      </c>
      <c r="N292" s="27" t="s">
        <v>4270</v>
      </c>
      <c r="O292" s="27" t="s">
        <v>4271</v>
      </c>
      <c r="S292" s="27">
        <v>1900004136</v>
      </c>
      <c r="T292" s="27">
        <v>1900008058</v>
      </c>
      <c r="U292" s="27">
        <v>1900010210</v>
      </c>
      <c r="V292" s="27">
        <v>1900013371</v>
      </c>
      <c r="W292" s="27">
        <v>1900018409</v>
      </c>
      <c r="X292" s="27">
        <v>1900023116</v>
      </c>
      <c r="Y292" s="27">
        <v>1900029259</v>
      </c>
      <c r="Z292" s="27">
        <v>1900030138</v>
      </c>
      <c r="AA292" s="27">
        <v>1900032050</v>
      </c>
      <c r="AE292" s="52" t="s">
        <v>201</v>
      </c>
      <c r="AF292" s="52" t="s">
        <v>1111</v>
      </c>
      <c r="AG292" s="52" t="s">
        <v>532</v>
      </c>
      <c r="AH292" s="52" t="s">
        <v>677</v>
      </c>
      <c r="AI292" s="52" t="s">
        <v>179</v>
      </c>
      <c r="AJ292" s="52" t="s">
        <v>899</v>
      </c>
      <c r="AK292" s="52" t="s">
        <v>533</v>
      </c>
      <c r="AL292" s="52" t="s">
        <v>184</v>
      </c>
      <c r="AM292" s="52" t="s">
        <v>732</v>
      </c>
      <c r="BC292" s="28">
        <v>83123780217</v>
      </c>
      <c r="BD292" s="28">
        <v>82211475460</v>
      </c>
      <c r="BE292" s="28">
        <v>87895564644</v>
      </c>
      <c r="BF292" s="28">
        <v>88229519172</v>
      </c>
      <c r="BG292" s="28">
        <v>895364841932</v>
      </c>
      <c r="BH292" s="28">
        <v>85225310805</v>
      </c>
      <c r="BI292" s="28">
        <v>82188709093</v>
      </c>
      <c r="BJ292" s="28">
        <v>87838556672</v>
      </c>
      <c r="BK292" s="28">
        <v>88224151005</v>
      </c>
      <c r="BO292" s="39">
        <v>60090578</v>
      </c>
      <c r="BP292" s="18" t="s">
        <v>4272</v>
      </c>
      <c r="BQ292" s="37">
        <v>44957</v>
      </c>
      <c r="BR292" s="8">
        <f t="shared" si="1"/>
        <v>9</v>
      </c>
    </row>
    <row r="293" spans="1:73" ht="15.5">
      <c r="A293" s="4" t="str">
        <v>Reguler Periode ke-101 XVI.B.2</v>
      </c>
      <c r="B293" s="4" t="s">
        <v>2073</v>
      </c>
      <c r="C293" s="38" t="s">
        <v>4273</v>
      </c>
      <c r="D293" s="4" t="s">
        <v>4261</v>
      </c>
      <c r="E293" s="4" t="s">
        <v>4274</v>
      </c>
      <c r="F293" s="4" t="s">
        <v>4039</v>
      </c>
      <c r="G293" s="27" t="s">
        <v>4275</v>
      </c>
      <c r="H293" s="27" t="s">
        <v>4276</v>
      </c>
      <c r="I293" s="27" t="s">
        <v>4277</v>
      </c>
      <c r="J293" s="27" t="s">
        <v>4278</v>
      </c>
      <c r="K293" s="27" t="s">
        <v>4279</v>
      </c>
      <c r="L293" s="27" t="s">
        <v>4280</v>
      </c>
      <c r="M293" s="27" t="s">
        <v>4281</v>
      </c>
      <c r="N293" s="27" t="s">
        <v>4282</v>
      </c>
      <c r="O293" s="27" t="s">
        <v>4283</v>
      </c>
      <c r="S293" s="27">
        <v>1900004033</v>
      </c>
      <c r="T293" s="27">
        <v>1900008031</v>
      </c>
      <c r="U293" s="27">
        <v>1900010346</v>
      </c>
      <c r="V293" s="27">
        <v>1900013056</v>
      </c>
      <c r="W293" s="27">
        <v>1900018285</v>
      </c>
      <c r="X293" s="27">
        <v>1900023124</v>
      </c>
      <c r="Y293" s="27">
        <v>1900029210</v>
      </c>
      <c r="Z293" s="27">
        <v>1900030178</v>
      </c>
      <c r="AA293" s="27">
        <v>1900032035</v>
      </c>
      <c r="AE293" s="27" t="s">
        <v>201</v>
      </c>
      <c r="AF293" s="27" t="s">
        <v>1111</v>
      </c>
      <c r="AG293" s="27" t="s">
        <v>532</v>
      </c>
      <c r="AH293" s="27" t="s">
        <v>677</v>
      </c>
      <c r="AI293" s="27" t="s">
        <v>179</v>
      </c>
      <c r="AJ293" s="27" t="s">
        <v>899</v>
      </c>
      <c r="AK293" s="27" t="s">
        <v>533</v>
      </c>
      <c r="AL293" s="27" t="s">
        <v>184</v>
      </c>
      <c r="AM293" s="27" t="s">
        <v>732</v>
      </c>
      <c r="BC293" s="28">
        <v>82291118067</v>
      </c>
      <c r="BD293" s="28">
        <v>895373526704</v>
      </c>
      <c r="BE293" s="28">
        <v>85294713769</v>
      </c>
      <c r="BF293" s="28">
        <v>88221054117</v>
      </c>
      <c r="BG293" s="28">
        <v>81221125250</v>
      </c>
      <c r="BH293" s="28">
        <v>82279635300</v>
      </c>
      <c r="BI293" s="28">
        <v>83147668985</v>
      </c>
      <c r="BJ293" s="28">
        <v>82210050985</v>
      </c>
      <c r="BK293" s="28">
        <v>81365639462</v>
      </c>
      <c r="BO293" s="39">
        <v>60090578</v>
      </c>
      <c r="BP293" s="18" t="s">
        <v>4284</v>
      </c>
      <c r="BQ293" s="37">
        <v>44957</v>
      </c>
      <c r="BR293" s="8">
        <f t="shared" si="1"/>
        <v>9</v>
      </c>
    </row>
    <row r="294" spans="1:73" ht="15.5">
      <c r="A294" s="44" t="str">
        <v>Reguler Periode ke-101 XVI.B.3</v>
      </c>
      <c r="B294" s="44" t="s">
        <v>2073</v>
      </c>
      <c r="C294" s="45" t="s">
        <v>4285</v>
      </c>
      <c r="D294" s="44" t="s">
        <v>4261</v>
      </c>
      <c r="E294" s="44" t="s">
        <v>4286</v>
      </c>
      <c r="F294" s="44" t="s">
        <v>4039</v>
      </c>
      <c r="G294" s="46" t="s">
        <v>4287</v>
      </c>
      <c r="H294" s="46" t="s">
        <v>4288</v>
      </c>
      <c r="I294" s="46" t="s">
        <v>4289</v>
      </c>
      <c r="J294" s="46" t="s">
        <v>4290</v>
      </c>
      <c r="K294" s="46" t="s">
        <v>4291</v>
      </c>
      <c r="L294" s="46" t="s">
        <v>4292</v>
      </c>
      <c r="M294" s="46" t="s">
        <v>4293</v>
      </c>
      <c r="N294" s="46" t="s">
        <v>4294</v>
      </c>
      <c r="O294" s="46" t="s">
        <v>4295</v>
      </c>
      <c r="P294" s="44"/>
      <c r="Q294" s="44"/>
      <c r="R294" s="44"/>
      <c r="S294" s="46">
        <v>1800029050</v>
      </c>
      <c r="T294" s="46">
        <v>1900004091</v>
      </c>
      <c r="U294" s="46">
        <v>1900008098</v>
      </c>
      <c r="V294" s="46">
        <v>1900010069</v>
      </c>
      <c r="W294" s="46">
        <v>1900013156</v>
      </c>
      <c r="X294" s="46">
        <v>1900018165</v>
      </c>
      <c r="Y294" s="46">
        <v>1900023001</v>
      </c>
      <c r="Z294" s="46">
        <v>1900030358</v>
      </c>
      <c r="AA294" s="46">
        <v>1900032142</v>
      </c>
      <c r="AB294" s="44"/>
      <c r="AC294" s="44"/>
      <c r="AD294" s="44"/>
      <c r="AE294" s="46" t="s">
        <v>533</v>
      </c>
      <c r="AF294" s="46" t="s">
        <v>201</v>
      </c>
      <c r="AG294" s="46" t="s">
        <v>1111</v>
      </c>
      <c r="AH294" s="46" t="s">
        <v>532</v>
      </c>
      <c r="AI294" s="46" t="s">
        <v>677</v>
      </c>
      <c r="AJ294" s="46" t="s">
        <v>179</v>
      </c>
      <c r="AK294" s="46" t="s">
        <v>899</v>
      </c>
      <c r="AL294" s="46" t="s">
        <v>184</v>
      </c>
      <c r="AM294" s="46" t="s">
        <v>732</v>
      </c>
      <c r="AN294" s="44"/>
      <c r="AO294" s="44"/>
      <c r="AP294" s="44"/>
      <c r="AQ294" s="44"/>
      <c r="AR294" s="44"/>
      <c r="AS294" s="44"/>
      <c r="AT294" s="44"/>
      <c r="AU294" s="44"/>
      <c r="AV294" s="44"/>
      <c r="AW294" s="44"/>
      <c r="AX294" s="44"/>
      <c r="AY294" s="44"/>
      <c r="AZ294" s="44"/>
      <c r="BA294" s="44"/>
      <c r="BB294" s="44"/>
      <c r="BC294" s="48">
        <v>85239197961</v>
      </c>
      <c r="BD294" s="48">
        <v>82281829651</v>
      </c>
      <c r="BE294" s="48">
        <v>85923277317</v>
      </c>
      <c r="BF294" s="48">
        <v>82294561299</v>
      </c>
      <c r="BG294" s="48">
        <v>87854610434</v>
      </c>
      <c r="BH294" s="48">
        <v>85337229306</v>
      </c>
      <c r="BI294" s="48">
        <v>82136282351</v>
      </c>
      <c r="BJ294" s="48">
        <v>85709412175</v>
      </c>
      <c r="BK294" s="48">
        <v>81272934294</v>
      </c>
      <c r="BL294" s="44"/>
      <c r="BM294" s="44"/>
      <c r="BN294" s="44"/>
      <c r="BO294" s="49">
        <v>60090578</v>
      </c>
      <c r="BP294" s="50" t="s">
        <v>4296</v>
      </c>
      <c r="BQ294" s="51">
        <v>44957</v>
      </c>
      <c r="BR294" s="8">
        <f t="shared" si="1"/>
        <v>9</v>
      </c>
      <c r="BS294" s="44"/>
      <c r="BT294" s="44"/>
      <c r="BU294" s="44"/>
    </row>
    <row r="295" spans="1:73" ht="15.5">
      <c r="A295" s="4" t="str">
        <v>Reguler Periode ke-101 XVI.C.1</v>
      </c>
      <c r="B295" s="4" t="s">
        <v>2073</v>
      </c>
      <c r="C295" s="38" t="s">
        <v>4297</v>
      </c>
      <c r="D295" s="4" t="s">
        <v>4298</v>
      </c>
      <c r="E295" s="4" t="s">
        <v>4299</v>
      </c>
      <c r="F295" s="4" t="s">
        <v>4039</v>
      </c>
      <c r="G295" s="27" t="s">
        <v>4300</v>
      </c>
      <c r="H295" s="27" t="s">
        <v>4301</v>
      </c>
      <c r="I295" s="27" t="s">
        <v>4302</v>
      </c>
      <c r="J295" s="27" t="s">
        <v>4303</v>
      </c>
      <c r="K295" s="27" t="s">
        <v>4304</v>
      </c>
      <c r="L295" s="27" t="s">
        <v>4305</v>
      </c>
      <c r="M295" s="27" t="s">
        <v>4306</v>
      </c>
      <c r="N295" s="27" t="s">
        <v>4307</v>
      </c>
      <c r="O295" s="27" t="s">
        <v>4308</v>
      </c>
      <c r="S295" s="27">
        <v>1900004154</v>
      </c>
      <c r="T295" s="27">
        <v>1900008106</v>
      </c>
      <c r="U295" s="27">
        <v>1900010032</v>
      </c>
      <c r="V295" s="27">
        <v>1900013362</v>
      </c>
      <c r="W295" s="27">
        <v>1900018203</v>
      </c>
      <c r="X295" s="27">
        <v>1900023038</v>
      </c>
      <c r="Y295" s="27">
        <v>1900029176</v>
      </c>
      <c r="Z295" s="27">
        <v>1900030211</v>
      </c>
      <c r="AA295" s="27">
        <v>1900032144</v>
      </c>
      <c r="AE295" s="52" t="s">
        <v>201</v>
      </c>
      <c r="AF295" s="52" t="s">
        <v>1111</v>
      </c>
      <c r="AG295" s="52" t="s">
        <v>532</v>
      </c>
      <c r="AH295" s="52" t="s">
        <v>677</v>
      </c>
      <c r="AI295" s="52" t="s">
        <v>179</v>
      </c>
      <c r="AJ295" s="52" t="s">
        <v>899</v>
      </c>
      <c r="AK295" s="52" t="s">
        <v>533</v>
      </c>
      <c r="AL295" s="52" t="s">
        <v>184</v>
      </c>
      <c r="AM295" s="52" t="s">
        <v>732</v>
      </c>
      <c r="BC295" s="28">
        <v>82259937132</v>
      </c>
      <c r="BD295" s="28">
        <v>85388989504</v>
      </c>
      <c r="BE295" s="28">
        <v>83821118812</v>
      </c>
      <c r="BF295" s="28">
        <v>85225747899</v>
      </c>
      <c r="BG295" s="28">
        <v>811976354</v>
      </c>
      <c r="BH295" s="28">
        <v>82115238151</v>
      </c>
      <c r="BI295" s="28">
        <v>81223067560</v>
      </c>
      <c r="BJ295" s="28">
        <v>82198916245</v>
      </c>
      <c r="BK295" s="28">
        <v>83899548094</v>
      </c>
      <c r="BO295" s="39">
        <v>60150796</v>
      </c>
      <c r="BP295" s="18" t="s">
        <v>4309</v>
      </c>
      <c r="BQ295" s="37">
        <v>44957</v>
      </c>
      <c r="BR295" s="8">
        <f t="shared" si="1"/>
        <v>9</v>
      </c>
    </row>
    <row r="296" spans="1:73" ht="15.5">
      <c r="A296" s="4" t="str">
        <v>Reguler Periode ke-101 XVI.C.2</v>
      </c>
      <c r="B296" s="4" t="s">
        <v>2073</v>
      </c>
      <c r="C296" s="38" t="s">
        <v>4310</v>
      </c>
      <c r="D296" s="4" t="s">
        <v>4298</v>
      </c>
      <c r="E296" s="4" t="s">
        <v>4311</v>
      </c>
      <c r="F296" s="4" t="s">
        <v>4039</v>
      </c>
      <c r="G296" s="27" t="s">
        <v>4312</v>
      </c>
      <c r="H296" s="27" t="s">
        <v>4313</v>
      </c>
      <c r="I296" s="27" t="s">
        <v>4314</v>
      </c>
      <c r="J296" s="27" t="s">
        <v>4315</v>
      </c>
      <c r="K296" s="27" t="s">
        <v>4316</v>
      </c>
      <c r="L296" s="27" t="s">
        <v>4317</v>
      </c>
      <c r="M296" s="27" t="s">
        <v>4318</v>
      </c>
      <c r="N296" s="27" t="s">
        <v>4319</v>
      </c>
      <c r="O296" s="27" t="s">
        <v>4320</v>
      </c>
      <c r="S296" s="27">
        <v>1900004094</v>
      </c>
      <c r="T296" s="27">
        <v>1900008108</v>
      </c>
      <c r="U296" s="27">
        <v>1900010138</v>
      </c>
      <c r="V296" s="27">
        <v>1900013222</v>
      </c>
      <c r="W296" s="27">
        <v>1900018297</v>
      </c>
      <c r="X296" s="27">
        <v>1900023280</v>
      </c>
      <c r="Y296" s="27">
        <v>1900029195</v>
      </c>
      <c r="Z296" s="27">
        <v>1900030225</v>
      </c>
      <c r="AA296" s="27">
        <v>1900032070</v>
      </c>
      <c r="AE296" s="52" t="s">
        <v>201</v>
      </c>
      <c r="AF296" s="52" t="s">
        <v>1111</v>
      </c>
      <c r="AG296" s="52" t="s">
        <v>532</v>
      </c>
      <c r="AH296" s="52" t="s">
        <v>677</v>
      </c>
      <c r="AI296" s="52" t="s">
        <v>179</v>
      </c>
      <c r="AJ296" s="52" t="s">
        <v>899</v>
      </c>
      <c r="AK296" s="52" t="s">
        <v>533</v>
      </c>
      <c r="AL296" s="52" t="s">
        <v>184</v>
      </c>
      <c r="AM296" s="52" t="s">
        <v>732</v>
      </c>
      <c r="BC296" s="28">
        <v>85961137184</v>
      </c>
      <c r="BD296" s="28">
        <v>82195646106</v>
      </c>
      <c r="BE296" s="28">
        <v>8813910257</v>
      </c>
      <c r="BF296" s="28">
        <v>81911788683</v>
      </c>
      <c r="BG296" s="28">
        <v>81377594738</v>
      </c>
      <c r="BH296" s="28">
        <v>82283616974</v>
      </c>
      <c r="BI296" s="28">
        <v>87811355844</v>
      </c>
      <c r="BJ296" s="28">
        <v>82259255656</v>
      </c>
      <c r="BK296" s="28">
        <v>81225814319</v>
      </c>
      <c r="BO296" s="39">
        <v>60150796</v>
      </c>
      <c r="BP296" s="18" t="s">
        <v>4321</v>
      </c>
      <c r="BQ296" s="37">
        <v>44957</v>
      </c>
      <c r="BR296" s="8">
        <f t="shared" si="1"/>
        <v>9</v>
      </c>
    </row>
    <row r="297" spans="1:73" ht="15.5">
      <c r="A297" s="4" t="str">
        <v>Reguler Periode ke-101 XVI.C.3</v>
      </c>
      <c r="B297" s="4" t="s">
        <v>2073</v>
      </c>
      <c r="C297" s="38" t="s">
        <v>4322</v>
      </c>
      <c r="D297" s="4" t="s">
        <v>4298</v>
      </c>
      <c r="E297" s="4" t="s">
        <v>4323</v>
      </c>
      <c r="F297" s="4" t="s">
        <v>4039</v>
      </c>
      <c r="G297" s="27" t="s">
        <v>4324</v>
      </c>
      <c r="H297" s="27" t="s">
        <v>4325</v>
      </c>
      <c r="I297" s="27" t="s">
        <v>4326</v>
      </c>
      <c r="J297" s="27" t="s">
        <v>4327</v>
      </c>
      <c r="K297" s="27" t="s">
        <v>4328</v>
      </c>
      <c r="L297" s="27" t="s">
        <v>4329</v>
      </c>
      <c r="M297" s="27" t="s">
        <v>4330</v>
      </c>
      <c r="N297" s="27" t="s">
        <v>4331</v>
      </c>
      <c r="O297" s="27" t="s">
        <v>4332</v>
      </c>
      <c r="S297" s="27">
        <v>1900004168</v>
      </c>
      <c r="T297" s="27">
        <v>1900008023</v>
      </c>
      <c r="U297" s="27">
        <v>1900010052</v>
      </c>
      <c r="V297" s="27">
        <v>1900013106</v>
      </c>
      <c r="W297" s="27">
        <v>1900018002</v>
      </c>
      <c r="X297" s="27">
        <v>1900023147</v>
      </c>
      <c r="Y297" s="27">
        <v>1900029228</v>
      </c>
      <c r="Z297" s="27">
        <v>1900030353</v>
      </c>
      <c r="AA297" s="27">
        <v>1900032021</v>
      </c>
      <c r="AE297" s="27" t="s">
        <v>201</v>
      </c>
      <c r="AF297" s="27" t="s">
        <v>1111</v>
      </c>
      <c r="AG297" s="27" t="s">
        <v>532</v>
      </c>
      <c r="AH297" s="27" t="s">
        <v>677</v>
      </c>
      <c r="AI297" s="27" t="s">
        <v>179</v>
      </c>
      <c r="AJ297" s="27" t="s">
        <v>899</v>
      </c>
      <c r="AK297" s="27" t="s">
        <v>533</v>
      </c>
      <c r="AL297" s="27" t="s">
        <v>184</v>
      </c>
      <c r="AM297" s="27" t="s">
        <v>732</v>
      </c>
      <c r="BC297" s="28">
        <v>85156976919</v>
      </c>
      <c r="BD297" s="28">
        <v>85709608243</v>
      </c>
      <c r="BE297" s="28">
        <v>85701775477</v>
      </c>
      <c r="BF297" s="28">
        <v>82289905392</v>
      </c>
      <c r="BG297" s="28">
        <v>87870727840</v>
      </c>
      <c r="BH297" s="28">
        <v>82376231595</v>
      </c>
      <c r="BI297" s="28">
        <v>82223505100</v>
      </c>
      <c r="BJ297" s="28">
        <v>82299505322</v>
      </c>
      <c r="BK297" s="28">
        <v>85600016075</v>
      </c>
      <c r="BO297" s="39">
        <v>60150796</v>
      </c>
      <c r="BP297" s="18" t="s">
        <v>4333</v>
      </c>
      <c r="BQ297" s="37">
        <v>44957</v>
      </c>
      <c r="BR297" s="8">
        <f t="shared" si="1"/>
        <v>9</v>
      </c>
    </row>
    <row r="298" spans="1:73" ht="15.5">
      <c r="A298" s="4" t="str">
        <v>Reguler Periode ke-101 XVI.D.1</v>
      </c>
      <c r="B298" s="4" t="s">
        <v>2073</v>
      </c>
      <c r="C298" s="38" t="s">
        <v>4334</v>
      </c>
      <c r="D298" s="4" t="s">
        <v>4335</v>
      </c>
      <c r="E298" s="4" t="s">
        <v>4336</v>
      </c>
      <c r="F298" s="4" t="s">
        <v>4039</v>
      </c>
      <c r="G298" s="27" t="s">
        <v>4337</v>
      </c>
      <c r="H298" s="27" t="s">
        <v>4338</v>
      </c>
      <c r="I298" s="27" t="s">
        <v>4339</v>
      </c>
      <c r="J298" s="27" t="s">
        <v>4340</v>
      </c>
      <c r="K298" s="27" t="s">
        <v>4341</v>
      </c>
      <c r="L298" s="27" t="s">
        <v>4342</v>
      </c>
      <c r="M298" s="27" t="s">
        <v>4343</v>
      </c>
      <c r="N298" s="27" t="s">
        <v>4344</v>
      </c>
      <c r="O298" s="27" t="s">
        <v>4345</v>
      </c>
      <c r="S298" s="27">
        <v>1900008015</v>
      </c>
      <c r="T298" s="27">
        <v>1900010328</v>
      </c>
      <c r="U298" s="27">
        <v>1900013054</v>
      </c>
      <c r="V298" s="27">
        <v>1900018370</v>
      </c>
      <c r="W298" s="27">
        <v>1900023237</v>
      </c>
      <c r="X298" s="27">
        <v>1900029037</v>
      </c>
      <c r="Y298" s="27">
        <v>1900030261</v>
      </c>
      <c r="Z298" s="27">
        <v>1900032033</v>
      </c>
      <c r="AA298" s="27">
        <v>1911004095</v>
      </c>
      <c r="AE298" s="27" t="s">
        <v>1111</v>
      </c>
      <c r="AF298" s="27" t="s">
        <v>532</v>
      </c>
      <c r="AG298" s="27" t="s">
        <v>677</v>
      </c>
      <c r="AH298" s="27" t="s">
        <v>179</v>
      </c>
      <c r="AI298" s="27" t="s">
        <v>899</v>
      </c>
      <c r="AJ298" s="27" t="s">
        <v>533</v>
      </c>
      <c r="AK298" s="27" t="s">
        <v>184</v>
      </c>
      <c r="AL298" s="27" t="s">
        <v>732</v>
      </c>
      <c r="AM298" s="27" t="s">
        <v>201</v>
      </c>
      <c r="BC298" s="28">
        <v>82179672163</v>
      </c>
      <c r="BD298" s="28">
        <v>81234550926</v>
      </c>
      <c r="BE298" s="28">
        <v>81378031034</v>
      </c>
      <c r="BF298" s="28">
        <v>85803399289</v>
      </c>
      <c r="BG298" s="28">
        <v>81367335002</v>
      </c>
      <c r="BH298" s="28">
        <v>85640232550</v>
      </c>
      <c r="BI298" s="28">
        <v>81952303718</v>
      </c>
      <c r="BJ298" s="28">
        <v>895341800864</v>
      </c>
      <c r="BK298" s="28">
        <v>85740682355</v>
      </c>
      <c r="BO298" s="39">
        <v>60211300</v>
      </c>
      <c r="BP298" s="18" t="s">
        <v>4346</v>
      </c>
      <c r="BQ298" s="37">
        <v>44957</v>
      </c>
      <c r="BR298" s="8">
        <f t="shared" si="1"/>
        <v>9</v>
      </c>
    </row>
    <row r="299" spans="1:73" ht="15.5">
      <c r="A299" s="4" t="str">
        <v>Reguler Periode ke-101 XVI.D.2</v>
      </c>
      <c r="B299" s="4" t="s">
        <v>2073</v>
      </c>
      <c r="C299" s="38" t="s">
        <v>4347</v>
      </c>
      <c r="D299" s="4" t="s">
        <v>4335</v>
      </c>
      <c r="E299" s="4" t="s">
        <v>4348</v>
      </c>
      <c r="F299" s="4" t="s">
        <v>4039</v>
      </c>
      <c r="G299" s="27" t="s">
        <v>4349</v>
      </c>
      <c r="H299" s="27" t="s">
        <v>4350</v>
      </c>
      <c r="I299" s="27" t="s">
        <v>4351</v>
      </c>
      <c r="J299" s="27" t="s">
        <v>4352</v>
      </c>
      <c r="K299" s="27" t="s">
        <v>4353</v>
      </c>
      <c r="L299" s="27" t="s">
        <v>4354</v>
      </c>
      <c r="M299" s="27" t="s">
        <v>4355</v>
      </c>
      <c r="N299" s="27" t="s">
        <v>4356</v>
      </c>
      <c r="O299" s="27" t="s">
        <v>4357</v>
      </c>
      <c r="S299" s="27">
        <v>1900004117</v>
      </c>
      <c r="T299" s="27">
        <v>1900008074</v>
      </c>
      <c r="U299" s="27">
        <v>1900010062</v>
      </c>
      <c r="V299" s="27">
        <v>1900013255</v>
      </c>
      <c r="W299" s="27">
        <v>1900018096</v>
      </c>
      <c r="X299" s="27">
        <v>1900023028</v>
      </c>
      <c r="Y299" s="27">
        <v>1900029146</v>
      </c>
      <c r="Z299" s="27">
        <v>1900030092</v>
      </c>
      <c r="AA299" s="27">
        <v>1900032207</v>
      </c>
      <c r="AE299" s="52" t="s">
        <v>201</v>
      </c>
      <c r="AF299" s="52" t="s">
        <v>1111</v>
      </c>
      <c r="AG299" s="52" t="s">
        <v>532</v>
      </c>
      <c r="AH299" s="52" t="s">
        <v>677</v>
      </c>
      <c r="AI299" s="52" t="s">
        <v>179</v>
      </c>
      <c r="AJ299" s="52" t="s">
        <v>899</v>
      </c>
      <c r="AK299" s="52" t="s">
        <v>533</v>
      </c>
      <c r="AL299" s="52" t="s">
        <v>184</v>
      </c>
      <c r="AM299" s="52" t="s">
        <v>732</v>
      </c>
      <c r="BC299" s="28">
        <v>85930227633</v>
      </c>
      <c r="BD299" s="28">
        <v>85760688641</v>
      </c>
      <c r="BE299" s="28">
        <v>82125509549</v>
      </c>
      <c r="BF299" s="28">
        <v>87711930287</v>
      </c>
      <c r="BG299" s="28">
        <v>85299682517</v>
      </c>
      <c r="BH299" s="28">
        <v>87863650817</v>
      </c>
      <c r="BI299" s="28">
        <v>8886883481</v>
      </c>
      <c r="BJ299" s="28">
        <v>81529053258</v>
      </c>
      <c r="BK299" s="28">
        <v>81361298454</v>
      </c>
      <c r="BO299" s="39">
        <v>60211300</v>
      </c>
      <c r="BP299" s="18" t="s">
        <v>4358</v>
      </c>
      <c r="BQ299" s="37">
        <v>44957</v>
      </c>
      <c r="BR299" s="8">
        <f t="shared" si="1"/>
        <v>9</v>
      </c>
    </row>
    <row r="300" spans="1:73" ht="15.5">
      <c r="A300" s="53" t="str">
        <v>Reguler Periode ke-101 XVI.D.3</v>
      </c>
      <c r="B300" s="53" t="s">
        <v>2073</v>
      </c>
      <c r="C300" s="54" t="s">
        <v>4359</v>
      </c>
      <c r="D300" s="53" t="s">
        <v>4335</v>
      </c>
      <c r="E300" s="53" t="s">
        <v>4360</v>
      </c>
      <c r="F300" s="53" t="s">
        <v>4039</v>
      </c>
      <c r="G300" s="55" t="s">
        <v>4361</v>
      </c>
      <c r="H300" s="55" t="s">
        <v>4362</v>
      </c>
      <c r="I300" s="55" t="s">
        <v>4363</v>
      </c>
      <c r="J300" s="55" t="s">
        <v>4364</v>
      </c>
      <c r="K300" s="55" t="s">
        <v>4365</v>
      </c>
      <c r="L300" s="55" t="s">
        <v>4366</v>
      </c>
      <c r="M300" s="55" t="s">
        <v>4367</v>
      </c>
      <c r="N300" s="55" t="s">
        <v>4368</v>
      </c>
      <c r="O300" s="55" t="s">
        <v>4369</v>
      </c>
      <c r="P300" s="53"/>
      <c r="Q300" s="53"/>
      <c r="R300" s="53"/>
      <c r="S300" s="55">
        <v>1900004125</v>
      </c>
      <c r="T300" s="55">
        <v>1900008100</v>
      </c>
      <c r="U300" s="55">
        <v>1900010092</v>
      </c>
      <c r="V300" s="55">
        <v>1900013293</v>
      </c>
      <c r="W300" s="55">
        <v>1900018315</v>
      </c>
      <c r="X300" s="55">
        <v>1900023086</v>
      </c>
      <c r="Y300" s="55">
        <v>1900029204</v>
      </c>
      <c r="Z300" s="55">
        <v>1900030185</v>
      </c>
      <c r="AA300" s="55">
        <v>1900032019</v>
      </c>
      <c r="AB300" s="53"/>
      <c r="AC300" s="53"/>
      <c r="AD300" s="53"/>
      <c r="AE300" s="55" t="s">
        <v>201</v>
      </c>
      <c r="AF300" s="55" t="s">
        <v>1111</v>
      </c>
      <c r="AG300" s="55" t="s">
        <v>532</v>
      </c>
      <c r="AH300" s="55" t="s">
        <v>677</v>
      </c>
      <c r="AI300" s="55" t="s">
        <v>179</v>
      </c>
      <c r="AJ300" s="55" t="s">
        <v>899</v>
      </c>
      <c r="AK300" s="55" t="s">
        <v>533</v>
      </c>
      <c r="AL300" s="55" t="s">
        <v>184</v>
      </c>
      <c r="AM300" s="55" t="s">
        <v>732</v>
      </c>
      <c r="AN300" s="53"/>
      <c r="AO300" s="53"/>
      <c r="AP300" s="53"/>
      <c r="AQ300" s="53"/>
      <c r="AR300" s="53"/>
      <c r="AS300" s="53"/>
      <c r="AT300" s="53"/>
      <c r="AU300" s="53"/>
      <c r="AV300" s="53"/>
      <c r="AW300" s="53"/>
      <c r="AX300" s="53"/>
      <c r="AY300" s="53"/>
      <c r="AZ300" s="53"/>
      <c r="BA300" s="53"/>
      <c r="BB300" s="53"/>
      <c r="BC300" s="56">
        <v>82241009514</v>
      </c>
      <c r="BD300" s="56">
        <v>82241287630</v>
      </c>
      <c r="BE300" s="56">
        <v>82227315927</v>
      </c>
      <c r="BF300" s="56" t="s">
        <v>4370</v>
      </c>
      <c r="BG300" s="56">
        <v>85725363923</v>
      </c>
      <c r="BH300" s="56">
        <v>85810295355</v>
      </c>
      <c r="BI300" s="56">
        <v>89672257029</v>
      </c>
      <c r="BJ300" s="56">
        <v>85693267438</v>
      </c>
      <c r="BK300" s="56">
        <v>82293593021</v>
      </c>
      <c r="BL300" s="53"/>
      <c r="BM300" s="53"/>
      <c r="BN300" s="53"/>
      <c r="BO300" s="57">
        <v>60211300</v>
      </c>
      <c r="BP300" s="58" t="s">
        <v>4371</v>
      </c>
      <c r="BQ300" s="59">
        <v>44957</v>
      </c>
      <c r="BR300" s="8">
        <f t="shared" si="1"/>
        <v>9</v>
      </c>
      <c r="BS300" s="53"/>
      <c r="BT300" s="53"/>
      <c r="BU300" s="53"/>
    </row>
    <row r="301" spans="1:73" ht="15.5">
      <c r="A301" s="4" t="str">
        <v>Reguler Periode ke-101 XVII.A.1</v>
      </c>
      <c r="B301" s="4" t="s">
        <v>2073</v>
      </c>
      <c r="C301" s="38" t="s">
        <v>4372</v>
      </c>
      <c r="D301" s="4" t="s">
        <v>4373</v>
      </c>
      <c r="E301" s="4" t="s">
        <v>4374</v>
      </c>
      <c r="F301" s="4" t="s">
        <v>4039</v>
      </c>
      <c r="G301" s="27" t="s">
        <v>4375</v>
      </c>
      <c r="H301" s="27" t="s">
        <v>4376</v>
      </c>
      <c r="I301" s="27" t="s">
        <v>4377</v>
      </c>
      <c r="J301" s="27" t="s">
        <v>4378</v>
      </c>
      <c r="K301" s="27" t="s">
        <v>4379</v>
      </c>
      <c r="L301" s="27" t="s">
        <v>4380</v>
      </c>
      <c r="M301" s="27" t="s">
        <v>4381</v>
      </c>
      <c r="N301" s="27" t="s">
        <v>4382</v>
      </c>
      <c r="O301" s="27" t="s">
        <v>4383</v>
      </c>
      <c r="S301" s="27">
        <v>1900004035</v>
      </c>
      <c r="T301" s="27">
        <v>1900008052</v>
      </c>
      <c r="U301" s="27">
        <v>1900011076</v>
      </c>
      <c r="V301" s="27">
        <v>1900013231</v>
      </c>
      <c r="W301" s="27">
        <v>1900018012</v>
      </c>
      <c r="X301" s="27">
        <v>1900023103</v>
      </c>
      <c r="Y301" s="27">
        <v>1900029239</v>
      </c>
      <c r="Z301" s="27">
        <v>1900030184</v>
      </c>
      <c r="AA301" s="27">
        <v>1900032041</v>
      </c>
      <c r="AE301" s="27" t="s">
        <v>201</v>
      </c>
      <c r="AF301" s="27" t="s">
        <v>1111</v>
      </c>
      <c r="AG301" s="27" t="s">
        <v>182</v>
      </c>
      <c r="AH301" s="27" t="s">
        <v>677</v>
      </c>
      <c r="AI301" s="27" t="s">
        <v>179</v>
      </c>
      <c r="AJ301" s="27" t="s">
        <v>899</v>
      </c>
      <c r="AK301" s="27" t="s">
        <v>533</v>
      </c>
      <c r="AL301" s="27" t="s">
        <v>184</v>
      </c>
      <c r="AM301" s="27" t="s">
        <v>732</v>
      </c>
      <c r="BC301" s="28">
        <v>6281250620579</v>
      </c>
      <c r="BD301" s="28">
        <v>85607610209</v>
      </c>
      <c r="BE301" s="28">
        <v>87771136853</v>
      </c>
      <c r="BF301" s="28">
        <v>85641214044</v>
      </c>
      <c r="BG301" s="28">
        <v>82242750533</v>
      </c>
      <c r="BH301" s="28">
        <v>89517986191</v>
      </c>
      <c r="BI301" s="28">
        <v>82116739464</v>
      </c>
      <c r="BJ301" s="28">
        <v>82296366396</v>
      </c>
      <c r="BK301" s="28">
        <v>82116474408</v>
      </c>
      <c r="BO301" s="39">
        <v>60150834</v>
      </c>
      <c r="BP301" s="18" t="s">
        <v>4384</v>
      </c>
      <c r="BQ301" s="37">
        <v>44957</v>
      </c>
      <c r="BR301" s="8">
        <f t="shared" si="1"/>
        <v>9</v>
      </c>
    </row>
    <row r="302" spans="1:73" ht="15.5">
      <c r="A302" s="4" t="str">
        <v>Reguler Periode ke-101 XVII.A.2</v>
      </c>
      <c r="B302" s="4" t="s">
        <v>2073</v>
      </c>
      <c r="C302" s="38" t="s">
        <v>4385</v>
      </c>
      <c r="D302" s="4" t="s">
        <v>4373</v>
      </c>
      <c r="E302" s="4" t="s">
        <v>4386</v>
      </c>
      <c r="F302" s="4" t="s">
        <v>4039</v>
      </c>
      <c r="G302" s="27" t="s">
        <v>4387</v>
      </c>
      <c r="H302" s="27" t="s">
        <v>2217</v>
      </c>
      <c r="I302" s="27" t="s">
        <v>4388</v>
      </c>
      <c r="J302" s="27" t="s">
        <v>4389</v>
      </c>
      <c r="K302" s="27" t="s">
        <v>4390</v>
      </c>
      <c r="L302" s="27" t="s">
        <v>4391</v>
      </c>
      <c r="M302" s="27" t="s">
        <v>4392</v>
      </c>
      <c r="N302" s="27" t="s">
        <v>4393</v>
      </c>
      <c r="O302" s="27" t="s">
        <v>4394</v>
      </c>
      <c r="S302" s="27">
        <v>1800030215</v>
      </c>
      <c r="T302" s="27">
        <v>1900004123</v>
      </c>
      <c r="U302" s="27">
        <v>1900008029</v>
      </c>
      <c r="V302" s="27">
        <v>1900011275</v>
      </c>
      <c r="W302" s="27">
        <v>1900013163</v>
      </c>
      <c r="X302" s="27">
        <v>1900018060</v>
      </c>
      <c r="Y302" s="27">
        <v>1900023243</v>
      </c>
      <c r="Z302" s="27">
        <v>1900029006</v>
      </c>
      <c r="AA302" s="27">
        <v>1900032135</v>
      </c>
      <c r="AE302" s="27" t="s">
        <v>184</v>
      </c>
      <c r="AF302" s="27" t="s">
        <v>201</v>
      </c>
      <c r="AG302" s="27" t="s">
        <v>1111</v>
      </c>
      <c r="AH302" s="27" t="s">
        <v>182</v>
      </c>
      <c r="AI302" s="27" t="s">
        <v>677</v>
      </c>
      <c r="AJ302" s="27" t="s">
        <v>179</v>
      </c>
      <c r="AK302" s="27" t="s">
        <v>899</v>
      </c>
      <c r="AL302" s="27" t="s">
        <v>533</v>
      </c>
      <c r="AM302" s="27" t="s">
        <v>732</v>
      </c>
      <c r="BC302" s="28">
        <v>85333757323</v>
      </c>
      <c r="BD302" s="28">
        <v>82155654429</v>
      </c>
      <c r="BE302" s="28">
        <v>83844252615</v>
      </c>
      <c r="BF302" s="28">
        <v>85863230262</v>
      </c>
      <c r="BG302" s="28">
        <v>81363090827</v>
      </c>
      <c r="BH302" s="28">
        <v>82140554357</v>
      </c>
      <c r="BI302" s="28">
        <v>85244237799</v>
      </c>
      <c r="BJ302" s="28">
        <v>81251399220</v>
      </c>
      <c r="BK302" s="28">
        <v>85728789695</v>
      </c>
      <c r="BO302" s="39">
        <v>60150834</v>
      </c>
      <c r="BP302" s="18" t="s">
        <v>4395</v>
      </c>
      <c r="BQ302" s="37">
        <v>44957</v>
      </c>
      <c r="BR302" s="8">
        <f t="shared" si="1"/>
        <v>9</v>
      </c>
    </row>
    <row r="303" spans="1:73" ht="15.5">
      <c r="A303" s="4" t="str">
        <v>Reguler Periode ke-101 XVII.A.3</v>
      </c>
      <c r="B303" s="4" t="s">
        <v>2073</v>
      </c>
      <c r="C303" s="38" t="s">
        <v>4396</v>
      </c>
      <c r="D303" s="4" t="s">
        <v>4373</v>
      </c>
      <c r="E303" s="4" t="s">
        <v>4397</v>
      </c>
      <c r="F303" s="4" t="s">
        <v>4039</v>
      </c>
      <c r="G303" s="27" t="s">
        <v>4398</v>
      </c>
      <c r="H303" s="27" t="s">
        <v>4399</v>
      </c>
      <c r="I303" s="27" t="s">
        <v>4400</v>
      </c>
      <c r="J303" s="27" t="s">
        <v>4401</v>
      </c>
      <c r="K303" s="27" t="s">
        <v>4402</v>
      </c>
      <c r="L303" s="27" t="s">
        <v>4403</v>
      </c>
      <c r="M303" s="27" t="s">
        <v>4404</v>
      </c>
      <c r="N303" s="27" t="s">
        <v>4405</v>
      </c>
      <c r="O303" s="27" t="s">
        <v>4406</v>
      </c>
      <c r="S303" s="27">
        <v>1800013255</v>
      </c>
      <c r="T303" s="27">
        <v>1900004159</v>
      </c>
      <c r="U303" s="27">
        <v>1900008095</v>
      </c>
      <c r="V303" s="27">
        <v>1900011330</v>
      </c>
      <c r="W303" s="27">
        <v>1900018184</v>
      </c>
      <c r="X303" s="27">
        <v>1900023143</v>
      </c>
      <c r="Y303" s="27">
        <v>1900029022</v>
      </c>
      <c r="Z303" s="27">
        <v>1900030106</v>
      </c>
      <c r="AA303" s="27">
        <v>1900032131</v>
      </c>
      <c r="AE303" s="27" t="s">
        <v>677</v>
      </c>
      <c r="AF303" s="27" t="s">
        <v>201</v>
      </c>
      <c r="AG303" s="27" t="s">
        <v>1111</v>
      </c>
      <c r="AH303" s="27" t="s">
        <v>182</v>
      </c>
      <c r="AI303" s="27" t="s">
        <v>179</v>
      </c>
      <c r="AJ303" s="27" t="s">
        <v>899</v>
      </c>
      <c r="AK303" s="27" t="s">
        <v>533</v>
      </c>
      <c r="AL303" s="27" t="s">
        <v>184</v>
      </c>
      <c r="AM303" s="27" t="s">
        <v>732</v>
      </c>
      <c r="BC303" s="28">
        <v>82337992955</v>
      </c>
      <c r="BD303" s="28">
        <v>85752365729</v>
      </c>
      <c r="BE303" s="28">
        <v>89636321700</v>
      </c>
      <c r="BF303" s="28">
        <v>82358809462</v>
      </c>
      <c r="BG303" s="28">
        <v>89670646325</v>
      </c>
      <c r="BH303" s="28">
        <v>81252253694</v>
      </c>
      <c r="BI303" s="28">
        <v>87727570624</v>
      </c>
      <c r="BJ303" s="28">
        <v>81994832057</v>
      </c>
      <c r="BK303" s="28">
        <v>87771666389</v>
      </c>
      <c r="BO303" s="39">
        <v>60150834</v>
      </c>
      <c r="BP303" s="18" t="s">
        <v>4407</v>
      </c>
      <c r="BQ303" s="37">
        <v>44957</v>
      </c>
      <c r="BR303" s="8">
        <f t="shared" si="1"/>
        <v>9</v>
      </c>
    </row>
    <row r="304" spans="1:73" ht="15.5">
      <c r="A304" s="4" t="str">
        <v>Reguler Periode ke-101 XVII.B.1</v>
      </c>
      <c r="B304" s="4" t="s">
        <v>2073</v>
      </c>
      <c r="C304" s="38" t="s">
        <v>4408</v>
      </c>
      <c r="D304" s="4" t="s">
        <v>4409</v>
      </c>
      <c r="E304" s="4" t="s">
        <v>4410</v>
      </c>
      <c r="F304" s="4" t="s">
        <v>4039</v>
      </c>
      <c r="G304" s="27" t="s">
        <v>4411</v>
      </c>
      <c r="H304" s="27" t="s">
        <v>4412</v>
      </c>
      <c r="I304" s="27" t="s">
        <v>4413</v>
      </c>
      <c r="J304" s="27" t="s">
        <v>4414</v>
      </c>
      <c r="K304" s="27" t="s">
        <v>4415</v>
      </c>
      <c r="L304" s="27" t="s">
        <v>4416</v>
      </c>
      <c r="M304" s="27" t="s">
        <v>4417</v>
      </c>
      <c r="N304" s="27" t="s">
        <v>4418</v>
      </c>
      <c r="O304" s="27" t="s">
        <v>4419</v>
      </c>
      <c r="S304" s="27">
        <v>1900004167</v>
      </c>
      <c r="T304" s="27">
        <v>1900008055</v>
      </c>
      <c r="U304" s="27">
        <v>1900011004</v>
      </c>
      <c r="V304" s="27">
        <v>1900013252</v>
      </c>
      <c r="W304" s="27">
        <v>1900018014</v>
      </c>
      <c r="X304" s="27">
        <v>1900023260</v>
      </c>
      <c r="Y304" s="27">
        <v>1900029181</v>
      </c>
      <c r="Z304" s="27">
        <v>1900030017</v>
      </c>
      <c r="AA304" s="27">
        <v>1900032086</v>
      </c>
      <c r="AE304" s="27" t="s">
        <v>201</v>
      </c>
      <c r="AF304" s="27" t="s">
        <v>1111</v>
      </c>
      <c r="AG304" s="27" t="s">
        <v>182</v>
      </c>
      <c r="AH304" s="27" t="s">
        <v>677</v>
      </c>
      <c r="AI304" s="27" t="s">
        <v>179</v>
      </c>
      <c r="AJ304" s="27" t="s">
        <v>899</v>
      </c>
      <c r="AK304" s="27" t="s">
        <v>533</v>
      </c>
      <c r="AL304" s="27" t="s">
        <v>184</v>
      </c>
      <c r="AM304" s="27" t="s">
        <v>732</v>
      </c>
      <c r="AS304" s="28"/>
      <c r="BC304" s="28">
        <v>85804044070</v>
      </c>
      <c r="BD304" s="28"/>
      <c r="BE304" s="28">
        <v>81229240043</v>
      </c>
      <c r="BF304" s="28">
        <v>85799159255</v>
      </c>
      <c r="BG304" s="28">
        <v>89508117055</v>
      </c>
      <c r="BH304" s="28">
        <v>85848571585</v>
      </c>
      <c r="BI304" s="28">
        <v>85726917319</v>
      </c>
      <c r="BJ304" s="28">
        <v>89628215076</v>
      </c>
      <c r="BK304" s="28">
        <v>88225322724</v>
      </c>
      <c r="BO304" s="39">
        <v>60160969</v>
      </c>
      <c r="BP304" s="18" t="s">
        <v>4420</v>
      </c>
      <c r="BQ304" s="37">
        <v>44957</v>
      </c>
      <c r="BR304" s="8">
        <f t="shared" si="1"/>
        <v>9</v>
      </c>
    </row>
    <row r="305" spans="1:70" ht="15.5">
      <c r="A305" s="4" t="str">
        <v>Reguler Periode ke-101 XVII.B.2</v>
      </c>
      <c r="B305" s="4" t="s">
        <v>2073</v>
      </c>
      <c r="C305" s="38" t="s">
        <v>4421</v>
      </c>
      <c r="D305" s="4" t="s">
        <v>4409</v>
      </c>
      <c r="E305" s="4" t="s">
        <v>4422</v>
      </c>
      <c r="F305" s="4" t="s">
        <v>4039</v>
      </c>
      <c r="G305" s="27" t="s">
        <v>4423</v>
      </c>
      <c r="H305" s="27" t="s">
        <v>4424</v>
      </c>
      <c r="I305" s="27" t="s">
        <v>4425</v>
      </c>
      <c r="J305" s="27" t="s">
        <v>4426</v>
      </c>
      <c r="K305" s="27" t="s">
        <v>4427</v>
      </c>
      <c r="L305" s="27" t="s">
        <v>4428</v>
      </c>
      <c r="M305" s="27" t="s">
        <v>4429</v>
      </c>
      <c r="N305" s="27" t="s">
        <v>4430</v>
      </c>
      <c r="O305" s="27" t="s">
        <v>4431</v>
      </c>
      <c r="S305" s="27">
        <v>1800011135</v>
      </c>
      <c r="T305" s="27">
        <v>1900004069</v>
      </c>
      <c r="U305" s="27">
        <v>1900008096</v>
      </c>
      <c r="V305" s="27">
        <v>1900013212</v>
      </c>
      <c r="W305" s="27">
        <v>1900018073</v>
      </c>
      <c r="X305" s="27">
        <v>1900023241</v>
      </c>
      <c r="Y305" s="27">
        <v>1900029240</v>
      </c>
      <c r="Z305" s="27">
        <v>1900030368</v>
      </c>
      <c r="AA305" s="27">
        <v>1900032122</v>
      </c>
      <c r="AE305" s="27" t="s">
        <v>182</v>
      </c>
      <c r="AF305" s="27" t="s">
        <v>201</v>
      </c>
      <c r="AG305" s="27" t="s">
        <v>1111</v>
      </c>
      <c r="AH305" s="27" t="s">
        <v>677</v>
      </c>
      <c r="AI305" s="27" t="s">
        <v>179</v>
      </c>
      <c r="AJ305" s="27" t="s">
        <v>899</v>
      </c>
      <c r="AK305" s="27" t="s">
        <v>533</v>
      </c>
      <c r="AL305" s="27" t="s">
        <v>184</v>
      </c>
      <c r="AM305" s="27" t="s">
        <v>732</v>
      </c>
      <c r="AQ305" s="60"/>
      <c r="AS305" s="28"/>
      <c r="BC305" s="28">
        <v>895421883131</v>
      </c>
      <c r="BD305" s="28">
        <v>85809514620</v>
      </c>
      <c r="BE305" s="28">
        <v>81324744187</v>
      </c>
      <c r="BF305" s="28">
        <v>81328202813</v>
      </c>
      <c r="BG305" s="28">
        <v>82299049310</v>
      </c>
      <c r="BH305" s="28">
        <v>85785036527</v>
      </c>
      <c r="BI305" s="28">
        <v>895320879695</v>
      </c>
      <c r="BJ305" s="28">
        <v>81381571534</v>
      </c>
      <c r="BK305" s="28">
        <v>89664912213</v>
      </c>
      <c r="BO305" s="39">
        <v>60160969</v>
      </c>
      <c r="BP305" s="18" t="s">
        <v>4432</v>
      </c>
      <c r="BQ305" s="37">
        <v>44957</v>
      </c>
      <c r="BR305" s="8">
        <f t="shared" si="1"/>
        <v>9</v>
      </c>
    </row>
    <row r="306" spans="1:70" ht="15.5">
      <c r="A306" s="4" t="str">
        <v>Reguler Periode ke-101 XVII.B.3</v>
      </c>
      <c r="B306" s="4" t="s">
        <v>2073</v>
      </c>
      <c r="C306" s="38" t="s">
        <v>4433</v>
      </c>
      <c r="D306" s="4" t="s">
        <v>4409</v>
      </c>
      <c r="E306" s="4" t="s">
        <v>4434</v>
      </c>
      <c r="F306" s="4" t="s">
        <v>4039</v>
      </c>
      <c r="G306" s="27" t="s">
        <v>4435</v>
      </c>
      <c r="H306" s="27" t="s">
        <v>4436</v>
      </c>
      <c r="I306" s="27" t="s">
        <v>4437</v>
      </c>
      <c r="J306" s="27" t="s">
        <v>4438</v>
      </c>
      <c r="K306" s="27" t="s">
        <v>4439</v>
      </c>
      <c r="L306" s="27" t="s">
        <v>4440</v>
      </c>
      <c r="M306" s="27" t="s">
        <v>4441</v>
      </c>
      <c r="N306" s="27" t="s">
        <v>4442</v>
      </c>
      <c r="O306" s="27" t="s">
        <v>4443</v>
      </c>
      <c r="S306" s="27">
        <v>1900004022</v>
      </c>
      <c r="T306" s="27">
        <v>1900008103</v>
      </c>
      <c r="U306" s="27">
        <v>1900011361</v>
      </c>
      <c r="V306" s="27">
        <v>1900013194</v>
      </c>
      <c r="W306" s="27">
        <v>1900018327</v>
      </c>
      <c r="X306" s="27">
        <v>1900023217</v>
      </c>
      <c r="Y306" s="27">
        <v>1900029255</v>
      </c>
      <c r="Z306" s="27">
        <v>1900030124</v>
      </c>
      <c r="AA306" s="27">
        <v>1900032136</v>
      </c>
      <c r="AE306" s="52" t="s">
        <v>201</v>
      </c>
      <c r="AF306" s="52" t="s">
        <v>1111</v>
      </c>
      <c r="AG306" s="52" t="s">
        <v>182</v>
      </c>
      <c r="AH306" s="52" t="s">
        <v>677</v>
      </c>
      <c r="AI306" s="52" t="s">
        <v>179</v>
      </c>
      <c r="AJ306" s="52" t="s">
        <v>899</v>
      </c>
      <c r="AK306" s="52" t="s">
        <v>533</v>
      </c>
      <c r="AL306" s="52" t="s">
        <v>184</v>
      </c>
      <c r="AM306" s="52" t="s">
        <v>732</v>
      </c>
      <c r="AQ306" s="61"/>
      <c r="AS306" s="28"/>
      <c r="BC306" s="28">
        <v>82135481969</v>
      </c>
      <c r="BD306" s="28">
        <v>85799848101</v>
      </c>
      <c r="BE306" s="28">
        <v>82235710917</v>
      </c>
      <c r="BF306" s="28">
        <v>82135025635</v>
      </c>
      <c r="BG306" s="28">
        <v>82177734112</v>
      </c>
      <c r="BH306" s="28">
        <v>88239969742</v>
      </c>
      <c r="BI306" s="28">
        <v>85239214707</v>
      </c>
      <c r="BJ306" s="28">
        <v>81382423651</v>
      </c>
      <c r="BK306" s="28">
        <v>82271674451</v>
      </c>
      <c r="BO306" s="39">
        <v>60160969</v>
      </c>
      <c r="BP306" s="18" t="s">
        <v>4444</v>
      </c>
      <c r="BQ306" s="37">
        <v>44957</v>
      </c>
      <c r="BR306" s="8">
        <f t="shared" si="1"/>
        <v>9</v>
      </c>
    </row>
    <row r="307" spans="1:70" ht="15.5">
      <c r="A307" s="4" t="str">
        <v>Reguler Periode ke-101 XVII.C.1</v>
      </c>
      <c r="B307" s="4" t="s">
        <v>2073</v>
      </c>
      <c r="C307" s="38" t="s">
        <v>4445</v>
      </c>
      <c r="D307" s="4" t="s">
        <v>4446</v>
      </c>
      <c r="E307" s="4" t="s">
        <v>4447</v>
      </c>
      <c r="F307" s="4" t="s">
        <v>4039</v>
      </c>
      <c r="G307" s="27" t="s">
        <v>4448</v>
      </c>
      <c r="H307" s="27" t="s">
        <v>4449</v>
      </c>
      <c r="I307" s="27" t="s">
        <v>4450</v>
      </c>
      <c r="J307" s="27" t="s">
        <v>4451</v>
      </c>
      <c r="K307" s="27" t="s">
        <v>4452</v>
      </c>
      <c r="L307" s="27" t="s">
        <v>4453</v>
      </c>
      <c r="M307" s="27" t="s">
        <v>4454</v>
      </c>
      <c r="N307" s="27" t="s">
        <v>4455</v>
      </c>
      <c r="O307" s="27" t="s">
        <v>4456</v>
      </c>
      <c r="S307" s="27">
        <v>1900004021</v>
      </c>
      <c r="T307" s="27">
        <v>1900008009</v>
      </c>
      <c r="U307" s="27">
        <v>1900011274</v>
      </c>
      <c r="V307" s="27">
        <v>1900013002</v>
      </c>
      <c r="W307" s="27">
        <v>1900018179</v>
      </c>
      <c r="X307" s="27">
        <v>1900023137</v>
      </c>
      <c r="Y307" s="27">
        <v>1900029186</v>
      </c>
      <c r="Z307" s="27">
        <v>1900030159</v>
      </c>
      <c r="AA307" s="27">
        <v>1900032152</v>
      </c>
      <c r="AE307" s="27" t="s">
        <v>201</v>
      </c>
      <c r="AF307" s="27" t="s">
        <v>1111</v>
      </c>
      <c r="AG307" s="27" t="s">
        <v>182</v>
      </c>
      <c r="AH307" s="27" t="s">
        <v>677</v>
      </c>
      <c r="AI307" s="27" t="s">
        <v>179</v>
      </c>
      <c r="AJ307" s="27" t="s">
        <v>899</v>
      </c>
      <c r="AK307" s="27" t="s">
        <v>533</v>
      </c>
      <c r="AL307" s="27" t="s">
        <v>184</v>
      </c>
      <c r="AM307" s="27" t="s">
        <v>732</v>
      </c>
      <c r="AQ307" s="61"/>
      <c r="AS307" s="28"/>
      <c r="BC307" s="28">
        <v>83150176811</v>
      </c>
      <c r="BD307" s="28">
        <v>81215056278</v>
      </c>
      <c r="BE307" s="28">
        <v>82247709680</v>
      </c>
      <c r="BF307" s="28">
        <v>82250452405</v>
      </c>
      <c r="BG307" s="28">
        <v>85338576367</v>
      </c>
      <c r="BH307" s="28">
        <v>82135555412</v>
      </c>
      <c r="BI307" s="28">
        <v>83165956931</v>
      </c>
      <c r="BJ307" s="28">
        <v>82279106940</v>
      </c>
      <c r="BK307" s="28">
        <v>82176284350</v>
      </c>
      <c r="BO307" s="39">
        <v>60160924</v>
      </c>
      <c r="BP307" s="18" t="s">
        <v>4457</v>
      </c>
      <c r="BQ307" s="37">
        <v>44957</v>
      </c>
      <c r="BR307" s="8">
        <f t="shared" si="1"/>
        <v>9</v>
      </c>
    </row>
    <row r="308" spans="1:70" ht="15.5">
      <c r="A308" s="4" t="str">
        <v>Reguler Periode ke-101 XVII.C.2</v>
      </c>
      <c r="B308" s="4" t="s">
        <v>2073</v>
      </c>
      <c r="C308" s="38" t="s">
        <v>4458</v>
      </c>
      <c r="D308" s="4" t="s">
        <v>4446</v>
      </c>
      <c r="E308" s="4" t="s">
        <v>4459</v>
      </c>
      <c r="F308" s="4" t="s">
        <v>4039</v>
      </c>
      <c r="G308" s="27" t="s">
        <v>4460</v>
      </c>
      <c r="H308" s="27" t="s">
        <v>4461</v>
      </c>
      <c r="I308" s="27" t="s">
        <v>1612</v>
      </c>
      <c r="J308" s="27" t="s">
        <v>4462</v>
      </c>
      <c r="K308" s="27" t="s">
        <v>4463</v>
      </c>
      <c r="L308" s="27" t="s">
        <v>4464</v>
      </c>
      <c r="M308" s="27" t="s">
        <v>4465</v>
      </c>
      <c r="N308" s="27" t="s">
        <v>4466</v>
      </c>
      <c r="O308" s="27" t="s">
        <v>4467</v>
      </c>
      <c r="S308" s="27">
        <v>1800019215</v>
      </c>
      <c r="T308" s="27">
        <v>1900004189</v>
      </c>
      <c r="U308" s="27">
        <v>1900008035</v>
      </c>
      <c r="V308" s="27">
        <v>1900011171</v>
      </c>
      <c r="W308" s="27">
        <v>1900013339</v>
      </c>
      <c r="X308" s="27">
        <v>1900023199</v>
      </c>
      <c r="Y308" s="27">
        <v>1900029136</v>
      </c>
      <c r="Z308" s="27">
        <v>1900030198</v>
      </c>
      <c r="AA308" s="27">
        <v>1900032093</v>
      </c>
      <c r="AE308" s="27" t="s">
        <v>705</v>
      </c>
      <c r="AF308" s="27" t="s">
        <v>201</v>
      </c>
      <c r="AG308" s="27" t="s">
        <v>1111</v>
      </c>
      <c r="AH308" s="27" t="s">
        <v>182</v>
      </c>
      <c r="AI308" s="27" t="s">
        <v>677</v>
      </c>
      <c r="AJ308" s="27" t="s">
        <v>899</v>
      </c>
      <c r="AK308" s="27" t="s">
        <v>533</v>
      </c>
      <c r="AL308" s="27" t="s">
        <v>184</v>
      </c>
      <c r="AM308" s="27" t="s">
        <v>732</v>
      </c>
      <c r="AQ308" s="61"/>
      <c r="AS308" s="28"/>
      <c r="BC308" s="28">
        <v>82344849544</v>
      </c>
      <c r="BD308" s="28">
        <v>81327993835</v>
      </c>
      <c r="BE308" s="28">
        <v>82282241406</v>
      </c>
      <c r="BF308" s="28">
        <v>82329119661</v>
      </c>
      <c r="BG308" s="28">
        <v>87859228031</v>
      </c>
      <c r="BH308" s="28">
        <v>81224242842</v>
      </c>
      <c r="BI308" s="28">
        <v>81353186282</v>
      </c>
      <c r="BJ308" s="28">
        <v>89629941455</v>
      </c>
      <c r="BK308" s="28">
        <v>88286562207</v>
      </c>
      <c r="BO308" s="39">
        <v>60160924</v>
      </c>
      <c r="BP308" s="18" t="s">
        <v>4468</v>
      </c>
      <c r="BQ308" s="37">
        <v>44957</v>
      </c>
      <c r="BR308" s="8">
        <f t="shared" si="1"/>
        <v>9</v>
      </c>
    </row>
    <row r="309" spans="1:70" ht="15.5">
      <c r="A309" s="4" t="str">
        <v>Reguler Periode ke-101 XVII.C.3</v>
      </c>
      <c r="B309" s="4" t="s">
        <v>2073</v>
      </c>
      <c r="C309" s="38" t="s">
        <v>4469</v>
      </c>
      <c r="D309" s="4" t="s">
        <v>4446</v>
      </c>
      <c r="E309" s="4" t="s">
        <v>4470</v>
      </c>
      <c r="F309" s="4" t="s">
        <v>4039</v>
      </c>
      <c r="G309" s="27" t="s">
        <v>4471</v>
      </c>
      <c r="H309" s="27" t="s">
        <v>4472</v>
      </c>
      <c r="I309" s="27" t="s">
        <v>4473</v>
      </c>
      <c r="J309" s="27" t="s">
        <v>4474</v>
      </c>
      <c r="K309" s="27" t="s">
        <v>4475</v>
      </c>
      <c r="L309" s="27" t="s">
        <v>4476</v>
      </c>
      <c r="M309" s="27" t="s">
        <v>4477</v>
      </c>
      <c r="N309" s="27" t="s">
        <v>4478</v>
      </c>
      <c r="O309" s="27" t="s">
        <v>4479</v>
      </c>
      <c r="S309" s="27">
        <v>1900004086</v>
      </c>
      <c r="T309" s="27">
        <v>1900008099</v>
      </c>
      <c r="U309" s="27">
        <v>1900011368</v>
      </c>
      <c r="V309" s="27">
        <v>1900013213</v>
      </c>
      <c r="W309" s="27">
        <v>1900019035</v>
      </c>
      <c r="X309" s="27">
        <v>1900023240</v>
      </c>
      <c r="Y309" s="27">
        <v>1900029202</v>
      </c>
      <c r="Z309" s="27">
        <v>1900030344</v>
      </c>
      <c r="AA309" s="27">
        <v>1900032183</v>
      </c>
      <c r="AE309" s="27" t="s">
        <v>201</v>
      </c>
      <c r="AF309" s="27" t="s">
        <v>1111</v>
      </c>
      <c r="AG309" s="27" t="s">
        <v>182</v>
      </c>
      <c r="AH309" s="27" t="s">
        <v>677</v>
      </c>
      <c r="AI309" s="27" t="s">
        <v>705</v>
      </c>
      <c r="AJ309" s="27" t="s">
        <v>899</v>
      </c>
      <c r="AK309" s="27" t="s">
        <v>533</v>
      </c>
      <c r="AL309" s="27" t="s">
        <v>184</v>
      </c>
      <c r="AM309" s="27" t="s">
        <v>732</v>
      </c>
      <c r="AQ309" s="61"/>
      <c r="AS309" s="28"/>
      <c r="BC309" s="28">
        <v>82372418449</v>
      </c>
      <c r="BD309" s="28">
        <v>895611591227</v>
      </c>
      <c r="BE309" s="28">
        <v>89681693521</v>
      </c>
      <c r="BF309" s="28">
        <v>81229177132</v>
      </c>
      <c r="BG309" s="28">
        <v>6281258551442</v>
      </c>
      <c r="BH309" s="28">
        <v>82329089547</v>
      </c>
      <c r="BI309" s="28">
        <v>85651328510</v>
      </c>
      <c r="BJ309" s="28">
        <v>82254955787</v>
      </c>
      <c r="BK309" s="28">
        <v>82134454590</v>
      </c>
      <c r="BO309" s="39">
        <v>60160924</v>
      </c>
      <c r="BP309" s="18" t="s">
        <v>4480</v>
      </c>
      <c r="BQ309" s="37">
        <v>44957</v>
      </c>
      <c r="BR309" s="8">
        <f t="shared" si="1"/>
        <v>9</v>
      </c>
    </row>
    <row r="310" spans="1:70" ht="15.5">
      <c r="A310" s="4" t="str">
        <v>Reguler Periode ke-101 XVII.D.1</v>
      </c>
      <c r="B310" s="4" t="s">
        <v>2073</v>
      </c>
      <c r="C310" s="38" t="s">
        <v>4481</v>
      </c>
      <c r="D310" s="4" t="s">
        <v>4482</v>
      </c>
      <c r="E310" s="4" t="s">
        <v>4483</v>
      </c>
      <c r="F310" s="4" t="s">
        <v>4039</v>
      </c>
      <c r="G310" s="27" t="s">
        <v>4484</v>
      </c>
      <c r="H310" s="27" t="s">
        <v>4485</v>
      </c>
      <c r="I310" s="27" t="s">
        <v>4486</v>
      </c>
      <c r="J310" s="27" t="s">
        <v>4487</v>
      </c>
      <c r="K310" s="27" t="s">
        <v>4488</v>
      </c>
      <c r="L310" s="27" t="s">
        <v>4489</v>
      </c>
      <c r="M310" s="27" t="s">
        <v>4490</v>
      </c>
      <c r="N310" s="27" t="s">
        <v>2216</v>
      </c>
      <c r="O310" s="27" t="s">
        <v>4491</v>
      </c>
      <c r="S310" s="27">
        <v>1800011024</v>
      </c>
      <c r="T310" s="27">
        <v>1900004090</v>
      </c>
      <c r="U310" s="27">
        <v>1900008039</v>
      </c>
      <c r="V310" s="27">
        <v>1900013359</v>
      </c>
      <c r="W310" s="27">
        <v>1900019083</v>
      </c>
      <c r="X310" s="27">
        <v>1900023170</v>
      </c>
      <c r="Y310" s="27">
        <v>1900029236</v>
      </c>
      <c r="Z310" s="27">
        <v>1900030250</v>
      </c>
      <c r="AA310" s="27">
        <v>1900032056</v>
      </c>
      <c r="AE310" s="27" t="s">
        <v>182</v>
      </c>
      <c r="AF310" s="27" t="s">
        <v>201</v>
      </c>
      <c r="AG310" s="27" t="s">
        <v>1111</v>
      </c>
      <c r="AH310" s="27" t="s">
        <v>677</v>
      </c>
      <c r="AI310" s="27" t="s">
        <v>705</v>
      </c>
      <c r="AJ310" s="27" t="s">
        <v>899</v>
      </c>
      <c r="AK310" s="27" t="s">
        <v>533</v>
      </c>
      <c r="AL310" s="27" t="s">
        <v>184</v>
      </c>
      <c r="AM310" s="27" t="s">
        <v>732</v>
      </c>
      <c r="AQ310" s="61"/>
      <c r="AS310" s="28"/>
      <c r="BC310" s="28">
        <v>82145871870</v>
      </c>
      <c r="BD310" s="28">
        <v>81238849037</v>
      </c>
      <c r="BE310" s="28">
        <v>6281227304282</v>
      </c>
      <c r="BF310" s="28">
        <v>85222245252</v>
      </c>
      <c r="BG310" s="28">
        <v>85384364086</v>
      </c>
      <c r="BH310" s="28">
        <v>82137247020</v>
      </c>
      <c r="BI310" s="28">
        <v>81229529626</v>
      </c>
      <c r="BJ310" s="28">
        <v>82278025374</v>
      </c>
      <c r="BK310" s="28">
        <v>85810150871</v>
      </c>
      <c r="BO310" s="39">
        <v>60171070</v>
      </c>
      <c r="BP310" s="18" t="s">
        <v>4492</v>
      </c>
      <c r="BQ310" s="37">
        <v>44957</v>
      </c>
      <c r="BR310" s="8">
        <f t="shared" si="1"/>
        <v>9</v>
      </c>
    </row>
    <row r="311" spans="1:70" ht="15.5">
      <c r="A311" s="4" t="str">
        <v>Reguler Periode ke-101 XVII.D.2</v>
      </c>
      <c r="B311" s="4" t="s">
        <v>2073</v>
      </c>
      <c r="C311" s="38" t="s">
        <v>4493</v>
      </c>
      <c r="D311" s="4" t="s">
        <v>4482</v>
      </c>
      <c r="E311" s="4" t="s">
        <v>4494</v>
      </c>
      <c r="F311" s="4" t="s">
        <v>4039</v>
      </c>
      <c r="G311" s="27" t="s">
        <v>4495</v>
      </c>
      <c r="H311" s="27" t="s">
        <v>4496</v>
      </c>
      <c r="I311" s="27" t="s">
        <v>4497</v>
      </c>
      <c r="J311" s="27" t="s">
        <v>4498</v>
      </c>
      <c r="K311" s="27" t="s">
        <v>4499</v>
      </c>
      <c r="L311" s="27" t="s">
        <v>4500</v>
      </c>
      <c r="M311" s="27" t="s">
        <v>4501</v>
      </c>
      <c r="N311" s="27" t="s">
        <v>4502</v>
      </c>
      <c r="O311" s="27" t="s">
        <v>4503</v>
      </c>
      <c r="S311" s="27">
        <v>1900004064</v>
      </c>
      <c r="T311" s="27">
        <v>1900008048</v>
      </c>
      <c r="U311" s="27">
        <v>1900011162</v>
      </c>
      <c r="V311" s="27">
        <v>1900013246</v>
      </c>
      <c r="W311" s="27">
        <v>1900019037</v>
      </c>
      <c r="X311" s="27">
        <v>1900023271</v>
      </c>
      <c r="Y311" s="27">
        <v>1900029071</v>
      </c>
      <c r="Z311" s="27">
        <v>1900030006</v>
      </c>
      <c r="AA311" s="27">
        <v>1900032184</v>
      </c>
      <c r="AE311" s="52" t="s">
        <v>201</v>
      </c>
      <c r="AF311" s="52" t="s">
        <v>1111</v>
      </c>
      <c r="AG311" s="52" t="s">
        <v>182</v>
      </c>
      <c r="AH311" s="52" t="s">
        <v>677</v>
      </c>
      <c r="AI311" s="52" t="s">
        <v>705</v>
      </c>
      <c r="AJ311" s="52" t="s">
        <v>899</v>
      </c>
      <c r="AK311" s="52" t="s">
        <v>533</v>
      </c>
      <c r="AL311" s="52" t="s">
        <v>184</v>
      </c>
      <c r="AM311" s="52" t="s">
        <v>732</v>
      </c>
      <c r="AQ311" s="61"/>
      <c r="AS311" s="28"/>
      <c r="BC311" s="28">
        <v>87732686432</v>
      </c>
      <c r="BD311" s="28">
        <v>85211212543</v>
      </c>
      <c r="BE311" s="28">
        <v>82324495857</v>
      </c>
      <c r="BF311" s="28">
        <v>82282355046</v>
      </c>
      <c r="BG311" s="28">
        <v>82376131505</v>
      </c>
      <c r="BH311" s="28">
        <v>82252990992</v>
      </c>
      <c r="BI311" s="28">
        <v>81511548682</v>
      </c>
      <c r="BJ311" s="28">
        <v>8973760022</v>
      </c>
      <c r="BK311" s="28">
        <v>85338205145</v>
      </c>
      <c r="BO311" s="39">
        <v>60171070</v>
      </c>
      <c r="BP311" s="18" t="s">
        <v>4504</v>
      </c>
      <c r="BQ311" s="37">
        <v>44957</v>
      </c>
      <c r="BR311" s="8">
        <f t="shared" si="1"/>
        <v>9</v>
      </c>
    </row>
    <row r="312" spans="1:70" ht="15.5">
      <c r="A312" s="4" t="str">
        <v>Reguler Periode ke-101 XVII.D.3</v>
      </c>
      <c r="B312" s="4" t="s">
        <v>2073</v>
      </c>
      <c r="C312" s="38" t="s">
        <v>4505</v>
      </c>
      <c r="D312" s="4" t="s">
        <v>4482</v>
      </c>
      <c r="E312" s="4" t="s">
        <v>4506</v>
      </c>
      <c r="F312" s="4" t="s">
        <v>4039</v>
      </c>
      <c r="G312" s="27" t="s">
        <v>4507</v>
      </c>
      <c r="H312" s="27" t="s">
        <v>4508</v>
      </c>
      <c r="I312" s="27" t="s">
        <v>4509</v>
      </c>
      <c r="J312" s="27" t="s">
        <v>4510</v>
      </c>
      <c r="K312" s="27" t="s">
        <v>4511</v>
      </c>
      <c r="L312" s="27" t="s">
        <v>4512</v>
      </c>
      <c r="M312" s="27" t="s">
        <v>4513</v>
      </c>
      <c r="N312" s="27" t="s">
        <v>4514</v>
      </c>
      <c r="O312" s="27" t="s">
        <v>4515</v>
      </c>
      <c r="S312" s="27">
        <v>1900004183</v>
      </c>
      <c r="T312" s="27">
        <v>1900008110</v>
      </c>
      <c r="U312" s="27">
        <v>1900011140</v>
      </c>
      <c r="V312" s="27">
        <v>1900013237</v>
      </c>
      <c r="W312" s="27">
        <v>1900019145</v>
      </c>
      <c r="X312" s="27">
        <v>1900023105</v>
      </c>
      <c r="Y312" s="27">
        <v>1900029269</v>
      </c>
      <c r="Z312" s="27">
        <v>1900030084</v>
      </c>
      <c r="AA312" s="27">
        <v>1900032121</v>
      </c>
      <c r="AE312" s="27" t="s">
        <v>201</v>
      </c>
      <c r="AF312" s="27" t="s">
        <v>1111</v>
      </c>
      <c r="AG312" s="27" t="s">
        <v>182</v>
      </c>
      <c r="AH312" s="27" t="s">
        <v>677</v>
      </c>
      <c r="AI312" s="27" t="s">
        <v>705</v>
      </c>
      <c r="AJ312" s="27" t="s">
        <v>899</v>
      </c>
      <c r="AK312" s="27" t="s">
        <v>533</v>
      </c>
      <c r="AL312" s="27" t="s">
        <v>184</v>
      </c>
      <c r="AM312" s="27" t="s">
        <v>732</v>
      </c>
      <c r="AQ312" s="61"/>
      <c r="AS312" s="28"/>
      <c r="BC312" s="28">
        <v>82260674208</v>
      </c>
      <c r="BD312" s="28">
        <v>85702232328</v>
      </c>
      <c r="BE312" s="28">
        <v>81217382745</v>
      </c>
      <c r="BF312" s="28">
        <v>81326595126</v>
      </c>
      <c r="BG312" s="28">
        <v>82166114676</v>
      </c>
      <c r="BH312" s="28">
        <v>85338028425</v>
      </c>
      <c r="BI312" s="28">
        <v>85290950854</v>
      </c>
      <c r="BJ312" s="28">
        <v>81245513314</v>
      </c>
      <c r="BK312" s="28">
        <v>87738162636</v>
      </c>
      <c r="BO312" s="39">
        <v>60171070</v>
      </c>
      <c r="BP312" s="18" t="s">
        <v>4516</v>
      </c>
      <c r="BQ312" s="37">
        <v>44957</v>
      </c>
      <c r="BR312" s="8">
        <f t="shared" si="1"/>
        <v>9</v>
      </c>
    </row>
    <row r="313" spans="1:70" ht="15.5">
      <c r="A313" s="4" t="str">
        <v>Reguler Periode ke-101 XVIII.A.1</v>
      </c>
      <c r="B313" s="4" t="s">
        <v>2073</v>
      </c>
      <c r="C313" s="38" t="s">
        <v>4517</v>
      </c>
      <c r="D313" s="4" t="s">
        <v>4518</v>
      </c>
      <c r="E313" s="4" t="s">
        <v>4519</v>
      </c>
      <c r="F313" s="4" t="s">
        <v>4039</v>
      </c>
      <c r="G313" s="27" t="s">
        <v>4520</v>
      </c>
      <c r="H313" s="27" t="s">
        <v>4521</v>
      </c>
      <c r="I313" s="27" t="s">
        <v>4522</v>
      </c>
      <c r="J313" s="27" t="s">
        <v>4523</v>
      </c>
      <c r="K313" s="27" t="s">
        <v>4524</v>
      </c>
      <c r="L313" s="27" t="s">
        <v>4525</v>
      </c>
      <c r="M313" s="27" t="s">
        <v>4526</v>
      </c>
      <c r="N313" s="27" t="s">
        <v>4527</v>
      </c>
      <c r="O313" s="27" t="s">
        <v>4528</v>
      </c>
      <c r="S313" s="27">
        <v>1800030095</v>
      </c>
      <c r="T313" s="27">
        <v>1900004178</v>
      </c>
      <c r="U313" s="27">
        <v>1900008104</v>
      </c>
      <c r="V313" s="27">
        <v>1900011344</v>
      </c>
      <c r="W313" s="27">
        <v>1900013378</v>
      </c>
      <c r="X313" s="27">
        <v>1900019181</v>
      </c>
      <c r="Y313" s="27">
        <v>1900023230</v>
      </c>
      <c r="Z313" s="27">
        <v>1900029304</v>
      </c>
      <c r="AA313" s="27">
        <v>1900032127</v>
      </c>
      <c r="AE313" s="27" t="s">
        <v>184</v>
      </c>
      <c r="AF313" s="27" t="s">
        <v>201</v>
      </c>
      <c r="AG313" s="27" t="s">
        <v>1111</v>
      </c>
      <c r="AH313" s="27" t="s">
        <v>182</v>
      </c>
      <c r="AI313" s="27" t="s">
        <v>677</v>
      </c>
      <c r="AJ313" s="27" t="s">
        <v>705</v>
      </c>
      <c r="AK313" s="27" t="s">
        <v>899</v>
      </c>
      <c r="AL313" s="27" t="s">
        <v>533</v>
      </c>
      <c r="AM313" s="27" t="s">
        <v>732</v>
      </c>
      <c r="AQ313" s="61"/>
      <c r="BC313" s="28">
        <v>82336609878</v>
      </c>
      <c r="BD313" s="28">
        <v>85803345746</v>
      </c>
      <c r="BE313" s="28">
        <v>8986553310</v>
      </c>
      <c r="BF313" s="28">
        <v>82135489157</v>
      </c>
      <c r="BG313" s="28">
        <v>85800476453</v>
      </c>
      <c r="BH313" s="28">
        <v>87759278064</v>
      </c>
      <c r="BI313" s="28">
        <v>85213973263</v>
      </c>
      <c r="BJ313" s="28">
        <v>82377010165</v>
      </c>
      <c r="BK313" s="28">
        <v>88239903833</v>
      </c>
      <c r="BO313" s="39">
        <v>60091593</v>
      </c>
      <c r="BP313" s="18" t="s">
        <v>4529</v>
      </c>
      <c r="BQ313" s="37">
        <v>44957</v>
      </c>
      <c r="BR313" s="8">
        <f t="shared" si="1"/>
        <v>9</v>
      </c>
    </row>
    <row r="314" spans="1:70" ht="15.5">
      <c r="A314" s="4" t="str">
        <v>Reguler Periode ke-101 XVIII.A.2</v>
      </c>
      <c r="B314" s="4" t="s">
        <v>2073</v>
      </c>
      <c r="C314" s="38" t="s">
        <v>4530</v>
      </c>
      <c r="D314" s="4" t="s">
        <v>4518</v>
      </c>
      <c r="E314" s="4" t="s">
        <v>4531</v>
      </c>
      <c r="F314" s="4" t="s">
        <v>4039</v>
      </c>
      <c r="G314" s="27" t="s">
        <v>4532</v>
      </c>
      <c r="H314" s="27" t="s">
        <v>4533</v>
      </c>
      <c r="I314" s="27" t="s">
        <v>4534</v>
      </c>
      <c r="J314" s="27" t="s">
        <v>4535</v>
      </c>
      <c r="K314" s="27" t="s">
        <v>4536</v>
      </c>
      <c r="L314" s="27" t="s">
        <v>4537</v>
      </c>
      <c r="M314" s="27" t="s">
        <v>4538</v>
      </c>
      <c r="N314" s="27" t="s">
        <v>4539</v>
      </c>
      <c r="O314" s="27" t="s">
        <v>4540</v>
      </c>
      <c r="S314" s="27">
        <v>1900008037</v>
      </c>
      <c r="T314" s="27">
        <v>1900011355</v>
      </c>
      <c r="U314" s="27">
        <v>1900013164</v>
      </c>
      <c r="V314" s="27">
        <v>1900019114</v>
      </c>
      <c r="W314" s="27">
        <v>1900023087</v>
      </c>
      <c r="X314" s="27">
        <v>1900029145</v>
      </c>
      <c r="Y314" s="27">
        <v>1900030027</v>
      </c>
      <c r="Z314" s="27">
        <v>1900032046</v>
      </c>
      <c r="AA314" s="27">
        <v>1911004097</v>
      </c>
      <c r="AE314" s="27" t="s">
        <v>1111</v>
      </c>
      <c r="AF314" s="27" t="s">
        <v>182</v>
      </c>
      <c r="AG314" s="27" t="s">
        <v>677</v>
      </c>
      <c r="AH314" s="27" t="s">
        <v>705</v>
      </c>
      <c r="AI314" s="27" t="s">
        <v>899</v>
      </c>
      <c r="AJ314" s="27" t="s">
        <v>533</v>
      </c>
      <c r="AK314" s="27" t="s">
        <v>184</v>
      </c>
      <c r="AL314" s="27" t="s">
        <v>732</v>
      </c>
      <c r="AM314" s="27" t="s">
        <v>201</v>
      </c>
      <c r="AQ314" s="61"/>
      <c r="BC314" s="28">
        <v>81261695924</v>
      </c>
      <c r="BD314" s="28">
        <v>81254940354</v>
      </c>
      <c r="BE314" s="28">
        <v>81326569880</v>
      </c>
      <c r="BF314" s="28">
        <v>82223126987</v>
      </c>
      <c r="BG314" s="28">
        <v>89671722427</v>
      </c>
      <c r="BH314" s="28">
        <v>82384132955</v>
      </c>
      <c r="BI314" s="28">
        <v>81250658741</v>
      </c>
      <c r="BJ314" s="28">
        <v>81274857258</v>
      </c>
      <c r="BK314" s="28">
        <v>81242082943</v>
      </c>
      <c r="BO314" s="39">
        <v>60091593</v>
      </c>
      <c r="BP314" s="18" t="s">
        <v>4541</v>
      </c>
      <c r="BQ314" s="37">
        <v>44957</v>
      </c>
      <c r="BR314" s="8">
        <f t="shared" si="1"/>
        <v>9</v>
      </c>
    </row>
    <row r="315" spans="1:70" ht="15.5">
      <c r="A315" s="4" t="str">
        <v>Reguler Periode ke-101 XVIII.A.3</v>
      </c>
      <c r="B315" s="4" t="s">
        <v>2073</v>
      </c>
      <c r="C315" s="38" t="s">
        <v>4542</v>
      </c>
      <c r="D315" s="4" t="s">
        <v>4518</v>
      </c>
      <c r="E315" s="4" t="s">
        <v>4543</v>
      </c>
      <c r="F315" s="4" t="s">
        <v>4039</v>
      </c>
      <c r="G315" s="27" t="s">
        <v>4544</v>
      </c>
      <c r="H315" s="27" t="s">
        <v>4545</v>
      </c>
      <c r="I315" s="27" t="s">
        <v>4546</v>
      </c>
      <c r="J315" s="27" t="s">
        <v>4547</v>
      </c>
      <c r="K315" s="27" t="s">
        <v>4548</v>
      </c>
      <c r="L315" s="27" t="s">
        <v>4549</v>
      </c>
      <c r="M315" s="27" t="s">
        <v>4550</v>
      </c>
      <c r="N315" s="27" t="s">
        <v>4551</v>
      </c>
      <c r="O315" s="27" t="s">
        <v>4552</v>
      </c>
      <c r="S315" s="27">
        <v>1900004158</v>
      </c>
      <c r="T315" s="27">
        <v>1900009047</v>
      </c>
      <c r="U315" s="27">
        <v>1900011396</v>
      </c>
      <c r="V315" s="27">
        <v>1900013107</v>
      </c>
      <c r="W315" s="27">
        <v>1900019009</v>
      </c>
      <c r="X315" s="27">
        <v>1900023173</v>
      </c>
      <c r="Y315" s="27">
        <v>1900029157</v>
      </c>
      <c r="Z315" s="27">
        <v>1900030154</v>
      </c>
      <c r="AA315" s="27">
        <v>1900032090</v>
      </c>
      <c r="AE315" s="52" t="s">
        <v>201</v>
      </c>
      <c r="AF315" s="52" t="s">
        <v>952</v>
      </c>
      <c r="AG315" s="52" t="s">
        <v>182</v>
      </c>
      <c r="AH315" s="52" t="s">
        <v>677</v>
      </c>
      <c r="AI315" s="52" t="s">
        <v>705</v>
      </c>
      <c r="AJ315" s="52" t="s">
        <v>899</v>
      </c>
      <c r="AK315" s="52" t="s">
        <v>533</v>
      </c>
      <c r="AL315" s="52" t="s">
        <v>184</v>
      </c>
      <c r="AM315" s="52" t="s">
        <v>732</v>
      </c>
      <c r="BC315" s="28">
        <v>895340348793</v>
      </c>
      <c r="BD315" s="28">
        <v>83897876547</v>
      </c>
      <c r="BE315" s="28">
        <v>81227371049</v>
      </c>
      <c r="BF315" s="28">
        <v>81806468420</v>
      </c>
      <c r="BG315" s="28">
        <v>85219058515</v>
      </c>
      <c r="BH315" s="28">
        <v>85758369165</v>
      </c>
      <c r="BI315" s="28">
        <v>81225089835</v>
      </c>
      <c r="BJ315" s="28">
        <v>81231840966</v>
      </c>
      <c r="BK315" s="28" t="s">
        <v>4553</v>
      </c>
      <c r="BO315" s="39">
        <v>60091593</v>
      </c>
      <c r="BP315" s="18" t="s">
        <v>4554</v>
      </c>
      <c r="BQ315" s="37">
        <v>44957</v>
      </c>
      <c r="BR315" s="8">
        <f t="shared" si="1"/>
        <v>9</v>
      </c>
    </row>
    <row r="316" spans="1:70" ht="15.5">
      <c r="A316" s="4" t="str">
        <v>Reguler Periode ke-101 XVIII.B.1</v>
      </c>
      <c r="B316" s="4" t="s">
        <v>2073</v>
      </c>
      <c r="C316" s="38" t="s">
        <v>4555</v>
      </c>
      <c r="D316" s="4" t="s">
        <v>4556</v>
      </c>
      <c r="E316" s="4" t="s">
        <v>4557</v>
      </c>
      <c r="F316" s="4" t="s">
        <v>4039</v>
      </c>
      <c r="G316" s="27" t="s">
        <v>4558</v>
      </c>
      <c r="H316" s="27" t="s">
        <v>4559</v>
      </c>
      <c r="I316" s="27" t="s">
        <v>4560</v>
      </c>
      <c r="J316" s="27" t="s">
        <v>4561</v>
      </c>
      <c r="K316" s="27" t="s">
        <v>4562</v>
      </c>
      <c r="L316" s="27" t="s">
        <v>4563</v>
      </c>
      <c r="M316" s="27" t="s">
        <v>4564</v>
      </c>
      <c r="N316" s="27" t="s">
        <v>4565</v>
      </c>
      <c r="O316" s="27" t="s">
        <v>4566</v>
      </c>
      <c r="S316" s="27">
        <v>1900004122</v>
      </c>
      <c r="T316" s="27">
        <v>1900009013</v>
      </c>
      <c r="U316" s="27">
        <v>1900011364</v>
      </c>
      <c r="V316" s="27">
        <v>1900013036</v>
      </c>
      <c r="W316" s="27">
        <v>1900019058</v>
      </c>
      <c r="X316" s="27">
        <v>1900023177</v>
      </c>
      <c r="Y316" s="27">
        <v>1900029289</v>
      </c>
      <c r="Z316" s="27">
        <v>1900030130</v>
      </c>
      <c r="AA316" s="27">
        <v>1900032138</v>
      </c>
      <c r="AE316" s="52" t="s">
        <v>201</v>
      </c>
      <c r="AF316" s="52" t="s">
        <v>952</v>
      </c>
      <c r="AG316" s="52" t="s">
        <v>182</v>
      </c>
      <c r="AH316" s="52" t="s">
        <v>677</v>
      </c>
      <c r="AI316" s="52" t="s">
        <v>705</v>
      </c>
      <c r="AJ316" s="52" t="s">
        <v>899</v>
      </c>
      <c r="AK316" s="52" t="s">
        <v>533</v>
      </c>
      <c r="AL316" s="52" t="s">
        <v>184</v>
      </c>
      <c r="AM316" s="52" t="s">
        <v>732</v>
      </c>
      <c r="AQ316" s="60" t="s">
        <v>186</v>
      </c>
      <c r="AR316" s="61" t="s">
        <v>186</v>
      </c>
      <c r="AS316" s="61" t="s">
        <v>187</v>
      </c>
      <c r="AT316" s="61" t="s">
        <v>186</v>
      </c>
      <c r="AU316" s="61" t="s">
        <v>187</v>
      </c>
      <c r="AV316" s="61" t="s">
        <v>186</v>
      </c>
      <c r="AW316" s="61" t="s">
        <v>186</v>
      </c>
      <c r="AX316" s="61" t="s">
        <v>187</v>
      </c>
      <c r="AY316" s="61" t="s">
        <v>186</v>
      </c>
      <c r="BC316" s="28">
        <v>82259244524</v>
      </c>
      <c r="BD316" s="28">
        <v>82231812629</v>
      </c>
      <c r="BE316" s="28">
        <v>88226560387</v>
      </c>
      <c r="BF316" s="28">
        <v>82248263948</v>
      </c>
      <c r="BG316" s="28">
        <v>81354584960</v>
      </c>
      <c r="BH316" s="28">
        <v>82152948220</v>
      </c>
      <c r="BI316" s="28">
        <v>81327617198</v>
      </c>
      <c r="BJ316" s="28">
        <v>82378728391</v>
      </c>
      <c r="BK316" s="28">
        <v>81370321885</v>
      </c>
      <c r="BO316" s="39">
        <v>60160931</v>
      </c>
      <c r="BP316" s="18" t="s">
        <v>4567</v>
      </c>
      <c r="BQ316" s="37">
        <v>44957</v>
      </c>
      <c r="BR316" s="8">
        <f t="shared" si="1"/>
        <v>9</v>
      </c>
    </row>
    <row r="317" spans="1:70" ht="15.5">
      <c r="A317" s="4" t="str">
        <v>Reguler Periode ke-101 XVIII.B.2</v>
      </c>
      <c r="B317" s="4" t="s">
        <v>2073</v>
      </c>
      <c r="C317" s="38" t="s">
        <v>4568</v>
      </c>
      <c r="D317" s="4" t="s">
        <v>4556</v>
      </c>
      <c r="E317" s="4" t="s">
        <v>4569</v>
      </c>
      <c r="F317" s="4" t="s">
        <v>4039</v>
      </c>
      <c r="G317" s="27" t="s">
        <v>4570</v>
      </c>
      <c r="H317" s="27" t="s">
        <v>4571</v>
      </c>
      <c r="I317" s="27" t="s">
        <v>4572</v>
      </c>
      <c r="J317" s="27" t="s">
        <v>4573</v>
      </c>
      <c r="K317" s="27" t="s">
        <v>4574</v>
      </c>
      <c r="L317" s="27" t="s">
        <v>4575</v>
      </c>
      <c r="M317" s="27" t="s">
        <v>4576</v>
      </c>
      <c r="N317" s="27" t="s">
        <v>4577</v>
      </c>
      <c r="O317" s="27" t="s">
        <v>4578</v>
      </c>
      <c r="S317" s="27">
        <v>1900004029</v>
      </c>
      <c r="T317" s="27">
        <v>1900009004</v>
      </c>
      <c r="U317" s="27">
        <v>1900011316</v>
      </c>
      <c r="V317" s="27">
        <v>1900013256</v>
      </c>
      <c r="W317" s="27">
        <v>1900019088</v>
      </c>
      <c r="X317" s="27">
        <v>1900023223</v>
      </c>
      <c r="Y317" s="27">
        <v>1900029166</v>
      </c>
      <c r="Z317" s="27">
        <v>1900030361</v>
      </c>
      <c r="AA317" s="27">
        <v>1900032189</v>
      </c>
      <c r="AE317" s="52" t="s">
        <v>201</v>
      </c>
      <c r="AF317" s="52" t="s">
        <v>952</v>
      </c>
      <c r="AG317" s="52" t="s">
        <v>182</v>
      </c>
      <c r="AH317" s="52" t="s">
        <v>677</v>
      </c>
      <c r="AI317" s="52" t="s">
        <v>705</v>
      </c>
      <c r="AJ317" s="52" t="s">
        <v>899</v>
      </c>
      <c r="AK317" s="52" t="s">
        <v>533</v>
      </c>
      <c r="AL317" s="52" t="s">
        <v>184</v>
      </c>
      <c r="AM317" s="52" t="s">
        <v>732</v>
      </c>
      <c r="AQ317" s="60" t="s">
        <v>186</v>
      </c>
      <c r="AR317" s="61" t="s">
        <v>186</v>
      </c>
      <c r="AS317" s="61" t="s">
        <v>187</v>
      </c>
      <c r="AT317" s="61" t="s">
        <v>186</v>
      </c>
      <c r="AU317" s="61" t="s">
        <v>187</v>
      </c>
      <c r="AV317" s="61" t="s">
        <v>186</v>
      </c>
      <c r="AW317" s="61" t="s">
        <v>186</v>
      </c>
      <c r="AX317" s="61" t="s">
        <v>187</v>
      </c>
      <c r="AY317" s="61" t="s">
        <v>186</v>
      </c>
      <c r="BC317" s="28">
        <v>89526135437</v>
      </c>
      <c r="BD317" s="28">
        <v>87839045688</v>
      </c>
      <c r="BE317" s="28">
        <v>85641535211</v>
      </c>
      <c r="BF317" s="28">
        <v>81329016492</v>
      </c>
      <c r="BG317" s="28">
        <v>8993882485</v>
      </c>
      <c r="BH317" s="28">
        <v>81906791456</v>
      </c>
      <c r="BI317" s="28">
        <v>85289647814</v>
      </c>
      <c r="BJ317" s="28">
        <v>87881487319</v>
      </c>
      <c r="BK317" s="28">
        <v>85323618579</v>
      </c>
      <c r="BO317" s="39">
        <v>60160931</v>
      </c>
      <c r="BP317" s="18" t="s">
        <v>4579</v>
      </c>
      <c r="BQ317" s="37">
        <v>44957</v>
      </c>
      <c r="BR317" s="8">
        <f t="shared" si="1"/>
        <v>9</v>
      </c>
    </row>
    <row r="318" spans="1:70" ht="15.5">
      <c r="A318" s="4" t="str">
        <v>Reguler Periode ke-101 XVIII.B.3</v>
      </c>
      <c r="B318" s="4" t="s">
        <v>2073</v>
      </c>
      <c r="C318" s="38" t="s">
        <v>4580</v>
      </c>
      <c r="D318" s="4" t="s">
        <v>4556</v>
      </c>
      <c r="E318" s="4" t="s">
        <v>4581</v>
      </c>
      <c r="F318" s="4" t="s">
        <v>4039</v>
      </c>
      <c r="G318" s="27" t="s">
        <v>4582</v>
      </c>
      <c r="H318" s="27" t="s">
        <v>4583</v>
      </c>
      <c r="I318" s="27" t="s">
        <v>4584</v>
      </c>
      <c r="J318" s="27" t="s">
        <v>4585</v>
      </c>
      <c r="K318" s="27" t="s">
        <v>4586</v>
      </c>
      <c r="L318" s="27" t="s">
        <v>4587</v>
      </c>
      <c r="M318" s="27" t="s">
        <v>4588</v>
      </c>
      <c r="N318" s="27" t="s">
        <v>4589</v>
      </c>
      <c r="O318" s="27" t="s">
        <v>4590</v>
      </c>
      <c r="S318" s="27">
        <v>1900004027</v>
      </c>
      <c r="T318" s="27">
        <v>1900009027</v>
      </c>
      <c r="U318" s="27">
        <v>1900011336</v>
      </c>
      <c r="V318" s="27">
        <v>1900013247</v>
      </c>
      <c r="W318" s="27">
        <v>1900019175</v>
      </c>
      <c r="X318" s="27">
        <v>1900023075</v>
      </c>
      <c r="Y318" s="27">
        <v>1900029091</v>
      </c>
      <c r="Z318" s="27">
        <v>1900030140</v>
      </c>
      <c r="AA318" s="27">
        <v>1900032132</v>
      </c>
      <c r="AE318" s="52" t="s">
        <v>201</v>
      </c>
      <c r="AF318" s="52" t="s">
        <v>952</v>
      </c>
      <c r="AG318" s="52" t="s">
        <v>182</v>
      </c>
      <c r="AH318" s="52" t="s">
        <v>677</v>
      </c>
      <c r="AI318" s="52" t="s">
        <v>705</v>
      </c>
      <c r="AJ318" s="52" t="s">
        <v>899</v>
      </c>
      <c r="AK318" s="52" t="s">
        <v>533</v>
      </c>
      <c r="AL318" s="52" t="s">
        <v>184</v>
      </c>
      <c r="AM318" s="52" t="s">
        <v>732</v>
      </c>
      <c r="AQ318" s="60" t="s">
        <v>186</v>
      </c>
      <c r="AR318" s="60" t="s">
        <v>186</v>
      </c>
      <c r="AS318" s="60" t="s">
        <v>187</v>
      </c>
      <c r="AT318" s="60" t="s">
        <v>186</v>
      </c>
      <c r="AU318" s="60" t="s">
        <v>187</v>
      </c>
      <c r="AV318" s="60" t="s">
        <v>186</v>
      </c>
      <c r="AW318" s="60" t="s">
        <v>186</v>
      </c>
      <c r="AX318" s="60" t="s">
        <v>187</v>
      </c>
      <c r="AY318" s="60" t="s">
        <v>186</v>
      </c>
      <c r="BC318" s="28">
        <v>81372852041</v>
      </c>
      <c r="BD318" s="28">
        <v>895340540842</v>
      </c>
      <c r="BE318" s="28">
        <v>87890914784</v>
      </c>
      <c r="BF318" s="28">
        <v>82325387725</v>
      </c>
      <c r="BG318" s="28">
        <v>81368962332</v>
      </c>
      <c r="BH318" s="28">
        <v>85709599614</v>
      </c>
      <c r="BI318" s="28">
        <v>81266274154</v>
      </c>
      <c r="BJ318" s="28">
        <v>82254059719</v>
      </c>
      <c r="BK318" s="28">
        <v>81256677174</v>
      </c>
      <c r="BO318" s="39">
        <v>60160931</v>
      </c>
      <c r="BP318" s="18" t="s">
        <v>4591</v>
      </c>
      <c r="BQ318" s="37">
        <v>44957</v>
      </c>
      <c r="BR318" s="8">
        <f t="shared" si="1"/>
        <v>9</v>
      </c>
    </row>
    <row r="319" spans="1:70" ht="15.5">
      <c r="A319" s="4" t="str">
        <v>Reguler Periode ke-101 XVIII.C.1</v>
      </c>
      <c r="B319" s="4" t="s">
        <v>2073</v>
      </c>
      <c r="C319" s="38" t="s">
        <v>4592</v>
      </c>
      <c r="D319" s="4" t="s">
        <v>4593</v>
      </c>
      <c r="E319" s="4" t="s">
        <v>4594</v>
      </c>
      <c r="F319" s="4" t="s">
        <v>4039</v>
      </c>
      <c r="G319" s="27" t="s">
        <v>4595</v>
      </c>
      <c r="H319" s="27" t="s">
        <v>4596</v>
      </c>
      <c r="I319" s="27" t="s">
        <v>4597</v>
      </c>
      <c r="J319" s="27" t="s">
        <v>4598</v>
      </c>
      <c r="K319" s="27" t="s">
        <v>4599</v>
      </c>
      <c r="L319" s="27" t="s">
        <v>4600</v>
      </c>
      <c r="M319" s="27" t="s">
        <v>4601</v>
      </c>
      <c r="N319" s="27" t="s">
        <v>4602</v>
      </c>
      <c r="O319" s="27" t="s">
        <v>4603</v>
      </c>
      <c r="S319" s="27">
        <v>1900004170</v>
      </c>
      <c r="T319" s="27">
        <v>1900009024</v>
      </c>
      <c r="U319" s="27">
        <v>1900011223</v>
      </c>
      <c r="V319" s="27">
        <v>1900013075</v>
      </c>
      <c r="W319" s="27">
        <v>1900019015</v>
      </c>
      <c r="X319" s="27">
        <v>1900023030</v>
      </c>
      <c r="Y319" s="27">
        <v>1900029090</v>
      </c>
      <c r="Z319" s="27">
        <v>1900030055</v>
      </c>
      <c r="AA319" s="27">
        <v>1900032079</v>
      </c>
      <c r="AE319" s="27" t="s">
        <v>201</v>
      </c>
      <c r="AF319" s="27" t="s">
        <v>952</v>
      </c>
      <c r="AG319" s="27" t="s">
        <v>182</v>
      </c>
      <c r="AH319" s="27" t="s">
        <v>677</v>
      </c>
      <c r="AI319" s="27" t="s">
        <v>705</v>
      </c>
      <c r="AJ319" s="27" t="s">
        <v>899</v>
      </c>
      <c r="AK319" s="27" t="s">
        <v>533</v>
      </c>
      <c r="AL319" s="27" t="s">
        <v>184</v>
      </c>
      <c r="AM319" s="27" t="s">
        <v>732</v>
      </c>
      <c r="AQ319" s="60" t="s">
        <v>186</v>
      </c>
      <c r="AR319" s="61" t="s">
        <v>186</v>
      </c>
      <c r="AS319" s="61" t="s">
        <v>187</v>
      </c>
      <c r="AT319" s="61" t="s">
        <v>186</v>
      </c>
      <c r="AU319" s="61" t="s">
        <v>187</v>
      </c>
      <c r="AV319" s="61" t="s">
        <v>186</v>
      </c>
      <c r="AW319" s="61" t="s">
        <v>186</v>
      </c>
      <c r="AX319" s="61" t="s">
        <v>187</v>
      </c>
      <c r="AY319" s="61" t="s">
        <v>186</v>
      </c>
      <c r="BC319" s="28">
        <v>82338287862</v>
      </c>
      <c r="BD319" s="28">
        <v>82340143322</v>
      </c>
      <c r="BE319" s="28">
        <v>82327979711</v>
      </c>
      <c r="BF319" s="28">
        <v>82235552143</v>
      </c>
      <c r="BG319" s="28">
        <v>85216677701</v>
      </c>
      <c r="BH319" s="28">
        <v>82169112981</v>
      </c>
      <c r="BI319" s="28">
        <v>8817462342</v>
      </c>
      <c r="BJ319" s="28">
        <v>82136717117</v>
      </c>
      <c r="BK319" s="28">
        <v>85645923946</v>
      </c>
      <c r="BO319" s="39">
        <v>60160931</v>
      </c>
      <c r="BP319" s="18" t="s">
        <v>4604</v>
      </c>
      <c r="BQ319" s="37">
        <v>44957</v>
      </c>
      <c r="BR319" s="8">
        <f t="shared" si="1"/>
        <v>9</v>
      </c>
    </row>
    <row r="320" spans="1:70" ht="15.5">
      <c r="A320" s="4" t="str">
        <v>Reguler Periode ke-101 XVIII.C.2</v>
      </c>
      <c r="B320" s="4" t="s">
        <v>2073</v>
      </c>
      <c r="C320" s="38" t="s">
        <v>4605</v>
      </c>
      <c r="D320" s="4" t="s">
        <v>4593</v>
      </c>
      <c r="E320" s="4" t="s">
        <v>4606</v>
      </c>
      <c r="F320" s="4" t="s">
        <v>4039</v>
      </c>
      <c r="G320" s="27" t="s">
        <v>4607</v>
      </c>
      <c r="H320" s="27" t="s">
        <v>4608</v>
      </c>
      <c r="I320" s="27" t="s">
        <v>750</v>
      </c>
      <c r="J320" s="27" t="s">
        <v>4609</v>
      </c>
      <c r="K320" s="27" t="s">
        <v>4610</v>
      </c>
      <c r="L320" s="27" t="s">
        <v>4611</v>
      </c>
      <c r="M320" s="27" t="s">
        <v>4612</v>
      </c>
      <c r="N320" s="27" t="s">
        <v>4613</v>
      </c>
      <c r="O320" s="27" t="s">
        <v>4614</v>
      </c>
      <c r="S320" s="27">
        <v>1900004040</v>
      </c>
      <c r="T320" s="27">
        <v>1900009032</v>
      </c>
      <c r="U320" s="27">
        <v>1900011258</v>
      </c>
      <c r="V320" s="27">
        <v>1900013230</v>
      </c>
      <c r="W320" s="27">
        <v>1900019179</v>
      </c>
      <c r="X320" s="27">
        <v>1900023077</v>
      </c>
      <c r="Y320" s="27">
        <v>1900029053</v>
      </c>
      <c r="Z320" s="27">
        <v>1900030247</v>
      </c>
      <c r="AA320" s="27">
        <v>1900032112</v>
      </c>
      <c r="AE320" s="27" t="s">
        <v>201</v>
      </c>
      <c r="AF320" s="27" t="s">
        <v>952</v>
      </c>
      <c r="AG320" s="27" t="s">
        <v>182</v>
      </c>
      <c r="AH320" s="27" t="s">
        <v>677</v>
      </c>
      <c r="AI320" s="27" t="s">
        <v>705</v>
      </c>
      <c r="AJ320" s="27" t="s">
        <v>899</v>
      </c>
      <c r="AK320" s="27" t="s">
        <v>533</v>
      </c>
      <c r="AL320" s="27" t="s">
        <v>184</v>
      </c>
      <c r="AM320" s="27" t="s">
        <v>732</v>
      </c>
      <c r="AP320" s="33"/>
      <c r="AQ320" s="60" t="s">
        <v>186</v>
      </c>
      <c r="AR320" s="61" t="s">
        <v>186</v>
      </c>
      <c r="AS320" s="61" t="s">
        <v>187</v>
      </c>
      <c r="AT320" s="61" t="s">
        <v>186</v>
      </c>
      <c r="AU320" s="61" t="s">
        <v>187</v>
      </c>
      <c r="AV320" s="61" t="s">
        <v>186</v>
      </c>
      <c r="AW320" s="61" t="s">
        <v>186</v>
      </c>
      <c r="AX320" s="61" t="s">
        <v>187</v>
      </c>
      <c r="AY320" s="61" t="s">
        <v>186</v>
      </c>
      <c r="BC320" s="28">
        <v>895399996081</v>
      </c>
      <c r="BD320" s="28">
        <v>87838566971</v>
      </c>
      <c r="BE320" s="28">
        <v>82285479358</v>
      </c>
      <c r="BF320" s="28">
        <v>85266992271</v>
      </c>
      <c r="BG320" s="28">
        <v>82293381001</v>
      </c>
      <c r="BH320" s="28">
        <v>82283516619</v>
      </c>
      <c r="BI320" s="28">
        <v>85867060001</v>
      </c>
      <c r="BJ320" s="28">
        <v>895704131916</v>
      </c>
      <c r="BK320" s="28">
        <v>88216518951</v>
      </c>
      <c r="BO320" s="39">
        <v>60160931</v>
      </c>
      <c r="BP320" s="18" t="s">
        <v>4615</v>
      </c>
      <c r="BQ320" s="37">
        <v>44957</v>
      </c>
      <c r="BR320" s="8">
        <f t="shared" si="1"/>
        <v>9</v>
      </c>
    </row>
    <row r="321" spans="1:70" ht="15.5">
      <c r="A321" s="4" t="str">
        <v>Reguler Periode ke-101 XVIII.C.3</v>
      </c>
      <c r="B321" s="4" t="s">
        <v>2073</v>
      </c>
      <c r="C321" s="38" t="s">
        <v>4616</v>
      </c>
      <c r="D321" s="4" t="s">
        <v>4593</v>
      </c>
      <c r="E321" s="4" t="s">
        <v>4617</v>
      </c>
      <c r="F321" s="4" t="s">
        <v>4039</v>
      </c>
      <c r="G321" s="27" t="s">
        <v>4618</v>
      </c>
      <c r="H321" s="27" t="s">
        <v>4619</v>
      </c>
      <c r="I321" s="27" t="s">
        <v>4620</v>
      </c>
      <c r="J321" s="27" t="s">
        <v>4621</v>
      </c>
      <c r="K321" s="27" t="s">
        <v>4622</v>
      </c>
      <c r="L321" s="27" t="s">
        <v>4623</v>
      </c>
      <c r="M321" s="27" t="s">
        <v>4624</v>
      </c>
      <c r="N321" s="27" t="s">
        <v>4625</v>
      </c>
      <c r="O321" s="27" t="s">
        <v>4626</v>
      </c>
      <c r="S321" s="27">
        <v>1900004160</v>
      </c>
      <c r="T321" s="27">
        <v>1900009026</v>
      </c>
      <c r="U321" s="27">
        <v>1900011382</v>
      </c>
      <c r="V321" s="27">
        <v>1900013349</v>
      </c>
      <c r="W321" s="27">
        <v>1900019193</v>
      </c>
      <c r="X321" s="27">
        <v>1900023247</v>
      </c>
      <c r="Y321" s="27">
        <v>1900029261</v>
      </c>
      <c r="Z321" s="27">
        <v>1900030115</v>
      </c>
      <c r="AA321" s="27">
        <v>1900032151</v>
      </c>
      <c r="AE321" s="27" t="s">
        <v>201</v>
      </c>
      <c r="AF321" s="27" t="s">
        <v>952</v>
      </c>
      <c r="AG321" s="27" t="s">
        <v>182</v>
      </c>
      <c r="AH321" s="27" t="s">
        <v>677</v>
      </c>
      <c r="AI321" s="27" t="s">
        <v>705</v>
      </c>
      <c r="AJ321" s="27" t="s">
        <v>899</v>
      </c>
      <c r="AK321" s="27" t="s">
        <v>533</v>
      </c>
      <c r="AL321" s="27" t="s">
        <v>184</v>
      </c>
      <c r="AM321" s="27" t="s">
        <v>732</v>
      </c>
      <c r="AP321" s="33"/>
      <c r="AQ321" s="60" t="s">
        <v>186</v>
      </c>
      <c r="AR321" s="61" t="s">
        <v>186</v>
      </c>
      <c r="AS321" s="61" t="s">
        <v>187</v>
      </c>
      <c r="AT321" s="61" t="s">
        <v>186</v>
      </c>
      <c r="AU321" s="61" t="s">
        <v>187</v>
      </c>
      <c r="AV321" s="61" t="s">
        <v>186</v>
      </c>
      <c r="AW321" s="61" t="s">
        <v>186</v>
      </c>
      <c r="AX321" s="61" t="s">
        <v>187</v>
      </c>
      <c r="AY321" s="61" t="s">
        <v>186</v>
      </c>
      <c r="BC321" s="28">
        <v>85876258453</v>
      </c>
      <c r="BD321" s="28">
        <v>82135239220</v>
      </c>
      <c r="BE321" s="28">
        <v>89688395680</v>
      </c>
      <c r="BF321" s="28">
        <v>89665643434</v>
      </c>
      <c r="BG321" s="28">
        <v>82249568675</v>
      </c>
      <c r="BH321" s="28">
        <v>81257220448</v>
      </c>
      <c r="BI321" s="28">
        <v>85725790058</v>
      </c>
      <c r="BJ321" s="28">
        <v>82158767517</v>
      </c>
      <c r="BK321" s="28">
        <v>82331046293</v>
      </c>
      <c r="BO321" s="39">
        <v>60160931</v>
      </c>
      <c r="BP321" s="18" t="s">
        <v>4627</v>
      </c>
      <c r="BQ321" s="37">
        <v>44957</v>
      </c>
      <c r="BR321" s="8">
        <f t="shared" si="1"/>
        <v>9</v>
      </c>
    </row>
    <row r="322" spans="1:70" ht="15.5">
      <c r="A322" s="4" t="str">
        <v>Reguler Periode ke-101 XVIII.D.1</v>
      </c>
      <c r="B322" s="4" t="s">
        <v>2073</v>
      </c>
      <c r="C322" s="38" t="s">
        <v>4628</v>
      </c>
      <c r="D322" s="4" t="s">
        <v>4629</v>
      </c>
      <c r="E322" s="4" t="s">
        <v>4630</v>
      </c>
      <c r="F322" s="4" t="s">
        <v>4039</v>
      </c>
      <c r="G322" s="27" t="s">
        <v>4631</v>
      </c>
      <c r="H322" s="27" t="s">
        <v>4632</v>
      </c>
      <c r="I322" s="27" t="s">
        <v>4633</v>
      </c>
      <c r="J322" s="27" t="s">
        <v>4634</v>
      </c>
      <c r="K322" s="27" t="s">
        <v>4635</v>
      </c>
      <c r="L322" s="27" t="s">
        <v>4636</v>
      </c>
      <c r="M322" s="27" t="s">
        <v>4637</v>
      </c>
      <c r="N322" s="27" t="s">
        <v>4638</v>
      </c>
      <c r="O322" s="27" t="s">
        <v>4639</v>
      </c>
      <c r="S322" s="27">
        <v>1900004113</v>
      </c>
      <c r="T322" s="27">
        <v>1900009068</v>
      </c>
      <c r="U322" s="27">
        <v>1900011182</v>
      </c>
      <c r="V322" s="27">
        <v>1900013010</v>
      </c>
      <c r="W322" s="27">
        <v>1900019043</v>
      </c>
      <c r="X322" s="27">
        <v>1900023218</v>
      </c>
      <c r="Y322" s="27">
        <v>1900029033</v>
      </c>
      <c r="Z322" s="27">
        <v>1900030411</v>
      </c>
      <c r="AA322" s="27">
        <v>1900032228</v>
      </c>
      <c r="AE322" s="27" t="s">
        <v>201</v>
      </c>
      <c r="AF322" s="27" t="s">
        <v>952</v>
      </c>
      <c r="AG322" s="27" t="s">
        <v>182</v>
      </c>
      <c r="AH322" s="27" t="s">
        <v>677</v>
      </c>
      <c r="AI322" s="27" t="s">
        <v>705</v>
      </c>
      <c r="AJ322" s="27" t="s">
        <v>899</v>
      </c>
      <c r="AK322" s="27" t="s">
        <v>533</v>
      </c>
      <c r="AL322" s="27" t="s">
        <v>184</v>
      </c>
      <c r="AM322" s="27" t="s">
        <v>732</v>
      </c>
      <c r="AP322" s="33"/>
      <c r="AQ322" s="60" t="s">
        <v>186</v>
      </c>
      <c r="AR322" s="61" t="s">
        <v>186</v>
      </c>
      <c r="AS322" s="61" t="s">
        <v>187</v>
      </c>
      <c r="AT322" s="61" t="s">
        <v>186</v>
      </c>
      <c r="AU322" s="61" t="s">
        <v>187</v>
      </c>
      <c r="AV322" s="61" t="s">
        <v>186</v>
      </c>
      <c r="AW322" s="61" t="s">
        <v>186</v>
      </c>
      <c r="AX322" s="61" t="s">
        <v>187</v>
      </c>
      <c r="AY322" s="61" t="s">
        <v>186</v>
      </c>
      <c r="BC322" s="28">
        <v>85783029478</v>
      </c>
      <c r="BD322" s="28">
        <v>82135469675</v>
      </c>
      <c r="BE322" s="28">
        <v>82341951632</v>
      </c>
      <c r="BF322" s="28">
        <v>85159544156</v>
      </c>
      <c r="BG322" s="28">
        <v>82134741259</v>
      </c>
      <c r="BH322" s="28" t="s">
        <v>4640</v>
      </c>
      <c r="BI322" s="28">
        <v>81224785165</v>
      </c>
      <c r="BJ322" s="28">
        <v>81282697700</v>
      </c>
      <c r="BK322" s="28">
        <v>85730907877</v>
      </c>
      <c r="BO322" s="39">
        <v>60030462</v>
      </c>
      <c r="BP322" s="18" t="s">
        <v>4641</v>
      </c>
      <c r="BQ322" s="37">
        <v>44957</v>
      </c>
      <c r="BR322" s="8">
        <f t="shared" si="1"/>
        <v>9</v>
      </c>
    </row>
    <row r="323" spans="1:70" ht="15.5">
      <c r="A323" s="4" t="str">
        <v>Reguler Periode ke-101 XVIII.D.2</v>
      </c>
      <c r="B323" s="4" t="s">
        <v>2073</v>
      </c>
      <c r="C323" s="38" t="s">
        <v>4642</v>
      </c>
      <c r="D323" s="4" t="s">
        <v>4629</v>
      </c>
      <c r="E323" s="4" t="s">
        <v>4643</v>
      </c>
      <c r="F323" s="4" t="s">
        <v>4039</v>
      </c>
      <c r="G323" s="27" t="s">
        <v>4644</v>
      </c>
      <c r="H323" s="27" t="s">
        <v>4645</v>
      </c>
      <c r="I323" s="27" t="s">
        <v>4646</v>
      </c>
      <c r="J323" s="27" t="s">
        <v>4647</v>
      </c>
      <c r="K323" s="27" t="s">
        <v>4648</v>
      </c>
      <c r="L323" s="27" t="s">
        <v>4649</v>
      </c>
      <c r="M323" s="27" t="s">
        <v>4650</v>
      </c>
      <c r="N323" s="27" t="s">
        <v>4651</v>
      </c>
      <c r="O323" s="27" t="s">
        <v>4652</v>
      </c>
      <c r="S323" s="27">
        <v>1800030315</v>
      </c>
      <c r="T323" s="27">
        <v>1900004034</v>
      </c>
      <c r="U323" s="27">
        <v>1900009050</v>
      </c>
      <c r="V323" s="27">
        <v>1900011103</v>
      </c>
      <c r="W323" s="27">
        <v>1900013352</v>
      </c>
      <c r="X323" s="27">
        <v>1900019120</v>
      </c>
      <c r="Y323" s="27">
        <v>1900023099</v>
      </c>
      <c r="Z323" s="27">
        <v>1900029106</v>
      </c>
      <c r="AA323" s="27">
        <v>1900032158</v>
      </c>
      <c r="AE323" s="27" t="s">
        <v>184</v>
      </c>
      <c r="AF323" s="27" t="s">
        <v>201</v>
      </c>
      <c r="AG323" s="27" t="s">
        <v>952</v>
      </c>
      <c r="AH323" s="27" t="s">
        <v>182</v>
      </c>
      <c r="AI323" s="27" t="s">
        <v>677</v>
      </c>
      <c r="AJ323" s="27" t="s">
        <v>705</v>
      </c>
      <c r="AK323" s="27" t="s">
        <v>899</v>
      </c>
      <c r="AL323" s="27" t="s">
        <v>533</v>
      </c>
      <c r="AM323" s="27" t="s">
        <v>732</v>
      </c>
      <c r="AP323" s="33"/>
      <c r="AQ323" s="60" t="s">
        <v>186</v>
      </c>
      <c r="AR323" s="61" t="s">
        <v>186</v>
      </c>
      <c r="AS323" s="61" t="s">
        <v>187</v>
      </c>
      <c r="AT323" s="61" t="s">
        <v>186</v>
      </c>
      <c r="AU323" s="61" t="s">
        <v>187</v>
      </c>
      <c r="AV323" s="61" t="s">
        <v>186</v>
      </c>
      <c r="AW323" s="61" t="s">
        <v>186</v>
      </c>
      <c r="AX323" s="61" t="s">
        <v>187</v>
      </c>
      <c r="AY323" s="61" t="s">
        <v>186</v>
      </c>
      <c r="BC323" s="28">
        <v>81226882614</v>
      </c>
      <c r="BD323" s="28">
        <v>81227465727</v>
      </c>
      <c r="BE323" s="28">
        <v>895700201902</v>
      </c>
      <c r="BF323" s="28">
        <v>87708889031</v>
      </c>
      <c r="BG323" s="28">
        <v>82242455192</v>
      </c>
      <c r="BH323" s="28">
        <v>85205086590</v>
      </c>
      <c r="BI323" s="28">
        <v>82284847669</v>
      </c>
      <c r="BJ323" s="28">
        <v>81238151810</v>
      </c>
      <c r="BK323" s="28">
        <v>85238149389</v>
      </c>
      <c r="BO323" s="39">
        <v>60030462</v>
      </c>
      <c r="BP323" s="18" t="s">
        <v>4653</v>
      </c>
      <c r="BQ323" s="37">
        <v>44957</v>
      </c>
      <c r="BR323" s="8">
        <f t="shared" si="1"/>
        <v>9</v>
      </c>
    </row>
    <row r="324" spans="1:70" ht="15.5">
      <c r="A324" s="4" t="str">
        <v>Reguler Periode ke-101 XVIII.D.3</v>
      </c>
      <c r="B324" s="4" t="s">
        <v>2073</v>
      </c>
      <c r="C324" s="38" t="s">
        <v>4654</v>
      </c>
      <c r="D324" s="4" t="s">
        <v>4629</v>
      </c>
      <c r="E324" s="4" t="s">
        <v>4655</v>
      </c>
      <c r="F324" s="4" t="s">
        <v>4039</v>
      </c>
      <c r="G324" s="27" t="s">
        <v>4656</v>
      </c>
      <c r="H324" s="27" t="s">
        <v>4657</v>
      </c>
      <c r="I324" s="27" t="s">
        <v>4658</v>
      </c>
      <c r="J324" s="27" t="s">
        <v>4659</v>
      </c>
      <c r="K324" s="27" t="s">
        <v>4660</v>
      </c>
      <c r="L324" s="27" t="s">
        <v>4661</v>
      </c>
      <c r="M324" s="27" t="s">
        <v>4662</v>
      </c>
      <c r="N324" s="27" t="s">
        <v>4663</v>
      </c>
      <c r="O324" s="27" t="s">
        <v>4664</v>
      </c>
      <c r="S324" s="27">
        <v>1900004187</v>
      </c>
      <c r="T324" s="27">
        <v>1900009059</v>
      </c>
      <c r="U324" s="27">
        <v>1900011169</v>
      </c>
      <c r="V324" s="27">
        <v>1900013343</v>
      </c>
      <c r="W324" s="27">
        <v>1900019068</v>
      </c>
      <c r="X324" s="27">
        <v>1900023144</v>
      </c>
      <c r="Y324" s="27">
        <v>1900029066</v>
      </c>
      <c r="Z324" s="27">
        <v>1900030328</v>
      </c>
      <c r="AA324" s="27">
        <v>1900032023</v>
      </c>
      <c r="AE324" s="52" t="s">
        <v>201</v>
      </c>
      <c r="AF324" s="52" t="s">
        <v>952</v>
      </c>
      <c r="AG324" s="52" t="s">
        <v>182</v>
      </c>
      <c r="AH324" s="52" t="s">
        <v>677</v>
      </c>
      <c r="AI324" s="52" t="s">
        <v>705</v>
      </c>
      <c r="AJ324" s="52" t="s">
        <v>899</v>
      </c>
      <c r="AK324" s="52" t="s">
        <v>533</v>
      </c>
      <c r="AL324" s="52" t="s">
        <v>184</v>
      </c>
      <c r="AM324" s="52" t="s">
        <v>732</v>
      </c>
      <c r="AP324" s="33"/>
      <c r="AQ324" s="62" t="s">
        <v>186</v>
      </c>
      <c r="AR324" s="62" t="s">
        <v>186</v>
      </c>
      <c r="AS324" s="62" t="s">
        <v>187</v>
      </c>
      <c r="AT324" s="62" t="s">
        <v>186</v>
      </c>
      <c r="AU324" s="62" t="s">
        <v>187</v>
      </c>
      <c r="AV324" s="62" t="s">
        <v>186</v>
      </c>
      <c r="AW324" s="62" t="s">
        <v>186</v>
      </c>
      <c r="AX324" s="62" t="s">
        <v>187</v>
      </c>
      <c r="AY324" s="62" t="s">
        <v>186</v>
      </c>
      <c r="BC324" s="28">
        <v>81271381088</v>
      </c>
      <c r="BD324" s="28">
        <v>82279207126</v>
      </c>
      <c r="BE324" s="28">
        <v>81369257593</v>
      </c>
      <c r="BF324" s="28">
        <v>89648901934</v>
      </c>
      <c r="BG324" s="28">
        <v>85814521802</v>
      </c>
      <c r="BH324" s="28">
        <v>81272607938</v>
      </c>
      <c r="BI324" s="28">
        <v>82251930744</v>
      </c>
      <c r="BJ324" s="28">
        <v>8971363641</v>
      </c>
      <c r="BK324" s="28">
        <v>82279840092</v>
      </c>
      <c r="BO324" s="39">
        <v>60030462</v>
      </c>
      <c r="BP324" s="18" t="s">
        <v>4665</v>
      </c>
      <c r="BQ324" s="37">
        <v>44957</v>
      </c>
      <c r="BR324" s="8">
        <f t="shared" si="1"/>
        <v>9</v>
      </c>
    </row>
    <row r="325" spans="1:70" ht="15.5">
      <c r="A325" s="4" t="str">
        <v>Reguler Periode ke-101 XIX.A.1</v>
      </c>
      <c r="B325" s="4" t="s">
        <v>2073</v>
      </c>
      <c r="C325" s="38" t="s">
        <v>4666</v>
      </c>
      <c r="D325" s="4" t="s">
        <v>4667</v>
      </c>
      <c r="E325" s="4" t="s">
        <v>4668</v>
      </c>
      <c r="F325" s="4" t="s">
        <v>4039</v>
      </c>
      <c r="G325" s="27" t="s">
        <v>4669</v>
      </c>
      <c r="H325" s="27" t="s">
        <v>4670</v>
      </c>
      <c r="I325" s="27" t="s">
        <v>4671</v>
      </c>
      <c r="J325" s="27" t="s">
        <v>4672</v>
      </c>
      <c r="K325" s="27" t="s">
        <v>4673</v>
      </c>
      <c r="L325" s="27" t="s">
        <v>4674</v>
      </c>
      <c r="M325" s="27" t="s">
        <v>4675</v>
      </c>
      <c r="N325" s="27" t="s">
        <v>4676</v>
      </c>
      <c r="O325" s="27" t="s">
        <v>4677</v>
      </c>
      <c r="S325" s="27">
        <v>1900004076</v>
      </c>
      <c r="T325" s="27">
        <v>1900009062</v>
      </c>
      <c r="U325" s="27">
        <v>1900011072</v>
      </c>
      <c r="V325" s="27">
        <v>1900013344</v>
      </c>
      <c r="W325" s="27">
        <v>1900019156</v>
      </c>
      <c r="X325" s="27">
        <v>1900023046</v>
      </c>
      <c r="Y325" s="27">
        <v>1900029277</v>
      </c>
      <c r="Z325" s="27">
        <v>1900030207</v>
      </c>
      <c r="AA325" s="27">
        <v>1900032196</v>
      </c>
      <c r="AE325" s="27" t="s">
        <v>201</v>
      </c>
      <c r="AF325" s="27" t="s">
        <v>952</v>
      </c>
      <c r="AG325" s="27" t="s">
        <v>182</v>
      </c>
      <c r="AH325" s="27" t="s">
        <v>677</v>
      </c>
      <c r="AI325" s="27" t="s">
        <v>705</v>
      </c>
      <c r="AJ325" s="27" t="s">
        <v>899</v>
      </c>
      <c r="AK325" s="27" t="s">
        <v>533</v>
      </c>
      <c r="AL325" s="27" t="s">
        <v>184</v>
      </c>
      <c r="AM325" s="27" t="s">
        <v>732</v>
      </c>
      <c r="AP325" s="33"/>
      <c r="AQ325" s="60" t="s">
        <v>186</v>
      </c>
      <c r="AR325" s="61" t="s">
        <v>186</v>
      </c>
      <c r="AS325" s="61" t="s">
        <v>187</v>
      </c>
      <c r="AT325" s="61" t="s">
        <v>186</v>
      </c>
      <c r="AU325" s="61" t="s">
        <v>187</v>
      </c>
      <c r="AV325" s="61" t="s">
        <v>186</v>
      </c>
      <c r="AW325" s="61" t="s">
        <v>186</v>
      </c>
      <c r="AX325" s="61" t="s">
        <v>187</v>
      </c>
      <c r="AY325" s="61" t="s">
        <v>186</v>
      </c>
      <c r="BC325" s="28">
        <v>81379300758</v>
      </c>
      <c r="BD325" s="28">
        <v>83121492678</v>
      </c>
      <c r="BE325" s="28">
        <v>87834411564</v>
      </c>
      <c r="BF325" s="28">
        <v>85346986997</v>
      </c>
      <c r="BG325" s="28">
        <v>85783457748</v>
      </c>
      <c r="BH325" s="28">
        <v>82289866621</v>
      </c>
      <c r="BI325" s="28">
        <v>81802339661</v>
      </c>
      <c r="BJ325" s="28">
        <v>82289135781</v>
      </c>
      <c r="BK325" s="28">
        <v>82146666671</v>
      </c>
      <c r="BO325" s="39">
        <v>60160855</v>
      </c>
      <c r="BP325" s="18" t="s">
        <v>4678</v>
      </c>
      <c r="BQ325" s="37">
        <v>44957</v>
      </c>
      <c r="BR325" s="8">
        <f t="shared" si="1"/>
        <v>9</v>
      </c>
    </row>
    <row r="326" spans="1:70" ht="15.5">
      <c r="A326" s="4" t="str">
        <v>Reguler Periode ke-101 XIX.A.2</v>
      </c>
      <c r="B326" s="4" t="s">
        <v>2073</v>
      </c>
      <c r="C326" s="38" t="s">
        <v>4679</v>
      </c>
      <c r="D326" s="4" t="s">
        <v>4667</v>
      </c>
      <c r="E326" s="4" t="s">
        <v>4680</v>
      </c>
      <c r="F326" s="4" t="s">
        <v>4039</v>
      </c>
      <c r="G326" s="27" t="s">
        <v>4681</v>
      </c>
      <c r="H326" s="27" t="s">
        <v>4682</v>
      </c>
      <c r="I326" s="27" t="s">
        <v>4683</v>
      </c>
      <c r="J326" s="27" t="s">
        <v>4684</v>
      </c>
      <c r="K326" s="27" t="s">
        <v>4685</v>
      </c>
      <c r="L326" s="27" t="s">
        <v>4686</v>
      </c>
      <c r="M326" s="27" t="s">
        <v>4687</v>
      </c>
      <c r="N326" s="27" t="s">
        <v>4688</v>
      </c>
      <c r="O326" s="27" t="s">
        <v>4689</v>
      </c>
      <c r="R326" s="27"/>
      <c r="S326" s="27">
        <v>1800019038</v>
      </c>
      <c r="T326" s="27">
        <v>1900009007</v>
      </c>
      <c r="U326" s="27">
        <v>1900011343</v>
      </c>
      <c r="V326" s="27">
        <v>1900013346</v>
      </c>
      <c r="W326" s="27">
        <v>1900023117</v>
      </c>
      <c r="X326" s="27">
        <v>1900029246</v>
      </c>
      <c r="Y326" s="27">
        <v>1900030287</v>
      </c>
      <c r="Z326" s="27">
        <v>1900032074</v>
      </c>
      <c r="AA326" s="27">
        <v>1915004104</v>
      </c>
      <c r="AE326" s="27" t="s">
        <v>705</v>
      </c>
      <c r="AF326" s="27" t="s">
        <v>952</v>
      </c>
      <c r="AG326" s="27" t="s">
        <v>182</v>
      </c>
      <c r="AH326" s="27" t="s">
        <v>677</v>
      </c>
      <c r="AI326" s="27" t="s">
        <v>899</v>
      </c>
      <c r="AJ326" s="27" t="s">
        <v>533</v>
      </c>
      <c r="AK326" s="27" t="s">
        <v>184</v>
      </c>
      <c r="AL326" s="27" t="s">
        <v>732</v>
      </c>
      <c r="AM326" s="27" t="s">
        <v>201</v>
      </c>
      <c r="AP326" s="33"/>
      <c r="AQ326" s="60" t="s">
        <v>186</v>
      </c>
      <c r="AR326" s="61" t="s">
        <v>186</v>
      </c>
      <c r="AS326" s="61" t="s">
        <v>187</v>
      </c>
      <c r="AT326" s="61" t="s">
        <v>186</v>
      </c>
      <c r="AU326" s="61" t="s">
        <v>187</v>
      </c>
      <c r="AV326" s="61" t="s">
        <v>186</v>
      </c>
      <c r="AW326" s="61" t="s">
        <v>186</v>
      </c>
      <c r="AX326" s="61" t="s">
        <v>187</v>
      </c>
      <c r="AY326" s="61" t="s">
        <v>186</v>
      </c>
      <c r="BC326" s="28">
        <v>81274429189</v>
      </c>
      <c r="BD326" s="28">
        <v>87770879580</v>
      </c>
      <c r="BE326" s="28">
        <v>85747212975</v>
      </c>
      <c r="BF326" s="28">
        <v>81213307487</v>
      </c>
      <c r="BG326" s="28">
        <v>81379305010</v>
      </c>
      <c r="BH326" s="28">
        <v>85713150167</v>
      </c>
      <c r="BI326" s="28">
        <v>87801321218</v>
      </c>
      <c r="BJ326" s="28">
        <v>87866999990</v>
      </c>
      <c r="BK326" s="28">
        <v>88806761023</v>
      </c>
      <c r="BO326" s="39">
        <v>60160855</v>
      </c>
      <c r="BP326" s="18" t="s">
        <v>4690</v>
      </c>
      <c r="BQ326" s="37">
        <v>44957</v>
      </c>
      <c r="BR326" s="8">
        <f t="shared" si="1"/>
        <v>9</v>
      </c>
    </row>
    <row r="327" spans="1:70" ht="15.5">
      <c r="A327" s="4" t="str">
        <v>Reguler Periode ke-101 XIX.A.3</v>
      </c>
      <c r="B327" s="4" t="s">
        <v>2073</v>
      </c>
      <c r="C327" s="38" t="s">
        <v>4691</v>
      </c>
      <c r="D327" s="4" t="s">
        <v>4667</v>
      </c>
      <c r="E327" s="4" t="s">
        <v>4692</v>
      </c>
      <c r="F327" s="4" t="s">
        <v>4039</v>
      </c>
      <c r="G327" s="27" t="s">
        <v>4693</v>
      </c>
      <c r="H327" s="27" t="s">
        <v>4694</v>
      </c>
      <c r="I327" s="27" t="s">
        <v>4695</v>
      </c>
      <c r="J327" s="27" t="s">
        <v>4696</v>
      </c>
      <c r="K327" s="27" t="s">
        <v>4697</v>
      </c>
      <c r="L327" s="27" t="s">
        <v>4698</v>
      </c>
      <c r="M327" s="27" t="s">
        <v>4699</v>
      </c>
      <c r="N327" s="27" t="s">
        <v>4700</v>
      </c>
      <c r="O327" s="27" t="s">
        <v>4701</v>
      </c>
      <c r="R327" s="27"/>
      <c r="S327" s="27">
        <v>1900004015</v>
      </c>
      <c r="T327" s="27">
        <v>1900009008</v>
      </c>
      <c r="U327" s="27">
        <v>1900011024</v>
      </c>
      <c r="V327" s="27">
        <v>1900013288</v>
      </c>
      <c r="W327" s="27">
        <v>1900019073</v>
      </c>
      <c r="X327" s="27">
        <v>1900023255</v>
      </c>
      <c r="Y327" s="27">
        <v>1900029199</v>
      </c>
      <c r="Z327" s="27">
        <v>1900030324</v>
      </c>
      <c r="AA327" s="27">
        <v>1900032015</v>
      </c>
      <c r="AE327" s="27" t="s">
        <v>201</v>
      </c>
      <c r="AF327" s="27" t="s">
        <v>952</v>
      </c>
      <c r="AG327" s="27" t="s">
        <v>182</v>
      </c>
      <c r="AH327" s="27" t="s">
        <v>677</v>
      </c>
      <c r="AI327" s="27" t="s">
        <v>705</v>
      </c>
      <c r="AJ327" s="27" t="s">
        <v>899</v>
      </c>
      <c r="AK327" s="27" t="s">
        <v>533</v>
      </c>
      <c r="AL327" s="27" t="s">
        <v>184</v>
      </c>
      <c r="AM327" s="27" t="s">
        <v>732</v>
      </c>
      <c r="AP327" s="33"/>
      <c r="AQ327" s="60" t="s">
        <v>186</v>
      </c>
      <c r="AR327" s="61" t="s">
        <v>186</v>
      </c>
      <c r="AS327" s="61" t="s">
        <v>187</v>
      </c>
      <c r="AT327" s="61" t="s">
        <v>186</v>
      </c>
      <c r="AU327" s="61" t="s">
        <v>187</v>
      </c>
      <c r="AV327" s="61" t="s">
        <v>186</v>
      </c>
      <c r="AW327" s="61" t="s">
        <v>186</v>
      </c>
      <c r="AX327" s="61" t="s">
        <v>187</v>
      </c>
      <c r="AY327" s="61" t="s">
        <v>186</v>
      </c>
      <c r="BC327" s="28">
        <v>83101390777</v>
      </c>
      <c r="BD327" s="28">
        <v>81294711361</v>
      </c>
      <c r="BE327" s="28">
        <v>82173160246</v>
      </c>
      <c r="BF327" s="28">
        <f>6281243886052</f>
        <v>6281243886052</v>
      </c>
      <c r="BG327" s="28">
        <v>82254934284</v>
      </c>
      <c r="BH327" s="28">
        <v>85227397535</v>
      </c>
      <c r="BI327" s="28">
        <v>85358386194</v>
      </c>
      <c r="BJ327" s="28">
        <v>83840053077</v>
      </c>
      <c r="BK327" s="28">
        <v>81575333738</v>
      </c>
      <c r="BO327" s="39">
        <v>60160855</v>
      </c>
      <c r="BP327" s="18" t="s">
        <v>4702</v>
      </c>
      <c r="BQ327" s="37">
        <v>44957</v>
      </c>
      <c r="BR327" s="8">
        <f t="shared" si="1"/>
        <v>9</v>
      </c>
    </row>
    <row r="328" spans="1:70" ht="15.5">
      <c r="A328" s="4" t="str">
        <v>Reguler Periode ke-101 XIX.B.1</v>
      </c>
      <c r="B328" s="4" t="s">
        <v>2073</v>
      </c>
      <c r="C328" s="38" t="s">
        <v>4703</v>
      </c>
      <c r="D328" s="4" t="s">
        <v>4704</v>
      </c>
      <c r="E328" s="4" t="s">
        <v>4705</v>
      </c>
      <c r="F328" s="4" t="s">
        <v>4039</v>
      </c>
      <c r="G328" s="27" t="s">
        <v>4706</v>
      </c>
      <c r="H328" s="27" t="s">
        <v>4707</v>
      </c>
      <c r="I328" s="27" t="s">
        <v>4708</v>
      </c>
      <c r="J328" s="27" t="s">
        <v>4709</v>
      </c>
      <c r="K328" s="27" t="s">
        <v>4710</v>
      </c>
      <c r="L328" s="27" t="s">
        <v>4711</v>
      </c>
      <c r="M328" s="27" t="s">
        <v>4712</v>
      </c>
      <c r="N328" s="27" t="s">
        <v>4713</v>
      </c>
      <c r="O328" s="27" t="s">
        <v>4714</v>
      </c>
      <c r="R328" s="27"/>
      <c r="S328" s="27">
        <v>1800019177</v>
      </c>
      <c r="T328" s="27">
        <v>1900004110</v>
      </c>
      <c r="U328" s="27">
        <v>1900009030</v>
      </c>
      <c r="V328" s="27">
        <v>1900011029</v>
      </c>
      <c r="W328" s="27">
        <v>1900013195</v>
      </c>
      <c r="X328" s="27">
        <v>1900023061</v>
      </c>
      <c r="Y328" s="27">
        <v>1900029097</v>
      </c>
      <c r="Z328" s="27">
        <v>1900030139</v>
      </c>
      <c r="AA328" s="27">
        <v>1900032145</v>
      </c>
      <c r="AE328" s="27" t="s">
        <v>705</v>
      </c>
      <c r="AF328" s="27" t="s">
        <v>201</v>
      </c>
      <c r="AG328" s="27" t="s">
        <v>952</v>
      </c>
      <c r="AH328" s="27" t="s">
        <v>182</v>
      </c>
      <c r="AI328" s="27" t="s">
        <v>677</v>
      </c>
      <c r="AJ328" s="27" t="s">
        <v>899</v>
      </c>
      <c r="AK328" s="27" t="s">
        <v>533</v>
      </c>
      <c r="AL328" s="27" t="s">
        <v>184</v>
      </c>
      <c r="AM328" s="27" t="s">
        <v>732</v>
      </c>
      <c r="AP328" s="33"/>
      <c r="AQ328" s="60" t="s">
        <v>186</v>
      </c>
      <c r="AR328" s="61" t="s">
        <v>186</v>
      </c>
      <c r="AS328" s="61" t="s">
        <v>187</v>
      </c>
      <c r="AT328" s="61" t="s">
        <v>186</v>
      </c>
      <c r="AU328" s="61" t="s">
        <v>187</v>
      </c>
      <c r="AV328" s="61" t="s">
        <v>186</v>
      </c>
      <c r="AW328" s="61" t="s">
        <v>186</v>
      </c>
      <c r="AX328" s="61" t="s">
        <v>187</v>
      </c>
      <c r="AY328" s="61" t="s">
        <v>186</v>
      </c>
      <c r="BC328" s="28">
        <v>8117326398</v>
      </c>
      <c r="BD328" s="28">
        <v>85788371851</v>
      </c>
      <c r="BE328" s="28">
        <v>85648880430</v>
      </c>
      <c r="BF328" s="28">
        <v>81214094959</v>
      </c>
      <c r="BG328" s="28">
        <v>82135278233</v>
      </c>
      <c r="BH328" s="28">
        <v>85290504559</v>
      </c>
      <c r="BI328" s="28">
        <v>82154938469</v>
      </c>
      <c r="BJ328" s="28">
        <v>81259743201</v>
      </c>
      <c r="BK328" s="28">
        <v>88224297904</v>
      </c>
      <c r="BO328" s="39">
        <v>60920105</v>
      </c>
      <c r="BP328" s="18" t="s">
        <v>4715</v>
      </c>
      <c r="BQ328" s="37">
        <v>44957</v>
      </c>
      <c r="BR328" s="8">
        <f t="shared" si="1"/>
        <v>9</v>
      </c>
    </row>
    <row r="329" spans="1:70" ht="15.5">
      <c r="A329" s="4" t="str">
        <v>Reguler Periode ke-101 XIX.B.2</v>
      </c>
      <c r="B329" s="4" t="s">
        <v>2073</v>
      </c>
      <c r="C329" s="38" t="s">
        <v>4716</v>
      </c>
      <c r="D329" s="4" t="s">
        <v>4704</v>
      </c>
      <c r="E329" s="4" t="s">
        <v>4717</v>
      </c>
      <c r="F329" s="4" t="s">
        <v>4039</v>
      </c>
      <c r="G329" s="27" t="s">
        <v>4718</v>
      </c>
      <c r="H329" s="27" t="s">
        <v>4719</v>
      </c>
      <c r="I329" s="27" t="s">
        <v>4720</v>
      </c>
      <c r="J329" s="27" t="s">
        <v>4721</v>
      </c>
      <c r="K329" s="27" t="s">
        <v>4722</v>
      </c>
      <c r="L329" s="27" t="s">
        <v>4723</v>
      </c>
      <c r="M329" s="27" t="s">
        <v>4724</v>
      </c>
      <c r="N329" s="27" t="s">
        <v>4725</v>
      </c>
      <c r="O329" s="27" t="s">
        <v>4726</v>
      </c>
      <c r="R329" s="27"/>
      <c r="S329" s="27">
        <v>1900004096</v>
      </c>
      <c r="T329" s="27">
        <v>1900010135</v>
      </c>
      <c r="U329" s="27">
        <v>1900011183</v>
      </c>
      <c r="V329" s="27">
        <v>1900013193</v>
      </c>
      <c r="W329" s="27">
        <v>1900019134</v>
      </c>
      <c r="X329" s="27">
        <v>1900023263</v>
      </c>
      <c r="Y329" s="27">
        <v>1900029045</v>
      </c>
      <c r="Z329" s="27">
        <v>1900030059</v>
      </c>
      <c r="AA329" s="27">
        <v>1900032203</v>
      </c>
      <c r="AE329" s="52" t="s">
        <v>201</v>
      </c>
      <c r="AF329" s="52" t="s">
        <v>532</v>
      </c>
      <c r="AG329" s="52" t="s">
        <v>182</v>
      </c>
      <c r="AH329" s="52" t="s">
        <v>677</v>
      </c>
      <c r="AI329" s="52" t="s">
        <v>705</v>
      </c>
      <c r="AJ329" s="52" t="s">
        <v>899</v>
      </c>
      <c r="AK329" s="52" t="s">
        <v>533</v>
      </c>
      <c r="AL329" s="52" t="s">
        <v>184</v>
      </c>
      <c r="AM329" s="52" t="s">
        <v>732</v>
      </c>
      <c r="AQ329" s="60" t="s">
        <v>186</v>
      </c>
      <c r="AR329" s="61" t="s">
        <v>186</v>
      </c>
      <c r="AS329" s="61" t="s">
        <v>187</v>
      </c>
      <c r="AT329" s="61" t="s">
        <v>186</v>
      </c>
      <c r="AU329" s="61" t="s">
        <v>187</v>
      </c>
      <c r="AV329" s="61" t="s">
        <v>186</v>
      </c>
      <c r="AW329" s="61" t="s">
        <v>186</v>
      </c>
      <c r="AX329" s="61" t="s">
        <v>187</v>
      </c>
      <c r="AY329" s="61" t="s">
        <v>186</v>
      </c>
      <c r="BC329" s="28">
        <v>81327974001</v>
      </c>
      <c r="BD329" s="28">
        <v>82137092699</v>
      </c>
      <c r="BE329" s="28">
        <v>81317658620</v>
      </c>
      <c r="BF329" s="28">
        <v>88220081358</v>
      </c>
      <c r="BG329" s="28">
        <v>85848198553</v>
      </c>
      <c r="BH329" s="28">
        <v>81312731862</v>
      </c>
      <c r="BI329" s="28">
        <v>82231029966</v>
      </c>
      <c r="BJ329" s="28">
        <v>85325297270</v>
      </c>
      <c r="BK329" s="28">
        <v>85848006610</v>
      </c>
      <c r="BO329" s="39">
        <v>60920105</v>
      </c>
      <c r="BP329" s="18" t="s">
        <v>4727</v>
      </c>
      <c r="BQ329" s="37">
        <v>44957</v>
      </c>
      <c r="BR329" s="8">
        <f t="shared" si="1"/>
        <v>9</v>
      </c>
    </row>
    <row r="330" spans="1:70" ht="15.5">
      <c r="A330" s="4" t="str">
        <v>Reguler Periode ke-101 XIX.B.3</v>
      </c>
      <c r="B330" s="4" t="s">
        <v>2073</v>
      </c>
      <c r="C330" s="38" t="s">
        <v>4728</v>
      </c>
      <c r="D330" s="4" t="s">
        <v>4704</v>
      </c>
      <c r="E330" s="4" t="s">
        <v>4729</v>
      </c>
      <c r="F330" s="4" t="s">
        <v>4039</v>
      </c>
      <c r="G330" s="27" t="s">
        <v>4730</v>
      </c>
      <c r="H330" s="27" t="s">
        <v>4731</v>
      </c>
      <c r="I330" s="27" t="s">
        <v>4732</v>
      </c>
      <c r="J330" s="27" t="s">
        <v>4733</v>
      </c>
      <c r="K330" s="27" t="s">
        <v>4734</v>
      </c>
      <c r="L330" s="27" t="s">
        <v>4735</v>
      </c>
      <c r="M330" s="27" t="s">
        <v>4736</v>
      </c>
      <c r="N330" s="27" t="s">
        <v>4737</v>
      </c>
      <c r="O330" s="27" t="s">
        <v>4738</v>
      </c>
      <c r="R330" s="27"/>
      <c r="S330" s="27">
        <v>1900004196</v>
      </c>
      <c r="T330" s="27">
        <v>1900010087</v>
      </c>
      <c r="U330" s="27">
        <v>1900011385</v>
      </c>
      <c r="V330" s="27">
        <v>1900013322</v>
      </c>
      <c r="W330" s="27">
        <v>1900019111</v>
      </c>
      <c r="X330" s="27">
        <v>1900023238</v>
      </c>
      <c r="Y330" s="27">
        <v>1900029063</v>
      </c>
      <c r="Z330" s="27">
        <v>1900030196</v>
      </c>
      <c r="AA330" s="27">
        <v>1900032197</v>
      </c>
      <c r="AE330" s="27" t="s">
        <v>201</v>
      </c>
      <c r="AF330" s="27" t="s">
        <v>532</v>
      </c>
      <c r="AG330" s="27" t="s">
        <v>182</v>
      </c>
      <c r="AH330" s="27" t="s">
        <v>677</v>
      </c>
      <c r="AI330" s="27" t="s">
        <v>705</v>
      </c>
      <c r="AJ330" s="27" t="s">
        <v>899</v>
      </c>
      <c r="AK330" s="27" t="s">
        <v>533</v>
      </c>
      <c r="AL330" s="27" t="s">
        <v>184</v>
      </c>
      <c r="AM330" s="27" t="s">
        <v>732</v>
      </c>
      <c r="AQ330" s="4" t="s">
        <v>186</v>
      </c>
      <c r="AR330" s="4" t="s">
        <v>186</v>
      </c>
      <c r="AS330" s="4" t="s">
        <v>187</v>
      </c>
      <c r="AT330" s="4" t="s">
        <v>186</v>
      </c>
      <c r="AU330" s="4" t="s">
        <v>187</v>
      </c>
      <c r="AV330" s="4" t="s">
        <v>186</v>
      </c>
      <c r="AW330" s="4" t="s">
        <v>186</v>
      </c>
      <c r="AX330" s="4" t="s">
        <v>187</v>
      </c>
      <c r="AY330" s="4" t="s">
        <v>186</v>
      </c>
      <c r="BC330" s="28">
        <v>82215101399</v>
      </c>
      <c r="BD330" s="28">
        <v>81803915434</v>
      </c>
      <c r="BE330" s="28">
        <v>87717170614</v>
      </c>
      <c r="BF330" s="28">
        <v>82242251454</v>
      </c>
      <c r="BG330" s="28">
        <v>82320074610</v>
      </c>
      <c r="BH330" s="28">
        <v>89630870931</v>
      </c>
      <c r="BI330" s="28">
        <v>81226490845</v>
      </c>
      <c r="BJ330" s="28">
        <v>88226870426</v>
      </c>
      <c r="BK330" s="28">
        <v>82311464659</v>
      </c>
      <c r="BO330" s="39">
        <v>60920105</v>
      </c>
      <c r="BP330" s="18" t="s">
        <v>4739</v>
      </c>
      <c r="BQ330" s="37">
        <v>44957</v>
      </c>
      <c r="BR330" s="8">
        <f t="shared" si="1"/>
        <v>9</v>
      </c>
    </row>
    <row r="331" spans="1:70" ht="15.5">
      <c r="A331" s="4" t="str">
        <v>Reguler Periode ke-101 XIX.C.1</v>
      </c>
      <c r="B331" s="4" t="s">
        <v>2073</v>
      </c>
      <c r="C331" s="38" t="s">
        <v>4740</v>
      </c>
      <c r="D331" s="4" t="s">
        <v>4741</v>
      </c>
      <c r="E331" s="4" t="s">
        <v>4742</v>
      </c>
      <c r="F331" s="4" t="s">
        <v>4039</v>
      </c>
      <c r="G331" s="27" t="s">
        <v>4743</v>
      </c>
      <c r="H331" s="27" t="s">
        <v>4744</v>
      </c>
      <c r="I331" s="27" t="s">
        <v>4745</v>
      </c>
      <c r="J331" s="27" t="s">
        <v>4746</v>
      </c>
      <c r="K331" s="27" t="s">
        <v>4747</v>
      </c>
      <c r="L331" s="27" t="s">
        <v>4748</v>
      </c>
      <c r="M331" s="27" t="s">
        <v>4749</v>
      </c>
      <c r="N331" s="27" t="s">
        <v>4750</v>
      </c>
      <c r="O331" s="27" t="s">
        <v>4751</v>
      </c>
      <c r="R331" s="27"/>
      <c r="S331" s="27">
        <v>1900010253</v>
      </c>
      <c r="T331" s="27">
        <v>1900011350</v>
      </c>
      <c r="U331" s="27">
        <v>1900013157</v>
      </c>
      <c r="V331" s="27">
        <v>1900019072</v>
      </c>
      <c r="W331" s="27">
        <v>1900023229</v>
      </c>
      <c r="X331" s="27">
        <v>1900029082</v>
      </c>
      <c r="Y331" s="27">
        <v>1900030068</v>
      </c>
      <c r="Z331" s="27">
        <v>1900032143</v>
      </c>
      <c r="AA331" s="27">
        <v>1915004106</v>
      </c>
      <c r="AE331" s="27" t="s">
        <v>532</v>
      </c>
      <c r="AF331" s="27" t="s">
        <v>182</v>
      </c>
      <c r="AG331" s="27" t="s">
        <v>677</v>
      </c>
      <c r="AH331" s="27" t="s">
        <v>705</v>
      </c>
      <c r="AI331" s="27" t="s">
        <v>899</v>
      </c>
      <c r="AJ331" s="27" t="s">
        <v>533</v>
      </c>
      <c r="AK331" s="27" t="s">
        <v>184</v>
      </c>
      <c r="AL331" s="27" t="s">
        <v>732</v>
      </c>
      <c r="AM331" s="27" t="s">
        <v>201</v>
      </c>
      <c r="AQ331" s="60" t="s">
        <v>187</v>
      </c>
      <c r="AR331" s="61" t="s">
        <v>186</v>
      </c>
      <c r="AS331" s="61" t="s">
        <v>186</v>
      </c>
      <c r="AT331" s="61" t="s">
        <v>187</v>
      </c>
      <c r="AU331" s="61" t="s">
        <v>186</v>
      </c>
      <c r="AV331" s="61" t="s">
        <v>187</v>
      </c>
      <c r="AW331" s="61" t="s">
        <v>186</v>
      </c>
      <c r="AX331" s="61" t="s">
        <v>186</v>
      </c>
      <c r="AY331" s="61" t="s">
        <v>186</v>
      </c>
      <c r="BC331" s="28">
        <v>85728051438</v>
      </c>
      <c r="BD331" s="28">
        <v>81328595676</v>
      </c>
      <c r="BE331" s="28">
        <v>82328537077</v>
      </c>
      <c r="BF331" s="28">
        <v>82241734007</v>
      </c>
      <c r="BG331" s="28">
        <v>82134646211</v>
      </c>
      <c r="BH331" s="28">
        <v>8977254600</v>
      </c>
      <c r="BI331" s="28">
        <v>85787722576</v>
      </c>
      <c r="BJ331" s="28" t="s">
        <v>4752</v>
      </c>
      <c r="BK331" s="28">
        <v>82313700050</v>
      </c>
      <c r="BO331" s="39">
        <v>60191213</v>
      </c>
      <c r="BP331" s="18" t="s">
        <v>4753</v>
      </c>
      <c r="BQ331" s="37">
        <v>44957</v>
      </c>
      <c r="BR331" s="8">
        <f t="shared" si="1"/>
        <v>9</v>
      </c>
    </row>
    <row r="332" spans="1:70" ht="15.5">
      <c r="A332" s="4" t="str">
        <v>Reguler Periode ke-101 XIX.C.2</v>
      </c>
      <c r="B332" s="4" t="s">
        <v>2073</v>
      </c>
      <c r="C332" s="38" t="s">
        <v>4754</v>
      </c>
      <c r="D332" s="4" t="s">
        <v>4741</v>
      </c>
      <c r="E332" s="4" t="s">
        <v>4755</v>
      </c>
      <c r="F332" s="4" t="s">
        <v>4039</v>
      </c>
      <c r="G332" s="27" t="s">
        <v>4756</v>
      </c>
      <c r="H332" s="27" t="s">
        <v>4757</v>
      </c>
      <c r="I332" s="27" t="s">
        <v>4758</v>
      </c>
      <c r="J332" s="27" t="s">
        <v>4759</v>
      </c>
      <c r="K332" s="27" t="s">
        <v>4760</v>
      </c>
      <c r="L332" s="27" t="s">
        <v>4761</v>
      </c>
      <c r="M332" s="27" t="s">
        <v>4762</v>
      </c>
      <c r="N332" s="27" t="s">
        <v>4763</v>
      </c>
      <c r="O332" s="27" t="s">
        <v>4764</v>
      </c>
      <c r="R332" s="27"/>
      <c r="S332" s="27">
        <v>1900004134</v>
      </c>
      <c r="T332" s="27">
        <v>1900010045</v>
      </c>
      <c r="U332" s="27">
        <v>1900011388</v>
      </c>
      <c r="V332" s="27">
        <v>1900013059</v>
      </c>
      <c r="W332" s="27">
        <v>1900019171</v>
      </c>
      <c r="X332" s="27">
        <v>1900023092</v>
      </c>
      <c r="Y332" s="27">
        <v>1900029213</v>
      </c>
      <c r="Z332" s="27">
        <v>1900030175</v>
      </c>
      <c r="AA332" s="27">
        <v>1900032100</v>
      </c>
      <c r="AE332" s="52" t="s">
        <v>201</v>
      </c>
      <c r="AF332" s="52" t="s">
        <v>532</v>
      </c>
      <c r="AG332" s="52" t="s">
        <v>182</v>
      </c>
      <c r="AH332" s="52" t="s">
        <v>677</v>
      </c>
      <c r="AI332" s="52" t="s">
        <v>705</v>
      </c>
      <c r="AJ332" s="52" t="s">
        <v>899</v>
      </c>
      <c r="AK332" s="52" t="s">
        <v>533</v>
      </c>
      <c r="AL332" s="52" t="s">
        <v>184</v>
      </c>
      <c r="AM332" s="52" t="s">
        <v>732</v>
      </c>
      <c r="AQ332" s="62" t="s">
        <v>186</v>
      </c>
      <c r="AR332" s="63" t="s">
        <v>186</v>
      </c>
      <c r="AS332" s="63" t="s">
        <v>187</v>
      </c>
      <c r="AT332" s="63" t="s">
        <v>186</v>
      </c>
      <c r="AU332" s="63" t="s">
        <v>187</v>
      </c>
      <c r="AV332" s="63" t="s">
        <v>186</v>
      </c>
      <c r="AW332" s="63" t="s">
        <v>186</v>
      </c>
      <c r="AX332" s="63" t="s">
        <v>187</v>
      </c>
      <c r="AY332" s="63" t="s">
        <v>186</v>
      </c>
      <c r="BC332" s="28">
        <v>82117415625</v>
      </c>
      <c r="BD332" s="28">
        <v>88225206040</v>
      </c>
      <c r="BE332" s="28">
        <v>82272827956</v>
      </c>
      <c r="BF332" s="28">
        <v>82223401991</v>
      </c>
      <c r="BG332" s="28">
        <v>89651658172</v>
      </c>
      <c r="BH332" s="28" t="s">
        <v>4765</v>
      </c>
      <c r="BI332" s="28">
        <v>85230755745</v>
      </c>
      <c r="BJ332" s="28">
        <v>82146770687</v>
      </c>
      <c r="BK332" s="28">
        <v>89510700122</v>
      </c>
      <c r="BO332" s="39">
        <v>60191213</v>
      </c>
      <c r="BP332" s="18" t="s">
        <v>4766</v>
      </c>
      <c r="BQ332" s="37">
        <v>44957</v>
      </c>
      <c r="BR332" s="8">
        <f t="shared" si="1"/>
        <v>9</v>
      </c>
    </row>
    <row r="333" spans="1:70" ht="15.5">
      <c r="A333" s="4" t="str">
        <v>Reguler Periode ke-101 XIX.C.3</v>
      </c>
      <c r="B333" s="4" t="s">
        <v>2073</v>
      </c>
      <c r="C333" s="38" t="s">
        <v>4767</v>
      </c>
      <c r="D333" s="4" t="s">
        <v>4741</v>
      </c>
      <c r="E333" s="4" t="s">
        <v>4768</v>
      </c>
      <c r="F333" s="4" t="s">
        <v>4039</v>
      </c>
      <c r="G333" s="27" t="s">
        <v>4769</v>
      </c>
      <c r="H333" s="27" t="s">
        <v>4770</v>
      </c>
      <c r="I333" s="27" t="s">
        <v>4771</v>
      </c>
      <c r="J333" s="27" t="s">
        <v>4772</v>
      </c>
      <c r="K333" s="27" t="s">
        <v>4773</v>
      </c>
      <c r="L333" s="27" t="s">
        <v>4774</v>
      </c>
      <c r="M333" s="27" t="s">
        <v>4775</v>
      </c>
      <c r="N333" s="27" t="s">
        <v>4776</v>
      </c>
      <c r="O333" s="27" t="s">
        <v>4777</v>
      </c>
      <c r="R333" s="27"/>
      <c r="S333" s="27">
        <v>1900004105</v>
      </c>
      <c r="T333" s="27">
        <v>1900010098</v>
      </c>
      <c r="U333" s="27">
        <v>1900011184</v>
      </c>
      <c r="V333" s="27">
        <v>1900013274</v>
      </c>
      <c r="W333" s="27">
        <v>1900019178</v>
      </c>
      <c r="X333" s="27">
        <v>1900023090</v>
      </c>
      <c r="Y333" s="27">
        <v>1900029254</v>
      </c>
      <c r="Z333" s="27">
        <v>1900030083</v>
      </c>
      <c r="AA333" s="27">
        <v>1900032051</v>
      </c>
      <c r="AE333" s="52" t="s">
        <v>201</v>
      </c>
      <c r="AF333" s="52" t="s">
        <v>532</v>
      </c>
      <c r="AG333" s="52" t="s">
        <v>182</v>
      </c>
      <c r="AH333" s="52" t="s">
        <v>677</v>
      </c>
      <c r="AI333" s="52" t="s">
        <v>705</v>
      </c>
      <c r="AJ333" s="52" t="s">
        <v>899</v>
      </c>
      <c r="AK333" s="52" t="s">
        <v>533</v>
      </c>
      <c r="AL333" s="52" t="s">
        <v>184</v>
      </c>
      <c r="AM333" s="52" t="s">
        <v>732</v>
      </c>
      <c r="AQ333" s="62" t="s">
        <v>186</v>
      </c>
      <c r="AR333" s="63" t="s">
        <v>186</v>
      </c>
      <c r="AS333" s="63" t="s">
        <v>187</v>
      </c>
      <c r="AT333" s="63" t="s">
        <v>186</v>
      </c>
      <c r="AU333" s="63" t="s">
        <v>187</v>
      </c>
      <c r="AV333" s="63" t="s">
        <v>186</v>
      </c>
      <c r="AW333" s="63" t="s">
        <v>186</v>
      </c>
      <c r="AX333" s="63" t="s">
        <v>187</v>
      </c>
      <c r="AY333" s="63" t="s">
        <v>186</v>
      </c>
      <c r="BC333" s="28">
        <v>85225759707</v>
      </c>
      <c r="BD333" s="28">
        <v>85783095668</v>
      </c>
      <c r="BE333" s="28">
        <v>82165120151</v>
      </c>
      <c r="BF333" s="28">
        <v>82115141622</v>
      </c>
      <c r="BG333" s="28">
        <v>8990228266</v>
      </c>
      <c r="BH333" s="28">
        <v>85738220483</v>
      </c>
      <c r="BI333" s="28">
        <v>8568122672</v>
      </c>
      <c r="BJ333" s="28">
        <v>82186129578</v>
      </c>
      <c r="BK333" s="28">
        <v>88224297964</v>
      </c>
      <c r="BO333" s="39">
        <v>60191213</v>
      </c>
      <c r="BP333" s="18" t="s">
        <v>4778</v>
      </c>
      <c r="BQ333" s="37">
        <v>44957</v>
      </c>
      <c r="BR333" s="8">
        <f t="shared" si="1"/>
        <v>9</v>
      </c>
    </row>
    <row r="334" spans="1:70" ht="15.5">
      <c r="A334" s="4" t="str">
        <v>Reguler Periode ke-101 XIX.D.1</v>
      </c>
      <c r="B334" s="4" t="s">
        <v>2073</v>
      </c>
      <c r="C334" s="38" t="s">
        <v>4779</v>
      </c>
      <c r="D334" s="4" t="s">
        <v>4780</v>
      </c>
      <c r="E334" s="4" t="s">
        <v>4781</v>
      </c>
      <c r="F334" s="4" t="s">
        <v>4039</v>
      </c>
      <c r="G334" s="27" t="s">
        <v>4782</v>
      </c>
      <c r="H334" s="27" t="s">
        <v>4783</v>
      </c>
      <c r="I334" s="27" t="s">
        <v>4784</v>
      </c>
      <c r="J334" s="27" t="s">
        <v>4785</v>
      </c>
      <c r="K334" s="27" t="s">
        <v>4786</v>
      </c>
      <c r="L334" s="27" t="s">
        <v>4787</v>
      </c>
      <c r="M334" s="27" t="s">
        <v>4788</v>
      </c>
      <c r="N334" s="27" t="s">
        <v>4789</v>
      </c>
      <c r="O334" s="27" t="s">
        <v>4790</v>
      </c>
      <c r="R334" s="27"/>
      <c r="S334" s="27">
        <v>1900004179</v>
      </c>
      <c r="T334" s="27">
        <v>1900010207</v>
      </c>
      <c r="U334" s="27">
        <v>1900011329</v>
      </c>
      <c r="V334" s="27">
        <v>1900013303</v>
      </c>
      <c r="W334" s="27">
        <v>1900019128</v>
      </c>
      <c r="X334" s="27">
        <v>1900023141</v>
      </c>
      <c r="Y334" s="27">
        <v>1900029048</v>
      </c>
      <c r="Z334" s="27">
        <v>1900030021</v>
      </c>
      <c r="AA334" s="27">
        <v>1900032034</v>
      </c>
      <c r="AE334" s="27" t="s">
        <v>201</v>
      </c>
      <c r="AF334" s="27" t="s">
        <v>532</v>
      </c>
      <c r="AG334" s="27" t="s">
        <v>182</v>
      </c>
      <c r="AH334" s="27" t="s">
        <v>677</v>
      </c>
      <c r="AI334" s="27" t="s">
        <v>705</v>
      </c>
      <c r="AJ334" s="27" t="s">
        <v>899</v>
      </c>
      <c r="AK334" s="27" t="s">
        <v>533</v>
      </c>
      <c r="AL334" s="27" t="s">
        <v>184</v>
      </c>
      <c r="AM334" s="27" t="s">
        <v>732</v>
      </c>
      <c r="AQ334" s="60" t="s">
        <v>186</v>
      </c>
      <c r="AR334" s="61" t="s">
        <v>186</v>
      </c>
      <c r="AS334" s="61" t="s">
        <v>187</v>
      </c>
      <c r="AT334" s="61" t="s">
        <v>186</v>
      </c>
      <c r="AU334" s="61" t="s">
        <v>187</v>
      </c>
      <c r="AV334" s="61" t="s">
        <v>186</v>
      </c>
      <c r="AW334" s="61" t="s">
        <v>186</v>
      </c>
      <c r="AX334" s="61" t="s">
        <v>187</v>
      </c>
      <c r="AY334" s="61" t="s">
        <v>186</v>
      </c>
      <c r="BC334" s="28">
        <v>87786135871</v>
      </c>
      <c r="BD334" s="28">
        <v>81246212455</v>
      </c>
      <c r="BE334" s="28">
        <v>87887990995</v>
      </c>
      <c r="BF334" s="28">
        <v>85747390495</v>
      </c>
      <c r="BG334" s="28">
        <v>81804535056</v>
      </c>
      <c r="BH334" s="28">
        <v>82243522236</v>
      </c>
      <c r="BI334" s="28">
        <v>82289277762</v>
      </c>
      <c r="BJ334" s="28">
        <v>82380778716</v>
      </c>
      <c r="BK334" s="28"/>
      <c r="BO334" s="39">
        <v>60191231</v>
      </c>
      <c r="BP334" s="18" t="s">
        <v>4791</v>
      </c>
      <c r="BQ334" s="37">
        <v>44957</v>
      </c>
      <c r="BR334" s="8">
        <f t="shared" si="1"/>
        <v>9</v>
      </c>
    </row>
    <row r="335" spans="1:70" ht="15.5">
      <c r="A335" s="4" t="str">
        <v>Reguler Periode ke-101 XIX.D.2</v>
      </c>
      <c r="B335" s="4" t="s">
        <v>2073</v>
      </c>
      <c r="C335" s="38" t="s">
        <v>4792</v>
      </c>
      <c r="D335" s="4" t="s">
        <v>4780</v>
      </c>
      <c r="E335" s="4" t="s">
        <v>4793</v>
      </c>
      <c r="F335" s="4" t="s">
        <v>4039</v>
      </c>
      <c r="G335" s="27" t="s">
        <v>4794</v>
      </c>
      <c r="H335" s="27" t="s">
        <v>4795</v>
      </c>
      <c r="I335" s="27" t="s">
        <v>4796</v>
      </c>
      <c r="J335" s="27" t="s">
        <v>4797</v>
      </c>
      <c r="K335" s="27" t="s">
        <v>4798</v>
      </c>
      <c r="L335" s="27" t="s">
        <v>4799</v>
      </c>
      <c r="M335" s="27" t="s">
        <v>4800</v>
      </c>
      <c r="N335" s="27" t="s">
        <v>4801</v>
      </c>
      <c r="O335" s="27" t="s">
        <v>4802</v>
      </c>
      <c r="S335" s="27">
        <v>1900004093</v>
      </c>
      <c r="T335" s="27">
        <v>1900010057</v>
      </c>
      <c r="U335" s="27">
        <v>1900011256</v>
      </c>
      <c r="V335" s="27">
        <v>1900013235</v>
      </c>
      <c r="W335" s="27">
        <v>1900019139</v>
      </c>
      <c r="X335" s="27">
        <v>1900023226</v>
      </c>
      <c r="Y335" s="27">
        <v>1900029159</v>
      </c>
      <c r="Z335" s="27">
        <v>1900030238</v>
      </c>
      <c r="AA335" s="27">
        <v>1900032217</v>
      </c>
      <c r="AE335" s="27" t="s">
        <v>201</v>
      </c>
      <c r="AF335" s="27" t="s">
        <v>532</v>
      </c>
      <c r="AG335" s="27" t="s">
        <v>182</v>
      </c>
      <c r="AH335" s="27" t="s">
        <v>677</v>
      </c>
      <c r="AI335" s="27" t="s">
        <v>705</v>
      </c>
      <c r="AJ335" s="27" t="s">
        <v>899</v>
      </c>
      <c r="AK335" s="27" t="s">
        <v>533</v>
      </c>
      <c r="AL335" s="27" t="s">
        <v>184</v>
      </c>
      <c r="AM335" s="27" t="s">
        <v>732</v>
      </c>
      <c r="AQ335" s="60" t="s">
        <v>186</v>
      </c>
      <c r="AR335" s="61" t="s">
        <v>186</v>
      </c>
      <c r="AS335" s="61" t="s">
        <v>187</v>
      </c>
      <c r="AT335" s="61" t="s">
        <v>186</v>
      </c>
      <c r="AU335" s="61" t="s">
        <v>187</v>
      </c>
      <c r="AV335" s="61" t="s">
        <v>186</v>
      </c>
      <c r="AW335" s="61" t="s">
        <v>186</v>
      </c>
      <c r="AX335" s="61" t="s">
        <v>187</v>
      </c>
      <c r="AY335" s="61" t="s">
        <v>186</v>
      </c>
      <c r="BC335" s="28">
        <v>88806915768</v>
      </c>
      <c r="BD335" s="28">
        <v>81246984280</v>
      </c>
      <c r="BE335" s="28">
        <v>85730676923</v>
      </c>
      <c r="BF335" s="28">
        <v>82213116659</v>
      </c>
      <c r="BG335" s="28">
        <v>89618666192</v>
      </c>
      <c r="BH335" s="28">
        <v>85314726071</v>
      </c>
      <c r="BI335" s="28">
        <v>81351823884</v>
      </c>
      <c r="BJ335" s="28">
        <v>8975137073</v>
      </c>
      <c r="BK335" s="28">
        <v>85523888941</v>
      </c>
      <c r="BO335" s="39">
        <v>60191231</v>
      </c>
      <c r="BP335" s="18" t="s">
        <v>4803</v>
      </c>
      <c r="BQ335" s="37">
        <v>44957</v>
      </c>
      <c r="BR335" s="8">
        <f t="shared" si="1"/>
        <v>9</v>
      </c>
    </row>
    <row r="336" spans="1:70" ht="15.5">
      <c r="A336" s="4" t="str">
        <v>Reguler Periode ke-101 XIX.D.3</v>
      </c>
      <c r="B336" s="4" t="s">
        <v>2073</v>
      </c>
      <c r="C336" s="38" t="s">
        <v>4804</v>
      </c>
      <c r="D336" s="4" t="s">
        <v>4780</v>
      </c>
      <c r="E336" s="4" t="s">
        <v>4805</v>
      </c>
      <c r="F336" s="4" t="s">
        <v>4039</v>
      </c>
      <c r="G336" s="27" t="s">
        <v>4806</v>
      </c>
      <c r="H336" s="27" t="s">
        <v>4807</v>
      </c>
      <c r="I336" s="27" t="s">
        <v>4808</v>
      </c>
      <c r="J336" s="27" t="s">
        <v>4809</v>
      </c>
      <c r="K336" s="27" t="s">
        <v>4810</v>
      </c>
      <c r="L336" s="27" t="s">
        <v>4811</v>
      </c>
      <c r="M336" s="27" t="s">
        <v>4812</v>
      </c>
      <c r="N336" s="27" t="s">
        <v>4813</v>
      </c>
      <c r="O336" s="27" t="s">
        <v>4814</v>
      </c>
      <c r="S336" s="27">
        <v>1800010013</v>
      </c>
      <c r="T336" s="27">
        <v>1900004126</v>
      </c>
      <c r="U336" s="27">
        <v>1900011075</v>
      </c>
      <c r="V336" s="27">
        <v>1900013175</v>
      </c>
      <c r="W336" s="27">
        <v>1900019137</v>
      </c>
      <c r="X336" s="27">
        <v>1900023146</v>
      </c>
      <c r="Y336" s="27">
        <v>1900029108</v>
      </c>
      <c r="Z336" s="27">
        <v>1900030325</v>
      </c>
      <c r="AA336" s="27">
        <v>1900032001</v>
      </c>
      <c r="AE336" s="27" t="s">
        <v>532</v>
      </c>
      <c r="AF336" s="27" t="s">
        <v>201</v>
      </c>
      <c r="AG336" s="27" t="s">
        <v>182</v>
      </c>
      <c r="AH336" s="27" t="s">
        <v>677</v>
      </c>
      <c r="AI336" s="27" t="s">
        <v>705</v>
      </c>
      <c r="AJ336" s="27" t="s">
        <v>899</v>
      </c>
      <c r="AK336" s="27" t="s">
        <v>533</v>
      </c>
      <c r="AL336" s="27" t="s">
        <v>184</v>
      </c>
      <c r="AM336" s="27" t="s">
        <v>732</v>
      </c>
      <c r="AQ336" s="60" t="s">
        <v>186</v>
      </c>
      <c r="AR336" s="61" t="s">
        <v>186</v>
      </c>
      <c r="AS336" s="61" t="s">
        <v>187</v>
      </c>
      <c r="AT336" s="61" t="s">
        <v>186</v>
      </c>
      <c r="AU336" s="61" t="s">
        <v>187</v>
      </c>
      <c r="AV336" s="61" t="s">
        <v>186</v>
      </c>
      <c r="AW336" s="61" t="s">
        <v>186</v>
      </c>
      <c r="AX336" s="61" t="s">
        <v>187</v>
      </c>
      <c r="AY336" s="61" t="s">
        <v>186</v>
      </c>
      <c r="BC336" s="28">
        <v>87842958733</v>
      </c>
      <c r="BD336" s="28">
        <v>89635778501</v>
      </c>
      <c r="BE336" s="28">
        <v>81232231543</v>
      </c>
      <c r="BF336" s="28">
        <v>895704094087</v>
      </c>
      <c r="BG336" s="28">
        <v>82265060934</v>
      </c>
      <c r="BH336" s="28">
        <v>81391305128</v>
      </c>
      <c r="BI336" s="28">
        <v>82242272786</v>
      </c>
      <c r="BJ336" s="28">
        <v>82285800149</v>
      </c>
      <c r="BK336" s="28">
        <v>87816313023</v>
      </c>
      <c r="BO336" s="39">
        <v>60191231</v>
      </c>
      <c r="BP336" s="18" t="s">
        <v>4815</v>
      </c>
      <c r="BQ336" s="37">
        <v>44957</v>
      </c>
      <c r="BR336" s="8">
        <f t="shared" si="1"/>
        <v>9</v>
      </c>
    </row>
    <row r="337" spans="1:70" ht="15.5">
      <c r="A337" s="4" t="str">
        <v>Reguler Periode ke-101 XX.A.1</v>
      </c>
      <c r="B337" s="4" t="s">
        <v>2073</v>
      </c>
      <c r="C337" s="38" t="s">
        <v>4816</v>
      </c>
      <c r="D337" s="4" t="s">
        <v>282</v>
      </c>
      <c r="E337" s="4" t="s">
        <v>4817</v>
      </c>
      <c r="F337" s="4" t="s">
        <v>4039</v>
      </c>
      <c r="G337" s="27" t="s">
        <v>4818</v>
      </c>
      <c r="H337" s="27" t="s">
        <v>4819</v>
      </c>
      <c r="I337" s="27" t="s">
        <v>4820</v>
      </c>
      <c r="J337" s="27" t="s">
        <v>4821</v>
      </c>
      <c r="K337" s="27" t="s">
        <v>4822</v>
      </c>
      <c r="L337" s="27" t="s">
        <v>4823</v>
      </c>
      <c r="M337" s="27" t="s">
        <v>4824</v>
      </c>
      <c r="N337" s="27" t="s">
        <v>4825</v>
      </c>
      <c r="O337" s="27" t="s">
        <v>4826</v>
      </c>
      <c r="S337" s="27">
        <v>1900004107</v>
      </c>
      <c r="T337" s="27">
        <v>1900010213</v>
      </c>
      <c r="U337" s="27">
        <v>1900011205</v>
      </c>
      <c r="V337" s="27">
        <v>1900013149</v>
      </c>
      <c r="W337" s="27">
        <v>1900019143</v>
      </c>
      <c r="X337" s="27">
        <v>1900023254</v>
      </c>
      <c r="Y337" s="27">
        <v>1900029027</v>
      </c>
      <c r="Z337" s="27">
        <v>1900030398</v>
      </c>
      <c r="AA337" s="27">
        <v>1900032075</v>
      </c>
      <c r="AE337" s="27" t="s">
        <v>201</v>
      </c>
      <c r="AF337" s="27" t="s">
        <v>532</v>
      </c>
      <c r="AG337" s="27" t="s">
        <v>182</v>
      </c>
      <c r="AH337" s="27" t="s">
        <v>677</v>
      </c>
      <c r="AI337" s="27" t="s">
        <v>705</v>
      </c>
      <c r="AJ337" s="27" t="s">
        <v>899</v>
      </c>
      <c r="AK337" s="27" t="s">
        <v>533</v>
      </c>
      <c r="AL337" s="27" t="s">
        <v>184</v>
      </c>
      <c r="AM337" s="27" t="s">
        <v>732</v>
      </c>
      <c r="AQ337" s="60" t="s">
        <v>186</v>
      </c>
      <c r="AR337" s="61" t="s">
        <v>186</v>
      </c>
      <c r="AS337" s="61" t="s">
        <v>187</v>
      </c>
      <c r="AT337" s="61" t="s">
        <v>186</v>
      </c>
      <c r="AU337" s="61" t="s">
        <v>187</v>
      </c>
      <c r="AV337" s="61" t="s">
        <v>186</v>
      </c>
      <c r="AW337" s="61" t="s">
        <v>186</v>
      </c>
      <c r="AX337" s="61" t="s">
        <v>187</v>
      </c>
      <c r="AY337" s="61" t="s">
        <v>186</v>
      </c>
      <c r="BC337" s="28">
        <v>85848650121</v>
      </c>
      <c r="BD337" s="28">
        <v>81996423691</v>
      </c>
      <c r="BE337" s="28">
        <v>85337006739</v>
      </c>
      <c r="BF337" s="28">
        <v>82334516857</v>
      </c>
      <c r="BG337" s="28">
        <v>82265021435</v>
      </c>
      <c r="BH337" s="28">
        <v>89525925451</v>
      </c>
      <c r="BI337" s="28">
        <v>81251453756</v>
      </c>
      <c r="BJ337" s="28">
        <v>85780996104</v>
      </c>
      <c r="BK337" s="28">
        <v>85600436400</v>
      </c>
      <c r="BO337" s="39">
        <v>60110622</v>
      </c>
      <c r="BP337" s="18" t="s">
        <v>4827</v>
      </c>
      <c r="BQ337" s="37">
        <v>44957</v>
      </c>
      <c r="BR337" s="8">
        <f t="shared" si="1"/>
        <v>9</v>
      </c>
    </row>
    <row r="338" spans="1:70" ht="15.5">
      <c r="A338" s="4" t="str">
        <v>Reguler Periode ke-101 XX.A.2</v>
      </c>
      <c r="B338" s="4" t="s">
        <v>2073</v>
      </c>
      <c r="C338" s="38" t="s">
        <v>4828</v>
      </c>
      <c r="D338" s="4" t="s">
        <v>282</v>
      </c>
      <c r="E338" s="4" t="s">
        <v>4829</v>
      </c>
      <c r="F338" s="4" t="s">
        <v>4039</v>
      </c>
      <c r="G338" s="27" t="s">
        <v>4830</v>
      </c>
      <c r="H338" s="27" t="s">
        <v>4831</v>
      </c>
      <c r="I338" s="27" t="s">
        <v>4832</v>
      </c>
      <c r="J338" s="27" t="s">
        <v>4833</v>
      </c>
      <c r="K338" s="27" t="s">
        <v>4834</v>
      </c>
      <c r="L338" s="27" t="s">
        <v>4835</v>
      </c>
      <c r="M338" s="27" t="s">
        <v>4836</v>
      </c>
      <c r="N338" s="27" t="s">
        <v>4837</v>
      </c>
      <c r="O338" s="27" t="s">
        <v>4838</v>
      </c>
      <c r="S338" s="27">
        <v>1800011288</v>
      </c>
      <c r="T338" s="27">
        <v>1900005075</v>
      </c>
      <c r="U338" s="27">
        <v>1900010287</v>
      </c>
      <c r="V338" s="27">
        <v>1900013386</v>
      </c>
      <c r="W338" s="27">
        <v>1900019075</v>
      </c>
      <c r="X338" s="27">
        <v>1900023131</v>
      </c>
      <c r="Y338" s="27">
        <v>1900029270</v>
      </c>
      <c r="Z338" s="27">
        <v>1900030309</v>
      </c>
      <c r="AA338" s="27">
        <v>1900032031</v>
      </c>
      <c r="AE338" s="27" t="s">
        <v>182</v>
      </c>
      <c r="AF338" s="27" t="s">
        <v>181</v>
      </c>
      <c r="AG338" s="27" t="s">
        <v>532</v>
      </c>
      <c r="AH338" s="27" t="s">
        <v>677</v>
      </c>
      <c r="AI338" s="27" t="s">
        <v>705</v>
      </c>
      <c r="AJ338" s="27" t="s">
        <v>899</v>
      </c>
      <c r="AK338" s="27" t="s">
        <v>533</v>
      </c>
      <c r="AL338" s="27" t="s">
        <v>184</v>
      </c>
      <c r="AM338" s="27" t="s">
        <v>732</v>
      </c>
      <c r="AQ338" s="60" t="s">
        <v>187</v>
      </c>
      <c r="AR338" s="61" t="s">
        <v>186</v>
      </c>
      <c r="AS338" s="61" t="s">
        <v>186</v>
      </c>
      <c r="AT338" s="61" t="s">
        <v>186</v>
      </c>
      <c r="AU338" s="61" t="s">
        <v>187</v>
      </c>
      <c r="AV338" s="61" t="s">
        <v>186</v>
      </c>
      <c r="AW338" s="61" t="s">
        <v>186</v>
      </c>
      <c r="AX338" s="61" t="s">
        <v>187</v>
      </c>
      <c r="AY338" s="61" t="s">
        <v>186</v>
      </c>
      <c r="BC338" s="28">
        <v>81325461152</v>
      </c>
      <c r="BD338" s="28">
        <v>81929792369</v>
      </c>
      <c r="BE338" s="28">
        <v>81944917152</v>
      </c>
      <c r="BF338" s="28">
        <v>89619365646</v>
      </c>
      <c r="BG338" s="28">
        <v>811452112</v>
      </c>
      <c r="BH338" s="28">
        <v>82250815561</v>
      </c>
      <c r="BI338" s="28">
        <v>895606406572</v>
      </c>
      <c r="BJ338" s="28">
        <v>89662299795</v>
      </c>
      <c r="BK338" s="28">
        <v>85641013974</v>
      </c>
      <c r="BO338" s="39">
        <v>60110622</v>
      </c>
      <c r="BP338" s="18" t="s">
        <v>4839</v>
      </c>
      <c r="BQ338" s="37">
        <v>44957</v>
      </c>
      <c r="BR338" s="8">
        <f t="shared" si="1"/>
        <v>9</v>
      </c>
    </row>
    <row r="339" spans="1:70" ht="15.5">
      <c r="A339" s="4" t="str">
        <v>Reguler Periode ke-101 XX.A.3</v>
      </c>
      <c r="B339" s="4" t="s">
        <v>2073</v>
      </c>
      <c r="C339" s="38" t="s">
        <v>4840</v>
      </c>
      <c r="D339" s="4" t="s">
        <v>282</v>
      </c>
      <c r="E339" s="4" t="s">
        <v>4841</v>
      </c>
      <c r="F339" s="4" t="s">
        <v>4039</v>
      </c>
      <c r="G339" s="27" t="s">
        <v>4842</v>
      </c>
      <c r="H339" s="27" t="s">
        <v>4843</v>
      </c>
      <c r="I339" s="27" t="s">
        <v>4844</v>
      </c>
      <c r="J339" s="27" t="s">
        <v>4845</v>
      </c>
      <c r="K339" s="27" t="s">
        <v>4846</v>
      </c>
      <c r="L339" s="27" t="s">
        <v>4847</v>
      </c>
      <c r="M339" s="27" t="s">
        <v>4848</v>
      </c>
      <c r="N339" s="27" t="s">
        <v>4849</v>
      </c>
      <c r="O339" s="27" t="s">
        <v>1462</v>
      </c>
      <c r="S339" s="27">
        <v>1700011325</v>
      </c>
      <c r="T339" s="27">
        <v>1700030163</v>
      </c>
      <c r="U339" s="27">
        <v>1900005089</v>
      </c>
      <c r="V339" s="27">
        <v>1900010165</v>
      </c>
      <c r="W339" s="27">
        <v>1900013176</v>
      </c>
      <c r="X339" s="27">
        <v>1900019158</v>
      </c>
      <c r="Y339" s="27">
        <v>1900023128</v>
      </c>
      <c r="Z339" s="27">
        <v>1900029307</v>
      </c>
      <c r="AA339" s="27">
        <v>1900032178</v>
      </c>
      <c r="AE339" s="27" t="s">
        <v>182</v>
      </c>
      <c r="AF339" s="27" t="s">
        <v>184</v>
      </c>
      <c r="AG339" s="27" t="s">
        <v>181</v>
      </c>
      <c r="AH339" s="27" t="s">
        <v>532</v>
      </c>
      <c r="AI339" s="27" t="s">
        <v>677</v>
      </c>
      <c r="AJ339" s="27" t="s">
        <v>705</v>
      </c>
      <c r="AK339" s="27" t="s">
        <v>899</v>
      </c>
      <c r="AL339" s="27" t="s">
        <v>533</v>
      </c>
      <c r="AM339" s="27" t="s">
        <v>732</v>
      </c>
      <c r="AQ339" s="60" t="s">
        <v>187</v>
      </c>
      <c r="AR339" s="61" t="s">
        <v>187</v>
      </c>
      <c r="AS339" s="61" t="s">
        <v>186</v>
      </c>
      <c r="AT339" s="61" t="s">
        <v>186</v>
      </c>
      <c r="AU339" s="61" t="s">
        <v>186</v>
      </c>
      <c r="AV339" s="61" t="s">
        <v>187</v>
      </c>
      <c r="AW339" s="61" t="s">
        <v>186</v>
      </c>
      <c r="AX339" s="61" t="s">
        <v>186</v>
      </c>
      <c r="AY339" s="61" t="s">
        <v>186</v>
      </c>
      <c r="BC339" s="28">
        <v>83134903199</v>
      </c>
      <c r="BD339" s="28">
        <v>81329581954</v>
      </c>
      <c r="BE339" s="28">
        <v>82176484010</v>
      </c>
      <c r="BF339" s="28">
        <v>81325396328</v>
      </c>
      <c r="BG339" s="28">
        <v>81818968322</v>
      </c>
      <c r="BH339" s="28">
        <v>82281508784</v>
      </c>
      <c r="BI339" s="28">
        <v>87838555318</v>
      </c>
      <c r="BJ339" s="28">
        <v>82265009285</v>
      </c>
      <c r="BK339" s="28">
        <v>81808310631</v>
      </c>
      <c r="BO339" s="39">
        <v>60110622</v>
      </c>
      <c r="BP339" s="18" t="s">
        <v>4850</v>
      </c>
      <c r="BQ339" s="37">
        <v>44957</v>
      </c>
      <c r="BR339" s="8">
        <f t="shared" si="1"/>
        <v>9</v>
      </c>
    </row>
    <row r="340" spans="1:70" ht="15.5">
      <c r="A340" s="4" t="str">
        <v>Reguler Periode ke-101 XX.B.1</v>
      </c>
      <c r="B340" s="4" t="s">
        <v>2073</v>
      </c>
      <c r="C340" s="38" t="s">
        <v>4851</v>
      </c>
      <c r="D340" s="4" t="s">
        <v>4852</v>
      </c>
      <c r="E340" s="4" t="s">
        <v>4853</v>
      </c>
      <c r="F340" s="4" t="s">
        <v>4039</v>
      </c>
      <c r="G340" s="27" t="s">
        <v>4854</v>
      </c>
      <c r="H340" s="27" t="s">
        <v>4855</v>
      </c>
      <c r="I340" s="27" t="s">
        <v>4856</v>
      </c>
      <c r="J340" s="27" t="s">
        <v>4857</v>
      </c>
      <c r="K340" s="27" t="s">
        <v>4858</v>
      </c>
      <c r="L340" s="27" t="s">
        <v>4859</v>
      </c>
      <c r="M340" s="27" t="s">
        <v>4860</v>
      </c>
      <c r="N340" s="27" t="s">
        <v>4861</v>
      </c>
      <c r="O340" s="27" t="s">
        <v>4862</v>
      </c>
      <c r="S340" s="27">
        <v>1800010210</v>
      </c>
      <c r="T340" s="27">
        <v>1900005374</v>
      </c>
      <c r="U340" s="27">
        <v>1900011017</v>
      </c>
      <c r="V340" s="27">
        <v>1900013294</v>
      </c>
      <c r="W340" s="27">
        <v>1900019062</v>
      </c>
      <c r="X340" s="27">
        <v>1900023284</v>
      </c>
      <c r="Y340" s="27">
        <v>1900029299</v>
      </c>
      <c r="Z340" s="27">
        <v>1900030008</v>
      </c>
      <c r="AA340" s="27">
        <v>1900032114</v>
      </c>
      <c r="AE340" s="27" t="s">
        <v>532</v>
      </c>
      <c r="AF340" s="27" t="s">
        <v>181</v>
      </c>
      <c r="AG340" s="27" t="s">
        <v>182</v>
      </c>
      <c r="AH340" s="27" t="s">
        <v>677</v>
      </c>
      <c r="AI340" s="27" t="s">
        <v>705</v>
      </c>
      <c r="AJ340" s="27" t="s">
        <v>899</v>
      </c>
      <c r="AK340" s="27" t="s">
        <v>533</v>
      </c>
      <c r="AL340" s="27" t="s">
        <v>184</v>
      </c>
      <c r="AM340" s="27" t="s">
        <v>732</v>
      </c>
      <c r="AQ340" s="60" t="s">
        <v>186</v>
      </c>
      <c r="AR340" s="61" t="s">
        <v>186</v>
      </c>
      <c r="AS340" s="61" t="s">
        <v>187</v>
      </c>
      <c r="AT340" s="61" t="s">
        <v>186</v>
      </c>
      <c r="AU340" s="61" t="s">
        <v>187</v>
      </c>
      <c r="AV340" s="61" t="s">
        <v>186</v>
      </c>
      <c r="AW340" s="61" t="s">
        <v>186</v>
      </c>
      <c r="AX340" s="61" t="s">
        <v>187</v>
      </c>
      <c r="AY340" s="61" t="s">
        <v>186</v>
      </c>
      <c r="BC340" s="28">
        <v>82328334919</v>
      </c>
      <c r="BD340" s="28">
        <v>81909883991</v>
      </c>
      <c r="BE340" s="28">
        <v>895402844030</v>
      </c>
      <c r="BF340" s="28">
        <v>85786794132</v>
      </c>
      <c r="BG340" s="28">
        <v>82246095795</v>
      </c>
      <c r="BH340" s="28">
        <v>81227683807</v>
      </c>
      <c r="BI340" s="28">
        <v>85713128219</v>
      </c>
      <c r="BJ340" s="28">
        <v>82172579205</v>
      </c>
      <c r="BK340" s="28">
        <v>85602060725</v>
      </c>
      <c r="BO340" s="39">
        <v>60010305</v>
      </c>
      <c r="BP340" s="18" t="s">
        <v>4863</v>
      </c>
      <c r="BQ340" s="37">
        <v>44957</v>
      </c>
      <c r="BR340" s="8">
        <f t="shared" si="1"/>
        <v>9</v>
      </c>
    </row>
    <row r="341" spans="1:70" ht="15.5">
      <c r="A341" s="4" t="str">
        <v>Reguler Periode ke-101 XX.B.2</v>
      </c>
      <c r="B341" s="4" t="s">
        <v>2073</v>
      </c>
      <c r="C341" s="38" t="s">
        <v>4864</v>
      </c>
      <c r="D341" s="4" t="s">
        <v>4852</v>
      </c>
      <c r="E341" s="4" t="s">
        <v>4865</v>
      </c>
      <c r="F341" s="4" t="s">
        <v>4039</v>
      </c>
      <c r="G341" s="27" t="s">
        <v>4866</v>
      </c>
      <c r="H341" s="27" t="s">
        <v>4867</v>
      </c>
      <c r="I341" s="27" t="s">
        <v>4868</v>
      </c>
      <c r="J341" s="27" t="s">
        <v>4869</v>
      </c>
      <c r="K341" s="27" t="s">
        <v>4870</v>
      </c>
      <c r="L341" s="27" t="s">
        <v>4871</v>
      </c>
      <c r="M341" s="27" t="s">
        <v>4872</v>
      </c>
      <c r="N341" s="27" t="s">
        <v>4873</v>
      </c>
      <c r="O341" s="27" t="s">
        <v>4874</v>
      </c>
      <c r="S341" s="27">
        <v>1900005120</v>
      </c>
      <c r="T341" s="27">
        <v>1900010162</v>
      </c>
      <c r="U341" s="27">
        <v>1900011068</v>
      </c>
      <c r="V341" s="27">
        <v>1900013202</v>
      </c>
      <c r="W341" s="27">
        <v>1900019064</v>
      </c>
      <c r="X341" s="27">
        <v>1900023269</v>
      </c>
      <c r="Y341" s="27">
        <v>1900029247</v>
      </c>
      <c r="Z341" s="27">
        <v>1900030240</v>
      </c>
      <c r="AA341" s="27">
        <v>1900032096</v>
      </c>
      <c r="AE341" s="27" t="s">
        <v>181</v>
      </c>
      <c r="AF341" s="27" t="s">
        <v>532</v>
      </c>
      <c r="AG341" s="27" t="s">
        <v>182</v>
      </c>
      <c r="AH341" s="27" t="s">
        <v>677</v>
      </c>
      <c r="AI341" s="27" t="s">
        <v>705</v>
      </c>
      <c r="AJ341" s="27" t="s">
        <v>899</v>
      </c>
      <c r="AK341" s="27" t="s">
        <v>533</v>
      </c>
      <c r="AL341" s="27" t="s">
        <v>184</v>
      </c>
      <c r="AM341" s="27" t="s">
        <v>732</v>
      </c>
      <c r="AQ341" s="60" t="s">
        <v>186</v>
      </c>
      <c r="AR341" s="61" t="s">
        <v>186</v>
      </c>
      <c r="AS341" s="61" t="s">
        <v>187</v>
      </c>
      <c r="AT341" s="61" t="s">
        <v>186</v>
      </c>
      <c r="AU341" s="61" t="s">
        <v>187</v>
      </c>
      <c r="AV341" s="61" t="s">
        <v>186</v>
      </c>
      <c r="AW341" s="61" t="s">
        <v>186</v>
      </c>
      <c r="AX341" s="61" t="s">
        <v>187</v>
      </c>
      <c r="AY341" s="61" t="s">
        <v>186</v>
      </c>
      <c r="BC341" s="28">
        <v>85158112900</v>
      </c>
      <c r="BD341" s="28">
        <f>6285876355521</f>
        <v>6285876355521</v>
      </c>
      <c r="BE341" s="28">
        <v>85254452690</v>
      </c>
      <c r="BF341" s="28">
        <v>82281532129</v>
      </c>
      <c r="BG341" s="28">
        <v>85867401521</v>
      </c>
      <c r="BH341" s="28">
        <v>82289104095</v>
      </c>
      <c r="BI341" s="28">
        <v>82320643318</v>
      </c>
      <c r="BJ341" s="28">
        <v>85728053573</v>
      </c>
      <c r="BK341" s="28">
        <v>82151781357</v>
      </c>
      <c r="BO341" s="39">
        <v>60010305</v>
      </c>
      <c r="BP341" s="18" t="s">
        <v>4875</v>
      </c>
      <c r="BQ341" s="37">
        <v>44957</v>
      </c>
      <c r="BR341" s="8">
        <f t="shared" si="1"/>
        <v>9</v>
      </c>
    </row>
    <row r="342" spans="1:70" ht="15.5">
      <c r="A342" s="4" t="str">
        <v>Reguler Periode ke-101 XX.B.3</v>
      </c>
      <c r="B342" s="4" t="s">
        <v>2073</v>
      </c>
      <c r="C342" s="38" t="s">
        <v>4876</v>
      </c>
      <c r="D342" s="4" t="s">
        <v>4852</v>
      </c>
      <c r="E342" s="4" t="s">
        <v>4877</v>
      </c>
      <c r="F342" s="4" t="s">
        <v>4039</v>
      </c>
      <c r="G342" s="27" t="s">
        <v>4878</v>
      </c>
      <c r="H342" s="27" t="s">
        <v>4879</v>
      </c>
      <c r="I342" s="27" t="s">
        <v>4880</v>
      </c>
      <c r="J342" s="27" t="s">
        <v>4881</v>
      </c>
      <c r="K342" s="27" t="s">
        <v>4882</v>
      </c>
      <c r="L342" s="27" t="s">
        <v>4883</v>
      </c>
      <c r="M342" s="27" t="s">
        <v>4884</v>
      </c>
      <c r="N342" s="27" t="s">
        <v>4885</v>
      </c>
      <c r="O342" s="27" t="s">
        <v>4886</v>
      </c>
      <c r="S342" s="27">
        <v>1700011339</v>
      </c>
      <c r="T342" s="27">
        <v>1900005375</v>
      </c>
      <c r="U342" s="27">
        <v>1900010157</v>
      </c>
      <c r="V342" s="27">
        <v>1900013020</v>
      </c>
      <c r="W342" s="27">
        <v>1900019169</v>
      </c>
      <c r="X342" s="27">
        <v>1900023069</v>
      </c>
      <c r="Y342" s="27">
        <v>1900029198</v>
      </c>
      <c r="Z342" s="27">
        <v>1900030072</v>
      </c>
      <c r="AA342" s="27">
        <v>1900032205</v>
      </c>
      <c r="AE342" s="27" t="s">
        <v>182</v>
      </c>
      <c r="AF342" s="27" t="s">
        <v>181</v>
      </c>
      <c r="AG342" s="27" t="s">
        <v>532</v>
      </c>
      <c r="AH342" s="27" t="s">
        <v>677</v>
      </c>
      <c r="AI342" s="27" t="s">
        <v>705</v>
      </c>
      <c r="AJ342" s="27" t="s">
        <v>899</v>
      </c>
      <c r="AK342" s="27" t="s">
        <v>533</v>
      </c>
      <c r="AL342" s="27" t="s">
        <v>184</v>
      </c>
      <c r="AM342" s="27" t="s">
        <v>732</v>
      </c>
      <c r="AQ342" s="60" t="s">
        <v>187</v>
      </c>
      <c r="AR342" s="61" t="s">
        <v>186</v>
      </c>
      <c r="AS342" s="61" t="s">
        <v>186</v>
      </c>
      <c r="AT342" s="61" t="s">
        <v>186</v>
      </c>
      <c r="AU342" s="61" t="s">
        <v>187</v>
      </c>
      <c r="AV342" s="61" t="s">
        <v>186</v>
      </c>
      <c r="AW342" s="61" t="s">
        <v>186</v>
      </c>
      <c r="AX342" s="61" t="s">
        <v>187</v>
      </c>
      <c r="AY342" s="61" t="s">
        <v>186</v>
      </c>
      <c r="BC342" s="28">
        <v>81390978711</v>
      </c>
      <c r="BD342" s="28">
        <v>81352642730</v>
      </c>
      <c r="BE342" s="28">
        <v>83129536900</v>
      </c>
      <c r="BF342" s="28">
        <v>87727932041</v>
      </c>
      <c r="BG342" s="28">
        <v>81225726848</v>
      </c>
      <c r="BH342" s="28">
        <v>82230858449</v>
      </c>
      <c r="BI342" s="28">
        <v>89616841082</v>
      </c>
      <c r="BJ342" s="28">
        <v>85352564718</v>
      </c>
      <c r="BK342" s="28">
        <v>82131760109</v>
      </c>
      <c r="BO342" s="39">
        <v>60010305</v>
      </c>
      <c r="BP342" s="18" t="s">
        <v>4887</v>
      </c>
      <c r="BQ342" s="37">
        <v>44957</v>
      </c>
      <c r="BR342" s="8">
        <f t="shared" si="1"/>
        <v>9</v>
      </c>
    </row>
    <row r="343" spans="1:70" ht="15.5">
      <c r="A343" s="4" t="str">
        <v>Reguler Periode ke-101 XX.C.1</v>
      </c>
      <c r="B343" s="4" t="s">
        <v>2073</v>
      </c>
      <c r="C343" s="38" t="s">
        <v>4888</v>
      </c>
      <c r="D343" s="4" t="s">
        <v>4889</v>
      </c>
      <c r="E343" s="4" t="s">
        <v>4890</v>
      </c>
      <c r="F343" s="4" t="s">
        <v>4039</v>
      </c>
      <c r="G343" s="27" t="s">
        <v>4891</v>
      </c>
      <c r="H343" s="27" t="s">
        <v>4892</v>
      </c>
      <c r="I343" s="27" t="s">
        <v>4893</v>
      </c>
      <c r="J343" s="27" t="s">
        <v>4894</v>
      </c>
      <c r="K343" s="27" t="s">
        <v>4895</v>
      </c>
      <c r="L343" s="27" t="s">
        <v>4896</v>
      </c>
      <c r="M343" s="27" t="s">
        <v>4897</v>
      </c>
      <c r="N343" s="27" t="s">
        <v>4898</v>
      </c>
      <c r="O343" s="27" t="s">
        <v>4899</v>
      </c>
      <c r="S343" s="27">
        <v>1700030247</v>
      </c>
      <c r="T343" s="27">
        <v>1900005250</v>
      </c>
      <c r="U343" s="27">
        <v>1900010141</v>
      </c>
      <c r="V343" s="27">
        <v>1900011287</v>
      </c>
      <c r="W343" s="27">
        <v>1900013062</v>
      </c>
      <c r="X343" s="27">
        <v>1900019030</v>
      </c>
      <c r="Y343" s="27">
        <v>1900023266</v>
      </c>
      <c r="Z343" s="27">
        <v>1900029050</v>
      </c>
      <c r="AA343" s="27">
        <v>1900032105</v>
      </c>
      <c r="AE343" s="27" t="s">
        <v>184</v>
      </c>
      <c r="AF343" s="27" t="s">
        <v>181</v>
      </c>
      <c r="AG343" s="27" t="s">
        <v>532</v>
      </c>
      <c r="AH343" s="27" t="s">
        <v>182</v>
      </c>
      <c r="AI343" s="27" t="s">
        <v>677</v>
      </c>
      <c r="AJ343" s="27" t="s">
        <v>705</v>
      </c>
      <c r="AK343" s="27" t="s">
        <v>899</v>
      </c>
      <c r="AL343" s="27" t="s">
        <v>533</v>
      </c>
      <c r="AM343" s="27" t="s">
        <v>732</v>
      </c>
      <c r="AQ343" s="60" t="s">
        <v>187</v>
      </c>
      <c r="AR343" s="61" t="s">
        <v>186</v>
      </c>
      <c r="AS343" s="61" t="s">
        <v>186</v>
      </c>
      <c r="AT343" s="61" t="s">
        <v>187</v>
      </c>
      <c r="AU343" s="61" t="s">
        <v>186</v>
      </c>
      <c r="AV343" s="61" t="s">
        <v>187</v>
      </c>
      <c r="AW343" s="61" t="s">
        <v>186</v>
      </c>
      <c r="AX343" s="61" t="s">
        <v>186</v>
      </c>
      <c r="AY343" s="61" t="s">
        <v>186</v>
      </c>
      <c r="BC343" s="28">
        <v>87736686917</v>
      </c>
      <c r="BD343" s="28">
        <v>87734190157</v>
      </c>
      <c r="BE343" s="28">
        <v>85647156910</v>
      </c>
      <c r="BF343" s="28">
        <v>82258492234</v>
      </c>
      <c r="BG343" s="28">
        <v>81212637703</v>
      </c>
      <c r="BH343" s="28">
        <v>85764283550</v>
      </c>
      <c r="BI343" s="28">
        <v>81333927181</v>
      </c>
      <c r="BJ343" s="28">
        <v>82334237366</v>
      </c>
      <c r="BK343" s="28">
        <v>85701100088</v>
      </c>
      <c r="BO343" s="39">
        <v>60171048</v>
      </c>
      <c r="BP343" s="18" t="s">
        <v>4900</v>
      </c>
      <c r="BQ343" s="37">
        <v>44957</v>
      </c>
      <c r="BR343" s="8">
        <f t="shared" si="1"/>
        <v>9</v>
      </c>
    </row>
    <row r="344" spans="1:70" ht="15.5">
      <c r="A344" s="4" t="str">
        <v>Reguler Periode ke-101 XX.C.2</v>
      </c>
      <c r="B344" s="4" t="s">
        <v>2073</v>
      </c>
      <c r="C344" s="38" t="s">
        <v>4901</v>
      </c>
      <c r="D344" s="4" t="s">
        <v>4889</v>
      </c>
      <c r="E344" s="4" t="s">
        <v>4902</v>
      </c>
      <c r="F344" s="4" t="s">
        <v>4039</v>
      </c>
      <c r="G344" s="27" t="s">
        <v>4903</v>
      </c>
      <c r="H344" s="27" t="s">
        <v>4904</v>
      </c>
      <c r="I344" s="27" t="s">
        <v>4905</v>
      </c>
      <c r="J344" s="27" t="s">
        <v>4906</v>
      </c>
      <c r="K344" s="27" t="s">
        <v>4907</v>
      </c>
      <c r="L344" s="27" t="s">
        <v>4908</v>
      </c>
      <c r="M344" s="27" t="s">
        <v>4909</v>
      </c>
      <c r="N344" s="27" t="s">
        <v>4910</v>
      </c>
      <c r="O344" s="27" t="s">
        <v>4911</v>
      </c>
      <c r="S344" s="27">
        <v>1900005392</v>
      </c>
      <c r="T344" s="27">
        <v>1900010059</v>
      </c>
      <c r="U344" s="27">
        <v>1900011328</v>
      </c>
      <c r="V344" s="27">
        <v>1900013117</v>
      </c>
      <c r="W344" s="27">
        <v>1900019095</v>
      </c>
      <c r="X344" s="27">
        <v>1900023259</v>
      </c>
      <c r="Y344" s="27">
        <v>1900029131</v>
      </c>
      <c r="Z344" s="27">
        <v>1900030195</v>
      </c>
      <c r="AA344" s="27">
        <v>1900032155</v>
      </c>
      <c r="AE344" s="27" t="s">
        <v>181</v>
      </c>
      <c r="AF344" s="27" t="s">
        <v>532</v>
      </c>
      <c r="AG344" s="27" t="s">
        <v>182</v>
      </c>
      <c r="AH344" s="27" t="s">
        <v>677</v>
      </c>
      <c r="AI344" s="27" t="s">
        <v>705</v>
      </c>
      <c r="AJ344" s="27" t="s">
        <v>899</v>
      </c>
      <c r="AK344" s="27" t="s">
        <v>533</v>
      </c>
      <c r="AL344" s="27" t="s">
        <v>184</v>
      </c>
      <c r="AM344" s="27" t="s">
        <v>732</v>
      </c>
      <c r="AQ344" s="60" t="s">
        <v>186</v>
      </c>
      <c r="AR344" s="61" t="s">
        <v>186</v>
      </c>
      <c r="AS344" s="61" t="s">
        <v>187</v>
      </c>
      <c r="AT344" s="61" t="s">
        <v>186</v>
      </c>
      <c r="AU344" s="61" t="s">
        <v>187</v>
      </c>
      <c r="AV344" s="61" t="s">
        <v>186</v>
      </c>
      <c r="AW344" s="61" t="s">
        <v>186</v>
      </c>
      <c r="AX344" s="61" t="s">
        <v>187</v>
      </c>
      <c r="AY344" s="61" t="s">
        <v>186</v>
      </c>
      <c r="BC344" s="28">
        <v>85799938104</v>
      </c>
      <c r="BD344" s="28">
        <v>89696938312</v>
      </c>
      <c r="BE344" s="28">
        <v>87860523723</v>
      </c>
      <c r="BF344" s="28">
        <v>85157847756</v>
      </c>
      <c r="BG344" s="28">
        <v>8123887590</v>
      </c>
      <c r="BH344" s="28">
        <v>82210097393</v>
      </c>
      <c r="BI344" s="28">
        <v>81913645093</v>
      </c>
      <c r="BJ344" s="28">
        <v>895335939851</v>
      </c>
      <c r="BK344" s="28">
        <v>82384611288</v>
      </c>
      <c r="BO344" s="39">
        <v>60171048</v>
      </c>
      <c r="BP344" s="18" t="s">
        <v>4912</v>
      </c>
      <c r="BQ344" s="37">
        <v>44957</v>
      </c>
      <c r="BR344" s="8">
        <f t="shared" si="1"/>
        <v>9</v>
      </c>
    </row>
    <row r="345" spans="1:70" ht="15.5">
      <c r="A345" s="4" t="str">
        <v>Reguler Periode ke-101 XX.C.3</v>
      </c>
      <c r="B345" s="4" t="s">
        <v>2073</v>
      </c>
      <c r="C345" s="38" t="s">
        <v>4913</v>
      </c>
      <c r="D345" s="4" t="s">
        <v>4889</v>
      </c>
      <c r="E345" s="4" t="s">
        <v>4914</v>
      </c>
      <c r="F345" s="4" t="s">
        <v>4039</v>
      </c>
      <c r="G345" s="27" t="s">
        <v>4915</v>
      </c>
      <c r="H345" s="27" t="s">
        <v>4916</v>
      </c>
      <c r="I345" s="27" t="s">
        <v>4917</v>
      </c>
      <c r="J345" s="27" t="s">
        <v>4918</v>
      </c>
      <c r="K345" s="27" t="s">
        <v>4919</v>
      </c>
      <c r="L345" s="27" t="s">
        <v>4920</v>
      </c>
      <c r="M345" s="27" t="s">
        <v>4921</v>
      </c>
      <c r="N345" s="27" t="s">
        <v>4922</v>
      </c>
      <c r="O345" s="27" t="s">
        <v>4923</v>
      </c>
      <c r="S345" s="27">
        <v>1800030449</v>
      </c>
      <c r="T345" s="27">
        <v>1900005124</v>
      </c>
      <c r="U345" s="27">
        <v>1900010243</v>
      </c>
      <c r="V345" s="27">
        <v>1900011036</v>
      </c>
      <c r="W345" s="27">
        <v>1900013185</v>
      </c>
      <c r="X345" s="27">
        <v>1900019059</v>
      </c>
      <c r="Y345" s="27">
        <v>1900023163</v>
      </c>
      <c r="Z345" s="27">
        <v>1900029214</v>
      </c>
      <c r="AA345" s="27">
        <v>1900032156</v>
      </c>
      <c r="AE345" s="27" t="s">
        <v>184</v>
      </c>
      <c r="AF345" s="27" t="s">
        <v>181</v>
      </c>
      <c r="AG345" s="27" t="s">
        <v>532</v>
      </c>
      <c r="AH345" s="27" t="s">
        <v>182</v>
      </c>
      <c r="AI345" s="27" t="s">
        <v>677</v>
      </c>
      <c r="AJ345" s="27" t="s">
        <v>705</v>
      </c>
      <c r="AK345" s="27" t="s">
        <v>899</v>
      </c>
      <c r="AL345" s="27" t="s">
        <v>533</v>
      </c>
      <c r="AM345" s="27" t="s">
        <v>732</v>
      </c>
      <c r="AQ345" s="60" t="s">
        <v>187</v>
      </c>
      <c r="AR345" s="61" t="s">
        <v>186</v>
      </c>
      <c r="AS345" s="61" t="s">
        <v>186</v>
      </c>
      <c r="AT345" s="61" t="s">
        <v>187</v>
      </c>
      <c r="AU345" s="61" t="s">
        <v>186</v>
      </c>
      <c r="AV345" s="61" t="s">
        <v>187</v>
      </c>
      <c r="AW345" s="61" t="s">
        <v>186</v>
      </c>
      <c r="AX345" s="61" t="s">
        <v>186</v>
      </c>
      <c r="AY345" s="61" t="s">
        <v>186</v>
      </c>
      <c r="BC345" s="28">
        <v>895353544440</v>
      </c>
      <c r="BD345" s="28">
        <v>87809705229</v>
      </c>
      <c r="BE345" s="28">
        <v>89605959723</v>
      </c>
      <c r="BF345" s="28">
        <v>82268909065</v>
      </c>
      <c r="BG345" s="28">
        <v>89658474849</v>
      </c>
      <c r="BH345" s="28">
        <v>81279442612</v>
      </c>
      <c r="BI345" s="28">
        <v>81326803674</v>
      </c>
      <c r="BJ345" s="28">
        <v>85640782186</v>
      </c>
      <c r="BK345" s="28">
        <v>83105053314</v>
      </c>
      <c r="BO345" s="39">
        <v>60171048</v>
      </c>
      <c r="BP345" s="18" t="s">
        <v>4924</v>
      </c>
      <c r="BQ345" s="37">
        <v>44957</v>
      </c>
      <c r="BR345" s="8">
        <f t="shared" si="1"/>
        <v>9</v>
      </c>
    </row>
    <row r="346" spans="1:70" ht="15.5">
      <c r="A346" s="4" t="str">
        <v>Reguler Periode ke-101 XX.D.1</v>
      </c>
      <c r="B346" s="4" t="s">
        <v>2073</v>
      </c>
      <c r="C346" s="38" t="s">
        <v>4925</v>
      </c>
      <c r="D346" s="4" t="s">
        <v>4926</v>
      </c>
      <c r="E346" s="4" t="s">
        <v>4927</v>
      </c>
      <c r="F346" s="4" t="s">
        <v>4928</v>
      </c>
      <c r="G346" s="27" t="s">
        <v>4929</v>
      </c>
      <c r="H346" s="27" t="s">
        <v>4930</v>
      </c>
      <c r="I346" s="27" t="s">
        <v>4931</v>
      </c>
      <c r="J346" s="27" t="s">
        <v>4932</v>
      </c>
      <c r="K346" s="27" t="s">
        <v>4933</v>
      </c>
      <c r="L346" s="27" t="s">
        <v>4934</v>
      </c>
      <c r="M346" s="27" t="s">
        <v>4935</v>
      </c>
      <c r="N346" s="27" t="s">
        <v>4936</v>
      </c>
      <c r="O346" s="27" t="s">
        <v>4937</v>
      </c>
      <c r="S346" s="27">
        <v>1900005310</v>
      </c>
      <c r="T346" s="27">
        <v>1900010219</v>
      </c>
      <c r="U346" s="27">
        <v>1900011271</v>
      </c>
      <c r="V346" s="27">
        <v>1900013203</v>
      </c>
      <c r="W346" s="27">
        <v>1900019161</v>
      </c>
      <c r="X346" s="27">
        <v>1900023139</v>
      </c>
      <c r="Y346" s="27">
        <v>1900029061</v>
      </c>
      <c r="Z346" s="27">
        <v>1900030118</v>
      </c>
      <c r="AA346" s="27">
        <v>1900032146</v>
      </c>
      <c r="AE346" s="52" t="s">
        <v>181</v>
      </c>
      <c r="AF346" s="52" t="s">
        <v>532</v>
      </c>
      <c r="AG346" s="52" t="s">
        <v>182</v>
      </c>
      <c r="AH346" s="52" t="s">
        <v>677</v>
      </c>
      <c r="AI346" s="52" t="s">
        <v>705</v>
      </c>
      <c r="AJ346" s="52" t="s">
        <v>899</v>
      </c>
      <c r="AK346" s="52" t="s">
        <v>533</v>
      </c>
      <c r="AL346" s="52" t="s">
        <v>184</v>
      </c>
      <c r="AM346" s="52" t="s">
        <v>732</v>
      </c>
      <c r="AQ346" s="60" t="s">
        <v>186</v>
      </c>
      <c r="AR346" s="61" t="s">
        <v>186</v>
      </c>
      <c r="AS346" s="61" t="s">
        <v>187</v>
      </c>
      <c r="AT346" s="61" t="s">
        <v>186</v>
      </c>
      <c r="AU346" s="61" t="s">
        <v>187</v>
      </c>
      <c r="AV346" s="61" t="s">
        <v>186</v>
      </c>
      <c r="AW346" s="61" t="s">
        <v>186</v>
      </c>
      <c r="AX346" s="61" t="s">
        <v>187</v>
      </c>
      <c r="AY346" s="61" t="s">
        <v>186</v>
      </c>
      <c r="BC346" s="28">
        <v>85799486351</v>
      </c>
      <c r="BD346" s="28">
        <v>81331036852</v>
      </c>
      <c r="BE346" s="28">
        <v>87727056577</v>
      </c>
      <c r="BF346" s="28">
        <v>82288056750</v>
      </c>
      <c r="BG346" s="28">
        <v>895705036880</v>
      </c>
      <c r="BH346" s="28">
        <v>89610726833</v>
      </c>
      <c r="BI346" s="28" t="s">
        <v>4938</v>
      </c>
      <c r="BJ346" s="28">
        <v>85868009539</v>
      </c>
      <c r="BK346" s="28">
        <v>81365226599</v>
      </c>
      <c r="BO346" s="39">
        <v>60030475</v>
      </c>
      <c r="BP346" s="18" t="s">
        <v>4939</v>
      </c>
      <c r="BQ346" s="37">
        <v>44958</v>
      </c>
      <c r="BR346" s="8">
        <f t="shared" si="1"/>
        <v>9</v>
      </c>
    </row>
    <row r="347" spans="1:70" ht="15.5">
      <c r="A347" s="4" t="str">
        <v>Reguler Periode ke-101 XX.D.2</v>
      </c>
      <c r="B347" s="4" t="s">
        <v>2073</v>
      </c>
      <c r="C347" s="38" t="s">
        <v>4940</v>
      </c>
      <c r="D347" s="4" t="s">
        <v>4926</v>
      </c>
      <c r="E347" s="4" t="s">
        <v>4941</v>
      </c>
      <c r="F347" s="4" t="s">
        <v>4928</v>
      </c>
      <c r="G347" s="27" t="s">
        <v>4942</v>
      </c>
      <c r="H347" s="27" t="s">
        <v>4943</v>
      </c>
      <c r="I347" s="27" t="s">
        <v>4944</v>
      </c>
      <c r="J347" s="27" t="s">
        <v>4945</v>
      </c>
      <c r="K347" s="27" t="s">
        <v>4946</v>
      </c>
      <c r="L347" s="27" t="s">
        <v>4947</v>
      </c>
      <c r="M347" s="27" t="s">
        <v>4948</v>
      </c>
      <c r="N347" s="27" t="s">
        <v>4949</v>
      </c>
      <c r="O347" s="27" t="s">
        <v>4950</v>
      </c>
      <c r="S347" s="27">
        <v>1900005132</v>
      </c>
      <c r="T347" s="27">
        <v>1900010034</v>
      </c>
      <c r="U347" s="27">
        <v>1900011069</v>
      </c>
      <c r="V347" s="27">
        <v>1900013319</v>
      </c>
      <c r="W347" s="27">
        <v>1900019189</v>
      </c>
      <c r="X347" s="27">
        <v>1900023035</v>
      </c>
      <c r="Y347" s="27">
        <v>1900029221</v>
      </c>
      <c r="Z347" s="27">
        <v>1900030131</v>
      </c>
      <c r="AA347" s="27">
        <v>1900032141</v>
      </c>
      <c r="AE347" s="52" t="s">
        <v>181</v>
      </c>
      <c r="AF347" s="52" t="s">
        <v>532</v>
      </c>
      <c r="AG347" s="52" t="s">
        <v>182</v>
      </c>
      <c r="AH347" s="52" t="s">
        <v>677</v>
      </c>
      <c r="AI347" s="52" t="s">
        <v>705</v>
      </c>
      <c r="AJ347" s="52" t="s">
        <v>899</v>
      </c>
      <c r="AK347" s="52" t="s">
        <v>533</v>
      </c>
      <c r="AL347" s="52" t="s">
        <v>184</v>
      </c>
      <c r="AM347" s="52" t="s">
        <v>732</v>
      </c>
      <c r="AQ347" s="60" t="s">
        <v>186</v>
      </c>
      <c r="AR347" s="61" t="s">
        <v>186</v>
      </c>
      <c r="AS347" s="61" t="s">
        <v>187</v>
      </c>
      <c r="AT347" s="61" t="s">
        <v>186</v>
      </c>
      <c r="AU347" s="61" t="s">
        <v>187</v>
      </c>
      <c r="AV347" s="61" t="s">
        <v>186</v>
      </c>
      <c r="AW347" s="61" t="s">
        <v>186</v>
      </c>
      <c r="AX347" s="61" t="s">
        <v>187</v>
      </c>
      <c r="AY347" s="61" t="s">
        <v>186</v>
      </c>
      <c r="BC347" s="28">
        <v>81229061496</v>
      </c>
      <c r="BD347" s="28">
        <v>81315090425</v>
      </c>
      <c r="BE347" s="28">
        <v>81343022521</v>
      </c>
      <c r="BF347" s="28">
        <v>811252754</v>
      </c>
      <c r="BG347" s="28">
        <v>85640417628</v>
      </c>
      <c r="BH347" s="28">
        <v>81328307316</v>
      </c>
      <c r="BI347" s="28">
        <v>85641282245</v>
      </c>
      <c r="BJ347" s="28">
        <v>82224159350</v>
      </c>
      <c r="BK347" s="28" t="s">
        <v>4951</v>
      </c>
      <c r="BO347" s="39">
        <v>60030475</v>
      </c>
      <c r="BP347" s="18" t="s">
        <v>4952</v>
      </c>
      <c r="BQ347" s="37">
        <v>44958</v>
      </c>
      <c r="BR347" s="8">
        <f t="shared" si="1"/>
        <v>9</v>
      </c>
    </row>
    <row r="348" spans="1:70" ht="15.5">
      <c r="A348" s="4" t="str">
        <v>Reguler Periode ke-101 XX.D.3</v>
      </c>
      <c r="B348" s="4" t="s">
        <v>2073</v>
      </c>
      <c r="C348" s="38" t="s">
        <v>4953</v>
      </c>
      <c r="D348" s="4" t="s">
        <v>4926</v>
      </c>
      <c r="E348" s="4" t="s">
        <v>4954</v>
      </c>
      <c r="F348" s="4" t="s">
        <v>4928</v>
      </c>
      <c r="G348" s="27" t="s">
        <v>4955</v>
      </c>
      <c r="H348" s="27" t="s">
        <v>4956</v>
      </c>
      <c r="I348" s="27" t="s">
        <v>4957</v>
      </c>
      <c r="J348" s="27" t="s">
        <v>4958</v>
      </c>
      <c r="K348" s="27" t="s">
        <v>4959</v>
      </c>
      <c r="L348" s="27" t="s">
        <v>4960</v>
      </c>
      <c r="M348" s="27" t="s">
        <v>4961</v>
      </c>
      <c r="N348" s="27" t="s">
        <v>4962</v>
      </c>
      <c r="O348" s="27" t="s">
        <v>4963</v>
      </c>
      <c r="S348" s="27">
        <v>1900005171</v>
      </c>
      <c r="T348" s="27">
        <v>1900010137</v>
      </c>
      <c r="U348" s="27">
        <v>1900011056</v>
      </c>
      <c r="V348" s="27">
        <v>1900013335</v>
      </c>
      <c r="W348" s="27">
        <v>1900019151</v>
      </c>
      <c r="X348" s="27">
        <v>1900023202</v>
      </c>
      <c r="Y348" s="27">
        <v>1900029178</v>
      </c>
      <c r="Z348" s="27">
        <v>1900030020</v>
      </c>
      <c r="AA348" s="27">
        <v>1900032044</v>
      </c>
      <c r="AE348" s="52" t="s">
        <v>181</v>
      </c>
      <c r="AF348" s="52" t="s">
        <v>532</v>
      </c>
      <c r="AG348" s="52" t="s">
        <v>182</v>
      </c>
      <c r="AH348" s="52" t="s">
        <v>677</v>
      </c>
      <c r="AI348" s="52" t="s">
        <v>705</v>
      </c>
      <c r="AJ348" s="52" t="s">
        <v>899</v>
      </c>
      <c r="AK348" s="52" t="s">
        <v>533</v>
      </c>
      <c r="AL348" s="52" t="s">
        <v>184</v>
      </c>
      <c r="AM348" s="52" t="s">
        <v>732</v>
      </c>
      <c r="AQ348" s="60" t="s">
        <v>186</v>
      </c>
      <c r="AR348" s="61" t="s">
        <v>186</v>
      </c>
      <c r="AS348" s="61" t="s">
        <v>187</v>
      </c>
      <c r="AT348" s="61" t="s">
        <v>186</v>
      </c>
      <c r="AU348" s="61" t="s">
        <v>187</v>
      </c>
      <c r="AV348" s="61" t="s">
        <v>186</v>
      </c>
      <c r="AW348" s="61" t="s">
        <v>186</v>
      </c>
      <c r="AX348" s="61" t="s">
        <v>187</v>
      </c>
      <c r="AY348" s="61" t="s">
        <v>186</v>
      </c>
      <c r="BC348" s="28">
        <v>89669005140</v>
      </c>
      <c r="BD348" s="28">
        <v>85717765663</v>
      </c>
      <c r="BE348" s="28">
        <v>85328976458</v>
      </c>
      <c r="BF348" s="28">
        <v>87734148217</v>
      </c>
      <c r="BG348" s="28">
        <v>895604661948</v>
      </c>
      <c r="BH348" s="28">
        <v>82139578863</v>
      </c>
      <c r="BI348" s="28">
        <v>81214066270</v>
      </c>
      <c r="BJ348" s="28">
        <v>81326952910</v>
      </c>
      <c r="BK348" s="28">
        <v>85349534559</v>
      </c>
      <c r="BO348" s="39">
        <v>60030475</v>
      </c>
      <c r="BP348" s="18" t="s">
        <v>4964</v>
      </c>
      <c r="BQ348" s="37">
        <v>44958</v>
      </c>
      <c r="BR348" s="8">
        <f t="shared" si="1"/>
        <v>9</v>
      </c>
    </row>
    <row r="349" spans="1:70" ht="15.5">
      <c r="A349" s="4" t="str">
        <v>Reguler Periode ke-101 XXI.A.1</v>
      </c>
      <c r="B349" s="4" t="s">
        <v>2073</v>
      </c>
      <c r="C349" s="38" t="s">
        <v>4965</v>
      </c>
      <c r="D349" s="4" t="s">
        <v>4966</v>
      </c>
      <c r="E349" s="4" t="s">
        <v>4967</v>
      </c>
      <c r="F349" s="4" t="s">
        <v>4928</v>
      </c>
      <c r="G349" s="27" t="s">
        <v>4968</v>
      </c>
      <c r="H349" s="27" t="s">
        <v>4969</v>
      </c>
      <c r="I349" s="27" t="s">
        <v>4970</v>
      </c>
      <c r="J349" s="27" t="s">
        <v>4971</v>
      </c>
      <c r="K349" s="27" t="s">
        <v>4972</v>
      </c>
      <c r="L349" s="27" t="s">
        <v>4973</v>
      </c>
      <c r="M349" s="27" t="s">
        <v>4974</v>
      </c>
      <c r="N349" s="27" t="s">
        <v>4975</v>
      </c>
      <c r="O349" s="27" t="s">
        <v>4976</v>
      </c>
      <c r="S349" s="27">
        <v>1900005066</v>
      </c>
      <c r="T349" s="27">
        <v>1900010289</v>
      </c>
      <c r="U349" s="27">
        <v>1900011031</v>
      </c>
      <c r="V349" s="27">
        <v>1900013183</v>
      </c>
      <c r="W349" s="27">
        <v>1900019115</v>
      </c>
      <c r="X349" s="27">
        <v>1900023093</v>
      </c>
      <c r="Y349" s="27">
        <v>1900029164</v>
      </c>
      <c r="Z349" s="27">
        <v>1900030179</v>
      </c>
      <c r="AA349" s="27">
        <v>1900032128</v>
      </c>
      <c r="AE349" s="52" t="s">
        <v>181</v>
      </c>
      <c r="AF349" s="52" t="s">
        <v>532</v>
      </c>
      <c r="AG349" s="52" t="s">
        <v>182</v>
      </c>
      <c r="AH349" s="52" t="s">
        <v>677</v>
      </c>
      <c r="AI349" s="52" t="s">
        <v>705</v>
      </c>
      <c r="AJ349" s="52" t="s">
        <v>899</v>
      </c>
      <c r="AK349" s="52" t="s">
        <v>533</v>
      </c>
      <c r="AL349" s="52" t="s">
        <v>184</v>
      </c>
      <c r="AM349" s="52" t="s">
        <v>732</v>
      </c>
      <c r="AQ349" s="60" t="s">
        <v>186</v>
      </c>
      <c r="AR349" s="61" t="s">
        <v>186</v>
      </c>
      <c r="AS349" s="61" t="s">
        <v>187</v>
      </c>
      <c r="AT349" s="61" t="s">
        <v>186</v>
      </c>
      <c r="AU349" s="61" t="s">
        <v>187</v>
      </c>
      <c r="AV349" s="61" t="s">
        <v>186</v>
      </c>
      <c r="AW349" s="61" t="s">
        <v>186</v>
      </c>
      <c r="AX349" s="61" t="s">
        <v>187</v>
      </c>
      <c r="AY349" s="61" t="s">
        <v>186</v>
      </c>
      <c r="BC349" s="28" t="s">
        <v>4977</v>
      </c>
      <c r="BD349" s="28">
        <v>81210617499</v>
      </c>
      <c r="BE349" s="28">
        <v>83816126802</v>
      </c>
      <c r="BF349" s="28">
        <v>81914599227</v>
      </c>
      <c r="BG349" s="28">
        <v>85246375161</v>
      </c>
      <c r="BH349" s="28">
        <v>81329284712</v>
      </c>
      <c r="BI349" s="28">
        <v>82260654751</v>
      </c>
      <c r="BJ349" s="28">
        <v>85877084535</v>
      </c>
      <c r="BK349" s="28">
        <v>82238723143</v>
      </c>
      <c r="BO349" s="39">
        <v>60970160</v>
      </c>
      <c r="BP349" s="18" t="s">
        <v>4978</v>
      </c>
      <c r="BQ349" s="37">
        <v>44958</v>
      </c>
      <c r="BR349" s="8">
        <f t="shared" si="1"/>
        <v>9</v>
      </c>
    </row>
    <row r="350" spans="1:70" ht="15.5">
      <c r="A350" s="4" t="str">
        <v>Reguler Periode ke-101 XXI.A.2</v>
      </c>
      <c r="B350" s="4" t="s">
        <v>2073</v>
      </c>
      <c r="C350" s="38" t="s">
        <v>4979</v>
      </c>
      <c r="D350" s="4" t="s">
        <v>4966</v>
      </c>
      <c r="E350" s="4" t="s">
        <v>4980</v>
      </c>
      <c r="F350" s="4" t="s">
        <v>4928</v>
      </c>
      <c r="G350" s="27" t="s">
        <v>4981</v>
      </c>
      <c r="H350" s="27" t="s">
        <v>4982</v>
      </c>
      <c r="I350" s="27" t="s">
        <v>4983</v>
      </c>
      <c r="J350" s="27" t="s">
        <v>4984</v>
      </c>
      <c r="K350" s="27" t="s">
        <v>4985</v>
      </c>
      <c r="L350" s="27" t="s">
        <v>4986</v>
      </c>
      <c r="M350" s="27" t="s">
        <v>4987</v>
      </c>
      <c r="N350" s="27" t="s">
        <v>4988</v>
      </c>
      <c r="O350" s="27" t="s">
        <v>4989</v>
      </c>
      <c r="S350" s="27">
        <v>1900005279</v>
      </c>
      <c r="T350" s="27">
        <v>1900010182</v>
      </c>
      <c r="U350" s="27">
        <v>1900011026</v>
      </c>
      <c r="V350" s="27">
        <v>1900013199</v>
      </c>
      <c r="W350" s="27">
        <v>1900019135</v>
      </c>
      <c r="X350" s="27">
        <v>1900023252</v>
      </c>
      <c r="Y350" s="27">
        <v>1900029219</v>
      </c>
      <c r="Z350" s="27">
        <v>1900030174</v>
      </c>
      <c r="AA350" s="27">
        <v>1900032118</v>
      </c>
      <c r="AE350" s="27" t="s">
        <v>181</v>
      </c>
      <c r="AF350" s="27" t="s">
        <v>532</v>
      </c>
      <c r="AG350" s="27" t="s">
        <v>182</v>
      </c>
      <c r="AH350" s="27" t="s">
        <v>677</v>
      </c>
      <c r="AI350" s="27" t="s">
        <v>705</v>
      </c>
      <c r="AJ350" s="27" t="s">
        <v>899</v>
      </c>
      <c r="AK350" s="27" t="s">
        <v>533</v>
      </c>
      <c r="AL350" s="27" t="s">
        <v>184</v>
      </c>
      <c r="AM350" s="27" t="s">
        <v>732</v>
      </c>
      <c r="AQ350" s="60" t="s">
        <v>186</v>
      </c>
      <c r="AR350" s="61" t="s">
        <v>186</v>
      </c>
      <c r="AS350" s="61" t="s">
        <v>187</v>
      </c>
      <c r="AT350" s="61" t="s">
        <v>186</v>
      </c>
      <c r="AU350" s="61" t="s">
        <v>187</v>
      </c>
      <c r="AV350" s="61" t="s">
        <v>186</v>
      </c>
      <c r="AW350" s="61" t="s">
        <v>186</v>
      </c>
      <c r="AX350" s="61" t="s">
        <v>187</v>
      </c>
      <c r="AY350" s="61" t="s">
        <v>186</v>
      </c>
      <c r="BC350" s="28">
        <v>81328639253</v>
      </c>
      <c r="BD350" s="28">
        <v>85643337561</v>
      </c>
      <c r="BE350" s="28">
        <v>6285930361410</v>
      </c>
      <c r="BF350" s="28">
        <v>81356528390</v>
      </c>
      <c r="BG350" s="28">
        <v>85869902808</v>
      </c>
      <c r="BH350" s="28">
        <v>85641968631</v>
      </c>
      <c r="BI350" s="28">
        <v>85937095353</v>
      </c>
      <c r="BJ350" s="28" t="s">
        <v>4990</v>
      </c>
      <c r="BK350" s="28">
        <v>85838958390</v>
      </c>
      <c r="BO350" s="39">
        <v>60970160</v>
      </c>
      <c r="BP350" s="18" t="s">
        <v>4991</v>
      </c>
      <c r="BQ350" s="37">
        <v>44958</v>
      </c>
      <c r="BR350" s="8">
        <f t="shared" si="1"/>
        <v>9</v>
      </c>
    </row>
    <row r="351" spans="1:70" ht="15.5">
      <c r="A351" s="4" t="str">
        <v>Reguler Periode ke-101 XXI.A.3</v>
      </c>
      <c r="B351" s="4" t="s">
        <v>2073</v>
      </c>
      <c r="C351" s="38" t="s">
        <v>4992</v>
      </c>
      <c r="D351" s="4" t="s">
        <v>4966</v>
      </c>
      <c r="E351" s="4" t="s">
        <v>4993</v>
      </c>
      <c r="F351" s="4" t="s">
        <v>4928</v>
      </c>
      <c r="G351" s="27" t="s">
        <v>4994</v>
      </c>
      <c r="H351" s="27" t="s">
        <v>4995</v>
      </c>
      <c r="I351" s="27" t="s">
        <v>4996</v>
      </c>
      <c r="J351" s="27" t="s">
        <v>4997</v>
      </c>
      <c r="K351" s="27" t="s">
        <v>4998</v>
      </c>
      <c r="L351" s="27" t="s">
        <v>4999</v>
      </c>
      <c r="M351" s="27" t="s">
        <v>5000</v>
      </c>
      <c r="N351" s="27" t="s">
        <v>5001</v>
      </c>
      <c r="O351" s="27" t="s">
        <v>5002</v>
      </c>
      <c r="S351" s="27">
        <v>1700013087</v>
      </c>
      <c r="T351" s="27">
        <v>1800019011</v>
      </c>
      <c r="U351" s="27">
        <v>1900005029</v>
      </c>
      <c r="V351" s="27">
        <v>1900010066</v>
      </c>
      <c r="W351" s="27">
        <v>1900011015</v>
      </c>
      <c r="X351" s="27">
        <v>1900023106</v>
      </c>
      <c r="Y351" s="27">
        <v>1900029110</v>
      </c>
      <c r="Z351" s="27">
        <v>1900030205</v>
      </c>
      <c r="AA351" s="27">
        <v>1900032181</v>
      </c>
      <c r="AE351" s="27" t="s">
        <v>677</v>
      </c>
      <c r="AF351" s="27" t="s">
        <v>705</v>
      </c>
      <c r="AG351" s="27" t="s">
        <v>181</v>
      </c>
      <c r="AH351" s="27" t="s">
        <v>532</v>
      </c>
      <c r="AI351" s="27" t="s">
        <v>182</v>
      </c>
      <c r="AJ351" s="27" t="s">
        <v>899</v>
      </c>
      <c r="AK351" s="27" t="s">
        <v>533</v>
      </c>
      <c r="AL351" s="27" t="s">
        <v>184</v>
      </c>
      <c r="AM351" s="27" t="s">
        <v>732</v>
      </c>
      <c r="AQ351" s="60" t="s">
        <v>186</v>
      </c>
      <c r="AR351" s="61" t="s">
        <v>187</v>
      </c>
      <c r="AS351" s="61" t="s">
        <v>186</v>
      </c>
      <c r="AT351" s="61" t="s">
        <v>186</v>
      </c>
      <c r="AU351" s="61" t="s">
        <v>187</v>
      </c>
      <c r="AV351" s="61" t="s">
        <v>186</v>
      </c>
      <c r="AW351" s="61" t="s">
        <v>186</v>
      </c>
      <c r="AX351" s="61" t="s">
        <v>187</v>
      </c>
      <c r="AY351" s="61" t="s">
        <v>186</v>
      </c>
      <c r="BC351" s="28">
        <v>895321273027</v>
      </c>
      <c r="BD351" s="28">
        <v>85100834407</v>
      </c>
      <c r="BE351" s="28">
        <v>85869290336</v>
      </c>
      <c r="BF351" s="28">
        <v>82235944210</v>
      </c>
      <c r="BG351" s="28">
        <v>85799117793</v>
      </c>
      <c r="BH351" s="28">
        <v>85769563831</v>
      </c>
      <c r="BI351" s="28">
        <v>895604910939</v>
      </c>
      <c r="BJ351" s="28">
        <v>85158400728</v>
      </c>
      <c r="BK351" s="28">
        <v>87881305805</v>
      </c>
      <c r="BO351" s="39">
        <v>60970160</v>
      </c>
      <c r="BP351" s="18" t="s">
        <v>5003</v>
      </c>
      <c r="BQ351" s="37">
        <v>44958</v>
      </c>
      <c r="BR351" s="8">
        <f t="shared" si="1"/>
        <v>9</v>
      </c>
    </row>
    <row r="352" spans="1:70" ht="15.5">
      <c r="A352" s="4" t="str">
        <v>Reguler Periode ke-101 XXI.B.1</v>
      </c>
      <c r="B352" s="4" t="s">
        <v>2073</v>
      </c>
      <c r="C352" s="38" t="s">
        <v>5004</v>
      </c>
      <c r="D352" s="4" t="s">
        <v>5005</v>
      </c>
      <c r="E352" s="4" t="s">
        <v>5006</v>
      </c>
      <c r="F352" s="4" t="s">
        <v>4928</v>
      </c>
      <c r="G352" s="27" t="s">
        <v>5007</v>
      </c>
      <c r="H352" s="27" t="s">
        <v>5008</v>
      </c>
      <c r="I352" s="27" t="s">
        <v>5009</v>
      </c>
      <c r="J352" s="27" t="s">
        <v>5010</v>
      </c>
      <c r="K352" s="27" t="s">
        <v>5011</v>
      </c>
      <c r="L352" s="27" t="s">
        <v>5012</v>
      </c>
      <c r="M352" s="27" t="s">
        <v>5013</v>
      </c>
      <c r="N352" s="27" t="s">
        <v>5014</v>
      </c>
      <c r="O352" s="27" t="s">
        <v>5015</v>
      </c>
      <c r="S352" s="27">
        <v>1800011304</v>
      </c>
      <c r="T352" s="27">
        <v>1900005216</v>
      </c>
      <c r="U352" s="27">
        <v>1900010140</v>
      </c>
      <c r="V352" s="27">
        <v>1900013338</v>
      </c>
      <c r="W352" s="27">
        <v>1900019183</v>
      </c>
      <c r="X352" s="27">
        <v>1900023191</v>
      </c>
      <c r="Y352" s="27">
        <v>1900029121</v>
      </c>
      <c r="Z352" s="27">
        <v>1900030050</v>
      </c>
      <c r="AA352" s="27">
        <v>1900032134</v>
      </c>
      <c r="AE352" s="27" t="s">
        <v>182</v>
      </c>
      <c r="AF352" s="27" t="s">
        <v>181</v>
      </c>
      <c r="AG352" s="27" t="s">
        <v>532</v>
      </c>
      <c r="AH352" s="27" t="s">
        <v>677</v>
      </c>
      <c r="AI352" s="27" t="s">
        <v>705</v>
      </c>
      <c r="AJ352" s="27" t="s">
        <v>899</v>
      </c>
      <c r="AK352" s="27" t="s">
        <v>533</v>
      </c>
      <c r="AL352" s="27" t="s">
        <v>184</v>
      </c>
      <c r="AM352" s="27" t="s">
        <v>732</v>
      </c>
      <c r="AQ352" s="60" t="s">
        <v>187</v>
      </c>
      <c r="AR352" s="61" t="s">
        <v>186</v>
      </c>
      <c r="AS352" s="61" t="s">
        <v>186</v>
      </c>
      <c r="AT352" s="61" t="s">
        <v>186</v>
      </c>
      <c r="AU352" s="61" t="s">
        <v>187</v>
      </c>
      <c r="AV352" s="61" t="s">
        <v>186</v>
      </c>
      <c r="AW352" s="61" t="s">
        <v>186</v>
      </c>
      <c r="AX352" s="61" t="s">
        <v>187</v>
      </c>
      <c r="AY352" s="61" t="s">
        <v>186</v>
      </c>
      <c r="BC352" s="28">
        <v>85381087910</v>
      </c>
      <c r="BD352" s="28">
        <v>85768121501</v>
      </c>
      <c r="BE352" s="28">
        <v>81315496181</v>
      </c>
      <c r="BF352" s="28">
        <v>895601176644</v>
      </c>
      <c r="BG352" s="28">
        <v>85885179693</v>
      </c>
      <c r="BH352" s="28">
        <v>85337638170</v>
      </c>
      <c r="BI352" s="28">
        <v>81282324795</v>
      </c>
      <c r="BJ352" s="28">
        <v>82340861146</v>
      </c>
      <c r="BK352" s="28">
        <v>88224203582</v>
      </c>
      <c r="BO352" s="39">
        <v>60120711</v>
      </c>
      <c r="BP352" s="18" t="s">
        <v>5016</v>
      </c>
      <c r="BQ352" s="37">
        <v>44958</v>
      </c>
      <c r="BR352" s="8">
        <f t="shared" si="1"/>
        <v>9</v>
      </c>
    </row>
    <row r="353" spans="1:70" ht="15.5">
      <c r="A353" s="4" t="str">
        <v>Reguler Periode ke-101 XXI.B.2</v>
      </c>
      <c r="B353" s="4" t="s">
        <v>2073</v>
      </c>
      <c r="C353" s="38" t="s">
        <v>5017</v>
      </c>
      <c r="D353" s="4" t="s">
        <v>5005</v>
      </c>
      <c r="E353" s="4" t="s">
        <v>5018</v>
      </c>
      <c r="F353" s="4" t="s">
        <v>4928</v>
      </c>
      <c r="G353" s="27" t="s">
        <v>5019</v>
      </c>
      <c r="H353" s="27" t="s">
        <v>5020</v>
      </c>
      <c r="I353" s="27" t="s">
        <v>5021</v>
      </c>
      <c r="J353" s="27" t="s">
        <v>5022</v>
      </c>
      <c r="K353" s="27" t="s">
        <v>5023</v>
      </c>
      <c r="L353" s="27" t="s">
        <v>5024</v>
      </c>
      <c r="M353" s="27" t="s">
        <v>5025</v>
      </c>
      <c r="N353" s="27" t="s">
        <v>5026</v>
      </c>
      <c r="O353" s="27" t="s">
        <v>5027</v>
      </c>
      <c r="S353" s="27">
        <v>1800030283</v>
      </c>
      <c r="T353" s="27">
        <v>1900005255</v>
      </c>
      <c r="U353" s="27">
        <v>1900010272</v>
      </c>
      <c r="V353" s="27">
        <v>1900011057</v>
      </c>
      <c r="W353" s="27">
        <v>1900013347</v>
      </c>
      <c r="X353" s="27">
        <v>1900019131</v>
      </c>
      <c r="Y353" s="27">
        <v>1900023261</v>
      </c>
      <c r="Z353" s="27">
        <v>1900029075</v>
      </c>
      <c r="AA353" s="27">
        <v>1900032060</v>
      </c>
      <c r="AE353" s="27" t="s">
        <v>184</v>
      </c>
      <c r="AF353" s="27" t="s">
        <v>181</v>
      </c>
      <c r="AG353" s="27" t="s">
        <v>532</v>
      </c>
      <c r="AH353" s="27" t="s">
        <v>182</v>
      </c>
      <c r="AI353" s="27" t="s">
        <v>677</v>
      </c>
      <c r="AJ353" s="27" t="s">
        <v>705</v>
      </c>
      <c r="AK353" s="27" t="s">
        <v>899</v>
      </c>
      <c r="AL353" s="27" t="s">
        <v>533</v>
      </c>
      <c r="AM353" s="27" t="s">
        <v>732</v>
      </c>
      <c r="AQ353" s="60" t="s">
        <v>187</v>
      </c>
      <c r="AR353" s="61" t="s">
        <v>186</v>
      </c>
      <c r="AS353" s="61" t="s">
        <v>186</v>
      </c>
      <c r="AT353" s="61" t="s">
        <v>187</v>
      </c>
      <c r="AU353" s="61" t="s">
        <v>186</v>
      </c>
      <c r="AV353" s="61" t="s">
        <v>187</v>
      </c>
      <c r="AW353" s="61" t="s">
        <v>186</v>
      </c>
      <c r="AX353" s="61" t="s">
        <v>186</v>
      </c>
      <c r="AY353" s="61" t="s">
        <v>186</v>
      </c>
      <c r="BC353" s="28">
        <v>81327565203</v>
      </c>
      <c r="BD353" s="28">
        <v>8986626950</v>
      </c>
      <c r="BE353" s="28">
        <v>895375888513</v>
      </c>
      <c r="BF353" s="28">
        <v>88224161526</v>
      </c>
      <c r="BG353" s="28">
        <v>81214608609</v>
      </c>
      <c r="BH353" s="28">
        <v>8989113846</v>
      </c>
      <c r="BI353" s="28">
        <v>81297084475</v>
      </c>
      <c r="BJ353" s="28">
        <v>85350789490</v>
      </c>
      <c r="BK353" s="28">
        <v>83869675522</v>
      </c>
      <c r="BO353" s="39">
        <v>60120711</v>
      </c>
      <c r="BP353" s="18" t="s">
        <v>5028</v>
      </c>
      <c r="BQ353" s="37">
        <v>44958</v>
      </c>
      <c r="BR353" s="8">
        <f t="shared" si="1"/>
        <v>9</v>
      </c>
    </row>
    <row r="354" spans="1:70" ht="15.5">
      <c r="A354" s="4" t="str">
        <v>Reguler Periode ke-101 XXI.B.3</v>
      </c>
      <c r="B354" s="4" t="s">
        <v>2073</v>
      </c>
      <c r="C354" s="38" t="s">
        <v>5029</v>
      </c>
      <c r="D354" s="4" t="s">
        <v>5005</v>
      </c>
      <c r="E354" s="4" t="s">
        <v>5030</v>
      </c>
      <c r="F354" s="4" t="s">
        <v>4928</v>
      </c>
      <c r="G354" s="27" t="s">
        <v>5031</v>
      </c>
      <c r="H354" s="27" t="s">
        <v>5032</v>
      </c>
      <c r="I354" s="27" t="s">
        <v>5033</v>
      </c>
      <c r="J354" s="27" t="s">
        <v>5034</v>
      </c>
      <c r="K354" s="27" t="s">
        <v>5035</v>
      </c>
      <c r="L354" s="27" t="s">
        <v>5036</v>
      </c>
      <c r="M354" s="27" t="s">
        <v>5037</v>
      </c>
      <c r="N354" s="27" t="s">
        <v>5038</v>
      </c>
      <c r="O354" s="27" t="s">
        <v>5039</v>
      </c>
      <c r="S354" s="27">
        <v>1900005117</v>
      </c>
      <c r="T354" s="27">
        <v>1900010173</v>
      </c>
      <c r="U354" s="27">
        <v>1900011073</v>
      </c>
      <c r="V354" s="27">
        <v>1900013178</v>
      </c>
      <c r="W354" s="27">
        <v>1900019191</v>
      </c>
      <c r="X354" s="27">
        <v>1900023100</v>
      </c>
      <c r="Y354" s="27">
        <v>1900029017</v>
      </c>
      <c r="Z354" s="27">
        <v>1900030147</v>
      </c>
      <c r="AA354" s="27">
        <v>1900032211</v>
      </c>
      <c r="AE354" s="52" t="s">
        <v>181</v>
      </c>
      <c r="AF354" s="52" t="s">
        <v>532</v>
      </c>
      <c r="AG354" s="52" t="s">
        <v>182</v>
      </c>
      <c r="AH354" s="52" t="s">
        <v>677</v>
      </c>
      <c r="AI354" s="52" t="s">
        <v>705</v>
      </c>
      <c r="AJ354" s="52" t="s">
        <v>899</v>
      </c>
      <c r="AK354" s="52" t="s">
        <v>533</v>
      </c>
      <c r="AL354" s="52" t="s">
        <v>184</v>
      </c>
      <c r="AM354" s="52" t="s">
        <v>732</v>
      </c>
      <c r="AQ354" s="60" t="s">
        <v>186</v>
      </c>
      <c r="AR354" s="61" t="s">
        <v>186</v>
      </c>
      <c r="AS354" s="61" t="s">
        <v>187</v>
      </c>
      <c r="AT354" s="61" t="s">
        <v>186</v>
      </c>
      <c r="AU354" s="61" t="s">
        <v>187</v>
      </c>
      <c r="AV354" s="61" t="s">
        <v>186</v>
      </c>
      <c r="AW354" s="61" t="s">
        <v>186</v>
      </c>
      <c r="AX354" s="61" t="s">
        <v>187</v>
      </c>
      <c r="AY354" s="61" t="s">
        <v>186</v>
      </c>
      <c r="BC354" s="28">
        <v>88238114125</v>
      </c>
      <c r="BD354" s="28">
        <v>85713134336</v>
      </c>
      <c r="BE354" s="28">
        <v>895332687656</v>
      </c>
      <c r="BF354" s="28">
        <v>87886744362</v>
      </c>
      <c r="BG354" s="28">
        <v>85385858266</v>
      </c>
      <c r="BH354" s="28">
        <v>895357390799</v>
      </c>
      <c r="BI354" s="28">
        <v>85520739773</v>
      </c>
      <c r="BJ354" s="28">
        <v>85656286712</v>
      </c>
      <c r="BK354" s="28">
        <v>88806372098</v>
      </c>
      <c r="BO354" s="39">
        <v>60120711</v>
      </c>
      <c r="BP354" s="18" t="s">
        <v>5040</v>
      </c>
      <c r="BQ354" s="37">
        <v>44958</v>
      </c>
      <c r="BR354" s="8">
        <f t="shared" si="1"/>
        <v>9</v>
      </c>
    </row>
    <row r="355" spans="1:70" ht="15.5">
      <c r="A355" s="4" t="str">
        <v>Reguler Periode ke-101 XXI.C.1</v>
      </c>
      <c r="B355" s="4" t="s">
        <v>2073</v>
      </c>
      <c r="C355" s="38" t="s">
        <v>5041</v>
      </c>
      <c r="D355" s="4" t="s">
        <v>266</v>
      </c>
      <c r="E355" s="4" t="s">
        <v>5042</v>
      </c>
      <c r="F355" s="4" t="s">
        <v>4928</v>
      </c>
      <c r="G355" s="27" t="s">
        <v>5043</v>
      </c>
      <c r="H355" s="27" t="s">
        <v>5044</v>
      </c>
      <c r="I355" s="27" t="s">
        <v>5045</v>
      </c>
      <c r="J355" s="27" t="s">
        <v>5046</v>
      </c>
      <c r="K355" s="27" t="s">
        <v>5047</v>
      </c>
      <c r="L355" s="27" t="s">
        <v>5048</v>
      </c>
      <c r="M355" s="27" t="s">
        <v>5049</v>
      </c>
      <c r="N355" s="27" t="s">
        <v>5050</v>
      </c>
      <c r="O355" s="27" t="s">
        <v>5051</v>
      </c>
      <c r="S355" s="27">
        <v>1900005169</v>
      </c>
      <c r="T355" s="27">
        <v>1900010125</v>
      </c>
      <c r="U355" s="27">
        <v>1900011363</v>
      </c>
      <c r="V355" s="27">
        <v>1900013134</v>
      </c>
      <c r="W355" s="27">
        <v>1900019057</v>
      </c>
      <c r="X355" s="27">
        <v>1900023095</v>
      </c>
      <c r="Y355" s="27">
        <v>1900029148</v>
      </c>
      <c r="Z355" s="27">
        <v>1900030271</v>
      </c>
      <c r="AA355" s="27">
        <v>1900032140</v>
      </c>
      <c r="AE355" s="27" t="s">
        <v>181</v>
      </c>
      <c r="AF355" s="27" t="s">
        <v>532</v>
      </c>
      <c r="AG355" s="27" t="s">
        <v>182</v>
      </c>
      <c r="AH355" s="27" t="s">
        <v>677</v>
      </c>
      <c r="AI355" s="27" t="s">
        <v>705</v>
      </c>
      <c r="AJ355" s="27" t="s">
        <v>899</v>
      </c>
      <c r="AK355" s="27" t="s">
        <v>533</v>
      </c>
      <c r="AL355" s="27" t="s">
        <v>184</v>
      </c>
      <c r="AM355" s="27" t="s">
        <v>732</v>
      </c>
      <c r="AQ355" s="60" t="s">
        <v>186</v>
      </c>
      <c r="AR355" s="61" t="s">
        <v>186</v>
      </c>
      <c r="AS355" s="61" t="s">
        <v>187</v>
      </c>
      <c r="AT355" s="61" t="s">
        <v>186</v>
      </c>
      <c r="AU355" s="61" t="s">
        <v>187</v>
      </c>
      <c r="AV355" s="61" t="s">
        <v>186</v>
      </c>
      <c r="AW355" s="61" t="s">
        <v>186</v>
      </c>
      <c r="AX355" s="61" t="s">
        <v>187</v>
      </c>
      <c r="AY355" s="61" t="s">
        <v>186</v>
      </c>
      <c r="BC355" s="28">
        <v>85216803441</v>
      </c>
      <c r="BD355" s="28" t="s">
        <v>5052</v>
      </c>
      <c r="BE355" s="28">
        <v>87845794897</v>
      </c>
      <c r="BF355" s="28">
        <v>81255653793</v>
      </c>
      <c r="BG355" s="28">
        <v>85848390818</v>
      </c>
      <c r="BH355" s="28">
        <v>81232591382</v>
      </c>
      <c r="BI355" s="28">
        <v>89515430802</v>
      </c>
      <c r="BJ355" s="28">
        <v>82388465812</v>
      </c>
      <c r="BK355" s="28">
        <v>82134749711</v>
      </c>
      <c r="BO355" s="39">
        <v>60111623</v>
      </c>
      <c r="BP355" s="18" t="s">
        <v>5053</v>
      </c>
      <c r="BQ355" s="37">
        <v>44958</v>
      </c>
      <c r="BR355" s="8">
        <f t="shared" si="1"/>
        <v>9</v>
      </c>
    </row>
    <row r="356" spans="1:70" ht="15.5">
      <c r="A356" s="4" t="str">
        <v>Reguler Periode ke-101 XXI.C.2</v>
      </c>
      <c r="B356" s="4" t="s">
        <v>2073</v>
      </c>
      <c r="C356" s="38" t="s">
        <v>5054</v>
      </c>
      <c r="D356" s="4" t="s">
        <v>266</v>
      </c>
      <c r="E356" s="4" t="s">
        <v>5055</v>
      </c>
      <c r="F356" s="4" t="s">
        <v>4928</v>
      </c>
      <c r="G356" s="27" t="s">
        <v>5056</v>
      </c>
      <c r="H356" s="27" t="s">
        <v>5057</v>
      </c>
      <c r="I356" s="27" t="s">
        <v>5058</v>
      </c>
      <c r="J356" s="27" t="s">
        <v>5059</v>
      </c>
      <c r="K356" s="27" t="s">
        <v>5060</v>
      </c>
      <c r="L356" s="27" t="s">
        <v>5061</v>
      </c>
      <c r="M356" s="27" t="s">
        <v>5062</v>
      </c>
      <c r="N356" s="27" t="s">
        <v>5063</v>
      </c>
      <c r="O356" s="27" t="s">
        <v>5064</v>
      </c>
      <c r="S356" s="27">
        <v>1900005146</v>
      </c>
      <c r="T356" s="27">
        <v>1900010053</v>
      </c>
      <c r="U356" s="27">
        <v>1900011155</v>
      </c>
      <c r="V356" s="27">
        <v>1900013133</v>
      </c>
      <c r="W356" s="27">
        <v>1900019163</v>
      </c>
      <c r="X356" s="27">
        <v>1900023219</v>
      </c>
      <c r="Y356" s="27">
        <v>1900029040</v>
      </c>
      <c r="Z356" s="27">
        <v>1900030245</v>
      </c>
      <c r="AA356" s="27">
        <v>1900033150</v>
      </c>
      <c r="AE356" s="52" t="s">
        <v>181</v>
      </c>
      <c r="AF356" s="52" t="s">
        <v>532</v>
      </c>
      <c r="AG356" s="52" t="s">
        <v>182</v>
      </c>
      <c r="AH356" s="52" t="s">
        <v>677</v>
      </c>
      <c r="AI356" s="52" t="s">
        <v>705</v>
      </c>
      <c r="AJ356" s="52" t="s">
        <v>899</v>
      </c>
      <c r="AK356" s="52" t="s">
        <v>533</v>
      </c>
      <c r="AL356" s="52" t="s">
        <v>184</v>
      </c>
      <c r="AM356" s="52" t="s">
        <v>1112</v>
      </c>
      <c r="AQ356" s="60" t="s">
        <v>186</v>
      </c>
      <c r="AR356" s="61" t="s">
        <v>186</v>
      </c>
      <c r="AS356" s="61" t="s">
        <v>187</v>
      </c>
      <c r="AT356" s="61" t="s">
        <v>186</v>
      </c>
      <c r="AU356" s="61" t="s">
        <v>187</v>
      </c>
      <c r="AV356" s="61" t="s">
        <v>186</v>
      </c>
      <c r="AW356" s="61" t="s">
        <v>186</v>
      </c>
      <c r="AX356" s="61" t="s">
        <v>187</v>
      </c>
      <c r="AY356" s="61" t="s">
        <v>186</v>
      </c>
      <c r="BC356" s="28">
        <v>87834421812</v>
      </c>
      <c r="BD356" s="28">
        <v>81392729373</v>
      </c>
      <c r="BE356" s="28">
        <v>87814657106</v>
      </c>
      <c r="BF356" s="28">
        <v>82247550128</v>
      </c>
      <c r="BG356" s="28">
        <v>82193980302</v>
      </c>
      <c r="BH356" s="28">
        <v>85756116586</v>
      </c>
      <c r="BI356" s="28">
        <v>895414233419</v>
      </c>
      <c r="BJ356" s="28">
        <v>81393701209</v>
      </c>
      <c r="BK356" s="28">
        <v>81226627469</v>
      </c>
      <c r="BO356" s="39">
        <v>60111623</v>
      </c>
      <c r="BP356" s="18" t="s">
        <v>5065</v>
      </c>
      <c r="BQ356" s="37">
        <v>44958</v>
      </c>
      <c r="BR356" s="8">
        <f t="shared" si="1"/>
        <v>9</v>
      </c>
    </row>
    <row r="357" spans="1:70" ht="15.5">
      <c r="A357" s="4" t="str">
        <v>Reguler Periode ke-101 XXI.C.3</v>
      </c>
      <c r="B357" s="4" t="s">
        <v>2073</v>
      </c>
      <c r="C357" s="38" t="s">
        <v>5066</v>
      </c>
      <c r="D357" s="4" t="s">
        <v>266</v>
      </c>
      <c r="E357" s="4" t="s">
        <v>5067</v>
      </c>
      <c r="F357" s="4" t="s">
        <v>4928</v>
      </c>
      <c r="G357" s="27" t="s">
        <v>5068</v>
      </c>
      <c r="H357" s="27" t="s">
        <v>5069</v>
      </c>
      <c r="I357" s="27" t="s">
        <v>5070</v>
      </c>
      <c r="J357" s="27" t="s">
        <v>5071</v>
      </c>
      <c r="K357" s="27" t="s">
        <v>5072</v>
      </c>
      <c r="L357" s="27" t="s">
        <v>5073</v>
      </c>
      <c r="M357" s="27" t="s">
        <v>5074</v>
      </c>
      <c r="N357" s="27" t="s">
        <v>5075</v>
      </c>
      <c r="O357" s="27" t="s">
        <v>5076</v>
      </c>
      <c r="S357" s="27">
        <v>1900005160</v>
      </c>
      <c r="T357" s="27">
        <v>1900010026</v>
      </c>
      <c r="U357" s="27">
        <v>1900011037</v>
      </c>
      <c r="V357" s="27">
        <v>1900013336</v>
      </c>
      <c r="W357" s="27">
        <v>1900019063</v>
      </c>
      <c r="X357" s="27">
        <v>1900023278</v>
      </c>
      <c r="Y357" s="27">
        <v>1900029188</v>
      </c>
      <c r="Z357" s="27">
        <v>1900030005</v>
      </c>
      <c r="AA357" s="27">
        <v>1900033112</v>
      </c>
      <c r="AE357" s="27" t="s">
        <v>181</v>
      </c>
      <c r="AF357" s="27" t="s">
        <v>532</v>
      </c>
      <c r="AG357" s="27" t="s">
        <v>182</v>
      </c>
      <c r="AH357" s="27" t="s">
        <v>677</v>
      </c>
      <c r="AI357" s="27" t="s">
        <v>705</v>
      </c>
      <c r="AJ357" s="27" t="s">
        <v>899</v>
      </c>
      <c r="AK357" s="27" t="s">
        <v>533</v>
      </c>
      <c r="AL357" s="27" t="s">
        <v>184</v>
      </c>
      <c r="AM357" s="27" t="s">
        <v>1112</v>
      </c>
      <c r="AQ357" s="60" t="s">
        <v>186</v>
      </c>
      <c r="AR357" s="61" t="s">
        <v>186</v>
      </c>
      <c r="AS357" s="61" t="s">
        <v>187</v>
      </c>
      <c r="AT357" s="61" t="s">
        <v>186</v>
      </c>
      <c r="AU357" s="61" t="s">
        <v>187</v>
      </c>
      <c r="AV357" s="61" t="s">
        <v>186</v>
      </c>
      <c r="AW357" s="61" t="s">
        <v>186</v>
      </c>
      <c r="AX357" s="61" t="s">
        <v>187</v>
      </c>
      <c r="AY357" s="61" t="s">
        <v>186</v>
      </c>
      <c r="BC357" s="28">
        <v>82144557552</v>
      </c>
      <c r="BD357" s="28">
        <v>81392075469</v>
      </c>
      <c r="BE357" s="28">
        <v>85729585852</v>
      </c>
      <c r="BF357" s="28">
        <v>81390600506</v>
      </c>
      <c r="BG357" s="28">
        <v>82285486221</v>
      </c>
      <c r="BH357" s="28">
        <v>89638839414</v>
      </c>
      <c r="BI357" s="28">
        <v>82251721634</v>
      </c>
      <c r="BJ357" s="28">
        <v>87812716794</v>
      </c>
      <c r="BK357" s="28">
        <v>85647264881</v>
      </c>
      <c r="BO357" s="39">
        <v>60111623</v>
      </c>
      <c r="BP357" s="18" t="s">
        <v>5077</v>
      </c>
      <c r="BQ357" s="37">
        <v>44958</v>
      </c>
      <c r="BR357" s="8">
        <f t="shared" si="1"/>
        <v>9</v>
      </c>
    </row>
    <row r="358" spans="1:70" ht="15.5">
      <c r="A358" s="4" t="str">
        <v>Reguler Periode ke-101 XXI.D.1</v>
      </c>
      <c r="B358" s="4" t="s">
        <v>2073</v>
      </c>
      <c r="C358" s="38" t="s">
        <v>5078</v>
      </c>
      <c r="D358" s="4" t="s">
        <v>5079</v>
      </c>
      <c r="E358" s="4" t="s">
        <v>5080</v>
      </c>
      <c r="F358" s="4" t="s">
        <v>4928</v>
      </c>
      <c r="G358" s="27" t="s">
        <v>5081</v>
      </c>
      <c r="H358" s="27" t="s">
        <v>5082</v>
      </c>
      <c r="I358" s="27" t="s">
        <v>5083</v>
      </c>
      <c r="J358" s="27" t="s">
        <v>5084</v>
      </c>
      <c r="K358" s="27" t="s">
        <v>5085</v>
      </c>
      <c r="L358" s="27" t="s">
        <v>5086</v>
      </c>
      <c r="M358" s="27" t="s">
        <v>5087</v>
      </c>
      <c r="N358" s="27" t="s">
        <v>5088</v>
      </c>
      <c r="O358" s="27" t="s">
        <v>5089</v>
      </c>
      <c r="S358" s="27">
        <v>1800031040</v>
      </c>
      <c r="T358" s="27">
        <v>1900005162</v>
      </c>
      <c r="U358" s="27">
        <v>1900010233</v>
      </c>
      <c r="V358" s="27">
        <v>1900011230</v>
      </c>
      <c r="W358" s="27">
        <v>1900013032</v>
      </c>
      <c r="X358" s="27">
        <v>1900019023</v>
      </c>
      <c r="Y358" s="27">
        <v>1900023168</v>
      </c>
      <c r="Z358" s="27">
        <v>1900029196</v>
      </c>
      <c r="AA358" s="27">
        <v>1900033168</v>
      </c>
      <c r="AE358" s="27" t="s">
        <v>185</v>
      </c>
      <c r="AF358" s="27" t="s">
        <v>181</v>
      </c>
      <c r="AG358" s="27" t="s">
        <v>532</v>
      </c>
      <c r="AH358" s="27" t="s">
        <v>182</v>
      </c>
      <c r="AI358" s="27" t="s">
        <v>677</v>
      </c>
      <c r="AJ358" s="27" t="s">
        <v>705</v>
      </c>
      <c r="AK358" s="27" t="s">
        <v>899</v>
      </c>
      <c r="AL358" s="27" t="s">
        <v>533</v>
      </c>
      <c r="AM358" s="27" t="s">
        <v>1112</v>
      </c>
      <c r="AQ358" s="60" t="s">
        <v>187</v>
      </c>
      <c r="AR358" s="61" t="s">
        <v>186</v>
      </c>
      <c r="AS358" s="61" t="s">
        <v>186</v>
      </c>
      <c r="AT358" s="61" t="s">
        <v>187</v>
      </c>
      <c r="AU358" s="61" t="s">
        <v>186</v>
      </c>
      <c r="AV358" s="61" t="s">
        <v>187</v>
      </c>
      <c r="AW358" s="61" t="s">
        <v>186</v>
      </c>
      <c r="AX358" s="61" t="s">
        <v>186</v>
      </c>
      <c r="AY358" s="61" t="s">
        <v>186</v>
      </c>
      <c r="BC358" s="28">
        <v>81226826916</v>
      </c>
      <c r="BD358" s="28">
        <v>82254062431</v>
      </c>
      <c r="BE358" s="28">
        <v>88239255842</v>
      </c>
      <c r="BF358" s="28">
        <v>81276253337</v>
      </c>
      <c r="BG358" s="28">
        <v>82281180226</v>
      </c>
      <c r="BH358" s="28">
        <v>81393531211</v>
      </c>
      <c r="BI358" s="28" t="s">
        <v>5090</v>
      </c>
      <c r="BJ358" s="28">
        <v>81288540187</v>
      </c>
      <c r="BK358" s="28">
        <v>85730496083</v>
      </c>
      <c r="BO358" s="39">
        <v>60191181</v>
      </c>
      <c r="BP358" s="18" t="s">
        <v>5091</v>
      </c>
      <c r="BQ358" s="37">
        <v>44958</v>
      </c>
      <c r="BR358" s="8">
        <f t="shared" si="1"/>
        <v>9</v>
      </c>
    </row>
    <row r="359" spans="1:70" ht="15.5">
      <c r="A359" s="4" t="str">
        <v>Reguler Periode ke-101 XXI.D.2</v>
      </c>
      <c r="B359" s="4" t="s">
        <v>2073</v>
      </c>
      <c r="C359" s="38" t="s">
        <v>5092</v>
      </c>
      <c r="D359" s="4" t="s">
        <v>5079</v>
      </c>
      <c r="E359" s="4" t="s">
        <v>5093</v>
      </c>
      <c r="F359" s="4" t="s">
        <v>4928</v>
      </c>
      <c r="G359" s="27" t="s">
        <v>5094</v>
      </c>
      <c r="H359" s="27" t="s">
        <v>5095</v>
      </c>
      <c r="I359" s="27" t="s">
        <v>5096</v>
      </c>
      <c r="J359" s="27" t="s">
        <v>5097</v>
      </c>
      <c r="K359" s="27" t="s">
        <v>5098</v>
      </c>
      <c r="L359" s="27" t="s">
        <v>5099</v>
      </c>
      <c r="M359" s="27" t="s">
        <v>5100</v>
      </c>
      <c r="N359" s="27" t="s">
        <v>5101</v>
      </c>
      <c r="O359" s="27" t="s">
        <v>5102</v>
      </c>
      <c r="S359" s="27">
        <v>1800011199</v>
      </c>
      <c r="T359" s="27">
        <v>1800019055</v>
      </c>
      <c r="U359" s="27">
        <v>1900005102</v>
      </c>
      <c r="V359" s="27">
        <v>1900010291</v>
      </c>
      <c r="W359" s="27">
        <v>1900013046</v>
      </c>
      <c r="X359" s="27">
        <v>1900023249</v>
      </c>
      <c r="Y359" s="27">
        <v>1900029262</v>
      </c>
      <c r="Z359" s="27">
        <v>1900031374</v>
      </c>
      <c r="AA359" s="27">
        <v>1900033010</v>
      </c>
      <c r="AE359" s="27" t="s">
        <v>182</v>
      </c>
      <c r="AF359" s="27" t="s">
        <v>705</v>
      </c>
      <c r="AG359" s="27" t="s">
        <v>181</v>
      </c>
      <c r="AH359" s="27" t="s">
        <v>532</v>
      </c>
      <c r="AI359" s="27" t="s">
        <v>677</v>
      </c>
      <c r="AJ359" s="27" t="s">
        <v>899</v>
      </c>
      <c r="AK359" s="27" t="s">
        <v>533</v>
      </c>
      <c r="AL359" s="27" t="s">
        <v>185</v>
      </c>
      <c r="AM359" s="27" t="s">
        <v>1112</v>
      </c>
      <c r="AQ359" s="60" t="s">
        <v>187</v>
      </c>
      <c r="AR359" s="61" t="s">
        <v>187</v>
      </c>
      <c r="AS359" s="61" t="s">
        <v>186</v>
      </c>
      <c r="AT359" s="61" t="s">
        <v>186</v>
      </c>
      <c r="AU359" s="61" t="s">
        <v>186</v>
      </c>
      <c r="AV359" s="61" t="s">
        <v>186</v>
      </c>
      <c r="AW359" s="61" t="s">
        <v>186</v>
      </c>
      <c r="AX359" s="61" t="s">
        <v>187</v>
      </c>
      <c r="AY359" s="61" t="s">
        <v>186</v>
      </c>
      <c r="BC359" s="28">
        <v>81336357151</v>
      </c>
      <c r="BD359" s="28">
        <v>81379420551</v>
      </c>
      <c r="BE359" s="28"/>
      <c r="BF359" s="28">
        <v>85838292242</v>
      </c>
      <c r="BG359" s="28">
        <v>82136829919</v>
      </c>
      <c r="BH359" s="28">
        <v>89509553914</v>
      </c>
      <c r="BI359" s="28">
        <v>81350184161</v>
      </c>
      <c r="BJ359" s="28">
        <v>87892231881</v>
      </c>
      <c r="BK359" s="28">
        <v>88216724599</v>
      </c>
      <c r="BO359" s="39">
        <v>60191181</v>
      </c>
      <c r="BP359" s="18" t="s">
        <v>5103</v>
      </c>
      <c r="BQ359" s="37">
        <v>44958</v>
      </c>
      <c r="BR359" s="8">
        <f t="shared" si="1"/>
        <v>9</v>
      </c>
    </row>
    <row r="360" spans="1:70" ht="15.5">
      <c r="A360" s="4" t="str">
        <v>Reguler Periode ke-101 XXI.D.3</v>
      </c>
      <c r="B360" s="4" t="s">
        <v>2073</v>
      </c>
      <c r="C360" s="38" t="s">
        <v>5104</v>
      </c>
      <c r="D360" s="4" t="s">
        <v>5079</v>
      </c>
      <c r="E360" s="4" t="s">
        <v>5105</v>
      </c>
      <c r="F360" s="4" t="s">
        <v>4928</v>
      </c>
      <c r="G360" s="27" t="s">
        <v>5106</v>
      </c>
      <c r="H360" s="27" t="s">
        <v>5107</v>
      </c>
      <c r="I360" s="27" t="s">
        <v>5108</v>
      </c>
      <c r="J360" s="27" t="s">
        <v>5109</v>
      </c>
      <c r="K360" s="27" t="s">
        <v>5110</v>
      </c>
      <c r="L360" s="27" t="s">
        <v>5111</v>
      </c>
      <c r="M360" s="27" t="s">
        <v>5112</v>
      </c>
      <c r="N360" s="27" t="s">
        <v>5113</v>
      </c>
      <c r="O360" s="27" t="s">
        <v>5114</v>
      </c>
      <c r="S360" s="27">
        <v>1900005194</v>
      </c>
      <c r="T360" s="27">
        <v>1900010176</v>
      </c>
      <c r="U360" s="27">
        <v>1900011263</v>
      </c>
      <c r="V360" s="27">
        <v>1900013260</v>
      </c>
      <c r="W360" s="27">
        <v>1900019018</v>
      </c>
      <c r="X360" s="27">
        <v>1900023083</v>
      </c>
      <c r="Y360" s="27">
        <v>1900029039</v>
      </c>
      <c r="Z360" s="27">
        <v>1900031045</v>
      </c>
      <c r="AA360" s="27">
        <v>1900033130</v>
      </c>
      <c r="AE360" s="27" t="s">
        <v>181</v>
      </c>
      <c r="AF360" s="27" t="s">
        <v>532</v>
      </c>
      <c r="AG360" s="27" t="s">
        <v>182</v>
      </c>
      <c r="AH360" s="27" t="s">
        <v>677</v>
      </c>
      <c r="AI360" s="27" t="s">
        <v>705</v>
      </c>
      <c r="AJ360" s="27" t="s">
        <v>899</v>
      </c>
      <c r="AK360" s="27" t="s">
        <v>533</v>
      </c>
      <c r="AL360" s="27" t="s">
        <v>185</v>
      </c>
      <c r="AM360" s="27" t="s">
        <v>1112</v>
      </c>
      <c r="AQ360" s="60" t="s">
        <v>186</v>
      </c>
      <c r="AR360" s="61" t="s">
        <v>186</v>
      </c>
      <c r="AS360" s="61" t="s">
        <v>187</v>
      </c>
      <c r="AT360" s="61" t="s">
        <v>186</v>
      </c>
      <c r="AU360" s="61" t="s">
        <v>187</v>
      </c>
      <c r="AV360" s="61" t="s">
        <v>186</v>
      </c>
      <c r="AW360" s="61" t="s">
        <v>186</v>
      </c>
      <c r="AX360" s="61" t="s">
        <v>187</v>
      </c>
      <c r="AY360" s="61" t="s">
        <v>186</v>
      </c>
      <c r="BC360" s="28">
        <v>88902933599</v>
      </c>
      <c r="BD360" s="28">
        <v>82291022810</v>
      </c>
      <c r="BE360" s="28">
        <v>82291663192</v>
      </c>
      <c r="BF360" s="28">
        <v>8813778689</v>
      </c>
      <c r="BG360" s="28">
        <v>82134506276</v>
      </c>
      <c r="BH360" s="28">
        <v>82136366480</v>
      </c>
      <c r="BI360" s="28">
        <v>85816819621</v>
      </c>
      <c r="BJ360" s="28">
        <v>85649698740</v>
      </c>
      <c r="BK360" s="28">
        <v>81229065702</v>
      </c>
      <c r="BO360" s="39">
        <v>60191181</v>
      </c>
      <c r="BP360" s="18" t="s">
        <v>5115</v>
      </c>
      <c r="BQ360" s="37">
        <v>44958</v>
      </c>
      <c r="BR360" s="8">
        <f t="shared" si="1"/>
        <v>9</v>
      </c>
    </row>
    <row r="361" spans="1:70" ht="15.5">
      <c r="A361" s="4" t="str">
        <v>Reguler Periode ke-101 XXII.A.1</v>
      </c>
      <c r="B361" s="4" t="s">
        <v>2073</v>
      </c>
      <c r="C361" s="38" t="s">
        <v>5116</v>
      </c>
      <c r="D361" s="4" t="s">
        <v>5117</v>
      </c>
      <c r="E361" s="4" t="s">
        <v>5118</v>
      </c>
      <c r="F361" s="4" t="s">
        <v>4928</v>
      </c>
      <c r="G361" s="27" t="s">
        <v>5119</v>
      </c>
      <c r="H361" s="27" t="s">
        <v>5120</v>
      </c>
      <c r="I361" s="27" t="s">
        <v>5121</v>
      </c>
      <c r="J361" s="27" t="s">
        <v>5122</v>
      </c>
      <c r="K361" s="27" t="s">
        <v>5123</v>
      </c>
      <c r="L361" s="27" t="s">
        <v>5124</v>
      </c>
      <c r="M361" s="27" t="s">
        <v>5125</v>
      </c>
      <c r="N361" s="27" t="s">
        <v>5126</v>
      </c>
      <c r="O361" s="27" t="s">
        <v>5127</v>
      </c>
      <c r="S361" s="27">
        <v>1900005054</v>
      </c>
      <c r="T361" s="27">
        <v>1900010055</v>
      </c>
      <c r="U361" s="27">
        <v>1900012175</v>
      </c>
      <c r="V361" s="27">
        <v>1900019094</v>
      </c>
      <c r="W361" s="27">
        <v>1900023265</v>
      </c>
      <c r="X361" s="27">
        <v>1900029155</v>
      </c>
      <c r="Y361" s="27">
        <v>1900031121</v>
      </c>
      <c r="Z361" s="27">
        <v>1900033030</v>
      </c>
      <c r="AA361" s="27">
        <v>1915014021</v>
      </c>
      <c r="AE361" s="27" t="s">
        <v>181</v>
      </c>
      <c r="AF361" s="27" t="s">
        <v>532</v>
      </c>
      <c r="AG361" s="27" t="s">
        <v>885</v>
      </c>
      <c r="AH361" s="27" t="s">
        <v>705</v>
      </c>
      <c r="AI361" s="27" t="s">
        <v>899</v>
      </c>
      <c r="AJ361" s="27" t="s">
        <v>533</v>
      </c>
      <c r="AK361" s="27" t="s">
        <v>185</v>
      </c>
      <c r="AL361" s="27" t="s">
        <v>1112</v>
      </c>
      <c r="AM361" s="27" t="s">
        <v>770</v>
      </c>
      <c r="AO361" s="28"/>
      <c r="AQ361" s="60" t="s">
        <v>186</v>
      </c>
      <c r="AR361" s="61" t="s">
        <v>186</v>
      </c>
      <c r="AS361" s="61" t="s">
        <v>187</v>
      </c>
      <c r="AT361" s="61" t="s">
        <v>187</v>
      </c>
      <c r="AU361" s="61" t="s">
        <v>186</v>
      </c>
      <c r="AV361" s="61" t="s">
        <v>186</v>
      </c>
      <c r="AW361" s="61" t="s">
        <v>187</v>
      </c>
      <c r="AX361" s="61" t="s">
        <v>186</v>
      </c>
      <c r="AY361" s="61" t="s">
        <v>186</v>
      </c>
      <c r="BC361" s="28">
        <v>85378362198</v>
      </c>
      <c r="BD361" s="28">
        <v>89601739160</v>
      </c>
      <c r="BE361" s="28">
        <v>8973823019</v>
      </c>
      <c r="BF361" s="28">
        <v>89655464013</v>
      </c>
      <c r="BG361" s="28">
        <v>82290062023</v>
      </c>
      <c r="BH361" s="28">
        <v>85764728961</v>
      </c>
      <c r="BI361" s="28">
        <v>81242735953</v>
      </c>
      <c r="BJ361" s="28">
        <v>82237922146</v>
      </c>
      <c r="BK361" s="28">
        <v>89662653936</v>
      </c>
      <c r="BO361" s="39">
        <v>60191188</v>
      </c>
      <c r="BP361" s="18" t="s">
        <v>5128</v>
      </c>
      <c r="BQ361" s="37">
        <v>44958</v>
      </c>
      <c r="BR361" s="8">
        <f t="shared" si="1"/>
        <v>9</v>
      </c>
    </row>
    <row r="362" spans="1:70" ht="15.5">
      <c r="A362" s="4" t="str">
        <v>Reguler Periode ke-101 XXII.A.2</v>
      </c>
      <c r="B362" s="4" t="s">
        <v>2073</v>
      </c>
      <c r="C362" s="38" t="s">
        <v>5129</v>
      </c>
      <c r="D362" s="4" t="s">
        <v>5117</v>
      </c>
      <c r="E362" s="4" t="s">
        <v>5130</v>
      </c>
      <c r="F362" s="4" t="s">
        <v>4928</v>
      </c>
      <c r="G362" s="27" t="s">
        <v>5131</v>
      </c>
      <c r="H362" s="27" t="s">
        <v>5132</v>
      </c>
      <c r="I362" s="27" t="s">
        <v>5133</v>
      </c>
      <c r="J362" s="27" t="s">
        <v>5134</v>
      </c>
      <c r="K362" s="27" t="s">
        <v>5135</v>
      </c>
      <c r="L362" s="27" t="s">
        <v>5136</v>
      </c>
      <c r="M362" s="27" t="s">
        <v>5137</v>
      </c>
      <c r="N362" s="27" t="s">
        <v>5138</v>
      </c>
      <c r="O362" s="27" t="s">
        <v>5139</v>
      </c>
      <c r="S362" s="27">
        <v>1900005291</v>
      </c>
      <c r="T362" s="27">
        <v>1900010296</v>
      </c>
      <c r="U362" s="27">
        <v>1900012263</v>
      </c>
      <c r="V362" s="27">
        <v>1900014028</v>
      </c>
      <c r="W362" s="27">
        <v>1900019142</v>
      </c>
      <c r="X362" s="27">
        <v>1900023279</v>
      </c>
      <c r="Y362" s="27">
        <v>1900029216</v>
      </c>
      <c r="Z362" s="27">
        <v>1900031375</v>
      </c>
      <c r="AA362" s="27">
        <v>1900033104</v>
      </c>
      <c r="AE362" s="27" t="s">
        <v>181</v>
      </c>
      <c r="AF362" s="27" t="s">
        <v>532</v>
      </c>
      <c r="AG362" s="27" t="s">
        <v>885</v>
      </c>
      <c r="AH362" s="27" t="s">
        <v>770</v>
      </c>
      <c r="AI362" s="27" t="s">
        <v>705</v>
      </c>
      <c r="AJ362" s="27" t="s">
        <v>899</v>
      </c>
      <c r="AK362" s="27" t="s">
        <v>533</v>
      </c>
      <c r="AL362" s="27" t="s">
        <v>185</v>
      </c>
      <c r="AM362" s="27" t="s">
        <v>1112</v>
      </c>
      <c r="AO362" s="28"/>
      <c r="AQ362" s="60" t="s">
        <v>186</v>
      </c>
      <c r="AR362" s="61" t="s">
        <v>186</v>
      </c>
      <c r="AS362" s="61" t="s">
        <v>187</v>
      </c>
      <c r="AT362" s="61" t="s">
        <v>186</v>
      </c>
      <c r="AU362" s="61" t="s">
        <v>187</v>
      </c>
      <c r="AV362" s="61" t="s">
        <v>186</v>
      </c>
      <c r="AW362" s="61" t="s">
        <v>186</v>
      </c>
      <c r="AX362" s="61" t="s">
        <v>187</v>
      </c>
      <c r="AY362" s="61" t="s">
        <v>186</v>
      </c>
      <c r="BC362" s="28">
        <v>88225348616</v>
      </c>
      <c r="BD362" s="28">
        <v>89526825574</v>
      </c>
      <c r="BE362" s="28">
        <v>87888517525</v>
      </c>
      <c r="BF362" s="28">
        <v>83821451630</v>
      </c>
      <c r="BG362" s="28">
        <v>82340956123</v>
      </c>
      <c r="BH362" s="28">
        <v>85647125108</v>
      </c>
      <c r="BI362" s="28">
        <v>81223215825</v>
      </c>
      <c r="BJ362" s="28">
        <v>816685518</v>
      </c>
      <c r="BK362" s="28">
        <v>81333849146</v>
      </c>
      <c r="BO362" s="39">
        <v>60191188</v>
      </c>
      <c r="BP362" s="18" t="s">
        <v>5140</v>
      </c>
      <c r="BQ362" s="37">
        <v>44958</v>
      </c>
      <c r="BR362" s="8">
        <f t="shared" si="1"/>
        <v>9</v>
      </c>
    </row>
    <row r="363" spans="1:70" ht="15.5">
      <c r="A363" s="4" t="str">
        <v>Reguler Periode ke-101 XXII.A.3</v>
      </c>
      <c r="B363" s="4" t="s">
        <v>2073</v>
      </c>
      <c r="C363" s="38" t="s">
        <v>5141</v>
      </c>
      <c r="D363" s="4" t="s">
        <v>5117</v>
      </c>
      <c r="E363" s="4" t="s">
        <v>5142</v>
      </c>
      <c r="F363" s="4" t="s">
        <v>4928</v>
      </c>
      <c r="G363" s="27" t="s">
        <v>5143</v>
      </c>
      <c r="H363" s="27" t="s">
        <v>5144</v>
      </c>
      <c r="I363" s="27" t="s">
        <v>5145</v>
      </c>
      <c r="J363" s="27" t="s">
        <v>5146</v>
      </c>
      <c r="K363" s="27" t="s">
        <v>5147</v>
      </c>
      <c r="L363" s="27" t="s">
        <v>5148</v>
      </c>
      <c r="M363" s="27" t="s">
        <v>4587</v>
      </c>
      <c r="N363" s="27" t="s">
        <v>5149</v>
      </c>
      <c r="O363" s="27" t="s">
        <v>5150</v>
      </c>
      <c r="S363" s="27">
        <v>1900005058</v>
      </c>
      <c r="T363" s="27">
        <v>1900010269</v>
      </c>
      <c r="U363" s="27">
        <v>1900012047</v>
      </c>
      <c r="V363" s="27">
        <v>1900014036</v>
      </c>
      <c r="W363" s="27">
        <v>1900019004</v>
      </c>
      <c r="X363" s="27">
        <v>1900023208</v>
      </c>
      <c r="Y363" s="27">
        <v>1900029086</v>
      </c>
      <c r="Z363" s="27">
        <v>1900031227</v>
      </c>
      <c r="AA363" s="27">
        <v>1900033050</v>
      </c>
      <c r="AE363" s="27" t="s">
        <v>181</v>
      </c>
      <c r="AF363" s="27" t="s">
        <v>532</v>
      </c>
      <c r="AG363" s="27" t="s">
        <v>885</v>
      </c>
      <c r="AH363" s="27" t="s">
        <v>770</v>
      </c>
      <c r="AI363" s="27" t="s">
        <v>705</v>
      </c>
      <c r="AJ363" s="27" t="s">
        <v>899</v>
      </c>
      <c r="AK363" s="27" t="s">
        <v>533</v>
      </c>
      <c r="AL363" s="27" t="s">
        <v>185</v>
      </c>
      <c r="AM363" s="27" t="s">
        <v>1112</v>
      </c>
      <c r="AO363" s="28"/>
      <c r="AQ363" s="60" t="s">
        <v>186</v>
      </c>
      <c r="AR363" s="61" t="s">
        <v>186</v>
      </c>
      <c r="AS363" s="61" t="s">
        <v>187</v>
      </c>
      <c r="AT363" s="61" t="s">
        <v>186</v>
      </c>
      <c r="AU363" s="61" t="s">
        <v>187</v>
      </c>
      <c r="AV363" s="61" t="s">
        <v>186</v>
      </c>
      <c r="AW363" s="61" t="s">
        <v>186</v>
      </c>
      <c r="AX363" s="61" t="s">
        <v>187</v>
      </c>
      <c r="AY363" s="61" t="s">
        <v>186</v>
      </c>
      <c r="BC363" s="28">
        <v>85658388258</v>
      </c>
      <c r="BD363" s="28">
        <v>8123258647</v>
      </c>
      <c r="BE363" s="28">
        <v>81346469470</v>
      </c>
      <c r="BF363" s="28">
        <v>85803349394</v>
      </c>
      <c r="BG363" s="28"/>
      <c r="BH363" s="28">
        <v>82227806109</v>
      </c>
      <c r="BI363" s="28">
        <v>85747916649</v>
      </c>
      <c r="BJ363" s="28">
        <v>89630037719</v>
      </c>
      <c r="BK363" s="28">
        <v>85609594169</v>
      </c>
      <c r="BO363" s="39">
        <v>60191188</v>
      </c>
      <c r="BP363" s="18" t="s">
        <v>5151</v>
      </c>
      <c r="BQ363" s="37">
        <v>44958</v>
      </c>
      <c r="BR363" s="8">
        <f t="shared" si="1"/>
        <v>9</v>
      </c>
    </row>
    <row r="364" spans="1:70" ht="15.5">
      <c r="A364" s="4" t="str">
        <v>Reguler Periode ke-101 XXII.B.1</v>
      </c>
      <c r="B364" s="4" t="s">
        <v>2073</v>
      </c>
      <c r="C364" s="38" t="s">
        <v>5152</v>
      </c>
      <c r="D364" s="4" t="s">
        <v>5153</v>
      </c>
      <c r="E364" s="4" t="s">
        <v>5154</v>
      </c>
      <c r="F364" s="4" t="s">
        <v>4928</v>
      </c>
      <c r="G364" s="27" t="s">
        <v>5155</v>
      </c>
      <c r="H364" s="27" t="s">
        <v>5156</v>
      </c>
      <c r="I364" s="27" t="s">
        <v>5157</v>
      </c>
      <c r="J364" s="27" t="s">
        <v>5158</v>
      </c>
      <c r="K364" s="27" t="s">
        <v>5159</v>
      </c>
      <c r="L364" s="27" t="s">
        <v>5160</v>
      </c>
      <c r="M364" s="27" t="s">
        <v>5161</v>
      </c>
      <c r="N364" s="27" t="s">
        <v>5162</v>
      </c>
      <c r="O364" s="27" t="s">
        <v>5163</v>
      </c>
      <c r="S364" s="27">
        <v>1800031088</v>
      </c>
      <c r="T364" s="27">
        <v>1900005267</v>
      </c>
      <c r="U364" s="27">
        <v>1900010023</v>
      </c>
      <c r="V364" s="27">
        <v>1900012074</v>
      </c>
      <c r="W364" s="27">
        <v>1900014031</v>
      </c>
      <c r="X364" s="27">
        <v>1900019049</v>
      </c>
      <c r="Y364" s="27">
        <v>1900023109</v>
      </c>
      <c r="Z364" s="27">
        <v>1900029047</v>
      </c>
      <c r="AA364" s="27">
        <v>1900033133</v>
      </c>
      <c r="AE364" s="27" t="s">
        <v>185</v>
      </c>
      <c r="AF364" s="27" t="s">
        <v>181</v>
      </c>
      <c r="AG364" s="27" t="s">
        <v>532</v>
      </c>
      <c r="AH364" s="27" t="s">
        <v>885</v>
      </c>
      <c r="AI364" s="27" t="s">
        <v>770</v>
      </c>
      <c r="AJ364" s="27" t="s">
        <v>705</v>
      </c>
      <c r="AK364" s="27" t="s">
        <v>899</v>
      </c>
      <c r="AL364" s="27" t="s">
        <v>533</v>
      </c>
      <c r="AM364" s="27" t="s">
        <v>1112</v>
      </c>
      <c r="AO364" s="28"/>
      <c r="AQ364" s="60" t="s">
        <v>187</v>
      </c>
      <c r="AR364" s="61" t="s">
        <v>186</v>
      </c>
      <c r="AS364" s="61" t="s">
        <v>186</v>
      </c>
      <c r="AT364" s="61" t="s">
        <v>187</v>
      </c>
      <c r="AU364" s="61" t="s">
        <v>186</v>
      </c>
      <c r="AV364" s="61" t="s">
        <v>187</v>
      </c>
      <c r="AW364" s="61" t="s">
        <v>186</v>
      </c>
      <c r="AX364" s="61" t="s">
        <v>186</v>
      </c>
      <c r="AY364" s="61" t="s">
        <v>186</v>
      </c>
      <c r="BC364" s="28">
        <v>85237443154</v>
      </c>
      <c r="BD364" s="28">
        <v>88224162570</v>
      </c>
      <c r="BE364" s="28">
        <v>82144569702</v>
      </c>
      <c r="BF364" s="28">
        <v>82373419551</v>
      </c>
      <c r="BG364" s="28">
        <v>85600199104</v>
      </c>
      <c r="BH364" s="28">
        <v>82282738920</v>
      </c>
      <c r="BI364" s="28">
        <v>895379100093</v>
      </c>
      <c r="BJ364" s="28">
        <v>81949027886</v>
      </c>
      <c r="BK364" s="28">
        <v>83176946266</v>
      </c>
      <c r="BO364" s="39">
        <v>60211282</v>
      </c>
      <c r="BP364" s="18" t="s">
        <v>5164</v>
      </c>
      <c r="BQ364" s="37">
        <v>44958</v>
      </c>
      <c r="BR364" s="8">
        <f t="shared" si="1"/>
        <v>9</v>
      </c>
    </row>
    <row r="365" spans="1:70" ht="15.5">
      <c r="A365" s="4" t="str">
        <v>Reguler Periode ke-101 XXII.B.2</v>
      </c>
      <c r="B365" s="4" t="s">
        <v>2073</v>
      </c>
      <c r="C365" s="38" t="s">
        <v>5165</v>
      </c>
      <c r="D365" s="4" t="s">
        <v>5153</v>
      </c>
      <c r="E365" s="4" t="s">
        <v>5166</v>
      </c>
      <c r="F365" s="4" t="s">
        <v>4928</v>
      </c>
      <c r="G365" s="27" t="s">
        <v>5167</v>
      </c>
      <c r="H365" s="27" t="s">
        <v>5168</v>
      </c>
      <c r="I365" s="27" t="s">
        <v>5169</v>
      </c>
      <c r="J365" s="27" t="s">
        <v>5170</v>
      </c>
      <c r="K365" s="27" t="s">
        <v>5171</v>
      </c>
      <c r="L365" s="27" t="s">
        <v>5172</v>
      </c>
      <c r="M365" s="27" t="s">
        <v>5173</v>
      </c>
      <c r="N365" s="27" t="s">
        <v>5174</v>
      </c>
      <c r="O365" s="27" t="s">
        <v>5175</v>
      </c>
      <c r="S365" s="27">
        <v>1900005152</v>
      </c>
      <c r="T365" s="27">
        <v>1900010145</v>
      </c>
      <c r="U365" s="27">
        <v>1900012027</v>
      </c>
      <c r="V365" s="27">
        <v>1900014006</v>
      </c>
      <c r="W365" s="27">
        <v>1900019089</v>
      </c>
      <c r="X365" s="27">
        <v>1900023189</v>
      </c>
      <c r="Y365" s="27">
        <v>1900029265</v>
      </c>
      <c r="Z365" s="27">
        <v>1900031160</v>
      </c>
      <c r="AA365" s="27">
        <v>1900033117</v>
      </c>
      <c r="AE365" s="27" t="s">
        <v>181</v>
      </c>
      <c r="AF365" s="27" t="s">
        <v>532</v>
      </c>
      <c r="AG365" s="27" t="s">
        <v>885</v>
      </c>
      <c r="AH365" s="27" t="s">
        <v>770</v>
      </c>
      <c r="AI365" s="27" t="s">
        <v>705</v>
      </c>
      <c r="AJ365" s="27" t="s">
        <v>899</v>
      </c>
      <c r="AK365" s="27" t="s">
        <v>533</v>
      </c>
      <c r="AL365" s="27" t="s">
        <v>185</v>
      </c>
      <c r="AM365" s="27" t="s">
        <v>1112</v>
      </c>
      <c r="AO365" s="28"/>
      <c r="AQ365" s="60" t="s">
        <v>186</v>
      </c>
      <c r="AR365" s="61" t="s">
        <v>186</v>
      </c>
      <c r="AS365" s="61" t="s">
        <v>187</v>
      </c>
      <c r="AT365" s="61" t="s">
        <v>186</v>
      </c>
      <c r="AU365" s="61" t="s">
        <v>187</v>
      </c>
      <c r="AV365" s="61" t="s">
        <v>186</v>
      </c>
      <c r="AW365" s="61" t="s">
        <v>186</v>
      </c>
      <c r="AX365" s="61" t="s">
        <v>187</v>
      </c>
      <c r="AY365" s="61" t="s">
        <v>186</v>
      </c>
      <c r="BC365" s="28">
        <v>82281524349</v>
      </c>
      <c r="BD365" s="28">
        <v>89671099785</v>
      </c>
      <c r="BE365" s="28">
        <v>82375092294</v>
      </c>
      <c r="BF365" s="28">
        <v>82297034364</v>
      </c>
      <c r="BG365" s="28">
        <v>81228747573</v>
      </c>
      <c r="BH365" s="28">
        <v>82146537465</v>
      </c>
      <c r="BI365" s="28">
        <v>82239424413</v>
      </c>
      <c r="BJ365" s="28">
        <v>8886684784</v>
      </c>
      <c r="BK365" s="28">
        <v>85600847376</v>
      </c>
      <c r="BO365" s="39">
        <v>60211282</v>
      </c>
      <c r="BP365" s="18" t="s">
        <v>5176</v>
      </c>
      <c r="BQ365" s="37">
        <v>44958</v>
      </c>
      <c r="BR365" s="8">
        <f t="shared" si="1"/>
        <v>9</v>
      </c>
    </row>
    <row r="366" spans="1:70" ht="15.5">
      <c r="A366" s="4" t="str">
        <v>Reguler Periode ke-101 XXII.B.3</v>
      </c>
      <c r="B366" s="4" t="s">
        <v>2073</v>
      </c>
      <c r="C366" s="38" t="s">
        <v>5177</v>
      </c>
      <c r="D366" s="4" t="s">
        <v>5153</v>
      </c>
      <c r="E366" s="4" t="s">
        <v>5178</v>
      </c>
      <c r="F366" s="4" t="s">
        <v>4928</v>
      </c>
      <c r="G366" s="27" t="s">
        <v>5179</v>
      </c>
      <c r="H366" s="27" t="s">
        <v>5180</v>
      </c>
      <c r="I366" s="27" t="s">
        <v>5181</v>
      </c>
      <c r="J366" s="27" t="s">
        <v>5182</v>
      </c>
      <c r="K366" s="27" t="s">
        <v>5183</v>
      </c>
      <c r="L366" s="27" t="s">
        <v>5184</v>
      </c>
      <c r="M366" s="27" t="s">
        <v>5185</v>
      </c>
      <c r="N366" s="27" t="s">
        <v>5186</v>
      </c>
      <c r="O366" s="27" t="s">
        <v>5187</v>
      </c>
      <c r="S366" s="27">
        <v>1900005078</v>
      </c>
      <c r="T366" s="27">
        <v>1900010242</v>
      </c>
      <c r="U366" s="27">
        <v>1900012037</v>
      </c>
      <c r="V366" s="27">
        <v>1900014042</v>
      </c>
      <c r="W366" s="27">
        <v>1900019081</v>
      </c>
      <c r="X366" s="27">
        <v>1900023081</v>
      </c>
      <c r="Y366" s="27">
        <v>1900029056</v>
      </c>
      <c r="Z366" s="27">
        <v>1900031342</v>
      </c>
      <c r="AA366" s="27">
        <v>1900033078</v>
      </c>
      <c r="AE366" s="27" t="s">
        <v>181</v>
      </c>
      <c r="AF366" s="27" t="s">
        <v>532</v>
      </c>
      <c r="AG366" s="27" t="s">
        <v>885</v>
      </c>
      <c r="AH366" s="27" t="s">
        <v>770</v>
      </c>
      <c r="AI366" s="27" t="s">
        <v>705</v>
      </c>
      <c r="AJ366" s="27" t="s">
        <v>899</v>
      </c>
      <c r="AK366" s="27" t="s">
        <v>533</v>
      </c>
      <c r="AL366" s="27" t="s">
        <v>185</v>
      </c>
      <c r="AM366" s="27" t="s">
        <v>1112</v>
      </c>
      <c r="AO366" s="28"/>
      <c r="AQ366" s="60" t="s">
        <v>186</v>
      </c>
      <c r="AR366" s="61" t="s">
        <v>186</v>
      </c>
      <c r="AS366" s="61" t="s">
        <v>187</v>
      </c>
      <c r="AT366" s="61" t="s">
        <v>186</v>
      </c>
      <c r="AU366" s="61" t="s">
        <v>187</v>
      </c>
      <c r="AV366" s="61" t="s">
        <v>186</v>
      </c>
      <c r="AW366" s="61" t="s">
        <v>186</v>
      </c>
      <c r="AX366" s="61" t="s">
        <v>187</v>
      </c>
      <c r="AY366" s="61" t="s">
        <v>186</v>
      </c>
      <c r="BC366" s="28">
        <v>82229730420</v>
      </c>
      <c r="BD366" s="28">
        <v>88233844821</v>
      </c>
      <c r="BE366" s="28">
        <v>85229313170</v>
      </c>
      <c r="BF366" s="28">
        <v>8997087376</v>
      </c>
      <c r="BG366" s="28">
        <v>85820749688</v>
      </c>
      <c r="BH366" s="28">
        <v>85758592627</v>
      </c>
      <c r="BI366" s="28">
        <v>83154910821</v>
      </c>
      <c r="BJ366" s="28">
        <v>882006157801</v>
      </c>
      <c r="BK366" s="28">
        <v>8118078445</v>
      </c>
      <c r="BO366" s="39">
        <v>60211282</v>
      </c>
      <c r="BP366" s="18" t="s">
        <v>5188</v>
      </c>
      <c r="BQ366" s="37">
        <v>44958</v>
      </c>
      <c r="BR366" s="8">
        <f t="shared" si="1"/>
        <v>9</v>
      </c>
    </row>
    <row r="367" spans="1:70" ht="15.5">
      <c r="A367" s="4" t="str">
        <v>Reguler Periode ke-101 XXII.C.1</v>
      </c>
      <c r="B367" s="4" t="s">
        <v>2073</v>
      </c>
      <c r="C367" s="38" t="s">
        <v>5189</v>
      </c>
      <c r="D367" s="4" t="s">
        <v>5190</v>
      </c>
      <c r="E367" s="4" t="s">
        <v>5191</v>
      </c>
      <c r="F367" s="4" t="s">
        <v>4928</v>
      </c>
      <c r="G367" s="27" t="s">
        <v>5192</v>
      </c>
      <c r="H367" s="27" t="s">
        <v>5193</v>
      </c>
      <c r="I367" s="27" t="s">
        <v>5194</v>
      </c>
      <c r="J367" s="27" t="s">
        <v>5195</v>
      </c>
      <c r="K367" s="27" t="s">
        <v>5196</v>
      </c>
      <c r="L367" s="27" t="s">
        <v>5197</v>
      </c>
      <c r="M367" s="27" t="s">
        <v>5198</v>
      </c>
      <c r="N367" s="27" t="s">
        <v>5199</v>
      </c>
      <c r="O367" s="27" t="s">
        <v>5200</v>
      </c>
      <c r="S367" s="27">
        <v>1600029100</v>
      </c>
      <c r="T367" s="27">
        <v>1900005140</v>
      </c>
      <c r="U367" s="27">
        <v>1900010232</v>
      </c>
      <c r="V367" s="27">
        <v>1900012012</v>
      </c>
      <c r="W367" s="27">
        <v>1900014044</v>
      </c>
      <c r="X367" s="27">
        <v>1900019085</v>
      </c>
      <c r="Y367" s="27">
        <v>1900023192</v>
      </c>
      <c r="Z367" s="27">
        <v>1900031174</v>
      </c>
      <c r="AA367" s="27">
        <v>1900033068</v>
      </c>
      <c r="AE367" s="27" t="s">
        <v>533</v>
      </c>
      <c r="AF367" s="27" t="s">
        <v>181</v>
      </c>
      <c r="AG367" s="27" t="s">
        <v>532</v>
      </c>
      <c r="AH367" s="27" t="s">
        <v>885</v>
      </c>
      <c r="AI367" s="27" t="s">
        <v>770</v>
      </c>
      <c r="AJ367" s="27" t="s">
        <v>705</v>
      </c>
      <c r="AK367" s="27" t="s">
        <v>899</v>
      </c>
      <c r="AL367" s="27" t="s">
        <v>185</v>
      </c>
      <c r="AM367" s="27" t="s">
        <v>1112</v>
      </c>
      <c r="AO367" s="28"/>
      <c r="AQ367" s="60" t="s">
        <v>186</v>
      </c>
      <c r="AR367" s="61" t="s">
        <v>186</v>
      </c>
      <c r="AS367" s="61" t="s">
        <v>186</v>
      </c>
      <c r="AT367" s="61" t="s">
        <v>187</v>
      </c>
      <c r="AU367" s="61" t="s">
        <v>186</v>
      </c>
      <c r="AV367" s="61" t="s">
        <v>187</v>
      </c>
      <c r="AW367" s="61" t="s">
        <v>186</v>
      </c>
      <c r="AX367" s="61" t="s">
        <v>187</v>
      </c>
      <c r="AY367" s="61" t="s">
        <v>186</v>
      </c>
      <c r="BC367" s="28">
        <v>81231970548</v>
      </c>
      <c r="BD367" s="28">
        <v>85892125487</v>
      </c>
      <c r="BE367" s="28">
        <v>895366002402</v>
      </c>
      <c r="BF367" s="28">
        <v>83121349322</v>
      </c>
      <c r="BG367" s="28">
        <v>88806652254</v>
      </c>
      <c r="BH367" s="28">
        <v>82297712526</v>
      </c>
      <c r="BI367" s="28">
        <v>81273446498</v>
      </c>
      <c r="BJ367" s="28">
        <v>88802779407</v>
      </c>
      <c r="BK367" s="28">
        <v>85219476393</v>
      </c>
      <c r="BO367" s="39">
        <v>60960138</v>
      </c>
      <c r="BP367" s="18" t="s">
        <v>5201</v>
      </c>
      <c r="BQ367" s="37">
        <v>44958</v>
      </c>
      <c r="BR367" s="8">
        <f t="shared" si="1"/>
        <v>9</v>
      </c>
    </row>
    <row r="368" spans="1:70" ht="15.5">
      <c r="A368" s="4" t="str">
        <v>Reguler Periode ke-101 XXII.C.2</v>
      </c>
      <c r="B368" s="4" t="s">
        <v>2073</v>
      </c>
      <c r="C368" s="38" t="s">
        <v>5202</v>
      </c>
      <c r="D368" s="4" t="s">
        <v>5190</v>
      </c>
      <c r="E368" s="4" t="s">
        <v>5203</v>
      </c>
      <c r="F368" s="4" t="s">
        <v>4928</v>
      </c>
      <c r="G368" s="27" t="s">
        <v>5204</v>
      </c>
      <c r="H368" s="27" t="s">
        <v>5205</v>
      </c>
      <c r="I368" s="27" t="s">
        <v>5206</v>
      </c>
      <c r="J368" s="27" t="s">
        <v>5207</v>
      </c>
      <c r="K368" s="27" t="s">
        <v>5208</v>
      </c>
      <c r="L368" s="27" t="s">
        <v>5209</v>
      </c>
      <c r="M368" s="27" t="s">
        <v>5210</v>
      </c>
      <c r="N368" s="27" t="s">
        <v>5211</v>
      </c>
      <c r="O368" s="27" t="s">
        <v>5212</v>
      </c>
      <c r="S368" s="27">
        <v>1900005093</v>
      </c>
      <c r="T368" s="27">
        <v>1900010224</v>
      </c>
      <c r="U368" s="27">
        <v>1900012069</v>
      </c>
      <c r="V368" s="27">
        <v>1900014016</v>
      </c>
      <c r="W368" s="27">
        <v>1900019016</v>
      </c>
      <c r="X368" s="27">
        <v>1900023110</v>
      </c>
      <c r="Y368" s="27">
        <v>1900029231</v>
      </c>
      <c r="Z368" s="27">
        <v>1900031064</v>
      </c>
      <c r="AA368" s="27">
        <v>1900033060</v>
      </c>
      <c r="AE368" s="52" t="s">
        <v>181</v>
      </c>
      <c r="AF368" s="52" t="s">
        <v>532</v>
      </c>
      <c r="AG368" s="52" t="s">
        <v>885</v>
      </c>
      <c r="AH368" s="52" t="s">
        <v>770</v>
      </c>
      <c r="AI368" s="52" t="s">
        <v>705</v>
      </c>
      <c r="AJ368" s="52" t="s">
        <v>899</v>
      </c>
      <c r="AK368" s="52" t="s">
        <v>533</v>
      </c>
      <c r="AL368" s="52" t="s">
        <v>185</v>
      </c>
      <c r="AM368" s="52" t="s">
        <v>1112</v>
      </c>
      <c r="AO368" s="28"/>
      <c r="AQ368" s="60" t="s">
        <v>186</v>
      </c>
      <c r="AR368" s="61" t="s">
        <v>186</v>
      </c>
      <c r="AS368" s="61" t="s">
        <v>187</v>
      </c>
      <c r="AT368" s="61" t="s">
        <v>186</v>
      </c>
      <c r="AU368" s="61" t="s">
        <v>187</v>
      </c>
      <c r="AV368" s="61" t="s">
        <v>186</v>
      </c>
      <c r="AW368" s="61" t="s">
        <v>186</v>
      </c>
      <c r="AX368" s="61" t="s">
        <v>187</v>
      </c>
      <c r="AY368" s="61" t="s">
        <v>186</v>
      </c>
      <c r="BC368" s="28">
        <v>85950400464</v>
      </c>
      <c r="BD368" s="28">
        <v>81259196316</v>
      </c>
      <c r="BE368" s="28">
        <v>82372259075</v>
      </c>
      <c r="BF368" s="28">
        <v>8886697017</v>
      </c>
      <c r="BG368" s="28">
        <v>895323845070</v>
      </c>
      <c r="BH368" s="28">
        <v>895396173384</v>
      </c>
      <c r="BI368" s="28">
        <v>89514262900</v>
      </c>
      <c r="BJ368" s="28">
        <v>895342959475</v>
      </c>
      <c r="BK368" s="28">
        <v>812984142248</v>
      </c>
      <c r="BO368" s="39">
        <v>60960138</v>
      </c>
      <c r="BP368" s="18" t="s">
        <v>5213</v>
      </c>
      <c r="BQ368" s="37">
        <v>44958</v>
      </c>
      <c r="BR368" s="8">
        <f t="shared" si="1"/>
        <v>9</v>
      </c>
    </row>
    <row r="369" spans="1:70" ht="15.5">
      <c r="A369" s="4" t="str">
        <v>Reguler Periode ke-101 XXII.C.3</v>
      </c>
      <c r="B369" s="4" t="s">
        <v>2073</v>
      </c>
      <c r="C369" s="38" t="s">
        <v>5214</v>
      </c>
      <c r="D369" s="4" t="s">
        <v>5190</v>
      </c>
      <c r="E369" s="4" t="s">
        <v>5215</v>
      </c>
      <c r="F369" s="4" t="s">
        <v>4928</v>
      </c>
      <c r="G369" s="27" t="s">
        <v>5216</v>
      </c>
      <c r="H369" s="27" t="s">
        <v>5217</v>
      </c>
      <c r="I369" s="27" t="s">
        <v>5218</v>
      </c>
      <c r="J369" s="27" t="s">
        <v>5219</v>
      </c>
      <c r="K369" s="27" t="s">
        <v>5220</v>
      </c>
      <c r="L369" s="27" t="s">
        <v>5221</v>
      </c>
      <c r="M369" s="27" t="s">
        <v>5222</v>
      </c>
      <c r="N369" s="27" t="s">
        <v>5223</v>
      </c>
      <c r="O369" s="27" t="s">
        <v>5224</v>
      </c>
      <c r="S369" s="27">
        <v>1900005215</v>
      </c>
      <c r="T369" s="27">
        <v>1900010258</v>
      </c>
      <c r="U369" s="27">
        <v>1900012013</v>
      </c>
      <c r="V369" s="27">
        <v>1900014037</v>
      </c>
      <c r="W369" s="27">
        <v>1900019087</v>
      </c>
      <c r="X369" s="27">
        <v>1900023162</v>
      </c>
      <c r="Y369" s="27">
        <v>1900029279</v>
      </c>
      <c r="Z369" s="27">
        <v>1900031145</v>
      </c>
      <c r="AA369" s="27">
        <v>1900033069</v>
      </c>
      <c r="AE369" s="52" t="s">
        <v>181</v>
      </c>
      <c r="AF369" s="52" t="s">
        <v>532</v>
      </c>
      <c r="AG369" s="52" t="s">
        <v>885</v>
      </c>
      <c r="AH369" s="52" t="s">
        <v>770</v>
      </c>
      <c r="AI369" s="52" t="s">
        <v>705</v>
      </c>
      <c r="AJ369" s="52" t="s">
        <v>899</v>
      </c>
      <c r="AK369" s="52" t="s">
        <v>533</v>
      </c>
      <c r="AL369" s="52" t="s">
        <v>185</v>
      </c>
      <c r="AM369" s="52" t="s">
        <v>1112</v>
      </c>
      <c r="AO369" s="28"/>
      <c r="AQ369" s="60" t="s">
        <v>186</v>
      </c>
      <c r="AR369" s="61" t="s">
        <v>186</v>
      </c>
      <c r="AS369" s="61" t="s">
        <v>187</v>
      </c>
      <c r="AT369" s="61" t="s">
        <v>186</v>
      </c>
      <c r="AU369" s="61" t="s">
        <v>187</v>
      </c>
      <c r="AV369" s="61" t="s">
        <v>186</v>
      </c>
      <c r="AW369" s="61" t="s">
        <v>186</v>
      </c>
      <c r="AX369" s="61" t="s">
        <v>187</v>
      </c>
      <c r="AY369" s="61" t="s">
        <v>186</v>
      </c>
      <c r="BC369" s="28">
        <v>81349347284</v>
      </c>
      <c r="BD369" s="28" t="s">
        <v>5225</v>
      </c>
      <c r="BE369" s="28">
        <v>82284540380</v>
      </c>
      <c r="BF369" s="28">
        <v>8996221893</v>
      </c>
      <c r="BG369" s="28">
        <v>81252807287</v>
      </c>
      <c r="BH369" s="28">
        <v>82178737974</v>
      </c>
      <c r="BI369" s="28">
        <v>85328758603</v>
      </c>
      <c r="BJ369" s="28">
        <v>88228955137</v>
      </c>
      <c r="BK369" s="28">
        <v>81392536903</v>
      </c>
      <c r="BO369" s="39">
        <v>60960138</v>
      </c>
      <c r="BP369" s="18" t="s">
        <v>5226</v>
      </c>
      <c r="BQ369" s="37">
        <v>44958</v>
      </c>
      <c r="BR369" s="8">
        <f t="shared" si="1"/>
        <v>9</v>
      </c>
    </row>
    <row r="370" spans="1:70" ht="15.5">
      <c r="A370" s="4" t="str">
        <v>Reguler Periode ke-101 XXII.D.1</v>
      </c>
      <c r="B370" s="4" t="s">
        <v>2073</v>
      </c>
      <c r="C370" s="38" t="s">
        <v>5227</v>
      </c>
      <c r="D370" s="4" t="s">
        <v>5228</v>
      </c>
      <c r="E370" s="4" t="s">
        <v>5229</v>
      </c>
      <c r="F370" s="4" t="s">
        <v>4928</v>
      </c>
      <c r="G370" s="27" t="s">
        <v>5230</v>
      </c>
      <c r="H370" s="27" t="s">
        <v>5231</v>
      </c>
      <c r="I370" s="27" t="s">
        <v>5232</v>
      </c>
      <c r="J370" s="27" t="s">
        <v>5233</v>
      </c>
      <c r="K370" s="27" t="s">
        <v>5234</v>
      </c>
      <c r="L370" s="27" t="s">
        <v>5235</v>
      </c>
      <c r="M370" s="27" t="s">
        <v>5236</v>
      </c>
      <c r="N370" s="27" t="s">
        <v>5237</v>
      </c>
      <c r="O370" s="27" t="s">
        <v>5238</v>
      </c>
      <c r="S370" s="27">
        <v>1900005354</v>
      </c>
      <c r="T370" s="27">
        <v>1900010196</v>
      </c>
      <c r="U370" s="27">
        <v>1900012126</v>
      </c>
      <c r="V370" s="27">
        <v>1900014032</v>
      </c>
      <c r="W370" s="27">
        <v>1900019118</v>
      </c>
      <c r="X370" s="27">
        <v>1900023277</v>
      </c>
      <c r="Y370" s="27">
        <v>1900029119</v>
      </c>
      <c r="Z370" s="27">
        <v>1900031083</v>
      </c>
      <c r="AA370" s="27">
        <v>1900033118</v>
      </c>
      <c r="AE370" s="52" t="s">
        <v>181</v>
      </c>
      <c r="AF370" s="52" t="s">
        <v>532</v>
      </c>
      <c r="AG370" s="52" t="s">
        <v>885</v>
      </c>
      <c r="AH370" s="52" t="s">
        <v>770</v>
      </c>
      <c r="AI370" s="52" t="s">
        <v>705</v>
      </c>
      <c r="AJ370" s="52" t="s">
        <v>899</v>
      </c>
      <c r="AK370" s="52" t="s">
        <v>533</v>
      </c>
      <c r="AL370" s="52" t="s">
        <v>185</v>
      </c>
      <c r="AM370" s="52" t="s">
        <v>1112</v>
      </c>
      <c r="AQ370" s="63" t="s">
        <v>186</v>
      </c>
      <c r="AR370" s="63" t="s">
        <v>186</v>
      </c>
      <c r="AS370" s="63" t="s">
        <v>187</v>
      </c>
      <c r="AT370" s="63" t="s">
        <v>186</v>
      </c>
      <c r="AU370" s="63" t="s">
        <v>187</v>
      </c>
      <c r="AV370" s="63" t="s">
        <v>186</v>
      </c>
      <c r="AW370" s="63" t="s">
        <v>186</v>
      </c>
      <c r="AX370" s="63" t="s">
        <v>187</v>
      </c>
      <c r="AY370" s="63" t="s">
        <v>186</v>
      </c>
      <c r="AZ370" s="63" t="s">
        <v>186</v>
      </c>
      <c r="BC370" s="28">
        <v>81386339271</v>
      </c>
      <c r="BD370" s="28">
        <v>85725920894</v>
      </c>
      <c r="BE370" s="28">
        <v>8085269379630</v>
      </c>
      <c r="BF370" s="28">
        <v>83145640397</v>
      </c>
      <c r="BG370" s="28">
        <v>82150914079</v>
      </c>
      <c r="BH370" s="28">
        <v>83130603420</v>
      </c>
      <c r="BI370" s="28">
        <v>85234973309</v>
      </c>
      <c r="BJ370" s="28">
        <v>81212583230</v>
      </c>
      <c r="BK370" s="28">
        <v>81227817627</v>
      </c>
      <c r="BO370" s="39">
        <v>60080555</v>
      </c>
      <c r="BP370" s="18" t="s">
        <v>5239</v>
      </c>
      <c r="BQ370" s="37">
        <v>44958</v>
      </c>
      <c r="BR370" s="8">
        <f t="shared" si="1"/>
        <v>9</v>
      </c>
    </row>
    <row r="371" spans="1:70" ht="15.5">
      <c r="A371" s="4" t="str">
        <v>Reguler Periode ke-101 XXII.D.2</v>
      </c>
      <c r="B371" s="4" t="s">
        <v>2073</v>
      </c>
      <c r="C371" s="38" t="s">
        <v>5240</v>
      </c>
      <c r="D371" s="4" t="s">
        <v>5228</v>
      </c>
      <c r="E371" s="4" t="s">
        <v>5241</v>
      </c>
      <c r="F371" s="4" t="s">
        <v>4928</v>
      </c>
      <c r="G371" s="27" t="s">
        <v>5242</v>
      </c>
      <c r="H371" s="27" t="s">
        <v>5243</v>
      </c>
      <c r="I371" s="27" t="s">
        <v>5244</v>
      </c>
      <c r="J371" s="27" t="s">
        <v>5245</v>
      </c>
      <c r="K371" s="27" t="s">
        <v>5246</v>
      </c>
      <c r="L371" s="27" t="s">
        <v>5247</v>
      </c>
      <c r="M371" s="27" t="s">
        <v>5248</v>
      </c>
      <c r="N371" s="27" t="s">
        <v>5249</v>
      </c>
      <c r="O371" s="27" t="s">
        <v>5250</v>
      </c>
      <c r="S371" s="27">
        <v>1900005372</v>
      </c>
      <c r="T371" s="27">
        <v>1900010003</v>
      </c>
      <c r="U371" s="27">
        <v>1900012102</v>
      </c>
      <c r="V371" s="27">
        <v>1900014038</v>
      </c>
      <c r="W371" s="27">
        <v>1900019186</v>
      </c>
      <c r="X371" s="27">
        <v>1900023127</v>
      </c>
      <c r="Y371" s="27">
        <v>1900029028</v>
      </c>
      <c r="Z371" s="27">
        <v>1900031205</v>
      </c>
      <c r="AA371" s="27">
        <v>1900033180</v>
      </c>
      <c r="AE371" s="27" t="s">
        <v>181</v>
      </c>
      <c r="AF371" s="27" t="s">
        <v>532</v>
      </c>
      <c r="AG371" s="27" t="s">
        <v>885</v>
      </c>
      <c r="AH371" s="27" t="s">
        <v>770</v>
      </c>
      <c r="AI371" s="27" t="s">
        <v>705</v>
      </c>
      <c r="AJ371" s="27" t="s">
        <v>899</v>
      </c>
      <c r="AK371" s="27" t="s">
        <v>533</v>
      </c>
      <c r="AL371" s="27" t="s">
        <v>185</v>
      </c>
      <c r="AM371" s="27" t="s">
        <v>1112</v>
      </c>
      <c r="AQ371" s="62" t="s">
        <v>186</v>
      </c>
      <c r="AR371" s="63" t="s">
        <v>186</v>
      </c>
      <c r="AS371" s="63" t="s">
        <v>187</v>
      </c>
      <c r="AT371" s="63" t="s">
        <v>186</v>
      </c>
      <c r="AU371" s="63" t="s">
        <v>187</v>
      </c>
      <c r="AV371" s="63" t="s">
        <v>186</v>
      </c>
      <c r="AW371" s="63" t="s">
        <v>186</v>
      </c>
      <c r="AX371" s="63" t="s">
        <v>187</v>
      </c>
      <c r="AY371" s="63" t="s">
        <v>186</v>
      </c>
      <c r="BC371" s="28">
        <v>89502017743</v>
      </c>
      <c r="BD371" s="28">
        <v>85875304993</v>
      </c>
      <c r="BE371" s="28">
        <v>82254100713</v>
      </c>
      <c r="BF371" s="28">
        <v>85725688063</v>
      </c>
      <c r="BG371" s="28">
        <v>87726596277</v>
      </c>
      <c r="BH371" s="28">
        <v>82221163253</v>
      </c>
      <c r="BI371" s="28">
        <v>82295381927</v>
      </c>
      <c r="BJ371" s="28">
        <v>81329454977</v>
      </c>
      <c r="BK371" s="28">
        <v>85267338236</v>
      </c>
      <c r="BO371" s="39">
        <v>60080555</v>
      </c>
      <c r="BP371" s="18" t="s">
        <v>5251</v>
      </c>
      <c r="BQ371" s="37">
        <v>44958</v>
      </c>
      <c r="BR371" s="8">
        <f t="shared" si="1"/>
        <v>9</v>
      </c>
    </row>
    <row r="372" spans="1:70" ht="15.5">
      <c r="A372" s="4" t="str">
        <v>Reguler Periode ke-101 XXII.D.3</v>
      </c>
      <c r="B372" s="4" t="s">
        <v>2073</v>
      </c>
      <c r="C372" s="38" t="s">
        <v>5252</v>
      </c>
      <c r="D372" s="4" t="s">
        <v>5228</v>
      </c>
      <c r="E372" s="4" t="s">
        <v>5253</v>
      </c>
      <c r="F372" s="4" t="s">
        <v>4928</v>
      </c>
      <c r="G372" s="27" t="s">
        <v>5254</v>
      </c>
      <c r="H372" s="27" t="s">
        <v>5255</v>
      </c>
      <c r="I372" s="27" t="s">
        <v>5256</v>
      </c>
      <c r="J372" s="27" t="s">
        <v>5257</v>
      </c>
      <c r="K372" s="27" t="s">
        <v>5258</v>
      </c>
      <c r="L372" s="27" t="s">
        <v>5259</v>
      </c>
      <c r="M372" s="27" t="s">
        <v>5260</v>
      </c>
      <c r="N372" s="27" t="s">
        <v>5261</v>
      </c>
      <c r="O372" s="27" t="s">
        <v>5262</v>
      </c>
      <c r="S372" s="27">
        <v>1900005369</v>
      </c>
      <c r="T372" s="27">
        <v>1900010001</v>
      </c>
      <c r="U372" s="27">
        <v>1900012116</v>
      </c>
      <c r="V372" s="27">
        <v>1900020101</v>
      </c>
      <c r="W372" s="27">
        <v>1900023206</v>
      </c>
      <c r="X372" s="27">
        <v>1900029009</v>
      </c>
      <c r="Y372" s="27">
        <v>1900031008</v>
      </c>
      <c r="Z372" s="27">
        <v>1900033140</v>
      </c>
      <c r="AA372" s="27">
        <v>1915015040</v>
      </c>
      <c r="AE372" s="27" t="s">
        <v>181</v>
      </c>
      <c r="AF372" s="27" t="s">
        <v>532</v>
      </c>
      <c r="AG372" s="27" t="s">
        <v>885</v>
      </c>
      <c r="AH372" s="27" t="s">
        <v>351</v>
      </c>
      <c r="AI372" s="27" t="s">
        <v>899</v>
      </c>
      <c r="AJ372" s="27" t="s">
        <v>533</v>
      </c>
      <c r="AK372" s="27" t="s">
        <v>185</v>
      </c>
      <c r="AL372" s="27" t="s">
        <v>1112</v>
      </c>
      <c r="AM372" s="27" t="s">
        <v>937</v>
      </c>
      <c r="AQ372" s="60" t="s">
        <v>186</v>
      </c>
      <c r="AR372" s="61" t="s">
        <v>186</v>
      </c>
      <c r="AS372" s="61" t="s">
        <v>187</v>
      </c>
      <c r="AT372" s="61" t="s">
        <v>187</v>
      </c>
      <c r="AU372" s="61" t="s">
        <v>186</v>
      </c>
      <c r="AV372" s="61" t="s">
        <v>186</v>
      </c>
      <c r="AW372" s="61" t="s">
        <v>187</v>
      </c>
      <c r="AX372" s="61" t="s">
        <v>186</v>
      </c>
      <c r="AY372" s="61" t="s">
        <v>186</v>
      </c>
      <c r="BC372" s="28">
        <v>8985650609</v>
      </c>
      <c r="BD372" s="28">
        <v>85729786000</v>
      </c>
      <c r="BE372" s="28" t="s">
        <v>5263</v>
      </c>
      <c r="BF372" s="28">
        <v>82259150916</v>
      </c>
      <c r="BG372" s="28">
        <v>85693326242</v>
      </c>
      <c r="BH372" s="28">
        <v>82334482241</v>
      </c>
      <c r="BI372" s="28">
        <v>89634098685</v>
      </c>
      <c r="BJ372" s="28">
        <v>85216835510</v>
      </c>
      <c r="BK372" s="28">
        <v>8815202127</v>
      </c>
      <c r="BO372" s="39">
        <v>60080555</v>
      </c>
      <c r="BP372" s="18" t="s">
        <v>5264</v>
      </c>
      <c r="BQ372" s="37">
        <v>44958</v>
      </c>
      <c r="BR372" s="8">
        <f t="shared" si="1"/>
        <v>9</v>
      </c>
    </row>
    <row r="373" spans="1:70" ht="15.5">
      <c r="A373" s="4" t="str">
        <v>Reguler Periode ke-101 XXIII.A.1</v>
      </c>
      <c r="B373" s="4" t="s">
        <v>2073</v>
      </c>
      <c r="C373" s="38" t="s">
        <v>5265</v>
      </c>
      <c r="D373" s="4" t="s">
        <v>5266</v>
      </c>
      <c r="E373" s="4" t="s">
        <v>5267</v>
      </c>
      <c r="F373" s="4" t="s">
        <v>4928</v>
      </c>
      <c r="G373" s="27" t="s">
        <v>5268</v>
      </c>
      <c r="H373" s="27" t="s">
        <v>5269</v>
      </c>
      <c r="I373" s="27" t="s">
        <v>5270</v>
      </c>
      <c r="J373" s="27" t="s">
        <v>5271</v>
      </c>
      <c r="K373" s="27" t="s">
        <v>5272</v>
      </c>
      <c r="L373" s="27" t="s">
        <v>5273</v>
      </c>
      <c r="M373" s="27" t="s">
        <v>5274</v>
      </c>
      <c r="N373" s="27" t="s">
        <v>5275</v>
      </c>
      <c r="O373" s="27" t="s">
        <v>5276</v>
      </c>
      <c r="S373" s="27">
        <v>1900005383</v>
      </c>
      <c r="T373" s="27">
        <v>1900010235</v>
      </c>
      <c r="U373" s="27">
        <v>1900011007</v>
      </c>
      <c r="V373" s="27">
        <v>1900013284</v>
      </c>
      <c r="W373" s="27">
        <v>1900019146</v>
      </c>
      <c r="X373" s="27">
        <v>1900023108</v>
      </c>
      <c r="Y373" s="27">
        <v>1900029284</v>
      </c>
      <c r="Z373" s="27">
        <v>1900031362</v>
      </c>
      <c r="AA373" s="27">
        <v>1900033025</v>
      </c>
      <c r="AE373" s="52" t="s">
        <v>181</v>
      </c>
      <c r="AF373" s="52" t="s">
        <v>532</v>
      </c>
      <c r="AG373" s="52" t="s">
        <v>182</v>
      </c>
      <c r="AH373" s="52" t="s">
        <v>677</v>
      </c>
      <c r="AI373" s="52" t="s">
        <v>705</v>
      </c>
      <c r="AJ373" s="52" t="s">
        <v>899</v>
      </c>
      <c r="AK373" s="52" t="s">
        <v>533</v>
      </c>
      <c r="AL373" s="52" t="s">
        <v>185</v>
      </c>
      <c r="AM373" s="52" t="s">
        <v>1112</v>
      </c>
      <c r="AQ373" s="62" t="s">
        <v>186</v>
      </c>
      <c r="AR373" s="63" t="s">
        <v>186</v>
      </c>
      <c r="AS373" s="63" t="s">
        <v>187</v>
      </c>
      <c r="AT373" s="63" t="s">
        <v>186</v>
      </c>
      <c r="AU373" s="63" t="s">
        <v>187</v>
      </c>
      <c r="AV373" s="63" t="s">
        <v>186</v>
      </c>
      <c r="AW373" s="63" t="s">
        <v>186</v>
      </c>
      <c r="AX373" s="63" t="s">
        <v>187</v>
      </c>
      <c r="AY373" s="63" t="s">
        <v>186</v>
      </c>
      <c r="BC373" s="28">
        <v>8976427147</v>
      </c>
      <c r="BD373" s="28">
        <v>85326679873</v>
      </c>
      <c r="BE373" s="28">
        <v>83866921313</v>
      </c>
      <c r="BF373" s="28">
        <v>85716348063</v>
      </c>
      <c r="BG373" s="28">
        <v>81322567582</v>
      </c>
      <c r="BH373" s="28">
        <v>895385366935</v>
      </c>
      <c r="BI373" s="28">
        <v>87810272580</v>
      </c>
      <c r="BJ373" s="28">
        <v>88226807912</v>
      </c>
      <c r="BK373" s="28">
        <v>81391904521</v>
      </c>
      <c r="BO373" s="39">
        <v>60160936</v>
      </c>
      <c r="BP373" s="18" t="s">
        <v>5277</v>
      </c>
      <c r="BQ373" s="37">
        <v>44958</v>
      </c>
      <c r="BR373" s="8">
        <f t="shared" si="1"/>
        <v>9</v>
      </c>
    </row>
    <row r="374" spans="1:70" ht="15.5">
      <c r="A374" s="4" t="str">
        <v>Reguler Periode ke-101 XXIII.A.2</v>
      </c>
      <c r="B374" s="4" t="s">
        <v>2073</v>
      </c>
      <c r="C374" s="38" t="s">
        <v>5278</v>
      </c>
      <c r="D374" s="4" t="s">
        <v>5266</v>
      </c>
      <c r="E374" s="4" t="s">
        <v>5279</v>
      </c>
      <c r="F374" s="4" t="s">
        <v>4928</v>
      </c>
      <c r="G374" s="27" t="s">
        <v>5280</v>
      </c>
      <c r="H374" s="27" t="s">
        <v>5281</v>
      </c>
      <c r="I374" s="27" t="s">
        <v>5282</v>
      </c>
      <c r="J374" s="27" t="s">
        <v>5283</v>
      </c>
      <c r="K374" s="27" t="s">
        <v>5284</v>
      </c>
      <c r="L374" s="27" t="s">
        <v>5285</v>
      </c>
      <c r="M374" s="27" t="s">
        <v>5286</v>
      </c>
      <c r="N374" s="27" t="s">
        <v>5287</v>
      </c>
      <c r="O374" s="27" t="s">
        <v>5288</v>
      </c>
      <c r="S374" s="27">
        <v>1900005371</v>
      </c>
      <c r="T374" s="27">
        <v>1900010015</v>
      </c>
      <c r="U374" s="27">
        <v>1900011108</v>
      </c>
      <c r="V374" s="27">
        <v>1900013067</v>
      </c>
      <c r="W374" s="27">
        <v>1900019032</v>
      </c>
      <c r="X374" s="27">
        <v>1900023276</v>
      </c>
      <c r="Y374" s="27">
        <v>1900029256</v>
      </c>
      <c r="Z374" s="27">
        <v>1900031379</v>
      </c>
      <c r="AA374" s="27">
        <v>1900033145</v>
      </c>
      <c r="AE374" s="27" t="s">
        <v>181</v>
      </c>
      <c r="AF374" s="27" t="s">
        <v>532</v>
      </c>
      <c r="AG374" s="27" t="s">
        <v>182</v>
      </c>
      <c r="AH374" s="27" t="s">
        <v>677</v>
      </c>
      <c r="AI374" s="27" t="s">
        <v>705</v>
      </c>
      <c r="AJ374" s="27" t="s">
        <v>899</v>
      </c>
      <c r="AK374" s="27" t="s">
        <v>533</v>
      </c>
      <c r="AL374" s="27" t="s">
        <v>185</v>
      </c>
      <c r="AM374" s="27" t="s">
        <v>1112</v>
      </c>
      <c r="AQ374" s="62" t="s">
        <v>186</v>
      </c>
      <c r="AR374" s="63" t="s">
        <v>186</v>
      </c>
      <c r="AS374" s="63" t="s">
        <v>187</v>
      </c>
      <c r="AT374" s="63" t="s">
        <v>186</v>
      </c>
      <c r="AU374" s="63" t="s">
        <v>187</v>
      </c>
      <c r="AV374" s="63" t="s">
        <v>186</v>
      </c>
      <c r="AW374" s="63" t="s">
        <v>186</v>
      </c>
      <c r="AX374" s="63" t="s">
        <v>187</v>
      </c>
      <c r="AY374" s="63" t="s">
        <v>186</v>
      </c>
      <c r="BC374" s="28">
        <v>85869769530</v>
      </c>
      <c r="BD374" s="28">
        <v>87758583483</v>
      </c>
      <c r="BE374" s="28">
        <v>82292737366</v>
      </c>
      <c r="BF374" s="28">
        <v>82223075617</v>
      </c>
      <c r="BG374" s="28">
        <v>81511063037</v>
      </c>
      <c r="BH374" s="28">
        <v>81517253835</v>
      </c>
      <c r="BI374" s="28">
        <v>85799491934</v>
      </c>
      <c r="BJ374" s="28">
        <v>82134915096</v>
      </c>
      <c r="BK374" s="28">
        <v>8978057023</v>
      </c>
      <c r="BO374" s="39">
        <v>60160936</v>
      </c>
      <c r="BP374" s="18" t="s">
        <v>5289</v>
      </c>
      <c r="BQ374" s="37">
        <v>44958</v>
      </c>
      <c r="BR374" s="8">
        <f t="shared" si="1"/>
        <v>9</v>
      </c>
    </row>
    <row r="375" spans="1:70" ht="15.5">
      <c r="A375" s="4" t="str">
        <v>Reguler Periode ke-101 XXIII.A.3</v>
      </c>
      <c r="B375" s="4" t="s">
        <v>2073</v>
      </c>
      <c r="C375" s="38" t="s">
        <v>5290</v>
      </c>
      <c r="D375" s="4" t="s">
        <v>5266</v>
      </c>
      <c r="E375" s="4" t="s">
        <v>5291</v>
      </c>
      <c r="F375" s="4" t="s">
        <v>4928</v>
      </c>
      <c r="G375" s="27" t="s">
        <v>5292</v>
      </c>
      <c r="H375" s="27" t="s">
        <v>5293</v>
      </c>
      <c r="I375" s="27" t="s">
        <v>5294</v>
      </c>
      <c r="J375" s="27" t="s">
        <v>5295</v>
      </c>
      <c r="K375" s="27" t="s">
        <v>5296</v>
      </c>
      <c r="L375" s="27" t="s">
        <v>5297</v>
      </c>
      <c r="M375" s="27" t="s">
        <v>5298</v>
      </c>
      <c r="N375" s="27" t="s">
        <v>5299</v>
      </c>
      <c r="O375" s="27" t="s">
        <v>5300</v>
      </c>
      <c r="S375" s="27">
        <v>1900005286</v>
      </c>
      <c r="T375" s="27">
        <v>1900010119</v>
      </c>
      <c r="U375" s="27">
        <v>1900012038</v>
      </c>
      <c r="V375" s="27">
        <v>1900013269</v>
      </c>
      <c r="W375" s="27">
        <v>1900019050</v>
      </c>
      <c r="X375" s="27">
        <v>1900023262</v>
      </c>
      <c r="Y375" s="27">
        <v>1900029111</v>
      </c>
      <c r="Z375" s="27">
        <v>1900031201</v>
      </c>
      <c r="AA375" s="27">
        <v>1900033034</v>
      </c>
      <c r="AE375" s="52" t="s">
        <v>181</v>
      </c>
      <c r="AF375" s="52" t="s">
        <v>532</v>
      </c>
      <c r="AG375" s="52" t="s">
        <v>885</v>
      </c>
      <c r="AH375" s="52" t="s">
        <v>677</v>
      </c>
      <c r="AI375" s="52" t="s">
        <v>705</v>
      </c>
      <c r="AJ375" s="52" t="s">
        <v>899</v>
      </c>
      <c r="AK375" s="52" t="s">
        <v>533</v>
      </c>
      <c r="AL375" s="52" t="s">
        <v>185</v>
      </c>
      <c r="AM375" s="52" t="s">
        <v>1112</v>
      </c>
      <c r="AQ375" s="62" t="s">
        <v>186</v>
      </c>
      <c r="AR375" s="63" t="s">
        <v>186</v>
      </c>
      <c r="AS375" s="63" t="s">
        <v>187</v>
      </c>
      <c r="AT375" s="63" t="s">
        <v>186</v>
      </c>
      <c r="AU375" s="63" t="s">
        <v>187</v>
      </c>
      <c r="AV375" s="63" t="s">
        <v>186</v>
      </c>
      <c r="AW375" s="63" t="s">
        <v>186</v>
      </c>
      <c r="AX375" s="63" t="s">
        <v>187</v>
      </c>
      <c r="AY375" s="63" t="s">
        <v>186</v>
      </c>
      <c r="BC375" s="28">
        <v>81325238280</v>
      </c>
      <c r="BD375" s="28">
        <v>82262381292</v>
      </c>
      <c r="BE375" s="28">
        <v>89528601156</v>
      </c>
      <c r="BF375" s="28">
        <v>85764739169</v>
      </c>
      <c r="BG375" s="28">
        <v>895378974574</v>
      </c>
      <c r="BH375" s="28">
        <v>81558836022</v>
      </c>
      <c r="BI375" s="28">
        <v>81252923751</v>
      </c>
      <c r="BJ375" s="28">
        <v>82281130598</v>
      </c>
      <c r="BK375" s="28">
        <v>85159661002</v>
      </c>
      <c r="BO375" s="39">
        <v>60160936</v>
      </c>
      <c r="BP375" s="18" t="s">
        <v>5301</v>
      </c>
      <c r="BQ375" s="37">
        <v>44958</v>
      </c>
      <c r="BR375" s="8">
        <f t="shared" si="1"/>
        <v>9</v>
      </c>
    </row>
    <row r="376" spans="1:70" ht="15.5">
      <c r="A376" s="4" t="str">
        <v>Reguler Periode ke-101 XXIII.B.1</v>
      </c>
      <c r="B376" s="4" t="s">
        <v>2073</v>
      </c>
      <c r="C376" s="38" t="s">
        <v>5302</v>
      </c>
      <c r="D376" s="4" t="s">
        <v>5303</v>
      </c>
      <c r="E376" s="4" t="s">
        <v>5304</v>
      </c>
      <c r="F376" s="4" t="s">
        <v>4928</v>
      </c>
      <c r="G376" s="27" t="s">
        <v>5305</v>
      </c>
      <c r="H376" s="27" t="s">
        <v>5306</v>
      </c>
      <c r="I376" s="27" t="s">
        <v>5307</v>
      </c>
      <c r="J376" s="27" t="s">
        <v>5308</v>
      </c>
      <c r="K376" s="27" t="s">
        <v>5309</v>
      </c>
      <c r="L376" s="27" t="s">
        <v>5310</v>
      </c>
      <c r="M376" s="27" t="s">
        <v>5311</v>
      </c>
      <c r="N376" s="27" t="s">
        <v>5312</v>
      </c>
      <c r="O376" s="27" t="s">
        <v>5313</v>
      </c>
      <c r="S376" s="27">
        <v>1900005295</v>
      </c>
      <c r="T376" s="27">
        <v>1900010267</v>
      </c>
      <c r="U376" s="27">
        <v>1900012251</v>
      </c>
      <c r="V376" s="27">
        <v>1900013192</v>
      </c>
      <c r="W376" s="27">
        <v>1900019104</v>
      </c>
      <c r="X376" s="27">
        <v>1900023236</v>
      </c>
      <c r="Y376" s="27">
        <v>1900029100</v>
      </c>
      <c r="Z376" s="27">
        <v>1900031324</v>
      </c>
      <c r="AA376" s="27">
        <v>1900033074</v>
      </c>
      <c r="AE376" s="27" t="s">
        <v>181</v>
      </c>
      <c r="AF376" s="27" t="s">
        <v>532</v>
      </c>
      <c r="AG376" s="27" t="s">
        <v>885</v>
      </c>
      <c r="AH376" s="27" t="s">
        <v>677</v>
      </c>
      <c r="AI376" s="27" t="s">
        <v>705</v>
      </c>
      <c r="AJ376" s="27" t="s">
        <v>899</v>
      </c>
      <c r="AK376" s="27" t="s">
        <v>533</v>
      </c>
      <c r="AL376" s="27" t="s">
        <v>185</v>
      </c>
      <c r="AM376" s="27" t="s">
        <v>1112</v>
      </c>
      <c r="AQ376" s="62" t="s">
        <v>186</v>
      </c>
      <c r="AR376" s="63" t="s">
        <v>186</v>
      </c>
      <c r="AS376" s="63" t="s">
        <v>187</v>
      </c>
      <c r="AT376" s="63" t="s">
        <v>186</v>
      </c>
      <c r="AU376" s="63" t="s">
        <v>187</v>
      </c>
      <c r="AV376" s="63" t="s">
        <v>186</v>
      </c>
      <c r="AW376" s="63" t="s">
        <v>186</v>
      </c>
      <c r="AX376" s="63" t="s">
        <v>187</v>
      </c>
      <c r="AY376" s="63" t="s">
        <v>186</v>
      </c>
      <c r="BC376" s="28">
        <v>85290725466</v>
      </c>
      <c r="BD376" s="28">
        <v>85774153898</v>
      </c>
      <c r="BE376" s="28">
        <v>82324259074</v>
      </c>
      <c r="BF376" s="28">
        <v>81329387825</v>
      </c>
      <c r="BG376" s="28">
        <v>89605623765</v>
      </c>
      <c r="BH376" s="28">
        <v>89531069226</v>
      </c>
      <c r="BI376" s="28">
        <v>8154022906</v>
      </c>
      <c r="BJ376" s="28">
        <v>87846134720</v>
      </c>
      <c r="BK376" s="28">
        <v>82133210327</v>
      </c>
      <c r="BO376" s="39">
        <v>60150800</v>
      </c>
      <c r="BP376" s="18" t="s">
        <v>5314</v>
      </c>
      <c r="BQ376" s="37">
        <v>44958</v>
      </c>
      <c r="BR376" s="8">
        <f t="shared" si="1"/>
        <v>9</v>
      </c>
    </row>
    <row r="377" spans="1:70" ht="15.5">
      <c r="A377" s="4" t="str">
        <v>Reguler Periode ke-101 XXIII.B.2</v>
      </c>
      <c r="B377" s="4" t="s">
        <v>2073</v>
      </c>
      <c r="C377" s="38" t="s">
        <v>5315</v>
      </c>
      <c r="D377" s="4" t="s">
        <v>5303</v>
      </c>
      <c r="E377" s="4" t="s">
        <v>5316</v>
      </c>
      <c r="F377" s="4" t="s">
        <v>4928</v>
      </c>
      <c r="G377" s="27" t="s">
        <v>5317</v>
      </c>
      <c r="H377" s="27" t="s">
        <v>5318</v>
      </c>
      <c r="I377" s="27" t="s">
        <v>5319</v>
      </c>
      <c r="J377" s="27" t="s">
        <v>5320</v>
      </c>
      <c r="K377" s="27" t="s">
        <v>5321</v>
      </c>
      <c r="L377" s="27" t="s">
        <v>5322</v>
      </c>
      <c r="M377" s="27" t="s">
        <v>5323</v>
      </c>
      <c r="N377" s="27" t="s">
        <v>5324</v>
      </c>
      <c r="O377" s="27" t="s">
        <v>5325</v>
      </c>
      <c r="S377" s="27">
        <v>1900005060</v>
      </c>
      <c r="T377" s="27">
        <v>1900010229</v>
      </c>
      <c r="U377" s="27">
        <v>1900012239</v>
      </c>
      <c r="V377" s="27">
        <v>1900013324</v>
      </c>
      <c r="W377" s="27">
        <v>1900019097</v>
      </c>
      <c r="X377" s="27">
        <v>1900023282</v>
      </c>
      <c r="Y377" s="27">
        <v>1900029034</v>
      </c>
      <c r="Z377" s="27">
        <v>1900031067</v>
      </c>
      <c r="AA377" s="27">
        <v>1900033120</v>
      </c>
      <c r="AE377" s="27" t="s">
        <v>181</v>
      </c>
      <c r="AF377" s="27" t="s">
        <v>532</v>
      </c>
      <c r="AG377" s="27" t="s">
        <v>885</v>
      </c>
      <c r="AH377" s="27" t="s">
        <v>677</v>
      </c>
      <c r="AI377" s="27" t="s">
        <v>705</v>
      </c>
      <c r="AJ377" s="27" t="s">
        <v>899</v>
      </c>
      <c r="AK377" s="27" t="s">
        <v>533</v>
      </c>
      <c r="AL377" s="27" t="s">
        <v>185</v>
      </c>
      <c r="AM377" s="27" t="s">
        <v>1112</v>
      </c>
      <c r="AQ377" s="60" t="s">
        <v>186</v>
      </c>
      <c r="AR377" s="61" t="s">
        <v>186</v>
      </c>
      <c r="AS377" s="61" t="s">
        <v>187</v>
      </c>
      <c r="AT377" s="61" t="s">
        <v>186</v>
      </c>
      <c r="AU377" s="61" t="s">
        <v>187</v>
      </c>
      <c r="AV377" s="61" t="s">
        <v>186</v>
      </c>
      <c r="AW377" s="61" t="s">
        <v>186</v>
      </c>
      <c r="AX377" s="61" t="s">
        <v>187</v>
      </c>
      <c r="AY377" s="61" t="s">
        <v>186</v>
      </c>
      <c r="BC377" s="28">
        <v>85643084032</v>
      </c>
      <c r="BD377" s="28">
        <v>85326570224</v>
      </c>
      <c r="BE377" s="28">
        <v>89636571073</v>
      </c>
      <c r="BF377" s="28">
        <v>81548308323</v>
      </c>
      <c r="BG377" s="28">
        <v>89528358761</v>
      </c>
      <c r="BH377" s="28">
        <v>82223072701</v>
      </c>
      <c r="BI377" s="28">
        <v>81359494665</v>
      </c>
      <c r="BJ377" s="28">
        <v>85600677795</v>
      </c>
      <c r="BK377" s="28">
        <v>85764193307</v>
      </c>
      <c r="BO377" s="39">
        <v>60150800</v>
      </c>
      <c r="BP377" s="18" t="s">
        <v>5326</v>
      </c>
      <c r="BQ377" s="37">
        <v>44958</v>
      </c>
      <c r="BR377" s="8">
        <f t="shared" si="1"/>
        <v>9</v>
      </c>
    </row>
    <row r="378" spans="1:70" ht="15.5">
      <c r="A378" s="4" t="str">
        <v>Reguler Periode ke-101 XXIII.B.3</v>
      </c>
      <c r="B378" s="4" t="s">
        <v>2073</v>
      </c>
      <c r="C378" s="38" t="s">
        <v>5327</v>
      </c>
      <c r="D378" s="4" t="s">
        <v>5303</v>
      </c>
      <c r="E378" s="4" t="s">
        <v>5328</v>
      </c>
      <c r="F378" s="4" t="s">
        <v>4928</v>
      </c>
      <c r="G378" s="27" t="s">
        <v>5329</v>
      </c>
      <c r="H378" s="27" t="s">
        <v>5330</v>
      </c>
      <c r="I378" s="27" t="s">
        <v>5331</v>
      </c>
      <c r="J378" s="27" t="s">
        <v>5332</v>
      </c>
      <c r="K378" s="27" t="s">
        <v>5333</v>
      </c>
      <c r="L378" s="27" t="s">
        <v>5334</v>
      </c>
      <c r="M378" s="27" t="s">
        <v>5335</v>
      </c>
      <c r="N378" s="27" t="s">
        <v>5336</v>
      </c>
      <c r="O378" s="27" t="s">
        <v>5337</v>
      </c>
      <c r="S378" s="27">
        <v>1700019144</v>
      </c>
      <c r="T378" s="27">
        <v>1900005139</v>
      </c>
      <c r="U378" s="27">
        <v>1900010247</v>
      </c>
      <c r="V378" s="27">
        <v>1900012106</v>
      </c>
      <c r="W378" s="27">
        <v>1900013179</v>
      </c>
      <c r="X378" s="27">
        <v>1900023166</v>
      </c>
      <c r="Y378" s="27">
        <v>1900029141</v>
      </c>
      <c r="Z378" s="27">
        <v>1900031270</v>
      </c>
      <c r="AA378" s="27">
        <v>1900033159</v>
      </c>
      <c r="AE378" s="27" t="s">
        <v>705</v>
      </c>
      <c r="AF378" s="27" t="s">
        <v>181</v>
      </c>
      <c r="AG378" s="27" t="s">
        <v>532</v>
      </c>
      <c r="AH378" s="27" t="s">
        <v>885</v>
      </c>
      <c r="AI378" s="27" t="s">
        <v>677</v>
      </c>
      <c r="AJ378" s="27" t="s">
        <v>899</v>
      </c>
      <c r="AK378" s="27" t="s">
        <v>533</v>
      </c>
      <c r="AL378" s="27" t="s">
        <v>185</v>
      </c>
      <c r="AM378" s="27" t="s">
        <v>1112</v>
      </c>
      <c r="AQ378" s="60" t="s">
        <v>187</v>
      </c>
      <c r="AR378" s="61" t="s">
        <v>186</v>
      </c>
      <c r="AS378" s="61" t="s">
        <v>186</v>
      </c>
      <c r="AT378" s="61" t="s">
        <v>187</v>
      </c>
      <c r="AU378" s="61" t="s">
        <v>186</v>
      </c>
      <c r="AV378" s="61" t="s">
        <v>186</v>
      </c>
      <c r="AW378" s="61" t="s">
        <v>186</v>
      </c>
      <c r="AX378" s="61" t="s">
        <v>187</v>
      </c>
      <c r="AY378" s="61" t="s">
        <v>186</v>
      </c>
      <c r="BC378" s="28">
        <v>895320216360</v>
      </c>
      <c r="BD378" s="28">
        <v>82372362125</v>
      </c>
      <c r="BE378" s="28">
        <v>85266323597</v>
      </c>
      <c r="BF378" s="28">
        <v>81356103980</v>
      </c>
      <c r="BG378" s="28">
        <v>82112540978</v>
      </c>
      <c r="BH378" s="28">
        <v>85664601842</v>
      </c>
      <c r="BI378" s="28">
        <v>82133364118</v>
      </c>
      <c r="BJ378" s="28">
        <v>88226938609</v>
      </c>
      <c r="BK378" s="28">
        <v>81213387459</v>
      </c>
      <c r="BO378" s="39">
        <v>60150800</v>
      </c>
      <c r="BP378" s="18" t="s">
        <v>5338</v>
      </c>
      <c r="BQ378" s="37">
        <v>44958</v>
      </c>
      <c r="BR378" s="8">
        <f t="shared" si="1"/>
        <v>9</v>
      </c>
    </row>
    <row r="379" spans="1:70" ht="15.5">
      <c r="A379" s="4" t="str">
        <v>Reguler Periode ke-101 XXIII.C.1</v>
      </c>
      <c r="B379" s="4" t="s">
        <v>2073</v>
      </c>
      <c r="C379" s="38" t="s">
        <v>5339</v>
      </c>
      <c r="D379" s="4" t="s">
        <v>5340</v>
      </c>
      <c r="E379" s="4" t="s">
        <v>5341</v>
      </c>
      <c r="F379" s="4" t="s">
        <v>4928</v>
      </c>
      <c r="G379" s="27" t="s">
        <v>5342</v>
      </c>
      <c r="H379" s="27" t="s">
        <v>5343</v>
      </c>
      <c r="I379" s="27" t="s">
        <v>5344</v>
      </c>
      <c r="J379" s="27" t="s">
        <v>5345</v>
      </c>
      <c r="K379" s="27" t="s">
        <v>5346</v>
      </c>
      <c r="L379" s="27" t="s">
        <v>5347</v>
      </c>
      <c r="M379" s="27" t="s">
        <v>5348</v>
      </c>
      <c r="N379" s="27" t="s">
        <v>5349</v>
      </c>
      <c r="O379" s="27" t="s">
        <v>5350</v>
      </c>
      <c r="S379" s="27">
        <v>1900005217</v>
      </c>
      <c r="T379" s="27">
        <v>1900010208</v>
      </c>
      <c r="U379" s="27">
        <v>1900012107</v>
      </c>
      <c r="V379" s="27">
        <v>1900013155</v>
      </c>
      <c r="W379" s="27">
        <v>1900019048</v>
      </c>
      <c r="X379" s="27">
        <v>1900023040</v>
      </c>
      <c r="Y379" s="27">
        <v>1900029139</v>
      </c>
      <c r="Z379" s="27">
        <v>1900031387</v>
      </c>
      <c r="AA379" s="27">
        <v>1900033020</v>
      </c>
      <c r="AE379" s="52" t="s">
        <v>181</v>
      </c>
      <c r="AF379" s="52" t="s">
        <v>532</v>
      </c>
      <c r="AG379" s="52" t="s">
        <v>885</v>
      </c>
      <c r="AH379" s="52" t="s">
        <v>677</v>
      </c>
      <c r="AI379" s="52" t="s">
        <v>705</v>
      </c>
      <c r="AJ379" s="52" t="s">
        <v>899</v>
      </c>
      <c r="AK379" s="52" t="s">
        <v>533</v>
      </c>
      <c r="AL379" s="52" t="s">
        <v>185</v>
      </c>
      <c r="AM379" s="52" t="s">
        <v>1112</v>
      </c>
      <c r="AQ379" s="60" t="s">
        <v>186</v>
      </c>
      <c r="AR379" s="61" t="s">
        <v>186</v>
      </c>
      <c r="AS379" s="61" t="s">
        <v>187</v>
      </c>
      <c r="AT379" s="61" t="s">
        <v>186</v>
      </c>
      <c r="AU379" s="61" t="s">
        <v>187</v>
      </c>
      <c r="AV379" s="61" t="s">
        <v>186</v>
      </c>
      <c r="AW379" s="61" t="s">
        <v>186</v>
      </c>
      <c r="AX379" s="61" t="s">
        <v>187</v>
      </c>
      <c r="AY379" s="61" t="s">
        <v>186</v>
      </c>
      <c r="BC379" s="28">
        <v>81438087170</v>
      </c>
      <c r="BD379" s="28">
        <v>85237329196</v>
      </c>
      <c r="BE379" s="28">
        <v>82165313392</v>
      </c>
      <c r="BF379" s="28">
        <v>82376052379</v>
      </c>
      <c r="BG379" s="28">
        <v>82169961143</v>
      </c>
      <c r="BH379" s="28">
        <v>87720503075</v>
      </c>
      <c r="BI379" s="28">
        <v>87878682021</v>
      </c>
      <c r="BJ379" s="28">
        <v>88239762763</v>
      </c>
      <c r="BK379" s="28">
        <v>85876269323</v>
      </c>
      <c r="BO379" s="39">
        <v>60150804</v>
      </c>
      <c r="BP379" s="18" t="s">
        <v>5351</v>
      </c>
      <c r="BQ379" s="37">
        <v>44958</v>
      </c>
      <c r="BR379" s="8">
        <f t="shared" si="1"/>
        <v>9</v>
      </c>
    </row>
    <row r="380" spans="1:70" ht="15.5">
      <c r="A380" s="4" t="str">
        <v>Reguler Periode ke-101 XXIII.C.2</v>
      </c>
      <c r="B380" s="4" t="s">
        <v>2073</v>
      </c>
      <c r="C380" s="38" t="s">
        <v>5352</v>
      </c>
      <c r="D380" s="4" t="s">
        <v>5340</v>
      </c>
      <c r="E380" s="4" t="s">
        <v>5353</v>
      </c>
      <c r="F380" s="4" t="s">
        <v>4928</v>
      </c>
      <c r="G380" s="27" t="s">
        <v>5354</v>
      </c>
      <c r="H380" s="27" t="s">
        <v>5355</v>
      </c>
      <c r="I380" s="27" t="s">
        <v>5356</v>
      </c>
      <c r="J380" s="27" t="s">
        <v>5357</v>
      </c>
      <c r="K380" s="27" t="s">
        <v>5358</v>
      </c>
      <c r="L380" s="27" t="s">
        <v>5359</v>
      </c>
      <c r="M380" s="27" t="s">
        <v>5360</v>
      </c>
      <c r="N380" s="27" t="s">
        <v>5361</v>
      </c>
      <c r="O380" s="27" t="s">
        <v>5362</v>
      </c>
      <c r="S380" s="27">
        <v>1900005088</v>
      </c>
      <c r="T380" s="27">
        <v>1900010081</v>
      </c>
      <c r="U380" s="27">
        <v>1900012089</v>
      </c>
      <c r="V380" s="27">
        <v>1900013245</v>
      </c>
      <c r="W380" s="27">
        <v>1900019076</v>
      </c>
      <c r="X380" s="27">
        <v>1900023184</v>
      </c>
      <c r="Y380" s="27">
        <v>1900029069</v>
      </c>
      <c r="Z380" s="27">
        <v>1900031111</v>
      </c>
      <c r="AA380" s="27">
        <v>1900033089</v>
      </c>
      <c r="AE380" s="27" t="s">
        <v>181</v>
      </c>
      <c r="AF380" s="27" t="s">
        <v>532</v>
      </c>
      <c r="AG380" s="27" t="s">
        <v>885</v>
      </c>
      <c r="AH380" s="27" t="s">
        <v>677</v>
      </c>
      <c r="AI380" s="27" t="s">
        <v>705</v>
      </c>
      <c r="AJ380" s="27" t="s">
        <v>899</v>
      </c>
      <c r="AK380" s="27" t="s">
        <v>533</v>
      </c>
      <c r="AL380" s="27" t="s">
        <v>185</v>
      </c>
      <c r="AM380" s="27" t="s">
        <v>1112</v>
      </c>
      <c r="AQ380" s="60" t="s">
        <v>186</v>
      </c>
      <c r="AR380" s="61" t="s">
        <v>186</v>
      </c>
      <c r="AS380" s="61" t="s">
        <v>187</v>
      </c>
      <c r="AT380" s="61" t="s">
        <v>186</v>
      </c>
      <c r="AU380" s="61" t="s">
        <v>187</v>
      </c>
      <c r="AV380" s="61" t="s">
        <v>186</v>
      </c>
      <c r="AW380" s="61" t="s">
        <v>186</v>
      </c>
      <c r="AX380" s="61" t="s">
        <v>187</v>
      </c>
      <c r="AY380" s="61" t="s">
        <v>186</v>
      </c>
      <c r="BC380" s="28">
        <v>85809950340</v>
      </c>
      <c r="BD380" s="28">
        <v>85814513327</v>
      </c>
      <c r="BE380" s="28">
        <v>895357837074</v>
      </c>
      <c r="BF380" s="28">
        <v>8112511270</v>
      </c>
      <c r="BG380" s="28">
        <v>81242795603</v>
      </c>
      <c r="BH380" s="28">
        <v>81327622511</v>
      </c>
      <c r="BI380" s="28">
        <v>82287620317</v>
      </c>
      <c r="BJ380" s="28">
        <v>82146430940</v>
      </c>
      <c r="BK380" s="28">
        <v>81365898515</v>
      </c>
      <c r="BO380" s="39">
        <v>60150804</v>
      </c>
      <c r="BP380" s="18" t="s">
        <v>5363</v>
      </c>
      <c r="BQ380" s="37">
        <v>44958</v>
      </c>
      <c r="BR380" s="8">
        <f t="shared" si="1"/>
        <v>9</v>
      </c>
    </row>
    <row r="381" spans="1:70" ht="15.5">
      <c r="A381" s="4" t="str">
        <v>Reguler Periode ke-101 XXIII.C.3</v>
      </c>
      <c r="B381" s="4" t="s">
        <v>2073</v>
      </c>
      <c r="C381" s="38" t="s">
        <v>5364</v>
      </c>
      <c r="D381" s="4" t="s">
        <v>5340</v>
      </c>
      <c r="E381" s="4" t="s">
        <v>5365</v>
      </c>
      <c r="F381" s="4" t="s">
        <v>4928</v>
      </c>
      <c r="G381" s="27" t="s">
        <v>5366</v>
      </c>
      <c r="H381" s="27" t="s">
        <v>5367</v>
      </c>
      <c r="I381" s="27" t="s">
        <v>5368</v>
      </c>
      <c r="J381" s="27" t="s">
        <v>5369</v>
      </c>
      <c r="K381" s="27" t="s">
        <v>5370</v>
      </c>
      <c r="L381" s="27" t="s">
        <v>5371</v>
      </c>
      <c r="M381" s="27" t="s">
        <v>5372</v>
      </c>
      <c r="N381" s="27" t="s">
        <v>5373</v>
      </c>
      <c r="O381" s="27" t="s">
        <v>5374</v>
      </c>
      <c r="S381" s="27">
        <v>1900005193</v>
      </c>
      <c r="T381" s="27">
        <v>1900010200</v>
      </c>
      <c r="U381" s="27">
        <v>1900012077</v>
      </c>
      <c r="V381" s="27">
        <v>1900014039</v>
      </c>
      <c r="W381" s="27">
        <v>1900019130</v>
      </c>
      <c r="X381" s="27">
        <v>1900023078</v>
      </c>
      <c r="Y381" s="27">
        <v>1900029085</v>
      </c>
      <c r="Z381" s="27">
        <v>1900031247</v>
      </c>
      <c r="AA381" s="27">
        <v>1900033071</v>
      </c>
      <c r="AE381" s="52" t="s">
        <v>181</v>
      </c>
      <c r="AF381" s="52" t="s">
        <v>532</v>
      </c>
      <c r="AG381" s="52" t="s">
        <v>885</v>
      </c>
      <c r="AH381" s="52" t="s">
        <v>770</v>
      </c>
      <c r="AI381" s="52" t="s">
        <v>705</v>
      </c>
      <c r="AJ381" s="52" t="s">
        <v>899</v>
      </c>
      <c r="AK381" s="52" t="s">
        <v>533</v>
      </c>
      <c r="AL381" s="52" t="s">
        <v>185</v>
      </c>
      <c r="AM381" s="52" t="s">
        <v>1112</v>
      </c>
      <c r="AQ381" s="60" t="s">
        <v>186</v>
      </c>
      <c r="AR381" s="61" t="s">
        <v>186</v>
      </c>
      <c r="AS381" s="61" t="s">
        <v>187</v>
      </c>
      <c r="AT381" s="61" t="s">
        <v>186</v>
      </c>
      <c r="AU381" s="61" t="s">
        <v>187</v>
      </c>
      <c r="AV381" s="61" t="s">
        <v>186</v>
      </c>
      <c r="AW381" s="61" t="s">
        <v>186</v>
      </c>
      <c r="AX381" s="61" t="s">
        <v>187</v>
      </c>
      <c r="AY381" s="61" t="s">
        <v>186</v>
      </c>
      <c r="BC381" s="28">
        <v>85222260220</v>
      </c>
      <c r="BD381" s="28">
        <v>82299590788</v>
      </c>
      <c r="BE381" s="28">
        <v>81266829005</v>
      </c>
      <c r="BF381" s="28">
        <v>81392295967</v>
      </c>
      <c r="BG381" s="28">
        <v>81366505674</v>
      </c>
      <c r="BH381" s="28">
        <v>88239529826</v>
      </c>
      <c r="BI381" s="28">
        <v>87748881248</v>
      </c>
      <c r="BJ381" s="28">
        <v>89633475398</v>
      </c>
      <c r="BK381" s="28">
        <v>87788787453</v>
      </c>
      <c r="BO381" s="39">
        <v>60150804</v>
      </c>
      <c r="BP381" s="18" t="s">
        <v>5375</v>
      </c>
      <c r="BQ381" s="37">
        <v>44958</v>
      </c>
      <c r="BR381" s="8">
        <f t="shared" si="1"/>
        <v>9</v>
      </c>
    </row>
    <row r="382" spans="1:70" ht="15.5">
      <c r="A382" s="4" t="str">
        <v>Reguler Periode ke-101 XXIII.D.1</v>
      </c>
      <c r="B382" s="4" t="s">
        <v>2073</v>
      </c>
      <c r="C382" s="38" t="s">
        <v>5376</v>
      </c>
      <c r="D382" s="4" t="s">
        <v>5377</v>
      </c>
      <c r="E382" s="4" t="s">
        <v>5378</v>
      </c>
      <c r="F382" s="4" t="s">
        <v>4928</v>
      </c>
      <c r="G382" s="27" t="s">
        <v>5379</v>
      </c>
      <c r="H382" s="27" t="s">
        <v>5380</v>
      </c>
      <c r="I382" s="27" t="s">
        <v>5381</v>
      </c>
      <c r="J382" s="27" t="s">
        <v>5382</v>
      </c>
      <c r="K382" s="27" t="s">
        <v>5383</v>
      </c>
      <c r="L382" s="27" t="s">
        <v>5384</v>
      </c>
      <c r="M382" s="27" t="s">
        <v>5385</v>
      </c>
      <c r="N382" s="27" t="s">
        <v>5386</v>
      </c>
      <c r="O382" s="27" t="s">
        <v>5387</v>
      </c>
      <c r="S382" s="27">
        <v>1900005108</v>
      </c>
      <c r="T382" s="27">
        <v>1900010120</v>
      </c>
      <c r="U382" s="27">
        <v>1900012213</v>
      </c>
      <c r="V382" s="27">
        <v>1900014019</v>
      </c>
      <c r="W382" s="27">
        <v>1900019194</v>
      </c>
      <c r="X382" s="27">
        <v>1900023176</v>
      </c>
      <c r="Y382" s="27">
        <v>1900029150</v>
      </c>
      <c r="Z382" s="27">
        <v>1900031139</v>
      </c>
      <c r="AA382" s="27">
        <v>1900033166</v>
      </c>
      <c r="AE382" s="52" t="s">
        <v>181</v>
      </c>
      <c r="AF382" s="52" t="s">
        <v>532</v>
      </c>
      <c r="AG382" s="52" t="s">
        <v>885</v>
      </c>
      <c r="AH382" s="52" t="s">
        <v>770</v>
      </c>
      <c r="AI382" s="52" t="s">
        <v>705</v>
      </c>
      <c r="AJ382" s="52" t="s">
        <v>899</v>
      </c>
      <c r="AK382" s="52" t="s">
        <v>533</v>
      </c>
      <c r="AL382" s="52" t="s">
        <v>185</v>
      </c>
      <c r="AM382" s="52" t="s">
        <v>1112</v>
      </c>
      <c r="AQ382" s="60" t="s">
        <v>186</v>
      </c>
      <c r="AR382" s="61" t="s">
        <v>186</v>
      </c>
      <c r="AS382" s="61" t="s">
        <v>187</v>
      </c>
      <c r="AT382" s="61" t="s">
        <v>186</v>
      </c>
      <c r="AU382" s="61" t="s">
        <v>187</v>
      </c>
      <c r="AV382" s="61" t="s">
        <v>186</v>
      </c>
      <c r="AW382" s="61" t="s">
        <v>186</v>
      </c>
      <c r="AX382" s="61" t="s">
        <v>187</v>
      </c>
      <c r="AY382" s="61" t="s">
        <v>186</v>
      </c>
      <c r="BC382" s="28">
        <v>895377301890</v>
      </c>
      <c r="BD382" s="28">
        <v>82267757190</v>
      </c>
      <c r="BE382" s="28">
        <v>81268448708</v>
      </c>
      <c r="BF382" s="28">
        <v>85640858084</v>
      </c>
      <c r="BG382" s="28">
        <v>85713140840</v>
      </c>
      <c r="BH382" s="28">
        <v>81515890578</v>
      </c>
      <c r="BI382" s="28">
        <v>81228376141</v>
      </c>
      <c r="BJ382" s="28">
        <v>82244176277</v>
      </c>
      <c r="BK382" s="28">
        <v>82247257985</v>
      </c>
      <c r="BO382" s="39">
        <v>60160976</v>
      </c>
      <c r="BP382" s="18" t="s">
        <v>5388</v>
      </c>
      <c r="BQ382" s="37">
        <v>44958</v>
      </c>
      <c r="BR382" s="8">
        <f t="shared" si="1"/>
        <v>9</v>
      </c>
    </row>
    <row r="383" spans="1:70" ht="15.5">
      <c r="A383" s="4" t="str">
        <v>Reguler Periode ke-101 XXIII.D.2</v>
      </c>
      <c r="B383" s="4" t="s">
        <v>2073</v>
      </c>
      <c r="C383" s="38" t="s">
        <v>5389</v>
      </c>
      <c r="D383" s="4" t="s">
        <v>5377</v>
      </c>
      <c r="E383" s="4" t="s">
        <v>5390</v>
      </c>
      <c r="F383" s="4" t="s">
        <v>4928</v>
      </c>
      <c r="G383" s="27" t="s">
        <v>5391</v>
      </c>
      <c r="H383" s="27" t="s">
        <v>5392</v>
      </c>
      <c r="I383" s="27" t="s">
        <v>5393</v>
      </c>
      <c r="J383" s="27" t="s">
        <v>5394</v>
      </c>
      <c r="K383" s="27" t="s">
        <v>5395</v>
      </c>
      <c r="L383" s="27" t="s">
        <v>5396</v>
      </c>
      <c r="M383" s="27" t="s">
        <v>5397</v>
      </c>
      <c r="N383" s="27" t="s">
        <v>5398</v>
      </c>
      <c r="O383" s="27" t="s">
        <v>5399</v>
      </c>
      <c r="S383" s="27">
        <v>1900005395</v>
      </c>
      <c r="T383" s="27">
        <v>1900010246</v>
      </c>
      <c r="U383" s="27">
        <v>1900012128</v>
      </c>
      <c r="V383" s="27">
        <v>1900014030</v>
      </c>
      <c r="W383" s="27">
        <v>1900019124</v>
      </c>
      <c r="X383" s="27">
        <v>1900023235</v>
      </c>
      <c r="Y383" s="27">
        <v>1900029149</v>
      </c>
      <c r="Z383" s="27">
        <v>1900031028</v>
      </c>
      <c r="AA383" s="27">
        <v>1900033165</v>
      </c>
      <c r="AE383" s="27" t="s">
        <v>181</v>
      </c>
      <c r="AF383" s="27" t="s">
        <v>532</v>
      </c>
      <c r="AG383" s="27" t="s">
        <v>885</v>
      </c>
      <c r="AH383" s="27" t="s">
        <v>770</v>
      </c>
      <c r="AI383" s="27" t="s">
        <v>705</v>
      </c>
      <c r="AJ383" s="27" t="s">
        <v>899</v>
      </c>
      <c r="AK383" s="27" t="s">
        <v>533</v>
      </c>
      <c r="AL383" s="27" t="s">
        <v>185</v>
      </c>
      <c r="AM383" s="27" t="s">
        <v>1112</v>
      </c>
      <c r="AQ383" s="60" t="s">
        <v>186</v>
      </c>
      <c r="AR383" s="61" t="s">
        <v>186</v>
      </c>
      <c r="AS383" s="61" t="s">
        <v>187</v>
      </c>
      <c r="AT383" s="61" t="s">
        <v>186</v>
      </c>
      <c r="AU383" s="61" t="s">
        <v>187</v>
      </c>
      <c r="AV383" s="61" t="s">
        <v>186</v>
      </c>
      <c r="AW383" s="61" t="s">
        <v>186</v>
      </c>
      <c r="AX383" s="61" t="s">
        <v>187</v>
      </c>
      <c r="AY383" s="61" t="s">
        <v>186</v>
      </c>
      <c r="BC383" s="28">
        <v>81522653194</v>
      </c>
      <c r="BD383" s="28">
        <v>85783506153</v>
      </c>
      <c r="BE383" s="28">
        <v>82329075751</v>
      </c>
      <c r="BF383" s="28">
        <v>81393355108</v>
      </c>
      <c r="BG383" s="28">
        <v>81294838048</v>
      </c>
      <c r="BH383" s="28">
        <v>81275079026</v>
      </c>
      <c r="BI383" s="28">
        <v>87856425138</v>
      </c>
      <c r="BJ383" s="28">
        <v>82251916737</v>
      </c>
      <c r="BK383" s="28">
        <v>83121616379</v>
      </c>
      <c r="BO383" s="39">
        <v>60160976</v>
      </c>
      <c r="BP383" s="18" t="s">
        <v>5400</v>
      </c>
      <c r="BQ383" s="37">
        <v>44958</v>
      </c>
      <c r="BR383" s="8">
        <f t="shared" si="1"/>
        <v>9</v>
      </c>
    </row>
    <row r="384" spans="1:70" ht="15.5">
      <c r="A384" s="4" t="str">
        <v>Reguler Periode ke-101 XXIII.D.3</v>
      </c>
      <c r="B384" s="4" t="s">
        <v>2073</v>
      </c>
      <c r="C384" s="38" t="s">
        <v>5401</v>
      </c>
      <c r="D384" s="4" t="s">
        <v>5377</v>
      </c>
      <c r="E384" s="4" t="s">
        <v>5402</v>
      </c>
      <c r="F384" s="4" t="s">
        <v>4928</v>
      </c>
      <c r="G384" s="27" t="s">
        <v>5403</v>
      </c>
      <c r="H384" s="27" t="s">
        <v>5404</v>
      </c>
      <c r="I384" s="27" t="s">
        <v>5405</v>
      </c>
      <c r="J384" s="27" t="s">
        <v>5406</v>
      </c>
      <c r="K384" s="27" t="s">
        <v>5407</v>
      </c>
      <c r="L384" s="27" t="s">
        <v>5408</v>
      </c>
      <c r="M384" s="27" t="s">
        <v>5409</v>
      </c>
      <c r="N384" s="27" t="s">
        <v>5410</v>
      </c>
      <c r="O384" s="27" t="s">
        <v>5411</v>
      </c>
      <c r="S384" s="27">
        <v>1800019159</v>
      </c>
      <c r="T384" s="27">
        <v>1900005011</v>
      </c>
      <c r="U384" s="27">
        <v>1900010136</v>
      </c>
      <c r="V384" s="27">
        <v>1900012244</v>
      </c>
      <c r="W384" s="27">
        <v>1900023098</v>
      </c>
      <c r="X384" s="27">
        <v>1900029151</v>
      </c>
      <c r="Y384" s="27">
        <v>1900031242</v>
      </c>
      <c r="Z384" s="27">
        <v>1900033157</v>
      </c>
      <c r="AA384" s="27">
        <v>1911014027</v>
      </c>
      <c r="AE384" s="27" t="s">
        <v>705</v>
      </c>
      <c r="AF384" s="27" t="s">
        <v>181</v>
      </c>
      <c r="AG384" s="27" t="s">
        <v>532</v>
      </c>
      <c r="AH384" s="27" t="s">
        <v>885</v>
      </c>
      <c r="AI384" s="27" t="s">
        <v>899</v>
      </c>
      <c r="AJ384" s="27" t="s">
        <v>533</v>
      </c>
      <c r="AK384" s="27" t="s">
        <v>185</v>
      </c>
      <c r="AL384" s="27" t="s">
        <v>1112</v>
      </c>
      <c r="AM384" s="27" t="s">
        <v>770</v>
      </c>
      <c r="AQ384" s="60" t="s">
        <v>187</v>
      </c>
      <c r="AR384" s="61" t="s">
        <v>186</v>
      </c>
      <c r="AS384" s="61" t="s">
        <v>186</v>
      </c>
      <c r="AT384" s="61" t="s">
        <v>187</v>
      </c>
      <c r="AU384" s="61" t="s">
        <v>186</v>
      </c>
      <c r="AV384" s="61" t="s">
        <v>186</v>
      </c>
      <c r="AW384" s="61" t="s">
        <v>187</v>
      </c>
      <c r="AX384" s="61" t="s">
        <v>186</v>
      </c>
      <c r="AY384" s="61" t="s">
        <v>186</v>
      </c>
      <c r="BC384" s="28">
        <v>81807522916</v>
      </c>
      <c r="BD384" s="28">
        <v>82133193870</v>
      </c>
      <c r="BE384" s="28">
        <v>81390806532</v>
      </c>
      <c r="BF384" s="28">
        <v>85290396611</v>
      </c>
      <c r="BG384" s="28">
        <v>88247904655</v>
      </c>
      <c r="BH384" s="28">
        <v>85156697801</v>
      </c>
      <c r="BI384" s="28">
        <v>8986620321</v>
      </c>
      <c r="BJ384" s="28">
        <v>81386647772</v>
      </c>
      <c r="BK384" s="28">
        <v>81379862348</v>
      </c>
      <c r="BO384" s="39">
        <v>60160976</v>
      </c>
      <c r="BP384" s="18" t="s">
        <v>5412</v>
      </c>
      <c r="BQ384" s="37">
        <v>44958</v>
      </c>
      <c r="BR384" s="8">
        <f t="shared" si="1"/>
        <v>9</v>
      </c>
    </row>
    <row r="385" spans="1:70" ht="15.5">
      <c r="A385" s="4" t="str">
        <v>Reguler Periode ke-101 XXIV.A.1</v>
      </c>
      <c r="B385" s="4" t="s">
        <v>2073</v>
      </c>
      <c r="C385" s="38" t="s">
        <v>5413</v>
      </c>
      <c r="D385" s="4" t="s">
        <v>5414</v>
      </c>
      <c r="E385" s="4" t="s">
        <v>5415</v>
      </c>
      <c r="F385" s="4" t="s">
        <v>4928</v>
      </c>
      <c r="G385" s="27" t="s">
        <v>5416</v>
      </c>
      <c r="H385" s="27" t="s">
        <v>5417</v>
      </c>
      <c r="I385" s="27" t="s">
        <v>5418</v>
      </c>
      <c r="J385" s="27" t="s">
        <v>5419</v>
      </c>
      <c r="K385" s="27" t="s">
        <v>5420</v>
      </c>
      <c r="L385" s="27" t="s">
        <v>5421</v>
      </c>
      <c r="M385" s="27" t="s">
        <v>5422</v>
      </c>
      <c r="N385" s="27" t="s">
        <v>5423</v>
      </c>
      <c r="O385" s="27" t="s">
        <v>5424</v>
      </c>
      <c r="S385" s="27">
        <v>1900005085</v>
      </c>
      <c r="T385" s="27">
        <v>1900010226</v>
      </c>
      <c r="U385" s="27">
        <v>1900012040</v>
      </c>
      <c r="V385" s="27">
        <v>1900015049</v>
      </c>
      <c r="W385" s="27">
        <v>1900020089</v>
      </c>
      <c r="X385" s="27">
        <v>1900023024</v>
      </c>
      <c r="Y385" s="27">
        <v>1900029019</v>
      </c>
      <c r="Z385" s="27">
        <v>1900031295</v>
      </c>
      <c r="AA385" s="27">
        <v>1900033151</v>
      </c>
      <c r="AE385" s="52" t="s">
        <v>181</v>
      </c>
      <c r="AF385" s="52" t="s">
        <v>532</v>
      </c>
      <c r="AG385" s="52" t="s">
        <v>885</v>
      </c>
      <c r="AH385" s="52" t="s">
        <v>937</v>
      </c>
      <c r="AI385" s="52" t="s">
        <v>351</v>
      </c>
      <c r="AJ385" s="52" t="s">
        <v>899</v>
      </c>
      <c r="AK385" s="52" t="s">
        <v>533</v>
      </c>
      <c r="AL385" s="52" t="s">
        <v>185</v>
      </c>
      <c r="AM385" s="52" t="s">
        <v>1112</v>
      </c>
      <c r="AQ385" s="62" t="s">
        <v>186</v>
      </c>
      <c r="AR385" s="63" t="s">
        <v>186</v>
      </c>
      <c r="AS385" s="63" t="s">
        <v>187</v>
      </c>
      <c r="AT385" s="63" t="s">
        <v>186</v>
      </c>
      <c r="AU385" s="63" t="s">
        <v>187</v>
      </c>
      <c r="AV385" s="63" t="s">
        <v>186</v>
      </c>
      <c r="AW385" s="63" t="s">
        <v>186</v>
      </c>
      <c r="AX385" s="63" t="s">
        <v>187</v>
      </c>
      <c r="AY385" s="63" t="s">
        <v>186</v>
      </c>
      <c r="BC385" s="28">
        <v>82250751919</v>
      </c>
      <c r="BD385" s="28">
        <v>87734791003</v>
      </c>
      <c r="BE385" s="28">
        <v>82291302996</v>
      </c>
      <c r="BF385" s="28">
        <v>82228257937</v>
      </c>
      <c r="BG385" s="28">
        <v>89608594151</v>
      </c>
      <c r="BH385" s="28">
        <v>87848997501</v>
      </c>
      <c r="BI385" s="28">
        <v>6285156210985</v>
      </c>
      <c r="BJ385" s="28">
        <v>83878766965</v>
      </c>
      <c r="BK385" s="28">
        <v>81328065442</v>
      </c>
      <c r="BO385" s="39">
        <v>60171055</v>
      </c>
      <c r="BP385" s="18" t="s">
        <v>5425</v>
      </c>
      <c r="BQ385" s="37">
        <v>44958</v>
      </c>
      <c r="BR385" s="8">
        <f t="shared" si="1"/>
        <v>9</v>
      </c>
    </row>
    <row r="386" spans="1:70" ht="15.5">
      <c r="A386" s="4" t="str">
        <v>Reguler Periode ke-101 XXIV.A.2</v>
      </c>
      <c r="B386" s="4" t="s">
        <v>2073</v>
      </c>
      <c r="C386" s="38" t="s">
        <v>5426</v>
      </c>
      <c r="D386" s="4" t="s">
        <v>5414</v>
      </c>
      <c r="E386" s="4" t="s">
        <v>5427</v>
      </c>
      <c r="F386" s="4" t="s">
        <v>4928</v>
      </c>
      <c r="G386" s="27" t="s">
        <v>5428</v>
      </c>
      <c r="H386" s="27" t="s">
        <v>5429</v>
      </c>
      <c r="I386" s="27" t="s">
        <v>5430</v>
      </c>
      <c r="J386" s="27" t="s">
        <v>5431</v>
      </c>
      <c r="K386" s="27" t="s">
        <v>5432</v>
      </c>
      <c r="L386" s="27" t="s">
        <v>5433</v>
      </c>
      <c r="M386" s="27" t="s">
        <v>5434</v>
      </c>
      <c r="N386" s="27" t="s">
        <v>5435</v>
      </c>
      <c r="O386" s="27" t="s">
        <v>5436</v>
      </c>
      <c r="S386" s="27">
        <v>1900005272</v>
      </c>
      <c r="T386" s="27">
        <v>1900010230</v>
      </c>
      <c r="U386" s="27">
        <v>1900012209</v>
      </c>
      <c r="V386" s="27">
        <v>1900015036</v>
      </c>
      <c r="W386" s="27">
        <v>1900020037</v>
      </c>
      <c r="X386" s="27">
        <v>1900023165</v>
      </c>
      <c r="Y386" s="27">
        <v>1900029088</v>
      </c>
      <c r="Z386" s="27">
        <v>1900031345</v>
      </c>
      <c r="AA386" s="27">
        <v>1900033175</v>
      </c>
      <c r="AE386" s="52" t="s">
        <v>181</v>
      </c>
      <c r="AF386" s="52" t="s">
        <v>532</v>
      </c>
      <c r="AG386" s="52" t="s">
        <v>885</v>
      </c>
      <c r="AH386" s="52" t="s">
        <v>937</v>
      </c>
      <c r="AI386" s="52" t="s">
        <v>351</v>
      </c>
      <c r="AJ386" s="52" t="s">
        <v>899</v>
      </c>
      <c r="AK386" s="52" t="s">
        <v>533</v>
      </c>
      <c r="AL386" s="52" t="s">
        <v>185</v>
      </c>
      <c r="AM386" s="52" t="s">
        <v>1112</v>
      </c>
      <c r="AQ386" s="62" t="s">
        <v>186</v>
      </c>
      <c r="AR386" s="63" t="s">
        <v>186</v>
      </c>
      <c r="AS386" s="63" t="s">
        <v>187</v>
      </c>
      <c r="AT386" s="63" t="s">
        <v>186</v>
      </c>
      <c r="AU386" s="63" t="s">
        <v>187</v>
      </c>
      <c r="AV386" s="63" t="s">
        <v>186</v>
      </c>
      <c r="AW386" s="63" t="s">
        <v>186</v>
      </c>
      <c r="AX386" s="63" t="s">
        <v>187</v>
      </c>
      <c r="AY386" s="63" t="s">
        <v>186</v>
      </c>
      <c r="BC386" s="28">
        <v>8895804646</v>
      </c>
      <c r="BD386" s="28">
        <v>82276789828</v>
      </c>
      <c r="BE386" s="28">
        <v>81214929926</v>
      </c>
      <c r="BF386" s="28">
        <v>85865482179</v>
      </c>
      <c r="BG386" s="28">
        <v>82194969193</v>
      </c>
      <c r="BH386" s="28">
        <v>81229041040</v>
      </c>
      <c r="BI386" s="28">
        <v>83140456265</v>
      </c>
      <c r="BJ386" s="28">
        <v>81369107376</v>
      </c>
      <c r="BK386" s="28">
        <v>83152706359</v>
      </c>
      <c r="BO386" s="39">
        <v>60171055</v>
      </c>
      <c r="BP386" s="18" t="s">
        <v>5437</v>
      </c>
      <c r="BQ386" s="37">
        <v>44958</v>
      </c>
      <c r="BR386" s="8">
        <f t="shared" si="1"/>
        <v>9</v>
      </c>
    </row>
    <row r="387" spans="1:70" ht="15.5">
      <c r="A387" s="4" t="str">
        <v>Reguler Periode ke-101 XXIV.A.3</v>
      </c>
      <c r="B387" s="4" t="s">
        <v>2073</v>
      </c>
      <c r="C387" s="38" t="s">
        <v>5438</v>
      </c>
      <c r="D387" s="4" t="s">
        <v>5414</v>
      </c>
      <c r="E387" s="4" t="s">
        <v>5439</v>
      </c>
      <c r="F387" s="4" t="s">
        <v>4928</v>
      </c>
      <c r="G387" s="27" t="s">
        <v>5440</v>
      </c>
      <c r="H387" s="27" t="s">
        <v>5441</v>
      </c>
      <c r="I387" s="27" t="s">
        <v>5442</v>
      </c>
      <c r="J387" s="27" t="s">
        <v>5443</v>
      </c>
      <c r="K387" s="27" t="s">
        <v>5444</v>
      </c>
      <c r="L387" s="27" t="s">
        <v>5445</v>
      </c>
      <c r="M387" s="27" t="s">
        <v>5446</v>
      </c>
      <c r="N387" s="27" t="s">
        <v>5447</v>
      </c>
      <c r="O387" s="27" t="s">
        <v>5448</v>
      </c>
      <c r="S387" s="27">
        <v>1900005073</v>
      </c>
      <c r="T387" s="27">
        <v>1900010223</v>
      </c>
      <c r="U387" s="27">
        <v>1900012113</v>
      </c>
      <c r="V387" s="27">
        <v>1900015067</v>
      </c>
      <c r="W387" s="27">
        <v>1900020074</v>
      </c>
      <c r="X387" s="27">
        <v>1900023154</v>
      </c>
      <c r="Y387" s="27">
        <v>1900029029</v>
      </c>
      <c r="Z387" s="27">
        <v>1900031040</v>
      </c>
      <c r="AA387" s="27">
        <v>1900033182</v>
      </c>
      <c r="AE387" s="52" t="s">
        <v>181</v>
      </c>
      <c r="AF387" s="52" t="s">
        <v>532</v>
      </c>
      <c r="AG387" s="52" t="s">
        <v>885</v>
      </c>
      <c r="AH387" s="52" t="s">
        <v>937</v>
      </c>
      <c r="AI387" s="52" t="s">
        <v>351</v>
      </c>
      <c r="AJ387" s="52" t="s">
        <v>899</v>
      </c>
      <c r="AK387" s="52" t="s">
        <v>533</v>
      </c>
      <c r="AL387" s="52" t="s">
        <v>185</v>
      </c>
      <c r="AM387" s="52" t="s">
        <v>1112</v>
      </c>
      <c r="AQ387" s="62" t="s">
        <v>186</v>
      </c>
      <c r="AR387" s="63" t="s">
        <v>186</v>
      </c>
      <c r="AS387" s="63" t="s">
        <v>187</v>
      </c>
      <c r="AT387" s="63" t="s">
        <v>186</v>
      </c>
      <c r="AU387" s="63" t="s">
        <v>187</v>
      </c>
      <c r="AV387" s="63" t="s">
        <v>186</v>
      </c>
      <c r="AW387" s="63" t="s">
        <v>186</v>
      </c>
      <c r="AX387" s="63" t="s">
        <v>187</v>
      </c>
      <c r="AY387" s="63" t="s">
        <v>186</v>
      </c>
      <c r="BC387" s="28">
        <v>81393126973</v>
      </c>
      <c r="BD387" s="28">
        <v>81329616346</v>
      </c>
      <c r="BE387" s="28">
        <v>82268691526</v>
      </c>
      <c r="BF387" s="28">
        <v>81228948283</v>
      </c>
      <c r="BG387" s="28">
        <v>82240195814</v>
      </c>
      <c r="BH387" s="28">
        <v>82223758287</v>
      </c>
      <c r="BI387" s="28">
        <v>81549008217</v>
      </c>
      <c r="BJ387" s="28">
        <v>88233752674</v>
      </c>
      <c r="BK387" s="28">
        <v>85282112003</v>
      </c>
      <c r="BO387" s="39">
        <v>60171055</v>
      </c>
      <c r="BP387" s="18" t="s">
        <v>5449</v>
      </c>
      <c r="BQ387" s="37">
        <v>44958</v>
      </c>
      <c r="BR387" s="8">
        <f t="shared" si="1"/>
        <v>9</v>
      </c>
    </row>
    <row r="388" spans="1:70" ht="15.5">
      <c r="A388" s="4" t="str">
        <v>Reguler Periode ke-101 XXIV.B.1</v>
      </c>
      <c r="B388" s="4" t="s">
        <v>2073</v>
      </c>
      <c r="C388" s="38" t="s">
        <v>5450</v>
      </c>
      <c r="D388" s="4" t="s">
        <v>5451</v>
      </c>
      <c r="E388" s="4" t="s">
        <v>5452</v>
      </c>
      <c r="F388" s="4" t="s">
        <v>4928</v>
      </c>
      <c r="G388" s="27" t="s">
        <v>5453</v>
      </c>
      <c r="H388" s="27" t="s">
        <v>5454</v>
      </c>
      <c r="I388" s="27" t="s">
        <v>5455</v>
      </c>
      <c r="J388" s="27" t="s">
        <v>5456</v>
      </c>
      <c r="K388" s="27" t="s">
        <v>5457</v>
      </c>
      <c r="L388" s="27" t="s">
        <v>5458</v>
      </c>
      <c r="M388" s="27" t="s">
        <v>5459</v>
      </c>
      <c r="N388" s="27" t="s">
        <v>5460</v>
      </c>
      <c r="O388" s="27" t="s">
        <v>5461</v>
      </c>
      <c r="S388" s="27">
        <v>1900005381</v>
      </c>
      <c r="T388" s="27">
        <v>1900010107</v>
      </c>
      <c r="U388" s="27">
        <v>1900012006</v>
      </c>
      <c r="V388" s="27">
        <v>1900015038</v>
      </c>
      <c r="W388" s="27">
        <v>1900020085</v>
      </c>
      <c r="X388" s="27">
        <v>1900023182</v>
      </c>
      <c r="Y388" s="27">
        <v>1900029194</v>
      </c>
      <c r="Z388" s="27">
        <v>1900031075</v>
      </c>
      <c r="AA388" s="27">
        <v>1900033019</v>
      </c>
      <c r="AE388" s="27" t="s">
        <v>181</v>
      </c>
      <c r="AF388" s="27" t="s">
        <v>532</v>
      </c>
      <c r="AG388" s="27" t="s">
        <v>885</v>
      </c>
      <c r="AH388" s="27" t="s">
        <v>937</v>
      </c>
      <c r="AI388" s="27" t="s">
        <v>351</v>
      </c>
      <c r="AJ388" s="27" t="s">
        <v>899</v>
      </c>
      <c r="AK388" s="27" t="s">
        <v>533</v>
      </c>
      <c r="AL388" s="27" t="s">
        <v>185</v>
      </c>
      <c r="AM388" s="27" t="s">
        <v>1112</v>
      </c>
      <c r="AQ388" s="60" t="s">
        <v>186</v>
      </c>
      <c r="AR388" s="61" t="s">
        <v>186</v>
      </c>
      <c r="AS388" s="61" t="s">
        <v>187</v>
      </c>
      <c r="AT388" s="61" t="s">
        <v>186</v>
      </c>
      <c r="AU388" s="61" t="s">
        <v>187</v>
      </c>
      <c r="AV388" s="61" t="s">
        <v>186</v>
      </c>
      <c r="AW388" s="61" t="s">
        <v>186</v>
      </c>
      <c r="AX388" s="61" t="s">
        <v>187</v>
      </c>
      <c r="AY388" s="61" t="s">
        <v>186</v>
      </c>
      <c r="BC388" s="28">
        <v>81215224879</v>
      </c>
      <c r="BD388" s="28">
        <v>87724841873</v>
      </c>
      <c r="BE388" s="28">
        <v>81328851416</v>
      </c>
      <c r="BF388" s="28">
        <v>81939080030</v>
      </c>
      <c r="BG388" s="28">
        <v>82267544741</v>
      </c>
      <c r="BH388" s="28">
        <v>85864369492</v>
      </c>
      <c r="BI388" s="28">
        <v>82339545730</v>
      </c>
      <c r="BJ388" s="28">
        <v>82299922986</v>
      </c>
      <c r="BK388" s="28">
        <v>81252019028</v>
      </c>
      <c r="BO388" s="39">
        <v>60160941</v>
      </c>
      <c r="BP388" s="18" t="s">
        <v>5462</v>
      </c>
      <c r="BQ388" s="37">
        <v>44958</v>
      </c>
      <c r="BR388" s="8">
        <f t="shared" si="1"/>
        <v>9</v>
      </c>
    </row>
    <row r="389" spans="1:70" ht="15.5">
      <c r="A389" s="4" t="str">
        <v>Reguler Periode ke-101 XXIV.B.2</v>
      </c>
      <c r="B389" s="4" t="s">
        <v>2073</v>
      </c>
      <c r="C389" s="38" t="s">
        <v>5463</v>
      </c>
      <c r="D389" s="4" t="s">
        <v>5451</v>
      </c>
      <c r="E389" s="4" t="s">
        <v>5464</v>
      </c>
      <c r="F389" s="4" t="s">
        <v>4928</v>
      </c>
      <c r="G389" s="27" t="s">
        <v>5465</v>
      </c>
      <c r="H389" s="27" t="s">
        <v>5466</v>
      </c>
      <c r="I389" s="27" t="s">
        <v>5467</v>
      </c>
      <c r="J389" s="27" t="s">
        <v>5468</v>
      </c>
      <c r="K389" s="27" t="s">
        <v>5469</v>
      </c>
      <c r="L389" s="27" t="s">
        <v>5470</v>
      </c>
      <c r="M389" s="27" t="s">
        <v>5471</v>
      </c>
      <c r="N389" s="27" t="s">
        <v>5472</v>
      </c>
      <c r="O389" s="27" t="s">
        <v>5473</v>
      </c>
      <c r="S389" s="27">
        <v>1811031250</v>
      </c>
      <c r="T389" s="27">
        <v>1900005360</v>
      </c>
      <c r="U389" s="27">
        <v>1900010043</v>
      </c>
      <c r="V389" s="27">
        <v>1900012226</v>
      </c>
      <c r="W389" s="27">
        <v>1900015048</v>
      </c>
      <c r="X389" s="27">
        <v>1900020040</v>
      </c>
      <c r="Y389" s="27">
        <v>1900023123</v>
      </c>
      <c r="Z389" s="27">
        <v>1900029052</v>
      </c>
      <c r="AA389" s="27">
        <v>1900033100</v>
      </c>
      <c r="AE389" s="27" t="s">
        <v>185</v>
      </c>
      <c r="AF389" s="27" t="s">
        <v>181</v>
      </c>
      <c r="AG389" s="27" t="s">
        <v>532</v>
      </c>
      <c r="AH389" s="27" t="s">
        <v>885</v>
      </c>
      <c r="AI389" s="27" t="s">
        <v>937</v>
      </c>
      <c r="AJ389" s="27" t="s">
        <v>351</v>
      </c>
      <c r="AK389" s="27" t="s">
        <v>899</v>
      </c>
      <c r="AL389" s="27" t="s">
        <v>533</v>
      </c>
      <c r="AM389" s="27" t="s">
        <v>1112</v>
      </c>
      <c r="AQ389" s="60" t="s">
        <v>187</v>
      </c>
      <c r="AR389" s="61" t="s">
        <v>186</v>
      </c>
      <c r="AS389" s="61" t="s">
        <v>186</v>
      </c>
      <c r="AT389" s="61" t="s">
        <v>187</v>
      </c>
      <c r="AU389" s="61" t="s">
        <v>186</v>
      </c>
      <c r="AV389" s="61" t="s">
        <v>186</v>
      </c>
      <c r="AW389" s="61" t="s">
        <v>187</v>
      </c>
      <c r="AX389" s="61" t="s">
        <v>186</v>
      </c>
      <c r="AY389" s="61" t="s">
        <v>186</v>
      </c>
      <c r="BC389" s="28">
        <v>81977737211</v>
      </c>
      <c r="BD389" s="28">
        <v>85729822081</v>
      </c>
      <c r="BE389" s="28">
        <v>81915456558</v>
      </c>
      <c r="BF389" s="28">
        <v>85247458588</v>
      </c>
      <c r="BG389" s="28">
        <v>81314783127</v>
      </c>
      <c r="BH389" s="28">
        <v>83802372798</v>
      </c>
      <c r="BI389" s="28">
        <v>82125282001</v>
      </c>
      <c r="BJ389" s="28">
        <v>82175864390</v>
      </c>
      <c r="BK389" s="28">
        <v>81329834853</v>
      </c>
      <c r="BO389" s="39">
        <v>60160941</v>
      </c>
      <c r="BP389" s="18" t="s">
        <v>5474</v>
      </c>
      <c r="BQ389" s="37">
        <v>44958</v>
      </c>
      <c r="BR389" s="8">
        <f t="shared" si="1"/>
        <v>9</v>
      </c>
    </row>
    <row r="390" spans="1:70" ht="15.5">
      <c r="A390" s="4" t="str">
        <v>Reguler Periode ke-101 XXIV.B.3</v>
      </c>
      <c r="B390" s="4" t="s">
        <v>2073</v>
      </c>
      <c r="C390" s="38" t="s">
        <v>5475</v>
      </c>
      <c r="D390" s="4" t="s">
        <v>5451</v>
      </c>
      <c r="E390" s="4" t="s">
        <v>5476</v>
      </c>
      <c r="F390" s="4" t="s">
        <v>4928</v>
      </c>
      <c r="G390" s="27" t="s">
        <v>5477</v>
      </c>
      <c r="H390" s="27" t="s">
        <v>5478</v>
      </c>
      <c r="I390" s="27" t="s">
        <v>5479</v>
      </c>
      <c r="J390" s="27" t="s">
        <v>5480</v>
      </c>
      <c r="K390" s="27" t="s">
        <v>5481</v>
      </c>
      <c r="L390" s="27" t="s">
        <v>5482</v>
      </c>
      <c r="M390" s="27" t="s">
        <v>5483</v>
      </c>
      <c r="N390" s="27" t="s">
        <v>5484</v>
      </c>
      <c r="O390" s="27" t="s">
        <v>5485</v>
      </c>
      <c r="S390" s="27">
        <v>1800020054</v>
      </c>
      <c r="T390" s="27">
        <v>1900005365</v>
      </c>
      <c r="U390" s="27">
        <v>1900010260</v>
      </c>
      <c r="V390" s="27">
        <v>1900012188</v>
      </c>
      <c r="W390" s="27">
        <v>1900023130</v>
      </c>
      <c r="X390" s="27">
        <v>1900029282</v>
      </c>
      <c r="Y390" s="27">
        <v>1900031296</v>
      </c>
      <c r="Z390" s="27">
        <v>1900033153</v>
      </c>
      <c r="AA390" s="27">
        <v>1915015027</v>
      </c>
      <c r="AE390" s="27" t="s">
        <v>351</v>
      </c>
      <c r="AF390" s="27" t="s">
        <v>181</v>
      </c>
      <c r="AG390" s="27" t="s">
        <v>532</v>
      </c>
      <c r="AH390" s="27" t="s">
        <v>885</v>
      </c>
      <c r="AI390" s="27" t="s">
        <v>899</v>
      </c>
      <c r="AJ390" s="27" t="s">
        <v>533</v>
      </c>
      <c r="AK390" s="27" t="s">
        <v>185</v>
      </c>
      <c r="AL390" s="27" t="s">
        <v>1112</v>
      </c>
      <c r="AM390" s="27" t="s">
        <v>937</v>
      </c>
      <c r="AQ390" s="60" t="s">
        <v>187</v>
      </c>
      <c r="AR390" s="61" t="s">
        <v>186</v>
      </c>
      <c r="AS390" s="61" t="s">
        <v>186</v>
      </c>
      <c r="AT390" s="61" t="s">
        <v>187</v>
      </c>
      <c r="AU390" s="61" t="s">
        <v>186</v>
      </c>
      <c r="AV390" s="61" t="s">
        <v>186</v>
      </c>
      <c r="AW390" s="61" t="s">
        <v>187</v>
      </c>
      <c r="AX390" s="61" t="s">
        <v>186</v>
      </c>
      <c r="AY390" s="61" t="s">
        <v>186</v>
      </c>
      <c r="BC390" s="28">
        <v>81383127806</v>
      </c>
      <c r="BD390" s="28">
        <v>85157197991</v>
      </c>
      <c r="BE390" s="28">
        <v>83125579551</v>
      </c>
      <c r="BF390" s="28">
        <v>82341994718</v>
      </c>
      <c r="BG390" s="28">
        <v>85324737400</v>
      </c>
      <c r="BH390" s="28">
        <v>82243338601</v>
      </c>
      <c r="BI390" s="28">
        <v>85234448341</v>
      </c>
      <c r="BJ390" s="28">
        <v>81219725811</v>
      </c>
      <c r="BK390" s="28">
        <v>89666604923</v>
      </c>
      <c r="BO390" s="39">
        <v>60160941</v>
      </c>
      <c r="BP390" s="18" t="s">
        <v>5486</v>
      </c>
      <c r="BQ390" s="37">
        <v>44958</v>
      </c>
      <c r="BR390" s="8">
        <f t="shared" si="1"/>
        <v>9</v>
      </c>
    </row>
    <row r="391" spans="1:70" ht="15.5">
      <c r="A391" s="4" t="str">
        <v>Reguler Periode ke-101 XXIV.C.1</v>
      </c>
      <c r="B391" s="4" t="s">
        <v>2073</v>
      </c>
      <c r="C391" s="38" t="s">
        <v>5487</v>
      </c>
      <c r="D391" s="4" t="s">
        <v>5488</v>
      </c>
      <c r="E391" s="4" t="s">
        <v>5489</v>
      </c>
      <c r="F391" s="4" t="s">
        <v>4928</v>
      </c>
      <c r="G391" s="27" t="s">
        <v>5490</v>
      </c>
      <c r="H391" s="27" t="s">
        <v>5491</v>
      </c>
      <c r="I391" s="27" t="s">
        <v>5492</v>
      </c>
      <c r="J391" s="27" t="s">
        <v>5493</v>
      </c>
      <c r="K391" s="27" t="s">
        <v>5494</v>
      </c>
      <c r="L391" s="27" t="s">
        <v>5495</v>
      </c>
      <c r="M391" s="27" t="s">
        <v>5496</v>
      </c>
      <c r="N391" s="27" t="s">
        <v>5497</v>
      </c>
      <c r="O391" s="27" t="s">
        <v>5498</v>
      </c>
      <c r="S391" s="27">
        <v>1800031078</v>
      </c>
      <c r="T391" s="27">
        <v>1900005050</v>
      </c>
      <c r="U391" s="27">
        <v>1900010004</v>
      </c>
      <c r="V391" s="27">
        <v>1900012168</v>
      </c>
      <c r="W391" s="27">
        <v>1900015064</v>
      </c>
      <c r="X391" s="27">
        <v>1900020038</v>
      </c>
      <c r="Y391" s="27">
        <v>1900023112</v>
      </c>
      <c r="Z391" s="27">
        <v>1900029116</v>
      </c>
      <c r="AA391" s="27">
        <v>1900033143</v>
      </c>
      <c r="AE391" s="27" t="s">
        <v>185</v>
      </c>
      <c r="AF391" s="27" t="s">
        <v>181</v>
      </c>
      <c r="AG391" s="27" t="s">
        <v>532</v>
      </c>
      <c r="AH391" s="27" t="s">
        <v>885</v>
      </c>
      <c r="AI391" s="27" t="s">
        <v>937</v>
      </c>
      <c r="AJ391" s="27" t="s">
        <v>351</v>
      </c>
      <c r="AK391" s="27" t="s">
        <v>899</v>
      </c>
      <c r="AL391" s="27" t="s">
        <v>533</v>
      </c>
      <c r="AM391" s="27" t="s">
        <v>1112</v>
      </c>
      <c r="AQ391" s="60" t="s">
        <v>187</v>
      </c>
      <c r="AR391" s="61" t="s">
        <v>186</v>
      </c>
      <c r="AS391" s="61" t="s">
        <v>186</v>
      </c>
      <c r="AT391" s="61" t="s">
        <v>187</v>
      </c>
      <c r="AU391" s="61" t="s">
        <v>186</v>
      </c>
      <c r="AV391" s="61" t="s">
        <v>187</v>
      </c>
      <c r="AW391" s="61" t="s">
        <v>186</v>
      </c>
      <c r="AX391" s="61" t="s">
        <v>186</v>
      </c>
      <c r="AY391" s="61" t="s">
        <v>186</v>
      </c>
      <c r="BC391" s="28">
        <v>88226941184</v>
      </c>
      <c r="BD391" s="28">
        <v>85743993252</v>
      </c>
      <c r="BE391" s="28">
        <v>81385518702</v>
      </c>
      <c r="BF391" s="28">
        <v>81461141056</v>
      </c>
      <c r="BG391" s="28">
        <v>8994146299</v>
      </c>
      <c r="BH391" s="28">
        <v>89606763335</v>
      </c>
      <c r="BI391" s="28">
        <v>81327214375</v>
      </c>
      <c r="BJ391" s="28">
        <v>82249375910</v>
      </c>
      <c r="BK391" s="28">
        <v>87718602894</v>
      </c>
      <c r="BO391" s="39">
        <v>60160932</v>
      </c>
      <c r="BP391" s="18" t="s">
        <v>5499</v>
      </c>
      <c r="BQ391" s="37">
        <v>44958</v>
      </c>
      <c r="BR391" s="8">
        <f t="shared" si="1"/>
        <v>9</v>
      </c>
    </row>
    <row r="392" spans="1:70" ht="15.5">
      <c r="A392" s="4" t="str">
        <v>Reguler Periode ke-101 XXIV.C.2</v>
      </c>
      <c r="B392" s="4" t="s">
        <v>2073</v>
      </c>
      <c r="C392" s="38" t="s">
        <v>5500</v>
      </c>
      <c r="D392" s="4" t="s">
        <v>5488</v>
      </c>
      <c r="E392" s="4" t="s">
        <v>5501</v>
      </c>
      <c r="F392" s="4" t="s">
        <v>4928</v>
      </c>
      <c r="G392" s="27" t="s">
        <v>5502</v>
      </c>
      <c r="H392" s="27" t="s">
        <v>5503</v>
      </c>
      <c r="I392" s="27" t="s">
        <v>5504</v>
      </c>
      <c r="J392" s="27" t="s">
        <v>5505</v>
      </c>
      <c r="K392" s="27" t="s">
        <v>5506</v>
      </c>
      <c r="L392" s="27" t="s">
        <v>5507</v>
      </c>
      <c r="M392" s="27" t="s">
        <v>5508</v>
      </c>
      <c r="N392" s="27" t="s">
        <v>5509</v>
      </c>
      <c r="O392" s="27" t="s">
        <v>5510</v>
      </c>
      <c r="S392" s="27">
        <v>1900005254</v>
      </c>
      <c r="T392" s="27">
        <v>1900010181</v>
      </c>
      <c r="U392" s="27">
        <v>1900012160</v>
      </c>
      <c r="V392" s="27">
        <v>1900015061</v>
      </c>
      <c r="W392" s="27">
        <v>1900020048</v>
      </c>
      <c r="X392" s="27">
        <v>1900023253</v>
      </c>
      <c r="Y392" s="27">
        <v>1900029024</v>
      </c>
      <c r="Z392" s="27">
        <v>1900031388</v>
      </c>
      <c r="AA392" s="27">
        <v>1900033121</v>
      </c>
      <c r="AE392" s="52" t="s">
        <v>181</v>
      </c>
      <c r="AF392" s="52" t="s">
        <v>532</v>
      </c>
      <c r="AG392" s="52" t="s">
        <v>885</v>
      </c>
      <c r="AH392" s="52" t="s">
        <v>937</v>
      </c>
      <c r="AI392" s="52" t="s">
        <v>351</v>
      </c>
      <c r="AJ392" s="52" t="s">
        <v>899</v>
      </c>
      <c r="AK392" s="52" t="s">
        <v>533</v>
      </c>
      <c r="AL392" s="52" t="s">
        <v>185</v>
      </c>
      <c r="AM392" s="52" t="s">
        <v>1112</v>
      </c>
      <c r="AQ392" s="60" t="s">
        <v>186</v>
      </c>
      <c r="AR392" s="61" t="s">
        <v>186</v>
      </c>
      <c r="AS392" s="61" t="s">
        <v>187</v>
      </c>
      <c r="AT392" s="61" t="s">
        <v>186</v>
      </c>
      <c r="AU392" s="61" t="s">
        <v>187</v>
      </c>
      <c r="AV392" s="61" t="s">
        <v>186</v>
      </c>
      <c r="AW392" s="61" t="s">
        <v>186</v>
      </c>
      <c r="AX392" s="61" t="s">
        <v>187</v>
      </c>
      <c r="AY392" s="61" t="s">
        <v>186</v>
      </c>
      <c r="BC392" s="28">
        <v>85840262435</v>
      </c>
      <c r="BD392" s="28">
        <v>81271687799</v>
      </c>
      <c r="BE392" s="28">
        <v>87726890164</v>
      </c>
      <c r="BF392" s="28">
        <v>85811184216</v>
      </c>
      <c r="BG392" s="28">
        <v>8998845582</v>
      </c>
      <c r="BH392" s="28">
        <v>81336116632</v>
      </c>
      <c r="BI392" s="28">
        <v>87838328905</v>
      </c>
      <c r="BJ392" s="28">
        <v>85162969247</v>
      </c>
      <c r="BK392" s="28">
        <v>85641360638</v>
      </c>
      <c r="BO392" s="39">
        <v>60160932</v>
      </c>
      <c r="BP392" s="18" t="s">
        <v>5511</v>
      </c>
      <c r="BQ392" s="37">
        <v>44958</v>
      </c>
      <c r="BR392" s="8">
        <f t="shared" si="1"/>
        <v>9</v>
      </c>
    </row>
    <row r="393" spans="1:70" ht="15.5">
      <c r="A393" s="4" t="str">
        <v>Reguler Periode ke-101 XXIV.C.3</v>
      </c>
      <c r="B393" s="4" t="s">
        <v>2073</v>
      </c>
      <c r="C393" s="38" t="s">
        <v>5512</v>
      </c>
      <c r="D393" s="4" t="s">
        <v>5488</v>
      </c>
      <c r="E393" s="4" t="s">
        <v>5513</v>
      </c>
      <c r="F393" s="4" t="s">
        <v>4928</v>
      </c>
      <c r="G393" s="27" t="s">
        <v>5514</v>
      </c>
      <c r="H393" s="27" t="s">
        <v>5515</v>
      </c>
      <c r="I393" s="27" t="s">
        <v>5516</v>
      </c>
      <c r="J393" s="27" t="s">
        <v>5517</v>
      </c>
      <c r="K393" s="27" t="s">
        <v>5518</v>
      </c>
      <c r="L393" s="27" t="s">
        <v>5519</v>
      </c>
      <c r="M393" s="27" t="s">
        <v>5520</v>
      </c>
      <c r="N393" s="27" t="s">
        <v>5521</v>
      </c>
      <c r="O393" s="27" t="s">
        <v>5522</v>
      </c>
      <c r="S393" s="27">
        <v>1900005284</v>
      </c>
      <c r="T393" s="27">
        <v>1900010163</v>
      </c>
      <c r="U393" s="27">
        <v>1900012078</v>
      </c>
      <c r="V393" s="27">
        <v>1900015046</v>
      </c>
      <c r="W393" s="27">
        <v>1900020043</v>
      </c>
      <c r="X393" s="27">
        <v>1900023094</v>
      </c>
      <c r="Y393" s="27">
        <v>1900029244</v>
      </c>
      <c r="Z393" s="27">
        <v>1900031107</v>
      </c>
      <c r="AA393" s="27">
        <v>1900033063</v>
      </c>
      <c r="AE393" s="52" t="s">
        <v>181</v>
      </c>
      <c r="AF393" s="52" t="s">
        <v>532</v>
      </c>
      <c r="AG393" s="52" t="s">
        <v>885</v>
      </c>
      <c r="AH393" s="52" t="s">
        <v>937</v>
      </c>
      <c r="AI393" s="52" t="s">
        <v>351</v>
      </c>
      <c r="AJ393" s="52" t="s">
        <v>899</v>
      </c>
      <c r="AK393" s="52" t="s">
        <v>533</v>
      </c>
      <c r="AL393" s="52" t="s">
        <v>185</v>
      </c>
      <c r="AM393" s="52" t="s">
        <v>1112</v>
      </c>
      <c r="AQ393" s="60" t="s">
        <v>186</v>
      </c>
      <c r="AR393" s="61" t="s">
        <v>186</v>
      </c>
      <c r="AS393" s="61" t="s">
        <v>187</v>
      </c>
      <c r="AT393" s="61" t="s">
        <v>186</v>
      </c>
      <c r="AU393" s="61" t="s">
        <v>187</v>
      </c>
      <c r="AV393" s="61" t="s">
        <v>186</v>
      </c>
      <c r="AW393" s="61" t="s">
        <v>186</v>
      </c>
      <c r="AX393" s="61" t="s">
        <v>187</v>
      </c>
      <c r="AY393" s="61" t="s">
        <v>186</v>
      </c>
      <c r="BC393" s="28">
        <v>85877582459</v>
      </c>
      <c r="BD393" s="28">
        <v>85712013019</v>
      </c>
      <c r="BE393" s="28">
        <v>87893548739</v>
      </c>
      <c r="BF393" s="28">
        <v>82241679143</v>
      </c>
      <c r="BG393" s="28">
        <v>895602941419</v>
      </c>
      <c r="BH393" s="28">
        <v>87822881900</v>
      </c>
      <c r="BI393" s="28">
        <v>81254070717</v>
      </c>
      <c r="BJ393" s="28">
        <v>81392499567</v>
      </c>
      <c r="BK393" s="28">
        <v>82137093373</v>
      </c>
      <c r="BO393" s="39">
        <v>60160932</v>
      </c>
      <c r="BP393" s="18" t="s">
        <v>5523</v>
      </c>
      <c r="BQ393" s="37">
        <v>44958</v>
      </c>
      <c r="BR393" s="8">
        <f t="shared" si="1"/>
        <v>9</v>
      </c>
    </row>
    <row r="394" spans="1:70" ht="15.5">
      <c r="A394" s="4" t="str">
        <v>Reguler Periode ke-101 XXIV.D.1</v>
      </c>
      <c r="B394" s="4" t="s">
        <v>2073</v>
      </c>
      <c r="C394" s="38" t="s">
        <v>5524</v>
      </c>
      <c r="D394" s="4" t="s">
        <v>5525</v>
      </c>
      <c r="E394" s="4" t="s">
        <v>5526</v>
      </c>
      <c r="F394" s="4" t="s">
        <v>4928</v>
      </c>
      <c r="G394" s="27" t="s">
        <v>5527</v>
      </c>
      <c r="H394" s="27" t="s">
        <v>5528</v>
      </c>
      <c r="I394" s="27" t="s">
        <v>5529</v>
      </c>
      <c r="J394" s="27" t="s">
        <v>5530</v>
      </c>
      <c r="K394" s="27" t="s">
        <v>5531</v>
      </c>
      <c r="L394" s="27" t="s">
        <v>5532</v>
      </c>
      <c r="M394" s="27" t="s">
        <v>5533</v>
      </c>
      <c r="N394" s="27" t="s">
        <v>5534</v>
      </c>
      <c r="O394" s="27" t="s">
        <v>5535</v>
      </c>
      <c r="S394" s="27">
        <v>1900005355</v>
      </c>
      <c r="T394" s="27">
        <v>1900010203</v>
      </c>
      <c r="U394" s="27">
        <v>1900012219</v>
      </c>
      <c r="V394" s="27">
        <v>1900015015</v>
      </c>
      <c r="W394" s="27">
        <v>1900020047</v>
      </c>
      <c r="X394" s="27">
        <v>1900023273</v>
      </c>
      <c r="Y394" s="27">
        <v>1900029102</v>
      </c>
      <c r="Z394" s="27">
        <v>1900031288</v>
      </c>
      <c r="AA394" s="27">
        <v>1900033017</v>
      </c>
      <c r="AE394" s="52" t="s">
        <v>181</v>
      </c>
      <c r="AF394" s="52" t="s">
        <v>532</v>
      </c>
      <c r="AG394" s="52" t="s">
        <v>885</v>
      </c>
      <c r="AH394" s="52" t="s">
        <v>937</v>
      </c>
      <c r="AI394" s="52" t="s">
        <v>351</v>
      </c>
      <c r="AJ394" s="52" t="s">
        <v>899</v>
      </c>
      <c r="AK394" s="52" t="s">
        <v>533</v>
      </c>
      <c r="AL394" s="52" t="s">
        <v>185</v>
      </c>
      <c r="AM394" s="52" t="s">
        <v>1112</v>
      </c>
      <c r="AQ394" s="60" t="s">
        <v>186</v>
      </c>
      <c r="AR394" s="61" t="s">
        <v>186</v>
      </c>
      <c r="AS394" s="61" t="s">
        <v>187</v>
      </c>
      <c r="AT394" s="61" t="s">
        <v>186</v>
      </c>
      <c r="AU394" s="61" t="s">
        <v>187</v>
      </c>
      <c r="AV394" s="61" t="s">
        <v>186</v>
      </c>
      <c r="AW394" s="61" t="s">
        <v>186</v>
      </c>
      <c r="AX394" s="61" t="s">
        <v>187</v>
      </c>
      <c r="AY394" s="61" t="s">
        <v>186</v>
      </c>
      <c r="BC394" s="28">
        <v>81326696417</v>
      </c>
      <c r="BD394" s="28">
        <v>85728081483</v>
      </c>
      <c r="BE394" s="28">
        <v>89603128430</v>
      </c>
      <c r="BF394" s="28">
        <v>87796510562</v>
      </c>
      <c r="BG394" s="28">
        <v>81354034023</v>
      </c>
      <c r="BH394" s="28">
        <v>82359559099</v>
      </c>
      <c r="BI394" s="28">
        <v>82138569325</v>
      </c>
      <c r="BJ394" s="28">
        <v>895422228964</v>
      </c>
      <c r="BK394" s="28">
        <v>82269286503</v>
      </c>
      <c r="BO394" s="39">
        <v>60201256</v>
      </c>
      <c r="BP394" s="18" t="s">
        <v>5536</v>
      </c>
      <c r="BQ394" s="37">
        <v>44958</v>
      </c>
      <c r="BR394" s="8">
        <f t="shared" si="1"/>
        <v>9</v>
      </c>
    </row>
    <row r="395" spans="1:70" ht="15.5">
      <c r="A395" s="4" t="str">
        <v>Reguler Periode ke-101 XXIV.D.2</v>
      </c>
      <c r="B395" s="4" t="s">
        <v>2073</v>
      </c>
      <c r="C395" s="38" t="s">
        <v>5537</v>
      </c>
      <c r="D395" s="4" t="s">
        <v>5525</v>
      </c>
      <c r="E395" s="4" t="s">
        <v>5538</v>
      </c>
      <c r="F395" s="4" t="s">
        <v>4928</v>
      </c>
      <c r="G395" s="27" t="s">
        <v>5539</v>
      </c>
      <c r="H395" s="27" t="s">
        <v>5540</v>
      </c>
      <c r="I395" s="27" t="s">
        <v>5541</v>
      </c>
      <c r="J395" s="27" t="s">
        <v>5542</v>
      </c>
      <c r="K395" s="27" t="s">
        <v>5543</v>
      </c>
      <c r="L395" s="27" t="s">
        <v>5544</v>
      </c>
      <c r="M395" s="27" t="s">
        <v>5545</v>
      </c>
      <c r="N395" s="27" t="s">
        <v>5546</v>
      </c>
      <c r="O395" s="27" t="s">
        <v>5547</v>
      </c>
      <c r="S395" s="27">
        <v>1900005204</v>
      </c>
      <c r="T395" s="27">
        <v>1900010180</v>
      </c>
      <c r="U395" s="27">
        <v>1900012264</v>
      </c>
      <c r="V395" s="27">
        <v>1900015037</v>
      </c>
      <c r="W395" s="27">
        <v>1900020042</v>
      </c>
      <c r="X395" s="27">
        <v>1900023047</v>
      </c>
      <c r="Y395" s="27">
        <v>1900029235</v>
      </c>
      <c r="Z395" s="27">
        <v>1900031156</v>
      </c>
      <c r="AA395" s="27">
        <v>1900033054</v>
      </c>
      <c r="AE395" s="52" t="s">
        <v>181</v>
      </c>
      <c r="AF395" s="52" t="s">
        <v>532</v>
      </c>
      <c r="AG395" s="52" t="s">
        <v>885</v>
      </c>
      <c r="AH395" s="52" t="s">
        <v>937</v>
      </c>
      <c r="AI395" s="52" t="s">
        <v>351</v>
      </c>
      <c r="AJ395" s="52" t="s">
        <v>899</v>
      </c>
      <c r="AK395" s="52" t="s">
        <v>533</v>
      </c>
      <c r="AL395" s="52" t="s">
        <v>185</v>
      </c>
      <c r="AM395" s="52" t="s">
        <v>1112</v>
      </c>
      <c r="AQ395" s="60" t="s">
        <v>186</v>
      </c>
      <c r="AR395" s="61" t="s">
        <v>186</v>
      </c>
      <c r="AS395" s="61" t="s">
        <v>187</v>
      </c>
      <c r="AT395" s="61" t="s">
        <v>186</v>
      </c>
      <c r="AU395" s="61" t="s">
        <v>187</v>
      </c>
      <c r="AV395" s="61" t="s">
        <v>186</v>
      </c>
      <c r="AW395" s="61" t="s">
        <v>186</v>
      </c>
      <c r="AX395" s="61" t="s">
        <v>187</v>
      </c>
      <c r="AY395" s="61" t="s">
        <v>186</v>
      </c>
      <c r="BC395" s="28">
        <v>85777577126</v>
      </c>
      <c r="BD395" s="28">
        <v>85935653567</v>
      </c>
      <c r="BE395" s="28">
        <v>85238949702</v>
      </c>
      <c r="BF395" s="28" t="s">
        <v>5548</v>
      </c>
      <c r="BG395" s="28">
        <v>81389071214</v>
      </c>
      <c r="BH395" s="28">
        <v>81322002562</v>
      </c>
      <c r="BI395" s="28">
        <v>85858606676</v>
      </c>
      <c r="BJ395" s="28">
        <v>81218180658</v>
      </c>
      <c r="BK395" s="28">
        <v>6289516610819</v>
      </c>
      <c r="BO395" s="39">
        <v>60201256</v>
      </c>
      <c r="BP395" s="18" t="s">
        <v>5549</v>
      </c>
      <c r="BQ395" s="37">
        <v>44958</v>
      </c>
      <c r="BR395" s="8">
        <f t="shared" si="1"/>
        <v>9</v>
      </c>
    </row>
    <row r="396" spans="1:70" ht="15.5">
      <c r="A396" s="4" t="str">
        <v>Reguler Periode ke-101 XXIV.D.3</v>
      </c>
      <c r="B396" s="4" t="s">
        <v>2073</v>
      </c>
      <c r="C396" s="38" t="s">
        <v>5550</v>
      </c>
      <c r="D396" s="4" t="s">
        <v>5525</v>
      </c>
      <c r="E396" s="4" t="s">
        <v>5551</v>
      </c>
      <c r="F396" s="4" t="s">
        <v>4928</v>
      </c>
      <c r="G396" s="27" t="s">
        <v>5552</v>
      </c>
      <c r="H396" s="27" t="s">
        <v>5553</v>
      </c>
      <c r="I396" s="27" t="s">
        <v>5554</v>
      </c>
      <c r="J396" s="27" t="s">
        <v>5555</v>
      </c>
      <c r="K396" s="27" t="s">
        <v>5556</v>
      </c>
      <c r="L396" s="27" t="s">
        <v>5557</v>
      </c>
      <c r="M396" s="27" t="s">
        <v>5558</v>
      </c>
      <c r="N396" s="27" t="s">
        <v>5559</v>
      </c>
      <c r="O396" s="27" t="s">
        <v>5560</v>
      </c>
      <c r="S396" s="27">
        <v>1900005047</v>
      </c>
      <c r="T396" s="27">
        <v>1900010273</v>
      </c>
      <c r="U396" s="27">
        <v>1900012205</v>
      </c>
      <c r="V396" s="27">
        <v>1900015029</v>
      </c>
      <c r="W396" s="27">
        <v>1900020032</v>
      </c>
      <c r="X396" s="27">
        <v>1900023136</v>
      </c>
      <c r="Y396" s="27">
        <v>1900029280</v>
      </c>
      <c r="Z396" s="27">
        <v>1900031234</v>
      </c>
      <c r="AA396" s="27">
        <v>1900033115</v>
      </c>
      <c r="AE396" s="52" t="s">
        <v>181</v>
      </c>
      <c r="AF396" s="52" t="s">
        <v>532</v>
      </c>
      <c r="AG396" s="52" t="s">
        <v>885</v>
      </c>
      <c r="AH396" s="52" t="s">
        <v>937</v>
      </c>
      <c r="AI396" s="52" t="s">
        <v>351</v>
      </c>
      <c r="AJ396" s="52" t="s">
        <v>899</v>
      </c>
      <c r="AK396" s="52" t="s">
        <v>533</v>
      </c>
      <c r="AL396" s="52" t="s">
        <v>185</v>
      </c>
      <c r="AM396" s="52" t="s">
        <v>1112</v>
      </c>
      <c r="AQ396" s="60" t="s">
        <v>186</v>
      </c>
      <c r="AR396" s="61" t="s">
        <v>186</v>
      </c>
      <c r="AS396" s="61" t="s">
        <v>187</v>
      </c>
      <c r="AT396" s="61" t="s">
        <v>186</v>
      </c>
      <c r="AU396" s="61" t="s">
        <v>187</v>
      </c>
      <c r="AV396" s="61" t="s">
        <v>186</v>
      </c>
      <c r="AW396" s="61" t="s">
        <v>186</v>
      </c>
      <c r="AX396" s="61" t="s">
        <v>187</v>
      </c>
      <c r="AY396" s="61" t="s">
        <v>186</v>
      </c>
      <c r="BC396" s="28">
        <v>81392923432</v>
      </c>
      <c r="BD396" s="28">
        <v>81228213511</v>
      </c>
      <c r="BE396" s="28">
        <v>81511887965</v>
      </c>
      <c r="BF396" s="28">
        <v>81235366850</v>
      </c>
      <c r="BG396" s="28">
        <v>81344098587</v>
      </c>
      <c r="BH396" s="28">
        <v>82233962480</v>
      </c>
      <c r="BI396" s="28">
        <v>85602683605</v>
      </c>
      <c r="BJ396" s="28">
        <v>82291489062</v>
      </c>
      <c r="BK396" s="28">
        <v>82119873810</v>
      </c>
      <c r="BO396" s="39">
        <v>60201256</v>
      </c>
      <c r="BP396" s="18" t="s">
        <v>5561</v>
      </c>
      <c r="BQ396" s="37">
        <v>44958</v>
      </c>
      <c r="BR396" s="8">
        <f t="shared" si="1"/>
        <v>9</v>
      </c>
    </row>
    <row r="397" spans="1:70" ht="15.5">
      <c r="A397" s="4" t="str">
        <v>Reguler Periode ke-101 XXV.A.1</v>
      </c>
      <c r="B397" s="4" t="s">
        <v>2073</v>
      </c>
      <c r="C397" s="38" t="s">
        <v>5562</v>
      </c>
      <c r="D397" s="4" t="s">
        <v>367</v>
      </c>
      <c r="E397" s="4" t="s">
        <v>5563</v>
      </c>
      <c r="F397" s="4" t="s">
        <v>4928</v>
      </c>
      <c r="G397" s="27" t="s">
        <v>5564</v>
      </c>
      <c r="H397" s="27" t="s">
        <v>5565</v>
      </c>
      <c r="I397" s="27" t="s">
        <v>5566</v>
      </c>
      <c r="J397" s="27" t="s">
        <v>5567</v>
      </c>
      <c r="K397" s="27" t="s">
        <v>5568</v>
      </c>
      <c r="L397" s="27" t="s">
        <v>5569</v>
      </c>
      <c r="M397" s="27" t="s">
        <v>5570</v>
      </c>
      <c r="N397" s="27" t="s">
        <v>5571</v>
      </c>
      <c r="O397" s="27" t="s">
        <v>5572</v>
      </c>
      <c r="S397" s="27">
        <v>1900005253</v>
      </c>
      <c r="T397" s="27">
        <v>1900010215</v>
      </c>
      <c r="U397" s="27">
        <v>1900012237</v>
      </c>
      <c r="V397" s="27">
        <v>1900015041</v>
      </c>
      <c r="W397" s="27">
        <v>1900020002</v>
      </c>
      <c r="X397" s="27">
        <v>1900023145</v>
      </c>
      <c r="Y397" s="27">
        <v>1900029020</v>
      </c>
      <c r="Z397" s="27">
        <v>1900031313</v>
      </c>
      <c r="AA397" s="27">
        <v>1900033027</v>
      </c>
      <c r="AE397" s="27" t="s">
        <v>181</v>
      </c>
      <c r="AF397" s="27" t="s">
        <v>532</v>
      </c>
      <c r="AG397" s="27" t="s">
        <v>885</v>
      </c>
      <c r="AH397" s="27" t="s">
        <v>937</v>
      </c>
      <c r="AI397" s="27" t="s">
        <v>351</v>
      </c>
      <c r="AJ397" s="27" t="s">
        <v>899</v>
      </c>
      <c r="AK397" s="27" t="s">
        <v>533</v>
      </c>
      <c r="AL397" s="27" t="s">
        <v>185</v>
      </c>
      <c r="AM397" s="27" t="s">
        <v>1112</v>
      </c>
      <c r="AQ397" s="60" t="s">
        <v>186</v>
      </c>
      <c r="AR397" s="61" t="s">
        <v>186</v>
      </c>
      <c r="AS397" s="61" t="s">
        <v>187</v>
      </c>
      <c r="AT397" s="61" t="s">
        <v>186</v>
      </c>
      <c r="AU397" s="61" t="s">
        <v>187</v>
      </c>
      <c r="AV397" s="61" t="s">
        <v>186</v>
      </c>
      <c r="AW397" s="61" t="s">
        <v>186</v>
      </c>
      <c r="AX397" s="61" t="s">
        <v>187</v>
      </c>
      <c r="AY397" s="61" t="s">
        <v>186</v>
      </c>
      <c r="BC397" s="28">
        <v>89655185060</v>
      </c>
      <c r="BD397" s="28">
        <v>83124257962</v>
      </c>
      <c r="BE397" s="28">
        <v>87872434855</v>
      </c>
      <c r="BF397" s="28">
        <v>85728049230</v>
      </c>
      <c r="BG397" s="28">
        <v>81215256913</v>
      </c>
      <c r="BH397" s="28">
        <v>89501766753</v>
      </c>
      <c r="BI397" s="28">
        <v>89626155443</v>
      </c>
      <c r="BJ397" s="28">
        <v>81393660345</v>
      </c>
      <c r="BK397" s="28">
        <v>85526234562</v>
      </c>
      <c r="BO397" s="39">
        <v>60191216</v>
      </c>
      <c r="BP397" s="18" t="s">
        <v>5573</v>
      </c>
      <c r="BQ397" s="37">
        <v>44958</v>
      </c>
      <c r="BR397" s="8">
        <f t="shared" si="1"/>
        <v>9</v>
      </c>
    </row>
    <row r="398" spans="1:70" ht="15.5">
      <c r="A398" s="4" t="str">
        <v>Reguler Periode ke-101 XXV.A.2</v>
      </c>
      <c r="B398" s="4" t="s">
        <v>2073</v>
      </c>
      <c r="C398" s="38" t="s">
        <v>5574</v>
      </c>
      <c r="D398" s="4" t="s">
        <v>367</v>
      </c>
      <c r="E398" s="4" t="s">
        <v>5575</v>
      </c>
      <c r="F398" s="4" t="s">
        <v>4928</v>
      </c>
      <c r="G398" s="27" t="s">
        <v>5576</v>
      </c>
      <c r="H398" s="27" t="s">
        <v>5577</v>
      </c>
      <c r="I398" s="27" t="s">
        <v>5578</v>
      </c>
      <c r="J398" s="27" t="s">
        <v>5579</v>
      </c>
      <c r="K398" s="27" t="s">
        <v>5580</v>
      </c>
      <c r="L398" s="27" t="s">
        <v>5581</v>
      </c>
      <c r="M398" s="27" t="s">
        <v>5582</v>
      </c>
      <c r="N398" s="27" t="s">
        <v>5583</v>
      </c>
      <c r="O398" s="27" t="s">
        <v>5584</v>
      </c>
      <c r="S398" s="27">
        <v>1900005035</v>
      </c>
      <c r="T398" s="27">
        <v>1900010028</v>
      </c>
      <c r="U398" s="27">
        <v>1900013233</v>
      </c>
      <c r="V398" s="27">
        <v>1900015065</v>
      </c>
      <c r="W398" s="27">
        <v>1900022028</v>
      </c>
      <c r="X398" s="27">
        <v>1900023175</v>
      </c>
      <c r="Y398" s="27">
        <v>1900029192</v>
      </c>
      <c r="Z398" s="27">
        <v>1900031169</v>
      </c>
      <c r="AA398" s="27">
        <v>1900033018</v>
      </c>
      <c r="AE398" s="27" t="s">
        <v>181</v>
      </c>
      <c r="AF398" s="27" t="s">
        <v>532</v>
      </c>
      <c r="AG398" s="27" t="s">
        <v>677</v>
      </c>
      <c r="AH398" s="27" t="s">
        <v>937</v>
      </c>
      <c r="AI398" s="27" t="s">
        <v>872</v>
      </c>
      <c r="AJ398" s="27" t="s">
        <v>899</v>
      </c>
      <c r="AK398" s="27" t="s">
        <v>533</v>
      </c>
      <c r="AL398" s="27" t="s">
        <v>185</v>
      </c>
      <c r="AM398" s="27" t="s">
        <v>1112</v>
      </c>
      <c r="AQ398" s="60" t="s">
        <v>186</v>
      </c>
      <c r="AR398" s="61" t="s">
        <v>186</v>
      </c>
      <c r="AS398" s="61" t="s">
        <v>187</v>
      </c>
      <c r="AT398" s="61" t="s">
        <v>186</v>
      </c>
      <c r="AU398" s="61" t="s">
        <v>187</v>
      </c>
      <c r="AV398" s="61" t="s">
        <v>186</v>
      </c>
      <c r="AW398" s="61" t="s">
        <v>186</v>
      </c>
      <c r="AX398" s="61" t="s">
        <v>187</v>
      </c>
      <c r="AY398" s="61" t="s">
        <v>186</v>
      </c>
      <c r="BC398" s="28">
        <v>82324514473</v>
      </c>
      <c r="BD398" s="28">
        <v>85876623646</v>
      </c>
      <c r="BE398" s="28">
        <v>85727992895</v>
      </c>
      <c r="BF398" s="28">
        <v>82211560147</v>
      </c>
      <c r="BG398" s="28">
        <v>82282544118</v>
      </c>
      <c r="BH398" s="28">
        <v>82280350422</v>
      </c>
      <c r="BI398" s="28">
        <v>82253853723</v>
      </c>
      <c r="BJ398" s="28">
        <v>88216152659</v>
      </c>
      <c r="BK398" s="28">
        <v>82285350881</v>
      </c>
      <c r="BO398" s="39">
        <v>60191216</v>
      </c>
      <c r="BP398" s="18" t="s">
        <v>5585</v>
      </c>
      <c r="BQ398" s="37">
        <v>44958</v>
      </c>
      <c r="BR398" s="8">
        <f t="shared" si="1"/>
        <v>9</v>
      </c>
    </row>
    <row r="399" spans="1:70" ht="15.5">
      <c r="A399" s="4" t="str">
        <v>Reguler Periode ke-101 XXV.A.3</v>
      </c>
      <c r="B399" s="4" t="s">
        <v>2073</v>
      </c>
      <c r="C399" s="38" t="s">
        <v>5586</v>
      </c>
      <c r="D399" s="4" t="s">
        <v>367</v>
      </c>
      <c r="E399" s="4" t="s">
        <v>5587</v>
      </c>
      <c r="F399" s="4" t="s">
        <v>4928</v>
      </c>
      <c r="G399" s="27" t="s">
        <v>5588</v>
      </c>
      <c r="H399" s="27" t="s">
        <v>5589</v>
      </c>
      <c r="I399" s="27" t="s">
        <v>5590</v>
      </c>
      <c r="J399" s="27" t="s">
        <v>5591</v>
      </c>
      <c r="K399" s="27" t="s">
        <v>5592</v>
      </c>
      <c r="L399" s="27" t="s">
        <v>5593</v>
      </c>
      <c r="M399" s="27" t="s">
        <v>5594</v>
      </c>
      <c r="N399" s="27" t="s">
        <v>5595</v>
      </c>
      <c r="O399" s="27" t="s">
        <v>5596</v>
      </c>
      <c r="S399" s="27">
        <v>1800031006</v>
      </c>
      <c r="T399" s="27">
        <v>1900005212</v>
      </c>
      <c r="U399" s="27">
        <v>1900010154</v>
      </c>
      <c r="V399" s="27">
        <v>1900013014</v>
      </c>
      <c r="W399" s="27">
        <v>1900015004</v>
      </c>
      <c r="X399" s="27">
        <v>1900022024</v>
      </c>
      <c r="Y399" s="27">
        <v>1900023031</v>
      </c>
      <c r="Z399" s="27">
        <v>1900029062</v>
      </c>
      <c r="AA399" s="27">
        <v>1900033094</v>
      </c>
      <c r="AE399" s="27" t="s">
        <v>185</v>
      </c>
      <c r="AF399" s="27" t="s">
        <v>181</v>
      </c>
      <c r="AG399" s="27" t="s">
        <v>532</v>
      </c>
      <c r="AH399" s="27" t="s">
        <v>677</v>
      </c>
      <c r="AI399" s="27" t="s">
        <v>937</v>
      </c>
      <c r="AJ399" s="27" t="s">
        <v>872</v>
      </c>
      <c r="AK399" s="27" t="s">
        <v>899</v>
      </c>
      <c r="AL399" s="27" t="s">
        <v>533</v>
      </c>
      <c r="AM399" s="27" t="s">
        <v>1112</v>
      </c>
      <c r="AQ399" s="60" t="s">
        <v>187</v>
      </c>
      <c r="AR399" s="61" t="s">
        <v>186</v>
      </c>
      <c r="AS399" s="61" t="s">
        <v>186</v>
      </c>
      <c r="AT399" s="61" t="s">
        <v>187</v>
      </c>
      <c r="AU399" s="61" t="s">
        <v>186</v>
      </c>
      <c r="AV399" s="61" t="s">
        <v>187</v>
      </c>
      <c r="AW399" s="61" t="s">
        <v>186</v>
      </c>
      <c r="AX399" s="61" t="s">
        <v>186</v>
      </c>
      <c r="AY399" s="61" t="s">
        <v>186</v>
      </c>
      <c r="BC399" s="28">
        <v>81394531559</v>
      </c>
      <c r="BD399" s="28">
        <v>81385711618</v>
      </c>
      <c r="BE399" s="28">
        <v>81374971269</v>
      </c>
      <c r="BF399" s="28">
        <v>87887655834</v>
      </c>
      <c r="BG399" s="28">
        <v>85162606044</v>
      </c>
      <c r="BH399" s="28">
        <v>81346300762</v>
      </c>
      <c r="BI399" s="28">
        <v>85851296043</v>
      </c>
      <c r="BJ399" s="28">
        <v>81275959875</v>
      </c>
      <c r="BK399" s="28">
        <v>82118113493</v>
      </c>
      <c r="BO399" s="39">
        <v>60191216</v>
      </c>
      <c r="BP399" s="18" t="s">
        <v>5597</v>
      </c>
      <c r="BQ399" s="37">
        <v>44958</v>
      </c>
      <c r="BR399" s="8">
        <f t="shared" si="1"/>
        <v>9</v>
      </c>
    </row>
    <row r="400" spans="1:70" ht="15.5">
      <c r="A400" s="4" t="str">
        <v>Reguler Periode ke-101 XXV.B.1</v>
      </c>
      <c r="B400" s="4" t="s">
        <v>2073</v>
      </c>
      <c r="C400" s="38" t="s">
        <v>5598</v>
      </c>
      <c r="D400" s="4" t="s">
        <v>5599</v>
      </c>
      <c r="E400" s="4" t="s">
        <v>5600</v>
      </c>
      <c r="F400" s="4" t="s">
        <v>4928</v>
      </c>
      <c r="G400" s="27" t="s">
        <v>5601</v>
      </c>
      <c r="H400" s="27" t="s">
        <v>5602</v>
      </c>
      <c r="I400" s="27" t="s">
        <v>5603</v>
      </c>
      <c r="J400" s="27" t="s">
        <v>5604</v>
      </c>
      <c r="K400" s="27" t="s">
        <v>5605</v>
      </c>
      <c r="L400" s="27" t="s">
        <v>5606</v>
      </c>
      <c r="M400" s="27" t="s">
        <v>5607</v>
      </c>
      <c r="N400" s="27" t="s">
        <v>5608</v>
      </c>
      <c r="O400" s="27" t="s">
        <v>5609</v>
      </c>
      <c r="S400" s="27">
        <v>1800022005</v>
      </c>
      <c r="T400" s="27">
        <v>1900005384</v>
      </c>
      <c r="U400" s="27">
        <v>1900010013</v>
      </c>
      <c r="V400" s="27">
        <v>1900013383</v>
      </c>
      <c r="W400" s="27">
        <v>1900015044</v>
      </c>
      <c r="X400" s="27">
        <v>1900023043</v>
      </c>
      <c r="Y400" s="27">
        <v>1900029275</v>
      </c>
      <c r="Z400" s="27">
        <v>1900031354</v>
      </c>
      <c r="AA400" s="27">
        <v>1900033023</v>
      </c>
      <c r="AE400" s="52" t="s">
        <v>872</v>
      </c>
      <c r="AF400" s="52" t="s">
        <v>181</v>
      </c>
      <c r="AG400" s="52" t="s">
        <v>532</v>
      </c>
      <c r="AH400" s="52" t="s">
        <v>677</v>
      </c>
      <c r="AI400" s="52" t="s">
        <v>937</v>
      </c>
      <c r="AJ400" s="52" t="s">
        <v>899</v>
      </c>
      <c r="AK400" s="52" t="s">
        <v>533</v>
      </c>
      <c r="AL400" s="52" t="s">
        <v>185</v>
      </c>
      <c r="AM400" s="52" t="s">
        <v>1112</v>
      </c>
      <c r="AQ400" s="60" t="s">
        <v>187</v>
      </c>
      <c r="AR400" s="61" t="s">
        <v>186</v>
      </c>
      <c r="AS400" s="61" t="s">
        <v>186</v>
      </c>
      <c r="AT400" s="61" t="s">
        <v>187</v>
      </c>
      <c r="AU400" s="61" t="s">
        <v>186</v>
      </c>
      <c r="AV400" s="61" t="s">
        <v>186</v>
      </c>
      <c r="AW400" s="61" t="s">
        <v>186</v>
      </c>
      <c r="AX400" s="61" t="s">
        <v>187</v>
      </c>
      <c r="AY400" s="61" t="s">
        <v>186</v>
      </c>
      <c r="BC400" s="28">
        <v>81229264998</v>
      </c>
      <c r="BD400" s="28">
        <v>83873502423</v>
      </c>
      <c r="BE400" s="28" t="s">
        <v>5610</v>
      </c>
      <c r="BF400" s="28">
        <v>81225391149</v>
      </c>
      <c r="BG400" s="28">
        <v>89602433543</v>
      </c>
      <c r="BH400" s="28">
        <v>895364903233</v>
      </c>
      <c r="BI400" s="28">
        <v>82242064279</v>
      </c>
      <c r="BJ400" s="28">
        <v>82119823316</v>
      </c>
      <c r="BK400" s="28">
        <v>81372718360</v>
      </c>
      <c r="BO400" s="39">
        <v>60160986</v>
      </c>
      <c r="BP400" s="18" t="s">
        <v>5611</v>
      </c>
      <c r="BQ400" s="37">
        <v>44958</v>
      </c>
      <c r="BR400" s="8">
        <f t="shared" si="1"/>
        <v>9</v>
      </c>
    </row>
    <row r="401" spans="1:70" ht="15.5">
      <c r="A401" s="4" t="str">
        <v>Reguler Periode ke-101 XXV.B.2</v>
      </c>
      <c r="B401" s="4" t="s">
        <v>2073</v>
      </c>
      <c r="C401" s="38" t="s">
        <v>5612</v>
      </c>
      <c r="D401" s="4" t="s">
        <v>5599</v>
      </c>
      <c r="E401" s="4" t="s">
        <v>5613</v>
      </c>
      <c r="F401" s="4" t="s">
        <v>4928</v>
      </c>
      <c r="G401" s="27" t="s">
        <v>5614</v>
      </c>
      <c r="H401" s="27" t="s">
        <v>5615</v>
      </c>
      <c r="I401" s="27" t="s">
        <v>5616</v>
      </c>
      <c r="J401" s="27" t="s">
        <v>5617</v>
      </c>
      <c r="K401" s="27" t="s">
        <v>5618</v>
      </c>
      <c r="L401" s="27" t="s">
        <v>5619</v>
      </c>
      <c r="M401" s="27" t="s">
        <v>5620</v>
      </c>
      <c r="N401" s="27" t="s">
        <v>5621</v>
      </c>
      <c r="O401" s="27" t="s">
        <v>5622</v>
      </c>
      <c r="S401" s="27">
        <v>1800022036</v>
      </c>
      <c r="T401" s="27">
        <v>1900005334</v>
      </c>
      <c r="U401" s="27">
        <v>1900010106</v>
      </c>
      <c r="V401" s="27">
        <v>1900013221</v>
      </c>
      <c r="W401" s="27">
        <v>1900015022</v>
      </c>
      <c r="X401" s="27">
        <v>1900023058</v>
      </c>
      <c r="Y401" s="27">
        <v>1900029260</v>
      </c>
      <c r="Z401" s="27">
        <v>1900031187</v>
      </c>
      <c r="AA401" s="27">
        <v>1900033028</v>
      </c>
      <c r="AE401" s="27" t="s">
        <v>872</v>
      </c>
      <c r="AF401" s="27" t="s">
        <v>181</v>
      </c>
      <c r="AG401" s="27" t="s">
        <v>532</v>
      </c>
      <c r="AH401" s="27" t="s">
        <v>677</v>
      </c>
      <c r="AI401" s="27" t="s">
        <v>937</v>
      </c>
      <c r="AJ401" s="27" t="s">
        <v>899</v>
      </c>
      <c r="AK401" s="27" t="s">
        <v>533</v>
      </c>
      <c r="AL401" s="27" t="s">
        <v>185</v>
      </c>
      <c r="AM401" s="27" t="s">
        <v>1112</v>
      </c>
      <c r="AQ401" s="60" t="s">
        <v>187</v>
      </c>
      <c r="AR401" s="61" t="s">
        <v>186</v>
      </c>
      <c r="AS401" s="61" t="s">
        <v>186</v>
      </c>
      <c r="AT401" s="61" t="s">
        <v>187</v>
      </c>
      <c r="AU401" s="61" t="s">
        <v>186</v>
      </c>
      <c r="AV401" s="61" t="s">
        <v>186</v>
      </c>
      <c r="AW401" s="61" t="s">
        <v>186</v>
      </c>
      <c r="AX401" s="61" t="s">
        <v>187</v>
      </c>
      <c r="AY401" s="61" t="s">
        <v>186</v>
      </c>
      <c r="BC401" s="28">
        <v>81386706270</v>
      </c>
      <c r="BD401" s="28">
        <v>83123799765</v>
      </c>
      <c r="BE401" s="28">
        <v>82316124269</v>
      </c>
      <c r="BF401" s="28">
        <v>85700508965</v>
      </c>
      <c r="BG401" s="28">
        <v>85878166597</v>
      </c>
      <c r="BH401" s="28">
        <v>81395379853</v>
      </c>
      <c r="BI401" s="28">
        <v>89605764876</v>
      </c>
      <c r="BJ401" s="28">
        <v>85926066020</v>
      </c>
      <c r="BK401" s="28">
        <v>82299873594</v>
      </c>
      <c r="BO401" s="39">
        <v>60160986</v>
      </c>
      <c r="BP401" s="18" t="s">
        <v>5623</v>
      </c>
      <c r="BQ401" s="37">
        <v>44958</v>
      </c>
      <c r="BR401" s="8">
        <f t="shared" si="1"/>
        <v>9</v>
      </c>
    </row>
    <row r="402" spans="1:70" ht="15.5">
      <c r="A402" s="4" t="str">
        <v>Reguler Periode ke-101 XXV.B.3</v>
      </c>
      <c r="B402" s="4" t="s">
        <v>2073</v>
      </c>
      <c r="C402" s="38" t="s">
        <v>5624</v>
      </c>
      <c r="D402" s="4" t="s">
        <v>5599</v>
      </c>
      <c r="E402" s="4" t="s">
        <v>5625</v>
      </c>
      <c r="F402" s="4" t="s">
        <v>4928</v>
      </c>
      <c r="G402" s="27" t="s">
        <v>5626</v>
      </c>
      <c r="H402" s="27" t="s">
        <v>5627</v>
      </c>
      <c r="I402" s="27" t="s">
        <v>5628</v>
      </c>
      <c r="J402" s="27" t="s">
        <v>5629</v>
      </c>
      <c r="K402" s="27" t="s">
        <v>5630</v>
      </c>
      <c r="L402" s="27" t="s">
        <v>5631</v>
      </c>
      <c r="M402" s="27" t="s">
        <v>5632</v>
      </c>
      <c r="N402" s="27" t="s">
        <v>5633</v>
      </c>
      <c r="O402" s="27" t="s">
        <v>5634</v>
      </c>
      <c r="S402" s="27">
        <v>1900005040</v>
      </c>
      <c r="T402" s="27">
        <v>1900010227</v>
      </c>
      <c r="U402" s="27">
        <v>1900013239</v>
      </c>
      <c r="V402" s="27">
        <v>1900015032</v>
      </c>
      <c r="W402" s="27">
        <v>1900022016</v>
      </c>
      <c r="X402" s="27">
        <v>1900023164</v>
      </c>
      <c r="Y402" s="27">
        <v>1900029032</v>
      </c>
      <c r="Z402" s="27">
        <v>1900031366</v>
      </c>
      <c r="AA402" s="27">
        <v>1900033141</v>
      </c>
      <c r="AE402" s="27" t="s">
        <v>181</v>
      </c>
      <c r="AF402" s="27" t="s">
        <v>532</v>
      </c>
      <c r="AG402" s="27" t="s">
        <v>677</v>
      </c>
      <c r="AH402" s="27" t="s">
        <v>937</v>
      </c>
      <c r="AI402" s="27" t="s">
        <v>872</v>
      </c>
      <c r="AJ402" s="27" t="s">
        <v>899</v>
      </c>
      <c r="AK402" s="27" t="s">
        <v>533</v>
      </c>
      <c r="AL402" s="27" t="s">
        <v>185</v>
      </c>
      <c r="AM402" s="27" t="s">
        <v>1112</v>
      </c>
      <c r="AQ402" s="60" t="s">
        <v>186</v>
      </c>
      <c r="AR402" s="61" t="s">
        <v>186</v>
      </c>
      <c r="AS402" s="61" t="s">
        <v>187</v>
      </c>
      <c r="AT402" s="61" t="s">
        <v>186</v>
      </c>
      <c r="AU402" s="61" t="s">
        <v>187</v>
      </c>
      <c r="AV402" s="61" t="s">
        <v>186</v>
      </c>
      <c r="AW402" s="61" t="s">
        <v>186</v>
      </c>
      <c r="AX402" s="61" t="s">
        <v>187</v>
      </c>
      <c r="AY402" s="61" t="s">
        <v>186</v>
      </c>
      <c r="BC402" s="28">
        <v>895363341158</v>
      </c>
      <c r="BD402" s="28">
        <v>82335124637</v>
      </c>
      <c r="BE402" s="28">
        <v>882311496315</v>
      </c>
      <c r="BF402" s="28">
        <v>85747284634</v>
      </c>
      <c r="BG402" s="28">
        <v>83809892770</v>
      </c>
      <c r="BH402" s="28">
        <v>82372362161</v>
      </c>
      <c r="BI402" s="28">
        <v>81392535480</v>
      </c>
      <c r="BJ402" s="28">
        <v>895632793879</v>
      </c>
      <c r="BK402" s="28">
        <v>85921359471</v>
      </c>
      <c r="BO402" s="39">
        <v>60160986</v>
      </c>
      <c r="BP402" s="18" t="s">
        <v>5635</v>
      </c>
      <c r="BQ402" s="37">
        <v>44958</v>
      </c>
      <c r="BR402" s="8">
        <f t="shared" si="1"/>
        <v>9</v>
      </c>
    </row>
    <row r="403" spans="1:70" ht="15.5">
      <c r="A403" s="4" t="str">
        <v>Reguler Periode ke-101 XXV.C.1</v>
      </c>
      <c r="B403" s="4" t="s">
        <v>2073</v>
      </c>
      <c r="C403" s="38" t="s">
        <v>5636</v>
      </c>
      <c r="D403" s="4" t="s">
        <v>5637</v>
      </c>
      <c r="E403" s="4" t="s">
        <v>5638</v>
      </c>
      <c r="F403" s="4" t="s">
        <v>4928</v>
      </c>
      <c r="G403" s="27" t="s">
        <v>5639</v>
      </c>
      <c r="H403" s="27" t="s">
        <v>5640</v>
      </c>
      <c r="I403" s="27" t="s">
        <v>5641</v>
      </c>
      <c r="J403" s="27" t="s">
        <v>5642</v>
      </c>
      <c r="K403" s="27" t="s">
        <v>5643</v>
      </c>
      <c r="L403" s="27" t="s">
        <v>5644</v>
      </c>
      <c r="M403" s="27" t="s">
        <v>5645</v>
      </c>
      <c r="N403" s="27" t="s">
        <v>5646</v>
      </c>
      <c r="O403" s="27" t="s">
        <v>5647</v>
      </c>
      <c r="S403" s="27">
        <v>1900005174</v>
      </c>
      <c r="T403" s="27">
        <v>1900010161</v>
      </c>
      <c r="U403" s="27">
        <v>1900013399</v>
      </c>
      <c r="V403" s="27">
        <v>1900015034</v>
      </c>
      <c r="W403" s="27">
        <v>1900022074</v>
      </c>
      <c r="X403" s="27">
        <v>1900024351</v>
      </c>
      <c r="Y403" s="27">
        <v>1900029295</v>
      </c>
      <c r="Z403" s="27">
        <v>1900031390</v>
      </c>
      <c r="AA403" s="27">
        <v>1900033155</v>
      </c>
      <c r="AE403" s="52" t="s">
        <v>181</v>
      </c>
      <c r="AF403" s="52" t="s">
        <v>532</v>
      </c>
      <c r="AG403" s="52" t="s">
        <v>677</v>
      </c>
      <c r="AH403" s="52" t="s">
        <v>937</v>
      </c>
      <c r="AI403" s="52" t="s">
        <v>872</v>
      </c>
      <c r="AJ403" s="52" t="s">
        <v>924</v>
      </c>
      <c r="AK403" s="52" t="s">
        <v>533</v>
      </c>
      <c r="AL403" s="52" t="s">
        <v>185</v>
      </c>
      <c r="AM403" s="52" t="s">
        <v>1112</v>
      </c>
      <c r="AQ403" s="60" t="s">
        <v>186</v>
      </c>
      <c r="AR403" s="61" t="s">
        <v>186</v>
      </c>
      <c r="AS403" s="61" t="s">
        <v>187</v>
      </c>
      <c r="AT403" s="61" t="s">
        <v>186</v>
      </c>
      <c r="AU403" s="61" t="s">
        <v>187</v>
      </c>
      <c r="AV403" s="61" t="s">
        <v>186</v>
      </c>
      <c r="AW403" s="61" t="s">
        <v>186</v>
      </c>
      <c r="AX403" s="61" t="s">
        <v>187</v>
      </c>
      <c r="AY403" s="61" t="s">
        <v>186</v>
      </c>
      <c r="BC403" s="28">
        <v>88747395503</v>
      </c>
      <c r="BD403" s="28">
        <v>82180690681</v>
      </c>
      <c r="BE403" s="28">
        <v>81226347625</v>
      </c>
      <c r="BF403" s="28">
        <v>81381046259</v>
      </c>
      <c r="BG403" s="28">
        <v>83824000599</v>
      </c>
      <c r="BH403" s="28">
        <v>895414889770</v>
      </c>
      <c r="BI403" s="28">
        <v>83813538791</v>
      </c>
      <c r="BJ403" s="28">
        <v>85701113690</v>
      </c>
      <c r="BK403" s="28">
        <v>82213131149</v>
      </c>
      <c r="BO403" s="39">
        <v>60191200</v>
      </c>
      <c r="BP403" s="18" t="s">
        <v>5648</v>
      </c>
      <c r="BQ403" s="37">
        <v>44958</v>
      </c>
      <c r="BR403" s="8">
        <f t="shared" si="1"/>
        <v>9</v>
      </c>
    </row>
    <row r="404" spans="1:70" ht="15.5">
      <c r="A404" s="4" t="str">
        <v>Reguler Periode ke-101 XXV.C.2</v>
      </c>
      <c r="B404" s="4" t="s">
        <v>2073</v>
      </c>
      <c r="C404" s="38" t="s">
        <v>5649</v>
      </c>
      <c r="D404" s="4" t="s">
        <v>5637</v>
      </c>
      <c r="E404" s="4" t="s">
        <v>5650</v>
      </c>
      <c r="F404" s="4" t="s">
        <v>4928</v>
      </c>
      <c r="G404" s="27" t="s">
        <v>5651</v>
      </c>
      <c r="H404" s="27" t="s">
        <v>5652</v>
      </c>
      <c r="I404" s="27" t="s">
        <v>5653</v>
      </c>
      <c r="J404" s="27" t="s">
        <v>5654</v>
      </c>
      <c r="K404" s="27" t="s">
        <v>5655</v>
      </c>
      <c r="L404" s="27" t="s">
        <v>5656</v>
      </c>
      <c r="M404" s="27" t="s">
        <v>1825</v>
      </c>
      <c r="N404" s="27" t="s">
        <v>5657</v>
      </c>
      <c r="O404" s="27" t="s">
        <v>5658</v>
      </c>
      <c r="S404" s="27">
        <v>1900005192</v>
      </c>
      <c r="T404" s="27">
        <v>1900010298</v>
      </c>
      <c r="U404" s="27">
        <v>1900013279</v>
      </c>
      <c r="V404" s="27">
        <v>1900015026</v>
      </c>
      <c r="W404" s="27">
        <v>1900022047</v>
      </c>
      <c r="X404" s="27">
        <v>1900024328</v>
      </c>
      <c r="Y404" s="27">
        <v>1900029080</v>
      </c>
      <c r="Z404" s="27">
        <v>1900031310</v>
      </c>
      <c r="AA404" s="27">
        <v>1900033067</v>
      </c>
      <c r="AE404" s="52" t="s">
        <v>181</v>
      </c>
      <c r="AF404" s="52" t="s">
        <v>532</v>
      </c>
      <c r="AG404" s="52" t="s">
        <v>677</v>
      </c>
      <c r="AH404" s="52" t="s">
        <v>937</v>
      </c>
      <c r="AI404" s="52" t="s">
        <v>872</v>
      </c>
      <c r="AJ404" s="52" t="s">
        <v>924</v>
      </c>
      <c r="AK404" s="52" t="s">
        <v>533</v>
      </c>
      <c r="AL404" s="52" t="s">
        <v>185</v>
      </c>
      <c r="AM404" s="52" t="s">
        <v>1112</v>
      </c>
      <c r="AQ404" s="60" t="s">
        <v>186</v>
      </c>
      <c r="AR404" s="61" t="s">
        <v>186</v>
      </c>
      <c r="AS404" s="61" t="s">
        <v>187</v>
      </c>
      <c r="AT404" s="61" t="s">
        <v>186</v>
      </c>
      <c r="AU404" s="61" t="s">
        <v>187</v>
      </c>
      <c r="AV404" s="61" t="s">
        <v>186</v>
      </c>
      <c r="AW404" s="61" t="s">
        <v>186</v>
      </c>
      <c r="AX404" s="61" t="s">
        <v>187</v>
      </c>
      <c r="AY404" s="61" t="s">
        <v>186</v>
      </c>
      <c r="BC404" s="28">
        <v>82398371140</v>
      </c>
      <c r="BD404" s="28">
        <v>895383056234</v>
      </c>
      <c r="BE404" s="28">
        <v>88233738890</v>
      </c>
      <c r="BF404" s="28">
        <v>85780091215</v>
      </c>
      <c r="BG404" s="28">
        <v>89607025666</v>
      </c>
      <c r="BH404" s="28">
        <v>82168193986</v>
      </c>
      <c r="BI404" s="28">
        <v>85333052249</v>
      </c>
      <c r="BJ404" s="28">
        <v>81214413839</v>
      </c>
      <c r="BK404" s="28">
        <v>85226897578</v>
      </c>
      <c r="BO404" s="39">
        <v>60191200</v>
      </c>
      <c r="BP404" s="18" t="s">
        <v>5659</v>
      </c>
      <c r="BQ404" s="37">
        <v>44958</v>
      </c>
      <c r="BR404" s="8">
        <f t="shared" si="1"/>
        <v>9</v>
      </c>
    </row>
    <row r="405" spans="1:70" ht="15.5">
      <c r="A405" s="4" t="str">
        <v>Reguler Periode ke-101 XXV.C.3</v>
      </c>
      <c r="B405" s="4" t="s">
        <v>2073</v>
      </c>
      <c r="C405" s="38" t="s">
        <v>5660</v>
      </c>
      <c r="D405" s="4" t="s">
        <v>5637</v>
      </c>
      <c r="E405" s="4" t="s">
        <v>5661</v>
      </c>
      <c r="F405" s="4" t="s">
        <v>4928</v>
      </c>
      <c r="G405" s="27" t="s">
        <v>5662</v>
      </c>
      <c r="H405" s="27" t="s">
        <v>5663</v>
      </c>
      <c r="I405" s="27" t="s">
        <v>5664</v>
      </c>
      <c r="J405" s="27" t="s">
        <v>5665</v>
      </c>
      <c r="K405" s="27" t="s">
        <v>5666</v>
      </c>
      <c r="L405" s="27" t="s">
        <v>5667</v>
      </c>
      <c r="M405" s="27" t="s">
        <v>5668</v>
      </c>
      <c r="N405" s="27" t="s">
        <v>5669</v>
      </c>
      <c r="O405" s="27" t="s">
        <v>5670</v>
      </c>
      <c r="S405" s="27">
        <v>1900005379</v>
      </c>
      <c r="T405" s="27">
        <v>1900010201</v>
      </c>
      <c r="U405" s="27">
        <v>1900013253</v>
      </c>
      <c r="V405" s="27">
        <v>1900015018</v>
      </c>
      <c r="W405" s="27">
        <v>1900022040</v>
      </c>
      <c r="X405" s="27">
        <v>1900024364</v>
      </c>
      <c r="Y405" s="27">
        <v>1900029292</v>
      </c>
      <c r="Z405" s="27">
        <v>1900031047</v>
      </c>
      <c r="AA405" s="27">
        <v>1900033119</v>
      </c>
      <c r="AE405" s="27" t="s">
        <v>181</v>
      </c>
      <c r="AF405" s="27" t="s">
        <v>532</v>
      </c>
      <c r="AG405" s="27" t="s">
        <v>677</v>
      </c>
      <c r="AH405" s="27" t="s">
        <v>937</v>
      </c>
      <c r="AI405" s="27" t="s">
        <v>872</v>
      </c>
      <c r="AJ405" s="27" t="s">
        <v>924</v>
      </c>
      <c r="AK405" s="27" t="s">
        <v>533</v>
      </c>
      <c r="AL405" s="27" t="s">
        <v>185</v>
      </c>
      <c r="AM405" s="27" t="s">
        <v>1112</v>
      </c>
      <c r="AQ405" s="60" t="s">
        <v>186</v>
      </c>
      <c r="AR405" s="61" t="s">
        <v>186</v>
      </c>
      <c r="AS405" s="61" t="s">
        <v>187</v>
      </c>
      <c r="AT405" s="61" t="s">
        <v>186</v>
      </c>
      <c r="AU405" s="61" t="s">
        <v>187</v>
      </c>
      <c r="AV405" s="61" t="s">
        <v>186</v>
      </c>
      <c r="AW405" s="61" t="s">
        <v>186</v>
      </c>
      <c r="AX405" s="61" t="s">
        <v>187</v>
      </c>
      <c r="AY405" s="61" t="s">
        <v>186</v>
      </c>
      <c r="BC405" s="28">
        <v>85727700214</v>
      </c>
      <c r="BD405" s="28">
        <v>88233424433</v>
      </c>
      <c r="BE405" s="28">
        <v>81326891313</v>
      </c>
      <c r="BF405" s="28">
        <v>85714167548</v>
      </c>
      <c r="BG405" s="28">
        <v>89671701873</v>
      </c>
      <c r="BH405" s="28">
        <v>81368237665</v>
      </c>
      <c r="BI405" s="28">
        <v>87821927783</v>
      </c>
      <c r="BJ405" s="28">
        <v>82134360997</v>
      </c>
      <c r="BK405" s="28">
        <v>85747405300</v>
      </c>
      <c r="BO405" s="39">
        <v>60191200</v>
      </c>
      <c r="BP405" s="18" t="s">
        <v>5671</v>
      </c>
      <c r="BQ405" s="37">
        <v>44958</v>
      </c>
      <c r="BR405" s="8">
        <f t="shared" si="1"/>
        <v>9</v>
      </c>
    </row>
    <row r="406" spans="1:70" ht="15.5">
      <c r="A406" s="4" t="str">
        <v>Reguler Periode ke-101 XXV.D.1</v>
      </c>
      <c r="B406" s="4" t="s">
        <v>2073</v>
      </c>
      <c r="C406" s="38" t="s">
        <v>5672</v>
      </c>
      <c r="D406" s="4" t="s">
        <v>5673</v>
      </c>
      <c r="E406" s="4" t="s">
        <v>5674</v>
      </c>
      <c r="F406" s="4" t="s">
        <v>4928</v>
      </c>
      <c r="G406" s="27" t="s">
        <v>5675</v>
      </c>
      <c r="H406" s="27" t="s">
        <v>5676</v>
      </c>
      <c r="I406" s="27" t="s">
        <v>5677</v>
      </c>
      <c r="J406" s="27" t="s">
        <v>5678</v>
      </c>
      <c r="K406" s="27" t="s">
        <v>5679</v>
      </c>
      <c r="L406" s="27" t="s">
        <v>5680</v>
      </c>
      <c r="M406" s="27" t="s">
        <v>5681</v>
      </c>
      <c r="N406" s="27" t="s">
        <v>5682</v>
      </c>
      <c r="S406" s="27">
        <v>1900005248</v>
      </c>
      <c r="T406" s="27">
        <v>1900010222</v>
      </c>
      <c r="U406" s="27">
        <v>1900013397</v>
      </c>
      <c r="V406" s="27">
        <v>1900015056</v>
      </c>
      <c r="W406" s="27">
        <v>1900022051</v>
      </c>
      <c r="X406" s="27">
        <v>1900029225</v>
      </c>
      <c r="Y406" s="27">
        <v>1900031115</v>
      </c>
      <c r="Z406" s="27">
        <v>1900033116</v>
      </c>
      <c r="AE406" s="27" t="s">
        <v>181</v>
      </c>
      <c r="AF406" s="27" t="s">
        <v>532</v>
      </c>
      <c r="AG406" s="27" t="s">
        <v>677</v>
      </c>
      <c r="AH406" s="27" t="s">
        <v>937</v>
      </c>
      <c r="AI406" s="27" t="s">
        <v>872</v>
      </c>
      <c r="AJ406" s="27" t="s">
        <v>533</v>
      </c>
      <c r="AK406" s="27" t="s">
        <v>185</v>
      </c>
      <c r="AL406" s="27" t="s">
        <v>1112</v>
      </c>
      <c r="AQ406" s="60" t="s">
        <v>186</v>
      </c>
      <c r="AR406" s="61" t="s">
        <v>186</v>
      </c>
      <c r="AS406" s="61" t="s">
        <v>187</v>
      </c>
      <c r="AT406" s="61" t="s">
        <v>186</v>
      </c>
      <c r="AU406" s="61" t="s">
        <v>187</v>
      </c>
      <c r="AV406" s="61" t="s">
        <v>186</v>
      </c>
      <c r="AW406" s="61" t="s">
        <v>187</v>
      </c>
      <c r="AX406" s="61" t="s">
        <v>186</v>
      </c>
      <c r="BC406" s="28">
        <v>85156238987</v>
      </c>
      <c r="BD406" s="28">
        <v>81363914725</v>
      </c>
      <c r="BE406" s="28">
        <v>85161209881</v>
      </c>
      <c r="BF406" s="28">
        <v>8993400603</v>
      </c>
      <c r="BG406" s="28">
        <v>895359163935</v>
      </c>
      <c r="BH406" s="28">
        <v>87856211848</v>
      </c>
      <c r="BI406" s="28" t="s">
        <v>5683</v>
      </c>
      <c r="BJ406" s="28">
        <v>85602661086</v>
      </c>
      <c r="BO406" s="39">
        <v>60160998</v>
      </c>
      <c r="BP406" s="18" t="s">
        <v>5684</v>
      </c>
      <c r="BQ406" s="37">
        <v>44958</v>
      </c>
      <c r="BR406" s="8">
        <f t="shared" si="1"/>
        <v>8</v>
      </c>
    </row>
    <row r="407" spans="1:70" ht="15.5">
      <c r="A407" s="4" t="str">
        <v>Reguler Periode ke-101 XXV.D.2</v>
      </c>
      <c r="B407" s="4" t="s">
        <v>2073</v>
      </c>
      <c r="C407" s="38" t="s">
        <v>5685</v>
      </c>
      <c r="D407" s="4" t="s">
        <v>5673</v>
      </c>
      <c r="E407" s="4" t="s">
        <v>5686</v>
      </c>
      <c r="F407" s="4" t="s">
        <v>4928</v>
      </c>
      <c r="G407" s="27" t="s">
        <v>5687</v>
      </c>
      <c r="H407" s="27" t="s">
        <v>5688</v>
      </c>
      <c r="I407" s="27" t="s">
        <v>5689</v>
      </c>
      <c r="J407" s="27" t="s">
        <v>5690</v>
      </c>
      <c r="K407" s="27" t="s">
        <v>5691</v>
      </c>
      <c r="L407" s="27" t="s">
        <v>5692</v>
      </c>
      <c r="M407" s="27" t="s">
        <v>5693</v>
      </c>
      <c r="N407" s="27" t="s">
        <v>5694</v>
      </c>
      <c r="S407" s="27">
        <v>1900005175</v>
      </c>
      <c r="T407" s="27">
        <v>1900010195</v>
      </c>
      <c r="U407" s="27">
        <v>1900013153</v>
      </c>
      <c r="V407" s="27">
        <v>1900015035</v>
      </c>
      <c r="W407" s="27">
        <v>1900022081</v>
      </c>
      <c r="X407" s="27">
        <v>1900024339</v>
      </c>
      <c r="Y407" s="27">
        <v>1900031217</v>
      </c>
      <c r="Z407" s="27">
        <v>1900033134</v>
      </c>
      <c r="AE407" s="27" t="s">
        <v>181</v>
      </c>
      <c r="AF407" s="27" t="s">
        <v>532</v>
      </c>
      <c r="AG407" s="27" t="s">
        <v>677</v>
      </c>
      <c r="AH407" s="27" t="s">
        <v>937</v>
      </c>
      <c r="AI407" s="27" t="s">
        <v>872</v>
      </c>
      <c r="AJ407" s="27" t="s">
        <v>924</v>
      </c>
      <c r="AK407" s="27" t="s">
        <v>185</v>
      </c>
      <c r="AL407" s="27" t="s">
        <v>1112</v>
      </c>
      <c r="AQ407" s="60" t="s">
        <v>186</v>
      </c>
      <c r="AR407" s="61" t="s">
        <v>186</v>
      </c>
      <c r="AS407" s="61" t="s">
        <v>187</v>
      </c>
      <c r="AT407" s="61" t="s">
        <v>186</v>
      </c>
      <c r="AU407" s="61" t="s">
        <v>187</v>
      </c>
      <c r="AV407" s="61" t="s">
        <v>186</v>
      </c>
      <c r="AW407" s="61" t="s">
        <v>187</v>
      </c>
      <c r="AX407" s="61" t="s">
        <v>186</v>
      </c>
      <c r="BC407" s="28">
        <v>85609343805</v>
      </c>
      <c r="BD407" s="28">
        <v>85742465069</v>
      </c>
      <c r="BE407" s="28">
        <v>85789153680</v>
      </c>
      <c r="BF407" s="28">
        <v>82132470590</v>
      </c>
      <c r="BG407" s="28">
        <v>83824911634</v>
      </c>
      <c r="BH407" s="28">
        <v>85373519816</v>
      </c>
      <c r="BI407" s="28">
        <v>85773444127</v>
      </c>
      <c r="BJ407" s="28">
        <v>82145485673</v>
      </c>
      <c r="BO407" s="39">
        <v>60160998</v>
      </c>
      <c r="BP407" s="18" t="s">
        <v>5695</v>
      </c>
      <c r="BQ407" s="37">
        <v>44958</v>
      </c>
      <c r="BR407" s="8">
        <f t="shared" si="1"/>
        <v>8</v>
      </c>
    </row>
    <row r="408" spans="1:70" ht="15.5">
      <c r="A408" s="4" t="str">
        <v>Reguler Periode ke-101 XXV.D.3</v>
      </c>
      <c r="B408" s="4" t="s">
        <v>2073</v>
      </c>
      <c r="C408" s="38" t="s">
        <v>5696</v>
      </c>
      <c r="D408" s="4" t="s">
        <v>5673</v>
      </c>
      <c r="E408" s="4" t="s">
        <v>5697</v>
      </c>
      <c r="F408" s="4" t="s">
        <v>4928</v>
      </c>
      <c r="G408" s="27" t="s">
        <v>5698</v>
      </c>
      <c r="H408" s="27" t="s">
        <v>5699</v>
      </c>
      <c r="I408" s="27" t="s">
        <v>5700</v>
      </c>
      <c r="J408" s="27" t="s">
        <v>5701</v>
      </c>
      <c r="K408" s="27" t="s">
        <v>5702</v>
      </c>
      <c r="L408" s="27" t="s">
        <v>5703</v>
      </c>
      <c r="M408" s="27" t="s">
        <v>5704</v>
      </c>
      <c r="N408" s="27" t="s">
        <v>5705</v>
      </c>
      <c r="O408" s="27" t="s">
        <v>5706</v>
      </c>
      <c r="S408" s="27">
        <v>1900005252</v>
      </c>
      <c r="T408" s="27">
        <v>1900010094</v>
      </c>
      <c r="U408" s="27">
        <v>1900013281</v>
      </c>
      <c r="V408" s="27">
        <v>1900015028</v>
      </c>
      <c r="W408" s="27">
        <v>1900022050</v>
      </c>
      <c r="X408" s="27">
        <v>1900024254</v>
      </c>
      <c r="Y408" s="27">
        <v>1900029113</v>
      </c>
      <c r="Z408" s="27">
        <v>1900031026</v>
      </c>
      <c r="AA408" s="27">
        <v>1900033131</v>
      </c>
      <c r="AE408" s="52" t="s">
        <v>181</v>
      </c>
      <c r="AF408" s="52" t="s">
        <v>532</v>
      </c>
      <c r="AG408" s="52" t="s">
        <v>677</v>
      </c>
      <c r="AH408" s="52" t="s">
        <v>937</v>
      </c>
      <c r="AI408" s="52" t="s">
        <v>872</v>
      </c>
      <c r="AJ408" s="52" t="s">
        <v>924</v>
      </c>
      <c r="AK408" s="52" t="s">
        <v>533</v>
      </c>
      <c r="AL408" s="52" t="s">
        <v>185</v>
      </c>
      <c r="AM408" s="52" t="s">
        <v>1112</v>
      </c>
      <c r="AQ408" s="60" t="s">
        <v>186</v>
      </c>
      <c r="AR408" s="61" t="s">
        <v>186</v>
      </c>
      <c r="AS408" s="61" t="s">
        <v>187</v>
      </c>
      <c r="AT408" s="61" t="s">
        <v>186</v>
      </c>
      <c r="AU408" s="61" t="s">
        <v>187</v>
      </c>
      <c r="AV408" s="61" t="s">
        <v>186</v>
      </c>
      <c r="AW408" s="61" t="s">
        <v>186</v>
      </c>
      <c r="AX408" s="61" t="s">
        <v>187</v>
      </c>
      <c r="AY408" s="61" t="s">
        <v>186</v>
      </c>
      <c r="BC408" s="28">
        <v>85709375744</v>
      </c>
      <c r="BD408" s="28">
        <v>88228906283</v>
      </c>
      <c r="BE408" s="28">
        <v>81226933750</v>
      </c>
      <c r="BF408" s="28">
        <v>8895691972</v>
      </c>
      <c r="BG408" s="28">
        <v>89606789636</v>
      </c>
      <c r="BH408" s="28">
        <v>87774641777</v>
      </c>
      <c r="BI408" s="28">
        <v>85606575318</v>
      </c>
      <c r="BJ408" s="28">
        <v>89671737448</v>
      </c>
      <c r="BK408" s="28">
        <v>82136134453</v>
      </c>
      <c r="BO408" s="39">
        <v>60160998</v>
      </c>
      <c r="BP408" s="18" t="s">
        <v>5707</v>
      </c>
      <c r="BQ408" s="37">
        <v>44958</v>
      </c>
      <c r="BR408" s="8">
        <f t="shared" si="1"/>
        <v>9</v>
      </c>
    </row>
    <row r="409" spans="1:70" ht="15.5">
      <c r="A409" s="4" t="str">
        <v>Reguler Periode ke-101 XXVI.A.1</v>
      </c>
      <c r="B409" s="4" t="s">
        <v>2073</v>
      </c>
      <c r="C409" s="38" t="s">
        <v>5708</v>
      </c>
      <c r="D409" s="4" t="s">
        <v>5709</v>
      </c>
      <c r="E409" s="4" t="s">
        <v>5710</v>
      </c>
      <c r="F409" s="4" t="s">
        <v>4928</v>
      </c>
      <c r="G409" s="27" t="s">
        <v>5711</v>
      </c>
      <c r="H409" s="27" t="s">
        <v>5712</v>
      </c>
      <c r="I409" s="27" t="s">
        <v>5713</v>
      </c>
      <c r="J409" s="27" t="s">
        <v>5714</v>
      </c>
      <c r="K409" s="27" t="s">
        <v>5715</v>
      </c>
      <c r="L409" s="27" t="s">
        <v>5716</v>
      </c>
      <c r="M409" s="27" t="s">
        <v>5717</v>
      </c>
      <c r="N409" s="27" t="s">
        <v>5718</v>
      </c>
      <c r="O409" s="27" t="s">
        <v>5719</v>
      </c>
      <c r="S409" s="27">
        <v>1900005318</v>
      </c>
      <c r="T409" s="27">
        <v>1900010259</v>
      </c>
      <c r="U409" s="27">
        <v>1900013101</v>
      </c>
      <c r="V409" s="27">
        <v>1900015021</v>
      </c>
      <c r="W409" s="27">
        <v>1900022022</v>
      </c>
      <c r="X409" s="27">
        <v>1900024213</v>
      </c>
      <c r="Y409" s="27">
        <v>1900029089</v>
      </c>
      <c r="Z409" s="27">
        <v>1900031327</v>
      </c>
      <c r="AA409" s="27">
        <v>1900033065</v>
      </c>
      <c r="AE409" s="52" t="s">
        <v>181</v>
      </c>
      <c r="AF409" s="52" t="s">
        <v>532</v>
      </c>
      <c r="AG409" s="52" t="s">
        <v>677</v>
      </c>
      <c r="AH409" s="52" t="s">
        <v>937</v>
      </c>
      <c r="AI409" s="52" t="s">
        <v>872</v>
      </c>
      <c r="AJ409" s="52" t="s">
        <v>924</v>
      </c>
      <c r="AK409" s="52" t="s">
        <v>533</v>
      </c>
      <c r="AL409" s="52" t="s">
        <v>185</v>
      </c>
      <c r="AM409" s="52" t="s">
        <v>1112</v>
      </c>
      <c r="AQ409" s="60" t="s">
        <v>186</v>
      </c>
      <c r="AR409" s="61" t="s">
        <v>186</v>
      </c>
      <c r="AS409" s="61" t="s">
        <v>187</v>
      </c>
      <c r="AT409" s="61" t="s">
        <v>186</v>
      </c>
      <c r="AU409" s="61" t="s">
        <v>187</v>
      </c>
      <c r="AV409" s="61" t="s">
        <v>186</v>
      </c>
      <c r="AW409" s="61" t="s">
        <v>186</v>
      </c>
      <c r="AX409" s="61" t="s">
        <v>187</v>
      </c>
      <c r="AY409" s="61" t="s">
        <v>186</v>
      </c>
      <c r="BC409" s="28">
        <v>81338109846</v>
      </c>
      <c r="BD409" s="28">
        <v>81265536610</v>
      </c>
      <c r="BE409" s="28">
        <v>81272594882</v>
      </c>
      <c r="BF409" s="28">
        <v>81368017371</v>
      </c>
      <c r="BG409" s="28">
        <v>85770790147</v>
      </c>
      <c r="BH409" s="28">
        <v>81242684334</v>
      </c>
      <c r="BI409" s="28">
        <v>81282514596</v>
      </c>
      <c r="BJ409" s="28">
        <v>85326508026</v>
      </c>
      <c r="BK409" s="28">
        <v>81351581209</v>
      </c>
      <c r="BO409" s="39">
        <v>60211293</v>
      </c>
      <c r="BP409" s="18" t="s">
        <v>5720</v>
      </c>
      <c r="BQ409" s="37">
        <v>44956</v>
      </c>
      <c r="BR409" s="8">
        <f t="shared" si="1"/>
        <v>9</v>
      </c>
    </row>
    <row r="410" spans="1:70" ht="15.5">
      <c r="A410" s="4" t="str">
        <v>Reguler Periode ke-101 XXVI.A.2</v>
      </c>
      <c r="B410" s="4" t="s">
        <v>2073</v>
      </c>
      <c r="C410" s="38" t="s">
        <v>5721</v>
      </c>
      <c r="D410" s="4" t="s">
        <v>5709</v>
      </c>
      <c r="E410" s="4" t="s">
        <v>5722</v>
      </c>
      <c r="F410" s="4" t="s">
        <v>4928</v>
      </c>
      <c r="G410" s="27" t="s">
        <v>5723</v>
      </c>
      <c r="H410" s="27" t="s">
        <v>5724</v>
      </c>
      <c r="I410" s="27" t="s">
        <v>5725</v>
      </c>
      <c r="J410" s="27" t="s">
        <v>5726</v>
      </c>
      <c r="K410" s="27" t="s">
        <v>5727</v>
      </c>
      <c r="L410" s="27" t="s">
        <v>5728</v>
      </c>
      <c r="M410" s="27" t="s">
        <v>5729</v>
      </c>
      <c r="N410" s="27" t="s">
        <v>5730</v>
      </c>
      <c r="O410" s="27" t="s">
        <v>5731</v>
      </c>
      <c r="S410" s="27">
        <v>1900005142</v>
      </c>
      <c r="T410" s="27">
        <v>1900010112</v>
      </c>
      <c r="U410" s="27">
        <v>1900013261</v>
      </c>
      <c r="V410" s="27">
        <v>1900015060</v>
      </c>
      <c r="W410" s="27">
        <v>1900022059</v>
      </c>
      <c r="X410" s="27">
        <v>1900024154</v>
      </c>
      <c r="Y410" s="27">
        <v>1900029137</v>
      </c>
      <c r="Z410" s="27">
        <v>1900031079</v>
      </c>
      <c r="AA410" s="27">
        <v>1900033154</v>
      </c>
      <c r="AE410" s="52" t="s">
        <v>181</v>
      </c>
      <c r="AF410" s="52" t="s">
        <v>532</v>
      </c>
      <c r="AG410" s="52" t="s">
        <v>677</v>
      </c>
      <c r="AH410" s="52" t="s">
        <v>937</v>
      </c>
      <c r="AI410" s="52" t="s">
        <v>872</v>
      </c>
      <c r="AJ410" s="52" t="s">
        <v>924</v>
      </c>
      <c r="AK410" s="52" t="s">
        <v>533</v>
      </c>
      <c r="AL410" s="52" t="s">
        <v>185</v>
      </c>
      <c r="AM410" s="52" t="s">
        <v>1112</v>
      </c>
      <c r="AQ410" s="60" t="s">
        <v>186</v>
      </c>
      <c r="AR410" s="61" t="s">
        <v>186</v>
      </c>
      <c r="AS410" s="61" t="s">
        <v>187</v>
      </c>
      <c r="AT410" s="61" t="s">
        <v>186</v>
      </c>
      <c r="AU410" s="61" t="s">
        <v>187</v>
      </c>
      <c r="AV410" s="61" t="s">
        <v>186</v>
      </c>
      <c r="AW410" s="61" t="s">
        <v>186</v>
      </c>
      <c r="AX410" s="61" t="s">
        <v>187</v>
      </c>
      <c r="AY410" s="61" t="s">
        <v>186</v>
      </c>
      <c r="BC410" s="28">
        <v>895338356010</v>
      </c>
      <c r="BD410" s="28">
        <v>85848904290</v>
      </c>
      <c r="BE410" s="28">
        <v>83121912944</v>
      </c>
      <c r="BF410" s="28">
        <v>81392728275</v>
      </c>
      <c r="BG410" s="28">
        <v>895410223650</v>
      </c>
      <c r="BH410" s="28">
        <v>89525808697</v>
      </c>
      <c r="BI410" s="28">
        <v>81392455448</v>
      </c>
      <c r="BJ410" s="28">
        <v>82289501141</v>
      </c>
      <c r="BK410" s="28">
        <v>81325968499</v>
      </c>
      <c r="BO410" s="39">
        <v>60211293</v>
      </c>
      <c r="BP410" s="18" t="s">
        <v>5732</v>
      </c>
      <c r="BQ410" s="37">
        <v>44956</v>
      </c>
      <c r="BR410" s="8">
        <f t="shared" si="1"/>
        <v>9</v>
      </c>
    </row>
    <row r="411" spans="1:70" ht="15.5">
      <c r="A411" s="4" t="str">
        <v>Reguler Periode ke-101 XXVI.B.1</v>
      </c>
      <c r="B411" s="4" t="s">
        <v>2073</v>
      </c>
      <c r="C411" s="38" t="s">
        <v>5733</v>
      </c>
      <c r="D411" s="4" t="s">
        <v>5734</v>
      </c>
      <c r="E411" s="4" t="s">
        <v>5735</v>
      </c>
      <c r="F411" s="4" t="s">
        <v>4928</v>
      </c>
      <c r="G411" s="27" t="s">
        <v>5736</v>
      </c>
      <c r="H411" s="27" t="s">
        <v>5737</v>
      </c>
      <c r="I411" s="27" t="s">
        <v>5738</v>
      </c>
      <c r="J411" s="27" t="s">
        <v>5739</v>
      </c>
      <c r="K411" s="27" t="s">
        <v>5740</v>
      </c>
      <c r="L411" s="27" t="s">
        <v>5741</v>
      </c>
      <c r="M411" s="27" t="s">
        <v>5742</v>
      </c>
      <c r="N411" s="27" t="s">
        <v>5743</v>
      </c>
      <c r="O411" s="27" t="s">
        <v>5744</v>
      </c>
      <c r="S411" s="27">
        <v>1900005064</v>
      </c>
      <c r="T411" s="27">
        <v>1900010288</v>
      </c>
      <c r="U411" s="27">
        <v>1900013048</v>
      </c>
      <c r="V411" s="27">
        <v>1900015057</v>
      </c>
      <c r="W411" s="27">
        <v>1900022037</v>
      </c>
      <c r="X411" s="27">
        <v>1900024369</v>
      </c>
      <c r="Y411" s="27">
        <v>1900029092</v>
      </c>
      <c r="Z411" s="27">
        <v>1900031389</v>
      </c>
      <c r="AA411" s="27">
        <v>1900033052</v>
      </c>
      <c r="AE411" s="52" t="s">
        <v>181</v>
      </c>
      <c r="AF411" s="52" t="s">
        <v>532</v>
      </c>
      <c r="AG411" s="52" t="s">
        <v>677</v>
      </c>
      <c r="AH411" s="52" t="s">
        <v>937</v>
      </c>
      <c r="AI411" s="52" t="s">
        <v>872</v>
      </c>
      <c r="AJ411" s="52" t="s">
        <v>924</v>
      </c>
      <c r="AK411" s="52" t="s">
        <v>533</v>
      </c>
      <c r="AL411" s="52" t="s">
        <v>185</v>
      </c>
      <c r="AM411" s="52" t="s">
        <v>1112</v>
      </c>
      <c r="AQ411" s="60" t="s">
        <v>186</v>
      </c>
      <c r="AR411" s="61" t="s">
        <v>186</v>
      </c>
      <c r="AS411" s="61" t="s">
        <v>187</v>
      </c>
      <c r="AT411" s="61" t="s">
        <v>186</v>
      </c>
      <c r="AU411" s="61" t="s">
        <v>187</v>
      </c>
      <c r="AV411" s="61" t="s">
        <v>186</v>
      </c>
      <c r="AW411" s="61" t="s">
        <v>186</v>
      </c>
      <c r="AX411" s="61" t="s">
        <v>187</v>
      </c>
      <c r="AY411" s="61" t="s">
        <v>186</v>
      </c>
      <c r="BC411" s="28">
        <v>81949539290</v>
      </c>
      <c r="BD411" s="28">
        <v>82228684930</v>
      </c>
      <c r="BE411" s="28">
        <v>81239043903</v>
      </c>
      <c r="BF411" s="28">
        <v>81252436537</v>
      </c>
      <c r="BG411" s="28">
        <v>8976885758</v>
      </c>
      <c r="BH411" s="28">
        <v>85732531023</v>
      </c>
      <c r="BI411" s="28">
        <v>85380430460</v>
      </c>
      <c r="BJ411" s="28">
        <v>81213569481</v>
      </c>
      <c r="BK411" s="28">
        <v>82210746516</v>
      </c>
      <c r="BO411" s="39">
        <v>60191179</v>
      </c>
      <c r="BP411" s="18" t="s">
        <v>5745</v>
      </c>
      <c r="BQ411" s="37">
        <v>44956</v>
      </c>
      <c r="BR411" s="8">
        <f t="shared" si="1"/>
        <v>9</v>
      </c>
    </row>
    <row r="412" spans="1:70" ht="15.5">
      <c r="A412" s="4" t="str">
        <v>Reguler Periode ke-101 XXVI.B.2</v>
      </c>
      <c r="B412" s="4" t="s">
        <v>2073</v>
      </c>
      <c r="C412" s="38" t="s">
        <v>5746</v>
      </c>
      <c r="D412" s="4" t="s">
        <v>5734</v>
      </c>
      <c r="E412" s="4" t="s">
        <v>5747</v>
      </c>
      <c r="F412" s="4" t="s">
        <v>4928</v>
      </c>
      <c r="G412" s="27" t="s">
        <v>5748</v>
      </c>
      <c r="H412" s="27" t="s">
        <v>5749</v>
      </c>
      <c r="I412" s="27" t="s">
        <v>5750</v>
      </c>
      <c r="J412" s="27" t="s">
        <v>5751</v>
      </c>
      <c r="K412" s="27" t="s">
        <v>5752</v>
      </c>
      <c r="L412" s="27" t="s">
        <v>5753</v>
      </c>
      <c r="M412" s="27" t="s">
        <v>5754</v>
      </c>
      <c r="N412" s="27" t="s">
        <v>5755</v>
      </c>
      <c r="O412" s="27" t="s">
        <v>5756</v>
      </c>
      <c r="S412" s="27">
        <v>1900005107</v>
      </c>
      <c r="T412" s="27">
        <v>1900010177</v>
      </c>
      <c r="U412" s="27">
        <v>1900013393</v>
      </c>
      <c r="V412" s="27">
        <v>1900015054</v>
      </c>
      <c r="W412" s="27">
        <v>1900022008</v>
      </c>
      <c r="X412" s="27">
        <v>1900024043</v>
      </c>
      <c r="Y412" s="27">
        <v>1900029264</v>
      </c>
      <c r="Z412" s="27">
        <v>1900031096</v>
      </c>
      <c r="AA412" s="27">
        <v>1900033098</v>
      </c>
      <c r="AE412" s="52" t="s">
        <v>181</v>
      </c>
      <c r="AF412" s="52" t="s">
        <v>532</v>
      </c>
      <c r="AG412" s="52" t="s">
        <v>677</v>
      </c>
      <c r="AH412" s="52" t="s">
        <v>937</v>
      </c>
      <c r="AI412" s="52" t="s">
        <v>872</v>
      </c>
      <c r="AJ412" s="52" t="s">
        <v>924</v>
      </c>
      <c r="AK412" s="52" t="s">
        <v>533</v>
      </c>
      <c r="AL412" s="52" t="s">
        <v>185</v>
      </c>
      <c r="AM412" s="52" t="s">
        <v>1112</v>
      </c>
      <c r="AQ412" s="60" t="s">
        <v>186</v>
      </c>
      <c r="AR412" s="61" t="s">
        <v>186</v>
      </c>
      <c r="AS412" s="61" t="s">
        <v>187</v>
      </c>
      <c r="AT412" s="61" t="s">
        <v>186</v>
      </c>
      <c r="AU412" s="61" t="s">
        <v>187</v>
      </c>
      <c r="AV412" s="61" t="s">
        <v>186</v>
      </c>
      <c r="AW412" s="61" t="s">
        <v>186</v>
      </c>
      <c r="AX412" s="61" t="s">
        <v>187</v>
      </c>
      <c r="AY412" s="61" t="s">
        <v>186</v>
      </c>
      <c r="BC412" s="28">
        <v>895332656056</v>
      </c>
      <c r="BD412" s="28">
        <v>882003785519</v>
      </c>
      <c r="BE412" s="28">
        <v>89612966978</v>
      </c>
      <c r="BF412" s="28">
        <v>81226658943</v>
      </c>
      <c r="BG412" s="28">
        <v>81367790002</v>
      </c>
      <c r="BH412" s="28">
        <v>82241617746</v>
      </c>
      <c r="BI412" s="28">
        <v>85376751010</v>
      </c>
      <c r="BJ412" s="28">
        <v>82283549259</v>
      </c>
      <c r="BK412" s="28">
        <v>82226617098</v>
      </c>
      <c r="BO412" s="39">
        <v>60191179</v>
      </c>
      <c r="BP412" s="18" t="s">
        <v>5757</v>
      </c>
      <c r="BQ412" s="37">
        <v>44956</v>
      </c>
      <c r="BR412" s="8">
        <f t="shared" si="1"/>
        <v>9</v>
      </c>
    </row>
    <row r="413" spans="1:70" ht="15.5">
      <c r="A413" s="4" t="str">
        <v>Reguler Periode ke-101 XXVI.B.3</v>
      </c>
      <c r="B413" s="4" t="s">
        <v>2073</v>
      </c>
      <c r="C413" s="38" t="s">
        <v>5758</v>
      </c>
      <c r="D413" s="4" t="s">
        <v>5734</v>
      </c>
      <c r="E413" s="4" t="s">
        <v>5759</v>
      </c>
      <c r="F413" s="4" t="s">
        <v>4928</v>
      </c>
      <c r="G413" s="27" t="s">
        <v>5760</v>
      </c>
      <c r="H413" s="27" t="s">
        <v>2434</v>
      </c>
      <c r="I413" s="27" t="s">
        <v>5761</v>
      </c>
      <c r="J413" s="27" t="s">
        <v>5762</v>
      </c>
      <c r="K413" s="27" t="s">
        <v>5763</v>
      </c>
      <c r="L413" s="27" t="s">
        <v>5764</v>
      </c>
      <c r="M413" s="27" t="s">
        <v>5765</v>
      </c>
      <c r="N413" s="27" t="s">
        <v>5766</v>
      </c>
      <c r="O413" s="27" t="s">
        <v>5767</v>
      </c>
      <c r="S413" s="27">
        <v>1900005247</v>
      </c>
      <c r="T413" s="27">
        <v>1900010307</v>
      </c>
      <c r="U413" s="27">
        <v>1900013372</v>
      </c>
      <c r="V413" s="27">
        <v>1900015033</v>
      </c>
      <c r="W413" s="27">
        <v>1900022021</v>
      </c>
      <c r="X413" s="27">
        <v>1900024230</v>
      </c>
      <c r="Y413" s="27">
        <v>1900029012</v>
      </c>
      <c r="Z413" s="27">
        <v>1900031020</v>
      </c>
      <c r="AA413" s="27">
        <v>1900033149</v>
      </c>
      <c r="AE413" s="52" t="s">
        <v>181</v>
      </c>
      <c r="AF413" s="52" t="s">
        <v>532</v>
      </c>
      <c r="AG413" s="52" t="s">
        <v>677</v>
      </c>
      <c r="AH413" s="52" t="s">
        <v>937</v>
      </c>
      <c r="AI413" s="52" t="s">
        <v>872</v>
      </c>
      <c r="AJ413" s="52" t="s">
        <v>924</v>
      </c>
      <c r="AK413" s="52" t="s">
        <v>533</v>
      </c>
      <c r="AL413" s="52" t="s">
        <v>185</v>
      </c>
      <c r="AM413" s="52" t="s">
        <v>1112</v>
      </c>
      <c r="AQ413" s="60" t="s">
        <v>186</v>
      </c>
      <c r="AR413" s="61" t="s">
        <v>186</v>
      </c>
      <c r="AS413" s="61" t="s">
        <v>187</v>
      </c>
      <c r="AT413" s="61" t="s">
        <v>186</v>
      </c>
      <c r="AU413" s="61" t="s">
        <v>187</v>
      </c>
      <c r="AV413" s="61" t="s">
        <v>186</v>
      </c>
      <c r="AW413" s="61" t="s">
        <v>186</v>
      </c>
      <c r="AX413" s="61" t="s">
        <v>187</v>
      </c>
      <c r="AY413" s="61" t="s">
        <v>186</v>
      </c>
      <c r="BC413" s="28">
        <v>81779575599</v>
      </c>
      <c r="BD413" s="28">
        <v>85640576662</v>
      </c>
      <c r="BE413" s="28">
        <v>88802877245</v>
      </c>
      <c r="BF413" s="28">
        <v>85378672790</v>
      </c>
      <c r="BG413" s="28">
        <v>81344091612</v>
      </c>
      <c r="BH413" s="28">
        <v>82296564708</v>
      </c>
      <c r="BI413" s="28">
        <v>89530068190</v>
      </c>
      <c r="BJ413" s="28">
        <v>85855620818</v>
      </c>
      <c r="BK413" s="28">
        <v>85798302334</v>
      </c>
      <c r="BO413" s="39">
        <v>60191179</v>
      </c>
      <c r="BP413" s="18" t="s">
        <v>5768</v>
      </c>
      <c r="BQ413" s="37">
        <v>44956</v>
      </c>
      <c r="BR413" s="8">
        <f t="shared" si="1"/>
        <v>9</v>
      </c>
    </row>
    <row r="414" spans="1:70" ht="15.5">
      <c r="A414" s="4" t="str">
        <v>Reguler Periode ke-101 XXVI.C.1</v>
      </c>
      <c r="B414" s="4" t="s">
        <v>2073</v>
      </c>
      <c r="C414" s="38" t="s">
        <v>5769</v>
      </c>
      <c r="D414" s="4" t="s">
        <v>5770</v>
      </c>
      <c r="E414" s="4" t="s">
        <v>5771</v>
      </c>
      <c r="F414" s="4" t="s">
        <v>4928</v>
      </c>
      <c r="G414" s="27" t="s">
        <v>5772</v>
      </c>
      <c r="H414" s="27" t="s">
        <v>5773</v>
      </c>
      <c r="I414" s="27" t="s">
        <v>5774</v>
      </c>
      <c r="J414" s="27" t="s">
        <v>5775</v>
      </c>
      <c r="K414" s="27" t="s">
        <v>5776</v>
      </c>
      <c r="L414" s="27" t="s">
        <v>5777</v>
      </c>
      <c r="M414" s="27" t="s">
        <v>5778</v>
      </c>
      <c r="N414" s="27" t="s">
        <v>5779</v>
      </c>
      <c r="O414" s="27" t="s">
        <v>5780</v>
      </c>
      <c r="S414" s="27">
        <v>1900005072</v>
      </c>
      <c r="T414" s="27">
        <v>1900010080</v>
      </c>
      <c r="U414" s="27">
        <v>1900013151</v>
      </c>
      <c r="V414" s="27">
        <v>1900015013</v>
      </c>
      <c r="W414" s="27">
        <v>1900022012</v>
      </c>
      <c r="X414" s="27">
        <v>1900024342</v>
      </c>
      <c r="Y414" s="27">
        <v>1900029162</v>
      </c>
      <c r="Z414" s="27">
        <v>1900031307</v>
      </c>
      <c r="AA414" s="27">
        <v>1900033038</v>
      </c>
      <c r="AE414" s="27" t="s">
        <v>181</v>
      </c>
      <c r="AF414" s="27" t="s">
        <v>532</v>
      </c>
      <c r="AG414" s="27" t="s">
        <v>677</v>
      </c>
      <c r="AH414" s="27" t="s">
        <v>937</v>
      </c>
      <c r="AI414" s="27" t="s">
        <v>872</v>
      </c>
      <c r="AJ414" s="27" t="s">
        <v>924</v>
      </c>
      <c r="AK414" s="27" t="s">
        <v>533</v>
      </c>
      <c r="AL414" s="27" t="s">
        <v>185</v>
      </c>
      <c r="AM414" s="27" t="s">
        <v>1112</v>
      </c>
      <c r="AQ414" s="60" t="s">
        <v>186</v>
      </c>
      <c r="AR414" s="61" t="s">
        <v>186</v>
      </c>
      <c r="AS414" s="61" t="s">
        <v>187</v>
      </c>
      <c r="AT414" s="61" t="s">
        <v>186</v>
      </c>
      <c r="AU414" s="61" t="s">
        <v>187</v>
      </c>
      <c r="AV414" s="61" t="s">
        <v>186</v>
      </c>
      <c r="AW414" s="61" t="s">
        <v>186</v>
      </c>
      <c r="AX414" s="61" t="s">
        <v>187</v>
      </c>
      <c r="AY414" s="61" t="s">
        <v>186</v>
      </c>
      <c r="BC414" s="28">
        <v>82135927910</v>
      </c>
      <c r="BD414" s="28">
        <v>85943554534</v>
      </c>
      <c r="BE414" s="28">
        <v>88228982661</v>
      </c>
      <c r="BF414" s="28">
        <v>85742733729</v>
      </c>
      <c r="BG414" s="28">
        <v>85893444085</v>
      </c>
      <c r="BH414" s="28">
        <v>82315285406</v>
      </c>
      <c r="BI414" s="28">
        <v>85383537065</v>
      </c>
      <c r="BJ414" s="28">
        <v>81310366371</v>
      </c>
      <c r="BK414" s="28">
        <v>82325999679</v>
      </c>
      <c r="BO414" s="39">
        <v>60150813</v>
      </c>
      <c r="BP414" s="18" t="s">
        <v>5781</v>
      </c>
      <c r="BQ414" s="37">
        <v>44956</v>
      </c>
      <c r="BR414" s="8">
        <f t="shared" si="1"/>
        <v>9</v>
      </c>
    </row>
    <row r="415" spans="1:70" ht="15.5">
      <c r="A415" s="4" t="str">
        <v>Reguler Periode ke-101 XXVI.C.2</v>
      </c>
      <c r="B415" s="4" t="s">
        <v>2073</v>
      </c>
      <c r="C415" s="38" t="s">
        <v>5782</v>
      </c>
      <c r="D415" s="4" t="s">
        <v>5770</v>
      </c>
      <c r="E415" s="4" t="s">
        <v>5783</v>
      </c>
      <c r="F415" s="4" t="s">
        <v>4928</v>
      </c>
      <c r="G415" s="27" t="s">
        <v>5784</v>
      </c>
      <c r="H415" s="27" t="s">
        <v>5785</v>
      </c>
      <c r="I415" s="27" t="s">
        <v>5786</v>
      </c>
      <c r="J415" s="27" t="s">
        <v>5787</v>
      </c>
      <c r="K415" s="27" t="s">
        <v>5788</v>
      </c>
      <c r="L415" s="27" t="s">
        <v>5789</v>
      </c>
      <c r="M415" s="27" t="s">
        <v>5790</v>
      </c>
      <c r="N415" s="27" t="s">
        <v>5791</v>
      </c>
      <c r="O415" s="27" t="s">
        <v>5792</v>
      </c>
      <c r="S415" s="27">
        <v>1900005030</v>
      </c>
      <c r="T415" s="27">
        <v>1900010078</v>
      </c>
      <c r="U415" s="27">
        <v>1900013140</v>
      </c>
      <c r="V415" s="27">
        <v>1900015010</v>
      </c>
      <c r="W415" s="27">
        <v>1900022032</v>
      </c>
      <c r="X415" s="27">
        <v>1900024277</v>
      </c>
      <c r="Y415" s="27">
        <v>1900030043</v>
      </c>
      <c r="Z415" s="27">
        <v>1900032161</v>
      </c>
      <c r="AA415" s="27">
        <v>1900033096</v>
      </c>
      <c r="AE415" s="27" t="s">
        <v>181</v>
      </c>
      <c r="AF415" s="27" t="s">
        <v>532</v>
      </c>
      <c r="AG415" s="27" t="s">
        <v>677</v>
      </c>
      <c r="AH415" s="27" t="s">
        <v>937</v>
      </c>
      <c r="AI415" s="27" t="s">
        <v>872</v>
      </c>
      <c r="AJ415" s="27" t="s">
        <v>924</v>
      </c>
      <c r="AK415" s="27" t="s">
        <v>184</v>
      </c>
      <c r="AL415" s="27" t="s">
        <v>732</v>
      </c>
      <c r="AM415" s="27" t="s">
        <v>1112</v>
      </c>
      <c r="AQ415" s="60" t="s">
        <v>186</v>
      </c>
      <c r="AR415" s="61" t="s">
        <v>186</v>
      </c>
      <c r="AS415" s="61" t="s">
        <v>187</v>
      </c>
      <c r="AT415" s="61" t="s">
        <v>186</v>
      </c>
      <c r="AU415" s="61" t="s">
        <v>187</v>
      </c>
      <c r="AV415" s="61" t="s">
        <v>186</v>
      </c>
      <c r="AW415" s="61" t="s">
        <v>186</v>
      </c>
      <c r="AX415" s="61" t="s">
        <v>187</v>
      </c>
      <c r="AY415" s="61" t="s">
        <v>186</v>
      </c>
      <c r="BC415" s="28">
        <v>81995317651</v>
      </c>
      <c r="BD415" s="28">
        <v>82112621245</v>
      </c>
      <c r="BE415" s="28">
        <v>81226330966</v>
      </c>
      <c r="BF415" s="28">
        <v>82124759144</v>
      </c>
      <c r="BG415" s="28">
        <v>85816137003</v>
      </c>
      <c r="BH415" s="28">
        <v>81392847649</v>
      </c>
      <c r="BI415" s="28">
        <v>81229041035</v>
      </c>
      <c r="BJ415" s="28">
        <v>85863250425</v>
      </c>
      <c r="BK415" s="28">
        <v>85641678603</v>
      </c>
      <c r="BO415" s="39">
        <v>60150813</v>
      </c>
      <c r="BP415" s="18" t="s">
        <v>5793</v>
      </c>
      <c r="BQ415" s="37">
        <v>44956</v>
      </c>
      <c r="BR415" s="8">
        <f t="shared" si="1"/>
        <v>9</v>
      </c>
    </row>
    <row r="416" spans="1:70" ht="15.5">
      <c r="A416" s="4" t="str">
        <v>Reguler Periode ke-101 XXVI.C.3</v>
      </c>
      <c r="B416" s="4" t="s">
        <v>2073</v>
      </c>
      <c r="C416" s="38" t="s">
        <v>5794</v>
      </c>
      <c r="D416" s="4" t="s">
        <v>5770</v>
      </c>
      <c r="E416" s="4" t="s">
        <v>5795</v>
      </c>
      <c r="F416" s="4" t="s">
        <v>4928</v>
      </c>
      <c r="G416" s="27" t="s">
        <v>5796</v>
      </c>
      <c r="H416" s="27" t="s">
        <v>5797</v>
      </c>
      <c r="I416" s="27" t="s">
        <v>5798</v>
      </c>
      <c r="J416" s="27" t="s">
        <v>5799</v>
      </c>
      <c r="K416" s="27" t="s">
        <v>5800</v>
      </c>
      <c r="L416" s="27" t="s">
        <v>5801</v>
      </c>
      <c r="M416" s="27" t="s">
        <v>5802</v>
      </c>
      <c r="N416" s="27" t="s">
        <v>5803</v>
      </c>
      <c r="S416" s="27">
        <v>1900005339</v>
      </c>
      <c r="T416" s="27">
        <v>1900010031</v>
      </c>
      <c r="U416" s="27">
        <v>1900013162</v>
      </c>
      <c r="V416" s="27">
        <v>1900015059</v>
      </c>
      <c r="W416" s="27">
        <v>1900022041</v>
      </c>
      <c r="X416" s="27">
        <v>1900024214</v>
      </c>
      <c r="Y416" s="27">
        <v>1900030370</v>
      </c>
      <c r="Z416" s="27">
        <v>1900033006</v>
      </c>
      <c r="AE416" s="27" t="s">
        <v>181</v>
      </c>
      <c r="AF416" s="27" t="s">
        <v>532</v>
      </c>
      <c r="AG416" s="27" t="s">
        <v>677</v>
      </c>
      <c r="AH416" s="27" t="s">
        <v>937</v>
      </c>
      <c r="AI416" s="27" t="s">
        <v>872</v>
      </c>
      <c r="AJ416" s="27" t="s">
        <v>924</v>
      </c>
      <c r="AK416" s="27" t="s">
        <v>184</v>
      </c>
      <c r="AL416" s="27" t="s">
        <v>1112</v>
      </c>
      <c r="AQ416" s="60" t="s">
        <v>186</v>
      </c>
      <c r="AR416" s="61" t="s">
        <v>186</v>
      </c>
      <c r="AS416" s="61" t="s">
        <v>187</v>
      </c>
      <c r="AT416" s="61" t="s">
        <v>186</v>
      </c>
      <c r="AU416" s="61" t="s">
        <v>187</v>
      </c>
      <c r="AV416" s="61" t="s">
        <v>186</v>
      </c>
      <c r="AW416" s="61" t="s">
        <v>186</v>
      </c>
      <c r="AX416" s="61" t="s">
        <v>186</v>
      </c>
      <c r="BC416" s="28">
        <v>85727674922</v>
      </c>
      <c r="BD416" s="28">
        <v>83162914802</v>
      </c>
      <c r="BE416" s="28">
        <v>85156086182</v>
      </c>
      <c r="BF416" s="28">
        <v>89671738454</v>
      </c>
      <c r="BG416" s="28">
        <v>82331735090</v>
      </c>
      <c r="BH416" s="28">
        <v>82283132121</v>
      </c>
      <c r="BI416" s="28">
        <v>8813437507</v>
      </c>
      <c r="BJ416" s="28">
        <v>8976761503</v>
      </c>
      <c r="BO416" s="39">
        <v>60150813</v>
      </c>
      <c r="BP416" s="18" t="s">
        <v>5804</v>
      </c>
      <c r="BQ416" s="37">
        <v>44956</v>
      </c>
      <c r="BR416" s="8">
        <f t="shared" si="1"/>
        <v>8</v>
      </c>
    </row>
    <row r="417" spans="1:70" ht="15.5">
      <c r="A417" s="4" t="str">
        <v>Reguler Periode ke-101 XXVI.D.1</v>
      </c>
      <c r="B417" s="4" t="s">
        <v>2073</v>
      </c>
      <c r="C417" s="38" t="s">
        <v>5805</v>
      </c>
      <c r="D417" s="4" t="s">
        <v>5806</v>
      </c>
      <c r="E417" s="4" t="s">
        <v>5807</v>
      </c>
      <c r="F417" s="4" t="s">
        <v>4928</v>
      </c>
      <c r="G417" s="27" t="s">
        <v>5808</v>
      </c>
      <c r="H417" s="27" t="s">
        <v>5809</v>
      </c>
      <c r="I417" s="27" t="s">
        <v>5810</v>
      </c>
      <c r="J417" s="27" t="s">
        <v>5811</v>
      </c>
      <c r="K417" s="27" t="s">
        <v>5812</v>
      </c>
      <c r="L417" s="27" t="s">
        <v>5813</v>
      </c>
      <c r="M417" s="27" t="s">
        <v>5814</v>
      </c>
      <c r="N417" s="27" t="s">
        <v>5815</v>
      </c>
      <c r="O417" s="27" t="s">
        <v>5816</v>
      </c>
      <c r="S417" s="27">
        <v>1900005257</v>
      </c>
      <c r="T417" s="27">
        <v>1900010225</v>
      </c>
      <c r="U417" s="27">
        <v>1900013315</v>
      </c>
      <c r="V417" s="27">
        <v>1900015068</v>
      </c>
      <c r="W417" s="27">
        <v>1900022067</v>
      </c>
      <c r="X417" s="27">
        <v>1900024156</v>
      </c>
      <c r="Y417" s="27">
        <v>1900030163</v>
      </c>
      <c r="Z417" s="27">
        <v>1900032150</v>
      </c>
      <c r="AA417" s="27">
        <v>1900034003</v>
      </c>
      <c r="AE417" s="27" t="s">
        <v>181</v>
      </c>
      <c r="AF417" s="27" t="s">
        <v>532</v>
      </c>
      <c r="AG417" s="27" t="s">
        <v>677</v>
      </c>
      <c r="AH417" s="27" t="s">
        <v>937</v>
      </c>
      <c r="AI417" s="27" t="s">
        <v>872</v>
      </c>
      <c r="AJ417" s="27" t="s">
        <v>924</v>
      </c>
      <c r="AK417" s="27" t="s">
        <v>184</v>
      </c>
      <c r="AL417" s="27" t="s">
        <v>732</v>
      </c>
      <c r="AM417" s="27" t="s">
        <v>534</v>
      </c>
      <c r="AQ417" s="60" t="s">
        <v>186</v>
      </c>
      <c r="AR417" s="61" t="s">
        <v>186</v>
      </c>
      <c r="AS417" s="61" t="s">
        <v>187</v>
      </c>
      <c r="AT417" s="61" t="s">
        <v>186</v>
      </c>
      <c r="AU417" s="61" t="s">
        <v>187</v>
      </c>
      <c r="AV417" s="61" t="s">
        <v>186</v>
      </c>
      <c r="AW417" s="61" t="s">
        <v>186</v>
      </c>
      <c r="AX417" s="61" t="s">
        <v>187</v>
      </c>
      <c r="AY417" s="61" t="s">
        <v>186</v>
      </c>
      <c r="BC417" s="28">
        <v>83145382319</v>
      </c>
      <c r="BD417" s="28">
        <v>87876696825</v>
      </c>
      <c r="BE417" s="28">
        <v>85743138667</v>
      </c>
      <c r="BF417" s="28">
        <v>895395050491</v>
      </c>
      <c r="BG417" s="28">
        <v>89619220294</v>
      </c>
      <c r="BH417" s="28">
        <v>81325514412</v>
      </c>
      <c r="BI417" s="28">
        <v>85742306067</v>
      </c>
      <c r="BJ417" s="28">
        <v>82282221118</v>
      </c>
      <c r="BK417" s="28">
        <v>83898110854</v>
      </c>
      <c r="BO417" s="39">
        <v>60010216</v>
      </c>
      <c r="BP417" s="18" t="s">
        <v>5817</v>
      </c>
      <c r="BQ417" s="37">
        <v>44956</v>
      </c>
      <c r="BR417" s="8">
        <f t="shared" si="1"/>
        <v>9</v>
      </c>
    </row>
    <row r="418" spans="1:70" ht="15.5">
      <c r="A418" s="4" t="str">
        <v>Reguler Periode ke-101 XXVI.D.2</v>
      </c>
      <c r="B418" s="4" t="s">
        <v>2073</v>
      </c>
      <c r="C418" s="38" t="s">
        <v>5818</v>
      </c>
      <c r="D418" s="4" t="s">
        <v>5806</v>
      </c>
      <c r="E418" s="4" t="s">
        <v>5819</v>
      </c>
      <c r="F418" s="4" t="s">
        <v>4928</v>
      </c>
      <c r="G418" s="27" t="s">
        <v>5820</v>
      </c>
      <c r="H418" s="27" t="s">
        <v>5821</v>
      </c>
      <c r="I418" s="27" t="s">
        <v>5822</v>
      </c>
      <c r="J418" s="27" t="s">
        <v>5823</v>
      </c>
      <c r="K418" s="27" t="s">
        <v>5824</v>
      </c>
      <c r="L418" s="27" t="s">
        <v>5825</v>
      </c>
      <c r="M418" s="27" t="s">
        <v>5826</v>
      </c>
      <c r="N418" s="27" t="s">
        <v>5827</v>
      </c>
      <c r="O418" s="27" t="s">
        <v>5828</v>
      </c>
      <c r="S418" s="27">
        <v>1811032171</v>
      </c>
      <c r="T418" s="27">
        <v>1900005068</v>
      </c>
      <c r="U418" s="27">
        <v>1900010040</v>
      </c>
      <c r="V418" s="27">
        <v>1900013302</v>
      </c>
      <c r="W418" s="27">
        <v>1900015045</v>
      </c>
      <c r="X418" s="27">
        <v>1900022015</v>
      </c>
      <c r="Y418" s="27">
        <v>1900024058</v>
      </c>
      <c r="Z418" s="27">
        <v>1900030096</v>
      </c>
      <c r="AA418" s="27">
        <v>1900034050</v>
      </c>
      <c r="AE418" s="27" t="s">
        <v>732</v>
      </c>
      <c r="AF418" s="27" t="s">
        <v>181</v>
      </c>
      <c r="AG418" s="27" t="s">
        <v>532</v>
      </c>
      <c r="AH418" s="27" t="s">
        <v>677</v>
      </c>
      <c r="AI418" s="27" t="s">
        <v>937</v>
      </c>
      <c r="AJ418" s="27" t="s">
        <v>872</v>
      </c>
      <c r="AK418" s="27" t="s">
        <v>924</v>
      </c>
      <c r="AL418" s="27" t="s">
        <v>184</v>
      </c>
      <c r="AM418" s="27" t="s">
        <v>534</v>
      </c>
      <c r="AQ418" s="60" t="s">
        <v>187</v>
      </c>
      <c r="AR418" s="61" t="s">
        <v>186</v>
      </c>
      <c r="AS418" s="61" t="s">
        <v>186</v>
      </c>
      <c r="AT418" s="61" t="s">
        <v>187</v>
      </c>
      <c r="AU418" s="61" t="s">
        <v>186</v>
      </c>
      <c r="AV418" s="61" t="s">
        <v>187</v>
      </c>
      <c r="AW418" s="61" t="s">
        <v>186</v>
      </c>
      <c r="AX418" s="61" t="s">
        <v>186</v>
      </c>
      <c r="AY418" s="61" t="s">
        <v>186</v>
      </c>
      <c r="BC418" s="28">
        <v>85796111879</v>
      </c>
      <c r="BD418" s="28">
        <v>89658787238</v>
      </c>
      <c r="BE418" s="28">
        <v>85642956883</v>
      </c>
      <c r="BF418" s="28">
        <v>81808827680</v>
      </c>
      <c r="BG418" s="28">
        <v>87839817631</v>
      </c>
      <c r="BH418" s="28">
        <v>82175736924</v>
      </c>
      <c r="BI418" s="28">
        <v>85237461520</v>
      </c>
      <c r="BJ418" s="28">
        <v>82296322511</v>
      </c>
      <c r="BK418" s="28">
        <v>89687238769</v>
      </c>
      <c r="BO418" s="39">
        <v>60010216</v>
      </c>
      <c r="BP418" s="18" t="s">
        <v>5829</v>
      </c>
      <c r="BQ418" s="37">
        <v>44956</v>
      </c>
      <c r="BR418" s="8">
        <f t="shared" si="1"/>
        <v>9</v>
      </c>
    </row>
    <row r="419" spans="1:70" ht="15.5">
      <c r="A419" s="4" t="str">
        <v>Reguler Periode ke-101 XXVI.D.3</v>
      </c>
      <c r="B419" s="4" t="s">
        <v>2073</v>
      </c>
      <c r="C419" s="38" t="s">
        <v>5830</v>
      </c>
      <c r="D419" s="4" t="s">
        <v>5806</v>
      </c>
      <c r="E419" s="4" t="s">
        <v>5831</v>
      </c>
      <c r="F419" s="4" t="s">
        <v>4928</v>
      </c>
      <c r="G419" s="27" t="s">
        <v>5832</v>
      </c>
      <c r="H419" s="27" t="s">
        <v>5833</v>
      </c>
      <c r="I419" s="27" t="s">
        <v>5834</v>
      </c>
      <c r="J419" s="27" t="s">
        <v>5835</v>
      </c>
      <c r="K419" s="27" t="s">
        <v>5836</v>
      </c>
      <c r="L419" s="27" t="s">
        <v>5837</v>
      </c>
      <c r="M419" s="27" t="s">
        <v>5838</v>
      </c>
      <c r="N419" s="27" t="s">
        <v>5839</v>
      </c>
      <c r="O419" s="27" t="s">
        <v>5840</v>
      </c>
      <c r="S419" s="27">
        <v>1800022010</v>
      </c>
      <c r="T419" s="27">
        <v>1900005219</v>
      </c>
      <c r="U419" s="27">
        <v>1900010054</v>
      </c>
      <c r="V419" s="27">
        <v>1900013351</v>
      </c>
      <c r="W419" s="27">
        <v>1900015016</v>
      </c>
      <c r="X419" s="27">
        <v>1900024232</v>
      </c>
      <c r="Y419" s="27">
        <v>1900030232</v>
      </c>
      <c r="Z419" s="27">
        <v>1900032177</v>
      </c>
      <c r="AA419" s="27">
        <v>1900034052</v>
      </c>
      <c r="AE419" s="27" t="s">
        <v>872</v>
      </c>
      <c r="AF419" s="27" t="s">
        <v>181</v>
      </c>
      <c r="AG419" s="27" t="s">
        <v>532</v>
      </c>
      <c r="AH419" s="27" t="s">
        <v>677</v>
      </c>
      <c r="AI419" s="27" t="s">
        <v>937</v>
      </c>
      <c r="AJ419" s="27" t="s">
        <v>924</v>
      </c>
      <c r="AK419" s="27" t="s">
        <v>184</v>
      </c>
      <c r="AL419" s="27" t="s">
        <v>732</v>
      </c>
      <c r="AM419" s="27" t="s">
        <v>534</v>
      </c>
      <c r="AQ419" s="60" t="s">
        <v>187</v>
      </c>
      <c r="AR419" s="61" t="s">
        <v>186</v>
      </c>
      <c r="AS419" s="61" t="s">
        <v>186</v>
      </c>
      <c r="AT419" s="61" t="s">
        <v>187</v>
      </c>
      <c r="AU419" s="61" t="s">
        <v>186</v>
      </c>
      <c r="AV419" s="61" t="s">
        <v>186</v>
      </c>
      <c r="AW419" s="61" t="s">
        <v>186</v>
      </c>
      <c r="AX419" s="61" t="s">
        <v>187</v>
      </c>
      <c r="AY419" s="61" t="s">
        <v>186</v>
      </c>
      <c r="BC419" s="28">
        <v>81325252301</v>
      </c>
      <c r="BD419" s="28">
        <v>81548941167</v>
      </c>
      <c r="BE419" s="28">
        <v>87820522121</v>
      </c>
      <c r="BF419" s="28">
        <v>81229090863</v>
      </c>
      <c r="BG419" s="28">
        <v>89504805995</v>
      </c>
      <c r="BH419" s="28">
        <v>89525906757</v>
      </c>
      <c r="BI419" s="28">
        <v>85267160729</v>
      </c>
      <c r="BJ419" s="28">
        <v>82267785006</v>
      </c>
      <c r="BK419" s="28">
        <v>85769404454</v>
      </c>
      <c r="BO419" s="39">
        <v>60010216</v>
      </c>
      <c r="BP419" s="18" t="s">
        <v>5841</v>
      </c>
      <c r="BQ419" s="37">
        <v>44956</v>
      </c>
      <c r="BR419" s="8">
        <f t="shared" si="1"/>
        <v>9</v>
      </c>
    </row>
    <row r="420" spans="1:70" ht="15.5">
      <c r="A420" s="4" t="str">
        <v>Reguler Periode ke-101 XXVII.A.1</v>
      </c>
      <c r="B420" s="4" t="s">
        <v>2073</v>
      </c>
      <c r="C420" s="38" t="s">
        <v>5842</v>
      </c>
      <c r="D420" s="4" t="s">
        <v>5843</v>
      </c>
      <c r="E420" s="4" t="s">
        <v>5844</v>
      </c>
      <c r="F420" s="4" t="s">
        <v>4928</v>
      </c>
      <c r="G420" s="27" t="s">
        <v>5845</v>
      </c>
      <c r="H420" s="27" t="s">
        <v>5846</v>
      </c>
      <c r="I420" s="27" t="s">
        <v>5847</v>
      </c>
      <c r="J420" s="27" t="s">
        <v>5848</v>
      </c>
      <c r="K420" s="27" t="s">
        <v>5849</v>
      </c>
      <c r="L420" s="27" t="s">
        <v>5850</v>
      </c>
      <c r="M420" s="27" t="s">
        <v>5851</v>
      </c>
      <c r="N420" s="27" t="s">
        <v>5852</v>
      </c>
      <c r="O420" s="27" t="s">
        <v>5853</v>
      </c>
      <c r="S420" s="27">
        <v>1700013175</v>
      </c>
      <c r="T420" s="27">
        <v>1900005377</v>
      </c>
      <c r="U420" s="27">
        <v>1900010316</v>
      </c>
      <c r="V420" s="27">
        <v>1900016102</v>
      </c>
      <c r="W420" s="27">
        <v>1900022020</v>
      </c>
      <c r="X420" s="27">
        <v>1900024141</v>
      </c>
      <c r="Y420" s="27">
        <v>1900030224</v>
      </c>
      <c r="Z420" s="27">
        <v>1900032058</v>
      </c>
      <c r="AA420" s="27">
        <v>1900034005</v>
      </c>
      <c r="AE420" s="27" t="s">
        <v>677</v>
      </c>
      <c r="AF420" s="27" t="s">
        <v>181</v>
      </c>
      <c r="AG420" s="27" t="s">
        <v>532</v>
      </c>
      <c r="AH420" s="27" t="s">
        <v>531</v>
      </c>
      <c r="AI420" s="27" t="s">
        <v>872</v>
      </c>
      <c r="AJ420" s="27" t="s">
        <v>924</v>
      </c>
      <c r="AK420" s="27" t="s">
        <v>184</v>
      </c>
      <c r="AL420" s="27" t="s">
        <v>732</v>
      </c>
      <c r="AM420" s="27" t="s">
        <v>534</v>
      </c>
      <c r="AQ420" s="60" t="s">
        <v>187</v>
      </c>
      <c r="AR420" s="61" t="s">
        <v>186</v>
      </c>
      <c r="AS420" s="61" t="s">
        <v>186</v>
      </c>
      <c r="AT420" s="61" t="s">
        <v>186</v>
      </c>
      <c r="AU420" s="61" t="s">
        <v>187</v>
      </c>
      <c r="AV420" s="61" t="s">
        <v>186</v>
      </c>
      <c r="AW420" s="61" t="s">
        <v>186</v>
      </c>
      <c r="AX420" s="61" t="s">
        <v>187</v>
      </c>
      <c r="AY420" s="61" t="s">
        <v>186</v>
      </c>
      <c r="BC420" s="28">
        <v>82349924572</v>
      </c>
      <c r="BD420" s="28">
        <v>83895071055</v>
      </c>
      <c r="BE420" s="28">
        <v>82278555497</v>
      </c>
      <c r="BF420" s="28">
        <v>82259673063</v>
      </c>
      <c r="BG420" s="28">
        <v>82340152368</v>
      </c>
      <c r="BH420" s="28">
        <v>89672468899</v>
      </c>
      <c r="BI420" s="28">
        <v>81949444949</v>
      </c>
      <c r="BJ420" s="28">
        <v>895110009865</v>
      </c>
      <c r="BK420" s="28">
        <v>87739698039</v>
      </c>
      <c r="BO420" s="39">
        <v>60040505</v>
      </c>
      <c r="BP420" s="18" t="s">
        <v>5854</v>
      </c>
      <c r="BQ420" s="37">
        <v>44956</v>
      </c>
      <c r="BR420" s="8">
        <f t="shared" si="1"/>
        <v>9</v>
      </c>
    </row>
    <row r="421" spans="1:70" ht="15.5">
      <c r="A421" s="4" t="str">
        <v>Reguler Periode ke-101 XXVII.A.2</v>
      </c>
      <c r="B421" s="4" t="s">
        <v>2073</v>
      </c>
      <c r="C421" s="38" t="s">
        <v>5855</v>
      </c>
      <c r="D421" s="4" t="s">
        <v>5843</v>
      </c>
      <c r="E421" s="4" t="s">
        <v>5856</v>
      </c>
      <c r="F421" s="4" t="s">
        <v>4928</v>
      </c>
      <c r="G421" s="27" t="s">
        <v>5857</v>
      </c>
      <c r="H421" s="27" t="s">
        <v>5858</v>
      </c>
      <c r="I421" s="27" t="s">
        <v>5859</v>
      </c>
      <c r="J421" s="27" t="s">
        <v>5860</v>
      </c>
      <c r="K421" s="27" t="s">
        <v>5861</v>
      </c>
      <c r="L421" s="27" t="s">
        <v>5862</v>
      </c>
      <c r="M421" s="27" t="s">
        <v>5863</v>
      </c>
      <c r="N421" s="27" t="s">
        <v>5864</v>
      </c>
      <c r="O421" s="27" t="s">
        <v>5865</v>
      </c>
      <c r="S421" s="27">
        <v>1900005013</v>
      </c>
      <c r="T421" s="27">
        <v>1900010130</v>
      </c>
      <c r="U421" s="27">
        <v>1900013120</v>
      </c>
      <c r="V421" s="27">
        <v>1900016150</v>
      </c>
      <c r="W421" s="27">
        <v>1900022060</v>
      </c>
      <c r="X421" s="27">
        <v>1900024198</v>
      </c>
      <c r="Y421" s="27">
        <v>1900030349</v>
      </c>
      <c r="Z421" s="27">
        <v>1900032125</v>
      </c>
      <c r="AA421" s="27">
        <v>1911331022</v>
      </c>
      <c r="AE421" s="52" t="s">
        <v>181</v>
      </c>
      <c r="AF421" s="52" t="s">
        <v>532</v>
      </c>
      <c r="AG421" s="52" t="s">
        <v>677</v>
      </c>
      <c r="AH421" s="52" t="s">
        <v>531</v>
      </c>
      <c r="AI421" s="52" t="s">
        <v>872</v>
      </c>
      <c r="AJ421" s="52" t="s">
        <v>924</v>
      </c>
      <c r="AK421" s="52" t="s">
        <v>184</v>
      </c>
      <c r="AL421" s="52" t="s">
        <v>732</v>
      </c>
      <c r="AM421" s="52" t="s">
        <v>546</v>
      </c>
      <c r="AQ421" s="62" t="s">
        <v>186</v>
      </c>
      <c r="AR421" s="63" t="s">
        <v>186</v>
      </c>
      <c r="AS421" s="63" t="s">
        <v>187</v>
      </c>
      <c r="AT421" s="63" t="s">
        <v>186</v>
      </c>
      <c r="AU421" s="63" t="s">
        <v>187</v>
      </c>
      <c r="AV421" s="63" t="s">
        <v>186</v>
      </c>
      <c r="AW421" s="63" t="s">
        <v>186</v>
      </c>
      <c r="AX421" s="63" t="s">
        <v>187</v>
      </c>
      <c r="AY421" s="63" t="s">
        <v>186</v>
      </c>
      <c r="BC421" s="28">
        <v>88239081041</v>
      </c>
      <c r="BD421" s="28">
        <v>83867502196</v>
      </c>
      <c r="BE421" s="28">
        <v>895364937419</v>
      </c>
      <c r="BF421" s="28">
        <v>85600387715</v>
      </c>
      <c r="BG421" s="28">
        <v>82223111353</v>
      </c>
      <c r="BH421" s="28">
        <v>82138263929</v>
      </c>
      <c r="BI421" s="28">
        <v>895637325808</v>
      </c>
      <c r="BJ421" s="28">
        <v>82357070305</v>
      </c>
      <c r="BK421" s="28">
        <v>85607708716</v>
      </c>
      <c r="BO421" s="39">
        <v>60040505</v>
      </c>
      <c r="BP421" s="18" t="s">
        <v>5866</v>
      </c>
      <c r="BQ421" s="37">
        <v>44956</v>
      </c>
      <c r="BR421" s="8">
        <f t="shared" si="1"/>
        <v>9</v>
      </c>
    </row>
    <row r="422" spans="1:70" ht="15.5">
      <c r="A422" s="4" t="str">
        <v>Reguler Periode ke-101 XXVII.A.3</v>
      </c>
      <c r="B422" s="4" t="s">
        <v>2073</v>
      </c>
      <c r="C422" s="38" t="s">
        <v>5867</v>
      </c>
      <c r="D422" s="4" t="s">
        <v>5843</v>
      </c>
      <c r="E422" s="4" t="s">
        <v>5868</v>
      </c>
      <c r="F422" s="4" t="s">
        <v>4928</v>
      </c>
      <c r="G422" s="27" t="s">
        <v>5869</v>
      </c>
      <c r="H422" s="27" t="s">
        <v>5870</v>
      </c>
      <c r="I422" s="27" t="s">
        <v>5871</v>
      </c>
      <c r="J422" s="27" t="s">
        <v>5872</v>
      </c>
      <c r="K422" s="27" t="s">
        <v>5873</v>
      </c>
      <c r="L422" s="27" t="s">
        <v>5874</v>
      </c>
      <c r="M422" s="27" t="s">
        <v>5875</v>
      </c>
      <c r="N422" s="27" t="s">
        <v>5876</v>
      </c>
      <c r="O422" s="27" t="s">
        <v>5877</v>
      </c>
      <c r="S422" s="27">
        <v>1900005087</v>
      </c>
      <c r="T422" s="27">
        <v>1900010144</v>
      </c>
      <c r="U422" s="27">
        <v>1900013323</v>
      </c>
      <c r="V422" s="27">
        <v>1900016189</v>
      </c>
      <c r="W422" s="27">
        <v>1900022085</v>
      </c>
      <c r="X422" s="27">
        <v>1900024158</v>
      </c>
      <c r="Y422" s="27">
        <v>1900030042</v>
      </c>
      <c r="Z422" s="27">
        <v>1900032174</v>
      </c>
      <c r="AA422" s="27">
        <v>1900331039</v>
      </c>
      <c r="AE422" s="52" t="s">
        <v>181</v>
      </c>
      <c r="AF422" s="52" t="s">
        <v>532</v>
      </c>
      <c r="AG422" s="52" t="s">
        <v>677</v>
      </c>
      <c r="AH422" s="52" t="s">
        <v>531</v>
      </c>
      <c r="AI422" s="52" t="s">
        <v>872</v>
      </c>
      <c r="AJ422" s="52" t="s">
        <v>924</v>
      </c>
      <c r="AK422" s="52" t="s">
        <v>184</v>
      </c>
      <c r="AL422" s="52" t="s">
        <v>732</v>
      </c>
      <c r="AM422" s="52" t="s">
        <v>546</v>
      </c>
      <c r="AQ422" s="62" t="s">
        <v>186</v>
      </c>
      <c r="AR422" s="63" t="s">
        <v>186</v>
      </c>
      <c r="AS422" s="63" t="s">
        <v>187</v>
      </c>
      <c r="AT422" s="63" t="s">
        <v>186</v>
      </c>
      <c r="AU422" s="63" t="s">
        <v>187</v>
      </c>
      <c r="AV422" s="63" t="s">
        <v>186</v>
      </c>
      <c r="AW422" s="63" t="s">
        <v>186</v>
      </c>
      <c r="AX422" s="63" t="s">
        <v>187</v>
      </c>
      <c r="AY422" s="63" t="s">
        <v>186</v>
      </c>
      <c r="BC422" s="28">
        <v>895392032891</v>
      </c>
      <c r="BD422" s="28">
        <v>89649494113</v>
      </c>
      <c r="BE422" s="28">
        <v>82123518138</v>
      </c>
      <c r="BF422" s="28">
        <v>89527698876</v>
      </c>
      <c r="BG422" s="28">
        <v>82127888840</v>
      </c>
      <c r="BH422" s="28">
        <v>82186931616</v>
      </c>
      <c r="BI422" s="28">
        <v>89525328201</v>
      </c>
      <c r="BJ422" s="28">
        <v>81324222967</v>
      </c>
      <c r="BK422" s="28">
        <v>83109474700</v>
      </c>
      <c r="BO422" s="39">
        <v>60040505</v>
      </c>
      <c r="BP422" s="18" t="s">
        <v>5878</v>
      </c>
      <c r="BQ422" s="37">
        <v>44956</v>
      </c>
      <c r="BR422" s="8">
        <f t="shared" si="1"/>
        <v>9</v>
      </c>
    </row>
    <row r="423" spans="1:70" ht="15.5">
      <c r="A423" s="4" t="str">
        <v>Reguler Periode ke-101 XXVII.B.1</v>
      </c>
      <c r="B423" s="4" t="s">
        <v>2073</v>
      </c>
      <c r="C423" s="38" t="s">
        <v>5879</v>
      </c>
      <c r="D423" s="4" t="s">
        <v>5880</v>
      </c>
      <c r="E423" s="4" t="s">
        <v>5881</v>
      </c>
      <c r="F423" s="4" t="s">
        <v>4928</v>
      </c>
      <c r="G423" s="27" t="s">
        <v>5882</v>
      </c>
      <c r="H423" s="27" t="s">
        <v>5883</v>
      </c>
      <c r="I423" s="27" t="s">
        <v>5884</v>
      </c>
      <c r="J423" s="27" t="s">
        <v>5885</v>
      </c>
      <c r="K423" s="27" t="s">
        <v>5886</v>
      </c>
      <c r="L423" s="27" t="s">
        <v>5887</v>
      </c>
      <c r="M423" s="27" t="s">
        <v>5888</v>
      </c>
      <c r="N423" s="27" t="s">
        <v>5889</v>
      </c>
      <c r="O423" s="27" t="s">
        <v>5890</v>
      </c>
      <c r="S423" s="27">
        <v>1900005242</v>
      </c>
      <c r="T423" s="27">
        <v>1900010189</v>
      </c>
      <c r="U423" s="27">
        <v>1900013197</v>
      </c>
      <c r="V423" s="27">
        <v>1900016075</v>
      </c>
      <c r="W423" s="27">
        <v>1900022058</v>
      </c>
      <c r="X423" s="27">
        <v>1900024366</v>
      </c>
      <c r="Y423" s="27">
        <v>1900030235</v>
      </c>
      <c r="Z423" s="27">
        <v>1900032024</v>
      </c>
      <c r="AA423" s="27">
        <v>1900331004</v>
      </c>
      <c r="AE423" s="52" t="s">
        <v>181</v>
      </c>
      <c r="AF423" s="52" t="s">
        <v>532</v>
      </c>
      <c r="AG423" s="52" t="s">
        <v>677</v>
      </c>
      <c r="AH423" s="52" t="s">
        <v>531</v>
      </c>
      <c r="AI423" s="52" t="s">
        <v>872</v>
      </c>
      <c r="AJ423" s="52" t="s">
        <v>924</v>
      </c>
      <c r="AK423" s="52" t="s">
        <v>184</v>
      </c>
      <c r="AL423" s="52" t="s">
        <v>732</v>
      </c>
      <c r="AM423" s="52" t="s">
        <v>546</v>
      </c>
      <c r="AQ423" s="60" t="s">
        <v>186</v>
      </c>
      <c r="AR423" s="61" t="s">
        <v>186</v>
      </c>
      <c r="AS423" s="61" t="s">
        <v>187</v>
      </c>
      <c r="AT423" s="61" t="s">
        <v>186</v>
      </c>
      <c r="AU423" s="61" t="s">
        <v>187</v>
      </c>
      <c r="AV423" s="61" t="s">
        <v>186</v>
      </c>
      <c r="AW423" s="61" t="s">
        <v>186</v>
      </c>
      <c r="AX423" s="61" t="s">
        <v>187</v>
      </c>
      <c r="AY423" s="61" t="s">
        <v>186</v>
      </c>
      <c r="BC423" s="28">
        <v>88228826286</v>
      </c>
      <c r="BD423" s="28">
        <v>89643823983</v>
      </c>
      <c r="BE423" s="28">
        <v>85380627307</v>
      </c>
      <c r="BF423" s="28">
        <v>88216012324</v>
      </c>
      <c r="BG423" s="28">
        <v>82292273247</v>
      </c>
      <c r="BH423" s="28">
        <v>82328895388</v>
      </c>
      <c r="BI423" s="28">
        <v>85817856052</v>
      </c>
      <c r="BJ423" s="28">
        <v>895701912332</v>
      </c>
      <c r="BK423" s="28">
        <v>81326295466</v>
      </c>
      <c r="BO423" s="39">
        <v>60130750</v>
      </c>
      <c r="BP423" s="18" t="s">
        <v>5891</v>
      </c>
      <c r="BQ423" s="37">
        <v>44956</v>
      </c>
      <c r="BR423" s="8">
        <f t="shared" si="1"/>
        <v>9</v>
      </c>
    </row>
    <row r="424" spans="1:70" ht="15.5">
      <c r="A424" s="4" t="str">
        <v>Reguler Periode ke-101 XXVII.B.2</v>
      </c>
      <c r="B424" s="4" t="s">
        <v>2073</v>
      </c>
      <c r="C424" s="38" t="s">
        <v>5892</v>
      </c>
      <c r="D424" s="4" t="s">
        <v>5880</v>
      </c>
      <c r="E424" s="4" t="s">
        <v>5893</v>
      </c>
      <c r="F424" s="4" t="s">
        <v>4928</v>
      </c>
      <c r="G424" s="27" t="s">
        <v>5894</v>
      </c>
      <c r="H424" s="27" t="s">
        <v>5895</v>
      </c>
      <c r="I424" s="27" t="s">
        <v>5896</v>
      </c>
      <c r="J424" s="27" t="s">
        <v>5897</v>
      </c>
      <c r="K424" s="27" t="s">
        <v>5898</v>
      </c>
      <c r="L424" s="27" t="s">
        <v>5899</v>
      </c>
      <c r="M424" s="27" t="s">
        <v>5900</v>
      </c>
      <c r="N424" s="27" t="s">
        <v>5901</v>
      </c>
      <c r="O424" s="27" t="s">
        <v>5902</v>
      </c>
      <c r="S424" s="27">
        <v>1900005010</v>
      </c>
      <c r="T424" s="27">
        <v>1900010039</v>
      </c>
      <c r="U424" s="27">
        <v>1900013379</v>
      </c>
      <c r="V424" s="27">
        <v>1900016110</v>
      </c>
      <c r="W424" s="27">
        <v>1900022076</v>
      </c>
      <c r="X424" s="27">
        <v>1900024032</v>
      </c>
      <c r="Y424" s="27">
        <v>1900030201</v>
      </c>
      <c r="Z424" s="27">
        <v>1900032095</v>
      </c>
      <c r="AA424" s="27">
        <v>1911331013</v>
      </c>
      <c r="AE424" s="52" t="s">
        <v>181</v>
      </c>
      <c r="AF424" s="52" t="s">
        <v>532</v>
      </c>
      <c r="AG424" s="52" t="s">
        <v>677</v>
      </c>
      <c r="AH424" s="52" t="s">
        <v>531</v>
      </c>
      <c r="AI424" s="52" t="s">
        <v>872</v>
      </c>
      <c r="AJ424" s="52" t="s">
        <v>924</v>
      </c>
      <c r="AK424" s="52" t="s">
        <v>184</v>
      </c>
      <c r="AL424" s="52" t="s">
        <v>732</v>
      </c>
      <c r="AM424" s="52" t="s">
        <v>546</v>
      </c>
      <c r="AQ424" s="60" t="s">
        <v>186</v>
      </c>
      <c r="AR424" s="61" t="s">
        <v>186</v>
      </c>
      <c r="AS424" s="61" t="s">
        <v>187</v>
      </c>
      <c r="AT424" s="61" t="s">
        <v>186</v>
      </c>
      <c r="AU424" s="61" t="s">
        <v>187</v>
      </c>
      <c r="AV424" s="61" t="s">
        <v>186</v>
      </c>
      <c r="AW424" s="61" t="s">
        <v>186</v>
      </c>
      <c r="AX424" s="61" t="s">
        <v>187</v>
      </c>
      <c r="AY424" s="61" t="s">
        <v>186</v>
      </c>
      <c r="BC424" s="28">
        <v>87713439620</v>
      </c>
      <c r="BD424" s="28">
        <v>81328537760</v>
      </c>
      <c r="BE424" s="28">
        <v>87874978355</v>
      </c>
      <c r="BF424" s="28">
        <v>81326016187</v>
      </c>
      <c r="BG424" s="28">
        <v>85747291160</v>
      </c>
      <c r="BH424" s="28">
        <v>82283621482</v>
      </c>
      <c r="BI424" s="28">
        <v>85875050320</v>
      </c>
      <c r="BJ424" s="28">
        <v>895323350803</v>
      </c>
      <c r="BK424" s="28">
        <v>82178215201</v>
      </c>
      <c r="BO424" s="39">
        <v>60130750</v>
      </c>
      <c r="BP424" s="18" t="s">
        <v>5903</v>
      </c>
      <c r="BQ424" s="37">
        <v>44956</v>
      </c>
      <c r="BR424" s="8">
        <f t="shared" si="1"/>
        <v>9</v>
      </c>
    </row>
    <row r="425" spans="1:70" ht="15.5">
      <c r="A425" s="4" t="str">
        <v>Reguler Periode ke-101 XXVII.B.3</v>
      </c>
      <c r="B425" s="4" t="s">
        <v>2073</v>
      </c>
      <c r="C425" s="38" t="s">
        <v>5904</v>
      </c>
      <c r="D425" s="4" t="s">
        <v>5880</v>
      </c>
      <c r="E425" s="4" t="s">
        <v>5905</v>
      </c>
      <c r="F425" s="4" t="s">
        <v>4928</v>
      </c>
      <c r="G425" s="27" t="s">
        <v>5906</v>
      </c>
      <c r="H425" s="27" t="s">
        <v>5907</v>
      </c>
      <c r="I425" s="27" t="s">
        <v>5908</v>
      </c>
      <c r="J425" s="27" t="s">
        <v>5909</v>
      </c>
      <c r="K425" s="27" t="s">
        <v>5910</v>
      </c>
      <c r="L425" s="27" t="s">
        <v>5911</v>
      </c>
      <c r="M425" s="27" t="s">
        <v>5912</v>
      </c>
      <c r="N425" s="27" t="s">
        <v>5913</v>
      </c>
      <c r="O425" s="27" t="s">
        <v>5914</v>
      </c>
      <c r="S425" s="27">
        <v>1900005388</v>
      </c>
      <c r="T425" s="27">
        <v>1900010286</v>
      </c>
      <c r="U425" s="27">
        <v>1900013250</v>
      </c>
      <c r="V425" s="27">
        <v>1900016045</v>
      </c>
      <c r="W425" s="27">
        <v>1900022068</v>
      </c>
      <c r="X425" s="27">
        <v>1900024148</v>
      </c>
      <c r="Y425" s="27">
        <v>1900030189</v>
      </c>
      <c r="Z425" s="27">
        <v>1911032137</v>
      </c>
      <c r="AA425" s="27">
        <v>1911331023</v>
      </c>
      <c r="AE425" s="27" t="s">
        <v>181</v>
      </c>
      <c r="AF425" s="27" t="s">
        <v>532</v>
      </c>
      <c r="AG425" s="27" t="s">
        <v>677</v>
      </c>
      <c r="AH425" s="27" t="s">
        <v>531</v>
      </c>
      <c r="AI425" s="27" t="s">
        <v>872</v>
      </c>
      <c r="AJ425" s="27" t="s">
        <v>924</v>
      </c>
      <c r="AK425" s="27" t="s">
        <v>184</v>
      </c>
      <c r="AL425" s="27" t="s">
        <v>732</v>
      </c>
      <c r="AM425" s="27" t="s">
        <v>546</v>
      </c>
      <c r="AQ425" s="60" t="s">
        <v>186</v>
      </c>
      <c r="AR425" s="61" t="s">
        <v>186</v>
      </c>
      <c r="AS425" s="61" t="s">
        <v>187</v>
      </c>
      <c r="AT425" s="61" t="s">
        <v>186</v>
      </c>
      <c r="AU425" s="61" t="s">
        <v>187</v>
      </c>
      <c r="AV425" s="61" t="s">
        <v>186</v>
      </c>
      <c r="AW425" s="61" t="s">
        <v>186</v>
      </c>
      <c r="AX425" s="61" t="s">
        <v>187</v>
      </c>
      <c r="AY425" s="61" t="s">
        <v>186</v>
      </c>
      <c r="BC425" s="28">
        <v>8992846405</v>
      </c>
      <c r="BD425" s="28">
        <v>82120429919</v>
      </c>
      <c r="BE425" s="28">
        <v>87839936838</v>
      </c>
      <c r="BF425" s="28">
        <v>81318971434</v>
      </c>
      <c r="BG425" s="28">
        <v>85966325526</v>
      </c>
      <c r="BH425" s="28">
        <v>87875857057</v>
      </c>
      <c r="BI425" s="28">
        <v>81390435477</v>
      </c>
      <c r="BJ425" s="28">
        <v>81228555586</v>
      </c>
      <c r="BK425" s="28">
        <v>82313138390</v>
      </c>
      <c r="BO425" s="39">
        <v>60130750</v>
      </c>
      <c r="BP425" s="18" t="s">
        <v>5915</v>
      </c>
      <c r="BQ425" s="37">
        <v>44956</v>
      </c>
      <c r="BR425" s="8">
        <f t="shared" si="1"/>
        <v>9</v>
      </c>
    </row>
    <row r="426" spans="1:70" ht="15.5">
      <c r="A426" s="4" t="str">
        <v>Reguler Periode ke-101 XXVII.C.1</v>
      </c>
      <c r="B426" s="4" t="s">
        <v>2073</v>
      </c>
      <c r="C426" s="38" t="s">
        <v>5916</v>
      </c>
      <c r="D426" s="4" t="s">
        <v>5917</v>
      </c>
      <c r="E426" s="4" t="s">
        <v>5918</v>
      </c>
      <c r="F426" s="4" t="s">
        <v>4928</v>
      </c>
      <c r="G426" s="27" t="s">
        <v>5919</v>
      </c>
      <c r="H426" s="27" t="s">
        <v>5920</v>
      </c>
      <c r="I426" s="27" t="s">
        <v>5921</v>
      </c>
      <c r="J426" s="27" t="s">
        <v>5922</v>
      </c>
      <c r="K426" s="27" t="s">
        <v>5923</v>
      </c>
      <c r="L426" s="27" t="s">
        <v>5924</v>
      </c>
      <c r="M426" s="27" t="s">
        <v>5925</v>
      </c>
      <c r="N426" s="27" t="s">
        <v>5926</v>
      </c>
      <c r="O426" s="27" t="s">
        <v>5927</v>
      </c>
      <c r="S426" s="27">
        <v>1900005391</v>
      </c>
      <c r="T426" s="27">
        <v>1900011201</v>
      </c>
      <c r="U426" s="27">
        <v>1900013152</v>
      </c>
      <c r="V426" s="27">
        <v>1900016128</v>
      </c>
      <c r="W426" s="27">
        <v>1900022026</v>
      </c>
      <c r="X426" s="27">
        <v>1900024293</v>
      </c>
      <c r="Y426" s="27">
        <v>1900030311</v>
      </c>
      <c r="Z426" s="27">
        <v>1900032201</v>
      </c>
      <c r="AA426" s="27">
        <v>1900331052</v>
      </c>
      <c r="AE426" s="52" t="s">
        <v>181</v>
      </c>
      <c r="AF426" s="52" t="s">
        <v>182</v>
      </c>
      <c r="AG426" s="52" t="s">
        <v>677</v>
      </c>
      <c r="AH426" s="52" t="s">
        <v>531</v>
      </c>
      <c r="AI426" s="52" t="s">
        <v>872</v>
      </c>
      <c r="AJ426" s="52" t="s">
        <v>924</v>
      </c>
      <c r="AK426" s="52" t="s">
        <v>184</v>
      </c>
      <c r="AL426" s="52" t="s">
        <v>732</v>
      </c>
      <c r="AM426" s="52" t="s">
        <v>546</v>
      </c>
      <c r="AQ426" s="60" t="s">
        <v>186</v>
      </c>
      <c r="AR426" s="61" t="s">
        <v>186</v>
      </c>
      <c r="AS426" s="61" t="s">
        <v>187</v>
      </c>
      <c r="AT426" s="61" t="s">
        <v>186</v>
      </c>
      <c r="AU426" s="61" t="s">
        <v>187</v>
      </c>
      <c r="AV426" s="61" t="s">
        <v>186</v>
      </c>
      <c r="AW426" s="61" t="s">
        <v>186</v>
      </c>
      <c r="AX426" s="61" t="s">
        <v>187</v>
      </c>
      <c r="AY426" s="61" t="s">
        <v>186</v>
      </c>
      <c r="BC426" s="28">
        <v>85345148526</v>
      </c>
      <c r="BD426" s="28">
        <v>81346581208</v>
      </c>
      <c r="BE426" s="28">
        <v>81272075825</v>
      </c>
      <c r="BF426" s="28">
        <v>85211947105</v>
      </c>
      <c r="BG426" s="28">
        <v>85246523050</v>
      </c>
      <c r="BH426" s="28">
        <v>88233038974</v>
      </c>
      <c r="BI426" s="28">
        <v>85156960737</v>
      </c>
      <c r="BJ426" s="28">
        <v>859138561130</v>
      </c>
      <c r="BK426" s="28">
        <v>87712481627</v>
      </c>
      <c r="BO426" s="39">
        <v>60010363</v>
      </c>
      <c r="BP426" s="18" t="s">
        <v>5928</v>
      </c>
      <c r="BQ426" s="37">
        <v>44956</v>
      </c>
      <c r="BR426" s="8">
        <f t="shared" si="1"/>
        <v>9</v>
      </c>
    </row>
    <row r="427" spans="1:70" ht="15.5">
      <c r="A427" s="4" t="str">
        <v>Reguler Periode ke-101 XXVII.C.2</v>
      </c>
      <c r="B427" s="4" t="s">
        <v>2073</v>
      </c>
      <c r="C427" s="38" t="s">
        <v>5929</v>
      </c>
      <c r="D427" s="4" t="s">
        <v>5917</v>
      </c>
      <c r="E427" s="4" t="s">
        <v>5930</v>
      </c>
      <c r="F427" s="4" t="s">
        <v>4928</v>
      </c>
      <c r="G427" s="52" t="s">
        <v>5931</v>
      </c>
      <c r="H427" s="52" t="s">
        <v>5932</v>
      </c>
      <c r="I427" s="52" t="s">
        <v>5933</v>
      </c>
      <c r="J427" s="52" t="s">
        <v>5934</v>
      </c>
      <c r="K427" s="52" t="s">
        <v>5935</v>
      </c>
      <c r="L427" s="52" t="s">
        <v>5936</v>
      </c>
      <c r="M427" s="52" t="s">
        <v>5937</v>
      </c>
      <c r="N427" s="52" t="s">
        <v>5938</v>
      </c>
      <c r="O427" s="52" t="s">
        <v>5939</v>
      </c>
      <c r="S427" s="27">
        <v>1900005289</v>
      </c>
      <c r="T427" s="27">
        <v>1900011266</v>
      </c>
      <c r="U427" s="27">
        <v>1900013396</v>
      </c>
      <c r="V427" s="27">
        <v>1900016111</v>
      </c>
      <c r="W427" s="27">
        <v>1900022038</v>
      </c>
      <c r="X427" s="27">
        <v>1900024094</v>
      </c>
      <c r="Y427" s="27">
        <v>1900030105</v>
      </c>
      <c r="Z427" s="27">
        <v>1900032180</v>
      </c>
      <c r="AA427" s="27">
        <v>1911331024</v>
      </c>
      <c r="AE427" s="52" t="s">
        <v>181</v>
      </c>
      <c r="AF427" s="52" t="s">
        <v>182</v>
      </c>
      <c r="AG427" s="52" t="s">
        <v>677</v>
      </c>
      <c r="AH427" s="52" t="s">
        <v>531</v>
      </c>
      <c r="AI427" s="52" t="s">
        <v>872</v>
      </c>
      <c r="AJ427" s="52" t="s">
        <v>924</v>
      </c>
      <c r="AK427" s="52" t="s">
        <v>184</v>
      </c>
      <c r="AL427" s="52" t="s">
        <v>732</v>
      </c>
      <c r="AM427" s="52" t="s">
        <v>546</v>
      </c>
      <c r="AQ427" s="60" t="s">
        <v>186</v>
      </c>
      <c r="AR427" s="61" t="s">
        <v>186</v>
      </c>
      <c r="AS427" s="61" t="s">
        <v>187</v>
      </c>
      <c r="AT427" s="61" t="s">
        <v>186</v>
      </c>
      <c r="AU427" s="61" t="s">
        <v>187</v>
      </c>
      <c r="AV427" s="61" t="s">
        <v>186</v>
      </c>
      <c r="AW427" s="61" t="s">
        <v>186</v>
      </c>
      <c r="AX427" s="61" t="s">
        <v>187</v>
      </c>
      <c r="AY427" s="61" t="s">
        <v>186</v>
      </c>
      <c r="BC427" s="28">
        <v>82242031324</v>
      </c>
      <c r="BD427" s="28">
        <v>89649795104</v>
      </c>
      <c r="BE427" s="28">
        <v>895807058200</v>
      </c>
      <c r="BF427" s="28">
        <v>89531271438</v>
      </c>
      <c r="BG427" s="28">
        <v>85889223896</v>
      </c>
      <c r="BH427" s="28">
        <v>81775479672</v>
      </c>
      <c r="BI427" s="28" t="s">
        <v>5940</v>
      </c>
      <c r="BJ427" s="28">
        <v>81276893859</v>
      </c>
      <c r="BK427" s="28">
        <v>85600974194</v>
      </c>
      <c r="BO427" s="39">
        <v>60010363</v>
      </c>
      <c r="BP427" s="18" t="s">
        <v>5941</v>
      </c>
      <c r="BQ427" s="37">
        <v>44956</v>
      </c>
      <c r="BR427" s="8">
        <f t="shared" si="1"/>
        <v>9</v>
      </c>
    </row>
    <row r="428" spans="1:70" ht="15.5">
      <c r="A428" s="4" t="str">
        <v>Reguler Periode ke-101 XXVII.C.3</v>
      </c>
      <c r="B428" s="4" t="s">
        <v>2073</v>
      </c>
      <c r="C428" s="38" t="s">
        <v>5942</v>
      </c>
      <c r="D428" s="4" t="s">
        <v>5917</v>
      </c>
      <c r="E428" s="4" t="s">
        <v>5943</v>
      </c>
      <c r="F428" s="4" t="s">
        <v>4928</v>
      </c>
      <c r="G428" s="27" t="s">
        <v>5944</v>
      </c>
      <c r="H428" s="27" t="s">
        <v>5945</v>
      </c>
      <c r="I428" s="27" t="s">
        <v>5946</v>
      </c>
      <c r="J428" s="27" t="s">
        <v>5947</v>
      </c>
      <c r="K428" s="27" t="s">
        <v>5948</v>
      </c>
      <c r="L428" s="27" t="s">
        <v>5949</v>
      </c>
      <c r="M428" s="27" t="s">
        <v>5950</v>
      </c>
      <c r="N428" s="27" t="s">
        <v>5951</v>
      </c>
      <c r="O428" s="27" t="s">
        <v>5952</v>
      </c>
      <c r="S428" s="27">
        <v>1900005329</v>
      </c>
      <c r="T428" s="27">
        <v>1900011297</v>
      </c>
      <c r="U428" s="27">
        <v>1900013123</v>
      </c>
      <c r="V428" s="27">
        <v>1900016168</v>
      </c>
      <c r="W428" s="27">
        <v>1900022030</v>
      </c>
      <c r="X428" s="27">
        <v>1900024334</v>
      </c>
      <c r="Y428" s="27">
        <v>1900030169</v>
      </c>
      <c r="Z428" s="27">
        <v>1900032219</v>
      </c>
      <c r="AA428" s="27">
        <v>1900331049</v>
      </c>
      <c r="AE428" s="27" t="s">
        <v>181</v>
      </c>
      <c r="AF428" s="27" t="s">
        <v>182</v>
      </c>
      <c r="AG428" s="27" t="s">
        <v>677</v>
      </c>
      <c r="AH428" s="27" t="s">
        <v>531</v>
      </c>
      <c r="AI428" s="27" t="s">
        <v>872</v>
      </c>
      <c r="AJ428" s="27" t="s">
        <v>924</v>
      </c>
      <c r="AK428" s="27" t="s">
        <v>184</v>
      </c>
      <c r="AL428" s="27" t="s">
        <v>732</v>
      </c>
      <c r="AM428" s="27" t="s">
        <v>546</v>
      </c>
      <c r="AQ428" s="60" t="s">
        <v>186</v>
      </c>
      <c r="AR428" s="61" t="s">
        <v>186</v>
      </c>
      <c r="AS428" s="61" t="s">
        <v>187</v>
      </c>
      <c r="AT428" s="61" t="s">
        <v>186</v>
      </c>
      <c r="AU428" s="61" t="s">
        <v>187</v>
      </c>
      <c r="AV428" s="61" t="s">
        <v>186</v>
      </c>
      <c r="AW428" s="61" t="s">
        <v>186</v>
      </c>
      <c r="AX428" s="61" t="s">
        <v>187</v>
      </c>
      <c r="AY428" s="61" t="s">
        <v>186</v>
      </c>
      <c r="BC428" s="28">
        <v>89687270545</v>
      </c>
      <c r="BD428" s="28">
        <v>85732442587</v>
      </c>
      <c r="BE428" s="28">
        <v>85155334865</v>
      </c>
      <c r="BF428" s="28">
        <v>85713835264</v>
      </c>
      <c r="BG428" s="28">
        <v>81366452894</v>
      </c>
      <c r="BH428" s="28">
        <v>895336643504</v>
      </c>
      <c r="BI428" s="28">
        <v>85810992986</v>
      </c>
      <c r="BJ428" s="28">
        <v>85810946058</v>
      </c>
      <c r="BK428" s="28">
        <v>85737316365</v>
      </c>
      <c r="BO428" s="39">
        <v>60010363</v>
      </c>
      <c r="BP428" s="18" t="s">
        <v>5953</v>
      </c>
      <c r="BQ428" s="37">
        <v>44956</v>
      </c>
      <c r="BR428" s="8">
        <f t="shared" si="1"/>
        <v>9</v>
      </c>
    </row>
    <row r="429" spans="1:70" ht="15.5">
      <c r="A429" s="4" t="str">
        <v>Reguler Periode ke-101 XXVII.D.1</v>
      </c>
      <c r="B429" s="4" t="s">
        <v>2073</v>
      </c>
      <c r="C429" s="38" t="s">
        <v>5954</v>
      </c>
      <c r="D429" s="4" t="s">
        <v>5955</v>
      </c>
      <c r="E429" s="4" t="s">
        <v>5956</v>
      </c>
      <c r="F429" s="4" t="s">
        <v>4928</v>
      </c>
      <c r="G429" s="27" t="s">
        <v>5957</v>
      </c>
      <c r="H429" s="27" t="s">
        <v>5958</v>
      </c>
      <c r="I429" s="27" t="s">
        <v>5959</v>
      </c>
      <c r="J429" s="27" t="s">
        <v>5960</v>
      </c>
      <c r="K429" s="27" t="s">
        <v>5961</v>
      </c>
      <c r="L429" s="27" t="s">
        <v>5962</v>
      </c>
      <c r="M429" s="27" t="s">
        <v>5963</v>
      </c>
      <c r="N429" s="27" t="s">
        <v>5964</v>
      </c>
      <c r="O429" s="27" t="s">
        <v>5965</v>
      </c>
      <c r="S429" s="27">
        <v>1800030405</v>
      </c>
      <c r="T429" s="27">
        <v>1900005290</v>
      </c>
      <c r="U429" s="27">
        <v>1900011360</v>
      </c>
      <c r="V429" s="27">
        <v>1900013348</v>
      </c>
      <c r="W429" s="27">
        <v>1900016093</v>
      </c>
      <c r="X429" s="27">
        <v>1900022027</v>
      </c>
      <c r="Y429" s="27">
        <v>1900024136</v>
      </c>
      <c r="Z429" s="27">
        <v>1900032071</v>
      </c>
      <c r="AA429" s="27">
        <v>1911331027</v>
      </c>
      <c r="AE429" s="27" t="s">
        <v>184</v>
      </c>
      <c r="AF429" s="27" t="s">
        <v>181</v>
      </c>
      <c r="AG429" s="27" t="s">
        <v>182</v>
      </c>
      <c r="AH429" s="27" t="s">
        <v>677</v>
      </c>
      <c r="AI429" s="27" t="s">
        <v>531</v>
      </c>
      <c r="AJ429" s="27" t="s">
        <v>872</v>
      </c>
      <c r="AK429" s="27" t="s">
        <v>924</v>
      </c>
      <c r="AL429" s="27" t="s">
        <v>732</v>
      </c>
      <c r="AM429" s="27" t="s">
        <v>546</v>
      </c>
      <c r="AQ429" s="60" t="s">
        <v>186</v>
      </c>
      <c r="AR429" s="61" t="s">
        <v>186</v>
      </c>
      <c r="AS429" s="61" t="s">
        <v>186</v>
      </c>
      <c r="AT429" s="61" t="s">
        <v>187</v>
      </c>
      <c r="AU429" s="61" t="s">
        <v>186</v>
      </c>
      <c r="AV429" s="61" t="s">
        <v>187</v>
      </c>
      <c r="AW429" s="61" t="s">
        <v>186</v>
      </c>
      <c r="AX429" s="61" t="s">
        <v>187</v>
      </c>
      <c r="AY429" s="61" t="s">
        <v>186</v>
      </c>
      <c r="BC429" s="28">
        <v>89529004925</v>
      </c>
      <c r="BD429" s="28">
        <v>85740021798</v>
      </c>
      <c r="BE429" s="28">
        <v>81261168058</v>
      </c>
      <c r="BF429" s="28">
        <v>81226921596</v>
      </c>
      <c r="BG429" s="28">
        <v>82122536137</v>
      </c>
      <c r="BH429" s="28">
        <v>8998978654</v>
      </c>
      <c r="BI429" s="28">
        <v>85212127763</v>
      </c>
      <c r="BJ429" s="28">
        <v>81272426531</v>
      </c>
      <c r="BK429" s="28">
        <v>85727726967</v>
      </c>
      <c r="BO429" s="39">
        <v>60211276</v>
      </c>
      <c r="BP429" s="18" t="s">
        <v>5966</v>
      </c>
      <c r="BQ429" s="37">
        <v>44956</v>
      </c>
      <c r="BR429" s="8">
        <f t="shared" si="1"/>
        <v>9</v>
      </c>
    </row>
    <row r="430" spans="1:70" ht="15.5">
      <c r="A430" s="4" t="str">
        <v>Reguler Periode ke-101 XXVII.D.2</v>
      </c>
      <c r="B430" s="4" t="s">
        <v>2073</v>
      </c>
      <c r="C430" s="38" t="s">
        <v>5967</v>
      </c>
      <c r="D430" s="4" t="s">
        <v>5955</v>
      </c>
      <c r="E430" s="4" t="s">
        <v>5968</v>
      </c>
      <c r="F430" s="4" t="s">
        <v>4928</v>
      </c>
      <c r="G430" s="27" t="s">
        <v>5969</v>
      </c>
      <c r="H430" s="27" t="s">
        <v>5970</v>
      </c>
      <c r="I430" s="27" t="s">
        <v>5971</v>
      </c>
      <c r="J430" s="27" t="s">
        <v>5972</v>
      </c>
      <c r="K430" s="27" t="s">
        <v>5973</v>
      </c>
      <c r="L430" s="27" t="s">
        <v>5974</v>
      </c>
      <c r="M430" s="27" t="s">
        <v>5975</v>
      </c>
      <c r="N430" s="27" t="s">
        <v>5976</v>
      </c>
      <c r="O430" s="27" t="s">
        <v>5977</v>
      </c>
      <c r="S430" s="27">
        <v>1900005273</v>
      </c>
      <c r="T430" s="27">
        <v>1900011298</v>
      </c>
      <c r="U430" s="27">
        <v>1900013109</v>
      </c>
      <c r="V430" s="27">
        <v>1900016101</v>
      </c>
      <c r="W430" s="27">
        <v>1900022007</v>
      </c>
      <c r="X430" s="27">
        <v>1900024199</v>
      </c>
      <c r="Y430" s="27">
        <v>1900030366</v>
      </c>
      <c r="Z430" s="27">
        <v>1900032106</v>
      </c>
      <c r="AA430" s="27">
        <v>1911331017</v>
      </c>
      <c r="AE430" s="27" t="s">
        <v>181</v>
      </c>
      <c r="AF430" s="27" t="s">
        <v>182</v>
      </c>
      <c r="AG430" s="27" t="s">
        <v>677</v>
      </c>
      <c r="AH430" s="27" t="s">
        <v>531</v>
      </c>
      <c r="AI430" s="27" t="s">
        <v>872</v>
      </c>
      <c r="AJ430" s="27" t="s">
        <v>924</v>
      </c>
      <c r="AK430" s="27" t="s">
        <v>184</v>
      </c>
      <c r="AL430" s="27" t="s">
        <v>732</v>
      </c>
      <c r="AM430" s="27" t="s">
        <v>546</v>
      </c>
      <c r="AQ430" s="62" t="s">
        <v>186</v>
      </c>
      <c r="AR430" s="63" t="s">
        <v>186</v>
      </c>
      <c r="AS430" s="63" t="s">
        <v>187</v>
      </c>
      <c r="AT430" s="63" t="s">
        <v>186</v>
      </c>
      <c r="AU430" s="63" t="s">
        <v>187</v>
      </c>
      <c r="AV430" s="63" t="s">
        <v>186</v>
      </c>
      <c r="AW430" s="63" t="s">
        <v>186</v>
      </c>
      <c r="AX430" s="63" t="s">
        <v>187</v>
      </c>
      <c r="AY430" s="63" t="s">
        <v>186</v>
      </c>
      <c r="BC430" s="28">
        <v>88228827574</v>
      </c>
      <c r="BD430" s="28">
        <v>89648515367</v>
      </c>
      <c r="BE430" s="28">
        <v>81251258317</v>
      </c>
      <c r="BF430" s="28">
        <v>82199010299</v>
      </c>
      <c r="BG430" s="28">
        <v>82157214495</v>
      </c>
      <c r="BH430" s="28">
        <v>81228253048</v>
      </c>
      <c r="BI430" s="28">
        <v>81287027701</v>
      </c>
      <c r="BJ430" s="28">
        <v>81326020344</v>
      </c>
      <c r="BK430" s="28">
        <v>85692280835</v>
      </c>
      <c r="BO430" s="39">
        <v>60211276</v>
      </c>
      <c r="BP430" s="18" t="s">
        <v>5978</v>
      </c>
      <c r="BQ430" s="37">
        <v>44956</v>
      </c>
      <c r="BR430" s="8">
        <f t="shared" si="1"/>
        <v>9</v>
      </c>
    </row>
    <row r="431" spans="1:70" ht="15.5">
      <c r="A431" s="4" t="str">
        <v>Reguler Periode ke-101 XXVII.D.3</v>
      </c>
      <c r="B431" s="4" t="s">
        <v>2073</v>
      </c>
      <c r="C431" s="38" t="s">
        <v>5979</v>
      </c>
      <c r="D431" s="4" t="s">
        <v>5955</v>
      </c>
      <c r="E431" s="4" t="s">
        <v>5980</v>
      </c>
      <c r="F431" s="4" t="s">
        <v>4928</v>
      </c>
      <c r="G431" s="27" t="s">
        <v>5981</v>
      </c>
      <c r="H431" s="27" t="s">
        <v>5982</v>
      </c>
      <c r="I431" s="27" t="s">
        <v>5983</v>
      </c>
      <c r="J431" s="27" t="s">
        <v>5984</v>
      </c>
      <c r="K431" s="27" t="s">
        <v>5985</v>
      </c>
      <c r="L431" s="27" t="s">
        <v>5986</v>
      </c>
      <c r="M431" s="27" t="s">
        <v>5987</v>
      </c>
      <c r="N431" s="27" t="s">
        <v>5988</v>
      </c>
      <c r="O431" s="27" t="s">
        <v>5989</v>
      </c>
      <c r="S431" s="27">
        <v>1900005133</v>
      </c>
      <c r="T431" s="27">
        <v>1900011197</v>
      </c>
      <c r="U431" s="27">
        <v>1900014045</v>
      </c>
      <c r="V431" s="27">
        <v>1900016069</v>
      </c>
      <c r="W431" s="27">
        <v>1900022064</v>
      </c>
      <c r="X431" s="27">
        <v>1900024122</v>
      </c>
      <c r="Y431" s="27">
        <v>1900030171</v>
      </c>
      <c r="Z431" s="27">
        <v>1900032004</v>
      </c>
      <c r="AA431" s="27">
        <v>1900331005</v>
      </c>
      <c r="AE431" s="52" t="s">
        <v>181</v>
      </c>
      <c r="AF431" s="52" t="s">
        <v>182</v>
      </c>
      <c r="AG431" s="52" t="s">
        <v>770</v>
      </c>
      <c r="AH431" s="52" t="s">
        <v>531</v>
      </c>
      <c r="AI431" s="52" t="s">
        <v>872</v>
      </c>
      <c r="AJ431" s="52" t="s">
        <v>924</v>
      </c>
      <c r="AK431" s="52" t="s">
        <v>184</v>
      </c>
      <c r="AL431" s="52" t="s">
        <v>732</v>
      </c>
      <c r="AM431" s="52" t="s">
        <v>546</v>
      </c>
      <c r="AQ431" s="62" t="s">
        <v>186</v>
      </c>
      <c r="AR431" s="63" t="s">
        <v>186</v>
      </c>
      <c r="AS431" s="63" t="s">
        <v>187</v>
      </c>
      <c r="AT431" s="63" t="s">
        <v>186</v>
      </c>
      <c r="AU431" s="63" t="s">
        <v>187</v>
      </c>
      <c r="AV431" s="63" t="s">
        <v>186</v>
      </c>
      <c r="AW431" s="63" t="s">
        <v>186</v>
      </c>
      <c r="AX431" s="63" t="s">
        <v>187</v>
      </c>
      <c r="AY431" s="63" t="s">
        <v>186</v>
      </c>
      <c r="BC431" s="28">
        <v>89505154596</v>
      </c>
      <c r="BD431" s="28">
        <v>81311566345</v>
      </c>
      <c r="BE431" s="28">
        <v>81775436024</v>
      </c>
      <c r="BF431" s="28">
        <v>82248050154</v>
      </c>
      <c r="BG431" s="28">
        <v>89531065713</v>
      </c>
      <c r="BH431" s="28">
        <v>82181435998</v>
      </c>
      <c r="BI431" s="28">
        <v>82158313293</v>
      </c>
      <c r="BJ431" s="28">
        <v>82136166676</v>
      </c>
      <c r="BK431" s="28">
        <v>81325242558</v>
      </c>
      <c r="BO431" s="39">
        <v>60211276</v>
      </c>
      <c r="BP431" s="18" t="s">
        <v>5990</v>
      </c>
      <c r="BQ431" s="37">
        <v>44956</v>
      </c>
      <c r="BR431" s="8">
        <f t="shared" si="1"/>
        <v>9</v>
      </c>
    </row>
    <row r="432" spans="1:70" ht="15.5">
      <c r="A432" s="4" t="str">
        <v>Reguler Periode ke-101 XXVIII.A.1</v>
      </c>
      <c r="B432" s="4" t="s">
        <v>2073</v>
      </c>
      <c r="C432" s="38" t="s">
        <v>5991</v>
      </c>
      <c r="D432" s="4" t="s">
        <v>5992</v>
      </c>
      <c r="E432" s="4" t="s">
        <v>5993</v>
      </c>
      <c r="F432" s="4" t="s">
        <v>4928</v>
      </c>
      <c r="G432" s="27" t="s">
        <v>5994</v>
      </c>
      <c r="H432" s="27" t="s">
        <v>5995</v>
      </c>
      <c r="I432" s="27" t="s">
        <v>5996</v>
      </c>
      <c r="J432" s="27" t="s">
        <v>5997</v>
      </c>
      <c r="K432" s="27" t="s">
        <v>5998</v>
      </c>
      <c r="L432" s="27" t="s">
        <v>5999</v>
      </c>
      <c r="M432" s="27" t="s">
        <v>6000</v>
      </c>
      <c r="N432" s="27" t="s">
        <v>6001</v>
      </c>
      <c r="O432" s="32" t="s">
        <v>6002</v>
      </c>
      <c r="S432" s="27">
        <v>1900005178</v>
      </c>
      <c r="T432" s="27">
        <v>1900011242</v>
      </c>
      <c r="U432" s="27">
        <v>1900014043</v>
      </c>
      <c r="V432" s="27">
        <v>1900016155</v>
      </c>
      <c r="W432" s="27">
        <v>1900022004</v>
      </c>
      <c r="X432" s="27">
        <v>1900024123</v>
      </c>
      <c r="Y432" s="27">
        <v>1900030317</v>
      </c>
      <c r="Z432" s="27">
        <v>1900032002</v>
      </c>
      <c r="AA432" s="27">
        <v>1911331021</v>
      </c>
      <c r="AE432" s="52" t="s">
        <v>181</v>
      </c>
      <c r="AF432" s="52" t="s">
        <v>182</v>
      </c>
      <c r="AG432" s="52" t="s">
        <v>770</v>
      </c>
      <c r="AH432" s="52" t="s">
        <v>531</v>
      </c>
      <c r="AI432" s="52" t="s">
        <v>872</v>
      </c>
      <c r="AJ432" s="52" t="s">
        <v>924</v>
      </c>
      <c r="AK432" s="52" t="s">
        <v>184</v>
      </c>
      <c r="AL432" s="52" t="s">
        <v>732</v>
      </c>
      <c r="AM432" s="52" t="s">
        <v>546</v>
      </c>
      <c r="AQ432" s="62" t="s">
        <v>186</v>
      </c>
      <c r="AR432" s="63" t="s">
        <v>186</v>
      </c>
      <c r="AS432" s="63" t="s">
        <v>187</v>
      </c>
      <c r="AT432" s="63" t="s">
        <v>186</v>
      </c>
      <c r="AU432" s="63" t="s">
        <v>187</v>
      </c>
      <c r="AV432" s="63" t="s">
        <v>186</v>
      </c>
      <c r="AW432" s="63" t="s">
        <v>186</v>
      </c>
      <c r="AX432" s="63" t="s">
        <v>187</v>
      </c>
      <c r="AY432" s="63" t="s">
        <v>186</v>
      </c>
      <c r="BC432" s="28">
        <v>895632577482</v>
      </c>
      <c r="BD432" s="28">
        <v>81240364493</v>
      </c>
      <c r="BE432" s="28">
        <v>85783350769</v>
      </c>
      <c r="BF432" s="28">
        <v>81554443525</v>
      </c>
      <c r="BG432" s="28">
        <v>82127213387</v>
      </c>
      <c r="BH432" s="28">
        <v>85741241581</v>
      </c>
      <c r="BI432" s="28">
        <v>8157910090</v>
      </c>
      <c r="BJ432" s="28">
        <v>81228944483</v>
      </c>
      <c r="BK432" s="28" t="s">
        <v>6003</v>
      </c>
      <c r="BO432" s="39">
        <v>60160971</v>
      </c>
      <c r="BP432" s="18" t="s">
        <v>6004</v>
      </c>
      <c r="BQ432" s="37">
        <v>44956</v>
      </c>
      <c r="BR432" s="8">
        <f t="shared" si="1"/>
        <v>9</v>
      </c>
    </row>
    <row r="433" spans="1:71" ht="15.5">
      <c r="A433" s="4" t="str">
        <v>Reguler Periode ke-101 XXVIII.A.2</v>
      </c>
      <c r="B433" s="4" t="s">
        <v>2073</v>
      </c>
      <c r="C433" s="38" t="s">
        <v>6005</v>
      </c>
      <c r="D433" s="4" t="s">
        <v>5992</v>
      </c>
      <c r="E433" s="4" t="s">
        <v>6006</v>
      </c>
      <c r="F433" s="4" t="s">
        <v>4928</v>
      </c>
      <c r="G433" s="27" t="s">
        <v>6007</v>
      </c>
      <c r="H433" s="27" t="s">
        <v>6008</v>
      </c>
      <c r="I433" s="27" t="s">
        <v>6009</v>
      </c>
      <c r="J433" s="27" t="s">
        <v>6010</v>
      </c>
      <c r="K433" s="27" t="s">
        <v>6011</v>
      </c>
      <c r="L433" s="27" t="s">
        <v>6012</v>
      </c>
      <c r="M433" s="27" t="s">
        <v>6013</v>
      </c>
      <c r="N433" s="27" t="s">
        <v>6014</v>
      </c>
      <c r="O433" s="27" t="s">
        <v>6015</v>
      </c>
      <c r="S433" s="27">
        <v>1900005150</v>
      </c>
      <c r="T433" s="27">
        <v>1900011003</v>
      </c>
      <c r="U433" s="27">
        <v>1900014017</v>
      </c>
      <c r="V433" s="27">
        <v>1900016109</v>
      </c>
      <c r="W433" s="27">
        <v>1900022013</v>
      </c>
      <c r="X433" s="27">
        <v>1900024290</v>
      </c>
      <c r="Y433" s="27">
        <v>1900030070</v>
      </c>
      <c r="Z433" s="27">
        <v>1900032030</v>
      </c>
      <c r="AA433" s="27">
        <v>1911331019</v>
      </c>
      <c r="AE433" s="27" t="s">
        <v>181</v>
      </c>
      <c r="AF433" s="27" t="s">
        <v>182</v>
      </c>
      <c r="AG433" s="27" t="s">
        <v>770</v>
      </c>
      <c r="AH433" s="27" t="s">
        <v>531</v>
      </c>
      <c r="AI433" s="27" t="s">
        <v>872</v>
      </c>
      <c r="AJ433" s="27" t="s">
        <v>924</v>
      </c>
      <c r="AK433" s="27" t="s">
        <v>184</v>
      </c>
      <c r="AL433" s="27" t="s">
        <v>732</v>
      </c>
      <c r="AM433" s="27" t="s">
        <v>546</v>
      </c>
      <c r="AQ433" s="62" t="s">
        <v>186</v>
      </c>
      <c r="AR433" s="63" t="s">
        <v>186</v>
      </c>
      <c r="AS433" s="63" t="s">
        <v>187</v>
      </c>
      <c r="AT433" s="63" t="s">
        <v>186</v>
      </c>
      <c r="AU433" s="63" t="s">
        <v>187</v>
      </c>
      <c r="AV433" s="63" t="s">
        <v>186</v>
      </c>
      <c r="AW433" s="63" t="s">
        <v>186</v>
      </c>
      <c r="AX433" s="63" t="s">
        <v>187</v>
      </c>
      <c r="AY433" s="63" t="s">
        <v>186</v>
      </c>
      <c r="BC433" s="28">
        <v>85669492757</v>
      </c>
      <c r="BD433" s="28">
        <v>859166320787</v>
      </c>
      <c r="BE433" s="28">
        <v>81903368262</v>
      </c>
      <c r="BF433" s="28">
        <v>895422971270</v>
      </c>
      <c r="BG433" s="28" t="s">
        <v>6016</v>
      </c>
      <c r="BH433" s="28">
        <v>85745593211</v>
      </c>
      <c r="BI433" s="28">
        <v>85333281633</v>
      </c>
      <c r="BJ433" s="28">
        <v>82262437413</v>
      </c>
      <c r="BK433" s="28">
        <v>83145164022</v>
      </c>
      <c r="BO433" s="39">
        <v>60160971</v>
      </c>
      <c r="BP433" s="18" t="s">
        <v>6017</v>
      </c>
      <c r="BQ433" s="37">
        <v>44956</v>
      </c>
      <c r="BR433" s="8">
        <f t="shared" si="1"/>
        <v>9</v>
      </c>
    </row>
    <row r="434" spans="1:71" ht="15.5">
      <c r="A434" s="4" t="str">
        <v>Reguler Periode ke-101 XXVIII.A.3</v>
      </c>
      <c r="B434" s="4" t="s">
        <v>2073</v>
      </c>
      <c r="C434" s="38" t="s">
        <v>6018</v>
      </c>
      <c r="D434" s="4" t="s">
        <v>5992</v>
      </c>
      <c r="E434" s="4" t="s">
        <v>6019</v>
      </c>
      <c r="F434" s="4" t="s">
        <v>4928</v>
      </c>
      <c r="G434" s="27" t="s">
        <v>6020</v>
      </c>
      <c r="H434" s="27" t="s">
        <v>6021</v>
      </c>
      <c r="I434" s="27" t="s">
        <v>6022</v>
      </c>
      <c r="J434" s="27" t="s">
        <v>6023</v>
      </c>
      <c r="K434" s="27" t="s">
        <v>6024</v>
      </c>
      <c r="L434" s="27" t="s">
        <v>6025</v>
      </c>
      <c r="M434" s="27" t="s">
        <v>6026</v>
      </c>
      <c r="N434" s="27" t="s">
        <v>6027</v>
      </c>
      <c r="O434" s="27" t="s">
        <v>6028</v>
      </c>
      <c r="S434" s="27">
        <v>1900005197</v>
      </c>
      <c r="T434" s="27">
        <v>1900011138</v>
      </c>
      <c r="U434" s="27">
        <v>1900014002</v>
      </c>
      <c r="V434" s="27">
        <v>1900016077</v>
      </c>
      <c r="W434" s="27">
        <v>1900022002</v>
      </c>
      <c r="X434" s="27">
        <v>1900024303</v>
      </c>
      <c r="Y434" s="27">
        <v>1900030091</v>
      </c>
      <c r="Z434" s="27">
        <v>1911032067</v>
      </c>
      <c r="AA434" s="27">
        <v>1911331042</v>
      </c>
      <c r="AE434" s="27" t="s">
        <v>181</v>
      </c>
      <c r="AF434" s="27" t="s">
        <v>182</v>
      </c>
      <c r="AG434" s="27" t="s">
        <v>770</v>
      </c>
      <c r="AH434" s="27" t="s">
        <v>531</v>
      </c>
      <c r="AI434" s="27" t="s">
        <v>872</v>
      </c>
      <c r="AJ434" s="27" t="s">
        <v>924</v>
      </c>
      <c r="AK434" s="27" t="s">
        <v>184</v>
      </c>
      <c r="AL434" s="27" t="s">
        <v>732</v>
      </c>
      <c r="AM434" s="27" t="s">
        <v>546</v>
      </c>
      <c r="AQ434" s="62" t="s">
        <v>186</v>
      </c>
      <c r="AR434" s="63" t="s">
        <v>186</v>
      </c>
      <c r="AS434" s="63" t="s">
        <v>187</v>
      </c>
      <c r="AT434" s="63" t="s">
        <v>186</v>
      </c>
      <c r="AU434" s="63" t="s">
        <v>187</v>
      </c>
      <c r="AV434" s="63" t="s">
        <v>186</v>
      </c>
      <c r="AW434" s="63" t="s">
        <v>186</v>
      </c>
      <c r="AX434" s="63" t="s">
        <v>187</v>
      </c>
      <c r="AY434" s="63" t="s">
        <v>186</v>
      </c>
      <c r="BC434" s="28">
        <v>81357281388</v>
      </c>
      <c r="BD434" s="28">
        <v>89677043881</v>
      </c>
      <c r="BE434" s="28">
        <v>83127002534</v>
      </c>
      <c r="BF434" s="28">
        <v>83119677864</v>
      </c>
      <c r="BG434" s="28">
        <v>85763392315</v>
      </c>
      <c r="BH434" s="28">
        <v>85701874501</v>
      </c>
      <c r="BI434" s="28">
        <v>81215405055</v>
      </c>
      <c r="BJ434" s="28">
        <v>85939805583</v>
      </c>
      <c r="BK434" s="28">
        <v>85225641627</v>
      </c>
      <c r="BO434" s="39">
        <v>60160971</v>
      </c>
      <c r="BP434" s="18" t="s">
        <v>6029</v>
      </c>
      <c r="BQ434" s="37">
        <v>44956</v>
      </c>
      <c r="BR434" s="8">
        <f t="shared" si="1"/>
        <v>9</v>
      </c>
    </row>
    <row r="435" spans="1:71" ht="15.5">
      <c r="A435" s="4" t="str">
        <v>Reguler Periode ke-101 XXVIII.B.1</v>
      </c>
      <c r="B435" s="4" t="s">
        <v>2073</v>
      </c>
      <c r="C435" s="38" t="s">
        <v>6030</v>
      </c>
      <c r="D435" s="4" t="s">
        <v>6031</v>
      </c>
      <c r="E435" s="4" t="s">
        <v>6032</v>
      </c>
      <c r="F435" s="4" t="s">
        <v>4928</v>
      </c>
      <c r="G435" s="27" t="s">
        <v>6033</v>
      </c>
      <c r="H435" s="27" t="s">
        <v>6034</v>
      </c>
      <c r="I435" s="27" t="s">
        <v>6035</v>
      </c>
      <c r="J435" s="27" t="s">
        <v>6036</v>
      </c>
      <c r="K435" s="27" t="s">
        <v>6037</v>
      </c>
      <c r="L435" s="27" t="s">
        <v>6038</v>
      </c>
      <c r="M435" s="27" t="s">
        <v>6039</v>
      </c>
      <c r="N435" s="27" t="s">
        <v>6040</v>
      </c>
      <c r="O435" s="27" t="s">
        <v>6041</v>
      </c>
      <c r="S435" s="27">
        <v>1900005332</v>
      </c>
      <c r="T435" s="27">
        <v>1900011224</v>
      </c>
      <c r="U435" s="27">
        <v>1900014018</v>
      </c>
      <c r="V435" s="27">
        <v>1900016085</v>
      </c>
      <c r="W435" s="27">
        <v>1900023049</v>
      </c>
      <c r="X435" s="27">
        <v>1900024223</v>
      </c>
      <c r="Y435" s="27">
        <v>1900030146</v>
      </c>
      <c r="Z435" s="27">
        <v>1900032084</v>
      </c>
      <c r="AA435" s="27">
        <v>1900070032</v>
      </c>
      <c r="AE435" s="27" t="s">
        <v>181</v>
      </c>
      <c r="AF435" s="27" t="s">
        <v>182</v>
      </c>
      <c r="AG435" s="27" t="s">
        <v>770</v>
      </c>
      <c r="AH435" s="27" t="s">
        <v>531</v>
      </c>
      <c r="AI435" s="27" t="s">
        <v>899</v>
      </c>
      <c r="AJ435" s="27" t="s">
        <v>924</v>
      </c>
      <c r="AK435" s="27" t="s">
        <v>184</v>
      </c>
      <c r="AL435" s="27" t="s">
        <v>732</v>
      </c>
      <c r="AM435" s="27" t="s">
        <v>2473</v>
      </c>
      <c r="AQ435" s="62" t="s">
        <v>186</v>
      </c>
      <c r="AR435" s="63" t="s">
        <v>186</v>
      </c>
      <c r="AS435" s="63" t="s">
        <v>187</v>
      </c>
      <c r="AT435" s="63" t="s">
        <v>186</v>
      </c>
      <c r="AU435" s="63" t="s">
        <v>187</v>
      </c>
      <c r="AV435" s="63" t="s">
        <v>186</v>
      </c>
      <c r="AW435" s="63" t="s">
        <v>186</v>
      </c>
      <c r="AX435" s="63" t="s">
        <v>187</v>
      </c>
      <c r="AY435" s="63" t="s">
        <v>186</v>
      </c>
      <c r="BC435" s="28">
        <v>89668787076</v>
      </c>
      <c r="BD435" s="28">
        <v>82181511121</v>
      </c>
      <c r="BE435" s="28">
        <v>8127762175</v>
      </c>
      <c r="BF435" s="28">
        <v>81256705281</v>
      </c>
      <c r="BG435" s="28">
        <v>81282488594</v>
      </c>
      <c r="BH435" s="28">
        <v>81390502790</v>
      </c>
      <c r="BI435" s="28">
        <v>85156654503</v>
      </c>
      <c r="BJ435" s="28">
        <v>81329368869</v>
      </c>
      <c r="BK435" s="28">
        <v>88224119074</v>
      </c>
      <c r="BO435" s="39">
        <v>60150830</v>
      </c>
      <c r="BP435" s="18" t="s">
        <v>6042</v>
      </c>
      <c r="BQ435" s="37">
        <v>44956</v>
      </c>
      <c r="BR435" s="8">
        <f t="shared" si="1"/>
        <v>9</v>
      </c>
    </row>
    <row r="436" spans="1:71" ht="15.5">
      <c r="A436" s="4" t="str">
        <v>Reguler Periode ke-101 XXVIII.B.2</v>
      </c>
      <c r="B436" s="4" t="s">
        <v>2073</v>
      </c>
      <c r="C436" s="38" t="s">
        <v>6043</v>
      </c>
      <c r="D436" s="4" t="s">
        <v>6031</v>
      </c>
      <c r="E436" s="4" t="s">
        <v>6044</v>
      </c>
      <c r="F436" s="4" t="s">
        <v>4928</v>
      </c>
      <c r="G436" s="27" t="s">
        <v>6045</v>
      </c>
      <c r="H436" s="27" t="s">
        <v>6046</v>
      </c>
      <c r="I436" s="27" t="s">
        <v>6047</v>
      </c>
      <c r="J436" s="27" t="s">
        <v>6048</v>
      </c>
      <c r="K436" s="27" t="s">
        <v>6049</v>
      </c>
      <c r="L436" s="27" t="s">
        <v>6050</v>
      </c>
      <c r="M436" s="27" t="s">
        <v>6051</v>
      </c>
      <c r="N436" s="27" t="s">
        <v>6052</v>
      </c>
      <c r="O436" s="27" t="s">
        <v>6053</v>
      </c>
      <c r="S436" s="27">
        <v>1900005240</v>
      </c>
      <c r="T436" s="27">
        <v>1900011359</v>
      </c>
      <c r="U436" s="27">
        <v>1900014026</v>
      </c>
      <c r="V436" s="27">
        <v>1900016178</v>
      </c>
      <c r="W436" s="27">
        <v>1900023091</v>
      </c>
      <c r="X436" s="27">
        <v>1900024078</v>
      </c>
      <c r="Y436" s="27">
        <v>1900030157</v>
      </c>
      <c r="Z436" s="27">
        <v>1900032032</v>
      </c>
      <c r="AA436" s="27">
        <v>1900070019</v>
      </c>
      <c r="AE436" s="4" t="s">
        <v>181</v>
      </c>
      <c r="AF436" s="4" t="s">
        <v>182</v>
      </c>
      <c r="AG436" s="4" t="s">
        <v>770</v>
      </c>
      <c r="AH436" s="4" t="s">
        <v>531</v>
      </c>
      <c r="AI436" s="4" t="s">
        <v>899</v>
      </c>
      <c r="AJ436" s="4" t="s">
        <v>924</v>
      </c>
      <c r="AK436" s="4" t="s">
        <v>184</v>
      </c>
      <c r="AL436" s="4" t="s">
        <v>732</v>
      </c>
      <c r="AM436" s="4" t="s">
        <v>2473</v>
      </c>
      <c r="AQ436" s="62" t="s">
        <v>186</v>
      </c>
      <c r="AR436" s="63" t="s">
        <v>186</v>
      </c>
      <c r="AS436" s="63" t="s">
        <v>187</v>
      </c>
      <c r="AT436" s="63" t="s">
        <v>186</v>
      </c>
      <c r="AU436" s="63" t="s">
        <v>187</v>
      </c>
      <c r="AV436" s="63" t="s">
        <v>186</v>
      </c>
      <c r="AW436" s="63" t="s">
        <v>186</v>
      </c>
      <c r="AX436" s="63" t="s">
        <v>187</v>
      </c>
      <c r="AY436" s="63" t="s">
        <v>186</v>
      </c>
      <c r="BC436" s="28">
        <v>81215063921</v>
      </c>
      <c r="BD436" s="28">
        <v>82317950907</v>
      </c>
      <c r="BE436" s="28">
        <v>82292951559</v>
      </c>
      <c r="BF436" s="28">
        <v>85764421530</v>
      </c>
      <c r="BG436" s="28">
        <v>88239881580</v>
      </c>
      <c r="BH436" s="28">
        <v>82328525473</v>
      </c>
      <c r="BI436" s="28">
        <v>85329346584</v>
      </c>
      <c r="BJ436" s="28">
        <v>82136772522</v>
      </c>
      <c r="BK436" s="28">
        <v>85803032308</v>
      </c>
      <c r="BO436" s="39">
        <v>60150830</v>
      </c>
      <c r="BP436" s="18" t="s">
        <v>6054</v>
      </c>
      <c r="BQ436" s="37">
        <v>44956</v>
      </c>
      <c r="BR436" s="8">
        <f t="shared" si="1"/>
        <v>9</v>
      </c>
    </row>
    <row r="437" spans="1:71" ht="15.5">
      <c r="A437" s="4" t="str">
        <v>Reguler Periode ke-101 XXVIII.B.3</v>
      </c>
      <c r="B437" s="4" t="s">
        <v>2073</v>
      </c>
      <c r="C437" s="38" t="s">
        <v>6055</v>
      </c>
      <c r="D437" s="4" t="s">
        <v>6031</v>
      </c>
      <c r="E437" s="4" t="s">
        <v>6056</v>
      </c>
      <c r="F437" s="4" t="s">
        <v>4928</v>
      </c>
      <c r="G437" s="27" t="s">
        <v>6057</v>
      </c>
      <c r="H437" s="27" t="s">
        <v>6058</v>
      </c>
      <c r="I437" s="27" t="s">
        <v>6059</v>
      </c>
      <c r="J437" s="27" t="s">
        <v>6060</v>
      </c>
      <c r="K437" s="27" t="s">
        <v>6061</v>
      </c>
      <c r="L437" s="27" t="s">
        <v>6062</v>
      </c>
      <c r="M437" s="27" t="s">
        <v>6063</v>
      </c>
      <c r="N437" s="27" t="s">
        <v>6064</v>
      </c>
      <c r="O437" s="27" t="s">
        <v>6065</v>
      </c>
      <c r="S437" s="27">
        <v>1900005256</v>
      </c>
      <c r="T437" s="27">
        <v>1900011339</v>
      </c>
      <c r="U437" s="27">
        <v>1900014024</v>
      </c>
      <c r="V437" s="27">
        <v>1900016033</v>
      </c>
      <c r="W437" s="27">
        <v>1900023264</v>
      </c>
      <c r="X437" s="27">
        <v>1900024140</v>
      </c>
      <c r="Y437" s="27">
        <v>1900030363</v>
      </c>
      <c r="Z437" s="27">
        <v>1900032117</v>
      </c>
      <c r="AA437" s="27">
        <v>1900070002</v>
      </c>
      <c r="AE437" s="27" t="s">
        <v>181</v>
      </c>
      <c r="AF437" s="27" t="s">
        <v>182</v>
      </c>
      <c r="AG437" s="27" t="s">
        <v>770</v>
      </c>
      <c r="AH437" s="27" t="s">
        <v>531</v>
      </c>
      <c r="AI437" s="27" t="s">
        <v>899</v>
      </c>
      <c r="AJ437" s="27" t="s">
        <v>924</v>
      </c>
      <c r="AK437" s="27" t="s">
        <v>184</v>
      </c>
      <c r="AL437" s="27" t="s">
        <v>732</v>
      </c>
      <c r="AM437" s="27" t="s">
        <v>2473</v>
      </c>
      <c r="AQ437" s="62" t="s">
        <v>186</v>
      </c>
      <c r="AR437" s="63" t="s">
        <v>186</v>
      </c>
      <c r="AS437" s="63" t="s">
        <v>187</v>
      </c>
      <c r="AT437" s="63" t="s">
        <v>186</v>
      </c>
      <c r="AU437" s="63" t="s">
        <v>187</v>
      </c>
      <c r="AV437" s="63" t="s">
        <v>186</v>
      </c>
      <c r="AW437" s="63" t="s">
        <v>186</v>
      </c>
      <c r="AX437" s="63" t="s">
        <v>187</v>
      </c>
      <c r="AY437" s="63" t="s">
        <v>186</v>
      </c>
      <c r="BC437" s="28">
        <v>85156107081</v>
      </c>
      <c r="BD437" s="28">
        <v>82300011123</v>
      </c>
      <c r="BE437" s="28" t="s">
        <v>6066</v>
      </c>
      <c r="BF437" s="28">
        <v>82135649141</v>
      </c>
      <c r="BG437" s="28">
        <v>81388089767</v>
      </c>
      <c r="BH437" s="28">
        <v>81326959640</v>
      </c>
      <c r="BI437" s="28">
        <v>895327232578</v>
      </c>
      <c r="BJ437" s="28">
        <v>81325148598</v>
      </c>
      <c r="BK437" s="28">
        <v>81245290726</v>
      </c>
      <c r="BO437" s="39">
        <v>60150830</v>
      </c>
      <c r="BP437" s="18" t="s">
        <v>6067</v>
      </c>
      <c r="BQ437" s="37">
        <v>44956</v>
      </c>
      <c r="BR437" s="8">
        <f t="shared" si="1"/>
        <v>9</v>
      </c>
    </row>
    <row r="438" spans="1:71" ht="15.5">
      <c r="A438" s="4" t="str">
        <v>Reguler Periode ke-101 XXVIII.C.1</v>
      </c>
      <c r="B438" s="4" t="s">
        <v>2073</v>
      </c>
      <c r="C438" s="38" t="s">
        <v>6068</v>
      </c>
      <c r="D438" s="4" t="s">
        <v>364</v>
      </c>
      <c r="E438" s="4" t="s">
        <v>6069</v>
      </c>
      <c r="F438" s="4" t="s">
        <v>4928</v>
      </c>
      <c r="G438" s="27" t="s">
        <v>6070</v>
      </c>
      <c r="H438" s="27" t="s">
        <v>6071</v>
      </c>
      <c r="I438" s="27" t="s">
        <v>6072</v>
      </c>
      <c r="J438" s="27" t="s">
        <v>6073</v>
      </c>
      <c r="K438" s="27" t="s">
        <v>6074</v>
      </c>
      <c r="L438" s="27" t="s">
        <v>6075</v>
      </c>
      <c r="M438" s="27" t="s">
        <v>6076</v>
      </c>
      <c r="N438" s="27" t="s">
        <v>6077</v>
      </c>
      <c r="O438" s="27" t="s">
        <v>6078</v>
      </c>
      <c r="S438" s="27">
        <v>1900005096</v>
      </c>
      <c r="T438" s="27">
        <v>1900011196</v>
      </c>
      <c r="U438" s="27">
        <v>1900015042</v>
      </c>
      <c r="V438" s="27">
        <v>1900016027</v>
      </c>
      <c r="W438" s="27">
        <v>1900023178</v>
      </c>
      <c r="X438" s="27">
        <v>1900024233</v>
      </c>
      <c r="Y438" s="27">
        <v>1900030338</v>
      </c>
      <c r="Z438" s="27">
        <v>1900032236</v>
      </c>
      <c r="AA438" s="27">
        <v>1911070024</v>
      </c>
      <c r="AE438" s="27" t="s">
        <v>181</v>
      </c>
      <c r="AF438" s="27" t="s">
        <v>182</v>
      </c>
      <c r="AG438" s="27" t="s">
        <v>937</v>
      </c>
      <c r="AH438" s="27" t="s">
        <v>531</v>
      </c>
      <c r="AI438" s="27" t="s">
        <v>899</v>
      </c>
      <c r="AJ438" s="27" t="s">
        <v>924</v>
      </c>
      <c r="AK438" s="27" t="s">
        <v>184</v>
      </c>
      <c r="AL438" s="27" t="s">
        <v>732</v>
      </c>
      <c r="AM438" s="27" t="s">
        <v>2473</v>
      </c>
      <c r="AQ438" s="60" t="s">
        <v>186</v>
      </c>
      <c r="AR438" s="61" t="s">
        <v>186</v>
      </c>
      <c r="AS438" s="61" t="s">
        <v>187</v>
      </c>
      <c r="AT438" s="61" t="s">
        <v>186</v>
      </c>
      <c r="AU438" s="61" t="s">
        <v>187</v>
      </c>
      <c r="AV438" s="61" t="s">
        <v>186</v>
      </c>
      <c r="AW438" s="61" t="s">
        <v>186</v>
      </c>
      <c r="AX438" s="61" t="s">
        <v>187</v>
      </c>
      <c r="AY438" s="61" t="s">
        <v>186</v>
      </c>
      <c r="BC438" s="28">
        <v>88225211730</v>
      </c>
      <c r="BD438" s="28">
        <v>82243516603</v>
      </c>
      <c r="BE438" s="28">
        <v>89684683150</v>
      </c>
      <c r="BF438" s="28">
        <v>82299786783</v>
      </c>
      <c r="BG438" s="28">
        <v>82250928045</v>
      </c>
      <c r="BH438" s="28">
        <v>85348275404</v>
      </c>
      <c r="BI438" s="28">
        <v>882003917021</v>
      </c>
      <c r="BJ438" s="28">
        <v>89603235243</v>
      </c>
      <c r="BK438" s="28">
        <v>89653815040</v>
      </c>
      <c r="BO438" s="39">
        <v>60201251</v>
      </c>
      <c r="BP438" s="18" t="s">
        <v>6079</v>
      </c>
      <c r="BQ438" s="37">
        <v>44956</v>
      </c>
      <c r="BR438" s="8">
        <f t="shared" si="1"/>
        <v>9</v>
      </c>
    </row>
    <row r="439" spans="1:71" ht="15.5">
      <c r="A439" s="4" t="str">
        <v>Reguler Periode ke-101 XXVIII.C.2</v>
      </c>
      <c r="B439" s="4" t="s">
        <v>2073</v>
      </c>
      <c r="C439" s="38" t="s">
        <v>6080</v>
      </c>
      <c r="D439" s="4" t="s">
        <v>364</v>
      </c>
      <c r="E439" s="4" t="s">
        <v>6081</v>
      </c>
      <c r="F439" s="4" t="s">
        <v>4928</v>
      </c>
      <c r="G439" s="27" t="s">
        <v>6082</v>
      </c>
      <c r="H439" s="27" t="s">
        <v>6083</v>
      </c>
      <c r="I439" s="27" t="s">
        <v>6084</v>
      </c>
      <c r="J439" s="27" t="s">
        <v>6085</v>
      </c>
      <c r="K439" s="27" t="s">
        <v>6086</v>
      </c>
      <c r="L439" s="27" t="s">
        <v>6087</v>
      </c>
      <c r="M439" s="27" t="s">
        <v>6088</v>
      </c>
      <c r="N439" s="27" t="s">
        <v>6089</v>
      </c>
      <c r="O439" s="27" t="s">
        <v>6090</v>
      </c>
      <c r="S439" s="27">
        <v>1800030372</v>
      </c>
      <c r="T439" s="27">
        <v>1900005382</v>
      </c>
      <c r="U439" s="27">
        <v>1900011267</v>
      </c>
      <c r="V439" s="27">
        <v>1900015063</v>
      </c>
      <c r="W439" s="27">
        <v>1900016145</v>
      </c>
      <c r="X439" s="27">
        <v>1900023155</v>
      </c>
      <c r="Y439" s="27">
        <v>1900024107</v>
      </c>
      <c r="Z439" s="27">
        <v>1900032210</v>
      </c>
      <c r="AA439" s="27">
        <v>1900070020</v>
      </c>
      <c r="AE439" s="27" t="s">
        <v>184</v>
      </c>
      <c r="AF439" s="27" t="s">
        <v>181</v>
      </c>
      <c r="AG439" s="27" t="s">
        <v>182</v>
      </c>
      <c r="AH439" s="27" t="s">
        <v>937</v>
      </c>
      <c r="AI439" s="27" t="s">
        <v>531</v>
      </c>
      <c r="AJ439" s="27" t="s">
        <v>899</v>
      </c>
      <c r="AK439" s="27" t="s">
        <v>924</v>
      </c>
      <c r="AL439" s="27" t="s">
        <v>732</v>
      </c>
      <c r="AM439" s="27" t="s">
        <v>2473</v>
      </c>
      <c r="AQ439" s="60" t="s">
        <v>186</v>
      </c>
      <c r="AR439" s="61" t="s">
        <v>186</v>
      </c>
      <c r="AS439" s="61" t="s">
        <v>186</v>
      </c>
      <c r="AT439" s="61" t="s">
        <v>187</v>
      </c>
      <c r="AU439" s="61" t="s">
        <v>186</v>
      </c>
      <c r="AV439" s="61" t="s">
        <v>187</v>
      </c>
      <c r="AW439" s="61" t="s">
        <v>186</v>
      </c>
      <c r="AX439" s="61" t="s">
        <v>187</v>
      </c>
      <c r="AY439" s="61" t="s">
        <v>186</v>
      </c>
      <c r="BC439" s="28">
        <v>81235011534</v>
      </c>
      <c r="BD439" s="28">
        <v>82282308255</v>
      </c>
      <c r="BE439" s="28">
        <v>82217616766</v>
      </c>
      <c r="BF439" s="28">
        <v>89619233185</v>
      </c>
      <c r="BG439" s="28">
        <v>8176942097</v>
      </c>
      <c r="BH439" s="28">
        <v>895328314050</v>
      </c>
      <c r="BI439" s="28">
        <v>88225442326</v>
      </c>
      <c r="BJ439" s="28">
        <v>81259538254</v>
      </c>
      <c r="BK439" s="28">
        <v>81328689135</v>
      </c>
      <c r="BO439" s="39">
        <v>60201251</v>
      </c>
      <c r="BP439" s="18" t="s">
        <v>6091</v>
      </c>
      <c r="BQ439" s="37">
        <v>44956</v>
      </c>
      <c r="BR439" s="8">
        <f t="shared" si="1"/>
        <v>9</v>
      </c>
    </row>
    <row r="440" spans="1:71" ht="15.5">
      <c r="A440" s="4" t="str">
        <v>Reguler Periode ke-101 XXVIII.D.1</v>
      </c>
      <c r="B440" s="4" t="s">
        <v>2073</v>
      </c>
      <c r="C440" s="38" t="s">
        <v>6092</v>
      </c>
      <c r="D440" s="4" t="s">
        <v>6093</v>
      </c>
      <c r="E440" s="4" t="s">
        <v>6094</v>
      </c>
      <c r="F440" s="4" t="s">
        <v>4928</v>
      </c>
      <c r="G440" s="27" t="s">
        <v>6095</v>
      </c>
      <c r="H440" s="27" t="s">
        <v>6096</v>
      </c>
      <c r="I440" s="27" t="s">
        <v>6097</v>
      </c>
      <c r="J440" s="27" t="s">
        <v>6098</v>
      </c>
      <c r="K440" s="27" t="s">
        <v>6099</v>
      </c>
      <c r="L440" s="27" t="s">
        <v>6100</v>
      </c>
      <c r="M440" s="27" t="s">
        <v>6101</v>
      </c>
      <c r="N440" s="27" t="s">
        <v>6102</v>
      </c>
      <c r="O440" s="27" t="s">
        <v>6103</v>
      </c>
      <c r="S440" s="27">
        <v>1900005049</v>
      </c>
      <c r="T440" s="27">
        <v>1900010204</v>
      </c>
      <c r="U440" s="27">
        <v>1900013186</v>
      </c>
      <c r="V440" s="27">
        <v>1900015051</v>
      </c>
      <c r="W440" s="27">
        <v>1900022056</v>
      </c>
      <c r="X440" s="27">
        <v>1900024177</v>
      </c>
      <c r="Y440" s="27">
        <v>1900029160</v>
      </c>
      <c r="Z440" s="27">
        <v>1900031369</v>
      </c>
      <c r="AA440" s="27">
        <v>1900033169</v>
      </c>
      <c r="AE440" s="27" t="s">
        <v>181</v>
      </c>
      <c r="AF440" s="27" t="s">
        <v>532</v>
      </c>
      <c r="AG440" s="27" t="s">
        <v>677</v>
      </c>
      <c r="AH440" s="27" t="s">
        <v>937</v>
      </c>
      <c r="AI440" s="27" t="s">
        <v>872</v>
      </c>
      <c r="AJ440" s="27" t="s">
        <v>924</v>
      </c>
      <c r="AK440" s="27" t="s">
        <v>533</v>
      </c>
      <c r="AL440" s="27" t="s">
        <v>185</v>
      </c>
      <c r="AM440" s="27" t="s">
        <v>1112</v>
      </c>
      <c r="AQ440" s="60" t="s">
        <v>186</v>
      </c>
      <c r="AR440" s="61" t="s">
        <v>186</v>
      </c>
      <c r="AS440" s="61" t="s">
        <v>187</v>
      </c>
      <c r="AT440" s="61" t="s">
        <v>186</v>
      </c>
      <c r="AU440" s="61" t="s">
        <v>187</v>
      </c>
      <c r="AV440" s="61" t="s">
        <v>186</v>
      </c>
      <c r="AW440" s="61" t="s">
        <v>186</v>
      </c>
      <c r="AX440" s="61" t="s">
        <v>187</v>
      </c>
      <c r="AY440" s="61" t="s">
        <v>186</v>
      </c>
      <c r="BC440" s="28">
        <v>88224161537</v>
      </c>
      <c r="BD440" s="28">
        <v>82278735613</v>
      </c>
      <c r="BE440" s="28">
        <v>82246995490</v>
      </c>
      <c r="BF440" s="28">
        <v>82177196021</v>
      </c>
      <c r="BG440" s="28">
        <v>8995597775</v>
      </c>
      <c r="BH440" s="28">
        <v>81271791588</v>
      </c>
      <c r="BI440" s="28">
        <v>87877222309</v>
      </c>
      <c r="BJ440" s="28">
        <v>895803217409</v>
      </c>
      <c r="BK440" s="28">
        <v>82334092066</v>
      </c>
      <c r="BO440" s="39">
        <v>60211281</v>
      </c>
      <c r="BP440" s="18" t="s">
        <v>6104</v>
      </c>
      <c r="BQ440" s="37">
        <v>44956</v>
      </c>
      <c r="BR440" s="8">
        <f t="shared" si="1"/>
        <v>9</v>
      </c>
    </row>
    <row r="441" spans="1:71" ht="15.5">
      <c r="A441" s="4" t="str">
        <v>Reguler Periode ke-101 XXVIII.D.2</v>
      </c>
      <c r="B441" s="4" t="s">
        <v>2073</v>
      </c>
      <c r="C441" s="38" t="s">
        <v>6105</v>
      </c>
      <c r="D441" s="4" t="s">
        <v>6093</v>
      </c>
      <c r="E441" s="4" t="s">
        <v>6106</v>
      </c>
      <c r="F441" s="4" t="s">
        <v>4928</v>
      </c>
      <c r="G441" s="27" t="s">
        <v>6107</v>
      </c>
      <c r="H441" s="27" t="s">
        <v>6108</v>
      </c>
      <c r="I441" s="27" t="s">
        <v>6109</v>
      </c>
      <c r="J441" s="27" t="s">
        <v>6110</v>
      </c>
      <c r="K441" s="27" t="s">
        <v>6111</v>
      </c>
      <c r="L441" s="27" t="s">
        <v>6112</v>
      </c>
      <c r="M441" s="27" t="s">
        <v>6113</v>
      </c>
      <c r="N441" s="27" t="s">
        <v>6114</v>
      </c>
      <c r="S441" s="27">
        <v>1800016051</v>
      </c>
      <c r="T441" s="27">
        <v>1900005081</v>
      </c>
      <c r="U441" s="27">
        <v>1900011090</v>
      </c>
      <c r="V441" s="27">
        <v>1900015025</v>
      </c>
      <c r="W441" s="27">
        <v>1900023209</v>
      </c>
      <c r="X441" s="27">
        <v>1900024074</v>
      </c>
      <c r="Y441" s="27">
        <v>1900030382</v>
      </c>
      <c r="Z441" s="27">
        <v>1900032173</v>
      </c>
      <c r="AE441" s="64" t="s">
        <v>531</v>
      </c>
      <c r="AF441" s="64" t="s">
        <v>181</v>
      </c>
      <c r="AG441" s="64" t="s">
        <v>182</v>
      </c>
      <c r="AH441" s="64" t="s">
        <v>937</v>
      </c>
      <c r="AI441" s="64" t="s">
        <v>899</v>
      </c>
      <c r="AJ441" s="64" t="s">
        <v>924</v>
      </c>
      <c r="AK441" s="64" t="s">
        <v>184</v>
      </c>
      <c r="AL441" s="64" t="s">
        <v>732</v>
      </c>
      <c r="AQ441" s="60" t="s">
        <v>186</v>
      </c>
      <c r="AR441" s="61" t="s">
        <v>186</v>
      </c>
      <c r="AS441" s="61" t="s">
        <v>186</v>
      </c>
      <c r="AT441" s="61" t="s">
        <v>187</v>
      </c>
      <c r="AU441" s="61" t="s">
        <v>187</v>
      </c>
      <c r="AV441" s="61" t="s">
        <v>186</v>
      </c>
      <c r="AW441" s="61" t="s">
        <v>186</v>
      </c>
      <c r="AX441" s="61" t="s">
        <v>187</v>
      </c>
      <c r="BC441" s="28">
        <v>85640849142</v>
      </c>
      <c r="BD441" s="28">
        <v>82358498185</v>
      </c>
      <c r="BE441" s="28">
        <v>81929444157</v>
      </c>
      <c r="BF441" s="28">
        <v>81272924589</v>
      </c>
      <c r="BG441" s="28">
        <v>81378936438</v>
      </c>
      <c r="BH441" s="28">
        <v>81294357517</v>
      </c>
      <c r="BI441" s="28">
        <v>85870989268</v>
      </c>
      <c r="BJ441" s="28">
        <v>81213229688</v>
      </c>
      <c r="BO441" s="39">
        <v>60211281</v>
      </c>
      <c r="BP441" s="65" t="s">
        <v>6115</v>
      </c>
      <c r="BQ441" s="37">
        <v>44956</v>
      </c>
      <c r="BR441" s="8">
        <f t="shared" si="1"/>
        <v>8</v>
      </c>
    </row>
    <row r="442" spans="1:71" ht="14.5">
      <c r="A442" s="4" t="str">
        <v>Reguler Periode ke-102 I.A.1</v>
      </c>
      <c r="B442" s="4" t="s">
        <v>6116</v>
      </c>
      <c r="C442" s="4" t="s">
        <v>165</v>
      </c>
      <c r="D442" s="66" t="s">
        <v>6117</v>
      </c>
      <c r="E442" s="66" t="s">
        <v>6118</v>
      </c>
      <c r="F442" s="4" t="s">
        <v>4928</v>
      </c>
      <c r="G442" s="27" t="s">
        <v>6119</v>
      </c>
      <c r="H442" s="27" t="s">
        <v>6120</v>
      </c>
      <c r="I442" s="27" t="s">
        <v>6121</v>
      </c>
      <c r="J442" s="27" t="s">
        <v>6122</v>
      </c>
      <c r="K442" s="27" t="s">
        <v>6123</v>
      </c>
      <c r="L442" s="27" t="s">
        <v>6124</v>
      </c>
      <c r="M442" s="27" t="s">
        <v>6125</v>
      </c>
      <c r="N442" s="27" t="s">
        <v>6126</v>
      </c>
      <c r="O442" s="27" t="s">
        <v>6127</v>
      </c>
      <c r="S442" s="27">
        <v>1600023055</v>
      </c>
      <c r="T442" s="27">
        <v>1800012337</v>
      </c>
      <c r="U442" s="27">
        <v>1800029017</v>
      </c>
      <c r="V442" s="27">
        <v>1800030380</v>
      </c>
      <c r="W442" s="27">
        <v>1900001233</v>
      </c>
      <c r="X442" s="27">
        <v>1900011116</v>
      </c>
      <c r="Y442" s="27">
        <v>1900022065</v>
      </c>
      <c r="Z442" s="27">
        <v>1900033122</v>
      </c>
      <c r="AA442" s="27">
        <v>1911035008</v>
      </c>
      <c r="AE442" s="27" t="s">
        <v>899</v>
      </c>
      <c r="AF442" s="27" t="s">
        <v>885</v>
      </c>
      <c r="AG442" s="27" t="s">
        <v>533</v>
      </c>
      <c r="AH442" s="27" t="s">
        <v>184</v>
      </c>
      <c r="AI442" s="27" t="s">
        <v>180</v>
      </c>
      <c r="AJ442" s="27" t="s">
        <v>182</v>
      </c>
      <c r="AK442" s="27" t="s">
        <v>872</v>
      </c>
      <c r="AL442" s="27" t="s">
        <v>1112</v>
      </c>
      <c r="AM442" s="27" t="s">
        <v>2071</v>
      </c>
      <c r="AQ442" s="28" t="s">
        <v>186</v>
      </c>
      <c r="AR442" s="28" t="s">
        <v>187</v>
      </c>
      <c r="AS442" s="28" t="s">
        <v>186</v>
      </c>
      <c r="AT442" s="28" t="s">
        <v>187</v>
      </c>
      <c r="AU442" s="28" t="s">
        <v>187</v>
      </c>
      <c r="AV442" s="28" t="s">
        <v>186</v>
      </c>
      <c r="AW442" s="28" t="s">
        <v>187</v>
      </c>
      <c r="AX442" s="28" t="s">
        <v>186</v>
      </c>
      <c r="AY442" s="28" t="s">
        <v>187</v>
      </c>
      <c r="BC442" s="28">
        <v>81245461315</v>
      </c>
      <c r="BD442" s="28">
        <v>82147446453</v>
      </c>
      <c r="BE442" s="28">
        <v>81549615053</v>
      </c>
      <c r="BF442" s="28">
        <v>82186603377</v>
      </c>
      <c r="BG442" s="28">
        <v>87700043738</v>
      </c>
      <c r="BH442" s="28">
        <v>85380043922</v>
      </c>
      <c r="BI442" s="28">
        <v>85860055425</v>
      </c>
      <c r="BJ442" s="28">
        <v>81903875868</v>
      </c>
      <c r="BK442" s="28">
        <v>85385025161</v>
      </c>
      <c r="BO442" s="39">
        <v>60160962</v>
      </c>
      <c r="BP442" s="18" t="s">
        <v>6128</v>
      </c>
      <c r="BQ442" s="37">
        <v>44958</v>
      </c>
      <c r="BR442" s="8">
        <f t="shared" si="1"/>
        <v>9</v>
      </c>
    </row>
    <row r="443" spans="1:71" ht="14.5">
      <c r="A443" s="4" t="str">
        <v>Reguler Periode ke-102 I.A.2</v>
      </c>
      <c r="B443" s="4" t="s">
        <v>6116</v>
      </c>
      <c r="C443" s="4" t="s">
        <v>216</v>
      </c>
      <c r="D443" s="67" t="s">
        <v>6117</v>
      </c>
      <c r="E443" s="67" t="s">
        <v>6129</v>
      </c>
      <c r="F443" s="4" t="s">
        <v>4928</v>
      </c>
      <c r="G443" s="27" t="s">
        <v>6130</v>
      </c>
      <c r="H443" s="27" t="s">
        <v>6131</v>
      </c>
      <c r="I443" s="27" t="s">
        <v>6132</v>
      </c>
      <c r="J443" s="27" t="s">
        <v>6133</v>
      </c>
      <c r="K443" s="27" t="s">
        <v>6134</v>
      </c>
      <c r="L443" s="27" t="s">
        <v>6135</v>
      </c>
      <c r="M443" s="27" t="s">
        <v>6136</v>
      </c>
      <c r="N443" s="27" t="s">
        <v>6137</v>
      </c>
      <c r="O443" s="27" t="s">
        <v>6138</v>
      </c>
      <c r="S443" s="27">
        <v>1600018032</v>
      </c>
      <c r="T443" s="27">
        <v>1700022021</v>
      </c>
      <c r="U443" s="27">
        <v>1800029098</v>
      </c>
      <c r="V443" s="27">
        <v>1900003087</v>
      </c>
      <c r="W443" s="27">
        <v>1900017109</v>
      </c>
      <c r="X443" s="27">
        <v>1900024146</v>
      </c>
      <c r="Y443" s="27">
        <v>1900030335</v>
      </c>
      <c r="Z443" s="27">
        <v>1900033185</v>
      </c>
      <c r="AA443" s="27">
        <v>1900035004</v>
      </c>
      <c r="AE443" s="27" t="s">
        <v>179</v>
      </c>
      <c r="AF443" s="27" t="s">
        <v>872</v>
      </c>
      <c r="AG443" s="27" t="s">
        <v>533</v>
      </c>
      <c r="AH443" s="27" t="s">
        <v>178</v>
      </c>
      <c r="AI443" s="27" t="s">
        <v>183</v>
      </c>
      <c r="AJ443" s="27" t="s">
        <v>924</v>
      </c>
      <c r="AK443" s="27" t="s">
        <v>184</v>
      </c>
      <c r="AL443" s="27" t="s">
        <v>1112</v>
      </c>
      <c r="AM443" s="27" t="s">
        <v>2071</v>
      </c>
      <c r="AQ443" s="28" t="s">
        <v>187</v>
      </c>
      <c r="AR443" s="28" t="s">
        <v>187</v>
      </c>
      <c r="AS443" s="28" t="s">
        <v>186</v>
      </c>
      <c r="AT443" s="28" t="s">
        <v>187</v>
      </c>
      <c r="AU443" s="28" t="s">
        <v>186</v>
      </c>
      <c r="AV443" s="28" t="s">
        <v>186</v>
      </c>
      <c r="AW443" s="28" t="s">
        <v>187</v>
      </c>
      <c r="AX443" s="28" t="s">
        <v>186</v>
      </c>
      <c r="AY443" s="28" t="s">
        <v>187</v>
      </c>
      <c r="BC443" s="28">
        <v>85747709317</v>
      </c>
      <c r="BD443" s="28">
        <v>82341430641</v>
      </c>
      <c r="BE443" s="28">
        <v>81268533147</v>
      </c>
      <c r="BF443" s="28">
        <v>85694636092</v>
      </c>
      <c r="BG443" s="28">
        <v>83186398793</v>
      </c>
      <c r="BH443" s="28">
        <v>81391031268</v>
      </c>
      <c r="BI443" s="28">
        <v>82287804212</v>
      </c>
      <c r="BJ443" s="28" t="s">
        <v>6139</v>
      </c>
      <c r="BK443" s="28">
        <v>82176588932</v>
      </c>
      <c r="BO443" s="39">
        <v>60160962</v>
      </c>
      <c r="BP443" s="18" t="s">
        <v>6140</v>
      </c>
      <c r="BQ443" s="37">
        <v>44958</v>
      </c>
      <c r="BR443" s="8">
        <f t="shared" si="1"/>
        <v>9</v>
      </c>
    </row>
    <row r="444" spans="1:71" ht="14.5">
      <c r="A444" s="4" t="str">
        <v>Reguler Periode ke-102 I.A.3</v>
      </c>
      <c r="B444" s="4" t="s">
        <v>6116</v>
      </c>
      <c r="C444" s="4" t="s">
        <v>238</v>
      </c>
      <c r="D444" s="67" t="s">
        <v>6117</v>
      </c>
      <c r="E444" s="67" t="s">
        <v>6141</v>
      </c>
      <c r="F444" s="4" t="s">
        <v>4928</v>
      </c>
      <c r="G444" s="27" t="s">
        <v>6142</v>
      </c>
      <c r="H444" s="27" t="s">
        <v>6143</v>
      </c>
      <c r="I444" s="27" t="s">
        <v>6144</v>
      </c>
      <c r="J444" s="27" t="s">
        <v>6145</v>
      </c>
      <c r="K444" s="27" t="s">
        <v>6146</v>
      </c>
      <c r="L444" s="27" t="s">
        <v>6147</v>
      </c>
      <c r="M444" s="27" t="s">
        <v>6148</v>
      </c>
      <c r="N444" s="27" t="s">
        <v>6149</v>
      </c>
      <c r="O444" s="27" t="s">
        <v>6150</v>
      </c>
      <c r="S444" s="27">
        <v>1800018317</v>
      </c>
      <c r="T444" s="27">
        <v>1800030453</v>
      </c>
      <c r="U444" s="27">
        <v>1900003050</v>
      </c>
      <c r="V444" s="27">
        <v>1900017092</v>
      </c>
      <c r="W444" s="27">
        <v>1900025059</v>
      </c>
      <c r="X444" s="27">
        <v>1900026084</v>
      </c>
      <c r="Y444" s="27">
        <v>1900029060</v>
      </c>
      <c r="Z444" s="27">
        <v>1900033146</v>
      </c>
      <c r="AA444" s="27">
        <v>1900070036</v>
      </c>
      <c r="AE444" s="27" t="s">
        <v>179</v>
      </c>
      <c r="AF444" s="27" t="s">
        <v>184</v>
      </c>
      <c r="AG444" s="27" t="s">
        <v>178</v>
      </c>
      <c r="AH444" s="27" t="s">
        <v>183</v>
      </c>
      <c r="AI444" s="27" t="s">
        <v>1168</v>
      </c>
      <c r="AJ444" s="27" t="s">
        <v>570</v>
      </c>
      <c r="AK444" s="27" t="s">
        <v>533</v>
      </c>
      <c r="AL444" s="27" t="s">
        <v>1112</v>
      </c>
      <c r="AM444" s="27" t="s">
        <v>2473</v>
      </c>
      <c r="AQ444" s="28" t="s">
        <v>187</v>
      </c>
      <c r="AR444" s="28" t="s">
        <v>187</v>
      </c>
      <c r="AS444" s="28" t="s">
        <v>187</v>
      </c>
      <c r="AT444" s="28" t="s">
        <v>186</v>
      </c>
      <c r="AU444" s="28" t="s">
        <v>187</v>
      </c>
      <c r="AV444" s="28" t="s">
        <v>186</v>
      </c>
      <c r="AW444" s="28" t="s">
        <v>186</v>
      </c>
      <c r="AX444" s="28" t="s">
        <v>186</v>
      </c>
      <c r="AY444" s="28" t="s">
        <v>187</v>
      </c>
      <c r="BC444" s="28">
        <v>85227923257</v>
      </c>
      <c r="BD444" s="28">
        <v>82175331138</v>
      </c>
      <c r="BE444" s="28">
        <v>87739200682</v>
      </c>
      <c r="BF444" s="28">
        <v>85716392773</v>
      </c>
      <c r="BG444" s="28">
        <v>88902826195</v>
      </c>
      <c r="BH444" s="28">
        <v>81215084030</v>
      </c>
      <c r="BI444" s="28">
        <v>82331740611</v>
      </c>
      <c r="BJ444" s="28">
        <v>87767090008</v>
      </c>
      <c r="BK444" s="28">
        <v>89682383510</v>
      </c>
      <c r="BO444" s="39">
        <v>60160962</v>
      </c>
      <c r="BP444" s="18" t="s">
        <v>6151</v>
      </c>
      <c r="BQ444" s="37">
        <v>44958</v>
      </c>
      <c r="BR444" s="8">
        <f t="shared" si="1"/>
        <v>9</v>
      </c>
      <c r="BS444" s="4"/>
    </row>
    <row r="445" spans="1:71" ht="14.5">
      <c r="A445" s="4" t="str">
        <v>Reguler Periode ke-102 I.B.1</v>
      </c>
      <c r="B445" s="4" t="s">
        <v>6116</v>
      </c>
      <c r="C445" s="4" t="s">
        <v>260</v>
      </c>
      <c r="D445" s="67" t="s">
        <v>6152</v>
      </c>
      <c r="E445" s="67" t="s">
        <v>6153</v>
      </c>
      <c r="F445" s="4" t="s">
        <v>4928</v>
      </c>
      <c r="G445" s="27" t="s">
        <v>6154</v>
      </c>
      <c r="H445" s="27" t="s">
        <v>6155</v>
      </c>
      <c r="I445" s="27" t="s">
        <v>6156</v>
      </c>
      <c r="J445" s="27" t="s">
        <v>6157</v>
      </c>
      <c r="K445" s="27" t="s">
        <v>6158</v>
      </c>
      <c r="L445" s="27" t="s">
        <v>6159</v>
      </c>
      <c r="M445" s="27" t="s">
        <v>6160</v>
      </c>
      <c r="N445" s="27" t="s">
        <v>6161</v>
      </c>
      <c r="O445" s="27" t="s">
        <v>6162</v>
      </c>
      <c r="S445" s="27">
        <v>1800030429</v>
      </c>
      <c r="T445" s="27">
        <v>1900004176</v>
      </c>
      <c r="U445" s="27">
        <v>1900017116</v>
      </c>
      <c r="V445" s="27">
        <v>1900018348</v>
      </c>
      <c r="W445" s="27">
        <v>1900028042</v>
      </c>
      <c r="X445" s="27">
        <v>1900029189</v>
      </c>
      <c r="Y445" s="27">
        <v>1900031152</v>
      </c>
      <c r="Z445" s="27">
        <v>1900033092</v>
      </c>
      <c r="AA445" s="27">
        <v>1900070028</v>
      </c>
      <c r="AE445" s="27" t="s">
        <v>184</v>
      </c>
      <c r="AF445" s="27" t="s">
        <v>201</v>
      </c>
      <c r="AG445" s="27" t="s">
        <v>183</v>
      </c>
      <c r="AH445" s="27" t="s">
        <v>179</v>
      </c>
      <c r="AI445" s="27" t="s">
        <v>678</v>
      </c>
      <c r="AJ445" s="27" t="s">
        <v>533</v>
      </c>
      <c r="AK445" s="27" t="s">
        <v>185</v>
      </c>
      <c r="AL445" s="27" t="s">
        <v>1112</v>
      </c>
      <c r="AM445" s="27" t="s">
        <v>2473</v>
      </c>
      <c r="AQ445" s="28" t="s">
        <v>186</v>
      </c>
      <c r="AR445" s="28" t="s">
        <v>187</v>
      </c>
      <c r="AS445" s="28" t="s">
        <v>186</v>
      </c>
      <c r="AT445" s="28" t="s">
        <v>187</v>
      </c>
      <c r="AU445" s="28" t="s">
        <v>187</v>
      </c>
      <c r="AV445" s="28" t="s">
        <v>186</v>
      </c>
      <c r="AW445" s="28" t="s">
        <v>187</v>
      </c>
      <c r="AX445" s="28" t="s">
        <v>186</v>
      </c>
      <c r="AY445" s="28" t="s">
        <v>187</v>
      </c>
      <c r="BC445" s="28">
        <v>82359350512</v>
      </c>
      <c r="BD445" s="28">
        <v>85728054609</v>
      </c>
      <c r="BE445" s="28">
        <v>87784221865</v>
      </c>
      <c r="BF445" s="28">
        <v>82140594264</v>
      </c>
      <c r="BG445" s="28">
        <v>82134687995</v>
      </c>
      <c r="BH445" s="28">
        <v>895392922959</v>
      </c>
      <c r="BI445" s="28">
        <v>85810424432</v>
      </c>
      <c r="BJ445" s="28">
        <v>89699986740</v>
      </c>
      <c r="BK445" s="28">
        <v>87877192725</v>
      </c>
      <c r="BO445" s="39">
        <v>60090574</v>
      </c>
      <c r="BP445" s="18" t="s">
        <v>6163</v>
      </c>
      <c r="BQ445" s="37">
        <v>44958</v>
      </c>
      <c r="BR445" s="8">
        <f t="shared" si="1"/>
        <v>9</v>
      </c>
    </row>
    <row r="446" spans="1:71" ht="14.5">
      <c r="A446" s="4" t="str">
        <v>Reguler Periode ke-102 I.B.2</v>
      </c>
      <c r="B446" s="4" t="s">
        <v>6116</v>
      </c>
      <c r="C446" s="4" t="s">
        <v>280</v>
      </c>
      <c r="D446" s="67" t="s">
        <v>6152</v>
      </c>
      <c r="E446" s="67" t="s">
        <v>6164</v>
      </c>
      <c r="F446" s="4" t="s">
        <v>4928</v>
      </c>
      <c r="G446" s="27" t="s">
        <v>6165</v>
      </c>
      <c r="H446" s="27" t="s">
        <v>6166</v>
      </c>
      <c r="I446" s="27" t="s">
        <v>6167</v>
      </c>
      <c r="J446" s="27" t="s">
        <v>6168</v>
      </c>
      <c r="K446" s="27" t="s">
        <v>6169</v>
      </c>
      <c r="L446" s="27" t="s">
        <v>6170</v>
      </c>
      <c r="M446" s="27" t="s">
        <v>6171</v>
      </c>
      <c r="N446" s="27" t="s">
        <v>6172</v>
      </c>
      <c r="O446" s="27" t="s">
        <v>6173</v>
      </c>
      <c r="S446" s="27">
        <v>1800018339</v>
      </c>
      <c r="T446" s="27">
        <v>1800032136</v>
      </c>
      <c r="U446" s="27">
        <v>1900001096</v>
      </c>
      <c r="V446" s="27">
        <v>1900005135</v>
      </c>
      <c r="W446" s="27">
        <v>1900017101</v>
      </c>
      <c r="X446" s="27">
        <v>1900028048</v>
      </c>
      <c r="Y446" s="27">
        <v>1900029306</v>
      </c>
      <c r="Z446" s="27">
        <v>1900030180</v>
      </c>
      <c r="AA446" s="27">
        <v>1900033181</v>
      </c>
      <c r="AE446" s="27" t="s">
        <v>179</v>
      </c>
      <c r="AF446" s="27" t="s">
        <v>732</v>
      </c>
      <c r="AG446" s="27" t="s">
        <v>180</v>
      </c>
      <c r="AH446" s="27" t="s">
        <v>181</v>
      </c>
      <c r="AI446" s="27" t="s">
        <v>183</v>
      </c>
      <c r="AJ446" s="27" t="s">
        <v>678</v>
      </c>
      <c r="AK446" s="27" t="s">
        <v>533</v>
      </c>
      <c r="AL446" s="27" t="s">
        <v>184</v>
      </c>
      <c r="AM446" s="27" t="s">
        <v>1112</v>
      </c>
      <c r="AQ446" s="28" t="s">
        <v>187</v>
      </c>
      <c r="AR446" s="28" t="s">
        <v>187</v>
      </c>
      <c r="AS446" s="28" t="s">
        <v>186</v>
      </c>
      <c r="AT446" s="28" t="s">
        <v>187</v>
      </c>
      <c r="AU446" s="28" t="s">
        <v>186</v>
      </c>
      <c r="AV446" s="28" t="s">
        <v>187</v>
      </c>
      <c r="AW446" s="28" t="s">
        <v>186</v>
      </c>
      <c r="AX446" s="28" t="s">
        <v>186</v>
      </c>
      <c r="AY446" s="28" t="s">
        <v>186</v>
      </c>
      <c r="BC446" s="28">
        <v>81290189004</v>
      </c>
      <c r="BD446" s="28">
        <v>85731009239</v>
      </c>
      <c r="BE446" s="28">
        <v>81268526821</v>
      </c>
      <c r="BF446" s="28">
        <v>82334911012</v>
      </c>
      <c r="BG446" s="28">
        <v>87706091343</v>
      </c>
      <c r="BH446" s="28">
        <v>81390306411</v>
      </c>
      <c r="BI446" s="28">
        <v>88224297921</v>
      </c>
      <c r="BJ446" s="28">
        <v>88233339869</v>
      </c>
      <c r="BK446" s="28">
        <v>82117298185</v>
      </c>
      <c r="BO446" s="39">
        <v>60090574</v>
      </c>
      <c r="BP446" s="18" t="s">
        <v>6174</v>
      </c>
      <c r="BQ446" s="37">
        <v>44958</v>
      </c>
      <c r="BR446" s="8">
        <f t="shared" si="1"/>
        <v>9</v>
      </c>
    </row>
    <row r="447" spans="1:71" ht="14.5">
      <c r="A447" s="4" t="str">
        <v>Reguler Periode ke-102 I.B.3</v>
      </c>
      <c r="B447" s="4" t="s">
        <v>6116</v>
      </c>
      <c r="C447" s="4" t="s">
        <v>299</v>
      </c>
      <c r="D447" s="67" t="s">
        <v>6152</v>
      </c>
      <c r="E447" s="67" t="s">
        <v>6175</v>
      </c>
      <c r="F447" s="4" t="s">
        <v>4928</v>
      </c>
      <c r="G447" s="27" t="s">
        <v>6176</v>
      </c>
      <c r="H447" s="27" t="s">
        <v>6177</v>
      </c>
      <c r="I447" s="27" t="s">
        <v>6178</v>
      </c>
      <c r="J447" s="27" t="s">
        <v>6179</v>
      </c>
      <c r="K447" s="27" t="s">
        <v>6180</v>
      </c>
      <c r="L447" s="27" t="s">
        <v>6181</v>
      </c>
      <c r="M447" s="27" t="s">
        <v>6182</v>
      </c>
      <c r="N447" s="27" t="s">
        <v>6183</v>
      </c>
      <c r="O447" s="27" t="s">
        <v>6184</v>
      </c>
      <c r="S447" s="27">
        <v>1700030270</v>
      </c>
      <c r="T447" s="27">
        <v>1800032128</v>
      </c>
      <c r="U447" s="27">
        <v>1900004135</v>
      </c>
      <c r="V447" s="27">
        <v>1900019051</v>
      </c>
      <c r="W447" s="27">
        <v>1900019136</v>
      </c>
      <c r="X447" s="27">
        <v>1900028088</v>
      </c>
      <c r="Y447" s="27">
        <v>1900029007</v>
      </c>
      <c r="Z447" s="27">
        <v>1900033072</v>
      </c>
      <c r="AA447" s="27">
        <v>1911006057</v>
      </c>
      <c r="AE447" s="27" t="s">
        <v>184</v>
      </c>
      <c r="AF447" s="27" t="s">
        <v>732</v>
      </c>
      <c r="AG447" s="27" t="s">
        <v>201</v>
      </c>
      <c r="AH447" s="27" t="s">
        <v>705</v>
      </c>
      <c r="AI447" s="27" t="s">
        <v>705</v>
      </c>
      <c r="AJ447" s="27" t="s">
        <v>678</v>
      </c>
      <c r="AK447" s="27" t="s">
        <v>533</v>
      </c>
      <c r="AL447" s="27" t="s">
        <v>1112</v>
      </c>
      <c r="AM447" s="27" t="s">
        <v>745</v>
      </c>
      <c r="AQ447" s="28" t="s">
        <v>186</v>
      </c>
      <c r="AR447" s="28" t="s">
        <v>187</v>
      </c>
      <c r="AS447" s="28" t="s">
        <v>186</v>
      </c>
      <c r="AT447" s="28" t="s">
        <v>186</v>
      </c>
      <c r="AU447" s="28" t="s">
        <v>187</v>
      </c>
      <c r="AV447" s="28" t="s">
        <v>187</v>
      </c>
      <c r="AW447" s="28" t="s">
        <v>186</v>
      </c>
      <c r="AX447" s="28" t="s">
        <v>186</v>
      </c>
      <c r="AY447" s="28" t="s">
        <v>187</v>
      </c>
      <c r="BC447" s="28">
        <v>81999103433</v>
      </c>
      <c r="BD447" s="28">
        <v>895412435326</v>
      </c>
      <c r="BE447" s="28">
        <v>87780646272</v>
      </c>
      <c r="BF447" s="28">
        <v>81910625498</v>
      </c>
      <c r="BG447" s="28">
        <v>81779241167</v>
      </c>
      <c r="BH447" s="28">
        <v>81368082209</v>
      </c>
      <c r="BI447" s="28">
        <v>85244451259</v>
      </c>
      <c r="BJ447" s="28">
        <v>85225053199</v>
      </c>
      <c r="BK447" s="28">
        <v>87897161489</v>
      </c>
      <c r="BO447" s="39">
        <v>60090574</v>
      </c>
      <c r="BP447" s="18" t="s">
        <v>6185</v>
      </c>
      <c r="BQ447" s="37">
        <v>44958</v>
      </c>
      <c r="BR447" s="8">
        <f t="shared" si="1"/>
        <v>9</v>
      </c>
    </row>
    <row r="448" spans="1:71" ht="14.5">
      <c r="A448" s="4" t="str">
        <v>Reguler Periode ke-102 I.C.1</v>
      </c>
      <c r="B448" s="4" t="s">
        <v>6116</v>
      </c>
      <c r="C448" s="4" t="s">
        <v>320</v>
      </c>
      <c r="D448" s="67" t="s">
        <v>6186</v>
      </c>
      <c r="E448" s="67" t="s">
        <v>6187</v>
      </c>
      <c r="F448" s="4" t="s">
        <v>4928</v>
      </c>
      <c r="G448" s="27" t="s">
        <v>6188</v>
      </c>
      <c r="H448" s="27" t="s">
        <v>6189</v>
      </c>
      <c r="I448" s="27" t="s">
        <v>6190</v>
      </c>
      <c r="J448" s="27" t="s">
        <v>6191</v>
      </c>
      <c r="K448" s="27" t="s">
        <v>6192</v>
      </c>
      <c r="L448" s="27" t="s">
        <v>6193</v>
      </c>
      <c r="M448" s="27" t="s">
        <v>6194</v>
      </c>
      <c r="N448" s="27" t="s">
        <v>6195</v>
      </c>
      <c r="S448" s="27">
        <v>1800011207</v>
      </c>
      <c r="T448" s="27">
        <v>1800019040</v>
      </c>
      <c r="U448" s="27">
        <v>1800019111</v>
      </c>
      <c r="V448" s="27">
        <v>1900029013</v>
      </c>
      <c r="W448" s="27">
        <v>1900029104</v>
      </c>
      <c r="X448" s="27">
        <v>1900032221</v>
      </c>
      <c r="Y448" s="27">
        <v>1900033042</v>
      </c>
      <c r="Z448" s="27">
        <v>1900033156</v>
      </c>
      <c r="AE448" s="27" t="s">
        <v>182</v>
      </c>
      <c r="AF448" s="27" t="s">
        <v>705</v>
      </c>
      <c r="AG448" s="27" t="s">
        <v>705</v>
      </c>
      <c r="AH448" s="27" t="s">
        <v>533</v>
      </c>
      <c r="AI448" s="27" t="s">
        <v>533</v>
      </c>
      <c r="AJ448" s="27" t="s">
        <v>732</v>
      </c>
      <c r="AK448" s="27" t="s">
        <v>1112</v>
      </c>
      <c r="AL448" s="27" t="s">
        <v>1112</v>
      </c>
      <c r="AQ448" s="28" t="s">
        <v>187</v>
      </c>
      <c r="AR448" s="28" t="s">
        <v>187</v>
      </c>
      <c r="AS448" s="28" t="s">
        <v>186</v>
      </c>
      <c r="AT448" s="28" t="s">
        <v>186</v>
      </c>
      <c r="AU448" s="28" t="s">
        <v>187</v>
      </c>
      <c r="AV448" s="28" t="s">
        <v>186</v>
      </c>
      <c r="AW448" s="28" t="s">
        <v>187</v>
      </c>
      <c r="AX448" s="28" t="s">
        <v>186</v>
      </c>
      <c r="BC448" s="28">
        <v>82188470863</v>
      </c>
      <c r="BD448" s="28">
        <v>85213116664</v>
      </c>
      <c r="BE448" s="28">
        <v>82175947137</v>
      </c>
      <c r="BF448" s="28">
        <v>81249871589</v>
      </c>
      <c r="BG448" s="28">
        <v>87704450993</v>
      </c>
      <c r="BH448" s="28">
        <v>881023281506</v>
      </c>
      <c r="BI448" s="28">
        <v>81214562165</v>
      </c>
      <c r="BJ448" s="28">
        <v>81377009612</v>
      </c>
      <c r="BO448" s="39">
        <v>60160964</v>
      </c>
      <c r="BP448" s="18" t="s">
        <v>6196</v>
      </c>
      <c r="BQ448" s="37">
        <v>44958</v>
      </c>
      <c r="BR448" s="8">
        <f t="shared" si="1"/>
        <v>8</v>
      </c>
    </row>
    <row r="449" spans="1:70" ht="14.5">
      <c r="A449" s="4" t="str">
        <v>Reguler Periode ke-102 I.C.2</v>
      </c>
      <c r="B449" s="4" t="s">
        <v>6116</v>
      </c>
      <c r="C449" s="4" t="s">
        <v>340</v>
      </c>
      <c r="D449" s="67" t="s">
        <v>6186</v>
      </c>
      <c r="E449" s="67" t="s">
        <v>6197</v>
      </c>
      <c r="F449" s="4" t="s">
        <v>4928</v>
      </c>
      <c r="G449" s="27" t="s">
        <v>6198</v>
      </c>
      <c r="H449" s="27" t="s">
        <v>6199</v>
      </c>
      <c r="I449" s="27" t="s">
        <v>6200</v>
      </c>
      <c r="J449" s="27" t="s">
        <v>6201</v>
      </c>
      <c r="K449" s="27" t="s">
        <v>6202</v>
      </c>
      <c r="L449" s="27" t="s">
        <v>6203</v>
      </c>
      <c r="M449" s="27" t="s">
        <v>6204</v>
      </c>
      <c r="N449" s="27" t="s">
        <v>6205</v>
      </c>
      <c r="O449" s="27" t="s">
        <v>6206</v>
      </c>
      <c r="S449" s="27">
        <v>1800033090</v>
      </c>
      <c r="T449" s="27">
        <v>1900010166</v>
      </c>
      <c r="U449" s="27">
        <v>1900011101</v>
      </c>
      <c r="V449" s="27">
        <v>1900019153</v>
      </c>
      <c r="W449" s="27">
        <v>1900023205</v>
      </c>
      <c r="X449" s="27">
        <v>1900029064</v>
      </c>
      <c r="Y449" s="27">
        <v>1900029237</v>
      </c>
      <c r="Z449" s="27">
        <v>1900033160</v>
      </c>
      <c r="AA449" s="27">
        <v>1900070031</v>
      </c>
      <c r="AD449" s="27"/>
      <c r="AE449" s="27" t="s">
        <v>1112</v>
      </c>
      <c r="AF449" s="27" t="s">
        <v>532</v>
      </c>
      <c r="AG449" s="27" t="s">
        <v>182</v>
      </c>
      <c r="AH449" s="27" t="s">
        <v>705</v>
      </c>
      <c r="AI449" s="27" t="s">
        <v>899</v>
      </c>
      <c r="AJ449" s="27" t="s">
        <v>533</v>
      </c>
      <c r="AK449" s="27" t="s">
        <v>533</v>
      </c>
      <c r="AL449" s="27" t="s">
        <v>1112</v>
      </c>
      <c r="AM449" s="27" t="s">
        <v>2473</v>
      </c>
      <c r="AQ449" s="28" t="s">
        <v>187</v>
      </c>
      <c r="AR449" s="28" t="s">
        <v>186</v>
      </c>
      <c r="AS449" s="28" t="s">
        <v>187</v>
      </c>
      <c r="AT449" s="28" t="s">
        <v>187</v>
      </c>
      <c r="AU449" s="28" t="s">
        <v>186</v>
      </c>
      <c r="AV449" s="28" t="s">
        <v>187</v>
      </c>
      <c r="AW449" s="28" t="s">
        <v>186</v>
      </c>
      <c r="AX449" s="28" t="s">
        <v>186</v>
      </c>
      <c r="AY449" s="28" t="s">
        <v>186</v>
      </c>
      <c r="BC449" s="28">
        <v>8998456983</v>
      </c>
      <c r="BD449" s="28">
        <v>87750717620</v>
      </c>
      <c r="BE449" s="28">
        <v>82258516960</v>
      </c>
      <c r="BF449" s="28">
        <v>81250513421</v>
      </c>
      <c r="BG449" s="28">
        <v>82153499492</v>
      </c>
      <c r="BH449" s="28">
        <v>85337775281</v>
      </c>
      <c r="BI449" s="28">
        <v>88703252619</v>
      </c>
      <c r="BJ449" s="28">
        <v>85624888761</v>
      </c>
      <c r="BK449" s="28">
        <v>83842198129</v>
      </c>
      <c r="BO449" s="39">
        <v>60160964</v>
      </c>
      <c r="BP449" s="18" t="s">
        <v>6207</v>
      </c>
      <c r="BQ449" s="37">
        <v>44958</v>
      </c>
      <c r="BR449" s="8">
        <f t="shared" si="1"/>
        <v>9</v>
      </c>
    </row>
    <row r="450" spans="1:70" ht="14.5">
      <c r="A450" s="4" t="str">
        <v>Reguler Periode ke-102 I.C.3</v>
      </c>
      <c r="B450" s="4" t="s">
        <v>6116</v>
      </c>
      <c r="C450" s="4" t="s">
        <v>360</v>
      </c>
      <c r="D450" s="67" t="s">
        <v>6186</v>
      </c>
      <c r="E450" s="67" t="s">
        <v>6208</v>
      </c>
      <c r="F450" s="4" t="s">
        <v>4928</v>
      </c>
      <c r="G450" s="27" t="s">
        <v>6209</v>
      </c>
      <c r="H450" s="27" t="s">
        <v>6210</v>
      </c>
      <c r="I450" s="27" t="s">
        <v>6211</v>
      </c>
      <c r="J450" s="27" t="s">
        <v>6212</v>
      </c>
      <c r="K450" s="27" t="s">
        <v>6213</v>
      </c>
      <c r="L450" s="27" t="s">
        <v>6214</v>
      </c>
      <c r="M450" s="27" t="s">
        <v>6215</v>
      </c>
      <c r="N450" s="27" t="s">
        <v>6216</v>
      </c>
      <c r="O450" s="27" t="s">
        <v>6217</v>
      </c>
      <c r="S450" s="27">
        <v>1800023104</v>
      </c>
      <c r="T450" s="27">
        <v>1900011081</v>
      </c>
      <c r="U450" s="27">
        <v>1900011160</v>
      </c>
      <c r="V450" s="27">
        <v>1900019177</v>
      </c>
      <c r="W450" s="27">
        <v>1900029268</v>
      </c>
      <c r="X450" s="27">
        <v>1900030100</v>
      </c>
      <c r="Y450" s="27">
        <v>1900033172</v>
      </c>
      <c r="Z450" s="27">
        <v>1900035010</v>
      </c>
      <c r="AA450" s="27">
        <v>1900070026</v>
      </c>
      <c r="AD450" s="27"/>
      <c r="AE450" s="27" t="s">
        <v>899</v>
      </c>
      <c r="AF450" s="27" t="s">
        <v>182</v>
      </c>
      <c r="AG450" s="27" t="s">
        <v>182</v>
      </c>
      <c r="AH450" s="27" t="s">
        <v>705</v>
      </c>
      <c r="AI450" s="27" t="s">
        <v>533</v>
      </c>
      <c r="AJ450" s="27" t="s">
        <v>184</v>
      </c>
      <c r="AK450" s="27" t="s">
        <v>1112</v>
      </c>
      <c r="AL450" s="27" t="s">
        <v>2071</v>
      </c>
      <c r="AM450" s="27" t="s">
        <v>2473</v>
      </c>
      <c r="AQ450" s="28" t="s">
        <v>186</v>
      </c>
      <c r="AR450" s="28" t="s">
        <v>186</v>
      </c>
      <c r="AS450" s="28" t="s">
        <v>187</v>
      </c>
      <c r="AT450" s="28" t="s">
        <v>187</v>
      </c>
      <c r="AU450" s="28" t="s">
        <v>186</v>
      </c>
      <c r="AV450" s="28" t="s">
        <v>187</v>
      </c>
      <c r="AW450" s="28" t="s">
        <v>186</v>
      </c>
      <c r="AX450" s="28" t="s">
        <v>187</v>
      </c>
      <c r="AY450" s="28" t="s">
        <v>186</v>
      </c>
      <c r="BC450" s="28">
        <v>85210235578</v>
      </c>
      <c r="BD450" s="28">
        <v>81391495408</v>
      </c>
      <c r="BE450" s="28">
        <v>85239009087</v>
      </c>
      <c r="BF450" s="28">
        <v>8985512187</v>
      </c>
      <c r="BG450" s="28">
        <v>81213312690</v>
      </c>
      <c r="BH450" s="28">
        <v>85216258191</v>
      </c>
      <c r="BI450" s="28">
        <v>85799143008</v>
      </c>
      <c r="BJ450" s="28">
        <v>83841530822</v>
      </c>
      <c r="BK450" s="28">
        <v>85643658402</v>
      </c>
      <c r="BO450" s="39">
        <v>60160964</v>
      </c>
      <c r="BP450" s="18" t="s">
        <v>6218</v>
      </c>
      <c r="BQ450" s="37">
        <v>44958</v>
      </c>
      <c r="BR450" s="8">
        <f t="shared" si="1"/>
        <v>9</v>
      </c>
    </row>
    <row r="451" spans="1:70" ht="15.5">
      <c r="A451" s="4" t="str">
        <v>Reguler Periode ke-103 I.A.1</v>
      </c>
      <c r="B451" s="4" t="s">
        <v>6219</v>
      </c>
      <c r="C451" s="36" t="s">
        <v>165</v>
      </c>
      <c r="D451" s="4" t="s">
        <v>6220</v>
      </c>
      <c r="E451" s="4" t="s">
        <v>6221</v>
      </c>
      <c r="F451" s="4" t="s">
        <v>4928</v>
      </c>
      <c r="G451" s="27" t="s">
        <v>6222</v>
      </c>
      <c r="H451" s="27" t="s">
        <v>6223</v>
      </c>
      <c r="I451" s="27" t="s">
        <v>6224</v>
      </c>
      <c r="J451" s="27" t="s">
        <v>6225</v>
      </c>
      <c r="K451" s="27" t="s">
        <v>6226</v>
      </c>
      <c r="L451" s="27" t="s">
        <v>6227</v>
      </c>
      <c r="M451" s="27" t="s">
        <v>6228</v>
      </c>
      <c r="N451" s="27" t="s">
        <v>6229</v>
      </c>
      <c r="O451" s="27" t="s">
        <v>6230</v>
      </c>
      <c r="S451" s="27">
        <v>1800001249</v>
      </c>
      <c r="T451" s="27">
        <v>1900001018</v>
      </c>
      <c r="U451" s="27">
        <v>1900008094</v>
      </c>
      <c r="V451" s="27">
        <v>1900013121</v>
      </c>
      <c r="W451" s="27">
        <v>1900023129</v>
      </c>
      <c r="X451" s="27">
        <v>1900023201</v>
      </c>
      <c r="Y451" s="27">
        <v>1900029128</v>
      </c>
      <c r="Z451" s="27">
        <v>1900033178</v>
      </c>
      <c r="AA451" s="27">
        <v>1900034031</v>
      </c>
      <c r="AB451" s="27"/>
      <c r="AC451" s="27"/>
      <c r="AD451" s="27"/>
      <c r="AE451" s="27" t="s">
        <v>180</v>
      </c>
      <c r="AF451" s="27" t="s">
        <v>180</v>
      </c>
      <c r="AG451" s="27" t="s">
        <v>1111</v>
      </c>
      <c r="AH451" s="27" t="s">
        <v>677</v>
      </c>
      <c r="AI451" s="27" t="s">
        <v>899</v>
      </c>
      <c r="AJ451" s="27" t="s">
        <v>899</v>
      </c>
      <c r="AK451" s="27" t="s">
        <v>533</v>
      </c>
      <c r="AL451" s="27" t="s">
        <v>1112</v>
      </c>
      <c r="AM451" s="27" t="s">
        <v>534</v>
      </c>
      <c r="AQ451" s="28" t="s">
        <v>187</v>
      </c>
      <c r="AR451" s="28" t="s">
        <v>186</v>
      </c>
      <c r="AS451" s="28" t="s">
        <v>186</v>
      </c>
      <c r="AT451" s="28" t="s">
        <v>186</v>
      </c>
      <c r="AU451" s="28" t="s">
        <v>187</v>
      </c>
      <c r="AV451" s="28" t="s">
        <v>186</v>
      </c>
      <c r="AW451" s="28" t="s">
        <v>187</v>
      </c>
      <c r="AX451" s="28" t="s">
        <v>186</v>
      </c>
      <c r="AY451" s="28" t="s">
        <v>186</v>
      </c>
      <c r="BC451" s="28">
        <v>89526403494</v>
      </c>
      <c r="BD451" s="28">
        <v>81221743501</v>
      </c>
      <c r="BE451" s="28">
        <v>89674607447</v>
      </c>
      <c r="BF451" s="28">
        <v>895411379040</v>
      </c>
      <c r="BG451" s="28">
        <v>82194667148</v>
      </c>
      <c r="BH451" s="28">
        <v>82136750638</v>
      </c>
      <c r="BI451" s="28">
        <v>81328704410</v>
      </c>
      <c r="BJ451" s="28">
        <v>81779587280</v>
      </c>
      <c r="BK451" s="28">
        <v>82349181707</v>
      </c>
      <c r="BO451" s="39">
        <v>60060538</v>
      </c>
      <c r="BP451" s="18" t="s">
        <v>6231</v>
      </c>
      <c r="BQ451" s="37">
        <v>44956</v>
      </c>
      <c r="BR451" s="8">
        <f t="shared" si="1"/>
        <v>9</v>
      </c>
    </row>
    <row r="452" spans="1:70" ht="15.5">
      <c r="A452" s="4" t="str">
        <v>Reguler Periode ke-103 I.A.2</v>
      </c>
      <c r="B452" s="4" t="s">
        <v>6219</v>
      </c>
      <c r="C452" s="38" t="s">
        <v>216</v>
      </c>
      <c r="D452" s="4" t="s">
        <v>6220</v>
      </c>
      <c r="E452" s="4" t="s">
        <v>6232</v>
      </c>
      <c r="F452" s="4" t="s">
        <v>4928</v>
      </c>
      <c r="G452" s="27" t="s">
        <v>6233</v>
      </c>
      <c r="H452" s="27" t="s">
        <v>6234</v>
      </c>
      <c r="I452" s="27" t="s">
        <v>6235</v>
      </c>
      <c r="J452" s="27" t="s">
        <v>6236</v>
      </c>
      <c r="K452" s="27" t="s">
        <v>6237</v>
      </c>
      <c r="L452" s="27" t="s">
        <v>6238</v>
      </c>
      <c r="M452" s="27" t="s">
        <v>6239</v>
      </c>
      <c r="N452" s="27" t="s">
        <v>6240</v>
      </c>
      <c r="O452" s="27" t="s">
        <v>6241</v>
      </c>
      <c r="S452" s="27">
        <v>1800001253</v>
      </c>
      <c r="T452" s="27">
        <v>1900001134</v>
      </c>
      <c r="U452" s="27">
        <v>1900008014</v>
      </c>
      <c r="V452" s="27">
        <v>1900017016</v>
      </c>
      <c r="W452" s="27">
        <v>1900029014</v>
      </c>
      <c r="X452" s="27">
        <v>1900031094</v>
      </c>
      <c r="Y452" s="27">
        <v>1900031318</v>
      </c>
      <c r="Z452" s="27">
        <v>1900033177</v>
      </c>
      <c r="AA452" s="27">
        <v>1900034034</v>
      </c>
      <c r="AB452" s="27"/>
      <c r="AC452" s="27"/>
      <c r="AD452" s="27"/>
      <c r="AE452" s="27" t="s">
        <v>180</v>
      </c>
      <c r="AF452" s="27" t="s">
        <v>180</v>
      </c>
      <c r="AG452" s="27" t="s">
        <v>1111</v>
      </c>
      <c r="AH452" s="27" t="s">
        <v>183</v>
      </c>
      <c r="AI452" s="27" t="s">
        <v>533</v>
      </c>
      <c r="AJ452" s="27" t="s">
        <v>185</v>
      </c>
      <c r="AK452" s="27" t="s">
        <v>185</v>
      </c>
      <c r="AL452" s="27" t="s">
        <v>1112</v>
      </c>
      <c r="AM452" s="27" t="s">
        <v>534</v>
      </c>
      <c r="AQ452" s="28" t="s">
        <v>187</v>
      </c>
      <c r="AR452" s="28" t="s">
        <v>186</v>
      </c>
      <c r="AS452" s="28" t="s">
        <v>186</v>
      </c>
      <c r="AT452" s="28" t="s">
        <v>186</v>
      </c>
      <c r="AU452" s="28" t="s">
        <v>187</v>
      </c>
      <c r="AV452" s="28" t="s">
        <v>187</v>
      </c>
      <c r="AW452" s="28" t="s">
        <v>186</v>
      </c>
      <c r="AX452" s="28" t="s">
        <v>186</v>
      </c>
      <c r="AY452" s="28" t="s">
        <v>186</v>
      </c>
      <c r="BC452" s="28">
        <v>82324467109</v>
      </c>
      <c r="BD452" s="28">
        <v>88232251924</v>
      </c>
      <c r="BE452" s="28">
        <v>82244470063</v>
      </c>
      <c r="BF452" s="28">
        <v>82175200603</v>
      </c>
      <c r="BG452" s="28">
        <v>81226636800</v>
      </c>
      <c r="BH452" s="28">
        <v>82137188422</v>
      </c>
      <c r="BI452" s="28">
        <v>81548549619</v>
      </c>
      <c r="BJ452" s="28">
        <v>82157888429</v>
      </c>
      <c r="BK452" s="28">
        <v>82230162005</v>
      </c>
      <c r="BO452" s="39">
        <v>60060538</v>
      </c>
      <c r="BP452" s="18" t="s">
        <v>6242</v>
      </c>
      <c r="BQ452" s="37">
        <v>44956</v>
      </c>
      <c r="BR452" s="8">
        <f t="shared" si="1"/>
        <v>9</v>
      </c>
    </row>
    <row r="453" spans="1:70" ht="15.5">
      <c r="A453" s="4" t="str">
        <v>Reguler Periode ke-103 I.A.3</v>
      </c>
      <c r="B453" s="4" t="s">
        <v>6219</v>
      </c>
      <c r="C453" s="38" t="s">
        <v>238</v>
      </c>
      <c r="D453" s="4" t="s">
        <v>6220</v>
      </c>
      <c r="E453" s="4" t="s">
        <v>6243</v>
      </c>
      <c r="F453" s="4" t="s">
        <v>4928</v>
      </c>
      <c r="G453" s="27" t="s">
        <v>6244</v>
      </c>
      <c r="H453" s="27" t="s">
        <v>6245</v>
      </c>
      <c r="I453" s="27" t="s">
        <v>6246</v>
      </c>
      <c r="J453" s="27" t="s">
        <v>6247</v>
      </c>
      <c r="K453" s="27" t="s">
        <v>6248</v>
      </c>
      <c r="L453" s="27" t="s">
        <v>6249</v>
      </c>
      <c r="M453" s="27" t="s">
        <v>6250</v>
      </c>
      <c r="N453" s="27" t="s">
        <v>6251</v>
      </c>
      <c r="O453" s="27" t="s">
        <v>6252</v>
      </c>
      <c r="S453" s="27">
        <v>1700001195</v>
      </c>
      <c r="T453" s="27">
        <v>1800017076</v>
      </c>
      <c r="U453" s="27">
        <v>1900001012</v>
      </c>
      <c r="V453" s="27">
        <v>1900008079</v>
      </c>
      <c r="W453" s="27">
        <v>1900029125</v>
      </c>
      <c r="X453" s="27">
        <v>1900031004</v>
      </c>
      <c r="Y453" s="27">
        <v>1900031248</v>
      </c>
      <c r="Z453" s="27">
        <v>1900033086</v>
      </c>
      <c r="AA453" s="27">
        <v>1900034040</v>
      </c>
      <c r="AB453" s="27"/>
      <c r="AC453" s="27"/>
      <c r="AD453" s="27"/>
      <c r="AE453" s="27" t="s">
        <v>180</v>
      </c>
      <c r="AF453" s="27" t="s">
        <v>183</v>
      </c>
      <c r="AG453" s="27" t="s">
        <v>180</v>
      </c>
      <c r="AH453" s="27" t="s">
        <v>1111</v>
      </c>
      <c r="AI453" s="27" t="s">
        <v>533</v>
      </c>
      <c r="AJ453" s="27" t="s">
        <v>185</v>
      </c>
      <c r="AK453" s="27" t="s">
        <v>185</v>
      </c>
      <c r="AL453" s="27" t="s">
        <v>1112</v>
      </c>
      <c r="AM453" s="27" t="s">
        <v>534</v>
      </c>
      <c r="AQ453" s="28" t="s">
        <v>187</v>
      </c>
      <c r="AR453" s="28" t="s">
        <v>186</v>
      </c>
      <c r="AS453" s="28" t="s">
        <v>186</v>
      </c>
      <c r="AT453" s="28" t="s">
        <v>186</v>
      </c>
      <c r="AU453" s="28" t="s">
        <v>187</v>
      </c>
      <c r="AV453" s="28" t="s">
        <v>187</v>
      </c>
      <c r="AW453" s="28" t="s">
        <v>186</v>
      </c>
      <c r="AX453" s="28" t="s">
        <v>186</v>
      </c>
      <c r="AY453" s="28" t="s">
        <v>186</v>
      </c>
      <c r="BC453" s="28">
        <v>81247522552</v>
      </c>
      <c r="BD453" s="28">
        <v>85293845434</v>
      </c>
      <c r="BE453" s="28">
        <v>81261540217</v>
      </c>
      <c r="BF453" s="28">
        <v>82288062499</v>
      </c>
      <c r="BG453" s="28">
        <v>81271125783</v>
      </c>
      <c r="BH453" s="28">
        <v>85806960609</v>
      </c>
      <c r="BI453" s="28">
        <v>88262776598</v>
      </c>
      <c r="BJ453" s="28">
        <v>85782459046</v>
      </c>
      <c r="BK453" s="28">
        <v>85732326491</v>
      </c>
      <c r="BO453" s="39">
        <v>60060538</v>
      </c>
      <c r="BP453" s="18" t="s">
        <v>6253</v>
      </c>
      <c r="BQ453" s="37">
        <v>44956</v>
      </c>
      <c r="BR453" s="8">
        <f t="shared" si="1"/>
        <v>9</v>
      </c>
    </row>
    <row r="454" spans="1:70" ht="15.5">
      <c r="A454" s="4" t="str">
        <v>Reguler Periode ke-103 I.B.1</v>
      </c>
      <c r="B454" s="4" t="s">
        <v>6219</v>
      </c>
      <c r="C454" s="38" t="s">
        <v>260</v>
      </c>
      <c r="D454" s="4" t="s">
        <v>6254</v>
      </c>
      <c r="E454" s="4" t="s">
        <v>6255</v>
      </c>
      <c r="F454" s="4" t="s">
        <v>4928</v>
      </c>
      <c r="G454" s="27" t="s">
        <v>6256</v>
      </c>
      <c r="H454" s="27" t="s">
        <v>6257</v>
      </c>
      <c r="I454" s="27" t="s">
        <v>6258</v>
      </c>
      <c r="J454" s="27" t="s">
        <v>6259</v>
      </c>
      <c r="K454" s="27" t="s">
        <v>6260</v>
      </c>
      <c r="L454" s="27" t="s">
        <v>6261</v>
      </c>
      <c r="M454" s="27" t="s">
        <v>6262</v>
      </c>
      <c r="N454" s="27" t="s">
        <v>6263</v>
      </c>
      <c r="O454" s="27" t="s">
        <v>6264</v>
      </c>
      <c r="P454" s="27"/>
      <c r="Q454" s="28"/>
      <c r="R454" s="28"/>
      <c r="S454" s="27">
        <v>1800001191</v>
      </c>
      <c r="T454" s="27">
        <v>1900001059</v>
      </c>
      <c r="U454" s="27">
        <v>1900013095</v>
      </c>
      <c r="V454" s="27">
        <v>1900017091</v>
      </c>
      <c r="W454" s="27">
        <v>1900029290</v>
      </c>
      <c r="X454" s="27">
        <v>1900031131</v>
      </c>
      <c r="Y454" s="27">
        <v>1900031162</v>
      </c>
      <c r="Z454" s="27">
        <v>1900033003</v>
      </c>
      <c r="AA454" s="27">
        <v>1900034045</v>
      </c>
      <c r="AB454" s="27"/>
      <c r="AC454" s="27"/>
      <c r="AD454" s="27"/>
      <c r="AE454" s="27" t="s">
        <v>180</v>
      </c>
      <c r="AF454" s="27" t="s">
        <v>180</v>
      </c>
      <c r="AG454" s="27" t="s">
        <v>677</v>
      </c>
      <c r="AH454" s="27" t="s">
        <v>183</v>
      </c>
      <c r="AI454" s="27" t="s">
        <v>533</v>
      </c>
      <c r="AJ454" s="27" t="s">
        <v>185</v>
      </c>
      <c r="AK454" s="27" t="s">
        <v>185</v>
      </c>
      <c r="AL454" s="27" t="s">
        <v>1112</v>
      </c>
      <c r="AM454" s="27" t="s">
        <v>534</v>
      </c>
      <c r="AQ454" s="28" t="s">
        <v>187</v>
      </c>
      <c r="AR454" s="28" t="s">
        <v>186</v>
      </c>
      <c r="AS454" s="28" t="s">
        <v>186</v>
      </c>
      <c r="AT454" s="28" t="s">
        <v>186</v>
      </c>
      <c r="AU454" s="28" t="s">
        <v>187</v>
      </c>
      <c r="AV454" s="28" t="s">
        <v>186</v>
      </c>
      <c r="AW454" s="28" t="s">
        <v>187</v>
      </c>
      <c r="AX454" s="28" t="s">
        <v>186</v>
      </c>
      <c r="AY454" s="28" t="s">
        <v>186</v>
      </c>
      <c r="BC454" s="28">
        <v>89648550721</v>
      </c>
      <c r="BD454" s="28">
        <v>895609574898</v>
      </c>
      <c r="BE454" s="28">
        <v>85252179241</v>
      </c>
      <c r="BF454" s="28">
        <v>87794856504</v>
      </c>
      <c r="BG454" s="28">
        <v>81584380093</v>
      </c>
      <c r="BH454" s="28">
        <v>81317652974</v>
      </c>
      <c r="BI454" s="28">
        <v>87735382020</v>
      </c>
      <c r="BJ454" s="28">
        <v>88226415781</v>
      </c>
      <c r="BK454" s="28">
        <v>85156060586</v>
      </c>
      <c r="BO454" s="39">
        <v>60110646</v>
      </c>
      <c r="BP454" s="18" t="s">
        <v>6265</v>
      </c>
      <c r="BQ454" s="37">
        <v>44956</v>
      </c>
      <c r="BR454" s="8">
        <f t="shared" si="1"/>
        <v>9</v>
      </c>
    </row>
    <row r="455" spans="1:70" ht="15.5">
      <c r="A455" s="4" t="str">
        <v>Reguler Periode ke-103 I.B.2</v>
      </c>
      <c r="B455" s="4" t="s">
        <v>6219</v>
      </c>
      <c r="C455" s="38" t="s">
        <v>280</v>
      </c>
      <c r="D455" s="4" t="s">
        <v>6254</v>
      </c>
      <c r="E455" s="4" t="s">
        <v>6266</v>
      </c>
      <c r="F455" s="4" t="s">
        <v>4928</v>
      </c>
      <c r="G455" s="27" t="s">
        <v>6267</v>
      </c>
      <c r="H455" s="27" t="s">
        <v>6268</v>
      </c>
      <c r="I455" s="27" t="s">
        <v>6269</v>
      </c>
      <c r="J455" s="27" t="s">
        <v>6270</v>
      </c>
      <c r="K455" s="27" t="s">
        <v>6271</v>
      </c>
      <c r="L455" s="27" t="s">
        <v>6272</v>
      </c>
      <c r="M455" s="27" t="s">
        <v>6273</v>
      </c>
      <c r="N455" s="27" t="s">
        <v>6274</v>
      </c>
      <c r="O455" s="27" t="s">
        <v>6275</v>
      </c>
      <c r="P455" s="27"/>
      <c r="Q455" s="28"/>
      <c r="R455" s="28"/>
      <c r="S455" s="27">
        <v>1900001046</v>
      </c>
      <c r="T455" s="27">
        <v>1900001084</v>
      </c>
      <c r="U455" s="27">
        <v>1900013138</v>
      </c>
      <c r="V455" s="27">
        <v>1900017018</v>
      </c>
      <c r="W455" s="27">
        <v>1900029167</v>
      </c>
      <c r="X455" s="27">
        <v>1900031130</v>
      </c>
      <c r="Y455" s="27">
        <v>1900031300</v>
      </c>
      <c r="Z455" s="27">
        <v>1900033008</v>
      </c>
      <c r="AA455" s="27">
        <v>1900070005</v>
      </c>
      <c r="AB455" s="27"/>
      <c r="AC455" s="27"/>
      <c r="AD455" s="27"/>
      <c r="AE455" s="27" t="s">
        <v>180</v>
      </c>
      <c r="AF455" s="27" t="s">
        <v>180</v>
      </c>
      <c r="AG455" s="27" t="s">
        <v>677</v>
      </c>
      <c r="AH455" s="27" t="s">
        <v>183</v>
      </c>
      <c r="AI455" s="27" t="s">
        <v>533</v>
      </c>
      <c r="AJ455" s="27" t="s">
        <v>185</v>
      </c>
      <c r="AK455" s="27" t="s">
        <v>185</v>
      </c>
      <c r="AL455" s="27" t="s">
        <v>1112</v>
      </c>
      <c r="AM455" s="27" t="s">
        <v>2473</v>
      </c>
      <c r="AQ455" s="28" t="s">
        <v>186</v>
      </c>
      <c r="AR455" s="28" t="s">
        <v>187</v>
      </c>
      <c r="AS455" s="28" t="s">
        <v>186</v>
      </c>
      <c r="AT455" s="28" t="s">
        <v>186</v>
      </c>
      <c r="AU455" s="28" t="s">
        <v>187</v>
      </c>
      <c r="AV455" s="28" t="s">
        <v>186</v>
      </c>
      <c r="AW455" s="28" t="s">
        <v>187</v>
      </c>
      <c r="AX455" s="28" t="s">
        <v>186</v>
      </c>
      <c r="AY455" s="28" t="s">
        <v>186</v>
      </c>
      <c r="BC455" s="28">
        <v>81211445673</v>
      </c>
      <c r="BD455" s="28">
        <v>81215655085</v>
      </c>
      <c r="BE455" s="28">
        <v>82286723494</v>
      </c>
      <c r="BF455" s="28">
        <v>87738271790</v>
      </c>
      <c r="BG455" s="28">
        <v>81345277853</v>
      </c>
      <c r="BH455" s="28">
        <v>81233295181</v>
      </c>
      <c r="BI455" s="28">
        <v>82333560634</v>
      </c>
      <c r="BJ455" s="28">
        <v>85752557795</v>
      </c>
      <c r="BK455" s="28">
        <v>89603589357</v>
      </c>
      <c r="BO455" s="39">
        <v>60110646</v>
      </c>
      <c r="BP455" s="18" t="s">
        <v>6276</v>
      </c>
      <c r="BQ455" s="37">
        <v>44956</v>
      </c>
      <c r="BR455" s="8">
        <f t="shared" si="1"/>
        <v>9</v>
      </c>
    </row>
    <row r="456" spans="1:70" ht="15.5">
      <c r="A456" s="4" t="str">
        <v>Reguler Periode ke-103 I.B.3</v>
      </c>
      <c r="B456" s="4" t="s">
        <v>6219</v>
      </c>
      <c r="C456" s="38" t="s">
        <v>299</v>
      </c>
      <c r="D456" s="4" t="s">
        <v>6254</v>
      </c>
      <c r="E456" s="4" t="s">
        <v>6277</v>
      </c>
      <c r="F456" s="4" t="s">
        <v>4928</v>
      </c>
      <c r="G456" s="27" t="s">
        <v>6278</v>
      </c>
      <c r="H456" s="27" t="s">
        <v>6279</v>
      </c>
      <c r="I456" s="27" t="s">
        <v>6280</v>
      </c>
      <c r="J456" s="27" t="s">
        <v>6281</v>
      </c>
      <c r="K456" s="27" t="s">
        <v>6282</v>
      </c>
      <c r="L456" s="27" t="s">
        <v>6283</v>
      </c>
      <c r="M456" s="27" t="s">
        <v>6284</v>
      </c>
      <c r="N456" s="27" t="s">
        <v>6285</v>
      </c>
      <c r="O456" s="27" t="s">
        <v>6286</v>
      </c>
      <c r="P456" s="27"/>
      <c r="Q456" s="28"/>
      <c r="R456" s="28"/>
      <c r="S456" s="27">
        <v>1800029363</v>
      </c>
      <c r="T456" s="27">
        <v>1900013052</v>
      </c>
      <c r="U456" s="27">
        <v>1900013367</v>
      </c>
      <c r="V456" s="27">
        <v>1900017038</v>
      </c>
      <c r="W456" s="27">
        <v>1900031092</v>
      </c>
      <c r="X456" s="27">
        <v>1900033102</v>
      </c>
      <c r="Y456" s="27">
        <v>1900033127</v>
      </c>
      <c r="Z456" s="27">
        <v>1900070023</v>
      </c>
      <c r="AA456" s="27">
        <v>1919001214</v>
      </c>
      <c r="AB456" s="27"/>
      <c r="AC456" s="27"/>
      <c r="AD456" s="27"/>
      <c r="AE456" s="27" t="s">
        <v>533</v>
      </c>
      <c r="AF456" s="27" t="s">
        <v>677</v>
      </c>
      <c r="AG456" s="27" t="s">
        <v>677</v>
      </c>
      <c r="AH456" s="27" t="s">
        <v>183</v>
      </c>
      <c r="AI456" s="27" t="s">
        <v>185</v>
      </c>
      <c r="AJ456" s="27" t="s">
        <v>1112</v>
      </c>
      <c r="AK456" s="27" t="s">
        <v>1112</v>
      </c>
      <c r="AL456" s="27" t="s">
        <v>2473</v>
      </c>
      <c r="AM456" s="27" t="s">
        <v>180</v>
      </c>
      <c r="AQ456" s="28" t="s">
        <v>187</v>
      </c>
      <c r="AR456" s="28" t="s">
        <v>187</v>
      </c>
      <c r="AS456" s="28" t="s">
        <v>186</v>
      </c>
      <c r="AT456" s="28" t="s">
        <v>186</v>
      </c>
      <c r="AU456" s="28" t="s">
        <v>187</v>
      </c>
      <c r="AV456" s="28" t="s">
        <v>186</v>
      </c>
      <c r="AW456" s="28" t="s">
        <v>186</v>
      </c>
      <c r="AX456" s="28" t="s">
        <v>186</v>
      </c>
      <c r="AY456" s="28" t="s">
        <v>186</v>
      </c>
      <c r="BC456" s="28">
        <v>81316805245</v>
      </c>
      <c r="BD456" s="28">
        <v>82289707930</v>
      </c>
      <c r="BE456" s="28">
        <v>82137952556</v>
      </c>
      <c r="BF456" s="28">
        <v>81271914349</v>
      </c>
      <c r="BG456" s="28">
        <v>85733631723</v>
      </c>
      <c r="BH456" s="28">
        <v>81804832897</v>
      </c>
      <c r="BI456" s="28">
        <v>87834079324</v>
      </c>
      <c r="BJ456" s="28">
        <v>85211931334</v>
      </c>
      <c r="BK456" s="28">
        <v>88228616567</v>
      </c>
      <c r="BO456" s="39">
        <v>60110646</v>
      </c>
      <c r="BP456" s="18" t="s">
        <v>6287</v>
      </c>
      <c r="BQ456" s="37">
        <v>44956</v>
      </c>
      <c r="BR456" s="8">
        <f t="shared" si="1"/>
        <v>9</v>
      </c>
    </row>
    <row r="457" spans="1:70" ht="15.5">
      <c r="A457" s="4" t="str">
        <v>Reguler Periode ke-103 I.C.1</v>
      </c>
      <c r="B457" s="4" t="s">
        <v>6219</v>
      </c>
      <c r="C457" s="38" t="s">
        <v>320</v>
      </c>
      <c r="D457" s="4" t="s">
        <v>6288</v>
      </c>
      <c r="E457" s="4" t="s">
        <v>6289</v>
      </c>
      <c r="F457" s="4" t="s">
        <v>4928</v>
      </c>
      <c r="G457" s="27" t="s">
        <v>6290</v>
      </c>
      <c r="H457" s="27" t="s">
        <v>6291</v>
      </c>
      <c r="I457" s="27" t="s">
        <v>6292</v>
      </c>
      <c r="J457" s="27" t="s">
        <v>6293</v>
      </c>
      <c r="K457" s="27" t="s">
        <v>6294</v>
      </c>
      <c r="L457" s="27" t="s">
        <v>6295</v>
      </c>
      <c r="M457" s="27" t="s">
        <v>6296</v>
      </c>
      <c r="N457" s="27" t="s">
        <v>6297</v>
      </c>
      <c r="O457" s="27" t="s">
        <v>6298</v>
      </c>
      <c r="P457" s="27"/>
      <c r="Q457" s="28"/>
      <c r="R457" s="28"/>
      <c r="S457" s="27">
        <v>1900001019</v>
      </c>
      <c r="T457" s="27">
        <v>1900013022</v>
      </c>
      <c r="U457" s="27">
        <v>1900013342</v>
      </c>
      <c r="V457" s="27">
        <v>1900023089</v>
      </c>
      <c r="W457" s="27">
        <v>1900029094</v>
      </c>
      <c r="X457" s="27">
        <v>1900031166</v>
      </c>
      <c r="Y457" s="27">
        <v>1900033043</v>
      </c>
      <c r="Z457" s="27">
        <v>1900033057</v>
      </c>
      <c r="AA457" s="27">
        <v>1900070029</v>
      </c>
      <c r="AB457" s="27"/>
      <c r="AC457" s="27"/>
      <c r="AD457" s="27"/>
      <c r="AE457" s="27" t="s">
        <v>180</v>
      </c>
      <c r="AF457" s="27" t="s">
        <v>677</v>
      </c>
      <c r="AG457" s="27" t="s">
        <v>677</v>
      </c>
      <c r="AH457" s="27" t="s">
        <v>899</v>
      </c>
      <c r="AI457" s="27" t="s">
        <v>533</v>
      </c>
      <c r="AJ457" s="27" t="s">
        <v>185</v>
      </c>
      <c r="AK457" s="27" t="s">
        <v>1112</v>
      </c>
      <c r="AL457" s="27" t="s">
        <v>1112</v>
      </c>
      <c r="AM457" s="27" t="s">
        <v>2473</v>
      </c>
      <c r="AQ457" s="28" t="s">
        <v>186</v>
      </c>
      <c r="AR457" s="28" t="s">
        <v>186</v>
      </c>
      <c r="AS457" s="28" t="s">
        <v>187</v>
      </c>
      <c r="AT457" s="28" t="s">
        <v>186</v>
      </c>
      <c r="AU457" s="28" t="s">
        <v>187</v>
      </c>
      <c r="AV457" s="28" t="s">
        <v>187</v>
      </c>
      <c r="AW457" s="28" t="s">
        <v>186</v>
      </c>
      <c r="AX457" s="28" t="s">
        <v>186</v>
      </c>
      <c r="AY457" s="28" t="s">
        <v>186</v>
      </c>
      <c r="BC457" s="28">
        <v>895343795588</v>
      </c>
      <c r="BD457" s="28">
        <v>81240325489</v>
      </c>
      <c r="BE457" s="28">
        <v>85900031518</v>
      </c>
      <c r="BF457" s="28">
        <v>85748360884</v>
      </c>
      <c r="BG457" s="28">
        <v>87839648378</v>
      </c>
      <c r="BH457" s="28">
        <v>81373912695</v>
      </c>
      <c r="BI457" s="28">
        <v>82281308930</v>
      </c>
      <c r="BJ457" s="28">
        <v>82287918420</v>
      </c>
      <c r="BK457" s="28">
        <v>81316614396</v>
      </c>
      <c r="BO457" s="39">
        <v>60201258</v>
      </c>
      <c r="BP457" s="18" t="s">
        <v>6299</v>
      </c>
      <c r="BQ457" s="37">
        <v>44956</v>
      </c>
      <c r="BR457" s="8">
        <f t="shared" si="1"/>
        <v>9</v>
      </c>
    </row>
    <row r="458" spans="1:70" ht="15.5">
      <c r="A458" s="4" t="str">
        <v>Reguler Periode ke-103 I.C.2</v>
      </c>
      <c r="B458" s="4" t="s">
        <v>6219</v>
      </c>
      <c r="C458" s="38" t="s">
        <v>340</v>
      </c>
      <c r="D458" s="4" t="s">
        <v>6288</v>
      </c>
      <c r="E458" s="4" t="s">
        <v>6300</v>
      </c>
      <c r="F458" s="4" t="s">
        <v>4928</v>
      </c>
      <c r="G458" s="27" t="s">
        <v>6301</v>
      </c>
      <c r="H458" s="27" t="s">
        <v>6302</v>
      </c>
      <c r="I458" s="27" t="s">
        <v>6303</v>
      </c>
      <c r="J458" s="27" t="s">
        <v>6304</v>
      </c>
      <c r="K458" s="27" t="s">
        <v>6305</v>
      </c>
      <c r="L458" s="27" t="s">
        <v>6306</v>
      </c>
      <c r="M458" s="27" t="s">
        <v>6307</v>
      </c>
      <c r="N458" s="27" t="s">
        <v>6308</v>
      </c>
      <c r="O458" s="27" t="s">
        <v>6309</v>
      </c>
      <c r="P458" s="27"/>
      <c r="Q458" s="28"/>
      <c r="R458" s="28"/>
      <c r="S458" s="27">
        <v>1900001173</v>
      </c>
      <c r="T458" s="27">
        <v>1900013217</v>
      </c>
      <c r="U458" s="27">
        <v>1900023012</v>
      </c>
      <c r="V458" s="27">
        <v>1900023054</v>
      </c>
      <c r="W458" s="27">
        <v>1900029099</v>
      </c>
      <c r="X458" s="27">
        <v>1900031237</v>
      </c>
      <c r="Y458" s="27">
        <v>1900033070</v>
      </c>
      <c r="Z458" s="27">
        <v>1900033081</v>
      </c>
      <c r="AA458" s="27">
        <v>1900070015</v>
      </c>
      <c r="AB458" s="27"/>
      <c r="AC458" s="27"/>
      <c r="AD458" s="27"/>
      <c r="AE458" s="27" t="s">
        <v>180</v>
      </c>
      <c r="AF458" s="27" t="s">
        <v>677</v>
      </c>
      <c r="AG458" s="27" t="s">
        <v>899</v>
      </c>
      <c r="AH458" s="27" t="s">
        <v>899</v>
      </c>
      <c r="AI458" s="27" t="s">
        <v>533</v>
      </c>
      <c r="AJ458" s="27" t="s">
        <v>185</v>
      </c>
      <c r="AK458" s="27" t="s">
        <v>1112</v>
      </c>
      <c r="AL458" s="27" t="s">
        <v>1112</v>
      </c>
      <c r="AM458" s="27" t="s">
        <v>2473</v>
      </c>
      <c r="AQ458" s="28" t="s">
        <v>186</v>
      </c>
      <c r="AR458" s="28" t="s">
        <v>186</v>
      </c>
      <c r="AS458" s="28" t="s">
        <v>186</v>
      </c>
      <c r="AT458" s="28" t="s">
        <v>187</v>
      </c>
      <c r="AU458" s="28" t="s">
        <v>187</v>
      </c>
      <c r="AV458" s="28" t="s">
        <v>187</v>
      </c>
      <c r="AW458" s="28" t="s">
        <v>186</v>
      </c>
      <c r="AX458" s="28" t="s">
        <v>186</v>
      </c>
      <c r="AY458" s="28" t="s">
        <v>186</v>
      </c>
      <c r="BC458" s="28">
        <v>88981027563</v>
      </c>
      <c r="BD458" s="28">
        <v>87869574336</v>
      </c>
      <c r="BE458" s="28">
        <v>82211696833</v>
      </c>
      <c r="BF458" s="28">
        <v>89530258906</v>
      </c>
      <c r="BG458" s="28">
        <v>81353399048</v>
      </c>
      <c r="BH458" s="28">
        <v>85795329627</v>
      </c>
      <c r="BI458" s="28">
        <v>87722176715</v>
      </c>
      <c r="BJ458" s="28">
        <v>82175650986</v>
      </c>
      <c r="BK458" s="28">
        <v>81230051159</v>
      </c>
      <c r="BO458" s="39">
        <v>60201258</v>
      </c>
      <c r="BP458" s="35" t="s">
        <v>6310</v>
      </c>
      <c r="BQ458" s="37">
        <v>44956</v>
      </c>
      <c r="BR458" s="8">
        <f t="shared" si="1"/>
        <v>9</v>
      </c>
    </row>
    <row r="459" spans="1:70" ht="15.5">
      <c r="A459" s="4" t="str">
        <v>Reguler Periode ke-103 I.C.3</v>
      </c>
      <c r="B459" s="4" t="s">
        <v>6219</v>
      </c>
      <c r="C459" s="38" t="s">
        <v>360</v>
      </c>
      <c r="D459" s="4" t="s">
        <v>6288</v>
      </c>
      <c r="E459" s="4" t="s">
        <v>6311</v>
      </c>
      <c r="F459" s="4" t="s">
        <v>4928</v>
      </c>
      <c r="G459" s="27" t="s">
        <v>6312</v>
      </c>
      <c r="H459" s="27" t="s">
        <v>6313</v>
      </c>
      <c r="I459" s="27" t="s">
        <v>6314</v>
      </c>
      <c r="J459" s="27" t="s">
        <v>6315</v>
      </c>
      <c r="K459" s="27" t="s">
        <v>6316</v>
      </c>
      <c r="L459" s="27" t="s">
        <v>6317</v>
      </c>
      <c r="M459" s="27" t="s">
        <v>6318</v>
      </c>
      <c r="N459" s="27" t="s">
        <v>6319</v>
      </c>
      <c r="O459" s="27" t="s">
        <v>6320</v>
      </c>
      <c r="P459" s="27"/>
      <c r="Q459" s="28"/>
      <c r="R459" s="28"/>
      <c r="S459" s="27">
        <v>1900008093</v>
      </c>
      <c r="T459" s="27">
        <v>1900013071</v>
      </c>
      <c r="U459" s="27">
        <v>1900023225</v>
      </c>
      <c r="V459" s="27">
        <v>1900023270</v>
      </c>
      <c r="W459" s="27">
        <v>1900029238</v>
      </c>
      <c r="X459" s="27">
        <v>1900033110</v>
      </c>
      <c r="Y459" s="27">
        <v>1900033137</v>
      </c>
      <c r="Z459" s="27">
        <v>1900070004</v>
      </c>
      <c r="AA459" s="27">
        <v>1900070013</v>
      </c>
      <c r="AB459" s="27"/>
      <c r="AC459" s="27"/>
      <c r="AD459" s="27"/>
      <c r="AE459" s="27" t="s">
        <v>1111</v>
      </c>
      <c r="AF459" s="27" t="s">
        <v>677</v>
      </c>
      <c r="AG459" s="27" t="s">
        <v>899</v>
      </c>
      <c r="AH459" s="27" t="s">
        <v>899</v>
      </c>
      <c r="AI459" s="27" t="s">
        <v>533</v>
      </c>
      <c r="AJ459" s="27" t="s">
        <v>1112</v>
      </c>
      <c r="AK459" s="27" t="s">
        <v>1112</v>
      </c>
      <c r="AL459" s="27" t="s">
        <v>2473</v>
      </c>
      <c r="AM459" s="27" t="s">
        <v>2473</v>
      </c>
      <c r="AQ459" s="28" t="s">
        <v>186</v>
      </c>
      <c r="AR459" s="28" t="s">
        <v>186</v>
      </c>
      <c r="AS459" s="28" t="s">
        <v>187</v>
      </c>
      <c r="AT459" s="28" t="s">
        <v>186</v>
      </c>
      <c r="AU459" s="28" t="s">
        <v>187</v>
      </c>
      <c r="AV459" s="28" t="s">
        <v>186</v>
      </c>
      <c r="AW459" s="28" t="s">
        <v>186</v>
      </c>
      <c r="AX459" s="28" t="s">
        <v>186</v>
      </c>
      <c r="AY459" s="28" t="s">
        <v>187</v>
      </c>
      <c r="BC459" s="28">
        <v>83127485643</v>
      </c>
      <c r="BD459" s="28">
        <v>87888713301</v>
      </c>
      <c r="BE459" s="28">
        <v>82255505226</v>
      </c>
      <c r="BF459" s="28">
        <v>8817026921</v>
      </c>
      <c r="BG459" s="28">
        <v>85219863011</v>
      </c>
      <c r="BH459" s="28">
        <v>81327870547</v>
      </c>
      <c r="BI459" s="28">
        <v>82134866010</v>
      </c>
      <c r="BJ459" s="28">
        <v>83159006589</v>
      </c>
      <c r="BK459" s="28">
        <v>895391909468</v>
      </c>
      <c r="BO459" s="39">
        <v>60201258</v>
      </c>
      <c r="BP459" s="18" t="s">
        <v>6321</v>
      </c>
      <c r="BQ459" s="37">
        <v>44956</v>
      </c>
      <c r="BR459" s="8">
        <f t="shared" si="1"/>
        <v>9</v>
      </c>
    </row>
    <row r="460" spans="1:70" ht="15.5">
      <c r="A460" s="4" t="str">
        <v>Reguler Periode ke-103 I.D.1</v>
      </c>
      <c r="B460" s="4" t="s">
        <v>6219</v>
      </c>
      <c r="C460" s="38" t="s">
        <v>379</v>
      </c>
      <c r="D460" s="4" t="s">
        <v>6322</v>
      </c>
      <c r="E460" s="4" t="s">
        <v>6323</v>
      </c>
      <c r="F460" s="4" t="s">
        <v>4928</v>
      </c>
      <c r="G460" s="27" t="s">
        <v>6324</v>
      </c>
      <c r="H460" s="27" t="s">
        <v>6325</v>
      </c>
      <c r="I460" s="27" t="s">
        <v>6326</v>
      </c>
      <c r="J460" s="27" t="s">
        <v>6327</v>
      </c>
      <c r="K460" s="27" t="s">
        <v>6328</v>
      </c>
      <c r="L460" s="27" t="s">
        <v>6329</v>
      </c>
      <c r="M460" s="27" t="s">
        <v>6330</v>
      </c>
      <c r="N460" s="27" t="s">
        <v>6331</v>
      </c>
      <c r="O460" s="27" t="s">
        <v>6332</v>
      </c>
      <c r="P460" s="27"/>
      <c r="Q460" s="28"/>
      <c r="R460" s="28"/>
      <c r="S460" s="27">
        <v>1900008025</v>
      </c>
      <c r="T460" s="27">
        <v>1900013168</v>
      </c>
      <c r="U460" s="27">
        <v>1900023113</v>
      </c>
      <c r="V460" s="27">
        <v>1900023248</v>
      </c>
      <c r="W460" s="27">
        <v>1900029207</v>
      </c>
      <c r="X460" s="27">
        <v>1900033045</v>
      </c>
      <c r="Y460" s="27">
        <v>1900033099</v>
      </c>
      <c r="Z460" s="27">
        <v>1900070011</v>
      </c>
      <c r="AA460" s="27">
        <v>1900070030</v>
      </c>
      <c r="AE460" s="27" t="s">
        <v>1111</v>
      </c>
      <c r="AF460" s="27" t="s">
        <v>677</v>
      </c>
      <c r="AG460" s="27" t="s">
        <v>899</v>
      </c>
      <c r="AH460" s="27" t="s">
        <v>899</v>
      </c>
      <c r="AI460" s="27" t="s">
        <v>533</v>
      </c>
      <c r="AJ460" s="27" t="s">
        <v>1112</v>
      </c>
      <c r="AK460" s="27" t="s">
        <v>1112</v>
      </c>
      <c r="AL460" s="27" t="s">
        <v>2473</v>
      </c>
      <c r="AM460" s="27" t="s">
        <v>2473</v>
      </c>
      <c r="AQ460" s="28" t="s">
        <v>186</v>
      </c>
      <c r="AR460" s="28" t="s">
        <v>186</v>
      </c>
      <c r="AS460" s="28" t="s">
        <v>186</v>
      </c>
      <c r="AT460" s="28" t="s">
        <v>187</v>
      </c>
      <c r="AU460" s="28" t="s">
        <v>187</v>
      </c>
      <c r="AV460" s="28" t="s">
        <v>186</v>
      </c>
      <c r="AW460" s="28" t="s">
        <v>186</v>
      </c>
      <c r="AX460" s="28" t="s">
        <v>187</v>
      </c>
      <c r="AY460" s="28" t="s">
        <v>186</v>
      </c>
      <c r="BC460" s="28">
        <v>82252293131</v>
      </c>
      <c r="BD460" s="28">
        <v>81912888502</v>
      </c>
      <c r="BE460" s="43" t="s">
        <v>6333</v>
      </c>
      <c r="BF460" s="28">
        <v>81327434348</v>
      </c>
      <c r="BG460" s="28">
        <v>82340542323</v>
      </c>
      <c r="BH460" s="28">
        <v>85314581212</v>
      </c>
      <c r="BI460" s="28">
        <v>85786236916</v>
      </c>
      <c r="BJ460" s="28">
        <v>82251526636</v>
      </c>
      <c r="BK460" s="28">
        <v>82112633565</v>
      </c>
      <c r="BO460" s="39">
        <v>60201253</v>
      </c>
      <c r="BP460" s="18" t="s">
        <v>6334</v>
      </c>
      <c r="BQ460" s="37">
        <v>44956</v>
      </c>
      <c r="BR460" s="8">
        <f t="shared" si="1"/>
        <v>9</v>
      </c>
    </row>
    <row r="461" spans="1:70" ht="15.5">
      <c r="A461" s="4" t="str">
        <v>Reguler Periode ke-103 I.D.2</v>
      </c>
      <c r="B461" s="4" t="s">
        <v>6219</v>
      </c>
      <c r="C461" s="38" t="s">
        <v>642</v>
      </c>
      <c r="D461" s="4" t="s">
        <v>6322</v>
      </c>
      <c r="E461" s="4" t="s">
        <v>6335</v>
      </c>
      <c r="F461" s="4" t="s">
        <v>4928</v>
      </c>
      <c r="G461" s="27" t="s">
        <v>6336</v>
      </c>
      <c r="H461" s="27" t="s">
        <v>6337</v>
      </c>
      <c r="I461" s="27" t="s">
        <v>6338</v>
      </c>
      <c r="J461" s="27" t="s">
        <v>6339</v>
      </c>
      <c r="K461" s="27" t="s">
        <v>6340</v>
      </c>
      <c r="L461" s="27" t="s">
        <v>6341</v>
      </c>
      <c r="M461" s="27" t="s">
        <v>6342</v>
      </c>
      <c r="N461" s="27" t="s">
        <v>6343</v>
      </c>
      <c r="O461" s="27" t="s">
        <v>6344</v>
      </c>
      <c r="P461" s="27"/>
      <c r="Q461" s="28"/>
      <c r="R461" s="28"/>
      <c r="S461" s="27">
        <v>1900008075</v>
      </c>
      <c r="T461" s="27">
        <v>1900013292</v>
      </c>
      <c r="U461" s="27">
        <v>1900023220</v>
      </c>
      <c r="V461" s="27">
        <v>1900023256</v>
      </c>
      <c r="W461" s="27">
        <v>1900029215</v>
      </c>
      <c r="X461" s="27">
        <v>1900033087</v>
      </c>
      <c r="Y461" s="27">
        <v>1900033158</v>
      </c>
      <c r="Z461" s="27">
        <v>1900070006</v>
      </c>
      <c r="AA461" s="27">
        <v>1900070018</v>
      </c>
      <c r="AE461" s="27" t="s">
        <v>1111</v>
      </c>
      <c r="AF461" s="27" t="s">
        <v>677</v>
      </c>
      <c r="AG461" s="27" t="s">
        <v>899</v>
      </c>
      <c r="AH461" s="27" t="s">
        <v>899</v>
      </c>
      <c r="AI461" s="27" t="s">
        <v>533</v>
      </c>
      <c r="AJ461" s="27" t="s">
        <v>1112</v>
      </c>
      <c r="AK461" s="27" t="s">
        <v>1112</v>
      </c>
      <c r="AL461" s="27" t="s">
        <v>2473</v>
      </c>
      <c r="AM461" s="27" t="s">
        <v>2473</v>
      </c>
      <c r="AQ461" s="28" t="s">
        <v>186</v>
      </c>
      <c r="AR461" s="28" t="s">
        <v>186</v>
      </c>
      <c r="AS461" s="28" t="s">
        <v>186</v>
      </c>
      <c r="AT461" s="28" t="s">
        <v>187</v>
      </c>
      <c r="AU461" s="28" t="s">
        <v>187</v>
      </c>
      <c r="AV461" s="28" t="s">
        <v>186</v>
      </c>
      <c r="AW461" s="28" t="s">
        <v>186</v>
      </c>
      <c r="AX461" s="28" t="s">
        <v>187</v>
      </c>
      <c r="AY461" s="28" t="s">
        <v>186</v>
      </c>
      <c r="BC461" s="28">
        <v>85784768747</v>
      </c>
      <c r="BD461" s="28">
        <v>81906118310</v>
      </c>
      <c r="BE461" s="28">
        <v>85327305346</v>
      </c>
      <c r="BF461" s="28">
        <v>81229270470</v>
      </c>
      <c r="BG461" s="28">
        <v>81270119478</v>
      </c>
      <c r="BH461" s="28">
        <v>81372538535</v>
      </c>
      <c r="BI461" s="28">
        <v>85600464183</v>
      </c>
      <c r="BJ461" s="28">
        <v>895404840809</v>
      </c>
      <c r="BK461" s="28">
        <v>85173000486</v>
      </c>
      <c r="BO461" s="39">
        <v>60201253</v>
      </c>
      <c r="BP461" s="18" t="s">
        <v>6345</v>
      </c>
      <c r="BQ461" s="37">
        <v>44956</v>
      </c>
      <c r="BR461" s="8">
        <f t="shared" si="1"/>
        <v>9</v>
      </c>
    </row>
    <row r="462" spans="1:70" ht="14">
      <c r="A462" s="4" t="str">
        <v>Reguler Periode ke-104 I.A.1</v>
      </c>
      <c r="B462" s="4" t="s">
        <v>6346</v>
      </c>
      <c r="C462" s="4" t="s">
        <v>165</v>
      </c>
      <c r="D462" s="4" t="s">
        <v>6347</v>
      </c>
      <c r="E462" s="4" t="s">
        <v>6348</v>
      </c>
      <c r="F462" s="4" t="s">
        <v>6349</v>
      </c>
      <c r="G462" s="27" t="s">
        <v>6350</v>
      </c>
      <c r="H462" s="27" t="s">
        <v>6351</v>
      </c>
      <c r="I462" s="27" t="s">
        <v>6352</v>
      </c>
      <c r="J462" s="27" t="s">
        <v>6353</v>
      </c>
      <c r="K462" s="27" t="s">
        <v>6354</v>
      </c>
      <c r="L462" s="27" t="s">
        <v>6355</v>
      </c>
      <c r="M462" s="28"/>
      <c r="S462" s="27">
        <v>1900005145</v>
      </c>
      <c r="T462" s="27">
        <v>1900013042</v>
      </c>
      <c r="U462" s="27">
        <v>1900020039</v>
      </c>
      <c r="V462" s="27">
        <v>1900029283</v>
      </c>
      <c r="W462" s="27">
        <v>1900031044</v>
      </c>
      <c r="X462" s="27">
        <v>1911035009</v>
      </c>
      <c r="AE462" s="27" t="s">
        <v>181</v>
      </c>
      <c r="AF462" s="27" t="s">
        <v>677</v>
      </c>
      <c r="AG462" s="27" t="s">
        <v>351</v>
      </c>
      <c r="AH462" s="27" t="s">
        <v>533</v>
      </c>
      <c r="AI462" s="27" t="s">
        <v>185</v>
      </c>
      <c r="AJ462" s="27" t="s">
        <v>2071</v>
      </c>
      <c r="AK462" s="28"/>
      <c r="AQ462" s="28" t="s">
        <v>186</v>
      </c>
      <c r="AR462" s="28" t="s">
        <v>186</v>
      </c>
      <c r="AS462" s="28" t="s">
        <v>187</v>
      </c>
      <c r="AT462" s="28" t="s">
        <v>186</v>
      </c>
      <c r="AU462" s="28" t="s">
        <v>186</v>
      </c>
      <c r="AV462" s="28" t="s">
        <v>187</v>
      </c>
      <c r="BC462" s="28">
        <v>81359501729</v>
      </c>
      <c r="BD462" s="28">
        <v>82252375750</v>
      </c>
      <c r="BE462" s="28">
        <v>82259250300</v>
      </c>
      <c r="BF462" s="28">
        <v>82234765142</v>
      </c>
      <c r="BG462" s="28">
        <v>89674072175</v>
      </c>
      <c r="BH462" s="28">
        <v>85726096526</v>
      </c>
      <c r="BO462" s="39">
        <v>60160979</v>
      </c>
      <c r="BP462" s="18" t="s">
        <v>6356</v>
      </c>
      <c r="BQ462" s="37">
        <v>44959</v>
      </c>
      <c r="BR462" s="8">
        <f t="shared" si="1"/>
        <v>6</v>
      </c>
    </row>
    <row r="463" spans="1:70" ht="14">
      <c r="A463" s="4" t="str">
        <v>Reguler Periode ke-104 I.A.2</v>
      </c>
      <c r="B463" s="4" t="s">
        <v>6346</v>
      </c>
      <c r="C463" s="4" t="s">
        <v>216</v>
      </c>
      <c r="D463" s="4" t="s">
        <v>6347</v>
      </c>
      <c r="E463" s="4" t="s">
        <v>6357</v>
      </c>
      <c r="F463" s="4" t="s">
        <v>6349</v>
      </c>
      <c r="G463" s="27" t="s">
        <v>6358</v>
      </c>
      <c r="H463" s="27" t="s">
        <v>6359</v>
      </c>
      <c r="I463" s="27" t="s">
        <v>6360</v>
      </c>
      <c r="J463" s="27" t="s">
        <v>6361</v>
      </c>
      <c r="K463" s="27" t="s">
        <v>6362</v>
      </c>
      <c r="L463" s="27" t="s">
        <v>6363</v>
      </c>
      <c r="M463" s="27" t="s">
        <v>6364</v>
      </c>
      <c r="S463" s="27">
        <v>1900001123</v>
      </c>
      <c r="T463" s="27">
        <v>1900013282</v>
      </c>
      <c r="U463" s="27">
        <v>1900023246</v>
      </c>
      <c r="V463" s="27">
        <v>1900025091</v>
      </c>
      <c r="W463" s="27">
        <v>1911033090</v>
      </c>
      <c r="X463" s="27">
        <v>1911070025</v>
      </c>
      <c r="Y463" s="27">
        <v>1911331032</v>
      </c>
      <c r="AE463" s="27" t="s">
        <v>180</v>
      </c>
      <c r="AF463" s="27" t="s">
        <v>677</v>
      </c>
      <c r="AG463" s="27" t="s">
        <v>899</v>
      </c>
      <c r="AH463" s="27" t="s">
        <v>1168</v>
      </c>
      <c r="AI463" s="27" t="s">
        <v>1112</v>
      </c>
      <c r="AJ463" s="27" t="s">
        <v>2473</v>
      </c>
      <c r="AK463" s="27" t="s">
        <v>546</v>
      </c>
      <c r="AQ463" s="28" t="s">
        <v>186</v>
      </c>
      <c r="AR463" s="28" t="s">
        <v>186</v>
      </c>
      <c r="AS463" s="28" t="s">
        <v>186</v>
      </c>
      <c r="AT463" s="28" t="s">
        <v>186</v>
      </c>
      <c r="AU463" s="28" t="s">
        <v>187</v>
      </c>
      <c r="AV463" s="28" t="s">
        <v>186</v>
      </c>
      <c r="AW463" s="28" t="s">
        <v>187</v>
      </c>
      <c r="BC463" s="28">
        <v>8884183532</v>
      </c>
      <c r="BD463" s="28">
        <v>85866158037</v>
      </c>
      <c r="BE463" s="28">
        <v>82265088341</v>
      </c>
      <c r="BF463" s="28">
        <v>82137972655</v>
      </c>
      <c r="BG463" s="28">
        <v>82225204469</v>
      </c>
      <c r="BH463" s="28">
        <v>88232871065</v>
      </c>
      <c r="BI463" s="28">
        <v>89601309366</v>
      </c>
      <c r="BO463" s="39">
        <v>60160979</v>
      </c>
      <c r="BP463" s="18" t="s">
        <v>6365</v>
      </c>
      <c r="BQ463" s="37">
        <v>44959</v>
      </c>
      <c r="BR463" s="8">
        <f t="shared" si="1"/>
        <v>7</v>
      </c>
    </row>
    <row r="464" spans="1:70" ht="14">
      <c r="A464" s="4" t="str">
        <v>Reguler Periode ke-104 I.A.3</v>
      </c>
      <c r="B464" s="4" t="s">
        <v>6346</v>
      </c>
      <c r="C464" s="4" t="s">
        <v>238</v>
      </c>
      <c r="D464" s="4" t="s">
        <v>6347</v>
      </c>
      <c r="E464" s="4" t="s">
        <v>6366</v>
      </c>
      <c r="F464" s="4" t="s">
        <v>6349</v>
      </c>
      <c r="G464" s="27" t="s">
        <v>6367</v>
      </c>
      <c r="H464" s="27" t="s">
        <v>6368</v>
      </c>
      <c r="I464" s="27" t="s">
        <v>6369</v>
      </c>
      <c r="J464" s="27" t="s">
        <v>6370</v>
      </c>
      <c r="K464" s="27" t="s">
        <v>6371</v>
      </c>
      <c r="L464" s="27" t="s">
        <v>6372</v>
      </c>
      <c r="M464" s="28"/>
      <c r="S464" s="27">
        <v>1900005110</v>
      </c>
      <c r="T464" s="27">
        <v>1900018206</v>
      </c>
      <c r="U464" s="27">
        <v>1900023065</v>
      </c>
      <c r="V464" s="27">
        <v>1900029168</v>
      </c>
      <c r="W464" s="27">
        <v>1900031144</v>
      </c>
      <c r="X464" s="27">
        <v>1911016122</v>
      </c>
      <c r="AE464" s="27" t="s">
        <v>181</v>
      </c>
      <c r="AF464" s="27" t="s">
        <v>179</v>
      </c>
      <c r="AG464" s="27" t="s">
        <v>899</v>
      </c>
      <c r="AH464" s="27" t="s">
        <v>533</v>
      </c>
      <c r="AI464" s="27" t="s">
        <v>185</v>
      </c>
      <c r="AJ464" s="27" t="s">
        <v>531</v>
      </c>
      <c r="AQ464" s="28" t="s">
        <v>186</v>
      </c>
      <c r="AR464" s="28" t="s">
        <v>187</v>
      </c>
      <c r="AS464" s="28" t="s">
        <v>187</v>
      </c>
      <c r="AT464" s="28" t="s">
        <v>186</v>
      </c>
      <c r="AU464" s="28" t="s">
        <v>186</v>
      </c>
      <c r="AV464" s="28" t="s">
        <v>186</v>
      </c>
      <c r="BC464" s="28">
        <v>85643251958</v>
      </c>
      <c r="BD464" s="28">
        <v>81228418429</v>
      </c>
      <c r="BE464" s="28">
        <v>89697781582</v>
      </c>
      <c r="BF464" s="28">
        <v>85333243944</v>
      </c>
      <c r="BG464" s="28">
        <v>82327882710</v>
      </c>
      <c r="BH464" s="28">
        <v>82322745166</v>
      </c>
      <c r="BO464" s="39">
        <v>60160979</v>
      </c>
      <c r="BP464" s="18" t="s">
        <v>6373</v>
      </c>
      <c r="BQ464" s="37">
        <v>44959</v>
      </c>
      <c r="BR464" s="8">
        <f t="shared" si="1"/>
        <v>6</v>
      </c>
    </row>
    <row r="465" spans="1:70" ht="14">
      <c r="A465" s="4" t="str">
        <v>Reguler Periode ke-104 I.A.4</v>
      </c>
      <c r="B465" s="4" t="s">
        <v>6346</v>
      </c>
      <c r="C465" s="4" t="s">
        <v>6374</v>
      </c>
      <c r="D465" s="4" t="s">
        <v>6347</v>
      </c>
      <c r="E465" s="4" t="s">
        <v>6375</v>
      </c>
      <c r="F465" s="4" t="s">
        <v>6349</v>
      </c>
      <c r="G465" s="27" t="s">
        <v>6376</v>
      </c>
      <c r="H465" s="27" t="s">
        <v>6377</v>
      </c>
      <c r="I465" s="27" t="s">
        <v>6378</v>
      </c>
      <c r="J465" s="27" t="s">
        <v>6379</v>
      </c>
      <c r="K465" s="27" t="s">
        <v>6380</v>
      </c>
      <c r="L465" s="27" t="s">
        <v>6381</v>
      </c>
      <c r="M465" s="27" t="s">
        <v>6382</v>
      </c>
      <c r="S465" s="27">
        <v>1900004080</v>
      </c>
      <c r="T465" s="27">
        <v>1900005136</v>
      </c>
      <c r="U465" s="27">
        <v>1900013125</v>
      </c>
      <c r="V465" s="27">
        <v>1900015039</v>
      </c>
      <c r="W465" s="27">
        <v>1900031073</v>
      </c>
      <c r="X465" s="27">
        <v>1900033021</v>
      </c>
      <c r="Y465" s="27">
        <v>1911030206</v>
      </c>
      <c r="AE465" s="27" t="s">
        <v>201</v>
      </c>
      <c r="AF465" s="27" t="s">
        <v>181</v>
      </c>
      <c r="AG465" s="27" t="s">
        <v>677</v>
      </c>
      <c r="AH465" s="27" t="s">
        <v>937</v>
      </c>
      <c r="AI465" s="27" t="s">
        <v>185</v>
      </c>
      <c r="AJ465" s="27" t="s">
        <v>1112</v>
      </c>
      <c r="AK465" s="27" t="s">
        <v>184</v>
      </c>
      <c r="AQ465" s="28" t="s">
        <v>186</v>
      </c>
      <c r="AR465" s="28" t="s">
        <v>186</v>
      </c>
      <c r="AS465" s="28" t="s">
        <v>187</v>
      </c>
      <c r="AT465" s="28" t="s">
        <v>186</v>
      </c>
      <c r="AU465" s="28" t="s">
        <v>186</v>
      </c>
      <c r="AV465" s="28" t="s">
        <v>186</v>
      </c>
      <c r="AW465" s="28" t="s">
        <v>187</v>
      </c>
      <c r="BC465" s="28">
        <v>82136278012</v>
      </c>
      <c r="BD465" s="28">
        <v>85719515023</v>
      </c>
      <c r="BE465" s="28">
        <v>82199758045</v>
      </c>
      <c r="BF465" s="28">
        <v>82135241476</v>
      </c>
      <c r="BG465" s="28">
        <v>81278302457</v>
      </c>
      <c r="BH465" s="28">
        <v>81326247110</v>
      </c>
      <c r="BI465" s="28">
        <v>85225364226</v>
      </c>
      <c r="BO465" s="39">
        <v>60160979</v>
      </c>
      <c r="BP465" s="18" t="s">
        <v>6383</v>
      </c>
      <c r="BQ465" s="37">
        <v>44959</v>
      </c>
      <c r="BR465" s="8">
        <f t="shared" si="1"/>
        <v>7</v>
      </c>
    </row>
    <row r="466" spans="1:70" ht="14">
      <c r="A466" s="4" t="str">
        <v>Reguler Periode ke-105 I.A.1</v>
      </c>
      <c r="B466" s="4" t="s">
        <v>6384</v>
      </c>
      <c r="C466" s="4" t="s">
        <v>165</v>
      </c>
      <c r="D466" s="4" t="s">
        <v>6385</v>
      </c>
      <c r="E466" s="4" t="s">
        <v>6386</v>
      </c>
      <c r="F466" s="4" t="s">
        <v>6387</v>
      </c>
      <c r="G466" s="27" t="s">
        <v>6388</v>
      </c>
      <c r="H466" s="27" t="s">
        <v>6389</v>
      </c>
      <c r="I466" s="27" t="s">
        <v>6390</v>
      </c>
      <c r="J466" s="27" t="s">
        <v>6391</v>
      </c>
      <c r="K466" s="27" t="s">
        <v>6392</v>
      </c>
      <c r="L466" s="28"/>
      <c r="M466" s="28"/>
      <c r="S466" s="28">
        <v>1900018087</v>
      </c>
      <c r="T466" s="28">
        <v>1900026204</v>
      </c>
      <c r="U466" s="28">
        <v>1900026255</v>
      </c>
      <c r="V466" s="28">
        <v>1900028059</v>
      </c>
      <c r="W466" s="28">
        <v>1900033062</v>
      </c>
      <c r="AE466" s="27" t="s">
        <v>179</v>
      </c>
      <c r="AF466" s="27" t="s">
        <v>570</v>
      </c>
      <c r="AG466" s="27" t="s">
        <v>570</v>
      </c>
      <c r="AH466" s="27" t="s">
        <v>678</v>
      </c>
      <c r="AI466" s="27" t="s">
        <v>1112</v>
      </c>
      <c r="AQ466" s="28" t="s">
        <v>186</v>
      </c>
      <c r="AR466" s="28" t="s">
        <v>186</v>
      </c>
      <c r="AS466" s="28" t="s">
        <v>186</v>
      </c>
      <c r="AT466" s="28" t="s">
        <v>186</v>
      </c>
      <c r="AU466" s="28" t="s">
        <v>186</v>
      </c>
      <c r="BC466" s="28">
        <v>81226178542</v>
      </c>
      <c r="BD466" s="28">
        <v>89669025888</v>
      </c>
      <c r="BE466" s="28">
        <v>82135615302</v>
      </c>
      <c r="BF466" s="28">
        <v>82142140119</v>
      </c>
      <c r="BG466" s="28">
        <v>85743650332</v>
      </c>
      <c r="BO466" s="39">
        <v>60150780</v>
      </c>
      <c r="BP466" s="18" t="s">
        <v>6393</v>
      </c>
      <c r="BQ466" s="37">
        <v>44958</v>
      </c>
      <c r="BR466" s="8">
        <f t="shared" si="1"/>
        <v>5</v>
      </c>
    </row>
    <row r="467" spans="1:70" ht="14">
      <c r="A467" s="4" t="str">
        <v>Reguler Periode ke-105 I.A.2</v>
      </c>
      <c r="B467" s="4" t="s">
        <v>6384</v>
      </c>
      <c r="C467" s="4" t="s">
        <v>216</v>
      </c>
      <c r="D467" s="4" t="s">
        <v>6385</v>
      </c>
      <c r="E467" s="4" t="s">
        <v>6394</v>
      </c>
      <c r="F467" s="4" t="s">
        <v>6387</v>
      </c>
      <c r="G467" s="27" t="s">
        <v>6395</v>
      </c>
      <c r="H467" s="27" t="s">
        <v>6396</v>
      </c>
      <c r="I467" s="27" t="s">
        <v>6397</v>
      </c>
      <c r="J467" s="27" t="s">
        <v>6398</v>
      </c>
      <c r="K467" s="27" t="s">
        <v>6399</v>
      </c>
      <c r="L467" s="28"/>
      <c r="S467" s="28">
        <v>1900004156</v>
      </c>
      <c r="T467" s="28">
        <v>1900011018</v>
      </c>
      <c r="U467" s="28">
        <v>1900026068</v>
      </c>
      <c r="V467" s="28">
        <v>1900026274</v>
      </c>
      <c r="W467" s="28">
        <v>1900070027</v>
      </c>
      <c r="AE467" s="27" t="s">
        <v>201</v>
      </c>
      <c r="AF467" s="27" t="s">
        <v>182</v>
      </c>
      <c r="AG467" s="27" t="s">
        <v>570</v>
      </c>
      <c r="AH467" s="27" t="s">
        <v>570</v>
      </c>
      <c r="AI467" s="27" t="s">
        <v>2473</v>
      </c>
      <c r="AQ467" s="28" t="s">
        <v>186</v>
      </c>
      <c r="AR467" s="28" t="s">
        <v>187</v>
      </c>
      <c r="AS467" s="28" t="s">
        <v>186</v>
      </c>
      <c r="AT467" s="28" t="s">
        <v>187</v>
      </c>
      <c r="AU467" s="28" t="s">
        <v>187</v>
      </c>
      <c r="BC467" s="28">
        <v>87888926171</v>
      </c>
      <c r="BD467" s="28">
        <v>81219979898</v>
      </c>
      <c r="BE467" s="28">
        <v>81382125854</v>
      </c>
      <c r="BF467" s="28">
        <v>81218262545</v>
      </c>
      <c r="BG467" s="28">
        <v>8111632567</v>
      </c>
      <c r="BO467" s="39">
        <v>60150780</v>
      </c>
      <c r="BP467" s="18" t="s">
        <v>6400</v>
      </c>
      <c r="BQ467" s="37">
        <v>44958</v>
      </c>
      <c r="BR467" s="8">
        <f t="shared" si="1"/>
        <v>5</v>
      </c>
    </row>
    <row r="468" spans="1:70" ht="14">
      <c r="A468" s="4" t="str">
        <v>Reguler Periode ke-105 I.A.3</v>
      </c>
      <c r="B468" s="4" t="s">
        <v>6384</v>
      </c>
      <c r="C468" s="4" t="s">
        <v>238</v>
      </c>
      <c r="D468" s="4" t="s">
        <v>6385</v>
      </c>
      <c r="E468" s="4" t="s">
        <v>6401</v>
      </c>
      <c r="F468" s="4" t="s">
        <v>6402</v>
      </c>
      <c r="G468" s="27" t="s">
        <v>6403</v>
      </c>
      <c r="H468" s="27" t="s">
        <v>6404</v>
      </c>
      <c r="I468" s="27" t="s">
        <v>6405</v>
      </c>
      <c r="J468" s="68" t="s">
        <v>6406</v>
      </c>
      <c r="K468" s="27" t="s">
        <v>6407</v>
      </c>
      <c r="L468" s="27" t="s">
        <v>6408</v>
      </c>
      <c r="M468" s="28"/>
      <c r="S468" s="28">
        <v>1900004142</v>
      </c>
      <c r="T468" s="28">
        <v>1900013017</v>
      </c>
      <c r="U468" s="28">
        <v>1900013398</v>
      </c>
      <c r="V468" s="28">
        <v>1900020077</v>
      </c>
      <c r="W468" s="28">
        <v>1900026253</v>
      </c>
      <c r="X468" s="28">
        <v>1900032165</v>
      </c>
      <c r="AE468" s="27" t="s">
        <v>201</v>
      </c>
      <c r="AF468" s="27" t="s">
        <v>677</v>
      </c>
      <c r="AG468" s="27" t="s">
        <v>677</v>
      </c>
      <c r="AH468" s="68" t="s">
        <v>351</v>
      </c>
      <c r="AI468" s="27" t="s">
        <v>570</v>
      </c>
      <c r="AJ468" s="27" t="s">
        <v>732</v>
      </c>
      <c r="AQ468" s="28" t="s">
        <v>187</v>
      </c>
      <c r="AR468" s="28" t="s">
        <v>186</v>
      </c>
      <c r="AS468" s="28" t="s">
        <v>187</v>
      </c>
      <c r="AT468" s="28" t="s">
        <v>187</v>
      </c>
      <c r="AU468" s="28" t="s">
        <v>186</v>
      </c>
      <c r="AV468" s="28" t="s">
        <v>187</v>
      </c>
      <c r="BC468" s="28">
        <v>85388890406</v>
      </c>
      <c r="BD468" s="28">
        <v>81314697804</v>
      </c>
      <c r="BE468" s="28">
        <v>89502106699</v>
      </c>
      <c r="BF468" s="28">
        <v>85156365869</v>
      </c>
      <c r="BG468" s="28">
        <v>81354116121</v>
      </c>
      <c r="BH468" s="28">
        <v>87737184279</v>
      </c>
      <c r="BO468" s="39">
        <v>60150780</v>
      </c>
      <c r="BP468" s="18" t="s">
        <v>6409</v>
      </c>
      <c r="BQ468" s="37">
        <v>44958</v>
      </c>
      <c r="BR468" s="8">
        <f t="shared" si="1"/>
        <v>6</v>
      </c>
    </row>
    <row r="469" spans="1:70" ht="14">
      <c r="A469" s="4" t="str">
        <v>Reguler Periode ke-106 I.A.1</v>
      </c>
      <c r="B469" s="4" t="s">
        <v>6410</v>
      </c>
      <c r="C469" s="4" t="s">
        <v>165</v>
      </c>
      <c r="D469" s="4" t="s">
        <v>6411</v>
      </c>
      <c r="E469" s="4" t="s">
        <v>6412</v>
      </c>
      <c r="F469" s="4" t="s">
        <v>6412</v>
      </c>
      <c r="G469" s="27" t="s">
        <v>6413</v>
      </c>
      <c r="H469" s="27" t="s">
        <v>6414</v>
      </c>
      <c r="I469" s="27" t="s">
        <v>6415</v>
      </c>
      <c r="J469" s="27" t="s">
        <v>6416</v>
      </c>
      <c r="K469" s="27" t="s">
        <v>6417</v>
      </c>
      <c r="L469" s="27" t="s">
        <v>6418</v>
      </c>
      <c r="M469" s="27" t="s">
        <v>6419</v>
      </c>
      <c r="N469" s="27" t="s">
        <v>6420</v>
      </c>
      <c r="O469" s="27" t="s">
        <v>6421</v>
      </c>
      <c r="P469" s="27" t="s">
        <v>6422</v>
      </c>
      <c r="Q469" s="27" t="s">
        <v>6423</v>
      </c>
      <c r="S469" s="27">
        <v>1800030162</v>
      </c>
      <c r="T469" s="27">
        <v>1900010009</v>
      </c>
      <c r="U469" s="27">
        <v>1900013099</v>
      </c>
      <c r="V469" s="27">
        <v>1900016107</v>
      </c>
      <c r="W469" s="27">
        <v>1900018298</v>
      </c>
      <c r="X469" s="27">
        <v>1900026262</v>
      </c>
      <c r="Y469" s="27">
        <v>1900029156</v>
      </c>
      <c r="Z469" s="27">
        <v>1900029200</v>
      </c>
      <c r="AA469" s="27">
        <v>1900032209</v>
      </c>
      <c r="AB469" s="27">
        <v>1900033136</v>
      </c>
      <c r="AC469" s="27">
        <v>1900070034</v>
      </c>
      <c r="AE469" s="27" t="s">
        <v>184</v>
      </c>
      <c r="AF469" s="27" t="s">
        <v>532</v>
      </c>
      <c r="AG469" s="27" t="s">
        <v>677</v>
      </c>
      <c r="AH469" s="27" t="s">
        <v>531</v>
      </c>
      <c r="AI469" s="27" t="s">
        <v>179</v>
      </c>
      <c r="AJ469" s="27" t="s">
        <v>570</v>
      </c>
      <c r="AK469" s="27" t="s">
        <v>533</v>
      </c>
      <c r="AL469" s="27" t="s">
        <v>533</v>
      </c>
      <c r="AM469" s="27" t="s">
        <v>732</v>
      </c>
      <c r="AN469" s="27" t="s">
        <v>1112</v>
      </c>
      <c r="AO469" s="27" t="s">
        <v>2473</v>
      </c>
      <c r="AQ469" s="28" t="s">
        <v>186</v>
      </c>
      <c r="AR469" s="28" t="s">
        <v>186</v>
      </c>
      <c r="AS469" s="28" t="s">
        <v>186</v>
      </c>
      <c r="AT469" s="28" t="s">
        <v>186</v>
      </c>
      <c r="AU469" s="28" t="s">
        <v>186</v>
      </c>
      <c r="AV469" s="28" t="s">
        <v>186</v>
      </c>
      <c r="AW469" s="28" t="s">
        <v>187</v>
      </c>
      <c r="AX469" s="28" t="s">
        <v>186</v>
      </c>
      <c r="AY469" s="28" t="s">
        <v>187</v>
      </c>
      <c r="AZ469" s="28" t="s">
        <v>186</v>
      </c>
      <c r="BA469" s="28" t="s">
        <v>187</v>
      </c>
      <c r="BC469" s="28">
        <v>82269509955</v>
      </c>
      <c r="BD469" s="28">
        <v>82170966801</v>
      </c>
      <c r="BE469" s="28">
        <v>87893084763</v>
      </c>
      <c r="BF469" s="28">
        <v>81227442795</v>
      </c>
      <c r="BG469" s="28">
        <v>89527328724</v>
      </c>
      <c r="BH469" s="43" t="s">
        <v>6424</v>
      </c>
      <c r="BI469" s="28">
        <v>85762708656</v>
      </c>
      <c r="BJ469" s="28">
        <v>85731723144</v>
      </c>
      <c r="BK469" s="28">
        <v>82289448400</v>
      </c>
      <c r="BL469" s="28">
        <v>85771399018</v>
      </c>
      <c r="BM469" s="28">
        <v>85216625807</v>
      </c>
      <c r="BO469" s="39">
        <v>60010371</v>
      </c>
      <c r="BP469" s="18" t="s">
        <v>6425</v>
      </c>
      <c r="BQ469" s="37">
        <v>44956</v>
      </c>
      <c r="BR469" s="8">
        <f t="shared" si="1"/>
        <v>11</v>
      </c>
    </row>
    <row r="470" spans="1:70" ht="12.5">
      <c r="A470" s="4" t="str">
        <v>Alternatif Periode ke-86 I.A.1</v>
      </c>
      <c r="B470" s="4" t="s">
        <v>6426</v>
      </c>
      <c r="C470" s="7" t="s">
        <v>165</v>
      </c>
      <c r="D470" s="4" t="s">
        <v>2249</v>
      </c>
      <c r="E470" s="4" t="s">
        <v>6427</v>
      </c>
      <c r="F470" s="4" t="s">
        <v>520</v>
      </c>
      <c r="G470" s="4" t="s">
        <v>6428</v>
      </c>
      <c r="H470" s="4" t="s">
        <v>6429</v>
      </c>
      <c r="I470" s="4" t="s">
        <v>6430</v>
      </c>
      <c r="J470" s="4" t="s">
        <v>6431</v>
      </c>
      <c r="K470" s="4" t="s">
        <v>6432</v>
      </c>
      <c r="L470" s="4" t="s">
        <v>6433</v>
      </c>
      <c r="M470" s="4" t="s">
        <v>6434</v>
      </c>
      <c r="N470" s="4" t="s">
        <v>6435</v>
      </c>
      <c r="O470" s="4" t="s">
        <v>6436</v>
      </c>
      <c r="S470" s="4">
        <v>1700011185</v>
      </c>
      <c r="T470" s="4">
        <v>1700018106</v>
      </c>
      <c r="U470" s="4">
        <v>1700018246</v>
      </c>
      <c r="V470" s="4">
        <v>1700029029</v>
      </c>
      <c r="W470" s="4">
        <v>1800001215</v>
      </c>
      <c r="X470" s="4">
        <v>1800024233</v>
      </c>
      <c r="Y470" s="4">
        <v>1800030245</v>
      </c>
      <c r="Z470" s="4">
        <v>1900001103</v>
      </c>
      <c r="AA470" s="4">
        <v>1900006073</v>
      </c>
      <c r="AE470" s="4" t="s">
        <v>182</v>
      </c>
      <c r="AF470" s="4" t="s">
        <v>179</v>
      </c>
      <c r="AG470" s="4" t="s">
        <v>179</v>
      </c>
      <c r="AH470" s="4" t="s">
        <v>533</v>
      </c>
      <c r="AI470" s="4" t="s">
        <v>180</v>
      </c>
      <c r="AJ470" s="4" t="s">
        <v>924</v>
      </c>
      <c r="AK470" s="4" t="s">
        <v>184</v>
      </c>
      <c r="AL470" s="4" t="s">
        <v>180</v>
      </c>
      <c r="AM470" s="4" t="s">
        <v>745</v>
      </c>
      <c r="AQ470" s="4" t="s">
        <v>187</v>
      </c>
      <c r="AR470" s="4" t="s">
        <v>187</v>
      </c>
      <c r="AS470" s="4" t="s">
        <v>186</v>
      </c>
      <c r="AT470" s="4" t="s">
        <v>186</v>
      </c>
      <c r="AU470" s="4" t="s">
        <v>186</v>
      </c>
      <c r="AV470" s="4" t="s">
        <v>187</v>
      </c>
      <c r="AW470" s="4" t="s">
        <v>187</v>
      </c>
      <c r="AX470" s="4" t="s">
        <v>187</v>
      </c>
      <c r="AY470" s="4" t="s">
        <v>186</v>
      </c>
      <c r="BC470" s="4">
        <v>82297916229</v>
      </c>
      <c r="BD470" s="4">
        <v>82325673367</v>
      </c>
      <c r="BE470" s="4">
        <v>81217463416</v>
      </c>
      <c r="BF470" s="4">
        <v>81327277142</v>
      </c>
      <c r="BG470" s="4">
        <v>85246844859</v>
      </c>
      <c r="BH470" s="4">
        <v>88803907328</v>
      </c>
      <c r="BI470" s="4">
        <v>81212737608</v>
      </c>
      <c r="BJ470" s="4">
        <v>89607711957</v>
      </c>
      <c r="BK470" s="4">
        <v>85398885044</v>
      </c>
      <c r="BO470" s="29" t="s">
        <v>491</v>
      </c>
      <c r="BP470" s="18" t="s">
        <v>6437</v>
      </c>
      <c r="BQ470" s="37">
        <v>44970</v>
      </c>
      <c r="BR470" s="8">
        <f t="shared" si="1"/>
        <v>9</v>
      </c>
    </row>
    <row r="471" spans="1:70" ht="12.5">
      <c r="A471" s="4" t="str">
        <v>Alternatif Periode ke-86 I.A.2</v>
      </c>
      <c r="B471" s="4" t="s">
        <v>6426</v>
      </c>
      <c r="C471" s="7" t="s">
        <v>216</v>
      </c>
      <c r="D471" s="4" t="s">
        <v>2249</v>
      </c>
      <c r="E471" s="4" t="s">
        <v>6438</v>
      </c>
      <c r="F471" s="4" t="s">
        <v>520</v>
      </c>
      <c r="G471" s="4" t="s">
        <v>6439</v>
      </c>
      <c r="H471" s="4" t="s">
        <v>6440</v>
      </c>
      <c r="I471" s="4" t="s">
        <v>6441</v>
      </c>
      <c r="J471" s="4" t="s">
        <v>6442</v>
      </c>
      <c r="K471" s="4" t="s">
        <v>6443</v>
      </c>
      <c r="L471" s="4" t="s">
        <v>6444</v>
      </c>
      <c r="M471" s="4" t="s">
        <v>6445</v>
      </c>
      <c r="N471" s="4" t="s">
        <v>6446</v>
      </c>
      <c r="O471" s="4" t="s">
        <v>6447</v>
      </c>
      <c r="S471" s="4">
        <v>1700018245</v>
      </c>
      <c r="T471" s="4">
        <v>1800001171</v>
      </c>
      <c r="U471" s="4">
        <v>1800011287</v>
      </c>
      <c r="V471" s="4">
        <v>1800018341</v>
      </c>
      <c r="W471" s="4">
        <v>1800030334</v>
      </c>
      <c r="X471" s="4">
        <v>1800030511</v>
      </c>
      <c r="Y471" s="4">
        <v>1900004039</v>
      </c>
      <c r="Z471" s="4">
        <v>1900010076</v>
      </c>
      <c r="AA471" s="4">
        <v>1900024119</v>
      </c>
      <c r="AE471" s="4" t="s">
        <v>179</v>
      </c>
      <c r="AF471" s="4" t="s">
        <v>180</v>
      </c>
      <c r="AG471" s="4" t="s">
        <v>182</v>
      </c>
      <c r="AH471" s="4" t="s">
        <v>179</v>
      </c>
      <c r="AI471" s="4" t="s">
        <v>184</v>
      </c>
      <c r="AJ471" s="4" t="s">
        <v>184</v>
      </c>
      <c r="AK471" s="4" t="s">
        <v>201</v>
      </c>
      <c r="AL471" s="4" t="s">
        <v>532</v>
      </c>
      <c r="AM471" s="4" t="s">
        <v>924</v>
      </c>
      <c r="AQ471" s="4" t="s">
        <v>187</v>
      </c>
      <c r="AR471" s="4" t="s">
        <v>186</v>
      </c>
      <c r="AS471" s="4" t="s">
        <v>187</v>
      </c>
      <c r="AT471" s="4" t="s">
        <v>186</v>
      </c>
      <c r="AU471" s="4" t="s">
        <v>187</v>
      </c>
      <c r="AV471" s="4" t="s">
        <v>186</v>
      </c>
      <c r="AW471" s="4" t="s">
        <v>187</v>
      </c>
      <c r="AX471" s="4" t="s">
        <v>186</v>
      </c>
      <c r="AY471" s="4" t="s">
        <v>187</v>
      </c>
      <c r="BC471" s="4" t="s">
        <v>6448</v>
      </c>
      <c r="BD471" s="4">
        <v>87863848666</v>
      </c>
      <c r="BE471" s="4">
        <v>81215564263</v>
      </c>
      <c r="BF471" s="4">
        <v>85236934500</v>
      </c>
      <c r="BG471" s="4">
        <v>85713861690</v>
      </c>
      <c r="BH471" s="4">
        <v>85743861273</v>
      </c>
      <c r="BI471" s="4">
        <v>87844665042</v>
      </c>
      <c r="BJ471" s="4">
        <v>82325605586</v>
      </c>
      <c r="BK471" s="4">
        <v>81225348790</v>
      </c>
      <c r="BO471" s="29" t="s">
        <v>491</v>
      </c>
      <c r="BP471" s="18" t="s">
        <v>6449</v>
      </c>
      <c r="BQ471" s="37">
        <v>44970</v>
      </c>
      <c r="BR471" s="8">
        <f t="shared" si="1"/>
        <v>9</v>
      </c>
    </row>
    <row r="472" spans="1:70" ht="12.5">
      <c r="A472" s="4" t="str">
        <v>Alternatif Periode ke-86 I.A.3</v>
      </c>
      <c r="B472" s="4" t="s">
        <v>6426</v>
      </c>
      <c r="C472" s="7" t="s">
        <v>238</v>
      </c>
      <c r="D472" s="4" t="s">
        <v>2249</v>
      </c>
      <c r="E472" s="4" t="s">
        <v>6450</v>
      </c>
      <c r="F472" s="4" t="s">
        <v>520</v>
      </c>
      <c r="G472" s="4" t="s">
        <v>6451</v>
      </c>
      <c r="H472" s="4" t="s">
        <v>6452</v>
      </c>
      <c r="I472" s="4" t="s">
        <v>6453</v>
      </c>
      <c r="J472" s="4" t="s">
        <v>6454</v>
      </c>
      <c r="K472" s="4" t="s">
        <v>6455</v>
      </c>
      <c r="L472" s="4" t="s">
        <v>6456</v>
      </c>
      <c r="M472" s="4" t="s">
        <v>6457</v>
      </c>
      <c r="N472" s="4" t="s">
        <v>6458</v>
      </c>
      <c r="O472" s="4" t="s">
        <v>6459</v>
      </c>
      <c r="S472" s="4">
        <v>1600018202</v>
      </c>
      <c r="T472" s="4">
        <v>1700018235</v>
      </c>
      <c r="U472" s="4">
        <v>1800001137</v>
      </c>
      <c r="V472" s="4">
        <v>1800005125</v>
      </c>
      <c r="W472" s="4">
        <v>1800010022</v>
      </c>
      <c r="X472" s="4">
        <v>1800030329</v>
      </c>
      <c r="Y472" s="4">
        <v>1800030421</v>
      </c>
      <c r="Z472" s="4">
        <v>1900012127</v>
      </c>
      <c r="AA472" s="4">
        <v>1900024302</v>
      </c>
      <c r="AE472" s="4" t="s">
        <v>179</v>
      </c>
      <c r="AF472" s="4" t="s">
        <v>179</v>
      </c>
      <c r="AG472" s="4" t="s">
        <v>180</v>
      </c>
      <c r="AH472" s="4" t="s">
        <v>181</v>
      </c>
      <c r="AI472" s="4" t="s">
        <v>532</v>
      </c>
      <c r="AJ472" s="4" t="s">
        <v>184</v>
      </c>
      <c r="AK472" s="4" t="s">
        <v>184</v>
      </c>
      <c r="AL472" s="4" t="s">
        <v>885</v>
      </c>
      <c r="AM472" s="4" t="s">
        <v>924</v>
      </c>
      <c r="AQ472" s="4" t="s">
        <v>187</v>
      </c>
      <c r="AR472" s="4" t="s">
        <v>186</v>
      </c>
      <c r="AS472" s="4" t="s">
        <v>186</v>
      </c>
      <c r="AT472" s="4" t="s">
        <v>187</v>
      </c>
      <c r="AU472" s="4" t="s">
        <v>186</v>
      </c>
      <c r="AV472" s="4" t="s">
        <v>187</v>
      </c>
      <c r="AW472" s="4" t="s">
        <v>186</v>
      </c>
      <c r="AX472" s="4" t="s">
        <v>187</v>
      </c>
      <c r="AY472" s="4" t="s">
        <v>187</v>
      </c>
      <c r="BC472" s="4">
        <v>81215567726</v>
      </c>
      <c r="BD472" s="4">
        <v>82199423133</v>
      </c>
      <c r="BE472" s="4">
        <v>85866502657</v>
      </c>
      <c r="BF472" s="4">
        <v>85606737226</v>
      </c>
      <c r="BG472" s="4">
        <v>89666630720</v>
      </c>
      <c r="BH472" s="4">
        <v>85366042293</v>
      </c>
      <c r="BI472" s="4">
        <v>85600057098</v>
      </c>
      <c r="BJ472" s="4">
        <v>85640861776</v>
      </c>
      <c r="BK472" s="4">
        <v>85767401592</v>
      </c>
      <c r="BO472" s="29" t="s">
        <v>491</v>
      </c>
      <c r="BP472" s="18" t="s">
        <v>6460</v>
      </c>
      <c r="BQ472" s="37">
        <v>44970</v>
      </c>
      <c r="BR472" s="8">
        <f t="shared" si="1"/>
        <v>9</v>
      </c>
    </row>
    <row r="473" spans="1:70" ht="12.5">
      <c r="A473" s="4" t="str">
        <v>Alternatif Periode ke-86 I.B.1</v>
      </c>
      <c r="B473" s="4" t="s">
        <v>6426</v>
      </c>
      <c r="C473" s="7" t="s">
        <v>260</v>
      </c>
      <c r="D473" s="4" t="s">
        <v>6461</v>
      </c>
      <c r="E473" s="4" t="s">
        <v>6462</v>
      </c>
      <c r="F473" s="4" t="s">
        <v>520</v>
      </c>
      <c r="G473" s="4" t="s">
        <v>6463</v>
      </c>
      <c r="H473" s="4" t="s">
        <v>6464</v>
      </c>
      <c r="I473" s="4" t="s">
        <v>6465</v>
      </c>
      <c r="J473" s="4" t="s">
        <v>6466</v>
      </c>
      <c r="K473" s="4" t="s">
        <v>6467</v>
      </c>
      <c r="L473" s="4" t="s">
        <v>6468</v>
      </c>
      <c r="M473" s="4" t="s">
        <v>6469</v>
      </c>
      <c r="N473" s="4" t="s">
        <v>6470</v>
      </c>
      <c r="O473" s="4" t="s">
        <v>6471</v>
      </c>
      <c r="S473" s="4">
        <v>1800005137</v>
      </c>
      <c r="T473" s="4">
        <v>1800012238</v>
      </c>
      <c r="U473" s="4">
        <v>1800025053</v>
      </c>
      <c r="V473" s="4">
        <v>1800030113</v>
      </c>
      <c r="W473" s="4">
        <v>1800030189</v>
      </c>
      <c r="X473" s="4">
        <v>1900002018</v>
      </c>
      <c r="Y473" s="4">
        <v>1900010089</v>
      </c>
      <c r="Z473" s="4">
        <v>1900018063</v>
      </c>
      <c r="AA473" s="4">
        <v>1900018253</v>
      </c>
      <c r="AE473" s="4" t="s">
        <v>181</v>
      </c>
      <c r="AF473" s="4" t="s">
        <v>885</v>
      </c>
      <c r="AG473" s="4" t="s">
        <v>1168</v>
      </c>
      <c r="AH473" s="4" t="s">
        <v>184</v>
      </c>
      <c r="AI473" s="4" t="s">
        <v>184</v>
      </c>
      <c r="AJ473" s="4" t="s">
        <v>1043</v>
      </c>
      <c r="AK473" s="4" t="s">
        <v>532</v>
      </c>
      <c r="AL473" s="4" t="s">
        <v>179</v>
      </c>
      <c r="AM473" s="4" t="s">
        <v>179</v>
      </c>
      <c r="AQ473" s="4" t="s">
        <v>187</v>
      </c>
      <c r="AR473" s="4" t="s">
        <v>187</v>
      </c>
      <c r="AS473" s="4" t="s">
        <v>187</v>
      </c>
      <c r="AT473" s="4" t="s">
        <v>186</v>
      </c>
      <c r="AU473" s="4" t="s">
        <v>187</v>
      </c>
      <c r="AV473" s="4" t="s">
        <v>186</v>
      </c>
      <c r="AW473" s="4" t="s">
        <v>186</v>
      </c>
      <c r="AX473" s="4" t="s">
        <v>186</v>
      </c>
      <c r="AY473" s="4" t="s">
        <v>187</v>
      </c>
      <c r="BC473" s="4">
        <v>82133449667</v>
      </c>
      <c r="BD473" s="4">
        <v>8562529332</v>
      </c>
      <c r="BE473" s="4">
        <v>85640483905</v>
      </c>
      <c r="BF473" s="4">
        <v>82199012167</v>
      </c>
      <c r="BG473" s="4">
        <v>81230456879</v>
      </c>
      <c r="BH473" s="4">
        <v>85333818611</v>
      </c>
      <c r="BI473" s="4">
        <v>81240854646</v>
      </c>
      <c r="BJ473" s="4">
        <v>82116388394</v>
      </c>
      <c r="BK473" s="4">
        <v>82139296007</v>
      </c>
      <c r="BO473" s="29">
        <v>60160931</v>
      </c>
      <c r="BP473" s="18" t="s">
        <v>6472</v>
      </c>
      <c r="BQ473" s="37">
        <v>44970</v>
      </c>
      <c r="BR473" s="8">
        <f t="shared" si="1"/>
        <v>9</v>
      </c>
    </row>
    <row r="474" spans="1:70" ht="12.5">
      <c r="A474" s="4" t="str">
        <v>Alternatif Periode ke-86 I.B.2</v>
      </c>
      <c r="B474" s="4" t="s">
        <v>6426</v>
      </c>
      <c r="C474" s="7" t="s">
        <v>280</v>
      </c>
      <c r="D474" s="4" t="s">
        <v>6461</v>
      </c>
      <c r="E474" s="4" t="s">
        <v>6473</v>
      </c>
      <c r="F474" s="4" t="s">
        <v>520</v>
      </c>
      <c r="G474" s="4" t="s">
        <v>6474</v>
      </c>
      <c r="H474" s="4" t="s">
        <v>1437</v>
      </c>
      <c r="I474" s="4" t="s">
        <v>6475</v>
      </c>
      <c r="J474" s="4" t="s">
        <v>6476</v>
      </c>
      <c r="K474" s="4" t="s">
        <v>6477</v>
      </c>
      <c r="L474" s="4" t="s">
        <v>6478</v>
      </c>
      <c r="M474" s="4" t="s">
        <v>6479</v>
      </c>
      <c r="N474" s="4" t="s">
        <v>6480</v>
      </c>
      <c r="O474" s="4" t="s">
        <v>6481</v>
      </c>
      <c r="S474" s="4">
        <v>1600011192</v>
      </c>
      <c r="T474" s="4">
        <v>1700003113</v>
      </c>
      <c r="U474" s="4">
        <v>1700018069</v>
      </c>
      <c r="V474" s="4">
        <v>1800012062</v>
      </c>
      <c r="W474" s="4">
        <v>1800030310</v>
      </c>
      <c r="X474" s="4">
        <v>1900005129</v>
      </c>
      <c r="Y474" s="4">
        <v>1900022066</v>
      </c>
      <c r="Z474" s="4">
        <v>1900030300</v>
      </c>
      <c r="AA474" s="4">
        <v>1911025034</v>
      </c>
      <c r="AE474" s="4" t="s">
        <v>182</v>
      </c>
      <c r="AF474" s="4" t="s">
        <v>178</v>
      </c>
      <c r="AG474" s="4" t="s">
        <v>179</v>
      </c>
      <c r="AH474" s="4" t="s">
        <v>885</v>
      </c>
      <c r="AI474" s="4" t="s">
        <v>184</v>
      </c>
      <c r="AJ474" s="4" t="s">
        <v>181</v>
      </c>
      <c r="AK474" s="4" t="s">
        <v>872</v>
      </c>
      <c r="AL474" s="4" t="s">
        <v>184</v>
      </c>
      <c r="AM474" s="4" t="s">
        <v>1168</v>
      </c>
      <c r="AQ474" s="4" t="s">
        <v>186</v>
      </c>
      <c r="AR474" s="4" t="s">
        <v>186</v>
      </c>
      <c r="AS474" s="4" t="s">
        <v>187</v>
      </c>
      <c r="AT474" s="4" t="s">
        <v>187</v>
      </c>
      <c r="AU474" s="4" t="s">
        <v>187</v>
      </c>
      <c r="AV474" s="4" t="s">
        <v>187</v>
      </c>
      <c r="AW474" s="4" t="s">
        <v>186</v>
      </c>
      <c r="AX474" s="4" t="s">
        <v>186</v>
      </c>
      <c r="AY474" s="4" t="s">
        <v>187</v>
      </c>
      <c r="BC474" s="4">
        <v>82152635163</v>
      </c>
      <c r="BD474" s="4">
        <v>81368688624</v>
      </c>
      <c r="BE474" s="4">
        <v>82248479470</v>
      </c>
      <c r="BF474" s="4">
        <v>82376302893</v>
      </c>
      <c r="BG474" s="4">
        <v>81215225778</v>
      </c>
      <c r="BH474" s="4">
        <v>85799920551</v>
      </c>
      <c r="BI474" s="4">
        <v>82142567407</v>
      </c>
      <c r="BJ474" s="4">
        <v>87705545819</v>
      </c>
      <c r="BK474" s="4">
        <v>881023799860</v>
      </c>
      <c r="BO474" s="29">
        <v>60160931</v>
      </c>
      <c r="BP474" s="18" t="s">
        <v>6482</v>
      </c>
      <c r="BQ474" s="37">
        <v>44970</v>
      </c>
      <c r="BR474" s="8">
        <f t="shared" si="1"/>
        <v>9</v>
      </c>
    </row>
    <row r="475" spans="1:70" ht="12.5">
      <c r="A475" s="4" t="str">
        <v>Alternatif Periode ke-86 I.B.3</v>
      </c>
      <c r="B475" s="4" t="s">
        <v>6426</v>
      </c>
      <c r="C475" s="7" t="s">
        <v>299</v>
      </c>
      <c r="D475" s="4" t="s">
        <v>6461</v>
      </c>
      <c r="E475" s="4" t="s">
        <v>6483</v>
      </c>
      <c r="F475" s="4" t="s">
        <v>520</v>
      </c>
      <c r="G475" s="4" t="s">
        <v>6484</v>
      </c>
      <c r="H475" s="4" t="s">
        <v>6485</v>
      </c>
      <c r="I475" s="4" t="s">
        <v>6486</v>
      </c>
      <c r="J475" s="4" t="s">
        <v>6487</v>
      </c>
      <c r="K475" s="4" t="s">
        <v>6488</v>
      </c>
      <c r="L475" s="4" t="s">
        <v>1479</v>
      </c>
      <c r="M475" s="4" t="s">
        <v>6489</v>
      </c>
      <c r="N475" s="4" t="s">
        <v>6490</v>
      </c>
      <c r="O475" s="4" t="s">
        <v>6491</v>
      </c>
      <c r="S475" s="4">
        <v>1600005195</v>
      </c>
      <c r="T475" s="4">
        <v>1600018242</v>
      </c>
      <c r="U475" s="4">
        <v>1600030083</v>
      </c>
      <c r="V475" s="4">
        <v>1700003050</v>
      </c>
      <c r="W475" s="4">
        <v>1700013102</v>
      </c>
      <c r="X475" s="4">
        <v>1700026169</v>
      </c>
      <c r="Y475" s="4">
        <v>1800022015</v>
      </c>
      <c r="Z475" s="4">
        <v>1900011043</v>
      </c>
      <c r="AA475" s="4">
        <v>1900030331</v>
      </c>
      <c r="AE475" s="4" t="s">
        <v>181</v>
      </c>
      <c r="AF475" s="4" t="s">
        <v>179</v>
      </c>
      <c r="AG475" s="4" t="s">
        <v>184</v>
      </c>
      <c r="AH475" s="4" t="s">
        <v>178</v>
      </c>
      <c r="AI475" s="4" t="s">
        <v>677</v>
      </c>
      <c r="AJ475" s="4" t="s">
        <v>570</v>
      </c>
      <c r="AK475" s="4" t="s">
        <v>872</v>
      </c>
      <c r="AL475" s="4" t="s">
        <v>182</v>
      </c>
      <c r="AM475" s="4" t="s">
        <v>184</v>
      </c>
      <c r="AQ475" s="4" t="s">
        <v>187</v>
      </c>
      <c r="AR475" s="4" t="s">
        <v>187</v>
      </c>
      <c r="AS475" s="4" t="s">
        <v>187</v>
      </c>
      <c r="AT475" s="4" t="s">
        <v>186</v>
      </c>
      <c r="AU475" s="4" t="s">
        <v>187</v>
      </c>
      <c r="AV475" s="4" t="s">
        <v>187</v>
      </c>
      <c r="AW475" s="4" t="s">
        <v>186</v>
      </c>
      <c r="AX475" s="4" t="s">
        <v>186</v>
      </c>
      <c r="AY475" s="4" t="s">
        <v>186</v>
      </c>
      <c r="BC475" s="4">
        <v>81228070557</v>
      </c>
      <c r="BD475" s="4">
        <v>85867433332</v>
      </c>
      <c r="BE475" s="4" t="s">
        <v>13762</v>
      </c>
      <c r="BF475" s="4">
        <v>82339197687</v>
      </c>
      <c r="BG475" s="4">
        <v>82137739174</v>
      </c>
      <c r="BH475" s="4">
        <v>6281233820653</v>
      </c>
      <c r="BI475" s="4">
        <v>81391881453</v>
      </c>
      <c r="BJ475" s="4">
        <v>6282224070076</v>
      </c>
      <c r="BK475" s="4">
        <v>89666279512</v>
      </c>
      <c r="BO475" s="29">
        <v>60160931</v>
      </c>
      <c r="BP475" s="18" t="s">
        <v>6492</v>
      </c>
      <c r="BQ475" s="37">
        <v>44970</v>
      </c>
      <c r="BR475" s="8">
        <f t="shared" si="1"/>
        <v>9</v>
      </c>
    </row>
    <row r="476" spans="1:70" ht="12.5">
      <c r="A476" s="4" t="str">
        <v>Alternatif Periode ke-86 I.C.1</v>
      </c>
      <c r="B476" s="4" t="s">
        <v>6426</v>
      </c>
      <c r="C476" s="7" t="s">
        <v>320</v>
      </c>
      <c r="D476" s="4" t="s">
        <v>3778</v>
      </c>
      <c r="E476" s="4" t="s">
        <v>6493</v>
      </c>
      <c r="F476" s="4" t="s">
        <v>520</v>
      </c>
      <c r="G476" s="4" t="s">
        <v>6494</v>
      </c>
      <c r="H476" s="4" t="s">
        <v>6495</v>
      </c>
      <c r="I476" s="4" t="s">
        <v>6496</v>
      </c>
      <c r="J476" s="4" t="s">
        <v>1353</v>
      </c>
      <c r="K476" s="4" t="s">
        <v>6497</v>
      </c>
      <c r="L476" s="4" t="s">
        <v>6498</v>
      </c>
      <c r="M476" s="4" t="s">
        <v>6499</v>
      </c>
      <c r="N476" s="4" t="s">
        <v>6500</v>
      </c>
      <c r="O476" s="4" t="s">
        <v>6501</v>
      </c>
      <c r="S476" s="4">
        <v>1600011225</v>
      </c>
      <c r="T476" s="4">
        <v>1700013028</v>
      </c>
      <c r="U476" s="4">
        <v>1800003051</v>
      </c>
      <c r="V476" s="4">
        <v>1800026035</v>
      </c>
      <c r="W476" s="4">
        <v>1800030424</v>
      </c>
      <c r="X476" s="4">
        <v>1900006106</v>
      </c>
      <c r="Y476" s="4">
        <v>1900018030</v>
      </c>
      <c r="Z476" s="4">
        <v>1900023245</v>
      </c>
      <c r="AA476" s="4">
        <v>1900030301</v>
      </c>
      <c r="AE476" s="4" t="s">
        <v>182</v>
      </c>
      <c r="AF476" s="4" t="s">
        <v>677</v>
      </c>
      <c r="AG476" s="4" t="s">
        <v>178</v>
      </c>
      <c r="AH476" s="4" t="s">
        <v>570</v>
      </c>
      <c r="AI476" s="4" t="s">
        <v>184</v>
      </c>
      <c r="AJ476" s="4" t="s">
        <v>745</v>
      </c>
      <c r="AK476" s="4" t="s">
        <v>179</v>
      </c>
      <c r="AL476" s="4" t="s">
        <v>899</v>
      </c>
      <c r="AM476" s="4" t="s">
        <v>184</v>
      </c>
      <c r="AQ476" s="4" t="s">
        <v>186</v>
      </c>
      <c r="AR476" s="4" t="s">
        <v>187</v>
      </c>
      <c r="AS476" s="4" t="s">
        <v>186</v>
      </c>
      <c r="AT476" s="4" t="s">
        <v>187</v>
      </c>
      <c r="AU476" s="4" t="s">
        <v>187</v>
      </c>
      <c r="AV476" s="4" t="s">
        <v>187</v>
      </c>
      <c r="AW476" s="4" t="s">
        <v>187</v>
      </c>
      <c r="AX476" s="4" t="s">
        <v>186</v>
      </c>
      <c r="AY476" s="4" t="s">
        <v>186</v>
      </c>
      <c r="BC476" s="4">
        <v>81392813828</v>
      </c>
      <c r="BD476" s="4">
        <v>82134744105</v>
      </c>
      <c r="BE476" s="4">
        <v>85347202058</v>
      </c>
      <c r="BF476" s="4">
        <v>82211390131</v>
      </c>
      <c r="BG476" s="4">
        <v>82282336202</v>
      </c>
      <c r="BH476" s="4">
        <v>895422558436</v>
      </c>
      <c r="BI476" s="4">
        <v>8122735858</v>
      </c>
      <c r="BJ476" s="4">
        <v>82282773123</v>
      </c>
      <c r="BK476" s="4">
        <v>82228018657</v>
      </c>
      <c r="BO476" s="39">
        <v>60040503</v>
      </c>
      <c r="BP476" s="18" t="s">
        <v>6502</v>
      </c>
      <c r="BQ476" s="37">
        <v>44970</v>
      </c>
      <c r="BR476" s="8">
        <f t="shared" si="1"/>
        <v>9</v>
      </c>
    </row>
    <row r="477" spans="1:70" ht="12.5">
      <c r="A477" s="4" t="str">
        <v>Alternatif Periode ke-86 I.C.2</v>
      </c>
      <c r="B477" s="4" t="s">
        <v>6426</v>
      </c>
      <c r="C477" s="7" t="s">
        <v>340</v>
      </c>
      <c r="D477" s="4" t="s">
        <v>3778</v>
      </c>
      <c r="E477" s="4" t="s">
        <v>6503</v>
      </c>
      <c r="F477" s="4" t="s">
        <v>520</v>
      </c>
      <c r="G477" s="4" t="s">
        <v>6504</v>
      </c>
      <c r="H477" s="4" t="s">
        <v>6505</v>
      </c>
      <c r="I477" s="4" t="s">
        <v>6506</v>
      </c>
      <c r="J477" s="4" t="s">
        <v>6507</v>
      </c>
      <c r="K477" s="4" t="s">
        <v>6508</v>
      </c>
      <c r="L477" s="4" t="s">
        <v>6509</v>
      </c>
      <c r="M477" s="4" t="s">
        <v>6510</v>
      </c>
      <c r="N477" s="4" t="s">
        <v>6511</v>
      </c>
      <c r="O477" s="4" t="s">
        <v>6512</v>
      </c>
      <c r="S477" s="4">
        <v>1800004055</v>
      </c>
      <c r="T477" s="4">
        <v>1800012037</v>
      </c>
      <c r="U477" s="4">
        <v>1800014013</v>
      </c>
      <c r="V477" s="4">
        <v>1800026024</v>
      </c>
      <c r="W477" s="4">
        <v>1800030383</v>
      </c>
      <c r="X477" s="4">
        <v>1800030409</v>
      </c>
      <c r="Y477" s="4">
        <v>1900006122</v>
      </c>
      <c r="Z477" s="4">
        <v>1900018233</v>
      </c>
      <c r="AA477" s="4">
        <v>1900023267</v>
      </c>
      <c r="AE477" s="4" t="s">
        <v>201</v>
      </c>
      <c r="AF477" s="4" t="s">
        <v>885</v>
      </c>
      <c r="AG477" s="4" t="s">
        <v>770</v>
      </c>
      <c r="AH477" s="4" t="s">
        <v>570</v>
      </c>
      <c r="AI477" s="4" t="s">
        <v>184</v>
      </c>
      <c r="AJ477" s="4" t="s">
        <v>184</v>
      </c>
      <c r="AK477" s="4" t="s">
        <v>745</v>
      </c>
      <c r="AL477" s="4" t="s">
        <v>179</v>
      </c>
      <c r="AM477" s="4" t="s">
        <v>899</v>
      </c>
      <c r="AQ477" s="4" t="s">
        <v>186</v>
      </c>
      <c r="AR477" s="4" t="s">
        <v>186</v>
      </c>
      <c r="AS477" s="4" t="s">
        <v>187</v>
      </c>
      <c r="AT477" s="4" t="s">
        <v>187</v>
      </c>
      <c r="AU477" s="4" t="s">
        <v>187</v>
      </c>
      <c r="AV477" s="4" t="s">
        <v>186</v>
      </c>
      <c r="AW477" s="4" t="s">
        <v>187</v>
      </c>
      <c r="AX477" s="4" t="s">
        <v>187</v>
      </c>
      <c r="AY477" s="4" t="s">
        <v>186</v>
      </c>
      <c r="BC477" s="4">
        <v>87734239672</v>
      </c>
      <c r="BD477" s="4">
        <v>88216117716</v>
      </c>
      <c r="BE477" s="4">
        <v>895811212221</v>
      </c>
      <c r="BF477" s="4">
        <v>83144903215</v>
      </c>
      <c r="BG477" s="4">
        <v>87853122761</v>
      </c>
      <c r="BH477" s="4">
        <v>83861832190</v>
      </c>
      <c r="BI477" s="4">
        <v>82144340532</v>
      </c>
      <c r="BJ477" s="4">
        <v>8886986004</v>
      </c>
      <c r="BK477" s="4">
        <v>895418943709</v>
      </c>
      <c r="BO477" s="39">
        <v>60040503</v>
      </c>
      <c r="BP477" s="18" t="s">
        <v>6513</v>
      </c>
      <c r="BQ477" s="37">
        <v>44970</v>
      </c>
      <c r="BR477" s="8">
        <f t="shared" si="1"/>
        <v>9</v>
      </c>
    </row>
    <row r="478" spans="1:70" ht="12.5">
      <c r="A478" s="4" t="str">
        <v>Alternatif Periode ke-86 I.C.3</v>
      </c>
      <c r="B478" s="4" t="s">
        <v>6426</v>
      </c>
      <c r="C478" s="7" t="s">
        <v>360</v>
      </c>
      <c r="D478" s="4" t="s">
        <v>3778</v>
      </c>
      <c r="E478" s="4" t="s">
        <v>6514</v>
      </c>
      <c r="F478" s="4" t="s">
        <v>520</v>
      </c>
      <c r="G478" s="4" t="s">
        <v>6515</v>
      </c>
      <c r="H478" s="4" t="s">
        <v>6516</v>
      </c>
      <c r="I478" s="4" t="s">
        <v>6517</v>
      </c>
      <c r="J478" s="4" t="s">
        <v>6518</v>
      </c>
      <c r="K478" s="4" t="s">
        <v>6519</v>
      </c>
      <c r="L478" s="4" t="s">
        <v>6520</v>
      </c>
      <c r="M478" s="4" t="s">
        <v>6521</v>
      </c>
      <c r="N478" s="4" t="s">
        <v>6522</v>
      </c>
      <c r="O478" s="4" t="s">
        <v>6523</v>
      </c>
      <c r="S478" s="4">
        <v>1700018109</v>
      </c>
      <c r="T478" s="4">
        <v>1703004182</v>
      </c>
      <c r="U478" s="4">
        <v>1800009038</v>
      </c>
      <c r="V478" s="4">
        <v>1800012064</v>
      </c>
      <c r="W478" s="4">
        <v>1800026224</v>
      </c>
      <c r="X478" s="4">
        <v>1800030003</v>
      </c>
      <c r="Y478" s="4">
        <v>1800030050</v>
      </c>
      <c r="Z478" s="4">
        <v>1900016197</v>
      </c>
      <c r="AA478" s="4">
        <v>1900023121</v>
      </c>
      <c r="AE478" s="4" t="s">
        <v>179</v>
      </c>
      <c r="AF478" s="4" t="s">
        <v>201</v>
      </c>
      <c r="AG478" s="4" t="s">
        <v>952</v>
      </c>
      <c r="AH478" s="4" t="s">
        <v>885</v>
      </c>
      <c r="AI478" s="4" t="s">
        <v>570</v>
      </c>
      <c r="AJ478" s="4" t="s">
        <v>184</v>
      </c>
      <c r="AK478" s="4" t="s">
        <v>184</v>
      </c>
      <c r="AL478" s="4" t="s">
        <v>531</v>
      </c>
      <c r="AM478" s="4" t="s">
        <v>899</v>
      </c>
      <c r="AQ478" s="4" t="s">
        <v>187</v>
      </c>
      <c r="AR478" s="4" t="s">
        <v>186</v>
      </c>
      <c r="AS478" s="4" t="s">
        <v>187</v>
      </c>
      <c r="AT478" s="4" t="s">
        <v>186</v>
      </c>
      <c r="AU478" s="4" t="s">
        <v>187</v>
      </c>
      <c r="AV478" s="4" t="s">
        <v>187</v>
      </c>
      <c r="AW478" s="4" t="s">
        <v>186</v>
      </c>
      <c r="AX478" s="4" t="s">
        <v>187</v>
      </c>
      <c r="AY478" s="4" t="s">
        <v>186</v>
      </c>
      <c r="BC478" s="4">
        <v>81273767042</v>
      </c>
      <c r="BD478" s="4">
        <v>81334508607</v>
      </c>
      <c r="BE478" s="4">
        <v>82237188494</v>
      </c>
      <c r="BF478" s="4">
        <v>881010921874</v>
      </c>
      <c r="BG478" s="4">
        <v>82264331093</v>
      </c>
      <c r="BH478" s="4">
        <v>81225013760</v>
      </c>
      <c r="BI478" s="4">
        <v>85601668353</v>
      </c>
      <c r="BJ478" s="4">
        <v>88228817368</v>
      </c>
      <c r="BK478" s="4">
        <v>85795504504</v>
      </c>
      <c r="BO478" s="39">
        <v>60040503</v>
      </c>
      <c r="BP478" s="18" t="s">
        <v>6524</v>
      </c>
      <c r="BQ478" s="37">
        <v>44970</v>
      </c>
      <c r="BR478" s="8">
        <f t="shared" si="1"/>
        <v>9</v>
      </c>
    </row>
    <row r="479" spans="1:70" ht="12.5">
      <c r="A479" s="4" t="str">
        <v>Alternatif Periode ke-86 I.D.1</v>
      </c>
      <c r="B479" s="4" t="s">
        <v>6426</v>
      </c>
      <c r="C479" s="7" t="s">
        <v>379</v>
      </c>
      <c r="D479" s="4" t="s">
        <v>6525</v>
      </c>
      <c r="E479" s="4" t="s">
        <v>6526</v>
      </c>
      <c r="F479" s="4" t="s">
        <v>520</v>
      </c>
      <c r="G479" s="4" t="s">
        <v>6527</v>
      </c>
      <c r="H479" s="4" t="s">
        <v>6528</v>
      </c>
      <c r="I479" s="4" t="s">
        <v>6529</v>
      </c>
      <c r="J479" s="4" t="s">
        <v>6530</v>
      </c>
      <c r="K479" s="4" t="s">
        <v>6531</v>
      </c>
      <c r="L479" s="4" t="s">
        <v>6532</v>
      </c>
      <c r="M479" s="4" t="s">
        <v>6533</v>
      </c>
      <c r="N479" s="4" t="s">
        <v>6534</v>
      </c>
      <c r="O479" s="4" t="s">
        <v>6535</v>
      </c>
      <c r="S479" s="4">
        <v>1800012015</v>
      </c>
      <c r="T479" s="4">
        <v>1800017163</v>
      </c>
      <c r="U479" s="4">
        <v>1800019042</v>
      </c>
      <c r="V479" s="4">
        <v>1800026043</v>
      </c>
      <c r="W479" s="4">
        <v>1800031172</v>
      </c>
      <c r="X479" s="4">
        <v>1900004068</v>
      </c>
      <c r="Y479" s="4">
        <v>1900024260</v>
      </c>
      <c r="Z479" s="4">
        <v>1900031230</v>
      </c>
      <c r="AA479" s="4">
        <v>1911009043</v>
      </c>
      <c r="AE479" s="4" t="s">
        <v>885</v>
      </c>
      <c r="AF479" s="4" t="s">
        <v>183</v>
      </c>
      <c r="AG479" s="4" t="s">
        <v>705</v>
      </c>
      <c r="AH479" s="4" t="s">
        <v>570</v>
      </c>
      <c r="AI479" s="4" t="s">
        <v>185</v>
      </c>
      <c r="AJ479" s="4" t="s">
        <v>201</v>
      </c>
      <c r="AK479" s="4" t="s">
        <v>924</v>
      </c>
      <c r="AL479" s="4" t="s">
        <v>185</v>
      </c>
      <c r="AM479" s="4" t="s">
        <v>952</v>
      </c>
      <c r="AQ479" s="4" t="s">
        <v>186</v>
      </c>
      <c r="AR479" s="4" t="s">
        <v>187</v>
      </c>
      <c r="AS479" s="4" t="s">
        <v>187</v>
      </c>
      <c r="AT479" s="4" t="s">
        <v>187</v>
      </c>
      <c r="AU479" s="4" t="s">
        <v>187</v>
      </c>
      <c r="AV479" s="4" t="s">
        <v>186</v>
      </c>
      <c r="AW479" s="4" t="s">
        <v>186</v>
      </c>
      <c r="AX479" s="4" t="s">
        <v>186</v>
      </c>
      <c r="AY479" s="4" t="s">
        <v>187</v>
      </c>
      <c r="BC479" s="4">
        <v>81235699899</v>
      </c>
      <c r="BD479" s="4">
        <v>82372745537</v>
      </c>
      <c r="BE479" s="4">
        <v>87739068118</v>
      </c>
      <c r="BF479" s="4">
        <v>87834086660</v>
      </c>
      <c r="BG479" s="4">
        <v>87879357256</v>
      </c>
      <c r="BH479" s="4">
        <v>85860245038</v>
      </c>
      <c r="BI479" s="4">
        <v>87872513989</v>
      </c>
      <c r="BJ479" s="4">
        <v>85799204385</v>
      </c>
      <c r="BK479" s="4">
        <v>85325768814</v>
      </c>
      <c r="BO479" s="39">
        <v>60110622</v>
      </c>
      <c r="BP479" s="18" t="s">
        <v>6536</v>
      </c>
      <c r="BQ479" s="37">
        <v>44970</v>
      </c>
      <c r="BR479" s="8">
        <f t="shared" si="1"/>
        <v>9</v>
      </c>
    </row>
    <row r="480" spans="1:70" ht="12.5">
      <c r="A480" s="4" t="str">
        <v>Alternatif Periode ke-86 I.D.2</v>
      </c>
      <c r="B480" s="4" t="s">
        <v>6426</v>
      </c>
      <c r="C480" s="7" t="s">
        <v>642</v>
      </c>
      <c r="D480" s="4" t="s">
        <v>6525</v>
      </c>
      <c r="E480" s="4" t="s">
        <v>6537</v>
      </c>
      <c r="F480" s="4" t="s">
        <v>520</v>
      </c>
      <c r="G480" s="4" t="s">
        <v>6538</v>
      </c>
      <c r="H480" s="4" t="s">
        <v>6539</v>
      </c>
      <c r="I480" s="4" t="s">
        <v>6540</v>
      </c>
      <c r="J480" s="4" t="s">
        <v>6541</v>
      </c>
      <c r="K480" s="4" t="s">
        <v>6542</v>
      </c>
      <c r="L480" s="4" t="s">
        <v>6543</v>
      </c>
      <c r="M480" s="4" t="s">
        <v>6544</v>
      </c>
      <c r="N480" s="4" t="s">
        <v>6545</v>
      </c>
      <c r="O480" s="4" t="s">
        <v>6546</v>
      </c>
      <c r="S480" s="4">
        <v>1700013284</v>
      </c>
      <c r="T480" s="4">
        <v>1800004214</v>
      </c>
      <c r="U480" s="4">
        <v>1800018145</v>
      </c>
      <c r="V480" s="4">
        <v>1800031035</v>
      </c>
      <c r="W480" s="4">
        <v>1900009020</v>
      </c>
      <c r="X480" s="4">
        <v>1900019047</v>
      </c>
      <c r="Y480" s="4">
        <v>1900024150</v>
      </c>
      <c r="Z480" s="4">
        <v>1900026190</v>
      </c>
      <c r="AA480" s="4">
        <v>1900031231</v>
      </c>
      <c r="AE480" s="4" t="s">
        <v>677</v>
      </c>
      <c r="AF480" s="4" t="s">
        <v>201</v>
      </c>
      <c r="AG480" s="4" t="s">
        <v>179</v>
      </c>
      <c r="AH480" s="4" t="s">
        <v>185</v>
      </c>
      <c r="AI480" s="4" t="s">
        <v>952</v>
      </c>
      <c r="AJ480" s="4" t="s">
        <v>705</v>
      </c>
      <c r="AK480" s="4" t="s">
        <v>924</v>
      </c>
      <c r="AL480" s="4" t="s">
        <v>570</v>
      </c>
      <c r="AM480" s="4" t="s">
        <v>185</v>
      </c>
      <c r="AQ480" s="4" t="s">
        <v>186</v>
      </c>
      <c r="AR480" s="4" t="s">
        <v>186</v>
      </c>
      <c r="AS480" s="4" t="s">
        <v>187</v>
      </c>
      <c r="AT480" s="4" t="s">
        <v>187</v>
      </c>
      <c r="AU480" s="4" t="s">
        <v>187</v>
      </c>
      <c r="AV480" s="4" t="s">
        <v>187</v>
      </c>
      <c r="AW480" s="4" t="s">
        <v>186</v>
      </c>
      <c r="AX480" s="4" t="s">
        <v>187</v>
      </c>
      <c r="AY480" s="4" t="s">
        <v>186</v>
      </c>
      <c r="BC480" s="4">
        <v>85868965447</v>
      </c>
      <c r="BD480" s="4">
        <v>83134292996</v>
      </c>
      <c r="BE480" s="4">
        <v>82325528883</v>
      </c>
      <c r="BF480" s="4">
        <v>85648317292</v>
      </c>
      <c r="BG480" s="4">
        <v>82111501884</v>
      </c>
      <c r="BH480" s="4">
        <v>82223258155</v>
      </c>
      <c r="BI480" s="4">
        <v>85227279680</v>
      </c>
      <c r="BJ480" s="4">
        <v>81372500737</v>
      </c>
      <c r="BK480" s="4">
        <v>81390187128</v>
      </c>
      <c r="BO480" s="39">
        <v>60110622</v>
      </c>
      <c r="BP480" s="18" t="s">
        <v>6547</v>
      </c>
      <c r="BQ480" s="37">
        <v>44970</v>
      </c>
      <c r="BR480" s="8">
        <f t="shared" si="1"/>
        <v>9</v>
      </c>
    </row>
    <row r="481" spans="1:70" ht="12.5">
      <c r="A481" s="4" t="str">
        <v>Alternatif Periode ke-86 I.D.3</v>
      </c>
      <c r="B481" s="4" t="s">
        <v>6426</v>
      </c>
      <c r="C481" s="7" t="s">
        <v>654</v>
      </c>
      <c r="D481" s="4" t="s">
        <v>6525</v>
      </c>
      <c r="E481" s="4" t="s">
        <v>6548</v>
      </c>
      <c r="F481" s="4" t="s">
        <v>520</v>
      </c>
      <c r="G481" s="4" t="s">
        <v>6549</v>
      </c>
      <c r="H481" s="4" t="s">
        <v>6550</v>
      </c>
      <c r="I481" s="4" t="s">
        <v>6551</v>
      </c>
      <c r="J481" s="4" t="s">
        <v>6552</v>
      </c>
      <c r="K481" s="4" t="s">
        <v>6553</v>
      </c>
      <c r="L481" s="4" t="s">
        <v>6554</v>
      </c>
      <c r="M481" s="4" t="s">
        <v>6555</v>
      </c>
      <c r="N481" s="4" t="s">
        <v>6556</v>
      </c>
      <c r="O481" s="4" t="s">
        <v>6557</v>
      </c>
      <c r="S481" s="4">
        <v>1700013135</v>
      </c>
      <c r="T481" s="4">
        <v>1700018035</v>
      </c>
      <c r="U481" s="4">
        <v>1800009005</v>
      </c>
      <c r="V481" s="4">
        <v>1800031051</v>
      </c>
      <c r="W481" s="4">
        <v>1900004031</v>
      </c>
      <c r="X481" s="4">
        <v>1900019096</v>
      </c>
      <c r="Y481" s="4">
        <v>1900024005</v>
      </c>
      <c r="Z481" s="4">
        <v>1900027015</v>
      </c>
      <c r="AA481" s="4">
        <v>1900031235</v>
      </c>
      <c r="AE481" s="4" t="s">
        <v>677</v>
      </c>
      <c r="AF481" s="4" t="s">
        <v>179</v>
      </c>
      <c r="AG481" s="4" t="s">
        <v>952</v>
      </c>
      <c r="AH481" s="4" t="s">
        <v>185</v>
      </c>
      <c r="AI481" s="4" t="s">
        <v>201</v>
      </c>
      <c r="AJ481" s="4" t="s">
        <v>705</v>
      </c>
      <c r="AK481" s="4" t="s">
        <v>924</v>
      </c>
      <c r="AL481" s="4" t="s">
        <v>1763</v>
      </c>
      <c r="AM481" s="4" t="s">
        <v>185</v>
      </c>
      <c r="AQ481" s="4" t="s">
        <v>186</v>
      </c>
      <c r="AR481" s="4" t="s">
        <v>187</v>
      </c>
      <c r="AS481" s="4" t="s">
        <v>187</v>
      </c>
      <c r="AT481" s="4" t="s">
        <v>186</v>
      </c>
      <c r="AU481" s="4" t="s">
        <v>186</v>
      </c>
      <c r="AV481" s="4" t="s">
        <v>187</v>
      </c>
      <c r="AW481" s="4" t="s">
        <v>186</v>
      </c>
      <c r="AX481" s="4" t="s">
        <v>187</v>
      </c>
      <c r="AY481" s="4" t="s">
        <v>187</v>
      </c>
      <c r="BC481" s="4">
        <v>82138255479</v>
      </c>
      <c r="BD481" s="4">
        <v>81225240403</v>
      </c>
      <c r="BE481" s="4">
        <v>81274831695</v>
      </c>
      <c r="BF481" s="4">
        <v>83195722432</v>
      </c>
      <c r="BG481" s="4">
        <v>81239329367</v>
      </c>
      <c r="BH481" s="4">
        <v>81369574224</v>
      </c>
      <c r="BI481" s="4">
        <v>81236613175</v>
      </c>
      <c r="BJ481" s="4">
        <v>81315093937</v>
      </c>
      <c r="BK481" s="4">
        <v>89647313308</v>
      </c>
      <c r="BO481" s="39">
        <v>60110622</v>
      </c>
      <c r="BP481" s="18" t="s">
        <v>6558</v>
      </c>
      <c r="BQ481" s="37">
        <v>44970</v>
      </c>
      <c r="BR481" s="8">
        <f t="shared" si="1"/>
        <v>9</v>
      </c>
    </row>
    <row r="482" spans="1:70" ht="12.5">
      <c r="A482" s="4" t="str">
        <v>Alternatif Periode ke-86 II.A.1</v>
      </c>
      <c r="B482" s="4" t="s">
        <v>6426</v>
      </c>
      <c r="C482" s="7" t="s">
        <v>680</v>
      </c>
      <c r="D482" s="4" t="s">
        <v>5228</v>
      </c>
      <c r="E482" s="4" t="s">
        <v>6559</v>
      </c>
      <c r="F482" s="4" t="s">
        <v>520</v>
      </c>
      <c r="G482" s="4" t="s">
        <v>6560</v>
      </c>
      <c r="H482" s="4" t="s">
        <v>6561</v>
      </c>
      <c r="I482" s="4" t="s">
        <v>6562</v>
      </c>
      <c r="J482" s="4" t="s">
        <v>6563</v>
      </c>
      <c r="K482" s="4" t="s">
        <v>6564</v>
      </c>
      <c r="L482" s="4" t="s">
        <v>6565</v>
      </c>
      <c r="M482" s="4" t="s">
        <v>6566</v>
      </c>
      <c r="N482" s="4" t="s">
        <v>6567</v>
      </c>
      <c r="O482" s="4" t="s">
        <v>6568</v>
      </c>
      <c r="S482" s="4">
        <v>1600019062</v>
      </c>
      <c r="T482" s="4">
        <v>1700018199</v>
      </c>
      <c r="U482" s="4">
        <v>1800013139</v>
      </c>
      <c r="V482" s="4">
        <v>1800024079</v>
      </c>
      <c r="W482" s="4">
        <v>1800031032</v>
      </c>
      <c r="X482" s="4">
        <v>1900004056</v>
      </c>
      <c r="Y482" s="4">
        <v>1900009038</v>
      </c>
      <c r="Z482" s="4">
        <v>1900027005</v>
      </c>
      <c r="AA482" s="4">
        <v>1900031220</v>
      </c>
      <c r="AE482" s="4" t="s">
        <v>705</v>
      </c>
      <c r="AF482" s="4" t="s">
        <v>179</v>
      </c>
      <c r="AG482" s="4" t="s">
        <v>677</v>
      </c>
      <c r="AH482" s="4" t="s">
        <v>924</v>
      </c>
      <c r="AI482" s="4" t="s">
        <v>185</v>
      </c>
      <c r="AJ482" s="4" t="s">
        <v>201</v>
      </c>
      <c r="AK482" s="4" t="s">
        <v>952</v>
      </c>
      <c r="AL482" s="4" t="s">
        <v>1763</v>
      </c>
      <c r="AM482" s="4" t="s">
        <v>185</v>
      </c>
      <c r="AQ482" s="4" t="s">
        <v>187</v>
      </c>
      <c r="AR482" s="4" t="s">
        <v>187</v>
      </c>
      <c r="AS482" s="4" t="s">
        <v>186</v>
      </c>
      <c r="AT482" s="4" t="s">
        <v>186</v>
      </c>
      <c r="AU482" s="4" t="s">
        <v>187</v>
      </c>
      <c r="AV482" s="4" t="s">
        <v>186</v>
      </c>
      <c r="AW482" s="4" t="s">
        <v>187</v>
      </c>
      <c r="AX482" s="4" t="s">
        <v>187</v>
      </c>
      <c r="AY482" s="4" t="s">
        <v>186</v>
      </c>
      <c r="BC482" s="4">
        <v>8789324221314</v>
      </c>
      <c r="BD482" s="4">
        <v>87774033870</v>
      </c>
      <c r="BE482" s="4">
        <v>85709294560</v>
      </c>
      <c r="BF482" s="4">
        <v>89618603744</v>
      </c>
      <c r="BG482" s="4">
        <v>882006518405</v>
      </c>
      <c r="BH482" s="4">
        <v>85713760014</v>
      </c>
      <c r="BI482" s="4">
        <v>88216540370</v>
      </c>
      <c r="BJ482" s="4">
        <v>87719916132</v>
      </c>
      <c r="BK482" s="4">
        <v>895341235480</v>
      </c>
      <c r="BO482" s="39">
        <v>60080555</v>
      </c>
      <c r="BP482" s="18" t="s">
        <v>6569</v>
      </c>
      <c r="BQ482" s="37">
        <v>44970</v>
      </c>
      <c r="BR482" s="8">
        <f t="shared" si="1"/>
        <v>9</v>
      </c>
    </row>
    <row r="483" spans="1:70" ht="12.5">
      <c r="A483" s="4" t="str">
        <v>Alternatif Periode ke-86 II.A.2</v>
      </c>
      <c r="B483" s="4" t="s">
        <v>6426</v>
      </c>
      <c r="C483" s="7" t="s">
        <v>694</v>
      </c>
      <c r="D483" s="4" t="s">
        <v>5228</v>
      </c>
      <c r="E483" s="4" t="s">
        <v>6570</v>
      </c>
      <c r="F483" s="4" t="s">
        <v>520</v>
      </c>
      <c r="G483" s="4" t="s">
        <v>6571</v>
      </c>
      <c r="H483" s="4" t="s">
        <v>6572</v>
      </c>
      <c r="I483" s="4" t="s">
        <v>6573</v>
      </c>
      <c r="J483" s="4" t="s">
        <v>6574</v>
      </c>
      <c r="K483" s="4" t="s">
        <v>6575</v>
      </c>
      <c r="L483" s="4" t="s">
        <v>6576</v>
      </c>
      <c r="M483" s="4" t="s">
        <v>6577</v>
      </c>
      <c r="N483" s="4" t="s">
        <v>6578</v>
      </c>
      <c r="S483" s="4">
        <v>1700018205</v>
      </c>
      <c r="T483" s="4">
        <v>1800020143</v>
      </c>
      <c r="U483" s="4">
        <v>1811016122</v>
      </c>
      <c r="V483" s="4">
        <v>1900010104</v>
      </c>
      <c r="W483" s="4">
        <v>1900025043</v>
      </c>
      <c r="X483" s="4">
        <v>1900027048</v>
      </c>
      <c r="Y483" s="4">
        <v>1900031203</v>
      </c>
      <c r="Z483" s="4">
        <v>1900032220</v>
      </c>
      <c r="AE483" s="4" t="s">
        <v>179</v>
      </c>
      <c r="AF483" s="4" t="s">
        <v>351</v>
      </c>
      <c r="AG483" s="4" t="s">
        <v>531</v>
      </c>
      <c r="AH483" s="4" t="s">
        <v>532</v>
      </c>
      <c r="AI483" s="4" t="s">
        <v>1168</v>
      </c>
      <c r="AJ483" s="4" t="s">
        <v>1763</v>
      </c>
      <c r="AK483" s="4" t="s">
        <v>185</v>
      </c>
      <c r="AL483" s="4" t="s">
        <v>732</v>
      </c>
      <c r="AQ483" s="4" t="s">
        <v>187</v>
      </c>
      <c r="AR483" s="4" t="s">
        <v>187</v>
      </c>
      <c r="AS483" s="4" t="s">
        <v>186</v>
      </c>
      <c r="AT483" s="4" t="s">
        <v>187</v>
      </c>
      <c r="AU483" s="4" t="s">
        <v>186</v>
      </c>
      <c r="AV483" s="4" t="s">
        <v>187</v>
      </c>
      <c r="AW483" s="4" t="s">
        <v>187</v>
      </c>
      <c r="AX483" s="4" t="s">
        <v>186</v>
      </c>
      <c r="BD483" s="4">
        <v>82249135820</v>
      </c>
      <c r="BE483" s="4">
        <v>87742256426</v>
      </c>
      <c r="BF483" s="4">
        <v>82153801743</v>
      </c>
      <c r="BG483" s="4">
        <v>82131569091</v>
      </c>
      <c r="BH483" s="4">
        <v>89603539039</v>
      </c>
      <c r="BI483" s="4">
        <v>81360510469</v>
      </c>
      <c r="BJ483" s="4">
        <v>82323437590</v>
      </c>
      <c r="BO483" s="39">
        <v>60080555</v>
      </c>
      <c r="BP483" s="18" t="s">
        <v>6579</v>
      </c>
      <c r="BQ483" s="37">
        <v>44970</v>
      </c>
      <c r="BR483" s="8">
        <f t="shared" si="1"/>
        <v>8</v>
      </c>
    </row>
    <row r="484" spans="1:70" ht="12.5">
      <c r="A484" s="4" t="str">
        <v>Alternatif Periode ke-86 II.A.3</v>
      </c>
      <c r="B484" s="4" t="s">
        <v>6426</v>
      </c>
      <c r="C484" s="7" t="s">
        <v>707</v>
      </c>
      <c r="D484" s="4" t="s">
        <v>5228</v>
      </c>
      <c r="E484" s="4" t="s">
        <v>6580</v>
      </c>
      <c r="F484" s="4" t="s">
        <v>520</v>
      </c>
      <c r="G484" s="4" t="s">
        <v>6581</v>
      </c>
      <c r="H484" s="4" t="s">
        <v>6582</v>
      </c>
      <c r="I484" s="4" t="s">
        <v>6583</v>
      </c>
      <c r="J484" s="4" t="s">
        <v>6584</v>
      </c>
      <c r="K484" s="4" t="s">
        <v>6585</v>
      </c>
      <c r="L484" s="4" t="s">
        <v>6586</v>
      </c>
      <c r="M484" s="4" t="s">
        <v>6587</v>
      </c>
      <c r="N484" s="4" t="s">
        <v>6588</v>
      </c>
      <c r="O484" s="4" t="s">
        <v>6589</v>
      </c>
      <c r="S484" s="4">
        <v>1600018103</v>
      </c>
      <c r="T484" s="4">
        <v>1800004176</v>
      </c>
      <c r="U484" s="4">
        <v>1800010216</v>
      </c>
      <c r="V484" s="4">
        <v>1800020024</v>
      </c>
      <c r="W484" s="4">
        <v>1900017077</v>
      </c>
      <c r="X484" s="4">
        <v>1900026226</v>
      </c>
      <c r="Y484" s="4">
        <v>1900031218</v>
      </c>
      <c r="Z484" s="4">
        <v>1900034042</v>
      </c>
      <c r="AA484" s="4">
        <v>1911027061</v>
      </c>
      <c r="AE484" s="4" t="s">
        <v>179</v>
      </c>
      <c r="AF484" s="4" t="s">
        <v>201</v>
      </c>
      <c r="AG484" s="4" t="s">
        <v>532</v>
      </c>
      <c r="AH484" s="4" t="s">
        <v>351</v>
      </c>
      <c r="AI484" s="4" t="s">
        <v>183</v>
      </c>
      <c r="AJ484" s="4" t="s">
        <v>570</v>
      </c>
      <c r="AK484" s="4" t="s">
        <v>185</v>
      </c>
      <c r="AL484" s="4" t="s">
        <v>534</v>
      </c>
      <c r="AM484" s="4" t="s">
        <v>1763</v>
      </c>
      <c r="AQ484" s="4" t="s">
        <v>187</v>
      </c>
      <c r="AR484" s="4" t="s">
        <v>186</v>
      </c>
      <c r="AS484" s="4" t="s">
        <v>187</v>
      </c>
      <c r="AT484" s="4" t="s">
        <v>187</v>
      </c>
      <c r="AU484" s="4" t="s">
        <v>186</v>
      </c>
      <c r="AV484" s="4" t="s">
        <v>186</v>
      </c>
      <c r="AW484" s="4" t="s">
        <v>187</v>
      </c>
      <c r="AX484" s="4" t="s">
        <v>186</v>
      </c>
      <c r="AY484" s="4" t="s">
        <v>187</v>
      </c>
      <c r="BC484" s="4">
        <v>81615591038</v>
      </c>
      <c r="BD484" s="4">
        <v>85559472575</v>
      </c>
      <c r="BE484" s="4">
        <v>81232504825</v>
      </c>
      <c r="BF484" s="4">
        <v>81215682176</v>
      </c>
      <c r="BG484" s="4">
        <v>85967975464</v>
      </c>
      <c r="BH484" s="4" t="s">
        <v>6590</v>
      </c>
      <c r="BI484" s="4">
        <v>82152731392</v>
      </c>
      <c r="BJ484" s="4">
        <v>81350263608</v>
      </c>
      <c r="BK484" s="4">
        <v>895338943276</v>
      </c>
      <c r="BO484" s="39">
        <v>60080555</v>
      </c>
      <c r="BP484" s="18" t="s">
        <v>6591</v>
      </c>
      <c r="BQ484" s="37">
        <v>44970</v>
      </c>
      <c r="BR484" s="8">
        <f t="shared" si="1"/>
        <v>9</v>
      </c>
    </row>
    <row r="485" spans="1:70" ht="12.5">
      <c r="A485" s="4" t="str">
        <v>Alternatif Periode ke-86 II.B.1</v>
      </c>
      <c r="B485" s="4" t="s">
        <v>6426</v>
      </c>
      <c r="C485" s="7" t="s">
        <v>719</v>
      </c>
      <c r="D485" s="4" t="s">
        <v>6592</v>
      </c>
      <c r="E485" s="4" t="s">
        <v>6593</v>
      </c>
      <c r="F485" s="4" t="s">
        <v>520</v>
      </c>
      <c r="G485" s="4" t="s">
        <v>6594</v>
      </c>
      <c r="H485" s="4" t="s">
        <v>6595</v>
      </c>
      <c r="I485" s="4" t="s">
        <v>6596</v>
      </c>
      <c r="J485" s="4" t="s">
        <v>6597</v>
      </c>
      <c r="K485" s="4" t="s">
        <v>6598</v>
      </c>
      <c r="L485" s="4" t="s">
        <v>6599</v>
      </c>
      <c r="M485" s="4" t="s">
        <v>6600</v>
      </c>
      <c r="N485" s="4" t="s">
        <v>6601</v>
      </c>
      <c r="O485" s="4" t="s">
        <v>6602</v>
      </c>
      <c r="S485" s="4">
        <v>1800005133</v>
      </c>
      <c r="T485" s="4">
        <v>1800017047</v>
      </c>
      <c r="U485" s="4">
        <v>1800018037</v>
      </c>
      <c r="V485" s="4">
        <v>1800022107</v>
      </c>
      <c r="W485" s="4">
        <v>1800026127</v>
      </c>
      <c r="X485" s="4">
        <v>1800029208</v>
      </c>
      <c r="Y485" s="4">
        <v>1800031239</v>
      </c>
      <c r="Z485" s="4">
        <v>1900010118</v>
      </c>
      <c r="AA485" s="4">
        <v>1900034027</v>
      </c>
      <c r="AE485" s="4" t="s">
        <v>181</v>
      </c>
      <c r="AF485" s="4" t="s">
        <v>183</v>
      </c>
      <c r="AG485" s="4" t="s">
        <v>179</v>
      </c>
      <c r="AH485" s="4" t="s">
        <v>872</v>
      </c>
      <c r="AI485" s="4" t="s">
        <v>570</v>
      </c>
      <c r="AJ485" s="4" t="s">
        <v>533</v>
      </c>
      <c r="AK485" s="4" t="s">
        <v>185</v>
      </c>
      <c r="AL485" s="4" t="s">
        <v>532</v>
      </c>
      <c r="AM485" s="4" t="s">
        <v>534</v>
      </c>
      <c r="AQ485" s="4" t="s">
        <v>186</v>
      </c>
      <c r="AR485" s="4" t="s">
        <v>186</v>
      </c>
      <c r="AS485" s="4" t="s">
        <v>187</v>
      </c>
      <c r="AT485" s="4" t="s">
        <v>187</v>
      </c>
      <c r="AU485" s="4" t="s">
        <v>186</v>
      </c>
      <c r="AV485" s="4" t="s">
        <v>187</v>
      </c>
      <c r="AW485" s="4" t="s">
        <v>187</v>
      </c>
      <c r="AX485" s="4" t="s">
        <v>187</v>
      </c>
      <c r="AY485" s="4" t="s">
        <v>186</v>
      </c>
      <c r="BC485" s="4">
        <v>87728903995</v>
      </c>
      <c r="BD485" s="4">
        <v>82249953324</v>
      </c>
      <c r="BE485" s="4">
        <v>82254183970</v>
      </c>
      <c r="BF485" s="4">
        <v>6285156575114</v>
      </c>
      <c r="BG485" s="4">
        <v>81295806450</v>
      </c>
      <c r="BH485" s="4">
        <v>85900373711</v>
      </c>
      <c r="BI485" s="4">
        <v>85260722014</v>
      </c>
      <c r="BJ485" s="4">
        <v>85240800856</v>
      </c>
      <c r="BK485" s="4">
        <v>85966321635</v>
      </c>
      <c r="BO485" s="39">
        <v>60150829</v>
      </c>
      <c r="BP485" s="18" t="s">
        <v>6603</v>
      </c>
      <c r="BQ485" s="37">
        <v>44970</v>
      </c>
      <c r="BR485" s="8">
        <f t="shared" si="1"/>
        <v>9</v>
      </c>
    </row>
    <row r="486" spans="1:70" ht="12.5">
      <c r="A486" s="4" t="str">
        <v>Alternatif Periode ke-86 II.B.2</v>
      </c>
      <c r="B486" s="4" t="s">
        <v>6426</v>
      </c>
      <c r="C486" s="7" t="s">
        <v>734</v>
      </c>
      <c r="D486" s="4" t="s">
        <v>6592</v>
      </c>
      <c r="E486" s="4" t="s">
        <v>6604</v>
      </c>
      <c r="F486" s="4" t="s">
        <v>520</v>
      </c>
      <c r="G486" s="4" t="s">
        <v>6605</v>
      </c>
      <c r="H486" s="4" t="s">
        <v>6606</v>
      </c>
      <c r="I486" s="4" t="s">
        <v>6607</v>
      </c>
      <c r="J486" s="4" t="s">
        <v>6608</v>
      </c>
      <c r="K486" s="4" t="s">
        <v>6609</v>
      </c>
      <c r="L486" s="4" t="s">
        <v>6610</v>
      </c>
      <c r="M486" s="4" t="s">
        <v>6611</v>
      </c>
      <c r="N486" s="4" t="s">
        <v>6612</v>
      </c>
      <c r="O486" s="4" t="s">
        <v>6613</v>
      </c>
      <c r="S486" s="4">
        <v>1600018084</v>
      </c>
      <c r="T486" s="4">
        <v>1600018236</v>
      </c>
      <c r="U486" s="4">
        <v>1800010108</v>
      </c>
      <c r="V486" s="4">
        <v>1800026016</v>
      </c>
      <c r="W486" s="4">
        <v>1800030232</v>
      </c>
      <c r="X486" s="4">
        <v>1800031030</v>
      </c>
      <c r="Y486" s="4">
        <v>1900005268</v>
      </c>
      <c r="Z486" s="4">
        <v>1900022010</v>
      </c>
      <c r="AA486" s="4">
        <v>1900070016</v>
      </c>
      <c r="AE486" s="4" t="s">
        <v>179</v>
      </c>
      <c r="AF486" s="4" t="s">
        <v>179</v>
      </c>
      <c r="AG486" s="4" t="s">
        <v>532</v>
      </c>
      <c r="AH486" s="4" t="s">
        <v>570</v>
      </c>
      <c r="AI486" s="4" t="s">
        <v>184</v>
      </c>
      <c r="AJ486" s="4" t="s">
        <v>185</v>
      </c>
      <c r="AK486" s="4" t="s">
        <v>181</v>
      </c>
      <c r="AL486" s="4" t="s">
        <v>872</v>
      </c>
      <c r="AM486" s="4" t="s">
        <v>2473</v>
      </c>
      <c r="AQ486" s="4" t="s">
        <v>186</v>
      </c>
      <c r="AR486" s="4" t="s">
        <v>187</v>
      </c>
      <c r="AS486" s="4" t="s">
        <v>187</v>
      </c>
      <c r="AT486" s="4" t="s">
        <v>186</v>
      </c>
      <c r="AU486" s="4" t="s">
        <v>187</v>
      </c>
      <c r="AV486" s="4" t="s">
        <v>187</v>
      </c>
      <c r="AW486" s="4" t="s">
        <v>186</v>
      </c>
      <c r="AX486" s="4" t="s">
        <v>187</v>
      </c>
      <c r="AY486" s="4" t="s">
        <v>186</v>
      </c>
      <c r="BC486" s="4">
        <v>85229803715</v>
      </c>
      <c r="BD486" s="4">
        <v>8123744569</v>
      </c>
      <c r="BE486" s="4">
        <v>81548745829</v>
      </c>
      <c r="BF486" s="4">
        <v>85600275152</v>
      </c>
      <c r="BG486" s="4">
        <v>82134536113</v>
      </c>
      <c r="BH486" s="4">
        <v>88228705669</v>
      </c>
      <c r="BI486" s="4">
        <v>89668595431</v>
      </c>
      <c r="BJ486" s="4">
        <v>81325316984</v>
      </c>
      <c r="BK486" s="4">
        <v>83805655281</v>
      </c>
      <c r="BO486" s="39">
        <v>60150829</v>
      </c>
      <c r="BP486" s="18" t="s">
        <v>6614</v>
      </c>
      <c r="BQ486" s="37">
        <v>44970</v>
      </c>
      <c r="BR486" s="8">
        <f t="shared" si="1"/>
        <v>9</v>
      </c>
    </row>
    <row r="487" spans="1:70" ht="12.5">
      <c r="A487" s="4" t="str">
        <v>Alternatif Periode ke-86 II.B.3</v>
      </c>
      <c r="B487" s="4" t="s">
        <v>6426</v>
      </c>
      <c r="C487" s="7" t="s">
        <v>747</v>
      </c>
      <c r="D487" s="4" t="s">
        <v>6592</v>
      </c>
      <c r="E487" s="4" t="s">
        <v>6615</v>
      </c>
      <c r="F487" s="4" t="s">
        <v>520</v>
      </c>
      <c r="G487" s="4" t="s">
        <v>6616</v>
      </c>
      <c r="H487" s="4" t="s">
        <v>6617</v>
      </c>
      <c r="I487" s="4" t="s">
        <v>6618</v>
      </c>
      <c r="J487" s="4" t="s">
        <v>6619</v>
      </c>
      <c r="K487" s="4" t="s">
        <v>6620</v>
      </c>
      <c r="L487" s="4" t="s">
        <v>6621</v>
      </c>
      <c r="M487" s="4" t="s">
        <v>6622</v>
      </c>
      <c r="N487" s="4" t="s">
        <v>6623</v>
      </c>
      <c r="S487" s="4">
        <v>1800005347</v>
      </c>
      <c r="T487" s="4">
        <v>1800010012</v>
      </c>
      <c r="U487" s="4">
        <v>1800018277</v>
      </c>
      <c r="V487" s="4">
        <v>1800032090</v>
      </c>
      <c r="W487" s="4">
        <v>1820027121</v>
      </c>
      <c r="X487" s="4">
        <v>1900018307</v>
      </c>
      <c r="Y487" s="4">
        <v>1900022036</v>
      </c>
      <c r="Z487" s="4">
        <v>1900030213</v>
      </c>
      <c r="AE487" s="4" t="s">
        <v>181</v>
      </c>
      <c r="AF487" s="4" t="s">
        <v>532</v>
      </c>
      <c r="AG487" s="4" t="s">
        <v>179</v>
      </c>
      <c r="AH487" s="4" t="s">
        <v>732</v>
      </c>
      <c r="AI487" s="4" t="s">
        <v>1763</v>
      </c>
      <c r="AJ487" s="4" t="s">
        <v>179</v>
      </c>
      <c r="AK487" s="4" t="s">
        <v>872</v>
      </c>
      <c r="AL487" s="4" t="s">
        <v>184</v>
      </c>
      <c r="AQ487" s="4" t="s">
        <v>186</v>
      </c>
      <c r="AR487" s="4" t="s">
        <v>187</v>
      </c>
      <c r="AS487" s="4" t="s">
        <v>186</v>
      </c>
      <c r="AT487" s="4" t="s">
        <v>187</v>
      </c>
      <c r="AU487" s="4" t="s">
        <v>186</v>
      </c>
      <c r="AV487" s="4" t="s">
        <v>187</v>
      </c>
      <c r="AW487" s="4" t="s">
        <v>187</v>
      </c>
      <c r="AX487" s="4" t="s">
        <v>187</v>
      </c>
      <c r="BC487" s="4">
        <v>82372958927</v>
      </c>
      <c r="BD487" s="4">
        <v>85754688061</v>
      </c>
      <c r="BE487" s="4">
        <v>82134184872</v>
      </c>
      <c r="BF487" s="4">
        <v>82324810175</v>
      </c>
      <c r="BG487" s="4">
        <v>85731493005</v>
      </c>
      <c r="BH487" s="4">
        <v>82138753328</v>
      </c>
      <c r="BI487" s="4">
        <v>82288294126</v>
      </c>
      <c r="BJ487" s="4">
        <v>895613766336</v>
      </c>
      <c r="BO487" s="39">
        <v>60150829</v>
      </c>
      <c r="BP487" s="18" t="s">
        <v>6624</v>
      </c>
      <c r="BQ487" s="37">
        <v>44970</v>
      </c>
      <c r="BR487" s="8">
        <f t="shared" si="1"/>
        <v>8</v>
      </c>
    </row>
    <row r="488" spans="1:70" ht="12.5">
      <c r="A488" s="4" t="str">
        <v>Alternatif Periode ke-86 II.C.1</v>
      </c>
      <c r="B488" s="4" t="s">
        <v>6426</v>
      </c>
      <c r="C488" s="7" t="s">
        <v>772</v>
      </c>
      <c r="D488" s="4" t="s">
        <v>6625</v>
      </c>
      <c r="E488" s="4" t="s">
        <v>6626</v>
      </c>
      <c r="F488" s="4" t="s">
        <v>520</v>
      </c>
      <c r="G488" s="4" t="s">
        <v>6627</v>
      </c>
      <c r="H488" s="4" t="s">
        <v>6628</v>
      </c>
      <c r="I488" s="4" t="s">
        <v>6629</v>
      </c>
      <c r="J488" s="4" t="s">
        <v>6630</v>
      </c>
      <c r="K488" s="4" t="s">
        <v>6631</v>
      </c>
      <c r="L488" s="4" t="s">
        <v>6632</v>
      </c>
      <c r="M488" s="4" t="s">
        <v>6633</v>
      </c>
      <c r="N488" s="4" t="s">
        <v>6634</v>
      </c>
      <c r="O488" s="4" t="s">
        <v>6635</v>
      </c>
      <c r="S488" s="4">
        <v>1700018215</v>
      </c>
      <c r="T488" s="4">
        <v>1800005345</v>
      </c>
      <c r="U488" s="4">
        <v>1800027138</v>
      </c>
      <c r="V488" s="4">
        <v>1800030471</v>
      </c>
      <c r="W488" s="4">
        <v>1900010151</v>
      </c>
      <c r="X488" s="4">
        <v>1900018314</v>
      </c>
      <c r="Y488" s="4">
        <v>1900022011</v>
      </c>
      <c r="Z488" s="4">
        <v>1900032188</v>
      </c>
      <c r="AA488" s="4">
        <v>1900070017</v>
      </c>
      <c r="AE488" s="4" t="s">
        <v>179</v>
      </c>
      <c r="AF488" s="4" t="s">
        <v>181</v>
      </c>
      <c r="AG488" s="4" t="s">
        <v>1763</v>
      </c>
      <c r="AH488" s="4" t="s">
        <v>184</v>
      </c>
      <c r="AI488" s="4" t="s">
        <v>532</v>
      </c>
      <c r="AJ488" s="4" t="s">
        <v>179</v>
      </c>
      <c r="AK488" s="4" t="s">
        <v>872</v>
      </c>
      <c r="AL488" s="4" t="s">
        <v>732</v>
      </c>
      <c r="AM488" s="4" t="s">
        <v>2473</v>
      </c>
      <c r="AQ488" s="4" t="s">
        <v>187</v>
      </c>
      <c r="AR488" s="4" t="s">
        <v>186</v>
      </c>
      <c r="AS488" s="4" t="s">
        <v>186</v>
      </c>
      <c r="AT488" s="4" t="s">
        <v>187</v>
      </c>
      <c r="AU488" s="4" t="s">
        <v>187</v>
      </c>
      <c r="AV488" s="4" t="s">
        <v>186</v>
      </c>
      <c r="AW488" s="4" t="s">
        <v>187</v>
      </c>
      <c r="AX488" s="4" t="s">
        <v>187</v>
      </c>
      <c r="AY488" s="4" t="s">
        <v>186</v>
      </c>
      <c r="BC488" s="4">
        <v>85158007838</v>
      </c>
      <c r="BD488" s="4">
        <v>83175213000</v>
      </c>
      <c r="BE488" s="4">
        <v>8156857294</v>
      </c>
      <c r="BF488" s="4">
        <v>82278339594</v>
      </c>
      <c r="BG488" s="4">
        <v>82359133249</v>
      </c>
      <c r="BH488" s="4">
        <v>82313096727</v>
      </c>
      <c r="BI488" s="4">
        <v>81299830942</v>
      </c>
      <c r="BJ488" s="4">
        <v>82275270313</v>
      </c>
      <c r="BK488" s="4">
        <v>81366956109</v>
      </c>
      <c r="BO488" s="4">
        <v>60030482</v>
      </c>
      <c r="BP488" s="18" t="s">
        <v>6636</v>
      </c>
      <c r="BQ488" s="37">
        <v>44970</v>
      </c>
      <c r="BR488" s="8">
        <f t="shared" si="1"/>
        <v>9</v>
      </c>
    </row>
    <row r="489" spans="1:70" ht="12.5">
      <c r="A489" s="4" t="str">
        <v>Alternatif Periode ke-86 II.C.2</v>
      </c>
      <c r="B489" s="4" t="s">
        <v>6426</v>
      </c>
      <c r="C489" s="7" t="s">
        <v>785</v>
      </c>
      <c r="D489" s="4" t="s">
        <v>6625</v>
      </c>
      <c r="E489" s="4" t="s">
        <v>6637</v>
      </c>
      <c r="F489" s="4" t="s">
        <v>520</v>
      </c>
      <c r="G489" s="4" t="s">
        <v>6638</v>
      </c>
      <c r="H489" s="4" t="s">
        <v>6639</v>
      </c>
      <c r="I489" s="4" t="s">
        <v>6640</v>
      </c>
      <c r="J489" s="4" t="s">
        <v>6641</v>
      </c>
      <c r="K489" s="4" t="s">
        <v>6642</v>
      </c>
      <c r="L489" s="4" t="s">
        <v>6643</v>
      </c>
      <c r="M489" s="4" t="s">
        <v>6644</v>
      </c>
      <c r="N489" s="4" t="s">
        <v>6645</v>
      </c>
      <c r="O489" s="4" t="s">
        <v>6646</v>
      </c>
      <c r="S489" s="4">
        <v>1800011143</v>
      </c>
      <c r="T489" s="4">
        <v>1800018398</v>
      </c>
      <c r="U489" s="4">
        <v>1800030217</v>
      </c>
      <c r="V489" s="4">
        <v>1800032037</v>
      </c>
      <c r="W489" s="4">
        <v>1800070012</v>
      </c>
      <c r="X489" s="4">
        <v>1900006074</v>
      </c>
      <c r="Y489" s="4">
        <v>1900018313</v>
      </c>
      <c r="Z489" s="4">
        <v>1900023258</v>
      </c>
      <c r="AA489" s="4">
        <v>1900029250</v>
      </c>
      <c r="AE489" s="4" t="s">
        <v>182</v>
      </c>
      <c r="AF489" s="4" t="s">
        <v>179</v>
      </c>
      <c r="AG489" s="4" t="s">
        <v>184</v>
      </c>
      <c r="AH489" s="4" t="s">
        <v>732</v>
      </c>
      <c r="AI489" s="4" t="s">
        <v>2473</v>
      </c>
      <c r="AJ489" s="4" t="s">
        <v>745</v>
      </c>
      <c r="AK489" s="4" t="s">
        <v>179</v>
      </c>
      <c r="AL489" s="4" t="s">
        <v>899</v>
      </c>
      <c r="AM489" s="4" t="s">
        <v>533</v>
      </c>
      <c r="AQ489" s="4" t="s">
        <v>187</v>
      </c>
      <c r="AR489" s="4" t="s">
        <v>187</v>
      </c>
      <c r="AS489" s="4" t="s">
        <v>187</v>
      </c>
      <c r="AT489" s="4" t="s">
        <v>187</v>
      </c>
      <c r="AU489" s="4" t="s">
        <v>186</v>
      </c>
      <c r="AV489" s="4" t="s">
        <v>186</v>
      </c>
      <c r="AW489" s="4" t="s">
        <v>186</v>
      </c>
      <c r="AX489" s="4" t="s">
        <v>187</v>
      </c>
      <c r="AY489" s="4" t="s">
        <v>186</v>
      </c>
      <c r="BC489" s="4">
        <v>81374938773</v>
      </c>
      <c r="BD489" s="4">
        <v>82247221795</v>
      </c>
      <c r="BE489" s="4">
        <v>81325897965</v>
      </c>
      <c r="BF489" s="4">
        <v>82131607943</v>
      </c>
      <c r="BG489" s="4">
        <v>8886410634</v>
      </c>
      <c r="BH489" s="4">
        <v>82287029510</v>
      </c>
      <c r="BI489" s="4">
        <v>85338466974</v>
      </c>
      <c r="BJ489" s="4">
        <v>895619623034</v>
      </c>
      <c r="BK489" s="4">
        <v>81915356090</v>
      </c>
      <c r="BO489" s="4">
        <v>60030482</v>
      </c>
      <c r="BP489" s="18" t="s">
        <v>6647</v>
      </c>
      <c r="BQ489" s="37">
        <v>44970</v>
      </c>
      <c r="BR489" s="8">
        <f t="shared" si="1"/>
        <v>9</v>
      </c>
    </row>
    <row r="490" spans="1:70" ht="12.5">
      <c r="A490" s="4" t="str">
        <v>Alternatif Periode ke-86 II.C.3</v>
      </c>
      <c r="B490" s="4" t="s">
        <v>6426</v>
      </c>
      <c r="C490" s="7" t="s">
        <v>797</v>
      </c>
      <c r="D490" s="4" t="s">
        <v>6625</v>
      </c>
      <c r="E490" s="4" t="s">
        <v>6648</v>
      </c>
      <c r="F490" s="4" t="s">
        <v>520</v>
      </c>
      <c r="G490" s="4" t="s">
        <v>6649</v>
      </c>
      <c r="H490" s="4" t="s">
        <v>6650</v>
      </c>
      <c r="I490" s="4" t="s">
        <v>6651</v>
      </c>
      <c r="J490" s="4" t="s">
        <v>6652</v>
      </c>
      <c r="K490" s="4" t="s">
        <v>6653</v>
      </c>
      <c r="L490" s="4" t="s">
        <v>6654</v>
      </c>
      <c r="M490" s="4" t="s">
        <v>3874</v>
      </c>
      <c r="N490" s="4" t="s">
        <v>6655</v>
      </c>
      <c r="S490" s="4">
        <v>1600018158</v>
      </c>
      <c r="T490" s="4">
        <v>1800006148</v>
      </c>
      <c r="U490" s="4">
        <v>1800011227</v>
      </c>
      <c r="V490" s="4">
        <v>1800030286</v>
      </c>
      <c r="W490" s="4">
        <v>1900001137</v>
      </c>
      <c r="X490" s="4">
        <v>1900018302</v>
      </c>
      <c r="Y490" s="4">
        <v>1900024080</v>
      </c>
      <c r="Z490" s="4">
        <v>1900029180</v>
      </c>
      <c r="AE490" s="4" t="s">
        <v>179</v>
      </c>
      <c r="AF490" s="4" t="s">
        <v>745</v>
      </c>
      <c r="AG490" s="4" t="s">
        <v>182</v>
      </c>
      <c r="AH490" s="4" t="s">
        <v>184</v>
      </c>
      <c r="AI490" s="4" t="s">
        <v>180</v>
      </c>
      <c r="AJ490" s="4" t="s">
        <v>179</v>
      </c>
      <c r="AK490" s="4" t="s">
        <v>924</v>
      </c>
      <c r="AL490" s="4" t="s">
        <v>533</v>
      </c>
      <c r="AQ490" s="4" t="s">
        <v>187</v>
      </c>
      <c r="AR490" s="4" t="s">
        <v>186</v>
      </c>
      <c r="AS490" s="4" t="s">
        <v>187</v>
      </c>
      <c r="AT490" s="4" t="s">
        <v>187</v>
      </c>
      <c r="AU490" s="4" t="s">
        <v>186</v>
      </c>
      <c r="AV490" s="4" t="s">
        <v>186</v>
      </c>
      <c r="AW490" s="4" t="s">
        <v>187</v>
      </c>
      <c r="AX490" s="4" t="s">
        <v>186</v>
      </c>
      <c r="BC490" s="4">
        <v>82363005072</v>
      </c>
      <c r="BD490" s="4">
        <v>81362264671</v>
      </c>
      <c r="BE490" s="4">
        <v>85849900653</v>
      </c>
      <c r="BF490" s="4">
        <v>895392947862</v>
      </c>
      <c r="BG490" s="4">
        <v>85867102549</v>
      </c>
      <c r="BH490" s="4">
        <v>85664744645</v>
      </c>
      <c r="BI490" s="4">
        <v>81244178880</v>
      </c>
      <c r="BJ490" s="4">
        <v>83108054768</v>
      </c>
      <c r="BO490" s="4">
        <v>60030482</v>
      </c>
      <c r="BP490" s="18" t="s">
        <v>6656</v>
      </c>
      <c r="BQ490" s="37">
        <v>44970</v>
      </c>
      <c r="BR490" s="8">
        <f t="shared" si="1"/>
        <v>8</v>
      </c>
    </row>
    <row r="491" spans="1:70" ht="12.5">
      <c r="A491" s="4" t="str">
        <v>Reguler Periode ke-101 XXIX.A.1</v>
      </c>
      <c r="B491" s="4" t="s">
        <v>2073</v>
      </c>
      <c r="C491" s="4" t="s">
        <v>6657</v>
      </c>
      <c r="D491" s="4" t="s">
        <v>6347</v>
      </c>
      <c r="G491" s="40" t="s">
        <v>6658</v>
      </c>
      <c r="S491" s="4">
        <v>1700018095</v>
      </c>
      <c r="AE491" s="4" t="s">
        <v>179</v>
      </c>
      <c r="AQ491" s="4" t="s">
        <v>187</v>
      </c>
      <c r="BO491" s="39">
        <v>60160979</v>
      </c>
      <c r="BQ491" s="37">
        <v>44956</v>
      </c>
      <c r="BR491" s="8">
        <f t="shared" si="1"/>
        <v>1</v>
      </c>
    </row>
    <row r="492" spans="1:70" ht="12.5">
      <c r="A492" s="4" t="str">
        <v>Reguler Periode ke-107 I.A.1</v>
      </c>
      <c r="B492" s="4" t="s">
        <v>6659</v>
      </c>
      <c r="C492" s="7" t="s">
        <v>165</v>
      </c>
      <c r="D492" s="4" t="s">
        <v>3446</v>
      </c>
      <c r="E492" s="4" t="s">
        <v>6660</v>
      </c>
      <c r="F492" s="4" t="s">
        <v>6660</v>
      </c>
      <c r="G492" s="4" t="s">
        <v>6661</v>
      </c>
      <c r="H492" s="4" t="s">
        <v>4216</v>
      </c>
      <c r="I492" s="4" t="s">
        <v>6662</v>
      </c>
      <c r="J492" s="4" t="s">
        <v>6663</v>
      </c>
      <c r="K492" s="4" t="s">
        <v>6664</v>
      </c>
      <c r="L492" s="4" t="s">
        <v>6665</v>
      </c>
      <c r="M492" s="4" t="s">
        <v>6666</v>
      </c>
      <c r="S492" s="4">
        <v>1800013156</v>
      </c>
      <c r="T492" s="4">
        <v>1900013337</v>
      </c>
      <c r="U492" s="4">
        <v>1900013357</v>
      </c>
      <c r="V492" s="4">
        <v>2000013065</v>
      </c>
      <c r="W492" s="4">
        <v>2000013136</v>
      </c>
      <c r="X492" s="4">
        <v>2000013159</v>
      </c>
      <c r="Y492" s="4">
        <v>2000013306</v>
      </c>
      <c r="AE492" s="4" t="s">
        <v>677</v>
      </c>
      <c r="AF492" s="4" t="s">
        <v>677</v>
      </c>
      <c r="AG492" s="4" t="s">
        <v>677</v>
      </c>
      <c r="AH492" s="4" t="s">
        <v>677</v>
      </c>
      <c r="AI492" s="4" t="s">
        <v>677</v>
      </c>
      <c r="AJ492" s="4" t="s">
        <v>677</v>
      </c>
      <c r="AK492" s="4" t="s">
        <v>677</v>
      </c>
      <c r="AQ492" s="4" t="s">
        <v>187</v>
      </c>
      <c r="AR492" s="4" t="s">
        <v>186</v>
      </c>
      <c r="AS492" s="4" t="s">
        <v>186</v>
      </c>
      <c r="AT492" s="4" t="s">
        <v>186</v>
      </c>
      <c r="AU492" s="4" t="s">
        <v>186</v>
      </c>
      <c r="AV492" s="4" t="s">
        <v>186</v>
      </c>
      <c r="AW492" s="4" t="s">
        <v>186</v>
      </c>
      <c r="BO492" s="39">
        <v>60181164</v>
      </c>
      <c r="BP492" s="18" t="s">
        <v>6667</v>
      </c>
      <c r="BQ492" s="37">
        <v>44899</v>
      </c>
      <c r="BR492" s="8">
        <f t="shared" si="1"/>
        <v>7</v>
      </c>
    </row>
    <row r="493" spans="1:70" ht="12.5">
      <c r="A493" s="4" t="str">
        <v>Reguler Periode ke-109 I.A.1</v>
      </c>
      <c r="B493" s="4" t="s">
        <v>6668</v>
      </c>
      <c r="C493" s="7" t="s">
        <v>165</v>
      </c>
      <c r="D493" s="4" t="s">
        <v>3446</v>
      </c>
      <c r="E493" s="4" t="s">
        <v>6660</v>
      </c>
      <c r="F493" s="4" t="s">
        <v>6660</v>
      </c>
      <c r="G493" s="4" t="s">
        <v>6669</v>
      </c>
      <c r="H493" s="4" t="s">
        <v>6670</v>
      </c>
      <c r="I493" s="4" t="s">
        <v>6671</v>
      </c>
      <c r="J493" s="4" t="s">
        <v>6672</v>
      </c>
      <c r="K493" s="4" t="s">
        <v>6673</v>
      </c>
      <c r="L493" s="4" t="s">
        <v>6674</v>
      </c>
      <c r="M493" s="4" t="s">
        <v>6675</v>
      </c>
      <c r="N493" s="4" t="s">
        <v>6676</v>
      </c>
      <c r="O493" s="4" t="s">
        <v>6677</v>
      </c>
      <c r="P493" s="4" t="s">
        <v>6678</v>
      </c>
      <c r="S493" s="4">
        <v>1900013189</v>
      </c>
      <c r="T493" s="4">
        <v>1900013299</v>
      </c>
      <c r="U493" s="4">
        <v>1900013385</v>
      </c>
      <c r="V493" s="4">
        <v>2000013024</v>
      </c>
      <c r="W493" s="4">
        <v>2000013033</v>
      </c>
      <c r="X493" s="4">
        <v>2000013049</v>
      </c>
      <c r="Y493" s="4">
        <v>2000013059</v>
      </c>
      <c r="Z493" s="4">
        <v>2000013123</v>
      </c>
      <c r="AA493" s="4">
        <v>2000013189</v>
      </c>
      <c r="AB493" s="4">
        <v>2000013311</v>
      </c>
      <c r="AE493" s="4" t="s">
        <v>677</v>
      </c>
      <c r="AF493" s="4" t="s">
        <v>677</v>
      </c>
      <c r="AG493" s="4" t="s">
        <v>677</v>
      </c>
      <c r="AH493" s="4" t="s">
        <v>677</v>
      </c>
      <c r="AI493" s="4" t="s">
        <v>677</v>
      </c>
      <c r="AJ493" s="4" t="s">
        <v>677</v>
      </c>
      <c r="AK493" s="4" t="s">
        <v>677</v>
      </c>
      <c r="AL493" s="4" t="s">
        <v>677</v>
      </c>
      <c r="AM493" s="4" t="s">
        <v>677</v>
      </c>
      <c r="AN493" s="4" t="s">
        <v>677</v>
      </c>
      <c r="AQ493" s="4" t="s">
        <v>186</v>
      </c>
      <c r="AR493" s="4" t="s">
        <v>187</v>
      </c>
      <c r="AS493" s="4" t="s">
        <v>186</v>
      </c>
      <c r="AT493" s="4" t="s">
        <v>186</v>
      </c>
      <c r="AU493" s="4" t="s">
        <v>186</v>
      </c>
      <c r="AV493" s="4" t="s">
        <v>186</v>
      </c>
      <c r="AW493" s="4" t="s">
        <v>187</v>
      </c>
      <c r="AX493" s="4" t="s">
        <v>186</v>
      </c>
      <c r="AY493" s="4" t="s">
        <v>186</v>
      </c>
      <c r="AZ493" s="4" t="s">
        <v>186</v>
      </c>
      <c r="BC493" s="4">
        <v>82297173414</v>
      </c>
      <c r="BD493" s="4">
        <v>87803851037</v>
      </c>
      <c r="BE493" s="4">
        <v>85803725918</v>
      </c>
      <c r="BF493" s="4">
        <v>81391327887</v>
      </c>
      <c r="BG493" s="4">
        <v>87829385017</v>
      </c>
      <c r="BH493" s="4">
        <v>89668200469</v>
      </c>
      <c r="BI493" s="4">
        <v>85215080919</v>
      </c>
      <c r="BJ493" s="4">
        <v>81282232572</v>
      </c>
      <c r="BK493" s="4">
        <v>82138139697</v>
      </c>
      <c r="BL493" s="4">
        <v>83891137178</v>
      </c>
      <c r="BO493" s="39">
        <v>60181165</v>
      </c>
      <c r="BQ493" s="37">
        <v>44959</v>
      </c>
      <c r="BR493" s="8">
        <f t="shared" si="1"/>
        <v>10</v>
      </c>
    </row>
    <row r="494" spans="1:70" ht="12.5">
      <c r="A494" s="4" t="str">
        <v>Reguler Periode ke-109 I.A.2</v>
      </c>
      <c r="B494" s="4" t="s">
        <v>6668</v>
      </c>
      <c r="C494" s="7" t="s">
        <v>216</v>
      </c>
      <c r="D494" s="4" t="s">
        <v>3446</v>
      </c>
      <c r="E494" s="4" t="s">
        <v>6660</v>
      </c>
      <c r="F494" s="4" t="s">
        <v>6660</v>
      </c>
      <c r="G494" s="4" t="s">
        <v>6679</v>
      </c>
      <c r="H494" s="4" t="s">
        <v>6680</v>
      </c>
      <c r="I494" s="4" t="s">
        <v>6681</v>
      </c>
      <c r="J494" s="4" t="s">
        <v>6682</v>
      </c>
      <c r="K494" s="4" t="s">
        <v>6683</v>
      </c>
      <c r="L494" s="4" t="s">
        <v>6684</v>
      </c>
      <c r="M494" s="4" t="s">
        <v>6685</v>
      </c>
      <c r="N494" s="4" t="s">
        <v>6686</v>
      </c>
      <c r="O494" s="4" t="s">
        <v>6687</v>
      </c>
      <c r="S494" s="4">
        <v>1900013318</v>
      </c>
      <c r="T494" s="4">
        <v>1900013329</v>
      </c>
      <c r="U494" s="4">
        <v>1900013394</v>
      </c>
      <c r="V494" s="4">
        <v>2000013110</v>
      </c>
      <c r="W494" s="4">
        <v>2000013130</v>
      </c>
      <c r="X494" s="4">
        <v>2000013192</v>
      </c>
      <c r="Y494" s="4">
        <v>2000013307</v>
      </c>
      <c r="Z494" s="4">
        <v>2000013336</v>
      </c>
      <c r="AA494" s="4">
        <v>2000013362</v>
      </c>
      <c r="AE494" s="4" t="s">
        <v>677</v>
      </c>
      <c r="AF494" s="4" t="s">
        <v>677</v>
      </c>
      <c r="AG494" s="4" t="s">
        <v>677</v>
      </c>
      <c r="AH494" s="4" t="s">
        <v>677</v>
      </c>
      <c r="AI494" s="4" t="s">
        <v>677</v>
      </c>
      <c r="AJ494" s="4" t="s">
        <v>677</v>
      </c>
      <c r="AK494" s="4" t="s">
        <v>677</v>
      </c>
      <c r="AL494" s="4" t="s">
        <v>677</v>
      </c>
      <c r="AM494" s="4" t="s">
        <v>677</v>
      </c>
      <c r="AQ494" s="4" t="s">
        <v>186</v>
      </c>
      <c r="AR494" s="4" t="s">
        <v>187</v>
      </c>
      <c r="AS494" s="4" t="s">
        <v>186</v>
      </c>
      <c r="AT494" s="4" t="s">
        <v>186</v>
      </c>
      <c r="AU494" s="4" t="s">
        <v>186</v>
      </c>
      <c r="AV494" s="4" t="s">
        <v>187</v>
      </c>
      <c r="AW494" s="4" t="s">
        <v>186</v>
      </c>
      <c r="AX494" s="4" t="s">
        <v>186</v>
      </c>
      <c r="AY494" s="4" t="s">
        <v>186</v>
      </c>
      <c r="BC494" s="4">
        <v>85155276177</v>
      </c>
      <c r="BD494" s="4">
        <v>8983208599</v>
      </c>
      <c r="BE494" s="4">
        <v>82292421809</v>
      </c>
      <c r="BF494" s="4">
        <v>85641570001</v>
      </c>
      <c r="BG494" s="4">
        <v>87725811482</v>
      </c>
      <c r="BH494" s="4">
        <v>85156429210</v>
      </c>
      <c r="BI494" s="4">
        <v>81217907331</v>
      </c>
      <c r="BJ494" s="4">
        <v>85651075124</v>
      </c>
      <c r="BK494" s="4">
        <v>81327449275</v>
      </c>
      <c r="BO494" s="39">
        <v>60181166</v>
      </c>
      <c r="BQ494" s="37">
        <v>44960</v>
      </c>
      <c r="BR494" s="8">
        <f t="shared" si="1"/>
        <v>9</v>
      </c>
    </row>
    <row r="495" spans="1:70" ht="12.5">
      <c r="A495" s="4" t="str">
        <v>Reguler Periode ke-108 I.A.1</v>
      </c>
      <c r="B495" s="4" t="s">
        <v>6688</v>
      </c>
      <c r="C495" s="7" t="s">
        <v>165</v>
      </c>
      <c r="D495" s="4" t="s">
        <v>6347</v>
      </c>
      <c r="F495" s="4" t="s">
        <v>4928</v>
      </c>
      <c r="G495" s="7" t="s">
        <v>6689</v>
      </c>
      <c r="H495" s="7" t="s">
        <v>6690</v>
      </c>
      <c r="I495" s="7" t="s">
        <v>6691</v>
      </c>
      <c r="J495" s="7" t="s">
        <v>6692</v>
      </c>
      <c r="K495" s="7" t="s">
        <v>6693</v>
      </c>
      <c r="L495" s="7" t="s">
        <v>6694</v>
      </c>
      <c r="M495" s="7" t="s">
        <v>6695</v>
      </c>
      <c r="N495" s="7" t="s">
        <v>6696</v>
      </c>
      <c r="O495" s="7" t="s">
        <v>6697</v>
      </c>
      <c r="S495" s="4">
        <v>1800018383</v>
      </c>
      <c r="T495" s="4">
        <v>1900027071</v>
      </c>
      <c r="U495" s="4">
        <v>1900031065</v>
      </c>
      <c r="V495" s="4">
        <v>2000023052</v>
      </c>
      <c r="W495" s="4">
        <v>2000028030</v>
      </c>
      <c r="X495" s="4">
        <v>2000032138</v>
      </c>
      <c r="Y495" s="4">
        <v>2011006025</v>
      </c>
      <c r="Z495" s="4">
        <v>2011331015</v>
      </c>
      <c r="AA495" s="4">
        <v>2011331021</v>
      </c>
      <c r="AE495" s="4" t="s">
        <v>179</v>
      </c>
      <c r="AF495" s="4" t="s">
        <v>1763</v>
      </c>
      <c r="AG495" s="4" t="s">
        <v>185</v>
      </c>
      <c r="AH495" s="4" t="s">
        <v>899</v>
      </c>
      <c r="AI495" s="4" t="s">
        <v>678</v>
      </c>
      <c r="AJ495" s="4" t="s">
        <v>732</v>
      </c>
      <c r="AK495" s="4" t="s">
        <v>745</v>
      </c>
      <c r="AL495" s="4" t="s">
        <v>546</v>
      </c>
      <c r="AM495" s="4" t="s">
        <v>546</v>
      </c>
      <c r="AQ495" s="4" t="s">
        <v>187</v>
      </c>
      <c r="AR495" s="4" t="s">
        <v>186</v>
      </c>
      <c r="AS495" s="4" t="s">
        <v>187</v>
      </c>
      <c r="AT495" s="4" t="s">
        <v>186</v>
      </c>
      <c r="AU495" s="4" t="s">
        <v>186</v>
      </c>
      <c r="AV495" s="4" t="s">
        <v>186</v>
      </c>
      <c r="AW495" s="4" t="s">
        <v>186</v>
      </c>
      <c r="AX495" s="4" t="s">
        <v>186</v>
      </c>
      <c r="AY495" s="4" t="s">
        <v>187</v>
      </c>
      <c r="BC495" s="4">
        <v>882006024359</v>
      </c>
      <c r="BD495" s="4">
        <v>85333770778</v>
      </c>
      <c r="BE495" s="4" t="s">
        <v>6698</v>
      </c>
      <c r="BF495" s="4">
        <v>81251555270</v>
      </c>
      <c r="BG495" s="4">
        <v>81225085438</v>
      </c>
      <c r="BH495" s="4">
        <v>82334674949</v>
      </c>
      <c r="BI495" s="4">
        <v>81327205913</v>
      </c>
      <c r="BJ495" s="4" t="s">
        <v>6699</v>
      </c>
      <c r="BK495" s="4">
        <v>82290069643</v>
      </c>
      <c r="BO495" s="4">
        <v>60030482</v>
      </c>
      <c r="BP495" s="18" t="s">
        <v>6700</v>
      </c>
      <c r="BQ495" s="37">
        <v>45001</v>
      </c>
      <c r="BR495" s="8">
        <f t="shared" si="1"/>
        <v>9</v>
      </c>
    </row>
    <row r="496" spans="1:70" ht="12.5">
      <c r="A496" s="4" t="str">
        <v>Reguler Periode ke-108 I.A.2</v>
      </c>
      <c r="B496" s="4" t="s">
        <v>6688</v>
      </c>
      <c r="C496" s="7" t="s">
        <v>216</v>
      </c>
      <c r="D496" s="4" t="s">
        <v>6347</v>
      </c>
      <c r="F496" s="4" t="s">
        <v>4928</v>
      </c>
      <c r="G496" s="7" t="s">
        <v>6701</v>
      </c>
      <c r="H496" s="7" t="s">
        <v>6702</v>
      </c>
      <c r="I496" s="7" t="s">
        <v>6703</v>
      </c>
      <c r="J496" s="7" t="s">
        <v>6704</v>
      </c>
      <c r="K496" s="7" t="s">
        <v>6705</v>
      </c>
      <c r="L496" s="7" t="s">
        <v>6706</v>
      </c>
      <c r="M496" s="7" t="s">
        <v>6707</v>
      </c>
      <c r="N496" s="7" t="s">
        <v>6708</v>
      </c>
      <c r="O496" s="7" t="s">
        <v>6709</v>
      </c>
      <c r="S496" s="4">
        <v>1900001062</v>
      </c>
      <c r="T496" s="4">
        <v>2000011164</v>
      </c>
      <c r="U496" s="4">
        <v>2000023049</v>
      </c>
      <c r="V496" s="4">
        <v>2000028091</v>
      </c>
      <c r="W496" s="4">
        <v>2000032114</v>
      </c>
      <c r="X496" s="4">
        <v>2000032161</v>
      </c>
      <c r="Y496" s="4">
        <v>2000331001</v>
      </c>
      <c r="Z496" s="4">
        <v>2011027052</v>
      </c>
      <c r="AA496" s="4">
        <v>2011027055</v>
      </c>
      <c r="AE496" s="4" t="s">
        <v>180</v>
      </c>
      <c r="AF496" s="4" t="s">
        <v>182</v>
      </c>
      <c r="AG496" s="4" t="s">
        <v>899</v>
      </c>
      <c r="AH496" s="4" t="s">
        <v>678</v>
      </c>
      <c r="AI496" s="4" t="s">
        <v>732</v>
      </c>
      <c r="AJ496" s="4" t="s">
        <v>732</v>
      </c>
      <c r="AK496" s="4" t="s">
        <v>546</v>
      </c>
      <c r="AL496" s="4" t="s">
        <v>1763</v>
      </c>
      <c r="AM496" s="4" t="s">
        <v>1763</v>
      </c>
      <c r="AQ496" s="4" t="s">
        <v>186</v>
      </c>
      <c r="AR496" s="4" t="s">
        <v>186</v>
      </c>
      <c r="AS496" s="4" t="s">
        <v>186</v>
      </c>
      <c r="AT496" s="4" t="s">
        <v>186</v>
      </c>
      <c r="AU496" s="4" t="s">
        <v>187</v>
      </c>
      <c r="AV496" s="4" t="s">
        <v>186</v>
      </c>
      <c r="AW496" s="4" t="s">
        <v>186</v>
      </c>
      <c r="AX496" s="4" t="s">
        <v>186</v>
      </c>
      <c r="AY496" s="4" t="s">
        <v>187</v>
      </c>
      <c r="BC496" s="4">
        <v>88237151720</v>
      </c>
      <c r="BD496" s="4">
        <v>81338229896</v>
      </c>
      <c r="BE496" s="4">
        <v>82227195335</v>
      </c>
      <c r="BF496" s="4">
        <v>85798839137</v>
      </c>
      <c r="BG496" s="4">
        <v>85703117849</v>
      </c>
      <c r="BH496" s="4">
        <v>81381821073</v>
      </c>
      <c r="BI496" s="4">
        <v>81228974952</v>
      </c>
      <c r="BJ496" s="4">
        <v>85647534520</v>
      </c>
      <c r="BK496" s="4">
        <v>85340061203</v>
      </c>
      <c r="BO496" s="4">
        <v>60030482</v>
      </c>
      <c r="BP496" s="18" t="s">
        <v>6710</v>
      </c>
      <c r="BQ496" s="37">
        <v>45001</v>
      </c>
      <c r="BR496" s="8">
        <f t="shared" si="1"/>
        <v>9</v>
      </c>
    </row>
    <row r="497" spans="1:70" ht="12.5">
      <c r="A497" s="4" t="str">
        <v>Reguler Periode ke-108 I.A.3</v>
      </c>
      <c r="B497" s="4" t="s">
        <v>6688</v>
      </c>
      <c r="C497" s="7" t="s">
        <v>238</v>
      </c>
      <c r="D497" s="4" t="s">
        <v>6347</v>
      </c>
      <c r="F497" s="4" t="s">
        <v>4928</v>
      </c>
      <c r="G497" s="4" t="s">
        <v>6711</v>
      </c>
      <c r="H497" s="4" t="s">
        <v>6712</v>
      </c>
      <c r="I497" s="4" t="s">
        <v>6713</v>
      </c>
      <c r="J497" s="4" t="s">
        <v>6714</v>
      </c>
      <c r="K497" s="4" t="s">
        <v>6715</v>
      </c>
      <c r="L497" s="4" t="s">
        <v>6716</v>
      </c>
      <c r="M497" s="4" t="s">
        <v>6717</v>
      </c>
      <c r="N497" s="4" t="s">
        <v>6718</v>
      </c>
      <c r="O497" s="4" t="s">
        <v>6719</v>
      </c>
      <c r="S497" s="4">
        <v>1800026070</v>
      </c>
      <c r="T497" s="4">
        <v>2000006010</v>
      </c>
      <c r="U497" s="4">
        <v>2000011062</v>
      </c>
      <c r="V497" s="4">
        <v>2000027017</v>
      </c>
      <c r="W497" s="4">
        <v>2000027044</v>
      </c>
      <c r="X497" s="4">
        <v>2000028096</v>
      </c>
      <c r="Y497" s="4">
        <v>2000032033</v>
      </c>
      <c r="Z497" s="4">
        <v>2000032056</v>
      </c>
      <c r="AA497" s="4">
        <v>2011331016</v>
      </c>
      <c r="AE497" s="4" t="s">
        <v>570</v>
      </c>
      <c r="AF497" s="4" t="s">
        <v>745</v>
      </c>
      <c r="AG497" s="4" t="s">
        <v>182</v>
      </c>
      <c r="AH497" s="4" t="s">
        <v>1763</v>
      </c>
      <c r="AI497" s="4" t="s">
        <v>1763</v>
      </c>
      <c r="AJ497" s="4" t="s">
        <v>678</v>
      </c>
      <c r="AK497" s="4" t="s">
        <v>732</v>
      </c>
      <c r="AL497" s="4" t="s">
        <v>732</v>
      </c>
      <c r="AM497" s="4" t="s">
        <v>546</v>
      </c>
      <c r="AQ497" s="4" t="s">
        <v>186</v>
      </c>
      <c r="AR497" s="4" t="s">
        <v>186</v>
      </c>
      <c r="AS497" s="4" t="s">
        <v>186</v>
      </c>
      <c r="AT497" s="4" t="s">
        <v>186</v>
      </c>
      <c r="AU497" s="4" t="s">
        <v>187</v>
      </c>
      <c r="AV497" s="4" t="s">
        <v>186</v>
      </c>
      <c r="AW497" s="4" t="s">
        <v>186</v>
      </c>
      <c r="AX497" s="4" t="s">
        <v>187</v>
      </c>
      <c r="AY497" s="4" t="s">
        <v>186</v>
      </c>
      <c r="BC497" s="4">
        <v>81222249942</v>
      </c>
      <c r="BD497" s="4">
        <v>81326859131</v>
      </c>
      <c r="BE497" s="4">
        <v>8978635096</v>
      </c>
      <c r="BF497" s="4">
        <v>85225230605</v>
      </c>
      <c r="BH497" s="4">
        <v>85727708336</v>
      </c>
      <c r="BI497" s="4">
        <v>81215786194</v>
      </c>
      <c r="BJ497" s="4">
        <v>85333652286</v>
      </c>
      <c r="BK497" s="4">
        <v>81326294570</v>
      </c>
      <c r="BO497" s="4">
        <v>60030482</v>
      </c>
      <c r="BP497" s="18" t="s">
        <v>6720</v>
      </c>
      <c r="BQ497" s="37">
        <v>45001</v>
      </c>
      <c r="BR497" s="8">
        <f t="shared" si="1"/>
        <v>9</v>
      </c>
    </row>
    <row r="498" spans="1:70" ht="12.5">
      <c r="A498" s="4" t="str">
        <v>Reguler Periode ke-108 I.B.1</v>
      </c>
      <c r="B498" s="4" t="s">
        <v>6688</v>
      </c>
      <c r="C498" s="7" t="s">
        <v>260</v>
      </c>
      <c r="D498" s="4" t="s">
        <v>6721</v>
      </c>
      <c r="F498" s="4" t="s">
        <v>4928</v>
      </c>
      <c r="G498" s="4" t="s">
        <v>6722</v>
      </c>
      <c r="H498" s="4" t="s">
        <v>6723</v>
      </c>
      <c r="I498" s="4" t="s">
        <v>6724</v>
      </c>
      <c r="J498" s="4" t="s">
        <v>6725</v>
      </c>
      <c r="K498" s="4" t="s">
        <v>6726</v>
      </c>
      <c r="L498" s="4" t="s">
        <v>6727</v>
      </c>
      <c r="M498" s="4" t="s">
        <v>6728</v>
      </c>
      <c r="N498" s="4" t="s">
        <v>6729</v>
      </c>
      <c r="O498" s="4" t="s">
        <v>6730</v>
      </c>
      <c r="S498" s="4">
        <v>2000006023</v>
      </c>
      <c r="T498" s="4">
        <v>2000012035</v>
      </c>
      <c r="U498" s="4">
        <v>2000027060</v>
      </c>
      <c r="V498" s="4">
        <v>2000031211</v>
      </c>
      <c r="W498" s="4">
        <v>2000032008</v>
      </c>
      <c r="X498" s="4">
        <v>2000032075</v>
      </c>
      <c r="Y498" s="4">
        <v>2000331027</v>
      </c>
      <c r="Z498" s="4">
        <v>2011027054</v>
      </c>
      <c r="AA498" s="4">
        <v>2011027057</v>
      </c>
      <c r="AE498" s="4" t="s">
        <v>745</v>
      </c>
      <c r="AF498" s="4" t="s">
        <v>885</v>
      </c>
      <c r="AG498" s="4" t="s">
        <v>1763</v>
      </c>
      <c r="AH498" s="4" t="s">
        <v>185</v>
      </c>
      <c r="AI498" s="4" t="s">
        <v>732</v>
      </c>
      <c r="AJ498" s="4" t="s">
        <v>732</v>
      </c>
      <c r="AK498" s="4" t="s">
        <v>546</v>
      </c>
      <c r="AL498" s="4" t="s">
        <v>1763</v>
      </c>
      <c r="AM498" s="4" t="s">
        <v>1763</v>
      </c>
      <c r="AQ498" s="4" t="s">
        <v>186</v>
      </c>
      <c r="AR498" s="4" t="s">
        <v>186</v>
      </c>
      <c r="AS498" s="4" t="s">
        <v>186</v>
      </c>
      <c r="AT498" s="4" t="s">
        <v>186</v>
      </c>
      <c r="AU498" s="4" t="s">
        <v>187</v>
      </c>
      <c r="AV498" s="4" t="s">
        <v>186</v>
      </c>
      <c r="AW498" s="4" t="s">
        <v>186</v>
      </c>
      <c r="AX498" s="4" t="s">
        <v>186</v>
      </c>
      <c r="AY498" s="4" t="s">
        <v>187</v>
      </c>
      <c r="BC498" s="4">
        <v>89687909715</v>
      </c>
      <c r="BD498" s="4">
        <v>82180018225</v>
      </c>
      <c r="BE498" s="4">
        <v>85895552447</v>
      </c>
      <c r="BF498" s="4">
        <v>82281084989</v>
      </c>
      <c r="BG498" s="4">
        <v>89631291860</v>
      </c>
      <c r="BH498" s="4">
        <v>81381640097</v>
      </c>
      <c r="BI498" s="4">
        <v>85226180774</v>
      </c>
      <c r="BJ498" s="4">
        <v>82215754737</v>
      </c>
      <c r="BK498" s="4">
        <v>82395437070</v>
      </c>
      <c r="BO498" s="39">
        <v>60191181</v>
      </c>
      <c r="BP498" s="18" t="s">
        <v>6731</v>
      </c>
      <c r="BQ498" s="37">
        <v>45001</v>
      </c>
      <c r="BR498" s="8">
        <f t="shared" si="1"/>
        <v>9</v>
      </c>
    </row>
    <row r="499" spans="1:70" ht="12.5">
      <c r="A499" s="4" t="str">
        <v>Reguler Periode ke-108 I.B.2</v>
      </c>
      <c r="B499" s="4" t="s">
        <v>6688</v>
      </c>
      <c r="C499" s="7" t="s">
        <v>280</v>
      </c>
      <c r="D499" s="4" t="s">
        <v>6721</v>
      </c>
      <c r="F499" s="4" t="s">
        <v>4928</v>
      </c>
      <c r="G499" s="4" t="s">
        <v>6732</v>
      </c>
      <c r="H499" s="4" t="s">
        <v>6733</v>
      </c>
      <c r="I499" s="4" t="s">
        <v>6734</v>
      </c>
      <c r="J499" s="4" t="s">
        <v>6735</v>
      </c>
      <c r="K499" s="4" t="s">
        <v>6736</v>
      </c>
      <c r="L499" s="4" t="s">
        <v>6737</v>
      </c>
      <c r="M499" s="4" t="s">
        <v>6738</v>
      </c>
      <c r="N499" s="4" t="s">
        <v>6739</v>
      </c>
      <c r="O499" s="4" t="s">
        <v>6740</v>
      </c>
      <c r="S499" s="4">
        <v>1800030475</v>
      </c>
      <c r="T499" s="4">
        <v>2000006021</v>
      </c>
      <c r="U499" s="4">
        <v>2000013083</v>
      </c>
      <c r="V499" s="4">
        <v>2000027068</v>
      </c>
      <c r="W499" s="4">
        <v>2000031049</v>
      </c>
      <c r="X499" s="4">
        <v>2000331009</v>
      </c>
      <c r="Y499" s="4">
        <v>2000331024</v>
      </c>
      <c r="Z499" s="4">
        <v>2011027050</v>
      </c>
      <c r="AA499" s="4">
        <v>2011331017</v>
      </c>
      <c r="AE499" s="4" t="s">
        <v>184</v>
      </c>
      <c r="AF499" s="4" t="s">
        <v>745</v>
      </c>
      <c r="AG499" s="4" t="s">
        <v>677</v>
      </c>
      <c r="AH499" s="4" t="s">
        <v>1763</v>
      </c>
      <c r="AI499" s="4" t="s">
        <v>185</v>
      </c>
      <c r="AJ499" s="4" t="s">
        <v>546</v>
      </c>
      <c r="AK499" s="4" t="s">
        <v>546</v>
      </c>
      <c r="AL499" s="4" t="s">
        <v>1763</v>
      </c>
      <c r="AM499" s="4" t="s">
        <v>546</v>
      </c>
      <c r="AQ499" s="7" t="s">
        <v>187</v>
      </c>
      <c r="AR499" s="7" t="s">
        <v>186</v>
      </c>
      <c r="AS499" s="7" t="s">
        <v>186</v>
      </c>
      <c r="AT499" s="7" t="s">
        <v>186</v>
      </c>
      <c r="AU499" s="7" t="s">
        <v>186</v>
      </c>
      <c r="AV499" s="7" t="s">
        <v>186</v>
      </c>
      <c r="AW499" s="7" t="s">
        <v>186</v>
      </c>
      <c r="AX499" s="7" t="s">
        <v>186</v>
      </c>
      <c r="AY499" s="7" t="s">
        <v>187</v>
      </c>
      <c r="BC499" s="4">
        <v>85713859854</v>
      </c>
      <c r="BD499" s="4">
        <v>82163694733</v>
      </c>
      <c r="BE499" s="4">
        <v>82278765802</v>
      </c>
      <c r="BF499" s="4">
        <v>85769088235</v>
      </c>
      <c r="BG499" s="4">
        <v>81368138392</v>
      </c>
      <c r="BH499" s="4">
        <v>88226694708</v>
      </c>
      <c r="BI499" s="4">
        <v>89643738306</v>
      </c>
      <c r="BJ499" s="4">
        <v>8994094040</v>
      </c>
      <c r="BK499" s="4">
        <v>85826225920</v>
      </c>
      <c r="BO499" s="39">
        <v>60191181</v>
      </c>
      <c r="BP499" s="18" t="s">
        <v>6741</v>
      </c>
      <c r="BQ499" s="37">
        <v>45001</v>
      </c>
      <c r="BR499" s="8">
        <f t="shared" si="1"/>
        <v>9</v>
      </c>
    </row>
    <row r="500" spans="1:70" ht="12.5">
      <c r="A500" s="4" t="str">
        <v>Reguler Periode ke-108 I.B.3</v>
      </c>
      <c r="B500" s="4" t="s">
        <v>6688</v>
      </c>
      <c r="C500" s="7" t="s">
        <v>299</v>
      </c>
      <c r="D500" s="4" t="s">
        <v>6721</v>
      </c>
      <c r="F500" s="4" t="s">
        <v>4928</v>
      </c>
      <c r="G500" s="4" t="s">
        <v>6620</v>
      </c>
      <c r="H500" s="4" t="s">
        <v>6742</v>
      </c>
      <c r="I500" s="4" t="s">
        <v>6743</v>
      </c>
      <c r="J500" s="4" t="s">
        <v>6744</v>
      </c>
      <c r="K500" s="4" t="s">
        <v>6745</v>
      </c>
      <c r="L500" s="4" t="s">
        <v>6746</v>
      </c>
      <c r="M500" s="4" t="s">
        <v>6747</v>
      </c>
      <c r="N500" s="4" t="s">
        <v>6748</v>
      </c>
      <c r="S500" s="4">
        <v>1820027121</v>
      </c>
      <c r="T500" s="4">
        <v>2000013142</v>
      </c>
      <c r="U500" s="4">
        <v>2000031175</v>
      </c>
      <c r="V500" s="4">
        <v>2000031254</v>
      </c>
      <c r="W500" s="4">
        <v>2000331010</v>
      </c>
      <c r="X500" s="4">
        <v>2000331011</v>
      </c>
      <c r="Y500" s="4">
        <v>2011006034</v>
      </c>
      <c r="Z500" s="4">
        <v>2011027056</v>
      </c>
      <c r="AE500" s="4" t="s">
        <v>1763</v>
      </c>
      <c r="AF500" s="4" t="s">
        <v>677</v>
      </c>
      <c r="AG500" s="4" t="s">
        <v>185</v>
      </c>
      <c r="AH500" s="4" t="s">
        <v>185</v>
      </c>
      <c r="AI500" s="4" t="s">
        <v>546</v>
      </c>
      <c r="AJ500" s="4" t="s">
        <v>546</v>
      </c>
      <c r="AK500" s="4" t="s">
        <v>745</v>
      </c>
      <c r="AL500" s="4" t="s">
        <v>1763</v>
      </c>
      <c r="AM500" s="4" t="s">
        <v>6491</v>
      </c>
      <c r="AQ500" s="4" t="s">
        <v>186</v>
      </c>
      <c r="AR500" s="4" t="s">
        <v>186</v>
      </c>
      <c r="AS500" s="4" t="s">
        <v>186</v>
      </c>
      <c r="AT500" s="4" t="s">
        <v>187</v>
      </c>
      <c r="AU500" s="4" t="s">
        <v>187</v>
      </c>
      <c r="AV500" s="4" t="s">
        <v>186</v>
      </c>
      <c r="AW500" s="4" t="s">
        <v>186</v>
      </c>
      <c r="AX500" s="4" t="s">
        <v>186</v>
      </c>
      <c r="BC500" s="4">
        <v>85731493005</v>
      </c>
      <c r="BD500" s="4">
        <v>895391463270</v>
      </c>
      <c r="BE500" s="4">
        <v>85643198923</v>
      </c>
      <c r="BF500" s="4">
        <v>85850209996</v>
      </c>
      <c r="BG500" s="4">
        <v>8814300433</v>
      </c>
      <c r="BH500" s="4">
        <v>82328689680</v>
      </c>
      <c r="BI500" s="4">
        <v>81215658209</v>
      </c>
      <c r="BJ500" s="4">
        <v>81555662407</v>
      </c>
      <c r="BO500" s="39">
        <v>60191181</v>
      </c>
      <c r="BP500" s="18" t="s">
        <v>6749</v>
      </c>
      <c r="BQ500" s="37">
        <v>45001</v>
      </c>
      <c r="BR500" s="8">
        <f t="shared" si="1"/>
        <v>8</v>
      </c>
    </row>
    <row r="501" spans="1:70" ht="14">
      <c r="A501" s="4" t="str">
        <v>Alternatif Periode ke-87 I.A.1</v>
      </c>
      <c r="B501" s="4" t="s">
        <v>6750</v>
      </c>
      <c r="C501" s="4" t="s">
        <v>165</v>
      </c>
      <c r="D501" s="4" t="s">
        <v>6751</v>
      </c>
      <c r="E501" s="4" t="s">
        <v>6752</v>
      </c>
      <c r="F501" s="4" t="s">
        <v>520</v>
      </c>
      <c r="G501" s="4" t="s">
        <v>6753</v>
      </c>
      <c r="H501" s="4" t="s">
        <v>6754</v>
      </c>
      <c r="I501" s="4" t="s">
        <v>6755</v>
      </c>
      <c r="J501" s="4" t="s">
        <v>6756</v>
      </c>
      <c r="K501" s="4" t="s">
        <v>6757</v>
      </c>
      <c r="L501" s="4" t="s">
        <v>6758</v>
      </c>
      <c r="M501" s="4" t="s">
        <v>6759</v>
      </c>
      <c r="N501" s="4" t="s">
        <v>6760</v>
      </c>
      <c r="O501" s="4" t="s">
        <v>6761</v>
      </c>
      <c r="P501" s="4" t="s">
        <v>6762</v>
      </c>
      <c r="S501" s="4">
        <v>1800001110</v>
      </c>
      <c r="T501" s="4">
        <v>1800004155</v>
      </c>
      <c r="U501" s="4">
        <v>1800018108</v>
      </c>
      <c r="V501" s="4">
        <v>1900010158</v>
      </c>
      <c r="W501" s="4">
        <v>1900010256</v>
      </c>
      <c r="X501" s="4">
        <v>1900026071</v>
      </c>
      <c r="Y501" s="4">
        <v>1900029036</v>
      </c>
      <c r="Z501" s="4">
        <v>1900031190</v>
      </c>
      <c r="AA501" s="4">
        <v>1900033108</v>
      </c>
      <c r="AB501" s="4">
        <v>2000023035</v>
      </c>
      <c r="AE501" s="4" t="s">
        <v>180</v>
      </c>
      <c r="AF501" s="27" t="s">
        <v>201</v>
      </c>
      <c r="AG501" s="27" t="s">
        <v>179</v>
      </c>
      <c r="AH501" s="27" t="s">
        <v>532</v>
      </c>
      <c r="AI501" s="27" t="s">
        <v>532</v>
      </c>
      <c r="AJ501" s="27" t="s">
        <v>570</v>
      </c>
      <c r="AK501" s="27" t="s">
        <v>533</v>
      </c>
      <c r="AL501" s="27" t="s">
        <v>185</v>
      </c>
      <c r="AM501" s="27" t="s">
        <v>1112</v>
      </c>
      <c r="AN501" s="27" t="s">
        <v>899</v>
      </c>
      <c r="AQ501" s="4" t="s">
        <v>187</v>
      </c>
      <c r="AR501" s="4" t="s">
        <v>186</v>
      </c>
      <c r="AS501" s="4" t="s">
        <v>187</v>
      </c>
      <c r="AT501" s="4" t="s">
        <v>186</v>
      </c>
      <c r="AU501" s="4" t="s">
        <v>187</v>
      </c>
      <c r="AV501" s="4" t="s">
        <v>187</v>
      </c>
      <c r="AW501" s="4" t="s">
        <v>186</v>
      </c>
      <c r="AX501" s="4" t="s">
        <v>187</v>
      </c>
      <c r="AY501" s="4" t="s">
        <v>186</v>
      </c>
      <c r="AZ501" s="4" t="s">
        <v>186</v>
      </c>
      <c r="BC501" s="4" t="s">
        <v>6763</v>
      </c>
      <c r="BD501" s="4">
        <v>89657385963</v>
      </c>
      <c r="BE501" s="4">
        <v>87777730436</v>
      </c>
      <c r="BF501" s="4">
        <v>81380046732</v>
      </c>
      <c r="BG501" s="4">
        <v>85600306308</v>
      </c>
      <c r="BH501" s="4">
        <v>87721565534</v>
      </c>
      <c r="BI501" s="4">
        <v>87857138598</v>
      </c>
      <c r="BJ501" s="4">
        <v>8891765120</v>
      </c>
      <c r="BK501" s="4">
        <v>82325017060</v>
      </c>
      <c r="BL501" s="4">
        <v>85335517568</v>
      </c>
      <c r="BO501" s="69">
        <v>60171101</v>
      </c>
      <c r="BP501" s="18" t="s">
        <v>6764</v>
      </c>
      <c r="BQ501" s="37">
        <v>45065</v>
      </c>
      <c r="BR501" s="8">
        <f t="shared" si="1"/>
        <v>10</v>
      </c>
    </row>
    <row r="502" spans="1:70" ht="14">
      <c r="A502" s="4" t="str">
        <v>Alternatif Periode ke-87 I.A.2</v>
      </c>
      <c r="B502" s="4" t="s">
        <v>6750</v>
      </c>
      <c r="C502" s="4" t="s">
        <v>216</v>
      </c>
      <c r="D502" s="4" t="s">
        <v>6751</v>
      </c>
      <c r="E502" s="4" t="s">
        <v>6765</v>
      </c>
      <c r="F502" s="4" t="s">
        <v>520</v>
      </c>
      <c r="G502" s="4" t="s">
        <v>6766</v>
      </c>
      <c r="H502" s="4" t="s">
        <v>6767</v>
      </c>
      <c r="I502" s="4" t="s">
        <v>6768</v>
      </c>
      <c r="J502" s="4" t="s">
        <v>6769</v>
      </c>
      <c r="K502" s="4" t="s">
        <v>6770</v>
      </c>
      <c r="L502" s="4" t="s">
        <v>6771</v>
      </c>
      <c r="M502" s="4" t="s">
        <v>6772</v>
      </c>
      <c r="N502" s="4" t="s">
        <v>6773</v>
      </c>
      <c r="O502" s="4" t="s">
        <v>6774</v>
      </c>
      <c r="P502" s="4" t="s">
        <v>6775</v>
      </c>
      <c r="Q502" s="4" t="s">
        <v>6776</v>
      </c>
      <c r="S502" s="4">
        <v>1600023095</v>
      </c>
      <c r="T502" s="4">
        <v>1800004135</v>
      </c>
      <c r="U502" s="4">
        <v>1800026250</v>
      </c>
      <c r="V502" s="4">
        <v>1900001075</v>
      </c>
      <c r="W502" s="4">
        <v>1900010079</v>
      </c>
      <c r="X502" s="4">
        <v>1900018180</v>
      </c>
      <c r="Y502" s="4">
        <v>1900033093</v>
      </c>
      <c r="Z502" s="4">
        <v>2000030105</v>
      </c>
      <c r="AA502" s="4">
        <v>2011031152</v>
      </c>
      <c r="AB502" s="4">
        <v>2123025077</v>
      </c>
      <c r="AC502" s="4">
        <v>2123025084</v>
      </c>
      <c r="AE502" s="27" t="s">
        <v>899</v>
      </c>
      <c r="AF502" s="27" t="s">
        <v>201</v>
      </c>
      <c r="AG502" s="27" t="s">
        <v>570</v>
      </c>
      <c r="AH502" s="27" t="s">
        <v>180</v>
      </c>
      <c r="AI502" s="27" t="s">
        <v>532</v>
      </c>
      <c r="AJ502" s="27" t="s">
        <v>179</v>
      </c>
      <c r="AK502" s="27" t="s">
        <v>1112</v>
      </c>
      <c r="AL502" s="27" t="s">
        <v>184</v>
      </c>
      <c r="AM502" s="27" t="s">
        <v>185</v>
      </c>
      <c r="AN502" s="27" t="s">
        <v>1168</v>
      </c>
      <c r="AO502" s="4" t="s">
        <v>1168</v>
      </c>
      <c r="AQ502" s="4" t="s">
        <v>186</v>
      </c>
      <c r="AR502" s="4" t="s">
        <v>186</v>
      </c>
      <c r="AS502" s="4" t="s">
        <v>187</v>
      </c>
      <c r="AT502" s="4" t="s">
        <v>187</v>
      </c>
      <c r="AU502" s="4" t="s">
        <v>187</v>
      </c>
      <c r="AV502" s="4" t="s">
        <v>187</v>
      </c>
      <c r="AW502" s="4" t="s">
        <v>186</v>
      </c>
      <c r="AX502" s="4" t="s">
        <v>186</v>
      </c>
      <c r="AY502" s="4" t="s">
        <v>187</v>
      </c>
      <c r="AZ502" s="4" t="s">
        <v>187</v>
      </c>
      <c r="BA502" s="4" t="s">
        <v>186</v>
      </c>
      <c r="BC502" s="4">
        <v>81294382733</v>
      </c>
      <c r="BD502" s="4">
        <v>8128222807</v>
      </c>
      <c r="BE502" s="4">
        <v>82213342794</v>
      </c>
      <c r="BF502" s="4">
        <v>82133379414</v>
      </c>
      <c r="BG502" s="4">
        <v>81379826989</v>
      </c>
      <c r="BH502" s="4">
        <v>85251532776</v>
      </c>
      <c r="BI502" s="4">
        <v>81273977848</v>
      </c>
      <c r="BJ502" s="4">
        <v>895614730055</v>
      </c>
      <c r="BK502" s="4">
        <v>85727771930</v>
      </c>
      <c r="BL502" s="4">
        <v>18677020227</v>
      </c>
      <c r="BM502" s="4">
        <v>15977503808</v>
      </c>
      <c r="BO502" s="69">
        <v>60171101</v>
      </c>
      <c r="BP502" s="18" t="s">
        <v>6777</v>
      </c>
      <c r="BQ502" s="37">
        <v>45065</v>
      </c>
      <c r="BR502" s="8">
        <f t="shared" si="1"/>
        <v>11</v>
      </c>
    </row>
    <row r="503" spans="1:70" ht="14">
      <c r="A503" s="4" t="str">
        <v>Alternatif Periode ke-87 I.A.3</v>
      </c>
      <c r="B503" s="4" t="s">
        <v>6750</v>
      </c>
      <c r="C503" s="4" t="s">
        <v>238</v>
      </c>
      <c r="D503" s="4" t="s">
        <v>6751</v>
      </c>
      <c r="E503" s="4" t="s">
        <v>6778</v>
      </c>
      <c r="F503" s="4" t="s">
        <v>520</v>
      </c>
      <c r="G503" s="52" t="s">
        <v>6779</v>
      </c>
      <c r="H503" s="52" t="s">
        <v>4707</v>
      </c>
      <c r="I503" s="52" t="s">
        <v>6780</v>
      </c>
      <c r="J503" s="52" t="s">
        <v>6781</v>
      </c>
      <c r="K503" s="52" t="s">
        <v>6782</v>
      </c>
      <c r="L503" s="52" t="s">
        <v>6783</v>
      </c>
      <c r="M503" s="52" t="s">
        <v>6784</v>
      </c>
      <c r="N503" s="52" t="s">
        <v>6785</v>
      </c>
      <c r="O503" s="52" t="s">
        <v>6786</v>
      </c>
      <c r="S503" s="4">
        <v>1900001061</v>
      </c>
      <c r="T503" s="4">
        <v>1900004110</v>
      </c>
      <c r="U503" s="4">
        <v>1900010117</v>
      </c>
      <c r="V503" s="4">
        <v>1900018194</v>
      </c>
      <c r="W503" s="4">
        <v>1900026235</v>
      </c>
      <c r="X503" s="4">
        <v>1900031333</v>
      </c>
      <c r="Y503" s="4">
        <v>1900033088</v>
      </c>
      <c r="Z503" s="4">
        <v>2000023044</v>
      </c>
      <c r="AA503" s="4">
        <v>2000030119</v>
      </c>
      <c r="AE503" s="27" t="s">
        <v>180</v>
      </c>
      <c r="AF503" s="27" t="s">
        <v>201</v>
      </c>
      <c r="AG503" s="27" t="s">
        <v>532</v>
      </c>
      <c r="AH503" s="27" t="s">
        <v>179</v>
      </c>
      <c r="AI503" s="27" t="s">
        <v>570</v>
      </c>
      <c r="AJ503" s="27" t="s">
        <v>185</v>
      </c>
      <c r="AK503" s="27" t="s">
        <v>1112</v>
      </c>
      <c r="AL503" s="27" t="s">
        <v>899</v>
      </c>
      <c r="AM503" s="27" t="s">
        <v>184</v>
      </c>
      <c r="AQ503" s="4" t="s">
        <v>187</v>
      </c>
      <c r="AR503" s="4" t="s">
        <v>186</v>
      </c>
      <c r="AS503" s="4" t="s">
        <v>186</v>
      </c>
      <c r="AT503" s="4" t="s">
        <v>187</v>
      </c>
      <c r="AU503" s="4" t="s">
        <v>187</v>
      </c>
      <c r="AV503" s="4" t="s">
        <v>187</v>
      </c>
      <c r="AW503" s="4" t="s">
        <v>186</v>
      </c>
      <c r="AX503" s="4" t="s">
        <v>186</v>
      </c>
      <c r="AY503" s="4" t="s">
        <v>186</v>
      </c>
      <c r="BC503" s="4">
        <v>82327580538</v>
      </c>
      <c r="BD503" s="4">
        <v>85788371851</v>
      </c>
      <c r="BE503" s="4">
        <v>85822370424</v>
      </c>
      <c r="BF503" s="4">
        <v>82377219433</v>
      </c>
      <c r="BG503" s="4">
        <v>81803096401</v>
      </c>
      <c r="BH503" s="4">
        <v>81237874703</v>
      </c>
      <c r="BI503" s="4">
        <v>82281852016</v>
      </c>
      <c r="BJ503" s="4">
        <v>83848850044</v>
      </c>
      <c r="BK503" s="4">
        <v>85540315102</v>
      </c>
      <c r="BO503" s="70">
        <v>60171101</v>
      </c>
      <c r="BP503" s="18" t="s">
        <v>6787</v>
      </c>
      <c r="BQ503" s="37">
        <v>45065</v>
      </c>
      <c r="BR503" s="8">
        <f t="shared" si="1"/>
        <v>9</v>
      </c>
    </row>
    <row r="504" spans="1:70" ht="14">
      <c r="A504" s="4" t="str">
        <v>Alternatif Periode ke-87 I.B.1</v>
      </c>
      <c r="B504" s="4" t="s">
        <v>6750</v>
      </c>
      <c r="C504" s="4" t="s">
        <v>260</v>
      </c>
      <c r="D504" s="4" t="s">
        <v>6788</v>
      </c>
      <c r="E504" s="4" t="s">
        <v>6789</v>
      </c>
      <c r="F504" s="4" t="s">
        <v>520</v>
      </c>
      <c r="G504" s="52" t="s">
        <v>6790</v>
      </c>
      <c r="H504" s="52" t="s">
        <v>6791</v>
      </c>
      <c r="I504" s="52" t="s">
        <v>6792</v>
      </c>
      <c r="J504" s="52" t="s">
        <v>6793</v>
      </c>
      <c r="K504" s="52" t="s">
        <v>6794</v>
      </c>
      <c r="L504" s="52" t="s">
        <v>6795</v>
      </c>
      <c r="M504" s="52" t="s">
        <v>6796</v>
      </c>
      <c r="N504" s="52" t="s">
        <v>6797</v>
      </c>
      <c r="O504" s="52" t="s">
        <v>6798</v>
      </c>
      <c r="P504" s="52" t="s">
        <v>6799</v>
      </c>
      <c r="S504" s="4">
        <v>1800004195</v>
      </c>
      <c r="T504" s="4">
        <v>1800018290</v>
      </c>
      <c r="U504" s="4">
        <v>1900010134</v>
      </c>
      <c r="V504" s="4">
        <v>1900010314</v>
      </c>
      <c r="W504" s="4">
        <v>1900024226</v>
      </c>
      <c r="X504" s="4">
        <v>1900026167</v>
      </c>
      <c r="Y504" s="4">
        <v>1900030303</v>
      </c>
      <c r="Z504" s="4">
        <v>1900331040</v>
      </c>
      <c r="AA504" s="4">
        <v>2000031201</v>
      </c>
      <c r="AB504" s="4">
        <v>2015001078</v>
      </c>
      <c r="AE504" s="27" t="s">
        <v>201</v>
      </c>
      <c r="AF504" s="27" t="s">
        <v>179</v>
      </c>
      <c r="AG504" s="27" t="s">
        <v>532</v>
      </c>
      <c r="AH504" s="27" t="s">
        <v>532</v>
      </c>
      <c r="AI504" s="27" t="s">
        <v>924</v>
      </c>
      <c r="AJ504" s="27" t="s">
        <v>570</v>
      </c>
      <c r="AK504" s="27" t="s">
        <v>184</v>
      </c>
      <c r="AL504" s="27" t="s">
        <v>546</v>
      </c>
      <c r="AM504" s="4" t="s">
        <v>185</v>
      </c>
      <c r="AN504" s="4" t="s">
        <v>180</v>
      </c>
      <c r="AQ504" s="4" t="s">
        <v>186</v>
      </c>
      <c r="AR504" s="4" t="s">
        <v>187</v>
      </c>
      <c r="AS504" s="4" t="s">
        <v>186</v>
      </c>
      <c r="AT504" s="4" t="s">
        <v>187</v>
      </c>
      <c r="AU504" s="4" t="s">
        <v>186</v>
      </c>
      <c r="AV504" s="4" t="s">
        <v>187</v>
      </c>
      <c r="AW504" s="4" t="s">
        <v>186</v>
      </c>
      <c r="AX504" s="4" t="s">
        <v>186</v>
      </c>
      <c r="AY504" s="4" t="s">
        <v>187</v>
      </c>
      <c r="AZ504" s="4" t="s">
        <v>187</v>
      </c>
      <c r="BC504" s="4">
        <v>83824218638</v>
      </c>
      <c r="BD504" s="4">
        <v>89606963528</v>
      </c>
      <c r="BE504" s="4">
        <v>82138046909</v>
      </c>
      <c r="BF504" s="4">
        <v>82393534305</v>
      </c>
      <c r="BG504" s="4">
        <v>85368993810</v>
      </c>
      <c r="BH504" s="4">
        <v>85293678050</v>
      </c>
      <c r="BI504" s="4">
        <v>81394109251</v>
      </c>
      <c r="BJ504" s="4">
        <v>83817257000</v>
      </c>
      <c r="BK504" s="4">
        <v>895346101971</v>
      </c>
      <c r="BL504" s="4">
        <v>85701120193</v>
      </c>
      <c r="BO504" s="71">
        <v>60010216</v>
      </c>
      <c r="BP504" s="18" t="s">
        <v>6800</v>
      </c>
      <c r="BQ504" s="37">
        <v>45065</v>
      </c>
      <c r="BR504" s="8">
        <f t="shared" si="1"/>
        <v>10</v>
      </c>
    </row>
    <row r="505" spans="1:70" ht="14">
      <c r="A505" s="4" t="str">
        <v>Alternatif Periode ke-87 I.B.2</v>
      </c>
      <c r="B505" s="4" t="s">
        <v>6750</v>
      </c>
      <c r="C505" s="4" t="s">
        <v>280</v>
      </c>
      <c r="D505" s="4" t="s">
        <v>6788</v>
      </c>
      <c r="E505" s="4" t="s">
        <v>6801</v>
      </c>
      <c r="F505" s="4" t="s">
        <v>520</v>
      </c>
      <c r="G505" s="52" t="s">
        <v>6802</v>
      </c>
      <c r="H505" s="52" t="s">
        <v>6803</v>
      </c>
      <c r="I505" s="52" t="s">
        <v>6804</v>
      </c>
      <c r="J505" s="52" t="s">
        <v>2091</v>
      </c>
      <c r="K505" s="52" t="s">
        <v>6805</v>
      </c>
      <c r="L505" s="52" t="s">
        <v>5936</v>
      </c>
      <c r="M505" s="52" t="s">
        <v>6806</v>
      </c>
      <c r="N505" s="52" t="s">
        <v>6807</v>
      </c>
      <c r="O505" s="52" t="s">
        <v>6808</v>
      </c>
      <c r="P505" s="52" t="s">
        <v>6809</v>
      </c>
      <c r="Q505" s="52" t="s">
        <v>6810</v>
      </c>
      <c r="S505" s="4">
        <v>1800010189</v>
      </c>
      <c r="T505" s="4">
        <v>1800026128</v>
      </c>
      <c r="U505" s="4">
        <v>1900005037</v>
      </c>
      <c r="V505" s="4">
        <v>1900011091</v>
      </c>
      <c r="W505" s="4">
        <v>1900018159</v>
      </c>
      <c r="X505" s="4">
        <v>1900024094</v>
      </c>
      <c r="Y505" s="4">
        <v>1900030280</v>
      </c>
      <c r="Z505" s="4">
        <v>1900031377</v>
      </c>
      <c r="AA505" s="4">
        <v>1900070007</v>
      </c>
      <c r="AB505" s="4">
        <v>2123025085</v>
      </c>
      <c r="AC505" s="4">
        <v>2123025090</v>
      </c>
      <c r="AE505" s="27" t="s">
        <v>532</v>
      </c>
      <c r="AF505" s="27" t="s">
        <v>570</v>
      </c>
      <c r="AG505" s="27" t="s">
        <v>181</v>
      </c>
      <c r="AH505" s="27" t="s">
        <v>182</v>
      </c>
      <c r="AI505" s="27" t="s">
        <v>179</v>
      </c>
      <c r="AJ505" s="27" t="s">
        <v>924</v>
      </c>
      <c r="AK505" s="27" t="s">
        <v>184</v>
      </c>
      <c r="AL505" s="4" t="s">
        <v>185</v>
      </c>
      <c r="AM505" s="4" t="s">
        <v>2473</v>
      </c>
      <c r="AN505" s="4" t="s">
        <v>1168</v>
      </c>
      <c r="AO505" s="4" t="s">
        <v>1168</v>
      </c>
      <c r="AQ505" s="4" t="s">
        <v>187</v>
      </c>
      <c r="AR505" s="4" t="s">
        <v>187</v>
      </c>
      <c r="AS505" s="4" t="s">
        <v>186</v>
      </c>
      <c r="AT505" s="4" t="s">
        <v>186</v>
      </c>
      <c r="AU505" s="4" t="s">
        <v>187</v>
      </c>
      <c r="AV505" s="4" t="s">
        <v>186</v>
      </c>
      <c r="AW505" s="4" t="s">
        <v>186</v>
      </c>
      <c r="AX505" s="4" t="s">
        <v>187</v>
      </c>
      <c r="AY505" s="4" t="s">
        <v>186</v>
      </c>
      <c r="AZ505" s="4" t="s">
        <v>186</v>
      </c>
      <c r="BA505" s="4" t="s">
        <v>186</v>
      </c>
      <c r="BC505" s="4">
        <v>89649098967</v>
      </c>
      <c r="BD505" s="4">
        <v>88226943074</v>
      </c>
      <c r="BE505" s="4">
        <v>85624144657</v>
      </c>
      <c r="BF505" s="4">
        <v>85742224277</v>
      </c>
      <c r="BG505" s="4">
        <v>82134536272</v>
      </c>
      <c r="BH505" s="4">
        <v>81775479672</v>
      </c>
      <c r="BI505" s="4">
        <v>895376450774</v>
      </c>
      <c r="BJ505" s="4">
        <v>81281867619</v>
      </c>
      <c r="BK505" s="4">
        <v>85691051016</v>
      </c>
      <c r="BL505" s="4">
        <v>15177813652</v>
      </c>
      <c r="BM505" s="4">
        <v>18154638285</v>
      </c>
      <c r="BO505" s="71">
        <v>60010216</v>
      </c>
      <c r="BP505" s="18" t="s">
        <v>6811</v>
      </c>
      <c r="BQ505" s="37">
        <v>45065</v>
      </c>
      <c r="BR505" s="8">
        <f t="shared" si="1"/>
        <v>11</v>
      </c>
    </row>
    <row r="506" spans="1:70" ht="14">
      <c r="A506" s="4" t="str">
        <v>Alternatif Periode ke-87 I.B.3</v>
      </c>
      <c r="B506" s="4" t="s">
        <v>6750</v>
      </c>
      <c r="C506" s="4" t="s">
        <v>299</v>
      </c>
      <c r="D506" s="4" t="s">
        <v>6788</v>
      </c>
      <c r="E506" s="4" t="s">
        <v>6812</v>
      </c>
      <c r="F506" s="4" t="s">
        <v>520</v>
      </c>
      <c r="G506" s="52" t="s">
        <v>6813</v>
      </c>
      <c r="H506" s="52" t="s">
        <v>6814</v>
      </c>
      <c r="I506" s="52" t="s">
        <v>6815</v>
      </c>
      <c r="J506" s="52" t="s">
        <v>6816</v>
      </c>
      <c r="K506" s="52" t="s">
        <v>6817</v>
      </c>
      <c r="L506" s="52" t="s">
        <v>6818</v>
      </c>
      <c r="M506" s="52" t="s">
        <v>6819</v>
      </c>
      <c r="N506" s="52" t="s">
        <v>6820</v>
      </c>
      <c r="O506" s="52" t="s">
        <v>6821</v>
      </c>
      <c r="S506" s="4">
        <v>1800026282</v>
      </c>
      <c r="T506" s="4">
        <v>1800031237</v>
      </c>
      <c r="U506" s="4">
        <v>1900005341</v>
      </c>
      <c r="V506" s="4">
        <v>1900010301</v>
      </c>
      <c r="W506" s="4">
        <v>1900011198</v>
      </c>
      <c r="X506" s="4">
        <v>1900018266</v>
      </c>
      <c r="Y506" s="4">
        <v>1900024046</v>
      </c>
      <c r="Z506" s="4">
        <v>1900030090</v>
      </c>
      <c r="AA506" s="4">
        <v>1900070022</v>
      </c>
      <c r="AE506" s="27" t="s">
        <v>570</v>
      </c>
      <c r="AF506" s="27" t="s">
        <v>185</v>
      </c>
      <c r="AG506" s="27" t="s">
        <v>181</v>
      </c>
      <c r="AH506" s="27" t="s">
        <v>532</v>
      </c>
      <c r="AI506" s="27" t="s">
        <v>182</v>
      </c>
      <c r="AJ506" s="27" t="s">
        <v>179</v>
      </c>
      <c r="AK506" s="4" t="s">
        <v>924</v>
      </c>
      <c r="AL506" s="4" t="s">
        <v>184</v>
      </c>
      <c r="AM506" s="4" t="s">
        <v>2473</v>
      </c>
      <c r="AQ506" s="4" t="s">
        <v>187</v>
      </c>
      <c r="AR506" s="4" t="s">
        <v>187</v>
      </c>
      <c r="AS506" s="4" t="s">
        <v>186</v>
      </c>
      <c r="AT506" s="4" t="s">
        <v>187</v>
      </c>
      <c r="AU506" s="4" t="s">
        <v>186</v>
      </c>
      <c r="AV506" s="4" t="s">
        <v>187</v>
      </c>
      <c r="AW506" s="4" t="s">
        <v>186</v>
      </c>
      <c r="AX506" s="4" t="s">
        <v>186</v>
      </c>
      <c r="AY506" s="4" t="s">
        <v>186</v>
      </c>
      <c r="BC506" s="4">
        <v>895349071905</v>
      </c>
      <c r="BD506" s="4">
        <v>82251672448</v>
      </c>
      <c r="BE506" s="4">
        <v>81324675151</v>
      </c>
      <c r="BF506" s="4">
        <v>89627111805</v>
      </c>
      <c r="BG506" s="4">
        <v>85333911831</v>
      </c>
      <c r="BH506" s="4">
        <v>85368981665</v>
      </c>
      <c r="BI506" s="4">
        <v>83104307690</v>
      </c>
      <c r="BJ506" s="4">
        <v>81291094949</v>
      </c>
      <c r="BK506" s="4">
        <v>8994608645</v>
      </c>
      <c r="BO506" s="71">
        <v>60010216</v>
      </c>
      <c r="BP506" s="18" t="s">
        <v>6822</v>
      </c>
      <c r="BQ506" s="37">
        <v>45065</v>
      </c>
      <c r="BR506" s="8">
        <f t="shared" si="1"/>
        <v>9</v>
      </c>
    </row>
    <row r="507" spans="1:70" ht="14">
      <c r="A507" s="4" t="str">
        <v>Alternatif Periode ke-87 I.C.1</v>
      </c>
      <c r="B507" s="4" t="s">
        <v>6750</v>
      </c>
      <c r="C507" s="4" t="s">
        <v>320</v>
      </c>
      <c r="D507" s="4" t="s">
        <v>6385</v>
      </c>
      <c r="E507" s="4" t="s">
        <v>6823</v>
      </c>
      <c r="F507" s="4" t="s">
        <v>520</v>
      </c>
      <c r="G507" s="52" t="s">
        <v>6824</v>
      </c>
      <c r="H507" s="52" t="s">
        <v>6825</v>
      </c>
      <c r="I507" s="52" t="s">
        <v>6826</v>
      </c>
      <c r="J507" s="52" t="s">
        <v>6827</v>
      </c>
      <c r="K507" s="52" t="s">
        <v>6828</v>
      </c>
      <c r="L507" s="52" t="s">
        <v>6829</v>
      </c>
      <c r="M507" s="52" t="s">
        <v>6830</v>
      </c>
      <c r="N507" s="52" t="s">
        <v>6831</v>
      </c>
      <c r="O507" s="52" t="s">
        <v>6832</v>
      </c>
      <c r="P507" s="52" t="s">
        <v>6833</v>
      </c>
      <c r="S507" s="4">
        <v>1800010062</v>
      </c>
      <c r="T507" s="4">
        <v>1900001068</v>
      </c>
      <c r="U507" s="4">
        <v>1900005238</v>
      </c>
      <c r="V507" s="4">
        <v>1900018101</v>
      </c>
      <c r="W507" s="4">
        <v>1900024376</v>
      </c>
      <c r="X507" s="4">
        <v>1900027038</v>
      </c>
      <c r="Y507" s="4">
        <v>1900032052</v>
      </c>
      <c r="Z507" s="4">
        <v>2000001101</v>
      </c>
      <c r="AA507" s="4">
        <v>2000011150</v>
      </c>
      <c r="AB507" s="4">
        <v>2000030107</v>
      </c>
      <c r="AE507" s="27" t="s">
        <v>532</v>
      </c>
      <c r="AF507" s="27" t="s">
        <v>180</v>
      </c>
      <c r="AG507" s="27" t="s">
        <v>181</v>
      </c>
      <c r="AH507" s="27" t="s">
        <v>179</v>
      </c>
      <c r="AI507" s="27" t="s">
        <v>924</v>
      </c>
      <c r="AJ507" s="4" t="s">
        <v>1763</v>
      </c>
      <c r="AK507" s="4" t="s">
        <v>732</v>
      </c>
      <c r="AL507" s="4" t="s">
        <v>180</v>
      </c>
      <c r="AM507" s="4" t="s">
        <v>182</v>
      </c>
      <c r="AN507" s="4" t="s">
        <v>184</v>
      </c>
      <c r="AQ507" s="4" t="s">
        <v>187</v>
      </c>
      <c r="AR507" s="4" t="s">
        <v>187</v>
      </c>
      <c r="AS507" s="4" t="s">
        <v>186</v>
      </c>
      <c r="AT507" s="4" t="s">
        <v>187</v>
      </c>
      <c r="AU507" s="4" t="s">
        <v>186</v>
      </c>
      <c r="AV507" s="4" t="s">
        <v>187</v>
      </c>
      <c r="AW507" s="4" t="s">
        <v>187</v>
      </c>
      <c r="AX507" s="4" t="s">
        <v>187</v>
      </c>
      <c r="AY507" s="4" t="s">
        <v>186</v>
      </c>
      <c r="AZ507" s="4" t="s">
        <v>186</v>
      </c>
      <c r="BC507" s="4">
        <v>85769776492</v>
      </c>
      <c r="BD507" s="4">
        <v>88233033120</v>
      </c>
      <c r="BE507" s="4">
        <v>82387298336</v>
      </c>
      <c r="BF507" s="4">
        <v>8112640058</v>
      </c>
      <c r="BG507" s="4">
        <v>82128391107</v>
      </c>
      <c r="BH507" s="4">
        <v>85229980090</v>
      </c>
      <c r="BI507" s="4">
        <v>82252107027</v>
      </c>
      <c r="BJ507" s="4">
        <v>89671500048</v>
      </c>
      <c r="BK507" s="4">
        <v>85728017343</v>
      </c>
      <c r="BL507" s="4">
        <v>82377215987</v>
      </c>
      <c r="BO507" s="71">
        <v>60150780</v>
      </c>
      <c r="BP507" s="18" t="s">
        <v>6834</v>
      </c>
      <c r="BQ507" s="37">
        <v>45065</v>
      </c>
      <c r="BR507" s="8">
        <f t="shared" si="1"/>
        <v>10</v>
      </c>
    </row>
    <row r="508" spans="1:70" ht="14">
      <c r="A508" s="4" t="str">
        <v>Alternatif Periode ke-87 I.C.2</v>
      </c>
      <c r="B508" s="4" t="s">
        <v>6750</v>
      </c>
      <c r="C508" s="4" t="s">
        <v>340</v>
      </c>
      <c r="D508" s="4" t="s">
        <v>6385</v>
      </c>
      <c r="E508" s="4" t="s">
        <v>6835</v>
      </c>
      <c r="F508" s="4" t="s">
        <v>520</v>
      </c>
      <c r="G508" s="52" t="s">
        <v>6836</v>
      </c>
      <c r="H508" s="52" t="s">
        <v>6837</v>
      </c>
      <c r="I508" s="52" t="s">
        <v>6838</v>
      </c>
      <c r="J508" s="52" t="s">
        <v>6839</v>
      </c>
      <c r="K508" s="52" t="s">
        <v>6840</v>
      </c>
      <c r="L508" s="52" t="s">
        <v>6841</v>
      </c>
      <c r="M508" s="52" t="s">
        <v>1462</v>
      </c>
      <c r="N508" s="52" t="s">
        <v>6842</v>
      </c>
      <c r="O508" s="52" t="s">
        <v>6843</v>
      </c>
      <c r="S508" s="4">
        <v>1700027018</v>
      </c>
      <c r="T508" s="4">
        <v>1800010107</v>
      </c>
      <c r="U508" s="4">
        <v>1800018246</v>
      </c>
      <c r="V508" s="4">
        <v>1800030221</v>
      </c>
      <c r="W508" s="4">
        <v>1900001111</v>
      </c>
      <c r="X508" s="4">
        <v>1900005323</v>
      </c>
      <c r="Y508" s="4">
        <v>1900024151</v>
      </c>
      <c r="Z508" s="4">
        <v>1900032080</v>
      </c>
      <c r="AA508" s="4">
        <v>2000011106</v>
      </c>
      <c r="AE508" s="27" t="s">
        <v>1763</v>
      </c>
      <c r="AF508" s="27" t="s">
        <v>532</v>
      </c>
      <c r="AG508" s="27" t="s">
        <v>179</v>
      </c>
      <c r="AH508" s="27" t="s">
        <v>184</v>
      </c>
      <c r="AI508" s="4" t="s">
        <v>180</v>
      </c>
      <c r="AJ508" s="4" t="s">
        <v>181</v>
      </c>
      <c r="AK508" s="4" t="s">
        <v>924</v>
      </c>
      <c r="AL508" s="4" t="s">
        <v>732</v>
      </c>
      <c r="AM508" s="4" t="s">
        <v>182</v>
      </c>
      <c r="AQ508" s="4" t="s">
        <v>187</v>
      </c>
      <c r="AR508" s="4" t="s">
        <v>187</v>
      </c>
      <c r="AS508" s="4" t="s">
        <v>187</v>
      </c>
      <c r="AT508" s="4" t="s">
        <v>186</v>
      </c>
      <c r="AU508" s="4" t="s">
        <v>187</v>
      </c>
      <c r="AV508" s="4" t="s">
        <v>186</v>
      </c>
      <c r="AW508" s="4" t="s">
        <v>186</v>
      </c>
      <c r="AX508" s="4" t="s">
        <v>187</v>
      </c>
      <c r="AY508" s="4" t="s">
        <v>186</v>
      </c>
      <c r="BC508" s="4">
        <v>82134291149</v>
      </c>
      <c r="BD508" s="4">
        <v>82133831731</v>
      </c>
      <c r="BE508" s="4">
        <v>82241404918</v>
      </c>
      <c r="BF508" s="4">
        <v>85331501210</v>
      </c>
      <c r="BG508" s="4">
        <v>81392402113</v>
      </c>
      <c r="BH508" s="4">
        <v>85878991159</v>
      </c>
      <c r="BI508" s="4">
        <v>85783010458</v>
      </c>
      <c r="BJ508" s="4">
        <v>87752183763</v>
      </c>
      <c r="BK508" s="4">
        <v>82127313116</v>
      </c>
      <c r="BO508" s="71">
        <v>60150780</v>
      </c>
      <c r="BP508" s="18" t="s">
        <v>6844</v>
      </c>
      <c r="BQ508" s="37">
        <v>45065</v>
      </c>
      <c r="BR508" s="8">
        <f t="shared" si="1"/>
        <v>9</v>
      </c>
    </row>
    <row r="509" spans="1:70" ht="14">
      <c r="A509" s="4" t="str">
        <v>Alternatif Periode ke-87 I.C.3</v>
      </c>
      <c r="B509" s="4" t="s">
        <v>6750</v>
      </c>
      <c r="C509" s="4" t="s">
        <v>360</v>
      </c>
      <c r="D509" s="4" t="s">
        <v>6385</v>
      </c>
      <c r="E509" s="4" t="s">
        <v>6845</v>
      </c>
      <c r="F509" s="4" t="s">
        <v>520</v>
      </c>
      <c r="G509" s="52" t="s">
        <v>6846</v>
      </c>
      <c r="H509" s="52" t="s">
        <v>6847</v>
      </c>
      <c r="I509" s="52" t="s">
        <v>6848</v>
      </c>
      <c r="J509" s="52" t="s">
        <v>6849</v>
      </c>
      <c r="K509" s="52" t="s">
        <v>6850</v>
      </c>
      <c r="L509" s="52" t="s">
        <v>6851</v>
      </c>
      <c r="M509" s="52" t="s">
        <v>6852</v>
      </c>
      <c r="N509" s="52" t="s">
        <v>6853</v>
      </c>
      <c r="O509" s="52" t="s">
        <v>6854</v>
      </c>
      <c r="S509" s="4">
        <v>1900005071</v>
      </c>
      <c r="T509" s="4">
        <v>1900010319</v>
      </c>
      <c r="U509" s="4">
        <v>1900018122</v>
      </c>
      <c r="V509" s="4">
        <v>1900024262</v>
      </c>
      <c r="W509" s="4">
        <v>1900027124</v>
      </c>
      <c r="X509" s="4">
        <v>1900030063</v>
      </c>
      <c r="Y509" s="4">
        <v>1900033124</v>
      </c>
      <c r="Z509" s="4">
        <v>2000001103</v>
      </c>
      <c r="AA509" s="4">
        <v>2000011128</v>
      </c>
      <c r="AE509" s="4" t="s">
        <v>181</v>
      </c>
      <c r="AF509" s="27" t="s">
        <v>532</v>
      </c>
      <c r="AG509" s="27" t="s">
        <v>179</v>
      </c>
      <c r="AH509" s="27" t="s">
        <v>924</v>
      </c>
      <c r="AI509" s="27" t="s">
        <v>1763</v>
      </c>
      <c r="AJ509" s="27" t="s">
        <v>184</v>
      </c>
      <c r="AK509" s="27" t="s">
        <v>1112</v>
      </c>
      <c r="AL509" s="27" t="s">
        <v>180</v>
      </c>
      <c r="AM509" s="27" t="s">
        <v>182</v>
      </c>
      <c r="AQ509" s="4" t="s">
        <v>186</v>
      </c>
      <c r="AR509" s="4" t="s">
        <v>187</v>
      </c>
      <c r="AS509" s="4" t="s">
        <v>187</v>
      </c>
      <c r="AT509" s="4" t="s">
        <v>186</v>
      </c>
      <c r="AU509" s="4" t="s">
        <v>187</v>
      </c>
      <c r="AV509" s="4" t="s">
        <v>186</v>
      </c>
      <c r="AW509" s="4" t="s">
        <v>187</v>
      </c>
      <c r="AX509" s="4" t="s">
        <v>187</v>
      </c>
      <c r="AY509" s="4" t="s">
        <v>186</v>
      </c>
      <c r="BC509" s="4">
        <v>81399599650</v>
      </c>
      <c r="BD509" s="4">
        <v>85700369982</v>
      </c>
      <c r="BE509" s="4">
        <v>81327181784</v>
      </c>
      <c r="BF509" s="4">
        <v>895604464539</v>
      </c>
      <c r="BG509" s="4">
        <v>82188590335</v>
      </c>
      <c r="BH509" s="4">
        <v>82185004325</v>
      </c>
      <c r="BI509" s="4">
        <v>87872685110</v>
      </c>
      <c r="BJ509" s="4">
        <v>895333025072</v>
      </c>
      <c r="BK509" s="4">
        <v>85728740434</v>
      </c>
      <c r="BO509" s="71">
        <v>60150780</v>
      </c>
      <c r="BP509" s="18" t="s">
        <v>6855</v>
      </c>
      <c r="BQ509" s="37">
        <v>45065</v>
      </c>
      <c r="BR509" s="8">
        <f t="shared" si="1"/>
        <v>9</v>
      </c>
    </row>
    <row r="510" spans="1:70" ht="14">
      <c r="A510" s="4" t="str">
        <v>Alternatif Periode ke-87 I.D.1</v>
      </c>
      <c r="B510" s="4" t="s">
        <v>6750</v>
      </c>
      <c r="C510" s="4" t="s">
        <v>379</v>
      </c>
      <c r="D510" s="4" t="s">
        <v>2249</v>
      </c>
      <c r="E510" s="4" t="s">
        <v>6856</v>
      </c>
      <c r="F510" s="4" t="s">
        <v>520</v>
      </c>
      <c r="G510" s="52" t="s">
        <v>6857</v>
      </c>
      <c r="H510" s="52" t="s">
        <v>6858</v>
      </c>
      <c r="I510" s="52" t="s">
        <v>6859</v>
      </c>
      <c r="J510" s="52" t="s">
        <v>6860</v>
      </c>
      <c r="K510" s="52" t="s">
        <v>6861</v>
      </c>
      <c r="L510" s="52" t="s">
        <v>6862</v>
      </c>
      <c r="M510" s="52" t="s">
        <v>6863</v>
      </c>
      <c r="N510" s="52" t="s">
        <v>6864</v>
      </c>
      <c r="O510" s="52" t="s">
        <v>6865</v>
      </c>
      <c r="P510" s="52" t="s">
        <v>6866</v>
      </c>
      <c r="S510" s="4">
        <v>1800010249</v>
      </c>
      <c r="T510" s="4">
        <v>1800018278</v>
      </c>
      <c r="U510" s="4">
        <v>1800025052</v>
      </c>
      <c r="V510" s="4">
        <v>1900001187</v>
      </c>
      <c r="W510" s="4">
        <v>1900005337</v>
      </c>
      <c r="X510" s="4">
        <v>1900033084</v>
      </c>
      <c r="Y510" s="4">
        <v>1911027055</v>
      </c>
      <c r="Z510" s="4">
        <v>2000001059</v>
      </c>
      <c r="AA510" s="4">
        <v>2000011083</v>
      </c>
      <c r="AB510" s="4">
        <v>2000030116</v>
      </c>
      <c r="AE510" s="27" t="s">
        <v>532</v>
      </c>
      <c r="AF510" s="27" t="s">
        <v>179</v>
      </c>
      <c r="AG510" s="27" t="s">
        <v>1168</v>
      </c>
      <c r="AH510" s="27" t="s">
        <v>180</v>
      </c>
      <c r="AI510" s="27" t="s">
        <v>181</v>
      </c>
      <c r="AJ510" s="27" t="s">
        <v>1112</v>
      </c>
      <c r="AK510" s="27" t="s">
        <v>1763</v>
      </c>
      <c r="AL510" s="27" t="s">
        <v>180</v>
      </c>
      <c r="AM510" s="27" t="s">
        <v>182</v>
      </c>
      <c r="AN510" s="4" t="s">
        <v>184</v>
      </c>
      <c r="AQ510" s="4" t="s">
        <v>187</v>
      </c>
      <c r="AR510" s="4" t="s">
        <v>187</v>
      </c>
      <c r="AS510" s="4" t="s">
        <v>186</v>
      </c>
      <c r="AT510" s="4" t="s">
        <v>187</v>
      </c>
      <c r="AU510" s="4" t="s">
        <v>186</v>
      </c>
      <c r="AV510" s="4" t="s">
        <v>187</v>
      </c>
      <c r="AW510" s="4" t="s">
        <v>187</v>
      </c>
      <c r="AX510" s="4" t="s">
        <v>187</v>
      </c>
      <c r="AY510" s="4" t="s">
        <v>186</v>
      </c>
      <c r="AZ510" s="4" t="s">
        <v>186</v>
      </c>
      <c r="BC510" s="4">
        <v>83866285282</v>
      </c>
      <c r="BD510" s="4">
        <v>81215958940</v>
      </c>
      <c r="BE510" s="4">
        <v>83856109110</v>
      </c>
      <c r="BF510" s="4">
        <v>82258385192</v>
      </c>
      <c r="BG510" s="4">
        <v>82235004282</v>
      </c>
      <c r="BH510" s="4">
        <v>81229735200</v>
      </c>
      <c r="BI510" s="4">
        <v>88232240355</v>
      </c>
      <c r="BJ510" s="4">
        <v>81327424125</v>
      </c>
      <c r="BK510" s="4">
        <v>81326887204</v>
      </c>
      <c r="BL510" s="4">
        <v>89529485466</v>
      </c>
      <c r="BO510" s="71" t="s">
        <v>491</v>
      </c>
      <c r="BP510" s="18" t="s">
        <v>6867</v>
      </c>
      <c r="BQ510" s="37">
        <v>45065</v>
      </c>
      <c r="BR510" s="8">
        <f t="shared" si="1"/>
        <v>10</v>
      </c>
    </row>
    <row r="511" spans="1:70" ht="14">
      <c r="A511" s="4" t="str">
        <v>Alternatif Periode ke-87 I.D.2</v>
      </c>
      <c r="B511" s="4" t="s">
        <v>6750</v>
      </c>
      <c r="C511" s="4" t="s">
        <v>642</v>
      </c>
      <c r="D511" s="4" t="s">
        <v>2249</v>
      </c>
      <c r="E511" s="4" t="s">
        <v>6868</v>
      </c>
      <c r="F511" s="4" t="s">
        <v>520</v>
      </c>
      <c r="G511" s="52" t="s">
        <v>6869</v>
      </c>
      <c r="H511" s="52" t="s">
        <v>6870</v>
      </c>
      <c r="I511" s="52" t="s">
        <v>6871</v>
      </c>
      <c r="J511" s="52" t="s">
        <v>6872</v>
      </c>
      <c r="K511" s="52" t="s">
        <v>6873</v>
      </c>
      <c r="L511" s="52" t="s">
        <v>6874</v>
      </c>
      <c r="M511" s="52" t="s">
        <v>6875</v>
      </c>
      <c r="N511" s="52" t="s">
        <v>6876</v>
      </c>
      <c r="O511" s="52" t="s">
        <v>6877</v>
      </c>
      <c r="S511" s="4">
        <v>1900005095</v>
      </c>
      <c r="T511" s="4">
        <v>1900010193</v>
      </c>
      <c r="U511" s="4">
        <v>1900011020</v>
      </c>
      <c r="V511" s="4">
        <v>1900018082</v>
      </c>
      <c r="W511" s="4">
        <v>1900027109</v>
      </c>
      <c r="X511" s="4">
        <v>1900030329</v>
      </c>
      <c r="Y511" s="4">
        <v>1900033101</v>
      </c>
      <c r="Z511" s="4">
        <v>2000001006</v>
      </c>
      <c r="AA511" s="4">
        <v>2000025055</v>
      </c>
      <c r="AE511" s="27" t="s">
        <v>181</v>
      </c>
      <c r="AF511" s="27" t="s">
        <v>532</v>
      </c>
      <c r="AG511" s="27" t="s">
        <v>182</v>
      </c>
      <c r="AH511" s="27" t="s">
        <v>179</v>
      </c>
      <c r="AI511" s="27" t="s">
        <v>1763</v>
      </c>
      <c r="AJ511" s="27" t="s">
        <v>184</v>
      </c>
      <c r="AK511" s="27" t="s">
        <v>1112</v>
      </c>
      <c r="AL511" s="27" t="s">
        <v>180</v>
      </c>
      <c r="AM511" s="4" t="s">
        <v>1168</v>
      </c>
      <c r="AQ511" s="4" t="s">
        <v>186</v>
      </c>
      <c r="AR511" s="4" t="s">
        <v>187</v>
      </c>
      <c r="AS511" s="4" t="s">
        <v>186</v>
      </c>
      <c r="AT511" s="4" t="s">
        <v>187</v>
      </c>
      <c r="AU511" s="4" t="s">
        <v>187</v>
      </c>
      <c r="AV511" s="4" t="s">
        <v>186</v>
      </c>
      <c r="AW511" s="4" t="s">
        <v>187</v>
      </c>
      <c r="AX511" s="4" t="s">
        <v>187</v>
      </c>
      <c r="AY511" s="4" t="s">
        <v>186</v>
      </c>
      <c r="BC511" s="4">
        <v>85809350673</v>
      </c>
      <c r="BD511" s="4">
        <v>82282733504</v>
      </c>
      <c r="BE511" s="4">
        <v>82134957380</v>
      </c>
      <c r="BF511" s="4">
        <v>87781794901</v>
      </c>
      <c r="BG511" s="4">
        <v>87809901828</v>
      </c>
      <c r="BH511" s="4">
        <v>85158616603</v>
      </c>
      <c r="BI511" s="4">
        <v>82283001068</v>
      </c>
      <c r="BJ511" s="4">
        <v>82265176528</v>
      </c>
      <c r="BK511" s="4">
        <v>85624862152</v>
      </c>
      <c r="BO511" s="71" t="s">
        <v>491</v>
      </c>
      <c r="BP511" s="18" t="s">
        <v>6878</v>
      </c>
      <c r="BQ511" s="37">
        <v>45065</v>
      </c>
      <c r="BR511" s="8">
        <f t="shared" si="1"/>
        <v>9</v>
      </c>
    </row>
    <row r="512" spans="1:70" ht="14">
      <c r="A512" s="4" t="str">
        <v>Alternatif Periode ke-87 I.D.3</v>
      </c>
      <c r="B512" s="4" t="s">
        <v>6750</v>
      </c>
      <c r="C512" s="4" t="s">
        <v>654</v>
      </c>
      <c r="D512" s="4" t="s">
        <v>2249</v>
      </c>
      <c r="E512" s="4" t="s">
        <v>6879</v>
      </c>
      <c r="F512" s="4" t="s">
        <v>520</v>
      </c>
      <c r="G512" s="52" t="s">
        <v>6880</v>
      </c>
      <c r="H512" s="52" t="s">
        <v>6881</v>
      </c>
      <c r="I512" s="52" t="s">
        <v>6882</v>
      </c>
      <c r="J512" s="52" t="s">
        <v>6883</v>
      </c>
      <c r="K512" s="52" t="s">
        <v>6884</v>
      </c>
      <c r="L512" s="52" t="s">
        <v>6885</v>
      </c>
      <c r="M512" s="52" t="s">
        <v>6886</v>
      </c>
      <c r="N512" s="52" t="s">
        <v>6887</v>
      </c>
      <c r="O512" s="52" t="s">
        <v>6888</v>
      </c>
      <c r="S512" s="4">
        <v>1800010207</v>
      </c>
      <c r="T512" s="4">
        <v>1900001067</v>
      </c>
      <c r="U512" s="4">
        <v>1900005271</v>
      </c>
      <c r="V512" s="4">
        <v>1900018011</v>
      </c>
      <c r="W512" s="4">
        <v>1900028021</v>
      </c>
      <c r="X512" s="4">
        <v>1900033142</v>
      </c>
      <c r="Y512" s="4">
        <v>2000011174</v>
      </c>
      <c r="Z512" s="4">
        <v>2000025072</v>
      </c>
      <c r="AA512" s="4">
        <v>2000030121</v>
      </c>
      <c r="AE512" s="27" t="s">
        <v>532</v>
      </c>
      <c r="AF512" s="27" t="s">
        <v>180</v>
      </c>
      <c r="AG512" s="27" t="s">
        <v>181</v>
      </c>
      <c r="AH512" s="27" t="s">
        <v>179</v>
      </c>
      <c r="AI512" s="27" t="s">
        <v>678</v>
      </c>
      <c r="AJ512" s="27" t="s">
        <v>1112</v>
      </c>
      <c r="AK512" s="27" t="s">
        <v>182</v>
      </c>
      <c r="AL512" s="4" t="s">
        <v>1168</v>
      </c>
      <c r="AM512" s="4" t="s">
        <v>184</v>
      </c>
      <c r="AQ512" s="4" t="s">
        <v>187</v>
      </c>
      <c r="AR512" s="4" t="s">
        <v>187</v>
      </c>
      <c r="AS512" s="4" t="s">
        <v>186</v>
      </c>
      <c r="AT512" s="4" t="s">
        <v>187</v>
      </c>
      <c r="AU512" s="4" t="s">
        <v>187</v>
      </c>
      <c r="AV512" s="4" t="s">
        <v>187</v>
      </c>
      <c r="AW512" s="4" t="s">
        <v>186</v>
      </c>
      <c r="AX512" s="4" t="s">
        <v>186</v>
      </c>
      <c r="AY512" s="4" t="s">
        <v>186</v>
      </c>
      <c r="BC512" s="4">
        <v>85328764921</v>
      </c>
      <c r="BD512" s="4">
        <v>89634715459</v>
      </c>
      <c r="BE512" s="4">
        <v>85225400961</v>
      </c>
      <c r="BF512" s="4">
        <v>895421909177</v>
      </c>
      <c r="BG512" s="4">
        <v>81284112029</v>
      </c>
      <c r="BH512" s="4" t="s">
        <v>6889</v>
      </c>
      <c r="BI512" s="4">
        <v>85900393847</v>
      </c>
      <c r="BJ512" s="4">
        <v>85171694356</v>
      </c>
      <c r="BK512" s="4">
        <v>81272156179</v>
      </c>
      <c r="BO512" s="71" t="s">
        <v>491</v>
      </c>
      <c r="BP512" s="18" t="s">
        <v>6890</v>
      </c>
      <c r="BQ512" s="37">
        <v>45065</v>
      </c>
      <c r="BR512" s="8">
        <f t="shared" ref="BR512:BR766" si="2">COUNTA(G512:R512)</f>
        <v>9</v>
      </c>
    </row>
    <row r="513" spans="1:70" ht="14">
      <c r="A513" s="4" t="str">
        <v>Alternatif Periode ke-87 II.A.1</v>
      </c>
      <c r="B513" s="4" t="s">
        <v>6750</v>
      </c>
      <c r="C513" s="4" t="s">
        <v>680</v>
      </c>
      <c r="D513" s="4" t="s">
        <v>6891</v>
      </c>
      <c r="E513" s="4" t="s">
        <v>6892</v>
      </c>
      <c r="F513" s="4" t="s">
        <v>520</v>
      </c>
      <c r="G513" s="52" t="s">
        <v>6893</v>
      </c>
      <c r="H513" s="52" t="s">
        <v>6894</v>
      </c>
      <c r="I513" s="52" t="s">
        <v>6895</v>
      </c>
      <c r="J513" s="52" t="s">
        <v>6896</v>
      </c>
      <c r="K513" s="52" t="s">
        <v>6897</v>
      </c>
      <c r="L513" s="52" t="s">
        <v>6898</v>
      </c>
      <c r="M513" s="52" t="s">
        <v>6899</v>
      </c>
      <c r="N513" s="52" t="s">
        <v>6900</v>
      </c>
      <c r="O513" s="52" t="s">
        <v>6901</v>
      </c>
      <c r="P513" s="52" t="s">
        <v>6902</v>
      </c>
      <c r="S513" s="4">
        <v>1800010244</v>
      </c>
      <c r="T513" s="4">
        <v>1800018285</v>
      </c>
      <c r="U513" s="4">
        <v>1900001031</v>
      </c>
      <c r="V513" s="4">
        <v>1900005325</v>
      </c>
      <c r="W513" s="4">
        <v>1900010171</v>
      </c>
      <c r="X513" s="4">
        <v>1900011326</v>
      </c>
      <c r="Y513" s="4">
        <v>1900026280</v>
      </c>
      <c r="Z513" s="4">
        <v>1900030348</v>
      </c>
      <c r="AA513" s="4">
        <v>1900033144</v>
      </c>
      <c r="AB513" s="4">
        <v>2000028017</v>
      </c>
      <c r="AE513" s="27" t="s">
        <v>532</v>
      </c>
      <c r="AF513" s="27" t="s">
        <v>179</v>
      </c>
      <c r="AG513" s="27" t="s">
        <v>180</v>
      </c>
      <c r="AH513" s="27" t="s">
        <v>181</v>
      </c>
      <c r="AI513" s="27" t="s">
        <v>532</v>
      </c>
      <c r="AJ513" s="27" t="s">
        <v>182</v>
      </c>
      <c r="AK513" s="4" t="s">
        <v>570</v>
      </c>
      <c r="AL513" s="4" t="s">
        <v>184</v>
      </c>
      <c r="AM513" s="4" t="s">
        <v>1112</v>
      </c>
      <c r="AN513" s="4" t="s">
        <v>678</v>
      </c>
      <c r="AQ513" s="4" t="s">
        <v>187</v>
      </c>
      <c r="AR513" s="4" t="s">
        <v>187</v>
      </c>
      <c r="AS513" s="4" t="s">
        <v>187</v>
      </c>
      <c r="AT513" s="4" t="s">
        <v>186</v>
      </c>
      <c r="AU513" s="4" t="s">
        <v>187</v>
      </c>
      <c r="AV513" s="4" t="s">
        <v>186</v>
      </c>
      <c r="AW513" s="4" t="s">
        <v>186</v>
      </c>
      <c r="AX513" s="4" t="s">
        <v>186</v>
      </c>
      <c r="AY513" s="4" t="s">
        <v>187</v>
      </c>
      <c r="AZ513" s="4" t="s">
        <v>187</v>
      </c>
      <c r="BC513" s="4">
        <v>85764139079</v>
      </c>
      <c r="BD513" s="4">
        <v>82339190304</v>
      </c>
      <c r="BE513" s="4">
        <v>895377350754</v>
      </c>
      <c r="BF513" s="4">
        <v>81227026442</v>
      </c>
      <c r="BG513" s="4">
        <v>88226540983</v>
      </c>
      <c r="BH513" s="4">
        <v>81802691392</v>
      </c>
      <c r="BI513" s="4">
        <v>89502209526</v>
      </c>
      <c r="BJ513" s="4">
        <v>81255013891</v>
      </c>
      <c r="BK513" s="4">
        <v>85843140935</v>
      </c>
      <c r="BL513" s="4">
        <v>85161133083</v>
      </c>
      <c r="BO513" s="71">
        <v>60030475</v>
      </c>
      <c r="BP513" s="18" t="s">
        <v>6903</v>
      </c>
      <c r="BQ513" s="37">
        <v>45065</v>
      </c>
      <c r="BR513" s="8">
        <f t="shared" si="2"/>
        <v>10</v>
      </c>
    </row>
    <row r="514" spans="1:70" ht="14">
      <c r="A514" s="4" t="str">
        <v>Alternatif Periode ke-87 II.A.2</v>
      </c>
      <c r="B514" s="4" t="s">
        <v>6750</v>
      </c>
      <c r="C514" s="4" t="s">
        <v>694</v>
      </c>
      <c r="D514" s="4" t="s">
        <v>6891</v>
      </c>
      <c r="E514" s="4" t="s">
        <v>6904</v>
      </c>
      <c r="F514" s="4" t="s">
        <v>520</v>
      </c>
      <c r="G514" s="52" t="s">
        <v>6905</v>
      </c>
      <c r="H514" s="52" t="s">
        <v>6906</v>
      </c>
      <c r="I514" s="52" t="s">
        <v>6907</v>
      </c>
      <c r="J514" s="52" t="s">
        <v>6908</v>
      </c>
      <c r="K514" s="52" t="s">
        <v>6909</v>
      </c>
      <c r="L514" s="52" t="s">
        <v>6910</v>
      </c>
      <c r="M514" s="52" t="s">
        <v>6911</v>
      </c>
      <c r="N514" s="52" t="s">
        <v>6912</v>
      </c>
      <c r="O514" s="52" t="s">
        <v>6913</v>
      </c>
      <c r="S514" s="4">
        <v>1700028065</v>
      </c>
      <c r="T514" s="4">
        <v>1800018205</v>
      </c>
      <c r="U514" s="4">
        <v>1900001042</v>
      </c>
      <c r="V514" s="4">
        <v>1900005109</v>
      </c>
      <c r="W514" s="4">
        <v>1900010100</v>
      </c>
      <c r="X514" s="4">
        <v>1900011158</v>
      </c>
      <c r="Y514" s="4">
        <v>1900026040</v>
      </c>
      <c r="Z514" s="4">
        <v>1900030386</v>
      </c>
      <c r="AA514" s="4">
        <v>1900035012</v>
      </c>
      <c r="AE514" s="27" t="s">
        <v>678</v>
      </c>
      <c r="AF514" s="27" t="s">
        <v>179</v>
      </c>
      <c r="AG514" s="27" t="s">
        <v>180</v>
      </c>
      <c r="AH514" s="27" t="s">
        <v>181</v>
      </c>
      <c r="AI514" s="27" t="s">
        <v>532</v>
      </c>
      <c r="AJ514" s="4" t="s">
        <v>182</v>
      </c>
      <c r="AK514" s="4" t="s">
        <v>570</v>
      </c>
      <c r="AL514" s="4" t="s">
        <v>184</v>
      </c>
      <c r="AM514" s="4" t="s">
        <v>2071</v>
      </c>
      <c r="AQ514" s="4" t="s">
        <v>187</v>
      </c>
      <c r="AR514" s="4" t="s">
        <v>187</v>
      </c>
      <c r="AS514" s="4" t="s">
        <v>187</v>
      </c>
      <c r="AT514" s="4" t="s">
        <v>186</v>
      </c>
      <c r="AU514" s="4" t="s">
        <v>187</v>
      </c>
      <c r="AV514" s="4" t="s">
        <v>186</v>
      </c>
      <c r="AW514" s="4" t="s">
        <v>186</v>
      </c>
      <c r="AX514" s="4" t="s">
        <v>186</v>
      </c>
      <c r="AY514" s="4" t="s">
        <v>187</v>
      </c>
      <c r="BC514" s="4">
        <v>82327779602</v>
      </c>
      <c r="BD514" s="4">
        <v>85788654122</v>
      </c>
      <c r="BE514" s="4">
        <v>87758205540</v>
      </c>
      <c r="BF514" s="4">
        <v>85238924485</v>
      </c>
      <c r="BG514" s="4">
        <v>81288715288</v>
      </c>
      <c r="BH514" s="4">
        <v>82269725545</v>
      </c>
      <c r="BI514" s="4">
        <v>85801931911</v>
      </c>
      <c r="BJ514" s="4">
        <v>82399570334</v>
      </c>
      <c r="BK514" s="4">
        <v>82232349804</v>
      </c>
      <c r="BO514" s="71">
        <v>60030475</v>
      </c>
      <c r="BP514" s="18" t="s">
        <v>6914</v>
      </c>
      <c r="BQ514" s="37">
        <v>45065</v>
      </c>
      <c r="BR514" s="8">
        <f t="shared" si="2"/>
        <v>9</v>
      </c>
    </row>
    <row r="515" spans="1:70" ht="14">
      <c r="A515" s="4" t="str">
        <v>Alternatif Periode ke-87 II.A.3</v>
      </c>
      <c r="B515" s="4" t="s">
        <v>6750</v>
      </c>
      <c r="C515" s="4" t="s">
        <v>707</v>
      </c>
      <c r="D515" s="4" t="s">
        <v>6891</v>
      </c>
      <c r="E515" s="4" t="s">
        <v>6915</v>
      </c>
      <c r="F515" s="4" t="s">
        <v>520</v>
      </c>
      <c r="G515" s="52" t="s">
        <v>6916</v>
      </c>
      <c r="H515" s="52" t="s">
        <v>6917</v>
      </c>
      <c r="I515" s="52" t="s">
        <v>6918</v>
      </c>
      <c r="J515" s="52" t="s">
        <v>6919</v>
      </c>
      <c r="K515" s="52" t="s">
        <v>6920</v>
      </c>
      <c r="L515" s="52" t="s">
        <v>6921</v>
      </c>
      <c r="M515" s="52" t="s">
        <v>6922</v>
      </c>
      <c r="N515" s="52" t="s">
        <v>6923</v>
      </c>
      <c r="O515" s="52" t="s">
        <v>6924</v>
      </c>
      <c r="S515" s="4">
        <v>1600001216</v>
      </c>
      <c r="T515" s="4">
        <v>1600028046</v>
      </c>
      <c r="U515" s="4">
        <v>1800018155</v>
      </c>
      <c r="V515" s="4">
        <v>1800030125</v>
      </c>
      <c r="W515" s="4">
        <v>1900005147</v>
      </c>
      <c r="X515" s="4">
        <v>1900011228</v>
      </c>
      <c r="Y515" s="4">
        <v>1900026236</v>
      </c>
      <c r="Z515" s="4">
        <v>1900035011</v>
      </c>
      <c r="AA515" s="4">
        <v>2000011200</v>
      </c>
      <c r="AE515" s="27" t="s">
        <v>180</v>
      </c>
      <c r="AF515" s="27" t="s">
        <v>678</v>
      </c>
      <c r="AG515" s="27" t="s">
        <v>179</v>
      </c>
      <c r="AH515" s="27" t="s">
        <v>184</v>
      </c>
      <c r="AI515" s="4" t="s">
        <v>181</v>
      </c>
      <c r="AJ515" s="4" t="s">
        <v>182</v>
      </c>
      <c r="AK515" s="4" t="s">
        <v>570</v>
      </c>
      <c r="AL515" s="4" t="s">
        <v>2071</v>
      </c>
      <c r="AM515" s="4" t="s">
        <v>182</v>
      </c>
      <c r="AQ515" s="4" t="s">
        <v>187</v>
      </c>
      <c r="AR515" s="4" t="s">
        <v>187</v>
      </c>
      <c r="AS515" s="4" t="s">
        <v>187</v>
      </c>
      <c r="AT515" s="4" t="s">
        <v>186</v>
      </c>
      <c r="AU515" s="4" t="s">
        <v>186</v>
      </c>
      <c r="AV515" s="4" t="s">
        <v>187</v>
      </c>
      <c r="AW515" s="4" t="s">
        <v>186</v>
      </c>
      <c r="AX515" s="4" t="s">
        <v>187</v>
      </c>
      <c r="AY515" s="4" t="s">
        <v>186</v>
      </c>
      <c r="BC515" s="4">
        <v>81326017197</v>
      </c>
      <c r="BD515" s="4">
        <v>81351909406</v>
      </c>
      <c r="BE515" s="4">
        <v>82243403954</v>
      </c>
      <c r="BF515" s="4">
        <v>81239486361</v>
      </c>
      <c r="BG515" s="4">
        <v>87743207244</v>
      </c>
      <c r="BH515" s="4">
        <v>81277655099</v>
      </c>
      <c r="BI515" s="4">
        <v>82322614196</v>
      </c>
      <c r="BJ515" s="4">
        <v>85709419488</v>
      </c>
      <c r="BK515" s="4">
        <v>85764224758</v>
      </c>
      <c r="BO515" s="71">
        <v>60030475</v>
      </c>
      <c r="BP515" s="18" t="s">
        <v>6925</v>
      </c>
      <c r="BQ515" s="37">
        <v>45065</v>
      </c>
      <c r="BR515" s="8">
        <f t="shared" si="2"/>
        <v>9</v>
      </c>
    </row>
    <row r="516" spans="1:70" ht="14">
      <c r="A516" s="4" t="str">
        <v>Alternatif Periode ke-87 II.B.1</v>
      </c>
      <c r="B516" s="4" t="s">
        <v>6750</v>
      </c>
      <c r="C516" s="4" t="s">
        <v>719</v>
      </c>
      <c r="D516" s="4" t="s">
        <v>1393</v>
      </c>
      <c r="E516" s="4" t="s">
        <v>1394</v>
      </c>
      <c r="F516" s="4" t="s">
        <v>520</v>
      </c>
      <c r="G516" s="52" t="s">
        <v>6926</v>
      </c>
      <c r="H516" s="52" t="s">
        <v>6927</v>
      </c>
      <c r="I516" s="52" t="s">
        <v>6928</v>
      </c>
      <c r="J516" s="52" t="s">
        <v>6929</v>
      </c>
      <c r="K516" s="52" t="s">
        <v>6930</v>
      </c>
      <c r="L516" s="52" t="s">
        <v>6931</v>
      </c>
      <c r="M516" s="52" t="s">
        <v>6932</v>
      </c>
      <c r="N516" s="52" t="s">
        <v>6933</v>
      </c>
      <c r="O516" s="52" t="s">
        <v>6934</v>
      </c>
      <c r="P516" s="52" t="s">
        <v>6935</v>
      </c>
      <c r="S516" s="4">
        <v>1900001231</v>
      </c>
      <c r="T516" s="4">
        <v>1900005343</v>
      </c>
      <c r="U516" s="4">
        <v>1900010281</v>
      </c>
      <c r="V516" s="4">
        <v>1900026221</v>
      </c>
      <c r="W516" s="4">
        <v>1906018437</v>
      </c>
      <c r="X516" s="4">
        <v>2000011354</v>
      </c>
      <c r="Y516" s="4">
        <v>2000011427</v>
      </c>
      <c r="Z516" s="4">
        <v>2000028093</v>
      </c>
      <c r="AA516" s="4">
        <v>2000030138</v>
      </c>
      <c r="AB516" s="4">
        <v>2000331014</v>
      </c>
      <c r="AE516" s="27" t="s">
        <v>180</v>
      </c>
      <c r="AF516" s="27" t="s">
        <v>181</v>
      </c>
      <c r="AG516" s="27" t="s">
        <v>532</v>
      </c>
      <c r="AH516" s="4" t="s">
        <v>570</v>
      </c>
      <c r="AI516" s="4" t="s">
        <v>179</v>
      </c>
      <c r="AJ516" s="4" t="s">
        <v>182</v>
      </c>
      <c r="AK516" s="4" t="s">
        <v>182</v>
      </c>
      <c r="AL516" s="4" t="s">
        <v>678</v>
      </c>
      <c r="AM516" s="4" t="s">
        <v>184</v>
      </c>
      <c r="AN516" s="4" t="s">
        <v>546</v>
      </c>
      <c r="AQ516" s="4" t="s">
        <v>187</v>
      </c>
      <c r="AR516" s="4" t="s">
        <v>186</v>
      </c>
      <c r="AS516" s="4" t="s">
        <v>186</v>
      </c>
      <c r="AT516" s="4" t="s">
        <v>186</v>
      </c>
      <c r="AU516" s="4" t="s">
        <v>187</v>
      </c>
      <c r="AV516" s="4" t="s">
        <v>186</v>
      </c>
      <c r="AW516" s="4" t="s">
        <v>187</v>
      </c>
      <c r="AX516" s="4" t="s">
        <v>187</v>
      </c>
      <c r="AY516" s="4" t="s">
        <v>186</v>
      </c>
      <c r="AZ516" s="4" t="s">
        <v>187</v>
      </c>
      <c r="BC516" s="4" t="s">
        <v>6936</v>
      </c>
      <c r="BD516" s="4">
        <v>81226469778</v>
      </c>
      <c r="BE516" s="4">
        <v>81346207170</v>
      </c>
      <c r="BF516" s="4">
        <v>81254755395</v>
      </c>
      <c r="BG516" s="4">
        <v>89683753458</v>
      </c>
      <c r="BH516" s="4">
        <v>83831102267</v>
      </c>
      <c r="BI516" s="4">
        <v>85713273911</v>
      </c>
      <c r="BJ516" s="4">
        <v>81329592868</v>
      </c>
      <c r="BK516" s="4">
        <v>82240244010</v>
      </c>
      <c r="BL516" s="4">
        <v>89629795333</v>
      </c>
      <c r="BO516" s="71">
        <v>60181159</v>
      </c>
      <c r="BP516" s="18" t="s">
        <v>6937</v>
      </c>
      <c r="BQ516" s="37">
        <v>45065</v>
      </c>
      <c r="BR516" s="8">
        <f t="shared" si="2"/>
        <v>10</v>
      </c>
    </row>
    <row r="517" spans="1:70" ht="14">
      <c r="A517" s="4" t="str">
        <v>Alternatif Periode ke-87 II.B.2</v>
      </c>
      <c r="B517" s="4" t="s">
        <v>6750</v>
      </c>
      <c r="C517" s="4" t="s">
        <v>734</v>
      </c>
      <c r="D517" s="4" t="s">
        <v>1393</v>
      </c>
      <c r="E517" s="4" t="s">
        <v>1415</v>
      </c>
      <c r="F517" s="4" t="s">
        <v>520</v>
      </c>
      <c r="G517" s="52" t="s">
        <v>6938</v>
      </c>
      <c r="H517" s="52" t="s">
        <v>6939</v>
      </c>
      <c r="I517" s="52" t="s">
        <v>6940</v>
      </c>
      <c r="J517" s="52" t="s">
        <v>6941</v>
      </c>
      <c r="K517" s="52" t="s">
        <v>6942</v>
      </c>
      <c r="L517" s="52" t="s">
        <v>6943</v>
      </c>
      <c r="M517" s="52" t="s">
        <v>6944</v>
      </c>
      <c r="N517" s="52" t="s">
        <v>6945</v>
      </c>
      <c r="O517" s="52" t="s">
        <v>6946</v>
      </c>
      <c r="S517" s="4">
        <v>1800011394</v>
      </c>
      <c r="T517" s="4">
        <v>1800018082</v>
      </c>
      <c r="U517" s="4">
        <v>1900001193</v>
      </c>
      <c r="V517" s="4">
        <v>1900001220</v>
      </c>
      <c r="W517" s="4">
        <v>1900005303</v>
      </c>
      <c r="X517" s="4">
        <v>1900026207</v>
      </c>
      <c r="Y517" s="4">
        <v>1900030327</v>
      </c>
      <c r="Z517" s="4">
        <v>2000011029</v>
      </c>
      <c r="AA517" s="4">
        <v>2000028127</v>
      </c>
      <c r="AE517" s="27" t="s">
        <v>182</v>
      </c>
      <c r="AF517" s="27" t="s">
        <v>179</v>
      </c>
      <c r="AG517" s="4" t="s">
        <v>180</v>
      </c>
      <c r="AH517" s="4" t="s">
        <v>180</v>
      </c>
      <c r="AI517" s="4" t="s">
        <v>181</v>
      </c>
      <c r="AJ517" s="4" t="s">
        <v>570</v>
      </c>
      <c r="AK517" s="4" t="s">
        <v>184</v>
      </c>
      <c r="AL517" s="4" t="s">
        <v>182</v>
      </c>
      <c r="AM517" s="4" t="s">
        <v>678</v>
      </c>
      <c r="AQ517" s="4" t="s">
        <v>187</v>
      </c>
      <c r="AR517" s="4" t="s">
        <v>187</v>
      </c>
      <c r="AS517" s="4" t="s">
        <v>186</v>
      </c>
      <c r="AT517" s="4" t="s">
        <v>187</v>
      </c>
      <c r="AU517" s="4" t="s">
        <v>186</v>
      </c>
      <c r="AV517" s="4" t="s">
        <v>186</v>
      </c>
      <c r="AW517" s="4" t="s">
        <v>186</v>
      </c>
      <c r="AX517" s="4" t="s">
        <v>186</v>
      </c>
      <c r="AY517" s="4" t="s">
        <v>187</v>
      </c>
      <c r="BC517" s="4">
        <v>81328017639</v>
      </c>
      <c r="BD517" s="4">
        <v>85600858868</v>
      </c>
      <c r="BE517" s="4">
        <v>89526484710</v>
      </c>
      <c r="BF517" s="4">
        <v>81358040582</v>
      </c>
      <c r="BG517" s="4">
        <v>8816709040</v>
      </c>
      <c r="BH517" s="4">
        <v>81327396731</v>
      </c>
      <c r="BI517" s="4">
        <v>81977224259</v>
      </c>
      <c r="BJ517" s="4">
        <v>85764768565</v>
      </c>
      <c r="BK517" s="4">
        <v>82281154012</v>
      </c>
      <c r="BO517" s="71">
        <v>60181159</v>
      </c>
      <c r="BP517" s="18" t="s">
        <v>6947</v>
      </c>
      <c r="BQ517" s="37">
        <v>45065</v>
      </c>
      <c r="BR517" s="8">
        <f t="shared" si="2"/>
        <v>9</v>
      </c>
    </row>
    <row r="518" spans="1:70" ht="14">
      <c r="A518" s="4" t="str">
        <v>Alternatif Periode ke-87 II.B.3</v>
      </c>
      <c r="B518" s="4" t="s">
        <v>6750</v>
      </c>
      <c r="C518" s="4" t="s">
        <v>747</v>
      </c>
      <c r="D518" s="4" t="s">
        <v>1393</v>
      </c>
      <c r="E518" s="4" t="s">
        <v>1436</v>
      </c>
      <c r="F518" s="4" t="s">
        <v>520</v>
      </c>
      <c r="G518" s="52" t="s">
        <v>6948</v>
      </c>
      <c r="H518" s="52" t="s">
        <v>6949</v>
      </c>
      <c r="I518" s="52" t="s">
        <v>6950</v>
      </c>
      <c r="J518" s="52" t="s">
        <v>6951</v>
      </c>
      <c r="K518" s="52" t="s">
        <v>6952</v>
      </c>
      <c r="L518" s="52" t="s">
        <v>5751</v>
      </c>
      <c r="M518" s="52" t="s">
        <v>6953</v>
      </c>
      <c r="N518" s="52" t="s">
        <v>6954</v>
      </c>
      <c r="O518" s="52" t="s">
        <v>6955</v>
      </c>
      <c r="S518" s="4">
        <v>1700026157</v>
      </c>
      <c r="T518" s="4">
        <v>1800003121</v>
      </c>
      <c r="U518" s="4">
        <v>1800011031</v>
      </c>
      <c r="V518" s="4">
        <v>1800018410</v>
      </c>
      <c r="W518" s="4">
        <v>1900001139</v>
      </c>
      <c r="X518" s="4">
        <v>1900005331</v>
      </c>
      <c r="Y518" s="4">
        <v>1900011226</v>
      </c>
      <c r="Z518" s="4">
        <v>2000028060</v>
      </c>
      <c r="AA518" s="4">
        <v>2000030122</v>
      </c>
      <c r="AE518" s="27" t="s">
        <v>570</v>
      </c>
      <c r="AF518" s="4" t="s">
        <v>178</v>
      </c>
      <c r="AG518" s="4" t="s">
        <v>182</v>
      </c>
      <c r="AH518" s="4" t="s">
        <v>179</v>
      </c>
      <c r="AI518" s="4" t="s">
        <v>180</v>
      </c>
      <c r="AJ518" s="4" t="s">
        <v>181</v>
      </c>
      <c r="AK518" s="4" t="s">
        <v>182</v>
      </c>
      <c r="AL518" s="4" t="s">
        <v>678</v>
      </c>
      <c r="AM518" s="4" t="s">
        <v>184</v>
      </c>
      <c r="AQ518" s="4" t="s">
        <v>186</v>
      </c>
      <c r="AR518" s="4" t="s">
        <v>187</v>
      </c>
      <c r="AS518" s="4" t="s">
        <v>187</v>
      </c>
      <c r="AT518" s="4" t="s">
        <v>187</v>
      </c>
      <c r="AU518" s="4" t="s">
        <v>186</v>
      </c>
      <c r="AV518" s="4" t="s">
        <v>186</v>
      </c>
      <c r="AW518" s="4" t="s">
        <v>186</v>
      </c>
      <c r="AX518" s="4" t="s">
        <v>187</v>
      </c>
      <c r="AY518" s="4" t="s">
        <v>186</v>
      </c>
      <c r="BC518" s="4">
        <v>85269829505</v>
      </c>
      <c r="BD518" s="4">
        <v>8122694212</v>
      </c>
      <c r="BE518" s="4">
        <v>85695086431</v>
      </c>
      <c r="BF518" s="4">
        <v>85293355605</v>
      </c>
      <c r="BG518" s="4">
        <v>82113967098</v>
      </c>
      <c r="BH518" s="4">
        <v>81273825503</v>
      </c>
      <c r="BI518" s="4">
        <v>85238179119</v>
      </c>
      <c r="BJ518" s="4">
        <v>81229247125</v>
      </c>
      <c r="BK518" s="4">
        <v>85865703530</v>
      </c>
      <c r="BO518" s="71">
        <v>60181159</v>
      </c>
      <c r="BP518" s="18" t="s">
        <v>6956</v>
      </c>
      <c r="BQ518" s="37">
        <v>45065</v>
      </c>
      <c r="BR518" s="8">
        <f t="shared" si="2"/>
        <v>9</v>
      </c>
    </row>
    <row r="519" spans="1:70" ht="14">
      <c r="A519" s="4" t="str">
        <v>Alternatif Periode ke-87 II.C.1</v>
      </c>
      <c r="B519" s="4" t="s">
        <v>6750</v>
      </c>
      <c r="C519" s="4" t="s">
        <v>772</v>
      </c>
      <c r="D519" s="4" t="s">
        <v>1457</v>
      </c>
      <c r="E519" s="4" t="s">
        <v>1458</v>
      </c>
      <c r="F519" s="4" t="s">
        <v>520</v>
      </c>
      <c r="G519" s="52" t="s">
        <v>6957</v>
      </c>
      <c r="H519" s="52" t="s">
        <v>6958</v>
      </c>
      <c r="I519" s="52" t="s">
        <v>6959</v>
      </c>
      <c r="J519" s="52" t="s">
        <v>6960</v>
      </c>
      <c r="K519" s="52" t="s">
        <v>6961</v>
      </c>
      <c r="L519" s="52" t="s">
        <v>6962</v>
      </c>
      <c r="M519" s="52" t="s">
        <v>2590</v>
      </c>
      <c r="N519" s="52" t="s">
        <v>6963</v>
      </c>
      <c r="O519" s="52" t="s">
        <v>6964</v>
      </c>
      <c r="P519" s="52" t="s">
        <v>6965</v>
      </c>
      <c r="S519" s="4">
        <v>1600009017</v>
      </c>
      <c r="T519" s="4">
        <v>1700028034</v>
      </c>
      <c r="U519" s="4">
        <v>1800003037</v>
      </c>
      <c r="V519" s="4">
        <v>1800018118</v>
      </c>
      <c r="W519" s="4">
        <v>1800030323</v>
      </c>
      <c r="X519" s="4">
        <v>1900005220</v>
      </c>
      <c r="Y519" s="4">
        <v>1900011145</v>
      </c>
      <c r="Z519" s="4">
        <v>1900011200</v>
      </c>
      <c r="AA519" s="4">
        <v>1900026117</v>
      </c>
      <c r="AB519" s="4">
        <v>2000001039</v>
      </c>
      <c r="AE519" s="4" t="s">
        <v>952</v>
      </c>
      <c r="AF519" s="4" t="s">
        <v>678</v>
      </c>
      <c r="AG519" s="4" t="s">
        <v>178</v>
      </c>
      <c r="AH519" s="4" t="s">
        <v>179</v>
      </c>
      <c r="AI519" s="4" t="s">
        <v>184</v>
      </c>
      <c r="AJ519" s="4" t="s">
        <v>181</v>
      </c>
      <c r="AK519" s="4" t="s">
        <v>182</v>
      </c>
      <c r="AL519" s="4" t="s">
        <v>182</v>
      </c>
      <c r="AM519" s="4" t="s">
        <v>570</v>
      </c>
      <c r="AN519" s="4" t="s">
        <v>180</v>
      </c>
      <c r="AQ519" s="4" t="s">
        <v>186</v>
      </c>
      <c r="AR519" s="4" t="s">
        <v>187</v>
      </c>
      <c r="AS519" s="4" t="s">
        <v>187</v>
      </c>
      <c r="AT519" s="4" t="s">
        <v>187</v>
      </c>
      <c r="AU519" s="4" t="s">
        <v>186</v>
      </c>
      <c r="AV519" s="4" t="s">
        <v>186</v>
      </c>
      <c r="AW519" s="4" t="s">
        <v>186</v>
      </c>
      <c r="AX519" s="4" t="s">
        <v>187</v>
      </c>
      <c r="AY519" s="4" t="s">
        <v>186</v>
      </c>
      <c r="AZ519" s="4" t="s">
        <v>186</v>
      </c>
      <c r="BC519" s="4">
        <v>82283930068</v>
      </c>
      <c r="BD519" s="4">
        <v>81236666676</v>
      </c>
      <c r="BE519" s="4">
        <v>81369679724</v>
      </c>
      <c r="BF519" s="4">
        <v>85338437872</v>
      </c>
      <c r="BG519" s="4">
        <v>82165925209</v>
      </c>
      <c r="BH519" s="4">
        <v>85712242009</v>
      </c>
      <c r="BI519" s="4">
        <v>81223281270</v>
      </c>
      <c r="BJ519" s="4">
        <v>82251387384</v>
      </c>
      <c r="BK519" s="4">
        <v>85254031848</v>
      </c>
      <c r="BL519" s="4" t="s">
        <v>6966</v>
      </c>
      <c r="BO519" s="71">
        <v>60060538</v>
      </c>
      <c r="BP519" s="18" t="s">
        <v>6967</v>
      </c>
      <c r="BQ519" s="37">
        <v>45065</v>
      </c>
      <c r="BR519" s="8">
        <f t="shared" si="2"/>
        <v>10</v>
      </c>
    </row>
    <row r="520" spans="1:70" ht="14">
      <c r="A520" s="4" t="str">
        <v>Alternatif Periode ke-87 II.C.2</v>
      </c>
      <c r="B520" s="4" t="s">
        <v>6750</v>
      </c>
      <c r="C520" s="4" t="s">
        <v>785</v>
      </c>
      <c r="D520" s="4" t="s">
        <v>1457</v>
      </c>
      <c r="E520" s="4" t="s">
        <v>1499</v>
      </c>
      <c r="F520" s="4" t="s">
        <v>520</v>
      </c>
      <c r="G520" s="52" t="s">
        <v>6968</v>
      </c>
      <c r="H520" s="52" t="s">
        <v>6969</v>
      </c>
      <c r="I520" s="52" t="s">
        <v>6970</v>
      </c>
      <c r="J520" s="52" t="s">
        <v>6971</v>
      </c>
      <c r="K520" s="52" t="s">
        <v>6972</v>
      </c>
      <c r="L520" s="52" t="s">
        <v>6973</v>
      </c>
      <c r="M520" s="52" t="s">
        <v>6974</v>
      </c>
      <c r="N520" s="52" t="s">
        <v>6975</v>
      </c>
      <c r="O520" s="52" t="s">
        <v>6976</v>
      </c>
      <c r="S520" s="4">
        <v>1800029403</v>
      </c>
      <c r="T520" s="4">
        <v>1900001073</v>
      </c>
      <c r="U520" s="4">
        <v>1900003112</v>
      </c>
      <c r="V520" s="4">
        <v>1900005304</v>
      </c>
      <c r="W520" s="4">
        <v>1900011060</v>
      </c>
      <c r="X520" s="4">
        <v>1900011302</v>
      </c>
      <c r="Y520" s="4">
        <v>1900018006</v>
      </c>
      <c r="Z520" s="4">
        <v>1900026271</v>
      </c>
      <c r="AA520" s="4">
        <v>1900030085</v>
      </c>
      <c r="AE520" s="4" t="s">
        <v>533</v>
      </c>
      <c r="AF520" s="4" t="s">
        <v>180</v>
      </c>
      <c r="AG520" s="4" t="s">
        <v>178</v>
      </c>
      <c r="AH520" s="4" t="s">
        <v>181</v>
      </c>
      <c r="AI520" s="4" t="s">
        <v>182</v>
      </c>
      <c r="AJ520" s="4" t="s">
        <v>182</v>
      </c>
      <c r="AK520" s="4" t="s">
        <v>179</v>
      </c>
      <c r="AL520" s="4" t="s">
        <v>570</v>
      </c>
      <c r="AM520" s="4" t="s">
        <v>184</v>
      </c>
      <c r="AQ520" s="4" t="s">
        <v>187</v>
      </c>
      <c r="AR520" s="4" t="s">
        <v>186</v>
      </c>
      <c r="AS520" s="4" t="s">
        <v>187</v>
      </c>
      <c r="AT520" s="4" t="s">
        <v>186</v>
      </c>
      <c r="AU520" s="4" t="s">
        <v>186</v>
      </c>
      <c r="AV520" s="4" t="s">
        <v>187</v>
      </c>
      <c r="AW520" s="4" t="s">
        <v>187</v>
      </c>
      <c r="AX520" s="4" t="s">
        <v>186</v>
      </c>
      <c r="AY520" s="4" t="s">
        <v>186</v>
      </c>
      <c r="BC520" s="4">
        <v>8156168629</v>
      </c>
      <c r="BD520" s="4">
        <v>85797052875</v>
      </c>
      <c r="BE520" s="4">
        <v>88238511044</v>
      </c>
      <c r="BF520" s="4">
        <v>81953566804</v>
      </c>
      <c r="BG520" s="4">
        <v>82281218485</v>
      </c>
      <c r="BH520" s="4">
        <v>85214025122</v>
      </c>
      <c r="BI520" s="4">
        <v>82229205456</v>
      </c>
      <c r="BJ520" s="4">
        <v>85729800041</v>
      </c>
      <c r="BK520" s="4">
        <v>87848877503</v>
      </c>
      <c r="BO520" s="71">
        <v>60060538</v>
      </c>
      <c r="BP520" s="18" t="s">
        <v>6977</v>
      </c>
      <c r="BQ520" s="37">
        <v>45065</v>
      </c>
      <c r="BR520" s="8">
        <f t="shared" si="2"/>
        <v>9</v>
      </c>
    </row>
    <row r="521" spans="1:70" ht="14">
      <c r="A521" s="4" t="str">
        <v>Alternatif Periode ke-87 II.C.3</v>
      </c>
      <c r="B521" s="4" t="s">
        <v>6750</v>
      </c>
      <c r="C521" s="4" t="s">
        <v>797</v>
      </c>
      <c r="D521" s="4" t="s">
        <v>1457</v>
      </c>
      <c r="E521" s="4" t="s">
        <v>1520</v>
      </c>
      <c r="F521" s="4" t="s">
        <v>520</v>
      </c>
      <c r="G521" s="52" t="s">
        <v>1754</v>
      </c>
      <c r="H521" s="52" t="s">
        <v>6978</v>
      </c>
      <c r="I521" s="52" t="s">
        <v>6979</v>
      </c>
      <c r="J521" s="52" t="s">
        <v>6980</v>
      </c>
      <c r="K521" s="52" t="s">
        <v>6981</v>
      </c>
      <c r="L521" s="52" t="s">
        <v>6982</v>
      </c>
      <c r="M521" s="52" t="s">
        <v>6983</v>
      </c>
      <c r="N521" s="52" t="s">
        <v>6984</v>
      </c>
      <c r="O521" s="52" t="s">
        <v>6985</v>
      </c>
      <c r="S521" s="4">
        <v>1600030107</v>
      </c>
      <c r="T521" s="4">
        <v>1800004210</v>
      </c>
      <c r="U521" s="4">
        <v>1900005317</v>
      </c>
      <c r="V521" s="4">
        <v>1900011301</v>
      </c>
      <c r="W521" s="4">
        <v>1900012067</v>
      </c>
      <c r="X521" s="4">
        <v>1900019027</v>
      </c>
      <c r="Y521" s="4">
        <v>1900026170</v>
      </c>
      <c r="Z521" s="4">
        <v>1900030292</v>
      </c>
      <c r="AA521" s="4">
        <v>2000001042</v>
      </c>
      <c r="AE521" s="4" t="s">
        <v>184</v>
      </c>
      <c r="AF521" s="4" t="s">
        <v>201</v>
      </c>
      <c r="AG521" s="4" t="s">
        <v>181</v>
      </c>
      <c r="AH521" s="4" t="s">
        <v>182</v>
      </c>
      <c r="AI521" s="4" t="s">
        <v>885</v>
      </c>
      <c r="AJ521" s="4" t="s">
        <v>705</v>
      </c>
      <c r="AK521" s="4" t="s">
        <v>570</v>
      </c>
      <c r="AL521" s="4" t="s">
        <v>184</v>
      </c>
      <c r="AM521" s="4" t="s">
        <v>180</v>
      </c>
      <c r="AQ521" s="4" t="s">
        <v>186</v>
      </c>
      <c r="AR521" s="4" t="s">
        <v>187</v>
      </c>
      <c r="AS521" s="4" t="s">
        <v>186</v>
      </c>
      <c r="AT521" s="4" t="s">
        <v>187</v>
      </c>
      <c r="AU521" s="4" t="s">
        <v>186</v>
      </c>
      <c r="AV521" s="4" t="s">
        <v>187</v>
      </c>
      <c r="AW521" s="4" t="s">
        <v>186</v>
      </c>
      <c r="AX521" s="4" t="s">
        <v>187</v>
      </c>
      <c r="AY521" s="4" t="s">
        <v>186</v>
      </c>
      <c r="BC521" s="4">
        <v>81336144511</v>
      </c>
      <c r="BD521" s="4">
        <v>82184332634</v>
      </c>
      <c r="BE521" s="4">
        <v>81335764060</v>
      </c>
      <c r="BF521" s="4">
        <v>81258294018</v>
      </c>
      <c r="BG521" s="4">
        <v>85237294151</v>
      </c>
      <c r="BH521" s="4">
        <v>87724752805</v>
      </c>
      <c r="BI521" s="4">
        <v>89527577994</v>
      </c>
      <c r="BJ521" s="4">
        <v>87876961938</v>
      </c>
      <c r="BK521" s="4">
        <v>895384246278</v>
      </c>
      <c r="BO521" s="71">
        <v>60060538</v>
      </c>
      <c r="BP521" s="18" t="s">
        <v>6986</v>
      </c>
      <c r="BQ521" s="37">
        <v>45065</v>
      </c>
      <c r="BR521" s="8">
        <f t="shared" si="2"/>
        <v>9</v>
      </c>
    </row>
    <row r="522" spans="1:70" ht="14">
      <c r="A522" s="4" t="str">
        <v>Alternatif Periode ke-87 II.D.1</v>
      </c>
      <c r="B522" s="4" t="s">
        <v>6750</v>
      </c>
      <c r="C522" s="4" t="s">
        <v>809</v>
      </c>
      <c r="D522" s="4" t="s">
        <v>219</v>
      </c>
      <c r="E522" s="4" t="s">
        <v>1541</v>
      </c>
      <c r="F522" s="4" t="s">
        <v>520</v>
      </c>
      <c r="G522" s="52" t="s">
        <v>6987</v>
      </c>
      <c r="H522" s="52" t="s">
        <v>6988</v>
      </c>
      <c r="I522" s="52" t="s">
        <v>6989</v>
      </c>
      <c r="J522" s="52" t="s">
        <v>6990</v>
      </c>
      <c r="K522" s="52" t="s">
        <v>6991</v>
      </c>
      <c r="L522" s="52" t="s">
        <v>6992</v>
      </c>
      <c r="M522" s="52" t="s">
        <v>6993</v>
      </c>
      <c r="N522" s="52" t="s">
        <v>6994</v>
      </c>
      <c r="O522" s="52" t="s">
        <v>5937</v>
      </c>
      <c r="P522" s="52" t="s">
        <v>6995</v>
      </c>
      <c r="Q522" s="52" t="s">
        <v>6996</v>
      </c>
      <c r="S522" s="4">
        <v>1800004032</v>
      </c>
      <c r="T522" s="4">
        <v>1800011147</v>
      </c>
      <c r="U522" s="4">
        <v>1800030366</v>
      </c>
      <c r="V522" s="4">
        <v>1900001122</v>
      </c>
      <c r="W522" s="4">
        <v>1900005141</v>
      </c>
      <c r="X522" s="4">
        <v>1900012140</v>
      </c>
      <c r="Y522" s="4">
        <v>1900019024</v>
      </c>
      <c r="Z522" s="4">
        <v>1900026165</v>
      </c>
      <c r="AA522" s="4">
        <v>1900030105</v>
      </c>
      <c r="AB522" s="4">
        <v>2123025079</v>
      </c>
      <c r="AC522" s="4">
        <v>2123025083</v>
      </c>
      <c r="AE522" s="4" t="s">
        <v>201</v>
      </c>
      <c r="AF522" s="4" t="s">
        <v>182</v>
      </c>
      <c r="AG522" s="4" t="s">
        <v>184</v>
      </c>
      <c r="AH522" s="4" t="s">
        <v>180</v>
      </c>
      <c r="AI522" s="4" t="s">
        <v>181</v>
      </c>
      <c r="AJ522" s="4" t="s">
        <v>885</v>
      </c>
      <c r="AK522" s="4" t="s">
        <v>705</v>
      </c>
      <c r="AL522" s="4" t="s">
        <v>570</v>
      </c>
      <c r="AM522" s="4" t="s">
        <v>184</v>
      </c>
      <c r="AN522" s="4" t="s">
        <v>1168</v>
      </c>
      <c r="AO522" s="4" t="s">
        <v>1168</v>
      </c>
      <c r="AQ522" s="4" t="s">
        <v>187</v>
      </c>
      <c r="AR522" s="4" t="s">
        <v>187</v>
      </c>
      <c r="AS522" s="4" t="s">
        <v>187</v>
      </c>
      <c r="AT522" s="4" t="s">
        <v>186</v>
      </c>
      <c r="AU522" s="4" t="s">
        <v>186</v>
      </c>
      <c r="AV522" s="4" t="s">
        <v>186</v>
      </c>
      <c r="AW522" s="4" t="s">
        <v>187</v>
      </c>
      <c r="AX522" s="4" t="s">
        <v>186</v>
      </c>
      <c r="AY522" s="4" t="s">
        <v>186</v>
      </c>
      <c r="AZ522" s="4" t="s">
        <v>186</v>
      </c>
      <c r="BA522" s="4" t="s">
        <v>187</v>
      </c>
      <c r="BC522" s="4">
        <v>85878949036</v>
      </c>
      <c r="BD522" s="4">
        <v>83863430843</v>
      </c>
      <c r="BE522" s="4">
        <v>82261142646</v>
      </c>
      <c r="BF522" s="4">
        <v>81267959911</v>
      </c>
      <c r="BG522" s="4">
        <v>87748913118</v>
      </c>
      <c r="BH522" s="4">
        <v>81999050014</v>
      </c>
      <c r="BI522" s="4">
        <v>87745517236</v>
      </c>
      <c r="BJ522" s="4">
        <v>81367709033</v>
      </c>
      <c r="BK522" s="4">
        <v>82129786045</v>
      </c>
      <c r="BL522" s="4">
        <v>18579414805</v>
      </c>
      <c r="BM522" s="4">
        <v>13877816933</v>
      </c>
      <c r="BO522" s="71">
        <v>60160969</v>
      </c>
      <c r="BP522" s="18" t="s">
        <v>6997</v>
      </c>
      <c r="BQ522" s="37">
        <v>45065</v>
      </c>
      <c r="BR522" s="8">
        <f t="shared" si="2"/>
        <v>11</v>
      </c>
    </row>
    <row r="523" spans="1:70" ht="14">
      <c r="A523" s="4" t="str">
        <v>Alternatif Periode ke-87 II.D.2</v>
      </c>
      <c r="B523" s="4" t="s">
        <v>6750</v>
      </c>
      <c r="C523" s="4" t="s">
        <v>824</v>
      </c>
      <c r="D523" s="4" t="s">
        <v>219</v>
      </c>
      <c r="E523" s="4" t="s">
        <v>1562</v>
      </c>
      <c r="F523" s="4" t="s">
        <v>520</v>
      </c>
      <c r="G523" s="52" t="s">
        <v>6998</v>
      </c>
      <c r="H523" s="52" t="s">
        <v>6999</v>
      </c>
      <c r="I523" s="52" t="s">
        <v>7000</v>
      </c>
      <c r="J523" s="52" t="s">
        <v>7001</v>
      </c>
      <c r="K523" s="52" t="s">
        <v>5060</v>
      </c>
      <c r="L523" s="52" t="s">
        <v>7002</v>
      </c>
      <c r="M523" s="52" t="s">
        <v>7003</v>
      </c>
      <c r="N523" s="52" t="s">
        <v>7004</v>
      </c>
      <c r="O523" s="52" t="s">
        <v>7005</v>
      </c>
      <c r="S523" s="4">
        <v>1600011252</v>
      </c>
      <c r="T523" s="4">
        <v>1700005027</v>
      </c>
      <c r="U523" s="4">
        <v>1800012199</v>
      </c>
      <c r="V523" s="4">
        <v>1900001130</v>
      </c>
      <c r="W523" s="4">
        <v>1900019163</v>
      </c>
      <c r="X523" s="4">
        <v>1900026112</v>
      </c>
      <c r="Y523" s="4">
        <v>1900030253</v>
      </c>
      <c r="Z523" s="4">
        <v>1900030279</v>
      </c>
      <c r="AA523" s="4">
        <v>1911004092</v>
      </c>
      <c r="AE523" s="4" t="s">
        <v>182</v>
      </c>
      <c r="AF523" s="4" t="s">
        <v>181</v>
      </c>
      <c r="AG523" s="4" t="s">
        <v>885</v>
      </c>
      <c r="AH523" s="4" t="s">
        <v>180</v>
      </c>
      <c r="AI523" s="4" t="s">
        <v>705</v>
      </c>
      <c r="AJ523" s="4" t="s">
        <v>570</v>
      </c>
      <c r="AK523" s="4" t="s">
        <v>184</v>
      </c>
      <c r="AL523" s="4" t="s">
        <v>184</v>
      </c>
      <c r="AM523" s="4" t="s">
        <v>201</v>
      </c>
      <c r="AQ523" s="4" t="s">
        <v>187</v>
      </c>
      <c r="AR523" s="4" t="s">
        <v>186</v>
      </c>
      <c r="AS523" s="4" t="s">
        <v>186</v>
      </c>
      <c r="AT523" s="4" t="s">
        <v>186</v>
      </c>
      <c r="AU523" s="4" t="s">
        <v>187</v>
      </c>
      <c r="AV523" s="4" t="s">
        <v>186</v>
      </c>
      <c r="AW523" s="4" t="s">
        <v>187</v>
      </c>
      <c r="AX523" s="4" t="s">
        <v>186</v>
      </c>
      <c r="AY523" s="4" t="s">
        <v>187</v>
      </c>
      <c r="BC523" s="4">
        <v>82251487449</v>
      </c>
      <c r="BD523" s="4">
        <v>87741001998</v>
      </c>
      <c r="BE523" s="4">
        <v>88809220702</v>
      </c>
      <c r="BF523" s="4">
        <v>81377984549</v>
      </c>
      <c r="BG523" s="4">
        <v>82193980302</v>
      </c>
      <c r="BH523" s="4">
        <v>81930818194</v>
      </c>
      <c r="BI523" s="4">
        <v>81368161806</v>
      </c>
      <c r="BJ523" s="4">
        <v>895365085758</v>
      </c>
      <c r="BK523" s="4">
        <v>82196805987</v>
      </c>
      <c r="BO523" s="71">
        <v>60160969</v>
      </c>
      <c r="BP523" s="18" t="s">
        <v>7006</v>
      </c>
      <c r="BQ523" s="37">
        <v>45065</v>
      </c>
      <c r="BR523" s="8">
        <f t="shared" si="2"/>
        <v>9</v>
      </c>
    </row>
    <row r="524" spans="1:70" ht="14">
      <c r="A524" s="4" t="str">
        <v>Alternatif Periode ke-87 II.D.3</v>
      </c>
      <c r="B524" s="4" t="s">
        <v>6750</v>
      </c>
      <c r="C524" s="4" t="s">
        <v>836</v>
      </c>
      <c r="D524" s="4" t="s">
        <v>219</v>
      </c>
      <c r="E524" s="4" t="s">
        <v>1753</v>
      </c>
      <c r="F524" s="4" t="s">
        <v>520</v>
      </c>
      <c r="G524" s="52" t="s">
        <v>7007</v>
      </c>
      <c r="H524" s="52" t="s">
        <v>7008</v>
      </c>
      <c r="I524" s="52" t="s">
        <v>7009</v>
      </c>
      <c r="J524" s="52" t="s">
        <v>7010</v>
      </c>
      <c r="K524" s="52" t="s">
        <v>7011</v>
      </c>
      <c r="L524" s="52" t="s">
        <v>7012</v>
      </c>
      <c r="M524" s="52" t="s">
        <v>7013</v>
      </c>
      <c r="N524" s="52" t="s">
        <v>7014</v>
      </c>
      <c r="O524" s="52" t="s">
        <v>7015</v>
      </c>
      <c r="S524" s="4">
        <v>1600004040</v>
      </c>
      <c r="T524" s="4">
        <v>1700011244</v>
      </c>
      <c r="U524" s="4">
        <v>1900001118</v>
      </c>
      <c r="V524" s="4">
        <v>1900012068</v>
      </c>
      <c r="W524" s="4">
        <v>1900019036</v>
      </c>
      <c r="X524" s="4">
        <v>1900026111</v>
      </c>
      <c r="Y524" s="4">
        <v>1900030101</v>
      </c>
      <c r="Z524" s="4">
        <v>1900031212</v>
      </c>
      <c r="AA524" s="4">
        <v>2000006068</v>
      </c>
      <c r="AE524" s="4" t="s">
        <v>201</v>
      </c>
      <c r="AF524" s="4" t="s">
        <v>182</v>
      </c>
      <c r="AG524" s="4" t="s">
        <v>180</v>
      </c>
      <c r="AH524" s="4" t="s">
        <v>885</v>
      </c>
      <c r="AI524" s="4" t="s">
        <v>705</v>
      </c>
      <c r="AJ524" s="4" t="s">
        <v>570</v>
      </c>
      <c r="AK524" s="4" t="s">
        <v>184</v>
      </c>
      <c r="AL524" s="4" t="s">
        <v>185</v>
      </c>
      <c r="AM524" s="4" t="s">
        <v>745</v>
      </c>
      <c r="AQ524" s="4" t="s">
        <v>187</v>
      </c>
      <c r="AR524" s="4" t="s">
        <v>187</v>
      </c>
      <c r="AS524" s="4" t="s">
        <v>186</v>
      </c>
      <c r="AT524" s="4" t="s">
        <v>186</v>
      </c>
      <c r="AU524" s="4" t="s">
        <v>187</v>
      </c>
      <c r="AV524" s="4" t="s">
        <v>186</v>
      </c>
      <c r="AW524" s="4" t="s">
        <v>187</v>
      </c>
      <c r="AX524" s="4" t="s">
        <v>186</v>
      </c>
      <c r="AY524" s="4" t="s">
        <v>186</v>
      </c>
      <c r="BC524" s="4">
        <v>81329197171</v>
      </c>
      <c r="BD524" s="4">
        <v>81273874008</v>
      </c>
      <c r="BE524" s="4">
        <v>895361461028</v>
      </c>
      <c r="BF524" s="4">
        <v>87742380127</v>
      </c>
      <c r="BG524" s="4">
        <v>88217836132</v>
      </c>
      <c r="BH524" s="4">
        <v>81352632975</v>
      </c>
      <c r="BI524" s="4">
        <v>89508545780</v>
      </c>
      <c r="BJ524" s="4">
        <v>8977271565</v>
      </c>
      <c r="BK524" s="4">
        <v>81227862151</v>
      </c>
      <c r="BO524" s="71">
        <v>60160969</v>
      </c>
      <c r="BP524" s="18" t="s">
        <v>7016</v>
      </c>
      <c r="BQ524" s="37">
        <v>45065</v>
      </c>
      <c r="BR524" s="8">
        <f t="shared" si="2"/>
        <v>9</v>
      </c>
    </row>
    <row r="525" spans="1:70" ht="14">
      <c r="A525" s="4" t="str">
        <v>Alternatif Periode ke-87 III.A.1</v>
      </c>
      <c r="B525" s="4" t="s">
        <v>6750</v>
      </c>
      <c r="C525" s="4" t="s">
        <v>848</v>
      </c>
      <c r="D525" s="4" t="s">
        <v>1583</v>
      </c>
      <c r="E525" s="4" t="s">
        <v>1584</v>
      </c>
      <c r="F525" s="4" t="s">
        <v>520</v>
      </c>
      <c r="G525" s="52" t="s">
        <v>7017</v>
      </c>
      <c r="H525" s="52" t="s">
        <v>7018</v>
      </c>
      <c r="I525" s="52" t="s">
        <v>7019</v>
      </c>
      <c r="J525" s="52" t="s">
        <v>7020</v>
      </c>
      <c r="K525" s="52" t="s">
        <v>7021</v>
      </c>
      <c r="L525" s="52" t="s">
        <v>7022</v>
      </c>
      <c r="M525" s="52" t="s">
        <v>7023</v>
      </c>
      <c r="N525" s="52" t="s">
        <v>7024</v>
      </c>
      <c r="O525" s="52" t="s">
        <v>7025</v>
      </c>
      <c r="P525" s="52" t="s">
        <v>7026</v>
      </c>
      <c r="Q525" s="52" t="s">
        <v>7027</v>
      </c>
      <c r="S525" s="4">
        <v>1700006094</v>
      </c>
      <c r="T525" s="4">
        <v>1900004175</v>
      </c>
      <c r="U525" s="4">
        <v>1900011152</v>
      </c>
      <c r="V525" s="4">
        <v>1900012121</v>
      </c>
      <c r="W525" s="4">
        <v>1900020106</v>
      </c>
      <c r="X525" s="4">
        <v>1900026269</v>
      </c>
      <c r="Y525" s="4">
        <v>1900030134</v>
      </c>
      <c r="Z525" s="4">
        <v>1900031194</v>
      </c>
      <c r="AA525" s="4">
        <v>2015001076</v>
      </c>
      <c r="AB525" s="4">
        <v>2123025093</v>
      </c>
      <c r="AC525" s="4">
        <v>2123025096</v>
      </c>
      <c r="AE525" s="4" t="s">
        <v>745</v>
      </c>
      <c r="AF525" s="4" t="s">
        <v>201</v>
      </c>
      <c r="AG525" s="4" t="s">
        <v>182</v>
      </c>
      <c r="AH525" s="4" t="s">
        <v>885</v>
      </c>
      <c r="AI525" s="4" t="s">
        <v>351</v>
      </c>
      <c r="AJ525" s="4" t="s">
        <v>570</v>
      </c>
      <c r="AK525" s="4" t="s">
        <v>184</v>
      </c>
      <c r="AL525" s="4" t="s">
        <v>185</v>
      </c>
      <c r="AM525" s="4" t="s">
        <v>180</v>
      </c>
      <c r="AN525" s="4" t="s">
        <v>1168</v>
      </c>
      <c r="AO525" s="4" t="s">
        <v>1168</v>
      </c>
      <c r="AQ525" s="4" t="s">
        <v>186</v>
      </c>
      <c r="AR525" s="4" t="s">
        <v>187</v>
      </c>
      <c r="AS525" s="4" t="s">
        <v>187</v>
      </c>
      <c r="AT525" s="4" t="s">
        <v>186</v>
      </c>
      <c r="AU525" s="4" t="s">
        <v>187</v>
      </c>
      <c r="AV525" s="4" t="s">
        <v>186</v>
      </c>
      <c r="AW525" s="4" t="s">
        <v>187</v>
      </c>
      <c r="AX525" s="4" t="s">
        <v>186</v>
      </c>
      <c r="AY525" s="4" t="s">
        <v>186</v>
      </c>
      <c r="AZ525" s="4" t="s">
        <v>187</v>
      </c>
      <c r="BA525" s="4" t="s">
        <v>186</v>
      </c>
      <c r="BC525" s="4">
        <v>85725718538</v>
      </c>
      <c r="BD525" s="4">
        <v>83840793363</v>
      </c>
      <c r="BE525" s="4">
        <v>81328843490</v>
      </c>
      <c r="BF525" s="4">
        <v>83802129837</v>
      </c>
      <c r="BG525" s="4">
        <v>81392853119</v>
      </c>
      <c r="BH525" s="4">
        <v>87701820472</v>
      </c>
      <c r="BI525" s="4">
        <v>81227472448</v>
      </c>
      <c r="BJ525" s="4">
        <v>85900374312</v>
      </c>
      <c r="BK525" s="4">
        <v>895344680209</v>
      </c>
      <c r="BL525" s="4">
        <v>15078438830</v>
      </c>
      <c r="BM525" s="4">
        <v>13973029103</v>
      </c>
      <c r="BO525" s="71">
        <v>60160924</v>
      </c>
      <c r="BP525" s="18" t="s">
        <v>7028</v>
      </c>
      <c r="BQ525" s="37">
        <v>45065</v>
      </c>
      <c r="BR525" s="8">
        <f t="shared" si="2"/>
        <v>11</v>
      </c>
    </row>
    <row r="526" spans="1:70" ht="14">
      <c r="A526" s="4" t="str">
        <v>Alternatif Periode ke-87 III.A.2</v>
      </c>
      <c r="B526" s="4" t="s">
        <v>6750</v>
      </c>
      <c r="C526" s="4" t="s">
        <v>861</v>
      </c>
      <c r="D526" s="4" t="s">
        <v>1583</v>
      </c>
      <c r="E526" s="4" t="s">
        <v>1605</v>
      </c>
      <c r="F526" s="4" t="s">
        <v>520</v>
      </c>
      <c r="G526" s="52" t="s">
        <v>7029</v>
      </c>
      <c r="H526" s="52" t="s">
        <v>7030</v>
      </c>
      <c r="I526" s="52" t="s">
        <v>7031</v>
      </c>
      <c r="J526" s="52" t="s">
        <v>7032</v>
      </c>
      <c r="K526" s="52" t="s">
        <v>7033</v>
      </c>
      <c r="L526" s="52" t="s">
        <v>7034</v>
      </c>
      <c r="M526" s="52" t="s">
        <v>7035</v>
      </c>
      <c r="N526" s="52" t="s">
        <v>7036</v>
      </c>
      <c r="O526" s="52" t="s">
        <v>7037</v>
      </c>
      <c r="S526" s="4">
        <v>1600026119</v>
      </c>
      <c r="T526" s="4">
        <v>1600030181</v>
      </c>
      <c r="U526" s="4">
        <v>1800022104</v>
      </c>
      <c r="V526" s="4">
        <v>1900001190</v>
      </c>
      <c r="W526" s="4">
        <v>1900004108</v>
      </c>
      <c r="X526" s="4">
        <v>1900006110</v>
      </c>
      <c r="Y526" s="4">
        <v>1900011305</v>
      </c>
      <c r="Z526" s="4">
        <v>1900012051</v>
      </c>
      <c r="AA526" s="4">
        <v>1900031210</v>
      </c>
      <c r="AE526" s="4" t="s">
        <v>570</v>
      </c>
      <c r="AF526" s="4" t="s">
        <v>184</v>
      </c>
      <c r="AG526" s="4" t="s">
        <v>872</v>
      </c>
      <c r="AH526" s="4" t="s">
        <v>180</v>
      </c>
      <c r="AI526" s="4" t="s">
        <v>201</v>
      </c>
      <c r="AJ526" s="4" t="s">
        <v>745</v>
      </c>
      <c r="AK526" s="4" t="s">
        <v>182</v>
      </c>
      <c r="AL526" s="4" t="s">
        <v>885</v>
      </c>
      <c r="AM526" s="4" t="s">
        <v>185</v>
      </c>
      <c r="AQ526" s="4" t="s">
        <v>186</v>
      </c>
      <c r="AR526" s="4" t="s">
        <v>187</v>
      </c>
      <c r="AS526" s="4" t="s">
        <v>187</v>
      </c>
      <c r="AT526" s="4" t="s">
        <v>186</v>
      </c>
      <c r="AU526" s="4" t="s">
        <v>187</v>
      </c>
      <c r="AV526" s="4" t="s">
        <v>186</v>
      </c>
      <c r="AW526" s="4" t="s">
        <v>187</v>
      </c>
      <c r="AX526" s="4" t="s">
        <v>186</v>
      </c>
      <c r="AY526" s="4" t="s">
        <v>186</v>
      </c>
      <c r="BC526" s="4">
        <v>85809004473</v>
      </c>
      <c r="BD526" s="4">
        <v>81236427135</v>
      </c>
      <c r="BE526" s="4">
        <v>85228288729</v>
      </c>
      <c r="BF526" s="4">
        <v>81332503471</v>
      </c>
      <c r="BG526" s="4">
        <v>882003870028</v>
      </c>
      <c r="BH526" s="4">
        <v>81328007941</v>
      </c>
      <c r="BI526" s="4">
        <v>81331933424</v>
      </c>
      <c r="BJ526" s="4">
        <v>82322204498</v>
      </c>
      <c r="BK526" s="4">
        <v>8816771874</v>
      </c>
      <c r="BO526" s="71">
        <v>60160924</v>
      </c>
      <c r="BP526" s="18" t="s">
        <v>7038</v>
      </c>
      <c r="BQ526" s="37">
        <v>45065</v>
      </c>
      <c r="BR526" s="8">
        <f t="shared" si="2"/>
        <v>9</v>
      </c>
    </row>
    <row r="527" spans="1:70" ht="14">
      <c r="A527" s="4" t="str">
        <v>Alternatif Periode ke-87 III.A.3</v>
      </c>
      <c r="B527" s="4" t="s">
        <v>6750</v>
      </c>
      <c r="C527" s="4" t="s">
        <v>874</v>
      </c>
      <c r="D527" s="4" t="s">
        <v>1583</v>
      </c>
      <c r="E527" s="4" t="s">
        <v>1626</v>
      </c>
      <c r="F527" s="4" t="s">
        <v>520</v>
      </c>
      <c r="G527" s="52" t="s">
        <v>7039</v>
      </c>
      <c r="H527" s="52" t="s">
        <v>7040</v>
      </c>
      <c r="I527" s="52" t="s">
        <v>7041</v>
      </c>
      <c r="J527" s="52" t="s">
        <v>7042</v>
      </c>
      <c r="K527" s="52" t="s">
        <v>7043</v>
      </c>
      <c r="L527" s="52" t="s">
        <v>7044</v>
      </c>
      <c r="M527" s="52" t="s">
        <v>7045</v>
      </c>
      <c r="N527" s="52" t="s">
        <v>7046</v>
      </c>
      <c r="O527" s="52" t="s">
        <v>7047</v>
      </c>
      <c r="S527" s="4">
        <v>1600004083</v>
      </c>
      <c r="T527" s="4">
        <v>1700022075</v>
      </c>
      <c r="U527" s="4">
        <v>1900001036</v>
      </c>
      <c r="V527" s="4">
        <v>1900011186</v>
      </c>
      <c r="W527" s="4">
        <v>1900026191</v>
      </c>
      <c r="X527" s="4">
        <v>1900030392</v>
      </c>
      <c r="Y527" s="4">
        <v>2000006063</v>
      </c>
      <c r="Z527" s="4">
        <v>2000013237</v>
      </c>
      <c r="AA527" s="4">
        <v>2000031224</v>
      </c>
      <c r="AE527" s="4" t="s">
        <v>201</v>
      </c>
      <c r="AF527" s="4" t="s">
        <v>872</v>
      </c>
      <c r="AG527" s="4" t="s">
        <v>180</v>
      </c>
      <c r="AH527" s="4" t="s">
        <v>182</v>
      </c>
      <c r="AI527" s="4" t="s">
        <v>570</v>
      </c>
      <c r="AJ527" s="4" t="s">
        <v>184</v>
      </c>
      <c r="AK527" s="4" t="s">
        <v>745</v>
      </c>
      <c r="AL527" s="4" t="s">
        <v>677</v>
      </c>
      <c r="AM527" s="4" t="s">
        <v>185</v>
      </c>
      <c r="AQ527" s="4" t="s">
        <v>187</v>
      </c>
      <c r="AR527" s="4" t="s">
        <v>187</v>
      </c>
      <c r="AS527" s="4" t="s">
        <v>186</v>
      </c>
      <c r="AT527" s="4" t="s">
        <v>187</v>
      </c>
      <c r="AU527" s="4" t="s">
        <v>186</v>
      </c>
      <c r="AV527" s="4" t="s">
        <v>187</v>
      </c>
      <c r="AW527" s="4" t="s">
        <v>186</v>
      </c>
      <c r="AX527" s="4" t="s">
        <v>186</v>
      </c>
      <c r="AY527" s="4" t="s">
        <v>186</v>
      </c>
      <c r="BC527" s="4">
        <v>82340665136</v>
      </c>
      <c r="BD527" s="28">
        <v>81229865364</v>
      </c>
      <c r="BE527" s="28">
        <v>85921388452</v>
      </c>
      <c r="BF527" s="28">
        <v>81359043709</v>
      </c>
      <c r="BG527" s="28">
        <v>81313102355</v>
      </c>
      <c r="BH527" s="28">
        <v>81227969827</v>
      </c>
      <c r="BI527" s="28">
        <v>81327260508</v>
      </c>
      <c r="BJ527" s="28">
        <v>81280037713</v>
      </c>
      <c r="BK527" s="28">
        <v>85713400215</v>
      </c>
      <c r="BO527" s="71">
        <v>60160924</v>
      </c>
      <c r="BP527" s="18" t="s">
        <v>7048</v>
      </c>
      <c r="BQ527" s="37">
        <v>45065</v>
      </c>
      <c r="BR527" s="8">
        <f t="shared" si="2"/>
        <v>9</v>
      </c>
    </row>
    <row r="528" spans="1:70" ht="14">
      <c r="A528" s="4" t="str">
        <v>Alternatif Periode ke-87 III.B.1</v>
      </c>
      <c r="B528" s="4" t="s">
        <v>6750</v>
      </c>
      <c r="C528" s="4" t="s">
        <v>887</v>
      </c>
      <c r="D528" s="4" t="s">
        <v>1647</v>
      </c>
      <c r="E528" s="4" t="s">
        <v>1648</v>
      </c>
      <c r="F528" s="4" t="s">
        <v>520</v>
      </c>
      <c r="G528" s="52" t="s">
        <v>7049</v>
      </c>
      <c r="H528" s="52" t="s">
        <v>7050</v>
      </c>
      <c r="I528" s="52" t="s">
        <v>7051</v>
      </c>
      <c r="J528" s="52" t="s">
        <v>7052</v>
      </c>
      <c r="K528" s="52" t="s">
        <v>7053</v>
      </c>
      <c r="L528" s="52" t="s">
        <v>7054</v>
      </c>
      <c r="M528" s="52" t="s">
        <v>7055</v>
      </c>
      <c r="N528" s="52" t="s">
        <v>7056</v>
      </c>
      <c r="O528" s="52" t="s">
        <v>7057</v>
      </c>
      <c r="P528" s="52" t="s">
        <v>7058</v>
      </c>
      <c r="S528" s="4">
        <v>1800011292</v>
      </c>
      <c r="T528" s="4">
        <v>1800022108</v>
      </c>
      <c r="U528" s="4">
        <v>1900005359</v>
      </c>
      <c r="V528" s="4">
        <v>1900013031</v>
      </c>
      <c r="W528" s="4">
        <v>1900028107</v>
      </c>
      <c r="X528" s="4">
        <v>1900030296</v>
      </c>
      <c r="Y528" s="4">
        <v>2000001111</v>
      </c>
      <c r="Z528" s="4">
        <v>2000031246</v>
      </c>
      <c r="AA528" s="4">
        <v>2123025098</v>
      </c>
      <c r="AB528" s="4">
        <v>2123025101</v>
      </c>
      <c r="AE528" s="4" t="s">
        <v>182</v>
      </c>
      <c r="AF528" s="4" t="s">
        <v>872</v>
      </c>
      <c r="AG528" s="4" t="s">
        <v>181</v>
      </c>
      <c r="AH528" s="4" t="s">
        <v>677</v>
      </c>
      <c r="AI528" s="4" t="s">
        <v>678</v>
      </c>
      <c r="AJ528" s="4" t="s">
        <v>184</v>
      </c>
      <c r="AK528" s="4" t="s">
        <v>180</v>
      </c>
      <c r="AL528" s="4" t="s">
        <v>185</v>
      </c>
      <c r="AM528" s="4" t="s">
        <v>1168</v>
      </c>
      <c r="AN528" s="4" t="s">
        <v>1168</v>
      </c>
      <c r="AQ528" s="4" t="s">
        <v>187</v>
      </c>
      <c r="AR528" s="4" t="s">
        <v>187</v>
      </c>
      <c r="AS528" s="4" t="s">
        <v>187</v>
      </c>
      <c r="AT528" s="4" t="s">
        <v>186</v>
      </c>
      <c r="AU528" s="4" t="s">
        <v>186</v>
      </c>
      <c r="AV528" s="4" t="s">
        <v>187</v>
      </c>
      <c r="AW528" s="4" t="s">
        <v>186</v>
      </c>
      <c r="AX528" s="4" t="s">
        <v>186</v>
      </c>
      <c r="AY528" s="4" t="s">
        <v>186</v>
      </c>
      <c r="AZ528" s="4" t="s">
        <v>186</v>
      </c>
      <c r="BC528" s="28"/>
      <c r="BD528" s="28">
        <v>82285376763</v>
      </c>
      <c r="BE528" s="28">
        <v>82364475026</v>
      </c>
      <c r="BF528" s="28">
        <v>8117855855</v>
      </c>
      <c r="BG528" s="28">
        <v>82242842757</v>
      </c>
      <c r="BH528" s="28">
        <v>81231682439</v>
      </c>
      <c r="BI528" s="28">
        <v>83182450952</v>
      </c>
      <c r="BJ528" s="28">
        <v>88239718240</v>
      </c>
      <c r="BK528" s="28">
        <v>15082007235</v>
      </c>
      <c r="BL528" s="4">
        <v>8619502049073</v>
      </c>
      <c r="BO528" s="71">
        <v>60010363</v>
      </c>
      <c r="BP528" s="18" t="s">
        <v>7059</v>
      </c>
      <c r="BQ528" s="37">
        <v>45065</v>
      </c>
      <c r="BR528" s="8">
        <f t="shared" si="2"/>
        <v>10</v>
      </c>
    </row>
    <row r="529" spans="1:70" ht="14">
      <c r="A529" s="4" t="str">
        <v>Alternatif Periode ke-87 III.B.2</v>
      </c>
      <c r="B529" s="4" t="s">
        <v>6750</v>
      </c>
      <c r="C529" s="4" t="s">
        <v>901</v>
      </c>
      <c r="D529" s="4" t="s">
        <v>1647</v>
      </c>
      <c r="E529" s="4" t="s">
        <v>1669</v>
      </c>
      <c r="F529" s="4" t="s">
        <v>520</v>
      </c>
      <c r="G529" s="52" t="s">
        <v>7060</v>
      </c>
      <c r="H529" s="52" t="s">
        <v>7061</v>
      </c>
      <c r="I529" s="52" t="s">
        <v>7062</v>
      </c>
      <c r="J529" s="52" t="s">
        <v>7063</v>
      </c>
      <c r="K529" s="52" t="s">
        <v>7064</v>
      </c>
      <c r="L529" s="52" t="s">
        <v>7065</v>
      </c>
      <c r="M529" s="52" t="s">
        <v>7066</v>
      </c>
      <c r="N529" s="52" t="s">
        <v>7067</v>
      </c>
      <c r="O529" s="52" t="s">
        <v>7068</v>
      </c>
      <c r="S529" s="4">
        <v>1700013287</v>
      </c>
      <c r="T529" s="4">
        <v>1800030179</v>
      </c>
      <c r="U529" s="4">
        <v>1900001079</v>
      </c>
      <c r="V529" s="4">
        <v>1900005199</v>
      </c>
      <c r="W529" s="4">
        <v>1900012207</v>
      </c>
      <c r="X529" s="4">
        <v>1900023149</v>
      </c>
      <c r="Y529" s="4">
        <v>1900028011</v>
      </c>
      <c r="Z529" s="4">
        <v>2000006017</v>
      </c>
      <c r="AA529" s="4">
        <v>2000031197</v>
      </c>
      <c r="AE529" s="4" t="s">
        <v>677</v>
      </c>
      <c r="AF529" s="4" t="s">
        <v>184</v>
      </c>
      <c r="AG529" s="4" t="s">
        <v>180</v>
      </c>
      <c r="AH529" s="4" t="s">
        <v>181</v>
      </c>
      <c r="AI529" s="4" t="s">
        <v>885</v>
      </c>
      <c r="AJ529" s="4" t="s">
        <v>899</v>
      </c>
      <c r="AK529" s="4" t="s">
        <v>678</v>
      </c>
      <c r="AL529" s="4" t="s">
        <v>745</v>
      </c>
      <c r="AM529" s="4" t="s">
        <v>185</v>
      </c>
      <c r="AQ529" s="4" t="s">
        <v>186</v>
      </c>
      <c r="AR529" s="4" t="s">
        <v>187</v>
      </c>
      <c r="AS529" s="4" t="s">
        <v>186</v>
      </c>
      <c r="AT529" s="4" t="s">
        <v>187</v>
      </c>
      <c r="AU529" s="4" t="s">
        <v>187</v>
      </c>
      <c r="AV529" s="4" t="s">
        <v>187</v>
      </c>
      <c r="AW529" s="4" t="s">
        <v>186</v>
      </c>
      <c r="AX529" s="4" t="s">
        <v>186</v>
      </c>
      <c r="AY529" s="4" t="s">
        <v>186</v>
      </c>
      <c r="BC529" s="28">
        <v>82117258228</v>
      </c>
      <c r="BD529" s="28">
        <v>85156429019</v>
      </c>
      <c r="BE529" s="28">
        <v>89699612237</v>
      </c>
      <c r="BF529" s="28">
        <v>89694268116</v>
      </c>
      <c r="BG529" s="28">
        <v>82279054321</v>
      </c>
      <c r="BH529" s="28">
        <v>82220018610</v>
      </c>
      <c r="BI529" s="28">
        <v>85866133276</v>
      </c>
      <c r="BJ529" s="28">
        <v>82188985508</v>
      </c>
      <c r="BK529" s="4">
        <v>82197976620</v>
      </c>
      <c r="BO529" s="71">
        <v>60010363</v>
      </c>
      <c r="BP529" s="18" t="s">
        <v>7069</v>
      </c>
      <c r="BQ529" s="37">
        <v>45065</v>
      </c>
      <c r="BR529" s="8">
        <f t="shared" si="2"/>
        <v>9</v>
      </c>
    </row>
    <row r="530" spans="1:70" ht="14">
      <c r="A530" s="4" t="str">
        <v>Alternatif Periode ke-87 III.B.3</v>
      </c>
      <c r="B530" s="4" t="s">
        <v>6750</v>
      </c>
      <c r="C530" s="4" t="s">
        <v>913</v>
      </c>
      <c r="D530" s="4" t="s">
        <v>1647</v>
      </c>
      <c r="E530" s="4" t="s">
        <v>1669</v>
      </c>
      <c r="F530" s="4" t="s">
        <v>520</v>
      </c>
      <c r="G530" s="52" t="s">
        <v>7070</v>
      </c>
      <c r="H530" s="52" t="s">
        <v>7071</v>
      </c>
      <c r="I530" s="52" t="s">
        <v>7072</v>
      </c>
      <c r="J530" s="52" t="s">
        <v>7073</v>
      </c>
      <c r="K530" s="52" t="s">
        <v>7074</v>
      </c>
      <c r="L530" s="52" t="s">
        <v>7075</v>
      </c>
      <c r="M530" s="52" t="s">
        <v>7076</v>
      </c>
      <c r="N530" s="52" t="s">
        <v>7077</v>
      </c>
      <c r="O530" s="52" t="s">
        <v>7078</v>
      </c>
      <c r="S530" s="4">
        <v>1600005311</v>
      </c>
      <c r="T530" s="4">
        <v>1800030039</v>
      </c>
      <c r="U530" s="4">
        <v>1900001224</v>
      </c>
      <c r="V530" s="4">
        <v>1900012224</v>
      </c>
      <c r="W530" s="4">
        <v>2000006015</v>
      </c>
      <c r="X530" s="4">
        <v>2000013062</v>
      </c>
      <c r="Y530" s="4">
        <v>2000023177</v>
      </c>
      <c r="Z530" s="4">
        <v>2000028058</v>
      </c>
      <c r="AA530" s="4">
        <v>2000031275</v>
      </c>
      <c r="AE530" s="4" t="s">
        <v>181</v>
      </c>
      <c r="AF530" s="4" t="s">
        <v>184</v>
      </c>
      <c r="AG530" s="4" t="s">
        <v>180</v>
      </c>
      <c r="AH530" s="4" t="s">
        <v>885</v>
      </c>
      <c r="AI530" s="4" t="s">
        <v>745</v>
      </c>
      <c r="AJ530" s="4" t="s">
        <v>677</v>
      </c>
      <c r="AK530" s="4" t="s">
        <v>899</v>
      </c>
      <c r="AL530" s="4" t="s">
        <v>678</v>
      </c>
      <c r="AM530" s="4" t="s">
        <v>185</v>
      </c>
      <c r="AQ530" s="4" t="s">
        <v>187</v>
      </c>
      <c r="AR530" s="4" t="s">
        <v>187</v>
      </c>
      <c r="AS530" s="4" t="s">
        <v>186</v>
      </c>
      <c r="AT530" s="4" t="s">
        <v>187</v>
      </c>
      <c r="AU530" s="4" t="s">
        <v>186</v>
      </c>
      <c r="AV530" s="4" t="s">
        <v>186</v>
      </c>
      <c r="AW530" s="4" t="s">
        <v>187</v>
      </c>
      <c r="AX530" s="4" t="s">
        <v>186</v>
      </c>
      <c r="AY530" s="4" t="s">
        <v>186</v>
      </c>
      <c r="BC530" s="28">
        <v>81226882609</v>
      </c>
      <c r="BD530" s="28">
        <v>81284782989</v>
      </c>
      <c r="BE530" s="28">
        <v>85878442815</v>
      </c>
      <c r="BF530" s="28">
        <v>81335193635</v>
      </c>
      <c r="BG530" s="28">
        <v>81327428442</v>
      </c>
      <c r="BH530" s="28">
        <v>81274737226</v>
      </c>
      <c r="BI530" s="28">
        <v>81212705634</v>
      </c>
      <c r="BJ530" s="4">
        <v>89504793329</v>
      </c>
      <c r="BK530" s="4">
        <v>85264682749</v>
      </c>
      <c r="BO530" s="71">
        <v>60010363</v>
      </c>
      <c r="BP530" s="18" t="s">
        <v>7079</v>
      </c>
      <c r="BQ530" s="37">
        <v>45065</v>
      </c>
      <c r="BR530" s="8">
        <f t="shared" si="2"/>
        <v>9</v>
      </c>
    </row>
    <row r="531" spans="1:70" ht="14">
      <c r="A531" s="4" t="str">
        <v>Alternatif Periode ke-87 III.C.1</v>
      </c>
      <c r="B531" s="4" t="s">
        <v>6750</v>
      </c>
      <c r="C531" s="4" t="s">
        <v>939</v>
      </c>
      <c r="D531" s="4" t="s">
        <v>1775</v>
      </c>
      <c r="E531" s="4" t="s">
        <v>1732</v>
      </c>
      <c r="F531" s="4" t="s">
        <v>520</v>
      </c>
      <c r="G531" s="52" t="s">
        <v>7080</v>
      </c>
      <c r="H531" s="52" t="s">
        <v>7081</v>
      </c>
      <c r="I531" s="52" t="s">
        <v>7082</v>
      </c>
      <c r="J531" s="52" t="s">
        <v>7083</v>
      </c>
      <c r="K531" s="52" t="s">
        <v>7084</v>
      </c>
      <c r="L531" s="52" t="s">
        <v>7085</v>
      </c>
      <c r="M531" s="52" t="s">
        <v>7086</v>
      </c>
      <c r="N531" s="52" t="s">
        <v>7087</v>
      </c>
      <c r="O531" s="52" t="s">
        <v>7088</v>
      </c>
      <c r="P531" s="52" t="s">
        <v>7089</v>
      </c>
      <c r="Q531" s="52" t="s">
        <v>7090</v>
      </c>
      <c r="S531" s="4">
        <v>1800012056</v>
      </c>
      <c r="T531" s="4">
        <v>1800030493</v>
      </c>
      <c r="U531" s="4">
        <v>1900005227</v>
      </c>
      <c r="V531" s="4">
        <v>1900024130</v>
      </c>
      <c r="W531" s="4">
        <v>2000001109</v>
      </c>
      <c r="X531" s="4">
        <v>2000006008</v>
      </c>
      <c r="Y531" s="4">
        <v>2000013069</v>
      </c>
      <c r="Z531" s="4">
        <v>2000028010</v>
      </c>
      <c r="AA531" s="4">
        <v>2000031226</v>
      </c>
      <c r="AB531" s="4">
        <v>2123025102</v>
      </c>
      <c r="AC531" s="4">
        <v>2123025103</v>
      </c>
      <c r="AE531" s="4" t="s">
        <v>885</v>
      </c>
      <c r="AF531" s="4" t="s">
        <v>184</v>
      </c>
      <c r="AG531" s="4" t="s">
        <v>181</v>
      </c>
      <c r="AH531" s="4" t="s">
        <v>924</v>
      </c>
      <c r="AI531" s="4" t="s">
        <v>180</v>
      </c>
      <c r="AJ531" s="4" t="s">
        <v>745</v>
      </c>
      <c r="AK531" s="4" t="s">
        <v>677</v>
      </c>
      <c r="AL531" s="4" t="s">
        <v>678</v>
      </c>
      <c r="AM531" s="4" t="s">
        <v>185</v>
      </c>
      <c r="AN531" s="4" t="s">
        <v>1168</v>
      </c>
      <c r="AO531" s="4" t="s">
        <v>1168</v>
      </c>
      <c r="AQ531" s="4" t="s">
        <v>187</v>
      </c>
      <c r="AR531" s="4" t="s">
        <v>187</v>
      </c>
      <c r="AS531" s="4" t="s">
        <v>187</v>
      </c>
      <c r="AT531" s="4" t="s">
        <v>187</v>
      </c>
      <c r="AU531" s="4" t="s">
        <v>186</v>
      </c>
      <c r="AV531" s="4" t="s">
        <v>186</v>
      </c>
      <c r="AW531" s="4" t="s">
        <v>186</v>
      </c>
      <c r="AX531" s="4" t="s">
        <v>186</v>
      </c>
      <c r="AY531" s="4" t="s">
        <v>186</v>
      </c>
      <c r="AZ531" s="4" t="s">
        <v>186</v>
      </c>
      <c r="BA531" s="4" t="s">
        <v>186</v>
      </c>
      <c r="BC531" s="28">
        <v>82188621009</v>
      </c>
      <c r="BD531" s="28">
        <v>88225095630</v>
      </c>
      <c r="BE531" s="28">
        <v>8996052461</v>
      </c>
      <c r="BF531" s="28">
        <v>82268873499</v>
      </c>
      <c r="BG531" s="28">
        <v>81377728864</v>
      </c>
      <c r="BH531" s="28">
        <v>85789846129</v>
      </c>
      <c r="BI531" s="4">
        <v>81328198812</v>
      </c>
      <c r="BJ531" s="4">
        <v>85732178387</v>
      </c>
      <c r="BK531" s="4">
        <v>82294189842</v>
      </c>
      <c r="BL531" s="4">
        <v>8618820702796</v>
      </c>
      <c r="BM531" s="4">
        <v>8613683313298</v>
      </c>
      <c r="BO531" s="71">
        <v>60090574</v>
      </c>
      <c r="BP531" s="18" t="s">
        <v>7091</v>
      </c>
      <c r="BQ531" s="37">
        <v>45065</v>
      </c>
      <c r="BR531" s="8">
        <f t="shared" si="2"/>
        <v>11</v>
      </c>
    </row>
    <row r="532" spans="1:70" ht="14">
      <c r="A532" s="4" t="str">
        <v>Alternatif Periode ke-87 III.C.2</v>
      </c>
      <c r="B532" s="4" t="s">
        <v>6750</v>
      </c>
      <c r="C532" s="4" t="s">
        <v>955</v>
      </c>
      <c r="D532" s="4" t="s">
        <v>1775</v>
      </c>
      <c r="E532" s="4" t="s">
        <v>1776</v>
      </c>
      <c r="F532" s="4" t="s">
        <v>520</v>
      </c>
      <c r="G532" s="52" t="s">
        <v>7092</v>
      </c>
      <c r="H532" s="52" t="s">
        <v>7093</v>
      </c>
      <c r="I532" s="52" t="s">
        <v>7094</v>
      </c>
      <c r="J532" s="52" t="s">
        <v>7095</v>
      </c>
      <c r="K532" s="52" t="s">
        <v>7096</v>
      </c>
      <c r="L532" s="52" t="s">
        <v>7097</v>
      </c>
      <c r="M532" s="52" t="s">
        <v>7098</v>
      </c>
      <c r="N532" s="52" t="s">
        <v>7099</v>
      </c>
      <c r="O532" s="52" t="s">
        <v>7100</v>
      </c>
      <c r="S532" s="4">
        <v>1700024220</v>
      </c>
      <c r="T532" s="4">
        <v>1900005211</v>
      </c>
      <c r="U532" s="4">
        <v>1900012158</v>
      </c>
      <c r="V532" s="4">
        <v>1900029114</v>
      </c>
      <c r="W532" s="4">
        <v>1900030212</v>
      </c>
      <c r="X532" s="4">
        <v>1900031163</v>
      </c>
      <c r="Y532" s="4">
        <v>2000001106</v>
      </c>
      <c r="Z532" s="4">
        <v>2000006059</v>
      </c>
      <c r="AA532" s="4">
        <v>2000013052</v>
      </c>
      <c r="AE532" s="4" t="s">
        <v>924</v>
      </c>
      <c r="AF532" s="4" t="s">
        <v>181</v>
      </c>
      <c r="AG532" s="4" t="s">
        <v>885</v>
      </c>
      <c r="AH532" s="4" t="s">
        <v>533</v>
      </c>
      <c r="AI532" s="4" t="s">
        <v>184</v>
      </c>
      <c r="AJ532" s="4" t="s">
        <v>185</v>
      </c>
      <c r="AK532" s="4" t="s">
        <v>180</v>
      </c>
      <c r="AL532" s="4" t="s">
        <v>745</v>
      </c>
      <c r="AM532" s="4" t="s">
        <v>677</v>
      </c>
      <c r="AQ532" s="4" t="s">
        <v>187</v>
      </c>
      <c r="AR532" s="4" t="s">
        <v>187</v>
      </c>
      <c r="AS532" s="4" t="s">
        <v>187</v>
      </c>
      <c r="AT532" s="4" t="s">
        <v>186</v>
      </c>
      <c r="AU532" s="4" t="s">
        <v>187</v>
      </c>
      <c r="AV532" s="4" t="s">
        <v>186</v>
      </c>
      <c r="AW532" s="4" t="s">
        <v>186</v>
      </c>
      <c r="AX532" s="4" t="s">
        <v>186</v>
      </c>
      <c r="AY532" s="4" t="s">
        <v>186</v>
      </c>
      <c r="BC532" s="28">
        <v>85641509315</v>
      </c>
      <c r="BD532" s="28">
        <v>85715644663</v>
      </c>
      <c r="BE532" s="28" t="s">
        <v>7101</v>
      </c>
      <c r="BF532" s="28">
        <v>82192505992</v>
      </c>
      <c r="BG532" s="28">
        <v>89503227933</v>
      </c>
      <c r="BH532" s="4">
        <v>82134542441</v>
      </c>
      <c r="BI532" s="4">
        <v>82111566905</v>
      </c>
      <c r="BJ532" s="4">
        <v>83867149066</v>
      </c>
      <c r="BK532" s="4">
        <v>89637476300</v>
      </c>
      <c r="BO532" s="71">
        <v>60090574</v>
      </c>
      <c r="BP532" s="18" t="s">
        <v>7102</v>
      </c>
      <c r="BQ532" s="37">
        <v>45065</v>
      </c>
      <c r="BR532" s="8">
        <f t="shared" si="2"/>
        <v>9</v>
      </c>
    </row>
    <row r="533" spans="1:70" ht="14">
      <c r="A533" s="4" t="str">
        <v>Alternatif Periode ke-87 III.C.3</v>
      </c>
      <c r="B533" s="4" t="s">
        <v>6750</v>
      </c>
      <c r="C533" s="4" t="s">
        <v>967</v>
      </c>
      <c r="D533" s="4" t="s">
        <v>1775</v>
      </c>
      <c r="E533" s="4" t="s">
        <v>1797</v>
      </c>
      <c r="F533" s="4" t="s">
        <v>520</v>
      </c>
      <c r="G533" s="52" t="s">
        <v>7103</v>
      </c>
      <c r="H533" s="52" t="s">
        <v>7104</v>
      </c>
      <c r="I533" s="52" t="s">
        <v>7105</v>
      </c>
      <c r="J533" s="52" t="s">
        <v>7106</v>
      </c>
      <c r="K533" s="52" t="s">
        <v>3199</v>
      </c>
      <c r="L533" s="52" t="s">
        <v>7107</v>
      </c>
      <c r="M533" s="52" t="s">
        <v>7108</v>
      </c>
      <c r="N533" s="52" t="s">
        <v>7109</v>
      </c>
      <c r="O533" s="52" t="s">
        <v>7110</v>
      </c>
      <c r="S533" s="4">
        <v>1800012072</v>
      </c>
      <c r="T533" s="4">
        <v>1800013349</v>
      </c>
      <c r="U533" s="4">
        <v>1800030116</v>
      </c>
      <c r="V533" s="4">
        <v>1900001177</v>
      </c>
      <c r="W533" s="4">
        <v>1900005099</v>
      </c>
      <c r="X533" s="4">
        <v>1900024251</v>
      </c>
      <c r="Y533" s="4">
        <v>1900029266</v>
      </c>
      <c r="Z533" s="4">
        <v>1900031134</v>
      </c>
      <c r="AA533" s="4">
        <v>2000006003</v>
      </c>
      <c r="AE533" s="4" t="s">
        <v>885</v>
      </c>
      <c r="AF533" s="4" t="s">
        <v>677</v>
      </c>
      <c r="AG533" s="4" t="s">
        <v>184</v>
      </c>
      <c r="AH533" s="4" t="s">
        <v>180</v>
      </c>
      <c r="AI533" s="4" t="s">
        <v>181</v>
      </c>
      <c r="AJ533" s="4" t="s">
        <v>924</v>
      </c>
      <c r="AK533" s="4" t="s">
        <v>533</v>
      </c>
      <c r="AL533" s="4" t="s">
        <v>185</v>
      </c>
      <c r="AM533" s="4" t="s">
        <v>745</v>
      </c>
      <c r="AQ533" s="4" t="s">
        <v>187</v>
      </c>
      <c r="AR533" s="4" t="s">
        <v>186</v>
      </c>
      <c r="AS533" s="4" t="s">
        <v>187</v>
      </c>
      <c r="AT533" s="4" t="s">
        <v>186</v>
      </c>
      <c r="AU533" s="4" t="s">
        <v>187</v>
      </c>
      <c r="AV533" s="4" t="s">
        <v>187</v>
      </c>
      <c r="AW533" s="4" t="s">
        <v>186</v>
      </c>
      <c r="AX533" s="4" t="s">
        <v>186</v>
      </c>
      <c r="AY533" s="4" t="s">
        <v>186</v>
      </c>
      <c r="BC533" s="28">
        <v>82289181988</v>
      </c>
      <c r="BD533" s="28">
        <v>89609568413</v>
      </c>
      <c r="BE533" s="28">
        <v>82271500058</v>
      </c>
      <c r="BF533" s="28">
        <v>81318273147</v>
      </c>
      <c r="BG533" s="4">
        <v>82133608359</v>
      </c>
      <c r="BH533" s="4">
        <v>88228995080</v>
      </c>
      <c r="BI533" s="4">
        <v>85157699716</v>
      </c>
      <c r="BJ533" s="4">
        <v>87738977014</v>
      </c>
      <c r="BK533" s="4">
        <v>81255801144</v>
      </c>
      <c r="BO533" s="71">
        <v>60090574</v>
      </c>
      <c r="BP533" s="18" t="s">
        <v>7111</v>
      </c>
      <c r="BQ533" s="37">
        <v>45065</v>
      </c>
      <c r="BR533" s="8">
        <f t="shared" si="2"/>
        <v>9</v>
      </c>
    </row>
    <row r="534" spans="1:70" ht="14">
      <c r="A534" s="4" t="str">
        <v>Alternatif Periode ke-87 III.D.1</v>
      </c>
      <c r="B534" s="4" t="s">
        <v>6750</v>
      </c>
      <c r="C534" s="4" t="s">
        <v>1009</v>
      </c>
      <c r="D534" s="4" t="s">
        <v>197</v>
      </c>
      <c r="E534" s="4" t="s">
        <v>773</v>
      </c>
      <c r="F534" s="4" t="s">
        <v>520</v>
      </c>
      <c r="G534" s="52" t="s">
        <v>7112</v>
      </c>
      <c r="H534" s="52" t="s">
        <v>7113</v>
      </c>
      <c r="I534" s="52" t="s">
        <v>7114</v>
      </c>
      <c r="J534" s="52" t="s">
        <v>7115</v>
      </c>
      <c r="K534" s="52" t="s">
        <v>7116</v>
      </c>
      <c r="L534" s="52" t="s">
        <v>7117</v>
      </c>
      <c r="M534" s="52" t="s">
        <v>7118</v>
      </c>
      <c r="N534" s="52" t="s">
        <v>7119</v>
      </c>
      <c r="O534" s="52" t="s">
        <v>7120</v>
      </c>
      <c r="P534" s="52" t="s">
        <v>7121</v>
      </c>
      <c r="Q534" s="52" t="s">
        <v>7122</v>
      </c>
      <c r="S534" s="4">
        <v>1700013034</v>
      </c>
      <c r="T534" s="4">
        <v>1800024129</v>
      </c>
      <c r="U534" s="4">
        <v>1800030045</v>
      </c>
      <c r="V534" s="4">
        <v>1900001147</v>
      </c>
      <c r="W534" s="4">
        <v>1900005293</v>
      </c>
      <c r="X534" s="4">
        <v>1900012229</v>
      </c>
      <c r="Y534" s="4">
        <v>1900029055</v>
      </c>
      <c r="Z534" s="4">
        <v>2000031114</v>
      </c>
      <c r="AA534" s="4">
        <v>2015006024</v>
      </c>
      <c r="AB534" s="4">
        <v>2123025104</v>
      </c>
      <c r="AC534" s="4">
        <v>2123025106</v>
      </c>
      <c r="AE534" s="4" t="s">
        <v>677</v>
      </c>
      <c r="AF534" s="4" t="s">
        <v>924</v>
      </c>
      <c r="AG534" s="4" t="s">
        <v>184</v>
      </c>
      <c r="AH534" s="4" t="s">
        <v>180</v>
      </c>
      <c r="AI534" s="4" t="s">
        <v>181</v>
      </c>
      <c r="AJ534" s="4" t="s">
        <v>885</v>
      </c>
      <c r="AK534" s="4" t="s">
        <v>533</v>
      </c>
      <c r="AL534" s="4" t="s">
        <v>185</v>
      </c>
      <c r="AM534" s="4" t="s">
        <v>745</v>
      </c>
      <c r="AN534" s="4" t="s">
        <v>1168</v>
      </c>
      <c r="AO534" s="4" t="s">
        <v>1168</v>
      </c>
      <c r="AQ534" s="4" t="s">
        <v>186</v>
      </c>
      <c r="AR534" s="4" t="s">
        <v>187</v>
      </c>
      <c r="AS534" s="4" t="s">
        <v>187</v>
      </c>
      <c r="AT534" s="4" t="s">
        <v>186</v>
      </c>
      <c r="AU534" s="4" t="s">
        <v>187</v>
      </c>
      <c r="AV534" s="4" t="s">
        <v>187</v>
      </c>
      <c r="AW534" s="4" t="s">
        <v>186</v>
      </c>
      <c r="AX534" s="4" t="s">
        <v>186</v>
      </c>
      <c r="AY534" s="4" t="s">
        <v>186</v>
      </c>
      <c r="AZ534" s="4" t="s">
        <v>186</v>
      </c>
      <c r="BA534" s="4" t="s">
        <v>186</v>
      </c>
      <c r="BC534" s="28">
        <v>87835761939</v>
      </c>
      <c r="BD534" s="28">
        <v>82291323449</v>
      </c>
      <c r="BE534" s="28">
        <v>81229880592</v>
      </c>
      <c r="BF534" s="4">
        <v>85640832709</v>
      </c>
      <c r="BG534" s="4">
        <v>895421402908</v>
      </c>
      <c r="BH534" s="4">
        <v>81575269774</v>
      </c>
      <c r="BI534" s="4">
        <v>81335381713</v>
      </c>
      <c r="BJ534" s="4">
        <v>82217854053</v>
      </c>
      <c r="BK534" s="4">
        <v>83105317004</v>
      </c>
      <c r="BL534" s="4">
        <v>8619877863824</v>
      </c>
      <c r="BM534" s="4">
        <v>8615877027429</v>
      </c>
      <c r="BO534" s="71">
        <v>60150829</v>
      </c>
      <c r="BP534" s="18" t="s">
        <v>7123</v>
      </c>
      <c r="BQ534" s="37">
        <v>45065</v>
      </c>
      <c r="BR534" s="8">
        <f t="shared" si="2"/>
        <v>11</v>
      </c>
    </row>
    <row r="535" spans="1:70" ht="14">
      <c r="A535" s="4" t="str">
        <v>Alternatif Periode ke-87 III.D.2</v>
      </c>
      <c r="B535" s="4" t="s">
        <v>6750</v>
      </c>
      <c r="C535" s="4" t="s">
        <v>1032</v>
      </c>
      <c r="D535" s="4" t="s">
        <v>197</v>
      </c>
      <c r="E535" s="4" t="s">
        <v>786</v>
      </c>
      <c r="F535" s="4" t="s">
        <v>520</v>
      </c>
      <c r="G535" s="52" t="s">
        <v>7124</v>
      </c>
      <c r="H535" s="52" t="s">
        <v>7125</v>
      </c>
      <c r="I535" s="52" t="s">
        <v>7126</v>
      </c>
      <c r="J535" s="52" t="s">
        <v>7127</v>
      </c>
      <c r="K535" s="52" t="s">
        <v>7128</v>
      </c>
      <c r="L535" s="52" t="s">
        <v>7129</v>
      </c>
      <c r="M535" s="52" t="s">
        <v>7130</v>
      </c>
      <c r="N535" s="52" t="s">
        <v>7131</v>
      </c>
      <c r="O535" s="52" t="s">
        <v>7132</v>
      </c>
      <c r="S535" s="4">
        <v>1800001165</v>
      </c>
      <c r="T535" s="4">
        <v>1800005158</v>
      </c>
      <c r="U535" s="4">
        <v>1800024360</v>
      </c>
      <c r="V535" s="4">
        <v>1800030117</v>
      </c>
      <c r="W535" s="4">
        <v>1900012115</v>
      </c>
      <c r="X535" s="4">
        <v>1900013271</v>
      </c>
      <c r="Y535" s="4">
        <v>1900029016</v>
      </c>
      <c r="Z535" s="4">
        <v>2000006066</v>
      </c>
      <c r="AA535" s="4">
        <v>2000031194</v>
      </c>
      <c r="AE535" s="4" t="s">
        <v>180</v>
      </c>
      <c r="AF535" s="4" t="s">
        <v>181</v>
      </c>
      <c r="AG535" s="4" t="s">
        <v>924</v>
      </c>
      <c r="AH535" s="4" t="s">
        <v>184</v>
      </c>
      <c r="AI535" s="4" t="s">
        <v>885</v>
      </c>
      <c r="AJ535" s="4" t="s">
        <v>677</v>
      </c>
      <c r="AK535" s="4" t="s">
        <v>533</v>
      </c>
      <c r="AL535" s="4" t="s">
        <v>745</v>
      </c>
      <c r="AM535" s="4" t="s">
        <v>185</v>
      </c>
      <c r="AQ535" s="4" t="s">
        <v>186</v>
      </c>
      <c r="AR535" s="4" t="s">
        <v>187</v>
      </c>
      <c r="AS535" s="4" t="s">
        <v>187</v>
      </c>
      <c r="AT535" s="4" t="s">
        <v>187</v>
      </c>
      <c r="AU535" s="4" t="s">
        <v>187</v>
      </c>
      <c r="AV535" s="4" t="s">
        <v>186</v>
      </c>
      <c r="AW535" s="4" t="s">
        <v>186</v>
      </c>
      <c r="AX535" s="4" t="s">
        <v>186</v>
      </c>
      <c r="AY535" s="4" t="s">
        <v>186</v>
      </c>
      <c r="BC535" s="28">
        <v>81393439477</v>
      </c>
      <c r="BD535" s="28">
        <v>87736839679</v>
      </c>
      <c r="BE535" s="4">
        <v>81329694650</v>
      </c>
      <c r="BF535" s="4">
        <v>85290474078</v>
      </c>
      <c r="BG535" s="4">
        <v>85648813849</v>
      </c>
      <c r="BH535" s="4">
        <v>82183029169</v>
      </c>
      <c r="BI535" s="4">
        <v>85155382877</v>
      </c>
      <c r="BJ535" s="4">
        <v>81282415449</v>
      </c>
      <c r="BK535" s="4">
        <v>82324367877</v>
      </c>
      <c r="BO535" s="71">
        <v>60150829</v>
      </c>
      <c r="BP535" s="18" t="s">
        <v>7133</v>
      </c>
      <c r="BQ535" s="37">
        <v>45065</v>
      </c>
      <c r="BR535" s="8">
        <f t="shared" si="2"/>
        <v>9</v>
      </c>
    </row>
    <row r="536" spans="1:70" ht="14">
      <c r="A536" s="4" t="str">
        <v>Alternatif Periode ke-87 III.D.3</v>
      </c>
      <c r="B536" s="4" t="s">
        <v>6750</v>
      </c>
      <c r="C536" s="4" t="s">
        <v>1054</v>
      </c>
      <c r="D536" s="4" t="s">
        <v>197</v>
      </c>
      <c r="E536" s="4" t="s">
        <v>798</v>
      </c>
      <c r="F536" s="4" t="s">
        <v>520</v>
      </c>
      <c r="G536" s="52" t="s">
        <v>7134</v>
      </c>
      <c r="H536" s="52" t="s">
        <v>7135</v>
      </c>
      <c r="I536" s="52" t="s">
        <v>7136</v>
      </c>
      <c r="J536" s="52" t="s">
        <v>7137</v>
      </c>
      <c r="K536" s="52" t="s">
        <v>7138</v>
      </c>
      <c r="L536" s="52" t="s">
        <v>7139</v>
      </c>
      <c r="M536" s="52" t="s">
        <v>7140</v>
      </c>
      <c r="N536" s="52" t="s">
        <v>7141</v>
      </c>
      <c r="O536" s="52" t="s">
        <v>7142</v>
      </c>
      <c r="S536" s="4">
        <v>1800001150</v>
      </c>
      <c r="T536" s="4">
        <v>1800030046</v>
      </c>
      <c r="U536" s="4">
        <v>1900005313</v>
      </c>
      <c r="V536" s="4">
        <v>1900012247</v>
      </c>
      <c r="W536" s="4">
        <v>1900013198</v>
      </c>
      <c r="X536" s="4">
        <v>1900024192</v>
      </c>
      <c r="Y536" s="4">
        <v>1900031023</v>
      </c>
      <c r="Z536" s="4">
        <v>2000006020</v>
      </c>
      <c r="AA536" s="4">
        <v>2000029134</v>
      </c>
      <c r="AE536" s="4" t="s">
        <v>180</v>
      </c>
      <c r="AF536" s="4" t="s">
        <v>184</v>
      </c>
      <c r="AG536" s="4" t="s">
        <v>181</v>
      </c>
      <c r="AH536" s="4" t="s">
        <v>885</v>
      </c>
      <c r="AI536" s="4" t="s">
        <v>677</v>
      </c>
      <c r="AJ536" s="4" t="s">
        <v>924</v>
      </c>
      <c r="AK536" s="4" t="s">
        <v>185</v>
      </c>
      <c r="AL536" s="4" t="s">
        <v>745</v>
      </c>
      <c r="AM536" s="4" t="s">
        <v>533</v>
      </c>
      <c r="AQ536" s="4" t="s">
        <v>186</v>
      </c>
      <c r="AR536" s="4" t="s">
        <v>187</v>
      </c>
      <c r="AS536" s="4" t="s">
        <v>187</v>
      </c>
      <c r="AT536" s="4" t="s">
        <v>187</v>
      </c>
      <c r="AU536" s="4" t="s">
        <v>186</v>
      </c>
      <c r="AV536" s="4" t="s">
        <v>187</v>
      </c>
      <c r="AW536" s="4" t="s">
        <v>186</v>
      </c>
      <c r="AX536" s="4" t="s">
        <v>186</v>
      </c>
      <c r="AY536" s="4" t="s">
        <v>186</v>
      </c>
      <c r="BC536" s="28">
        <v>82299655846</v>
      </c>
      <c r="BD536" s="4">
        <v>81818116522</v>
      </c>
      <c r="BE536" s="4">
        <v>85325790917</v>
      </c>
      <c r="BF536" s="4">
        <v>81278127491</v>
      </c>
      <c r="BG536" s="4">
        <v>83825940884</v>
      </c>
      <c r="BH536" s="4">
        <v>82359463751</v>
      </c>
      <c r="BI536" s="4">
        <v>8980635485</v>
      </c>
      <c r="BJ536" s="4">
        <v>8995475654</v>
      </c>
      <c r="BK536" s="4">
        <v>6282138017260</v>
      </c>
      <c r="BO536" s="71">
        <v>60150829</v>
      </c>
      <c r="BP536" s="18" t="s">
        <v>7143</v>
      </c>
      <c r="BQ536" s="37">
        <v>45065</v>
      </c>
      <c r="BR536" s="8">
        <f t="shared" si="2"/>
        <v>9</v>
      </c>
    </row>
    <row r="537" spans="1:70" ht="14">
      <c r="A537" s="4" t="str">
        <v>Alternatif Periode ke-87 IV.A.1</v>
      </c>
      <c r="B537" s="4" t="s">
        <v>6750</v>
      </c>
      <c r="C537" s="4" t="s">
        <v>1075</v>
      </c>
      <c r="D537" s="4" t="s">
        <v>810</v>
      </c>
      <c r="E537" s="4" t="s">
        <v>811</v>
      </c>
      <c r="F537" s="4" t="s">
        <v>520</v>
      </c>
      <c r="G537" s="52" t="s">
        <v>7144</v>
      </c>
      <c r="H537" s="52" t="s">
        <v>7145</v>
      </c>
      <c r="I537" s="52" t="s">
        <v>7146</v>
      </c>
      <c r="J537" s="52" t="s">
        <v>7147</v>
      </c>
      <c r="K537" s="52" t="s">
        <v>5319</v>
      </c>
      <c r="L537" s="52" t="s">
        <v>7148</v>
      </c>
      <c r="M537" s="52" t="s">
        <v>7149</v>
      </c>
      <c r="N537" s="52" t="s">
        <v>7150</v>
      </c>
      <c r="O537" s="52" t="s">
        <v>7151</v>
      </c>
      <c r="P537" s="52" t="s">
        <v>7152</v>
      </c>
      <c r="Q537" s="52" t="s">
        <v>7153</v>
      </c>
      <c r="S537" s="4">
        <v>1600024272</v>
      </c>
      <c r="T537" s="4">
        <v>1800024062</v>
      </c>
      <c r="U537" s="4">
        <v>1800030382</v>
      </c>
      <c r="V537" s="4">
        <v>1900005306</v>
      </c>
      <c r="W537" s="4">
        <v>1900012239</v>
      </c>
      <c r="X537" s="4">
        <v>1900029059</v>
      </c>
      <c r="Y537" s="4">
        <v>2000001105</v>
      </c>
      <c r="Z537" s="4">
        <v>2000031189</v>
      </c>
      <c r="AA537" s="4">
        <v>2015006031</v>
      </c>
      <c r="AB537" s="4">
        <v>2123025109</v>
      </c>
      <c r="AC537" s="4">
        <v>2123025110</v>
      </c>
      <c r="AE537" s="4" t="s">
        <v>924</v>
      </c>
      <c r="AF537" s="4" t="s">
        <v>924</v>
      </c>
      <c r="AG537" s="4" t="s">
        <v>184</v>
      </c>
      <c r="AH537" s="4" t="s">
        <v>181</v>
      </c>
      <c r="AI537" s="4" t="s">
        <v>885</v>
      </c>
      <c r="AJ537" s="4" t="s">
        <v>533</v>
      </c>
      <c r="AK537" s="4" t="s">
        <v>180</v>
      </c>
      <c r="AL537" s="4" t="s">
        <v>185</v>
      </c>
      <c r="AM537" s="4" t="s">
        <v>745</v>
      </c>
      <c r="AN537" s="4" t="s">
        <v>1168</v>
      </c>
      <c r="AO537" s="4" t="s">
        <v>1168</v>
      </c>
      <c r="AQ537" s="4" t="s">
        <v>187</v>
      </c>
      <c r="AR537" s="4" t="s">
        <v>187</v>
      </c>
      <c r="AS537" s="4" t="s">
        <v>187</v>
      </c>
      <c r="AT537" s="4" t="s">
        <v>187</v>
      </c>
      <c r="AU537" s="4" t="s">
        <v>187</v>
      </c>
      <c r="AV537" s="4" t="s">
        <v>186</v>
      </c>
      <c r="AW537" s="4" t="s">
        <v>186</v>
      </c>
      <c r="AX537" s="4" t="s">
        <v>186</v>
      </c>
      <c r="AY537" s="4" t="s">
        <v>186</v>
      </c>
      <c r="AZ537" s="4" t="s">
        <v>186</v>
      </c>
      <c r="BA537" s="4" t="s">
        <v>186</v>
      </c>
      <c r="BC537" s="4">
        <v>82252065733</v>
      </c>
      <c r="BD537" s="4">
        <v>82238175040</v>
      </c>
      <c r="BE537" s="4">
        <v>82386068992</v>
      </c>
      <c r="BF537" s="4">
        <v>82252566665</v>
      </c>
      <c r="BG537" s="4">
        <v>89636571073</v>
      </c>
      <c r="BH537" s="4">
        <v>812241716194</v>
      </c>
      <c r="BI537" s="4">
        <v>895605615519</v>
      </c>
      <c r="BJ537" s="4">
        <v>89648649254</v>
      </c>
      <c r="BK537" s="4">
        <v>895360941546</v>
      </c>
      <c r="BL537" s="4">
        <v>8618077124669</v>
      </c>
      <c r="BM537" s="4">
        <v>8618587811351</v>
      </c>
      <c r="BO537" s="71">
        <v>60191217</v>
      </c>
      <c r="BP537" s="18" t="s">
        <v>7154</v>
      </c>
      <c r="BQ537" s="37">
        <v>45065</v>
      </c>
      <c r="BR537" s="8">
        <f t="shared" si="2"/>
        <v>11</v>
      </c>
    </row>
    <row r="538" spans="1:70" ht="14">
      <c r="A538" s="4" t="str">
        <v>Alternatif Periode ke-87 IV.A.2</v>
      </c>
      <c r="B538" s="4" t="s">
        <v>6750</v>
      </c>
      <c r="C538" s="4" t="s">
        <v>1088</v>
      </c>
      <c r="D538" s="4" t="s">
        <v>810</v>
      </c>
      <c r="E538" s="4" t="s">
        <v>825</v>
      </c>
      <c r="F538" s="4" t="s">
        <v>520</v>
      </c>
      <c r="G538" s="52" t="s">
        <v>7155</v>
      </c>
      <c r="H538" s="52" t="s">
        <v>7156</v>
      </c>
      <c r="I538" s="52" t="s">
        <v>7157</v>
      </c>
      <c r="J538" s="52" t="s">
        <v>7158</v>
      </c>
      <c r="K538" s="52" t="s">
        <v>7159</v>
      </c>
      <c r="L538" s="52" t="s">
        <v>7160</v>
      </c>
      <c r="M538" s="52" t="s">
        <v>7161</v>
      </c>
      <c r="N538" s="52" t="s">
        <v>7162</v>
      </c>
      <c r="O538" s="52" t="s">
        <v>7163</v>
      </c>
      <c r="S538" s="4">
        <v>1600013248</v>
      </c>
      <c r="T538" s="4">
        <v>1800024371</v>
      </c>
      <c r="U538" s="4">
        <v>1800030047</v>
      </c>
      <c r="V538" s="4">
        <v>1900002019</v>
      </c>
      <c r="W538" s="4">
        <v>1900005190</v>
      </c>
      <c r="X538" s="4">
        <v>1900014015</v>
      </c>
      <c r="Y538" s="4">
        <v>1900029287</v>
      </c>
      <c r="Z538" s="4">
        <v>2000031193</v>
      </c>
      <c r="AA538" s="4">
        <v>2011006026</v>
      </c>
      <c r="AE538" s="4" t="s">
        <v>677</v>
      </c>
      <c r="AF538" s="4" t="s">
        <v>924</v>
      </c>
      <c r="AG538" s="4" t="s">
        <v>184</v>
      </c>
      <c r="AH538" s="4" t="s">
        <v>1043</v>
      </c>
      <c r="AI538" s="4" t="s">
        <v>181</v>
      </c>
      <c r="AJ538" s="4" t="s">
        <v>770</v>
      </c>
      <c r="AK538" s="4" t="s">
        <v>533</v>
      </c>
      <c r="AL538" s="4" t="s">
        <v>185</v>
      </c>
      <c r="AM538" s="4" t="s">
        <v>745</v>
      </c>
      <c r="AQ538" s="4" t="s">
        <v>187</v>
      </c>
      <c r="AR538" s="4" t="s">
        <v>187</v>
      </c>
      <c r="AS538" s="4" t="s">
        <v>187</v>
      </c>
      <c r="AT538" s="4" t="s">
        <v>186</v>
      </c>
      <c r="AU538" s="4" t="s">
        <v>187</v>
      </c>
      <c r="AV538" s="4" t="s">
        <v>186</v>
      </c>
      <c r="AW538" s="4" t="s">
        <v>186</v>
      </c>
      <c r="AX538" s="4" t="s">
        <v>186</v>
      </c>
      <c r="AY538" s="4" t="s">
        <v>186</v>
      </c>
      <c r="BC538" s="4">
        <v>82251295774</v>
      </c>
      <c r="BD538" s="4">
        <v>87826489888</v>
      </c>
      <c r="BE538" s="4">
        <v>85349794242</v>
      </c>
      <c r="BF538" s="4">
        <v>82136801078</v>
      </c>
      <c r="BG538" s="4">
        <v>81367343371</v>
      </c>
      <c r="BH538" s="4">
        <v>88221808359</v>
      </c>
      <c r="BI538" s="4">
        <v>83121659370</v>
      </c>
      <c r="BJ538" s="4">
        <v>88233794812</v>
      </c>
      <c r="BK538" s="4">
        <v>83862863538</v>
      </c>
      <c r="BO538" s="71">
        <v>60191217</v>
      </c>
      <c r="BP538" s="18" t="s">
        <v>7164</v>
      </c>
      <c r="BQ538" s="37">
        <v>45065</v>
      </c>
      <c r="BR538" s="8">
        <f t="shared" si="2"/>
        <v>9</v>
      </c>
    </row>
    <row r="539" spans="1:70" ht="14">
      <c r="A539" s="4" t="str">
        <v>Alternatif Periode ke-87 IV.A.3</v>
      </c>
      <c r="B539" s="4" t="s">
        <v>6750</v>
      </c>
      <c r="C539" s="4" t="s">
        <v>1100</v>
      </c>
      <c r="D539" s="4" t="s">
        <v>810</v>
      </c>
      <c r="E539" s="4" t="s">
        <v>837</v>
      </c>
      <c r="F539" s="4" t="s">
        <v>520</v>
      </c>
      <c r="G539" s="52" t="s">
        <v>7165</v>
      </c>
      <c r="H539" s="52" t="s">
        <v>7166</v>
      </c>
      <c r="I539" s="52" t="s">
        <v>7167</v>
      </c>
      <c r="J539" s="52" t="s">
        <v>7168</v>
      </c>
      <c r="K539" s="52" t="s">
        <v>7169</v>
      </c>
      <c r="L539" s="52" t="s">
        <v>7170</v>
      </c>
      <c r="M539" s="52" t="s">
        <v>7171</v>
      </c>
      <c r="N539" s="52" t="s">
        <v>7172</v>
      </c>
      <c r="O539" s="52" t="s">
        <v>7173</v>
      </c>
      <c r="S539" s="4">
        <v>1600013360</v>
      </c>
      <c r="T539" s="4">
        <v>1700031046</v>
      </c>
      <c r="U539" s="4">
        <v>1800015024</v>
      </c>
      <c r="V539" s="4">
        <v>1900003009</v>
      </c>
      <c r="W539" s="4">
        <v>1900024132</v>
      </c>
      <c r="X539" s="4">
        <v>1900029161</v>
      </c>
      <c r="Y539" s="4">
        <v>1900030233</v>
      </c>
      <c r="Z539" s="4">
        <v>2000006014</v>
      </c>
      <c r="AA539" s="4">
        <v>2000006058</v>
      </c>
      <c r="AE539" s="4" t="s">
        <v>677</v>
      </c>
      <c r="AF539" s="4" t="s">
        <v>185</v>
      </c>
      <c r="AG539" s="4" t="s">
        <v>937</v>
      </c>
      <c r="AH539" s="4" t="s">
        <v>178</v>
      </c>
      <c r="AI539" s="4" t="s">
        <v>924</v>
      </c>
      <c r="AJ539" s="4" t="s">
        <v>533</v>
      </c>
      <c r="AK539" s="4" t="s">
        <v>184</v>
      </c>
      <c r="AL539" s="4" t="s">
        <v>745</v>
      </c>
      <c r="AM539" s="4" t="s">
        <v>745</v>
      </c>
      <c r="AQ539" s="4" t="s">
        <v>187</v>
      </c>
      <c r="AR539" s="4" t="s">
        <v>186</v>
      </c>
      <c r="AS539" s="4" t="s">
        <v>186</v>
      </c>
      <c r="AT539" s="4" t="s">
        <v>186</v>
      </c>
      <c r="AU539" s="4" t="s">
        <v>187</v>
      </c>
      <c r="AV539" s="4" t="s">
        <v>186</v>
      </c>
      <c r="AW539" s="4" t="s">
        <v>187</v>
      </c>
      <c r="AX539" s="4" t="s">
        <v>187</v>
      </c>
      <c r="AY539" s="4" t="s">
        <v>186</v>
      </c>
      <c r="BC539" s="4">
        <v>82351369918</v>
      </c>
      <c r="BD539" s="4">
        <v>895363500217</v>
      </c>
      <c r="BE539" s="4">
        <v>81370749199</v>
      </c>
      <c r="BF539" s="4">
        <v>81228058655</v>
      </c>
      <c r="BG539" s="4">
        <v>83125632097</v>
      </c>
      <c r="BH539" s="4">
        <v>81235580841</v>
      </c>
      <c r="BI539" s="4">
        <v>81333149521</v>
      </c>
      <c r="BJ539" s="4">
        <v>81225900806</v>
      </c>
      <c r="BK539" s="4">
        <v>87802438255</v>
      </c>
      <c r="BO539" s="71">
        <v>60191217</v>
      </c>
      <c r="BP539" s="18" t="s">
        <v>7174</v>
      </c>
      <c r="BQ539" s="37">
        <v>45065</v>
      </c>
      <c r="BR539" s="8">
        <f t="shared" si="2"/>
        <v>9</v>
      </c>
    </row>
    <row r="540" spans="1:70" ht="14">
      <c r="A540" s="4" t="str">
        <v>Alternatif Periode ke-87 IV.B.1</v>
      </c>
      <c r="B540" s="4" t="s">
        <v>6750</v>
      </c>
      <c r="C540" s="4" t="s">
        <v>1114</v>
      </c>
      <c r="D540" s="4" t="s">
        <v>849</v>
      </c>
      <c r="E540" s="4" t="s">
        <v>850</v>
      </c>
      <c r="F540" s="4" t="s">
        <v>520</v>
      </c>
      <c r="G540" s="52" t="s">
        <v>7175</v>
      </c>
      <c r="H540" s="52" t="s">
        <v>7176</v>
      </c>
      <c r="I540" s="52" t="s">
        <v>7177</v>
      </c>
      <c r="J540" s="52" t="s">
        <v>7178</v>
      </c>
      <c r="K540" s="52" t="s">
        <v>7179</v>
      </c>
      <c r="L540" s="52" t="s">
        <v>7180</v>
      </c>
      <c r="M540" s="52" t="s">
        <v>7181</v>
      </c>
      <c r="N540" s="52" t="s">
        <v>7182</v>
      </c>
      <c r="O540" s="52" t="s">
        <v>7183</v>
      </c>
      <c r="P540" s="52" t="s">
        <v>7184</v>
      </c>
      <c r="Q540" s="52" t="s">
        <v>7185</v>
      </c>
      <c r="S540" s="4">
        <v>1600008172</v>
      </c>
      <c r="T540" s="4">
        <v>1900003045</v>
      </c>
      <c r="U540" s="4">
        <v>1900016009</v>
      </c>
      <c r="V540" s="4">
        <v>1900024227</v>
      </c>
      <c r="W540" s="4">
        <v>1900030203</v>
      </c>
      <c r="X540" s="4">
        <v>2000006054</v>
      </c>
      <c r="Y540" s="4">
        <v>2000013304</v>
      </c>
      <c r="Z540" s="4">
        <v>2000029004</v>
      </c>
      <c r="AA540" s="4">
        <v>2000031272</v>
      </c>
      <c r="AB540" s="4">
        <v>2123025111</v>
      </c>
      <c r="AC540" s="4">
        <v>2123025112</v>
      </c>
      <c r="AE540" s="4" t="s">
        <v>1111</v>
      </c>
      <c r="AF540" s="4" t="s">
        <v>178</v>
      </c>
      <c r="AG540" s="4" t="s">
        <v>531</v>
      </c>
      <c r="AH540" s="4" t="s">
        <v>924</v>
      </c>
      <c r="AI540" s="4" t="s">
        <v>184</v>
      </c>
      <c r="AJ540" s="4" t="s">
        <v>745</v>
      </c>
      <c r="AK540" s="4" t="s">
        <v>677</v>
      </c>
      <c r="AL540" s="4" t="s">
        <v>533</v>
      </c>
      <c r="AM540" s="4" t="s">
        <v>185</v>
      </c>
      <c r="AN540" s="4" t="s">
        <v>1168</v>
      </c>
      <c r="AO540" s="4" t="s">
        <v>1168</v>
      </c>
      <c r="AQ540" s="4" t="s">
        <v>187</v>
      </c>
      <c r="AR540" s="4" t="s">
        <v>186</v>
      </c>
      <c r="AS540" s="4" t="s">
        <v>186</v>
      </c>
      <c r="AT540" s="4" t="s">
        <v>187</v>
      </c>
      <c r="AU540" s="4" t="s">
        <v>187</v>
      </c>
      <c r="AV540" s="4" t="s">
        <v>186</v>
      </c>
      <c r="AW540" s="4" t="s">
        <v>187</v>
      </c>
      <c r="AX540" s="4" t="s">
        <v>186</v>
      </c>
      <c r="AY540" s="4" t="s">
        <v>186</v>
      </c>
      <c r="AZ540" s="4" t="s">
        <v>186</v>
      </c>
      <c r="BA540" s="4" t="s">
        <v>187</v>
      </c>
      <c r="BC540" s="4">
        <v>85789633960</v>
      </c>
      <c r="BD540" s="4">
        <v>81259387838</v>
      </c>
      <c r="BE540" s="4">
        <v>81383846367</v>
      </c>
      <c r="BF540" s="4">
        <v>89506451384</v>
      </c>
      <c r="BG540" s="4">
        <v>82226121515</v>
      </c>
      <c r="BH540" s="4">
        <v>895377219920</v>
      </c>
      <c r="BI540" s="4">
        <v>88233304966</v>
      </c>
      <c r="BJ540" s="4">
        <v>81378120780</v>
      </c>
      <c r="BK540" s="4">
        <v>83168059214</v>
      </c>
      <c r="BL540" s="4">
        <v>8618894890872</v>
      </c>
      <c r="BM540" s="4">
        <v>861858984618</v>
      </c>
      <c r="BO540" s="71">
        <v>60160976</v>
      </c>
      <c r="BP540" s="18" t="s">
        <v>7186</v>
      </c>
      <c r="BQ540" s="37">
        <v>45065</v>
      </c>
      <c r="BR540" s="8">
        <f t="shared" si="2"/>
        <v>11</v>
      </c>
    </row>
    <row r="541" spans="1:70" ht="14">
      <c r="A541" s="4" t="str">
        <v>Alternatif Periode ke-87 IV.B.2</v>
      </c>
      <c r="B541" s="4" t="s">
        <v>6750</v>
      </c>
      <c r="C541" s="4" t="s">
        <v>1136</v>
      </c>
      <c r="D541" s="4" t="s">
        <v>849</v>
      </c>
      <c r="E541" s="4" t="s">
        <v>862</v>
      </c>
      <c r="F541" s="4" t="s">
        <v>520</v>
      </c>
      <c r="G541" s="52" t="s">
        <v>7187</v>
      </c>
      <c r="H541" s="52" t="s">
        <v>7188</v>
      </c>
      <c r="I541" s="52" t="s">
        <v>5835</v>
      </c>
      <c r="J541" s="52" t="s">
        <v>7189</v>
      </c>
      <c r="K541" s="52" t="s">
        <v>7190</v>
      </c>
      <c r="L541" s="52" t="s">
        <v>7191</v>
      </c>
      <c r="M541" s="52" t="s">
        <v>7192</v>
      </c>
      <c r="N541" s="52" t="s">
        <v>7193</v>
      </c>
      <c r="O541" s="52" t="s">
        <v>7194</v>
      </c>
      <c r="S541" s="4">
        <v>1800030268</v>
      </c>
      <c r="T541" s="4">
        <v>1900008044</v>
      </c>
      <c r="U541" s="4">
        <v>1900013351</v>
      </c>
      <c r="V541" s="4">
        <v>1900016068</v>
      </c>
      <c r="W541" s="4">
        <v>1900024234</v>
      </c>
      <c r="X541" s="4">
        <v>2000003034</v>
      </c>
      <c r="Y541" s="4">
        <v>2000006004</v>
      </c>
      <c r="Z541" s="4">
        <v>2000029193</v>
      </c>
      <c r="AA541" s="4">
        <v>2000031188</v>
      </c>
      <c r="AE541" s="4" t="s">
        <v>184</v>
      </c>
      <c r="AF541" s="4" t="s">
        <v>1111</v>
      </c>
      <c r="AG541" s="4" t="s">
        <v>677</v>
      </c>
      <c r="AH541" s="4" t="s">
        <v>531</v>
      </c>
      <c r="AI541" s="4" t="s">
        <v>924</v>
      </c>
      <c r="AJ541" s="4" t="s">
        <v>178</v>
      </c>
      <c r="AK541" s="4" t="s">
        <v>745</v>
      </c>
      <c r="AL541" s="4" t="s">
        <v>533</v>
      </c>
      <c r="AM541" s="4" t="s">
        <v>185</v>
      </c>
      <c r="AQ541" s="4" t="s">
        <v>187</v>
      </c>
      <c r="AR541" s="4" t="s">
        <v>187</v>
      </c>
      <c r="AS541" s="4" t="s">
        <v>187</v>
      </c>
      <c r="AT541" s="4" t="s">
        <v>186</v>
      </c>
      <c r="AU541" s="4" t="s">
        <v>187</v>
      </c>
      <c r="AV541" s="4" t="s">
        <v>186</v>
      </c>
      <c r="AW541" s="4" t="s">
        <v>186</v>
      </c>
      <c r="AX541" s="4" t="s">
        <v>186</v>
      </c>
      <c r="AY541" s="4" t="s">
        <v>186</v>
      </c>
      <c r="BC541" s="4">
        <v>81356944097</v>
      </c>
      <c r="BD541" s="4">
        <v>82177466180</v>
      </c>
      <c r="BE541" s="4">
        <v>81229090863</v>
      </c>
      <c r="BF541" s="4">
        <v>895410867872</v>
      </c>
      <c r="BG541" s="4">
        <v>85339483294</v>
      </c>
      <c r="BH541" s="4">
        <v>82138049515</v>
      </c>
      <c r="BI541" s="4">
        <v>87867154738</v>
      </c>
      <c r="BJ541" s="4">
        <v>82246740581</v>
      </c>
      <c r="BK541" s="4">
        <v>895363316318</v>
      </c>
      <c r="BO541" s="71">
        <v>60160976</v>
      </c>
      <c r="BP541" s="18" t="s">
        <v>7195</v>
      </c>
      <c r="BQ541" s="37">
        <v>45065</v>
      </c>
      <c r="BR541" s="8">
        <f t="shared" si="2"/>
        <v>9</v>
      </c>
    </row>
    <row r="542" spans="1:70" ht="14">
      <c r="A542" s="4" t="str">
        <v>Alternatif Periode ke-87 IV.B.3</v>
      </c>
      <c r="B542" s="4" t="s">
        <v>6750</v>
      </c>
      <c r="C542" s="4" t="s">
        <v>1157</v>
      </c>
      <c r="D542" s="4" t="s">
        <v>849</v>
      </c>
      <c r="E542" s="4" t="s">
        <v>875</v>
      </c>
      <c r="F542" s="4" t="s">
        <v>520</v>
      </c>
      <c r="G542" s="52" t="s">
        <v>7196</v>
      </c>
      <c r="H542" s="52" t="s">
        <v>7197</v>
      </c>
      <c r="I542" s="52" t="s">
        <v>7198</v>
      </c>
      <c r="J542" s="52" t="s">
        <v>7199</v>
      </c>
      <c r="K542" s="52" t="s">
        <v>5933</v>
      </c>
      <c r="L542" s="52" t="s">
        <v>7200</v>
      </c>
      <c r="M542" s="52" t="s">
        <v>7201</v>
      </c>
      <c r="N542" s="52" t="s">
        <v>7202</v>
      </c>
      <c r="S542" s="4">
        <v>1700024113</v>
      </c>
      <c r="T542" s="4">
        <v>1800029341</v>
      </c>
      <c r="U542" s="4">
        <v>1900007024</v>
      </c>
      <c r="V542" s="4">
        <v>1900008034</v>
      </c>
      <c r="W542" s="4">
        <v>1900013396</v>
      </c>
      <c r="X542" s="4">
        <v>1900017042</v>
      </c>
      <c r="Y542" s="4">
        <v>1900030076</v>
      </c>
      <c r="Z542" s="4">
        <v>1900031222</v>
      </c>
      <c r="AE542" s="4" t="s">
        <v>924</v>
      </c>
      <c r="AF542" s="4" t="s">
        <v>533</v>
      </c>
      <c r="AG542" s="4" t="s">
        <v>1021</v>
      </c>
      <c r="AH542" s="4" t="s">
        <v>1111</v>
      </c>
      <c r="AI542" s="4" t="s">
        <v>677</v>
      </c>
      <c r="AJ542" s="4" t="s">
        <v>183</v>
      </c>
      <c r="AK542" s="4" t="s">
        <v>184</v>
      </c>
      <c r="AL542" s="4" t="s">
        <v>185</v>
      </c>
      <c r="AQ542" s="4" t="s">
        <v>187</v>
      </c>
      <c r="AR542" s="4" t="s">
        <v>186</v>
      </c>
      <c r="AS542" s="4" t="s">
        <v>186</v>
      </c>
      <c r="AT542" s="4" t="s">
        <v>187</v>
      </c>
      <c r="AU542" s="4" t="s">
        <v>187</v>
      </c>
      <c r="AV542" s="4" t="s">
        <v>186</v>
      </c>
      <c r="AW542" s="4" t="s">
        <v>187</v>
      </c>
      <c r="AX542" s="4" t="s">
        <v>186</v>
      </c>
      <c r="BC542" s="4">
        <v>81904067050</v>
      </c>
      <c r="BD542" s="4">
        <v>82250484345</v>
      </c>
      <c r="BE542" s="4">
        <v>81231562303</v>
      </c>
      <c r="BF542" s="4">
        <v>83169723261</v>
      </c>
      <c r="BG542" s="4">
        <v>895807058200</v>
      </c>
      <c r="BH542" s="4">
        <v>85654725252</v>
      </c>
      <c r="BI542" s="4">
        <v>882006756080</v>
      </c>
      <c r="BJ542" s="4">
        <v>89637717103</v>
      </c>
      <c r="BO542" s="71">
        <v>60160976</v>
      </c>
      <c r="BP542" s="18" t="s">
        <v>7203</v>
      </c>
      <c r="BQ542" s="37">
        <v>45065</v>
      </c>
      <c r="BR542" s="8">
        <f t="shared" si="2"/>
        <v>8</v>
      </c>
    </row>
    <row r="543" spans="1:70" ht="14">
      <c r="A543" s="4" t="str">
        <v>Alternatif Periode ke-87 IV.C.1</v>
      </c>
      <c r="B543" s="4" t="s">
        <v>6750</v>
      </c>
      <c r="C543" s="4" t="s">
        <v>1179</v>
      </c>
      <c r="D543" s="4" t="s">
        <v>288</v>
      </c>
      <c r="E543" s="4" t="s">
        <v>888</v>
      </c>
      <c r="F543" s="4" t="s">
        <v>520</v>
      </c>
      <c r="G543" s="52" t="s">
        <v>7204</v>
      </c>
      <c r="H543" s="52" t="s">
        <v>7205</v>
      </c>
      <c r="I543" s="52" t="s">
        <v>7206</v>
      </c>
      <c r="J543" s="52" t="s">
        <v>7207</v>
      </c>
      <c r="K543" s="52" t="s">
        <v>7208</v>
      </c>
      <c r="L543" s="52" t="s">
        <v>7209</v>
      </c>
      <c r="M543" s="52" t="s">
        <v>7210</v>
      </c>
      <c r="N543" s="52" t="s">
        <v>7211</v>
      </c>
      <c r="O543" s="52" t="s">
        <v>7212</v>
      </c>
      <c r="P543" s="52" t="s">
        <v>7213</v>
      </c>
      <c r="Q543" s="52" t="s">
        <v>7214</v>
      </c>
      <c r="S543" s="4">
        <v>1900003146</v>
      </c>
      <c r="T543" s="4">
        <v>1900017030</v>
      </c>
      <c r="U543" s="4">
        <v>1900024365</v>
      </c>
      <c r="V543" s="4">
        <v>1900029004</v>
      </c>
      <c r="W543" s="4">
        <v>1900030412</v>
      </c>
      <c r="X543" s="4">
        <v>2000009004</v>
      </c>
      <c r="Y543" s="4">
        <v>2000009019</v>
      </c>
      <c r="Z543" s="4">
        <v>2000013343</v>
      </c>
      <c r="AA543" s="4">
        <v>2000031072</v>
      </c>
      <c r="AB543" s="4">
        <v>2123025113</v>
      </c>
      <c r="AC543" s="4">
        <v>2123025115</v>
      </c>
      <c r="AE543" s="4" t="s">
        <v>178</v>
      </c>
      <c r="AF543" s="4" t="s">
        <v>183</v>
      </c>
      <c r="AG543" s="4" t="s">
        <v>924</v>
      </c>
      <c r="AH543" s="4" t="s">
        <v>533</v>
      </c>
      <c r="AI543" s="4" t="s">
        <v>184</v>
      </c>
      <c r="AJ543" s="4" t="s">
        <v>952</v>
      </c>
      <c r="AK543" s="4" t="s">
        <v>952</v>
      </c>
      <c r="AL543" s="4" t="s">
        <v>677</v>
      </c>
      <c r="AM543" s="4" t="s">
        <v>185</v>
      </c>
      <c r="AN543" s="4" t="s">
        <v>1168</v>
      </c>
      <c r="AO543" s="4" t="s">
        <v>1168</v>
      </c>
      <c r="AQ543" s="4" t="s">
        <v>186</v>
      </c>
      <c r="AR543" s="4" t="s">
        <v>186</v>
      </c>
      <c r="AS543" s="4" t="s">
        <v>187</v>
      </c>
      <c r="AT543" s="4" t="s">
        <v>186</v>
      </c>
      <c r="AU543" s="4" t="s">
        <v>187</v>
      </c>
      <c r="AV543" s="4" t="s">
        <v>186</v>
      </c>
      <c r="AW543" s="4" t="s">
        <v>187</v>
      </c>
      <c r="AX543" s="4" t="s">
        <v>187</v>
      </c>
      <c r="AY543" s="4" t="s">
        <v>186</v>
      </c>
      <c r="AZ543" s="4" t="s">
        <v>186</v>
      </c>
      <c r="BA543" s="4" t="s">
        <v>186</v>
      </c>
      <c r="BC543" s="4">
        <v>85783280085</v>
      </c>
      <c r="BD543" s="4">
        <v>89624579330</v>
      </c>
      <c r="BE543" s="4">
        <v>81390387397</v>
      </c>
      <c r="BF543" s="4">
        <v>82179476055</v>
      </c>
      <c r="BG543" s="4">
        <v>82151681861</v>
      </c>
      <c r="BH543" s="4">
        <v>8882404008</v>
      </c>
      <c r="BI543" s="4">
        <v>81915558422</v>
      </c>
      <c r="BJ543" s="4">
        <v>8953600365151</v>
      </c>
      <c r="BK543" s="4">
        <v>82340838679</v>
      </c>
      <c r="BL543" s="4">
        <v>8613627810312</v>
      </c>
      <c r="BM543" s="4">
        <v>8613123510267</v>
      </c>
      <c r="BO543" s="71">
        <v>60150805</v>
      </c>
      <c r="BP543" s="18" t="s">
        <v>7215</v>
      </c>
      <c r="BQ543" s="37">
        <v>45065</v>
      </c>
      <c r="BR543" s="8">
        <f t="shared" si="2"/>
        <v>11</v>
      </c>
    </row>
    <row r="544" spans="1:70" ht="14">
      <c r="A544" s="4" t="str">
        <v>Alternatif Periode ke-87 IV.C.2</v>
      </c>
      <c r="B544" s="4" t="s">
        <v>6750</v>
      </c>
      <c r="C544" s="4" t="s">
        <v>1201</v>
      </c>
      <c r="D544" s="4" t="s">
        <v>288</v>
      </c>
      <c r="E544" s="4" t="s">
        <v>902</v>
      </c>
      <c r="F544" s="4" t="s">
        <v>520</v>
      </c>
      <c r="G544" s="52" t="s">
        <v>7216</v>
      </c>
      <c r="H544" s="52" t="s">
        <v>7217</v>
      </c>
      <c r="I544" s="52" t="s">
        <v>7218</v>
      </c>
      <c r="J544" s="52" t="s">
        <v>7219</v>
      </c>
      <c r="K544" s="52" t="s">
        <v>7220</v>
      </c>
      <c r="L544" s="52" t="s">
        <v>7221</v>
      </c>
      <c r="M544" s="52" t="s">
        <v>7222</v>
      </c>
      <c r="N544" s="52" t="s">
        <v>7223</v>
      </c>
      <c r="O544" s="52" t="s">
        <v>7224</v>
      </c>
      <c r="S544" s="4">
        <v>1600013361</v>
      </c>
      <c r="T544" s="4">
        <v>1800024171</v>
      </c>
      <c r="U544" s="4">
        <v>1800031244</v>
      </c>
      <c r="V544" s="4">
        <v>1900029021</v>
      </c>
      <c r="W544" s="4">
        <v>2000003026</v>
      </c>
      <c r="X544" s="4">
        <v>2000009024</v>
      </c>
      <c r="Y544" s="4">
        <v>2000009027</v>
      </c>
      <c r="Z544" s="4">
        <v>2000031119</v>
      </c>
      <c r="AA544" s="4">
        <v>2011017040</v>
      </c>
      <c r="AE544" s="4" t="s">
        <v>677</v>
      </c>
      <c r="AF544" s="4" t="s">
        <v>924</v>
      </c>
      <c r="AG544" s="4" t="s">
        <v>185</v>
      </c>
      <c r="AH544" s="4" t="s">
        <v>533</v>
      </c>
      <c r="AI544" s="4" t="s">
        <v>178</v>
      </c>
      <c r="AJ544" s="4" t="s">
        <v>952</v>
      </c>
      <c r="AK544" s="4" t="s">
        <v>952</v>
      </c>
      <c r="AL544" s="4" t="s">
        <v>185</v>
      </c>
      <c r="AM544" s="4" t="s">
        <v>183</v>
      </c>
      <c r="AQ544" s="4" t="s">
        <v>187</v>
      </c>
      <c r="AR544" s="4" t="s">
        <v>187</v>
      </c>
      <c r="AS544" s="4" t="s">
        <v>186</v>
      </c>
      <c r="AT544" s="4" t="s">
        <v>186</v>
      </c>
      <c r="AU544" s="4" t="s">
        <v>186</v>
      </c>
      <c r="AV544" s="4" t="s">
        <v>186</v>
      </c>
      <c r="AW544" s="4" t="s">
        <v>187</v>
      </c>
      <c r="AX544" s="4" t="s">
        <v>187</v>
      </c>
      <c r="AY544" s="4" t="s">
        <v>186</v>
      </c>
      <c r="BC544" s="4">
        <v>87740901520</v>
      </c>
      <c r="BD544" s="4">
        <v>81344592726</v>
      </c>
      <c r="BE544" s="4">
        <v>83131946549</v>
      </c>
      <c r="BF544" s="4">
        <v>81521906734</v>
      </c>
      <c r="BG544" s="4">
        <v>85293117255</v>
      </c>
      <c r="BH544" s="4">
        <v>895635134582</v>
      </c>
      <c r="BI544" s="4">
        <v>81391586293</v>
      </c>
      <c r="BJ544" s="4">
        <v>82135665635</v>
      </c>
      <c r="BK544" s="4">
        <v>85779450486</v>
      </c>
      <c r="BO544" s="71">
        <v>60150805</v>
      </c>
      <c r="BP544" s="18" t="s">
        <v>7225</v>
      </c>
      <c r="BQ544" s="37">
        <v>45065</v>
      </c>
      <c r="BR544" s="8">
        <f t="shared" si="2"/>
        <v>9</v>
      </c>
    </row>
    <row r="545" spans="1:70" ht="14">
      <c r="A545" s="4" t="str">
        <v>Alternatif Periode ke-87 IV.C.3</v>
      </c>
      <c r="B545" s="4" t="s">
        <v>6750</v>
      </c>
      <c r="C545" s="4" t="s">
        <v>1222</v>
      </c>
      <c r="D545" s="4" t="s">
        <v>288</v>
      </c>
      <c r="E545" s="4" t="s">
        <v>914</v>
      </c>
      <c r="F545" s="4" t="s">
        <v>520</v>
      </c>
      <c r="G545" s="52" t="s">
        <v>7226</v>
      </c>
      <c r="H545" s="52" t="s">
        <v>7227</v>
      </c>
      <c r="I545" s="52" t="s">
        <v>7228</v>
      </c>
      <c r="J545" s="52" t="s">
        <v>7229</v>
      </c>
      <c r="K545" s="52" t="s">
        <v>7230</v>
      </c>
      <c r="L545" s="52" t="s">
        <v>7231</v>
      </c>
      <c r="M545" s="52" t="s">
        <v>7232</v>
      </c>
      <c r="N545" s="52" t="s">
        <v>7233</v>
      </c>
      <c r="O545" s="52" t="s">
        <v>7234</v>
      </c>
      <c r="S545" s="4">
        <v>1600024243</v>
      </c>
      <c r="T545" s="4">
        <v>1600029157</v>
      </c>
      <c r="U545" s="4">
        <v>1800013238</v>
      </c>
      <c r="V545" s="4">
        <v>1800031164</v>
      </c>
      <c r="W545" s="4">
        <v>1800032166</v>
      </c>
      <c r="X545" s="4">
        <v>1900018013</v>
      </c>
      <c r="Y545" s="4">
        <v>2000003036</v>
      </c>
      <c r="Z545" s="4">
        <v>2000009006</v>
      </c>
      <c r="AA545" s="4">
        <v>2000009023</v>
      </c>
      <c r="AE545" s="4" t="s">
        <v>924</v>
      </c>
      <c r="AF545" s="4" t="s">
        <v>533</v>
      </c>
      <c r="AG545" s="4" t="s">
        <v>677</v>
      </c>
      <c r="AH545" s="4" t="s">
        <v>185</v>
      </c>
      <c r="AI545" s="4" t="s">
        <v>732</v>
      </c>
      <c r="AJ545" s="4" t="s">
        <v>179</v>
      </c>
      <c r="AK545" s="4" t="s">
        <v>178</v>
      </c>
      <c r="AL545" s="4" t="s">
        <v>952</v>
      </c>
      <c r="AM545" s="4" t="s">
        <v>952</v>
      </c>
      <c r="AQ545" s="4" t="s">
        <v>187</v>
      </c>
      <c r="AR545" s="4" t="s">
        <v>186</v>
      </c>
      <c r="AS545" s="4" t="s">
        <v>187</v>
      </c>
      <c r="AT545" s="4" t="s">
        <v>187</v>
      </c>
      <c r="AU545" s="4" t="s">
        <v>186</v>
      </c>
      <c r="AV545" s="4" t="s">
        <v>186</v>
      </c>
      <c r="AW545" s="4" t="s">
        <v>186</v>
      </c>
      <c r="AX545" s="4" t="s">
        <v>187</v>
      </c>
      <c r="AY545" s="4" t="s">
        <v>186</v>
      </c>
      <c r="BC545" s="4">
        <v>85865601710</v>
      </c>
      <c r="BD545" s="4">
        <v>85934267126</v>
      </c>
      <c r="BE545" s="4">
        <v>82324641318</v>
      </c>
      <c r="BF545" s="4">
        <v>81328267856</v>
      </c>
      <c r="BG545" s="4">
        <v>82133766705</v>
      </c>
      <c r="BH545" s="4">
        <v>89661326274</v>
      </c>
      <c r="BI545" s="4">
        <v>85883289637</v>
      </c>
      <c r="BJ545" s="4">
        <v>82247477160</v>
      </c>
      <c r="BK545" s="4">
        <v>82268772526</v>
      </c>
      <c r="BO545" s="71">
        <v>60150805</v>
      </c>
      <c r="BP545" s="18" t="s">
        <v>7235</v>
      </c>
      <c r="BQ545" s="37">
        <v>45065</v>
      </c>
      <c r="BR545" s="8">
        <f t="shared" si="2"/>
        <v>9</v>
      </c>
    </row>
    <row r="546" spans="1:70" ht="14">
      <c r="A546" s="4" t="str">
        <v>Alternatif Periode ke-87 IV.D.1</v>
      </c>
      <c r="B546" s="4" t="s">
        <v>6750</v>
      </c>
      <c r="C546" s="4" t="s">
        <v>1243</v>
      </c>
      <c r="D546" s="4" t="s">
        <v>940</v>
      </c>
      <c r="E546" s="4" t="s">
        <v>941</v>
      </c>
      <c r="F546" s="4" t="s">
        <v>520</v>
      </c>
      <c r="G546" s="52" t="s">
        <v>7236</v>
      </c>
      <c r="H546" s="52" t="s">
        <v>7237</v>
      </c>
      <c r="I546" s="52" t="s">
        <v>2731</v>
      </c>
      <c r="J546" s="52" t="s">
        <v>7238</v>
      </c>
      <c r="K546" s="52" t="s">
        <v>7239</v>
      </c>
      <c r="L546" s="52" t="s">
        <v>7240</v>
      </c>
      <c r="M546" s="52" t="s">
        <v>7241</v>
      </c>
      <c r="N546" s="52" t="s">
        <v>7242</v>
      </c>
      <c r="O546" s="52" t="s">
        <v>7243</v>
      </c>
      <c r="P546" s="52" t="s">
        <v>7244</v>
      </c>
      <c r="Q546" s="52" t="s">
        <v>7245</v>
      </c>
      <c r="S546" s="4">
        <v>1800024150</v>
      </c>
      <c r="T546" s="4">
        <v>1900016099</v>
      </c>
      <c r="U546" s="4">
        <v>1900018229</v>
      </c>
      <c r="V546" s="4">
        <v>1900029010</v>
      </c>
      <c r="W546" s="4">
        <v>1900032199</v>
      </c>
      <c r="X546" s="4">
        <v>2000003031</v>
      </c>
      <c r="Y546" s="4">
        <v>2000009012</v>
      </c>
      <c r="Z546" s="4">
        <v>2000009029</v>
      </c>
      <c r="AA546" s="4">
        <v>2000031009</v>
      </c>
      <c r="AB546" s="4">
        <v>2123025095</v>
      </c>
      <c r="AC546" s="4">
        <v>2123025116</v>
      </c>
      <c r="AE546" s="4" t="s">
        <v>924</v>
      </c>
      <c r="AF546" s="4" t="s">
        <v>531</v>
      </c>
      <c r="AG546" s="4" t="s">
        <v>179</v>
      </c>
      <c r="AH546" s="4" t="s">
        <v>533</v>
      </c>
      <c r="AI546" s="4" t="s">
        <v>732</v>
      </c>
      <c r="AJ546" s="4" t="s">
        <v>178</v>
      </c>
      <c r="AK546" s="4" t="s">
        <v>952</v>
      </c>
      <c r="AL546" s="4" t="s">
        <v>952</v>
      </c>
      <c r="AM546" s="4" t="s">
        <v>185</v>
      </c>
      <c r="AN546" s="4" t="s">
        <v>1168</v>
      </c>
      <c r="AO546" s="4" t="s">
        <v>1168</v>
      </c>
      <c r="AQ546" s="4" t="s">
        <v>187</v>
      </c>
      <c r="AR546" s="4" t="s">
        <v>187</v>
      </c>
      <c r="AS546" s="4" t="s">
        <v>186</v>
      </c>
      <c r="AT546" s="4" t="s">
        <v>186</v>
      </c>
      <c r="AU546" s="4" t="s">
        <v>186</v>
      </c>
      <c r="AV546" s="4" t="s">
        <v>186</v>
      </c>
      <c r="AW546" s="4" t="s">
        <v>186</v>
      </c>
      <c r="AX546" s="4" t="s">
        <v>187</v>
      </c>
      <c r="AY546" s="4" t="s">
        <v>187</v>
      </c>
      <c r="AZ546" s="4" t="s">
        <v>186</v>
      </c>
      <c r="BA546" s="4" t="s">
        <v>187</v>
      </c>
      <c r="BC546" s="4">
        <v>81226586115</v>
      </c>
      <c r="BD546" s="4">
        <v>82135446046</v>
      </c>
      <c r="BE546" s="4">
        <v>895395648727</v>
      </c>
      <c r="BF546" s="4">
        <v>85701623336</v>
      </c>
      <c r="BG546" s="4">
        <v>8995305840</v>
      </c>
      <c r="BH546" s="4">
        <v>85801198372</v>
      </c>
      <c r="BI546" s="4">
        <v>83186273841</v>
      </c>
      <c r="BJ546" s="4">
        <v>85788007786</v>
      </c>
      <c r="BK546" s="4">
        <v>85870660569</v>
      </c>
      <c r="BL546" s="4">
        <v>18249907278</v>
      </c>
      <c r="BM546" s="4">
        <v>8617677389462</v>
      </c>
      <c r="BO546" s="71">
        <v>60150790</v>
      </c>
      <c r="BP546" s="18" t="s">
        <v>7246</v>
      </c>
      <c r="BQ546" s="37">
        <v>45065</v>
      </c>
      <c r="BR546" s="8">
        <f t="shared" si="2"/>
        <v>11</v>
      </c>
    </row>
    <row r="547" spans="1:70" ht="14">
      <c r="A547" s="4" t="str">
        <v>Alternatif Periode ke-87 IV.D.2</v>
      </c>
      <c r="B547" s="4" t="s">
        <v>6750</v>
      </c>
      <c r="C547" s="4" t="s">
        <v>1265</v>
      </c>
      <c r="D547" s="4" t="s">
        <v>940</v>
      </c>
      <c r="E547" s="4" t="s">
        <v>956</v>
      </c>
      <c r="F547" s="4" t="s">
        <v>520</v>
      </c>
      <c r="G547" s="52" t="s">
        <v>7247</v>
      </c>
      <c r="H547" s="52" t="s">
        <v>7248</v>
      </c>
      <c r="I547" s="52" t="s">
        <v>7249</v>
      </c>
      <c r="J547" s="52" t="s">
        <v>7250</v>
      </c>
      <c r="K547" s="52" t="s">
        <v>7251</v>
      </c>
      <c r="L547" s="52" t="s">
        <v>7252</v>
      </c>
      <c r="M547" s="52" t="s">
        <v>7253</v>
      </c>
      <c r="N547" s="52" t="s">
        <v>7254</v>
      </c>
      <c r="O547" s="52" t="s">
        <v>7255</v>
      </c>
      <c r="S547" s="4">
        <v>1600029062</v>
      </c>
      <c r="T547" s="4">
        <v>1800010080</v>
      </c>
      <c r="U547" s="4">
        <v>1800016142</v>
      </c>
      <c r="V547" s="4">
        <v>1800032054</v>
      </c>
      <c r="W547" s="4">
        <v>1900004188</v>
      </c>
      <c r="X547" s="4">
        <v>1900019123</v>
      </c>
      <c r="Y547" s="4">
        <v>1900031325</v>
      </c>
      <c r="Z547" s="4">
        <v>2000009032</v>
      </c>
      <c r="AA547" s="4">
        <v>2000025050</v>
      </c>
      <c r="AE547" s="4" t="s">
        <v>533</v>
      </c>
      <c r="AF547" s="4" t="s">
        <v>532</v>
      </c>
      <c r="AG547" s="4" t="s">
        <v>531</v>
      </c>
      <c r="AH547" s="4" t="s">
        <v>732</v>
      </c>
      <c r="AI547" s="4" t="s">
        <v>201</v>
      </c>
      <c r="AJ547" s="4" t="s">
        <v>705</v>
      </c>
      <c r="AK547" s="4" t="s">
        <v>185</v>
      </c>
      <c r="AL547" s="4" t="s">
        <v>952</v>
      </c>
      <c r="AM547" s="4" t="s">
        <v>1168</v>
      </c>
      <c r="AQ547" s="4" t="s">
        <v>186</v>
      </c>
      <c r="AR547" s="4" t="s">
        <v>187</v>
      </c>
      <c r="AS547" s="4" t="s">
        <v>187</v>
      </c>
      <c r="AT547" s="4" t="s">
        <v>186</v>
      </c>
      <c r="AU547" s="4" t="s">
        <v>186</v>
      </c>
      <c r="AV547" s="4" t="s">
        <v>186</v>
      </c>
      <c r="AW547" s="4" t="s">
        <v>187</v>
      </c>
      <c r="AX547" s="4" t="s">
        <v>186</v>
      </c>
      <c r="AY547" s="4" t="s">
        <v>187</v>
      </c>
      <c r="BC547" s="4">
        <v>81215006062</v>
      </c>
      <c r="BD547" s="4">
        <v>81225275924</v>
      </c>
      <c r="BE547" s="4">
        <v>82189050655</v>
      </c>
      <c r="BF547" s="4">
        <v>87856882529</v>
      </c>
      <c r="BG547" s="4">
        <v>85750323038</v>
      </c>
      <c r="BH547" s="4">
        <v>82372960795</v>
      </c>
      <c r="BI547" s="4">
        <v>82281725354</v>
      </c>
      <c r="BJ547" s="4">
        <v>8895687986</v>
      </c>
      <c r="BK547" s="4">
        <v>6287803411942</v>
      </c>
      <c r="BO547" s="71">
        <v>60150790</v>
      </c>
      <c r="BP547" s="18" t="s">
        <v>7256</v>
      </c>
      <c r="BQ547" s="37">
        <v>45065</v>
      </c>
      <c r="BR547" s="8">
        <f t="shared" si="2"/>
        <v>9</v>
      </c>
    </row>
    <row r="548" spans="1:70" ht="14">
      <c r="A548" s="4" t="str">
        <v>Alternatif Periode ke-87 IV.D.3</v>
      </c>
      <c r="B548" s="4" t="s">
        <v>6750</v>
      </c>
      <c r="C548" s="4" t="s">
        <v>1286</v>
      </c>
      <c r="D548" s="4" t="s">
        <v>940</v>
      </c>
      <c r="E548" s="4" t="s">
        <v>968</v>
      </c>
      <c r="F548" s="4" t="s">
        <v>520</v>
      </c>
      <c r="G548" s="52" t="s">
        <v>7257</v>
      </c>
      <c r="H548" s="52" t="s">
        <v>7258</v>
      </c>
      <c r="I548" s="52" t="s">
        <v>7259</v>
      </c>
      <c r="J548" s="52" t="s">
        <v>7260</v>
      </c>
      <c r="K548" s="52" t="s">
        <v>7261</v>
      </c>
      <c r="L548" s="52" t="s">
        <v>7262</v>
      </c>
      <c r="M548" s="52" t="s">
        <v>7263</v>
      </c>
      <c r="N548" s="52" t="s">
        <v>7264</v>
      </c>
      <c r="O548" s="52" t="s">
        <v>7265</v>
      </c>
      <c r="S548" s="4">
        <v>1800010089</v>
      </c>
      <c r="T548" s="4">
        <v>1800032142</v>
      </c>
      <c r="U548" s="4">
        <v>1900004192</v>
      </c>
      <c r="V548" s="4">
        <v>1900016094</v>
      </c>
      <c r="W548" s="4">
        <v>1900025007</v>
      </c>
      <c r="X548" s="4">
        <v>1900031277</v>
      </c>
      <c r="Y548" s="4">
        <v>2000009031</v>
      </c>
      <c r="Z548" s="4">
        <v>2000020036</v>
      </c>
      <c r="AA548" s="4">
        <v>2000029040</v>
      </c>
      <c r="AE548" s="4" t="s">
        <v>532</v>
      </c>
      <c r="AF548" s="4" t="s">
        <v>732</v>
      </c>
      <c r="AG548" s="4" t="s">
        <v>201</v>
      </c>
      <c r="AH548" s="4" t="s">
        <v>531</v>
      </c>
      <c r="AI548" s="4" t="s">
        <v>1168</v>
      </c>
      <c r="AJ548" s="4" t="s">
        <v>185</v>
      </c>
      <c r="AK548" s="4" t="s">
        <v>952</v>
      </c>
      <c r="AL548" s="4" t="s">
        <v>351</v>
      </c>
      <c r="AM548" s="4" t="s">
        <v>533</v>
      </c>
      <c r="AQ548" s="4" t="s">
        <v>187</v>
      </c>
      <c r="AR548" s="4" t="s">
        <v>186</v>
      </c>
      <c r="AS548" s="4" t="s">
        <v>186</v>
      </c>
      <c r="AT548" s="4" t="s">
        <v>187</v>
      </c>
      <c r="AU548" s="4" t="s">
        <v>187</v>
      </c>
      <c r="AV548" s="4" t="s">
        <v>187</v>
      </c>
      <c r="AW548" s="4" t="s">
        <v>186</v>
      </c>
      <c r="AX548" s="4" t="s">
        <v>186</v>
      </c>
      <c r="AY548" s="4" t="s">
        <v>186</v>
      </c>
      <c r="BC548" s="4">
        <v>81215881572</v>
      </c>
      <c r="BD548" s="4">
        <v>81229304513</v>
      </c>
      <c r="BE548" s="4">
        <v>85156345085</v>
      </c>
      <c r="BF548" s="4">
        <v>8970471019</v>
      </c>
      <c r="BG548" s="4">
        <v>88237224157</v>
      </c>
      <c r="BH548" s="4">
        <v>85780234181</v>
      </c>
      <c r="BI548" s="4">
        <v>85709315715</v>
      </c>
      <c r="BJ548" s="4">
        <v>85156772947</v>
      </c>
      <c r="BK548" s="4">
        <v>8815212973</v>
      </c>
      <c r="BO548" s="71">
        <v>60150790</v>
      </c>
      <c r="BP548" s="18" t="s">
        <v>7266</v>
      </c>
      <c r="BQ548" s="37">
        <v>45065</v>
      </c>
      <c r="BR548" s="8">
        <f t="shared" si="2"/>
        <v>9</v>
      </c>
    </row>
    <row r="549" spans="1:70" ht="14">
      <c r="A549" s="4" t="str">
        <v>Alternatif Periode ke-87 II.D.4</v>
      </c>
      <c r="B549" s="4" t="s">
        <v>6750</v>
      </c>
      <c r="C549" s="4" t="s">
        <v>7267</v>
      </c>
      <c r="D549" s="4" t="s">
        <v>219</v>
      </c>
      <c r="E549" s="4" t="s">
        <v>1711</v>
      </c>
      <c r="F549" s="4" t="s">
        <v>520</v>
      </c>
      <c r="G549" s="52" t="s">
        <v>7268</v>
      </c>
      <c r="H549" s="52" t="s">
        <v>7269</v>
      </c>
      <c r="I549" s="52" t="s">
        <v>7270</v>
      </c>
      <c r="J549" s="52" t="s">
        <v>7271</v>
      </c>
      <c r="K549" s="52" t="s">
        <v>7272</v>
      </c>
      <c r="L549" s="52" t="s">
        <v>7273</v>
      </c>
      <c r="M549" s="52" t="s">
        <v>7274</v>
      </c>
      <c r="N549" s="52" t="s">
        <v>7275</v>
      </c>
      <c r="O549" s="52" t="s">
        <v>7276</v>
      </c>
      <c r="P549" s="52" t="s">
        <v>7277</v>
      </c>
      <c r="Q549" s="52" t="s">
        <v>7278</v>
      </c>
      <c r="S549" s="4">
        <v>1700004061</v>
      </c>
      <c r="T549" s="4">
        <v>1700016083</v>
      </c>
      <c r="U549" s="4">
        <v>1700025022</v>
      </c>
      <c r="V549" s="4">
        <v>1800010255</v>
      </c>
      <c r="W549" s="4">
        <v>1900031338</v>
      </c>
      <c r="X549" s="4">
        <v>1900032104</v>
      </c>
      <c r="Y549" s="4">
        <v>2000020012</v>
      </c>
      <c r="Z549" s="4">
        <v>2000029188</v>
      </c>
      <c r="AA549" s="4">
        <v>2015009028</v>
      </c>
      <c r="AB549" s="4">
        <v>2123025071</v>
      </c>
      <c r="AC549" s="4">
        <v>2123025073</v>
      </c>
      <c r="AE549" s="4" t="s">
        <v>201</v>
      </c>
      <c r="AF549" s="4" t="s">
        <v>531</v>
      </c>
      <c r="AG549" s="4" t="s">
        <v>1168</v>
      </c>
      <c r="AH549" s="4" t="s">
        <v>532</v>
      </c>
      <c r="AI549" s="4" t="s">
        <v>185</v>
      </c>
      <c r="AJ549" s="4" t="s">
        <v>732</v>
      </c>
      <c r="AK549" s="4" t="s">
        <v>351</v>
      </c>
      <c r="AL549" s="4" t="s">
        <v>533</v>
      </c>
      <c r="AM549" s="4" t="s">
        <v>952</v>
      </c>
      <c r="AN549" s="4" t="s">
        <v>1168</v>
      </c>
      <c r="AO549" s="4" t="s">
        <v>1168</v>
      </c>
      <c r="AQ549" s="4" t="s">
        <v>186</v>
      </c>
      <c r="AR549" s="4" t="s">
        <v>187</v>
      </c>
      <c r="AS549" s="4" t="s">
        <v>187</v>
      </c>
      <c r="AT549" s="4" t="s">
        <v>187</v>
      </c>
      <c r="AU549" s="4" t="s">
        <v>187</v>
      </c>
      <c r="AV549" s="4" t="s">
        <v>186</v>
      </c>
      <c r="AW549" s="4" t="s">
        <v>186</v>
      </c>
      <c r="AX549" s="4" t="s">
        <v>186</v>
      </c>
      <c r="AY549" s="4" t="s">
        <v>186</v>
      </c>
      <c r="AZ549" s="4" t="s">
        <v>186</v>
      </c>
      <c r="BA549" s="4" t="s">
        <v>187</v>
      </c>
      <c r="BC549" s="4">
        <v>85803290685</v>
      </c>
      <c r="BD549" s="4">
        <v>81225709750</v>
      </c>
      <c r="BE549" s="4">
        <v>82265158935</v>
      </c>
      <c r="BF549" s="4">
        <v>89653095010</v>
      </c>
      <c r="BG549" s="4">
        <v>82138815160</v>
      </c>
      <c r="BH549" s="4">
        <v>88239906290</v>
      </c>
      <c r="BI549" s="4">
        <v>85658845194</v>
      </c>
      <c r="BJ549" s="4">
        <v>87734285258</v>
      </c>
      <c r="BK549" s="4">
        <v>85742938656</v>
      </c>
      <c r="BL549" s="4">
        <v>8617803601539</v>
      </c>
      <c r="BM549" s="4">
        <v>13712330613</v>
      </c>
      <c r="BO549" s="71">
        <v>60160969</v>
      </c>
      <c r="BP549" s="18" t="s">
        <v>7279</v>
      </c>
      <c r="BQ549" s="37">
        <v>45065</v>
      </c>
      <c r="BR549" s="8">
        <f t="shared" si="2"/>
        <v>11</v>
      </c>
    </row>
    <row r="550" spans="1:70" ht="14">
      <c r="A550" s="4" t="str">
        <v>Alternatif Periode ke-87 IV.C.4</v>
      </c>
      <c r="B550" s="4" t="s">
        <v>6750</v>
      </c>
      <c r="C550" s="4" t="s">
        <v>7280</v>
      </c>
      <c r="D550" s="4" t="s">
        <v>288</v>
      </c>
      <c r="E550" s="4" t="s">
        <v>927</v>
      </c>
      <c r="F550" s="4" t="s">
        <v>520</v>
      </c>
      <c r="G550" s="52" t="s">
        <v>7281</v>
      </c>
      <c r="H550" s="52" t="s">
        <v>7282</v>
      </c>
      <c r="I550" s="52" t="s">
        <v>7283</v>
      </c>
      <c r="J550" s="52" t="s">
        <v>7284</v>
      </c>
      <c r="K550" s="52" t="s">
        <v>7285</v>
      </c>
      <c r="L550" s="52" t="s">
        <v>7286</v>
      </c>
      <c r="M550" s="52" t="s">
        <v>7287</v>
      </c>
      <c r="N550" s="52" t="s">
        <v>7288</v>
      </c>
      <c r="O550" s="52" t="s">
        <v>7289</v>
      </c>
      <c r="S550" s="4">
        <v>1800010266</v>
      </c>
      <c r="T550" s="4">
        <v>1900004171</v>
      </c>
      <c r="U550" s="4">
        <v>1900017098</v>
      </c>
      <c r="V550" s="4">
        <v>1900026076</v>
      </c>
      <c r="W550" s="4">
        <v>1900029147</v>
      </c>
      <c r="X550" s="4">
        <v>1900031280</v>
      </c>
      <c r="Y550" s="4">
        <v>1900033032</v>
      </c>
      <c r="Z550" s="4">
        <v>2000009020</v>
      </c>
      <c r="AA550" s="4">
        <v>2000023036</v>
      </c>
      <c r="AE550" s="4" t="s">
        <v>532</v>
      </c>
      <c r="AF550" s="4" t="s">
        <v>201</v>
      </c>
      <c r="AG550" s="4" t="s">
        <v>183</v>
      </c>
      <c r="AH550" s="4" t="s">
        <v>570</v>
      </c>
      <c r="AI550" s="4" t="s">
        <v>533</v>
      </c>
      <c r="AJ550" s="4" t="s">
        <v>185</v>
      </c>
      <c r="AK550" s="4" t="s">
        <v>1112</v>
      </c>
      <c r="AL550" s="4" t="s">
        <v>952</v>
      </c>
      <c r="AM550" s="4" t="s">
        <v>899</v>
      </c>
      <c r="AQ550" s="4" t="s">
        <v>187</v>
      </c>
      <c r="AR550" s="4" t="s">
        <v>186</v>
      </c>
      <c r="AS550" s="4" t="s">
        <v>187</v>
      </c>
      <c r="AT550" s="4" t="s">
        <v>187</v>
      </c>
      <c r="AU550" s="4" t="s">
        <v>186</v>
      </c>
      <c r="AV550" s="4" t="s">
        <v>187</v>
      </c>
      <c r="AW550" s="4" t="s">
        <v>186</v>
      </c>
      <c r="AX550" s="4" t="s">
        <v>186</v>
      </c>
      <c r="AY550" s="4" t="s">
        <v>186</v>
      </c>
      <c r="BC550" s="4">
        <v>83145375405</v>
      </c>
      <c r="BD550" s="4">
        <v>87848880319</v>
      </c>
      <c r="BE550" s="4">
        <v>85643855361</v>
      </c>
      <c r="BF550" s="4">
        <v>87708534696</v>
      </c>
      <c r="BG550" s="4">
        <v>82325539936</v>
      </c>
      <c r="BH550" s="4">
        <v>8882760388</v>
      </c>
      <c r="BI550" s="4">
        <v>82146399761</v>
      </c>
      <c r="BJ550" s="4">
        <v>85789924090</v>
      </c>
      <c r="BK550" s="4">
        <v>81379651046</v>
      </c>
      <c r="BO550" s="71">
        <v>60150805</v>
      </c>
      <c r="BP550" s="18" t="s">
        <v>7290</v>
      </c>
      <c r="BQ550" s="37">
        <v>45065</v>
      </c>
      <c r="BR550" s="8">
        <f t="shared" si="2"/>
        <v>9</v>
      </c>
    </row>
    <row r="551" spans="1:70" ht="14">
      <c r="A551" s="4" t="str">
        <v>Alternatif Periode ke-87 IV.D.4</v>
      </c>
      <c r="B551" s="4" t="s">
        <v>6750</v>
      </c>
      <c r="C551" s="4" t="s">
        <v>1307</v>
      </c>
      <c r="D551" s="4" t="s">
        <v>940</v>
      </c>
      <c r="E551" s="4" t="s">
        <v>989</v>
      </c>
      <c r="F551" s="4" t="s">
        <v>520</v>
      </c>
      <c r="G551" s="52" t="s">
        <v>7291</v>
      </c>
      <c r="H551" s="52" t="s">
        <v>7292</v>
      </c>
      <c r="I551" s="52" t="s">
        <v>7293</v>
      </c>
      <c r="J551" s="52" t="s">
        <v>7294</v>
      </c>
      <c r="K551" s="52" t="s">
        <v>7295</v>
      </c>
      <c r="L551" s="52" t="s">
        <v>7296</v>
      </c>
      <c r="M551" s="52" t="s">
        <v>7297</v>
      </c>
      <c r="N551" s="52" t="s">
        <v>7298</v>
      </c>
      <c r="O551" s="52" t="s">
        <v>7299</v>
      </c>
      <c r="S551" s="4">
        <v>1700004077</v>
      </c>
      <c r="T551" s="4">
        <v>1900010075</v>
      </c>
      <c r="U551" s="4">
        <v>1900010266</v>
      </c>
      <c r="V551" s="4">
        <v>1900017045</v>
      </c>
      <c r="W551" s="4">
        <v>1900023074</v>
      </c>
      <c r="X551" s="4">
        <v>1900026176</v>
      </c>
      <c r="Y551" s="4">
        <v>1900029018</v>
      </c>
      <c r="Z551" s="4">
        <v>1900031018</v>
      </c>
      <c r="AA551" s="4">
        <v>1900033007</v>
      </c>
      <c r="AE551" s="4" t="s">
        <v>201</v>
      </c>
      <c r="AF551" s="4" t="s">
        <v>532</v>
      </c>
      <c r="AG551" s="4" t="s">
        <v>532</v>
      </c>
      <c r="AH551" s="4" t="s">
        <v>183</v>
      </c>
      <c r="AI551" s="4" t="s">
        <v>899</v>
      </c>
      <c r="AJ551" s="4" t="s">
        <v>570</v>
      </c>
      <c r="AK551" s="4" t="s">
        <v>533</v>
      </c>
      <c r="AL551" s="4" t="s">
        <v>185</v>
      </c>
      <c r="AM551" s="4" t="s">
        <v>1112</v>
      </c>
      <c r="AQ551" s="4" t="s">
        <v>186</v>
      </c>
      <c r="AR551" s="4" t="s">
        <v>187</v>
      </c>
      <c r="AS551" s="4" t="s">
        <v>186</v>
      </c>
      <c r="AT551" s="4" t="s">
        <v>187</v>
      </c>
      <c r="AU551" s="4" t="s">
        <v>186</v>
      </c>
      <c r="AV551" s="4" t="s">
        <v>187</v>
      </c>
      <c r="AW551" s="4" t="s">
        <v>186</v>
      </c>
      <c r="AX551" s="4" t="s">
        <v>187</v>
      </c>
      <c r="AY551" s="4" t="s">
        <v>186</v>
      </c>
      <c r="BC551" s="4">
        <v>82286458109</v>
      </c>
      <c r="BD551" s="4">
        <v>89656186196</v>
      </c>
      <c r="BE551" s="4">
        <v>87769004462</v>
      </c>
      <c r="BF551" s="4">
        <v>81563649893</v>
      </c>
      <c r="BG551" s="4">
        <v>88228689394</v>
      </c>
      <c r="BH551" s="4">
        <v>8994692990</v>
      </c>
      <c r="BI551" s="4">
        <v>82216145614</v>
      </c>
      <c r="BJ551" s="4">
        <v>82242425413</v>
      </c>
      <c r="BK551" s="4">
        <v>82334460748</v>
      </c>
      <c r="BO551" s="71">
        <v>60150790</v>
      </c>
      <c r="BP551" s="18" t="s">
        <v>7300</v>
      </c>
      <c r="BQ551" s="37">
        <v>45065</v>
      </c>
      <c r="BR551" s="8">
        <f t="shared" si="2"/>
        <v>9</v>
      </c>
    </row>
    <row r="552" spans="1:70" ht="14.5">
      <c r="A552" s="4" t="str">
        <v>Reguler Periode ke-111 I.A.1</v>
      </c>
      <c r="B552" s="4" t="s">
        <v>7301</v>
      </c>
      <c r="C552" s="4" t="s">
        <v>165</v>
      </c>
      <c r="D552" s="4" t="s">
        <v>3110</v>
      </c>
      <c r="E552" s="4" t="s">
        <v>7302</v>
      </c>
      <c r="F552" s="4" t="s">
        <v>193</v>
      </c>
      <c r="G552" s="27" t="s">
        <v>7303</v>
      </c>
      <c r="H552" s="27" t="s">
        <v>7304</v>
      </c>
      <c r="I552" s="27" t="s">
        <v>7305</v>
      </c>
      <c r="J552" s="27" t="s">
        <v>7306</v>
      </c>
      <c r="K552" s="27" t="s">
        <v>7307</v>
      </c>
      <c r="L552" s="72" t="s">
        <v>7308</v>
      </c>
      <c r="M552" s="27" t="s">
        <v>7309</v>
      </c>
      <c r="N552" s="27" t="s">
        <v>7310</v>
      </c>
      <c r="O552" s="27" t="s">
        <v>7311</v>
      </c>
      <c r="P552" s="73"/>
      <c r="S552" s="28">
        <v>1900001106</v>
      </c>
      <c r="T552" s="28">
        <v>1900016123</v>
      </c>
      <c r="U552" s="28">
        <v>1900025074</v>
      </c>
      <c r="V552" s="28">
        <v>2000011182</v>
      </c>
      <c r="W552" s="28">
        <v>2000012061</v>
      </c>
      <c r="X552" s="74">
        <v>2000013226</v>
      </c>
      <c r="Y552" s="28">
        <v>2000013274</v>
      </c>
      <c r="Z552" s="28">
        <v>2000024263</v>
      </c>
      <c r="AA552" s="28">
        <v>2000028143</v>
      </c>
      <c r="AE552" s="27" t="s">
        <v>180</v>
      </c>
      <c r="AF552" s="27" t="s">
        <v>531</v>
      </c>
      <c r="AG552" s="27" t="s">
        <v>1168</v>
      </c>
      <c r="AH552" s="27" t="s">
        <v>182</v>
      </c>
      <c r="AI552" s="27" t="s">
        <v>885</v>
      </c>
      <c r="AJ552" s="75" t="s">
        <v>677</v>
      </c>
      <c r="AK552" s="27" t="s">
        <v>677</v>
      </c>
      <c r="AL552" s="27" t="s">
        <v>924</v>
      </c>
      <c r="AM552" s="27" t="s">
        <v>678</v>
      </c>
      <c r="AQ552" s="76" t="s">
        <v>187</v>
      </c>
      <c r="AR552" s="76" t="s">
        <v>187</v>
      </c>
      <c r="AS552" s="76" t="s">
        <v>187</v>
      </c>
      <c r="AT552" s="76" t="s">
        <v>186</v>
      </c>
      <c r="AU552" s="76" t="s">
        <v>186</v>
      </c>
      <c r="AV552" s="72" t="s">
        <v>186</v>
      </c>
      <c r="AW552" s="76" t="s">
        <v>186</v>
      </c>
      <c r="AX552" s="76" t="s">
        <v>186</v>
      </c>
      <c r="AY552" s="76" t="s">
        <v>186</v>
      </c>
      <c r="BC552" s="77">
        <v>89637653045</v>
      </c>
      <c r="BD552" s="77">
        <v>85392077539</v>
      </c>
      <c r="BE552" s="77">
        <v>85600929984</v>
      </c>
      <c r="BF552" s="77">
        <v>85237549715</v>
      </c>
      <c r="BG552" s="77">
        <v>85720161837</v>
      </c>
      <c r="BH552" s="77">
        <v>81312322089</v>
      </c>
      <c r="BI552" s="77">
        <v>89603083492</v>
      </c>
      <c r="BJ552" s="77">
        <v>8113826406</v>
      </c>
      <c r="BK552" s="77">
        <v>83867695813</v>
      </c>
      <c r="BP552" s="18" t="s">
        <v>7312</v>
      </c>
      <c r="BQ552" s="37">
        <v>45145</v>
      </c>
      <c r="BR552" s="8">
        <f t="shared" si="2"/>
        <v>9</v>
      </c>
    </row>
    <row r="553" spans="1:70" ht="14">
      <c r="A553" s="4" t="str">
        <v>Reguler Periode ke-111 I.A.2</v>
      </c>
      <c r="B553" s="4" t="s">
        <v>7301</v>
      </c>
      <c r="C553" s="4" t="s">
        <v>216</v>
      </c>
      <c r="D553" s="4" t="s">
        <v>3110</v>
      </c>
      <c r="E553" s="4" t="s">
        <v>7302</v>
      </c>
      <c r="F553" s="4" t="s">
        <v>193</v>
      </c>
      <c r="G553" s="27" t="s">
        <v>7313</v>
      </c>
      <c r="H553" s="27" t="s">
        <v>7314</v>
      </c>
      <c r="I553" s="27" t="s">
        <v>7315</v>
      </c>
      <c r="J553" s="27" t="s">
        <v>7316</v>
      </c>
      <c r="K553" s="27" t="s">
        <v>7317</v>
      </c>
      <c r="L553" s="27" t="s">
        <v>7318</v>
      </c>
      <c r="M553" s="27" t="s">
        <v>7319</v>
      </c>
      <c r="N553" s="27" t="s">
        <v>7320</v>
      </c>
      <c r="O553" s="27" t="s">
        <v>7321</v>
      </c>
      <c r="S553" s="28">
        <v>1800001160</v>
      </c>
      <c r="T553" s="28">
        <v>1900016199</v>
      </c>
      <c r="U553" s="28">
        <v>2000011113</v>
      </c>
      <c r="V553" s="28">
        <v>2000013111</v>
      </c>
      <c r="W553" s="28">
        <v>2000013293</v>
      </c>
      <c r="X553" s="28">
        <v>2000023266</v>
      </c>
      <c r="Y553" s="28">
        <v>2000024085</v>
      </c>
      <c r="Z553" s="28">
        <v>2000025013</v>
      </c>
      <c r="AA553" s="28">
        <v>2000028116</v>
      </c>
      <c r="AE553" s="27" t="s">
        <v>180</v>
      </c>
      <c r="AF553" s="27" t="s">
        <v>531</v>
      </c>
      <c r="AG553" s="27" t="s">
        <v>182</v>
      </c>
      <c r="AH553" s="27" t="s">
        <v>677</v>
      </c>
      <c r="AI553" s="27" t="s">
        <v>677</v>
      </c>
      <c r="AJ553" s="27" t="s">
        <v>899</v>
      </c>
      <c r="AK553" s="27" t="s">
        <v>924</v>
      </c>
      <c r="AL553" s="27" t="s">
        <v>1168</v>
      </c>
      <c r="AM553" s="27" t="s">
        <v>678</v>
      </c>
      <c r="AQ553" s="76" t="s">
        <v>187</v>
      </c>
      <c r="AR553" s="76" t="s">
        <v>187</v>
      </c>
      <c r="AS553" s="76" t="s">
        <v>186</v>
      </c>
      <c r="AT553" s="76" t="s">
        <v>186</v>
      </c>
      <c r="AU553" s="76" t="s">
        <v>186</v>
      </c>
      <c r="AV553" s="76" t="s">
        <v>186</v>
      </c>
      <c r="AW553" s="76" t="s">
        <v>186</v>
      </c>
      <c r="AX553" s="76" t="s">
        <v>187</v>
      </c>
      <c r="AY553" s="76" t="s">
        <v>186</v>
      </c>
      <c r="BC553" s="77">
        <v>8975877397</v>
      </c>
      <c r="BD553" s="77">
        <v>895360927053</v>
      </c>
      <c r="BE553" s="77">
        <v>85643447661</v>
      </c>
      <c r="BF553" s="77">
        <v>89630929374</v>
      </c>
      <c r="BG553" s="77">
        <v>85252295826</v>
      </c>
      <c r="BH553" s="77">
        <v>82112540989</v>
      </c>
      <c r="BI553" s="77">
        <v>85848107352</v>
      </c>
      <c r="BJ553" s="77">
        <v>85357247947</v>
      </c>
      <c r="BK553" s="77">
        <v>81384270195</v>
      </c>
      <c r="BL553" s="28"/>
      <c r="BM553" s="68"/>
      <c r="BP553" s="35" t="s">
        <v>7322</v>
      </c>
      <c r="BQ553" s="37">
        <v>45145</v>
      </c>
      <c r="BR553" s="8">
        <f t="shared" si="2"/>
        <v>9</v>
      </c>
    </row>
    <row r="554" spans="1:70" ht="14">
      <c r="A554" s="4" t="str">
        <v>Reguler Periode ke-111 I.A.3</v>
      </c>
      <c r="B554" s="4" t="s">
        <v>7301</v>
      </c>
      <c r="C554" s="4" t="s">
        <v>238</v>
      </c>
      <c r="D554" s="4" t="s">
        <v>3110</v>
      </c>
      <c r="E554" s="4" t="s">
        <v>4001</v>
      </c>
      <c r="F554" s="4" t="s">
        <v>193</v>
      </c>
      <c r="G554" s="27" t="s">
        <v>7323</v>
      </c>
      <c r="H554" s="27" t="s">
        <v>7324</v>
      </c>
      <c r="I554" s="27" t="s">
        <v>7325</v>
      </c>
      <c r="J554" s="27" t="s">
        <v>7326</v>
      </c>
      <c r="K554" s="27" t="s">
        <v>7327</v>
      </c>
      <c r="L554" s="27" t="s">
        <v>7328</v>
      </c>
      <c r="M554" s="27" t="s">
        <v>7329</v>
      </c>
      <c r="N554" s="27" t="s">
        <v>7330</v>
      </c>
      <c r="O554" s="27" t="s">
        <v>7331</v>
      </c>
      <c r="S554" s="28">
        <v>1700026089</v>
      </c>
      <c r="T554" s="28">
        <v>1900003141</v>
      </c>
      <c r="U554" s="28">
        <v>1900016193</v>
      </c>
      <c r="V554" s="28">
        <v>2000013012</v>
      </c>
      <c r="W554" s="28">
        <v>2000013137</v>
      </c>
      <c r="X554" s="28">
        <v>2000023262</v>
      </c>
      <c r="Y554" s="28">
        <v>2000024293</v>
      </c>
      <c r="Z554" s="28">
        <v>2000028119</v>
      </c>
      <c r="AA554" s="28">
        <v>2019011145</v>
      </c>
      <c r="AE554" s="27" t="s">
        <v>570</v>
      </c>
      <c r="AF554" s="27" t="s">
        <v>178</v>
      </c>
      <c r="AG554" s="27" t="s">
        <v>531</v>
      </c>
      <c r="AH554" s="27" t="s">
        <v>677</v>
      </c>
      <c r="AI554" s="27" t="s">
        <v>677</v>
      </c>
      <c r="AJ554" s="27" t="s">
        <v>899</v>
      </c>
      <c r="AK554" s="27" t="s">
        <v>924</v>
      </c>
      <c r="AL554" s="27" t="s">
        <v>678</v>
      </c>
      <c r="AM554" s="27" t="s">
        <v>182</v>
      </c>
      <c r="AQ554" s="76" t="s">
        <v>187</v>
      </c>
      <c r="AR554" s="76" t="s">
        <v>187</v>
      </c>
      <c r="AS554" s="76" t="s">
        <v>187</v>
      </c>
      <c r="AT554" s="76" t="s">
        <v>186</v>
      </c>
      <c r="AU554" s="76" t="s">
        <v>186</v>
      </c>
      <c r="AV554" s="76" t="s">
        <v>186</v>
      </c>
      <c r="AW554" s="76" t="s">
        <v>186</v>
      </c>
      <c r="AX554" s="76" t="s">
        <v>186</v>
      </c>
      <c r="AY554" s="76" t="s">
        <v>186</v>
      </c>
      <c r="BC554" s="77">
        <v>82151579647</v>
      </c>
      <c r="BD554" s="77">
        <v>81910442956</v>
      </c>
      <c r="BE554" s="77">
        <v>81329793603</v>
      </c>
      <c r="BF554" s="77">
        <v>87896402658</v>
      </c>
      <c r="BG554" s="77">
        <v>81930574379</v>
      </c>
      <c r="BH554" s="77">
        <v>88221778708</v>
      </c>
      <c r="BI554" s="77">
        <v>85865561521</v>
      </c>
      <c r="BJ554" s="77">
        <v>81390871094</v>
      </c>
      <c r="BK554" s="77">
        <v>82326831100</v>
      </c>
      <c r="BP554" s="18" t="s">
        <v>7332</v>
      </c>
      <c r="BQ554" s="37">
        <v>45145</v>
      </c>
      <c r="BR554" s="8">
        <f t="shared" si="2"/>
        <v>9</v>
      </c>
    </row>
    <row r="555" spans="1:70" ht="14">
      <c r="A555" s="4" t="str">
        <v>Reguler Periode ke-111 I.B.1</v>
      </c>
      <c r="B555" s="4" t="s">
        <v>7301</v>
      </c>
      <c r="C555" s="4" t="s">
        <v>260</v>
      </c>
      <c r="D555" s="4" t="s">
        <v>2826</v>
      </c>
      <c r="E555" s="4" t="s">
        <v>3902</v>
      </c>
      <c r="F555" s="4" t="s">
        <v>193</v>
      </c>
      <c r="G555" s="27" t="s">
        <v>7333</v>
      </c>
      <c r="H555" s="27" t="s">
        <v>7334</v>
      </c>
      <c r="I555" s="27" t="s">
        <v>7335</v>
      </c>
      <c r="J555" s="27" t="s">
        <v>7336</v>
      </c>
      <c r="K555" s="27" t="s">
        <v>7337</v>
      </c>
      <c r="L555" s="27" t="s">
        <v>7338</v>
      </c>
      <c r="M555" s="27" t="s">
        <v>7339</v>
      </c>
      <c r="N555" s="27" t="s">
        <v>7340</v>
      </c>
      <c r="O555" s="27" t="s">
        <v>7341</v>
      </c>
      <c r="S555" s="28">
        <v>1800016093</v>
      </c>
      <c r="T555" s="28">
        <v>1800026031</v>
      </c>
      <c r="U555" s="28">
        <v>1900003057</v>
      </c>
      <c r="V555" s="28">
        <v>2000011276</v>
      </c>
      <c r="W555" s="28">
        <v>2000013105</v>
      </c>
      <c r="X555" s="28">
        <v>2000013363</v>
      </c>
      <c r="Y555" s="28">
        <v>2000023225</v>
      </c>
      <c r="Z555" s="28">
        <v>2000024176</v>
      </c>
      <c r="AA555" s="28">
        <v>2000028006</v>
      </c>
      <c r="AE555" s="27" t="s">
        <v>531</v>
      </c>
      <c r="AF555" s="27" t="s">
        <v>570</v>
      </c>
      <c r="AG555" s="27" t="s">
        <v>178</v>
      </c>
      <c r="AH555" s="27" t="s">
        <v>182</v>
      </c>
      <c r="AI555" s="27" t="s">
        <v>677</v>
      </c>
      <c r="AJ555" s="27" t="s">
        <v>677</v>
      </c>
      <c r="AK555" s="27" t="s">
        <v>899</v>
      </c>
      <c r="AL555" s="27" t="s">
        <v>924</v>
      </c>
      <c r="AM555" s="27" t="s">
        <v>678</v>
      </c>
      <c r="AQ555" s="76" t="s">
        <v>187</v>
      </c>
      <c r="AR555" s="76" t="s">
        <v>187</v>
      </c>
      <c r="AS555" s="76" t="s">
        <v>187</v>
      </c>
      <c r="AT555" s="76" t="s">
        <v>186</v>
      </c>
      <c r="AU555" s="76" t="s">
        <v>186</v>
      </c>
      <c r="AV555" s="76" t="s">
        <v>186</v>
      </c>
      <c r="AW555" s="76" t="s">
        <v>186</v>
      </c>
      <c r="AX555" s="76" t="s">
        <v>186</v>
      </c>
      <c r="AY555" s="76" t="s">
        <v>186</v>
      </c>
      <c r="BC555" s="77">
        <v>81936749087</v>
      </c>
      <c r="BD555" s="77">
        <v>88238659082</v>
      </c>
      <c r="BE555" s="77">
        <v>85156607109</v>
      </c>
      <c r="BF555" s="77">
        <v>82340137044</v>
      </c>
      <c r="BG555" s="77">
        <v>87855757144</v>
      </c>
      <c r="BH555" s="77">
        <v>82216237494</v>
      </c>
      <c r="BI555" s="77">
        <v>82141614948</v>
      </c>
      <c r="BJ555" s="77">
        <v>89602225660</v>
      </c>
      <c r="BK555" s="77">
        <v>85799922928</v>
      </c>
      <c r="BL555" s="28"/>
      <c r="BP555" s="18" t="s">
        <v>7342</v>
      </c>
      <c r="BQ555" s="37">
        <v>45145</v>
      </c>
      <c r="BR555" s="8">
        <f t="shared" si="2"/>
        <v>9</v>
      </c>
    </row>
    <row r="556" spans="1:70" ht="14">
      <c r="A556" s="4" t="str">
        <v>Reguler Periode ke-111 I.B.2</v>
      </c>
      <c r="B556" s="4" t="s">
        <v>7301</v>
      </c>
      <c r="C556" s="4" t="s">
        <v>280</v>
      </c>
      <c r="D556" s="4" t="s">
        <v>2826</v>
      </c>
      <c r="E556" s="4" t="s">
        <v>3902</v>
      </c>
      <c r="F556" s="4" t="s">
        <v>193</v>
      </c>
      <c r="G556" s="27" t="s">
        <v>7343</v>
      </c>
      <c r="H556" s="27" t="s">
        <v>7344</v>
      </c>
      <c r="I556" s="27" t="s">
        <v>7345</v>
      </c>
      <c r="J556" s="27" t="s">
        <v>7346</v>
      </c>
      <c r="K556" s="27" t="s">
        <v>7347</v>
      </c>
      <c r="L556" s="27" t="s">
        <v>7348</v>
      </c>
      <c r="M556" s="27" t="s">
        <v>7349</v>
      </c>
      <c r="N556" s="27" t="s">
        <v>7350</v>
      </c>
      <c r="O556" s="27" t="s">
        <v>7351</v>
      </c>
      <c r="S556" s="28">
        <v>1800003104</v>
      </c>
      <c r="T556" s="28">
        <v>1800017038</v>
      </c>
      <c r="U556" s="28">
        <v>1800026122</v>
      </c>
      <c r="V556" s="28">
        <v>2000011333</v>
      </c>
      <c r="W556" s="28">
        <v>2000013027</v>
      </c>
      <c r="X556" s="28">
        <v>2000013117</v>
      </c>
      <c r="Y556" s="28">
        <v>2000023062</v>
      </c>
      <c r="Z556" s="28">
        <v>2000025007</v>
      </c>
      <c r="AA556" s="28">
        <v>2000028016</v>
      </c>
      <c r="AE556" s="27" t="s">
        <v>178</v>
      </c>
      <c r="AF556" s="27" t="s">
        <v>183</v>
      </c>
      <c r="AG556" s="27" t="s">
        <v>570</v>
      </c>
      <c r="AH556" s="27" t="s">
        <v>182</v>
      </c>
      <c r="AI556" s="27" t="s">
        <v>677</v>
      </c>
      <c r="AJ556" s="27" t="s">
        <v>677</v>
      </c>
      <c r="AK556" s="27" t="s">
        <v>899</v>
      </c>
      <c r="AL556" s="27" t="s">
        <v>1168</v>
      </c>
      <c r="AM556" s="27" t="s">
        <v>678</v>
      </c>
      <c r="AQ556" s="76" t="s">
        <v>187</v>
      </c>
      <c r="AR556" s="76" t="s">
        <v>187</v>
      </c>
      <c r="AS556" s="76" t="s">
        <v>187</v>
      </c>
      <c r="AT556" s="76" t="s">
        <v>186</v>
      </c>
      <c r="AU556" s="76" t="s">
        <v>186</v>
      </c>
      <c r="AV556" s="76" t="s">
        <v>186</v>
      </c>
      <c r="AW556" s="76" t="s">
        <v>186</v>
      </c>
      <c r="AX556" s="76" t="s">
        <v>186</v>
      </c>
      <c r="AY556" s="76" t="s">
        <v>186</v>
      </c>
      <c r="BC556" s="77">
        <v>81228477189</v>
      </c>
      <c r="BD556" s="77">
        <v>82296275658</v>
      </c>
      <c r="BE556" s="77">
        <v>85822907038</v>
      </c>
      <c r="BF556" s="77">
        <v>83802650843</v>
      </c>
      <c r="BG556" s="77">
        <v>88215032638</v>
      </c>
      <c r="BH556" s="77">
        <v>82220841222</v>
      </c>
      <c r="BI556" s="77">
        <v>81258848001</v>
      </c>
      <c r="BJ556" s="77">
        <v>89671551080</v>
      </c>
      <c r="BK556" s="77">
        <v>81393050837</v>
      </c>
      <c r="BP556" s="18" t="s">
        <v>7352</v>
      </c>
      <c r="BQ556" s="37">
        <v>45145</v>
      </c>
      <c r="BR556" s="8">
        <f t="shared" si="2"/>
        <v>9</v>
      </c>
    </row>
    <row r="557" spans="1:70" ht="14">
      <c r="A557" s="4" t="str">
        <v>Reguler Periode ke-111 I.B.3</v>
      </c>
      <c r="B557" s="4" t="s">
        <v>7301</v>
      </c>
      <c r="C557" s="4" t="s">
        <v>299</v>
      </c>
      <c r="D557" s="4" t="s">
        <v>2826</v>
      </c>
      <c r="E557" s="4" t="s">
        <v>7353</v>
      </c>
      <c r="F557" s="4" t="s">
        <v>193</v>
      </c>
      <c r="G557" s="27" t="s">
        <v>7354</v>
      </c>
      <c r="H557" s="27" t="s">
        <v>7355</v>
      </c>
      <c r="I557" s="27" t="s">
        <v>7356</v>
      </c>
      <c r="J557" s="27" t="s">
        <v>7357</v>
      </c>
      <c r="K557" s="27" t="s">
        <v>7358</v>
      </c>
      <c r="L557" s="27" t="s">
        <v>7359</v>
      </c>
      <c r="M557" s="27" t="s">
        <v>7360</v>
      </c>
      <c r="N557" s="27" t="s">
        <v>7361</v>
      </c>
      <c r="O557" s="27" t="s">
        <v>7362</v>
      </c>
      <c r="S557" s="28">
        <v>1900005161</v>
      </c>
      <c r="T557" s="28">
        <v>1900017073</v>
      </c>
      <c r="U557" s="28">
        <v>1900026108</v>
      </c>
      <c r="V557" s="28">
        <v>2000012064</v>
      </c>
      <c r="W557" s="28">
        <v>2000013068</v>
      </c>
      <c r="X557" s="28">
        <v>2000013269</v>
      </c>
      <c r="Y557" s="28">
        <v>2000023047</v>
      </c>
      <c r="Z557" s="28">
        <v>2000025010</v>
      </c>
      <c r="AA557" s="28">
        <v>2000028099</v>
      </c>
      <c r="AE557" s="27" t="s">
        <v>181</v>
      </c>
      <c r="AF557" s="27" t="s">
        <v>183</v>
      </c>
      <c r="AG557" s="27" t="s">
        <v>570</v>
      </c>
      <c r="AH557" s="27" t="s">
        <v>885</v>
      </c>
      <c r="AI557" s="27" t="s">
        <v>677</v>
      </c>
      <c r="AJ557" s="27" t="s">
        <v>677</v>
      </c>
      <c r="AK557" s="27" t="s">
        <v>899</v>
      </c>
      <c r="AL557" s="27" t="s">
        <v>1168</v>
      </c>
      <c r="AM557" s="27" t="s">
        <v>678</v>
      </c>
      <c r="AQ557" s="76" t="s">
        <v>187</v>
      </c>
      <c r="AR557" s="76" t="s">
        <v>187</v>
      </c>
      <c r="AS557" s="76" t="s">
        <v>187</v>
      </c>
      <c r="AT557" s="76" t="s">
        <v>186</v>
      </c>
      <c r="AU557" s="76" t="s">
        <v>186</v>
      </c>
      <c r="AV557" s="76" t="s">
        <v>186</v>
      </c>
      <c r="AW557" s="76" t="s">
        <v>186</v>
      </c>
      <c r="AX557" s="76" t="s">
        <v>186</v>
      </c>
      <c r="AY557" s="76" t="s">
        <v>186</v>
      </c>
      <c r="BC557" s="77">
        <v>89531593975</v>
      </c>
      <c r="BD557" s="77">
        <v>8152063691</v>
      </c>
      <c r="BE557" s="77">
        <v>85936729285</v>
      </c>
      <c r="BF557" s="77">
        <v>81991117056</v>
      </c>
      <c r="BG557" s="77">
        <v>82243032070</v>
      </c>
      <c r="BH557" s="77">
        <v>81292422889</v>
      </c>
      <c r="BI557" s="77">
        <v>81277082368</v>
      </c>
      <c r="BJ557" s="77">
        <v>81384651220</v>
      </c>
      <c r="BK557" s="77">
        <v>81227610454</v>
      </c>
      <c r="BP557" s="18" t="s">
        <v>7363</v>
      </c>
      <c r="BQ557" s="37">
        <v>45145</v>
      </c>
      <c r="BR557" s="8">
        <f t="shared" si="2"/>
        <v>9</v>
      </c>
    </row>
    <row r="558" spans="1:70" ht="14">
      <c r="A558" s="4" t="str">
        <v>Reguler Periode ke-111 I.C.1</v>
      </c>
      <c r="B558" s="4" t="s">
        <v>7301</v>
      </c>
      <c r="C558" s="4" t="s">
        <v>320</v>
      </c>
      <c r="D558" s="4" t="s">
        <v>2997</v>
      </c>
      <c r="E558" s="4" t="s">
        <v>3939</v>
      </c>
      <c r="F558" s="4" t="s">
        <v>193</v>
      </c>
      <c r="G558" s="27" t="s">
        <v>7364</v>
      </c>
      <c r="H558" s="27" t="s">
        <v>7365</v>
      </c>
      <c r="I558" s="27" t="s">
        <v>7366</v>
      </c>
      <c r="J558" s="27" t="s">
        <v>7367</v>
      </c>
      <c r="K558" s="27" t="s">
        <v>7368</v>
      </c>
      <c r="L558" s="27" t="s">
        <v>7369</v>
      </c>
      <c r="M558" s="27" t="s">
        <v>7370</v>
      </c>
      <c r="N558" s="27" t="s">
        <v>7371</v>
      </c>
      <c r="O558" s="27" t="s">
        <v>7372</v>
      </c>
      <c r="S558" s="28">
        <v>1900005021</v>
      </c>
      <c r="T558" s="28">
        <v>1900018252</v>
      </c>
      <c r="U558" s="28">
        <v>1900026129</v>
      </c>
      <c r="V558" s="28">
        <v>2000011212</v>
      </c>
      <c r="W558" s="28">
        <v>2000013058</v>
      </c>
      <c r="X558" s="28">
        <v>2000013063</v>
      </c>
      <c r="Y558" s="28">
        <v>2000020025</v>
      </c>
      <c r="Z558" s="28">
        <v>2000025076</v>
      </c>
      <c r="AA558" s="28">
        <v>2000028098</v>
      </c>
      <c r="AE558" s="27" t="s">
        <v>181</v>
      </c>
      <c r="AF558" s="27" t="s">
        <v>179</v>
      </c>
      <c r="AG558" s="27" t="s">
        <v>570</v>
      </c>
      <c r="AH558" s="27" t="s">
        <v>182</v>
      </c>
      <c r="AI558" s="27" t="s">
        <v>677</v>
      </c>
      <c r="AJ558" s="27" t="s">
        <v>677</v>
      </c>
      <c r="AK558" s="27" t="s">
        <v>351</v>
      </c>
      <c r="AL558" s="27" t="s">
        <v>1168</v>
      </c>
      <c r="AM558" s="27" t="s">
        <v>678</v>
      </c>
      <c r="AQ558" s="76" t="s">
        <v>187</v>
      </c>
      <c r="AR558" s="76" t="s">
        <v>187</v>
      </c>
      <c r="AS558" s="76" t="s">
        <v>187</v>
      </c>
      <c r="AT558" s="76" t="s">
        <v>186</v>
      </c>
      <c r="AU558" s="76" t="s">
        <v>186</v>
      </c>
      <c r="AV558" s="76" t="s">
        <v>186</v>
      </c>
      <c r="AW558" s="76" t="s">
        <v>186</v>
      </c>
      <c r="AX558" s="76" t="s">
        <v>186</v>
      </c>
      <c r="AY558" s="76" t="s">
        <v>186</v>
      </c>
      <c r="BC558" s="77">
        <v>81230844013</v>
      </c>
      <c r="BD558" s="77">
        <v>8994163562</v>
      </c>
      <c r="BE558" s="77">
        <v>83151839092</v>
      </c>
      <c r="BF558" s="77">
        <v>89673688980</v>
      </c>
      <c r="BG558" s="77">
        <v>85765657083</v>
      </c>
      <c r="BH558" s="77">
        <v>85789459493</v>
      </c>
      <c r="BI558" s="77">
        <v>81237375709</v>
      </c>
      <c r="BJ558" s="77">
        <v>895622375668</v>
      </c>
      <c r="BK558" s="77">
        <v>81228607842</v>
      </c>
      <c r="BP558" s="18" t="s">
        <v>7373</v>
      </c>
      <c r="BQ558" s="37">
        <v>45145</v>
      </c>
      <c r="BR558" s="8">
        <f t="shared" si="2"/>
        <v>9</v>
      </c>
    </row>
    <row r="559" spans="1:70" ht="14">
      <c r="A559" s="4" t="str">
        <v>Reguler Periode ke-111 I.C.2</v>
      </c>
      <c r="B559" s="4" t="s">
        <v>7301</v>
      </c>
      <c r="C559" s="4" t="s">
        <v>340</v>
      </c>
      <c r="D559" s="4" t="s">
        <v>2997</v>
      </c>
      <c r="E559" s="4" t="s">
        <v>3939</v>
      </c>
      <c r="F559" s="4" t="s">
        <v>193</v>
      </c>
      <c r="G559" s="27" t="s">
        <v>7374</v>
      </c>
      <c r="H559" s="27" t="s">
        <v>7375</v>
      </c>
      <c r="I559" s="27" t="s">
        <v>7376</v>
      </c>
      <c r="J559" s="27" t="s">
        <v>7377</v>
      </c>
      <c r="K559" s="27" t="s">
        <v>7378</v>
      </c>
      <c r="L559" s="27" t="s">
        <v>7379</v>
      </c>
      <c r="M559" s="27" t="s">
        <v>7380</v>
      </c>
      <c r="N559" s="27" t="s">
        <v>7381</v>
      </c>
      <c r="O559" s="27" t="s">
        <v>7382</v>
      </c>
      <c r="S559" s="28">
        <v>1800026007</v>
      </c>
      <c r="T559" s="28">
        <v>1900005346</v>
      </c>
      <c r="U559" s="28">
        <v>1900011225</v>
      </c>
      <c r="V559" s="28">
        <v>1900018278</v>
      </c>
      <c r="W559" s="28">
        <v>2000013217</v>
      </c>
      <c r="X559" s="28">
        <v>2000013284</v>
      </c>
      <c r="Y559" s="28">
        <v>2000023160</v>
      </c>
      <c r="Z559" s="28">
        <v>2000025066</v>
      </c>
      <c r="AA559" s="28">
        <v>2000028015</v>
      </c>
      <c r="AE559" s="27" t="s">
        <v>570</v>
      </c>
      <c r="AF559" s="27" t="s">
        <v>181</v>
      </c>
      <c r="AG559" s="27" t="s">
        <v>182</v>
      </c>
      <c r="AH559" s="27" t="s">
        <v>179</v>
      </c>
      <c r="AI559" s="27" t="s">
        <v>677</v>
      </c>
      <c r="AJ559" s="27" t="s">
        <v>677</v>
      </c>
      <c r="AK559" s="27" t="s">
        <v>899</v>
      </c>
      <c r="AL559" s="27" t="s">
        <v>1168</v>
      </c>
      <c r="AM559" s="27" t="s">
        <v>678</v>
      </c>
      <c r="AQ559" s="76" t="s">
        <v>187</v>
      </c>
      <c r="AR559" s="76" t="s">
        <v>187</v>
      </c>
      <c r="AS559" s="76" t="s">
        <v>186</v>
      </c>
      <c r="AT559" s="76" t="s">
        <v>187</v>
      </c>
      <c r="AU559" s="76" t="s">
        <v>186</v>
      </c>
      <c r="AV559" s="76" t="s">
        <v>186</v>
      </c>
      <c r="AW559" s="76" t="s">
        <v>186</v>
      </c>
      <c r="AX559" s="76" t="s">
        <v>186</v>
      </c>
      <c r="AY559" s="76" t="s">
        <v>186</v>
      </c>
      <c r="BC559" s="77">
        <v>85877670856</v>
      </c>
      <c r="BD559" s="77">
        <v>85601345639</v>
      </c>
      <c r="BE559" s="77">
        <v>85233083141</v>
      </c>
      <c r="BF559" s="77">
        <v>81355614231</v>
      </c>
      <c r="BG559" s="77">
        <v>87897754611</v>
      </c>
      <c r="BH559" s="77">
        <v>81337287851</v>
      </c>
      <c r="BI559" s="77">
        <v>81393449544</v>
      </c>
      <c r="BJ559" s="77">
        <v>89653179909</v>
      </c>
      <c r="BK559" s="77">
        <v>83893646763</v>
      </c>
      <c r="BP559" s="18" t="s">
        <v>7383</v>
      </c>
      <c r="BQ559" s="37">
        <v>45145</v>
      </c>
      <c r="BR559" s="8">
        <f t="shared" si="2"/>
        <v>9</v>
      </c>
    </row>
    <row r="560" spans="1:70" ht="14">
      <c r="A560" s="4" t="str">
        <v>Reguler Periode ke-111 I.C.3</v>
      </c>
      <c r="B560" s="4" t="s">
        <v>7301</v>
      </c>
      <c r="C560" s="4" t="s">
        <v>360</v>
      </c>
      <c r="D560" s="4" t="s">
        <v>2997</v>
      </c>
      <c r="E560" s="4" t="s">
        <v>3914</v>
      </c>
      <c r="F560" s="4" t="s">
        <v>193</v>
      </c>
      <c r="G560" s="27" t="s">
        <v>7384</v>
      </c>
      <c r="H560" s="27" t="s">
        <v>7385</v>
      </c>
      <c r="I560" s="27" t="s">
        <v>7386</v>
      </c>
      <c r="J560" s="27" t="s">
        <v>7387</v>
      </c>
      <c r="K560" s="27" t="s">
        <v>7388</v>
      </c>
      <c r="L560" s="27" t="s">
        <v>7389</v>
      </c>
      <c r="M560" s="27" t="s">
        <v>7390</v>
      </c>
      <c r="N560" s="27" t="s">
        <v>7391</v>
      </c>
      <c r="O560" s="27" t="s">
        <v>7392</v>
      </c>
      <c r="S560" s="28">
        <v>1800008038</v>
      </c>
      <c r="T560" s="28">
        <v>1900018208</v>
      </c>
      <c r="U560" s="28">
        <v>2000011179</v>
      </c>
      <c r="V560" s="28">
        <v>2000013132</v>
      </c>
      <c r="W560" s="28">
        <v>2000013200</v>
      </c>
      <c r="X560" s="28">
        <v>2000023221</v>
      </c>
      <c r="Y560" s="28">
        <v>2000025056</v>
      </c>
      <c r="Z560" s="28">
        <v>2000027079</v>
      </c>
      <c r="AA560" s="28">
        <v>2000028057</v>
      </c>
      <c r="AE560" s="27" t="s">
        <v>1111</v>
      </c>
      <c r="AF560" s="27" t="s">
        <v>179</v>
      </c>
      <c r="AG560" s="27" t="s">
        <v>182</v>
      </c>
      <c r="AH560" s="27" t="s">
        <v>677</v>
      </c>
      <c r="AI560" s="27" t="s">
        <v>677</v>
      </c>
      <c r="AJ560" s="27" t="s">
        <v>899</v>
      </c>
      <c r="AK560" s="27" t="s">
        <v>1168</v>
      </c>
      <c r="AL560" s="27" t="s">
        <v>1763</v>
      </c>
      <c r="AM560" s="27" t="s">
        <v>678</v>
      </c>
      <c r="AQ560" s="76" t="s">
        <v>187</v>
      </c>
      <c r="AR560" s="76" t="s">
        <v>187</v>
      </c>
      <c r="AS560" s="76" t="s">
        <v>186</v>
      </c>
      <c r="AT560" s="76" t="s">
        <v>186</v>
      </c>
      <c r="AU560" s="76" t="s">
        <v>186</v>
      </c>
      <c r="AV560" s="76" t="s">
        <v>186</v>
      </c>
      <c r="AW560" s="76" t="s">
        <v>186</v>
      </c>
      <c r="AX560" s="76" t="s">
        <v>187</v>
      </c>
      <c r="AY560" s="76" t="s">
        <v>186</v>
      </c>
      <c r="BC560" s="77">
        <v>81390146588</v>
      </c>
      <c r="BD560" s="77">
        <v>87726897893</v>
      </c>
      <c r="BE560" s="77">
        <v>85643547460</v>
      </c>
      <c r="BF560" s="77">
        <v>81273780903</v>
      </c>
      <c r="BG560" s="77">
        <v>83151418772</v>
      </c>
      <c r="BH560" s="77">
        <v>85251825937</v>
      </c>
      <c r="BI560" s="77">
        <v>85712026402</v>
      </c>
      <c r="BJ560" s="77">
        <v>83875064790</v>
      </c>
      <c r="BK560" s="77">
        <v>88296905192</v>
      </c>
      <c r="BP560" s="18" t="s">
        <v>7393</v>
      </c>
      <c r="BQ560" s="37">
        <v>45145</v>
      </c>
      <c r="BR560" s="8">
        <f t="shared" si="2"/>
        <v>9</v>
      </c>
    </row>
    <row r="561" spans="1:70" ht="14.5">
      <c r="A561" s="4" t="str">
        <v>Reguler Periode ke-111 I.D.1</v>
      </c>
      <c r="B561" s="4" t="s">
        <v>7301</v>
      </c>
      <c r="C561" s="4" t="s">
        <v>379</v>
      </c>
      <c r="D561" s="4" t="s">
        <v>3074</v>
      </c>
      <c r="E561" s="4" t="s">
        <v>3866</v>
      </c>
      <c r="F561" s="4" t="s">
        <v>193</v>
      </c>
      <c r="G561" s="27" t="s">
        <v>7394</v>
      </c>
      <c r="H561" s="27" t="s">
        <v>7395</v>
      </c>
      <c r="I561" s="27" t="s">
        <v>7396</v>
      </c>
      <c r="J561" s="27" t="s">
        <v>7397</v>
      </c>
      <c r="K561" s="27" t="s">
        <v>7398</v>
      </c>
      <c r="L561" s="27" t="s">
        <v>7399</v>
      </c>
      <c r="M561" s="27" t="s">
        <v>7400</v>
      </c>
      <c r="N561" s="27" t="s">
        <v>7401</v>
      </c>
      <c r="O561" s="27" t="s">
        <v>7402</v>
      </c>
      <c r="P561" s="73"/>
      <c r="S561" s="28">
        <v>1900010109</v>
      </c>
      <c r="T561" s="28">
        <v>2000011270</v>
      </c>
      <c r="U561" s="28">
        <v>2000013002</v>
      </c>
      <c r="V561" s="28">
        <v>2000013174</v>
      </c>
      <c r="W561" s="28">
        <v>2000018286</v>
      </c>
      <c r="X561" s="28">
        <v>2000023211</v>
      </c>
      <c r="Y561" s="28">
        <v>2000025027</v>
      </c>
      <c r="Z561" s="28">
        <v>2000027034</v>
      </c>
      <c r="AA561" s="28">
        <v>2000028072</v>
      </c>
      <c r="AE561" s="27" t="s">
        <v>532</v>
      </c>
      <c r="AF561" s="27" t="s">
        <v>182</v>
      </c>
      <c r="AG561" s="27" t="s">
        <v>677</v>
      </c>
      <c r="AH561" s="27" t="s">
        <v>677</v>
      </c>
      <c r="AI561" s="27" t="s">
        <v>179</v>
      </c>
      <c r="AJ561" s="27" t="s">
        <v>899</v>
      </c>
      <c r="AK561" s="27" t="s">
        <v>1168</v>
      </c>
      <c r="AL561" s="27" t="s">
        <v>1763</v>
      </c>
      <c r="AM561" s="27" t="s">
        <v>678</v>
      </c>
      <c r="AN561" s="73"/>
      <c r="AQ561" s="76" t="s">
        <v>187</v>
      </c>
      <c r="AR561" s="76" t="s">
        <v>186</v>
      </c>
      <c r="AS561" s="76" t="s">
        <v>186</v>
      </c>
      <c r="AT561" s="76" t="s">
        <v>186</v>
      </c>
      <c r="AU561" s="76" t="s">
        <v>187</v>
      </c>
      <c r="AV561" s="76" t="s">
        <v>186</v>
      </c>
      <c r="AW561" s="76" t="s">
        <v>186</v>
      </c>
      <c r="AX561" s="76" t="s">
        <v>187</v>
      </c>
      <c r="AY561" s="76" t="s">
        <v>186</v>
      </c>
      <c r="BC561" s="77">
        <v>81578864282</v>
      </c>
      <c r="BD561" s="77">
        <v>82319123058</v>
      </c>
      <c r="BE561" s="77">
        <v>88213718703</v>
      </c>
      <c r="BF561" s="77">
        <v>85157778482</v>
      </c>
      <c r="BG561" s="77">
        <v>89524506009</v>
      </c>
      <c r="BH561" s="77">
        <v>81282578048</v>
      </c>
      <c r="BI561" s="77">
        <v>8877169946</v>
      </c>
      <c r="BJ561" s="77">
        <v>82236179510</v>
      </c>
      <c r="BK561" s="77">
        <v>87747872763</v>
      </c>
      <c r="BP561" s="18" t="s">
        <v>7403</v>
      </c>
      <c r="BQ561" s="37">
        <v>45145</v>
      </c>
      <c r="BR561" s="8">
        <f t="shared" si="2"/>
        <v>9</v>
      </c>
    </row>
    <row r="562" spans="1:70" ht="14.5">
      <c r="A562" s="4" t="str">
        <v>Reguler Periode ke-111 I.D.2</v>
      </c>
      <c r="B562" s="4" t="s">
        <v>7301</v>
      </c>
      <c r="C562" s="4" t="s">
        <v>642</v>
      </c>
      <c r="D562" s="4" t="s">
        <v>3074</v>
      </c>
      <c r="E562" s="4" t="s">
        <v>3866</v>
      </c>
      <c r="F562" s="4" t="s">
        <v>193</v>
      </c>
      <c r="G562" s="27" t="s">
        <v>7404</v>
      </c>
      <c r="H562" s="27" t="s">
        <v>7405</v>
      </c>
      <c r="I562" s="27" t="s">
        <v>7406</v>
      </c>
      <c r="J562" s="27" t="s">
        <v>7407</v>
      </c>
      <c r="K562" s="27" t="s">
        <v>7408</v>
      </c>
      <c r="L562" s="27" t="s">
        <v>7409</v>
      </c>
      <c r="M562" s="27" t="s">
        <v>7410</v>
      </c>
      <c r="N562" s="27" t="s">
        <v>7411</v>
      </c>
      <c r="O562" s="27" t="s">
        <v>7412</v>
      </c>
      <c r="P562" s="73"/>
      <c r="S562" s="28">
        <v>1800018253</v>
      </c>
      <c r="T562" s="28">
        <v>1900010168</v>
      </c>
      <c r="U562" s="28">
        <v>1900013013</v>
      </c>
      <c r="V562" s="28">
        <v>2000013041</v>
      </c>
      <c r="W562" s="28">
        <v>2000020088</v>
      </c>
      <c r="X562" s="28">
        <v>2000023184</v>
      </c>
      <c r="Y562" s="28">
        <v>2000025079</v>
      </c>
      <c r="Z562" s="28">
        <v>2000027016</v>
      </c>
      <c r="AA562" s="28">
        <v>2000028067</v>
      </c>
      <c r="AE562" s="27" t="s">
        <v>179</v>
      </c>
      <c r="AF562" s="27" t="s">
        <v>532</v>
      </c>
      <c r="AG562" s="27" t="s">
        <v>677</v>
      </c>
      <c r="AH562" s="27" t="s">
        <v>677</v>
      </c>
      <c r="AI562" s="27" t="s">
        <v>351</v>
      </c>
      <c r="AJ562" s="27" t="s">
        <v>899</v>
      </c>
      <c r="AK562" s="27" t="s">
        <v>1168</v>
      </c>
      <c r="AL562" s="27" t="s">
        <v>1763</v>
      </c>
      <c r="AM562" s="27" t="s">
        <v>678</v>
      </c>
      <c r="AN562" s="73"/>
      <c r="AQ562" s="76" t="s">
        <v>187</v>
      </c>
      <c r="AR562" s="76" t="s">
        <v>187</v>
      </c>
      <c r="AS562" s="76" t="s">
        <v>186</v>
      </c>
      <c r="AT562" s="76" t="s">
        <v>186</v>
      </c>
      <c r="AU562" s="76" t="s">
        <v>186</v>
      </c>
      <c r="AV562" s="76" t="s">
        <v>186</v>
      </c>
      <c r="AW562" s="76" t="s">
        <v>186</v>
      </c>
      <c r="AX562" s="76" t="s">
        <v>187</v>
      </c>
      <c r="AY562" s="76" t="s">
        <v>186</v>
      </c>
      <c r="BC562" s="77">
        <v>82134420013</v>
      </c>
      <c r="BD562" s="77">
        <v>82347144620</v>
      </c>
      <c r="BE562" s="77">
        <v>81283574038</v>
      </c>
      <c r="BF562" s="77">
        <v>81271271024</v>
      </c>
      <c r="BG562" s="77">
        <v>81385732354</v>
      </c>
      <c r="BH562" s="77">
        <v>85156236620</v>
      </c>
      <c r="BI562" s="77">
        <v>82241766866</v>
      </c>
      <c r="BJ562" s="77">
        <v>82371035508</v>
      </c>
      <c r="BK562" s="77">
        <v>85325953123</v>
      </c>
      <c r="BP562" s="18" t="s">
        <v>7413</v>
      </c>
      <c r="BQ562" s="37">
        <v>45145</v>
      </c>
      <c r="BR562" s="8">
        <f t="shared" si="2"/>
        <v>9</v>
      </c>
    </row>
    <row r="563" spans="1:70" ht="14.5">
      <c r="A563" s="4" t="str">
        <v>Reguler Periode ke-111 I.D.3</v>
      </c>
      <c r="B563" s="4" t="s">
        <v>7301</v>
      </c>
      <c r="C563" s="4" t="s">
        <v>654</v>
      </c>
      <c r="D563" s="4" t="s">
        <v>3074</v>
      </c>
      <c r="E563" s="4" t="s">
        <v>4025</v>
      </c>
      <c r="F563" s="4" t="s">
        <v>193</v>
      </c>
      <c r="G563" s="27" t="s">
        <v>7414</v>
      </c>
      <c r="H563" s="27" t="s">
        <v>7415</v>
      </c>
      <c r="I563" s="27" t="s">
        <v>7416</v>
      </c>
      <c r="J563" s="27" t="s">
        <v>7417</v>
      </c>
      <c r="K563" s="27" t="s">
        <v>7418</v>
      </c>
      <c r="L563" s="27" t="s">
        <v>7419</v>
      </c>
      <c r="M563" s="27" t="s">
        <v>7420</v>
      </c>
      <c r="N563" s="27" t="s">
        <v>7421</v>
      </c>
      <c r="O563" s="27" t="s">
        <v>7422</v>
      </c>
      <c r="P563" s="73"/>
      <c r="S563" s="28">
        <v>1900010097</v>
      </c>
      <c r="T563" s="28">
        <v>1900018057</v>
      </c>
      <c r="U563" s="28">
        <v>2000011238</v>
      </c>
      <c r="V563" s="28">
        <v>2000013076</v>
      </c>
      <c r="W563" s="28">
        <v>2000013285</v>
      </c>
      <c r="X563" s="28">
        <v>2000023189</v>
      </c>
      <c r="Y563" s="28">
        <v>2000025087</v>
      </c>
      <c r="Z563" s="28">
        <v>2000027042</v>
      </c>
      <c r="AA563" s="28">
        <v>2000028025</v>
      </c>
      <c r="AE563" s="27" t="s">
        <v>532</v>
      </c>
      <c r="AF563" s="27" t="s">
        <v>179</v>
      </c>
      <c r="AG563" s="27" t="s">
        <v>182</v>
      </c>
      <c r="AH563" s="27" t="s">
        <v>677</v>
      </c>
      <c r="AI563" s="27" t="s">
        <v>677</v>
      </c>
      <c r="AJ563" s="27" t="s">
        <v>899</v>
      </c>
      <c r="AK563" s="27" t="s">
        <v>1168</v>
      </c>
      <c r="AL563" s="27" t="s">
        <v>1763</v>
      </c>
      <c r="AM563" s="27" t="s">
        <v>678</v>
      </c>
      <c r="AN563" s="73"/>
      <c r="AQ563" s="76" t="s">
        <v>187</v>
      </c>
      <c r="AR563" s="76" t="s">
        <v>187</v>
      </c>
      <c r="AS563" s="76" t="s">
        <v>186</v>
      </c>
      <c r="AT563" s="76" t="s">
        <v>186</v>
      </c>
      <c r="AU563" s="76" t="s">
        <v>186</v>
      </c>
      <c r="AV563" s="76" t="s">
        <v>186</v>
      </c>
      <c r="AW563" s="76" t="s">
        <v>186</v>
      </c>
      <c r="AX563" s="76" t="s">
        <v>187</v>
      </c>
      <c r="AY563" s="76" t="s">
        <v>186</v>
      </c>
      <c r="BC563" s="77">
        <v>8818782081</v>
      </c>
      <c r="BD563" s="77">
        <v>85641737295</v>
      </c>
      <c r="BE563" s="77">
        <v>85701700115</v>
      </c>
      <c r="BF563" s="77">
        <v>81328197477</v>
      </c>
      <c r="BG563" s="77">
        <v>81274593204</v>
      </c>
      <c r="BH563" s="77">
        <v>85384239685</v>
      </c>
      <c r="BI563" s="77">
        <v>87782088081</v>
      </c>
      <c r="BJ563" s="77">
        <v>88233496416</v>
      </c>
      <c r="BK563" s="77">
        <v>87775851014</v>
      </c>
      <c r="BP563" s="18" t="s">
        <v>7423</v>
      </c>
      <c r="BQ563" s="37">
        <v>45145</v>
      </c>
      <c r="BR563" s="8">
        <f t="shared" si="2"/>
        <v>9</v>
      </c>
    </row>
    <row r="564" spans="1:70" ht="14.5">
      <c r="A564" s="4" t="str">
        <v>Reguler Periode ke-111 II.A.1</v>
      </c>
      <c r="B564" s="4" t="s">
        <v>7301</v>
      </c>
      <c r="C564" s="4" t="s">
        <v>680</v>
      </c>
      <c r="D564" s="4" t="s">
        <v>240</v>
      </c>
      <c r="E564" s="4" t="s">
        <v>7424</v>
      </c>
      <c r="F564" s="4" t="s">
        <v>193</v>
      </c>
      <c r="G564" s="27" t="s">
        <v>7425</v>
      </c>
      <c r="H564" s="27" t="s">
        <v>7426</v>
      </c>
      <c r="I564" s="27" t="s">
        <v>7427</v>
      </c>
      <c r="J564" s="27" t="s">
        <v>7428</v>
      </c>
      <c r="K564" s="27" t="s">
        <v>7429</v>
      </c>
      <c r="L564" s="27" t="s">
        <v>7430</v>
      </c>
      <c r="M564" s="27" t="s">
        <v>7431</v>
      </c>
      <c r="N564" s="27" t="s">
        <v>7432</v>
      </c>
      <c r="O564" s="27" t="s">
        <v>7433</v>
      </c>
      <c r="S564" s="28">
        <v>1800018035</v>
      </c>
      <c r="T564" s="28">
        <v>1900010128</v>
      </c>
      <c r="U564" s="28">
        <v>1900027094</v>
      </c>
      <c r="V564" s="28">
        <v>2000011268</v>
      </c>
      <c r="W564" s="28">
        <v>2000013093</v>
      </c>
      <c r="X564" s="28">
        <v>2000013139</v>
      </c>
      <c r="Y564" s="28">
        <v>2000023022</v>
      </c>
      <c r="Z564" s="28">
        <v>2000025039</v>
      </c>
      <c r="AA564" s="28">
        <v>2000028120</v>
      </c>
      <c r="AE564" s="27" t="s">
        <v>179</v>
      </c>
      <c r="AF564" s="27" t="s">
        <v>532</v>
      </c>
      <c r="AG564" s="27" t="s">
        <v>1763</v>
      </c>
      <c r="AH564" s="27" t="s">
        <v>182</v>
      </c>
      <c r="AI564" s="27" t="s">
        <v>677</v>
      </c>
      <c r="AJ564" s="27" t="s">
        <v>677</v>
      </c>
      <c r="AK564" s="27" t="s">
        <v>899</v>
      </c>
      <c r="AL564" s="27" t="s">
        <v>1168</v>
      </c>
      <c r="AM564" s="27" t="s">
        <v>678</v>
      </c>
      <c r="AN564" s="73"/>
      <c r="AQ564" s="76" t="s">
        <v>187</v>
      </c>
      <c r="AR564" s="76" t="s">
        <v>187</v>
      </c>
      <c r="AS564" s="76" t="s">
        <v>187</v>
      </c>
      <c r="AT564" s="76" t="s">
        <v>186</v>
      </c>
      <c r="AU564" s="76" t="s">
        <v>186</v>
      </c>
      <c r="AV564" s="76" t="s">
        <v>186</v>
      </c>
      <c r="AW564" s="76" t="s">
        <v>186</v>
      </c>
      <c r="AX564" s="76" t="s">
        <v>186</v>
      </c>
      <c r="AY564" s="76" t="s">
        <v>186</v>
      </c>
      <c r="BC564" s="77">
        <v>87819774672</v>
      </c>
      <c r="BD564" s="77">
        <v>83112018498</v>
      </c>
      <c r="BE564" s="77">
        <v>85773474090</v>
      </c>
      <c r="BF564" s="77">
        <v>85753423328</v>
      </c>
      <c r="BG564" s="77">
        <v>82138809791</v>
      </c>
      <c r="BH564" s="77">
        <v>82251792887</v>
      </c>
      <c r="BI564" s="77">
        <v>85842769097</v>
      </c>
      <c r="BJ564" s="77">
        <v>895415483272</v>
      </c>
      <c r="BK564" s="77">
        <v>81393921105</v>
      </c>
      <c r="BP564" s="18" t="s">
        <v>7434</v>
      </c>
      <c r="BQ564" s="37">
        <v>45145</v>
      </c>
      <c r="BR564" s="8">
        <f t="shared" si="2"/>
        <v>9</v>
      </c>
    </row>
    <row r="565" spans="1:70" ht="14.5">
      <c r="A565" s="4" t="str">
        <v>Reguler Periode ke-111 II.A.2</v>
      </c>
      <c r="B565" s="4" t="s">
        <v>7301</v>
      </c>
      <c r="C565" s="4" t="s">
        <v>694</v>
      </c>
      <c r="D565" s="4" t="s">
        <v>240</v>
      </c>
      <c r="E565" s="4" t="s">
        <v>7424</v>
      </c>
      <c r="F565" s="4" t="s">
        <v>193</v>
      </c>
      <c r="G565" s="27" t="s">
        <v>7435</v>
      </c>
      <c r="H565" s="27" t="s">
        <v>7436</v>
      </c>
      <c r="I565" s="27" t="s">
        <v>7437</v>
      </c>
      <c r="J565" s="27" t="s">
        <v>7438</v>
      </c>
      <c r="K565" s="27" t="s">
        <v>7439</v>
      </c>
      <c r="L565" s="27" t="s">
        <v>7440</v>
      </c>
      <c r="M565" s="27" t="s">
        <v>7441</v>
      </c>
      <c r="N565" s="27" t="s">
        <v>7442</v>
      </c>
      <c r="O565" s="27" t="s">
        <v>7443</v>
      </c>
      <c r="P565" s="73"/>
      <c r="S565" s="28">
        <v>1900010186</v>
      </c>
      <c r="T565" s="28">
        <v>1900018064</v>
      </c>
      <c r="U565" s="28">
        <v>2000011266</v>
      </c>
      <c r="V565" s="28">
        <v>2000013084</v>
      </c>
      <c r="W565" s="28">
        <v>2000013364</v>
      </c>
      <c r="X565" s="28">
        <v>2000023106</v>
      </c>
      <c r="Y565" s="28">
        <v>2000025044</v>
      </c>
      <c r="Z565" s="28">
        <v>2000025103</v>
      </c>
      <c r="AA565" s="28">
        <v>2000027003</v>
      </c>
      <c r="AE565" s="27" t="s">
        <v>532</v>
      </c>
      <c r="AF565" s="27" t="s">
        <v>179</v>
      </c>
      <c r="AG565" s="27" t="s">
        <v>182</v>
      </c>
      <c r="AH565" s="27" t="s">
        <v>677</v>
      </c>
      <c r="AI565" s="27" t="s">
        <v>677</v>
      </c>
      <c r="AJ565" s="27" t="s">
        <v>899</v>
      </c>
      <c r="AK565" s="27" t="s">
        <v>1168</v>
      </c>
      <c r="AL565" s="27" t="s">
        <v>1168</v>
      </c>
      <c r="AM565" s="27" t="s">
        <v>1763</v>
      </c>
      <c r="AQ565" s="76" t="s">
        <v>187</v>
      </c>
      <c r="AR565" s="76" t="s">
        <v>187</v>
      </c>
      <c r="AS565" s="76" t="s">
        <v>186</v>
      </c>
      <c r="AT565" s="76" t="s">
        <v>186</v>
      </c>
      <c r="AU565" s="76" t="s">
        <v>186</v>
      </c>
      <c r="AV565" s="76" t="s">
        <v>186</v>
      </c>
      <c r="AW565" s="76" t="s">
        <v>186</v>
      </c>
      <c r="AX565" s="76" t="s">
        <v>186</v>
      </c>
      <c r="AY565" s="76" t="s">
        <v>187</v>
      </c>
      <c r="BC565" s="77">
        <v>85713521621</v>
      </c>
      <c r="BD565" s="77">
        <v>85338109084</v>
      </c>
      <c r="BE565" s="77">
        <v>87896676723</v>
      </c>
      <c r="BF565" s="77">
        <v>82252726856</v>
      </c>
      <c r="BG565" s="77">
        <v>85367361417</v>
      </c>
      <c r="BH565" s="77">
        <v>81397992923</v>
      </c>
      <c r="BI565" s="77">
        <v>83834667774</v>
      </c>
      <c r="BJ565" s="77">
        <v>81578257238</v>
      </c>
      <c r="BK565" s="77">
        <v>88286120794</v>
      </c>
      <c r="BP565" s="18" t="s">
        <v>7444</v>
      </c>
      <c r="BQ565" s="37">
        <v>45145</v>
      </c>
      <c r="BR565" s="8">
        <f t="shared" si="2"/>
        <v>9</v>
      </c>
    </row>
    <row r="566" spans="1:70" ht="14.5">
      <c r="A566" s="4" t="str">
        <v>Reguler Periode ke-111 II.A.3</v>
      </c>
      <c r="B566" s="4" t="s">
        <v>7301</v>
      </c>
      <c r="C566" s="4" t="s">
        <v>707</v>
      </c>
      <c r="D566" s="4" t="s">
        <v>240</v>
      </c>
      <c r="E566" s="4" t="s">
        <v>4013</v>
      </c>
      <c r="F566" s="4" t="s">
        <v>193</v>
      </c>
      <c r="G566" s="27" t="s">
        <v>7445</v>
      </c>
      <c r="H566" s="27" t="s">
        <v>7446</v>
      </c>
      <c r="I566" s="27" t="s">
        <v>7447</v>
      </c>
      <c r="J566" s="27" t="s">
        <v>7448</v>
      </c>
      <c r="K566" s="27" t="s">
        <v>7449</v>
      </c>
      <c r="L566" s="27" t="s">
        <v>7450</v>
      </c>
      <c r="M566" s="27" t="s">
        <v>7451</v>
      </c>
      <c r="N566" s="27" t="s">
        <v>7452</v>
      </c>
      <c r="O566" s="27" t="s">
        <v>7453</v>
      </c>
      <c r="P566" s="73"/>
      <c r="Q566" s="73"/>
      <c r="S566" s="28">
        <v>1900010016</v>
      </c>
      <c r="T566" s="28">
        <v>1900011134</v>
      </c>
      <c r="U566" s="28">
        <v>1900019174</v>
      </c>
      <c r="V566" s="28">
        <v>2000013282</v>
      </c>
      <c r="W566" s="28">
        <v>2000013345</v>
      </c>
      <c r="X566" s="28">
        <v>2000023217</v>
      </c>
      <c r="Y566" s="28">
        <v>2000025006</v>
      </c>
      <c r="Z566" s="28">
        <v>2000027002</v>
      </c>
      <c r="AA566" s="28">
        <v>2000028055</v>
      </c>
      <c r="AB566" s="73"/>
      <c r="AE566" s="27" t="s">
        <v>532</v>
      </c>
      <c r="AF566" s="27" t="s">
        <v>182</v>
      </c>
      <c r="AG566" s="27" t="s">
        <v>705</v>
      </c>
      <c r="AH566" s="27" t="s">
        <v>677</v>
      </c>
      <c r="AI566" s="27" t="s">
        <v>677</v>
      </c>
      <c r="AJ566" s="27" t="s">
        <v>899</v>
      </c>
      <c r="AK566" s="27" t="s">
        <v>1168</v>
      </c>
      <c r="AL566" s="27" t="s">
        <v>1763</v>
      </c>
      <c r="AM566" s="27" t="s">
        <v>678</v>
      </c>
      <c r="AN566" s="73"/>
      <c r="AQ566" s="76" t="s">
        <v>187</v>
      </c>
      <c r="AR566" s="76" t="s">
        <v>186</v>
      </c>
      <c r="AS566" s="76" t="s">
        <v>187</v>
      </c>
      <c r="AT566" s="76" t="s">
        <v>186</v>
      </c>
      <c r="AU566" s="76" t="s">
        <v>186</v>
      </c>
      <c r="AV566" s="76" t="s">
        <v>186</v>
      </c>
      <c r="AW566" s="76" t="s">
        <v>186</v>
      </c>
      <c r="AX566" s="76" t="s">
        <v>187</v>
      </c>
      <c r="AY566" s="76" t="s">
        <v>186</v>
      </c>
      <c r="BC566" s="77">
        <v>81271512490</v>
      </c>
      <c r="BD566" s="77">
        <v>82184066120</v>
      </c>
      <c r="BE566" s="77">
        <v>81348570723</v>
      </c>
      <c r="BF566" s="77">
        <v>81329111439</v>
      </c>
      <c r="BG566" s="77">
        <v>83145268551</v>
      </c>
      <c r="BH566" s="77">
        <v>82141614937</v>
      </c>
      <c r="BI566" s="77">
        <v>85201559454</v>
      </c>
      <c r="BJ566" s="77">
        <v>87738221250</v>
      </c>
      <c r="BK566" s="77">
        <v>85695333691</v>
      </c>
      <c r="BP566" s="18" t="s">
        <v>7454</v>
      </c>
      <c r="BQ566" s="37">
        <v>45145</v>
      </c>
      <c r="BR566" s="8">
        <f t="shared" si="2"/>
        <v>9</v>
      </c>
    </row>
    <row r="567" spans="1:70" ht="14.5">
      <c r="A567" s="4" t="str">
        <v>Reguler Periode ke-111 II.B.1</v>
      </c>
      <c r="B567" s="4" t="s">
        <v>7301</v>
      </c>
      <c r="C567" s="4" t="s">
        <v>719</v>
      </c>
      <c r="D567" s="4" t="s">
        <v>288</v>
      </c>
      <c r="E567" s="4" t="s">
        <v>7455</v>
      </c>
      <c r="F567" s="4" t="s">
        <v>193</v>
      </c>
      <c r="G567" s="27" t="s">
        <v>7456</v>
      </c>
      <c r="H567" s="27" t="s">
        <v>7457</v>
      </c>
      <c r="I567" s="27" t="s">
        <v>7458</v>
      </c>
      <c r="J567" s="27" t="s">
        <v>7459</v>
      </c>
      <c r="K567" s="27" t="s">
        <v>7460</v>
      </c>
      <c r="L567" s="27" t="s">
        <v>7461</v>
      </c>
      <c r="M567" s="27" t="s">
        <v>7462</v>
      </c>
      <c r="N567" s="27" t="s">
        <v>7463</v>
      </c>
      <c r="O567" s="27" t="s">
        <v>7464</v>
      </c>
      <c r="P567" s="73"/>
      <c r="Q567" s="73"/>
      <c r="S567" s="28">
        <v>1800010204</v>
      </c>
      <c r="T567" s="28">
        <v>1900011393</v>
      </c>
      <c r="U567" s="28">
        <v>1900019055</v>
      </c>
      <c r="V567" s="28">
        <v>2000013147</v>
      </c>
      <c r="W567" s="28">
        <v>2000013158</v>
      </c>
      <c r="X567" s="28">
        <v>2000023088</v>
      </c>
      <c r="Y567" s="28">
        <v>2000025057</v>
      </c>
      <c r="Z567" s="28">
        <v>2000027028</v>
      </c>
      <c r="AA567" s="28">
        <v>2000028034</v>
      </c>
      <c r="AB567" s="73"/>
      <c r="AC567" s="73"/>
      <c r="AE567" s="27" t="s">
        <v>532</v>
      </c>
      <c r="AF567" s="27" t="s">
        <v>182</v>
      </c>
      <c r="AG567" s="27" t="s">
        <v>705</v>
      </c>
      <c r="AH567" s="27" t="s">
        <v>677</v>
      </c>
      <c r="AI567" s="27" t="s">
        <v>677</v>
      </c>
      <c r="AJ567" s="27" t="s">
        <v>899</v>
      </c>
      <c r="AK567" s="27" t="s">
        <v>1168</v>
      </c>
      <c r="AL567" s="27" t="s">
        <v>1763</v>
      </c>
      <c r="AM567" s="27" t="s">
        <v>678</v>
      </c>
      <c r="AN567" s="73"/>
      <c r="AO567" s="73"/>
      <c r="AQ567" s="76" t="s">
        <v>187</v>
      </c>
      <c r="AR567" s="76" t="s">
        <v>186</v>
      </c>
      <c r="AS567" s="76" t="s">
        <v>187</v>
      </c>
      <c r="AT567" s="76" t="s">
        <v>186</v>
      </c>
      <c r="AU567" s="76" t="s">
        <v>186</v>
      </c>
      <c r="AV567" s="76" t="s">
        <v>186</v>
      </c>
      <c r="AW567" s="76" t="s">
        <v>186</v>
      </c>
      <c r="AX567" s="76" t="s">
        <v>187</v>
      </c>
      <c r="AY567" s="76" t="s">
        <v>186</v>
      </c>
      <c r="BC567" s="77">
        <v>895363363632</v>
      </c>
      <c r="BD567" s="77">
        <v>82175878734</v>
      </c>
      <c r="BE567" s="77">
        <v>81257417829</v>
      </c>
      <c r="BF567" s="77">
        <v>85210335556</v>
      </c>
      <c r="BG567" s="77">
        <v>87774476777</v>
      </c>
      <c r="BH567" s="77">
        <v>82292531444</v>
      </c>
      <c r="BI567" s="77">
        <v>81215963534</v>
      </c>
      <c r="BJ567" s="77">
        <v>87743329586</v>
      </c>
      <c r="BK567" s="77">
        <v>87846060268</v>
      </c>
      <c r="BP567" s="18" t="s">
        <v>7465</v>
      </c>
      <c r="BQ567" s="37">
        <v>45145</v>
      </c>
      <c r="BR567" s="8">
        <f t="shared" si="2"/>
        <v>9</v>
      </c>
    </row>
    <row r="568" spans="1:70" ht="14.5">
      <c r="A568" s="4" t="str">
        <v>Reguler Periode ke-111 II.B.2</v>
      </c>
      <c r="B568" s="4" t="s">
        <v>7301</v>
      </c>
      <c r="C568" s="4" t="s">
        <v>734</v>
      </c>
      <c r="D568" s="4" t="s">
        <v>288</v>
      </c>
      <c r="E568" s="4" t="s">
        <v>3927</v>
      </c>
      <c r="F568" s="4" t="s">
        <v>193</v>
      </c>
      <c r="G568" s="27" t="s">
        <v>7466</v>
      </c>
      <c r="H568" s="27" t="s">
        <v>7467</v>
      </c>
      <c r="I568" s="27" t="s">
        <v>7468</v>
      </c>
      <c r="J568" s="27" t="s">
        <v>7469</v>
      </c>
      <c r="K568" s="27" t="s">
        <v>7470</v>
      </c>
      <c r="L568" s="27" t="s">
        <v>7471</v>
      </c>
      <c r="M568" s="27" t="s">
        <v>7472</v>
      </c>
      <c r="N568" s="27" t="s">
        <v>7473</v>
      </c>
      <c r="O568" s="27" t="s">
        <v>7474</v>
      </c>
      <c r="P568" s="73"/>
      <c r="S568" s="28">
        <v>1800019224</v>
      </c>
      <c r="T568" s="28">
        <v>1900010073</v>
      </c>
      <c r="U568" s="28">
        <v>2000011241</v>
      </c>
      <c r="V568" s="28">
        <v>2000013047</v>
      </c>
      <c r="W568" s="28">
        <v>2000013329</v>
      </c>
      <c r="X568" s="28">
        <v>2000023083</v>
      </c>
      <c r="Y568" s="28">
        <v>2000025051</v>
      </c>
      <c r="Z568" s="28">
        <v>2000028061</v>
      </c>
      <c r="AA568" s="28">
        <v>2000028141</v>
      </c>
      <c r="AB568" s="73"/>
      <c r="AE568" s="27" t="s">
        <v>705</v>
      </c>
      <c r="AF568" s="27" t="s">
        <v>532</v>
      </c>
      <c r="AG568" s="27" t="s">
        <v>182</v>
      </c>
      <c r="AH568" s="27" t="s">
        <v>677</v>
      </c>
      <c r="AI568" s="27" t="s">
        <v>677</v>
      </c>
      <c r="AJ568" s="27" t="s">
        <v>899</v>
      </c>
      <c r="AK568" s="27" t="s">
        <v>1168</v>
      </c>
      <c r="AL568" s="27" t="s">
        <v>678</v>
      </c>
      <c r="AM568" s="27" t="s">
        <v>678</v>
      </c>
      <c r="AN568" s="73"/>
      <c r="AQ568" s="76" t="s">
        <v>187</v>
      </c>
      <c r="AR568" s="76" t="s">
        <v>187</v>
      </c>
      <c r="AS568" s="76" t="s">
        <v>186</v>
      </c>
      <c r="AT568" s="76" t="s">
        <v>186</v>
      </c>
      <c r="AU568" s="76" t="s">
        <v>186</v>
      </c>
      <c r="AV568" s="76" t="s">
        <v>186</v>
      </c>
      <c r="AW568" s="76" t="s">
        <v>186</v>
      </c>
      <c r="AX568" s="76" t="s">
        <v>186</v>
      </c>
      <c r="AY568" s="76" t="s">
        <v>187</v>
      </c>
      <c r="BC568" s="77">
        <v>8112403173</v>
      </c>
      <c r="BD568" s="77">
        <v>85290364555</v>
      </c>
      <c r="BE568" s="77">
        <v>85333196796</v>
      </c>
      <c r="BF568" s="77">
        <v>87874131012</v>
      </c>
      <c r="BG568" s="77">
        <v>85212814881</v>
      </c>
      <c r="BH568" s="77">
        <v>81390064304</v>
      </c>
      <c r="BI568" s="77" t="s">
        <v>7475</v>
      </c>
      <c r="BJ568" s="77">
        <v>85771818218</v>
      </c>
      <c r="BK568" s="77">
        <v>87821101464</v>
      </c>
      <c r="BP568" s="18" t="s">
        <v>7476</v>
      </c>
      <c r="BQ568" s="37">
        <v>45145</v>
      </c>
      <c r="BR568" s="8">
        <f t="shared" si="2"/>
        <v>9</v>
      </c>
    </row>
    <row r="569" spans="1:70" ht="14.5">
      <c r="A569" s="4" t="str">
        <v>Reguler Periode ke-111 II.B.3</v>
      </c>
      <c r="B569" s="4" t="s">
        <v>7301</v>
      </c>
      <c r="C569" s="4" t="s">
        <v>747</v>
      </c>
      <c r="D569" s="4" t="s">
        <v>288</v>
      </c>
      <c r="E569" s="4" t="s">
        <v>3951</v>
      </c>
      <c r="F569" s="4" t="s">
        <v>193</v>
      </c>
      <c r="G569" s="27" t="s">
        <v>7477</v>
      </c>
      <c r="H569" s="27" t="s">
        <v>7478</v>
      </c>
      <c r="I569" s="27" t="s">
        <v>7479</v>
      </c>
      <c r="J569" s="27" t="s">
        <v>7480</v>
      </c>
      <c r="K569" s="27" t="s">
        <v>7481</v>
      </c>
      <c r="L569" s="27" t="s">
        <v>7482</v>
      </c>
      <c r="M569" s="27" t="s">
        <v>7483</v>
      </c>
      <c r="N569" s="27" t="s">
        <v>7484</v>
      </c>
      <c r="O569" s="27" t="s">
        <v>7485</v>
      </c>
      <c r="S569" s="28">
        <v>1800019080</v>
      </c>
      <c r="T569" s="28">
        <v>1900010068</v>
      </c>
      <c r="U569" s="28">
        <v>2000011017</v>
      </c>
      <c r="V569" s="28">
        <v>2000013091</v>
      </c>
      <c r="W569" s="28">
        <v>2000013260</v>
      </c>
      <c r="X569" s="28">
        <v>2000023051</v>
      </c>
      <c r="Y569" s="28">
        <v>2000028047</v>
      </c>
      <c r="Z569" s="28">
        <v>2000028065</v>
      </c>
      <c r="AA569" s="28">
        <v>2000028139</v>
      </c>
      <c r="AE569" s="27" t="s">
        <v>705</v>
      </c>
      <c r="AF569" s="27" t="s">
        <v>532</v>
      </c>
      <c r="AG569" s="27" t="s">
        <v>182</v>
      </c>
      <c r="AH569" s="27" t="s">
        <v>677</v>
      </c>
      <c r="AI569" s="27" t="s">
        <v>677</v>
      </c>
      <c r="AJ569" s="27" t="s">
        <v>899</v>
      </c>
      <c r="AK569" s="27" t="s">
        <v>678</v>
      </c>
      <c r="AL569" s="27" t="s">
        <v>678</v>
      </c>
      <c r="AM569" s="27" t="s">
        <v>678</v>
      </c>
      <c r="AN569" s="73"/>
      <c r="AQ569" s="76" t="s">
        <v>187</v>
      </c>
      <c r="AR569" s="76" t="s">
        <v>187</v>
      </c>
      <c r="AS569" s="76" t="s">
        <v>186</v>
      </c>
      <c r="AT569" s="76" t="s">
        <v>186</v>
      </c>
      <c r="AU569" s="76" t="s">
        <v>186</v>
      </c>
      <c r="AV569" s="76" t="s">
        <v>186</v>
      </c>
      <c r="AW569" s="76" t="s">
        <v>187</v>
      </c>
      <c r="AX569" s="76" t="s">
        <v>186</v>
      </c>
      <c r="AY569" s="76" t="s">
        <v>186</v>
      </c>
      <c r="BC569" s="77">
        <v>82262628504</v>
      </c>
      <c r="BD569" s="14"/>
      <c r="BE569" s="77">
        <v>8816591083</v>
      </c>
      <c r="BF569" s="77">
        <v>82314941639</v>
      </c>
      <c r="BG569" s="77">
        <v>81938523128</v>
      </c>
      <c r="BH569" s="77">
        <v>89633458160</v>
      </c>
      <c r="BI569" s="77">
        <v>82236133064</v>
      </c>
      <c r="BJ569" s="77">
        <v>82210579321</v>
      </c>
      <c r="BK569" s="77">
        <v>85783050541</v>
      </c>
      <c r="BP569" s="18" t="s">
        <v>7486</v>
      </c>
      <c r="BQ569" s="37">
        <v>45145</v>
      </c>
      <c r="BR569" s="8">
        <f t="shared" si="2"/>
        <v>9</v>
      </c>
    </row>
    <row r="570" spans="1:70" ht="14.5">
      <c r="A570" s="4" t="str">
        <v>Reguler Periode ke-111 II.C.1</v>
      </c>
      <c r="B570" s="4" t="s">
        <v>7301</v>
      </c>
      <c r="C570" s="4" t="s">
        <v>772</v>
      </c>
      <c r="D570" s="4" t="s">
        <v>3409</v>
      </c>
      <c r="E570" s="4" t="s">
        <v>7487</v>
      </c>
      <c r="F570" s="4" t="s">
        <v>193</v>
      </c>
      <c r="G570" s="27" t="s">
        <v>7488</v>
      </c>
      <c r="H570" s="27" t="s">
        <v>7489</v>
      </c>
      <c r="I570" s="27" t="s">
        <v>7490</v>
      </c>
      <c r="J570" s="27" t="s">
        <v>7491</v>
      </c>
      <c r="K570" s="27" t="s">
        <v>7492</v>
      </c>
      <c r="L570" s="27" t="s">
        <v>7493</v>
      </c>
      <c r="M570" s="27" t="s">
        <v>7494</v>
      </c>
      <c r="N570" s="27" t="s">
        <v>7495</v>
      </c>
      <c r="O570" s="27" t="s">
        <v>7496</v>
      </c>
      <c r="S570" s="28">
        <v>1800019022</v>
      </c>
      <c r="T570" s="28">
        <v>1900010070</v>
      </c>
      <c r="U570" s="28">
        <v>2000011251</v>
      </c>
      <c r="V570" s="28">
        <v>2000013216</v>
      </c>
      <c r="W570" s="28">
        <v>2000013290</v>
      </c>
      <c r="X570" s="28">
        <v>2000023119</v>
      </c>
      <c r="Y570" s="28">
        <v>2000025078</v>
      </c>
      <c r="Z570" s="28">
        <v>2000028089</v>
      </c>
      <c r="AA570" s="28">
        <v>2000028117</v>
      </c>
      <c r="AE570" s="27" t="s">
        <v>705</v>
      </c>
      <c r="AF570" s="27" t="s">
        <v>532</v>
      </c>
      <c r="AG570" s="27" t="s">
        <v>182</v>
      </c>
      <c r="AH570" s="27" t="s">
        <v>677</v>
      </c>
      <c r="AI570" s="27" t="s">
        <v>677</v>
      </c>
      <c r="AJ570" s="27" t="s">
        <v>899</v>
      </c>
      <c r="AK570" s="27" t="s">
        <v>1168</v>
      </c>
      <c r="AL570" s="27" t="s">
        <v>678</v>
      </c>
      <c r="AM570" s="27" t="s">
        <v>678</v>
      </c>
      <c r="AN570" s="73"/>
      <c r="AQ570" s="76" t="s">
        <v>187</v>
      </c>
      <c r="AR570" s="76" t="s">
        <v>187</v>
      </c>
      <c r="AS570" s="76" t="s">
        <v>186</v>
      </c>
      <c r="AT570" s="76" t="s">
        <v>186</v>
      </c>
      <c r="AU570" s="76" t="s">
        <v>186</v>
      </c>
      <c r="AV570" s="76" t="s">
        <v>186</v>
      </c>
      <c r="AW570" s="76" t="s">
        <v>186</v>
      </c>
      <c r="AX570" s="76" t="s">
        <v>186</v>
      </c>
      <c r="AY570" s="76" t="s">
        <v>187</v>
      </c>
      <c r="BC570" s="77">
        <v>81226003136</v>
      </c>
      <c r="BD570" s="77">
        <v>81239034171</v>
      </c>
      <c r="BE570" s="77">
        <v>89621957774</v>
      </c>
      <c r="BF570" s="77">
        <v>82195665853</v>
      </c>
      <c r="BG570" s="77">
        <v>81224896632</v>
      </c>
      <c r="BH570" s="77">
        <v>89517822748</v>
      </c>
      <c r="BI570" s="77">
        <v>89527923570</v>
      </c>
      <c r="BJ570" s="77">
        <v>82190968621</v>
      </c>
      <c r="BK570" s="77">
        <v>87764316169</v>
      </c>
      <c r="BP570" s="18" t="s">
        <v>7497</v>
      </c>
      <c r="BQ570" s="37">
        <v>45145</v>
      </c>
      <c r="BR570" s="8">
        <f t="shared" si="2"/>
        <v>9</v>
      </c>
    </row>
    <row r="571" spans="1:70" ht="14.5">
      <c r="A571" s="4" t="str">
        <v>Reguler Periode ke-111 II.C.2</v>
      </c>
      <c r="B571" s="4" t="s">
        <v>7301</v>
      </c>
      <c r="C571" s="4" t="s">
        <v>785</v>
      </c>
      <c r="D571" s="4" t="s">
        <v>3409</v>
      </c>
      <c r="E571" s="4" t="s">
        <v>7487</v>
      </c>
      <c r="F571" s="4" t="s">
        <v>193</v>
      </c>
      <c r="G571" s="27" t="s">
        <v>7498</v>
      </c>
      <c r="H571" s="27" t="s">
        <v>7499</v>
      </c>
      <c r="I571" s="27" t="s">
        <v>7500</v>
      </c>
      <c r="J571" s="27" t="s">
        <v>7501</v>
      </c>
      <c r="K571" s="27" t="s">
        <v>7502</v>
      </c>
      <c r="L571" s="27" t="s">
        <v>7503</v>
      </c>
      <c r="M571" s="27" t="s">
        <v>7504</v>
      </c>
      <c r="N571" s="27" t="s">
        <v>7505</v>
      </c>
      <c r="O571" s="27" t="s">
        <v>7506</v>
      </c>
      <c r="P571" s="73"/>
      <c r="S571" s="28">
        <v>1800030140</v>
      </c>
      <c r="T571" s="28">
        <v>1900010014</v>
      </c>
      <c r="U571" s="28">
        <v>1900019164</v>
      </c>
      <c r="V571" s="28">
        <v>2000011195</v>
      </c>
      <c r="W571" s="28">
        <v>2000013181</v>
      </c>
      <c r="X571" s="28">
        <v>2000013301</v>
      </c>
      <c r="Y571" s="28">
        <v>2000023099</v>
      </c>
      <c r="Z571" s="28">
        <v>2000025059</v>
      </c>
      <c r="AA571" s="28">
        <v>2000028053</v>
      </c>
      <c r="AE571" s="27" t="s">
        <v>184</v>
      </c>
      <c r="AF571" s="27" t="s">
        <v>532</v>
      </c>
      <c r="AG571" s="27" t="s">
        <v>705</v>
      </c>
      <c r="AH571" s="27" t="s">
        <v>182</v>
      </c>
      <c r="AI571" s="27" t="s">
        <v>677</v>
      </c>
      <c r="AJ571" s="27" t="s">
        <v>677</v>
      </c>
      <c r="AK571" s="27" t="s">
        <v>899</v>
      </c>
      <c r="AL571" s="27" t="s">
        <v>1168</v>
      </c>
      <c r="AM571" s="27" t="s">
        <v>678</v>
      </c>
      <c r="AN571" s="73"/>
      <c r="AQ571" s="76" t="s">
        <v>186</v>
      </c>
      <c r="AR571" s="76" t="s">
        <v>187</v>
      </c>
      <c r="AS571" s="76" t="s">
        <v>187</v>
      </c>
      <c r="AT571" s="76" t="s">
        <v>186</v>
      </c>
      <c r="AU571" s="76" t="s">
        <v>186</v>
      </c>
      <c r="AV571" s="76" t="s">
        <v>186</v>
      </c>
      <c r="AW571" s="76" t="s">
        <v>186</v>
      </c>
      <c r="AX571" s="76" t="s">
        <v>186</v>
      </c>
      <c r="AY571" s="76" t="s">
        <v>187</v>
      </c>
      <c r="BC571" s="77">
        <v>81296303522</v>
      </c>
      <c r="BD571" s="77">
        <v>82322078958</v>
      </c>
      <c r="BE571" s="77">
        <v>81340016758</v>
      </c>
      <c r="BF571" s="77">
        <v>85333116251</v>
      </c>
      <c r="BG571" s="77">
        <v>82387452007</v>
      </c>
      <c r="BH571" s="77">
        <v>81314357309</v>
      </c>
      <c r="BI571" s="77">
        <v>895346093304</v>
      </c>
      <c r="BJ571" s="77">
        <v>81541134287</v>
      </c>
      <c r="BK571" s="77">
        <v>81225688486</v>
      </c>
      <c r="BP571" s="18" t="s">
        <v>7507</v>
      </c>
      <c r="BQ571" s="37">
        <v>45145</v>
      </c>
      <c r="BR571" s="8">
        <f t="shared" si="2"/>
        <v>9</v>
      </c>
    </row>
    <row r="572" spans="1:70" ht="14.5">
      <c r="A572" s="4" t="str">
        <v>Reguler Periode ke-111 II.C.3</v>
      </c>
      <c r="B572" s="4" t="s">
        <v>7301</v>
      </c>
      <c r="C572" s="4" t="s">
        <v>797</v>
      </c>
      <c r="D572" s="4" t="s">
        <v>3409</v>
      </c>
      <c r="E572" s="4" t="s">
        <v>3891</v>
      </c>
      <c r="F572" s="4" t="s">
        <v>193</v>
      </c>
      <c r="G572" s="27" t="s">
        <v>7508</v>
      </c>
      <c r="H572" s="27" t="s">
        <v>7509</v>
      </c>
      <c r="I572" s="27" t="s">
        <v>7510</v>
      </c>
      <c r="J572" s="27" t="s">
        <v>7511</v>
      </c>
      <c r="K572" s="27" t="s">
        <v>7512</v>
      </c>
      <c r="L572" s="27" t="s">
        <v>7513</v>
      </c>
      <c r="M572" s="27" t="s">
        <v>7514</v>
      </c>
      <c r="N572" s="27" t="s">
        <v>7515</v>
      </c>
      <c r="O572" s="27" t="s">
        <v>7516</v>
      </c>
      <c r="P572" s="73"/>
      <c r="S572" s="28">
        <v>1800019267</v>
      </c>
      <c r="T572" s="28">
        <v>1900010115</v>
      </c>
      <c r="U572" s="28">
        <v>2000011091</v>
      </c>
      <c r="V572" s="28">
        <v>2000013014</v>
      </c>
      <c r="W572" s="28">
        <v>2000013164</v>
      </c>
      <c r="X572" s="28">
        <v>2000023031</v>
      </c>
      <c r="Y572" s="28">
        <v>2000025060</v>
      </c>
      <c r="Z572" s="28">
        <v>2000028109</v>
      </c>
      <c r="AA572" s="28">
        <v>2000030154</v>
      </c>
      <c r="AE572" s="27" t="s">
        <v>705</v>
      </c>
      <c r="AF572" s="27" t="s">
        <v>532</v>
      </c>
      <c r="AG572" s="27" t="s">
        <v>182</v>
      </c>
      <c r="AH572" s="27" t="s">
        <v>677</v>
      </c>
      <c r="AI572" s="27" t="s">
        <v>677</v>
      </c>
      <c r="AJ572" s="27" t="s">
        <v>899</v>
      </c>
      <c r="AK572" s="27" t="s">
        <v>1168</v>
      </c>
      <c r="AL572" s="27" t="s">
        <v>678</v>
      </c>
      <c r="AM572" s="27" t="s">
        <v>184</v>
      </c>
      <c r="AN572" s="73"/>
      <c r="AQ572" s="76" t="s">
        <v>187</v>
      </c>
      <c r="AR572" s="76" t="s">
        <v>187</v>
      </c>
      <c r="AS572" s="76" t="s">
        <v>186</v>
      </c>
      <c r="AT572" s="76" t="s">
        <v>186</v>
      </c>
      <c r="AU572" s="76" t="s">
        <v>186</v>
      </c>
      <c r="AV572" s="76" t="s">
        <v>186</v>
      </c>
      <c r="AW572" s="76" t="s">
        <v>186</v>
      </c>
      <c r="AX572" s="76" t="s">
        <v>187</v>
      </c>
      <c r="AY572" s="76" t="s">
        <v>186</v>
      </c>
      <c r="BC572" s="77">
        <v>81279459081</v>
      </c>
      <c r="BD572" s="77">
        <v>85700416150</v>
      </c>
      <c r="BE572" s="77">
        <v>81937175136</v>
      </c>
      <c r="BF572" s="77">
        <v>85602939185</v>
      </c>
      <c r="BG572" s="77">
        <v>82141171708</v>
      </c>
      <c r="BH572" s="77">
        <v>85291377375</v>
      </c>
      <c r="BI572" s="77">
        <v>83863095880</v>
      </c>
      <c r="BJ572" s="77">
        <v>87840262460</v>
      </c>
      <c r="BK572" s="77">
        <v>81293195289</v>
      </c>
      <c r="BP572" s="18" t="s">
        <v>7517</v>
      </c>
      <c r="BQ572" s="37">
        <v>45145</v>
      </c>
      <c r="BR572" s="8">
        <f t="shared" si="2"/>
        <v>9</v>
      </c>
    </row>
    <row r="573" spans="1:70" ht="14.5">
      <c r="A573" s="4" t="str">
        <v>Reguler Periode ke-111 II.D.1</v>
      </c>
      <c r="B573" s="4" t="s">
        <v>7301</v>
      </c>
      <c r="C573" s="4" t="s">
        <v>809</v>
      </c>
      <c r="D573" s="4" t="s">
        <v>3665</v>
      </c>
      <c r="E573" s="4" t="s">
        <v>3703</v>
      </c>
      <c r="F573" s="4" t="s">
        <v>193</v>
      </c>
      <c r="G573" s="27" t="s">
        <v>7518</v>
      </c>
      <c r="H573" s="27" t="s">
        <v>7519</v>
      </c>
      <c r="I573" s="27" t="s">
        <v>7520</v>
      </c>
      <c r="J573" s="27" t="s">
        <v>7521</v>
      </c>
      <c r="K573" s="27" t="s">
        <v>7522</v>
      </c>
      <c r="L573" s="27" t="s">
        <v>7523</v>
      </c>
      <c r="M573" s="27" t="s">
        <v>7524</v>
      </c>
      <c r="N573" s="27" t="s">
        <v>7525</v>
      </c>
      <c r="O573" s="27" t="s">
        <v>7526</v>
      </c>
      <c r="P573" s="73"/>
      <c r="Q573" s="73"/>
      <c r="S573" s="28">
        <v>1900010095</v>
      </c>
      <c r="T573" s="28">
        <v>1900030170</v>
      </c>
      <c r="U573" s="28">
        <v>2000013071</v>
      </c>
      <c r="V573" s="28">
        <v>2000013267</v>
      </c>
      <c r="W573" s="28">
        <v>2000013338</v>
      </c>
      <c r="X573" s="28">
        <v>2000020027</v>
      </c>
      <c r="Y573" s="28">
        <v>2000023128</v>
      </c>
      <c r="Z573" s="28">
        <v>2000025064</v>
      </c>
      <c r="AA573" s="28">
        <v>2000028026</v>
      </c>
      <c r="AE573" s="27" t="s">
        <v>532</v>
      </c>
      <c r="AF573" s="27" t="s">
        <v>184</v>
      </c>
      <c r="AG573" s="27" t="s">
        <v>677</v>
      </c>
      <c r="AH573" s="27" t="s">
        <v>677</v>
      </c>
      <c r="AI573" s="27" t="s">
        <v>677</v>
      </c>
      <c r="AJ573" s="27" t="s">
        <v>351</v>
      </c>
      <c r="AK573" s="27" t="s">
        <v>899</v>
      </c>
      <c r="AL573" s="27" t="s">
        <v>1168</v>
      </c>
      <c r="AM573" s="27" t="s">
        <v>678</v>
      </c>
      <c r="AN573" s="73"/>
      <c r="AQ573" s="76" t="s">
        <v>187</v>
      </c>
      <c r="AR573" s="76" t="s">
        <v>186</v>
      </c>
      <c r="AS573" s="76" t="s">
        <v>186</v>
      </c>
      <c r="AT573" s="76" t="s">
        <v>186</v>
      </c>
      <c r="AU573" s="76" t="s">
        <v>186</v>
      </c>
      <c r="AV573" s="76" t="s">
        <v>187</v>
      </c>
      <c r="AW573" s="76" t="s">
        <v>186</v>
      </c>
      <c r="AX573" s="76" t="s">
        <v>186</v>
      </c>
      <c r="AY573" s="76" t="s">
        <v>187</v>
      </c>
      <c r="BC573" s="77">
        <v>85279341969</v>
      </c>
      <c r="BD573" s="77">
        <v>89612968122</v>
      </c>
      <c r="BE573" s="77">
        <v>85801729878</v>
      </c>
      <c r="BF573" s="77">
        <v>87758317963</v>
      </c>
      <c r="BG573" s="77">
        <v>81316264506</v>
      </c>
      <c r="BH573" s="77">
        <v>81319013295</v>
      </c>
      <c r="BI573" s="77">
        <v>82265547147</v>
      </c>
      <c r="BJ573" s="77">
        <v>81239317418</v>
      </c>
      <c r="BK573" s="77">
        <v>82135793530</v>
      </c>
      <c r="BP573" s="18" t="s">
        <v>7527</v>
      </c>
      <c r="BQ573" s="37">
        <v>45145</v>
      </c>
      <c r="BR573" s="8">
        <f t="shared" si="2"/>
        <v>9</v>
      </c>
    </row>
    <row r="574" spans="1:70" ht="14.5">
      <c r="A574" s="4" t="str">
        <v>Reguler Periode ke-111 II.D.2</v>
      </c>
      <c r="B574" s="4" t="s">
        <v>7301</v>
      </c>
      <c r="C574" s="4" t="s">
        <v>824</v>
      </c>
      <c r="D574" s="4" t="s">
        <v>3665</v>
      </c>
      <c r="E574" s="4" t="s">
        <v>3742</v>
      </c>
      <c r="F574" s="4" t="s">
        <v>193</v>
      </c>
      <c r="G574" s="27" t="s">
        <v>7528</v>
      </c>
      <c r="H574" s="27" t="s">
        <v>1675</v>
      </c>
      <c r="I574" s="27" t="s">
        <v>7529</v>
      </c>
      <c r="J574" s="27" t="s">
        <v>7530</v>
      </c>
      <c r="K574" s="27" t="s">
        <v>7531</v>
      </c>
      <c r="L574" s="27" t="s">
        <v>7532</v>
      </c>
      <c r="M574" s="27" t="s">
        <v>7533</v>
      </c>
      <c r="N574" s="27" t="s">
        <v>7534</v>
      </c>
      <c r="O574" s="27" t="s">
        <v>7535</v>
      </c>
      <c r="P574" s="73"/>
      <c r="S574" s="28">
        <v>1900010088</v>
      </c>
      <c r="T574" s="28">
        <v>1900028074</v>
      </c>
      <c r="U574" s="28">
        <v>2000011297</v>
      </c>
      <c r="V574" s="28">
        <v>2000013086</v>
      </c>
      <c r="W574" s="28">
        <v>2000013220</v>
      </c>
      <c r="X574" s="28">
        <v>2000020031</v>
      </c>
      <c r="Y574" s="28">
        <v>2000023111</v>
      </c>
      <c r="Z574" s="28">
        <v>2000025089</v>
      </c>
      <c r="AA574" s="28">
        <v>2000030117</v>
      </c>
      <c r="AE574" s="27" t="s">
        <v>532</v>
      </c>
      <c r="AF574" s="27" t="s">
        <v>678</v>
      </c>
      <c r="AG574" s="27" t="s">
        <v>182</v>
      </c>
      <c r="AH574" s="27" t="s">
        <v>677</v>
      </c>
      <c r="AI574" s="27" t="s">
        <v>677</v>
      </c>
      <c r="AJ574" s="27" t="s">
        <v>351</v>
      </c>
      <c r="AK574" s="27" t="s">
        <v>899</v>
      </c>
      <c r="AL574" s="27" t="s">
        <v>1168</v>
      </c>
      <c r="AM574" s="27" t="s">
        <v>184</v>
      </c>
      <c r="AN574" s="73"/>
      <c r="AQ574" s="76" t="s">
        <v>187</v>
      </c>
      <c r="AR574" s="76" t="s">
        <v>187</v>
      </c>
      <c r="AS574" s="76" t="s">
        <v>186</v>
      </c>
      <c r="AT574" s="76" t="s">
        <v>186</v>
      </c>
      <c r="AU574" s="76" t="s">
        <v>186</v>
      </c>
      <c r="AV574" s="76" t="s">
        <v>187</v>
      </c>
      <c r="AW574" s="76" t="s">
        <v>186</v>
      </c>
      <c r="AX574" s="76" t="s">
        <v>186</v>
      </c>
      <c r="AY574" s="76" t="s">
        <v>186</v>
      </c>
      <c r="BC574" s="77">
        <v>89627682895</v>
      </c>
      <c r="BD574" s="77">
        <v>81228289431</v>
      </c>
      <c r="BE574" s="77">
        <v>81325448550</v>
      </c>
      <c r="BF574" s="77">
        <v>882003984229</v>
      </c>
      <c r="BG574" s="77">
        <v>81242933933</v>
      </c>
      <c r="BH574" s="77">
        <v>85742610701</v>
      </c>
      <c r="BI574" s="77">
        <v>81325879035</v>
      </c>
      <c r="BJ574" s="77">
        <v>83854548996</v>
      </c>
      <c r="BK574" s="77">
        <v>82150698998</v>
      </c>
      <c r="BP574" s="18" t="s">
        <v>7536</v>
      </c>
      <c r="BQ574" s="37">
        <v>45145</v>
      </c>
      <c r="BR574" s="8">
        <f t="shared" si="2"/>
        <v>9</v>
      </c>
    </row>
    <row r="575" spans="1:70" ht="14.5">
      <c r="A575" s="4" t="str">
        <v>Reguler Periode ke-111 II.D.3</v>
      </c>
      <c r="B575" s="4" t="s">
        <v>7301</v>
      </c>
      <c r="C575" s="4" t="s">
        <v>836</v>
      </c>
      <c r="D575" s="4" t="s">
        <v>3665</v>
      </c>
      <c r="E575" s="4" t="s">
        <v>7537</v>
      </c>
      <c r="F575" s="4" t="s">
        <v>193</v>
      </c>
      <c r="G575" s="27" t="s">
        <v>7538</v>
      </c>
      <c r="H575" s="27" t="s">
        <v>7539</v>
      </c>
      <c r="I575" s="27" t="s">
        <v>7540</v>
      </c>
      <c r="J575" s="27" t="s">
        <v>7541</v>
      </c>
      <c r="K575" s="27" t="s">
        <v>7542</v>
      </c>
      <c r="L575" s="27" t="s">
        <v>7543</v>
      </c>
      <c r="M575" s="27" t="s">
        <v>7544</v>
      </c>
      <c r="N575" s="27" t="s">
        <v>7545</v>
      </c>
      <c r="O575" s="27" t="s">
        <v>7546</v>
      </c>
      <c r="S575" s="28">
        <v>1900010060</v>
      </c>
      <c r="T575" s="28">
        <v>1900022063</v>
      </c>
      <c r="U575" s="28">
        <v>2000011155</v>
      </c>
      <c r="V575" s="28">
        <v>2000013300</v>
      </c>
      <c r="W575" s="28">
        <v>2000013351</v>
      </c>
      <c r="X575" s="28">
        <v>2000023240</v>
      </c>
      <c r="Y575" s="28">
        <v>2000025085</v>
      </c>
      <c r="Z575" s="28">
        <v>2000028021</v>
      </c>
      <c r="AA575" s="28">
        <v>2000030153</v>
      </c>
      <c r="AE575" s="27" t="s">
        <v>532</v>
      </c>
      <c r="AF575" s="27" t="s">
        <v>872</v>
      </c>
      <c r="AG575" s="27" t="s">
        <v>182</v>
      </c>
      <c r="AH575" s="27" t="s">
        <v>677</v>
      </c>
      <c r="AI575" s="27" t="s">
        <v>677</v>
      </c>
      <c r="AJ575" s="27" t="s">
        <v>899</v>
      </c>
      <c r="AK575" s="27" t="s">
        <v>1168</v>
      </c>
      <c r="AL575" s="27" t="s">
        <v>678</v>
      </c>
      <c r="AM575" s="27" t="s">
        <v>184</v>
      </c>
      <c r="AN575" s="73"/>
      <c r="AQ575" s="76" t="s">
        <v>187</v>
      </c>
      <c r="AR575" s="76" t="s">
        <v>187</v>
      </c>
      <c r="AS575" s="76" t="s">
        <v>186</v>
      </c>
      <c r="AT575" s="76" t="s">
        <v>186</v>
      </c>
      <c r="AU575" s="76" t="s">
        <v>186</v>
      </c>
      <c r="AV575" s="76" t="s">
        <v>186</v>
      </c>
      <c r="AW575" s="76" t="s">
        <v>186</v>
      </c>
      <c r="AX575" s="76" t="s">
        <v>187</v>
      </c>
      <c r="AY575" s="76" t="s">
        <v>186</v>
      </c>
      <c r="BC575" s="77">
        <v>81392773969</v>
      </c>
      <c r="BD575" s="77">
        <v>81279212983</v>
      </c>
      <c r="BE575" s="77">
        <v>895421999308</v>
      </c>
      <c r="BF575" s="77">
        <v>81228184498</v>
      </c>
      <c r="BG575" s="77">
        <v>83138193179</v>
      </c>
      <c r="BH575" s="77">
        <v>85643275955</v>
      </c>
      <c r="BI575" s="77">
        <v>85875699004</v>
      </c>
      <c r="BJ575" s="77">
        <v>89688319644</v>
      </c>
      <c r="BK575" s="77">
        <v>82181357849</v>
      </c>
      <c r="BP575" s="18" t="s">
        <v>7547</v>
      </c>
      <c r="BQ575" s="37">
        <v>45145</v>
      </c>
      <c r="BR575" s="8">
        <f t="shared" si="2"/>
        <v>9</v>
      </c>
    </row>
    <row r="576" spans="1:70" ht="14.5">
      <c r="A576" s="4" t="str">
        <v>Reguler Periode ke-111 III.A.1</v>
      </c>
      <c r="B576" s="4" t="s">
        <v>7301</v>
      </c>
      <c r="C576" s="4" t="s">
        <v>848</v>
      </c>
      <c r="D576" s="4" t="s">
        <v>3741</v>
      </c>
      <c r="E576" s="4" t="s">
        <v>7548</v>
      </c>
      <c r="F576" s="4" t="s">
        <v>193</v>
      </c>
      <c r="G576" s="27" t="s">
        <v>7549</v>
      </c>
      <c r="H576" s="27" t="s">
        <v>7550</v>
      </c>
      <c r="I576" s="27" t="s">
        <v>7551</v>
      </c>
      <c r="J576" s="27" t="s">
        <v>7552</v>
      </c>
      <c r="K576" s="27" t="s">
        <v>7553</v>
      </c>
      <c r="L576" s="27" t="s">
        <v>7554</v>
      </c>
      <c r="M576" s="27" t="s">
        <v>7555</v>
      </c>
      <c r="N576" s="27" t="s">
        <v>7556</v>
      </c>
      <c r="O576" s="27" t="s">
        <v>7557</v>
      </c>
      <c r="P576" s="73"/>
      <c r="S576" s="28">
        <v>1800010213</v>
      </c>
      <c r="T576" s="28">
        <v>1900022043</v>
      </c>
      <c r="U576" s="28">
        <v>1900030297</v>
      </c>
      <c r="V576" s="28">
        <v>2000013218</v>
      </c>
      <c r="W576" s="28">
        <v>2000013273</v>
      </c>
      <c r="X576" s="28">
        <v>2000023054</v>
      </c>
      <c r="Y576" s="28">
        <v>2000025082</v>
      </c>
      <c r="Z576" s="28">
        <v>2000028110</v>
      </c>
      <c r="AA576" s="28">
        <v>2015011219</v>
      </c>
      <c r="AE576" s="27" t="s">
        <v>532</v>
      </c>
      <c r="AF576" s="27" t="s">
        <v>872</v>
      </c>
      <c r="AG576" s="27" t="s">
        <v>184</v>
      </c>
      <c r="AH576" s="27" t="s">
        <v>677</v>
      </c>
      <c r="AI576" s="27" t="s">
        <v>677</v>
      </c>
      <c r="AJ576" s="27" t="s">
        <v>899</v>
      </c>
      <c r="AK576" s="27" t="s">
        <v>1168</v>
      </c>
      <c r="AL576" s="27" t="s">
        <v>678</v>
      </c>
      <c r="AM576" s="27" t="s">
        <v>182</v>
      </c>
      <c r="AQ576" s="76" t="s">
        <v>187</v>
      </c>
      <c r="AR576" s="76" t="s">
        <v>187</v>
      </c>
      <c r="AS576" s="76" t="s">
        <v>186</v>
      </c>
      <c r="AT576" s="76" t="s">
        <v>186</v>
      </c>
      <c r="AU576" s="76" t="s">
        <v>186</v>
      </c>
      <c r="AV576" s="76" t="s">
        <v>186</v>
      </c>
      <c r="AW576" s="76" t="s">
        <v>186</v>
      </c>
      <c r="AX576" s="76" t="s">
        <v>187</v>
      </c>
      <c r="AY576" s="76" t="s">
        <v>186</v>
      </c>
      <c r="BC576" s="77">
        <v>82322588767</v>
      </c>
      <c r="BD576" s="77">
        <v>81366938918</v>
      </c>
      <c r="BE576" s="77">
        <v>895620206266</v>
      </c>
      <c r="BF576" s="77">
        <v>82178606923</v>
      </c>
      <c r="BG576" s="77">
        <v>81390325922</v>
      </c>
      <c r="BH576" s="77">
        <v>81991071408</v>
      </c>
      <c r="BI576" s="77">
        <v>88239233867</v>
      </c>
      <c r="BJ576" s="77">
        <v>81311831438</v>
      </c>
      <c r="BK576" s="77">
        <v>81515839636</v>
      </c>
      <c r="BP576" s="18" t="s">
        <v>7558</v>
      </c>
      <c r="BQ576" s="37">
        <v>45145</v>
      </c>
      <c r="BR576" s="8">
        <f t="shared" si="2"/>
        <v>9</v>
      </c>
    </row>
    <row r="577" spans="1:70" ht="14.5">
      <c r="A577" s="4" t="str">
        <v>Reguler Periode ke-111 III.A.2</v>
      </c>
      <c r="B577" s="4" t="s">
        <v>7301</v>
      </c>
      <c r="C577" s="4" t="s">
        <v>861</v>
      </c>
      <c r="D577" s="4" t="s">
        <v>3741</v>
      </c>
      <c r="E577" s="4" t="s">
        <v>3653</v>
      </c>
      <c r="F577" s="4" t="s">
        <v>193</v>
      </c>
      <c r="G577" s="27" t="s">
        <v>3942</v>
      </c>
      <c r="H577" s="27" t="s">
        <v>7559</v>
      </c>
      <c r="I577" s="27" t="s">
        <v>7560</v>
      </c>
      <c r="J577" s="27" t="s">
        <v>7561</v>
      </c>
      <c r="K577" s="27" t="s">
        <v>7562</v>
      </c>
      <c r="L577" s="27" t="s">
        <v>7563</v>
      </c>
      <c r="M577" s="27" t="s">
        <v>7564</v>
      </c>
      <c r="N577" s="27" t="s">
        <v>7565</v>
      </c>
      <c r="O577" s="27" t="s">
        <v>7566</v>
      </c>
      <c r="P577" s="73"/>
      <c r="Q577" s="73"/>
      <c r="S577" s="28">
        <v>1900010248</v>
      </c>
      <c r="T577" s="28">
        <v>1900022079</v>
      </c>
      <c r="U577" s="28">
        <v>2000011279</v>
      </c>
      <c r="V577" s="28">
        <v>2000013021</v>
      </c>
      <c r="W577" s="28">
        <v>2000013077</v>
      </c>
      <c r="X577" s="28">
        <v>2000023075</v>
      </c>
      <c r="Y577" s="28">
        <v>2000028118</v>
      </c>
      <c r="Z577" s="28">
        <v>2000030179</v>
      </c>
      <c r="AA577" s="28">
        <v>2015025045</v>
      </c>
      <c r="AB577" s="73"/>
      <c r="AE577" s="27" t="s">
        <v>532</v>
      </c>
      <c r="AF577" s="27" t="s">
        <v>872</v>
      </c>
      <c r="AG577" s="27" t="s">
        <v>182</v>
      </c>
      <c r="AH577" s="27" t="s">
        <v>677</v>
      </c>
      <c r="AI577" s="27" t="s">
        <v>677</v>
      </c>
      <c r="AJ577" s="27" t="s">
        <v>899</v>
      </c>
      <c r="AK577" s="27" t="s">
        <v>678</v>
      </c>
      <c r="AL577" s="27" t="s">
        <v>184</v>
      </c>
      <c r="AM577" s="27" t="s">
        <v>1168</v>
      </c>
      <c r="AN577" s="73"/>
      <c r="AQ577" s="76" t="s">
        <v>187</v>
      </c>
      <c r="AR577" s="76" t="s">
        <v>187</v>
      </c>
      <c r="AS577" s="76" t="s">
        <v>186</v>
      </c>
      <c r="AT577" s="76" t="s">
        <v>186</v>
      </c>
      <c r="AU577" s="76" t="s">
        <v>186</v>
      </c>
      <c r="AV577" s="76" t="s">
        <v>186</v>
      </c>
      <c r="AW577" s="76" t="s">
        <v>187</v>
      </c>
      <c r="AX577" s="76" t="s">
        <v>186</v>
      </c>
      <c r="AY577" s="76" t="s">
        <v>186</v>
      </c>
      <c r="BC577" s="77">
        <v>83867205764</v>
      </c>
      <c r="BD577" s="77">
        <v>82271606660</v>
      </c>
      <c r="BE577" s="77">
        <v>89647673885</v>
      </c>
      <c r="BF577" s="77">
        <v>882003397388</v>
      </c>
      <c r="BG577" s="77">
        <v>81803376334</v>
      </c>
      <c r="BH577" s="77">
        <v>81573083735</v>
      </c>
      <c r="BI577" s="77">
        <v>82215679902</v>
      </c>
      <c r="BJ577" s="77">
        <v>895636190555</v>
      </c>
      <c r="BK577" s="77">
        <v>85726310569</v>
      </c>
      <c r="BP577" s="18" t="s">
        <v>7567</v>
      </c>
      <c r="BQ577" s="37">
        <v>45145</v>
      </c>
      <c r="BR577" s="8">
        <f t="shared" si="2"/>
        <v>9</v>
      </c>
    </row>
    <row r="578" spans="1:70" ht="14.5">
      <c r="A578" s="4" t="str">
        <v>Reguler Periode ke-111 III.A.3</v>
      </c>
      <c r="B578" s="4" t="s">
        <v>7301</v>
      </c>
      <c r="C578" s="4" t="s">
        <v>874</v>
      </c>
      <c r="D578" s="4" t="s">
        <v>3741</v>
      </c>
      <c r="E578" s="4" t="s">
        <v>3641</v>
      </c>
      <c r="F578" s="4" t="s">
        <v>193</v>
      </c>
      <c r="G578" s="27" t="s">
        <v>7568</v>
      </c>
      <c r="H578" s="27" t="s">
        <v>7569</v>
      </c>
      <c r="I578" s="27" t="s">
        <v>7570</v>
      </c>
      <c r="J578" s="27" t="s">
        <v>6646</v>
      </c>
      <c r="K578" s="27" t="s">
        <v>7571</v>
      </c>
      <c r="L578" s="27" t="s">
        <v>7572</v>
      </c>
      <c r="M578" s="27" t="s">
        <v>7573</v>
      </c>
      <c r="N578" s="27" t="s">
        <v>7574</v>
      </c>
      <c r="O578" s="27" t="s">
        <v>7575</v>
      </c>
      <c r="P578" s="73"/>
      <c r="S578" s="28">
        <v>1900010131</v>
      </c>
      <c r="T578" s="28">
        <v>1900022087</v>
      </c>
      <c r="U578" s="28">
        <v>2000011309</v>
      </c>
      <c r="V578" s="28">
        <v>2000013042</v>
      </c>
      <c r="W578" s="28">
        <v>2000013236</v>
      </c>
      <c r="X578" s="28">
        <v>2000023254</v>
      </c>
      <c r="Y578" s="28">
        <v>2000025017</v>
      </c>
      <c r="Z578" s="28">
        <v>2000028007</v>
      </c>
      <c r="AA578" s="28">
        <v>2000030155</v>
      </c>
      <c r="AE578" s="27" t="s">
        <v>532</v>
      </c>
      <c r="AF578" s="27" t="s">
        <v>872</v>
      </c>
      <c r="AG578" s="27" t="s">
        <v>182</v>
      </c>
      <c r="AH578" s="27" t="s">
        <v>677</v>
      </c>
      <c r="AI578" s="27" t="s">
        <v>677</v>
      </c>
      <c r="AJ578" s="27" t="s">
        <v>899</v>
      </c>
      <c r="AK578" s="27" t="s">
        <v>1168</v>
      </c>
      <c r="AL578" s="27" t="s">
        <v>678</v>
      </c>
      <c r="AM578" s="27" t="s">
        <v>184</v>
      </c>
      <c r="AN578" s="73"/>
      <c r="AQ578" s="76" t="s">
        <v>187</v>
      </c>
      <c r="AR578" s="76" t="s">
        <v>187</v>
      </c>
      <c r="AS578" s="76" t="s">
        <v>186</v>
      </c>
      <c r="AT578" s="76" t="s">
        <v>186</v>
      </c>
      <c r="AU578" s="76" t="s">
        <v>186</v>
      </c>
      <c r="AV578" s="76" t="s">
        <v>186</v>
      </c>
      <c r="AW578" s="76" t="s">
        <v>186</v>
      </c>
      <c r="AX578" s="76" t="s">
        <v>187</v>
      </c>
      <c r="AY578" s="76" t="s">
        <v>186</v>
      </c>
      <c r="BC578" s="77">
        <v>895621684073</v>
      </c>
      <c r="BD578" s="77">
        <v>895359664161</v>
      </c>
      <c r="BE578" s="77">
        <v>89518039533</v>
      </c>
      <c r="BF578" s="77">
        <v>81915200753</v>
      </c>
      <c r="BG578" s="77">
        <v>82282133822</v>
      </c>
      <c r="BH578" s="77">
        <v>85802763982</v>
      </c>
      <c r="BI578" s="77">
        <v>81931743993</v>
      </c>
      <c r="BJ578" s="77">
        <v>81973313001</v>
      </c>
      <c r="BK578" s="77">
        <v>85931207217</v>
      </c>
      <c r="BP578" s="18" t="s">
        <v>7576</v>
      </c>
      <c r="BQ578" s="37">
        <v>45145</v>
      </c>
      <c r="BR578" s="8">
        <f t="shared" si="2"/>
        <v>9</v>
      </c>
    </row>
    <row r="579" spans="1:70" ht="14.5">
      <c r="A579" s="4" t="str">
        <v>Reguler Periode ke-111 III.B.1</v>
      </c>
      <c r="B579" s="4" t="s">
        <v>7301</v>
      </c>
      <c r="C579" s="4" t="s">
        <v>887</v>
      </c>
      <c r="D579" s="4" t="s">
        <v>4037</v>
      </c>
      <c r="E579" s="4" t="s">
        <v>3629</v>
      </c>
      <c r="F579" s="4" t="s">
        <v>193</v>
      </c>
      <c r="G579" s="27" t="s">
        <v>7577</v>
      </c>
      <c r="H579" s="27" t="s">
        <v>7578</v>
      </c>
      <c r="I579" s="27" t="s">
        <v>7579</v>
      </c>
      <c r="J579" s="27" t="s">
        <v>7580</v>
      </c>
      <c r="K579" s="27" t="s">
        <v>7581</v>
      </c>
      <c r="L579" s="27" t="s">
        <v>7582</v>
      </c>
      <c r="M579" s="27" t="s">
        <v>7583</v>
      </c>
      <c r="N579" s="27" t="s">
        <v>7584</v>
      </c>
      <c r="O579" s="27" t="s">
        <v>7585</v>
      </c>
      <c r="P579" s="73"/>
      <c r="S579" s="28">
        <v>1900022075</v>
      </c>
      <c r="T579" s="28">
        <v>2000011087</v>
      </c>
      <c r="U579" s="28">
        <v>2000011134</v>
      </c>
      <c r="V579" s="28">
        <v>2000013153</v>
      </c>
      <c r="W579" s="28">
        <v>2000013289</v>
      </c>
      <c r="X579" s="28">
        <v>2000023026</v>
      </c>
      <c r="Y579" s="28">
        <v>2000025084</v>
      </c>
      <c r="Z579" s="28">
        <v>2000028115</v>
      </c>
      <c r="AA579" s="28">
        <v>2000031159</v>
      </c>
      <c r="AE579" s="27" t="s">
        <v>872</v>
      </c>
      <c r="AF579" s="27" t="s">
        <v>182</v>
      </c>
      <c r="AG579" s="27" t="s">
        <v>182</v>
      </c>
      <c r="AH579" s="27" t="s">
        <v>677</v>
      </c>
      <c r="AI579" s="27" t="s">
        <v>677</v>
      </c>
      <c r="AJ579" s="27" t="s">
        <v>899</v>
      </c>
      <c r="AK579" s="27" t="s">
        <v>1168</v>
      </c>
      <c r="AL579" s="27" t="s">
        <v>678</v>
      </c>
      <c r="AM579" s="27" t="s">
        <v>185</v>
      </c>
      <c r="AN579" s="73"/>
      <c r="AO579" s="73"/>
      <c r="AP579" s="73"/>
      <c r="AQ579" s="76" t="s">
        <v>187</v>
      </c>
      <c r="AR579" s="76" t="s">
        <v>187</v>
      </c>
      <c r="AS579" s="76" t="s">
        <v>186</v>
      </c>
      <c r="AT579" s="76" t="s">
        <v>186</v>
      </c>
      <c r="AU579" s="76" t="s">
        <v>186</v>
      </c>
      <c r="AV579" s="76" t="s">
        <v>186</v>
      </c>
      <c r="AW579" s="76" t="s">
        <v>186</v>
      </c>
      <c r="AX579" s="76" t="s">
        <v>187</v>
      </c>
      <c r="AY579" s="76" t="s">
        <v>186</v>
      </c>
      <c r="BC579" s="77">
        <v>85742523729</v>
      </c>
      <c r="BD579" s="77">
        <v>82293447532</v>
      </c>
      <c r="BE579" s="77">
        <v>89521390512</v>
      </c>
      <c r="BF579" s="77">
        <v>87837778194</v>
      </c>
      <c r="BG579" s="77">
        <v>82166869193</v>
      </c>
      <c r="BH579" s="77">
        <v>82211553918</v>
      </c>
      <c r="BI579" s="77">
        <v>85607835837</v>
      </c>
      <c r="BJ579" s="77">
        <v>89506987450</v>
      </c>
      <c r="BK579" s="77">
        <v>85875472844</v>
      </c>
      <c r="BP579" s="18" t="s">
        <v>7586</v>
      </c>
      <c r="BQ579" s="37">
        <v>45145</v>
      </c>
      <c r="BR579" s="8">
        <f t="shared" si="2"/>
        <v>9</v>
      </c>
    </row>
    <row r="580" spans="1:70" ht="14.5">
      <c r="A580" s="4" t="str">
        <v>Reguler Periode ke-111 III.B.2</v>
      </c>
      <c r="B580" s="4" t="s">
        <v>7301</v>
      </c>
      <c r="C580" s="4" t="s">
        <v>901</v>
      </c>
      <c r="D580" s="4" t="s">
        <v>4037</v>
      </c>
      <c r="E580" s="4" t="s">
        <v>3666</v>
      </c>
      <c r="F580" s="4" t="s">
        <v>193</v>
      </c>
      <c r="G580" s="27" t="s">
        <v>7587</v>
      </c>
      <c r="H580" s="27" t="s">
        <v>7588</v>
      </c>
      <c r="I580" s="27" t="s">
        <v>7589</v>
      </c>
      <c r="J580" s="27" t="s">
        <v>7590</v>
      </c>
      <c r="K580" s="27" t="s">
        <v>7591</v>
      </c>
      <c r="L580" s="27" t="s">
        <v>7592</v>
      </c>
      <c r="M580" s="27" t="s">
        <v>7593</v>
      </c>
      <c r="N580" s="27" t="s">
        <v>7594</v>
      </c>
      <c r="O580" s="27" t="s">
        <v>7595</v>
      </c>
      <c r="P580" s="73"/>
      <c r="S580" s="28">
        <v>1900011371</v>
      </c>
      <c r="T580" s="28">
        <v>1900016003</v>
      </c>
      <c r="U580" s="28">
        <v>1900022045</v>
      </c>
      <c r="V580" s="28">
        <v>2000011076</v>
      </c>
      <c r="W580" s="28">
        <v>2000013230</v>
      </c>
      <c r="X580" s="28">
        <v>2000024313</v>
      </c>
      <c r="Y580" s="28">
        <v>2000025036</v>
      </c>
      <c r="Z580" s="28">
        <v>2000028071</v>
      </c>
      <c r="AA580" s="28">
        <v>2000031128</v>
      </c>
      <c r="AB580" s="73"/>
      <c r="AE580" s="27" t="s">
        <v>182</v>
      </c>
      <c r="AF580" s="27" t="s">
        <v>531</v>
      </c>
      <c r="AG580" s="27" t="s">
        <v>872</v>
      </c>
      <c r="AH580" s="27" t="s">
        <v>182</v>
      </c>
      <c r="AI580" s="27" t="s">
        <v>677</v>
      </c>
      <c r="AJ580" s="27" t="s">
        <v>924</v>
      </c>
      <c r="AK580" s="27" t="s">
        <v>1168</v>
      </c>
      <c r="AL580" s="27" t="s">
        <v>678</v>
      </c>
      <c r="AM580" s="27" t="s">
        <v>185</v>
      </c>
      <c r="AN580" s="73"/>
      <c r="AO580" s="73"/>
      <c r="AP580" s="73"/>
      <c r="AQ580" s="76" t="s">
        <v>187</v>
      </c>
      <c r="AR580" s="76" t="s">
        <v>186</v>
      </c>
      <c r="AS580" s="76" t="s">
        <v>187</v>
      </c>
      <c r="AT580" s="76" t="s">
        <v>186</v>
      </c>
      <c r="AU580" s="76" t="s">
        <v>186</v>
      </c>
      <c r="AV580" s="76" t="s">
        <v>186</v>
      </c>
      <c r="AW580" s="76" t="s">
        <v>186</v>
      </c>
      <c r="AX580" s="76" t="s">
        <v>187</v>
      </c>
      <c r="AY580" s="76" t="s">
        <v>186</v>
      </c>
      <c r="BC580" s="77">
        <v>85964332216</v>
      </c>
      <c r="BD580" s="77">
        <v>8195572099</v>
      </c>
      <c r="BE580" s="77">
        <v>81314671560</v>
      </c>
      <c r="BF580" s="77">
        <v>85337397697</v>
      </c>
      <c r="BG580" s="77">
        <v>85766660819</v>
      </c>
      <c r="BH580" s="77">
        <v>81542045805</v>
      </c>
      <c r="BI580" s="77">
        <v>88229732333</v>
      </c>
      <c r="BJ580" s="77">
        <v>81275466090</v>
      </c>
      <c r="BK580" s="77">
        <v>82324169778</v>
      </c>
      <c r="BP580" s="18" t="s">
        <v>7596</v>
      </c>
      <c r="BQ580" s="37">
        <v>45145</v>
      </c>
      <c r="BR580" s="8">
        <f t="shared" si="2"/>
        <v>9</v>
      </c>
    </row>
    <row r="581" spans="1:70" ht="14.5">
      <c r="A581" s="4" t="str">
        <v>Reguler Periode ke-111 III.B.3</v>
      </c>
      <c r="B581" s="4" t="s">
        <v>7301</v>
      </c>
      <c r="C581" s="4" t="s">
        <v>913</v>
      </c>
      <c r="D581" s="4" t="s">
        <v>4037</v>
      </c>
      <c r="E581" s="4" t="s">
        <v>3678</v>
      </c>
      <c r="F581" s="4" t="s">
        <v>193</v>
      </c>
      <c r="G581" s="27" t="s">
        <v>7597</v>
      </c>
      <c r="H581" s="27" t="s">
        <v>7598</v>
      </c>
      <c r="I581" s="27" t="s">
        <v>7599</v>
      </c>
      <c r="J581" s="27" t="s">
        <v>7600</v>
      </c>
      <c r="K581" s="27" t="s">
        <v>7601</v>
      </c>
      <c r="L581" s="27" t="s">
        <v>7602</v>
      </c>
      <c r="M581" s="27" t="s">
        <v>7603</v>
      </c>
      <c r="N581" s="27" t="s">
        <v>7604</v>
      </c>
      <c r="O581" s="27" t="s">
        <v>7605</v>
      </c>
      <c r="S581" s="28">
        <v>1900022046</v>
      </c>
      <c r="T581" s="28">
        <v>1900031002</v>
      </c>
      <c r="U581" s="28">
        <v>2000011248</v>
      </c>
      <c r="V581" s="28">
        <v>2000013167</v>
      </c>
      <c r="W581" s="28">
        <v>2000013186</v>
      </c>
      <c r="X581" s="28">
        <v>2000017010</v>
      </c>
      <c r="Y581" s="28">
        <v>2000024012</v>
      </c>
      <c r="Z581" s="28">
        <v>2000025111</v>
      </c>
      <c r="AA581" s="28">
        <v>2000028014</v>
      </c>
      <c r="AE581" s="27" t="s">
        <v>872</v>
      </c>
      <c r="AF581" s="27" t="s">
        <v>185</v>
      </c>
      <c r="AG581" s="27" t="s">
        <v>182</v>
      </c>
      <c r="AH581" s="27" t="s">
        <v>677</v>
      </c>
      <c r="AI581" s="27" t="s">
        <v>677</v>
      </c>
      <c r="AJ581" s="27" t="s">
        <v>183</v>
      </c>
      <c r="AK581" s="27" t="s">
        <v>924</v>
      </c>
      <c r="AL581" s="27" t="s">
        <v>1168</v>
      </c>
      <c r="AM581" s="27" t="s">
        <v>678</v>
      </c>
      <c r="AN581" s="73"/>
      <c r="AQ581" s="76" t="s">
        <v>187</v>
      </c>
      <c r="AR581" s="76" t="s">
        <v>186</v>
      </c>
      <c r="AS581" s="76" t="s">
        <v>187</v>
      </c>
      <c r="AT581" s="76" t="s">
        <v>186</v>
      </c>
      <c r="AU581" s="76" t="s">
        <v>186</v>
      </c>
      <c r="AV581" s="76" t="s">
        <v>186</v>
      </c>
      <c r="AW581" s="76" t="s">
        <v>186</v>
      </c>
      <c r="AX581" s="76" t="s">
        <v>186</v>
      </c>
      <c r="AY581" s="76" t="s">
        <v>187</v>
      </c>
      <c r="BC581" s="77">
        <v>81327156949</v>
      </c>
      <c r="BD581" s="77">
        <v>895614688040</v>
      </c>
      <c r="BE581" s="77">
        <v>81338902590</v>
      </c>
      <c r="BF581" s="77">
        <v>81223957411</v>
      </c>
      <c r="BG581" s="77">
        <v>85964179772</v>
      </c>
      <c r="BH581" s="77">
        <v>89619987591</v>
      </c>
      <c r="BI581" s="77">
        <v>89606832154</v>
      </c>
      <c r="BJ581" s="77">
        <v>81341129655</v>
      </c>
      <c r="BK581" s="77">
        <v>87856397547</v>
      </c>
      <c r="BP581" s="18" t="s">
        <v>7606</v>
      </c>
      <c r="BQ581" s="37">
        <v>45145</v>
      </c>
      <c r="BR581" s="8">
        <f t="shared" si="2"/>
        <v>9</v>
      </c>
    </row>
    <row r="582" spans="1:70" ht="14.5">
      <c r="A582" s="4" t="str">
        <v>Reguler Periode ke-111 III.C.1</v>
      </c>
      <c r="B582" s="4" t="s">
        <v>7301</v>
      </c>
      <c r="C582" s="4" t="s">
        <v>939</v>
      </c>
      <c r="D582" s="4" t="s">
        <v>3964</v>
      </c>
      <c r="E582" s="4" t="s">
        <v>3690</v>
      </c>
      <c r="F582" s="4" t="s">
        <v>193</v>
      </c>
      <c r="G582" s="27" t="s">
        <v>7607</v>
      </c>
      <c r="H582" s="27" t="s">
        <v>7608</v>
      </c>
      <c r="I582" s="27" t="s">
        <v>7609</v>
      </c>
      <c r="J582" s="27" t="s">
        <v>7610</v>
      </c>
      <c r="K582" s="27" t="s">
        <v>7611</v>
      </c>
      <c r="L582" s="27" t="s">
        <v>7612</v>
      </c>
      <c r="M582" s="27" t="s">
        <v>7613</v>
      </c>
      <c r="N582" s="27" t="s">
        <v>7614</v>
      </c>
      <c r="O582" s="27" t="s">
        <v>7615</v>
      </c>
      <c r="P582" s="73"/>
      <c r="S582" s="28">
        <v>1900023232</v>
      </c>
      <c r="T582" s="28">
        <v>2000011330</v>
      </c>
      <c r="U582" s="28">
        <v>2000011400</v>
      </c>
      <c r="V582" s="28">
        <v>2000013004</v>
      </c>
      <c r="W582" s="28">
        <v>2000017014</v>
      </c>
      <c r="X582" s="28">
        <v>2000024101</v>
      </c>
      <c r="Y582" s="28">
        <v>2000025069</v>
      </c>
      <c r="Z582" s="28">
        <v>2000028146</v>
      </c>
      <c r="AA582" s="28">
        <v>2000032136</v>
      </c>
      <c r="AE582" s="27" t="s">
        <v>899</v>
      </c>
      <c r="AF582" s="27" t="s">
        <v>182</v>
      </c>
      <c r="AG582" s="27" t="s">
        <v>182</v>
      </c>
      <c r="AH582" s="27" t="s">
        <v>677</v>
      </c>
      <c r="AI582" s="27" t="s">
        <v>183</v>
      </c>
      <c r="AJ582" s="27" t="s">
        <v>924</v>
      </c>
      <c r="AK582" s="27" t="s">
        <v>1168</v>
      </c>
      <c r="AL582" s="27" t="s">
        <v>678</v>
      </c>
      <c r="AM582" s="27" t="s">
        <v>732</v>
      </c>
      <c r="AN582" s="73"/>
      <c r="AQ582" s="76" t="s">
        <v>187</v>
      </c>
      <c r="AR582" s="76" t="s">
        <v>187</v>
      </c>
      <c r="AS582" s="76" t="s">
        <v>186</v>
      </c>
      <c r="AT582" s="76" t="s">
        <v>186</v>
      </c>
      <c r="AU582" s="76" t="s">
        <v>186</v>
      </c>
      <c r="AV582" s="76" t="s">
        <v>186</v>
      </c>
      <c r="AW582" s="76" t="s">
        <v>186</v>
      </c>
      <c r="AX582" s="76" t="s">
        <v>187</v>
      </c>
      <c r="AY582" s="76" t="s">
        <v>186</v>
      </c>
      <c r="BC582" s="77">
        <v>82255273979</v>
      </c>
      <c r="BD582" s="77">
        <v>81231113769</v>
      </c>
      <c r="BE582" s="77">
        <v>81938902860</v>
      </c>
      <c r="BF582" s="77">
        <v>81310143950</v>
      </c>
      <c r="BG582" s="77">
        <v>82299313192</v>
      </c>
      <c r="BH582" s="77">
        <v>82267671545</v>
      </c>
      <c r="BI582" s="77">
        <v>81240176185</v>
      </c>
      <c r="BJ582" s="77">
        <v>82247731202</v>
      </c>
      <c r="BK582" s="77">
        <v>85803211054</v>
      </c>
      <c r="BP582" s="18" t="s">
        <v>7616</v>
      </c>
      <c r="BQ582" s="37">
        <v>45145</v>
      </c>
      <c r="BR582" s="8">
        <f t="shared" si="2"/>
        <v>9</v>
      </c>
    </row>
    <row r="583" spans="1:70" ht="14.5">
      <c r="A583" s="4" t="str">
        <v>Reguler Periode ke-111 III.C.2</v>
      </c>
      <c r="B583" s="4" t="s">
        <v>7301</v>
      </c>
      <c r="C583" s="4" t="s">
        <v>955</v>
      </c>
      <c r="D583" s="4" t="s">
        <v>3964</v>
      </c>
      <c r="E583" s="4" t="s">
        <v>7617</v>
      </c>
      <c r="F583" s="4" t="s">
        <v>193</v>
      </c>
      <c r="G583" s="27" t="s">
        <v>7618</v>
      </c>
      <c r="H583" s="27" t="s">
        <v>7619</v>
      </c>
      <c r="I583" s="27" t="s">
        <v>7620</v>
      </c>
      <c r="J583" s="27" t="s">
        <v>7621</v>
      </c>
      <c r="K583" s="27" t="s">
        <v>7622</v>
      </c>
      <c r="L583" s="27" t="s">
        <v>7623</v>
      </c>
      <c r="M583" s="27" t="s">
        <v>7624</v>
      </c>
      <c r="N583" s="27" t="s">
        <v>7625</v>
      </c>
      <c r="O583" s="27" t="s">
        <v>7626</v>
      </c>
      <c r="P583" s="73"/>
      <c r="S583" s="28">
        <v>1700013150</v>
      </c>
      <c r="T583" s="28">
        <v>1900011146</v>
      </c>
      <c r="U583" s="28">
        <v>1900018092</v>
      </c>
      <c r="V583" s="28">
        <v>1900024057</v>
      </c>
      <c r="W583" s="28">
        <v>2000011050</v>
      </c>
      <c r="X583" s="28">
        <v>2000023178</v>
      </c>
      <c r="Y583" s="28">
        <v>2000028080</v>
      </c>
      <c r="Z583" s="28">
        <v>2000032083</v>
      </c>
      <c r="AA583" s="28">
        <v>2011025049</v>
      </c>
      <c r="AE583" s="27" t="s">
        <v>677</v>
      </c>
      <c r="AF583" s="27" t="s">
        <v>182</v>
      </c>
      <c r="AG583" s="27" t="s">
        <v>179</v>
      </c>
      <c r="AH583" s="27" t="s">
        <v>924</v>
      </c>
      <c r="AI583" s="27" t="s">
        <v>182</v>
      </c>
      <c r="AJ583" s="27" t="s">
        <v>899</v>
      </c>
      <c r="AK583" s="27" t="s">
        <v>678</v>
      </c>
      <c r="AL583" s="27" t="s">
        <v>732</v>
      </c>
      <c r="AM583" s="27" t="s">
        <v>1168</v>
      </c>
      <c r="AN583" s="73"/>
      <c r="AQ583" s="76" t="s">
        <v>186</v>
      </c>
      <c r="AR583" s="76" t="s">
        <v>187</v>
      </c>
      <c r="AS583" s="76" t="s">
        <v>186</v>
      </c>
      <c r="AT583" s="76" t="s">
        <v>186</v>
      </c>
      <c r="AU583" s="76" t="s">
        <v>186</v>
      </c>
      <c r="AV583" s="76" t="s">
        <v>187</v>
      </c>
      <c r="AW583" s="76" t="s">
        <v>187</v>
      </c>
      <c r="AX583" s="76" t="s">
        <v>186</v>
      </c>
      <c r="AY583" s="76" t="s">
        <v>186</v>
      </c>
      <c r="BC583" s="77">
        <v>89688347429</v>
      </c>
      <c r="BD583" s="77">
        <v>85559472604</v>
      </c>
      <c r="BE583" s="77">
        <v>81369636878</v>
      </c>
      <c r="BF583" s="77">
        <v>82181041544</v>
      </c>
      <c r="BG583" s="77">
        <v>87755906595</v>
      </c>
      <c r="BH583" s="77">
        <v>82291261128</v>
      </c>
      <c r="BI583" s="77">
        <v>85766488987</v>
      </c>
      <c r="BJ583" s="77">
        <v>85875377728</v>
      </c>
      <c r="BK583" s="77">
        <v>85607898767</v>
      </c>
      <c r="BP583" s="18" t="s">
        <v>7627</v>
      </c>
      <c r="BQ583" s="37">
        <v>45145</v>
      </c>
      <c r="BR583" s="8">
        <f t="shared" si="2"/>
        <v>9</v>
      </c>
    </row>
    <row r="584" spans="1:70" ht="14.5">
      <c r="A584" s="4" t="str">
        <v>Reguler Periode ke-111 III.C.3</v>
      </c>
      <c r="B584" s="4" t="s">
        <v>7301</v>
      </c>
      <c r="C584" s="4" t="s">
        <v>967</v>
      </c>
      <c r="D584" s="4" t="s">
        <v>3964</v>
      </c>
      <c r="E584" s="4" t="s">
        <v>3779</v>
      </c>
      <c r="F584" s="4" t="s">
        <v>193</v>
      </c>
      <c r="G584" s="27" t="s">
        <v>7628</v>
      </c>
      <c r="H584" s="27" t="s">
        <v>7629</v>
      </c>
      <c r="I584" s="27" t="s">
        <v>7630</v>
      </c>
      <c r="J584" s="27" t="s">
        <v>7631</v>
      </c>
      <c r="K584" s="27" t="s">
        <v>7632</v>
      </c>
      <c r="L584" s="27" t="s">
        <v>7633</v>
      </c>
      <c r="M584" s="27" t="s">
        <v>7634</v>
      </c>
      <c r="N584" s="27" t="s">
        <v>7635</v>
      </c>
      <c r="O584" s="73"/>
      <c r="S584" s="28">
        <v>1900018074</v>
      </c>
      <c r="T584" s="28">
        <v>2000011101</v>
      </c>
      <c r="U584" s="28">
        <v>2000011194</v>
      </c>
      <c r="V584" s="28">
        <v>2000013298</v>
      </c>
      <c r="W584" s="28">
        <v>2000024063</v>
      </c>
      <c r="X584" s="28">
        <v>2000025016</v>
      </c>
      <c r="Y584" s="28">
        <v>2000028041</v>
      </c>
      <c r="Z584" s="28">
        <v>2000032113</v>
      </c>
      <c r="AE584" s="27" t="s">
        <v>179</v>
      </c>
      <c r="AF584" s="27" t="s">
        <v>182</v>
      </c>
      <c r="AG584" s="27" t="s">
        <v>182</v>
      </c>
      <c r="AH584" s="27" t="s">
        <v>677</v>
      </c>
      <c r="AI584" s="27" t="s">
        <v>924</v>
      </c>
      <c r="AJ584" s="27" t="s">
        <v>1168</v>
      </c>
      <c r="AK584" s="27" t="s">
        <v>678</v>
      </c>
      <c r="AL584" s="27" t="s">
        <v>732</v>
      </c>
      <c r="AM584" s="73"/>
      <c r="AQ584" s="76" t="s">
        <v>186</v>
      </c>
      <c r="AR584" s="76" t="s">
        <v>186</v>
      </c>
      <c r="AS584" s="76" t="s">
        <v>187</v>
      </c>
      <c r="AT584" s="76" t="s">
        <v>186</v>
      </c>
      <c r="AU584" s="76" t="s">
        <v>186</v>
      </c>
      <c r="AV584" s="76" t="s">
        <v>186</v>
      </c>
      <c r="AW584" s="76" t="s">
        <v>187</v>
      </c>
      <c r="AX584" s="76" t="s">
        <v>186</v>
      </c>
      <c r="AY584" s="28"/>
      <c r="BC584" s="77">
        <v>89610801846</v>
      </c>
      <c r="BD584" s="77">
        <v>85747919125</v>
      </c>
      <c r="BE584" s="77">
        <v>81282310948</v>
      </c>
      <c r="BF584" s="77">
        <v>85731420437</v>
      </c>
      <c r="BG584" s="77">
        <v>85264824180</v>
      </c>
      <c r="BH584" s="77">
        <v>85336524350</v>
      </c>
      <c r="BI584" s="77">
        <v>82119704937</v>
      </c>
      <c r="BJ584" s="77">
        <v>89662462343</v>
      </c>
      <c r="BK584" s="28"/>
      <c r="BP584" s="18" t="s">
        <v>7636</v>
      </c>
      <c r="BQ584" s="37">
        <v>45145</v>
      </c>
      <c r="BR584" s="8">
        <f t="shared" si="2"/>
        <v>8</v>
      </c>
    </row>
    <row r="585" spans="1:70" ht="14.5">
      <c r="A585" s="4" t="str">
        <v>Reguler Periode ke-111 III.D.1</v>
      </c>
      <c r="B585" s="4" t="s">
        <v>7301</v>
      </c>
      <c r="C585" s="4" t="s">
        <v>1009</v>
      </c>
      <c r="D585" s="4" t="s">
        <v>4593</v>
      </c>
      <c r="E585" s="4" t="s">
        <v>3791</v>
      </c>
      <c r="F585" s="4" t="s">
        <v>193</v>
      </c>
      <c r="G585" s="27" t="s">
        <v>7637</v>
      </c>
      <c r="H585" s="27" t="s">
        <v>7638</v>
      </c>
      <c r="I585" s="27" t="s">
        <v>7639</v>
      </c>
      <c r="J585" s="27" t="s">
        <v>7640</v>
      </c>
      <c r="K585" s="27" t="s">
        <v>7641</v>
      </c>
      <c r="L585" s="27" t="s">
        <v>7642</v>
      </c>
      <c r="M585" s="27" t="s">
        <v>7643</v>
      </c>
      <c r="N585" s="27" t="s">
        <v>7644</v>
      </c>
      <c r="O585" s="27" t="s">
        <v>7645</v>
      </c>
      <c r="P585" s="73"/>
      <c r="Q585" s="73"/>
      <c r="S585" s="28">
        <v>1900026150</v>
      </c>
      <c r="T585" s="28">
        <v>2000011336</v>
      </c>
      <c r="U585" s="28">
        <v>2000013005</v>
      </c>
      <c r="V585" s="28">
        <v>2000013225</v>
      </c>
      <c r="W585" s="28">
        <v>2000018135</v>
      </c>
      <c r="X585" s="28">
        <v>2000023227</v>
      </c>
      <c r="Y585" s="28">
        <v>2000028056</v>
      </c>
      <c r="Z585" s="28">
        <v>2000032144</v>
      </c>
      <c r="AA585" s="28">
        <v>2015024219</v>
      </c>
      <c r="AE585" s="27" t="s">
        <v>570</v>
      </c>
      <c r="AF585" s="27" t="s">
        <v>182</v>
      </c>
      <c r="AG585" s="27" t="s">
        <v>677</v>
      </c>
      <c r="AH585" s="27" t="s">
        <v>677</v>
      </c>
      <c r="AI585" s="27" t="s">
        <v>179</v>
      </c>
      <c r="AJ585" s="27" t="s">
        <v>899</v>
      </c>
      <c r="AK585" s="27" t="s">
        <v>678</v>
      </c>
      <c r="AL585" s="27" t="s">
        <v>732</v>
      </c>
      <c r="AM585" s="27" t="s">
        <v>924</v>
      </c>
      <c r="AN585" s="73"/>
      <c r="AQ585" s="76" t="s">
        <v>186</v>
      </c>
      <c r="AR585" s="76" t="s">
        <v>187</v>
      </c>
      <c r="AS585" s="76" t="s">
        <v>186</v>
      </c>
      <c r="AT585" s="76" t="s">
        <v>186</v>
      </c>
      <c r="AU585" s="76" t="s">
        <v>186</v>
      </c>
      <c r="AV585" s="76" t="s">
        <v>187</v>
      </c>
      <c r="AW585" s="76" t="s">
        <v>187</v>
      </c>
      <c r="AX585" s="76" t="s">
        <v>186</v>
      </c>
      <c r="AY585" s="76" t="s">
        <v>186</v>
      </c>
      <c r="BC585" s="77">
        <v>81227986405</v>
      </c>
      <c r="BD585" s="77">
        <v>87745625275</v>
      </c>
      <c r="BE585" s="77">
        <v>895413034745</v>
      </c>
      <c r="BF585" s="77">
        <v>82296674778</v>
      </c>
      <c r="BG585" s="77">
        <v>85263199884</v>
      </c>
      <c r="BH585" s="77">
        <v>81228249430</v>
      </c>
      <c r="BI585" s="77">
        <v>82235153364</v>
      </c>
      <c r="BJ585" s="77">
        <v>89658896690</v>
      </c>
      <c r="BK585" s="77">
        <v>85740086046</v>
      </c>
      <c r="BP585" s="18" t="s">
        <v>7646</v>
      </c>
      <c r="BQ585" s="37">
        <v>45145</v>
      </c>
      <c r="BR585" s="8">
        <f t="shared" si="2"/>
        <v>9</v>
      </c>
    </row>
    <row r="586" spans="1:70" ht="14.5">
      <c r="A586" s="4" t="str">
        <v>Reguler Periode ke-111 III.D.2</v>
      </c>
      <c r="B586" s="4" t="s">
        <v>7301</v>
      </c>
      <c r="C586" s="4" t="s">
        <v>1032</v>
      </c>
      <c r="D586" s="4" t="s">
        <v>4593</v>
      </c>
      <c r="E586" s="4" t="s">
        <v>3754</v>
      </c>
      <c r="F586" s="4" t="s">
        <v>193</v>
      </c>
      <c r="G586" s="27" t="s">
        <v>7647</v>
      </c>
      <c r="H586" s="27" t="s">
        <v>7648</v>
      </c>
      <c r="I586" s="27" t="s">
        <v>7649</v>
      </c>
      <c r="J586" s="27" t="s">
        <v>7650</v>
      </c>
      <c r="K586" s="27" t="s">
        <v>7651</v>
      </c>
      <c r="L586" s="27" t="s">
        <v>7652</v>
      </c>
      <c r="M586" s="27" t="s">
        <v>7653</v>
      </c>
      <c r="N586" s="27" t="s">
        <v>7654</v>
      </c>
      <c r="O586" s="27" t="s">
        <v>7655</v>
      </c>
      <c r="S586" s="28">
        <v>1800026041</v>
      </c>
      <c r="T586" s="28">
        <v>1900011202</v>
      </c>
      <c r="U586" s="28">
        <v>1900028139</v>
      </c>
      <c r="V586" s="28">
        <v>2000011293</v>
      </c>
      <c r="W586" s="28">
        <v>2000013154</v>
      </c>
      <c r="X586" s="28">
        <v>2000020089</v>
      </c>
      <c r="Y586" s="28">
        <v>2000023079</v>
      </c>
      <c r="Z586" s="28">
        <v>2000024238</v>
      </c>
      <c r="AA586" s="28">
        <v>2000032102</v>
      </c>
      <c r="AE586" s="27" t="s">
        <v>570</v>
      </c>
      <c r="AF586" s="27" t="s">
        <v>182</v>
      </c>
      <c r="AG586" s="27" t="s">
        <v>678</v>
      </c>
      <c r="AH586" s="27" t="s">
        <v>182</v>
      </c>
      <c r="AI586" s="27" t="s">
        <v>677</v>
      </c>
      <c r="AJ586" s="27" t="s">
        <v>351</v>
      </c>
      <c r="AK586" s="27" t="s">
        <v>899</v>
      </c>
      <c r="AL586" s="27" t="s">
        <v>924</v>
      </c>
      <c r="AM586" s="27" t="s">
        <v>732</v>
      </c>
      <c r="AN586" s="73"/>
      <c r="AQ586" s="76" t="s">
        <v>186</v>
      </c>
      <c r="AR586" s="76" t="s">
        <v>187</v>
      </c>
      <c r="AS586" s="76" t="s">
        <v>187</v>
      </c>
      <c r="AT586" s="76" t="s">
        <v>186</v>
      </c>
      <c r="AU586" s="76" t="s">
        <v>186</v>
      </c>
      <c r="AV586" s="76" t="s">
        <v>186</v>
      </c>
      <c r="AW586" s="76" t="s">
        <v>187</v>
      </c>
      <c r="AX586" s="76" t="s">
        <v>186</v>
      </c>
      <c r="AY586" s="76" t="s">
        <v>186</v>
      </c>
      <c r="BC586" s="77">
        <v>87797830221</v>
      </c>
      <c r="BD586" s="77">
        <v>81325800833</v>
      </c>
      <c r="BE586" s="77">
        <v>85218539831</v>
      </c>
      <c r="BF586" s="77">
        <v>82135275567</v>
      </c>
      <c r="BG586" s="77">
        <v>82269892337</v>
      </c>
      <c r="BH586" s="77">
        <v>83172905101</v>
      </c>
      <c r="BI586" s="77">
        <v>87828788683</v>
      </c>
      <c r="BJ586" s="77">
        <v>82144350193</v>
      </c>
      <c r="BK586" s="77">
        <v>81312013130</v>
      </c>
      <c r="BP586" s="18" t="s">
        <v>7656</v>
      </c>
      <c r="BQ586" s="37">
        <v>45145</v>
      </c>
      <c r="BR586" s="8">
        <f t="shared" si="2"/>
        <v>9</v>
      </c>
    </row>
    <row r="587" spans="1:70" ht="14.5">
      <c r="A587" s="4" t="str">
        <v>Reguler Periode ke-111 III.D.3</v>
      </c>
      <c r="B587" s="4" t="s">
        <v>7301</v>
      </c>
      <c r="C587" s="4" t="s">
        <v>1054</v>
      </c>
      <c r="D587" s="4" t="s">
        <v>4593</v>
      </c>
      <c r="E587" s="4" t="s">
        <v>3803</v>
      </c>
      <c r="F587" s="4" t="s">
        <v>193</v>
      </c>
      <c r="G587" s="27" t="s">
        <v>7657</v>
      </c>
      <c r="H587" s="27" t="s">
        <v>7658</v>
      </c>
      <c r="I587" s="27" t="s">
        <v>7659</v>
      </c>
      <c r="J587" s="27" t="s">
        <v>7660</v>
      </c>
      <c r="K587" s="27" t="s">
        <v>7661</v>
      </c>
      <c r="L587" s="27" t="s">
        <v>7662</v>
      </c>
      <c r="M587" s="27" t="s">
        <v>7663</v>
      </c>
      <c r="N587" s="27" t="s">
        <v>7664</v>
      </c>
      <c r="O587" s="27" t="s">
        <v>7665</v>
      </c>
      <c r="P587" s="73"/>
      <c r="S587" s="28">
        <v>1800024084</v>
      </c>
      <c r="T587" s="28">
        <v>1900011394</v>
      </c>
      <c r="U587" s="28">
        <v>1900026163</v>
      </c>
      <c r="V587" s="28">
        <v>2000011176</v>
      </c>
      <c r="W587" s="28">
        <v>2000013135</v>
      </c>
      <c r="X587" s="28">
        <v>2000023185</v>
      </c>
      <c r="Y587" s="28">
        <v>2000024250</v>
      </c>
      <c r="Z587" s="28">
        <v>2000028073</v>
      </c>
      <c r="AA587" s="28">
        <v>2015020045</v>
      </c>
      <c r="AE587" s="27" t="s">
        <v>924</v>
      </c>
      <c r="AF587" s="27" t="s">
        <v>182</v>
      </c>
      <c r="AG587" s="27" t="s">
        <v>570</v>
      </c>
      <c r="AH587" s="27" t="s">
        <v>182</v>
      </c>
      <c r="AI587" s="27" t="s">
        <v>677</v>
      </c>
      <c r="AJ587" s="27" t="s">
        <v>899</v>
      </c>
      <c r="AK587" s="27" t="s">
        <v>924</v>
      </c>
      <c r="AL587" s="27" t="s">
        <v>678</v>
      </c>
      <c r="AM587" s="27" t="s">
        <v>351</v>
      </c>
      <c r="AQ587" s="76" t="s">
        <v>186</v>
      </c>
      <c r="AR587" s="76" t="s">
        <v>187</v>
      </c>
      <c r="AS587" s="76" t="s">
        <v>186</v>
      </c>
      <c r="AT587" s="76" t="s">
        <v>186</v>
      </c>
      <c r="AU587" s="76" t="s">
        <v>186</v>
      </c>
      <c r="AV587" s="76" t="s">
        <v>187</v>
      </c>
      <c r="AW587" s="76" t="s">
        <v>186</v>
      </c>
      <c r="AX587" s="76" t="s">
        <v>187</v>
      </c>
      <c r="AY587" s="76" t="s">
        <v>186</v>
      </c>
      <c r="BC587" s="77">
        <v>83867421406</v>
      </c>
      <c r="BD587" s="77">
        <v>82278975309</v>
      </c>
      <c r="BE587" s="77">
        <v>85741011125</v>
      </c>
      <c r="BF587" s="77">
        <v>859121598313</v>
      </c>
      <c r="BG587" s="77">
        <v>82143091850</v>
      </c>
      <c r="BH587" s="77">
        <v>81347556031</v>
      </c>
      <c r="BI587" s="77">
        <v>81249719298</v>
      </c>
      <c r="BJ587" s="77">
        <v>81258249433</v>
      </c>
      <c r="BK587" s="77">
        <v>83108835490</v>
      </c>
      <c r="BP587" s="18" t="s">
        <v>7666</v>
      </c>
      <c r="BQ587" s="37">
        <v>45145</v>
      </c>
      <c r="BR587" s="8">
        <f t="shared" si="2"/>
        <v>9</v>
      </c>
    </row>
    <row r="588" spans="1:70" ht="14.5">
      <c r="A588" s="4" t="str">
        <v>Reguler Periode ke-111 IV.A.1</v>
      </c>
      <c r="B588" s="4" t="s">
        <v>7301</v>
      </c>
      <c r="C588" s="4" t="s">
        <v>1075</v>
      </c>
      <c r="D588" s="4" t="s">
        <v>282</v>
      </c>
      <c r="E588" s="4" t="s">
        <v>3766</v>
      </c>
      <c r="F588" s="4" t="s">
        <v>193</v>
      </c>
      <c r="G588" s="27" t="s">
        <v>7667</v>
      </c>
      <c r="H588" s="27" t="s">
        <v>7668</v>
      </c>
      <c r="I588" s="27" t="s">
        <v>7669</v>
      </c>
      <c r="J588" s="27" t="s">
        <v>7670</v>
      </c>
      <c r="K588" s="27" t="s">
        <v>7671</v>
      </c>
      <c r="L588" s="27" t="s">
        <v>7672</v>
      </c>
      <c r="M588" s="27" t="s">
        <v>7673</v>
      </c>
      <c r="N588" s="27" t="s">
        <v>7674</v>
      </c>
      <c r="O588" s="27" t="s">
        <v>7675</v>
      </c>
      <c r="S588" s="28">
        <v>1800013347</v>
      </c>
      <c r="T588" s="28">
        <v>1900026041</v>
      </c>
      <c r="U588" s="28">
        <v>2000011114</v>
      </c>
      <c r="V588" s="28">
        <v>2000013161</v>
      </c>
      <c r="W588" s="28">
        <v>2000013356</v>
      </c>
      <c r="X588" s="28">
        <v>2000020081</v>
      </c>
      <c r="Y588" s="28">
        <v>2000024285</v>
      </c>
      <c r="Z588" s="28">
        <v>2000024312</v>
      </c>
      <c r="AA588" s="28">
        <v>2000028135</v>
      </c>
      <c r="AB588" s="73"/>
      <c r="AE588" s="27" t="s">
        <v>677</v>
      </c>
      <c r="AF588" s="27" t="s">
        <v>570</v>
      </c>
      <c r="AG588" s="27" t="s">
        <v>182</v>
      </c>
      <c r="AH588" s="27" t="s">
        <v>677</v>
      </c>
      <c r="AI588" s="27" t="s">
        <v>677</v>
      </c>
      <c r="AJ588" s="27" t="s">
        <v>351</v>
      </c>
      <c r="AK588" s="27" t="s">
        <v>924</v>
      </c>
      <c r="AL588" s="27" t="s">
        <v>924</v>
      </c>
      <c r="AM588" s="27" t="s">
        <v>678</v>
      </c>
      <c r="AN588" s="73"/>
      <c r="AQ588" s="76" t="s">
        <v>187</v>
      </c>
      <c r="AR588" s="76" t="s">
        <v>186</v>
      </c>
      <c r="AS588" s="76" t="s">
        <v>186</v>
      </c>
      <c r="AT588" s="76" t="s">
        <v>186</v>
      </c>
      <c r="AU588" s="76" t="s">
        <v>186</v>
      </c>
      <c r="AV588" s="76" t="s">
        <v>186</v>
      </c>
      <c r="AW588" s="76" t="s">
        <v>187</v>
      </c>
      <c r="AX588" s="76" t="s">
        <v>186</v>
      </c>
      <c r="AY588" s="76" t="s">
        <v>187</v>
      </c>
      <c r="BC588" s="77">
        <v>82239672109</v>
      </c>
      <c r="BD588" s="77">
        <v>85714712158</v>
      </c>
      <c r="BE588" s="77" t="s">
        <v>7676</v>
      </c>
      <c r="BF588" s="77">
        <v>82199265346</v>
      </c>
      <c r="BG588" s="77">
        <v>85227573337</v>
      </c>
      <c r="BH588" s="77">
        <v>81266419741</v>
      </c>
      <c r="BI588" s="77">
        <v>82140942681</v>
      </c>
      <c r="BJ588" s="77">
        <v>85774047546</v>
      </c>
      <c r="BK588" s="77">
        <v>82246396687</v>
      </c>
      <c r="BP588" s="18" t="s">
        <v>7677</v>
      </c>
      <c r="BQ588" s="37">
        <v>45145</v>
      </c>
      <c r="BR588" s="8">
        <f t="shared" si="2"/>
        <v>9</v>
      </c>
    </row>
    <row r="589" spans="1:70" ht="14.5">
      <c r="A589" s="4" t="str">
        <v>Reguler Periode ke-111 IV.A.2</v>
      </c>
      <c r="B589" s="4" t="s">
        <v>7301</v>
      </c>
      <c r="C589" s="4" t="s">
        <v>1088</v>
      </c>
      <c r="D589" s="4" t="s">
        <v>282</v>
      </c>
      <c r="E589" s="4" t="s">
        <v>7678</v>
      </c>
      <c r="F589" s="4" t="s">
        <v>193</v>
      </c>
      <c r="G589" s="27" t="s">
        <v>7679</v>
      </c>
      <c r="H589" s="27" t="s">
        <v>7680</v>
      </c>
      <c r="I589" s="27" t="s">
        <v>7681</v>
      </c>
      <c r="J589" s="27" t="s">
        <v>7682</v>
      </c>
      <c r="K589" s="27" t="s">
        <v>7683</v>
      </c>
      <c r="L589" s="27" t="s">
        <v>7684</v>
      </c>
      <c r="M589" s="27" t="s">
        <v>7685</v>
      </c>
      <c r="N589" s="27" t="s">
        <v>3478</v>
      </c>
      <c r="O589" s="27" t="s">
        <v>7686</v>
      </c>
      <c r="P589" s="73"/>
      <c r="Q589" s="73"/>
      <c r="S589" s="28">
        <v>1800024294</v>
      </c>
      <c r="T589" s="28">
        <v>1900024295</v>
      </c>
      <c r="U589" s="28">
        <v>1900026048</v>
      </c>
      <c r="V589" s="28">
        <v>1900028041</v>
      </c>
      <c r="W589" s="28">
        <v>2000011158</v>
      </c>
      <c r="X589" s="28">
        <v>2000011315</v>
      </c>
      <c r="Y589" s="28">
        <v>2000013131</v>
      </c>
      <c r="Z589" s="28">
        <v>2000020043</v>
      </c>
      <c r="AA589" s="28">
        <v>2000024040</v>
      </c>
      <c r="AE589" s="27" t="s">
        <v>924</v>
      </c>
      <c r="AF589" s="27" t="s">
        <v>924</v>
      </c>
      <c r="AG589" s="27" t="s">
        <v>570</v>
      </c>
      <c r="AH589" s="27" t="s">
        <v>678</v>
      </c>
      <c r="AI589" s="27" t="s">
        <v>182</v>
      </c>
      <c r="AJ589" s="27" t="s">
        <v>182</v>
      </c>
      <c r="AK589" s="27" t="s">
        <v>677</v>
      </c>
      <c r="AL589" s="27" t="s">
        <v>351</v>
      </c>
      <c r="AM589" s="27" t="s">
        <v>924</v>
      </c>
      <c r="AQ589" s="76" t="s">
        <v>187</v>
      </c>
      <c r="AR589" s="76" t="s">
        <v>186</v>
      </c>
      <c r="AS589" s="76" t="s">
        <v>186</v>
      </c>
      <c r="AT589" s="76" t="s">
        <v>187</v>
      </c>
      <c r="AU589" s="76" t="s">
        <v>186</v>
      </c>
      <c r="AV589" s="76" t="s">
        <v>187</v>
      </c>
      <c r="AW589" s="76" t="s">
        <v>186</v>
      </c>
      <c r="AX589" s="76" t="s">
        <v>186</v>
      </c>
      <c r="AY589" s="76" t="s">
        <v>187</v>
      </c>
      <c r="BC589" s="77">
        <v>81278674445</v>
      </c>
      <c r="BD589" s="77">
        <v>895359361759</v>
      </c>
      <c r="BE589" s="77" t="s">
        <v>7687</v>
      </c>
      <c r="BF589" s="77">
        <v>88215743734</v>
      </c>
      <c r="BG589" s="77">
        <v>81904327939</v>
      </c>
      <c r="BH589" s="77">
        <v>81393715142</v>
      </c>
      <c r="BI589" s="77">
        <v>83132393407</v>
      </c>
      <c r="BJ589" s="77">
        <v>81345902526</v>
      </c>
      <c r="BK589" s="77">
        <v>81248334082</v>
      </c>
      <c r="BP589" s="18" t="s">
        <v>7688</v>
      </c>
      <c r="BQ589" s="37">
        <v>45145</v>
      </c>
      <c r="BR589" s="8">
        <f t="shared" si="2"/>
        <v>9</v>
      </c>
    </row>
    <row r="590" spans="1:70" ht="14.5">
      <c r="A590" s="4" t="str">
        <v>Reguler Periode ke-111 IV.A.3</v>
      </c>
      <c r="B590" s="4" t="s">
        <v>7301</v>
      </c>
      <c r="C590" s="4" t="s">
        <v>1100</v>
      </c>
      <c r="D590" s="4" t="s">
        <v>282</v>
      </c>
      <c r="E590" s="4" t="s">
        <v>3816</v>
      </c>
      <c r="F590" s="4" t="s">
        <v>193</v>
      </c>
      <c r="G590" s="27" t="s">
        <v>7689</v>
      </c>
      <c r="H590" s="27" t="s">
        <v>7690</v>
      </c>
      <c r="I590" s="27" t="s">
        <v>7691</v>
      </c>
      <c r="J590" s="27" t="s">
        <v>7692</v>
      </c>
      <c r="K590" s="27" t="s">
        <v>7693</v>
      </c>
      <c r="L590" s="27" t="s">
        <v>7694</v>
      </c>
      <c r="M590" s="27" t="s">
        <v>7695</v>
      </c>
      <c r="N590" s="27" t="s">
        <v>7696</v>
      </c>
      <c r="O590" s="27" t="s">
        <v>7697</v>
      </c>
      <c r="P590" s="73"/>
      <c r="S590" s="28">
        <v>1900010019</v>
      </c>
      <c r="T590" s="28">
        <v>1900024068</v>
      </c>
      <c r="U590" s="28">
        <v>1900026123</v>
      </c>
      <c r="V590" s="28">
        <v>2000011169</v>
      </c>
      <c r="W590" s="28">
        <v>2000011250</v>
      </c>
      <c r="X590" s="28">
        <v>2000013231</v>
      </c>
      <c r="Y590" s="28">
        <v>2000020001</v>
      </c>
      <c r="Z590" s="28">
        <v>2000024261</v>
      </c>
      <c r="AA590" s="28">
        <v>2000028106</v>
      </c>
      <c r="AB590" s="73"/>
      <c r="AE590" s="27" t="s">
        <v>532</v>
      </c>
      <c r="AF590" s="27" t="s">
        <v>924</v>
      </c>
      <c r="AG590" s="27" t="s">
        <v>570</v>
      </c>
      <c r="AH590" s="27" t="s">
        <v>182</v>
      </c>
      <c r="AI590" s="27" t="s">
        <v>182</v>
      </c>
      <c r="AJ590" s="27" t="s">
        <v>677</v>
      </c>
      <c r="AK590" s="27" t="s">
        <v>351</v>
      </c>
      <c r="AL590" s="27" t="s">
        <v>924</v>
      </c>
      <c r="AM590" s="27" t="s">
        <v>678</v>
      </c>
      <c r="AN590" s="73"/>
      <c r="AQ590" s="76" t="s">
        <v>186</v>
      </c>
      <c r="AR590" s="76" t="s">
        <v>187</v>
      </c>
      <c r="AS590" s="76" t="s">
        <v>186</v>
      </c>
      <c r="AT590" s="76" t="s">
        <v>187</v>
      </c>
      <c r="AU590" s="76" t="s">
        <v>186</v>
      </c>
      <c r="AV590" s="76" t="s">
        <v>186</v>
      </c>
      <c r="AW590" s="76" t="s">
        <v>186</v>
      </c>
      <c r="AX590" s="76" t="s">
        <v>186</v>
      </c>
      <c r="AY590" s="76" t="s">
        <v>187</v>
      </c>
      <c r="BC590" s="77">
        <v>85728539363</v>
      </c>
      <c r="BD590" s="77">
        <v>859155154970</v>
      </c>
      <c r="BE590" s="77">
        <v>85972830791</v>
      </c>
      <c r="BF590" s="77">
        <v>85718858296</v>
      </c>
      <c r="BG590" s="77">
        <v>85828223192</v>
      </c>
      <c r="BH590" s="77">
        <v>88806810874</v>
      </c>
      <c r="BI590" s="77">
        <v>82135214461</v>
      </c>
      <c r="BJ590" s="77">
        <v>895380607831</v>
      </c>
      <c r="BK590" s="77">
        <v>895392205850</v>
      </c>
      <c r="BP590" s="18" t="s">
        <v>7698</v>
      </c>
      <c r="BQ590" s="37">
        <v>45145</v>
      </c>
      <c r="BR590" s="8">
        <f t="shared" si="2"/>
        <v>9</v>
      </c>
    </row>
    <row r="591" spans="1:70" ht="14.5">
      <c r="A591" s="4" t="str">
        <v>Reguler Periode ke-111 IV.B.1</v>
      </c>
      <c r="B591" s="4" t="s">
        <v>7301</v>
      </c>
      <c r="C591" s="4" t="s">
        <v>1114</v>
      </c>
      <c r="D591" s="4" t="s">
        <v>5599</v>
      </c>
      <c r="E591" s="4" t="s">
        <v>3828</v>
      </c>
      <c r="F591" s="4" t="s">
        <v>193</v>
      </c>
      <c r="G591" s="27" t="s">
        <v>7699</v>
      </c>
      <c r="H591" s="27" t="s">
        <v>7700</v>
      </c>
      <c r="I591" s="27" t="s">
        <v>7701</v>
      </c>
      <c r="J591" s="27" t="s">
        <v>7702</v>
      </c>
      <c r="K591" s="27" t="s">
        <v>7703</v>
      </c>
      <c r="L591" s="27" t="s">
        <v>7704</v>
      </c>
      <c r="M591" s="27" t="s">
        <v>7705</v>
      </c>
      <c r="N591" s="27" t="s">
        <v>7706</v>
      </c>
      <c r="O591" s="27" t="s">
        <v>7707</v>
      </c>
      <c r="S591" s="28">
        <v>1900010192</v>
      </c>
      <c r="T591" s="28">
        <v>1900030188</v>
      </c>
      <c r="U591" s="28">
        <v>2000011068</v>
      </c>
      <c r="V591" s="28">
        <v>2000011138</v>
      </c>
      <c r="W591" s="28">
        <v>2000013148</v>
      </c>
      <c r="X591" s="28">
        <v>2000020042</v>
      </c>
      <c r="Y591" s="28">
        <v>2000024308</v>
      </c>
      <c r="Z591" s="28">
        <v>2000024365</v>
      </c>
      <c r="AA591" s="28">
        <v>2000027032</v>
      </c>
      <c r="AE591" s="27" t="s">
        <v>532</v>
      </c>
      <c r="AF591" s="27" t="s">
        <v>184</v>
      </c>
      <c r="AG591" s="27" t="s">
        <v>182</v>
      </c>
      <c r="AH591" s="27" t="s">
        <v>182</v>
      </c>
      <c r="AI591" s="27" t="s">
        <v>677</v>
      </c>
      <c r="AJ591" s="27" t="s">
        <v>351</v>
      </c>
      <c r="AK591" s="27" t="s">
        <v>924</v>
      </c>
      <c r="AL591" s="27" t="s">
        <v>924</v>
      </c>
      <c r="AM591" s="27" t="s">
        <v>1763</v>
      </c>
      <c r="AN591" s="73"/>
      <c r="AQ591" s="76" t="s">
        <v>186</v>
      </c>
      <c r="AR591" s="76" t="s">
        <v>187</v>
      </c>
      <c r="AS591" s="76" t="s">
        <v>186</v>
      </c>
      <c r="AT591" s="76" t="s">
        <v>187</v>
      </c>
      <c r="AU591" s="76" t="s">
        <v>186</v>
      </c>
      <c r="AV591" s="76" t="s">
        <v>186</v>
      </c>
      <c r="AW591" s="76" t="s">
        <v>186</v>
      </c>
      <c r="AX591" s="76" t="s">
        <v>187</v>
      </c>
      <c r="AY591" s="76" t="s">
        <v>186</v>
      </c>
      <c r="BC591" s="77">
        <v>82134159594</v>
      </c>
      <c r="BD591" s="77">
        <v>85267381401</v>
      </c>
      <c r="BE591" s="77">
        <v>83861186415</v>
      </c>
      <c r="BF591" s="77">
        <v>85268764746</v>
      </c>
      <c r="BG591" s="77">
        <v>85797736308</v>
      </c>
      <c r="BH591" s="77">
        <v>81328399261</v>
      </c>
      <c r="BI591" s="77">
        <v>83845435893</v>
      </c>
      <c r="BJ591" s="77">
        <v>81991580295</v>
      </c>
      <c r="BK591" s="77">
        <v>87859954362</v>
      </c>
      <c r="BP591" s="18" t="s">
        <v>7708</v>
      </c>
      <c r="BQ591" s="37">
        <v>45145</v>
      </c>
      <c r="BR591" s="8">
        <f t="shared" si="2"/>
        <v>9</v>
      </c>
    </row>
    <row r="592" spans="1:70" ht="14.5">
      <c r="A592" s="4" t="str">
        <v>Reguler Periode ke-111 IV.B.2</v>
      </c>
      <c r="B592" s="4" t="s">
        <v>7301</v>
      </c>
      <c r="C592" s="4" t="s">
        <v>1136</v>
      </c>
      <c r="D592" s="4" t="s">
        <v>5599</v>
      </c>
      <c r="E592" s="4" t="s">
        <v>7709</v>
      </c>
      <c r="F592" s="4" t="s">
        <v>193</v>
      </c>
      <c r="G592" s="27" t="s">
        <v>7710</v>
      </c>
      <c r="H592" s="27" t="s">
        <v>7711</v>
      </c>
      <c r="I592" s="27" t="s">
        <v>7712</v>
      </c>
      <c r="J592" s="27" t="s">
        <v>7713</v>
      </c>
      <c r="K592" s="27" t="s">
        <v>7714</v>
      </c>
      <c r="L592" s="27" t="s">
        <v>7715</v>
      </c>
      <c r="M592" s="27" t="s">
        <v>7716</v>
      </c>
      <c r="N592" s="27" t="s">
        <v>7717</v>
      </c>
      <c r="O592" s="27" t="s">
        <v>7718</v>
      </c>
      <c r="P592" s="73"/>
      <c r="S592" s="28">
        <v>1900011177</v>
      </c>
      <c r="T592" s="28">
        <v>1900013108</v>
      </c>
      <c r="U592" s="28">
        <v>2000013143</v>
      </c>
      <c r="V592" s="28">
        <v>2000020086</v>
      </c>
      <c r="W592" s="28">
        <v>2000024076</v>
      </c>
      <c r="X592" s="28">
        <v>2000024363</v>
      </c>
      <c r="Y592" s="28">
        <v>2000027009</v>
      </c>
      <c r="Z592" s="28">
        <v>2000030132</v>
      </c>
      <c r="AA592" s="28">
        <v>2000030144</v>
      </c>
      <c r="AB592" s="73"/>
      <c r="AE592" s="27" t="s">
        <v>182</v>
      </c>
      <c r="AF592" s="27" t="s">
        <v>677</v>
      </c>
      <c r="AG592" s="27" t="s">
        <v>677</v>
      </c>
      <c r="AH592" s="27" t="s">
        <v>351</v>
      </c>
      <c r="AI592" s="27" t="s">
        <v>924</v>
      </c>
      <c r="AJ592" s="27" t="s">
        <v>924</v>
      </c>
      <c r="AK592" s="27" t="s">
        <v>1763</v>
      </c>
      <c r="AL592" s="27" t="s">
        <v>184</v>
      </c>
      <c r="AM592" s="27" t="s">
        <v>184</v>
      </c>
      <c r="AN592" s="73"/>
      <c r="AQ592" s="76" t="s">
        <v>187</v>
      </c>
      <c r="AR592" s="76" t="s">
        <v>187</v>
      </c>
      <c r="AS592" s="76" t="s">
        <v>186</v>
      </c>
      <c r="AT592" s="76" t="s">
        <v>186</v>
      </c>
      <c r="AU592" s="76" t="s">
        <v>187</v>
      </c>
      <c r="AV592" s="76" t="s">
        <v>186</v>
      </c>
      <c r="AW592" s="76" t="s">
        <v>186</v>
      </c>
      <c r="AX592" s="76" t="s">
        <v>186</v>
      </c>
      <c r="AY592" s="76" t="s">
        <v>187</v>
      </c>
      <c r="BC592" s="77">
        <v>85750431174</v>
      </c>
      <c r="BD592" s="77">
        <v>81249645428</v>
      </c>
      <c r="BE592" s="77">
        <v>87875641834</v>
      </c>
      <c r="BF592" s="77">
        <v>82318106657</v>
      </c>
      <c r="BG592" s="14"/>
      <c r="BH592" s="77">
        <v>6283135486954</v>
      </c>
      <c r="BI592" s="77">
        <v>8970760506</v>
      </c>
      <c r="BJ592" s="77">
        <v>82140552182</v>
      </c>
      <c r="BK592" s="77">
        <v>82264678533</v>
      </c>
      <c r="BP592" s="18" t="s">
        <v>7719</v>
      </c>
      <c r="BQ592" s="37">
        <v>45145</v>
      </c>
      <c r="BR592" s="8">
        <f t="shared" si="2"/>
        <v>9</v>
      </c>
    </row>
    <row r="593" spans="1:70" ht="14.5">
      <c r="A593" s="4" t="str">
        <v>Reguler Periode ke-111 IV.B.3</v>
      </c>
      <c r="B593" s="4" t="s">
        <v>7301</v>
      </c>
      <c r="C593" s="4" t="s">
        <v>1157</v>
      </c>
      <c r="D593" s="4" t="s">
        <v>5599</v>
      </c>
      <c r="E593" s="4" t="s">
        <v>3840</v>
      </c>
      <c r="F593" s="4" t="s">
        <v>193</v>
      </c>
      <c r="G593" s="27" t="s">
        <v>7720</v>
      </c>
      <c r="H593" s="27" t="s">
        <v>7721</v>
      </c>
      <c r="I593" s="27" t="s">
        <v>7722</v>
      </c>
      <c r="J593" s="27" t="s">
        <v>7723</v>
      </c>
      <c r="K593" s="27" t="s">
        <v>7724</v>
      </c>
      <c r="L593" s="27" t="s">
        <v>7725</v>
      </c>
      <c r="M593" s="27" t="s">
        <v>7726</v>
      </c>
      <c r="N593" s="27" t="s">
        <v>7727</v>
      </c>
      <c r="O593" s="27" t="s">
        <v>7728</v>
      </c>
      <c r="P593" s="73"/>
      <c r="S593" s="28">
        <v>1900015066</v>
      </c>
      <c r="T593" s="28">
        <v>1900030342</v>
      </c>
      <c r="U593" s="28">
        <v>2000011036</v>
      </c>
      <c r="V593" s="28">
        <v>2000011398</v>
      </c>
      <c r="W593" s="28">
        <v>2000013160</v>
      </c>
      <c r="X593" s="28">
        <v>2000024100</v>
      </c>
      <c r="Y593" s="28">
        <v>2000024283</v>
      </c>
      <c r="Z593" s="28">
        <v>2000027059</v>
      </c>
      <c r="AA593" s="28">
        <v>2103022017</v>
      </c>
      <c r="AE593" s="27" t="s">
        <v>937</v>
      </c>
      <c r="AF593" s="27" t="s">
        <v>184</v>
      </c>
      <c r="AG593" s="27" t="s">
        <v>182</v>
      </c>
      <c r="AH593" s="27" t="s">
        <v>182</v>
      </c>
      <c r="AI593" s="27" t="s">
        <v>677</v>
      </c>
      <c r="AJ593" s="27" t="s">
        <v>924</v>
      </c>
      <c r="AK593" s="27" t="s">
        <v>924</v>
      </c>
      <c r="AL593" s="27" t="s">
        <v>1763</v>
      </c>
      <c r="AM593" s="27" t="s">
        <v>872</v>
      </c>
      <c r="AN593" s="73"/>
      <c r="AQ593" s="76" t="s">
        <v>187</v>
      </c>
      <c r="AR593" s="76" t="s">
        <v>187</v>
      </c>
      <c r="AS593" s="76" t="s">
        <v>186</v>
      </c>
      <c r="AT593" s="76" t="s">
        <v>187</v>
      </c>
      <c r="AU593" s="76" t="s">
        <v>186</v>
      </c>
      <c r="AV593" s="76" t="s">
        <v>187</v>
      </c>
      <c r="AW593" s="76" t="s">
        <v>186</v>
      </c>
      <c r="AX593" s="76" t="s">
        <v>186</v>
      </c>
      <c r="AY593" s="76" t="s">
        <v>186</v>
      </c>
      <c r="BC593" s="77">
        <v>82242623015</v>
      </c>
      <c r="BD593" s="77">
        <v>83124258128</v>
      </c>
      <c r="BE593" s="77">
        <v>81339644888</v>
      </c>
      <c r="BF593" s="77">
        <v>82289984326</v>
      </c>
      <c r="BG593" s="77">
        <v>81257900800</v>
      </c>
      <c r="BH593" s="77">
        <v>81392460241</v>
      </c>
      <c r="BI593" s="77">
        <v>82286509492</v>
      </c>
      <c r="BJ593" s="77">
        <v>81802529515</v>
      </c>
      <c r="BK593" s="77">
        <v>81316430263</v>
      </c>
      <c r="BP593" s="18" t="s">
        <v>7729</v>
      </c>
      <c r="BQ593" s="37">
        <v>45145</v>
      </c>
      <c r="BR593" s="8">
        <f t="shared" si="2"/>
        <v>9</v>
      </c>
    </row>
    <row r="594" spans="1:70" ht="14.5">
      <c r="A594" s="4" t="str">
        <v>Reguler Periode ke-111 IV.C.1</v>
      </c>
      <c r="B594" s="4" t="s">
        <v>7301</v>
      </c>
      <c r="C594" s="4" t="s">
        <v>1179</v>
      </c>
      <c r="D594" s="4" t="s">
        <v>3556</v>
      </c>
      <c r="E594" s="4" t="s">
        <v>7730</v>
      </c>
      <c r="F594" s="4" t="s">
        <v>193</v>
      </c>
      <c r="G594" s="27" t="s">
        <v>7731</v>
      </c>
      <c r="H594" s="27" t="s">
        <v>7732</v>
      </c>
      <c r="I594" s="27" t="s">
        <v>7733</v>
      </c>
      <c r="J594" s="27" t="s">
        <v>7734</v>
      </c>
      <c r="K594" s="27" t="s">
        <v>7735</v>
      </c>
      <c r="L594" s="27" t="s">
        <v>7736</v>
      </c>
      <c r="M594" s="27" t="s">
        <v>7737</v>
      </c>
      <c r="N594" s="27" t="s">
        <v>7738</v>
      </c>
      <c r="O594" s="27" t="s">
        <v>7739</v>
      </c>
      <c r="P594" s="73"/>
      <c r="S594" s="28">
        <v>1900016191</v>
      </c>
      <c r="T594" s="28">
        <v>1900030064</v>
      </c>
      <c r="U594" s="28">
        <v>2000011388</v>
      </c>
      <c r="V594" s="28">
        <v>2000013319</v>
      </c>
      <c r="W594" s="28">
        <v>2000017041</v>
      </c>
      <c r="X594" s="28">
        <v>2000023169</v>
      </c>
      <c r="Y594" s="28">
        <v>2000024019</v>
      </c>
      <c r="Z594" s="28">
        <v>2000024375</v>
      </c>
      <c r="AA594" s="28">
        <v>2000027058</v>
      </c>
      <c r="AE594" s="27" t="s">
        <v>531</v>
      </c>
      <c r="AF594" s="27" t="s">
        <v>184</v>
      </c>
      <c r="AG594" s="27" t="s">
        <v>182</v>
      </c>
      <c r="AH594" s="27" t="s">
        <v>677</v>
      </c>
      <c r="AI594" s="27" t="s">
        <v>183</v>
      </c>
      <c r="AJ594" s="27" t="s">
        <v>899</v>
      </c>
      <c r="AK594" s="27" t="s">
        <v>924</v>
      </c>
      <c r="AL594" s="27" t="s">
        <v>924</v>
      </c>
      <c r="AM594" s="27" t="s">
        <v>1763</v>
      </c>
      <c r="AQ594" s="76" t="s">
        <v>187</v>
      </c>
      <c r="AR594" s="76" t="s">
        <v>187</v>
      </c>
      <c r="AS594" s="76" t="s">
        <v>186</v>
      </c>
      <c r="AT594" s="76" t="s">
        <v>186</v>
      </c>
      <c r="AU594" s="76" t="s">
        <v>186</v>
      </c>
      <c r="AV594" s="76" t="s">
        <v>186</v>
      </c>
      <c r="AW594" s="76" t="s">
        <v>187</v>
      </c>
      <c r="AX594" s="76" t="s">
        <v>186</v>
      </c>
      <c r="AY594" s="76" t="s">
        <v>186</v>
      </c>
      <c r="BC594" s="77">
        <v>85740249383</v>
      </c>
      <c r="BD594" s="77">
        <v>81317612203</v>
      </c>
      <c r="BE594" s="77">
        <v>85777598963</v>
      </c>
      <c r="BF594" s="77">
        <v>87838555043</v>
      </c>
      <c r="BG594" s="14"/>
      <c r="BH594" s="77">
        <v>82225596100</v>
      </c>
      <c r="BI594" s="77">
        <v>83149994441</v>
      </c>
      <c r="BJ594" s="77">
        <v>81228001324</v>
      </c>
      <c r="BK594" s="77">
        <v>85226057936</v>
      </c>
      <c r="BP594" s="18" t="s">
        <v>7740</v>
      </c>
      <c r="BQ594" s="37">
        <v>45145</v>
      </c>
      <c r="BR594" s="8">
        <f t="shared" si="2"/>
        <v>9</v>
      </c>
    </row>
    <row r="595" spans="1:70" ht="14.5">
      <c r="A595" s="4" t="str">
        <v>Reguler Periode ke-111 IV.C.2</v>
      </c>
      <c r="B595" s="4" t="s">
        <v>7301</v>
      </c>
      <c r="C595" s="4" t="s">
        <v>1201</v>
      </c>
      <c r="D595" s="4" t="s">
        <v>3556</v>
      </c>
      <c r="E595" s="4" t="s">
        <v>7741</v>
      </c>
      <c r="F595" s="4" t="s">
        <v>193</v>
      </c>
      <c r="G595" s="27" t="s">
        <v>7742</v>
      </c>
      <c r="H595" s="27" t="s">
        <v>7743</v>
      </c>
      <c r="I595" s="27" t="s">
        <v>7744</v>
      </c>
      <c r="J595" s="27" t="s">
        <v>7745</v>
      </c>
      <c r="K595" s="27" t="s">
        <v>7746</v>
      </c>
      <c r="L595" s="27" t="s">
        <v>7747</v>
      </c>
      <c r="M595" s="27" t="s">
        <v>7748</v>
      </c>
      <c r="N595" s="27" t="s">
        <v>7749</v>
      </c>
      <c r="O595" s="27" t="s">
        <v>7750</v>
      </c>
      <c r="P595" s="73"/>
      <c r="S595" s="28">
        <v>1800030335</v>
      </c>
      <c r="T595" s="28">
        <v>1900024171</v>
      </c>
      <c r="U595" s="28">
        <v>2000011031</v>
      </c>
      <c r="V595" s="28">
        <v>2000013022</v>
      </c>
      <c r="W595" s="28">
        <v>2000023210</v>
      </c>
      <c r="X595" s="28">
        <v>2000024090</v>
      </c>
      <c r="Y595" s="28">
        <v>2000024301</v>
      </c>
      <c r="Z595" s="28">
        <v>2000027065</v>
      </c>
      <c r="AA595" s="28">
        <v>2000032104</v>
      </c>
      <c r="AE595" s="27" t="s">
        <v>184</v>
      </c>
      <c r="AF595" s="27" t="s">
        <v>924</v>
      </c>
      <c r="AG595" s="27" t="s">
        <v>182</v>
      </c>
      <c r="AH595" s="27" t="s">
        <v>677</v>
      </c>
      <c r="AI595" s="27" t="s">
        <v>899</v>
      </c>
      <c r="AJ595" s="27" t="s">
        <v>924</v>
      </c>
      <c r="AK595" s="27" t="s">
        <v>924</v>
      </c>
      <c r="AL595" s="27" t="s">
        <v>1763</v>
      </c>
      <c r="AM595" s="27" t="s">
        <v>732</v>
      </c>
      <c r="AN595" s="73"/>
      <c r="AQ595" s="76" t="s">
        <v>187</v>
      </c>
      <c r="AR595" s="76" t="s">
        <v>187</v>
      </c>
      <c r="AS595" s="76" t="s">
        <v>187</v>
      </c>
      <c r="AT595" s="76" t="s">
        <v>186</v>
      </c>
      <c r="AU595" s="76" t="s">
        <v>186</v>
      </c>
      <c r="AV595" s="76" t="s">
        <v>186</v>
      </c>
      <c r="AW595" s="76" t="s">
        <v>187</v>
      </c>
      <c r="AX595" s="76" t="s">
        <v>186</v>
      </c>
      <c r="AY595" s="76" t="s">
        <v>186</v>
      </c>
      <c r="BC595" s="77">
        <v>81250296742</v>
      </c>
      <c r="BD595" s="77">
        <v>82241002801</v>
      </c>
      <c r="BE595" s="77">
        <v>85878521277</v>
      </c>
      <c r="BF595" s="77">
        <v>82339124235</v>
      </c>
      <c r="BG595" s="77">
        <v>81227286107</v>
      </c>
      <c r="BH595" s="77">
        <v>895365359922</v>
      </c>
      <c r="BI595" s="77">
        <v>81932258599</v>
      </c>
      <c r="BJ595" s="77">
        <v>85941343298</v>
      </c>
      <c r="BK595" s="77">
        <v>85867119588</v>
      </c>
      <c r="BP595" s="18" t="s">
        <v>7751</v>
      </c>
      <c r="BQ595" s="37">
        <v>45145</v>
      </c>
      <c r="BR595" s="8">
        <f t="shared" si="2"/>
        <v>9</v>
      </c>
    </row>
    <row r="596" spans="1:70" ht="14.5">
      <c r="A596" s="4" t="str">
        <v>Reguler Periode ke-111 IV.D.1</v>
      </c>
      <c r="B596" s="4" t="s">
        <v>7301</v>
      </c>
      <c r="C596" s="4" t="s">
        <v>1243</v>
      </c>
      <c r="D596" s="4" t="s">
        <v>7752</v>
      </c>
      <c r="E596" s="4" t="s">
        <v>7753</v>
      </c>
      <c r="F596" s="4" t="s">
        <v>7754</v>
      </c>
      <c r="G596" s="27" t="s">
        <v>7755</v>
      </c>
      <c r="H596" s="27" t="s">
        <v>7756</v>
      </c>
      <c r="I596" s="27" t="s">
        <v>7757</v>
      </c>
      <c r="J596" s="27" t="s">
        <v>7758</v>
      </c>
      <c r="K596" s="27" t="s">
        <v>7759</v>
      </c>
      <c r="L596" s="27" t="s">
        <v>7760</v>
      </c>
      <c r="M596" s="27" t="s">
        <v>7761</v>
      </c>
      <c r="N596" s="27" t="s">
        <v>7762</v>
      </c>
      <c r="O596" s="27" t="s">
        <v>7763</v>
      </c>
      <c r="P596" s="73"/>
      <c r="Q596" s="73"/>
      <c r="R596" s="73"/>
      <c r="S596" s="28">
        <v>1900011141</v>
      </c>
      <c r="T596" s="28">
        <v>1900024145</v>
      </c>
      <c r="U596" s="28">
        <v>1900025089</v>
      </c>
      <c r="V596" s="28">
        <v>2000011019</v>
      </c>
      <c r="W596" s="28">
        <v>2000013337</v>
      </c>
      <c r="X596" s="28">
        <v>2000023146</v>
      </c>
      <c r="Y596" s="28">
        <v>2000024131</v>
      </c>
      <c r="Z596" s="28">
        <v>2000027077</v>
      </c>
      <c r="AA596" s="28">
        <v>2000030141</v>
      </c>
      <c r="AB596" s="73"/>
      <c r="AE596" s="27" t="s">
        <v>182</v>
      </c>
      <c r="AF596" s="27" t="s">
        <v>924</v>
      </c>
      <c r="AG596" s="27" t="s">
        <v>1168</v>
      </c>
      <c r="AH596" s="27" t="s">
        <v>182</v>
      </c>
      <c r="AI596" s="27" t="s">
        <v>677</v>
      </c>
      <c r="AJ596" s="27" t="s">
        <v>899</v>
      </c>
      <c r="AK596" s="27" t="s">
        <v>924</v>
      </c>
      <c r="AL596" s="27" t="s">
        <v>1763</v>
      </c>
      <c r="AM596" s="27" t="s">
        <v>184</v>
      </c>
      <c r="AN596" s="73"/>
      <c r="AQ596" s="76" t="s">
        <v>187</v>
      </c>
      <c r="AR596" s="76" t="s">
        <v>187</v>
      </c>
      <c r="AS596" s="76" t="s">
        <v>187</v>
      </c>
      <c r="AT596" s="76" t="s">
        <v>186</v>
      </c>
      <c r="AU596" s="76" t="s">
        <v>186</v>
      </c>
      <c r="AV596" s="76" t="s">
        <v>186</v>
      </c>
      <c r="AW596" s="76" t="s">
        <v>186</v>
      </c>
      <c r="AX596" s="76" t="s">
        <v>186</v>
      </c>
      <c r="AY596" s="76" t="s">
        <v>187</v>
      </c>
      <c r="BC596" s="77">
        <v>81347523542</v>
      </c>
      <c r="BD596" s="77">
        <v>85777644969</v>
      </c>
      <c r="BE596" s="77">
        <v>8989224185</v>
      </c>
      <c r="BF596" s="77">
        <v>85245246652</v>
      </c>
      <c r="BG596" s="77">
        <v>81229033573</v>
      </c>
      <c r="BH596" s="77">
        <v>8997225601</v>
      </c>
      <c r="BI596" s="77">
        <v>89628589006</v>
      </c>
      <c r="BJ596" s="77">
        <v>88289384686</v>
      </c>
      <c r="BK596" s="77">
        <v>82247142610</v>
      </c>
      <c r="BP596" s="18" t="s">
        <v>7764</v>
      </c>
      <c r="BQ596" s="37">
        <v>45145</v>
      </c>
      <c r="BR596" s="8">
        <f t="shared" si="2"/>
        <v>9</v>
      </c>
    </row>
    <row r="597" spans="1:70" ht="14.5">
      <c r="A597" s="4" t="str">
        <v>Reguler Periode ke-111 IV.D.2</v>
      </c>
      <c r="B597" s="4" t="s">
        <v>7301</v>
      </c>
      <c r="C597" s="4" t="s">
        <v>1265</v>
      </c>
      <c r="D597" s="4" t="s">
        <v>7752</v>
      </c>
      <c r="E597" s="4" t="s">
        <v>7765</v>
      </c>
      <c r="F597" s="4" t="s">
        <v>7754</v>
      </c>
      <c r="G597" s="27" t="s">
        <v>7766</v>
      </c>
      <c r="H597" s="27" t="s">
        <v>7767</v>
      </c>
      <c r="I597" s="27" t="s">
        <v>7768</v>
      </c>
      <c r="J597" s="27" t="s">
        <v>7769</v>
      </c>
      <c r="K597" s="27" t="s">
        <v>7770</v>
      </c>
      <c r="L597" s="27" t="s">
        <v>7771</v>
      </c>
      <c r="M597" s="27" t="s">
        <v>7772</v>
      </c>
      <c r="N597" s="27" t="s">
        <v>7773</v>
      </c>
      <c r="O597" s="27" t="s">
        <v>7774</v>
      </c>
      <c r="P597" s="73"/>
      <c r="S597" s="28">
        <v>1800030491</v>
      </c>
      <c r="T597" s="28">
        <v>1900011109</v>
      </c>
      <c r="U597" s="28">
        <v>1900028064</v>
      </c>
      <c r="V597" s="28">
        <v>2000011256</v>
      </c>
      <c r="W597" s="28">
        <v>2000013043</v>
      </c>
      <c r="X597" s="28">
        <v>2000023056</v>
      </c>
      <c r="Y597" s="28">
        <v>2000024305</v>
      </c>
      <c r="Z597" s="28">
        <v>2000024369</v>
      </c>
      <c r="AA597" s="28">
        <v>2000027010</v>
      </c>
      <c r="AB597" s="73"/>
      <c r="AE597" s="27" t="s">
        <v>184</v>
      </c>
      <c r="AF597" s="27" t="s">
        <v>182</v>
      </c>
      <c r="AG597" s="27" t="s">
        <v>678</v>
      </c>
      <c r="AH597" s="27" t="s">
        <v>182</v>
      </c>
      <c r="AI597" s="27" t="s">
        <v>677</v>
      </c>
      <c r="AJ597" s="27" t="s">
        <v>899</v>
      </c>
      <c r="AK597" s="27" t="s">
        <v>924</v>
      </c>
      <c r="AL597" s="27" t="s">
        <v>924</v>
      </c>
      <c r="AM597" s="27" t="s">
        <v>1763</v>
      </c>
      <c r="AN597" s="73"/>
      <c r="AQ597" s="76" t="s">
        <v>187</v>
      </c>
      <c r="AR597" s="76" t="s">
        <v>187</v>
      </c>
      <c r="AS597" s="76" t="s">
        <v>186</v>
      </c>
      <c r="AT597" s="76" t="s">
        <v>186</v>
      </c>
      <c r="AU597" s="76" t="s">
        <v>186</v>
      </c>
      <c r="AV597" s="76" t="s">
        <v>186</v>
      </c>
      <c r="AW597" s="76" t="s">
        <v>186</v>
      </c>
      <c r="AX597" s="76" t="s">
        <v>187</v>
      </c>
      <c r="AY597" s="76" t="s">
        <v>186</v>
      </c>
      <c r="BC597" s="77">
        <v>83176880197</v>
      </c>
      <c r="BD597" s="77">
        <v>85328710492</v>
      </c>
      <c r="BE597" s="77">
        <v>882005743455</v>
      </c>
      <c r="BF597" s="77">
        <v>85377139769</v>
      </c>
      <c r="BG597" s="77">
        <v>81914946531</v>
      </c>
      <c r="BH597" s="77">
        <v>81809332067</v>
      </c>
      <c r="BI597" s="77">
        <v>8895950115</v>
      </c>
      <c r="BJ597" s="77">
        <v>81903973965</v>
      </c>
      <c r="BK597" s="77">
        <v>88237137655</v>
      </c>
      <c r="BP597" s="18" t="s">
        <v>7775</v>
      </c>
      <c r="BQ597" s="37">
        <v>45145</v>
      </c>
      <c r="BR597" s="8">
        <f t="shared" si="2"/>
        <v>9</v>
      </c>
    </row>
    <row r="598" spans="1:70" ht="14">
      <c r="A598" s="4" t="str">
        <v>Reguler Periode ke-111 IV.D.3</v>
      </c>
      <c r="B598" s="4" t="s">
        <v>7301</v>
      </c>
      <c r="C598" s="4" t="s">
        <v>1286</v>
      </c>
      <c r="D598" s="4" t="s">
        <v>7752</v>
      </c>
      <c r="E598" s="4" t="s">
        <v>7776</v>
      </c>
      <c r="F598" s="4" t="s">
        <v>7754</v>
      </c>
      <c r="G598" s="27" t="s">
        <v>7777</v>
      </c>
      <c r="H598" s="27" t="s">
        <v>7778</v>
      </c>
      <c r="I598" s="27" t="s">
        <v>7779</v>
      </c>
      <c r="J598" s="27" t="s">
        <v>7780</v>
      </c>
      <c r="K598" s="27" t="s">
        <v>7781</v>
      </c>
      <c r="L598" s="27" t="s">
        <v>7782</v>
      </c>
      <c r="M598" s="27" t="s">
        <v>7783</v>
      </c>
      <c r="N598" s="27" t="s">
        <v>7784</v>
      </c>
      <c r="O598" s="27" t="s">
        <v>7785</v>
      </c>
      <c r="S598" s="28">
        <v>1900030060</v>
      </c>
      <c r="T598" s="28">
        <v>2000011040</v>
      </c>
      <c r="U598" s="28">
        <v>2000011210</v>
      </c>
      <c r="V598" s="28">
        <v>2000011234</v>
      </c>
      <c r="W598" s="28">
        <v>2000013201</v>
      </c>
      <c r="X598" s="28">
        <v>2000023257</v>
      </c>
      <c r="Y598" s="28">
        <v>2000024035</v>
      </c>
      <c r="Z598" s="28">
        <v>2000024209</v>
      </c>
      <c r="AA598" s="28">
        <v>2000027111</v>
      </c>
      <c r="AE598" s="27" t="s">
        <v>184</v>
      </c>
      <c r="AF598" s="27" t="s">
        <v>182</v>
      </c>
      <c r="AG598" s="27" t="s">
        <v>182</v>
      </c>
      <c r="AH598" s="27" t="s">
        <v>182</v>
      </c>
      <c r="AI598" s="27" t="s">
        <v>677</v>
      </c>
      <c r="AJ598" s="27" t="s">
        <v>899</v>
      </c>
      <c r="AK598" s="27" t="s">
        <v>924</v>
      </c>
      <c r="AL598" s="27" t="s">
        <v>924</v>
      </c>
      <c r="AM598" s="27" t="s">
        <v>1763</v>
      </c>
      <c r="AQ598" s="76" t="s">
        <v>187</v>
      </c>
      <c r="AR598" s="76" t="s">
        <v>187</v>
      </c>
      <c r="AS598" s="76" t="s">
        <v>186</v>
      </c>
      <c r="AT598" s="76" t="s">
        <v>186</v>
      </c>
      <c r="AU598" s="76" t="s">
        <v>186</v>
      </c>
      <c r="AV598" s="76" t="s">
        <v>186</v>
      </c>
      <c r="AW598" s="76" t="s">
        <v>186</v>
      </c>
      <c r="AX598" s="76" t="s">
        <v>187</v>
      </c>
      <c r="AY598" s="76" t="s">
        <v>186</v>
      </c>
      <c r="BC598" s="77">
        <v>6282217216753</v>
      </c>
      <c r="BD598" s="77">
        <v>82133826886</v>
      </c>
      <c r="BE598" s="77">
        <v>8819835752</v>
      </c>
      <c r="BF598" s="77">
        <v>81341892500</v>
      </c>
      <c r="BG598" s="77">
        <v>81329944554</v>
      </c>
      <c r="BH598" s="77">
        <v>81214811321</v>
      </c>
      <c r="BI598" s="77">
        <v>82113188164</v>
      </c>
      <c r="BJ598" s="77">
        <v>8988755509</v>
      </c>
      <c r="BK598" s="77">
        <v>85333235246</v>
      </c>
      <c r="BP598" s="18" t="s">
        <v>7786</v>
      </c>
      <c r="BQ598" s="37">
        <v>45145</v>
      </c>
      <c r="BR598" s="8">
        <f t="shared" si="2"/>
        <v>9</v>
      </c>
    </row>
    <row r="599" spans="1:70" ht="14.5">
      <c r="A599" s="4" t="str">
        <v>Reguler Periode ke-111 V.A.1</v>
      </c>
      <c r="B599" s="4" t="s">
        <v>7301</v>
      </c>
      <c r="C599" s="4" t="s">
        <v>1328</v>
      </c>
      <c r="D599" s="4" t="s">
        <v>3519</v>
      </c>
      <c r="E599" s="4" t="s">
        <v>7787</v>
      </c>
      <c r="F599" s="4" t="s">
        <v>7754</v>
      </c>
      <c r="G599" s="27" t="s">
        <v>7788</v>
      </c>
      <c r="H599" s="27" t="s">
        <v>7789</v>
      </c>
      <c r="I599" s="27" t="s">
        <v>7790</v>
      </c>
      <c r="J599" s="27" t="s">
        <v>7791</v>
      </c>
      <c r="K599" s="27" t="s">
        <v>7792</v>
      </c>
      <c r="L599" s="27" t="s">
        <v>7793</v>
      </c>
      <c r="M599" s="27" t="s">
        <v>7794</v>
      </c>
      <c r="N599" s="27" t="s">
        <v>7795</v>
      </c>
      <c r="O599" s="27" t="s">
        <v>7796</v>
      </c>
      <c r="P599" s="73"/>
      <c r="Q599" s="73"/>
      <c r="S599" s="28">
        <v>1900011365</v>
      </c>
      <c r="T599" s="28">
        <v>1900030162</v>
      </c>
      <c r="U599" s="28">
        <v>2000011183</v>
      </c>
      <c r="V599" s="28">
        <v>2000011213</v>
      </c>
      <c r="W599" s="28">
        <v>2000013326</v>
      </c>
      <c r="X599" s="28">
        <v>2000023124</v>
      </c>
      <c r="Y599" s="28">
        <v>2000024020</v>
      </c>
      <c r="Z599" s="28">
        <v>2000024333</v>
      </c>
      <c r="AA599" s="28">
        <v>2000027015</v>
      </c>
      <c r="AB599" s="73"/>
      <c r="AE599" s="27" t="s">
        <v>182</v>
      </c>
      <c r="AF599" s="27" t="s">
        <v>184</v>
      </c>
      <c r="AG599" s="27" t="s">
        <v>182</v>
      </c>
      <c r="AH599" s="27" t="s">
        <v>182</v>
      </c>
      <c r="AI599" s="27" t="s">
        <v>677</v>
      </c>
      <c r="AJ599" s="27" t="s">
        <v>899</v>
      </c>
      <c r="AK599" s="27" t="s">
        <v>924</v>
      </c>
      <c r="AL599" s="27" t="s">
        <v>924</v>
      </c>
      <c r="AM599" s="27" t="s">
        <v>1763</v>
      </c>
      <c r="AQ599" s="76" t="s">
        <v>187</v>
      </c>
      <c r="AR599" s="76" t="s">
        <v>187</v>
      </c>
      <c r="AS599" s="76" t="s">
        <v>186</v>
      </c>
      <c r="AT599" s="76" t="s">
        <v>186</v>
      </c>
      <c r="AU599" s="76" t="s">
        <v>186</v>
      </c>
      <c r="AV599" s="76" t="s">
        <v>186</v>
      </c>
      <c r="AW599" s="76" t="s">
        <v>187</v>
      </c>
      <c r="AX599" s="76" t="s">
        <v>186</v>
      </c>
      <c r="AY599" s="76" t="s">
        <v>186</v>
      </c>
      <c r="BC599" s="77">
        <v>82291689125</v>
      </c>
      <c r="BD599" s="77">
        <v>82160337077</v>
      </c>
      <c r="BE599" s="77">
        <v>81318988243</v>
      </c>
      <c r="BF599" s="77">
        <v>82134927103</v>
      </c>
      <c r="BG599" s="77">
        <v>82342807824</v>
      </c>
      <c r="BH599" s="77">
        <v>8985223232</v>
      </c>
      <c r="BI599" s="77">
        <v>895392715613</v>
      </c>
      <c r="BJ599" s="77">
        <v>85799232356</v>
      </c>
      <c r="BK599" s="77">
        <v>81253082615</v>
      </c>
      <c r="BP599" s="18" t="s">
        <v>7797</v>
      </c>
      <c r="BQ599" s="37">
        <v>45145</v>
      </c>
      <c r="BR599" s="8">
        <f t="shared" si="2"/>
        <v>9</v>
      </c>
    </row>
    <row r="600" spans="1:70" ht="14.5">
      <c r="A600" s="4" t="str">
        <v>Reguler Periode ke-111 V.A.2</v>
      </c>
      <c r="B600" s="4" t="s">
        <v>7301</v>
      </c>
      <c r="C600" s="4" t="s">
        <v>1350</v>
      </c>
      <c r="D600" s="4" t="s">
        <v>3519</v>
      </c>
      <c r="E600" s="4" t="s">
        <v>7798</v>
      </c>
      <c r="F600" s="4" t="s">
        <v>7754</v>
      </c>
      <c r="G600" s="27" t="s">
        <v>7799</v>
      </c>
      <c r="H600" s="27" t="s">
        <v>7800</v>
      </c>
      <c r="I600" s="27" t="s">
        <v>7801</v>
      </c>
      <c r="J600" s="27" t="s">
        <v>7802</v>
      </c>
      <c r="K600" s="27" t="s">
        <v>7803</v>
      </c>
      <c r="L600" s="27" t="s">
        <v>7804</v>
      </c>
      <c r="M600" s="27" t="s">
        <v>7805</v>
      </c>
      <c r="N600" s="27" t="s">
        <v>7806</v>
      </c>
      <c r="O600" s="27" t="s">
        <v>7807</v>
      </c>
      <c r="P600" s="73"/>
      <c r="S600" s="28">
        <v>1900011257</v>
      </c>
      <c r="T600" s="28">
        <v>1900030322</v>
      </c>
      <c r="U600" s="28">
        <v>2000011313</v>
      </c>
      <c r="V600" s="28">
        <v>2000013011</v>
      </c>
      <c r="W600" s="28">
        <v>2000018349</v>
      </c>
      <c r="X600" s="28">
        <v>2000023067</v>
      </c>
      <c r="Y600" s="28">
        <v>2000024018</v>
      </c>
      <c r="Z600" s="28">
        <v>2000024177</v>
      </c>
      <c r="AA600" s="28">
        <v>2000027004</v>
      </c>
      <c r="AE600" s="27" t="s">
        <v>182</v>
      </c>
      <c r="AF600" s="27" t="s">
        <v>184</v>
      </c>
      <c r="AG600" s="27" t="s">
        <v>182</v>
      </c>
      <c r="AH600" s="27" t="s">
        <v>677</v>
      </c>
      <c r="AI600" s="27" t="s">
        <v>179</v>
      </c>
      <c r="AJ600" s="27" t="s">
        <v>899</v>
      </c>
      <c r="AK600" s="27" t="s">
        <v>924</v>
      </c>
      <c r="AL600" s="27" t="s">
        <v>924</v>
      </c>
      <c r="AM600" s="27" t="s">
        <v>1763</v>
      </c>
      <c r="AQ600" s="76" t="s">
        <v>187</v>
      </c>
      <c r="AR600" s="76" t="s">
        <v>187</v>
      </c>
      <c r="AS600" s="76" t="s">
        <v>186</v>
      </c>
      <c r="AT600" s="76" t="s">
        <v>186</v>
      </c>
      <c r="AU600" s="76" t="s">
        <v>186</v>
      </c>
      <c r="AV600" s="76" t="s">
        <v>186</v>
      </c>
      <c r="AW600" s="76" t="s">
        <v>187</v>
      </c>
      <c r="AX600" s="76" t="s">
        <v>186</v>
      </c>
      <c r="AY600" s="76" t="s">
        <v>186</v>
      </c>
      <c r="BC600" s="77">
        <v>88806609369</v>
      </c>
      <c r="BD600" s="77">
        <v>895609640026</v>
      </c>
      <c r="BE600" s="77">
        <v>895359099206</v>
      </c>
      <c r="BF600" s="77">
        <v>85712827811</v>
      </c>
      <c r="BG600" s="77">
        <v>81515252629</v>
      </c>
      <c r="BH600" s="77">
        <v>89687632528</v>
      </c>
      <c r="BI600" s="77">
        <v>85712065778</v>
      </c>
      <c r="BJ600" s="77">
        <v>811501193</v>
      </c>
      <c r="BK600" s="77">
        <v>89637168970</v>
      </c>
      <c r="BP600" s="18" t="s">
        <v>7808</v>
      </c>
      <c r="BQ600" s="37">
        <v>45145</v>
      </c>
      <c r="BR600" s="8">
        <f t="shared" si="2"/>
        <v>9</v>
      </c>
    </row>
    <row r="601" spans="1:70" ht="14.5">
      <c r="A601" s="4" t="str">
        <v>Reguler Periode ke-111 V.A.3</v>
      </c>
      <c r="B601" s="4" t="s">
        <v>7301</v>
      </c>
      <c r="C601" s="4" t="s">
        <v>1371</v>
      </c>
      <c r="D601" s="4" t="s">
        <v>3519</v>
      </c>
      <c r="E601" s="4" t="s">
        <v>7809</v>
      </c>
      <c r="F601" s="4" t="s">
        <v>7754</v>
      </c>
      <c r="G601" s="27" t="s">
        <v>7810</v>
      </c>
      <c r="H601" s="27" t="s">
        <v>7811</v>
      </c>
      <c r="I601" s="27" t="s">
        <v>7812</v>
      </c>
      <c r="J601" s="27" t="s">
        <v>7813</v>
      </c>
      <c r="K601" s="27" t="s">
        <v>7814</v>
      </c>
      <c r="L601" s="27" t="s">
        <v>7815</v>
      </c>
      <c r="M601" s="27" t="s">
        <v>7816</v>
      </c>
      <c r="N601" s="27" t="s">
        <v>7817</v>
      </c>
      <c r="O601" s="27" t="s">
        <v>7818</v>
      </c>
      <c r="P601" s="73"/>
      <c r="S601" s="28">
        <v>1900030264</v>
      </c>
      <c r="T601" s="28">
        <v>2000011038</v>
      </c>
      <c r="U601" s="28">
        <v>2000011165</v>
      </c>
      <c r="V601" s="28">
        <v>2000013016</v>
      </c>
      <c r="W601" s="28">
        <v>2000013114</v>
      </c>
      <c r="X601" s="28">
        <v>2000023196</v>
      </c>
      <c r="Y601" s="28">
        <v>2000024236</v>
      </c>
      <c r="Z601" s="28">
        <v>2000024342</v>
      </c>
      <c r="AA601" s="28">
        <v>2000027019</v>
      </c>
      <c r="AE601" s="27" t="s">
        <v>184</v>
      </c>
      <c r="AF601" s="27" t="s">
        <v>182</v>
      </c>
      <c r="AG601" s="27" t="s">
        <v>182</v>
      </c>
      <c r="AH601" s="27" t="s">
        <v>677</v>
      </c>
      <c r="AI601" s="27" t="s">
        <v>677</v>
      </c>
      <c r="AJ601" s="27" t="s">
        <v>899</v>
      </c>
      <c r="AK601" s="27" t="s">
        <v>924</v>
      </c>
      <c r="AL601" s="27" t="s">
        <v>924</v>
      </c>
      <c r="AM601" s="27" t="s">
        <v>1763</v>
      </c>
      <c r="AQ601" s="76" t="s">
        <v>187</v>
      </c>
      <c r="AR601" s="76" t="s">
        <v>187</v>
      </c>
      <c r="AS601" s="76" t="s">
        <v>186</v>
      </c>
      <c r="AT601" s="76" t="s">
        <v>186</v>
      </c>
      <c r="AU601" s="76" t="s">
        <v>186</v>
      </c>
      <c r="AV601" s="76" t="s">
        <v>186</v>
      </c>
      <c r="AW601" s="76" t="s">
        <v>187</v>
      </c>
      <c r="AX601" s="76" t="s">
        <v>186</v>
      </c>
      <c r="AY601" s="76" t="s">
        <v>186</v>
      </c>
      <c r="BC601" s="77">
        <v>895802841049</v>
      </c>
      <c r="BD601" s="77">
        <v>87724223088</v>
      </c>
      <c r="BE601" s="77">
        <v>82181697950</v>
      </c>
      <c r="BF601" s="77">
        <v>81351400910</v>
      </c>
      <c r="BG601" s="77" t="s">
        <v>7819</v>
      </c>
      <c r="BH601" s="77">
        <v>81393021166</v>
      </c>
      <c r="BI601" s="77">
        <v>85712100905</v>
      </c>
      <c r="BJ601" s="77">
        <v>85600603305</v>
      </c>
      <c r="BK601" s="77">
        <v>85245975745</v>
      </c>
      <c r="BP601" s="18" t="s">
        <v>7820</v>
      </c>
      <c r="BQ601" s="37">
        <v>45145</v>
      </c>
      <c r="BR601" s="8">
        <f t="shared" si="2"/>
        <v>9</v>
      </c>
    </row>
    <row r="602" spans="1:70" ht="14.5">
      <c r="A602" s="4" t="str">
        <v>Reguler Periode ke-111 V.B.1</v>
      </c>
      <c r="B602" s="4" t="s">
        <v>7301</v>
      </c>
      <c r="C602" s="4" t="s">
        <v>1392</v>
      </c>
      <c r="D602" s="4" t="s">
        <v>5992</v>
      </c>
      <c r="E602" s="4" t="s">
        <v>7821</v>
      </c>
      <c r="F602" s="4" t="s">
        <v>7754</v>
      </c>
      <c r="G602" s="27" t="s">
        <v>7822</v>
      </c>
      <c r="H602" s="27" t="s">
        <v>7823</v>
      </c>
      <c r="I602" s="27" t="s">
        <v>7824</v>
      </c>
      <c r="J602" s="27" t="s">
        <v>7825</v>
      </c>
      <c r="K602" s="27" t="s">
        <v>7826</v>
      </c>
      <c r="L602" s="27" t="s">
        <v>7827</v>
      </c>
      <c r="M602" s="27" t="s">
        <v>7828</v>
      </c>
      <c r="N602" s="27" t="s">
        <v>7829</v>
      </c>
      <c r="O602" s="27" t="s">
        <v>7830</v>
      </c>
      <c r="P602" s="73"/>
      <c r="S602" s="28">
        <v>1900011247</v>
      </c>
      <c r="T602" s="28">
        <v>1900030186</v>
      </c>
      <c r="U602" s="28">
        <v>2000011154</v>
      </c>
      <c r="V602" s="28">
        <v>2000013046</v>
      </c>
      <c r="W602" s="28">
        <v>2000013245</v>
      </c>
      <c r="X602" s="28">
        <v>2000023070</v>
      </c>
      <c r="Y602" s="28">
        <v>2000024231</v>
      </c>
      <c r="Z602" s="28">
        <v>2000024247</v>
      </c>
      <c r="AA602" s="28">
        <v>2000027114</v>
      </c>
      <c r="AE602" s="27" t="s">
        <v>182</v>
      </c>
      <c r="AF602" s="27" t="s">
        <v>184</v>
      </c>
      <c r="AG602" s="27" t="s">
        <v>182</v>
      </c>
      <c r="AH602" s="27" t="s">
        <v>677</v>
      </c>
      <c r="AI602" s="27" t="s">
        <v>677</v>
      </c>
      <c r="AJ602" s="27" t="s">
        <v>899</v>
      </c>
      <c r="AK602" s="27" t="s">
        <v>924</v>
      </c>
      <c r="AL602" s="27" t="s">
        <v>924</v>
      </c>
      <c r="AM602" s="27" t="s">
        <v>1763</v>
      </c>
      <c r="AQ602" s="76" t="s">
        <v>187</v>
      </c>
      <c r="AR602" s="76" t="s">
        <v>187</v>
      </c>
      <c r="AS602" s="76" t="s">
        <v>186</v>
      </c>
      <c r="AT602" s="76" t="s">
        <v>186</v>
      </c>
      <c r="AU602" s="76" t="s">
        <v>186</v>
      </c>
      <c r="AV602" s="76" t="s">
        <v>186</v>
      </c>
      <c r="AW602" s="76" t="s">
        <v>186</v>
      </c>
      <c r="AX602" s="76" t="s">
        <v>187</v>
      </c>
      <c r="AY602" s="76" t="s">
        <v>186</v>
      </c>
      <c r="BC602" s="77">
        <v>82281704097</v>
      </c>
      <c r="BD602" s="77">
        <v>82170661409</v>
      </c>
      <c r="BE602" s="77">
        <v>81215213409</v>
      </c>
      <c r="BF602" s="77">
        <v>85640708302</v>
      </c>
      <c r="BG602" s="77">
        <v>85259201452</v>
      </c>
      <c r="BH602" s="77">
        <v>82122646615</v>
      </c>
      <c r="BI602" s="77">
        <v>85952830287</v>
      </c>
      <c r="BJ602" s="77">
        <v>82137084095</v>
      </c>
      <c r="BK602" s="77">
        <v>6282386272251</v>
      </c>
      <c r="BP602" s="18" t="s">
        <v>7831</v>
      </c>
      <c r="BQ602" s="37">
        <v>45145</v>
      </c>
      <c r="BR602" s="8">
        <f t="shared" si="2"/>
        <v>9</v>
      </c>
    </row>
    <row r="603" spans="1:70" ht="14.5">
      <c r="A603" s="4" t="str">
        <v>Reguler Periode ke-111 V.B.2</v>
      </c>
      <c r="B603" s="4" t="s">
        <v>7301</v>
      </c>
      <c r="C603" s="4" t="s">
        <v>1414</v>
      </c>
      <c r="D603" s="4" t="s">
        <v>5992</v>
      </c>
      <c r="E603" s="4" t="s">
        <v>7832</v>
      </c>
      <c r="F603" s="4" t="s">
        <v>7754</v>
      </c>
      <c r="G603" s="27" t="s">
        <v>7833</v>
      </c>
      <c r="H603" s="27" t="s">
        <v>7834</v>
      </c>
      <c r="I603" s="27" t="s">
        <v>7835</v>
      </c>
      <c r="J603" s="27" t="s">
        <v>7836</v>
      </c>
      <c r="K603" s="27" t="s">
        <v>7837</v>
      </c>
      <c r="L603" s="27" t="s">
        <v>7838</v>
      </c>
      <c r="M603" s="27" t="s">
        <v>7839</v>
      </c>
      <c r="N603" s="27" t="s">
        <v>7840</v>
      </c>
      <c r="O603" s="27" t="s">
        <v>7841</v>
      </c>
      <c r="P603" s="73"/>
      <c r="Q603" s="73"/>
      <c r="S603" s="28">
        <v>1700024055</v>
      </c>
      <c r="T603" s="28">
        <v>1900011288</v>
      </c>
      <c r="U603" s="28">
        <v>2000011244</v>
      </c>
      <c r="V603" s="28">
        <v>2000013119</v>
      </c>
      <c r="W603" s="28">
        <v>2000013183</v>
      </c>
      <c r="X603" s="28">
        <v>2000023014</v>
      </c>
      <c r="Y603" s="28">
        <v>2000024186</v>
      </c>
      <c r="Z603" s="28">
        <v>2000027074</v>
      </c>
      <c r="AA603" s="28">
        <v>2000030135</v>
      </c>
      <c r="AE603" s="27" t="s">
        <v>924</v>
      </c>
      <c r="AF603" s="27" t="s">
        <v>182</v>
      </c>
      <c r="AG603" s="27" t="s">
        <v>182</v>
      </c>
      <c r="AH603" s="27" t="s">
        <v>677</v>
      </c>
      <c r="AI603" s="27" t="s">
        <v>677</v>
      </c>
      <c r="AJ603" s="27" t="s">
        <v>899</v>
      </c>
      <c r="AK603" s="27" t="s">
        <v>924</v>
      </c>
      <c r="AL603" s="27" t="s">
        <v>1763</v>
      </c>
      <c r="AM603" s="27" t="s">
        <v>184</v>
      </c>
      <c r="AN603" s="73"/>
      <c r="AQ603" s="76" t="s">
        <v>187</v>
      </c>
      <c r="AR603" s="76" t="s">
        <v>187</v>
      </c>
      <c r="AS603" s="76" t="s">
        <v>186</v>
      </c>
      <c r="AT603" s="76" t="s">
        <v>186</v>
      </c>
      <c r="AU603" s="76" t="s">
        <v>186</v>
      </c>
      <c r="AV603" s="76" t="s">
        <v>186</v>
      </c>
      <c r="AW603" s="76" t="s">
        <v>186</v>
      </c>
      <c r="AX603" s="76" t="s">
        <v>186</v>
      </c>
      <c r="AY603" s="76" t="s">
        <v>187</v>
      </c>
      <c r="BC603" s="77">
        <v>82251493923</v>
      </c>
      <c r="BD603" s="77">
        <v>85700200048</v>
      </c>
      <c r="BE603" s="77">
        <v>87715904553</v>
      </c>
      <c r="BF603" s="77">
        <v>82248495766</v>
      </c>
      <c r="BG603" s="77">
        <v>82236527409</v>
      </c>
      <c r="BH603" s="77">
        <v>8112346376</v>
      </c>
      <c r="BI603" s="77">
        <v>81915103146</v>
      </c>
      <c r="BJ603" s="77">
        <v>81336720487</v>
      </c>
      <c r="BK603" s="77">
        <v>82156462672</v>
      </c>
      <c r="BP603" s="18" t="s">
        <v>7842</v>
      </c>
      <c r="BQ603" s="37">
        <v>45145</v>
      </c>
      <c r="BR603" s="8">
        <f t="shared" si="2"/>
        <v>9</v>
      </c>
    </row>
    <row r="604" spans="1:70" ht="14.5">
      <c r="A604" s="4" t="str">
        <v>Reguler Periode ke-111 V.B.3</v>
      </c>
      <c r="B604" s="4" t="s">
        <v>7301</v>
      </c>
      <c r="C604" s="4" t="s">
        <v>1435</v>
      </c>
      <c r="D604" s="4" t="s">
        <v>5992</v>
      </c>
      <c r="E604" s="4" t="s">
        <v>7843</v>
      </c>
      <c r="F604" s="4" t="s">
        <v>7754</v>
      </c>
      <c r="G604" s="27" t="s">
        <v>7844</v>
      </c>
      <c r="H604" s="27" t="s">
        <v>7845</v>
      </c>
      <c r="I604" s="27" t="s">
        <v>7846</v>
      </c>
      <c r="J604" s="27" t="s">
        <v>7847</v>
      </c>
      <c r="K604" s="27" t="s">
        <v>7848</v>
      </c>
      <c r="L604" s="27" t="s">
        <v>7849</v>
      </c>
      <c r="M604" s="27" t="s">
        <v>7850</v>
      </c>
      <c r="N604" s="27" t="s">
        <v>7851</v>
      </c>
      <c r="O604" s="27" t="s">
        <v>7852</v>
      </c>
      <c r="P604" s="73"/>
      <c r="S604" s="28">
        <v>1800030199</v>
      </c>
      <c r="T604" s="28">
        <v>1900011250</v>
      </c>
      <c r="U604" s="28">
        <v>2000011061</v>
      </c>
      <c r="V604" s="28">
        <v>2000013127</v>
      </c>
      <c r="W604" s="28">
        <v>2000013215</v>
      </c>
      <c r="X604" s="28">
        <v>2000023087</v>
      </c>
      <c r="Y604" s="28">
        <v>2000024153</v>
      </c>
      <c r="Z604" s="28">
        <v>2000024270</v>
      </c>
      <c r="AA604" s="28">
        <v>2000028005</v>
      </c>
      <c r="AB604" s="73"/>
      <c r="AE604" s="27" t="s">
        <v>184</v>
      </c>
      <c r="AF604" s="27" t="s">
        <v>182</v>
      </c>
      <c r="AG604" s="27" t="s">
        <v>182</v>
      </c>
      <c r="AH604" s="27" t="s">
        <v>677</v>
      </c>
      <c r="AI604" s="27" t="s">
        <v>677</v>
      </c>
      <c r="AJ604" s="27" t="s">
        <v>899</v>
      </c>
      <c r="AK604" s="27" t="s">
        <v>924</v>
      </c>
      <c r="AL604" s="27" t="s">
        <v>924</v>
      </c>
      <c r="AM604" s="27" t="s">
        <v>678</v>
      </c>
      <c r="AN604" s="73"/>
      <c r="AQ604" s="76" t="s">
        <v>187</v>
      </c>
      <c r="AR604" s="76" t="s">
        <v>187</v>
      </c>
      <c r="AS604" s="76" t="s">
        <v>186</v>
      </c>
      <c r="AT604" s="76" t="s">
        <v>187</v>
      </c>
      <c r="AU604" s="76" t="s">
        <v>186</v>
      </c>
      <c r="AV604" s="76" t="s">
        <v>186</v>
      </c>
      <c r="AW604" s="76" t="s">
        <v>187</v>
      </c>
      <c r="AX604" s="76" t="s">
        <v>186</v>
      </c>
      <c r="AY604" s="76" t="s">
        <v>186</v>
      </c>
      <c r="BC604" s="77">
        <v>87784140998</v>
      </c>
      <c r="BD604" s="77">
        <v>82154743321</v>
      </c>
      <c r="BE604" s="77">
        <v>88980910722</v>
      </c>
      <c r="BF604" s="77">
        <v>85876040943</v>
      </c>
      <c r="BG604" s="77">
        <v>88742676318</v>
      </c>
      <c r="BH604" s="77">
        <v>85825300568</v>
      </c>
      <c r="BI604" s="77">
        <v>89531317111</v>
      </c>
      <c r="BJ604" s="77">
        <v>89608939668</v>
      </c>
      <c r="BK604" s="77">
        <v>85784951488</v>
      </c>
      <c r="BP604" s="18" t="s">
        <v>7853</v>
      </c>
      <c r="BQ604" s="37">
        <v>45145</v>
      </c>
      <c r="BR604" s="8">
        <f t="shared" si="2"/>
        <v>9</v>
      </c>
    </row>
    <row r="605" spans="1:70" ht="14.5">
      <c r="A605" s="4" t="str">
        <v>Reguler Periode ke-111 V.C.1</v>
      </c>
      <c r="B605" s="4" t="s">
        <v>7301</v>
      </c>
      <c r="C605" s="4" t="s">
        <v>1456</v>
      </c>
      <c r="D605" s="4" t="s">
        <v>5190</v>
      </c>
      <c r="E605" s="4" t="s">
        <v>7854</v>
      </c>
      <c r="F605" s="4" t="s">
        <v>7754</v>
      </c>
      <c r="G605" s="27" t="s">
        <v>7855</v>
      </c>
      <c r="H605" s="27" t="s">
        <v>7856</v>
      </c>
      <c r="I605" s="27" t="s">
        <v>7857</v>
      </c>
      <c r="J605" s="27" t="s">
        <v>7858</v>
      </c>
      <c r="K605" s="27" t="s">
        <v>7859</v>
      </c>
      <c r="L605" s="27" t="s">
        <v>7860</v>
      </c>
      <c r="M605" s="27" t="s">
        <v>7861</v>
      </c>
      <c r="N605" s="27" t="s">
        <v>7862</v>
      </c>
      <c r="O605" s="27" t="s">
        <v>7863</v>
      </c>
      <c r="P605" s="73"/>
      <c r="S605" s="28">
        <v>1900011153</v>
      </c>
      <c r="T605" s="28">
        <v>1900030049</v>
      </c>
      <c r="U605" s="28">
        <v>2000013040</v>
      </c>
      <c r="V605" s="28">
        <v>2000013166</v>
      </c>
      <c r="W605" s="28">
        <v>2000023162</v>
      </c>
      <c r="X605" s="28">
        <v>2000024115</v>
      </c>
      <c r="Y605" s="28">
        <v>2000024199</v>
      </c>
      <c r="Z605" s="28">
        <v>2000028126</v>
      </c>
      <c r="AA605" s="28">
        <v>2000028145</v>
      </c>
      <c r="AB605" s="73"/>
      <c r="AE605" s="27" t="s">
        <v>182</v>
      </c>
      <c r="AF605" s="27" t="s">
        <v>184</v>
      </c>
      <c r="AG605" s="27" t="s">
        <v>677</v>
      </c>
      <c r="AH605" s="27" t="s">
        <v>677</v>
      </c>
      <c r="AI605" s="27" t="s">
        <v>899</v>
      </c>
      <c r="AJ605" s="27" t="s">
        <v>924</v>
      </c>
      <c r="AK605" s="27" t="s">
        <v>924</v>
      </c>
      <c r="AL605" s="27" t="s">
        <v>678</v>
      </c>
      <c r="AM605" s="27" t="s">
        <v>678</v>
      </c>
      <c r="AN605" s="73"/>
      <c r="AQ605" s="76" t="s">
        <v>187</v>
      </c>
      <c r="AR605" s="76" t="s">
        <v>187</v>
      </c>
      <c r="AS605" s="76" t="s">
        <v>186</v>
      </c>
      <c r="AT605" s="76" t="s">
        <v>186</v>
      </c>
      <c r="AU605" s="76" t="s">
        <v>186</v>
      </c>
      <c r="AV605" s="76" t="s">
        <v>186</v>
      </c>
      <c r="AW605" s="76" t="s">
        <v>187</v>
      </c>
      <c r="AX605" s="76" t="s">
        <v>187</v>
      </c>
      <c r="AY605" s="76" t="s">
        <v>186</v>
      </c>
      <c r="BC605" s="77">
        <v>81257054432</v>
      </c>
      <c r="BD605" s="77">
        <v>81327384097</v>
      </c>
      <c r="BE605" s="77">
        <v>83157725733</v>
      </c>
      <c r="BF605" s="77">
        <v>82117928714</v>
      </c>
      <c r="BG605" s="77">
        <v>85374492008</v>
      </c>
      <c r="BH605" s="77">
        <v>82133859574</v>
      </c>
      <c r="BI605" s="77">
        <v>85701738596</v>
      </c>
      <c r="BJ605" s="77">
        <v>81273767121</v>
      </c>
      <c r="BK605" s="77">
        <v>85719987457</v>
      </c>
      <c r="BP605" s="18" t="s">
        <v>7864</v>
      </c>
      <c r="BQ605" s="37">
        <v>45145</v>
      </c>
      <c r="BR605" s="8">
        <f t="shared" si="2"/>
        <v>9</v>
      </c>
    </row>
    <row r="606" spans="1:70" ht="14.5">
      <c r="A606" s="4" t="str">
        <v>Reguler Periode ke-111 V.C.2</v>
      </c>
      <c r="B606" s="4" t="s">
        <v>7301</v>
      </c>
      <c r="C606" s="4" t="s">
        <v>1478</v>
      </c>
      <c r="D606" s="4" t="s">
        <v>5190</v>
      </c>
      <c r="E606" s="4" t="s">
        <v>7865</v>
      </c>
      <c r="F606" s="4" t="s">
        <v>7754</v>
      </c>
      <c r="G606" s="27" t="s">
        <v>7866</v>
      </c>
      <c r="H606" s="27" t="s">
        <v>7867</v>
      </c>
      <c r="I606" s="27" t="s">
        <v>7868</v>
      </c>
      <c r="J606" s="27" t="s">
        <v>7869</v>
      </c>
      <c r="K606" s="27" t="s">
        <v>7870</v>
      </c>
      <c r="L606" s="27" t="s">
        <v>7871</v>
      </c>
      <c r="M606" s="27" t="s">
        <v>7872</v>
      </c>
      <c r="N606" s="27" t="s">
        <v>7873</v>
      </c>
      <c r="O606" s="27" t="s">
        <v>7874</v>
      </c>
      <c r="P606" s="73"/>
      <c r="S606" s="28">
        <v>1800030158</v>
      </c>
      <c r="T606" s="28">
        <v>1900024092</v>
      </c>
      <c r="U606" s="28">
        <v>2000011039</v>
      </c>
      <c r="V606" s="28">
        <v>2000011167</v>
      </c>
      <c r="W606" s="28">
        <v>2000013204</v>
      </c>
      <c r="X606" s="28">
        <v>2000013270</v>
      </c>
      <c r="Y606" s="28">
        <v>2000023145</v>
      </c>
      <c r="Z606" s="28">
        <v>2000024372</v>
      </c>
      <c r="AA606" s="28">
        <v>2000028104</v>
      </c>
      <c r="AB606" s="73"/>
      <c r="AE606" s="27" t="s">
        <v>184</v>
      </c>
      <c r="AF606" s="27" t="s">
        <v>924</v>
      </c>
      <c r="AG606" s="27" t="s">
        <v>182</v>
      </c>
      <c r="AH606" s="27" t="s">
        <v>182</v>
      </c>
      <c r="AI606" s="27" t="s">
        <v>677</v>
      </c>
      <c r="AJ606" s="27" t="s">
        <v>677</v>
      </c>
      <c r="AK606" s="27" t="s">
        <v>899</v>
      </c>
      <c r="AL606" s="27" t="s">
        <v>924</v>
      </c>
      <c r="AM606" s="27" t="s">
        <v>678</v>
      </c>
      <c r="AN606" s="73"/>
      <c r="AQ606" s="76" t="s">
        <v>187</v>
      </c>
      <c r="AR606" s="76" t="s">
        <v>187</v>
      </c>
      <c r="AS606" s="76" t="s">
        <v>187</v>
      </c>
      <c r="AT606" s="76" t="s">
        <v>186</v>
      </c>
      <c r="AU606" s="76" t="s">
        <v>186</v>
      </c>
      <c r="AV606" s="76" t="s">
        <v>186</v>
      </c>
      <c r="AW606" s="76" t="s">
        <v>186</v>
      </c>
      <c r="AX606" s="76" t="s">
        <v>186</v>
      </c>
      <c r="AY606" s="76" t="s">
        <v>186</v>
      </c>
      <c r="BC606" s="77">
        <v>87765985577</v>
      </c>
      <c r="BD606" s="77">
        <v>85788381481</v>
      </c>
      <c r="BE606" s="77">
        <v>85226439618</v>
      </c>
      <c r="BF606" s="77">
        <v>88210993659</v>
      </c>
      <c r="BG606" s="77">
        <v>82252090330</v>
      </c>
      <c r="BH606" s="77">
        <v>89616374938</v>
      </c>
      <c r="BI606" s="77">
        <v>83189729568</v>
      </c>
      <c r="BJ606" s="77">
        <v>89508574390</v>
      </c>
      <c r="BK606" s="77">
        <v>81238995477</v>
      </c>
      <c r="BP606" s="18" t="s">
        <v>7875</v>
      </c>
      <c r="BQ606" s="37">
        <v>45145</v>
      </c>
      <c r="BR606" s="8">
        <f t="shared" si="2"/>
        <v>9</v>
      </c>
    </row>
    <row r="607" spans="1:70" ht="14.5">
      <c r="A607" s="4" t="str">
        <v>Reguler Periode ke-111 V.C.3</v>
      </c>
      <c r="B607" s="4" t="s">
        <v>7301</v>
      </c>
      <c r="C607" s="4" t="s">
        <v>1498</v>
      </c>
      <c r="D607" s="4" t="s">
        <v>5190</v>
      </c>
      <c r="E607" s="4" t="s">
        <v>7876</v>
      </c>
      <c r="F607" s="4" t="s">
        <v>7754</v>
      </c>
      <c r="G607" s="27" t="s">
        <v>7877</v>
      </c>
      <c r="H607" s="27" t="s">
        <v>7878</v>
      </c>
      <c r="I607" s="27" t="s">
        <v>7879</v>
      </c>
      <c r="J607" s="27" t="s">
        <v>7880</v>
      </c>
      <c r="K607" s="27" t="s">
        <v>7881</v>
      </c>
      <c r="L607" s="27" t="s">
        <v>7882</v>
      </c>
      <c r="M607" s="27" t="s">
        <v>7883</v>
      </c>
      <c r="N607" s="27" t="s">
        <v>7884</v>
      </c>
      <c r="O607" s="27" t="s">
        <v>7885</v>
      </c>
      <c r="P607" s="73"/>
      <c r="Q607" s="73"/>
      <c r="S607" s="28">
        <v>1900011349</v>
      </c>
      <c r="T607" s="28">
        <v>1900024194</v>
      </c>
      <c r="U607" s="28">
        <v>1900030152</v>
      </c>
      <c r="V607" s="28">
        <v>2000011258</v>
      </c>
      <c r="W607" s="28">
        <v>2000013252</v>
      </c>
      <c r="X607" s="28">
        <v>2000013263</v>
      </c>
      <c r="Y607" s="28">
        <v>2000023081</v>
      </c>
      <c r="Z607" s="28">
        <v>2000024360</v>
      </c>
      <c r="AA607" s="28">
        <v>2000028077</v>
      </c>
      <c r="AB607" s="73"/>
      <c r="AC607" s="73"/>
      <c r="AE607" s="27" t="s">
        <v>182</v>
      </c>
      <c r="AF607" s="27" t="s">
        <v>924</v>
      </c>
      <c r="AG607" s="27" t="s">
        <v>184</v>
      </c>
      <c r="AH607" s="27" t="s">
        <v>182</v>
      </c>
      <c r="AI607" s="27" t="s">
        <v>677</v>
      </c>
      <c r="AJ607" s="27" t="s">
        <v>677</v>
      </c>
      <c r="AK607" s="27" t="s">
        <v>899</v>
      </c>
      <c r="AL607" s="27" t="s">
        <v>924</v>
      </c>
      <c r="AM607" s="27" t="s">
        <v>678</v>
      </c>
      <c r="AN607" s="73"/>
      <c r="AO607" s="73"/>
      <c r="AQ607" s="76" t="s">
        <v>187</v>
      </c>
      <c r="AR607" s="76" t="s">
        <v>186</v>
      </c>
      <c r="AS607" s="76" t="s">
        <v>187</v>
      </c>
      <c r="AT607" s="76" t="s">
        <v>186</v>
      </c>
      <c r="AU607" s="76" t="s">
        <v>186</v>
      </c>
      <c r="AV607" s="76" t="s">
        <v>186</v>
      </c>
      <c r="AW607" s="76" t="s">
        <v>186</v>
      </c>
      <c r="AX607" s="76" t="s">
        <v>187</v>
      </c>
      <c r="AY607" s="76" t="s">
        <v>186</v>
      </c>
      <c r="BC607" s="77">
        <v>82297248813</v>
      </c>
      <c r="BD607" s="77">
        <v>87705047998</v>
      </c>
      <c r="BE607" s="77">
        <v>85784676318</v>
      </c>
      <c r="BF607" s="77">
        <v>89524395731</v>
      </c>
      <c r="BG607" s="77">
        <v>81271680684</v>
      </c>
      <c r="BH607" s="77">
        <v>85328738140</v>
      </c>
      <c r="BI607" s="77">
        <v>82371867936</v>
      </c>
      <c r="BJ607" s="77">
        <v>82131900944</v>
      </c>
      <c r="BK607" s="77">
        <v>82282457441</v>
      </c>
      <c r="BP607" s="18" t="s">
        <v>7886</v>
      </c>
      <c r="BQ607" s="37">
        <v>45145</v>
      </c>
      <c r="BR607" s="8">
        <f t="shared" si="2"/>
        <v>9</v>
      </c>
    </row>
    <row r="608" spans="1:70" ht="14.5">
      <c r="A608" s="4" t="str">
        <v>Reguler Periode ke-111 V.D.1</v>
      </c>
      <c r="B608" s="4" t="s">
        <v>7301</v>
      </c>
      <c r="C608" s="4" t="s">
        <v>1519</v>
      </c>
      <c r="D608" s="4" t="s">
        <v>3592</v>
      </c>
      <c r="E608" s="4" t="s">
        <v>7887</v>
      </c>
      <c r="F608" s="4" t="s">
        <v>7754</v>
      </c>
      <c r="G608" s="27" t="s">
        <v>7888</v>
      </c>
      <c r="H608" s="27" t="s">
        <v>7889</v>
      </c>
      <c r="I608" s="27" t="s">
        <v>7890</v>
      </c>
      <c r="J608" s="27" t="s">
        <v>7891</v>
      </c>
      <c r="K608" s="27" t="s">
        <v>7892</v>
      </c>
      <c r="L608" s="27" t="s">
        <v>7893</v>
      </c>
      <c r="M608" s="27" t="s">
        <v>7894</v>
      </c>
      <c r="N608" s="27" t="s">
        <v>7895</v>
      </c>
      <c r="O608" s="27" t="s">
        <v>7896</v>
      </c>
      <c r="S608" s="28">
        <v>1900011332</v>
      </c>
      <c r="T608" s="28">
        <v>1900030359</v>
      </c>
      <c r="U608" s="28">
        <v>2000011122</v>
      </c>
      <c r="V608" s="28">
        <v>2000013120</v>
      </c>
      <c r="W608" s="28">
        <v>2000013276</v>
      </c>
      <c r="X608" s="28">
        <v>2000023191</v>
      </c>
      <c r="Y608" s="28">
        <v>2000024006</v>
      </c>
      <c r="Z608" s="28">
        <v>2000024069</v>
      </c>
      <c r="AA608" s="28">
        <v>2000028062</v>
      </c>
      <c r="AB608" s="73"/>
      <c r="AE608" s="27" t="s">
        <v>182</v>
      </c>
      <c r="AF608" s="27" t="s">
        <v>184</v>
      </c>
      <c r="AG608" s="27" t="s">
        <v>182</v>
      </c>
      <c r="AH608" s="27" t="s">
        <v>677</v>
      </c>
      <c r="AI608" s="27" t="s">
        <v>677</v>
      </c>
      <c r="AJ608" s="27" t="s">
        <v>899</v>
      </c>
      <c r="AK608" s="27" t="s">
        <v>924</v>
      </c>
      <c r="AL608" s="27" t="s">
        <v>924</v>
      </c>
      <c r="AM608" s="27" t="s">
        <v>678</v>
      </c>
      <c r="AN608" s="73"/>
      <c r="AQ608" s="76" t="s">
        <v>187</v>
      </c>
      <c r="AR608" s="76" t="s">
        <v>187</v>
      </c>
      <c r="AS608" s="76" t="s">
        <v>186</v>
      </c>
      <c r="AT608" s="76" t="s">
        <v>186</v>
      </c>
      <c r="AU608" s="76" t="s">
        <v>186</v>
      </c>
      <c r="AV608" s="76" t="s">
        <v>186</v>
      </c>
      <c r="AW608" s="76" t="s">
        <v>186</v>
      </c>
      <c r="AX608" s="76" t="s">
        <v>187</v>
      </c>
      <c r="AY608" s="76" t="s">
        <v>186</v>
      </c>
      <c r="BC608" s="77">
        <v>85342191376</v>
      </c>
      <c r="BD608" s="77">
        <v>85231315234</v>
      </c>
      <c r="BE608" s="77">
        <v>895377041394</v>
      </c>
      <c r="BF608" s="77">
        <v>85211034107</v>
      </c>
      <c r="BG608" s="77">
        <v>81258092354</v>
      </c>
      <c r="BH608" s="77">
        <v>81217799384</v>
      </c>
      <c r="BI608" s="77">
        <v>8980164434</v>
      </c>
      <c r="BJ608" s="77">
        <v>85774231088</v>
      </c>
      <c r="BK608" s="77">
        <v>85261269969</v>
      </c>
      <c r="BP608" s="18" t="s">
        <v>7897</v>
      </c>
      <c r="BQ608" s="37">
        <v>45145</v>
      </c>
      <c r="BR608" s="8">
        <f t="shared" si="2"/>
        <v>9</v>
      </c>
    </row>
    <row r="609" spans="1:70" ht="14.5">
      <c r="A609" s="4" t="str">
        <v>Reguler Periode ke-111 V.D.2</v>
      </c>
      <c r="B609" s="4" t="s">
        <v>7301</v>
      </c>
      <c r="C609" s="4" t="s">
        <v>1540</v>
      </c>
      <c r="D609" s="4" t="s">
        <v>3592</v>
      </c>
      <c r="E609" s="4" t="s">
        <v>7898</v>
      </c>
      <c r="F609" s="4" t="s">
        <v>7754</v>
      </c>
      <c r="G609" s="27" t="s">
        <v>7899</v>
      </c>
      <c r="H609" s="27" t="s">
        <v>7900</v>
      </c>
      <c r="I609" s="27" t="s">
        <v>7901</v>
      </c>
      <c r="J609" s="27" t="s">
        <v>7902</v>
      </c>
      <c r="K609" s="27" t="s">
        <v>7903</v>
      </c>
      <c r="L609" s="27" t="s">
        <v>7904</v>
      </c>
      <c r="M609" s="27" t="s">
        <v>7905</v>
      </c>
      <c r="N609" s="27" t="s">
        <v>7906</v>
      </c>
      <c r="O609" s="27" t="s">
        <v>7907</v>
      </c>
      <c r="P609" s="73"/>
      <c r="Q609" s="73"/>
      <c r="S609" s="28">
        <v>1900024072</v>
      </c>
      <c r="T609" s="28">
        <v>1900030318</v>
      </c>
      <c r="U609" s="28">
        <v>2000011237</v>
      </c>
      <c r="V609" s="28">
        <v>2000011372</v>
      </c>
      <c r="W609" s="28">
        <v>2000013150</v>
      </c>
      <c r="X609" s="28">
        <v>2000013331</v>
      </c>
      <c r="Y609" s="28">
        <v>2000023154</v>
      </c>
      <c r="Z609" s="28">
        <v>2000024185</v>
      </c>
      <c r="AA609" s="28">
        <v>2000028029</v>
      </c>
      <c r="AB609" s="73"/>
      <c r="AE609" s="27" t="s">
        <v>924</v>
      </c>
      <c r="AF609" s="27" t="s">
        <v>184</v>
      </c>
      <c r="AG609" s="27" t="s">
        <v>182</v>
      </c>
      <c r="AH609" s="27" t="s">
        <v>182</v>
      </c>
      <c r="AI609" s="27" t="s">
        <v>677</v>
      </c>
      <c r="AJ609" s="27" t="s">
        <v>677</v>
      </c>
      <c r="AK609" s="27" t="s">
        <v>899</v>
      </c>
      <c r="AL609" s="27" t="s">
        <v>924</v>
      </c>
      <c r="AM609" s="27" t="s">
        <v>678</v>
      </c>
      <c r="AN609" s="73"/>
      <c r="AQ609" s="76" t="s">
        <v>187</v>
      </c>
      <c r="AR609" s="76" t="s">
        <v>187</v>
      </c>
      <c r="AS609" s="76" t="s">
        <v>187</v>
      </c>
      <c r="AT609" s="76" t="s">
        <v>186</v>
      </c>
      <c r="AU609" s="76" t="s">
        <v>186</v>
      </c>
      <c r="AV609" s="76" t="s">
        <v>186</v>
      </c>
      <c r="AW609" s="76" t="s">
        <v>186</v>
      </c>
      <c r="AX609" s="76" t="s">
        <v>186</v>
      </c>
      <c r="AY609" s="76" t="s">
        <v>186</v>
      </c>
      <c r="BC609" s="77">
        <v>82269954294</v>
      </c>
      <c r="BD609" s="77">
        <v>81238301088</v>
      </c>
      <c r="BE609" s="77">
        <f>6285751065091</f>
        <v>6285751065091</v>
      </c>
      <c r="BF609" s="77">
        <v>88226458489</v>
      </c>
      <c r="BG609" s="77">
        <v>83869237433</v>
      </c>
      <c r="BH609" s="77">
        <v>85338141773</v>
      </c>
      <c r="BI609" s="77">
        <v>85356152988</v>
      </c>
      <c r="BJ609" s="77">
        <v>81252445686</v>
      </c>
      <c r="BK609" s="77">
        <v>85641988464</v>
      </c>
      <c r="BP609" s="18" t="s">
        <v>7908</v>
      </c>
      <c r="BQ609" s="37">
        <v>45145</v>
      </c>
      <c r="BR609" s="8">
        <f t="shared" si="2"/>
        <v>9</v>
      </c>
    </row>
    <row r="610" spans="1:70" ht="14.5">
      <c r="A610" s="4" t="str">
        <v>Reguler Periode ke-111 V.D.3</v>
      </c>
      <c r="B610" s="4" t="s">
        <v>7301</v>
      </c>
      <c r="C610" s="4" t="s">
        <v>1561</v>
      </c>
      <c r="D610" s="4" t="s">
        <v>3592</v>
      </c>
      <c r="E610" s="4" t="s">
        <v>7909</v>
      </c>
      <c r="F610" s="4" t="s">
        <v>7754</v>
      </c>
      <c r="G610" s="27" t="s">
        <v>7910</v>
      </c>
      <c r="H610" s="27" t="s">
        <v>7911</v>
      </c>
      <c r="I610" s="27" t="s">
        <v>7912</v>
      </c>
      <c r="J610" s="27" t="s">
        <v>7913</v>
      </c>
      <c r="K610" s="27" t="s">
        <v>7914</v>
      </c>
      <c r="L610" s="27" t="s">
        <v>7915</v>
      </c>
      <c r="M610" s="27" t="s">
        <v>7916</v>
      </c>
      <c r="N610" s="27" t="s">
        <v>7917</v>
      </c>
      <c r="O610" s="27" t="s">
        <v>7918</v>
      </c>
      <c r="P610" s="73"/>
      <c r="Q610" s="73"/>
      <c r="S610" s="28">
        <v>1800030484</v>
      </c>
      <c r="T610" s="28">
        <v>1900011097</v>
      </c>
      <c r="U610" s="28">
        <v>2000011099</v>
      </c>
      <c r="V610" s="28">
        <v>2000013015</v>
      </c>
      <c r="W610" s="28">
        <v>2000013340</v>
      </c>
      <c r="X610" s="28">
        <v>2000023012</v>
      </c>
      <c r="Y610" s="28">
        <v>2000024130</v>
      </c>
      <c r="Z610" s="28">
        <v>2000024197</v>
      </c>
      <c r="AA610" s="28">
        <v>2011028079</v>
      </c>
      <c r="AB610" s="73"/>
      <c r="AE610" s="27" t="s">
        <v>184</v>
      </c>
      <c r="AF610" s="27" t="s">
        <v>182</v>
      </c>
      <c r="AG610" s="27" t="s">
        <v>182</v>
      </c>
      <c r="AH610" s="27" t="s">
        <v>677</v>
      </c>
      <c r="AI610" s="27" t="s">
        <v>677</v>
      </c>
      <c r="AJ610" s="27" t="s">
        <v>899</v>
      </c>
      <c r="AK610" s="27" t="s">
        <v>924</v>
      </c>
      <c r="AL610" s="27" t="s">
        <v>924</v>
      </c>
      <c r="AM610" s="27" t="s">
        <v>678</v>
      </c>
      <c r="AN610" s="73"/>
      <c r="AQ610" s="76" t="s">
        <v>187</v>
      </c>
      <c r="AR610" s="76" t="s">
        <v>187</v>
      </c>
      <c r="AS610" s="76" t="s">
        <v>186</v>
      </c>
      <c r="AT610" s="76" t="s">
        <v>186</v>
      </c>
      <c r="AU610" s="76" t="s">
        <v>186</v>
      </c>
      <c r="AV610" s="76" t="s">
        <v>186</v>
      </c>
      <c r="AW610" s="76" t="s">
        <v>186</v>
      </c>
      <c r="AX610" s="76" t="s">
        <v>187</v>
      </c>
      <c r="AY610" s="76" t="s">
        <v>186</v>
      </c>
      <c r="BC610" s="77">
        <v>895377303091</v>
      </c>
      <c r="BD610" s="77">
        <v>81396716258</v>
      </c>
      <c r="BE610" s="77">
        <v>895332019615</v>
      </c>
      <c r="BF610" s="77">
        <v>85876069233</v>
      </c>
      <c r="BG610" s="77">
        <v>82251696423</v>
      </c>
      <c r="BH610" s="77">
        <v>83145643903</v>
      </c>
      <c r="BI610" s="77">
        <v>82298099273</v>
      </c>
      <c r="BJ610" s="77">
        <v>8818635936</v>
      </c>
      <c r="BK610" s="77">
        <v>89505565042</v>
      </c>
      <c r="BP610" s="18" t="s">
        <v>7919</v>
      </c>
      <c r="BQ610" s="37">
        <v>45145</v>
      </c>
      <c r="BR610" s="8">
        <f t="shared" si="2"/>
        <v>9</v>
      </c>
    </row>
    <row r="611" spans="1:70" ht="14.5">
      <c r="A611" s="4" t="str">
        <v>Reguler Periode ke-111 VI.A.1</v>
      </c>
      <c r="B611" s="4" t="s">
        <v>7301</v>
      </c>
      <c r="C611" s="4" t="s">
        <v>1582</v>
      </c>
      <c r="D611" s="4" t="s">
        <v>7920</v>
      </c>
      <c r="E611" s="4" t="s">
        <v>7921</v>
      </c>
      <c r="F611" s="4" t="s">
        <v>7754</v>
      </c>
      <c r="G611" s="27" t="s">
        <v>7922</v>
      </c>
      <c r="H611" s="27" t="s">
        <v>7923</v>
      </c>
      <c r="I611" s="27" t="s">
        <v>7924</v>
      </c>
      <c r="J611" s="27" t="s">
        <v>7925</v>
      </c>
      <c r="K611" s="27" t="s">
        <v>7926</v>
      </c>
      <c r="L611" s="27" t="s">
        <v>7927</v>
      </c>
      <c r="M611" s="27" t="s">
        <v>7928</v>
      </c>
      <c r="N611" s="27" t="s">
        <v>7929</v>
      </c>
      <c r="O611" s="27" t="s">
        <v>7930</v>
      </c>
      <c r="P611" s="73"/>
      <c r="Q611" s="73"/>
      <c r="S611" s="28">
        <v>1900011016</v>
      </c>
      <c r="T611" s="28">
        <v>1900011064</v>
      </c>
      <c r="U611" s="28">
        <v>1900024209</v>
      </c>
      <c r="V611" s="28">
        <v>1900030089</v>
      </c>
      <c r="W611" s="28">
        <v>2000013128</v>
      </c>
      <c r="X611" s="28">
        <v>2000013352</v>
      </c>
      <c r="Y611" s="28">
        <v>2000023270</v>
      </c>
      <c r="Z611" s="28">
        <v>2000024224</v>
      </c>
      <c r="AA611" s="28">
        <v>2000028031</v>
      </c>
      <c r="AE611" s="27" t="s">
        <v>182</v>
      </c>
      <c r="AF611" s="27" t="s">
        <v>182</v>
      </c>
      <c r="AG611" s="27" t="s">
        <v>924</v>
      </c>
      <c r="AH611" s="27" t="s">
        <v>184</v>
      </c>
      <c r="AI611" s="27" t="s">
        <v>677</v>
      </c>
      <c r="AJ611" s="27" t="s">
        <v>677</v>
      </c>
      <c r="AK611" s="27" t="s">
        <v>899</v>
      </c>
      <c r="AL611" s="27" t="s">
        <v>924</v>
      </c>
      <c r="AM611" s="27" t="s">
        <v>678</v>
      </c>
      <c r="AN611" s="73"/>
      <c r="AQ611" s="76" t="s">
        <v>187</v>
      </c>
      <c r="AR611" s="76" t="s">
        <v>186</v>
      </c>
      <c r="AS611" s="76" t="s">
        <v>187</v>
      </c>
      <c r="AT611" s="76" t="s">
        <v>187</v>
      </c>
      <c r="AU611" s="76" t="s">
        <v>186</v>
      </c>
      <c r="AV611" s="76" t="s">
        <v>186</v>
      </c>
      <c r="AW611" s="76" t="s">
        <v>186</v>
      </c>
      <c r="AX611" s="76" t="s">
        <v>186</v>
      </c>
      <c r="AY611" s="76" t="s">
        <v>186</v>
      </c>
      <c r="BC611" s="77">
        <v>8127044357</v>
      </c>
      <c r="BD611" s="77">
        <v>81390763819</v>
      </c>
      <c r="BE611" s="77">
        <v>81210167075</v>
      </c>
      <c r="BF611" s="77">
        <v>85225176814</v>
      </c>
      <c r="BG611" s="77">
        <v>81933424242</v>
      </c>
      <c r="BH611" s="77">
        <v>82133731973</v>
      </c>
      <c r="BI611" s="77">
        <v>85945090306</v>
      </c>
      <c r="BJ611" s="77">
        <v>82254604643</v>
      </c>
      <c r="BK611" s="77">
        <v>85712117401</v>
      </c>
      <c r="BP611" s="18" t="s">
        <v>7931</v>
      </c>
      <c r="BQ611" s="37">
        <v>45145</v>
      </c>
      <c r="BR611" s="8">
        <f t="shared" si="2"/>
        <v>9</v>
      </c>
    </row>
    <row r="612" spans="1:70" ht="14.5">
      <c r="A612" s="4" t="str">
        <v>Reguler Periode ke-111 VI.A.2</v>
      </c>
      <c r="B612" s="4" t="s">
        <v>7301</v>
      </c>
      <c r="C612" s="4" t="s">
        <v>1604</v>
      </c>
      <c r="D612" s="4" t="s">
        <v>7920</v>
      </c>
      <c r="E612" s="4" t="s">
        <v>7932</v>
      </c>
      <c r="F612" s="4" t="s">
        <v>7754</v>
      </c>
      <c r="G612" s="27" t="s">
        <v>7933</v>
      </c>
      <c r="H612" s="27" t="s">
        <v>7934</v>
      </c>
      <c r="I612" s="27" t="s">
        <v>7935</v>
      </c>
      <c r="J612" s="27" t="s">
        <v>7936</v>
      </c>
      <c r="K612" s="27" t="s">
        <v>7937</v>
      </c>
      <c r="L612" s="27" t="s">
        <v>7938</v>
      </c>
      <c r="M612" s="27" t="s">
        <v>7939</v>
      </c>
      <c r="N612" s="27" t="s">
        <v>7940</v>
      </c>
      <c r="O612" s="27" t="s">
        <v>7941</v>
      </c>
      <c r="P612" s="73"/>
      <c r="Q612" s="73"/>
      <c r="S612" s="28">
        <v>1900030190</v>
      </c>
      <c r="T612" s="28">
        <v>2000013249</v>
      </c>
      <c r="U612" s="28">
        <v>2000023073</v>
      </c>
      <c r="V612" s="28">
        <v>2000023123</v>
      </c>
      <c r="W612" s="28">
        <v>2000024053</v>
      </c>
      <c r="X612" s="28">
        <v>2000024331</v>
      </c>
      <c r="Y612" s="28">
        <v>2000028023</v>
      </c>
      <c r="Z612" s="28">
        <v>2000028085</v>
      </c>
      <c r="AA612" s="28">
        <v>2000028086</v>
      </c>
      <c r="AE612" s="27" t="s">
        <v>184</v>
      </c>
      <c r="AF612" s="27" t="s">
        <v>677</v>
      </c>
      <c r="AG612" s="27" t="s">
        <v>899</v>
      </c>
      <c r="AH612" s="27" t="s">
        <v>899</v>
      </c>
      <c r="AI612" s="27" t="s">
        <v>924</v>
      </c>
      <c r="AJ612" s="27" t="s">
        <v>924</v>
      </c>
      <c r="AK612" s="27" t="s">
        <v>678</v>
      </c>
      <c r="AL612" s="27" t="s">
        <v>678</v>
      </c>
      <c r="AM612" s="27" t="s">
        <v>678</v>
      </c>
      <c r="AN612" s="73"/>
      <c r="AQ612" s="76" t="s">
        <v>187</v>
      </c>
      <c r="AR612" s="76" t="s">
        <v>186</v>
      </c>
      <c r="AS612" s="76" t="s">
        <v>186</v>
      </c>
      <c r="AT612" s="76" t="s">
        <v>186</v>
      </c>
      <c r="AU612" s="76" t="s">
        <v>186</v>
      </c>
      <c r="AV612" s="76" t="s">
        <v>187</v>
      </c>
      <c r="AW612" s="76" t="s">
        <v>186</v>
      </c>
      <c r="AX612" s="76" t="s">
        <v>187</v>
      </c>
      <c r="AY612" s="76" t="s">
        <v>187</v>
      </c>
      <c r="BC612" s="77">
        <v>82282504744</v>
      </c>
      <c r="BD612" s="77">
        <v>82324770779</v>
      </c>
      <c r="BE612" s="77">
        <v>8157904460</v>
      </c>
      <c r="BF612" s="77">
        <v>8558915646</v>
      </c>
      <c r="BG612" s="77">
        <v>81228475638</v>
      </c>
      <c r="BH612" s="77">
        <v>8995813666</v>
      </c>
      <c r="BI612" s="77">
        <v>895806405627</v>
      </c>
      <c r="BJ612" s="77">
        <v>82114745873</v>
      </c>
      <c r="BK612" s="77">
        <v>81992122439</v>
      </c>
      <c r="BP612" s="18" t="s">
        <v>7942</v>
      </c>
      <c r="BQ612" s="37">
        <v>45145</v>
      </c>
      <c r="BR612" s="8">
        <f t="shared" si="2"/>
        <v>9</v>
      </c>
    </row>
    <row r="613" spans="1:70" ht="14.5">
      <c r="A613" s="4" t="str">
        <v>Reguler Periode ke-111 VI.A.3</v>
      </c>
      <c r="B613" s="4" t="s">
        <v>7301</v>
      </c>
      <c r="C613" s="4" t="s">
        <v>1625</v>
      </c>
      <c r="D613" s="4" t="s">
        <v>7920</v>
      </c>
      <c r="E613" s="4" t="s">
        <v>7943</v>
      </c>
      <c r="F613" s="4" t="s">
        <v>7754</v>
      </c>
      <c r="G613" s="27" t="s">
        <v>7944</v>
      </c>
      <c r="H613" s="27" t="s">
        <v>7945</v>
      </c>
      <c r="I613" s="27" t="s">
        <v>7946</v>
      </c>
      <c r="J613" s="27" t="s">
        <v>7947</v>
      </c>
      <c r="K613" s="27" t="s">
        <v>7948</v>
      </c>
      <c r="L613" s="27" t="s">
        <v>7949</v>
      </c>
      <c r="M613" s="27" t="s">
        <v>7950</v>
      </c>
      <c r="N613" s="27" t="s">
        <v>7951</v>
      </c>
      <c r="O613" s="27" t="s">
        <v>7952</v>
      </c>
      <c r="P613" s="73"/>
      <c r="S613" s="28">
        <v>1800030151</v>
      </c>
      <c r="T613" s="28">
        <v>1900011341</v>
      </c>
      <c r="U613" s="28">
        <v>1900024266</v>
      </c>
      <c r="V613" s="28">
        <v>2000011184</v>
      </c>
      <c r="W613" s="28">
        <v>2000013346</v>
      </c>
      <c r="X613" s="28">
        <v>2000023045</v>
      </c>
      <c r="Y613" s="28">
        <v>2000023155</v>
      </c>
      <c r="Z613" s="28">
        <v>2000024134</v>
      </c>
      <c r="AA613" s="28">
        <v>2000028066</v>
      </c>
      <c r="AB613" s="73"/>
      <c r="AE613" s="27" t="s">
        <v>184</v>
      </c>
      <c r="AF613" s="27" t="s">
        <v>182</v>
      </c>
      <c r="AG613" s="27" t="s">
        <v>924</v>
      </c>
      <c r="AH613" s="27" t="s">
        <v>182</v>
      </c>
      <c r="AI613" s="27" t="s">
        <v>677</v>
      </c>
      <c r="AJ613" s="27" t="s">
        <v>899</v>
      </c>
      <c r="AK613" s="27" t="s">
        <v>899</v>
      </c>
      <c r="AL613" s="27" t="s">
        <v>924</v>
      </c>
      <c r="AM613" s="27" t="s">
        <v>678</v>
      </c>
      <c r="AN613" s="73"/>
      <c r="AO613" s="73"/>
      <c r="AQ613" s="76" t="s">
        <v>187</v>
      </c>
      <c r="AR613" s="76" t="s">
        <v>187</v>
      </c>
      <c r="AS613" s="76" t="s">
        <v>187</v>
      </c>
      <c r="AT613" s="76" t="s">
        <v>186</v>
      </c>
      <c r="AU613" s="76" t="s">
        <v>186</v>
      </c>
      <c r="AV613" s="76" t="s">
        <v>186</v>
      </c>
      <c r="AW613" s="76" t="s">
        <v>186</v>
      </c>
      <c r="AX613" s="76" t="s">
        <v>186</v>
      </c>
      <c r="AY613" s="76" t="s">
        <v>186</v>
      </c>
      <c r="BC613" s="77">
        <v>85163549180</v>
      </c>
      <c r="BD613" s="77" t="s">
        <v>7953</v>
      </c>
      <c r="BE613" s="77">
        <v>85694499583</v>
      </c>
      <c r="BF613" s="77">
        <v>81253033048</v>
      </c>
      <c r="BG613" s="77">
        <v>895391158909</v>
      </c>
      <c r="BH613" s="77">
        <v>85724627510</v>
      </c>
      <c r="BI613" s="77">
        <v>81216340664</v>
      </c>
      <c r="BJ613" s="77">
        <v>82287978114</v>
      </c>
      <c r="BK613" s="77">
        <v>81224062447</v>
      </c>
      <c r="BP613" s="18" t="s">
        <v>7954</v>
      </c>
      <c r="BQ613" s="37">
        <v>45145</v>
      </c>
      <c r="BR613" s="8">
        <f t="shared" si="2"/>
        <v>9</v>
      </c>
    </row>
    <row r="614" spans="1:70" ht="14.5">
      <c r="A614" s="4" t="str">
        <v>Reguler Periode ke-111 VI.B.1</v>
      </c>
      <c r="B614" s="4" t="s">
        <v>7301</v>
      </c>
      <c r="C614" s="4" t="s">
        <v>1646</v>
      </c>
      <c r="D614" s="4" t="s">
        <v>4261</v>
      </c>
      <c r="E614" s="4" t="s">
        <v>7955</v>
      </c>
      <c r="F614" s="4" t="s">
        <v>7754</v>
      </c>
      <c r="G614" s="27" t="s">
        <v>7956</v>
      </c>
      <c r="H614" s="27" t="s">
        <v>7957</v>
      </c>
      <c r="I614" s="27" t="s">
        <v>7958</v>
      </c>
      <c r="J614" s="27" t="s">
        <v>7959</v>
      </c>
      <c r="K614" s="27" t="s">
        <v>7960</v>
      </c>
      <c r="L614" s="27" t="s">
        <v>7961</v>
      </c>
      <c r="M614" s="27" t="s">
        <v>7962</v>
      </c>
      <c r="N614" s="27" t="s">
        <v>7963</v>
      </c>
      <c r="O614" s="27" t="s">
        <v>7964</v>
      </c>
      <c r="P614" s="73"/>
      <c r="S614" s="28">
        <v>1900030191</v>
      </c>
      <c r="T614" s="28">
        <v>2000011228</v>
      </c>
      <c r="U614" s="28">
        <v>2000011283</v>
      </c>
      <c r="V614" s="28">
        <v>2000013292</v>
      </c>
      <c r="W614" s="28">
        <v>2000023028</v>
      </c>
      <c r="X614" s="28">
        <v>2000023192</v>
      </c>
      <c r="Y614" s="28">
        <v>2000024072</v>
      </c>
      <c r="Z614" s="28">
        <v>2000024243</v>
      </c>
      <c r="AA614" s="28">
        <v>2000028048</v>
      </c>
      <c r="AB614" s="73"/>
      <c r="AE614" s="27" t="s">
        <v>184</v>
      </c>
      <c r="AF614" s="27" t="s">
        <v>182</v>
      </c>
      <c r="AG614" s="27" t="s">
        <v>182</v>
      </c>
      <c r="AH614" s="27" t="s">
        <v>677</v>
      </c>
      <c r="AI614" s="27" t="s">
        <v>899</v>
      </c>
      <c r="AJ614" s="27" t="s">
        <v>899</v>
      </c>
      <c r="AK614" s="27" t="s">
        <v>924</v>
      </c>
      <c r="AL614" s="27" t="s">
        <v>924</v>
      </c>
      <c r="AM614" s="27" t="s">
        <v>678</v>
      </c>
      <c r="AN614" s="73"/>
      <c r="AQ614" s="76" t="s">
        <v>187</v>
      </c>
      <c r="AR614" s="76" t="s">
        <v>186</v>
      </c>
      <c r="AS614" s="76" t="s">
        <v>187</v>
      </c>
      <c r="AT614" s="76" t="s">
        <v>186</v>
      </c>
      <c r="AU614" s="76" t="s">
        <v>186</v>
      </c>
      <c r="AV614" s="76" t="s">
        <v>186</v>
      </c>
      <c r="AW614" s="76" t="s">
        <v>187</v>
      </c>
      <c r="AX614" s="76" t="s">
        <v>186</v>
      </c>
      <c r="AY614" s="76" t="s">
        <v>186</v>
      </c>
      <c r="BC614" s="77">
        <v>85230744032</v>
      </c>
      <c r="BD614" s="77">
        <v>82389736147</v>
      </c>
      <c r="BE614" s="77">
        <v>82273699260</v>
      </c>
      <c r="BF614" s="77">
        <v>81220768005</v>
      </c>
      <c r="BG614" s="77">
        <v>85766706560</v>
      </c>
      <c r="BH614" s="77">
        <v>85328699132</v>
      </c>
      <c r="BI614" s="77">
        <v>88232061522</v>
      </c>
      <c r="BJ614" s="77">
        <v>81345829424</v>
      </c>
      <c r="BK614" s="77">
        <v>81319601375</v>
      </c>
      <c r="BP614" s="18" t="s">
        <v>7965</v>
      </c>
      <c r="BQ614" s="37">
        <v>45145</v>
      </c>
      <c r="BR614" s="8">
        <f t="shared" si="2"/>
        <v>9</v>
      </c>
    </row>
    <row r="615" spans="1:70" ht="14.5">
      <c r="A615" s="4" t="str">
        <v>Reguler Periode ke-111 VI.B.2</v>
      </c>
      <c r="B615" s="4" t="s">
        <v>7301</v>
      </c>
      <c r="C615" s="4" t="s">
        <v>1668</v>
      </c>
      <c r="D615" s="4" t="s">
        <v>4261</v>
      </c>
      <c r="E615" s="4" t="s">
        <v>7966</v>
      </c>
      <c r="F615" s="4" t="s">
        <v>7754</v>
      </c>
      <c r="G615" s="27" t="s">
        <v>7967</v>
      </c>
      <c r="H615" s="27" t="s">
        <v>7968</v>
      </c>
      <c r="I615" s="27" t="s">
        <v>7969</v>
      </c>
      <c r="J615" s="27" t="s">
        <v>7970</v>
      </c>
      <c r="K615" s="27" t="s">
        <v>7971</v>
      </c>
      <c r="L615" s="27" t="s">
        <v>7972</v>
      </c>
      <c r="M615" s="27" t="s">
        <v>7973</v>
      </c>
      <c r="N615" s="27" t="s">
        <v>7974</v>
      </c>
      <c r="O615" s="27" t="s">
        <v>7975</v>
      </c>
      <c r="P615" s="73"/>
      <c r="S615" s="28">
        <v>1900012177</v>
      </c>
      <c r="T615" s="28">
        <v>1900031089</v>
      </c>
      <c r="U615" s="28">
        <v>2000011220</v>
      </c>
      <c r="V615" s="28">
        <v>2000013176</v>
      </c>
      <c r="W615" s="28">
        <v>2000023213</v>
      </c>
      <c r="X615" s="28">
        <v>2000023244</v>
      </c>
      <c r="Y615" s="28">
        <v>2000024251</v>
      </c>
      <c r="Z615" s="28">
        <v>2000024277</v>
      </c>
      <c r="AA615" s="28">
        <v>2011028082</v>
      </c>
      <c r="AE615" s="27" t="s">
        <v>885</v>
      </c>
      <c r="AF615" s="27" t="s">
        <v>185</v>
      </c>
      <c r="AG615" s="27" t="s">
        <v>182</v>
      </c>
      <c r="AH615" s="27" t="s">
        <v>677</v>
      </c>
      <c r="AI615" s="27" t="s">
        <v>899</v>
      </c>
      <c r="AJ615" s="27" t="s">
        <v>899</v>
      </c>
      <c r="AK615" s="27" t="s">
        <v>924</v>
      </c>
      <c r="AL615" s="27" t="s">
        <v>924</v>
      </c>
      <c r="AM615" s="27" t="s">
        <v>678</v>
      </c>
      <c r="AN615" s="73"/>
      <c r="AQ615" s="76" t="s">
        <v>187</v>
      </c>
      <c r="AR615" s="76" t="s">
        <v>187</v>
      </c>
      <c r="AS615" s="76" t="s">
        <v>186</v>
      </c>
      <c r="AT615" s="76" t="s">
        <v>186</v>
      </c>
      <c r="AU615" s="76" t="s">
        <v>186</v>
      </c>
      <c r="AV615" s="76" t="s">
        <v>186</v>
      </c>
      <c r="AW615" s="76" t="s">
        <v>187</v>
      </c>
      <c r="AX615" s="76" t="s">
        <v>186</v>
      </c>
      <c r="AY615" s="76" t="s">
        <v>186</v>
      </c>
      <c r="BC615" s="77">
        <v>85954379460</v>
      </c>
      <c r="BD615" s="77">
        <v>81230939783</v>
      </c>
      <c r="BE615" s="77">
        <v>87888489386</v>
      </c>
      <c r="BF615" s="77">
        <v>82252800137</v>
      </c>
      <c r="BG615" s="77">
        <v>82282838077</v>
      </c>
      <c r="BH615" s="77">
        <v>89650940470</v>
      </c>
      <c r="BI615" s="77">
        <v>87722242725</v>
      </c>
      <c r="BJ615" s="77">
        <v>81373496663</v>
      </c>
      <c r="BK615" s="77">
        <v>81325340213</v>
      </c>
      <c r="BP615" s="18" t="s">
        <v>7976</v>
      </c>
      <c r="BQ615" s="37">
        <v>45145</v>
      </c>
      <c r="BR615" s="8">
        <f t="shared" si="2"/>
        <v>9</v>
      </c>
    </row>
    <row r="616" spans="1:70" ht="14.5">
      <c r="A616" s="4" t="str">
        <v>Reguler Periode ke-111 VI.B.3</v>
      </c>
      <c r="B616" s="4" t="s">
        <v>7301</v>
      </c>
      <c r="C616" s="4" t="s">
        <v>1689</v>
      </c>
      <c r="D616" s="4" t="s">
        <v>4261</v>
      </c>
      <c r="E616" s="4" t="s">
        <v>7977</v>
      </c>
      <c r="F616" s="4" t="s">
        <v>7754</v>
      </c>
      <c r="G616" s="27" t="s">
        <v>7978</v>
      </c>
      <c r="H616" s="27" t="s">
        <v>7979</v>
      </c>
      <c r="I616" s="27" t="s">
        <v>7980</v>
      </c>
      <c r="J616" s="27" t="s">
        <v>7981</v>
      </c>
      <c r="K616" s="27" t="s">
        <v>7982</v>
      </c>
      <c r="L616" s="27" t="s">
        <v>7983</v>
      </c>
      <c r="M616" s="27" t="s">
        <v>7984</v>
      </c>
      <c r="N616" s="27" t="s">
        <v>7985</v>
      </c>
      <c r="O616" s="27" t="s">
        <v>7986</v>
      </c>
      <c r="S616" s="28">
        <v>1900012181</v>
      </c>
      <c r="T616" s="28">
        <v>1900031158</v>
      </c>
      <c r="U616" s="28">
        <v>2000011016</v>
      </c>
      <c r="V616" s="28">
        <v>2000013209</v>
      </c>
      <c r="W616" s="28">
        <v>2000023063</v>
      </c>
      <c r="X616" s="28">
        <v>2000023220</v>
      </c>
      <c r="Y616" s="28">
        <v>2000024245</v>
      </c>
      <c r="Z616" s="28">
        <v>2000024306</v>
      </c>
      <c r="AA616" s="28">
        <v>2000028097</v>
      </c>
      <c r="AE616" s="27" t="s">
        <v>885</v>
      </c>
      <c r="AF616" s="27" t="s">
        <v>185</v>
      </c>
      <c r="AG616" s="27" t="s">
        <v>182</v>
      </c>
      <c r="AH616" s="27" t="s">
        <v>677</v>
      </c>
      <c r="AI616" s="27" t="s">
        <v>899</v>
      </c>
      <c r="AJ616" s="27" t="s">
        <v>899</v>
      </c>
      <c r="AK616" s="27" t="s">
        <v>924</v>
      </c>
      <c r="AL616" s="27" t="s">
        <v>924</v>
      </c>
      <c r="AM616" s="27" t="s">
        <v>678</v>
      </c>
      <c r="AN616" s="73"/>
      <c r="AQ616" s="76" t="s">
        <v>187</v>
      </c>
      <c r="AR616" s="76" t="s">
        <v>187</v>
      </c>
      <c r="AS616" s="76" t="s">
        <v>186</v>
      </c>
      <c r="AT616" s="76" t="s">
        <v>186</v>
      </c>
      <c r="AU616" s="76" t="s">
        <v>186</v>
      </c>
      <c r="AV616" s="76" t="s">
        <v>186</v>
      </c>
      <c r="AW616" s="76" t="s">
        <v>186</v>
      </c>
      <c r="AX616" s="76" t="s">
        <v>187</v>
      </c>
      <c r="AY616" s="76" t="s">
        <v>186</v>
      </c>
      <c r="BC616" s="77">
        <v>85828506344</v>
      </c>
      <c r="BD616" s="77">
        <v>81239813306</v>
      </c>
      <c r="BE616" s="77">
        <v>89659615849</v>
      </c>
      <c r="BF616" s="77">
        <v>87763941978</v>
      </c>
      <c r="BG616" s="77">
        <v>895601862730</v>
      </c>
      <c r="BH616" s="77">
        <v>81999502126</v>
      </c>
      <c r="BI616" s="77">
        <v>87819523650</v>
      </c>
      <c r="BJ616" s="77">
        <v>81359936608</v>
      </c>
      <c r="BK616" s="77">
        <v>82373440280</v>
      </c>
      <c r="BP616" s="18" t="s">
        <v>7987</v>
      </c>
      <c r="BQ616" s="37">
        <v>45145</v>
      </c>
      <c r="BR616" s="8">
        <f t="shared" si="2"/>
        <v>9</v>
      </c>
    </row>
    <row r="617" spans="1:70" ht="14.5">
      <c r="A617" s="4" t="str">
        <v>Reguler Periode ke-111 VI.C.1</v>
      </c>
      <c r="B617" s="4" t="s">
        <v>7301</v>
      </c>
      <c r="C617" s="4" t="s">
        <v>1709</v>
      </c>
      <c r="D617" s="4" t="s">
        <v>7988</v>
      </c>
      <c r="E617" s="4" t="s">
        <v>7989</v>
      </c>
      <c r="F617" s="4" t="s">
        <v>7754</v>
      </c>
      <c r="G617" s="27" t="s">
        <v>7990</v>
      </c>
      <c r="H617" s="27" t="s">
        <v>7991</v>
      </c>
      <c r="I617" s="27" t="s">
        <v>7992</v>
      </c>
      <c r="J617" s="27" t="s">
        <v>7993</v>
      </c>
      <c r="K617" s="27" t="s">
        <v>7994</v>
      </c>
      <c r="L617" s="27" t="s">
        <v>7995</v>
      </c>
      <c r="M617" s="27" t="s">
        <v>7996</v>
      </c>
      <c r="N617" s="27" t="s">
        <v>7997</v>
      </c>
      <c r="O617" s="27" t="s">
        <v>7998</v>
      </c>
      <c r="P617" s="73"/>
      <c r="S617" s="28">
        <v>1800031134</v>
      </c>
      <c r="T617" s="28">
        <v>2000011193</v>
      </c>
      <c r="U617" s="28">
        <v>2000013073</v>
      </c>
      <c r="V617" s="28">
        <v>2000013121</v>
      </c>
      <c r="W617" s="28">
        <v>2000023071</v>
      </c>
      <c r="X617" s="28">
        <v>2000024008</v>
      </c>
      <c r="Y617" s="28">
        <v>2000024210</v>
      </c>
      <c r="Z617" s="28">
        <v>2000024256</v>
      </c>
      <c r="AA617" s="28">
        <v>2000028122</v>
      </c>
      <c r="AB617" s="73"/>
      <c r="AE617" s="27" t="s">
        <v>185</v>
      </c>
      <c r="AF617" s="27" t="s">
        <v>182</v>
      </c>
      <c r="AG617" s="27" t="s">
        <v>677</v>
      </c>
      <c r="AH617" s="27" t="s">
        <v>677</v>
      </c>
      <c r="AI617" s="27" t="s">
        <v>899</v>
      </c>
      <c r="AJ617" s="27" t="s">
        <v>924</v>
      </c>
      <c r="AK617" s="27" t="s">
        <v>924</v>
      </c>
      <c r="AL617" s="27" t="s">
        <v>924</v>
      </c>
      <c r="AM617" s="27" t="s">
        <v>678</v>
      </c>
      <c r="AN617" s="73"/>
      <c r="AO617" s="73"/>
      <c r="AQ617" s="76" t="s">
        <v>187</v>
      </c>
      <c r="AR617" s="76" t="s">
        <v>186</v>
      </c>
      <c r="AS617" s="76" t="s">
        <v>187</v>
      </c>
      <c r="AT617" s="76" t="s">
        <v>186</v>
      </c>
      <c r="AU617" s="76" t="s">
        <v>186</v>
      </c>
      <c r="AV617" s="76" t="s">
        <v>186</v>
      </c>
      <c r="AW617" s="76" t="s">
        <v>187</v>
      </c>
      <c r="AX617" s="76" t="s">
        <v>186</v>
      </c>
      <c r="AY617" s="76" t="s">
        <v>186</v>
      </c>
      <c r="BC617" s="77">
        <v>82224161240</v>
      </c>
      <c r="BD617" s="77">
        <v>85237151937</v>
      </c>
      <c r="BE617" s="77">
        <v>82213239416</v>
      </c>
      <c r="BF617" s="77">
        <v>81261395053</v>
      </c>
      <c r="BG617" s="77">
        <v>82153661158</v>
      </c>
      <c r="BH617" s="77">
        <v>85879902539</v>
      </c>
      <c r="BI617" s="77">
        <v>87722461438</v>
      </c>
      <c r="BJ617" s="77">
        <v>85380920305</v>
      </c>
      <c r="BK617" s="77">
        <v>82315116969</v>
      </c>
      <c r="BP617" s="18" t="s">
        <v>7999</v>
      </c>
      <c r="BQ617" s="37">
        <v>45145</v>
      </c>
      <c r="BR617" s="8">
        <f t="shared" si="2"/>
        <v>9</v>
      </c>
    </row>
    <row r="618" spans="1:70" ht="14.5">
      <c r="A618" s="4" t="str">
        <v>Reguler Periode ke-111 VI.C.2</v>
      </c>
      <c r="B618" s="4" t="s">
        <v>7301</v>
      </c>
      <c r="C618" s="4" t="s">
        <v>1731</v>
      </c>
      <c r="D618" s="4" t="s">
        <v>7988</v>
      </c>
      <c r="E618" s="4" t="s">
        <v>8000</v>
      </c>
      <c r="F618" s="4" t="s">
        <v>7754</v>
      </c>
      <c r="G618" s="27" t="s">
        <v>8001</v>
      </c>
      <c r="H618" s="27" t="s">
        <v>8002</v>
      </c>
      <c r="I618" s="27" t="s">
        <v>8003</v>
      </c>
      <c r="J618" s="27" t="s">
        <v>8004</v>
      </c>
      <c r="K618" s="27" t="s">
        <v>8005</v>
      </c>
      <c r="L618" s="27" t="s">
        <v>8006</v>
      </c>
      <c r="M618" s="27" t="s">
        <v>8007</v>
      </c>
      <c r="N618" s="27" t="s">
        <v>8008</v>
      </c>
      <c r="O618" s="27" t="s">
        <v>8009</v>
      </c>
      <c r="P618" s="73"/>
      <c r="S618" s="28">
        <v>1900031133</v>
      </c>
      <c r="T618" s="28">
        <v>2000011233</v>
      </c>
      <c r="U618" s="28">
        <v>2000013242</v>
      </c>
      <c r="V618" s="28">
        <v>2000013250</v>
      </c>
      <c r="W618" s="28">
        <v>2000023003</v>
      </c>
      <c r="X618" s="28">
        <v>2000024161</v>
      </c>
      <c r="Y618" s="28">
        <v>2000024211</v>
      </c>
      <c r="Z618" s="28">
        <v>2000024311</v>
      </c>
      <c r="AA618" s="28">
        <v>2000028059</v>
      </c>
      <c r="AB618" s="73"/>
      <c r="AE618" s="27" t="s">
        <v>185</v>
      </c>
      <c r="AF618" s="27" t="s">
        <v>182</v>
      </c>
      <c r="AG618" s="27" t="s">
        <v>677</v>
      </c>
      <c r="AH618" s="27" t="s">
        <v>677</v>
      </c>
      <c r="AI618" s="27" t="s">
        <v>899</v>
      </c>
      <c r="AJ618" s="27" t="s">
        <v>924</v>
      </c>
      <c r="AK618" s="27" t="s">
        <v>924</v>
      </c>
      <c r="AL618" s="27" t="s">
        <v>924</v>
      </c>
      <c r="AM618" s="27" t="s">
        <v>678</v>
      </c>
      <c r="AN618" s="73"/>
      <c r="AQ618" s="76" t="s">
        <v>187</v>
      </c>
      <c r="AR618" s="76" t="s">
        <v>186</v>
      </c>
      <c r="AS618" s="76" t="s">
        <v>187</v>
      </c>
      <c r="AT618" s="76" t="s">
        <v>186</v>
      </c>
      <c r="AU618" s="76" t="s">
        <v>186</v>
      </c>
      <c r="AV618" s="76" t="s">
        <v>187</v>
      </c>
      <c r="AW618" s="76" t="s">
        <v>186</v>
      </c>
      <c r="AX618" s="76" t="s">
        <v>186</v>
      </c>
      <c r="AY618" s="76" t="s">
        <v>186</v>
      </c>
      <c r="BC618" s="77">
        <v>81377564223</v>
      </c>
      <c r="BD618" s="77">
        <v>83115572174</v>
      </c>
      <c r="BE618" s="77">
        <v>81367306216</v>
      </c>
      <c r="BF618" s="77">
        <v>85889340424</v>
      </c>
      <c r="BG618" s="77">
        <v>87832047717</v>
      </c>
      <c r="BH618" s="77">
        <v>82175906193</v>
      </c>
      <c r="BI618" s="77">
        <v>81215704243</v>
      </c>
      <c r="BJ618" s="77">
        <v>82134507728</v>
      </c>
      <c r="BK618" s="77">
        <v>85156867042</v>
      </c>
      <c r="BP618" s="18" t="s">
        <v>8010</v>
      </c>
      <c r="BQ618" s="37">
        <v>45145</v>
      </c>
      <c r="BR618" s="8">
        <f t="shared" si="2"/>
        <v>9</v>
      </c>
    </row>
    <row r="619" spans="1:70" ht="14.5">
      <c r="A619" s="4" t="str">
        <v>Reguler Periode ke-111 VI.C.3</v>
      </c>
      <c r="B619" s="4" t="s">
        <v>7301</v>
      </c>
      <c r="C619" s="4" t="s">
        <v>1752</v>
      </c>
      <c r="D619" s="4" t="s">
        <v>7988</v>
      </c>
      <c r="E619" s="4" t="s">
        <v>8011</v>
      </c>
      <c r="F619" s="4" t="s">
        <v>7754</v>
      </c>
      <c r="G619" s="27" t="s">
        <v>8012</v>
      </c>
      <c r="H619" s="27" t="s">
        <v>8013</v>
      </c>
      <c r="I619" s="27" t="s">
        <v>8014</v>
      </c>
      <c r="J619" s="27" t="s">
        <v>8015</v>
      </c>
      <c r="K619" s="27" t="s">
        <v>8016</v>
      </c>
      <c r="L619" s="27" t="s">
        <v>8017</v>
      </c>
      <c r="M619" s="27" t="s">
        <v>8018</v>
      </c>
      <c r="N619" s="27" t="s">
        <v>8019</v>
      </c>
      <c r="O619" s="27" t="s">
        <v>8020</v>
      </c>
      <c r="P619" s="73"/>
      <c r="S619" s="28">
        <v>1800030118</v>
      </c>
      <c r="T619" s="28">
        <v>1900031224</v>
      </c>
      <c r="U619" s="28">
        <v>2000013003</v>
      </c>
      <c r="V619" s="28">
        <v>2000013190</v>
      </c>
      <c r="W619" s="28">
        <v>2000023034</v>
      </c>
      <c r="X619" s="28">
        <v>2000024133</v>
      </c>
      <c r="Y619" s="28">
        <v>2000024159</v>
      </c>
      <c r="Z619" s="28">
        <v>2000024295</v>
      </c>
      <c r="AA619" s="28">
        <v>2000028044</v>
      </c>
      <c r="AB619" s="73"/>
      <c r="AE619" s="27" t="s">
        <v>184</v>
      </c>
      <c r="AF619" s="27" t="s">
        <v>185</v>
      </c>
      <c r="AG619" s="27" t="s">
        <v>677</v>
      </c>
      <c r="AH619" s="27" t="s">
        <v>677</v>
      </c>
      <c r="AI619" s="27" t="s">
        <v>899</v>
      </c>
      <c r="AJ619" s="27" t="s">
        <v>924</v>
      </c>
      <c r="AK619" s="27" t="s">
        <v>924</v>
      </c>
      <c r="AL619" s="27" t="s">
        <v>924</v>
      </c>
      <c r="AM619" s="27" t="s">
        <v>678</v>
      </c>
      <c r="AN619" s="73"/>
      <c r="AO619" s="73"/>
      <c r="AQ619" s="76" t="s">
        <v>187</v>
      </c>
      <c r="AR619" s="76" t="s">
        <v>187</v>
      </c>
      <c r="AS619" s="76" t="s">
        <v>186</v>
      </c>
      <c r="AT619" s="76" t="s">
        <v>187</v>
      </c>
      <c r="AU619" s="76" t="s">
        <v>186</v>
      </c>
      <c r="AV619" s="76" t="s">
        <v>186</v>
      </c>
      <c r="AW619" s="76" t="s">
        <v>187</v>
      </c>
      <c r="AX619" s="76" t="s">
        <v>186</v>
      </c>
      <c r="AY619" s="76" t="s">
        <v>186</v>
      </c>
      <c r="BC619" s="77">
        <v>85156841863</v>
      </c>
      <c r="BD619" s="77">
        <v>87841165109</v>
      </c>
      <c r="BE619" s="77">
        <v>82259252106</v>
      </c>
      <c r="BF619" s="77">
        <v>81995227004</v>
      </c>
      <c r="BG619" s="77">
        <v>81218518424</v>
      </c>
      <c r="BH619" s="77">
        <v>85867357734</v>
      </c>
      <c r="BI619" s="77">
        <v>81329411401</v>
      </c>
      <c r="BJ619" s="77">
        <v>85320329325</v>
      </c>
      <c r="BK619" s="77">
        <v>82323434334</v>
      </c>
      <c r="BP619" s="18" t="s">
        <v>8021</v>
      </c>
      <c r="BQ619" s="37">
        <v>45145</v>
      </c>
      <c r="BR619" s="8">
        <f t="shared" si="2"/>
        <v>9</v>
      </c>
    </row>
    <row r="620" spans="1:70" ht="14.5">
      <c r="A620" s="4" t="str">
        <v>Reguler Periode ke-111 VI.D.1</v>
      </c>
      <c r="B620" s="4" t="s">
        <v>7301</v>
      </c>
      <c r="C620" s="4" t="s">
        <v>1774</v>
      </c>
      <c r="D620" s="4" t="s">
        <v>4298</v>
      </c>
      <c r="E620" s="4" t="s">
        <v>8022</v>
      </c>
      <c r="F620" s="4" t="s">
        <v>7754</v>
      </c>
      <c r="G620" s="27" t="s">
        <v>8023</v>
      </c>
      <c r="H620" s="27" t="s">
        <v>8024</v>
      </c>
      <c r="I620" s="27" t="s">
        <v>8025</v>
      </c>
      <c r="J620" s="27" t="s">
        <v>8026</v>
      </c>
      <c r="K620" s="27" t="s">
        <v>8027</v>
      </c>
      <c r="L620" s="27" t="s">
        <v>8028</v>
      </c>
      <c r="M620" s="27" t="s">
        <v>8029</v>
      </c>
      <c r="N620" s="27" t="s">
        <v>8030</v>
      </c>
      <c r="O620" s="27" t="s">
        <v>8031</v>
      </c>
      <c r="P620" s="73"/>
      <c r="S620" s="28">
        <v>1900024309</v>
      </c>
      <c r="T620" s="28">
        <v>1900031223</v>
      </c>
      <c r="U620" s="28">
        <v>2000013097</v>
      </c>
      <c r="V620" s="28">
        <v>2000013146</v>
      </c>
      <c r="W620" s="28">
        <v>2000013229</v>
      </c>
      <c r="X620" s="28">
        <v>2000023055</v>
      </c>
      <c r="Y620" s="28">
        <v>2000024137</v>
      </c>
      <c r="Z620" s="28">
        <v>2000024323</v>
      </c>
      <c r="AA620" s="28">
        <v>2000028032</v>
      </c>
      <c r="AE620" s="27" t="s">
        <v>924</v>
      </c>
      <c r="AF620" s="27" t="s">
        <v>185</v>
      </c>
      <c r="AG620" s="27" t="s">
        <v>677</v>
      </c>
      <c r="AH620" s="27" t="s">
        <v>677</v>
      </c>
      <c r="AI620" s="27" t="s">
        <v>677</v>
      </c>
      <c r="AJ620" s="27" t="s">
        <v>899</v>
      </c>
      <c r="AK620" s="27" t="s">
        <v>924</v>
      </c>
      <c r="AL620" s="27" t="s">
        <v>924</v>
      </c>
      <c r="AM620" s="27" t="s">
        <v>678</v>
      </c>
      <c r="AN620" s="73"/>
      <c r="AQ620" s="27" t="s">
        <v>187</v>
      </c>
      <c r="AR620" s="27" t="s">
        <v>187</v>
      </c>
      <c r="AS620" s="27" t="s">
        <v>186</v>
      </c>
      <c r="AT620" s="27" t="s">
        <v>187</v>
      </c>
      <c r="AU620" s="27" t="s">
        <v>186</v>
      </c>
      <c r="AV620" s="27" t="s">
        <v>186</v>
      </c>
      <c r="AW620" s="27" t="s">
        <v>186</v>
      </c>
      <c r="AX620" s="27" t="s">
        <v>187</v>
      </c>
      <c r="AY620" s="27" t="s">
        <v>186</v>
      </c>
      <c r="BC620" s="78" t="s">
        <v>8032</v>
      </c>
      <c r="BD620" s="78">
        <v>81226563988</v>
      </c>
      <c r="BE620" s="78">
        <v>8973865477</v>
      </c>
      <c r="BF620" s="78">
        <v>81397981514</v>
      </c>
      <c r="BG620" s="78">
        <v>81276695993</v>
      </c>
      <c r="BH620" s="78">
        <v>81393656513</v>
      </c>
      <c r="BI620" s="78">
        <v>85727137336</v>
      </c>
      <c r="BJ620" s="78">
        <v>85930987320</v>
      </c>
      <c r="BK620" s="78">
        <v>89691111702</v>
      </c>
      <c r="BP620" s="18" t="s">
        <v>8033</v>
      </c>
      <c r="BQ620" s="37">
        <v>45145</v>
      </c>
      <c r="BR620" s="8">
        <f t="shared" si="2"/>
        <v>9</v>
      </c>
    </row>
    <row r="621" spans="1:70" ht="14.5">
      <c r="A621" s="4" t="str">
        <v>Reguler Periode ke-111 VI.D.2</v>
      </c>
      <c r="B621" s="4" t="s">
        <v>7301</v>
      </c>
      <c r="C621" s="4" t="s">
        <v>1796</v>
      </c>
      <c r="D621" s="4" t="s">
        <v>4298</v>
      </c>
      <c r="E621" s="4" t="s">
        <v>8034</v>
      </c>
      <c r="F621" s="4" t="s">
        <v>7754</v>
      </c>
      <c r="G621" s="27" t="s">
        <v>8035</v>
      </c>
      <c r="H621" s="27" t="s">
        <v>8036</v>
      </c>
      <c r="I621" s="27" t="s">
        <v>8037</v>
      </c>
      <c r="J621" s="27" t="s">
        <v>8038</v>
      </c>
      <c r="K621" s="27" t="s">
        <v>8039</v>
      </c>
      <c r="L621" s="27" t="s">
        <v>8040</v>
      </c>
      <c r="M621" s="27" t="s">
        <v>8041</v>
      </c>
      <c r="N621" s="27" t="s">
        <v>8042</v>
      </c>
      <c r="O621" s="27" t="s">
        <v>8043</v>
      </c>
      <c r="P621" s="73"/>
      <c r="Q621" s="73"/>
      <c r="S621" s="28">
        <v>1900013001</v>
      </c>
      <c r="T621" s="28">
        <v>1900032208</v>
      </c>
      <c r="U621" s="28">
        <v>2000013126</v>
      </c>
      <c r="V621" s="28">
        <v>2000013309</v>
      </c>
      <c r="W621" s="28">
        <v>2000023139</v>
      </c>
      <c r="X621" s="28">
        <v>2000024033</v>
      </c>
      <c r="Y621" s="28">
        <v>2000024278</v>
      </c>
      <c r="Z621" s="28">
        <v>2000025033</v>
      </c>
      <c r="AA621" s="28">
        <v>2000028095</v>
      </c>
      <c r="AB621" s="73"/>
      <c r="AE621" s="27" t="s">
        <v>677</v>
      </c>
      <c r="AF621" s="27" t="s">
        <v>732</v>
      </c>
      <c r="AG621" s="27" t="s">
        <v>677</v>
      </c>
      <c r="AH621" s="27" t="s">
        <v>677</v>
      </c>
      <c r="AI621" s="27" t="s">
        <v>899</v>
      </c>
      <c r="AJ621" s="27" t="s">
        <v>924</v>
      </c>
      <c r="AK621" s="27" t="s">
        <v>924</v>
      </c>
      <c r="AL621" s="27" t="s">
        <v>1168</v>
      </c>
      <c r="AM621" s="27" t="s">
        <v>678</v>
      </c>
      <c r="AN621" s="73"/>
      <c r="AQ621" s="27" t="s">
        <v>186</v>
      </c>
      <c r="AR621" s="27" t="s">
        <v>187</v>
      </c>
      <c r="AS621" s="27" t="s">
        <v>187</v>
      </c>
      <c r="AT621" s="27" t="s">
        <v>186</v>
      </c>
      <c r="AU621" s="27" t="s">
        <v>186</v>
      </c>
      <c r="AV621" s="27" t="s">
        <v>187</v>
      </c>
      <c r="AW621" s="27" t="s">
        <v>186</v>
      </c>
      <c r="AX621" s="27" t="s">
        <v>187</v>
      </c>
      <c r="AY621" s="27" t="s">
        <v>186</v>
      </c>
      <c r="BC621" s="78">
        <v>87839733975</v>
      </c>
      <c r="BD621" s="78">
        <v>82288924540</v>
      </c>
      <c r="BE621" s="78">
        <v>82340341017</v>
      </c>
      <c r="BF621" s="78">
        <v>85709368686</v>
      </c>
      <c r="BG621" s="78">
        <v>82231075354</v>
      </c>
      <c r="BH621" s="78">
        <v>81273707435</v>
      </c>
      <c r="BI621" s="78">
        <v>8992100809</v>
      </c>
      <c r="BJ621" s="78">
        <v>85869962942</v>
      </c>
      <c r="BK621" s="78">
        <v>85219549511</v>
      </c>
      <c r="BP621" s="18" t="s">
        <v>8044</v>
      </c>
      <c r="BQ621" s="37">
        <v>45145</v>
      </c>
      <c r="BR621" s="8">
        <f t="shared" si="2"/>
        <v>9</v>
      </c>
    </row>
    <row r="622" spans="1:70" ht="14.5">
      <c r="A622" s="4" t="str">
        <v>Reguler Periode ke-111 VII.A.1</v>
      </c>
      <c r="B622" s="4" t="s">
        <v>7301</v>
      </c>
      <c r="C622" s="4" t="s">
        <v>1817</v>
      </c>
      <c r="D622" s="4" t="s">
        <v>5843</v>
      </c>
      <c r="E622" s="4" t="s">
        <v>8045</v>
      </c>
      <c r="F622" s="4" t="s">
        <v>193</v>
      </c>
      <c r="G622" s="27" t="s">
        <v>8046</v>
      </c>
      <c r="H622" s="27" t="s">
        <v>8047</v>
      </c>
      <c r="I622" s="27" t="s">
        <v>8048</v>
      </c>
      <c r="J622" s="27" t="s">
        <v>8049</v>
      </c>
      <c r="K622" s="27" t="s">
        <v>8050</v>
      </c>
      <c r="L622" s="27" t="s">
        <v>8051</v>
      </c>
      <c r="M622" s="27" t="s">
        <v>8052</v>
      </c>
      <c r="N622" s="27" t="s">
        <v>8053</v>
      </c>
      <c r="O622" s="27" t="s">
        <v>8054</v>
      </c>
      <c r="S622" s="28">
        <v>1800002072</v>
      </c>
      <c r="T622" s="28">
        <v>1900024142</v>
      </c>
      <c r="U622" s="28">
        <v>2000013078</v>
      </c>
      <c r="V622" s="28">
        <v>2000013087</v>
      </c>
      <c r="W622" s="28">
        <v>2000013104</v>
      </c>
      <c r="X622" s="28">
        <v>2000023259</v>
      </c>
      <c r="Y622" s="28">
        <v>2000024204</v>
      </c>
      <c r="Z622" s="28">
        <v>2000028012</v>
      </c>
      <c r="AA622" s="28">
        <v>2000028052</v>
      </c>
      <c r="AE622" s="27" t="s">
        <v>1043</v>
      </c>
      <c r="AF622" s="27" t="s">
        <v>924</v>
      </c>
      <c r="AG622" s="27" t="s">
        <v>677</v>
      </c>
      <c r="AH622" s="27" t="s">
        <v>677</v>
      </c>
      <c r="AI622" s="27" t="s">
        <v>677</v>
      </c>
      <c r="AJ622" s="27" t="s">
        <v>899</v>
      </c>
      <c r="AK622" s="27" t="s">
        <v>924</v>
      </c>
      <c r="AL622" s="27" t="s">
        <v>678</v>
      </c>
      <c r="AM622" s="27" t="s">
        <v>678</v>
      </c>
      <c r="AN622" s="73"/>
      <c r="AQ622" s="27" t="s">
        <v>186</v>
      </c>
      <c r="AR622" s="27" t="s">
        <v>187</v>
      </c>
      <c r="AS622" s="27" t="s">
        <v>186</v>
      </c>
      <c r="AT622" s="27" t="s">
        <v>187</v>
      </c>
      <c r="AU622" s="27" t="s">
        <v>186</v>
      </c>
      <c r="AV622" s="27" t="s">
        <v>186</v>
      </c>
      <c r="AW622" s="27" t="s">
        <v>186</v>
      </c>
      <c r="AX622" s="27" t="s">
        <v>186</v>
      </c>
      <c r="AY622" s="27" t="s">
        <v>186</v>
      </c>
      <c r="BC622" s="78">
        <v>81237610129</v>
      </c>
      <c r="BD622" s="78">
        <v>8983128499</v>
      </c>
      <c r="BE622" s="78">
        <v>85759734977</v>
      </c>
      <c r="BF622" s="78">
        <v>81382784504</v>
      </c>
      <c r="BG622" s="78">
        <v>82142133124</v>
      </c>
      <c r="BH622" s="78">
        <v>812963013338</v>
      </c>
      <c r="BI622" s="78">
        <v>85812787343</v>
      </c>
      <c r="BJ622" s="78">
        <v>82119712139</v>
      </c>
      <c r="BK622" s="78">
        <v>85232425762</v>
      </c>
      <c r="BP622" s="18" t="s">
        <v>8055</v>
      </c>
      <c r="BQ622" s="37">
        <v>45145</v>
      </c>
      <c r="BR622" s="8">
        <f t="shared" si="2"/>
        <v>9</v>
      </c>
    </row>
    <row r="623" spans="1:70" ht="14.5">
      <c r="A623" s="4" t="str">
        <v>Reguler Periode ke-111 VII.A.2</v>
      </c>
      <c r="B623" s="4" t="s">
        <v>7301</v>
      </c>
      <c r="C623" s="4" t="s">
        <v>1839</v>
      </c>
      <c r="D623" s="4" t="s">
        <v>5843</v>
      </c>
      <c r="E623" s="4" t="s">
        <v>8056</v>
      </c>
      <c r="F623" s="4" t="s">
        <v>193</v>
      </c>
      <c r="G623" s="27" t="s">
        <v>8057</v>
      </c>
      <c r="H623" s="27" t="s">
        <v>8058</v>
      </c>
      <c r="I623" s="27" t="s">
        <v>8059</v>
      </c>
      <c r="J623" s="27" t="s">
        <v>8060</v>
      </c>
      <c r="K623" s="27" t="s">
        <v>8061</v>
      </c>
      <c r="L623" s="27" t="s">
        <v>8062</v>
      </c>
      <c r="M623" s="27" t="s">
        <v>8063</v>
      </c>
      <c r="N623" s="27" t="s">
        <v>8064</v>
      </c>
      <c r="O623" s="27" t="s">
        <v>8065</v>
      </c>
      <c r="P623" s="73"/>
      <c r="S623" s="28">
        <v>1900003169</v>
      </c>
      <c r="T623" s="28">
        <v>2000013030</v>
      </c>
      <c r="U623" s="28">
        <v>2000013064</v>
      </c>
      <c r="V623" s="28">
        <v>2000013283</v>
      </c>
      <c r="W623" s="28">
        <v>2000023017</v>
      </c>
      <c r="X623" s="28">
        <v>2000024232</v>
      </c>
      <c r="Y623" s="28">
        <v>2000024317</v>
      </c>
      <c r="Z623" s="28">
        <v>2000028102</v>
      </c>
      <c r="AA623" s="28">
        <v>2000028140</v>
      </c>
      <c r="AB623" s="73"/>
      <c r="AE623" s="27" t="s">
        <v>178</v>
      </c>
      <c r="AF623" s="27" t="s">
        <v>677</v>
      </c>
      <c r="AG623" s="27" t="s">
        <v>677</v>
      </c>
      <c r="AH623" s="27" t="s">
        <v>677</v>
      </c>
      <c r="AI623" s="27" t="s">
        <v>899</v>
      </c>
      <c r="AJ623" s="27" t="s">
        <v>924</v>
      </c>
      <c r="AK623" s="27" t="s">
        <v>924</v>
      </c>
      <c r="AL623" s="27" t="s">
        <v>678</v>
      </c>
      <c r="AM623" s="27" t="s">
        <v>678</v>
      </c>
      <c r="AN623" s="73"/>
      <c r="AO623" s="73"/>
      <c r="AQ623" s="27" t="s">
        <v>186</v>
      </c>
      <c r="AR623" s="27" t="s">
        <v>186</v>
      </c>
      <c r="AS623" s="27" t="s">
        <v>186</v>
      </c>
      <c r="AT623" s="27" t="s">
        <v>187</v>
      </c>
      <c r="AU623" s="27" t="s">
        <v>186</v>
      </c>
      <c r="AV623" s="27" t="s">
        <v>186</v>
      </c>
      <c r="AW623" s="27" t="s">
        <v>187</v>
      </c>
      <c r="AX623" s="27" t="s">
        <v>186</v>
      </c>
      <c r="AY623" s="27" t="s">
        <v>186</v>
      </c>
      <c r="BC623" s="78" t="s">
        <v>8066</v>
      </c>
      <c r="BD623" s="78">
        <v>85540616054</v>
      </c>
      <c r="BE623" s="78">
        <v>895802419856</v>
      </c>
      <c r="BF623" s="78">
        <v>85643711755</v>
      </c>
      <c r="BG623" s="78">
        <v>82217453423</v>
      </c>
      <c r="BH623" s="78">
        <v>85387015624</v>
      </c>
      <c r="BI623" s="78">
        <v>85600068072</v>
      </c>
      <c r="BJ623" s="78">
        <v>82347141032</v>
      </c>
      <c r="BK623" s="78">
        <v>85609885889</v>
      </c>
      <c r="BP623" s="18" t="s">
        <v>8067</v>
      </c>
      <c r="BQ623" s="37">
        <v>45145</v>
      </c>
      <c r="BR623" s="8">
        <f t="shared" si="2"/>
        <v>9</v>
      </c>
    </row>
    <row r="624" spans="1:70" ht="14.5">
      <c r="A624" s="4" t="str">
        <v>Reguler Periode ke-111 VII.A.3</v>
      </c>
      <c r="B624" s="4" t="s">
        <v>7301</v>
      </c>
      <c r="C624" s="4" t="s">
        <v>1860</v>
      </c>
      <c r="D624" s="4" t="s">
        <v>5843</v>
      </c>
      <c r="E624" s="4" t="s">
        <v>8068</v>
      </c>
      <c r="F624" s="4" t="s">
        <v>193</v>
      </c>
      <c r="G624" s="27" t="s">
        <v>8069</v>
      </c>
      <c r="H624" s="27" t="s">
        <v>8070</v>
      </c>
      <c r="I624" s="27" t="s">
        <v>8071</v>
      </c>
      <c r="J624" s="27" t="s">
        <v>8072</v>
      </c>
      <c r="K624" s="27" t="s">
        <v>8073</v>
      </c>
      <c r="L624" s="27" t="s">
        <v>8074</v>
      </c>
      <c r="M624" s="27" t="s">
        <v>8075</v>
      </c>
      <c r="N624" s="27" t="s">
        <v>8076</v>
      </c>
      <c r="O624" s="27" t="s">
        <v>8077</v>
      </c>
      <c r="P624" s="73"/>
      <c r="S624" s="28">
        <v>1900006081</v>
      </c>
      <c r="T624" s="28">
        <v>2000013055</v>
      </c>
      <c r="U624" s="28">
        <v>2000013067</v>
      </c>
      <c r="V624" s="28">
        <v>2000013291</v>
      </c>
      <c r="W624" s="28">
        <v>2000023110</v>
      </c>
      <c r="X624" s="28">
        <v>2000024024</v>
      </c>
      <c r="Y624" s="28">
        <v>2000024188</v>
      </c>
      <c r="Z624" s="28">
        <v>2000028054</v>
      </c>
      <c r="AA624" s="28">
        <v>2000028124</v>
      </c>
      <c r="AE624" s="27" t="s">
        <v>745</v>
      </c>
      <c r="AF624" s="27" t="s">
        <v>677</v>
      </c>
      <c r="AG624" s="27" t="s">
        <v>677</v>
      </c>
      <c r="AH624" s="27" t="s">
        <v>677</v>
      </c>
      <c r="AI624" s="27" t="s">
        <v>899</v>
      </c>
      <c r="AJ624" s="27" t="s">
        <v>924</v>
      </c>
      <c r="AK624" s="27" t="s">
        <v>924</v>
      </c>
      <c r="AL624" s="27" t="s">
        <v>678</v>
      </c>
      <c r="AM624" s="27" t="s">
        <v>678</v>
      </c>
      <c r="AN624" s="73"/>
      <c r="AQ624" s="27" t="s">
        <v>186</v>
      </c>
      <c r="AR624" s="27" t="s">
        <v>186</v>
      </c>
      <c r="AS624" s="27" t="s">
        <v>186</v>
      </c>
      <c r="AT624" s="27" t="s">
        <v>187</v>
      </c>
      <c r="AU624" s="27" t="s">
        <v>186</v>
      </c>
      <c r="AV624" s="27" t="s">
        <v>186</v>
      </c>
      <c r="AW624" s="27" t="s">
        <v>187</v>
      </c>
      <c r="AX624" s="27" t="s">
        <v>186</v>
      </c>
      <c r="AY624" s="27" t="s">
        <v>186</v>
      </c>
      <c r="BC624" s="78">
        <v>89508093394</v>
      </c>
      <c r="BD624" s="78">
        <v>87837696935</v>
      </c>
      <c r="BE624" s="78">
        <v>81392035267</v>
      </c>
      <c r="BF624" s="78">
        <v>85777432937</v>
      </c>
      <c r="BG624" s="78">
        <v>88211967754</v>
      </c>
      <c r="BH624" s="78">
        <v>85643517933</v>
      </c>
      <c r="BI624" s="78">
        <v>895801063838</v>
      </c>
      <c r="BJ624" s="78">
        <v>81389083537</v>
      </c>
      <c r="BK624" s="78">
        <v>81326787310</v>
      </c>
      <c r="BP624" s="18" t="s">
        <v>8078</v>
      </c>
      <c r="BQ624" s="37">
        <v>45145</v>
      </c>
      <c r="BR624" s="8">
        <f t="shared" si="2"/>
        <v>9</v>
      </c>
    </row>
    <row r="625" spans="1:70" ht="14.5">
      <c r="A625" s="4" t="str">
        <v>Reguler Periode ke-111 VII.B.1</v>
      </c>
      <c r="B625" s="4" t="s">
        <v>7301</v>
      </c>
      <c r="C625" s="4" t="s">
        <v>1881</v>
      </c>
      <c r="D625" s="4" t="s">
        <v>8079</v>
      </c>
      <c r="E625" s="4" t="s">
        <v>8080</v>
      </c>
      <c r="F625" s="4" t="s">
        <v>193</v>
      </c>
      <c r="G625" s="27" t="s">
        <v>8081</v>
      </c>
      <c r="H625" s="27" t="s">
        <v>8082</v>
      </c>
      <c r="I625" s="27" t="s">
        <v>8083</v>
      </c>
      <c r="J625" s="27" t="s">
        <v>8084</v>
      </c>
      <c r="K625" s="27" t="s">
        <v>8085</v>
      </c>
      <c r="L625" s="27" t="s">
        <v>8086</v>
      </c>
      <c r="M625" s="27" t="s">
        <v>8087</v>
      </c>
      <c r="N625" s="27" t="s">
        <v>8088</v>
      </c>
      <c r="O625" s="27" t="s">
        <v>8089</v>
      </c>
      <c r="P625" s="73"/>
      <c r="S625" s="28">
        <v>1900004072</v>
      </c>
      <c r="T625" s="28">
        <v>1900005044</v>
      </c>
      <c r="U625" s="28">
        <v>1900012112</v>
      </c>
      <c r="V625" s="28">
        <v>1900012145</v>
      </c>
      <c r="W625" s="28">
        <v>1900029271</v>
      </c>
      <c r="X625" s="28">
        <v>2000011278</v>
      </c>
      <c r="Y625" s="28">
        <v>2000023264</v>
      </c>
      <c r="Z625" s="28">
        <v>2000030115</v>
      </c>
      <c r="AA625" s="28">
        <v>2000030247</v>
      </c>
      <c r="AB625" s="73"/>
      <c r="AE625" s="27" t="s">
        <v>201</v>
      </c>
      <c r="AF625" s="27" t="s">
        <v>181</v>
      </c>
      <c r="AG625" s="27" t="s">
        <v>885</v>
      </c>
      <c r="AH625" s="27" t="s">
        <v>885</v>
      </c>
      <c r="AI625" s="27" t="s">
        <v>533</v>
      </c>
      <c r="AJ625" s="27" t="s">
        <v>182</v>
      </c>
      <c r="AK625" s="27" t="s">
        <v>899</v>
      </c>
      <c r="AL625" s="27" t="s">
        <v>184</v>
      </c>
      <c r="AM625" s="27" t="s">
        <v>184</v>
      </c>
      <c r="AN625" s="73"/>
      <c r="AQ625" s="27" t="s">
        <v>187</v>
      </c>
      <c r="AR625" s="27" t="s">
        <v>186</v>
      </c>
      <c r="AS625" s="27" t="s">
        <v>187</v>
      </c>
      <c r="AT625" s="27" t="s">
        <v>186</v>
      </c>
      <c r="AU625" s="27" t="s">
        <v>186</v>
      </c>
      <c r="AV625" s="27" t="s">
        <v>186</v>
      </c>
      <c r="AW625" s="27" t="s">
        <v>186</v>
      </c>
      <c r="AX625" s="27" t="s">
        <v>187</v>
      </c>
      <c r="AY625" s="27" t="s">
        <v>186</v>
      </c>
      <c r="BC625" s="78">
        <v>81278566561</v>
      </c>
      <c r="BD625" s="78"/>
      <c r="BE625" s="78">
        <v>85233466811</v>
      </c>
      <c r="BF625" s="78">
        <v>85215474208</v>
      </c>
      <c r="BG625" s="78">
        <v>82228567431</v>
      </c>
      <c r="BH625" s="78">
        <v>81257675499</v>
      </c>
      <c r="BI625" s="78">
        <v>87786706082</v>
      </c>
      <c r="BJ625" s="78">
        <v>82169143989</v>
      </c>
      <c r="BK625" s="78">
        <v>85157547115</v>
      </c>
      <c r="BP625" s="18" t="s">
        <v>8090</v>
      </c>
      <c r="BQ625" s="37">
        <v>45145</v>
      </c>
      <c r="BR625" s="8">
        <f t="shared" si="2"/>
        <v>9</v>
      </c>
    </row>
    <row r="626" spans="1:70" ht="14.5">
      <c r="A626" s="4" t="str">
        <v>Reguler Periode ke-111 VII.B.2</v>
      </c>
      <c r="B626" s="4" t="s">
        <v>7301</v>
      </c>
      <c r="C626" s="4" t="s">
        <v>1903</v>
      </c>
      <c r="D626" s="4" t="s">
        <v>8079</v>
      </c>
      <c r="E626" s="4" t="s">
        <v>8091</v>
      </c>
      <c r="F626" s="4" t="s">
        <v>193</v>
      </c>
      <c r="G626" s="27" t="s">
        <v>8092</v>
      </c>
      <c r="H626" s="27" t="s">
        <v>8093</v>
      </c>
      <c r="I626" s="27" t="s">
        <v>8094</v>
      </c>
      <c r="J626" s="27" t="s">
        <v>8095</v>
      </c>
      <c r="K626" s="27" t="s">
        <v>8096</v>
      </c>
      <c r="L626" s="27" t="s">
        <v>8097</v>
      </c>
      <c r="M626" s="27" t="s">
        <v>8098</v>
      </c>
      <c r="N626" s="27" t="s">
        <v>8099</v>
      </c>
      <c r="O626" s="27" t="s">
        <v>8100</v>
      </c>
      <c r="P626" s="73"/>
      <c r="S626" s="28">
        <v>1800004004</v>
      </c>
      <c r="T626" s="28">
        <v>1900004115</v>
      </c>
      <c r="U626" s="28">
        <v>1900004193</v>
      </c>
      <c r="V626" s="28">
        <v>1900005177</v>
      </c>
      <c r="W626" s="28">
        <v>1900010340</v>
      </c>
      <c r="X626" s="28">
        <v>1900012023</v>
      </c>
      <c r="Y626" s="28">
        <v>2000011240</v>
      </c>
      <c r="Z626" s="28">
        <v>2000023242</v>
      </c>
      <c r="AA626" s="28">
        <v>2000030004</v>
      </c>
      <c r="AE626" s="27" t="s">
        <v>201</v>
      </c>
      <c r="AF626" s="27" t="s">
        <v>201</v>
      </c>
      <c r="AG626" s="27" t="s">
        <v>201</v>
      </c>
      <c r="AH626" s="27" t="s">
        <v>181</v>
      </c>
      <c r="AI626" s="27" t="s">
        <v>532</v>
      </c>
      <c r="AJ626" s="27" t="s">
        <v>885</v>
      </c>
      <c r="AK626" s="27" t="s">
        <v>182</v>
      </c>
      <c r="AL626" s="27" t="s">
        <v>899</v>
      </c>
      <c r="AM626" s="27" t="s">
        <v>184</v>
      </c>
      <c r="AN626" s="73"/>
      <c r="AQ626" s="27" t="s">
        <v>187</v>
      </c>
      <c r="AR626" s="27" t="s">
        <v>187</v>
      </c>
      <c r="AS626" s="27" t="s">
        <v>186</v>
      </c>
      <c r="AT626" s="27" t="s">
        <v>186</v>
      </c>
      <c r="AU626" s="27" t="s">
        <v>187</v>
      </c>
      <c r="AV626" s="27" t="s">
        <v>186</v>
      </c>
      <c r="AW626" s="27" t="s">
        <v>186</v>
      </c>
      <c r="AX626" s="27" t="s">
        <v>186</v>
      </c>
      <c r="AY626" s="27" t="s">
        <v>186</v>
      </c>
      <c r="BC626" s="78">
        <v>82223117014</v>
      </c>
      <c r="BD626" s="78">
        <v>88215751946</v>
      </c>
      <c r="BE626" s="78">
        <v>82339547691</v>
      </c>
      <c r="BF626" s="78">
        <v>8126498010</v>
      </c>
      <c r="BG626" s="78">
        <v>89674679432</v>
      </c>
      <c r="BH626" s="78">
        <v>82136115386</v>
      </c>
      <c r="BI626" s="78">
        <v>85731491808</v>
      </c>
      <c r="BJ626" s="78">
        <v>8811372933</v>
      </c>
      <c r="BK626" s="78">
        <v>82119558041</v>
      </c>
      <c r="BP626" s="18" t="s">
        <v>8101</v>
      </c>
      <c r="BQ626" s="37">
        <v>45145</v>
      </c>
      <c r="BR626" s="8">
        <f t="shared" si="2"/>
        <v>9</v>
      </c>
    </row>
    <row r="627" spans="1:70" ht="14">
      <c r="A627" s="4" t="str">
        <v>Reguler Periode ke-111 VII.B.3</v>
      </c>
      <c r="B627" s="4" t="s">
        <v>7301</v>
      </c>
      <c r="C627" s="4" t="s">
        <v>1924</v>
      </c>
      <c r="D627" s="4" t="s">
        <v>8079</v>
      </c>
      <c r="E627" s="4" t="s">
        <v>8102</v>
      </c>
      <c r="F627" s="4" t="s">
        <v>193</v>
      </c>
      <c r="G627" s="27" t="s">
        <v>8103</v>
      </c>
      <c r="H627" s="27" t="s">
        <v>8104</v>
      </c>
      <c r="I627" s="27" t="s">
        <v>8105</v>
      </c>
      <c r="J627" s="27" t="s">
        <v>8106</v>
      </c>
      <c r="K627" s="27" t="s">
        <v>8107</v>
      </c>
      <c r="L627" s="27" t="s">
        <v>8108</v>
      </c>
      <c r="M627" s="27" t="s">
        <v>8109</v>
      </c>
      <c r="N627" s="27" t="s">
        <v>8110</v>
      </c>
      <c r="O627" s="27" t="s">
        <v>8111</v>
      </c>
      <c r="P627" s="68"/>
      <c r="S627" s="28">
        <v>1900004053</v>
      </c>
      <c r="T627" s="28">
        <v>1900005183</v>
      </c>
      <c r="U627" s="28">
        <v>1900005231</v>
      </c>
      <c r="V627" s="28">
        <v>1900010132</v>
      </c>
      <c r="W627" s="28">
        <v>1900010152</v>
      </c>
      <c r="X627" s="28">
        <v>1900029291</v>
      </c>
      <c r="Y627" s="28">
        <v>2000011252</v>
      </c>
      <c r="Z627" s="28">
        <v>2000030203</v>
      </c>
      <c r="AA627" s="28">
        <v>2000033040</v>
      </c>
      <c r="AE627" s="27" t="s">
        <v>201</v>
      </c>
      <c r="AF627" s="27" t="s">
        <v>181</v>
      </c>
      <c r="AG627" s="27" t="s">
        <v>181</v>
      </c>
      <c r="AH627" s="27" t="s">
        <v>532</v>
      </c>
      <c r="AI627" s="27" t="s">
        <v>532</v>
      </c>
      <c r="AJ627" s="27" t="s">
        <v>533</v>
      </c>
      <c r="AK627" s="27" t="s">
        <v>182</v>
      </c>
      <c r="AL627" s="27" t="s">
        <v>184</v>
      </c>
      <c r="AM627" s="27" t="s">
        <v>1112</v>
      </c>
      <c r="AN627" s="68"/>
      <c r="AQ627" s="27" t="s">
        <v>187</v>
      </c>
      <c r="AR627" s="27" t="s">
        <v>186</v>
      </c>
      <c r="AS627" s="27" t="s">
        <v>187</v>
      </c>
      <c r="AT627" s="27" t="s">
        <v>187</v>
      </c>
      <c r="AU627" s="27" t="s">
        <v>186</v>
      </c>
      <c r="AV627" s="27" t="s">
        <v>186</v>
      </c>
      <c r="AW627" s="27" t="s">
        <v>186</v>
      </c>
      <c r="AX627" s="27" t="s">
        <v>186</v>
      </c>
      <c r="AY627" s="27" t="s">
        <v>186</v>
      </c>
      <c r="BC627" s="78">
        <v>8562538304</v>
      </c>
      <c r="BD627" s="78">
        <v>81293576501</v>
      </c>
      <c r="BE627" s="78">
        <v>89692817000</v>
      </c>
      <c r="BF627" s="78">
        <v>82351136462</v>
      </c>
      <c r="BG627" s="78">
        <v>81356138372</v>
      </c>
      <c r="BH627" s="78">
        <v>85238764141</v>
      </c>
      <c r="BI627" s="78">
        <v>88221594120</v>
      </c>
      <c r="BJ627" s="78">
        <v>83849292279</v>
      </c>
      <c r="BK627" s="78">
        <v>8986549168</v>
      </c>
      <c r="BP627" s="18" t="s">
        <v>8112</v>
      </c>
      <c r="BQ627" s="37">
        <v>45145</v>
      </c>
      <c r="BR627" s="8">
        <f t="shared" si="2"/>
        <v>9</v>
      </c>
    </row>
    <row r="628" spans="1:70" ht="14.5">
      <c r="A628" s="4" t="str">
        <v>Reguler Periode ke-111 VII.C.1</v>
      </c>
      <c r="B628" s="4" t="s">
        <v>7301</v>
      </c>
      <c r="C628" s="4" t="s">
        <v>1945</v>
      </c>
      <c r="D628" s="4" t="s">
        <v>8113</v>
      </c>
      <c r="E628" s="4" t="s">
        <v>8114</v>
      </c>
      <c r="F628" s="4" t="s">
        <v>193</v>
      </c>
      <c r="G628" s="27" t="s">
        <v>8115</v>
      </c>
      <c r="H628" s="27" t="s">
        <v>8116</v>
      </c>
      <c r="I628" s="27" t="s">
        <v>8117</v>
      </c>
      <c r="J628" s="27" t="s">
        <v>8118</v>
      </c>
      <c r="K628" s="27" t="s">
        <v>8119</v>
      </c>
      <c r="L628" s="27" t="s">
        <v>8120</v>
      </c>
      <c r="M628" s="27" t="s">
        <v>8121</v>
      </c>
      <c r="N628" s="27" t="s">
        <v>8122</v>
      </c>
      <c r="O628" s="27" t="s">
        <v>8123</v>
      </c>
      <c r="P628" s="73"/>
      <c r="S628" s="28">
        <v>1800030289</v>
      </c>
      <c r="T628" s="28">
        <v>1900018167</v>
      </c>
      <c r="U628" s="28">
        <v>1900070001</v>
      </c>
      <c r="V628" s="28">
        <v>1901311004</v>
      </c>
      <c r="W628" s="28">
        <v>2000018293</v>
      </c>
      <c r="X628" s="28">
        <v>2000023011</v>
      </c>
      <c r="Y628" s="28">
        <v>2000023068</v>
      </c>
      <c r="Z628" s="28">
        <v>2000030159</v>
      </c>
      <c r="AA628" s="28">
        <v>2000030180</v>
      </c>
      <c r="AE628" s="27" t="s">
        <v>184</v>
      </c>
      <c r="AF628" s="27" t="s">
        <v>179</v>
      </c>
      <c r="AG628" s="27" t="s">
        <v>2473</v>
      </c>
      <c r="AH628" s="27" t="s">
        <v>2427</v>
      </c>
      <c r="AI628" s="27" t="s">
        <v>179</v>
      </c>
      <c r="AJ628" s="27" t="s">
        <v>899</v>
      </c>
      <c r="AK628" s="27" t="s">
        <v>899</v>
      </c>
      <c r="AL628" s="27" t="s">
        <v>184</v>
      </c>
      <c r="AM628" s="27" t="s">
        <v>184</v>
      </c>
      <c r="AN628" s="73"/>
      <c r="AQ628" s="27" t="s">
        <v>187</v>
      </c>
      <c r="AR628" s="27" t="s">
        <v>187</v>
      </c>
      <c r="AS628" s="27" t="s">
        <v>186</v>
      </c>
      <c r="AT628" s="27" t="s">
        <v>187</v>
      </c>
      <c r="AU628" s="27" t="s">
        <v>186</v>
      </c>
      <c r="AV628" s="27" t="s">
        <v>186</v>
      </c>
      <c r="AW628" s="27" t="s">
        <v>187</v>
      </c>
      <c r="AX628" s="27" t="s">
        <v>186</v>
      </c>
      <c r="AY628" s="27" t="s">
        <v>186</v>
      </c>
      <c r="BC628" s="78">
        <v>81380951811</v>
      </c>
      <c r="BD628" s="78">
        <v>81218923332</v>
      </c>
      <c r="BE628" s="78">
        <v>85742298162</v>
      </c>
      <c r="BF628" s="78">
        <v>81358703414</v>
      </c>
      <c r="BG628" s="78">
        <v>85384957493</v>
      </c>
      <c r="BH628" s="78">
        <v>87748240006</v>
      </c>
      <c r="BI628" s="78">
        <v>85238710309</v>
      </c>
      <c r="BJ628" s="78">
        <v>81241239958</v>
      </c>
      <c r="BK628" s="78">
        <v>82137081086</v>
      </c>
      <c r="BP628" s="18" t="s">
        <v>8124</v>
      </c>
      <c r="BQ628" s="37">
        <v>45145</v>
      </c>
      <c r="BR628" s="8">
        <f t="shared" si="2"/>
        <v>9</v>
      </c>
    </row>
    <row r="629" spans="1:70" ht="14.5">
      <c r="A629" s="4" t="str">
        <v>Reguler Periode ke-111 VII.C.2</v>
      </c>
      <c r="B629" s="4" t="s">
        <v>7301</v>
      </c>
      <c r="C629" s="4" t="s">
        <v>1967</v>
      </c>
      <c r="D629" s="4" t="s">
        <v>8113</v>
      </c>
      <c r="E629" s="4" t="s">
        <v>8125</v>
      </c>
      <c r="F629" s="4" t="s">
        <v>193</v>
      </c>
      <c r="G629" s="27" t="s">
        <v>8126</v>
      </c>
      <c r="H629" s="27" t="s">
        <v>8127</v>
      </c>
      <c r="I629" s="27" t="s">
        <v>8128</v>
      </c>
      <c r="J629" s="27" t="s">
        <v>6501</v>
      </c>
      <c r="K629" s="27" t="s">
        <v>8129</v>
      </c>
      <c r="L629" s="27" t="s">
        <v>8130</v>
      </c>
      <c r="M629" s="27" t="s">
        <v>8131</v>
      </c>
      <c r="N629" s="27" t="s">
        <v>8132</v>
      </c>
      <c r="O629" s="27" t="s">
        <v>8133</v>
      </c>
      <c r="P629" s="68"/>
      <c r="Q629" s="73"/>
      <c r="S629" s="28">
        <v>1800018030</v>
      </c>
      <c r="T629" s="28">
        <v>1900018426</v>
      </c>
      <c r="U629" s="28">
        <v>1900029286</v>
      </c>
      <c r="V629" s="28">
        <v>1900030301</v>
      </c>
      <c r="W629" s="28">
        <v>2000011006</v>
      </c>
      <c r="X629" s="28">
        <v>2000018408</v>
      </c>
      <c r="Y629" s="28">
        <v>2000023084</v>
      </c>
      <c r="Z629" s="28">
        <v>2000023112</v>
      </c>
      <c r="AA629" s="28">
        <v>2000032001</v>
      </c>
      <c r="AE629" s="27" t="s">
        <v>179</v>
      </c>
      <c r="AF629" s="27" t="s">
        <v>179</v>
      </c>
      <c r="AG629" s="27" t="s">
        <v>533</v>
      </c>
      <c r="AH629" s="27" t="s">
        <v>184</v>
      </c>
      <c r="AI629" s="27" t="s">
        <v>182</v>
      </c>
      <c r="AJ629" s="27" t="s">
        <v>179</v>
      </c>
      <c r="AK629" s="27" t="s">
        <v>899</v>
      </c>
      <c r="AL629" s="27" t="s">
        <v>899</v>
      </c>
      <c r="AM629" s="27" t="s">
        <v>732</v>
      </c>
      <c r="AN629" s="68"/>
      <c r="AQ629" s="27" t="s">
        <v>186</v>
      </c>
      <c r="AR629" s="27" t="s">
        <v>187</v>
      </c>
      <c r="AS629" s="27" t="s">
        <v>186</v>
      </c>
      <c r="AT629" s="27" t="s">
        <v>186</v>
      </c>
      <c r="AU629" s="27" t="s">
        <v>187</v>
      </c>
      <c r="AV629" s="27" t="s">
        <v>186</v>
      </c>
      <c r="AW629" s="27" t="s">
        <v>187</v>
      </c>
      <c r="AX629" s="27" t="s">
        <v>187</v>
      </c>
      <c r="AY629" s="27" t="s">
        <v>186</v>
      </c>
      <c r="BC629" s="78">
        <v>81342165941</v>
      </c>
      <c r="BD629" s="78">
        <v>85641614691</v>
      </c>
      <c r="BE629" s="78">
        <v>895339841225</v>
      </c>
      <c r="BF629" s="78">
        <v>82228018657</v>
      </c>
      <c r="BG629" s="78">
        <v>82199576238</v>
      </c>
      <c r="BH629" s="78">
        <v>81226884805</v>
      </c>
      <c r="BI629" s="78">
        <v>81274258720</v>
      </c>
      <c r="BJ629" s="78">
        <v>89518362648</v>
      </c>
      <c r="BK629" s="78">
        <v>81370063091</v>
      </c>
      <c r="BP629" s="18" t="s">
        <v>8134</v>
      </c>
      <c r="BQ629" s="37">
        <v>45145</v>
      </c>
      <c r="BR629" s="8">
        <f t="shared" si="2"/>
        <v>9</v>
      </c>
    </row>
    <row r="630" spans="1:70" ht="14.5">
      <c r="A630" s="4" t="str">
        <v>Reguler Periode ke-111 VII.D.1</v>
      </c>
      <c r="B630" s="4" t="s">
        <v>7301</v>
      </c>
      <c r="C630" s="4" t="s">
        <v>2009</v>
      </c>
      <c r="D630" s="4" t="s">
        <v>8135</v>
      </c>
      <c r="E630" s="4" t="s">
        <v>8136</v>
      </c>
      <c r="F630" s="4" t="s">
        <v>193</v>
      </c>
      <c r="G630" s="27" t="s">
        <v>8137</v>
      </c>
      <c r="H630" s="27" t="s">
        <v>8138</v>
      </c>
      <c r="I630" s="27" t="s">
        <v>8139</v>
      </c>
      <c r="J630" s="27" t="s">
        <v>6978</v>
      </c>
      <c r="K630" s="27" t="s">
        <v>8140</v>
      </c>
      <c r="L630" s="27" t="s">
        <v>8141</v>
      </c>
      <c r="M630" s="27" t="s">
        <v>8142</v>
      </c>
      <c r="N630" s="27" t="s">
        <v>8143</v>
      </c>
      <c r="O630" s="27" t="s">
        <v>8144</v>
      </c>
      <c r="P630" s="73"/>
      <c r="S630" s="28">
        <v>1900024035</v>
      </c>
      <c r="T630" s="28">
        <v>1900024271</v>
      </c>
      <c r="U630" s="28">
        <v>1900030073</v>
      </c>
      <c r="V630" s="28">
        <v>2000011053</v>
      </c>
      <c r="W630" s="28">
        <v>2000011208</v>
      </c>
      <c r="X630" s="28">
        <v>2000013312</v>
      </c>
      <c r="Y630" s="28">
        <v>2000023202</v>
      </c>
      <c r="Z630" s="28">
        <v>2000024183</v>
      </c>
      <c r="AA630" s="28">
        <v>2000027031</v>
      </c>
      <c r="AE630" s="27" t="s">
        <v>924</v>
      </c>
      <c r="AF630" s="27" t="s">
        <v>924</v>
      </c>
      <c r="AG630" s="27" t="s">
        <v>184</v>
      </c>
      <c r="AH630" s="27" t="s">
        <v>182</v>
      </c>
      <c r="AI630" s="27" t="s">
        <v>182</v>
      </c>
      <c r="AJ630" s="27" t="s">
        <v>677</v>
      </c>
      <c r="AK630" s="27" t="s">
        <v>899</v>
      </c>
      <c r="AL630" s="27" t="s">
        <v>924</v>
      </c>
      <c r="AM630" s="27" t="s">
        <v>1763</v>
      </c>
      <c r="AQ630" s="27" t="s">
        <v>187</v>
      </c>
      <c r="AR630" s="27" t="s">
        <v>186</v>
      </c>
      <c r="AS630" s="27" t="s">
        <v>187</v>
      </c>
      <c r="AT630" s="27" t="s">
        <v>187</v>
      </c>
      <c r="AU630" s="27" t="s">
        <v>186</v>
      </c>
      <c r="AV630" s="27" t="s">
        <v>186</v>
      </c>
      <c r="AW630" s="27" t="s">
        <v>186</v>
      </c>
      <c r="AX630" s="27" t="s">
        <v>186</v>
      </c>
      <c r="AY630" s="27" t="s">
        <v>186</v>
      </c>
      <c r="BC630" s="78">
        <v>81242398275</v>
      </c>
      <c r="BD630" s="78">
        <v>85298008321</v>
      </c>
      <c r="BE630" s="78">
        <v>82284919100</v>
      </c>
      <c r="BF630" s="78">
        <v>87802287096</v>
      </c>
      <c r="BG630" s="78">
        <v>82130928891</v>
      </c>
      <c r="BH630" s="78">
        <v>81395234263</v>
      </c>
      <c r="BI630" s="78">
        <v>81328631878</v>
      </c>
      <c r="BJ630" s="78">
        <v>8987192873</v>
      </c>
      <c r="BK630" s="78">
        <v>85257690780</v>
      </c>
      <c r="BP630" s="18" t="s">
        <v>8145</v>
      </c>
      <c r="BQ630" s="37">
        <v>45145</v>
      </c>
      <c r="BR630" s="8">
        <f t="shared" si="2"/>
        <v>9</v>
      </c>
    </row>
    <row r="631" spans="1:70" ht="14.5">
      <c r="A631" s="4" t="str">
        <v>Reguler Periode ke-111 VII.D.2</v>
      </c>
      <c r="B631" s="4" t="s">
        <v>7301</v>
      </c>
      <c r="C631" s="4" t="s">
        <v>2031</v>
      </c>
      <c r="D631" s="4" t="s">
        <v>8135</v>
      </c>
      <c r="E631" s="4" t="s">
        <v>8146</v>
      </c>
      <c r="F631" s="4" t="s">
        <v>193</v>
      </c>
      <c r="G631" s="27" t="s">
        <v>8147</v>
      </c>
      <c r="H631" s="27" t="s">
        <v>8148</v>
      </c>
      <c r="I631" s="27" t="s">
        <v>8149</v>
      </c>
      <c r="J631" s="27" t="s">
        <v>8150</v>
      </c>
      <c r="K631" s="27" t="s">
        <v>8151</v>
      </c>
      <c r="L631" s="27" t="s">
        <v>8152</v>
      </c>
      <c r="M631" s="27" t="s">
        <v>8153</v>
      </c>
      <c r="N631" s="27" t="s">
        <v>8154</v>
      </c>
      <c r="O631" s="27" t="s">
        <v>8155</v>
      </c>
      <c r="P631" s="73"/>
      <c r="S631" s="28">
        <v>1800013215</v>
      </c>
      <c r="T631" s="28">
        <v>1800032120</v>
      </c>
      <c r="U631" s="28">
        <v>1900024242</v>
      </c>
      <c r="V631" s="28">
        <v>2000013066</v>
      </c>
      <c r="W631" s="28">
        <v>2000013163</v>
      </c>
      <c r="X631" s="28">
        <v>2000023117</v>
      </c>
      <c r="Y631" s="28">
        <v>2000024371</v>
      </c>
      <c r="Z631" s="28">
        <v>2000028022</v>
      </c>
      <c r="AA631" s="28">
        <v>2000028045</v>
      </c>
      <c r="AE631" s="27" t="s">
        <v>677</v>
      </c>
      <c r="AF631" s="27" t="s">
        <v>732</v>
      </c>
      <c r="AG631" s="27" t="s">
        <v>924</v>
      </c>
      <c r="AH631" s="27" t="s">
        <v>677</v>
      </c>
      <c r="AI631" s="27" t="s">
        <v>677</v>
      </c>
      <c r="AJ631" s="27" t="s">
        <v>899</v>
      </c>
      <c r="AK631" s="27" t="s">
        <v>924</v>
      </c>
      <c r="AL631" s="27" t="s">
        <v>678</v>
      </c>
      <c r="AM631" s="27" t="s">
        <v>678</v>
      </c>
      <c r="AN631" s="73"/>
      <c r="AQ631" s="27" t="s">
        <v>187</v>
      </c>
      <c r="AR631" s="27" t="s">
        <v>187</v>
      </c>
      <c r="AS631" s="27" t="s">
        <v>187</v>
      </c>
      <c r="AT631" s="27" t="s">
        <v>186</v>
      </c>
      <c r="AU631" s="27" t="s">
        <v>186</v>
      </c>
      <c r="AV631" s="27" t="s">
        <v>186</v>
      </c>
      <c r="AW631" s="27" t="s">
        <v>186</v>
      </c>
      <c r="AX631" s="27" t="s">
        <v>186</v>
      </c>
      <c r="AY631" s="27" t="s">
        <v>186</v>
      </c>
      <c r="BC631" s="78">
        <v>81340741442</v>
      </c>
      <c r="BD631" s="78">
        <v>85173357356</v>
      </c>
      <c r="BE631" s="78">
        <v>81359241821</v>
      </c>
      <c r="BF631" s="78">
        <v>895605529371</v>
      </c>
      <c r="BG631" s="78">
        <v>87747855681</v>
      </c>
      <c r="BH631" s="78">
        <v>85713592210</v>
      </c>
      <c r="BI631" s="78">
        <v>88221598562</v>
      </c>
      <c r="BJ631" s="78">
        <v>82133835813</v>
      </c>
      <c r="BK631" s="78">
        <v>81242058221</v>
      </c>
      <c r="BP631" s="18" t="s">
        <v>8156</v>
      </c>
      <c r="BQ631" s="37">
        <v>45145</v>
      </c>
      <c r="BR631" s="8">
        <f t="shared" si="2"/>
        <v>9</v>
      </c>
    </row>
    <row r="632" spans="1:70" ht="14.5">
      <c r="A632" s="4" t="str">
        <v>Reguler Periode ke-112 I.A.1</v>
      </c>
      <c r="B632" s="4" t="s">
        <v>8157</v>
      </c>
      <c r="C632" s="4" t="s">
        <v>165</v>
      </c>
      <c r="D632" s="4" t="s">
        <v>8158</v>
      </c>
      <c r="E632" s="4" t="s">
        <v>8159</v>
      </c>
      <c r="F632" s="4" t="s">
        <v>8160</v>
      </c>
      <c r="G632" s="79" t="s">
        <v>7511</v>
      </c>
      <c r="H632" s="79" t="s">
        <v>8161</v>
      </c>
      <c r="I632" s="79" t="s">
        <v>7591</v>
      </c>
      <c r="J632" s="79" t="s">
        <v>7581</v>
      </c>
      <c r="K632" s="79" t="s">
        <v>8162</v>
      </c>
      <c r="L632" s="79" t="s">
        <v>8163</v>
      </c>
      <c r="M632" s="79" t="s">
        <v>8164</v>
      </c>
      <c r="N632" s="79" t="s">
        <v>8165</v>
      </c>
      <c r="O632" s="79" t="s">
        <v>8166</v>
      </c>
      <c r="P632" s="79" t="s">
        <v>8167</v>
      </c>
      <c r="Q632" s="79" t="s">
        <v>8168</v>
      </c>
      <c r="S632" s="80">
        <v>2000013014</v>
      </c>
      <c r="T632" s="80">
        <v>2000013103</v>
      </c>
      <c r="U632" s="80">
        <v>2000013230</v>
      </c>
      <c r="V632" s="80">
        <v>2000013289</v>
      </c>
      <c r="W632" s="80">
        <v>2000017055</v>
      </c>
      <c r="X632" s="80">
        <v>2000024014</v>
      </c>
      <c r="Y632" s="80">
        <v>2000027007</v>
      </c>
      <c r="Z632" s="80">
        <v>2000027035</v>
      </c>
      <c r="AA632" s="80">
        <v>2011027051</v>
      </c>
      <c r="AB632" s="81">
        <v>2011027067</v>
      </c>
      <c r="AC632" s="81">
        <v>2011028088</v>
      </c>
      <c r="AE632" s="81" t="s">
        <v>677</v>
      </c>
      <c r="AF632" s="81" t="s">
        <v>677</v>
      </c>
      <c r="AG632" s="81" t="s">
        <v>677</v>
      </c>
      <c r="AH632" s="81" t="s">
        <v>677</v>
      </c>
      <c r="AI632" s="81" t="s">
        <v>183</v>
      </c>
      <c r="AJ632" s="81" t="s">
        <v>924</v>
      </c>
      <c r="AK632" s="81" t="s">
        <v>1763</v>
      </c>
      <c r="AL632" s="81" t="s">
        <v>1763</v>
      </c>
      <c r="AM632" s="81" t="s">
        <v>1763</v>
      </c>
      <c r="AN632" s="81" t="s">
        <v>1763</v>
      </c>
      <c r="AO632" s="81" t="s">
        <v>678</v>
      </c>
      <c r="AQ632" s="82" t="s">
        <v>186</v>
      </c>
      <c r="AR632" s="82" t="s">
        <v>186</v>
      </c>
      <c r="AS632" s="82" t="s">
        <v>186</v>
      </c>
      <c r="AT632" s="82" t="s">
        <v>186</v>
      </c>
      <c r="AU632" s="82" t="s">
        <v>186</v>
      </c>
      <c r="AV632" s="82" t="s">
        <v>187</v>
      </c>
      <c r="AW632" s="82" t="s">
        <v>186</v>
      </c>
      <c r="AX632" s="82" t="s">
        <v>187</v>
      </c>
      <c r="AY632" s="82" t="s">
        <v>187</v>
      </c>
      <c r="AZ632" s="82" t="s">
        <v>187</v>
      </c>
      <c r="BA632" s="82" t="s">
        <v>186</v>
      </c>
      <c r="BC632" s="83">
        <v>85602939185</v>
      </c>
      <c r="BD632" s="83">
        <v>82289211838</v>
      </c>
      <c r="BE632" s="83">
        <v>85766660819</v>
      </c>
      <c r="BF632" s="83">
        <v>82166869193</v>
      </c>
      <c r="BG632" s="83">
        <v>85740599875</v>
      </c>
      <c r="BH632" s="83">
        <v>895700809478</v>
      </c>
      <c r="BI632" s="83">
        <v>85866137505</v>
      </c>
      <c r="BJ632" s="83">
        <v>88215573072</v>
      </c>
      <c r="BK632" s="83">
        <v>87781841202</v>
      </c>
      <c r="BL632" s="83">
        <v>82211635626</v>
      </c>
      <c r="BM632" s="83">
        <v>85264674405</v>
      </c>
      <c r="BP632" s="18" t="s">
        <v>8169</v>
      </c>
      <c r="BQ632" s="37">
        <v>45149</v>
      </c>
      <c r="BR632" s="8">
        <f t="shared" si="2"/>
        <v>11</v>
      </c>
    </row>
    <row r="633" spans="1:70" ht="14.5">
      <c r="A633" s="4" t="str">
        <v>Reguler Periode ke-114 I.A.1</v>
      </c>
      <c r="B633" s="4" t="s">
        <v>8170</v>
      </c>
      <c r="C633" s="4" t="s">
        <v>165</v>
      </c>
      <c r="D633" s="4" t="s">
        <v>6411</v>
      </c>
      <c r="E633" s="4" t="s">
        <v>6412</v>
      </c>
      <c r="F633" s="4" t="s">
        <v>6412</v>
      </c>
      <c r="G633" s="81" t="s">
        <v>8171</v>
      </c>
      <c r="H633" s="81" t="s">
        <v>8172</v>
      </c>
      <c r="I633" s="81" t="s">
        <v>8173</v>
      </c>
      <c r="J633" s="81" t="s">
        <v>8174</v>
      </c>
      <c r="K633" s="81" t="s">
        <v>8175</v>
      </c>
      <c r="L633" s="81" t="s">
        <v>8176</v>
      </c>
      <c r="M633" s="81" t="s">
        <v>8177</v>
      </c>
      <c r="N633" s="81" t="s">
        <v>8178</v>
      </c>
      <c r="O633" s="81" t="s">
        <v>8179</v>
      </c>
      <c r="P633" s="81" t="s">
        <v>8180</v>
      </c>
      <c r="Q633" s="81" t="s">
        <v>8181</v>
      </c>
      <c r="S633" s="80">
        <v>2000012059</v>
      </c>
      <c r="T633" s="80">
        <v>2000016001</v>
      </c>
      <c r="U633" s="80">
        <v>2000016131</v>
      </c>
      <c r="V633" s="80">
        <v>2000025113</v>
      </c>
      <c r="W633" s="80">
        <v>2000026160</v>
      </c>
      <c r="X633" s="80">
        <v>2000028027</v>
      </c>
      <c r="Y633" s="80">
        <v>2000028035</v>
      </c>
      <c r="Z633" s="80">
        <v>2000028075</v>
      </c>
      <c r="AA633" s="80">
        <v>2000028142</v>
      </c>
      <c r="AB633" s="81">
        <v>2011008045</v>
      </c>
      <c r="AC633" s="81">
        <v>2011028078</v>
      </c>
      <c r="AE633" s="81" t="s">
        <v>885</v>
      </c>
      <c r="AF633" s="81" t="s">
        <v>531</v>
      </c>
      <c r="AG633" s="81" t="s">
        <v>531</v>
      </c>
      <c r="AH633" s="81" t="s">
        <v>1168</v>
      </c>
      <c r="AI633" s="81" t="s">
        <v>570</v>
      </c>
      <c r="AJ633" s="81" t="s">
        <v>678</v>
      </c>
      <c r="AK633" s="81" t="s">
        <v>678</v>
      </c>
      <c r="AL633" s="81" t="s">
        <v>678</v>
      </c>
      <c r="AM633" s="81" t="s">
        <v>678</v>
      </c>
      <c r="AN633" s="81" t="s">
        <v>1111</v>
      </c>
      <c r="AO633" s="81" t="s">
        <v>678</v>
      </c>
      <c r="AP633" s="7"/>
      <c r="AQ633" s="82" t="s">
        <v>186</v>
      </c>
      <c r="AR633" s="82" t="s">
        <v>187</v>
      </c>
      <c r="AS633" s="82" t="s">
        <v>186</v>
      </c>
      <c r="AT633" s="82" t="s">
        <v>186</v>
      </c>
      <c r="AU633" s="82" t="s">
        <v>187</v>
      </c>
      <c r="AV633" s="82" t="s">
        <v>186</v>
      </c>
      <c r="AW633" s="82" t="s">
        <v>187</v>
      </c>
      <c r="AX633" s="82" t="s">
        <v>186</v>
      </c>
      <c r="AY633" s="82" t="s">
        <v>186</v>
      </c>
      <c r="AZ633" s="82" t="s">
        <v>186</v>
      </c>
      <c r="BA633" s="82" t="s">
        <v>186</v>
      </c>
      <c r="BC633" s="83">
        <v>82340157795</v>
      </c>
      <c r="BD633" s="83">
        <v>81220134103</v>
      </c>
      <c r="BE633" s="83">
        <v>82132320019</v>
      </c>
      <c r="BF633" s="83">
        <v>85853825971</v>
      </c>
      <c r="BG633" s="83">
        <v>85291823727</v>
      </c>
      <c r="BH633" s="83">
        <v>82242895061</v>
      </c>
      <c r="BI633" s="83">
        <v>81225439620</v>
      </c>
      <c r="BJ633" s="83">
        <v>82299951462</v>
      </c>
      <c r="BK633" s="83">
        <v>81211644754</v>
      </c>
      <c r="BL633" s="83">
        <v>82166727039</v>
      </c>
      <c r="BM633" s="83">
        <v>85755165361</v>
      </c>
      <c r="BP633" s="18" t="s">
        <v>8182</v>
      </c>
      <c r="BQ633" s="37">
        <v>45243</v>
      </c>
      <c r="BR633" s="8">
        <f t="shared" si="2"/>
        <v>11</v>
      </c>
    </row>
    <row r="634" spans="1:70" ht="14.5">
      <c r="A634" s="4" t="str">
        <v>Reguler Periode ke-115 I.A.1</v>
      </c>
      <c r="B634" s="4" t="s">
        <v>8183</v>
      </c>
      <c r="C634" s="4" t="s">
        <v>165</v>
      </c>
      <c r="D634" s="4" t="s">
        <v>8184</v>
      </c>
      <c r="E634" s="4" t="s">
        <v>8185</v>
      </c>
      <c r="F634" s="4" t="s">
        <v>8186</v>
      </c>
      <c r="G634" s="82" t="s">
        <v>8187</v>
      </c>
      <c r="H634" s="82" t="s">
        <v>8188</v>
      </c>
      <c r="I634" s="82" t="s">
        <v>8189</v>
      </c>
      <c r="J634" s="82" t="s">
        <v>8190</v>
      </c>
      <c r="K634" s="82" t="s">
        <v>8191</v>
      </c>
      <c r="L634" s="82" t="s">
        <v>8192</v>
      </c>
      <c r="M634" s="82" t="s">
        <v>8193</v>
      </c>
      <c r="S634" s="84">
        <v>1700030202</v>
      </c>
      <c r="T634" s="84">
        <v>1800028100</v>
      </c>
      <c r="U634" s="84">
        <v>1900025023</v>
      </c>
      <c r="V634" s="84">
        <v>2000010115</v>
      </c>
      <c r="W634" s="84">
        <v>2000013116</v>
      </c>
      <c r="X634" s="84">
        <v>2000019169</v>
      </c>
      <c r="Y634" s="84">
        <v>2000028063</v>
      </c>
      <c r="Z634" s="8"/>
      <c r="AA634" s="8"/>
      <c r="AE634" s="79" t="s">
        <v>184</v>
      </c>
      <c r="AF634" s="79" t="s">
        <v>678</v>
      </c>
      <c r="AG634" s="79" t="s">
        <v>1168</v>
      </c>
      <c r="AH634" s="79" t="s">
        <v>532</v>
      </c>
      <c r="AI634" s="79" t="s">
        <v>677</v>
      </c>
      <c r="AJ634" s="79" t="s">
        <v>705</v>
      </c>
      <c r="AK634" s="79" t="s">
        <v>678</v>
      </c>
      <c r="AQ634" s="79" t="s">
        <v>187</v>
      </c>
      <c r="AR634" s="79" t="s">
        <v>186</v>
      </c>
      <c r="AS634" s="79" t="s">
        <v>186</v>
      </c>
      <c r="AT634" s="79" t="s">
        <v>186</v>
      </c>
      <c r="AU634" s="79" t="s">
        <v>186</v>
      </c>
      <c r="AV634" s="79" t="s">
        <v>186</v>
      </c>
      <c r="AW634" s="79" t="s">
        <v>187</v>
      </c>
      <c r="AX634" s="85"/>
      <c r="AY634" s="85"/>
      <c r="AZ634" s="85"/>
      <c r="BA634" s="85"/>
      <c r="BC634" s="86">
        <v>85924955464</v>
      </c>
      <c r="BD634" s="86">
        <v>81211995899</v>
      </c>
      <c r="BE634" s="86">
        <v>81328745619</v>
      </c>
      <c r="BF634" s="86">
        <v>81372853711</v>
      </c>
      <c r="BG634" s="86">
        <v>87808431305</v>
      </c>
      <c r="BH634" s="86">
        <v>82170677674</v>
      </c>
      <c r="BI634" s="86">
        <v>81223214603</v>
      </c>
      <c r="BJ634" s="87"/>
      <c r="BK634" s="87"/>
      <c r="BL634" s="87"/>
      <c r="BM634" s="87"/>
      <c r="BP634" s="18" t="s">
        <v>8194</v>
      </c>
      <c r="BR634" s="8">
        <f t="shared" si="2"/>
        <v>7</v>
      </c>
    </row>
    <row r="635" spans="1:70" ht="14">
      <c r="A635" s="4" t="str">
        <v>Reguler Periode ke-116 I.A.1</v>
      </c>
      <c r="B635" s="4" t="s">
        <v>8195</v>
      </c>
      <c r="C635" s="4" t="s">
        <v>165</v>
      </c>
      <c r="D635" s="4" t="s">
        <v>8196</v>
      </c>
      <c r="E635" s="4" t="s">
        <v>8197</v>
      </c>
      <c r="F635" s="4" t="s">
        <v>8198</v>
      </c>
      <c r="G635" s="52" t="s">
        <v>8199</v>
      </c>
      <c r="H635" s="52" t="s">
        <v>8200</v>
      </c>
      <c r="I635" s="52" t="s">
        <v>8201</v>
      </c>
      <c r="J635" s="52" t="s">
        <v>8202</v>
      </c>
      <c r="K635" s="52" t="s">
        <v>8203</v>
      </c>
      <c r="L635" s="52" t="s">
        <v>8204</v>
      </c>
      <c r="M635" s="52" t="s">
        <v>8205</v>
      </c>
      <c r="N635" s="52" t="s">
        <v>8206</v>
      </c>
      <c r="O635" s="52" t="s">
        <v>8207</v>
      </c>
      <c r="S635" s="33">
        <v>1900004078</v>
      </c>
      <c r="T635" s="33">
        <v>2000011374</v>
      </c>
      <c r="U635" s="33">
        <v>2000012005</v>
      </c>
      <c r="V635" s="33">
        <v>2000015011</v>
      </c>
      <c r="W635" s="33">
        <v>2000018303</v>
      </c>
      <c r="X635" s="33">
        <v>2000018341</v>
      </c>
      <c r="Y635" s="33">
        <v>2000027005</v>
      </c>
      <c r="Z635" s="33">
        <v>2000028036</v>
      </c>
      <c r="AA635" s="33">
        <v>2000032152</v>
      </c>
      <c r="AE635" s="76" t="s">
        <v>201</v>
      </c>
      <c r="AF635" s="76" t="s">
        <v>182</v>
      </c>
      <c r="AG635" s="76" t="s">
        <v>885</v>
      </c>
      <c r="AH635" s="76" t="s">
        <v>937</v>
      </c>
      <c r="AI635" s="76" t="s">
        <v>179</v>
      </c>
      <c r="AJ635" s="76" t="s">
        <v>179</v>
      </c>
      <c r="AK635" s="76" t="s">
        <v>1763</v>
      </c>
      <c r="AL635" s="76" t="s">
        <v>678</v>
      </c>
      <c r="AM635" s="76" t="s">
        <v>732</v>
      </c>
      <c r="AQ635" s="76" t="s">
        <v>187</v>
      </c>
      <c r="AR635" s="76" t="s">
        <v>186</v>
      </c>
      <c r="AS635" s="76" t="s">
        <v>186</v>
      </c>
      <c r="AT635" s="76" t="s">
        <v>186</v>
      </c>
      <c r="AU635" s="76" t="s">
        <v>186</v>
      </c>
      <c r="AV635" s="76" t="s">
        <v>187</v>
      </c>
      <c r="AW635" s="76" t="s">
        <v>186</v>
      </c>
      <c r="AX635" s="76" t="s">
        <v>187</v>
      </c>
      <c r="AY635" s="76" t="s">
        <v>186</v>
      </c>
      <c r="AZ635" s="85"/>
      <c r="BA635" s="85"/>
      <c r="BC635" s="77">
        <v>85239562172</v>
      </c>
      <c r="BD635" s="77">
        <v>85838407324</v>
      </c>
      <c r="BE635" s="77">
        <v>81311919402</v>
      </c>
      <c r="BF635" s="77">
        <v>85146338040</v>
      </c>
      <c r="BG635" s="77">
        <v>81218664823</v>
      </c>
      <c r="BH635" s="77">
        <v>85337254128</v>
      </c>
      <c r="BI635" s="77">
        <v>82134400414</v>
      </c>
      <c r="BJ635" s="77" t="s">
        <v>8208</v>
      </c>
      <c r="BK635" s="77">
        <v>85520709524</v>
      </c>
      <c r="BL635" s="87"/>
      <c r="BM635" s="87"/>
      <c r="BP635" s="18" t="s">
        <v>8209</v>
      </c>
      <c r="BQ635" s="37">
        <v>45146</v>
      </c>
      <c r="BR635" s="8">
        <f t="shared" si="2"/>
        <v>9</v>
      </c>
    </row>
    <row r="636" spans="1:70" ht="14">
      <c r="A636" s="4" t="str">
        <v>Reguler Periode ke-116 I.A.2</v>
      </c>
      <c r="B636" s="4" t="s">
        <v>8195</v>
      </c>
      <c r="C636" s="4" t="s">
        <v>216</v>
      </c>
      <c r="D636" s="4" t="s">
        <v>8196</v>
      </c>
      <c r="E636" s="4" t="s">
        <v>8210</v>
      </c>
      <c r="F636" s="4" t="s">
        <v>8198</v>
      </c>
      <c r="G636" s="52" t="s">
        <v>8211</v>
      </c>
      <c r="H636" s="52" t="s">
        <v>8212</v>
      </c>
      <c r="I636" s="52" t="s">
        <v>8213</v>
      </c>
      <c r="J636" s="52" t="s">
        <v>8214</v>
      </c>
      <c r="K636" s="52" t="s">
        <v>8215</v>
      </c>
      <c r="L636" s="52" t="s">
        <v>8216</v>
      </c>
      <c r="M636" s="52" t="s">
        <v>8217</v>
      </c>
      <c r="N636" s="52" t="s">
        <v>8218</v>
      </c>
      <c r="O636" s="52" t="s">
        <v>8219</v>
      </c>
      <c r="S636" s="33">
        <v>1900020107</v>
      </c>
      <c r="T636" s="33">
        <v>2000010096</v>
      </c>
      <c r="U636" s="33">
        <v>2000011396</v>
      </c>
      <c r="V636" s="33">
        <v>2000012053</v>
      </c>
      <c r="W636" s="33">
        <v>2000015031</v>
      </c>
      <c r="X636" s="33">
        <v>2000023131</v>
      </c>
      <c r="Y636" s="33">
        <v>2000027041</v>
      </c>
      <c r="Z636" s="33">
        <v>2000030156</v>
      </c>
      <c r="AA636" s="33">
        <v>2000032088</v>
      </c>
      <c r="AE636" s="52" t="s">
        <v>351</v>
      </c>
      <c r="AF636" s="52" t="s">
        <v>532</v>
      </c>
      <c r="AG636" s="52" t="s">
        <v>182</v>
      </c>
      <c r="AH636" s="52" t="s">
        <v>885</v>
      </c>
      <c r="AI636" s="52" t="s">
        <v>937</v>
      </c>
      <c r="AJ636" s="52" t="s">
        <v>899</v>
      </c>
      <c r="AK636" s="52" t="s">
        <v>1763</v>
      </c>
      <c r="AL636" s="52" t="s">
        <v>184</v>
      </c>
      <c r="AM636" s="52" t="s">
        <v>732</v>
      </c>
      <c r="AQ636" s="76" t="s">
        <v>187</v>
      </c>
      <c r="AR636" s="76" t="s">
        <v>187</v>
      </c>
      <c r="AS636" s="76" t="s">
        <v>186</v>
      </c>
      <c r="AT636" s="76" t="s">
        <v>186</v>
      </c>
      <c r="AU636" s="76" t="s">
        <v>186</v>
      </c>
      <c r="AV636" s="76" t="s">
        <v>186</v>
      </c>
      <c r="AW636" s="76" t="s">
        <v>186</v>
      </c>
      <c r="AX636" s="76" t="s">
        <v>187</v>
      </c>
      <c r="AY636" s="76" t="s">
        <v>186</v>
      </c>
      <c r="AZ636" s="85"/>
      <c r="BA636" s="85"/>
      <c r="BC636" s="77">
        <v>85591948874</v>
      </c>
      <c r="BD636" s="77">
        <v>82327974994</v>
      </c>
      <c r="BE636" s="77">
        <v>85877576862</v>
      </c>
      <c r="BF636" s="77">
        <v>81377637560</v>
      </c>
      <c r="BG636" s="77">
        <v>85882076815</v>
      </c>
      <c r="BH636" s="77">
        <v>85788899626</v>
      </c>
      <c r="BI636" s="77">
        <v>82115310129</v>
      </c>
      <c r="BJ636" s="77">
        <v>81229009961</v>
      </c>
      <c r="BK636" s="77">
        <v>895397626488</v>
      </c>
      <c r="BL636" s="87"/>
      <c r="BM636" s="87"/>
      <c r="BP636" s="18" t="s">
        <v>8220</v>
      </c>
      <c r="BQ636" s="37">
        <v>45146</v>
      </c>
      <c r="BR636" s="8">
        <f t="shared" si="2"/>
        <v>9</v>
      </c>
    </row>
    <row r="637" spans="1:70" ht="14">
      <c r="A637" s="4" t="str">
        <v>Reguler Periode ke-116 I.A.3</v>
      </c>
      <c r="B637" s="4" t="s">
        <v>8195</v>
      </c>
      <c r="C637" s="4" t="s">
        <v>238</v>
      </c>
      <c r="D637" s="4" t="s">
        <v>8196</v>
      </c>
      <c r="E637" s="4" t="s">
        <v>8221</v>
      </c>
      <c r="F637" s="4" t="s">
        <v>8198</v>
      </c>
      <c r="G637" s="52" t="s">
        <v>8222</v>
      </c>
      <c r="H637" s="52" t="s">
        <v>8223</v>
      </c>
      <c r="I637" s="52" t="s">
        <v>8224</v>
      </c>
      <c r="J637" s="52" t="s">
        <v>8225</v>
      </c>
      <c r="K637" s="52" t="s">
        <v>8226</v>
      </c>
      <c r="L637" s="52" t="s">
        <v>8227</v>
      </c>
      <c r="M637" s="52" t="s">
        <v>8228</v>
      </c>
      <c r="N637" s="52" t="s">
        <v>8229</v>
      </c>
      <c r="O637" s="52" t="s">
        <v>8230</v>
      </c>
      <c r="S637" s="33">
        <v>1800031014</v>
      </c>
      <c r="T637" s="33">
        <v>1900022009</v>
      </c>
      <c r="U637" s="33">
        <v>2000011021</v>
      </c>
      <c r="V637" s="33">
        <v>2000012157</v>
      </c>
      <c r="W637" s="33">
        <v>2000023132</v>
      </c>
      <c r="X637" s="33">
        <v>2000032079</v>
      </c>
      <c r="Y637" s="33">
        <v>2000032151</v>
      </c>
      <c r="Z637" s="33">
        <v>2015011442</v>
      </c>
      <c r="AA637" s="33">
        <v>2015015025</v>
      </c>
      <c r="AE637" s="52" t="s">
        <v>185</v>
      </c>
      <c r="AF637" s="52" t="s">
        <v>872</v>
      </c>
      <c r="AG637" s="52" t="s">
        <v>182</v>
      </c>
      <c r="AH637" s="52" t="s">
        <v>885</v>
      </c>
      <c r="AI637" s="52" t="s">
        <v>899</v>
      </c>
      <c r="AJ637" s="52" t="s">
        <v>732</v>
      </c>
      <c r="AK637" s="52" t="s">
        <v>732</v>
      </c>
      <c r="AL637" s="52" t="s">
        <v>182</v>
      </c>
      <c r="AM637" s="52" t="s">
        <v>937</v>
      </c>
      <c r="AQ637" s="76" t="s">
        <v>187</v>
      </c>
      <c r="AR637" s="76" t="s">
        <v>187</v>
      </c>
      <c r="AS637" s="76" t="s">
        <v>187</v>
      </c>
      <c r="AT637" s="76" t="s">
        <v>186</v>
      </c>
      <c r="AU637" s="76" t="s">
        <v>186</v>
      </c>
      <c r="AV637" s="76" t="s">
        <v>186</v>
      </c>
      <c r="AW637" s="76" t="s">
        <v>186</v>
      </c>
      <c r="AX637" s="76" t="s">
        <v>186</v>
      </c>
      <c r="AY637" s="76" t="s">
        <v>186</v>
      </c>
      <c r="AZ637" s="85"/>
      <c r="BA637" s="85"/>
      <c r="BC637" s="77">
        <v>81284211142</v>
      </c>
      <c r="BD637" s="77">
        <v>895329297754</v>
      </c>
      <c r="BE637" s="77">
        <v>81804637974</v>
      </c>
      <c r="BF637" s="77">
        <v>81339879684</v>
      </c>
      <c r="BG637" s="77">
        <v>81226125398</v>
      </c>
      <c r="BH637" s="77" t="s">
        <v>8231</v>
      </c>
      <c r="BI637" s="77">
        <v>85725406143</v>
      </c>
      <c r="BJ637" s="77">
        <v>85643836883</v>
      </c>
      <c r="BK637" s="77">
        <v>8985607640</v>
      </c>
      <c r="BL637" s="87"/>
      <c r="BM637" s="87"/>
      <c r="BP637" s="18" t="s">
        <v>8232</v>
      </c>
      <c r="BQ637" s="37">
        <v>45146</v>
      </c>
      <c r="BR637" s="8">
        <f t="shared" si="2"/>
        <v>9</v>
      </c>
    </row>
    <row r="638" spans="1:70" ht="14">
      <c r="A638" s="4" t="str">
        <v>Reguler Periode ke-116 I.B.1</v>
      </c>
      <c r="B638" s="4" t="s">
        <v>8195</v>
      </c>
      <c r="C638" s="4" t="s">
        <v>260</v>
      </c>
      <c r="D638" s="4" t="s">
        <v>8233</v>
      </c>
      <c r="E638" s="4" t="s">
        <v>8234</v>
      </c>
      <c r="F638" s="4" t="s">
        <v>8198</v>
      </c>
      <c r="G638" s="52" t="s">
        <v>8235</v>
      </c>
      <c r="H638" s="52" t="s">
        <v>8236</v>
      </c>
      <c r="I638" s="52" t="s">
        <v>8237</v>
      </c>
      <c r="J638" s="52" t="s">
        <v>8238</v>
      </c>
      <c r="K638" s="52" t="s">
        <v>8239</v>
      </c>
      <c r="L638" s="52" t="s">
        <v>8240</v>
      </c>
      <c r="M638" s="52" t="s">
        <v>8241</v>
      </c>
      <c r="N638" s="52" t="s">
        <v>8242</v>
      </c>
      <c r="O638" s="52" t="s">
        <v>8243</v>
      </c>
      <c r="S638" s="33">
        <v>1900022023</v>
      </c>
      <c r="T638" s="33">
        <v>2000011059</v>
      </c>
      <c r="U638" s="33">
        <v>2000011424</v>
      </c>
      <c r="V638" s="33">
        <v>2000012015</v>
      </c>
      <c r="W638" s="33">
        <v>2000017068</v>
      </c>
      <c r="X638" s="33">
        <v>2000023218</v>
      </c>
      <c r="Y638" s="33">
        <v>2000032002</v>
      </c>
      <c r="Z638" s="33">
        <v>2000032031</v>
      </c>
      <c r="AA638" s="33">
        <v>2000032055</v>
      </c>
      <c r="AE638" s="52" t="s">
        <v>872</v>
      </c>
      <c r="AF638" s="52" t="s">
        <v>182</v>
      </c>
      <c r="AG638" s="52" t="s">
        <v>182</v>
      </c>
      <c r="AH638" s="52" t="s">
        <v>885</v>
      </c>
      <c r="AI638" s="52" t="s">
        <v>183</v>
      </c>
      <c r="AJ638" s="52" t="s">
        <v>899</v>
      </c>
      <c r="AK638" s="52" t="s">
        <v>732</v>
      </c>
      <c r="AL638" s="52" t="s">
        <v>732</v>
      </c>
      <c r="AM638" s="52" t="s">
        <v>732</v>
      </c>
      <c r="AQ638" s="76" t="s">
        <v>187</v>
      </c>
      <c r="AR638" s="76" t="s">
        <v>187</v>
      </c>
      <c r="AS638" s="76" t="s">
        <v>186</v>
      </c>
      <c r="AT638" s="76" t="s">
        <v>186</v>
      </c>
      <c r="AU638" s="76" t="s">
        <v>186</v>
      </c>
      <c r="AV638" s="76" t="s">
        <v>186</v>
      </c>
      <c r="AW638" s="76" t="s">
        <v>187</v>
      </c>
      <c r="AX638" s="76" t="s">
        <v>186</v>
      </c>
      <c r="AY638" s="76" t="s">
        <v>186</v>
      </c>
      <c r="AZ638" s="85"/>
      <c r="BA638" s="85"/>
      <c r="BC638" s="77">
        <v>82123683785</v>
      </c>
      <c r="BD638" s="77">
        <v>85241560563</v>
      </c>
      <c r="BE638" s="77">
        <v>8553545985</v>
      </c>
      <c r="BF638" s="77">
        <v>85868614648</v>
      </c>
      <c r="BG638" s="77">
        <v>81283191635</v>
      </c>
      <c r="BH638" s="77">
        <v>81356296464</v>
      </c>
      <c r="BI638" s="77">
        <v>82133293808</v>
      </c>
      <c r="BJ638" s="77">
        <v>82113019197</v>
      </c>
      <c r="BK638" s="77">
        <v>89527132524</v>
      </c>
      <c r="BL638" s="87"/>
      <c r="BM638" s="87"/>
      <c r="BP638" s="18" t="s">
        <v>8244</v>
      </c>
      <c r="BQ638" s="37">
        <v>45146</v>
      </c>
      <c r="BR638" s="8">
        <f t="shared" si="2"/>
        <v>9</v>
      </c>
    </row>
    <row r="639" spans="1:70" ht="14">
      <c r="A639" s="4" t="str">
        <v>Reguler Periode ke-116 I.B.2</v>
      </c>
      <c r="B639" s="4" t="s">
        <v>8195</v>
      </c>
      <c r="C639" s="4" t="s">
        <v>280</v>
      </c>
      <c r="D639" s="4" t="s">
        <v>8233</v>
      </c>
      <c r="E639" s="4" t="s">
        <v>8245</v>
      </c>
      <c r="F639" s="4" t="s">
        <v>8198</v>
      </c>
      <c r="G639" s="52" t="s">
        <v>8246</v>
      </c>
      <c r="H639" s="52" t="s">
        <v>8247</v>
      </c>
      <c r="I639" s="52" t="s">
        <v>8248</v>
      </c>
      <c r="J639" s="52" t="s">
        <v>8249</v>
      </c>
      <c r="K639" s="52" t="s">
        <v>8250</v>
      </c>
      <c r="L639" s="52" t="s">
        <v>8251</v>
      </c>
      <c r="M639" s="52" t="s">
        <v>8252</v>
      </c>
      <c r="N639" s="52" t="s">
        <v>8253</v>
      </c>
      <c r="O639" s="52" t="s">
        <v>8254</v>
      </c>
      <c r="S639" s="33">
        <v>1800033082</v>
      </c>
      <c r="T639" s="33">
        <v>1900032218</v>
      </c>
      <c r="U639" s="33">
        <v>2000011012</v>
      </c>
      <c r="V639" s="33">
        <v>2000011334</v>
      </c>
      <c r="W639" s="33">
        <v>2000013288</v>
      </c>
      <c r="X639" s="33">
        <v>2000017001</v>
      </c>
      <c r="Y639" s="33">
        <v>2000023228</v>
      </c>
      <c r="Z639" s="33">
        <v>2000024160</v>
      </c>
      <c r="AA639" s="33">
        <v>2000032014</v>
      </c>
      <c r="AE639" s="52" t="s">
        <v>1112</v>
      </c>
      <c r="AF639" s="52" t="s">
        <v>732</v>
      </c>
      <c r="AG639" s="52" t="s">
        <v>182</v>
      </c>
      <c r="AH639" s="52" t="s">
        <v>182</v>
      </c>
      <c r="AI639" s="52" t="s">
        <v>677</v>
      </c>
      <c r="AJ639" s="52" t="s">
        <v>183</v>
      </c>
      <c r="AK639" s="52" t="s">
        <v>899</v>
      </c>
      <c r="AL639" s="52" t="s">
        <v>924</v>
      </c>
      <c r="AM639" s="52" t="s">
        <v>732</v>
      </c>
      <c r="AQ639" s="76" t="s">
        <v>187</v>
      </c>
      <c r="AR639" s="76" t="s">
        <v>186</v>
      </c>
      <c r="AS639" s="76" t="s">
        <v>187</v>
      </c>
      <c r="AT639" s="76" t="s">
        <v>186</v>
      </c>
      <c r="AU639" s="76" t="s">
        <v>186</v>
      </c>
      <c r="AV639" s="76" t="s">
        <v>186</v>
      </c>
      <c r="AW639" s="76" t="s">
        <v>186</v>
      </c>
      <c r="AX639" s="76" t="s">
        <v>187</v>
      </c>
      <c r="AY639" s="76" t="s">
        <v>186</v>
      </c>
      <c r="AZ639" s="85"/>
      <c r="BA639" s="85"/>
      <c r="BC639" s="77">
        <v>85601892081</v>
      </c>
      <c r="BD639" s="77">
        <v>83141464631</v>
      </c>
      <c r="BE639" s="77">
        <v>82116578075</v>
      </c>
      <c r="BF639" s="77">
        <v>82113160970</v>
      </c>
      <c r="BG639" s="77">
        <v>82311064920</v>
      </c>
      <c r="BH639" s="77">
        <v>85726922067</v>
      </c>
      <c r="BI639" s="77">
        <v>8883920128</v>
      </c>
      <c r="BJ639" s="77">
        <v>87831113922</v>
      </c>
      <c r="BK639" s="77">
        <v>82183121780</v>
      </c>
      <c r="BL639" s="87"/>
      <c r="BM639" s="87"/>
      <c r="BP639" s="18" t="s">
        <v>8255</v>
      </c>
      <c r="BQ639" s="37">
        <v>45146</v>
      </c>
      <c r="BR639" s="8">
        <f t="shared" si="2"/>
        <v>9</v>
      </c>
    </row>
    <row r="640" spans="1:70" ht="14">
      <c r="A640" s="4" t="str">
        <v>Reguler Periode ke-116 I.B.3</v>
      </c>
      <c r="B640" s="4" t="s">
        <v>8195</v>
      </c>
      <c r="C640" s="4" t="s">
        <v>299</v>
      </c>
      <c r="D640" s="4" t="s">
        <v>8233</v>
      </c>
      <c r="E640" s="4" t="s">
        <v>8256</v>
      </c>
      <c r="F640" s="4" t="s">
        <v>8198</v>
      </c>
      <c r="G640" s="52" t="s">
        <v>8257</v>
      </c>
      <c r="H640" s="52" t="s">
        <v>8258</v>
      </c>
      <c r="I640" s="52" t="s">
        <v>8259</v>
      </c>
      <c r="J640" s="52" t="s">
        <v>8260</v>
      </c>
      <c r="K640" s="52" t="s">
        <v>8261</v>
      </c>
      <c r="L640" s="52" t="s">
        <v>8262</v>
      </c>
      <c r="M640" s="52" t="s">
        <v>8263</v>
      </c>
      <c r="N640" s="52" t="s">
        <v>8264</v>
      </c>
      <c r="O640" s="52" t="s">
        <v>8265</v>
      </c>
      <c r="P640" s="7"/>
      <c r="S640" s="33">
        <v>2000011394</v>
      </c>
      <c r="T640" s="33">
        <v>2000012029</v>
      </c>
      <c r="U640" s="33">
        <v>2000013318</v>
      </c>
      <c r="V640" s="33">
        <v>2000017050</v>
      </c>
      <c r="W640" s="33">
        <v>2000023130</v>
      </c>
      <c r="X640" s="33">
        <v>2000024355</v>
      </c>
      <c r="Y640" s="33">
        <v>2000032018</v>
      </c>
      <c r="Z640" s="33">
        <v>2000032103</v>
      </c>
      <c r="AA640" s="33">
        <v>2000033006</v>
      </c>
      <c r="AE640" s="52" t="s">
        <v>182</v>
      </c>
      <c r="AF640" s="52" t="s">
        <v>885</v>
      </c>
      <c r="AG640" s="52" t="s">
        <v>677</v>
      </c>
      <c r="AH640" s="52" t="s">
        <v>183</v>
      </c>
      <c r="AI640" s="52" t="s">
        <v>899</v>
      </c>
      <c r="AJ640" s="52" t="s">
        <v>924</v>
      </c>
      <c r="AK640" s="52" t="s">
        <v>732</v>
      </c>
      <c r="AL640" s="52" t="s">
        <v>732</v>
      </c>
      <c r="AM640" s="52" t="s">
        <v>1112</v>
      </c>
      <c r="AQ640" s="76" t="s">
        <v>186</v>
      </c>
      <c r="AR640" s="76" t="s">
        <v>187</v>
      </c>
      <c r="AS640" s="76" t="s">
        <v>186</v>
      </c>
      <c r="AT640" s="76" t="s">
        <v>186</v>
      </c>
      <c r="AU640" s="76" t="s">
        <v>186</v>
      </c>
      <c r="AV640" s="76" t="s">
        <v>187</v>
      </c>
      <c r="AW640" s="76" t="s">
        <v>186</v>
      </c>
      <c r="AX640" s="76" t="s">
        <v>186</v>
      </c>
      <c r="AY640" s="76" t="s">
        <v>187</v>
      </c>
      <c r="AZ640" s="85"/>
      <c r="BA640" s="85"/>
      <c r="BC640" s="77">
        <v>8976276091</v>
      </c>
      <c r="BD640" s="77">
        <v>82292592986</v>
      </c>
      <c r="BE640" s="77">
        <v>82137105804</v>
      </c>
      <c r="BF640" s="77">
        <v>83151820149</v>
      </c>
      <c r="BG640" s="77">
        <v>81908813980</v>
      </c>
      <c r="BH640" s="77">
        <v>85875288628</v>
      </c>
      <c r="BI640" s="77">
        <v>83168039527</v>
      </c>
      <c r="BJ640" s="77">
        <v>87840058681</v>
      </c>
      <c r="BK640" s="77">
        <v>85855298135</v>
      </c>
      <c r="BL640" s="87"/>
      <c r="BM640" s="87"/>
      <c r="BP640" s="18" t="s">
        <v>8266</v>
      </c>
      <c r="BQ640" s="37">
        <v>45146</v>
      </c>
      <c r="BR640" s="8">
        <f t="shared" si="2"/>
        <v>9</v>
      </c>
    </row>
    <row r="641" spans="1:70" ht="14">
      <c r="A641" s="4" t="str">
        <v>Reguler Periode ke-116 I.C.1</v>
      </c>
      <c r="B641" s="4" t="s">
        <v>8195</v>
      </c>
      <c r="C641" s="4" t="s">
        <v>320</v>
      </c>
      <c r="D641" s="4" t="s">
        <v>8267</v>
      </c>
      <c r="E641" s="4" t="s">
        <v>8268</v>
      </c>
      <c r="F641" s="4" t="s">
        <v>8198</v>
      </c>
      <c r="G641" s="52" t="s">
        <v>8269</v>
      </c>
      <c r="H641" s="52" t="s">
        <v>8270</v>
      </c>
      <c r="I641" s="52" t="s">
        <v>8271</v>
      </c>
      <c r="J641" s="52" t="s">
        <v>8272</v>
      </c>
      <c r="K641" s="52" t="s">
        <v>8273</v>
      </c>
      <c r="L641" s="52" t="s">
        <v>8274</v>
      </c>
      <c r="M641" s="52" t="s">
        <v>8275</v>
      </c>
      <c r="N641" s="52" t="s">
        <v>8276</v>
      </c>
      <c r="O641" s="52" t="s">
        <v>8277</v>
      </c>
      <c r="S641" s="33">
        <v>1900027025</v>
      </c>
      <c r="T641" s="33">
        <v>2000010039</v>
      </c>
      <c r="U641" s="33">
        <v>2000012044</v>
      </c>
      <c r="V641" s="33">
        <v>2000012175</v>
      </c>
      <c r="W641" s="33">
        <v>2000013295</v>
      </c>
      <c r="X641" s="33">
        <v>2000017061</v>
      </c>
      <c r="Y641" s="33">
        <v>2000024349</v>
      </c>
      <c r="Z641" s="33">
        <v>2000032128</v>
      </c>
      <c r="AA641" s="33">
        <v>2000032154</v>
      </c>
      <c r="AE641" s="52" t="s">
        <v>1763</v>
      </c>
      <c r="AF641" s="52" t="s">
        <v>532</v>
      </c>
      <c r="AG641" s="52" t="s">
        <v>885</v>
      </c>
      <c r="AH641" s="52" t="s">
        <v>885</v>
      </c>
      <c r="AI641" s="52" t="s">
        <v>677</v>
      </c>
      <c r="AJ641" s="52" t="s">
        <v>183</v>
      </c>
      <c r="AK641" s="52" t="s">
        <v>924</v>
      </c>
      <c r="AL641" s="52" t="s">
        <v>732</v>
      </c>
      <c r="AM641" s="52" t="s">
        <v>732</v>
      </c>
      <c r="AQ641" s="76" t="s">
        <v>187</v>
      </c>
      <c r="AR641" s="76" t="s">
        <v>186</v>
      </c>
      <c r="AS641" s="76" t="s">
        <v>187</v>
      </c>
      <c r="AT641" s="76" t="s">
        <v>186</v>
      </c>
      <c r="AU641" s="76" t="s">
        <v>186</v>
      </c>
      <c r="AV641" s="76" t="s">
        <v>186</v>
      </c>
      <c r="AW641" s="76" t="s">
        <v>186</v>
      </c>
      <c r="AX641" s="76" t="s">
        <v>186</v>
      </c>
      <c r="AY641" s="76" t="s">
        <v>186</v>
      </c>
      <c r="AZ641" s="85"/>
      <c r="BA641" s="85"/>
      <c r="BC641" s="77">
        <v>82349616345</v>
      </c>
      <c r="BD641" s="77">
        <v>85322598974</v>
      </c>
      <c r="BE641" s="77">
        <v>81241424446</v>
      </c>
      <c r="BF641" s="77">
        <f>6283890140554</f>
        <v>6283890140554</v>
      </c>
      <c r="BG641" s="77">
        <v>82124886209</v>
      </c>
      <c r="BH641" s="77">
        <v>8995673592</v>
      </c>
      <c r="BI641" s="77">
        <v>85781212286</v>
      </c>
      <c r="BJ641" s="77">
        <v>85879820827</v>
      </c>
      <c r="BK641" s="77">
        <v>81326497636</v>
      </c>
      <c r="BL641" s="87"/>
      <c r="BM641" s="87"/>
      <c r="BP641" s="18" t="s">
        <v>8278</v>
      </c>
      <c r="BQ641" s="37">
        <v>45146</v>
      </c>
      <c r="BR641" s="8">
        <f t="shared" si="2"/>
        <v>9</v>
      </c>
    </row>
    <row r="642" spans="1:70" ht="14">
      <c r="A642" s="4" t="str">
        <v>Reguler Periode ke-116 I.C.2</v>
      </c>
      <c r="B642" s="4" t="s">
        <v>8195</v>
      </c>
      <c r="C642" s="4" t="s">
        <v>340</v>
      </c>
      <c r="D642" s="4" t="s">
        <v>8267</v>
      </c>
      <c r="E642" s="4" t="s">
        <v>8279</v>
      </c>
      <c r="F642" s="4" t="s">
        <v>8198</v>
      </c>
      <c r="G642" s="52" t="s">
        <v>8280</v>
      </c>
      <c r="H642" s="52" t="s">
        <v>8281</v>
      </c>
      <c r="I642" s="52" t="s">
        <v>8282</v>
      </c>
      <c r="J642" s="52" t="s">
        <v>8283</v>
      </c>
      <c r="K642" s="52" t="s">
        <v>8284</v>
      </c>
      <c r="L642" s="52" t="s">
        <v>8285</v>
      </c>
      <c r="M642" s="52" t="s">
        <v>8286</v>
      </c>
      <c r="N642" s="52" t="s">
        <v>8287</v>
      </c>
      <c r="O642" s="52" t="s">
        <v>8288</v>
      </c>
      <c r="P642" s="7"/>
      <c r="S642" s="33">
        <v>2000010029</v>
      </c>
      <c r="T642" s="33">
        <v>2000012043</v>
      </c>
      <c r="U642" s="33">
        <v>2000013023</v>
      </c>
      <c r="V642" s="33">
        <v>2000013026</v>
      </c>
      <c r="W642" s="33">
        <v>2000017059</v>
      </c>
      <c r="X642" s="33">
        <v>2000024299</v>
      </c>
      <c r="Y642" s="33">
        <v>2000027011</v>
      </c>
      <c r="Z642" s="33">
        <v>2000032013</v>
      </c>
      <c r="AA642" s="33">
        <v>2000033054</v>
      </c>
      <c r="AE642" s="52" t="s">
        <v>532</v>
      </c>
      <c r="AF642" s="52" t="s">
        <v>885</v>
      </c>
      <c r="AG642" s="52" t="s">
        <v>677</v>
      </c>
      <c r="AH642" s="52" t="s">
        <v>677</v>
      </c>
      <c r="AI642" s="52" t="s">
        <v>183</v>
      </c>
      <c r="AJ642" s="52" t="s">
        <v>924</v>
      </c>
      <c r="AK642" s="52" t="s">
        <v>1763</v>
      </c>
      <c r="AL642" s="52" t="s">
        <v>732</v>
      </c>
      <c r="AM642" s="52" t="s">
        <v>1112</v>
      </c>
      <c r="AQ642" s="76" t="s">
        <v>186</v>
      </c>
      <c r="AR642" s="76" t="s">
        <v>186</v>
      </c>
      <c r="AS642" s="76" t="s">
        <v>186</v>
      </c>
      <c r="AT642" s="76" t="s">
        <v>187</v>
      </c>
      <c r="AU642" s="76" t="s">
        <v>186</v>
      </c>
      <c r="AV642" s="76" t="s">
        <v>186</v>
      </c>
      <c r="AW642" s="76" t="s">
        <v>187</v>
      </c>
      <c r="AX642" s="76" t="s">
        <v>186</v>
      </c>
      <c r="AY642" s="76" t="s">
        <v>186</v>
      </c>
      <c r="AZ642" s="85"/>
      <c r="BA642" s="85"/>
      <c r="BC642" s="77">
        <v>82233031441</v>
      </c>
      <c r="BD642" s="77">
        <v>87702828578</v>
      </c>
      <c r="BE642" s="77">
        <v>88228795250</v>
      </c>
      <c r="BF642" s="77">
        <v>82138563363</v>
      </c>
      <c r="BG642" s="77">
        <v>88213309101</v>
      </c>
      <c r="BH642" s="77">
        <v>8157071533</v>
      </c>
      <c r="BI642" s="77">
        <v>82233203430</v>
      </c>
      <c r="BJ642" s="77">
        <v>8978511994</v>
      </c>
      <c r="BK642" s="77">
        <v>83174433988</v>
      </c>
      <c r="BL642" s="87"/>
      <c r="BM642" s="87"/>
      <c r="BP642" s="18" t="s">
        <v>8289</v>
      </c>
      <c r="BQ642" s="37">
        <v>45146</v>
      </c>
      <c r="BR642" s="8">
        <f t="shared" si="2"/>
        <v>9</v>
      </c>
    </row>
    <row r="643" spans="1:70" ht="14">
      <c r="A643" s="4" t="str">
        <v>Reguler Periode ke-116 I.C.3</v>
      </c>
      <c r="B643" s="4" t="s">
        <v>8195</v>
      </c>
      <c r="C643" s="4" t="s">
        <v>360</v>
      </c>
      <c r="D643" s="4" t="s">
        <v>8267</v>
      </c>
      <c r="E643" s="4" t="s">
        <v>8290</v>
      </c>
      <c r="F643" s="4" t="s">
        <v>8198</v>
      </c>
      <c r="G643" s="52" t="s">
        <v>8291</v>
      </c>
      <c r="H643" s="52" t="s">
        <v>8292</v>
      </c>
      <c r="I643" s="52" t="s">
        <v>8293</v>
      </c>
      <c r="J643" s="52" t="s">
        <v>8294</v>
      </c>
      <c r="K643" s="52" t="s">
        <v>8295</v>
      </c>
      <c r="L643" s="52" t="s">
        <v>8296</v>
      </c>
      <c r="M643" s="52" t="s">
        <v>8297</v>
      </c>
      <c r="N643" s="52" t="s">
        <v>8298</v>
      </c>
      <c r="O643" s="52" t="s">
        <v>8299</v>
      </c>
      <c r="S643" s="33">
        <v>1800018165</v>
      </c>
      <c r="T643" s="33">
        <v>2000010091</v>
      </c>
      <c r="U643" s="33">
        <v>2000012006</v>
      </c>
      <c r="V643" s="33">
        <v>2000013031</v>
      </c>
      <c r="W643" s="33">
        <v>2000026141</v>
      </c>
      <c r="X643" s="33">
        <v>2000028046</v>
      </c>
      <c r="Y643" s="33">
        <v>2000032032</v>
      </c>
      <c r="Z643" s="33">
        <v>2000033087</v>
      </c>
      <c r="AA643" s="33">
        <v>2015017037</v>
      </c>
      <c r="AE643" s="52" t="s">
        <v>179</v>
      </c>
      <c r="AF643" s="52" t="s">
        <v>532</v>
      </c>
      <c r="AG643" s="52" t="s">
        <v>885</v>
      </c>
      <c r="AH643" s="52" t="s">
        <v>677</v>
      </c>
      <c r="AI643" s="52" t="s">
        <v>570</v>
      </c>
      <c r="AJ643" s="52" t="s">
        <v>678</v>
      </c>
      <c r="AK643" s="52" t="s">
        <v>732</v>
      </c>
      <c r="AL643" s="52" t="s">
        <v>1112</v>
      </c>
      <c r="AM643" s="52" t="s">
        <v>183</v>
      </c>
      <c r="AQ643" s="76" t="s">
        <v>187</v>
      </c>
      <c r="AR643" s="76" t="s">
        <v>186</v>
      </c>
      <c r="AS643" s="76" t="s">
        <v>186</v>
      </c>
      <c r="AT643" s="76" t="s">
        <v>186</v>
      </c>
      <c r="AU643" s="76" t="s">
        <v>186</v>
      </c>
      <c r="AV643" s="76" t="s">
        <v>187</v>
      </c>
      <c r="AW643" s="76" t="s">
        <v>186</v>
      </c>
      <c r="AX643" s="76" t="s">
        <v>186</v>
      </c>
      <c r="AY643" s="76" t="s">
        <v>186</v>
      </c>
      <c r="AZ643" s="85"/>
      <c r="BA643" s="85"/>
      <c r="BC643" s="77">
        <v>82241566730</v>
      </c>
      <c r="BD643" s="77">
        <v>81328699267</v>
      </c>
      <c r="BE643" s="77">
        <v>83195533895</v>
      </c>
      <c r="BF643" s="77">
        <v>8818764413</v>
      </c>
      <c r="BG643" s="77">
        <v>89664217102</v>
      </c>
      <c r="BH643" s="77">
        <v>88290449799</v>
      </c>
      <c r="BI643" s="77">
        <v>81227872370</v>
      </c>
      <c r="BJ643" s="77">
        <v>82225385392</v>
      </c>
      <c r="BK643" s="77">
        <v>85936504534</v>
      </c>
      <c r="BL643" s="87"/>
      <c r="BM643" s="87"/>
      <c r="BP643" s="18" t="s">
        <v>8300</v>
      </c>
      <c r="BQ643" s="37">
        <v>45146</v>
      </c>
      <c r="BR643" s="8">
        <f t="shared" si="2"/>
        <v>9</v>
      </c>
    </row>
    <row r="644" spans="1:70" ht="14">
      <c r="A644" s="4" t="str">
        <v>ToT DPL KKN PERIODE KE-2023 I.A.1</v>
      </c>
      <c r="B644" s="4" t="s">
        <v>8301</v>
      </c>
      <c r="C644" s="4" t="s">
        <v>165</v>
      </c>
      <c r="D644" s="4" t="s">
        <v>1393</v>
      </c>
      <c r="E644" s="4" t="s">
        <v>8302</v>
      </c>
      <c r="G644" s="27" t="s">
        <v>8303</v>
      </c>
      <c r="H644" s="27" t="s">
        <v>8304</v>
      </c>
      <c r="I644" s="27" t="s">
        <v>8305</v>
      </c>
      <c r="J644" s="27"/>
      <c r="K644" s="27"/>
      <c r="L644" s="27"/>
      <c r="M644" s="27"/>
      <c r="N644" s="27"/>
      <c r="O644" s="27"/>
      <c r="S644" s="28"/>
      <c r="T644" s="28"/>
      <c r="U644" s="28"/>
      <c r="V644" s="28"/>
      <c r="W644" s="28"/>
      <c r="X644" s="28"/>
      <c r="Y644" s="28"/>
      <c r="Z644" s="28"/>
      <c r="AA644" s="28"/>
      <c r="AE644" s="27"/>
      <c r="AF644" s="27"/>
      <c r="AG644" s="27"/>
      <c r="AH644" s="27"/>
      <c r="AI644" s="27"/>
      <c r="AJ644" s="27"/>
      <c r="AK644" s="27"/>
      <c r="AL644" s="27"/>
      <c r="AM644" s="27"/>
      <c r="BC644" s="28"/>
      <c r="BD644" s="28"/>
      <c r="BE644" s="28"/>
      <c r="BF644" s="28"/>
      <c r="BG644" s="28"/>
      <c r="BH644" s="28"/>
      <c r="BI644" s="28"/>
      <c r="BJ644" s="28"/>
      <c r="BK644" s="28"/>
      <c r="BO644" s="71">
        <v>60181159</v>
      </c>
      <c r="BP644" s="18" t="s">
        <v>8306</v>
      </c>
      <c r="BQ644" s="37">
        <v>45140</v>
      </c>
      <c r="BR644" s="8">
        <f t="shared" si="2"/>
        <v>3</v>
      </c>
    </row>
    <row r="645" spans="1:70" ht="12.5">
      <c r="A645" s="4" t="str">
        <v>ToT DPL KKN PERIODE KE-2023 I.A.2</v>
      </c>
      <c r="B645" s="4" t="s">
        <v>8301</v>
      </c>
      <c r="C645" s="4" t="s">
        <v>216</v>
      </c>
      <c r="D645" s="4" t="s">
        <v>1393</v>
      </c>
      <c r="E645" s="4" t="s">
        <v>8302</v>
      </c>
      <c r="G645" s="4" t="s">
        <v>8307</v>
      </c>
      <c r="H645" s="4" t="s">
        <v>8308</v>
      </c>
      <c r="BO645" s="71">
        <v>60181159</v>
      </c>
      <c r="BP645" s="18" t="s">
        <v>8309</v>
      </c>
      <c r="BQ645" s="37">
        <v>45140</v>
      </c>
      <c r="BR645" s="8">
        <f t="shared" si="2"/>
        <v>2</v>
      </c>
    </row>
    <row r="646" spans="1:70" ht="12.5">
      <c r="A646" s="4" t="str">
        <v>ToT DPL KKN PERIODE KE-2023 I.A.3</v>
      </c>
      <c r="B646" s="4" t="s">
        <v>8301</v>
      </c>
      <c r="C646" s="4" t="s">
        <v>238</v>
      </c>
      <c r="D646" s="4" t="s">
        <v>1393</v>
      </c>
      <c r="E646" s="4" t="s">
        <v>8302</v>
      </c>
      <c r="G646" s="4" t="s">
        <v>4443</v>
      </c>
      <c r="H646" s="4" t="s">
        <v>8310</v>
      </c>
      <c r="BO646" s="71">
        <v>60181159</v>
      </c>
      <c r="BP646" s="18" t="s">
        <v>8311</v>
      </c>
      <c r="BQ646" s="37">
        <v>45140</v>
      </c>
      <c r="BR646" s="8">
        <f t="shared" si="2"/>
        <v>2</v>
      </c>
    </row>
    <row r="647" spans="1:70" ht="14.5">
      <c r="A647" s="4" t="str">
        <v>ToT DPL KKN PERIODE KE-2023 I.B.1</v>
      </c>
      <c r="B647" s="4" t="s">
        <v>8301</v>
      </c>
      <c r="C647" s="4" t="s">
        <v>260</v>
      </c>
      <c r="D647" s="4" t="s">
        <v>1393</v>
      </c>
      <c r="E647" s="4" t="s">
        <v>8302</v>
      </c>
      <c r="F647" s="79"/>
      <c r="G647" s="79" t="s">
        <v>8312</v>
      </c>
      <c r="H647" s="79" t="s">
        <v>8313</v>
      </c>
      <c r="I647" s="79"/>
      <c r="J647" s="79"/>
      <c r="K647" s="79"/>
      <c r="L647" s="79"/>
      <c r="M647" s="79"/>
      <c r="N647" s="79"/>
      <c r="O647" s="79"/>
      <c r="P647" s="79"/>
      <c r="AR647" s="84"/>
      <c r="AS647" s="84"/>
      <c r="AT647" s="84"/>
      <c r="AU647" s="84"/>
      <c r="AV647" s="84"/>
      <c r="AW647" s="84"/>
      <c r="AX647" s="84"/>
      <c r="AY647" s="84"/>
      <c r="AZ647" s="84"/>
      <c r="BA647" s="84"/>
      <c r="BO647" s="71">
        <v>60181159</v>
      </c>
      <c r="BP647" s="18" t="s">
        <v>8314</v>
      </c>
      <c r="BQ647" s="37">
        <v>45140</v>
      </c>
      <c r="BR647" s="8">
        <f t="shared" si="2"/>
        <v>2</v>
      </c>
    </row>
    <row r="648" spans="1:70" ht="14.5">
      <c r="A648" s="4" t="str">
        <v>ToT DPL KKN PERIODE KE-2023 I.B.2</v>
      </c>
      <c r="B648" s="4" t="s">
        <v>8301</v>
      </c>
      <c r="C648" s="4" t="s">
        <v>280</v>
      </c>
      <c r="D648" s="4" t="s">
        <v>1393</v>
      </c>
      <c r="E648" s="4" t="s">
        <v>8302</v>
      </c>
      <c r="G648" s="4" t="s">
        <v>8315</v>
      </c>
      <c r="H648" s="4" t="s">
        <v>8316</v>
      </c>
      <c r="S648" s="79"/>
      <c r="T648" s="79"/>
      <c r="U648" s="79"/>
      <c r="V648" s="79"/>
      <c r="W648" s="79"/>
      <c r="X648" s="79"/>
      <c r="Y648" s="79"/>
      <c r="Z648" s="79"/>
      <c r="AA648" s="79"/>
      <c r="AB648" s="79"/>
      <c r="AC648" s="79"/>
      <c r="AE648" s="79"/>
      <c r="AF648" s="79"/>
      <c r="AG648" s="79"/>
      <c r="AH648" s="79"/>
      <c r="AI648" s="79"/>
      <c r="AJ648" s="79"/>
      <c r="AK648" s="79"/>
      <c r="AL648" s="79"/>
      <c r="AM648" s="79"/>
      <c r="AN648" s="79"/>
      <c r="AO648" s="79"/>
      <c r="AQ648" s="79"/>
      <c r="AR648" s="79"/>
      <c r="AS648" s="79"/>
      <c r="AT648" s="79"/>
      <c r="AU648" s="79"/>
      <c r="AV648" s="79"/>
      <c r="AW648" s="79"/>
      <c r="AX648" s="79"/>
      <c r="AY648" s="79"/>
      <c r="AZ648" s="79"/>
      <c r="BA648" s="79"/>
      <c r="BO648" s="71">
        <v>60181159</v>
      </c>
      <c r="BP648" s="18" t="s">
        <v>8317</v>
      </c>
      <c r="BQ648" s="37">
        <v>45140</v>
      </c>
      <c r="BR648" s="8">
        <f t="shared" si="2"/>
        <v>2</v>
      </c>
    </row>
    <row r="649" spans="1:70" ht="14.5">
      <c r="A649" s="4" t="str">
        <v>ToT DPL KKN PERIODE KE-2023 I.B.3</v>
      </c>
      <c r="B649" s="4" t="s">
        <v>8301</v>
      </c>
      <c r="C649" s="4" t="s">
        <v>299</v>
      </c>
      <c r="D649" s="4" t="s">
        <v>1393</v>
      </c>
      <c r="E649" s="4" t="s">
        <v>8302</v>
      </c>
      <c r="G649" s="79" t="s">
        <v>8318</v>
      </c>
      <c r="H649" s="79" t="s">
        <v>8319</v>
      </c>
      <c r="I649" s="79"/>
      <c r="J649" s="79"/>
      <c r="K649" s="79"/>
      <c r="L649" s="79"/>
      <c r="M649" s="79"/>
      <c r="N649" s="79"/>
      <c r="O649" s="79"/>
      <c r="P649" s="79"/>
      <c r="Q649" s="79"/>
      <c r="BC649" s="79"/>
      <c r="BD649" s="79"/>
      <c r="BE649" s="79"/>
      <c r="BF649" s="79"/>
      <c r="BG649" s="79"/>
      <c r="BH649" s="79"/>
      <c r="BI649" s="79"/>
      <c r="BJ649" s="79"/>
      <c r="BK649" s="79"/>
      <c r="BL649" s="79"/>
      <c r="BM649" s="79"/>
      <c r="BO649" s="71">
        <v>60181159</v>
      </c>
      <c r="BP649" s="18" t="s">
        <v>8320</v>
      </c>
      <c r="BQ649" s="37">
        <v>45140</v>
      </c>
      <c r="BR649" s="8">
        <f t="shared" si="2"/>
        <v>2</v>
      </c>
    </row>
    <row r="650" spans="1:70" ht="14.5">
      <c r="A650" s="4" t="str">
        <v>ToT DPL KKN PERIODE KE-2023 I.C.1</v>
      </c>
      <c r="B650" s="4" t="s">
        <v>8301</v>
      </c>
      <c r="C650" s="4" t="s">
        <v>320</v>
      </c>
      <c r="D650" s="4" t="s">
        <v>1393</v>
      </c>
      <c r="E650" s="4" t="s">
        <v>8302</v>
      </c>
      <c r="G650" s="4" t="s">
        <v>8321</v>
      </c>
      <c r="H650" s="4" t="s">
        <v>8322</v>
      </c>
      <c r="AE650" s="79"/>
      <c r="AF650" s="79"/>
      <c r="AG650" s="79"/>
      <c r="AH650" s="79"/>
      <c r="AI650" s="79"/>
      <c r="AJ650" s="79"/>
      <c r="AK650" s="79"/>
      <c r="AL650" s="79"/>
      <c r="AM650" s="79"/>
      <c r="AN650" s="79"/>
      <c r="AO650" s="79"/>
      <c r="BO650" s="71">
        <v>60181159</v>
      </c>
      <c r="BP650" s="18" t="s">
        <v>8323</v>
      </c>
      <c r="BQ650" s="37">
        <v>45140</v>
      </c>
      <c r="BR650" s="8">
        <f t="shared" si="2"/>
        <v>2</v>
      </c>
    </row>
    <row r="651" spans="1:70" ht="12.5">
      <c r="A651" s="4" t="str">
        <v>ToT DPL KKN PERIODE KE-2023 I.C.2</v>
      </c>
      <c r="B651" s="4" t="s">
        <v>8301</v>
      </c>
      <c r="C651" s="4" t="s">
        <v>340</v>
      </c>
      <c r="D651" s="4" t="s">
        <v>1393</v>
      </c>
      <c r="E651" s="4" t="s">
        <v>8302</v>
      </c>
      <c r="G651" s="4" t="s">
        <v>8324</v>
      </c>
      <c r="H651" s="4" t="s">
        <v>8325</v>
      </c>
      <c r="BO651" s="71">
        <v>60181159</v>
      </c>
      <c r="BP651" s="18" t="s">
        <v>8326</v>
      </c>
      <c r="BQ651" s="37">
        <v>45140</v>
      </c>
      <c r="BR651" s="8">
        <f t="shared" si="2"/>
        <v>2</v>
      </c>
    </row>
    <row r="652" spans="1:70" ht="12.5">
      <c r="A652" s="4" t="str">
        <v>ToT DPL KKN PERIODE KE-2023 I.C.3</v>
      </c>
      <c r="B652" s="4" t="s">
        <v>8301</v>
      </c>
      <c r="C652" s="4" t="s">
        <v>360</v>
      </c>
      <c r="D652" s="4" t="s">
        <v>1393</v>
      </c>
      <c r="E652" s="4" t="s">
        <v>8302</v>
      </c>
      <c r="G652" s="4" t="s">
        <v>8327</v>
      </c>
      <c r="H652" s="4" t="s">
        <v>8328</v>
      </c>
      <c r="BO652" s="71">
        <v>60181159</v>
      </c>
      <c r="BP652" s="18" t="s">
        <v>8329</v>
      </c>
      <c r="BQ652" s="37">
        <v>45140</v>
      </c>
      <c r="BR652" s="8">
        <f t="shared" si="2"/>
        <v>2</v>
      </c>
    </row>
    <row r="653" spans="1:70" ht="12.5">
      <c r="A653" s="4" t="str">
        <v>ToT DPL KKN PERIODE KE-2023 I.D.1</v>
      </c>
      <c r="B653" s="4" t="s">
        <v>8301</v>
      </c>
      <c r="C653" s="4" t="s">
        <v>379</v>
      </c>
      <c r="D653" s="4" t="s">
        <v>1393</v>
      </c>
      <c r="E653" s="4" t="s">
        <v>8302</v>
      </c>
      <c r="G653" s="4" t="s">
        <v>8330</v>
      </c>
      <c r="H653" s="4" t="s">
        <v>8331</v>
      </c>
      <c r="BO653" s="71">
        <v>60181159</v>
      </c>
      <c r="BP653" s="18" t="s">
        <v>8332</v>
      </c>
      <c r="BQ653" s="37">
        <v>45140</v>
      </c>
      <c r="BR653" s="8">
        <f t="shared" si="2"/>
        <v>2</v>
      </c>
    </row>
    <row r="654" spans="1:70" ht="12.5">
      <c r="A654" s="4" t="str">
        <v>ToT DPL KKN PERIODE KE-2023 I.D.2</v>
      </c>
      <c r="B654" s="4" t="s">
        <v>8301</v>
      </c>
      <c r="C654" s="4" t="s">
        <v>642</v>
      </c>
      <c r="D654" s="4" t="s">
        <v>1393</v>
      </c>
      <c r="E654" s="4" t="s">
        <v>8302</v>
      </c>
      <c r="G654" s="4" t="s">
        <v>8333</v>
      </c>
      <c r="H654" s="4" t="s">
        <v>8334</v>
      </c>
      <c r="BO654" s="71">
        <v>60181159</v>
      </c>
      <c r="BP654" s="18" t="s">
        <v>8335</v>
      </c>
      <c r="BQ654" s="37">
        <v>45140</v>
      </c>
      <c r="BR654" s="8">
        <f t="shared" si="2"/>
        <v>2</v>
      </c>
    </row>
    <row r="655" spans="1:70" ht="12.5">
      <c r="A655" s="4" t="str">
        <v>ToT DPL KKN PERIODE KE-2023 I.D.3</v>
      </c>
      <c r="B655" s="4" t="s">
        <v>8301</v>
      </c>
      <c r="C655" s="4" t="s">
        <v>654</v>
      </c>
      <c r="D655" s="4" t="s">
        <v>1393</v>
      </c>
      <c r="E655" s="4" t="s">
        <v>8302</v>
      </c>
      <c r="G655" s="4" t="s">
        <v>8336</v>
      </c>
      <c r="H655" s="4" t="s">
        <v>8337</v>
      </c>
      <c r="BO655" s="71">
        <v>60181159</v>
      </c>
      <c r="BP655" s="18" t="s">
        <v>8338</v>
      </c>
      <c r="BQ655" s="37">
        <v>45140</v>
      </c>
      <c r="BR655" s="8">
        <f t="shared" si="2"/>
        <v>2</v>
      </c>
    </row>
    <row r="656" spans="1:70" ht="12.5">
      <c r="A656" s="4" t="str">
        <v>ToT DPL KKN PERIODE KE-2023 II.A.1</v>
      </c>
      <c r="B656" s="4" t="s">
        <v>8301</v>
      </c>
      <c r="C656" s="4" t="s">
        <v>680</v>
      </c>
      <c r="D656" s="4" t="s">
        <v>1393</v>
      </c>
      <c r="E656" s="4" t="s">
        <v>8302</v>
      </c>
      <c r="G656" s="4" t="s">
        <v>8339</v>
      </c>
      <c r="H656" s="4" t="s">
        <v>8340</v>
      </c>
      <c r="BO656" s="71">
        <v>60181159</v>
      </c>
      <c r="BP656" s="18" t="s">
        <v>8341</v>
      </c>
      <c r="BQ656" s="37">
        <v>45140</v>
      </c>
      <c r="BR656" s="8">
        <f t="shared" si="2"/>
        <v>2</v>
      </c>
    </row>
    <row r="657" spans="1:70" ht="12.5">
      <c r="A657" s="4" t="str">
        <v>ToT DPL KKN PERIODE KE-2023 II.A.2</v>
      </c>
      <c r="B657" s="4" t="s">
        <v>8301</v>
      </c>
      <c r="C657" s="4" t="s">
        <v>694</v>
      </c>
      <c r="D657" s="4" t="s">
        <v>1393</v>
      </c>
      <c r="E657" s="4" t="s">
        <v>8302</v>
      </c>
      <c r="G657" s="4" t="s">
        <v>8342</v>
      </c>
      <c r="H657" s="4" t="s">
        <v>8343</v>
      </c>
      <c r="BO657" s="71">
        <v>60181159</v>
      </c>
      <c r="BP657" s="18" t="s">
        <v>8344</v>
      </c>
      <c r="BQ657" s="37">
        <v>45140</v>
      </c>
      <c r="BR657" s="8">
        <f t="shared" si="2"/>
        <v>2</v>
      </c>
    </row>
    <row r="658" spans="1:70" ht="12.5">
      <c r="A658" s="4" t="str">
        <v>ToT DPL KKN PERIODE KE-2023 II.A.3</v>
      </c>
      <c r="B658" s="4" t="s">
        <v>8301</v>
      </c>
      <c r="C658" s="4" t="s">
        <v>707</v>
      </c>
      <c r="D658" s="4" t="s">
        <v>1393</v>
      </c>
      <c r="E658" s="4" t="s">
        <v>8302</v>
      </c>
      <c r="G658" s="4" t="s">
        <v>8345</v>
      </c>
      <c r="H658" s="4" t="s">
        <v>8346</v>
      </c>
      <c r="I658" s="4" t="s">
        <v>8347</v>
      </c>
      <c r="BO658" s="71">
        <v>60181159</v>
      </c>
      <c r="BP658" s="18" t="s">
        <v>8348</v>
      </c>
      <c r="BQ658" s="37">
        <v>45140</v>
      </c>
      <c r="BR658" s="8">
        <f t="shared" si="2"/>
        <v>3</v>
      </c>
    </row>
    <row r="659" spans="1:70" ht="12.5">
      <c r="A659" s="4" t="str">
        <v>ToT DPL KKN PERIODE KE-2023 II.B.1</v>
      </c>
      <c r="B659" s="4" t="s">
        <v>8301</v>
      </c>
      <c r="C659" s="4" t="s">
        <v>719</v>
      </c>
      <c r="D659" s="4" t="s">
        <v>1393</v>
      </c>
      <c r="E659" s="4" t="s">
        <v>8302</v>
      </c>
      <c r="G659" s="4" t="s">
        <v>8349</v>
      </c>
      <c r="H659" s="4" t="s">
        <v>8350</v>
      </c>
      <c r="BO659" s="71">
        <v>60181159</v>
      </c>
      <c r="BP659" s="18" t="s">
        <v>8351</v>
      </c>
      <c r="BQ659" s="37">
        <v>45140</v>
      </c>
      <c r="BR659" s="8">
        <f t="shared" si="2"/>
        <v>2</v>
      </c>
    </row>
    <row r="660" spans="1:70" ht="12.5">
      <c r="A660" s="4" t="str">
        <v>ToT DPL KKN PERIODE KE-2023 II.B.2</v>
      </c>
      <c r="B660" s="4" t="s">
        <v>8301</v>
      </c>
      <c r="C660" s="4" t="s">
        <v>734</v>
      </c>
      <c r="D660" s="4" t="s">
        <v>1393</v>
      </c>
      <c r="E660" s="4" t="s">
        <v>8302</v>
      </c>
      <c r="G660" s="4" t="s">
        <v>8352</v>
      </c>
      <c r="H660" s="4" t="s">
        <v>8353</v>
      </c>
      <c r="BO660" s="71">
        <v>60181159</v>
      </c>
      <c r="BP660" s="18" t="s">
        <v>8354</v>
      </c>
      <c r="BQ660" s="37">
        <v>45140</v>
      </c>
      <c r="BR660" s="8">
        <f t="shared" si="2"/>
        <v>2</v>
      </c>
    </row>
    <row r="661" spans="1:70" ht="12.5">
      <c r="A661" s="4" t="str">
        <v>ToT DPL KKN PERIODE KE-2023 II.B.3</v>
      </c>
      <c r="B661" s="4" t="s">
        <v>8301</v>
      </c>
      <c r="C661" s="4" t="s">
        <v>747</v>
      </c>
      <c r="D661" s="4" t="s">
        <v>1393</v>
      </c>
      <c r="E661" s="4" t="s">
        <v>8302</v>
      </c>
      <c r="BO661" s="71">
        <v>60181159</v>
      </c>
      <c r="BP661" s="18" t="s">
        <v>8355</v>
      </c>
      <c r="BQ661" s="37">
        <v>45140</v>
      </c>
      <c r="BR661" s="8">
        <f t="shared" si="2"/>
        <v>0</v>
      </c>
    </row>
    <row r="662" spans="1:70" ht="12.5">
      <c r="A662" s="4" t="str">
        <v>ToT DPL KKN PERIODE KE-2023 II.C.1</v>
      </c>
      <c r="B662" s="4" t="s">
        <v>8301</v>
      </c>
      <c r="C662" s="4" t="s">
        <v>772</v>
      </c>
      <c r="D662" s="4" t="s">
        <v>1393</v>
      </c>
      <c r="E662" s="4" t="s">
        <v>8302</v>
      </c>
      <c r="G662" s="4" t="s">
        <v>8356</v>
      </c>
      <c r="H662" s="4" t="s">
        <v>8357</v>
      </c>
      <c r="I662" s="4" t="s">
        <v>8358</v>
      </c>
      <c r="BO662" s="71">
        <v>60181159</v>
      </c>
      <c r="BP662" s="18" t="s">
        <v>8359</v>
      </c>
      <c r="BQ662" s="37">
        <v>45140</v>
      </c>
      <c r="BR662" s="8">
        <f t="shared" si="2"/>
        <v>3</v>
      </c>
    </row>
    <row r="663" spans="1:70" ht="12.5">
      <c r="A663" s="4" t="str">
        <v>ToT DPL KKN PERIODE KE-2023 II.C.2</v>
      </c>
      <c r="B663" s="4" t="s">
        <v>8301</v>
      </c>
      <c r="C663" s="4" t="s">
        <v>785</v>
      </c>
      <c r="D663" s="4" t="s">
        <v>1393</v>
      </c>
      <c r="E663" s="4" t="s">
        <v>8302</v>
      </c>
      <c r="G663" s="4" t="s">
        <v>8360</v>
      </c>
      <c r="H663" s="4" t="s">
        <v>8361</v>
      </c>
      <c r="I663" s="4" t="s">
        <v>8362</v>
      </c>
      <c r="BO663" s="71">
        <v>60181159</v>
      </c>
      <c r="BP663" s="18" t="s">
        <v>8363</v>
      </c>
      <c r="BQ663" s="37">
        <v>45140</v>
      </c>
      <c r="BR663" s="8">
        <f t="shared" si="2"/>
        <v>3</v>
      </c>
    </row>
    <row r="664" spans="1:70" ht="12.5">
      <c r="A664" s="4" t="str">
        <v>ToT DPL KKN PERIODE KE-2023 II.C.3</v>
      </c>
      <c r="B664" s="4" t="s">
        <v>8301</v>
      </c>
      <c r="C664" s="4" t="s">
        <v>797</v>
      </c>
      <c r="D664" s="4" t="s">
        <v>1393</v>
      </c>
      <c r="E664" s="4" t="s">
        <v>8302</v>
      </c>
      <c r="G664" s="4" t="s">
        <v>3793</v>
      </c>
      <c r="H664" s="4" t="s">
        <v>8364</v>
      </c>
      <c r="I664" s="4" t="s">
        <v>8365</v>
      </c>
      <c r="BO664" s="71">
        <v>60181159</v>
      </c>
      <c r="BP664" s="18" t="s">
        <v>8366</v>
      </c>
      <c r="BQ664" s="37">
        <v>45140</v>
      </c>
      <c r="BR664" s="8">
        <f t="shared" si="2"/>
        <v>3</v>
      </c>
    </row>
    <row r="665" spans="1:70" ht="12.5">
      <c r="A665" s="4" t="str">
        <v>ToT DPL KKN PERIODE KE-2023 II.D.1</v>
      </c>
      <c r="B665" s="4" t="s">
        <v>8301</v>
      </c>
      <c r="C665" s="4" t="s">
        <v>809</v>
      </c>
      <c r="D665" s="4" t="s">
        <v>1393</v>
      </c>
      <c r="E665" s="4" t="s">
        <v>8302</v>
      </c>
      <c r="G665" s="4" t="s">
        <v>8367</v>
      </c>
      <c r="H665" s="4" t="s">
        <v>8368</v>
      </c>
      <c r="BO665" s="71">
        <v>60181159</v>
      </c>
      <c r="BP665" s="18" t="s">
        <v>8369</v>
      </c>
      <c r="BQ665" s="37">
        <v>45140</v>
      </c>
      <c r="BR665" s="8">
        <f t="shared" si="2"/>
        <v>2</v>
      </c>
    </row>
    <row r="666" spans="1:70" ht="12.5">
      <c r="A666" s="4" t="str">
        <v>ToT DPL KKN PERIODE KE-2023 II.D.2</v>
      </c>
      <c r="B666" s="4" t="s">
        <v>8301</v>
      </c>
      <c r="C666" s="4" t="s">
        <v>824</v>
      </c>
      <c r="D666" s="4" t="s">
        <v>1393</v>
      </c>
      <c r="E666" s="4" t="s">
        <v>8302</v>
      </c>
      <c r="G666" s="4" t="s">
        <v>8370</v>
      </c>
      <c r="H666" s="4" t="s">
        <v>8371</v>
      </c>
      <c r="BO666" s="71">
        <v>60181159</v>
      </c>
      <c r="BP666" s="18" t="s">
        <v>8372</v>
      </c>
      <c r="BQ666" s="37">
        <v>45140</v>
      </c>
      <c r="BR666" s="8">
        <f t="shared" si="2"/>
        <v>2</v>
      </c>
    </row>
    <row r="667" spans="1:70" ht="12.5">
      <c r="A667" s="4" t="str">
        <v>ToT DPL KKN PERIODE KE-2023 II.D.3</v>
      </c>
      <c r="B667" s="4" t="s">
        <v>8301</v>
      </c>
      <c r="C667" s="4" t="s">
        <v>836</v>
      </c>
      <c r="D667" s="4" t="s">
        <v>1393</v>
      </c>
      <c r="E667" s="4" t="s">
        <v>8302</v>
      </c>
      <c r="G667" s="4" t="s">
        <v>8373</v>
      </c>
      <c r="H667" s="4" t="s">
        <v>8374</v>
      </c>
      <c r="BO667" s="71">
        <v>60181159</v>
      </c>
      <c r="BP667" s="18" t="s">
        <v>8375</v>
      </c>
      <c r="BQ667" s="37">
        <v>45140</v>
      </c>
      <c r="BR667" s="8">
        <f t="shared" si="2"/>
        <v>2</v>
      </c>
    </row>
    <row r="668" spans="1:70" ht="12.5">
      <c r="A668" s="4" t="str">
        <v>ToT DPL KKN PERIODE KE-2023 III.A.1</v>
      </c>
      <c r="B668" s="4" t="s">
        <v>8301</v>
      </c>
      <c r="C668" s="4" t="s">
        <v>848</v>
      </c>
      <c r="D668" s="4" t="s">
        <v>1393</v>
      </c>
      <c r="E668" s="4" t="s">
        <v>8302</v>
      </c>
      <c r="F668" s="4" t="s">
        <v>193</v>
      </c>
      <c r="G668" s="4" t="s">
        <v>2502</v>
      </c>
      <c r="H668" s="4" t="s">
        <v>8376</v>
      </c>
      <c r="BO668" s="71">
        <v>60181159</v>
      </c>
      <c r="BP668" s="18" t="s">
        <v>8377</v>
      </c>
      <c r="BQ668" s="37">
        <v>45140</v>
      </c>
      <c r="BR668" s="8">
        <f t="shared" si="2"/>
        <v>2</v>
      </c>
    </row>
    <row r="669" spans="1:70" ht="12.5">
      <c r="A669" s="4" t="str">
        <v>ToT DPL KKN PERIODE KE-2023 III.A.2</v>
      </c>
      <c r="B669" s="4" t="s">
        <v>8301</v>
      </c>
      <c r="C669" s="4" t="s">
        <v>861</v>
      </c>
      <c r="D669" s="4" t="s">
        <v>1393</v>
      </c>
      <c r="E669" s="4" t="s">
        <v>8302</v>
      </c>
      <c r="G669" s="4" t="s">
        <v>8378</v>
      </c>
      <c r="H669" s="4" t="s">
        <v>8379</v>
      </c>
      <c r="I669" s="4" t="s">
        <v>8380</v>
      </c>
      <c r="BO669" s="71">
        <v>60181160</v>
      </c>
      <c r="BP669" s="18" t="s">
        <v>8381</v>
      </c>
      <c r="BQ669" s="37">
        <v>45140</v>
      </c>
      <c r="BR669" s="8">
        <f t="shared" si="2"/>
        <v>3</v>
      </c>
    </row>
    <row r="670" spans="1:70" ht="12.5">
      <c r="A670" s="4" t="str">
        <v>ToT DPL KKN PERIODE KE-2023 III.A.3</v>
      </c>
      <c r="B670" s="4" t="s">
        <v>8301</v>
      </c>
      <c r="C670" s="4" t="s">
        <v>874</v>
      </c>
      <c r="D670" s="4" t="s">
        <v>1393</v>
      </c>
      <c r="E670" s="4" t="s">
        <v>8302</v>
      </c>
      <c r="G670" s="4" t="s">
        <v>8382</v>
      </c>
      <c r="H670" s="4" t="s">
        <v>8383</v>
      </c>
      <c r="BO670" s="71">
        <v>60181161</v>
      </c>
      <c r="BP670" s="18" t="s">
        <v>8384</v>
      </c>
      <c r="BQ670" s="37">
        <v>45140</v>
      </c>
      <c r="BR670" s="8">
        <f t="shared" si="2"/>
        <v>2</v>
      </c>
    </row>
    <row r="671" spans="1:70" ht="12.5">
      <c r="A671" s="4" t="str">
        <v>ToT DPL KKN PERIODE KE-2023 III.B.1</v>
      </c>
      <c r="B671" s="4" t="s">
        <v>8301</v>
      </c>
      <c r="C671" s="4" t="s">
        <v>887</v>
      </c>
      <c r="D671" s="4" t="s">
        <v>1393</v>
      </c>
      <c r="E671" s="4" t="s">
        <v>8302</v>
      </c>
      <c r="G671" s="4" t="s">
        <v>8385</v>
      </c>
      <c r="H671" s="4" t="s">
        <v>8386</v>
      </c>
      <c r="I671" s="4" t="s">
        <v>8387</v>
      </c>
      <c r="BO671" s="71">
        <v>60181162</v>
      </c>
      <c r="BP671" s="18" t="s">
        <v>8388</v>
      </c>
      <c r="BQ671" s="37">
        <v>45140</v>
      </c>
      <c r="BR671" s="8">
        <f t="shared" si="2"/>
        <v>3</v>
      </c>
    </row>
    <row r="672" spans="1:70" ht="12.5">
      <c r="A672" s="4" t="str">
        <v>ToT DPL KKN PERIODE KE-2023 III.B.2</v>
      </c>
      <c r="B672" s="4" t="s">
        <v>8301</v>
      </c>
      <c r="C672" s="4" t="s">
        <v>901</v>
      </c>
      <c r="D672" s="4" t="s">
        <v>1393</v>
      </c>
      <c r="E672" s="4" t="s">
        <v>8302</v>
      </c>
      <c r="G672" s="4" t="s">
        <v>8389</v>
      </c>
      <c r="H672" s="4" t="s">
        <v>8390</v>
      </c>
      <c r="BO672" s="71">
        <v>60181163</v>
      </c>
      <c r="BP672" s="18" t="s">
        <v>8391</v>
      </c>
      <c r="BQ672" s="37">
        <v>45140</v>
      </c>
      <c r="BR672" s="8">
        <f t="shared" si="2"/>
        <v>2</v>
      </c>
    </row>
    <row r="673" spans="1:70" ht="12.5">
      <c r="A673" s="4" t="str">
        <v>ToT DPL KKN PERIODE KE-2023 III.B.3</v>
      </c>
      <c r="B673" s="4" t="s">
        <v>8301</v>
      </c>
      <c r="C673" s="4" t="s">
        <v>913</v>
      </c>
      <c r="D673" s="4" t="s">
        <v>1393</v>
      </c>
      <c r="E673" s="4" t="s">
        <v>8302</v>
      </c>
      <c r="G673" s="4" t="s">
        <v>8392</v>
      </c>
      <c r="H673" s="4" t="s">
        <v>8393</v>
      </c>
      <c r="I673" s="4" t="s">
        <v>8394</v>
      </c>
      <c r="BO673" s="71">
        <v>60181164</v>
      </c>
      <c r="BP673" s="18" t="s">
        <v>8395</v>
      </c>
      <c r="BQ673" s="37">
        <v>45140</v>
      </c>
      <c r="BR673" s="8">
        <f t="shared" si="2"/>
        <v>3</v>
      </c>
    </row>
    <row r="674" spans="1:70" ht="12.5">
      <c r="A674" s="4" t="str">
        <v>ToT DPL KKN PERIODE KE-2023 III.C.1</v>
      </c>
      <c r="B674" s="4" t="s">
        <v>8301</v>
      </c>
      <c r="C674" s="4" t="s">
        <v>939</v>
      </c>
      <c r="D674" s="4" t="s">
        <v>1393</v>
      </c>
      <c r="E674" s="4" t="s">
        <v>8302</v>
      </c>
      <c r="G674" s="4" t="s">
        <v>8396</v>
      </c>
      <c r="H674" s="4" t="s">
        <v>8397</v>
      </c>
      <c r="I674" s="4" t="s">
        <v>8398</v>
      </c>
      <c r="BO674" s="71">
        <v>60181165</v>
      </c>
      <c r="BP674" s="18" t="s">
        <v>8399</v>
      </c>
      <c r="BQ674" s="37">
        <v>45140</v>
      </c>
      <c r="BR674" s="8">
        <f t="shared" si="2"/>
        <v>3</v>
      </c>
    </row>
    <row r="675" spans="1:70" ht="12.5">
      <c r="A675" s="4" t="str">
        <v>ToT DPL KKN PERIODE KE-2023 III.C.2</v>
      </c>
      <c r="B675" s="4" t="s">
        <v>8301</v>
      </c>
      <c r="C675" s="4" t="s">
        <v>955</v>
      </c>
      <c r="D675" s="4" t="s">
        <v>1393</v>
      </c>
      <c r="E675" s="4" t="s">
        <v>8302</v>
      </c>
      <c r="G675" s="4" t="s">
        <v>8400</v>
      </c>
      <c r="H675" s="4" t="s">
        <v>8401</v>
      </c>
      <c r="BO675" s="71">
        <v>60181166</v>
      </c>
      <c r="BP675" s="18" t="s">
        <v>8402</v>
      </c>
      <c r="BQ675" s="37">
        <v>45140</v>
      </c>
      <c r="BR675" s="8">
        <f t="shared" si="2"/>
        <v>2</v>
      </c>
    </row>
    <row r="676" spans="1:70" ht="12.5">
      <c r="A676" s="4" t="str">
        <v>ToT DPL KKN PERIODE KE-2023 III.C.3</v>
      </c>
      <c r="B676" s="4" t="s">
        <v>8301</v>
      </c>
      <c r="C676" s="4" t="s">
        <v>967</v>
      </c>
      <c r="D676" s="4" t="s">
        <v>1393</v>
      </c>
      <c r="E676" s="4" t="s">
        <v>8302</v>
      </c>
      <c r="G676" s="4" t="s">
        <v>8403</v>
      </c>
      <c r="H676" s="4" t="s">
        <v>8404</v>
      </c>
      <c r="BO676" s="71">
        <v>60181167</v>
      </c>
      <c r="BP676" s="18" t="s">
        <v>8405</v>
      </c>
      <c r="BQ676" s="37">
        <v>45140</v>
      </c>
      <c r="BR676" s="8">
        <f t="shared" si="2"/>
        <v>2</v>
      </c>
    </row>
    <row r="677" spans="1:70" ht="12.5">
      <c r="A677" s="4" t="str">
        <v>KKN ADI PERIODE KE-1 I.A.1</v>
      </c>
      <c r="B677" s="4" t="s">
        <v>8406</v>
      </c>
      <c r="C677" s="4" t="s">
        <v>165</v>
      </c>
      <c r="E677" s="4" t="s">
        <v>8407</v>
      </c>
      <c r="F677" s="4" t="s">
        <v>8408</v>
      </c>
      <c r="G677" s="4" t="s">
        <v>7511</v>
      </c>
      <c r="H677" s="4" t="s">
        <v>7591</v>
      </c>
      <c r="I677" s="4" t="s">
        <v>8164</v>
      </c>
      <c r="J677" s="4" t="s">
        <v>8166</v>
      </c>
      <c r="K677" s="4" t="s">
        <v>8409</v>
      </c>
      <c r="L677" s="4" t="s">
        <v>8410</v>
      </c>
      <c r="M677" s="4" t="s">
        <v>8411</v>
      </c>
      <c r="N677" s="4" t="s">
        <v>8412</v>
      </c>
      <c r="O677" s="4" t="s">
        <v>8413</v>
      </c>
      <c r="P677" s="4" t="s">
        <v>8414</v>
      </c>
      <c r="Q677" s="4" t="s">
        <v>8415</v>
      </c>
      <c r="R677" s="4" t="s">
        <v>8416</v>
      </c>
      <c r="S677" s="4">
        <v>2000013014</v>
      </c>
      <c r="T677" s="4">
        <v>2000013230</v>
      </c>
      <c r="U677" s="4">
        <v>2000027007</v>
      </c>
      <c r="V677" s="4">
        <v>2011027051</v>
      </c>
      <c r="W677" s="4">
        <v>220542470012</v>
      </c>
      <c r="X677" s="4">
        <v>220572010006</v>
      </c>
      <c r="Y677" s="4">
        <v>220572010016</v>
      </c>
      <c r="Z677" s="4">
        <v>132001013</v>
      </c>
      <c r="AA677" s="88" t="s">
        <v>8417</v>
      </c>
      <c r="AB677" s="88" t="s">
        <v>8418</v>
      </c>
      <c r="AC677" s="88" t="s">
        <v>8419</v>
      </c>
      <c r="AD677" s="88" t="s">
        <v>8420</v>
      </c>
      <c r="AE677" s="4" t="s">
        <v>8421</v>
      </c>
      <c r="AF677" s="4" t="s">
        <v>8421</v>
      </c>
      <c r="AG677" s="4" t="s">
        <v>8422</v>
      </c>
      <c r="AH677" s="4" t="s">
        <v>8422</v>
      </c>
      <c r="AI677" s="4" t="s">
        <v>8423</v>
      </c>
      <c r="AJ677" s="4" t="s">
        <v>8424</v>
      </c>
      <c r="AK677" s="4" t="s">
        <v>8424</v>
      </c>
      <c r="AL677" s="4" t="s">
        <v>8425</v>
      </c>
      <c r="AM677" s="4" t="s">
        <v>8426</v>
      </c>
      <c r="AN677" s="4" t="s">
        <v>8427</v>
      </c>
      <c r="AO677" s="4" t="s">
        <v>8428</v>
      </c>
      <c r="AP677" s="4" t="s">
        <v>8429</v>
      </c>
      <c r="AQ677" s="4" t="s">
        <v>186</v>
      </c>
      <c r="AR677" s="4" t="s">
        <v>186</v>
      </c>
      <c r="AS677" s="4" t="s">
        <v>186</v>
      </c>
      <c r="AT677" s="4" t="s">
        <v>187</v>
      </c>
      <c r="AU677" s="4" t="s">
        <v>187</v>
      </c>
      <c r="AV677" s="4" t="s">
        <v>186</v>
      </c>
      <c r="AW677" s="4" t="s">
        <v>186</v>
      </c>
      <c r="AX677" s="4" t="s">
        <v>186</v>
      </c>
      <c r="AY677" s="4" t="s">
        <v>187</v>
      </c>
      <c r="AZ677" s="4" t="s">
        <v>186</v>
      </c>
      <c r="BA677" s="4" t="s">
        <v>186</v>
      </c>
      <c r="BB677" s="4" t="s">
        <v>186</v>
      </c>
      <c r="BQ677" s="37">
        <v>45149</v>
      </c>
      <c r="BR677" s="8">
        <f t="shared" si="2"/>
        <v>12</v>
      </c>
    </row>
    <row r="678" spans="1:70" ht="12.5">
      <c r="A678" s="4" t="str">
        <v>KKN ADI PERIODE KE-1 I.A.2</v>
      </c>
      <c r="B678" s="4" t="s">
        <v>8406</v>
      </c>
      <c r="C678" s="4" t="s">
        <v>216</v>
      </c>
      <c r="E678" s="4" t="s">
        <v>8430</v>
      </c>
      <c r="F678" s="4" t="s">
        <v>8408</v>
      </c>
      <c r="G678" s="4" t="s">
        <v>7581</v>
      </c>
      <c r="H678" s="4" t="s">
        <v>8165</v>
      </c>
      <c r="I678" s="4" t="s">
        <v>8168</v>
      </c>
      <c r="J678" s="4" t="s">
        <v>8431</v>
      </c>
      <c r="K678" s="4" t="s">
        <v>8432</v>
      </c>
      <c r="L678" s="4" t="s">
        <v>8433</v>
      </c>
      <c r="M678" s="4" t="s">
        <v>8434</v>
      </c>
      <c r="N678" s="4" t="s">
        <v>8435</v>
      </c>
      <c r="O678" s="4" t="s">
        <v>8436</v>
      </c>
      <c r="P678" s="4" t="s">
        <v>8437</v>
      </c>
      <c r="Q678" s="4" t="s">
        <v>4960</v>
      </c>
      <c r="R678" s="4" t="s">
        <v>8438</v>
      </c>
      <c r="S678" s="4">
        <v>2000013289</v>
      </c>
      <c r="T678" s="4">
        <v>2000027035</v>
      </c>
      <c r="U678" s="4">
        <v>2011028088</v>
      </c>
      <c r="V678" s="4">
        <v>220572010029</v>
      </c>
      <c r="W678" s="4">
        <v>220572010043</v>
      </c>
      <c r="X678" s="4">
        <v>220572010005</v>
      </c>
      <c r="Y678" s="4">
        <v>171901003</v>
      </c>
      <c r="Z678" s="4">
        <v>132001021</v>
      </c>
      <c r="AA678" s="4">
        <v>132001012</v>
      </c>
      <c r="AB678" s="88" t="s">
        <v>8439</v>
      </c>
      <c r="AC678" s="88" t="s">
        <v>8440</v>
      </c>
      <c r="AD678" s="4">
        <v>132001014</v>
      </c>
      <c r="AE678" s="4" t="s">
        <v>8421</v>
      </c>
      <c r="AF678" s="4" t="s">
        <v>8422</v>
      </c>
      <c r="AG678" s="4" t="s">
        <v>8441</v>
      </c>
      <c r="AH678" s="4" t="s">
        <v>8424</v>
      </c>
      <c r="AI678" s="4" t="s">
        <v>8424</v>
      </c>
      <c r="AJ678" s="4" t="s">
        <v>8424</v>
      </c>
      <c r="AK678" s="4" t="s">
        <v>8442</v>
      </c>
      <c r="AL678" s="4" t="s">
        <v>8425</v>
      </c>
      <c r="AM678" s="4" t="s">
        <v>8425</v>
      </c>
      <c r="AN678" s="4" t="s">
        <v>8443</v>
      </c>
      <c r="AO678" s="4" t="s">
        <v>8443</v>
      </c>
      <c r="AP678" s="4" t="s">
        <v>8425</v>
      </c>
      <c r="AQ678" s="4" t="s">
        <v>186</v>
      </c>
      <c r="AR678" s="4" t="s">
        <v>187</v>
      </c>
      <c r="AS678" s="4" t="s">
        <v>186</v>
      </c>
      <c r="AT678" s="4" t="s">
        <v>186</v>
      </c>
      <c r="AU678" s="4" t="s">
        <v>187</v>
      </c>
      <c r="AV678" s="4" t="s">
        <v>186</v>
      </c>
      <c r="AW678" s="4" t="s">
        <v>187</v>
      </c>
      <c r="AX678" s="4" t="s">
        <v>186</v>
      </c>
      <c r="AY678" s="4" t="s">
        <v>186</v>
      </c>
      <c r="AZ678" s="4" t="s">
        <v>186</v>
      </c>
      <c r="BA678" s="4" t="s">
        <v>186</v>
      </c>
      <c r="BB678" s="4" t="s">
        <v>186</v>
      </c>
      <c r="BQ678" s="37">
        <v>45149</v>
      </c>
      <c r="BR678" s="8">
        <f t="shared" si="2"/>
        <v>12</v>
      </c>
    </row>
    <row r="679" spans="1:70" ht="12.5">
      <c r="A679" s="4" t="str">
        <v>KKN ADI PERIODE KE-1 I.A.3</v>
      </c>
      <c r="B679" s="4" t="s">
        <v>8406</v>
      </c>
      <c r="C679" s="4" t="s">
        <v>238</v>
      </c>
      <c r="E679" s="4" t="s">
        <v>8444</v>
      </c>
      <c r="F679" s="4" t="s">
        <v>8408</v>
      </c>
      <c r="G679" s="4" t="s">
        <v>8161</v>
      </c>
      <c r="H679" s="4" t="s">
        <v>8162</v>
      </c>
      <c r="I679" s="4" t="s">
        <v>8163</v>
      </c>
      <c r="J679" s="4" t="s">
        <v>8167</v>
      </c>
      <c r="K679" s="4" t="s">
        <v>8445</v>
      </c>
      <c r="L679" s="4" t="s">
        <v>8393</v>
      </c>
      <c r="M679" s="4" t="s">
        <v>8446</v>
      </c>
      <c r="N679" s="4" t="s">
        <v>8447</v>
      </c>
      <c r="O679" s="4" t="s">
        <v>8448</v>
      </c>
      <c r="P679" s="4" t="s">
        <v>8449</v>
      </c>
      <c r="Q679" s="4" t="s">
        <v>8450</v>
      </c>
      <c r="R679" s="4" t="s">
        <v>8451</v>
      </c>
      <c r="S679" s="4">
        <v>2000013103</v>
      </c>
      <c r="T679" s="4">
        <v>2000017055</v>
      </c>
      <c r="U679" s="4">
        <v>2000024014</v>
      </c>
      <c r="V679" s="4">
        <v>2011027067</v>
      </c>
      <c r="W679" s="4">
        <v>220942020002</v>
      </c>
      <c r="X679" s="4">
        <v>220572010026</v>
      </c>
      <c r="Y679" s="4">
        <v>220542470016</v>
      </c>
      <c r="Z679" s="88" t="s">
        <v>8452</v>
      </c>
      <c r="AA679" s="4">
        <v>112001007</v>
      </c>
      <c r="AB679" s="4">
        <v>102001001</v>
      </c>
      <c r="AC679" s="4">
        <v>162001011</v>
      </c>
      <c r="AD679" s="4">
        <v>122001007</v>
      </c>
      <c r="AE679" s="4" t="s">
        <v>8421</v>
      </c>
      <c r="AF679" s="4" t="s">
        <v>8453</v>
      </c>
      <c r="AG679" s="4" t="s">
        <v>8454</v>
      </c>
      <c r="AH679" s="4" t="s">
        <v>8422</v>
      </c>
      <c r="AI679" s="4" t="s">
        <v>8455</v>
      </c>
      <c r="AJ679" s="4" t="s">
        <v>8424</v>
      </c>
      <c r="AK679" s="4" t="s">
        <v>8423</v>
      </c>
      <c r="AL679" s="4" t="s">
        <v>8456</v>
      </c>
      <c r="AM679" s="4" t="s">
        <v>8457</v>
      </c>
      <c r="AN679" s="4" t="s">
        <v>8429</v>
      </c>
      <c r="AO679" s="4" t="s">
        <v>8458</v>
      </c>
      <c r="AP679" s="4" t="s">
        <v>8459</v>
      </c>
      <c r="AQ679" s="4" t="s">
        <v>186</v>
      </c>
      <c r="AR679" s="4" t="s">
        <v>186</v>
      </c>
      <c r="AS679" s="4" t="s">
        <v>187</v>
      </c>
      <c r="AT679" s="4" t="s">
        <v>187</v>
      </c>
      <c r="AU679" s="4" t="s">
        <v>186</v>
      </c>
      <c r="AV679" s="4" t="s">
        <v>186</v>
      </c>
      <c r="AW679" s="4" t="s">
        <v>187</v>
      </c>
      <c r="AX679" s="4" t="s">
        <v>186</v>
      </c>
      <c r="AY679" s="4" t="s">
        <v>186</v>
      </c>
      <c r="AZ679" s="4" t="s">
        <v>186</v>
      </c>
      <c r="BA679" s="4" t="s">
        <v>186</v>
      </c>
      <c r="BB679" s="4" t="s">
        <v>186</v>
      </c>
      <c r="BQ679" s="37">
        <v>45149</v>
      </c>
      <c r="BR679" s="8">
        <f t="shared" si="2"/>
        <v>12</v>
      </c>
    </row>
    <row r="680" spans="1:70" ht="12.5">
      <c r="A680" s="4" t="str">
        <v>Reguler Periode ke-117 I.A.1</v>
      </c>
      <c r="B680" s="4" t="s">
        <v>8460</v>
      </c>
      <c r="C680" s="4" t="s">
        <v>165</v>
      </c>
      <c r="D680" s="4" t="s">
        <v>8461</v>
      </c>
      <c r="G680" s="89" t="s">
        <v>8462</v>
      </c>
      <c r="H680" s="89" t="s">
        <v>8463</v>
      </c>
      <c r="I680" s="89" t="s">
        <v>8464</v>
      </c>
      <c r="J680" s="89" t="s">
        <v>8465</v>
      </c>
      <c r="K680" s="89" t="s">
        <v>8466</v>
      </c>
      <c r="S680" s="90">
        <v>2000007010</v>
      </c>
      <c r="T680" s="90">
        <v>2000008049</v>
      </c>
      <c r="U680" s="90">
        <v>2000008048</v>
      </c>
      <c r="V680" s="90">
        <v>2000007004</v>
      </c>
      <c r="W680" s="90">
        <v>2000007002</v>
      </c>
      <c r="AE680" s="90" t="s">
        <v>1021</v>
      </c>
      <c r="AF680" s="90" t="s">
        <v>1111</v>
      </c>
      <c r="AG680" s="90" t="s">
        <v>1111</v>
      </c>
      <c r="AH680" s="90" t="s">
        <v>1021</v>
      </c>
      <c r="AI680" s="90" t="s">
        <v>1021</v>
      </c>
      <c r="AJ680" s="90"/>
      <c r="AQ680" s="91" t="s">
        <v>186</v>
      </c>
      <c r="AR680" s="91" t="s">
        <v>186</v>
      </c>
      <c r="AS680" s="91" t="s">
        <v>187</v>
      </c>
      <c r="AT680" s="91" t="s">
        <v>186</v>
      </c>
      <c r="AU680" s="91" t="s">
        <v>186</v>
      </c>
      <c r="BC680" s="91">
        <v>83149252714</v>
      </c>
      <c r="BD680" s="91">
        <v>88221582572</v>
      </c>
      <c r="BE680" s="91">
        <v>87849082125</v>
      </c>
      <c r="BF680" s="91">
        <v>82251528507</v>
      </c>
      <c r="BG680" s="91">
        <v>8156592038</v>
      </c>
      <c r="BO680" s="71">
        <v>60140766</v>
      </c>
      <c r="BP680" s="18" t="s">
        <v>8467</v>
      </c>
      <c r="BQ680" s="37">
        <v>45127</v>
      </c>
      <c r="BR680" s="8">
        <f t="shared" si="2"/>
        <v>5</v>
      </c>
    </row>
    <row r="681" spans="1:70" ht="14">
      <c r="A681" s="4" t="str">
        <v>Reguler Periode ke-117 I.B.1</v>
      </c>
      <c r="B681" s="4" t="s">
        <v>8460</v>
      </c>
      <c r="C681" s="4" t="s">
        <v>260</v>
      </c>
      <c r="D681" s="68" t="s">
        <v>8468</v>
      </c>
      <c r="G681" s="90" t="s">
        <v>8469</v>
      </c>
      <c r="H681" s="90" t="s">
        <v>8470</v>
      </c>
      <c r="I681" s="90" t="s">
        <v>8471</v>
      </c>
      <c r="J681" s="90" t="s">
        <v>8472</v>
      </c>
      <c r="K681" s="90" t="s">
        <v>8473</v>
      </c>
      <c r="S681" s="90">
        <v>2015002017</v>
      </c>
      <c r="T681" s="90">
        <v>2000001063</v>
      </c>
      <c r="U681" s="90">
        <v>2000001089</v>
      </c>
      <c r="V681" s="90">
        <v>2000001098</v>
      </c>
      <c r="W681" s="90">
        <v>2000002005</v>
      </c>
      <c r="AE681" s="90" t="s">
        <v>1043</v>
      </c>
      <c r="AF681" s="90" t="s">
        <v>180</v>
      </c>
      <c r="AG681" s="90" t="s">
        <v>180</v>
      </c>
      <c r="AH681" s="90" t="s">
        <v>180</v>
      </c>
      <c r="AI681" s="90" t="s">
        <v>1043</v>
      </c>
      <c r="AJ681" s="90"/>
      <c r="AQ681" s="91" t="s">
        <v>186</v>
      </c>
      <c r="AR681" s="91" t="s">
        <v>186</v>
      </c>
      <c r="AS681" s="91" t="s">
        <v>186</v>
      </c>
      <c r="AT681" s="91" t="s">
        <v>186</v>
      </c>
      <c r="AU681" s="91" t="s">
        <v>186</v>
      </c>
      <c r="BC681" s="91">
        <v>895344043864</v>
      </c>
      <c r="BD681" s="91">
        <v>82251227278</v>
      </c>
      <c r="BE681" s="91">
        <v>85708842963</v>
      </c>
      <c r="BF681" s="91">
        <v>83840351150</v>
      </c>
      <c r="BG681" s="91">
        <v>81340993113</v>
      </c>
      <c r="BO681" s="71">
        <v>60150793</v>
      </c>
      <c r="BP681" s="18" t="s">
        <v>8474</v>
      </c>
      <c r="BQ681" s="37">
        <v>45127</v>
      </c>
      <c r="BR681" s="8">
        <f t="shared" si="2"/>
        <v>5</v>
      </c>
    </row>
    <row r="682" spans="1:70" ht="12.5">
      <c r="A682" s="4" t="str">
        <v>Reguler Periode ke-117 I.C.1</v>
      </c>
      <c r="B682" s="4" t="s">
        <v>8460</v>
      </c>
      <c r="C682" s="4" t="s">
        <v>320</v>
      </c>
      <c r="D682" s="35" t="s">
        <v>8475</v>
      </c>
      <c r="G682" s="90" t="s">
        <v>8476</v>
      </c>
      <c r="H682" s="90" t="s">
        <v>8477</v>
      </c>
      <c r="I682" s="90" t="s">
        <v>8478</v>
      </c>
      <c r="J682" s="90" t="s">
        <v>8479</v>
      </c>
      <c r="K682" s="90"/>
      <c r="S682" s="90">
        <v>2000013050</v>
      </c>
      <c r="T682" s="90">
        <v>2000029035</v>
      </c>
      <c r="U682" s="90">
        <v>2000029279</v>
      </c>
      <c r="V682" s="90">
        <v>2000013009</v>
      </c>
      <c r="W682" s="89"/>
      <c r="AE682" s="90" t="s">
        <v>677</v>
      </c>
      <c r="AF682" s="90" t="s">
        <v>533</v>
      </c>
      <c r="AG682" s="90" t="s">
        <v>533</v>
      </c>
      <c r="AH682" s="90" t="s">
        <v>677</v>
      </c>
      <c r="AI682" s="89"/>
      <c r="AJ682" s="90"/>
      <c r="AQ682" s="91" t="s">
        <v>186</v>
      </c>
      <c r="AR682" s="91" t="s">
        <v>187</v>
      </c>
      <c r="AS682" s="91" t="s">
        <v>186</v>
      </c>
      <c r="AT682" s="91" t="s">
        <v>187</v>
      </c>
      <c r="AU682" s="89"/>
      <c r="BC682" s="91">
        <v>88226563466</v>
      </c>
      <c r="BD682" s="91">
        <v>85752654795</v>
      </c>
      <c r="BE682" s="91">
        <v>81252850830</v>
      </c>
      <c r="BF682" s="91">
        <v>82322773879</v>
      </c>
      <c r="BG682" s="89"/>
      <c r="BO682" s="71">
        <v>60090583</v>
      </c>
      <c r="BP682" s="18" t="s">
        <v>8480</v>
      </c>
      <c r="BQ682" s="37">
        <v>45127</v>
      </c>
      <c r="BR682" s="8">
        <f t="shared" si="2"/>
        <v>4</v>
      </c>
    </row>
    <row r="683" spans="1:70" ht="12.5">
      <c r="A683" s="4" t="str">
        <v>Reguler Periode ke-117 I.D.1</v>
      </c>
      <c r="B683" s="4" t="s">
        <v>8460</v>
      </c>
      <c r="C683" s="4" t="s">
        <v>379</v>
      </c>
      <c r="D683" s="4" t="s">
        <v>8135</v>
      </c>
      <c r="G683" s="90" t="s">
        <v>8481</v>
      </c>
      <c r="H683" s="90" t="s">
        <v>8482</v>
      </c>
      <c r="I683" s="89"/>
      <c r="J683" s="89"/>
      <c r="K683" s="90"/>
      <c r="S683" s="90">
        <v>2000070047</v>
      </c>
      <c r="T683" s="90">
        <v>2000070030</v>
      </c>
      <c r="U683" s="89"/>
      <c r="V683" s="89"/>
      <c r="W683" s="90"/>
      <c r="AE683" s="90" t="s">
        <v>2473</v>
      </c>
      <c r="AF683" s="90" t="s">
        <v>2473</v>
      </c>
      <c r="AG683" s="89"/>
      <c r="AH683" s="89"/>
      <c r="AI683" s="90"/>
      <c r="AJ683" s="90"/>
      <c r="AQ683" s="91" t="s">
        <v>186</v>
      </c>
      <c r="AR683" s="91" t="s">
        <v>186</v>
      </c>
      <c r="AS683" s="89"/>
      <c r="AT683" s="89"/>
      <c r="AU683" s="91"/>
      <c r="BC683" s="91">
        <v>82127241930</v>
      </c>
      <c r="BD683" s="91">
        <v>81394331290</v>
      </c>
      <c r="BE683" s="89"/>
      <c r="BF683" s="89"/>
      <c r="BG683" s="91"/>
      <c r="BO683" s="71">
        <v>60201251</v>
      </c>
      <c r="BP683" s="18" t="s">
        <v>8483</v>
      </c>
      <c r="BQ683" s="37">
        <v>45127</v>
      </c>
      <c r="BR683" s="8">
        <f t="shared" si="2"/>
        <v>2</v>
      </c>
    </row>
    <row r="684" spans="1:70" ht="12.5">
      <c r="A684" s="4" t="str">
        <v>Reguler Periode ke-117 II.A.1</v>
      </c>
      <c r="B684" s="4" t="s">
        <v>8460</v>
      </c>
      <c r="C684" s="4" t="s">
        <v>680</v>
      </c>
      <c r="D684" s="4" t="s">
        <v>8484</v>
      </c>
      <c r="G684" s="90" t="s">
        <v>8485</v>
      </c>
      <c r="H684" s="90" t="s">
        <v>8486</v>
      </c>
      <c r="I684" s="90" t="s">
        <v>8487</v>
      </c>
      <c r="J684" s="90" t="s">
        <v>8488</v>
      </c>
      <c r="K684" s="90" t="s">
        <v>8489</v>
      </c>
      <c r="S684" s="90">
        <v>1900022057</v>
      </c>
      <c r="T684" s="90">
        <v>1900022054</v>
      </c>
      <c r="U684" s="90">
        <v>1900022082</v>
      </c>
      <c r="V684" s="90">
        <v>2000022012</v>
      </c>
      <c r="W684" s="90">
        <v>1900022071</v>
      </c>
      <c r="AE684" s="90" t="s">
        <v>872</v>
      </c>
      <c r="AF684" s="90" t="s">
        <v>872</v>
      </c>
      <c r="AG684" s="90" t="s">
        <v>872</v>
      </c>
      <c r="AH684" s="90" t="s">
        <v>872</v>
      </c>
      <c r="AI684" s="90" t="s">
        <v>872</v>
      </c>
      <c r="AJ684" s="90"/>
      <c r="AQ684" s="91" t="s">
        <v>187</v>
      </c>
      <c r="AR684" s="91" t="s">
        <v>187</v>
      </c>
      <c r="AS684" s="91" t="s">
        <v>187</v>
      </c>
      <c r="AT684" s="91" t="s">
        <v>187</v>
      </c>
      <c r="AU684" s="91" t="s">
        <v>187</v>
      </c>
      <c r="BC684" s="91">
        <v>82133261820</v>
      </c>
      <c r="BD684" s="91">
        <v>85712925982</v>
      </c>
      <c r="BE684" s="91">
        <v>85245130101</v>
      </c>
      <c r="BF684" s="91">
        <v>85888453336</v>
      </c>
      <c r="BG684" s="91">
        <v>89688380674</v>
      </c>
      <c r="BO684" s="71">
        <v>60211292</v>
      </c>
      <c r="BP684" s="18" t="s">
        <v>8490</v>
      </c>
      <c r="BQ684" s="37">
        <v>45127</v>
      </c>
      <c r="BR684" s="8">
        <f t="shared" si="2"/>
        <v>5</v>
      </c>
    </row>
    <row r="685" spans="1:70" ht="14">
      <c r="A685" s="4" t="str">
        <v>Alternatif Periode ke-88 I.A.1</v>
      </c>
      <c r="B685" s="4" t="s">
        <v>8491</v>
      </c>
      <c r="C685" s="4" t="s">
        <v>165</v>
      </c>
      <c r="D685" s="4" t="s">
        <v>8492</v>
      </c>
      <c r="E685" s="4" t="s">
        <v>8493</v>
      </c>
      <c r="F685" s="4" t="s">
        <v>520</v>
      </c>
      <c r="G685" s="27" t="s">
        <v>8494</v>
      </c>
      <c r="H685" s="27" t="s">
        <v>8495</v>
      </c>
      <c r="I685" s="27" t="s">
        <v>8496</v>
      </c>
      <c r="J685" s="27" t="s">
        <v>8497</v>
      </c>
      <c r="K685" s="27" t="s">
        <v>8498</v>
      </c>
      <c r="L685" s="4" t="s">
        <v>8499</v>
      </c>
      <c r="M685" s="4" t="s">
        <v>8500</v>
      </c>
      <c r="N685" s="4" t="s">
        <v>8501</v>
      </c>
      <c r="O685" s="4" t="s">
        <v>8502</v>
      </c>
      <c r="P685" s="4" t="s">
        <v>8503</v>
      </c>
      <c r="S685" s="27">
        <v>1900024231</v>
      </c>
      <c r="T685" s="27">
        <v>2000012011</v>
      </c>
      <c r="U685" s="27">
        <v>2000012066</v>
      </c>
      <c r="V685" s="27">
        <v>2000012067</v>
      </c>
      <c r="W685" s="27">
        <v>2000029142</v>
      </c>
      <c r="X685" s="4">
        <v>2000029253</v>
      </c>
      <c r="Y685" s="4">
        <v>2000033069</v>
      </c>
      <c r="Z685" s="4">
        <v>2100019063</v>
      </c>
      <c r="AA685" s="4">
        <v>2100019105</v>
      </c>
      <c r="AB685" s="4">
        <v>2100019107</v>
      </c>
      <c r="AE685" s="27" t="s">
        <v>924</v>
      </c>
      <c r="AF685" s="27" t="s">
        <v>885</v>
      </c>
      <c r="AG685" s="27" t="s">
        <v>885</v>
      </c>
      <c r="AH685" s="27" t="s">
        <v>885</v>
      </c>
      <c r="AI685" s="27" t="s">
        <v>533</v>
      </c>
      <c r="AJ685" s="4" t="s">
        <v>533</v>
      </c>
      <c r="AK685" s="4" t="s">
        <v>1112</v>
      </c>
      <c r="AL685" s="4" t="s">
        <v>705</v>
      </c>
      <c r="AM685" s="4" t="s">
        <v>705</v>
      </c>
      <c r="AN685" s="4" t="s">
        <v>705</v>
      </c>
      <c r="AQ685" s="28"/>
      <c r="AR685" s="28"/>
      <c r="AS685" s="28"/>
      <c r="AT685" s="28"/>
      <c r="AU685" s="28"/>
      <c r="BC685" s="28"/>
      <c r="BD685" s="28"/>
      <c r="BE685" s="28"/>
      <c r="BF685" s="28"/>
      <c r="BG685" s="28"/>
      <c r="BP685" s="18" t="s">
        <v>8504</v>
      </c>
      <c r="BQ685" s="37">
        <v>45194</v>
      </c>
      <c r="BR685" s="8">
        <f t="shared" si="2"/>
        <v>10</v>
      </c>
    </row>
    <row r="686" spans="1:70" ht="12.5">
      <c r="A686" s="4" t="str">
        <v>Alternatif Periode ke-88 I.A.2</v>
      </c>
      <c r="B686" s="4" t="s">
        <v>8491</v>
      </c>
      <c r="C686" s="4" t="s">
        <v>216</v>
      </c>
      <c r="D686" s="4" t="s">
        <v>8492</v>
      </c>
      <c r="E686" s="4" t="s">
        <v>8505</v>
      </c>
      <c r="F686" s="4" t="s">
        <v>520</v>
      </c>
      <c r="G686" s="4" t="s">
        <v>8506</v>
      </c>
      <c r="H686" s="4" t="s">
        <v>8507</v>
      </c>
      <c r="I686" s="4" t="s">
        <v>8508</v>
      </c>
      <c r="J686" s="4" t="s">
        <v>8509</v>
      </c>
      <c r="K686" s="4" t="s">
        <v>8510</v>
      </c>
      <c r="L686" s="4" t="s">
        <v>8511</v>
      </c>
      <c r="M686" s="4" t="s">
        <v>8512</v>
      </c>
      <c r="N686" s="4" t="s">
        <v>8513</v>
      </c>
      <c r="O686" s="4" t="s">
        <v>8514</v>
      </c>
      <c r="S686" s="4">
        <v>2000012012</v>
      </c>
      <c r="T686" s="4">
        <v>2000012105</v>
      </c>
      <c r="U686" s="4">
        <v>2000020063</v>
      </c>
      <c r="V686" s="4">
        <v>2000029091</v>
      </c>
      <c r="W686" s="4">
        <v>2000029097</v>
      </c>
      <c r="X686" s="4">
        <v>2000031021</v>
      </c>
      <c r="Y686" s="4">
        <v>2100019008</v>
      </c>
      <c r="Z686" s="4">
        <v>2100019094</v>
      </c>
      <c r="AA686" s="4">
        <v>2100019101</v>
      </c>
      <c r="AE686" s="4" t="s">
        <v>885</v>
      </c>
      <c r="AF686" s="4" t="s">
        <v>885</v>
      </c>
      <c r="AG686" s="4" t="s">
        <v>351</v>
      </c>
      <c r="AH686" s="4" t="s">
        <v>533</v>
      </c>
      <c r="AI686" s="4" t="s">
        <v>533</v>
      </c>
      <c r="AJ686" s="4" t="s">
        <v>185</v>
      </c>
      <c r="AK686" s="4" t="s">
        <v>705</v>
      </c>
      <c r="AL686" s="4" t="s">
        <v>705</v>
      </c>
      <c r="AM686" s="4" t="s">
        <v>705</v>
      </c>
      <c r="BP686" s="18" t="s">
        <v>8515</v>
      </c>
      <c r="BQ686" s="37">
        <v>45194</v>
      </c>
      <c r="BR686" s="8">
        <f t="shared" si="2"/>
        <v>9</v>
      </c>
    </row>
    <row r="687" spans="1:70" ht="12.5">
      <c r="A687" s="4" t="str">
        <v>Alternatif Periode ke-88 I.A.3</v>
      </c>
      <c r="B687" s="4" t="s">
        <v>8491</v>
      </c>
      <c r="C687" s="4" t="s">
        <v>238</v>
      </c>
      <c r="D687" s="4" t="s">
        <v>8492</v>
      </c>
      <c r="E687" s="4" t="s">
        <v>8516</v>
      </c>
      <c r="F687" s="4" t="s">
        <v>520</v>
      </c>
      <c r="G687" s="4" t="s">
        <v>8517</v>
      </c>
      <c r="H687" s="4" t="s">
        <v>8518</v>
      </c>
      <c r="I687" s="4" t="s">
        <v>8519</v>
      </c>
      <c r="J687" s="4" t="s">
        <v>8520</v>
      </c>
      <c r="K687" s="4" t="s">
        <v>8521</v>
      </c>
      <c r="L687" s="4" t="s">
        <v>8522</v>
      </c>
      <c r="M687" s="4" t="s">
        <v>8523</v>
      </c>
      <c r="N687" s="4" t="s">
        <v>8524</v>
      </c>
      <c r="O687" s="4" t="s">
        <v>8525</v>
      </c>
      <c r="S687" s="4">
        <v>1900014011</v>
      </c>
      <c r="T687" s="4">
        <v>1900024098</v>
      </c>
      <c r="U687" s="4">
        <v>2000012001</v>
      </c>
      <c r="V687" s="4">
        <v>2000012078</v>
      </c>
      <c r="W687" s="4">
        <v>2000020068</v>
      </c>
      <c r="X687" s="4">
        <v>2000029219</v>
      </c>
      <c r="Y687" s="4">
        <v>2000030034</v>
      </c>
      <c r="Z687" s="4">
        <v>2100019034</v>
      </c>
      <c r="AA687" s="4">
        <v>2100019104</v>
      </c>
      <c r="AE687" s="4" t="s">
        <v>770</v>
      </c>
      <c r="AF687" s="4" t="s">
        <v>924</v>
      </c>
      <c r="AG687" s="4" t="s">
        <v>885</v>
      </c>
      <c r="AH687" s="4" t="s">
        <v>885</v>
      </c>
      <c r="AI687" s="4" t="s">
        <v>351</v>
      </c>
      <c r="AJ687" s="4" t="s">
        <v>533</v>
      </c>
      <c r="AK687" s="4" t="s">
        <v>184</v>
      </c>
      <c r="AL687" s="4" t="s">
        <v>705</v>
      </c>
      <c r="AM687" s="4" t="s">
        <v>705</v>
      </c>
      <c r="BP687" s="18" t="s">
        <v>8526</v>
      </c>
      <c r="BQ687" s="37">
        <v>45194</v>
      </c>
      <c r="BR687" s="8">
        <f t="shared" si="2"/>
        <v>9</v>
      </c>
    </row>
    <row r="688" spans="1:70" ht="14.5">
      <c r="A688" s="4" t="str">
        <v>Alternatif Periode ke-89 I.A.1</v>
      </c>
      <c r="B688" s="4" t="s">
        <v>8527</v>
      </c>
      <c r="C688" s="4" t="s">
        <v>165</v>
      </c>
      <c r="D688" s="4" t="s">
        <v>2249</v>
      </c>
      <c r="E688" s="4" t="s">
        <v>8528</v>
      </c>
      <c r="F688" s="4" t="s">
        <v>520</v>
      </c>
      <c r="G688" s="6" t="s">
        <v>8529</v>
      </c>
      <c r="H688" s="92" t="s">
        <v>8530</v>
      </c>
      <c r="I688" s="92" t="s">
        <v>8531</v>
      </c>
      <c r="J688" s="92" t="s">
        <v>8532</v>
      </c>
      <c r="K688" s="92" t="s">
        <v>8533</v>
      </c>
      <c r="L688" s="92" t="s">
        <v>8534</v>
      </c>
      <c r="M688" s="92" t="s">
        <v>8535</v>
      </c>
      <c r="N688" s="92" t="s">
        <v>8536</v>
      </c>
      <c r="O688" s="92" t="s">
        <v>8537</v>
      </c>
      <c r="P688" s="92" t="s">
        <v>8538</v>
      </c>
      <c r="Q688" s="73"/>
      <c r="S688" s="6">
        <v>1900008076</v>
      </c>
      <c r="T688" s="92">
        <v>2000001009</v>
      </c>
      <c r="U688" s="92">
        <v>2000001183</v>
      </c>
      <c r="V688" s="92">
        <v>2000011311</v>
      </c>
      <c r="W688" s="92">
        <v>2000014027</v>
      </c>
      <c r="X688" s="92">
        <v>2000023016</v>
      </c>
      <c r="Y688" s="92">
        <v>2000025001</v>
      </c>
      <c r="Z688" s="92">
        <v>2000029049</v>
      </c>
      <c r="AA688" s="92">
        <v>2000031100</v>
      </c>
      <c r="AB688" s="92">
        <v>2000031276</v>
      </c>
      <c r="AE688" s="6" t="s">
        <v>1111</v>
      </c>
      <c r="AF688" s="92" t="s">
        <v>180</v>
      </c>
      <c r="AG688" s="92" t="s">
        <v>180</v>
      </c>
      <c r="AH688" s="92" t="s">
        <v>182</v>
      </c>
      <c r="AI688" s="92" t="s">
        <v>770</v>
      </c>
      <c r="AJ688" s="92" t="s">
        <v>899</v>
      </c>
      <c r="AK688" s="92" t="s">
        <v>1168</v>
      </c>
      <c r="AL688" s="92" t="s">
        <v>533</v>
      </c>
      <c r="AM688" s="92" t="s">
        <v>185</v>
      </c>
      <c r="AN688" s="92" t="s">
        <v>185</v>
      </c>
      <c r="AQ688" s="60" t="s">
        <v>186</v>
      </c>
      <c r="AR688" s="93" t="s">
        <v>186</v>
      </c>
      <c r="AS688" s="93" t="s">
        <v>187</v>
      </c>
      <c r="AT688" s="93" t="s">
        <v>187</v>
      </c>
      <c r="AU688" s="93" t="s">
        <v>186</v>
      </c>
      <c r="AV688" s="93" t="s">
        <v>186</v>
      </c>
      <c r="AW688" s="93" t="s">
        <v>187</v>
      </c>
      <c r="AX688" s="93" t="s">
        <v>186</v>
      </c>
      <c r="AY688" s="93" t="s">
        <v>187</v>
      </c>
      <c r="AZ688" s="93" t="s">
        <v>186</v>
      </c>
      <c r="BC688" s="60">
        <v>82169539776</v>
      </c>
      <c r="BD688" s="93">
        <v>87839165718</v>
      </c>
      <c r="BE688" s="93">
        <v>82281232607</v>
      </c>
      <c r="BF688" s="93">
        <v>82374696979</v>
      </c>
      <c r="BG688" s="93">
        <v>85602870731</v>
      </c>
      <c r="BH688" s="93">
        <v>85600916744</v>
      </c>
      <c r="BI688" s="93">
        <v>82223712805</v>
      </c>
      <c r="BJ688" s="93">
        <v>895422181534</v>
      </c>
      <c r="BK688" s="93">
        <v>82140639681</v>
      </c>
      <c r="BL688" s="93">
        <v>85749487380</v>
      </c>
      <c r="BO688" s="71" t="s">
        <v>491</v>
      </c>
      <c r="BP688" s="18" t="s">
        <v>8539</v>
      </c>
      <c r="BQ688" s="37">
        <v>45226</v>
      </c>
      <c r="BR688" s="8">
        <f t="shared" si="2"/>
        <v>10</v>
      </c>
    </row>
    <row r="689" spans="1:70" ht="14.5">
      <c r="A689" s="4" t="str">
        <v>Alternatif Periode ke-89 I.A.2</v>
      </c>
      <c r="B689" s="4" t="s">
        <v>8527</v>
      </c>
      <c r="C689" s="4" t="s">
        <v>216</v>
      </c>
      <c r="D689" s="4" t="s">
        <v>2249</v>
      </c>
      <c r="E689" s="4" t="s">
        <v>8540</v>
      </c>
      <c r="F689" s="4" t="s">
        <v>520</v>
      </c>
      <c r="G689" s="6" t="s">
        <v>8541</v>
      </c>
      <c r="H689" s="92" t="s">
        <v>8542</v>
      </c>
      <c r="I689" s="92" t="s">
        <v>8543</v>
      </c>
      <c r="J689" s="92" t="s">
        <v>8544</v>
      </c>
      <c r="K689" s="92" t="s">
        <v>8545</v>
      </c>
      <c r="L689" s="92" t="s">
        <v>8546</v>
      </c>
      <c r="M689" s="92" t="s">
        <v>8547</v>
      </c>
      <c r="N689" s="92" t="s">
        <v>8548</v>
      </c>
      <c r="O689" s="92" t="s">
        <v>8549</v>
      </c>
      <c r="P689" s="73"/>
      <c r="S689" s="6">
        <v>1900012088</v>
      </c>
      <c r="T689" s="92">
        <v>2000001056</v>
      </c>
      <c r="U689" s="92">
        <v>2000001157</v>
      </c>
      <c r="V689" s="92">
        <v>2000008067</v>
      </c>
      <c r="W689" s="92">
        <v>2000014016</v>
      </c>
      <c r="X689" s="92">
        <v>2000025037</v>
      </c>
      <c r="Y689" s="92">
        <v>2000029047</v>
      </c>
      <c r="Z689" s="92">
        <v>2000031042</v>
      </c>
      <c r="AA689" s="92">
        <v>2000031161</v>
      </c>
      <c r="AE689" s="6" t="s">
        <v>885</v>
      </c>
      <c r="AF689" s="92" t="s">
        <v>180</v>
      </c>
      <c r="AG689" s="92" t="s">
        <v>180</v>
      </c>
      <c r="AH689" s="92" t="s">
        <v>1111</v>
      </c>
      <c r="AI689" s="92" t="s">
        <v>770</v>
      </c>
      <c r="AJ689" s="92" t="s">
        <v>1168</v>
      </c>
      <c r="AK689" s="92" t="s">
        <v>533</v>
      </c>
      <c r="AL689" s="92" t="s">
        <v>185</v>
      </c>
      <c r="AM689" s="92" t="s">
        <v>185</v>
      </c>
      <c r="AQ689" s="60" t="s">
        <v>187</v>
      </c>
      <c r="AR689" s="93" t="s">
        <v>187</v>
      </c>
      <c r="AS689" s="93" t="s">
        <v>186</v>
      </c>
      <c r="AT689" s="93" t="s">
        <v>186</v>
      </c>
      <c r="AU689" s="93" t="s">
        <v>186</v>
      </c>
      <c r="AV689" s="93" t="s">
        <v>187</v>
      </c>
      <c r="AW689" s="93" t="s">
        <v>186</v>
      </c>
      <c r="AX689" s="93" t="s">
        <v>186</v>
      </c>
      <c r="AY689" s="93" t="s">
        <v>187</v>
      </c>
      <c r="BC689" s="60">
        <v>89618217412</v>
      </c>
      <c r="BD689" s="93">
        <v>85325618097</v>
      </c>
      <c r="BE689" s="93">
        <v>85740520537</v>
      </c>
      <c r="BF689" s="93">
        <v>82135099447</v>
      </c>
      <c r="BG689" s="93">
        <v>82324900092</v>
      </c>
      <c r="BH689" s="93">
        <v>83196646642</v>
      </c>
      <c r="BI689" s="93">
        <v>85334572429</v>
      </c>
      <c r="BJ689" s="93">
        <v>85651370947</v>
      </c>
      <c r="BK689" s="93">
        <v>81274696142</v>
      </c>
      <c r="BO689" s="71" t="s">
        <v>491</v>
      </c>
      <c r="BP689" s="18" t="s">
        <v>8550</v>
      </c>
      <c r="BQ689" s="37">
        <v>45226</v>
      </c>
      <c r="BR689" s="8">
        <f t="shared" si="2"/>
        <v>9</v>
      </c>
    </row>
    <row r="690" spans="1:70" ht="14">
      <c r="A690" s="4" t="str">
        <v>Alternatif Periode ke-89 I.A.3</v>
      </c>
      <c r="B690" s="4" t="s">
        <v>8527</v>
      </c>
      <c r="C690" s="4" t="s">
        <v>238</v>
      </c>
      <c r="D690" s="4" t="s">
        <v>2249</v>
      </c>
      <c r="E690" s="4" t="s">
        <v>8551</v>
      </c>
      <c r="F690" s="4" t="s">
        <v>520</v>
      </c>
      <c r="G690" s="6" t="s">
        <v>8552</v>
      </c>
      <c r="H690" s="92" t="s">
        <v>8553</v>
      </c>
      <c r="I690" s="92" t="s">
        <v>8554</v>
      </c>
      <c r="J690" s="92" t="s">
        <v>8555</v>
      </c>
      <c r="K690" s="92" t="s">
        <v>8556</v>
      </c>
      <c r="L690" s="92" t="s">
        <v>8557</v>
      </c>
      <c r="M690" s="92" t="s">
        <v>8558</v>
      </c>
      <c r="N690" s="92" t="s">
        <v>8559</v>
      </c>
      <c r="O690" s="92" t="s">
        <v>8560</v>
      </c>
      <c r="S690" s="6">
        <v>1800031108</v>
      </c>
      <c r="T690" s="92">
        <v>1900012016</v>
      </c>
      <c r="U690" s="92">
        <v>2000001126</v>
      </c>
      <c r="V690" s="92">
        <v>2000001181</v>
      </c>
      <c r="W690" s="92">
        <v>2000008003</v>
      </c>
      <c r="X690" s="92">
        <v>2000014019</v>
      </c>
      <c r="Y690" s="92">
        <v>2000025047</v>
      </c>
      <c r="Z690" s="92">
        <v>2000029064</v>
      </c>
      <c r="AA690" s="92">
        <v>2000031020</v>
      </c>
      <c r="AE690" s="6" t="s">
        <v>185</v>
      </c>
      <c r="AF690" s="92" t="s">
        <v>885</v>
      </c>
      <c r="AG690" s="92" t="s">
        <v>180</v>
      </c>
      <c r="AH690" s="92" t="s">
        <v>180</v>
      </c>
      <c r="AI690" s="92" t="s">
        <v>1111</v>
      </c>
      <c r="AJ690" s="92" t="s">
        <v>770</v>
      </c>
      <c r="AK690" s="92" t="s">
        <v>1168</v>
      </c>
      <c r="AL690" s="92" t="s">
        <v>533</v>
      </c>
      <c r="AM690" s="92" t="s">
        <v>185</v>
      </c>
      <c r="AQ690" s="60" t="s">
        <v>186</v>
      </c>
      <c r="AR690" s="93" t="s">
        <v>187</v>
      </c>
      <c r="AS690" s="93" t="s">
        <v>186</v>
      </c>
      <c r="AT690" s="93" t="s">
        <v>187</v>
      </c>
      <c r="AU690" s="93" t="s">
        <v>186</v>
      </c>
      <c r="AV690" s="93" t="s">
        <v>186</v>
      </c>
      <c r="AW690" s="93" t="s">
        <v>187</v>
      </c>
      <c r="AX690" s="93" t="s">
        <v>186</v>
      </c>
      <c r="AY690" s="93" t="s">
        <v>187</v>
      </c>
      <c r="BC690" s="60">
        <v>82271626269</v>
      </c>
      <c r="BD690" s="93">
        <v>85333840943</v>
      </c>
      <c r="BE690" s="93">
        <v>87709001992</v>
      </c>
      <c r="BF690" s="93">
        <v>85215172309</v>
      </c>
      <c r="BG690" s="93">
        <v>85879127095</v>
      </c>
      <c r="BH690" s="93">
        <v>89606963558</v>
      </c>
      <c r="BI690" s="93">
        <v>81361749299</v>
      </c>
      <c r="BJ690" s="93">
        <v>81371041472</v>
      </c>
      <c r="BK690" s="93">
        <v>87730323398</v>
      </c>
      <c r="BO690" s="71" t="s">
        <v>491</v>
      </c>
      <c r="BP690" s="18" t="s">
        <v>8561</v>
      </c>
      <c r="BQ690" s="37">
        <v>45226</v>
      </c>
      <c r="BR690" s="8">
        <f t="shared" si="2"/>
        <v>9</v>
      </c>
    </row>
    <row r="691" spans="1:70" ht="14">
      <c r="A691" s="4" t="str">
        <v>Alternatif Periode ke-89 I.B.1</v>
      </c>
      <c r="B691" s="4" t="s">
        <v>8527</v>
      </c>
      <c r="C691" s="4" t="s">
        <v>260</v>
      </c>
      <c r="D691" s="4" t="s">
        <v>6788</v>
      </c>
      <c r="E691" s="4" t="s">
        <v>8562</v>
      </c>
      <c r="F691" s="4" t="s">
        <v>520</v>
      </c>
      <c r="G691" s="6" t="s">
        <v>8563</v>
      </c>
      <c r="H691" s="92" t="s">
        <v>8564</v>
      </c>
      <c r="I691" s="92" t="s">
        <v>8565</v>
      </c>
      <c r="J691" s="92" t="s">
        <v>6807</v>
      </c>
      <c r="K691" s="92" t="s">
        <v>8566</v>
      </c>
      <c r="L691" s="92" t="s">
        <v>8567</v>
      </c>
      <c r="M691" s="92" t="s">
        <v>8568</v>
      </c>
      <c r="N691" s="92" t="s">
        <v>8569</v>
      </c>
      <c r="O691" s="92" t="s">
        <v>8570</v>
      </c>
      <c r="P691" s="92" t="s">
        <v>8571</v>
      </c>
      <c r="S691" s="6">
        <v>1900012249</v>
      </c>
      <c r="T691" s="92">
        <v>1900026064</v>
      </c>
      <c r="U691" s="92">
        <v>1900029308</v>
      </c>
      <c r="V691" s="92">
        <v>1900031377</v>
      </c>
      <c r="W691" s="92">
        <v>2000001082</v>
      </c>
      <c r="X691" s="92">
        <v>2000008063</v>
      </c>
      <c r="Y691" s="92">
        <v>2000014028</v>
      </c>
      <c r="Z691" s="92">
        <v>2000031028</v>
      </c>
      <c r="AA691" s="92">
        <v>2011331022</v>
      </c>
      <c r="AB691" s="92">
        <v>2015001120</v>
      </c>
      <c r="AE691" s="6" t="s">
        <v>885</v>
      </c>
      <c r="AF691" s="92" t="s">
        <v>570</v>
      </c>
      <c r="AG691" s="92" t="s">
        <v>533</v>
      </c>
      <c r="AH691" s="92" t="s">
        <v>185</v>
      </c>
      <c r="AI691" s="92" t="s">
        <v>180</v>
      </c>
      <c r="AJ691" s="92" t="s">
        <v>1111</v>
      </c>
      <c r="AK691" s="92" t="s">
        <v>770</v>
      </c>
      <c r="AL691" s="92" t="s">
        <v>185</v>
      </c>
      <c r="AM691" s="92" t="s">
        <v>546</v>
      </c>
      <c r="AN691" s="92" t="s">
        <v>180</v>
      </c>
      <c r="AQ691" s="60" t="s">
        <v>187</v>
      </c>
      <c r="AR691" s="93" t="s">
        <v>187</v>
      </c>
      <c r="AS691" s="93" t="s">
        <v>186</v>
      </c>
      <c r="AT691" s="93" t="s">
        <v>187</v>
      </c>
      <c r="AU691" s="93" t="s">
        <v>187</v>
      </c>
      <c r="AV691" s="93" t="s">
        <v>186</v>
      </c>
      <c r="AW691" s="93" t="s">
        <v>186</v>
      </c>
      <c r="AX691" s="93" t="s">
        <v>186</v>
      </c>
      <c r="AY691" s="93" t="s">
        <v>186</v>
      </c>
      <c r="AZ691" s="93" t="s">
        <v>186</v>
      </c>
      <c r="BC691" s="60">
        <v>82252631598</v>
      </c>
      <c r="BD691" s="93">
        <v>8998415903</v>
      </c>
      <c r="BE691" s="93">
        <v>85232059644</v>
      </c>
      <c r="BF691" s="93">
        <v>81281867619</v>
      </c>
      <c r="BG691" s="93">
        <v>89609640208</v>
      </c>
      <c r="BH691" s="93">
        <v>85223525727</v>
      </c>
      <c r="BI691" s="93">
        <v>8972804327</v>
      </c>
      <c r="BJ691" s="93">
        <v>82240583935</v>
      </c>
      <c r="BK691" s="93">
        <v>81510867271</v>
      </c>
      <c r="BL691" s="93">
        <v>85600824199</v>
      </c>
      <c r="BO691" s="71">
        <v>60010216</v>
      </c>
      <c r="BP691" s="18" t="s">
        <v>8572</v>
      </c>
      <c r="BQ691" s="37">
        <v>45226</v>
      </c>
      <c r="BR691" s="8">
        <f t="shared" si="2"/>
        <v>10</v>
      </c>
    </row>
    <row r="692" spans="1:70" ht="14">
      <c r="A692" s="4" t="str">
        <v>Alternatif Periode ke-89 I.B.2</v>
      </c>
      <c r="B692" s="4" t="s">
        <v>8527</v>
      </c>
      <c r="C692" s="4" t="s">
        <v>280</v>
      </c>
      <c r="D692" s="4" t="s">
        <v>6788</v>
      </c>
      <c r="E692" s="4" t="s">
        <v>8573</v>
      </c>
      <c r="F692" s="4" t="s">
        <v>520</v>
      </c>
      <c r="G692" s="6" t="s">
        <v>8574</v>
      </c>
      <c r="H692" s="92" t="s">
        <v>8575</v>
      </c>
      <c r="I692" s="92" t="s">
        <v>8576</v>
      </c>
      <c r="J692" s="92" t="s">
        <v>8577</v>
      </c>
      <c r="K692" s="92" t="s">
        <v>8578</v>
      </c>
      <c r="L692" s="92" t="s">
        <v>8579</v>
      </c>
      <c r="M692" s="92" t="s">
        <v>8580</v>
      </c>
      <c r="N692" s="92" t="s">
        <v>8581</v>
      </c>
      <c r="O692" s="92" t="s">
        <v>8582</v>
      </c>
      <c r="S692" s="6">
        <v>1900012156</v>
      </c>
      <c r="T692" s="92">
        <v>1900015009</v>
      </c>
      <c r="U692" s="92">
        <v>2000001028</v>
      </c>
      <c r="V692" s="92">
        <v>2000001177</v>
      </c>
      <c r="W692" s="92">
        <v>2000008052</v>
      </c>
      <c r="X692" s="92">
        <v>2000026203</v>
      </c>
      <c r="Y692" s="92">
        <v>2000029036</v>
      </c>
      <c r="Z692" s="92">
        <v>2000031069</v>
      </c>
      <c r="AA692" s="92">
        <v>2000031086</v>
      </c>
      <c r="AE692" s="6" t="s">
        <v>885</v>
      </c>
      <c r="AF692" s="92" t="s">
        <v>937</v>
      </c>
      <c r="AG692" s="92" t="s">
        <v>180</v>
      </c>
      <c r="AH692" s="92" t="s">
        <v>180</v>
      </c>
      <c r="AI692" s="92" t="s">
        <v>1111</v>
      </c>
      <c r="AJ692" s="92" t="s">
        <v>570</v>
      </c>
      <c r="AK692" s="92" t="s">
        <v>533</v>
      </c>
      <c r="AL692" s="92" t="s">
        <v>185</v>
      </c>
      <c r="AM692" s="92" t="s">
        <v>185</v>
      </c>
      <c r="AQ692" s="60" t="s">
        <v>187</v>
      </c>
      <c r="AR692" s="93" t="s">
        <v>186</v>
      </c>
      <c r="AS692" s="93" t="s">
        <v>187</v>
      </c>
      <c r="AT692" s="93" t="s">
        <v>186</v>
      </c>
      <c r="AU692" s="93" t="s">
        <v>186</v>
      </c>
      <c r="AV692" s="93" t="s">
        <v>187</v>
      </c>
      <c r="AW692" s="93" t="s">
        <v>186</v>
      </c>
      <c r="AX692" s="93" t="s">
        <v>186</v>
      </c>
      <c r="AY692" s="93" t="s">
        <v>187</v>
      </c>
      <c r="BC692" s="60">
        <v>81388574100</v>
      </c>
      <c r="BD692" s="93">
        <v>895613988397</v>
      </c>
      <c r="BE692" s="93">
        <v>85226313580</v>
      </c>
      <c r="BF692" s="93">
        <v>81215939844</v>
      </c>
      <c r="BG692" s="93">
        <v>88215907348</v>
      </c>
      <c r="BH692" s="93">
        <v>895622648855</v>
      </c>
      <c r="BI692" s="93">
        <v>89673799699</v>
      </c>
      <c r="BJ692" s="93">
        <v>81390389174</v>
      </c>
      <c r="BK692" s="93">
        <v>89601603701</v>
      </c>
      <c r="BO692" s="71">
        <v>60010216</v>
      </c>
      <c r="BP692" s="18" t="s">
        <v>8583</v>
      </c>
      <c r="BQ692" s="37">
        <v>45226</v>
      </c>
      <c r="BR692" s="8">
        <f t="shared" si="2"/>
        <v>9</v>
      </c>
    </row>
    <row r="693" spans="1:70" ht="14">
      <c r="A693" s="4" t="str">
        <v>Alternatif Periode ke-89 I.B.3</v>
      </c>
      <c r="B693" s="4" t="s">
        <v>8527</v>
      </c>
      <c r="C693" s="4" t="s">
        <v>299</v>
      </c>
      <c r="D693" s="4" t="s">
        <v>6788</v>
      </c>
      <c r="E693" s="4" t="s">
        <v>8584</v>
      </c>
      <c r="F693" s="4" t="s">
        <v>520</v>
      </c>
      <c r="G693" s="6" t="s">
        <v>8585</v>
      </c>
      <c r="H693" s="92" t="s">
        <v>8586</v>
      </c>
      <c r="I693" s="92" t="s">
        <v>8587</v>
      </c>
      <c r="J693" s="92" t="s">
        <v>8588</v>
      </c>
      <c r="K693" s="92" t="s">
        <v>8589</v>
      </c>
      <c r="L693" s="92" t="s">
        <v>8590</v>
      </c>
      <c r="M693" s="92" t="s">
        <v>8591</v>
      </c>
      <c r="N693" s="92" t="s">
        <v>8592</v>
      </c>
      <c r="O693" s="92" t="s">
        <v>8593</v>
      </c>
      <c r="S693" s="6">
        <v>1800008065</v>
      </c>
      <c r="T693" s="92">
        <v>1800026080</v>
      </c>
      <c r="U693" s="92">
        <v>1900029241</v>
      </c>
      <c r="V693" s="92">
        <v>2000001149</v>
      </c>
      <c r="W693" s="92">
        <v>2000001172</v>
      </c>
      <c r="X693" s="92">
        <v>2000013314</v>
      </c>
      <c r="Y693" s="92">
        <v>2000016078</v>
      </c>
      <c r="Z693" s="92">
        <v>2000031107</v>
      </c>
      <c r="AA693" s="92">
        <v>2000031231</v>
      </c>
      <c r="AE693" s="6" t="s">
        <v>1111</v>
      </c>
      <c r="AF693" s="92" t="s">
        <v>570</v>
      </c>
      <c r="AG693" s="92" t="s">
        <v>533</v>
      </c>
      <c r="AH693" s="92" t="s">
        <v>180</v>
      </c>
      <c r="AI693" s="92" t="s">
        <v>180</v>
      </c>
      <c r="AJ693" s="92" t="s">
        <v>677</v>
      </c>
      <c r="AK693" s="92" t="s">
        <v>531</v>
      </c>
      <c r="AL693" s="92" t="s">
        <v>185</v>
      </c>
      <c r="AM693" s="92" t="s">
        <v>185</v>
      </c>
      <c r="AQ693" s="60" t="s">
        <v>186</v>
      </c>
      <c r="AR693" s="93" t="s">
        <v>187</v>
      </c>
      <c r="AS693" s="93" t="s">
        <v>186</v>
      </c>
      <c r="AT693" s="93" t="s">
        <v>186</v>
      </c>
      <c r="AU693" s="93" t="s">
        <v>187</v>
      </c>
      <c r="AV693" s="93" t="s">
        <v>187</v>
      </c>
      <c r="AW693" s="93" t="s">
        <v>186</v>
      </c>
      <c r="AX693" s="93" t="s">
        <v>186</v>
      </c>
      <c r="AY693" s="93" t="s">
        <v>187</v>
      </c>
      <c r="BC693" s="60">
        <v>895604714667</v>
      </c>
      <c r="BD693" s="93">
        <v>87854756718</v>
      </c>
      <c r="BE693" s="93">
        <v>82138365224</v>
      </c>
      <c r="BF693" s="93">
        <v>82221896245</v>
      </c>
      <c r="BG693" s="93">
        <v>82172668760</v>
      </c>
      <c r="BH693" s="93">
        <v>85865725688</v>
      </c>
      <c r="BI693" s="93">
        <v>81584512809</v>
      </c>
      <c r="BJ693" s="93">
        <v>82155786667</v>
      </c>
      <c r="BK693" s="93">
        <v>82241098235</v>
      </c>
      <c r="BO693" s="71">
        <v>60010216</v>
      </c>
      <c r="BP693" s="18" t="s">
        <v>8594</v>
      </c>
      <c r="BQ693" s="37">
        <v>45226</v>
      </c>
      <c r="BR693" s="8">
        <f t="shared" si="2"/>
        <v>9</v>
      </c>
    </row>
    <row r="694" spans="1:70" ht="14">
      <c r="A694" s="4" t="str">
        <v>Alternatif Periode ke-89 I.C.1</v>
      </c>
      <c r="B694" s="4" t="s">
        <v>8527</v>
      </c>
      <c r="C694" s="4" t="s">
        <v>320</v>
      </c>
      <c r="D694" s="4" t="s">
        <v>4926</v>
      </c>
      <c r="E694" s="4" t="s">
        <v>8595</v>
      </c>
      <c r="F694" s="4" t="s">
        <v>520</v>
      </c>
      <c r="G694" s="6" t="s">
        <v>8596</v>
      </c>
      <c r="H694" s="92" t="s">
        <v>8597</v>
      </c>
      <c r="I694" s="92" t="s">
        <v>8598</v>
      </c>
      <c r="J694" s="92" t="s">
        <v>8599</v>
      </c>
      <c r="K694" s="92" t="s">
        <v>8600</v>
      </c>
      <c r="L694" s="92" t="s">
        <v>8601</v>
      </c>
      <c r="M694" s="92" t="s">
        <v>8602</v>
      </c>
      <c r="N694" s="92" t="s">
        <v>8603</v>
      </c>
      <c r="O694" s="92" t="s">
        <v>8604</v>
      </c>
      <c r="P694" s="92" t="s">
        <v>8605</v>
      </c>
      <c r="S694" s="6">
        <v>1900026288</v>
      </c>
      <c r="T694" s="92">
        <v>2000001050</v>
      </c>
      <c r="U694" s="92">
        <v>2000001158</v>
      </c>
      <c r="V694" s="92">
        <v>2000008057</v>
      </c>
      <c r="W694" s="92">
        <v>2000013320</v>
      </c>
      <c r="X694" s="92">
        <v>2000016109</v>
      </c>
      <c r="Y694" s="92">
        <v>2000029254</v>
      </c>
      <c r="Z694" s="92">
        <v>2000031036</v>
      </c>
      <c r="AA694" s="92">
        <v>2000031253</v>
      </c>
      <c r="AB694" s="92">
        <v>2000331013</v>
      </c>
      <c r="AE694" s="6" t="s">
        <v>570</v>
      </c>
      <c r="AF694" s="92" t="s">
        <v>180</v>
      </c>
      <c r="AG694" s="92" t="s">
        <v>180</v>
      </c>
      <c r="AH694" s="92" t="s">
        <v>1111</v>
      </c>
      <c r="AI694" s="92" t="s">
        <v>677</v>
      </c>
      <c r="AJ694" s="92" t="s">
        <v>531</v>
      </c>
      <c r="AK694" s="92" t="s">
        <v>533</v>
      </c>
      <c r="AL694" s="92" t="s">
        <v>185</v>
      </c>
      <c r="AM694" s="92" t="s">
        <v>185</v>
      </c>
      <c r="AN694" s="92" t="s">
        <v>546</v>
      </c>
      <c r="AQ694" s="60" t="s">
        <v>187</v>
      </c>
      <c r="AR694" s="93" t="s">
        <v>186</v>
      </c>
      <c r="AS694" s="93" t="s">
        <v>187</v>
      </c>
      <c r="AT694" s="93" t="s">
        <v>186</v>
      </c>
      <c r="AU694" s="93" t="s">
        <v>187</v>
      </c>
      <c r="AV694" s="93" t="s">
        <v>186</v>
      </c>
      <c r="AW694" s="93" t="s">
        <v>186</v>
      </c>
      <c r="AX694" s="93" t="s">
        <v>187</v>
      </c>
      <c r="AY694" s="93" t="s">
        <v>186</v>
      </c>
      <c r="AZ694" s="93" t="s">
        <v>186</v>
      </c>
      <c r="BC694" s="60">
        <v>6285294586989</v>
      </c>
      <c r="BD694" s="93">
        <v>83126778386</v>
      </c>
      <c r="BE694" s="93">
        <v>81329298389</v>
      </c>
      <c r="BF694" s="93">
        <v>85705044139</v>
      </c>
      <c r="BG694" s="93">
        <v>82351985988</v>
      </c>
      <c r="BH694" s="93">
        <v>81230001294</v>
      </c>
      <c r="BI694" s="93">
        <v>82288750305</v>
      </c>
      <c r="BJ694" s="93">
        <v>82324702348</v>
      </c>
      <c r="BK694" s="93">
        <v>83131518090</v>
      </c>
      <c r="BL694" s="93">
        <v>83869194777</v>
      </c>
      <c r="BO694" s="39">
        <v>60030475</v>
      </c>
      <c r="BP694" s="18" t="s">
        <v>8606</v>
      </c>
      <c r="BQ694" s="37">
        <v>45226</v>
      </c>
      <c r="BR694" s="8">
        <f t="shared" si="2"/>
        <v>10</v>
      </c>
    </row>
    <row r="695" spans="1:70" ht="14">
      <c r="A695" s="4" t="str">
        <v>Alternatif Periode ke-89 I.C.2</v>
      </c>
      <c r="B695" s="4" t="s">
        <v>8527</v>
      </c>
      <c r="C695" s="4" t="s">
        <v>340</v>
      </c>
      <c r="D695" s="4" t="s">
        <v>4926</v>
      </c>
      <c r="E695" s="4" t="s">
        <v>8607</v>
      </c>
      <c r="F695" s="4" t="s">
        <v>520</v>
      </c>
      <c r="G695" s="6" t="s">
        <v>8608</v>
      </c>
      <c r="H695" s="92" t="s">
        <v>8609</v>
      </c>
      <c r="I695" s="92" t="s">
        <v>8610</v>
      </c>
      <c r="J695" s="92" t="s">
        <v>8611</v>
      </c>
      <c r="K695" s="92" t="s">
        <v>8612</v>
      </c>
      <c r="L695" s="92" t="s">
        <v>8613</v>
      </c>
      <c r="M695" s="92" t="s">
        <v>8614</v>
      </c>
      <c r="N695" s="92" t="s">
        <v>8615</v>
      </c>
      <c r="O695" s="92" t="s">
        <v>8616</v>
      </c>
      <c r="S695" s="6">
        <v>1900016139</v>
      </c>
      <c r="T695" s="92">
        <v>1914002052</v>
      </c>
      <c r="U695" s="92">
        <v>2000001159</v>
      </c>
      <c r="V695" s="92">
        <v>2000008015</v>
      </c>
      <c r="W695" s="92">
        <v>2000013207</v>
      </c>
      <c r="X695" s="92">
        <v>2000026224</v>
      </c>
      <c r="Y695" s="92">
        <v>2000029027</v>
      </c>
      <c r="Z695" s="92">
        <v>2000031073</v>
      </c>
      <c r="AA695" s="92">
        <v>2000031157</v>
      </c>
      <c r="AE695" s="6" t="s">
        <v>531</v>
      </c>
      <c r="AF695" s="92" t="s">
        <v>1043</v>
      </c>
      <c r="AG695" s="92" t="s">
        <v>180</v>
      </c>
      <c r="AH695" s="92" t="s">
        <v>1111</v>
      </c>
      <c r="AI695" s="92" t="s">
        <v>677</v>
      </c>
      <c r="AJ695" s="92" t="s">
        <v>570</v>
      </c>
      <c r="AK695" s="92" t="s">
        <v>533</v>
      </c>
      <c r="AL695" s="92" t="s">
        <v>185</v>
      </c>
      <c r="AM695" s="92" t="s">
        <v>185</v>
      </c>
      <c r="AQ695" s="60" t="s">
        <v>186</v>
      </c>
      <c r="AR695" s="93" t="s">
        <v>186</v>
      </c>
      <c r="AS695" s="93" t="s">
        <v>187</v>
      </c>
      <c r="AT695" s="93" t="s">
        <v>186</v>
      </c>
      <c r="AU695" s="93" t="s">
        <v>187</v>
      </c>
      <c r="AV695" s="93" t="s">
        <v>187</v>
      </c>
      <c r="AW695" s="93" t="s">
        <v>186</v>
      </c>
      <c r="AX695" s="93" t="s">
        <v>187</v>
      </c>
      <c r="AY695" s="93" t="s">
        <v>186</v>
      </c>
      <c r="BC695" s="60">
        <v>82269120169</v>
      </c>
      <c r="BD695" s="93">
        <v>82134126223</v>
      </c>
      <c r="BE695" s="93">
        <v>85869288109</v>
      </c>
      <c r="BF695" s="93">
        <v>82337810330</v>
      </c>
      <c r="BG695" s="93">
        <v>85817373624</v>
      </c>
      <c r="BH695" s="93">
        <v>81914914599</v>
      </c>
      <c r="BI695" s="93">
        <v>81251208213</v>
      </c>
      <c r="BJ695" s="93">
        <v>85540640197</v>
      </c>
      <c r="BK695" s="93">
        <v>82144735823</v>
      </c>
      <c r="BO695" s="39">
        <v>60030475</v>
      </c>
      <c r="BP695" s="18" t="s">
        <v>8617</v>
      </c>
      <c r="BQ695" s="37">
        <v>45226</v>
      </c>
      <c r="BR695" s="8">
        <f t="shared" si="2"/>
        <v>9</v>
      </c>
    </row>
    <row r="696" spans="1:70" ht="14">
      <c r="A696" s="4" t="str">
        <v>Alternatif Periode ke-89 I.C.3</v>
      </c>
      <c r="B696" s="4" t="s">
        <v>8527</v>
      </c>
      <c r="C696" s="4" t="s">
        <v>360</v>
      </c>
      <c r="D696" s="4" t="s">
        <v>4926</v>
      </c>
      <c r="E696" s="4" t="s">
        <v>8618</v>
      </c>
      <c r="F696" s="4" t="s">
        <v>520</v>
      </c>
      <c r="G696" s="6" t="s">
        <v>8619</v>
      </c>
      <c r="H696" s="92" t="s">
        <v>8620</v>
      </c>
      <c r="I696" s="92" t="s">
        <v>8621</v>
      </c>
      <c r="J696" s="92" t="s">
        <v>8622</v>
      </c>
      <c r="K696" s="92" t="s">
        <v>8623</v>
      </c>
      <c r="L696" s="92" t="s">
        <v>8624</v>
      </c>
      <c r="M696" s="92" t="s">
        <v>8625</v>
      </c>
      <c r="N696" s="92" t="s">
        <v>8626</v>
      </c>
      <c r="O696" s="92" t="s">
        <v>8627</v>
      </c>
      <c r="S696" s="6">
        <v>1900026278</v>
      </c>
      <c r="T696" s="92">
        <v>2000001195</v>
      </c>
      <c r="U696" s="92">
        <v>2000003039</v>
      </c>
      <c r="V696" s="92">
        <v>2000008056</v>
      </c>
      <c r="W696" s="92">
        <v>2000013081</v>
      </c>
      <c r="X696" s="92">
        <v>2000016077</v>
      </c>
      <c r="Y696" s="92">
        <v>2000029191</v>
      </c>
      <c r="Z696" s="92">
        <v>2000031094</v>
      </c>
      <c r="AA696" s="92">
        <v>2000031168</v>
      </c>
      <c r="AE696" s="6" t="s">
        <v>570</v>
      </c>
      <c r="AF696" s="92" t="s">
        <v>180</v>
      </c>
      <c r="AG696" s="92" t="s">
        <v>178</v>
      </c>
      <c r="AH696" s="92" t="s">
        <v>1111</v>
      </c>
      <c r="AI696" s="92" t="s">
        <v>677</v>
      </c>
      <c r="AJ696" s="92" t="s">
        <v>531</v>
      </c>
      <c r="AK696" s="92" t="s">
        <v>533</v>
      </c>
      <c r="AL696" s="92" t="s">
        <v>185</v>
      </c>
      <c r="AM696" s="92" t="s">
        <v>185</v>
      </c>
      <c r="AQ696" s="60" t="s">
        <v>187</v>
      </c>
      <c r="AR696" s="93" t="s">
        <v>187</v>
      </c>
      <c r="AS696" s="93" t="s">
        <v>186</v>
      </c>
      <c r="AT696" s="93" t="s">
        <v>186</v>
      </c>
      <c r="AU696" s="93" t="s">
        <v>187</v>
      </c>
      <c r="AV696" s="93" t="s">
        <v>186</v>
      </c>
      <c r="AW696" s="93" t="s">
        <v>186</v>
      </c>
      <c r="AX696" s="93" t="s">
        <v>187</v>
      </c>
      <c r="AY696" s="93" t="s">
        <v>186</v>
      </c>
      <c r="BC696" s="60">
        <v>82124635921</v>
      </c>
      <c r="BD696" s="93">
        <v>83861004412</v>
      </c>
      <c r="BE696" s="93">
        <v>85267650773</v>
      </c>
      <c r="BF696" s="93">
        <v>82265469058</v>
      </c>
      <c r="BG696" s="93">
        <v>87762160023</v>
      </c>
      <c r="BH696" s="93">
        <v>85853878030</v>
      </c>
      <c r="BI696" s="93">
        <v>83865410956</v>
      </c>
      <c r="BJ696" s="93">
        <v>82133821877</v>
      </c>
      <c r="BK696" s="93">
        <v>87773257121</v>
      </c>
      <c r="BO696" s="39">
        <v>60030475</v>
      </c>
      <c r="BP696" s="18" t="s">
        <v>8628</v>
      </c>
      <c r="BQ696" s="37">
        <v>45226</v>
      </c>
      <c r="BR696" s="8">
        <f t="shared" si="2"/>
        <v>9</v>
      </c>
    </row>
    <row r="697" spans="1:70" ht="14">
      <c r="A697" s="4" t="str">
        <v>Alternatif Periode ke-89 I.D.1</v>
      </c>
      <c r="B697" s="4" t="s">
        <v>8527</v>
      </c>
      <c r="C697" s="4" t="s">
        <v>379</v>
      </c>
      <c r="D697" s="4" t="s">
        <v>6751</v>
      </c>
      <c r="E697" s="4" t="s">
        <v>8629</v>
      </c>
      <c r="F697" s="4" t="s">
        <v>520</v>
      </c>
      <c r="G697" s="6" t="s">
        <v>8630</v>
      </c>
      <c r="H697" s="92" t="s">
        <v>8631</v>
      </c>
      <c r="I697" s="92" t="s">
        <v>8632</v>
      </c>
      <c r="J697" s="92" t="s">
        <v>8633</v>
      </c>
      <c r="K697" s="92" t="s">
        <v>8634</v>
      </c>
      <c r="L697" s="92" t="s">
        <v>8635</v>
      </c>
      <c r="M697" s="92" t="s">
        <v>8636</v>
      </c>
      <c r="N697" s="92" t="s">
        <v>8637</v>
      </c>
      <c r="O697" s="92" t="s">
        <v>8638</v>
      </c>
      <c r="P697" s="92" t="s">
        <v>8639</v>
      </c>
      <c r="S697" s="6">
        <v>1700026186</v>
      </c>
      <c r="T697" s="92">
        <v>1800013368</v>
      </c>
      <c r="U697" s="92">
        <v>2000001193</v>
      </c>
      <c r="V697" s="92">
        <v>2000003013</v>
      </c>
      <c r="W697" s="92">
        <v>2000008043</v>
      </c>
      <c r="X697" s="92">
        <v>2000016041</v>
      </c>
      <c r="Y697" s="92">
        <v>2000029037</v>
      </c>
      <c r="Z697" s="92">
        <v>2000031027</v>
      </c>
      <c r="AA697" s="92">
        <v>2000031234</v>
      </c>
      <c r="AB697" s="92">
        <v>2000331023</v>
      </c>
      <c r="AE697" s="6" t="s">
        <v>570</v>
      </c>
      <c r="AF697" s="92" t="s">
        <v>677</v>
      </c>
      <c r="AG697" s="92" t="s">
        <v>180</v>
      </c>
      <c r="AH697" s="92" t="s">
        <v>178</v>
      </c>
      <c r="AI697" s="92" t="s">
        <v>1111</v>
      </c>
      <c r="AJ697" s="92" t="s">
        <v>531</v>
      </c>
      <c r="AK697" s="92" t="s">
        <v>533</v>
      </c>
      <c r="AL697" s="92" t="s">
        <v>185</v>
      </c>
      <c r="AM697" s="92" t="s">
        <v>185</v>
      </c>
      <c r="AN697" s="92" t="s">
        <v>546</v>
      </c>
      <c r="AQ697" s="60" t="s">
        <v>187</v>
      </c>
      <c r="AR697" s="93" t="s">
        <v>187</v>
      </c>
      <c r="AS697" s="93" t="s">
        <v>187</v>
      </c>
      <c r="AT697" s="93" t="s">
        <v>186</v>
      </c>
      <c r="AU697" s="93" t="s">
        <v>186</v>
      </c>
      <c r="AV697" s="93" t="s">
        <v>186</v>
      </c>
      <c r="AW697" s="93" t="s">
        <v>186</v>
      </c>
      <c r="AX697" s="93" t="s">
        <v>187</v>
      </c>
      <c r="AY697" s="93" t="s">
        <v>186</v>
      </c>
      <c r="AZ697" s="93" t="s">
        <v>186</v>
      </c>
      <c r="BC697" s="60">
        <v>87710556357</v>
      </c>
      <c r="BD697" s="93">
        <v>81392932565</v>
      </c>
      <c r="BE697" s="93">
        <v>6282265229388</v>
      </c>
      <c r="BF697" s="93">
        <v>82115658848</v>
      </c>
      <c r="BG697" s="93">
        <v>85878179035</v>
      </c>
      <c r="BH697" s="93">
        <v>87874084907</v>
      </c>
      <c r="BI697" s="93">
        <v>82199338275</v>
      </c>
      <c r="BJ697" s="93">
        <v>82278014938</v>
      </c>
      <c r="BK697" s="93">
        <v>85624495944</v>
      </c>
      <c r="BL697" s="93">
        <v>85228187177</v>
      </c>
      <c r="BO697" s="70">
        <v>60171101</v>
      </c>
      <c r="BP697" s="18" t="s">
        <v>8640</v>
      </c>
      <c r="BQ697" s="37">
        <v>45226</v>
      </c>
      <c r="BR697" s="8">
        <f t="shared" si="2"/>
        <v>10</v>
      </c>
    </row>
    <row r="698" spans="1:70" ht="14">
      <c r="A698" s="4" t="str">
        <v>Alternatif Periode ke-89 I.D.2</v>
      </c>
      <c r="B698" s="4" t="s">
        <v>8527</v>
      </c>
      <c r="C698" s="4" t="s">
        <v>642</v>
      </c>
      <c r="D698" s="4" t="s">
        <v>6751</v>
      </c>
      <c r="E698" s="4" t="s">
        <v>8641</v>
      </c>
      <c r="F698" s="4" t="s">
        <v>520</v>
      </c>
      <c r="G698" s="6" t="s">
        <v>8642</v>
      </c>
      <c r="H698" s="92" t="s">
        <v>8643</v>
      </c>
      <c r="I698" s="92" t="s">
        <v>8644</v>
      </c>
      <c r="J698" s="92" t="s">
        <v>8645</v>
      </c>
      <c r="K698" s="92" t="s">
        <v>8646</v>
      </c>
      <c r="L698" s="92" t="s">
        <v>8647</v>
      </c>
      <c r="M698" s="92" t="s">
        <v>8648</v>
      </c>
      <c r="N698" s="92" t="s">
        <v>8649</v>
      </c>
      <c r="O698" s="92" t="s">
        <v>8650</v>
      </c>
      <c r="S698" s="6">
        <v>1900026034</v>
      </c>
      <c r="T698" s="92">
        <v>2000001021</v>
      </c>
      <c r="U698" s="92">
        <v>2000003010</v>
      </c>
      <c r="V698" s="92">
        <v>2000008034</v>
      </c>
      <c r="W698" s="92">
        <v>2000013101</v>
      </c>
      <c r="X698" s="92">
        <v>2000017047</v>
      </c>
      <c r="Y698" s="92">
        <v>2000029163</v>
      </c>
      <c r="Z698" s="92">
        <v>2000031096</v>
      </c>
      <c r="AA698" s="92">
        <v>2000032184</v>
      </c>
      <c r="AE698" s="6" t="s">
        <v>570</v>
      </c>
      <c r="AF698" s="92" t="s">
        <v>180</v>
      </c>
      <c r="AG698" s="92" t="s">
        <v>178</v>
      </c>
      <c r="AH698" s="92" t="s">
        <v>1111</v>
      </c>
      <c r="AI698" s="92" t="s">
        <v>677</v>
      </c>
      <c r="AJ698" s="92" t="s">
        <v>183</v>
      </c>
      <c r="AK698" s="92" t="s">
        <v>533</v>
      </c>
      <c r="AL698" s="92" t="s">
        <v>185</v>
      </c>
      <c r="AM698" s="92" t="s">
        <v>732</v>
      </c>
      <c r="AQ698" s="60" t="s">
        <v>187</v>
      </c>
      <c r="AR698" s="93" t="s">
        <v>187</v>
      </c>
      <c r="AS698" s="93" t="s">
        <v>186</v>
      </c>
      <c r="AT698" s="93" t="s">
        <v>186</v>
      </c>
      <c r="AU698" s="93" t="s">
        <v>187</v>
      </c>
      <c r="AV698" s="93" t="s">
        <v>186</v>
      </c>
      <c r="AW698" s="93" t="s">
        <v>186</v>
      </c>
      <c r="AX698" s="93" t="s">
        <v>186</v>
      </c>
      <c r="AY698" s="93" t="s">
        <v>187</v>
      </c>
      <c r="BC698" s="60">
        <v>81268282113</v>
      </c>
      <c r="BD698" s="93">
        <v>85747014323</v>
      </c>
      <c r="BE698" s="93">
        <v>87897121244</v>
      </c>
      <c r="BF698" s="93">
        <v>81226579127</v>
      </c>
      <c r="BG698" s="93">
        <v>89654367161</v>
      </c>
      <c r="BH698" s="93">
        <v>85878598834</v>
      </c>
      <c r="BI698" s="93">
        <v>8994545931</v>
      </c>
      <c r="BJ698" s="93">
        <v>8979847786</v>
      </c>
      <c r="BK698" s="93">
        <v>82145685723</v>
      </c>
      <c r="BO698" s="70">
        <v>60171101</v>
      </c>
      <c r="BP698" s="18" t="s">
        <v>8651</v>
      </c>
      <c r="BQ698" s="37">
        <v>45226</v>
      </c>
      <c r="BR698" s="8">
        <f t="shared" si="2"/>
        <v>9</v>
      </c>
    </row>
    <row r="699" spans="1:70" ht="14">
      <c r="A699" s="4" t="str">
        <v>Alternatif Periode ke-89 I.D.3</v>
      </c>
      <c r="B699" s="4" t="s">
        <v>8527</v>
      </c>
      <c r="C699" s="4" t="s">
        <v>654</v>
      </c>
      <c r="D699" s="4" t="s">
        <v>6751</v>
      </c>
      <c r="E699" s="4" t="s">
        <v>8652</v>
      </c>
      <c r="F699" s="4" t="s">
        <v>520</v>
      </c>
      <c r="G699" s="6" t="s">
        <v>8653</v>
      </c>
      <c r="H699" s="92" t="s">
        <v>8654</v>
      </c>
      <c r="I699" s="92" t="s">
        <v>8655</v>
      </c>
      <c r="J699" s="92" t="s">
        <v>8656</v>
      </c>
      <c r="K699" s="92" t="s">
        <v>8657</v>
      </c>
      <c r="L699" s="92" t="s">
        <v>8658</v>
      </c>
      <c r="M699" s="92" t="s">
        <v>8659</v>
      </c>
      <c r="N699" s="92" t="s">
        <v>8660</v>
      </c>
      <c r="O699" s="92" t="s">
        <v>8661</v>
      </c>
      <c r="S699" s="6">
        <v>1800032101</v>
      </c>
      <c r="T699" s="92">
        <v>1900016129</v>
      </c>
      <c r="U699" s="92">
        <v>1900026178</v>
      </c>
      <c r="V699" s="92">
        <v>2000001013</v>
      </c>
      <c r="W699" s="92">
        <v>2000003093</v>
      </c>
      <c r="X699" s="92">
        <v>2000008042</v>
      </c>
      <c r="Y699" s="92">
        <v>2000017002</v>
      </c>
      <c r="Z699" s="92">
        <v>2000029151</v>
      </c>
      <c r="AA699" s="92">
        <v>2000031266</v>
      </c>
      <c r="AE699" s="6" t="s">
        <v>732</v>
      </c>
      <c r="AF699" s="92" t="s">
        <v>531</v>
      </c>
      <c r="AG699" s="92" t="s">
        <v>570</v>
      </c>
      <c r="AH699" s="92" t="s">
        <v>180</v>
      </c>
      <c r="AI699" s="92" t="s">
        <v>178</v>
      </c>
      <c r="AJ699" s="92" t="s">
        <v>1111</v>
      </c>
      <c r="AK699" s="92" t="s">
        <v>183</v>
      </c>
      <c r="AL699" s="92" t="s">
        <v>533</v>
      </c>
      <c r="AM699" s="92" t="s">
        <v>185</v>
      </c>
      <c r="AQ699" s="60" t="s">
        <v>187</v>
      </c>
      <c r="AR699" s="93" t="s">
        <v>187</v>
      </c>
      <c r="AS699" s="93" t="s">
        <v>187</v>
      </c>
      <c r="AT699" s="93" t="s">
        <v>187</v>
      </c>
      <c r="AU699" s="93" t="s">
        <v>186</v>
      </c>
      <c r="AV699" s="93" t="s">
        <v>186</v>
      </c>
      <c r="AW699" s="93" t="s">
        <v>186</v>
      </c>
      <c r="AX699" s="93" t="s">
        <v>186</v>
      </c>
      <c r="AY699" s="93" t="s">
        <v>186</v>
      </c>
      <c r="BC699" s="60">
        <v>81327969722</v>
      </c>
      <c r="BD699" s="93">
        <v>895397629758</v>
      </c>
      <c r="BE699" s="93">
        <v>82230112486</v>
      </c>
      <c r="BF699" s="93">
        <v>85523978743</v>
      </c>
      <c r="BG699" s="93">
        <v>83131171710</v>
      </c>
      <c r="BH699" s="93">
        <v>83817485754</v>
      </c>
      <c r="BI699" s="93">
        <v>85701407140</v>
      </c>
      <c r="BJ699" s="93">
        <v>85934534104</v>
      </c>
      <c r="BK699" s="93">
        <v>85809561952</v>
      </c>
      <c r="BO699" s="70">
        <v>60171101</v>
      </c>
      <c r="BP699" s="18" t="s">
        <v>8662</v>
      </c>
      <c r="BQ699" s="37">
        <v>45226</v>
      </c>
      <c r="BR699" s="8">
        <f t="shared" si="2"/>
        <v>9</v>
      </c>
    </row>
    <row r="700" spans="1:70" ht="14">
      <c r="A700" s="4" t="str">
        <v>Alternatif Periode ke-89 II.A.1</v>
      </c>
      <c r="B700" s="4" t="s">
        <v>8527</v>
      </c>
      <c r="C700" s="4" t="s">
        <v>680</v>
      </c>
      <c r="D700" s="4" t="s">
        <v>8663</v>
      </c>
      <c r="E700" s="4" t="s">
        <v>8664</v>
      </c>
      <c r="F700" s="4" t="s">
        <v>520</v>
      </c>
      <c r="G700" s="6" t="s">
        <v>8665</v>
      </c>
      <c r="H700" s="92" t="s">
        <v>8666</v>
      </c>
      <c r="I700" s="92" t="s">
        <v>8667</v>
      </c>
      <c r="J700" s="92" t="s">
        <v>8668</v>
      </c>
      <c r="K700" s="92" t="s">
        <v>8669</v>
      </c>
      <c r="L700" s="92" t="s">
        <v>8670</v>
      </c>
      <c r="M700" s="92" t="s">
        <v>8671</v>
      </c>
      <c r="N700" s="92" t="s">
        <v>8672</v>
      </c>
      <c r="O700" s="92" t="s">
        <v>8673</v>
      </c>
      <c r="S700" s="6">
        <v>1800016077</v>
      </c>
      <c r="T700" s="92">
        <v>1900027031</v>
      </c>
      <c r="U700" s="92">
        <v>2000001014</v>
      </c>
      <c r="V700" s="92">
        <v>2000003073</v>
      </c>
      <c r="W700" s="92">
        <v>2000008009</v>
      </c>
      <c r="X700" s="92">
        <v>2000018399</v>
      </c>
      <c r="Y700" s="92">
        <v>2000029216</v>
      </c>
      <c r="Z700" s="92">
        <v>2000031038</v>
      </c>
      <c r="AA700" s="92">
        <v>2000032071</v>
      </c>
      <c r="AE700" s="6" t="s">
        <v>531</v>
      </c>
      <c r="AF700" s="92" t="s">
        <v>1763</v>
      </c>
      <c r="AG700" s="92" t="s">
        <v>180</v>
      </c>
      <c r="AH700" s="92" t="s">
        <v>178</v>
      </c>
      <c r="AI700" s="92" t="s">
        <v>1111</v>
      </c>
      <c r="AJ700" s="92" t="s">
        <v>179</v>
      </c>
      <c r="AK700" s="92" t="s">
        <v>533</v>
      </c>
      <c r="AL700" s="92" t="s">
        <v>185</v>
      </c>
      <c r="AM700" s="92" t="s">
        <v>732</v>
      </c>
      <c r="AQ700" s="60" t="s">
        <v>187</v>
      </c>
      <c r="AR700" s="93" t="s">
        <v>187</v>
      </c>
      <c r="AS700" s="93" t="s">
        <v>187</v>
      </c>
      <c r="AT700" s="93" t="s">
        <v>186</v>
      </c>
      <c r="AU700" s="93" t="s">
        <v>186</v>
      </c>
      <c r="AV700" s="93" t="s">
        <v>186</v>
      </c>
      <c r="AW700" s="93" t="s">
        <v>186</v>
      </c>
      <c r="AX700" s="93" t="s">
        <v>186</v>
      </c>
      <c r="AY700" s="93" t="s">
        <v>187</v>
      </c>
      <c r="BC700" s="60">
        <v>89623260253</v>
      </c>
      <c r="BD700" s="93">
        <v>85841965771</v>
      </c>
      <c r="BE700" s="93">
        <v>81327434080</v>
      </c>
      <c r="BF700" s="93">
        <v>895363170175</v>
      </c>
      <c r="BG700" s="93">
        <v>82134530376</v>
      </c>
      <c r="BH700" s="93">
        <v>81228657155</v>
      </c>
      <c r="BI700" s="93">
        <v>82325444901</v>
      </c>
      <c r="BJ700" s="93">
        <v>85526296864</v>
      </c>
      <c r="BK700" s="93">
        <v>89531518841</v>
      </c>
      <c r="BO700" s="39">
        <v>60160986</v>
      </c>
      <c r="BP700" s="18" t="s">
        <v>8674</v>
      </c>
      <c r="BQ700" s="37">
        <v>45226</v>
      </c>
      <c r="BR700" s="8">
        <f t="shared" si="2"/>
        <v>9</v>
      </c>
    </row>
    <row r="701" spans="1:70" ht="14">
      <c r="A701" s="4" t="str">
        <v>Alternatif Periode ke-89 II.A.2</v>
      </c>
      <c r="B701" s="4" t="s">
        <v>8527</v>
      </c>
      <c r="C701" s="4" t="s">
        <v>694</v>
      </c>
      <c r="D701" s="4" t="s">
        <v>8663</v>
      </c>
      <c r="E701" s="4" t="s">
        <v>8675</v>
      </c>
      <c r="F701" s="4" t="s">
        <v>520</v>
      </c>
      <c r="G701" s="6" t="s">
        <v>8676</v>
      </c>
      <c r="H701" s="92" t="s">
        <v>8677</v>
      </c>
      <c r="I701" s="92" t="s">
        <v>8678</v>
      </c>
      <c r="J701" s="92" t="s">
        <v>8679</v>
      </c>
      <c r="K701" s="92" t="s">
        <v>8680</v>
      </c>
      <c r="L701" s="92" t="s">
        <v>8681</v>
      </c>
      <c r="M701" s="92" t="s">
        <v>8682</v>
      </c>
      <c r="N701" s="92" t="s">
        <v>8683</v>
      </c>
      <c r="O701" s="92" t="s">
        <v>8684</v>
      </c>
      <c r="S701" s="6">
        <v>1900016164</v>
      </c>
      <c r="T701" s="92">
        <v>1900018236</v>
      </c>
      <c r="U701" s="92">
        <v>1900027118</v>
      </c>
      <c r="V701" s="92">
        <v>2000001066</v>
      </c>
      <c r="W701" s="92">
        <v>2000003068</v>
      </c>
      <c r="X701" s="92">
        <v>2000030172</v>
      </c>
      <c r="Y701" s="92">
        <v>2000031147</v>
      </c>
      <c r="Z701" s="92">
        <v>2000032021</v>
      </c>
      <c r="AA701" s="92">
        <v>2011008037</v>
      </c>
      <c r="AE701" s="6" t="s">
        <v>531</v>
      </c>
      <c r="AF701" s="92" t="s">
        <v>179</v>
      </c>
      <c r="AG701" s="92" t="s">
        <v>1763</v>
      </c>
      <c r="AH701" s="92" t="s">
        <v>180</v>
      </c>
      <c r="AI701" s="92" t="s">
        <v>178</v>
      </c>
      <c r="AJ701" s="92" t="s">
        <v>184</v>
      </c>
      <c r="AK701" s="92" t="s">
        <v>185</v>
      </c>
      <c r="AL701" s="92" t="s">
        <v>732</v>
      </c>
      <c r="AM701" s="92" t="s">
        <v>1111</v>
      </c>
      <c r="AQ701" s="60" t="s">
        <v>187</v>
      </c>
      <c r="AR701" s="93" t="s">
        <v>186</v>
      </c>
      <c r="AS701" s="93" t="s">
        <v>187</v>
      </c>
      <c r="AT701" s="93" t="s">
        <v>187</v>
      </c>
      <c r="AU701" s="93" t="s">
        <v>186</v>
      </c>
      <c r="AV701" s="93" t="s">
        <v>186</v>
      </c>
      <c r="AW701" s="93" t="s">
        <v>186</v>
      </c>
      <c r="AX701" s="93" t="s">
        <v>187</v>
      </c>
      <c r="AY701" s="93" t="s">
        <v>186</v>
      </c>
      <c r="BC701" s="60">
        <v>89614487700</v>
      </c>
      <c r="BD701" s="93">
        <v>81802717808</v>
      </c>
      <c r="BE701" s="93">
        <v>85290506070</v>
      </c>
      <c r="BF701" s="93">
        <v>81227997138</v>
      </c>
      <c r="BG701" s="93">
        <v>85278547313</v>
      </c>
      <c r="BH701" s="93">
        <v>8562824662</v>
      </c>
      <c r="BI701" s="93">
        <v>85713343292</v>
      </c>
      <c r="BJ701" s="93">
        <v>87781702780</v>
      </c>
      <c r="BK701" s="93">
        <v>85866449806</v>
      </c>
      <c r="BO701" s="39">
        <v>60160986</v>
      </c>
      <c r="BP701" s="18" t="s">
        <v>8685</v>
      </c>
      <c r="BQ701" s="37">
        <v>45226</v>
      </c>
      <c r="BR701" s="8">
        <f t="shared" si="2"/>
        <v>9</v>
      </c>
    </row>
    <row r="702" spans="1:70" ht="14">
      <c r="A702" s="4" t="str">
        <v>Alternatif Periode ke-89 II.A.3</v>
      </c>
      <c r="B702" s="4" t="s">
        <v>8527</v>
      </c>
      <c r="C702" s="4" t="s">
        <v>707</v>
      </c>
      <c r="D702" s="4" t="s">
        <v>8663</v>
      </c>
      <c r="E702" s="4" t="s">
        <v>8686</v>
      </c>
      <c r="F702" s="4" t="s">
        <v>520</v>
      </c>
      <c r="G702" s="6" t="s">
        <v>8687</v>
      </c>
      <c r="H702" s="92" t="s">
        <v>8688</v>
      </c>
      <c r="I702" s="92" t="s">
        <v>8689</v>
      </c>
      <c r="J702" s="92" t="s">
        <v>8690</v>
      </c>
      <c r="K702" s="92" t="s">
        <v>8691</v>
      </c>
      <c r="L702" s="92" t="s">
        <v>8692</v>
      </c>
      <c r="M702" s="92" t="s">
        <v>8693</v>
      </c>
      <c r="N702" s="92" t="s">
        <v>8694</v>
      </c>
      <c r="O702" s="92" t="s">
        <v>8695</v>
      </c>
      <c r="S702" s="6">
        <v>1700016054</v>
      </c>
      <c r="T702" s="92">
        <v>1900033105</v>
      </c>
      <c r="U702" s="92">
        <v>2000001178</v>
      </c>
      <c r="V702" s="92">
        <v>2000003019</v>
      </c>
      <c r="W702" s="92">
        <v>2000009011</v>
      </c>
      <c r="X702" s="92">
        <v>2000018355</v>
      </c>
      <c r="Y702" s="92">
        <v>2000027001</v>
      </c>
      <c r="Z702" s="92">
        <v>2000030249</v>
      </c>
      <c r="AA702" s="92">
        <v>2000031279</v>
      </c>
      <c r="AE702" s="6" t="s">
        <v>531</v>
      </c>
      <c r="AF702" s="92" t="s">
        <v>1112</v>
      </c>
      <c r="AG702" s="92" t="s">
        <v>180</v>
      </c>
      <c r="AH702" s="92" t="s">
        <v>178</v>
      </c>
      <c r="AI702" s="92" t="s">
        <v>952</v>
      </c>
      <c r="AJ702" s="92" t="s">
        <v>179</v>
      </c>
      <c r="AK702" s="92" t="s">
        <v>1763</v>
      </c>
      <c r="AL702" s="92" t="s">
        <v>184</v>
      </c>
      <c r="AM702" s="92" t="s">
        <v>185</v>
      </c>
      <c r="AQ702" s="60" t="s">
        <v>187</v>
      </c>
      <c r="AR702" s="93" t="s">
        <v>187</v>
      </c>
      <c r="AS702" s="93" t="s">
        <v>187</v>
      </c>
      <c r="AT702" s="93" t="s">
        <v>186</v>
      </c>
      <c r="AU702" s="93" t="s">
        <v>186</v>
      </c>
      <c r="AV702" s="93" t="s">
        <v>186</v>
      </c>
      <c r="AW702" s="93" t="s">
        <v>187</v>
      </c>
      <c r="AX702" s="93" t="s">
        <v>186</v>
      </c>
      <c r="AY702" s="93" t="s">
        <v>186</v>
      </c>
      <c r="BC702" s="60">
        <v>81327112447</v>
      </c>
      <c r="BD702" s="93">
        <v>89636538700</v>
      </c>
      <c r="BE702" s="93">
        <v>82242778300</v>
      </c>
      <c r="BF702" s="93">
        <v>81229915578</v>
      </c>
      <c r="BG702" s="93">
        <v>85607828747</v>
      </c>
      <c r="BH702" s="93">
        <v>81328332941</v>
      </c>
      <c r="BI702" s="93">
        <v>87777229970</v>
      </c>
      <c r="BJ702" s="93">
        <v>88226651786</v>
      </c>
      <c r="BK702" s="93">
        <v>895418072288</v>
      </c>
      <c r="BO702" s="39">
        <v>60160986</v>
      </c>
      <c r="BP702" s="18" t="s">
        <v>8696</v>
      </c>
      <c r="BQ702" s="37">
        <v>45226</v>
      </c>
      <c r="BR702" s="8">
        <f t="shared" si="2"/>
        <v>9</v>
      </c>
    </row>
    <row r="703" spans="1:70" ht="14">
      <c r="A703" s="4" t="str">
        <v>Alternatif Periode ke-89 II.B.1</v>
      </c>
      <c r="B703" s="4" t="s">
        <v>8527</v>
      </c>
      <c r="C703" s="4" t="s">
        <v>719</v>
      </c>
      <c r="D703" s="4" t="s">
        <v>720</v>
      </c>
      <c r="E703" s="4" t="s">
        <v>8697</v>
      </c>
      <c r="F703" s="4" t="s">
        <v>520</v>
      </c>
      <c r="G703" s="6" t="s">
        <v>8698</v>
      </c>
      <c r="H703" s="92" t="s">
        <v>8699</v>
      </c>
      <c r="I703" s="92" t="s">
        <v>8700</v>
      </c>
      <c r="J703" s="92" t="s">
        <v>8701</v>
      </c>
      <c r="K703" s="92" t="s">
        <v>8702</v>
      </c>
      <c r="L703" s="92" t="s">
        <v>8703</v>
      </c>
      <c r="M703" s="92" t="s">
        <v>8704</v>
      </c>
      <c r="N703" s="92" t="s">
        <v>8705</v>
      </c>
      <c r="O703" s="92" t="s">
        <v>8706</v>
      </c>
      <c r="S703" s="6">
        <v>1800033049</v>
      </c>
      <c r="T703" s="92">
        <v>1900003081</v>
      </c>
      <c r="U703" s="92">
        <v>1900016091</v>
      </c>
      <c r="V703" s="92">
        <v>2000001188</v>
      </c>
      <c r="W703" s="92">
        <v>2000009007</v>
      </c>
      <c r="X703" s="92">
        <v>2000020079</v>
      </c>
      <c r="Y703" s="92">
        <v>2000027039</v>
      </c>
      <c r="Z703" s="92">
        <v>2000030015</v>
      </c>
      <c r="AA703" s="92">
        <v>2000031041</v>
      </c>
      <c r="AE703" s="6" t="s">
        <v>1112</v>
      </c>
      <c r="AF703" s="92" t="s">
        <v>178</v>
      </c>
      <c r="AG703" s="92" t="s">
        <v>531</v>
      </c>
      <c r="AH703" s="92" t="s">
        <v>180</v>
      </c>
      <c r="AI703" s="92" t="s">
        <v>952</v>
      </c>
      <c r="AJ703" s="92" t="s">
        <v>351</v>
      </c>
      <c r="AK703" s="92" t="s">
        <v>1763</v>
      </c>
      <c r="AL703" s="92" t="s">
        <v>184</v>
      </c>
      <c r="AM703" s="92" t="s">
        <v>185</v>
      </c>
      <c r="AQ703" s="60" t="s">
        <v>187</v>
      </c>
      <c r="AR703" s="93" t="s">
        <v>186</v>
      </c>
      <c r="AS703" s="93" t="s">
        <v>187</v>
      </c>
      <c r="AT703" s="93" t="s">
        <v>187</v>
      </c>
      <c r="AU703" s="93" t="s">
        <v>186</v>
      </c>
      <c r="AV703" s="93" t="s">
        <v>186</v>
      </c>
      <c r="AW703" s="93" t="s">
        <v>187</v>
      </c>
      <c r="AX703" s="93" t="s">
        <v>186</v>
      </c>
      <c r="AY703" s="93" t="s">
        <v>186</v>
      </c>
      <c r="BC703" s="60">
        <v>81288819181</v>
      </c>
      <c r="BD703" s="93">
        <v>82283684718</v>
      </c>
      <c r="BE703" s="93">
        <v>87713804653</v>
      </c>
      <c r="BF703" s="93">
        <v>82119633247</v>
      </c>
      <c r="BG703" s="93">
        <v>82258106528</v>
      </c>
      <c r="BH703" s="93">
        <v>895392365825</v>
      </c>
      <c r="BI703" s="93">
        <v>81215426740</v>
      </c>
      <c r="BJ703" s="93">
        <v>85264401902</v>
      </c>
      <c r="BK703" s="93">
        <v>85236704417</v>
      </c>
      <c r="BO703" s="29">
        <v>60080554</v>
      </c>
      <c r="BP703" s="18" t="s">
        <v>8707</v>
      </c>
      <c r="BQ703" s="37">
        <v>45226</v>
      </c>
      <c r="BR703" s="8">
        <f t="shared" si="2"/>
        <v>9</v>
      </c>
    </row>
    <row r="704" spans="1:70" ht="14">
      <c r="A704" s="4" t="str">
        <v>Alternatif Periode ke-89 II.B.2</v>
      </c>
      <c r="B704" s="4" t="s">
        <v>8527</v>
      </c>
      <c r="C704" s="4" t="s">
        <v>734</v>
      </c>
      <c r="D704" s="4" t="s">
        <v>720</v>
      </c>
      <c r="E704" s="4" t="s">
        <v>8708</v>
      </c>
      <c r="F704" s="4" t="s">
        <v>520</v>
      </c>
      <c r="G704" s="6" t="s">
        <v>8709</v>
      </c>
      <c r="H704" s="92" t="s">
        <v>8710</v>
      </c>
      <c r="I704" s="92" t="s">
        <v>8711</v>
      </c>
      <c r="J704" s="92" t="s">
        <v>8712</v>
      </c>
      <c r="K704" s="92" t="s">
        <v>8713</v>
      </c>
      <c r="L704" s="92" t="s">
        <v>8714</v>
      </c>
      <c r="M704" s="92" t="s">
        <v>8715</v>
      </c>
      <c r="N704" s="92" t="s">
        <v>8716</v>
      </c>
      <c r="O704" s="92" t="s">
        <v>8717</v>
      </c>
      <c r="S704" s="6">
        <v>1811033119</v>
      </c>
      <c r="T704" s="92">
        <v>1900016082</v>
      </c>
      <c r="U704" s="92">
        <v>2000003061</v>
      </c>
      <c r="V704" s="92">
        <v>2000003080</v>
      </c>
      <c r="W704" s="92">
        <v>2000009003</v>
      </c>
      <c r="X704" s="92">
        <v>2000020052</v>
      </c>
      <c r="Y704" s="92">
        <v>2000027038</v>
      </c>
      <c r="Z704" s="92">
        <v>2000030011</v>
      </c>
      <c r="AA704" s="92">
        <v>2011031148</v>
      </c>
      <c r="AE704" s="6" t="s">
        <v>1112</v>
      </c>
      <c r="AF704" s="92" t="s">
        <v>531</v>
      </c>
      <c r="AG704" s="92" t="s">
        <v>178</v>
      </c>
      <c r="AH704" s="92" t="s">
        <v>178</v>
      </c>
      <c r="AI704" s="92" t="s">
        <v>952</v>
      </c>
      <c r="AJ704" s="92" t="s">
        <v>351</v>
      </c>
      <c r="AK704" s="92" t="s">
        <v>1763</v>
      </c>
      <c r="AL704" s="92" t="s">
        <v>184</v>
      </c>
      <c r="AM704" s="92" t="s">
        <v>185</v>
      </c>
      <c r="AQ704" s="60" t="s">
        <v>187</v>
      </c>
      <c r="AR704" s="93" t="s">
        <v>187</v>
      </c>
      <c r="AS704" s="93" t="s">
        <v>186</v>
      </c>
      <c r="AT704" s="93" t="s">
        <v>187</v>
      </c>
      <c r="AU704" s="93" t="s">
        <v>186</v>
      </c>
      <c r="AV704" s="93" t="s">
        <v>186</v>
      </c>
      <c r="AW704" s="93" t="s">
        <v>187</v>
      </c>
      <c r="AX704" s="93" t="s">
        <v>186</v>
      </c>
      <c r="AY704" s="93" t="s">
        <v>186</v>
      </c>
      <c r="BC704" s="60">
        <v>87804020826</v>
      </c>
      <c r="BD704" s="93">
        <v>82177768570</v>
      </c>
      <c r="BE704" s="93">
        <v>83825265088</v>
      </c>
      <c r="BF704" s="93">
        <v>81280082616</v>
      </c>
      <c r="BG704" s="93">
        <v>895380091199</v>
      </c>
      <c r="BH704" s="93">
        <v>81227398861</v>
      </c>
      <c r="BI704" s="93">
        <v>85759230017</v>
      </c>
      <c r="BJ704" s="93">
        <v>87788742459</v>
      </c>
      <c r="BK704" s="93">
        <v>82359050488</v>
      </c>
      <c r="BO704" s="29">
        <v>60080554</v>
      </c>
      <c r="BP704" s="18" t="s">
        <v>8718</v>
      </c>
      <c r="BQ704" s="37">
        <v>45226</v>
      </c>
      <c r="BR704" s="8">
        <f t="shared" si="2"/>
        <v>9</v>
      </c>
    </row>
    <row r="705" spans="1:70" ht="14">
      <c r="A705" s="4" t="str">
        <v>Alternatif Periode ke-89 II.B.3</v>
      </c>
      <c r="B705" s="4" t="s">
        <v>8527</v>
      </c>
      <c r="C705" s="4" t="s">
        <v>747</v>
      </c>
      <c r="D705" s="4" t="s">
        <v>720</v>
      </c>
      <c r="E705" s="4" t="s">
        <v>8719</v>
      </c>
      <c r="F705" s="4" t="s">
        <v>520</v>
      </c>
      <c r="G705" s="6" t="s">
        <v>8720</v>
      </c>
      <c r="H705" s="92" t="s">
        <v>8721</v>
      </c>
      <c r="I705" s="92" t="s">
        <v>8722</v>
      </c>
      <c r="J705" s="92" t="s">
        <v>8723</v>
      </c>
      <c r="K705" s="92" t="s">
        <v>8724</v>
      </c>
      <c r="L705" s="92" t="s">
        <v>8725</v>
      </c>
      <c r="M705" s="92" t="s">
        <v>8726</v>
      </c>
      <c r="N705" s="92" t="s">
        <v>8727</v>
      </c>
      <c r="O705" s="92" t="s">
        <v>8728</v>
      </c>
      <c r="S705" s="6">
        <v>1900016058</v>
      </c>
      <c r="T705" s="92">
        <v>1900027062</v>
      </c>
      <c r="U705" s="92">
        <v>2000003009</v>
      </c>
      <c r="V705" s="92">
        <v>2000003063</v>
      </c>
      <c r="W705" s="92">
        <v>2000009025</v>
      </c>
      <c r="X705" s="92">
        <v>2000020006</v>
      </c>
      <c r="Y705" s="92">
        <v>2000030157</v>
      </c>
      <c r="Z705" s="92">
        <v>2000031085</v>
      </c>
      <c r="AA705" s="92">
        <v>2000034040</v>
      </c>
      <c r="AE705" s="6" t="s">
        <v>531</v>
      </c>
      <c r="AF705" s="92" t="s">
        <v>1763</v>
      </c>
      <c r="AG705" s="92" t="s">
        <v>178</v>
      </c>
      <c r="AH705" s="92" t="s">
        <v>178</v>
      </c>
      <c r="AI705" s="92" t="s">
        <v>952</v>
      </c>
      <c r="AJ705" s="92" t="s">
        <v>351</v>
      </c>
      <c r="AK705" s="92" t="s">
        <v>184</v>
      </c>
      <c r="AL705" s="92" t="s">
        <v>185</v>
      </c>
      <c r="AM705" s="92" t="s">
        <v>534</v>
      </c>
      <c r="AQ705" s="60" t="s">
        <v>187</v>
      </c>
      <c r="AR705" s="93" t="s">
        <v>187</v>
      </c>
      <c r="AS705" s="93" t="s">
        <v>187</v>
      </c>
      <c r="AT705" s="93" t="s">
        <v>186</v>
      </c>
      <c r="AU705" s="93" t="s">
        <v>186</v>
      </c>
      <c r="AV705" s="93" t="s">
        <v>186</v>
      </c>
      <c r="AW705" s="93" t="s">
        <v>186</v>
      </c>
      <c r="AX705" s="93" t="s">
        <v>186</v>
      </c>
      <c r="AY705" s="93" t="s">
        <v>187</v>
      </c>
      <c r="BC705" s="60">
        <v>85702067851</v>
      </c>
      <c r="BD705" s="93">
        <v>85246005471</v>
      </c>
      <c r="BE705" s="93">
        <v>89667818466</v>
      </c>
      <c r="BF705" s="93">
        <v>89604270310</v>
      </c>
      <c r="BG705" s="93">
        <v>88216512314</v>
      </c>
      <c r="BH705" s="93">
        <v>85834816251</v>
      </c>
      <c r="BI705" s="93">
        <v>81280127873</v>
      </c>
      <c r="BJ705" s="93">
        <v>8112639886</v>
      </c>
      <c r="BK705" s="93">
        <v>81326279307</v>
      </c>
      <c r="BO705" s="29">
        <v>60080554</v>
      </c>
      <c r="BP705" s="18" t="s">
        <v>8729</v>
      </c>
      <c r="BQ705" s="37">
        <v>45226</v>
      </c>
      <c r="BR705" s="8">
        <f t="shared" si="2"/>
        <v>9</v>
      </c>
    </row>
    <row r="706" spans="1:70" ht="14">
      <c r="A706" s="4" t="str">
        <v>Alternatif Periode ke-89 II.C.1</v>
      </c>
      <c r="B706" s="4" t="s">
        <v>8527</v>
      </c>
      <c r="C706" s="4" t="s">
        <v>772</v>
      </c>
      <c r="D706" s="4" t="s">
        <v>4593</v>
      </c>
      <c r="E706" s="4" t="s">
        <v>8730</v>
      </c>
      <c r="F706" s="4" t="s">
        <v>520</v>
      </c>
      <c r="G706" s="6" t="s">
        <v>8731</v>
      </c>
      <c r="H706" s="92" t="s">
        <v>8732</v>
      </c>
      <c r="I706" s="92" t="s">
        <v>8733</v>
      </c>
      <c r="J706" s="92" t="s">
        <v>8734</v>
      </c>
      <c r="K706" s="92" t="s">
        <v>8735</v>
      </c>
      <c r="L706" s="92" t="s">
        <v>8736</v>
      </c>
      <c r="M706" s="92" t="s">
        <v>8737</v>
      </c>
      <c r="N706" s="92" t="s">
        <v>8738</v>
      </c>
      <c r="O706" s="92" t="s">
        <v>8739</v>
      </c>
      <c r="S706" s="6">
        <v>1700009006</v>
      </c>
      <c r="T706" s="92">
        <v>1900020019</v>
      </c>
      <c r="U706" s="92">
        <v>2000003089</v>
      </c>
      <c r="V706" s="92">
        <v>2000003097</v>
      </c>
      <c r="W706" s="92">
        <v>2000017004</v>
      </c>
      <c r="X706" s="92">
        <v>2000028069</v>
      </c>
      <c r="Y706" s="92">
        <v>2000030038</v>
      </c>
      <c r="Z706" s="92">
        <v>2000031066</v>
      </c>
      <c r="AA706" s="92">
        <v>2000034007</v>
      </c>
      <c r="AE706" s="6" t="s">
        <v>952</v>
      </c>
      <c r="AF706" s="92" t="s">
        <v>351</v>
      </c>
      <c r="AG706" s="92" t="s">
        <v>178</v>
      </c>
      <c r="AH706" s="92" t="s">
        <v>178</v>
      </c>
      <c r="AI706" s="92" t="s">
        <v>183</v>
      </c>
      <c r="AJ706" s="92" t="s">
        <v>678</v>
      </c>
      <c r="AK706" s="92" t="s">
        <v>184</v>
      </c>
      <c r="AL706" s="92" t="s">
        <v>185</v>
      </c>
      <c r="AM706" s="92" t="s">
        <v>534</v>
      </c>
      <c r="AQ706" s="60" t="s">
        <v>186</v>
      </c>
      <c r="AR706" s="93" t="s">
        <v>186</v>
      </c>
      <c r="AS706" s="93" t="s">
        <v>186</v>
      </c>
      <c r="AT706" s="93" t="s">
        <v>187</v>
      </c>
      <c r="AU706" s="93" t="s">
        <v>187</v>
      </c>
      <c r="AV706" s="93" t="s">
        <v>187</v>
      </c>
      <c r="AW706" s="93" t="s">
        <v>186</v>
      </c>
      <c r="AX706" s="93" t="s">
        <v>186</v>
      </c>
      <c r="AY706" s="93" t="s">
        <v>187</v>
      </c>
      <c r="BC706" s="60">
        <v>85875556199</v>
      </c>
      <c r="BD706" s="93">
        <v>82125163168</v>
      </c>
      <c r="BE706" s="93">
        <v>81779285210</v>
      </c>
      <c r="BF706" s="93">
        <v>83138693698</v>
      </c>
      <c r="BG706" s="93">
        <v>82132802265</v>
      </c>
      <c r="BH706" s="93">
        <v>88228707590</v>
      </c>
      <c r="BI706" s="93">
        <v>85720551147</v>
      </c>
      <c r="BJ706" s="93">
        <v>85355935526</v>
      </c>
      <c r="BK706" s="93">
        <v>82119470994</v>
      </c>
      <c r="BO706" s="39">
        <v>60160931</v>
      </c>
      <c r="BP706" s="18" t="s">
        <v>8740</v>
      </c>
      <c r="BQ706" s="37">
        <v>45226</v>
      </c>
      <c r="BR706" s="8">
        <f t="shared" si="2"/>
        <v>9</v>
      </c>
    </row>
    <row r="707" spans="1:70" ht="14">
      <c r="A707" s="4" t="str">
        <v>Alternatif Periode ke-89 II.C.2</v>
      </c>
      <c r="B707" s="4" t="s">
        <v>8527</v>
      </c>
      <c r="C707" s="4" t="s">
        <v>785</v>
      </c>
      <c r="D707" s="4" t="s">
        <v>4593</v>
      </c>
      <c r="E707" s="4" t="s">
        <v>8741</v>
      </c>
      <c r="F707" s="4" t="s">
        <v>520</v>
      </c>
      <c r="G707" s="6" t="s">
        <v>8742</v>
      </c>
      <c r="H707" s="92" t="s">
        <v>3478</v>
      </c>
      <c r="I707" s="92" t="s">
        <v>8743</v>
      </c>
      <c r="J707" s="92" t="s">
        <v>8744</v>
      </c>
      <c r="K707" s="92" t="s">
        <v>8745</v>
      </c>
      <c r="L707" s="92" t="s">
        <v>8746</v>
      </c>
      <c r="M707" s="92" t="s">
        <v>8747</v>
      </c>
      <c r="N707" s="92" t="s">
        <v>8748</v>
      </c>
      <c r="O707" s="92" t="s">
        <v>8749</v>
      </c>
      <c r="S707" s="6">
        <v>1800018400</v>
      </c>
      <c r="T707" s="92">
        <v>1900003033</v>
      </c>
      <c r="U707" s="92">
        <v>1900009021</v>
      </c>
      <c r="V707" s="92">
        <v>2000003069</v>
      </c>
      <c r="W707" s="92">
        <v>2000020048</v>
      </c>
      <c r="X707" s="92">
        <v>2000029062</v>
      </c>
      <c r="Y707" s="92">
        <v>2000030019</v>
      </c>
      <c r="Z707" s="92">
        <v>2000031202</v>
      </c>
      <c r="AA707" s="92">
        <v>2000034055</v>
      </c>
      <c r="AE707" s="6" t="s">
        <v>179</v>
      </c>
      <c r="AF707" s="92" t="s">
        <v>178</v>
      </c>
      <c r="AG707" s="92" t="s">
        <v>952</v>
      </c>
      <c r="AH707" s="92" t="s">
        <v>178</v>
      </c>
      <c r="AI707" s="92" t="s">
        <v>351</v>
      </c>
      <c r="AJ707" s="92" t="s">
        <v>533</v>
      </c>
      <c r="AK707" s="92" t="s">
        <v>184</v>
      </c>
      <c r="AL707" s="92" t="s">
        <v>185</v>
      </c>
      <c r="AM707" s="92" t="s">
        <v>534</v>
      </c>
      <c r="AQ707" s="60" t="s">
        <v>187</v>
      </c>
      <c r="AR707" s="93" t="s">
        <v>186</v>
      </c>
      <c r="AS707" s="93" t="s">
        <v>186</v>
      </c>
      <c r="AT707" s="93" t="s">
        <v>187</v>
      </c>
      <c r="AU707" s="93" t="s">
        <v>186</v>
      </c>
      <c r="AV707" s="93" t="s">
        <v>187</v>
      </c>
      <c r="AW707" s="93" t="s">
        <v>186</v>
      </c>
      <c r="AX707" s="93" t="s">
        <v>186</v>
      </c>
      <c r="AY707" s="93" t="s">
        <v>187</v>
      </c>
      <c r="BC707" s="60">
        <v>85865637081</v>
      </c>
      <c r="BD707" s="93">
        <v>82145195767</v>
      </c>
      <c r="BE707" s="93">
        <v>88233101192</v>
      </c>
      <c r="BF707" s="93">
        <v>83893760337</v>
      </c>
      <c r="BG707" s="93">
        <v>82232052602</v>
      </c>
      <c r="BH707" s="93">
        <v>87814065722</v>
      </c>
      <c r="BI707" s="93">
        <v>83861959841</v>
      </c>
      <c r="BJ707" s="93">
        <v>895360868234</v>
      </c>
      <c r="BK707" s="93">
        <v>81215257356</v>
      </c>
      <c r="BO707" s="39">
        <v>60160931</v>
      </c>
      <c r="BP707" s="18" t="s">
        <v>8750</v>
      </c>
      <c r="BQ707" s="37">
        <v>45226</v>
      </c>
      <c r="BR707" s="8">
        <f t="shared" si="2"/>
        <v>9</v>
      </c>
    </row>
    <row r="708" spans="1:70" ht="14">
      <c r="A708" s="4" t="str">
        <v>Alternatif Periode ke-89 II.C.3</v>
      </c>
      <c r="B708" s="4" t="s">
        <v>8527</v>
      </c>
      <c r="C708" s="4" t="s">
        <v>797</v>
      </c>
      <c r="D708" s="4" t="s">
        <v>4593</v>
      </c>
      <c r="E708" s="4" t="s">
        <v>8751</v>
      </c>
      <c r="F708" s="4" t="s">
        <v>520</v>
      </c>
      <c r="G708" s="6" t="s">
        <v>8752</v>
      </c>
      <c r="H708" s="92" t="s">
        <v>8753</v>
      </c>
      <c r="I708" s="92" t="s">
        <v>8754</v>
      </c>
      <c r="J708" s="92" t="s">
        <v>8755</v>
      </c>
      <c r="K708" s="92" t="s">
        <v>8756</v>
      </c>
      <c r="L708" s="92" t="s">
        <v>8757</v>
      </c>
      <c r="M708" s="92" t="s">
        <v>8758</v>
      </c>
      <c r="N708" s="92" t="s">
        <v>8759</v>
      </c>
      <c r="O708" s="92" t="s">
        <v>8760</v>
      </c>
      <c r="S708" s="6">
        <v>1800003040</v>
      </c>
      <c r="T708" s="92">
        <v>1900030341</v>
      </c>
      <c r="U708" s="92">
        <v>2000003048</v>
      </c>
      <c r="V708" s="92">
        <v>2000009026</v>
      </c>
      <c r="W708" s="92">
        <v>2000018201</v>
      </c>
      <c r="X708" s="92">
        <v>2000020040</v>
      </c>
      <c r="Y708" s="92">
        <v>2000029072</v>
      </c>
      <c r="Z708" s="92">
        <v>2000031273</v>
      </c>
      <c r="AA708" s="92">
        <v>2000034053</v>
      </c>
      <c r="AE708" s="6" t="s">
        <v>178</v>
      </c>
      <c r="AF708" s="92" t="s">
        <v>184</v>
      </c>
      <c r="AG708" s="92" t="s">
        <v>178</v>
      </c>
      <c r="AH708" s="92" t="s">
        <v>952</v>
      </c>
      <c r="AI708" s="92" t="s">
        <v>179</v>
      </c>
      <c r="AJ708" s="92" t="s">
        <v>351</v>
      </c>
      <c r="AK708" s="92" t="s">
        <v>533</v>
      </c>
      <c r="AL708" s="92" t="s">
        <v>185</v>
      </c>
      <c r="AM708" s="92" t="s">
        <v>534</v>
      </c>
      <c r="AQ708" s="60" t="s">
        <v>187</v>
      </c>
      <c r="AR708" s="93" t="s">
        <v>186</v>
      </c>
      <c r="AS708" s="93" t="s">
        <v>186</v>
      </c>
      <c r="AT708" s="93" t="s">
        <v>186</v>
      </c>
      <c r="AU708" s="93" t="s">
        <v>187</v>
      </c>
      <c r="AV708" s="93" t="s">
        <v>186</v>
      </c>
      <c r="AW708" s="93" t="s">
        <v>187</v>
      </c>
      <c r="AX708" s="93" t="s">
        <v>186</v>
      </c>
      <c r="AY708" s="93" t="s">
        <v>187</v>
      </c>
      <c r="BC708" s="60">
        <v>81337045638</v>
      </c>
      <c r="BD708" s="93">
        <v>895402623131</v>
      </c>
      <c r="BE708" s="93">
        <v>82261931272</v>
      </c>
      <c r="BF708" s="93">
        <v>87734646570</v>
      </c>
      <c r="BG708" s="93">
        <v>85713667446</v>
      </c>
      <c r="BH708" s="93">
        <v>81326801026</v>
      </c>
      <c r="BI708" s="93">
        <v>85640420158</v>
      </c>
      <c r="BJ708" s="93">
        <v>83115132320</v>
      </c>
      <c r="BK708" s="93">
        <v>8882734607</v>
      </c>
      <c r="BO708" s="39">
        <v>60160931</v>
      </c>
      <c r="BP708" s="18" t="s">
        <v>8761</v>
      </c>
      <c r="BQ708" s="37">
        <v>45226</v>
      </c>
      <c r="BR708" s="8">
        <f t="shared" si="2"/>
        <v>9</v>
      </c>
    </row>
    <row r="709" spans="1:70" ht="14">
      <c r="A709" s="4" t="str">
        <v>Alternatif Periode ke-89 II.D.1</v>
      </c>
      <c r="B709" s="4" t="s">
        <v>8527</v>
      </c>
      <c r="C709" s="4" t="s">
        <v>809</v>
      </c>
      <c r="D709" s="4" t="s">
        <v>8762</v>
      </c>
      <c r="E709" s="4" t="s">
        <v>8763</v>
      </c>
      <c r="F709" s="4" t="s">
        <v>520</v>
      </c>
      <c r="G709" s="6" t="s">
        <v>8764</v>
      </c>
      <c r="H709" s="92" t="s">
        <v>8765</v>
      </c>
      <c r="I709" s="92" t="s">
        <v>8766</v>
      </c>
      <c r="J709" s="92" t="s">
        <v>8767</v>
      </c>
      <c r="K709" s="92" t="s">
        <v>8768</v>
      </c>
      <c r="L709" s="92" t="s">
        <v>8769</v>
      </c>
      <c r="M709" s="92" t="s">
        <v>8770</v>
      </c>
      <c r="N709" s="92" t="s">
        <v>8771</v>
      </c>
      <c r="O709" s="92" t="s">
        <v>8772</v>
      </c>
      <c r="S709" s="6">
        <v>1900010129</v>
      </c>
      <c r="T709" s="92">
        <v>2000004110</v>
      </c>
      <c r="U709" s="92">
        <v>2000018142</v>
      </c>
      <c r="V709" s="92">
        <v>2000020032</v>
      </c>
      <c r="W709" s="92">
        <v>2000030052</v>
      </c>
      <c r="X709" s="92">
        <v>2000030056</v>
      </c>
      <c r="Y709" s="92">
        <v>2000031229</v>
      </c>
      <c r="Z709" s="92">
        <v>2000034036</v>
      </c>
      <c r="AA709" s="92">
        <v>2011003046</v>
      </c>
      <c r="AE709" s="6" t="s">
        <v>532</v>
      </c>
      <c r="AF709" s="92" t="s">
        <v>201</v>
      </c>
      <c r="AG709" s="92" t="s">
        <v>179</v>
      </c>
      <c r="AH709" s="92" t="s">
        <v>351</v>
      </c>
      <c r="AI709" s="92" t="s">
        <v>184</v>
      </c>
      <c r="AJ709" s="92" t="s">
        <v>184</v>
      </c>
      <c r="AK709" s="92" t="s">
        <v>185</v>
      </c>
      <c r="AL709" s="92" t="s">
        <v>534</v>
      </c>
      <c r="AM709" s="92" t="s">
        <v>178</v>
      </c>
      <c r="AQ709" s="60" t="s">
        <v>186</v>
      </c>
      <c r="AR709" s="93" t="s">
        <v>186</v>
      </c>
      <c r="AS709" s="93" t="s">
        <v>187</v>
      </c>
      <c r="AT709" s="93" t="s">
        <v>186</v>
      </c>
      <c r="AU709" s="93" t="s">
        <v>186</v>
      </c>
      <c r="AV709" s="93" t="s">
        <v>187</v>
      </c>
      <c r="AW709" s="93" t="s">
        <v>186</v>
      </c>
      <c r="AX709" s="93" t="s">
        <v>187</v>
      </c>
      <c r="AY709" s="93" t="s">
        <v>187</v>
      </c>
      <c r="BC709" s="60">
        <v>82177866357</v>
      </c>
      <c r="BD709" s="93">
        <v>87788071201</v>
      </c>
      <c r="BE709" s="93">
        <v>85641921127</v>
      </c>
      <c r="BF709" s="93">
        <v>85226099838</v>
      </c>
      <c r="BG709" s="93">
        <v>85974089944</v>
      </c>
      <c r="BH709" s="93">
        <v>82214405408</v>
      </c>
      <c r="BI709" s="93">
        <v>88233053187</v>
      </c>
      <c r="BJ709" s="93">
        <v>81242677172</v>
      </c>
      <c r="BK709" s="93">
        <v>83123847052</v>
      </c>
      <c r="BO709" s="69">
        <v>60160939</v>
      </c>
      <c r="BP709" s="18" t="s">
        <v>8773</v>
      </c>
      <c r="BQ709" s="37">
        <v>45226</v>
      </c>
      <c r="BR709" s="8">
        <f t="shared" si="2"/>
        <v>9</v>
      </c>
    </row>
    <row r="710" spans="1:70" ht="14">
      <c r="A710" s="4" t="str">
        <v>Alternatif Periode ke-89 II.D.2</v>
      </c>
      <c r="B710" s="4" t="s">
        <v>8527</v>
      </c>
      <c r="C710" s="4" t="s">
        <v>824</v>
      </c>
      <c r="D710" s="4" t="s">
        <v>8762</v>
      </c>
      <c r="E710" s="4" t="s">
        <v>8774</v>
      </c>
      <c r="F710" s="4" t="s">
        <v>520</v>
      </c>
      <c r="G710" s="6" t="s">
        <v>3115</v>
      </c>
      <c r="H710" s="92" t="s">
        <v>8775</v>
      </c>
      <c r="I710" s="92" t="s">
        <v>8776</v>
      </c>
      <c r="J710" s="92" t="s">
        <v>8777</v>
      </c>
      <c r="K710" s="92" t="s">
        <v>8778</v>
      </c>
      <c r="L710" s="92" t="s">
        <v>8779</v>
      </c>
      <c r="M710" s="92" t="s">
        <v>8780</v>
      </c>
      <c r="N710" s="92" t="s">
        <v>8781</v>
      </c>
      <c r="O710" s="92" t="s">
        <v>8782</v>
      </c>
      <c r="S710" s="6">
        <v>1900018037</v>
      </c>
      <c r="T710" s="92">
        <v>1900030007</v>
      </c>
      <c r="U710" s="92">
        <v>1900030378</v>
      </c>
      <c r="V710" s="92">
        <v>2000003003</v>
      </c>
      <c r="W710" s="92">
        <v>2000004017</v>
      </c>
      <c r="X710" s="92">
        <v>2000011139</v>
      </c>
      <c r="Y710" s="92">
        <v>2000020004</v>
      </c>
      <c r="Z710" s="92">
        <v>2000031110</v>
      </c>
      <c r="AA710" s="92">
        <v>2000034016</v>
      </c>
      <c r="AE710" s="6" t="s">
        <v>179</v>
      </c>
      <c r="AF710" s="92" t="s">
        <v>184</v>
      </c>
      <c r="AG710" s="92" t="s">
        <v>184</v>
      </c>
      <c r="AH710" s="92" t="s">
        <v>178</v>
      </c>
      <c r="AI710" s="92" t="s">
        <v>201</v>
      </c>
      <c r="AJ710" s="92" t="s">
        <v>182</v>
      </c>
      <c r="AK710" s="92" t="s">
        <v>351</v>
      </c>
      <c r="AL710" s="92" t="s">
        <v>185</v>
      </c>
      <c r="AM710" s="92" t="s">
        <v>534</v>
      </c>
      <c r="AQ710" s="60" t="s">
        <v>187</v>
      </c>
      <c r="AR710" s="93" t="s">
        <v>187</v>
      </c>
      <c r="AS710" s="93" t="s">
        <v>186</v>
      </c>
      <c r="AT710" s="93" t="s">
        <v>187</v>
      </c>
      <c r="AU710" s="93" t="s">
        <v>186</v>
      </c>
      <c r="AV710" s="93" t="s">
        <v>186</v>
      </c>
      <c r="AW710" s="93" t="s">
        <v>186</v>
      </c>
      <c r="AX710" s="93" t="s">
        <v>186</v>
      </c>
      <c r="AY710" s="93" t="s">
        <v>187</v>
      </c>
      <c r="BC710" s="60">
        <v>816907019</v>
      </c>
      <c r="BD710" s="93">
        <v>83183372742</v>
      </c>
      <c r="BE710" s="93">
        <v>87794898583</v>
      </c>
      <c r="BF710" s="93">
        <v>81215479022</v>
      </c>
      <c r="BG710" s="93">
        <v>82158356150</v>
      </c>
      <c r="BH710" s="93">
        <v>895411147611</v>
      </c>
      <c r="BI710" s="93">
        <v>81326287744</v>
      </c>
      <c r="BJ710" s="93">
        <v>82149516011</v>
      </c>
      <c r="BK710" s="93">
        <v>82314719076</v>
      </c>
      <c r="BO710" s="69">
        <v>60160939</v>
      </c>
      <c r="BP710" s="18" t="s">
        <v>8783</v>
      </c>
      <c r="BQ710" s="37">
        <v>45226</v>
      </c>
      <c r="BR710" s="8">
        <f t="shared" si="2"/>
        <v>9</v>
      </c>
    </row>
    <row r="711" spans="1:70" ht="14">
      <c r="A711" s="4" t="str">
        <v>Alternatif Periode ke-89 II.D.3</v>
      </c>
      <c r="B711" s="4" t="s">
        <v>8527</v>
      </c>
      <c r="C711" s="4" t="s">
        <v>836</v>
      </c>
      <c r="D711" s="4" t="s">
        <v>8762</v>
      </c>
      <c r="E711" s="4" t="s">
        <v>8784</v>
      </c>
      <c r="F711" s="4" t="s">
        <v>520</v>
      </c>
      <c r="G711" s="6" t="s">
        <v>8785</v>
      </c>
      <c r="H711" s="92" t="s">
        <v>8786</v>
      </c>
      <c r="I711" s="92" t="s">
        <v>8787</v>
      </c>
      <c r="J711" s="92" t="s">
        <v>8788</v>
      </c>
      <c r="K711" s="92" t="s">
        <v>8789</v>
      </c>
      <c r="L711" s="92" t="s">
        <v>8790</v>
      </c>
      <c r="M711" s="92" t="s">
        <v>8791</v>
      </c>
      <c r="N711" s="92" t="s">
        <v>8792</v>
      </c>
      <c r="O711" s="92" t="s">
        <v>8793</v>
      </c>
      <c r="S711" s="6">
        <v>1900018259</v>
      </c>
      <c r="T711" s="92">
        <v>1900030193</v>
      </c>
      <c r="U711" s="92">
        <v>2000003033</v>
      </c>
      <c r="V711" s="92">
        <v>2000004099</v>
      </c>
      <c r="W711" s="92">
        <v>2000011202</v>
      </c>
      <c r="X711" s="92">
        <v>2000020007</v>
      </c>
      <c r="Y711" s="92">
        <v>2000030106</v>
      </c>
      <c r="Z711" s="92">
        <v>2000031008</v>
      </c>
      <c r="AA711" s="92">
        <v>2000034013</v>
      </c>
      <c r="AE711" s="6" t="s">
        <v>179</v>
      </c>
      <c r="AF711" s="92" t="s">
        <v>184</v>
      </c>
      <c r="AG711" s="92" t="s">
        <v>178</v>
      </c>
      <c r="AH711" s="92" t="s">
        <v>201</v>
      </c>
      <c r="AI711" s="92" t="s">
        <v>182</v>
      </c>
      <c r="AJ711" s="92" t="s">
        <v>351</v>
      </c>
      <c r="AK711" s="92" t="s">
        <v>184</v>
      </c>
      <c r="AL711" s="92" t="s">
        <v>185</v>
      </c>
      <c r="AM711" s="92" t="s">
        <v>534</v>
      </c>
      <c r="AQ711" s="60" t="s">
        <v>187</v>
      </c>
      <c r="AR711" s="93" t="s">
        <v>187</v>
      </c>
      <c r="AS711" s="93" t="s">
        <v>187</v>
      </c>
      <c r="AT711" s="93" t="s">
        <v>186</v>
      </c>
      <c r="AU711" s="93" t="s">
        <v>186</v>
      </c>
      <c r="AV711" s="93" t="s">
        <v>186</v>
      </c>
      <c r="AW711" s="93" t="s">
        <v>186</v>
      </c>
      <c r="AX711" s="93" t="s">
        <v>186</v>
      </c>
      <c r="AY711" s="93" t="s">
        <v>187</v>
      </c>
      <c r="BC711" s="60">
        <v>85381586697</v>
      </c>
      <c r="BD711" s="93">
        <v>895341177070</v>
      </c>
      <c r="BE711" s="93">
        <v>85624682364</v>
      </c>
      <c r="BF711" s="93">
        <v>82322879080</v>
      </c>
      <c r="BG711" s="93">
        <v>85337145154</v>
      </c>
      <c r="BH711" s="93">
        <v>895377078383</v>
      </c>
      <c r="BI711" s="93">
        <v>8985964496</v>
      </c>
      <c r="BJ711" s="93">
        <v>85875259936</v>
      </c>
      <c r="BK711" s="93">
        <v>85157719865</v>
      </c>
      <c r="BO711" s="69">
        <v>60160939</v>
      </c>
      <c r="BP711" s="18" t="s">
        <v>8794</v>
      </c>
      <c r="BQ711" s="37">
        <v>45226</v>
      </c>
      <c r="BR711" s="8">
        <f t="shared" si="2"/>
        <v>9</v>
      </c>
    </row>
    <row r="712" spans="1:70" ht="14">
      <c r="A712" s="4" t="str">
        <v>Alternatif Periode ke-89 III.A.1</v>
      </c>
      <c r="B712" s="4" t="s">
        <v>8527</v>
      </c>
      <c r="C712" s="4" t="s">
        <v>848</v>
      </c>
      <c r="D712" s="4" t="s">
        <v>2213</v>
      </c>
      <c r="E712" s="4" t="s">
        <v>8795</v>
      </c>
      <c r="F712" s="4" t="s">
        <v>520</v>
      </c>
      <c r="G712" s="6" t="s">
        <v>8796</v>
      </c>
      <c r="H712" s="92" t="s">
        <v>8797</v>
      </c>
      <c r="I712" s="92" t="s">
        <v>8798</v>
      </c>
      <c r="J712" s="92" t="s">
        <v>8799</v>
      </c>
      <c r="K712" s="92" t="s">
        <v>8800</v>
      </c>
      <c r="L712" s="92" t="s">
        <v>8801</v>
      </c>
      <c r="M712" s="92" t="s">
        <v>8802</v>
      </c>
      <c r="N712" s="92" t="s">
        <v>8803</v>
      </c>
      <c r="O712" s="92" t="s">
        <v>8804</v>
      </c>
      <c r="S712" s="6">
        <v>1700004009</v>
      </c>
      <c r="T712" s="92">
        <v>1900018225</v>
      </c>
      <c r="U712" s="92">
        <v>1900030376</v>
      </c>
      <c r="V712" s="92">
        <v>2000003071</v>
      </c>
      <c r="W712" s="92">
        <v>2000011205</v>
      </c>
      <c r="X712" s="92">
        <v>2000023032</v>
      </c>
      <c r="Y712" s="92">
        <v>2000030055</v>
      </c>
      <c r="Z712" s="92">
        <v>2000032043</v>
      </c>
      <c r="AA712" s="92">
        <v>2000034022</v>
      </c>
      <c r="AE712" s="6" t="s">
        <v>201</v>
      </c>
      <c r="AF712" s="92" t="s">
        <v>179</v>
      </c>
      <c r="AG712" s="92" t="s">
        <v>184</v>
      </c>
      <c r="AH712" s="92" t="s">
        <v>178</v>
      </c>
      <c r="AI712" s="92" t="s">
        <v>182</v>
      </c>
      <c r="AJ712" s="92" t="s">
        <v>899</v>
      </c>
      <c r="AK712" s="92" t="s">
        <v>184</v>
      </c>
      <c r="AL712" s="92" t="s">
        <v>732</v>
      </c>
      <c r="AM712" s="92" t="s">
        <v>534</v>
      </c>
      <c r="AQ712" s="60" t="s">
        <v>186</v>
      </c>
      <c r="AR712" s="93" t="s">
        <v>187</v>
      </c>
      <c r="AS712" s="93" t="s">
        <v>187</v>
      </c>
      <c r="AT712" s="93" t="s">
        <v>187</v>
      </c>
      <c r="AU712" s="93" t="s">
        <v>186</v>
      </c>
      <c r="AV712" s="93" t="s">
        <v>186</v>
      </c>
      <c r="AW712" s="93" t="s">
        <v>186</v>
      </c>
      <c r="AX712" s="93" t="s">
        <v>186</v>
      </c>
      <c r="AY712" s="93" t="s">
        <v>187</v>
      </c>
      <c r="BC712" s="60">
        <v>85743439499</v>
      </c>
      <c r="BD712" s="93">
        <v>81327183121</v>
      </c>
      <c r="BE712" s="93">
        <v>81320736427</v>
      </c>
      <c r="BF712" s="93">
        <v>85752453037</v>
      </c>
      <c r="BG712" s="93">
        <v>82131244832</v>
      </c>
      <c r="BH712" s="93">
        <v>85832131242</v>
      </c>
      <c r="BI712" s="93">
        <v>83802855507</v>
      </c>
      <c r="BJ712" s="93">
        <f>6282229774519</f>
        <v>6282229774519</v>
      </c>
      <c r="BK712" s="93">
        <v>85899518045</v>
      </c>
      <c r="BO712" s="29">
        <v>60171064</v>
      </c>
      <c r="BP712" s="18" t="s">
        <v>8805</v>
      </c>
      <c r="BQ712" s="37">
        <v>45226</v>
      </c>
      <c r="BR712" s="8">
        <f t="shared" si="2"/>
        <v>9</v>
      </c>
    </row>
    <row r="713" spans="1:70" ht="14">
      <c r="A713" s="4" t="str">
        <v>Alternatif Periode ke-89 III.A.2</v>
      </c>
      <c r="B713" s="4" t="s">
        <v>8527</v>
      </c>
      <c r="C713" s="4" t="s">
        <v>861</v>
      </c>
      <c r="D713" s="4" t="s">
        <v>2213</v>
      </c>
      <c r="E713" s="4" t="s">
        <v>8806</v>
      </c>
      <c r="F713" s="4" t="s">
        <v>520</v>
      </c>
      <c r="G713" s="6" t="s">
        <v>8807</v>
      </c>
      <c r="H713" s="92" t="s">
        <v>8808</v>
      </c>
      <c r="I713" s="92" t="s">
        <v>8809</v>
      </c>
      <c r="J713" s="92" t="s">
        <v>8810</v>
      </c>
      <c r="K713" s="92" t="s">
        <v>8811</v>
      </c>
      <c r="L713" s="92" t="s">
        <v>8812</v>
      </c>
      <c r="M713" s="92" t="s">
        <v>8813</v>
      </c>
      <c r="N713" s="92" t="s">
        <v>8814</v>
      </c>
      <c r="O713" s="92" t="s">
        <v>8815</v>
      </c>
      <c r="S713" s="6">
        <v>1700003088</v>
      </c>
      <c r="T713" s="92">
        <v>1900030119</v>
      </c>
      <c r="U713" s="92">
        <v>2000004100</v>
      </c>
      <c r="V713" s="92">
        <v>2000011028</v>
      </c>
      <c r="W713" s="92">
        <v>2000018270</v>
      </c>
      <c r="X713" s="92">
        <v>2000023173</v>
      </c>
      <c r="Y713" s="92">
        <v>2000030123</v>
      </c>
      <c r="Z713" s="92">
        <v>2000032150</v>
      </c>
      <c r="AA713" s="92">
        <v>2000034046</v>
      </c>
      <c r="AE713" s="6" t="s">
        <v>178</v>
      </c>
      <c r="AF713" s="92" t="s">
        <v>184</v>
      </c>
      <c r="AG713" s="92" t="s">
        <v>201</v>
      </c>
      <c r="AH713" s="92" t="s">
        <v>182</v>
      </c>
      <c r="AI713" s="92" t="s">
        <v>179</v>
      </c>
      <c r="AJ713" s="92" t="s">
        <v>899</v>
      </c>
      <c r="AK713" s="92" t="s">
        <v>184</v>
      </c>
      <c r="AL713" s="92" t="s">
        <v>732</v>
      </c>
      <c r="AM713" s="92" t="s">
        <v>534</v>
      </c>
      <c r="AQ713" s="60" t="s">
        <v>187</v>
      </c>
      <c r="AR713" s="93" t="s">
        <v>186</v>
      </c>
      <c r="AS713" s="93" t="s">
        <v>186</v>
      </c>
      <c r="AT713" s="93" t="s">
        <v>186</v>
      </c>
      <c r="AU713" s="93" t="s">
        <v>187</v>
      </c>
      <c r="AV713" s="93" t="s">
        <v>186</v>
      </c>
      <c r="AW713" s="93" t="s">
        <v>187</v>
      </c>
      <c r="AX713" s="93" t="s">
        <v>186</v>
      </c>
      <c r="AY713" s="93" t="s">
        <v>187</v>
      </c>
      <c r="BC713" s="60">
        <v>85713109045</v>
      </c>
      <c r="BD713" s="93">
        <v>87838913135</v>
      </c>
      <c r="BE713" s="93">
        <v>81276438716</v>
      </c>
      <c r="BF713" s="93">
        <v>81649762592</v>
      </c>
      <c r="BG713" s="93">
        <v>81326805627</v>
      </c>
      <c r="BH713" s="93">
        <v>87828306612</v>
      </c>
      <c r="BI713" s="93">
        <v>8311883096</v>
      </c>
      <c r="BJ713" s="93">
        <v>81908623478</v>
      </c>
      <c r="BK713" s="93">
        <v>81236279362</v>
      </c>
      <c r="BO713" s="29">
        <v>60171064</v>
      </c>
      <c r="BP713" s="18" t="s">
        <v>8816</v>
      </c>
      <c r="BQ713" s="37">
        <v>45226</v>
      </c>
      <c r="BR713" s="8">
        <f t="shared" si="2"/>
        <v>9</v>
      </c>
    </row>
    <row r="714" spans="1:70" ht="14">
      <c r="A714" s="4" t="str">
        <v>Alternatif Periode ke-89 III.A.3</v>
      </c>
      <c r="B714" s="4" t="s">
        <v>8527</v>
      </c>
      <c r="C714" s="4" t="s">
        <v>874</v>
      </c>
      <c r="D714" s="4" t="s">
        <v>2213</v>
      </c>
      <c r="E714" s="4" t="s">
        <v>8817</v>
      </c>
      <c r="F714" s="4" t="s">
        <v>520</v>
      </c>
      <c r="G714" s="6" t="s">
        <v>8818</v>
      </c>
      <c r="H714" s="92" t="s">
        <v>8819</v>
      </c>
      <c r="I714" s="92" t="s">
        <v>8820</v>
      </c>
      <c r="J714" s="92" t="s">
        <v>8821</v>
      </c>
      <c r="K714" s="92" t="s">
        <v>8822</v>
      </c>
      <c r="L714" s="92" t="s">
        <v>8823</v>
      </c>
      <c r="M714" s="92" t="s">
        <v>8824</v>
      </c>
      <c r="N714" s="92" t="s">
        <v>8825</v>
      </c>
      <c r="O714" s="92" t="s">
        <v>8826</v>
      </c>
      <c r="S714" s="6">
        <v>1900018419</v>
      </c>
      <c r="T714" s="92">
        <v>1900030281</v>
      </c>
      <c r="U714" s="92">
        <v>1900030395</v>
      </c>
      <c r="V714" s="92">
        <v>2000003087</v>
      </c>
      <c r="W714" s="92">
        <v>2000011306</v>
      </c>
      <c r="X714" s="92">
        <v>2000023234</v>
      </c>
      <c r="Y714" s="92">
        <v>2000032046</v>
      </c>
      <c r="Z714" s="92">
        <v>2000034057</v>
      </c>
      <c r="AA714" s="92">
        <v>2011004054</v>
      </c>
      <c r="AE714" s="6" t="s">
        <v>179</v>
      </c>
      <c r="AF714" s="92" t="s">
        <v>184</v>
      </c>
      <c r="AG714" s="92" t="s">
        <v>184</v>
      </c>
      <c r="AH714" s="92" t="s">
        <v>178</v>
      </c>
      <c r="AI714" s="92" t="s">
        <v>182</v>
      </c>
      <c r="AJ714" s="92" t="s">
        <v>899</v>
      </c>
      <c r="AK714" s="92" t="s">
        <v>732</v>
      </c>
      <c r="AL714" s="92" t="s">
        <v>534</v>
      </c>
      <c r="AM714" s="92" t="s">
        <v>201</v>
      </c>
      <c r="AQ714" s="60" t="s">
        <v>187</v>
      </c>
      <c r="AR714" s="93" t="s">
        <v>187</v>
      </c>
      <c r="AS714" s="93" t="s">
        <v>186</v>
      </c>
      <c r="AT714" s="93" t="s">
        <v>187</v>
      </c>
      <c r="AU714" s="93" t="s">
        <v>186</v>
      </c>
      <c r="AV714" s="93" t="s">
        <v>186</v>
      </c>
      <c r="AW714" s="93" t="s">
        <v>186</v>
      </c>
      <c r="AX714" s="93" t="s">
        <v>187</v>
      </c>
      <c r="AY714" s="93" t="s">
        <v>186</v>
      </c>
      <c r="BC714" s="60">
        <v>81336118974</v>
      </c>
      <c r="BD714" s="93">
        <v>82320682986</v>
      </c>
      <c r="BE714" s="93" t="s">
        <v>8827</v>
      </c>
      <c r="BF714" s="93">
        <v>81390642442</v>
      </c>
      <c r="BG714" s="93">
        <v>81224255281</v>
      </c>
      <c r="BH714" s="93">
        <v>8111154002</v>
      </c>
      <c r="BI714" s="93">
        <v>8886908412</v>
      </c>
      <c r="BJ714" s="93">
        <v>895605653388</v>
      </c>
      <c r="BK714" s="93">
        <v>85728765305</v>
      </c>
      <c r="BO714" s="29">
        <v>60171064</v>
      </c>
      <c r="BP714" s="18" t="s">
        <v>8828</v>
      </c>
      <c r="BQ714" s="37">
        <v>45226</v>
      </c>
      <c r="BR714" s="8">
        <f t="shared" si="2"/>
        <v>9</v>
      </c>
    </row>
    <row r="715" spans="1:70" ht="14">
      <c r="A715" s="4" t="str">
        <v>Alternatif Periode ke-89 III.B.1</v>
      </c>
      <c r="B715" s="4" t="s">
        <v>8527</v>
      </c>
      <c r="C715" s="4" t="s">
        <v>887</v>
      </c>
      <c r="D715" s="4" t="s">
        <v>3741</v>
      </c>
      <c r="E715" s="4" t="s">
        <v>8829</v>
      </c>
      <c r="F715" s="4" t="s">
        <v>520</v>
      </c>
      <c r="G715" s="6" t="s">
        <v>8830</v>
      </c>
      <c r="H715" s="92" t="s">
        <v>8831</v>
      </c>
      <c r="I715" s="92" t="s">
        <v>8832</v>
      </c>
      <c r="J715" s="92" t="s">
        <v>8833</v>
      </c>
      <c r="K715" s="92" t="s">
        <v>8834</v>
      </c>
      <c r="L715" s="92" t="s">
        <v>8835</v>
      </c>
      <c r="M715" s="92" t="s">
        <v>8836</v>
      </c>
      <c r="N715" s="92" t="s">
        <v>8837</v>
      </c>
      <c r="O715" s="92" t="s">
        <v>8838</v>
      </c>
      <c r="S715" s="6">
        <v>1815004201</v>
      </c>
      <c r="T715" s="92">
        <v>1900035013</v>
      </c>
      <c r="U715" s="92">
        <v>2000003067</v>
      </c>
      <c r="V715" s="92">
        <v>2000011022</v>
      </c>
      <c r="W715" s="92">
        <v>2000018320</v>
      </c>
      <c r="X715" s="92">
        <v>2000030017</v>
      </c>
      <c r="Y715" s="92">
        <v>2000030112</v>
      </c>
      <c r="Z715" s="92">
        <v>2000032119</v>
      </c>
      <c r="AA715" s="92">
        <v>2011331020</v>
      </c>
      <c r="AE715" s="6" t="s">
        <v>201</v>
      </c>
      <c r="AF715" s="92" t="s">
        <v>2071</v>
      </c>
      <c r="AG715" s="92" t="s">
        <v>178</v>
      </c>
      <c r="AH715" s="92" t="s">
        <v>182</v>
      </c>
      <c r="AI715" s="92" t="s">
        <v>179</v>
      </c>
      <c r="AJ715" s="92" t="s">
        <v>184</v>
      </c>
      <c r="AK715" s="92" t="s">
        <v>184</v>
      </c>
      <c r="AL715" s="92" t="s">
        <v>732</v>
      </c>
      <c r="AM715" s="92" t="s">
        <v>546</v>
      </c>
      <c r="AQ715" s="60" t="s">
        <v>186</v>
      </c>
      <c r="AR715" s="93" t="s">
        <v>187</v>
      </c>
      <c r="AS715" s="93" t="s">
        <v>187</v>
      </c>
      <c r="AT715" s="93" t="s">
        <v>186</v>
      </c>
      <c r="AU715" s="93" t="s">
        <v>187</v>
      </c>
      <c r="AV715" s="93" t="s">
        <v>187</v>
      </c>
      <c r="AW715" s="93" t="s">
        <v>186</v>
      </c>
      <c r="AX715" s="93" t="s">
        <v>186</v>
      </c>
      <c r="AY715" s="93" t="s">
        <v>186</v>
      </c>
      <c r="BC715" s="60">
        <v>81215001452</v>
      </c>
      <c r="BD715" s="93">
        <v>81337043342</v>
      </c>
      <c r="BE715" s="93">
        <v>83185602722</v>
      </c>
      <c r="BF715" s="93">
        <v>81233859605</v>
      </c>
      <c r="BG715" s="93">
        <v>81386009315</v>
      </c>
      <c r="BH715" s="93">
        <v>81125014999</v>
      </c>
      <c r="BI715" s="93">
        <v>85750118454</v>
      </c>
      <c r="BJ715" s="93">
        <v>81229365880</v>
      </c>
      <c r="BK715" s="93">
        <v>89515423527</v>
      </c>
      <c r="BO715" s="39">
        <v>60191232</v>
      </c>
      <c r="BP715" s="18" t="s">
        <v>8839</v>
      </c>
      <c r="BQ715" s="37">
        <v>45226</v>
      </c>
      <c r="BR715" s="8">
        <f t="shared" si="2"/>
        <v>9</v>
      </c>
    </row>
    <row r="716" spans="1:70" ht="14">
      <c r="A716" s="4" t="str">
        <v>Alternatif Periode ke-89 III.B.2</v>
      </c>
      <c r="B716" s="4" t="s">
        <v>8527</v>
      </c>
      <c r="C716" s="4" t="s">
        <v>901</v>
      </c>
      <c r="D716" s="4" t="s">
        <v>3741</v>
      </c>
      <c r="E716" s="4" t="s">
        <v>8840</v>
      </c>
      <c r="F716" s="4" t="s">
        <v>520</v>
      </c>
      <c r="G716" s="6" t="s">
        <v>8841</v>
      </c>
      <c r="H716" s="92" t="s">
        <v>8842</v>
      </c>
      <c r="I716" s="92" t="s">
        <v>8843</v>
      </c>
      <c r="J716" s="92" t="s">
        <v>8844</v>
      </c>
      <c r="K716" s="92" t="s">
        <v>8845</v>
      </c>
      <c r="L716" s="92" t="s">
        <v>8846</v>
      </c>
      <c r="M716" s="92" t="s">
        <v>8847</v>
      </c>
      <c r="N716" s="92" t="s">
        <v>8848</v>
      </c>
      <c r="O716" s="92" t="s">
        <v>8849</v>
      </c>
      <c r="S716" s="6">
        <v>2011331018</v>
      </c>
      <c r="T716" s="92">
        <v>2000032133</v>
      </c>
      <c r="U716" s="92">
        <v>2000030078</v>
      </c>
      <c r="V716" s="92">
        <v>2000011135</v>
      </c>
      <c r="W716" s="92">
        <v>2000004088</v>
      </c>
      <c r="X716" s="92">
        <v>1900004157</v>
      </c>
      <c r="Y716" s="92">
        <v>1800030234</v>
      </c>
      <c r="Z716" s="92">
        <v>1800023189</v>
      </c>
      <c r="AA716" s="92">
        <v>1800018222</v>
      </c>
      <c r="AE716" s="6" t="s">
        <v>546</v>
      </c>
      <c r="AF716" s="92" t="s">
        <v>732</v>
      </c>
      <c r="AG716" s="92" t="s">
        <v>184</v>
      </c>
      <c r="AH716" s="92" t="s">
        <v>182</v>
      </c>
      <c r="AI716" s="92" t="s">
        <v>201</v>
      </c>
      <c r="AJ716" s="92" t="s">
        <v>201</v>
      </c>
      <c r="AK716" s="92" t="s">
        <v>184</v>
      </c>
      <c r="AL716" s="92" t="s">
        <v>899</v>
      </c>
      <c r="AM716" s="92" t="s">
        <v>179</v>
      </c>
      <c r="AQ716" s="60" t="s">
        <v>187</v>
      </c>
      <c r="AR716" s="93" t="s">
        <v>186</v>
      </c>
      <c r="AS716" s="93" t="s">
        <v>186</v>
      </c>
      <c r="AT716" s="93" t="s">
        <v>186</v>
      </c>
      <c r="AU716" s="93" t="s">
        <v>187</v>
      </c>
      <c r="AV716" s="93" t="s">
        <v>186</v>
      </c>
      <c r="AW716" s="93" t="s">
        <v>187</v>
      </c>
      <c r="AX716" s="93" t="s">
        <v>186</v>
      </c>
      <c r="AY716" s="93" t="s">
        <v>187</v>
      </c>
      <c r="BC716" s="60">
        <v>81806996179</v>
      </c>
      <c r="BD716" s="93">
        <v>895341821812</v>
      </c>
      <c r="BE716" s="93">
        <v>85268901656</v>
      </c>
      <c r="BF716" s="93">
        <v>88232363687</v>
      </c>
      <c r="BG716" s="93">
        <v>81329875798</v>
      </c>
      <c r="BH716" s="93">
        <v>85378542628</v>
      </c>
      <c r="BI716" s="93">
        <v>85333081972</v>
      </c>
      <c r="BJ716" s="93">
        <v>85727297893</v>
      </c>
      <c r="BK716" s="93">
        <v>85173000062</v>
      </c>
      <c r="BO716" s="39">
        <v>60191232</v>
      </c>
      <c r="BP716" s="18" t="s">
        <v>8850</v>
      </c>
      <c r="BQ716" s="37">
        <v>45226</v>
      </c>
      <c r="BR716" s="8">
        <f t="shared" si="2"/>
        <v>9</v>
      </c>
    </row>
    <row r="717" spans="1:70" ht="14">
      <c r="A717" s="4" t="str">
        <v>Alternatif Periode ke-89 III.B.3</v>
      </c>
      <c r="B717" s="4" t="s">
        <v>8527</v>
      </c>
      <c r="C717" s="4" t="s">
        <v>913</v>
      </c>
      <c r="D717" s="4" t="s">
        <v>3741</v>
      </c>
      <c r="E717" s="4" t="s">
        <v>8851</v>
      </c>
      <c r="F717" s="4" t="s">
        <v>520</v>
      </c>
      <c r="G717" s="6" t="s">
        <v>8852</v>
      </c>
      <c r="H717" s="92" t="s">
        <v>8853</v>
      </c>
      <c r="I717" s="92" t="s">
        <v>8854</v>
      </c>
      <c r="J717" s="92" t="s">
        <v>8855</v>
      </c>
      <c r="K717" s="92" t="s">
        <v>8856</v>
      </c>
      <c r="L717" s="92" t="s">
        <v>8857</v>
      </c>
      <c r="M717" s="92" t="s">
        <v>8858</v>
      </c>
      <c r="N717" s="92" t="s">
        <v>8859</v>
      </c>
      <c r="O717" s="92" t="s">
        <v>8860</v>
      </c>
      <c r="S717" s="6">
        <v>1800030499</v>
      </c>
      <c r="T717" s="92">
        <v>1900004042</v>
      </c>
      <c r="U717" s="92">
        <v>2000004092</v>
      </c>
      <c r="V717" s="92">
        <v>2000011121</v>
      </c>
      <c r="W717" s="92">
        <v>2000018047</v>
      </c>
      <c r="X717" s="92">
        <v>2000023252</v>
      </c>
      <c r="Y717" s="92">
        <v>2000030068</v>
      </c>
      <c r="Z717" s="92">
        <v>2000032187</v>
      </c>
      <c r="AA717" s="92">
        <v>2000331012</v>
      </c>
      <c r="AE717" s="6" t="s">
        <v>184</v>
      </c>
      <c r="AF717" s="92" t="s">
        <v>201</v>
      </c>
      <c r="AG717" s="92" t="s">
        <v>201</v>
      </c>
      <c r="AH717" s="92" t="s">
        <v>182</v>
      </c>
      <c r="AI717" s="92" t="s">
        <v>179</v>
      </c>
      <c r="AJ717" s="92" t="s">
        <v>899</v>
      </c>
      <c r="AK717" s="92" t="s">
        <v>184</v>
      </c>
      <c r="AL717" s="92" t="s">
        <v>732</v>
      </c>
      <c r="AM717" s="92" t="s">
        <v>546</v>
      </c>
      <c r="AQ717" s="60" t="s">
        <v>187</v>
      </c>
      <c r="AR717" s="93" t="s">
        <v>186</v>
      </c>
      <c r="AS717" s="93" t="s">
        <v>187</v>
      </c>
      <c r="AT717" s="93" t="s">
        <v>186</v>
      </c>
      <c r="AU717" s="93" t="s">
        <v>187</v>
      </c>
      <c r="AV717" s="93" t="s">
        <v>186</v>
      </c>
      <c r="AW717" s="93" t="s">
        <v>186</v>
      </c>
      <c r="AX717" s="93" t="s">
        <v>186</v>
      </c>
      <c r="AY717" s="93" t="s">
        <v>187</v>
      </c>
      <c r="BC717" s="60">
        <v>82293849067</v>
      </c>
      <c r="BD717" s="93">
        <v>83846286761</v>
      </c>
      <c r="BE717" s="93">
        <v>85879337468</v>
      </c>
      <c r="BF717" s="93">
        <v>82231391930</v>
      </c>
      <c r="BG717" s="93">
        <v>82139650264</v>
      </c>
      <c r="BH717" s="93">
        <v>82326688900</v>
      </c>
      <c r="BI717" s="93">
        <v>83177516210</v>
      </c>
      <c r="BJ717" s="93">
        <v>82352623290</v>
      </c>
      <c r="BK717" s="93">
        <v>85865195390</v>
      </c>
      <c r="BO717" s="39">
        <v>60191232</v>
      </c>
      <c r="BP717" s="18" t="s">
        <v>8861</v>
      </c>
      <c r="BQ717" s="37">
        <v>45226</v>
      </c>
      <c r="BR717" s="8">
        <f t="shared" si="2"/>
        <v>9</v>
      </c>
    </row>
    <row r="718" spans="1:70" ht="14">
      <c r="A718" s="4" t="str">
        <v>Alternatif Periode ke-89 III.C.1</v>
      </c>
      <c r="B718" s="4" t="s">
        <v>8527</v>
      </c>
      <c r="C718" s="4" t="s">
        <v>939</v>
      </c>
      <c r="D718" s="4" t="s">
        <v>5770</v>
      </c>
      <c r="E718" s="4" t="s">
        <v>8862</v>
      </c>
      <c r="F718" s="4" t="s">
        <v>520</v>
      </c>
      <c r="G718" s="6" t="s">
        <v>8863</v>
      </c>
      <c r="H718" s="92" t="s">
        <v>8864</v>
      </c>
      <c r="I718" s="92" t="s">
        <v>8865</v>
      </c>
      <c r="J718" s="92" t="s">
        <v>8866</v>
      </c>
      <c r="K718" s="92" t="s">
        <v>8867</v>
      </c>
      <c r="L718" s="92" t="s">
        <v>1105</v>
      </c>
      <c r="M718" s="92" t="s">
        <v>8868</v>
      </c>
      <c r="N718" s="92" t="s">
        <v>8869</v>
      </c>
      <c r="O718" s="92" t="s">
        <v>8870</v>
      </c>
      <c r="S718" s="6">
        <v>1800030023</v>
      </c>
      <c r="T718" s="92">
        <v>1900018223</v>
      </c>
      <c r="U718" s="92">
        <v>2000001118</v>
      </c>
      <c r="V718" s="92">
        <v>2000004022</v>
      </c>
      <c r="W718" s="92">
        <v>2000011030</v>
      </c>
      <c r="X718" s="92">
        <v>2000023188</v>
      </c>
      <c r="Y718" s="92">
        <v>2000030150</v>
      </c>
      <c r="Z718" s="92">
        <v>2000032110</v>
      </c>
      <c r="AA718" s="92">
        <v>2011004058</v>
      </c>
      <c r="AE718" s="6" t="s">
        <v>184</v>
      </c>
      <c r="AF718" s="92" t="s">
        <v>179</v>
      </c>
      <c r="AG718" s="92" t="s">
        <v>180</v>
      </c>
      <c r="AH718" s="92" t="s">
        <v>201</v>
      </c>
      <c r="AI718" s="92" t="s">
        <v>182</v>
      </c>
      <c r="AJ718" s="92" t="s">
        <v>899</v>
      </c>
      <c r="AK718" s="92" t="s">
        <v>184</v>
      </c>
      <c r="AL718" s="92" t="s">
        <v>732</v>
      </c>
      <c r="AM718" s="92" t="s">
        <v>201</v>
      </c>
      <c r="AQ718" s="60" t="s">
        <v>187</v>
      </c>
      <c r="AR718" s="93" t="s">
        <v>187</v>
      </c>
      <c r="AS718" s="93" t="s">
        <v>186</v>
      </c>
      <c r="AT718" s="93" t="s">
        <v>186</v>
      </c>
      <c r="AU718" s="93" t="s">
        <v>186</v>
      </c>
      <c r="AV718" s="93" t="s">
        <v>186</v>
      </c>
      <c r="AW718" s="93" t="s">
        <v>186</v>
      </c>
      <c r="AX718" s="93" t="s">
        <v>186</v>
      </c>
      <c r="AY718" s="93" t="s">
        <v>187</v>
      </c>
      <c r="BC718" s="60">
        <v>85156582376</v>
      </c>
      <c r="BD718" s="93">
        <v>81332006012</v>
      </c>
      <c r="BE718" s="93">
        <v>82196561456</v>
      </c>
      <c r="BF718" s="93">
        <v>82324726834</v>
      </c>
      <c r="BG718" s="93">
        <v>82116251167</v>
      </c>
      <c r="BH718" s="93">
        <v>85895345354</v>
      </c>
      <c r="BI718" s="93">
        <v>85702442788</v>
      </c>
      <c r="BJ718" s="93" t="s">
        <v>8871</v>
      </c>
      <c r="BK718" s="93">
        <v>82247160165</v>
      </c>
      <c r="BO718" s="39">
        <v>60150813</v>
      </c>
      <c r="BP718" s="18" t="s">
        <v>8872</v>
      </c>
      <c r="BQ718" s="37">
        <v>45226</v>
      </c>
      <c r="BR718" s="8">
        <f t="shared" si="2"/>
        <v>9</v>
      </c>
    </row>
    <row r="719" spans="1:70" ht="14">
      <c r="A719" s="4" t="str">
        <v>Alternatif Periode ke-89 III.C.2</v>
      </c>
      <c r="B719" s="4" t="s">
        <v>8527</v>
      </c>
      <c r="C719" s="4" t="s">
        <v>955</v>
      </c>
      <c r="D719" s="4" t="s">
        <v>5770</v>
      </c>
      <c r="E719" s="4" t="s">
        <v>8873</v>
      </c>
      <c r="F719" s="4" t="s">
        <v>520</v>
      </c>
      <c r="G719" s="6" t="s">
        <v>8874</v>
      </c>
      <c r="H719" s="92" t="s">
        <v>8875</v>
      </c>
      <c r="I719" s="92" t="s">
        <v>8876</v>
      </c>
      <c r="J719" s="92" t="s">
        <v>8877</v>
      </c>
      <c r="K719" s="92" t="s">
        <v>8878</v>
      </c>
      <c r="L719" s="92" t="s">
        <v>8879</v>
      </c>
      <c r="M719" s="92" t="s">
        <v>8880</v>
      </c>
      <c r="N719" s="92" t="s">
        <v>8881</v>
      </c>
      <c r="O719" s="92" t="s">
        <v>8882</v>
      </c>
      <c r="S719" s="6">
        <v>1700030079</v>
      </c>
      <c r="T719" s="92">
        <v>1800004117</v>
      </c>
      <c r="U719" s="92">
        <v>1900011136</v>
      </c>
      <c r="V719" s="92">
        <v>1900018326</v>
      </c>
      <c r="W719" s="92">
        <v>1900023132</v>
      </c>
      <c r="X719" s="92">
        <v>2000001143</v>
      </c>
      <c r="Y719" s="92">
        <v>2000004081</v>
      </c>
      <c r="Z719" s="92">
        <v>2000030096</v>
      </c>
      <c r="AA719" s="92">
        <v>2000032156</v>
      </c>
      <c r="AE719" s="6" t="s">
        <v>184</v>
      </c>
      <c r="AF719" s="92" t="s">
        <v>201</v>
      </c>
      <c r="AG719" s="92" t="s">
        <v>182</v>
      </c>
      <c r="AH719" s="92" t="s">
        <v>179</v>
      </c>
      <c r="AI719" s="92" t="s">
        <v>899</v>
      </c>
      <c r="AJ719" s="92" t="s">
        <v>180</v>
      </c>
      <c r="AK719" s="92" t="s">
        <v>201</v>
      </c>
      <c r="AL719" s="92" t="s">
        <v>184</v>
      </c>
      <c r="AM719" s="92" t="s">
        <v>732</v>
      </c>
      <c r="AQ719" s="60" t="s">
        <v>187</v>
      </c>
      <c r="AR719" s="93" t="s">
        <v>187</v>
      </c>
      <c r="AS719" s="93" t="s">
        <v>186</v>
      </c>
      <c r="AT719" s="93" t="s">
        <v>187</v>
      </c>
      <c r="AU719" s="93" t="s">
        <v>186</v>
      </c>
      <c r="AV719" s="93" t="s">
        <v>186</v>
      </c>
      <c r="AW719" s="93" t="s">
        <v>186</v>
      </c>
      <c r="AX719" s="93" t="s">
        <v>186</v>
      </c>
      <c r="AY719" s="93" t="s">
        <v>186</v>
      </c>
      <c r="BC719" s="60">
        <v>85157030065</v>
      </c>
      <c r="BD719" s="93">
        <v>85291601548</v>
      </c>
      <c r="BE719" s="93">
        <v>82190918747</v>
      </c>
      <c r="BF719" s="93">
        <v>81232172660</v>
      </c>
      <c r="BG719" s="93">
        <v>85238260015</v>
      </c>
      <c r="BH719" s="93">
        <v>895366140610</v>
      </c>
      <c r="BI719" s="93">
        <v>89626397559</v>
      </c>
      <c r="BJ719" s="93">
        <v>895397208721</v>
      </c>
      <c r="BK719" s="93">
        <v>89514352456</v>
      </c>
      <c r="BO719" s="39">
        <v>60150813</v>
      </c>
      <c r="BP719" s="18" t="s">
        <v>8883</v>
      </c>
      <c r="BQ719" s="37">
        <v>45226</v>
      </c>
      <c r="BR719" s="8">
        <f t="shared" si="2"/>
        <v>9</v>
      </c>
    </row>
    <row r="720" spans="1:70" ht="14">
      <c r="A720" s="4" t="str">
        <v>Alternatif Periode ke-89 III.C.3</v>
      </c>
      <c r="B720" s="4" t="s">
        <v>8527</v>
      </c>
      <c r="C720" s="4" t="s">
        <v>967</v>
      </c>
      <c r="D720" s="4" t="s">
        <v>5770</v>
      </c>
      <c r="E720" s="4" t="s">
        <v>8884</v>
      </c>
      <c r="F720" s="4" t="s">
        <v>520</v>
      </c>
      <c r="G720" s="6" t="s">
        <v>8885</v>
      </c>
      <c r="H720" s="92" t="s">
        <v>8886</v>
      </c>
      <c r="I720" s="92" t="s">
        <v>8887</v>
      </c>
      <c r="J720" s="92" t="s">
        <v>8888</v>
      </c>
      <c r="K720" s="92" t="s">
        <v>8889</v>
      </c>
      <c r="L720" s="92" t="s">
        <v>8890</v>
      </c>
      <c r="M720" s="92" t="s">
        <v>8891</v>
      </c>
      <c r="N720" s="92" t="s">
        <v>8892</v>
      </c>
      <c r="O720" s="92" t="s">
        <v>8893</v>
      </c>
      <c r="S720" s="6">
        <v>1800005300</v>
      </c>
      <c r="T720" s="92">
        <v>1900018005</v>
      </c>
      <c r="U720" s="92">
        <v>2000001043</v>
      </c>
      <c r="V720" s="92">
        <v>2000004093</v>
      </c>
      <c r="W720" s="92">
        <v>2000023224</v>
      </c>
      <c r="X720" s="92">
        <v>2000030027</v>
      </c>
      <c r="Y720" s="92">
        <v>2000030165</v>
      </c>
      <c r="Z720" s="92">
        <v>2000032122</v>
      </c>
      <c r="AA720" s="92">
        <v>2015011296</v>
      </c>
      <c r="AE720" s="6" t="s">
        <v>181</v>
      </c>
      <c r="AF720" s="92" t="s">
        <v>179</v>
      </c>
      <c r="AG720" s="92" t="s">
        <v>180</v>
      </c>
      <c r="AH720" s="92" t="s">
        <v>201</v>
      </c>
      <c r="AI720" s="92" t="s">
        <v>899</v>
      </c>
      <c r="AJ720" s="92" t="s">
        <v>184</v>
      </c>
      <c r="AK720" s="92" t="s">
        <v>184</v>
      </c>
      <c r="AL720" s="92" t="s">
        <v>732</v>
      </c>
      <c r="AM720" s="92" t="s">
        <v>182</v>
      </c>
      <c r="AQ720" s="60" t="s">
        <v>187</v>
      </c>
      <c r="AR720" s="93" t="s">
        <v>187</v>
      </c>
      <c r="AS720" s="93" t="s">
        <v>186</v>
      </c>
      <c r="AT720" s="93" t="s">
        <v>186</v>
      </c>
      <c r="AU720" s="93" t="s">
        <v>186</v>
      </c>
      <c r="AV720" s="93" t="s">
        <v>186</v>
      </c>
      <c r="AW720" s="93" t="s">
        <v>187</v>
      </c>
      <c r="AX720" s="93" t="s">
        <v>186</v>
      </c>
      <c r="AY720" s="93" t="s">
        <v>186</v>
      </c>
      <c r="BC720" s="60">
        <v>85157743136</v>
      </c>
      <c r="BD720" s="93">
        <v>82289395953</v>
      </c>
      <c r="BE720" s="93">
        <v>81573018260</v>
      </c>
      <c r="BF720" s="93">
        <v>89525269494</v>
      </c>
      <c r="BG720" s="93">
        <v>85701119262</v>
      </c>
      <c r="BH720" s="93">
        <v>85215163077</v>
      </c>
      <c r="BI720" s="93">
        <v>81239062124</v>
      </c>
      <c r="BJ720" s="93">
        <v>85868462330</v>
      </c>
      <c r="BK720" s="93">
        <v>89652292417</v>
      </c>
      <c r="BO720" s="39">
        <v>60150813</v>
      </c>
      <c r="BP720" s="18" t="s">
        <v>8894</v>
      </c>
      <c r="BQ720" s="37">
        <v>45226</v>
      </c>
      <c r="BR720" s="8">
        <f t="shared" si="2"/>
        <v>9</v>
      </c>
    </row>
    <row r="721" spans="1:70" ht="14">
      <c r="A721" s="4" t="str">
        <v>Alternatif Periode ke-89 III.D.1</v>
      </c>
      <c r="B721" s="4" t="s">
        <v>8527</v>
      </c>
      <c r="C721" s="4" t="s">
        <v>1009</v>
      </c>
      <c r="D721" s="4" t="s">
        <v>8895</v>
      </c>
      <c r="E721" s="4" t="s">
        <v>773</v>
      </c>
      <c r="F721" s="4" t="s">
        <v>520</v>
      </c>
      <c r="G721" s="6" t="s">
        <v>8896</v>
      </c>
      <c r="H721" s="92" t="s">
        <v>8897</v>
      </c>
      <c r="I721" s="92" t="s">
        <v>8898</v>
      </c>
      <c r="J721" s="92" t="s">
        <v>6623</v>
      </c>
      <c r="K721" s="92" t="s">
        <v>8899</v>
      </c>
      <c r="L721" s="92" t="s">
        <v>8900</v>
      </c>
      <c r="M721" s="92" t="s">
        <v>8901</v>
      </c>
      <c r="N721" s="92" t="s">
        <v>8902</v>
      </c>
      <c r="O721" s="92" t="s">
        <v>8903</v>
      </c>
      <c r="S721" s="6">
        <v>1800018171</v>
      </c>
      <c r="T721" s="92">
        <v>1800030379</v>
      </c>
      <c r="U721" s="92">
        <v>1900005259</v>
      </c>
      <c r="V721" s="92">
        <v>1900030213</v>
      </c>
      <c r="W721" s="92">
        <v>2000001108</v>
      </c>
      <c r="X721" s="92">
        <v>2000004118</v>
      </c>
      <c r="Y721" s="92">
        <v>2000011098</v>
      </c>
      <c r="Z721" s="92">
        <v>2000023212</v>
      </c>
      <c r="AA721" s="92">
        <v>2000032155</v>
      </c>
      <c r="AE721" s="6" t="s">
        <v>179</v>
      </c>
      <c r="AF721" s="92" t="s">
        <v>184</v>
      </c>
      <c r="AG721" s="92" t="s">
        <v>181</v>
      </c>
      <c r="AH721" s="92" t="s">
        <v>184</v>
      </c>
      <c r="AI721" s="92" t="s">
        <v>180</v>
      </c>
      <c r="AJ721" s="92" t="s">
        <v>201</v>
      </c>
      <c r="AK721" s="92" t="s">
        <v>182</v>
      </c>
      <c r="AL721" s="92" t="s">
        <v>899</v>
      </c>
      <c r="AM721" s="92" t="s">
        <v>732</v>
      </c>
      <c r="AQ721" s="60" t="s">
        <v>187</v>
      </c>
      <c r="AR721" s="93" t="s">
        <v>186</v>
      </c>
      <c r="AS721" s="93" t="s">
        <v>187</v>
      </c>
      <c r="AT721" s="93" t="s">
        <v>187</v>
      </c>
      <c r="AU721" s="93" t="s">
        <v>186</v>
      </c>
      <c r="AV721" s="93" t="s">
        <v>186</v>
      </c>
      <c r="AW721" s="93" t="s">
        <v>186</v>
      </c>
      <c r="AX721" s="93" t="s">
        <v>186</v>
      </c>
      <c r="AY721" s="93" t="s">
        <v>186</v>
      </c>
      <c r="BC721" s="60">
        <v>81271211099</v>
      </c>
      <c r="BD721" s="93">
        <v>85773245228</v>
      </c>
      <c r="BE721" s="93">
        <v>82265006065</v>
      </c>
      <c r="BF721" s="93">
        <v>895613766336</v>
      </c>
      <c r="BG721" s="93">
        <v>81353233878</v>
      </c>
      <c r="BH721" s="93">
        <v>85155442402</v>
      </c>
      <c r="BI721" s="93">
        <v>88233352841</v>
      </c>
      <c r="BJ721" s="93">
        <v>8982381558</v>
      </c>
      <c r="BK721" s="93">
        <v>81393407007</v>
      </c>
      <c r="BO721" s="69">
        <v>60150829</v>
      </c>
      <c r="BP721" s="18" t="s">
        <v>8904</v>
      </c>
      <c r="BQ721" s="37">
        <v>45226</v>
      </c>
      <c r="BR721" s="8">
        <f t="shared" si="2"/>
        <v>9</v>
      </c>
    </row>
    <row r="722" spans="1:70" ht="14">
      <c r="A722" s="4" t="str">
        <v>Alternatif Periode ke-89 III.D.2</v>
      </c>
      <c r="B722" s="4" t="s">
        <v>8527</v>
      </c>
      <c r="C722" s="4" t="s">
        <v>1032</v>
      </c>
      <c r="D722" s="4" t="s">
        <v>8895</v>
      </c>
      <c r="E722" s="4" t="s">
        <v>786</v>
      </c>
      <c r="F722" s="4" t="s">
        <v>520</v>
      </c>
      <c r="G722" s="6" t="s">
        <v>8905</v>
      </c>
      <c r="H722" s="92" t="s">
        <v>8906</v>
      </c>
      <c r="I722" s="92" t="s">
        <v>8907</v>
      </c>
      <c r="J722" s="92" t="s">
        <v>8908</v>
      </c>
      <c r="K722" s="92" t="s">
        <v>8909</v>
      </c>
      <c r="L722" s="92" t="s">
        <v>8910</v>
      </c>
      <c r="M722" s="92" t="s">
        <v>8911</v>
      </c>
      <c r="N722" s="92" t="s">
        <v>8912</v>
      </c>
      <c r="O722" s="92" t="s">
        <v>8913</v>
      </c>
      <c r="S722" s="6">
        <v>1700030148</v>
      </c>
      <c r="T722" s="92">
        <v>1900005101</v>
      </c>
      <c r="U722" s="92">
        <v>2000001184</v>
      </c>
      <c r="V722" s="92">
        <v>2000004040</v>
      </c>
      <c r="W722" s="92">
        <v>2000011352</v>
      </c>
      <c r="X722" s="92">
        <v>2000018278</v>
      </c>
      <c r="Y722" s="92">
        <v>2000023163</v>
      </c>
      <c r="Z722" s="92">
        <v>2000030044</v>
      </c>
      <c r="AA722" s="92">
        <v>2000032121</v>
      </c>
      <c r="AE722" s="6" t="s">
        <v>184</v>
      </c>
      <c r="AF722" s="92" t="s">
        <v>181</v>
      </c>
      <c r="AG722" s="92" t="s">
        <v>180</v>
      </c>
      <c r="AH722" s="92" t="s">
        <v>201</v>
      </c>
      <c r="AI722" s="92" t="s">
        <v>182</v>
      </c>
      <c r="AJ722" s="92" t="s">
        <v>179</v>
      </c>
      <c r="AK722" s="92" t="s">
        <v>899</v>
      </c>
      <c r="AL722" s="92" t="s">
        <v>184</v>
      </c>
      <c r="AM722" s="92" t="s">
        <v>732</v>
      </c>
      <c r="AQ722" s="60" t="s">
        <v>186</v>
      </c>
      <c r="AR722" s="93" t="s">
        <v>187</v>
      </c>
      <c r="AS722" s="93" t="s">
        <v>186</v>
      </c>
      <c r="AT722" s="93" t="s">
        <v>186</v>
      </c>
      <c r="AU722" s="93" t="s">
        <v>186</v>
      </c>
      <c r="AV722" s="93" t="s">
        <v>187</v>
      </c>
      <c r="AW722" s="93" t="s">
        <v>186</v>
      </c>
      <c r="AX722" s="93" t="s">
        <v>187</v>
      </c>
      <c r="AY722" s="93" t="s">
        <v>186</v>
      </c>
      <c r="BC722" s="60">
        <v>81325011432</v>
      </c>
      <c r="BD722" s="93">
        <v>85776732411</v>
      </c>
      <c r="BE722" s="93">
        <v>8995057969</v>
      </c>
      <c r="BF722" s="93">
        <v>87747203365</v>
      </c>
      <c r="BG722" s="93">
        <v>88239884963</v>
      </c>
      <c r="BH722" s="93">
        <v>82280758124</v>
      </c>
      <c r="BI722" s="93">
        <v>8991214100</v>
      </c>
      <c r="BJ722" s="93">
        <v>895353793407</v>
      </c>
      <c r="BK722" s="93">
        <v>85700625605</v>
      </c>
      <c r="BO722" s="69">
        <v>60150829</v>
      </c>
      <c r="BP722" s="18" t="s">
        <v>8914</v>
      </c>
      <c r="BQ722" s="37">
        <v>45226</v>
      </c>
      <c r="BR722" s="8">
        <f t="shared" si="2"/>
        <v>9</v>
      </c>
    </row>
    <row r="723" spans="1:70" ht="14">
      <c r="A723" s="4" t="str">
        <v>Alternatif Periode ke-89 III.D.3</v>
      </c>
      <c r="B723" s="4" t="s">
        <v>8527</v>
      </c>
      <c r="C723" s="4" t="s">
        <v>1054</v>
      </c>
      <c r="D723" s="4" t="s">
        <v>8895</v>
      </c>
      <c r="E723" s="4" t="s">
        <v>798</v>
      </c>
      <c r="F723" s="4" t="s">
        <v>520</v>
      </c>
      <c r="G723" s="6" t="s">
        <v>8915</v>
      </c>
      <c r="H723" s="92" t="s">
        <v>8916</v>
      </c>
      <c r="I723" s="92" t="s">
        <v>8917</v>
      </c>
      <c r="J723" s="92" t="s">
        <v>8918</v>
      </c>
      <c r="K723" s="92" t="s">
        <v>8919</v>
      </c>
      <c r="L723" s="92" t="s">
        <v>8920</v>
      </c>
      <c r="M723" s="92" t="s">
        <v>8921</v>
      </c>
      <c r="N723" s="92" t="s">
        <v>8922</v>
      </c>
      <c r="O723" s="92" t="s">
        <v>8923</v>
      </c>
      <c r="S723" s="6">
        <v>1700005176</v>
      </c>
      <c r="T723" s="92">
        <v>1800004208</v>
      </c>
      <c r="U723" s="92">
        <v>1800018009</v>
      </c>
      <c r="V723" s="92">
        <v>2000001140</v>
      </c>
      <c r="W723" s="92">
        <v>2000011360</v>
      </c>
      <c r="X723" s="92">
        <v>2000023152</v>
      </c>
      <c r="Y723" s="92">
        <v>2000030047</v>
      </c>
      <c r="Z723" s="92">
        <v>2000030057</v>
      </c>
      <c r="AA723" s="92">
        <v>2000032006</v>
      </c>
      <c r="AE723" s="6" t="s">
        <v>181</v>
      </c>
      <c r="AF723" s="92" t="s">
        <v>201</v>
      </c>
      <c r="AG723" s="92" t="s">
        <v>179</v>
      </c>
      <c r="AH723" s="92" t="s">
        <v>180</v>
      </c>
      <c r="AI723" s="92" t="s">
        <v>182</v>
      </c>
      <c r="AJ723" s="92" t="s">
        <v>899</v>
      </c>
      <c r="AK723" s="92" t="s">
        <v>184</v>
      </c>
      <c r="AL723" s="92" t="s">
        <v>184</v>
      </c>
      <c r="AM723" s="92" t="s">
        <v>732</v>
      </c>
      <c r="AQ723" s="60" t="s">
        <v>187</v>
      </c>
      <c r="AR723" s="93" t="s">
        <v>186</v>
      </c>
      <c r="AS723" s="93" t="s">
        <v>187</v>
      </c>
      <c r="AT723" s="93" t="s">
        <v>186</v>
      </c>
      <c r="AU723" s="93" t="s">
        <v>186</v>
      </c>
      <c r="AV723" s="93" t="s">
        <v>186</v>
      </c>
      <c r="AW723" s="93" t="s">
        <v>186</v>
      </c>
      <c r="AX723" s="93" t="s">
        <v>187</v>
      </c>
      <c r="AY723" s="93" t="s">
        <v>186</v>
      </c>
      <c r="BC723" s="60">
        <v>82282182701</v>
      </c>
      <c r="BD723" s="93">
        <v>87701740497</v>
      </c>
      <c r="BE723" s="93">
        <v>82383883141</v>
      </c>
      <c r="BF723" s="93">
        <v>88801913616</v>
      </c>
      <c r="BG723" s="93">
        <v>88802952279</v>
      </c>
      <c r="BH723" s="93">
        <v>85819876214</v>
      </c>
      <c r="BI723" s="93">
        <v>85801266001</v>
      </c>
      <c r="BJ723" s="93">
        <v>81327486830</v>
      </c>
      <c r="BK723" s="93">
        <v>82340137594</v>
      </c>
      <c r="BO723" s="69">
        <v>60150829</v>
      </c>
      <c r="BP723" s="18" t="s">
        <v>8924</v>
      </c>
      <c r="BQ723" s="37">
        <v>45226</v>
      </c>
      <c r="BR723" s="8">
        <f t="shared" si="2"/>
        <v>9</v>
      </c>
    </row>
    <row r="724" spans="1:70" ht="14">
      <c r="A724" s="4" t="str">
        <v>Alternatif Periode ke-89 IV.A.1</v>
      </c>
      <c r="B724" s="4" t="s">
        <v>8527</v>
      </c>
      <c r="C724" s="4" t="s">
        <v>1075</v>
      </c>
      <c r="D724" s="4" t="s">
        <v>810</v>
      </c>
      <c r="E724" s="4" t="s">
        <v>811</v>
      </c>
      <c r="F724" s="4" t="s">
        <v>520</v>
      </c>
      <c r="G724" s="6" t="s">
        <v>8925</v>
      </c>
      <c r="H724" s="92" t="s">
        <v>8926</v>
      </c>
      <c r="I724" s="92" t="s">
        <v>8927</v>
      </c>
      <c r="J724" s="92" t="s">
        <v>8928</v>
      </c>
      <c r="K724" s="92" t="s">
        <v>8929</v>
      </c>
      <c r="L724" s="92" t="s">
        <v>8930</v>
      </c>
      <c r="M724" s="92" t="s">
        <v>8931</v>
      </c>
      <c r="N724" s="92" t="s">
        <v>8932</v>
      </c>
      <c r="O724" s="92" t="s">
        <v>8933</v>
      </c>
      <c r="S724" s="6">
        <v>1900005180</v>
      </c>
      <c r="T724" s="92">
        <v>1900030155</v>
      </c>
      <c r="U724" s="92">
        <v>2000001163</v>
      </c>
      <c r="V724" s="92">
        <v>2000005278</v>
      </c>
      <c r="W724" s="92">
        <v>2000011026</v>
      </c>
      <c r="X724" s="92">
        <v>2000018276</v>
      </c>
      <c r="Y724" s="92">
        <v>2000023100</v>
      </c>
      <c r="Z724" s="92">
        <v>2000030063</v>
      </c>
      <c r="AA724" s="92">
        <v>2000032010</v>
      </c>
      <c r="AE724" s="6" t="s">
        <v>181</v>
      </c>
      <c r="AF724" s="92" t="s">
        <v>184</v>
      </c>
      <c r="AG724" s="92" t="s">
        <v>180</v>
      </c>
      <c r="AH724" s="92" t="s">
        <v>181</v>
      </c>
      <c r="AI724" s="92" t="s">
        <v>182</v>
      </c>
      <c r="AJ724" s="92" t="s">
        <v>179</v>
      </c>
      <c r="AK724" s="92" t="s">
        <v>899</v>
      </c>
      <c r="AL724" s="92" t="s">
        <v>184</v>
      </c>
      <c r="AM724" s="92" t="s">
        <v>732</v>
      </c>
      <c r="AQ724" s="60" t="s">
        <v>187</v>
      </c>
      <c r="AR724" s="93" t="s">
        <v>187</v>
      </c>
      <c r="AS724" s="93" t="s">
        <v>186</v>
      </c>
      <c r="AT724" s="93" t="s">
        <v>186</v>
      </c>
      <c r="AU724" s="93" t="s">
        <v>186</v>
      </c>
      <c r="AV724" s="93" t="s">
        <v>187</v>
      </c>
      <c r="AW724" s="93" t="s">
        <v>186</v>
      </c>
      <c r="AX724" s="93" t="s">
        <v>186</v>
      </c>
      <c r="AY724" s="93" t="s">
        <v>186</v>
      </c>
      <c r="BC724" s="60">
        <v>85348513192</v>
      </c>
      <c r="BD724" s="93">
        <v>81244615602</v>
      </c>
      <c r="BE724" s="93">
        <v>89658083308</v>
      </c>
      <c r="BF724" s="93">
        <v>85669813256</v>
      </c>
      <c r="BG724" s="93">
        <v>81247693939</v>
      </c>
      <c r="BH724" s="93">
        <v>895377044369</v>
      </c>
      <c r="BI724" s="93">
        <v>82143135573</v>
      </c>
      <c r="BJ724" s="93">
        <v>82143384720</v>
      </c>
      <c r="BK724" s="93">
        <v>89521267878</v>
      </c>
      <c r="BO724" s="71">
        <v>60191217</v>
      </c>
      <c r="BP724" s="18" t="s">
        <v>8934</v>
      </c>
      <c r="BQ724" s="37">
        <v>45226</v>
      </c>
      <c r="BR724" s="8">
        <f t="shared" si="2"/>
        <v>9</v>
      </c>
    </row>
    <row r="725" spans="1:70" ht="14">
      <c r="A725" s="4" t="str">
        <v>Alternatif Periode ke-89 IV.A.2</v>
      </c>
      <c r="B725" s="4" t="s">
        <v>8527</v>
      </c>
      <c r="C725" s="4" t="s">
        <v>1088</v>
      </c>
      <c r="D725" s="4" t="s">
        <v>810</v>
      </c>
      <c r="E725" s="4" t="s">
        <v>825</v>
      </c>
      <c r="F725" s="4" t="s">
        <v>520</v>
      </c>
      <c r="G725" s="6" t="s">
        <v>8935</v>
      </c>
      <c r="H725" s="92" t="s">
        <v>8936</v>
      </c>
      <c r="I725" s="92" t="s">
        <v>8937</v>
      </c>
      <c r="J725" s="92" t="s">
        <v>8938</v>
      </c>
      <c r="K725" s="92" t="s">
        <v>8939</v>
      </c>
      <c r="L725" s="92" t="s">
        <v>8940</v>
      </c>
      <c r="M725" s="92" t="s">
        <v>8941</v>
      </c>
      <c r="N725" s="92" t="s">
        <v>8942</v>
      </c>
      <c r="O725" s="92" t="s">
        <v>8943</v>
      </c>
      <c r="S725" s="6">
        <v>1900018280</v>
      </c>
      <c r="T725" s="92">
        <v>1900024165</v>
      </c>
      <c r="U725" s="92">
        <v>1900030343</v>
      </c>
      <c r="V725" s="92">
        <v>2000001146</v>
      </c>
      <c r="W725" s="92">
        <v>2000005371</v>
      </c>
      <c r="X725" s="92">
        <v>2000008050</v>
      </c>
      <c r="Y725" s="92">
        <v>2000011215</v>
      </c>
      <c r="Z725" s="92">
        <v>2000030010</v>
      </c>
      <c r="AA725" s="92">
        <v>2000032041</v>
      </c>
      <c r="AE725" s="6" t="s">
        <v>179</v>
      </c>
      <c r="AF725" s="92" t="s">
        <v>924</v>
      </c>
      <c r="AG725" s="92" t="s">
        <v>184</v>
      </c>
      <c r="AH725" s="92" t="s">
        <v>180</v>
      </c>
      <c r="AI725" s="92" t="s">
        <v>181</v>
      </c>
      <c r="AJ725" s="92" t="s">
        <v>1111</v>
      </c>
      <c r="AK725" s="92" t="s">
        <v>182</v>
      </c>
      <c r="AL725" s="92" t="s">
        <v>184</v>
      </c>
      <c r="AM725" s="92" t="s">
        <v>732</v>
      </c>
      <c r="AQ725" s="60" t="s">
        <v>187</v>
      </c>
      <c r="AR725" s="93" t="s">
        <v>186</v>
      </c>
      <c r="AS725" s="93" t="s">
        <v>187</v>
      </c>
      <c r="AT725" s="93" t="s">
        <v>186</v>
      </c>
      <c r="AU725" s="93" t="s">
        <v>186</v>
      </c>
      <c r="AV725" s="93" t="s">
        <v>187</v>
      </c>
      <c r="AW725" s="93" t="s">
        <v>186</v>
      </c>
      <c r="AX725" s="93" t="s">
        <v>186</v>
      </c>
      <c r="AY725" s="93" t="s">
        <v>186</v>
      </c>
      <c r="BC725" s="60">
        <v>82251863791</v>
      </c>
      <c r="BD725" s="93">
        <v>85740697588</v>
      </c>
      <c r="BE725" s="93">
        <v>87727913669</v>
      </c>
      <c r="BF725" s="93">
        <v>82142973362</v>
      </c>
      <c r="BG725" s="93">
        <v>83139143906</v>
      </c>
      <c r="BH725" s="93">
        <v>89518027211</v>
      </c>
      <c r="BI725" s="93">
        <v>82359535139</v>
      </c>
      <c r="BJ725" s="93">
        <v>8895653538</v>
      </c>
      <c r="BK725" s="93">
        <v>81215670567</v>
      </c>
      <c r="BO725" s="71">
        <v>60191217</v>
      </c>
      <c r="BP725" s="18" t="s">
        <v>8944</v>
      </c>
      <c r="BQ725" s="37">
        <v>45226</v>
      </c>
      <c r="BR725" s="8">
        <f t="shared" si="2"/>
        <v>9</v>
      </c>
    </row>
    <row r="726" spans="1:70" ht="14">
      <c r="A726" s="4" t="str">
        <v>Alternatif Periode ke-89 IV.A.3</v>
      </c>
      <c r="B726" s="4" t="s">
        <v>8527</v>
      </c>
      <c r="C726" s="4" t="s">
        <v>1100</v>
      </c>
      <c r="D726" s="4" t="s">
        <v>810</v>
      </c>
      <c r="E726" s="4" t="s">
        <v>837</v>
      </c>
      <c r="F726" s="4" t="s">
        <v>520</v>
      </c>
      <c r="G726" s="6" t="s">
        <v>5958</v>
      </c>
      <c r="H726" s="92" t="s">
        <v>8945</v>
      </c>
      <c r="I726" s="92" t="s">
        <v>8946</v>
      </c>
      <c r="J726" s="92" t="s">
        <v>8947</v>
      </c>
      <c r="K726" s="92" t="s">
        <v>8948</v>
      </c>
      <c r="L726" s="92" t="s">
        <v>8949</v>
      </c>
      <c r="M726" s="92" t="s">
        <v>8950</v>
      </c>
      <c r="N726" s="92" t="s">
        <v>8951</v>
      </c>
      <c r="O726" s="92" t="s">
        <v>8952</v>
      </c>
      <c r="S726" s="6">
        <v>1900005290</v>
      </c>
      <c r="T726" s="92">
        <v>1900024288</v>
      </c>
      <c r="U726" s="92">
        <v>1900030062</v>
      </c>
      <c r="V726" s="92">
        <v>2000001001</v>
      </c>
      <c r="W726" s="92">
        <v>2000008040</v>
      </c>
      <c r="X726" s="92">
        <v>2000011124</v>
      </c>
      <c r="Y726" s="92">
        <v>2000018160</v>
      </c>
      <c r="Z726" s="92">
        <v>2000030051</v>
      </c>
      <c r="AA726" s="92">
        <v>2000032158</v>
      </c>
      <c r="AE726" s="6" t="s">
        <v>181</v>
      </c>
      <c r="AF726" s="92" t="s">
        <v>924</v>
      </c>
      <c r="AG726" s="92" t="s">
        <v>184</v>
      </c>
      <c r="AH726" s="92" t="s">
        <v>180</v>
      </c>
      <c r="AI726" s="92" t="s">
        <v>1111</v>
      </c>
      <c r="AJ726" s="92" t="s">
        <v>182</v>
      </c>
      <c r="AK726" s="92" t="s">
        <v>179</v>
      </c>
      <c r="AL726" s="92" t="s">
        <v>184</v>
      </c>
      <c r="AM726" s="92" t="s">
        <v>732</v>
      </c>
      <c r="AQ726" s="60" t="s">
        <v>186</v>
      </c>
      <c r="AR726" s="93" t="s">
        <v>186</v>
      </c>
      <c r="AS726" s="93" t="s">
        <v>187</v>
      </c>
      <c r="AT726" s="93" t="s">
        <v>186</v>
      </c>
      <c r="AU726" s="93" t="s">
        <v>187</v>
      </c>
      <c r="AV726" s="93" t="s">
        <v>186</v>
      </c>
      <c r="AW726" s="93" t="s">
        <v>187</v>
      </c>
      <c r="AX726" s="93" t="s">
        <v>186</v>
      </c>
      <c r="AY726" s="93" t="s">
        <v>186</v>
      </c>
      <c r="BC726" s="60">
        <v>81216378432</v>
      </c>
      <c r="BD726" s="93">
        <v>85713940850</v>
      </c>
      <c r="BE726" s="93">
        <v>81289074015</v>
      </c>
      <c r="BF726" s="93">
        <v>895377226894</v>
      </c>
      <c r="BG726" s="93">
        <v>82261343216</v>
      </c>
      <c r="BH726" s="93" t="s">
        <v>8953</v>
      </c>
      <c r="BI726" s="93">
        <v>82226223508</v>
      </c>
      <c r="BJ726" s="93">
        <v>83803735025</v>
      </c>
      <c r="BK726" s="93">
        <v>82142802038</v>
      </c>
      <c r="BO726" s="71">
        <v>60191217</v>
      </c>
      <c r="BP726" s="18" t="s">
        <v>8954</v>
      </c>
      <c r="BQ726" s="37">
        <v>45226</v>
      </c>
      <c r="BR726" s="8">
        <f t="shared" si="2"/>
        <v>9</v>
      </c>
    </row>
    <row r="727" spans="1:70" ht="14">
      <c r="A727" s="4" t="str">
        <v>Alternatif Periode ke-89 IV.B.1</v>
      </c>
      <c r="B727" s="4" t="s">
        <v>8527</v>
      </c>
      <c r="C727" s="4" t="s">
        <v>1114</v>
      </c>
      <c r="D727" s="4" t="s">
        <v>8955</v>
      </c>
      <c r="E727" s="4" t="s">
        <v>850</v>
      </c>
      <c r="F727" s="4" t="s">
        <v>520</v>
      </c>
      <c r="G727" s="6" t="s">
        <v>8956</v>
      </c>
      <c r="H727" s="92" t="s">
        <v>8957</v>
      </c>
      <c r="I727" s="92" t="s">
        <v>8958</v>
      </c>
      <c r="J727" s="92" t="s">
        <v>8959</v>
      </c>
      <c r="K727" s="92" t="s">
        <v>8960</v>
      </c>
      <c r="L727" s="92" t="s">
        <v>8961</v>
      </c>
      <c r="M727" s="92" t="s">
        <v>8962</v>
      </c>
      <c r="N727" s="92" t="s">
        <v>8963</v>
      </c>
      <c r="O727" s="92" t="s">
        <v>8964</v>
      </c>
      <c r="S727" s="6">
        <v>2000001003</v>
      </c>
      <c r="T727" s="92">
        <v>2000005170</v>
      </c>
      <c r="U727" s="92">
        <v>2000009001</v>
      </c>
      <c r="V727" s="92">
        <v>2000011148</v>
      </c>
      <c r="W727" s="92">
        <v>2000018305</v>
      </c>
      <c r="X727" s="92">
        <v>2000024254</v>
      </c>
      <c r="Y727" s="92">
        <v>2000030018</v>
      </c>
      <c r="Z727" s="92">
        <v>2000031054</v>
      </c>
      <c r="AA727" s="92">
        <v>2000032057</v>
      </c>
      <c r="AE727" s="6" t="s">
        <v>180</v>
      </c>
      <c r="AF727" s="92" t="s">
        <v>181</v>
      </c>
      <c r="AG727" s="92" t="s">
        <v>952</v>
      </c>
      <c r="AH727" s="92" t="s">
        <v>182</v>
      </c>
      <c r="AI727" s="92" t="s">
        <v>179</v>
      </c>
      <c r="AJ727" s="92" t="s">
        <v>924</v>
      </c>
      <c r="AK727" s="92" t="s">
        <v>184</v>
      </c>
      <c r="AL727" s="92" t="s">
        <v>185</v>
      </c>
      <c r="AM727" s="92" t="s">
        <v>732</v>
      </c>
      <c r="AQ727" s="60" t="s">
        <v>186</v>
      </c>
      <c r="AR727" s="93" t="s">
        <v>186</v>
      </c>
      <c r="AS727" s="93" t="s">
        <v>187</v>
      </c>
      <c r="AT727" s="93" t="s">
        <v>186</v>
      </c>
      <c r="AU727" s="93" t="s">
        <v>187</v>
      </c>
      <c r="AV727" s="93" t="s">
        <v>186</v>
      </c>
      <c r="AW727" s="93" t="s">
        <v>187</v>
      </c>
      <c r="AX727" s="93" t="s">
        <v>186</v>
      </c>
      <c r="AY727" s="93" t="s">
        <v>186</v>
      </c>
      <c r="BC727" s="60">
        <v>82115171950</v>
      </c>
      <c r="BD727" s="93">
        <v>895387481550</v>
      </c>
      <c r="BE727" s="93">
        <v>85221213625</v>
      </c>
      <c r="BF727" s="93">
        <v>85253449504</v>
      </c>
      <c r="BG727" s="93">
        <v>82213872607</v>
      </c>
      <c r="BH727" s="93">
        <v>85601547576</v>
      </c>
      <c r="BI727" s="93">
        <v>81915124186</v>
      </c>
      <c r="BJ727" s="93">
        <v>895358064739</v>
      </c>
      <c r="BK727" s="93">
        <v>82324426700</v>
      </c>
      <c r="BO727" s="69" t="s">
        <v>308</v>
      </c>
      <c r="BP727" s="18" t="s">
        <v>8965</v>
      </c>
      <c r="BQ727" s="37">
        <v>45226</v>
      </c>
      <c r="BR727" s="8">
        <f t="shared" si="2"/>
        <v>9</v>
      </c>
    </row>
    <row r="728" spans="1:70" ht="14">
      <c r="A728" s="4" t="str">
        <v>Alternatif Periode ke-89 IV.B.2</v>
      </c>
      <c r="B728" s="4" t="s">
        <v>8527</v>
      </c>
      <c r="C728" s="4" t="s">
        <v>1136</v>
      </c>
      <c r="D728" s="4" t="s">
        <v>8955</v>
      </c>
      <c r="E728" s="4" t="s">
        <v>862</v>
      </c>
      <c r="F728" s="4" t="s">
        <v>520</v>
      </c>
      <c r="G728" s="6" t="s">
        <v>8966</v>
      </c>
      <c r="H728" s="92" t="s">
        <v>8967</v>
      </c>
      <c r="I728" s="92" t="s">
        <v>8968</v>
      </c>
      <c r="J728" s="92" t="s">
        <v>8969</v>
      </c>
      <c r="K728" s="92" t="s">
        <v>8970</v>
      </c>
      <c r="L728" s="92" t="s">
        <v>8971</v>
      </c>
      <c r="M728" s="92" t="s">
        <v>8972</v>
      </c>
      <c r="N728" s="92" t="s">
        <v>8973</v>
      </c>
      <c r="O728" s="92" t="s">
        <v>8974</v>
      </c>
      <c r="S728" s="6">
        <v>1900010024</v>
      </c>
      <c r="T728" s="92">
        <v>1900019140</v>
      </c>
      <c r="U728" s="92">
        <v>1900024079</v>
      </c>
      <c r="V728" s="92">
        <v>2000001150</v>
      </c>
      <c r="W728" s="92">
        <v>2000005037</v>
      </c>
      <c r="X728" s="92">
        <v>2000011189</v>
      </c>
      <c r="Y728" s="92">
        <v>2000030223</v>
      </c>
      <c r="Z728" s="92">
        <v>2000032141</v>
      </c>
      <c r="AA728" s="92">
        <v>2011031167</v>
      </c>
      <c r="AE728" s="6" t="s">
        <v>532</v>
      </c>
      <c r="AF728" s="92" t="s">
        <v>705</v>
      </c>
      <c r="AG728" s="92" t="s">
        <v>924</v>
      </c>
      <c r="AH728" s="92" t="s">
        <v>180</v>
      </c>
      <c r="AI728" s="92" t="s">
        <v>181</v>
      </c>
      <c r="AJ728" s="92" t="s">
        <v>182</v>
      </c>
      <c r="AK728" s="92" t="s">
        <v>184</v>
      </c>
      <c r="AL728" s="92" t="s">
        <v>732</v>
      </c>
      <c r="AM728" s="92" t="s">
        <v>185</v>
      </c>
      <c r="AQ728" s="60" t="s">
        <v>187</v>
      </c>
      <c r="AR728" s="93" t="s">
        <v>187</v>
      </c>
      <c r="AS728" s="93" t="s">
        <v>186</v>
      </c>
      <c r="AT728" s="93" t="s">
        <v>186</v>
      </c>
      <c r="AU728" s="93" t="s">
        <v>186</v>
      </c>
      <c r="AV728" s="93" t="s">
        <v>186</v>
      </c>
      <c r="AW728" s="93" t="s">
        <v>187</v>
      </c>
      <c r="AX728" s="93" t="s">
        <v>186</v>
      </c>
      <c r="AY728" s="93" t="s">
        <v>186</v>
      </c>
      <c r="BC728" s="60">
        <v>89681181809</v>
      </c>
      <c r="BD728" s="93">
        <v>85709076275</v>
      </c>
      <c r="BE728" s="93">
        <v>87769113074</v>
      </c>
      <c r="BF728" s="93">
        <v>81912467709</v>
      </c>
      <c r="BG728" s="93">
        <v>82340336103</v>
      </c>
      <c r="BH728" s="93">
        <v>81321948004</v>
      </c>
      <c r="BI728" s="93">
        <v>82136299221</v>
      </c>
      <c r="BJ728" s="93">
        <v>88802888830</v>
      </c>
      <c r="BK728" s="93">
        <v>82387659952</v>
      </c>
      <c r="BO728" s="69" t="s">
        <v>308</v>
      </c>
      <c r="BP728" s="18" t="s">
        <v>8975</v>
      </c>
      <c r="BQ728" s="37">
        <v>45226</v>
      </c>
      <c r="BR728" s="8">
        <f t="shared" si="2"/>
        <v>9</v>
      </c>
    </row>
    <row r="729" spans="1:70" ht="14">
      <c r="A729" s="4" t="str">
        <v>Alternatif Periode ke-89 IV.B.3</v>
      </c>
      <c r="B729" s="4" t="s">
        <v>8527</v>
      </c>
      <c r="C729" s="4" t="s">
        <v>1157</v>
      </c>
      <c r="D729" s="4" t="s">
        <v>8955</v>
      </c>
      <c r="E729" s="4" t="s">
        <v>875</v>
      </c>
      <c r="F729" s="4" t="s">
        <v>520</v>
      </c>
      <c r="G729" s="6" t="s">
        <v>8976</v>
      </c>
      <c r="H729" s="92" t="s">
        <v>8977</v>
      </c>
      <c r="I729" s="92" t="s">
        <v>8978</v>
      </c>
      <c r="J729" s="92" t="s">
        <v>8979</v>
      </c>
      <c r="K729" s="92" t="s">
        <v>8980</v>
      </c>
      <c r="L729" s="92" t="s">
        <v>8981</v>
      </c>
      <c r="M729" s="92" t="s">
        <v>8982</v>
      </c>
      <c r="N729" s="92" t="s">
        <v>8983</v>
      </c>
      <c r="O729" s="92" t="s">
        <v>8984</v>
      </c>
      <c r="S729" s="6">
        <v>1800010065</v>
      </c>
      <c r="T729" s="92">
        <v>2000001115</v>
      </c>
      <c r="U729" s="92">
        <v>2000005342</v>
      </c>
      <c r="V729" s="92">
        <v>2000011043</v>
      </c>
      <c r="W729" s="92">
        <v>2000019139</v>
      </c>
      <c r="X729" s="92">
        <v>2000024215</v>
      </c>
      <c r="Y729" s="92">
        <v>2000030140</v>
      </c>
      <c r="Z729" s="92">
        <v>2000031248</v>
      </c>
      <c r="AA729" s="92">
        <v>2000033095</v>
      </c>
      <c r="AE729" s="6" t="s">
        <v>532</v>
      </c>
      <c r="AF729" s="92" t="s">
        <v>180</v>
      </c>
      <c r="AG729" s="92" t="s">
        <v>181</v>
      </c>
      <c r="AH729" s="92" t="s">
        <v>182</v>
      </c>
      <c r="AI729" s="92" t="s">
        <v>705</v>
      </c>
      <c r="AJ729" s="92" t="s">
        <v>924</v>
      </c>
      <c r="AK729" s="92" t="s">
        <v>184</v>
      </c>
      <c r="AL729" s="92" t="s">
        <v>185</v>
      </c>
      <c r="AM729" s="92" t="s">
        <v>1112</v>
      </c>
      <c r="AQ729" s="60" t="s">
        <v>187</v>
      </c>
      <c r="AR729" s="93" t="s">
        <v>186</v>
      </c>
      <c r="AS729" s="93" t="s">
        <v>186</v>
      </c>
      <c r="AT729" s="93" t="s">
        <v>186</v>
      </c>
      <c r="AU729" s="93" t="s">
        <v>187</v>
      </c>
      <c r="AV729" s="93" t="s">
        <v>186</v>
      </c>
      <c r="AW729" s="93" t="s">
        <v>187</v>
      </c>
      <c r="AX729" s="93" t="s">
        <v>186</v>
      </c>
      <c r="AY729" s="93" t="s">
        <v>186</v>
      </c>
      <c r="BC729" s="60">
        <v>895617025439</v>
      </c>
      <c r="BD729" s="93">
        <v>85385514450</v>
      </c>
      <c r="BE729" s="93">
        <v>85343832883</v>
      </c>
      <c r="BF729" s="93">
        <v>87738395156</v>
      </c>
      <c r="BG729" s="93">
        <v>87877034389</v>
      </c>
      <c r="BH729" s="93">
        <v>87897307707</v>
      </c>
      <c r="BI729" s="93">
        <v>83844575978</v>
      </c>
      <c r="BJ729" s="93">
        <v>81215146520</v>
      </c>
      <c r="BK729" s="93">
        <v>83824351081</v>
      </c>
      <c r="BO729" s="69" t="s">
        <v>308</v>
      </c>
      <c r="BP729" s="18" t="s">
        <v>8985</v>
      </c>
      <c r="BQ729" s="37">
        <v>45226</v>
      </c>
      <c r="BR729" s="8">
        <f t="shared" si="2"/>
        <v>9</v>
      </c>
    </row>
    <row r="730" spans="1:70" ht="14">
      <c r="A730" s="4" t="str">
        <v>Alternatif Periode ke-89 IV.C.1</v>
      </c>
      <c r="B730" s="4" t="s">
        <v>8527</v>
      </c>
      <c r="C730" s="4" t="s">
        <v>1179</v>
      </c>
      <c r="D730" s="4" t="s">
        <v>288</v>
      </c>
      <c r="E730" s="4" t="s">
        <v>888</v>
      </c>
      <c r="F730" s="4" t="s">
        <v>520</v>
      </c>
      <c r="G730" s="6" t="s">
        <v>8986</v>
      </c>
      <c r="H730" s="92" t="s">
        <v>8987</v>
      </c>
      <c r="I730" s="92" t="s">
        <v>8988</v>
      </c>
      <c r="J730" s="92" t="s">
        <v>8989</v>
      </c>
      <c r="K730" s="92" t="s">
        <v>8990</v>
      </c>
      <c r="L730" s="92" t="s">
        <v>8991</v>
      </c>
      <c r="M730" s="92" t="s">
        <v>8992</v>
      </c>
      <c r="N730" s="92" t="s">
        <v>8993</v>
      </c>
      <c r="O730" s="92" t="s">
        <v>8994</v>
      </c>
      <c r="S730" s="6">
        <v>1800019013</v>
      </c>
      <c r="T730" s="92">
        <v>1900024077</v>
      </c>
      <c r="U730" s="92">
        <v>2000001086</v>
      </c>
      <c r="V730" s="92">
        <v>2000005084</v>
      </c>
      <c r="W730" s="92">
        <v>2000010035</v>
      </c>
      <c r="X730" s="92">
        <v>2000011351</v>
      </c>
      <c r="Y730" s="92">
        <v>2000030081</v>
      </c>
      <c r="Z730" s="92">
        <v>2000031074</v>
      </c>
      <c r="AA730" s="92">
        <v>2015033043</v>
      </c>
      <c r="AE730" s="6" t="s">
        <v>705</v>
      </c>
      <c r="AF730" s="92" t="s">
        <v>924</v>
      </c>
      <c r="AG730" s="92" t="s">
        <v>180</v>
      </c>
      <c r="AH730" s="92" t="s">
        <v>181</v>
      </c>
      <c r="AI730" s="92" t="s">
        <v>532</v>
      </c>
      <c r="AJ730" s="92" t="s">
        <v>182</v>
      </c>
      <c r="AK730" s="92" t="s">
        <v>184</v>
      </c>
      <c r="AL730" s="92" t="s">
        <v>185</v>
      </c>
      <c r="AM730" s="92" t="s">
        <v>1112</v>
      </c>
      <c r="AQ730" s="60" t="s">
        <v>187</v>
      </c>
      <c r="AR730" s="93" t="s">
        <v>186</v>
      </c>
      <c r="AS730" s="93" t="s">
        <v>186</v>
      </c>
      <c r="AT730" s="93" t="s">
        <v>186</v>
      </c>
      <c r="AU730" s="93" t="s">
        <v>187</v>
      </c>
      <c r="AV730" s="93" t="s">
        <v>186</v>
      </c>
      <c r="AW730" s="93" t="s">
        <v>187</v>
      </c>
      <c r="AX730" s="93" t="s">
        <v>186</v>
      </c>
      <c r="AY730" s="93" t="s">
        <v>186</v>
      </c>
      <c r="BC730" s="60">
        <v>81347148468</v>
      </c>
      <c r="BD730" s="93">
        <v>82192395096</v>
      </c>
      <c r="BE730" s="93">
        <v>82213730917</v>
      </c>
      <c r="BF730" s="93">
        <v>81332548544</v>
      </c>
      <c r="BG730" s="93">
        <v>87838703690</v>
      </c>
      <c r="BH730" s="93">
        <v>85853706876</v>
      </c>
      <c r="BI730" s="93">
        <v>82286952739</v>
      </c>
      <c r="BJ730" s="93">
        <v>81237016609</v>
      </c>
      <c r="BK730" s="93">
        <v>81548496283</v>
      </c>
      <c r="BO730" s="71">
        <v>60150805</v>
      </c>
      <c r="BP730" s="18" t="s">
        <v>8995</v>
      </c>
      <c r="BQ730" s="37">
        <v>45226</v>
      </c>
      <c r="BR730" s="8">
        <f t="shared" si="2"/>
        <v>9</v>
      </c>
    </row>
    <row r="731" spans="1:70" ht="14">
      <c r="A731" s="4" t="str">
        <v>Alternatif Periode ke-89 IV.C.2</v>
      </c>
      <c r="B731" s="4" t="s">
        <v>8527</v>
      </c>
      <c r="C731" s="4" t="s">
        <v>1201</v>
      </c>
      <c r="D731" s="4" t="s">
        <v>288</v>
      </c>
      <c r="E731" s="4" t="s">
        <v>902</v>
      </c>
      <c r="F731" s="4" t="s">
        <v>520</v>
      </c>
      <c r="G731" s="6" t="s">
        <v>8996</v>
      </c>
      <c r="H731" s="92" t="s">
        <v>8997</v>
      </c>
      <c r="I731" s="92" t="s">
        <v>8998</v>
      </c>
      <c r="J731" s="92" t="s">
        <v>8999</v>
      </c>
      <c r="K731" s="92" t="s">
        <v>9000</v>
      </c>
      <c r="L731" s="92" t="s">
        <v>9001</v>
      </c>
      <c r="M731" s="92" t="s">
        <v>9002</v>
      </c>
      <c r="N731" s="92" t="s">
        <v>9003</v>
      </c>
      <c r="O731" s="92" t="s">
        <v>9004</v>
      </c>
      <c r="S731" s="6">
        <v>1800030106</v>
      </c>
      <c r="T731" s="92">
        <v>1900010126</v>
      </c>
      <c r="U731" s="92">
        <v>1900031268</v>
      </c>
      <c r="V731" s="92">
        <v>2000001033</v>
      </c>
      <c r="W731" s="92">
        <v>2000005189</v>
      </c>
      <c r="X731" s="92">
        <v>2000011269</v>
      </c>
      <c r="Y731" s="92">
        <v>2000024022</v>
      </c>
      <c r="Z731" s="92">
        <v>2000033091</v>
      </c>
      <c r="AA731" s="92">
        <v>2015019077</v>
      </c>
      <c r="AE731" s="6" t="s">
        <v>184</v>
      </c>
      <c r="AF731" s="92" t="s">
        <v>532</v>
      </c>
      <c r="AG731" s="92" t="s">
        <v>185</v>
      </c>
      <c r="AH731" s="92" t="s">
        <v>180</v>
      </c>
      <c r="AI731" s="92" t="s">
        <v>181</v>
      </c>
      <c r="AJ731" s="92" t="s">
        <v>182</v>
      </c>
      <c r="AK731" s="92" t="s">
        <v>924</v>
      </c>
      <c r="AL731" s="92" t="s">
        <v>1112</v>
      </c>
      <c r="AM731" s="92" t="s">
        <v>705</v>
      </c>
      <c r="AQ731" s="60" t="s">
        <v>187</v>
      </c>
      <c r="AR731" s="93" t="s">
        <v>187</v>
      </c>
      <c r="AS731" s="93" t="s">
        <v>186</v>
      </c>
      <c r="AT731" s="93" t="s">
        <v>186</v>
      </c>
      <c r="AU731" s="93" t="s">
        <v>186</v>
      </c>
      <c r="AV731" s="93" t="s">
        <v>186</v>
      </c>
      <c r="AW731" s="93" t="s">
        <v>186</v>
      </c>
      <c r="AX731" s="93" t="s">
        <v>186</v>
      </c>
      <c r="AY731" s="93" t="s">
        <v>187</v>
      </c>
      <c r="BC731" s="60">
        <v>85341406464</v>
      </c>
      <c r="BD731" s="93">
        <v>89667808931</v>
      </c>
      <c r="BE731" s="93">
        <v>85769011291</v>
      </c>
      <c r="BF731" s="93">
        <v>85624557924</v>
      </c>
      <c r="BG731" s="93">
        <v>85267146445</v>
      </c>
      <c r="BH731" s="93">
        <v>895704209679</v>
      </c>
      <c r="BI731" s="93">
        <v>81779485774</v>
      </c>
      <c r="BJ731" s="93">
        <v>81393029676</v>
      </c>
      <c r="BK731" s="93">
        <v>82295592739</v>
      </c>
      <c r="BO731" s="71">
        <v>60150805</v>
      </c>
      <c r="BP731" s="18" t="s">
        <v>9005</v>
      </c>
      <c r="BQ731" s="37">
        <v>45226</v>
      </c>
      <c r="BR731" s="8">
        <f t="shared" si="2"/>
        <v>9</v>
      </c>
    </row>
    <row r="732" spans="1:70" ht="14">
      <c r="A732" s="4" t="str">
        <v>Alternatif Periode ke-89 IV.C.3</v>
      </c>
      <c r="B732" s="4" t="s">
        <v>8527</v>
      </c>
      <c r="C732" s="4" t="s">
        <v>1222</v>
      </c>
      <c r="D732" s="4" t="s">
        <v>288</v>
      </c>
      <c r="E732" s="4" t="s">
        <v>914</v>
      </c>
      <c r="F732" s="4" t="s">
        <v>520</v>
      </c>
      <c r="G732" s="6" t="s">
        <v>6574</v>
      </c>
      <c r="H732" s="92" t="s">
        <v>9006</v>
      </c>
      <c r="I732" s="92" t="s">
        <v>9007</v>
      </c>
      <c r="J732" s="92" t="s">
        <v>9008</v>
      </c>
      <c r="K732" s="92" t="s">
        <v>9009</v>
      </c>
      <c r="L732" s="92" t="s">
        <v>9010</v>
      </c>
      <c r="M732" s="92" t="s">
        <v>9011</v>
      </c>
      <c r="N732" s="92" t="s">
        <v>9012</v>
      </c>
      <c r="O732" s="92" t="s">
        <v>9013</v>
      </c>
      <c r="S732" s="6">
        <v>1900010104</v>
      </c>
      <c r="T732" s="92">
        <v>1900011309</v>
      </c>
      <c r="U732" s="92">
        <v>1900019008</v>
      </c>
      <c r="V732" s="92">
        <v>2000001026</v>
      </c>
      <c r="W732" s="92">
        <v>2000005004</v>
      </c>
      <c r="X732" s="92">
        <v>2000025091</v>
      </c>
      <c r="Y732" s="92">
        <v>2000030087</v>
      </c>
      <c r="Z732" s="92">
        <v>2000031055</v>
      </c>
      <c r="AA732" s="92">
        <v>2000034023</v>
      </c>
      <c r="AE732" s="6" t="s">
        <v>532</v>
      </c>
      <c r="AF732" s="92" t="s">
        <v>182</v>
      </c>
      <c r="AG732" s="92" t="s">
        <v>705</v>
      </c>
      <c r="AH732" s="92" t="s">
        <v>180</v>
      </c>
      <c r="AI732" s="92" t="s">
        <v>181</v>
      </c>
      <c r="AJ732" s="92" t="s">
        <v>1168</v>
      </c>
      <c r="AK732" s="92" t="s">
        <v>184</v>
      </c>
      <c r="AL732" s="92" t="s">
        <v>185</v>
      </c>
      <c r="AM732" s="92" t="s">
        <v>534</v>
      </c>
      <c r="AQ732" s="60" t="s">
        <v>187</v>
      </c>
      <c r="AR732" s="93" t="s">
        <v>186</v>
      </c>
      <c r="AS732" s="93" t="s">
        <v>187</v>
      </c>
      <c r="AT732" s="93" t="s">
        <v>186</v>
      </c>
      <c r="AU732" s="93" t="s">
        <v>186</v>
      </c>
      <c r="AV732" s="93" t="s">
        <v>186</v>
      </c>
      <c r="AW732" s="93" t="s">
        <v>187</v>
      </c>
      <c r="AX732" s="93" t="s">
        <v>186</v>
      </c>
      <c r="AY732" s="93" t="s">
        <v>186</v>
      </c>
      <c r="BC732" s="60">
        <v>82153801743</v>
      </c>
      <c r="BD732" s="93">
        <v>89637568186</v>
      </c>
      <c r="BE732" s="93">
        <v>85536587858</v>
      </c>
      <c r="BF732" s="93">
        <v>85104547009</v>
      </c>
      <c r="BG732" s="93">
        <v>82374593721</v>
      </c>
      <c r="BH732" s="93">
        <v>89672749059</v>
      </c>
      <c r="BI732" s="93">
        <v>82384472417</v>
      </c>
      <c r="BJ732" s="93">
        <v>85866173907</v>
      </c>
      <c r="BK732" s="93">
        <v>85642490027</v>
      </c>
      <c r="BO732" s="71">
        <v>60150805</v>
      </c>
      <c r="BP732" s="18" t="s">
        <v>9014</v>
      </c>
      <c r="BQ732" s="37">
        <v>45226</v>
      </c>
      <c r="BR732" s="8">
        <f t="shared" si="2"/>
        <v>9</v>
      </c>
    </row>
    <row r="733" spans="1:70" ht="14">
      <c r="A733" s="4" t="str">
        <v>Alternatif Periode ke-89 IV.D.1</v>
      </c>
      <c r="B733" s="4" t="s">
        <v>8527</v>
      </c>
      <c r="C733" s="4" t="s">
        <v>1243</v>
      </c>
      <c r="D733" s="4" t="s">
        <v>940</v>
      </c>
      <c r="E733" s="4" t="s">
        <v>927</v>
      </c>
      <c r="F733" s="4" t="s">
        <v>520</v>
      </c>
      <c r="G733" s="6" t="s">
        <v>9015</v>
      </c>
      <c r="H733" s="92" t="s">
        <v>9016</v>
      </c>
      <c r="I733" s="92" t="s">
        <v>9017</v>
      </c>
      <c r="J733" s="92" t="s">
        <v>9018</v>
      </c>
      <c r="K733" s="92" t="s">
        <v>9019</v>
      </c>
      <c r="L733" s="92" t="s">
        <v>9020</v>
      </c>
      <c r="M733" s="92" t="s">
        <v>9021</v>
      </c>
      <c r="N733" s="92" t="s">
        <v>9022</v>
      </c>
      <c r="O733" s="92" t="s">
        <v>9023</v>
      </c>
      <c r="S733" s="6">
        <v>1800030035</v>
      </c>
      <c r="T733" s="92">
        <v>1900010326</v>
      </c>
      <c r="U733" s="92">
        <v>2000001099</v>
      </c>
      <c r="V733" s="92">
        <v>2000005091</v>
      </c>
      <c r="W733" s="92">
        <v>2000011046</v>
      </c>
      <c r="X733" s="92">
        <v>2000020002</v>
      </c>
      <c r="Y733" s="92">
        <v>2000025063</v>
      </c>
      <c r="Z733" s="92">
        <v>2000031178</v>
      </c>
      <c r="AA733" s="92">
        <v>2000034054</v>
      </c>
      <c r="AE733" s="6" t="s">
        <v>184</v>
      </c>
      <c r="AF733" s="92" t="s">
        <v>532</v>
      </c>
      <c r="AG733" s="92" t="s">
        <v>180</v>
      </c>
      <c r="AH733" s="92" t="s">
        <v>181</v>
      </c>
      <c r="AI733" s="92" t="s">
        <v>182</v>
      </c>
      <c r="AJ733" s="92" t="s">
        <v>351</v>
      </c>
      <c r="AK733" s="92" t="s">
        <v>1168</v>
      </c>
      <c r="AL733" s="92" t="s">
        <v>185</v>
      </c>
      <c r="AM733" s="92" t="s">
        <v>534</v>
      </c>
      <c r="AQ733" s="60" t="s">
        <v>187</v>
      </c>
      <c r="AR733" s="93" t="s">
        <v>187</v>
      </c>
      <c r="AS733" s="93" t="s">
        <v>186</v>
      </c>
      <c r="AT733" s="93" t="s">
        <v>186</v>
      </c>
      <c r="AU733" s="93" t="s">
        <v>186</v>
      </c>
      <c r="AV733" s="93" t="s">
        <v>187</v>
      </c>
      <c r="AW733" s="93" t="s">
        <v>186</v>
      </c>
      <c r="AX733" s="93" t="s">
        <v>186</v>
      </c>
      <c r="AY733" s="93" t="s">
        <v>186</v>
      </c>
      <c r="BC733" s="60">
        <v>85868790604</v>
      </c>
      <c r="BD733" s="93">
        <v>82176733682</v>
      </c>
      <c r="BE733" s="93">
        <v>85775378217</v>
      </c>
      <c r="BF733" s="93">
        <v>85669307907</v>
      </c>
      <c r="BG733" s="93" t="s">
        <v>9024</v>
      </c>
      <c r="BH733" s="93">
        <v>81241603561</v>
      </c>
      <c r="BI733" s="93">
        <v>895378173188</v>
      </c>
      <c r="BJ733" s="93">
        <v>81578506990</v>
      </c>
      <c r="BK733" s="93">
        <v>89529522746</v>
      </c>
      <c r="BO733" s="71">
        <v>60150790</v>
      </c>
      <c r="BP733" s="18" t="s">
        <v>9025</v>
      </c>
      <c r="BQ733" s="37">
        <v>45226</v>
      </c>
      <c r="BR733" s="8">
        <f t="shared" si="2"/>
        <v>9</v>
      </c>
    </row>
    <row r="734" spans="1:70" ht="14">
      <c r="A734" s="4" t="str">
        <v>Alternatif Periode ke-89 IV.D.2</v>
      </c>
      <c r="B734" s="4" t="s">
        <v>8527</v>
      </c>
      <c r="C734" s="4" t="s">
        <v>1265</v>
      </c>
      <c r="D734" s="4" t="s">
        <v>940</v>
      </c>
      <c r="E734" s="4" t="s">
        <v>941</v>
      </c>
      <c r="F734" s="4" t="s">
        <v>520</v>
      </c>
      <c r="G734" s="6" t="s">
        <v>9026</v>
      </c>
      <c r="H734" s="92" t="s">
        <v>9027</v>
      </c>
      <c r="I734" s="92" t="s">
        <v>9028</v>
      </c>
      <c r="J734" s="92" t="s">
        <v>9029</v>
      </c>
      <c r="K734" s="92" t="s">
        <v>9030</v>
      </c>
      <c r="L734" s="92" t="s">
        <v>9031</v>
      </c>
      <c r="M734" s="92" t="s">
        <v>9032</v>
      </c>
      <c r="N734" s="92" t="s">
        <v>9033</v>
      </c>
      <c r="O734" s="92" t="s">
        <v>9034</v>
      </c>
      <c r="S734" s="6">
        <v>1900010197</v>
      </c>
      <c r="T734" s="92">
        <v>1900011199</v>
      </c>
      <c r="U734" s="92">
        <v>1900030133</v>
      </c>
      <c r="V734" s="92">
        <v>2000001114</v>
      </c>
      <c r="W734" s="92">
        <v>2000005350</v>
      </c>
      <c r="X734" s="92">
        <v>2000020014</v>
      </c>
      <c r="Y734" s="92">
        <v>2000025073</v>
      </c>
      <c r="Z734" s="92">
        <v>2000031088</v>
      </c>
      <c r="AA734" s="92">
        <v>2000034006</v>
      </c>
      <c r="AE734" s="6" t="s">
        <v>532</v>
      </c>
      <c r="AF734" s="92" t="s">
        <v>182</v>
      </c>
      <c r="AG734" s="92" t="s">
        <v>184</v>
      </c>
      <c r="AH734" s="92" t="s">
        <v>180</v>
      </c>
      <c r="AI734" s="92" t="s">
        <v>181</v>
      </c>
      <c r="AJ734" s="92" t="s">
        <v>351</v>
      </c>
      <c r="AK734" s="92" t="s">
        <v>1168</v>
      </c>
      <c r="AL734" s="92" t="s">
        <v>185</v>
      </c>
      <c r="AM734" s="92" t="s">
        <v>534</v>
      </c>
      <c r="AQ734" s="60" t="s">
        <v>187</v>
      </c>
      <c r="AR734" s="93" t="s">
        <v>186</v>
      </c>
      <c r="AS734" s="93" t="s">
        <v>187</v>
      </c>
      <c r="AT734" s="93" t="s">
        <v>186</v>
      </c>
      <c r="AU734" s="93" t="s">
        <v>186</v>
      </c>
      <c r="AV734" s="93" t="s">
        <v>187</v>
      </c>
      <c r="AW734" s="93" t="s">
        <v>186</v>
      </c>
      <c r="AX734" s="93" t="s">
        <v>186</v>
      </c>
      <c r="AY734" s="93" t="s">
        <v>186</v>
      </c>
      <c r="BC734" s="60">
        <v>85715713516</v>
      </c>
      <c r="BD734" s="93">
        <v>82135661705</v>
      </c>
      <c r="BE734" s="93">
        <v>882008597527</v>
      </c>
      <c r="BF734" s="93">
        <v>82282401605</v>
      </c>
      <c r="BG734" s="93">
        <v>82130686769</v>
      </c>
      <c r="BH734" s="93">
        <v>81244901020</v>
      </c>
      <c r="BI734" s="93">
        <v>88802644314</v>
      </c>
      <c r="BJ734" s="93">
        <v>81806684319</v>
      </c>
      <c r="BK734" s="93">
        <v>85336562701</v>
      </c>
      <c r="BO734" s="71">
        <v>60150790</v>
      </c>
      <c r="BP734" s="18" t="s">
        <v>9035</v>
      </c>
      <c r="BQ734" s="37">
        <v>45226</v>
      </c>
      <c r="BR734" s="8">
        <f t="shared" si="2"/>
        <v>9</v>
      </c>
    </row>
    <row r="735" spans="1:70" ht="14">
      <c r="A735" s="4" t="str">
        <v>Alternatif Periode ke-89 IV.D.3</v>
      </c>
      <c r="B735" s="4" t="s">
        <v>8527</v>
      </c>
      <c r="C735" s="4" t="s">
        <v>1286</v>
      </c>
      <c r="D735" s="4" t="s">
        <v>940</v>
      </c>
      <c r="E735" s="4" t="s">
        <v>956</v>
      </c>
      <c r="F735" s="4" t="s">
        <v>520</v>
      </c>
      <c r="G735" s="6" t="s">
        <v>9036</v>
      </c>
      <c r="H735" s="92" t="s">
        <v>9037</v>
      </c>
      <c r="I735" s="92" t="s">
        <v>9038</v>
      </c>
      <c r="J735" s="92" t="s">
        <v>9039</v>
      </c>
      <c r="K735" s="92" t="s">
        <v>9040</v>
      </c>
      <c r="L735" s="92" t="s">
        <v>9041</v>
      </c>
      <c r="M735" s="92" t="s">
        <v>9042</v>
      </c>
      <c r="N735" s="92" t="s">
        <v>9043</v>
      </c>
      <c r="O735" s="92" t="s">
        <v>9044</v>
      </c>
      <c r="S735" s="6">
        <v>1800020098</v>
      </c>
      <c r="T735" s="92">
        <v>1800030320</v>
      </c>
      <c r="U735" s="92">
        <v>1900010110</v>
      </c>
      <c r="V735" s="92">
        <v>2000001135</v>
      </c>
      <c r="W735" s="92">
        <v>2000005020</v>
      </c>
      <c r="X735" s="92">
        <v>2000011216</v>
      </c>
      <c r="Y735" s="92">
        <v>2000025038</v>
      </c>
      <c r="Z735" s="92">
        <v>2000031099</v>
      </c>
      <c r="AA735" s="92">
        <v>2000034008</v>
      </c>
      <c r="AE735" s="6" t="s">
        <v>351</v>
      </c>
      <c r="AF735" s="92" t="s">
        <v>184</v>
      </c>
      <c r="AG735" s="92" t="s">
        <v>532</v>
      </c>
      <c r="AH735" s="92" t="s">
        <v>180</v>
      </c>
      <c r="AI735" s="92" t="s">
        <v>181</v>
      </c>
      <c r="AJ735" s="92" t="s">
        <v>182</v>
      </c>
      <c r="AK735" s="92" t="s">
        <v>1168</v>
      </c>
      <c r="AL735" s="92" t="s">
        <v>185</v>
      </c>
      <c r="AM735" s="92" t="s">
        <v>534</v>
      </c>
      <c r="AQ735" s="60" t="s">
        <v>187</v>
      </c>
      <c r="AR735" s="93" t="s">
        <v>187</v>
      </c>
      <c r="AS735" s="93" t="s">
        <v>187</v>
      </c>
      <c r="AT735" s="93" t="s">
        <v>186</v>
      </c>
      <c r="AU735" s="93" t="s">
        <v>186</v>
      </c>
      <c r="AV735" s="93" t="s">
        <v>186</v>
      </c>
      <c r="AW735" s="93" t="s">
        <v>186</v>
      </c>
      <c r="AX735" s="93" t="s">
        <v>186</v>
      </c>
      <c r="AY735" s="93" t="s">
        <v>186</v>
      </c>
      <c r="BC735" s="60">
        <v>89685994431</v>
      </c>
      <c r="BD735" s="93">
        <v>81276813857</v>
      </c>
      <c r="BE735" s="93">
        <v>81391402327</v>
      </c>
      <c r="BF735" s="93">
        <v>82147841811</v>
      </c>
      <c r="BG735" s="93">
        <v>85601197546</v>
      </c>
      <c r="BH735" s="93">
        <v>85338548197</v>
      </c>
      <c r="BI735" s="93" t="s">
        <v>13762</v>
      </c>
      <c r="BJ735" s="93">
        <v>81393919935</v>
      </c>
      <c r="BK735" s="93">
        <v>85701631820</v>
      </c>
      <c r="BO735" s="71">
        <v>60150790</v>
      </c>
      <c r="BP735" s="18" t="s">
        <v>9045</v>
      </c>
      <c r="BQ735" s="37">
        <v>45226</v>
      </c>
      <c r="BR735" s="8">
        <f t="shared" si="2"/>
        <v>9</v>
      </c>
    </row>
    <row r="736" spans="1:70" ht="14">
      <c r="A736" s="4" t="str">
        <v>Alternatif Periode ke-89 V.A.1</v>
      </c>
      <c r="B736" s="4" t="s">
        <v>8527</v>
      </c>
      <c r="C736" s="4" t="s">
        <v>1328</v>
      </c>
      <c r="D736" s="4" t="s">
        <v>558</v>
      </c>
      <c r="E736" s="4" t="s">
        <v>968</v>
      </c>
      <c r="F736" s="4" t="s">
        <v>520</v>
      </c>
      <c r="G736" s="6" t="s">
        <v>9046</v>
      </c>
      <c r="H736" s="92" t="s">
        <v>9047</v>
      </c>
      <c r="I736" s="92" t="s">
        <v>9048</v>
      </c>
      <c r="J736" s="92" t="s">
        <v>9049</v>
      </c>
      <c r="K736" s="92" t="s">
        <v>9050</v>
      </c>
      <c r="L736" s="92" t="s">
        <v>9051</v>
      </c>
      <c r="M736" s="92" t="s">
        <v>9052</v>
      </c>
      <c r="N736" s="92" t="s">
        <v>9053</v>
      </c>
      <c r="O736" s="92" t="s">
        <v>9054</v>
      </c>
      <c r="S736" s="6">
        <v>1800010045</v>
      </c>
      <c r="T736" s="92">
        <v>1900030354</v>
      </c>
      <c r="U736" s="92">
        <v>2000001164</v>
      </c>
      <c r="V736" s="92">
        <v>2000005110</v>
      </c>
      <c r="W736" s="92">
        <v>2000011102</v>
      </c>
      <c r="X736" s="92">
        <v>2000020013</v>
      </c>
      <c r="Y736" s="92">
        <v>2000025041</v>
      </c>
      <c r="Z736" s="92">
        <v>2000031133</v>
      </c>
      <c r="AA736" s="92">
        <v>2000034038</v>
      </c>
      <c r="AE736" s="6" t="s">
        <v>532</v>
      </c>
      <c r="AF736" s="92" t="s">
        <v>184</v>
      </c>
      <c r="AG736" s="92" t="s">
        <v>180</v>
      </c>
      <c r="AH736" s="92" t="s">
        <v>181</v>
      </c>
      <c r="AI736" s="92" t="s">
        <v>182</v>
      </c>
      <c r="AJ736" s="92" t="s">
        <v>351</v>
      </c>
      <c r="AK736" s="92" t="s">
        <v>1168</v>
      </c>
      <c r="AL736" s="92" t="s">
        <v>185</v>
      </c>
      <c r="AM736" s="92" t="s">
        <v>534</v>
      </c>
      <c r="AQ736" s="60" t="s">
        <v>187</v>
      </c>
      <c r="AR736" s="93" t="s">
        <v>187</v>
      </c>
      <c r="AS736" s="93" t="s">
        <v>186</v>
      </c>
      <c r="AT736" s="93" t="s">
        <v>186</v>
      </c>
      <c r="AU736" s="93" t="s">
        <v>186</v>
      </c>
      <c r="AV736" s="93" t="s">
        <v>187</v>
      </c>
      <c r="AW736" s="93" t="s">
        <v>186</v>
      </c>
      <c r="AX736" s="93" t="s">
        <v>186</v>
      </c>
      <c r="AY736" s="93" t="s">
        <v>186</v>
      </c>
      <c r="BC736" s="60">
        <v>81999764052</v>
      </c>
      <c r="BD736" s="93">
        <v>81385154194</v>
      </c>
      <c r="BE736" s="93">
        <v>89609048511</v>
      </c>
      <c r="BF736" s="93">
        <v>87869993853</v>
      </c>
      <c r="BG736" s="93">
        <v>82227342994</v>
      </c>
      <c r="BH736" s="93">
        <v>82278051727</v>
      </c>
      <c r="BI736" s="93">
        <v>82269776285</v>
      </c>
      <c r="BJ736" s="93">
        <v>82134613223</v>
      </c>
      <c r="BK736" s="93">
        <v>85754642622</v>
      </c>
      <c r="BO736" s="29">
        <v>60110622</v>
      </c>
      <c r="BP736" s="18" t="s">
        <v>9055</v>
      </c>
      <c r="BQ736" s="37">
        <v>45226</v>
      </c>
      <c r="BR736" s="8">
        <f t="shared" si="2"/>
        <v>9</v>
      </c>
    </row>
    <row r="737" spans="1:70" ht="14">
      <c r="A737" s="4" t="str">
        <v>Alternatif Periode ke-89 V.A.2</v>
      </c>
      <c r="B737" s="4" t="s">
        <v>8527</v>
      </c>
      <c r="C737" s="4" t="s">
        <v>1350</v>
      </c>
      <c r="D737" s="4" t="s">
        <v>558</v>
      </c>
      <c r="E737" s="4" t="s">
        <v>989</v>
      </c>
      <c r="F737" s="4" t="s">
        <v>520</v>
      </c>
      <c r="G737" s="6" t="s">
        <v>9056</v>
      </c>
      <c r="H737" s="92" t="s">
        <v>9057</v>
      </c>
      <c r="I737" s="92" t="s">
        <v>9058</v>
      </c>
      <c r="J737" s="92" t="s">
        <v>9059</v>
      </c>
      <c r="K737" s="92" t="s">
        <v>9060</v>
      </c>
      <c r="L737" s="92" t="s">
        <v>9061</v>
      </c>
      <c r="M737" s="92" t="s">
        <v>9062</v>
      </c>
      <c r="N737" s="92" t="s">
        <v>9063</v>
      </c>
      <c r="O737" s="92" t="s">
        <v>9064</v>
      </c>
      <c r="S737" s="6">
        <v>1800010033</v>
      </c>
      <c r="T737" s="92">
        <v>1800022029</v>
      </c>
      <c r="U737" s="92">
        <v>2000001046</v>
      </c>
      <c r="V737" s="92">
        <v>2000005346</v>
      </c>
      <c r="W737" s="92">
        <v>2000011301</v>
      </c>
      <c r="X737" s="92">
        <v>2000025118</v>
      </c>
      <c r="Y737" s="92">
        <v>2000030084</v>
      </c>
      <c r="Z737" s="92">
        <v>2000031233</v>
      </c>
      <c r="AA737" s="92">
        <v>2000034031</v>
      </c>
      <c r="AE737" s="6" t="s">
        <v>532</v>
      </c>
      <c r="AF737" s="92" t="s">
        <v>872</v>
      </c>
      <c r="AG737" s="92" t="s">
        <v>180</v>
      </c>
      <c r="AH737" s="92" t="s">
        <v>181</v>
      </c>
      <c r="AI737" s="92" t="s">
        <v>182</v>
      </c>
      <c r="AJ737" s="92" t="s">
        <v>1168</v>
      </c>
      <c r="AK737" s="92" t="s">
        <v>184</v>
      </c>
      <c r="AL737" s="92" t="s">
        <v>185</v>
      </c>
      <c r="AM737" s="92" t="s">
        <v>534</v>
      </c>
      <c r="AQ737" s="60" t="s">
        <v>187</v>
      </c>
      <c r="AR737" s="93" t="s">
        <v>187</v>
      </c>
      <c r="AS737" s="93" t="s">
        <v>186</v>
      </c>
      <c r="AT737" s="93" t="s">
        <v>186</v>
      </c>
      <c r="AU737" s="93" t="s">
        <v>186</v>
      </c>
      <c r="AV737" s="93" t="s">
        <v>186</v>
      </c>
      <c r="AW737" s="93" t="s">
        <v>187</v>
      </c>
      <c r="AX737" s="93" t="s">
        <v>186</v>
      </c>
      <c r="AY737" s="93" t="s">
        <v>186</v>
      </c>
      <c r="BC737" s="60">
        <v>81248729731</v>
      </c>
      <c r="BD737" s="93">
        <v>82290609020</v>
      </c>
      <c r="BE737" s="93">
        <v>82215852674</v>
      </c>
      <c r="BF737" s="93">
        <v>85742663967</v>
      </c>
      <c r="BG737" s="93" t="s">
        <v>13762</v>
      </c>
      <c r="BH737" s="93">
        <v>85726002957</v>
      </c>
      <c r="BI737" s="93">
        <v>82326018495</v>
      </c>
      <c r="BJ737" s="93">
        <v>81356996977</v>
      </c>
      <c r="BK737" s="93">
        <v>81392444674</v>
      </c>
      <c r="BO737" s="29">
        <v>60110622</v>
      </c>
      <c r="BP737" s="18" t="s">
        <v>9065</v>
      </c>
      <c r="BQ737" s="37">
        <v>45226</v>
      </c>
      <c r="BR737" s="8">
        <f t="shared" si="2"/>
        <v>9</v>
      </c>
    </row>
    <row r="738" spans="1:70" ht="14">
      <c r="A738" s="4" t="str">
        <v>Alternatif Periode ke-89 V.B.1</v>
      </c>
      <c r="B738" s="4" t="s">
        <v>8527</v>
      </c>
      <c r="C738" s="4" t="s">
        <v>1392</v>
      </c>
      <c r="D738" s="4" t="s">
        <v>9066</v>
      </c>
      <c r="E738" s="4" t="s">
        <v>9067</v>
      </c>
      <c r="F738" s="4" t="s">
        <v>520</v>
      </c>
      <c r="G738" s="6" t="s">
        <v>9068</v>
      </c>
      <c r="H738" s="92" t="s">
        <v>9069</v>
      </c>
      <c r="I738" s="92" t="s">
        <v>9070</v>
      </c>
      <c r="J738" s="92" t="s">
        <v>9071</v>
      </c>
      <c r="K738" s="92" t="s">
        <v>9072</v>
      </c>
      <c r="L738" s="92" t="s">
        <v>9073</v>
      </c>
      <c r="M738" s="92" t="s">
        <v>9074</v>
      </c>
      <c r="N738" s="92" t="s">
        <v>9075</v>
      </c>
      <c r="O738" s="92" t="s">
        <v>9076</v>
      </c>
      <c r="S738" s="6">
        <v>1800022059</v>
      </c>
      <c r="T738" s="92">
        <v>1900010090</v>
      </c>
      <c r="U738" s="92">
        <v>2000001168</v>
      </c>
      <c r="V738" s="92">
        <v>2000005349</v>
      </c>
      <c r="W738" s="92">
        <v>2000011325</v>
      </c>
      <c r="X738" s="92">
        <v>2000025110</v>
      </c>
      <c r="Y738" s="92">
        <v>2000030053</v>
      </c>
      <c r="Z738" s="92">
        <v>2000031144</v>
      </c>
      <c r="AA738" s="92">
        <v>2000034048</v>
      </c>
      <c r="AE738" s="6" t="s">
        <v>872</v>
      </c>
      <c r="AF738" s="92" t="s">
        <v>532</v>
      </c>
      <c r="AG738" s="92" t="s">
        <v>180</v>
      </c>
      <c r="AH738" s="92" t="s">
        <v>181</v>
      </c>
      <c r="AI738" s="92" t="s">
        <v>182</v>
      </c>
      <c r="AJ738" s="92" t="s">
        <v>1168</v>
      </c>
      <c r="AK738" s="92" t="s">
        <v>184</v>
      </c>
      <c r="AL738" s="92" t="s">
        <v>185</v>
      </c>
      <c r="AM738" s="92" t="s">
        <v>534</v>
      </c>
      <c r="AQ738" s="60" t="s">
        <v>187</v>
      </c>
      <c r="AR738" s="93" t="s">
        <v>187</v>
      </c>
      <c r="AS738" s="93" t="s">
        <v>186</v>
      </c>
      <c r="AT738" s="93" t="s">
        <v>186</v>
      </c>
      <c r="AU738" s="93" t="s">
        <v>186</v>
      </c>
      <c r="AV738" s="93" t="s">
        <v>186</v>
      </c>
      <c r="AW738" s="93" t="s">
        <v>187</v>
      </c>
      <c r="AX738" s="93" t="s">
        <v>186</v>
      </c>
      <c r="AY738" s="93" t="s">
        <v>186</v>
      </c>
      <c r="BC738" s="60">
        <v>89526473558</v>
      </c>
      <c r="BD738" s="93">
        <v>82146535209</v>
      </c>
      <c r="BE738" s="93">
        <v>88225243383</v>
      </c>
      <c r="BF738" s="93">
        <v>82245223110</v>
      </c>
      <c r="BG738" s="93">
        <v>82353060992</v>
      </c>
      <c r="BH738" s="93">
        <v>81367201423</v>
      </c>
      <c r="BI738" s="93">
        <v>81288315969</v>
      </c>
      <c r="BJ738" s="93">
        <v>81312038103</v>
      </c>
      <c r="BK738" s="93">
        <v>82199389426</v>
      </c>
      <c r="BO738" s="69">
        <v>60181159</v>
      </c>
      <c r="BP738" s="18" t="s">
        <v>9077</v>
      </c>
      <c r="BQ738" s="37">
        <v>45226</v>
      </c>
      <c r="BR738" s="8">
        <f t="shared" si="2"/>
        <v>9</v>
      </c>
    </row>
    <row r="739" spans="1:70" ht="14">
      <c r="A739" s="4" t="str">
        <v>Alternatif Periode ke-89 V.B.2</v>
      </c>
      <c r="B739" s="4" t="s">
        <v>8527</v>
      </c>
      <c r="C739" s="4" t="s">
        <v>1414</v>
      </c>
      <c r="D739" s="4" t="s">
        <v>9066</v>
      </c>
      <c r="E739" s="4" t="s">
        <v>9078</v>
      </c>
      <c r="F739" s="4" t="s">
        <v>520</v>
      </c>
      <c r="G739" s="6" t="s">
        <v>9079</v>
      </c>
      <c r="H739" s="92" t="s">
        <v>9080</v>
      </c>
      <c r="I739" s="92" t="s">
        <v>9081</v>
      </c>
      <c r="J739" s="92" t="s">
        <v>9082</v>
      </c>
      <c r="K739" s="92" t="s">
        <v>9083</v>
      </c>
      <c r="L739" s="92" t="s">
        <v>9084</v>
      </c>
      <c r="M739" s="92" t="s">
        <v>9085</v>
      </c>
      <c r="N739" s="92" t="s">
        <v>9086</v>
      </c>
      <c r="O739" s="92" t="s">
        <v>9087</v>
      </c>
      <c r="S739" s="6">
        <v>1900010042</v>
      </c>
      <c r="T739" s="92">
        <v>1900022070</v>
      </c>
      <c r="U739" s="92">
        <v>1900030052</v>
      </c>
      <c r="V739" s="92">
        <v>2000001023</v>
      </c>
      <c r="W739" s="92">
        <v>2000005382</v>
      </c>
      <c r="X739" s="92">
        <v>2000011399</v>
      </c>
      <c r="Y739" s="92">
        <v>2000025074</v>
      </c>
      <c r="Z739" s="92">
        <v>2000031084</v>
      </c>
      <c r="AA739" s="92">
        <v>2000034049</v>
      </c>
      <c r="AE739" s="6" t="s">
        <v>532</v>
      </c>
      <c r="AF739" s="92" t="s">
        <v>872</v>
      </c>
      <c r="AG739" s="92" t="s">
        <v>184</v>
      </c>
      <c r="AH739" s="92" t="s">
        <v>180</v>
      </c>
      <c r="AI739" s="92" t="s">
        <v>181</v>
      </c>
      <c r="AJ739" s="92" t="s">
        <v>182</v>
      </c>
      <c r="AK739" s="92" t="s">
        <v>1168</v>
      </c>
      <c r="AL739" s="92" t="s">
        <v>185</v>
      </c>
      <c r="AM739" s="92" t="s">
        <v>534</v>
      </c>
      <c r="AQ739" s="60" t="s">
        <v>187</v>
      </c>
      <c r="AR739" s="93" t="s">
        <v>187</v>
      </c>
      <c r="AS739" s="93" t="s">
        <v>187</v>
      </c>
      <c r="AT739" s="93" t="s">
        <v>186</v>
      </c>
      <c r="AU739" s="93" t="s">
        <v>186</v>
      </c>
      <c r="AV739" s="93" t="s">
        <v>186</v>
      </c>
      <c r="AW739" s="93" t="s">
        <v>186</v>
      </c>
      <c r="AX739" s="93" t="s">
        <v>186</v>
      </c>
      <c r="AY739" s="93" t="s">
        <v>186</v>
      </c>
      <c r="BC739" s="60">
        <v>82271245180</v>
      </c>
      <c r="BD739" s="93">
        <v>81267520704</v>
      </c>
      <c r="BE739" s="93">
        <v>85282898975</v>
      </c>
      <c r="BF739" s="93">
        <v>89668780422</v>
      </c>
      <c r="BG739" s="93">
        <v>82234664601</v>
      </c>
      <c r="BH739" s="93">
        <v>82245148357</v>
      </c>
      <c r="BI739" s="93">
        <v>81229995626</v>
      </c>
      <c r="BJ739" s="93">
        <v>82357667005</v>
      </c>
      <c r="BO739" s="69">
        <v>60181159</v>
      </c>
      <c r="BP739" s="18" t="s">
        <v>9088</v>
      </c>
      <c r="BQ739" s="37">
        <v>45226</v>
      </c>
      <c r="BR739" s="8">
        <f t="shared" si="2"/>
        <v>9</v>
      </c>
    </row>
    <row r="740" spans="1:70" ht="14">
      <c r="A740" s="4" t="str">
        <v>Alternatif Periode ke-89 V.B.3</v>
      </c>
      <c r="B740" s="4" t="s">
        <v>8527</v>
      </c>
      <c r="C740" s="4" t="s">
        <v>1435</v>
      </c>
      <c r="D740" s="4" t="s">
        <v>9066</v>
      </c>
      <c r="E740" s="4" t="s">
        <v>9089</v>
      </c>
      <c r="F740" s="4" t="s">
        <v>520</v>
      </c>
      <c r="G740" s="6" t="s">
        <v>9090</v>
      </c>
      <c r="H740" s="92" t="s">
        <v>9091</v>
      </c>
      <c r="I740" s="92" t="s">
        <v>9092</v>
      </c>
      <c r="J740" s="92" t="s">
        <v>9093</v>
      </c>
      <c r="K740" s="92" t="s">
        <v>9094</v>
      </c>
      <c r="L740" s="92" t="s">
        <v>9095</v>
      </c>
      <c r="M740" s="92" t="s">
        <v>9096</v>
      </c>
      <c r="N740" s="92" t="s">
        <v>9097</v>
      </c>
      <c r="O740" s="92" t="s">
        <v>9098</v>
      </c>
      <c r="S740" s="6">
        <v>1800022045</v>
      </c>
      <c r="T740" s="92">
        <v>1800030114</v>
      </c>
      <c r="U740" s="92">
        <v>1900010067</v>
      </c>
      <c r="V740" s="92">
        <v>2000001012</v>
      </c>
      <c r="W740" s="92">
        <v>2000005100</v>
      </c>
      <c r="X740" s="92">
        <v>2000011175</v>
      </c>
      <c r="Y740" s="92">
        <v>2000025022</v>
      </c>
      <c r="Z740" s="92">
        <v>2000034002</v>
      </c>
      <c r="AA740" s="92">
        <v>2011031149</v>
      </c>
      <c r="AE740" s="6" t="s">
        <v>872</v>
      </c>
      <c r="AF740" s="92" t="s">
        <v>184</v>
      </c>
      <c r="AG740" s="92" t="s">
        <v>532</v>
      </c>
      <c r="AH740" s="92" t="s">
        <v>180</v>
      </c>
      <c r="AI740" s="92" t="s">
        <v>181</v>
      </c>
      <c r="AJ740" s="92" t="s">
        <v>182</v>
      </c>
      <c r="AK740" s="92" t="s">
        <v>1168</v>
      </c>
      <c r="AL740" s="92" t="s">
        <v>534</v>
      </c>
      <c r="AM740" s="92" t="s">
        <v>185</v>
      </c>
      <c r="AQ740" s="60" t="s">
        <v>187</v>
      </c>
      <c r="AR740" s="93" t="s">
        <v>187</v>
      </c>
      <c r="AS740" s="93" t="s">
        <v>187</v>
      </c>
      <c r="AT740" s="93" t="s">
        <v>186</v>
      </c>
      <c r="AU740" s="93" t="s">
        <v>186</v>
      </c>
      <c r="AV740" s="93" t="s">
        <v>186</v>
      </c>
      <c r="AW740" s="93" t="s">
        <v>186</v>
      </c>
      <c r="AX740" s="93" t="s">
        <v>186</v>
      </c>
      <c r="AY740" s="93" t="s">
        <v>186</v>
      </c>
      <c r="BC740" s="60">
        <v>82170446616</v>
      </c>
      <c r="BD740" s="93">
        <v>85643586566</v>
      </c>
      <c r="BE740" s="93">
        <v>82251084328</v>
      </c>
      <c r="BF740" s="93">
        <v>81320326623</v>
      </c>
      <c r="BG740" s="93">
        <v>89512090806</v>
      </c>
      <c r="BH740" s="93">
        <v>81578830147</v>
      </c>
      <c r="BI740" s="93">
        <v>82398518014</v>
      </c>
      <c r="BJ740" s="93">
        <v>82233268469</v>
      </c>
      <c r="BK740" s="93">
        <v>88221601460</v>
      </c>
      <c r="BO740" s="69">
        <v>60181159</v>
      </c>
      <c r="BP740" s="18" t="s">
        <v>9099</v>
      </c>
      <c r="BQ740" s="37">
        <v>45226</v>
      </c>
      <c r="BR740" s="8">
        <f t="shared" si="2"/>
        <v>9</v>
      </c>
    </row>
    <row r="741" spans="1:70" ht="14">
      <c r="A741" s="4" t="str">
        <v>Alternatif Periode ke-89 V.C.1</v>
      </c>
      <c r="B741" s="4" t="s">
        <v>8527</v>
      </c>
      <c r="C741" s="4" t="s">
        <v>1456</v>
      </c>
      <c r="D741" s="4" t="s">
        <v>9100</v>
      </c>
      <c r="E741" s="4" t="s">
        <v>9101</v>
      </c>
      <c r="F741" s="4" t="s">
        <v>520</v>
      </c>
      <c r="G741" s="6" t="s">
        <v>9102</v>
      </c>
      <c r="H741" s="92" t="s">
        <v>9103</v>
      </c>
      <c r="I741" s="92" t="s">
        <v>9104</v>
      </c>
      <c r="J741" s="92" t="s">
        <v>9105</v>
      </c>
      <c r="K741" s="92" t="s">
        <v>9106</v>
      </c>
      <c r="L741" s="92" t="s">
        <v>9107</v>
      </c>
      <c r="M741" s="92" t="s">
        <v>9108</v>
      </c>
      <c r="N741" s="92" t="s">
        <v>9109</v>
      </c>
      <c r="O741" s="92" t="s">
        <v>9110</v>
      </c>
      <c r="S741" s="6">
        <v>1700031135</v>
      </c>
      <c r="T741" s="92">
        <v>1800010260</v>
      </c>
      <c r="U741" s="92">
        <v>2000001179</v>
      </c>
      <c r="V741" s="92">
        <v>2000005341</v>
      </c>
      <c r="W741" s="92">
        <v>2000011332</v>
      </c>
      <c r="X741" s="92">
        <v>2000026214</v>
      </c>
      <c r="Y741" s="92">
        <v>2000031235</v>
      </c>
      <c r="Z741" s="92">
        <v>2000034025</v>
      </c>
      <c r="AA741" s="92">
        <v>2015022036</v>
      </c>
      <c r="AE741" s="6" t="s">
        <v>185</v>
      </c>
      <c r="AF741" s="92" t="s">
        <v>532</v>
      </c>
      <c r="AG741" s="92" t="s">
        <v>180</v>
      </c>
      <c r="AH741" s="92" t="s">
        <v>181</v>
      </c>
      <c r="AI741" s="92" t="s">
        <v>182</v>
      </c>
      <c r="AJ741" s="92" t="s">
        <v>570</v>
      </c>
      <c r="AK741" s="92" t="s">
        <v>185</v>
      </c>
      <c r="AL741" s="92" t="s">
        <v>534</v>
      </c>
      <c r="AM741" s="92" t="s">
        <v>872</v>
      </c>
      <c r="AQ741" s="60" t="s">
        <v>187</v>
      </c>
      <c r="AR741" s="93" t="s">
        <v>187</v>
      </c>
      <c r="AS741" s="93" t="s">
        <v>186</v>
      </c>
      <c r="AT741" s="93" t="s">
        <v>186</v>
      </c>
      <c r="AU741" s="93" t="s">
        <v>186</v>
      </c>
      <c r="AV741" s="93" t="s">
        <v>186</v>
      </c>
      <c r="AW741" s="93" t="s">
        <v>186</v>
      </c>
      <c r="AX741" s="93" t="s">
        <v>186</v>
      </c>
      <c r="AY741" s="93" t="s">
        <v>187</v>
      </c>
      <c r="BC741" s="60">
        <v>85337160690</v>
      </c>
      <c r="BD741" s="93">
        <v>85764001813</v>
      </c>
      <c r="BE741" s="93">
        <v>82260149449</v>
      </c>
      <c r="BF741" s="93">
        <v>81818902386</v>
      </c>
      <c r="BG741" s="93">
        <v>85156376308</v>
      </c>
      <c r="BH741" s="93">
        <v>89633545549</v>
      </c>
      <c r="BI741" s="93">
        <v>87708892855</v>
      </c>
      <c r="BJ741" s="93">
        <v>82278086563</v>
      </c>
      <c r="BK741" s="93">
        <v>85866154973</v>
      </c>
      <c r="BO741" s="69">
        <v>60110662</v>
      </c>
      <c r="BP741" s="18" t="s">
        <v>9111</v>
      </c>
      <c r="BQ741" s="37">
        <v>45226</v>
      </c>
      <c r="BR741" s="8">
        <f t="shared" si="2"/>
        <v>9</v>
      </c>
    </row>
    <row r="742" spans="1:70" ht="14">
      <c r="A742" s="4" t="str">
        <v>Alternatif Periode ke-89 V.C.2</v>
      </c>
      <c r="B742" s="4" t="s">
        <v>8527</v>
      </c>
      <c r="C742" s="4" t="s">
        <v>1478</v>
      </c>
      <c r="D742" s="4" t="s">
        <v>9100</v>
      </c>
      <c r="E742" s="4" t="s">
        <v>9112</v>
      </c>
      <c r="F742" s="4" t="s">
        <v>520</v>
      </c>
      <c r="G742" s="6" t="s">
        <v>9113</v>
      </c>
      <c r="H742" s="92" t="s">
        <v>9114</v>
      </c>
      <c r="I742" s="92" t="s">
        <v>9115</v>
      </c>
      <c r="J742" s="92" t="s">
        <v>9116</v>
      </c>
      <c r="K742" s="92" t="s">
        <v>9117</v>
      </c>
      <c r="L742" s="92" t="s">
        <v>9118</v>
      </c>
      <c r="M742" s="92" t="s">
        <v>9119</v>
      </c>
      <c r="N742" s="92" t="s">
        <v>9120</v>
      </c>
      <c r="O742" s="92" t="s">
        <v>9121</v>
      </c>
      <c r="S742" s="6">
        <v>2000001131</v>
      </c>
      <c r="T742" s="92">
        <v>2000005376</v>
      </c>
      <c r="U742" s="92">
        <v>2000011052</v>
      </c>
      <c r="V742" s="92">
        <v>2000011430</v>
      </c>
      <c r="W742" s="92">
        <v>2000023195</v>
      </c>
      <c r="X742" s="92">
        <v>2000026019</v>
      </c>
      <c r="Y742" s="92">
        <v>2000031029</v>
      </c>
      <c r="Z742" s="92">
        <v>2000031039</v>
      </c>
      <c r="AA742" s="92">
        <v>2000034037</v>
      </c>
      <c r="AE742" s="6" t="s">
        <v>180</v>
      </c>
      <c r="AF742" s="92" t="s">
        <v>181</v>
      </c>
      <c r="AG742" s="92" t="s">
        <v>182</v>
      </c>
      <c r="AH742" s="92" t="s">
        <v>182</v>
      </c>
      <c r="AI742" s="92" t="s">
        <v>899</v>
      </c>
      <c r="AJ742" s="92" t="s">
        <v>570</v>
      </c>
      <c r="AK742" s="92" t="s">
        <v>185</v>
      </c>
      <c r="AL742" s="92" t="s">
        <v>185</v>
      </c>
      <c r="AM742" s="92" t="s">
        <v>534</v>
      </c>
      <c r="AQ742" s="60" t="s">
        <v>186</v>
      </c>
      <c r="AR742" s="93" t="s">
        <v>186</v>
      </c>
      <c r="AS742" s="93" t="s">
        <v>186</v>
      </c>
      <c r="AT742" s="93" t="s">
        <v>187</v>
      </c>
      <c r="AU742" s="93" t="s">
        <v>187</v>
      </c>
      <c r="AV742" s="93" t="s">
        <v>186</v>
      </c>
      <c r="AW742" s="93" t="s">
        <v>187</v>
      </c>
      <c r="AX742" s="93" t="s">
        <v>186</v>
      </c>
      <c r="AY742" s="93" t="s">
        <v>186</v>
      </c>
      <c r="BC742" s="60">
        <v>85795453933</v>
      </c>
      <c r="BD742" s="93">
        <v>82210485773</v>
      </c>
      <c r="BE742" s="93">
        <v>89636338004</v>
      </c>
      <c r="BF742" s="93">
        <v>85731649805</v>
      </c>
      <c r="BG742" s="93">
        <v>82134836216</v>
      </c>
      <c r="BH742" s="93">
        <v>82241036081</v>
      </c>
      <c r="BI742" s="93">
        <v>81215743069</v>
      </c>
      <c r="BJ742" s="93">
        <v>85732402918</v>
      </c>
      <c r="BK742" s="93">
        <v>82180312062</v>
      </c>
      <c r="BO742" s="69">
        <v>60110662</v>
      </c>
      <c r="BP742" s="18" t="s">
        <v>9122</v>
      </c>
      <c r="BQ742" s="37">
        <v>45226</v>
      </c>
      <c r="BR742" s="8">
        <f t="shared" si="2"/>
        <v>9</v>
      </c>
    </row>
    <row r="743" spans="1:70" ht="14">
      <c r="A743" s="4" t="str">
        <v>Alternatif Periode ke-89 V.C.3</v>
      </c>
      <c r="B743" s="4" t="s">
        <v>8527</v>
      </c>
      <c r="C743" s="4" t="s">
        <v>1498</v>
      </c>
      <c r="D743" s="4" t="s">
        <v>9100</v>
      </c>
      <c r="E743" s="4" t="s">
        <v>9123</v>
      </c>
      <c r="F743" s="4" t="s">
        <v>520</v>
      </c>
      <c r="G743" s="6" t="s">
        <v>5796</v>
      </c>
      <c r="H743" s="92" t="s">
        <v>9124</v>
      </c>
      <c r="I743" s="92" t="s">
        <v>9125</v>
      </c>
      <c r="J743" s="92" t="s">
        <v>9126</v>
      </c>
      <c r="K743" s="92" t="s">
        <v>9127</v>
      </c>
      <c r="L743" s="92" t="s">
        <v>9128</v>
      </c>
      <c r="M743" s="92" t="s">
        <v>9129</v>
      </c>
      <c r="N743" s="92" t="s">
        <v>9130</v>
      </c>
      <c r="O743" s="92" t="s">
        <v>9131</v>
      </c>
      <c r="S743" s="6">
        <v>1900005339</v>
      </c>
      <c r="T743" s="92">
        <v>2000001035</v>
      </c>
      <c r="U743" s="92">
        <v>2000011033</v>
      </c>
      <c r="V743" s="92">
        <v>2000012094</v>
      </c>
      <c r="W743" s="92">
        <v>2000023085</v>
      </c>
      <c r="X743" s="92">
        <v>2000026204</v>
      </c>
      <c r="Y743" s="92">
        <v>2000031182</v>
      </c>
      <c r="Z743" s="92">
        <v>2000031221</v>
      </c>
      <c r="AA743" s="92">
        <v>2000034010</v>
      </c>
      <c r="AE743" s="6" t="s">
        <v>181</v>
      </c>
      <c r="AF743" s="92" t="s">
        <v>180</v>
      </c>
      <c r="AG743" s="92" t="s">
        <v>182</v>
      </c>
      <c r="AH743" s="92" t="s">
        <v>885</v>
      </c>
      <c r="AI743" s="92" t="s">
        <v>899</v>
      </c>
      <c r="AJ743" s="92" t="s">
        <v>570</v>
      </c>
      <c r="AK743" s="92" t="s">
        <v>185</v>
      </c>
      <c r="AL743" s="92" t="s">
        <v>185</v>
      </c>
      <c r="AM743" s="92" t="s">
        <v>534</v>
      </c>
      <c r="AQ743" s="60" t="s">
        <v>186</v>
      </c>
      <c r="AR743" s="93" t="s">
        <v>186</v>
      </c>
      <c r="AS743" s="93" t="s">
        <v>187</v>
      </c>
      <c r="AT743" s="93" t="s">
        <v>186</v>
      </c>
      <c r="AU743" s="93" t="s">
        <v>187</v>
      </c>
      <c r="AV743" s="93" t="s">
        <v>186</v>
      </c>
      <c r="AW743" s="93" t="s">
        <v>186</v>
      </c>
      <c r="AX743" s="93" t="s">
        <v>187</v>
      </c>
      <c r="AY743" s="93" t="s">
        <v>186</v>
      </c>
      <c r="BC743" s="60">
        <v>85727674922</v>
      </c>
      <c r="BD743" s="93">
        <v>82233263422</v>
      </c>
      <c r="BE743" s="93">
        <v>81393613515</v>
      </c>
      <c r="BF743" s="93">
        <v>81805335633</v>
      </c>
      <c r="BG743" s="93">
        <v>88865316383</v>
      </c>
      <c r="BH743" s="93">
        <v>82216437084</v>
      </c>
      <c r="BI743" s="93">
        <v>89617515229</v>
      </c>
      <c r="BJ743" s="93">
        <v>82281874529</v>
      </c>
      <c r="BK743" s="93">
        <v>81318105888</v>
      </c>
      <c r="BO743" s="69">
        <v>60110662</v>
      </c>
      <c r="BP743" s="18" t="s">
        <v>9132</v>
      </c>
      <c r="BQ743" s="37">
        <v>45226</v>
      </c>
      <c r="BR743" s="8">
        <f t="shared" si="2"/>
        <v>9</v>
      </c>
    </row>
    <row r="744" spans="1:70" ht="14">
      <c r="A744" s="4" t="str">
        <v>Alternatif Periode ke-89 V.D.1</v>
      </c>
      <c r="B744" s="4" t="s">
        <v>8527</v>
      </c>
      <c r="C744" s="4" t="s">
        <v>1519</v>
      </c>
      <c r="D744" s="4" t="s">
        <v>9133</v>
      </c>
      <c r="E744" s="4" t="s">
        <v>9134</v>
      </c>
      <c r="F744" s="4" t="s">
        <v>520</v>
      </c>
      <c r="G744" s="6" t="s">
        <v>9135</v>
      </c>
      <c r="H744" s="92" t="s">
        <v>9136</v>
      </c>
      <c r="I744" s="92" t="s">
        <v>9137</v>
      </c>
      <c r="J744" s="92" t="s">
        <v>9138</v>
      </c>
      <c r="K744" s="92" t="s">
        <v>9139</v>
      </c>
      <c r="L744" s="92" t="s">
        <v>9140</v>
      </c>
      <c r="M744" s="92" t="s">
        <v>9141</v>
      </c>
      <c r="N744" s="92" t="s">
        <v>9142</v>
      </c>
      <c r="O744" s="92" t="s">
        <v>9143</v>
      </c>
      <c r="S744" s="6">
        <v>1900026202</v>
      </c>
      <c r="T744" s="92">
        <v>1900031052</v>
      </c>
      <c r="U744" s="92">
        <v>2000001019</v>
      </c>
      <c r="V744" s="92">
        <v>2000005257</v>
      </c>
      <c r="W744" s="92">
        <v>2000011347</v>
      </c>
      <c r="X744" s="92">
        <v>2000012134</v>
      </c>
      <c r="Y744" s="92">
        <v>2000023187</v>
      </c>
      <c r="Z744" s="92">
        <v>2000031255</v>
      </c>
      <c r="AA744" s="92">
        <v>2000034003</v>
      </c>
      <c r="AE744" s="6" t="s">
        <v>570</v>
      </c>
      <c r="AF744" s="92" t="s">
        <v>185</v>
      </c>
      <c r="AG744" s="92" t="s">
        <v>180</v>
      </c>
      <c r="AH744" s="92" t="s">
        <v>181</v>
      </c>
      <c r="AI744" s="92" t="s">
        <v>182</v>
      </c>
      <c r="AJ744" s="92" t="s">
        <v>885</v>
      </c>
      <c r="AK744" s="92" t="s">
        <v>899</v>
      </c>
      <c r="AL744" s="92" t="s">
        <v>185</v>
      </c>
      <c r="AM744" s="92" t="s">
        <v>534</v>
      </c>
      <c r="AQ744" s="60" t="s">
        <v>186</v>
      </c>
      <c r="AR744" s="93" t="s">
        <v>187</v>
      </c>
      <c r="AS744" s="93" t="s">
        <v>186</v>
      </c>
      <c r="AT744" s="93" t="s">
        <v>186</v>
      </c>
      <c r="AU744" s="93" t="s">
        <v>187</v>
      </c>
      <c r="AV744" s="93" t="s">
        <v>186</v>
      </c>
      <c r="AW744" s="93" t="s">
        <v>187</v>
      </c>
      <c r="AX744" s="93" t="s">
        <v>186</v>
      </c>
      <c r="AY744" s="93" t="s">
        <v>186</v>
      </c>
      <c r="BC744" s="60">
        <v>81274689552</v>
      </c>
      <c r="BD744" s="93">
        <v>81396129812</v>
      </c>
      <c r="BE744" s="93">
        <v>85813397146</v>
      </c>
      <c r="BF744" s="93">
        <v>87839804920</v>
      </c>
      <c r="BG744" s="93">
        <v>82334908365</v>
      </c>
      <c r="BH744" s="93">
        <v>81535340668</v>
      </c>
      <c r="BI744" s="93">
        <v>85813429636</v>
      </c>
      <c r="BJ744" s="93">
        <v>81254597330</v>
      </c>
      <c r="BK744" s="93">
        <v>81215263232</v>
      </c>
      <c r="BO744" s="69">
        <v>60060538</v>
      </c>
      <c r="BP744" s="18" t="s">
        <v>9144</v>
      </c>
      <c r="BQ744" s="37">
        <v>45226</v>
      </c>
      <c r="BR744" s="8">
        <f t="shared" si="2"/>
        <v>9</v>
      </c>
    </row>
    <row r="745" spans="1:70" ht="14">
      <c r="A745" s="4" t="str">
        <v>Alternatif Periode ke-89 V.D.2</v>
      </c>
      <c r="B745" s="4" t="s">
        <v>8527</v>
      </c>
      <c r="C745" s="4" t="s">
        <v>1540</v>
      </c>
      <c r="D745" s="4" t="s">
        <v>9133</v>
      </c>
      <c r="E745" s="4" t="s">
        <v>9145</v>
      </c>
      <c r="F745" s="4" t="s">
        <v>520</v>
      </c>
      <c r="G745" s="6" t="s">
        <v>9146</v>
      </c>
      <c r="H745" s="92" t="s">
        <v>9147</v>
      </c>
      <c r="I745" s="92" t="s">
        <v>9148</v>
      </c>
      <c r="J745" s="92" t="s">
        <v>9149</v>
      </c>
      <c r="K745" s="92" t="s">
        <v>9150</v>
      </c>
      <c r="L745" s="92" t="s">
        <v>9151</v>
      </c>
      <c r="M745" s="92" t="s">
        <v>9152</v>
      </c>
      <c r="N745" s="92" t="s">
        <v>9153</v>
      </c>
      <c r="O745" s="92" t="s">
        <v>9154</v>
      </c>
      <c r="S745" s="6">
        <v>1900012090</v>
      </c>
      <c r="T745" s="92">
        <v>2000001134</v>
      </c>
      <c r="U745" s="92">
        <v>2000005380</v>
      </c>
      <c r="V745" s="92">
        <v>2000011328</v>
      </c>
      <c r="W745" s="92">
        <v>2000023115</v>
      </c>
      <c r="X745" s="92">
        <v>2000026206</v>
      </c>
      <c r="Y745" s="92">
        <v>2000031153</v>
      </c>
      <c r="Z745" s="92">
        <v>2000031251</v>
      </c>
      <c r="AA745" s="92">
        <v>2000034033</v>
      </c>
      <c r="AE745" s="6" t="s">
        <v>885</v>
      </c>
      <c r="AF745" s="92" t="s">
        <v>180</v>
      </c>
      <c r="AG745" s="92" t="s">
        <v>181</v>
      </c>
      <c r="AH745" s="92" t="s">
        <v>182</v>
      </c>
      <c r="AI745" s="92" t="s">
        <v>899</v>
      </c>
      <c r="AJ745" s="92" t="s">
        <v>570</v>
      </c>
      <c r="AK745" s="92" t="s">
        <v>185</v>
      </c>
      <c r="AL745" s="92" t="s">
        <v>185</v>
      </c>
      <c r="AM745" s="92" t="s">
        <v>534</v>
      </c>
      <c r="AQ745" s="60" t="s">
        <v>186</v>
      </c>
      <c r="AR745" s="93" t="s">
        <v>186</v>
      </c>
      <c r="AS745" s="93" t="s">
        <v>186</v>
      </c>
      <c r="AT745" s="93" t="s">
        <v>187</v>
      </c>
      <c r="AU745" s="93" t="s">
        <v>187</v>
      </c>
      <c r="AV745" s="93" t="s">
        <v>186</v>
      </c>
      <c r="AW745" s="93" t="s">
        <v>186</v>
      </c>
      <c r="AX745" s="93" t="s">
        <v>187</v>
      </c>
      <c r="AY745" s="93" t="s">
        <v>186</v>
      </c>
      <c r="BC745" s="60">
        <v>82191934236</v>
      </c>
      <c r="BD745" s="93">
        <v>83803549438</v>
      </c>
      <c r="BE745" s="93">
        <v>882008347772</v>
      </c>
      <c r="BF745" s="93">
        <v>82292244366</v>
      </c>
      <c r="BG745" s="93">
        <v>81350947599</v>
      </c>
      <c r="BH745" s="93">
        <v>87786732265</v>
      </c>
      <c r="BI745" s="93">
        <v>81515611350</v>
      </c>
      <c r="BJ745" s="93">
        <v>859152729105</v>
      </c>
      <c r="BK745" s="93">
        <v>81228063359</v>
      </c>
      <c r="BO745" s="69">
        <v>60060538</v>
      </c>
      <c r="BP745" s="18" t="s">
        <v>9155</v>
      </c>
      <c r="BQ745" s="37">
        <v>45226</v>
      </c>
      <c r="BR745" s="8">
        <f t="shared" si="2"/>
        <v>9</v>
      </c>
    </row>
    <row r="746" spans="1:70" ht="14">
      <c r="A746" s="4" t="str">
        <v>Alternatif Periode ke-89 V.D.3</v>
      </c>
      <c r="B746" s="4" t="s">
        <v>8527</v>
      </c>
      <c r="C746" s="4" t="s">
        <v>1561</v>
      </c>
      <c r="D746" s="4" t="s">
        <v>9133</v>
      </c>
      <c r="E746" s="4" t="s">
        <v>9156</v>
      </c>
      <c r="F746" s="4" t="s">
        <v>520</v>
      </c>
      <c r="G746" s="6" t="s">
        <v>9157</v>
      </c>
      <c r="H746" s="92" t="s">
        <v>9158</v>
      </c>
      <c r="I746" s="92" t="s">
        <v>9159</v>
      </c>
      <c r="J746" s="92" t="s">
        <v>9160</v>
      </c>
      <c r="K746" s="92" t="s">
        <v>9161</v>
      </c>
      <c r="L746" s="92" t="s">
        <v>9162</v>
      </c>
      <c r="M746" s="92" t="s">
        <v>9163</v>
      </c>
      <c r="N746" s="92" t="s">
        <v>9164</v>
      </c>
      <c r="O746" s="92" t="s">
        <v>9165</v>
      </c>
      <c r="S746" s="6">
        <v>1900012182</v>
      </c>
      <c r="T746" s="92">
        <v>2000001087</v>
      </c>
      <c r="U746" s="92">
        <v>2000005124</v>
      </c>
      <c r="V746" s="92">
        <v>2000011329</v>
      </c>
      <c r="W746" s="92">
        <v>2000023074</v>
      </c>
      <c r="X746" s="92">
        <v>2000026091</v>
      </c>
      <c r="Y746" s="92">
        <v>2000031103</v>
      </c>
      <c r="Z746" s="92">
        <v>2000031270</v>
      </c>
      <c r="AA746" s="92">
        <v>2000034030</v>
      </c>
      <c r="AE746" s="6" t="s">
        <v>885</v>
      </c>
      <c r="AF746" s="92" t="s">
        <v>180</v>
      </c>
      <c r="AG746" s="92" t="s">
        <v>181</v>
      </c>
      <c r="AH746" s="92" t="s">
        <v>182</v>
      </c>
      <c r="AI746" s="92" t="s">
        <v>899</v>
      </c>
      <c r="AJ746" s="92" t="s">
        <v>570</v>
      </c>
      <c r="AK746" s="92" t="s">
        <v>185</v>
      </c>
      <c r="AL746" s="92" t="s">
        <v>185</v>
      </c>
      <c r="AM746" s="92" t="s">
        <v>534</v>
      </c>
      <c r="AQ746" s="60" t="s">
        <v>186</v>
      </c>
      <c r="AR746" s="93" t="s">
        <v>186</v>
      </c>
      <c r="AS746" s="93" t="s">
        <v>186</v>
      </c>
      <c r="AT746" s="93" t="s">
        <v>187</v>
      </c>
      <c r="AU746" s="93" t="s">
        <v>187</v>
      </c>
      <c r="AV746" s="93" t="s">
        <v>186</v>
      </c>
      <c r="AW746" s="93" t="s">
        <v>186</v>
      </c>
      <c r="AX746" s="93" t="s">
        <v>187</v>
      </c>
      <c r="AY746" s="93" t="s">
        <v>186</v>
      </c>
      <c r="BC746" s="60">
        <v>895415069308</v>
      </c>
      <c r="BD746" s="93">
        <v>88216421138</v>
      </c>
      <c r="BE746" s="93">
        <v>85731071873</v>
      </c>
      <c r="BF746" s="93">
        <v>81371617847</v>
      </c>
      <c r="BG746" s="93">
        <v>82246329395</v>
      </c>
      <c r="BH746" s="93">
        <v>83186273473</v>
      </c>
      <c r="BI746" s="93">
        <v>88232644895</v>
      </c>
      <c r="BJ746" s="93">
        <v>81390445570</v>
      </c>
      <c r="BK746" s="93">
        <v>82134575762</v>
      </c>
      <c r="BO746" s="69">
        <v>60060538</v>
      </c>
      <c r="BP746" s="18" t="s">
        <v>9166</v>
      </c>
      <c r="BQ746" s="37">
        <v>45226</v>
      </c>
      <c r="BR746" s="8">
        <f t="shared" si="2"/>
        <v>9</v>
      </c>
    </row>
    <row r="747" spans="1:70" ht="14">
      <c r="A747" s="4" t="str">
        <v>Alternatif Periode ke-89 VI.A.1</v>
      </c>
      <c r="B747" s="4" t="s">
        <v>8527</v>
      </c>
      <c r="C747" s="4" t="s">
        <v>1582</v>
      </c>
      <c r="D747" s="4" t="s">
        <v>9167</v>
      </c>
      <c r="E747" s="4" t="s">
        <v>9168</v>
      </c>
      <c r="F747" s="4" t="s">
        <v>520</v>
      </c>
      <c r="G747" s="6" t="s">
        <v>9169</v>
      </c>
      <c r="H747" s="92" t="s">
        <v>9170</v>
      </c>
      <c r="I747" s="92" t="s">
        <v>9171</v>
      </c>
      <c r="J747" s="92" t="s">
        <v>9172</v>
      </c>
      <c r="K747" s="92" t="s">
        <v>9173</v>
      </c>
      <c r="L747" s="92" t="s">
        <v>9174</v>
      </c>
      <c r="M747" s="92" t="s">
        <v>9175</v>
      </c>
      <c r="N747" s="92" t="s">
        <v>9176</v>
      </c>
      <c r="O747" s="92" t="s">
        <v>9177</v>
      </c>
      <c r="S747" s="6">
        <v>1900024143</v>
      </c>
      <c r="T747" s="92">
        <v>2000001133</v>
      </c>
      <c r="U747" s="92">
        <v>2000005340</v>
      </c>
      <c r="V747" s="92">
        <v>2000011323</v>
      </c>
      <c r="W747" s="92">
        <v>2000012135</v>
      </c>
      <c r="X747" s="92">
        <v>2000026079</v>
      </c>
      <c r="Y747" s="92">
        <v>2000031259</v>
      </c>
      <c r="Z747" s="92">
        <v>2000034019</v>
      </c>
      <c r="AA747" s="92">
        <v>2011031146</v>
      </c>
      <c r="AE747" s="6" t="s">
        <v>924</v>
      </c>
      <c r="AF747" s="92" t="s">
        <v>180</v>
      </c>
      <c r="AG747" s="92" t="s">
        <v>181</v>
      </c>
      <c r="AH747" s="92" t="s">
        <v>182</v>
      </c>
      <c r="AI747" s="92" t="s">
        <v>885</v>
      </c>
      <c r="AJ747" s="92" t="s">
        <v>570</v>
      </c>
      <c r="AK747" s="92" t="s">
        <v>185</v>
      </c>
      <c r="AL747" s="92" t="s">
        <v>534</v>
      </c>
      <c r="AM747" s="92" t="s">
        <v>185</v>
      </c>
      <c r="AQ747" s="60" t="s">
        <v>187</v>
      </c>
      <c r="AR747" s="93" t="s">
        <v>186</v>
      </c>
      <c r="AS747" s="93" t="s">
        <v>186</v>
      </c>
      <c r="AT747" s="93" t="s">
        <v>187</v>
      </c>
      <c r="AU747" s="93" t="s">
        <v>186</v>
      </c>
      <c r="AV747" s="93" t="s">
        <v>186</v>
      </c>
      <c r="AW747" s="93" t="s">
        <v>186</v>
      </c>
      <c r="AX747" s="93" t="s">
        <v>186</v>
      </c>
      <c r="AY747" s="93" t="s">
        <v>187</v>
      </c>
      <c r="BC747" s="60">
        <v>82386818048</v>
      </c>
      <c r="BD747" s="93">
        <v>85708475125</v>
      </c>
      <c r="BE747" s="93">
        <v>87799949397</v>
      </c>
      <c r="BF747" s="93">
        <v>85779411548</v>
      </c>
      <c r="BG747" s="93">
        <v>82323390954</v>
      </c>
      <c r="BH747" s="93">
        <v>89523159779</v>
      </c>
      <c r="BI747" s="93">
        <v>85601417359</v>
      </c>
      <c r="BJ747" s="93">
        <v>85750231293</v>
      </c>
      <c r="BK747" s="93">
        <v>85156712659</v>
      </c>
      <c r="BO747" s="69">
        <v>60110646</v>
      </c>
      <c r="BP747" s="18" t="s">
        <v>9178</v>
      </c>
      <c r="BQ747" s="37">
        <v>45226</v>
      </c>
      <c r="BR747" s="8">
        <f t="shared" si="2"/>
        <v>9</v>
      </c>
    </row>
    <row r="748" spans="1:70" ht="14">
      <c r="A748" s="4" t="str">
        <v>Alternatif Periode ke-89 VI.A.2</v>
      </c>
      <c r="B748" s="4" t="s">
        <v>8527</v>
      </c>
      <c r="C748" s="4" t="s">
        <v>1604</v>
      </c>
      <c r="D748" s="4" t="s">
        <v>9167</v>
      </c>
      <c r="E748" s="4" t="s">
        <v>9179</v>
      </c>
      <c r="F748" s="4" t="s">
        <v>520</v>
      </c>
      <c r="G748" s="6" t="s">
        <v>9180</v>
      </c>
      <c r="H748" s="92" t="s">
        <v>9181</v>
      </c>
      <c r="I748" s="92" t="s">
        <v>9182</v>
      </c>
      <c r="J748" s="92" t="s">
        <v>9183</v>
      </c>
      <c r="K748" s="92" t="s">
        <v>9184</v>
      </c>
      <c r="L748" s="92" t="s">
        <v>9185</v>
      </c>
      <c r="M748" s="92" t="s">
        <v>9186</v>
      </c>
      <c r="N748" s="92" t="s">
        <v>9187</v>
      </c>
      <c r="O748" s="92" t="s">
        <v>9188</v>
      </c>
      <c r="S748" s="6">
        <v>1800024341</v>
      </c>
      <c r="T748" s="92">
        <v>2000001002</v>
      </c>
      <c r="U748" s="92">
        <v>2000005279</v>
      </c>
      <c r="V748" s="92">
        <v>2000011111</v>
      </c>
      <c r="W748" s="92">
        <v>2000012073</v>
      </c>
      <c r="X748" s="92">
        <v>2000026138</v>
      </c>
      <c r="Y748" s="92">
        <v>2000031061</v>
      </c>
      <c r="Z748" s="92">
        <v>2000031078</v>
      </c>
      <c r="AA748" s="92">
        <v>2000034017</v>
      </c>
      <c r="AE748" s="6" t="s">
        <v>924</v>
      </c>
      <c r="AF748" s="92" t="s">
        <v>180</v>
      </c>
      <c r="AG748" s="92" t="s">
        <v>181</v>
      </c>
      <c r="AH748" s="92" t="s">
        <v>182</v>
      </c>
      <c r="AI748" s="92" t="s">
        <v>885</v>
      </c>
      <c r="AJ748" s="92" t="s">
        <v>570</v>
      </c>
      <c r="AK748" s="92" t="s">
        <v>185</v>
      </c>
      <c r="AL748" s="92" t="s">
        <v>185</v>
      </c>
      <c r="AM748" s="92" t="s">
        <v>534</v>
      </c>
      <c r="AQ748" s="60" t="s">
        <v>187</v>
      </c>
      <c r="AR748" s="93" t="s">
        <v>186</v>
      </c>
      <c r="AS748" s="93" t="s">
        <v>186</v>
      </c>
      <c r="AT748" s="93" t="s">
        <v>187</v>
      </c>
      <c r="AU748" s="93" t="s">
        <v>186</v>
      </c>
      <c r="AV748" s="93" t="s">
        <v>186</v>
      </c>
      <c r="AW748" s="93" t="s">
        <v>186</v>
      </c>
      <c r="AX748" s="93" t="s">
        <v>187</v>
      </c>
      <c r="AY748" s="93" t="s">
        <v>186</v>
      </c>
      <c r="BC748" s="60">
        <v>85792492797</v>
      </c>
      <c r="BD748" s="93">
        <v>83140597049</v>
      </c>
      <c r="BE748" s="93">
        <v>82278737395</v>
      </c>
      <c r="BF748" s="93">
        <v>85156422615</v>
      </c>
      <c r="BG748" s="93">
        <v>82342336832</v>
      </c>
      <c r="BH748" s="93">
        <v>85325910090</v>
      </c>
      <c r="BI748" s="93">
        <v>81223330266</v>
      </c>
      <c r="BJ748" s="93">
        <v>85700874262</v>
      </c>
      <c r="BK748" s="93">
        <v>85879305315</v>
      </c>
      <c r="BO748" s="69">
        <v>60110646</v>
      </c>
      <c r="BP748" s="18" t="s">
        <v>9189</v>
      </c>
      <c r="BQ748" s="37">
        <v>45226</v>
      </c>
      <c r="BR748" s="8">
        <f t="shared" si="2"/>
        <v>9</v>
      </c>
    </row>
    <row r="749" spans="1:70" ht="14">
      <c r="A749" s="4" t="str">
        <v>Alternatif Periode ke-89 VI.A.3</v>
      </c>
      <c r="B749" s="4" t="s">
        <v>8527</v>
      </c>
      <c r="C749" s="4" t="s">
        <v>1625</v>
      </c>
      <c r="D749" s="4" t="s">
        <v>9167</v>
      </c>
      <c r="E749" s="4" t="s">
        <v>9190</v>
      </c>
      <c r="F749" s="4" t="s">
        <v>520</v>
      </c>
      <c r="G749" s="6" t="s">
        <v>9191</v>
      </c>
      <c r="H749" s="92" t="s">
        <v>9192</v>
      </c>
      <c r="I749" s="92" t="s">
        <v>9193</v>
      </c>
      <c r="J749" s="92" t="s">
        <v>9194</v>
      </c>
      <c r="K749" s="92" t="s">
        <v>9195</v>
      </c>
      <c r="L749" s="92" t="s">
        <v>9196</v>
      </c>
      <c r="M749" s="92" t="s">
        <v>9197</v>
      </c>
      <c r="N749" s="92" t="s">
        <v>9198</v>
      </c>
      <c r="O749" s="92" t="s">
        <v>9199</v>
      </c>
      <c r="S749" s="6">
        <v>2000001008</v>
      </c>
      <c r="T749" s="92">
        <v>2000005289</v>
      </c>
      <c r="U749" s="92">
        <v>2000011007</v>
      </c>
      <c r="V749" s="92">
        <v>2000012002</v>
      </c>
      <c r="W749" s="92">
        <v>2000024222</v>
      </c>
      <c r="X749" s="92">
        <v>2000026127</v>
      </c>
      <c r="Y749" s="92">
        <v>2000031115</v>
      </c>
      <c r="Z749" s="92">
        <v>2000031143</v>
      </c>
      <c r="AA749" s="92">
        <v>2000034047</v>
      </c>
      <c r="AE749" s="6" t="s">
        <v>180</v>
      </c>
      <c r="AF749" s="92" t="s">
        <v>181</v>
      </c>
      <c r="AG749" s="92" t="s">
        <v>182</v>
      </c>
      <c r="AH749" s="92" t="s">
        <v>885</v>
      </c>
      <c r="AI749" s="92" t="s">
        <v>924</v>
      </c>
      <c r="AJ749" s="92" t="s">
        <v>570</v>
      </c>
      <c r="AK749" s="92" t="s">
        <v>185</v>
      </c>
      <c r="AL749" s="92" t="s">
        <v>185</v>
      </c>
      <c r="AM749" s="92" t="s">
        <v>534</v>
      </c>
      <c r="AQ749" s="60" t="s">
        <v>186</v>
      </c>
      <c r="AR749" s="93" t="s">
        <v>186</v>
      </c>
      <c r="AS749" s="93" t="s">
        <v>187</v>
      </c>
      <c r="AT749" s="93" t="s">
        <v>186</v>
      </c>
      <c r="AU749" s="93" t="s">
        <v>187</v>
      </c>
      <c r="AV749" s="93" t="s">
        <v>186</v>
      </c>
      <c r="AW749" s="93" t="s">
        <v>187</v>
      </c>
      <c r="AX749" s="93" t="s">
        <v>186</v>
      </c>
      <c r="AY749" s="93" t="s">
        <v>186</v>
      </c>
      <c r="BC749" s="60">
        <v>83824750867</v>
      </c>
      <c r="BD749" s="93">
        <v>85643402501</v>
      </c>
      <c r="BE749" s="93">
        <v>82148754444</v>
      </c>
      <c r="BF749" s="93">
        <v>81227988107</v>
      </c>
      <c r="BG749" s="93">
        <v>81325096266</v>
      </c>
      <c r="BH749" s="93">
        <v>81364451042</v>
      </c>
      <c r="BI749" s="93">
        <v>85801576684</v>
      </c>
      <c r="BJ749" s="93">
        <v>89502126596</v>
      </c>
      <c r="BK749" s="93">
        <v>8156747060</v>
      </c>
      <c r="BO749" s="69">
        <v>60110646</v>
      </c>
      <c r="BP749" s="18" t="s">
        <v>9200</v>
      </c>
      <c r="BQ749" s="37">
        <v>45226</v>
      </c>
      <c r="BR749" s="8">
        <f t="shared" si="2"/>
        <v>9</v>
      </c>
    </row>
    <row r="750" spans="1:70" ht="14">
      <c r="A750" s="4" t="str">
        <v>Alternatif Periode ke-89 VI.B.1</v>
      </c>
      <c r="B750" s="4" t="s">
        <v>8527</v>
      </c>
      <c r="C750" s="4" t="s">
        <v>1646</v>
      </c>
      <c r="D750" s="4" t="s">
        <v>6152</v>
      </c>
      <c r="E750" s="4" t="s">
        <v>9201</v>
      </c>
      <c r="F750" s="4" t="s">
        <v>520</v>
      </c>
      <c r="G750" s="6" t="s">
        <v>9202</v>
      </c>
      <c r="H750" s="92" t="s">
        <v>9203</v>
      </c>
      <c r="I750" s="92" t="s">
        <v>9204</v>
      </c>
      <c r="J750" s="92" t="s">
        <v>9205</v>
      </c>
      <c r="K750" s="92" t="s">
        <v>9206</v>
      </c>
      <c r="L750" s="92" t="s">
        <v>9207</v>
      </c>
      <c r="M750" s="92" t="s">
        <v>9208</v>
      </c>
      <c r="N750" s="92" t="s">
        <v>9209</v>
      </c>
      <c r="O750" s="92" t="s">
        <v>9210</v>
      </c>
      <c r="S750" s="6">
        <v>1800011029</v>
      </c>
      <c r="T750" s="92">
        <v>1800024342</v>
      </c>
      <c r="U750" s="92">
        <v>1900012033</v>
      </c>
      <c r="V750" s="92">
        <v>2000001165</v>
      </c>
      <c r="W750" s="92">
        <v>2000005015</v>
      </c>
      <c r="X750" s="92">
        <v>2000026200</v>
      </c>
      <c r="Y750" s="92">
        <v>2000031017</v>
      </c>
      <c r="Z750" s="92">
        <v>2000031245</v>
      </c>
      <c r="AA750" s="92">
        <v>2000034021</v>
      </c>
      <c r="AE750" s="6" t="s">
        <v>182</v>
      </c>
      <c r="AF750" s="92" t="s">
        <v>924</v>
      </c>
      <c r="AG750" s="92" t="s">
        <v>885</v>
      </c>
      <c r="AH750" s="92" t="s">
        <v>180</v>
      </c>
      <c r="AI750" s="92" t="s">
        <v>181</v>
      </c>
      <c r="AJ750" s="92" t="s">
        <v>570</v>
      </c>
      <c r="AK750" s="92" t="s">
        <v>185</v>
      </c>
      <c r="AL750" s="92" t="s">
        <v>185</v>
      </c>
      <c r="AM750" s="92" t="s">
        <v>534</v>
      </c>
      <c r="AQ750" s="60" t="s">
        <v>187</v>
      </c>
      <c r="AR750" s="93" t="s">
        <v>187</v>
      </c>
      <c r="AS750" s="93" t="s">
        <v>186</v>
      </c>
      <c r="AT750" s="93" t="s">
        <v>186</v>
      </c>
      <c r="AU750" s="93" t="s">
        <v>186</v>
      </c>
      <c r="AV750" s="93" t="s">
        <v>186</v>
      </c>
      <c r="AW750" s="93" t="s">
        <v>187</v>
      </c>
      <c r="AX750" s="93" t="s">
        <v>186</v>
      </c>
      <c r="AY750" s="93" t="s">
        <v>186</v>
      </c>
      <c r="BC750" s="60">
        <v>82115918256</v>
      </c>
      <c r="BD750" s="93">
        <v>81386122900</v>
      </c>
      <c r="BE750" s="93">
        <v>82339693952</v>
      </c>
      <c r="BF750" s="93">
        <v>895320386886</v>
      </c>
      <c r="BG750" s="93">
        <v>8989843232</v>
      </c>
      <c r="BH750" s="93">
        <v>82331487845</v>
      </c>
      <c r="BI750" s="93">
        <v>89637190435</v>
      </c>
      <c r="BJ750" s="93">
        <v>82233219676</v>
      </c>
      <c r="BK750" s="93">
        <v>87824876060</v>
      </c>
      <c r="BO750" s="39">
        <v>60090574</v>
      </c>
      <c r="BP750" s="18" t="s">
        <v>9211</v>
      </c>
      <c r="BQ750" s="37">
        <v>45226</v>
      </c>
      <c r="BR750" s="8">
        <f t="shared" si="2"/>
        <v>9</v>
      </c>
    </row>
    <row r="751" spans="1:70" ht="14">
      <c r="A751" s="4" t="str">
        <v>Alternatif Periode ke-89 VI.B.2</v>
      </c>
      <c r="B751" s="4" t="s">
        <v>8527</v>
      </c>
      <c r="C751" s="4" t="s">
        <v>1668</v>
      </c>
      <c r="D751" s="4" t="s">
        <v>6152</v>
      </c>
      <c r="E751" s="4" t="s">
        <v>9212</v>
      </c>
      <c r="F751" s="4" t="s">
        <v>520</v>
      </c>
      <c r="G751" s="6" t="s">
        <v>9213</v>
      </c>
      <c r="H751" s="92" t="s">
        <v>9214</v>
      </c>
      <c r="I751" s="92" t="s">
        <v>9215</v>
      </c>
      <c r="J751" s="92" t="s">
        <v>9216</v>
      </c>
      <c r="K751" s="92" t="s">
        <v>9217</v>
      </c>
      <c r="L751" s="92" t="s">
        <v>9218</v>
      </c>
      <c r="M751" s="92" t="s">
        <v>9219</v>
      </c>
      <c r="N751" s="92" t="s">
        <v>9220</v>
      </c>
      <c r="O751" s="92" t="s">
        <v>9221</v>
      </c>
      <c r="S751" s="6">
        <v>2000001190</v>
      </c>
      <c r="T751" s="92">
        <v>2000005344</v>
      </c>
      <c r="U751" s="92">
        <v>2000011416</v>
      </c>
      <c r="V751" s="92">
        <v>2000012077</v>
      </c>
      <c r="W751" s="92">
        <v>2000024044</v>
      </c>
      <c r="X751" s="92">
        <v>2000026071</v>
      </c>
      <c r="Y751" s="92">
        <v>2000031082</v>
      </c>
      <c r="Z751" s="92">
        <v>2000031105</v>
      </c>
      <c r="AA751" s="92">
        <v>2000034056</v>
      </c>
      <c r="AE751" s="6" t="s">
        <v>180</v>
      </c>
      <c r="AF751" s="92" t="s">
        <v>181</v>
      </c>
      <c r="AG751" s="92" t="s">
        <v>182</v>
      </c>
      <c r="AH751" s="92" t="s">
        <v>885</v>
      </c>
      <c r="AI751" s="92" t="s">
        <v>924</v>
      </c>
      <c r="AJ751" s="92" t="s">
        <v>570</v>
      </c>
      <c r="AK751" s="92" t="s">
        <v>185</v>
      </c>
      <c r="AL751" s="92" t="s">
        <v>185</v>
      </c>
      <c r="AM751" s="92" t="s">
        <v>534</v>
      </c>
      <c r="AQ751" s="60" t="s">
        <v>186</v>
      </c>
      <c r="AR751" s="93" t="s">
        <v>186</v>
      </c>
      <c r="AS751" s="93" t="s">
        <v>187</v>
      </c>
      <c r="AT751" s="93" t="s">
        <v>186</v>
      </c>
      <c r="AU751" s="93" t="s">
        <v>187</v>
      </c>
      <c r="AV751" s="93" t="s">
        <v>186</v>
      </c>
      <c r="AW751" s="93" t="s">
        <v>187</v>
      </c>
      <c r="AX751" s="93" t="s">
        <v>186</v>
      </c>
      <c r="AY751" s="93" t="s">
        <v>186</v>
      </c>
      <c r="BC751" s="60">
        <v>85708953833</v>
      </c>
      <c r="BD751" s="93">
        <v>85745051657</v>
      </c>
      <c r="BE751" s="93">
        <v>81377628232</v>
      </c>
      <c r="BF751" s="93">
        <v>895606470513</v>
      </c>
      <c r="BG751" s="93">
        <v>81339670028</v>
      </c>
      <c r="BH751" s="93">
        <v>81322287072</v>
      </c>
      <c r="BI751" s="93">
        <v>88221405283</v>
      </c>
      <c r="BJ751" s="93">
        <v>87741245695</v>
      </c>
      <c r="BK751" s="93">
        <v>81379211514</v>
      </c>
      <c r="BO751" s="39">
        <v>60090574</v>
      </c>
      <c r="BP751" s="18" t="s">
        <v>9222</v>
      </c>
      <c r="BQ751" s="37">
        <v>45226</v>
      </c>
      <c r="BR751" s="8">
        <f t="shared" si="2"/>
        <v>9</v>
      </c>
    </row>
    <row r="752" spans="1:70" ht="14">
      <c r="A752" s="4" t="str">
        <v>Alternatif Periode ke-89 VI.B.3</v>
      </c>
      <c r="B752" s="4" t="s">
        <v>8527</v>
      </c>
      <c r="C752" s="4" t="s">
        <v>1689</v>
      </c>
      <c r="D752" s="4" t="s">
        <v>6152</v>
      </c>
      <c r="E752" s="4" t="s">
        <v>9223</v>
      </c>
      <c r="F752" s="4" t="s">
        <v>520</v>
      </c>
      <c r="G752" s="6" t="s">
        <v>9224</v>
      </c>
      <c r="H752" s="92" t="s">
        <v>9225</v>
      </c>
      <c r="I752" s="92" t="s">
        <v>9226</v>
      </c>
      <c r="J752" s="92" t="s">
        <v>9227</v>
      </c>
      <c r="K752" s="92" t="s">
        <v>9228</v>
      </c>
      <c r="L752" s="92" t="s">
        <v>9229</v>
      </c>
      <c r="M752" s="92" t="s">
        <v>9230</v>
      </c>
      <c r="N752" s="92" t="s">
        <v>9231</v>
      </c>
      <c r="O752" s="92" t="s">
        <v>9232</v>
      </c>
      <c r="S752" s="6">
        <v>1800012198</v>
      </c>
      <c r="T752" s="92">
        <v>1800034040</v>
      </c>
      <c r="U752" s="92">
        <v>1900011159</v>
      </c>
      <c r="V752" s="92">
        <v>1900026101</v>
      </c>
      <c r="W752" s="92">
        <v>2000001045</v>
      </c>
      <c r="X752" s="92">
        <v>2000005177</v>
      </c>
      <c r="Y752" s="92">
        <v>2000024329</v>
      </c>
      <c r="Z752" s="92">
        <v>2000031007</v>
      </c>
      <c r="AA752" s="92">
        <v>2000031083</v>
      </c>
      <c r="AE752" s="6" t="s">
        <v>885</v>
      </c>
      <c r="AF752" s="92" t="s">
        <v>534</v>
      </c>
      <c r="AG752" s="92" t="s">
        <v>182</v>
      </c>
      <c r="AH752" s="92" t="s">
        <v>570</v>
      </c>
      <c r="AI752" s="92" t="s">
        <v>180</v>
      </c>
      <c r="AJ752" s="92" t="s">
        <v>181</v>
      </c>
      <c r="AK752" s="92" t="s">
        <v>924</v>
      </c>
      <c r="AL752" s="92" t="s">
        <v>185</v>
      </c>
      <c r="AM752" s="92" t="s">
        <v>185</v>
      </c>
      <c r="AQ752" s="60" t="s">
        <v>186</v>
      </c>
      <c r="AR752" s="93" t="s">
        <v>186</v>
      </c>
      <c r="AS752" s="93" t="s">
        <v>187</v>
      </c>
      <c r="AT752" s="93" t="s">
        <v>186</v>
      </c>
      <c r="AU752" s="93" t="s">
        <v>186</v>
      </c>
      <c r="AV752" s="93" t="s">
        <v>186</v>
      </c>
      <c r="AW752" s="93" t="s">
        <v>187</v>
      </c>
      <c r="AX752" s="93" t="s">
        <v>187</v>
      </c>
      <c r="AY752" s="93" t="s">
        <v>186</v>
      </c>
      <c r="BC752" s="60">
        <v>82322228930</v>
      </c>
      <c r="BD752" s="93">
        <v>81227069661</v>
      </c>
      <c r="BE752" s="93">
        <v>8156458540</v>
      </c>
      <c r="BF752" s="93">
        <v>6282316529745</v>
      </c>
      <c r="BG752" s="93">
        <v>81296619550</v>
      </c>
      <c r="BH752" s="93">
        <v>85801433711</v>
      </c>
      <c r="BI752" s="93">
        <v>82133593573</v>
      </c>
      <c r="BJ752" s="93">
        <v>85704905128</v>
      </c>
      <c r="BK752" s="93">
        <v>85769332168</v>
      </c>
      <c r="BO752" s="39">
        <v>60090574</v>
      </c>
      <c r="BP752" s="18" t="s">
        <v>9233</v>
      </c>
      <c r="BQ752" s="37">
        <v>45226</v>
      </c>
      <c r="BR752" s="8">
        <f t="shared" si="2"/>
        <v>9</v>
      </c>
    </row>
    <row r="753" spans="1:70" ht="14">
      <c r="A753" s="4" t="str">
        <v>Alternatif Periode ke-89 VI.C.1</v>
      </c>
      <c r="B753" s="4" t="s">
        <v>8527</v>
      </c>
      <c r="C753" s="4" t="s">
        <v>1709</v>
      </c>
      <c r="D753" s="4" t="s">
        <v>9234</v>
      </c>
      <c r="E753" s="4" t="s">
        <v>9235</v>
      </c>
      <c r="F753" s="4" t="s">
        <v>520</v>
      </c>
      <c r="G753" s="6" t="s">
        <v>9236</v>
      </c>
      <c r="H753" s="92" t="s">
        <v>9237</v>
      </c>
      <c r="I753" s="92" t="s">
        <v>9238</v>
      </c>
      <c r="J753" s="92" t="s">
        <v>9239</v>
      </c>
      <c r="K753" s="92" t="s">
        <v>9240</v>
      </c>
      <c r="L753" s="92" t="s">
        <v>9241</v>
      </c>
      <c r="M753" s="92" t="s">
        <v>9242</v>
      </c>
      <c r="N753" s="92" t="s">
        <v>9243</v>
      </c>
      <c r="O753" s="92" t="s">
        <v>9244</v>
      </c>
      <c r="S753" s="6">
        <v>1800026059</v>
      </c>
      <c r="T753" s="92">
        <v>1900011106</v>
      </c>
      <c r="U753" s="92">
        <v>1900024169</v>
      </c>
      <c r="V753" s="92">
        <v>2000001137</v>
      </c>
      <c r="W753" s="92">
        <v>2000006060</v>
      </c>
      <c r="X753" s="92">
        <v>2000013228</v>
      </c>
      <c r="Y753" s="92">
        <v>2000031154</v>
      </c>
      <c r="Z753" s="92">
        <v>2000034015</v>
      </c>
      <c r="AA753" s="92">
        <v>2011031151</v>
      </c>
      <c r="AE753" s="6" t="s">
        <v>570</v>
      </c>
      <c r="AF753" s="92" t="s">
        <v>182</v>
      </c>
      <c r="AG753" s="92" t="s">
        <v>924</v>
      </c>
      <c r="AH753" s="92" t="s">
        <v>180</v>
      </c>
      <c r="AI753" s="92" t="s">
        <v>745</v>
      </c>
      <c r="AJ753" s="92" t="s">
        <v>677</v>
      </c>
      <c r="AK753" s="92" t="s">
        <v>185</v>
      </c>
      <c r="AL753" s="92" t="s">
        <v>534</v>
      </c>
      <c r="AM753" s="92" t="s">
        <v>185</v>
      </c>
      <c r="AQ753" s="60" t="s">
        <v>186</v>
      </c>
      <c r="AR753" s="93" t="s">
        <v>187</v>
      </c>
      <c r="AS753" s="93" t="s">
        <v>187</v>
      </c>
      <c r="AT753" s="93" t="s">
        <v>186</v>
      </c>
      <c r="AU753" s="93" t="s">
        <v>186</v>
      </c>
      <c r="AV753" s="93" t="s">
        <v>186</v>
      </c>
      <c r="AW753" s="93" t="s">
        <v>187</v>
      </c>
      <c r="AX753" s="93" t="s">
        <v>186</v>
      </c>
      <c r="AY753" s="93" t="s">
        <v>186</v>
      </c>
      <c r="BC753" s="60">
        <v>82225745576</v>
      </c>
      <c r="BD753" s="93">
        <v>81280315394</v>
      </c>
      <c r="BE753" s="93">
        <v>81328238527</v>
      </c>
      <c r="BF753" s="93">
        <v>8884042831</v>
      </c>
      <c r="BG753" s="93">
        <v>81228074070</v>
      </c>
      <c r="BH753" s="93">
        <v>89512926151</v>
      </c>
      <c r="BI753" s="93">
        <v>89649255642</v>
      </c>
      <c r="BJ753" s="93">
        <v>87719097010</v>
      </c>
      <c r="BK753" s="93">
        <v>88237197031</v>
      </c>
      <c r="BO753" s="69">
        <v>60191210</v>
      </c>
      <c r="BP753" s="18" t="s">
        <v>9245</v>
      </c>
      <c r="BQ753" s="37">
        <v>45226</v>
      </c>
      <c r="BR753" s="8">
        <f t="shared" si="2"/>
        <v>9</v>
      </c>
    </row>
    <row r="754" spans="1:70" ht="14">
      <c r="A754" s="4" t="str">
        <v>Alternatif Periode ke-89 VI.C.2</v>
      </c>
      <c r="B754" s="4" t="s">
        <v>8527</v>
      </c>
      <c r="C754" s="4" t="s">
        <v>1731</v>
      </c>
      <c r="D754" s="4" t="s">
        <v>9234</v>
      </c>
      <c r="E754" s="4" t="s">
        <v>9246</v>
      </c>
      <c r="F754" s="4" t="s">
        <v>520</v>
      </c>
      <c r="G754" s="6" t="s">
        <v>4745</v>
      </c>
      <c r="H754" s="92" t="s">
        <v>9247</v>
      </c>
      <c r="I754" s="92" t="s">
        <v>9248</v>
      </c>
      <c r="J754" s="92" t="s">
        <v>9249</v>
      </c>
      <c r="K754" s="92" t="s">
        <v>6723</v>
      </c>
      <c r="L754" s="92" t="s">
        <v>9250</v>
      </c>
      <c r="M754" s="92" t="s">
        <v>9251</v>
      </c>
      <c r="N754" s="92" t="s">
        <v>9252</v>
      </c>
      <c r="O754" s="92" t="s">
        <v>9253</v>
      </c>
      <c r="S754" s="6">
        <v>1900013157</v>
      </c>
      <c r="T754" s="92">
        <v>1900024113</v>
      </c>
      <c r="U754" s="92">
        <v>1900031010</v>
      </c>
      <c r="V754" s="92">
        <v>2000001011</v>
      </c>
      <c r="W754" s="92">
        <v>2000006019</v>
      </c>
      <c r="X754" s="92">
        <v>2000011190</v>
      </c>
      <c r="Y754" s="92">
        <v>2000026128</v>
      </c>
      <c r="Z754" s="92">
        <v>2000031043</v>
      </c>
      <c r="AA754" s="92">
        <v>2000034039</v>
      </c>
      <c r="AE754" s="6" t="s">
        <v>677</v>
      </c>
      <c r="AF754" s="92" t="s">
        <v>924</v>
      </c>
      <c r="AG754" s="92" t="s">
        <v>185</v>
      </c>
      <c r="AH754" s="92" t="s">
        <v>180</v>
      </c>
      <c r="AI754" s="92" t="s">
        <v>745</v>
      </c>
      <c r="AJ754" s="92" t="s">
        <v>182</v>
      </c>
      <c r="AK754" s="92" t="s">
        <v>570</v>
      </c>
      <c r="AL754" s="92" t="s">
        <v>185</v>
      </c>
      <c r="AM754" s="92" t="s">
        <v>534</v>
      </c>
      <c r="AQ754" s="60" t="s">
        <v>186</v>
      </c>
      <c r="AR754" s="93" t="s">
        <v>187</v>
      </c>
      <c r="AS754" s="93" t="s">
        <v>186</v>
      </c>
      <c r="AT754" s="93" t="s">
        <v>186</v>
      </c>
      <c r="AU754" s="93" t="s">
        <v>186</v>
      </c>
      <c r="AV754" s="93" t="s">
        <v>187</v>
      </c>
      <c r="AW754" s="93" t="s">
        <v>186</v>
      </c>
      <c r="AX754" s="93" t="s">
        <v>187</v>
      </c>
      <c r="AY754" s="93" t="s">
        <v>186</v>
      </c>
      <c r="BC754" s="60">
        <v>82328537077</v>
      </c>
      <c r="BD754" s="93">
        <v>82257458408</v>
      </c>
      <c r="BE754" s="93">
        <v>83149805809</v>
      </c>
      <c r="BF754" s="93">
        <v>81229197627</v>
      </c>
      <c r="BG754" s="93" t="s">
        <v>9254</v>
      </c>
      <c r="BH754" s="93">
        <v>87865501926</v>
      </c>
      <c r="BI754" s="93">
        <v>85337230891</v>
      </c>
      <c r="BJ754" s="93">
        <v>81393818040</v>
      </c>
      <c r="BK754" s="93">
        <v>81226515620</v>
      </c>
      <c r="BO754" s="69">
        <v>60191210</v>
      </c>
      <c r="BP754" s="18" t="s">
        <v>9255</v>
      </c>
      <c r="BQ754" s="37">
        <v>45226</v>
      </c>
      <c r="BR754" s="8">
        <f t="shared" si="2"/>
        <v>9</v>
      </c>
    </row>
    <row r="755" spans="1:70" ht="14">
      <c r="A755" s="4" t="str">
        <v>Alternatif Periode ke-89 VI.C.3</v>
      </c>
      <c r="B755" s="4" t="s">
        <v>8527</v>
      </c>
      <c r="C755" s="4" t="s">
        <v>1752</v>
      </c>
      <c r="D755" s="4" t="s">
        <v>9234</v>
      </c>
      <c r="E755" s="4" t="s">
        <v>9256</v>
      </c>
      <c r="F755" s="4" t="s">
        <v>520</v>
      </c>
      <c r="G755" s="6" t="s">
        <v>9257</v>
      </c>
      <c r="H755" s="92" t="s">
        <v>9258</v>
      </c>
      <c r="I755" s="92" t="s">
        <v>9259</v>
      </c>
      <c r="J755" s="92" t="s">
        <v>9260</v>
      </c>
      <c r="K755" s="92" t="s">
        <v>9261</v>
      </c>
      <c r="L755" s="92" t="s">
        <v>9262</v>
      </c>
      <c r="M755" s="92" t="s">
        <v>9263</v>
      </c>
      <c r="N755" s="92" t="s">
        <v>9264</v>
      </c>
      <c r="O755" s="92" t="s">
        <v>9265</v>
      </c>
      <c r="S755" s="6">
        <v>1700011253</v>
      </c>
      <c r="T755" s="92">
        <v>1800026219</v>
      </c>
      <c r="U755" s="92">
        <v>1900024039</v>
      </c>
      <c r="V755" s="92">
        <v>2000001093</v>
      </c>
      <c r="W755" s="92">
        <v>2000006047</v>
      </c>
      <c r="X755" s="92">
        <v>2000013099</v>
      </c>
      <c r="Y755" s="92">
        <v>2000031018</v>
      </c>
      <c r="Z755" s="92">
        <v>2000031037</v>
      </c>
      <c r="AA755" s="92">
        <v>2000034020</v>
      </c>
      <c r="AE755" s="6" t="s">
        <v>182</v>
      </c>
      <c r="AF755" s="92" t="s">
        <v>570</v>
      </c>
      <c r="AG755" s="92" t="s">
        <v>924</v>
      </c>
      <c r="AH755" s="92" t="s">
        <v>180</v>
      </c>
      <c r="AI755" s="92" t="s">
        <v>745</v>
      </c>
      <c r="AJ755" s="92" t="s">
        <v>677</v>
      </c>
      <c r="AK755" s="92" t="s">
        <v>185</v>
      </c>
      <c r="AL755" s="92" t="s">
        <v>185</v>
      </c>
      <c r="AM755" s="92" t="s">
        <v>534</v>
      </c>
      <c r="AQ755" s="60" t="s">
        <v>187</v>
      </c>
      <c r="AR755" s="93" t="s">
        <v>186</v>
      </c>
      <c r="AS755" s="93" t="s">
        <v>187</v>
      </c>
      <c r="AT755" s="93" t="s">
        <v>186</v>
      </c>
      <c r="AU755" s="93" t="s">
        <v>186</v>
      </c>
      <c r="AV755" s="93" t="s">
        <v>186</v>
      </c>
      <c r="AW755" s="93" t="s">
        <v>186</v>
      </c>
      <c r="AX755" s="93" t="s">
        <v>187</v>
      </c>
      <c r="AY755" s="93" t="s">
        <v>186</v>
      </c>
      <c r="BC755" s="60">
        <v>6282269237214</v>
      </c>
      <c r="BD755" s="93">
        <v>88227732714</v>
      </c>
      <c r="BE755" s="93">
        <v>82282904868</v>
      </c>
      <c r="BF755" s="93">
        <v>83177762884</v>
      </c>
      <c r="BG755" s="93">
        <v>85775098009</v>
      </c>
      <c r="BH755" s="93">
        <v>82210006175</v>
      </c>
      <c r="BI755" s="93">
        <v>895391725476</v>
      </c>
      <c r="BJ755" s="93">
        <v>89601265610</v>
      </c>
      <c r="BK755" s="93">
        <v>85749553977</v>
      </c>
      <c r="BO755" s="69">
        <v>60191210</v>
      </c>
      <c r="BP755" s="18" t="s">
        <v>9266</v>
      </c>
      <c r="BQ755" s="37">
        <v>45226</v>
      </c>
      <c r="BR755" s="8">
        <f t="shared" si="2"/>
        <v>9</v>
      </c>
    </row>
    <row r="756" spans="1:70" ht="14">
      <c r="A756" s="4" t="str">
        <v>Alternatif Periode ke-89 VI.D.1</v>
      </c>
      <c r="B756" s="4" t="s">
        <v>8527</v>
      </c>
      <c r="C756" s="4" t="s">
        <v>1774</v>
      </c>
      <c r="D756" s="4" t="s">
        <v>9267</v>
      </c>
      <c r="E756" s="4" t="s">
        <v>9268</v>
      </c>
      <c r="F756" s="4" t="s">
        <v>520</v>
      </c>
      <c r="G756" s="6" t="s">
        <v>9269</v>
      </c>
      <c r="H756" s="92" t="s">
        <v>9270</v>
      </c>
      <c r="I756" s="92" t="s">
        <v>9271</v>
      </c>
      <c r="J756" s="92" t="s">
        <v>9272</v>
      </c>
      <c r="K756" s="92" t="s">
        <v>9273</v>
      </c>
      <c r="L756" s="92" t="s">
        <v>9274</v>
      </c>
      <c r="M756" s="92" t="s">
        <v>9275</v>
      </c>
      <c r="N756" s="92" t="s">
        <v>9276</v>
      </c>
      <c r="O756" s="92" t="s">
        <v>9277</v>
      </c>
      <c r="S756" s="6">
        <v>2000006051</v>
      </c>
      <c r="T756" s="92">
        <v>2000011331</v>
      </c>
      <c r="U756" s="92">
        <v>2000013098</v>
      </c>
      <c r="V756" s="92">
        <v>2000024249</v>
      </c>
      <c r="W756" s="92">
        <v>2000028128</v>
      </c>
      <c r="X756" s="92">
        <v>2000031140</v>
      </c>
      <c r="Y756" s="92">
        <v>2000031156</v>
      </c>
      <c r="Z756" s="92">
        <v>2000034035</v>
      </c>
      <c r="AA756" s="92">
        <v>2015001077</v>
      </c>
      <c r="AE756" s="6" t="s">
        <v>745</v>
      </c>
      <c r="AF756" s="92" t="s">
        <v>182</v>
      </c>
      <c r="AG756" s="92" t="s">
        <v>677</v>
      </c>
      <c r="AH756" s="92" t="s">
        <v>924</v>
      </c>
      <c r="AI756" s="92" t="s">
        <v>678</v>
      </c>
      <c r="AJ756" s="92" t="s">
        <v>185</v>
      </c>
      <c r="AK756" s="92" t="s">
        <v>185</v>
      </c>
      <c r="AL756" s="92" t="s">
        <v>534</v>
      </c>
      <c r="AM756" s="92" t="s">
        <v>180</v>
      </c>
      <c r="AQ756" s="60" t="s">
        <v>186</v>
      </c>
      <c r="AR756" s="93" t="s">
        <v>187</v>
      </c>
      <c r="AS756" s="93" t="s">
        <v>186</v>
      </c>
      <c r="AT756" s="93" t="s">
        <v>187</v>
      </c>
      <c r="AU756" s="93" t="s">
        <v>186</v>
      </c>
      <c r="AV756" s="93" t="s">
        <v>187</v>
      </c>
      <c r="AW756" s="93" t="s">
        <v>186</v>
      </c>
      <c r="AX756" s="93" t="s">
        <v>186</v>
      </c>
      <c r="AY756" s="93" t="s">
        <v>186</v>
      </c>
      <c r="BC756" s="60">
        <v>81337325294</v>
      </c>
      <c r="BD756" s="93">
        <v>81228365993</v>
      </c>
      <c r="BE756" s="93">
        <v>82135642015</v>
      </c>
      <c r="BF756" s="93">
        <v>895603303347</v>
      </c>
      <c r="BG756" s="93">
        <v>82240344959</v>
      </c>
      <c r="BH756" s="93">
        <v>82327109470</v>
      </c>
      <c r="BI756" s="93">
        <v>89639583899</v>
      </c>
      <c r="BJ756" s="93">
        <v>83845093851</v>
      </c>
      <c r="BK756" s="93">
        <v>895380062564</v>
      </c>
      <c r="BO756" s="69">
        <v>60040503</v>
      </c>
      <c r="BP756" s="18" t="s">
        <v>9278</v>
      </c>
      <c r="BQ756" s="37">
        <v>45226</v>
      </c>
      <c r="BR756" s="8">
        <f t="shared" si="2"/>
        <v>9</v>
      </c>
    </row>
    <row r="757" spans="1:70" ht="14">
      <c r="A757" s="4" t="str">
        <v>Alternatif Periode ke-89 VI.D.2</v>
      </c>
      <c r="B757" s="4" t="s">
        <v>8527</v>
      </c>
      <c r="C757" s="4" t="s">
        <v>1796</v>
      </c>
      <c r="D757" s="4" t="s">
        <v>9267</v>
      </c>
      <c r="E757" s="4" t="s">
        <v>9279</v>
      </c>
      <c r="F757" s="4" t="s">
        <v>520</v>
      </c>
      <c r="G757" s="6" t="s">
        <v>9280</v>
      </c>
      <c r="H757" s="92" t="s">
        <v>9281</v>
      </c>
      <c r="I757" s="92" t="s">
        <v>9282</v>
      </c>
      <c r="J757" s="92" t="s">
        <v>9283</v>
      </c>
      <c r="K757" s="92" t="s">
        <v>9284</v>
      </c>
      <c r="L757" s="92" t="s">
        <v>9285</v>
      </c>
      <c r="M757" s="92" t="s">
        <v>9286</v>
      </c>
      <c r="N757" s="92" t="s">
        <v>9287</v>
      </c>
      <c r="O757" s="92" t="s">
        <v>9288</v>
      </c>
      <c r="S757" s="6">
        <v>1700024086</v>
      </c>
      <c r="T757" s="92">
        <v>2000001117</v>
      </c>
      <c r="U757" s="92">
        <v>2000006062</v>
      </c>
      <c r="V757" s="92">
        <v>2000011339</v>
      </c>
      <c r="W757" s="92">
        <v>2000013365</v>
      </c>
      <c r="X757" s="92">
        <v>2000028111</v>
      </c>
      <c r="Y757" s="92">
        <v>2000031067</v>
      </c>
      <c r="Z757" s="92">
        <v>2000031280</v>
      </c>
      <c r="AA757" s="92">
        <v>2000034043</v>
      </c>
      <c r="AE757" s="6" t="s">
        <v>924</v>
      </c>
      <c r="AF757" s="92" t="s">
        <v>180</v>
      </c>
      <c r="AG757" s="92" t="s">
        <v>745</v>
      </c>
      <c r="AH757" s="92" t="s">
        <v>182</v>
      </c>
      <c r="AI757" s="92" t="s">
        <v>677</v>
      </c>
      <c r="AJ757" s="92" t="s">
        <v>678</v>
      </c>
      <c r="AK757" s="92" t="s">
        <v>185</v>
      </c>
      <c r="AL757" s="92" t="s">
        <v>185</v>
      </c>
      <c r="AM757" s="92" t="s">
        <v>534</v>
      </c>
      <c r="AQ757" s="60" t="s">
        <v>187</v>
      </c>
      <c r="AR757" s="93" t="s">
        <v>186</v>
      </c>
      <c r="AS757" s="93" t="s">
        <v>186</v>
      </c>
      <c r="AT757" s="93" t="s">
        <v>187</v>
      </c>
      <c r="AU757" s="93" t="s">
        <v>186</v>
      </c>
      <c r="AV757" s="93" t="s">
        <v>186</v>
      </c>
      <c r="AW757" s="93" t="s">
        <v>186</v>
      </c>
      <c r="AX757" s="93" t="s">
        <v>187</v>
      </c>
      <c r="AY757" s="93" t="s">
        <v>186</v>
      </c>
      <c r="BC757" s="60">
        <v>81280903295</v>
      </c>
      <c r="BD757" s="93">
        <v>89650946878</v>
      </c>
      <c r="BE757" s="93">
        <v>82325166463</v>
      </c>
      <c r="BF757" s="93">
        <v>85647243955</v>
      </c>
      <c r="BG757" s="93">
        <v>81215742785</v>
      </c>
      <c r="BH757" s="93">
        <v>82241312708</v>
      </c>
      <c r="BI757" s="93">
        <v>85368696028</v>
      </c>
      <c r="BJ757" s="93">
        <v>89503345171</v>
      </c>
      <c r="BK757" s="93">
        <v>81804055917</v>
      </c>
      <c r="BO757" s="69">
        <v>60040503</v>
      </c>
      <c r="BP757" s="18" t="s">
        <v>9289</v>
      </c>
      <c r="BQ757" s="37">
        <v>45226</v>
      </c>
      <c r="BR757" s="8">
        <f t="shared" si="2"/>
        <v>9</v>
      </c>
    </row>
    <row r="758" spans="1:70" ht="14">
      <c r="A758" s="4" t="str">
        <v>Alternatif Periode ke-89 VI.D.3</v>
      </c>
      <c r="B758" s="4" t="s">
        <v>8527</v>
      </c>
      <c r="C758" s="4" t="s">
        <v>2883</v>
      </c>
      <c r="D758" s="4" t="s">
        <v>9267</v>
      </c>
      <c r="E758" s="4" t="s">
        <v>9290</v>
      </c>
      <c r="F758" s="4" t="s">
        <v>520</v>
      </c>
      <c r="G758" s="6" t="s">
        <v>9291</v>
      </c>
      <c r="H758" s="92" t="s">
        <v>9292</v>
      </c>
      <c r="I758" s="92" t="s">
        <v>9293</v>
      </c>
      <c r="J758" s="92" t="s">
        <v>9294</v>
      </c>
      <c r="K758" s="92" t="s">
        <v>9295</v>
      </c>
      <c r="L758" s="92" t="s">
        <v>9296</v>
      </c>
      <c r="M758" s="92" t="s">
        <v>9297</v>
      </c>
      <c r="N758" s="92" t="s">
        <v>9298</v>
      </c>
      <c r="O758" s="92" t="s">
        <v>9299</v>
      </c>
      <c r="S758" s="6">
        <v>2000001018</v>
      </c>
      <c r="T758" s="92">
        <v>2000006053</v>
      </c>
      <c r="U758" s="92">
        <v>2000011065</v>
      </c>
      <c r="V758" s="92">
        <v>2000013347</v>
      </c>
      <c r="W758" s="92">
        <v>2000024139</v>
      </c>
      <c r="X758" s="92">
        <v>2000029059</v>
      </c>
      <c r="Y758" s="92">
        <v>2000031137</v>
      </c>
      <c r="Z758" s="92">
        <v>2000031206</v>
      </c>
      <c r="AA758" s="92">
        <v>2000034044</v>
      </c>
      <c r="AE758" s="6" t="s">
        <v>180</v>
      </c>
      <c r="AF758" s="92" t="s">
        <v>745</v>
      </c>
      <c r="AG758" s="92" t="s">
        <v>182</v>
      </c>
      <c r="AH758" s="92" t="s">
        <v>677</v>
      </c>
      <c r="AI758" s="92" t="s">
        <v>924</v>
      </c>
      <c r="AJ758" s="92" t="s">
        <v>533</v>
      </c>
      <c r="AK758" s="92" t="s">
        <v>185</v>
      </c>
      <c r="AL758" s="92" t="s">
        <v>185</v>
      </c>
      <c r="AM758" s="92" t="s">
        <v>534</v>
      </c>
      <c r="AQ758" s="60" t="s">
        <v>186</v>
      </c>
      <c r="AR758" s="93" t="s">
        <v>186</v>
      </c>
      <c r="AS758" s="93" t="s">
        <v>187</v>
      </c>
      <c r="AT758" s="93" t="s">
        <v>186</v>
      </c>
      <c r="AU758" s="93" t="s">
        <v>187</v>
      </c>
      <c r="AV758" s="93" t="s">
        <v>186</v>
      </c>
      <c r="AW758" s="93" t="s">
        <v>187</v>
      </c>
      <c r="AX758" s="93" t="s">
        <v>186</v>
      </c>
      <c r="AY758" s="93" t="s">
        <v>186</v>
      </c>
      <c r="BC758" s="60">
        <v>81225577442</v>
      </c>
      <c r="BD758" s="93">
        <v>85704893475</v>
      </c>
      <c r="BE758" s="93">
        <v>85889238982</v>
      </c>
      <c r="BF758" s="93">
        <v>82250781875</v>
      </c>
      <c r="BG758" s="93">
        <v>85292035138</v>
      </c>
      <c r="BH758" s="93">
        <v>85267996205</v>
      </c>
      <c r="BI758" s="93">
        <v>85339108377</v>
      </c>
      <c r="BJ758" s="93">
        <v>82138419719</v>
      </c>
      <c r="BK758" s="93">
        <v>81394490046</v>
      </c>
      <c r="BO758" s="69">
        <v>60040503</v>
      </c>
      <c r="BP758" s="18" t="s">
        <v>9300</v>
      </c>
      <c r="BQ758" s="37">
        <v>45226</v>
      </c>
      <c r="BR758" s="8">
        <f t="shared" si="2"/>
        <v>9</v>
      </c>
    </row>
    <row r="759" spans="1:70" ht="14">
      <c r="A759" s="4" t="str">
        <v>Alternatif Periode ke-89 VII.A.1</v>
      </c>
      <c r="B759" s="4" t="s">
        <v>8527</v>
      </c>
      <c r="C759" s="4" t="s">
        <v>1817</v>
      </c>
      <c r="D759" s="4" t="s">
        <v>5734</v>
      </c>
      <c r="E759" s="4" t="s">
        <v>9301</v>
      </c>
      <c r="F759" s="4" t="s">
        <v>520</v>
      </c>
      <c r="G759" s="6" t="s">
        <v>9302</v>
      </c>
      <c r="H759" s="92" t="s">
        <v>9303</v>
      </c>
      <c r="I759" s="92" t="s">
        <v>9304</v>
      </c>
      <c r="J759" s="92" t="s">
        <v>9305</v>
      </c>
      <c r="K759" s="92" t="s">
        <v>9306</v>
      </c>
      <c r="L759" s="92" t="s">
        <v>9307</v>
      </c>
      <c r="M759" s="92" t="s">
        <v>9308</v>
      </c>
      <c r="N759" s="92" t="s">
        <v>9309</v>
      </c>
      <c r="O759" s="92" t="s">
        <v>9310</v>
      </c>
      <c r="S759" s="6">
        <v>1900024274</v>
      </c>
      <c r="T759" s="92">
        <v>2000001017</v>
      </c>
      <c r="U759" s="92">
        <v>2000006055</v>
      </c>
      <c r="V759" s="92">
        <v>2000011274</v>
      </c>
      <c r="W759" s="92">
        <v>2000013211</v>
      </c>
      <c r="X759" s="92">
        <v>2000029015</v>
      </c>
      <c r="Y759" s="92">
        <v>2000031101</v>
      </c>
      <c r="Z759" s="92">
        <v>2000031173</v>
      </c>
      <c r="AA759" s="92">
        <v>2000034029</v>
      </c>
      <c r="AE759" s="6" t="s">
        <v>924</v>
      </c>
      <c r="AF759" s="92" t="s">
        <v>180</v>
      </c>
      <c r="AG759" s="92" t="s">
        <v>745</v>
      </c>
      <c r="AH759" s="92" t="s">
        <v>182</v>
      </c>
      <c r="AI759" s="92" t="s">
        <v>677</v>
      </c>
      <c r="AJ759" s="92" t="s">
        <v>533</v>
      </c>
      <c r="AK759" s="92" t="s">
        <v>185</v>
      </c>
      <c r="AL759" s="92" t="s">
        <v>185</v>
      </c>
      <c r="AM759" s="92" t="s">
        <v>534</v>
      </c>
      <c r="AQ759" s="60" t="s">
        <v>187</v>
      </c>
      <c r="AR759" s="93" t="s">
        <v>186</v>
      </c>
      <c r="AS759" s="93" t="s">
        <v>186</v>
      </c>
      <c r="AT759" s="93" t="s">
        <v>187</v>
      </c>
      <c r="AU759" s="93" t="s">
        <v>186</v>
      </c>
      <c r="AV759" s="93" t="s">
        <v>186</v>
      </c>
      <c r="AW759" s="93" t="s">
        <v>186</v>
      </c>
      <c r="AX759" s="93" t="s">
        <v>187</v>
      </c>
      <c r="AY759" s="93" t="s">
        <v>186</v>
      </c>
      <c r="BC759" s="60">
        <v>81226882700</v>
      </c>
      <c r="BD759" s="93">
        <v>85712689569</v>
      </c>
      <c r="BE759" s="93">
        <v>85876258534</v>
      </c>
      <c r="BF759" s="93">
        <v>85788892358</v>
      </c>
      <c r="BG759" s="93">
        <v>81228030523</v>
      </c>
      <c r="BH759" s="93">
        <v>81334394829</v>
      </c>
      <c r="BI759" s="93">
        <v>81246062466</v>
      </c>
      <c r="BJ759" s="93">
        <v>8812481288</v>
      </c>
      <c r="BK759" s="93">
        <v>85799995190</v>
      </c>
      <c r="BO759" s="39">
        <v>60191179</v>
      </c>
      <c r="BP759" s="18" t="s">
        <v>9311</v>
      </c>
      <c r="BQ759" s="37">
        <v>45226</v>
      </c>
      <c r="BR759" s="8">
        <f t="shared" si="2"/>
        <v>9</v>
      </c>
    </row>
    <row r="760" spans="1:70" ht="14">
      <c r="A760" s="4" t="str">
        <v>Alternatif Periode ke-89 VII.A.2</v>
      </c>
      <c r="B760" s="4" t="s">
        <v>8527</v>
      </c>
      <c r="C760" s="4" t="s">
        <v>1839</v>
      </c>
      <c r="D760" s="4" t="s">
        <v>5734</v>
      </c>
      <c r="E760" s="4" t="s">
        <v>9312</v>
      </c>
      <c r="F760" s="4" t="s">
        <v>520</v>
      </c>
      <c r="G760" s="6" t="s">
        <v>9313</v>
      </c>
      <c r="H760" s="92" t="s">
        <v>6701</v>
      </c>
      <c r="I760" s="92" t="s">
        <v>9314</v>
      </c>
      <c r="J760" s="92" t="s">
        <v>9315</v>
      </c>
      <c r="K760" s="92" t="s">
        <v>9316</v>
      </c>
      <c r="L760" s="92" t="s">
        <v>9317</v>
      </c>
      <c r="M760" s="92" t="s">
        <v>9318</v>
      </c>
      <c r="N760" s="92" t="s">
        <v>9319</v>
      </c>
      <c r="O760" s="92" t="s">
        <v>9320</v>
      </c>
      <c r="S760" s="6">
        <v>1703311001</v>
      </c>
      <c r="T760" s="92">
        <v>1900001062</v>
      </c>
      <c r="U760" s="92">
        <v>2000006050</v>
      </c>
      <c r="V760" s="92">
        <v>2000011264</v>
      </c>
      <c r="W760" s="92">
        <v>2000013241</v>
      </c>
      <c r="X760" s="92">
        <v>2000024198</v>
      </c>
      <c r="Y760" s="92">
        <v>2000029168</v>
      </c>
      <c r="Z760" s="92">
        <v>2000031106</v>
      </c>
      <c r="AA760" s="92">
        <v>2000031112</v>
      </c>
      <c r="AE760" s="6" t="s">
        <v>2427</v>
      </c>
      <c r="AF760" s="92" t="s">
        <v>180</v>
      </c>
      <c r="AG760" s="92" t="s">
        <v>745</v>
      </c>
      <c r="AH760" s="92" t="s">
        <v>182</v>
      </c>
      <c r="AI760" s="92" t="s">
        <v>677</v>
      </c>
      <c r="AJ760" s="92" t="s">
        <v>924</v>
      </c>
      <c r="AK760" s="92" t="s">
        <v>533</v>
      </c>
      <c r="AL760" s="92" t="s">
        <v>185</v>
      </c>
      <c r="AM760" s="92" t="s">
        <v>185</v>
      </c>
      <c r="AQ760" s="60" t="s">
        <v>186</v>
      </c>
      <c r="AR760" s="93" t="s">
        <v>186</v>
      </c>
      <c r="AS760" s="93" t="s">
        <v>186</v>
      </c>
      <c r="AT760" s="93" t="s">
        <v>187</v>
      </c>
      <c r="AU760" s="93" t="s">
        <v>186</v>
      </c>
      <c r="AV760" s="93" t="s">
        <v>187</v>
      </c>
      <c r="AW760" s="93" t="s">
        <v>186</v>
      </c>
      <c r="AX760" s="93" t="s">
        <v>186</v>
      </c>
      <c r="AY760" s="93" t="s">
        <v>187</v>
      </c>
      <c r="BC760" s="60">
        <v>81393018410</v>
      </c>
      <c r="BD760" s="93">
        <v>88237151720</v>
      </c>
      <c r="BE760" s="93">
        <v>895341351712</v>
      </c>
      <c r="BF760" s="93">
        <v>85640455735</v>
      </c>
      <c r="BG760" s="93">
        <v>82280468622</v>
      </c>
      <c r="BH760" s="93">
        <v>81392903540</v>
      </c>
      <c r="BI760" s="93">
        <v>89524437363</v>
      </c>
      <c r="BJ760" s="93">
        <v>89691865829</v>
      </c>
      <c r="BK760" s="93">
        <v>81339627719</v>
      </c>
      <c r="BO760" s="39">
        <v>60191179</v>
      </c>
      <c r="BP760" s="18" t="s">
        <v>9321</v>
      </c>
      <c r="BQ760" s="37">
        <v>45226</v>
      </c>
      <c r="BR760" s="8">
        <f t="shared" si="2"/>
        <v>9</v>
      </c>
    </row>
    <row r="761" spans="1:70" ht="14">
      <c r="A761" s="4" t="str">
        <v>Alternatif Periode ke-89 VII.A.3</v>
      </c>
      <c r="B761" s="4" t="s">
        <v>8527</v>
      </c>
      <c r="C761" s="4" t="s">
        <v>1860</v>
      </c>
      <c r="D761" s="4" t="s">
        <v>5734</v>
      </c>
      <c r="E761" s="4" t="s">
        <v>9322</v>
      </c>
      <c r="F761" s="4" t="s">
        <v>520</v>
      </c>
      <c r="G761" s="6" t="s">
        <v>9323</v>
      </c>
      <c r="H761" s="92" t="s">
        <v>9324</v>
      </c>
      <c r="I761" s="92" t="s">
        <v>9325</v>
      </c>
      <c r="J761" s="92" t="s">
        <v>9326</v>
      </c>
      <c r="K761" s="92" t="s">
        <v>9327</v>
      </c>
      <c r="L761" s="92" t="s">
        <v>9328</v>
      </c>
      <c r="M761" s="92" t="s">
        <v>9329</v>
      </c>
      <c r="N761" s="92" t="s">
        <v>9330</v>
      </c>
      <c r="O761" s="92" t="s">
        <v>9331</v>
      </c>
      <c r="S761" s="6">
        <v>1800024376</v>
      </c>
      <c r="T761" s="92">
        <v>1900029205</v>
      </c>
      <c r="U761" s="92">
        <v>1903329015</v>
      </c>
      <c r="V761" s="92">
        <v>2000001071</v>
      </c>
      <c r="W761" s="92">
        <v>2000006039</v>
      </c>
      <c r="X761" s="92">
        <v>2000011093</v>
      </c>
      <c r="Y761" s="92">
        <v>2000013333</v>
      </c>
      <c r="Z761" s="92">
        <v>2000031022</v>
      </c>
      <c r="AA761" s="92">
        <v>2000031058</v>
      </c>
      <c r="AE761" s="6" t="s">
        <v>924</v>
      </c>
      <c r="AF761" s="92" t="s">
        <v>533</v>
      </c>
      <c r="AG761" s="92" t="s">
        <v>9332</v>
      </c>
      <c r="AH761" s="92" t="s">
        <v>180</v>
      </c>
      <c r="AI761" s="92" t="s">
        <v>745</v>
      </c>
      <c r="AJ761" s="92" t="s">
        <v>182</v>
      </c>
      <c r="AK761" s="92" t="s">
        <v>677</v>
      </c>
      <c r="AL761" s="92" t="s">
        <v>185</v>
      </c>
      <c r="AM761" s="92" t="s">
        <v>185</v>
      </c>
      <c r="AQ761" s="60" t="s">
        <v>187</v>
      </c>
      <c r="AR761" s="93" t="s">
        <v>186</v>
      </c>
      <c r="AS761" s="93" t="s">
        <v>186</v>
      </c>
      <c r="AT761" s="93" t="s">
        <v>186</v>
      </c>
      <c r="AU761" s="93" t="s">
        <v>186</v>
      </c>
      <c r="AV761" s="93" t="s">
        <v>187</v>
      </c>
      <c r="AW761" s="93" t="s">
        <v>186</v>
      </c>
      <c r="AX761" s="93" t="s">
        <v>186</v>
      </c>
      <c r="AY761" s="93" t="s">
        <v>187</v>
      </c>
      <c r="BC761" s="60">
        <v>81228809769</v>
      </c>
      <c r="BD761" s="93">
        <v>81246626644</v>
      </c>
      <c r="BE761" s="93">
        <v>85526295484</v>
      </c>
      <c r="BF761" s="93">
        <v>81220961621</v>
      </c>
      <c r="BG761" s="93">
        <v>81221408464</v>
      </c>
      <c r="BH761" s="93">
        <v>85246558026</v>
      </c>
      <c r="BI761" s="93">
        <v>88233602020</v>
      </c>
      <c r="BJ761" s="93">
        <v>82223125090</v>
      </c>
      <c r="BK761" s="93">
        <v>82326058102</v>
      </c>
      <c r="BO761" s="39">
        <v>60191179</v>
      </c>
      <c r="BP761" s="18" t="s">
        <v>9333</v>
      </c>
      <c r="BQ761" s="37">
        <v>45226</v>
      </c>
      <c r="BR761" s="8">
        <f t="shared" si="2"/>
        <v>9</v>
      </c>
    </row>
    <row r="762" spans="1:70" ht="14">
      <c r="A762" s="4" t="str">
        <v>Alternatif Periode ke-89 VII.B.1</v>
      </c>
      <c r="B762" s="4" t="s">
        <v>8527</v>
      </c>
      <c r="C762" s="4" t="s">
        <v>1881</v>
      </c>
      <c r="D762" s="4" t="s">
        <v>9334</v>
      </c>
      <c r="E762" s="4" t="s">
        <v>9335</v>
      </c>
      <c r="F762" s="4" t="s">
        <v>520</v>
      </c>
      <c r="G762" s="6" t="s">
        <v>9336</v>
      </c>
      <c r="H762" s="92" t="s">
        <v>9337</v>
      </c>
      <c r="I762" s="92" t="s">
        <v>9338</v>
      </c>
      <c r="J762" s="92" t="s">
        <v>9339</v>
      </c>
      <c r="K762" s="92" t="s">
        <v>9340</v>
      </c>
      <c r="L762" s="92" t="s">
        <v>9341</v>
      </c>
      <c r="M762" s="92" t="s">
        <v>9342</v>
      </c>
      <c r="N762" s="92" t="s">
        <v>9343</v>
      </c>
      <c r="O762" s="92" t="s">
        <v>9344</v>
      </c>
      <c r="S762" s="6">
        <v>1900013223</v>
      </c>
      <c r="T762" s="92">
        <v>2000001145</v>
      </c>
      <c r="U762" s="92">
        <v>2000007006</v>
      </c>
      <c r="V762" s="92">
        <v>2000011127</v>
      </c>
      <c r="W762" s="92">
        <v>2000025071</v>
      </c>
      <c r="X762" s="92">
        <v>2000029043</v>
      </c>
      <c r="Y762" s="92">
        <v>2000031063</v>
      </c>
      <c r="Z762" s="92">
        <v>2000031091</v>
      </c>
      <c r="AA762" s="92">
        <v>2000331019</v>
      </c>
      <c r="AE762" s="6" t="s">
        <v>677</v>
      </c>
      <c r="AF762" s="92" t="s">
        <v>180</v>
      </c>
      <c r="AG762" s="92" t="s">
        <v>1021</v>
      </c>
      <c r="AH762" s="92" t="s">
        <v>182</v>
      </c>
      <c r="AI762" s="92" t="s">
        <v>1168</v>
      </c>
      <c r="AJ762" s="92" t="s">
        <v>533</v>
      </c>
      <c r="AK762" s="92" t="s">
        <v>185</v>
      </c>
      <c r="AL762" s="92" t="s">
        <v>185</v>
      </c>
      <c r="AM762" s="92" t="s">
        <v>546</v>
      </c>
      <c r="AQ762" s="60" t="s">
        <v>186</v>
      </c>
      <c r="AR762" s="93" t="s">
        <v>186</v>
      </c>
      <c r="AS762" s="93" t="s">
        <v>186</v>
      </c>
      <c r="AT762" s="93" t="s">
        <v>187</v>
      </c>
      <c r="AU762" s="93" t="s">
        <v>187</v>
      </c>
      <c r="AV762" s="93" t="s">
        <v>186</v>
      </c>
      <c r="AW762" s="93" t="s">
        <v>187</v>
      </c>
      <c r="AX762" s="93" t="s">
        <v>186</v>
      </c>
      <c r="AY762" s="93" t="s">
        <v>186</v>
      </c>
      <c r="BC762" s="60">
        <v>89666728619</v>
      </c>
      <c r="BD762" s="93">
        <v>89662037354</v>
      </c>
      <c r="BE762" s="93" t="s">
        <v>9345</v>
      </c>
      <c r="BF762" s="93">
        <v>85692782026</v>
      </c>
      <c r="BG762" s="93">
        <v>895423669010</v>
      </c>
      <c r="BH762" s="93" t="s">
        <v>9346</v>
      </c>
      <c r="BI762" s="93">
        <v>85821914503</v>
      </c>
      <c r="BJ762" s="93">
        <v>85338622338</v>
      </c>
      <c r="BK762" s="93">
        <v>81276805592</v>
      </c>
      <c r="BO762" s="69">
        <v>60111623</v>
      </c>
      <c r="BP762" s="18" t="s">
        <v>9347</v>
      </c>
      <c r="BQ762" s="37">
        <v>45226</v>
      </c>
      <c r="BR762" s="8">
        <f t="shared" si="2"/>
        <v>9</v>
      </c>
    </row>
    <row r="763" spans="1:70" ht="14">
      <c r="A763" s="4" t="str">
        <v>Alternatif Periode ke-89 VII.B.2</v>
      </c>
      <c r="B763" s="4" t="s">
        <v>8527</v>
      </c>
      <c r="C763" s="4" t="s">
        <v>1903</v>
      </c>
      <c r="D763" s="4" t="s">
        <v>9334</v>
      </c>
      <c r="E763" s="4" t="s">
        <v>9348</v>
      </c>
      <c r="F763" s="4" t="s">
        <v>520</v>
      </c>
      <c r="G763" s="6" t="s">
        <v>9349</v>
      </c>
      <c r="H763" s="92" t="s">
        <v>9350</v>
      </c>
      <c r="I763" s="92" t="s">
        <v>9351</v>
      </c>
      <c r="J763" s="92" t="s">
        <v>9352</v>
      </c>
      <c r="K763" s="92" t="s">
        <v>9353</v>
      </c>
      <c r="L763" s="92" t="s">
        <v>9354</v>
      </c>
      <c r="M763" s="92" t="s">
        <v>9355</v>
      </c>
      <c r="N763" s="92" t="s">
        <v>9356</v>
      </c>
      <c r="O763" s="92" t="s">
        <v>9357</v>
      </c>
      <c r="S763" s="6">
        <v>1800029351</v>
      </c>
      <c r="T763" s="92">
        <v>1900014003</v>
      </c>
      <c r="U763" s="92">
        <v>2000001173</v>
      </c>
      <c r="V763" s="92">
        <v>2000008060</v>
      </c>
      <c r="W763" s="92">
        <v>2000011389</v>
      </c>
      <c r="X763" s="92">
        <v>2000025062</v>
      </c>
      <c r="Y763" s="92">
        <v>2000031024</v>
      </c>
      <c r="Z763" s="92">
        <v>2000031236</v>
      </c>
      <c r="AA763" s="92">
        <v>2000331025</v>
      </c>
      <c r="AE763" s="6" t="s">
        <v>533</v>
      </c>
      <c r="AF763" s="92" t="s">
        <v>770</v>
      </c>
      <c r="AG763" s="92" t="s">
        <v>180</v>
      </c>
      <c r="AH763" s="92" t="s">
        <v>1111</v>
      </c>
      <c r="AI763" s="92" t="s">
        <v>182</v>
      </c>
      <c r="AJ763" s="92" t="s">
        <v>1168</v>
      </c>
      <c r="AK763" s="92" t="s">
        <v>185</v>
      </c>
      <c r="AL763" s="92" t="s">
        <v>185</v>
      </c>
      <c r="AM763" s="92" t="s">
        <v>546</v>
      </c>
      <c r="AQ763" s="60" t="s">
        <v>186</v>
      </c>
      <c r="AR763" s="93" t="s">
        <v>186</v>
      </c>
      <c r="AS763" s="93" t="s">
        <v>186</v>
      </c>
      <c r="AT763" s="93" t="s">
        <v>186</v>
      </c>
      <c r="AU763" s="93" t="s">
        <v>187</v>
      </c>
      <c r="AV763" s="93" t="s">
        <v>187</v>
      </c>
      <c r="AW763" s="93" t="s">
        <v>187</v>
      </c>
      <c r="AX763" s="93" t="s">
        <v>186</v>
      </c>
      <c r="AY763" s="93" t="s">
        <v>186</v>
      </c>
      <c r="BC763" s="60">
        <v>82135246800</v>
      </c>
      <c r="BD763" s="93">
        <v>87824202258</v>
      </c>
      <c r="BE763" s="93">
        <v>85225641924</v>
      </c>
      <c r="BF763" s="93">
        <v>89530420423</v>
      </c>
      <c r="BG763" s="93">
        <v>81357158973</v>
      </c>
      <c r="BH763" s="93">
        <v>859152932541</v>
      </c>
      <c r="BI763" s="93">
        <v>85846022489</v>
      </c>
      <c r="BJ763" s="93">
        <v>87701507438</v>
      </c>
      <c r="BK763" s="93">
        <v>85747033754</v>
      </c>
      <c r="BO763" s="69">
        <v>60111623</v>
      </c>
      <c r="BP763" s="18" t="s">
        <v>9358</v>
      </c>
      <c r="BQ763" s="37">
        <v>45226</v>
      </c>
      <c r="BR763" s="8">
        <f t="shared" si="2"/>
        <v>9</v>
      </c>
    </row>
    <row r="764" spans="1:70" ht="14">
      <c r="A764" s="4" t="str">
        <v>Alternatif Periode ke-89 VII.C.1</v>
      </c>
      <c r="B764" s="4" t="s">
        <v>8527</v>
      </c>
      <c r="C764" s="4" t="s">
        <v>1945</v>
      </c>
      <c r="D764" s="4" t="s">
        <v>9359</v>
      </c>
      <c r="E764" s="4" t="s">
        <v>9360</v>
      </c>
      <c r="F764" s="4" t="s">
        <v>520</v>
      </c>
      <c r="G764" s="6" t="s">
        <v>9361</v>
      </c>
      <c r="H764" s="92" t="s">
        <v>9362</v>
      </c>
      <c r="I764" s="92" t="s">
        <v>9363</v>
      </c>
      <c r="J764" s="92" t="s">
        <v>9364</v>
      </c>
      <c r="K764" s="92" t="s">
        <v>9365</v>
      </c>
      <c r="L764" s="92" t="s">
        <v>9366</v>
      </c>
      <c r="M764" s="92" t="s">
        <v>9367</v>
      </c>
      <c r="N764" s="92" t="s">
        <v>9368</v>
      </c>
      <c r="O764" s="92" t="s">
        <v>9369</v>
      </c>
      <c r="S764" s="6">
        <v>1800022067</v>
      </c>
      <c r="T764" s="92">
        <v>2000001112</v>
      </c>
      <c r="U764" s="92">
        <v>2000005372</v>
      </c>
      <c r="V764" s="92">
        <v>2000010086</v>
      </c>
      <c r="W764" s="92">
        <v>2000011027</v>
      </c>
      <c r="X764" s="92">
        <v>2000025094</v>
      </c>
      <c r="Y764" s="92">
        <v>2000030065</v>
      </c>
      <c r="Z764" s="92">
        <v>2000031097</v>
      </c>
      <c r="AA764" s="92">
        <v>2000034027</v>
      </c>
      <c r="AE764" s="6" t="s">
        <v>872</v>
      </c>
      <c r="AF764" s="92" t="s">
        <v>180</v>
      </c>
      <c r="AG764" s="92" t="s">
        <v>181</v>
      </c>
      <c r="AH764" s="92" t="s">
        <v>532</v>
      </c>
      <c r="AI764" s="92" t="s">
        <v>182</v>
      </c>
      <c r="AJ764" s="92" t="s">
        <v>1168</v>
      </c>
      <c r="AK764" s="92" t="s">
        <v>184</v>
      </c>
      <c r="AL764" s="92" t="s">
        <v>185</v>
      </c>
      <c r="AM764" s="92" t="s">
        <v>534</v>
      </c>
      <c r="AQ764" s="60" t="s">
        <v>187</v>
      </c>
      <c r="AR764" s="93" t="s">
        <v>186</v>
      </c>
      <c r="AS764" s="93" t="s">
        <v>186</v>
      </c>
      <c r="AT764" s="93" t="s">
        <v>187</v>
      </c>
      <c r="AU764" s="93" t="s">
        <v>186</v>
      </c>
      <c r="AV764" s="93" t="s">
        <v>186</v>
      </c>
      <c r="AW764" s="93" t="s">
        <v>187</v>
      </c>
      <c r="AX764" s="93" t="s">
        <v>186</v>
      </c>
      <c r="AY764" s="93" t="s">
        <v>186</v>
      </c>
      <c r="BC764" s="60">
        <v>895387368840</v>
      </c>
      <c r="BD764" s="93">
        <v>85950090500</v>
      </c>
      <c r="BE764" s="93">
        <v>89693350716</v>
      </c>
      <c r="BF764" s="93">
        <v>895601952952</v>
      </c>
      <c r="BG764" s="93">
        <v>8112996622</v>
      </c>
      <c r="BH764" s="93">
        <v>85385271333</v>
      </c>
      <c r="BI764" s="93">
        <v>83890104558</v>
      </c>
      <c r="BJ764" s="93">
        <v>88232570367</v>
      </c>
      <c r="BK764" s="93">
        <v>82111800884</v>
      </c>
      <c r="BO764" s="69">
        <v>60120723</v>
      </c>
      <c r="BP764" s="18" t="s">
        <v>9370</v>
      </c>
      <c r="BQ764" s="37">
        <v>45226</v>
      </c>
      <c r="BR764" s="8">
        <f t="shared" si="2"/>
        <v>9</v>
      </c>
    </row>
    <row r="765" spans="1:70" ht="14">
      <c r="A765" s="4" t="str">
        <v>Alternatif Periode ke-89 VII.C.2</v>
      </c>
      <c r="B765" s="4" t="s">
        <v>8527</v>
      </c>
      <c r="C765" s="4" t="s">
        <v>1967</v>
      </c>
      <c r="D765" s="4" t="s">
        <v>9359</v>
      </c>
      <c r="E765" s="4" t="s">
        <v>9371</v>
      </c>
      <c r="F765" s="4" t="s">
        <v>520</v>
      </c>
      <c r="G765" s="6" t="s">
        <v>9372</v>
      </c>
      <c r="H765" s="92" t="s">
        <v>9373</v>
      </c>
      <c r="I765" s="92" t="s">
        <v>9374</v>
      </c>
      <c r="J765" s="92" t="s">
        <v>9375</v>
      </c>
      <c r="K765" s="92" t="s">
        <v>9376</v>
      </c>
      <c r="L765" s="92" t="s">
        <v>9377</v>
      </c>
      <c r="M765" s="92" t="s">
        <v>9378</v>
      </c>
      <c r="N765" s="92" t="s">
        <v>9379</v>
      </c>
      <c r="O765" s="92" t="s">
        <v>9380</v>
      </c>
      <c r="S765" s="6">
        <v>1800004144</v>
      </c>
      <c r="T765" s="92">
        <v>1800004149</v>
      </c>
      <c r="U765" s="92">
        <v>1900027042</v>
      </c>
      <c r="V765" s="92">
        <v>2000005238</v>
      </c>
      <c r="W765" s="92">
        <v>2000010056</v>
      </c>
      <c r="X765" s="92">
        <v>2000011119</v>
      </c>
      <c r="Y765" s="92">
        <v>2000016142</v>
      </c>
      <c r="Z765" s="92">
        <v>2000029185</v>
      </c>
      <c r="AA765" s="92">
        <v>2000031056</v>
      </c>
      <c r="AE765" s="6" t="s">
        <v>201</v>
      </c>
      <c r="AF765" s="92" t="s">
        <v>201</v>
      </c>
      <c r="AG765" s="92" t="s">
        <v>1763</v>
      </c>
      <c r="AH765" s="92" t="s">
        <v>181</v>
      </c>
      <c r="AI765" s="92" t="s">
        <v>532</v>
      </c>
      <c r="AJ765" s="92" t="s">
        <v>182</v>
      </c>
      <c r="AK765" s="92" t="s">
        <v>531</v>
      </c>
      <c r="AL765" s="92" t="s">
        <v>533</v>
      </c>
      <c r="AM765" s="92" t="s">
        <v>185</v>
      </c>
      <c r="AQ765" s="60" t="s">
        <v>187</v>
      </c>
      <c r="AR765" s="93" t="s">
        <v>187</v>
      </c>
      <c r="AS765" s="93" t="s">
        <v>187</v>
      </c>
      <c r="AT765" s="93" t="s">
        <v>186</v>
      </c>
      <c r="AU765" s="93" t="s">
        <v>186</v>
      </c>
      <c r="AV765" s="93" t="s">
        <v>187</v>
      </c>
      <c r="AW765" s="93" t="s">
        <v>186</v>
      </c>
      <c r="AX765" s="93" t="s">
        <v>186</v>
      </c>
      <c r="AY765" s="93" t="s">
        <v>186</v>
      </c>
      <c r="BC765" s="60">
        <v>85875096660</v>
      </c>
      <c r="BD765" s="93">
        <v>881036767447</v>
      </c>
      <c r="BE765" s="93">
        <v>82372638120</v>
      </c>
      <c r="BF765" s="93">
        <v>85878345031</v>
      </c>
      <c r="BG765" s="93">
        <v>85848136991</v>
      </c>
      <c r="BH765" s="93">
        <v>81242272173</v>
      </c>
      <c r="BI765" s="93" t="s">
        <v>9381</v>
      </c>
      <c r="BJ765" s="93">
        <v>81226502968</v>
      </c>
      <c r="BK765" s="93">
        <v>87880578647</v>
      </c>
      <c r="BO765" s="69">
        <v>60120723</v>
      </c>
      <c r="BP765" s="18" t="s">
        <v>9382</v>
      </c>
      <c r="BQ765" s="37">
        <v>45226</v>
      </c>
      <c r="BR765" s="8">
        <f t="shared" si="2"/>
        <v>9</v>
      </c>
    </row>
    <row r="766" spans="1:70" ht="14.5">
      <c r="A766" s="4" t="str">
        <v>Reguler Periode ke-123 I.A.1</v>
      </c>
      <c r="B766" s="4" t="s">
        <v>9383</v>
      </c>
      <c r="C766" s="4" t="s">
        <v>165</v>
      </c>
      <c r="D766" s="4" t="s">
        <v>9384</v>
      </c>
      <c r="E766" s="4"/>
      <c r="G766" s="4" t="s">
        <v>9385</v>
      </c>
      <c r="H766" s="4" t="s">
        <v>9386</v>
      </c>
      <c r="I766" s="4" t="s">
        <v>9387</v>
      </c>
      <c r="J766" s="4" t="s">
        <v>9388</v>
      </c>
      <c r="K766" s="4" t="s">
        <v>9389</v>
      </c>
      <c r="L766" s="4" t="s">
        <v>9390</v>
      </c>
      <c r="M766" s="4" t="s">
        <v>3478</v>
      </c>
      <c r="N766" s="4" t="s">
        <v>9391</v>
      </c>
      <c r="O766" s="4" t="s">
        <v>9392</v>
      </c>
      <c r="P766" s="40" t="s">
        <v>9393</v>
      </c>
      <c r="S766" s="94">
        <v>2100017046</v>
      </c>
      <c r="T766" s="95">
        <v>2100017026</v>
      </c>
      <c r="U766" s="95">
        <v>2100017044</v>
      </c>
      <c r="V766" s="95">
        <v>2100017066</v>
      </c>
      <c r="W766" s="95">
        <v>2100017055</v>
      </c>
      <c r="X766" s="95">
        <v>2100017054</v>
      </c>
      <c r="Y766" s="95">
        <v>2111017032</v>
      </c>
      <c r="Z766" s="95">
        <v>2100017068</v>
      </c>
      <c r="AA766" s="95">
        <v>2111017075</v>
      </c>
      <c r="AB766" s="40">
        <v>2011008035</v>
      </c>
      <c r="AE766" s="94" t="s">
        <v>183</v>
      </c>
      <c r="AF766" s="95" t="s">
        <v>183</v>
      </c>
      <c r="AG766" s="95" t="s">
        <v>183</v>
      </c>
      <c r="AH766" s="95" t="s">
        <v>183</v>
      </c>
      <c r="AI766" s="95" t="s">
        <v>183</v>
      </c>
      <c r="AJ766" s="95" t="s">
        <v>183</v>
      </c>
      <c r="AK766" s="95" t="s">
        <v>183</v>
      </c>
      <c r="AL766" s="95" t="s">
        <v>183</v>
      </c>
      <c r="AM766" s="95" t="s">
        <v>183</v>
      </c>
      <c r="AN766" s="95" t="s">
        <v>1111</v>
      </c>
      <c r="AQ766" s="96" t="s">
        <v>186</v>
      </c>
      <c r="AR766" s="97" t="s">
        <v>187</v>
      </c>
      <c r="AS766" s="97" t="s">
        <v>186</v>
      </c>
      <c r="AT766" s="97" t="s">
        <v>186</v>
      </c>
      <c r="AU766" s="97" t="s">
        <v>186</v>
      </c>
      <c r="AV766" s="97" t="s">
        <v>186</v>
      </c>
      <c r="AW766" s="97" t="s">
        <v>186</v>
      </c>
      <c r="AX766" s="97" t="s">
        <v>186</v>
      </c>
      <c r="AY766" s="97" t="s">
        <v>186</v>
      </c>
      <c r="AZ766" s="4" t="s">
        <v>186</v>
      </c>
      <c r="BC766" s="96">
        <v>87719725998</v>
      </c>
      <c r="BD766" s="97">
        <v>81527786617</v>
      </c>
      <c r="BE766" s="97">
        <v>81336461593</v>
      </c>
      <c r="BF766" s="97">
        <v>89601096883</v>
      </c>
      <c r="BG766" s="97">
        <v>85785122361</v>
      </c>
      <c r="BH766" s="97">
        <v>82147544312</v>
      </c>
      <c r="BI766" s="97">
        <v>81257590596</v>
      </c>
      <c r="BJ766" s="97">
        <v>85325681764</v>
      </c>
      <c r="BK766" s="97">
        <v>89523485361</v>
      </c>
      <c r="BL766" s="88" t="s">
        <v>9394</v>
      </c>
      <c r="BP766" s="18" t="s">
        <v>9395</v>
      </c>
      <c r="BQ766" s="37">
        <v>45192</v>
      </c>
      <c r="BR766" s="8">
        <f t="shared" si="2"/>
        <v>10</v>
      </c>
    </row>
    <row r="767" spans="1:70" ht="14.5">
      <c r="A767" s="4" t="str">
        <v>Reguler Periode ke-123 I.B.1</v>
      </c>
      <c r="B767" s="4" t="s">
        <v>9383</v>
      </c>
      <c r="C767" s="4" t="s">
        <v>260</v>
      </c>
      <c r="D767" s="4" t="s">
        <v>9396</v>
      </c>
      <c r="E767" s="4"/>
      <c r="G767" s="94" t="s">
        <v>9397</v>
      </c>
      <c r="H767" s="95" t="s">
        <v>9398</v>
      </c>
      <c r="I767" s="95" t="s">
        <v>9399</v>
      </c>
      <c r="J767" s="95" t="s">
        <v>9400</v>
      </c>
      <c r="K767" s="95" t="s">
        <v>9401</v>
      </c>
      <c r="L767" s="95" t="s">
        <v>9402</v>
      </c>
      <c r="M767" s="95" t="s">
        <v>9403</v>
      </c>
      <c r="N767" s="95" t="s">
        <v>9404</v>
      </c>
      <c r="O767" s="95" t="s">
        <v>9405</v>
      </c>
      <c r="P767" s="95" t="s">
        <v>9406</v>
      </c>
      <c r="S767" s="94">
        <v>2100016012</v>
      </c>
      <c r="T767" s="95">
        <v>2100016028</v>
      </c>
      <c r="U767" s="95">
        <v>2100016101</v>
      </c>
      <c r="V767" s="95">
        <v>2111016054</v>
      </c>
      <c r="W767" s="95">
        <v>2100016001</v>
      </c>
      <c r="X767" s="95">
        <v>2100016018</v>
      </c>
      <c r="Y767" s="95">
        <v>2100016067</v>
      </c>
      <c r="Z767" s="95">
        <v>2111016057</v>
      </c>
      <c r="AA767" s="95">
        <v>2100016055</v>
      </c>
      <c r="AB767" s="95">
        <v>2100016060</v>
      </c>
      <c r="AE767" s="94" t="s">
        <v>531</v>
      </c>
      <c r="AF767" s="95" t="s">
        <v>531</v>
      </c>
      <c r="AG767" s="95" t="s">
        <v>531</v>
      </c>
      <c r="AH767" s="95" t="s">
        <v>531</v>
      </c>
      <c r="AI767" s="95" t="s">
        <v>531</v>
      </c>
      <c r="AJ767" s="95" t="s">
        <v>531</v>
      </c>
      <c r="AK767" s="95" t="s">
        <v>531</v>
      </c>
      <c r="AL767" s="95" t="s">
        <v>531</v>
      </c>
      <c r="AM767" s="95" t="s">
        <v>531</v>
      </c>
      <c r="AN767" s="95" t="s">
        <v>531</v>
      </c>
      <c r="AQ767" s="96" t="s">
        <v>186</v>
      </c>
      <c r="AR767" s="97" t="s">
        <v>187</v>
      </c>
      <c r="AS767" s="97" t="s">
        <v>187</v>
      </c>
      <c r="AT767" s="97" t="s">
        <v>187</v>
      </c>
      <c r="AU767" s="97" t="s">
        <v>186</v>
      </c>
      <c r="AV767" s="97" t="s">
        <v>187</v>
      </c>
      <c r="AW767" s="97" t="s">
        <v>187</v>
      </c>
      <c r="AX767" s="97" t="s">
        <v>187</v>
      </c>
      <c r="AY767" s="97" t="s">
        <v>186</v>
      </c>
      <c r="AZ767" s="97" t="s">
        <v>187</v>
      </c>
      <c r="BC767" s="96">
        <v>82121432759</v>
      </c>
      <c r="BD767" s="97">
        <v>85156455978</v>
      </c>
      <c r="BE767" s="97">
        <v>89508095478</v>
      </c>
      <c r="BF767" s="97">
        <v>85158153302</v>
      </c>
      <c r="BG767" s="97">
        <v>88271492791</v>
      </c>
      <c r="BH767" s="97">
        <v>82113604866</v>
      </c>
      <c r="BI767" s="97">
        <v>82221494798</v>
      </c>
      <c r="BJ767" s="97">
        <v>82321180294</v>
      </c>
      <c r="BK767" s="97">
        <v>82249024852</v>
      </c>
      <c r="BL767" s="97">
        <v>82136954269</v>
      </c>
      <c r="BP767" s="18" t="s">
        <v>9407</v>
      </c>
      <c r="BR767" s="8">
        <f t="shared" ref="BR767:BR1021" si="3">COUNTA(G767:R767)</f>
        <v>10</v>
      </c>
    </row>
    <row r="768" spans="1:70" ht="14.5">
      <c r="A768" s="4" t="str">
        <v>Reguler Periode ke-123 I.C.1</v>
      </c>
      <c r="B768" s="4" t="s">
        <v>9383</v>
      </c>
      <c r="C768" s="4" t="s">
        <v>320</v>
      </c>
      <c r="D768" s="4" t="s">
        <v>321</v>
      </c>
      <c r="E768" s="4"/>
      <c r="G768" s="94" t="s">
        <v>9408</v>
      </c>
      <c r="H768" s="95" t="s">
        <v>9409</v>
      </c>
      <c r="I768" s="95" t="s">
        <v>9410</v>
      </c>
      <c r="J768" s="95" t="s">
        <v>9411</v>
      </c>
      <c r="K768" s="95" t="s">
        <v>9412</v>
      </c>
      <c r="L768" s="95" t="s">
        <v>9413</v>
      </c>
      <c r="M768" s="95" t="s">
        <v>9414</v>
      </c>
      <c r="N768" s="95" t="s">
        <v>9415</v>
      </c>
      <c r="O768" s="95" t="s">
        <v>9416</v>
      </c>
      <c r="P768" s="95" t="s">
        <v>9417</v>
      </c>
      <c r="S768" s="94">
        <v>2100016036</v>
      </c>
      <c r="T768" s="95">
        <v>2111016052</v>
      </c>
      <c r="U768" s="95">
        <v>2111016050</v>
      </c>
      <c r="V768" s="95">
        <v>2111016053</v>
      </c>
      <c r="W768" s="95">
        <v>2100016075</v>
      </c>
      <c r="X768" s="95">
        <v>2115016108</v>
      </c>
      <c r="Y768" s="95">
        <v>2111016048</v>
      </c>
      <c r="Z768" s="95">
        <v>2100016020</v>
      </c>
      <c r="AA768" s="95">
        <v>2100016071</v>
      </c>
      <c r="AB768" s="95">
        <v>2100016008</v>
      </c>
      <c r="AE768" s="94" t="s">
        <v>531</v>
      </c>
      <c r="AF768" s="95" t="s">
        <v>531</v>
      </c>
      <c r="AG768" s="95" t="s">
        <v>531</v>
      </c>
      <c r="AH768" s="95" t="s">
        <v>531</v>
      </c>
      <c r="AI768" s="95" t="s">
        <v>531</v>
      </c>
      <c r="AJ768" s="95" t="s">
        <v>531</v>
      </c>
      <c r="AK768" s="95" t="s">
        <v>531</v>
      </c>
      <c r="AL768" s="95" t="s">
        <v>531</v>
      </c>
      <c r="AM768" s="95" t="s">
        <v>531</v>
      </c>
      <c r="AN768" s="95" t="s">
        <v>531</v>
      </c>
      <c r="AQ768" s="96" t="s">
        <v>187</v>
      </c>
      <c r="AR768" s="97" t="s">
        <v>186</v>
      </c>
      <c r="AS768" s="97" t="s">
        <v>186</v>
      </c>
      <c r="AT768" s="97" t="s">
        <v>186</v>
      </c>
      <c r="AU768" s="97" t="s">
        <v>186</v>
      </c>
      <c r="AV768" s="97" t="s">
        <v>186</v>
      </c>
      <c r="AW768" s="97" t="s">
        <v>187</v>
      </c>
      <c r="AX768" s="97" t="s">
        <v>187</v>
      </c>
      <c r="AY768" s="97" t="s">
        <v>187</v>
      </c>
      <c r="AZ768" s="97" t="s">
        <v>187</v>
      </c>
      <c r="BB768" s="73"/>
      <c r="BC768" s="96">
        <v>87879249745</v>
      </c>
      <c r="BD768" s="97">
        <v>83114446594</v>
      </c>
      <c r="BE768" s="97">
        <v>85727667367</v>
      </c>
      <c r="BF768" s="97">
        <v>81223610361</v>
      </c>
      <c r="BG768" s="97">
        <v>83843710698</v>
      </c>
      <c r="BH768" s="97">
        <v>81359216755</v>
      </c>
      <c r="BI768" s="97">
        <v>859175514456</v>
      </c>
      <c r="BJ768" s="97">
        <v>82137723755</v>
      </c>
      <c r="BK768" s="97">
        <v>8985244501</v>
      </c>
      <c r="BL768" s="97">
        <v>85789856504</v>
      </c>
      <c r="BP768" s="18" t="s">
        <v>9418</v>
      </c>
      <c r="BQ768" s="37">
        <v>45194</v>
      </c>
      <c r="BR768" s="8">
        <f t="shared" si="3"/>
        <v>10</v>
      </c>
    </row>
    <row r="769" spans="1:70" ht="14.5">
      <c r="A769" s="4" t="str">
        <v>Reguler Periode ke-123 I.D.1</v>
      </c>
      <c r="B769" s="4" t="s">
        <v>9383</v>
      </c>
      <c r="C769" s="4" t="s">
        <v>379</v>
      </c>
      <c r="D769" s="4" t="s">
        <v>9334</v>
      </c>
      <c r="E769" s="4"/>
      <c r="G769" s="94" t="s">
        <v>9419</v>
      </c>
      <c r="H769" s="95" t="s">
        <v>9420</v>
      </c>
      <c r="I769" s="95" t="s">
        <v>9421</v>
      </c>
      <c r="J769" s="95" t="s">
        <v>9422</v>
      </c>
      <c r="K769" s="95" t="s">
        <v>9423</v>
      </c>
      <c r="L769" s="95" t="s">
        <v>9424</v>
      </c>
      <c r="M769" s="95" t="s">
        <v>9425</v>
      </c>
      <c r="N769" s="95" t="s">
        <v>9426</v>
      </c>
      <c r="O769" s="95" t="s">
        <v>9427</v>
      </c>
      <c r="P769" s="95" t="s">
        <v>9428</v>
      </c>
      <c r="S769" s="94">
        <v>2011003052</v>
      </c>
      <c r="T769" s="95">
        <v>2100003057</v>
      </c>
      <c r="U769" s="95">
        <v>2100003061</v>
      </c>
      <c r="V769" s="95">
        <v>2111003038</v>
      </c>
      <c r="W769" s="95">
        <v>2100003060</v>
      </c>
      <c r="X769" s="95">
        <v>2100003056</v>
      </c>
      <c r="Y769" s="95">
        <v>2115003065</v>
      </c>
      <c r="Z769" s="95">
        <v>2100003062</v>
      </c>
      <c r="AA769" s="95">
        <v>2000003005</v>
      </c>
      <c r="AB769" s="95">
        <v>2000003091</v>
      </c>
      <c r="AE769" s="94" t="s">
        <v>178</v>
      </c>
      <c r="AF769" s="95" t="s">
        <v>178</v>
      </c>
      <c r="AG769" s="95" t="s">
        <v>178</v>
      </c>
      <c r="AH769" s="95" t="s">
        <v>178</v>
      </c>
      <c r="AI769" s="95" t="s">
        <v>178</v>
      </c>
      <c r="AJ769" s="95" t="s">
        <v>178</v>
      </c>
      <c r="AK769" s="95" t="s">
        <v>178</v>
      </c>
      <c r="AL769" s="95" t="s">
        <v>178</v>
      </c>
      <c r="AM769" s="95" t="s">
        <v>178</v>
      </c>
      <c r="AN769" s="95" t="s">
        <v>178</v>
      </c>
      <c r="AQ769" s="96" t="s">
        <v>186</v>
      </c>
      <c r="AR769" s="97" t="s">
        <v>186</v>
      </c>
      <c r="AS769" s="97" t="s">
        <v>186</v>
      </c>
      <c r="AT769" s="97" t="s">
        <v>186</v>
      </c>
      <c r="AU769" s="97" t="s">
        <v>186</v>
      </c>
      <c r="AV769" s="97" t="s">
        <v>186</v>
      </c>
      <c r="AW769" s="97" t="s">
        <v>186</v>
      </c>
      <c r="AX769" s="97" t="s">
        <v>186</v>
      </c>
      <c r="AY769" s="97" t="s">
        <v>187</v>
      </c>
      <c r="AZ769" s="97" t="s">
        <v>186</v>
      </c>
      <c r="BC769" s="96">
        <v>82226065157</v>
      </c>
      <c r="BD769" s="97">
        <v>85730304716</v>
      </c>
      <c r="BE769" s="97">
        <v>82237108347</v>
      </c>
      <c r="BF769" s="97">
        <v>85702255610</v>
      </c>
      <c r="BG769" s="97">
        <v>85709417307</v>
      </c>
      <c r="BH769" s="97">
        <v>81313581234</v>
      </c>
      <c r="BI769" s="97">
        <v>895379048655</v>
      </c>
      <c r="BJ769" s="97">
        <v>81271448328</v>
      </c>
      <c r="BK769" s="97">
        <v>81227437851</v>
      </c>
      <c r="BL769" s="97">
        <v>82221803074</v>
      </c>
      <c r="BP769" s="18" t="s">
        <v>9429</v>
      </c>
      <c r="BQ769" s="37">
        <v>45189</v>
      </c>
      <c r="BR769" s="8">
        <f t="shared" si="3"/>
        <v>10</v>
      </c>
    </row>
    <row r="770" spans="1:70" ht="14.5">
      <c r="A770" s="4" t="str">
        <v>Reguler Periode ke-123 II.A.1</v>
      </c>
      <c r="B770" s="4" t="s">
        <v>9383</v>
      </c>
      <c r="C770" s="4" t="s">
        <v>680</v>
      </c>
      <c r="D770" s="4" t="s">
        <v>9430</v>
      </c>
      <c r="E770" s="4"/>
      <c r="G770" s="94" t="s">
        <v>9431</v>
      </c>
      <c r="H770" s="95" t="s">
        <v>9432</v>
      </c>
      <c r="I770" s="95" t="s">
        <v>9433</v>
      </c>
      <c r="J770" s="95" t="s">
        <v>9434</v>
      </c>
      <c r="K770" s="95" t="s">
        <v>9435</v>
      </c>
      <c r="L770" s="95" t="s">
        <v>9436</v>
      </c>
      <c r="M770" s="95" t="s">
        <v>9437</v>
      </c>
      <c r="N770" s="95" t="s">
        <v>9438</v>
      </c>
      <c r="O770" s="95" t="s">
        <v>9439</v>
      </c>
      <c r="S770" s="94">
        <v>2100023155</v>
      </c>
      <c r="T770" s="95">
        <v>2100023145</v>
      </c>
      <c r="U770" s="95">
        <v>2100023147</v>
      </c>
      <c r="V770" s="95">
        <v>2100023008</v>
      </c>
      <c r="W770" s="95">
        <v>2100023165</v>
      </c>
      <c r="X770" s="95">
        <v>2100023001</v>
      </c>
      <c r="Y770" s="95">
        <v>2100023146</v>
      </c>
      <c r="Z770" s="95">
        <v>2000023215</v>
      </c>
      <c r="AA770" s="95">
        <v>2000023229</v>
      </c>
      <c r="AB770" s="73"/>
      <c r="AE770" s="94" t="s">
        <v>899</v>
      </c>
      <c r="AF770" s="95" t="s">
        <v>899</v>
      </c>
      <c r="AG770" s="95" t="s">
        <v>899</v>
      </c>
      <c r="AH770" s="95" t="s">
        <v>899</v>
      </c>
      <c r="AI770" s="95" t="s">
        <v>899</v>
      </c>
      <c r="AJ770" s="95" t="s">
        <v>899</v>
      </c>
      <c r="AK770" s="95" t="s">
        <v>899</v>
      </c>
      <c r="AL770" s="95" t="s">
        <v>899</v>
      </c>
      <c r="AM770" s="95" t="s">
        <v>899</v>
      </c>
      <c r="AQ770" s="96" t="s">
        <v>186</v>
      </c>
      <c r="AR770" s="97" t="s">
        <v>186</v>
      </c>
      <c r="AS770" s="97" t="s">
        <v>186</v>
      </c>
      <c r="AT770" s="97" t="s">
        <v>186</v>
      </c>
      <c r="AU770" s="97" t="s">
        <v>186</v>
      </c>
      <c r="AV770" s="97" t="s">
        <v>186</v>
      </c>
      <c r="AW770" s="97" t="s">
        <v>186</v>
      </c>
      <c r="AX770" s="97" t="s">
        <v>186</v>
      </c>
      <c r="AY770" s="97" t="s">
        <v>186</v>
      </c>
      <c r="BC770" s="96">
        <v>82322489173</v>
      </c>
      <c r="BD770" s="97">
        <v>85700807020</v>
      </c>
      <c r="BE770" s="97">
        <v>81215865986</v>
      </c>
      <c r="BF770" s="97">
        <v>81249708849</v>
      </c>
      <c r="BG770" s="97">
        <v>81235557805</v>
      </c>
      <c r="BH770" s="97">
        <v>82134448477</v>
      </c>
      <c r="BI770" s="97">
        <v>85338068813</v>
      </c>
      <c r="BJ770" s="97">
        <v>81325926186</v>
      </c>
      <c r="BK770" s="97">
        <v>85770376479</v>
      </c>
      <c r="BP770" s="18" t="s">
        <v>9440</v>
      </c>
      <c r="BQ770" s="37">
        <v>45191</v>
      </c>
      <c r="BR770" s="8">
        <f t="shared" si="3"/>
        <v>9</v>
      </c>
    </row>
    <row r="771" spans="1:70" ht="14.5">
      <c r="A771" s="4" t="str">
        <v>Reguler Periode ke-123 II.B.1</v>
      </c>
      <c r="B771" s="4" t="s">
        <v>9383</v>
      </c>
      <c r="C771" s="4" t="s">
        <v>719</v>
      </c>
      <c r="D771" s="4" t="s">
        <v>191</v>
      </c>
      <c r="E771" s="4"/>
      <c r="G771" s="94" t="s">
        <v>9441</v>
      </c>
      <c r="H771" s="95" t="s">
        <v>9442</v>
      </c>
      <c r="I771" s="95" t="s">
        <v>9443</v>
      </c>
      <c r="J771" s="95" t="s">
        <v>9444</v>
      </c>
      <c r="K771" s="95" t="s">
        <v>9445</v>
      </c>
      <c r="L771" s="4" t="s">
        <v>9446</v>
      </c>
      <c r="M771" s="4" t="s">
        <v>9447</v>
      </c>
      <c r="N771" s="4" t="s">
        <v>9448</v>
      </c>
      <c r="O771" s="4" t="s">
        <v>9449</v>
      </c>
      <c r="P771" s="4" t="s">
        <v>9450</v>
      </c>
      <c r="S771" s="94">
        <v>2111033038</v>
      </c>
      <c r="T771" s="95">
        <v>2111033036</v>
      </c>
      <c r="U771" s="95">
        <v>2111033035</v>
      </c>
      <c r="V771" s="95">
        <v>2111033032</v>
      </c>
      <c r="W771" s="95">
        <v>2111033034</v>
      </c>
      <c r="X771" s="4">
        <v>2100018206</v>
      </c>
      <c r="Y771" s="4">
        <v>2100018234</v>
      </c>
      <c r="Z771" s="4">
        <v>2100018301</v>
      </c>
      <c r="AA771" s="4">
        <v>2100018304</v>
      </c>
      <c r="AB771" s="4">
        <v>2100018373</v>
      </c>
      <c r="AE771" s="94" t="s">
        <v>1112</v>
      </c>
      <c r="AF771" s="95" t="s">
        <v>1112</v>
      </c>
      <c r="AG771" s="95" t="s">
        <v>1112</v>
      </c>
      <c r="AH771" s="95" t="s">
        <v>1112</v>
      </c>
      <c r="AI771" s="95" t="s">
        <v>1112</v>
      </c>
      <c r="AJ771" s="4" t="s">
        <v>179</v>
      </c>
      <c r="AK771" s="4" t="s">
        <v>179</v>
      </c>
      <c r="AL771" s="4" t="s">
        <v>179</v>
      </c>
      <c r="AM771" s="4" t="s">
        <v>179</v>
      </c>
      <c r="AN771" s="4" t="s">
        <v>179</v>
      </c>
      <c r="AQ771" s="96" t="s">
        <v>187</v>
      </c>
      <c r="AR771" s="97" t="s">
        <v>186</v>
      </c>
      <c r="AS771" s="97" t="s">
        <v>186</v>
      </c>
      <c r="AT771" s="97" t="s">
        <v>186</v>
      </c>
      <c r="AU771" s="97" t="s">
        <v>186</v>
      </c>
      <c r="AV771" s="4" t="s">
        <v>186</v>
      </c>
      <c r="AW771" s="4" t="s">
        <v>186</v>
      </c>
      <c r="AX771" s="4" t="s">
        <v>187</v>
      </c>
      <c r="AY771" s="4" t="s">
        <v>187</v>
      </c>
      <c r="AZ771" s="4" t="s">
        <v>187</v>
      </c>
      <c r="BC771" s="96">
        <v>859162763821</v>
      </c>
      <c r="BD771" s="97">
        <v>88227608185</v>
      </c>
      <c r="BE771" s="97">
        <v>85282320181</v>
      </c>
      <c r="BF771" s="97">
        <v>895359028281</v>
      </c>
      <c r="BG771" s="97">
        <v>82322724770</v>
      </c>
      <c r="BP771" s="18" t="s">
        <v>9451</v>
      </c>
      <c r="BQ771" s="37">
        <v>45189</v>
      </c>
      <c r="BR771" s="8">
        <f t="shared" si="3"/>
        <v>10</v>
      </c>
    </row>
    <row r="772" spans="1:70" ht="14">
      <c r="A772" s="4" t="str">
        <v>Reguler Periode ke-118 I.A.1</v>
      </c>
      <c r="B772" s="4" t="s">
        <v>9452</v>
      </c>
      <c r="C772" s="4" t="s">
        <v>165</v>
      </c>
      <c r="D772" s="4" t="s">
        <v>9453</v>
      </c>
      <c r="E772" s="4"/>
      <c r="G772" s="6" t="s">
        <v>9454</v>
      </c>
      <c r="H772" s="92" t="s">
        <v>9455</v>
      </c>
      <c r="I772" s="92" t="s">
        <v>9456</v>
      </c>
      <c r="J772" s="92" t="s">
        <v>9457</v>
      </c>
      <c r="K772" s="92" t="s">
        <v>9458</v>
      </c>
      <c r="L772" s="92" t="s">
        <v>9459</v>
      </c>
      <c r="M772" s="92" t="s">
        <v>9460</v>
      </c>
      <c r="N772" s="92" t="s">
        <v>9461</v>
      </c>
      <c r="O772" s="92" t="s">
        <v>9462</v>
      </c>
      <c r="P772" s="92" t="s">
        <v>9463</v>
      </c>
      <c r="S772" s="6">
        <v>2000004119</v>
      </c>
      <c r="T772" s="92">
        <v>2000004091</v>
      </c>
      <c r="U772" s="92">
        <v>2100007007</v>
      </c>
      <c r="V772" s="92">
        <v>2100006069</v>
      </c>
      <c r="W772" s="92">
        <v>2000004038</v>
      </c>
      <c r="X772" s="92">
        <v>2000004025</v>
      </c>
      <c r="Y772" s="92">
        <v>2100006025</v>
      </c>
      <c r="Z772" s="92">
        <v>2100011466</v>
      </c>
      <c r="AA772" s="92">
        <v>2000005320</v>
      </c>
      <c r="AB772" s="92">
        <v>2000004036</v>
      </c>
      <c r="AE772" s="6" t="s">
        <v>201</v>
      </c>
      <c r="AF772" s="92" t="s">
        <v>201</v>
      </c>
      <c r="AG772" s="92" t="s">
        <v>1021</v>
      </c>
      <c r="AH772" s="92" t="s">
        <v>745</v>
      </c>
      <c r="AI772" s="92" t="s">
        <v>201</v>
      </c>
      <c r="AJ772" s="92" t="s">
        <v>201</v>
      </c>
      <c r="AK772" s="92" t="s">
        <v>745</v>
      </c>
      <c r="AL772" s="92" t="s">
        <v>182</v>
      </c>
      <c r="AM772" s="92" t="s">
        <v>181</v>
      </c>
      <c r="AN772" s="92" t="s">
        <v>201</v>
      </c>
      <c r="AQ772" s="60" t="s">
        <v>186</v>
      </c>
      <c r="AR772" s="93" t="s">
        <v>186</v>
      </c>
      <c r="AS772" s="93" t="s">
        <v>186</v>
      </c>
      <c r="AT772" s="93" t="s">
        <v>186</v>
      </c>
      <c r="AU772" s="93" t="s">
        <v>186</v>
      </c>
      <c r="AV772" s="93" t="s">
        <v>186</v>
      </c>
      <c r="AW772" s="93" t="s">
        <v>186</v>
      </c>
      <c r="AX772" s="93" t="s">
        <v>186</v>
      </c>
      <c r="AY772" s="93" t="s">
        <v>186</v>
      </c>
      <c r="AZ772" s="93" t="s">
        <v>187</v>
      </c>
      <c r="BC772" s="60">
        <v>82322249513</v>
      </c>
      <c r="BD772" s="93">
        <v>895380258579</v>
      </c>
      <c r="BE772" s="93">
        <v>89673733198</v>
      </c>
      <c r="BF772" s="93">
        <v>85867801215</v>
      </c>
      <c r="BG772" s="93">
        <v>81390340504</v>
      </c>
      <c r="BH772" s="93">
        <v>85329675129</v>
      </c>
      <c r="BI772" s="93">
        <v>8877758384</v>
      </c>
      <c r="BJ772" s="93">
        <v>82195473868</v>
      </c>
      <c r="BK772" s="93">
        <v>8125678283</v>
      </c>
      <c r="BL772" s="93">
        <v>81477088204</v>
      </c>
      <c r="BO772" s="69">
        <v>60160936</v>
      </c>
      <c r="BP772" s="18" t="s">
        <v>9464</v>
      </c>
      <c r="BQ772" s="37">
        <v>45152</v>
      </c>
      <c r="BR772" s="8">
        <f t="shared" si="3"/>
        <v>10</v>
      </c>
    </row>
    <row r="773" spans="1:70" ht="14">
      <c r="A773" s="4" t="str">
        <v>Reguler Periode ke-118 I.A.2</v>
      </c>
      <c r="B773" s="4" t="s">
        <v>9452</v>
      </c>
      <c r="C773" s="4" t="s">
        <v>216</v>
      </c>
      <c r="D773" s="4" t="s">
        <v>9453</v>
      </c>
      <c r="E773" s="4"/>
      <c r="G773" s="6" t="s">
        <v>9465</v>
      </c>
      <c r="H773" s="92" t="s">
        <v>9466</v>
      </c>
      <c r="I773" s="92" t="s">
        <v>9467</v>
      </c>
      <c r="J773" s="92" t="s">
        <v>9468</v>
      </c>
      <c r="K773" s="92" t="s">
        <v>9469</v>
      </c>
      <c r="L773" s="92" t="s">
        <v>9470</v>
      </c>
      <c r="M773" s="92" t="s">
        <v>9471</v>
      </c>
      <c r="N773" s="92" t="s">
        <v>9472</v>
      </c>
      <c r="O773" s="92" t="s">
        <v>9473</v>
      </c>
      <c r="P773" s="92" t="s">
        <v>9474</v>
      </c>
      <c r="S773" s="6">
        <v>2100030273</v>
      </c>
      <c r="T773" s="92">
        <v>2000004113</v>
      </c>
      <c r="U773" s="92">
        <v>2100006027</v>
      </c>
      <c r="V773" s="92">
        <v>2100004040</v>
      </c>
      <c r="W773" s="92">
        <v>2000004041</v>
      </c>
      <c r="X773" s="92">
        <v>2000004002</v>
      </c>
      <c r="Y773" s="92">
        <v>2100001046</v>
      </c>
      <c r="Z773" s="92">
        <v>2000004111</v>
      </c>
      <c r="AA773" s="92">
        <v>2000004082</v>
      </c>
      <c r="AB773" s="92">
        <v>2100011247</v>
      </c>
      <c r="AE773" s="6" t="s">
        <v>184</v>
      </c>
      <c r="AF773" s="92" t="s">
        <v>201</v>
      </c>
      <c r="AG773" s="92" t="s">
        <v>745</v>
      </c>
      <c r="AH773" s="92" t="s">
        <v>201</v>
      </c>
      <c r="AI773" s="92" t="s">
        <v>201</v>
      </c>
      <c r="AJ773" s="92" t="s">
        <v>201</v>
      </c>
      <c r="AK773" s="92" t="s">
        <v>180</v>
      </c>
      <c r="AL773" s="92" t="s">
        <v>201</v>
      </c>
      <c r="AM773" s="92" t="s">
        <v>201</v>
      </c>
      <c r="AN773" s="92" t="s">
        <v>182</v>
      </c>
      <c r="AQ773" s="60" t="s">
        <v>186</v>
      </c>
      <c r="AR773" s="93" t="s">
        <v>186</v>
      </c>
      <c r="AS773" s="93" t="s">
        <v>186</v>
      </c>
      <c r="AT773" s="93" t="s">
        <v>186</v>
      </c>
      <c r="AU773" s="93" t="s">
        <v>186</v>
      </c>
      <c r="AV773" s="93" t="s">
        <v>186</v>
      </c>
      <c r="AW773" s="93" t="s">
        <v>187</v>
      </c>
      <c r="AX773" s="93" t="s">
        <v>186</v>
      </c>
      <c r="AY773" s="93" t="s">
        <v>186</v>
      </c>
      <c r="AZ773" s="93" t="s">
        <v>186</v>
      </c>
      <c r="BC773" s="60">
        <v>85155440569</v>
      </c>
      <c r="BD773" s="93">
        <v>83865817169</v>
      </c>
      <c r="BE773" s="93">
        <v>85701887794</v>
      </c>
      <c r="BF773" s="93">
        <v>82115546354</v>
      </c>
      <c r="BG773" s="93">
        <v>82138113836</v>
      </c>
      <c r="BH773" s="93">
        <v>81326263969</v>
      </c>
      <c r="BI773" s="93">
        <v>81256623369</v>
      </c>
      <c r="BJ773" s="93">
        <v>83199575090</v>
      </c>
      <c r="BK773" s="93">
        <v>85791135348</v>
      </c>
      <c r="BL773" s="93">
        <v>81225509592</v>
      </c>
      <c r="BO773" s="69">
        <v>60160936</v>
      </c>
      <c r="BP773" s="18" t="s">
        <v>9475</v>
      </c>
      <c r="BQ773" s="37">
        <v>45152</v>
      </c>
      <c r="BR773" s="8">
        <f t="shared" si="3"/>
        <v>10</v>
      </c>
    </row>
    <row r="774" spans="1:70" ht="14">
      <c r="A774" s="4" t="str">
        <v>Reguler Periode ke-118 I.A.3</v>
      </c>
      <c r="B774" s="4" t="s">
        <v>9452</v>
      </c>
      <c r="C774" s="4" t="s">
        <v>238</v>
      </c>
      <c r="D774" s="4" t="s">
        <v>9453</v>
      </c>
      <c r="E774" s="4"/>
      <c r="G774" s="6" t="s">
        <v>9476</v>
      </c>
      <c r="H774" s="92" t="s">
        <v>9477</v>
      </c>
      <c r="I774" s="92" t="s">
        <v>9478</v>
      </c>
      <c r="J774" s="92" t="s">
        <v>9479</v>
      </c>
      <c r="K774" s="92" t="s">
        <v>9480</v>
      </c>
      <c r="L774" s="92" t="s">
        <v>9481</v>
      </c>
      <c r="M774" s="92" t="s">
        <v>9482</v>
      </c>
      <c r="N774" s="92" t="s">
        <v>9483</v>
      </c>
      <c r="O774" s="92" t="s">
        <v>9484</v>
      </c>
      <c r="P774" s="92" t="s">
        <v>9485</v>
      </c>
      <c r="S774" s="6">
        <v>2100031124</v>
      </c>
      <c r="T774" s="92">
        <v>2100024073</v>
      </c>
      <c r="U774" s="92">
        <v>2000026047</v>
      </c>
      <c r="V774" s="92">
        <v>2100004008</v>
      </c>
      <c r="W774" s="92">
        <v>2100006024</v>
      </c>
      <c r="X774" s="92">
        <v>2100006039</v>
      </c>
      <c r="Y774" s="92">
        <v>2100030266</v>
      </c>
      <c r="Z774" s="92">
        <v>2000004074</v>
      </c>
      <c r="AA774" s="92">
        <v>2000025020</v>
      </c>
      <c r="AB774" s="92">
        <v>2100004015</v>
      </c>
      <c r="AE774" s="6" t="s">
        <v>185</v>
      </c>
      <c r="AF774" s="92" t="s">
        <v>924</v>
      </c>
      <c r="AG774" s="92" t="s">
        <v>570</v>
      </c>
      <c r="AH774" s="92" t="s">
        <v>201</v>
      </c>
      <c r="AI774" s="92" t="s">
        <v>745</v>
      </c>
      <c r="AJ774" s="92" t="s">
        <v>745</v>
      </c>
      <c r="AK774" s="92" t="s">
        <v>184</v>
      </c>
      <c r="AL774" s="92" t="s">
        <v>201</v>
      </c>
      <c r="AM774" s="92" t="s">
        <v>1168</v>
      </c>
      <c r="AN774" s="92" t="s">
        <v>201</v>
      </c>
      <c r="AQ774" s="60" t="s">
        <v>186</v>
      </c>
      <c r="AR774" s="93" t="s">
        <v>186</v>
      </c>
      <c r="AS774" s="93" t="s">
        <v>186</v>
      </c>
      <c r="AT774" s="93" t="s">
        <v>186</v>
      </c>
      <c r="AU774" s="93" t="s">
        <v>186</v>
      </c>
      <c r="AV774" s="93" t="s">
        <v>186</v>
      </c>
      <c r="AW774" s="93" t="s">
        <v>186</v>
      </c>
      <c r="AX774" s="93" t="s">
        <v>186</v>
      </c>
      <c r="AY774" s="93" t="s">
        <v>186</v>
      </c>
      <c r="AZ774" s="93" t="s">
        <v>186</v>
      </c>
      <c r="BC774" s="60">
        <v>87871572724</v>
      </c>
      <c r="BD774" s="93">
        <v>82323860383</v>
      </c>
      <c r="BE774" s="93">
        <v>89629647628</v>
      </c>
      <c r="BF774" s="93">
        <v>89668577858</v>
      </c>
      <c r="BG774" s="93">
        <v>85608248281</v>
      </c>
      <c r="BH774" s="93">
        <v>81331466544</v>
      </c>
      <c r="BI774" s="93">
        <v>88740060926</v>
      </c>
      <c r="BJ774" s="93">
        <v>895702810813</v>
      </c>
      <c r="BK774" s="93">
        <v>81254780284</v>
      </c>
      <c r="BL774" s="93">
        <v>81523753061</v>
      </c>
      <c r="BO774" s="69">
        <v>60160936</v>
      </c>
      <c r="BP774" s="18" t="s">
        <v>9486</v>
      </c>
      <c r="BQ774" s="37">
        <v>45152</v>
      </c>
      <c r="BR774" s="8">
        <f t="shared" si="3"/>
        <v>10</v>
      </c>
    </row>
    <row r="775" spans="1:70" ht="14">
      <c r="A775" s="4" t="str">
        <v>Reguler Periode ke-118 I.B.1</v>
      </c>
      <c r="B775" s="4" t="s">
        <v>9452</v>
      </c>
      <c r="C775" s="4" t="s">
        <v>260</v>
      </c>
      <c r="D775" s="4" t="s">
        <v>9066</v>
      </c>
      <c r="E775" s="4"/>
      <c r="G775" s="6" t="s">
        <v>9487</v>
      </c>
      <c r="H775" s="92" t="s">
        <v>4908</v>
      </c>
      <c r="I775" s="92" t="s">
        <v>9488</v>
      </c>
      <c r="J775" s="92" t="s">
        <v>9489</v>
      </c>
      <c r="K775" s="92" t="s">
        <v>9490</v>
      </c>
      <c r="L775" s="92" t="s">
        <v>9491</v>
      </c>
      <c r="M775" s="92" t="s">
        <v>9492</v>
      </c>
      <c r="N775" s="92" t="s">
        <v>9493</v>
      </c>
      <c r="O775" s="92" t="s">
        <v>9494</v>
      </c>
      <c r="P775" s="92" t="s">
        <v>9495</v>
      </c>
      <c r="S775" s="6">
        <v>2100024308</v>
      </c>
      <c r="T775" s="92">
        <v>2100006046</v>
      </c>
      <c r="U775" s="92">
        <v>2100025055</v>
      </c>
      <c r="V775" s="92">
        <v>2015004055</v>
      </c>
      <c r="W775" s="92">
        <v>2100024118</v>
      </c>
      <c r="X775" s="92">
        <v>2000026096</v>
      </c>
      <c r="Y775" s="92">
        <v>2100006035</v>
      </c>
      <c r="Z775" s="92">
        <v>2000004043</v>
      </c>
      <c r="AA775" s="92">
        <v>2000025002</v>
      </c>
      <c r="AB775" s="92">
        <v>2000004072</v>
      </c>
      <c r="AE775" s="6" t="s">
        <v>924</v>
      </c>
      <c r="AF775" s="92" t="s">
        <v>745</v>
      </c>
      <c r="AG775" s="92" t="s">
        <v>1168</v>
      </c>
      <c r="AH775" s="92" t="s">
        <v>201</v>
      </c>
      <c r="AI775" s="92" t="s">
        <v>924</v>
      </c>
      <c r="AJ775" s="92" t="s">
        <v>570</v>
      </c>
      <c r="AK775" s="92" t="s">
        <v>745</v>
      </c>
      <c r="AL775" s="92" t="s">
        <v>201</v>
      </c>
      <c r="AM775" s="92" t="s">
        <v>1168</v>
      </c>
      <c r="AN775" s="92" t="s">
        <v>201</v>
      </c>
      <c r="AQ775" s="60" t="s">
        <v>186</v>
      </c>
      <c r="AR775" s="93" t="s">
        <v>186</v>
      </c>
      <c r="AS775" s="93" t="s">
        <v>186</v>
      </c>
      <c r="AT775" s="93" t="s">
        <v>186</v>
      </c>
      <c r="AU775" s="93" t="s">
        <v>187</v>
      </c>
      <c r="AV775" s="93" t="s">
        <v>186</v>
      </c>
      <c r="AW775" s="93" t="s">
        <v>186</v>
      </c>
      <c r="AX775" s="93" t="s">
        <v>186</v>
      </c>
      <c r="AY775" s="93" t="s">
        <v>186</v>
      </c>
      <c r="AZ775" s="93" t="s">
        <v>186</v>
      </c>
      <c r="BC775" s="60">
        <v>85717080856</v>
      </c>
      <c r="BD775" s="93">
        <v>81326705850</v>
      </c>
      <c r="BE775" s="93">
        <v>81390995046</v>
      </c>
      <c r="BF775" s="93">
        <v>8973042929</v>
      </c>
      <c r="BG775" s="93">
        <v>87731124024</v>
      </c>
      <c r="BH775" s="93">
        <v>82123496891</v>
      </c>
      <c r="BI775" s="93">
        <v>81325543604</v>
      </c>
      <c r="BJ775" s="93">
        <v>8984416900</v>
      </c>
      <c r="BK775" s="93">
        <v>82127052364</v>
      </c>
      <c r="BL775" s="93">
        <v>85842683459</v>
      </c>
      <c r="BO775" s="69">
        <v>60181159</v>
      </c>
      <c r="BP775" s="18" t="s">
        <v>9496</v>
      </c>
      <c r="BQ775" s="37">
        <v>45152</v>
      </c>
      <c r="BR775" s="8">
        <f t="shared" si="3"/>
        <v>10</v>
      </c>
    </row>
    <row r="776" spans="1:70" ht="14">
      <c r="A776" s="4" t="str">
        <v>Reguler Periode ke-118 I.B.2</v>
      </c>
      <c r="B776" s="4" t="s">
        <v>9452</v>
      </c>
      <c r="C776" s="4" t="s">
        <v>280</v>
      </c>
      <c r="D776" s="4" t="s">
        <v>9066</v>
      </c>
      <c r="E776" s="4"/>
      <c r="G776" s="6" t="s">
        <v>9497</v>
      </c>
      <c r="H776" s="92" t="s">
        <v>9498</v>
      </c>
      <c r="I776" s="92" t="s">
        <v>9499</v>
      </c>
      <c r="J776" s="92" t="s">
        <v>9500</v>
      </c>
      <c r="K776" s="92" t="s">
        <v>9501</v>
      </c>
      <c r="L776" s="92" t="s">
        <v>9502</v>
      </c>
      <c r="M776" s="92" t="s">
        <v>9503</v>
      </c>
      <c r="N776" s="92" t="s">
        <v>9504</v>
      </c>
      <c r="O776" s="92" t="s">
        <v>9505</v>
      </c>
      <c r="P776" s="92" t="s">
        <v>9506</v>
      </c>
      <c r="S776" s="6">
        <v>2115006065</v>
      </c>
      <c r="T776" s="92">
        <v>2000026041</v>
      </c>
      <c r="U776" s="92">
        <v>2100024252</v>
      </c>
      <c r="V776" s="92">
        <v>2000026087</v>
      </c>
      <c r="W776" s="92">
        <v>2000004120</v>
      </c>
      <c r="X776" s="92">
        <v>2100028071</v>
      </c>
      <c r="Y776" s="92">
        <v>2100001125</v>
      </c>
      <c r="Z776" s="92">
        <v>2100030257</v>
      </c>
      <c r="AA776" s="92">
        <v>2000026038</v>
      </c>
      <c r="AB776" s="92">
        <v>2100001144</v>
      </c>
      <c r="AE776" s="6" t="s">
        <v>745</v>
      </c>
      <c r="AF776" s="92" t="s">
        <v>570</v>
      </c>
      <c r="AG776" s="92" t="s">
        <v>924</v>
      </c>
      <c r="AH776" s="92" t="s">
        <v>570</v>
      </c>
      <c r="AI776" s="92" t="s">
        <v>201</v>
      </c>
      <c r="AJ776" s="92" t="s">
        <v>678</v>
      </c>
      <c r="AK776" s="92" t="s">
        <v>180</v>
      </c>
      <c r="AL776" s="92" t="s">
        <v>184</v>
      </c>
      <c r="AM776" s="92" t="s">
        <v>570</v>
      </c>
      <c r="AN776" s="92" t="s">
        <v>180</v>
      </c>
      <c r="AQ776" s="60" t="s">
        <v>186</v>
      </c>
      <c r="AR776" s="93" t="s">
        <v>186</v>
      </c>
      <c r="AS776" s="93" t="s">
        <v>186</v>
      </c>
      <c r="AT776" s="93" t="s">
        <v>187</v>
      </c>
      <c r="AU776" s="93" t="s">
        <v>186</v>
      </c>
      <c r="AV776" s="93" t="s">
        <v>186</v>
      </c>
      <c r="AW776" s="93" t="s">
        <v>186</v>
      </c>
      <c r="AX776" s="93" t="s">
        <v>186</v>
      </c>
      <c r="AY776" s="93" t="s">
        <v>186</v>
      </c>
      <c r="AZ776" s="93" t="s">
        <v>186</v>
      </c>
      <c r="BC776" s="60">
        <v>81326752906</v>
      </c>
      <c r="BD776" s="93">
        <v>8164578076</v>
      </c>
      <c r="BE776" s="93">
        <v>82132073846</v>
      </c>
      <c r="BF776" s="93">
        <v>82157583306</v>
      </c>
      <c r="BG776" s="93">
        <v>8979251047</v>
      </c>
      <c r="BH776" s="93">
        <v>85609368665</v>
      </c>
      <c r="BI776" s="93">
        <v>81255030591</v>
      </c>
      <c r="BJ776" s="93">
        <v>82350302306</v>
      </c>
      <c r="BK776" s="93">
        <v>87842037788</v>
      </c>
      <c r="BL776" s="93">
        <v>81226429407</v>
      </c>
      <c r="BO776" s="69">
        <v>60181159</v>
      </c>
      <c r="BP776" s="18" t="s">
        <v>9507</v>
      </c>
      <c r="BQ776" s="37">
        <v>45152</v>
      </c>
      <c r="BR776" s="8">
        <f t="shared" si="3"/>
        <v>10</v>
      </c>
    </row>
    <row r="777" spans="1:70" ht="14">
      <c r="A777" s="4" t="str">
        <v>Reguler Periode ke-118 I.B.3</v>
      </c>
      <c r="B777" s="4" t="s">
        <v>9452</v>
      </c>
      <c r="C777" s="4" t="s">
        <v>299</v>
      </c>
      <c r="D777" s="4" t="s">
        <v>9066</v>
      </c>
      <c r="E777" s="4"/>
      <c r="G777" s="6" t="s">
        <v>9508</v>
      </c>
      <c r="H777" s="92" t="s">
        <v>9509</v>
      </c>
      <c r="I777" s="92" t="s">
        <v>9510</v>
      </c>
      <c r="J777" s="92" t="s">
        <v>5751</v>
      </c>
      <c r="K777" s="92" t="s">
        <v>9511</v>
      </c>
      <c r="L777" s="92" t="s">
        <v>9512</v>
      </c>
      <c r="M777" s="92" t="s">
        <v>9513</v>
      </c>
      <c r="N777" s="92" t="s">
        <v>9514</v>
      </c>
      <c r="O777" s="92" t="s">
        <v>9515</v>
      </c>
      <c r="P777" s="92" t="s">
        <v>9516</v>
      </c>
      <c r="S777" s="6">
        <v>2100011207</v>
      </c>
      <c r="T777" s="92">
        <v>2100028011</v>
      </c>
      <c r="U777" s="92">
        <v>2100007006</v>
      </c>
      <c r="V777" s="92">
        <v>2000006052</v>
      </c>
      <c r="W777" s="92">
        <v>2100006073</v>
      </c>
      <c r="X777" s="92">
        <v>2100031106</v>
      </c>
      <c r="Y777" s="92">
        <v>2000004044</v>
      </c>
      <c r="Z777" s="92">
        <v>2100006058</v>
      </c>
      <c r="AA777" s="92">
        <v>2000004011</v>
      </c>
      <c r="AB777" s="92">
        <v>2000026095</v>
      </c>
      <c r="AE777" s="6" t="s">
        <v>182</v>
      </c>
      <c r="AF777" s="92" t="s">
        <v>678</v>
      </c>
      <c r="AG777" s="92" t="s">
        <v>1021</v>
      </c>
      <c r="AH777" s="92" t="s">
        <v>745</v>
      </c>
      <c r="AI777" s="92" t="s">
        <v>745</v>
      </c>
      <c r="AJ777" s="92" t="s">
        <v>185</v>
      </c>
      <c r="AK777" s="92" t="s">
        <v>201</v>
      </c>
      <c r="AL777" s="92" t="s">
        <v>745</v>
      </c>
      <c r="AM777" s="92" t="s">
        <v>201</v>
      </c>
      <c r="AN777" s="92" t="s">
        <v>570</v>
      </c>
      <c r="AQ777" s="60" t="s">
        <v>186</v>
      </c>
      <c r="AR777" s="93" t="s">
        <v>186</v>
      </c>
      <c r="AS777" s="93" t="s">
        <v>186</v>
      </c>
      <c r="AT777" s="93" t="s">
        <v>186</v>
      </c>
      <c r="AU777" s="93" t="s">
        <v>186</v>
      </c>
      <c r="AV777" s="93" t="s">
        <v>186</v>
      </c>
      <c r="AW777" s="93" t="s">
        <v>186</v>
      </c>
      <c r="AX777" s="93" t="s">
        <v>186</v>
      </c>
      <c r="AY777" s="93" t="s">
        <v>186</v>
      </c>
      <c r="AZ777" s="93" t="s">
        <v>186</v>
      </c>
      <c r="BC777" s="60">
        <v>89620402877</v>
      </c>
      <c r="BD777" s="93">
        <v>82133446002</v>
      </c>
      <c r="BE777" s="93">
        <v>81804223217</v>
      </c>
      <c r="BF777" s="93">
        <v>82133832953</v>
      </c>
      <c r="BG777" s="93">
        <v>85961515445</v>
      </c>
      <c r="BH777" s="93">
        <v>85330550037</v>
      </c>
      <c r="BI777" s="93">
        <v>82283734920</v>
      </c>
      <c r="BJ777" s="93">
        <v>88274083795</v>
      </c>
      <c r="BK777" s="93">
        <v>85725593943</v>
      </c>
      <c r="BL777" s="93">
        <v>81348735528</v>
      </c>
      <c r="BO777" s="69">
        <v>60181159</v>
      </c>
      <c r="BP777" s="18" t="s">
        <v>9517</v>
      </c>
      <c r="BQ777" s="37">
        <v>45152</v>
      </c>
      <c r="BR777" s="8">
        <f t="shared" si="3"/>
        <v>10</v>
      </c>
    </row>
    <row r="778" spans="1:70" ht="14">
      <c r="A778" s="4" t="str">
        <v>Reguler Periode ke-124 I.A.1</v>
      </c>
      <c r="B778" s="4" t="s">
        <v>9518</v>
      </c>
      <c r="C778" s="4" t="s">
        <v>165</v>
      </c>
      <c r="D778" s="4" t="s">
        <v>9519</v>
      </c>
      <c r="E778" s="4"/>
      <c r="G778" s="6" t="s">
        <v>9520</v>
      </c>
      <c r="H778" s="92" t="s">
        <v>9521</v>
      </c>
      <c r="I778" s="92" t="s">
        <v>9105</v>
      </c>
      <c r="J778" s="92" t="s">
        <v>9522</v>
      </c>
      <c r="K778" s="92" t="s">
        <v>9523</v>
      </c>
      <c r="L778" s="92" t="s">
        <v>9524</v>
      </c>
      <c r="M778" s="92" t="s">
        <v>9525</v>
      </c>
      <c r="N778" s="92" t="s">
        <v>9526</v>
      </c>
      <c r="S778" s="6">
        <v>2000002021</v>
      </c>
      <c r="T778" s="92">
        <v>2000002026</v>
      </c>
      <c r="U778" s="92">
        <v>2000005341</v>
      </c>
      <c r="V778" s="92">
        <v>2000031191</v>
      </c>
      <c r="W778" s="92">
        <v>2100003054</v>
      </c>
      <c r="X778" s="92">
        <v>2100031094</v>
      </c>
      <c r="Y778" s="92">
        <v>2100031125</v>
      </c>
      <c r="Z778" s="92">
        <v>2100331005</v>
      </c>
      <c r="AE778" s="6" t="s">
        <v>1043</v>
      </c>
      <c r="AF778" s="92" t="s">
        <v>1043</v>
      </c>
      <c r="AG778" s="92" t="s">
        <v>181</v>
      </c>
      <c r="AH778" s="92" t="s">
        <v>185</v>
      </c>
      <c r="AI778" s="92" t="s">
        <v>178</v>
      </c>
      <c r="AJ778" s="92" t="s">
        <v>185</v>
      </c>
      <c r="AK778" s="92" t="s">
        <v>185</v>
      </c>
      <c r="AL778" s="92" t="s">
        <v>546</v>
      </c>
      <c r="AQ778" s="60" t="s">
        <v>186</v>
      </c>
      <c r="AR778" s="93" t="s">
        <v>186</v>
      </c>
      <c r="AS778" s="93" t="s">
        <v>186</v>
      </c>
      <c r="AT778" s="93" t="s">
        <v>186</v>
      </c>
      <c r="AU778" s="93" t="s">
        <v>186</v>
      </c>
      <c r="AV778" s="93" t="s">
        <v>186</v>
      </c>
      <c r="AW778" s="93" t="s">
        <v>187</v>
      </c>
      <c r="AX778" s="93" t="s">
        <v>186</v>
      </c>
      <c r="BC778" s="60">
        <v>81224395009</v>
      </c>
      <c r="BD778" s="93">
        <v>82339413623</v>
      </c>
      <c r="BE778" s="93">
        <v>81818902386</v>
      </c>
      <c r="BF778" s="93">
        <v>85709191478</v>
      </c>
      <c r="BG778" s="93">
        <v>82183713535</v>
      </c>
      <c r="BH778" s="93">
        <v>85291941281</v>
      </c>
      <c r="BI778" s="93">
        <v>85802703082</v>
      </c>
      <c r="BJ778" s="93">
        <v>83841890674</v>
      </c>
      <c r="BO778" s="69">
        <v>60140766</v>
      </c>
      <c r="BP778" s="18" t="s">
        <v>9527</v>
      </c>
      <c r="BQ778" s="37">
        <v>45214</v>
      </c>
      <c r="BR778" s="8">
        <f t="shared" si="3"/>
        <v>8</v>
      </c>
    </row>
    <row r="779" spans="1:70" ht="14">
      <c r="A779" s="4" t="str">
        <v>Reguler Periode ke-124 I.A.2</v>
      </c>
      <c r="B779" s="4" t="s">
        <v>9518</v>
      </c>
      <c r="C779" s="4" t="s">
        <v>216</v>
      </c>
      <c r="D779" s="4" t="s">
        <v>9519</v>
      </c>
      <c r="E779" s="4"/>
      <c r="G779" s="6" t="s">
        <v>9528</v>
      </c>
      <c r="H779" s="92" t="s">
        <v>9529</v>
      </c>
      <c r="I779" s="92" t="s">
        <v>9530</v>
      </c>
      <c r="J779" s="92" t="s">
        <v>3823</v>
      </c>
      <c r="K779" s="92" t="s">
        <v>9531</v>
      </c>
      <c r="L779" s="92" t="s">
        <v>9532</v>
      </c>
      <c r="M779" s="92" t="s">
        <v>9533</v>
      </c>
      <c r="N779" s="92" t="s">
        <v>9534</v>
      </c>
      <c r="O779" s="92" t="s">
        <v>9535</v>
      </c>
      <c r="S779" s="6">
        <v>2000002012</v>
      </c>
      <c r="T779" s="92">
        <v>2000002013</v>
      </c>
      <c r="U779" s="92">
        <v>2000002025</v>
      </c>
      <c r="V779" s="92">
        <v>2000031207</v>
      </c>
      <c r="W779" s="92">
        <v>2100004012</v>
      </c>
      <c r="X779" s="92">
        <v>2100006013</v>
      </c>
      <c r="Y779" s="92">
        <v>2111031072</v>
      </c>
      <c r="Z779" s="92">
        <v>2111331009</v>
      </c>
      <c r="AA779" s="92">
        <v>2111331010</v>
      </c>
      <c r="AE779" s="6" t="s">
        <v>1043</v>
      </c>
      <c r="AF779" s="92" t="s">
        <v>1043</v>
      </c>
      <c r="AG779" s="92" t="s">
        <v>1043</v>
      </c>
      <c r="AH779" s="92" t="s">
        <v>185</v>
      </c>
      <c r="AI779" s="92" t="s">
        <v>201</v>
      </c>
      <c r="AJ779" s="92" t="s">
        <v>745</v>
      </c>
      <c r="AK779" s="92" t="s">
        <v>185</v>
      </c>
      <c r="AL779" s="92" t="s">
        <v>546</v>
      </c>
      <c r="AM779" s="92" t="s">
        <v>546</v>
      </c>
      <c r="AQ779" s="60" t="s">
        <v>186</v>
      </c>
      <c r="AR779" s="93" t="s">
        <v>186</v>
      </c>
      <c r="AS779" s="93" t="s">
        <v>186</v>
      </c>
      <c r="AT779" s="93" t="s">
        <v>186</v>
      </c>
      <c r="AU779" s="93" t="s">
        <v>186</v>
      </c>
      <c r="AV779" s="93" t="s">
        <v>186</v>
      </c>
      <c r="AW779" s="93" t="s">
        <v>186</v>
      </c>
      <c r="AX779" s="93" t="s">
        <v>186</v>
      </c>
      <c r="AY779" s="93" t="s">
        <v>187</v>
      </c>
      <c r="BC779" s="60">
        <v>81212310653</v>
      </c>
      <c r="BD779" s="93">
        <v>88803948029</v>
      </c>
      <c r="BE779" s="93">
        <v>81396035121</v>
      </c>
      <c r="BF779" s="93">
        <v>89618576629</v>
      </c>
      <c r="BG779" s="93">
        <v>82175556390</v>
      </c>
      <c r="BH779" s="93">
        <v>85366705331</v>
      </c>
      <c r="BI779" s="93">
        <v>85747297877</v>
      </c>
      <c r="BJ779" s="93">
        <v>81806996179</v>
      </c>
      <c r="BK779" s="93">
        <v>89630544336</v>
      </c>
      <c r="BO779" s="69">
        <v>60140766</v>
      </c>
      <c r="BP779" s="18" t="s">
        <v>9536</v>
      </c>
      <c r="BQ779" s="37">
        <v>45214</v>
      </c>
      <c r="BR779" s="8">
        <f t="shared" si="3"/>
        <v>9</v>
      </c>
    </row>
    <row r="780" spans="1:70" ht="14">
      <c r="A780" s="4" t="str">
        <v>Reguler Periode ke-124 I.A.3</v>
      </c>
      <c r="B780" s="4" t="s">
        <v>9518</v>
      </c>
      <c r="C780" s="4" t="s">
        <v>238</v>
      </c>
      <c r="D780" s="4" t="s">
        <v>9519</v>
      </c>
      <c r="E780" s="4"/>
      <c r="G780" s="6" t="s">
        <v>9537</v>
      </c>
      <c r="H780" s="92" t="s">
        <v>9538</v>
      </c>
      <c r="I780" s="92" t="s">
        <v>9539</v>
      </c>
      <c r="J780" s="92" t="s">
        <v>9540</v>
      </c>
      <c r="K780" s="92" t="s">
        <v>9175</v>
      </c>
      <c r="L780" s="92" t="s">
        <v>9541</v>
      </c>
      <c r="M780" s="92" t="s">
        <v>9542</v>
      </c>
      <c r="N780" s="92" t="s">
        <v>9543</v>
      </c>
      <c r="S780" s="6">
        <v>2000002003</v>
      </c>
      <c r="T780" s="92">
        <v>2000002004</v>
      </c>
      <c r="U780" s="92">
        <v>2000002019</v>
      </c>
      <c r="V780" s="92">
        <v>2000005288</v>
      </c>
      <c r="W780" s="92">
        <v>2000031259</v>
      </c>
      <c r="X780" s="92">
        <v>2100001147</v>
      </c>
      <c r="Y780" s="92">
        <v>2100007014</v>
      </c>
      <c r="Z780" s="92">
        <v>2111331013</v>
      </c>
      <c r="AE780" s="6" t="s">
        <v>1043</v>
      </c>
      <c r="AF780" s="92" t="s">
        <v>1043</v>
      </c>
      <c r="AG780" s="92" t="s">
        <v>1043</v>
      </c>
      <c r="AH780" s="92" t="s">
        <v>181</v>
      </c>
      <c r="AI780" s="92" t="s">
        <v>185</v>
      </c>
      <c r="AJ780" s="92" t="s">
        <v>180</v>
      </c>
      <c r="AK780" s="92" t="s">
        <v>1021</v>
      </c>
      <c r="AL780" s="92" t="s">
        <v>546</v>
      </c>
      <c r="AQ780" s="60" t="s">
        <v>186</v>
      </c>
      <c r="AR780" s="93" t="s">
        <v>186</v>
      </c>
      <c r="AS780" s="93" t="s">
        <v>186</v>
      </c>
      <c r="AT780" s="93" t="s">
        <v>186</v>
      </c>
      <c r="AU780" s="93" t="s">
        <v>186</v>
      </c>
      <c r="AV780" s="93" t="s">
        <v>186</v>
      </c>
      <c r="AW780" s="93" t="s">
        <v>186</v>
      </c>
      <c r="AX780" s="93" t="s">
        <v>186</v>
      </c>
      <c r="BC780" s="60">
        <v>81226642210</v>
      </c>
      <c r="BD780" s="93">
        <v>87890998378</v>
      </c>
      <c r="BE780" s="93">
        <v>81216622939</v>
      </c>
      <c r="BF780" s="93">
        <v>87850865114</v>
      </c>
      <c r="BG780" s="93">
        <v>85601417359</v>
      </c>
      <c r="BH780" s="93">
        <v>81226865863</v>
      </c>
      <c r="BI780" s="93">
        <v>82231625322</v>
      </c>
      <c r="BJ780" s="93">
        <v>81392116667</v>
      </c>
      <c r="BO780" s="69">
        <v>60140766</v>
      </c>
      <c r="BP780" s="18" t="s">
        <v>9544</v>
      </c>
      <c r="BQ780" s="37">
        <v>45214</v>
      </c>
      <c r="BR780" s="8">
        <f t="shared" si="3"/>
        <v>8</v>
      </c>
    </row>
    <row r="781" spans="1:70" ht="12.5">
      <c r="A781" s="4" t="str">
        <v>Reguler Periode ke-114 I.A.1</v>
      </c>
      <c r="B781" s="4" t="s">
        <v>8170</v>
      </c>
      <c r="C781" s="4" t="s">
        <v>165</v>
      </c>
      <c r="D781" s="4" t="s">
        <v>6411</v>
      </c>
      <c r="E781" s="4" t="s">
        <v>6412</v>
      </c>
      <c r="G781" s="4" t="s">
        <v>8173</v>
      </c>
      <c r="H781" s="4" t="s">
        <v>8176</v>
      </c>
      <c r="I781" s="4" t="s">
        <v>8174</v>
      </c>
      <c r="J781" s="4" t="s">
        <v>8178</v>
      </c>
      <c r="K781" s="4" t="s">
        <v>8181</v>
      </c>
      <c r="L781" s="4" t="s">
        <v>8171</v>
      </c>
      <c r="M781" s="4" t="s">
        <v>8180</v>
      </c>
      <c r="N781" s="4" t="s">
        <v>8172</v>
      </c>
      <c r="S781" s="4">
        <v>2000016131</v>
      </c>
      <c r="T781" s="4">
        <v>2000028027</v>
      </c>
      <c r="U781" s="4">
        <v>2000025113</v>
      </c>
      <c r="V781" s="4">
        <v>2000028075</v>
      </c>
      <c r="W781" s="4">
        <v>2011028078</v>
      </c>
      <c r="X781" s="4">
        <v>2000012059</v>
      </c>
      <c r="Y781" s="4">
        <v>2011008045</v>
      </c>
      <c r="Z781" s="4">
        <v>2000016001</v>
      </c>
      <c r="AE781" s="4" t="s">
        <v>531</v>
      </c>
      <c r="AF781" s="4" t="s">
        <v>678</v>
      </c>
      <c r="AG781" s="4" t="s">
        <v>1168</v>
      </c>
      <c r="AH781" s="4" t="s">
        <v>678</v>
      </c>
      <c r="AI781" s="4" t="s">
        <v>678</v>
      </c>
      <c r="AJ781" s="4" t="s">
        <v>885</v>
      </c>
      <c r="AK781" s="4" t="s">
        <v>1111</v>
      </c>
      <c r="AL781" s="4" t="s">
        <v>531</v>
      </c>
      <c r="AQ781" s="4" t="s">
        <v>186</v>
      </c>
      <c r="AR781" s="4" t="s">
        <v>186</v>
      </c>
      <c r="AS781" s="4" t="s">
        <v>186</v>
      </c>
      <c r="AT781" s="4" t="s">
        <v>186</v>
      </c>
      <c r="AU781" s="4" t="s">
        <v>186</v>
      </c>
      <c r="AV781" s="4" t="s">
        <v>186</v>
      </c>
      <c r="AW781" s="4" t="s">
        <v>186</v>
      </c>
      <c r="AX781" s="4" t="s">
        <v>187</v>
      </c>
      <c r="BC781" s="4">
        <v>82132320019</v>
      </c>
      <c r="BD781" s="4">
        <v>82242895061</v>
      </c>
      <c r="BE781" s="4">
        <v>85853825971</v>
      </c>
      <c r="BF781" s="4">
        <v>82299951462</v>
      </c>
      <c r="BG781" s="4">
        <v>85755165361</v>
      </c>
      <c r="BH781" s="4">
        <v>82340157795</v>
      </c>
      <c r="BI781" s="4">
        <v>82166727039</v>
      </c>
      <c r="BJ781" s="4">
        <v>81220134103</v>
      </c>
      <c r="BP781" s="18" t="s">
        <v>9545</v>
      </c>
      <c r="BQ781" s="37">
        <v>45244</v>
      </c>
      <c r="BR781" s="8">
        <f t="shared" si="3"/>
        <v>8</v>
      </c>
    </row>
    <row r="782" spans="1:70" ht="12.5">
      <c r="A782" s="4" t="str">
        <v>Reguler Periode ke-120 I.A.1</v>
      </c>
      <c r="B782" s="4" t="s">
        <v>9546</v>
      </c>
      <c r="C782" s="4" t="s">
        <v>165</v>
      </c>
      <c r="D782" s="4" t="s">
        <v>9384</v>
      </c>
      <c r="E782" s="4" t="s">
        <v>9547</v>
      </c>
      <c r="F782" s="4" t="s">
        <v>9548</v>
      </c>
      <c r="G782" s="4" t="s">
        <v>9549</v>
      </c>
      <c r="H782" s="4" t="s">
        <v>9550</v>
      </c>
      <c r="I782" s="4" t="s">
        <v>9551</v>
      </c>
      <c r="J782" s="4" t="s">
        <v>9552</v>
      </c>
      <c r="K782" s="4" t="s">
        <v>9553</v>
      </c>
      <c r="L782" s="4" t="s">
        <v>9554</v>
      </c>
      <c r="M782" s="4" t="s">
        <v>9555</v>
      </c>
      <c r="N782" s="4" t="s">
        <v>9556</v>
      </c>
      <c r="O782" s="4" t="s">
        <v>9557</v>
      </c>
      <c r="P782" s="4" t="s">
        <v>9558</v>
      </c>
      <c r="Q782" s="4" t="s">
        <v>9559</v>
      </c>
      <c r="S782" s="4">
        <v>2000032146</v>
      </c>
      <c r="T782" s="4">
        <v>2000018428</v>
      </c>
      <c r="U782" s="4">
        <v>2000018395</v>
      </c>
      <c r="V782" s="4">
        <v>2000029101</v>
      </c>
      <c r="W782" s="4">
        <v>2000018363</v>
      </c>
      <c r="X782" s="4">
        <v>2000018314</v>
      </c>
      <c r="Y782" s="4">
        <v>2000018302</v>
      </c>
      <c r="Z782" s="4">
        <v>2000008019</v>
      </c>
      <c r="AA782" s="4">
        <v>2000004004</v>
      </c>
      <c r="AB782" s="4">
        <v>2000036013</v>
      </c>
      <c r="AC782" s="4">
        <v>2000032145</v>
      </c>
      <c r="AE782" s="4" t="s">
        <v>732</v>
      </c>
      <c r="AF782" s="4" t="s">
        <v>179</v>
      </c>
      <c r="AG782" s="4" t="s">
        <v>179</v>
      </c>
      <c r="AH782" s="4" t="s">
        <v>533</v>
      </c>
      <c r="AI782" s="4" t="s">
        <v>179</v>
      </c>
      <c r="AJ782" s="4" t="s">
        <v>179</v>
      </c>
      <c r="AK782" s="4" t="s">
        <v>179</v>
      </c>
      <c r="AL782" s="4" t="s">
        <v>1111</v>
      </c>
      <c r="AM782" s="4" t="s">
        <v>201</v>
      </c>
      <c r="AN782" s="4" t="s">
        <v>227</v>
      </c>
      <c r="AO782" s="4" t="s">
        <v>732</v>
      </c>
      <c r="AQ782" s="4" t="s">
        <v>186</v>
      </c>
      <c r="AR782" s="4" t="s">
        <v>187</v>
      </c>
      <c r="AS782" s="4" t="s">
        <v>187</v>
      </c>
      <c r="AT782" s="4" t="s">
        <v>186</v>
      </c>
      <c r="AU782" s="4" t="s">
        <v>187</v>
      </c>
      <c r="AV782" s="4" t="s">
        <v>187</v>
      </c>
      <c r="AW782" s="4" t="s">
        <v>187</v>
      </c>
      <c r="AX782" s="4" t="s">
        <v>186</v>
      </c>
      <c r="AY782" s="4" t="s">
        <v>186</v>
      </c>
      <c r="AZ782" s="4" t="s">
        <v>186</v>
      </c>
      <c r="BA782" s="4" t="s">
        <v>186</v>
      </c>
      <c r="BC782" s="4">
        <v>81228081973</v>
      </c>
      <c r="BD782" s="4">
        <v>81357969651</v>
      </c>
      <c r="BE782" s="4">
        <v>82255538430</v>
      </c>
      <c r="BF782" s="4">
        <v>85243807331</v>
      </c>
      <c r="BG782" s="4">
        <v>85139047485</v>
      </c>
      <c r="BH782" s="4">
        <v>85338268955</v>
      </c>
      <c r="BI782" s="4">
        <v>82181869765</v>
      </c>
      <c r="BJ782" s="4">
        <v>81226411192</v>
      </c>
      <c r="BK782" s="4">
        <v>85780050621</v>
      </c>
      <c r="BL782" s="4">
        <v>82339269696</v>
      </c>
      <c r="BM782" s="4">
        <v>81353748706</v>
      </c>
      <c r="BP782" s="18" t="s">
        <v>9560</v>
      </c>
      <c r="BQ782" s="37">
        <v>45320</v>
      </c>
      <c r="BR782" s="8">
        <f t="shared" si="3"/>
        <v>11</v>
      </c>
    </row>
    <row r="783" spans="1:70" ht="14">
      <c r="A783" s="4" t="str">
        <v>Reguler Periode ke-119 I.A.1</v>
      </c>
      <c r="B783" s="4" t="s">
        <v>9561</v>
      </c>
      <c r="C783" s="4" t="s">
        <v>165</v>
      </c>
      <c r="D783" s="4" t="s">
        <v>9562</v>
      </c>
      <c r="E783" s="4" t="s">
        <v>2075</v>
      </c>
      <c r="F783" s="4" t="s">
        <v>2076</v>
      </c>
      <c r="G783" s="6" t="s">
        <v>9563</v>
      </c>
      <c r="H783" s="92" t="s">
        <v>9564</v>
      </c>
      <c r="I783" s="92" t="s">
        <v>9565</v>
      </c>
      <c r="J783" s="92" t="s">
        <v>9566</v>
      </c>
      <c r="K783" s="92" t="s">
        <v>9567</v>
      </c>
      <c r="L783" s="92" t="s">
        <v>9568</v>
      </c>
      <c r="M783" s="92" t="s">
        <v>9569</v>
      </c>
      <c r="N783" s="92" t="s">
        <v>9570</v>
      </c>
      <c r="O783" s="92" t="s">
        <v>9571</v>
      </c>
      <c r="S783" s="6">
        <v>2000001022</v>
      </c>
      <c r="T783" s="92">
        <v>2000005326</v>
      </c>
      <c r="U783" s="92">
        <v>2000011319</v>
      </c>
      <c r="V783" s="92">
        <v>2000016015</v>
      </c>
      <c r="W783" s="92">
        <v>2000018304</v>
      </c>
      <c r="X783" s="92">
        <v>2000022004</v>
      </c>
      <c r="Y783" s="92">
        <v>2000031210</v>
      </c>
      <c r="Z783" s="92">
        <v>2000032054</v>
      </c>
      <c r="AA783" s="92">
        <v>2015026109</v>
      </c>
      <c r="AE783" s="6" t="s">
        <v>180</v>
      </c>
      <c r="AF783" s="92" t="s">
        <v>181</v>
      </c>
      <c r="AG783" s="92" t="s">
        <v>182</v>
      </c>
      <c r="AH783" s="92" t="s">
        <v>531</v>
      </c>
      <c r="AI783" s="92" t="s">
        <v>179</v>
      </c>
      <c r="AJ783" s="92" t="s">
        <v>872</v>
      </c>
      <c r="AK783" s="92" t="s">
        <v>185</v>
      </c>
      <c r="AL783" s="92" t="s">
        <v>732</v>
      </c>
      <c r="AM783" s="92" t="s">
        <v>570</v>
      </c>
      <c r="AQ783" s="6" t="s">
        <v>187</v>
      </c>
      <c r="AR783" s="92" t="s">
        <v>186</v>
      </c>
      <c r="AS783" s="92" t="s">
        <v>186</v>
      </c>
      <c r="AT783" s="92" t="s">
        <v>187</v>
      </c>
      <c r="AU783" s="92" t="s">
        <v>186</v>
      </c>
      <c r="AV783" s="92" t="s">
        <v>187</v>
      </c>
      <c r="AW783" s="92" t="s">
        <v>187</v>
      </c>
      <c r="AX783" s="92" t="s">
        <v>186</v>
      </c>
      <c r="AY783" s="92" t="s">
        <v>186</v>
      </c>
      <c r="BC783" s="60">
        <v>82378695286</v>
      </c>
      <c r="BD783" s="93">
        <v>85333670255</v>
      </c>
      <c r="BE783" s="93">
        <v>82372551239</v>
      </c>
      <c r="BF783" s="93">
        <v>85751080434</v>
      </c>
      <c r="BG783" s="93">
        <v>81991975773</v>
      </c>
      <c r="BH783" s="93">
        <v>85348429494</v>
      </c>
      <c r="BI783" s="93">
        <v>81578023325</v>
      </c>
      <c r="BJ783" s="93">
        <v>82292636717</v>
      </c>
      <c r="BK783" s="93">
        <v>83155778118</v>
      </c>
      <c r="BP783" s="18" t="s">
        <v>9572</v>
      </c>
      <c r="BQ783" s="37">
        <v>45320</v>
      </c>
      <c r="BR783" s="8">
        <f t="shared" si="3"/>
        <v>9</v>
      </c>
    </row>
    <row r="784" spans="1:70" ht="14">
      <c r="A784" s="4" t="str">
        <v>Reguler Periode ke-119 I.A.2</v>
      </c>
      <c r="B784" s="4" t="s">
        <v>9561</v>
      </c>
      <c r="C784" s="4" t="s">
        <v>216</v>
      </c>
      <c r="D784" s="4" t="s">
        <v>9562</v>
      </c>
      <c r="E784" s="4" t="s">
        <v>2088</v>
      </c>
      <c r="F784" s="4" t="s">
        <v>2076</v>
      </c>
      <c r="G784" s="6" t="s">
        <v>9573</v>
      </c>
      <c r="H784" s="92" t="s">
        <v>9574</v>
      </c>
      <c r="I784" s="92" t="s">
        <v>9575</v>
      </c>
      <c r="J784" s="92" t="s">
        <v>9576</v>
      </c>
      <c r="K784" s="92" t="s">
        <v>9577</v>
      </c>
      <c r="L784" s="92" t="s">
        <v>9578</v>
      </c>
      <c r="M784" s="92" t="s">
        <v>9579</v>
      </c>
      <c r="N784" s="92" t="s">
        <v>9580</v>
      </c>
      <c r="O784" s="92" t="s">
        <v>9581</v>
      </c>
      <c r="S784" s="6">
        <v>2000001095</v>
      </c>
      <c r="T784" s="92">
        <v>2000005023</v>
      </c>
      <c r="U784" s="92">
        <v>2000011410</v>
      </c>
      <c r="V784" s="92">
        <v>2000016011</v>
      </c>
      <c r="W784" s="92">
        <v>2000018037</v>
      </c>
      <c r="X784" s="92">
        <v>2000022061</v>
      </c>
      <c r="Y784" s="92">
        <v>2000026106</v>
      </c>
      <c r="Z784" s="92">
        <v>2000031122</v>
      </c>
      <c r="AA784" s="92">
        <v>2000032169</v>
      </c>
      <c r="AE784" s="6" t="s">
        <v>180</v>
      </c>
      <c r="AF784" s="92" t="s">
        <v>181</v>
      </c>
      <c r="AG784" s="92" t="s">
        <v>182</v>
      </c>
      <c r="AH784" s="92" t="s">
        <v>531</v>
      </c>
      <c r="AI784" s="92" t="s">
        <v>179</v>
      </c>
      <c r="AJ784" s="92" t="s">
        <v>872</v>
      </c>
      <c r="AK784" s="92" t="s">
        <v>570</v>
      </c>
      <c r="AL784" s="92" t="s">
        <v>185</v>
      </c>
      <c r="AM784" s="92" t="s">
        <v>732</v>
      </c>
      <c r="AQ784" s="6" t="s">
        <v>187</v>
      </c>
      <c r="AR784" s="92" t="s">
        <v>186</v>
      </c>
      <c r="AS784" s="92" t="s">
        <v>186</v>
      </c>
      <c r="AT784" s="92" t="s">
        <v>187</v>
      </c>
      <c r="AU784" s="92" t="s">
        <v>186</v>
      </c>
      <c r="AV784" s="92" t="s">
        <v>187</v>
      </c>
      <c r="AW784" s="92" t="s">
        <v>186</v>
      </c>
      <c r="AX784" s="92" t="s">
        <v>187</v>
      </c>
      <c r="AY784" s="92" t="s">
        <v>186</v>
      </c>
      <c r="BC784" s="60">
        <v>8990055018</v>
      </c>
      <c r="BD784" s="93">
        <v>89652176297</v>
      </c>
      <c r="BE784" s="93">
        <v>895423447248</v>
      </c>
      <c r="BF784" s="93">
        <v>85337937044</v>
      </c>
      <c r="BG784" s="93">
        <v>81328169549</v>
      </c>
      <c r="BH784" s="93">
        <v>81266510530</v>
      </c>
      <c r="BI784" s="93">
        <v>895415042739</v>
      </c>
      <c r="BJ784" s="93">
        <v>85271829979</v>
      </c>
      <c r="BK784" s="93">
        <v>81229891793</v>
      </c>
      <c r="BP784" s="18" t="s">
        <v>9582</v>
      </c>
      <c r="BQ784" s="37">
        <v>45320</v>
      </c>
      <c r="BR784" s="8">
        <f t="shared" si="3"/>
        <v>9</v>
      </c>
    </row>
    <row r="785" spans="1:70" ht="14">
      <c r="A785" s="4" t="str">
        <v>Reguler Periode ke-119 I.A.3</v>
      </c>
      <c r="B785" s="4" t="s">
        <v>9561</v>
      </c>
      <c r="C785" s="4" t="s">
        <v>238</v>
      </c>
      <c r="D785" s="4" t="s">
        <v>9562</v>
      </c>
      <c r="E785" s="4" t="s">
        <v>2100</v>
      </c>
      <c r="F785" s="4" t="s">
        <v>2076</v>
      </c>
      <c r="G785" s="6" t="s">
        <v>9583</v>
      </c>
      <c r="H785" s="92" t="s">
        <v>9584</v>
      </c>
      <c r="I785" s="92" t="s">
        <v>9585</v>
      </c>
      <c r="J785" s="92" t="s">
        <v>9586</v>
      </c>
      <c r="K785" s="92" t="s">
        <v>9587</v>
      </c>
      <c r="L785" s="92" t="s">
        <v>9588</v>
      </c>
      <c r="M785" s="92" t="s">
        <v>9589</v>
      </c>
      <c r="N785" s="92" t="s">
        <v>9590</v>
      </c>
      <c r="O785" s="92" t="s">
        <v>9591</v>
      </c>
      <c r="S785" s="6">
        <v>1800031235</v>
      </c>
      <c r="T785" s="92">
        <v>2000001125</v>
      </c>
      <c r="U785" s="92">
        <v>2000005236</v>
      </c>
      <c r="V785" s="92">
        <v>2000011025</v>
      </c>
      <c r="W785" s="92">
        <v>2000016127</v>
      </c>
      <c r="X785" s="92">
        <v>2000018241</v>
      </c>
      <c r="Y785" s="92">
        <v>2000022059</v>
      </c>
      <c r="Z785" s="92">
        <v>2000026116</v>
      </c>
      <c r="AA785" s="92">
        <v>2000032139</v>
      </c>
      <c r="AE785" s="6" t="s">
        <v>185</v>
      </c>
      <c r="AF785" s="92" t="s">
        <v>180</v>
      </c>
      <c r="AG785" s="92" t="s">
        <v>181</v>
      </c>
      <c r="AH785" s="92" t="s">
        <v>182</v>
      </c>
      <c r="AI785" s="92" t="s">
        <v>531</v>
      </c>
      <c r="AJ785" s="92" t="s">
        <v>179</v>
      </c>
      <c r="AK785" s="92" t="s">
        <v>872</v>
      </c>
      <c r="AL785" s="92" t="s">
        <v>570</v>
      </c>
      <c r="AM785" s="92" t="s">
        <v>732</v>
      </c>
      <c r="AQ785" s="6" t="s">
        <v>187</v>
      </c>
      <c r="AR785" s="92" t="s">
        <v>187</v>
      </c>
      <c r="AS785" s="92" t="s">
        <v>186</v>
      </c>
      <c r="AT785" s="92" t="s">
        <v>186</v>
      </c>
      <c r="AU785" s="92" t="s">
        <v>187</v>
      </c>
      <c r="AV785" s="92" t="s">
        <v>186</v>
      </c>
      <c r="AW785" s="92" t="s">
        <v>187</v>
      </c>
      <c r="AX785" s="92" t="s">
        <v>186</v>
      </c>
      <c r="AY785" s="92" t="s">
        <v>186</v>
      </c>
      <c r="BC785" s="60">
        <v>89674078021</v>
      </c>
      <c r="BD785" s="93">
        <v>82151743716</v>
      </c>
      <c r="BE785" s="93">
        <v>87884394912</v>
      </c>
      <c r="BF785" s="93">
        <v>82235239609</v>
      </c>
      <c r="BG785" s="93">
        <v>88806215277</v>
      </c>
      <c r="BH785" s="93">
        <v>81343430354</v>
      </c>
      <c r="BI785" s="93">
        <v>88238966794</v>
      </c>
      <c r="BJ785" s="93">
        <v>81575053603</v>
      </c>
      <c r="BK785" s="93">
        <v>882003482612</v>
      </c>
      <c r="BP785" s="18" t="s">
        <v>9592</v>
      </c>
      <c r="BQ785" s="37">
        <v>45320</v>
      </c>
      <c r="BR785" s="8">
        <f t="shared" si="3"/>
        <v>9</v>
      </c>
    </row>
    <row r="786" spans="1:70" ht="14">
      <c r="A786" s="4" t="str">
        <v>Reguler Periode ke-119 I.B.1</v>
      </c>
      <c r="B786" s="4" t="s">
        <v>9561</v>
      </c>
      <c r="C786" s="4" t="s">
        <v>260</v>
      </c>
      <c r="D786" s="4" t="s">
        <v>2213</v>
      </c>
      <c r="E786" s="4" t="s">
        <v>2214</v>
      </c>
      <c r="F786" s="4" t="s">
        <v>2076</v>
      </c>
      <c r="G786" s="6" t="s">
        <v>9593</v>
      </c>
      <c r="H786" s="92" t="s">
        <v>9594</v>
      </c>
      <c r="I786" s="92" t="s">
        <v>9595</v>
      </c>
      <c r="J786" s="92" t="s">
        <v>9596</v>
      </c>
      <c r="K786" s="92" t="s">
        <v>9597</v>
      </c>
      <c r="L786" s="92" t="s">
        <v>9598</v>
      </c>
      <c r="M786" s="92" t="s">
        <v>9599</v>
      </c>
      <c r="N786" s="92" t="s">
        <v>9600</v>
      </c>
      <c r="O786" s="92" t="s">
        <v>9601</v>
      </c>
      <c r="S786" s="6">
        <v>2000001029</v>
      </c>
      <c r="T786" s="92">
        <v>2000005293</v>
      </c>
      <c r="U786" s="92">
        <v>2000011272</v>
      </c>
      <c r="V786" s="92">
        <v>2000016020</v>
      </c>
      <c r="W786" s="92">
        <v>2000018118</v>
      </c>
      <c r="X786" s="92">
        <v>2000022003</v>
      </c>
      <c r="Y786" s="92">
        <v>2000026031</v>
      </c>
      <c r="Z786" s="92">
        <v>2000031240</v>
      </c>
      <c r="AA786" s="92">
        <v>2000032174</v>
      </c>
      <c r="AE786" s="6" t="s">
        <v>180</v>
      </c>
      <c r="AF786" s="92" t="s">
        <v>181</v>
      </c>
      <c r="AG786" s="92" t="s">
        <v>182</v>
      </c>
      <c r="AH786" s="92" t="s">
        <v>531</v>
      </c>
      <c r="AI786" s="92" t="s">
        <v>179</v>
      </c>
      <c r="AJ786" s="92" t="s">
        <v>872</v>
      </c>
      <c r="AK786" s="92" t="s">
        <v>570</v>
      </c>
      <c r="AL786" s="92" t="s">
        <v>185</v>
      </c>
      <c r="AM786" s="92" t="s">
        <v>732</v>
      </c>
      <c r="AQ786" s="6" t="s">
        <v>187</v>
      </c>
      <c r="AR786" s="92" t="s">
        <v>186</v>
      </c>
      <c r="AS786" s="92" t="s">
        <v>186</v>
      </c>
      <c r="AT786" s="92" t="s">
        <v>187</v>
      </c>
      <c r="AU786" s="92" t="s">
        <v>186</v>
      </c>
      <c r="AV786" s="92" t="s">
        <v>187</v>
      </c>
      <c r="AW786" s="92" t="s">
        <v>186</v>
      </c>
      <c r="AX786" s="92" t="s">
        <v>187</v>
      </c>
      <c r="AY786" s="92" t="s">
        <v>186</v>
      </c>
      <c r="BC786" s="60">
        <v>81321358081</v>
      </c>
      <c r="BD786" s="93">
        <v>81229043806</v>
      </c>
      <c r="BE786" s="93">
        <v>82144415473</v>
      </c>
      <c r="BF786" s="93">
        <v>85921783833</v>
      </c>
      <c r="BG786" s="93">
        <v>81802128911</v>
      </c>
      <c r="BH786" s="93">
        <v>85333018956</v>
      </c>
      <c r="BI786" s="93">
        <v>81250866272</v>
      </c>
      <c r="BJ786" s="93">
        <v>81327023406</v>
      </c>
      <c r="BK786" s="93">
        <v>89671296806</v>
      </c>
      <c r="BP786" s="18" t="s">
        <v>9602</v>
      </c>
      <c r="BQ786" s="37">
        <v>45320</v>
      </c>
      <c r="BR786" s="8">
        <f t="shared" si="3"/>
        <v>9</v>
      </c>
    </row>
    <row r="787" spans="1:70" ht="14">
      <c r="A787" s="4" t="str">
        <v>Reguler Periode ke-119 I.B.2</v>
      </c>
      <c r="B787" s="4" t="s">
        <v>9561</v>
      </c>
      <c r="C787" s="4" t="s">
        <v>280</v>
      </c>
      <c r="D787" s="4" t="s">
        <v>2213</v>
      </c>
      <c r="E787" s="4" t="s">
        <v>2225</v>
      </c>
      <c r="F787" s="4" t="s">
        <v>2076</v>
      </c>
      <c r="G787" s="6" t="s">
        <v>9603</v>
      </c>
      <c r="H787" s="92" t="s">
        <v>9604</v>
      </c>
      <c r="I787" s="92" t="s">
        <v>9605</v>
      </c>
      <c r="J787" s="92" t="s">
        <v>9606</v>
      </c>
      <c r="K787" s="92" t="s">
        <v>9607</v>
      </c>
      <c r="L787" s="92" t="s">
        <v>9608</v>
      </c>
      <c r="M787" s="92" t="s">
        <v>9609</v>
      </c>
      <c r="N787" s="92" t="s">
        <v>9610</v>
      </c>
      <c r="O787" s="92" t="s">
        <v>9611</v>
      </c>
      <c r="S787" s="6">
        <v>1900016143</v>
      </c>
      <c r="T787" s="92">
        <v>1900031197</v>
      </c>
      <c r="U787" s="92">
        <v>2000001037</v>
      </c>
      <c r="V787" s="92">
        <v>2000005168</v>
      </c>
      <c r="W787" s="92">
        <v>2000011047</v>
      </c>
      <c r="X787" s="92">
        <v>2000018227</v>
      </c>
      <c r="Y787" s="92">
        <v>2000022034</v>
      </c>
      <c r="Z787" s="92">
        <v>2000026008</v>
      </c>
      <c r="AA787" s="92">
        <v>2000032111</v>
      </c>
      <c r="AE787" s="6" t="s">
        <v>531</v>
      </c>
      <c r="AF787" s="92" t="s">
        <v>185</v>
      </c>
      <c r="AG787" s="92" t="s">
        <v>180</v>
      </c>
      <c r="AH787" s="92" t="s">
        <v>181</v>
      </c>
      <c r="AI787" s="92" t="s">
        <v>182</v>
      </c>
      <c r="AJ787" s="92" t="s">
        <v>179</v>
      </c>
      <c r="AK787" s="92" t="s">
        <v>872</v>
      </c>
      <c r="AL787" s="92" t="s">
        <v>570</v>
      </c>
      <c r="AM787" s="92" t="s">
        <v>732</v>
      </c>
      <c r="AQ787" s="6" t="s">
        <v>187</v>
      </c>
      <c r="AR787" s="92" t="s">
        <v>187</v>
      </c>
      <c r="AS787" s="92" t="s">
        <v>187</v>
      </c>
      <c r="AT787" s="92" t="s">
        <v>186</v>
      </c>
      <c r="AU787" s="92" t="s">
        <v>186</v>
      </c>
      <c r="AV787" s="92" t="s">
        <v>186</v>
      </c>
      <c r="AW787" s="92" t="s">
        <v>187</v>
      </c>
      <c r="AX787" s="92" t="s">
        <v>186</v>
      </c>
      <c r="AY787" s="92" t="s">
        <v>186</v>
      </c>
      <c r="BC787" s="60">
        <v>82299715503</v>
      </c>
      <c r="BD787" s="93">
        <v>81338180630</v>
      </c>
      <c r="BE787" s="93">
        <v>85379262802</v>
      </c>
      <c r="BF787" s="93">
        <v>85766750419</v>
      </c>
      <c r="BG787" s="93">
        <v>83148459434</v>
      </c>
      <c r="BH787" s="93">
        <v>85366952806</v>
      </c>
      <c r="BI787" s="93">
        <v>85669924492</v>
      </c>
      <c r="BJ787" s="93">
        <v>82242525398</v>
      </c>
      <c r="BK787" s="93">
        <v>87719301894</v>
      </c>
      <c r="BP787" s="18" t="s">
        <v>9612</v>
      </c>
      <c r="BQ787" s="37">
        <v>45320</v>
      </c>
      <c r="BR787" s="8">
        <f t="shared" si="3"/>
        <v>9</v>
      </c>
    </row>
    <row r="788" spans="1:70" ht="14">
      <c r="A788" s="4" t="str">
        <v>Reguler Periode ke-119 I.B.3</v>
      </c>
      <c r="B788" s="4" t="s">
        <v>9561</v>
      </c>
      <c r="C788" s="4" t="s">
        <v>299</v>
      </c>
      <c r="D788" s="4" t="s">
        <v>2213</v>
      </c>
      <c r="E788" s="4" t="s">
        <v>2238</v>
      </c>
      <c r="F788" s="4" t="s">
        <v>2076</v>
      </c>
      <c r="G788" s="6" t="s">
        <v>9613</v>
      </c>
      <c r="H788" s="92" t="s">
        <v>9614</v>
      </c>
      <c r="I788" s="92" t="s">
        <v>9615</v>
      </c>
      <c r="J788" s="92" t="s">
        <v>9616</v>
      </c>
      <c r="K788" s="92" t="s">
        <v>9617</v>
      </c>
      <c r="L788" s="92" t="s">
        <v>9618</v>
      </c>
      <c r="M788" s="92" t="s">
        <v>9619</v>
      </c>
      <c r="N788" s="92" t="s">
        <v>9620</v>
      </c>
      <c r="O788" s="92" t="s">
        <v>9621</v>
      </c>
      <c r="S788" s="6">
        <v>2000001083</v>
      </c>
      <c r="T788" s="92">
        <v>2000005055</v>
      </c>
      <c r="U788" s="92">
        <v>2000011345</v>
      </c>
      <c r="V788" s="92">
        <v>2000016030</v>
      </c>
      <c r="W788" s="92">
        <v>2000018031</v>
      </c>
      <c r="X788" s="92">
        <v>2000022058</v>
      </c>
      <c r="Y788" s="92">
        <v>2000026003</v>
      </c>
      <c r="Z788" s="92">
        <v>2000031162</v>
      </c>
      <c r="AA788" s="92">
        <v>2000032020</v>
      </c>
      <c r="AE788" s="6" t="s">
        <v>180</v>
      </c>
      <c r="AF788" s="92" t="s">
        <v>181</v>
      </c>
      <c r="AG788" s="92" t="s">
        <v>182</v>
      </c>
      <c r="AH788" s="92" t="s">
        <v>531</v>
      </c>
      <c r="AI788" s="92" t="s">
        <v>179</v>
      </c>
      <c r="AJ788" s="92" t="s">
        <v>872</v>
      </c>
      <c r="AK788" s="92" t="s">
        <v>570</v>
      </c>
      <c r="AL788" s="92" t="s">
        <v>185</v>
      </c>
      <c r="AM788" s="92" t="s">
        <v>732</v>
      </c>
      <c r="AQ788" s="6" t="s">
        <v>187</v>
      </c>
      <c r="AR788" s="92" t="s">
        <v>186</v>
      </c>
      <c r="AS788" s="92" t="s">
        <v>186</v>
      </c>
      <c r="AT788" s="92" t="s">
        <v>187</v>
      </c>
      <c r="AU788" s="92" t="s">
        <v>186</v>
      </c>
      <c r="AV788" s="92" t="s">
        <v>187</v>
      </c>
      <c r="AW788" s="92" t="s">
        <v>186</v>
      </c>
      <c r="AX788" s="92" t="s">
        <v>187</v>
      </c>
      <c r="AY788" s="92" t="s">
        <v>186</v>
      </c>
      <c r="BC788" s="60">
        <v>89515750960</v>
      </c>
      <c r="BD788" s="93">
        <v>87773189740</v>
      </c>
      <c r="BE788" s="93">
        <v>85217537914</v>
      </c>
      <c r="BF788" s="93">
        <v>83161520220</v>
      </c>
      <c r="BG788" s="93">
        <v>81327266389</v>
      </c>
      <c r="BH788" s="93">
        <v>87738119443</v>
      </c>
      <c r="BI788" s="93">
        <v>81346533324</v>
      </c>
      <c r="BJ788" s="93">
        <v>81378721174</v>
      </c>
      <c r="BK788" s="93">
        <v>895365345444</v>
      </c>
      <c r="BP788" s="18" t="s">
        <v>9622</v>
      </c>
      <c r="BQ788" s="37">
        <v>45320</v>
      </c>
      <c r="BR788" s="8">
        <f t="shared" si="3"/>
        <v>9</v>
      </c>
    </row>
    <row r="789" spans="1:70" ht="14">
      <c r="A789" s="4" t="str">
        <v>Reguler Periode ke-119 I.C.1</v>
      </c>
      <c r="B789" s="4" t="s">
        <v>9561</v>
      </c>
      <c r="C789" s="4" t="s">
        <v>320</v>
      </c>
      <c r="D789" s="4" t="s">
        <v>2249</v>
      </c>
      <c r="E789" s="4" t="s">
        <v>2250</v>
      </c>
      <c r="F789" s="4" t="s">
        <v>2076</v>
      </c>
      <c r="G789" s="6" t="s">
        <v>9623</v>
      </c>
      <c r="H789" s="92" t="s">
        <v>9624</v>
      </c>
      <c r="I789" s="92" t="s">
        <v>4963</v>
      </c>
      <c r="J789" s="92" t="s">
        <v>9625</v>
      </c>
      <c r="K789" s="92" t="s">
        <v>9626</v>
      </c>
      <c r="L789" s="92" t="s">
        <v>9627</v>
      </c>
      <c r="M789" s="92" t="s">
        <v>9628</v>
      </c>
      <c r="N789" s="92" t="s">
        <v>9629</v>
      </c>
      <c r="O789" s="92" t="s">
        <v>9630</v>
      </c>
      <c r="S789" s="6">
        <v>2000001100</v>
      </c>
      <c r="T789" s="92">
        <v>2000005200</v>
      </c>
      <c r="U789" s="92">
        <v>2000012047</v>
      </c>
      <c r="V789" s="92">
        <v>2000016026</v>
      </c>
      <c r="W789" s="92">
        <v>2000019136</v>
      </c>
      <c r="X789" s="92">
        <v>2000022015</v>
      </c>
      <c r="Y789" s="92">
        <v>2000026120</v>
      </c>
      <c r="Z789" s="92">
        <v>2000031258</v>
      </c>
      <c r="AA789" s="92">
        <v>2000032086</v>
      </c>
      <c r="AE789" s="6" t="s">
        <v>180</v>
      </c>
      <c r="AF789" s="92" t="s">
        <v>181</v>
      </c>
      <c r="AG789" s="92" t="s">
        <v>885</v>
      </c>
      <c r="AH789" s="92" t="s">
        <v>531</v>
      </c>
      <c r="AI789" s="92" t="s">
        <v>705</v>
      </c>
      <c r="AJ789" s="92" t="s">
        <v>872</v>
      </c>
      <c r="AK789" s="92" t="s">
        <v>570</v>
      </c>
      <c r="AL789" s="92" t="s">
        <v>185</v>
      </c>
      <c r="AM789" s="92" t="s">
        <v>732</v>
      </c>
      <c r="AQ789" s="6" t="s">
        <v>187</v>
      </c>
      <c r="AR789" s="92" t="s">
        <v>186</v>
      </c>
      <c r="AS789" s="92" t="s">
        <v>186</v>
      </c>
      <c r="AT789" s="92" t="s">
        <v>187</v>
      </c>
      <c r="AU789" s="92" t="s">
        <v>186</v>
      </c>
      <c r="AV789" s="92" t="s">
        <v>187</v>
      </c>
      <c r="AW789" s="92" t="s">
        <v>186</v>
      </c>
      <c r="AX789" s="92" t="s">
        <v>187</v>
      </c>
      <c r="AY789" s="92" t="s">
        <v>186</v>
      </c>
      <c r="BC789" s="60">
        <v>81227466047</v>
      </c>
      <c r="BD789" s="93">
        <v>81977210681</v>
      </c>
      <c r="BE789" s="93">
        <v>85747355134</v>
      </c>
      <c r="BF789" s="93">
        <v>81277857566</v>
      </c>
      <c r="BG789" s="93">
        <v>895619174175</v>
      </c>
      <c r="BH789" s="93">
        <v>85752135939</v>
      </c>
      <c r="BI789" s="93">
        <v>81578088828</v>
      </c>
      <c r="BJ789" s="93">
        <v>82140503883</v>
      </c>
      <c r="BK789" s="93">
        <v>85842786099</v>
      </c>
      <c r="BP789" s="18" t="s">
        <v>9631</v>
      </c>
      <c r="BQ789" s="37">
        <v>45320</v>
      </c>
      <c r="BR789" s="8">
        <f t="shared" si="3"/>
        <v>9</v>
      </c>
    </row>
    <row r="790" spans="1:70" ht="14">
      <c r="A790" s="4" t="str">
        <v>Reguler Periode ke-119 I.C.2</v>
      </c>
      <c r="B790" s="4" t="s">
        <v>9561</v>
      </c>
      <c r="C790" s="4" t="s">
        <v>340</v>
      </c>
      <c r="D790" s="4" t="s">
        <v>2249</v>
      </c>
      <c r="E790" s="4" t="s">
        <v>2261</v>
      </c>
      <c r="F790" s="4" t="s">
        <v>2076</v>
      </c>
      <c r="G790" s="6" t="s">
        <v>9632</v>
      </c>
      <c r="H790" s="92" t="s">
        <v>9633</v>
      </c>
      <c r="I790" s="92" t="s">
        <v>9634</v>
      </c>
      <c r="J790" s="92" t="s">
        <v>9635</v>
      </c>
      <c r="K790" s="92" t="s">
        <v>9636</v>
      </c>
      <c r="L790" s="92" t="s">
        <v>9637</v>
      </c>
      <c r="M790" s="92" t="s">
        <v>9638</v>
      </c>
      <c r="N790" s="92" t="s">
        <v>9639</v>
      </c>
      <c r="O790" s="92" t="s">
        <v>9640</v>
      </c>
      <c r="S790" s="6">
        <v>1900031036</v>
      </c>
      <c r="T790" s="92">
        <v>2000001073</v>
      </c>
      <c r="U790" s="92">
        <v>2000005282</v>
      </c>
      <c r="V790" s="92">
        <v>2000012038</v>
      </c>
      <c r="W790" s="92">
        <v>2000016018</v>
      </c>
      <c r="X790" s="92">
        <v>2000019030</v>
      </c>
      <c r="Y790" s="92">
        <v>2000022028</v>
      </c>
      <c r="Z790" s="92">
        <v>2000026161</v>
      </c>
      <c r="AA790" s="92">
        <v>2000032025</v>
      </c>
      <c r="AE790" s="6" t="s">
        <v>185</v>
      </c>
      <c r="AF790" s="92" t="s">
        <v>180</v>
      </c>
      <c r="AG790" s="92" t="s">
        <v>181</v>
      </c>
      <c r="AH790" s="92" t="s">
        <v>885</v>
      </c>
      <c r="AI790" s="92" t="s">
        <v>531</v>
      </c>
      <c r="AJ790" s="92" t="s">
        <v>705</v>
      </c>
      <c r="AK790" s="92" t="s">
        <v>872</v>
      </c>
      <c r="AL790" s="92" t="s">
        <v>570</v>
      </c>
      <c r="AM790" s="92" t="s">
        <v>732</v>
      </c>
      <c r="AQ790" s="6" t="s">
        <v>187</v>
      </c>
      <c r="AR790" s="92" t="s">
        <v>187</v>
      </c>
      <c r="AS790" s="92" t="s">
        <v>186</v>
      </c>
      <c r="AT790" s="92" t="s">
        <v>186</v>
      </c>
      <c r="AU790" s="92" t="s">
        <v>187</v>
      </c>
      <c r="AV790" s="92" t="s">
        <v>186</v>
      </c>
      <c r="AW790" s="92" t="s">
        <v>187</v>
      </c>
      <c r="AX790" s="92" t="s">
        <v>186</v>
      </c>
      <c r="AY790" s="92" t="s">
        <v>186</v>
      </c>
      <c r="BC790" s="60">
        <v>85265502436</v>
      </c>
      <c r="BD790" s="93">
        <v>895397947106</v>
      </c>
      <c r="BE790" s="93">
        <v>81215595936</v>
      </c>
      <c r="BF790" s="93">
        <v>85343843087</v>
      </c>
      <c r="BG790" s="93">
        <v>82269359365</v>
      </c>
      <c r="BH790" s="93">
        <v>85974766356</v>
      </c>
      <c r="BI790" s="93">
        <v>82264851461</v>
      </c>
      <c r="BJ790" s="93">
        <v>81554307504</v>
      </c>
      <c r="BK790" s="93">
        <v>82136267771</v>
      </c>
      <c r="BP790" s="18" t="s">
        <v>9641</v>
      </c>
      <c r="BQ790" s="37">
        <v>45320</v>
      </c>
      <c r="BR790" s="8">
        <f t="shared" si="3"/>
        <v>9</v>
      </c>
    </row>
    <row r="791" spans="1:70" ht="14">
      <c r="A791" s="4" t="str">
        <v>Reguler Periode ke-119 I.C.3</v>
      </c>
      <c r="B791" s="4" t="s">
        <v>9561</v>
      </c>
      <c r="C791" s="4" t="s">
        <v>360</v>
      </c>
      <c r="D791" s="4" t="s">
        <v>2249</v>
      </c>
      <c r="E791" s="4" t="s">
        <v>2272</v>
      </c>
      <c r="F791" s="4" t="s">
        <v>2076</v>
      </c>
      <c r="G791" s="6" t="s">
        <v>9642</v>
      </c>
      <c r="H791" s="92" t="s">
        <v>9643</v>
      </c>
      <c r="I791" s="92" t="s">
        <v>9644</v>
      </c>
      <c r="J791" s="92" t="s">
        <v>9645</v>
      </c>
      <c r="K791" s="92" t="s">
        <v>9646</v>
      </c>
      <c r="L791" s="92" t="s">
        <v>9647</v>
      </c>
      <c r="M791" s="92" t="s">
        <v>9648</v>
      </c>
      <c r="N791" s="92" t="s">
        <v>9649</v>
      </c>
      <c r="O791" s="92" t="s">
        <v>9650</v>
      </c>
      <c r="S791" s="6">
        <v>1800022066</v>
      </c>
      <c r="T791" s="92">
        <v>2000005199</v>
      </c>
      <c r="U791" s="92">
        <v>2000012108</v>
      </c>
      <c r="V791" s="92">
        <v>2000016094</v>
      </c>
      <c r="W791" s="92">
        <v>2000019143</v>
      </c>
      <c r="X791" s="92">
        <v>2000026146</v>
      </c>
      <c r="Y791" s="92">
        <v>2000031223</v>
      </c>
      <c r="Z791" s="92">
        <v>2000032094</v>
      </c>
      <c r="AA791" s="92">
        <v>2019001057</v>
      </c>
      <c r="AE791" s="6" t="s">
        <v>872</v>
      </c>
      <c r="AF791" s="92" t="s">
        <v>181</v>
      </c>
      <c r="AG791" s="92" t="s">
        <v>885</v>
      </c>
      <c r="AH791" s="92" t="s">
        <v>531</v>
      </c>
      <c r="AI791" s="92" t="s">
        <v>705</v>
      </c>
      <c r="AJ791" s="92" t="s">
        <v>570</v>
      </c>
      <c r="AK791" s="92" t="s">
        <v>185</v>
      </c>
      <c r="AL791" s="92" t="s">
        <v>732</v>
      </c>
      <c r="AM791" s="92" t="s">
        <v>180</v>
      </c>
      <c r="AQ791" s="6" t="s">
        <v>187</v>
      </c>
      <c r="AR791" s="92" t="s">
        <v>186</v>
      </c>
      <c r="AS791" s="92" t="s">
        <v>186</v>
      </c>
      <c r="AT791" s="92" t="s">
        <v>187</v>
      </c>
      <c r="AU791" s="92" t="s">
        <v>186</v>
      </c>
      <c r="AV791" s="92" t="s">
        <v>186</v>
      </c>
      <c r="AW791" s="92" t="s">
        <v>187</v>
      </c>
      <c r="AX791" s="92" t="s">
        <v>186</v>
      </c>
      <c r="AY791" s="92" t="s">
        <v>187</v>
      </c>
      <c r="BC791" s="60">
        <v>82233489367</v>
      </c>
      <c r="BD791" s="93">
        <v>85848714750</v>
      </c>
      <c r="BE791" s="93">
        <v>85786630060</v>
      </c>
      <c r="BF791" s="93">
        <v>81902786493</v>
      </c>
      <c r="BG791" s="93">
        <v>81385742434</v>
      </c>
      <c r="BH791" s="93">
        <v>82238353073</v>
      </c>
      <c r="BI791" s="93">
        <v>82282417243</v>
      </c>
      <c r="BJ791" s="93">
        <v>87772232206</v>
      </c>
      <c r="BK791" s="93">
        <v>88233147929</v>
      </c>
      <c r="BP791" s="18" t="s">
        <v>9651</v>
      </c>
      <c r="BQ791" s="37">
        <v>45320</v>
      </c>
      <c r="BR791" s="8">
        <f t="shared" si="3"/>
        <v>9</v>
      </c>
    </row>
    <row r="792" spans="1:70" ht="14">
      <c r="A792" s="4" t="str">
        <v>Reguler Periode ke-119 I.D.1</v>
      </c>
      <c r="B792" s="4" t="s">
        <v>9561</v>
      </c>
      <c r="C792" s="4" t="s">
        <v>379</v>
      </c>
      <c r="D792" s="4" t="s">
        <v>2053</v>
      </c>
      <c r="E792" s="4" t="s">
        <v>2146</v>
      </c>
      <c r="F792" s="4" t="s">
        <v>2076</v>
      </c>
      <c r="G792" s="6" t="s">
        <v>9652</v>
      </c>
      <c r="H792" s="92" t="s">
        <v>9653</v>
      </c>
      <c r="I792" s="92" t="s">
        <v>9654</v>
      </c>
      <c r="J792" s="92" t="s">
        <v>9655</v>
      </c>
      <c r="K792" s="92" t="s">
        <v>9656</v>
      </c>
      <c r="L792" s="92" t="s">
        <v>9657</v>
      </c>
      <c r="M792" s="92" t="s">
        <v>9658</v>
      </c>
      <c r="N792" s="92" t="s">
        <v>9659</v>
      </c>
      <c r="O792" s="92" t="s">
        <v>9660</v>
      </c>
      <c r="S792" s="6">
        <v>2000001090</v>
      </c>
      <c r="T792" s="92">
        <v>2000005014</v>
      </c>
      <c r="U792" s="92">
        <v>2000012025</v>
      </c>
      <c r="V792" s="92">
        <v>2000016136</v>
      </c>
      <c r="W792" s="92">
        <v>2000019138</v>
      </c>
      <c r="X792" s="92">
        <v>2000022049</v>
      </c>
      <c r="Y792" s="92">
        <v>2000026139</v>
      </c>
      <c r="Z792" s="92">
        <v>2000031138</v>
      </c>
      <c r="AA792" s="92">
        <v>2000032024</v>
      </c>
      <c r="AE792" s="6" t="s">
        <v>180</v>
      </c>
      <c r="AF792" s="92" t="s">
        <v>181</v>
      </c>
      <c r="AG792" s="92" t="s">
        <v>885</v>
      </c>
      <c r="AH792" s="92" t="s">
        <v>531</v>
      </c>
      <c r="AI792" s="92" t="s">
        <v>705</v>
      </c>
      <c r="AJ792" s="92" t="s">
        <v>872</v>
      </c>
      <c r="AK792" s="92" t="s">
        <v>570</v>
      </c>
      <c r="AL792" s="92" t="s">
        <v>185</v>
      </c>
      <c r="AM792" s="92" t="s">
        <v>732</v>
      </c>
      <c r="AQ792" s="6" t="s">
        <v>187</v>
      </c>
      <c r="AR792" s="92" t="s">
        <v>186</v>
      </c>
      <c r="AS792" s="92" t="s">
        <v>186</v>
      </c>
      <c r="AT792" s="92" t="s">
        <v>187</v>
      </c>
      <c r="AU792" s="92" t="s">
        <v>186</v>
      </c>
      <c r="AV792" s="92" t="s">
        <v>187</v>
      </c>
      <c r="AW792" s="92" t="s">
        <v>186</v>
      </c>
      <c r="AX792" s="92" t="s">
        <v>187</v>
      </c>
      <c r="AY792" s="92" t="s">
        <v>186</v>
      </c>
      <c r="BC792" s="60">
        <v>81325950237</v>
      </c>
      <c r="BD792" s="93">
        <v>87821269063</v>
      </c>
      <c r="BE792" s="93">
        <v>88233583231</v>
      </c>
      <c r="BF792" s="93">
        <v>85333117711</v>
      </c>
      <c r="BG792" s="93">
        <v>82137039843</v>
      </c>
      <c r="BH792" s="93">
        <v>81779517764</v>
      </c>
      <c r="BI792" s="93">
        <v>8980828151</v>
      </c>
      <c r="BJ792" s="93">
        <v>87879592420</v>
      </c>
      <c r="BK792" s="93">
        <v>88227252920</v>
      </c>
      <c r="BP792" s="18" t="s">
        <v>9661</v>
      </c>
      <c r="BQ792" s="37">
        <v>45320</v>
      </c>
      <c r="BR792" s="8">
        <f t="shared" si="3"/>
        <v>9</v>
      </c>
    </row>
    <row r="793" spans="1:70" ht="14">
      <c r="A793" s="4" t="str">
        <v>Reguler Periode ke-119 I.D.2</v>
      </c>
      <c r="B793" s="4" t="s">
        <v>9561</v>
      </c>
      <c r="C793" s="4" t="s">
        <v>642</v>
      </c>
      <c r="D793" s="4" t="s">
        <v>2053</v>
      </c>
      <c r="E793" s="4" t="s">
        <v>2157</v>
      </c>
      <c r="F793" s="4" t="s">
        <v>2076</v>
      </c>
      <c r="G793" s="6" t="s">
        <v>9662</v>
      </c>
      <c r="H793" s="92" t="s">
        <v>9663</v>
      </c>
      <c r="I793" s="92" t="s">
        <v>9664</v>
      </c>
      <c r="J793" s="92" t="s">
        <v>9665</v>
      </c>
      <c r="K793" s="92" t="s">
        <v>9666</v>
      </c>
      <c r="L793" s="92" t="s">
        <v>9667</v>
      </c>
      <c r="M793" s="92" t="s">
        <v>9668</v>
      </c>
      <c r="N793" s="92" t="s">
        <v>9669</v>
      </c>
      <c r="O793" s="92" t="s">
        <v>9670</v>
      </c>
      <c r="S793" s="6">
        <v>2000001080</v>
      </c>
      <c r="T793" s="92">
        <v>2000005062</v>
      </c>
      <c r="U793" s="92">
        <v>2000012041</v>
      </c>
      <c r="V793" s="92">
        <v>2000016038</v>
      </c>
      <c r="W793" s="92">
        <v>2000019055</v>
      </c>
      <c r="X793" s="92">
        <v>2000022052</v>
      </c>
      <c r="Y793" s="92">
        <v>2000031271</v>
      </c>
      <c r="Z793" s="92">
        <v>2000032051</v>
      </c>
      <c r="AA793" s="92">
        <v>2015026103</v>
      </c>
      <c r="AE793" s="6" t="s">
        <v>180</v>
      </c>
      <c r="AF793" s="92" t="s">
        <v>181</v>
      </c>
      <c r="AG793" s="92" t="s">
        <v>885</v>
      </c>
      <c r="AH793" s="92" t="s">
        <v>531</v>
      </c>
      <c r="AI793" s="92" t="s">
        <v>705</v>
      </c>
      <c r="AJ793" s="92" t="s">
        <v>872</v>
      </c>
      <c r="AK793" s="92" t="s">
        <v>185</v>
      </c>
      <c r="AL793" s="92" t="s">
        <v>732</v>
      </c>
      <c r="AM793" s="92" t="s">
        <v>570</v>
      </c>
      <c r="AQ793" s="6" t="s">
        <v>187</v>
      </c>
      <c r="AR793" s="92" t="s">
        <v>186</v>
      </c>
      <c r="AS793" s="92" t="s">
        <v>186</v>
      </c>
      <c r="AT793" s="92" t="s">
        <v>187</v>
      </c>
      <c r="AU793" s="92" t="s">
        <v>186</v>
      </c>
      <c r="AV793" s="92" t="s">
        <v>187</v>
      </c>
      <c r="AW793" s="92" t="s">
        <v>187</v>
      </c>
      <c r="AX793" s="92" t="s">
        <v>186</v>
      </c>
      <c r="AY793" s="92" t="s">
        <v>186</v>
      </c>
      <c r="BC793" s="60">
        <v>85772208801</v>
      </c>
      <c r="BD793" s="93">
        <v>83191150923</v>
      </c>
      <c r="BE793" s="93">
        <v>82243914682</v>
      </c>
      <c r="BF793" s="93">
        <v>85845232631</v>
      </c>
      <c r="BG793" s="93">
        <v>83137077865</v>
      </c>
      <c r="BH793" s="93">
        <v>88237894756</v>
      </c>
      <c r="BI793" s="93">
        <v>81311974925</v>
      </c>
      <c r="BJ793" s="93">
        <v>85349853785</v>
      </c>
      <c r="BK793" s="93">
        <v>895321642694</v>
      </c>
      <c r="BP793" s="18" t="s">
        <v>9671</v>
      </c>
      <c r="BQ793" s="37">
        <v>45320</v>
      </c>
      <c r="BR793" s="8">
        <f t="shared" si="3"/>
        <v>9</v>
      </c>
    </row>
    <row r="794" spans="1:70" ht="14">
      <c r="A794" s="4" t="str">
        <v>Reguler Periode ke-119 I.D.3</v>
      </c>
      <c r="B794" s="4" t="s">
        <v>9561</v>
      </c>
      <c r="C794" s="4" t="s">
        <v>654</v>
      </c>
      <c r="D794" s="4" t="s">
        <v>2053</v>
      </c>
      <c r="E794" s="4" t="s">
        <v>2168</v>
      </c>
      <c r="F794" s="4" t="s">
        <v>2076</v>
      </c>
      <c r="G794" s="6" t="s">
        <v>9672</v>
      </c>
      <c r="H794" s="92" t="s">
        <v>9673</v>
      </c>
      <c r="I794" s="92" t="s">
        <v>9674</v>
      </c>
      <c r="J794" s="92" t="s">
        <v>9675</v>
      </c>
      <c r="K794" s="92" t="s">
        <v>9676</v>
      </c>
      <c r="L794" s="92" t="s">
        <v>9677</v>
      </c>
      <c r="M794" s="92" t="s">
        <v>9678</v>
      </c>
      <c r="N794" s="92" t="s">
        <v>9679</v>
      </c>
      <c r="O794" s="92" t="s">
        <v>9680</v>
      </c>
      <c r="S794" s="6">
        <v>2000001084</v>
      </c>
      <c r="T794" s="92">
        <v>2000005152</v>
      </c>
      <c r="U794" s="92">
        <v>2000012150</v>
      </c>
      <c r="V794" s="92">
        <v>2000016110</v>
      </c>
      <c r="W794" s="92">
        <v>2000019088</v>
      </c>
      <c r="X794" s="92">
        <v>2000022040</v>
      </c>
      <c r="Y794" s="92">
        <v>2000026133</v>
      </c>
      <c r="Z794" s="92">
        <v>2000031139</v>
      </c>
      <c r="AA794" s="92">
        <v>2000032080</v>
      </c>
      <c r="AE794" s="6" t="s">
        <v>180</v>
      </c>
      <c r="AF794" s="92" t="s">
        <v>181</v>
      </c>
      <c r="AG794" s="92" t="s">
        <v>885</v>
      </c>
      <c r="AH794" s="92" t="s">
        <v>531</v>
      </c>
      <c r="AI794" s="92" t="s">
        <v>705</v>
      </c>
      <c r="AJ794" s="92" t="s">
        <v>872</v>
      </c>
      <c r="AK794" s="92" t="s">
        <v>570</v>
      </c>
      <c r="AL794" s="92" t="s">
        <v>185</v>
      </c>
      <c r="AM794" s="92" t="s">
        <v>732</v>
      </c>
      <c r="AQ794" s="6" t="s">
        <v>187</v>
      </c>
      <c r="AR794" s="92" t="s">
        <v>186</v>
      </c>
      <c r="AS794" s="92" t="s">
        <v>186</v>
      </c>
      <c r="AT794" s="92" t="s">
        <v>187</v>
      </c>
      <c r="AU794" s="92" t="s">
        <v>186</v>
      </c>
      <c r="AV794" s="92" t="s">
        <v>187</v>
      </c>
      <c r="AW794" s="92" t="s">
        <v>186</v>
      </c>
      <c r="AX794" s="92" t="s">
        <v>187</v>
      </c>
      <c r="AY794" s="92" t="s">
        <v>186</v>
      </c>
      <c r="BC794" s="60">
        <v>82116864030</v>
      </c>
      <c r="BD794" s="93">
        <v>81228484526</v>
      </c>
      <c r="BE794" s="93">
        <v>82146854781</v>
      </c>
      <c r="BF794" s="93">
        <v>85380544417</v>
      </c>
      <c r="BG794" s="93">
        <v>81298750368</v>
      </c>
      <c r="BH794" s="93">
        <v>895327875020</v>
      </c>
      <c r="BI794" s="93">
        <v>89629187037</v>
      </c>
      <c r="BJ794" s="93">
        <v>895401001050</v>
      </c>
      <c r="BK794" s="93">
        <v>85239801806</v>
      </c>
      <c r="BP794" s="18" t="s">
        <v>9681</v>
      </c>
      <c r="BQ794" s="37">
        <v>45320</v>
      </c>
      <c r="BR794" s="8">
        <f t="shared" si="3"/>
        <v>9</v>
      </c>
    </row>
    <row r="795" spans="1:70" ht="14">
      <c r="A795" s="4" t="str">
        <v>Reguler Periode ke-119 II.A.1</v>
      </c>
      <c r="B795" s="4" t="s">
        <v>9561</v>
      </c>
      <c r="C795" s="4" t="s">
        <v>680</v>
      </c>
      <c r="D795" s="4" t="s">
        <v>9682</v>
      </c>
      <c r="E795" s="4" t="s">
        <v>9683</v>
      </c>
      <c r="F795" s="4" t="s">
        <v>9684</v>
      </c>
      <c r="G795" s="6" t="s">
        <v>9685</v>
      </c>
      <c r="H795" s="92" t="s">
        <v>9686</v>
      </c>
      <c r="I795" s="92" t="s">
        <v>9687</v>
      </c>
      <c r="J795" s="92" t="s">
        <v>9688</v>
      </c>
      <c r="K795" s="92" t="s">
        <v>9689</v>
      </c>
      <c r="L795" s="92" t="s">
        <v>9690</v>
      </c>
      <c r="M795" s="92" t="s">
        <v>9691</v>
      </c>
      <c r="N795" s="92" t="s">
        <v>9692</v>
      </c>
      <c r="O795" s="92" t="s">
        <v>9693</v>
      </c>
      <c r="S795" s="6">
        <v>2000001129</v>
      </c>
      <c r="T795" s="92">
        <v>2000005329</v>
      </c>
      <c r="U795" s="92">
        <v>2000012141</v>
      </c>
      <c r="V795" s="92">
        <v>2000016074</v>
      </c>
      <c r="W795" s="92">
        <v>2000019116</v>
      </c>
      <c r="X795" s="92">
        <v>2000022007</v>
      </c>
      <c r="Y795" s="92">
        <v>2000026112</v>
      </c>
      <c r="Z795" s="92">
        <v>2000031179</v>
      </c>
      <c r="AA795" s="92">
        <v>2000032127</v>
      </c>
      <c r="AE795" s="6" t="s">
        <v>180</v>
      </c>
      <c r="AF795" s="92" t="s">
        <v>181</v>
      </c>
      <c r="AG795" s="92" t="s">
        <v>885</v>
      </c>
      <c r="AH795" s="92" t="s">
        <v>531</v>
      </c>
      <c r="AI795" s="92" t="s">
        <v>705</v>
      </c>
      <c r="AJ795" s="92" t="s">
        <v>872</v>
      </c>
      <c r="AK795" s="92" t="s">
        <v>570</v>
      </c>
      <c r="AL795" s="92" t="s">
        <v>185</v>
      </c>
      <c r="AM795" s="92" t="s">
        <v>732</v>
      </c>
      <c r="AQ795" s="6" t="s">
        <v>187</v>
      </c>
      <c r="AR795" s="92" t="s">
        <v>186</v>
      </c>
      <c r="AS795" s="92" t="s">
        <v>186</v>
      </c>
      <c r="AT795" s="92" t="s">
        <v>187</v>
      </c>
      <c r="AU795" s="92" t="s">
        <v>186</v>
      </c>
      <c r="AV795" s="92" t="s">
        <v>187</v>
      </c>
      <c r="AW795" s="92" t="s">
        <v>186</v>
      </c>
      <c r="AX795" s="92" t="s">
        <v>187</v>
      </c>
      <c r="AY795" s="92" t="s">
        <v>186</v>
      </c>
      <c r="BC795" s="60">
        <v>83143874243</v>
      </c>
      <c r="BD795" s="93">
        <v>81238552245</v>
      </c>
      <c r="BE795" s="93">
        <v>89630363749</v>
      </c>
      <c r="BF795" s="93">
        <v>87853431650</v>
      </c>
      <c r="BG795" s="93">
        <v>81228821829</v>
      </c>
      <c r="BH795" s="93">
        <v>81373407513</v>
      </c>
      <c r="BI795" s="93">
        <v>85726112849</v>
      </c>
      <c r="BJ795" s="93">
        <v>82280720748</v>
      </c>
      <c r="BK795" s="93">
        <v>85767159611</v>
      </c>
      <c r="BP795" s="35" t="s">
        <v>9694</v>
      </c>
      <c r="BQ795" s="37">
        <v>45320</v>
      </c>
      <c r="BR795" s="8">
        <f t="shared" si="3"/>
        <v>9</v>
      </c>
    </row>
    <row r="796" spans="1:70" ht="14">
      <c r="A796" s="4" t="str">
        <v>Reguler Periode ke-119 II.A.2</v>
      </c>
      <c r="B796" s="4" t="s">
        <v>9561</v>
      </c>
      <c r="C796" s="4" t="s">
        <v>694</v>
      </c>
      <c r="D796" s="4" t="s">
        <v>9682</v>
      </c>
      <c r="E796" s="4" t="s">
        <v>9695</v>
      </c>
      <c r="F796" s="4" t="s">
        <v>9684</v>
      </c>
      <c r="G796" s="6" t="s">
        <v>9696</v>
      </c>
      <c r="H796" s="92" t="s">
        <v>9697</v>
      </c>
      <c r="I796" s="92" t="s">
        <v>9698</v>
      </c>
      <c r="J796" s="92" t="s">
        <v>9699</v>
      </c>
      <c r="K796" s="92" t="s">
        <v>9700</v>
      </c>
      <c r="L796" s="92" t="s">
        <v>9701</v>
      </c>
      <c r="M796" s="92" t="s">
        <v>9702</v>
      </c>
      <c r="N796" s="92" t="s">
        <v>9703</v>
      </c>
      <c r="O796" s="92" t="s">
        <v>9704</v>
      </c>
      <c r="S796" s="6">
        <v>2000001174</v>
      </c>
      <c r="T796" s="92">
        <v>2000005125</v>
      </c>
      <c r="U796" s="92">
        <v>2000012130</v>
      </c>
      <c r="V796" s="92">
        <v>2000016114</v>
      </c>
      <c r="W796" s="92">
        <v>2000019091</v>
      </c>
      <c r="X796" s="92">
        <v>2000022011</v>
      </c>
      <c r="Y796" s="92">
        <v>2000026009</v>
      </c>
      <c r="Z796" s="92">
        <v>2000031116</v>
      </c>
      <c r="AA796" s="92">
        <v>2000032124</v>
      </c>
      <c r="AE796" s="6" t="s">
        <v>180</v>
      </c>
      <c r="AF796" s="92" t="s">
        <v>181</v>
      </c>
      <c r="AG796" s="92" t="s">
        <v>885</v>
      </c>
      <c r="AH796" s="92" t="s">
        <v>531</v>
      </c>
      <c r="AI796" s="92" t="s">
        <v>705</v>
      </c>
      <c r="AJ796" s="92" t="s">
        <v>872</v>
      </c>
      <c r="AK796" s="92" t="s">
        <v>570</v>
      </c>
      <c r="AL796" s="92" t="s">
        <v>185</v>
      </c>
      <c r="AM796" s="92" t="s">
        <v>732</v>
      </c>
      <c r="AQ796" s="6" t="s">
        <v>187</v>
      </c>
      <c r="AR796" s="92" t="s">
        <v>186</v>
      </c>
      <c r="AS796" s="92" t="s">
        <v>186</v>
      </c>
      <c r="AT796" s="92" t="s">
        <v>187</v>
      </c>
      <c r="AU796" s="92" t="s">
        <v>186</v>
      </c>
      <c r="AV796" s="92" t="s">
        <v>187</v>
      </c>
      <c r="AW796" s="92" t="s">
        <v>186</v>
      </c>
      <c r="AX796" s="92" t="s">
        <v>187</v>
      </c>
      <c r="AY796" s="92" t="s">
        <v>186</v>
      </c>
      <c r="BC796" s="60">
        <v>85156877972</v>
      </c>
      <c r="BD796" s="93">
        <v>88232486077</v>
      </c>
      <c r="BE796" s="93">
        <v>82259855421</v>
      </c>
      <c r="BF796" s="93">
        <v>81908622862</v>
      </c>
      <c r="BG796" s="93">
        <v>81325070252</v>
      </c>
      <c r="BH796" s="93">
        <v>85608928825</v>
      </c>
      <c r="BI796" s="93">
        <v>85600840844</v>
      </c>
      <c r="BJ796" s="93">
        <v>81288459802</v>
      </c>
      <c r="BK796" s="93">
        <v>89668218256</v>
      </c>
      <c r="BP796" s="18" t="s">
        <v>9705</v>
      </c>
      <c r="BQ796" s="37">
        <v>45320</v>
      </c>
      <c r="BR796" s="8">
        <f t="shared" si="3"/>
        <v>9</v>
      </c>
    </row>
    <row r="797" spans="1:70" ht="14">
      <c r="A797" s="4" t="str">
        <v>Reguler Periode ke-119 II.A.3</v>
      </c>
      <c r="B797" s="4" t="s">
        <v>9561</v>
      </c>
      <c r="C797" s="4" t="s">
        <v>707</v>
      </c>
      <c r="D797" s="4" t="s">
        <v>9682</v>
      </c>
      <c r="E797" s="4" t="s">
        <v>9706</v>
      </c>
      <c r="F797" s="4" t="s">
        <v>9684</v>
      </c>
      <c r="G797" s="6" t="s">
        <v>9707</v>
      </c>
      <c r="H797" s="92" t="s">
        <v>9708</v>
      </c>
      <c r="I797" s="92" t="s">
        <v>9709</v>
      </c>
      <c r="J797" s="92" t="s">
        <v>9710</v>
      </c>
      <c r="K797" s="92" t="s">
        <v>9711</v>
      </c>
      <c r="L797" s="92" t="s">
        <v>9712</v>
      </c>
      <c r="M797" s="92" t="s">
        <v>9713</v>
      </c>
      <c r="N797" s="92" t="s">
        <v>9714</v>
      </c>
      <c r="O797" s="92" t="s">
        <v>9715</v>
      </c>
      <c r="S797" s="6">
        <v>2000001044</v>
      </c>
      <c r="T797" s="92">
        <v>2000005038</v>
      </c>
      <c r="U797" s="92">
        <v>2000012176</v>
      </c>
      <c r="V797" s="92">
        <v>2000016053</v>
      </c>
      <c r="W797" s="92">
        <v>2000019098</v>
      </c>
      <c r="X797" s="92">
        <v>2000022056</v>
      </c>
      <c r="Y797" s="92">
        <v>2000026137</v>
      </c>
      <c r="Z797" s="92">
        <v>2000031222</v>
      </c>
      <c r="AA797" s="92">
        <v>2000032036</v>
      </c>
      <c r="AE797" s="6" t="s">
        <v>180</v>
      </c>
      <c r="AF797" s="92" t="s">
        <v>181</v>
      </c>
      <c r="AG797" s="92" t="s">
        <v>885</v>
      </c>
      <c r="AH797" s="92" t="s">
        <v>531</v>
      </c>
      <c r="AI797" s="92" t="s">
        <v>705</v>
      </c>
      <c r="AJ797" s="92" t="s">
        <v>872</v>
      </c>
      <c r="AK797" s="92" t="s">
        <v>570</v>
      </c>
      <c r="AL797" s="92" t="s">
        <v>185</v>
      </c>
      <c r="AM797" s="92" t="s">
        <v>732</v>
      </c>
      <c r="AQ797" s="6" t="s">
        <v>187</v>
      </c>
      <c r="AR797" s="92" t="s">
        <v>186</v>
      </c>
      <c r="AS797" s="92" t="s">
        <v>186</v>
      </c>
      <c r="AT797" s="92" t="s">
        <v>187</v>
      </c>
      <c r="AU797" s="92" t="s">
        <v>186</v>
      </c>
      <c r="AV797" s="92" t="s">
        <v>187</v>
      </c>
      <c r="AW797" s="92" t="s">
        <v>186</v>
      </c>
      <c r="AX797" s="92" t="s">
        <v>187</v>
      </c>
      <c r="AY797" s="92" t="s">
        <v>186</v>
      </c>
      <c r="BC797" s="60">
        <v>81353034180</v>
      </c>
      <c r="BD797" s="93">
        <v>85225433640</v>
      </c>
      <c r="BE797" s="93">
        <v>85959680009</v>
      </c>
      <c r="BF797" s="93">
        <v>81383627496</v>
      </c>
      <c r="BG797" s="93">
        <v>8114125454</v>
      </c>
      <c r="BH797" s="93">
        <v>82269083178</v>
      </c>
      <c r="BI797" s="93">
        <v>87866215843</v>
      </c>
      <c r="BJ797" s="93">
        <v>81908689154</v>
      </c>
      <c r="BK797" s="93">
        <v>85753587174</v>
      </c>
      <c r="BP797" s="18" t="s">
        <v>9716</v>
      </c>
      <c r="BQ797" s="37">
        <v>45320</v>
      </c>
      <c r="BR797" s="8">
        <f t="shared" si="3"/>
        <v>9</v>
      </c>
    </row>
    <row r="798" spans="1:70" ht="14">
      <c r="A798" s="4" t="str">
        <v>Reguler Periode ke-119 II.B.1</v>
      </c>
      <c r="B798" s="4" t="s">
        <v>9561</v>
      </c>
      <c r="C798" s="4" t="s">
        <v>719</v>
      </c>
      <c r="D798" s="4" t="s">
        <v>437</v>
      </c>
      <c r="E798" s="4" t="s">
        <v>9717</v>
      </c>
      <c r="F798" s="4" t="s">
        <v>9684</v>
      </c>
      <c r="G798" s="6" t="s">
        <v>9718</v>
      </c>
      <c r="H798" s="92" t="s">
        <v>9719</v>
      </c>
      <c r="I798" s="92" t="s">
        <v>9720</v>
      </c>
      <c r="J798" s="92" t="s">
        <v>9721</v>
      </c>
      <c r="K798" s="92" t="s">
        <v>9722</v>
      </c>
      <c r="L798" s="92" t="s">
        <v>9723</v>
      </c>
      <c r="M798" s="92" t="s">
        <v>9724</v>
      </c>
      <c r="N798" s="92" t="s">
        <v>9725</v>
      </c>
      <c r="O798" s="92" t="s">
        <v>9726</v>
      </c>
      <c r="S798" s="6">
        <v>2000005228</v>
      </c>
      <c r="T798" s="92">
        <v>2000012081</v>
      </c>
      <c r="U798" s="92">
        <v>2000016002</v>
      </c>
      <c r="V798" s="92">
        <v>2000019058</v>
      </c>
      <c r="W798" s="92">
        <v>2000022022</v>
      </c>
      <c r="X798" s="92">
        <v>2000026186</v>
      </c>
      <c r="Y798" s="92">
        <v>2000031170</v>
      </c>
      <c r="Z798" s="92">
        <v>2000032147</v>
      </c>
      <c r="AA798" s="92">
        <v>2019001058</v>
      </c>
      <c r="AE798" s="6" t="s">
        <v>181</v>
      </c>
      <c r="AF798" s="92" t="s">
        <v>885</v>
      </c>
      <c r="AG798" s="92" t="s">
        <v>531</v>
      </c>
      <c r="AH798" s="92" t="s">
        <v>705</v>
      </c>
      <c r="AI798" s="92" t="s">
        <v>872</v>
      </c>
      <c r="AJ798" s="92" t="s">
        <v>570</v>
      </c>
      <c r="AK798" s="92" t="s">
        <v>185</v>
      </c>
      <c r="AL798" s="92" t="s">
        <v>732</v>
      </c>
      <c r="AM798" s="92" t="s">
        <v>180</v>
      </c>
      <c r="AQ798" s="6" t="s">
        <v>186</v>
      </c>
      <c r="AR798" s="92" t="s">
        <v>186</v>
      </c>
      <c r="AS798" s="92" t="s">
        <v>187</v>
      </c>
      <c r="AT798" s="92" t="s">
        <v>186</v>
      </c>
      <c r="AU798" s="92" t="s">
        <v>187</v>
      </c>
      <c r="AV798" s="92" t="s">
        <v>186</v>
      </c>
      <c r="AW798" s="92" t="s">
        <v>187</v>
      </c>
      <c r="AX798" s="92" t="s">
        <v>186</v>
      </c>
      <c r="AY798" s="92" t="s">
        <v>187</v>
      </c>
      <c r="BC798" s="60">
        <v>895363150662</v>
      </c>
      <c r="BD798" s="93">
        <v>88802806021</v>
      </c>
      <c r="BE798" s="93">
        <v>895394477132</v>
      </c>
      <c r="BF798" s="93">
        <v>85265894479</v>
      </c>
      <c r="BG798" s="93">
        <v>89664660744</v>
      </c>
      <c r="BH798" s="93">
        <v>83898810058</v>
      </c>
      <c r="BI798" s="93">
        <v>85717913603</v>
      </c>
      <c r="BJ798" s="93">
        <v>89503838902</v>
      </c>
      <c r="BK798" s="93">
        <v>85765854644</v>
      </c>
      <c r="BP798" s="18" t="s">
        <v>9727</v>
      </c>
      <c r="BQ798" s="37">
        <v>45320</v>
      </c>
      <c r="BR798" s="8">
        <f t="shared" si="3"/>
        <v>9</v>
      </c>
    </row>
    <row r="799" spans="1:70" ht="14">
      <c r="A799" s="4" t="str">
        <v>Reguler Periode ke-119 II.B.2</v>
      </c>
      <c r="B799" s="4" t="s">
        <v>9561</v>
      </c>
      <c r="C799" s="4" t="s">
        <v>734</v>
      </c>
      <c r="D799" s="4" t="s">
        <v>437</v>
      </c>
      <c r="E799" s="4" t="s">
        <v>9728</v>
      </c>
      <c r="F799" s="4" t="s">
        <v>9684</v>
      </c>
      <c r="G799" s="6" t="s">
        <v>9729</v>
      </c>
      <c r="H799" s="92" t="s">
        <v>9730</v>
      </c>
      <c r="I799" s="92" t="s">
        <v>9731</v>
      </c>
      <c r="J799" s="92" t="s">
        <v>9732</v>
      </c>
      <c r="K799" s="92" t="s">
        <v>9733</v>
      </c>
      <c r="L799" s="92" t="s">
        <v>9734</v>
      </c>
      <c r="M799" s="92" t="s">
        <v>9735</v>
      </c>
      <c r="N799" s="92" t="s">
        <v>9736</v>
      </c>
      <c r="O799" s="92" t="s">
        <v>9737</v>
      </c>
      <c r="S799" s="6">
        <v>2000001185</v>
      </c>
      <c r="T799" s="92">
        <v>2000005286</v>
      </c>
      <c r="U799" s="92">
        <v>2000012165</v>
      </c>
      <c r="V799" s="92">
        <v>2000016128</v>
      </c>
      <c r="W799" s="92">
        <v>2000019087</v>
      </c>
      <c r="X799" s="92">
        <v>2000022029</v>
      </c>
      <c r="Y799" s="92">
        <v>2000026198</v>
      </c>
      <c r="Z799" s="92">
        <v>2000031199</v>
      </c>
      <c r="AA799" s="92">
        <v>2000032149</v>
      </c>
      <c r="AE799" s="6" t="s">
        <v>180</v>
      </c>
      <c r="AF799" s="92" t="s">
        <v>181</v>
      </c>
      <c r="AG799" s="92" t="s">
        <v>885</v>
      </c>
      <c r="AH799" s="92" t="s">
        <v>531</v>
      </c>
      <c r="AI799" s="92" t="s">
        <v>705</v>
      </c>
      <c r="AJ799" s="92" t="s">
        <v>872</v>
      </c>
      <c r="AK799" s="92" t="s">
        <v>570</v>
      </c>
      <c r="AL799" s="92" t="s">
        <v>185</v>
      </c>
      <c r="AM799" s="92" t="s">
        <v>732</v>
      </c>
      <c r="AQ799" s="6" t="s">
        <v>187</v>
      </c>
      <c r="AR799" s="92" t="s">
        <v>186</v>
      </c>
      <c r="AS799" s="92" t="s">
        <v>186</v>
      </c>
      <c r="AT799" s="92" t="s">
        <v>187</v>
      </c>
      <c r="AU799" s="92" t="s">
        <v>186</v>
      </c>
      <c r="AV799" s="92" t="s">
        <v>187</v>
      </c>
      <c r="AW799" s="92" t="s">
        <v>186</v>
      </c>
      <c r="AX799" s="92" t="s">
        <v>187</v>
      </c>
      <c r="AY799" s="92" t="s">
        <v>186</v>
      </c>
      <c r="BC799" s="60">
        <v>81334485931</v>
      </c>
      <c r="BD799" s="93">
        <v>85725969563</v>
      </c>
      <c r="BE799" s="93">
        <v>85225468547</v>
      </c>
      <c r="BF799" s="93">
        <v>89665581674</v>
      </c>
      <c r="BG799" s="93">
        <v>88216403835</v>
      </c>
      <c r="BH799" s="93">
        <v>87839570070</v>
      </c>
      <c r="BI799" s="93">
        <v>87719633784</v>
      </c>
      <c r="BJ799" s="93">
        <v>85238740051</v>
      </c>
      <c r="BK799" s="93">
        <v>85713492879</v>
      </c>
      <c r="BP799" s="18" t="s">
        <v>9738</v>
      </c>
      <c r="BQ799" s="37">
        <v>45320</v>
      </c>
      <c r="BR799" s="8">
        <f t="shared" si="3"/>
        <v>9</v>
      </c>
    </row>
    <row r="800" spans="1:70" ht="14">
      <c r="A800" s="4" t="str">
        <v>Reguler Periode ke-119 II.B.3</v>
      </c>
      <c r="B800" s="4" t="s">
        <v>9561</v>
      </c>
      <c r="C800" s="4" t="s">
        <v>747</v>
      </c>
      <c r="D800" s="4" t="s">
        <v>437</v>
      </c>
      <c r="E800" s="4" t="s">
        <v>9739</v>
      </c>
      <c r="F800" s="4" t="s">
        <v>9684</v>
      </c>
      <c r="G800" s="6" t="s">
        <v>9740</v>
      </c>
      <c r="H800" s="92" t="s">
        <v>9741</v>
      </c>
      <c r="I800" s="92" t="s">
        <v>9742</v>
      </c>
      <c r="J800" s="92" t="s">
        <v>9743</v>
      </c>
      <c r="K800" s="92" t="s">
        <v>9744</v>
      </c>
      <c r="L800" s="92" t="s">
        <v>9745</v>
      </c>
      <c r="M800" s="92" t="s">
        <v>9746</v>
      </c>
      <c r="N800" s="92" t="s">
        <v>9747</v>
      </c>
      <c r="O800" s="92" t="s">
        <v>9748</v>
      </c>
      <c r="S800" s="6">
        <v>2000003056</v>
      </c>
      <c r="T800" s="92">
        <v>2000005218</v>
      </c>
      <c r="U800" s="92">
        <v>2000012097</v>
      </c>
      <c r="V800" s="92">
        <v>2000016107</v>
      </c>
      <c r="W800" s="92">
        <v>2000019129</v>
      </c>
      <c r="X800" s="92">
        <v>2000022019</v>
      </c>
      <c r="Y800" s="92">
        <v>2000026180</v>
      </c>
      <c r="Z800" s="92">
        <v>2000031062</v>
      </c>
      <c r="AA800" s="92">
        <v>2000032081</v>
      </c>
      <c r="AE800" s="6" t="s">
        <v>178</v>
      </c>
      <c r="AF800" s="92" t="s">
        <v>181</v>
      </c>
      <c r="AG800" s="92" t="s">
        <v>885</v>
      </c>
      <c r="AH800" s="92" t="s">
        <v>531</v>
      </c>
      <c r="AI800" s="92" t="s">
        <v>705</v>
      </c>
      <c r="AJ800" s="92" t="s">
        <v>872</v>
      </c>
      <c r="AK800" s="92" t="s">
        <v>570</v>
      </c>
      <c r="AL800" s="92" t="s">
        <v>185</v>
      </c>
      <c r="AM800" s="92" t="s">
        <v>732</v>
      </c>
      <c r="AQ800" s="6" t="s">
        <v>187</v>
      </c>
      <c r="AR800" s="92" t="s">
        <v>186</v>
      </c>
      <c r="AS800" s="92" t="s">
        <v>186</v>
      </c>
      <c r="AT800" s="92" t="s">
        <v>187</v>
      </c>
      <c r="AU800" s="92" t="s">
        <v>186</v>
      </c>
      <c r="AV800" s="92" t="s">
        <v>187</v>
      </c>
      <c r="AW800" s="92" t="s">
        <v>186</v>
      </c>
      <c r="AX800" s="92" t="s">
        <v>187</v>
      </c>
      <c r="AY800" s="92" t="s">
        <v>186</v>
      </c>
      <c r="BC800" s="60">
        <v>85741103582</v>
      </c>
      <c r="BD800" s="93">
        <v>82185623593</v>
      </c>
      <c r="BE800" s="93">
        <v>85348874380</v>
      </c>
      <c r="BF800" s="93">
        <v>85729212707</v>
      </c>
      <c r="BG800" s="93">
        <v>81290386621</v>
      </c>
      <c r="BH800" s="93">
        <v>89623260781</v>
      </c>
      <c r="BI800" s="93">
        <v>87711796820</v>
      </c>
      <c r="BJ800" s="93">
        <v>88238235728</v>
      </c>
      <c r="BK800" s="93">
        <v>82339296581</v>
      </c>
      <c r="BP800" s="18" t="s">
        <v>9749</v>
      </c>
      <c r="BQ800" s="37">
        <v>45320</v>
      </c>
      <c r="BR800" s="8">
        <f t="shared" si="3"/>
        <v>9</v>
      </c>
    </row>
    <row r="801" spans="1:70" ht="14">
      <c r="A801" s="4" t="str">
        <v>Reguler Periode ke-119 II.C.1</v>
      </c>
      <c r="B801" s="4" t="s">
        <v>9561</v>
      </c>
      <c r="C801" s="4" t="s">
        <v>772</v>
      </c>
      <c r="D801" s="4" t="s">
        <v>3778</v>
      </c>
      <c r="E801" s="4" t="s">
        <v>9750</v>
      </c>
      <c r="F801" s="4" t="s">
        <v>9684</v>
      </c>
      <c r="G801" s="6" t="s">
        <v>9751</v>
      </c>
      <c r="H801" s="92" t="s">
        <v>9752</v>
      </c>
      <c r="I801" s="92" t="s">
        <v>9753</v>
      </c>
      <c r="J801" s="92" t="s">
        <v>9754</v>
      </c>
      <c r="K801" s="92" t="s">
        <v>9755</v>
      </c>
      <c r="L801" s="92" t="s">
        <v>9756</v>
      </c>
      <c r="M801" s="92" t="s">
        <v>9757</v>
      </c>
      <c r="N801" s="92" t="s">
        <v>9758</v>
      </c>
      <c r="O801" s="92" t="s">
        <v>9759</v>
      </c>
      <c r="S801" s="6">
        <v>1900026022</v>
      </c>
      <c r="T801" s="92">
        <v>2000003029</v>
      </c>
      <c r="U801" s="92">
        <v>2000005240</v>
      </c>
      <c r="V801" s="92">
        <v>2000012076</v>
      </c>
      <c r="W801" s="92">
        <v>2000016069</v>
      </c>
      <c r="X801" s="92">
        <v>2000019012</v>
      </c>
      <c r="Y801" s="92">
        <v>2000023033</v>
      </c>
      <c r="Z801" s="92">
        <v>2000031250</v>
      </c>
      <c r="AA801" s="92">
        <v>2000032070</v>
      </c>
      <c r="AE801" s="6" t="s">
        <v>570</v>
      </c>
      <c r="AF801" s="92" t="s">
        <v>178</v>
      </c>
      <c r="AG801" s="92" t="s">
        <v>181</v>
      </c>
      <c r="AH801" s="92" t="s">
        <v>885</v>
      </c>
      <c r="AI801" s="92" t="s">
        <v>531</v>
      </c>
      <c r="AJ801" s="92" t="s">
        <v>705</v>
      </c>
      <c r="AK801" s="92" t="s">
        <v>899</v>
      </c>
      <c r="AL801" s="92" t="s">
        <v>185</v>
      </c>
      <c r="AM801" s="92" t="s">
        <v>732</v>
      </c>
      <c r="AQ801" s="6" t="s">
        <v>186</v>
      </c>
      <c r="AR801" s="92" t="s">
        <v>187</v>
      </c>
      <c r="AS801" s="92" t="s">
        <v>186</v>
      </c>
      <c r="AT801" s="92" t="s">
        <v>186</v>
      </c>
      <c r="AU801" s="92" t="s">
        <v>187</v>
      </c>
      <c r="AV801" s="92" t="s">
        <v>186</v>
      </c>
      <c r="AW801" s="92" t="s">
        <v>187</v>
      </c>
      <c r="AX801" s="92" t="s">
        <v>187</v>
      </c>
      <c r="AY801" s="92" t="s">
        <v>186</v>
      </c>
      <c r="BC801" s="60">
        <v>85325545651</v>
      </c>
      <c r="BD801" s="93">
        <v>82214751071</v>
      </c>
      <c r="BE801" s="93">
        <v>82325771351</v>
      </c>
      <c r="BF801" s="93">
        <v>87732894469</v>
      </c>
      <c r="BG801" s="93">
        <v>81225368970</v>
      </c>
      <c r="BH801" s="93">
        <v>83120772894</v>
      </c>
      <c r="BI801" s="93">
        <v>85161187615</v>
      </c>
      <c r="BJ801" s="93">
        <v>85712981282</v>
      </c>
      <c r="BK801" s="93">
        <v>85875777837</v>
      </c>
      <c r="BP801" s="18" t="s">
        <v>9760</v>
      </c>
      <c r="BQ801" s="37">
        <v>45320</v>
      </c>
      <c r="BR801" s="8">
        <f t="shared" si="3"/>
        <v>9</v>
      </c>
    </row>
    <row r="802" spans="1:70" ht="14">
      <c r="A802" s="4" t="str">
        <v>Reguler Periode ke-119 II.C.2</v>
      </c>
      <c r="B802" s="4" t="s">
        <v>9561</v>
      </c>
      <c r="C802" s="4" t="s">
        <v>785</v>
      </c>
      <c r="D802" s="4" t="s">
        <v>3778</v>
      </c>
      <c r="E802" s="4" t="s">
        <v>9761</v>
      </c>
      <c r="F802" s="4" t="s">
        <v>9684</v>
      </c>
      <c r="G802" s="6" t="s">
        <v>9762</v>
      </c>
      <c r="H802" s="92" t="s">
        <v>9763</v>
      </c>
      <c r="I802" s="92" t="s">
        <v>9764</v>
      </c>
      <c r="J802" s="92" t="s">
        <v>9765</v>
      </c>
      <c r="K802" s="92" t="s">
        <v>9766</v>
      </c>
      <c r="L802" s="92" t="s">
        <v>9767</v>
      </c>
      <c r="M802" s="92" t="s">
        <v>9768</v>
      </c>
      <c r="N802" s="92" t="s">
        <v>9769</v>
      </c>
      <c r="S802" s="6">
        <v>2000003011</v>
      </c>
      <c r="T802" s="92">
        <v>2000005264</v>
      </c>
      <c r="U802" s="92">
        <v>2000016036</v>
      </c>
      <c r="V802" s="92">
        <v>2000019106</v>
      </c>
      <c r="W802" s="92">
        <v>2000023236</v>
      </c>
      <c r="X802" s="92">
        <v>2000026034</v>
      </c>
      <c r="Y802" s="92">
        <v>2000031203</v>
      </c>
      <c r="Z802" s="92">
        <v>2015012058</v>
      </c>
      <c r="AE802" s="6" t="s">
        <v>178</v>
      </c>
      <c r="AF802" s="92" t="s">
        <v>181</v>
      </c>
      <c r="AG802" s="92" t="s">
        <v>531</v>
      </c>
      <c r="AH802" s="92" t="s">
        <v>705</v>
      </c>
      <c r="AI802" s="92" t="s">
        <v>899</v>
      </c>
      <c r="AJ802" s="92" t="s">
        <v>570</v>
      </c>
      <c r="AK802" s="92" t="s">
        <v>185</v>
      </c>
      <c r="AL802" s="92" t="s">
        <v>885</v>
      </c>
      <c r="AQ802" s="6" t="s">
        <v>187</v>
      </c>
      <c r="AR802" s="92" t="s">
        <v>186</v>
      </c>
      <c r="AS802" s="92" t="s">
        <v>187</v>
      </c>
      <c r="AT802" s="92" t="s">
        <v>186</v>
      </c>
      <c r="AU802" s="92" t="s">
        <v>187</v>
      </c>
      <c r="AV802" s="92" t="s">
        <v>186</v>
      </c>
      <c r="AW802" s="92" t="s">
        <v>187</v>
      </c>
      <c r="AX802" s="92" t="s">
        <v>186</v>
      </c>
      <c r="BC802" s="60">
        <v>89637260067</v>
      </c>
      <c r="BD802" s="93">
        <v>82166627193</v>
      </c>
      <c r="BE802" s="93">
        <v>83179127156</v>
      </c>
      <c r="BF802" s="93">
        <v>83120067110</v>
      </c>
      <c r="BG802" s="93">
        <v>87861529021</v>
      </c>
      <c r="BH802" s="93">
        <v>85786734299</v>
      </c>
      <c r="BI802" s="93">
        <v>89671721731</v>
      </c>
      <c r="BJ802" s="93">
        <v>85786927028</v>
      </c>
      <c r="BP802" s="18" t="s">
        <v>9770</v>
      </c>
      <c r="BQ802" s="37">
        <v>45320</v>
      </c>
      <c r="BR802" s="8">
        <f t="shared" si="3"/>
        <v>8</v>
      </c>
    </row>
    <row r="803" spans="1:70" ht="14">
      <c r="A803" s="4" t="str">
        <v>Reguler Periode ke-119 II.C.3</v>
      </c>
      <c r="B803" s="4" t="s">
        <v>9561</v>
      </c>
      <c r="C803" s="4" t="s">
        <v>797</v>
      </c>
      <c r="D803" s="4" t="s">
        <v>3778</v>
      </c>
      <c r="E803" s="4" t="s">
        <v>9771</v>
      </c>
      <c r="F803" s="4" t="s">
        <v>9684</v>
      </c>
      <c r="G803" s="6" t="s">
        <v>9772</v>
      </c>
      <c r="H803" s="92" t="s">
        <v>9773</v>
      </c>
      <c r="I803" s="92" t="s">
        <v>9774</v>
      </c>
      <c r="J803" s="92" t="s">
        <v>9775</v>
      </c>
      <c r="K803" s="92" t="s">
        <v>9776</v>
      </c>
      <c r="L803" s="92" t="s">
        <v>9777</v>
      </c>
      <c r="M803" s="92" t="s">
        <v>9778</v>
      </c>
      <c r="N803" s="92" t="s">
        <v>9779</v>
      </c>
      <c r="O803" s="92" t="s">
        <v>9780</v>
      </c>
      <c r="S803" s="6">
        <v>2000003099</v>
      </c>
      <c r="T803" s="92">
        <v>2000005243</v>
      </c>
      <c r="U803" s="92">
        <v>2000012166</v>
      </c>
      <c r="V803" s="92">
        <v>2000016100</v>
      </c>
      <c r="W803" s="92">
        <v>2000019036</v>
      </c>
      <c r="X803" s="92">
        <v>2000023233</v>
      </c>
      <c r="Y803" s="92">
        <v>2000026027</v>
      </c>
      <c r="Z803" s="92">
        <v>2000032017</v>
      </c>
      <c r="AA803" s="92">
        <v>2000032115</v>
      </c>
      <c r="AE803" s="6" t="s">
        <v>178</v>
      </c>
      <c r="AF803" s="92" t="s">
        <v>181</v>
      </c>
      <c r="AG803" s="92" t="s">
        <v>885</v>
      </c>
      <c r="AH803" s="92" t="s">
        <v>531</v>
      </c>
      <c r="AI803" s="92" t="s">
        <v>705</v>
      </c>
      <c r="AJ803" s="92" t="s">
        <v>899</v>
      </c>
      <c r="AK803" s="92" t="s">
        <v>570</v>
      </c>
      <c r="AL803" s="92" t="s">
        <v>732</v>
      </c>
      <c r="AM803" s="92" t="s">
        <v>732</v>
      </c>
      <c r="AQ803" s="6" t="s">
        <v>187</v>
      </c>
      <c r="AR803" s="92" t="s">
        <v>186</v>
      </c>
      <c r="AS803" s="92" t="s">
        <v>186</v>
      </c>
      <c r="AT803" s="92" t="s">
        <v>187</v>
      </c>
      <c r="AU803" s="92" t="s">
        <v>186</v>
      </c>
      <c r="AV803" s="92" t="s">
        <v>187</v>
      </c>
      <c r="AW803" s="92" t="s">
        <v>186</v>
      </c>
      <c r="AX803" s="92" t="s">
        <v>186</v>
      </c>
      <c r="AY803" s="92" t="s">
        <v>187</v>
      </c>
      <c r="BC803" s="60">
        <v>81328584594</v>
      </c>
      <c r="BD803" s="93">
        <v>85701325036</v>
      </c>
      <c r="BE803" s="93">
        <v>85385708691</v>
      </c>
      <c r="BF803" s="93">
        <v>81280641757</v>
      </c>
      <c r="BG803" s="93">
        <v>82138377014</v>
      </c>
      <c r="BH803" s="93">
        <v>89602317576</v>
      </c>
      <c r="BI803" s="93">
        <v>85727788249</v>
      </c>
      <c r="BJ803" s="93">
        <v>89521459645</v>
      </c>
      <c r="BK803" s="93">
        <v>85335903258</v>
      </c>
      <c r="BP803" s="18" t="s">
        <v>9781</v>
      </c>
      <c r="BQ803" s="37">
        <v>45320</v>
      </c>
      <c r="BR803" s="8">
        <f t="shared" si="3"/>
        <v>9</v>
      </c>
    </row>
    <row r="804" spans="1:70" ht="14">
      <c r="A804" s="4" t="str">
        <v>Reguler Periode ke-119 II.D.1</v>
      </c>
      <c r="B804" s="4" t="s">
        <v>9561</v>
      </c>
      <c r="C804" s="4" t="s">
        <v>809</v>
      </c>
      <c r="D804" s="4" t="s">
        <v>9782</v>
      </c>
      <c r="E804" s="4" t="s">
        <v>9783</v>
      </c>
      <c r="F804" s="4" t="s">
        <v>9784</v>
      </c>
      <c r="G804" s="6" t="s">
        <v>9785</v>
      </c>
      <c r="H804" s="92" t="s">
        <v>9786</v>
      </c>
      <c r="I804" s="92" t="s">
        <v>9787</v>
      </c>
      <c r="J804" s="92" t="s">
        <v>9788</v>
      </c>
      <c r="K804" s="92" t="s">
        <v>9789</v>
      </c>
      <c r="L804" s="92" t="s">
        <v>9790</v>
      </c>
      <c r="M804" s="92" t="s">
        <v>9791</v>
      </c>
      <c r="N804" s="92" t="s">
        <v>9792</v>
      </c>
      <c r="O804" s="92" t="s">
        <v>9793</v>
      </c>
      <c r="S804" s="6">
        <v>2000003079</v>
      </c>
      <c r="T804" s="92">
        <v>2000005254</v>
      </c>
      <c r="U804" s="92">
        <v>2000012007</v>
      </c>
      <c r="V804" s="92">
        <v>2000016012</v>
      </c>
      <c r="W804" s="92">
        <v>2000019105</v>
      </c>
      <c r="X804" s="92">
        <v>2000023013</v>
      </c>
      <c r="Y804" s="92">
        <v>2000026122</v>
      </c>
      <c r="Z804" s="92">
        <v>2000032059</v>
      </c>
      <c r="AA804" s="92">
        <v>2000032067</v>
      </c>
      <c r="AE804" s="6" t="s">
        <v>178</v>
      </c>
      <c r="AF804" s="92" t="s">
        <v>181</v>
      </c>
      <c r="AG804" s="92" t="s">
        <v>885</v>
      </c>
      <c r="AH804" s="92" t="s">
        <v>531</v>
      </c>
      <c r="AI804" s="92" t="s">
        <v>705</v>
      </c>
      <c r="AJ804" s="92" t="s">
        <v>899</v>
      </c>
      <c r="AK804" s="92" t="s">
        <v>570</v>
      </c>
      <c r="AL804" s="92" t="s">
        <v>732</v>
      </c>
      <c r="AM804" s="92" t="s">
        <v>732</v>
      </c>
      <c r="AQ804" s="6" t="s">
        <v>187</v>
      </c>
      <c r="AR804" s="92" t="s">
        <v>186</v>
      </c>
      <c r="AS804" s="92" t="s">
        <v>186</v>
      </c>
      <c r="AT804" s="92" t="s">
        <v>187</v>
      </c>
      <c r="AU804" s="92" t="s">
        <v>186</v>
      </c>
      <c r="AV804" s="92" t="s">
        <v>187</v>
      </c>
      <c r="AW804" s="92" t="s">
        <v>186</v>
      </c>
      <c r="AX804" s="92" t="s">
        <v>186</v>
      </c>
      <c r="AY804" s="92" t="s">
        <v>187</v>
      </c>
      <c r="BC804" s="60">
        <v>895605088487</v>
      </c>
      <c r="BD804" s="93">
        <v>89652362881</v>
      </c>
      <c r="BE804" s="93">
        <v>81225335254</v>
      </c>
      <c r="BF804" s="93">
        <v>85727442718</v>
      </c>
      <c r="BG804" s="93">
        <v>895615922210</v>
      </c>
      <c r="BH804" s="93">
        <v>82223613582</v>
      </c>
      <c r="BI804" s="93">
        <v>85700245140</v>
      </c>
      <c r="BJ804" s="93">
        <v>81276039458</v>
      </c>
      <c r="BK804" s="93">
        <v>81919154399</v>
      </c>
      <c r="BP804" s="18" t="s">
        <v>9794</v>
      </c>
      <c r="BQ804" s="37">
        <v>45321</v>
      </c>
      <c r="BR804" s="8">
        <f t="shared" si="3"/>
        <v>9</v>
      </c>
    </row>
    <row r="805" spans="1:70" ht="14">
      <c r="A805" s="4" t="str">
        <v>Reguler Periode ke-119 II.D.2</v>
      </c>
      <c r="B805" s="4" t="s">
        <v>9561</v>
      </c>
      <c r="C805" s="4" t="s">
        <v>824</v>
      </c>
      <c r="D805" s="4" t="s">
        <v>9782</v>
      </c>
      <c r="E805" s="4" t="s">
        <v>9795</v>
      </c>
      <c r="F805" s="4" t="s">
        <v>9784</v>
      </c>
      <c r="G805" s="6" t="s">
        <v>9796</v>
      </c>
      <c r="H805" s="92" t="s">
        <v>9797</v>
      </c>
      <c r="I805" s="92" t="s">
        <v>9798</v>
      </c>
      <c r="J805" s="92" t="s">
        <v>9799</v>
      </c>
      <c r="K805" s="92" t="s">
        <v>9800</v>
      </c>
      <c r="L805" s="92" t="s">
        <v>9801</v>
      </c>
      <c r="M805" s="92" t="s">
        <v>9802</v>
      </c>
      <c r="N805" s="92" t="s">
        <v>9803</v>
      </c>
      <c r="O805" s="92" t="s">
        <v>9804</v>
      </c>
      <c r="S805" s="6">
        <v>1900016156</v>
      </c>
      <c r="T805" s="92">
        <v>1900027051</v>
      </c>
      <c r="U805" s="92">
        <v>2000003060</v>
      </c>
      <c r="V805" s="92">
        <v>2000005039</v>
      </c>
      <c r="W805" s="92">
        <v>2000012160</v>
      </c>
      <c r="X805" s="92">
        <v>2000019013</v>
      </c>
      <c r="Y805" s="92">
        <v>2000023179</v>
      </c>
      <c r="Z805" s="92">
        <v>2000032048</v>
      </c>
      <c r="AA805" s="92">
        <v>2000032172</v>
      </c>
      <c r="AE805" s="6" t="s">
        <v>531</v>
      </c>
      <c r="AF805" s="92" t="s">
        <v>1763</v>
      </c>
      <c r="AG805" s="92" t="s">
        <v>178</v>
      </c>
      <c r="AH805" s="92" t="s">
        <v>181</v>
      </c>
      <c r="AI805" s="92" t="s">
        <v>885</v>
      </c>
      <c r="AJ805" s="92" t="s">
        <v>705</v>
      </c>
      <c r="AK805" s="92" t="s">
        <v>899</v>
      </c>
      <c r="AL805" s="92" t="s">
        <v>732</v>
      </c>
      <c r="AM805" s="92" t="s">
        <v>732</v>
      </c>
      <c r="AQ805" s="6" t="s">
        <v>187</v>
      </c>
      <c r="AR805" s="92" t="s">
        <v>186</v>
      </c>
      <c r="AS805" s="92" t="s">
        <v>187</v>
      </c>
      <c r="AT805" s="92" t="s">
        <v>186</v>
      </c>
      <c r="AU805" s="92" t="s">
        <v>186</v>
      </c>
      <c r="AV805" s="92" t="s">
        <v>186</v>
      </c>
      <c r="AW805" s="92" t="s">
        <v>187</v>
      </c>
      <c r="AX805" s="92" t="s">
        <v>186</v>
      </c>
      <c r="AY805" s="92" t="s">
        <v>187</v>
      </c>
      <c r="BC805" s="60">
        <v>85397725645</v>
      </c>
      <c r="BD805" s="93">
        <v>81233726034</v>
      </c>
      <c r="BE805" s="93">
        <v>85842533295</v>
      </c>
      <c r="BF805" s="93">
        <v>82144391714</v>
      </c>
      <c r="BG805" s="93">
        <v>8164232122</v>
      </c>
      <c r="BH805" s="93">
        <v>82218277180</v>
      </c>
      <c r="BI805" s="93">
        <v>82190871197</v>
      </c>
      <c r="BJ805" s="93">
        <v>82290252533</v>
      </c>
      <c r="BK805" s="93">
        <v>85809573135</v>
      </c>
      <c r="BP805" s="18" t="s">
        <v>9805</v>
      </c>
      <c r="BQ805" s="37">
        <v>45321</v>
      </c>
      <c r="BR805" s="8">
        <f t="shared" si="3"/>
        <v>9</v>
      </c>
    </row>
    <row r="806" spans="1:70" ht="14">
      <c r="A806" s="4" t="str">
        <v>Reguler Periode ke-119 II.D.3</v>
      </c>
      <c r="B806" s="4" t="s">
        <v>9561</v>
      </c>
      <c r="C806" s="4" t="s">
        <v>836</v>
      </c>
      <c r="D806" s="4" t="s">
        <v>9782</v>
      </c>
      <c r="E806" s="4" t="s">
        <v>9806</v>
      </c>
      <c r="F806" s="4" t="s">
        <v>9784</v>
      </c>
      <c r="G806" s="6" t="s">
        <v>7269</v>
      </c>
      <c r="H806" s="92" t="s">
        <v>9807</v>
      </c>
      <c r="I806" s="92" t="s">
        <v>9808</v>
      </c>
      <c r="J806" s="92" t="s">
        <v>9809</v>
      </c>
      <c r="K806" s="92" t="s">
        <v>9810</v>
      </c>
      <c r="L806" s="92" t="s">
        <v>9811</v>
      </c>
      <c r="M806" s="92" t="s">
        <v>9812</v>
      </c>
      <c r="N806" s="92" t="s">
        <v>9813</v>
      </c>
      <c r="O806" s="92" t="s">
        <v>9814</v>
      </c>
      <c r="S806" s="6">
        <v>1700016083</v>
      </c>
      <c r="T806" s="92">
        <v>2000004101</v>
      </c>
      <c r="U806" s="92">
        <v>2000005087</v>
      </c>
      <c r="V806" s="92">
        <v>2000012028</v>
      </c>
      <c r="W806" s="92">
        <v>2000019064</v>
      </c>
      <c r="X806" s="92">
        <v>2000023243</v>
      </c>
      <c r="Y806" s="92">
        <v>2000027076</v>
      </c>
      <c r="Z806" s="92">
        <v>2000032004</v>
      </c>
      <c r="AA806" s="92">
        <v>2000032165</v>
      </c>
      <c r="AE806" s="6" t="s">
        <v>531</v>
      </c>
      <c r="AF806" s="92" t="s">
        <v>201</v>
      </c>
      <c r="AG806" s="92" t="s">
        <v>181</v>
      </c>
      <c r="AH806" s="92" t="s">
        <v>885</v>
      </c>
      <c r="AI806" s="92" t="s">
        <v>705</v>
      </c>
      <c r="AJ806" s="92" t="s">
        <v>899</v>
      </c>
      <c r="AK806" s="92" t="s">
        <v>1763</v>
      </c>
      <c r="AL806" s="92" t="s">
        <v>732</v>
      </c>
      <c r="AM806" s="92" t="s">
        <v>732</v>
      </c>
      <c r="AQ806" s="6" t="s">
        <v>187</v>
      </c>
      <c r="AR806" s="92" t="s">
        <v>187</v>
      </c>
      <c r="AS806" s="92" t="s">
        <v>186</v>
      </c>
      <c r="AT806" s="92" t="s">
        <v>186</v>
      </c>
      <c r="AU806" s="92" t="s">
        <v>186</v>
      </c>
      <c r="AV806" s="92" t="s">
        <v>187</v>
      </c>
      <c r="AW806" s="92" t="s">
        <v>186</v>
      </c>
      <c r="AX806" s="92" t="s">
        <v>186</v>
      </c>
      <c r="AY806" s="92" t="s">
        <v>187</v>
      </c>
      <c r="BC806" s="60">
        <v>82170379414</v>
      </c>
      <c r="BD806" s="93">
        <v>85799829360</v>
      </c>
      <c r="BE806" s="93">
        <v>82288977238</v>
      </c>
      <c r="BF806" s="93">
        <v>82246920495</v>
      </c>
      <c r="BG806" s="93">
        <v>81326235858</v>
      </c>
      <c r="BH806" s="93">
        <v>85799713473</v>
      </c>
      <c r="BI806" s="93">
        <v>85372793589</v>
      </c>
      <c r="BJ806" s="93">
        <v>895421412266</v>
      </c>
      <c r="BK806" s="93">
        <v>81397582904</v>
      </c>
      <c r="BP806" s="18" t="s">
        <v>9815</v>
      </c>
      <c r="BQ806" s="37">
        <v>45321</v>
      </c>
      <c r="BR806" s="8">
        <f t="shared" si="3"/>
        <v>9</v>
      </c>
    </row>
    <row r="807" spans="1:70" ht="14">
      <c r="A807" s="4" t="str">
        <v>Reguler Periode ke-119 III.A.1</v>
      </c>
      <c r="B807" s="4" t="s">
        <v>9561</v>
      </c>
      <c r="C807" s="4" t="s">
        <v>848</v>
      </c>
      <c r="D807" s="4" t="s">
        <v>9816</v>
      </c>
      <c r="E807" s="4" t="s">
        <v>9817</v>
      </c>
      <c r="F807" s="4" t="s">
        <v>9784</v>
      </c>
      <c r="G807" s="6" t="s">
        <v>9818</v>
      </c>
      <c r="H807" s="92" t="s">
        <v>9819</v>
      </c>
      <c r="I807" s="92" t="s">
        <v>9820</v>
      </c>
      <c r="J807" s="92" t="s">
        <v>9821</v>
      </c>
      <c r="K807" s="92" t="s">
        <v>9822</v>
      </c>
      <c r="L807" s="92" t="s">
        <v>9823</v>
      </c>
      <c r="M807" s="92" t="s">
        <v>9824</v>
      </c>
      <c r="N807" s="92" t="s">
        <v>9825</v>
      </c>
      <c r="O807" s="92" t="s">
        <v>9826</v>
      </c>
      <c r="S807" s="6">
        <v>1900028049</v>
      </c>
      <c r="T807" s="92">
        <v>1900032027</v>
      </c>
      <c r="U807" s="92">
        <v>2000004117</v>
      </c>
      <c r="V807" s="92">
        <v>2000005193</v>
      </c>
      <c r="W807" s="92">
        <v>2000012174</v>
      </c>
      <c r="X807" s="92">
        <v>2000016132</v>
      </c>
      <c r="Y807" s="92">
        <v>2000019109</v>
      </c>
      <c r="Z807" s="92">
        <v>2000023069</v>
      </c>
      <c r="AA807" s="92">
        <v>2000032035</v>
      </c>
      <c r="AE807" s="6" t="s">
        <v>678</v>
      </c>
      <c r="AF807" s="92" t="s">
        <v>732</v>
      </c>
      <c r="AG807" s="92" t="s">
        <v>201</v>
      </c>
      <c r="AH807" s="92" t="s">
        <v>181</v>
      </c>
      <c r="AI807" s="92" t="s">
        <v>885</v>
      </c>
      <c r="AJ807" s="92" t="s">
        <v>531</v>
      </c>
      <c r="AK807" s="92" t="s">
        <v>705</v>
      </c>
      <c r="AL807" s="92" t="s">
        <v>899</v>
      </c>
      <c r="AM807" s="92" t="s">
        <v>732</v>
      </c>
      <c r="AQ807" s="6" t="s">
        <v>186</v>
      </c>
      <c r="AR807" s="92" t="s">
        <v>187</v>
      </c>
      <c r="AS807" s="92" t="s">
        <v>187</v>
      </c>
      <c r="AT807" s="92" t="s">
        <v>186</v>
      </c>
      <c r="AU807" s="92" t="s">
        <v>186</v>
      </c>
      <c r="AV807" s="92" t="s">
        <v>187</v>
      </c>
      <c r="AW807" s="92" t="s">
        <v>186</v>
      </c>
      <c r="AX807" s="92" t="s">
        <v>187</v>
      </c>
      <c r="AY807" s="92" t="s">
        <v>186</v>
      </c>
      <c r="BC807" s="60">
        <v>89529414772</v>
      </c>
      <c r="BD807" s="93">
        <v>82174497981</v>
      </c>
      <c r="BE807" s="93">
        <v>82197229961</v>
      </c>
      <c r="BF807" s="93">
        <v>8994159251</v>
      </c>
      <c r="BG807" s="93">
        <v>87839309290</v>
      </c>
      <c r="BH807" s="93">
        <v>81934654304</v>
      </c>
      <c r="BI807" s="93">
        <v>82293547441</v>
      </c>
      <c r="BJ807" s="93">
        <v>88225131987</v>
      </c>
      <c r="BK807" s="93">
        <v>81327282200</v>
      </c>
      <c r="BP807" s="18" t="s">
        <v>9827</v>
      </c>
      <c r="BQ807" s="37">
        <v>45321</v>
      </c>
      <c r="BR807" s="8">
        <f t="shared" si="3"/>
        <v>9</v>
      </c>
    </row>
    <row r="808" spans="1:70" ht="14">
      <c r="A808" s="4" t="str">
        <v>Reguler Periode ke-119 III.A.2</v>
      </c>
      <c r="B808" s="4" t="s">
        <v>9561</v>
      </c>
      <c r="C808" s="4" t="s">
        <v>861</v>
      </c>
      <c r="D808" s="4" t="s">
        <v>9816</v>
      </c>
      <c r="E808" s="4" t="s">
        <v>9828</v>
      </c>
      <c r="F808" s="4" t="s">
        <v>9784</v>
      </c>
      <c r="G808" s="6" t="s">
        <v>9829</v>
      </c>
      <c r="H808" s="92" t="s">
        <v>9830</v>
      </c>
      <c r="I808" s="92" t="s">
        <v>9831</v>
      </c>
      <c r="J808" s="92" t="s">
        <v>9832</v>
      </c>
      <c r="K808" s="92" t="s">
        <v>9833</v>
      </c>
      <c r="L808" s="92" t="s">
        <v>9834</v>
      </c>
      <c r="M808" s="92" t="s">
        <v>9835</v>
      </c>
      <c r="N808" s="92" t="s">
        <v>9836</v>
      </c>
      <c r="O808" s="92" t="s">
        <v>9837</v>
      </c>
      <c r="S808" s="6">
        <v>1900028131</v>
      </c>
      <c r="T808" s="92">
        <v>2000004065</v>
      </c>
      <c r="U808" s="92">
        <v>2000005304</v>
      </c>
      <c r="V808" s="92">
        <v>2000012083</v>
      </c>
      <c r="W808" s="92">
        <v>2000016046</v>
      </c>
      <c r="X808" s="92">
        <v>2000019121</v>
      </c>
      <c r="Y808" s="92">
        <v>2000024086</v>
      </c>
      <c r="Z808" s="92">
        <v>2000032029</v>
      </c>
      <c r="AA808" s="92">
        <v>2000032162</v>
      </c>
      <c r="AE808" s="6" t="s">
        <v>678</v>
      </c>
      <c r="AF808" s="92" t="s">
        <v>201</v>
      </c>
      <c r="AG808" s="92" t="s">
        <v>181</v>
      </c>
      <c r="AH808" s="92" t="s">
        <v>885</v>
      </c>
      <c r="AI808" s="92" t="s">
        <v>531</v>
      </c>
      <c r="AJ808" s="92" t="s">
        <v>705</v>
      </c>
      <c r="AK808" s="92" t="s">
        <v>924</v>
      </c>
      <c r="AL808" s="92" t="s">
        <v>732</v>
      </c>
      <c r="AM808" s="92" t="s">
        <v>732</v>
      </c>
      <c r="AQ808" s="6" t="s">
        <v>186</v>
      </c>
      <c r="AR808" s="92" t="s">
        <v>187</v>
      </c>
      <c r="AS808" s="92" t="s">
        <v>186</v>
      </c>
      <c r="AT808" s="92" t="s">
        <v>186</v>
      </c>
      <c r="AU808" s="92" t="s">
        <v>187</v>
      </c>
      <c r="AV808" s="92" t="s">
        <v>186</v>
      </c>
      <c r="AW808" s="92" t="s">
        <v>187</v>
      </c>
      <c r="AX808" s="92" t="s">
        <v>187</v>
      </c>
      <c r="AY808" s="92" t="s">
        <v>186</v>
      </c>
      <c r="BC808" s="60">
        <v>89518761683</v>
      </c>
      <c r="BD808" s="93">
        <v>89676095093</v>
      </c>
      <c r="BE808" s="93">
        <v>87733548333</v>
      </c>
      <c r="BF808" s="93">
        <v>81353265400</v>
      </c>
      <c r="BG808" s="93">
        <v>82386130166</v>
      </c>
      <c r="BH808" s="93">
        <v>85742981050</v>
      </c>
      <c r="BI808" s="93">
        <v>85771564991</v>
      </c>
      <c r="BJ808" s="93">
        <v>81226755191</v>
      </c>
      <c r="BK808" s="93">
        <v>89516655169</v>
      </c>
      <c r="BP808" s="18" t="s">
        <v>9838</v>
      </c>
      <c r="BQ808" s="37">
        <v>45321</v>
      </c>
      <c r="BR808" s="8">
        <f t="shared" si="3"/>
        <v>9</v>
      </c>
    </row>
    <row r="809" spans="1:70" ht="14">
      <c r="A809" s="4" t="str">
        <v>Reguler Periode ke-119 III.A.3</v>
      </c>
      <c r="B809" s="4" t="s">
        <v>9561</v>
      </c>
      <c r="C809" s="4" t="s">
        <v>874</v>
      </c>
      <c r="D809" s="4" t="s">
        <v>9816</v>
      </c>
      <c r="E809" s="4" t="s">
        <v>9839</v>
      </c>
      <c r="F809" s="4" t="s">
        <v>9784</v>
      </c>
      <c r="G809" s="6" t="s">
        <v>9840</v>
      </c>
      <c r="H809" s="92" t="s">
        <v>9841</v>
      </c>
      <c r="I809" s="92" t="s">
        <v>9842</v>
      </c>
      <c r="J809" s="92" t="s">
        <v>9843</v>
      </c>
      <c r="K809" s="92" t="s">
        <v>9844</v>
      </c>
      <c r="L809" s="92" t="s">
        <v>9845</v>
      </c>
      <c r="M809" s="92" t="s">
        <v>9846</v>
      </c>
      <c r="N809" s="92" t="s">
        <v>9847</v>
      </c>
      <c r="O809" s="92" t="s">
        <v>9848</v>
      </c>
      <c r="S809" s="6">
        <v>2000004107</v>
      </c>
      <c r="T809" s="92">
        <v>2000005136</v>
      </c>
      <c r="U809" s="92">
        <v>2000012090</v>
      </c>
      <c r="V809" s="92">
        <v>2000016059</v>
      </c>
      <c r="W809" s="92">
        <v>2000019020</v>
      </c>
      <c r="X809" s="92">
        <v>2000024310</v>
      </c>
      <c r="Y809" s="92">
        <v>2000029052</v>
      </c>
      <c r="Z809" s="92">
        <v>2000032060</v>
      </c>
      <c r="AA809" s="92">
        <v>2000032143</v>
      </c>
      <c r="AE809" s="6" t="s">
        <v>201</v>
      </c>
      <c r="AF809" s="92" t="s">
        <v>181</v>
      </c>
      <c r="AG809" s="92" t="s">
        <v>885</v>
      </c>
      <c r="AH809" s="92" t="s">
        <v>531</v>
      </c>
      <c r="AI809" s="92" t="s">
        <v>705</v>
      </c>
      <c r="AJ809" s="92" t="s">
        <v>924</v>
      </c>
      <c r="AK809" s="92" t="s">
        <v>533</v>
      </c>
      <c r="AL809" s="92" t="s">
        <v>732</v>
      </c>
      <c r="AM809" s="92" t="s">
        <v>732</v>
      </c>
      <c r="AQ809" s="6" t="s">
        <v>187</v>
      </c>
      <c r="AR809" s="92" t="s">
        <v>186</v>
      </c>
      <c r="AS809" s="92" t="s">
        <v>186</v>
      </c>
      <c r="AT809" s="92" t="s">
        <v>187</v>
      </c>
      <c r="AU809" s="92" t="s">
        <v>186</v>
      </c>
      <c r="AV809" s="92" t="s">
        <v>187</v>
      </c>
      <c r="AW809" s="92" t="s">
        <v>186</v>
      </c>
      <c r="AX809" s="92" t="s">
        <v>186</v>
      </c>
      <c r="AY809" s="92" t="s">
        <v>187</v>
      </c>
      <c r="BC809" s="60">
        <v>82128621710</v>
      </c>
      <c r="BD809" s="93">
        <v>85727663850</v>
      </c>
      <c r="BE809" s="93">
        <v>82252396774</v>
      </c>
      <c r="BF809" s="93">
        <v>81315040985</v>
      </c>
      <c r="BG809" s="93">
        <v>85799200246</v>
      </c>
      <c r="BH809" s="93">
        <v>81226472238</v>
      </c>
      <c r="BI809" s="93">
        <v>81236461053</v>
      </c>
      <c r="BJ809" s="93">
        <v>85764409620</v>
      </c>
      <c r="BK809" s="93">
        <v>85743702115</v>
      </c>
      <c r="BP809" s="18" t="s">
        <v>9849</v>
      </c>
      <c r="BQ809" s="37">
        <v>45321</v>
      </c>
      <c r="BR809" s="8">
        <f t="shared" si="3"/>
        <v>9</v>
      </c>
    </row>
    <row r="810" spans="1:70" ht="14">
      <c r="A810" s="4" t="str">
        <v>Reguler Periode ke-119 III.B.1</v>
      </c>
      <c r="B810" s="4" t="s">
        <v>9561</v>
      </c>
      <c r="C810" s="4" t="s">
        <v>887</v>
      </c>
      <c r="D810" s="4" t="s">
        <v>9850</v>
      </c>
      <c r="E810" s="4" t="s">
        <v>9851</v>
      </c>
      <c r="F810" s="4" t="s">
        <v>9784</v>
      </c>
      <c r="G810" s="6" t="s">
        <v>9852</v>
      </c>
      <c r="H810" s="92" t="s">
        <v>9853</v>
      </c>
      <c r="I810" s="92" t="s">
        <v>9854</v>
      </c>
      <c r="J810" s="92" t="s">
        <v>9855</v>
      </c>
      <c r="K810" s="92" t="s">
        <v>9856</v>
      </c>
      <c r="L810" s="92" t="s">
        <v>9857</v>
      </c>
      <c r="M810" s="92" t="s">
        <v>9858</v>
      </c>
      <c r="N810" s="92" t="s">
        <v>9859</v>
      </c>
      <c r="O810" s="92" t="s">
        <v>3792</v>
      </c>
      <c r="S810" s="6">
        <v>2000004115</v>
      </c>
      <c r="T810" s="92">
        <v>2000005104</v>
      </c>
      <c r="U810" s="92">
        <v>2000012131</v>
      </c>
      <c r="V810" s="92">
        <v>2000016097</v>
      </c>
      <c r="W810" s="92">
        <v>2000019153</v>
      </c>
      <c r="X810" s="92">
        <v>2000024179</v>
      </c>
      <c r="Y810" s="92">
        <v>2000029018</v>
      </c>
      <c r="Z810" s="92">
        <v>2000032082</v>
      </c>
      <c r="AA810" s="92">
        <v>2000032164</v>
      </c>
      <c r="AE810" s="6" t="s">
        <v>201</v>
      </c>
      <c r="AF810" s="92" t="s">
        <v>181</v>
      </c>
      <c r="AG810" s="92" t="s">
        <v>885</v>
      </c>
      <c r="AH810" s="92" t="s">
        <v>531</v>
      </c>
      <c r="AI810" s="92" t="s">
        <v>705</v>
      </c>
      <c r="AJ810" s="92" t="s">
        <v>924</v>
      </c>
      <c r="AK810" s="92" t="s">
        <v>533</v>
      </c>
      <c r="AL810" s="92" t="s">
        <v>732</v>
      </c>
      <c r="AM810" s="92" t="s">
        <v>732</v>
      </c>
      <c r="AQ810" s="6" t="s">
        <v>187</v>
      </c>
      <c r="AR810" s="92" t="s">
        <v>186</v>
      </c>
      <c r="AS810" s="92" t="s">
        <v>186</v>
      </c>
      <c r="AT810" s="92" t="s">
        <v>187</v>
      </c>
      <c r="AU810" s="92" t="s">
        <v>186</v>
      </c>
      <c r="AV810" s="92" t="s">
        <v>187</v>
      </c>
      <c r="AW810" s="92" t="s">
        <v>186</v>
      </c>
      <c r="AX810" s="92" t="s">
        <v>186</v>
      </c>
      <c r="AY810" s="92" t="s">
        <v>187</v>
      </c>
      <c r="BC810" s="60">
        <v>87767534168</v>
      </c>
      <c r="BD810" s="93">
        <v>895421879978</v>
      </c>
      <c r="BE810" s="93">
        <v>895366113961</v>
      </c>
      <c r="BF810" s="93">
        <v>81226530042</v>
      </c>
      <c r="BG810" s="93">
        <v>82145550406</v>
      </c>
      <c r="BH810" s="93">
        <v>895336202822</v>
      </c>
      <c r="BI810" s="93">
        <v>81548729129</v>
      </c>
      <c r="BJ810" s="93">
        <v>88211412100</v>
      </c>
      <c r="BK810" s="93">
        <v>81214495908</v>
      </c>
      <c r="BP810" s="18" t="s">
        <v>9860</v>
      </c>
      <c r="BQ810" s="37">
        <v>45321</v>
      </c>
      <c r="BR810" s="8">
        <f t="shared" si="3"/>
        <v>9</v>
      </c>
    </row>
    <row r="811" spans="1:70" ht="14">
      <c r="A811" s="4" t="str">
        <v>Reguler Periode ke-119 III.B.2</v>
      </c>
      <c r="B811" s="4" t="s">
        <v>9561</v>
      </c>
      <c r="C811" s="4" t="s">
        <v>901</v>
      </c>
      <c r="D811" s="4" t="s">
        <v>9850</v>
      </c>
      <c r="E811" s="4" t="s">
        <v>9861</v>
      </c>
      <c r="F811" s="4" t="s">
        <v>9784</v>
      </c>
      <c r="G811" s="6" t="s">
        <v>9862</v>
      </c>
      <c r="H811" s="92" t="s">
        <v>9863</v>
      </c>
      <c r="I811" s="92" t="s">
        <v>9864</v>
      </c>
      <c r="J811" s="92" t="s">
        <v>9865</v>
      </c>
      <c r="K811" s="92" t="s">
        <v>9866</v>
      </c>
      <c r="L811" s="92" t="s">
        <v>4574</v>
      </c>
      <c r="M811" s="92" t="s">
        <v>9867</v>
      </c>
      <c r="N811" s="92" t="s">
        <v>9868</v>
      </c>
      <c r="O811" s="92" t="s">
        <v>9869</v>
      </c>
      <c r="S811" s="6">
        <v>1800004074</v>
      </c>
      <c r="T811" s="92">
        <v>2000005114</v>
      </c>
      <c r="U811" s="92">
        <v>2000012062</v>
      </c>
      <c r="V811" s="92">
        <v>2000016025</v>
      </c>
      <c r="W811" s="92">
        <v>2000019141</v>
      </c>
      <c r="X811" s="92">
        <v>2000024066</v>
      </c>
      <c r="Y811" s="92">
        <v>2000029217</v>
      </c>
      <c r="Z811" s="92">
        <v>2000032053</v>
      </c>
      <c r="AA811" s="92">
        <v>2000032159</v>
      </c>
      <c r="AE811" s="6" t="s">
        <v>201</v>
      </c>
      <c r="AF811" s="92" t="s">
        <v>181</v>
      </c>
      <c r="AG811" s="92" t="s">
        <v>885</v>
      </c>
      <c r="AH811" s="92" t="s">
        <v>531</v>
      </c>
      <c r="AI811" s="92" t="s">
        <v>705</v>
      </c>
      <c r="AJ811" s="92" t="s">
        <v>924</v>
      </c>
      <c r="AK811" s="92" t="s">
        <v>533</v>
      </c>
      <c r="AL811" s="92" t="s">
        <v>732</v>
      </c>
      <c r="AM811" s="92" t="s">
        <v>732</v>
      </c>
      <c r="AQ811" s="6" t="s">
        <v>187</v>
      </c>
      <c r="AR811" s="92" t="s">
        <v>186</v>
      </c>
      <c r="AS811" s="92" t="s">
        <v>186</v>
      </c>
      <c r="AT811" s="92" t="s">
        <v>187</v>
      </c>
      <c r="AU811" s="92" t="s">
        <v>186</v>
      </c>
      <c r="AV811" s="92" t="s">
        <v>187</v>
      </c>
      <c r="AW811" s="92" t="s">
        <v>186</v>
      </c>
      <c r="AX811" s="92" t="s">
        <v>187</v>
      </c>
      <c r="AY811" s="92" t="s">
        <v>186</v>
      </c>
      <c r="BC811" s="60">
        <v>82290404541</v>
      </c>
      <c r="BD811" s="93">
        <v>82282881866</v>
      </c>
      <c r="BE811" s="93">
        <v>82133967883</v>
      </c>
      <c r="BF811" s="93">
        <v>81274071236</v>
      </c>
      <c r="BG811" s="93">
        <v>82317761519</v>
      </c>
      <c r="BH811" s="93">
        <v>81348876378</v>
      </c>
      <c r="BI811" s="93">
        <v>81330228602</v>
      </c>
      <c r="BJ811" s="93">
        <v>895383209531</v>
      </c>
      <c r="BK811" s="93">
        <v>81229198319</v>
      </c>
      <c r="BP811" s="18" t="s">
        <v>9870</v>
      </c>
      <c r="BQ811" s="37">
        <v>45321</v>
      </c>
      <c r="BR811" s="8">
        <f t="shared" si="3"/>
        <v>9</v>
      </c>
    </row>
    <row r="812" spans="1:70" ht="14">
      <c r="A812" s="4" t="str">
        <v>Reguler Periode ke-119 III.B.3</v>
      </c>
      <c r="B812" s="4" t="s">
        <v>9561</v>
      </c>
      <c r="C812" s="4" t="s">
        <v>913</v>
      </c>
      <c r="D812" s="4" t="s">
        <v>9850</v>
      </c>
      <c r="E812" s="4" t="s">
        <v>9871</v>
      </c>
      <c r="F812" s="4" t="s">
        <v>9784</v>
      </c>
      <c r="G812" s="6" t="s">
        <v>9872</v>
      </c>
      <c r="H812" s="92" t="s">
        <v>9873</v>
      </c>
      <c r="I812" s="92" t="s">
        <v>9874</v>
      </c>
      <c r="J812" s="92" t="s">
        <v>9875</v>
      </c>
      <c r="K812" s="92" t="s">
        <v>9876</v>
      </c>
      <c r="L812" s="92" t="s">
        <v>9877</v>
      </c>
      <c r="M812" s="92" t="s">
        <v>9878</v>
      </c>
      <c r="N812" s="92" t="s">
        <v>9879</v>
      </c>
      <c r="O812" s="92" t="s">
        <v>9880</v>
      </c>
      <c r="S812" s="6">
        <v>2000005223</v>
      </c>
      <c r="T812" s="92">
        <v>2000005249</v>
      </c>
      <c r="U812" s="92">
        <v>2000012042</v>
      </c>
      <c r="V812" s="92">
        <v>2000016043</v>
      </c>
      <c r="W812" s="92">
        <v>2000019095</v>
      </c>
      <c r="X812" s="92">
        <v>2000024062</v>
      </c>
      <c r="Y812" s="92">
        <v>2000029025</v>
      </c>
      <c r="Z812" s="92">
        <v>2000032092</v>
      </c>
      <c r="AA812" s="92">
        <v>2000032166</v>
      </c>
      <c r="AE812" s="6" t="s">
        <v>181</v>
      </c>
      <c r="AF812" s="92" t="s">
        <v>181</v>
      </c>
      <c r="AG812" s="92" t="s">
        <v>885</v>
      </c>
      <c r="AH812" s="92" t="s">
        <v>531</v>
      </c>
      <c r="AI812" s="92" t="s">
        <v>705</v>
      </c>
      <c r="AJ812" s="92" t="s">
        <v>924</v>
      </c>
      <c r="AK812" s="92" t="s">
        <v>533</v>
      </c>
      <c r="AL812" s="92" t="s">
        <v>732</v>
      </c>
      <c r="AM812" s="92" t="s">
        <v>732</v>
      </c>
      <c r="AQ812" s="6" t="s">
        <v>186</v>
      </c>
      <c r="AR812" s="92" t="s">
        <v>187</v>
      </c>
      <c r="AS812" s="92" t="s">
        <v>186</v>
      </c>
      <c r="AT812" s="92" t="s">
        <v>187</v>
      </c>
      <c r="AU812" s="92" t="s">
        <v>186</v>
      </c>
      <c r="AV812" s="92" t="s">
        <v>187</v>
      </c>
      <c r="AW812" s="92" t="s">
        <v>186</v>
      </c>
      <c r="AX812" s="92" t="s">
        <v>187</v>
      </c>
      <c r="AY812" s="92" t="s">
        <v>186</v>
      </c>
      <c r="BC812" s="60">
        <v>82175437458</v>
      </c>
      <c r="BD812" s="93">
        <v>82373622344</v>
      </c>
      <c r="BE812" s="93">
        <v>82140882207</v>
      </c>
      <c r="BF812" s="93">
        <v>85376785813</v>
      </c>
      <c r="BG812" s="93">
        <v>82178893286</v>
      </c>
      <c r="BH812" s="93">
        <v>83894812098</v>
      </c>
      <c r="BI812" s="93">
        <v>895803261613</v>
      </c>
      <c r="BJ812" s="93">
        <v>85320810821</v>
      </c>
      <c r="BK812" s="93">
        <v>85731314743</v>
      </c>
      <c r="BP812" s="18" t="s">
        <v>9881</v>
      </c>
      <c r="BQ812" s="37">
        <v>45321</v>
      </c>
      <c r="BR812" s="8">
        <f t="shared" si="3"/>
        <v>9</v>
      </c>
    </row>
    <row r="813" spans="1:70" ht="14">
      <c r="A813" s="4" t="str">
        <v>Reguler Periode ke-119 III.C.1</v>
      </c>
      <c r="B813" s="4" t="s">
        <v>9561</v>
      </c>
      <c r="C813" s="4" t="s">
        <v>939</v>
      </c>
      <c r="D813" s="4" t="s">
        <v>9882</v>
      </c>
      <c r="E813" s="4" t="s">
        <v>9883</v>
      </c>
      <c r="F813" s="4" t="s">
        <v>9784</v>
      </c>
      <c r="G813" s="6" t="s">
        <v>9884</v>
      </c>
      <c r="H813" s="92" t="s">
        <v>9885</v>
      </c>
      <c r="I813" s="92" t="s">
        <v>9886</v>
      </c>
      <c r="J813" s="92" t="s">
        <v>9887</v>
      </c>
      <c r="K813" s="92" t="s">
        <v>9888</v>
      </c>
      <c r="L813" s="92" t="s">
        <v>9889</v>
      </c>
      <c r="M813" s="92" t="s">
        <v>9890</v>
      </c>
      <c r="N813" s="92" t="s">
        <v>9891</v>
      </c>
      <c r="O813" s="92" t="s">
        <v>9892</v>
      </c>
      <c r="S813" s="6">
        <v>2000005024</v>
      </c>
      <c r="T813" s="92">
        <v>2000005244</v>
      </c>
      <c r="U813" s="92">
        <v>2000012146</v>
      </c>
      <c r="V813" s="92">
        <v>2000016129</v>
      </c>
      <c r="W813" s="92">
        <v>2000019158</v>
      </c>
      <c r="X813" s="92">
        <v>2000024296</v>
      </c>
      <c r="Y813" s="92">
        <v>2000029157</v>
      </c>
      <c r="Z813" s="92">
        <v>2000032007</v>
      </c>
      <c r="AA813" s="92">
        <v>2000032163</v>
      </c>
      <c r="AE813" s="6" t="s">
        <v>181</v>
      </c>
      <c r="AF813" s="92" t="s">
        <v>181</v>
      </c>
      <c r="AG813" s="92" t="s">
        <v>885</v>
      </c>
      <c r="AH813" s="92" t="s">
        <v>531</v>
      </c>
      <c r="AI813" s="92" t="s">
        <v>705</v>
      </c>
      <c r="AJ813" s="92" t="s">
        <v>924</v>
      </c>
      <c r="AK813" s="92" t="s">
        <v>533</v>
      </c>
      <c r="AL813" s="92" t="s">
        <v>732</v>
      </c>
      <c r="AM813" s="92" t="s">
        <v>732</v>
      </c>
      <c r="AQ813" s="6" t="s">
        <v>186</v>
      </c>
      <c r="AR813" s="92" t="s">
        <v>187</v>
      </c>
      <c r="AS813" s="92" t="s">
        <v>186</v>
      </c>
      <c r="AT813" s="92" t="s">
        <v>187</v>
      </c>
      <c r="AU813" s="92" t="s">
        <v>186</v>
      </c>
      <c r="AV813" s="92" t="s">
        <v>187</v>
      </c>
      <c r="AW813" s="92" t="s">
        <v>186</v>
      </c>
      <c r="AX813" s="92" t="s">
        <v>187</v>
      </c>
      <c r="AY813" s="92" t="s">
        <v>186</v>
      </c>
      <c r="BC813" s="60">
        <v>81229992524</v>
      </c>
      <c r="BD813" s="93">
        <v>82313687577</v>
      </c>
      <c r="BE813" s="93">
        <v>82322033276</v>
      </c>
      <c r="BF813" s="93">
        <v>85266690013</v>
      </c>
      <c r="BG813" s="93">
        <v>85741873147</v>
      </c>
      <c r="BH813" s="93">
        <v>81270013917</v>
      </c>
      <c r="BI813" s="93">
        <v>81329944169</v>
      </c>
      <c r="BJ813" s="93">
        <v>83167856538</v>
      </c>
      <c r="BK813" s="93">
        <v>83154597593</v>
      </c>
      <c r="BP813" s="18" t="s">
        <v>9893</v>
      </c>
      <c r="BQ813" s="37">
        <v>45321</v>
      </c>
      <c r="BR813" s="8">
        <f t="shared" si="3"/>
        <v>9</v>
      </c>
    </row>
    <row r="814" spans="1:70" ht="14">
      <c r="A814" s="4" t="str">
        <v>Reguler Periode ke-119 III.C.2</v>
      </c>
      <c r="B814" s="4" t="s">
        <v>9561</v>
      </c>
      <c r="C814" s="4" t="s">
        <v>955</v>
      </c>
      <c r="D814" s="4" t="s">
        <v>9882</v>
      </c>
      <c r="E814" s="4" t="s">
        <v>9894</v>
      </c>
      <c r="F814" s="4" t="s">
        <v>9784</v>
      </c>
      <c r="G814" s="6" t="s">
        <v>9895</v>
      </c>
      <c r="H814" s="92" t="s">
        <v>9896</v>
      </c>
      <c r="I814" s="92" t="s">
        <v>9897</v>
      </c>
      <c r="J814" s="92" t="s">
        <v>9898</v>
      </c>
      <c r="K814" s="92" t="s">
        <v>9899</v>
      </c>
      <c r="L814" s="92" t="s">
        <v>9900</v>
      </c>
      <c r="M814" s="92" t="s">
        <v>9901</v>
      </c>
      <c r="N814" s="92" t="s">
        <v>9902</v>
      </c>
      <c r="O814" s="92" t="s">
        <v>9903</v>
      </c>
      <c r="S814" s="6">
        <v>2000005090</v>
      </c>
      <c r="T814" s="92">
        <v>2000005140</v>
      </c>
      <c r="U814" s="92">
        <v>2000012089</v>
      </c>
      <c r="V814" s="92">
        <v>2000016101</v>
      </c>
      <c r="W814" s="92">
        <v>2000019174</v>
      </c>
      <c r="X814" s="92">
        <v>2000024314</v>
      </c>
      <c r="Y814" s="92">
        <v>2000029155</v>
      </c>
      <c r="Z814" s="92">
        <v>2000032005</v>
      </c>
      <c r="AA814" s="92">
        <v>2000032182</v>
      </c>
      <c r="AE814" s="6" t="s">
        <v>181</v>
      </c>
      <c r="AF814" s="92" t="s">
        <v>181</v>
      </c>
      <c r="AG814" s="92" t="s">
        <v>885</v>
      </c>
      <c r="AH814" s="92" t="s">
        <v>531</v>
      </c>
      <c r="AI814" s="92" t="s">
        <v>705</v>
      </c>
      <c r="AJ814" s="92" t="s">
        <v>924</v>
      </c>
      <c r="AK814" s="92" t="s">
        <v>533</v>
      </c>
      <c r="AL814" s="92" t="s">
        <v>732</v>
      </c>
      <c r="AM814" s="92" t="s">
        <v>732</v>
      </c>
      <c r="AQ814" s="6" t="s">
        <v>186</v>
      </c>
      <c r="AR814" s="92" t="s">
        <v>187</v>
      </c>
      <c r="AS814" s="92" t="s">
        <v>186</v>
      </c>
      <c r="AT814" s="92" t="s">
        <v>187</v>
      </c>
      <c r="AU814" s="92" t="s">
        <v>186</v>
      </c>
      <c r="AV814" s="92" t="s">
        <v>187</v>
      </c>
      <c r="AW814" s="92" t="s">
        <v>186</v>
      </c>
      <c r="AX814" s="92" t="s">
        <v>186</v>
      </c>
      <c r="AY814" s="92" t="s">
        <v>187</v>
      </c>
      <c r="BC814" s="60">
        <v>85600795565</v>
      </c>
      <c r="BD814" s="93">
        <v>83172952840</v>
      </c>
      <c r="BE814" s="93">
        <v>87840600286</v>
      </c>
      <c r="BF814" s="93">
        <v>85314074917</v>
      </c>
      <c r="BG814" s="93">
        <v>82247018059</v>
      </c>
      <c r="BH814" s="93">
        <v>89669275082</v>
      </c>
      <c r="BI814" s="93">
        <v>8895410012</v>
      </c>
      <c r="BJ814" s="93">
        <v>82328112850</v>
      </c>
      <c r="BK814" s="93">
        <v>82138247881</v>
      </c>
      <c r="BP814" s="18" t="s">
        <v>9904</v>
      </c>
      <c r="BQ814" s="37">
        <v>45321</v>
      </c>
      <c r="BR814" s="8">
        <f t="shared" si="3"/>
        <v>9</v>
      </c>
    </row>
    <row r="815" spans="1:70" ht="14">
      <c r="A815" s="4" t="str">
        <v>Reguler Periode ke-119 III.C.3</v>
      </c>
      <c r="B815" s="4" t="s">
        <v>9561</v>
      </c>
      <c r="C815" s="4" t="s">
        <v>967</v>
      </c>
      <c r="D815" s="4" t="s">
        <v>9882</v>
      </c>
      <c r="E815" s="4" t="s">
        <v>9905</v>
      </c>
      <c r="F815" s="4" t="s">
        <v>9784</v>
      </c>
      <c r="G815" s="6" t="s">
        <v>9906</v>
      </c>
      <c r="H815" s="92" t="s">
        <v>9907</v>
      </c>
      <c r="I815" s="92" t="s">
        <v>9908</v>
      </c>
      <c r="J815" s="92" t="s">
        <v>9909</v>
      </c>
      <c r="K815" s="92" t="s">
        <v>9910</v>
      </c>
      <c r="L815" s="92" t="s">
        <v>9911</v>
      </c>
      <c r="M815" s="92" t="s">
        <v>9912</v>
      </c>
      <c r="N815" s="92" t="s">
        <v>9913</v>
      </c>
      <c r="O815" s="92" t="s">
        <v>9914</v>
      </c>
      <c r="S815" s="6">
        <v>1800017092</v>
      </c>
      <c r="T815" s="92">
        <v>1900024016</v>
      </c>
      <c r="U815" s="92">
        <v>2000005316</v>
      </c>
      <c r="V815" s="92">
        <v>2000005358</v>
      </c>
      <c r="W815" s="92">
        <v>2000012154</v>
      </c>
      <c r="X815" s="92">
        <v>2000019128</v>
      </c>
      <c r="Y815" s="92">
        <v>2000029266</v>
      </c>
      <c r="Z815" s="92">
        <v>2000032107</v>
      </c>
      <c r="AA815" s="92">
        <v>2000032177</v>
      </c>
      <c r="AE815" s="6" t="s">
        <v>183</v>
      </c>
      <c r="AF815" s="92" t="s">
        <v>924</v>
      </c>
      <c r="AG815" s="92" t="s">
        <v>181</v>
      </c>
      <c r="AH815" s="92" t="s">
        <v>181</v>
      </c>
      <c r="AI815" s="92" t="s">
        <v>885</v>
      </c>
      <c r="AJ815" s="92" t="s">
        <v>705</v>
      </c>
      <c r="AK815" s="92" t="s">
        <v>533</v>
      </c>
      <c r="AL815" s="92" t="s">
        <v>732</v>
      </c>
      <c r="AM815" s="92" t="s">
        <v>732</v>
      </c>
      <c r="AQ815" s="6" t="s">
        <v>187</v>
      </c>
      <c r="AR815" s="92" t="s">
        <v>187</v>
      </c>
      <c r="AS815" s="92" t="s">
        <v>186</v>
      </c>
      <c r="AT815" s="92" t="s">
        <v>187</v>
      </c>
      <c r="AU815" s="92" t="s">
        <v>186</v>
      </c>
      <c r="AV815" s="92" t="s">
        <v>186</v>
      </c>
      <c r="AW815" s="92" t="s">
        <v>186</v>
      </c>
      <c r="AX815" s="92" t="s">
        <v>187</v>
      </c>
      <c r="AY815" s="92" t="s">
        <v>186</v>
      </c>
      <c r="BC815" s="60">
        <v>85753269293</v>
      </c>
      <c r="BD815" s="93">
        <v>85975440028</v>
      </c>
      <c r="BE815" s="93">
        <v>88221714219</v>
      </c>
      <c r="BF815" s="93">
        <v>82287532854</v>
      </c>
      <c r="BG815" s="93">
        <v>81393513316</v>
      </c>
      <c r="BH815" s="93">
        <v>81215862603</v>
      </c>
      <c r="BI815" s="93">
        <v>89653410400</v>
      </c>
      <c r="BJ815" s="93">
        <v>85211624389</v>
      </c>
      <c r="BK815" s="93">
        <v>81329572905</v>
      </c>
      <c r="BP815" s="18" t="s">
        <v>9915</v>
      </c>
      <c r="BQ815" s="37">
        <v>45321</v>
      </c>
      <c r="BR815" s="8">
        <f t="shared" si="3"/>
        <v>9</v>
      </c>
    </row>
    <row r="816" spans="1:70" ht="14">
      <c r="A816" s="4" t="str">
        <v>Reguler Periode ke-119 III.D.1</v>
      </c>
      <c r="B816" s="4" t="s">
        <v>9561</v>
      </c>
      <c r="C816" s="4" t="s">
        <v>1009</v>
      </c>
      <c r="D816" s="4" t="s">
        <v>9916</v>
      </c>
      <c r="E816" s="4" t="s">
        <v>9917</v>
      </c>
      <c r="F816" s="4" t="s">
        <v>9784</v>
      </c>
      <c r="G816" s="6" t="s">
        <v>9918</v>
      </c>
      <c r="H816" s="92" t="s">
        <v>9919</v>
      </c>
      <c r="I816" s="92" t="s">
        <v>9920</v>
      </c>
      <c r="J816" s="92" t="s">
        <v>9921</v>
      </c>
      <c r="K816" s="92" t="s">
        <v>9922</v>
      </c>
      <c r="L816" s="92" t="s">
        <v>9923</v>
      </c>
      <c r="M816" s="92" t="s">
        <v>9924</v>
      </c>
      <c r="N816" s="92" t="s">
        <v>9925</v>
      </c>
      <c r="O816" s="92" t="s">
        <v>9926</v>
      </c>
      <c r="S816" s="6">
        <v>2000005167</v>
      </c>
      <c r="T816" s="92">
        <v>2000005231</v>
      </c>
      <c r="U816" s="92">
        <v>2000012164</v>
      </c>
      <c r="V816" s="92">
        <v>2000018239</v>
      </c>
      <c r="W816" s="92">
        <v>2000019026</v>
      </c>
      <c r="X816" s="92">
        <v>2000024340</v>
      </c>
      <c r="Y816" s="92">
        <v>2000029130</v>
      </c>
      <c r="Z816" s="92">
        <v>2000032142</v>
      </c>
      <c r="AA816" s="92">
        <v>2000032167</v>
      </c>
      <c r="AE816" s="6" t="s">
        <v>181</v>
      </c>
      <c r="AF816" s="92" t="s">
        <v>181</v>
      </c>
      <c r="AG816" s="92" t="s">
        <v>885</v>
      </c>
      <c r="AH816" s="92" t="s">
        <v>179</v>
      </c>
      <c r="AI816" s="92" t="s">
        <v>705</v>
      </c>
      <c r="AJ816" s="92" t="s">
        <v>924</v>
      </c>
      <c r="AK816" s="92" t="s">
        <v>533</v>
      </c>
      <c r="AL816" s="92" t="s">
        <v>732</v>
      </c>
      <c r="AM816" s="92" t="s">
        <v>732</v>
      </c>
      <c r="AQ816" s="6" t="s">
        <v>187</v>
      </c>
      <c r="AR816" s="92" t="s">
        <v>186</v>
      </c>
      <c r="AS816" s="92" t="s">
        <v>186</v>
      </c>
      <c r="AT816" s="92" t="s">
        <v>187</v>
      </c>
      <c r="AU816" s="92" t="s">
        <v>186</v>
      </c>
      <c r="AV816" s="92" t="s">
        <v>187</v>
      </c>
      <c r="AW816" s="92" t="s">
        <v>186</v>
      </c>
      <c r="AX816" s="92" t="s">
        <v>186</v>
      </c>
      <c r="AY816" s="92" t="s">
        <v>187</v>
      </c>
      <c r="BC816" s="60">
        <v>83841449461</v>
      </c>
      <c r="BD816" s="93">
        <v>82138815656</v>
      </c>
      <c r="BE816" s="93">
        <v>882007288311</v>
      </c>
      <c r="BF816" s="93">
        <v>85244055212</v>
      </c>
      <c r="BG816" s="93">
        <v>83171315194</v>
      </c>
      <c r="BH816" s="93">
        <v>85268982898</v>
      </c>
      <c r="BI816" s="93">
        <v>82111375026</v>
      </c>
      <c r="BJ816" s="93">
        <v>895371637940</v>
      </c>
      <c r="BK816" s="93">
        <v>85944606405</v>
      </c>
      <c r="BP816" s="18" t="s">
        <v>9927</v>
      </c>
      <c r="BQ816" s="37">
        <v>45321</v>
      </c>
      <c r="BR816" s="8">
        <f t="shared" si="3"/>
        <v>9</v>
      </c>
    </row>
    <row r="817" spans="1:70" ht="14">
      <c r="A817" s="4" t="str">
        <v>Reguler Periode ke-119 III.D.2</v>
      </c>
      <c r="B817" s="4" t="s">
        <v>9561</v>
      </c>
      <c r="C817" s="4" t="s">
        <v>1032</v>
      </c>
      <c r="D817" s="4" t="s">
        <v>9916</v>
      </c>
      <c r="E817" s="4" t="s">
        <v>9928</v>
      </c>
      <c r="F817" s="4" t="s">
        <v>9784</v>
      </c>
      <c r="G817" s="6" t="s">
        <v>9929</v>
      </c>
      <c r="H817" s="92" t="s">
        <v>9930</v>
      </c>
      <c r="I817" s="92" t="s">
        <v>9931</v>
      </c>
      <c r="J817" s="92" t="s">
        <v>9932</v>
      </c>
      <c r="K817" s="92" t="s">
        <v>9933</v>
      </c>
      <c r="L817" s="92" t="s">
        <v>9934</v>
      </c>
      <c r="M817" s="92" t="s">
        <v>9935</v>
      </c>
      <c r="N817" s="92" t="s">
        <v>9936</v>
      </c>
      <c r="O817" s="92" t="s">
        <v>9937</v>
      </c>
      <c r="S817" s="6">
        <v>2000005280</v>
      </c>
      <c r="T817" s="92">
        <v>2000005336</v>
      </c>
      <c r="U817" s="92">
        <v>2000012127</v>
      </c>
      <c r="V817" s="92">
        <v>2000018292</v>
      </c>
      <c r="W817" s="92">
        <v>2000019089</v>
      </c>
      <c r="X817" s="92">
        <v>2000024264</v>
      </c>
      <c r="Y817" s="92">
        <v>2000029068</v>
      </c>
      <c r="Z817" s="92">
        <v>2000032068</v>
      </c>
      <c r="AA817" s="92">
        <v>2000032157</v>
      </c>
      <c r="AE817" s="6" t="s">
        <v>181</v>
      </c>
      <c r="AF817" s="92" t="s">
        <v>181</v>
      </c>
      <c r="AG817" s="92" t="s">
        <v>885</v>
      </c>
      <c r="AH817" s="92" t="s">
        <v>179</v>
      </c>
      <c r="AI817" s="92" t="s">
        <v>705</v>
      </c>
      <c r="AJ817" s="92" t="s">
        <v>924</v>
      </c>
      <c r="AK817" s="92" t="s">
        <v>533</v>
      </c>
      <c r="AL817" s="92" t="s">
        <v>732</v>
      </c>
      <c r="AM817" s="92" t="s">
        <v>732</v>
      </c>
      <c r="AQ817" s="6" t="s">
        <v>186</v>
      </c>
      <c r="AR817" s="92" t="s">
        <v>187</v>
      </c>
      <c r="AS817" s="92" t="s">
        <v>186</v>
      </c>
      <c r="AT817" s="92" t="s">
        <v>187</v>
      </c>
      <c r="AU817" s="92" t="s">
        <v>186</v>
      </c>
      <c r="AV817" s="92" t="s">
        <v>187</v>
      </c>
      <c r="AW817" s="92" t="s">
        <v>186</v>
      </c>
      <c r="AX817" s="92" t="s">
        <v>186</v>
      </c>
      <c r="AY817" s="92" t="s">
        <v>187</v>
      </c>
      <c r="BC817" s="60">
        <v>85870419788</v>
      </c>
      <c r="BD817" s="93">
        <v>85156952468</v>
      </c>
      <c r="BE817" s="93">
        <v>85770671971</v>
      </c>
      <c r="BF817" s="93">
        <v>83869023532</v>
      </c>
      <c r="BG817" s="93">
        <v>89637401435</v>
      </c>
      <c r="BH817" s="93">
        <v>895421896920</v>
      </c>
      <c r="BI817" s="93">
        <v>82169103007</v>
      </c>
      <c r="BJ817" s="93">
        <v>82372228815</v>
      </c>
      <c r="BK817" s="93">
        <v>81328336709</v>
      </c>
      <c r="BP817" s="18" t="s">
        <v>9938</v>
      </c>
      <c r="BQ817" s="37">
        <v>45321</v>
      </c>
      <c r="BR817" s="8">
        <f t="shared" si="3"/>
        <v>9</v>
      </c>
    </row>
    <row r="818" spans="1:70" ht="14">
      <c r="A818" s="4" t="str">
        <v>Reguler Periode ke-119 III.D.3</v>
      </c>
      <c r="B818" s="4" t="s">
        <v>9561</v>
      </c>
      <c r="C818" s="4" t="s">
        <v>1054</v>
      </c>
      <c r="D818" s="4" t="s">
        <v>9916</v>
      </c>
      <c r="E818" s="4" t="s">
        <v>9939</v>
      </c>
      <c r="F818" s="4" t="s">
        <v>9784</v>
      </c>
      <c r="G818" s="6" t="s">
        <v>9940</v>
      </c>
      <c r="H818" s="92" t="s">
        <v>9941</v>
      </c>
      <c r="I818" s="92" t="s">
        <v>9942</v>
      </c>
      <c r="J818" s="92" t="s">
        <v>9943</v>
      </c>
      <c r="K818" s="92" t="s">
        <v>9944</v>
      </c>
      <c r="L818" s="92" t="s">
        <v>9945</v>
      </c>
      <c r="M818" s="92" t="s">
        <v>9946</v>
      </c>
      <c r="N818" s="92" t="s">
        <v>9947</v>
      </c>
      <c r="O818" s="92" t="s">
        <v>9948</v>
      </c>
      <c r="S818" s="6">
        <v>1900024065</v>
      </c>
      <c r="T818" s="92">
        <v>2000005258</v>
      </c>
      <c r="U818" s="92">
        <v>2000005291</v>
      </c>
      <c r="V818" s="92">
        <v>2000012071</v>
      </c>
      <c r="W818" s="92">
        <v>2000018443</v>
      </c>
      <c r="X818" s="92">
        <v>2000020064</v>
      </c>
      <c r="Y818" s="92">
        <v>2000029030</v>
      </c>
      <c r="Z818" s="92">
        <v>2000032016</v>
      </c>
      <c r="AA818" s="92">
        <v>2000032058</v>
      </c>
      <c r="AE818" s="6" t="s">
        <v>924</v>
      </c>
      <c r="AF818" s="92" t="s">
        <v>181</v>
      </c>
      <c r="AG818" s="92" t="s">
        <v>181</v>
      </c>
      <c r="AH818" s="92" t="s">
        <v>885</v>
      </c>
      <c r="AI818" s="92" t="s">
        <v>179</v>
      </c>
      <c r="AJ818" s="92" t="s">
        <v>351</v>
      </c>
      <c r="AK818" s="92" t="s">
        <v>533</v>
      </c>
      <c r="AL818" s="92" t="s">
        <v>732</v>
      </c>
      <c r="AM818" s="92" t="s">
        <v>732</v>
      </c>
      <c r="AQ818" s="6" t="s">
        <v>187</v>
      </c>
      <c r="AR818" s="92" t="s">
        <v>186</v>
      </c>
      <c r="AS818" s="92" t="s">
        <v>187</v>
      </c>
      <c r="AT818" s="92" t="s">
        <v>186</v>
      </c>
      <c r="AU818" s="92" t="s">
        <v>187</v>
      </c>
      <c r="AV818" s="92" t="s">
        <v>186</v>
      </c>
      <c r="AW818" s="92" t="s">
        <v>186</v>
      </c>
      <c r="AX818" s="92" t="s">
        <v>187</v>
      </c>
      <c r="AY818" s="92" t="s">
        <v>186</v>
      </c>
      <c r="BC818" s="60">
        <v>81338833537</v>
      </c>
      <c r="BD818" s="93">
        <v>895342793620</v>
      </c>
      <c r="BE818" s="93">
        <v>85156190705</v>
      </c>
      <c r="BF818" s="93">
        <v>895364762816</v>
      </c>
      <c r="BG818" s="93">
        <v>82243430906</v>
      </c>
      <c r="BH818" s="93">
        <v>87839377666</v>
      </c>
      <c r="BI818" s="93">
        <v>81272224690</v>
      </c>
      <c r="BJ818" s="93">
        <v>895414113989</v>
      </c>
      <c r="BK818" s="93">
        <v>82136361622</v>
      </c>
      <c r="BP818" s="18" t="s">
        <v>9949</v>
      </c>
      <c r="BQ818" s="37">
        <v>45321</v>
      </c>
      <c r="BR818" s="8">
        <f t="shared" si="3"/>
        <v>9</v>
      </c>
    </row>
    <row r="819" spans="1:70" ht="14">
      <c r="A819" s="4" t="str">
        <v>Reguler Periode ke-119 IV.A.1</v>
      </c>
      <c r="B819" s="4" t="s">
        <v>9561</v>
      </c>
      <c r="C819" s="4" t="s">
        <v>1075</v>
      </c>
      <c r="D819" s="4" t="s">
        <v>9950</v>
      </c>
      <c r="E819" s="4" t="s">
        <v>9951</v>
      </c>
      <c r="F819" s="4" t="s">
        <v>9784</v>
      </c>
      <c r="G819" s="6" t="s">
        <v>9952</v>
      </c>
      <c r="H819" s="92" t="s">
        <v>9953</v>
      </c>
      <c r="I819" s="92" t="s">
        <v>9954</v>
      </c>
      <c r="J819" s="92" t="s">
        <v>9955</v>
      </c>
      <c r="K819" s="92" t="s">
        <v>9956</v>
      </c>
      <c r="L819" s="92" t="s">
        <v>9957</v>
      </c>
      <c r="M819" s="92" t="s">
        <v>9958</v>
      </c>
      <c r="N819" s="92" t="s">
        <v>9959</v>
      </c>
      <c r="S819" s="6">
        <v>2000005130</v>
      </c>
      <c r="T819" s="92">
        <v>2000005352</v>
      </c>
      <c r="U819" s="92">
        <v>2000012049</v>
      </c>
      <c r="V819" s="92">
        <v>2000018194</v>
      </c>
      <c r="W819" s="92">
        <v>2000020017</v>
      </c>
      <c r="X819" s="92">
        <v>2000024337</v>
      </c>
      <c r="Y819" s="92">
        <v>2000029252</v>
      </c>
      <c r="Z819" s="92">
        <v>2000032125</v>
      </c>
      <c r="AE819" s="6" t="s">
        <v>181</v>
      </c>
      <c r="AF819" s="92" t="s">
        <v>181</v>
      </c>
      <c r="AG819" s="92" t="s">
        <v>885</v>
      </c>
      <c r="AH819" s="92" t="s">
        <v>179</v>
      </c>
      <c r="AI819" s="92" t="s">
        <v>351</v>
      </c>
      <c r="AJ819" s="92" t="s">
        <v>924</v>
      </c>
      <c r="AK819" s="92" t="s">
        <v>533</v>
      </c>
      <c r="AL819" s="92" t="s">
        <v>732</v>
      </c>
      <c r="AQ819" s="6" t="s">
        <v>186</v>
      </c>
      <c r="AR819" s="92" t="s">
        <v>187</v>
      </c>
      <c r="AS819" s="92" t="s">
        <v>186</v>
      </c>
      <c r="AT819" s="92" t="s">
        <v>187</v>
      </c>
      <c r="AU819" s="92" t="s">
        <v>186</v>
      </c>
      <c r="AV819" s="92" t="s">
        <v>187</v>
      </c>
      <c r="AW819" s="92" t="s">
        <v>186</v>
      </c>
      <c r="AX819" s="92" t="s">
        <v>187</v>
      </c>
      <c r="BC819" s="60">
        <v>85726889824</v>
      </c>
      <c r="BD819" s="93">
        <v>85725931012</v>
      </c>
      <c r="BE819" s="93">
        <v>85292809376</v>
      </c>
      <c r="BF819" s="93">
        <v>82189678056</v>
      </c>
      <c r="BG819" s="93">
        <v>81290600961</v>
      </c>
      <c r="BH819" s="93">
        <v>81211840608</v>
      </c>
      <c r="BI819" s="93">
        <v>81359542635</v>
      </c>
      <c r="BJ819" s="93">
        <v>89536166778</v>
      </c>
      <c r="BP819" s="18" t="s">
        <v>9960</v>
      </c>
      <c r="BQ819" s="37">
        <v>45321</v>
      </c>
      <c r="BR819" s="8">
        <f t="shared" si="3"/>
        <v>8</v>
      </c>
    </row>
    <row r="820" spans="1:70" ht="14">
      <c r="A820" s="4" t="str">
        <v>Reguler Periode ke-119 IV.A.2</v>
      </c>
      <c r="B820" s="4" t="s">
        <v>9561</v>
      </c>
      <c r="C820" s="4" t="s">
        <v>1088</v>
      </c>
      <c r="D820" s="4" t="s">
        <v>9950</v>
      </c>
      <c r="E820" s="4" t="s">
        <v>9961</v>
      </c>
      <c r="F820" s="4" t="s">
        <v>9784</v>
      </c>
      <c r="G820" s="6" t="s">
        <v>9962</v>
      </c>
      <c r="H820" s="92" t="s">
        <v>9963</v>
      </c>
      <c r="I820" s="92" t="s">
        <v>9964</v>
      </c>
      <c r="J820" s="92" t="s">
        <v>9965</v>
      </c>
      <c r="K820" s="92" t="s">
        <v>9966</v>
      </c>
      <c r="L820" s="92" t="s">
        <v>9967</v>
      </c>
      <c r="M820" s="92" t="s">
        <v>9968</v>
      </c>
      <c r="N820" s="92" t="s">
        <v>9969</v>
      </c>
      <c r="S820" s="6">
        <v>2000005003</v>
      </c>
      <c r="T820" s="92">
        <v>2000005116</v>
      </c>
      <c r="U820" s="92">
        <v>2000012099</v>
      </c>
      <c r="V820" s="92">
        <v>2000020073</v>
      </c>
      <c r="W820" s="92">
        <v>2000024047</v>
      </c>
      <c r="X820" s="92">
        <v>2000029160</v>
      </c>
      <c r="Y820" s="92">
        <v>2000032069</v>
      </c>
      <c r="Z820" s="92">
        <v>2000032123</v>
      </c>
      <c r="AE820" s="6" t="s">
        <v>181</v>
      </c>
      <c r="AF820" s="92" t="s">
        <v>181</v>
      </c>
      <c r="AG820" s="92" t="s">
        <v>885</v>
      </c>
      <c r="AH820" s="92" t="s">
        <v>351</v>
      </c>
      <c r="AI820" s="92" t="s">
        <v>924</v>
      </c>
      <c r="AJ820" s="92" t="s">
        <v>533</v>
      </c>
      <c r="AK820" s="92" t="s">
        <v>732</v>
      </c>
      <c r="AL820" s="92" t="s">
        <v>732</v>
      </c>
      <c r="AQ820" s="6" t="s">
        <v>187</v>
      </c>
      <c r="AR820" s="92" t="s">
        <v>186</v>
      </c>
      <c r="AS820" s="92" t="s">
        <v>186</v>
      </c>
      <c r="AT820" s="92" t="s">
        <v>186</v>
      </c>
      <c r="AU820" s="92" t="s">
        <v>187</v>
      </c>
      <c r="AV820" s="92" t="s">
        <v>186</v>
      </c>
      <c r="AW820" s="92" t="s">
        <v>187</v>
      </c>
      <c r="AX820" s="92" t="s">
        <v>186</v>
      </c>
      <c r="BC820" s="60">
        <v>82290249473</v>
      </c>
      <c r="BD820" s="93">
        <v>88232556384</v>
      </c>
      <c r="BE820" s="93">
        <v>895391519849</v>
      </c>
      <c r="BF820" s="93">
        <v>85781005986</v>
      </c>
      <c r="BG820" s="93">
        <v>81215945122</v>
      </c>
      <c r="BH820" s="93">
        <v>85158871172</v>
      </c>
      <c r="BI820" s="93" t="s">
        <v>9970</v>
      </c>
      <c r="BJ820" s="93">
        <v>88232193568</v>
      </c>
      <c r="BP820" s="18" t="s">
        <v>9971</v>
      </c>
      <c r="BQ820" s="37">
        <v>45321</v>
      </c>
      <c r="BR820" s="8">
        <f t="shared" si="3"/>
        <v>8</v>
      </c>
    </row>
    <row r="821" spans="1:70" ht="14">
      <c r="A821" s="4" t="str">
        <v>Reguler Periode ke-119 IV.A.3</v>
      </c>
      <c r="B821" s="4" t="s">
        <v>9561</v>
      </c>
      <c r="C821" s="4" t="s">
        <v>1100</v>
      </c>
      <c r="D821" s="4" t="s">
        <v>9950</v>
      </c>
      <c r="E821" s="4" t="s">
        <v>9972</v>
      </c>
      <c r="F821" s="4" t="s">
        <v>9784</v>
      </c>
      <c r="G821" s="6" t="s">
        <v>9973</v>
      </c>
      <c r="H821" s="92" t="s">
        <v>9974</v>
      </c>
      <c r="I821" s="92" t="s">
        <v>9975</v>
      </c>
      <c r="J821" s="92" t="s">
        <v>9976</v>
      </c>
      <c r="K821" s="92" t="s">
        <v>9977</v>
      </c>
      <c r="L821" s="92" t="s">
        <v>9978</v>
      </c>
      <c r="M821" s="92" t="s">
        <v>9979</v>
      </c>
      <c r="N821" s="92" t="s">
        <v>9980</v>
      </c>
      <c r="O821" s="92" t="s">
        <v>9981</v>
      </c>
      <c r="S821" s="6">
        <v>2000005312</v>
      </c>
      <c r="T821" s="92">
        <v>2000005379</v>
      </c>
      <c r="U821" s="92">
        <v>2000012065</v>
      </c>
      <c r="V821" s="92">
        <v>2000018204</v>
      </c>
      <c r="W821" s="92">
        <v>2000020092</v>
      </c>
      <c r="X821" s="92">
        <v>2000024341</v>
      </c>
      <c r="Y821" s="92">
        <v>2000029195</v>
      </c>
      <c r="Z821" s="92">
        <v>2000032099</v>
      </c>
      <c r="AA821" s="92">
        <v>2000032171</v>
      </c>
      <c r="AE821" s="6" t="s">
        <v>181</v>
      </c>
      <c r="AF821" s="92" t="s">
        <v>181</v>
      </c>
      <c r="AG821" s="92" t="s">
        <v>885</v>
      </c>
      <c r="AH821" s="92" t="s">
        <v>179</v>
      </c>
      <c r="AI821" s="92" t="s">
        <v>351</v>
      </c>
      <c r="AJ821" s="92" t="s">
        <v>924</v>
      </c>
      <c r="AK821" s="92" t="s">
        <v>533</v>
      </c>
      <c r="AL821" s="92" t="s">
        <v>732</v>
      </c>
      <c r="AM821" s="92" t="s">
        <v>732</v>
      </c>
      <c r="AQ821" s="6" t="s">
        <v>186</v>
      </c>
      <c r="AR821" s="92" t="s">
        <v>187</v>
      </c>
      <c r="AS821" s="92" t="s">
        <v>186</v>
      </c>
      <c r="AT821" s="92" t="s">
        <v>187</v>
      </c>
      <c r="AU821" s="92" t="s">
        <v>186</v>
      </c>
      <c r="AV821" s="92" t="s">
        <v>187</v>
      </c>
      <c r="AW821" s="92" t="s">
        <v>186</v>
      </c>
      <c r="AX821" s="92" t="s">
        <v>186</v>
      </c>
      <c r="AY821" s="92" t="s">
        <v>187</v>
      </c>
      <c r="BC821" s="60">
        <v>82371121397</v>
      </c>
      <c r="BD821" s="93">
        <v>81297553230</v>
      </c>
      <c r="BE821" s="93">
        <v>85643189716</v>
      </c>
      <c r="BF821" s="93">
        <v>83850760594</v>
      </c>
      <c r="BG821" s="93">
        <v>85861618959</v>
      </c>
      <c r="BH821" s="93">
        <v>89648597795</v>
      </c>
      <c r="BI821" s="93">
        <v>85709371059</v>
      </c>
      <c r="BJ821" s="93">
        <v>81227260946</v>
      </c>
      <c r="BK821" s="93">
        <v>87744471237</v>
      </c>
      <c r="BP821" s="18" t="s">
        <v>9982</v>
      </c>
      <c r="BQ821" s="37">
        <v>45321</v>
      </c>
      <c r="BR821" s="8">
        <f t="shared" si="3"/>
        <v>9</v>
      </c>
    </row>
    <row r="822" spans="1:70" ht="14">
      <c r="A822" s="4" t="str">
        <v>Reguler Periode ke-119 IV.B.1</v>
      </c>
      <c r="B822" s="4" t="s">
        <v>9561</v>
      </c>
      <c r="C822" s="4" t="s">
        <v>1114</v>
      </c>
      <c r="D822" s="4" t="s">
        <v>9983</v>
      </c>
      <c r="E822" s="4" t="s">
        <v>9984</v>
      </c>
      <c r="F822" s="4" t="s">
        <v>9784</v>
      </c>
      <c r="G822" s="6" t="s">
        <v>9985</v>
      </c>
      <c r="H822" s="92" t="s">
        <v>9986</v>
      </c>
      <c r="I822" s="92" t="s">
        <v>9987</v>
      </c>
      <c r="J822" s="92" t="s">
        <v>9988</v>
      </c>
      <c r="K822" s="92" t="s">
        <v>9989</v>
      </c>
      <c r="L822" s="92" t="s">
        <v>9990</v>
      </c>
      <c r="M822" s="92" t="s">
        <v>9991</v>
      </c>
      <c r="N822" s="92" t="s">
        <v>9992</v>
      </c>
      <c r="O822" s="92" t="s">
        <v>9993</v>
      </c>
      <c r="S822" s="6">
        <v>1900024210</v>
      </c>
      <c r="T822" s="92">
        <v>2000005074</v>
      </c>
      <c r="U822" s="92">
        <v>2000005245</v>
      </c>
      <c r="V822" s="92">
        <v>2000012183</v>
      </c>
      <c r="W822" s="92">
        <v>2000020071</v>
      </c>
      <c r="X822" s="92">
        <v>2000029194</v>
      </c>
      <c r="Y822" s="92">
        <v>2000032130</v>
      </c>
      <c r="Z822" s="92">
        <v>2000032176</v>
      </c>
      <c r="AA822" s="92">
        <v>2015018296</v>
      </c>
      <c r="AE822" s="6" t="s">
        <v>924</v>
      </c>
      <c r="AF822" s="92" t="s">
        <v>181</v>
      </c>
      <c r="AG822" s="92" t="s">
        <v>181</v>
      </c>
      <c r="AH822" s="92" t="s">
        <v>885</v>
      </c>
      <c r="AI822" s="92" t="s">
        <v>351</v>
      </c>
      <c r="AJ822" s="92" t="s">
        <v>533</v>
      </c>
      <c r="AK822" s="92" t="s">
        <v>732</v>
      </c>
      <c r="AL822" s="92" t="s">
        <v>732</v>
      </c>
      <c r="AM822" s="92" t="s">
        <v>179</v>
      </c>
      <c r="AQ822" s="6" t="s">
        <v>187</v>
      </c>
      <c r="AR822" s="92" t="s">
        <v>186</v>
      </c>
      <c r="AS822" s="92" t="s">
        <v>187</v>
      </c>
      <c r="AT822" s="92" t="s">
        <v>186</v>
      </c>
      <c r="AU822" s="92" t="s">
        <v>186</v>
      </c>
      <c r="AV822" s="92" t="s">
        <v>186</v>
      </c>
      <c r="AW822" s="92" t="s">
        <v>187</v>
      </c>
      <c r="AX822" s="92" t="s">
        <v>186</v>
      </c>
      <c r="AY822" s="92" t="s">
        <v>187</v>
      </c>
      <c r="BC822" s="60">
        <v>82291958450</v>
      </c>
      <c r="BD822" s="93">
        <v>85842161959</v>
      </c>
      <c r="BE822" s="93">
        <v>83172598415</v>
      </c>
      <c r="BF822" s="93">
        <v>82395348893</v>
      </c>
      <c r="BG822" s="93">
        <v>82123785095</v>
      </c>
      <c r="BH822" s="93">
        <v>81214600726</v>
      </c>
      <c r="BI822" s="93">
        <v>82136185379</v>
      </c>
      <c r="BJ822" s="93">
        <v>85338880488</v>
      </c>
      <c r="BK822" s="93">
        <v>89629786518</v>
      </c>
      <c r="BP822" s="18" t="s">
        <v>9994</v>
      </c>
      <c r="BQ822" s="37">
        <v>45321</v>
      </c>
      <c r="BR822" s="8">
        <f t="shared" si="3"/>
        <v>9</v>
      </c>
    </row>
    <row r="823" spans="1:70" ht="14">
      <c r="A823" s="4" t="str">
        <v>Reguler Periode ke-119 IV.B.2</v>
      </c>
      <c r="B823" s="4" t="s">
        <v>9561</v>
      </c>
      <c r="C823" s="4" t="s">
        <v>1136</v>
      </c>
      <c r="D823" s="4" t="s">
        <v>9983</v>
      </c>
      <c r="E823" s="4" t="s">
        <v>9995</v>
      </c>
      <c r="F823" s="4" t="s">
        <v>9784</v>
      </c>
      <c r="G823" s="6" t="s">
        <v>9996</v>
      </c>
      <c r="H823" s="92" t="s">
        <v>9997</v>
      </c>
      <c r="I823" s="92" t="s">
        <v>9998</v>
      </c>
      <c r="J823" s="92" t="s">
        <v>9999</v>
      </c>
      <c r="K823" s="92" t="s">
        <v>10000</v>
      </c>
      <c r="L823" s="92" t="s">
        <v>10001</v>
      </c>
      <c r="M823" s="92" t="s">
        <v>10002</v>
      </c>
      <c r="N823" s="92" t="s">
        <v>10003</v>
      </c>
      <c r="O823" s="92" t="s">
        <v>10004</v>
      </c>
      <c r="S823" s="6">
        <v>2000005108</v>
      </c>
      <c r="T823" s="92">
        <v>2000005212</v>
      </c>
      <c r="U823" s="92">
        <v>2000012112</v>
      </c>
      <c r="V823" s="92">
        <v>2000018139</v>
      </c>
      <c r="W823" s="92">
        <v>2000020074</v>
      </c>
      <c r="X823" s="92">
        <v>2000024089</v>
      </c>
      <c r="Y823" s="92">
        <v>2000029061</v>
      </c>
      <c r="Z823" s="92">
        <v>2000032023</v>
      </c>
      <c r="AA823" s="92">
        <v>2000032132</v>
      </c>
      <c r="AE823" s="6" t="s">
        <v>181</v>
      </c>
      <c r="AF823" s="92" t="s">
        <v>181</v>
      </c>
      <c r="AG823" s="92" t="s">
        <v>885</v>
      </c>
      <c r="AH823" s="92" t="s">
        <v>179</v>
      </c>
      <c r="AI823" s="92" t="s">
        <v>351</v>
      </c>
      <c r="AJ823" s="92" t="s">
        <v>924</v>
      </c>
      <c r="AK823" s="92" t="s">
        <v>533</v>
      </c>
      <c r="AL823" s="92" t="s">
        <v>732</v>
      </c>
      <c r="AM823" s="92" t="s">
        <v>732</v>
      </c>
      <c r="AQ823" s="6" t="s">
        <v>187</v>
      </c>
      <c r="AR823" s="92" t="s">
        <v>186</v>
      </c>
      <c r="AS823" s="92" t="s">
        <v>186</v>
      </c>
      <c r="AT823" s="92" t="s">
        <v>187</v>
      </c>
      <c r="AU823" s="92" t="s">
        <v>186</v>
      </c>
      <c r="AV823" s="92" t="s">
        <v>187</v>
      </c>
      <c r="AW823" s="92" t="s">
        <v>186</v>
      </c>
      <c r="AX823" s="92" t="s">
        <v>186</v>
      </c>
      <c r="AY823" s="92" t="s">
        <v>187</v>
      </c>
      <c r="BC823" s="60">
        <v>85753557651</v>
      </c>
      <c r="BD823" s="93">
        <v>85273564026</v>
      </c>
      <c r="BE823" s="93">
        <v>85843819522</v>
      </c>
      <c r="BF823" s="93">
        <v>81325449368</v>
      </c>
      <c r="BG823" s="93">
        <v>82142378624</v>
      </c>
      <c r="BH823" s="93">
        <v>87888742685</v>
      </c>
      <c r="BI823" s="93">
        <v>83176074000</v>
      </c>
      <c r="BJ823" s="93">
        <v>88226740478</v>
      </c>
      <c r="BK823" s="93">
        <v>82264578264</v>
      </c>
      <c r="BP823" s="18" t="s">
        <v>10005</v>
      </c>
      <c r="BQ823" s="37">
        <v>45321</v>
      </c>
      <c r="BR823" s="8">
        <f t="shared" si="3"/>
        <v>9</v>
      </c>
    </row>
    <row r="824" spans="1:70" ht="14">
      <c r="A824" s="4" t="str">
        <v>Reguler Periode ke-119 IV.B.3</v>
      </c>
      <c r="B824" s="4" t="s">
        <v>9561</v>
      </c>
      <c r="C824" s="4" t="s">
        <v>1157</v>
      </c>
      <c r="D824" s="4" t="s">
        <v>9983</v>
      </c>
      <c r="E824" s="4" t="s">
        <v>10006</v>
      </c>
      <c r="F824" s="4" t="s">
        <v>9784</v>
      </c>
      <c r="G824" s="6" t="s">
        <v>10007</v>
      </c>
      <c r="H824" s="92" t="s">
        <v>10008</v>
      </c>
      <c r="I824" s="92" t="s">
        <v>10009</v>
      </c>
      <c r="J824" s="92" t="s">
        <v>10010</v>
      </c>
      <c r="K824" s="92" t="s">
        <v>10011</v>
      </c>
      <c r="L824" s="92" t="s">
        <v>10012</v>
      </c>
      <c r="M824" s="92" t="s">
        <v>10013</v>
      </c>
      <c r="N824" s="92" t="s">
        <v>10014</v>
      </c>
      <c r="O824" s="92" t="s">
        <v>10015</v>
      </c>
      <c r="S824" s="6">
        <v>2000005047</v>
      </c>
      <c r="T824" s="92">
        <v>2000005253</v>
      </c>
      <c r="U824" s="92">
        <v>2000012030</v>
      </c>
      <c r="V824" s="92">
        <v>2000018094</v>
      </c>
      <c r="W824" s="92">
        <v>2000020062</v>
      </c>
      <c r="X824" s="92">
        <v>2000024227</v>
      </c>
      <c r="Y824" s="92">
        <v>2000029006</v>
      </c>
      <c r="Z824" s="92">
        <v>2000032012</v>
      </c>
      <c r="AA824" s="92">
        <v>2000033032</v>
      </c>
      <c r="AE824" s="6" t="s">
        <v>181</v>
      </c>
      <c r="AF824" s="92" t="s">
        <v>181</v>
      </c>
      <c r="AG824" s="92" t="s">
        <v>885</v>
      </c>
      <c r="AH824" s="92" t="s">
        <v>179</v>
      </c>
      <c r="AI824" s="92" t="s">
        <v>351</v>
      </c>
      <c r="AJ824" s="92" t="s">
        <v>924</v>
      </c>
      <c r="AK824" s="92" t="s">
        <v>533</v>
      </c>
      <c r="AL824" s="92" t="s">
        <v>732</v>
      </c>
      <c r="AM824" s="92" t="s">
        <v>1112</v>
      </c>
      <c r="AQ824" s="6" t="s">
        <v>187</v>
      </c>
      <c r="AR824" s="92" t="s">
        <v>186</v>
      </c>
      <c r="AS824" s="92" t="s">
        <v>186</v>
      </c>
      <c r="AT824" s="92" t="s">
        <v>187</v>
      </c>
      <c r="AU824" s="92" t="s">
        <v>186</v>
      </c>
      <c r="AV824" s="92" t="s">
        <v>187</v>
      </c>
      <c r="AW824" s="92" t="s">
        <v>186</v>
      </c>
      <c r="AX824" s="92" t="s">
        <v>186</v>
      </c>
      <c r="AY824" s="92" t="s">
        <v>187</v>
      </c>
      <c r="BC824" s="60">
        <v>81225492749</v>
      </c>
      <c r="BD824" s="93">
        <v>85740669569</v>
      </c>
      <c r="BE824" s="93">
        <v>85774026847</v>
      </c>
      <c r="BF824" s="93">
        <v>81378143965</v>
      </c>
      <c r="BG824" s="93">
        <v>895386896483</v>
      </c>
      <c r="BH824" s="93">
        <v>82192165009</v>
      </c>
      <c r="BI824" s="93">
        <v>81387949116</v>
      </c>
      <c r="BJ824" s="93">
        <v>8985826912</v>
      </c>
      <c r="BK824" s="93">
        <v>87749615839</v>
      </c>
      <c r="BP824" s="18" t="s">
        <v>10016</v>
      </c>
      <c r="BQ824" s="37">
        <v>45321</v>
      </c>
      <c r="BR824" s="8">
        <f t="shared" si="3"/>
        <v>9</v>
      </c>
    </row>
    <row r="825" spans="1:70" ht="14">
      <c r="A825" s="4" t="str">
        <v>Reguler Periode ke-119 IV.C.1</v>
      </c>
      <c r="B825" s="4" t="s">
        <v>9561</v>
      </c>
      <c r="C825" s="4" t="s">
        <v>1179</v>
      </c>
      <c r="D825" s="4" t="s">
        <v>10017</v>
      </c>
      <c r="E825" s="4" t="s">
        <v>10018</v>
      </c>
      <c r="F825" s="4" t="s">
        <v>9784</v>
      </c>
      <c r="G825" s="6" t="s">
        <v>10019</v>
      </c>
      <c r="H825" s="92" t="s">
        <v>10020</v>
      </c>
      <c r="I825" s="92" t="s">
        <v>10021</v>
      </c>
      <c r="J825" s="92" t="s">
        <v>10022</v>
      </c>
      <c r="K825" s="92" t="s">
        <v>10023</v>
      </c>
      <c r="L825" s="92" t="s">
        <v>10024</v>
      </c>
      <c r="M825" s="92" t="s">
        <v>10025</v>
      </c>
      <c r="N825" s="92" t="s">
        <v>10026</v>
      </c>
      <c r="O825" s="92" t="s">
        <v>10027</v>
      </c>
      <c r="S825" s="6">
        <v>2000005301</v>
      </c>
      <c r="T825" s="92">
        <v>2000005357</v>
      </c>
      <c r="U825" s="92">
        <v>2000012151</v>
      </c>
      <c r="V825" s="92">
        <v>2000018405</v>
      </c>
      <c r="W825" s="92">
        <v>2000020005</v>
      </c>
      <c r="X825" s="92">
        <v>2000024104</v>
      </c>
      <c r="Y825" s="92">
        <v>2000029247</v>
      </c>
      <c r="Z825" s="92">
        <v>2000032108</v>
      </c>
      <c r="AA825" s="92">
        <v>2000033055</v>
      </c>
      <c r="AE825" s="6" t="s">
        <v>181</v>
      </c>
      <c r="AF825" s="92" t="s">
        <v>181</v>
      </c>
      <c r="AG825" s="92" t="s">
        <v>885</v>
      </c>
      <c r="AH825" s="92" t="s">
        <v>179</v>
      </c>
      <c r="AI825" s="92" t="s">
        <v>351</v>
      </c>
      <c r="AJ825" s="92" t="s">
        <v>924</v>
      </c>
      <c r="AK825" s="92" t="s">
        <v>533</v>
      </c>
      <c r="AL825" s="92" t="s">
        <v>732</v>
      </c>
      <c r="AM825" s="92" t="s">
        <v>1112</v>
      </c>
      <c r="AQ825" s="6" t="s">
        <v>186</v>
      </c>
      <c r="AR825" s="92" t="s">
        <v>187</v>
      </c>
      <c r="AS825" s="92" t="s">
        <v>186</v>
      </c>
      <c r="AT825" s="92" t="s">
        <v>187</v>
      </c>
      <c r="AU825" s="92" t="s">
        <v>186</v>
      </c>
      <c r="AV825" s="92" t="s">
        <v>187</v>
      </c>
      <c r="AW825" s="92" t="s">
        <v>186</v>
      </c>
      <c r="AX825" s="92" t="s">
        <v>186</v>
      </c>
      <c r="AY825" s="92" t="s">
        <v>187</v>
      </c>
      <c r="BC825" s="60">
        <v>85866967698</v>
      </c>
      <c r="BD825" s="93">
        <v>81393158685</v>
      </c>
      <c r="BE825" s="93">
        <v>87722117551</v>
      </c>
      <c r="BF825" s="93">
        <v>81210281200</v>
      </c>
      <c r="BG825" s="93">
        <v>89657519266</v>
      </c>
      <c r="BH825" s="93">
        <v>83168051859</v>
      </c>
      <c r="BI825" s="93">
        <v>82287837848</v>
      </c>
      <c r="BJ825" s="93">
        <v>895333927732</v>
      </c>
      <c r="BK825" s="93">
        <v>87884514302</v>
      </c>
      <c r="BP825" s="18" t="s">
        <v>10028</v>
      </c>
      <c r="BQ825" s="37">
        <v>45321</v>
      </c>
      <c r="BR825" s="8">
        <f t="shared" si="3"/>
        <v>9</v>
      </c>
    </row>
    <row r="826" spans="1:70" ht="14">
      <c r="A826" s="4" t="str">
        <v>Reguler Periode ke-119 IV.C.2</v>
      </c>
      <c r="B826" s="4" t="s">
        <v>9561</v>
      </c>
      <c r="C826" s="4" t="s">
        <v>1201</v>
      </c>
      <c r="D826" s="4" t="s">
        <v>10017</v>
      </c>
      <c r="E826" s="4" t="s">
        <v>10029</v>
      </c>
      <c r="F826" s="4" t="s">
        <v>9784</v>
      </c>
      <c r="G826" s="6" t="s">
        <v>10030</v>
      </c>
      <c r="H826" s="92" t="s">
        <v>10031</v>
      </c>
      <c r="I826" s="92" t="s">
        <v>10032</v>
      </c>
      <c r="J826" s="92" t="s">
        <v>10033</v>
      </c>
      <c r="K826" s="92" t="s">
        <v>10034</v>
      </c>
      <c r="L826" s="92" t="s">
        <v>10035</v>
      </c>
      <c r="M826" s="92" t="s">
        <v>10036</v>
      </c>
      <c r="N826" s="92" t="s">
        <v>10037</v>
      </c>
      <c r="O826" s="92" t="s">
        <v>10038</v>
      </c>
      <c r="S826" s="6">
        <v>2000005066</v>
      </c>
      <c r="T826" s="92">
        <v>2000005230</v>
      </c>
      <c r="U826" s="92">
        <v>2000012037</v>
      </c>
      <c r="V826" s="92">
        <v>2000018255</v>
      </c>
      <c r="W826" s="92">
        <v>2000020039</v>
      </c>
      <c r="X826" s="92">
        <v>2000024200</v>
      </c>
      <c r="Y826" s="92">
        <v>2000029024</v>
      </c>
      <c r="Z826" s="92">
        <v>2000032175</v>
      </c>
      <c r="AA826" s="92">
        <v>2000033012</v>
      </c>
      <c r="AE826" s="6" t="s">
        <v>181</v>
      </c>
      <c r="AF826" s="92" t="s">
        <v>181</v>
      </c>
      <c r="AG826" s="92" t="s">
        <v>885</v>
      </c>
      <c r="AH826" s="92" t="s">
        <v>179</v>
      </c>
      <c r="AI826" s="92" t="s">
        <v>351</v>
      </c>
      <c r="AJ826" s="92" t="s">
        <v>924</v>
      </c>
      <c r="AK826" s="92" t="s">
        <v>533</v>
      </c>
      <c r="AL826" s="92" t="s">
        <v>732</v>
      </c>
      <c r="AM826" s="92" t="s">
        <v>1112</v>
      </c>
      <c r="AQ826" s="6" t="s">
        <v>186</v>
      </c>
      <c r="AR826" s="92" t="s">
        <v>187</v>
      </c>
      <c r="AS826" s="92" t="s">
        <v>186</v>
      </c>
      <c r="AT826" s="92" t="s">
        <v>187</v>
      </c>
      <c r="AU826" s="92" t="s">
        <v>186</v>
      </c>
      <c r="AV826" s="92" t="s">
        <v>187</v>
      </c>
      <c r="AW826" s="92" t="s">
        <v>186</v>
      </c>
      <c r="AX826" s="92" t="s">
        <v>186</v>
      </c>
      <c r="AY826" s="92" t="s">
        <v>187</v>
      </c>
      <c r="BC826" s="60">
        <v>81273459663</v>
      </c>
      <c r="BD826" s="93">
        <v>895414025196</v>
      </c>
      <c r="BE826" s="93">
        <v>81958890221</v>
      </c>
      <c r="BF826" s="93">
        <v>85934779287</v>
      </c>
      <c r="BG826" s="93">
        <v>89676235082</v>
      </c>
      <c r="BH826" s="93">
        <v>83833394715</v>
      </c>
      <c r="BI826" s="93">
        <v>89514528009</v>
      </c>
      <c r="BJ826" s="93">
        <v>81378426584</v>
      </c>
      <c r="BK826" s="93">
        <v>82126066358</v>
      </c>
      <c r="BP826" s="18" t="s">
        <v>10039</v>
      </c>
      <c r="BQ826" s="37">
        <v>45321</v>
      </c>
      <c r="BR826" s="8">
        <f t="shared" si="3"/>
        <v>9</v>
      </c>
    </row>
    <row r="827" spans="1:70" ht="14">
      <c r="A827" s="4" t="str">
        <v>Reguler Periode ke-119 IV.C.3</v>
      </c>
      <c r="B827" s="4" t="s">
        <v>9561</v>
      </c>
      <c r="C827" s="4" t="s">
        <v>1222</v>
      </c>
      <c r="D827" s="4" t="s">
        <v>10017</v>
      </c>
      <c r="E827" s="4" t="s">
        <v>10040</v>
      </c>
      <c r="F827" s="4" t="s">
        <v>9784</v>
      </c>
      <c r="G827" s="6" t="s">
        <v>10041</v>
      </c>
      <c r="H827" s="92" t="s">
        <v>10042</v>
      </c>
      <c r="I827" s="92" t="s">
        <v>10043</v>
      </c>
      <c r="J827" s="92" t="s">
        <v>10044</v>
      </c>
      <c r="K827" s="92" t="s">
        <v>10045</v>
      </c>
      <c r="L827" s="92" t="s">
        <v>10046</v>
      </c>
      <c r="M827" s="92" t="s">
        <v>10047</v>
      </c>
      <c r="N827" s="92" t="s">
        <v>10048</v>
      </c>
      <c r="O827" s="92" t="s">
        <v>10049</v>
      </c>
      <c r="S827" s="6">
        <v>2000005123</v>
      </c>
      <c r="T827" s="92">
        <v>2000005363</v>
      </c>
      <c r="U827" s="92">
        <v>2000012180</v>
      </c>
      <c r="V827" s="92">
        <v>2000018360</v>
      </c>
      <c r="W827" s="92">
        <v>2000020087</v>
      </c>
      <c r="X827" s="92">
        <v>2000024054</v>
      </c>
      <c r="Y827" s="92">
        <v>2000029041</v>
      </c>
      <c r="Z827" s="92">
        <v>2000032087</v>
      </c>
      <c r="AA827" s="92">
        <v>2000033027</v>
      </c>
      <c r="AE827" s="6" t="s">
        <v>181</v>
      </c>
      <c r="AF827" s="92" t="s">
        <v>181</v>
      </c>
      <c r="AG827" s="92" t="s">
        <v>885</v>
      </c>
      <c r="AH827" s="92" t="s">
        <v>179</v>
      </c>
      <c r="AI827" s="92" t="s">
        <v>351</v>
      </c>
      <c r="AJ827" s="92" t="s">
        <v>924</v>
      </c>
      <c r="AK827" s="92" t="s">
        <v>533</v>
      </c>
      <c r="AL827" s="92" t="s">
        <v>732</v>
      </c>
      <c r="AM827" s="92" t="s">
        <v>1112</v>
      </c>
      <c r="AQ827" s="6" t="s">
        <v>186</v>
      </c>
      <c r="AR827" s="92" t="s">
        <v>187</v>
      </c>
      <c r="AS827" s="92" t="s">
        <v>186</v>
      </c>
      <c r="AT827" s="92" t="s">
        <v>187</v>
      </c>
      <c r="AU827" s="92" t="s">
        <v>186</v>
      </c>
      <c r="AV827" s="92" t="s">
        <v>187</v>
      </c>
      <c r="AW827" s="92" t="s">
        <v>186</v>
      </c>
      <c r="AX827" s="92" t="s">
        <v>186</v>
      </c>
      <c r="AY827" s="92" t="s">
        <v>187</v>
      </c>
      <c r="BC827" s="60">
        <v>85769162546</v>
      </c>
      <c r="BD827" s="93">
        <v>81882877441</v>
      </c>
      <c r="BE827" s="93">
        <v>85251819042</v>
      </c>
      <c r="BF827" s="93">
        <v>82136340723</v>
      </c>
      <c r="BG827" s="93">
        <v>895377416995</v>
      </c>
      <c r="BH827" s="93">
        <v>87738011736</v>
      </c>
      <c r="BI827" s="93">
        <v>82182436554</v>
      </c>
      <c r="BJ827" s="93">
        <v>88220287547</v>
      </c>
      <c r="BK827" s="93">
        <v>85877004928</v>
      </c>
      <c r="BP827" s="18" t="s">
        <v>10050</v>
      </c>
      <c r="BQ827" s="37">
        <v>45321</v>
      </c>
      <c r="BR827" s="8">
        <f t="shared" si="3"/>
        <v>9</v>
      </c>
    </row>
    <row r="828" spans="1:70" ht="14">
      <c r="A828" s="4" t="str">
        <v>Reguler Periode ke-119 IV.D.1</v>
      </c>
      <c r="B828" s="4" t="s">
        <v>9561</v>
      </c>
      <c r="C828" s="4" t="s">
        <v>1243</v>
      </c>
      <c r="D828" s="4" t="s">
        <v>10051</v>
      </c>
      <c r="E828" s="4" t="s">
        <v>10052</v>
      </c>
      <c r="F828" s="4" t="s">
        <v>9784</v>
      </c>
      <c r="G828" s="6" t="s">
        <v>10053</v>
      </c>
      <c r="H828" s="92" t="s">
        <v>10054</v>
      </c>
      <c r="I828" s="92" t="s">
        <v>10055</v>
      </c>
      <c r="J828" s="92" t="s">
        <v>10056</v>
      </c>
      <c r="K828" s="92" t="s">
        <v>10057</v>
      </c>
      <c r="L828" s="92" t="s">
        <v>10058</v>
      </c>
      <c r="M828" s="92" t="s">
        <v>10059</v>
      </c>
      <c r="N828" s="92" t="s">
        <v>10060</v>
      </c>
      <c r="O828" s="92" t="s">
        <v>10061</v>
      </c>
      <c r="S828" s="6">
        <v>2000005174</v>
      </c>
      <c r="T828" s="92">
        <v>2000005252</v>
      </c>
      <c r="U828" s="92">
        <v>2000012122</v>
      </c>
      <c r="V828" s="92">
        <v>2000018249</v>
      </c>
      <c r="W828" s="92">
        <v>2000020024</v>
      </c>
      <c r="X828" s="92">
        <v>2000024087</v>
      </c>
      <c r="Y828" s="92">
        <v>2000029022</v>
      </c>
      <c r="Z828" s="92">
        <v>2000032039</v>
      </c>
      <c r="AA828" s="92">
        <v>2000033100</v>
      </c>
      <c r="AE828" s="6" t="s">
        <v>181</v>
      </c>
      <c r="AF828" s="92" t="s">
        <v>181</v>
      </c>
      <c r="AG828" s="92" t="s">
        <v>885</v>
      </c>
      <c r="AH828" s="92" t="s">
        <v>179</v>
      </c>
      <c r="AI828" s="92" t="s">
        <v>351</v>
      </c>
      <c r="AJ828" s="92" t="s">
        <v>924</v>
      </c>
      <c r="AK828" s="92" t="s">
        <v>533</v>
      </c>
      <c r="AL828" s="92" t="s">
        <v>732</v>
      </c>
      <c r="AM828" s="92" t="s">
        <v>1112</v>
      </c>
      <c r="AQ828" s="6" t="s">
        <v>187</v>
      </c>
      <c r="AR828" s="92" t="s">
        <v>186</v>
      </c>
      <c r="AS828" s="92" t="s">
        <v>186</v>
      </c>
      <c r="AT828" s="92" t="s">
        <v>187</v>
      </c>
      <c r="AU828" s="92" t="s">
        <v>186</v>
      </c>
      <c r="AV828" s="92" t="s">
        <v>187</v>
      </c>
      <c r="AW828" s="92" t="s">
        <v>186</v>
      </c>
      <c r="AX828" s="92" t="s">
        <v>186</v>
      </c>
      <c r="AY828" s="92" t="s">
        <v>187</v>
      </c>
      <c r="BC828" s="60">
        <v>81223508551</v>
      </c>
      <c r="BD828" s="93">
        <v>81323994738</v>
      </c>
      <c r="BE828" s="93">
        <v>81297563032</v>
      </c>
      <c r="BF828" s="93">
        <v>85724981317</v>
      </c>
      <c r="BG828" s="93">
        <v>882008330426</v>
      </c>
      <c r="BH828" s="93">
        <v>82324694929</v>
      </c>
      <c r="BI828" s="93">
        <v>85337939147</v>
      </c>
      <c r="BJ828" s="93">
        <v>89629980640</v>
      </c>
      <c r="BK828" s="93">
        <v>88706603474</v>
      </c>
      <c r="BP828" s="18" t="s">
        <v>10062</v>
      </c>
      <c r="BQ828" s="37">
        <v>45321</v>
      </c>
      <c r="BR828" s="8">
        <f t="shared" si="3"/>
        <v>9</v>
      </c>
    </row>
    <row r="829" spans="1:70" ht="14">
      <c r="A829" s="4" t="str">
        <v>Reguler Periode ke-119 IV.D.2</v>
      </c>
      <c r="B829" s="4" t="s">
        <v>9561</v>
      </c>
      <c r="C829" s="4" t="s">
        <v>1265</v>
      </c>
      <c r="D829" s="4" t="s">
        <v>10051</v>
      </c>
      <c r="E829" s="4" t="s">
        <v>10063</v>
      </c>
      <c r="F829" s="4" t="s">
        <v>9784</v>
      </c>
      <c r="G829" s="6" t="s">
        <v>10064</v>
      </c>
      <c r="H829" s="92" t="s">
        <v>10065</v>
      </c>
      <c r="I829" s="92" t="s">
        <v>10066</v>
      </c>
      <c r="J829" s="92" t="s">
        <v>10067</v>
      </c>
      <c r="K829" s="92" t="s">
        <v>10068</v>
      </c>
      <c r="L829" s="92" t="s">
        <v>10069</v>
      </c>
      <c r="M829" s="92" t="s">
        <v>10070</v>
      </c>
      <c r="N829" s="92" t="s">
        <v>10071</v>
      </c>
      <c r="O829" s="92" t="s">
        <v>10072</v>
      </c>
      <c r="S829" s="6">
        <v>2000005022</v>
      </c>
      <c r="T829" s="92">
        <v>2000005129</v>
      </c>
      <c r="U829" s="92">
        <v>2000018074</v>
      </c>
      <c r="V829" s="92">
        <v>2000020061</v>
      </c>
      <c r="W829" s="92">
        <v>2000024152</v>
      </c>
      <c r="X829" s="92">
        <v>2000029032</v>
      </c>
      <c r="Y829" s="92">
        <v>2000032106</v>
      </c>
      <c r="Z829" s="92">
        <v>2000033108</v>
      </c>
      <c r="AA829" s="92">
        <v>2015012057</v>
      </c>
      <c r="AE829" s="6" t="s">
        <v>181</v>
      </c>
      <c r="AF829" s="92" t="s">
        <v>181</v>
      </c>
      <c r="AG829" s="92" t="s">
        <v>179</v>
      </c>
      <c r="AH829" s="92" t="s">
        <v>351</v>
      </c>
      <c r="AI829" s="92" t="s">
        <v>924</v>
      </c>
      <c r="AJ829" s="92" t="s">
        <v>533</v>
      </c>
      <c r="AK829" s="92" t="s">
        <v>732</v>
      </c>
      <c r="AL829" s="92" t="s">
        <v>1112</v>
      </c>
      <c r="AM829" s="92" t="s">
        <v>885</v>
      </c>
      <c r="AQ829" s="6" t="s">
        <v>186</v>
      </c>
      <c r="AR829" s="92" t="s">
        <v>187</v>
      </c>
      <c r="AS829" s="92" t="s">
        <v>187</v>
      </c>
      <c r="AT829" s="92" t="s">
        <v>186</v>
      </c>
      <c r="AU829" s="92" t="s">
        <v>187</v>
      </c>
      <c r="AV829" s="92" t="s">
        <v>186</v>
      </c>
      <c r="AW829" s="92" t="s">
        <v>186</v>
      </c>
      <c r="AX829" s="92" t="s">
        <v>187</v>
      </c>
      <c r="AY829" s="92" t="s">
        <v>186</v>
      </c>
      <c r="BC829" s="60">
        <v>81254414096</v>
      </c>
      <c r="BD829" s="93">
        <v>895634608227</v>
      </c>
      <c r="BE829" s="93">
        <v>82279131724</v>
      </c>
      <c r="BF829" s="93">
        <v>82268393302</v>
      </c>
      <c r="BG829" s="93">
        <v>88980894327</v>
      </c>
      <c r="BH829" s="93">
        <v>87893522124</v>
      </c>
      <c r="BI829" s="93">
        <v>81325652024</v>
      </c>
      <c r="BJ829" s="93">
        <v>82284782879</v>
      </c>
      <c r="BK829" s="93">
        <v>81575423054</v>
      </c>
      <c r="BP829" s="18" t="s">
        <v>10073</v>
      </c>
      <c r="BQ829" s="37">
        <v>45321</v>
      </c>
      <c r="BR829" s="8">
        <f t="shared" si="3"/>
        <v>9</v>
      </c>
    </row>
    <row r="830" spans="1:70" ht="14">
      <c r="A830" s="4" t="str">
        <v>Reguler Periode ke-119 V.A.1</v>
      </c>
      <c r="B830" s="4" t="s">
        <v>9561</v>
      </c>
      <c r="C830" s="4" t="s">
        <v>1328</v>
      </c>
      <c r="D830" s="4" t="s">
        <v>10074</v>
      </c>
      <c r="E830" s="4" t="s">
        <v>10075</v>
      </c>
      <c r="F830" s="4" t="s">
        <v>193</v>
      </c>
      <c r="G830" s="6" t="s">
        <v>10076</v>
      </c>
      <c r="H830" s="92" t="s">
        <v>10077</v>
      </c>
      <c r="I830" s="92" t="s">
        <v>10078</v>
      </c>
      <c r="J830" s="92" t="s">
        <v>10079</v>
      </c>
      <c r="K830" s="92" t="s">
        <v>10080</v>
      </c>
      <c r="L830" s="92" t="s">
        <v>10081</v>
      </c>
      <c r="M830" s="92" t="s">
        <v>10082</v>
      </c>
      <c r="N830" s="92" t="s">
        <v>10083</v>
      </c>
      <c r="O830" s="92" t="s">
        <v>10084</v>
      </c>
      <c r="S830" s="6">
        <v>1900018230</v>
      </c>
      <c r="T830" s="92">
        <v>2000005194</v>
      </c>
      <c r="U830" s="92">
        <v>2000005234</v>
      </c>
      <c r="V830" s="92">
        <v>2000012003</v>
      </c>
      <c r="W830" s="92">
        <v>2000020065</v>
      </c>
      <c r="X830" s="92">
        <v>2000024373</v>
      </c>
      <c r="Y830" s="92">
        <v>2000029099</v>
      </c>
      <c r="Z830" s="92">
        <v>2000032100</v>
      </c>
      <c r="AA830" s="92">
        <v>2000033008</v>
      </c>
      <c r="AE830" s="6" t="s">
        <v>179</v>
      </c>
      <c r="AF830" s="92" t="s">
        <v>181</v>
      </c>
      <c r="AG830" s="92" t="s">
        <v>181</v>
      </c>
      <c r="AH830" s="92" t="s">
        <v>885</v>
      </c>
      <c r="AI830" s="92" t="s">
        <v>351</v>
      </c>
      <c r="AJ830" s="92" t="s">
        <v>924</v>
      </c>
      <c r="AK830" s="92" t="s">
        <v>533</v>
      </c>
      <c r="AL830" s="92" t="s">
        <v>732</v>
      </c>
      <c r="AM830" s="92" t="s">
        <v>1112</v>
      </c>
      <c r="AQ830" s="6" t="s">
        <v>187</v>
      </c>
      <c r="AR830" s="92" t="s">
        <v>187</v>
      </c>
      <c r="AS830" s="92" t="s">
        <v>186</v>
      </c>
      <c r="AT830" s="92" t="s">
        <v>186</v>
      </c>
      <c r="AU830" s="92" t="s">
        <v>186</v>
      </c>
      <c r="AV830" s="92" t="s">
        <v>187</v>
      </c>
      <c r="AW830" s="92" t="s">
        <v>186</v>
      </c>
      <c r="AX830" s="92" t="s">
        <v>186</v>
      </c>
      <c r="AY830" s="92" t="s">
        <v>187</v>
      </c>
      <c r="BC830" s="60">
        <v>81328656922</v>
      </c>
      <c r="BD830" s="93">
        <v>87893761557</v>
      </c>
      <c r="BE830" s="93">
        <v>85238034510</v>
      </c>
      <c r="BF830" s="93">
        <v>87861805172</v>
      </c>
      <c r="BG830" s="93">
        <v>81242062100</v>
      </c>
      <c r="BH830" s="93">
        <v>85895455877</v>
      </c>
      <c r="BI830" s="93">
        <v>82257672186</v>
      </c>
      <c r="BJ830" s="93">
        <v>81326460877</v>
      </c>
      <c r="BK830" s="93">
        <v>82280207320</v>
      </c>
      <c r="BP830" s="18" t="s">
        <v>10085</v>
      </c>
      <c r="BQ830" s="37">
        <v>45321</v>
      </c>
      <c r="BR830" s="8">
        <f t="shared" si="3"/>
        <v>9</v>
      </c>
    </row>
    <row r="831" spans="1:70" ht="14">
      <c r="A831" s="4" t="str">
        <v>Reguler Periode ke-119 V.A.2</v>
      </c>
      <c r="B831" s="4" t="s">
        <v>9561</v>
      </c>
      <c r="C831" s="4" t="s">
        <v>1350</v>
      </c>
      <c r="D831" s="4" t="s">
        <v>10074</v>
      </c>
      <c r="E831" s="4" t="s">
        <v>10086</v>
      </c>
      <c r="F831" s="4" t="s">
        <v>193</v>
      </c>
      <c r="G831" s="6" t="s">
        <v>10087</v>
      </c>
      <c r="H831" s="92" t="s">
        <v>10088</v>
      </c>
      <c r="I831" s="92" t="s">
        <v>10089</v>
      </c>
      <c r="J831" s="92" t="s">
        <v>10090</v>
      </c>
      <c r="K831" s="92" t="s">
        <v>10091</v>
      </c>
      <c r="L831" s="92" t="s">
        <v>10092</v>
      </c>
      <c r="M831" s="92" t="s">
        <v>10093</v>
      </c>
      <c r="N831" s="92" t="s">
        <v>10094</v>
      </c>
      <c r="O831" s="92" t="s">
        <v>10095</v>
      </c>
      <c r="S831" s="6">
        <v>2000005088</v>
      </c>
      <c r="T831" s="92">
        <v>2000005353</v>
      </c>
      <c r="U831" s="92">
        <v>2000012159</v>
      </c>
      <c r="V831" s="92">
        <v>2000018430</v>
      </c>
      <c r="W831" s="92">
        <v>2000020082</v>
      </c>
      <c r="X831" s="92">
        <v>2000024348</v>
      </c>
      <c r="Y831" s="92">
        <v>2000029228</v>
      </c>
      <c r="Z831" s="92">
        <v>2000032030</v>
      </c>
      <c r="AA831" s="92">
        <v>2000033109</v>
      </c>
      <c r="AE831" s="6" t="s">
        <v>181</v>
      </c>
      <c r="AF831" s="92" t="s">
        <v>181</v>
      </c>
      <c r="AG831" s="92" t="s">
        <v>885</v>
      </c>
      <c r="AH831" s="92" t="s">
        <v>179</v>
      </c>
      <c r="AI831" s="92" t="s">
        <v>351</v>
      </c>
      <c r="AJ831" s="92" t="s">
        <v>924</v>
      </c>
      <c r="AK831" s="92" t="s">
        <v>533</v>
      </c>
      <c r="AL831" s="92" t="s">
        <v>732</v>
      </c>
      <c r="AM831" s="92" t="s">
        <v>1112</v>
      </c>
      <c r="AQ831" s="6" t="s">
        <v>186</v>
      </c>
      <c r="AR831" s="92" t="s">
        <v>187</v>
      </c>
      <c r="AS831" s="92" t="s">
        <v>186</v>
      </c>
      <c r="AT831" s="92" t="s">
        <v>187</v>
      </c>
      <c r="AU831" s="92" t="s">
        <v>186</v>
      </c>
      <c r="AV831" s="92" t="s">
        <v>187</v>
      </c>
      <c r="AW831" s="92" t="s">
        <v>186</v>
      </c>
      <c r="AX831" s="92" t="s">
        <v>186</v>
      </c>
      <c r="AY831" s="92" t="s">
        <v>187</v>
      </c>
      <c r="BC831" s="60">
        <v>83854895973</v>
      </c>
      <c r="BD831" s="93">
        <v>8978357706</v>
      </c>
      <c r="BE831" s="93">
        <v>88232824102</v>
      </c>
      <c r="BF831" s="93">
        <v>83844034043</v>
      </c>
      <c r="BG831" s="93">
        <v>85866356803</v>
      </c>
      <c r="BH831" s="93">
        <v>87874160555</v>
      </c>
      <c r="BI831" s="93">
        <v>82266537020</v>
      </c>
      <c r="BJ831" s="93" t="s">
        <v>10096</v>
      </c>
      <c r="BK831" s="93">
        <v>85774344367</v>
      </c>
      <c r="BP831" s="18" t="s">
        <v>10097</v>
      </c>
      <c r="BQ831" s="37">
        <v>45321</v>
      </c>
      <c r="BR831" s="8">
        <f t="shared" si="3"/>
        <v>9</v>
      </c>
    </row>
    <row r="832" spans="1:70" ht="14">
      <c r="A832" s="4" t="str">
        <v>Reguler Periode ke-119 V.A.3</v>
      </c>
      <c r="B832" s="4" t="s">
        <v>9561</v>
      </c>
      <c r="C832" s="4" t="s">
        <v>1371</v>
      </c>
      <c r="D832" s="4" t="s">
        <v>10074</v>
      </c>
      <c r="E832" s="4" t="s">
        <v>10098</v>
      </c>
      <c r="F832" s="4" t="s">
        <v>193</v>
      </c>
      <c r="G832" s="6" t="s">
        <v>10099</v>
      </c>
      <c r="H832" s="92" t="s">
        <v>10100</v>
      </c>
      <c r="I832" s="92" t="s">
        <v>10101</v>
      </c>
      <c r="J832" s="92" t="s">
        <v>10102</v>
      </c>
      <c r="K832" s="92" t="s">
        <v>10103</v>
      </c>
      <c r="L832" s="92" t="s">
        <v>10104</v>
      </c>
      <c r="M832" s="92" t="s">
        <v>10105</v>
      </c>
      <c r="N832" s="92" t="s">
        <v>10106</v>
      </c>
      <c r="O832" s="92" t="s">
        <v>10107</v>
      </c>
      <c r="S832" s="6">
        <v>2000005052</v>
      </c>
      <c r="T832" s="92">
        <v>2000005265</v>
      </c>
      <c r="U832" s="92">
        <v>2000012115</v>
      </c>
      <c r="V832" s="92">
        <v>2000018090</v>
      </c>
      <c r="W832" s="92">
        <v>2000024112</v>
      </c>
      <c r="X832" s="92">
        <v>2000029007</v>
      </c>
      <c r="Y832" s="92">
        <v>2000032180</v>
      </c>
      <c r="Z832" s="92">
        <v>2000033070</v>
      </c>
      <c r="AA832" s="92">
        <v>2015020046</v>
      </c>
      <c r="AE832" s="6" t="s">
        <v>181</v>
      </c>
      <c r="AF832" s="92" t="s">
        <v>181</v>
      </c>
      <c r="AG832" s="92" t="s">
        <v>885</v>
      </c>
      <c r="AH832" s="92" t="s">
        <v>179</v>
      </c>
      <c r="AI832" s="92" t="s">
        <v>924</v>
      </c>
      <c r="AJ832" s="92" t="s">
        <v>533</v>
      </c>
      <c r="AK832" s="92" t="s">
        <v>732</v>
      </c>
      <c r="AL832" s="92" t="s">
        <v>1112</v>
      </c>
      <c r="AM832" s="92" t="s">
        <v>351</v>
      </c>
      <c r="AQ832" s="6" t="s">
        <v>187</v>
      </c>
      <c r="AR832" s="92" t="s">
        <v>186</v>
      </c>
      <c r="AS832" s="92" t="s">
        <v>186</v>
      </c>
      <c r="AT832" s="92" t="s">
        <v>187</v>
      </c>
      <c r="AU832" s="92" t="s">
        <v>187</v>
      </c>
      <c r="AV832" s="92" t="s">
        <v>186</v>
      </c>
      <c r="AW832" s="92" t="s">
        <v>186</v>
      </c>
      <c r="AX832" s="92" t="s">
        <v>187</v>
      </c>
      <c r="AY832" s="92" t="s">
        <v>186</v>
      </c>
      <c r="BC832" s="60">
        <v>87793461180</v>
      </c>
      <c r="BD832" s="93">
        <v>85728016926</v>
      </c>
      <c r="BE832" s="93">
        <v>81390790274</v>
      </c>
      <c r="BF832" s="93">
        <v>82190424203</v>
      </c>
      <c r="BG832" s="93" t="s">
        <v>10108</v>
      </c>
      <c r="BH832" s="93">
        <v>85338303130</v>
      </c>
      <c r="BI832" s="93">
        <v>895357601735</v>
      </c>
      <c r="BJ832" s="93">
        <v>82278159703</v>
      </c>
      <c r="BK832" s="93">
        <v>89625398010</v>
      </c>
      <c r="BP832" s="18" t="s">
        <v>10109</v>
      </c>
      <c r="BQ832" s="37">
        <v>45321</v>
      </c>
      <c r="BR832" s="8">
        <f t="shared" si="3"/>
        <v>9</v>
      </c>
    </row>
    <row r="833" spans="1:70" ht="14">
      <c r="A833" s="4" t="str">
        <v>Reguler Periode ke-119 V.B.1</v>
      </c>
      <c r="B833" s="4" t="s">
        <v>9561</v>
      </c>
      <c r="C833" s="4" t="s">
        <v>1392</v>
      </c>
      <c r="D833" s="4" t="s">
        <v>10110</v>
      </c>
      <c r="E833" s="4" t="s">
        <v>10111</v>
      </c>
      <c r="F833" s="4" t="s">
        <v>193</v>
      </c>
      <c r="G833" s="6" t="s">
        <v>10112</v>
      </c>
      <c r="H833" s="92" t="s">
        <v>10113</v>
      </c>
      <c r="I833" s="92" t="s">
        <v>10114</v>
      </c>
      <c r="J833" s="92" t="s">
        <v>10115</v>
      </c>
      <c r="K833" s="92" t="s">
        <v>10116</v>
      </c>
      <c r="L833" s="92" t="s">
        <v>10117</v>
      </c>
      <c r="M833" s="92" t="s">
        <v>10118</v>
      </c>
      <c r="N833" s="92" t="s">
        <v>10119</v>
      </c>
      <c r="O833" s="92" t="s">
        <v>10120</v>
      </c>
      <c r="S833" s="6">
        <v>2000005270</v>
      </c>
      <c r="T833" s="92">
        <v>2000005323</v>
      </c>
      <c r="U833" s="92">
        <v>2000012082</v>
      </c>
      <c r="V833" s="92">
        <v>2000018117</v>
      </c>
      <c r="W833" s="92">
        <v>2000020018</v>
      </c>
      <c r="X833" s="92">
        <v>2000024343</v>
      </c>
      <c r="Y833" s="92">
        <v>2000029260</v>
      </c>
      <c r="Z833" s="92">
        <v>2000032109</v>
      </c>
      <c r="AA833" s="92">
        <v>2000033018</v>
      </c>
      <c r="AE833" s="6" t="s">
        <v>181</v>
      </c>
      <c r="AF833" s="92" t="s">
        <v>181</v>
      </c>
      <c r="AG833" s="92" t="s">
        <v>885</v>
      </c>
      <c r="AH833" s="92" t="s">
        <v>179</v>
      </c>
      <c r="AI833" s="92" t="s">
        <v>351</v>
      </c>
      <c r="AJ833" s="92" t="s">
        <v>924</v>
      </c>
      <c r="AK833" s="92" t="s">
        <v>533</v>
      </c>
      <c r="AL833" s="92" t="s">
        <v>732</v>
      </c>
      <c r="AM833" s="92" t="s">
        <v>1112</v>
      </c>
      <c r="AQ833" s="6" t="s">
        <v>187</v>
      </c>
      <c r="AR833" s="92" t="s">
        <v>186</v>
      </c>
      <c r="AS833" s="92" t="s">
        <v>186</v>
      </c>
      <c r="AT833" s="92" t="s">
        <v>187</v>
      </c>
      <c r="AU833" s="92" t="s">
        <v>186</v>
      </c>
      <c r="AV833" s="92" t="s">
        <v>187</v>
      </c>
      <c r="AW833" s="92" t="s">
        <v>186</v>
      </c>
      <c r="AX833" s="92" t="s">
        <v>186</v>
      </c>
      <c r="AY833" s="92" t="s">
        <v>187</v>
      </c>
      <c r="BC833" s="60">
        <v>82217461822</v>
      </c>
      <c r="BD833" s="93">
        <v>82289561794</v>
      </c>
      <c r="BE833" s="93">
        <v>8161604610</v>
      </c>
      <c r="BF833" s="93">
        <v>85769968503</v>
      </c>
      <c r="BG833" s="93">
        <v>87821777807</v>
      </c>
      <c r="BH833" s="93">
        <v>895325211720</v>
      </c>
      <c r="BI833" s="93">
        <v>81555332843</v>
      </c>
      <c r="BJ833" s="93">
        <v>85337755203</v>
      </c>
      <c r="BK833" s="93">
        <v>81325080357</v>
      </c>
      <c r="BP833" s="18" t="s">
        <v>10121</v>
      </c>
      <c r="BQ833" s="37">
        <v>45321</v>
      </c>
      <c r="BR833" s="8">
        <f t="shared" si="3"/>
        <v>9</v>
      </c>
    </row>
    <row r="834" spans="1:70" ht="14">
      <c r="A834" s="4" t="str">
        <v>Reguler Periode ke-119 V.B.2</v>
      </c>
      <c r="B834" s="4" t="s">
        <v>9561</v>
      </c>
      <c r="C834" s="4" t="s">
        <v>1414</v>
      </c>
      <c r="D834" s="4" t="s">
        <v>10110</v>
      </c>
      <c r="E834" s="4" t="s">
        <v>10122</v>
      </c>
      <c r="F834" s="4" t="s">
        <v>193</v>
      </c>
      <c r="G834" s="6" t="s">
        <v>10123</v>
      </c>
      <c r="H834" s="92" t="s">
        <v>10124</v>
      </c>
      <c r="I834" s="92" t="s">
        <v>10125</v>
      </c>
      <c r="J834" s="92" t="s">
        <v>10126</v>
      </c>
      <c r="K834" s="92" t="s">
        <v>10127</v>
      </c>
      <c r="L834" s="92" t="s">
        <v>10128</v>
      </c>
      <c r="M834" s="92" t="s">
        <v>10129</v>
      </c>
      <c r="N834" s="92" t="s">
        <v>10130</v>
      </c>
      <c r="O834" s="92" t="s">
        <v>10131</v>
      </c>
      <c r="S834" s="6">
        <v>1900033064</v>
      </c>
      <c r="T834" s="92">
        <v>2000005268</v>
      </c>
      <c r="U834" s="92">
        <v>2000005314</v>
      </c>
      <c r="V834" s="92">
        <v>2000012092</v>
      </c>
      <c r="W834" s="92">
        <v>2000018002</v>
      </c>
      <c r="X834" s="92">
        <v>2000020069</v>
      </c>
      <c r="Y834" s="92">
        <v>2000024002</v>
      </c>
      <c r="Z834" s="92">
        <v>2000029258</v>
      </c>
      <c r="AA834" s="92">
        <v>2000032178</v>
      </c>
      <c r="AE834" s="6" t="s">
        <v>1112</v>
      </c>
      <c r="AF834" s="92" t="s">
        <v>181</v>
      </c>
      <c r="AG834" s="92" t="s">
        <v>181</v>
      </c>
      <c r="AH834" s="92" t="s">
        <v>885</v>
      </c>
      <c r="AI834" s="92" t="s">
        <v>179</v>
      </c>
      <c r="AJ834" s="92" t="s">
        <v>351</v>
      </c>
      <c r="AK834" s="92" t="s">
        <v>924</v>
      </c>
      <c r="AL834" s="92" t="s">
        <v>533</v>
      </c>
      <c r="AM834" s="92" t="s">
        <v>732</v>
      </c>
      <c r="AQ834" s="6" t="s">
        <v>187</v>
      </c>
      <c r="AR834" s="92" t="s">
        <v>186</v>
      </c>
      <c r="AS834" s="92" t="s">
        <v>187</v>
      </c>
      <c r="AT834" s="92" t="s">
        <v>186</v>
      </c>
      <c r="AU834" s="92" t="s">
        <v>187</v>
      </c>
      <c r="AV834" s="92" t="s">
        <v>186</v>
      </c>
      <c r="AW834" s="92" t="s">
        <v>187</v>
      </c>
      <c r="AX834" s="92" t="s">
        <v>186</v>
      </c>
      <c r="AY834" s="92" t="s">
        <v>186</v>
      </c>
      <c r="BC834" s="60">
        <v>82371150747</v>
      </c>
      <c r="BD834" s="93">
        <v>85640969131</v>
      </c>
      <c r="BE834" s="93" t="s">
        <v>10132</v>
      </c>
      <c r="BF834" s="93">
        <v>85876800349</v>
      </c>
      <c r="BG834" s="93">
        <v>81804192454</v>
      </c>
      <c r="BH834" s="93">
        <v>81228871493</v>
      </c>
      <c r="BI834" s="93">
        <v>89630702152</v>
      </c>
      <c r="BJ834" s="93">
        <v>82172667731</v>
      </c>
      <c r="BK834" s="93">
        <v>81248679569</v>
      </c>
      <c r="BP834" s="18" t="s">
        <v>10133</v>
      </c>
      <c r="BQ834" s="37">
        <v>45321</v>
      </c>
      <c r="BR834" s="8">
        <f t="shared" si="3"/>
        <v>9</v>
      </c>
    </row>
    <row r="835" spans="1:70" ht="14">
      <c r="A835" s="4" t="str">
        <v>Reguler Periode ke-119 V.B.3</v>
      </c>
      <c r="B835" s="4" t="s">
        <v>9561</v>
      </c>
      <c r="C835" s="4" t="s">
        <v>1435</v>
      </c>
      <c r="D835" s="4" t="s">
        <v>10110</v>
      </c>
      <c r="E835" s="4" t="s">
        <v>10134</v>
      </c>
      <c r="F835" s="4" t="s">
        <v>193</v>
      </c>
      <c r="G835" s="6" t="s">
        <v>10135</v>
      </c>
      <c r="H835" s="92" t="s">
        <v>10136</v>
      </c>
      <c r="I835" s="92" t="s">
        <v>10137</v>
      </c>
      <c r="J835" s="92" t="s">
        <v>10138</v>
      </c>
      <c r="K835" s="92" t="s">
        <v>10139</v>
      </c>
      <c r="L835" s="92" t="s">
        <v>10140</v>
      </c>
      <c r="M835" s="92" t="s">
        <v>10141</v>
      </c>
      <c r="N835" s="92" t="s">
        <v>10142</v>
      </c>
      <c r="O835" s="92" t="s">
        <v>10143</v>
      </c>
      <c r="S835" s="6">
        <v>2000005148</v>
      </c>
      <c r="T835" s="92">
        <v>2000005271</v>
      </c>
      <c r="U835" s="92">
        <v>2000012104</v>
      </c>
      <c r="V835" s="92">
        <v>2000018106</v>
      </c>
      <c r="W835" s="92">
        <v>2000020091</v>
      </c>
      <c r="X835" s="92">
        <v>2000024284</v>
      </c>
      <c r="Y835" s="92">
        <v>2000029192</v>
      </c>
      <c r="Z835" s="92">
        <v>2000032064</v>
      </c>
      <c r="AA835" s="92">
        <v>2000033015</v>
      </c>
      <c r="AE835" s="6" t="s">
        <v>181</v>
      </c>
      <c r="AF835" s="92" t="s">
        <v>181</v>
      </c>
      <c r="AG835" s="92" t="s">
        <v>885</v>
      </c>
      <c r="AH835" s="92" t="s">
        <v>179</v>
      </c>
      <c r="AI835" s="92" t="s">
        <v>351</v>
      </c>
      <c r="AJ835" s="92" t="s">
        <v>924</v>
      </c>
      <c r="AK835" s="92" t="s">
        <v>533</v>
      </c>
      <c r="AL835" s="92" t="s">
        <v>732</v>
      </c>
      <c r="AM835" s="92" t="s">
        <v>1112</v>
      </c>
      <c r="AQ835" s="6" t="s">
        <v>187</v>
      </c>
      <c r="AR835" s="92" t="s">
        <v>186</v>
      </c>
      <c r="AS835" s="92" t="s">
        <v>186</v>
      </c>
      <c r="AT835" s="92" t="s">
        <v>187</v>
      </c>
      <c r="AU835" s="92" t="s">
        <v>186</v>
      </c>
      <c r="AV835" s="92" t="s">
        <v>187</v>
      </c>
      <c r="AW835" s="92" t="s">
        <v>186</v>
      </c>
      <c r="AX835" s="92" t="s">
        <v>186</v>
      </c>
      <c r="AY835" s="92" t="s">
        <v>187</v>
      </c>
      <c r="BC835" s="60">
        <v>85651355023</v>
      </c>
      <c r="BD835" s="93">
        <v>85266559424</v>
      </c>
      <c r="BE835" s="93">
        <v>85161777969</v>
      </c>
      <c r="BF835" s="93">
        <v>81319304070</v>
      </c>
      <c r="BG835" s="93">
        <v>81240991740</v>
      </c>
      <c r="BH835" s="93">
        <v>85772061324</v>
      </c>
      <c r="BI835" s="93">
        <v>85540662078</v>
      </c>
      <c r="BJ835" s="93">
        <v>85253672461</v>
      </c>
      <c r="BK835" s="93">
        <v>85227223987</v>
      </c>
      <c r="BP835" s="18" t="s">
        <v>10144</v>
      </c>
      <c r="BQ835" s="37">
        <v>45321</v>
      </c>
      <c r="BR835" s="8">
        <f t="shared" si="3"/>
        <v>9</v>
      </c>
    </row>
    <row r="836" spans="1:70" ht="14">
      <c r="A836" s="4" t="str">
        <v>Reguler Periode ke-119 V.C.1</v>
      </c>
      <c r="B836" s="4" t="s">
        <v>9561</v>
      </c>
      <c r="C836" s="4" t="s">
        <v>1456</v>
      </c>
      <c r="D836" s="4" t="s">
        <v>10145</v>
      </c>
      <c r="E836" s="4" t="s">
        <v>10146</v>
      </c>
      <c r="F836" s="4" t="s">
        <v>193</v>
      </c>
      <c r="G836" s="6" t="s">
        <v>10147</v>
      </c>
      <c r="H836" s="92" t="s">
        <v>10148</v>
      </c>
      <c r="I836" s="92" t="s">
        <v>10149</v>
      </c>
      <c r="J836" s="92" t="s">
        <v>10150</v>
      </c>
      <c r="K836" s="92" t="s">
        <v>10151</v>
      </c>
      <c r="L836" s="92" t="s">
        <v>10152</v>
      </c>
      <c r="M836" s="92" t="s">
        <v>10153</v>
      </c>
      <c r="N836" s="92" t="s">
        <v>10154</v>
      </c>
      <c r="O836" s="92" t="s">
        <v>10155</v>
      </c>
      <c r="S836" s="6">
        <v>2000005197</v>
      </c>
      <c r="T836" s="92">
        <v>2000005221</v>
      </c>
      <c r="U836" s="92">
        <v>2000018200</v>
      </c>
      <c r="V836" s="92">
        <v>2000020058</v>
      </c>
      <c r="W836" s="92">
        <v>2000024122</v>
      </c>
      <c r="X836" s="92">
        <v>2000029174</v>
      </c>
      <c r="Y836" s="92">
        <v>2000032131</v>
      </c>
      <c r="Z836" s="92">
        <v>2000033097</v>
      </c>
      <c r="AA836" s="92">
        <v>2015012056</v>
      </c>
      <c r="AE836" s="6" t="s">
        <v>181</v>
      </c>
      <c r="AF836" s="92" t="s">
        <v>181</v>
      </c>
      <c r="AG836" s="92" t="s">
        <v>179</v>
      </c>
      <c r="AH836" s="92" t="s">
        <v>351</v>
      </c>
      <c r="AI836" s="92" t="s">
        <v>924</v>
      </c>
      <c r="AJ836" s="92" t="s">
        <v>533</v>
      </c>
      <c r="AK836" s="92" t="s">
        <v>732</v>
      </c>
      <c r="AL836" s="92" t="s">
        <v>1112</v>
      </c>
      <c r="AM836" s="92" t="s">
        <v>885</v>
      </c>
      <c r="AQ836" s="6" t="s">
        <v>186</v>
      </c>
      <c r="AR836" s="92" t="s">
        <v>187</v>
      </c>
      <c r="AS836" s="92" t="s">
        <v>187</v>
      </c>
      <c r="AT836" s="92" t="s">
        <v>186</v>
      </c>
      <c r="AU836" s="92" t="s">
        <v>187</v>
      </c>
      <c r="AV836" s="92" t="s">
        <v>186</v>
      </c>
      <c r="AW836" s="92" t="s">
        <v>186</v>
      </c>
      <c r="AX836" s="92" t="s">
        <v>187</v>
      </c>
      <c r="AY836" s="92" t="s">
        <v>186</v>
      </c>
      <c r="BC836" s="60">
        <v>85282057185</v>
      </c>
      <c r="BD836" s="93">
        <v>87777256407</v>
      </c>
      <c r="BE836" s="93">
        <v>82150895374</v>
      </c>
      <c r="BF836" s="93">
        <v>89675600388</v>
      </c>
      <c r="BG836" s="93">
        <v>83802506880</v>
      </c>
      <c r="BH836" s="93">
        <v>85866474925</v>
      </c>
      <c r="BI836" s="93">
        <v>85842878377</v>
      </c>
      <c r="BJ836" s="93">
        <v>82266781635</v>
      </c>
      <c r="BK836" s="93">
        <v>895630577758</v>
      </c>
      <c r="BP836" s="18" t="s">
        <v>10156</v>
      </c>
      <c r="BQ836" s="37">
        <v>45321</v>
      </c>
      <c r="BR836" s="8">
        <f t="shared" si="3"/>
        <v>9</v>
      </c>
    </row>
    <row r="837" spans="1:70" ht="14">
      <c r="A837" s="4" t="str">
        <v>Reguler Periode ke-119 V.C.2</v>
      </c>
      <c r="B837" s="4" t="s">
        <v>9561</v>
      </c>
      <c r="C837" s="4" t="s">
        <v>1478</v>
      </c>
      <c r="D837" s="4" t="s">
        <v>10145</v>
      </c>
      <c r="E837" s="4" t="s">
        <v>10157</v>
      </c>
      <c r="F837" s="4" t="s">
        <v>193</v>
      </c>
      <c r="G837" s="6" t="s">
        <v>10158</v>
      </c>
      <c r="H837" s="92" t="s">
        <v>10159</v>
      </c>
      <c r="I837" s="92" t="s">
        <v>10160</v>
      </c>
      <c r="J837" s="92" t="s">
        <v>10161</v>
      </c>
      <c r="K837" s="92" t="s">
        <v>10162</v>
      </c>
      <c r="L837" s="92" t="s">
        <v>10163</v>
      </c>
      <c r="M837" s="92" t="s">
        <v>4058</v>
      </c>
      <c r="N837" s="92" t="s">
        <v>10164</v>
      </c>
      <c r="O837" s="92" t="s">
        <v>10165</v>
      </c>
      <c r="S837" s="6">
        <v>2000005079</v>
      </c>
      <c r="T837" s="92">
        <v>2000005117</v>
      </c>
      <c r="U837" s="92">
        <v>2000012179</v>
      </c>
      <c r="V837" s="92">
        <v>2000018237</v>
      </c>
      <c r="W837" s="92">
        <v>2000020035</v>
      </c>
      <c r="X837" s="92">
        <v>2000024107</v>
      </c>
      <c r="Y837" s="92">
        <v>2000029017</v>
      </c>
      <c r="Z837" s="92">
        <v>2000032097</v>
      </c>
      <c r="AA837" s="92">
        <v>2000035010</v>
      </c>
      <c r="AE837" s="6" t="s">
        <v>181</v>
      </c>
      <c r="AF837" s="92" t="s">
        <v>181</v>
      </c>
      <c r="AG837" s="92" t="s">
        <v>885</v>
      </c>
      <c r="AH837" s="92" t="s">
        <v>179</v>
      </c>
      <c r="AI837" s="92" t="s">
        <v>351</v>
      </c>
      <c r="AJ837" s="92" t="s">
        <v>924</v>
      </c>
      <c r="AK837" s="92" t="s">
        <v>533</v>
      </c>
      <c r="AL837" s="92" t="s">
        <v>732</v>
      </c>
      <c r="AM837" s="92" t="s">
        <v>2071</v>
      </c>
      <c r="AQ837" s="6" t="s">
        <v>187</v>
      </c>
      <c r="AR837" s="92" t="s">
        <v>186</v>
      </c>
      <c r="AS837" s="92" t="s">
        <v>186</v>
      </c>
      <c r="AT837" s="92" t="s">
        <v>187</v>
      </c>
      <c r="AU837" s="92" t="s">
        <v>186</v>
      </c>
      <c r="AV837" s="92" t="s">
        <v>187</v>
      </c>
      <c r="AW837" s="92" t="s">
        <v>186</v>
      </c>
      <c r="AX837" s="92" t="s">
        <v>186</v>
      </c>
      <c r="AY837" s="92" t="s">
        <v>187</v>
      </c>
      <c r="BC837" s="60">
        <v>81366510428</v>
      </c>
      <c r="BD837" s="93">
        <v>82136540186</v>
      </c>
      <c r="BE837" s="93">
        <v>81339763774</v>
      </c>
      <c r="BF837" s="93">
        <v>82346712307</v>
      </c>
      <c r="BG837" s="93">
        <v>8232526115</v>
      </c>
      <c r="BH837" s="93">
        <v>89512538224</v>
      </c>
      <c r="BI837" s="93">
        <v>82198415196</v>
      </c>
      <c r="BJ837" s="93">
        <v>85600919942</v>
      </c>
      <c r="BK837" s="93">
        <v>88216268330</v>
      </c>
      <c r="BP837" s="18" t="s">
        <v>10166</v>
      </c>
      <c r="BQ837" s="37">
        <v>45321</v>
      </c>
      <c r="BR837" s="8">
        <f t="shared" si="3"/>
        <v>9</v>
      </c>
    </row>
    <row r="838" spans="1:70" ht="14">
      <c r="A838" s="4" t="str">
        <v>Reguler Periode ke-119 V.C.3</v>
      </c>
      <c r="B838" s="4" t="s">
        <v>9561</v>
      </c>
      <c r="C838" s="4" t="s">
        <v>1498</v>
      </c>
      <c r="D838" s="4" t="s">
        <v>10145</v>
      </c>
      <c r="E838" s="4" t="s">
        <v>10167</v>
      </c>
      <c r="F838" s="4" t="s">
        <v>193</v>
      </c>
      <c r="G838" s="6" t="s">
        <v>10168</v>
      </c>
      <c r="H838" s="92" t="s">
        <v>10169</v>
      </c>
      <c r="I838" s="92" t="s">
        <v>10170</v>
      </c>
      <c r="J838" s="92" t="s">
        <v>10171</v>
      </c>
      <c r="K838" s="92" t="s">
        <v>10172</v>
      </c>
      <c r="L838" s="92" t="s">
        <v>10173</v>
      </c>
      <c r="M838" s="92" t="s">
        <v>10174</v>
      </c>
      <c r="N838" s="92" t="s">
        <v>10175</v>
      </c>
      <c r="O838" s="92" t="s">
        <v>10176</v>
      </c>
      <c r="S838" s="6">
        <v>1900024289</v>
      </c>
      <c r="T838" s="92">
        <v>1900035001</v>
      </c>
      <c r="U838" s="92">
        <v>2000005080</v>
      </c>
      <c r="V838" s="92">
        <v>2000005351</v>
      </c>
      <c r="W838" s="92">
        <v>2000012074</v>
      </c>
      <c r="X838" s="92">
        <v>2000018011</v>
      </c>
      <c r="Y838" s="92">
        <v>2000020055</v>
      </c>
      <c r="Z838" s="92">
        <v>2000029197</v>
      </c>
      <c r="AA838" s="92">
        <v>2000032045</v>
      </c>
      <c r="AE838" s="6" t="s">
        <v>924</v>
      </c>
      <c r="AF838" s="92" t="s">
        <v>2071</v>
      </c>
      <c r="AG838" s="92" t="s">
        <v>181</v>
      </c>
      <c r="AH838" s="92" t="s">
        <v>181</v>
      </c>
      <c r="AI838" s="92" t="s">
        <v>885</v>
      </c>
      <c r="AJ838" s="92" t="s">
        <v>179</v>
      </c>
      <c r="AK838" s="92" t="s">
        <v>351</v>
      </c>
      <c r="AL838" s="92" t="s">
        <v>533</v>
      </c>
      <c r="AM838" s="92" t="s">
        <v>732</v>
      </c>
      <c r="AQ838" s="6" t="s">
        <v>187</v>
      </c>
      <c r="AR838" s="92" t="s">
        <v>187</v>
      </c>
      <c r="AS838" s="92" t="s">
        <v>186</v>
      </c>
      <c r="AT838" s="92" t="s">
        <v>187</v>
      </c>
      <c r="AU838" s="92" t="s">
        <v>186</v>
      </c>
      <c r="AV838" s="92" t="s">
        <v>187</v>
      </c>
      <c r="AW838" s="92" t="s">
        <v>186</v>
      </c>
      <c r="AX838" s="92" t="s">
        <v>186</v>
      </c>
      <c r="AY838" s="92" t="s">
        <v>186</v>
      </c>
      <c r="BC838" s="60">
        <v>895323099608</v>
      </c>
      <c r="BD838" s="93">
        <v>81367338669</v>
      </c>
      <c r="BE838" s="93">
        <v>85801922365</v>
      </c>
      <c r="BF838" s="93">
        <v>85384971187</v>
      </c>
      <c r="BG838" s="93">
        <v>82322955821</v>
      </c>
      <c r="BH838" s="93">
        <v>89513257271</v>
      </c>
      <c r="BI838" s="93">
        <v>81390391924</v>
      </c>
      <c r="BJ838" s="93">
        <v>89619630402</v>
      </c>
      <c r="BK838" s="93">
        <v>85764418472</v>
      </c>
      <c r="BP838" s="18" t="s">
        <v>10177</v>
      </c>
      <c r="BQ838" s="37">
        <v>45321</v>
      </c>
      <c r="BR838" s="8">
        <f t="shared" si="3"/>
        <v>9</v>
      </c>
    </row>
    <row r="839" spans="1:70" ht="14">
      <c r="A839" s="4" t="str">
        <v>Reguler Periode ke-119 V.D.1</v>
      </c>
      <c r="B839" s="4" t="s">
        <v>9561</v>
      </c>
      <c r="C839" s="4" t="s">
        <v>1519</v>
      </c>
      <c r="D839" s="4" t="s">
        <v>3964</v>
      </c>
      <c r="E839" s="4" t="s">
        <v>10178</v>
      </c>
      <c r="F839" s="4" t="s">
        <v>193</v>
      </c>
      <c r="G839" s="6" t="s">
        <v>10179</v>
      </c>
      <c r="H839" s="92" t="s">
        <v>10180</v>
      </c>
      <c r="I839" s="92" t="s">
        <v>10181</v>
      </c>
      <c r="J839" s="92" t="s">
        <v>10182</v>
      </c>
      <c r="K839" s="92" t="s">
        <v>10183</v>
      </c>
      <c r="L839" s="92" t="s">
        <v>10184</v>
      </c>
      <c r="M839" s="92" t="s">
        <v>10185</v>
      </c>
      <c r="N839" s="92" t="s">
        <v>10186</v>
      </c>
      <c r="O839" s="92" t="s">
        <v>10187</v>
      </c>
      <c r="S839" s="6">
        <v>1900024082</v>
      </c>
      <c r="T839" s="92">
        <v>2000005146</v>
      </c>
      <c r="U839" s="92">
        <v>2000005311</v>
      </c>
      <c r="V839" s="92">
        <v>2000012008</v>
      </c>
      <c r="W839" s="92">
        <v>2000018311</v>
      </c>
      <c r="X839" s="92">
        <v>2000020077</v>
      </c>
      <c r="Y839" s="92">
        <v>2000029276</v>
      </c>
      <c r="Z839" s="92">
        <v>2000032063</v>
      </c>
      <c r="AA839" s="92">
        <v>2011035005</v>
      </c>
      <c r="AE839" s="6" t="s">
        <v>924</v>
      </c>
      <c r="AF839" s="92" t="s">
        <v>181</v>
      </c>
      <c r="AG839" s="92" t="s">
        <v>181</v>
      </c>
      <c r="AH839" s="92" t="s">
        <v>885</v>
      </c>
      <c r="AI839" s="92" t="s">
        <v>179</v>
      </c>
      <c r="AJ839" s="92" t="s">
        <v>351</v>
      </c>
      <c r="AK839" s="92" t="s">
        <v>533</v>
      </c>
      <c r="AL839" s="92" t="s">
        <v>732</v>
      </c>
      <c r="AM839" s="92" t="s">
        <v>2071</v>
      </c>
      <c r="AQ839" s="6" t="s">
        <v>187</v>
      </c>
      <c r="AR839" s="92" t="s">
        <v>186</v>
      </c>
      <c r="AS839" s="92" t="s">
        <v>187</v>
      </c>
      <c r="AT839" s="92" t="s">
        <v>186</v>
      </c>
      <c r="AU839" s="92" t="s">
        <v>187</v>
      </c>
      <c r="AV839" s="92" t="s">
        <v>186</v>
      </c>
      <c r="AW839" s="92" t="s">
        <v>186</v>
      </c>
      <c r="AX839" s="92" t="s">
        <v>186</v>
      </c>
      <c r="AY839" s="92" t="s">
        <v>187</v>
      </c>
      <c r="BC839" s="60">
        <v>81338378869</v>
      </c>
      <c r="BD839" s="93">
        <v>81274911857</v>
      </c>
      <c r="BE839" s="93">
        <v>88228472822</v>
      </c>
      <c r="BF839" s="93">
        <v>81246134041</v>
      </c>
      <c r="BG839" s="93">
        <v>895384142400</v>
      </c>
      <c r="BH839" s="93">
        <v>87711553782</v>
      </c>
      <c r="BI839" s="93">
        <v>87812188973</v>
      </c>
      <c r="BJ839" s="93">
        <v>81353143101</v>
      </c>
      <c r="BK839" s="93">
        <v>81225621430</v>
      </c>
      <c r="BP839" s="18" t="s">
        <v>10188</v>
      </c>
      <c r="BQ839" s="37">
        <v>45321</v>
      </c>
      <c r="BR839" s="8">
        <f t="shared" si="3"/>
        <v>9</v>
      </c>
    </row>
    <row r="840" spans="1:70" ht="14">
      <c r="A840" s="4" t="str">
        <v>Reguler Periode ke-119 V.D.2</v>
      </c>
      <c r="B840" s="4" t="s">
        <v>9561</v>
      </c>
      <c r="C840" s="4" t="s">
        <v>1540</v>
      </c>
      <c r="D840" s="4" t="s">
        <v>3964</v>
      </c>
      <c r="E840" s="4" t="s">
        <v>10189</v>
      </c>
      <c r="F840" s="4" t="s">
        <v>193</v>
      </c>
      <c r="G840" s="6" t="s">
        <v>10190</v>
      </c>
      <c r="H840" s="92" t="s">
        <v>10191</v>
      </c>
      <c r="I840" s="92" t="s">
        <v>10192</v>
      </c>
      <c r="J840" s="92" t="s">
        <v>10193</v>
      </c>
      <c r="K840" s="92" t="s">
        <v>10194</v>
      </c>
      <c r="L840" s="92" t="s">
        <v>10195</v>
      </c>
      <c r="M840" s="92" t="s">
        <v>10196</v>
      </c>
      <c r="N840" s="92" t="s">
        <v>10197</v>
      </c>
      <c r="O840" s="92" t="s">
        <v>10198</v>
      </c>
      <c r="S840" s="6">
        <v>1900024372</v>
      </c>
      <c r="T840" s="92">
        <v>2000005266</v>
      </c>
      <c r="U840" s="92">
        <v>2000005274</v>
      </c>
      <c r="V840" s="92">
        <v>2000012114</v>
      </c>
      <c r="W840" s="92">
        <v>2000018178</v>
      </c>
      <c r="X840" s="92">
        <v>2000022046</v>
      </c>
      <c r="Y840" s="92">
        <v>2000029123</v>
      </c>
      <c r="Z840" s="92">
        <v>2000032112</v>
      </c>
      <c r="AA840" s="92">
        <v>2000035001</v>
      </c>
      <c r="AE840" s="6" t="s">
        <v>924</v>
      </c>
      <c r="AF840" s="92" t="s">
        <v>181</v>
      </c>
      <c r="AG840" s="92" t="s">
        <v>181</v>
      </c>
      <c r="AH840" s="92" t="s">
        <v>885</v>
      </c>
      <c r="AI840" s="92" t="s">
        <v>179</v>
      </c>
      <c r="AJ840" s="92" t="s">
        <v>872</v>
      </c>
      <c r="AK840" s="92" t="s">
        <v>533</v>
      </c>
      <c r="AL840" s="92" t="s">
        <v>732</v>
      </c>
      <c r="AM840" s="92" t="s">
        <v>2071</v>
      </c>
      <c r="AQ840" s="6" t="s">
        <v>187</v>
      </c>
      <c r="AR840" s="92" t="s">
        <v>187</v>
      </c>
      <c r="AS840" s="92" t="s">
        <v>186</v>
      </c>
      <c r="AT840" s="92" t="s">
        <v>186</v>
      </c>
      <c r="AU840" s="92" t="s">
        <v>187</v>
      </c>
      <c r="AV840" s="92" t="s">
        <v>186</v>
      </c>
      <c r="AW840" s="92" t="s">
        <v>186</v>
      </c>
      <c r="AX840" s="92" t="s">
        <v>186</v>
      </c>
      <c r="AY840" s="92" t="s">
        <v>187</v>
      </c>
      <c r="BC840" s="60">
        <v>81338144085</v>
      </c>
      <c r="BD840" s="93">
        <v>88239934722</v>
      </c>
      <c r="BE840" s="93">
        <v>89657583713</v>
      </c>
      <c r="BF840" s="93">
        <v>81929541037</v>
      </c>
      <c r="BG840" s="93">
        <v>895384163787</v>
      </c>
      <c r="BH840" s="93">
        <v>87834756590</v>
      </c>
      <c r="BI840" s="93">
        <v>83866183837</v>
      </c>
      <c r="BJ840" s="93">
        <v>895421267295</v>
      </c>
      <c r="BK840" s="93">
        <v>82242228778</v>
      </c>
      <c r="BP840" s="18" t="s">
        <v>10199</v>
      </c>
      <c r="BQ840" s="37">
        <v>45321</v>
      </c>
      <c r="BR840" s="8">
        <f t="shared" si="3"/>
        <v>9</v>
      </c>
    </row>
    <row r="841" spans="1:70" ht="14">
      <c r="A841" s="4" t="str">
        <v>Reguler Periode ke-119 V.D.3</v>
      </c>
      <c r="B841" s="4" t="s">
        <v>9561</v>
      </c>
      <c r="C841" s="4" t="s">
        <v>1561</v>
      </c>
      <c r="D841" s="4" t="s">
        <v>3964</v>
      </c>
      <c r="E841" s="4" t="s">
        <v>10200</v>
      </c>
      <c r="F841" s="4" t="s">
        <v>193</v>
      </c>
      <c r="G841" s="6" t="s">
        <v>10201</v>
      </c>
      <c r="H841" s="92" t="s">
        <v>10202</v>
      </c>
      <c r="I841" s="92" t="s">
        <v>10203</v>
      </c>
      <c r="J841" s="92" t="s">
        <v>10204</v>
      </c>
      <c r="K841" s="92" t="s">
        <v>10205</v>
      </c>
      <c r="L841" s="92" t="s">
        <v>10206</v>
      </c>
      <c r="M841" s="92" t="s">
        <v>10207</v>
      </c>
      <c r="N841" s="92" t="s">
        <v>10208</v>
      </c>
      <c r="O841" s="92" t="s">
        <v>10209</v>
      </c>
      <c r="S841" s="6">
        <v>1900035003</v>
      </c>
      <c r="T841" s="92">
        <v>2000005040</v>
      </c>
      <c r="U841" s="92">
        <v>2000005192</v>
      </c>
      <c r="V841" s="92">
        <v>2000012139</v>
      </c>
      <c r="W841" s="92">
        <v>2000018377</v>
      </c>
      <c r="X841" s="92">
        <v>2000024172</v>
      </c>
      <c r="Y841" s="92">
        <v>2000029104</v>
      </c>
      <c r="Z841" s="92">
        <v>2000032026</v>
      </c>
      <c r="AA841" s="92">
        <v>2011022038</v>
      </c>
      <c r="AE841" s="6" t="s">
        <v>2071</v>
      </c>
      <c r="AF841" s="92" t="s">
        <v>181</v>
      </c>
      <c r="AG841" s="92" t="s">
        <v>181</v>
      </c>
      <c r="AH841" s="92" t="s">
        <v>885</v>
      </c>
      <c r="AI841" s="92" t="s">
        <v>179</v>
      </c>
      <c r="AJ841" s="92" t="s">
        <v>924</v>
      </c>
      <c r="AK841" s="92" t="s">
        <v>533</v>
      </c>
      <c r="AL841" s="92" t="s">
        <v>732</v>
      </c>
      <c r="AM841" s="92" t="s">
        <v>872</v>
      </c>
      <c r="AQ841" s="6" t="s">
        <v>187</v>
      </c>
      <c r="AR841" s="92" t="s">
        <v>186</v>
      </c>
      <c r="AS841" s="92" t="s">
        <v>187</v>
      </c>
      <c r="AT841" s="92" t="s">
        <v>186</v>
      </c>
      <c r="AU841" s="92" t="s">
        <v>187</v>
      </c>
      <c r="AV841" s="92" t="s">
        <v>187</v>
      </c>
      <c r="AW841" s="92" t="s">
        <v>186</v>
      </c>
      <c r="AX841" s="92" t="s">
        <v>186</v>
      </c>
      <c r="AY841" s="92" t="s">
        <v>186</v>
      </c>
      <c r="BC841" s="60">
        <v>82264886466</v>
      </c>
      <c r="BD841" s="93">
        <v>85800290487</v>
      </c>
      <c r="BE841" s="93">
        <v>89618400538</v>
      </c>
      <c r="BF841" s="93">
        <v>85228118229</v>
      </c>
      <c r="BG841" s="93">
        <v>89527144561</v>
      </c>
      <c r="BH841" s="93">
        <v>89518364818</v>
      </c>
      <c r="BI841" s="93">
        <v>85220814562</v>
      </c>
      <c r="BJ841" s="93">
        <v>81264741804</v>
      </c>
      <c r="BK841" s="93">
        <v>85876278236</v>
      </c>
      <c r="BP841" s="18" t="s">
        <v>10210</v>
      </c>
      <c r="BQ841" s="37">
        <v>45321</v>
      </c>
      <c r="BR841" s="8">
        <f t="shared" si="3"/>
        <v>9</v>
      </c>
    </row>
    <row r="842" spans="1:70" ht="14">
      <c r="A842" s="4" t="str">
        <v>Reguler Periode ke-119 VI.A.1</v>
      </c>
      <c r="B842" s="4" t="s">
        <v>9561</v>
      </c>
      <c r="C842" s="4" t="s">
        <v>1582</v>
      </c>
      <c r="D842" s="4" t="s">
        <v>346</v>
      </c>
      <c r="E842" s="4" t="s">
        <v>10211</v>
      </c>
      <c r="F842" s="4" t="s">
        <v>193</v>
      </c>
      <c r="G842" s="6" t="s">
        <v>10212</v>
      </c>
      <c r="H842" s="92" t="s">
        <v>10213</v>
      </c>
      <c r="I842" s="92" t="s">
        <v>10214</v>
      </c>
      <c r="J842" s="92" t="s">
        <v>10215</v>
      </c>
      <c r="K842" s="92" t="s">
        <v>10216</v>
      </c>
      <c r="L842" s="92" t="s">
        <v>10217</v>
      </c>
      <c r="M842" s="92" t="s">
        <v>10218</v>
      </c>
      <c r="N842" s="92" t="s">
        <v>10219</v>
      </c>
      <c r="O842" s="92" t="s">
        <v>10220</v>
      </c>
      <c r="S842" s="6">
        <v>2000005063</v>
      </c>
      <c r="T842" s="92">
        <v>2000005364</v>
      </c>
      <c r="U842" s="92">
        <v>2000012113</v>
      </c>
      <c r="V842" s="92">
        <v>2000018045</v>
      </c>
      <c r="W842" s="92">
        <v>2000022054</v>
      </c>
      <c r="X842" s="92">
        <v>2000024060</v>
      </c>
      <c r="Y842" s="92">
        <v>2000029246</v>
      </c>
      <c r="Z842" s="92">
        <v>2000032153</v>
      </c>
      <c r="AA842" s="92">
        <v>2000035004</v>
      </c>
      <c r="AE842" s="6" t="s">
        <v>181</v>
      </c>
      <c r="AF842" s="92" t="s">
        <v>181</v>
      </c>
      <c r="AG842" s="92" t="s">
        <v>885</v>
      </c>
      <c r="AH842" s="92" t="s">
        <v>179</v>
      </c>
      <c r="AI842" s="92" t="s">
        <v>872</v>
      </c>
      <c r="AJ842" s="92" t="s">
        <v>924</v>
      </c>
      <c r="AK842" s="92" t="s">
        <v>533</v>
      </c>
      <c r="AL842" s="92" t="s">
        <v>732</v>
      </c>
      <c r="AM842" s="92" t="s">
        <v>2071</v>
      </c>
      <c r="AQ842" s="6" t="s">
        <v>186</v>
      </c>
      <c r="AR842" s="92" t="s">
        <v>187</v>
      </c>
      <c r="AS842" s="92" t="s">
        <v>186</v>
      </c>
      <c r="AT842" s="92" t="s">
        <v>187</v>
      </c>
      <c r="AU842" s="92" t="s">
        <v>186</v>
      </c>
      <c r="AV842" s="92" t="s">
        <v>187</v>
      </c>
      <c r="AW842" s="92" t="s">
        <v>186</v>
      </c>
      <c r="AX842" s="92" t="s">
        <v>186</v>
      </c>
      <c r="AY842" s="92" t="s">
        <v>187</v>
      </c>
      <c r="BC842" s="60">
        <v>82182043731</v>
      </c>
      <c r="BD842" s="93">
        <v>85742435019</v>
      </c>
      <c r="BE842" s="93">
        <v>81328528157</v>
      </c>
      <c r="BF842" s="93">
        <v>82225489009</v>
      </c>
      <c r="BG842" s="93">
        <v>83165700742</v>
      </c>
      <c r="BH842" s="93">
        <v>82241625850</v>
      </c>
      <c r="BI842" s="93" t="s">
        <v>10221</v>
      </c>
      <c r="BJ842" s="93" t="s">
        <v>10222</v>
      </c>
      <c r="BK842" s="93">
        <v>81632396160</v>
      </c>
      <c r="BP842" s="18" t="s">
        <v>10223</v>
      </c>
      <c r="BQ842" s="37">
        <v>45321</v>
      </c>
      <c r="BR842" s="8">
        <f t="shared" si="3"/>
        <v>9</v>
      </c>
    </row>
    <row r="843" spans="1:70" ht="14">
      <c r="A843" s="4" t="str">
        <v>Reguler Periode ke-119 VI.A.2</v>
      </c>
      <c r="B843" s="4" t="s">
        <v>9561</v>
      </c>
      <c r="C843" s="4" t="s">
        <v>1604</v>
      </c>
      <c r="D843" s="4" t="s">
        <v>346</v>
      </c>
      <c r="E843" s="4" t="s">
        <v>10224</v>
      </c>
      <c r="F843" s="4" t="s">
        <v>193</v>
      </c>
      <c r="G843" s="6" t="s">
        <v>10225</v>
      </c>
      <c r="H843" s="92" t="s">
        <v>3561</v>
      </c>
      <c r="I843" s="92" t="s">
        <v>10226</v>
      </c>
      <c r="J843" s="92" t="s">
        <v>10227</v>
      </c>
      <c r="K843" s="92" t="s">
        <v>10228</v>
      </c>
      <c r="L843" s="92" t="s">
        <v>10229</v>
      </c>
      <c r="M843" s="92" t="s">
        <v>10230</v>
      </c>
      <c r="N843" s="92" t="s">
        <v>10231</v>
      </c>
      <c r="O843" s="92" t="s">
        <v>10232</v>
      </c>
      <c r="S843" s="6">
        <v>2000005276</v>
      </c>
      <c r="T843" s="92">
        <v>2000005362</v>
      </c>
      <c r="U843" s="92">
        <v>2000012100</v>
      </c>
      <c r="V843" s="92">
        <v>2000018280</v>
      </c>
      <c r="W843" s="92">
        <v>2000023095</v>
      </c>
      <c r="X843" s="92">
        <v>2000024032</v>
      </c>
      <c r="Y843" s="92">
        <v>2000029147</v>
      </c>
      <c r="Z843" s="92">
        <v>2000032095</v>
      </c>
      <c r="AA843" s="92">
        <v>2000035002</v>
      </c>
      <c r="AE843" s="6" t="s">
        <v>181</v>
      </c>
      <c r="AF843" s="92" t="s">
        <v>181</v>
      </c>
      <c r="AG843" s="92" t="s">
        <v>885</v>
      </c>
      <c r="AH843" s="92" t="s">
        <v>179</v>
      </c>
      <c r="AI843" s="92" t="s">
        <v>899</v>
      </c>
      <c r="AJ843" s="92" t="s">
        <v>924</v>
      </c>
      <c r="AK843" s="92" t="s">
        <v>533</v>
      </c>
      <c r="AL843" s="92" t="s">
        <v>732</v>
      </c>
      <c r="AM843" s="92" t="s">
        <v>2071</v>
      </c>
      <c r="AQ843" s="6" t="s">
        <v>186</v>
      </c>
      <c r="AR843" s="92" t="s">
        <v>187</v>
      </c>
      <c r="AS843" s="92" t="s">
        <v>186</v>
      </c>
      <c r="AT843" s="92" t="s">
        <v>187</v>
      </c>
      <c r="AU843" s="92" t="s">
        <v>186</v>
      </c>
      <c r="AV843" s="92" t="s">
        <v>187</v>
      </c>
      <c r="AW843" s="92" t="s">
        <v>186</v>
      </c>
      <c r="AX843" s="92" t="s">
        <v>186</v>
      </c>
      <c r="AY843" s="92" t="s">
        <v>187</v>
      </c>
      <c r="BC843" s="60">
        <v>88216050166</v>
      </c>
      <c r="BD843" s="93">
        <v>85743267499</v>
      </c>
      <c r="BE843" s="93">
        <v>82180851885</v>
      </c>
      <c r="BF843" s="93">
        <v>816674127</v>
      </c>
      <c r="BG843" s="93">
        <v>87738986973</v>
      </c>
      <c r="BH843" s="93">
        <v>89669317459</v>
      </c>
      <c r="BI843" s="93">
        <v>85751123393</v>
      </c>
      <c r="BJ843" s="93">
        <v>87728576561</v>
      </c>
      <c r="BK843" s="93">
        <v>81327187095</v>
      </c>
      <c r="BP843" s="18" t="s">
        <v>10233</v>
      </c>
      <c r="BQ843" s="37">
        <v>45321</v>
      </c>
      <c r="BR843" s="8">
        <f t="shared" si="3"/>
        <v>9</v>
      </c>
    </row>
    <row r="844" spans="1:70" ht="14">
      <c r="A844" s="4" t="str">
        <v>Reguler Periode ke-119 VI.A.3</v>
      </c>
      <c r="B844" s="4" t="s">
        <v>9561</v>
      </c>
      <c r="C844" s="4" t="s">
        <v>1625</v>
      </c>
      <c r="D844" s="4" t="s">
        <v>346</v>
      </c>
      <c r="E844" s="4" t="s">
        <v>10234</v>
      </c>
      <c r="F844" s="4" t="s">
        <v>193</v>
      </c>
      <c r="G844" s="6" t="s">
        <v>10235</v>
      </c>
      <c r="H844" s="92" t="s">
        <v>10236</v>
      </c>
      <c r="I844" s="92" t="s">
        <v>10237</v>
      </c>
      <c r="J844" s="92" t="s">
        <v>10238</v>
      </c>
      <c r="K844" s="92" t="s">
        <v>10239</v>
      </c>
      <c r="L844" s="92" t="s">
        <v>10240</v>
      </c>
      <c r="M844" s="92" t="s">
        <v>10241</v>
      </c>
      <c r="N844" s="92" t="s">
        <v>10242</v>
      </c>
      <c r="O844" s="92" t="s">
        <v>10243</v>
      </c>
      <c r="S844" s="6">
        <v>2000005018</v>
      </c>
      <c r="T844" s="92">
        <v>2000005331</v>
      </c>
      <c r="U844" s="92">
        <v>2000012162</v>
      </c>
      <c r="V844" s="92">
        <v>2000018329</v>
      </c>
      <c r="W844" s="92">
        <v>2000023096</v>
      </c>
      <c r="X844" s="92">
        <v>2000024364</v>
      </c>
      <c r="Y844" s="92">
        <v>2000029131</v>
      </c>
      <c r="Z844" s="92">
        <v>2000032042</v>
      </c>
      <c r="AA844" s="92">
        <v>2000036040</v>
      </c>
      <c r="AE844" s="6" t="s">
        <v>181</v>
      </c>
      <c r="AF844" s="92" t="s">
        <v>181</v>
      </c>
      <c r="AG844" s="92" t="s">
        <v>885</v>
      </c>
      <c r="AH844" s="92" t="s">
        <v>179</v>
      </c>
      <c r="AI844" s="92" t="s">
        <v>899</v>
      </c>
      <c r="AJ844" s="92" t="s">
        <v>924</v>
      </c>
      <c r="AK844" s="92" t="s">
        <v>533</v>
      </c>
      <c r="AL844" s="92" t="s">
        <v>732</v>
      </c>
      <c r="AM844" s="92" t="s">
        <v>227</v>
      </c>
      <c r="AQ844" s="6" t="s">
        <v>186</v>
      </c>
      <c r="AR844" s="92" t="s">
        <v>187</v>
      </c>
      <c r="AS844" s="92" t="s">
        <v>186</v>
      </c>
      <c r="AT844" s="92" t="s">
        <v>187</v>
      </c>
      <c r="AU844" s="92" t="s">
        <v>186</v>
      </c>
      <c r="AV844" s="92" t="s">
        <v>187</v>
      </c>
      <c r="AW844" s="92" t="s">
        <v>186</v>
      </c>
      <c r="AX844" s="92" t="s">
        <v>186</v>
      </c>
      <c r="AY844" s="92" t="s">
        <v>187</v>
      </c>
      <c r="BC844" s="60">
        <v>88224219378</v>
      </c>
      <c r="BD844" s="93">
        <v>85393612365</v>
      </c>
      <c r="BE844" s="93">
        <v>81256642824</v>
      </c>
      <c r="BF844" s="93">
        <v>82331789232</v>
      </c>
      <c r="BG844" s="93">
        <v>82252889383</v>
      </c>
      <c r="BH844" s="93">
        <v>89696904389</v>
      </c>
      <c r="BI844" s="93">
        <v>83861270451</v>
      </c>
      <c r="BJ844" s="93">
        <v>87717315216</v>
      </c>
      <c r="BK844" s="93">
        <v>89519102816</v>
      </c>
      <c r="BP844" s="18" t="s">
        <v>10244</v>
      </c>
      <c r="BQ844" s="37">
        <v>45321</v>
      </c>
      <c r="BR844" s="8">
        <f t="shared" si="3"/>
        <v>9</v>
      </c>
    </row>
    <row r="845" spans="1:70" ht="14">
      <c r="A845" s="4" t="str">
        <v>Reguler Periode ke-119 VI.B.1</v>
      </c>
      <c r="B845" s="4" t="s">
        <v>9561</v>
      </c>
      <c r="C845" s="4" t="s">
        <v>1646</v>
      </c>
      <c r="D845" s="4" t="s">
        <v>10245</v>
      </c>
      <c r="E845" s="4" t="s">
        <v>10246</v>
      </c>
      <c r="F845" s="4" t="s">
        <v>193</v>
      </c>
      <c r="G845" s="6" t="s">
        <v>10247</v>
      </c>
      <c r="H845" s="92" t="s">
        <v>10248</v>
      </c>
      <c r="I845" s="92" t="s">
        <v>2971</v>
      </c>
      <c r="J845" s="92" t="s">
        <v>10249</v>
      </c>
      <c r="K845" s="92" t="s">
        <v>10250</v>
      </c>
      <c r="L845" s="92" t="s">
        <v>10251</v>
      </c>
      <c r="M845" s="92" t="s">
        <v>10252</v>
      </c>
      <c r="N845" s="92" t="s">
        <v>10253</v>
      </c>
      <c r="O845" s="92" t="s">
        <v>10254</v>
      </c>
      <c r="S845" s="6">
        <v>2000005296</v>
      </c>
      <c r="T845" s="92">
        <v>2000005317</v>
      </c>
      <c r="U845" s="92">
        <v>2000012052</v>
      </c>
      <c r="V845" s="92">
        <v>2000018103</v>
      </c>
      <c r="W845" s="92">
        <v>2000023200</v>
      </c>
      <c r="X845" s="92">
        <v>2000024268</v>
      </c>
      <c r="Y845" s="92">
        <v>2000029070</v>
      </c>
      <c r="Z845" s="92">
        <v>2000032027</v>
      </c>
      <c r="AA845" s="92">
        <v>2000036005</v>
      </c>
      <c r="AE845" s="6" t="s">
        <v>181</v>
      </c>
      <c r="AF845" s="92" t="s">
        <v>181</v>
      </c>
      <c r="AG845" s="92" t="s">
        <v>885</v>
      </c>
      <c r="AH845" s="92" t="s">
        <v>179</v>
      </c>
      <c r="AI845" s="92" t="s">
        <v>899</v>
      </c>
      <c r="AJ845" s="92" t="s">
        <v>924</v>
      </c>
      <c r="AK845" s="92" t="s">
        <v>533</v>
      </c>
      <c r="AL845" s="92" t="s">
        <v>732</v>
      </c>
      <c r="AM845" s="92" t="s">
        <v>227</v>
      </c>
      <c r="AQ845" s="6" t="s">
        <v>187</v>
      </c>
      <c r="AR845" s="92" t="s">
        <v>186</v>
      </c>
      <c r="AS845" s="92" t="s">
        <v>186</v>
      </c>
      <c r="AT845" s="92" t="s">
        <v>187</v>
      </c>
      <c r="AU845" s="92" t="s">
        <v>186</v>
      </c>
      <c r="AV845" s="92" t="s">
        <v>187</v>
      </c>
      <c r="AW845" s="92" t="s">
        <v>186</v>
      </c>
      <c r="AX845" s="92" t="s">
        <v>186</v>
      </c>
      <c r="AY845" s="92" t="s">
        <v>187</v>
      </c>
      <c r="BC845" s="60">
        <v>85260325236</v>
      </c>
      <c r="BD845" s="93">
        <v>895378051196</v>
      </c>
      <c r="BE845" s="93">
        <v>82144136856</v>
      </c>
      <c r="BF845" s="93">
        <v>85713732043</v>
      </c>
      <c r="BG845" s="93">
        <v>88747627827</v>
      </c>
      <c r="BH845" s="93">
        <v>81229820025</v>
      </c>
      <c r="BI845" s="93">
        <v>83175235888</v>
      </c>
      <c r="BJ845" s="93">
        <v>82227709641</v>
      </c>
      <c r="BK845" s="93">
        <v>82279474797</v>
      </c>
      <c r="BP845" s="18" t="s">
        <v>10255</v>
      </c>
      <c r="BQ845" s="37">
        <v>45321</v>
      </c>
      <c r="BR845" s="8">
        <f t="shared" si="3"/>
        <v>9</v>
      </c>
    </row>
    <row r="846" spans="1:70" ht="14">
      <c r="A846" s="4" t="str">
        <v>Reguler Periode ke-119 VI.B.2</v>
      </c>
      <c r="B846" s="4" t="s">
        <v>9561</v>
      </c>
      <c r="C846" s="4" t="s">
        <v>1668</v>
      </c>
      <c r="D846" s="4" t="s">
        <v>10245</v>
      </c>
      <c r="E846" s="4" t="s">
        <v>10256</v>
      </c>
      <c r="F846" s="4" t="s">
        <v>193</v>
      </c>
      <c r="G846" s="6" t="s">
        <v>10257</v>
      </c>
      <c r="H846" s="92" t="s">
        <v>10258</v>
      </c>
      <c r="I846" s="92" t="s">
        <v>10259</v>
      </c>
      <c r="J846" s="92" t="s">
        <v>10260</v>
      </c>
      <c r="K846" s="92" t="s">
        <v>10261</v>
      </c>
      <c r="L846" s="92" t="s">
        <v>10262</v>
      </c>
      <c r="M846" s="92" t="s">
        <v>10263</v>
      </c>
      <c r="N846" s="92" t="s">
        <v>10264</v>
      </c>
      <c r="O846" s="92" t="s">
        <v>10265</v>
      </c>
      <c r="S846" s="6">
        <v>2000005056</v>
      </c>
      <c r="T846" s="92">
        <v>2000005237</v>
      </c>
      <c r="U846" s="92">
        <v>2000012019</v>
      </c>
      <c r="V846" s="92">
        <v>2000018419</v>
      </c>
      <c r="W846" s="92">
        <v>2000023038</v>
      </c>
      <c r="X846" s="92">
        <v>2000024045</v>
      </c>
      <c r="Y846" s="92">
        <v>2000029172</v>
      </c>
      <c r="Z846" s="92">
        <v>2000032034</v>
      </c>
      <c r="AA846" s="92">
        <v>2000036049</v>
      </c>
      <c r="AE846" s="6" t="s">
        <v>181</v>
      </c>
      <c r="AF846" s="92" t="s">
        <v>181</v>
      </c>
      <c r="AG846" s="92" t="s">
        <v>885</v>
      </c>
      <c r="AH846" s="92" t="s">
        <v>179</v>
      </c>
      <c r="AI846" s="92" t="s">
        <v>899</v>
      </c>
      <c r="AJ846" s="92" t="s">
        <v>924</v>
      </c>
      <c r="AK846" s="92" t="s">
        <v>533</v>
      </c>
      <c r="AL846" s="92" t="s">
        <v>732</v>
      </c>
      <c r="AM846" s="92" t="s">
        <v>227</v>
      </c>
      <c r="AQ846" s="6" t="s">
        <v>187</v>
      </c>
      <c r="AR846" s="92" t="s">
        <v>186</v>
      </c>
      <c r="AS846" s="92" t="s">
        <v>186</v>
      </c>
      <c r="AT846" s="92" t="s">
        <v>187</v>
      </c>
      <c r="AU846" s="92" t="s">
        <v>186</v>
      </c>
      <c r="AV846" s="92" t="s">
        <v>187</v>
      </c>
      <c r="AW846" s="92" t="s">
        <v>186</v>
      </c>
      <c r="AX846" s="92" t="s">
        <v>186</v>
      </c>
      <c r="AY846" s="92" t="s">
        <v>187</v>
      </c>
      <c r="BC846" s="60">
        <v>85837886944</v>
      </c>
      <c r="BD846" s="93">
        <v>85728580499</v>
      </c>
      <c r="BE846" s="93">
        <v>83126706376</v>
      </c>
      <c r="BF846" s="93">
        <v>81381681759</v>
      </c>
      <c r="BG846" s="93">
        <v>81271694994</v>
      </c>
      <c r="BH846" s="93">
        <v>81248170921</v>
      </c>
      <c r="BI846" s="93">
        <v>82119126791</v>
      </c>
      <c r="BJ846" s="93">
        <v>89630630061</v>
      </c>
      <c r="BK846" s="93">
        <v>85783189959</v>
      </c>
      <c r="BP846" s="18" t="s">
        <v>10266</v>
      </c>
      <c r="BQ846" s="37">
        <v>45321</v>
      </c>
      <c r="BR846" s="8">
        <f t="shared" si="3"/>
        <v>9</v>
      </c>
    </row>
    <row r="847" spans="1:70" ht="14">
      <c r="A847" s="4" t="str">
        <v>Reguler Periode ke-119 VI.B.3</v>
      </c>
      <c r="B847" s="4" t="s">
        <v>9561</v>
      </c>
      <c r="C847" s="4" t="s">
        <v>1689</v>
      </c>
      <c r="D847" s="4" t="s">
        <v>10245</v>
      </c>
      <c r="E847" s="4" t="s">
        <v>10267</v>
      </c>
      <c r="F847" s="4" t="s">
        <v>193</v>
      </c>
      <c r="G847" s="6" t="s">
        <v>10268</v>
      </c>
      <c r="H847" s="92" t="s">
        <v>10269</v>
      </c>
      <c r="I847" s="92" t="s">
        <v>10270</v>
      </c>
      <c r="J847" s="92" t="s">
        <v>10271</v>
      </c>
      <c r="K847" s="92" t="s">
        <v>10272</v>
      </c>
      <c r="L847" s="92" t="s">
        <v>10273</v>
      </c>
      <c r="M847" s="92" t="s">
        <v>10274</v>
      </c>
      <c r="N847" s="92" t="s">
        <v>10275</v>
      </c>
      <c r="O847" s="92" t="s">
        <v>10276</v>
      </c>
      <c r="S847" s="6">
        <v>2000005054</v>
      </c>
      <c r="T847" s="92">
        <v>2000005338</v>
      </c>
      <c r="U847" s="92">
        <v>2000012087</v>
      </c>
      <c r="V847" s="92">
        <v>2000018229</v>
      </c>
      <c r="W847" s="92">
        <v>2000023209</v>
      </c>
      <c r="X847" s="92">
        <v>2000024362</v>
      </c>
      <c r="Y847" s="92">
        <v>2000029085</v>
      </c>
      <c r="Z847" s="92">
        <v>2000032140</v>
      </c>
      <c r="AA847" s="92">
        <v>2000036055</v>
      </c>
      <c r="AE847" s="6" t="s">
        <v>181</v>
      </c>
      <c r="AF847" s="92" t="s">
        <v>181</v>
      </c>
      <c r="AG847" s="92" t="s">
        <v>885</v>
      </c>
      <c r="AH847" s="92" t="s">
        <v>179</v>
      </c>
      <c r="AI847" s="92" t="s">
        <v>899</v>
      </c>
      <c r="AJ847" s="92" t="s">
        <v>924</v>
      </c>
      <c r="AK847" s="92" t="s">
        <v>533</v>
      </c>
      <c r="AL847" s="92" t="s">
        <v>732</v>
      </c>
      <c r="AM847" s="92" t="s">
        <v>227</v>
      </c>
      <c r="AQ847" s="6" t="s">
        <v>186</v>
      </c>
      <c r="AR847" s="92" t="s">
        <v>187</v>
      </c>
      <c r="AS847" s="92" t="s">
        <v>186</v>
      </c>
      <c r="AT847" s="92" t="s">
        <v>187</v>
      </c>
      <c r="AU847" s="92" t="s">
        <v>186</v>
      </c>
      <c r="AV847" s="92" t="s">
        <v>187</v>
      </c>
      <c r="AW847" s="92" t="s">
        <v>186</v>
      </c>
      <c r="AX847" s="92" t="s">
        <v>186</v>
      </c>
      <c r="AY847" s="92" t="s">
        <v>187</v>
      </c>
      <c r="BC847" s="60">
        <v>8813986323</v>
      </c>
      <c r="BD847" s="93">
        <v>82228154948</v>
      </c>
      <c r="BE847" s="93">
        <v>82342208979</v>
      </c>
      <c r="BF847" s="93">
        <v>81902071831</v>
      </c>
      <c r="BG847" s="93">
        <v>82246024960</v>
      </c>
      <c r="BH847" s="93">
        <v>87839795716</v>
      </c>
      <c r="BI847" s="93">
        <v>85607049945</v>
      </c>
      <c r="BJ847" s="93">
        <v>87820226594</v>
      </c>
      <c r="BK847" s="93">
        <v>895377427755</v>
      </c>
      <c r="BP847" s="18" t="s">
        <v>10277</v>
      </c>
      <c r="BQ847" s="37">
        <v>45321</v>
      </c>
      <c r="BR847" s="8">
        <f t="shared" si="3"/>
        <v>9</v>
      </c>
    </row>
    <row r="848" spans="1:70" ht="14">
      <c r="A848" s="4" t="str">
        <v>Reguler Periode ke-119 VI.C.1</v>
      </c>
      <c r="B848" s="4" t="s">
        <v>9561</v>
      </c>
      <c r="C848" s="4" t="s">
        <v>1709</v>
      </c>
      <c r="D848" s="4" t="s">
        <v>10278</v>
      </c>
      <c r="E848" s="4" t="s">
        <v>10279</v>
      </c>
      <c r="F848" s="4" t="s">
        <v>193</v>
      </c>
      <c r="G848" s="6" t="s">
        <v>10280</v>
      </c>
      <c r="H848" s="92" t="s">
        <v>10281</v>
      </c>
      <c r="I848" s="92" t="s">
        <v>10282</v>
      </c>
      <c r="J848" s="92" t="s">
        <v>10283</v>
      </c>
      <c r="K848" s="92" t="s">
        <v>10284</v>
      </c>
      <c r="L848" s="92" t="s">
        <v>10285</v>
      </c>
      <c r="M848" s="92" t="s">
        <v>10286</v>
      </c>
      <c r="N848" s="92" t="s">
        <v>10287</v>
      </c>
      <c r="O848" s="92" t="s">
        <v>10288</v>
      </c>
      <c r="S848" s="6">
        <v>2000005067</v>
      </c>
      <c r="T848" s="92">
        <v>2000005337</v>
      </c>
      <c r="U848" s="92">
        <v>2000012088</v>
      </c>
      <c r="V848" s="92">
        <v>2000018166</v>
      </c>
      <c r="W848" s="92">
        <v>2000023199</v>
      </c>
      <c r="X848" s="92">
        <v>2000024001</v>
      </c>
      <c r="Y848" s="92">
        <v>2000029177</v>
      </c>
      <c r="Z848" s="92">
        <v>2000032037</v>
      </c>
      <c r="AA848" s="92">
        <v>2000036003</v>
      </c>
      <c r="AE848" s="6" t="s">
        <v>181</v>
      </c>
      <c r="AF848" s="92" t="s">
        <v>181</v>
      </c>
      <c r="AG848" s="92" t="s">
        <v>885</v>
      </c>
      <c r="AH848" s="92" t="s">
        <v>179</v>
      </c>
      <c r="AI848" s="92" t="s">
        <v>899</v>
      </c>
      <c r="AJ848" s="92" t="s">
        <v>924</v>
      </c>
      <c r="AK848" s="92" t="s">
        <v>533</v>
      </c>
      <c r="AL848" s="92" t="s">
        <v>732</v>
      </c>
      <c r="AM848" s="92" t="s">
        <v>227</v>
      </c>
      <c r="AQ848" s="6" t="s">
        <v>186</v>
      </c>
      <c r="AR848" s="92" t="s">
        <v>187</v>
      </c>
      <c r="AS848" s="92" t="s">
        <v>186</v>
      </c>
      <c r="AT848" s="92" t="s">
        <v>187</v>
      </c>
      <c r="AU848" s="92" t="s">
        <v>186</v>
      </c>
      <c r="AV848" s="92" t="s">
        <v>187</v>
      </c>
      <c r="AW848" s="92" t="s">
        <v>186</v>
      </c>
      <c r="AX848" s="92" t="s">
        <v>186</v>
      </c>
      <c r="AY848" s="92" t="s">
        <v>187</v>
      </c>
      <c r="BC848" s="60">
        <v>82338458846</v>
      </c>
      <c r="BD848" s="93">
        <v>8981644319</v>
      </c>
      <c r="BE848" s="93">
        <v>895413171505</v>
      </c>
      <c r="BF848" s="93">
        <v>82242776781</v>
      </c>
      <c r="BG848" s="93">
        <v>85829704198</v>
      </c>
      <c r="BH848" s="93">
        <v>82255850522</v>
      </c>
      <c r="BI848" s="93">
        <v>895378069537</v>
      </c>
      <c r="BJ848" s="93">
        <v>895383267360</v>
      </c>
      <c r="BK848" s="93">
        <v>81220304450</v>
      </c>
      <c r="BP848" s="18" t="s">
        <v>10289</v>
      </c>
      <c r="BQ848" s="37">
        <v>45321</v>
      </c>
      <c r="BR848" s="8">
        <f t="shared" si="3"/>
        <v>9</v>
      </c>
    </row>
    <row r="849" spans="1:70" ht="14">
      <c r="A849" s="4" t="str">
        <v>Reguler Periode ke-119 VI.C.2</v>
      </c>
      <c r="B849" s="4" t="s">
        <v>9561</v>
      </c>
      <c r="C849" s="4" t="s">
        <v>1731</v>
      </c>
      <c r="D849" s="4" t="s">
        <v>10278</v>
      </c>
      <c r="E849" s="4" t="s">
        <v>10290</v>
      </c>
      <c r="F849" s="4" t="s">
        <v>193</v>
      </c>
      <c r="G849" s="6" t="s">
        <v>10291</v>
      </c>
      <c r="H849" s="92" t="s">
        <v>10292</v>
      </c>
      <c r="I849" s="92" t="s">
        <v>10293</v>
      </c>
      <c r="J849" s="92" t="s">
        <v>10294</v>
      </c>
      <c r="K849" s="92" t="s">
        <v>10295</v>
      </c>
      <c r="L849" s="92" t="s">
        <v>10296</v>
      </c>
      <c r="M849" s="92" t="s">
        <v>10297</v>
      </c>
      <c r="N849" s="92" t="s">
        <v>10298</v>
      </c>
      <c r="O849" s="92" t="s">
        <v>10299</v>
      </c>
      <c r="S849" s="6">
        <v>2000005107</v>
      </c>
      <c r="T849" s="92">
        <v>2000005187</v>
      </c>
      <c r="U849" s="92">
        <v>2000012140</v>
      </c>
      <c r="V849" s="92">
        <v>2000018190</v>
      </c>
      <c r="W849" s="92">
        <v>2000023039</v>
      </c>
      <c r="X849" s="92">
        <v>2000024077</v>
      </c>
      <c r="Y849" s="92">
        <v>2000029205</v>
      </c>
      <c r="Z849" s="92">
        <v>2000032003</v>
      </c>
      <c r="AA849" s="92">
        <v>2000036109</v>
      </c>
      <c r="AE849" s="6" t="s">
        <v>181</v>
      </c>
      <c r="AF849" s="92" t="s">
        <v>181</v>
      </c>
      <c r="AG849" s="92" t="s">
        <v>885</v>
      </c>
      <c r="AH849" s="92" t="s">
        <v>179</v>
      </c>
      <c r="AI849" s="92" t="s">
        <v>899</v>
      </c>
      <c r="AJ849" s="92" t="s">
        <v>924</v>
      </c>
      <c r="AK849" s="92" t="s">
        <v>533</v>
      </c>
      <c r="AL849" s="92" t="s">
        <v>732</v>
      </c>
      <c r="AM849" s="92" t="s">
        <v>227</v>
      </c>
      <c r="AQ849" s="6" t="s">
        <v>187</v>
      </c>
      <c r="AR849" s="92" t="s">
        <v>186</v>
      </c>
      <c r="AS849" s="92" t="s">
        <v>186</v>
      </c>
      <c r="AT849" s="92" t="s">
        <v>187</v>
      </c>
      <c r="AU849" s="92" t="s">
        <v>186</v>
      </c>
      <c r="AV849" s="92" t="s">
        <v>187</v>
      </c>
      <c r="AW849" s="92" t="s">
        <v>186</v>
      </c>
      <c r="AX849" s="92" t="s">
        <v>186</v>
      </c>
      <c r="AY849" s="92" t="s">
        <v>187</v>
      </c>
      <c r="BC849" s="60">
        <v>895392951224</v>
      </c>
      <c r="BD849" s="93">
        <v>81271466217</v>
      </c>
      <c r="BE849" s="93">
        <v>82229727316</v>
      </c>
      <c r="BF849" s="93">
        <v>85322471629</v>
      </c>
      <c r="BG849" s="93">
        <v>85333132390</v>
      </c>
      <c r="BH849" s="93">
        <v>82159496911</v>
      </c>
      <c r="BI849" s="93">
        <v>82286271916</v>
      </c>
      <c r="BJ849" s="93">
        <v>83109611761</v>
      </c>
      <c r="BK849" s="93">
        <v>85727698021</v>
      </c>
      <c r="BP849" s="18" t="s">
        <v>10300</v>
      </c>
      <c r="BQ849" s="37">
        <v>45321</v>
      </c>
      <c r="BR849" s="8">
        <f t="shared" si="3"/>
        <v>9</v>
      </c>
    </row>
    <row r="850" spans="1:70" ht="14">
      <c r="A850" s="4" t="str">
        <v>Reguler Periode ke-119 VI.C.3</v>
      </c>
      <c r="B850" s="4" t="s">
        <v>9561</v>
      </c>
      <c r="C850" s="4" t="s">
        <v>1752</v>
      </c>
      <c r="D850" s="4" t="s">
        <v>10278</v>
      </c>
      <c r="E850" s="4" t="s">
        <v>10301</v>
      </c>
      <c r="F850" s="4" t="s">
        <v>193</v>
      </c>
      <c r="G850" s="6" t="s">
        <v>10302</v>
      </c>
      <c r="H850" s="92" t="s">
        <v>10303</v>
      </c>
      <c r="I850" s="92" t="s">
        <v>10304</v>
      </c>
      <c r="J850" s="92" t="s">
        <v>10305</v>
      </c>
      <c r="K850" s="92" t="s">
        <v>10306</v>
      </c>
      <c r="L850" s="92" t="s">
        <v>10307</v>
      </c>
      <c r="M850" s="92" t="s">
        <v>10308</v>
      </c>
      <c r="N850" s="92" t="s">
        <v>10309</v>
      </c>
      <c r="O850" s="92" t="s">
        <v>10310</v>
      </c>
      <c r="S850" s="6">
        <v>2000005071</v>
      </c>
      <c r="T850" s="92">
        <v>2000005195</v>
      </c>
      <c r="U850" s="92">
        <v>2000012167</v>
      </c>
      <c r="V850" s="92">
        <v>2000018358</v>
      </c>
      <c r="W850" s="92">
        <v>2000023138</v>
      </c>
      <c r="X850" s="92">
        <v>2000024290</v>
      </c>
      <c r="Y850" s="92">
        <v>2000029045</v>
      </c>
      <c r="Z850" s="92">
        <v>2000032047</v>
      </c>
      <c r="AA850" s="92">
        <v>2000037009</v>
      </c>
      <c r="AE850" s="6" t="s">
        <v>181</v>
      </c>
      <c r="AF850" s="92" t="s">
        <v>181</v>
      </c>
      <c r="AG850" s="92" t="s">
        <v>885</v>
      </c>
      <c r="AH850" s="92" t="s">
        <v>179</v>
      </c>
      <c r="AI850" s="92" t="s">
        <v>899</v>
      </c>
      <c r="AJ850" s="92" t="s">
        <v>924</v>
      </c>
      <c r="AK850" s="92" t="s">
        <v>533</v>
      </c>
      <c r="AL850" s="92" t="s">
        <v>732</v>
      </c>
      <c r="AM850" s="92" t="s">
        <v>10311</v>
      </c>
      <c r="AQ850" s="6" t="s">
        <v>186</v>
      </c>
      <c r="AR850" s="92" t="s">
        <v>187</v>
      </c>
      <c r="AS850" s="92" t="s">
        <v>186</v>
      </c>
      <c r="AT850" s="92" t="s">
        <v>187</v>
      </c>
      <c r="AU850" s="92" t="s">
        <v>186</v>
      </c>
      <c r="AV850" s="92" t="s">
        <v>187</v>
      </c>
      <c r="AW850" s="92" t="s">
        <v>186</v>
      </c>
      <c r="AX850" s="92" t="s">
        <v>186</v>
      </c>
      <c r="AY850" s="92" t="s">
        <v>187</v>
      </c>
      <c r="BC850" s="60">
        <v>87772213741</v>
      </c>
      <c r="BD850" s="93">
        <v>81215687579</v>
      </c>
      <c r="BE850" s="93">
        <v>82340806887</v>
      </c>
      <c r="BF850" s="93">
        <v>82281025064</v>
      </c>
      <c r="BG850" s="93">
        <v>81342601128</v>
      </c>
      <c r="BH850" s="93">
        <v>85602114864</v>
      </c>
      <c r="BI850" s="93">
        <v>81236015698</v>
      </c>
      <c r="BJ850" s="93">
        <v>82387253346</v>
      </c>
      <c r="BK850" s="93">
        <v>85750575576</v>
      </c>
      <c r="BP850" s="18" t="s">
        <v>10312</v>
      </c>
      <c r="BQ850" s="37">
        <v>45321</v>
      </c>
      <c r="BR850" s="8">
        <f t="shared" si="3"/>
        <v>9</v>
      </c>
    </row>
    <row r="851" spans="1:70" ht="14.5">
      <c r="A851" s="4" t="str">
        <v>Reguler Periode ke-119 VI.D.1</v>
      </c>
      <c r="B851" s="4" t="s">
        <v>9561</v>
      </c>
      <c r="C851" s="4" t="s">
        <v>1774</v>
      </c>
      <c r="D851" s="4" t="s">
        <v>10313</v>
      </c>
      <c r="E851" s="4" t="s">
        <v>10314</v>
      </c>
      <c r="F851" s="4" t="s">
        <v>193</v>
      </c>
      <c r="G851" s="6" t="s">
        <v>10315</v>
      </c>
      <c r="H851" s="92" t="s">
        <v>10316</v>
      </c>
      <c r="I851" s="92" t="s">
        <v>10317</v>
      </c>
      <c r="J851" s="92" t="s">
        <v>10318</v>
      </c>
      <c r="K851" s="92" t="s">
        <v>10319</v>
      </c>
      <c r="L851" s="92" t="s">
        <v>10320</v>
      </c>
      <c r="M851" s="92" t="s">
        <v>10321</v>
      </c>
      <c r="N851" s="92" t="s">
        <v>10322</v>
      </c>
      <c r="O851" s="92" t="s">
        <v>10323</v>
      </c>
      <c r="S851" s="6">
        <v>2000005096</v>
      </c>
      <c r="T851" s="92">
        <v>2000005227</v>
      </c>
      <c r="U851" s="92">
        <v>2000012121</v>
      </c>
      <c r="V851" s="92">
        <v>2000018316</v>
      </c>
      <c r="W851" s="92">
        <v>2000023148</v>
      </c>
      <c r="X851" s="92">
        <v>2000024207</v>
      </c>
      <c r="Y851" s="92">
        <v>2000029231</v>
      </c>
      <c r="Z851" s="92">
        <v>2000032090</v>
      </c>
      <c r="AA851" s="92">
        <v>2000037002</v>
      </c>
      <c r="AE851" s="6" t="s">
        <v>181</v>
      </c>
      <c r="AF851" s="92" t="s">
        <v>181</v>
      </c>
      <c r="AG851" s="92" t="s">
        <v>885</v>
      </c>
      <c r="AH851" s="92" t="s">
        <v>179</v>
      </c>
      <c r="AI851" s="92" t="s">
        <v>899</v>
      </c>
      <c r="AJ851" s="92" t="s">
        <v>924</v>
      </c>
      <c r="AK851" s="92" t="s">
        <v>533</v>
      </c>
      <c r="AL851" s="92" t="s">
        <v>732</v>
      </c>
      <c r="AM851" s="92" t="s">
        <v>10311</v>
      </c>
      <c r="AN851" s="73"/>
      <c r="AQ851" s="6" t="s">
        <v>187</v>
      </c>
      <c r="AR851" s="92" t="s">
        <v>186</v>
      </c>
      <c r="AS851" s="92" t="s">
        <v>186</v>
      </c>
      <c r="AT851" s="92" t="s">
        <v>187</v>
      </c>
      <c r="AU851" s="92" t="s">
        <v>186</v>
      </c>
      <c r="AV851" s="92" t="s">
        <v>187</v>
      </c>
      <c r="AW851" s="92" t="s">
        <v>186</v>
      </c>
      <c r="AX851" s="92" t="s">
        <v>186</v>
      </c>
      <c r="AY851" s="92" t="s">
        <v>187</v>
      </c>
      <c r="BC851" s="60">
        <v>81366937530</v>
      </c>
      <c r="BD851" s="93">
        <v>85791283492</v>
      </c>
      <c r="BE851" s="93" t="s">
        <v>10324</v>
      </c>
      <c r="BF851" s="93">
        <v>89652986985</v>
      </c>
      <c r="BG851" s="93">
        <v>82220944268</v>
      </c>
      <c r="BH851" s="93">
        <v>83825302121</v>
      </c>
      <c r="BI851" s="93">
        <v>87881747712</v>
      </c>
      <c r="BJ851" s="93">
        <v>85643415440</v>
      </c>
      <c r="BK851" s="93">
        <v>81390595430</v>
      </c>
      <c r="BP851" s="18" t="s">
        <v>10325</v>
      </c>
      <c r="BQ851" s="37">
        <v>45321</v>
      </c>
      <c r="BR851" s="8">
        <f t="shared" si="3"/>
        <v>9</v>
      </c>
    </row>
    <row r="852" spans="1:70" ht="14">
      <c r="A852" s="4" t="str">
        <v>Reguler Periode ke-119 VI.D.2</v>
      </c>
      <c r="B852" s="4" t="s">
        <v>9561</v>
      </c>
      <c r="C852" s="4" t="s">
        <v>1796</v>
      </c>
      <c r="D852" s="4" t="s">
        <v>10313</v>
      </c>
      <c r="E852" s="4" t="s">
        <v>10326</v>
      </c>
      <c r="F852" s="4" t="s">
        <v>193</v>
      </c>
      <c r="G852" s="6" t="s">
        <v>10327</v>
      </c>
      <c r="H852" s="92" t="s">
        <v>10328</v>
      </c>
      <c r="I852" s="92" t="s">
        <v>10329</v>
      </c>
      <c r="J852" s="92" t="s">
        <v>10330</v>
      </c>
      <c r="K852" s="92" t="s">
        <v>10331</v>
      </c>
      <c r="L852" s="92" t="s">
        <v>10332</v>
      </c>
      <c r="M852" s="92" t="s">
        <v>10333</v>
      </c>
      <c r="N852" s="92" t="s">
        <v>10334</v>
      </c>
      <c r="O852" s="92" t="s">
        <v>10335</v>
      </c>
      <c r="S852" s="6">
        <v>1800018374</v>
      </c>
      <c r="T852" s="92">
        <v>2000005186</v>
      </c>
      <c r="U852" s="92">
        <v>2000005354</v>
      </c>
      <c r="V852" s="92">
        <v>2000012116</v>
      </c>
      <c r="W852" s="92">
        <v>2000023216</v>
      </c>
      <c r="X852" s="92">
        <v>2000024208</v>
      </c>
      <c r="Y852" s="92">
        <v>2000029038</v>
      </c>
      <c r="Z852" s="92">
        <v>2000032135</v>
      </c>
      <c r="AA852" s="92">
        <v>2011037004</v>
      </c>
      <c r="AE852" s="6" t="s">
        <v>179</v>
      </c>
      <c r="AF852" s="92" t="s">
        <v>181</v>
      </c>
      <c r="AG852" s="92" t="s">
        <v>181</v>
      </c>
      <c r="AH852" s="92" t="s">
        <v>885</v>
      </c>
      <c r="AI852" s="92" t="s">
        <v>899</v>
      </c>
      <c r="AJ852" s="92" t="s">
        <v>924</v>
      </c>
      <c r="AK852" s="92" t="s">
        <v>533</v>
      </c>
      <c r="AL852" s="92" t="s">
        <v>732</v>
      </c>
      <c r="AM852" s="92" t="s">
        <v>10311</v>
      </c>
      <c r="AQ852" s="6" t="s">
        <v>187</v>
      </c>
      <c r="AR852" s="92" t="s">
        <v>186</v>
      </c>
      <c r="AS852" s="92" t="s">
        <v>187</v>
      </c>
      <c r="AT852" s="92" t="s">
        <v>186</v>
      </c>
      <c r="AU852" s="92" t="s">
        <v>186</v>
      </c>
      <c r="AV852" s="92" t="s">
        <v>187</v>
      </c>
      <c r="AW852" s="92" t="s">
        <v>186</v>
      </c>
      <c r="AX852" s="92" t="s">
        <v>186</v>
      </c>
      <c r="AY852" s="92" t="s">
        <v>187</v>
      </c>
      <c r="BC852" s="60">
        <v>82221730627</v>
      </c>
      <c r="BD852" s="93">
        <v>8816404412</v>
      </c>
      <c r="BE852" s="93">
        <v>82137231854</v>
      </c>
      <c r="BF852" s="93">
        <v>859152908532</v>
      </c>
      <c r="BG852" s="93">
        <v>81558787907</v>
      </c>
      <c r="BH852" s="93">
        <v>81227935336</v>
      </c>
      <c r="BI852" s="93">
        <v>81233873587</v>
      </c>
      <c r="BJ852" s="93" t="s">
        <v>10336</v>
      </c>
      <c r="BK852" s="93">
        <v>89649409365</v>
      </c>
      <c r="BP852" s="18" t="s">
        <v>10337</v>
      </c>
      <c r="BQ852" s="37">
        <v>45321</v>
      </c>
      <c r="BR852" s="8">
        <f t="shared" si="3"/>
        <v>9</v>
      </c>
    </row>
    <row r="853" spans="1:70" ht="14">
      <c r="A853" s="4" t="str">
        <v>Reguler Periode ke-119 VI.D.3</v>
      </c>
      <c r="B853" s="4" t="s">
        <v>9561</v>
      </c>
      <c r="C853" s="4" t="s">
        <v>2883</v>
      </c>
      <c r="D853" s="4" t="s">
        <v>10313</v>
      </c>
      <c r="E853" s="4" t="s">
        <v>10338</v>
      </c>
      <c r="F853" s="4" t="s">
        <v>193</v>
      </c>
      <c r="G853" s="6" t="s">
        <v>10339</v>
      </c>
      <c r="H853" s="92" t="s">
        <v>10340</v>
      </c>
      <c r="I853" s="92" t="s">
        <v>10341</v>
      </c>
      <c r="J853" s="92" t="s">
        <v>10342</v>
      </c>
      <c r="K853" s="92" t="s">
        <v>10343</v>
      </c>
      <c r="L853" s="92" t="s">
        <v>10344</v>
      </c>
      <c r="M853" s="92" t="s">
        <v>10345</v>
      </c>
      <c r="N853" s="92" t="s">
        <v>10346</v>
      </c>
      <c r="S853" s="6">
        <v>1900070033</v>
      </c>
      <c r="T853" s="92">
        <v>2000005137</v>
      </c>
      <c r="U853" s="92">
        <v>2000005256</v>
      </c>
      <c r="V853" s="92">
        <v>2000012133</v>
      </c>
      <c r="W853" s="92">
        <v>2000023027</v>
      </c>
      <c r="X853" s="92">
        <v>2000024335</v>
      </c>
      <c r="Y853" s="92">
        <v>2000029235</v>
      </c>
      <c r="Z853" s="92">
        <v>2000033081</v>
      </c>
      <c r="AE853" s="6" t="s">
        <v>2473</v>
      </c>
      <c r="AF853" s="92" t="s">
        <v>181</v>
      </c>
      <c r="AG853" s="92" t="s">
        <v>181</v>
      </c>
      <c r="AH853" s="92" t="s">
        <v>885</v>
      </c>
      <c r="AI853" s="92" t="s">
        <v>899</v>
      </c>
      <c r="AJ853" s="92" t="s">
        <v>924</v>
      </c>
      <c r="AK853" s="92" t="s">
        <v>533</v>
      </c>
      <c r="AL853" s="92" t="s">
        <v>1112</v>
      </c>
      <c r="AQ853" s="6" t="s">
        <v>187</v>
      </c>
      <c r="AR853" s="92" t="s">
        <v>186</v>
      </c>
      <c r="AS853" s="92" t="s">
        <v>187</v>
      </c>
      <c r="AT853" s="92" t="s">
        <v>186</v>
      </c>
      <c r="AU853" s="92" t="s">
        <v>186</v>
      </c>
      <c r="AV853" s="92" t="s">
        <v>187</v>
      </c>
      <c r="AW853" s="92" t="s">
        <v>186</v>
      </c>
      <c r="AX853" s="92" t="s">
        <v>186</v>
      </c>
      <c r="BC853" s="60">
        <v>8813781055</v>
      </c>
      <c r="BD853" s="93">
        <v>82175248676</v>
      </c>
      <c r="BE853" s="93">
        <v>82265249011</v>
      </c>
      <c r="BF853" s="93">
        <v>85161252544</v>
      </c>
      <c r="BG853" s="93">
        <v>87747618770</v>
      </c>
      <c r="BH853" s="93">
        <v>85211508103</v>
      </c>
      <c r="BI853" s="93">
        <v>895363144719</v>
      </c>
      <c r="BJ853" s="93">
        <v>85840134010</v>
      </c>
      <c r="BP853" s="18" t="s">
        <v>10347</v>
      </c>
      <c r="BQ853" s="37">
        <v>45321</v>
      </c>
      <c r="BR853" s="8">
        <f t="shared" si="3"/>
        <v>8</v>
      </c>
    </row>
    <row r="854" spans="1:70" ht="14">
      <c r="A854" s="4" t="str">
        <v>Reguler Periode ke-119 VII.A.1</v>
      </c>
      <c r="B854" s="4" t="s">
        <v>9561</v>
      </c>
      <c r="C854" s="4" t="s">
        <v>1817</v>
      </c>
      <c r="D854" s="4" t="s">
        <v>10348</v>
      </c>
      <c r="E854" s="4" t="s">
        <v>10349</v>
      </c>
      <c r="F854" s="4" t="s">
        <v>193</v>
      </c>
      <c r="G854" s="6" t="s">
        <v>10350</v>
      </c>
      <c r="H854" s="92" t="s">
        <v>10351</v>
      </c>
      <c r="I854" s="92" t="s">
        <v>10352</v>
      </c>
      <c r="J854" s="92" t="s">
        <v>10353</v>
      </c>
      <c r="K854" s="92" t="s">
        <v>10354</v>
      </c>
      <c r="L854" s="92" t="s">
        <v>10355</v>
      </c>
      <c r="M854" s="92" t="s">
        <v>10356</v>
      </c>
      <c r="N854" s="92" t="s">
        <v>10357</v>
      </c>
      <c r="O854" s="92" t="s">
        <v>10358</v>
      </c>
      <c r="S854" s="6">
        <v>1900070014</v>
      </c>
      <c r="T854" s="92">
        <v>2000005162</v>
      </c>
      <c r="U854" s="92">
        <v>2000005202</v>
      </c>
      <c r="V854" s="92">
        <v>2000012084</v>
      </c>
      <c r="W854" s="92">
        <v>2000018114</v>
      </c>
      <c r="X854" s="92">
        <v>2000023137</v>
      </c>
      <c r="Y854" s="92">
        <v>2000024123</v>
      </c>
      <c r="Z854" s="92">
        <v>2000029148</v>
      </c>
      <c r="AA854" s="92">
        <v>2000033021</v>
      </c>
      <c r="AE854" s="6" t="s">
        <v>2473</v>
      </c>
      <c r="AF854" s="92" t="s">
        <v>181</v>
      </c>
      <c r="AG854" s="92" t="s">
        <v>181</v>
      </c>
      <c r="AH854" s="92" t="s">
        <v>885</v>
      </c>
      <c r="AI854" s="92" t="s">
        <v>179</v>
      </c>
      <c r="AJ854" s="92" t="s">
        <v>899</v>
      </c>
      <c r="AK854" s="92" t="s">
        <v>924</v>
      </c>
      <c r="AL854" s="92" t="s">
        <v>533</v>
      </c>
      <c r="AM854" s="92" t="s">
        <v>1112</v>
      </c>
      <c r="AQ854" s="6" t="s">
        <v>187</v>
      </c>
      <c r="AR854" s="92" t="s">
        <v>186</v>
      </c>
      <c r="AS854" s="92" t="s">
        <v>187</v>
      </c>
      <c r="AT854" s="92" t="s">
        <v>186</v>
      </c>
      <c r="AU854" s="92" t="s">
        <v>187</v>
      </c>
      <c r="AV854" s="92" t="s">
        <v>186</v>
      </c>
      <c r="AW854" s="92" t="s">
        <v>187</v>
      </c>
      <c r="AX854" s="92" t="s">
        <v>186</v>
      </c>
      <c r="AY854" s="92" t="s">
        <v>186</v>
      </c>
      <c r="BC854" s="60">
        <v>88232142401</v>
      </c>
      <c r="BD854" s="93">
        <v>85643987936</v>
      </c>
      <c r="BE854" s="93">
        <v>85708808154</v>
      </c>
      <c r="BF854" s="93">
        <v>81273203447</v>
      </c>
      <c r="BG854" s="93">
        <v>87885727458</v>
      </c>
      <c r="BH854" s="93">
        <v>81367138407</v>
      </c>
      <c r="BI854" s="93">
        <v>85767944522</v>
      </c>
      <c r="BJ854" s="93">
        <v>85738093550</v>
      </c>
      <c r="BK854" s="93">
        <v>83870393786</v>
      </c>
      <c r="BP854" s="18" t="s">
        <v>10359</v>
      </c>
      <c r="BQ854" s="37">
        <v>45321</v>
      </c>
      <c r="BR854" s="8">
        <f t="shared" si="3"/>
        <v>9</v>
      </c>
    </row>
    <row r="855" spans="1:70" ht="14">
      <c r="A855" s="4" t="str">
        <v>Reguler Periode ke-119 VII.A.2</v>
      </c>
      <c r="B855" s="4" t="s">
        <v>9561</v>
      </c>
      <c r="C855" s="4" t="s">
        <v>1839</v>
      </c>
      <c r="D855" s="4" t="s">
        <v>10348</v>
      </c>
      <c r="E855" s="4" t="s">
        <v>10360</v>
      </c>
      <c r="F855" s="4" t="s">
        <v>193</v>
      </c>
      <c r="G855" s="6" t="s">
        <v>10361</v>
      </c>
      <c r="H855" s="92" t="s">
        <v>10362</v>
      </c>
      <c r="I855" s="92" t="s">
        <v>10363</v>
      </c>
      <c r="J855" s="92" t="s">
        <v>10364</v>
      </c>
      <c r="K855" s="92" t="s">
        <v>10365</v>
      </c>
      <c r="L855" s="92" t="s">
        <v>10366</v>
      </c>
      <c r="M855" s="92" t="s">
        <v>10367</v>
      </c>
      <c r="N855" s="92" t="s">
        <v>10368</v>
      </c>
      <c r="O855" s="92" t="s">
        <v>10369</v>
      </c>
      <c r="S855" s="6">
        <v>2000005042</v>
      </c>
      <c r="T855" s="92">
        <v>2000005297</v>
      </c>
      <c r="U855" s="92">
        <v>2000012145</v>
      </c>
      <c r="V855" s="92">
        <v>2000018039</v>
      </c>
      <c r="W855" s="92">
        <v>2000023144</v>
      </c>
      <c r="X855" s="92">
        <v>2000024168</v>
      </c>
      <c r="Y855" s="92">
        <v>2000029278</v>
      </c>
      <c r="Z855" s="92">
        <v>2000033022</v>
      </c>
      <c r="AA855" s="92">
        <v>2000070055</v>
      </c>
      <c r="AE855" s="6" t="s">
        <v>181</v>
      </c>
      <c r="AF855" s="92" t="s">
        <v>181</v>
      </c>
      <c r="AG855" s="92" t="s">
        <v>885</v>
      </c>
      <c r="AH855" s="92" t="s">
        <v>179</v>
      </c>
      <c r="AI855" s="92" t="s">
        <v>899</v>
      </c>
      <c r="AJ855" s="92" t="s">
        <v>924</v>
      </c>
      <c r="AK855" s="92" t="s">
        <v>533</v>
      </c>
      <c r="AL855" s="92" t="s">
        <v>1112</v>
      </c>
      <c r="AM855" s="92" t="s">
        <v>2473</v>
      </c>
      <c r="AQ855" s="6" t="s">
        <v>187</v>
      </c>
      <c r="AR855" s="92" t="s">
        <v>186</v>
      </c>
      <c r="AS855" s="92" t="s">
        <v>186</v>
      </c>
      <c r="AT855" s="92" t="s">
        <v>187</v>
      </c>
      <c r="AU855" s="92" t="s">
        <v>186</v>
      </c>
      <c r="AV855" s="92" t="s">
        <v>187</v>
      </c>
      <c r="AW855" s="92" t="s">
        <v>186</v>
      </c>
      <c r="AX855" s="92" t="s">
        <v>186</v>
      </c>
      <c r="AY855" s="92" t="s">
        <v>187</v>
      </c>
      <c r="BC855" s="60">
        <v>85156694270</v>
      </c>
      <c r="BD855" s="93">
        <v>83838266287</v>
      </c>
      <c r="BE855" s="93">
        <v>85939889270</v>
      </c>
      <c r="BF855" s="93">
        <v>85157061776</v>
      </c>
      <c r="BG855" s="93">
        <v>895702236949</v>
      </c>
      <c r="BH855" s="93">
        <v>81546954243</v>
      </c>
      <c r="BI855" s="93">
        <v>81394282576</v>
      </c>
      <c r="BJ855" s="93">
        <v>85225611442</v>
      </c>
      <c r="BK855" s="93">
        <v>85725817933</v>
      </c>
      <c r="BP855" s="18" t="s">
        <v>10370</v>
      </c>
      <c r="BQ855" s="37">
        <v>45321</v>
      </c>
      <c r="BR855" s="8">
        <f t="shared" si="3"/>
        <v>9</v>
      </c>
    </row>
    <row r="856" spans="1:70" ht="14">
      <c r="A856" s="4" t="str">
        <v>Reguler Periode ke-119 VII.A.3</v>
      </c>
      <c r="B856" s="4" t="s">
        <v>9561</v>
      </c>
      <c r="C856" s="4" t="s">
        <v>1860</v>
      </c>
      <c r="D856" s="4" t="s">
        <v>10348</v>
      </c>
      <c r="E856" s="4" t="s">
        <v>10371</v>
      </c>
      <c r="F856" s="4" t="s">
        <v>193</v>
      </c>
      <c r="G856" s="6" t="s">
        <v>10372</v>
      </c>
      <c r="H856" s="92" t="s">
        <v>10373</v>
      </c>
      <c r="I856" s="92" t="s">
        <v>10374</v>
      </c>
      <c r="J856" s="92" t="s">
        <v>10375</v>
      </c>
      <c r="K856" s="92" t="s">
        <v>10376</v>
      </c>
      <c r="L856" s="92" t="s">
        <v>10377</v>
      </c>
      <c r="M856" s="92" t="s">
        <v>10378</v>
      </c>
      <c r="N856" s="92" t="s">
        <v>10379</v>
      </c>
      <c r="O856" s="92" t="s">
        <v>10380</v>
      </c>
      <c r="S856" s="6">
        <v>2000005313</v>
      </c>
      <c r="T856" s="92">
        <v>2000005343</v>
      </c>
      <c r="U856" s="92">
        <v>2000012170</v>
      </c>
      <c r="V856" s="92">
        <v>2000018021</v>
      </c>
      <c r="W856" s="92">
        <v>2000023122</v>
      </c>
      <c r="X856" s="92">
        <v>2000024046</v>
      </c>
      <c r="Y856" s="92">
        <v>2000029081</v>
      </c>
      <c r="Z856" s="92">
        <v>2000033057</v>
      </c>
      <c r="AA856" s="92">
        <v>2000070043</v>
      </c>
      <c r="AE856" s="6" t="s">
        <v>181</v>
      </c>
      <c r="AF856" s="92" t="s">
        <v>181</v>
      </c>
      <c r="AG856" s="92" t="s">
        <v>885</v>
      </c>
      <c r="AH856" s="92" t="s">
        <v>179</v>
      </c>
      <c r="AI856" s="92" t="s">
        <v>899</v>
      </c>
      <c r="AJ856" s="92" t="s">
        <v>924</v>
      </c>
      <c r="AK856" s="92" t="s">
        <v>533</v>
      </c>
      <c r="AL856" s="92" t="s">
        <v>1112</v>
      </c>
      <c r="AM856" s="92" t="s">
        <v>2473</v>
      </c>
      <c r="AQ856" s="6" t="s">
        <v>187</v>
      </c>
      <c r="AR856" s="92" t="s">
        <v>186</v>
      </c>
      <c r="AS856" s="92" t="s">
        <v>186</v>
      </c>
      <c r="AT856" s="92" t="s">
        <v>187</v>
      </c>
      <c r="AU856" s="92" t="s">
        <v>186</v>
      </c>
      <c r="AV856" s="92" t="s">
        <v>187</v>
      </c>
      <c r="AW856" s="92" t="s">
        <v>186</v>
      </c>
      <c r="AX856" s="92" t="s">
        <v>186</v>
      </c>
      <c r="AY856" s="92" t="s">
        <v>187</v>
      </c>
      <c r="BC856" s="60">
        <v>85878306787</v>
      </c>
      <c r="BD856" s="93">
        <v>89656347143</v>
      </c>
      <c r="BE856" s="93">
        <v>85724342331</v>
      </c>
      <c r="BF856" s="93">
        <v>81390112151</v>
      </c>
      <c r="BG856" s="93"/>
      <c r="BH856" s="93">
        <v>81271775200</v>
      </c>
      <c r="BI856" s="93">
        <v>895366110267</v>
      </c>
      <c r="BJ856" s="93">
        <v>87719974529</v>
      </c>
      <c r="BK856" s="93">
        <v>88279458679</v>
      </c>
      <c r="BP856" s="18" t="s">
        <v>10381</v>
      </c>
      <c r="BQ856" s="37">
        <v>45321</v>
      </c>
      <c r="BR856" s="8">
        <f t="shared" si="3"/>
        <v>9</v>
      </c>
    </row>
    <row r="857" spans="1:70" ht="14">
      <c r="A857" s="4" t="str">
        <v>Reguler Periode ke-119 VII.B.1</v>
      </c>
      <c r="B857" s="4" t="s">
        <v>9561</v>
      </c>
      <c r="C857" s="4" t="s">
        <v>1881</v>
      </c>
      <c r="D857" s="4" t="s">
        <v>10382</v>
      </c>
      <c r="E857" s="4" t="s">
        <v>10383</v>
      </c>
      <c r="F857" s="4" t="s">
        <v>193</v>
      </c>
      <c r="G857" s="6" t="s">
        <v>10384</v>
      </c>
      <c r="H857" s="92" t="s">
        <v>10385</v>
      </c>
      <c r="I857" s="92" t="s">
        <v>10386</v>
      </c>
      <c r="J857" s="92" t="s">
        <v>10387</v>
      </c>
      <c r="K857" s="92" t="s">
        <v>10388</v>
      </c>
      <c r="L857" s="92" t="s">
        <v>10389</v>
      </c>
      <c r="M857" s="92" t="s">
        <v>10390</v>
      </c>
      <c r="N857" s="92" t="s">
        <v>10391</v>
      </c>
      <c r="O857" s="92" t="s">
        <v>10392</v>
      </c>
      <c r="S857" s="6">
        <v>2000005095</v>
      </c>
      <c r="T857" s="92">
        <v>2000006056</v>
      </c>
      <c r="U857" s="92">
        <v>2000012040</v>
      </c>
      <c r="V857" s="92">
        <v>2000018182</v>
      </c>
      <c r="W857" s="92">
        <v>2000023157</v>
      </c>
      <c r="X857" s="92">
        <v>2000024073</v>
      </c>
      <c r="Y857" s="92">
        <v>2000029010</v>
      </c>
      <c r="Z857" s="92">
        <v>2000033098</v>
      </c>
      <c r="AA857" s="92">
        <v>2000070042</v>
      </c>
      <c r="AE857" s="6" t="s">
        <v>181</v>
      </c>
      <c r="AF857" s="92" t="s">
        <v>745</v>
      </c>
      <c r="AG857" s="92" t="s">
        <v>885</v>
      </c>
      <c r="AH857" s="92" t="s">
        <v>179</v>
      </c>
      <c r="AI857" s="92" t="s">
        <v>899</v>
      </c>
      <c r="AJ857" s="92" t="s">
        <v>924</v>
      </c>
      <c r="AK857" s="92" t="s">
        <v>533</v>
      </c>
      <c r="AL857" s="92" t="s">
        <v>1112</v>
      </c>
      <c r="AM857" s="92" t="s">
        <v>2473</v>
      </c>
      <c r="AQ857" s="6" t="s">
        <v>186</v>
      </c>
      <c r="AR857" s="92" t="s">
        <v>187</v>
      </c>
      <c r="AS857" s="92" t="s">
        <v>186</v>
      </c>
      <c r="AT857" s="92" t="s">
        <v>187</v>
      </c>
      <c r="AU857" s="92" t="s">
        <v>186</v>
      </c>
      <c r="AV857" s="92" t="s">
        <v>187</v>
      </c>
      <c r="AW857" s="92" t="s">
        <v>186</v>
      </c>
      <c r="AX857" s="92" t="s">
        <v>186</v>
      </c>
      <c r="AY857" s="92" t="s">
        <v>187</v>
      </c>
      <c r="BC857" s="60">
        <v>81254445017</v>
      </c>
      <c r="BD857" s="93">
        <v>85337185881</v>
      </c>
      <c r="BE857" s="93">
        <v>895605967839</v>
      </c>
      <c r="BF857" s="93">
        <v>83861742929</v>
      </c>
      <c r="BG857" s="93">
        <v>81210523800</v>
      </c>
      <c r="BH857" s="93">
        <v>89629906154</v>
      </c>
      <c r="BI857" s="93">
        <v>82331074015</v>
      </c>
      <c r="BJ857" s="93">
        <v>85703177981</v>
      </c>
      <c r="BK857" s="93">
        <v>81912364132</v>
      </c>
      <c r="BP857" s="18" t="s">
        <v>10393</v>
      </c>
      <c r="BQ857" s="37">
        <v>45321</v>
      </c>
      <c r="BR857" s="8">
        <f t="shared" si="3"/>
        <v>9</v>
      </c>
    </row>
    <row r="858" spans="1:70" ht="14">
      <c r="A858" s="4" t="str">
        <v>Reguler Periode ke-119 VII.B.2</v>
      </c>
      <c r="B858" s="4" t="s">
        <v>9561</v>
      </c>
      <c r="C858" s="4" t="s">
        <v>1903</v>
      </c>
      <c r="D858" s="4" t="s">
        <v>10382</v>
      </c>
      <c r="E858" s="4" t="s">
        <v>10394</v>
      </c>
      <c r="F858" s="4" t="s">
        <v>193</v>
      </c>
      <c r="G858" s="6" t="s">
        <v>10395</v>
      </c>
      <c r="H858" s="92" t="s">
        <v>10396</v>
      </c>
      <c r="I858" s="92" t="s">
        <v>10397</v>
      </c>
      <c r="J858" s="92" t="s">
        <v>10398</v>
      </c>
      <c r="K858" s="92" t="s">
        <v>10399</v>
      </c>
      <c r="L858" s="92" t="s">
        <v>10400</v>
      </c>
      <c r="M858" s="92" t="s">
        <v>10401</v>
      </c>
      <c r="N858" s="92" t="s">
        <v>10402</v>
      </c>
      <c r="O858" s="92" t="s">
        <v>10403</v>
      </c>
      <c r="S858" s="6">
        <v>1900024311</v>
      </c>
      <c r="T858" s="92">
        <v>2000001075</v>
      </c>
      <c r="U858" s="92">
        <v>2000005190</v>
      </c>
      <c r="V858" s="92">
        <v>2000006002</v>
      </c>
      <c r="W858" s="92">
        <v>2000012138</v>
      </c>
      <c r="X858" s="92">
        <v>2000018272</v>
      </c>
      <c r="Y858" s="92">
        <v>2000023265</v>
      </c>
      <c r="Z858" s="92">
        <v>2000029212</v>
      </c>
      <c r="AA858" s="92">
        <v>2000033067</v>
      </c>
      <c r="AE858" s="6" t="s">
        <v>924</v>
      </c>
      <c r="AF858" s="92" t="s">
        <v>180</v>
      </c>
      <c r="AG858" s="92" t="s">
        <v>181</v>
      </c>
      <c r="AH858" s="92" t="s">
        <v>745</v>
      </c>
      <c r="AI858" s="92" t="s">
        <v>885</v>
      </c>
      <c r="AJ858" s="92" t="s">
        <v>179</v>
      </c>
      <c r="AK858" s="92" t="s">
        <v>899</v>
      </c>
      <c r="AL858" s="92" t="s">
        <v>533</v>
      </c>
      <c r="AM858" s="92" t="s">
        <v>1112</v>
      </c>
      <c r="AQ858" s="6" t="s">
        <v>187</v>
      </c>
      <c r="AR858" s="92" t="s">
        <v>186</v>
      </c>
      <c r="AS858" s="92" t="s">
        <v>186</v>
      </c>
      <c r="AT858" s="92" t="s">
        <v>187</v>
      </c>
      <c r="AU858" s="92" t="s">
        <v>186</v>
      </c>
      <c r="AV858" s="92" t="s">
        <v>187</v>
      </c>
      <c r="AW858" s="92" t="s">
        <v>186</v>
      </c>
      <c r="AX858" s="92" t="s">
        <v>186</v>
      </c>
      <c r="AY858" s="92" t="s">
        <v>186</v>
      </c>
      <c r="BC858" s="60">
        <v>89649299795</v>
      </c>
      <c r="BD858" s="93">
        <v>85783942435</v>
      </c>
      <c r="BE858" s="93">
        <v>85269913943</v>
      </c>
      <c r="BF858" s="93">
        <v>895366980547</v>
      </c>
      <c r="BG858" s="93">
        <v>895397427020</v>
      </c>
      <c r="BH858" s="93">
        <v>85740542397</v>
      </c>
      <c r="BI858" s="93">
        <v>82112724172</v>
      </c>
      <c r="BJ858" s="93">
        <v>81906918226</v>
      </c>
      <c r="BK858" s="93">
        <v>82281864436</v>
      </c>
      <c r="BP858" s="18" t="s">
        <v>10404</v>
      </c>
      <c r="BQ858" s="37">
        <v>45321</v>
      </c>
      <c r="BR858" s="8">
        <f t="shared" si="3"/>
        <v>9</v>
      </c>
    </row>
    <row r="859" spans="1:70" ht="14">
      <c r="A859" s="4" t="str">
        <v>Reguler Periode ke-119 VII.C.1</v>
      </c>
      <c r="B859" s="4" t="s">
        <v>9561</v>
      </c>
      <c r="C859" s="4" t="s">
        <v>1945</v>
      </c>
      <c r="D859" s="4" t="s">
        <v>10405</v>
      </c>
      <c r="E859" s="4" t="s">
        <v>10406</v>
      </c>
      <c r="F859" s="4" t="s">
        <v>193</v>
      </c>
      <c r="G859" s="6" t="s">
        <v>10407</v>
      </c>
      <c r="H859" s="92" t="s">
        <v>10408</v>
      </c>
      <c r="I859" s="92" t="s">
        <v>10409</v>
      </c>
      <c r="J859" s="92" t="s">
        <v>10410</v>
      </c>
      <c r="K859" s="92" t="s">
        <v>10411</v>
      </c>
      <c r="L859" s="92" t="s">
        <v>10412</v>
      </c>
      <c r="M859" s="92" t="s">
        <v>10413</v>
      </c>
      <c r="N859" s="92" t="s">
        <v>10414</v>
      </c>
      <c r="O859" s="92" t="s">
        <v>10415</v>
      </c>
      <c r="S859" s="6">
        <v>1900007011</v>
      </c>
      <c r="T859" s="92">
        <v>2000001161</v>
      </c>
      <c r="U859" s="92">
        <v>2000005093</v>
      </c>
      <c r="V859" s="92">
        <v>2000012013</v>
      </c>
      <c r="W859" s="92">
        <v>2000018043</v>
      </c>
      <c r="X859" s="92">
        <v>2000023133</v>
      </c>
      <c r="Y859" s="92">
        <v>2000024338</v>
      </c>
      <c r="Z859" s="92">
        <v>2000029225</v>
      </c>
      <c r="AA859" s="92">
        <v>2000033068</v>
      </c>
      <c r="AE859" s="6" t="s">
        <v>1021</v>
      </c>
      <c r="AF859" s="92" t="s">
        <v>180</v>
      </c>
      <c r="AG859" s="92" t="s">
        <v>181</v>
      </c>
      <c r="AH859" s="92" t="s">
        <v>885</v>
      </c>
      <c r="AI859" s="92" t="s">
        <v>179</v>
      </c>
      <c r="AJ859" s="92" t="s">
        <v>899</v>
      </c>
      <c r="AK859" s="92" t="s">
        <v>924</v>
      </c>
      <c r="AL859" s="92" t="s">
        <v>533</v>
      </c>
      <c r="AM859" s="92" t="s">
        <v>1112</v>
      </c>
      <c r="AQ859" s="6" t="s">
        <v>187</v>
      </c>
      <c r="AR859" s="92" t="s">
        <v>186</v>
      </c>
      <c r="AS859" s="92" t="s">
        <v>186</v>
      </c>
      <c r="AT859" s="92" t="s">
        <v>186</v>
      </c>
      <c r="AU859" s="92" t="s">
        <v>187</v>
      </c>
      <c r="AV859" s="92" t="s">
        <v>186</v>
      </c>
      <c r="AW859" s="92" t="s">
        <v>187</v>
      </c>
      <c r="AX859" s="92" t="s">
        <v>186</v>
      </c>
      <c r="AY859" s="92" t="s">
        <v>186</v>
      </c>
      <c r="BC859" s="60">
        <v>89694035952</v>
      </c>
      <c r="BD859" s="93" t="s">
        <v>10416</v>
      </c>
      <c r="BE859" s="93">
        <v>85727606513</v>
      </c>
      <c r="BF859" s="93">
        <v>87728090953</v>
      </c>
      <c r="BG859" s="93">
        <v>85267718903</v>
      </c>
      <c r="BH859" s="93">
        <v>82286123923</v>
      </c>
      <c r="BI859" s="93">
        <v>85156513640</v>
      </c>
      <c r="BJ859" s="93">
        <v>82158332013</v>
      </c>
      <c r="BK859" s="93">
        <v>85771779515</v>
      </c>
      <c r="BP859" s="18" t="s">
        <v>10417</v>
      </c>
      <c r="BQ859" s="37">
        <v>45321</v>
      </c>
      <c r="BR859" s="8">
        <f t="shared" si="3"/>
        <v>9</v>
      </c>
    </row>
    <row r="860" spans="1:70" ht="14">
      <c r="A860" s="4" t="str">
        <v>Reguler Periode ke-119 VII.C.2</v>
      </c>
      <c r="B860" s="4" t="s">
        <v>9561</v>
      </c>
      <c r="C860" s="4" t="s">
        <v>1967</v>
      </c>
      <c r="D860" s="4" t="s">
        <v>10405</v>
      </c>
      <c r="E860" s="4" t="s">
        <v>10418</v>
      </c>
      <c r="F860" s="4" t="s">
        <v>193</v>
      </c>
      <c r="G860" s="6" t="s">
        <v>10419</v>
      </c>
      <c r="H860" s="92" t="s">
        <v>10420</v>
      </c>
      <c r="I860" s="92" t="s">
        <v>10421</v>
      </c>
      <c r="J860" s="92" t="s">
        <v>10422</v>
      </c>
      <c r="K860" s="92" t="s">
        <v>10423</v>
      </c>
      <c r="L860" s="92" t="s">
        <v>10424</v>
      </c>
      <c r="M860" s="92" t="s">
        <v>10425</v>
      </c>
      <c r="N860" s="92" t="s">
        <v>10426</v>
      </c>
      <c r="O860" s="92" t="s">
        <v>10427</v>
      </c>
      <c r="S860" s="6">
        <v>2000001054</v>
      </c>
      <c r="T860" s="92">
        <v>2000005203</v>
      </c>
      <c r="U860" s="92">
        <v>2000007008</v>
      </c>
      <c r="V860" s="92">
        <v>2000013219</v>
      </c>
      <c r="W860" s="92">
        <v>2000018137</v>
      </c>
      <c r="X860" s="92">
        <v>2000023105</v>
      </c>
      <c r="Y860" s="92">
        <v>2000024291</v>
      </c>
      <c r="Z860" s="92">
        <v>2000029220</v>
      </c>
      <c r="AA860" s="92">
        <v>2000033049</v>
      </c>
      <c r="AE860" s="6" t="s">
        <v>180</v>
      </c>
      <c r="AF860" s="92" t="s">
        <v>181</v>
      </c>
      <c r="AG860" s="92" t="s">
        <v>1021</v>
      </c>
      <c r="AH860" s="92" t="s">
        <v>677</v>
      </c>
      <c r="AI860" s="92" t="s">
        <v>179</v>
      </c>
      <c r="AJ860" s="92" t="s">
        <v>899</v>
      </c>
      <c r="AK860" s="92" t="s">
        <v>924</v>
      </c>
      <c r="AL860" s="92" t="s">
        <v>533</v>
      </c>
      <c r="AM860" s="92" t="s">
        <v>1112</v>
      </c>
      <c r="AQ860" s="6" t="s">
        <v>186</v>
      </c>
      <c r="AR860" s="92" t="s">
        <v>186</v>
      </c>
      <c r="AS860" s="92" t="s">
        <v>187</v>
      </c>
      <c r="AT860" s="92" t="s">
        <v>186</v>
      </c>
      <c r="AU860" s="92" t="s">
        <v>187</v>
      </c>
      <c r="AV860" s="92" t="s">
        <v>186</v>
      </c>
      <c r="AW860" s="92" t="s">
        <v>187</v>
      </c>
      <c r="AX860" s="92" t="s">
        <v>186</v>
      </c>
      <c r="AY860" s="92" t="s">
        <v>186</v>
      </c>
      <c r="BC860" s="60">
        <v>89666618472</v>
      </c>
      <c r="BD860" s="93">
        <v>85291500325</v>
      </c>
      <c r="BE860" s="93">
        <v>82311553107</v>
      </c>
      <c r="BF860" s="93">
        <v>81273700516</v>
      </c>
      <c r="BG860" s="93">
        <v>85379661729</v>
      </c>
      <c r="BH860" s="93">
        <v>81222212574</v>
      </c>
      <c r="BI860" s="93">
        <v>82142637499</v>
      </c>
      <c r="BJ860" s="93">
        <v>85655721918</v>
      </c>
      <c r="BK860" s="93">
        <v>81378070884</v>
      </c>
      <c r="BP860" s="18" t="s">
        <v>10428</v>
      </c>
      <c r="BQ860" s="37">
        <v>45321</v>
      </c>
      <c r="BR860" s="8">
        <f t="shared" si="3"/>
        <v>9</v>
      </c>
    </row>
    <row r="861" spans="1:70" ht="14">
      <c r="A861" s="4" t="str">
        <v>Reguler Periode ke-119 VII.D.1</v>
      </c>
      <c r="B861" s="4" t="s">
        <v>9561</v>
      </c>
      <c r="C861" s="4" t="s">
        <v>2009</v>
      </c>
      <c r="D861" s="4" t="s">
        <v>3519</v>
      </c>
      <c r="E861" s="4" t="s">
        <v>7617</v>
      </c>
      <c r="F861" s="4" t="s">
        <v>193</v>
      </c>
      <c r="G861" s="6" t="s">
        <v>10429</v>
      </c>
      <c r="H861" s="92" t="s">
        <v>10430</v>
      </c>
      <c r="I861" s="92" t="s">
        <v>10431</v>
      </c>
      <c r="J861" s="92" t="s">
        <v>10432</v>
      </c>
      <c r="K861" s="92" t="s">
        <v>10433</v>
      </c>
      <c r="L861" s="92" t="s">
        <v>6692</v>
      </c>
      <c r="M861" s="92" t="s">
        <v>10434</v>
      </c>
      <c r="N861" s="92" t="s">
        <v>10435</v>
      </c>
      <c r="O861" s="92" t="s">
        <v>10436</v>
      </c>
      <c r="S861" s="6">
        <v>2000001070</v>
      </c>
      <c r="T861" s="92">
        <v>2000005369</v>
      </c>
      <c r="U861" s="92">
        <v>2000008001</v>
      </c>
      <c r="V861" s="92">
        <v>2000013296</v>
      </c>
      <c r="W861" s="92">
        <v>2000018313</v>
      </c>
      <c r="X861" s="92">
        <v>2000023052</v>
      </c>
      <c r="Y861" s="92">
        <v>2000024334</v>
      </c>
      <c r="Z861" s="92">
        <v>2000029156</v>
      </c>
      <c r="AA861" s="92">
        <v>2000033017</v>
      </c>
      <c r="AE861" s="6" t="s">
        <v>180</v>
      </c>
      <c r="AF861" s="92" t="s">
        <v>181</v>
      </c>
      <c r="AG861" s="92" t="s">
        <v>1111</v>
      </c>
      <c r="AH861" s="92" t="s">
        <v>677</v>
      </c>
      <c r="AI861" s="92" t="s">
        <v>179</v>
      </c>
      <c r="AJ861" s="92" t="s">
        <v>899</v>
      </c>
      <c r="AK861" s="92" t="s">
        <v>924</v>
      </c>
      <c r="AL861" s="92" t="s">
        <v>533</v>
      </c>
      <c r="AM861" s="92" t="s">
        <v>1112</v>
      </c>
      <c r="AQ861" s="6" t="s">
        <v>186</v>
      </c>
      <c r="AR861" s="92" t="s">
        <v>186</v>
      </c>
      <c r="AS861" s="92" t="s">
        <v>187</v>
      </c>
      <c r="AT861" s="92" t="s">
        <v>186</v>
      </c>
      <c r="AU861" s="92" t="s">
        <v>187</v>
      </c>
      <c r="AV861" s="92" t="s">
        <v>186</v>
      </c>
      <c r="AW861" s="92" t="s">
        <v>187</v>
      </c>
      <c r="AX861" s="92" t="s">
        <v>186</v>
      </c>
      <c r="AY861" s="92" t="s">
        <v>186</v>
      </c>
      <c r="BC861" s="60">
        <v>82134786034</v>
      </c>
      <c r="BD861" s="93">
        <v>85642950518</v>
      </c>
      <c r="BE861" s="93">
        <v>81271568679</v>
      </c>
      <c r="BF861" s="93">
        <v>81392089419</v>
      </c>
      <c r="BG861" s="93">
        <v>82397287915</v>
      </c>
      <c r="BH861" s="93">
        <v>83153878865</v>
      </c>
      <c r="BI861" s="93">
        <v>81221479038</v>
      </c>
      <c r="BJ861" s="93">
        <v>82290047660</v>
      </c>
      <c r="BK861" s="93">
        <v>82152018126</v>
      </c>
      <c r="BP861" s="18" t="s">
        <v>10437</v>
      </c>
      <c r="BQ861" s="37">
        <v>45320</v>
      </c>
      <c r="BR861" s="8">
        <f t="shared" si="3"/>
        <v>9</v>
      </c>
    </row>
    <row r="862" spans="1:70" ht="14">
      <c r="A862" s="4" t="str">
        <v>Reguler Periode ke-119 VII.D.2</v>
      </c>
      <c r="B862" s="4" t="s">
        <v>9561</v>
      </c>
      <c r="C862" s="4" t="s">
        <v>2031</v>
      </c>
      <c r="D862" s="4" t="s">
        <v>3519</v>
      </c>
      <c r="E862" s="4" t="s">
        <v>3779</v>
      </c>
      <c r="F862" s="4" t="s">
        <v>193</v>
      </c>
      <c r="G862" s="6" t="s">
        <v>10438</v>
      </c>
      <c r="H862" s="92" t="s">
        <v>10439</v>
      </c>
      <c r="I862" s="92" t="s">
        <v>10440</v>
      </c>
      <c r="J862" s="92" t="s">
        <v>10441</v>
      </c>
      <c r="K862" s="92" t="s">
        <v>10442</v>
      </c>
      <c r="L862" s="92" t="s">
        <v>10443</v>
      </c>
      <c r="M862" s="92" t="s">
        <v>10444</v>
      </c>
      <c r="N862" s="92" t="s">
        <v>10445</v>
      </c>
      <c r="S862" s="6">
        <v>2000001097</v>
      </c>
      <c r="T862" s="92">
        <v>2000008055</v>
      </c>
      <c r="U862" s="92">
        <v>2000013188</v>
      </c>
      <c r="V862" s="92">
        <v>2000018451</v>
      </c>
      <c r="W862" s="92">
        <v>2000023102</v>
      </c>
      <c r="X862" s="92">
        <v>2000024241</v>
      </c>
      <c r="Y862" s="92">
        <v>2000029143</v>
      </c>
      <c r="Z862" s="92">
        <v>2000033083</v>
      </c>
      <c r="AE862" s="6" t="s">
        <v>180</v>
      </c>
      <c r="AF862" s="92" t="s">
        <v>1111</v>
      </c>
      <c r="AG862" s="92" t="s">
        <v>677</v>
      </c>
      <c r="AH862" s="92" t="s">
        <v>179</v>
      </c>
      <c r="AI862" s="92" t="s">
        <v>899</v>
      </c>
      <c r="AJ862" s="92" t="s">
        <v>924</v>
      </c>
      <c r="AK862" s="92" t="s">
        <v>533</v>
      </c>
      <c r="AL862" s="92" t="s">
        <v>1112</v>
      </c>
      <c r="AQ862" s="6" t="s">
        <v>186</v>
      </c>
      <c r="AR862" s="92" t="s">
        <v>187</v>
      </c>
      <c r="AS862" s="92" t="s">
        <v>186</v>
      </c>
      <c r="AT862" s="92" t="s">
        <v>187</v>
      </c>
      <c r="AU862" s="92" t="s">
        <v>186</v>
      </c>
      <c r="AV862" s="92" t="s">
        <v>187</v>
      </c>
      <c r="AW862" s="92" t="s">
        <v>186</v>
      </c>
      <c r="AX862" s="92" t="s">
        <v>186</v>
      </c>
      <c r="BC862" s="60">
        <v>82314727569</v>
      </c>
      <c r="BD862" s="93">
        <v>81353677315</v>
      </c>
      <c r="BE862" s="93">
        <v>85840176224</v>
      </c>
      <c r="BF862" s="93">
        <v>8979837519</v>
      </c>
      <c r="BG862" s="93">
        <v>83164965500</v>
      </c>
      <c r="BH862" s="93">
        <v>87847988420</v>
      </c>
      <c r="BI862" s="93">
        <v>81515187273</v>
      </c>
      <c r="BJ862" s="93">
        <v>82269321371</v>
      </c>
      <c r="BP862" s="18" t="s">
        <v>10446</v>
      </c>
      <c r="BQ862" s="37">
        <v>45320</v>
      </c>
      <c r="BR862" s="8">
        <f t="shared" si="3"/>
        <v>8</v>
      </c>
    </row>
    <row r="863" spans="1:70" ht="14">
      <c r="A863" s="4" t="str">
        <v>Reguler Periode ke-119 VII.D.3</v>
      </c>
      <c r="B863" s="4" t="s">
        <v>9561</v>
      </c>
      <c r="C863" s="4" t="s">
        <v>3022</v>
      </c>
      <c r="D863" s="4" t="s">
        <v>3519</v>
      </c>
      <c r="E863" s="4" t="s">
        <v>3791</v>
      </c>
      <c r="F863" s="4" t="s">
        <v>193</v>
      </c>
      <c r="G863" s="6" t="s">
        <v>10447</v>
      </c>
      <c r="H863" s="92" t="s">
        <v>10448</v>
      </c>
      <c r="I863" s="92" t="s">
        <v>10449</v>
      </c>
      <c r="J863" s="92" t="s">
        <v>10450</v>
      </c>
      <c r="K863" s="92" t="s">
        <v>10451</v>
      </c>
      <c r="L863" s="92" t="s">
        <v>10452</v>
      </c>
      <c r="M863" s="92" t="s">
        <v>10453</v>
      </c>
      <c r="N863" s="92" t="s">
        <v>10454</v>
      </c>
      <c r="O863" s="92" t="s">
        <v>10455</v>
      </c>
      <c r="S863" s="6">
        <v>1900008066</v>
      </c>
      <c r="T863" s="92">
        <v>2000001155</v>
      </c>
      <c r="U863" s="92">
        <v>2000005277</v>
      </c>
      <c r="V863" s="92">
        <v>2000013272</v>
      </c>
      <c r="W863" s="92">
        <v>2000018012</v>
      </c>
      <c r="X863" s="92">
        <v>2000023118</v>
      </c>
      <c r="Y863" s="92">
        <v>2000024110</v>
      </c>
      <c r="Z863" s="92">
        <v>2000029200</v>
      </c>
      <c r="AA863" s="92">
        <v>2000033005</v>
      </c>
      <c r="AE863" s="6" t="s">
        <v>1111</v>
      </c>
      <c r="AF863" s="92" t="s">
        <v>180</v>
      </c>
      <c r="AG863" s="92" t="s">
        <v>181</v>
      </c>
      <c r="AH863" s="92" t="s">
        <v>677</v>
      </c>
      <c r="AI863" s="92" t="s">
        <v>179</v>
      </c>
      <c r="AJ863" s="92" t="s">
        <v>899</v>
      </c>
      <c r="AK863" s="92" t="s">
        <v>924</v>
      </c>
      <c r="AL863" s="92" t="s">
        <v>533</v>
      </c>
      <c r="AM863" s="92" t="s">
        <v>1112</v>
      </c>
      <c r="AQ863" s="6" t="s">
        <v>187</v>
      </c>
      <c r="AR863" s="92" t="s">
        <v>186</v>
      </c>
      <c r="AS863" s="92" t="s">
        <v>186</v>
      </c>
      <c r="AT863" s="92" t="s">
        <v>186</v>
      </c>
      <c r="AU863" s="92" t="s">
        <v>187</v>
      </c>
      <c r="AV863" s="92" t="s">
        <v>186</v>
      </c>
      <c r="AW863" s="92" t="s">
        <v>187</v>
      </c>
      <c r="AX863" s="92" t="s">
        <v>186</v>
      </c>
      <c r="AY863" s="92" t="s">
        <v>186</v>
      </c>
      <c r="BC863" s="60">
        <v>88215364072</v>
      </c>
      <c r="BD863" s="93">
        <v>81476604427</v>
      </c>
      <c r="BE863" s="93">
        <v>82134095301</v>
      </c>
      <c r="BF863" s="93">
        <v>85713424033</v>
      </c>
      <c r="BG863" s="93">
        <v>82377917272</v>
      </c>
      <c r="BH863" s="93">
        <v>87896904905</v>
      </c>
      <c r="BI863" s="93">
        <v>895348497103</v>
      </c>
      <c r="BJ863" s="93">
        <v>88216480561</v>
      </c>
      <c r="BK863" s="93">
        <v>82251920973</v>
      </c>
      <c r="BP863" s="18" t="s">
        <v>10456</v>
      </c>
      <c r="BQ863" s="37">
        <v>45320</v>
      </c>
      <c r="BR863" s="8">
        <f t="shared" si="3"/>
        <v>9</v>
      </c>
    </row>
    <row r="864" spans="1:70" ht="14">
      <c r="A864" s="4" t="str">
        <v>Reguler Periode ke-119 VIII.A.1</v>
      </c>
      <c r="B864" s="4" t="s">
        <v>9561</v>
      </c>
      <c r="C864" s="4" t="s">
        <v>3034</v>
      </c>
      <c r="D864" s="4" t="s">
        <v>10457</v>
      </c>
      <c r="E864" s="4" t="s">
        <v>3754</v>
      </c>
      <c r="F864" s="4" t="s">
        <v>193</v>
      </c>
      <c r="G864" s="6" t="s">
        <v>10458</v>
      </c>
      <c r="H864" s="92" t="s">
        <v>10459</v>
      </c>
      <c r="I864" s="92" t="s">
        <v>10460</v>
      </c>
      <c r="J864" s="92" t="s">
        <v>10461</v>
      </c>
      <c r="K864" s="92" t="s">
        <v>10462</v>
      </c>
      <c r="L864" s="92" t="s">
        <v>10463</v>
      </c>
      <c r="M864" s="92" t="s">
        <v>10464</v>
      </c>
      <c r="N864" s="92" t="s">
        <v>10465</v>
      </c>
      <c r="O864" s="92" t="s">
        <v>10466</v>
      </c>
      <c r="S864" s="6">
        <v>2000001091</v>
      </c>
      <c r="T864" s="92">
        <v>2000005105</v>
      </c>
      <c r="U864" s="92">
        <v>2000008044</v>
      </c>
      <c r="V864" s="92">
        <v>2000013080</v>
      </c>
      <c r="W864" s="92">
        <v>2000018400</v>
      </c>
      <c r="X864" s="92">
        <v>2000023136</v>
      </c>
      <c r="Y864" s="92">
        <v>2000024092</v>
      </c>
      <c r="Z864" s="92">
        <v>2000029250</v>
      </c>
      <c r="AA864" s="92">
        <v>2000033077</v>
      </c>
      <c r="AE864" s="6" t="s">
        <v>180</v>
      </c>
      <c r="AF864" s="92" t="s">
        <v>181</v>
      </c>
      <c r="AG864" s="92" t="s">
        <v>1111</v>
      </c>
      <c r="AH864" s="92" t="s">
        <v>677</v>
      </c>
      <c r="AI864" s="92" t="s">
        <v>179</v>
      </c>
      <c r="AJ864" s="92" t="s">
        <v>899</v>
      </c>
      <c r="AK864" s="92" t="s">
        <v>924</v>
      </c>
      <c r="AL864" s="92" t="s">
        <v>533</v>
      </c>
      <c r="AM864" s="92" t="s">
        <v>1112</v>
      </c>
      <c r="AQ864" s="6" t="s">
        <v>186</v>
      </c>
      <c r="AR864" s="92" t="s">
        <v>186</v>
      </c>
      <c r="AS864" s="92" t="s">
        <v>187</v>
      </c>
      <c r="AT864" s="92" t="s">
        <v>186</v>
      </c>
      <c r="AU864" s="92" t="s">
        <v>187</v>
      </c>
      <c r="AV864" s="92" t="s">
        <v>186</v>
      </c>
      <c r="AW864" s="92" t="s">
        <v>187</v>
      </c>
      <c r="AX864" s="92" t="s">
        <v>186</v>
      </c>
      <c r="AY864" s="92" t="s">
        <v>186</v>
      </c>
      <c r="BC864" s="60">
        <v>82230507545</v>
      </c>
      <c r="BD864" s="93">
        <v>81278043745</v>
      </c>
      <c r="BE864" s="93">
        <v>85724868857</v>
      </c>
      <c r="BF864" s="93">
        <v>85225013113</v>
      </c>
      <c r="BG864" s="93">
        <v>85297902614</v>
      </c>
      <c r="BH864" s="93">
        <v>81268861394</v>
      </c>
      <c r="BI864" s="93">
        <v>85745723244</v>
      </c>
      <c r="BJ864" s="93">
        <v>895326746673</v>
      </c>
      <c r="BK864" s="93">
        <v>85173026607</v>
      </c>
      <c r="BP864" s="18" t="s">
        <v>10467</v>
      </c>
      <c r="BQ864" s="37">
        <v>45320</v>
      </c>
      <c r="BR864" s="8">
        <f t="shared" si="3"/>
        <v>9</v>
      </c>
    </row>
    <row r="865" spans="1:70" ht="14">
      <c r="A865" s="4" t="str">
        <v>Reguler Periode ke-119 VIII.A.2</v>
      </c>
      <c r="B865" s="4" t="s">
        <v>9561</v>
      </c>
      <c r="C865" s="4" t="s">
        <v>3049</v>
      </c>
      <c r="D865" s="4" t="s">
        <v>10457</v>
      </c>
      <c r="E865" s="4" t="s">
        <v>3803</v>
      </c>
      <c r="F865" s="4" t="s">
        <v>193</v>
      </c>
      <c r="G865" s="6" t="s">
        <v>10468</v>
      </c>
      <c r="H865" s="92" t="s">
        <v>10469</v>
      </c>
      <c r="I865" s="92" t="s">
        <v>10470</v>
      </c>
      <c r="J865" s="92" t="s">
        <v>10471</v>
      </c>
      <c r="K865" s="92" t="s">
        <v>10472</v>
      </c>
      <c r="L865" s="92" t="s">
        <v>10473</v>
      </c>
      <c r="M865" s="92" t="s">
        <v>10474</v>
      </c>
      <c r="N865" s="92" t="s">
        <v>10475</v>
      </c>
      <c r="O865" s="92" t="s">
        <v>10476</v>
      </c>
      <c r="S865" s="6">
        <v>2000001187</v>
      </c>
      <c r="T865" s="92">
        <v>2000005226</v>
      </c>
      <c r="U865" s="92">
        <v>2000009036</v>
      </c>
      <c r="V865" s="92">
        <v>2000013243</v>
      </c>
      <c r="W865" s="92">
        <v>2000018024</v>
      </c>
      <c r="X865" s="92">
        <v>2000023247</v>
      </c>
      <c r="Y865" s="92">
        <v>2000024156</v>
      </c>
      <c r="Z865" s="92">
        <v>2000029218</v>
      </c>
      <c r="AA865" s="92">
        <v>2000033059</v>
      </c>
      <c r="AE865" s="6" t="s">
        <v>180</v>
      </c>
      <c r="AF865" s="92" t="s">
        <v>181</v>
      </c>
      <c r="AG865" s="92" t="s">
        <v>952</v>
      </c>
      <c r="AH865" s="92" t="s">
        <v>677</v>
      </c>
      <c r="AI865" s="92" t="s">
        <v>179</v>
      </c>
      <c r="AJ865" s="92" t="s">
        <v>899</v>
      </c>
      <c r="AK865" s="92" t="s">
        <v>924</v>
      </c>
      <c r="AL865" s="92" t="s">
        <v>533</v>
      </c>
      <c r="AM865" s="92" t="s">
        <v>1112</v>
      </c>
      <c r="AQ865" s="6" t="s">
        <v>186</v>
      </c>
      <c r="AR865" s="92" t="s">
        <v>186</v>
      </c>
      <c r="AS865" s="92" t="s">
        <v>187</v>
      </c>
      <c r="AT865" s="92" t="s">
        <v>186</v>
      </c>
      <c r="AU865" s="92" t="s">
        <v>187</v>
      </c>
      <c r="AV865" s="92" t="s">
        <v>186</v>
      </c>
      <c r="AW865" s="92" t="s">
        <v>187</v>
      </c>
      <c r="AX865" s="92" t="s">
        <v>186</v>
      </c>
      <c r="AY865" s="92" t="s">
        <v>186</v>
      </c>
      <c r="BC865" s="60">
        <v>82217253482</v>
      </c>
      <c r="BD865" s="93">
        <v>89653354425</v>
      </c>
      <c r="BE865" s="93">
        <v>85604965521</v>
      </c>
      <c r="BF865" s="93">
        <v>895804810715</v>
      </c>
      <c r="BG865" s="93">
        <v>85222705202</v>
      </c>
      <c r="BH865" s="93">
        <v>89507798935</v>
      </c>
      <c r="BI865" s="93">
        <v>81351500815</v>
      </c>
      <c r="BJ865" s="93">
        <v>85750471578</v>
      </c>
      <c r="BK865" s="93">
        <v>81229028330</v>
      </c>
      <c r="BP865" s="18" t="s">
        <v>10477</v>
      </c>
      <c r="BQ865" s="37">
        <v>45320</v>
      </c>
      <c r="BR865" s="8">
        <f t="shared" si="3"/>
        <v>9</v>
      </c>
    </row>
    <row r="866" spans="1:70" ht="14">
      <c r="A866" s="4" t="str">
        <v>Reguler Periode ke-119 VIII.A.3</v>
      </c>
      <c r="B866" s="4" t="s">
        <v>9561</v>
      </c>
      <c r="C866" s="4" t="s">
        <v>3061</v>
      </c>
      <c r="D866" s="4" t="s">
        <v>10457</v>
      </c>
      <c r="E866" s="4" t="s">
        <v>3766</v>
      </c>
      <c r="F866" s="4" t="s">
        <v>193</v>
      </c>
      <c r="G866" s="6" t="s">
        <v>10478</v>
      </c>
      <c r="H866" s="92" t="s">
        <v>10479</v>
      </c>
      <c r="I866" s="92" t="s">
        <v>10480</v>
      </c>
      <c r="J866" s="92" t="s">
        <v>10481</v>
      </c>
      <c r="K866" s="92" t="s">
        <v>10482</v>
      </c>
      <c r="L866" s="92" t="s">
        <v>10483</v>
      </c>
      <c r="M866" s="92" t="s">
        <v>10484</v>
      </c>
      <c r="N866" s="92" t="s">
        <v>10485</v>
      </c>
      <c r="O866" s="92" t="s">
        <v>10486</v>
      </c>
      <c r="S866" s="6">
        <v>2000001104</v>
      </c>
      <c r="T866" s="92">
        <v>2000005306</v>
      </c>
      <c r="U866" s="92">
        <v>2000009013</v>
      </c>
      <c r="V866" s="92">
        <v>2000013321</v>
      </c>
      <c r="W866" s="92">
        <v>2000018423</v>
      </c>
      <c r="X866" s="92">
        <v>2000023166</v>
      </c>
      <c r="Y866" s="92">
        <v>2000024332</v>
      </c>
      <c r="Z866" s="92">
        <v>2000029214</v>
      </c>
      <c r="AA866" s="92">
        <v>2000033023</v>
      </c>
      <c r="AE866" s="6" t="s">
        <v>180</v>
      </c>
      <c r="AF866" s="92" t="s">
        <v>181</v>
      </c>
      <c r="AG866" s="92" t="s">
        <v>952</v>
      </c>
      <c r="AH866" s="92" t="s">
        <v>677</v>
      </c>
      <c r="AI866" s="92" t="s">
        <v>179</v>
      </c>
      <c r="AJ866" s="92" t="s">
        <v>899</v>
      </c>
      <c r="AK866" s="92" t="s">
        <v>924</v>
      </c>
      <c r="AL866" s="92" t="s">
        <v>533</v>
      </c>
      <c r="AM866" s="92" t="s">
        <v>1112</v>
      </c>
      <c r="AQ866" s="6" t="s">
        <v>186</v>
      </c>
      <c r="AR866" s="92" t="s">
        <v>186</v>
      </c>
      <c r="AS866" s="92" t="s">
        <v>186</v>
      </c>
      <c r="AT866" s="92" t="s">
        <v>186</v>
      </c>
      <c r="AU866" s="92" t="s">
        <v>187</v>
      </c>
      <c r="AV866" s="92" t="s">
        <v>186</v>
      </c>
      <c r="AW866" s="92" t="s">
        <v>187</v>
      </c>
      <c r="AX866" s="92" t="s">
        <v>186</v>
      </c>
      <c r="AY866" s="92" t="s">
        <v>186</v>
      </c>
      <c r="BC866" s="60">
        <v>83107360442</v>
      </c>
      <c r="BD866" s="93">
        <v>87887980028</v>
      </c>
      <c r="BE866" s="93">
        <v>85233894595</v>
      </c>
      <c r="BF866" s="93">
        <v>85643426579</v>
      </c>
      <c r="BG866" s="93">
        <v>82298341032</v>
      </c>
      <c r="BH866" s="93">
        <v>82284314350</v>
      </c>
      <c r="BI866" s="93">
        <v>89644169753</v>
      </c>
      <c r="BJ866" s="93">
        <v>81252106513</v>
      </c>
      <c r="BK866" s="93">
        <v>85864083367</v>
      </c>
      <c r="BP866" s="18" t="s">
        <v>10487</v>
      </c>
      <c r="BQ866" s="37">
        <v>45320</v>
      </c>
      <c r="BR866" s="8">
        <f t="shared" si="3"/>
        <v>9</v>
      </c>
    </row>
    <row r="867" spans="1:70" ht="14">
      <c r="A867" s="4" t="str">
        <v>Reguler Periode ke-119 VIII.B.1</v>
      </c>
      <c r="B867" s="4" t="s">
        <v>9561</v>
      </c>
      <c r="C867" s="4" t="s">
        <v>3073</v>
      </c>
      <c r="D867" s="4" t="s">
        <v>486</v>
      </c>
      <c r="E867" s="4" t="s">
        <v>7678</v>
      </c>
      <c r="F867" s="4" t="s">
        <v>193</v>
      </c>
      <c r="G867" s="6" t="s">
        <v>10488</v>
      </c>
      <c r="H867" s="92" t="s">
        <v>10489</v>
      </c>
      <c r="I867" s="92" t="s">
        <v>10490</v>
      </c>
      <c r="J867" s="92" t="s">
        <v>10491</v>
      </c>
      <c r="K867" s="92" t="s">
        <v>10492</v>
      </c>
      <c r="L867" s="92" t="s">
        <v>10493</v>
      </c>
      <c r="M867" s="92" t="s">
        <v>10494</v>
      </c>
      <c r="N867" s="92" t="s">
        <v>10495</v>
      </c>
      <c r="O867" s="92" t="s">
        <v>10496</v>
      </c>
      <c r="S867" s="6">
        <v>1900018097</v>
      </c>
      <c r="T867" s="92">
        <v>2000001171</v>
      </c>
      <c r="U867" s="92">
        <v>2000005205</v>
      </c>
      <c r="V867" s="92">
        <v>2000009021</v>
      </c>
      <c r="W867" s="92">
        <v>2000013079</v>
      </c>
      <c r="X867" s="92">
        <v>2000023142</v>
      </c>
      <c r="Y867" s="92">
        <v>2000024119</v>
      </c>
      <c r="Z867" s="92">
        <v>2000029039</v>
      </c>
      <c r="AA867" s="92">
        <v>2000033047</v>
      </c>
      <c r="AE867" s="6" t="s">
        <v>179</v>
      </c>
      <c r="AF867" s="92" t="s">
        <v>180</v>
      </c>
      <c r="AG867" s="92" t="s">
        <v>181</v>
      </c>
      <c r="AH867" s="92" t="s">
        <v>952</v>
      </c>
      <c r="AI867" s="92" t="s">
        <v>677</v>
      </c>
      <c r="AJ867" s="92" t="s">
        <v>899</v>
      </c>
      <c r="AK867" s="92" t="s">
        <v>924</v>
      </c>
      <c r="AL867" s="92" t="s">
        <v>533</v>
      </c>
      <c r="AM867" s="92" t="s">
        <v>1112</v>
      </c>
      <c r="AQ867" s="6" t="s">
        <v>187</v>
      </c>
      <c r="AR867" s="92" t="s">
        <v>186</v>
      </c>
      <c r="AS867" s="92" t="s">
        <v>186</v>
      </c>
      <c r="AT867" s="92" t="s">
        <v>187</v>
      </c>
      <c r="AU867" s="92" t="s">
        <v>186</v>
      </c>
      <c r="AV867" s="92" t="s">
        <v>186</v>
      </c>
      <c r="AW867" s="92" t="s">
        <v>187</v>
      </c>
      <c r="AX867" s="92" t="s">
        <v>186</v>
      </c>
      <c r="AY867" s="92" t="s">
        <v>186</v>
      </c>
      <c r="BC867" s="60">
        <v>85738719845</v>
      </c>
      <c r="BD867" s="93">
        <v>87838852486</v>
      </c>
      <c r="BE867" s="93">
        <v>81346207985</v>
      </c>
      <c r="BF867" s="93">
        <v>81364000536</v>
      </c>
      <c r="BG867" s="93">
        <v>82135360528</v>
      </c>
      <c r="BH867" s="93">
        <v>87801681761</v>
      </c>
      <c r="BI867" s="93">
        <v>81367925409</v>
      </c>
      <c r="BJ867" s="93">
        <v>82372409439</v>
      </c>
      <c r="BK867" s="93">
        <v>83867434316</v>
      </c>
      <c r="BP867" s="18" t="s">
        <v>10497</v>
      </c>
      <c r="BQ867" s="37">
        <v>45320</v>
      </c>
      <c r="BR867" s="8">
        <f t="shared" si="3"/>
        <v>9</v>
      </c>
    </row>
    <row r="868" spans="1:70" ht="14">
      <c r="A868" s="4" t="str">
        <v>Reguler Periode ke-119 VIII.B.2</v>
      </c>
      <c r="B868" s="4" t="s">
        <v>9561</v>
      </c>
      <c r="C868" s="4" t="s">
        <v>3087</v>
      </c>
      <c r="D868" s="4" t="s">
        <v>486</v>
      </c>
      <c r="E868" s="4" t="s">
        <v>3816</v>
      </c>
      <c r="F868" s="4" t="s">
        <v>193</v>
      </c>
      <c r="G868" s="6" t="s">
        <v>10498</v>
      </c>
      <c r="H868" s="92" t="s">
        <v>10499</v>
      </c>
      <c r="I868" s="92" t="s">
        <v>10500</v>
      </c>
      <c r="J868" s="92" t="s">
        <v>10501</v>
      </c>
      <c r="K868" s="92" t="s">
        <v>10502</v>
      </c>
      <c r="L868" s="92" t="s">
        <v>10503</v>
      </c>
      <c r="M868" s="92" t="s">
        <v>10504</v>
      </c>
      <c r="N868" s="92" t="s">
        <v>10505</v>
      </c>
      <c r="S868" s="6">
        <v>2000001180</v>
      </c>
      <c r="T868" s="92">
        <v>2000005251</v>
      </c>
      <c r="U868" s="92">
        <v>2000013253</v>
      </c>
      <c r="V868" s="92">
        <v>2000018175</v>
      </c>
      <c r="W868" s="92">
        <v>2000023258</v>
      </c>
      <c r="X868" s="92">
        <v>2000024216</v>
      </c>
      <c r="Y868" s="92">
        <v>2000029162</v>
      </c>
      <c r="Z868" s="92">
        <v>2000033011</v>
      </c>
      <c r="AE868" s="6" t="s">
        <v>180</v>
      </c>
      <c r="AF868" s="92" t="s">
        <v>181</v>
      </c>
      <c r="AG868" s="92" t="s">
        <v>677</v>
      </c>
      <c r="AH868" s="92" t="s">
        <v>179</v>
      </c>
      <c r="AI868" s="92" t="s">
        <v>899</v>
      </c>
      <c r="AJ868" s="92" t="s">
        <v>924</v>
      </c>
      <c r="AK868" s="92" t="s">
        <v>533</v>
      </c>
      <c r="AL868" s="92" t="s">
        <v>1112</v>
      </c>
      <c r="AQ868" s="6" t="s">
        <v>186</v>
      </c>
      <c r="AR868" s="92" t="s">
        <v>186</v>
      </c>
      <c r="AS868" s="92" t="s">
        <v>186</v>
      </c>
      <c r="AT868" s="92" t="s">
        <v>187</v>
      </c>
      <c r="AU868" s="92" t="s">
        <v>186</v>
      </c>
      <c r="AV868" s="92" t="s">
        <v>187</v>
      </c>
      <c r="AW868" s="92" t="s">
        <v>186</v>
      </c>
      <c r="AX868" s="92" t="s">
        <v>186</v>
      </c>
      <c r="BC868" s="60">
        <v>82139662092</v>
      </c>
      <c r="BD868" s="93">
        <v>82377963791</v>
      </c>
      <c r="BE868" s="93">
        <v>82137165962</v>
      </c>
      <c r="BF868" s="93">
        <v>85333443966</v>
      </c>
      <c r="BG868" s="93">
        <v>8985188042</v>
      </c>
      <c r="BH868" s="93">
        <v>81933382141</v>
      </c>
      <c r="BI868" s="93">
        <v>82376635136</v>
      </c>
      <c r="BJ868" s="93">
        <v>85718227951</v>
      </c>
      <c r="BP868" s="18" t="s">
        <v>10506</v>
      </c>
      <c r="BQ868" s="37">
        <v>45320</v>
      </c>
      <c r="BR868" s="8">
        <f t="shared" si="3"/>
        <v>8</v>
      </c>
    </row>
    <row r="869" spans="1:70" ht="14">
      <c r="A869" s="4" t="str">
        <v>Reguler Periode ke-119 VIII.B.3</v>
      </c>
      <c r="B869" s="4" t="s">
        <v>9561</v>
      </c>
      <c r="C869" s="4" t="s">
        <v>3097</v>
      </c>
      <c r="D869" s="4" t="s">
        <v>486</v>
      </c>
      <c r="E869" s="4" t="s">
        <v>3828</v>
      </c>
      <c r="F869" s="4" t="s">
        <v>193</v>
      </c>
      <c r="G869" s="6" t="s">
        <v>10507</v>
      </c>
      <c r="H869" s="92" t="s">
        <v>10508</v>
      </c>
      <c r="I869" s="92" t="s">
        <v>10509</v>
      </c>
      <c r="J869" s="92" t="s">
        <v>10510</v>
      </c>
      <c r="K869" s="92" t="s">
        <v>10511</v>
      </c>
      <c r="L869" s="92" t="s">
        <v>10512</v>
      </c>
      <c r="M869" s="92" t="s">
        <v>10513</v>
      </c>
      <c r="N869" s="92" t="s">
        <v>10514</v>
      </c>
      <c r="O869" s="92" t="s">
        <v>10515</v>
      </c>
      <c r="S869" s="6">
        <v>2000001065</v>
      </c>
      <c r="T869" s="92">
        <v>2000005184</v>
      </c>
      <c r="U869" s="92">
        <v>2000009014</v>
      </c>
      <c r="V869" s="92">
        <v>2000013359</v>
      </c>
      <c r="W869" s="92">
        <v>2000018371</v>
      </c>
      <c r="X869" s="92">
        <v>2000023239</v>
      </c>
      <c r="Y869" s="92">
        <v>2000024145</v>
      </c>
      <c r="Z869" s="92">
        <v>2000029138</v>
      </c>
      <c r="AA869" s="92">
        <v>2000033111</v>
      </c>
      <c r="AE869" s="6" t="s">
        <v>180</v>
      </c>
      <c r="AF869" s="92" t="s">
        <v>181</v>
      </c>
      <c r="AG869" s="92" t="s">
        <v>952</v>
      </c>
      <c r="AH869" s="92" t="s">
        <v>677</v>
      </c>
      <c r="AI869" s="92" t="s">
        <v>179</v>
      </c>
      <c r="AJ869" s="92" t="s">
        <v>899</v>
      </c>
      <c r="AK869" s="92" t="s">
        <v>924</v>
      </c>
      <c r="AL869" s="92" t="s">
        <v>533</v>
      </c>
      <c r="AM869" s="92" t="s">
        <v>1112</v>
      </c>
      <c r="AQ869" s="6" t="s">
        <v>186</v>
      </c>
      <c r="AR869" s="92" t="s">
        <v>186</v>
      </c>
      <c r="AS869" s="92" t="s">
        <v>187</v>
      </c>
      <c r="AT869" s="92" t="s">
        <v>186</v>
      </c>
      <c r="AU869" s="92" t="s">
        <v>187</v>
      </c>
      <c r="AV869" s="92" t="s">
        <v>186</v>
      </c>
      <c r="AW869" s="92" t="s">
        <v>187</v>
      </c>
      <c r="AX869" s="92" t="s">
        <v>186</v>
      </c>
      <c r="AY869" s="92" t="s">
        <v>186</v>
      </c>
      <c r="BC869" s="60">
        <v>82245676755</v>
      </c>
      <c r="BD869" s="93">
        <v>82359343905</v>
      </c>
      <c r="BE869" s="93">
        <v>83801314352</v>
      </c>
      <c r="BF869" s="93">
        <v>83175242100</v>
      </c>
      <c r="BG869" s="93">
        <v>87784021035</v>
      </c>
      <c r="BH869" s="93">
        <v>85855345837</v>
      </c>
      <c r="BI869" s="93">
        <v>89608662626</v>
      </c>
      <c r="BJ869" s="93">
        <v>82271387132</v>
      </c>
      <c r="BK869" s="93">
        <v>89631757522</v>
      </c>
      <c r="BP869" s="18" t="s">
        <v>10516</v>
      </c>
      <c r="BQ869" s="37">
        <v>45320</v>
      </c>
      <c r="BR869" s="8">
        <f t="shared" si="3"/>
        <v>9</v>
      </c>
    </row>
    <row r="870" spans="1:70" ht="14">
      <c r="A870" s="4" t="str">
        <v>Reguler Periode ke-119 VIII.C.1</v>
      </c>
      <c r="B870" s="4" t="s">
        <v>9561</v>
      </c>
      <c r="C870" s="4" t="s">
        <v>3109</v>
      </c>
      <c r="D870" s="4" t="s">
        <v>10517</v>
      </c>
      <c r="E870" s="4" t="s">
        <v>7709</v>
      </c>
      <c r="F870" s="4" t="s">
        <v>193</v>
      </c>
      <c r="G870" s="6" t="s">
        <v>10518</v>
      </c>
      <c r="H870" s="92" t="s">
        <v>10519</v>
      </c>
      <c r="I870" s="92" t="s">
        <v>10520</v>
      </c>
      <c r="J870" s="92" t="s">
        <v>10521</v>
      </c>
      <c r="K870" s="92" t="s">
        <v>10522</v>
      </c>
      <c r="L870" s="92" t="s">
        <v>10523</v>
      </c>
      <c r="M870" s="92" t="s">
        <v>10524</v>
      </c>
      <c r="N870" s="92" t="s">
        <v>10525</v>
      </c>
      <c r="O870" s="92" t="s">
        <v>10526</v>
      </c>
      <c r="S870" s="6">
        <v>1900009035</v>
      </c>
      <c r="T870" s="92">
        <v>2000001152</v>
      </c>
      <c r="U870" s="92">
        <v>2000005239</v>
      </c>
      <c r="V870" s="92">
        <v>2000013162</v>
      </c>
      <c r="W870" s="92">
        <v>2000018131</v>
      </c>
      <c r="X870" s="92">
        <v>2000023171</v>
      </c>
      <c r="Y870" s="92">
        <v>2000024146</v>
      </c>
      <c r="Z870" s="92">
        <v>2000029108</v>
      </c>
      <c r="AA870" s="92">
        <v>2000033112</v>
      </c>
      <c r="AE870" s="6" t="s">
        <v>952</v>
      </c>
      <c r="AF870" s="92" t="s">
        <v>180</v>
      </c>
      <c r="AG870" s="92" t="s">
        <v>181</v>
      </c>
      <c r="AH870" s="92" t="s">
        <v>677</v>
      </c>
      <c r="AI870" s="92" t="s">
        <v>179</v>
      </c>
      <c r="AJ870" s="92" t="s">
        <v>899</v>
      </c>
      <c r="AK870" s="92" t="s">
        <v>924</v>
      </c>
      <c r="AL870" s="92" t="s">
        <v>533</v>
      </c>
      <c r="AM870" s="92" t="s">
        <v>1112</v>
      </c>
      <c r="AQ870" s="6" t="s">
        <v>187</v>
      </c>
      <c r="AR870" s="92" t="s">
        <v>186</v>
      </c>
      <c r="AS870" s="92" t="s">
        <v>186</v>
      </c>
      <c r="AT870" s="92" t="s">
        <v>186</v>
      </c>
      <c r="AU870" s="92" t="s">
        <v>187</v>
      </c>
      <c r="AV870" s="92" t="s">
        <v>186</v>
      </c>
      <c r="AW870" s="92" t="s">
        <v>187</v>
      </c>
      <c r="AX870" s="92" t="s">
        <v>186</v>
      </c>
      <c r="AY870" s="92" t="s">
        <v>186</v>
      </c>
      <c r="BC870" s="60">
        <v>8812887286</v>
      </c>
      <c r="BD870" s="93">
        <v>83820496667</v>
      </c>
      <c r="BE870" s="93">
        <v>82136115408</v>
      </c>
      <c r="BF870" s="93">
        <v>82141789595</v>
      </c>
      <c r="BG870" s="93">
        <v>82235722026</v>
      </c>
      <c r="BH870" s="93">
        <v>82283060299</v>
      </c>
      <c r="BI870" s="93">
        <v>85867515204</v>
      </c>
      <c r="BJ870" s="93">
        <v>82198950256</v>
      </c>
      <c r="BK870" s="93">
        <v>82281026684</v>
      </c>
      <c r="BP870" s="18" t="s">
        <v>10527</v>
      </c>
      <c r="BQ870" s="37">
        <v>45320</v>
      </c>
      <c r="BR870" s="8">
        <f t="shared" si="3"/>
        <v>9</v>
      </c>
    </row>
    <row r="871" spans="1:70" ht="14">
      <c r="A871" s="4" t="str">
        <v>Reguler Periode ke-119 VIII.C.2</v>
      </c>
      <c r="B871" s="4" t="s">
        <v>9561</v>
      </c>
      <c r="C871" s="4" t="s">
        <v>3123</v>
      </c>
      <c r="D871" s="4" t="s">
        <v>10517</v>
      </c>
      <c r="E871" s="4" t="s">
        <v>3840</v>
      </c>
      <c r="F871" s="4" t="s">
        <v>193</v>
      </c>
      <c r="G871" s="6" t="s">
        <v>10528</v>
      </c>
      <c r="H871" s="92" t="s">
        <v>10529</v>
      </c>
      <c r="I871" s="92" t="s">
        <v>10530</v>
      </c>
      <c r="J871" s="92" t="s">
        <v>10531</v>
      </c>
      <c r="K871" s="92" t="s">
        <v>10532</v>
      </c>
      <c r="L871" s="92" t="s">
        <v>10533</v>
      </c>
      <c r="M871" s="92" t="s">
        <v>10534</v>
      </c>
      <c r="N871" s="92" t="s">
        <v>10535</v>
      </c>
      <c r="S871" s="6">
        <v>2000001085</v>
      </c>
      <c r="T871" s="92">
        <v>2000005359</v>
      </c>
      <c r="U871" s="92">
        <v>2000009033</v>
      </c>
      <c r="V871" s="92">
        <v>2000013191</v>
      </c>
      <c r="W871" s="92">
        <v>2000023159</v>
      </c>
      <c r="X871" s="92">
        <v>2000024106</v>
      </c>
      <c r="Y871" s="92">
        <v>2000029002</v>
      </c>
      <c r="Z871" s="92">
        <v>2000033088</v>
      </c>
      <c r="AE871" s="6" t="s">
        <v>180</v>
      </c>
      <c r="AF871" s="92" t="s">
        <v>181</v>
      </c>
      <c r="AG871" s="92" t="s">
        <v>952</v>
      </c>
      <c r="AH871" s="92" t="s">
        <v>677</v>
      </c>
      <c r="AI871" s="92" t="s">
        <v>899</v>
      </c>
      <c r="AJ871" s="92" t="s">
        <v>924</v>
      </c>
      <c r="AK871" s="92" t="s">
        <v>533</v>
      </c>
      <c r="AL871" s="92" t="s">
        <v>1112</v>
      </c>
      <c r="AQ871" s="6" t="s">
        <v>186</v>
      </c>
      <c r="AR871" s="92" t="s">
        <v>186</v>
      </c>
      <c r="AS871" s="92" t="s">
        <v>187</v>
      </c>
      <c r="AT871" s="92" t="s">
        <v>186</v>
      </c>
      <c r="AU871" s="92" t="s">
        <v>186</v>
      </c>
      <c r="AV871" s="92" t="s">
        <v>187</v>
      </c>
      <c r="AW871" s="92" t="s">
        <v>186</v>
      </c>
      <c r="AX871" s="92" t="s">
        <v>186</v>
      </c>
      <c r="BC871" s="60">
        <v>85728479455</v>
      </c>
      <c r="BD871" s="93">
        <v>83183648573</v>
      </c>
      <c r="BE871" s="93">
        <v>85877125216</v>
      </c>
      <c r="BF871" s="93">
        <v>81514828890</v>
      </c>
      <c r="BG871" s="93">
        <v>82198867614</v>
      </c>
      <c r="BH871" s="93">
        <v>81314943331</v>
      </c>
      <c r="BI871" s="93">
        <v>81386633944</v>
      </c>
      <c r="BJ871" s="93">
        <v>82311966293</v>
      </c>
      <c r="BP871" s="18" t="s">
        <v>10536</v>
      </c>
      <c r="BQ871" s="37">
        <v>45320</v>
      </c>
      <c r="BR871" s="8">
        <f t="shared" si="3"/>
        <v>8</v>
      </c>
    </row>
    <row r="872" spans="1:70" ht="14">
      <c r="A872" s="4" t="str">
        <v>Reguler Periode ke-119 VIII.C.3</v>
      </c>
      <c r="B872" s="4" t="s">
        <v>9561</v>
      </c>
      <c r="C872" s="4" t="s">
        <v>3135</v>
      </c>
      <c r="D872" s="4" t="s">
        <v>10517</v>
      </c>
      <c r="E872" s="4" t="s">
        <v>3854</v>
      </c>
      <c r="F872" s="4" t="s">
        <v>193</v>
      </c>
      <c r="G872" s="6" t="s">
        <v>10537</v>
      </c>
      <c r="H872" s="92" t="s">
        <v>10538</v>
      </c>
      <c r="I872" s="92" t="s">
        <v>10539</v>
      </c>
      <c r="J872" s="92" t="s">
        <v>10540</v>
      </c>
      <c r="K872" s="92" t="s">
        <v>10541</v>
      </c>
      <c r="L872" s="92" t="s">
        <v>10542</v>
      </c>
      <c r="M872" s="92" t="s">
        <v>10543</v>
      </c>
      <c r="N872" s="92" t="s">
        <v>10544</v>
      </c>
      <c r="O872" s="92" t="s">
        <v>10545</v>
      </c>
      <c r="S872" s="6">
        <v>1900009063</v>
      </c>
      <c r="T872" s="92">
        <v>2000001189</v>
      </c>
      <c r="U872" s="92">
        <v>2000005048</v>
      </c>
      <c r="V872" s="92">
        <v>2000013259</v>
      </c>
      <c r="W872" s="92">
        <v>2000018065</v>
      </c>
      <c r="X872" s="92">
        <v>2000023197</v>
      </c>
      <c r="Y872" s="92">
        <v>2000025077</v>
      </c>
      <c r="Z872" s="92">
        <v>2000029229</v>
      </c>
      <c r="AA872" s="92">
        <v>2000033045</v>
      </c>
      <c r="AE872" s="6" t="s">
        <v>952</v>
      </c>
      <c r="AF872" s="92" t="s">
        <v>180</v>
      </c>
      <c r="AG872" s="92" t="s">
        <v>181</v>
      </c>
      <c r="AH872" s="92" t="s">
        <v>677</v>
      </c>
      <c r="AI872" s="92" t="s">
        <v>179</v>
      </c>
      <c r="AJ872" s="92" t="s">
        <v>899</v>
      </c>
      <c r="AK872" s="92" t="s">
        <v>1168</v>
      </c>
      <c r="AL872" s="92" t="s">
        <v>533</v>
      </c>
      <c r="AM872" s="92" t="s">
        <v>1112</v>
      </c>
      <c r="AQ872" s="6" t="s">
        <v>187</v>
      </c>
      <c r="AR872" s="92" t="s">
        <v>186</v>
      </c>
      <c r="AS872" s="92" t="s">
        <v>186</v>
      </c>
      <c r="AT872" s="92" t="s">
        <v>186</v>
      </c>
      <c r="AU872" s="92" t="s">
        <v>187</v>
      </c>
      <c r="AV872" s="92" t="s">
        <v>186</v>
      </c>
      <c r="AW872" s="92" t="s">
        <v>187</v>
      </c>
      <c r="AX872" s="92" t="s">
        <v>186</v>
      </c>
      <c r="AY872" s="92" t="s">
        <v>186</v>
      </c>
      <c r="BC872" s="60">
        <v>81315875876</v>
      </c>
      <c r="BD872" s="93">
        <v>89648459585</v>
      </c>
      <c r="BE872" s="93">
        <v>87895036920</v>
      </c>
      <c r="BF872" s="93">
        <v>83186399019</v>
      </c>
      <c r="BG872" s="93">
        <v>87879824426</v>
      </c>
      <c r="BH872" s="93">
        <v>82245639465</v>
      </c>
      <c r="BI872" s="93">
        <v>895638714638</v>
      </c>
      <c r="BJ872" s="93">
        <v>81226762038</v>
      </c>
      <c r="BK872" s="93">
        <v>85865394082</v>
      </c>
      <c r="BP872" s="18" t="s">
        <v>10546</v>
      </c>
      <c r="BQ872" s="37">
        <v>45320</v>
      </c>
      <c r="BR872" s="8">
        <f t="shared" si="3"/>
        <v>9</v>
      </c>
    </row>
    <row r="873" spans="1:70" ht="14">
      <c r="A873" s="4" t="str">
        <v>Reguler Periode ke-119 VIII.D.1</v>
      </c>
      <c r="B873" s="4" t="s">
        <v>9561</v>
      </c>
      <c r="C873" s="4" t="s">
        <v>3146</v>
      </c>
      <c r="D873" s="4" t="s">
        <v>10547</v>
      </c>
      <c r="E873" s="4" t="s">
        <v>7741</v>
      </c>
      <c r="F873" s="4" t="s">
        <v>193</v>
      </c>
      <c r="G873" s="6" t="s">
        <v>10548</v>
      </c>
      <c r="H873" s="92" t="s">
        <v>10549</v>
      </c>
      <c r="I873" s="92" t="s">
        <v>10550</v>
      </c>
      <c r="J873" s="92" t="s">
        <v>10551</v>
      </c>
      <c r="K873" s="92" t="s">
        <v>10552</v>
      </c>
      <c r="L873" s="92" t="s">
        <v>10553</v>
      </c>
      <c r="M873" s="92" t="s">
        <v>10554</v>
      </c>
      <c r="N873" s="92" t="s">
        <v>10555</v>
      </c>
      <c r="O873" s="92" t="s">
        <v>10556</v>
      </c>
      <c r="S873" s="6">
        <v>2000001169</v>
      </c>
      <c r="T873" s="92">
        <v>2000005154</v>
      </c>
      <c r="U873" s="92">
        <v>2000010037</v>
      </c>
      <c r="V873" s="92">
        <v>2000013265</v>
      </c>
      <c r="W873" s="92">
        <v>2000018238</v>
      </c>
      <c r="X873" s="92">
        <v>2000023046</v>
      </c>
      <c r="Y873" s="92">
        <v>2000025067</v>
      </c>
      <c r="Z873" s="92">
        <v>2000029149</v>
      </c>
      <c r="AA873" s="92">
        <v>2000033094</v>
      </c>
      <c r="AE873" s="6" t="s">
        <v>180</v>
      </c>
      <c r="AF873" s="92" t="s">
        <v>181</v>
      </c>
      <c r="AG873" s="92" t="s">
        <v>532</v>
      </c>
      <c r="AH873" s="92" t="s">
        <v>677</v>
      </c>
      <c r="AI873" s="92" t="s">
        <v>179</v>
      </c>
      <c r="AJ873" s="92" t="s">
        <v>899</v>
      </c>
      <c r="AK873" s="92" t="s">
        <v>1168</v>
      </c>
      <c r="AL873" s="92" t="s">
        <v>533</v>
      </c>
      <c r="AM873" s="92" t="s">
        <v>1112</v>
      </c>
      <c r="AQ873" s="6" t="s">
        <v>186</v>
      </c>
      <c r="AR873" s="92" t="s">
        <v>186</v>
      </c>
      <c r="AS873" s="92" t="s">
        <v>187</v>
      </c>
      <c r="AT873" s="92" t="s">
        <v>186</v>
      </c>
      <c r="AU873" s="92" t="s">
        <v>187</v>
      </c>
      <c r="AV873" s="92" t="s">
        <v>186</v>
      </c>
      <c r="AW873" s="92" t="s">
        <v>187</v>
      </c>
      <c r="AX873" s="92" t="s">
        <v>186</v>
      </c>
      <c r="AY873" s="92" t="s">
        <v>186</v>
      </c>
      <c r="BC873" s="60">
        <v>89644746736</v>
      </c>
      <c r="BD873" s="93">
        <v>82112703898</v>
      </c>
      <c r="BE873" s="93">
        <v>85280250271</v>
      </c>
      <c r="BF873" s="93">
        <v>895377278648</v>
      </c>
      <c r="BG873" s="93">
        <v>82116902735</v>
      </c>
      <c r="BH873" s="93">
        <v>82279175960</v>
      </c>
      <c r="BI873" s="93">
        <v>85338123736</v>
      </c>
      <c r="BJ873" s="93">
        <v>89637474454</v>
      </c>
      <c r="BK873" s="93">
        <v>85211027557</v>
      </c>
      <c r="BP873" s="18" t="s">
        <v>10557</v>
      </c>
      <c r="BQ873" s="37">
        <v>45320</v>
      </c>
      <c r="BR873" s="8">
        <f t="shared" si="3"/>
        <v>9</v>
      </c>
    </row>
    <row r="874" spans="1:70" ht="14">
      <c r="A874" s="4" t="str">
        <v>Reguler Periode ke-119 VIII.D.2</v>
      </c>
      <c r="B874" s="4" t="s">
        <v>9561</v>
      </c>
      <c r="C874" s="4" t="s">
        <v>3161</v>
      </c>
      <c r="D874" s="4" t="s">
        <v>10547</v>
      </c>
      <c r="E874" s="4" t="s">
        <v>10558</v>
      </c>
      <c r="F874" s="4" t="s">
        <v>193</v>
      </c>
      <c r="G874" s="6" t="s">
        <v>10559</v>
      </c>
      <c r="H874" s="92" t="s">
        <v>10560</v>
      </c>
      <c r="I874" s="92" t="s">
        <v>10561</v>
      </c>
      <c r="J874" s="92" t="s">
        <v>10562</v>
      </c>
      <c r="K874" s="92" t="s">
        <v>10563</v>
      </c>
      <c r="L874" s="92" t="s">
        <v>10564</v>
      </c>
      <c r="M874" s="92" t="s">
        <v>10565</v>
      </c>
      <c r="N874" s="92" t="s">
        <v>10566</v>
      </c>
      <c r="O874" s="92" t="s">
        <v>10567</v>
      </c>
      <c r="S874" s="6">
        <v>2000001147</v>
      </c>
      <c r="T874" s="92">
        <v>2000005135</v>
      </c>
      <c r="U874" s="92">
        <v>2000010010</v>
      </c>
      <c r="V874" s="92">
        <v>2000013213</v>
      </c>
      <c r="W874" s="92">
        <v>2000018317</v>
      </c>
      <c r="X874" s="92">
        <v>2000023151</v>
      </c>
      <c r="Y874" s="92">
        <v>2000029153</v>
      </c>
      <c r="Z874" s="92">
        <v>2000033056</v>
      </c>
      <c r="AA874" s="92">
        <v>2223025079</v>
      </c>
      <c r="AE874" s="6" t="s">
        <v>180</v>
      </c>
      <c r="AF874" s="92" t="s">
        <v>181</v>
      </c>
      <c r="AG874" s="92" t="s">
        <v>532</v>
      </c>
      <c r="AH874" s="92" t="s">
        <v>677</v>
      </c>
      <c r="AI874" s="92" t="s">
        <v>179</v>
      </c>
      <c r="AJ874" s="92" t="s">
        <v>899</v>
      </c>
      <c r="AK874" s="92" t="s">
        <v>533</v>
      </c>
      <c r="AL874" s="92" t="s">
        <v>1112</v>
      </c>
      <c r="AM874" s="92" t="s">
        <v>1168</v>
      </c>
      <c r="AQ874" s="6" t="s">
        <v>186</v>
      </c>
      <c r="AR874" s="92" t="s">
        <v>186</v>
      </c>
      <c r="AS874" s="92" t="s">
        <v>187</v>
      </c>
      <c r="AT874" s="92" t="s">
        <v>186</v>
      </c>
      <c r="AU874" s="92" t="s">
        <v>187</v>
      </c>
      <c r="AV874" s="92" t="s">
        <v>186</v>
      </c>
      <c r="AW874" s="92" t="s">
        <v>186</v>
      </c>
      <c r="AX874" s="92" t="s">
        <v>186</v>
      </c>
      <c r="AY874" s="92" t="s">
        <v>187</v>
      </c>
      <c r="BC874" s="60">
        <v>89635048164</v>
      </c>
      <c r="BD874" s="93">
        <v>82184300293</v>
      </c>
      <c r="BE874" s="93">
        <v>81809118597</v>
      </c>
      <c r="BF874" s="93"/>
      <c r="BG874" s="93">
        <v>81387564998</v>
      </c>
      <c r="BH874" s="93">
        <v>88989176872</v>
      </c>
      <c r="BI874" s="93">
        <v>81214224056</v>
      </c>
      <c r="BJ874" s="93">
        <v>87728488317</v>
      </c>
      <c r="BK874" s="93">
        <v>18313933547</v>
      </c>
      <c r="BP874" s="18" t="s">
        <v>10568</v>
      </c>
      <c r="BQ874" s="37">
        <v>45320</v>
      </c>
      <c r="BR874" s="8">
        <f t="shared" si="3"/>
        <v>9</v>
      </c>
    </row>
    <row r="875" spans="1:70" ht="14">
      <c r="A875" s="4" t="str">
        <v>Reguler Periode ke-119 VIII.D.3</v>
      </c>
      <c r="B875" s="4" t="s">
        <v>9561</v>
      </c>
      <c r="C875" s="4" t="s">
        <v>3172</v>
      </c>
      <c r="D875" s="4" t="s">
        <v>10547</v>
      </c>
      <c r="E875" s="4" t="s">
        <v>10569</v>
      </c>
      <c r="F875" s="4" t="s">
        <v>193</v>
      </c>
      <c r="G875" s="6" t="s">
        <v>10570</v>
      </c>
      <c r="H875" s="92" t="s">
        <v>10571</v>
      </c>
      <c r="I875" s="92" t="s">
        <v>10572</v>
      </c>
      <c r="J875" s="92" t="s">
        <v>10573</v>
      </c>
      <c r="K875" s="92" t="s">
        <v>10574</v>
      </c>
      <c r="L875" s="92" t="s">
        <v>10575</v>
      </c>
      <c r="M875" s="92" t="s">
        <v>4714</v>
      </c>
      <c r="N875" s="92" t="s">
        <v>10576</v>
      </c>
      <c r="O875" s="92" t="s">
        <v>10577</v>
      </c>
      <c r="S875" s="6">
        <v>2000001072</v>
      </c>
      <c r="T875" s="92">
        <v>2000005232</v>
      </c>
      <c r="U875" s="92">
        <v>2000010098</v>
      </c>
      <c r="V875" s="92">
        <v>2000013221</v>
      </c>
      <c r="W875" s="92">
        <v>2000018042</v>
      </c>
      <c r="X875" s="92">
        <v>2000023147</v>
      </c>
      <c r="Y875" s="92">
        <v>2000029242</v>
      </c>
      <c r="Z875" s="92">
        <v>2000033099</v>
      </c>
      <c r="AA875" s="92">
        <v>2223025072</v>
      </c>
      <c r="AE875" s="6" t="s">
        <v>180</v>
      </c>
      <c r="AF875" s="92" t="s">
        <v>181</v>
      </c>
      <c r="AG875" s="92" t="s">
        <v>532</v>
      </c>
      <c r="AH875" s="92" t="s">
        <v>677</v>
      </c>
      <c r="AI875" s="92" t="s">
        <v>179</v>
      </c>
      <c r="AJ875" s="92" t="s">
        <v>899</v>
      </c>
      <c r="AK875" s="92" t="s">
        <v>533</v>
      </c>
      <c r="AL875" s="92" t="s">
        <v>1112</v>
      </c>
      <c r="AM875" s="92" t="s">
        <v>1168</v>
      </c>
      <c r="AQ875" s="6" t="s">
        <v>186</v>
      </c>
      <c r="AR875" s="92" t="s">
        <v>186</v>
      </c>
      <c r="AS875" s="92" t="s">
        <v>187</v>
      </c>
      <c r="AT875" s="92" t="s">
        <v>186</v>
      </c>
      <c r="AU875" s="92" t="s">
        <v>187</v>
      </c>
      <c r="AV875" s="92" t="s">
        <v>186</v>
      </c>
      <c r="AW875" s="92" t="s">
        <v>186</v>
      </c>
      <c r="AX875" s="92" t="s">
        <v>186</v>
      </c>
      <c r="AY875" s="92" t="s">
        <v>187</v>
      </c>
      <c r="BC875" s="60">
        <v>81227995817</v>
      </c>
      <c r="BD875" s="93">
        <v>8985157230</v>
      </c>
      <c r="BE875" s="93">
        <v>82236074122</v>
      </c>
      <c r="BF875" s="93">
        <v>82135742182</v>
      </c>
      <c r="BG875" s="93">
        <v>85293943577</v>
      </c>
      <c r="BH875" s="93">
        <v>85740714648</v>
      </c>
      <c r="BI875" s="93">
        <v>85865425766</v>
      </c>
      <c r="BJ875" s="93">
        <v>82181969979</v>
      </c>
      <c r="BK875" s="93">
        <v>8618078306776</v>
      </c>
      <c r="BP875" s="18" t="s">
        <v>10578</v>
      </c>
      <c r="BQ875" s="37">
        <v>45320</v>
      </c>
      <c r="BR875" s="8">
        <f t="shared" si="3"/>
        <v>9</v>
      </c>
    </row>
    <row r="876" spans="1:70" ht="14">
      <c r="A876" s="4" t="str">
        <v>Reguler Periode ke-119 IX.A.1</v>
      </c>
      <c r="B876" s="4" t="s">
        <v>9561</v>
      </c>
      <c r="C876" s="4" t="s">
        <v>3184</v>
      </c>
      <c r="D876" s="4" t="s">
        <v>8196</v>
      </c>
      <c r="E876" s="4" t="s">
        <v>3866</v>
      </c>
      <c r="F876" s="4" t="s">
        <v>193</v>
      </c>
      <c r="G876" s="6" t="s">
        <v>10579</v>
      </c>
      <c r="H876" s="92" t="s">
        <v>10580</v>
      </c>
      <c r="I876" s="92" t="s">
        <v>10581</v>
      </c>
      <c r="J876" s="92" t="s">
        <v>10582</v>
      </c>
      <c r="K876" s="92" t="s">
        <v>10583</v>
      </c>
      <c r="L876" s="92" t="s">
        <v>10584</v>
      </c>
      <c r="M876" s="92" t="s">
        <v>10585</v>
      </c>
      <c r="N876" s="92" t="s">
        <v>10586</v>
      </c>
      <c r="O876" s="92" t="s">
        <v>10587</v>
      </c>
      <c r="S876" s="6">
        <v>1900025057</v>
      </c>
      <c r="T876" s="92">
        <v>2000001176</v>
      </c>
      <c r="U876" s="92">
        <v>2000005060</v>
      </c>
      <c r="V876" s="92">
        <v>2000010022</v>
      </c>
      <c r="W876" s="92">
        <v>2000013095</v>
      </c>
      <c r="X876" s="92">
        <v>2000018073</v>
      </c>
      <c r="Y876" s="92">
        <v>2000023198</v>
      </c>
      <c r="Z876" s="92">
        <v>2000029144</v>
      </c>
      <c r="AA876" s="92">
        <v>2000033052</v>
      </c>
      <c r="AE876" s="6" t="s">
        <v>1168</v>
      </c>
      <c r="AF876" s="92" t="s">
        <v>180</v>
      </c>
      <c r="AG876" s="92" t="s">
        <v>181</v>
      </c>
      <c r="AH876" s="92" t="s">
        <v>532</v>
      </c>
      <c r="AI876" s="92" t="s">
        <v>677</v>
      </c>
      <c r="AJ876" s="92" t="s">
        <v>179</v>
      </c>
      <c r="AK876" s="92" t="s">
        <v>899</v>
      </c>
      <c r="AL876" s="92" t="s">
        <v>533</v>
      </c>
      <c r="AM876" s="92" t="s">
        <v>1112</v>
      </c>
      <c r="AQ876" s="6" t="s">
        <v>187</v>
      </c>
      <c r="AR876" s="92" t="s">
        <v>186</v>
      </c>
      <c r="AS876" s="92" t="s">
        <v>186</v>
      </c>
      <c r="AT876" s="92" t="s">
        <v>187</v>
      </c>
      <c r="AU876" s="92" t="s">
        <v>186</v>
      </c>
      <c r="AV876" s="92" t="s">
        <v>187</v>
      </c>
      <c r="AW876" s="92" t="s">
        <v>186</v>
      </c>
      <c r="AX876" s="92" t="s">
        <v>186</v>
      </c>
      <c r="AY876" s="92" t="s">
        <v>186</v>
      </c>
      <c r="BC876" s="60">
        <v>81217876853</v>
      </c>
      <c r="BD876" s="93">
        <v>895335026213</v>
      </c>
      <c r="BE876" s="93">
        <v>8996602578</v>
      </c>
      <c r="BF876" s="93">
        <v>8995102066</v>
      </c>
      <c r="BG876" s="93">
        <v>82137911790</v>
      </c>
      <c r="BH876" s="93">
        <v>81369630575</v>
      </c>
      <c r="BI876" s="93">
        <v>87888680014</v>
      </c>
      <c r="BJ876" s="93">
        <v>81356638935</v>
      </c>
      <c r="BK876" s="93"/>
      <c r="BP876" s="18" t="s">
        <v>10588</v>
      </c>
      <c r="BQ876" s="37">
        <v>45320</v>
      </c>
      <c r="BR876" s="8">
        <f t="shared" si="3"/>
        <v>9</v>
      </c>
    </row>
    <row r="877" spans="1:70" ht="14">
      <c r="A877" s="4" t="str">
        <v>Reguler Periode ke-119 IX.A.2</v>
      </c>
      <c r="B877" s="4" t="s">
        <v>9561</v>
      </c>
      <c r="C877" s="4" t="s">
        <v>3196</v>
      </c>
      <c r="D877" s="4" t="s">
        <v>8196</v>
      </c>
      <c r="E877" s="4" t="s">
        <v>7353</v>
      </c>
      <c r="F877" s="4" t="s">
        <v>193</v>
      </c>
      <c r="G877" s="6" t="s">
        <v>10589</v>
      </c>
      <c r="H877" s="92" t="s">
        <v>10590</v>
      </c>
      <c r="I877" s="92" t="s">
        <v>10591</v>
      </c>
      <c r="J877" s="92" t="s">
        <v>10592</v>
      </c>
      <c r="K877" s="92" t="s">
        <v>10593</v>
      </c>
      <c r="L877" s="92" t="s">
        <v>10594</v>
      </c>
      <c r="M877" s="92" t="s">
        <v>10595</v>
      </c>
      <c r="N877" s="92" t="s">
        <v>10596</v>
      </c>
      <c r="O877" s="92" t="s">
        <v>10597</v>
      </c>
      <c r="S877" s="6">
        <v>2000001107</v>
      </c>
      <c r="T877" s="92">
        <v>2000005035</v>
      </c>
      <c r="U877" s="92">
        <v>2000010015</v>
      </c>
      <c r="V877" s="92">
        <v>2000013261</v>
      </c>
      <c r="W877" s="92">
        <v>2000018263</v>
      </c>
      <c r="X877" s="92">
        <v>2000023183</v>
      </c>
      <c r="Y877" s="92">
        <v>2000029109</v>
      </c>
      <c r="Z877" s="92">
        <v>2000033001</v>
      </c>
      <c r="AA877" s="92">
        <v>2223025070</v>
      </c>
      <c r="AE877" s="6" t="s">
        <v>180</v>
      </c>
      <c r="AF877" s="92" t="s">
        <v>181</v>
      </c>
      <c r="AG877" s="92" t="s">
        <v>532</v>
      </c>
      <c r="AH877" s="92" t="s">
        <v>677</v>
      </c>
      <c r="AI877" s="92" t="s">
        <v>179</v>
      </c>
      <c r="AJ877" s="92" t="s">
        <v>899</v>
      </c>
      <c r="AK877" s="92" t="s">
        <v>533</v>
      </c>
      <c r="AL877" s="92" t="s">
        <v>1112</v>
      </c>
      <c r="AM877" s="92" t="s">
        <v>1168</v>
      </c>
      <c r="AQ877" s="6" t="s">
        <v>186</v>
      </c>
      <c r="AR877" s="92" t="s">
        <v>186</v>
      </c>
      <c r="AS877" s="92" t="s">
        <v>187</v>
      </c>
      <c r="AT877" s="92" t="s">
        <v>186</v>
      </c>
      <c r="AU877" s="92" t="s">
        <v>187</v>
      </c>
      <c r="AV877" s="92" t="s">
        <v>186</v>
      </c>
      <c r="AW877" s="92" t="s">
        <v>186</v>
      </c>
      <c r="AX877" s="92" t="s">
        <v>186</v>
      </c>
      <c r="AY877" s="92" t="s">
        <v>187</v>
      </c>
      <c r="BC877" s="60">
        <v>82118501926</v>
      </c>
      <c r="BD877" s="93">
        <v>88806501889</v>
      </c>
      <c r="BE877" s="93">
        <v>85380970662</v>
      </c>
      <c r="BF877" s="93">
        <v>82138064714</v>
      </c>
      <c r="BG877" s="93">
        <v>82146585140</v>
      </c>
      <c r="BH877" s="93">
        <v>87832856283</v>
      </c>
      <c r="BI877" s="93">
        <v>83121318726</v>
      </c>
      <c r="BJ877" s="93">
        <v>895611125577</v>
      </c>
      <c r="BK877" s="93">
        <v>8615506851628</v>
      </c>
      <c r="BP877" s="18" t="s">
        <v>10598</v>
      </c>
      <c r="BQ877" s="37">
        <v>45320</v>
      </c>
      <c r="BR877" s="8">
        <f t="shared" si="3"/>
        <v>9</v>
      </c>
    </row>
    <row r="878" spans="1:70" ht="14">
      <c r="A878" s="4" t="str">
        <v>Reguler Periode ke-119 IX.A.3</v>
      </c>
      <c r="B878" s="4" t="s">
        <v>9561</v>
      </c>
      <c r="C878" s="4" t="s">
        <v>3208</v>
      </c>
      <c r="D878" s="4" t="s">
        <v>8196</v>
      </c>
      <c r="E878" s="4" t="s">
        <v>3891</v>
      </c>
      <c r="F878" s="4" t="s">
        <v>193</v>
      </c>
      <c r="G878" s="6" t="s">
        <v>10599</v>
      </c>
      <c r="H878" s="92" t="s">
        <v>10600</v>
      </c>
      <c r="I878" s="92" t="s">
        <v>10601</v>
      </c>
      <c r="J878" s="92" t="s">
        <v>10602</v>
      </c>
      <c r="K878" s="92" t="s">
        <v>10603</v>
      </c>
      <c r="L878" s="92" t="s">
        <v>10604</v>
      </c>
      <c r="M878" s="92" t="s">
        <v>10605</v>
      </c>
      <c r="N878" s="92" t="s">
        <v>10606</v>
      </c>
      <c r="O878" s="92" t="s">
        <v>10607</v>
      </c>
      <c r="S878" s="6">
        <v>1900018049</v>
      </c>
      <c r="T878" s="92">
        <v>2000001025</v>
      </c>
      <c r="U878" s="92">
        <v>2000005008</v>
      </c>
      <c r="V878" s="92">
        <v>2000010077</v>
      </c>
      <c r="W878" s="92">
        <v>2000013278</v>
      </c>
      <c r="X878" s="92">
        <v>2000023116</v>
      </c>
      <c r="Y878" s="92">
        <v>2000025034</v>
      </c>
      <c r="Z878" s="92">
        <v>2000029008</v>
      </c>
      <c r="AA878" s="92">
        <v>2000033073</v>
      </c>
      <c r="AE878" s="6" t="s">
        <v>179</v>
      </c>
      <c r="AF878" s="92" t="s">
        <v>180</v>
      </c>
      <c r="AG878" s="92" t="s">
        <v>181</v>
      </c>
      <c r="AH878" s="92" t="s">
        <v>532</v>
      </c>
      <c r="AI878" s="92" t="s">
        <v>677</v>
      </c>
      <c r="AJ878" s="92" t="s">
        <v>899</v>
      </c>
      <c r="AK878" s="92" t="s">
        <v>1168</v>
      </c>
      <c r="AL878" s="92" t="s">
        <v>533</v>
      </c>
      <c r="AM878" s="92" t="s">
        <v>1112</v>
      </c>
      <c r="AQ878" s="6" t="s">
        <v>187</v>
      </c>
      <c r="AR878" s="92" t="s">
        <v>186</v>
      </c>
      <c r="AS878" s="92" t="s">
        <v>186</v>
      </c>
      <c r="AT878" s="92" t="s">
        <v>187</v>
      </c>
      <c r="AU878" s="92" t="s">
        <v>186</v>
      </c>
      <c r="AV878" s="92" t="s">
        <v>186</v>
      </c>
      <c r="AW878" s="92" t="s">
        <v>187</v>
      </c>
      <c r="AX878" s="92" t="s">
        <v>186</v>
      </c>
      <c r="AY878" s="92" t="s">
        <v>186</v>
      </c>
      <c r="BC878" s="60">
        <v>89653219092</v>
      </c>
      <c r="BD878" s="93">
        <v>83195603770</v>
      </c>
      <c r="BE878" s="93">
        <v>85875114737</v>
      </c>
      <c r="BF878" s="93">
        <v>87784151072</v>
      </c>
      <c r="BG878" s="93">
        <v>81326724332</v>
      </c>
      <c r="BH878" s="93">
        <v>81938966964</v>
      </c>
      <c r="BI878" s="93">
        <v>89687935405</v>
      </c>
      <c r="BJ878" s="93">
        <v>895422909004</v>
      </c>
      <c r="BK878" s="93">
        <v>81545483633</v>
      </c>
      <c r="BP878" s="18" t="s">
        <v>10608</v>
      </c>
      <c r="BQ878" s="37">
        <v>45320</v>
      </c>
      <c r="BR878" s="8">
        <f t="shared" si="3"/>
        <v>9</v>
      </c>
    </row>
    <row r="879" spans="1:70" ht="14">
      <c r="A879" s="4" t="str">
        <v>Reguler Periode ke-119 IX.B.1</v>
      </c>
      <c r="B879" s="4" t="s">
        <v>9561</v>
      </c>
      <c r="C879" s="4" t="s">
        <v>3222</v>
      </c>
      <c r="D879" s="4" t="s">
        <v>10609</v>
      </c>
      <c r="E879" s="4" t="s">
        <v>3902</v>
      </c>
      <c r="F879" s="4" t="s">
        <v>193</v>
      </c>
      <c r="G879" s="6" t="s">
        <v>10610</v>
      </c>
      <c r="H879" s="92" t="s">
        <v>10611</v>
      </c>
      <c r="I879" s="92" t="s">
        <v>10612</v>
      </c>
      <c r="J879" s="92" t="s">
        <v>7655</v>
      </c>
      <c r="K879" s="92" t="s">
        <v>10613</v>
      </c>
      <c r="L879" s="92" t="s">
        <v>10614</v>
      </c>
      <c r="M879" s="92" t="s">
        <v>10615</v>
      </c>
      <c r="N879" s="92" t="s">
        <v>10616</v>
      </c>
      <c r="O879" s="4" t="s">
        <v>10617</v>
      </c>
      <c r="S879" s="6">
        <v>2000001051</v>
      </c>
      <c r="T879" s="92">
        <v>2000005182</v>
      </c>
      <c r="U879" s="92">
        <v>2000010118</v>
      </c>
      <c r="V879" s="92">
        <v>2000013138</v>
      </c>
      <c r="W879" s="92">
        <v>2000023076</v>
      </c>
      <c r="X879" s="92">
        <v>2000029095</v>
      </c>
      <c r="Y879" s="92">
        <v>2000033019</v>
      </c>
      <c r="Z879" s="92">
        <v>2223025075</v>
      </c>
      <c r="AA879" s="4">
        <v>2223025067</v>
      </c>
      <c r="AE879" s="6" t="s">
        <v>180</v>
      </c>
      <c r="AF879" s="92" t="s">
        <v>181</v>
      </c>
      <c r="AG879" s="92" t="s">
        <v>532</v>
      </c>
      <c r="AH879" s="92" t="s">
        <v>677</v>
      </c>
      <c r="AI879" s="92" t="s">
        <v>899</v>
      </c>
      <c r="AJ879" s="92" t="s">
        <v>533</v>
      </c>
      <c r="AK879" s="92" t="s">
        <v>1112</v>
      </c>
      <c r="AL879" s="92" t="s">
        <v>1168</v>
      </c>
      <c r="AM879" s="92" t="s">
        <v>1168</v>
      </c>
      <c r="AQ879" s="6" t="s">
        <v>186</v>
      </c>
      <c r="AR879" s="92" t="s">
        <v>186</v>
      </c>
      <c r="AS879" s="92" t="s">
        <v>187</v>
      </c>
      <c r="AT879" s="92" t="s">
        <v>186</v>
      </c>
      <c r="AU879" s="92" t="s">
        <v>186</v>
      </c>
      <c r="AV879" s="92" t="s">
        <v>186</v>
      </c>
      <c r="AW879" s="92" t="s">
        <v>186</v>
      </c>
      <c r="AX879" s="92" t="s">
        <v>187</v>
      </c>
      <c r="AY879" s="4" t="s">
        <v>187</v>
      </c>
      <c r="BC879" s="60">
        <v>82350097935</v>
      </c>
      <c r="BD879" s="93">
        <v>82329218269</v>
      </c>
      <c r="BE879" s="93">
        <v>87843901016</v>
      </c>
      <c r="BF879" s="93">
        <v>89649992193</v>
      </c>
      <c r="BG879" s="93">
        <v>81915533420</v>
      </c>
      <c r="BH879" s="93">
        <v>881025534205</v>
      </c>
      <c r="BI879" s="93">
        <v>83153813786</v>
      </c>
      <c r="BJ879" s="93">
        <v>17377352250</v>
      </c>
      <c r="BP879" s="18" t="s">
        <v>10618</v>
      </c>
      <c r="BQ879" s="37">
        <v>45320</v>
      </c>
      <c r="BR879" s="8">
        <f t="shared" si="3"/>
        <v>9</v>
      </c>
    </row>
    <row r="880" spans="1:70" ht="14">
      <c r="A880" s="4" t="str">
        <v>Reguler Periode ke-119 IX.B.2</v>
      </c>
      <c r="B880" s="4" t="s">
        <v>9561</v>
      </c>
      <c r="C880" s="4" t="s">
        <v>3235</v>
      </c>
      <c r="D880" s="4" t="s">
        <v>10609</v>
      </c>
      <c r="E880" s="4" t="s">
        <v>3914</v>
      </c>
      <c r="F880" s="4" t="s">
        <v>193</v>
      </c>
      <c r="G880" s="6" t="s">
        <v>10619</v>
      </c>
      <c r="H880" s="92" t="s">
        <v>10620</v>
      </c>
      <c r="I880" s="92" t="s">
        <v>10621</v>
      </c>
      <c r="J880" s="92" t="s">
        <v>10622</v>
      </c>
      <c r="K880" s="92" t="s">
        <v>10623</v>
      </c>
      <c r="L880" s="92" t="s">
        <v>10624</v>
      </c>
      <c r="M880" s="92" t="s">
        <v>10625</v>
      </c>
      <c r="N880" s="92" t="s">
        <v>10626</v>
      </c>
      <c r="O880" s="92" t="s">
        <v>10627</v>
      </c>
      <c r="S880" s="6">
        <v>2000001088</v>
      </c>
      <c r="T880" s="92">
        <v>2000005294</v>
      </c>
      <c r="U880" s="92">
        <v>2000010005</v>
      </c>
      <c r="V880" s="92">
        <v>2000013125</v>
      </c>
      <c r="W880" s="92">
        <v>2000018327</v>
      </c>
      <c r="X880" s="92">
        <v>2000023108</v>
      </c>
      <c r="Y880" s="92">
        <v>2000025018</v>
      </c>
      <c r="Z880" s="92">
        <v>2000029113</v>
      </c>
      <c r="AA880" s="92">
        <v>2000033004</v>
      </c>
      <c r="AE880" s="6" t="s">
        <v>180</v>
      </c>
      <c r="AF880" s="92" t="s">
        <v>181</v>
      </c>
      <c r="AG880" s="92" t="s">
        <v>532</v>
      </c>
      <c r="AH880" s="92" t="s">
        <v>677</v>
      </c>
      <c r="AI880" s="92" t="s">
        <v>179</v>
      </c>
      <c r="AJ880" s="92" t="s">
        <v>899</v>
      </c>
      <c r="AK880" s="92" t="s">
        <v>1168</v>
      </c>
      <c r="AL880" s="92" t="s">
        <v>533</v>
      </c>
      <c r="AM880" s="92" t="s">
        <v>1112</v>
      </c>
      <c r="AQ880" s="6" t="s">
        <v>186</v>
      </c>
      <c r="AR880" s="92" t="s">
        <v>186</v>
      </c>
      <c r="AS880" s="92" t="s">
        <v>187</v>
      </c>
      <c r="AT880" s="92" t="s">
        <v>186</v>
      </c>
      <c r="AU880" s="92" t="s">
        <v>187</v>
      </c>
      <c r="AV880" s="92" t="s">
        <v>186</v>
      </c>
      <c r="AW880" s="92" t="s">
        <v>187</v>
      </c>
      <c r="AX880" s="92" t="s">
        <v>186</v>
      </c>
      <c r="AY880" s="92" t="s">
        <v>186</v>
      </c>
      <c r="BC880" s="60">
        <v>85727735215</v>
      </c>
      <c r="BD880" s="93">
        <v>81228296618</v>
      </c>
      <c r="BE880" s="93">
        <v>81281729953</v>
      </c>
      <c r="BF880" s="93">
        <v>81325512386</v>
      </c>
      <c r="BG880" s="93">
        <v>85904399666</v>
      </c>
      <c r="BH880" s="93">
        <v>89674974260</v>
      </c>
      <c r="BI880" s="93">
        <v>85822921856</v>
      </c>
      <c r="BJ880" s="93">
        <v>89626035291</v>
      </c>
      <c r="BK880" s="93">
        <v>85727451774</v>
      </c>
      <c r="BP880" s="18" t="s">
        <v>10628</v>
      </c>
      <c r="BQ880" s="37">
        <v>45320</v>
      </c>
      <c r="BR880" s="8">
        <f t="shared" si="3"/>
        <v>9</v>
      </c>
    </row>
    <row r="881" spans="1:70" ht="14">
      <c r="A881" s="4" t="str">
        <v>Reguler Periode ke-119 IX.B.3</v>
      </c>
      <c r="B881" s="4" t="s">
        <v>9561</v>
      </c>
      <c r="C881" s="4" t="s">
        <v>3247</v>
      </c>
      <c r="D881" s="4" t="s">
        <v>10609</v>
      </c>
      <c r="E881" s="4" t="s">
        <v>3927</v>
      </c>
      <c r="F881" s="4" t="s">
        <v>193</v>
      </c>
      <c r="G881" s="6" t="s">
        <v>10629</v>
      </c>
      <c r="H881" s="92" t="s">
        <v>10630</v>
      </c>
      <c r="I881" s="92" t="s">
        <v>10631</v>
      </c>
      <c r="J881" s="92" t="s">
        <v>10632</v>
      </c>
      <c r="K881" s="92" t="s">
        <v>10633</v>
      </c>
      <c r="L881" s="92" t="s">
        <v>10634</v>
      </c>
      <c r="M881" s="92" t="s">
        <v>10635</v>
      </c>
      <c r="N881" s="92" t="s">
        <v>10636</v>
      </c>
      <c r="O881" s="92" t="s">
        <v>10637</v>
      </c>
      <c r="S881" s="6">
        <v>2000001081</v>
      </c>
      <c r="T881" s="92">
        <v>2000005127</v>
      </c>
      <c r="U881" s="92">
        <v>2000010079</v>
      </c>
      <c r="V881" s="92">
        <v>2000013323</v>
      </c>
      <c r="W881" s="92">
        <v>2000018147</v>
      </c>
      <c r="X881" s="92">
        <v>2000023194</v>
      </c>
      <c r="Y881" s="92">
        <v>2000025097</v>
      </c>
      <c r="Z881" s="92">
        <v>2000029169</v>
      </c>
      <c r="AA881" s="92">
        <v>2000033078</v>
      </c>
      <c r="AE881" s="6" t="s">
        <v>180</v>
      </c>
      <c r="AF881" s="92" t="s">
        <v>181</v>
      </c>
      <c r="AG881" s="92" t="s">
        <v>532</v>
      </c>
      <c r="AH881" s="92" t="s">
        <v>677</v>
      </c>
      <c r="AI881" s="92" t="s">
        <v>179</v>
      </c>
      <c r="AJ881" s="92" t="s">
        <v>899</v>
      </c>
      <c r="AK881" s="92" t="s">
        <v>1168</v>
      </c>
      <c r="AL881" s="92" t="s">
        <v>533</v>
      </c>
      <c r="AM881" s="92" t="s">
        <v>1112</v>
      </c>
      <c r="AQ881" s="6" t="s">
        <v>186</v>
      </c>
      <c r="AR881" s="92" t="s">
        <v>186</v>
      </c>
      <c r="AS881" s="92" t="s">
        <v>187</v>
      </c>
      <c r="AT881" s="92" t="s">
        <v>186</v>
      </c>
      <c r="AU881" s="92" t="s">
        <v>187</v>
      </c>
      <c r="AV881" s="92" t="s">
        <v>186</v>
      </c>
      <c r="AW881" s="92" t="s">
        <v>187</v>
      </c>
      <c r="AX881" s="92" t="s">
        <v>186</v>
      </c>
      <c r="AY881" s="92" t="s">
        <v>186</v>
      </c>
      <c r="BC881" s="60">
        <v>82311164085</v>
      </c>
      <c r="BD881" s="93">
        <v>85643888934</v>
      </c>
      <c r="BE881" s="93">
        <v>81297560843</v>
      </c>
      <c r="BF881" s="93">
        <v>82177961102</v>
      </c>
      <c r="BG881" s="93">
        <v>89621488482</v>
      </c>
      <c r="BH881" s="93">
        <v>81266328556</v>
      </c>
      <c r="BI881" s="93">
        <v>81237092748</v>
      </c>
      <c r="BJ881" s="93">
        <v>85294101768</v>
      </c>
      <c r="BK881" s="93">
        <v>85952891382</v>
      </c>
      <c r="BP881" s="18" t="s">
        <v>10638</v>
      </c>
      <c r="BQ881" s="37">
        <v>45320</v>
      </c>
      <c r="BR881" s="8">
        <f t="shared" si="3"/>
        <v>9</v>
      </c>
    </row>
    <row r="882" spans="1:70" ht="14">
      <c r="A882" s="4" t="str">
        <v>Reguler Periode ke-119 IX.C.1</v>
      </c>
      <c r="B882" s="4" t="s">
        <v>9561</v>
      </c>
      <c r="C882" s="4" t="s">
        <v>3259</v>
      </c>
      <c r="D882" s="4" t="s">
        <v>10639</v>
      </c>
      <c r="E882" s="4" t="s">
        <v>3939</v>
      </c>
      <c r="F882" s="4" t="s">
        <v>193</v>
      </c>
      <c r="G882" s="6" t="s">
        <v>10640</v>
      </c>
      <c r="H882" s="92" t="s">
        <v>10641</v>
      </c>
      <c r="I882" s="92" t="s">
        <v>10642</v>
      </c>
      <c r="J882" s="92" t="s">
        <v>10643</v>
      </c>
      <c r="K882" s="92" t="s">
        <v>10644</v>
      </c>
      <c r="L882" s="92" t="s">
        <v>10645</v>
      </c>
      <c r="M882" s="92" t="s">
        <v>10646</v>
      </c>
      <c r="N882" s="92" t="s">
        <v>10647</v>
      </c>
      <c r="O882" s="92" t="s">
        <v>10648</v>
      </c>
      <c r="S882" s="6">
        <v>2000001069</v>
      </c>
      <c r="T882" s="92">
        <v>2000005272</v>
      </c>
      <c r="U882" s="92">
        <v>2000010052</v>
      </c>
      <c r="V882" s="92">
        <v>2000013054</v>
      </c>
      <c r="W882" s="92">
        <v>2000018277</v>
      </c>
      <c r="X882" s="92">
        <v>2000023090</v>
      </c>
      <c r="Y882" s="92">
        <v>2000025080</v>
      </c>
      <c r="Z882" s="92">
        <v>2000029060</v>
      </c>
      <c r="AA882" s="92">
        <v>2000033114</v>
      </c>
      <c r="AE882" s="6" t="s">
        <v>180</v>
      </c>
      <c r="AF882" s="92" t="s">
        <v>181</v>
      </c>
      <c r="AG882" s="92" t="s">
        <v>532</v>
      </c>
      <c r="AH882" s="92" t="s">
        <v>677</v>
      </c>
      <c r="AI882" s="92" t="s">
        <v>179</v>
      </c>
      <c r="AJ882" s="92" t="s">
        <v>899</v>
      </c>
      <c r="AK882" s="92" t="s">
        <v>1168</v>
      </c>
      <c r="AL882" s="92" t="s">
        <v>533</v>
      </c>
      <c r="AM882" s="92" t="s">
        <v>1112</v>
      </c>
      <c r="AQ882" s="6" t="s">
        <v>186</v>
      </c>
      <c r="AR882" s="92" t="s">
        <v>186</v>
      </c>
      <c r="AS882" s="92" t="s">
        <v>187</v>
      </c>
      <c r="AT882" s="92" t="s">
        <v>186</v>
      </c>
      <c r="AU882" s="92" t="s">
        <v>187</v>
      </c>
      <c r="AV882" s="92" t="s">
        <v>186</v>
      </c>
      <c r="AW882" s="92" t="s">
        <v>187</v>
      </c>
      <c r="AX882" s="92" t="s">
        <v>186</v>
      </c>
      <c r="AY882" s="92" t="s">
        <v>186</v>
      </c>
      <c r="BC882" s="60">
        <v>81393162153</v>
      </c>
      <c r="BD882" s="93">
        <v>89601225228</v>
      </c>
      <c r="BE882" s="93">
        <v>82230723507</v>
      </c>
      <c r="BF882" s="93">
        <v>82155109966</v>
      </c>
      <c r="BG882" s="93">
        <v>85602753525</v>
      </c>
      <c r="BH882" s="93">
        <v>895418198030</v>
      </c>
      <c r="BI882" s="93">
        <v>85383856682</v>
      </c>
      <c r="BJ882" s="93">
        <v>81944830014</v>
      </c>
      <c r="BK882" s="93">
        <v>83853528005</v>
      </c>
      <c r="BP882" s="18" t="s">
        <v>10649</v>
      </c>
      <c r="BQ882" s="37">
        <v>45320</v>
      </c>
      <c r="BR882" s="8">
        <f t="shared" si="3"/>
        <v>9</v>
      </c>
    </row>
    <row r="883" spans="1:70" ht="14">
      <c r="A883" s="4" t="str">
        <v>Reguler Periode ke-119 IX.C.2</v>
      </c>
      <c r="B883" s="4" t="s">
        <v>9561</v>
      </c>
      <c r="C883" s="4" t="s">
        <v>3271</v>
      </c>
      <c r="D883" s="4" t="s">
        <v>10639</v>
      </c>
      <c r="E883" s="4" t="s">
        <v>3951</v>
      </c>
      <c r="F883" s="4" t="s">
        <v>193</v>
      </c>
      <c r="G883" s="6" t="s">
        <v>10650</v>
      </c>
      <c r="H883" s="92" t="s">
        <v>10651</v>
      </c>
      <c r="I883" s="92" t="s">
        <v>10652</v>
      </c>
      <c r="J883" s="92" t="s">
        <v>10653</v>
      </c>
      <c r="K883" s="92" t="s">
        <v>10654</v>
      </c>
      <c r="L883" s="92" t="s">
        <v>10655</v>
      </c>
      <c r="M883" s="92" t="s">
        <v>10656</v>
      </c>
      <c r="N883" s="92" t="s">
        <v>10657</v>
      </c>
      <c r="O883" s="92" t="s">
        <v>10658</v>
      </c>
      <c r="S883" s="6">
        <v>1700013152</v>
      </c>
      <c r="T883" s="92">
        <v>2000001186</v>
      </c>
      <c r="U883" s="92">
        <v>2000005029</v>
      </c>
      <c r="V883" s="92">
        <v>2000010043</v>
      </c>
      <c r="W883" s="92">
        <v>2000018417</v>
      </c>
      <c r="X883" s="92">
        <v>2000023121</v>
      </c>
      <c r="Y883" s="92">
        <v>2000025108</v>
      </c>
      <c r="Z883" s="92">
        <v>2000029181</v>
      </c>
      <c r="AA883" s="92">
        <v>2015033037</v>
      </c>
      <c r="AE883" s="6" t="s">
        <v>677</v>
      </c>
      <c r="AF883" s="92" t="s">
        <v>180</v>
      </c>
      <c r="AG883" s="92" t="s">
        <v>181</v>
      </c>
      <c r="AH883" s="92" t="s">
        <v>532</v>
      </c>
      <c r="AI883" s="92" t="s">
        <v>179</v>
      </c>
      <c r="AJ883" s="92" t="s">
        <v>899</v>
      </c>
      <c r="AK883" s="92" t="s">
        <v>1168</v>
      </c>
      <c r="AL883" s="92" t="s">
        <v>533</v>
      </c>
      <c r="AM883" s="92" t="s">
        <v>1112</v>
      </c>
      <c r="AQ883" s="6" t="s">
        <v>186</v>
      </c>
      <c r="AR883" s="92" t="s">
        <v>186</v>
      </c>
      <c r="AS883" s="92" t="s">
        <v>186</v>
      </c>
      <c r="AT883" s="92" t="s">
        <v>187</v>
      </c>
      <c r="AU883" s="92" t="s">
        <v>187</v>
      </c>
      <c r="AV883" s="92" t="s">
        <v>186</v>
      </c>
      <c r="AW883" s="92" t="s">
        <v>187</v>
      </c>
      <c r="AX883" s="92" t="s">
        <v>186</v>
      </c>
      <c r="AY883" s="92" t="s">
        <v>186</v>
      </c>
      <c r="BC883" s="60">
        <v>81279315779</v>
      </c>
      <c r="BD883" s="93">
        <v>8986831365</v>
      </c>
      <c r="BE883" s="93">
        <v>85719374933</v>
      </c>
      <c r="BF883" s="93">
        <v>82280117284</v>
      </c>
      <c r="BG883" s="93">
        <v>895329127575</v>
      </c>
      <c r="BH883" s="93">
        <v>89631754740</v>
      </c>
      <c r="BI883" s="93">
        <v>882005919019</v>
      </c>
      <c r="BJ883" s="93">
        <v>82229795281</v>
      </c>
      <c r="BK883" s="93">
        <v>85740506816</v>
      </c>
      <c r="BP883" s="18" t="s">
        <v>10659</v>
      </c>
      <c r="BQ883" s="37">
        <v>45320</v>
      </c>
      <c r="BR883" s="8">
        <f t="shared" si="3"/>
        <v>9</v>
      </c>
    </row>
    <row r="884" spans="1:70" ht="14">
      <c r="A884" s="4" t="str">
        <v>Reguler Periode ke-119 IX.C.3</v>
      </c>
      <c r="B884" s="4" t="s">
        <v>9561</v>
      </c>
      <c r="C884" s="4" t="s">
        <v>3284</v>
      </c>
      <c r="D884" s="4" t="s">
        <v>10639</v>
      </c>
      <c r="E884" s="4" t="s">
        <v>3965</v>
      </c>
      <c r="F884" s="4" t="s">
        <v>193</v>
      </c>
      <c r="G884" s="6" t="s">
        <v>10660</v>
      </c>
      <c r="H884" s="92" t="s">
        <v>10661</v>
      </c>
      <c r="I884" s="92" t="s">
        <v>10662</v>
      </c>
      <c r="J884" s="92" t="s">
        <v>10663</v>
      </c>
      <c r="K884" s="92" t="s">
        <v>10664</v>
      </c>
      <c r="L884" s="92" t="s">
        <v>10665</v>
      </c>
      <c r="M884" s="92" t="s">
        <v>10666</v>
      </c>
      <c r="N884" s="92" t="s">
        <v>10667</v>
      </c>
      <c r="O884" s="92" t="s">
        <v>10668</v>
      </c>
      <c r="S884" s="6">
        <v>2000001053</v>
      </c>
      <c r="T884" s="92">
        <v>2000005041</v>
      </c>
      <c r="U884" s="92">
        <v>2000010080</v>
      </c>
      <c r="V884" s="92">
        <v>2000013156</v>
      </c>
      <c r="W884" s="92">
        <v>2000018366</v>
      </c>
      <c r="X884" s="92">
        <v>2000023164</v>
      </c>
      <c r="Y884" s="92">
        <v>2000025070</v>
      </c>
      <c r="Z884" s="92">
        <v>2000029120</v>
      </c>
      <c r="AA884" s="92">
        <v>2000033072</v>
      </c>
      <c r="AE884" s="6" t="s">
        <v>180</v>
      </c>
      <c r="AF884" s="92" t="s">
        <v>181</v>
      </c>
      <c r="AG884" s="92" t="s">
        <v>532</v>
      </c>
      <c r="AH884" s="92" t="s">
        <v>677</v>
      </c>
      <c r="AI884" s="92" t="s">
        <v>179</v>
      </c>
      <c r="AJ884" s="92" t="s">
        <v>899</v>
      </c>
      <c r="AK884" s="92" t="s">
        <v>1168</v>
      </c>
      <c r="AL884" s="92" t="s">
        <v>533</v>
      </c>
      <c r="AM884" s="92" t="s">
        <v>1112</v>
      </c>
      <c r="AQ884" s="6" t="s">
        <v>186</v>
      </c>
      <c r="AR884" s="92" t="s">
        <v>186</v>
      </c>
      <c r="AS884" s="92" t="s">
        <v>187</v>
      </c>
      <c r="AT884" s="92" t="s">
        <v>186</v>
      </c>
      <c r="AU884" s="92" t="s">
        <v>187</v>
      </c>
      <c r="AV884" s="92" t="s">
        <v>186</v>
      </c>
      <c r="AW884" s="92" t="s">
        <v>187</v>
      </c>
      <c r="AX884" s="92" t="s">
        <v>186</v>
      </c>
      <c r="AY884" s="92" t="s">
        <v>186</v>
      </c>
      <c r="BC884" s="60">
        <v>88806624507</v>
      </c>
      <c r="BD884" s="93">
        <v>89507381009</v>
      </c>
      <c r="BE884" s="93">
        <v>85155353726</v>
      </c>
      <c r="BF884" s="93">
        <v>87897444022</v>
      </c>
      <c r="BG884" s="93">
        <v>89665672738</v>
      </c>
      <c r="BH884" s="93">
        <v>82226860412</v>
      </c>
      <c r="BI884" s="93">
        <v>89663520407</v>
      </c>
      <c r="BJ884" s="93">
        <v>82324585277</v>
      </c>
      <c r="BK884" s="93">
        <v>81295941460</v>
      </c>
      <c r="BP884" s="18" t="s">
        <v>10669</v>
      </c>
      <c r="BQ884" s="37">
        <v>45320</v>
      </c>
      <c r="BR884" s="8">
        <f t="shared" si="3"/>
        <v>9</v>
      </c>
    </row>
    <row r="885" spans="1:70" ht="14">
      <c r="A885" s="4" t="str">
        <v>Reguler Periode ke-119 IX.D.1</v>
      </c>
      <c r="B885" s="4" t="s">
        <v>9561</v>
      </c>
      <c r="C885" s="4" t="s">
        <v>3296</v>
      </c>
      <c r="D885" s="4" t="s">
        <v>10670</v>
      </c>
      <c r="E885" s="4" t="s">
        <v>3977</v>
      </c>
      <c r="F885" s="4" t="s">
        <v>193</v>
      </c>
      <c r="G885" s="6" t="s">
        <v>10671</v>
      </c>
      <c r="H885" s="92" t="s">
        <v>10672</v>
      </c>
      <c r="I885" s="92" t="s">
        <v>10673</v>
      </c>
      <c r="J885" s="92" t="s">
        <v>10674</v>
      </c>
      <c r="K885" s="92" t="s">
        <v>10675</v>
      </c>
      <c r="L885" s="92" t="s">
        <v>10676</v>
      </c>
      <c r="M885" s="92" t="s">
        <v>10677</v>
      </c>
      <c r="N885" s="92" t="s">
        <v>10678</v>
      </c>
      <c r="O885" s="92" t="s">
        <v>10679</v>
      </c>
      <c r="S885" s="6">
        <v>2000005334</v>
      </c>
      <c r="T885" s="92">
        <v>2000010066</v>
      </c>
      <c r="U885" s="92">
        <v>2000013227</v>
      </c>
      <c r="V885" s="92">
        <v>2000018232</v>
      </c>
      <c r="W885" s="92">
        <v>2000023203</v>
      </c>
      <c r="X885" s="92">
        <v>2000025088</v>
      </c>
      <c r="Y885" s="92">
        <v>2000029102</v>
      </c>
      <c r="Z885" s="92">
        <v>2000033028</v>
      </c>
      <c r="AA885" s="92">
        <v>2011001079</v>
      </c>
      <c r="AE885" s="6" t="s">
        <v>181</v>
      </c>
      <c r="AF885" s="92" t="s">
        <v>532</v>
      </c>
      <c r="AG885" s="92" t="s">
        <v>677</v>
      </c>
      <c r="AH885" s="92" t="s">
        <v>179</v>
      </c>
      <c r="AI885" s="92" t="s">
        <v>899</v>
      </c>
      <c r="AJ885" s="92" t="s">
        <v>1168</v>
      </c>
      <c r="AK885" s="92" t="s">
        <v>533</v>
      </c>
      <c r="AL885" s="92" t="s">
        <v>1112</v>
      </c>
      <c r="AM885" s="92" t="s">
        <v>180</v>
      </c>
      <c r="AQ885" s="6" t="s">
        <v>186</v>
      </c>
      <c r="AR885" s="92" t="s">
        <v>187</v>
      </c>
      <c r="AS885" s="92" t="s">
        <v>186</v>
      </c>
      <c r="AT885" s="92" t="s">
        <v>187</v>
      </c>
      <c r="AU885" s="92" t="s">
        <v>186</v>
      </c>
      <c r="AV885" s="92" t="s">
        <v>187</v>
      </c>
      <c r="AW885" s="92" t="s">
        <v>186</v>
      </c>
      <c r="AX885" s="92" t="s">
        <v>186</v>
      </c>
      <c r="AY885" s="92" t="s">
        <v>186</v>
      </c>
      <c r="BC885" s="60">
        <v>87839701558</v>
      </c>
      <c r="BD885" s="93">
        <v>82158454153</v>
      </c>
      <c r="BE885" s="93">
        <v>82150615564</v>
      </c>
      <c r="BF885" s="93">
        <v>81515808598</v>
      </c>
      <c r="BG885" s="93">
        <v>82340042019</v>
      </c>
      <c r="BH885" s="93">
        <v>82266912023</v>
      </c>
      <c r="BI885" s="93">
        <v>81995642014</v>
      </c>
      <c r="BJ885" s="93">
        <v>81386175167</v>
      </c>
      <c r="BK885" s="93">
        <v>81542907318</v>
      </c>
      <c r="BP885" s="18" t="s">
        <v>10680</v>
      </c>
      <c r="BQ885" s="37">
        <v>45320</v>
      </c>
      <c r="BR885" s="8">
        <f t="shared" si="3"/>
        <v>9</v>
      </c>
    </row>
    <row r="886" spans="1:70" ht="14">
      <c r="A886" s="4" t="str">
        <v>Reguler Periode ke-119 IX.D.2</v>
      </c>
      <c r="B886" s="4" t="s">
        <v>9561</v>
      </c>
      <c r="C886" s="4" t="s">
        <v>3310</v>
      </c>
      <c r="D886" s="4" t="s">
        <v>10670</v>
      </c>
      <c r="E886" s="4" t="s">
        <v>4001</v>
      </c>
      <c r="F886" s="4" t="s">
        <v>193</v>
      </c>
      <c r="G886" s="6" t="s">
        <v>10681</v>
      </c>
      <c r="H886" s="92" t="s">
        <v>10682</v>
      </c>
      <c r="I886" s="92" t="s">
        <v>10683</v>
      </c>
      <c r="J886" s="92" t="s">
        <v>10684</v>
      </c>
      <c r="K886" s="92" t="s">
        <v>10685</v>
      </c>
      <c r="L886" s="92" t="s">
        <v>10686</v>
      </c>
      <c r="M886" s="92" t="s">
        <v>10687</v>
      </c>
      <c r="N886" s="92" t="s">
        <v>10688</v>
      </c>
      <c r="O886" s="92" t="s">
        <v>10689</v>
      </c>
      <c r="S886" s="6">
        <v>2000001162</v>
      </c>
      <c r="T886" s="92">
        <v>2000005106</v>
      </c>
      <c r="U886" s="92">
        <v>2000010113</v>
      </c>
      <c r="V886" s="92">
        <v>2000013178</v>
      </c>
      <c r="W886" s="92">
        <v>2000018217</v>
      </c>
      <c r="X886" s="92">
        <v>2000023231</v>
      </c>
      <c r="Y886" s="92">
        <v>2000029005</v>
      </c>
      <c r="Z886" s="92">
        <v>2000033062</v>
      </c>
      <c r="AA886" s="92">
        <v>2223025068</v>
      </c>
      <c r="AE886" s="6" t="s">
        <v>180</v>
      </c>
      <c r="AF886" s="92" t="s">
        <v>181</v>
      </c>
      <c r="AG886" s="92" t="s">
        <v>532</v>
      </c>
      <c r="AH886" s="92" t="s">
        <v>677</v>
      </c>
      <c r="AI886" s="92" t="s">
        <v>179</v>
      </c>
      <c r="AJ886" s="92" t="s">
        <v>899</v>
      </c>
      <c r="AK886" s="92" t="s">
        <v>533</v>
      </c>
      <c r="AL886" s="92" t="s">
        <v>1112</v>
      </c>
      <c r="AM886" s="92" t="s">
        <v>1168</v>
      </c>
      <c r="AQ886" s="6" t="s">
        <v>186</v>
      </c>
      <c r="AR886" s="92" t="s">
        <v>186</v>
      </c>
      <c r="AS886" s="92" t="s">
        <v>187</v>
      </c>
      <c r="AT886" s="92" t="s">
        <v>186</v>
      </c>
      <c r="AU886" s="92" t="s">
        <v>187</v>
      </c>
      <c r="AV886" s="92" t="s">
        <v>186</v>
      </c>
      <c r="AW886" s="92" t="s">
        <v>186</v>
      </c>
      <c r="AX886" s="92" t="s">
        <v>186</v>
      </c>
      <c r="AY886" s="92" t="s">
        <v>187</v>
      </c>
      <c r="BC886" s="60">
        <v>85743895645</v>
      </c>
      <c r="BD886" s="93">
        <v>82394459544</v>
      </c>
      <c r="BE886" s="93">
        <v>87708972239</v>
      </c>
      <c r="BF886" s="93">
        <v>81328236217</v>
      </c>
      <c r="BG886" s="93">
        <v>895704611113</v>
      </c>
      <c r="BH886" s="93">
        <v>83175830145</v>
      </c>
      <c r="BI886" s="93">
        <v>81224250533</v>
      </c>
      <c r="BJ886" s="93">
        <v>81391618313</v>
      </c>
      <c r="BK886" s="93">
        <v>17807710212</v>
      </c>
      <c r="BP886" s="18" t="s">
        <v>10690</v>
      </c>
      <c r="BQ886" s="37">
        <v>45320</v>
      </c>
      <c r="BR886" s="8">
        <f t="shared" si="3"/>
        <v>9</v>
      </c>
    </row>
    <row r="887" spans="1:70" ht="14">
      <c r="A887" s="4" t="str">
        <v>Reguler Periode ke-119 IX.D.3</v>
      </c>
      <c r="B887" s="4" t="s">
        <v>9561</v>
      </c>
      <c r="C887" s="4" t="s">
        <v>3322</v>
      </c>
      <c r="D887" s="4" t="s">
        <v>10670</v>
      </c>
      <c r="E887" s="4" t="s">
        <v>7302</v>
      </c>
      <c r="F887" s="4" t="s">
        <v>193</v>
      </c>
      <c r="G887" s="6" t="s">
        <v>10691</v>
      </c>
      <c r="H887" s="92" t="s">
        <v>10692</v>
      </c>
      <c r="I887" s="92" t="s">
        <v>10693</v>
      </c>
      <c r="J887" s="92" t="s">
        <v>10694</v>
      </c>
      <c r="K887" s="92" t="s">
        <v>10695</v>
      </c>
      <c r="L887" s="92" t="s">
        <v>10696</v>
      </c>
      <c r="M887" s="92" t="s">
        <v>10697</v>
      </c>
      <c r="N887" s="92" t="s">
        <v>10698</v>
      </c>
      <c r="O887" s="92" t="s">
        <v>10699</v>
      </c>
      <c r="S887" s="6">
        <v>2000001096</v>
      </c>
      <c r="T887" s="92">
        <v>2000005153</v>
      </c>
      <c r="U887" s="92">
        <v>2000010050</v>
      </c>
      <c r="V887" s="92">
        <v>2000013100</v>
      </c>
      <c r="W887" s="92">
        <v>2000018149</v>
      </c>
      <c r="X887" s="92">
        <v>2000023235</v>
      </c>
      <c r="Y887" s="92">
        <v>2000026054</v>
      </c>
      <c r="Z887" s="92">
        <v>2000029086</v>
      </c>
      <c r="AA887" s="92">
        <v>2000033051</v>
      </c>
      <c r="AE887" s="6" t="s">
        <v>180</v>
      </c>
      <c r="AF887" s="92" t="s">
        <v>181</v>
      </c>
      <c r="AG887" s="92" t="s">
        <v>532</v>
      </c>
      <c r="AH887" s="92" t="s">
        <v>677</v>
      </c>
      <c r="AI887" s="92" t="s">
        <v>179</v>
      </c>
      <c r="AJ887" s="92" t="s">
        <v>899</v>
      </c>
      <c r="AK887" s="92" t="s">
        <v>570</v>
      </c>
      <c r="AL887" s="92" t="s">
        <v>533</v>
      </c>
      <c r="AM887" s="92" t="s">
        <v>1112</v>
      </c>
      <c r="AQ887" s="6" t="s">
        <v>186</v>
      </c>
      <c r="AR887" s="92" t="s">
        <v>186</v>
      </c>
      <c r="AS887" s="92" t="s">
        <v>187</v>
      </c>
      <c r="AT887" s="92" t="s">
        <v>186</v>
      </c>
      <c r="AU887" s="92" t="s">
        <v>187</v>
      </c>
      <c r="AV887" s="92" t="s">
        <v>186</v>
      </c>
      <c r="AW887" s="92" t="s">
        <v>187</v>
      </c>
      <c r="AX887" s="92" t="s">
        <v>186</v>
      </c>
      <c r="AY887" s="92" t="s">
        <v>186</v>
      </c>
      <c r="BC887" s="60">
        <v>88225115087</v>
      </c>
      <c r="BD887" s="93">
        <v>83802341881</v>
      </c>
      <c r="BE887" s="93">
        <v>87864606608</v>
      </c>
      <c r="BF887" s="93">
        <v>82328020927</v>
      </c>
      <c r="BG887" s="93">
        <v>82146694469</v>
      </c>
      <c r="BH887" s="93">
        <v>88216249754</v>
      </c>
      <c r="BI887" s="93">
        <v>82138333662</v>
      </c>
      <c r="BJ887" s="93">
        <v>82262182552</v>
      </c>
      <c r="BK887" s="93">
        <v>895401230493</v>
      </c>
      <c r="BP887" s="18" t="s">
        <v>10700</v>
      </c>
      <c r="BQ887" s="37">
        <v>45320</v>
      </c>
      <c r="BR887" s="8">
        <f t="shared" si="3"/>
        <v>9</v>
      </c>
    </row>
    <row r="888" spans="1:70" ht="14">
      <c r="A888" s="4" t="str">
        <v>Reguler Periode ke-119 X.A.1</v>
      </c>
      <c r="B888" s="4" t="s">
        <v>9561</v>
      </c>
      <c r="C888" s="4" t="s">
        <v>3334</v>
      </c>
      <c r="D888" s="4" t="s">
        <v>10701</v>
      </c>
      <c r="E888" s="4" t="s">
        <v>4013</v>
      </c>
      <c r="F888" s="4" t="s">
        <v>193</v>
      </c>
      <c r="G888" s="6" t="s">
        <v>10702</v>
      </c>
      <c r="H888" s="92" t="s">
        <v>10703</v>
      </c>
      <c r="I888" s="92" t="s">
        <v>10704</v>
      </c>
      <c r="J888" s="92" t="s">
        <v>10705</v>
      </c>
      <c r="K888" s="92" t="s">
        <v>10706</v>
      </c>
      <c r="L888" s="92" t="s">
        <v>10707</v>
      </c>
      <c r="M888" s="92" t="s">
        <v>10708</v>
      </c>
      <c r="N888" s="92" t="s">
        <v>10709</v>
      </c>
      <c r="S888" s="6">
        <v>2000005261</v>
      </c>
      <c r="T888" s="92">
        <v>2000010071</v>
      </c>
      <c r="U888" s="92">
        <v>2000013305</v>
      </c>
      <c r="V888" s="92">
        <v>2000018108</v>
      </c>
      <c r="W888" s="92">
        <v>2000023113</v>
      </c>
      <c r="X888" s="92">
        <v>2000026121</v>
      </c>
      <c r="Y888" s="92">
        <v>2000029159</v>
      </c>
      <c r="Z888" s="92">
        <v>2000033085</v>
      </c>
      <c r="AE888" s="6" t="s">
        <v>181</v>
      </c>
      <c r="AF888" s="92" t="s">
        <v>532</v>
      </c>
      <c r="AG888" s="92" t="s">
        <v>677</v>
      </c>
      <c r="AH888" s="92" t="s">
        <v>179</v>
      </c>
      <c r="AI888" s="92" t="s">
        <v>899</v>
      </c>
      <c r="AJ888" s="92" t="s">
        <v>570</v>
      </c>
      <c r="AK888" s="92" t="s">
        <v>533</v>
      </c>
      <c r="AL888" s="92" t="s">
        <v>1112</v>
      </c>
      <c r="AQ888" s="6" t="s">
        <v>186</v>
      </c>
      <c r="AR888" s="92" t="s">
        <v>187</v>
      </c>
      <c r="AS888" s="92" t="s">
        <v>186</v>
      </c>
      <c r="AT888" s="92" t="s">
        <v>187</v>
      </c>
      <c r="AU888" s="92" t="s">
        <v>186</v>
      </c>
      <c r="AV888" s="92" t="s">
        <v>187</v>
      </c>
      <c r="AW888" s="92" t="s">
        <v>186</v>
      </c>
      <c r="AX888" s="92" t="s">
        <v>186</v>
      </c>
      <c r="BC888" s="60">
        <v>81326145922</v>
      </c>
      <c r="BD888" s="93">
        <v>895413776250</v>
      </c>
      <c r="BE888" s="93">
        <v>87802870002</v>
      </c>
      <c r="BF888" s="93">
        <v>85326523068</v>
      </c>
      <c r="BG888" s="93">
        <v>82281114760</v>
      </c>
      <c r="BH888" s="93">
        <v>85171062132</v>
      </c>
      <c r="BI888" s="93">
        <v>81326834572</v>
      </c>
      <c r="BJ888" s="93">
        <v>81906304247</v>
      </c>
      <c r="BP888" s="18" t="s">
        <v>10710</v>
      </c>
      <c r="BQ888" s="37">
        <v>45320</v>
      </c>
      <c r="BR888" s="8">
        <f t="shared" si="3"/>
        <v>8</v>
      </c>
    </row>
    <row r="889" spans="1:70" ht="14">
      <c r="A889" s="4" t="str">
        <v>Reguler Periode ke-119 X.A.2</v>
      </c>
      <c r="B889" s="4" t="s">
        <v>9561</v>
      </c>
      <c r="C889" s="4" t="s">
        <v>3346</v>
      </c>
      <c r="D889" s="4" t="s">
        <v>10701</v>
      </c>
      <c r="E889" s="4" t="s">
        <v>4025</v>
      </c>
      <c r="F889" s="4" t="s">
        <v>193</v>
      </c>
      <c r="G889" s="6" t="s">
        <v>10711</v>
      </c>
      <c r="H889" s="92" t="s">
        <v>10712</v>
      </c>
      <c r="I889" s="92" t="s">
        <v>10713</v>
      </c>
      <c r="J889" s="92" t="s">
        <v>10714</v>
      </c>
      <c r="K889" s="92" t="s">
        <v>10715</v>
      </c>
      <c r="L889" s="92" t="s">
        <v>10716</v>
      </c>
      <c r="M889" s="92" t="s">
        <v>10717</v>
      </c>
      <c r="N889" s="92" t="s">
        <v>10718</v>
      </c>
      <c r="O889" s="92" t="s">
        <v>10719</v>
      </c>
      <c r="S889" s="6">
        <v>1800002038</v>
      </c>
      <c r="T889" s="92">
        <v>2000005043</v>
      </c>
      <c r="U889" s="92">
        <v>2000010001</v>
      </c>
      <c r="V889" s="92">
        <v>2000013222</v>
      </c>
      <c r="W889" s="92">
        <v>2000018401</v>
      </c>
      <c r="X889" s="92">
        <v>2000023180</v>
      </c>
      <c r="Y889" s="92">
        <v>2000026057</v>
      </c>
      <c r="Z889" s="92">
        <v>2000029071</v>
      </c>
      <c r="AA889" s="92">
        <v>2000033042</v>
      </c>
      <c r="AE889" s="6" t="s">
        <v>1043</v>
      </c>
      <c r="AF889" s="92" t="s">
        <v>181</v>
      </c>
      <c r="AG889" s="92" t="s">
        <v>532</v>
      </c>
      <c r="AH889" s="92" t="s">
        <v>677</v>
      </c>
      <c r="AI889" s="92" t="s">
        <v>179</v>
      </c>
      <c r="AJ889" s="92" t="s">
        <v>899</v>
      </c>
      <c r="AK889" s="92" t="s">
        <v>570</v>
      </c>
      <c r="AL889" s="92" t="s">
        <v>533</v>
      </c>
      <c r="AM889" s="92" t="s">
        <v>1112</v>
      </c>
      <c r="AQ889" s="6" t="s">
        <v>186</v>
      </c>
      <c r="AR889" s="92" t="s">
        <v>186</v>
      </c>
      <c r="AS889" s="92" t="s">
        <v>187</v>
      </c>
      <c r="AT889" s="92" t="s">
        <v>186</v>
      </c>
      <c r="AU889" s="92" t="s">
        <v>187</v>
      </c>
      <c r="AV889" s="92" t="s">
        <v>186</v>
      </c>
      <c r="AW889" s="92" t="s">
        <v>187</v>
      </c>
      <c r="AX889" s="92" t="s">
        <v>186</v>
      </c>
      <c r="AY889" s="92" t="s">
        <v>186</v>
      </c>
      <c r="BC889" s="60">
        <v>85238024206</v>
      </c>
      <c r="BD889" s="93">
        <v>83844759237</v>
      </c>
      <c r="BE889" s="93">
        <v>81230053823</v>
      </c>
      <c r="BF889" s="93">
        <v>89662509910</v>
      </c>
      <c r="BG889" s="93">
        <v>8882699310</v>
      </c>
      <c r="BH889" s="93">
        <v>82111453274</v>
      </c>
      <c r="BI889" s="93">
        <v>81255405340</v>
      </c>
      <c r="BJ889" s="93">
        <v>85348674031</v>
      </c>
      <c r="BK889" s="93">
        <v>895636662156</v>
      </c>
      <c r="BP889" s="18" t="s">
        <v>10720</v>
      </c>
      <c r="BQ889" s="37">
        <v>45320</v>
      </c>
      <c r="BR889" s="8">
        <f t="shared" si="3"/>
        <v>9</v>
      </c>
    </row>
    <row r="890" spans="1:70" ht="14">
      <c r="A890" s="4" t="str">
        <v>Reguler Periode ke-119 X.A.3</v>
      </c>
      <c r="B890" s="4" t="s">
        <v>9561</v>
      </c>
      <c r="C890" s="4" t="s">
        <v>3358</v>
      </c>
      <c r="D890" s="4" t="s">
        <v>10701</v>
      </c>
      <c r="E890" s="4" t="s">
        <v>7302</v>
      </c>
      <c r="F890" s="4" t="s">
        <v>193</v>
      </c>
      <c r="G890" s="6" t="s">
        <v>10721</v>
      </c>
      <c r="H890" s="92" t="s">
        <v>10722</v>
      </c>
      <c r="I890" s="92" t="s">
        <v>10723</v>
      </c>
      <c r="J890" s="92" t="s">
        <v>10724</v>
      </c>
      <c r="K890" s="92" t="s">
        <v>10725</v>
      </c>
      <c r="L890" s="92" t="s">
        <v>8175</v>
      </c>
      <c r="M890" s="92" t="s">
        <v>10726</v>
      </c>
      <c r="N890" s="92" t="s">
        <v>10727</v>
      </c>
      <c r="O890" s="92" t="s">
        <v>10728</v>
      </c>
      <c r="S890" s="6">
        <v>2000005133</v>
      </c>
      <c r="T890" s="92">
        <v>2000010111</v>
      </c>
      <c r="U890" s="92">
        <v>2000013354</v>
      </c>
      <c r="V890" s="92">
        <v>2000018154</v>
      </c>
      <c r="W890" s="92">
        <v>2000023238</v>
      </c>
      <c r="X890" s="92">
        <v>2000026160</v>
      </c>
      <c r="Y890" s="92">
        <v>2000029237</v>
      </c>
      <c r="Z890" s="92">
        <v>2000033035</v>
      </c>
      <c r="AA890" s="92">
        <v>2015002016</v>
      </c>
      <c r="AE890" s="6" t="s">
        <v>181</v>
      </c>
      <c r="AF890" s="92" t="s">
        <v>532</v>
      </c>
      <c r="AG890" s="92" t="s">
        <v>677</v>
      </c>
      <c r="AH890" s="92" t="s">
        <v>179</v>
      </c>
      <c r="AI890" s="92" t="s">
        <v>899</v>
      </c>
      <c r="AJ890" s="92" t="s">
        <v>570</v>
      </c>
      <c r="AK890" s="92" t="s">
        <v>533</v>
      </c>
      <c r="AL890" s="92" t="s">
        <v>1112</v>
      </c>
      <c r="AM890" s="92" t="s">
        <v>1043</v>
      </c>
      <c r="AQ890" s="6" t="s">
        <v>186</v>
      </c>
      <c r="AR890" s="92" t="s">
        <v>187</v>
      </c>
      <c r="AS890" s="92" t="s">
        <v>186</v>
      </c>
      <c r="AT890" s="92" t="s">
        <v>187</v>
      </c>
      <c r="AU890" s="92" t="s">
        <v>186</v>
      </c>
      <c r="AV890" s="92" t="s">
        <v>187</v>
      </c>
      <c r="AW890" s="92" t="s">
        <v>186</v>
      </c>
      <c r="AX890" s="92" t="s">
        <v>186</v>
      </c>
      <c r="AY890" s="92" t="s">
        <v>186</v>
      </c>
      <c r="BC890" s="60">
        <v>82213992104</v>
      </c>
      <c r="BD890" s="93">
        <v>85640409780</v>
      </c>
      <c r="BE890" s="93">
        <v>81292956811</v>
      </c>
      <c r="BF890" s="93">
        <v>895621364997</v>
      </c>
      <c r="BG890" s="93">
        <v>87739735818</v>
      </c>
      <c r="BH890" s="93">
        <v>85291823727</v>
      </c>
      <c r="BI890" s="93">
        <v>85822077601</v>
      </c>
      <c r="BJ890" s="93">
        <v>82226335005</v>
      </c>
      <c r="BK890" s="93">
        <v>89673676626</v>
      </c>
      <c r="BP890" s="18" t="s">
        <v>10729</v>
      </c>
      <c r="BQ890" s="37">
        <v>45320</v>
      </c>
      <c r="BR890" s="8">
        <f t="shared" si="3"/>
        <v>9</v>
      </c>
    </row>
    <row r="891" spans="1:70" ht="14">
      <c r="A891" s="4" t="str">
        <v>Reguler Periode ke-119 X.B.1</v>
      </c>
      <c r="B891" s="4" t="s">
        <v>9561</v>
      </c>
      <c r="C891" s="4" t="s">
        <v>3371</v>
      </c>
      <c r="D891" s="4" t="s">
        <v>10730</v>
      </c>
      <c r="E891" s="4" t="s">
        <v>4001</v>
      </c>
      <c r="F891" s="4" t="s">
        <v>193</v>
      </c>
      <c r="G891" s="6" t="s">
        <v>8046</v>
      </c>
      <c r="H891" s="92" t="s">
        <v>10731</v>
      </c>
      <c r="I891" s="92" t="s">
        <v>10732</v>
      </c>
      <c r="J891" s="92" t="s">
        <v>10733</v>
      </c>
      <c r="K891" s="92" t="s">
        <v>10734</v>
      </c>
      <c r="L891" s="92" t="s">
        <v>6703</v>
      </c>
      <c r="M891" s="92" t="s">
        <v>10735</v>
      </c>
      <c r="N891" s="92" t="s">
        <v>10736</v>
      </c>
      <c r="O891" s="92" t="s">
        <v>10737</v>
      </c>
      <c r="S891" s="6">
        <v>1800002072</v>
      </c>
      <c r="T891" s="92">
        <v>2000005002</v>
      </c>
      <c r="U891" s="92">
        <v>2000010013</v>
      </c>
      <c r="V891" s="92">
        <v>2000014014</v>
      </c>
      <c r="W891" s="92">
        <v>2000018412</v>
      </c>
      <c r="X891" s="92">
        <v>2000023049</v>
      </c>
      <c r="Y891" s="92">
        <v>2000026101</v>
      </c>
      <c r="Z891" s="92">
        <v>2000029054</v>
      </c>
      <c r="AA891" s="92">
        <v>2000033039</v>
      </c>
      <c r="AE891" s="6" t="s">
        <v>1043</v>
      </c>
      <c r="AF891" s="92" t="s">
        <v>181</v>
      </c>
      <c r="AG891" s="92" t="s">
        <v>532</v>
      </c>
      <c r="AH891" s="92" t="s">
        <v>770</v>
      </c>
      <c r="AI891" s="92" t="s">
        <v>179</v>
      </c>
      <c r="AJ891" s="92" t="s">
        <v>899</v>
      </c>
      <c r="AK891" s="92" t="s">
        <v>570</v>
      </c>
      <c r="AL891" s="92" t="s">
        <v>533</v>
      </c>
      <c r="AM891" s="92" t="s">
        <v>1112</v>
      </c>
      <c r="AQ891" s="6" t="s">
        <v>186</v>
      </c>
      <c r="AR891" s="92" t="s">
        <v>186</v>
      </c>
      <c r="AS891" s="92" t="s">
        <v>187</v>
      </c>
      <c r="AT891" s="92" t="s">
        <v>186</v>
      </c>
      <c r="AU891" s="92" t="s">
        <v>187</v>
      </c>
      <c r="AV891" s="92" t="s">
        <v>186</v>
      </c>
      <c r="AW891" s="92" t="s">
        <v>187</v>
      </c>
      <c r="AX891" s="92" t="s">
        <v>186</v>
      </c>
      <c r="AY891" s="92" t="s">
        <v>186</v>
      </c>
      <c r="BC891" s="60">
        <v>81237610129</v>
      </c>
      <c r="BD891" s="93">
        <v>8816505380</v>
      </c>
      <c r="BE891" s="93">
        <v>895618333457</v>
      </c>
      <c r="BF891" s="93">
        <v>85218200768</v>
      </c>
      <c r="BG891" s="93">
        <v>81352442441</v>
      </c>
      <c r="BH891" s="93">
        <v>82227195335</v>
      </c>
      <c r="BI891" s="93">
        <v>81391681894</v>
      </c>
      <c r="BJ891" s="93">
        <v>859144734072</v>
      </c>
      <c r="BK891" s="93">
        <v>85704697193</v>
      </c>
      <c r="BP891" s="18" t="s">
        <v>10738</v>
      </c>
      <c r="BQ891" s="37">
        <v>45320</v>
      </c>
      <c r="BR891" s="8">
        <f t="shared" si="3"/>
        <v>9</v>
      </c>
    </row>
    <row r="892" spans="1:70" ht="14">
      <c r="A892" s="4" t="str">
        <v>Reguler Periode ke-119 X.B.2</v>
      </c>
      <c r="B892" s="4" t="s">
        <v>9561</v>
      </c>
      <c r="C892" s="4" t="s">
        <v>3384</v>
      </c>
      <c r="D892" s="4" t="s">
        <v>10730</v>
      </c>
      <c r="E892" s="4" t="s">
        <v>3703</v>
      </c>
      <c r="F892" s="4" t="s">
        <v>193</v>
      </c>
      <c r="G892" s="6" t="s">
        <v>10739</v>
      </c>
      <c r="H892" s="92" t="s">
        <v>10740</v>
      </c>
      <c r="I892" s="92" t="s">
        <v>10741</v>
      </c>
      <c r="J892" s="92" t="s">
        <v>10742</v>
      </c>
      <c r="K892" s="92" t="s">
        <v>10743</v>
      </c>
      <c r="L892" s="92" t="s">
        <v>10744</v>
      </c>
      <c r="M892" s="92" t="s">
        <v>10745</v>
      </c>
      <c r="N892" s="92" t="s">
        <v>10746</v>
      </c>
      <c r="S892" s="6">
        <v>2000005157</v>
      </c>
      <c r="T892" s="92">
        <v>2000010027</v>
      </c>
      <c r="U892" s="92">
        <v>2000014017</v>
      </c>
      <c r="V892" s="92">
        <v>2000018365</v>
      </c>
      <c r="W892" s="92">
        <v>2000023061</v>
      </c>
      <c r="X892" s="92">
        <v>2000026199</v>
      </c>
      <c r="Y892" s="92">
        <v>2000029021</v>
      </c>
      <c r="Z892" s="92">
        <v>2000033009</v>
      </c>
      <c r="AE892" s="6" t="s">
        <v>181</v>
      </c>
      <c r="AF892" s="92" t="s">
        <v>532</v>
      </c>
      <c r="AG892" s="92" t="s">
        <v>770</v>
      </c>
      <c r="AH892" s="92" t="s">
        <v>179</v>
      </c>
      <c r="AI892" s="92" t="s">
        <v>899</v>
      </c>
      <c r="AJ892" s="92" t="s">
        <v>570</v>
      </c>
      <c r="AK892" s="92" t="s">
        <v>533</v>
      </c>
      <c r="AL892" s="92" t="s">
        <v>1112</v>
      </c>
      <c r="AQ892" s="6" t="s">
        <v>186</v>
      </c>
      <c r="AR892" s="92" t="s">
        <v>187</v>
      </c>
      <c r="AS892" s="92" t="s">
        <v>186</v>
      </c>
      <c r="AT892" s="92" t="s">
        <v>187</v>
      </c>
      <c r="AU892" s="92" t="s">
        <v>186</v>
      </c>
      <c r="AV892" s="92" t="s">
        <v>187</v>
      </c>
      <c r="AW892" s="92" t="s">
        <v>186</v>
      </c>
      <c r="AX892" s="92" t="s">
        <v>186</v>
      </c>
      <c r="BC892" s="60">
        <v>8128832991</v>
      </c>
      <c r="BD892" s="93">
        <v>82190042519</v>
      </c>
      <c r="BE892" s="93">
        <v>89524102185</v>
      </c>
      <c r="BF892" s="93">
        <v>82183702873</v>
      </c>
      <c r="BG892" s="93">
        <v>81271513500</v>
      </c>
      <c r="BH892" s="93">
        <v>88802791751</v>
      </c>
      <c r="BI892" s="93">
        <v>85288991099</v>
      </c>
      <c r="BJ892" s="93">
        <v>85820274527</v>
      </c>
      <c r="BP892" s="18" t="s">
        <v>10747</v>
      </c>
      <c r="BQ892" s="37">
        <v>45320</v>
      </c>
      <c r="BR892" s="8">
        <f t="shared" si="3"/>
        <v>8</v>
      </c>
    </row>
    <row r="893" spans="1:70" ht="14">
      <c r="A893" s="4" t="str">
        <v>Reguler Periode ke-119 X.B.3</v>
      </c>
      <c r="B893" s="4" t="s">
        <v>9561</v>
      </c>
      <c r="C893" s="4" t="s">
        <v>3396</v>
      </c>
      <c r="D893" s="4" t="s">
        <v>10730</v>
      </c>
      <c r="E893" s="4" t="s">
        <v>3742</v>
      </c>
      <c r="F893" s="4" t="s">
        <v>193</v>
      </c>
      <c r="G893" s="6" t="s">
        <v>10748</v>
      </c>
      <c r="H893" s="92" t="s">
        <v>10749</v>
      </c>
      <c r="I893" s="92" t="s">
        <v>10750</v>
      </c>
      <c r="J893" s="92" t="s">
        <v>10751</v>
      </c>
      <c r="K893" s="92" t="s">
        <v>10752</v>
      </c>
      <c r="L893" s="92" t="s">
        <v>10753</v>
      </c>
      <c r="M893" s="92" t="s">
        <v>10754</v>
      </c>
      <c r="N893" s="92" t="s">
        <v>10755</v>
      </c>
      <c r="O893" s="92" t="s">
        <v>10756</v>
      </c>
      <c r="S893" s="6">
        <v>1900014025</v>
      </c>
      <c r="T893" s="92">
        <v>1900026285</v>
      </c>
      <c r="U893" s="92">
        <v>2000002010</v>
      </c>
      <c r="V893" s="92">
        <v>2000005295</v>
      </c>
      <c r="W893" s="92">
        <v>2000010106</v>
      </c>
      <c r="X893" s="92">
        <v>2000023018</v>
      </c>
      <c r="Y893" s="92">
        <v>2000029201</v>
      </c>
      <c r="Z893" s="92">
        <v>2000033025</v>
      </c>
      <c r="AA893" s="92">
        <v>2015018219</v>
      </c>
      <c r="AE893" s="6" t="s">
        <v>770</v>
      </c>
      <c r="AF893" s="92" t="s">
        <v>570</v>
      </c>
      <c r="AG893" s="92" t="s">
        <v>1043</v>
      </c>
      <c r="AH893" s="92" t="s">
        <v>181</v>
      </c>
      <c r="AI893" s="92" t="s">
        <v>532</v>
      </c>
      <c r="AJ893" s="92" t="s">
        <v>899</v>
      </c>
      <c r="AK893" s="92" t="s">
        <v>533</v>
      </c>
      <c r="AL893" s="92" t="s">
        <v>1112</v>
      </c>
      <c r="AM893" s="92" t="s">
        <v>179</v>
      </c>
      <c r="AQ893" s="6" t="s">
        <v>186</v>
      </c>
      <c r="AR893" s="92" t="s">
        <v>187</v>
      </c>
      <c r="AS893" s="92" t="s">
        <v>186</v>
      </c>
      <c r="AT893" s="92" t="s">
        <v>186</v>
      </c>
      <c r="AU893" s="92" t="s">
        <v>187</v>
      </c>
      <c r="AV893" s="92" t="s">
        <v>186</v>
      </c>
      <c r="AW893" s="92" t="s">
        <v>186</v>
      </c>
      <c r="AX893" s="92" t="s">
        <v>186</v>
      </c>
      <c r="AY893" s="92" t="s">
        <v>187</v>
      </c>
      <c r="BC893" s="60">
        <v>82293581701</v>
      </c>
      <c r="BD893" s="93">
        <v>8813811249</v>
      </c>
      <c r="BE893" s="93">
        <v>85643598516</v>
      </c>
      <c r="BF893" s="93">
        <v>87744765335</v>
      </c>
      <c r="BG893" s="93">
        <v>88232846325</v>
      </c>
      <c r="BH893" s="93">
        <v>82134177218</v>
      </c>
      <c r="BI893" s="93">
        <v>85387336000</v>
      </c>
      <c r="BJ893" s="93">
        <v>81392511938</v>
      </c>
      <c r="BK893" s="93">
        <v>82237068987</v>
      </c>
      <c r="BP893" s="18" t="s">
        <v>10757</v>
      </c>
      <c r="BQ893" s="37">
        <v>45320</v>
      </c>
      <c r="BR893" s="8">
        <f t="shared" si="3"/>
        <v>9</v>
      </c>
    </row>
    <row r="894" spans="1:70" ht="14">
      <c r="A894" s="4" t="str">
        <v>Reguler Periode ke-119 X.C.1</v>
      </c>
      <c r="B894" s="4" t="s">
        <v>9561</v>
      </c>
      <c r="C894" s="4" t="s">
        <v>3408</v>
      </c>
      <c r="D894" s="4" t="s">
        <v>10758</v>
      </c>
      <c r="E894" s="4" t="s">
        <v>7537</v>
      </c>
      <c r="F894" s="4" t="s">
        <v>193</v>
      </c>
      <c r="G894" s="6" t="s">
        <v>10759</v>
      </c>
      <c r="H894" s="92" t="s">
        <v>10760</v>
      </c>
      <c r="I894" s="92" t="s">
        <v>10761</v>
      </c>
      <c r="J894" s="92" t="s">
        <v>10762</v>
      </c>
      <c r="K894" s="92" t="s">
        <v>10763</v>
      </c>
      <c r="L894" s="92" t="s">
        <v>10764</v>
      </c>
      <c r="M894" s="92" t="s">
        <v>10765</v>
      </c>
      <c r="N894" s="92" t="s">
        <v>10766</v>
      </c>
      <c r="S894" s="6">
        <v>2000005031</v>
      </c>
      <c r="T894" s="92">
        <v>2000010097</v>
      </c>
      <c r="U894" s="92">
        <v>2000014033</v>
      </c>
      <c r="V894" s="92">
        <v>2000018335</v>
      </c>
      <c r="W894" s="92">
        <v>2000023248</v>
      </c>
      <c r="X894" s="92">
        <v>2000026074</v>
      </c>
      <c r="Y894" s="92">
        <v>2000029125</v>
      </c>
      <c r="Z894" s="92">
        <v>2000033103</v>
      </c>
      <c r="AE894" s="6" t="s">
        <v>181</v>
      </c>
      <c r="AF894" s="92" t="s">
        <v>532</v>
      </c>
      <c r="AG894" s="92" t="s">
        <v>770</v>
      </c>
      <c r="AH894" s="92" t="s">
        <v>179</v>
      </c>
      <c r="AI894" s="92" t="s">
        <v>899</v>
      </c>
      <c r="AJ894" s="92" t="s">
        <v>570</v>
      </c>
      <c r="AK894" s="92" t="s">
        <v>533</v>
      </c>
      <c r="AL894" s="92" t="s">
        <v>1112</v>
      </c>
      <c r="AQ894" s="6" t="s">
        <v>186</v>
      </c>
      <c r="AR894" s="92" t="s">
        <v>187</v>
      </c>
      <c r="AS894" s="92" t="s">
        <v>186</v>
      </c>
      <c r="AT894" s="92" t="s">
        <v>187</v>
      </c>
      <c r="AU894" s="92" t="s">
        <v>186</v>
      </c>
      <c r="AV894" s="92" t="s">
        <v>187</v>
      </c>
      <c r="AW894" s="92" t="s">
        <v>186</v>
      </c>
      <c r="AX894" s="92" t="s">
        <v>186</v>
      </c>
      <c r="BC894" s="60">
        <v>82131872927</v>
      </c>
      <c r="BD894" s="93">
        <v>87834645159</v>
      </c>
      <c r="BE894" s="93">
        <v>85337815778</v>
      </c>
      <c r="BF894" s="93">
        <v>82324081446</v>
      </c>
      <c r="BG894" s="93">
        <v>89523024900</v>
      </c>
      <c r="BH894" s="93">
        <v>85729993216</v>
      </c>
      <c r="BI894" s="93">
        <v>85861191657</v>
      </c>
      <c r="BJ894" s="93">
        <v>8987494145</v>
      </c>
      <c r="BP894" s="18" t="s">
        <v>10767</v>
      </c>
      <c r="BQ894" s="37">
        <v>45320</v>
      </c>
      <c r="BR894" s="8">
        <f t="shared" si="3"/>
        <v>8</v>
      </c>
    </row>
    <row r="895" spans="1:70" ht="14">
      <c r="A895" s="4" t="str">
        <v>Reguler Periode ke-119 X.C.2</v>
      </c>
      <c r="B895" s="4" t="s">
        <v>9561</v>
      </c>
      <c r="C895" s="4" t="s">
        <v>3421</v>
      </c>
      <c r="D895" s="4" t="s">
        <v>10758</v>
      </c>
      <c r="E895" s="4" t="s">
        <v>7548</v>
      </c>
      <c r="F895" s="4" t="s">
        <v>193</v>
      </c>
      <c r="G895" s="6" t="s">
        <v>10768</v>
      </c>
      <c r="H895" s="92" t="s">
        <v>10769</v>
      </c>
      <c r="I895" s="92" t="s">
        <v>10770</v>
      </c>
      <c r="J895" s="92" t="s">
        <v>10771</v>
      </c>
      <c r="K895" s="92" t="s">
        <v>10772</v>
      </c>
      <c r="L895" s="92" t="s">
        <v>10773</v>
      </c>
      <c r="M895" s="92" t="s">
        <v>10774</v>
      </c>
      <c r="N895" s="92" t="s">
        <v>10775</v>
      </c>
      <c r="S895" s="6">
        <v>1900026103</v>
      </c>
      <c r="T895" s="92">
        <v>2000005250</v>
      </c>
      <c r="U895" s="92">
        <v>2000010025</v>
      </c>
      <c r="V895" s="92">
        <v>2000014002</v>
      </c>
      <c r="W895" s="92">
        <v>2000018163</v>
      </c>
      <c r="X895" s="92">
        <v>2000023101</v>
      </c>
      <c r="Y895" s="92">
        <v>2000029057</v>
      </c>
      <c r="Z895" s="92">
        <v>2000033105</v>
      </c>
      <c r="AE895" s="6" t="s">
        <v>570</v>
      </c>
      <c r="AF895" s="92" t="s">
        <v>181</v>
      </c>
      <c r="AG895" s="92" t="s">
        <v>532</v>
      </c>
      <c r="AH895" s="92" t="s">
        <v>770</v>
      </c>
      <c r="AI895" s="92" t="s">
        <v>179</v>
      </c>
      <c r="AJ895" s="92" t="s">
        <v>899</v>
      </c>
      <c r="AK895" s="92" t="s">
        <v>533</v>
      </c>
      <c r="AL895" s="92" t="s">
        <v>1112</v>
      </c>
      <c r="AQ895" s="6" t="s">
        <v>187</v>
      </c>
      <c r="AR895" s="92" t="s">
        <v>186</v>
      </c>
      <c r="AS895" s="92" t="s">
        <v>187</v>
      </c>
      <c r="AT895" s="92" t="s">
        <v>186</v>
      </c>
      <c r="AU895" s="92" t="s">
        <v>187</v>
      </c>
      <c r="AV895" s="92" t="s">
        <v>186</v>
      </c>
      <c r="AW895" s="92" t="s">
        <v>186</v>
      </c>
      <c r="AX895" s="92" t="s">
        <v>186</v>
      </c>
      <c r="BC895" s="60">
        <v>81393619621</v>
      </c>
      <c r="BD895" s="93">
        <v>81256282032</v>
      </c>
      <c r="BE895" s="93">
        <v>85900239843</v>
      </c>
      <c r="BF895" s="93">
        <v>81238653570</v>
      </c>
      <c r="BG895" s="93">
        <v>81327970541</v>
      </c>
      <c r="BH895" s="93">
        <v>8164242502</v>
      </c>
      <c r="BI895" s="93">
        <v>87711870642</v>
      </c>
      <c r="BJ895" s="93">
        <v>85811976812</v>
      </c>
      <c r="BP895" s="18" t="s">
        <v>10776</v>
      </c>
      <c r="BQ895" s="37">
        <v>45320</v>
      </c>
      <c r="BR895" s="8">
        <f t="shared" si="3"/>
        <v>8</v>
      </c>
    </row>
    <row r="896" spans="1:70" ht="14">
      <c r="A896" s="4" t="str">
        <v>Reguler Periode ke-119 X.C.3</v>
      </c>
      <c r="B896" s="4" t="s">
        <v>9561</v>
      </c>
      <c r="C896" s="4" t="s">
        <v>3433</v>
      </c>
      <c r="D896" s="4" t="s">
        <v>10758</v>
      </c>
      <c r="E896" s="4" t="s">
        <v>3653</v>
      </c>
      <c r="F896" s="4" t="s">
        <v>193</v>
      </c>
      <c r="G896" s="6" t="s">
        <v>10777</v>
      </c>
      <c r="H896" s="92" t="s">
        <v>10778</v>
      </c>
      <c r="I896" s="92" t="s">
        <v>10779</v>
      </c>
      <c r="J896" s="92" t="s">
        <v>8054</v>
      </c>
      <c r="K896" s="92" t="s">
        <v>10780</v>
      </c>
      <c r="L896" s="92" t="s">
        <v>10781</v>
      </c>
      <c r="M896" s="92" t="s">
        <v>10782</v>
      </c>
      <c r="N896" s="92" t="s">
        <v>10783</v>
      </c>
      <c r="O896" s="92" t="s">
        <v>10784</v>
      </c>
      <c r="S896" s="6">
        <v>2000002020</v>
      </c>
      <c r="T896" s="92">
        <v>2000005178</v>
      </c>
      <c r="U896" s="92">
        <v>2000010021</v>
      </c>
      <c r="V896" s="92">
        <v>2000014006</v>
      </c>
      <c r="W896" s="92">
        <v>2000018121</v>
      </c>
      <c r="X896" s="92">
        <v>2000023057</v>
      </c>
      <c r="Y896" s="92">
        <v>2000026026</v>
      </c>
      <c r="Z896" s="92">
        <v>2000029196</v>
      </c>
      <c r="AA896" s="92">
        <v>2000033071</v>
      </c>
      <c r="AE896" s="6" t="s">
        <v>1043</v>
      </c>
      <c r="AF896" s="92" t="s">
        <v>181</v>
      </c>
      <c r="AG896" s="92" t="s">
        <v>532</v>
      </c>
      <c r="AH896" s="92" t="s">
        <v>770</v>
      </c>
      <c r="AI896" s="92" t="s">
        <v>179</v>
      </c>
      <c r="AJ896" s="92" t="s">
        <v>899</v>
      </c>
      <c r="AK896" s="92" t="s">
        <v>570</v>
      </c>
      <c r="AL896" s="92" t="s">
        <v>533</v>
      </c>
      <c r="AM896" s="92" t="s">
        <v>1112</v>
      </c>
      <c r="AQ896" s="6" t="s">
        <v>186</v>
      </c>
      <c r="AR896" s="92" t="s">
        <v>186</v>
      </c>
      <c r="AS896" s="92" t="s">
        <v>187</v>
      </c>
      <c r="AT896" s="92" t="s">
        <v>186</v>
      </c>
      <c r="AU896" s="92" t="s">
        <v>187</v>
      </c>
      <c r="AV896" s="92" t="s">
        <v>186</v>
      </c>
      <c r="AW896" s="92" t="s">
        <v>187</v>
      </c>
      <c r="AX896" s="92" t="s">
        <v>186</v>
      </c>
      <c r="AY896" s="92" t="s">
        <v>186</v>
      </c>
      <c r="BC896" s="60">
        <v>8980954183</v>
      </c>
      <c r="BD896" s="93">
        <v>87798887797</v>
      </c>
      <c r="BE896" s="93">
        <v>85213893658</v>
      </c>
      <c r="BF896" s="93">
        <v>81253403647</v>
      </c>
      <c r="BG896" s="93">
        <v>85244749346</v>
      </c>
      <c r="BH896" s="93">
        <v>81327781277</v>
      </c>
      <c r="BI896" s="93">
        <v>82230122027</v>
      </c>
      <c r="BJ896" s="93">
        <v>85788760973</v>
      </c>
      <c r="BK896" s="93">
        <v>89673144950</v>
      </c>
      <c r="BP896" s="18" t="s">
        <v>10785</v>
      </c>
      <c r="BQ896" s="37">
        <v>45320</v>
      </c>
      <c r="BR896" s="8">
        <f t="shared" si="3"/>
        <v>9</v>
      </c>
    </row>
    <row r="897" spans="1:70" ht="14">
      <c r="A897" s="4" t="str">
        <v>Reguler Periode ke-119 X.D.1</v>
      </c>
      <c r="B897" s="4" t="s">
        <v>9561</v>
      </c>
      <c r="C897" s="4" t="s">
        <v>3445</v>
      </c>
      <c r="D897" s="4" t="s">
        <v>10786</v>
      </c>
      <c r="E897" s="4" t="s">
        <v>3641</v>
      </c>
      <c r="F897" s="4" t="s">
        <v>193</v>
      </c>
      <c r="G897" s="6" t="s">
        <v>10787</v>
      </c>
      <c r="H897" s="92" t="s">
        <v>10788</v>
      </c>
      <c r="I897" s="92" t="s">
        <v>10789</v>
      </c>
      <c r="J897" s="92" t="s">
        <v>10790</v>
      </c>
      <c r="K897" s="92" t="s">
        <v>10791</v>
      </c>
      <c r="L897" s="92" t="s">
        <v>10792</v>
      </c>
      <c r="M897" s="92" t="s">
        <v>10793</v>
      </c>
      <c r="N897" s="92" t="s">
        <v>10794</v>
      </c>
      <c r="S897" s="6">
        <v>2000005322</v>
      </c>
      <c r="T897" s="92">
        <v>2000010006</v>
      </c>
      <c r="U897" s="92">
        <v>2000015027</v>
      </c>
      <c r="V897" s="92">
        <v>2000018368</v>
      </c>
      <c r="W897" s="92">
        <v>2000023097</v>
      </c>
      <c r="X897" s="92">
        <v>2000026164</v>
      </c>
      <c r="Y897" s="92">
        <v>2000029013</v>
      </c>
      <c r="Z897" s="92">
        <v>2000033110</v>
      </c>
      <c r="AE897" s="6" t="s">
        <v>181</v>
      </c>
      <c r="AF897" s="92" t="s">
        <v>532</v>
      </c>
      <c r="AG897" s="92" t="s">
        <v>937</v>
      </c>
      <c r="AH897" s="92" t="s">
        <v>179</v>
      </c>
      <c r="AI897" s="92" t="s">
        <v>899</v>
      </c>
      <c r="AJ897" s="92" t="s">
        <v>570</v>
      </c>
      <c r="AK897" s="92" t="s">
        <v>533</v>
      </c>
      <c r="AL897" s="92" t="s">
        <v>1112</v>
      </c>
      <c r="AQ897" s="6" t="s">
        <v>186</v>
      </c>
      <c r="AR897" s="92" t="s">
        <v>187</v>
      </c>
      <c r="AS897" s="92" t="s">
        <v>186</v>
      </c>
      <c r="AT897" s="92" t="s">
        <v>187</v>
      </c>
      <c r="AU897" s="92" t="s">
        <v>186</v>
      </c>
      <c r="AV897" s="92" t="s">
        <v>187</v>
      </c>
      <c r="AW897" s="92" t="s">
        <v>186</v>
      </c>
      <c r="AX897" s="92" t="s">
        <v>186</v>
      </c>
      <c r="BC897" s="60">
        <v>85712064601</v>
      </c>
      <c r="BD897" s="93">
        <v>82218950772</v>
      </c>
      <c r="BE897" s="93">
        <v>85392095618</v>
      </c>
      <c r="BF897" s="93">
        <v>8981082929</v>
      </c>
      <c r="BG897" s="93">
        <v>85889553684</v>
      </c>
      <c r="BH897" s="93">
        <v>81296656676</v>
      </c>
      <c r="BI897" s="93">
        <v>82156368336</v>
      </c>
      <c r="BJ897" s="93">
        <v>82167230212</v>
      </c>
      <c r="BP897" s="18" t="s">
        <v>10795</v>
      </c>
      <c r="BQ897" s="37">
        <v>45320</v>
      </c>
      <c r="BR897" s="8">
        <f t="shared" si="3"/>
        <v>8</v>
      </c>
    </row>
    <row r="898" spans="1:70" ht="14">
      <c r="A898" s="4" t="str">
        <v>Reguler Periode ke-119 X.D.2</v>
      </c>
      <c r="B898" s="4" t="s">
        <v>9561</v>
      </c>
      <c r="C898" s="4" t="s">
        <v>3458</v>
      </c>
      <c r="D898" s="4" t="s">
        <v>10786</v>
      </c>
      <c r="E898" s="4" t="s">
        <v>3629</v>
      </c>
      <c r="F898" s="4" t="s">
        <v>193</v>
      </c>
      <c r="G898" s="6" t="s">
        <v>10796</v>
      </c>
      <c r="H898" s="92" t="s">
        <v>10797</v>
      </c>
      <c r="I898" s="92" t="s">
        <v>10798</v>
      </c>
      <c r="J898" s="92" t="s">
        <v>10799</v>
      </c>
      <c r="K898" s="92" t="s">
        <v>10800</v>
      </c>
      <c r="L898" s="92" t="s">
        <v>10801</v>
      </c>
      <c r="M898" s="92" t="s">
        <v>10802</v>
      </c>
      <c r="N898" s="92" t="s">
        <v>10803</v>
      </c>
      <c r="S898" s="6">
        <v>2000005335</v>
      </c>
      <c r="T898" s="92">
        <v>2000010012</v>
      </c>
      <c r="U898" s="92">
        <v>2000015015</v>
      </c>
      <c r="V898" s="92">
        <v>2000018051</v>
      </c>
      <c r="W898" s="92">
        <v>2000023149</v>
      </c>
      <c r="X898" s="92">
        <v>2000026208</v>
      </c>
      <c r="Y898" s="92">
        <v>2000029053</v>
      </c>
      <c r="Z898" s="92">
        <v>2000033074</v>
      </c>
      <c r="AE898" s="6" t="s">
        <v>181</v>
      </c>
      <c r="AF898" s="92" t="s">
        <v>532</v>
      </c>
      <c r="AG898" s="92" t="s">
        <v>937</v>
      </c>
      <c r="AH898" s="92" t="s">
        <v>179</v>
      </c>
      <c r="AI898" s="92" t="s">
        <v>899</v>
      </c>
      <c r="AJ898" s="92" t="s">
        <v>570</v>
      </c>
      <c r="AK898" s="92" t="s">
        <v>533</v>
      </c>
      <c r="AL898" s="92" t="s">
        <v>1112</v>
      </c>
      <c r="AQ898" s="6" t="s">
        <v>186</v>
      </c>
      <c r="AR898" s="92" t="s">
        <v>187</v>
      </c>
      <c r="AS898" s="92" t="s">
        <v>186</v>
      </c>
      <c r="AT898" s="92" t="s">
        <v>187</v>
      </c>
      <c r="AU898" s="92" t="s">
        <v>186</v>
      </c>
      <c r="AV898" s="92" t="s">
        <v>187</v>
      </c>
      <c r="AW898" s="92" t="s">
        <v>186</v>
      </c>
      <c r="AX898" s="92" t="s">
        <v>186</v>
      </c>
      <c r="BC898" s="60">
        <v>82316057502</v>
      </c>
      <c r="BD898" s="93">
        <v>82238339678</v>
      </c>
      <c r="BE898" s="93">
        <v>82398770967</v>
      </c>
      <c r="BF898" s="93">
        <v>895324391984</v>
      </c>
      <c r="BG898" s="93">
        <v>85244617227</v>
      </c>
      <c r="BH898" s="93">
        <v>895355456611</v>
      </c>
      <c r="BI898" s="93">
        <v>82256733220</v>
      </c>
      <c r="BJ898" s="93">
        <v>87730160367</v>
      </c>
      <c r="BP898" s="18" t="s">
        <v>10804</v>
      </c>
      <c r="BQ898" s="37">
        <v>45320</v>
      </c>
      <c r="BR898" s="8">
        <f t="shared" si="3"/>
        <v>8</v>
      </c>
    </row>
    <row r="899" spans="1:70" ht="14">
      <c r="A899" s="4" t="str">
        <v>Reguler Periode ke-119 X.D.3</v>
      </c>
      <c r="B899" s="4" t="s">
        <v>9561</v>
      </c>
      <c r="C899" s="4" t="s">
        <v>3470</v>
      </c>
      <c r="D899" s="4" t="s">
        <v>10786</v>
      </c>
      <c r="E899" s="4" t="s">
        <v>3666</v>
      </c>
      <c r="F899" s="4" t="s">
        <v>193</v>
      </c>
      <c r="G899" s="6" t="s">
        <v>10805</v>
      </c>
      <c r="H899" s="92" t="s">
        <v>10806</v>
      </c>
      <c r="I899" s="92" t="s">
        <v>10807</v>
      </c>
      <c r="J899" s="92" t="s">
        <v>10808</v>
      </c>
      <c r="K899" s="92" t="s">
        <v>10809</v>
      </c>
      <c r="L899" s="92" t="s">
        <v>10810</v>
      </c>
      <c r="M899" s="92" t="s">
        <v>10811</v>
      </c>
      <c r="N899" s="92" t="s">
        <v>10812</v>
      </c>
      <c r="S899" s="6">
        <v>2000005151</v>
      </c>
      <c r="T899" s="92">
        <v>2000010044</v>
      </c>
      <c r="U899" s="92">
        <v>2000015005</v>
      </c>
      <c r="V899" s="92">
        <v>2000018009</v>
      </c>
      <c r="W899" s="92">
        <v>2000023078</v>
      </c>
      <c r="X899" s="92">
        <v>2000026117</v>
      </c>
      <c r="Y899" s="92">
        <v>2000029126</v>
      </c>
      <c r="Z899" s="92">
        <v>2000033080</v>
      </c>
      <c r="AE899" s="6" t="s">
        <v>181</v>
      </c>
      <c r="AF899" s="92" t="s">
        <v>532</v>
      </c>
      <c r="AG899" s="92" t="s">
        <v>937</v>
      </c>
      <c r="AH899" s="92" t="s">
        <v>179</v>
      </c>
      <c r="AI899" s="92" t="s">
        <v>899</v>
      </c>
      <c r="AJ899" s="92" t="s">
        <v>570</v>
      </c>
      <c r="AK899" s="92" t="s">
        <v>533</v>
      </c>
      <c r="AL899" s="92" t="s">
        <v>1112</v>
      </c>
      <c r="AQ899" s="6" t="s">
        <v>186</v>
      </c>
      <c r="AR899" s="92" t="s">
        <v>187</v>
      </c>
      <c r="AS899" s="92" t="s">
        <v>186</v>
      </c>
      <c r="AT899" s="92" t="s">
        <v>187</v>
      </c>
      <c r="AU899" s="92" t="s">
        <v>186</v>
      </c>
      <c r="AV899" s="92" t="s">
        <v>187</v>
      </c>
      <c r="AW899" s="92" t="s">
        <v>186</v>
      </c>
      <c r="AX899" s="92" t="s">
        <v>186</v>
      </c>
      <c r="BC899" s="60">
        <v>81278012601</v>
      </c>
      <c r="BD899" s="93">
        <v>82288139167</v>
      </c>
      <c r="BE899" s="93">
        <v>85156771522</v>
      </c>
      <c r="BF899" s="93">
        <v>85156265492</v>
      </c>
      <c r="BG899" s="93">
        <v>82216898936</v>
      </c>
      <c r="BH899" s="93">
        <v>87838104754</v>
      </c>
      <c r="BI899" s="93">
        <v>82372311141</v>
      </c>
      <c r="BJ899" s="93">
        <v>81913709726</v>
      </c>
      <c r="BP899" s="18" t="s">
        <v>10813</v>
      </c>
      <c r="BQ899" s="37">
        <v>45320</v>
      </c>
      <c r="BR899" s="8">
        <f t="shared" si="3"/>
        <v>8</v>
      </c>
    </row>
    <row r="900" spans="1:70" ht="14">
      <c r="A900" s="4" t="str">
        <v>Reguler Periode ke-119 XI.A.1</v>
      </c>
      <c r="B900" s="4" t="s">
        <v>9561</v>
      </c>
      <c r="C900" s="4" t="s">
        <v>3482</v>
      </c>
      <c r="D900" s="4" t="s">
        <v>10814</v>
      </c>
      <c r="E900" s="4" t="s">
        <v>3678</v>
      </c>
      <c r="F900" s="4" t="s">
        <v>193</v>
      </c>
      <c r="G900" s="6" t="s">
        <v>10815</v>
      </c>
      <c r="H900" s="92" t="s">
        <v>10816</v>
      </c>
      <c r="I900" s="92" t="s">
        <v>10817</v>
      </c>
      <c r="J900" s="92" t="s">
        <v>10818</v>
      </c>
      <c r="K900" s="92" t="s">
        <v>10819</v>
      </c>
      <c r="L900" s="92" t="s">
        <v>10820</v>
      </c>
      <c r="M900" s="92" t="s">
        <v>10821</v>
      </c>
      <c r="N900" s="92" t="s">
        <v>10822</v>
      </c>
      <c r="O900" s="92" t="s">
        <v>10823</v>
      </c>
      <c r="S900" s="6">
        <v>2000003016</v>
      </c>
      <c r="T900" s="92">
        <v>2000005356</v>
      </c>
      <c r="U900" s="92">
        <v>2000010004</v>
      </c>
      <c r="V900" s="92">
        <v>2000015030</v>
      </c>
      <c r="W900" s="92">
        <v>2000018425</v>
      </c>
      <c r="X900" s="92">
        <v>2000023107</v>
      </c>
      <c r="Y900" s="92">
        <v>2000026218</v>
      </c>
      <c r="Z900" s="92">
        <v>2000029207</v>
      </c>
      <c r="AA900" s="92">
        <v>2000033050</v>
      </c>
      <c r="AE900" s="6" t="s">
        <v>178</v>
      </c>
      <c r="AF900" s="92" t="s">
        <v>181</v>
      </c>
      <c r="AG900" s="92" t="s">
        <v>532</v>
      </c>
      <c r="AH900" s="92" t="s">
        <v>937</v>
      </c>
      <c r="AI900" s="92" t="s">
        <v>179</v>
      </c>
      <c r="AJ900" s="92" t="s">
        <v>899</v>
      </c>
      <c r="AK900" s="92" t="s">
        <v>570</v>
      </c>
      <c r="AL900" s="92" t="s">
        <v>533</v>
      </c>
      <c r="AM900" s="92" t="s">
        <v>1112</v>
      </c>
      <c r="AQ900" s="6" t="s">
        <v>186</v>
      </c>
      <c r="AR900" s="92" t="s">
        <v>186</v>
      </c>
      <c r="AS900" s="92" t="s">
        <v>187</v>
      </c>
      <c r="AT900" s="92" t="s">
        <v>186</v>
      </c>
      <c r="AU900" s="92" t="s">
        <v>187</v>
      </c>
      <c r="AV900" s="92" t="s">
        <v>186</v>
      </c>
      <c r="AW900" s="92" t="s">
        <v>187</v>
      </c>
      <c r="AX900" s="92" t="s">
        <v>186</v>
      </c>
      <c r="AY900" s="92" t="s">
        <v>186</v>
      </c>
      <c r="BC900" s="60">
        <v>85742051653</v>
      </c>
      <c r="BD900" s="93">
        <v>8988339784</v>
      </c>
      <c r="BE900" s="93">
        <v>82218137715</v>
      </c>
      <c r="BF900" s="93">
        <v>895392769267</v>
      </c>
      <c r="BG900" s="93">
        <v>82328641861</v>
      </c>
      <c r="BH900" s="93">
        <v>87830027830</v>
      </c>
      <c r="BI900" s="93">
        <v>8981702451</v>
      </c>
      <c r="BJ900" s="93">
        <v>81393727294</v>
      </c>
      <c r="BK900" s="93">
        <v>89519385466</v>
      </c>
      <c r="BP900" s="18" t="s">
        <v>10824</v>
      </c>
      <c r="BQ900" s="37">
        <v>45320</v>
      </c>
      <c r="BR900" s="8">
        <f t="shared" si="3"/>
        <v>9</v>
      </c>
    </row>
    <row r="901" spans="1:70" ht="14">
      <c r="A901" s="4" t="str">
        <v>Reguler Periode ke-119 XI.A.2</v>
      </c>
      <c r="B901" s="4" t="s">
        <v>9561</v>
      </c>
      <c r="C901" s="4" t="s">
        <v>3495</v>
      </c>
      <c r="D901" s="4" t="s">
        <v>10814</v>
      </c>
      <c r="E901" s="4" t="s">
        <v>3690</v>
      </c>
      <c r="F901" s="4" t="s">
        <v>193</v>
      </c>
      <c r="G901" s="6" t="s">
        <v>10825</v>
      </c>
      <c r="H901" s="92" t="s">
        <v>10826</v>
      </c>
      <c r="I901" s="92" t="s">
        <v>10827</v>
      </c>
      <c r="J901" s="92" t="s">
        <v>10828</v>
      </c>
      <c r="K901" s="92" t="s">
        <v>10829</v>
      </c>
      <c r="L901" s="92" t="s">
        <v>10830</v>
      </c>
      <c r="M901" s="92" t="s">
        <v>10831</v>
      </c>
      <c r="N901" s="92" t="s">
        <v>10832</v>
      </c>
      <c r="O901" s="92" t="s">
        <v>10833</v>
      </c>
      <c r="S901" s="6">
        <v>2000003077</v>
      </c>
      <c r="T901" s="92">
        <v>2000005222</v>
      </c>
      <c r="U901" s="92">
        <v>2000010074</v>
      </c>
      <c r="V901" s="92">
        <v>2000015033</v>
      </c>
      <c r="W901" s="92">
        <v>2000018058</v>
      </c>
      <c r="X901" s="92">
        <v>2000023126</v>
      </c>
      <c r="Y901" s="92">
        <v>2000026088</v>
      </c>
      <c r="Z901" s="92">
        <v>2000029270</v>
      </c>
      <c r="AA901" s="92">
        <v>2000033107</v>
      </c>
      <c r="AE901" s="6" t="s">
        <v>178</v>
      </c>
      <c r="AF901" s="92" t="s">
        <v>181</v>
      </c>
      <c r="AG901" s="92" t="s">
        <v>532</v>
      </c>
      <c r="AH901" s="92" t="s">
        <v>937</v>
      </c>
      <c r="AI901" s="92" t="s">
        <v>179</v>
      </c>
      <c r="AJ901" s="92" t="s">
        <v>899</v>
      </c>
      <c r="AK901" s="92" t="s">
        <v>570</v>
      </c>
      <c r="AL901" s="92" t="s">
        <v>533</v>
      </c>
      <c r="AM901" s="92" t="s">
        <v>1112</v>
      </c>
      <c r="AQ901" s="6" t="s">
        <v>186</v>
      </c>
      <c r="AR901" s="92" t="s">
        <v>186</v>
      </c>
      <c r="AS901" s="92" t="s">
        <v>187</v>
      </c>
      <c r="AT901" s="92" t="s">
        <v>186</v>
      </c>
      <c r="AU901" s="92" t="s">
        <v>187</v>
      </c>
      <c r="AV901" s="92" t="s">
        <v>186</v>
      </c>
      <c r="AW901" s="92" t="s">
        <v>187</v>
      </c>
      <c r="AX901" s="92" t="s">
        <v>186</v>
      </c>
      <c r="AY901" s="92" t="s">
        <v>186</v>
      </c>
      <c r="BC901" s="60">
        <v>85600070959</v>
      </c>
      <c r="BD901" s="93">
        <v>8882751134</v>
      </c>
      <c r="BE901" s="93">
        <v>82242370425</v>
      </c>
      <c r="BF901" s="93">
        <v>85174373850</v>
      </c>
      <c r="BG901" s="93">
        <v>89673502690</v>
      </c>
      <c r="BH901" s="93">
        <v>882005657582</v>
      </c>
      <c r="BI901" s="93">
        <v>8987283145</v>
      </c>
      <c r="BJ901" s="93">
        <v>8774145586</v>
      </c>
      <c r="BK901" s="93">
        <v>85856232001</v>
      </c>
      <c r="BP901" s="18" t="s">
        <v>10834</v>
      </c>
      <c r="BQ901" s="37">
        <v>45320</v>
      </c>
      <c r="BR901" s="8">
        <f t="shared" si="3"/>
        <v>9</v>
      </c>
    </row>
    <row r="902" spans="1:70" ht="14">
      <c r="A902" s="4" t="str">
        <v>Reguler Periode ke-119 XI.B.1</v>
      </c>
      <c r="B902" s="4" t="s">
        <v>9561</v>
      </c>
      <c r="C902" s="4" t="s">
        <v>3518</v>
      </c>
      <c r="D902" s="4" t="s">
        <v>10835</v>
      </c>
      <c r="E902" s="4" t="s">
        <v>10836</v>
      </c>
      <c r="F902" s="4" t="s">
        <v>193</v>
      </c>
      <c r="G902" s="6" t="s">
        <v>10837</v>
      </c>
      <c r="H902" s="92" t="s">
        <v>10838</v>
      </c>
      <c r="I902" s="92" t="s">
        <v>10839</v>
      </c>
      <c r="J902" s="92" t="s">
        <v>10840</v>
      </c>
      <c r="K902" s="92" t="s">
        <v>10841</v>
      </c>
      <c r="L902" s="92" t="s">
        <v>10842</v>
      </c>
      <c r="M902" s="92" t="s">
        <v>10843</v>
      </c>
      <c r="N902" s="92" t="s">
        <v>10844</v>
      </c>
      <c r="O902" s="92" t="s">
        <v>10845</v>
      </c>
      <c r="S902" s="6">
        <v>2000003002</v>
      </c>
      <c r="T902" s="92">
        <v>2000005283</v>
      </c>
      <c r="U902" s="92">
        <v>2000011010</v>
      </c>
      <c r="V902" s="92">
        <v>2000015023</v>
      </c>
      <c r="W902" s="92">
        <v>2000018359</v>
      </c>
      <c r="X902" s="92">
        <v>2000023020</v>
      </c>
      <c r="Y902" s="92">
        <v>2000026011</v>
      </c>
      <c r="Z902" s="92">
        <v>2000029111</v>
      </c>
      <c r="AA902" s="92">
        <v>2015033063</v>
      </c>
      <c r="AE902" s="6" t="s">
        <v>178</v>
      </c>
      <c r="AF902" s="92" t="s">
        <v>181</v>
      </c>
      <c r="AG902" s="92" t="s">
        <v>182</v>
      </c>
      <c r="AH902" s="92" t="s">
        <v>937</v>
      </c>
      <c r="AI902" s="92" t="s">
        <v>179</v>
      </c>
      <c r="AJ902" s="92" t="s">
        <v>899</v>
      </c>
      <c r="AK902" s="92" t="s">
        <v>570</v>
      </c>
      <c r="AL902" s="92" t="s">
        <v>533</v>
      </c>
      <c r="AM902" s="92" t="s">
        <v>1112</v>
      </c>
      <c r="AQ902" s="6" t="s">
        <v>186</v>
      </c>
      <c r="AR902" s="92" t="s">
        <v>186</v>
      </c>
      <c r="AS902" s="92" t="s">
        <v>187</v>
      </c>
      <c r="AT902" s="92" t="s">
        <v>186</v>
      </c>
      <c r="AU902" s="92" t="s">
        <v>187</v>
      </c>
      <c r="AV902" s="92" t="s">
        <v>186</v>
      </c>
      <c r="AW902" s="92" t="s">
        <v>187</v>
      </c>
      <c r="AX902" s="92" t="s">
        <v>186</v>
      </c>
      <c r="AY902" s="92" t="s">
        <v>186</v>
      </c>
      <c r="BC902" s="60">
        <v>89633955751</v>
      </c>
      <c r="BD902" s="93">
        <v>85767895401</v>
      </c>
      <c r="BE902" s="93">
        <v>82190072628</v>
      </c>
      <c r="BF902" s="93">
        <v>85786242385</v>
      </c>
      <c r="BG902" s="93">
        <v>85600915407</v>
      </c>
      <c r="BH902" s="93">
        <v>81240875824</v>
      </c>
      <c r="BI902" s="93">
        <v>85813228539</v>
      </c>
      <c r="BJ902" s="93">
        <v>85336035918</v>
      </c>
      <c r="BK902" s="93"/>
      <c r="BP902" s="18" t="s">
        <v>10846</v>
      </c>
      <c r="BQ902" s="37">
        <v>45321</v>
      </c>
      <c r="BR902" s="8">
        <f t="shared" si="3"/>
        <v>9</v>
      </c>
    </row>
    <row r="903" spans="1:70" ht="14">
      <c r="A903" s="4" t="str">
        <v>Reguler Periode ke-119 XI.B.2</v>
      </c>
      <c r="B903" s="4" t="s">
        <v>9561</v>
      </c>
      <c r="C903" s="4" t="s">
        <v>3531</v>
      </c>
      <c r="D903" s="4" t="s">
        <v>10835</v>
      </c>
      <c r="E903" s="4" t="s">
        <v>10847</v>
      </c>
      <c r="F903" s="4" t="s">
        <v>193</v>
      </c>
      <c r="G903" s="6" t="s">
        <v>10848</v>
      </c>
      <c r="H903" s="92" t="s">
        <v>10849</v>
      </c>
      <c r="I903" s="92" t="s">
        <v>10850</v>
      </c>
      <c r="J903" s="92" t="s">
        <v>10851</v>
      </c>
      <c r="K903" s="92" t="s">
        <v>10852</v>
      </c>
      <c r="L903" s="92" t="s">
        <v>10853</v>
      </c>
      <c r="M903" s="92" t="s">
        <v>10854</v>
      </c>
      <c r="N903" s="92" t="s">
        <v>10855</v>
      </c>
      <c r="O903" s="92" t="s">
        <v>10856</v>
      </c>
      <c r="S903" s="6">
        <v>1900026097</v>
      </c>
      <c r="T903" s="92">
        <v>2000005191</v>
      </c>
      <c r="U903" s="92">
        <v>2000011009</v>
      </c>
      <c r="V903" s="92">
        <v>2000015029</v>
      </c>
      <c r="W903" s="92">
        <v>2000018448</v>
      </c>
      <c r="X903" s="92">
        <v>2000023207</v>
      </c>
      <c r="Y903" s="92">
        <v>2000029150</v>
      </c>
      <c r="Z903" s="92">
        <v>2000033102</v>
      </c>
      <c r="AA903" s="92">
        <v>2015003047</v>
      </c>
      <c r="AE903" s="6" t="s">
        <v>570</v>
      </c>
      <c r="AF903" s="92" t="s">
        <v>181</v>
      </c>
      <c r="AG903" s="92" t="s">
        <v>182</v>
      </c>
      <c r="AH903" s="92" t="s">
        <v>937</v>
      </c>
      <c r="AI903" s="92" t="s">
        <v>179</v>
      </c>
      <c r="AJ903" s="92" t="s">
        <v>899</v>
      </c>
      <c r="AK903" s="92" t="s">
        <v>533</v>
      </c>
      <c r="AL903" s="92" t="s">
        <v>1112</v>
      </c>
      <c r="AM903" s="92" t="s">
        <v>178</v>
      </c>
      <c r="AQ903" s="6" t="s">
        <v>187</v>
      </c>
      <c r="AR903" s="92" t="s">
        <v>186</v>
      </c>
      <c r="AS903" s="92" t="s">
        <v>187</v>
      </c>
      <c r="AT903" s="92" t="s">
        <v>186</v>
      </c>
      <c r="AU903" s="92" t="s">
        <v>187</v>
      </c>
      <c r="AV903" s="92" t="s">
        <v>186</v>
      </c>
      <c r="AW903" s="92" t="s">
        <v>186</v>
      </c>
      <c r="AX903" s="92" t="s">
        <v>186</v>
      </c>
      <c r="AY903" s="92" t="s">
        <v>186</v>
      </c>
      <c r="BC903" s="60">
        <v>85366828693</v>
      </c>
      <c r="BD903" s="93">
        <v>85809657304</v>
      </c>
      <c r="BE903" s="93">
        <v>89674189903</v>
      </c>
      <c r="BF903" s="93">
        <v>85848243706</v>
      </c>
      <c r="BG903" s="93">
        <v>81213431434</v>
      </c>
      <c r="BH903" s="93">
        <v>85338735149</v>
      </c>
      <c r="BI903" s="93">
        <v>81359182974</v>
      </c>
      <c r="BJ903" s="93">
        <v>88227395601</v>
      </c>
      <c r="BK903" s="93">
        <v>895385237653</v>
      </c>
      <c r="BP903" s="18" t="s">
        <v>10857</v>
      </c>
      <c r="BQ903" s="37">
        <v>45321</v>
      </c>
      <c r="BR903" s="8">
        <f t="shared" si="3"/>
        <v>9</v>
      </c>
    </row>
    <row r="904" spans="1:70" ht="14">
      <c r="A904" s="4" t="str">
        <v>Reguler Periode ke-119 XI.B.3</v>
      </c>
      <c r="B904" s="4" t="s">
        <v>9561</v>
      </c>
      <c r="C904" s="4" t="s">
        <v>3543</v>
      </c>
      <c r="D904" s="4" t="s">
        <v>10835</v>
      </c>
      <c r="E904" s="4" t="s">
        <v>10858</v>
      </c>
      <c r="F904" s="4" t="s">
        <v>193</v>
      </c>
      <c r="G904" s="6" t="s">
        <v>1400</v>
      </c>
      <c r="H904" s="92" t="s">
        <v>10859</v>
      </c>
      <c r="I904" s="92" t="s">
        <v>10860</v>
      </c>
      <c r="J904" s="92" t="s">
        <v>10861</v>
      </c>
      <c r="K904" s="92" t="s">
        <v>10862</v>
      </c>
      <c r="L904" s="92" t="s">
        <v>10863</v>
      </c>
      <c r="M904" s="92" t="s">
        <v>10864</v>
      </c>
      <c r="N904" s="92" t="s">
        <v>10865</v>
      </c>
      <c r="O904" s="92" t="s">
        <v>10866</v>
      </c>
      <c r="S904" s="6">
        <v>1900026281</v>
      </c>
      <c r="T904" s="92">
        <v>2000003017</v>
      </c>
      <c r="U904" s="92">
        <v>2000005033</v>
      </c>
      <c r="V904" s="92">
        <v>2000011069</v>
      </c>
      <c r="W904" s="92">
        <v>2000015012</v>
      </c>
      <c r="X904" s="92">
        <v>2000018436</v>
      </c>
      <c r="Y904" s="92">
        <v>2000023048</v>
      </c>
      <c r="Z904" s="92">
        <v>2000029165</v>
      </c>
      <c r="AA904" s="92">
        <v>2000034052</v>
      </c>
      <c r="AE904" s="6" t="s">
        <v>570</v>
      </c>
      <c r="AF904" s="92" t="s">
        <v>178</v>
      </c>
      <c r="AG904" s="92" t="s">
        <v>181</v>
      </c>
      <c r="AH904" s="92" t="s">
        <v>182</v>
      </c>
      <c r="AI904" s="92" t="s">
        <v>937</v>
      </c>
      <c r="AJ904" s="92" t="s">
        <v>179</v>
      </c>
      <c r="AK904" s="92" t="s">
        <v>899</v>
      </c>
      <c r="AL904" s="92" t="s">
        <v>533</v>
      </c>
      <c r="AM904" s="92" t="s">
        <v>534</v>
      </c>
      <c r="AQ904" s="6" t="s">
        <v>187</v>
      </c>
      <c r="AR904" s="92" t="s">
        <v>186</v>
      </c>
      <c r="AS904" s="92" t="s">
        <v>186</v>
      </c>
      <c r="AT904" s="92" t="s">
        <v>187</v>
      </c>
      <c r="AU904" s="92" t="s">
        <v>186</v>
      </c>
      <c r="AV904" s="92" t="s">
        <v>187</v>
      </c>
      <c r="AW904" s="92" t="s">
        <v>186</v>
      </c>
      <c r="AX904" s="92" t="s">
        <v>186</v>
      </c>
      <c r="AY904" s="92" t="s">
        <v>186</v>
      </c>
      <c r="BC904" s="60">
        <v>81228923047</v>
      </c>
      <c r="BD904" s="93">
        <v>85669330027</v>
      </c>
      <c r="BE904" s="93">
        <v>87795214904</v>
      </c>
      <c r="BF904" s="93">
        <v>82271440830</v>
      </c>
      <c r="BG904" s="93">
        <v>89678255684</v>
      </c>
      <c r="BH904" s="93">
        <v>82259705454</v>
      </c>
      <c r="BI904" s="93">
        <v>81219515767</v>
      </c>
      <c r="BJ904" s="93">
        <v>85750566404</v>
      </c>
      <c r="BK904" s="93">
        <v>89687938103</v>
      </c>
      <c r="BP904" s="18" t="s">
        <v>10867</v>
      </c>
      <c r="BQ904" s="37">
        <v>45321</v>
      </c>
      <c r="BR904" s="8">
        <f t="shared" si="3"/>
        <v>9</v>
      </c>
    </row>
    <row r="905" spans="1:70" ht="14">
      <c r="A905" s="4" t="str">
        <v>Reguler Periode ke-119 XI.B.4</v>
      </c>
      <c r="B905" s="4" t="s">
        <v>9561</v>
      </c>
      <c r="C905" s="4" t="s">
        <v>10868</v>
      </c>
      <c r="D905" s="4" t="s">
        <v>10835</v>
      </c>
      <c r="E905" s="4" t="s">
        <v>10869</v>
      </c>
      <c r="F905" s="4" t="s">
        <v>193</v>
      </c>
      <c r="G905" s="6" t="s">
        <v>10870</v>
      </c>
      <c r="H905" s="92" t="s">
        <v>10871</v>
      </c>
      <c r="I905" s="92" t="s">
        <v>10872</v>
      </c>
      <c r="J905" s="92" t="s">
        <v>10873</v>
      </c>
      <c r="K905" s="92" t="s">
        <v>10874</v>
      </c>
      <c r="L905" s="92" t="s">
        <v>10875</v>
      </c>
      <c r="M905" s="92" t="s">
        <v>10876</v>
      </c>
      <c r="N905" s="92" t="s">
        <v>10877</v>
      </c>
      <c r="O905" s="92" t="s">
        <v>10878</v>
      </c>
      <c r="S905" s="6">
        <v>1800011091</v>
      </c>
      <c r="T905" s="92">
        <v>1900026127</v>
      </c>
      <c r="U905" s="92">
        <v>2000003070</v>
      </c>
      <c r="V905" s="92">
        <v>2000005160</v>
      </c>
      <c r="W905" s="92">
        <v>2000015037</v>
      </c>
      <c r="X905" s="92">
        <v>2000018132</v>
      </c>
      <c r="Y905" s="92">
        <v>2000023250</v>
      </c>
      <c r="Z905" s="92">
        <v>2000029175</v>
      </c>
      <c r="AA905" s="92">
        <v>2000033101</v>
      </c>
      <c r="AE905" s="6" t="s">
        <v>182</v>
      </c>
      <c r="AF905" s="92" t="s">
        <v>570</v>
      </c>
      <c r="AG905" s="92" t="s">
        <v>178</v>
      </c>
      <c r="AH905" s="92" t="s">
        <v>181</v>
      </c>
      <c r="AI905" s="92" t="s">
        <v>937</v>
      </c>
      <c r="AJ905" s="92" t="s">
        <v>179</v>
      </c>
      <c r="AK905" s="92" t="s">
        <v>899</v>
      </c>
      <c r="AL905" s="92" t="s">
        <v>533</v>
      </c>
      <c r="AM905" s="92" t="s">
        <v>1112</v>
      </c>
      <c r="AQ905" s="6" t="s">
        <v>187</v>
      </c>
      <c r="AR905" s="92" t="s">
        <v>187</v>
      </c>
      <c r="AS905" s="92" t="s">
        <v>186</v>
      </c>
      <c r="AT905" s="92" t="s">
        <v>186</v>
      </c>
      <c r="AU905" s="92" t="s">
        <v>186</v>
      </c>
      <c r="AV905" s="92" t="s">
        <v>187</v>
      </c>
      <c r="AW905" s="92" t="s">
        <v>186</v>
      </c>
      <c r="AX905" s="92" t="s">
        <v>186</v>
      </c>
      <c r="AY905" s="92" t="s">
        <v>186</v>
      </c>
      <c r="BC905" s="60">
        <v>83151322084</v>
      </c>
      <c r="BD905" s="93">
        <v>81352525101</v>
      </c>
      <c r="BE905" s="93">
        <v>85216034998</v>
      </c>
      <c r="BF905" s="93">
        <v>85848722989</v>
      </c>
      <c r="BG905" s="93">
        <v>85842089275</v>
      </c>
      <c r="BH905" s="93">
        <v>82296896129</v>
      </c>
      <c r="BI905" s="93">
        <v>81958212837</v>
      </c>
      <c r="BJ905" s="93">
        <v>85799318679</v>
      </c>
      <c r="BK905" s="93">
        <v>85236494226</v>
      </c>
      <c r="BP905" s="18" t="s">
        <v>10879</v>
      </c>
      <c r="BQ905" s="37">
        <v>45321</v>
      </c>
      <c r="BR905" s="8">
        <f t="shared" si="3"/>
        <v>9</v>
      </c>
    </row>
    <row r="906" spans="1:70" ht="14">
      <c r="A906" s="4" t="str">
        <v>Reguler Periode ke-119 XI.C.1</v>
      </c>
      <c r="B906" s="4" t="s">
        <v>9561</v>
      </c>
      <c r="C906" s="4" t="s">
        <v>3555</v>
      </c>
      <c r="D906" s="4" t="s">
        <v>344</v>
      </c>
      <c r="E906" s="4" t="s">
        <v>10880</v>
      </c>
      <c r="F906" s="4" t="s">
        <v>193</v>
      </c>
      <c r="G906" s="6" t="s">
        <v>10881</v>
      </c>
      <c r="H906" s="92" t="s">
        <v>10882</v>
      </c>
      <c r="I906" s="92" t="s">
        <v>10883</v>
      </c>
      <c r="J906" s="92" t="s">
        <v>10884</v>
      </c>
      <c r="K906" s="92" t="s">
        <v>10885</v>
      </c>
      <c r="L906" s="92" t="s">
        <v>10886</v>
      </c>
      <c r="M906" s="92" t="s">
        <v>10887</v>
      </c>
      <c r="N906" s="92" t="s">
        <v>10888</v>
      </c>
      <c r="O906" s="92" t="s">
        <v>10889</v>
      </c>
      <c r="S906" s="6">
        <v>2000003072</v>
      </c>
      <c r="T906" s="92">
        <v>2000005099</v>
      </c>
      <c r="U906" s="92">
        <v>2000011207</v>
      </c>
      <c r="V906" s="92">
        <v>2000015036</v>
      </c>
      <c r="W906" s="92">
        <v>2000018129</v>
      </c>
      <c r="X906" s="92">
        <v>2000023094</v>
      </c>
      <c r="Y906" s="92">
        <v>2000026045</v>
      </c>
      <c r="Z906" s="92">
        <v>2000029164</v>
      </c>
      <c r="AA906" s="92">
        <v>2000034004</v>
      </c>
      <c r="AE906" s="6" t="s">
        <v>178</v>
      </c>
      <c r="AF906" s="92" t="s">
        <v>181</v>
      </c>
      <c r="AG906" s="92" t="s">
        <v>182</v>
      </c>
      <c r="AH906" s="92" t="s">
        <v>937</v>
      </c>
      <c r="AI906" s="92" t="s">
        <v>179</v>
      </c>
      <c r="AJ906" s="92" t="s">
        <v>899</v>
      </c>
      <c r="AK906" s="92" t="s">
        <v>570</v>
      </c>
      <c r="AL906" s="92" t="s">
        <v>533</v>
      </c>
      <c r="AM906" s="92" t="s">
        <v>534</v>
      </c>
      <c r="AQ906" s="6" t="s">
        <v>186</v>
      </c>
      <c r="AR906" s="92" t="s">
        <v>186</v>
      </c>
      <c r="AS906" s="92" t="s">
        <v>187</v>
      </c>
      <c r="AT906" s="92" t="s">
        <v>186</v>
      </c>
      <c r="AU906" s="92" t="s">
        <v>187</v>
      </c>
      <c r="AV906" s="92" t="s">
        <v>186</v>
      </c>
      <c r="AW906" s="92" t="s">
        <v>187</v>
      </c>
      <c r="AX906" s="92" t="s">
        <v>186</v>
      </c>
      <c r="AY906" s="92" t="s">
        <v>186</v>
      </c>
      <c r="BC906" s="60">
        <v>81477058193</v>
      </c>
      <c r="BD906" s="93">
        <v>85933282893</v>
      </c>
      <c r="BE906" s="93">
        <v>895610121150</v>
      </c>
      <c r="BF906" s="93">
        <v>81548242068</v>
      </c>
      <c r="BG906" s="93">
        <v>81220735026</v>
      </c>
      <c r="BH906" s="93">
        <v>82316355628</v>
      </c>
      <c r="BI906" s="93">
        <v>83120127736</v>
      </c>
      <c r="BJ906" s="93">
        <v>85337029389</v>
      </c>
      <c r="BK906" s="93">
        <v>89652223776</v>
      </c>
      <c r="BP906" s="18" t="s">
        <v>10890</v>
      </c>
      <c r="BQ906" s="37">
        <v>45321</v>
      </c>
      <c r="BR906" s="8">
        <f t="shared" si="3"/>
        <v>9</v>
      </c>
    </row>
    <row r="907" spans="1:70" ht="14">
      <c r="A907" s="4" t="str">
        <v>Reguler Periode ke-119 XI.C.2</v>
      </c>
      <c r="B907" s="4" t="s">
        <v>9561</v>
      </c>
      <c r="C907" s="4" t="s">
        <v>3568</v>
      </c>
      <c r="D907" s="4" t="s">
        <v>344</v>
      </c>
      <c r="E907" s="4" t="s">
        <v>10891</v>
      </c>
      <c r="F907" s="4" t="s">
        <v>193</v>
      </c>
      <c r="G907" s="6" t="s">
        <v>10892</v>
      </c>
      <c r="H907" s="92" t="s">
        <v>10893</v>
      </c>
      <c r="I907" s="92" t="s">
        <v>10894</v>
      </c>
      <c r="J907" s="92" t="s">
        <v>10895</v>
      </c>
      <c r="K907" s="92" t="s">
        <v>10896</v>
      </c>
      <c r="L907" s="92" t="s">
        <v>10897</v>
      </c>
      <c r="M907" s="92" t="s">
        <v>10898</v>
      </c>
      <c r="N907" s="92" t="s">
        <v>10899</v>
      </c>
      <c r="O907" s="92" t="s">
        <v>10900</v>
      </c>
      <c r="S907" s="6">
        <v>2000003012</v>
      </c>
      <c r="T907" s="92">
        <v>2000006007</v>
      </c>
      <c r="U907" s="92">
        <v>2000011426</v>
      </c>
      <c r="V907" s="92">
        <v>2000015016</v>
      </c>
      <c r="W907" s="92">
        <v>2000018264</v>
      </c>
      <c r="X907" s="92">
        <v>2000023245</v>
      </c>
      <c r="Y907" s="92">
        <v>2000026037</v>
      </c>
      <c r="Z907" s="92">
        <v>2000029232</v>
      </c>
      <c r="AA907" s="92">
        <v>2000036082</v>
      </c>
      <c r="AE907" s="6" t="s">
        <v>178</v>
      </c>
      <c r="AF907" s="92" t="s">
        <v>745</v>
      </c>
      <c r="AG907" s="92" t="s">
        <v>182</v>
      </c>
      <c r="AH907" s="92" t="s">
        <v>937</v>
      </c>
      <c r="AI907" s="92" t="s">
        <v>179</v>
      </c>
      <c r="AJ907" s="92" t="s">
        <v>899</v>
      </c>
      <c r="AK907" s="92" t="s">
        <v>570</v>
      </c>
      <c r="AL907" s="92" t="s">
        <v>533</v>
      </c>
      <c r="AM907" s="92" t="s">
        <v>227</v>
      </c>
      <c r="AQ907" s="6" t="s">
        <v>186</v>
      </c>
      <c r="AR907" s="92" t="s">
        <v>186</v>
      </c>
      <c r="AS907" s="92" t="s">
        <v>187</v>
      </c>
      <c r="AT907" s="92" t="s">
        <v>186</v>
      </c>
      <c r="AU907" s="92" t="s">
        <v>187</v>
      </c>
      <c r="AV907" s="92" t="s">
        <v>186</v>
      </c>
      <c r="AW907" s="92" t="s">
        <v>187</v>
      </c>
      <c r="AX907" s="92" t="s">
        <v>186</v>
      </c>
      <c r="AY907" s="92" t="s">
        <v>186</v>
      </c>
      <c r="BC907" s="60">
        <v>85602732656</v>
      </c>
      <c r="BD907" s="93">
        <v>82269612678</v>
      </c>
      <c r="BE907" s="93">
        <v>85858448317</v>
      </c>
      <c r="BF907" s="93">
        <v>82261637590</v>
      </c>
      <c r="BG907" s="93">
        <v>83172733524</v>
      </c>
      <c r="BH907" s="93">
        <v>82213194884</v>
      </c>
      <c r="BI907" s="93">
        <v>81348597565</v>
      </c>
      <c r="BJ907" s="93">
        <v>85736606891</v>
      </c>
      <c r="BK907" s="93">
        <v>83175437910</v>
      </c>
      <c r="BP907" s="18" t="s">
        <v>10901</v>
      </c>
      <c r="BQ907" s="37">
        <v>45321</v>
      </c>
      <c r="BR907" s="8">
        <f t="shared" si="3"/>
        <v>9</v>
      </c>
    </row>
    <row r="908" spans="1:70" ht="14">
      <c r="A908" s="4" t="str">
        <v>Reguler Periode ke-119 XI.C.3</v>
      </c>
      <c r="B908" s="4" t="s">
        <v>9561</v>
      </c>
      <c r="C908" s="4" t="s">
        <v>3580</v>
      </c>
      <c r="D908" s="4" t="s">
        <v>344</v>
      </c>
      <c r="E908" s="4" t="s">
        <v>10902</v>
      </c>
      <c r="F908" s="4" t="s">
        <v>193</v>
      </c>
      <c r="G908" s="6" t="s">
        <v>10903</v>
      </c>
      <c r="H908" s="92" t="s">
        <v>10904</v>
      </c>
      <c r="I908" s="92" t="s">
        <v>10905</v>
      </c>
      <c r="J908" s="92" t="s">
        <v>10906</v>
      </c>
      <c r="K908" s="92" t="s">
        <v>10907</v>
      </c>
      <c r="L908" s="92" t="s">
        <v>10908</v>
      </c>
      <c r="M908" s="92" t="s">
        <v>10909</v>
      </c>
      <c r="N908" s="92" t="s">
        <v>10910</v>
      </c>
      <c r="O908" s="92" t="s">
        <v>10911</v>
      </c>
      <c r="S908" s="6">
        <v>2000003090</v>
      </c>
      <c r="T908" s="92">
        <v>2000006038</v>
      </c>
      <c r="U908" s="92">
        <v>2000011265</v>
      </c>
      <c r="V908" s="92">
        <v>2000015034</v>
      </c>
      <c r="W908" s="92">
        <v>2000018130</v>
      </c>
      <c r="X908" s="92">
        <v>2000023010</v>
      </c>
      <c r="Y908" s="92">
        <v>2000026170</v>
      </c>
      <c r="Z908" s="92">
        <v>2000029230</v>
      </c>
      <c r="AA908" s="92">
        <v>2000036153</v>
      </c>
      <c r="AE908" s="6" t="s">
        <v>178</v>
      </c>
      <c r="AF908" s="92" t="s">
        <v>745</v>
      </c>
      <c r="AG908" s="92" t="s">
        <v>182</v>
      </c>
      <c r="AH908" s="92" t="s">
        <v>937</v>
      </c>
      <c r="AI908" s="92" t="s">
        <v>179</v>
      </c>
      <c r="AJ908" s="92" t="s">
        <v>899</v>
      </c>
      <c r="AK908" s="92" t="s">
        <v>570</v>
      </c>
      <c r="AL908" s="92" t="s">
        <v>533</v>
      </c>
      <c r="AM908" s="92" t="s">
        <v>227</v>
      </c>
      <c r="AQ908" s="6" t="s">
        <v>186</v>
      </c>
      <c r="AR908" s="92" t="s">
        <v>186</v>
      </c>
      <c r="AS908" s="92" t="s">
        <v>187</v>
      </c>
      <c r="AT908" s="92" t="s">
        <v>186</v>
      </c>
      <c r="AU908" s="92" t="s">
        <v>187</v>
      </c>
      <c r="AV908" s="92" t="s">
        <v>186</v>
      </c>
      <c r="AW908" s="92" t="s">
        <v>187</v>
      </c>
      <c r="AX908" s="92" t="s">
        <v>186</v>
      </c>
      <c r="AY908" s="92" t="s">
        <v>186</v>
      </c>
      <c r="BC908" s="60">
        <v>82324135875</v>
      </c>
      <c r="BD908" s="93">
        <v>85268685592</v>
      </c>
      <c r="BE908" s="93">
        <v>87859866791</v>
      </c>
      <c r="BF908" s="93">
        <v>85669788978</v>
      </c>
      <c r="BG908" s="93">
        <v>82279433494</v>
      </c>
      <c r="BH908" s="93">
        <v>81392104700</v>
      </c>
      <c r="BI908" s="93">
        <v>82237971046</v>
      </c>
      <c r="BJ908" s="93">
        <v>85328998519</v>
      </c>
      <c r="BK908" s="93">
        <v>82169806604</v>
      </c>
      <c r="BP908" s="18" t="s">
        <v>10912</v>
      </c>
      <c r="BQ908" s="37">
        <v>45321</v>
      </c>
      <c r="BR908" s="8">
        <f t="shared" si="3"/>
        <v>9</v>
      </c>
    </row>
    <row r="909" spans="1:70" ht="14">
      <c r="A909" s="4" t="str">
        <v>Reguler Periode ke-119 XI.D.1</v>
      </c>
      <c r="B909" s="4" t="s">
        <v>9561</v>
      </c>
      <c r="C909" s="4" t="s">
        <v>3591</v>
      </c>
      <c r="D909" s="4" t="s">
        <v>342</v>
      </c>
      <c r="E909" s="4" t="s">
        <v>10913</v>
      </c>
      <c r="F909" s="4" t="s">
        <v>193</v>
      </c>
      <c r="G909" s="6" t="s">
        <v>10914</v>
      </c>
      <c r="H909" s="92" t="s">
        <v>10915</v>
      </c>
      <c r="I909" s="92" t="s">
        <v>10916</v>
      </c>
      <c r="J909" s="92" t="s">
        <v>10917</v>
      </c>
      <c r="K909" s="92" t="s">
        <v>10918</v>
      </c>
      <c r="L909" s="92" t="s">
        <v>10919</v>
      </c>
      <c r="M909" s="92" t="s">
        <v>10920</v>
      </c>
      <c r="N909" s="92" t="s">
        <v>10921</v>
      </c>
      <c r="O909" s="92" t="s">
        <v>10922</v>
      </c>
      <c r="S909" s="6">
        <v>2000003007</v>
      </c>
      <c r="T909" s="92">
        <v>2000006049</v>
      </c>
      <c r="U909" s="92">
        <v>2000011230</v>
      </c>
      <c r="V909" s="92">
        <v>2000015032</v>
      </c>
      <c r="W909" s="92">
        <v>2000018146</v>
      </c>
      <c r="X909" s="92">
        <v>2000024010</v>
      </c>
      <c r="Y909" s="92">
        <v>2000029238</v>
      </c>
      <c r="Z909" s="92">
        <v>2000036115</v>
      </c>
      <c r="AA909" s="92">
        <v>2015026102</v>
      </c>
      <c r="AE909" s="6" t="s">
        <v>178</v>
      </c>
      <c r="AF909" s="92" t="s">
        <v>745</v>
      </c>
      <c r="AG909" s="92" t="s">
        <v>182</v>
      </c>
      <c r="AH909" s="92" t="s">
        <v>937</v>
      </c>
      <c r="AI909" s="92" t="s">
        <v>179</v>
      </c>
      <c r="AJ909" s="92" t="s">
        <v>924</v>
      </c>
      <c r="AK909" s="92" t="s">
        <v>533</v>
      </c>
      <c r="AL909" s="92" t="s">
        <v>227</v>
      </c>
      <c r="AM909" s="92" t="s">
        <v>570</v>
      </c>
      <c r="AQ909" s="6" t="s">
        <v>186</v>
      </c>
      <c r="AR909" s="92" t="s">
        <v>186</v>
      </c>
      <c r="AS909" s="92" t="s">
        <v>187</v>
      </c>
      <c r="AT909" s="92" t="s">
        <v>186</v>
      </c>
      <c r="AU909" s="92" t="s">
        <v>187</v>
      </c>
      <c r="AV909" s="92" t="s">
        <v>186</v>
      </c>
      <c r="AW909" s="92" t="s">
        <v>186</v>
      </c>
      <c r="AX909" s="92" t="s">
        <v>186</v>
      </c>
      <c r="AY909" s="92" t="s">
        <v>187</v>
      </c>
      <c r="BC909" s="60">
        <v>85950548712</v>
      </c>
      <c r="BD909" s="93">
        <v>81390015669</v>
      </c>
      <c r="BE909" s="93">
        <v>89650937056</v>
      </c>
      <c r="BF909" s="93">
        <v>81315675631</v>
      </c>
      <c r="BG909" s="93">
        <v>82179342885</v>
      </c>
      <c r="BH909" s="93">
        <v>82242570052</v>
      </c>
      <c r="BI909" s="93">
        <v>81273514858</v>
      </c>
      <c r="BJ909" s="93">
        <v>81295059796</v>
      </c>
      <c r="BK909" s="93">
        <v>88225394899</v>
      </c>
      <c r="BP909" s="18" t="s">
        <v>10923</v>
      </c>
      <c r="BQ909" s="37">
        <v>45321</v>
      </c>
      <c r="BR909" s="8">
        <f t="shared" si="3"/>
        <v>9</v>
      </c>
    </row>
    <row r="910" spans="1:70" ht="14">
      <c r="A910" s="4" t="str">
        <v>Reguler Periode ke-119 XI.D.2</v>
      </c>
      <c r="B910" s="4" t="s">
        <v>9561</v>
      </c>
      <c r="C910" s="4" t="s">
        <v>3603</v>
      </c>
      <c r="D910" s="4" t="s">
        <v>342</v>
      </c>
      <c r="E910" s="4" t="s">
        <v>10924</v>
      </c>
      <c r="F910" s="4" t="s">
        <v>193</v>
      </c>
      <c r="G910" s="6" t="s">
        <v>10925</v>
      </c>
      <c r="H910" s="92" t="s">
        <v>10926</v>
      </c>
      <c r="I910" s="92" t="s">
        <v>10927</v>
      </c>
      <c r="J910" s="92" t="s">
        <v>10928</v>
      </c>
      <c r="K910" s="92" t="s">
        <v>10929</v>
      </c>
      <c r="L910" s="92" t="s">
        <v>10930</v>
      </c>
      <c r="M910" s="92" t="s">
        <v>10931</v>
      </c>
      <c r="N910" s="92" t="s">
        <v>10932</v>
      </c>
      <c r="O910" s="92" t="s">
        <v>10933</v>
      </c>
      <c r="S910" s="6">
        <v>2000003014</v>
      </c>
      <c r="T910" s="92">
        <v>2000006048</v>
      </c>
      <c r="U910" s="92">
        <v>2000011159</v>
      </c>
      <c r="V910" s="92">
        <v>2000015028</v>
      </c>
      <c r="W910" s="92">
        <v>2000018243</v>
      </c>
      <c r="X910" s="92">
        <v>2000024009</v>
      </c>
      <c r="Y910" s="92">
        <v>2000026015</v>
      </c>
      <c r="Z910" s="92">
        <v>2000029170</v>
      </c>
      <c r="AA910" s="92">
        <v>2000036103</v>
      </c>
      <c r="AE910" s="6" t="s">
        <v>178</v>
      </c>
      <c r="AF910" s="92" t="s">
        <v>745</v>
      </c>
      <c r="AG910" s="92" t="s">
        <v>182</v>
      </c>
      <c r="AH910" s="92" t="s">
        <v>937</v>
      </c>
      <c r="AI910" s="92" t="s">
        <v>179</v>
      </c>
      <c r="AJ910" s="92" t="s">
        <v>924</v>
      </c>
      <c r="AK910" s="92" t="s">
        <v>570</v>
      </c>
      <c r="AL910" s="92" t="s">
        <v>533</v>
      </c>
      <c r="AM910" s="92" t="s">
        <v>227</v>
      </c>
      <c r="AQ910" s="6" t="s">
        <v>186</v>
      </c>
      <c r="AR910" s="92" t="s">
        <v>186</v>
      </c>
      <c r="AS910" s="92" t="s">
        <v>187</v>
      </c>
      <c r="AT910" s="92" t="s">
        <v>186</v>
      </c>
      <c r="AU910" s="92" t="s">
        <v>187</v>
      </c>
      <c r="AV910" s="92" t="s">
        <v>186</v>
      </c>
      <c r="AW910" s="92" t="s">
        <v>187</v>
      </c>
      <c r="AX910" s="92" t="s">
        <v>186</v>
      </c>
      <c r="AY910" s="92" t="s">
        <v>186</v>
      </c>
      <c r="BC910" s="60">
        <v>82110915642</v>
      </c>
      <c r="BD910" s="93">
        <v>83177055003</v>
      </c>
      <c r="BE910" s="93">
        <v>81337566454</v>
      </c>
      <c r="BF910" s="93">
        <v>87814877104</v>
      </c>
      <c r="BG910" s="93">
        <v>81353677822</v>
      </c>
      <c r="BH910" s="93">
        <v>89510335043</v>
      </c>
      <c r="BI910" s="93">
        <v>87706097611</v>
      </c>
      <c r="BJ910" s="93">
        <v>82136323685</v>
      </c>
      <c r="BK910" s="93">
        <v>88228645122</v>
      </c>
      <c r="BP910" s="18" t="s">
        <v>10934</v>
      </c>
      <c r="BQ910" s="37">
        <v>45321</v>
      </c>
      <c r="BR910" s="8">
        <f t="shared" si="3"/>
        <v>9</v>
      </c>
    </row>
    <row r="911" spans="1:70" ht="14">
      <c r="A911" s="4" t="str">
        <v>Reguler Periode ke-119 XI.D.3</v>
      </c>
      <c r="B911" s="4" t="s">
        <v>9561</v>
      </c>
      <c r="C911" s="4" t="s">
        <v>3615</v>
      </c>
      <c r="D911" s="4" t="s">
        <v>342</v>
      </c>
      <c r="E911" s="4" t="s">
        <v>10935</v>
      </c>
      <c r="F911" s="4" t="s">
        <v>193</v>
      </c>
      <c r="G911" s="6" t="s">
        <v>10936</v>
      </c>
      <c r="H911" s="92" t="s">
        <v>10937</v>
      </c>
      <c r="I911" s="92" t="s">
        <v>10938</v>
      </c>
      <c r="J911" s="92" t="s">
        <v>10939</v>
      </c>
      <c r="K911" s="92" t="s">
        <v>10940</v>
      </c>
      <c r="L911" s="92" t="s">
        <v>10941</v>
      </c>
      <c r="M911" s="92" t="s">
        <v>10942</v>
      </c>
      <c r="N911" s="92" t="s">
        <v>10943</v>
      </c>
      <c r="O911" s="92" t="s">
        <v>10944</v>
      </c>
      <c r="S911" s="6">
        <v>2000003022</v>
      </c>
      <c r="T911" s="92">
        <v>2000006018</v>
      </c>
      <c r="U911" s="92">
        <v>2000011056</v>
      </c>
      <c r="V911" s="92">
        <v>2000015035</v>
      </c>
      <c r="W911" s="92">
        <v>2000018104</v>
      </c>
      <c r="X911" s="92">
        <v>2000024201</v>
      </c>
      <c r="Y911" s="92">
        <v>2000026123</v>
      </c>
      <c r="Z911" s="92">
        <v>2000029215</v>
      </c>
      <c r="AA911" s="92">
        <v>2000036152</v>
      </c>
      <c r="AE911" s="6" t="s">
        <v>178</v>
      </c>
      <c r="AF911" s="92" t="s">
        <v>745</v>
      </c>
      <c r="AG911" s="92" t="s">
        <v>182</v>
      </c>
      <c r="AH911" s="92" t="s">
        <v>937</v>
      </c>
      <c r="AI911" s="92" t="s">
        <v>179</v>
      </c>
      <c r="AJ911" s="92" t="s">
        <v>924</v>
      </c>
      <c r="AK911" s="92" t="s">
        <v>570</v>
      </c>
      <c r="AL911" s="92" t="s">
        <v>533</v>
      </c>
      <c r="AM911" s="92" t="s">
        <v>227</v>
      </c>
      <c r="AQ911" s="6" t="s">
        <v>186</v>
      </c>
      <c r="AR911" s="92" t="s">
        <v>186</v>
      </c>
      <c r="AS911" s="92" t="s">
        <v>187</v>
      </c>
      <c r="AT911" s="92" t="s">
        <v>186</v>
      </c>
      <c r="AU911" s="92" t="s">
        <v>187</v>
      </c>
      <c r="AV911" s="92" t="s">
        <v>186</v>
      </c>
      <c r="AW911" s="92" t="s">
        <v>187</v>
      </c>
      <c r="AX911" s="92" t="s">
        <v>186</v>
      </c>
      <c r="AY911" s="92" t="s">
        <v>186</v>
      </c>
      <c r="BC911" s="60">
        <v>85846113230</v>
      </c>
      <c r="BD911" s="93">
        <v>82137287352</v>
      </c>
      <c r="BE911" s="93">
        <v>8980618486</v>
      </c>
      <c r="BF911" s="93">
        <v>895384246149</v>
      </c>
      <c r="BG911" s="93">
        <v>81228767433</v>
      </c>
      <c r="BH911" s="93">
        <v>89655093819</v>
      </c>
      <c r="BI911" s="93">
        <v>85794446742</v>
      </c>
      <c r="BJ911" s="93">
        <v>82198667935</v>
      </c>
      <c r="BK911" s="93">
        <v>89526406061</v>
      </c>
      <c r="BP911" s="18" t="s">
        <v>10945</v>
      </c>
      <c r="BQ911" s="37">
        <v>45321</v>
      </c>
      <c r="BR911" s="8">
        <f t="shared" si="3"/>
        <v>9</v>
      </c>
    </row>
    <row r="912" spans="1:70" ht="14">
      <c r="A912" s="4" t="str">
        <v>Reguler Periode ke-119 XII.A.1</v>
      </c>
      <c r="B912" s="4" t="s">
        <v>9561</v>
      </c>
      <c r="C912" s="4" t="s">
        <v>3628</v>
      </c>
      <c r="D912" s="4" t="s">
        <v>3592</v>
      </c>
      <c r="E912" s="4" t="s">
        <v>10946</v>
      </c>
      <c r="F912" s="4" t="s">
        <v>193</v>
      </c>
      <c r="G912" s="6" t="s">
        <v>10947</v>
      </c>
      <c r="H912" s="92" t="s">
        <v>10948</v>
      </c>
      <c r="I912" s="92" t="s">
        <v>10949</v>
      </c>
      <c r="J912" s="92" t="s">
        <v>10950</v>
      </c>
      <c r="K912" s="92" t="s">
        <v>10951</v>
      </c>
      <c r="L912" s="92" t="s">
        <v>10952</v>
      </c>
      <c r="M912" s="92" t="s">
        <v>10953</v>
      </c>
      <c r="N912" s="92" t="s">
        <v>10954</v>
      </c>
      <c r="O912" s="92" t="s">
        <v>10955</v>
      </c>
      <c r="S912" s="6">
        <v>2000003065</v>
      </c>
      <c r="T912" s="92">
        <v>2000006036</v>
      </c>
      <c r="U912" s="92">
        <v>2000011204</v>
      </c>
      <c r="V912" s="92">
        <v>2000015039</v>
      </c>
      <c r="W912" s="92">
        <v>2000018426</v>
      </c>
      <c r="X912" s="92">
        <v>2000024042</v>
      </c>
      <c r="Y912" s="92">
        <v>2000026115</v>
      </c>
      <c r="Z912" s="92">
        <v>2000029261</v>
      </c>
      <c r="AA912" s="92">
        <v>2000036085</v>
      </c>
      <c r="AE912" s="6" t="s">
        <v>178</v>
      </c>
      <c r="AF912" s="92" t="s">
        <v>745</v>
      </c>
      <c r="AG912" s="92" t="s">
        <v>182</v>
      </c>
      <c r="AH912" s="92" t="s">
        <v>937</v>
      </c>
      <c r="AI912" s="92" t="s">
        <v>179</v>
      </c>
      <c r="AJ912" s="92" t="s">
        <v>924</v>
      </c>
      <c r="AK912" s="92" t="s">
        <v>570</v>
      </c>
      <c r="AL912" s="92" t="s">
        <v>533</v>
      </c>
      <c r="AM912" s="92" t="s">
        <v>227</v>
      </c>
      <c r="AQ912" s="6" t="s">
        <v>186</v>
      </c>
      <c r="AR912" s="92" t="s">
        <v>186</v>
      </c>
      <c r="AS912" s="92" t="s">
        <v>187</v>
      </c>
      <c r="AT912" s="92" t="s">
        <v>186</v>
      </c>
      <c r="AU912" s="92" t="s">
        <v>187</v>
      </c>
      <c r="AV912" s="92" t="s">
        <v>186</v>
      </c>
      <c r="AW912" s="92" t="s">
        <v>187</v>
      </c>
      <c r="AX912" s="92" t="s">
        <v>186</v>
      </c>
      <c r="AY912" s="92" t="s">
        <v>186</v>
      </c>
      <c r="BC912" s="60">
        <v>82283832209</v>
      </c>
      <c r="BD912" s="93">
        <v>81247418691</v>
      </c>
      <c r="BE912" s="93">
        <v>82250880567</v>
      </c>
      <c r="BF912" s="93">
        <v>85156172769</v>
      </c>
      <c r="BG912" s="93">
        <v>82376855055</v>
      </c>
      <c r="BH912" s="93">
        <v>8886801118</v>
      </c>
      <c r="BI912" s="93">
        <v>85333233588</v>
      </c>
      <c r="BJ912" s="93">
        <v>81270797342</v>
      </c>
      <c r="BK912" s="93">
        <v>85861168590</v>
      </c>
      <c r="BP912" s="18" t="s">
        <v>10956</v>
      </c>
      <c r="BQ912" s="37">
        <v>45321</v>
      </c>
      <c r="BR912" s="8">
        <f t="shared" si="3"/>
        <v>9</v>
      </c>
    </row>
    <row r="913" spans="1:70" ht="14">
      <c r="A913" s="4" t="str">
        <v>Reguler Periode ke-119 XII.A.2</v>
      </c>
      <c r="B913" s="4" t="s">
        <v>9561</v>
      </c>
      <c r="C913" s="4" t="s">
        <v>3640</v>
      </c>
      <c r="D913" s="4" t="s">
        <v>3592</v>
      </c>
      <c r="E913" s="4" t="s">
        <v>10957</v>
      </c>
      <c r="F913" s="4" t="s">
        <v>193</v>
      </c>
      <c r="G913" s="6" t="s">
        <v>10958</v>
      </c>
      <c r="H913" s="92" t="s">
        <v>10959</v>
      </c>
      <c r="I913" s="92" t="s">
        <v>10960</v>
      </c>
      <c r="J913" s="92" t="s">
        <v>10961</v>
      </c>
      <c r="K913" s="92" t="s">
        <v>10962</v>
      </c>
      <c r="L913" s="92" t="s">
        <v>10963</v>
      </c>
      <c r="M913" s="92" t="s">
        <v>10964</v>
      </c>
      <c r="N913" s="92" t="s">
        <v>10965</v>
      </c>
      <c r="O913" s="92" t="s">
        <v>10966</v>
      </c>
      <c r="S913" s="6">
        <v>2000003094</v>
      </c>
      <c r="T913" s="92">
        <v>2000006041</v>
      </c>
      <c r="U913" s="92">
        <v>2000011277</v>
      </c>
      <c r="V913" s="92">
        <v>2000015022</v>
      </c>
      <c r="W913" s="92">
        <v>2000018315</v>
      </c>
      <c r="X913" s="92">
        <v>2000024244</v>
      </c>
      <c r="Y913" s="92">
        <v>2000026001</v>
      </c>
      <c r="Z913" s="92">
        <v>2000029067</v>
      </c>
      <c r="AA913" s="92">
        <v>2000036160</v>
      </c>
      <c r="AE913" s="6" t="s">
        <v>178</v>
      </c>
      <c r="AF913" s="92" t="s">
        <v>745</v>
      </c>
      <c r="AG913" s="92" t="s">
        <v>182</v>
      </c>
      <c r="AH913" s="92" t="s">
        <v>937</v>
      </c>
      <c r="AI913" s="92" t="s">
        <v>179</v>
      </c>
      <c r="AJ913" s="92" t="s">
        <v>924</v>
      </c>
      <c r="AK913" s="92" t="s">
        <v>570</v>
      </c>
      <c r="AL913" s="92" t="s">
        <v>533</v>
      </c>
      <c r="AM913" s="92" t="s">
        <v>227</v>
      </c>
      <c r="AQ913" s="6" t="s">
        <v>186</v>
      </c>
      <c r="AR913" s="92" t="s">
        <v>186</v>
      </c>
      <c r="AS913" s="92" t="s">
        <v>187</v>
      </c>
      <c r="AT913" s="92" t="s">
        <v>186</v>
      </c>
      <c r="AU913" s="92" t="s">
        <v>187</v>
      </c>
      <c r="AV913" s="92" t="s">
        <v>186</v>
      </c>
      <c r="AW913" s="92" t="s">
        <v>187</v>
      </c>
      <c r="AX913" s="92" t="s">
        <v>186</v>
      </c>
      <c r="AY913" s="92" t="s">
        <v>186</v>
      </c>
      <c r="BC913" s="60">
        <v>82289164278</v>
      </c>
      <c r="BD913" s="93" t="s">
        <v>10967</v>
      </c>
      <c r="BE913" s="93">
        <v>85710708220</v>
      </c>
      <c r="BF913" s="93">
        <v>89646480490</v>
      </c>
      <c r="BG913" s="93">
        <v>82134025857</v>
      </c>
      <c r="BH913" s="93">
        <v>88233420552</v>
      </c>
      <c r="BI913" s="93">
        <v>89654315236</v>
      </c>
      <c r="BJ913" s="93">
        <v>85750029519</v>
      </c>
      <c r="BK913" s="93">
        <v>89673186506</v>
      </c>
      <c r="BP913" s="18" t="s">
        <v>10968</v>
      </c>
      <c r="BQ913" s="37">
        <v>45321</v>
      </c>
      <c r="BR913" s="8">
        <f t="shared" si="3"/>
        <v>9</v>
      </c>
    </row>
    <row r="914" spans="1:70" ht="14">
      <c r="A914" s="4" t="str">
        <v>Reguler Periode ke-119 XII.A.3</v>
      </c>
      <c r="B914" s="4" t="s">
        <v>9561</v>
      </c>
      <c r="C914" s="4" t="s">
        <v>3652</v>
      </c>
      <c r="D914" s="4" t="s">
        <v>3592</v>
      </c>
      <c r="E914" s="4" t="s">
        <v>10969</v>
      </c>
      <c r="F914" s="4" t="s">
        <v>193</v>
      </c>
      <c r="G914" s="6" t="s">
        <v>10970</v>
      </c>
      <c r="H914" s="92" t="s">
        <v>10971</v>
      </c>
      <c r="I914" s="92" t="s">
        <v>10972</v>
      </c>
      <c r="J914" s="92" t="s">
        <v>10973</v>
      </c>
      <c r="K914" s="92" t="s">
        <v>10974</v>
      </c>
      <c r="L914" s="92" t="s">
        <v>10975</v>
      </c>
      <c r="M914" s="92" t="s">
        <v>10976</v>
      </c>
      <c r="N914" s="92" t="s">
        <v>10977</v>
      </c>
      <c r="O914" s="92" t="s">
        <v>10978</v>
      </c>
      <c r="S914" s="6">
        <v>2000006028</v>
      </c>
      <c r="T914" s="92">
        <v>2000011280</v>
      </c>
      <c r="U914" s="92">
        <v>2000015002</v>
      </c>
      <c r="V914" s="92">
        <v>2000018060</v>
      </c>
      <c r="W914" s="92">
        <v>2000024082</v>
      </c>
      <c r="X914" s="92">
        <v>2000026205</v>
      </c>
      <c r="Y914" s="92">
        <v>2000029137</v>
      </c>
      <c r="Z914" s="92">
        <v>2000036058</v>
      </c>
      <c r="AA914" s="92">
        <v>2011003051</v>
      </c>
      <c r="AE914" s="6" t="s">
        <v>745</v>
      </c>
      <c r="AF914" s="92" t="s">
        <v>182</v>
      </c>
      <c r="AG914" s="92" t="s">
        <v>937</v>
      </c>
      <c r="AH914" s="92" t="s">
        <v>179</v>
      </c>
      <c r="AI914" s="92" t="s">
        <v>924</v>
      </c>
      <c r="AJ914" s="92" t="s">
        <v>570</v>
      </c>
      <c r="AK914" s="92" t="s">
        <v>533</v>
      </c>
      <c r="AL914" s="92" t="s">
        <v>227</v>
      </c>
      <c r="AM914" s="92" t="s">
        <v>178</v>
      </c>
      <c r="AQ914" s="6" t="s">
        <v>186</v>
      </c>
      <c r="AR914" s="92" t="s">
        <v>187</v>
      </c>
      <c r="AS914" s="92" t="s">
        <v>186</v>
      </c>
      <c r="AT914" s="92" t="s">
        <v>187</v>
      </c>
      <c r="AU914" s="92" t="s">
        <v>186</v>
      </c>
      <c r="AV914" s="92" t="s">
        <v>187</v>
      </c>
      <c r="AW914" s="92" t="s">
        <v>186</v>
      </c>
      <c r="AX914" s="92" t="s">
        <v>186</v>
      </c>
      <c r="AY914" s="92" t="s">
        <v>186</v>
      </c>
      <c r="BC914" s="60">
        <v>85712640761</v>
      </c>
      <c r="BD914" s="93">
        <v>89514008637</v>
      </c>
      <c r="BE914" s="93">
        <v>82214424774</v>
      </c>
      <c r="BF914" s="93">
        <v>81225418089</v>
      </c>
      <c r="BG914" s="93">
        <v>81211507740</v>
      </c>
      <c r="BH914" s="93">
        <v>81392637088</v>
      </c>
      <c r="BI914" s="93">
        <v>81350702986</v>
      </c>
      <c r="BJ914" s="93">
        <v>89666123412</v>
      </c>
      <c r="BK914" s="93">
        <v>83803879127</v>
      </c>
      <c r="BP914" s="18" t="s">
        <v>10979</v>
      </c>
      <c r="BQ914" s="37">
        <v>45321</v>
      </c>
      <c r="BR914" s="8">
        <f t="shared" si="3"/>
        <v>9</v>
      </c>
    </row>
    <row r="915" spans="1:70" ht="14">
      <c r="A915" s="4" t="str">
        <v>Reguler Periode ke-119 XII.B.1</v>
      </c>
      <c r="B915" s="4" t="s">
        <v>9561</v>
      </c>
      <c r="C915" s="4" t="s">
        <v>3664</v>
      </c>
      <c r="D915" s="4" t="s">
        <v>2621</v>
      </c>
      <c r="E915" s="4" t="s">
        <v>10980</v>
      </c>
      <c r="F915" s="4" t="s">
        <v>193</v>
      </c>
      <c r="G915" s="6" t="s">
        <v>10981</v>
      </c>
      <c r="H915" s="92" t="s">
        <v>6078</v>
      </c>
      <c r="I915" s="92" t="s">
        <v>10982</v>
      </c>
      <c r="J915" s="92" t="s">
        <v>10983</v>
      </c>
      <c r="K915" s="92" t="s">
        <v>10984</v>
      </c>
      <c r="L915" s="92" t="s">
        <v>10985</v>
      </c>
      <c r="M915" s="92" t="s">
        <v>10986</v>
      </c>
      <c r="N915" s="92" t="s">
        <v>10987</v>
      </c>
      <c r="O915" s="92" t="s">
        <v>10988</v>
      </c>
      <c r="S915" s="6">
        <v>2000003020</v>
      </c>
      <c r="T915" s="92">
        <v>2000006013</v>
      </c>
      <c r="U915" s="92">
        <v>2000011417</v>
      </c>
      <c r="V915" s="92">
        <v>2000016139</v>
      </c>
      <c r="W915" s="92">
        <v>2000018418</v>
      </c>
      <c r="X915" s="92">
        <v>2000024091</v>
      </c>
      <c r="Y915" s="92">
        <v>2000029073</v>
      </c>
      <c r="Z915" s="92">
        <v>2000036162</v>
      </c>
      <c r="AA915" s="92">
        <v>2015026104</v>
      </c>
      <c r="AE915" s="6" t="s">
        <v>178</v>
      </c>
      <c r="AF915" s="92" t="s">
        <v>745</v>
      </c>
      <c r="AG915" s="92" t="s">
        <v>182</v>
      </c>
      <c r="AH915" s="92" t="s">
        <v>531</v>
      </c>
      <c r="AI915" s="92" t="s">
        <v>179</v>
      </c>
      <c r="AJ915" s="92" t="s">
        <v>924</v>
      </c>
      <c r="AK915" s="92" t="s">
        <v>533</v>
      </c>
      <c r="AL915" s="92" t="s">
        <v>227</v>
      </c>
      <c r="AM915" s="92" t="s">
        <v>570</v>
      </c>
      <c r="AQ915" s="6" t="s">
        <v>186</v>
      </c>
      <c r="AR915" s="92" t="s">
        <v>186</v>
      </c>
      <c r="AS915" s="92" t="s">
        <v>187</v>
      </c>
      <c r="AT915" s="92" t="s">
        <v>186</v>
      </c>
      <c r="AU915" s="92" t="s">
        <v>187</v>
      </c>
      <c r="AV915" s="92" t="s">
        <v>186</v>
      </c>
      <c r="AW915" s="92" t="s">
        <v>186</v>
      </c>
      <c r="AX915" s="92" t="s">
        <v>186</v>
      </c>
      <c r="AY915" s="92" t="s">
        <v>187</v>
      </c>
      <c r="BC915" s="60">
        <v>81391941717</v>
      </c>
      <c r="BD915" s="93">
        <v>895706690302</v>
      </c>
      <c r="BE915" s="93">
        <v>8884000239</v>
      </c>
      <c r="BF915" s="93">
        <v>82124049727</v>
      </c>
      <c r="BG915" s="93">
        <v>82137289154</v>
      </c>
      <c r="BH915" s="93">
        <v>85233806028</v>
      </c>
      <c r="BI915" s="93">
        <v>82128653986</v>
      </c>
      <c r="BJ915" s="93">
        <v>882005675047</v>
      </c>
      <c r="BK915" s="93">
        <v>85155228800</v>
      </c>
      <c r="BP915" s="18" t="s">
        <v>10989</v>
      </c>
      <c r="BQ915" s="37">
        <v>45321</v>
      </c>
      <c r="BR915" s="8">
        <f t="shared" si="3"/>
        <v>9</v>
      </c>
    </row>
    <row r="916" spans="1:70" ht="14">
      <c r="A916" s="4" t="str">
        <v>Reguler Periode ke-119 XII.B.2</v>
      </c>
      <c r="B916" s="4" t="s">
        <v>9561</v>
      </c>
      <c r="C916" s="4" t="s">
        <v>3677</v>
      </c>
      <c r="D916" s="4" t="s">
        <v>2621</v>
      </c>
      <c r="E916" s="4" t="s">
        <v>10990</v>
      </c>
      <c r="F916" s="4" t="s">
        <v>193</v>
      </c>
      <c r="G916" s="6" t="s">
        <v>10991</v>
      </c>
      <c r="H916" s="92" t="s">
        <v>10992</v>
      </c>
      <c r="I916" s="92" t="s">
        <v>10993</v>
      </c>
      <c r="J916" s="92" t="s">
        <v>10994</v>
      </c>
      <c r="K916" s="92" t="s">
        <v>10995</v>
      </c>
      <c r="L916" s="92" t="s">
        <v>10996</v>
      </c>
      <c r="M916" s="92" t="s">
        <v>10997</v>
      </c>
      <c r="N916" s="92" t="s">
        <v>10998</v>
      </c>
      <c r="O916" s="92" t="s">
        <v>10999</v>
      </c>
      <c r="S916" s="6">
        <v>2000003078</v>
      </c>
      <c r="T916" s="92">
        <v>2000006011</v>
      </c>
      <c r="U916" s="92">
        <v>2000011224</v>
      </c>
      <c r="V916" s="92">
        <v>2000016071</v>
      </c>
      <c r="W916" s="92">
        <v>2000018126</v>
      </c>
      <c r="X916" s="92">
        <v>2000024125</v>
      </c>
      <c r="Y916" s="92">
        <v>2000026051</v>
      </c>
      <c r="Z916" s="92">
        <v>2000029114</v>
      </c>
      <c r="AA916" s="92">
        <v>2000036073</v>
      </c>
      <c r="AE916" s="6" t="s">
        <v>178</v>
      </c>
      <c r="AF916" s="92" t="s">
        <v>745</v>
      </c>
      <c r="AG916" s="92" t="s">
        <v>182</v>
      </c>
      <c r="AH916" s="92" t="s">
        <v>531</v>
      </c>
      <c r="AI916" s="92" t="s">
        <v>179</v>
      </c>
      <c r="AJ916" s="92" t="s">
        <v>924</v>
      </c>
      <c r="AK916" s="92" t="s">
        <v>570</v>
      </c>
      <c r="AL916" s="92" t="s">
        <v>533</v>
      </c>
      <c r="AM916" s="92" t="s">
        <v>227</v>
      </c>
      <c r="AQ916" s="6" t="s">
        <v>186</v>
      </c>
      <c r="AR916" s="92" t="s">
        <v>186</v>
      </c>
      <c r="AS916" s="92" t="s">
        <v>187</v>
      </c>
      <c r="AT916" s="92" t="s">
        <v>186</v>
      </c>
      <c r="AU916" s="92" t="s">
        <v>187</v>
      </c>
      <c r="AV916" s="92" t="s">
        <v>186</v>
      </c>
      <c r="AW916" s="92" t="s">
        <v>187</v>
      </c>
      <c r="AX916" s="92" t="s">
        <v>186</v>
      </c>
      <c r="AY916" s="92" t="s">
        <v>186</v>
      </c>
      <c r="BC916" s="60">
        <v>88239102180</v>
      </c>
      <c r="BD916" s="93">
        <v>85718404691</v>
      </c>
      <c r="BE916" s="93">
        <v>82154532462</v>
      </c>
      <c r="BF916" s="93">
        <v>87886262356</v>
      </c>
      <c r="BG916" s="93">
        <v>8984017226</v>
      </c>
      <c r="BH916" s="93">
        <v>85713492219</v>
      </c>
      <c r="BI916" s="93">
        <v>895334593636</v>
      </c>
      <c r="BJ916" s="93">
        <v>8888296666</v>
      </c>
      <c r="BK916" s="93">
        <v>85871898594</v>
      </c>
      <c r="BP916" s="18" t="s">
        <v>11000</v>
      </c>
      <c r="BQ916" s="37">
        <v>45321</v>
      </c>
      <c r="BR916" s="8">
        <f t="shared" si="3"/>
        <v>9</v>
      </c>
    </row>
    <row r="917" spans="1:70" ht="14">
      <c r="A917" s="4" t="str">
        <v>Reguler Periode ke-119 XII.B.3</v>
      </c>
      <c r="B917" s="4" t="s">
        <v>9561</v>
      </c>
      <c r="C917" s="4" t="s">
        <v>3689</v>
      </c>
      <c r="D917" s="4" t="s">
        <v>2621</v>
      </c>
      <c r="E917" s="4" t="s">
        <v>11001</v>
      </c>
      <c r="F917" s="4" t="s">
        <v>193</v>
      </c>
      <c r="G917" s="6" t="s">
        <v>11002</v>
      </c>
      <c r="H917" s="92" t="s">
        <v>11003</v>
      </c>
      <c r="I917" s="92" t="s">
        <v>11004</v>
      </c>
      <c r="J917" s="92" t="s">
        <v>11005</v>
      </c>
      <c r="K917" s="92" t="s">
        <v>11006</v>
      </c>
      <c r="L917" s="92" t="s">
        <v>11007</v>
      </c>
      <c r="M917" s="92" t="s">
        <v>11008</v>
      </c>
      <c r="N917" s="92" t="s">
        <v>11009</v>
      </c>
      <c r="O917" s="92" t="s">
        <v>11010</v>
      </c>
      <c r="S917" s="6">
        <v>1900029226</v>
      </c>
      <c r="T917" s="92">
        <v>2000003024</v>
      </c>
      <c r="U917" s="92">
        <v>2000006005</v>
      </c>
      <c r="V917" s="92">
        <v>2000011133</v>
      </c>
      <c r="W917" s="92">
        <v>2000016135</v>
      </c>
      <c r="X917" s="92">
        <v>2000018267</v>
      </c>
      <c r="Y917" s="92">
        <v>2000024307</v>
      </c>
      <c r="Z917" s="92">
        <v>2000026004</v>
      </c>
      <c r="AA917" s="92">
        <v>2000036132</v>
      </c>
      <c r="AE917" s="6" t="s">
        <v>533</v>
      </c>
      <c r="AF917" s="92" t="s">
        <v>178</v>
      </c>
      <c r="AG917" s="92" t="s">
        <v>745</v>
      </c>
      <c r="AH917" s="92" t="s">
        <v>182</v>
      </c>
      <c r="AI917" s="92" t="s">
        <v>531</v>
      </c>
      <c r="AJ917" s="92" t="s">
        <v>179</v>
      </c>
      <c r="AK917" s="92" t="s">
        <v>924</v>
      </c>
      <c r="AL917" s="92" t="s">
        <v>570</v>
      </c>
      <c r="AM917" s="92" t="s">
        <v>227</v>
      </c>
      <c r="AQ917" s="6" t="s">
        <v>186</v>
      </c>
      <c r="AR917" s="92" t="s">
        <v>186</v>
      </c>
      <c r="AS917" s="92" t="s">
        <v>186</v>
      </c>
      <c r="AT917" s="92" t="s">
        <v>187</v>
      </c>
      <c r="AU917" s="92" t="s">
        <v>186</v>
      </c>
      <c r="AV917" s="92" t="s">
        <v>187</v>
      </c>
      <c r="AW917" s="92" t="s">
        <v>186</v>
      </c>
      <c r="AX917" s="92" t="s">
        <v>187</v>
      </c>
      <c r="AY917" s="92" t="s">
        <v>186</v>
      </c>
      <c r="BC917" s="60">
        <v>81288809645</v>
      </c>
      <c r="BD917" s="93">
        <v>82148175137</v>
      </c>
      <c r="BE917" s="93">
        <v>85724030247</v>
      </c>
      <c r="BF917" s="93">
        <v>81223898675</v>
      </c>
      <c r="BG917" s="93">
        <v>89673777039</v>
      </c>
      <c r="BH917" s="93">
        <v>8895690779</v>
      </c>
      <c r="BI917" s="93">
        <v>85642396788</v>
      </c>
      <c r="BJ917" s="93">
        <v>82232360997</v>
      </c>
      <c r="BK917" s="93">
        <v>8156592302</v>
      </c>
      <c r="BP917" s="18" t="s">
        <v>11011</v>
      </c>
      <c r="BQ917" s="37">
        <v>45321</v>
      </c>
      <c r="BR917" s="8">
        <f t="shared" si="3"/>
        <v>9</v>
      </c>
    </row>
    <row r="918" spans="1:70" ht="14">
      <c r="A918" s="4" t="str">
        <v>Reguler Periode ke-119 XII.C.1</v>
      </c>
      <c r="B918" s="4" t="s">
        <v>9561</v>
      </c>
      <c r="C918" s="4" t="s">
        <v>3701</v>
      </c>
      <c r="D918" s="4" t="s">
        <v>413</v>
      </c>
      <c r="E918" s="4" t="s">
        <v>11012</v>
      </c>
      <c r="F918" s="4" t="s">
        <v>193</v>
      </c>
      <c r="G918" s="6" t="s">
        <v>11013</v>
      </c>
      <c r="H918" s="92" t="s">
        <v>11014</v>
      </c>
      <c r="I918" s="92" t="s">
        <v>11015</v>
      </c>
      <c r="J918" s="92" t="s">
        <v>11016</v>
      </c>
      <c r="K918" s="92" t="s">
        <v>11017</v>
      </c>
      <c r="L918" s="92" t="s">
        <v>11018</v>
      </c>
      <c r="M918" s="92" t="s">
        <v>11019</v>
      </c>
      <c r="N918" s="92" t="s">
        <v>11020</v>
      </c>
      <c r="S918" s="6">
        <v>1900024070</v>
      </c>
      <c r="T918" s="92">
        <v>2000003062</v>
      </c>
      <c r="U918" s="92">
        <v>2000006040</v>
      </c>
      <c r="V918" s="92">
        <v>2000011142</v>
      </c>
      <c r="W918" s="92">
        <v>2000016048</v>
      </c>
      <c r="X918" s="92">
        <v>2000026059</v>
      </c>
      <c r="Y918" s="92">
        <v>2000029171</v>
      </c>
      <c r="Z918" s="92">
        <v>2000036136</v>
      </c>
      <c r="AE918" s="6" t="s">
        <v>924</v>
      </c>
      <c r="AF918" s="92" t="s">
        <v>178</v>
      </c>
      <c r="AG918" s="92" t="s">
        <v>745</v>
      </c>
      <c r="AH918" s="92" t="s">
        <v>182</v>
      </c>
      <c r="AI918" s="92" t="s">
        <v>531</v>
      </c>
      <c r="AJ918" s="92" t="s">
        <v>570</v>
      </c>
      <c r="AK918" s="92" t="s">
        <v>533</v>
      </c>
      <c r="AL918" s="92" t="s">
        <v>227</v>
      </c>
      <c r="AQ918" s="6" t="s">
        <v>186</v>
      </c>
      <c r="AR918" s="92" t="s">
        <v>186</v>
      </c>
      <c r="AS918" s="92" t="s">
        <v>186</v>
      </c>
      <c r="AT918" s="92" t="s">
        <v>187</v>
      </c>
      <c r="AU918" s="92" t="s">
        <v>186</v>
      </c>
      <c r="AV918" s="92" t="s">
        <v>187</v>
      </c>
      <c r="AW918" s="92" t="s">
        <v>186</v>
      </c>
      <c r="AX918" s="92" t="s">
        <v>186</v>
      </c>
      <c r="BC918" s="60">
        <v>82399555076</v>
      </c>
      <c r="BD918" s="93">
        <v>81770547705</v>
      </c>
      <c r="BE918" s="93">
        <v>81229237772</v>
      </c>
      <c r="BF918" s="93">
        <v>82291544356</v>
      </c>
      <c r="BG918" s="93">
        <v>82280531742</v>
      </c>
      <c r="BH918" s="93">
        <v>85600828157</v>
      </c>
      <c r="BI918" s="93">
        <v>81371137741</v>
      </c>
      <c r="BJ918" s="93">
        <v>81515330878</v>
      </c>
      <c r="BP918" s="18" t="s">
        <v>11021</v>
      </c>
      <c r="BQ918" s="37">
        <v>45321</v>
      </c>
      <c r="BR918" s="8">
        <f t="shared" si="3"/>
        <v>8</v>
      </c>
    </row>
    <row r="919" spans="1:70" ht="14">
      <c r="A919" s="4" t="str">
        <v>Reguler Periode ke-119 XII.C.2</v>
      </c>
      <c r="B919" s="4" t="s">
        <v>9561</v>
      </c>
      <c r="C919" s="4" t="s">
        <v>3714</v>
      </c>
      <c r="D919" s="4" t="s">
        <v>413</v>
      </c>
      <c r="E919" s="4" t="s">
        <v>11022</v>
      </c>
      <c r="F919" s="4" t="s">
        <v>193</v>
      </c>
      <c r="G919" s="6" t="s">
        <v>11023</v>
      </c>
      <c r="H919" s="92" t="s">
        <v>11024</v>
      </c>
      <c r="I919" s="92" t="s">
        <v>11025</v>
      </c>
      <c r="J919" s="92" t="s">
        <v>11026</v>
      </c>
      <c r="K919" s="92" t="s">
        <v>11027</v>
      </c>
      <c r="L919" s="92" t="s">
        <v>11028</v>
      </c>
      <c r="M919" s="92" t="s">
        <v>11029</v>
      </c>
      <c r="N919" s="92" t="s">
        <v>11030</v>
      </c>
      <c r="O919" s="92" t="s">
        <v>11031</v>
      </c>
      <c r="S919" s="6">
        <v>1900026013</v>
      </c>
      <c r="T919" s="92">
        <v>2000003023</v>
      </c>
      <c r="U919" s="92">
        <v>2000006037</v>
      </c>
      <c r="V919" s="92">
        <v>2000011288</v>
      </c>
      <c r="W919" s="92">
        <v>2000016105</v>
      </c>
      <c r="X919" s="92">
        <v>2000018072</v>
      </c>
      <c r="Y919" s="92">
        <v>2000024141</v>
      </c>
      <c r="Z919" s="92">
        <v>2000029003</v>
      </c>
      <c r="AA919" s="92">
        <v>2000036149</v>
      </c>
      <c r="AE919" s="6" t="s">
        <v>570</v>
      </c>
      <c r="AF919" s="92" t="s">
        <v>178</v>
      </c>
      <c r="AG919" s="92" t="s">
        <v>745</v>
      </c>
      <c r="AH919" s="92" t="s">
        <v>182</v>
      </c>
      <c r="AI919" s="92" t="s">
        <v>531</v>
      </c>
      <c r="AJ919" s="92" t="s">
        <v>179</v>
      </c>
      <c r="AK919" s="92" t="s">
        <v>924</v>
      </c>
      <c r="AL919" s="92" t="s">
        <v>533</v>
      </c>
      <c r="AM919" s="92" t="s">
        <v>227</v>
      </c>
      <c r="AQ919" s="6" t="s">
        <v>187</v>
      </c>
      <c r="AR919" s="92" t="s">
        <v>186</v>
      </c>
      <c r="AS919" s="92" t="s">
        <v>186</v>
      </c>
      <c r="AT919" s="92" t="s">
        <v>187</v>
      </c>
      <c r="AU919" s="92" t="s">
        <v>186</v>
      </c>
      <c r="AV919" s="92" t="s">
        <v>187</v>
      </c>
      <c r="AW919" s="92" t="s">
        <v>186</v>
      </c>
      <c r="AX919" s="92" t="s">
        <v>186</v>
      </c>
      <c r="AY919" s="92" t="s">
        <v>186</v>
      </c>
      <c r="BC919" s="60"/>
      <c r="BD919" s="93">
        <v>81903381087</v>
      </c>
      <c r="BE919" s="93">
        <v>89508783361</v>
      </c>
      <c r="BF919" s="93">
        <v>87764034856</v>
      </c>
      <c r="BG919" s="93">
        <v>82130632427</v>
      </c>
      <c r="BH919" s="93">
        <v>82387778455</v>
      </c>
      <c r="BI919" s="93">
        <v>85267992402</v>
      </c>
      <c r="BJ919" s="93">
        <v>89526463666</v>
      </c>
      <c r="BK919" s="93">
        <v>87719750526</v>
      </c>
      <c r="BP919" s="18" t="s">
        <v>11032</v>
      </c>
      <c r="BQ919" s="37">
        <v>45321</v>
      </c>
      <c r="BR919" s="8">
        <f t="shared" si="3"/>
        <v>9</v>
      </c>
    </row>
    <row r="920" spans="1:70" ht="14">
      <c r="A920" s="4" t="str">
        <v>Reguler Periode ke-119 XII.C.3</v>
      </c>
      <c r="B920" s="4" t="s">
        <v>9561</v>
      </c>
      <c r="C920" s="4" t="s">
        <v>3726</v>
      </c>
      <c r="D920" s="4" t="s">
        <v>413</v>
      </c>
      <c r="E920" s="4" t="s">
        <v>11033</v>
      </c>
      <c r="F920" s="4" t="s">
        <v>193</v>
      </c>
      <c r="G920" s="6" t="s">
        <v>11034</v>
      </c>
      <c r="H920" s="92" t="s">
        <v>11035</v>
      </c>
      <c r="I920" s="92" t="s">
        <v>11036</v>
      </c>
      <c r="J920" s="92" t="s">
        <v>11037</v>
      </c>
      <c r="K920" s="92" t="s">
        <v>11038</v>
      </c>
      <c r="L920" s="92" t="s">
        <v>11039</v>
      </c>
      <c r="M920" s="92" t="s">
        <v>11040</v>
      </c>
      <c r="N920" s="92" t="s">
        <v>11041</v>
      </c>
      <c r="O920" s="92" t="s">
        <v>11042</v>
      </c>
      <c r="S920" s="6">
        <v>2000003057</v>
      </c>
      <c r="T920" s="92">
        <v>2000011157</v>
      </c>
      <c r="U920" s="92">
        <v>2000016049</v>
      </c>
      <c r="V920" s="92">
        <v>2000018027</v>
      </c>
      <c r="W920" s="92">
        <v>2000024058</v>
      </c>
      <c r="X920" s="92">
        <v>2000026043</v>
      </c>
      <c r="Y920" s="92">
        <v>2000029257</v>
      </c>
      <c r="Z920" s="92">
        <v>2000036131</v>
      </c>
      <c r="AA920" s="92">
        <v>2015007011</v>
      </c>
      <c r="AE920" s="6" t="s">
        <v>178</v>
      </c>
      <c r="AF920" s="92" t="s">
        <v>182</v>
      </c>
      <c r="AG920" s="92" t="s">
        <v>531</v>
      </c>
      <c r="AH920" s="92" t="s">
        <v>179</v>
      </c>
      <c r="AI920" s="92" t="s">
        <v>924</v>
      </c>
      <c r="AJ920" s="92" t="s">
        <v>570</v>
      </c>
      <c r="AK920" s="92" t="s">
        <v>533</v>
      </c>
      <c r="AL920" s="92" t="s">
        <v>227</v>
      </c>
      <c r="AM920" s="92" t="s">
        <v>1021</v>
      </c>
      <c r="AQ920" s="6" t="s">
        <v>186</v>
      </c>
      <c r="AR920" s="92" t="s">
        <v>187</v>
      </c>
      <c r="AS920" s="92" t="s">
        <v>186</v>
      </c>
      <c r="AT920" s="92" t="s">
        <v>187</v>
      </c>
      <c r="AU920" s="92" t="s">
        <v>186</v>
      </c>
      <c r="AV920" s="92" t="s">
        <v>187</v>
      </c>
      <c r="AW920" s="92" t="s">
        <v>186</v>
      </c>
      <c r="AX920" s="92" t="s">
        <v>186</v>
      </c>
      <c r="AY920" s="92" t="s">
        <v>186</v>
      </c>
      <c r="BC920" s="60">
        <v>85600310426</v>
      </c>
      <c r="BD920" s="93">
        <v>82321209175</v>
      </c>
      <c r="BE920" s="93">
        <v>82288996890</v>
      </c>
      <c r="BF920" s="93">
        <v>81939957135</v>
      </c>
      <c r="BG920" s="93">
        <v>895361531964</v>
      </c>
      <c r="BH920" s="93">
        <v>89503853587</v>
      </c>
      <c r="BI920" s="93">
        <v>82247836769</v>
      </c>
      <c r="BJ920" s="93">
        <v>85722318453</v>
      </c>
      <c r="BK920" s="93">
        <v>81228035800</v>
      </c>
      <c r="BP920" s="18" t="s">
        <v>11043</v>
      </c>
      <c r="BQ920" s="37">
        <v>45321</v>
      </c>
      <c r="BR920" s="8">
        <f t="shared" si="3"/>
        <v>9</v>
      </c>
    </row>
    <row r="921" spans="1:70" ht="14">
      <c r="A921" s="4" t="str">
        <v>Reguler Periode ke-119 XII.D.1</v>
      </c>
      <c r="B921" s="4" t="s">
        <v>9561</v>
      </c>
      <c r="C921" s="4" t="s">
        <v>3740</v>
      </c>
      <c r="D921" s="4" t="s">
        <v>11044</v>
      </c>
      <c r="E921" s="4" t="s">
        <v>11045</v>
      </c>
      <c r="F921" s="4" t="s">
        <v>193</v>
      </c>
      <c r="G921" s="6" t="s">
        <v>11046</v>
      </c>
      <c r="H921" s="92" t="s">
        <v>11047</v>
      </c>
      <c r="I921" s="92" t="s">
        <v>11048</v>
      </c>
      <c r="J921" s="92" t="s">
        <v>11049</v>
      </c>
      <c r="K921" s="92" t="s">
        <v>11050</v>
      </c>
      <c r="L921" s="92" t="s">
        <v>11051</v>
      </c>
      <c r="M921" s="92" t="s">
        <v>11052</v>
      </c>
      <c r="N921" s="92" t="s">
        <v>11053</v>
      </c>
      <c r="S921" s="6">
        <v>2000003015</v>
      </c>
      <c r="T921" s="92">
        <v>2000011188</v>
      </c>
      <c r="U921" s="92">
        <v>2000016122</v>
      </c>
      <c r="V921" s="92">
        <v>2000018101</v>
      </c>
      <c r="W921" s="92">
        <v>2000024266</v>
      </c>
      <c r="X921" s="92">
        <v>2000026016</v>
      </c>
      <c r="Y921" s="92">
        <v>2000029176</v>
      </c>
      <c r="Z921" s="92">
        <v>2000036088</v>
      </c>
      <c r="AE921" s="6" t="s">
        <v>178</v>
      </c>
      <c r="AF921" s="92" t="s">
        <v>182</v>
      </c>
      <c r="AG921" s="92" t="s">
        <v>531</v>
      </c>
      <c r="AH921" s="92" t="s">
        <v>179</v>
      </c>
      <c r="AI921" s="92" t="s">
        <v>924</v>
      </c>
      <c r="AJ921" s="92" t="s">
        <v>570</v>
      </c>
      <c r="AK921" s="92" t="s">
        <v>533</v>
      </c>
      <c r="AL921" s="92" t="s">
        <v>227</v>
      </c>
      <c r="AQ921" s="6" t="s">
        <v>186</v>
      </c>
      <c r="AR921" s="92" t="s">
        <v>187</v>
      </c>
      <c r="AS921" s="92" t="s">
        <v>186</v>
      </c>
      <c r="AT921" s="92" t="s">
        <v>187</v>
      </c>
      <c r="AU921" s="92" t="s">
        <v>186</v>
      </c>
      <c r="AV921" s="92" t="s">
        <v>187</v>
      </c>
      <c r="AW921" s="92" t="s">
        <v>186</v>
      </c>
      <c r="AX921" s="92" t="s">
        <v>186</v>
      </c>
      <c r="BC921" s="60">
        <v>82315358783</v>
      </c>
      <c r="BD921" s="93">
        <v>81946982207</v>
      </c>
      <c r="BE921" s="93">
        <v>81266592725</v>
      </c>
      <c r="BF921" s="93">
        <v>82288168828</v>
      </c>
      <c r="BG921" s="93">
        <v>87710199623</v>
      </c>
      <c r="BH921" s="93">
        <v>82166346590</v>
      </c>
      <c r="BI921" s="93">
        <v>85803925624</v>
      </c>
      <c r="BJ921" s="93">
        <v>85783218931</v>
      </c>
      <c r="BP921" s="18" t="s">
        <v>11054</v>
      </c>
      <c r="BQ921" s="37">
        <v>45321</v>
      </c>
      <c r="BR921" s="8">
        <f t="shared" si="3"/>
        <v>8</v>
      </c>
    </row>
    <row r="922" spans="1:70" ht="14">
      <c r="A922" s="4" t="str">
        <v>Reguler Periode ke-119 XII.D.2</v>
      </c>
      <c r="B922" s="4" t="s">
        <v>9561</v>
      </c>
      <c r="C922" s="4" t="s">
        <v>3753</v>
      </c>
      <c r="D922" s="4" t="s">
        <v>11044</v>
      </c>
      <c r="E922" s="4" t="s">
        <v>11055</v>
      </c>
      <c r="F922" s="4" t="s">
        <v>193</v>
      </c>
      <c r="G922" s="6" t="s">
        <v>11056</v>
      </c>
      <c r="H922" s="92" t="s">
        <v>11057</v>
      </c>
      <c r="I922" s="92" t="s">
        <v>11058</v>
      </c>
      <c r="J922" s="92" t="s">
        <v>11059</v>
      </c>
      <c r="K922" s="92" t="s">
        <v>11060</v>
      </c>
      <c r="L922" s="92" t="s">
        <v>11061</v>
      </c>
      <c r="M922" s="92" t="s">
        <v>11062</v>
      </c>
      <c r="N922" s="92" t="s">
        <v>11063</v>
      </c>
      <c r="O922" s="92" t="s">
        <v>11064</v>
      </c>
      <c r="S922" s="6">
        <v>1900026095</v>
      </c>
      <c r="T922" s="92">
        <v>2000003081</v>
      </c>
      <c r="U922" s="92">
        <v>2000008020</v>
      </c>
      <c r="V922" s="92">
        <v>2000011177</v>
      </c>
      <c r="W922" s="92">
        <v>2000016076</v>
      </c>
      <c r="X922" s="92">
        <v>2000018216</v>
      </c>
      <c r="Y922" s="92">
        <v>2000024071</v>
      </c>
      <c r="Z922" s="92">
        <v>2000029080</v>
      </c>
      <c r="AA922" s="92">
        <v>2000036140</v>
      </c>
      <c r="AE922" s="6" t="s">
        <v>570</v>
      </c>
      <c r="AF922" s="92" t="s">
        <v>178</v>
      </c>
      <c r="AG922" s="92" t="s">
        <v>1111</v>
      </c>
      <c r="AH922" s="92" t="s">
        <v>182</v>
      </c>
      <c r="AI922" s="92" t="s">
        <v>531</v>
      </c>
      <c r="AJ922" s="92" t="s">
        <v>179</v>
      </c>
      <c r="AK922" s="92" t="s">
        <v>924</v>
      </c>
      <c r="AL922" s="92" t="s">
        <v>533</v>
      </c>
      <c r="AM922" s="92" t="s">
        <v>227</v>
      </c>
      <c r="AQ922" s="6" t="s">
        <v>187</v>
      </c>
      <c r="AR922" s="92" t="s">
        <v>186</v>
      </c>
      <c r="AS922" s="92" t="s">
        <v>186</v>
      </c>
      <c r="AT922" s="92" t="s">
        <v>187</v>
      </c>
      <c r="AU922" s="92" t="s">
        <v>186</v>
      </c>
      <c r="AV922" s="92" t="s">
        <v>187</v>
      </c>
      <c r="AW922" s="92" t="s">
        <v>186</v>
      </c>
      <c r="AX922" s="92" t="s">
        <v>186</v>
      </c>
      <c r="AY922" s="92" t="s">
        <v>186</v>
      </c>
      <c r="BC922" s="60">
        <v>81255871868</v>
      </c>
      <c r="BD922" s="93">
        <v>8995384462</v>
      </c>
      <c r="BE922" s="93">
        <v>83184713961</v>
      </c>
      <c r="BF922" s="93">
        <v>85809974814</v>
      </c>
      <c r="BG922" s="93">
        <v>85871012624</v>
      </c>
      <c r="BH922" s="93">
        <v>85747351562</v>
      </c>
      <c r="BI922" s="93">
        <v>85800338006</v>
      </c>
      <c r="BJ922" s="93">
        <v>82152105460</v>
      </c>
      <c r="BK922" s="93">
        <v>82317094878</v>
      </c>
      <c r="BP922" s="18" t="s">
        <v>11065</v>
      </c>
      <c r="BQ922" s="37">
        <v>45321</v>
      </c>
      <c r="BR922" s="8">
        <f t="shared" si="3"/>
        <v>9</v>
      </c>
    </row>
    <row r="923" spans="1:70" ht="14">
      <c r="A923" s="4" t="str">
        <v>Reguler Periode ke-119 XII.D.3</v>
      </c>
      <c r="B923" s="4" t="s">
        <v>9561</v>
      </c>
      <c r="C923" s="4" t="s">
        <v>3765</v>
      </c>
      <c r="D923" s="4" t="s">
        <v>11044</v>
      </c>
      <c r="E923" s="4" t="s">
        <v>11066</v>
      </c>
      <c r="F923" s="4" t="s">
        <v>193</v>
      </c>
      <c r="G923" s="6" t="s">
        <v>11067</v>
      </c>
      <c r="H923" s="92" t="s">
        <v>11068</v>
      </c>
      <c r="I923" s="92" t="s">
        <v>11069</v>
      </c>
      <c r="J923" s="92" t="s">
        <v>11070</v>
      </c>
      <c r="K923" s="92" t="s">
        <v>11071</v>
      </c>
      <c r="L923" s="92" t="s">
        <v>11072</v>
      </c>
      <c r="M923" s="92" t="s">
        <v>11073</v>
      </c>
      <c r="N923" s="92" t="s">
        <v>11074</v>
      </c>
      <c r="O923" s="92" t="s">
        <v>11075</v>
      </c>
      <c r="S923" s="6">
        <v>2000003088</v>
      </c>
      <c r="T923" s="92">
        <v>2000008014</v>
      </c>
      <c r="U923" s="92">
        <v>2000011291</v>
      </c>
      <c r="V923" s="92">
        <v>2000016102</v>
      </c>
      <c r="W923" s="92">
        <v>2000018247</v>
      </c>
      <c r="X923" s="92">
        <v>2000024102</v>
      </c>
      <c r="Y923" s="92">
        <v>2000026018</v>
      </c>
      <c r="Z923" s="92">
        <v>2000029089</v>
      </c>
      <c r="AA923" s="92">
        <v>2000036022</v>
      </c>
      <c r="AE923" s="6" t="s">
        <v>178</v>
      </c>
      <c r="AF923" s="92" t="s">
        <v>1111</v>
      </c>
      <c r="AG923" s="92" t="s">
        <v>182</v>
      </c>
      <c r="AH923" s="92" t="s">
        <v>531</v>
      </c>
      <c r="AI923" s="92" t="s">
        <v>179</v>
      </c>
      <c r="AJ923" s="92" t="s">
        <v>924</v>
      </c>
      <c r="AK923" s="92" t="s">
        <v>570</v>
      </c>
      <c r="AL923" s="92" t="s">
        <v>533</v>
      </c>
      <c r="AM923" s="92" t="s">
        <v>227</v>
      </c>
      <c r="AQ923" s="6" t="s">
        <v>186</v>
      </c>
      <c r="AR923" s="92" t="s">
        <v>186</v>
      </c>
      <c r="AS923" s="92" t="s">
        <v>187</v>
      </c>
      <c r="AT923" s="92" t="s">
        <v>186</v>
      </c>
      <c r="AU923" s="92" t="s">
        <v>187</v>
      </c>
      <c r="AV923" s="92" t="s">
        <v>186</v>
      </c>
      <c r="AW923" s="92" t="s">
        <v>187</v>
      </c>
      <c r="AX923" s="92" t="s">
        <v>186</v>
      </c>
      <c r="AY923" s="92" t="s">
        <v>186</v>
      </c>
      <c r="BC923" s="60">
        <v>87801440878</v>
      </c>
      <c r="BD923" s="93">
        <v>85227605856</v>
      </c>
      <c r="BE923" s="93">
        <v>81337587891</v>
      </c>
      <c r="BF923" s="93">
        <v>85759460875</v>
      </c>
      <c r="BG923" s="93">
        <v>81326241835</v>
      </c>
      <c r="BH923" s="93">
        <v>85332081345</v>
      </c>
      <c r="BI923" s="93">
        <v>82177756177</v>
      </c>
      <c r="BJ923" s="93">
        <v>81350471537</v>
      </c>
      <c r="BK923" s="93">
        <v>82386176858</v>
      </c>
      <c r="BP923" s="18" t="s">
        <v>11076</v>
      </c>
      <c r="BQ923" s="37">
        <v>45321</v>
      </c>
      <c r="BR923" s="8">
        <f t="shared" si="3"/>
        <v>9</v>
      </c>
    </row>
    <row r="924" spans="1:70" ht="14.5">
      <c r="A924" s="4" t="str">
        <v>Reguler Periode ke-119 XIII.A.1</v>
      </c>
      <c r="B924" s="4" t="s">
        <v>9561</v>
      </c>
      <c r="C924" s="4" t="s">
        <v>3777</v>
      </c>
      <c r="D924" s="4" t="s">
        <v>11077</v>
      </c>
      <c r="E924" s="4" t="s">
        <v>11078</v>
      </c>
      <c r="F924" s="4" t="s">
        <v>193</v>
      </c>
      <c r="G924" s="6" t="s">
        <v>11079</v>
      </c>
      <c r="H924" s="92" t="s">
        <v>11080</v>
      </c>
      <c r="I924" s="92" t="s">
        <v>11081</v>
      </c>
      <c r="J924" s="92" t="s">
        <v>11082</v>
      </c>
      <c r="K924" s="92" t="s">
        <v>11083</v>
      </c>
      <c r="L924" s="92" t="s">
        <v>11084</v>
      </c>
      <c r="M924" s="92" t="s">
        <v>11085</v>
      </c>
      <c r="N924" s="92" t="s">
        <v>11086</v>
      </c>
      <c r="O924" s="92" t="s">
        <v>11087</v>
      </c>
      <c r="P924" s="73"/>
      <c r="S924" s="6">
        <v>2000003042</v>
      </c>
      <c r="T924" s="92">
        <v>2000008021</v>
      </c>
      <c r="U924" s="92">
        <v>2000011403</v>
      </c>
      <c r="V924" s="92">
        <v>2000016115</v>
      </c>
      <c r="W924" s="92">
        <v>2000018205</v>
      </c>
      <c r="X924" s="92">
        <v>2000024178</v>
      </c>
      <c r="Y924" s="92">
        <v>2000026157</v>
      </c>
      <c r="Z924" s="92">
        <v>2000029023</v>
      </c>
      <c r="AA924" s="92">
        <v>2000036099</v>
      </c>
      <c r="AE924" s="6" t="s">
        <v>178</v>
      </c>
      <c r="AF924" s="92" t="s">
        <v>1111</v>
      </c>
      <c r="AG924" s="92" t="s">
        <v>182</v>
      </c>
      <c r="AH924" s="92" t="s">
        <v>531</v>
      </c>
      <c r="AI924" s="92" t="s">
        <v>179</v>
      </c>
      <c r="AJ924" s="92" t="s">
        <v>924</v>
      </c>
      <c r="AK924" s="92" t="s">
        <v>570</v>
      </c>
      <c r="AL924" s="92" t="s">
        <v>533</v>
      </c>
      <c r="AM924" s="92" t="s">
        <v>227</v>
      </c>
      <c r="AQ924" s="6" t="s">
        <v>186</v>
      </c>
      <c r="AR924" s="92" t="s">
        <v>186</v>
      </c>
      <c r="AS924" s="92" t="s">
        <v>187</v>
      </c>
      <c r="AT924" s="92" t="s">
        <v>186</v>
      </c>
      <c r="AU924" s="92" t="s">
        <v>187</v>
      </c>
      <c r="AV924" s="92" t="s">
        <v>186</v>
      </c>
      <c r="AW924" s="92" t="s">
        <v>187</v>
      </c>
      <c r="AX924" s="92" t="s">
        <v>186</v>
      </c>
      <c r="AY924" s="92" t="s">
        <v>186</v>
      </c>
      <c r="BC924" s="60">
        <v>82195773501</v>
      </c>
      <c r="BD924" s="93">
        <v>816513535</v>
      </c>
      <c r="BE924" s="93">
        <v>81273089264</v>
      </c>
      <c r="BF924" s="93">
        <v>81286072821</v>
      </c>
      <c r="BG924" s="93">
        <v>82237395314</v>
      </c>
      <c r="BH924" s="93">
        <v>81228064520</v>
      </c>
      <c r="BI924" s="93">
        <v>85641227897</v>
      </c>
      <c r="BJ924" s="93">
        <v>81237856053</v>
      </c>
      <c r="BK924" s="93">
        <v>85348384684</v>
      </c>
      <c r="BP924" s="35" t="s">
        <v>11088</v>
      </c>
      <c r="BQ924" s="37">
        <v>45321</v>
      </c>
      <c r="BR924" s="8">
        <f t="shared" si="3"/>
        <v>9</v>
      </c>
    </row>
    <row r="925" spans="1:70" ht="14">
      <c r="A925" s="4" t="str">
        <v>Reguler Periode ke-119 XIII.A.2</v>
      </c>
      <c r="B925" s="4" t="s">
        <v>9561</v>
      </c>
      <c r="C925" s="4" t="s">
        <v>3790</v>
      </c>
      <c r="D925" s="4" t="s">
        <v>11077</v>
      </c>
      <c r="E925" s="4" t="s">
        <v>11089</v>
      </c>
      <c r="F925" s="4" t="s">
        <v>193</v>
      </c>
      <c r="G925" s="6" t="s">
        <v>11090</v>
      </c>
      <c r="H925" s="92" t="s">
        <v>11091</v>
      </c>
      <c r="I925" s="92" t="s">
        <v>11092</v>
      </c>
      <c r="J925" s="92" t="s">
        <v>2912</v>
      </c>
      <c r="K925" s="92" t="s">
        <v>11093</v>
      </c>
      <c r="L925" s="92" t="s">
        <v>11094</v>
      </c>
      <c r="M925" s="92" t="s">
        <v>11095</v>
      </c>
      <c r="N925" s="92" t="s">
        <v>11096</v>
      </c>
      <c r="O925" s="92" t="s">
        <v>11097</v>
      </c>
      <c r="S925" s="6">
        <v>1800026170</v>
      </c>
      <c r="T925" s="92">
        <v>2000003059</v>
      </c>
      <c r="U925" s="92">
        <v>2000008006</v>
      </c>
      <c r="V925" s="92">
        <v>2000011110</v>
      </c>
      <c r="W925" s="92">
        <v>2000018210</v>
      </c>
      <c r="X925" s="92">
        <v>2000024059</v>
      </c>
      <c r="Y925" s="92">
        <v>2000029107</v>
      </c>
      <c r="Z925" s="92">
        <v>2000036094</v>
      </c>
      <c r="AA925" s="92">
        <v>2015016057</v>
      </c>
      <c r="AE925" s="6" t="s">
        <v>570</v>
      </c>
      <c r="AF925" s="92" t="s">
        <v>178</v>
      </c>
      <c r="AG925" s="92" t="s">
        <v>1111</v>
      </c>
      <c r="AH925" s="92" t="s">
        <v>182</v>
      </c>
      <c r="AI925" s="92" t="s">
        <v>179</v>
      </c>
      <c r="AJ925" s="92" t="s">
        <v>924</v>
      </c>
      <c r="AK925" s="92" t="s">
        <v>533</v>
      </c>
      <c r="AL925" s="92" t="s">
        <v>227</v>
      </c>
      <c r="AM925" s="92" t="s">
        <v>531</v>
      </c>
      <c r="AQ925" s="6" t="s">
        <v>187</v>
      </c>
      <c r="AR925" s="92" t="s">
        <v>186</v>
      </c>
      <c r="AS925" s="92" t="s">
        <v>186</v>
      </c>
      <c r="AT925" s="92" t="s">
        <v>187</v>
      </c>
      <c r="AU925" s="92" t="s">
        <v>187</v>
      </c>
      <c r="AV925" s="92" t="s">
        <v>186</v>
      </c>
      <c r="AW925" s="92" t="s">
        <v>186</v>
      </c>
      <c r="AX925" s="92" t="s">
        <v>186</v>
      </c>
      <c r="AY925" s="92" t="s">
        <v>186</v>
      </c>
      <c r="BC925" s="60">
        <v>895392331854</v>
      </c>
      <c r="BD925" s="93">
        <v>88801944778</v>
      </c>
      <c r="BE925" s="93">
        <v>85624009729</v>
      </c>
      <c r="BF925" s="93">
        <v>82155776074</v>
      </c>
      <c r="BG925" s="93">
        <v>81228679745</v>
      </c>
      <c r="BH925" s="93">
        <v>83867494642</v>
      </c>
      <c r="BI925" s="93">
        <v>81342850485</v>
      </c>
      <c r="BJ925" s="93">
        <v>895351112317</v>
      </c>
      <c r="BK925" s="93">
        <v>88227768128</v>
      </c>
      <c r="BP925" s="18" t="s">
        <v>11098</v>
      </c>
      <c r="BQ925" s="37">
        <v>45321</v>
      </c>
      <c r="BR925" s="8">
        <f t="shared" si="3"/>
        <v>9</v>
      </c>
    </row>
    <row r="926" spans="1:70" ht="14">
      <c r="A926" s="4" t="str">
        <v>Reguler Periode ke-119 XIII.A.3</v>
      </c>
      <c r="B926" s="4" t="s">
        <v>9561</v>
      </c>
      <c r="C926" s="4" t="s">
        <v>3802</v>
      </c>
      <c r="D926" s="4" t="s">
        <v>11077</v>
      </c>
      <c r="E926" s="4" t="s">
        <v>11099</v>
      </c>
      <c r="F926" s="4" t="s">
        <v>193</v>
      </c>
      <c r="G926" s="6" t="s">
        <v>11100</v>
      </c>
      <c r="H926" s="92" t="s">
        <v>11101</v>
      </c>
      <c r="I926" s="92" t="s">
        <v>11102</v>
      </c>
      <c r="J926" s="92" t="s">
        <v>11103</v>
      </c>
      <c r="K926" s="92" t="s">
        <v>11104</v>
      </c>
      <c r="L926" s="92" t="s">
        <v>11105</v>
      </c>
      <c r="M926" s="92" t="s">
        <v>11106</v>
      </c>
      <c r="N926" s="92" t="s">
        <v>11107</v>
      </c>
      <c r="O926" s="92" t="s">
        <v>11108</v>
      </c>
      <c r="S926" s="6">
        <v>2000003058</v>
      </c>
      <c r="T926" s="92">
        <v>2000008039</v>
      </c>
      <c r="U926" s="92">
        <v>2000011206</v>
      </c>
      <c r="V926" s="92">
        <v>2000018283</v>
      </c>
      <c r="W926" s="92">
        <v>2000024108</v>
      </c>
      <c r="X926" s="92">
        <v>2000026022</v>
      </c>
      <c r="Y926" s="92">
        <v>2000029014</v>
      </c>
      <c r="Z926" s="92">
        <v>2000036120</v>
      </c>
      <c r="AA926" s="92">
        <v>2011016062</v>
      </c>
      <c r="AE926" s="6" t="s">
        <v>178</v>
      </c>
      <c r="AF926" s="92" t="s">
        <v>1111</v>
      </c>
      <c r="AG926" s="92" t="s">
        <v>182</v>
      </c>
      <c r="AH926" s="92" t="s">
        <v>179</v>
      </c>
      <c r="AI926" s="92" t="s">
        <v>924</v>
      </c>
      <c r="AJ926" s="92" t="s">
        <v>570</v>
      </c>
      <c r="AK926" s="92" t="s">
        <v>533</v>
      </c>
      <c r="AL926" s="92" t="s">
        <v>227</v>
      </c>
      <c r="AM926" s="92" t="s">
        <v>531</v>
      </c>
      <c r="AQ926" s="6" t="s">
        <v>186</v>
      </c>
      <c r="AR926" s="92" t="s">
        <v>186</v>
      </c>
      <c r="AS926" s="92" t="s">
        <v>187</v>
      </c>
      <c r="AT926" s="92" t="s">
        <v>187</v>
      </c>
      <c r="AU926" s="92" t="s">
        <v>186</v>
      </c>
      <c r="AV926" s="92" t="s">
        <v>187</v>
      </c>
      <c r="AW926" s="92" t="s">
        <v>186</v>
      </c>
      <c r="AX926" s="92" t="s">
        <v>186</v>
      </c>
      <c r="AY926" s="92" t="s">
        <v>186</v>
      </c>
      <c r="BC926" s="60">
        <v>85786451159</v>
      </c>
      <c r="BD926" s="93">
        <v>85156398258</v>
      </c>
      <c r="BE926" s="93">
        <v>85842303573</v>
      </c>
      <c r="BF926" s="93">
        <v>82122909276</v>
      </c>
      <c r="BG926" s="93">
        <v>6281235724940</v>
      </c>
      <c r="BH926" s="93">
        <v>85338974217</v>
      </c>
      <c r="BI926" s="93">
        <v>81378079263</v>
      </c>
      <c r="BJ926" s="93">
        <v>81348906422</v>
      </c>
      <c r="BK926" s="93">
        <v>85866310014</v>
      </c>
      <c r="BP926" s="18" t="s">
        <v>11109</v>
      </c>
      <c r="BQ926" s="37">
        <v>45321</v>
      </c>
      <c r="BR926" s="8">
        <f t="shared" si="3"/>
        <v>9</v>
      </c>
    </row>
    <row r="927" spans="1:70" ht="14">
      <c r="A927" s="4" t="str">
        <v>Reguler Periode ke-119 XIII.B.1</v>
      </c>
      <c r="B927" s="4" t="s">
        <v>9561</v>
      </c>
      <c r="C927" s="4" t="s">
        <v>3814</v>
      </c>
      <c r="D927" s="4" t="s">
        <v>4335</v>
      </c>
      <c r="E927" s="4" t="s">
        <v>11110</v>
      </c>
      <c r="F927" s="4" t="s">
        <v>193</v>
      </c>
      <c r="G927" s="6" t="s">
        <v>11111</v>
      </c>
      <c r="H927" s="92" t="s">
        <v>11112</v>
      </c>
      <c r="I927" s="92" t="s">
        <v>11113</v>
      </c>
      <c r="J927" s="92" t="s">
        <v>11114</v>
      </c>
      <c r="K927" s="92" t="s">
        <v>11115</v>
      </c>
      <c r="L927" s="92" t="s">
        <v>11116</v>
      </c>
      <c r="M927" s="92" t="s">
        <v>11117</v>
      </c>
      <c r="N927" s="92" t="s">
        <v>11118</v>
      </c>
      <c r="O927" s="92" t="s">
        <v>11119</v>
      </c>
      <c r="S927" s="6">
        <v>1800029106</v>
      </c>
      <c r="T927" s="92">
        <v>2000003054</v>
      </c>
      <c r="U927" s="92">
        <v>2000008010</v>
      </c>
      <c r="V927" s="92">
        <v>2000011287</v>
      </c>
      <c r="W927" s="92">
        <v>2000016116</v>
      </c>
      <c r="X927" s="92">
        <v>2000018284</v>
      </c>
      <c r="Y927" s="92">
        <v>2000024253</v>
      </c>
      <c r="Z927" s="92">
        <v>2000026129</v>
      </c>
      <c r="AA927" s="92">
        <v>2000036101</v>
      </c>
      <c r="AE927" s="6" t="s">
        <v>533</v>
      </c>
      <c r="AF927" s="92" t="s">
        <v>178</v>
      </c>
      <c r="AG927" s="92" t="s">
        <v>1111</v>
      </c>
      <c r="AH927" s="92" t="s">
        <v>182</v>
      </c>
      <c r="AI927" s="92" t="s">
        <v>531</v>
      </c>
      <c r="AJ927" s="92" t="s">
        <v>179</v>
      </c>
      <c r="AK927" s="92" t="s">
        <v>924</v>
      </c>
      <c r="AL927" s="92" t="s">
        <v>570</v>
      </c>
      <c r="AM927" s="92" t="s">
        <v>227</v>
      </c>
      <c r="AQ927" s="6" t="s">
        <v>186</v>
      </c>
      <c r="AR927" s="92" t="s">
        <v>186</v>
      </c>
      <c r="AS927" s="92" t="s">
        <v>186</v>
      </c>
      <c r="AT927" s="92" t="s">
        <v>187</v>
      </c>
      <c r="AU927" s="92" t="s">
        <v>186</v>
      </c>
      <c r="AV927" s="92" t="s">
        <v>187</v>
      </c>
      <c r="AW927" s="92" t="s">
        <v>186</v>
      </c>
      <c r="AX927" s="92" t="s">
        <v>187</v>
      </c>
      <c r="AY927" s="92" t="s">
        <v>186</v>
      </c>
      <c r="BC927" s="60">
        <v>85333752626</v>
      </c>
      <c r="BD927" s="93">
        <v>85725279685</v>
      </c>
      <c r="BE927" s="93">
        <v>87786967246</v>
      </c>
      <c r="BF927" s="93">
        <v>85157301669</v>
      </c>
      <c r="BG927" s="93">
        <v>82325412481</v>
      </c>
      <c r="BH927" s="93">
        <v>81228274472</v>
      </c>
      <c r="BI927" s="93">
        <v>85752025127</v>
      </c>
      <c r="BJ927" s="93">
        <v>81227689849</v>
      </c>
      <c r="BK927" s="93">
        <v>83146729792</v>
      </c>
      <c r="BP927" s="18" t="s">
        <v>11120</v>
      </c>
      <c r="BQ927" s="37">
        <v>45321</v>
      </c>
      <c r="BR927" s="8">
        <f t="shared" si="3"/>
        <v>9</v>
      </c>
    </row>
    <row r="928" spans="1:70" ht="14">
      <c r="A928" s="4" t="str">
        <v>Reguler Periode ke-119 XIII.B.2</v>
      </c>
      <c r="B928" s="4" t="s">
        <v>9561</v>
      </c>
      <c r="C928" s="4" t="s">
        <v>3827</v>
      </c>
      <c r="D928" s="4" t="s">
        <v>4335</v>
      </c>
      <c r="E928" s="4" t="s">
        <v>11121</v>
      </c>
      <c r="F928" s="4" t="s">
        <v>193</v>
      </c>
      <c r="G928" s="6" t="s">
        <v>11122</v>
      </c>
      <c r="H928" s="92" t="s">
        <v>11123</v>
      </c>
      <c r="I928" s="92" t="s">
        <v>11124</v>
      </c>
      <c r="J928" s="92" t="s">
        <v>11125</v>
      </c>
      <c r="K928" s="92" t="s">
        <v>11126</v>
      </c>
      <c r="L928" s="92" t="s">
        <v>11127</v>
      </c>
      <c r="M928" s="92" t="s">
        <v>11128</v>
      </c>
      <c r="N928" s="92" t="s">
        <v>11129</v>
      </c>
      <c r="O928" s="92" t="s">
        <v>11130</v>
      </c>
      <c r="S928" s="6">
        <v>2000003076</v>
      </c>
      <c r="T928" s="92">
        <v>2000008047</v>
      </c>
      <c r="U928" s="92">
        <v>2000011382</v>
      </c>
      <c r="V928" s="92">
        <v>2000016082</v>
      </c>
      <c r="W928" s="92">
        <v>2000018052</v>
      </c>
      <c r="X928" s="92">
        <v>2000024366</v>
      </c>
      <c r="Y928" s="92">
        <v>2000026213</v>
      </c>
      <c r="Z928" s="92">
        <v>2000029122</v>
      </c>
      <c r="AA928" s="92">
        <v>2000036104</v>
      </c>
      <c r="AE928" s="6" t="s">
        <v>178</v>
      </c>
      <c r="AF928" s="92" t="s">
        <v>1111</v>
      </c>
      <c r="AG928" s="92" t="s">
        <v>182</v>
      </c>
      <c r="AH928" s="92" t="s">
        <v>531</v>
      </c>
      <c r="AI928" s="92" t="s">
        <v>179</v>
      </c>
      <c r="AJ928" s="92" t="s">
        <v>924</v>
      </c>
      <c r="AK928" s="92" t="s">
        <v>570</v>
      </c>
      <c r="AL928" s="92" t="s">
        <v>533</v>
      </c>
      <c r="AM928" s="92" t="s">
        <v>227</v>
      </c>
      <c r="AQ928" s="6" t="s">
        <v>186</v>
      </c>
      <c r="AR928" s="92" t="s">
        <v>186</v>
      </c>
      <c r="AS928" s="92" t="s">
        <v>187</v>
      </c>
      <c r="AT928" s="92" t="s">
        <v>186</v>
      </c>
      <c r="AU928" s="92" t="s">
        <v>187</v>
      </c>
      <c r="AV928" s="92" t="s">
        <v>186</v>
      </c>
      <c r="AW928" s="92" t="s">
        <v>187</v>
      </c>
      <c r="AX928" s="92" t="s">
        <v>186</v>
      </c>
      <c r="AY928" s="92" t="s">
        <v>186</v>
      </c>
      <c r="BC928" s="60">
        <v>81802228756</v>
      </c>
      <c r="BD928" s="93">
        <v>85831620240</v>
      </c>
      <c r="BE928" s="93">
        <v>81224146165</v>
      </c>
      <c r="BF928" s="93">
        <v>81238295816</v>
      </c>
      <c r="BG928" s="93">
        <v>895384040133</v>
      </c>
      <c r="BH928" s="93">
        <v>88220210695</v>
      </c>
      <c r="BI928" s="93">
        <v>895358703063</v>
      </c>
      <c r="BJ928" s="93">
        <v>82329204891</v>
      </c>
      <c r="BK928" s="93">
        <v>82211178691</v>
      </c>
      <c r="BP928" s="18" t="s">
        <v>11131</v>
      </c>
      <c r="BQ928" s="37">
        <v>45321</v>
      </c>
      <c r="BR928" s="8">
        <f t="shared" si="3"/>
        <v>9</v>
      </c>
    </row>
    <row r="929" spans="1:70" ht="14">
      <c r="A929" s="4" t="str">
        <v>Reguler Periode ke-119 XIII.B.3</v>
      </c>
      <c r="B929" s="4" t="s">
        <v>9561</v>
      </c>
      <c r="C929" s="4" t="s">
        <v>3839</v>
      </c>
      <c r="D929" s="4" t="s">
        <v>4335</v>
      </c>
      <c r="E929" s="4" t="s">
        <v>11132</v>
      </c>
      <c r="F929" s="4" t="s">
        <v>193</v>
      </c>
      <c r="G929" s="6" t="s">
        <v>11133</v>
      </c>
      <c r="H929" s="92" t="s">
        <v>11134</v>
      </c>
      <c r="I929" s="92" t="s">
        <v>11135</v>
      </c>
      <c r="J929" s="92" t="s">
        <v>11136</v>
      </c>
      <c r="K929" s="92" t="s">
        <v>11137</v>
      </c>
      <c r="L929" s="92" t="s">
        <v>11138</v>
      </c>
      <c r="M929" s="92" t="s">
        <v>11139</v>
      </c>
      <c r="N929" s="92" t="s">
        <v>11140</v>
      </c>
      <c r="S929" s="6">
        <v>2000003055</v>
      </c>
      <c r="T929" s="92">
        <v>2000011104</v>
      </c>
      <c r="U929" s="92">
        <v>2000016149</v>
      </c>
      <c r="V929" s="92">
        <v>2000018332</v>
      </c>
      <c r="W929" s="92">
        <v>2000024157</v>
      </c>
      <c r="X929" s="92">
        <v>2000026068</v>
      </c>
      <c r="Y929" s="92">
        <v>2000029161</v>
      </c>
      <c r="Z929" s="92">
        <v>2000036076</v>
      </c>
      <c r="AE929" s="6" t="s">
        <v>178</v>
      </c>
      <c r="AF929" s="92" t="s">
        <v>182</v>
      </c>
      <c r="AG929" s="92" t="s">
        <v>531</v>
      </c>
      <c r="AH929" s="92" t="s">
        <v>179</v>
      </c>
      <c r="AI929" s="92" t="s">
        <v>924</v>
      </c>
      <c r="AJ929" s="92" t="s">
        <v>570</v>
      </c>
      <c r="AK929" s="92" t="s">
        <v>533</v>
      </c>
      <c r="AL929" s="92" t="s">
        <v>227</v>
      </c>
      <c r="AQ929" s="6" t="s">
        <v>186</v>
      </c>
      <c r="AR929" s="92" t="s">
        <v>187</v>
      </c>
      <c r="AS929" s="92" t="s">
        <v>186</v>
      </c>
      <c r="AT929" s="92" t="s">
        <v>187</v>
      </c>
      <c r="AU929" s="92" t="s">
        <v>186</v>
      </c>
      <c r="AV929" s="92" t="s">
        <v>187</v>
      </c>
      <c r="AW929" s="92" t="s">
        <v>186</v>
      </c>
      <c r="AX929" s="92" t="s">
        <v>186</v>
      </c>
      <c r="BC929" s="60">
        <v>88215476866</v>
      </c>
      <c r="BD929" s="93">
        <v>82260245549</v>
      </c>
      <c r="BE929" s="93">
        <v>88221449164</v>
      </c>
      <c r="BF929" s="93">
        <v>81586927876</v>
      </c>
      <c r="BG929" s="93">
        <v>85702106387</v>
      </c>
      <c r="BH929" s="93">
        <v>82159487755</v>
      </c>
      <c r="BI929" s="93">
        <v>82140556479</v>
      </c>
      <c r="BJ929" s="93">
        <v>895634361294</v>
      </c>
      <c r="BP929" s="18" t="s">
        <v>11141</v>
      </c>
      <c r="BQ929" s="37">
        <v>45321</v>
      </c>
      <c r="BR929" s="8">
        <f t="shared" si="3"/>
        <v>8</v>
      </c>
    </row>
    <row r="930" spans="1:70" ht="14">
      <c r="A930" s="4" t="str">
        <v>Reguler Periode ke-119 XIII.C.1</v>
      </c>
      <c r="B930" s="4" t="s">
        <v>9561</v>
      </c>
      <c r="C930" s="4" t="s">
        <v>3853</v>
      </c>
      <c r="D930" s="4" t="s">
        <v>11142</v>
      </c>
      <c r="E930" s="4" t="s">
        <v>11143</v>
      </c>
      <c r="F930" s="4" t="s">
        <v>193</v>
      </c>
      <c r="G930" s="6" t="s">
        <v>11144</v>
      </c>
      <c r="H930" s="92" t="s">
        <v>11145</v>
      </c>
      <c r="I930" s="92" t="s">
        <v>11146</v>
      </c>
      <c r="J930" s="92" t="s">
        <v>11147</v>
      </c>
      <c r="K930" s="92" t="s">
        <v>11148</v>
      </c>
      <c r="L930" s="92" t="s">
        <v>11149</v>
      </c>
      <c r="M930" s="92" t="s">
        <v>11150</v>
      </c>
      <c r="N930" s="92" t="s">
        <v>11151</v>
      </c>
      <c r="S930" s="6">
        <v>2000008062</v>
      </c>
      <c r="T930" s="92">
        <v>2000011235</v>
      </c>
      <c r="U930" s="92">
        <v>2000016093</v>
      </c>
      <c r="V930" s="92">
        <v>2000024194</v>
      </c>
      <c r="W930" s="92">
        <v>2000026067</v>
      </c>
      <c r="X930" s="92">
        <v>2000029115</v>
      </c>
      <c r="Y930" s="92">
        <v>2000036017</v>
      </c>
      <c r="Z930" s="92">
        <v>2011003050</v>
      </c>
      <c r="AE930" s="6" t="s">
        <v>1111</v>
      </c>
      <c r="AF930" s="92" t="s">
        <v>182</v>
      </c>
      <c r="AG930" s="92" t="s">
        <v>531</v>
      </c>
      <c r="AH930" s="92" t="s">
        <v>924</v>
      </c>
      <c r="AI930" s="92" t="s">
        <v>570</v>
      </c>
      <c r="AJ930" s="92" t="s">
        <v>533</v>
      </c>
      <c r="AK930" s="92" t="s">
        <v>227</v>
      </c>
      <c r="AL930" s="92" t="s">
        <v>178</v>
      </c>
      <c r="AQ930" s="6" t="s">
        <v>186</v>
      </c>
      <c r="AR930" s="92" t="s">
        <v>187</v>
      </c>
      <c r="AS930" s="92" t="s">
        <v>186</v>
      </c>
      <c r="AT930" s="92" t="s">
        <v>186</v>
      </c>
      <c r="AU930" s="92" t="s">
        <v>187</v>
      </c>
      <c r="AV930" s="92" t="s">
        <v>186</v>
      </c>
      <c r="AW930" s="92" t="s">
        <v>186</v>
      </c>
      <c r="AX930" s="92" t="s">
        <v>186</v>
      </c>
      <c r="BC930" s="60">
        <v>89520178360</v>
      </c>
      <c r="BD930" s="93">
        <v>82255904056</v>
      </c>
      <c r="BE930" s="93">
        <v>87867321171</v>
      </c>
      <c r="BF930" s="93">
        <v>85879899069</v>
      </c>
      <c r="BG930" s="93">
        <v>81347481214</v>
      </c>
      <c r="BH930" s="93">
        <v>85869514965</v>
      </c>
      <c r="BI930" s="93">
        <v>895605917501</v>
      </c>
      <c r="BJ930" s="93">
        <v>88216675041</v>
      </c>
      <c r="BP930" s="18" t="s">
        <v>11152</v>
      </c>
      <c r="BQ930" s="37">
        <v>45321</v>
      </c>
      <c r="BR930" s="8">
        <f t="shared" si="3"/>
        <v>8</v>
      </c>
    </row>
    <row r="931" spans="1:70" ht="14">
      <c r="A931" s="4" t="str">
        <v>Reguler Periode ke-119 XIII.C.2</v>
      </c>
      <c r="B931" s="4" t="s">
        <v>9561</v>
      </c>
      <c r="C931" s="4" t="s">
        <v>3865</v>
      </c>
      <c r="D931" s="4" t="s">
        <v>11142</v>
      </c>
      <c r="E931" s="4" t="s">
        <v>11153</v>
      </c>
      <c r="F931" s="4" t="s">
        <v>193</v>
      </c>
      <c r="G931" s="6" t="s">
        <v>11154</v>
      </c>
      <c r="H931" s="92" t="s">
        <v>11155</v>
      </c>
      <c r="I931" s="92" t="s">
        <v>11156</v>
      </c>
      <c r="J931" s="92" t="s">
        <v>11157</v>
      </c>
      <c r="K931" s="92" t="s">
        <v>11158</v>
      </c>
      <c r="L931" s="92" t="s">
        <v>11159</v>
      </c>
      <c r="M931" s="92" t="s">
        <v>11160</v>
      </c>
      <c r="N931" s="92" t="s">
        <v>11161</v>
      </c>
      <c r="O931" s="92" t="s">
        <v>11162</v>
      </c>
      <c r="S931" s="6">
        <v>1900018108</v>
      </c>
      <c r="T931" s="92">
        <v>2000003004</v>
      </c>
      <c r="U931" s="92">
        <v>2000008038</v>
      </c>
      <c r="V931" s="92">
        <v>2000011198</v>
      </c>
      <c r="W931" s="92">
        <v>2000016034</v>
      </c>
      <c r="X931" s="92">
        <v>2000024128</v>
      </c>
      <c r="Y931" s="92">
        <v>2000026039</v>
      </c>
      <c r="Z931" s="92">
        <v>2000029152</v>
      </c>
      <c r="AA931" s="92">
        <v>2000036021</v>
      </c>
      <c r="AE931" s="6" t="s">
        <v>179</v>
      </c>
      <c r="AF931" s="92" t="s">
        <v>178</v>
      </c>
      <c r="AG931" s="92" t="s">
        <v>1111</v>
      </c>
      <c r="AH931" s="92" t="s">
        <v>182</v>
      </c>
      <c r="AI931" s="92" t="s">
        <v>531</v>
      </c>
      <c r="AJ931" s="92" t="s">
        <v>924</v>
      </c>
      <c r="AK931" s="92" t="s">
        <v>570</v>
      </c>
      <c r="AL931" s="92" t="s">
        <v>533</v>
      </c>
      <c r="AM931" s="92" t="s">
        <v>227</v>
      </c>
      <c r="AQ931" s="6" t="s">
        <v>187</v>
      </c>
      <c r="AR931" s="92" t="s">
        <v>186</v>
      </c>
      <c r="AS931" s="92" t="s">
        <v>186</v>
      </c>
      <c r="AT931" s="92" t="s">
        <v>187</v>
      </c>
      <c r="AU931" s="92" t="s">
        <v>186</v>
      </c>
      <c r="AV931" s="92" t="s">
        <v>186</v>
      </c>
      <c r="AW931" s="92" t="s">
        <v>187</v>
      </c>
      <c r="AX931" s="92" t="s">
        <v>186</v>
      </c>
      <c r="AY931" s="92" t="s">
        <v>186</v>
      </c>
      <c r="BC931" s="60">
        <v>81254554091</v>
      </c>
      <c r="BD931" s="93">
        <v>89629967518</v>
      </c>
      <c r="BE931" s="93">
        <v>81215931693</v>
      </c>
      <c r="BF931" s="93">
        <v>81257071206</v>
      </c>
      <c r="BG931" s="93">
        <v>81353012228</v>
      </c>
      <c r="BH931" s="93">
        <v>895378186720</v>
      </c>
      <c r="BI931" s="93">
        <v>81226835406</v>
      </c>
      <c r="BJ931" s="93">
        <v>82165687486</v>
      </c>
      <c r="BK931" s="93">
        <v>82313158384</v>
      </c>
      <c r="BP931" s="18" t="s">
        <v>11163</v>
      </c>
      <c r="BQ931" s="37">
        <v>45321</v>
      </c>
      <c r="BR931" s="8">
        <f t="shared" si="3"/>
        <v>9</v>
      </c>
    </row>
    <row r="932" spans="1:70" ht="14">
      <c r="A932" s="4" t="str">
        <v>Reguler Periode ke-119 XIII.C.3</v>
      </c>
      <c r="B932" s="4" t="s">
        <v>9561</v>
      </c>
      <c r="C932" s="4" t="s">
        <v>3877</v>
      </c>
      <c r="D932" s="4" t="s">
        <v>11142</v>
      </c>
      <c r="E932" s="4" t="s">
        <v>11164</v>
      </c>
      <c r="F932" s="4" t="s">
        <v>193</v>
      </c>
      <c r="G932" s="6" t="s">
        <v>11165</v>
      </c>
      <c r="H932" s="92" t="s">
        <v>11166</v>
      </c>
      <c r="I932" s="92" t="s">
        <v>11167</v>
      </c>
      <c r="J932" s="92" t="s">
        <v>11168</v>
      </c>
      <c r="K932" s="92" t="s">
        <v>11169</v>
      </c>
      <c r="L932" s="92" t="s">
        <v>11170</v>
      </c>
      <c r="M932" s="92" t="s">
        <v>11171</v>
      </c>
      <c r="N932" s="92" t="s">
        <v>11172</v>
      </c>
      <c r="O932" s="92" t="s">
        <v>11173</v>
      </c>
      <c r="S932" s="6">
        <v>1900027069</v>
      </c>
      <c r="T932" s="92">
        <v>2000003030</v>
      </c>
      <c r="U932" s="92">
        <v>2000008069</v>
      </c>
      <c r="V932" s="92">
        <v>2000011381</v>
      </c>
      <c r="W932" s="92">
        <v>2000016124</v>
      </c>
      <c r="X932" s="92">
        <v>2000018350</v>
      </c>
      <c r="Y932" s="92">
        <v>2000024225</v>
      </c>
      <c r="Z932" s="92">
        <v>2000029087</v>
      </c>
      <c r="AA932" s="92">
        <v>2000036050</v>
      </c>
      <c r="AE932" s="6" t="s">
        <v>1763</v>
      </c>
      <c r="AF932" s="92" t="s">
        <v>178</v>
      </c>
      <c r="AG932" s="92" t="s">
        <v>1111</v>
      </c>
      <c r="AH932" s="92" t="s">
        <v>182</v>
      </c>
      <c r="AI932" s="92" t="s">
        <v>531</v>
      </c>
      <c r="AJ932" s="92" t="s">
        <v>179</v>
      </c>
      <c r="AK932" s="92" t="s">
        <v>924</v>
      </c>
      <c r="AL932" s="92" t="s">
        <v>533</v>
      </c>
      <c r="AM932" s="92" t="s">
        <v>227</v>
      </c>
      <c r="AQ932" s="6" t="s">
        <v>187</v>
      </c>
      <c r="AR932" s="92" t="s">
        <v>186</v>
      </c>
      <c r="AS932" s="92" t="s">
        <v>186</v>
      </c>
      <c r="AT932" s="92" t="s">
        <v>187</v>
      </c>
      <c r="AU932" s="92" t="s">
        <v>186</v>
      </c>
      <c r="AV932" s="92" t="s">
        <v>187</v>
      </c>
      <c r="AW932" s="92" t="s">
        <v>186</v>
      </c>
      <c r="AX932" s="92" t="s">
        <v>186</v>
      </c>
      <c r="AY932" s="92" t="s">
        <v>186</v>
      </c>
      <c r="BC932" s="60">
        <v>81225998129</v>
      </c>
      <c r="BD932" s="93">
        <v>83175375141</v>
      </c>
      <c r="BE932" s="93">
        <v>82220594021</v>
      </c>
      <c r="BF932" s="93">
        <v>82176040313</v>
      </c>
      <c r="BG932" s="93">
        <v>895392139136</v>
      </c>
      <c r="BH932" s="93">
        <v>82179427463</v>
      </c>
      <c r="BI932" s="93">
        <v>81215364987</v>
      </c>
      <c r="BJ932" s="93">
        <v>82341649322</v>
      </c>
      <c r="BK932" s="93">
        <v>89648269420</v>
      </c>
      <c r="BP932" s="18" t="s">
        <v>11174</v>
      </c>
      <c r="BQ932" s="37">
        <v>45321</v>
      </c>
      <c r="BR932" s="8">
        <f t="shared" si="3"/>
        <v>9</v>
      </c>
    </row>
    <row r="933" spans="1:70" ht="14">
      <c r="A933" s="4" t="str">
        <v>Reguler Periode ke-119 XIII.D.1</v>
      </c>
      <c r="B933" s="4" t="s">
        <v>9561</v>
      </c>
      <c r="C933" s="4" t="s">
        <v>3889</v>
      </c>
      <c r="D933" s="4" t="s">
        <v>503</v>
      </c>
      <c r="E933" s="4" t="s">
        <v>11175</v>
      </c>
      <c r="F933" s="4" t="s">
        <v>193</v>
      </c>
      <c r="G933" s="6" t="s">
        <v>11176</v>
      </c>
      <c r="H933" s="92" t="s">
        <v>11177</v>
      </c>
      <c r="I933" s="92" t="s">
        <v>11178</v>
      </c>
      <c r="J933" s="92" t="s">
        <v>11179</v>
      </c>
      <c r="K933" s="92" t="s">
        <v>11180</v>
      </c>
      <c r="L933" s="92" t="s">
        <v>11181</v>
      </c>
      <c r="M933" s="92" t="s">
        <v>11182</v>
      </c>
      <c r="N933" s="92" t="s">
        <v>11183</v>
      </c>
      <c r="O933" s="92" t="s">
        <v>11184</v>
      </c>
      <c r="S933" s="6">
        <v>2000003064</v>
      </c>
      <c r="T933" s="92">
        <v>2000009022</v>
      </c>
      <c r="U933" s="92">
        <v>2000011412</v>
      </c>
      <c r="V933" s="92">
        <v>2000016085</v>
      </c>
      <c r="W933" s="92">
        <v>2000018048</v>
      </c>
      <c r="X933" s="92">
        <v>2000024300</v>
      </c>
      <c r="Y933" s="92">
        <v>2000028070</v>
      </c>
      <c r="Z933" s="92">
        <v>2000029082</v>
      </c>
      <c r="AA933" s="92">
        <v>2000036080</v>
      </c>
      <c r="AE933" s="6" t="s">
        <v>178</v>
      </c>
      <c r="AF933" s="92" t="s">
        <v>952</v>
      </c>
      <c r="AG933" s="92" t="s">
        <v>182</v>
      </c>
      <c r="AH933" s="92" t="s">
        <v>531</v>
      </c>
      <c r="AI933" s="92" t="s">
        <v>179</v>
      </c>
      <c r="AJ933" s="92" t="s">
        <v>924</v>
      </c>
      <c r="AK933" s="92" t="s">
        <v>678</v>
      </c>
      <c r="AL933" s="92" t="s">
        <v>533</v>
      </c>
      <c r="AM933" s="92" t="s">
        <v>227</v>
      </c>
      <c r="AQ933" s="6" t="s">
        <v>186</v>
      </c>
      <c r="AR933" s="92" t="s">
        <v>186</v>
      </c>
      <c r="AS933" s="92" t="s">
        <v>187</v>
      </c>
      <c r="AT933" s="92" t="s">
        <v>186</v>
      </c>
      <c r="AU933" s="92" t="s">
        <v>187</v>
      </c>
      <c r="AV933" s="92" t="s">
        <v>186</v>
      </c>
      <c r="AW933" s="92" t="s">
        <v>187</v>
      </c>
      <c r="AX933" s="92" t="s">
        <v>186</v>
      </c>
      <c r="AY933" s="92" t="s">
        <v>186</v>
      </c>
      <c r="BC933" s="60">
        <v>81346584121</v>
      </c>
      <c r="BD933" s="93">
        <v>81263014210</v>
      </c>
      <c r="BE933" s="93">
        <v>83174793000</v>
      </c>
      <c r="BF933" s="93">
        <v>85256593709</v>
      </c>
      <c r="BG933" s="93">
        <v>82116911832</v>
      </c>
      <c r="BH933" s="93">
        <v>85728525835</v>
      </c>
      <c r="BI933" s="93">
        <v>82137044556</v>
      </c>
      <c r="BJ933" s="93">
        <v>81296718003</v>
      </c>
      <c r="BK933" s="93">
        <v>85333642093</v>
      </c>
      <c r="BP933" s="18" t="s">
        <v>11185</v>
      </c>
      <c r="BQ933" s="37">
        <v>45321</v>
      </c>
      <c r="BR933" s="8">
        <f t="shared" si="3"/>
        <v>9</v>
      </c>
    </row>
    <row r="934" spans="1:70" ht="14">
      <c r="A934" s="4" t="str">
        <v>Reguler Periode ke-119 XIII.D.2</v>
      </c>
      <c r="B934" s="4" t="s">
        <v>9561</v>
      </c>
      <c r="C934" s="4" t="s">
        <v>3901</v>
      </c>
      <c r="D934" s="4" t="s">
        <v>503</v>
      </c>
      <c r="E934" s="4" t="s">
        <v>11186</v>
      </c>
      <c r="F934" s="4" t="s">
        <v>193</v>
      </c>
      <c r="G934" s="6" t="s">
        <v>11187</v>
      </c>
      <c r="H934" s="92" t="s">
        <v>11188</v>
      </c>
      <c r="I934" s="92" t="s">
        <v>11189</v>
      </c>
      <c r="J934" s="92" t="s">
        <v>11190</v>
      </c>
      <c r="K934" s="92" t="s">
        <v>11191</v>
      </c>
      <c r="L934" s="92" t="s">
        <v>11192</v>
      </c>
      <c r="M934" s="92" t="s">
        <v>11193</v>
      </c>
      <c r="N934" s="92" t="s">
        <v>11194</v>
      </c>
      <c r="O934" s="92" t="s">
        <v>11195</v>
      </c>
      <c r="S934" s="6">
        <v>2000003083</v>
      </c>
      <c r="T934" s="92">
        <v>2000011058</v>
      </c>
      <c r="U934" s="92">
        <v>2000016040</v>
      </c>
      <c r="V934" s="92">
        <v>2000018275</v>
      </c>
      <c r="W934" s="92">
        <v>2000024281</v>
      </c>
      <c r="X934" s="92">
        <v>2000028134</v>
      </c>
      <c r="Y934" s="92">
        <v>2000029198</v>
      </c>
      <c r="Z934" s="92">
        <v>2000036123</v>
      </c>
      <c r="AA934" s="92">
        <v>2015009015</v>
      </c>
      <c r="AE934" s="6" t="s">
        <v>178</v>
      </c>
      <c r="AF934" s="92" t="s">
        <v>182</v>
      </c>
      <c r="AG934" s="92" t="s">
        <v>531</v>
      </c>
      <c r="AH934" s="92" t="s">
        <v>179</v>
      </c>
      <c r="AI934" s="92" t="s">
        <v>924</v>
      </c>
      <c r="AJ934" s="92" t="s">
        <v>678</v>
      </c>
      <c r="AK934" s="92" t="s">
        <v>533</v>
      </c>
      <c r="AL934" s="92" t="s">
        <v>227</v>
      </c>
      <c r="AM934" s="92" t="s">
        <v>952</v>
      </c>
      <c r="AQ934" s="6" t="s">
        <v>186</v>
      </c>
      <c r="AR934" s="92" t="s">
        <v>187</v>
      </c>
      <c r="AS934" s="92" t="s">
        <v>186</v>
      </c>
      <c r="AT934" s="92" t="s">
        <v>187</v>
      </c>
      <c r="AU934" s="92" t="s">
        <v>186</v>
      </c>
      <c r="AV934" s="92" t="s">
        <v>187</v>
      </c>
      <c r="AW934" s="92" t="s">
        <v>186</v>
      </c>
      <c r="AX934" s="92" t="s">
        <v>186</v>
      </c>
      <c r="AY934" s="92" t="s">
        <v>186</v>
      </c>
      <c r="BC934" s="60">
        <v>85742429605</v>
      </c>
      <c r="BD934" s="93">
        <v>81254559315</v>
      </c>
      <c r="BE934" s="93">
        <v>85877140414</v>
      </c>
      <c r="BF934" s="93">
        <v>82266052411</v>
      </c>
      <c r="BG934" s="93">
        <v>81368670501</v>
      </c>
      <c r="BH934" s="93">
        <v>87841778796</v>
      </c>
      <c r="BI934" s="93">
        <v>81910762761</v>
      </c>
      <c r="BJ934" s="93">
        <v>87730349369</v>
      </c>
      <c r="BK934" s="93">
        <v>89612260206</v>
      </c>
      <c r="BP934" s="18" t="s">
        <v>11196</v>
      </c>
      <c r="BQ934" s="37">
        <v>45321</v>
      </c>
      <c r="BR934" s="8">
        <f t="shared" si="3"/>
        <v>9</v>
      </c>
    </row>
    <row r="935" spans="1:70" ht="14">
      <c r="A935" s="4" t="str">
        <v>Reguler Periode ke-119 XIII.D.3</v>
      </c>
      <c r="B935" s="4" t="s">
        <v>9561</v>
      </c>
      <c r="C935" s="4" t="s">
        <v>3913</v>
      </c>
      <c r="D935" s="4" t="s">
        <v>503</v>
      </c>
      <c r="E935" s="4" t="s">
        <v>11197</v>
      </c>
      <c r="F935" s="4" t="s">
        <v>193</v>
      </c>
      <c r="G935" s="6" t="s">
        <v>11198</v>
      </c>
      <c r="H935" s="92" t="s">
        <v>11199</v>
      </c>
      <c r="I935" s="92" t="s">
        <v>11200</v>
      </c>
      <c r="J935" s="92" t="s">
        <v>11201</v>
      </c>
      <c r="K935" s="92" t="s">
        <v>11202</v>
      </c>
      <c r="L935" s="92" t="s">
        <v>11203</v>
      </c>
      <c r="M935" s="92" t="s">
        <v>11204</v>
      </c>
      <c r="N935" s="92" t="s">
        <v>11205</v>
      </c>
      <c r="O935" s="92" t="s">
        <v>11206</v>
      </c>
      <c r="S935" s="6">
        <v>2000003040</v>
      </c>
      <c r="T935" s="92">
        <v>2000010049</v>
      </c>
      <c r="U935" s="92">
        <v>2000011057</v>
      </c>
      <c r="V935" s="92">
        <v>2000016016</v>
      </c>
      <c r="W935" s="92">
        <v>2000018379</v>
      </c>
      <c r="X935" s="92">
        <v>2000024322</v>
      </c>
      <c r="Y935" s="92">
        <v>2000028144</v>
      </c>
      <c r="Z935" s="92">
        <v>2000029240</v>
      </c>
      <c r="AA935" s="92">
        <v>2000036134</v>
      </c>
      <c r="AE935" s="6" t="s">
        <v>178</v>
      </c>
      <c r="AF935" s="92" t="s">
        <v>532</v>
      </c>
      <c r="AG935" s="92" t="s">
        <v>182</v>
      </c>
      <c r="AH935" s="92" t="s">
        <v>531</v>
      </c>
      <c r="AI935" s="92" t="s">
        <v>179</v>
      </c>
      <c r="AJ935" s="92" t="s">
        <v>924</v>
      </c>
      <c r="AK935" s="92" t="s">
        <v>678</v>
      </c>
      <c r="AL935" s="92" t="s">
        <v>533</v>
      </c>
      <c r="AM935" s="92" t="s">
        <v>227</v>
      </c>
      <c r="AQ935" s="6" t="s">
        <v>186</v>
      </c>
      <c r="AR935" s="92" t="s">
        <v>186</v>
      </c>
      <c r="AS935" s="92" t="s">
        <v>187</v>
      </c>
      <c r="AT935" s="92" t="s">
        <v>186</v>
      </c>
      <c r="AU935" s="92" t="s">
        <v>187</v>
      </c>
      <c r="AV935" s="92" t="s">
        <v>186</v>
      </c>
      <c r="AW935" s="92" t="s">
        <v>187</v>
      </c>
      <c r="AX935" s="92" t="s">
        <v>186</v>
      </c>
      <c r="AY935" s="92" t="s">
        <v>186</v>
      </c>
      <c r="BC935" s="60">
        <v>85226355091</v>
      </c>
      <c r="BD935" s="93">
        <v>85799836697</v>
      </c>
      <c r="BE935" s="93">
        <v>81253072066</v>
      </c>
      <c r="BF935" s="93">
        <v>81349750460</v>
      </c>
      <c r="BG935" s="93">
        <v>62895330907590</v>
      </c>
      <c r="BH935" s="93">
        <v>81224628166</v>
      </c>
      <c r="BI935" s="93">
        <v>82157079795</v>
      </c>
      <c r="BJ935" s="93">
        <v>85175002785</v>
      </c>
      <c r="BK935" s="93">
        <v>85283937605</v>
      </c>
      <c r="BP935" s="18" t="s">
        <v>11207</v>
      </c>
      <c r="BQ935" s="37">
        <v>45321</v>
      </c>
      <c r="BR935" s="8">
        <f t="shared" si="3"/>
        <v>9</v>
      </c>
    </row>
    <row r="936" spans="1:70" ht="14">
      <c r="A936" s="4" t="str">
        <v>Reguler Periode ke-119 XIV.A.1</v>
      </c>
      <c r="B936" s="4" t="s">
        <v>9561</v>
      </c>
      <c r="C936" s="4" t="s">
        <v>3925</v>
      </c>
      <c r="D936" s="4" t="s">
        <v>5673</v>
      </c>
      <c r="E936" s="4" t="s">
        <v>11208</v>
      </c>
      <c r="F936" s="4" t="s">
        <v>193</v>
      </c>
      <c r="G936" s="6" t="s">
        <v>11209</v>
      </c>
      <c r="H936" s="92" t="s">
        <v>11210</v>
      </c>
      <c r="I936" s="92" t="s">
        <v>11211</v>
      </c>
      <c r="J936" s="92" t="s">
        <v>11212</v>
      </c>
      <c r="K936" s="92" t="s">
        <v>11213</v>
      </c>
      <c r="L936" s="92" t="s">
        <v>11214</v>
      </c>
      <c r="M936" s="92" t="s">
        <v>11215</v>
      </c>
      <c r="N936" s="92" t="s">
        <v>3699</v>
      </c>
      <c r="O936" s="92" t="s">
        <v>11216</v>
      </c>
      <c r="S936" s="6">
        <v>1800028053</v>
      </c>
      <c r="T936" s="92">
        <v>2000003084</v>
      </c>
      <c r="U936" s="92">
        <v>2000011156</v>
      </c>
      <c r="V936" s="92">
        <v>2000016032</v>
      </c>
      <c r="W936" s="92">
        <v>2000018271</v>
      </c>
      <c r="X936" s="92">
        <v>2000024190</v>
      </c>
      <c r="Y936" s="92">
        <v>2000029124</v>
      </c>
      <c r="Z936" s="92">
        <v>2000036087</v>
      </c>
      <c r="AA936" s="92">
        <v>2015010042</v>
      </c>
      <c r="AE936" s="6" t="s">
        <v>678</v>
      </c>
      <c r="AF936" s="92" t="s">
        <v>178</v>
      </c>
      <c r="AG936" s="92" t="s">
        <v>182</v>
      </c>
      <c r="AH936" s="92" t="s">
        <v>531</v>
      </c>
      <c r="AI936" s="92" t="s">
        <v>179</v>
      </c>
      <c r="AJ936" s="92" t="s">
        <v>924</v>
      </c>
      <c r="AK936" s="92" t="s">
        <v>533</v>
      </c>
      <c r="AL936" s="92" t="s">
        <v>227</v>
      </c>
      <c r="AM936" s="92" t="s">
        <v>532</v>
      </c>
      <c r="AQ936" s="6" t="s">
        <v>187</v>
      </c>
      <c r="AR936" s="92" t="s">
        <v>186</v>
      </c>
      <c r="AS936" s="92" t="s">
        <v>187</v>
      </c>
      <c r="AT936" s="92" t="s">
        <v>186</v>
      </c>
      <c r="AU936" s="92" t="s">
        <v>187</v>
      </c>
      <c r="AV936" s="92" t="s">
        <v>186</v>
      </c>
      <c r="AW936" s="92" t="s">
        <v>186</v>
      </c>
      <c r="AX936" s="92" t="s">
        <v>186</v>
      </c>
      <c r="AY936" s="92" t="s">
        <v>186</v>
      </c>
      <c r="BC936" s="60">
        <v>81342447589</v>
      </c>
      <c r="BD936" s="93">
        <v>81325410475</v>
      </c>
      <c r="BE936" s="93">
        <v>85743780122</v>
      </c>
      <c r="BF936" s="93">
        <v>82280162115</v>
      </c>
      <c r="BG936" s="93">
        <v>85814591474</v>
      </c>
      <c r="BH936" s="93">
        <v>85161356375</v>
      </c>
      <c r="BI936" s="93">
        <v>82276102235</v>
      </c>
      <c r="BJ936" s="93">
        <v>81220385710</v>
      </c>
      <c r="BK936" s="93">
        <v>85786793998</v>
      </c>
      <c r="BP936" s="18" t="s">
        <v>11217</v>
      </c>
      <c r="BQ936" s="37">
        <v>45321</v>
      </c>
      <c r="BR936" s="8">
        <f t="shared" si="3"/>
        <v>9</v>
      </c>
    </row>
    <row r="937" spans="1:70" ht="14">
      <c r="A937" s="4" t="str">
        <v>Reguler Periode ke-119 XIV.A.2</v>
      </c>
      <c r="B937" s="4" t="s">
        <v>9561</v>
      </c>
      <c r="C937" s="4" t="s">
        <v>3938</v>
      </c>
      <c r="D937" s="4" t="s">
        <v>5673</v>
      </c>
      <c r="E937" s="4" t="s">
        <v>11218</v>
      </c>
      <c r="F937" s="4" t="s">
        <v>193</v>
      </c>
      <c r="G937" s="6" t="s">
        <v>11219</v>
      </c>
      <c r="H937" s="92" t="s">
        <v>11220</v>
      </c>
      <c r="I937" s="92" t="s">
        <v>11221</v>
      </c>
      <c r="J937" s="92" t="s">
        <v>11222</v>
      </c>
      <c r="K937" s="92" t="s">
        <v>11223</v>
      </c>
      <c r="L937" s="92" t="s">
        <v>11224</v>
      </c>
      <c r="M937" s="92" t="s">
        <v>11225</v>
      </c>
      <c r="N937" s="92" t="s">
        <v>11226</v>
      </c>
      <c r="O937" s="92" t="s">
        <v>11227</v>
      </c>
      <c r="S937" s="6">
        <v>2000004097</v>
      </c>
      <c r="T937" s="92">
        <v>2000011346</v>
      </c>
      <c r="U937" s="92">
        <v>2000016134</v>
      </c>
      <c r="V937" s="92">
        <v>2000018250</v>
      </c>
      <c r="W937" s="92">
        <v>2000024075</v>
      </c>
      <c r="X937" s="92">
        <v>2000029239</v>
      </c>
      <c r="Y937" s="92">
        <v>2000036078</v>
      </c>
      <c r="Z937" s="92">
        <v>2011028081</v>
      </c>
      <c r="AA937" s="92">
        <v>2015010041</v>
      </c>
      <c r="AE937" s="6" t="s">
        <v>201</v>
      </c>
      <c r="AF937" s="92" t="s">
        <v>182</v>
      </c>
      <c r="AG937" s="92" t="s">
        <v>531</v>
      </c>
      <c r="AH937" s="92" t="s">
        <v>179</v>
      </c>
      <c r="AI937" s="92" t="s">
        <v>924</v>
      </c>
      <c r="AJ937" s="92" t="s">
        <v>533</v>
      </c>
      <c r="AK937" s="92" t="s">
        <v>227</v>
      </c>
      <c r="AL937" s="92" t="s">
        <v>678</v>
      </c>
      <c r="AM937" s="92" t="s">
        <v>532</v>
      </c>
      <c r="AQ937" s="6" t="s">
        <v>186</v>
      </c>
      <c r="AR937" s="92" t="s">
        <v>187</v>
      </c>
      <c r="AS937" s="92" t="s">
        <v>186</v>
      </c>
      <c r="AT937" s="92" t="s">
        <v>187</v>
      </c>
      <c r="AU937" s="92" t="s">
        <v>186</v>
      </c>
      <c r="AV937" s="92" t="s">
        <v>186</v>
      </c>
      <c r="AW937" s="92" t="s">
        <v>186</v>
      </c>
      <c r="AX937" s="92" t="s">
        <v>187</v>
      </c>
      <c r="AY937" s="92" t="s">
        <v>186</v>
      </c>
      <c r="BC937" s="60">
        <v>89671307991</v>
      </c>
      <c r="BD937" s="93">
        <v>81212971241</v>
      </c>
      <c r="BE937" s="93">
        <v>81393204478</v>
      </c>
      <c r="BF937" s="93">
        <v>82154681754</v>
      </c>
      <c r="BG937" s="93">
        <v>87857613425</v>
      </c>
      <c r="BH937" s="93">
        <v>88707842998</v>
      </c>
      <c r="BI937" s="93">
        <v>895635122060</v>
      </c>
      <c r="BJ937" s="93">
        <v>82134502373</v>
      </c>
      <c r="BK937" s="93">
        <v>85877977087</v>
      </c>
      <c r="BP937" s="18" t="s">
        <v>11228</v>
      </c>
      <c r="BQ937" s="37">
        <v>45321</v>
      </c>
      <c r="BR937" s="8">
        <f t="shared" si="3"/>
        <v>9</v>
      </c>
    </row>
    <row r="938" spans="1:70" ht="14">
      <c r="A938" s="4" t="str">
        <v>Reguler Periode ke-119 XIV.A.3</v>
      </c>
      <c r="B938" s="4" t="s">
        <v>9561</v>
      </c>
      <c r="C938" s="4" t="s">
        <v>3950</v>
      </c>
      <c r="D938" s="4" t="s">
        <v>5673</v>
      </c>
      <c r="E938" s="4" t="s">
        <v>11229</v>
      </c>
      <c r="F938" s="4" t="s">
        <v>193</v>
      </c>
      <c r="G938" s="6" t="s">
        <v>11230</v>
      </c>
      <c r="H938" s="92" t="s">
        <v>11231</v>
      </c>
      <c r="I938" s="92" t="s">
        <v>11232</v>
      </c>
      <c r="J938" s="92" t="s">
        <v>11233</v>
      </c>
      <c r="K938" s="92" t="s">
        <v>11234</v>
      </c>
      <c r="L938" s="92" t="s">
        <v>11235</v>
      </c>
      <c r="M938" s="92" t="s">
        <v>11236</v>
      </c>
      <c r="N938" s="92" t="s">
        <v>11237</v>
      </c>
      <c r="O938" s="92" t="s">
        <v>11238</v>
      </c>
      <c r="S938" s="6">
        <v>2000004037</v>
      </c>
      <c r="T938" s="92">
        <v>2000010020</v>
      </c>
      <c r="U938" s="92">
        <v>2000011034</v>
      </c>
      <c r="V938" s="92">
        <v>2000016121</v>
      </c>
      <c r="W938" s="92">
        <v>2000018369</v>
      </c>
      <c r="X938" s="92">
        <v>2000024315</v>
      </c>
      <c r="Y938" s="92">
        <v>2000028113</v>
      </c>
      <c r="Z938" s="92">
        <v>2000029140</v>
      </c>
      <c r="AA938" s="92">
        <v>2000036116</v>
      </c>
      <c r="AE938" s="6" t="s">
        <v>201</v>
      </c>
      <c r="AF938" s="92" t="s">
        <v>532</v>
      </c>
      <c r="AG938" s="92" t="s">
        <v>182</v>
      </c>
      <c r="AH938" s="92" t="s">
        <v>531</v>
      </c>
      <c r="AI938" s="92" t="s">
        <v>179</v>
      </c>
      <c r="AJ938" s="92" t="s">
        <v>924</v>
      </c>
      <c r="AK938" s="92" t="s">
        <v>678</v>
      </c>
      <c r="AL938" s="92" t="s">
        <v>533</v>
      </c>
      <c r="AM938" s="92" t="s">
        <v>227</v>
      </c>
      <c r="AQ938" s="6" t="s">
        <v>186</v>
      </c>
      <c r="AR938" s="92" t="s">
        <v>186</v>
      </c>
      <c r="AS938" s="92" t="s">
        <v>187</v>
      </c>
      <c r="AT938" s="92" t="s">
        <v>186</v>
      </c>
      <c r="AU938" s="92" t="s">
        <v>187</v>
      </c>
      <c r="AV938" s="92" t="s">
        <v>186</v>
      </c>
      <c r="AW938" s="92" t="s">
        <v>187</v>
      </c>
      <c r="AX938" s="92" t="s">
        <v>186</v>
      </c>
      <c r="AY938" s="92" t="s">
        <v>186</v>
      </c>
      <c r="BC938" s="60">
        <v>85770462962</v>
      </c>
      <c r="BD938" s="93">
        <v>85848141405</v>
      </c>
      <c r="BE938" s="93">
        <v>82143217163</v>
      </c>
      <c r="BF938" s="93">
        <v>82137676272</v>
      </c>
      <c r="BG938" s="93">
        <v>81331096250</v>
      </c>
      <c r="BH938" s="93">
        <v>82137954556</v>
      </c>
      <c r="BI938" s="93">
        <v>85369335579</v>
      </c>
      <c r="BJ938" s="93">
        <v>81311321599</v>
      </c>
      <c r="BK938" s="93">
        <v>82269920694</v>
      </c>
      <c r="BP938" s="18" t="s">
        <v>11239</v>
      </c>
      <c r="BQ938" s="37">
        <v>45321</v>
      </c>
      <c r="BR938" s="8">
        <f t="shared" si="3"/>
        <v>9</v>
      </c>
    </row>
    <row r="939" spans="1:70" ht="14">
      <c r="A939" s="4" t="str">
        <v>Reguler Periode ke-119 XIV.B.1</v>
      </c>
      <c r="B939" s="4" t="s">
        <v>9561</v>
      </c>
      <c r="C939" s="4" t="s">
        <v>3963</v>
      </c>
      <c r="D939" s="4" t="s">
        <v>11240</v>
      </c>
      <c r="E939" s="4" t="s">
        <v>11241</v>
      </c>
      <c r="F939" s="4" t="s">
        <v>11242</v>
      </c>
      <c r="G939" s="6" t="s">
        <v>11243</v>
      </c>
      <c r="H939" s="92" t="s">
        <v>11244</v>
      </c>
      <c r="I939" s="92" t="s">
        <v>11245</v>
      </c>
      <c r="J939" s="92" t="s">
        <v>11246</v>
      </c>
      <c r="K939" s="92" t="s">
        <v>11247</v>
      </c>
      <c r="L939" s="92" t="s">
        <v>11248</v>
      </c>
      <c r="M939" s="92" t="s">
        <v>11249</v>
      </c>
      <c r="N939" s="92" t="s">
        <v>11250</v>
      </c>
      <c r="O939" s="92" t="s">
        <v>11251</v>
      </c>
      <c r="S939" s="6">
        <v>2000004080</v>
      </c>
      <c r="T939" s="92">
        <v>2000010063</v>
      </c>
      <c r="U939" s="92">
        <v>2000011434</v>
      </c>
      <c r="V939" s="92">
        <v>2000016063</v>
      </c>
      <c r="W939" s="92">
        <v>2000018046</v>
      </c>
      <c r="X939" s="92">
        <v>2000024039</v>
      </c>
      <c r="Y939" s="92">
        <v>2000028112</v>
      </c>
      <c r="Z939" s="92">
        <v>2000029224</v>
      </c>
      <c r="AA939" s="92">
        <v>2000036128</v>
      </c>
      <c r="AE939" s="6" t="s">
        <v>201</v>
      </c>
      <c r="AF939" s="92" t="s">
        <v>532</v>
      </c>
      <c r="AG939" s="92" t="s">
        <v>182</v>
      </c>
      <c r="AH939" s="92" t="s">
        <v>531</v>
      </c>
      <c r="AI939" s="92" t="s">
        <v>179</v>
      </c>
      <c r="AJ939" s="92" t="s">
        <v>924</v>
      </c>
      <c r="AK939" s="92" t="s">
        <v>678</v>
      </c>
      <c r="AL939" s="92" t="s">
        <v>533</v>
      </c>
      <c r="AM939" s="92" t="s">
        <v>227</v>
      </c>
      <c r="AQ939" s="6" t="s">
        <v>186</v>
      </c>
      <c r="AR939" s="92" t="s">
        <v>186</v>
      </c>
      <c r="AS939" s="92" t="s">
        <v>187</v>
      </c>
      <c r="AT939" s="92" t="s">
        <v>186</v>
      </c>
      <c r="AU939" s="92" t="s">
        <v>187</v>
      </c>
      <c r="AV939" s="92" t="s">
        <v>186</v>
      </c>
      <c r="AW939" s="92" t="s">
        <v>187</v>
      </c>
      <c r="AX939" s="92" t="s">
        <v>186</v>
      </c>
      <c r="AY939" s="92" t="s">
        <v>186</v>
      </c>
      <c r="BC939" s="60">
        <v>82372110824</v>
      </c>
      <c r="BD939" s="93">
        <v>83815476685</v>
      </c>
      <c r="BE939" s="93">
        <v>81227442317</v>
      </c>
      <c r="BF939" s="93">
        <v>82256079188</v>
      </c>
      <c r="BG939" s="93">
        <v>82241137628</v>
      </c>
      <c r="BH939" s="93">
        <v>85328821288</v>
      </c>
      <c r="BI939" s="93">
        <v>85730347034</v>
      </c>
      <c r="BJ939" s="93">
        <v>85803606993</v>
      </c>
      <c r="BK939" s="93">
        <v>87830852778</v>
      </c>
      <c r="BP939" s="18" t="s">
        <v>11252</v>
      </c>
      <c r="BQ939" s="37">
        <v>45321</v>
      </c>
      <c r="BR939" s="8">
        <f t="shared" si="3"/>
        <v>9</v>
      </c>
    </row>
    <row r="940" spans="1:70" ht="14">
      <c r="A940" s="4" t="str">
        <v>Reguler Periode ke-119 XIV.B.2</v>
      </c>
      <c r="B940" s="4" t="s">
        <v>9561</v>
      </c>
      <c r="C940" s="4" t="s">
        <v>3976</v>
      </c>
      <c r="D940" s="4" t="s">
        <v>11240</v>
      </c>
      <c r="E940" s="4" t="s">
        <v>11253</v>
      </c>
      <c r="F940" s="4" t="s">
        <v>11242</v>
      </c>
      <c r="G940" s="6" t="s">
        <v>11254</v>
      </c>
      <c r="H940" s="92" t="s">
        <v>11255</v>
      </c>
      <c r="I940" s="92" t="s">
        <v>11256</v>
      </c>
      <c r="J940" s="92" t="s">
        <v>11257</v>
      </c>
      <c r="K940" s="92" t="s">
        <v>11258</v>
      </c>
      <c r="L940" s="92" t="s">
        <v>11259</v>
      </c>
      <c r="M940" s="92" t="s">
        <v>11260</v>
      </c>
      <c r="N940" s="92" t="s">
        <v>11261</v>
      </c>
      <c r="O940" s="92" t="s">
        <v>11262</v>
      </c>
      <c r="S940" s="6">
        <v>2000004010</v>
      </c>
      <c r="T940" s="92">
        <v>2000010038</v>
      </c>
      <c r="U940" s="92">
        <v>2000011341</v>
      </c>
      <c r="V940" s="92">
        <v>2000016042</v>
      </c>
      <c r="W940" s="92">
        <v>2000018308</v>
      </c>
      <c r="X940" s="92">
        <v>2000024274</v>
      </c>
      <c r="Y940" s="92">
        <v>2000028038</v>
      </c>
      <c r="Z940" s="92">
        <v>2000029248</v>
      </c>
      <c r="AA940" s="92">
        <v>2000036145</v>
      </c>
      <c r="AE940" s="6" t="s">
        <v>201</v>
      </c>
      <c r="AF940" s="92" t="s">
        <v>532</v>
      </c>
      <c r="AG940" s="92" t="s">
        <v>182</v>
      </c>
      <c r="AH940" s="92" t="s">
        <v>531</v>
      </c>
      <c r="AI940" s="92" t="s">
        <v>179</v>
      </c>
      <c r="AJ940" s="92" t="s">
        <v>924</v>
      </c>
      <c r="AK940" s="92" t="s">
        <v>678</v>
      </c>
      <c r="AL940" s="92" t="s">
        <v>533</v>
      </c>
      <c r="AM940" s="92" t="s">
        <v>227</v>
      </c>
      <c r="AQ940" s="6" t="s">
        <v>186</v>
      </c>
      <c r="AR940" s="92" t="s">
        <v>186</v>
      </c>
      <c r="AS940" s="92" t="s">
        <v>187</v>
      </c>
      <c r="AT940" s="92" t="s">
        <v>186</v>
      </c>
      <c r="AU940" s="92" t="s">
        <v>187</v>
      </c>
      <c r="AV940" s="92" t="s">
        <v>186</v>
      </c>
      <c r="AW940" s="92" t="s">
        <v>187</v>
      </c>
      <c r="AX940" s="92" t="s">
        <v>186</v>
      </c>
      <c r="AY940" s="92" t="s">
        <v>186</v>
      </c>
      <c r="BC940" s="60">
        <v>82251475190</v>
      </c>
      <c r="BD940" s="93">
        <v>85781226861</v>
      </c>
      <c r="BE940" s="93">
        <v>87897128043</v>
      </c>
      <c r="BF940" s="93">
        <v>8993837223</v>
      </c>
      <c r="BG940" s="93">
        <v>82250703608</v>
      </c>
      <c r="BH940" s="93">
        <v>85728658773</v>
      </c>
      <c r="BI940" s="93">
        <v>85393969522</v>
      </c>
      <c r="BJ940" s="93">
        <v>82311164131</v>
      </c>
      <c r="BK940" s="93">
        <v>85267378529</v>
      </c>
      <c r="BP940" s="18" t="s">
        <v>11263</v>
      </c>
      <c r="BQ940" s="37">
        <v>45321</v>
      </c>
      <c r="BR940" s="8">
        <f t="shared" si="3"/>
        <v>9</v>
      </c>
    </row>
    <row r="941" spans="1:70" ht="14">
      <c r="A941" s="4" t="str">
        <v>Reguler Periode ke-119 XIV.B.3</v>
      </c>
      <c r="B941" s="4" t="s">
        <v>9561</v>
      </c>
      <c r="C941" s="4" t="s">
        <v>3988</v>
      </c>
      <c r="D941" s="4" t="s">
        <v>11240</v>
      </c>
      <c r="E941" s="4" t="s">
        <v>11264</v>
      </c>
      <c r="F941" s="4" t="s">
        <v>11242</v>
      </c>
      <c r="G941" s="6" t="s">
        <v>11265</v>
      </c>
      <c r="H941" s="92" t="s">
        <v>11266</v>
      </c>
      <c r="I941" s="92" t="s">
        <v>11267</v>
      </c>
      <c r="J941" s="92" t="s">
        <v>11268</v>
      </c>
      <c r="K941" s="92" t="s">
        <v>11269</v>
      </c>
      <c r="L941" s="92" t="s">
        <v>11270</v>
      </c>
      <c r="M941" s="92" t="s">
        <v>11271</v>
      </c>
      <c r="N941" s="92" t="s">
        <v>11272</v>
      </c>
      <c r="O941" s="92" t="s">
        <v>11273</v>
      </c>
      <c r="S941" s="6">
        <v>2000004104</v>
      </c>
      <c r="T941" s="92">
        <v>2000010051</v>
      </c>
      <c r="U941" s="92">
        <v>2000011404</v>
      </c>
      <c r="V941" s="92">
        <v>2000018240</v>
      </c>
      <c r="W941" s="92">
        <v>2000024235</v>
      </c>
      <c r="X941" s="92">
        <v>2000028042</v>
      </c>
      <c r="Y941" s="92">
        <v>2000029065</v>
      </c>
      <c r="Z941" s="92">
        <v>2000036146</v>
      </c>
      <c r="AA941" s="92">
        <v>2015016055</v>
      </c>
      <c r="AE941" s="6" t="s">
        <v>201</v>
      </c>
      <c r="AF941" s="92" t="s">
        <v>532</v>
      </c>
      <c r="AG941" s="92" t="s">
        <v>182</v>
      </c>
      <c r="AH941" s="92" t="s">
        <v>179</v>
      </c>
      <c r="AI941" s="92" t="s">
        <v>924</v>
      </c>
      <c r="AJ941" s="92" t="s">
        <v>678</v>
      </c>
      <c r="AK941" s="92" t="s">
        <v>533</v>
      </c>
      <c r="AL941" s="92" t="s">
        <v>227</v>
      </c>
      <c r="AM941" s="92" t="s">
        <v>531</v>
      </c>
      <c r="AQ941" s="6" t="s">
        <v>186</v>
      </c>
      <c r="AR941" s="92" t="s">
        <v>186</v>
      </c>
      <c r="AS941" s="92" t="s">
        <v>187</v>
      </c>
      <c r="AT941" s="92" t="s">
        <v>187</v>
      </c>
      <c r="AU941" s="92" t="s">
        <v>186</v>
      </c>
      <c r="AV941" s="92" t="s">
        <v>187</v>
      </c>
      <c r="AW941" s="92" t="s">
        <v>186</v>
      </c>
      <c r="AX941" s="92" t="s">
        <v>186</v>
      </c>
      <c r="AY941" s="92" t="s">
        <v>186</v>
      </c>
      <c r="BC941" s="60">
        <v>87848283045</v>
      </c>
      <c r="BD941" s="93">
        <v>87736554587</v>
      </c>
      <c r="BE941" s="93">
        <v>87731434977</v>
      </c>
      <c r="BF941" s="93">
        <v>81326080631</v>
      </c>
      <c r="BG941" s="93">
        <v>85727995069</v>
      </c>
      <c r="BH941" s="93">
        <v>85954399024</v>
      </c>
      <c r="BI941" s="93">
        <v>87793066067</v>
      </c>
      <c r="BJ941" s="93">
        <v>87700722083</v>
      </c>
      <c r="BK941" s="93">
        <v>85161943064</v>
      </c>
      <c r="BP941" s="18" t="s">
        <v>11274</v>
      </c>
      <c r="BQ941" s="37">
        <v>45321</v>
      </c>
      <c r="BR941" s="8">
        <f t="shared" si="3"/>
        <v>9</v>
      </c>
    </row>
    <row r="942" spans="1:70" ht="14.5">
      <c r="A942" s="4" t="str">
        <v>Reguler Periode ke-119 XIV.C.1</v>
      </c>
      <c r="B942" s="4" t="s">
        <v>9561</v>
      </c>
      <c r="C942" s="4" t="s">
        <v>4000</v>
      </c>
      <c r="D942" s="4" t="s">
        <v>11275</v>
      </c>
      <c r="E942" s="4" t="s">
        <v>4224</v>
      </c>
      <c r="F942" s="4" t="s">
        <v>11242</v>
      </c>
      <c r="G942" s="6" t="s">
        <v>11276</v>
      </c>
      <c r="H942" s="92" t="s">
        <v>11277</v>
      </c>
      <c r="I942" s="92" t="s">
        <v>11278</v>
      </c>
      <c r="J942" s="92" t="s">
        <v>11279</v>
      </c>
      <c r="K942" s="92" t="s">
        <v>11280</v>
      </c>
      <c r="L942" s="92" t="s">
        <v>11281</v>
      </c>
      <c r="M942" s="92" t="s">
        <v>11282</v>
      </c>
      <c r="N942" s="92" t="s">
        <v>11283</v>
      </c>
      <c r="O942" s="92" t="s">
        <v>11284</v>
      </c>
      <c r="P942" s="73"/>
      <c r="S942" s="6">
        <v>2000004077</v>
      </c>
      <c r="T942" s="92">
        <v>2000010083</v>
      </c>
      <c r="U942" s="92">
        <v>2000011432</v>
      </c>
      <c r="V942" s="92">
        <v>2000017029</v>
      </c>
      <c r="W942" s="92">
        <v>2000018374</v>
      </c>
      <c r="X942" s="92">
        <v>2000024265</v>
      </c>
      <c r="Y942" s="92">
        <v>2000028019</v>
      </c>
      <c r="Z942" s="92">
        <v>2000029189</v>
      </c>
      <c r="AA942" s="92">
        <v>2000036163</v>
      </c>
      <c r="AE942" s="6" t="s">
        <v>201</v>
      </c>
      <c r="AF942" s="92" t="s">
        <v>532</v>
      </c>
      <c r="AG942" s="92" t="s">
        <v>182</v>
      </c>
      <c r="AH942" s="92" t="s">
        <v>183</v>
      </c>
      <c r="AI942" s="92" t="s">
        <v>179</v>
      </c>
      <c r="AJ942" s="92" t="s">
        <v>924</v>
      </c>
      <c r="AK942" s="92" t="s">
        <v>678</v>
      </c>
      <c r="AL942" s="92" t="s">
        <v>533</v>
      </c>
      <c r="AM942" s="92" t="s">
        <v>227</v>
      </c>
      <c r="AQ942" s="6" t="s">
        <v>186</v>
      </c>
      <c r="AR942" s="92" t="s">
        <v>186</v>
      </c>
      <c r="AS942" s="92" t="s">
        <v>187</v>
      </c>
      <c r="AT942" s="92" t="s">
        <v>186</v>
      </c>
      <c r="AU942" s="92" t="s">
        <v>187</v>
      </c>
      <c r="AV942" s="92" t="s">
        <v>186</v>
      </c>
      <c r="AW942" s="92" t="s">
        <v>187</v>
      </c>
      <c r="AX942" s="92" t="s">
        <v>186</v>
      </c>
      <c r="AY942" s="92" t="s">
        <v>186</v>
      </c>
      <c r="BC942" s="60">
        <v>85865381366</v>
      </c>
      <c r="BD942" s="93">
        <v>85159200365</v>
      </c>
      <c r="BE942" s="93">
        <v>82130429937</v>
      </c>
      <c r="BF942" s="93">
        <v>83869140549</v>
      </c>
      <c r="BG942" s="93">
        <v>83867044128</v>
      </c>
      <c r="BH942" s="93">
        <v>81231847952</v>
      </c>
      <c r="BI942" s="93">
        <v>83867338496</v>
      </c>
      <c r="BJ942" s="93">
        <v>8999079206</v>
      </c>
      <c r="BK942" s="93">
        <v>85798869672</v>
      </c>
      <c r="BP942" s="18" t="s">
        <v>11285</v>
      </c>
      <c r="BQ942" s="37">
        <v>45321</v>
      </c>
      <c r="BR942" s="8">
        <f t="shared" si="3"/>
        <v>9</v>
      </c>
    </row>
    <row r="943" spans="1:70" ht="14">
      <c r="A943" s="4" t="str">
        <v>Reguler Periode ke-119 XIV.C.2</v>
      </c>
      <c r="B943" s="4" t="s">
        <v>9561</v>
      </c>
      <c r="C943" s="4" t="s">
        <v>4012</v>
      </c>
      <c r="D943" s="4" t="s">
        <v>11275</v>
      </c>
      <c r="E943" s="4" t="s">
        <v>4185</v>
      </c>
      <c r="F943" s="4" t="s">
        <v>11242</v>
      </c>
      <c r="G943" s="6" t="s">
        <v>1821</v>
      </c>
      <c r="H943" s="92" t="s">
        <v>11286</v>
      </c>
      <c r="I943" s="92" t="s">
        <v>11287</v>
      </c>
      <c r="J943" s="92" t="s">
        <v>11288</v>
      </c>
      <c r="K943" s="92" t="s">
        <v>11289</v>
      </c>
      <c r="L943" s="92" t="s">
        <v>11290</v>
      </c>
      <c r="M943" s="92" t="s">
        <v>11291</v>
      </c>
      <c r="N943" s="92" t="s">
        <v>11292</v>
      </c>
      <c r="O943" s="92" t="s">
        <v>11293</v>
      </c>
      <c r="S943" s="6">
        <v>1800028118</v>
      </c>
      <c r="T943" s="92">
        <v>1900029084</v>
      </c>
      <c r="U943" s="92">
        <v>2000004039</v>
      </c>
      <c r="V943" s="92">
        <v>2000010067</v>
      </c>
      <c r="W943" s="92">
        <v>2000011024</v>
      </c>
      <c r="X943" s="92">
        <v>2000017033</v>
      </c>
      <c r="Y943" s="92">
        <v>2000018189</v>
      </c>
      <c r="Z943" s="92">
        <v>2000024105</v>
      </c>
      <c r="AA943" s="92">
        <v>2000036012</v>
      </c>
      <c r="AE943" s="6" t="s">
        <v>678</v>
      </c>
      <c r="AF943" s="92" t="s">
        <v>533</v>
      </c>
      <c r="AG943" s="92" t="s">
        <v>201</v>
      </c>
      <c r="AH943" s="92" t="s">
        <v>532</v>
      </c>
      <c r="AI943" s="92" t="s">
        <v>182</v>
      </c>
      <c r="AJ943" s="92" t="s">
        <v>183</v>
      </c>
      <c r="AK943" s="92" t="s">
        <v>179</v>
      </c>
      <c r="AL943" s="92" t="s">
        <v>924</v>
      </c>
      <c r="AM943" s="92" t="s">
        <v>227</v>
      </c>
      <c r="AQ943" s="6" t="s">
        <v>187</v>
      </c>
      <c r="AR943" s="92" t="s">
        <v>186</v>
      </c>
      <c r="AS943" s="92" t="s">
        <v>186</v>
      </c>
      <c r="AT943" s="92" t="s">
        <v>186</v>
      </c>
      <c r="AU943" s="92" t="s">
        <v>187</v>
      </c>
      <c r="AV943" s="92" t="s">
        <v>186</v>
      </c>
      <c r="AW943" s="92" t="s">
        <v>187</v>
      </c>
      <c r="AX943" s="92" t="s">
        <v>186</v>
      </c>
      <c r="AY943" s="92" t="s">
        <v>186</v>
      </c>
      <c r="BC943" s="60">
        <v>882003365501</v>
      </c>
      <c r="BD943" s="93">
        <v>82266945178</v>
      </c>
      <c r="BE943" s="93">
        <v>82152957882</v>
      </c>
      <c r="BF943" s="93">
        <v>89614862094</v>
      </c>
      <c r="BG943" s="93">
        <v>82235821825</v>
      </c>
      <c r="BH943" s="93">
        <v>85781770526</v>
      </c>
      <c r="BI943" s="93">
        <v>85624384710</v>
      </c>
      <c r="BJ943" s="93">
        <v>83125812512</v>
      </c>
      <c r="BK943" s="93">
        <v>85641855492</v>
      </c>
      <c r="BP943" s="18" t="s">
        <v>11294</v>
      </c>
      <c r="BQ943" s="37">
        <v>45321</v>
      </c>
      <c r="BR943" s="8">
        <f t="shared" si="3"/>
        <v>9</v>
      </c>
    </row>
    <row r="944" spans="1:70" ht="14">
      <c r="A944" s="4" t="str">
        <v>Reguler Periode ke-119 XIV.C.3</v>
      </c>
      <c r="B944" s="4" t="s">
        <v>9561</v>
      </c>
      <c r="C944" s="4" t="s">
        <v>4024</v>
      </c>
      <c r="D944" s="4" t="s">
        <v>11275</v>
      </c>
      <c r="E944" s="4" t="s">
        <v>11295</v>
      </c>
      <c r="F944" s="4" t="s">
        <v>11242</v>
      </c>
      <c r="G944" s="6" t="s">
        <v>11296</v>
      </c>
      <c r="H944" s="92" t="s">
        <v>11297</v>
      </c>
      <c r="I944" s="92" t="s">
        <v>11298</v>
      </c>
      <c r="J944" s="92" t="s">
        <v>11299</v>
      </c>
      <c r="K944" s="92" t="s">
        <v>11300</v>
      </c>
      <c r="L944" s="92" t="s">
        <v>11301</v>
      </c>
      <c r="M944" s="92" t="s">
        <v>11302</v>
      </c>
      <c r="N944" s="92" t="s">
        <v>11303</v>
      </c>
      <c r="O944" s="92" t="s">
        <v>11304</v>
      </c>
      <c r="S944" s="6">
        <v>2000004024</v>
      </c>
      <c r="T944" s="92">
        <v>2000010099</v>
      </c>
      <c r="U944" s="92">
        <v>2000011342</v>
      </c>
      <c r="V944" s="92">
        <v>2000017069</v>
      </c>
      <c r="W944" s="92">
        <v>2000018348</v>
      </c>
      <c r="X944" s="92">
        <v>2000024292</v>
      </c>
      <c r="Y944" s="92">
        <v>2000029069</v>
      </c>
      <c r="Z944" s="92">
        <v>2000029146</v>
      </c>
      <c r="AA944" s="92">
        <v>2000036126</v>
      </c>
      <c r="AE944" s="6" t="s">
        <v>201</v>
      </c>
      <c r="AF944" s="92" t="s">
        <v>532</v>
      </c>
      <c r="AG944" s="92" t="s">
        <v>182</v>
      </c>
      <c r="AH944" s="92" t="s">
        <v>183</v>
      </c>
      <c r="AI944" s="92" t="s">
        <v>179</v>
      </c>
      <c r="AJ944" s="92" t="s">
        <v>924</v>
      </c>
      <c r="AK944" s="92" t="s">
        <v>533</v>
      </c>
      <c r="AL944" s="92" t="s">
        <v>533</v>
      </c>
      <c r="AM944" s="92" t="s">
        <v>227</v>
      </c>
      <c r="AQ944" s="6" t="s">
        <v>186</v>
      </c>
      <c r="AR944" s="92" t="s">
        <v>186</v>
      </c>
      <c r="AS944" s="92" t="s">
        <v>187</v>
      </c>
      <c r="AT944" s="92" t="s">
        <v>186</v>
      </c>
      <c r="AU944" s="92" t="s">
        <v>187</v>
      </c>
      <c r="AV944" s="92" t="s">
        <v>186</v>
      </c>
      <c r="AW944" s="92" t="s">
        <v>187</v>
      </c>
      <c r="AX944" s="92" t="s">
        <v>186</v>
      </c>
      <c r="AY944" s="92" t="s">
        <v>186</v>
      </c>
      <c r="BC944" s="60">
        <v>895363095199</v>
      </c>
      <c r="BD944" s="93">
        <v>81327322209</v>
      </c>
      <c r="BE944" s="93">
        <v>85156780502</v>
      </c>
      <c r="BF944" s="93">
        <v>85211928589</v>
      </c>
      <c r="BG944" s="93">
        <v>82134074063</v>
      </c>
      <c r="BH944" s="93">
        <v>895339711429</v>
      </c>
      <c r="BI944" s="93">
        <v>81228772115</v>
      </c>
      <c r="BJ944" s="93">
        <v>85267094581</v>
      </c>
      <c r="BK944" s="93">
        <v>81312109720</v>
      </c>
      <c r="BP944" s="18" t="s">
        <v>11305</v>
      </c>
      <c r="BQ944" s="37">
        <v>45321</v>
      </c>
      <c r="BR944" s="8">
        <f t="shared" si="3"/>
        <v>9</v>
      </c>
    </row>
    <row r="945" spans="1:70" ht="14">
      <c r="A945" s="4" t="str">
        <v>Reguler Periode ke-119 XIV.D.1</v>
      </c>
      <c r="B945" s="4" t="s">
        <v>9561</v>
      </c>
      <c r="C945" s="4" t="s">
        <v>4036</v>
      </c>
      <c r="D945" s="4" t="s">
        <v>11306</v>
      </c>
      <c r="E945" s="4" t="s">
        <v>4311</v>
      </c>
      <c r="F945" s="4" t="s">
        <v>11242</v>
      </c>
      <c r="G945" s="6" t="s">
        <v>11307</v>
      </c>
      <c r="H945" s="92" t="s">
        <v>11308</v>
      </c>
      <c r="I945" s="92" t="s">
        <v>11309</v>
      </c>
      <c r="J945" s="92" t="s">
        <v>11310</v>
      </c>
      <c r="K945" s="92" t="s">
        <v>11311</v>
      </c>
      <c r="L945" s="92" t="s">
        <v>11312</v>
      </c>
      <c r="M945" s="92" t="s">
        <v>11313</v>
      </c>
      <c r="N945" s="92" t="s">
        <v>11314</v>
      </c>
      <c r="O945" s="92" t="s">
        <v>11315</v>
      </c>
      <c r="S945" s="6">
        <v>2000004063</v>
      </c>
      <c r="T945" s="92">
        <v>2000010076</v>
      </c>
      <c r="U945" s="92">
        <v>2000011146</v>
      </c>
      <c r="V945" s="92">
        <v>2000017025</v>
      </c>
      <c r="W945" s="92">
        <v>2000018246</v>
      </c>
      <c r="X945" s="92">
        <v>2000024226</v>
      </c>
      <c r="Y945" s="92">
        <v>2000029084</v>
      </c>
      <c r="Z945" s="92">
        <v>2000030032</v>
      </c>
      <c r="AA945" s="92">
        <v>2000036093</v>
      </c>
      <c r="AE945" s="6" t="s">
        <v>201</v>
      </c>
      <c r="AF945" s="92" t="s">
        <v>532</v>
      </c>
      <c r="AG945" s="92" t="s">
        <v>182</v>
      </c>
      <c r="AH945" s="92" t="s">
        <v>183</v>
      </c>
      <c r="AI945" s="92" t="s">
        <v>179</v>
      </c>
      <c r="AJ945" s="92" t="s">
        <v>924</v>
      </c>
      <c r="AK945" s="92" t="s">
        <v>533</v>
      </c>
      <c r="AL945" s="92" t="s">
        <v>184</v>
      </c>
      <c r="AM945" s="92" t="s">
        <v>227</v>
      </c>
      <c r="AQ945" s="6" t="s">
        <v>186</v>
      </c>
      <c r="AR945" s="92" t="s">
        <v>186</v>
      </c>
      <c r="AS945" s="92" t="s">
        <v>187</v>
      </c>
      <c r="AT945" s="92" t="s">
        <v>186</v>
      </c>
      <c r="AU945" s="92" t="s">
        <v>187</v>
      </c>
      <c r="AV945" s="92" t="s">
        <v>186</v>
      </c>
      <c r="AW945" s="92" t="s">
        <v>187</v>
      </c>
      <c r="AX945" s="92" t="s">
        <v>186</v>
      </c>
      <c r="AY945" s="92" t="s">
        <v>186</v>
      </c>
      <c r="BC945" s="60">
        <v>87822212922</v>
      </c>
      <c r="BD945" s="93">
        <v>82341876365</v>
      </c>
      <c r="BE945" s="93">
        <v>82248338377</v>
      </c>
      <c r="BF945" s="93">
        <v>82148739933</v>
      </c>
      <c r="BG945" s="93">
        <v>85155070581</v>
      </c>
      <c r="BH945" s="93">
        <v>82192629357</v>
      </c>
      <c r="BI945" s="93">
        <v>81327300542</v>
      </c>
      <c r="BJ945" s="93">
        <v>81219691521</v>
      </c>
      <c r="BK945" s="93">
        <v>82144074666</v>
      </c>
      <c r="BP945" s="18" t="s">
        <v>11316</v>
      </c>
      <c r="BQ945" s="37">
        <v>45321</v>
      </c>
      <c r="BR945" s="8">
        <f t="shared" si="3"/>
        <v>9</v>
      </c>
    </row>
    <row r="946" spans="1:70" ht="14">
      <c r="A946" s="4" t="str">
        <v>Reguler Periode ke-119 XIV.D.2</v>
      </c>
      <c r="B946" s="4" t="s">
        <v>9561</v>
      </c>
      <c r="C946" s="4" t="s">
        <v>4050</v>
      </c>
      <c r="D946" s="4" t="s">
        <v>11306</v>
      </c>
      <c r="E946" s="4" t="s">
        <v>11317</v>
      </c>
      <c r="F946" s="4" t="s">
        <v>11242</v>
      </c>
      <c r="G946" s="6" t="s">
        <v>11318</v>
      </c>
      <c r="H946" s="92" t="s">
        <v>11319</v>
      </c>
      <c r="I946" s="92" t="s">
        <v>11320</v>
      </c>
      <c r="J946" s="92" t="s">
        <v>11321</v>
      </c>
      <c r="K946" s="92" t="s">
        <v>11322</v>
      </c>
      <c r="L946" s="92" t="s">
        <v>11323</v>
      </c>
      <c r="M946" s="92" t="s">
        <v>11324</v>
      </c>
      <c r="N946" s="92" t="s">
        <v>11325</v>
      </c>
      <c r="O946" s="92" t="s">
        <v>11326</v>
      </c>
      <c r="S946" s="6">
        <v>2000004105</v>
      </c>
      <c r="T946" s="92">
        <v>2000010008</v>
      </c>
      <c r="U946" s="92">
        <v>2000011348</v>
      </c>
      <c r="V946" s="92">
        <v>2000017007</v>
      </c>
      <c r="W946" s="92">
        <v>2000018220</v>
      </c>
      <c r="X946" s="92">
        <v>2000024320</v>
      </c>
      <c r="Y946" s="92">
        <v>2000029139</v>
      </c>
      <c r="Z946" s="92">
        <v>2000030082</v>
      </c>
      <c r="AA946" s="92">
        <v>2000036007</v>
      </c>
      <c r="AE946" s="6" t="s">
        <v>201</v>
      </c>
      <c r="AF946" s="92" t="s">
        <v>532</v>
      </c>
      <c r="AG946" s="92" t="s">
        <v>182</v>
      </c>
      <c r="AH946" s="92" t="s">
        <v>183</v>
      </c>
      <c r="AI946" s="92" t="s">
        <v>179</v>
      </c>
      <c r="AJ946" s="92" t="s">
        <v>924</v>
      </c>
      <c r="AK946" s="92" t="s">
        <v>533</v>
      </c>
      <c r="AL946" s="92" t="s">
        <v>184</v>
      </c>
      <c r="AM946" s="92" t="s">
        <v>227</v>
      </c>
      <c r="AQ946" s="6" t="s">
        <v>186</v>
      </c>
      <c r="AR946" s="92" t="s">
        <v>186</v>
      </c>
      <c r="AS946" s="92" t="s">
        <v>187</v>
      </c>
      <c r="AT946" s="92" t="s">
        <v>186</v>
      </c>
      <c r="AU946" s="92" t="s">
        <v>187</v>
      </c>
      <c r="AV946" s="92" t="s">
        <v>186</v>
      </c>
      <c r="AW946" s="92" t="s">
        <v>187</v>
      </c>
      <c r="AX946" s="92" t="s">
        <v>186</v>
      </c>
      <c r="AY946" s="92" t="s">
        <v>186</v>
      </c>
      <c r="BC946" s="60">
        <v>89527050108</v>
      </c>
      <c r="BD946" s="93">
        <v>85352626475</v>
      </c>
      <c r="BE946" s="93">
        <v>85325951976</v>
      </c>
      <c r="BF946" s="93">
        <v>8813747867</v>
      </c>
      <c r="BG946" s="93">
        <v>89632324670</v>
      </c>
      <c r="BH946" s="93">
        <v>82278943104</v>
      </c>
      <c r="BI946" s="93">
        <v>89649205058</v>
      </c>
      <c r="BJ946" s="93">
        <v>81387643324</v>
      </c>
      <c r="BK946" s="93">
        <v>81215909810</v>
      </c>
      <c r="BP946" s="18" t="s">
        <v>11327</v>
      </c>
      <c r="BQ946" s="37">
        <v>45321</v>
      </c>
      <c r="BR946" s="8">
        <f t="shared" si="3"/>
        <v>9</v>
      </c>
    </row>
    <row r="947" spans="1:70" ht="14">
      <c r="A947" s="4" t="str">
        <v>Reguler Periode ke-119 XIV.D.3</v>
      </c>
      <c r="B947" s="4" t="s">
        <v>9561</v>
      </c>
      <c r="C947" s="4" t="s">
        <v>4062</v>
      </c>
      <c r="D947" s="4" t="s">
        <v>11306</v>
      </c>
      <c r="E947" s="4" t="s">
        <v>4262</v>
      </c>
      <c r="F947" s="4" t="s">
        <v>11242</v>
      </c>
      <c r="G947" s="6" t="s">
        <v>11328</v>
      </c>
      <c r="H947" s="92" t="s">
        <v>11329</v>
      </c>
      <c r="I947" s="92" t="s">
        <v>11330</v>
      </c>
      <c r="J947" s="92" t="s">
        <v>11331</v>
      </c>
      <c r="K947" s="92" t="s">
        <v>11332</v>
      </c>
      <c r="L947" s="92" t="s">
        <v>11333</v>
      </c>
      <c r="M947" s="92" t="s">
        <v>11334</v>
      </c>
      <c r="N947" s="92" t="s">
        <v>11335</v>
      </c>
      <c r="O947" s="92" t="s">
        <v>11336</v>
      </c>
      <c r="S947" s="6">
        <v>2000004098</v>
      </c>
      <c r="T947" s="92">
        <v>2000010058</v>
      </c>
      <c r="U947" s="92">
        <v>2000011433</v>
      </c>
      <c r="V947" s="92">
        <v>2000017028</v>
      </c>
      <c r="W947" s="92">
        <v>2000018389</v>
      </c>
      <c r="X947" s="92">
        <v>2000024252</v>
      </c>
      <c r="Y947" s="92">
        <v>2000029184</v>
      </c>
      <c r="Z947" s="92">
        <v>2000030219</v>
      </c>
      <c r="AA947" s="92">
        <v>2000036065</v>
      </c>
      <c r="AE947" s="6" t="s">
        <v>201</v>
      </c>
      <c r="AF947" s="92" t="s">
        <v>532</v>
      </c>
      <c r="AG947" s="92" t="s">
        <v>182</v>
      </c>
      <c r="AH947" s="92" t="s">
        <v>183</v>
      </c>
      <c r="AI947" s="92" t="s">
        <v>179</v>
      </c>
      <c r="AJ947" s="92" t="s">
        <v>924</v>
      </c>
      <c r="AK947" s="92" t="s">
        <v>533</v>
      </c>
      <c r="AL947" s="92" t="s">
        <v>184</v>
      </c>
      <c r="AM947" s="92" t="s">
        <v>227</v>
      </c>
      <c r="AQ947" s="6" t="s">
        <v>186</v>
      </c>
      <c r="AR947" s="92" t="s">
        <v>186</v>
      </c>
      <c r="AS947" s="92" t="s">
        <v>187</v>
      </c>
      <c r="AT947" s="92" t="s">
        <v>186</v>
      </c>
      <c r="AU947" s="92" t="s">
        <v>187</v>
      </c>
      <c r="AV947" s="92" t="s">
        <v>186</v>
      </c>
      <c r="AW947" s="92" t="s">
        <v>187</v>
      </c>
      <c r="AX947" s="92" t="s">
        <v>186</v>
      </c>
      <c r="AY947" s="92" t="s">
        <v>186</v>
      </c>
      <c r="BC947" s="60">
        <v>85951696983</v>
      </c>
      <c r="BD947" s="93">
        <v>85846761105</v>
      </c>
      <c r="BE947" s="93">
        <v>81390105250</v>
      </c>
      <c r="BF947" s="93">
        <v>82118262112</v>
      </c>
      <c r="BG947" s="93">
        <v>81882877388</v>
      </c>
      <c r="BH947" s="93">
        <v>85802955528</v>
      </c>
      <c r="BI947" s="93">
        <v>82352403468</v>
      </c>
      <c r="BJ947" s="93">
        <v>81328039889</v>
      </c>
      <c r="BK947" s="93">
        <v>82131607736</v>
      </c>
      <c r="BP947" s="18" t="s">
        <v>11337</v>
      </c>
      <c r="BQ947" s="37">
        <v>45321</v>
      </c>
      <c r="BR947" s="8">
        <f t="shared" si="3"/>
        <v>9</v>
      </c>
    </row>
    <row r="948" spans="1:70" ht="14">
      <c r="A948" s="4" t="str">
        <v>Reguler Periode ke-119 XV.A.1</v>
      </c>
      <c r="B948" s="4" t="s">
        <v>9561</v>
      </c>
      <c r="C948" s="4" t="s">
        <v>4073</v>
      </c>
      <c r="D948" s="4" t="s">
        <v>1775</v>
      </c>
      <c r="E948" s="4" t="s">
        <v>11338</v>
      </c>
      <c r="F948" s="4" t="s">
        <v>11242</v>
      </c>
      <c r="G948" s="6" t="s">
        <v>11339</v>
      </c>
      <c r="H948" s="92" t="s">
        <v>11340</v>
      </c>
      <c r="I948" s="92" t="s">
        <v>11341</v>
      </c>
      <c r="J948" s="92" t="s">
        <v>11342</v>
      </c>
      <c r="K948" s="92" t="s">
        <v>11343</v>
      </c>
      <c r="L948" s="92" t="s">
        <v>11344</v>
      </c>
      <c r="M948" s="92" t="s">
        <v>11345</v>
      </c>
      <c r="N948" s="92" t="s">
        <v>11346</v>
      </c>
      <c r="O948" s="92" t="s">
        <v>11347</v>
      </c>
      <c r="S948" s="6">
        <v>1800024204</v>
      </c>
      <c r="T948" s="92">
        <v>2000004108</v>
      </c>
      <c r="U948" s="92">
        <v>2000010060</v>
      </c>
      <c r="V948" s="92">
        <v>2000011095</v>
      </c>
      <c r="W948" s="92">
        <v>2000017013</v>
      </c>
      <c r="X948" s="92">
        <v>2000018406</v>
      </c>
      <c r="Y948" s="92">
        <v>2000029009</v>
      </c>
      <c r="Z948" s="92">
        <v>2000030118</v>
      </c>
      <c r="AA948" s="92">
        <v>2000036084</v>
      </c>
      <c r="AE948" s="6" t="s">
        <v>924</v>
      </c>
      <c r="AF948" s="92" t="s">
        <v>201</v>
      </c>
      <c r="AG948" s="92" t="s">
        <v>532</v>
      </c>
      <c r="AH948" s="92" t="s">
        <v>182</v>
      </c>
      <c r="AI948" s="92" t="s">
        <v>183</v>
      </c>
      <c r="AJ948" s="92" t="s">
        <v>179</v>
      </c>
      <c r="AK948" s="92" t="s">
        <v>533</v>
      </c>
      <c r="AL948" s="92" t="s">
        <v>184</v>
      </c>
      <c r="AM948" s="92" t="s">
        <v>227</v>
      </c>
      <c r="AQ948" s="6" t="s">
        <v>186</v>
      </c>
      <c r="AR948" s="92" t="s">
        <v>186</v>
      </c>
      <c r="AS948" s="92" t="s">
        <v>186</v>
      </c>
      <c r="AT948" s="92" t="s">
        <v>187</v>
      </c>
      <c r="AU948" s="92" t="s">
        <v>186</v>
      </c>
      <c r="AV948" s="92" t="s">
        <v>187</v>
      </c>
      <c r="AW948" s="92" t="s">
        <v>187</v>
      </c>
      <c r="AX948" s="92" t="s">
        <v>186</v>
      </c>
      <c r="AY948" s="92" t="s">
        <v>186</v>
      </c>
      <c r="BC948" s="60">
        <v>87702847913</v>
      </c>
      <c r="BD948" s="93">
        <v>85864475058</v>
      </c>
      <c r="BE948" s="93">
        <v>81224458010</v>
      </c>
      <c r="BF948" s="93">
        <v>85158440224</v>
      </c>
      <c r="BG948" s="93">
        <v>83103306300</v>
      </c>
      <c r="BH948" s="93">
        <v>87736854680</v>
      </c>
      <c r="BI948" s="93">
        <v>85841901301</v>
      </c>
      <c r="BJ948" s="93">
        <v>895603255299</v>
      </c>
      <c r="BK948" s="93">
        <v>87789497537</v>
      </c>
      <c r="BP948" s="35" t="s">
        <v>11348</v>
      </c>
      <c r="BQ948" s="37">
        <v>45321</v>
      </c>
      <c r="BR948" s="8">
        <f t="shared" si="3"/>
        <v>9</v>
      </c>
    </row>
    <row r="949" spans="1:70" ht="14">
      <c r="A949" s="4" t="str">
        <v>Reguler Periode ke-119 XV.A.2</v>
      </c>
      <c r="B949" s="4" t="s">
        <v>9561</v>
      </c>
      <c r="C949" s="4" t="s">
        <v>4086</v>
      </c>
      <c r="D949" s="4" t="s">
        <v>1775</v>
      </c>
      <c r="E949" s="4" t="s">
        <v>4299</v>
      </c>
      <c r="F949" s="4" t="s">
        <v>11242</v>
      </c>
      <c r="G949" s="6" t="s">
        <v>11349</v>
      </c>
      <c r="H949" s="92" t="s">
        <v>11350</v>
      </c>
      <c r="I949" s="92" t="s">
        <v>11351</v>
      </c>
      <c r="J949" s="92" t="s">
        <v>11352</v>
      </c>
      <c r="K949" s="92" t="s">
        <v>11353</v>
      </c>
      <c r="L949" s="92" t="s">
        <v>11354</v>
      </c>
      <c r="M949" s="92" t="s">
        <v>11355</v>
      </c>
      <c r="N949" s="92" t="s">
        <v>11356</v>
      </c>
      <c r="O949" s="92" t="s">
        <v>11357</v>
      </c>
      <c r="S949" s="6">
        <v>1900029074</v>
      </c>
      <c r="T949" s="92">
        <v>2000004086</v>
      </c>
      <c r="U949" s="92">
        <v>2000010075</v>
      </c>
      <c r="V949" s="92">
        <v>2000011407</v>
      </c>
      <c r="W949" s="92">
        <v>2000017049</v>
      </c>
      <c r="X949" s="92">
        <v>2000018148</v>
      </c>
      <c r="Y949" s="92">
        <v>2000024213</v>
      </c>
      <c r="Z949" s="92">
        <v>2000030050</v>
      </c>
      <c r="AA949" s="92">
        <v>2000036028</v>
      </c>
      <c r="AE949" s="6" t="s">
        <v>533</v>
      </c>
      <c r="AF949" s="92" t="s">
        <v>201</v>
      </c>
      <c r="AG949" s="92" t="s">
        <v>532</v>
      </c>
      <c r="AH949" s="92" t="s">
        <v>182</v>
      </c>
      <c r="AI949" s="92" t="s">
        <v>183</v>
      </c>
      <c r="AJ949" s="92" t="s">
        <v>179</v>
      </c>
      <c r="AK949" s="92" t="s">
        <v>924</v>
      </c>
      <c r="AL949" s="92" t="s">
        <v>184</v>
      </c>
      <c r="AM949" s="92" t="s">
        <v>227</v>
      </c>
      <c r="AQ949" s="6" t="s">
        <v>187</v>
      </c>
      <c r="AR949" s="92" t="s">
        <v>186</v>
      </c>
      <c r="AS949" s="92" t="s">
        <v>186</v>
      </c>
      <c r="AT949" s="92" t="s">
        <v>187</v>
      </c>
      <c r="AU949" s="92" t="s">
        <v>186</v>
      </c>
      <c r="AV949" s="92" t="s">
        <v>187</v>
      </c>
      <c r="AW949" s="92" t="s">
        <v>186</v>
      </c>
      <c r="AX949" s="92" t="s">
        <v>186</v>
      </c>
      <c r="AY949" s="92" t="s">
        <v>186</v>
      </c>
      <c r="BC949" s="60">
        <v>81548375821</v>
      </c>
      <c r="BD949" s="93">
        <v>82269190429</v>
      </c>
      <c r="BE949" s="93">
        <v>87735345913</v>
      </c>
      <c r="BF949" s="93">
        <v>82237677125</v>
      </c>
      <c r="BG949" s="93">
        <v>83841553402</v>
      </c>
      <c r="BH949" s="93">
        <v>85758491422</v>
      </c>
      <c r="BI949" s="93">
        <v>8161872289</v>
      </c>
      <c r="BJ949" s="93">
        <v>81228951325</v>
      </c>
      <c r="BK949" s="93">
        <v>87746525205</v>
      </c>
      <c r="BP949" s="35" t="s">
        <v>11358</v>
      </c>
      <c r="BQ949" s="37">
        <v>45321</v>
      </c>
      <c r="BR949" s="8">
        <f t="shared" si="3"/>
        <v>9</v>
      </c>
    </row>
    <row r="950" spans="1:70" ht="14">
      <c r="A950" s="4" t="str">
        <v>Reguler Periode ke-119 XV.A.3</v>
      </c>
      <c r="B950" s="4" t="s">
        <v>9561</v>
      </c>
      <c r="C950" s="4" t="s">
        <v>4098</v>
      </c>
      <c r="D950" s="4" t="s">
        <v>1775</v>
      </c>
      <c r="E950" s="4" t="s">
        <v>4286</v>
      </c>
      <c r="F950" s="4" t="s">
        <v>11242</v>
      </c>
      <c r="G950" s="6" t="s">
        <v>11359</v>
      </c>
      <c r="H950" s="92" t="s">
        <v>11360</v>
      </c>
      <c r="I950" s="92" t="s">
        <v>11361</v>
      </c>
      <c r="J950" s="92" t="s">
        <v>11362</v>
      </c>
      <c r="K950" s="92" t="s">
        <v>11363</v>
      </c>
      <c r="L950" s="92" t="s">
        <v>11364</v>
      </c>
      <c r="M950" s="92" t="s">
        <v>11365</v>
      </c>
      <c r="N950" s="92" t="s">
        <v>11366</v>
      </c>
      <c r="O950" s="92" t="s">
        <v>11367</v>
      </c>
      <c r="S950" s="6">
        <v>1800011359</v>
      </c>
      <c r="T950" s="92">
        <v>2000004033</v>
      </c>
      <c r="U950" s="92">
        <v>2000010023</v>
      </c>
      <c r="V950" s="92">
        <v>2000017026</v>
      </c>
      <c r="W950" s="92">
        <v>2000018096</v>
      </c>
      <c r="X950" s="92">
        <v>2000024203</v>
      </c>
      <c r="Y950" s="92">
        <v>2000029211</v>
      </c>
      <c r="Z950" s="92">
        <v>2000030221</v>
      </c>
      <c r="AA950" s="92">
        <v>2000036108</v>
      </c>
      <c r="AE950" s="6" t="s">
        <v>182</v>
      </c>
      <c r="AF950" s="92" t="s">
        <v>201</v>
      </c>
      <c r="AG950" s="92" t="s">
        <v>532</v>
      </c>
      <c r="AH950" s="92" t="s">
        <v>183</v>
      </c>
      <c r="AI950" s="92" t="s">
        <v>179</v>
      </c>
      <c r="AJ950" s="92" t="s">
        <v>924</v>
      </c>
      <c r="AK950" s="92" t="s">
        <v>533</v>
      </c>
      <c r="AL950" s="92" t="s">
        <v>184</v>
      </c>
      <c r="AM950" s="92" t="s">
        <v>227</v>
      </c>
      <c r="AQ950" s="6" t="s">
        <v>187</v>
      </c>
      <c r="AR950" s="92" t="s">
        <v>186</v>
      </c>
      <c r="AS950" s="92" t="s">
        <v>186</v>
      </c>
      <c r="AT950" s="92" t="s">
        <v>186</v>
      </c>
      <c r="AU950" s="92" t="s">
        <v>187</v>
      </c>
      <c r="AV950" s="92" t="s">
        <v>186</v>
      </c>
      <c r="AW950" s="92" t="s">
        <v>187</v>
      </c>
      <c r="AX950" s="92" t="s">
        <v>186</v>
      </c>
      <c r="AY950" s="92" t="s">
        <v>186</v>
      </c>
      <c r="BC950" s="60">
        <v>87745486019</v>
      </c>
      <c r="BD950" s="93">
        <v>82181448392</v>
      </c>
      <c r="BE950" s="93">
        <v>82145808629</v>
      </c>
      <c r="BF950" s="93">
        <v>81246577878</v>
      </c>
      <c r="BG950" s="93">
        <v>87880292139</v>
      </c>
      <c r="BH950" s="93">
        <v>82289316968</v>
      </c>
      <c r="BI950" s="93">
        <v>83145052939</v>
      </c>
      <c r="BJ950" s="93">
        <v>81398422298</v>
      </c>
      <c r="BK950" s="93">
        <v>895405944030</v>
      </c>
      <c r="BP950" s="18" t="s">
        <v>11368</v>
      </c>
      <c r="BQ950" s="37">
        <v>45321</v>
      </c>
      <c r="BR950" s="8">
        <f t="shared" si="3"/>
        <v>9</v>
      </c>
    </row>
    <row r="951" spans="1:70" ht="14">
      <c r="A951" s="4" t="str">
        <v>Reguler Periode ke-119 XV.B.1</v>
      </c>
      <c r="B951" s="4" t="s">
        <v>9561</v>
      </c>
      <c r="C951" s="4" t="s">
        <v>4110</v>
      </c>
      <c r="D951" s="4" t="s">
        <v>11369</v>
      </c>
      <c r="E951" s="4" t="s">
        <v>11370</v>
      </c>
      <c r="F951" s="4" t="s">
        <v>11242</v>
      </c>
      <c r="G951" s="6" t="s">
        <v>11371</v>
      </c>
      <c r="H951" s="92" t="s">
        <v>11372</v>
      </c>
      <c r="I951" s="92" t="s">
        <v>11373</v>
      </c>
      <c r="J951" s="92" t="s">
        <v>11374</v>
      </c>
      <c r="K951" s="92" t="s">
        <v>11375</v>
      </c>
      <c r="L951" s="92" t="s">
        <v>11376</v>
      </c>
      <c r="M951" s="92" t="s">
        <v>11377</v>
      </c>
      <c r="N951" s="92" t="s">
        <v>11378</v>
      </c>
      <c r="O951" s="92" t="s">
        <v>11379</v>
      </c>
      <c r="S951" s="6">
        <v>2000004050</v>
      </c>
      <c r="T951" s="92">
        <v>2000010081</v>
      </c>
      <c r="U951" s="92">
        <v>2000011284</v>
      </c>
      <c r="V951" s="92">
        <v>2000017008</v>
      </c>
      <c r="W951" s="92">
        <v>2000018228</v>
      </c>
      <c r="X951" s="92">
        <v>2000024027</v>
      </c>
      <c r="Y951" s="92">
        <v>2000029203</v>
      </c>
      <c r="Z951" s="92">
        <v>2000030025</v>
      </c>
      <c r="AA951" s="92">
        <v>2000036032</v>
      </c>
      <c r="AE951" s="6" t="s">
        <v>201</v>
      </c>
      <c r="AF951" s="92" t="s">
        <v>532</v>
      </c>
      <c r="AG951" s="92" t="s">
        <v>182</v>
      </c>
      <c r="AH951" s="92" t="s">
        <v>183</v>
      </c>
      <c r="AI951" s="92" t="s">
        <v>179</v>
      </c>
      <c r="AJ951" s="92" t="s">
        <v>924</v>
      </c>
      <c r="AK951" s="92" t="s">
        <v>533</v>
      </c>
      <c r="AL951" s="92" t="s">
        <v>184</v>
      </c>
      <c r="AM951" s="92" t="s">
        <v>227</v>
      </c>
      <c r="AQ951" s="6" t="s">
        <v>186</v>
      </c>
      <c r="AR951" s="92" t="s">
        <v>186</v>
      </c>
      <c r="AS951" s="92" t="s">
        <v>187</v>
      </c>
      <c r="AT951" s="92" t="s">
        <v>186</v>
      </c>
      <c r="AU951" s="92" t="s">
        <v>187</v>
      </c>
      <c r="AV951" s="92" t="s">
        <v>186</v>
      </c>
      <c r="AW951" s="92" t="s">
        <v>187</v>
      </c>
      <c r="AX951" s="92" t="s">
        <v>186</v>
      </c>
      <c r="AY951" s="92" t="s">
        <v>186</v>
      </c>
      <c r="BC951" s="60">
        <v>81298503642</v>
      </c>
      <c r="BD951" s="93">
        <v>895381467481</v>
      </c>
      <c r="BE951" s="93">
        <v>81261148106</v>
      </c>
      <c r="BF951" s="93">
        <v>82142027130</v>
      </c>
      <c r="BG951" s="93">
        <v>82149316398</v>
      </c>
      <c r="BH951" s="93">
        <v>81225961869</v>
      </c>
      <c r="BI951" s="93">
        <v>81326962530</v>
      </c>
      <c r="BJ951" s="93">
        <v>81315519083</v>
      </c>
      <c r="BK951" s="93">
        <v>81343116441</v>
      </c>
      <c r="BP951" s="18" t="s">
        <v>11380</v>
      </c>
      <c r="BQ951" s="37">
        <v>45321</v>
      </c>
      <c r="BR951" s="8">
        <f t="shared" si="3"/>
        <v>9</v>
      </c>
    </row>
    <row r="952" spans="1:70" ht="14">
      <c r="A952" s="4" t="str">
        <v>Reguler Periode ke-119 XV.B.2</v>
      </c>
      <c r="B952" s="4" t="s">
        <v>9561</v>
      </c>
      <c r="C952" s="4" t="s">
        <v>4123</v>
      </c>
      <c r="D952" s="4" t="s">
        <v>11369</v>
      </c>
      <c r="E952" s="4" t="s">
        <v>4063</v>
      </c>
      <c r="F952" s="4" t="s">
        <v>11242</v>
      </c>
      <c r="G952" s="6" t="s">
        <v>11381</v>
      </c>
      <c r="H952" s="92" t="s">
        <v>11382</v>
      </c>
      <c r="I952" s="92" t="s">
        <v>11383</v>
      </c>
      <c r="J952" s="92" t="s">
        <v>11384</v>
      </c>
      <c r="K952" s="92" t="s">
        <v>11385</v>
      </c>
      <c r="L952" s="92" t="s">
        <v>11386</v>
      </c>
      <c r="M952" s="92" t="s">
        <v>11387</v>
      </c>
      <c r="N952" s="92" t="s">
        <v>11388</v>
      </c>
      <c r="O952" s="92" t="s">
        <v>11389</v>
      </c>
      <c r="S952" s="6">
        <v>2000004049</v>
      </c>
      <c r="T952" s="92">
        <v>2000011023</v>
      </c>
      <c r="U952" s="92">
        <v>2000017056</v>
      </c>
      <c r="V952" s="92">
        <v>2000018301</v>
      </c>
      <c r="W952" s="92">
        <v>2000024189</v>
      </c>
      <c r="X952" s="92">
        <v>2000029202</v>
      </c>
      <c r="Y952" s="92">
        <v>2000030183</v>
      </c>
      <c r="Z952" s="92">
        <v>2000036130</v>
      </c>
      <c r="AA952" s="92">
        <v>2015010040</v>
      </c>
      <c r="AE952" s="6" t="s">
        <v>201</v>
      </c>
      <c r="AF952" s="92" t="s">
        <v>182</v>
      </c>
      <c r="AG952" s="92" t="s">
        <v>183</v>
      </c>
      <c r="AH952" s="92" t="s">
        <v>179</v>
      </c>
      <c r="AI952" s="92" t="s">
        <v>924</v>
      </c>
      <c r="AJ952" s="92" t="s">
        <v>533</v>
      </c>
      <c r="AK952" s="92" t="s">
        <v>184</v>
      </c>
      <c r="AL952" s="92" t="s">
        <v>227</v>
      </c>
      <c r="AM952" s="92" t="s">
        <v>532</v>
      </c>
      <c r="AQ952" s="6" t="s">
        <v>186</v>
      </c>
      <c r="AR952" s="92" t="s">
        <v>187</v>
      </c>
      <c r="AS952" s="92" t="s">
        <v>186</v>
      </c>
      <c r="AT952" s="92" t="s">
        <v>187</v>
      </c>
      <c r="AU952" s="92" t="s">
        <v>186</v>
      </c>
      <c r="AV952" s="92" t="s">
        <v>187</v>
      </c>
      <c r="AW952" s="92" t="s">
        <v>186</v>
      </c>
      <c r="AX952" s="92" t="s">
        <v>186</v>
      </c>
      <c r="AY952" s="92" t="s">
        <v>186</v>
      </c>
      <c r="BC952" s="60">
        <v>82316513090</v>
      </c>
      <c r="BD952" s="93">
        <v>82283910365</v>
      </c>
      <c r="BE952" s="93">
        <v>82232343047</v>
      </c>
      <c r="BF952" s="93">
        <v>82161413240</v>
      </c>
      <c r="BG952" s="93">
        <v>81258633427</v>
      </c>
      <c r="BH952" s="93">
        <v>87837264564</v>
      </c>
      <c r="BI952" s="93">
        <v>895342766353</v>
      </c>
      <c r="BJ952" s="93">
        <v>81279236149</v>
      </c>
      <c r="BK952" s="93">
        <v>8562589528</v>
      </c>
      <c r="BP952" s="35" t="s">
        <v>11390</v>
      </c>
      <c r="BQ952" s="37">
        <v>45321</v>
      </c>
      <c r="BR952" s="8">
        <f t="shared" si="3"/>
        <v>9</v>
      </c>
    </row>
    <row r="953" spans="1:70" ht="14">
      <c r="A953" s="4" t="str">
        <v>Reguler Periode ke-119 XV.B.3</v>
      </c>
      <c r="B953" s="4" t="s">
        <v>9561</v>
      </c>
      <c r="C953" s="4" t="s">
        <v>4135</v>
      </c>
      <c r="D953" s="4" t="s">
        <v>11369</v>
      </c>
      <c r="E953" s="4" t="s">
        <v>4099</v>
      </c>
      <c r="F953" s="4" t="s">
        <v>11242</v>
      </c>
      <c r="G953" s="6" t="s">
        <v>11391</v>
      </c>
      <c r="H953" s="92" t="s">
        <v>11392</v>
      </c>
      <c r="I953" s="92" t="s">
        <v>11393</v>
      </c>
      <c r="J953" s="92" t="s">
        <v>11394</v>
      </c>
      <c r="K953" s="92" t="s">
        <v>11395</v>
      </c>
      <c r="L953" s="92" t="s">
        <v>11396</v>
      </c>
      <c r="M953" s="92" t="s">
        <v>11397</v>
      </c>
      <c r="N953" s="92" t="s">
        <v>11398</v>
      </c>
      <c r="O953" s="92" t="s">
        <v>11399</v>
      </c>
      <c r="S953" s="6">
        <v>2000004047</v>
      </c>
      <c r="T953" s="92">
        <v>2000010100</v>
      </c>
      <c r="U953" s="92">
        <v>2000011086</v>
      </c>
      <c r="V953" s="92">
        <v>2000018083</v>
      </c>
      <c r="W953" s="92">
        <v>2000018392</v>
      </c>
      <c r="X953" s="92">
        <v>2000024193</v>
      </c>
      <c r="Y953" s="92">
        <v>2000029079</v>
      </c>
      <c r="Z953" s="92">
        <v>2000030175</v>
      </c>
      <c r="AA953" s="92">
        <v>2000036006</v>
      </c>
      <c r="AE953" s="6" t="s">
        <v>201</v>
      </c>
      <c r="AF953" s="92" t="s">
        <v>532</v>
      </c>
      <c r="AG953" s="92" t="s">
        <v>182</v>
      </c>
      <c r="AH953" s="92" t="s">
        <v>179</v>
      </c>
      <c r="AI953" s="92" t="s">
        <v>179</v>
      </c>
      <c r="AJ953" s="92" t="s">
        <v>924</v>
      </c>
      <c r="AK953" s="92" t="s">
        <v>533</v>
      </c>
      <c r="AL953" s="92" t="s">
        <v>184</v>
      </c>
      <c r="AM953" s="92" t="s">
        <v>227</v>
      </c>
      <c r="AQ953" s="6" t="s">
        <v>186</v>
      </c>
      <c r="AR953" s="92" t="s">
        <v>186</v>
      </c>
      <c r="AS953" s="92" t="s">
        <v>187</v>
      </c>
      <c r="AT953" s="92" t="s">
        <v>186</v>
      </c>
      <c r="AU953" s="92" t="s">
        <v>187</v>
      </c>
      <c r="AV953" s="92" t="s">
        <v>186</v>
      </c>
      <c r="AW953" s="92" t="s">
        <v>187</v>
      </c>
      <c r="AX953" s="92" t="s">
        <v>186</v>
      </c>
      <c r="AY953" s="92" t="s">
        <v>186</v>
      </c>
      <c r="BC953" s="60">
        <v>85743706914</v>
      </c>
      <c r="BD953" s="93" t="s">
        <v>11400</v>
      </c>
      <c r="BE953" s="93">
        <v>82297882033</v>
      </c>
      <c r="BF953" s="93">
        <v>81253330229</v>
      </c>
      <c r="BG953" s="93">
        <v>895606709641</v>
      </c>
      <c r="BH953" s="93">
        <v>85214922403</v>
      </c>
      <c r="BI953" s="93">
        <v>81315118744</v>
      </c>
      <c r="BJ953" s="93">
        <v>85751097003</v>
      </c>
      <c r="BK953" s="93">
        <v>85789464034</v>
      </c>
      <c r="BP953" s="18" t="s">
        <v>11401</v>
      </c>
      <c r="BQ953" s="37">
        <v>45321</v>
      </c>
      <c r="BR953" s="8">
        <f t="shared" si="3"/>
        <v>9</v>
      </c>
    </row>
    <row r="954" spans="1:70" ht="14">
      <c r="A954" s="4" t="str">
        <v>Reguler Periode ke-119 XV.C.1</v>
      </c>
      <c r="B954" s="4" t="s">
        <v>9561</v>
      </c>
      <c r="C954" s="4" t="s">
        <v>4147</v>
      </c>
      <c r="D954" s="4" t="s">
        <v>11402</v>
      </c>
      <c r="E954" s="4" t="s">
        <v>4087</v>
      </c>
      <c r="F954" s="4" t="s">
        <v>11242</v>
      </c>
      <c r="G954" s="6" t="s">
        <v>11403</v>
      </c>
      <c r="H954" s="92" t="s">
        <v>11404</v>
      </c>
      <c r="I954" s="92" t="s">
        <v>11405</v>
      </c>
      <c r="J954" s="92" t="s">
        <v>11406</v>
      </c>
      <c r="K954" s="92" t="s">
        <v>11407</v>
      </c>
      <c r="L954" s="92" t="s">
        <v>11408</v>
      </c>
      <c r="M954" s="92" t="s">
        <v>11409</v>
      </c>
      <c r="N954" s="92" t="s">
        <v>11410</v>
      </c>
      <c r="O954" s="92" t="s">
        <v>11411</v>
      </c>
      <c r="S954" s="6">
        <v>1900024201</v>
      </c>
      <c r="T954" s="92">
        <v>1900030357</v>
      </c>
      <c r="U954" s="92">
        <v>2000004031</v>
      </c>
      <c r="V954" s="92">
        <v>2000010019</v>
      </c>
      <c r="W954" s="92">
        <v>2000011344</v>
      </c>
      <c r="X954" s="92">
        <v>2000018018</v>
      </c>
      <c r="Y954" s="92">
        <v>2000018125</v>
      </c>
      <c r="Z954" s="92">
        <v>2000029121</v>
      </c>
      <c r="AA954" s="92">
        <v>2000036061</v>
      </c>
      <c r="AE954" s="6" t="s">
        <v>924</v>
      </c>
      <c r="AF954" s="92" t="s">
        <v>184</v>
      </c>
      <c r="AG954" s="92" t="s">
        <v>201</v>
      </c>
      <c r="AH954" s="92" t="s">
        <v>532</v>
      </c>
      <c r="AI954" s="92" t="s">
        <v>182</v>
      </c>
      <c r="AJ954" s="92" t="s">
        <v>179</v>
      </c>
      <c r="AK954" s="92" t="s">
        <v>179</v>
      </c>
      <c r="AL954" s="92" t="s">
        <v>533</v>
      </c>
      <c r="AM954" s="92" t="s">
        <v>227</v>
      </c>
      <c r="AQ954" s="6" t="s">
        <v>186</v>
      </c>
      <c r="AR954" s="92" t="s">
        <v>186</v>
      </c>
      <c r="AS954" s="92" t="s">
        <v>186</v>
      </c>
      <c r="AT954" s="92" t="s">
        <v>186</v>
      </c>
      <c r="AU954" s="92" t="s">
        <v>187</v>
      </c>
      <c r="AV954" s="92" t="s">
        <v>186</v>
      </c>
      <c r="AW954" s="92" t="s">
        <v>187</v>
      </c>
      <c r="AX954" s="92" t="s">
        <v>187</v>
      </c>
      <c r="AY954" s="92" t="s">
        <v>186</v>
      </c>
      <c r="BC954" s="60">
        <v>85743724925</v>
      </c>
      <c r="BD954" s="93">
        <v>82148443005</v>
      </c>
      <c r="BE954" s="93">
        <v>81329528833</v>
      </c>
      <c r="BF954" s="93">
        <v>82225033683</v>
      </c>
      <c r="BG954" s="93">
        <v>87730960770</v>
      </c>
      <c r="BH954" s="93">
        <v>82136626977</v>
      </c>
      <c r="BI954" s="93">
        <v>82181763961</v>
      </c>
      <c r="BJ954" s="93">
        <v>81904951103</v>
      </c>
      <c r="BK954" s="93">
        <v>82133005862</v>
      </c>
      <c r="BP954" s="18" t="s">
        <v>11412</v>
      </c>
      <c r="BQ954" s="37">
        <v>45321</v>
      </c>
      <c r="BR954" s="8">
        <f t="shared" si="3"/>
        <v>9</v>
      </c>
    </row>
    <row r="955" spans="1:70" ht="14">
      <c r="A955" s="4" t="str">
        <v>Reguler Periode ke-119 XV.C.2</v>
      </c>
      <c r="B955" s="4" t="s">
        <v>9561</v>
      </c>
      <c r="C955" s="4" t="s">
        <v>4159</v>
      </c>
      <c r="D955" s="4" t="s">
        <v>11402</v>
      </c>
      <c r="E955" s="4" t="s">
        <v>11413</v>
      </c>
      <c r="F955" s="4" t="s">
        <v>11242</v>
      </c>
      <c r="G955" s="6" t="s">
        <v>11414</v>
      </c>
      <c r="H955" s="92" t="s">
        <v>11415</v>
      </c>
      <c r="I955" s="92" t="s">
        <v>11416</v>
      </c>
      <c r="J955" s="92" t="s">
        <v>11417</v>
      </c>
      <c r="K955" s="92" t="s">
        <v>11418</v>
      </c>
      <c r="L955" s="92" t="s">
        <v>11419</v>
      </c>
      <c r="M955" s="92" t="s">
        <v>11420</v>
      </c>
      <c r="N955" s="92" t="s">
        <v>11421</v>
      </c>
      <c r="O955" s="92" t="s">
        <v>11422</v>
      </c>
      <c r="S955" s="6">
        <v>2000004030</v>
      </c>
      <c r="T955" s="92">
        <v>2000010024</v>
      </c>
      <c r="U955" s="92">
        <v>2000011140</v>
      </c>
      <c r="V955" s="92">
        <v>2000018159</v>
      </c>
      <c r="W955" s="92">
        <v>2000018431</v>
      </c>
      <c r="X955" s="92">
        <v>2000024121</v>
      </c>
      <c r="Y955" s="92">
        <v>2000029186</v>
      </c>
      <c r="Z955" s="92">
        <v>2000030129</v>
      </c>
      <c r="AA955" s="92">
        <v>2000036117</v>
      </c>
      <c r="AE955" s="6" t="s">
        <v>201</v>
      </c>
      <c r="AF955" s="92" t="s">
        <v>532</v>
      </c>
      <c r="AG955" s="92" t="s">
        <v>182</v>
      </c>
      <c r="AH955" s="92" t="s">
        <v>179</v>
      </c>
      <c r="AI955" s="92" t="s">
        <v>179</v>
      </c>
      <c r="AJ955" s="92" t="s">
        <v>924</v>
      </c>
      <c r="AK955" s="92" t="s">
        <v>533</v>
      </c>
      <c r="AL955" s="92" t="s">
        <v>184</v>
      </c>
      <c r="AM955" s="92" t="s">
        <v>227</v>
      </c>
      <c r="AQ955" s="6" t="s">
        <v>186</v>
      </c>
      <c r="AR955" s="92" t="s">
        <v>186</v>
      </c>
      <c r="AS955" s="92" t="s">
        <v>187</v>
      </c>
      <c r="AT955" s="92" t="s">
        <v>187</v>
      </c>
      <c r="AU955" s="92" t="s">
        <v>186</v>
      </c>
      <c r="AV955" s="92" t="s">
        <v>186</v>
      </c>
      <c r="AW955" s="92" t="s">
        <v>187</v>
      </c>
      <c r="AX955" s="92" t="s">
        <v>186</v>
      </c>
      <c r="AY955" s="92" t="s">
        <v>186</v>
      </c>
      <c r="BC955" s="60">
        <v>8972867594</v>
      </c>
      <c r="BD955" s="93">
        <v>85342568828</v>
      </c>
      <c r="BE955" s="93">
        <v>81289043396</v>
      </c>
      <c r="BF955" s="93">
        <v>85754163842</v>
      </c>
      <c r="BG955" s="93">
        <v>89650921850</v>
      </c>
      <c r="BH955" s="93">
        <v>88221345016</v>
      </c>
      <c r="BI955" s="93">
        <v>87797993820</v>
      </c>
      <c r="BJ955" s="93">
        <v>895414321862</v>
      </c>
      <c r="BK955" s="93">
        <v>85156519152</v>
      </c>
      <c r="BP955" s="35" t="s">
        <v>11423</v>
      </c>
      <c r="BQ955" s="37">
        <v>45321</v>
      </c>
      <c r="BR955" s="8">
        <f t="shared" si="3"/>
        <v>9</v>
      </c>
    </row>
    <row r="956" spans="1:70" ht="14">
      <c r="A956" s="4" t="str">
        <v>Reguler Periode ke-119 XV.C.3</v>
      </c>
      <c r="B956" s="4" t="s">
        <v>9561</v>
      </c>
      <c r="C956" s="4" t="s">
        <v>4171</v>
      </c>
      <c r="D956" s="4" t="s">
        <v>11402</v>
      </c>
      <c r="E956" s="4" t="s">
        <v>4038</v>
      </c>
      <c r="F956" s="4" t="s">
        <v>11242</v>
      </c>
      <c r="G956" s="6" t="s">
        <v>11424</v>
      </c>
      <c r="H956" s="92" t="s">
        <v>11425</v>
      </c>
      <c r="I956" s="92" t="s">
        <v>11426</v>
      </c>
      <c r="J956" s="92" t="s">
        <v>11427</v>
      </c>
      <c r="K956" s="92" t="s">
        <v>11428</v>
      </c>
      <c r="L956" s="92" t="s">
        <v>11429</v>
      </c>
      <c r="M956" s="92" t="s">
        <v>11430</v>
      </c>
      <c r="N956" s="92" t="s">
        <v>11431</v>
      </c>
      <c r="O956" s="92" t="s">
        <v>11432</v>
      </c>
      <c r="S956" s="6">
        <v>2000004053</v>
      </c>
      <c r="T956" s="92">
        <v>2000010036</v>
      </c>
      <c r="U956" s="92">
        <v>2000011081</v>
      </c>
      <c r="V956" s="92">
        <v>2000018095</v>
      </c>
      <c r="W956" s="92">
        <v>2000018337</v>
      </c>
      <c r="X956" s="92">
        <v>2000024011</v>
      </c>
      <c r="Y956" s="92">
        <v>2000029092</v>
      </c>
      <c r="Z956" s="92">
        <v>2000030073</v>
      </c>
      <c r="AA956" s="92">
        <v>2000036124</v>
      </c>
      <c r="AE956" s="6" t="s">
        <v>201</v>
      </c>
      <c r="AF956" s="92" t="s">
        <v>532</v>
      </c>
      <c r="AG956" s="92" t="s">
        <v>182</v>
      </c>
      <c r="AH956" s="92" t="s">
        <v>179</v>
      </c>
      <c r="AI956" s="92" t="s">
        <v>179</v>
      </c>
      <c r="AJ956" s="92" t="s">
        <v>924</v>
      </c>
      <c r="AK956" s="92" t="s">
        <v>533</v>
      </c>
      <c r="AL956" s="92" t="s">
        <v>184</v>
      </c>
      <c r="AM956" s="92" t="s">
        <v>227</v>
      </c>
      <c r="AQ956" s="6" t="s">
        <v>186</v>
      </c>
      <c r="AR956" s="92" t="s">
        <v>186</v>
      </c>
      <c r="AS956" s="92" t="s">
        <v>187</v>
      </c>
      <c r="AT956" s="92" t="s">
        <v>186</v>
      </c>
      <c r="AU956" s="92" t="s">
        <v>187</v>
      </c>
      <c r="AV956" s="92" t="s">
        <v>186</v>
      </c>
      <c r="AW956" s="92" t="s">
        <v>187</v>
      </c>
      <c r="AX956" s="92" t="s">
        <v>186</v>
      </c>
      <c r="AY956" s="92" t="s">
        <v>186</v>
      </c>
      <c r="BC956" s="60">
        <v>817262969</v>
      </c>
      <c r="BD956" s="93">
        <v>8994154570</v>
      </c>
      <c r="BE956" s="93">
        <v>87831760590</v>
      </c>
      <c r="BF956" s="93">
        <v>85298567018</v>
      </c>
      <c r="BG956" s="93">
        <v>85842163807</v>
      </c>
      <c r="BH956" s="93">
        <v>81328116746</v>
      </c>
      <c r="BI956" s="93">
        <v>85801571238</v>
      </c>
      <c r="BJ956" s="93">
        <v>89601431779</v>
      </c>
      <c r="BK956" s="93">
        <v>87838554708</v>
      </c>
      <c r="BP956" s="18" t="s">
        <v>11433</v>
      </c>
      <c r="BQ956" s="37">
        <v>45321</v>
      </c>
      <c r="BR956" s="8">
        <f t="shared" si="3"/>
        <v>9</v>
      </c>
    </row>
    <row r="957" spans="1:70" ht="14">
      <c r="A957" s="4" t="str">
        <v>Reguler Periode ke-119 XV.D.1</v>
      </c>
      <c r="B957" s="4" t="s">
        <v>9561</v>
      </c>
      <c r="C957" s="4" t="s">
        <v>4183</v>
      </c>
      <c r="D957" s="4" t="s">
        <v>11434</v>
      </c>
      <c r="E957" s="4" t="s">
        <v>11435</v>
      </c>
      <c r="F957" s="4" t="s">
        <v>11242</v>
      </c>
      <c r="G957" s="6" t="s">
        <v>11436</v>
      </c>
      <c r="H957" s="92" t="s">
        <v>11437</v>
      </c>
      <c r="I957" s="92" t="s">
        <v>11438</v>
      </c>
      <c r="J957" s="92" t="s">
        <v>11439</v>
      </c>
      <c r="K957" s="92" t="s">
        <v>11440</v>
      </c>
      <c r="L957" s="92" t="s">
        <v>11441</v>
      </c>
      <c r="M957" s="92" t="s">
        <v>11442</v>
      </c>
      <c r="N957" s="92" t="s">
        <v>11443</v>
      </c>
      <c r="O957" s="92" t="s">
        <v>11444</v>
      </c>
      <c r="S957" s="6">
        <v>2000004103</v>
      </c>
      <c r="T957" s="92">
        <v>2000010069</v>
      </c>
      <c r="U957" s="92">
        <v>2000011001</v>
      </c>
      <c r="V957" s="92">
        <v>2000018053</v>
      </c>
      <c r="W957" s="92">
        <v>2000018407</v>
      </c>
      <c r="X957" s="92">
        <v>2000024361</v>
      </c>
      <c r="Y957" s="92">
        <v>2000029190</v>
      </c>
      <c r="Z957" s="92">
        <v>2000030062</v>
      </c>
      <c r="AA957" s="92">
        <v>2000036105</v>
      </c>
      <c r="AE957" s="6" t="s">
        <v>201</v>
      </c>
      <c r="AF957" s="92" t="s">
        <v>532</v>
      </c>
      <c r="AG957" s="92" t="s">
        <v>182</v>
      </c>
      <c r="AH957" s="92" t="s">
        <v>179</v>
      </c>
      <c r="AI957" s="92" t="s">
        <v>179</v>
      </c>
      <c r="AJ957" s="92" t="s">
        <v>924</v>
      </c>
      <c r="AK957" s="92" t="s">
        <v>533</v>
      </c>
      <c r="AL957" s="92" t="s">
        <v>184</v>
      </c>
      <c r="AM957" s="92" t="s">
        <v>227</v>
      </c>
      <c r="AQ957" s="6" t="s">
        <v>186</v>
      </c>
      <c r="AR957" s="92" t="s">
        <v>186</v>
      </c>
      <c r="AS957" s="92" t="s">
        <v>187</v>
      </c>
      <c r="AT957" s="92" t="s">
        <v>187</v>
      </c>
      <c r="AU957" s="92" t="s">
        <v>186</v>
      </c>
      <c r="AV957" s="92" t="s">
        <v>186</v>
      </c>
      <c r="AW957" s="92" t="s">
        <v>187</v>
      </c>
      <c r="AX957" s="92" t="s">
        <v>186</v>
      </c>
      <c r="AY957" s="92" t="s">
        <v>186</v>
      </c>
      <c r="BC957" s="60">
        <v>85800721620</v>
      </c>
      <c r="BD957" s="93">
        <v>83867672801</v>
      </c>
      <c r="BE957" s="93">
        <v>81229968691</v>
      </c>
      <c r="BF957" s="93">
        <v>82211914258</v>
      </c>
      <c r="BG957" s="93">
        <v>85162652002</v>
      </c>
      <c r="BH957" s="93">
        <v>859006440</v>
      </c>
      <c r="BI957" s="93">
        <v>81287603539</v>
      </c>
      <c r="BJ957" s="93">
        <v>85712802040</v>
      </c>
      <c r="BK957" s="93">
        <v>85158610094</v>
      </c>
      <c r="BP957" s="18" t="s">
        <v>11445</v>
      </c>
      <c r="BQ957" s="37">
        <v>45321</v>
      </c>
      <c r="BR957" s="8">
        <f t="shared" si="3"/>
        <v>9</v>
      </c>
    </row>
    <row r="958" spans="1:70" ht="14">
      <c r="A958" s="4" t="str">
        <v>Reguler Periode ke-119 XV.D.2</v>
      </c>
      <c r="B958" s="4" t="s">
        <v>9561</v>
      </c>
      <c r="C958" s="4" t="s">
        <v>4197</v>
      </c>
      <c r="D958" s="4" t="s">
        <v>11434</v>
      </c>
      <c r="E958" s="4" t="s">
        <v>11446</v>
      </c>
      <c r="F958" s="4" t="s">
        <v>11242</v>
      </c>
      <c r="G958" s="6" t="s">
        <v>11447</v>
      </c>
      <c r="H958" s="92" t="s">
        <v>11448</v>
      </c>
      <c r="I958" s="92" t="s">
        <v>11449</v>
      </c>
      <c r="J958" s="92" t="s">
        <v>11450</v>
      </c>
      <c r="K958" s="92" t="s">
        <v>11451</v>
      </c>
      <c r="L958" s="92" t="s">
        <v>11452</v>
      </c>
      <c r="M958" s="92" t="s">
        <v>11453</v>
      </c>
      <c r="N958" s="92" t="s">
        <v>11454</v>
      </c>
      <c r="O958" s="92" t="s">
        <v>11455</v>
      </c>
      <c r="S958" s="6">
        <v>1800018175</v>
      </c>
      <c r="T958" s="92">
        <v>2000004068</v>
      </c>
      <c r="U958" s="92">
        <v>2000010028</v>
      </c>
      <c r="V958" s="92">
        <v>2000011172</v>
      </c>
      <c r="W958" s="92">
        <v>2000018328</v>
      </c>
      <c r="X958" s="92">
        <v>2000024165</v>
      </c>
      <c r="Y958" s="92">
        <v>2000029077</v>
      </c>
      <c r="Z958" s="92">
        <v>2000030040</v>
      </c>
      <c r="AA958" s="92">
        <v>2000036059</v>
      </c>
      <c r="AE958" s="6" t="s">
        <v>179</v>
      </c>
      <c r="AF958" s="92" t="s">
        <v>201</v>
      </c>
      <c r="AG958" s="92" t="s">
        <v>532</v>
      </c>
      <c r="AH958" s="92" t="s">
        <v>182</v>
      </c>
      <c r="AI958" s="92" t="s">
        <v>179</v>
      </c>
      <c r="AJ958" s="92" t="s">
        <v>924</v>
      </c>
      <c r="AK958" s="92" t="s">
        <v>533</v>
      </c>
      <c r="AL958" s="92" t="s">
        <v>184</v>
      </c>
      <c r="AM958" s="92" t="s">
        <v>227</v>
      </c>
      <c r="AQ958" s="6" t="s">
        <v>187</v>
      </c>
      <c r="AR958" s="92" t="s">
        <v>186</v>
      </c>
      <c r="AS958" s="92" t="s">
        <v>186</v>
      </c>
      <c r="AT958" s="92" t="s">
        <v>187</v>
      </c>
      <c r="AU958" s="92" t="s">
        <v>186</v>
      </c>
      <c r="AV958" s="92" t="s">
        <v>186</v>
      </c>
      <c r="AW958" s="92" t="s">
        <v>187</v>
      </c>
      <c r="AX958" s="92" t="s">
        <v>186</v>
      </c>
      <c r="AY958" s="92" t="s">
        <v>186</v>
      </c>
      <c r="BC958" s="60">
        <v>82185447096</v>
      </c>
      <c r="BD958" s="93">
        <v>85713037199</v>
      </c>
      <c r="BE958" s="93">
        <v>81261774353</v>
      </c>
      <c r="BF958" s="93">
        <v>85789031857</v>
      </c>
      <c r="BG958" s="93">
        <v>85244770855</v>
      </c>
      <c r="BH958" s="93">
        <v>82281174986</v>
      </c>
      <c r="BI958" s="93">
        <v>8979537098</v>
      </c>
      <c r="BJ958" s="93">
        <v>89518722795</v>
      </c>
      <c r="BK958" s="93">
        <v>85866431523</v>
      </c>
      <c r="BP958" s="18" t="s">
        <v>11456</v>
      </c>
      <c r="BQ958" s="37">
        <v>45321</v>
      </c>
      <c r="BR958" s="8">
        <f t="shared" si="3"/>
        <v>9</v>
      </c>
    </row>
    <row r="959" spans="1:70" ht="14">
      <c r="A959" s="4" t="str">
        <v>Reguler Periode ke-119 XV.D.3</v>
      </c>
      <c r="B959" s="4" t="s">
        <v>9561</v>
      </c>
      <c r="C959" s="4" t="s">
        <v>4210</v>
      </c>
      <c r="D959" s="4" t="s">
        <v>11434</v>
      </c>
      <c r="E959" s="4" t="s">
        <v>4397</v>
      </c>
      <c r="F959" s="4" t="s">
        <v>11242</v>
      </c>
      <c r="G959" s="6" t="s">
        <v>11457</v>
      </c>
      <c r="H959" s="92" t="s">
        <v>11458</v>
      </c>
      <c r="I959" s="92" t="s">
        <v>11459</v>
      </c>
      <c r="J959" s="92" t="s">
        <v>11460</v>
      </c>
      <c r="K959" s="92" t="s">
        <v>11461</v>
      </c>
      <c r="L959" s="92" t="s">
        <v>11462</v>
      </c>
      <c r="M959" s="92" t="s">
        <v>11463</v>
      </c>
      <c r="N959" s="92" t="s">
        <v>11464</v>
      </c>
      <c r="O959" s="92" t="s">
        <v>11465</v>
      </c>
      <c r="S959" s="6">
        <v>1700018194</v>
      </c>
      <c r="T959" s="92">
        <v>2000004075</v>
      </c>
      <c r="U959" s="92">
        <v>2000010102</v>
      </c>
      <c r="V959" s="92">
        <v>2000011307</v>
      </c>
      <c r="W959" s="92">
        <v>2000018133</v>
      </c>
      <c r="X959" s="92">
        <v>2000024273</v>
      </c>
      <c r="Y959" s="92">
        <v>2000029066</v>
      </c>
      <c r="Z959" s="92">
        <v>2000030139</v>
      </c>
      <c r="AA959" s="92">
        <v>2000036086</v>
      </c>
      <c r="AE959" s="6" t="s">
        <v>179</v>
      </c>
      <c r="AF959" s="92" t="s">
        <v>201</v>
      </c>
      <c r="AG959" s="92" t="s">
        <v>532</v>
      </c>
      <c r="AH959" s="92" t="s">
        <v>182</v>
      </c>
      <c r="AI959" s="92" t="s">
        <v>179</v>
      </c>
      <c r="AJ959" s="92" t="s">
        <v>924</v>
      </c>
      <c r="AK959" s="92" t="s">
        <v>533</v>
      </c>
      <c r="AL959" s="92" t="s">
        <v>184</v>
      </c>
      <c r="AM959" s="92" t="s">
        <v>227</v>
      </c>
      <c r="AQ959" s="6" t="s">
        <v>187</v>
      </c>
      <c r="AR959" s="92" t="s">
        <v>186</v>
      </c>
      <c r="AS959" s="92" t="s">
        <v>186</v>
      </c>
      <c r="AT959" s="92" t="s">
        <v>187</v>
      </c>
      <c r="AU959" s="92" t="s">
        <v>186</v>
      </c>
      <c r="AV959" s="92" t="s">
        <v>186</v>
      </c>
      <c r="AW959" s="92" t="s">
        <v>187</v>
      </c>
      <c r="AX959" s="92" t="s">
        <v>186</v>
      </c>
      <c r="AY959" s="92" t="s">
        <v>186</v>
      </c>
      <c r="BC959" s="60">
        <v>81328771609</v>
      </c>
      <c r="BD959" s="93">
        <v>85591449623</v>
      </c>
      <c r="BE959" s="93">
        <v>82133727831</v>
      </c>
      <c r="BF959" s="93">
        <v>82198097145</v>
      </c>
      <c r="BG959" s="93">
        <v>82335810484</v>
      </c>
      <c r="BH959" s="93">
        <v>895621884249</v>
      </c>
      <c r="BI959" s="93">
        <v>87711099016</v>
      </c>
      <c r="BJ959" s="93">
        <v>81236086325</v>
      </c>
      <c r="BK959" s="93">
        <v>85251825940</v>
      </c>
      <c r="BP959" s="18" t="s">
        <v>11466</v>
      </c>
      <c r="BQ959" s="37">
        <v>45321</v>
      </c>
      <c r="BR959" s="8">
        <f t="shared" si="3"/>
        <v>9</v>
      </c>
    </row>
    <row r="960" spans="1:70" ht="14">
      <c r="A960" s="4" t="str">
        <v>Reguler Periode ke-119 XVI.A.1</v>
      </c>
      <c r="B960" s="4" t="s">
        <v>9561</v>
      </c>
      <c r="C960" s="4" t="s">
        <v>4222</v>
      </c>
      <c r="D960" s="4" t="s">
        <v>11467</v>
      </c>
      <c r="E960" s="4" t="s">
        <v>4410</v>
      </c>
      <c r="F960" s="4" t="s">
        <v>11242</v>
      </c>
      <c r="G960" s="6" t="s">
        <v>11468</v>
      </c>
      <c r="H960" s="92" t="s">
        <v>11469</v>
      </c>
      <c r="I960" s="92" t="s">
        <v>11470</v>
      </c>
      <c r="J960" s="92" t="s">
        <v>11471</v>
      </c>
      <c r="K960" s="92" t="s">
        <v>11472</v>
      </c>
      <c r="L960" s="92" t="s">
        <v>11473</v>
      </c>
      <c r="M960" s="92" t="s">
        <v>11474</v>
      </c>
      <c r="N960" s="92" t="s">
        <v>11475</v>
      </c>
      <c r="O960" s="92" t="s">
        <v>11476</v>
      </c>
      <c r="S960" s="6">
        <v>2000004021</v>
      </c>
      <c r="T960" s="92">
        <v>2000010073</v>
      </c>
      <c r="U960" s="92">
        <v>2000011242</v>
      </c>
      <c r="V960" s="92">
        <v>2000018156</v>
      </c>
      <c r="W960" s="92">
        <v>2000018202</v>
      </c>
      <c r="X960" s="92">
        <v>2000024339</v>
      </c>
      <c r="Y960" s="92">
        <v>2000029050</v>
      </c>
      <c r="Z960" s="92">
        <v>2000030016</v>
      </c>
      <c r="AA960" s="92">
        <v>2000036029</v>
      </c>
      <c r="AE960" s="6" t="s">
        <v>201</v>
      </c>
      <c r="AF960" s="92" t="s">
        <v>532</v>
      </c>
      <c r="AG960" s="92" t="s">
        <v>182</v>
      </c>
      <c r="AH960" s="92" t="s">
        <v>179</v>
      </c>
      <c r="AI960" s="92" t="s">
        <v>179</v>
      </c>
      <c r="AJ960" s="92" t="s">
        <v>924</v>
      </c>
      <c r="AK960" s="92" t="s">
        <v>533</v>
      </c>
      <c r="AL960" s="92" t="s">
        <v>184</v>
      </c>
      <c r="AM960" s="92" t="s">
        <v>227</v>
      </c>
      <c r="AQ960" s="6" t="s">
        <v>186</v>
      </c>
      <c r="AR960" s="92" t="s">
        <v>186</v>
      </c>
      <c r="AS960" s="92" t="s">
        <v>187</v>
      </c>
      <c r="AT960" s="92" t="s">
        <v>186</v>
      </c>
      <c r="AU960" s="92" t="s">
        <v>187</v>
      </c>
      <c r="AV960" s="92" t="s">
        <v>186</v>
      </c>
      <c r="AW960" s="92" t="s">
        <v>187</v>
      </c>
      <c r="AX960" s="92" t="s">
        <v>186</v>
      </c>
      <c r="AY960" s="92" t="s">
        <v>186</v>
      </c>
      <c r="BC960" s="60">
        <v>81229957912</v>
      </c>
      <c r="BD960" s="93">
        <v>85727371014</v>
      </c>
      <c r="BE960" s="93">
        <v>89648553874</v>
      </c>
      <c r="BF960" s="93">
        <v>81254563004</v>
      </c>
      <c r="BG960" s="93">
        <v>85726838944</v>
      </c>
      <c r="BH960" s="93">
        <v>88804074315</v>
      </c>
      <c r="BI960" s="93">
        <v>81392961551</v>
      </c>
      <c r="BJ960" s="93">
        <v>89632448246</v>
      </c>
      <c r="BK960" s="93">
        <v>81388666199</v>
      </c>
      <c r="BP960" s="18" t="s">
        <v>11477</v>
      </c>
      <c r="BQ960" s="37">
        <v>45321</v>
      </c>
      <c r="BR960" s="8">
        <f t="shared" si="3"/>
        <v>9</v>
      </c>
    </row>
    <row r="961" spans="1:70" ht="14">
      <c r="A961" s="4" t="str">
        <v>Reguler Periode ke-119 XVI.A.2</v>
      </c>
      <c r="B961" s="4" t="s">
        <v>9561</v>
      </c>
      <c r="C961" s="4" t="s">
        <v>4235</v>
      </c>
      <c r="D961" s="4" t="s">
        <v>11467</v>
      </c>
      <c r="E961" s="4" t="s">
        <v>4348</v>
      </c>
      <c r="F961" s="4" t="s">
        <v>11242</v>
      </c>
      <c r="G961" s="6" t="s">
        <v>11478</v>
      </c>
      <c r="H961" s="92" t="s">
        <v>11479</v>
      </c>
      <c r="I961" s="92" t="s">
        <v>11480</v>
      </c>
      <c r="J961" s="92" t="s">
        <v>11481</v>
      </c>
      <c r="K961" s="92" t="s">
        <v>11482</v>
      </c>
      <c r="L961" s="92" t="s">
        <v>11483</v>
      </c>
      <c r="M961" s="92" t="s">
        <v>11484</v>
      </c>
      <c r="N961" s="92" t="s">
        <v>11485</v>
      </c>
      <c r="O961" s="92" t="s">
        <v>11486</v>
      </c>
      <c r="S961" s="6">
        <v>2000004066</v>
      </c>
      <c r="T961" s="92">
        <v>2000010011</v>
      </c>
      <c r="U961" s="92">
        <v>2000011369</v>
      </c>
      <c r="V961" s="92">
        <v>2000018059</v>
      </c>
      <c r="W961" s="92">
        <v>2000018134</v>
      </c>
      <c r="X961" s="92">
        <v>2000024196</v>
      </c>
      <c r="Y961" s="92">
        <v>2000029083</v>
      </c>
      <c r="Z961" s="92">
        <v>2000030049</v>
      </c>
      <c r="AA961" s="92">
        <v>2000036001</v>
      </c>
      <c r="AE961" s="6" t="s">
        <v>201</v>
      </c>
      <c r="AF961" s="92" t="s">
        <v>532</v>
      </c>
      <c r="AG961" s="92" t="s">
        <v>182</v>
      </c>
      <c r="AH961" s="92" t="s">
        <v>179</v>
      </c>
      <c r="AI961" s="92" t="s">
        <v>179</v>
      </c>
      <c r="AJ961" s="92" t="s">
        <v>924</v>
      </c>
      <c r="AK961" s="92" t="s">
        <v>533</v>
      </c>
      <c r="AL961" s="92" t="s">
        <v>184</v>
      </c>
      <c r="AM961" s="92" t="s">
        <v>227</v>
      </c>
      <c r="AQ961" s="6" t="s">
        <v>186</v>
      </c>
      <c r="AR961" s="92" t="s">
        <v>186</v>
      </c>
      <c r="AS961" s="92" t="s">
        <v>187</v>
      </c>
      <c r="AT961" s="92" t="s">
        <v>186</v>
      </c>
      <c r="AU961" s="92" t="s">
        <v>187</v>
      </c>
      <c r="AV961" s="92" t="s">
        <v>186</v>
      </c>
      <c r="AW961" s="92" t="s">
        <v>187</v>
      </c>
      <c r="AX961" s="92" t="s">
        <v>186</v>
      </c>
      <c r="AY961" s="92" t="s">
        <v>186</v>
      </c>
      <c r="BC961" s="60">
        <v>81284671532</v>
      </c>
      <c r="BD961" s="93">
        <v>89525268010</v>
      </c>
      <c r="BE961" s="93">
        <v>89619463218</v>
      </c>
      <c r="BF961" s="93">
        <v>81225327586</v>
      </c>
      <c r="BG961" s="93">
        <v>85341615148</v>
      </c>
      <c r="BH961" s="93">
        <v>89527594723</v>
      </c>
      <c r="BI961" s="93">
        <v>88271807229</v>
      </c>
      <c r="BJ961" s="93">
        <v>85718597186</v>
      </c>
      <c r="BK961" s="93">
        <v>85325016420</v>
      </c>
      <c r="BP961" s="18" t="s">
        <v>11487</v>
      </c>
      <c r="BQ961" s="37">
        <v>45321</v>
      </c>
      <c r="BR961" s="8">
        <f t="shared" si="3"/>
        <v>9</v>
      </c>
    </row>
    <row r="962" spans="1:70" ht="14">
      <c r="A962" s="4" t="str">
        <v>Reguler Periode ke-119 XVI.A.3</v>
      </c>
      <c r="B962" s="4" t="s">
        <v>9561</v>
      </c>
      <c r="C962" s="4" t="s">
        <v>4247</v>
      </c>
      <c r="D962" s="4" t="s">
        <v>11467</v>
      </c>
      <c r="E962" s="4" t="s">
        <v>4447</v>
      </c>
      <c r="F962" s="4" t="s">
        <v>11242</v>
      </c>
      <c r="G962" s="6" t="s">
        <v>11488</v>
      </c>
      <c r="H962" s="92" t="s">
        <v>11489</v>
      </c>
      <c r="I962" s="92" t="s">
        <v>11490</v>
      </c>
      <c r="J962" s="92" t="s">
        <v>11491</v>
      </c>
      <c r="K962" s="92" t="s">
        <v>11492</v>
      </c>
      <c r="L962" s="92" t="s">
        <v>11493</v>
      </c>
      <c r="M962" s="92" t="s">
        <v>11494</v>
      </c>
      <c r="N962" s="92" t="s">
        <v>11495</v>
      </c>
      <c r="O962" s="92" t="s">
        <v>11496</v>
      </c>
      <c r="S962" s="6">
        <v>2000010094</v>
      </c>
      <c r="T962" s="92">
        <v>2000011143</v>
      </c>
      <c r="U962" s="92">
        <v>2000018044</v>
      </c>
      <c r="V962" s="92">
        <v>2000018415</v>
      </c>
      <c r="W962" s="92">
        <v>2000024242</v>
      </c>
      <c r="X962" s="92">
        <v>2000029129</v>
      </c>
      <c r="Y962" s="92">
        <v>2000030108</v>
      </c>
      <c r="Z962" s="92">
        <v>2000036137</v>
      </c>
      <c r="AA962" s="92">
        <v>2015004056</v>
      </c>
      <c r="AE962" s="6" t="s">
        <v>532</v>
      </c>
      <c r="AF962" s="92" t="s">
        <v>182</v>
      </c>
      <c r="AG962" s="92" t="s">
        <v>179</v>
      </c>
      <c r="AH962" s="92" t="s">
        <v>179</v>
      </c>
      <c r="AI962" s="92" t="s">
        <v>924</v>
      </c>
      <c r="AJ962" s="92" t="s">
        <v>533</v>
      </c>
      <c r="AK962" s="92" t="s">
        <v>184</v>
      </c>
      <c r="AL962" s="92" t="s">
        <v>227</v>
      </c>
      <c r="AM962" s="92" t="s">
        <v>201</v>
      </c>
      <c r="AQ962" s="6" t="s">
        <v>186</v>
      </c>
      <c r="AR962" s="92" t="s">
        <v>187</v>
      </c>
      <c r="AS962" s="92" t="s">
        <v>186</v>
      </c>
      <c r="AT962" s="92" t="s">
        <v>187</v>
      </c>
      <c r="AU962" s="92" t="s">
        <v>186</v>
      </c>
      <c r="AV962" s="92" t="s">
        <v>187</v>
      </c>
      <c r="AW962" s="92" t="s">
        <v>186</v>
      </c>
      <c r="AX962" s="92" t="s">
        <v>186</v>
      </c>
      <c r="AY962" s="92" t="s">
        <v>186</v>
      </c>
      <c r="BC962" s="60">
        <v>82138255168</v>
      </c>
      <c r="BD962" s="93">
        <v>89690853737</v>
      </c>
      <c r="BE962" s="93">
        <v>83816786324</v>
      </c>
      <c r="BF962" s="93">
        <v>87782370336</v>
      </c>
      <c r="BG962" s="93">
        <v>85869669100</v>
      </c>
      <c r="BH962" s="93">
        <v>81258722424</v>
      </c>
      <c r="BI962" s="93">
        <v>81319418573</v>
      </c>
      <c r="BJ962" s="93">
        <v>895370752996</v>
      </c>
      <c r="BK962" s="93">
        <v>85862142564</v>
      </c>
      <c r="BP962" s="18" t="s">
        <v>11497</v>
      </c>
      <c r="BQ962" s="37">
        <v>45321</v>
      </c>
      <c r="BR962" s="8">
        <f t="shared" si="3"/>
        <v>9</v>
      </c>
    </row>
    <row r="963" spans="1:70" ht="14">
      <c r="A963" s="4" t="str">
        <v>Reguler Periode ke-119 XVI.B.1</v>
      </c>
      <c r="B963" s="4" t="s">
        <v>9561</v>
      </c>
      <c r="C963" s="4" t="s">
        <v>4260</v>
      </c>
      <c r="D963" s="4" t="s">
        <v>11498</v>
      </c>
      <c r="E963" s="4" t="s">
        <v>4531</v>
      </c>
      <c r="F963" s="4" t="s">
        <v>11242</v>
      </c>
      <c r="G963" s="6" t="s">
        <v>11499</v>
      </c>
      <c r="H963" s="92" t="s">
        <v>11500</v>
      </c>
      <c r="I963" s="92" t="s">
        <v>11501</v>
      </c>
      <c r="J963" s="92" t="s">
        <v>11502</v>
      </c>
      <c r="K963" s="92" t="s">
        <v>11503</v>
      </c>
      <c r="L963" s="92" t="s">
        <v>11504</v>
      </c>
      <c r="M963" s="92" t="s">
        <v>11505</v>
      </c>
      <c r="N963" s="92" t="s">
        <v>7546</v>
      </c>
      <c r="O963" s="92" t="s">
        <v>11506</v>
      </c>
      <c r="S963" s="6">
        <v>2000004090</v>
      </c>
      <c r="T963" s="92">
        <v>2000010009</v>
      </c>
      <c r="U963" s="92">
        <v>2000011285</v>
      </c>
      <c r="V963" s="92">
        <v>2000018088</v>
      </c>
      <c r="W963" s="92">
        <v>2000018174</v>
      </c>
      <c r="X963" s="92">
        <v>2000024151</v>
      </c>
      <c r="Y963" s="92">
        <v>2000029145</v>
      </c>
      <c r="Z963" s="92">
        <v>2000030153</v>
      </c>
      <c r="AA963" s="92">
        <v>2000036042</v>
      </c>
      <c r="AE963" s="6" t="s">
        <v>201</v>
      </c>
      <c r="AF963" s="92" t="s">
        <v>532</v>
      </c>
      <c r="AG963" s="92" t="s">
        <v>182</v>
      </c>
      <c r="AH963" s="92" t="s">
        <v>179</v>
      </c>
      <c r="AI963" s="92" t="s">
        <v>179</v>
      </c>
      <c r="AJ963" s="92" t="s">
        <v>924</v>
      </c>
      <c r="AK963" s="92" t="s">
        <v>533</v>
      </c>
      <c r="AL963" s="92" t="s">
        <v>184</v>
      </c>
      <c r="AM963" s="92" t="s">
        <v>227</v>
      </c>
      <c r="AQ963" s="6" t="s">
        <v>186</v>
      </c>
      <c r="AR963" s="92" t="s">
        <v>186</v>
      </c>
      <c r="AS963" s="92" t="s">
        <v>187</v>
      </c>
      <c r="AT963" s="92" t="s">
        <v>186</v>
      </c>
      <c r="AU963" s="92" t="s">
        <v>187</v>
      </c>
      <c r="AV963" s="92" t="s">
        <v>186</v>
      </c>
      <c r="AW963" s="92" t="s">
        <v>187</v>
      </c>
      <c r="AX963" s="92" t="s">
        <v>186</v>
      </c>
      <c r="AY963" s="92" t="s">
        <v>186</v>
      </c>
      <c r="BC963" s="60">
        <v>81226851703</v>
      </c>
      <c r="BD963" s="93">
        <v>82316695955</v>
      </c>
      <c r="BE963" s="93">
        <v>8994372244</v>
      </c>
      <c r="BF963" s="93">
        <v>82288267872</v>
      </c>
      <c r="BG963" s="93" t="s">
        <v>11507</v>
      </c>
      <c r="BH963" s="93">
        <v>895368342000</v>
      </c>
      <c r="BI963" s="93">
        <v>83175462238</v>
      </c>
      <c r="BJ963" s="93">
        <v>82181357849</v>
      </c>
      <c r="BK963" s="93">
        <v>89639598580</v>
      </c>
      <c r="BL963" s="93"/>
      <c r="BM963" s="93"/>
      <c r="BN963" s="93"/>
      <c r="BP963" s="18" t="s">
        <v>11508</v>
      </c>
      <c r="BQ963" s="37">
        <v>45320</v>
      </c>
      <c r="BR963" s="8">
        <f t="shared" si="3"/>
        <v>9</v>
      </c>
    </row>
    <row r="964" spans="1:70" ht="14">
      <c r="A964" s="4" t="str">
        <v>Reguler Periode ke-119 XVI.B.2</v>
      </c>
      <c r="B964" s="4" t="s">
        <v>9561</v>
      </c>
      <c r="C964" s="4" t="s">
        <v>4273</v>
      </c>
      <c r="D964" s="4" t="s">
        <v>11498</v>
      </c>
      <c r="E964" s="4" t="s">
        <v>4594</v>
      </c>
      <c r="F964" s="4" t="s">
        <v>11242</v>
      </c>
      <c r="G964" s="6" t="s">
        <v>11509</v>
      </c>
      <c r="H964" s="92" t="s">
        <v>11510</v>
      </c>
      <c r="I964" s="92" t="s">
        <v>11511</v>
      </c>
      <c r="J964" s="92" t="s">
        <v>11512</v>
      </c>
      <c r="K964" s="92" t="s">
        <v>11513</v>
      </c>
      <c r="L964" s="92" t="s">
        <v>11514</v>
      </c>
      <c r="M964" s="92" t="s">
        <v>11515</v>
      </c>
      <c r="N964" s="92" t="s">
        <v>11516</v>
      </c>
      <c r="O964" s="92" t="s">
        <v>11517</v>
      </c>
      <c r="S964" s="6">
        <v>2000004006</v>
      </c>
      <c r="T964" s="92">
        <v>2000010105</v>
      </c>
      <c r="U964" s="92">
        <v>2000011370</v>
      </c>
      <c r="V964" s="92">
        <v>2000018070</v>
      </c>
      <c r="W964" s="92">
        <v>2000018268</v>
      </c>
      <c r="X964" s="92">
        <v>2000029103</v>
      </c>
      <c r="Y964" s="92">
        <v>2000030188</v>
      </c>
      <c r="Z964" s="92">
        <v>2000036097</v>
      </c>
      <c r="AA964" s="92">
        <v>2223025086</v>
      </c>
      <c r="AE964" s="6" t="s">
        <v>201</v>
      </c>
      <c r="AF964" s="92" t="s">
        <v>532</v>
      </c>
      <c r="AG964" s="92" t="s">
        <v>182</v>
      </c>
      <c r="AH964" s="92" t="s">
        <v>179</v>
      </c>
      <c r="AI964" s="92" t="s">
        <v>179</v>
      </c>
      <c r="AJ964" s="92" t="s">
        <v>533</v>
      </c>
      <c r="AK964" s="92" t="s">
        <v>184</v>
      </c>
      <c r="AL964" s="92" t="s">
        <v>227</v>
      </c>
      <c r="AM964" s="92" t="s">
        <v>1168</v>
      </c>
      <c r="AQ964" s="6" t="s">
        <v>186</v>
      </c>
      <c r="AR964" s="92" t="s">
        <v>186</v>
      </c>
      <c r="AS964" s="92" t="s">
        <v>187</v>
      </c>
      <c r="AT964" s="92" t="s">
        <v>186</v>
      </c>
      <c r="AU964" s="92" t="s">
        <v>187</v>
      </c>
      <c r="AV964" s="92" t="s">
        <v>187</v>
      </c>
      <c r="AW964" s="92" t="s">
        <v>186</v>
      </c>
      <c r="AX964" s="92" t="s">
        <v>186</v>
      </c>
      <c r="AY964" s="92" t="s">
        <v>186</v>
      </c>
      <c r="BC964" s="60">
        <v>81225291489</v>
      </c>
      <c r="BD964" s="93">
        <v>85855901959</v>
      </c>
      <c r="BE964" s="93">
        <v>89523077890</v>
      </c>
      <c r="BF964" s="93">
        <v>85800223555</v>
      </c>
      <c r="BG964" s="93">
        <v>83857597524</v>
      </c>
      <c r="BH964" s="93">
        <v>81284301852</v>
      </c>
      <c r="BI964" s="93">
        <v>85842870536</v>
      </c>
      <c r="BJ964" s="93">
        <v>85731778670</v>
      </c>
      <c r="BK964" s="93">
        <v>861887211453</v>
      </c>
      <c r="BP964" s="18" t="s">
        <v>11518</v>
      </c>
      <c r="BQ964" s="37">
        <v>45320</v>
      </c>
      <c r="BR964" s="8">
        <f t="shared" si="3"/>
        <v>9</v>
      </c>
    </row>
    <row r="965" spans="1:70" ht="14.5">
      <c r="A965" s="4" t="str">
        <v>Reguler Periode ke-119 XVI.B.3</v>
      </c>
      <c r="B965" s="4" t="s">
        <v>9561</v>
      </c>
      <c r="C965" s="4" t="s">
        <v>4285</v>
      </c>
      <c r="D965" s="4" t="s">
        <v>11498</v>
      </c>
      <c r="E965" s="4" t="s">
        <v>11519</v>
      </c>
      <c r="F965" s="4" t="s">
        <v>11242</v>
      </c>
      <c r="G965" s="6" t="s">
        <v>11520</v>
      </c>
      <c r="H965" s="92" t="s">
        <v>11521</v>
      </c>
      <c r="I965" s="92" t="s">
        <v>11522</v>
      </c>
      <c r="J965" s="92" t="s">
        <v>11523</v>
      </c>
      <c r="K965" s="92" t="s">
        <v>11524</v>
      </c>
      <c r="L965" s="92" t="s">
        <v>11525</v>
      </c>
      <c r="M965" s="92" t="s">
        <v>7575</v>
      </c>
      <c r="N965" s="92" t="s">
        <v>11526</v>
      </c>
      <c r="O965" s="92" t="s">
        <v>11527</v>
      </c>
      <c r="S965" s="6">
        <v>2000004023</v>
      </c>
      <c r="T965" s="92">
        <v>2000010003</v>
      </c>
      <c r="U965" s="92">
        <v>2000011298</v>
      </c>
      <c r="V965" s="92">
        <v>2000018113</v>
      </c>
      <c r="W965" s="92">
        <v>2000018383</v>
      </c>
      <c r="X965" s="92">
        <v>2000029227</v>
      </c>
      <c r="Y965" s="92">
        <v>2000030155</v>
      </c>
      <c r="Z965" s="92">
        <v>2000036156</v>
      </c>
      <c r="AA965" s="92">
        <v>2011025048</v>
      </c>
      <c r="AE965" s="6" t="s">
        <v>201</v>
      </c>
      <c r="AF965" s="92" t="s">
        <v>532</v>
      </c>
      <c r="AG965" s="92" t="s">
        <v>182</v>
      </c>
      <c r="AH965" s="92" t="s">
        <v>179</v>
      </c>
      <c r="AI965" s="92" t="s">
        <v>179</v>
      </c>
      <c r="AJ965" s="92" t="s">
        <v>533</v>
      </c>
      <c r="AK965" s="92" t="s">
        <v>184</v>
      </c>
      <c r="AL965" s="92" t="s">
        <v>227</v>
      </c>
      <c r="AM965" s="92" t="s">
        <v>1168</v>
      </c>
      <c r="AQ965" s="6" t="s">
        <v>186</v>
      </c>
      <c r="AR965" s="92" t="s">
        <v>186</v>
      </c>
      <c r="AS965" s="92" t="s">
        <v>187</v>
      </c>
      <c r="AT965" s="92" t="s">
        <v>186</v>
      </c>
      <c r="AU965" s="92" t="s">
        <v>187</v>
      </c>
      <c r="AV965" s="92" t="s">
        <v>187</v>
      </c>
      <c r="AW965" s="92" t="s">
        <v>186</v>
      </c>
      <c r="AX965" s="92" t="s">
        <v>186</v>
      </c>
      <c r="AY965" s="92" t="s">
        <v>186</v>
      </c>
      <c r="BC965" s="60">
        <v>81227291486</v>
      </c>
      <c r="BD965" s="93">
        <v>895325061818</v>
      </c>
      <c r="BE965" s="60">
        <v>85867627142</v>
      </c>
      <c r="BF965" s="93">
        <v>895378177166</v>
      </c>
      <c r="BG965" s="93">
        <v>87848547010</v>
      </c>
      <c r="BH965" s="93">
        <v>82323356460</v>
      </c>
      <c r="BI965" s="93">
        <v>85931207217</v>
      </c>
      <c r="BJ965" s="93">
        <v>81542970698</v>
      </c>
      <c r="BK965" s="93">
        <v>81233634998</v>
      </c>
      <c r="BL965" s="73"/>
      <c r="BP965" s="18" t="s">
        <v>11528</v>
      </c>
      <c r="BQ965" s="37">
        <v>45320</v>
      </c>
      <c r="BR965" s="8">
        <f t="shared" si="3"/>
        <v>9</v>
      </c>
    </row>
    <row r="966" spans="1:70" ht="14">
      <c r="A966" s="4" t="str">
        <v>Reguler Periode ke-119 XVI.C.1</v>
      </c>
      <c r="B966" s="4" t="s">
        <v>9561</v>
      </c>
      <c r="C966" s="4" t="s">
        <v>4297</v>
      </c>
      <c r="D966" s="4" t="s">
        <v>11529</v>
      </c>
      <c r="E966" s="4" t="s">
        <v>11530</v>
      </c>
      <c r="F966" s="4" t="s">
        <v>11242</v>
      </c>
      <c r="G966" s="6" t="s">
        <v>11531</v>
      </c>
      <c r="H966" s="92" t="s">
        <v>11532</v>
      </c>
      <c r="I966" s="92" t="s">
        <v>11533</v>
      </c>
      <c r="J966" s="92" t="s">
        <v>11534</v>
      </c>
      <c r="K966" s="92" t="s">
        <v>11535</v>
      </c>
      <c r="L966" s="92" t="s">
        <v>11536</v>
      </c>
      <c r="M966" s="92" t="s">
        <v>11537</v>
      </c>
      <c r="N966" s="92" t="s">
        <v>11538</v>
      </c>
      <c r="S966" s="6">
        <v>2000010053</v>
      </c>
      <c r="T966" s="92">
        <v>2000011300</v>
      </c>
      <c r="U966" s="92">
        <v>2000018214</v>
      </c>
      <c r="V966" s="92">
        <v>2000018244</v>
      </c>
      <c r="W966" s="92">
        <v>2000025008</v>
      </c>
      <c r="X966" s="92">
        <v>2000029063</v>
      </c>
      <c r="Y966" s="92">
        <v>2000030064</v>
      </c>
      <c r="Z966" s="92">
        <v>2000036083</v>
      </c>
      <c r="AE966" s="6" t="s">
        <v>532</v>
      </c>
      <c r="AF966" s="92" t="s">
        <v>182</v>
      </c>
      <c r="AG966" s="92" t="s">
        <v>179</v>
      </c>
      <c r="AH966" s="92" t="s">
        <v>179</v>
      </c>
      <c r="AI966" s="92" t="s">
        <v>1168</v>
      </c>
      <c r="AJ966" s="92" t="s">
        <v>533</v>
      </c>
      <c r="AK966" s="92" t="s">
        <v>184</v>
      </c>
      <c r="AL966" s="92" t="s">
        <v>227</v>
      </c>
      <c r="AQ966" s="6" t="s">
        <v>186</v>
      </c>
      <c r="AR966" s="92" t="s">
        <v>187</v>
      </c>
      <c r="AS966" s="92" t="s">
        <v>187</v>
      </c>
      <c r="AT966" s="92" t="s">
        <v>186</v>
      </c>
      <c r="AU966" s="92" t="s">
        <v>186</v>
      </c>
      <c r="AV966" s="92" t="s">
        <v>187</v>
      </c>
      <c r="AW966" s="92" t="s">
        <v>186</v>
      </c>
      <c r="AX966" s="92" t="s">
        <v>186</v>
      </c>
      <c r="BC966" s="60">
        <v>82130186879</v>
      </c>
      <c r="BD966" s="93">
        <v>85329954510</v>
      </c>
      <c r="BE966" s="93">
        <v>895640123773</v>
      </c>
      <c r="BF966" s="93">
        <v>82346326366</v>
      </c>
      <c r="BG966" s="93">
        <v>85647151404</v>
      </c>
      <c r="BH966" s="93" t="s">
        <v>11539</v>
      </c>
      <c r="BI966" s="93">
        <v>82133555177</v>
      </c>
      <c r="BJ966" s="93">
        <v>895340142614</v>
      </c>
      <c r="BP966" s="18" t="s">
        <v>11540</v>
      </c>
      <c r="BQ966" s="37">
        <v>45320</v>
      </c>
      <c r="BR966" s="8">
        <f t="shared" si="3"/>
        <v>8</v>
      </c>
    </row>
    <row r="967" spans="1:70" ht="14">
      <c r="A967" s="4" t="str">
        <v>Reguler Periode ke-119 XVI.C.2</v>
      </c>
      <c r="B967" s="4" t="s">
        <v>9561</v>
      </c>
      <c r="C967" s="4" t="s">
        <v>4310</v>
      </c>
      <c r="D967" s="4" t="s">
        <v>11529</v>
      </c>
      <c r="E967" s="4" t="s">
        <v>4569</v>
      </c>
      <c r="F967" s="4" t="s">
        <v>11242</v>
      </c>
      <c r="G967" s="6" t="s">
        <v>11541</v>
      </c>
      <c r="H967" s="92" t="s">
        <v>11542</v>
      </c>
      <c r="I967" s="92" t="s">
        <v>11543</v>
      </c>
      <c r="J967" s="92" t="s">
        <v>11544</v>
      </c>
      <c r="K967" s="92" t="s">
        <v>11545</v>
      </c>
      <c r="L967" s="92" t="s">
        <v>11546</v>
      </c>
      <c r="M967" s="92" t="s">
        <v>11547</v>
      </c>
      <c r="N967" s="92" t="s">
        <v>11548</v>
      </c>
      <c r="O967" s="92" t="s">
        <v>11549</v>
      </c>
      <c r="S967" s="6">
        <v>2000004046</v>
      </c>
      <c r="T967" s="92">
        <v>2000010072</v>
      </c>
      <c r="U967" s="92">
        <v>2000011223</v>
      </c>
      <c r="V967" s="92">
        <v>2000018306</v>
      </c>
      <c r="W967" s="92">
        <v>2000018352</v>
      </c>
      <c r="X967" s="92">
        <v>2000029187</v>
      </c>
      <c r="Y967" s="92">
        <v>2000030035</v>
      </c>
      <c r="Z967" s="92">
        <v>2000036031</v>
      </c>
      <c r="AA967" s="92">
        <v>2223025082</v>
      </c>
      <c r="AE967" s="6" t="s">
        <v>201</v>
      </c>
      <c r="AF967" s="92" t="s">
        <v>532</v>
      </c>
      <c r="AG967" s="92" t="s">
        <v>182</v>
      </c>
      <c r="AH967" s="92" t="s">
        <v>179</v>
      </c>
      <c r="AI967" s="92" t="s">
        <v>179</v>
      </c>
      <c r="AJ967" s="92" t="s">
        <v>533</v>
      </c>
      <c r="AK967" s="92" t="s">
        <v>184</v>
      </c>
      <c r="AL967" s="92" t="s">
        <v>227</v>
      </c>
      <c r="AM967" s="92" t="s">
        <v>1168</v>
      </c>
      <c r="AQ967" s="6" t="s">
        <v>186</v>
      </c>
      <c r="AR967" s="92" t="s">
        <v>186</v>
      </c>
      <c r="AS967" s="92" t="s">
        <v>187</v>
      </c>
      <c r="AT967" s="92" t="s">
        <v>187</v>
      </c>
      <c r="AU967" s="92" t="s">
        <v>186</v>
      </c>
      <c r="AV967" s="92" t="s">
        <v>187</v>
      </c>
      <c r="AW967" s="92" t="s">
        <v>186</v>
      </c>
      <c r="AX967" s="92" t="s">
        <v>186</v>
      </c>
      <c r="AY967" s="92" t="s">
        <v>186</v>
      </c>
      <c r="BC967" s="60">
        <v>87715842890</v>
      </c>
      <c r="BD967" s="93">
        <v>81329708330</v>
      </c>
      <c r="BE967" s="93">
        <v>82181572762</v>
      </c>
      <c r="BF967" s="93">
        <v>8974632192</v>
      </c>
      <c r="BG967" s="93">
        <v>8812658713</v>
      </c>
      <c r="BH967" s="93">
        <v>83150670937</v>
      </c>
      <c r="BI967" s="93">
        <v>82138403762</v>
      </c>
      <c r="BJ967" s="93">
        <v>82375385902</v>
      </c>
      <c r="BK967" s="93">
        <v>8613977842674</v>
      </c>
      <c r="BP967" s="35" t="s">
        <v>11550</v>
      </c>
      <c r="BQ967" s="37">
        <v>45320</v>
      </c>
      <c r="BR967" s="8">
        <f t="shared" si="3"/>
        <v>9</v>
      </c>
    </row>
    <row r="968" spans="1:70" ht="14">
      <c r="A968" s="4" t="str">
        <v>Reguler Periode ke-119 XVI.C.3</v>
      </c>
      <c r="B968" s="4" t="s">
        <v>9561</v>
      </c>
      <c r="C968" s="4" t="s">
        <v>4322</v>
      </c>
      <c r="D968" s="4" t="s">
        <v>11529</v>
      </c>
      <c r="E968" s="4" t="s">
        <v>11551</v>
      </c>
      <c r="F968" s="4" t="s">
        <v>11242</v>
      </c>
      <c r="G968" s="6" t="s">
        <v>11552</v>
      </c>
      <c r="H968" s="92" t="s">
        <v>11553</v>
      </c>
      <c r="I968" s="92" t="s">
        <v>11554</v>
      </c>
      <c r="J968" s="92" t="s">
        <v>11555</v>
      </c>
      <c r="K968" s="92" t="s">
        <v>11556</v>
      </c>
      <c r="L968" s="92" t="s">
        <v>11557</v>
      </c>
      <c r="M968" s="92" t="s">
        <v>11558</v>
      </c>
      <c r="N968" s="92" t="s">
        <v>11559</v>
      </c>
      <c r="O968" s="92" t="s">
        <v>11560</v>
      </c>
      <c r="S968" s="6">
        <v>2000004084</v>
      </c>
      <c r="T968" s="92">
        <v>2000010055</v>
      </c>
      <c r="U968" s="92">
        <v>2000011222</v>
      </c>
      <c r="V968" s="92">
        <v>2000018234</v>
      </c>
      <c r="W968" s="92">
        <v>2000018254</v>
      </c>
      <c r="X968" s="92">
        <v>2000029011</v>
      </c>
      <c r="Y968" s="92">
        <v>2000030042</v>
      </c>
      <c r="Z968" s="92">
        <v>2000036030</v>
      </c>
      <c r="AA968" s="92">
        <v>2223025083</v>
      </c>
      <c r="AE968" s="6" t="s">
        <v>201</v>
      </c>
      <c r="AF968" s="92" t="s">
        <v>532</v>
      </c>
      <c r="AG968" s="92" t="s">
        <v>182</v>
      </c>
      <c r="AH968" s="92" t="s">
        <v>179</v>
      </c>
      <c r="AI968" s="92" t="s">
        <v>179</v>
      </c>
      <c r="AJ968" s="92" t="s">
        <v>533</v>
      </c>
      <c r="AK968" s="92" t="s">
        <v>184</v>
      </c>
      <c r="AL968" s="92" t="s">
        <v>227</v>
      </c>
      <c r="AM968" s="92" t="s">
        <v>1168</v>
      </c>
      <c r="AQ968" s="6" t="s">
        <v>186</v>
      </c>
      <c r="AR968" s="92" t="s">
        <v>186</v>
      </c>
      <c r="AS968" s="92" t="s">
        <v>187</v>
      </c>
      <c r="AT968" s="92" t="s">
        <v>186</v>
      </c>
      <c r="AU968" s="92" t="s">
        <v>187</v>
      </c>
      <c r="AV968" s="92" t="s">
        <v>187</v>
      </c>
      <c r="AW968" s="92" t="s">
        <v>186</v>
      </c>
      <c r="AX968" s="92" t="s">
        <v>186</v>
      </c>
      <c r="AY968" s="92" t="s">
        <v>186</v>
      </c>
      <c r="BC968" s="60">
        <v>85727736730</v>
      </c>
      <c r="BD968" s="93">
        <v>83866424590</v>
      </c>
      <c r="BE968" s="93">
        <v>85692208070</v>
      </c>
      <c r="BF968" s="93">
        <v>82314811734</v>
      </c>
      <c r="BG968" s="93">
        <v>81215107093</v>
      </c>
      <c r="BH968" s="93">
        <v>82281328068</v>
      </c>
      <c r="BI968" s="93">
        <v>85366749212</v>
      </c>
      <c r="BJ968" s="93">
        <v>88269614597</v>
      </c>
      <c r="BK968" s="93">
        <v>8618312887063</v>
      </c>
      <c r="BP968" s="18" t="s">
        <v>11561</v>
      </c>
      <c r="BQ968" s="37">
        <v>45320</v>
      </c>
      <c r="BR968" s="8">
        <f t="shared" si="3"/>
        <v>9</v>
      </c>
    </row>
    <row r="969" spans="1:70" ht="14">
      <c r="A969" s="4" t="str">
        <v>Reguler Periode ke-119 XVI.D.1</v>
      </c>
      <c r="B969" s="4" t="s">
        <v>9561</v>
      </c>
      <c r="C969" s="4" t="s">
        <v>4334</v>
      </c>
      <c r="D969" s="4" t="s">
        <v>11562</v>
      </c>
      <c r="E969" s="4" t="s">
        <v>11563</v>
      </c>
      <c r="F969" s="4" t="s">
        <v>11242</v>
      </c>
      <c r="G969" s="6" t="s">
        <v>11564</v>
      </c>
      <c r="H969" s="92" t="s">
        <v>11565</v>
      </c>
      <c r="I969" s="92" t="s">
        <v>11566</v>
      </c>
      <c r="J969" s="92" t="s">
        <v>11567</v>
      </c>
      <c r="K969" s="92" t="s">
        <v>11568</v>
      </c>
      <c r="L969" s="92" t="s">
        <v>11569</v>
      </c>
      <c r="M969" s="92" t="s">
        <v>11570</v>
      </c>
      <c r="N969" s="92" t="s">
        <v>11571</v>
      </c>
      <c r="O969" s="92" t="s">
        <v>11572</v>
      </c>
      <c r="S969" s="6">
        <v>2000010082</v>
      </c>
      <c r="T969" s="92">
        <v>2000011397</v>
      </c>
      <c r="U969" s="92">
        <v>2000018026</v>
      </c>
      <c r="V969" s="92">
        <v>2000018376</v>
      </c>
      <c r="W969" s="92">
        <v>2000025092</v>
      </c>
      <c r="X969" s="92">
        <v>2000029118</v>
      </c>
      <c r="Y969" s="92">
        <v>2000030148</v>
      </c>
      <c r="Z969" s="92">
        <v>2000036129</v>
      </c>
      <c r="AA969" s="92">
        <v>2015004073</v>
      </c>
      <c r="AE969" s="6" t="s">
        <v>532</v>
      </c>
      <c r="AF969" s="92" t="s">
        <v>182</v>
      </c>
      <c r="AG969" s="92" t="s">
        <v>179</v>
      </c>
      <c r="AH969" s="92" t="s">
        <v>179</v>
      </c>
      <c r="AI969" s="92" t="s">
        <v>1168</v>
      </c>
      <c r="AJ969" s="92" t="s">
        <v>533</v>
      </c>
      <c r="AK969" s="92" t="s">
        <v>184</v>
      </c>
      <c r="AL969" s="92" t="s">
        <v>227</v>
      </c>
      <c r="AM969" s="92" t="s">
        <v>201</v>
      </c>
      <c r="AQ969" s="6" t="s">
        <v>186</v>
      </c>
      <c r="AR969" s="92" t="s">
        <v>187</v>
      </c>
      <c r="AS969" s="92" t="s">
        <v>187</v>
      </c>
      <c r="AT969" s="92" t="s">
        <v>186</v>
      </c>
      <c r="AU969" s="92" t="s">
        <v>186</v>
      </c>
      <c r="AV969" s="92" t="s">
        <v>187</v>
      </c>
      <c r="AW969" s="92" t="s">
        <v>186</v>
      </c>
      <c r="AX969" s="92" t="s">
        <v>186</v>
      </c>
      <c r="AY969" s="92" t="s">
        <v>186</v>
      </c>
      <c r="BC969" s="60">
        <v>85161069750</v>
      </c>
      <c r="BD969" s="93">
        <v>83825417604</v>
      </c>
      <c r="BE969" s="93">
        <v>82288859773</v>
      </c>
      <c r="BF969" s="93">
        <v>88227884945</v>
      </c>
      <c r="BG969" s="93">
        <v>82138546138</v>
      </c>
      <c r="BH969" s="93">
        <v>81267819416</v>
      </c>
      <c r="BI969" s="93">
        <v>81215309413</v>
      </c>
      <c r="BJ969" s="93">
        <v>85338897713</v>
      </c>
      <c r="BK969" s="93">
        <v>89686057069</v>
      </c>
      <c r="BP969" s="18" t="s">
        <v>11573</v>
      </c>
      <c r="BQ969" s="37">
        <v>45320</v>
      </c>
      <c r="BR969" s="8">
        <f t="shared" si="3"/>
        <v>9</v>
      </c>
    </row>
    <row r="970" spans="1:70" ht="14">
      <c r="A970" s="4" t="str">
        <v>Reguler Periode ke-119 XVI.D.2</v>
      </c>
      <c r="B970" s="4" t="s">
        <v>9561</v>
      </c>
      <c r="C970" s="4" t="s">
        <v>4347</v>
      </c>
      <c r="D970" s="4" t="s">
        <v>11562</v>
      </c>
      <c r="E970" s="4" t="s">
        <v>11574</v>
      </c>
      <c r="F970" s="4" t="s">
        <v>11242</v>
      </c>
      <c r="G970" s="6" t="s">
        <v>11575</v>
      </c>
      <c r="H970" s="92" t="s">
        <v>11576</v>
      </c>
      <c r="I970" s="92" t="s">
        <v>11577</v>
      </c>
      <c r="J970" s="92" t="s">
        <v>11578</v>
      </c>
      <c r="K970" s="92" t="s">
        <v>11579</v>
      </c>
      <c r="L970" s="92" t="s">
        <v>11580</v>
      </c>
      <c r="M970" s="92" t="s">
        <v>11581</v>
      </c>
      <c r="N970" s="92" t="s">
        <v>11582</v>
      </c>
      <c r="O970" s="92" t="s">
        <v>11583</v>
      </c>
      <c r="S970" s="6">
        <v>2000004042</v>
      </c>
      <c r="T970" s="92">
        <v>2000010033</v>
      </c>
      <c r="U970" s="92">
        <v>2000011326</v>
      </c>
      <c r="V970" s="92">
        <v>2000018372</v>
      </c>
      <c r="W970" s="92">
        <v>2000019102</v>
      </c>
      <c r="X970" s="92">
        <v>2000025115</v>
      </c>
      <c r="Y970" s="92">
        <v>2000029046</v>
      </c>
      <c r="Z970" s="92">
        <v>2000030022</v>
      </c>
      <c r="AA970" s="92">
        <v>2000036004</v>
      </c>
      <c r="AE970" s="6" t="s">
        <v>201</v>
      </c>
      <c r="AF970" s="92" t="s">
        <v>532</v>
      </c>
      <c r="AG970" s="92" t="s">
        <v>182</v>
      </c>
      <c r="AH970" s="92" t="s">
        <v>179</v>
      </c>
      <c r="AI970" s="92" t="s">
        <v>705</v>
      </c>
      <c r="AJ970" s="92" t="s">
        <v>1168</v>
      </c>
      <c r="AK970" s="92" t="s">
        <v>533</v>
      </c>
      <c r="AL970" s="92" t="s">
        <v>184</v>
      </c>
      <c r="AM970" s="92" t="s">
        <v>227</v>
      </c>
      <c r="AQ970" s="6" t="s">
        <v>186</v>
      </c>
      <c r="AR970" s="92" t="s">
        <v>186</v>
      </c>
      <c r="AS970" s="92" t="s">
        <v>187</v>
      </c>
      <c r="AT970" s="92" t="s">
        <v>186</v>
      </c>
      <c r="AU970" s="92" t="s">
        <v>187</v>
      </c>
      <c r="AV970" s="92" t="s">
        <v>186</v>
      </c>
      <c r="AW970" s="92" t="s">
        <v>187</v>
      </c>
      <c r="AX970" s="92" t="s">
        <v>186</v>
      </c>
      <c r="AY970" s="92" t="s">
        <v>186</v>
      </c>
      <c r="BC970" s="60">
        <v>81772855168</v>
      </c>
      <c r="BD970" s="93">
        <v>82367232223</v>
      </c>
      <c r="BE970" s="93">
        <v>881024356186</v>
      </c>
      <c r="BF970" s="93">
        <v>82299716844</v>
      </c>
      <c r="BG970" s="93">
        <v>82288553205</v>
      </c>
      <c r="BH970" s="93">
        <v>85600853892</v>
      </c>
      <c r="BI970" s="93">
        <v>87765451466</v>
      </c>
      <c r="BJ970" s="93">
        <v>89660695802</v>
      </c>
      <c r="BK970" s="93">
        <v>82135306521</v>
      </c>
      <c r="BP970" s="18" t="s">
        <v>11584</v>
      </c>
      <c r="BQ970" s="37">
        <v>45320</v>
      </c>
      <c r="BR970" s="8">
        <f t="shared" si="3"/>
        <v>9</v>
      </c>
    </row>
    <row r="971" spans="1:70" ht="14">
      <c r="A971" s="4" t="str">
        <v>Reguler Periode ke-119 XVI.D.3</v>
      </c>
      <c r="B971" s="4" t="s">
        <v>9561</v>
      </c>
      <c r="C971" s="4" t="s">
        <v>4359</v>
      </c>
      <c r="D971" s="4" t="s">
        <v>11562</v>
      </c>
      <c r="E971" s="4" t="s">
        <v>4606</v>
      </c>
      <c r="F971" s="4" t="s">
        <v>11242</v>
      </c>
      <c r="G971" s="6" t="s">
        <v>11585</v>
      </c>
      <c r="H971" s="92" t="s">
        <v>11586</v>
      </c>
      <c r="I971" s="92" t="s">
        <v>11587</v>
      </c>
      <c r="J971" s="92" t="s">
        <v>11588</v>
      </c>
      <c r="K971" s="92" t="s">
        <v>11589</v>
      </c>
      <c r="L971" s="92" t="s">
        <v>11590</v>
      </c>
      <c r="M971" s="92" t="s">
        <v>11591</v>
      </c>
      <c r="N971" s="92" t="s">
        <v>11592</v>
      </c>
      <c r="O971" s="92" t="s">
        <v>11593</v>
      </c>
      <c r="S971" s="6">
        <v>2000005375</v>
      </c>
      <c r="T971" s="92">
        <v>2000010093</v>
      </c>
      <c r="U971" s="92">
        <v>2000011231</v>
      </c>
      <c r="V971" s="92">
        <v>2000018373</v>
      </c>
      <c r="W971" s="92">
        <v>2000019023</v>
      </c>
      <c r="X971" s="92">
        <v>2000030130</v>
      </c>
      <c r="Y971" s="92">
        <v>2000030160</v>
      </c>
      <c r="Z971" s="92">
        <v>2000036102</v>
      </c>
      <c r="AA971" s="92">
        <v>2223025080</v>
      </c>
      <c r="AE971" s="6" t="s">
        <v>181</v>
      </c>
      <c r="AF971" s="92" t="s">
        <v>532</v>
      </c>
      <c r="AG971" s="92" t="s">
        <v>182</v>
      </c>
      <c r="AH971" s="92" t="s">
        <v>179</v>
      </c>
      <c r="AI971" s="92" t="s">
        <v>705</v>
      </c>
      <c r="AJ971" s="92" t="s">
        <v>184</v>
      </c>
      <c r="AK971" s="92" t="s">
        <v>184</v>
      </c>
      <c r="AL971" s="92" t="s">
        <v>227</v>
      </c>
      <c r="AM971" s="92" t="s">
        <v>1168</v>
      </c>
      <c r="AQ971" s="6" t="s">
        <v>186</v>
      </c>
      <c r="AR971" s="92" t="s">
        <v>186</v>
      </c>
      <c r="AS971" s="92" t="s">
        <v>187</v>
      </c>
      <c r="AT971" s="92" t="s">
        <v>186</v>
      </c>
      <c r="AU971" s="92" t="s">
        <v>187</v>
      </c>
      <c r="AV971" s="92" t="s">
        <v>187</v>
      </c>
      <c r="AW971" s="92" t="s">
        <v>186</v>
      </c>
      <c r="AX971" s="92" t="s">
        <v>186</v>
      </c>
      <c r="AY971" s="92" t="s">
        <v>186</v>
      </c>
      <c r="BC971" s="60">
        <v>82333146681</v>
      </c>
      <c r="BD971" s="93">
        <v>82220858332</v>
      </c>
      <c r="BE971" s="93">
        <v>82129623071</v>
      </c>
      <c r="BF971" s="93">
        <v>895421971318</v>
      </c>
      <c r="BG971" s="93">
        <v>85747500479</v>
      </c>
      <c r="BH971" s="93">
        <v>8985261041</v>
      </c>
      <c r="BI971" s="93">
        <v>81338925968</v>
      </c>
      <c r="BJ971" s="93">
        <v>882005672333</v>
      </c>
      <c r="BK971" s="93">
        <v>8615108060205</v>
      </c>
      <c r="BP971" s="18" t="s">
        <v>11594</v>
      </c>
      <c r="BQ971" s="37">
        <v>45320</v>
      </c>
      <c r="BR971" s="8">
        <f t="shared" si="3"/>
        <v>9</v>
      </c>
    </row>
    <row r="972" spans="1:70" ht="14">
      <c r="A972" s="4" t="str">
        <v>Reguler Periode ke-119 XVII.A.1</v>
      </c>
      <c r="B972" s="4" t="s">
        <v>9561</v>
      </c>
      <c r="C972" s="4" t="s">
        <v>4372</v>
      </c>
      <c r="D972" s="4" t="s">
        <v>485</v>
      </c>
      <c r="E972" s="4" t="s">
        <v>4617</v>
      </c>
      <c r="F972" s="4" t="s">
        <v>11242</v>
      </c>
      <c r="G972" s="6" t="s">
        <v>11595</v>
      </c>
      <c r="H972" s="92" t="s">
        <v>3375</v>
      </c>
      <c r="I972" s="92" t="s">
        <v>11596</v>
      </c>
      <c r="J972" s="92" t="s">
        <v>11597</v>
      </c>
      <c r="K972" s="92" t="s">
        <v>11598</v>
      </c>
      <c r="L972" s="92" t="s">
        <v>11599</v>
      </c>
      <c r="M972" s="92" t="s">
        <v>11600</v>
      </c>
      <c r="N972" s="92" t="s">
        <v>11601</v>
      </c>
      <c r="O972" s="92" t="s">
        <v>11602</v>
      </c>
      <c r="S972" s="6">
        <v>2000005233</v>
      </c>
      <c r="T972" s="92">
        <v>2000010059</v>
      </c>
      <c r="U972" s="92">
        <v>2000011362</v>
      </c>
      <c r="V972" s="92">
        <v>2000018213</v>
      </c>
      <c r="W972" s="92">
        <v>2000019133</v>
      </c>
      <c r="X972" s="92">
        <v>2000025014</v>
      </c>
      <c r="Y972" s="92">
        <v>2000030060</v>
      </c>
      <c r="Z972" s="92">
        <v>2000030226</v>
      </c>
      <c r="AA972" s="92">
        <v>2000036150</v>
      </c>
      <c r="AE972" s="6" t="s">
        <v>181</v>
      </c>
      <c r="AF972" s="92" t="s">
        <v>532</v>
      </c>
      <c r="AG972" s="92" t="s">
        <v>182</v>
      </c>
      <c r="AH972" s="92" t="s">
        <v>179</v>
      </c>
      <c r="AI972" s="92" t="s">
        <v>705</v>
      </c>
      <c r="AJ972" s="92" t="s">
        <v>1168</v>
      </c>
      <c r="AK972" s="92" t="s">
        <v>184</v>
      </c>
      <c r="AL972" s="92" t="s">
        <v>184</v>
      </c>
      <c r="AM972" s="92" t="s">
        <v>227</v>
      </c>
      <c r="AQ972" s="6" t="s">
        <v>186</v>
      </c>
      <c r="AR972" s="92" t="s">
        <v>186</v>
      </c>
      <c r="AS972" s="92" t="s">
        <v>187</v>
      </c>
      <c r="AT972" s="92" t="s">
        <v>186</v>
      </c>
      <c r="AU972" s="92" t="s">
        <v>187</v>
      </c>
      <c r="AV972" s="92" t="s">
        <v>186</v>
      </c>
      <c r="AW972" s="92" t="s">
        <v>186</v>
      </c>
      <c r="AX972" s="92" t="s">
        <v>187</v>
      </c>
      <c r="AY972" s="92" t="s">
        <v>186</v>
      </c>
      <c r="BC972" s="60">
        <v>82333869336</v>
      </c>
      <c r="BD972" s="93">
        <v>81222271600</v>
      </c>
      <c r="BE972" s="93">
        <v>81215445483</v>
      </c>
      <c r="BF972" s="93">
        <v>81367143346</v>
      </c>
      <c r="BG972" s="93">
        <v>81223702478</v>
      </c>
      <c r="BH972" s="93">
        <v>82112400121</v>
      </c>
      <c r="BI972" s="93">
        <v>82241219230</v>
      </c>
      <c r="BJ972" s="93">
        <v>83891135339</v>
      </c>
      <c r="BK972" s="93">
        <v>82181255847</v>
      </c>
      <c r="BP972" s="18" t="s">
        <v>11603</v>
      </c>
      <c r="BQ972" s="37">
        <v>45320</v>
      </c>
      <c r="BR972" s="8">
        <f t="shared" si="3"/>
        <v>9</v>
      </c>
    </row>
    <row r="973" spans="1:70" ht="14">
      <c r="A973" s="4" t="str">
        <v>Reguler Periode ke-119 XVII.A.2</v>
      </c>
      <c r="B973" s="4" t="s">
        <v>9561</v>
      </c>
      <c r="C973" s="4" t="s">
        <v>4385</v>
      </c>
      <c r="D973" s="4" t="s">
        <v>485</v>
      </c>
      <c r="E973" s="4" t="s">
        <v>11604</v>
      </c>
      <c r="F973" s="4" t="s">
        <v>11242</v>
      </c>
      <c r="G973" s="6" t="s">
        <v>11605</v>
      </c>
      <c r="H973" s="92" t="s">
        <v>11606</v>
      </c>
      <c r="I973" s="92" t="s">
        <v>11607</v>
      </c>
      <c r="J973" s="92" t="s">
        <v>11608</v>
      </c>
      <c r="K973" s="92" t="s">
        <v>11609</v>
      </c>
      <c r="L973" s="92" t="s">
        <v>11610</v>
      </c>
      <c r="M973" s="92" t="s">
        <v>11611</v>
      </c>
      <c r="N973" s="92" t="s">
        <v>11612</v>
      </c>
      <c r="O973" s="92" t="s">
        <v>11613</v>
      </c>
      <c r="S973" s="6">
        <v>2000005292</v>
      </c>
      <c r="T973" s="92">
        <v>2000011232</v>
      </c>
      <c r="U973" s="92">
        <v>2000011365</v>
      </c>
      <c r="V973" s="92">
        <v>2000018141</v>
      </c>
      <c r="W973" s="92">
        <v>2000019118</v>
      </c>
      <c r="X973" s="92">
        <v>2000030110</v>
      </c>
      <c r="Y973" s="92">
        <v>2000030232</v>
      </c>
      <c r="Z973" s="92">
        <v>2000036016</v>
      </c>
      <c r="AA973" s="92">
        <v>2223025076</v>
      </c>
      <c r="AE973" s="6" t="s">
        <v>181</v>
      </c>
      <c r="AF973" s="92" t="s">
        <v>182</v>
      </c>
      <c r="AG973" s="92" t="s">
        <v>182</v>
      </c>
      <c r="AH973" s="92" t="s">
        <v>179</v>
      </c>
      <c r="AI973" s="92" t="s">
        <v>705</v>
      </c>
      <c r="AJ973" s="92" t="s">
        <v>184</v>
      </c>
      <c r="AK973" s="92" t="s">
        <v>184</v>
      </c>
      <c r="AL973" s="92" t="s">
        <v>227</v>
      </c>
      <c r="AM973" s="92" t="s">
        <v>1168</v>
      </c>
      <c r="AQ973" s="6" t="s">
        <v>186</v>
      </c>
      <c r="AR973" s="92" t="s">
        <v>187</v>
      </c>
      <c r="AS973" s="92" t="s">
        <v>186</v>
      </c>
      <c r="AT973" s="92" t="s">
        <v>186</v>
      </c>
      <c r="AU973" s="92" t="s">
        <v>187</v>
      </c>
      <c r="AV973" s="92" t="s">
        <v>187</v>
      </c>
      <c r="AW973" s="92" t="s">
        <v>186</v>
      </c>
      <c r="AX973" s="92" t="s">
        <v>186</v>
      </c>
      <c r="AY973" s="92" t="s">
        <v>186</v>
      </c>
      <c r="BC973" s="60">
        <v>85814212342</v>
      </c>
      <c r="BD973" s="93">
        <v>85155316765</v>
      </c>
      <c r="BE973" s="93">
        <v>81324224312</v>
      </c>
      <c r="BF973" s="93">
        <v>82290205597</v>
      </c>
      <c r="BG973" s="93">
        <v>895639445817</v>
      </c>
      <c r="BH973" s="93">
        <v>82340804891</v>
      </c>
      <c r="BI973" s="93">
        <v>82351378940</v>
      </c>
      <c r="BJ973" s="93">
        <v>85756612561</v>
      </c>
      <c r="BK973" s="93">
        <v>8618776433484</v>
      </c>
      <c r="BP973" s="18" t="s">
        <v>11614</v>
      </c>
      <c r="BQ973" s="37">
        <v>45320</v>
      </c>
      <c r="BR973" s="8">
        <f t="shared" si="3"/>
        <v>9</v>
      </c>
    </row>
    <row r="974" spans="1:70" ht="14">
      <c r="A974" s="4" t="str">
        <v>Reguler Periode ke-119 XVII.A.3</v>
      </c>
      <c r="B974" s="4" t="s">
        <v>9561</v>
      </c>
      <c r="C974" s="4" t="s">
        <v>4396</v>
      </c>
      <c r="D974" s="4" t="s">
        <v>485</v>
      </c>
      <c r="E974" s="4" t="s">
        <v>4557</v>
      </c>
      <c r="F974" s="4" t="s">
        <v>11242</v>
      </c>
      <c r="G974" s="6" t="s">
        <v>11615</v>
      </c>
      <c r="H974" s="92" t="s">
        <v>11616</v>
      </c>
      <c r="I974" s="92" t="s">
        <v>11617</v>
      </c>
      <c r="J974" s="92" t="s">
        <v>11618</v>
      </c>
      <c r="K974" s="92" t="s">
        <v>11619</v>
      </c>
      <c r="L974" s="92" t="s">
        <v>11620</v>
      </c>
      <c r="M974" s="92" t="s">
        <v>11621</v>
      </c>
      <c r="N974" s="92" t="s">
        <v>11622</v>
      </c>
      <c r="O974" s="92" t="s">
        <v>11623</v>
      </c>
      <c r="S974" s="6">
        <v>2000005006</v>
      </c>
      <c r="T974" s="92">
        <v>2000011123</v>
      </c>
      <c r="U974" s="92">
        <v>2000011429</v>
      </c>
      <c r="V974" s="92">
        <v>2000018299</v>
      </c>
      <c r="W974" s="92">
        <v>2000019028</v>
      </c>
      <c r="X974" s="92">
        <v>2000030059</v>
      </c>
      <c r="Y974" s="92">
        <v>2000030237</v>
      </c>
      <c r="Z974" s="92">
        <v>2000036092</v>
      </c>
      <c r="AA974" s="92">
        <v>2223025074</v>
      </c>
      <c r="AE974" s="6" t="s">
        <v>181</v>
      </c>
      <c r="AF974" s="92" t="s">
        <v>182</v>
      </c>
      <c r="AG974" s="92" t="s">
        <v>182</v>
      </c>
      <c r="AH974" s="92" t="s">
        <v>179</v>
      </c>
      <c r="AI974" s="92" t="s">
        <v>705</v>
      </c>
      <c r="AJ974" s="92" t="s">
        <v>184</v>
      </c>
      <c r="AK974" s="92" t="s">
        <v>184</v>
      </c>
      <c r="AL974" s="92" t="s">
        <v>227</v>
      </c>
      <c r="AM974" s="92" t="s">
        <v>1168</v>
      </c>
      <c r="AQ974" s="6" t="s">
        <v>186</v>
      </c>
      <c r="AR974" s="92" t="s">
        <v>187</v>
      </c>
      <c r="AS974" s="92" t="s">
        <v>186</v>
      </c>
      <c r="AT974" s="92" t="s">
        <v>186</v>
      </c>
      <c r="AU974" s="92" t="s">
        <v>187</v>
      </c>
      <c r="AV974" s="92" t="s">
        <v>187</v>
      </c>
      <c r="AW974" s="92" t="s">
        <v>186</v>
      </c>
      <c r="AX974" s="92" t="s">
        <v>186</v>
      </c>
      <c r="AY974" s="92" t="s">
        <v>186</v>
      </c>
      <c r="BC974" s="60">
        <v>88225369671</v>
      </c>
      <c r="BD974" s="93">
        <v>85601278891</v>
      </c>
      <c r="BE974" s="93">
        <v>81227684657</v>
      </c>
      <c r="BF974" s="93">
        <v>85366603126</v>
      </c>
      <c r="BG974" s="93">
        <v>81227794142</v>
      </c>
      <c r="BH974" s="93">
        <v>81339380282</v>
      </c>
      <c r="BI974" s="93">
        <v>89644325209</v>
      </c>
      <c r="BJ974" s="93">
        <v>81357975792</v>
      </c>
      <c r="BK974" s="93">
        <v>8615120180150</v>
      </c>
      <c r="BP974" s="18" t="s">
        <v>11624</v>
      </c>
      <c r="BQ974" s="37">
        <v>45320</v>
      </c>
      <c r="BR974" s="8">
        <f t="shared" si="3"/>
        <v>9</v>
      </c>
    </row>
    <row r="975" spans="1:70" ht="14">
      <c r="A975" s="4" t="str">
        <v>Reguler Periode ke-119 XVII.B.1</v>
      </c>
      <c r="B975" s="4" t="s">
        <v>9561</v>
      </c>
      <c r="C975" s="4" t="s">
        <v>4408</v>
      </c>
      <c r="D975" s="4" t="s">
        <v>11625</v>
      </c>
      <c r="E975" s="4" t="s">
        <v>4519</v>
      </c>
      <c r="F975" s="4" t="s">
        <v>11242</v>
      </c>
      <c r="G975" s="6" t="s">
        <v>11626</v>
      </c>
      <c r="H975" s="92" t="s">
        <v>11627</v>
      </c>
      <c r="I975" s="92" t="s">
        <v>1655</v>
      </c>
      <c r="J975" s="92" t="s">
        <v>11628</v>
      </c>
      <c r="K975" s="92" t="s">
        <v>11629</v>
      </c>
      <c r="L975" s="92" t="s">
        <v>11630</v>
      </c>
      <c r="M975" s="92" t="s">
        <v>11631</v>
      </c>
      <c r="N975" s="92" t="s">
        <v>11632</v>
      </c>
      <c r="O975" s="92" t="s">
        <v>11633</v>
      </c>
      <c r="S975" s="6">
        <v>2000005025</v>
      </c>
      <c r="T975" s="92">
        <v>2000011185</v>
      </c>
      <c r="U975" s="92">
        <v>2000011236</v>
      </c>
      <c r="V975" s="92">
        <v>2000018089</v>
      </c>
      <c r="W975" s="92">
        <v>2000019093</v>
      </c>
      <c r="X975" s="92">
        <v>2000030200</v>
      </c>
      <c r="Y975" s="92">
        <v>2000030243</v>
      </c>
      <c r="Z975" s="92">
        <v>2000036075</v>
      </c>
      <c r="AA975" s="92">
        <v>2223025081</v>
      </c>
      <c r="AE975" s="6" t="s">
        <v>181</v>
      </c>
      <c r="AF975" s="92" t="s">
        <v>182</v>
      </c>
      <c r="AG975" s="92" t="s">
        <v>182</v>
      </c>
      <c r="AH975" s="92" t="s">
        <v>179</v>
      </c>
      <c r="AI975" s="92" t="s">
        <v>705</v>
      </c>
      <c r="AJ975" s="92" t="s">
        <v>184</v>
      </c>
      <c r="AK975" s="92" t="s">
        <v>184</v>
      </c>
      <c r="AL975" s="92" t="s">
        <v>227</v>
      </c>
      <c r="AM975" s="92" t="s">
        <v>1168</v>
      </c>
      <c r="AQ975" s="6" t="s">
        <v>186</v>
      </c>
      <c r="AR975" s="92" t="s">
        <v>186</v>
      </c>
      <c r="AS975" s="92" t="s">
        <v>187</v>
      </c>
      <c r="AT975" s="92" t="s">
        <v>186</v>
      </c>
      <c r="AU975" s="92" t="s">
        <v>187</v>
      </c>
      <c r="AV975" s="92" t="s">
        <v>186</v>
      </c>
      <c r="AW975" s="92" t="s">
        <v>187</v>
      </c>
      <c r="AX975" s="92" t="s">
        <v>186</v>
      </c>
      <c r="AY975" s="92" t="s">
        <v>186</v>
      </c>
      <c r="BC975" s="60">
        <v>89636992720</v>
      </c>
      <c r="BD975" s="93">
        <v>88216770742</v>
      </c>
      <c r="BE975" s="93">
        <v>82132723279</v>
      </c>
      <c r="BF975" s="93">
        <v>85701777028</v>
      </c>
      <c r="BG975" s="93">
        <v>85842051291</v>
      </c>
      <c r="BH975" s="93">
        <v>87758888392</v>
      </c>
      <c r="BI975" s="93">
        <v>85225097223</v>
      </c>
      <c r="BJ975" s="93">
        <v>895386278229</v>
      </c>
      <c r="BK975" s="93">
        <v>17677622084</v>
      </c>
      <c r="BP975" s="18" t="s">
        <v>11634</v>
      </c>
      <c r="BQ975" s="37">
        <v>45320</v>
      </c>
      <c r="BR975" s="8">
        <f t="shared" si="3"/>
        <v>9</v>
      </c>
    </row>
    <row r="976" spans="1:70" ht="14">
      <c r="A976" s="4" t="str">
        <v>Reguler Periode ke-119 XVII.B.2</v>
      </c>
      <c r="B976" s="4" t="s">
        <v>9561</v>
      </c>
      <c r="C976" s="4" t="s">
        <v>4421</v>
      </c>
      <c r="D976" s="4" t="s">
        <v>11625</v>
      </c>
      <c r="E976" s="4" t="s">
        <v>4581</v>
      </c>
      <c r="F976" s="4" t="s">
        <v>11242</v>
      </c>
      <c r="G976" s="6" t="s">
        <v>11635</v>
      </c>
      <c r="H976" s="92" t="s">
        <v>11636</v>
      </c>
      <c r="I976" s="92" t="s">
        <v>11637</v>
      </c>
      <c r="J976" s="92" t="s">
        <v>11638</v>
      </c>
      <c r="K976" s="92" t="s">
        <v>11639</v>
      </c>
      <c r="L976" s="92" t="s">
        <v>11640</v>
      </c>
      <c r="M976" s="92" t="s">
        <v>11641</v>
      </c>
      <c r="N976" s="92" t="s">
        <v>11216</v>
      </c>
      <c r="O976" s="92" t="s">
        <v>11642</v>
      </c>
      <c r="S976" s="6">
        <v>2000005139</v>
      </c>
      <c r="T976" s="92">
        <v>2000011425</v>
      </c>
      <c r="U976" s="92">
        <v>2000012101</v>
      </c>
      <c r="V976" s="92">
        <v>2000018279</v>
      </c>
      <c r="W976" s="92">
        <v>2000019107</v>
      </c>
      <c r="X976" s="92">
        <v>2000030003</v>
      </c>
      <c r="Y976" s="92">
        <v>2000030101</v>
      </c>
      <c r="Z976" s="92">
        <v>2000036098</v>
      </c>
      <c r="AA976" s="92">
        <v>2223025073</v>
      </c>
      <c r="AE976" s="6" t="s">
        <v>181</v>
      </c>
      <c r="AF976" s="92" t="s">
        <v>182</v>
      </c>
      <c r="AG976" s="92" t="s">
        <v>885</v>
      </c>
      <c r="AH976" s="92" t="s">
        <v>179</v>
      </c>
      <c r="AI976" s="92" t="s">
        <v>705</v>
      </c>
      <c r="AJ976" s="92" t="s">
        <v>184</v>
      </c>
      <c r="AK976" s="92" t="s">
        <v>184</v>
      </c>
      <c r="AL976" s="92" t="s">
        <v>227</v>
      </c>
      <c r="AM976" s="92" t="s">
        <v>1168</v>
      </c>
      <c r="AQ976" s="6" t="s">
        <v>186</v>
      </c>
      <c r="AR976" s="92" t="s">
        <v>186</v>
      </c>
      <c r="AS976" s="92" t="s">
        <v>187</v>
      </c>
      <c r="AT976" s="92" t="s">
        <v>186</v>
      </c>
      <c r="AU976" s="92" t="s">
        <v>187</v>
      </c>
      <c r="AV976" s="92" t="s">
        <v>187</v>
      </c>
      <c r="AW976" s="92" t="s">
        <v>186</v>
      </c>
      <c r="AX976" s="92" t="s">
        <v>186</v>
      </c>
      <c r="AY976" s="92" t="s">
        <v>186</v>
      </c>
      <c r="BC976" s="60">
        <v>85701669081</v>
      </c>
      <c r="BD976" s="93">
        <v>8818512317</v>
      </c>
      <c r="BE976" s="93">
        <v>85659787848</v>
      </c>
      <c r="BF976" s="93">
        <v>85803720794</v>
      </c>
      <c r="BG976" s="93">
        <v>82134934030</v>
      </c>
      <c r="BH976" s="93">
        <v>81535295926</v>
      </c>
      <c r="BI976" s="93">
        <v>81237555918</v>
      </c>
      <c r="BJ976" s="93">
        <v>82246496568</v>
      </c>
      <c r="BK976" s="93">
        <v>19872942463</v>
      </c>
      <c r="BP976" s="18" t="s">
        <v>11643</v>
      </c>
      <c r="BQ976" s="37">
        <v>45320</v>
      </c>
      <c r="BR976" s="8">
        <f t="shared" si="3"/>
        <v>9</v>
      </c>
    </row>
    <row r="977" spans="1:70" ht="14">
      <c r="A977" s="4" t="str">
        <v>Reguler Periode ke-119 XVII.B.3</v>
      </c>
      <c r="B977" s="4" t="s">
        <v>9561</v>
      </c>
      <c r="C977" s="4" t="s">
        <v>4433</v>
      </c>
      <c r="D977" s="4" t="s">
        <v>11625</v>
      </c>
      <c r="E977" s="4" t="s">
        <v>11644</v>
      </c>
      <c r="F977" s="4" t="s">
        <v>11242</v>
      </c>
      <c r="G977" s="6" t="s">
        <v>11645</v>
      </c>
      <c r="H977" s="92" t="s">
        <v>11646</v>
      </c>
      <c r="I977" s="92" t="s">
        <v>11647</v>
      </c>
      <c r="J977" s="92" t="s">
        <v>11648</v>
      </c>
      <c r="K977" s="92" t="s">
        <v>11649</v>
      </c>
      <c r="L977" s="92" t="s">
        <v>11650</v>
      </c>
      <c r="M977" s="92" t="s">
        <v>11651</v>
      </c>
      <c r="N977" s="92" t="s">
        <v>11652</v>
      </c>
      <c r="O977" s="92" t="s">
        <v>11653</v>
      </c>
      <c r="S977" s="6">
        <v>2000005081</v>
      </c>
      <c r="T977" s="92">
        <v>2000011115</v>
      </c>
      <c r="U977" s="92">
        <v>2000012093</v>
      </c>
      <c r="V977" s="92">
        <v>2000018242</v>
      </c>
      <c r="W977" s="92">
        <v>2000019046</v>
      </c>
      <c r="X977" s="92">
        <v>2000030054</v>
      </c>
      <c r="Y977" s="92">
        <v>2000030195</v>
      </c>
      <c r="Z977" s="92">
        <v>2000036107</v>
      </c>
      <c r="AA977" s="92">
        <v>2223025069</v>
      </c>
      <c r="AE977" s="6" t="s">
        <v>181</v>
      </c>
      <c r="AF977" s="92" t="s">
        <v>182</v>
      </c>
      <c r="AG977" s="92" t="s">
        <v>885</v>
      </c>
      <c r="AH977" s="92" t="s">
        <v>179</v>
      </c>
      <c r="AI977" s="92" t="s">
        <v>705</v>
      </c>
      <c r="AJ977" s="92" t="s">
        <v>184</v>
      </c>
      <c r="AK977" s="92" t="s">
        <v>184</v>
      </c>
      <c r="AL977" s="92" t="s">
        <v>227</v>
      </c>
      <c r="AM977" s="92" t="s">
        <v>1168</v>
      </c>
      <c r="AQ977" s="6" t="s">
        <v>186</v>
      </c>
      <c r="AR977" s="92" t="s">
        <v>186</v>
      </c>
      <c r="AS977" s="92" t="s">
        <v>187</v>
      </c>
      <c r="AT977" s="92" t="s">
        <v>186</v>
      </c>
      <c r="AU977" s="92" t="s">
        <v>187</v>
      </c>
      <c r="AV977" s="92" t="s">
        <v>187</v>
      </c>
      <c r="AW977" s="92" t="s">
        <v>186</v>
      </c>
      <c r="AX977" s="92" t="s">
        <v>186</v>
      </c>
      <c r="AY977" s="92" t="s">
        <v>186</v>
      </c>
      <c r="BC977" s="60" t="s">
        <v>11654</v>
      </c>
      <c r="BD977" s="93">
        <v>81234215190</v>
      </c>
      <c r="BE977" s="93">
        <v>82289875354</v>
      </c>
      <c r="BF977" s="93">
        <v>82328476805</v>
      </c>
      <c r="BG977" s="93">
        <v>85271105798</v>
      </c>
      <c r="BH977" s="93">
        <v>89528831476</v>
      </c>
      <c r="BI977" s="93">
        <v>87863847181</v>
      </c>
      <c r="BJ977" s="93">
        <v>83105563833</v>
      </c>
      <c r="BK977" s="93">
        <v>8615077492630</v>
      </c>
      <c r="BP977" s="18" t="s">
        <v>11655</v>
      </c>
      <c r="BQ977" s="37">
        <v>45320</v>
      </c>
      <c r="BR977" s="8">
        <f t="shared" si="3"/>
        <v>9</v>
      </c>
    </row>
    <row r="978" spans="1:70" ht="14">
      <c r="A978" s="4" t="str">
        <v>Reguler Periode ke-119 XVII.C.1</v>
      </c>
      <c r="B978" s="4" t="s">
        <v>9561</v>
      </c>
      <c r="C978" s="4" t="s">
        <v>4445</v>
      </c>
      <c r="D978" s="4" t="s">
        <v>11656</v>
      </c>
      <c r="E978" s="4" t="s">
        <v>11657</v>
      </c>
      <c r="F978" s="4" t="s">
        <v>11242</v>
      </c>
      <c r="G978" s="6" t="s">
        <v>11658</v>
      </c>
      <c r="H978" s="92" t="s">
        <v>11659</v>
      </c>
      <c r="I978" s="92" t="s">
        <v>11660</v>
      </c>
      <c r="J978" s="92" t="s">
        <v>11661</v>
      </c>
      <c r="K978" s="92" t="s">
        <v>11662</v>
      </c>
      <c r="L978" s="92" t="s">
        <v>11663</v>
      </c>
      <c r="M978" s="92" t="s">
        <v>11664</v>
      </c>
      <c r="N978" s="92" t="s">
        <v>11665</v>
      </c>
      <c r="O978" s="92" t="s">
        <v>11666</v>
      </c>
      <c r="S978" s="6">
        <v>2000005224</v>
      </c>
      <c r="T978" s="92">
        <v>2000011340</v>
      </c>
      <c r="U978" s="92">
        <v>2000012016</v>
      </c>
      <c r="V978" s="92">
        <v>2000018041</v>
      </c>
      <c r="W978" s="92">
        <v>2000019065</v>
      </c>
      <c r="X978" s="92">
        <v>2000025042</v>
      </c>
      <c r="Y978" s="92">
        <v>2000030184</v>
      </c>
      <c r="Z978" s="92">
        <v>2000030185</v>
      </c>
      <c r="AA978" s="92">
        <v>2000036147</v>
      </c>
      <c r="AE978" s="6" t="s">
        <v>181</v>
      </c>
      <c r="AF978" s="92" t="s">
        <v>182</v>
      </c>
      <c r="AG978" s="92" t="s">
        <v>885</v>
      </c>
      <c r="AH978" s="92" t="s">
        <v>179</v>
      </c>
      <c r="AI978" s="92" t="s">
        <v>705</v>
      </c>
      <c r="AJ978" s="92" t="s">
        <v>1168</v>
      </c>
      <c r="AK978" s="92" t="s">
        <v>184</v>
      </c>
      <c r="AL978" s="92" t="s">
        <v>184</v>
      </c>
      <c r="AM978" s="92" t="s">
        <v>227</v>
      </c>
      <c r="AQ978" s="6" t="s">
        <v>186</v>
      </c>
      <c r="AR978" s="92" t="s">
        <v>186</v>
      </c>
      <c r="AS978" s="92" t="s">
        <v>187</v>
      </c>
      <c r="AT978" s="92" t="s">
        <v>186</v>
      </c>
      <c r="AU978" s="92" t="s">
        <v>187</v>
      </c>
      <c r="AV978" s="92" t="s">
        <v>186</v>
      </c>
      <c r="AW978" s="92" t="s">
        <v>186</v>
      </c>
      <c r="AX978" s="92" t="s">
        <v>187</v>
      </c>
      <c r="AY978" s="92" t="s">
        <v>186</v>
      </c>
      <c r="BC978" s="60">
        <v>85702660223</v>
      </c>
      <c r="BD978" s="93">
        <v>895726052</v>
      </c>
      <c r="BE978" s="93">
        <v>85237144077</v>
      </c>
      <c r="BF978" s="93">
        <v>82129245303</v>
      </c>
      <c r="BG978" s="93">
        <v>881025613600</v>
      </c>
      <c r="BH978" s="93">
        <v>82339097481</v>
      </c>
      <c r="BI978" s="93">
        <v>81284260206</v>
      </c>
      <c r="BJ978" s="93">
        <v>82228247535</v>
      </c>
      <c r="BK978" s="93">
        <v>81911970947</v>
      </c>
      <c r="BP978" s="18" t="s">
        <v>11667</v>
      </c>
      <c r="BQ978" s="37">
        <v>45320</v>
      </c>
      <c r="BR978" s="8">
        <f t="shared" si="3"/>
        <v>9</v>
      </c>
    </row>
    <row r="979" spans="1:70" ht="14">
      <c r="A979" s="4" t="str">
        <v>Reguler Periode ke-119 XVII.C.2</v>
      </c>
      <c r="B979" s="4" t="s">
        <v>9561</v>
      </c>
      <c r="C979" s="4" t="s">
        <v>4458</v>
      </c>
      <c r="D979" s="4" t="s">
        <v>11656</v>
      </c>
      <c r="E979" s="4" t="s">
        <v>4494</v>
      </c>
      <c r="F979" s="4" t="s">
        <v>11242</v>
      </c>
      <c r="G979" s="6" t="s">
        <v>11668</v>
      </c>
      <c r="H979" s="92" t="s">
        <v>11669</v>
      </c>
      <c r="I979" s="92" t="s">
        <v>11670</v>
      </c>
      <c r="J979" s="92" t="s">
        <v>11671</v>
      </c>
      <c r="K979" s="92" t="s">
        <v>11672</v>
      </c>
      <c r="L979" s="92" t="s">
        <v>11673</v>
      </c>
      <c r="M979" s="92" t="s">
        <v>11674</v>
      </c>
      <c r="N979" s="92" t="s">
        <v>11675</v>
      </c>
      <c r="O979" s="92" t="s">
        <v>11676</v>
      </c>
      <c r="S979" s="6">
        <v>2000005235</v>
      </c>
      <c r="T979" s="92">
        <v>2000011267</v>
      </c>
      <c r="U979" s="92">
        <v>2000012143</v>
      </c>
      <c r="V979" s="92">
        <v>2000018438</v>
      </c>
      <c r="W979" s="92">
        <v>2000019144</v>
      </c>
      <c r="X979" s="92">
        <v>2000030190</v>
      </c>
      <c r="Y979" s="92">
        <v>2000030227</v>
      </c>
      <c r="Z979" s="92">
        <v>2000036039</v>
      </c>
      <c r="AA979" s="92">
        <v>2223025084</v>
      </c>
      <c r="AE979" s="6" t="s">
        <v>181</v>
      </c>
      <c r="AF979" s="92" t="s">
        <v>182</v>
      </c>
      <c r="AG979" s="92" t="s">
        <v>885</v>
      </c>
      <c r="AH979" s="92" t="s">
        <v>179</v>
      </c>
      <c r="AI979" s="92" t="s">
        <v>705</v>
      </c>
      <c r="AJ979" s="92" t="s">
        <v>184</v>
      </c>
      <c r="AK979" s="92" t="s">
        <v>184</v>
      </c>
      <c r="AL979" s="92" t="s">
        <v>227</v>
      </c>
      <c r="AM979" s="92" t="s">
        <v>1168</v>
      </c>
      <c r="AQ979" s="6" t="s">
        <v>186</v>
      </c>
      <c r="AR979" s="92" t="s">
        <v>186</v>
      </c>
      <c r="AS979" s="92" t="s">
        <v>187</v>
      </c>
      <c r="AT979" s="92" t="s">
        <v>186</v>
      </c>
      <c r="AU979" s="92" t="s">
        <v>187</v>
      </c>
      <c r="AV979" s="92" t="s">
        <v>186</v>
      </c>
      <c r="AW979" s="92" t="s">
        <v>187</v>
      </c>
      <c r="AX979" s="92" t="s">
        <v>186</v>
      </c>
      <c r="AY979" s="92" t="s">
        <v>186</v>
      </c>
      <c r="BC979" s="60">
        <v>82299428266</v>
      </c>
      <c r="BD979" s="93">
        <v>85771791208</v>
      </c>
      <c r="BE979" s="93">
        <v>82219325603</v>
      </c>
      <c r="BF979" s="93">
        <v>82341655853</v>
      </c>
      <c r="BG979" s="93">
        <v>89517285006</v>
      </c>
      <c r="BH979" s="93">
        <v>81312082859</v>
      </c>
      <c r="BI979" s="93">
        <v>85600449551</v>
      </c>
      <c r="BJ979" s="93">
        <v>85386537447</v>
      </c>
      <c r="BK979" s="93">
        <v>8615577161537</v>
      </c>
      <c r="BP979" s="18" t="s">
        <v>11677</v>
      </c>
      <c r="BQ979" s="37">
        <v>45320</v>
      </c>
      <c r="BR979" s="8">
        <f t="shared" si="3"/>
        <v>9</v>
      </c>
    </row>
    <row r="980" spans="1:70" ht="14">
      <c r="A980" s="4" t="str">
        <v>Reguler Periode ke-119 XVII.C.3</v>
      </c>
      <c r="B980" s="4" t="s">
        <v>9561</v>
      </c>
      <c r="C980" s="4" t="s">
        <v>4469</v>
      </c>
      <c r="D980" s="4" t="s">
        <v>11656</v>
      </c>
      <c r="E980" s="4" t="s">
        <v>11678</v>
      </c>
      <c r="F980" s="4" t="s">
        <v>11242</v>
      </c>
      <c r="G980" s="6" t="s">
        <v>11679</v>
      </c>
      <c r="H980" s="92" t="s">
        <v>11680</v>
      </c>
      <c r="I980" s="92" t="s">
        <v>11681</v>
      </c>
      <c r="J980" s="92" t="s">
        <v>11682</v>
      </c>
      <c r="K980" s="92" t="s">
        <v>11683</v>
      </c>
      <c r="L980" s="92" t="s">
        <v>11684</v>
      </c>
      <c r="M980" s="92" t="s">
        <v>11685</v>
      </c>
      <c r="N980" s="92" t="s">
        <v>11686</v>
      </c>
      <c r="O980" s="92" t="s">
        <v>11687</v>
      </c>
      <c r="S980" s="6">
        <v>2000005072</v>
      </c>
      <c r="T980" s="92">
        <v>2000011072</v>
      </c>
      <c r="U980" s="92">
        <v>2000012051</v>
      </c>
      <c r="V980" s="92">
        <v>2000018290</v>
      </c>
      <c r="W980" s="92">
        <v>2000019134</v>
      </c>
      <c r="X980" s="92">
        <v>2000025025</v>
      </c>
      <c r="Y980" s="92">
        <v>2000030045</v>
      </c>
      <c r="Z980" s="92">
        <v>2000030236</v>
      </c>
      <c r="AA980" s="92">
        <v>2000036118</v>
      </c>
      <c r="AE980" s="6" t="s">
        <v>181</v>
      </c>
      <c r="AF980" s="92" t="s">
        <v>182</v>
      </c>
      <c r="AG980" s="92" t="s">
        <v>885</v>
      </c>
      <c r="AH980" s="92" t="s">
        <v>179</v>
      </c>
      <c r="AI980" s="92" t="s">
        <v>705</v>
      </c>
      <c r="AJ980" s="92" t="s">
        <v>1168</v>
      </c>
      <c r="AK980" s="92" t="s">
        <v>184</v>
      </c>
      <c r="AL980" s="92" t="s">
        <v>184</v>
      </c>
      <c r="AM980" s="92" t="s">
        <v>227</v>
      </c>
      <c r="AQ980" s="6" t="s">
        <v>186</v>
      </c>
      <c r="AR980" s="92" t="s">
        <v>186</v>
      </c>
      <c r="AS980" s="92" t="s">
        <v>187</v>
      </c>
      <c r="AT980" s="92" t="s">
        <v>186</v>
      </c>
      <c r="AU980" s="92" t="s">
        <v>187</v>
      </c>
      <c r="AV980" s="92" t="s">
        <v>186</v>
      </c>
      <c r="AW980" s="92" t="s">
        <v>187</v>
      </c>
      <c r="AX980" s="92" t="s">
        <v>186</v>
      </c>
      <c r="AY980" s="92" t="s">
        <v>186</v>
      </c>
      <c r="BC980" s="60">
        <v>89674593235</v>
      </c>
      <c r="BD980" s="93">
        <v>8562870184</v>
      </c>
      <c r="BE980" s="93">
        <v>82269622922</v>
      </c>
      <c r="BF980" s="93">
        <v>82171745972</v>
      </c>
      <c r="BG980" s="93">
        <v>83866238587</v>
      </c>
      <c r="BH980" s="93">
        <v>83899613103</v>
      </c>
      <c r="BI980" s="93">
        <v>81273236951</v>
      </c>
      <c r="BJ980" s="93">
        <v>87877493785</v>
      </c>
      <c r="BK980" s="93">
        <v>859166371091</v>
      </c>
      <c r="BP980" s="18" t="s">
        <v>11688</v>
      </c>
      <c r="BQ980" s="37">
        <v>45320</v>
      </c>
      <c r="BR980" s="8">
        <f t="shared" si="3"/>
        <v>9</v>
      </c>
    </row>
    <row r="981" spans="1:70" ht="14">
      <c r="A981" s="4" t="str">
        <v>Reguler Periode ke-119 XVII.D.1</v>
      </c>
      <c r="B981" s="4" t="s">
        <v>9561</v>
      </c>
      <c r="C981" s="4" t="s">
        <v>4481</v>
      </c>
      <c r="D981" s="4" t="s">
        <v>11689</v>
      </c>
      <c r="E981" s="4" t="s">
        <v>11690</v>
      </c>
      <c r="F981" s="4" t="s">
        <v>11242</v>
      </c>
      <c r="G981" s="6" t="s">
        <v>11691</v>
      </c>
      <c r="H981" s="92" t="s">
        <v>11692</v>
      </c>
      <c r="I981" s="92" t="s">
        <v>11693</v>
      </c>
      <c r="J981" s="92" t="s">
        <v>11694</v>
      </c>
      <c r="K981" s="92" t="s">
        <v>11695</v>
      </c>
      <c r="L981" s="92" t="s">
        <v>11696</v>
      </c>
      <c r="M981" s="92" t="s">
        <v>11697</v>
      </c>
      <c r="N981" s="92" t="s">
        <v>11698</v>
      </c>
      <c r="O981" s="92" t="s">
        <v>11699</v>
      </c>
      <c r="S981" s="6">
        <v>1900030416</v>
      </c>
      <c r="T981" s="92">
        <v>2000005092</v>
      </c>
      <c r="U981" s="92">
        <v>2000011161</v>
      </c>
      <c r="V981" s="92">
        <v>2000012018</v>
      </c>
      <c r="W981" s="92">
        <v>2000018394</v>
      </c>
      <c r="X981" s="92">
        <v>2000019038</v>
      </c>
      <c r="Y981" s="92">
        <v>2000030224</v>
      </c>
      <c r="Z981" s="92">
        <v>2000036026</v>
      </c>
      <c r="AA981" s="92">
        <v>2223025066</v>
      </c>
      <c r="AE981" s="6" t="s">
        <v>184</v>
      </c>
      <c r="AF981" s="92" t="s">
        <v>181</v>
      </c>
      <c r="AG981" s="92" t="s">
        <v>182</v>
      </c>
      <c r="AH981" s="92" t="s">
        <v>885</v>
      </c>
      <c r="AI981" s="92" t="s">
        <v>179</v>
      </c>
      <c r="AJ981" s="92" t="s">
        <v>705</v>
      </c>
      <c r="AK981" s="92" t="s">
        <v>184</v>
      </c>
      <c r="AL981" s="92" t="s">
        <v>227</v>
      </c>
      <c r="AM981" s="92" t="s">
        <v>1168</v>
      </c>
      <c r="AQ981" s="6" t="s">
        <v>186</v>
      </c>
      <c r="AR981" s="92" t="s">
        <v>186</v>
      </c>
      <c r="AS981" s="92" t="s">
        <v>186</v>
      </c>
      <c r="AT981" s="92" t="s">
        <v>187</v>
      </c>
      <c r="AU981" s="92" t="s">
        <v>186</v>
      </c>
      <c r="AV981" s="92" t="s">
        <v>187</v>
      </c>
      <c r="AW981" s="92" t="s">
        <v>187</v>
      </c>
      <c r="AX981" s="92" t="s">
        <v>186</v>
      </c>
      <c r="AY981" s="92" t="s">
        <v>186</v>
      </c>
      <c r="BC981" s="60">
        <v>82282426322</v>
      </c>
      <c r="BD981" s="93">
        <v>82281836024</v>
      </c>
      <c r="BE981" s="93">
        <v>88232402924</v>
      </c>
      <c r="BF981" s="93">
        <v>85232351419</v>
      </c>
      <c r="BG981" s="93">
        <v>82264023495</v>
      </c>
      <c r="BH981" s="93">
        <v>85749257598</v>
      </c>
      <c r="BI981" s="93"/>
      <c r="BJ981" s="93">
        <v>81393139563</v>
      </c>
      <c r="BK981" s="93">
        <v>8617687556407</v>
      </c>
      <c r="BP981" s="18" t="s">
        <v>11700</v>
      </c>
      <c r="BQ981" s="37">
        <v>45320</v>
      </c>
      <c r="BR981" s="8">
        <f t="shared" si="3"/>
        <v>9</v>
      </c>
    </row>
    <row r="982" spans="1:70" ht="14">
      <c r="A982" s="4" t="str">
        <v>Reguler Periode ke-119 XVII.D.2</v>
      </c>
      <c r="B982" s="4" t="s">
        <v>9561</v>
      </c>
      <c r="C982" s="4" t="s">
        <v>4493</v>
      </c>
      <c r="D982" s="4" t="s">
        <v>11689</v>
      </c>
      <c r="E982" s="4" t="s">
        <v>4506</v>
      </c>
      <c r="F982" s="4" t="s">
        <v>11242</v>
      </c>
      <c r="G982" s="6" t="s">
        <v>11701</v>
      </c>
      <c r="H982" s="92" t="s">
        <v>3014</v>
      </c>
      <c r="I982" s="92" t="s">
        <v>11702</v>
      </c>
      <c r="J982" s="92" t="s">
        <v>11703</v>
      </c>
      <c r="K982" s="92" t="s">
        <v>11704</v>
      </c>
      <c r="L982" s="92" t="s">
        <v>11705</v>
      </c>
      <c r="M982" s="92" t="s">
        <v>11706</v>
      </c>
      <c r="N982" s="92" t="s">
        <v>11707</v>
      </c>
      <c r="O982" s="92" t="s">
        <v>11708</v>
      </c>
      <c r="S982" s="6">
        <v>1800012129</v>
      </c>
      <c r="T982" s="92">
        <v>1900019162</v>
      </c>
      <c r="U982" s="92">
        <v>1900026149</v>
      </c>
      <c r="V982" s="92">
        <v>2000005013</v>
      </c>
      <c r="W982" s="92">
        <v>2000011409</v>
      </c>
      <c r="X982" s="92">
        <v>2000018274</v>
      </c>
      <c r="Y982" s="92">
        <v>2000030090</v>
      </c>
      <c r="Z982" s="92">
        <v>2000030114</v>
      </c>
      <c r="AA982" s="92">
        <v>2000036025</v>
      </c>
      <c r="AE982" s="6" t="s">
        <v>885</v>
      </c>
      <c r="AF982" s="92" t="s">
        <v>705</v>
      </c>
      <c r="AG982" s="92" t="s">
        <v>570</v>
      </c>
      <c r="AH982" s="92" t="s">
        <v>181</v>
      </c>
      <c r="AI982" s="92" t="s">
        <v>182</v>
      </c>
      <c r="AJ982" s="92" t="s">
        <v>179</v>
      </c>
      <c r="AK982" s="92" t="s">
        <v>184</v>
      </c>
      <c r="AL982" s="92" t="s">
        <v>184</v>
      </c>
      <c r="AM982" s="92" t="s">
        <v>227</v>
      </c>
      <c r="AQ982" s="6" t="s">
        <v>187</v>
      </c>
      <c r="AR982" s="92" t="s">
        <v>187</v>
      </c>
      <c r="AS982" s="92" t="s">
        <v>186</v>
      </c>
      <c r="AT982" s="92" t="s">
        <v>186</v>
      </c>
      <c r="AU982" s="92" t="s">
        <v>186</v>
      </c>
      <c r="AV982" s="92" t="s">
        <v>186</v>
      </c>
      <c r="AW982" s="92" t="s">
        <v>186</v>
      </c>
      <c r="AX982" s="92" t="s">
        <v>187</v>
      </c>
      <c r="AY982" s="92" t="s">
        <v>186</v>
      </c>
      <c r="BC982" s="60">
        <v>85186818626</v>
      </c>
      <c r="BD982" s="93">
        <v>81350770357</v>
      </c>
      <c r="BE982" s="93">
        <v>87728556685</v>
      </c>
      <c r="BF982" s="93">
        <v>81235877758</v>
      </c>
      <c r="BG982" s="93">
        <v>859188354720</v>
      </c>
      <c r="BH982" s="93">
        <v>85385610996</v>
      </c>
      <c r="BI982" s="93">
        <v>81236366786</v>
      </c>
      <c r="BJ982" s="93">
        <v>81330242230</v>
      </c>
      <c r="BK982" s="93">
        <v>85348331089</v>
      </c>
      <c r="BP982" s="18" t="s">
        <v>11709</v>
      </c>
      <c r="BQ982" s="37">
        <v>45320</v>
      </c>
      <c r="BR982" s="8">
        <f t="shared" si="3"/>
        <v>9</v>
      </c>
    </row>
    <row r="983" spans="1:70" ht="14">
      <c r="A983" s="4" t="str">
        <v>Reguler Periode ke-119 XVII.D.3</v>
      </c>
      <c r="B983" s="4" t="s">
        <v>9561</v>
      </c>
      <c r="C983" s="4" t="s">
        <v>4505</v>
      </c>
      <c r="D983" s="4" t="s">
        <v>11689</v>
      </c>
      <c r="E983" s="4" t="s">
        <v>11710</v>
      </c>
      <c r="F983" s="4" t="s">
        <v>11242</v>
      </c>
      <c r="G983" s="6" t="s">
        <v>11711</v>
      </c>
      <c r="H983" s="92" t="s">
        <v>11712</v>
      </c>
      <c r="I983" s="92" t="s">
        <v>11713</v>
      </c>
      <c r="J983" s="92" t="s">
        <v>11714</v>
      </c>
      <c r="K983" s="92" t="s">
        <v>11715</v>
      </c>
      <c r="L983" s="92" t="s">
        <v>11716</v>
      </c>
      <c r="M983" s="92" t="s">
        <v>11717</v>
      </c>
      <c r="N983" s="92" t="s">
        <v>11718</v>
      </c>
      <c r="O983" s="92" t="s">
        <v>11719</v>
      </c>
      <c r="S983" s="6">
        <v>2000005307</v>
      </c>
      <c r="T983" s="92">
        <v>2000011129</v>
      </c>
      <c r="U983" s="92">
        <v>2000012119</v>
      </c>
      <c r="V983" s="92">
        <v>2000018403</v>
      </c>
      <c r="W983" s="92">
        <v>2000019054</v>
      </c>
      <c r="X983" s="92">
        <v>2000026111</v>
      </c>
      <c r="Y983" s="92">
        <v>2000030109</v>
      </c>
      <c r="Z983" s="92">
        <v>2000030163</v>
      </c>
      <c r="AA983" s="92">
        <v>2000036060</v>
      </c>
      <c r="AE983" s="6" t="s">
        <v>181</v>
      </c>
      <c r="AF983" s="92" t="s">
        <v>182</v>
      </c>
      <c r="AG983" s="92" t="s">
        <v>885</v>
      </c>
      <c r="AH983" s="92" t="s">
        <v>179</v>
      </c>
      <c r="AI983" s="92" t="s">
        <v>705</v>
      </c>
      <c r="AJ983" s="92" t="s">
        <v>570</v>
      </c>
      <c r="AK983" s="92" t="s">
        <v>184</v>
      </c>
      <c r="AL983" s="92" t="s">
        <v>184</v>
      </c>
      <c r="AM983" s="92" t="s">
        <v>227</v>
      </c>
      <c r="AQ983" s="6" t="s">
        <v>186</v>
      </c>
      <c r="AR983" s="92" t="s">
        <v>186</v>
      </c>
      <c r="AS983" s="92" t="s">
        <v>187</v>
      </c>
      <c r="AT983" s="92" t="s">
        <v>186</v>
      </c>
      <c r="AU983" s="92" t="s">
        <v>187</v>
      </c>
      <c r="AV983" s="92" t="s">
        <v>186</v>
      </c>
      <c r="AW983" s="92" t="s">
        <v>187</v>
      </c>
      <c r="AX983" s="92" t="s">
        <v>186</v>
      </c>
      <c r="AY983" s="92" t="s">
        <v>186</v>
      </c>
      <c r="BC983" s="60">
        <v>85878770953</v>
      </c>
      <c r="BD983" s="93">
        <v>82326132195</v>
      </c>
      <c r="BE983" s="93">
        <v>89518406272</v>
      </c>
      <c r="BF983" s="93">
        <v>85270053666</v>
      </c>
      <c r="BG983" s="93">
        <v>82311517200</v>
      </c>
      <c r="BH983" s="93">
        <v>83184654104</v>
      </c>
      <c r="BI983" s="93">
        <v>85795311454</v>
      </c>
      <c r="BJ983" s="93">
        <v>8986024549</v>
      </c>
      <c r="BK983" s="93">
        <v>85780760393</v>
      </c>
      <c r="BP983" s="18" t="s">
        <v>11720</v>
      </c>
      <c r="BQ983" s="37">
        <v>45320</v>
      </c>
      <c r="BR983" s="8">
        <f t="shared" si="3"/>
        <v>9</v>
      </c>
    </row>
    <row r="984" spans="1:70" ht="14">
      <c r="A984" s="4" t="str">
        <v>Reguler Periode ke-119 XVIII.A.1</v>
      </c>
      <c r="B984" s="4" t="s">
        <v>9561</v>
      </c>
      <c r="C984" s="4" t="s">
        <v>4517</v>
      </c>
      <c r="D984" s="4" t="s">
        <v>11721</v>
      </c>
      <c r="E984" s="4" t="s">
        <v>11722</v>
      </c>
      <c r="F984" s="4" t="s">
        <v>11242</v>
      </c>
      <c r="G984" s="6" t="s">
        <v>11723</v>
      </c>
      <c r="H984" s="92" t="s">
        <v>11724</v>
      </c>
      <c r="I984" s="92" t="s">
        <v>11725</v>
      </c>
      <c r="J984" s="92" t="s">
        <v>11726</v>
      </c>
      <c r="K984" s="92" t="s">
        <v>11727</v>
      </c>
      <c r="L984" s="92" t="s">
        <v>11728</v>
      </c>
      <c r="M984" s="92" t="s">
        <v>11729</v>
      </c>
      <c r="N984" s="92" t="s">
        <v>11730</v>
      </c>
      <c r="O984" s="92" t="s">
        <v>11731</v>
      </c>
      <c r="S984" s="6">
        <v>1900030362</v>
      </c>
      <c r="T984" s="92">
        <v>2000005070</v>
      </c>
      <c r="U984" s="92">
        <v>2000011327</v>
      </c>
      <c r="V984" s="92">
        <v>2000012109</v>
      </c>
      <c r="W984" s="92">
        <v>2000018180</v>
      </c>
      <c r="X984" s="92">
        <v>2000019094</v>
      </c>
      <c r="Y984" s="92">
        <v>2000026201</v>
      </c>
      <c r="Z984" s="92">
        <v>2000030199</v>
      </c>
      <c r="AA984" s="92">
        <v>2000036110</v>
      </c>
      <c r="AE984" s="6" t="s">
        <v>184</v>
      </c>
      <c r="AF984" s="92" t="s">
        <v>181</v>
      </c>
      <c r="AG984" s="92" t="s">
        <v>182</v>
      </c>
      <c r="AH984" s="92" t="s">
        <v>885</v>
      </c>
      <c r="AI984" s="92" t="s">
        <v>179</v>
      </c>
      <c r="AJ984" s="92" t="s">
        <v>705</v>
      </c>
      <c r="AK984" s="92" t="s">
        <v>570</v>
      </c>
      <c r="AL984" s="92" t="s">
        <v>184</v>
      </c>
      <c r="AM984" s="92" t="s">
        <v>227</v>
      </c>
      <c r="AQ984" s="6" t="s">
        <v>186</v>
      </c>
      <c r="AR984" s="92" t="s">
        <v>186</v>
      </c>
      <c r="AS984" s="92" t="s">
        <v>186</v>
      </c>
      <c r="AT984" s="92" t="s">
        <v>187</v>
      </c>
      <c r="AU984" s="92" t="s">
        <v>186</v>
      </c>
      <c r="AV984" s="92" t="s">
        <v>187</v>
      </c>
      <c r="AW984" s="92" t="s">
        <v>186</v>
      </c>
      <c r="AX984" s="92" t="s">
        <v>187</v>
      </c>
      <c r="AY984" s="92" t="s">
        <v>186</v>
      </c>
      <c r="BC984" s="60">
        <v>82260765197</v>
      </c>
      <c r="BD984" s="93">
        <v>81367261299</v>
      </c>
      <c r="BE984" s="93">
        <v>81256615791</v>
      </c>
      <c r="BF984" s="93">
        <v>81391034418</v>
      </c>
      <c r="BG984" s="93">
        <v>85380376289</v>
      </c>
      <c r="BH984" s="93">
        <v>81225265247</v>
      </c>
      <c r="BI984" s="93">
        <v>895604949392</v>
      </c>
      <c r="BJ984" s="93">
        <v>81335277597</v>
      </c>
      <c r="BK984" s="93">
        <v>87827027246</v>
      </c>
      <c r="BP984" s="18" t="s">
        <v>11732</v>
      </c>
      <c r="BQ984" s="37">
        <v>45320</v>
      </c>
      <c r="BR984" s="8">
        <f t="shared" si="3"/>
        <v>9</v>
      </c>
    </row>
    <row r="985" spans="1:70" ht="14">
      <c r="A985" s="4" t="str">
        <v>Reguler Periode ke-119 XVIII.A.2</v>
      </c>
      <c r="B985" s="4" t="s">
        <v>9561</v>
      </c>
      <c r="C985" s="4" t="s">
        <v>4530</v>
      </c>
      <c r="D985" s="4" t="s">
        <v>11721</v>
      </c>
      <c r="E985" s="4" t="s">
        <v>4483</v>
      </c>
      <c r="F985" s="4" t="s">
        <v>11242</v>
      </c>
      <c r="G985" s="6" t="s">
        <v>11733</v>
      </c>
      <c r="H985" s="92" t="s">
        <v>11734</v>
      </c>
      <c r="I985" s="92" t="s">
        <v>11735</v>
      </c>
      <c r="J985" s="92" t="s">
        <v>11736</v>
      </c>
      <c r="K985" s="92" t="s">
        <v>11737</v>
      </c>
      <c r="L985" s="92" t="s">
        <v>11738</v>
      </c>
      <c r="M985" s="92" t="s">
        <v>11739</v>
      </c>
      <c r="N985" s="92" t="s">
        <v>11740</v>
      </c>
      <c r="O985" s="92" t="s">
        <v>11741</v>
      </c>
      <c r="S985" s="6">
        <v>2000005263</v>
      </c>
      <c r="T985" s="92">
        <v>2000011428</v>
      </c>
      <c r="U985" s="92">
        <v>2000012085</v>
      </c>
      <c r="V985" s="92">
        <v>2000018093</v>
      </c>
      <c r="W985" s="92">
        <v>2000019166</v>
      </c>
      <c r="X985" s="92">
        <v>2000026182</v>
      </c>
      <c r="Y985" s="92">
        <v>2000030036</v>
      </c>
      <c r="Z985" s="92">
        <v>2000030187</v>
      </c>
      <c r="AA985" s="92">
        <v>2000036158</v>
      </c>
      <c r="AE985" s="6" t="s">
        <v>181</v>
      </c>
      <c r="AF985" s="92" t="s">
        <v>182</v>
      </c>
      <c r="AG985" s="92" t="s">
        <v>885</v>
      </c>
      <c r="AH985" s="92" t="s">
        <v>179</v>
      </c>
      <c r="AI985" s="92" t="s">
        <v>705</v>
      </c>
      <c r="AJ985" s="92" t="s">
        <v>570</v>
      </c>
      <c r="AK985" s="92" t="s">
        <v>184</v>
      </c>
      <c r="AL985" s="92" t="s">
        <v>184</v>
      </c>
      <c r="AM985" s="92" t="s">
        <v>227</v>
      </c>
      <c r="AQ985" s="6" t="s">
        <v>186</v>
      </c>
      <c r="AR985" s="92" t="s">
        <v>186</v>
      </c>
      <c r="AS985" s="92" t="s">
        <v>187</v>
      </c>
      <c r="AT985" s="92" t="s">
        <v>186</v>
      </c>
      <c r="AU985" s="92" t="s">
        <v>187</v>
      </c>
      <c r="AV985" s="92" t="s">
        <v>186</v>
      </c>
      <c r="AW985" s="92" t="s">
        <v>187</v>
      </c>
      <c r="AX985" s="92" t="s">
        <v>186</v>
      </c>
      <c r="AY985" s="92" t="s">
        <v>186</v>
      </c>
      <c r="BC985" s="60">
        <v>81242559917</v>
      </c>
      <c r="BD985" s="93">
        <v>895321391714</v>
      </c>
      <c r="BE985" s="93">
        <v>811581163</v>
      </c>
      <c r="BF985" s="93">
        <v>85848324881</v>
      </c>
      <c r="BG985" s="93">
        <v>82252387556</v>
      </c>
      <c r="BH985" s="93">
        <v>81212541247</v>
      </c>
      <c r="BI985" s="93">
        <v>82131507563</v>
      </c>
      <c r="BJ985" s="93">
        <v>82198513412</v>
      </c>
      <c r="BK985" s="93">
        <v>82171739817</v>
      </c>
      <c r="BP985" s="35" t="s">
        <v>11742</v>
      </c>
      <c r="BQ985" s="37">
        <v>45320</v>
      </c>
      <c r="BR985" s="8">
        <f t="shared" si="3"/>
        <v>9</v>
      </c>
    </row>
    <row r="986" spans="1:70" ht="14">
      <c r="A986" s="4" t="str">
        <v>Reguler Periode ke-119 XVIII.A.3</v>
      </c>
      <c r="B986" s="4" t="s">
        <v>9561</v>
      </c>
      <c r="C986" s="4" t="s">
        <v>4542</v>
      </c>
      <c r="D986" s="4" t="s">
        <v>11721</v>
      </c>
      <c r="E986" s="4" t="s">
        <v>11743</v>
      </c>
      <c r="F986" s="4" t="s">
        <v>11242</v>
      </c>
      <c r="G986" s="6" t="s">
        <v>11744</v>
      </c>
      <c r="H986" s="92" t="s">
        <v>11745</v>
      </c>
      <c r="I986" s="92" t="s">
        <v>11746</v>
      </c>
      <c r="J986" s="92" t="s">
        <v>11747</v>
      </c>
      <c r="K986" s="92" t="s">
        <v>11748</v>
      </c>
      <c r="L986" s="92" t="s">
        <v>11749</v>
      </c>
      <c r="M986" s="92" t="s">
        <v>11750</v>
      </c>
      <c r="N986" s="92" t="s">
        <v>11751</v>
      </c>
      <c r="O986" s="92" t="s">
        <v>11752</v>
      </c>
      <c r="S986" s="6">
        <v>2000005255</v>
      </c>
      <c r="T986" s="92">
        <v>2000011373</v>
      </c>
      <c r="U986" s="92">
        <v>2000012153</v>
      </c>
      <c r="V986" s="92">
        <v>2000018115</v>
      </c>
      <c r="W986" s="92">
        <v>2000019092</v>
      </c>
      <c r="X986" s="92">
        <v>2000026126</v>
      </c>
      <c r="Y986" s="92">
        <v>2000030023</v>
      </c>
      <c r="Z986" s="92">
        <v>2000031256</v>
      </c>
      <c r="AA986" s="92">
        <v>2000036079</v>
      </c>
      <c r="AE986" s="6" t="s">
        <v>181</v>
      </c>
      <c r="AF986" s="92" t="s">
        <v>182</v>
      </c>
      <c r="AG986" s="92" t="s">
        <v>885</v>
      </c>
      <c r="AH986" s="92" t="s">
        <v>179</v>
      </c>
      <c r="AI986" s="92" t="s">
        <v>705</v>
      </c>
      <c r="AJ986" s="92" t="s">
        <v>570</v>
      </c>
      <c r="AK986" s="92" t="s">
        <v>184</v>
      </c>
      <c r="AL986" s="92" t="s">
        <v>185</v>
      </c>
      <c r="AM986" s="92" t="s">
        <v>227</v>
      </c>
      <c r="AQ986" s="6" t="s">
        <v>186</v>
      </c>
      <c r="AR986" s="92" t="s">
        <v>186</v>
      </c>
      <c r="AS986" s="92" t="s">
        <v>187</v>
      </c>
      <c r="AT986" s="92" t="s">
        <v>186</v>
      </c>
      <c r="AU986" s="92" t="s">
        <v>187</v>
      </c>
      <c r="AV986" s="92" t="s">
        <v>186</v>
      </c>
      <c r="AW986" s="92" t="s">
        <v>187</v>
      </c>
      <c r="AX986" s="92" t="s">
        <v>186</v>
      </c>
      <c r="AY986" s="92" t="s">
        <v>186</v>
      </c>
      <c r="BC986" s="60">
        <v>85727756840</v>
      </c>
      <c r="BD986" s="93">
        <v>85838162508</v>
      </c>
      <c r="BE986" s="93">
        <v>85960571703</v>
      </c>
      <c r="BF986" s="93">
        <v>81393275728</v>
      </c>
      <c r="BG986" s="93">
        <v>85654083795</v>
      </c>
      <c r="BH986" s="93">
        <v>85254085086</v>
      </c>
      <c r="BI986" s="93">
        <v>81285653061</v>
      </c>
      <c r="BJ986" s="93">
        <v>88239179692</v>
      </c>
      <c r="BK986" s="93">
        <v>85930428373</v>
      </c>
      <c r="BP986" s="18" t="s">
        <v>11753</v>
      </c>
      <c r="BQ986" s="37">
        <v>45320</v>
      </c>
      <c r="BR986" s="8">
        <f t="shared" si="3"/>
        <v>9</v>
      </c>
    </row>
    <row r="987" spans="1:70" ht="14">
      <c r="A987" s="4" t="str">
        <v>Reguler Periode ke-119 XVIII.B.1</v>
      </c>
      <c r="B987" s="4" t="s">
        <v>9561</v>
      </c>
      <c r="C987" s="4" t="s">
        <v>4555</v>
      </c>
      <c r="D987" s="4" t="s">
        <v>5525</v>
      </c>
      <c r="E987" s="4" t="s">
        <v>11754</v>
      </c>
      <c r="F987" s="4" t="s">
        <v>11242</v>
      </c>
      <c r="G987" s="6" t="s">
        <v>11755</v>
      </c>
      <c r="H987" s="92" t="s">
        <v>11756</v>
      </c>
      <c r="I987" s="92" t="s">
        <v>11757</v>
      </c>
      <c r="J987" s="92" t="s">
        <v>11758</v>
      </c>
      <c r="K987" s="92" t="s">
        <v>11759</v>
      </c>
      <c r="L987" s="92" t="s">
        <v>11760</v>
      </c>
      <c r="M987" s="92" t="s">
        <v>11761</v>
      </c>
      <c r="N987" s="92" t="s">
        <v>11762</v>
      </c>
      <c r="O987" s="92" t="s">
        <v>11763</v>
      </c>
      <c r="S987" s="6">
        <v>2000005155</v>
      </c>
      <c r="T987" s="92">
        <v>2000012173</v>
      </c>
      <c r="U987" s="92">
        <v>2000018356</v>
      </c>
      <c r="V987" s="92">
        <v>2000019135</v>
      </c>
      <c r="W987" s="92">
        <v>2000026190</v>
      </c>
      <c r="X987" s="92">
        <v>2000030234</v>
      </c>
      <c r="Y987" s="92">
        <v>2000031252</v>
      </c>
      <c r="Z987" s="92">
        <v>2000036056</v>
      </c>
      <c r="AA987" s="92">
        <v>2203011294</v>
      </c>
      <c r="AE987" s="6" t="s">
        <v>181</v>
      </c>
      <c r="AF987" s="92" t="s">
        <v>885</v>
      </c>
      <c r="AG987" s="92" t="s">
        <v>179</v>
      </c>
      <c r="AH987" s="92" t="s">
        <v>705</v>
      </c>
      <c r="AI987" s="92" t="s">
        <v>570</v>
      </c>
      <c r="AJ987" s="92" t="s">
        <v>184</v>
      </c>
      <c r="AK987" s="92" t="s">
        <v>185</v>
      </c>
      <c r="AL987" s="92" t="s">
        <v>227</v>
      </c>
      <c r="AM987" s="92" t="s">
        <v>182</v>
      </c>
      <c r="AQ987" s="6" t="s">
        <v>186</v>
      </c>
      <c r="AR987" s="92" t="s">
        <v>187</v>
      </c>
      <c r="AS987" s="92" t="s">
        <v>186</v>
      </c>
      <c r="AT987" s="92" t="s">
        <v>187</v>
      </c>
      <c r="AU987" s="92" t="s">
        <v>186</v>
      </c>
      <c r="AV987" s="92" t="s">
        <v>187</v>
      </c>
      <c r="AW987" s="92" t="s">
        <v>186</v>
      </c>
      <c r="AX987" s="92" t="s">
        <v>186</v>
      </c>
      <c r="AY987" s="92" t="s">
        <v>186</v>
      </c>
      <c r="BC987" s="60">
        <v>85664772445</v>
      </c>
      <c r="BD987" s="93">
        <v>81254199727</v>
      </c>
      <c r="BE987" s="93">
        <v>82247550297</v>
      </c>
      <c r="BF987" s="93">
        <v>83875452102</v>
      </c>
      <c r="BG987" s="93">
        <v>81332214257</v>
      </c>
      <c r="BH987" s="93">
        <v>895605100016</v>
      </c>
      <c r="BI987" s="93">
        <v>85770679441</v>
      </c>
      <c r="BJ987" s="93">
        <v>82338655965</v>
      </c>
      <c r="BK987" s="93">
        <v>87871196555</v>
      </c>
      <c r="BP987" s="18" t="s">
        <v>11764</v>
      </c>
      <c r="BQ987" s="37">
        <v>45320</v>
      </c>
      <c r="BR987" s="8">
        <f t="shared" si="3"/>
        <v>9</v>
      </c>
    </row>
    <row r="988" spans="1:70" ht="14">
      <c r="A988" s="4" t="str">
        <v>Reguler Periode ke-119 XVIII.B.2</v>
      </c>
      <c r="B988" s="4" t="s">
        <v>9561</v>
      </c>
      <c r="C988" s="4" t="s">
        <v>4568</v>
      </c>
      <c r="D988" s="4" t="s">
        <v>5525</v>
      </c>
      <c r="E988" s="4" t="s">
        <v>11765</v>
      </c>
      <c r="F988" s="4" t="s">
        <v>11242</v>
      </c>
      <c r="G988" s="6" t="s">
        <v>11766</v>
      </c>
      <c r="H988" s="92" t="s">
        <v>11767</v>
      </c>
      <c r="I988" s="92" t="s">
        <v>11768</v>
      </c>
      <c r="J988" s="92" t="s">
        <v>11769</v>
      </c>
      <c r="K988" s="92" t="s">
        <v>11770</v>
      </c>
      <c r="L988" s="92" t="s">
        <v>11771</v>
      </c>
      <c r="M988" s="92" t="s">
        <v>11772</v>
      </c>
      <c r="N988" s="92" t="s">
        <v>11773</v>
      </c>
      <c r="S988" s="6">
        <v>1800030325</v>
      </c>
      <c r="T988" s="92">
        <v>1900005157</v>
      </c>
      <c r="U988" s="92">
        <v>2000011413</v>
      </c>
      <c r="V988" s="92">
        <v>2000012102</v>
      </c>
      <c r="W988" s="92">
        <v>2000018265</v>
      </c>
      <c r="X988" s="92">
        <v>2000019075</v>
      </c>
      <c r="Y988" s="92">
        <v>2000026040</v>
      </c>
      <c r="Z988" s="92">
        <v>2000031264</v>
      </c>
      <c r="AE988" s="6" t="s">
        <v>184</v>
      </c>
      <c r="AF988" s="92" t="s">
        <v>181</v>
      </c>
      <c r="AG988" s="92" t="s">
        <v>182</v>
      </c>
      <c r="AH988" s="92" t="s">
        <v>885</v>
      </c>
      <c r="AI988" s="92" t="s">
        <v>179</v>
      </c>
      <c r="AJ988" s="92" t="s">
        <v>705</v>
      </c>
      <c r="AK988" s="92" t="s">
        <v>570</v>
      </c>
      <c r="AL988" s="92" t="s">
        <v>185</v>
      </c>
      <c r="AQ988" s="6" t="s">
        <v>187</v>
      </c>
      <c r="AR988" s="92" t="s">
        <v>186</v>
      </c>
      <c r="AS988" s="92" t="s">
        <v>186</v>
      </c>
      <c r="AT988" s="92" t="s">
        <v>187</v>
      </c>
      <c r="AU988" s="92" t="s">
        <v>186</v>
      </c>
      <c r="AV988" s="92" t="s">
        <v>187</v>
      </c>
      <c r="AW988" s="92" t="s">
        <v>186</v>
      </c>
      <c r="AX988" s="92" t="s">
        <v>186</v>
      </c>
      <c r="BC988" s="60">
        <v>89618552254</v>
      </c>
      <c r="BD988" s="93">
        <v>82281590505</v>
      </c>
      <c r="BE988" s="93">
        <v>89691096792</v>
      </c>
      <c r="BF988" s="93">
        <v>85695937190</v>
      </c>
      <c r="BG988" s="93">
        <v>81226346523</v>
      </c>
      <c r="BH988" s="93">
        <v>88210342680</v>
      </c>
      <c r="BI988" s="93">
        <v>85727341523</v>
      </c>
      <c r="BJ988" s="93">
        <v>82329343151</v>
      </c>
      <c r="BP988" s="18" t="s">
        <v>11774</v>
      </c>
      <c r="BQ988" s="37">
        <v>45320</v>
      </c>
      <c r="BR988" s="8">
        <f t="shared" si="3"/>
        <v>8</v>
      </c>
    </row>
    <row r="989" spans="1:70" ht="14">
      <c r="A989" s="4" t="str">
        <v>Reguler Periode ke-119 XVIII.B.3</v>
      </c>
      <c r="B989" s="4" t="s">
        <v>9561</v>
      </c>
      <c r="C989" s="4" t="s">
        <v>4580</v>
      </c>
      <c r="D989" s="4" t="s">
        <v>5525</v>
      </c>
      <c r="E989" s="4" t="s">
        <v>11775</v>
      </c>
      <c r="F989" s="4" t="s">
        <v>11242</v>
      </c>
      <c r="G989" s="6" t="s">
        <v>11776</v>
      </c>
      <c r="H989" s="92" t="s">
        <v>11777</v>
      </c>
      <c r="I989" s="92" t="s">
        <v>11778</v>
      </c>
      <c r="J989" s="92" t="s">
        <v>11779</v>
      </c>
      <c r="K989" s="92" t="s">
        <v>11780</v>
      </c>
      <c r="L989" s="92" t="s">
        <v>11781</v>
      </c>
      <c r="M989" s="92" t="s">
        <v>11782</v>
      </c>
      <c r="N989" s="92" t="s">
        <v>11783</v>
      </c>
      <c r="O989" s="92" t="s">
        <v>11784</v>
      </c>
      <c r="S989" s="6">
        <v>1800030450</v>
      </c>
      <c r="T989" s="92">
        <v>2000005061</v>
      </c>
      <c r="U989" s="92">
        <v>2000011239</v>
      </c>
      <c r="V989" s="92">
        <v>2000012033</v>
      </c>
      <c r="W989" s="92">
        <v>2000018188</v>
      </c>
      <c r="X989" s="92">
        <v>2000019079</v>
      </c>
      <c r="Y989" s="92">
        <v>2000026069</v>
      </c>
      <c r="Z989" s="92">
        <v>2000031209</v>
      </c>
      <c r="AA989" s="92">
        <v>2000036014</v>
      </c>
      <c r="AE989" s="6" t="s">
        <v>184</v>
      </c>
      <c r="AF989" s="92" t="s">
        <v>181</v>
      </c>
      <c r="AG989" s="92" t="s">
        <v>182</v>
      </c>
      <c r="AH989" s="92" t="s">
        <v>885</v>
      </c>
      <c r="AI989" s="92" t="s">
        <v>179</v>
      </c>
      <c r="AJ989" s="92" t="s">
        <v>705</v>
      </c>
      <c r="AK989" s="92" t="s">
        <v>570</v>
      </c>
      <c r="AL989" s="92" t="s">
        <v>185</v>
      </c>
      <c r="AM989" s="92" t="s">
        <v>227</v>
      </c>
      <c r="AQ989" s="6" t="s">
        <v>187</v>
      </c>
      <c r="AR989" s="92" t="s">
        <v>186</v>
      </c>
      <c r="AS989" s="92" t="s">
        <v>186</v>
      </c>
      <c r="AT989" s="92" t="s">
        <v>187</v>
      </c>
      <c r="AU989" s="92" t="s">
        <v>186</v>
      </c>
      <c r="AV989" s="92" t="s">
        <v>187</v>
      </c>
      <c r="AW989" s="92" t="s">
        <v>186</v>
      </c>
      <c r="AX989" s="92" t="s">
        <v>186</v>
      </c>
      <c r="AY989" s="92" t="s">
        <v>186</v>
      </c>
      <c r="BC989" s="60">
        <v>82269728965</v>
      </c>
      <c r="BD989" s="93">
        <v>87886894350</v>
      </c>
      <c r="BE989" s="93">
        <v>82386520980</v>
      </c>
      <c r="BF989" s="93">
        <v>82390557842</v>
      </c>
      <c r="BG989" s="93">
        <v>895363338312</v>
      </c>
      <c r="BH989" s="93">
        <v>82280224072</v>
      </c>
      <c r="BI989" s="93">
        <v>81228605163</v>
      </c>
      <c r="BJ989" s="93">
        <v>89608574100</v>
      </c>
      <c r="BK989" s="93">
        <v>81352187389</v>
      </c>
      <c r="BP989" s="18" t="s">
        <v>11785</v>
      </c>
      <c r="BQ989" s="37">
        <v>45320</v>
      </c>
      <c r="BR989" s="8">
        <f t="shared" si="3"/>
        <v>9</v>
      </c>
    </row>
    <row r="990" spans="1:70" ht="14">
      <c r="A990" s="4" t="str">
        <v>Reguler Periode ke-119 XVIII.C.1</v>
      </c>
      <c r="B990" s="4" t="s">
        <v>9561</v>
      </c>
      <c r="C990" s="4" t="s">
        <v>4592</v>
      </c>
      <c r="D990" s="4" t="s">
        <v>11786</v>
      </c>
      <c r="E990" s="4" t="s">
        <v>11787</v>
      </c>
      <c r="F990" s="4" t="s">
        <v>11242</v>
      </c>
      <c r="G990" s="6" t="s">
        <v>11788</v>
      </c>
      <c r="H990" s="92" t="s">
        <v>11789</v>
      </c>
      <c r="I990" s="92" t="s">
        <v>11790</v>
      </c>
      <c r="J990" s="92" t="s">
        <v>11791</v>
      </c>
      <c r="K990" s="92" t="s">
        <v>11792</v>
      </c>
      <c r="L990" s="92" t="s">
        <v>11793</v>
      </c>
      <c r="M990" s="92" t="s">
        <v>11794</v>
      </c>
      <c r="N990" s="92" t="s">
        <v>11795</v>
      </c>
      <c r="O990" s="92" t="s">
        <v>11796</v>
      </c>
      <c r="S990" s="6">
        <v>2000005246</v>
      </c>
      <c r="T990" s="92">
        <v>2000011243</v>
      </c>
      <c r="U990" s="92">
        <v>2000012111</v>
      </c>
      <c r="V990" s="92">
        <v>2000018245</v>
      </c>
      <c r="W990" s="92">
        <v>2000019154</v>
      </c>
      <c r="X990" s="92">
        <v>2000026197</v>
      </c>
      <c r="Y990" s="92">
        <v>2000030193</v>
      </c>
      <c r="Z990" s="92">
        <v>2000031216</v>
      </c>
      <c r="AA990" s="92">
        <v>2000036023</v>
      </c>
      <c r="AE990" s="6" t="s">
        <v>181</v>
      </c>
      <c r="AF990" s="92" t="s">
        <v>182</v>
      </c>
      <c r="AG990" s="92" t="s">
        <v>885</v>
      </c>
      <c r="AH990" s="92" t="s">
        <v>179</v>
      </c>
      <c r="AI990" s="92" t="s">
        <v>705</v>
      </c>
      <c r="AJ990" s="92" t="s">
        <v>570</v>
      </c>
      <c r="AK990" s="92" t="s">
        <v>184</v>
      </c>
      <c r="AL990" s="92" t="s">
        <v>185</v>
      </c>
      <c r="AM990" s="92" t="s">
        <v>227</v>
      </c>
      <c r="AQ990" s="6" t="s">
        <v>186</v>
      </c>
      <c r="AR990" s="92" t="s">
        <v>186</v>
      </c>
      <c r="AS990" s="92" t="s">
        <v>187</v>
      </c>
      <c r="AT990" s="92" t="s">
        <v>186</v>
      </c>
      <c r="AU990" s="92" t="s">
        <v>187</v>
      </c>
      <c r="AV990" s="92" t="s">
        <v>186</v>
      </c>
      <c r="AW990" s="92" t="s">
        <v>187</v>
      </c>
      <c r="AX990" s="92" t="s">
        <v>186</v>
      </c>
      <c r="AY990" s="92" t="s">
        <v>186</v>
      </c>
      <c r="BC990" s="60">
        <v>82255079221</v>
      </c>
      <c r="BD990" s="93">
        <v>81238052357</v>
      </c>
      <c r="BE990" s="93">
        <v>82133759490</v>
      </c>
      <c r="BF990" s="93">
        <v>88214835781</v>
      </c>
      <c r="BG990" s="93">
        <v>83835184666</v>
      </c>
      <c r="BH990" s="93">
        <v>85293879715</v>
      </c>
      <c r="BI990" s="93">
        <v>87765396104</v>
      </c>
      <c r="BJ990" s="93">
        <v>85736207651</v>
      </c>
      <c r="BK990" s="93">
        <v>81222956613</v>
      </c>
      <c r="BP990" s="18" t="s">
        <v>11797</v>
      </c>
      <c r="BQ990" s="37">
        <v>45320</v>
      </c>
      <c r="BR990" s="8">
        <f t="shared" si="3"/>
        <v>9</v>
      </c>
    </row>
    <row r="991" spans="1:70" ht="14">
      <c r="A991" s="4" t="str">
        <v>Reguler Periode ke-119 XVIII.C.2</v>
      </c>
      <c r="B991" s="4" t="s">
        <v>9561</v>
      </c>
      <c r="C991" s="4" t="s">
        <v>4605</v>
      </c>
      <c r="D991" s="4" t="s">
        <v>11786</v>
      </c>
      <c r="E991" s="4" t="s">
        <v>11798</v>
      </c>
      <c r="F991" s="4" t="s">
        <v>11242</v>
      </c>
      <c r="G991" s="6" t="s">
        <v>11799</v>
      </c>
      <c r="H991" s="92" t="s">
        <v>11800</v>
      </c>
      <c r="I991" s="92" t="s">
        <v>11801</v>
      </c>
      <c r="J991" s="92" t="s">
        <v>11802</v>
      </c>
      <c r="K991" s="92" t="s">
        <v>11803</v>
      </c>
      <c r="L991" s="92" t="s">
        <v>11804</v>
      </c>
      <c r="M991" s="92" t="s">
        <v>11805</v>
      </c>
      <c r="N991" s="92" t="s">
        <v>11806</v>
      </c>
      <c r="O991" s="92" t="s">
        <v>11807</v>
      </c>
      <c r="S991" s="6">
        <v>2000005098</v>
      </c>
      <c r="T991" s="92">
        <v>2000011294</v>
      </c>
      <c r="U991" s="92">
        <v>2000012024</v>
      </c>
      <c r="V991" s="92">
        <v>2000018049</v>
      </c>
      <c r="W991" s="92">
        <v>2000019148</v>
      </c>
      <c r="X991" s="92">
        <v>2000026167</v>
      </c>
      <c r="Y991" s="92">
        <v>2000030206</v>
      </c>
      <c r="Z991" s="92">
        <v>2000031176</v>
      </c>
      <c r="AA991" s="92">
        <v>2000036155</v>
      </c>
      <c r="AE991" s="6" t="s">
        <v>181</v>
      </c>
      <c r="AF991" s="92" t="s">
        <v>182</v>
      </c>
      <c r="AG991" s="92" t="s">
        <v>885</v>
      </c>
      <c r="AH991" s="92" t="s">
        <v>179</v>
      </c>
      <c r="AI991" s="92" t="s">
        <v>705</v>
      </c>
      <c r="AJ991" s="92" t="s">
        <v>570</v>
      </c>
      <c r="AK991" s="92" t="s">
        <v>184</v>
      </c>
      <c r="AL991" s="92" t="s">
        <v>185</v>
      </c>
      <c r="AM991" s="92" t="s">
        <v>227</v>
      </c>
      <c r="AQ991" s="6" t="s">
        <v>186</v>
      </c>
      <c r="AR991" s="92" t="s">
        <v>186</v>
      </c>
      <c r="AS991" s="92" t="s">
        <v>187</v>
      </c>
      <c r="AT991" s="92" t="s">
        <v>186</v>
      </c>
      <c r="AU991" s="92" t="s">
        <v>187</v>
      </c>
      <c r="AV991" s="92" t="s">
        <v>186</v>
      </c>
      <c r="AW991" s="92" t="s">
        <v>187</v>
      </c>
      <c r="AX991" s="92" t="s">
        <v>186</v>
      </c>
      <c r="AY991" s="92" t="s">
        <v>186</v>
      </c>
      <c r="BC991" s="60">
        <v>822788849810</v>
      </c>
      <c r="BD991" s="93">
        <v>82328187961</v>
      </c>
      <c r="BE991" s="93">
        <v>89527126397</v>
      </c>
      <c r="BF991" s="93">
        <v>85700539428</v>
      </c>
      <c r="BG991" s="93">
        <v>82341469853</v>
      </c>
      <c r="BH991" s="93">
        <v>8123879703</v>
      </c>
      <c r="BI991" s="93">
        <v>83836561018</v>
      </c>
      <c r="BJ991" s="93">
        <v>85929050235</v>
      </c>
      <c r="BK991" s="93">
        <v>81393632475</v>
      </c>
      <c r="BP991" s="18" t="s">
        <v>11808</v>
      </c>
      <c r="BQ991" s="37">
        <v>45320</v>
      </c>
      <c r="BR991" s="8">
        <f t="shared" si="3"/>
        <v>9</v>
      </c>
    </row>
    <row r="992" spans="1:70" ht="14">
      <c r="A992" s="4" t="str">
        <v>Reguler Periode ke-119 XVIII.C.3</v>
      </c>
      <c r="B992" s="4" t="s">
        <v>9561</v>
      </c>
      <c r="C992" s="4" t="s">
        <v>4616</v>
      </c>
      <c r="D992" s="4" t="s">
        <v>11786</v>
      </c>
      <c r="E992" s="4" t="s">
        <v>11809</v>
      </c>
      <c r="F992" s="4" t="s">
        <v>11242</v>
      </c>
      <c r="G992" s="6" t="s">
        <v>11810</v>
      </c>
      <c r="H992" s="92" t="s">
        <v>11811</v>
      </c>
      <c r="I992" s="92" t="s">
        <v>11812</v>
      </c>
      <c r="J992" s="92" t="s">
        <v>11813</v>
      </c>
      <c r="K992" s="92" t="s">
        <v>11814</v>
      </c>
      <c r="L992" s="92" t="s">
        <v>11815</v>
      </c>
      <c r="M992" s="92" t="s">
        <v>11816</v>
      </c>
      <c r="N992" s="92" t="s">
        <v>11817</v>
      </c>
      <c r="O992" s="92" t="s">
        <v>11818</v>
      </c>
      <c r="S992" s="6">
        <v>2000005267</v>
      </c>
      <c r="T992" s="92">
        <v>2000011299</v>
      </c>
      <c r="U992" s="92">
        <v>2000012031</v>
      </c>
      <c r="V992" s="92">
        <v>2000018260</v>
      </c>
      <c r="W992" s="92">
        <v>2000019152</v>
      </c>
      <c r="X992" s="92">
        <v>2000026076</v>
      </c>
      <c r="Y992" s="92">
        <v>2000030071</v>
      </c>
      <c r="Z992" s="92">
        <v>2000031002</v>
      </c>
      <c r="AA992" s="92">
        <v>2000036063</v>
      </c>
      <c r="AE992" s="6" t="s">
        <v>181</v>
      </c>
      <c r="AF992" s="92" t="s">
        <v>182</v>
      </c>
      <c r="AG992" s="92" t="s">
        <v>885</v>
      </c>
      <c r="AH992" s="92" t="s">
        <v>179</v>
      </c>
      <c r="AI992" s="92" t="s">
        <v>705</v>
      </c>
      <c r="AJ992" s="92" t="s">
        <v>570</v>
      </c>
      <c r="AK992" s="92" t="s">
        <v>184</v>
      </c>
      <c r="AL992" s="92" t="s">
        <v>185</v>
      </c>
      <c r="AM992" s="92" t="s">
        <v>227</v>
      </c>
      <c r="AQ992" s="6" t="s">
        <v>186</v>
      </c>
      <c r="AR992" s="92" t="s">
        <v>186</v>
      </c>
      <c r="AS992" s="92" t="s">
        <v>187</v>
      </c>
      <c r="AT992" s="92" t="s">
        <v>186</v>
      </c>
      <c r="AU992" s="92" t="s">
        <v>187</v>
      </c>
      <c r="AV992" s="92" t="s">
        <v>186</v>
      </c>
      <c r="AW992" s="92" t="s">
        <v>187</v>
      </c>
      <c r="AX992" s="92" t="s">
        <v>186</v>
      </c>
      <c r="AY992" s="92" t="s">
        <v>186</v>
      </c>
      <c r="BC992" s="60">
        <v>83154666419</v>
      </c>
      <c r="BD992" s="93">
        <v>82139693945</v>
      </c>
      <c r="BE992" s="93">
        <v>81248568773</v>
      </c>
      <c r="BF992" s="93">
        <v>81393428645</v>
      </c>
      <c r="BG992" s="93">
        <v>82169539108</v>
      </c>
      <c r="BH992" s="93">
        <v>85701150114</v>
      </c>
      <c r="BI992" s="93">
        <v>89678995430</v>
      </c>
      <c r="BJ992" s="93">
        <v>85839922748</v>
      </c>
      <c r="BK992" s="93">
        <v>895386278230</v>
      </c>
      <c r="BP992" s="18" t="s">
        <v>11819</v>
      </c>
      <c r="BQ992" s="37">
        <v>45320</v>
      </c>
      <c r="BR992" s="8">
        <f t="shared" si="3"/>
        <v>9</v>
      </c>
    </row>
    <row r="993" spans="1:70" ht="14">
      <c r="A993" s="4" t="str">
        <v>Reguler Periode ke-119 XVIII.D.1</v>
      </c>
      <c r="B993" s="4" t="s">
        <v>9561</v>
      </c>
      <c r="C993" s="4" t="s">
        <v>4628</v>
      </c>
      <c r="D993" s="4" t="s">
        <v>11820</v>
      </c>
      <c r="E993" s="4" t="s">
        <v>4793</v>
      </c>
      <c r="F993" s="4" t="s">
        <v>11242</v>
      </c>
      <c r="G993" s="6" t="s">
        <v>11821</v>
      </c>
      <c r="H993" s="92" t="s">
        <v>11822</v>
      </c>
      <c r="I993" s="92" t="s">
        <v>11823</v>
      </c>
      <c r="J993" s="92" t="s">
        <v>11824</v>
      </c>
      <c r="K993" s="92" t="s">
        <v>11825</v>
      </c>
      <c r="L993" s="92" t="s">
        <v>11826</v>
      </c>
      <c r="M993" s="92" t="s">
        <v>11827</v>
      </c>
      <c r="N993" s="92" t="s">
        <v>11828</v>
      </c>
      <c r="O993" s="92" t="s">
        <v>11829</v>
      </c>
      <c r="S993" s="6">
        <v>2000005094</v>
      </c>
      <c r="T993" s="92">
        <v>2000011422</v>
      </c>
      <c r="U993" s="92">
        <v>2000012178</v>
      </c>
      <c r="V993" s="92">
        <v>2000018388</v>
      </c>
      <c r="W993" s="92">
        <v>2000019011</v>
      </c>
      <c r="X993" s="92">
        <v>2000026209</v>
      </c>
      <c r="Y993" s="92">
        <v>2000030131</v>
      </c>
      <c r="Z993" s="92">
        <v>2000031012</v>
      </c>
      <c r="AA993" s="92">
        <v>2000036138</v>
      </c>
      <c r="AE993" s="6" t="s">
        <v>181</v>
      </c>
      <c r="AF993" s="92" t="s">
        <v>182</v>
      </c>
      <c r="AG993" s="92" t="s">
        <v>885</v>
      </c>
      <c r="AH993" s="92" t="s">
        <v>179</v>
      </c>
      <c r="AI993" s="92" t="s">
        <v>705</v>
      </c>
      <c r="AJ993" s="92" t="s">
        <v>570</v>
      </c>
      <c r="AK993" s="92" t="s">
        <v>184</v>
      </c>
      <c r="AL993" s="92" t="s">
        <v>185</v>
      </c>
      <c r="AM993" s="92" t="s">
        <v>227</v>
      </c>
      <c r="AQ993" s="6" t="s">
        <v>186</v>
      </c>
      <c r="AR993" s="92" t="s">
        <v>186</v>
      </c>
      <c r="AS993" s="92" t="s">
        <v>187</v>
      </c>
      <c r="AT993" s="92" t="s">
        <v>186</v>
      </c>
      <c r="AU993" s="92" t="s">
        <v>187</v>
      </c>
      <c r="AV993" s="92" t="s">
        <v>186</v>
      </c>
      <c r="AW993" s="92" t="s">
        <v>187</v>
      </c>
      <c r="AX993" s="92" t="s">
        <v>186</v>
      </c>
      <c r="AY993" s="92" t="s">
        <v>186</v>
      </c>
      <c r="BC993" s="60">
        <v>85159486625</v>
      </c>
      <c r="BD993" s="93">
        <v>81281958922</v>
      </c>
      <c r="BE993" s="93">
        <v>82144297202</v>
      </c>
      <c r="BF993" s="93">
        <v>83163728338</v>
      </c>
      <c r="BG993" s="93">
        <v>87821597605</v>
      </c>
      <c r="BH993" s="93">
        <v>87726269438</v>
      </c>
      <c r="BI993" s="93">
        <v>82133638216</v>
      </c>
      <c r="BJ993" s="93">
        <v>82130523732</v>
      </c>
      <c r="BK993" s="93">
        <v>89526810441</v>
      </c>
      <c r="BP993" s="18" t="s">
        <v>11830</v>
      </c>
      <c r="BQ993" s="37">
        <v>45320</v>
      </c>
      <c r="BR993" s="8">
        <f t="shared" si="3"/>
        <v>9</v>
      </c>
    </row>
    <row r="994" spans="1:70" ht="14">
      <c r="A994" s="4" t="str">
        <v>Reguler Periode ke-119 XVIII.D.2</v>
      </c>
      <c r="B994" s="4" t="s">
        <v>9561</v>
      </c>
      <c r="C994" s="4" t="s">
        <v>4642</v>
      </c>
      <c r="D994" s="4" t="s">
        <v>11820</v>
      </c>
      <c r="E994" s="4" t="s">
        <v>11831</v>
      </c>
      <c r="F994" s="4" t="s">
        <v>11242</v>
      </c>
      <c r="G994" s="6" t="s">
        <v>11832</v>
      </c>
      <c r="H994" s="92" t="s">
        <v>11833</v>
      </c>
      <c r="I994" s="92" t="s">
        <v>11834</v>
      </c>
      <c r="J994" s="92" t="s">
        <v>11835</v>
      </c>
      <c r="K994" s="92" t="s">
        <v>11836</v>
      </c>
      <c r="L994" s="92" t="s">
        <v>8295</v>
      </c>
      <c r="M994" s="92" t="s">
        <v>11837</v>
      </c>
      <c r="N994" s="92" t="s">
        <v>11838</v>
      </c>
      <c r="O994" s="92" t="s">
        <v>11839</v>
      </c>
      <c r="S994" s="6">
        <v>2000005214</v>
      </c>
      <c r="T994" s="92">
        <v>2000011371</v>
      </c>
      <c r="U994" s="92">
        <v>2000012072</v>
      </c>
      <c r="V994" s="92">
        <v>2000018294</v>
      </c>
      <c r="W994" s="92">
        <v>2000019047</v>
      </c>
      <c r="X994" s="92">
        <v>2000026141</v>
      </c>
      <c r="Y994" s="92">
        <v>2000030145</v>
      </c>
      <c r="Z994" s="92">
        <v>2000031065</v>
      </c>
      <c r="AA994" s="92">
        <v>2000036064</v>
      </c>
      <c r="AE994" s="6" t="s">
        <v>181</v>
      </c>
      <c r="AF994" s="92" t="s">
        <v>182</v>
      </c>
      <c r="AG994" s="92" t="s">
        <v>885</v>
      </c>
      <c r="AH994" s="92" t="s">
        <v>179</v>
      </c>
      <c r="AI994" s="92" t="s">
        <v>705</v>
      </c>
      <c r="AJ994" s="92" t="s">
        <v>570</v>
      </c>
      <c r="AK994" s="92" t="s">
        <v>184</v>
      </c>
      <c r="AL994" s="92" t="s">
        <v>185</v>
      </c>
      <c r="AM994" s="92" t="s">
        <v>227</v>
      </c>
      <c r="AQ994" s="6" t="s">
        <v>186</v>
      </c>
      <c r="AR994" s="92" t="s">
        <v>186</v>
      </c>
      <c r="AS994" s="92" t="s">
        <v>187</v>
      </c>
      <c r="AT994" s="92" t="s">
        <v>186</v>
      </c>
      <c r="AU994" s="92" t="s">
        <v>187</v>
      </c>
      <c r="AV994" s="92" t="s">
        <v>186</v>
      </c>
      <c r="AW994" s="92" t="s">
        <v>187</v>
      </c>
      <c r="AX994" s="92" t="s">
        <v>186</v>
      </c>
      <c r="AY994" s="92" t="s">
        <v>186</v>
      </c>
      <c r="BC994" s="60" t="s">
        <v>11840</v>
      </c>
      <c r="BD994" s="93">
        <v>6281802507868</v>
      </c>
      <c r="BE994" s="93">
        <v>85727742248</v>
      </c>
      <c r="BF994" s="93">
        <v>85348175944</v>
      </c>
      <c r="BG994" s="93">
        <v>85338724036</v>
      </c>
      <c r="BH994" s="93">
        <v>89664217102</v>
      </c>
      <c r="BI994" s="93">
        <v>81511570018</v>
      </c>
      <c r="BJ994" s="93">
        <v>89687773436</v>
      </c>
      <c r="BK994" s="93">
        <v>85776237853</v>
      </c>
      <c r="BP994" s="18" t="s">
        <v>11841</v>
      </c>
      <c r="BQ994" s="37">
        <v>45320</v>
      </c>
      <c r="BR994" s="8">
        <f t="shared" si="3"/>
        <v>9</v>
      </c>
    </row>
    <row r="995" spans="1:70" ht="14">
      <c r="A995" s="4" t="str">
        <v>Reguler Periode ke-119 XVIII.D.3</v>
      </c>
      <c r="B995" s="4" t="s">
        <v>9561</v>
      </c>
      <c r="C995" s="4" t="s">
        <v>4654</v>
      </c>
      <c r="D995" s="4" t="s">
        <v>11820</v>
      </c>
      <c r="E995" s="4" t="s">
        <v>11842</v>
      </c>
      <c r="F995" s="4" t="s">
        <v>11242</v>
      </c>
      <c r="G995" s="6" t="s">
        <v>11843</v>
      </c>
      <c r="H995" s="92" t="s">
        <v>11844</v>
      </c>
      <c r="I995" s="92" t="s">
        <v>11845</v>
      </c>
      <c r="J995" s="92" t="s">
        <v>11846</v>
      </c>
      <c r="K995" s="92" t="s">
        <v>11847</v>
      </c>
      <c r="L995" s="92" t="s">
        <v>11848</v>
      </c>
      <c r="M995" s="92" t="s">
        <v>11849</v>
      </c>
      <c r="N995" s="92" t="s">
        <v>11850</v>
      </c>
      <c r="O995" s="92" t="s">
        <v>11851</v>
      </c>
      <c r="S995" s="6">
        <v>2000005078</v>
      </c>
      <c r="T995" s="92">
        <v>2000011316</v>
      </c>
      <c r="U995" s="92">
        <v>2000012080</v>
      </c>
      <c r="V995" s="92">
        <v>2000018257</v>
      </c>
      <c r="W995" s="92">
        <v>2000019035</v>
      </c>
      <c r="X995" s="92">
        <v>2000026098</v>
      </c>
      <c r="Y995" s="92">
        <v>2000030143</v>
      </c>
      <c r="Z995" s="92">
        <v>2000031215</v>
      </c>
      <c r="AA995" s="92">
        <v>2000036135</v>
      </c>
      <c r="AE995" s="6" t="s">
        <v>181</v>
      </c>
      <c r="AF995" s="92" t="s">
        <v>182</v>
      </c>
      <c r="AG995" s="92" t="s">
        <v>885</v>
      </c>
      <c r="AH995" s="92" t="s">
        <v>179</v>
      </c>
      <c r="AI995" s="92" t="s">
        <v>705</v>
      </c>
      <c r="AJ995" s="92" t="s">
        <v>570</v>
      </c>
      <c r="AK995" s="92" t="s">
        <v>184</v>
      </c>
      <c r="AL995" s="92" t="s">
        <v>185</v>
      </c>
      <c r="AM995" s="92" t="s">
        <v>227</v>
      </c>
      <c r="AQ995" s="6" t="s">
        <v>186</v>
      </c>
      <c r="AR995" s="92" t="s">
        <v>186</v>
      </c>
      <c r="AS995" s="92" t="s">
        <v>187</v>
      </c>
      <c r="AT995" s="92" t="s">
        <v>186</v>
      </c>
      <c r="AU995" s="92" t="s">
        <v>187</v>
      </c>
      <c r="AV995" s="92" t="s">
        <v>186</v>
      </c>
      <c r="AW995" s="92" t="s">
        <v>187</v>
      </c>
      <c r="AX995" s="92" t="s">
        <v>186</v>
      </c>
      <c r="AY995" s="92" t="s">
        <v>186</v>
      </c>
      <c r="BC995" s="60">
        <v>8895736234</v>
      </c>
      <c r="BD995" s="93">
        <v>81335541746</v>
      </c>
      <c r="BE995" s="93">
        <v>82278909821</v>
      </c>
      <c r="BF995" s="93">
        <v>8976846294</v>
      </c>
      <c r="BG995" s="93">
        <v>81282950141</v>
      </c>
      <c r="BH995" s="93">
        <v>83866027350</v>
      </c>
      <c r="BI995" s="93">
        <v>82122949049</v>
      </c>
      <c r="BJ995" s="93">
        <v>82332648646</v>
      </c>
      <c r="BK995" s="93">
        <v>83891437001</v>
      </c>
      <c r="BP995" s="18" t="s">
        <v>11852</v>
      </c>
      <c r="BQ995" s="37">
        <v>45320</v>
      </c>
      <c r="BR995" s="8">
        <f t="shared" si="3"/>
        <v>9</v>
      </c>
    </row>
    <row r="996" spans="1:70" ht="14">
      <c r="A996" s="4" t="str">
        <v>Reguler Periode ke-119 XIX.A.1</v>
      </c>
      <c r="B996" s="4" t="s">
        <v>9561</v>
      </c>
      <c r="C996" s="4" t="s">
        <v>4666</v>
      </c>
      <c r="D996" s="4" t="s">
        <v>11853</v>
      </c>
      <c r="E996" s="4" t="s">
        <v>11854</v>
      </c>
      <c r="F996" s="4" t="s">
        <v>11242</v>
      </c>
      <c r="G996" s="6" t="s">
        <v>11855</v>
      </c>
      <c r="H996" s="92" t="s">
        <v>11856</v>
      </c>
      <c r="I996" s="92" t="s">
        <v>11857</v>
      </c>
      <c r="J996" s="92" t="s">
        <v>11858</v>
      </c>
      <c r="K996" s="92" t="s">
        <v>11859</v>
      </c>
      <c r="L996" s="92" t="s">
        <v>11860</v>
      </c>
      <c r="M996" s="92" t="s">
        <v>11861</v>
      </c>
      <c r="N996" s="92" t="s">
        <v>11862</v>
      </c>
      <c r="O996" s="92" t="s">
        <v>11863</v>
      </c>
      <c r="S996" s="6">
        <v>2000005318</v>
      </c>
      <c r="T996" s="92">
        <v>2000011390</v>
      </c>
      <c r="U996" s="92">
        <v>2000012098</v>
      </c>
      <c r="V996" s="92">
        <v>2000018452</v>
      </c>
      <c r="W996" s="92">
        <v>2000019002</v>
      </c>
      <c r="X996" s="92">
        <v>2000026211</v>
      </c>
      <c r="Y996" s="92">
        <v>2000030205</v>
      </c>
      <c r="Z996" s="92">
        <v>2000031005</v>
      </c>
      <c r="AA996" s="92">
        <v>2000036071</v>
      </c>
      <c r="AE996" s="6" t="s">
        <v>181</v>
      </c>
      <c r="AF996" s="92" t="s">
        <v>182</v>
      </c>
      <c r="AG996" s="92" t="s">
        <v>885</v>
      </c>
      <c r="AH996" s="92" t="s">
        <v>179</v>
      </c>
      <c r="AI996" s="92" t="s">
        <v>705</v>
      </c>
      <c r="AJ996" s="92" t="s">
        <v>570</v>
      </c>
      <c r="AK996" s="92" t="s">
        <v>184</v>
      </c>
      <c r="AL996" s="92" t="s">
        <v>185</v>
      </c>
      <c r="AM996" s="92" t="s">
        <v>227</v>
      </c>
      <c r="AQ996" s="6" t="s">
        <v>186</v>
      </c>
      <c r="AR996" s="92" t="s">
        <v>186</v>
      </c>
      <c r="AS996" s="92" t="s">
        <v>187</v>
      </c>
      <c r="AT996" s="92" t="s">
        <v>186</v>
      </c>
      <c r="AU996" s="92" t="s">
        <v>187</v>
      </c>
      <c r="AV996" s="92" t="s">
        <v>186</v>
      </c>
      <c r="AW996" s="92" t="s">
        <v>187</v>
      </c>
      <c r="AX996" s="92" t="s">
        <v>186</v>
      </c>
      <c r="AY996" s="92" t="s">
        <v>186</v>
      </c>
      <c r="BC996" s="60">
        <v>81391904359</v>
      </c>
      <c r="BD996" s="93">
        <v>81242449195</v>
      </c>
      <c r="BE996" s="93">
        <v>81326217190</v>
      </c>
      <c r="BF996" s="93">
        <v>85338959084</v>
      </c>
      <c r="BG996" s="93">
        <v>82321548948</v>
      </c>
      <c r="BH996" s="93">
        <v>81393842144</v>
      </c>
      <c r="BI996" s="93">
        <v>85702804144</v>
      </c>
      <c r="BJ996" s="93">
        <v>81214326955</v>
      </c>
      <c r="BK996" s="93">
        <v>82238120916</v>
      </c>
      <c r="BP996" s="18" t="s">
        <v>11864</v>
      </c>
      <c r="BQ996" s="37">
        <v>45320</v>
      </c>
      <c r="BR996" s="8">
        <f t="shared" si="3"/>
        <v>9</v>
      </c>
    </row>
    <row r="997" spans="1:70" ht="14">
      <c r="A997" s="4" t="str">
        <v>Reguler Periode ke-119 XIX.A.2</v>
      </c>
      <c r="B997" s="4" t="s">
        <v>9561</v>
      </c>
      <c r="C997" s="4" t="s">
        <v>4679</v>
      </c>
      <c r="D997" s="4" t="s">
        <v>11853</v>
      </c>
      <c r="E997" s="4" t="s">
        <v>11865</v>
      </c>
      <c r="F997" s="4" t="s">
        <v>11242</v>
      </c>
      <c r="G997" s="6" t="s">
        <v>11866</v>
      </c>
      <c r="H997" s="92" t="s">
        <v>11867</v>
      </c>
      <c r="I997" s="92" t="s">
        <v>11868</v>
      </c>
      <c r="J997" s="92" t="s">
        <v>11869</v>
      </c>
      <c r="K997" s="92" t="s">
        <v>11870</v>
      </c>
      <c r="L997" s="92" t="s">
        <v>11871</v>
      </c>
      <c r="M997" s="92" t="s">
        <v>11872</v>
      </c>
      <c r="N997" s="92" t="s">
        <v>11873</v>
      </c>
      <c r="O997" s="92" t="s">
        <v>11874</v>
      </c>
      <c r="S997" s="6">
        <v>2000005347</v>
      </c>
      <c r="T997" s="92">
        <v>2000011160</v>
      </c>
      <c r="U997" s="92">
        <v>2000012124</v>
      </c>
      <c r="V997" s="92">
        <v>2000018357</v>
      </c>
      <c r="W997" s="92">
        <v>2000019127</v>
      </c>
      <c r="X997" s="92">
        <v>2000026025</v>
      </c>
      <c r="Y997" s="92">
        <v>2000030024</v>
      </c>
      <c r="Z997" s="92">
        <v>2000031268</v>
      </c>
      <c r="AA997" s="92">
        <v>2000036121</v>
      </c>
      <c r="AE997" s="6" t="s">
        <v>181</v>
      </c>
      <c r="AF997" s="92" t="s">
        <v>182</v>
      </c>
      <c r="AG997" s="92" t="s">
        <v>885</v>
      </c>
      <c r="AH997" s="92" t="s">
        <v>179</v>
      </c>
      <c r="AI997" s="92" t="s">
        <v>705</v>
      </c>
      <c r="AJ997" s="92" t="s">
        <v>570</v>
      </c>
      <c r="AK997" s="92" t="s">
        <v>184</v>
      </c>
      <c r="AL997" s="92" t="s">
        <v>185</v>
      </c>
      <c r="AM997" s="92" t="s">
        <v>227</v>
      </c>
      <c r="AQ997" s="6" t="s">
        <v>186</v>
      </c>
      <c r="AR997" s="92" t="s">
        <v>186</v>
      </c>
      <c r="AS997" s="92" t="s">
        <v>187</v>
      </c>
      <c r="AT997" s="92" t="s">
        <v>186</v>
      </c>
      <c r="AU997" s="92" t="s">
        <v>187</v>
      </c>
      <c r="AV997" s="92" t="s">
        <v>186</v>
      </c>
      <c r="AW997" s="92" t="s">
        <v>187</v>
      </c>
      <c r="AX997" s="92" t="s">
        <v>186</v>
      </c>
      <c r="AY997" s="92" t="s">
        <v>186</v>
      </c>
      <c r="BC997" s="60">
        <v>81325386174</v>
      </c>
      <c r="BD997" s="93">
        <v>85778500249</v>
      </c>
      <c r="BE997" s="93">
        <v>82241069823</v>
      </c>
      <c r="BF997" s="93">
        <v>81394776573</v>
      </c>
      <c r="BG997" s="93">
        <v>87779991126</v>
      </c>
      <c r="BH997" s="93">
        <v>89525408443</v>
      </c>
      <c r="BI997" s="93">
        <v>82359520875</v>
      </c>
      <c r="BJ997" s="93">
        <v>87801850953</v>
      </c>
      <c r="BK997" s="93">
        <v>85809035253</v>
      </c>
      <c r="BP997" s="18" t="s">
        <v>11875</v>
      </c>
      <c r="BQ997" s="37">
        <v>45320</v>
      </c>
      <c r="BR997" s="8">
        <f t="shared" si="3"/>
        <v>9</v>
      </c>
    </row>
    <row r="998" spans="1:70" ht="14">
      <c r="A998" s="4" t="str">
        <v>Reguler Periode ke-119 XIX.A.3</v>
      </c>
      <c r="B998" s="4" t="s">
        <v>9561</v>
      </c>
      <c r="C998" s="4" t="s">
        <v>4691</v>
      </c>
      <c r="D998" s="4" t="s">
        <v>11853</v>
      </c>
      <c r="E998" s="4" t="s">
        <v>4768</v>
      </c>
      <c r="F998" s="4" t="s">
        <v>11242</v>
      </c>
      <c r="G998" s="6" t="s">
        <v>11876</v>
      </c>
      <c r="H998" s="92" t="s">
        <v>3570</v>
      </c>
      <c r="I998" s="92" t="s">
        <v>11877</v>
      </c>
      <c r="J998" s="92" t="s">
        <v>11878</v>
      </c>
      <c r="K998" s="92" t="s">
        <v>11879</v>
      </c>
      <c r="L998" s="92" t="s">
        <v>11880</v>
      </c>
      <c r="M998" s="92" t="s">
        <v>11881</v>
      </c>
      <c r="N998" s="92" t="s">
        <v>11882</v>
      </c>
      <c r="O998" s="92" t="s">
        <v>11883</v>
      </c>
      <c r="S998" s="6">
        <v>1900012149</v>
      </c>
      <c r="T998" s="92">
        <v>2000005309</v>
      </c>
      <c r="U998" s="92">
        <v>2000011041</v>
      </c>
      <c r="V998" s="92">
        <v>2000018193</v>
      </c>
      <c r="W998" s="92">
        <v>2000019008</v>
      </c>
      <c r="X998" s="92">
        <v>2000026163</v>
      </c>
      <c r="Y998" s="92">
        <v>2000030161</v>
      </c>
      <c r="Z998" s="92">
        <v>2000031181</v>
      </c>
      <c r="AA998" s="92">
        <v>2000036089</v>
      </c>
      <c r="AE998" s="6" t="s">
        <v>885</v>
      </c>
      <c r="AF998" s="92" t="s">
        <v>181</v>
      </c>
      <c r="AG998" s="92" t="s">
        <v>182</v>
      </c>
      <c r="AH998" s="92" t="s">
        <v>179</v>
      </c>
      <c r="AI998" s="92" t="s">
        <v>705</v>
      </c>
      <c r="AJ998" s="92" t="s">
        <v>570</v>
      </c>
      <c r="AK998" s="92" t="s">
        <v>184</v>
      </c>
      <c r="AL998" s="92" t="s">
        <v>185</v>
      </c>
      <c r="AM998" s="92" t="s">
        <v>227</v>
      </c>
      <c r="AQ998" s="6" t="s">
        <v>187</v>
      </c>
      <c r="AR998" s="92" t="s">
        <v>186</v>
      </c>
      <c r="AS998" s="92" t="s">
        <v>186</v>
      </c>
      <c r="AT998" s="92" t="s">
        <v>186</v>
      </c>
      <c r="AU998" s="92" t="s">
        <v>187</v>
      </c>
      <c r="AV998" s="92" t="s">
        <v>186</v>
      </c>
      <c r="AW998" s="92" t="s">
        <v>187</v>
      </c>
      <c r="AX998" s="92" t="s">
        <v>186</v>
      </c>
      <c r="AY998" s="92" t="s">
        <v>186</v>
      </c>
      <c r="BC998" s="60">
        <v>82189730646</v>
      </c>
      <c r="BD998" s="93">
        <v>88287841047</v>
      </c>
      <c r="BE998" s="93">
        <v>82292360832</v>
      </c>
      <c r="BF998" s="93">
        <v>85294235496</v>
      </c>
      <c r="BG998" s="93">
        <v>85725717731</v>
      </c>
      <c r="BH998" s="93">
        <v>81288739156</v>
      </c>
      <c r="BI998" s="93">
        <v>85711286477</v>
      </c>
      <c r="BJ998" s="93">
        <v>895372209980</v>
      </c>
      <c r="BK998" s="93">
        <v>85714336668</v>
      </c>
      <c r="BP998" s="18" t="s">
        <v>11884</v>
      </c>
      <c r="BQ998" s="37">
        <v>45320</v>
      </c>
      <c r="BR998" s="8">
        <f t="shared" si="3"/>
        <v>9</v>
      </c>
    </row>
    <row r="999" spans="1:70" ht="14">
      <c r="A999" s="4" t="str">
        <v>Reguler Periode ke-119 XIX.B.1</v>
      </c>
      <c r="B999" s="4" t="s">
        <v>9561</v>
      </c>
      <c r="C999" s="4" t="s">
        <v>4703</v>
      </c>
      <c r="D999" s="4" t="s">
        <v>5303</v>
      </c>
      <c r="E999" s="4" t="s">
        <v>4781</v>
      </c>
      <c r="F999" s="4" t="s">
        <v>11242</v>
      </c>
      <c r="G999" s="6" t="s">
        <v>11885</v>
      </c>
      <c r="H999" s="92" t="s">
        <v>11886</v>
      </c>
      <c r="I999" s="92" t="s">
        <v>11887</v>
      </c>
      <c r="J999" s="92" t="s">
        <v>11888</v>
      </c>
      <c r="K999" s="92" t="s">
        <v>11889</v>
      </c>
      <c r="L999" s="92" t="s">
        <v>11890</v>
      </c>
      <c r="M999" s="92" t="s">
        <v>11891</v>
      </c>
      <c r="N999" s="92" t="s">
        <v>11892</v>
      </c>
      <c r="O999" s="92" t="s">
        <v>11893</v>
      </c>
      <c r="S999" s="6">
        <v>2000005259</v>
      </c>
      <c r="T999" s="92">
        <v>2000012156</v>
      </c>
      <c r="U999" s="92">
        <v>2000018326</v>
      </c>
      <c r="V999" s="92">
        <v>2000019172</v>
      </c>
      <c r="W999" s="92">
        <v>2000026050</v>
      </c>
      <c r="X999" s="92">
        <v>2000026052</v>
      </c>
      <c r="Y999" s="92">
        <v>2000030067</v>
      </c>
      <c r="Z999" s="92">
        <v>2000031163</v>
      </c>
      <c r="AA999" s="92">
        <v>2000036002</v>
      </c>
      <c r="AE999" s="6" t="s">
        <v>181</v>
      </c>
      <c r="AF999" s="92" t="s">
        <v>885</v>
      </c>
      <c r="AG999" s="92" t="s">
        <v>179</v>
      </c>
      <c r="AH999" s="92" t="s">
        <v>705</v>
      </c>
      <c r="AI999" s="92" t="s">
        <v>570</v>
      </c>
      <c r="AJ999" s="92" t="s">
        <v>570</v>
      </c>
      <c r="AK999" s="92" t="s">
        <v>184</v>
      </c>
      <c r="AL999" s="92" t="s">
        <v>185</v>
      </c>
      <c r="AM999" s="92" t="s">
        <v>227</v>
      </c>
      <c r="AQ999" s="6" t="s">
        <v>186</v>
      </c>
      <c r="AR999" s="92" t="s">
        <v>187</v>
      </c>
      <c r="AS999" s="92" t="s">
        <v>186</v>
      </c>
      <c r="AT999" s="92" t="s">
        <v>187</v>
      </c>
      <c r="AU999" s="92" t="s">
        <v>186</v>
      </c>
      <c r="AV999" s="92" t="s">
        <v>186</v>
      </c>
      <c r="AW999" s="92" t="s">
        <v>187</v>
      </c>
      <c r="AX999" s="92" t="s">
        <v>186</v>
      </c>
      <c r="AY999" s="92" t="s">
        <v>186</v>
      </c>
      <c r="BC999" s="60">
        <v>81337297669</v>
      </c>
      <c r="BD999" s="93">
        <v>82323612567</v>
      </c>
      <c r="BE999" s="93">
        <v>85771032128</v>
      </c>
      <c r="BF999" s="93">
        <v>85790885419</v>
      </c>
      <c r="BG999" s="93">
        <v>87711780525</v>
      </c>
      <c r="BH999" s="93">
        <v>82167791485</v>
      </c>
      <c r="BI999" s="93">
        <v>81998345914</v>
      </c>
      <c r="BJ999" s="93">
        <v>895377301988</v>
      </c>
      <c r="BK999" s="93">
        <v>85796050171</v>
      </c>
      <c r="BP999" s="18" t="s">
        <v>11894</v>
      </c>
      <c r="BQ999" s="37">
        <v>45320</v>
      </c>
      <c r="BR999" s="8">
        <f t="shared" si="3"/>
        <v>9</v>
      </c>
    </row>
    <row r="1000" spans="1:70" ht="14">
      <c r="A1000" s="4" t="str">
        <v>Reguler Periode ke-119 XIX.B.2</v>
      </c>
      <c r="B1000" s="4" t="s">
        <v>9561</v>
      </c>
      <c r="C1000" s="4" t="s">
        <v>4716</v>
      </c>
      <c r="D1000" s="4" t="s">
        <v>5303</v>
      </c>
      <c r="E1000" s="4" t="s">
        <v>4755</v>
      </c>
      <c r="F1000" s="4" t="s">
        <v>11242</v>
      </c>
      <c r="G1000" s="6" t="s">
        <v>11895</v>
      </c>
      <c r="H1000" s="92" t="s">
        <v>11896</v>
      </c>
      <c r="I1000" s="92" t="s">
        <v>11897</v>
      </c>
      <c r="J1000" s="92" t="s">
        <v>11898</v>
      </c>
      <c r="K1000" s="92" t="s">
        <v>11899</v>
      </c>
      <c r="L1000" s="92" t="s">
        <v>11900</v>
      </c>
      <c r="M1000" s="92" t="s">
        <v>11901</v>
      </c>
      <c r="N1000" s="92" t="s">
        <v>11902</v>
      </c>
      <c r="O1000" s="92" t="s">
        <v>11903</v>
      </c>
      <c r="S1000" s="6">
        <v>2000005330</v>
      </c>
      <c r="T1000" s="92">
        <v>2000012106</v>
      </c>
      <c r="U1000" s="92">
        <v>2000018414</v>
      </c>
      <c r="V1000" s="92">
        <v>2000019062</v>
      </c>
      <c r="W1000" s="92">
        <v>2000026151</v>
      </c>
      <c r="X1000" s="92">
        <v>2000030231</v>
      </c>
      <c r="Y1000" s="92">
        <v>2000031237</v>
      </c>
      <c r="Z1000" s="92">
        <v>2000070006</v>
      </c>
      <c r="AA1000" s="92">
        <v>2203011324</v>
      </c>
      <c r="AE1000" s="6" t="s">
        <v>181</v>
      </c>
      <c r="AF1000" s="92" t="s">
        <v>885</v>
      </c>
      <c r="AG1000" s="92" t="s">
        <v>179</v>
      </c>
      <c r="AH1000" s="92" t="s">
        <v>705</v>
      </c>
      <c r="AI1000" s="92" t="s">
        <v>570</v>
      </c>
      <c r="AJ1000" s="92" t="s">
        <v>184</v>
      </c>
      <c r="AK1000" s="92" t="s">
        <v>185</v>
      </c>
      <c r="AL1000" s="92" t="s">
        <v>2473</v>
      </c>
      <c r="AM1000" s="92" t="s">
        <v>182</v>
      </c>
      <c r="AQ1000" s="6" t="s">
        <v>186</v>
      </c>
      <c r="AR1000" s="92" t="s">
        <v>187</v>
      </c>
      <c r="AS1000" s="92" t="s">
        <v>186</v>
      </c>
      <c r="AT1000" s="92" t="s">
        <v>187</v>
      </c>
      <c r="AU1000" s="92" t="s">
        <v>186</v>
      </c>
      <c r="AV1000" s="92" t="s">
        <v>187</v>
      </c>
      <c r="AW1000" s="92" t="s">
        <v>186</v>
      </c>
      <c r="AX1000" s="92" t="s">
        <v>186</v>
      </c>
      <c r="AY1000" s="92" t="s">
        <v>186</v>
      </c>
      <c r="BC1000" s="60">
        <v>85268646189</v>
      </c>
      <c r="BD1000" s="93">
        <v>89657155205</v>
      </c>
      <c r="BE1000" s="93">
        <v>87760636331</v>
      </c>
      <c r="BF1000" s="93">
        <v>83853108703</v>
      </c>
      <c r="BG1000" s="93">
        <v>82321323966</v>
      </c>
      <c r="BH1000" s="93">
        <v>85937021614</v>
      </c>
      <c r="BI1000" s="93">
        <v>82230787263</v>
      </c>
      <c r="BJ1000" s="93">
        <v>83844310925</v>
      </c>
      <c r="BK1000" s="93">
        <v>85842263505</v>
      </c>
      <c r="BP1000" s="18" t="s">
        <v>11904</v>
      </c>
      <c r="BQ1000" s="37">
        <v>45320</v>
      </c>
      <c r="BR1000" s="8">
        <f t="shared" si="3"/>
        <v>9</v>
      </c>
    </row>
    <row r="1001" spans="1:70" ht="14">
      <c r="A1001" s="4" t="str">
        <v>Reguler Periode ke-119 XIX.B.3</v>
      </c>
      <c r="B1001" s="4" t="s">
        <v>9561</v>
      </c>
      <c r="C1001" s="4" t="s">
        <v>4728</v>
      </c>
      <c r="D1001" s="4" t="s">
        <v>5303</v>
      </c>
      <c r="E1001" s="4" t="s">
        <v>4805</v>
      </c>
      <c r="F1001" s="4" t="s">
        <v>11242</v>
      </c>
      <c r="G1001" s="6" t="s">
        <v>11905</v>
      </c>
      <c r="H1001" s="92" t="s">
        <v>11906</v>
      </c>
      <c r="I1001" s="92" t="s">
        <v>11907</v>
      </c>
      <c r="J1001" s="92" t="s">
        <v>11908</v>
      </c>
      <c r="K1001" s="92" t="s">
        <v>11909</v>
      </c>
      <c r="L1001" s="92" t="s">
        <v>11910</v>
      </c>
      <c r="M1001" s="92" t="s">
        <v>11911</v>
      </c>
      <c r="N1001" s="92" t="s">
        <v>11912</v>
      </c>
      <c r="O1001" s="92" t="s">
        <v>11913</v>
      </c>
      <c r="S1001" s="6">
        <v>1900012129</v>
      </c>
      <c r="T1001" s="92">
        <v>2000005034</v>
      </c>
      <c r="U1001" s="92">
        <v>2000011411</v>
      </c>
      <c r="V1001" s="92">
        <v>2000018397</v>
      </c>
      <c r="W1001" s="92">
        <v>2000019052</v>
      </c>
      <c r="X1001" s="92">
        <v>2000026010</v>
      </c>
      <c r="Y1001" s="92">
        <v>2000030178</v>
      </c>
      <c r="Z1001" s="92">
        <v>2000031171</v>
      </c>
      <c r="AA1001" s="92">
        <v>2000070022</v>
      </c>
      <c r="AE1001" s="6" t="s">
        <v>885</v>
      </c>
      <c r="AF1001" s="92" t="s">
        <v>181</v>
      </c>
      <c r="AG1001" s="92" t="s">
        <v>182</v>
      </c>
      <c r="AH1001" s="92" t="s">
        <v>179</v>
      </c>
      <c r="AI1001" s="92" t="s">
        <v>705</v>
      </c>
      <c r="AJ1001" s="92" t="s">
        <v>570</v>
      </c>
      <c r="AK1001" s="92" t="s">
        <v>184</v>
      </c>
      <c r="AL1001" s="92" t="s">
        <v>185</v>
      </c>
      <c r="AM1001" s="92" t="s">
        <v>2473</v>
      </c>
      <c r="AQ1001" s="6" t="s">
        <v>187</v>
      </c>
      <c r="AR1001" s="92" t="s">
        <v>186</v>
      </c>
      <c r="AS1001" s="92" t="s">
        <v>186</v>
      </c>
      <c r="AT1001" s="92" t="s">
        <v>186</v>
      </c>
      <c r="AU1001" s="92" t="s">
        <v>187</v>
      </c>
      <c r="AV1001" s="92" t="s">
        <v>186</v>
      </c>
      <c r="AW1001" s="92" t="s">
        <v>187</v>
      </c>
      <c r="AX1001" s="92" t="s">
        <v>186</v>
      </c>
      <c r="AY1001" s="92" t="s">
        <v>186</v>
      </c>
      <c r="BC1001" s="60">
        <v>81391667792</v>
      </c>
      <c r="BD1001" s="93">
        <v>8976606922</v>
      </c>
      <c r="BE1001" s="93">
        <v>81239232738</v>
      </c>
      <c r="BF1001" s="93">
        <v>81358271664</v>
      </c>
      <c r="BG1001" s="93">
        <v>81394444519</v>
      </c>
      <c r="BH1001" s="93">
        <v>87818125512</v>
      </c>
      <c r="BI1001" s="93">
        <v>82178693594</v>
      </c>
      <c r="BJ1001" s="93">
        <v>85709410411</v>
      </c>
      <c r="BK1001" s="93">
        <v>85384845808</v>
      </c>
      <c r="BP1001" s="18" t="s">
        <v>11914</v>
      </c>
      <c r="BQ1001" s="37">
        <v>45320</v>
      </c>
      <c r="BR1001" s="8">
        <f t="shared" si="3"/>
        <v>9</v>
      </c>
    </row>
    <row r="1002" spans="1:70" ht="14">
      <c r="A1002" s="4" t="str">
        <v>Reguler Periode ke-119 XIX.C.1</v>
      </c>
      <c r="B1002" s="4" t="s">
        <v>9561</v>
      </c>
      <c r="C1002" s="4" t="s">
        <v>4740</v>
      </c>
      <c r="D1002" s="4" t="s">
        <v>11915</v>
      </c>
      <c r="E1002" s="4" t="s">
        <v>4742</v>
      </c>
      <c r="F1002" s="4" t="s">
        <v>11242</v>
      </c>
      <c r="G1002" s="6" t="s">
        <v>11916</v>
      </c>
      <c r="H1002" s="92" t="s">
        <v>11917</v>
      </c>
      <c r="I1002" s="92" t="s">
        <v>11918</v>
      </c>
      <c r="J1002" s="92" t="s">
        <v>11919</v>
      </c>
      <c r="K1002" s="92" t="s">
        <v>11920</v>
      </c>
      <c r="L1002" s="92" t="s">
        <v>11921</v>
      </c>
      <c r="M1002" s="92" t="s">
        <v>11922</v>
      </c>
      <c r="N1002" s="92" t="s">
        <v>11923</v>
      </c>
      <c r="O1002" s="92" t="s">
        <v>11924</v>
      </c>
      <c r="S1002" s="6">
        <v>2000005275</v>
      </c>
      <c r="T1002" s="92">
        <v>2000011271</v>
      </c>
      <c r="U1002" s="92">
        <v>2000011367</v>
      </c>
      <c r="V1002" s="92">
        <v>2000012126</v>
      </c>
      <c r="W1002" s="92">
        <v>2000018084</v>
      </c>
      <c r="X1002" s="92">
        <v>2000019018</v>
      </c>
      <c r="Y1002" s="92">
        <v>2000030085</v>
      </c>
      <c r="Z1002" s="92">
        <v>2000031230</v>
      </c>
      <c r="AA1002" s="92">
        <v>2000070018</v>
      </c>
      <c r="AE1002" s="6" t="s">
        <v>181</v>
      </c>
      <c r="AF1002" s="92" t="s">
        <v>182</v>
      </c>
      <c r="AG1002" s="92" t="s">
        <v>182</v>
      </c>
      <c r="AH1002" s="92" t="s">
        <v>885</v>
      </c>
      <c r="AI1002" s="92" t="s">
        <v>179</v>
      </c>
      <c r="AJ1002" s="92" t="s">
        <v>705</v>
      </c>
      <c r="AK1002" s="92" t="s">
        <v>184</v>
      </c>
      <c r="AL1002" s="92" t="s">
        <v>185</v>
      </c>
      <c r="AM1002" s="92" t="s">
        <v>2473</v>
      </c>
      <c r="AQ1002" s="6" t="s">
        <v>186</v>
      </c>
      <c r="AR1002" s="92" t="s">
        <v>186</v>
      </c>
      <c r="AS1002" s="92" t="s">
        <v>186</v>
      </c>
      <c r="AT1002" s="92" t="s">
        <v>187</v>
      </c>
      <c r="AU1002" s="92" t="s">
        <v>186</v>
      </c>
      <c r="AV1002" s="92" t="s">
        <v>187</v>
      </c>
      <c r="AW1002" s="92" t="s">
        <v>187</v>
      </c>
      <c r="AX1002" s="92" t="s">
        <v>186</v>
      </c>
      <c r="AY1002" s="92" t="s">
        <v>186</v>
      </c>
      <c r="BC1002" s="60">
        <v>83838618698</v>
      </c>
      <c r="BD1002" s="93">
        <v>81268032051</v>
      </c>
      <c r="BE1002" s="93">
        <v>82116423298</v>
      </c>
      <c r="BF1002" s="93">
        <v>85766909540</v>
      </c>
      <c r="BG1002" s="93">
        <v>82283758643</v>
      </c>
      <c r="BH1002" s="93">
        <v>81389791088</v>
      </c>
      <c r="BI1002" s="93">
        <v>89647393672</v>
      </c>
      <c r="BJ1002" s="93">
        <v>87718593815</v>
      </c>
      <c r="BK1002" s="93">
        <v>82293669861</v>
      </c>
      <c r="BP1002" s="18" t="s">
        <v>11925</v>
      </c>
      <c r="BQ1002" s="37">
        <v>45320</v>
      </c>
      <c r="BR1002" s="8">
        <f t="shared" si="3"/>
        <v>9</v>
      </c>
    </row>
    <row r="1003" spans="1:70" ht="14">
      <c r="A1003" s="4" t="str">
        <v>Reguler Periode ke-119 XIX.C.2</v>
      </c>
      <c r="B1003" s="4" t="s">
        <v>9561</v>
      </c>
      <c r="C1003" s="4" t="s">
        <v>4754</v>
      </c>
      <c r="D1003" s="4" t="s">
        <v>11915</v>
      </c>
      <c r="E1003" s="4" t="s">
        <v>11926</v>
      </c>
      <c r="F1003" s="4" t="s">
        <v>11242</v>
      </c>
      <c r="G1003" s="6" t="s">
        <v>11927</v>
      </c>
      <c r="H1003" s="92" t="s">
        <v>11928</v>
      </c>
      <c r="I1003" s="92" t="s">
        <v>11929</v>
      </c>
      <c r="J1003" s="92" t="s">
        <v>11930</v>
      </c>
      <c r="K1003" s="92" t="s">
        <v>11931</v>
      </c>
      <c r="L1003" s="92" t="s">
        <v>11932</v>
      </c>
      <c r="M1003" s="92" t="s">
        <v>11933</v>
      </c>
      <c r="N1003" s="92" t="s">
        <v>9522</v>
      </c>
      <c r="O1003" s="92" t="s">
        <v>11934</v>
      </c>
      <c r="S1003" s="6">
        <v>1800026116</v>
      </c>
      <c r="T1003" s="92">
        <v>2000005036</v>
      </c>
      <c r="U1003" s="92">
        <v>2000011312</v>
      </c>
      <c r="V1003" s="92">
        <v>2000013202</v>
      </c>
      <c r="W1003" s="92">
        <v>2000018033</v>
      </c>
      <c r="X1003" s="92">
        <v>2000019126</v>
      </c>
      <c r="Y1003" s="92">
        <v>2000030041</v>
      </c>
      <c r="Z1003" s="92">
        <v>2000031191</v>
      </c>
      <c r="AA1003" s="92">
        <v>2000070027</v>
      </c>
      <c r="AE1003" s="6" t="s">
        <v>570</v>
      </c>
      <c r="AF1003" s="92" t="s">
        <v>181</v>
      </c>
      <c r="AG1003" s="92" t="s">
        <v>182</v>
      </c>
      <c r="AH1003" s="92" t="s">
        <v>677</v>
      </c>
      <c r="AI1003" s="92" t="s">
        <v>179</v>
      </c>
      <c r="AJ1003" s="92" t="s">
        <v>705</v>
      </c>
      <c r="AK1003" s="92" t="s">
        <v>184</v>
      </c>
      <c r="AL1003" s="92" t="s">
        <v>185</v>
      </c>
      <c r="AM1003" s="92" t="s">
        <v>2473</v>
      </c>
      <c r="AQ1003" s="6" t="s">
        <v>186</v>
      </c>
      <c r="AR1003" s="92" t="s">
        <v>186</v>
      </c>
      <c r="AS1003" s="92" t="s">
        <v>186</v>
      </c>
      <c r="AT1003" s="92" t="s">
        <v>187</v>
      </c>
      <c r="AU1003" s="92" t="s">
        <v>186</v>
      </c>
      <c r="AV1003" s="92" t="s">
        <v>187</v>
      </c>
      <c r="AW1003" s="92" t="s">
        <v>187</v>
      </c>
      <c r="AX1003" s="92" t="s">
        <v>186</v>
      </c>
      <c r="AY1003" s="92" t="s">
        <v>186</v>
      </c>
      <c r="BC1003" s="60">
        <v>81320143044</v>
      </c>
      <c r="BD1003" s="93">
        <v>85716421061</v>
      </c>
      <c r="BE1003" s="93">
        <v>85877301659</v>
      </c>
      <c r="BF1003" s="93">
        <v>81575652617</v>
      </c>
      <c r="BG1003" s="93">
        <v>82140670419</v>
      </c>
      <c r="BH1003" s="93">
        <v>85246341672</v>
      </c>
      <c r="BI1003" s="93">
        <v>895390804645</v>
      </c>
      <c r="BJ1003" s="93">
        <v>85709191478</v>
      </c>
      <c r="BK1003" s="93">
        <v>81262747440</v>
      </c>
      <c r="BP1003" s="18" t="s">
        <v>11935</v>
      </c>
      <c r="BQ1003" s="37">
        <v>45320</v>
      </c>
      <c r="BR1003" s="8">
        <f t="shared" si="3"/>
        <v>9</v>
      </c>
    </row>
    <row r="1004" spans="1:70" ht="14">
      <c r="A1004" s="4" t="str">
        <v>Reguler Periode ke-119 XIX.C.3</v>
      </c>
      <c r="B1004" s="4" t="s">
        <v>9561</v>
      </c>
      <c r="C1004" s="4" t="s">
        <v>4767</v>
      </c>
      <c r="D1004" s="4" t="s">
        <v>11915</v>
      </c>
      <c r="E1004" s="4" t="s">
        <v>11936</v>
      </c>
      <c r="F1004" s="4" t="s">
        <v>11242</v>
      </c>
      <c r="G1004" s="6" t="s">
        <v>11937</v>
      </c>
      <c r="H1004" s="92" t="s">
        <v>11938</v>
      </c>
      <c r="I1004" s="92" t="s">
        <v>11939</v>
      </c>
      <c r="J1004" s="92" t="s">
        <v>11940</v>
      </c>
      <c r="K1004" s="92" t="s">
        <v>11941</v>
      </c>
      <c r="L1004" s="92" t="s">
        <v>11942</v>
      </c>
      <c r="M1004" s="92" t="s">
        <v>11943</v>
      </c>
      <c r="N1004" s="92" t="s">
        <v>11944</v>
      </c>
      <c r="O1004" s="92" t="s">
        <v>11945</v>
      </c>
      <c r="S1004" s="6">
        <v>2000005241</v>
      </c>
      <c r="T1004" s="92">
        <v>2000011066</v>
      </c>
      <c r="U1004" s="92">
        <v>2000013233</v>
      </c>
      <c r="V1004" s="92">
        <v>2000018256</v>
      </c>
      <c r="W1004" s="92">
        <v>2000019021</v>
      </c>
      <c r="X1004" s="92">
        <v>2000026175</v>
      </c>
      <c r="Y1004" s="92">
        <v>2000030149</v>
      </c>
      <c r="Z1004" s="92">
        <v>2000031142</v>
      </c>
      <c r="AA1004" s="92">
        <v>2000070004</v>
      </c>
      <c r="AE1004" s="6" t="s">
        <v>181</v>
      </c>
      <c r="AF1004" s="92" t="s">
        <v>182</v>
      </c>
      <c r="AG1004" s="92" t="s">
        <v>677</v>
      </c>
      <c r="AH1004" s="92" t="s">
        <v>179</v>
      </c>
      <c r="AI1004" s="92" t="s">
        <v>705</v>
      </c>
      <c r="AJ1004" s="92" t="s">
        <v>570</v>
      </c>
      <c r="AK1004" s="92" t="s">
        <v>184</v>
      </c>
      <c r="AL1004" s="92" t="s">
        <v>185</v>
      </c>
      <c r="AM1004" s="92" t="s">
        <v>2473</v>
      </c>
      <c r="AQ1004" s="6" t="s">
        <v>186</v>
      </c>
      <c r="AR1004" s="92" t="s">
        <v>186</v>
      </c>
      <c r="AS1004" s="92" t="s">
        <v>187</v>
      </c>
      <c r="AT1004" s="92" t="s">
        <v>186</v>
      </c>
      <c r="AU1004" s="92" t="s">
        <v>187</v>
      </c>
      <c r="AV1004" s="92" t="s">
        <v>186</v>
      </c>
      <c r="AW1004" s="92" t="s">
        <v>187</v>
      </c>
      <c r="AX1004" s="92" t="s">
        <v>186</v>
      </c>
      <c r="AY1004" s="92" t="s">
        <v>186</v>
      </c>
      <c r="BC1004" s="60">
        <v>81802326954</v>
      </c>
      <c r="BD1004" s="93">
        <v>85279299231</v>
      </c>
      <c r="BE1004" s="93">
        <v>81215056364</v>
      </c>
      <c r="BF1004" s="93">
        <v>8882824169</v>
      </c>
      <c r="BG1004" s="93">
        <v>88226658722</v>
      </c>
      <c r="BH1004" s="93">
        <v>895391353175</v>
      </c>
      <c r="BI1004" s="93">
        <v>81325010764</v>
      </c>
      <c r="BJ1004" s="93">
        <v>85979531975</v>
      </c>
      <c r="BK1004" s="93">
        <v>85727220686</v>
      </c>
      <c r="BP1004" s="35" t="s">
        <v>11946</v>
      </c>
      <c r="BQ1004" s="37">
        <v>45320</v>
      </c>
      <c r="BR1004" s="8">
        <f t="shared" si="3"/>
        <v>9</v>
      </c>
    </row>
    <row r="1005" spans="1:70" ht="14">
      <c r="A1005" s="4" t="str">
        <v>Reguler Periode ke-119 XIX.D.1</v>
      </c>
      <c r="B1005" s="4" t="s">
        <v>9561</v>
      </c>
      <c r="C1005" s="4" t="s">
        <v>4779</v>
      </c>
      <c r="D1005" s="4" t="s">
        <v>4261</v>
      </c>
      <c r="E1005" s="4" t="s">
        <v>4680</v>
      </c>
      <c r="F1005" s="4" t="s">
        <v>11242</v>
      </c>
      <c r="G1005" s="6" t="s">
        <v>11947</v>
      </c>
      <c r="H1005" s="92" t="s">
        <v>11948</v>
      </c>
      <c r="I1005" s="92" t="s">
        <v>11949</v>
      </c>
      <c r="J1005" s="92" t="s">
        <v>11950</v>
      </c>
      <c r="K1005" s="92" t="s">
        <v>11951</v>
      </c>
      <c r="L1005" s="92" t="s">
        <v>11952</v>
      </c>
      <c r="M1005" s="92" t="s">
        <v>11953</v>
      </c>
      <c r="N1005" s="92" t="s">
        <v>11954</v>
      </c>
      <c r="O1005" s="92" t="s">
        <v>11955</v>
      </c>
      <c r="S1005" s="6">
        <v>1900030257</v>
      </c>
      <c r="T1005" s="92">
        <v>2000005260</v>
      </c>
      <c r="U1005" s="92">
        <v>2000011077</v>
      </c>
      <c r="V1005" s="92">
        <v>2000013281</v>
      </c>
      <c r="W1005" s="92">
        <v>2000018391</v>
      </c>
      <c r="X1005" s="92">
        <v>2000019112</v>
      </c>
      <c r="Y1005" s="92">
        <v>2000026063</v>
      </c>
      <c r="Z1005" s="92">
        <v>2000031200</v>
      </c>
      <c r="AA1005" s="92">
        <v>2000070010</v>
      </c>
      <c r="AE1005" s="6" t="s">
        <v>184</v>
      </c>
      <c r="AF1005" s="92" t="s">
        <v>181</v>
      </c>
      <c r="AG1005" s="92" t="s">
        <v>182</v>
      </c>
      <c r="AH1005" s="92" t="s">
        <v>677</v>
      </c>
      <c r="AI1005" s="92" t="s">
        <v>179</v>
      </c>
      <c r="AJ1005" s="92" t="s">
        <v>705</v>
      </c>
      <c r="AK1005" s="92" t="s">
        <v>570</v>
      </c>
      <c r="AL1005" s="92" t="s">
        <v>185</v>
      </c>
      <c r="AM1005" s="92" t="s">
        <v>2473</v>
      </c>
      <c r="AQ1005" s="6" t="s">
        <v>187</v>
      </c>
      <c r="AR1005" s="92" t="s">
        <v>186</v>
      </c>
      <c r="AS1005" s="92" t="s">
        <v>186</v>
      </c>
      <c r="AT1005" s="92" t="s">
        <v>187</v>
      </c>
      <c r="AU1005" s="92" t="s">
        <v>186</v>
      </c>
      <c r="AV1005" s="92" t="s">
        <v>187</v>
      </c>
      <c r="AW1005" s="92" t="s">
        <v>186</v>
      </c>
      <c r="AX1005" s="92" t="s">
        <v>186</v>
      </c>
      <c r="AY1005" s="92" t="s">
        <v>186</v>
      </c>
      <c r="BC1005" s="60">
        <v>82374638232</v>
      </c>
      <c r="BD1005" s="93">
        <v>81215568609</v>
      </c>
      <c r="BE1005" s="93">
        <v>81327359762</v>
      </c>
      <c r="BF1005" s="93">
        <v>85293817505</v>
      </c>
      <c r="BG1005" s="93">
        <v>85156879079</v>
      </c>
      <c r="BH1005" s="93">
        <v>81222260986</v>
      </c>
      <c r="BI1005" s="93">
        <v>895391828815</v>
      </c>
      <c r="BJ1005" s="93">
        <v>85706510332</v>
      </c>
      <c r="BK1005" s="93">
        <v>82296012218</v>
      </c>
      <c r="BP1005" s="18" t="s">
        <v>11956</v>
      </c>
      <c r="BQ1005" s="37">
        <v>45320</v>
      </c>
      <c r="BR1005" s="8">
        <f t="shared" si="3"/>
        <v>9</v>
      </c>
    </row>
    <row r="1006" spans="1:70" ht="14.5">
      <c r="A1006" s="4" t="str">
        <v>Reguler Periode ke-119 XIX.D.2</v>
      </c>
      <c r="B1006" s="4" t="s">
        <v>9561</v>
      </c>
      <c r="C1006" s="4" t="s">
        <v>4792</v>
      </c>
      <c r="D1006" s="4" t="s">
        <v>4261</v>
      </c>
      <c r="E1006" s="4" t="s">
        <v>4717</v>
      </c>
      <c r="F1006" s="4" t="s">
        <v>11242</v>
      </c>
      <c r="G1006" s="6" t="s">
        <v>11957</v>
      </c>
      <c r="H1006" s="92" t="s">
        <v>11958</v>
      </c>
      <c r="I1006" s="92" t="s">
        <v>11959</v>
      </c>
      <c r="J1006" s="92" t="s">
        <v>11960</v>
      </c>
      <c r="K1006" s="92" t="s">
        <v>11961</v>
      </c>
      <c r="L1006" s="92" t="s">
        <v>11962</v>
      </c>
      <c r="M1006" s="92" t="s">
        <v>11963</v>
      </c>
      <c r="N1006" s="92" t="s">
        <v>11964</v>
      </c>
      <c r="O1006" s="92" t="s">
        <v>11965</v>
      </c>
      <c r="S1006" s="6">
        <v>1900013012</v>
      </c>
      <c r="T1006" s="92">
        <v>2000005287</v>
      </c>
      <c r="U1006" s="92">
        <v>2000011085</v>
      </c>
      <c r="V1006" s="92">
        <v>2000018251</v>
      </c>
      <c r="W1006" s="92">
        <v>2000019173</v>
      </c>
      <c r="X1006" s="92">
        <v>2000026159</v>
      </c>
      <c r="Y1006" s="92">
        <v>2000030239</v>
      </c>
      <c r="Z1006" s="92">
        <v>2000031123</v>
      </c>
      <c r="AA1006" s="92">
        <v>2000070011</v>
      </c>
      <c r="AE1006" s="6" t="s">
        <v>677</v>
      </c>
      <c r="AF1006" s="92" t="s">
        <v>181</v>
      </c>
      <c r="AG1006" s="92" t="s">
        <v>182</v>
      </c>
      <c r="AH1006" s="92" t="s">
        <v>179</v>
      </c>
      <c r="AI1006" s="92" t="s">
        <v>705</v>
      </c>
      <c r="AJ1006" s="92" t="s">
        <v>570</v>
      </c>
      <c r="AK1006" s="92" t="s">
        <v>184</v>
      </c>
      <c r="AL1006" s="92" t="s">
        <v>185</v>
      </c>
      <c r="AM1006" s="92" t="s">
        <v>2473</v>
      </c>
      <c r="AQ1006" s="6" t="s">
        <v>187</v>
      </c>
      <c r="AR1006" s="92" t="s">
        <v>186</v>
      </c>
      <c r="AS1006" s="92" t="s">
        <v>186</v>
      </c>
      <c r="AT1006" s="92" t="s">
        <v>186</v>
      </c>
      <c r="AU1006" s="92" t="s">
        <v>187</v>
      </c>
      <c r="AV1006" s="92" t="s">
        <v>186</v>
      </c>
      <c r="AW1006" s="92" t="s">
        <v>187</v>
      </c>
      <c r="AX1006" s="92" t="s">
        <v>186</v>
      </c>
      <c r="AY1006" s="92" t="s">
        <v>186</v>
      </c>
      <c r="BC1006" s="60">
        <v>82274701126</v>
      </c>
      <c r="BD1006" s="93">
        <v>81326797831</v>
      </c>
      <c r="BE1006" s="93">
        <v>82176658145</v>
      </c>
      <c r="BF1006" s="93">
        <v>85767172054</v>
      </c>
      <c r="BG1006" s="93">
        <v>85716483546</v>
      </c>
      <c r="BH1006" s="93">
        <v>81279861562</v>
      </c>
      <c r="BI1006" s="93">
        <v>85210523153</v>
      </c>
      <c r="BJ1006" s="93">
        <v>81949578406</v>
      </c>
      <c r="BK1006" s="93">
        <v>87737992337</v>
      </c>
      <c r="BL1006" s="73"/>
      <c r="BP1006" s="18" t="s">
        <v>11966</v>
      </c>
      <c r="BQ1006" s="37">
        <v>45320</v>
      </c>
      <c r="BR1006" s="8">
        <f t="shared" si="3"/>
        <v>9</v>
      </c>
    </row>
    <row r="1007" spans="1:70" ht="14">
      <c r="A1007" s="4" t="str">
        <v>Reguler Periode ke-119 XIX.D.3</v>
      </c>
      <c r="B1007" s="4" t="s">
        <v>9561</v>
      </c>
      <c r="C1007" s="4" t="s">
        <v>4804</v>
      </c>
      <c r="D1007" s="4" t="s">
        <v>4261</v>
      </c>
      <c r="E1007" s="4" t="s">
        <v>4692</v>
      </c>
      <c r="F1007" s="4" t="s">
        <v>11242</v>
      </c>
      <c r="G1007" s="6" t="s">
        <v>11967</v>
      </c>
      <c r="H1007" s="92" t="s">
        <v>11968</v>
      </c>
      <c r="I1007" s="92" t="s">
        <v>11969</v>
      </c>
      <c r="J1007" s="92" t="s">
        <v>11970</v>
      </c>
      <c r="K1007" s="92" t="s">
        <v>11971</v>
      </c>
      <c r="L1007" s="92" t="s">
        <v>11972</v>
      </c>
      <c r="M1007" s="92" t="s">
        <v>11973</v>
      </c>
      <c r="N1007" s="92" t="s">
        <v>11974</v>
      </c>
      <c r="O1007" s="92" t="s">
        <v>11975</v>
      </c>
      <c r="S1007" s="6">
        <v>2000005229</v>
      </c>
      <c r="T1007" s="92">
        <v>2000011356</v>
      </c>
      <c r="U1007" s="92">
        <v>2000013287</v>
      </c>
      <c r="V1007" s="92">
        <v>2000018196</v>
      </c>
      <c r="W1007" s="92">
        <v>2000019176</v>
      </c>
      <c r="X1007" s="92">
        <v>2000026156</v>
      </c>
      <c r="Y1007" s="92">
        <v>2000030126</v>
      </c>
      <c r="Z1007" s="92">
        <v>2000031003</v>
      </c>
      <c r="AA1007" s="92">
        <v>2000070015</v>
      </c>
      <c r="AE1007" s="6" t="s">
        <v>181</v>
      </c>
      <c r="AF1007" s="92" t="s">
        <v>182</v>
      </c>
      <c r="AG1007" s="92" t="s">
        <v>677</v>
      </c>
      <c r="AH1007" s="92" t="s">
        <v>179</v>
      </c>
      <c r="AI1007" s="92" t="s">
        <v>705</v>
      </c>
      <c r="AJ1007" s="92" t="s">
        <v>570</v>
      </c>
      <c r="AK1007" s="92" t="s">
        <v>184</v>
      </c>
      <c r="AL1007" s="92" t="s">
        <v>185</v>
      </c>
      <c r="AM1007" s="92" t="s">
        <v>2473</v>
      </c>
      <c r="AQ1007" s="6" t="s">
        <v>186</v>
      </c>
      <c r="AR1007" s="92" t="s">
        <v>186</v>
      </c>
      <c r="AS1007" s="92" t="s">
        <v>187</v>
      </c>
      <c r="AT1007" s="92" t="s">
        <v>186</v>
      </c>
      <c r="AU1007" s="92" t="s">
        <v>187</v>
      </c>
      <c r="AV1007" s="92" t="s">
        <v>186</v>
      </c>
      <c r="AW1007" s="92" t="s">
        <v>187</v>
      </c>
      <c r="AX1007" s="92" t="s">
        <v>186</v>
      </c>
      <c r="AY1007" s="92" t="s">
        <v>186</v>
      </c>
      <c r="BC1007" s="60">
        <v>81379390829</v>
      </c>
      <c r="BD1007" s="93">
        <v>81390769959</v>
      </c>
      <c r="BE1007" s="93">
        <v>82299349225</v>
      </c>
      <c r="BF1007" s="93">
        <v>6281216666220</v>
      </c>
      <c r="BG1007" s="93">
        <v>85227245312</v>
      </c>
      <c r="BH1007" s="93">
        <v>88806032663</v>
      </c>
      <c r="BI1007" s="93">
        <v>82147504145</v>
      </c>
      <c r="BJ1007" s="93">
        <v>82325032860</v>
      </c>
      <c r="BK1007" s="93">
        <v>81397821913</v>
      </c>
      <c r="BP1007" s="35" t="s">
        <v>11976</v>
      </c>
      <c r="BQ1007" s="37">
        <v>45320</v>
      </c>
      <c r="BR1007" s="8">
        <f t="shared" si="3"/>
        <v>9</v>
      </c>
    </row>
    <row r="1008" spans="1:70" ht="14">
      <c r="A1008" s="4" t="str">
        <v>Reguler Periode ke-119 XX.A.1</v>
      </c>
      <c r="B1008" s="4" t="s">
        <v>9561</v>
      </c>
      <c r="C1008" s="4" t="s">
        <v>4816</v>
      </c>
      <c r="D1008" s="4" t="s">
        <v>11977</v>
      </c>
      <c r="E1008" s="4" t="s">
        <v>4705</v>
      </c>
      <c r="F1008" s="4" t="s">
        <v>11242</v>
      </c>
      <c r="G1008" s="6" t="s">
        <v>11978</v>
      </c>
      <c r="H1008" s="92" t="s">
        <v>11979</v>
      </c>
      <c r="I1008" s="92" t="s">
        <v>11980</v>
      </c>
      <c r="J1008" s="92" t="s">
        <v>11981</v>
      </c>
      <c r="K1008" s="92" t="s">
        <v>11982</v>
      </c>
      <c r="L1008" s="92" t="s">
        <v>11983</v>
      </c>
      <c r="M1008" s="92" t="s">
        <v>11984</v>
      </c>
      <c r="N1008" s="92" t="s">
        <v>11985</v>
      </c>
      <c r="O1008" s="92" t="s">
        <v>11986</v>
      </c>
      <c r="S1008" s="6">
        <v>2000005210</v>
      </c>
      <c r="T1008" s="92">
        <v>2000011292</v>
      </c>
      <c r="U1008" s="92">
        <v>2000013140</v>
      </c>
      <c r="V1008" s="92">
        <v>2000019005</v>
      </c>
      <c r="W1008" s="92">
        <v>2000026086</v>
      </c>
      <c r="X1008" s="92">
        <v>2000030014</v>
      </c>
      <c r="Y1008" s="92">
        <v>2000031118</v>
      </c>
      <c r="Z1008" s="92">
        <v>2000070034</v>
      </c>
      <c r="AA1008" s="92">
        <v>2015018224</v>
      </c>
      <c r="AE1008" s="6" t="s">
        <v>181</v>
      </c>
      <c r="AF1008" s="92" t="s">
        <v>182</v>
      </c>
      <c r="AG1008" s="92" t="s">
        <v>677</v>
      </c>
      <c r="AH1008" s="92" t="s">
        <v>705</v>
      </c>
      <c r="AI1008" s="92" t="s">
        <v>570</v>
      </c>
      <c r="AJ1008" s="92" t="s">
        <v>184</v>
      </c>
      <c r="AK1008" s="92" t="s">
        <v>185</v>
      </c>
      <c r="AL1008" s="92" t="s">
        <v>2473</v>
      </c>
      <c r="AM1008" s="92" t="s">
        <v>179</v>
      </c>
      <c r="AQ1008" s="6" t="s">
        <v>186</v>
      </c>
      <c r="AR1008" s="92" t="s">
        <v>186</v>
      </c>
      <c r="AS1008" s="92" t="s">
        <v>187</v>
      </c>
      <c r="AT1008" s="92" t="s">
        <v>187</v>
      </c>
      <c r="AU1008" s="92" t="s">
        <v>186</v>
      </c>
      <c r="AV1008" s="92" t="s">
        <v>187</v>
      </c>
      <c r="AW1008" s="92" t="s">
        <v>186</v>
      </c>
      <c r="AX1008" s="92" t="s">
        <v>186</v>
      </c>
      <c r="AY1008" s="92" t="s">
        <v>186</v>
      </c>
      <c r="BC1008" s="60">
        <v>85921133034</v>
      </c>
      <c r="BD1008" s="93">
        <v>85608684793</v>
      </c>
      <c r="BE1008" s="93">
        <v>81279976113</v>
      </c>
      <c r="BF1008" s="93">
        <v>85702016278</v>
      </c>
      <c r="BG1008" s="93">
        <v>882003135828</v>
      </c>
      <c r="BH1008" s="93">
        <v>83190469494</v>
      </c>
      <c r="BI1008" s="93">
        <v>83151323438</v>
      </c>
      <c r="BJ1008" s="93">
        <v>88705140430</v>
      </c>
      <c r="BK1008" s="93">
        <v>81567632784</v>
      </c>
      <c r="BP1008" s="18" t="s">
        <v>11987</v>
      </c>
      <c r="BQ1008" s="37">
        <v>45320</v>
      </c>
      <c r="BR1008" s="8">
        <f t="shared" si="3"/>
        <v>9</v>
      </c>
    </row>
    <row r="1009" spans="1:70" ht="14">
      <c r="A1009" s="4" t="str">
        <v>Reguler Periode ke-119 XX.A.2</v>
      </c>
      <c r="B1009" s="4" t="s">
        <v>9561</v>
      </c>
      <c r="C1009" s="4" t="s">
        <v>4828</v>
      </c>
      <c r="D1009" s="4" t="s">
        <v>11977</v>
      </c>
      <c r="E1009" s="4" t="s">
        <v>4729</v>
      </c>
      <c r="F1009" s="4" t="s">
        <v>11242</v>
      </c>
      <c r="G1009" s="6" t="s">
        <v>11988</v>
      </c>
      <c r="H1009" s="92" t="s">
        <v>11989</v>
      </c>
      <c r="I1009" s="92" t="s">
        <v>11990</v>
      </c>
      <c r="J1009" s="92" t="s">
        <v>11991</v>
      </c>
      <c r="K1009" s="92" t="s">
        <v>11992</v>
      </c>
      <c r="L1009" s="92" t="s">
        <v>11993</v>
      </c>
      <c r="M1009" s="92" t="s">
        <v>11994</v>
      </c>
      <c r="N1009" s="92" t="s">
        <v>11995</v>
      </c>
      <c r="O1009" s="92" t="s">
        <v>11996</v>
      </c>
      <c r="S1009" s="6">
        <v>2000005368</v>
      </c>
      <c r="T1009" s="92">
        <v>2000011259</v>
      </c>
      <c r="U1009" s="92">
        <v>2000013106</v>
      </c>
      <c r="V1009" s="92">
        <v>2000018066</v>
      </c>
      <c r="W1009" s="92">
        <v>2000020016</v>
      </c>
      <c r="X1009" s="92">
        <v>2000026176</v>
      </c>
      <c r="Y1009" s="92">
        <v>2000030248</v>
      </c>
      <c r="Z1009" s="92">
        <v>2000031177</v>
      </c>
      <c r="AA1009" s="92">
        <v>2000070035</v>
      </c>
      <c r="AE1009" s="6" t="s">
        <v>181</v>
      </c>
      <c r="AF1009" s="92" t="s">
        <v>182</v>
      </c>
      <c r="AG1009" s="92" t="s">
        <v>677</v>
      </c>
      <c r="AH1009" s="92" t="s">
        <v>179</v>
      </c>
      <c r="AI1009" s="92" t="s">
        <v>351</v>
      </c>
      <c r="AJ1009" s="92" t="s">
        <v>570</v>
      </c>
      <c r="AK1009" s="92" t="s">
        <v>184</v>
      </c>
      <c r="AL1009" s="92" t="s">
        <v>185</v>
      </c>
      <c r="AM1009" s="92" t="s">
        <v>2473</v>
      </c>
      <c r="AQ1009" s="6" t="s">
        <v>186</v>
      </c>
      <c r="AR1009" s="92" t="s">
        <v>186</v>
      </c>
      <c r="AS1009" s="92" t="s">
        <v>187</v>
      </c>
      <c r="AT1009" s="92" t="s">
        <v>186</v>
      </c>
      <c r="AU1009" s="92" t="s">
        <v>187</v>
      </c>
      <c r="AV1009" s="92" t="s">
        <v>186</v>
      </c>
      <c r="AW1009" s="92" t="s">
        <v>187</v>
      </c>
      <c r="AX1009" s="92" t="s">
        <v>186</v>
      </c>
      <c r="AY1009" s="92" t="s">
        <v>186</v>
      </c>
      <c r="BC1009" s="60">
        <v>89687716082</v>
      </c>
      <c r="BD1009" s="93">
        <v>85228506353</v>
      </c>
      <c r="BE1009" s="93">
        <v>82159499695</v>
      </c>
      <c r="BF1009" s="93">
        <v>82340127301</v>
      </c>
      <c r="BG1009" s="93">
        <v>85705041889</v>
      </c>
      <c r="BH1009" s="93">
        <v>895326848087</v>
      </c>
      <c r="BI1009" s="93">
        <v>81312621140</v>
      </c>
      <c r="BJ1009" s="93">
        <v>85251921759</v>
      </c>
      <c r="BK1009" s="93">
        <v>89619167695</v>
      </c>
      <c r="BP1009" s="18" t="s">
        <v>11997</v>
      </c>
      <c r="BQ1009" s="37">
        <v>45320</v>
      </c>
      <c r="BR1009" s="8">
        <f t="shared" si="3"/>
        <v>9</v>
      </c>
    </row>
    <row r="1010" spans="1:70" ht="14.5">
      <c r="A1010" s="4" t="str">
        <v>Reguler Periode ke-119 XX.A.3</v>
      </c>
      <c r="B1010" s="4" t="s">
        <v>9561</v>
      </c>
      <c r="C1010" s="4" t="s">
        <v>4840</v>
      </c>
      <c r="D1010" s="4" t="s">
        <v>11977</v>
      </c>
      <c r="E1010" s="4" t="s">
        <v>11998</v>
      </c>
      <c r="F1010" s="4" t="s">
        <v>11242</v>
      </c>
      <c r="G1010" s="6" t="s">
        <v>11999</v>
      </c>
      <c r="H1010" s="92" t="s">
        <v>12000</v>
      </c>
      <c r="I1010" s="92" t="s">
        <v>12001</v>
      </c>
      <c r="J1010" s="92" t="s">
        <v>12002</v>
      </c>
      <c r="K1010" s="92" t="s">
        <v>12003</v>
      </c>
      <c r="L1010" s="92" t="s">
        <v>12004</v>
      </c>
      <c r="M1010" s="92" t="s">
        <v>12005</v>
      </c>
      <c r="N1010" s="92" t="s">
        <v>12006</v>
      </c>
      <c r="O1010" s="92" t="s">
        <v>12007</v>
      </c>
      <c r="S1010" s="6">
        <v>2000005315</v>
      </c>
      <c r="T1010" s="92">
        <v>2000011197</v>
      </c>
      <c r="U1010" s="92">
        <v>2000013034</v>
      </c>
      <c r="V1010" s="92">
        <v>2000018364</v>
      </c>
      <c r="W1010" s="92">
        <v>2000020084</v>
      </c>
      <c r="X1010" s="92">
        <v>2000026158</v>
      </c>
      <c r="Y1010" s="92">
        <v>2000030005</v>
      </c>
      <c r="Z1010" s="92">
        <v>2000031134</v>
      </c>
      <c r="AA1010" s="92">
        <v>2000070056</v>
      </c>
      <c r="AB1010" s="73"/>
      <c r="AE1010" s="6" t="s">
        <v>181</v>
      </c>
      <c r="AF1010" s="92" t="s">
        <v>182</v>
      </c>
      <c r="AG1010" s="92" t="s">
        <v>677</v>
      </c>
      <c r="AH1010" s="92" t="s">
        <v>179</v>
      </c>
      <c r="AI1010" s="92" t="s">
        <v>351</v>
      </c>
      <c r="AJ1010" s="92" t="s">
        <v>570</v>
      </c>
      <c r="AK1010" s="92" t="s">
        <v>184</v>
      </c>
      <c r="AL1010" s="92" t="s">
        <v>185</v>
      </c>
      <c r="AM1010" s="92" t="s">
        <v>2473</v>
      </c>
      <c r="AQ1010" s="6" t="s">
        <v>186</v>
      </c>
      <c r="AR1010" s="92" t="s">
        <v>186</v>
      </c>
      <c r="AS1010" s="92" t="s">
        <v>187</v>
      </c>
      <c r="AT1010" s="92" t="s">
        <v>186</v>
      </c>
      <c r="AU1010" s="92" t="s">
        <v>187</v>
      </c>
      <c r="AV1010" s="92" t="s">
        <v>186</v>
      </c>
      <c r="AW1010" s="92" t="s">
        <v>187</v>
      </c>
      <c r="AX1010" s="92" t="s">
        <v>186</v>
      </c>
      <c r="AY1010" s="92" t="s">
        <v>186</v>
      </c>
      <c r="BC1010" s="60">
        <v>81328283294</v>
      </c>
      <c r="BD1010" s="93">
        <v>83126736162</v>
      </c>
      <c r="BE1010" s="93">
        <v>82177881478</v>
      </c>
      <c r="BF1010" s="93">
        <v>81393541348</v>
      </c>
      <c r="BG1010" s="93">
        <v>8979875803</v>
      </c>
      <c r="BH1010" s="93">
        <v>82328417803</v>
      </c>
      <c r="BI1010" s="93">
        <v>85280258802</v>
      </c>
      <c r="BJ1010" s="93">
        <v>88215561573</v>
      </c>
      <c r="BK1010" s="93">
        <v>82299315230</v>
      </c>
      <c r="BP1010" s="18" t="s">
        <v>12008</v>
      </c>
      <c r="BQ1010" s="37">
        <v>45320</v>
      </c>
      <c r="BR1010" s="8">
        <f t="shared" si="3"/>
        <v>9</v>
      </c>
    </row>
    <row r="1011" spans="1:70" ht="14.5">
      <c r="A1011" s="4" t="str">
        <v>Reguler Periode ke-119 XX.B.1</v>
      </c>
      <c r="B1011" s="4" t="s">
        <v>9561</v>
      </c>
      <c r="C1011" s="4" t="s">
        <v>4851</v>
      </c>
      <c r="D1011" s="4" t="s">
        <v>4373</v>
      </c>
      <c r="E1011" s="4" t="s">
        <v>12009</v>
      </c>
      <c r="F1011" s="4" t="s">
        <v>11242</v>
      </c>
      <c r="G1011" s="6" t="s">
        <v>12010</v>
      </c>
      <c r="H1011" s="92" t="s">
        <v>12011</v>
      </c>
      <c r="I1011" s="92" t="s">
        <v>12012</v>
      </c>
      <c r="J1011" s="92" t="s">
        <v>12013</v>
      </c>
      <c r="K1011" s="92" t="s">
        <v>12014</v>
      </c>
      <c r="L1011" s="92" t="s">
        <v>12015</v>
      </c>
      <c r="M1011" s="92" t="s">
        <v>12016</v>
      </c>
      <c r="N1011" s="92" t="s">
        <v>12017</v>
      </c>
      <c r="O1011" s="92" t="s">
        <v>12018</v>
      </c>
      <c r="P1011" s="73"/>
      <c r="S1011" s="6">
        <v>2000005068</v>
      </c>
      <c r="T1011" s="92">
        <v>2000011263</v>
      </c>
      <c r="U1011" s="92">
        <v>2000013018</v>
      </c>
      <c r="V1011" s="92">
        <v>2000018248</v>
      </c>
      <c r="W1011" s="92">
        <v>2000020072</v>
      </c>
      <c r="X1011" s="92">
        <v>2000026044</v>
      </c>
      <c r="Y1011" s="92">
        <v>2000031104</v>
      </c>
      <c r="Z1011" s="92">
        <v>2000031205</v>
      </c>
      <c r="AA1011" s="92">
        <v>2000070002</v>
      </c>
      <c r="AE1011" s="6" t="s">
        <v>181</v>
      </c>
      <c r="AF1011" s="92" t="s">
        <v>182</v>
      </c>
      <c r="AG1011" s="92" t="s">
        <v>677</v>
      </c>
      <c r="AH1011" s="92" t="s">
        <v>179</v>
      </c>
      <c r="AI1011" s="92" t="s">
        <v>351</v>
      </c>
      <c r="AJ1011" s="92" t="s">
        <v>570</v>
      </c>
      <c r="AK1011" s="92" t="s">
        <v>185</v>
      </c>
      <c r="AL1011" s="92" t="s">
        <v>185</v>
      </c>
      <c r="AM1011" s="92" t="s">
        <v>2473</v>
      </c>
      <c r="AN1011" s="73"/>
      <c r="AQ1011" s="6" t="s">
        <v>186</v>
      </c>
      <c r="AR1011" s="92" t="s">
        <v>186</v>
      </c>
      <c r="AS1011" s="92" t="s">
        <v>187</v>
      </c>
      <c r="AT1011" s="92" t="s">
        <v>186</v>
      </c>
      <c r="AU1011" s="92" t="s">
        <v>187</v>
      </c>
      <c r="AV1011" s="92" t="s">
        <v>186</v>
      </c>
      <c r="AW1011" s="92" t="s">
        <v>186</v>
      </c>
      <c r="AX1011" s="92" t="s">
        <v>187</v>
      </c>
      <c r="AY1011" s="92" t="s">
        <v>186</v>
      </c>
      <c r="BC1011" s="60">
        <v>81366936831</v>
      </c>
      <c r="BD1011" s="93">
        <v>88232840946</v>
      </c>
      <c r="BE1011" s="93">
        <v>81227269951</v>
      </c>
      <c r="BF1011" s="93">
        <v>85624147174</v>
      </c>
      <c r="BG1011" s="93">
        <v>82118501831</v>
      </c>
      <c r="BH1011" s="93">
        <v>85865453556</v>
      </c>
      <c r="BI1011" s="93">
        <v>85357568300</v>
      </c>
      <c r="BJ1011" s="93">
        <v>81326462499</v>
      </c>
      <c r="BK1011" s="93">
        <v>85799912941</v>
      </c>
      <c r="BP1011" s="18" t="s">
        <v>12019</v>
      </c>
      <c r="BQ1011" s="37">
        <v>45320</v>
      </c>
      <c r="BR1011" s="8">
        <f t="shared" si="3"/>
        <v>9</v>
      </c>
    </row>
    <row r="1012" spans="1:70" ht="14.5">
      <c r="A1012" s="4" t="str">
        <v>Reguler Periode ke-119 XX.B.2</v>
      </c>
      <c r="B1012" s="4" t="s">
        <v>9561</v>
      </c>
      <c r="C1012" s="4" t="s">
        <v>4864</v>
      </c>
      <c r="D1012" s="4" t="s">
        <v>4373</v>
      </c>
      <c r="E1012" s="4" t="s">
        <v>4668</v>
      </c>
      <c r="F1012" s="4" t="s">
        <v>11242</v>
      </c>
      <c r="G1012" s="6" t="s">
        <v>12020</v>
      </c>
      <c r="H1012" s="92" t="s">
        <v>12021</v>
      </c>
      <c r="I1012" s="92" t="s">
        <v>12022</v>
      </c>
      <c r="J1012" s="92" t="s">
        <v>12023</v>
      </c>
      <c r="K1012" s="92" t="s">
        <v>12024</v>
      </c>
      <c r="L1012" s="92" t="s">
        <v>12025</v>
      </c>
      <c r="M1012" s="92" t="s">
        <v>12026</v>
      </c>
      <c r="N1012" s="92" t="s">
        <v>12027</v>
      </c>
      <c r="O1012" s="92" t="s">
        <v>12028</v>
      </c>
      <c r="S1012" s="6">
        <v>2000005112</v>
      </c>
      <c r="T1012" s="92">
        <v>2000011075</v>
      </c>
      <c r="U1012" s="92">
        <v>2000013339</v>
      </c>
      <c r="V1012" s="92">
        <v>2000018325</v>
      </c>
      <c r="W1012" s="92">
        <v>2000020033</v>
      </c>
      <c r="X1012" s="92">
        <v>2000026125</v>
      </c>
      <c r="Y1012" s="92">
        <v>2000031014</v>
      </c>
      <c r="Z1012" s="92">
        <v>2000031186</v>
      </c>
      <c r="AA1012" s="92">
        <v>2000070017</v>
      </c>
      <c r="AE1012" s="6" t="s">
        <v>181</v>
      </c>
      <c r="AF1012" s="92" t="s">
        <v>182</v>
      </c>
      <c r="AG1012" s="92" t="s">
        <v>677</v>
      </c>
      <c r="AH1012" s="92" t="s">
        <v>179</v>
      </c>
      <c r="AI1012" s="92" t="s">
        <v>351</v>
      </c>
      <c r="AJ1012" s="92" t="s">
        <v>570</v>
      </c>
      <c r="AK1012" s="92" t="s">
        <v>185</v>
      </c>
      <c r="AL1012" s="92" t="s">
        <v>185</v>
      </c>
      <c r="AM1012" s="92" t="s">
        <v>2473</v>
      </c>
      <c r="AN1012" s="73"/>
      <c r="AQ1012" s="6" t="s">
        <v>186</v>
      </c>
      <c r="AR1012" s="92" t="s">
        <v>186</v>
      </c>
      <c r="AS1012" s="92" t="s">
        <v>187</v>
      </c>
      <c r="AT1012" s="92" t="s">
        <v>186</v>
      </c>
      <c r="AU1012" s="92" t="s">
        <v>187</v>
      </c>
      <c r="AV1012" s="92" t="s">
        <v>186</v>
      </c>
      <c r="AW1012" s="92" t="s">
        <v>186</v>
      </c>
      <c r="AX1012" s="92" t="s">
        <v>187</v>
      </c>
      <c r="AY1012" s="92" t="s">
        <v>186</v>
      </c>
      <c r="BC1012" s="60">
        <v>82134245022</v>
      </c>
      <c r="BD1012" s="93">
        <v>89693886490</v>
      </c>
      <c r="BE1012" s="93">
        <v>82219238064</v>
      </c>
      <c r="BF1012" s="93">
        <v>81373414394</v>
      </c>
      <c r="BG1012" s="93">
        <v>85239221799</v>
      </c>
      <c r="BH1012" s="93">
        <v>85810354757</v>
      </c>
      <c r="BI1012" s="93">
        <v>85641503786</v>
      </c>
      <c r="BJ1012" s="93">
        <v>82182699831</v>
      </c>
      <c r="BK1012" s="93">
        <v>81271314217</v>
      </c>
      <c r="BP1012" s="18" t="s">
        <v>12029</v>
      </c>
      <c r="BQ1012" s="37">
        <v>45320</v>
      </c>
      <c r="BR1012" s="8">
        <f t="shared" si="3"/>
        <v>9</v>
      </c>
    </row>
    <row r="1013" spans="1:70" ht="14.5">
      <c r="A1013" s="4" t="str">
        <v>Reguler Periode ke-119 XX.B.3</v>
      </c>
      <c r="B1013" s="4" t="s">
        <v>9561</v>
      </c>
      <c r="C1013" s="4" t="s">
        <v>4876</v>
      </c>
      <c r="D1013" s="4" t="s">
        <v>4373</v>
      </c>
      <c r="E1013" s="4" t="s">
        <v>4865</v>
      </c>
      <c r="F1013" s="4" t="s">
        <v>11242</v>
      </c>
      <c r="G1013" s="6" t="s">
        <v>12030</v>
      </c>
      <c r="H1013" s="92" t="s">
        <v>12031</v>
      </c>
      <c r="I1013" s="92" t="s">
        <v>12032</v>
      </c>
      <c r="J1013" s="92" t="s">
        <v>12033</v>
      </c>
      <c r="K1013" s="92" t="s">
        <v>12034</v>
      </c>
      <c r="L1013" s="92" t="s">
        <v>12035</v>
      </c>
      <c r="M1013" s="92" t="s">
        <v>6723</v>
      </c>
      <c r="N1013" s="92" t="s">
        <v>12036</v>
      </c>
      <c r="O1013" s="92" t="s">
        <v>12037</v>
      </c>
      <c r="S1013" s="6">
        <v>2000005324</v>
      </c>
      <c r="T1013" s="92">
        <v>2000011358</v>
      </c>
      <c r="U1013" s="92">
        <v>2000013037</v>
      </c>
      <c r="V1013" s="92">
        <v>2000018340</v>
      </c>
      <c r="W1013" s="92">
        <v>2000020038</v>
      </c>
      <c r="X1013" s="92">
        <v>2000026030</v>
      </c>
      <c r="Y1013" s="92">
        <v>2000031071</v>
      </c>
      <c r="Z1013" s="92">
        <v>2000031232</v>
      </c>
      <c r="AA1013" s="92">
        <v>2000070046</v>
      </c>
      <c r="AE1013" s="6" t="s">
        <v>181</v>
      </c>
      <c r="AF1013" s="92" t="s">
        <v>182</v>
      </c>
      <c r="AG1013" s="92" t="s">
        <v>677</v>
      </c>
      <c r="AH1013" s="92" t="s">
        <v>179</v>
      </c>
      <c r="AI1013" s="92" t="s">
        <v>351</v>
      </c>
      <c r="AJ1013" s="92" t="s">
        <v>570</v>
      </c>
      <c r="AK1013" s="92" t="s">
        <v>185</v>
      </c>
      <c r="AL1013" s="92" t="s">
        <v>185</v>
      </c>
      <c r="AM1013" s="92" t="s">
        <v>2473</v>
      </c>
      <c r="AN1013" s="73"/>
      <c r="AQ1013" s="6" t="s">
        <v>186</v>
      </c>
      <c r="AR1013" s="92" t="s">
        <v>186</v>
      </c>
      <c r="AS1013" s="92" t="s">
        <v>187</v>
      </c>
      <c r="AT1013" s="92" t="s">
        <v>186</v>
      </c>
      <c r="AU1013" s="92" t="s">
        <v>187</v>
      </c>
      <c r="AV1013" s="92" t="s">
        <v>186</v>
      </c>
      <c r="AW1013" s="92" t="s">
        <v>186</v>
      </c>
      <c r="AX1013" s="92" t="s">
        <v>187</v>
      </c>
      <c r="AY1013" s="92" t="s">
        <v>186</v>
      </c>
      <c r="BC1013" s="60">
        <v>82137310408</v>
      </c>
      <c r="BD1013" s="93">
        <v>87867949484</v>
      </c>
      <c r="BE1013" s="93">
        <v>82156562631</v>
      </c>
      <c r="BF1013" s="93">
        <v>83130676040</v>
      </c>
      <c r="BG1013" s="93">
        <v>82329735083</v>
      </c>
      <c r="BH1013" s="93">
        <v>85842338371</v>
      </c>
      <c r="BI1013" s="93">
        <v>85961550878</v>
      </c>
      <c r="BJ1013" s="93">
        <v>85602820871</v>
      </c>
      <c r="BK1013" s="93">
        <v>85876415640</v>
      </c>
      <c r="BP1013" s="18" t="s">
        <v>12038</v>
      </c>
      <c r="BQ1013" s="37">
        <v>45320</v>
      </c>
      <c r="BR1013" s="8">
        <f t="shared" si="3"/>
        <v>9</v>
      </c>
    </row>
    <row r="1014" spans="1:70" ht="14.5">
      <c r="A1014" s="4" t="str">
        <v>Reguler Periode ke-119 XX.C.1</v>
      </c>
      <c r="B1014" s="4" t="s">
        <v>9561</v>
      </c>
      <c r="C1014" s="4" t="s">
        <v>4888</v>
      </c>
      <c r="D1014" s="4" t="s">
        <v>362</v>
      </c>
      <c r="E1014" s="4" t="s">
        <v>4853</v>
      </c>
      <c r="F1014" s="4" t="s">
        <v>11242</v>
      </c>
      <c r="G1014" s="6" t="s">
        <v>12039</v>
      </c>
      <c r="H1014" s="92" t="s">
        <v>12040</v>
      </c>
      <c r="I1014" s="92" t="s">
        <v>12041</v>
      </c>
      <c r="J1014" s="92" t="s">
        <v>12042</v>
      </c>
      <c r="K1014" s="92" t="s">
        <v>12043</v>
      </c>
      <c r="L1014" s="92" t="s">
        <v>12044</v>
      </c>
      <c r="M1014" s="92" t="s">
        <v>12045</v>
      </c>
      <c r="N1014" s="92" t="s">
        <v>12046</v>
      </c>
      <c r="O1014" s="92" t="s">
        <v>12047</v>
      </c>
      <c r="P1014" s="73"/>
      <c r="S1014" s="6">
        <v>2000005083</v>
      </c>
      <c r="T1014" s="92">
        <v>2000011289</v>
      </c>
      <c r="U1014" s="92">
        <v>2000013324</v>
      </c>
      <c r="V1014" s="92">
        <v>2000018386</v>
      </c>
      <c r="W1014" s="92">
        <v>2000020066</v>
      </c>
      <c r="X1014" s="92">
        <v>2000026075</v>
      </c>
      <c r="Y1014" s="92">
        <v>2000031070</v>
      </c>
      <c r="Z1014" s="92">
        <v>2000031129</v>
      </c>
      <c r="AA1014" s="92">
        <v>2000070040</v>
      </c>
      <c r="AE1014" s="6" t="s">
        <v>181</v>
      </c>
      <c r="AF1014" s="92" t="s">
        <v>182</v>
      </c>
      <c r="AG1014" s="92" t="s">
        <v>677</v>
      </c>
      <c r="AH1014" s="92" t="s">
        <v>179</v>
      </c>
      <c r="AI1014" s="92" t="s">
        <v>351</v>
      </c>
      <c r="AJ1014" s="92" t="s">
        <v>570</v>
      </c>
      <c r="AK1014" s="92" t="s">
        <v>185</v>
      </c>
      <c r="AL1014" s="92" t="s">
        <v>185</v>
      </c>
      <c r="AM1014" s="92" t="s">
        <v>2473</v>
      </c>
      <c r="AQ1014" s="6" t="s">
        <v>186</v>
      </c>
      <c r="AR1014" s="92" t="s">
        <v>186</v>
      </c>
      <c r="AS1014" s="92" t="s">
        <v>187</v>
      </c>
      <c r="AT1014" s="92" t="s">
        <v>186</v>
      </c>
      <c r="AU1014" s="92" t="s">
        <v>187</v>
      </c>
      <c r="AV1014" s="92" t="s">
        <v>186</v>
      </c>
      <c r="AW1014" s="92" t="s">
        <v>187</v>
      </c>
      <c r="AX1014" s="92" t="s">
        <v>186</v>
      </c>
      <c r="AY1014" s="92" t="s">
        <v>186</v>
      </c>
      <c r="BC1014" s="60">
        <v>85606097330</v>
      </c>
      <c r="BD1014" s="93">
        <v>85333561775</v>
      </c>
      <c r="BE1014" s="93">
        <v>895378189668</v>
      </c>
      <c r="BF1014" s="93">
        <v>82278789313</v>
      </c>
      <c r="BG1014" s="93">
        <v>81221597582</v>
      </c>
      <c r="BH1014" s="93">
        <v>895385226827</v>
      </c>
      <c r="BI1014" s="93">
        <v>895612716464</v>
      </c>
      <c r="BJ1014" s="93">
        <v>85641558320</v>
      </c>
      <c r="BK1014" s="93">
        <v>81521763767</v>
      </c>
      <c r="BP1014" s="18" t="s">
        <v>12048</v>
      </c>
      <c r="BQ1014" s="37">
        <v>45320</v>
      </c>
      <c r="BR1014" s="8">
        <f t="shared" si="3"/>
        <v>9</v>
      </c>
    </row>
    <row r="1015" spans="1:70" ht="14.5">
      <c r="A1015" s="4" t="str">
        <v>Reguler Periode ke-119 XX.C.2</v>
      </c>
      <c r="B1015" s="4" t="s">
        <v>9561</v>
      </c>
      <c r="C1015" s="4" t="s">
        <v>4901</v>
      </c>
      <c r="D1015" s="4" t="s">
        <v>362</v>
      </c>
      <c r="E1015" s="4" t="s">
        <v>12049</v>
      </c>
      <c r="F1015" s="4" t="s">
        <v>11242</v>
      </c>
      <c r="G1015" s="6" t="s">
        <v>12050</v>
      </c>
      <c r="H1015" s="92" t="s">
        <v>12051</v>
      </c>
      <c r="I1015" s="92" t="s">
        <v>12052</v>
      </c>
      <c r="J1015" s="92" t="s">
        <v>12053</v>
      </c>
      <c r="K1015" s="92" t="s">
        <v>12054</v>
      </c>
      <c r="L1015" s="92" t="s">
        <v>12055</v>
      </c>
      <c r="M1015" s="92" t="s">
        <v>12056</v>
      </c>
      <c r="N1015" s="92" t="s">
        <v>12057</v>
      </c>
      <c r="O1015" s="92" t="s">
        <v>12058</v>
      </c>
      <c r="P1015" s="73"/>
      <c r="S1015" s="6">
        <v>1900013317</v>
      </c>
      <c r="T1015" s="92">
        <v>2000005122</v>
      </c>
      <c r="U1015" s="92">
        <v>2000011178</v>
      </c>
      <c r="V1015" s="92">
        <v>2000018122</v>
      </c>
      <c r="W1015" s="92">
        <v>2000020057</v>
      </c>
      <c r="X1015" s="92">
        <v>2000026184</v>
      </c>
      <c r="Y1015" s="92">
        <v>2000031081</v>
      </c>
      <c r="Z1015" s="92">
        <v>2000031185</v>
      </c>
      <c r="AA1015" s="92">
        <v>2000070053</v>
      </c>
      <c r="AE1015" s="6" t="s">
        <v>677</v>
      </c>
      <c r="AF1015" s="92" t="s">
        <v>181</v>
      </c>
      <c r="AG1015" s="92" t="s">
        <v>182</v>
      </c>
      <c r="AH1015" s="92" t="s">
        <v>179</v>
      </c>
      <c r="AI1015" s="92" t="s">
        <v>351</v>
      </c>
      <c r="AJ1015" s="92" t="s">
        <v>570</v>
      </c>
      <c r="AK1015" s="92" t="s">
        <v>185</v>
      </c>
      <c r="AL1015" s="92" t="s">
        <v>185</v>
      </c>
      <c r="AM1015" s="92" t="s">
        <v>2473</v>
      </c>
      <c r="AQ1015" s="6" t="s">
        <v>187</v>
      </c>
      <c r="AR1015" s="92" t="s">
        <v>186</v>
      </c>
      <c r="AS1015" s="92" t="s">
        <v>186</v>
      </c>
      <c r="AT1015" s="92" t="s">
        <v>186</v>
      </c>
      <c r="AU1015" s="92" t="s">
        <v>187</v>
      </c>
      <c r="AV1015" s="92" t="s">
        <v>186</v>
      </c>
      <c r="AW1015" s="92" t="s">
        <v>187</v>
      </c>
      <c r="AX1015" s="92" t="s">
        <v>186</v>
      </c>
      <c r="AY1015" s="92" t="s">
        <v>186</v>
      </c>
      <c r="BC1015" s="60">
        <v>22290886121</v>
      </c>
      <c r="BD1015" s="93">
        <v>85263150205</v>
      </c>
      <c r="BE1015" s="93">
        <v>82246483793</v>
      </c>
      <c r="BF1015" s="93">
        <v>81328437511</v>
      </c>
      <c r="BG1015" s="93">
        <v>85876559781</v>
      </c>
      <c r="BH1015" s="93">
        <v>87820372709</v>
      </c>
      <c r="BI1015" s="93">
        <v>895700657091</v>
      </c>
      <c r="BJ1015" s="93">
        <v>81227951066</v>
      </c>
      <c r="BK1015" s="93">
        <v>81947178621</v>
      </c>
      <c r="BP1015" s="18" t="s">
        <v>12059</v>
      </c>
      <c r="BQ1015" s="37">
        <v>45320</v>
      </c>
      <c r="BR1015" s="8">
        <f t="shared" si="3"/>
        <v>9</v>
      </c>
    </row>
    <row r="1016" spans="1:70" ht="14.5">
      <c r="A1016" s="4" t="str">
        <v>Reguler Periode ke-119 XX.C.3</v>
      </c>
      <c r="B1016" s="4" t="s">
        <v>9561</v>
      </c>
      <c r="C1016" s="4" t="s">
        <v>4913</v>
      </c>
      <c r="D1016" s="4" t="s">
        <v>362</v>
      </c>
      <c r="E1016" s="4" t="s">
        <v>4877</v>
      </c>
      <c r="F1016" s="4" t="s">
        <v>11242</v>
      </c>
      <c r="G1016" s="6" t="s">
        <v>12060</v>
      </c>
      <c r="H1016" s="92" t="s">
        <v>12061</v>
      </c>
      <c r="I1016" s="92" t="s">
        <v>12062</v>
      </c>
      <c r="J1016" s="92" t="s">
        <v>12063</v>
      </c>
      <c r="K1016" s="92" t="s">
        <v>12064</v>
      </c>
      <c r="L1016" s="92" t="s">
        <v>12065</v>
      </c>
      <c r="M1016" s="92" t="s">
        <v>12066</v>
      </c>
      <c r="N1016" s="92" t="s">
        <v>12067</v>
      </c>
      <c r="O1016" s="92" t="s">
        <v>12068</v>
      </c>
      <c r="S1016" s="6">
        <v>2000005028</v>
      </c>
      <c r="T1016" s="92">
        <v>2000011060</v>
      </c>
      <c r="U1016" s="92">
        <v>2000013057</v>
      </c>
      <c r="V1016" s="92">
        <v>2000018006</v>
      </c>
      <c r="W1016" s="92">
        <v>2000020015</v>
      </c>
      <c r="X1016" s="92">
        <v>2000026229</v>
      </c>
      <c r="Y1016" s="92">
        <v>2000031160</v>
      </c>
      <c r="Z1016" s="92">
        <v>2000031213</v>
      </c>
      <c r="AA1016" s="92">
        <v>2000070005</v>
      </c>
      <c r="AB1016" s="73"/>
      <c r="AE1016" s="6" t="s">
        <v>181</v>
      </c>
      <c r="AF1016" s="92" t="s">
        <v>182</v>
      </c>
      <c r="AG1016" s="92" t="s">
        <v>677</v>
      </c>
      <c r="AH1016" s="92" t="s">
        <v>179</v>
      </c>
      <c r="AI1016" s="92" t="s">
        <v>351</v>
      </c>
      <c r="AJ1016" s="92" t="s">
        <v>570</v>
      </c>
      <c r="AK1016" s="92" t="s">
        <v>185</v>
      </c>
      <c r="AL1016" s="92" t="s">
        <v>185</v>
      </c>
      <c r="AM1016" s="92" t="s">
        <v>2473</v>
      </c>
      <c r="AQ1016" s="6" t="s">
        <v>186</v>
      </c>
      <c r="AR1016" s="92" t="s">
        <v>186</v>
      </c>
      <c r="AS1016" s="92" t="s">
        <v>187</v>
      </c>
      <c r="AT1016" s="92" t="s">
        <v>186</v>
      </c>
      <c r="AU1016" s="92" t="s">
        <v>187</v>
      </c>
      <c r="AV1016" s="92" t="s">
        <v>186</v>
      </c>
      <c r="AW1016" s="92" t="s">
        <v>187</v>
      </c>
      <c r="AX1016" s="92" t="s">
        <v>186</v>
      </c>
      <c r="AY1016" s="92" t="s">
        <v>186</v>
      </c>
      <c r="BC1016" s="60">
        <v>82211670064</v>
      </c>
      <c r="BD1016" s="93">
        <v>81390397487</v>
      </c>
      <c r="BE1016" s="93">
        <v>87717574307</v>
      </c>
      <c r="BF1016" s="93">
        <v>81224230179</v>
      </c>
      <c r="BG1016" s="93">
        <v>89634235374</v>
      </c>
      <c r="BH1016" s="93">
        <v>82141269215</v>
      </c>
      <c r="BI1016" s="93">
        <v>85238241101</v>
      </c>
      <c r="BJ1016" s="93">
        <v>85602968261</v>
      </c>
      <c r="BK1016" s="93">
        <v>85727674998</v>
      </c>
      <c r="BL1016" s="73"/>
      <c r="BP1016" s="18" t="s">
        <v>12069</v>
      </c>
      <c r="BQ1016" s="37">
        <v>45320</v>
      </c>
      <c r="BR1016" s="8">
        <f t="shared" si="3"/>
        <v>9</v>
      </c>
    </row>
    <row r="1017" spans="1:70" ht="14">
      <c r="A1017" s="4" t="str">
        <v>Reguler Periode ke-119 XX.D.1</v>
      </c>
      <c r="B1017" s="4" t="s">
        <v>9561</v>
      </c>
      <c r="C1017" s="4" t="s">
        <v>4925</v>
      </c>
      <c r="D1017" s="4" t="s">
        <v>12070</v>
      </c>
      <c r="E1017" s="4" t="s">
        <v>12071</v>
      </c>
      <c r="F1017" s="4" t="s">
        <v>11242</v>
      </c>
      <c r="G1017" s="6" t="s">
        <v>12072</v>
      </c>
      <c r="H1017" s="92" t="s">
        <v>12073</v>
      </c>
      <c r="I1017" s="92" t="s">
        <v>12074</v>
      </c>
      <c r="J1017" s="92" t="s">
        <v>12075</v>
      </c>
      <c r="K1017" s="92" t="s">
        <v>12076</v>
      </c>
      <c r="L1017" s="92" t="s">
        <v>12077</v>
      </c>
      <c r="M1017" s="92" t="s">
        <v>12078</v>
      </c>
      <c r="N1017" s="92" t="s">
        <v>12079</v>
      </c>
      <c r="O1017" s="92" t="s">
        <v>12080</v>
      </c>
      <c r="S1017" s="6">
        <v>1800022099</v>
      </c>
      <c r="T1017" s="92">
        <v>2000005183</v>
      </c>
      <c r="U1017" s="92">
        <v>2000011144</v>
      </c>
      <c r="V1017" s="92">
        <v>2000013349</v>
      </c>
      <c r="W1017" s="92">
        <v>2000018231</v>
      </c>
      <c r="X1017" s="92">
        <v>2000026113</v>
      </c>
      <c r="Y1017" s="92">
        <v>2000031126</v>
      </c>
      <c r="Z1017" s="92">
        <v>2000031165</v>
      </c>
      <c r="AA1017" s="92">
        <v>2000070021</v>
      </c>
      <c r="AE1017" s="6" t="s">
        <v>872</v>
      </c>
      <c r="AF1017" s="92" t="s">
        <v>181</v>
      </c>
      <c r="AG1017" s="92" t="s">
        <v>182</v>
      </c>
      <c r="AH1017" s="92" t="s">
        <v>677</v>
      </c>
      <c r="AI1017" s="92" t="s">
        <v>179</v>
      </c>
      <c r="AJ1017" s="92" t="s">
        <v>570</v>
      </c>
      <c r="AK1017" s="92" t="s">
        <v>185</v>
      </c>
      <c r="AL1017" s="92" t="s">
        <v>185</v>
      </c>
      <c r="AM1017" s="92" t="s">
        <v>2473</v>
      </c>
      <c r="AQ1017" s="6" t="s">
        <v>187</v>
      </c>
      <c r="AR1017" s="92" t="s">
        <v>186</v>
      </c>
      <c r="AS1017" s="92" t="s">
        <v>186</v>
      </c>
      <c r="AT1017" s="92" t="s">
        <v>187</v>
      </c>
      <c r="AU1017" s="92" t="s">
        <v>186</v>
      </c>
      <c r="AV1017" s="92" t="s">
        <v>186</v>
      </c>
      <c r="AW1017" s="92" t="s">
        <v>187</v>
      </c>
      <c r="AX1017" s="92" t="s">
        <v>186</v>
      </c>
      <c r="AY1017" s="92" t="s">
        <v>186</v>
      </c>
      <c r="BC1017" s="60">
        <v>85601414733</v>
      </c>
      <c r="BD1017" s="93">
        <v>87818493888</v>
      </c>
      <c r="BE1017" s="93">
        <v>85742908543</v>
      </c>
      <c r="BF1017" s="93">
        <v>82271530604</v>
      </c>
      <c r="BG1017" s="93">
        <v>82259389600</v>
      </c>
      <c r="BH1017" s="93">
        <v>82293393975</v>
      </c>
      <c r="BI1017" s="93">
        <v>85333008280</v>
      </c>
      <c r="BJ1017" s="93">
        <v>81229454980</v>
      </c>
      <c r="BK1017" s="93">
        <v>82278618806</v>
      </c>
      <c r="BP1017" s="18" t="s">
        <v>12081</v>
      </c>
      <c r="BQ1017" s="37">
        <v>45320</v>
      </c>
      <c r="BR1017" s="8">
        <f t="shared" si="3"/>
        <v>9</v>
      </c>
    </row>
    <row r="1018" spans="1:70" ht="14">
      <c r="A1018" s="4" t="str">
        <v>Reguler Periode ke-119 XX.D.2</v>
      </c>
      <c r="B1018" s="4" t="s">
        <v>9561</v>
      </c>
      <c r="C1018" s="4" t="s">
        <v>4940</v>
      </c>
      <c r="D1018" s="4" t="s">
        <v>12070</v>
      </c>
      <c r="E1018" s="4" t="s">
        <v>12082</v>
      </c>
      <c r="F1018" s="4" t="s">
        <v>11242</v>
      </c>
      <c r="G1018" s="6" t="s">
        <v>12083</v>
      </c>
      <c r="H1018" s="92" t="s">
        <v>12084</v>
      </c>
      <c r="I1018" s="92" t="s">
        <v>12085</v>
      </c>
      <c r="J1018" s="92" t="s">
        <v>12086</v>
      </c>
      <c r="K1018" s="92" t="s">
        <v>12087</v>
      </c>
      <c r="L1018" s="92" t="s">
        <v>12088</v>
      </c>
      <c r="M1018" s="92" t="s">
        <v>12089</v>
      </c>
      <c r="N1018" s="92" t="s">
        <v>12090</v>
      </c>
      <c r="O1018" s="92" t="s">
        <v>12091</v>
      </c>
      <c r="S1018" s="6">
        <v>2000005166</v>
      </c>
      <c r="T1018" s="92">
        <v>2000011042</v>
      </c>
      <c r="U1018" s="92">
        <v>2000013360</v>
      </c>
      <c r="V1018" s="92">
        <v>2000018016</v>
      </c>
      <c r="W1018" s="92">
        <v>2000026177</v>
      </c>
      <c r="X1018" s="92">
        <v>2000031075</v>
      </c>
      <c r="Y1018" s="92">
        <v>2000031087</v>
      </c>
      <c r="Z1018" s="92">
        <v>2000070032</v>
      </c>
      <c r="AA1018" s="92">
        <v>2015022037</v>
      </c>
      <c r="AE1018" s="6" t="s">
        <v>181</v>
      </c>
      <c r="AF1018" s="92" t="s">
        <v>182</v>
      </c>
      <c r="AG1018" s="92" t="s">
        <v>677</v>
      </c>
      <c r="AH1018" s="92" t="s">
        <v>179</v>
      </c>
      <c r="AI1018" s="92" t="s">
        <v>570</v>
      </c>
      <c r="AJ1018" s="92" t="s">
        <v>185</v>
      </c>
      <c r="AK1018" s="92" t="s">
        <v>185</v>
      </c>
      <c r="AL1018" s="92" t="s">
        <v>2473</v>
      </c>
      <c r="AM1018" s="92" t="s">
        <v>872</v>
      </c>
      <c r="AQ1018" s="6" t="s">
        <v>186</v>
      </c>
      <c r="AR1018" s="92" t="s">
        <v>186</v>
      </c>
      <c r="AS1018" s="92" t="s">
        <v>187</v>
      </c>
      <c r="AT1018" s="92" t="s">
        <v>186</v>
      </c>
      <c r="AU1018" s="92" t="s">
        <v>186</v>
      </c>
      <c r="AV1018" s="92" t="s">
        <v>186</v>
      </c>
      <c r="AW1018" s="92" t="s">
        <v>187</v>
      </c>
      <c r="AX1018" s="92" t="s">
        <v>186</v>
      </c>
      <c r="AY1018" s="92" t="s">
        <v>187</v>
      </c>
      <c r="BC1018" s="60">
        <v>82279822925</v>
      </c>
      <c r="BD1018" s="93">
        <v>82227836580</v>
      </c>
      <c r="BE1018" s="93">
        <v>81359979819</v>
      </c>
      <c r="BF1018" s="93">
        <v>82286634213</v>
      </c>
      <c r="BG1018" s="93">
        <v>82183518172</v>
      </c>
      <c r="BH1018" s="93">
        <v>81339662929</v>
      </c>
      <c r="BI1018" s="93">
        <v>82286348939</v>
      </c>
      <c r="BJ1018" s="93">
        <v>85381335461</v>
      </c>
      <c r="BK1018" s="93">
        <v>81325325919</v>
      </c>
      <c r="BP1018" s="18" t="s">
        <v>12092</v>
      </c>
      <c r="BQ1018" s="37">
        <v>45320</v>
      </c>
      <c r="BR1018" s="8">
        <f t="shared" si="3"/>
        <v>9</v>
      </c>
    </row>
    <row r="1019" spans="1:70" ht="14">
      <c r="A1019" s="4" t="str">
        <v>Reguler Periode ke-119 XX.D.3</v>
      </c>
      <c r="B1019" s="4" t="s">
        <v>9561</v>
      </c>
      <c r="C1019" s="4" t="s">
        <v>4953</v>
      </c>
      <c r="D1019" s="4" t="s">
        <v>12070</v>
      </c>
      <c r="E1019" s="4" t="s">
        <v>12093</v>
      </c>
      <c r="F1019" s="4" t="s">
        <v>11242</v>
      </c>
      <c r="G1019" s="6" t="s">
        <v>12094</v>
      </c>
      <c r="H1019" s="92" t="s">
        <v>12095</v>
      </c>
      <c r="I1019" s="92" t="s">
        <v>12096</v>
      </c>
      <c r="J1019" s="92" t="s">
        <v>12097</v>
      </c>
      <c r="K1019" s="92" t="s">
        <v>12098</v>
      </c>
      <c r="L1019" s="92" t="s">
        <v>12099</v>
      </c>
      <c r="M1019" s="92" t="s">
        <v>12100</v>
      </c>
      <c r="N1019" s="92" t="s">
        <v>12101</v>
      </c>
      <c r="O1019" s="92" t="s">
        <v>12102</v>
      </c>
      <c r="S1019" s="6">
        <v>1900031184</v>
      </c>
      <c r="T1019" s="92">
        <v>2000005360</v>
      </c>
      <c r="U1019" s="92">
        <v>2000011254</v>
      </c>
      <c r="V1019" s="92">
        <v>2000014025</v>
      </c>
      <c r="W1019" s="92">
        <v>2000018300</v>
      </c>
      <c r="X1019" s="92">
        <v>2000022031</v>
      </c>
      <c r="Y1019" s="92">
        <v>2000026006</v>
      </c>
      <c r="Z1019" s="92">
        <v>2000031214</v>
      </c>
      <c r="AA1019" s="92">
        <v>2000070050</v>
      </c>
      <c r="AE1019" s="6" t="s">
        <v>185</v>
      </c>
      <c r="AF1019" s="92" t="s">
        <v>181</v>
      </c>
      <c r="AG1019" s="92" t="s">
        <v>182</v>
      </c>
      <c r="AH1019" s="92" t="s">
        <v>770</v>
      </c>
      <c r="AI1019" s="92" t="s">
        <v>179</v>
      </c>
      <c r="AJ1019" s="92" t="s">
        <v>872</v>
      </c>
      <c r="AK1019" s="92" t="s">
        <v>570</v>
      </c>
      <c r="AL1019" s="92" t="s">
        <v>185</v>
      </c>
      <c r="AM1019" s="92" t="s">
        <v>2473</v>
      </c>
      <c r="AQ1019" s="6" t="s">
        <v>186</v>
      </c>
      <c r="AR1019" s="92" t="s">
        <v>186</v>
      </c>
      <c r="AS1019" s="92" t="s">
        <v>186</v>
      </c>
      <c r="AT1019" s="92" t="s">
        <v>187</v>
      </c>
      <c r="AU1019" s="92" t="s">
        <v>186</v>
      </c>
      <c r="AV1019" s="92" t="s">
        <v>187</v>
      </c>
      <c r="AW1019" s="92" t="s">
        <v>186</v>
      </c>
      <c r="AX1019" s="92" t="s">
        <v>187</v>
      </c>
      <c r="AY1019" s="92" t="s">
        <v>186</v>
      </c>
      <c r="BC1019" s="60">
        <v>8813914002</v>
      </c>
      <c r="BD1019" s="93">
        <v>895363318986</v>
      </c>
      <c r="BE1019" s="93">
        <v>81325892862</v>
      </c>
      <c r="BF1019" s="93">
        <v>85868410740</v>
      </c>
      <c r="BG1019" s="93">
        <v>887734557864</v>
      </c>
      <c r="BH1019" s="93">
        <v>85875536257</v>
      </c>
      <c r="BI1019" s="93">
        <v>859131026049</v>
      </c>
      <c r="BJ1019" s="93">
        <v>895329001051</v>
      </c>
      <c r="BK1019" s="93">
        <v>85694725040</v>
      </c>
      <c r="BP1019" s="18" t="s">
        <v>12103</v>
      </c>
      <c r="BQ1019" s="37">
        <v>45320</v>
      </c>
      <c r="BR1019" s="8">
        <f t="shared" si="3"/>
        <v>9</v>
      </c>
    </row>
    <row r="1020" spans="1:70" ht="14">
      <c r="A1020" s="4" t="str">
        <v>Reguler Periode ke-119 XXI.A.1</v>
      </c>
      <c r="B1020" s="4" t="s">
        <v>9561</v>
      </c>
      <c r="C1020" s="4" t="s">
        <v>4965</v>
      </c>
      <c r="D1020" s="4" t="s">
        <v>12104</v>
      </c>
      <c r="E1020" s="4" t="s">
        <v>12105</v>
      </c>
      <c r="F1020" s="4" t="s">
        <v>11242</v>
      </c>
      <c r="G1020" s="6" t="s">
        <v>12106</v>
      </c>
      <c r="H1020" s="92" t="s">
        <v>12107</v>
      </c>
      <c r="I1020" s="92" t="s">
        <v>12108</v>
      </c>
      <c r="J1020" s="92" t="s">
        <v>12109</v>
      </c>
      <c r="K1020" s="92" t="s">
        <v>12110</v>
      </c>
      <c r="L1020" s="92" t="s">
        <v>12111</v>
      </c>
      <c r="M1020" s="92" t="s">
        <v>12112</v>
      </c>
      <c r="N1020" s="92" t="s">
        <v>12113</v>
      </c>
      <c r="O1020" s="92" t="s">
        <v>12114</v>
      </c>
      <c r="S1020" s="6">
        <v>1900022080</v>
      </c>
      <c r="T1020" s="92">
        <v>1900031360</v>
      </c>
      <c r="U1020" s="92">
        <v>2000005046</v>
      </c>
      <c r="V1020" s="92">
        <v>2000011275</v>
      </c>
      <c r="W1020" s="92">
        <v>2000015018</v>
      </c>
      <c r="X1020" s="92">
        <v>2000018105</v>
      </c>
      <c r="Y1020" s="92">
        <v>2000026118</v>
      </c>
      <c r="Z1020" s="92">
        <v>2000031263</v>
      </c>
      <c r="AA1020" s="92">
        <v>2000070051</v>
      </c>
      <c r="AE1020" s="6" t="s">
        <v>872</v>
      </c>
      <c r="AF1020" s="92" t="s">
        <v>185</v>
      </c>
      <c r="AG1020" s="92" t="s">
        <v>181</v>
      </c>
      <c r="AH1020" s="92" t="s">
        <v>182</v>
      </c>
      <c r="AI1020" s="92" t="s">
        <v>937</v>
      </c>
      <c r="AJ1020" s="92" t="s">
        <v>179</v>
      </c>
      <c r="AK1020" s="92" t="s">
        <v>570</v>
      </c>
      <c r="AL1020" s="92" t="s">
        <v>185</v>
      </c>
      <c r="AM1020" s="92" t="s">
        <v>2473</v>
      </c>
      <c r="AQ1020" s="6" t="s">
        <v>187</v>
      </c>
      <c r="AR1020" s="92" t="s">
        <v>187</v>
      </c>
      <c r="AS1020" s="92" t="s">
        <v>186</v>
      </c>
      <c r="AT1020" s="92" t="s">
        <v>186</v>
      </c>
      <c r="AU1020" s="92" t="s">
        <v>187</v>
      </c>
      <c r="AV1020" s="92" t="s">
        <v>186</v>
      </c>
      <c r="AW1020" s="92" t="s">
        <v>186</v>
      </c>
      <c r="AX1020" s="92" t="s">
        <v>186</v>
      </c>
      <c r="AY1020" s="92" t="s">
        <v>186</v>
      </c>
      <c r="BC1020" s="60">
        <v>82120315031</v>
      </c>
      <c r="BD1020" s="93">
        <v>85920796070</v>
      </c>
      <c r="BE1020" s="93">
        <v>895423650003</v>
      </c>
      <c r="BF1020" s="93">
        <v>895602935803</v>
      </c>
      <c r="BG1020" s="93">
        <v>85668822759</v>
      </c>
      <c r="BH1020" s="93">
        <v>81248713355</v>
      </c>
      <c r="BI1020" s="93">
        <v>82133264578</v>
      </c>
      <c r="BJ1020" s="93">
        <v>882005702331</v>
      </c>
      <c r="BK1020" s="93">
        <v>85773339903</v>
      </c>
      <c r="BP1020" s="18" t="s">
        <v>12115</v>
      </c>
      <c r="BQ1020" s="37">
        <v>45320</v>
      </c>
      <c r="BR1020" s="8">
        <f t="shared" si="3"/>
        <v>9</v>
      </c>
    </row>
    <row r="1021" spans="1:70" ht="14.5">
      <c r="A1021" s="4" t="str">
        <v>Reguler Periode ke-119 XXI.A.2</v>
      </c>
      <c r="B1021" s="4" t="s">
        <v>9561</v>
      </c>
      <c r="C1021" s="4" t="s">
        <v>4979</v>
      </c>
      <c r="D1021" s="4" t="s">
        <v>12104</v>
      </c>
      <c r="E1021" s="4" t="s">
        <v>12116</v>
      </c>
      <c r="F1021" s="4" t="s">
        <v>11242</v>
      </c>
      <c r="G1021" s="6" t="s">
        <v>12117</v>
      </c>
      <c r="H1021" s="92" t="s">
        <v>12118</v>
      </c>
      <c r="I1021" s="92" t="s">
        <v>12119</v>
      </c>
      <c r="J1021" s="92" t="s">
        <v>12120</v>
      </c>
      <c r="K1021" s="92" t="s">
        <v>12121</v>
      </c>
      <c r="L1021" s="92" t="s">
        <v>12122</v>
      </c>
      <c r="M1021" s="92" t="s">
        <v>12123</v>
      </c>
      <c r="N1021" s="92" t="s">
        <v>12124</v>
      </c>
      <c r="O1021" s="92" t="s">
        <v>12125</v>
      </c>
      <c r="S1021" s="6">
        <v>1800015104</v>
      </c>
      <c r="T1021" s="92">
        <v>1900031086</v>
      </c>
      <c r="U1021" s="92">
        <v>2000005345</v>
      </c>
      <c r="V1021" s="92">
        <v>2000011387</v>
      </c>
      <c r="W1021" s="92">
        <v>2000018282</v>
      </c>
      <c r="X1021" s="92">
        <v>2000022064</v>
      </c>
      <c r="Y1021" s="92">
        <v>2000026162</v>
      </c>
      <c r="Z1021" s="92">
        <v>2000031135</v>
      </c>
      <c r="AA1021" s="92">
        <v>2000070012</v>
      </c>
      <c r="AE1021" s="6" t="s">
        <v>937</v>
      </c>
      <c r="AF1021" s="92" t="s">
        <v>185</v>
      </c>
      <c r="AG1021" s="92" t="s">
        <v>181</v>
      </c>
      <c r="AH1021" s="92" t="s">
        <v>182</v>
      </c>
      <c r="AI1021" s="92" t="s">
        <v>179</v>
      </c>
      <c r="AJ1021" s="92" t="s">
        <v>872</v>
      </c>
      <c r="AK1021" s="92" t="s">
        <v>570</v>
      </c>
      <c r="AL1021" s="92" t="s">
        <v>185</v>
      </c>
      <c r="AM1021" s="92" t="s">
        <v>2473</v>
      </c>
      <c r="AN1021" s="73"/>
      <c r="AQ1021" s="6" t="s">
        <v>187</v>
      </c>
      <c r="AR1021" s="92" t="s">
        <v>187</v>
      </c>
      <c r="AS1021" s="92" t="s">
        <v>186</v>
      </c>
      <c r="AT1021" s="92" t="s">
        <v>186</v>
      </c>
      <c r="AU1021" s="92" t="s">
        <v>186</v>
      </c>
      <c r="AV1021" s="92" t="s">
        <v>187</v>
      </c>
      <c r="AW1021" s="92" t="s">
        <v>186</v>
      </c>
      <c r="AX1021" s="92" t="s">
        <v>186</v>
      </c>
      <c r="AY1021" s="92" t="s">
        <v>186</v>
      </c>
      <c r="BC1021" s="60">
        <v>81392716305</v>
      </c>
      <c r="BD1021" s="93">
        <v>82243776548</v>
      </c>
      <c r="BE1021" s="93">
        <v>87736870359</v>
      </c>
      <c r="BF1021" s="93">
        <v>882009133548</v>
      </c>
      <c r="BG1021" s="93" t="s">
        <v>12126</v>
      </c>
      <c r="BH1021" s="93">
        <v>87713403777</v>
      </c>
      <c r="BI1021" s="93">
        <v>85245502337</v>
      </c>
      <c r="BJ1021" s="93">
        <v>81918993211</v>
      </c>
      <c r="BK1021" s="93">
        <v>85375205978</v>
      </c>
      <c r="BP1021" s="18" t="s">
        <v>12127</v>
      </c>
      <c r="BQ1021" s="37">
        <v>45320</v>
      </c>
      <c r="BR1021" s="8">
        <f t="shared" si="3"/>
        <v>9</v>
      </c>
    </row>
    <row r="1022" spans="1:70" ht="14.5">
      <c r="A1022" s="4" t="str">
        <v>Reguler Periode ke-119 XXI.A.3</v>
      </c>
      <c r="B1022" s="4" t="s">
        <v>9561</v>
      </c>
      <c r="C1022" s="4" t="s">
        <v>4992</v>
      </c>
      <c r="D1022" s="4" t="s">
        <v>12104</v>
      </c>
      <c r="E1022" s="4" t="s">
        <v>12128</v>
      </c>
      <c r="F1022" s="4" t="s">
        <v>11242</v>
      </c>
      <c r="G1022" s="6" t="s">
        <v>12129</v>
      </c>
      <c r="H1022" s="92" t="s">
        <v>12130</v>
      </c>
      <c r="I1022" s="92" t="s">
        <v>12131</v>
      </c>
      <c r="J1022" s="92" t="s">
        <v>12132</v>
      </c>
      <c r="K1022" s="92" t="s">
        <v>12133</v>
      </c>
      <c r="L1022" s="92" t="s">
        <v>12134</v>
      </c>
      <c r="M1022" s="92" t="s">
        <v>12135</v>
      </c>
      <c r="N1022" s="92" t="s">
        <v>12136</v>
      </c>
      <c r="O1022" s="92" t="s">
        <v>12137</v>
      </c>
      <c r="P1022" s="73"/>
      <c r="S1022" s="6">
        <v>1900015019</v>
      </c>
      <c r="T1022" s="92">
        <v>2000005305</v>
      </c>
      <c r="U1022" s="92">
        <v>2000011435</v>
      </c>
      <c r="V1022" s="92">
        <v>2000018398</v>
      </c>
      <c r="W1022" s="92">
        <v>2000022053</v>
      </c>
      <c r="X1022" s="92">
        <v>2000026196</v>
      </c>
      <c r="Y1022" s="92">
        <v>2000031032</v>
      </c>
      <c r="Z1022" s="92">
        <v>2000031219</v>
      </c>
      <c r="AA1022" s="92">
        <v>2000070044</v>
      </c>
      <c r="AE1022" s="6" t="s">
        <v>937</v>
      </c>
      <c r="AF1022" s="92" t="s">
        <v>181</v>
      </c>
      <c r="AG1022" s="92" t="s">
        <v>182</v>
      </c>
      <c r="AH1022" s="92" t="s">
        <v>179</v>
      </c>
      <c r="AI1022" s="92" t="s">
        <v>872</v>
      </c>
      <c r="AJ1022" s="92" t="s">
        <v>570</v>
      </c>
      <c r="AK1022" s="92" t="s">
        <v>185</v>
      </c>
      <c r="AL1022" s="92" t="s">
        <v>185</v>
      </c>
      <c r="AM1022" s="92" t="s">
        <v>2473</v>
      </c>
      <c r="AQ1022" s="6" t="s">
        <v>187</v>
      </c>
      <c r="AR1022" s="92" t="s">
        <v>186</v>
      </c>
      <c r="AS1022" s="92" t="s">
        <v>186</v>
      </c>
      <c r="AT1022" s="92" t="s">
        <v>186</v>
      </c>
      <c r="AU1022" s="92" t="s">
        <v>187</v>
      </c>
      <c r="AV1022" s="92" t="s">
        <v>186</v>
      </c>
      <c r="AW1022" s="92" t="s">
        <v>187</v>
      </c>
      <c r="AX1022" s="92" t="s">
        <v>186</v>
      </c>
      <c r="AY1022" s="92" t="s">
        <v>186</v>
      </c>
      <c r="BC1022" s="60">
        <v>81338795679</v>
      </c>
      <c r="BD1022" s="93">
        <v>87717170700</v>
      </c>
      <c r="BE1022" s="93">
        <v>82138502679</v>
      </c>
      <c r="BF1022" s="93">
        <v>85258255009</v>
      </c>
      <c r="BG1022" s="93">
        <v>81229490884</v>
      </c>
      <c r="BH1022" s="93">
        <v>83838499915</v>
      </c>
      <c r="BI1022" s="93">
        <v>88221255316</v>
      </c>
      <c r="BJ1022" s="93">
        <v>859138786886</v>
      </c>
      <c r="BK1022" s="93" t="s">
        <v>12138</v>
      </c>
      <c r="BL1022" s="73"/>
      <c r="BP1022" s="18" t="s">
        <v>12139</v>
      </c>
      <c r="BQ1022" s="37">
        <v>45320</v>
      </c>
      <c r="BR1022" s="8">
        <f t="shared" ref="BR1022:BR1032" si="4">COUNTA(G1022:R1022)</f>
        <v>9</v>
      </c>
    </row>
    <row r="1023" spans="1:70" ht="14.5">
      <c r="A1023" s="4" t="str">
        <v>Reguler Periode ke-119 XXI.B.1</v>
      </c>
      <c r="B1023" s="4" t="s">
        <v>9561</v>
      </c>
      <c r="C1023" s="4" t="s">
        <v>5004</v>
      </c>
      <c r="D1023" s="4" t="s">
        <v>2074</v>
      </c>
      <c r="E1023" s="4" t="s">
        <v>12140</v>
      </c>
      <c r="F1023" s="4" t="s">
        <v>11242</v>
      </c>
      <c r="G1023" s="6" t="s">
        <v>12141</v>
      </c>
      <c r="H1023" s="92" t="s">
        <v>12142</v>
      </c>
      <c r="I1023" s="92" t="s">
        <v>12143</v>
      </c>
      <c r="J1023" s="92" t="s">
        <v>12144</v>
      </c>
      <c r="K1023" s="92" t="s">
        <v>12145</v>
      </c>
      <c r="L1023" s="92" t="s">
        <v>12146</v>
      </c>
      <c r="M1023" s="92" t="s">
        <v>12147</v>
      </c>
      <c r="N1023" s="92" t="s">
        <v>12148</v>
      </c>
      <c r="O1023" s="92" t="s">
        <v>12149</v>
      </c>
      <c r="S1023" s="6">
        <v>2000005164</v>
      </c>
      <c r="T1023" s="92">
        <v>2000011063</v>
      </c>
      <c r="U1023" s="92">
        <v>2000015004</v>
      </c>
      <c r="V1023" s="92">
        <v>2000018261</v>
      </c>
      <c r="W1023" s="92">
        <v>2000022044</v>
      </c>
      <c r="X1023" s="92">
        <v>2000026105</v>
      </c>
      <c r="Y1023" s="92">
        <v>2000031044</v>
      </c>
      <c r="Z1023" s="92">
        <v>2000032101</v>
      </c>
      <c r="AA1023" s="92">
        <v>2000070049</v>
      </c>
      <c r="AE1023" s="6" t="s">
        <v>181</v>
      </c>
      <c r="AF1023" s="92" t="s">
        <v>182</v>
      </c>
      <c r="AG1023" s="92" t="s">
        <v>937</v>
      </c>
      <c r="AH1023" s="92" t="s">
        <v>179</v>
      </c>
      <c r="AI1023" s="92" t="s">
        <v>872</v>
      </c>
      <c r="AJ1023" s="92" t="s">
        <v>570</v>
      </c>
      <c r="AK1023" s="92" t="s">
        <v>185</v>
      </c>
      <c r="AL1023" s="92" t="s">
        <v>732</v>
      </c>
      <c r="AM1023" s="92" t="s">
        <v>2473</v>
      </c>
      <c r="AN1023" s="73"/>
      <c r="AQ1023" s="6" t="s">
        <v>186</v>
      </c>
      <c r="AR1023" s="92" t="s">
        <v>186</v>
      </c>
      <c r="AS1023" s="92" t="s">
        <v>187</v>
      </c>
      <c r="AT1023" s="92" t="s">
        <v>186</v>
      </c>
      <c r="AU1023" s="92" t="s">
        <v>187</v>
      </c>
      <c r="AV1023" s="92" t="s">
        <v>186</v>
      </c>
      <c r="AW1023" s="92" t="s">
        <v>187</v>
      </c>
      <c r="AX1023" s="92" t="s">
        <v>186</v>
      </c>
      <c r="AY1023" s="92" t="s">
        <v>186</v>
      </c>
      <c r="BC1023" s="60">
        <v>83171517392</v>
      </c>
      <c r="BD1023" s="93">
        <v>82135999068</v>
      </c>
      <c r="BE1023" s="93">
        <v>895330280641</v>
      </c>
      <c r="BF1023" s="93">
        <v>882007121779</v>
      </c>
      <c r="BG1023" s="93">
        <v>82177968997</v>
      </c>
      <c r="BH1023" s="93">
        <v>8561175357</v>
      </c>
      <c r="BI1023" s="93">
        <v>89628925061</v>
      </c>
      <c r="BJ1023" s="93">
        <v>89521148335</v>
      </c>
      <c r="BK1023" s="93">
        <v>895609832196</v>
      </c>
      <c r="BL1023" s="73"/>
      <c r="BP1023" s="18" t="s">
        <v>12150</v>
      </c>
      <c r="BQ1023" s="37">
        <v>45320</v>
      </c>
      <c r="BR1023" s="8">
        <f t="shared" si="4"/>
        <v>9</v>
      </c>
    </row>
    <row r="1024" spans="1:70" ht="14">
      <c r="A1024" s="4" t="str">
        <v>Reguler Periode ke-119 XXI.B.2</v>
      </c>
      <c r="B1024" s="4" t="s">
        <v>9561</v>
      </c>
      <c r="C1024" s="4" t="s">
        <v>5017</v>
      </c>
      <c r="D1024" s="4" t="s">
        <v>2074</v>
      </c>
      <c r="E1024" s="4" t="s">
        <v>12151</v>
      </c>
      <c r="F1024" s="4" t="s">
        <v>11242</v>
      </c>
      <c r="G1024" s="6" t="s">
        <v>12152</v>
      </c>
      <c r="H1024" s="92" t="s">
        <v>12153</v>
      </c>
      <c r="I1024" s="92" t="s">
        <v>12154</v>
      </c>
      <c r="J1024" s="92" t="s">
        <v>12155</v>
      </c>
      <c r="K1024" s="92" t="s">
        <v>12156</v>
      </c>
      <c r="L1024" s="92" t="s">
        <v>12157</v>
      </c>
      <c r="M1024" s="92" t="s">
        <v>12158</v>
      </c>
      <c r="N1024" s="92" t="s">
        <v>12159</v>
      </c>
      <c r="O1024" s="92" t="s">
        <v>12160</v>
      </c>
      <c r="S1024" s="6">
        <v>2000005045</v>
      </c>
      <c r="T1024" s="92">
        <v>2000011088</v>
      </c>
      <c r="U1024" s="92">
        <v>2000015026</v>
      </c>
      <c r="V1024" s="92">
        <v>2000018177</v>
      </c>
      <c r="W1024" s="92">
        <v>2000022047</v>
      </c>
      <c r="X1024" s="92">
        <v>2000026183</v>
      </c>
      <c r="Y1024" s="92">
        <v>2000031013</v>
      </c>
      <c r="Z1024" s="92">
        <v>2000032084</v>
      </c>
      <c r="AA1024" s="92">
        <v>2000070041</v>
      </c>
      <c r="AE1024" s="6" t="s">
        <v>181</v>
      </c>
      <c r="AF1024" s="92" t="s">
        <v>182</v>
      </c>
      <c r="AG1024" s="92" t="s">
        <v>937</v>
      </c>
      <c r="AH1024" s="92" t="s">
        <v>179</v>
      </c>
      <c r="AI1024" s="92" t="s">
        <v>872</v>
      </c>
      <c r="AJ1024" s="92" t="s">
        <v>570</v>
      </c>
      <c r="AK1024" s="92" t="s">
        <v>185</v>
      </c>
      <c r="AL1024" s="92" t="s">
        <v>732</v>
      </c>
      <c r="AM1024" s="92" t="s">
        <v>2473</v>
      </c>
      <c r="AQ1024" s="6" t="s">
        <v>186</v>
      </c>
      <c r="AR1024" s="92" t="s">
        <v>186</v>
      </c>
      <c r="AS1024" s="92" t="s">
        <v>187</v>
      </c>
      <c r="AT1024" s="92" t="s">
        <v>186</v>
      </c>
      <c r="AU1024" s="92" t="s">
        <v>187</v>
      </c>
      <c r="AV1024" s="92" t="s">
        <v>186</v>
      </c>
      <c r="AW1024" s="92" t="s">
        <v>187</v>
      </c>
      <c r="AX1024" s="92" t="s">
        <v>186</v>
      </c>
      <c r="AY1024" s="92" t="s">
        <v>186</v>
      </c>
      <c r="BC1024" s="60">
        <v>85868270005</v>
      </c>
      <c r="BD1024" s="93">
        <v>85801695576</v>
      </c>
      <c r="BE1024" s="93">
        <v>82116493389</v>
      </c>
      <c r="BF1024" s="93">
        <v>85700564054</v>
      </c>
      <c r="BG1024" s="93">
        <v>85272173916</v>
      </c>
      <c r="BH1024" s="93">
        <v>82269270404</v>
      </c>
      <c r="BI1024" s="93">
        <v>81904955659</v>
      </c>
      <c r="BJ1024" s="93">
        <v>81997465295</v>
      </c>
      <c r="BK1024" s="93">
        <v>85702576912</v>
      </c>
      <c r="BP1024" s="18" t="s">
        <v>12161</v>
      </c>
      <c r="BQ1024" s="37">
        <v>45320</v>
      </c>
      <c r="BR1024" s="8">
        <f t="shared" si="4"/>
        <v>9</v>
      </c>
    </row>
    <row r="1025" spans="1:70" ht="14">
      <c r="A1025" s="4" t="str">
        <v>Reguler Periode ke-119 XXI.B.3</v>
      </c>
      <c r="B1025" s="4" t="s">
        <v>9561</v>
      </c>
      <c r="C1025" s="4" t="s">
        <v>5029</v>
      </c>
      <c r="D1025" s="4" t="s">
        <v>2074</v>
      </c>
      <c r="E1025" s="4" t="s">
        <v>12162</v>
      </c>
      <c r="F1025" s="4" t="s">
        <v>11242</v>
      </c>
      <c r="G1025" s="6" t="s">
        <v>12163</v>
      </c>
      <c r="H1025" s="92" t="s">
        <v>12164</v>
      </c>
      <c r="I1025" s="92" t="s">
        <v>12165</v>
      </c>
      <c r="J1025" s="92" t="s">
        <v>12166</v>
      </c>
      <c r="K1025" s="92" t="s">
        <v>12167</v>
      </c>
      <c r="L1025" s="92" t="s">
        <v>12168</v>
      </c>
      <c r="M1025" s="92" t="s">
        <v>12169</v>
      </c>
      <c r="N1025" s="92" t="s">
        <v>12170</v>
      </c>
      <c r="O1025" s="92" t="s">
        <v>12171</v>
      </c>
      <c r="S1025" s="6">
        <v>1800016019</v>
      </c>
      <c r="T1025" s="92">
        <v>2000005102</v>
      </c>
      <c r="U1025" s="92">
        <v>2000011321</v>
      </c>
      <c r="V1025" s="92">
        <v>2000018338</v>
      </c>
      <c r="W1025" s="92">
        <v>2000022001</v>
      </c>
      <c r="X1025" s="92">
        <v>2000026107</v>
      </c>
      <c r="Y1025" s="92">
        <v>2000031121</v>
      </c>
      <c r="Z1025" s="92">
        <v>2000032105</v>
      </c>
      <c r="AA1025" s="92">
        <v>2000070026</v>
      </c>
      <c r="AE1025" s="6" t="s">
        <v>531</v>
      </c>
      <c r="AF1025" s="92" t="s">
        <v>181</v>
      </c>
      <c r="AG1025" s="92" t="s">
        <v>182</v>
      </c>
      <c r="AH1025" s="92" t="s">
        <v>179</v>
      </c>
      <c r="AI1025" s="92" t="s">
        <v>872</v>
      </c>
      <c r="AJ1025" s="92" t="s">
        <v>570</v>
      </c>
      <c r="AK1025" s="92" t="s">
        <v>185</v>
      </c>
      <c r="AL1025" s="92" t="s">
        <v>732</v>
      </c>
      <c r="AM1025" s="92" t="s">
        <v>2473</v>
      </c>
      <c r="AQ1025" s="6" t="s">
        <v>187</v>
      </c>
      <c r="AR1025" s="92" t="s">
        <v>186</v>
      </c>
      <c r="AS1025" s="92" t="s">
        <v>186</v>
      </c>
      <c r="AT1025" s="92" t="s">
        <v>186</v>
      </c>
      <c r="AU1025" s="92" t="s">
        <v>187</v>
      </c>
      <c r="AV1025" s="92" t="s">
        <v>186</v>
      </c>
      <c r="AW1025" s="92" t="s">
        <v>187</v>
      </c>
      <c r="AX1025" s="92" t="s">
        <v>186</v>
      </c>
      <c r="AY1025" s="92" t="s">
        <v>186</v>
      </c>
      <c r="BC1025" s="60">
        <v>82297236251</v>
      </c>
      <c r="BD1025" s="93">
        <v>82186085143</v>
      </c>
      <c r="BE1025" s="93">
        <v>89657727011</v>
      </c>
      <c r="BF1025" s="93">
        <v>85842207808</v>
      </c>
      <c r="BG1025" s="93">
        <v>82155247936</v>
      </c>
      <c r="BH1025" s="93">
        <v>81328349454</v>
      </c>
      <c r="BI1025" s="93">
        <v>85273811371</v>
      </c>
      <c r="BJ1025" s="93">
        <v>8156578776</v>
      </c>
      <c r="BK1025" s="93">
        <v>82236828250</v>
      </c>
      <c r="BP1025" s="18" t="s">
        <v>12172</v>
      </c>
      <c r="BQ1025" s="37">
        <v>45320</v>
      </c>
      <c r="BR1025" s="8">
        <f t="shared" si="4"/>
        <v>9</v>
      </c>
    </row>
    <row r="1026" spans="1:70" ht="14.5">
      <c r="A1026" s="4" t="str">
        <v>Reguler Periode ke-119 XXI.C.1</v>
      </c>
      <c r="B1026" s="4" t="s">
        <v>9561</v>
      </c>
      <c r="C1026" s="4" t="s">
        <v>5041</v>
      </c>
      <c r="D1026" s="4" t="s">
        <v>12173</v>
      </c>
      <c r="E1026" s="4" t="s">
        <v>12174</v>
      </c>
      <c r="F1026" s="4" t="s">
        <v>11242</v>
      </c>
      <c r="G1026" s="6" t="s">
        <v>12175</v>
      </c>
      <c r="H1026" s="92" t="s">
        <v>12176</v>
      </c>
      <c r="I1026" s="92" t="s">
        <v>12177</v>
      </c>
      <c r="J1026" s="92" t="s">
        <v>12178</v>
      </c>
      <c r="K1026" s="92" t="s">
        <v>12179</v>
      </c>
      <c r="L1026" s="92" t="s">
        <v>12180</v>
      </c>
      <c r="M1026" s="92" t="s">
        <v>12181</v>
      </c>
      <c r="N1026" s="92" t="s">
        <v>12182</v>
      </c>
      <c r="O1026" s="92" t="s">
        <v>12183</v>
      </c>
      <c r="P1026" s="73"/>
      <c r="S1026" s="6">
        <v>1900030294</v>
      </c>
      <c r="T1026" s="92">
        <v>2000005179</v>
      </c>
      <c r="U1026" s="92">
        <v>2000011368</v>
      </c>
      <c r="V1026" s="92">
        <v>2000016123</v>
      </c>
      <c r="W1026" s="92">
        <v>2000018324</v>
      </c>
      <c r="X1026" s="92">
        <v>2000022039</v>
      </c>
      <c r="Y1026" s="92">
        <v>2000026169</v>
      </c>
      <c r="Z1026" s="92">
        <v>2000031227</v>
      </c>
      <c r="AA1026" s="92">
        <v>2000032091</v>
      </c>
      <c r="AE1026" s="6" t="s">
        <v>184</v>
      </c>
      <c r="AF1026" s="92" t="s">
        <v>181</v>
      </c>
      <c r="AG1026" s="92" t="s">
        <v>182</v>
      </c>
      <c r="AH1026" s="92" t="s">
        <v>531</v>
      </c>
      <c r="AI1026" s="92" t="s">
        <v>179</v>
      </c>
      <c r="AJ1026" s="92" t="s">
        <v>872</v>
      </c>
      <c r="AK1026" s="92" t="s">
        <v>570</v>
      </c>
      <c r="AL1026" s="92" t="s">
        <v>185</v>
      </c>
      <c r="AM1026" s="92" t="s">
        <v>732</v>
      </c>
      <c r="AQ1026" s="6" t="s">
        <v>187</v>
      </c>
      <c r="AR1026" s="92" t="s">
        <v>186</v>
      </c>
      <c r="AS1026" s="92" t="s">
        <v>186</v>
      </c>
      <c r="AT1026" s="92" t="s">
        <v>187</v>
      </c>
      <c r="AU1026" s="92" t="s">
        <v>186</v>
      </c>
      <c r="AV1026" s="92" t="s">
        <v>187</v>
      </c>
      <c r="AW1026" s="92" t="s">
        <v>186</v>
      </c>
      <c r="AX1026" s="92" t="s">
        <v>187</v>
      </c>
      <c r="AY1026" s="92" t="s">
        <v>186</v>
      </c>
      <c r="BC1026" s="60">
        <v>89666089612</v>
      </c>
      <c r="BD1026" s="93">
        <v>83169514887</v>
      </c>
      <c r="BE1026" s="93">
        <v>85727884336</v>
      </c>
      <c r="BF1026" s="93">
        <v>89648569411</v>
      </c>
      <c r="BG1026" s="93">
        <v>82372649299</v>
      </c>
      <c r="BH1026" s="93">
        <v>81262944185</v>
      </c>
      <c r="BI1026" s="93">
        <v>81246261359</v>
      </c>
      <c r="BJ1026" s="93">
        <v>89527131840</v>
      </c>
      <c r="BK1026" s="93">
        <v>85801377290</v>
      </c>
      <c r="BP1026" s="18" t="s">
        <v>12184</v>
      </c>
      <c r="BQ1026" s="37">
        <v>45320</v>
      </c>
      <c r="BR1026" s="8">
        <f t="shared" si="4"/>
        <v>9</v>
      </c>
    </row>
    <row r="1027" spans="1:70" ht="14.5">
      <c r="A1027" s="4" t="str">
        <v>Reguler Periode ke-119 XXI.C.2</v>
      </c>
      <c r="B1027" s="4" t="s">
        <v>9561</v>
      </c>
      <c r="C1027" s="4" t="s">
        <v>5054</v>
      </c>
      <c r="D1027" s="4" t="s">
        <v>12173</v>
      </c>
      <c r="E1027" s="4" t="s">
        <v>12185</v>
      </c>
      <c r="F1027" s="4" t="s">
        <v>11242</v>
      </c>
      <c r="G1027" s="6" t="s">
        <v>12186</v>
      </c>
      <c r="H1027" s="92" t="s">
        <v>12187</v>
      </c>
      <c r="I1027" s="92" t="s">
        <v>12188</v>
      </c>
      <c r="J1027" s="92" t="s">
        <v>12189</v>
      </c>
      <c r="K1027" s="92" t="s">
        <v>12190</v>
      </c>
      <c r="L1027" s="92" t="s">
        <v>12191</v>
      </c>
      <c r="M1027" s="92" t="s">
        <v>8177</v>
      </c>
      <c r="N1027" s="92" t="s">
        <v>12192</v>
      </c>
      <c r="O1027" s="92" t="s">
        <v>12193</v>
      </c>
      <c r="P1027" s="73"/>
      <c r="S1027" s="6">
        <v>2000005007</v>
      </c>
      <c r="T1027" s="92">
        <v>2000011002</v>
      </c>
      <c r="U1027" s="92">
        <v>2000016003</v>
      </c>
      <c r="V1027" s="92">
        <v>2000018298</v>
      </c>
      <c r="W1027" s="92">
        <v>2000022005</v>
      </c>
      <c r="X1027" s="92">
        <v>2000026007</v>
      </c>
      <c r="Y1027" s="92">
        <v>2000028035</v>
      </c>
      <c r="Z1027" s="92">
        <v>2000031192</v>
      </c>
      <c r="AA1027" s="92">
        <v>2000032089</v>
      </c>
      <c r="AE1027" s="6" t="s">
        <v>181</v>
      </c>
      <c r="AF1027" s="92" t="s">
        <v>182</v>
      </c>
      <c r="AG1027" s="92" t="s">
        <v>531</v>
      </c>
      <c r="AH1027" s="92" t="s">
        <v>179</v>
      </c>
      <c r="AI1027" s="92" t="s">
        <v>872</v>
      </c>
      <c r="AJ1027" s="92" t="s">
        <v>570</v>
      </c>
      <c r="AK1027" s="92" t="s">
        <v>678</v>
      </c>
      <c r="AL1027" s="92" t="s">
        <v>185</v>
      </c>
      <c r="AM1027" s="92" t="s">
        <v>732</v>
      </c>
      <c r="AQ1027" s="6" t="s">
        <v>186</v>
      </c>
      <c r="AR1027" s="92" t="s">
        <v>186</v>
      </c>
      <c r="AS1027" s="92" t="s">
        <v>187</v>
      </c>
      <c r="AT1027" s="92" t="s">
        <v>186</v>
      </c>
      <c r="AU1027" s="92" t="s">
        <v>187</v>
      </c>
      <c r="AV1027" s="92" t="s">
        <v>186</v>
      </c>
      <c r="AW1027" s="92" t="s">
        <v>187</v>
      </c>
      <c r="AX1027" s="92" t="s">
        <v>187</v>
      </c>
      <c r="AY1027" s="92" t="s">
        <v>186</v>
      </c>
      <c r="BC1027" s="60">
        <v>83106675474</v>
      </c>
      <c r="BD1027" s="93">
        <v>82385176659</v>
      </c>
      <c r="BE1027" s="93">
        <v>8979331544</v>
      </c>
      <c r="BF1027" s="93">
        <v>81337290465</v>
      </c>
      <c r="BG1027" s="93">
        <v>82399113226</v>
      </c>
      <c r="BH1027" s="93">
        <v>81649076239</v>
      </c>
      <c r="BI1027" s="93">
        <v>81225439620</v>
      </c>
      <c r="BJ1027" s="93">
        <v>83116344518</v>
      </c>
      <c r="BK1027" s="93">
        <v>82235535459</v>
      </c>
      <c r="BP1027" s="18" t="s">
        <v>12194</v>
      </c>
      <c r="BQ1027" s="37">
        <v>45320</v>
      </c>
      <c r="BR1027" s="8">
        <f t="shared" si="4"/>
        <v>9</v>
      </c>
    </row>
    <row r="1028" spans="1:70" ht="14.5">
      <c r="A1028" s="4" t="str">
        <v>Reguler Periode ke-119 XXI.C.3</v>
      </c>
      <c r="B1028" s="4" t="s">
        <v>9561</v>
      </c>
      <c r="C1028" s="4" t="s">
        <v>5066</v>
      </c>
      <c r="D1028" s="4" t="s">
        <v>12173</v>
      </c>
      <c r="E1028" s="4" t="s">
        <v>12195</v>
      </c>
      <c r="F1028" s="4" t="s">
        <v>11242</v>
      </c>
      <c r="G1028" s="6" t="s">
        <v>12196</v>
      </c>
      <c r="H1028" s="92" t="s">
        <v>12197</v>
      </c>
      <c r="I1028" s="92" t="s">
        <v>12198</v>
      </c>
      <c r="J1028" s="92" t="s">
        <v>12199</v>
      </c>
      <c r="K1028" s="92" t="s">
        <v>12200</v>
      </c>
      <c r="L1028" s="92" t="s">
        <v>12201</v>
      </c>
      <c r="M1028" s="92" t="s">
        <v>12202</v>
      </c>
      <c r="N1028" s="92" t="s">
        <v>12203</v>
      </c>
      <c r="O1028" s="92" t="s">
        <v>12204</v>
      </c>
      <c r="P1028" s="73"/>
      <c r="S1028" s="6">
        <v>2000005089</v>
      </c>
      <c r="T1028" s="92">
        <v>2000005134</v>
      </c>
      <c r="U1028" s="92">
        <v>2000012095</v>
      </c>
      <c r="V1028" s="92">
        <v>2000018075</v>
      </c>
      <c r="W1028" s="92">
        <v>2000020028</v>
      </c>
      <c r="X1028" s="92">
        <v>2000024357</v>
      </c>
      <c r="Y1028" s="92">
        <v>2000029100</v>
      </c>
      <c r="Z1028" s="92">
        <v>2000032126</v>
      </c>
      <c r="AA1028" s="92">
        <v>2011033044</v>
      </c>
      <c r="AE1028" s="6" t="s">
        <v>181</v>
      </c>
      <c r="AF1028" s="92" t="s">
        <v>181</v>
      </c>
      <c r="AG1028" s="92" t="s">
        <v>885</v>
      </c>
      <c r="AH1028" s="92" t="s">
        <v>179</v>
      </c>
      <c r="AI1028" s="92" t="s">
        <v>351</v>
      </c>
      <c r="AJ1028" s="92" t="s">
        <v>924</v>
      </c>
      <c r="AK1028" s="92" t="s">
        <v>533</v>
      </c>
      <c r="AL1028" s="92" t="s">
        <v>732</v>
      </c>
      <c r="AM1028" s="92" t="s">
        <v>1112</v>
      </c>
      <c r="AQ1028" s="6" t="s">
        <v>186</v>
      </c>
      <c r="AR1028" s="92" t="s">
        <v>187</v>
      </c>
      <c r="AS1028" s="92" t="s">
        <v>186</v>
      </c>
      <c r="AT1028" s="92" t="s">
        <v>187</v>
      </c>
      <c r="AU1028" s="92" t="s">
        <v>186</v>
      </c>
      <c r="AV1028" s="92" t="s">
        <v>187</v>
      </c>
      <c r="AW1028" s="92" t="s">
        <v>186</v>
      </c>
      <c r="AX1028" s="92" t="s">
        <v>186</v>
      </c>
      <c r="AY1028" s="92" t="s">
        <v>187</v>
      </c>
      <c r="BB1028" s="73"/>
      <c r="BC1028" s="60">
        <v>81329831376</v>
      </c>
      <c r="BD1028" s="93">
        <v>88233591058</v>
      </c>
      <c r="BE1028" s="93">
        <v>81223617524</v>
      </c>
      <c r="BF1028" s="93">
        <v>85156853596</v>
      </c>
      <c r="BG1028" s="93">
        <v>82283734142</v>
      </c>
      <c r="BH1028" s="93">
        <v>81273306611</v>
      </c>
      <c r="BI1028" s="93">
        <v>87758117722</v>
      </c>
      <c r="BJ1028" s="93">
        <v>89673757103</v>
      </c>
      <c r="BK1028" s="93">
        <v>82144294104</v>
      </c>
      <c r="BP1028" s="18" t="s">
        <v>12205</v>
      </c>
      <c r="BQ1028" s="37">
        <v>45320</v>
      </c>
      <c r="BR1028" s="8">
        <f t="shared" si="4"/>
        <v>9</v>
      </c>
    </row>
    <row r="1029" spans="1:70" ht="14">
      <c r="A1029" s="4" t="str">
        <v>Reguler Periode ke-119 XXI.D.1</v>
      </c>
      <c r="B1029" s="4" t="s">
        <v>9561</v>
      </c>
      <c r="C1029" s="4" t="s">
        <v>5078</v>
      </c>
      <c r="D1029" s="4" t="s">
        <v>12206</v>
      </c>
      <c r="E1029" s="4" t="s">
        <v>12207</v>
      </c>
      <c r="F1029" s="4" t="s">
        <v>11242</v>
      </c>
      <c r="G1029" s="6" t="s">
        <v>12208</v>
      </c>
      <c r="H1029" s="92" t="s">
        <v>12209</v>
      </c>
      <c r="I1029" s="92" t="s">
        <v>12210</v>
      </c>
      <c r="J1029" s="92" t="s">
        <v>12211</v>
      </c>
      <c r="K1029" s="92" t="s">
        <v>12212</v>
      </c>
      <c r="L1029" s="92" t="s">
        <v>12213</v>
      </c>
      <c r="M1029" s="92" t="s">
        <v>8179</v>
      </c>
      <c r="N1029" s="92" t="s">
        <v>12214</v>
      </c>
      <c r="O1029" s="92" t="s">
        <v>12215</v>
      </c>
      <c r="S1029" s="6">
        <v>2000005327</v>
      </c>
      <c r="T1029" s="92">
        <v>2000011286</v>
      </c>
      <c r="U1029" s="92">
        <v>2000016010</v>
      </c>
      <c r="V1029" s="92">
        <v>2000018344</v>
      </c>
      <c r="W1029" s="92">
        <v>2000022002</v>
      </c>
      <c r="X1029" s="92">
        <v>2000026187</v>
      </c>
      <c r="Y1029" s="92">
        <v>2000028142</v>
      </c>
      <c r="Z1029" s="92">
        <v>2000031093</v>
      </c>
      <c r="AA1029" s="92">
        <v>2000032129</v>
      </c>
      <c r="AE1029" s="6" t="s">
        <v>181</v>
      </c>
      <c r="AF1029" s="92" t="s">
        <v>182</v>
      </c>
      <c r="AG1029" s="92" t="s">
        <v>531</v>
      </c>
      <c r="AH1029" s="92" t="s">
        <v>179</v>
      </c>
      <c r="AI1029" s="92" t="s">
        <v>872</v>
      </c>
      <c r="AJ1029" s="92" t="s">
        <v>570</v>
      </c>
      <c r="AK1029" s="92" t="s">
        <v>678</v>
      </c>
      <c r="AL1029" s="92" t="s">
        <v>185</v>
      </c>
      <c r="AM1029" s="92" t="s">
        <v>732</v>
      </c>
      <c r="AQ1029" s="6" t="s">
        <v>186</v>
      </c>
      <c r="AR1029" s="92" t="s">
        <v>186</v>
      </c>
      <c r="AS1029" s="92" t="s">
        <v>187</v>
      </c>
      <c r="AT1029" s="92" t="s">
        <v>186</v>
      </c>
      <c r="AU1029" s="92" t="s">
        <v>187</v>
      </c>
      <c r="AV1029" s="92" t="s">
        <v>186</v>
      </c>
      <c r="AW1029" s="92" t="s">
        <v>186</v>
      </c>
      <c r="AX1029" s="92" t="s">
        <v>187</v>
      </c>
      <c r="AY1029" s="92" t="s">
        <v>186</v>
      </c>
      <c r="BC1029" s="60">
        <v>88233010987</v>
      </c>
      <c r="BD1029" s="93">
        <v>8315429487</v>
      </c>
      <c r="BE1029" s="93">
        <v>85246351415</v>
      </c>
      <c r="BF1029" s="93">
        <v>85329945874</v>
      </c>
      <c r="BG1029" s="93">
        <v>85608105453</v>
      </c>
      <c r="BH1029" s="93">
        <v>83174795050</v>
      </c>
      <c r="BI1029" s="93">
        <v>81211644754</v>
      </c>
      <c r="BJ1029" s="93">
        <v>81578879844</v>
      </c>
      <c r="BK1029" s="93">
        <v>81391488431</v>
      </c>
      <c r="BP1029" s="18" t="s">
        <v>12216</v>
      </c>
      <c r="BQ1029" s="37">
        <v>45320</v>
      </c>
      <c r="BR1029" s="8">
        <f t="shared" si="4"/>
        <v>9</v>
      </c>
    </row>
    <row r="1030" spans="1:70" ht="14.5">
      <c r="A1030" s="4" t="str">
        <v>Reguler Periode ke-119 XXI.D.2</v>
      </c>
      <c r="B1030" s="4" t="s">
        <v>9561</v>
      </c>
      <c r="C1030" s="4" t="s">
        <v>5092</v>
      </c>
      <c r="D1030" s="4" t="s">
        <v>12206</v>
      </c>
      <c r="E1030" s="4" t="s">
        <v>12217</v>
      </c>
      <c r="F1030" s="4" t="s">
        <v>11242</v>
      </c>
      <c r="G1030" s="6" t="s">
        <v>12218</v>
      </c>
      <c r="H1030" s="92" t="s">
        <v>12219</v>
      </c>
      <c r="I1030" s="92" t="s">
        <v>12220</v>
      </c>
      <c r="J1030" s="92" t="s">
        <v>12221</v>
      </c>
      <c r="K1030" s="92" t="s">
        <v>12222</v>
      </c>
      <c r="L1030" s="92" t="s">
        <v>12223</v>
      </c>
      <c r="M1030" s="92" t="s">
        <v>12224</v>
      </c>
      <c r="N1030" s="92" t="s">
        <v>12225</v>
      </c>
      <c r="S1030" s="6">
        <v>2000011073</v>
      </c>
      <c r="T1030" s="92">
        <v>2000016019</v>
      </c>
      <c r="U1030" s="92">
        <v>2000018384</v>
      </c>
      <c r="V1030" s="92">
        <v>2000022045</v>
      </c>
      <c r="W1030" s="92">
        <v>2000026024</v>
      </c>
      <c r="X1030" s="92">
        <v>2000031120</v>
      </c>
      <c r="Y1030" s="92">
        <v>2000032093</v>
      </c>
      <c r="Z1030" s="92">
        <v>2015005208</v>
      </c>
      <c r="AE1030" s="6" t="s">
        <v>182</v>
      </c>
      <c r="AF1030" s="92" t="s">
        <v>531</v>
      </c>
      <c r="AG1030" s="92" t="s">
        <v>179</v>
      </c>
      <c r="AH1030" s="92" t="s">
        <v>872</v>
      </c>
      <c r="AI1030" s="92" t="s">
        <v>570</v>
      </c>
      <c r="AJ1030" s="92" t="s">
        <v>185</v>
      </c>
      <c r="AK1030" s="92" t="s">
        <v>732</v>
      </c>
      <c r="AL1030" s="92" t="s">
        <v>181</v>
      </c>
      <c r="AM1030" s="73"/>
      <c r="AQ1030" s="6" t="s">
        <v>186</v>
      </c>
      <c r="AR1030" s="92" t="s">
        <v>187</v>
      </c>
      <c r="AS1030" s="92" t="s">
        <v>186</v>
      </c>
      <c r="AT1030" s="92" t="s">
        <v>187</v>
      </c>
      <c r="AU1030" s="92" t="s">
        <v>186</v>
      </c>
      <c r="AV1030" s="92" t="s">
        <v>187</v>
      </c>
      <c r="AW1030" s="92" t="s">
        <v>186</v>
      </c>
      <c r="AX1030" s="92" t="s">
        <v>186</v>
      </c>
      <c r="BC1030" s="60">
        <v>81226169106</v>
      </c>
      <c r="BD1030" s="93">
        <v>81906608593</v>
      </c>
      <c r="BE1030" s="93">
        <v>82289067989</v>
      </c>
      <c r="BF1030" s="93">
        <v>82278133756</v>
      </c>
      <c r="BG1030" s="93">
        <v>85240334107</v>
      </c>
      <c r="BH1030" s="93">
        <v>85803748972</v>
      </c>
      <c r="BI1030" s="93">
        <v>81548503809</v>
      </c>
      <c r="BJ1030" s="93">
        <v>895385237652</v>
      </c>
      <c r="BK1030" s="73"/>
      <c r="BP1030" s="18" t="s">
        <v>12226</v>
      </c>
      <c r="BQ1030" s="37">
        <v>45320</v>
      </c>
      <c r="BR1030" s="8">
        <f t="shared" si="4"/>
        <v>8</v>
      </c>
    </row>
    <row r="1031" spans="1:70" ht="14.5">
      <c r="A1031" s="4" t="str">
        <v>Reguler Periode ke-119 XXII.A.1</v>
      </c>
      <c r="B1031" s="4" t="s">
        <v>9561</v>
      </c>
      <c r="C1031" s="4" t="s">
        <v>5116</v>
      </c>
      <c r="D1031" s="4" t="s">
        <v>12227</v>
      </c>
      <c r="E1031" s="4" t="s">
        <v>12228</v>
      </c>
      <c r="F1031" s="4" t="s">
        <v>11242</v>
      </c>
      <c r="G1031" s="6" t="s">
        <v>12229</v>
      </c>
      <c r="H1031" s="92" t="s">
        <v>12230</v>
      </c>
      <c r="I1031" s="92" t="s">
        <v>12231</v>
      </c>
      <c r="J1031" s="92" t="s">
        <v>12232</v>
      </c>
      <c r="K1031" s="92" t="s">
        <v>12233</v>
      </c>
      <c r="L1031" s="92" t="s">
        <v>12234</v>
      </c>
      <c r="M1031" s="92" t="s">
        <v>12235</v>
      </c>
      <c r="N1031" s="92" t="s">
        <v>12236</v>
      </c>
      <c r="O1031" s="92" t="s">
        <v>12237</v>
      </c>
      <c r="P1031" s="73"/>
      <c r="S1031" s="6">
        <v>2000001074</v>
      </c>
      <c r="T1031" s="92">
        <v>2000005126</v>
      </c>
      <c r="U1031" s="92">
        <v>2000006009</v>
      </c>
      <c r="V1031" s="92">
        <v>2000012110</v>
      </c>
      <c r="W1031" s="92">
        <v>2000018165</v>
      </c>
      <c r="X1031" s="92">
        <v>2000023219</v>
      </c>
      <c r="Y1031" s="92">
        <v>2000024255</v>
      </c>
      <c r="Z1031" s="92">
        <v>2000029105</v>
      </c>
      <c r="AA1031" s="92">
        <v>2000033046</v>
      </c>
      <c r="AE1031" s="6" t="s">
        <v>180</v>
      </c>
      <c r="AF1031" s="92" t="s">
        <v>181</v>
      </c>
      <c r="AG1031" s="92" t="s">
        <v>745</v>
      </c>
      <c r="AH1031" s="92" t="s">
        <v>885</v>
      </c>
      <c r="AI1031" s="92" t="s">
        <v>179</v>
      </c>
      <c r="AJ1031" s="92" t="s">
        <v>899</v>
      </c>
      <c r="AK1031" s="92" t="s">
        <v>924</v>
      </c>
      <c r="AL1031" s="92" t="s">
        <v>533</v>
      </c>
      <c r="AM1031" s="92" t="s">
        <v>1112</v>
      </c>
      <c r="AQ1031" s="6" t="s">
        <v>186</v>
      </c>
      <c r="AR1031" s="92" t="s">
        <v>186</v>
      </c>
      <c r="AS1031" s="92" t="s">
        <v>187</v>
      </c>
      <c r="AT1031" s="92" t="s">
        <v>186</v>
      </c>
      <c r="AU1031" s="92" t="s">
        <v>187</v>
      </c>
      <c r="AV1031" s="92" t="s">
        <v>186</v>
      </c>
      <c r="AW1031" s="92" t="s">
        <v>187</v>
      </c>
      <c r="AX1031" s="92" t="s">
        <v>186</v>
      </c>
      <c r="AY1031" s="92" t="s">
        <v>186</v>
      </c>
      <c r="BC1031" s="60">
        <v>83863412945</v>
      </c>
      <c r="BD1031" s="93">
        <v>81363326804</v>
      </c>
      <c r="BE1031" s="93">
        <v>85740475600</v>
      </c>
      <c r="BF1031" s="93">
        <v>82127593985</v>
      </c>
      <c r="BG1031" s="93">
        <v>895321875208</v>
      </c>
      <c r="BH1031" s="93">
        <v>81343521592</v>
      </c>
      <c r="BI1031" s="93">
        <v>85746315994</v>
      </c>
      <c r="BJ1031" s="93">
        <v>89530026234</v>
      </c>
      <c r="BK1031" s="93">
        <v>85870958853</v>
      </c>
      <c r="BP1031" s="18" t="s">
        <v>12238</v>
      </c>
      <c r="BQ1031" s="37">
        <v>45320</v>
      </c>
      <c r="BR1031" s="8">
        <f t="shared" si="4"/>
        <v>9</v>
      </c>
    </row>
    <row r="1032" spans="1:70" ht="14">
      <c r="A1032" s="4" t="str">
        <v>Reguler Periode ke-119 XXII.A.2</v>
      </c>
      <c r="B1032" s="4" t="s">
        <v>9561</v>
      </c>
      <c r="C1032" s="4" t="s">
        <v>5129</v>
      </c>
      <c r="D1032" s="4" t="s">
        <v>12227</v>
      </c>
      <c r="E1032" s="4" t="s">
        <v>12239</v>
      </c>
      <c r="F1032" s="4" t="s">
        <v>11242</v>
      </c>
      <c r="G1032" s="6" t="s">
        <v>12240</v>
      </c>
      <c r="H1032" s="92" t="s">
        <v>12241</v>
      </c>
      <c r="I1032" s="92" t="s">
        <v>12242</v>
      </c>
      <c r="J1032" s="92" t="s">
        <v>12243</v>
      </c>
      <c r="K1032" s="92" t="s">
        <v>12244</v>
      </c>
      <c r="L1032" s="92" t="s">
        <v>12245</v>
      </c>
      <c r="M1032" s="92" t="s">
        <v>12246</v>
      </c>
      <c r="N1032" s="92" t="s">
        <v>12247</v>
      </c>
      <c r="O1032" s="92" t="s">
        <v>12248</v>
      </c>
      <c r="S1032" s="6">
        <v>1900008049</v>
      </c>
      <c r="T1032" s="92">
        <v>2000001094</v>
      </c>
      <c r="U1032" s="92">
        <v>2000005206</v>
      </c>
      <c r="V1032" s="92">
        <v>2000013251</v>
      </c>
      <c r="W1032" s="92">
        <v>2000018170</v>
      </c>
      <c r="X1032" s="92">
        <v>2000023255</v>
      </c>
      <c r="Y1032" s="92">
        <v>2000024309</v>
      </c>
      <c r="Z1032" s="92">
        <v>2000029135</v>
      </c>
      <c r="AA1032" s="92">
        <v>2000033106</v>
      </c>
      <c r="AE1032" s="6" t="s">
        <v>1111</v>
      </c>
      <c r="AF1032" s="92" t="s">
        <v>180</v>
      </c>
      <c r="AG1032" s="92" t="s">
        <v>181</v>
      </c>
      <c r="AH1032" s="92" t="s">
        <v>677</v>
      </c>
      <c r="AI1032" s="92" t="s">
        <v>179</v>
      </c>
      <c r="AJ1032" s="92" t="s">
        <v>899</v>
      </c>
      <c r="AK1032" s="92" t="s">
        <v>924</v>
      </c>
      <c r="AL1032" s="92" t="s">
        <v>533</v>
      </c>
      <c r="AM1032" s="92" t="s">
        <v>1112</v>
      </c>
      <c r="AQ1032" s="6" t="s">
        <v>187</v>
      </c>
      <c r="AR1032" s="92" t="s">
        <v>186</v>
      </c>
      <c r="AS1032" s="92" t="s">
        <v>186</v>
      </c>
      <c r="AT1032" s="92" t="s">
        <v>186</v>
      </c>
      <c r="AU1032" s="92" t="s">
        <v>187</v>
      </c>
      <c r="AV1032" s="92" t="s">
        <v>186</v>
      </c>
      <c r="AW1032" s="92" t="s">
        <v>187</v>
      </c>
      <c r="AX1032" s="92" t="s">
        <v>186</v>
      </c>
      <c r="AY1032" s="92" t="s">
        <v>186</v>
      </c>
      <c r="BC1032" s="60">
        <v>87727362552</v>
      </c>
      <c r="BD1032" s="93">
        <v>8991262133</v>
      </c>
      <c r="BE1032" s="93">
        <v>85713478175</v>
      </c>
      <c r="BF1032" s="93">
        <v>85930370714</v>
      </c>
      <c r="BG1032" s="93">
        <v>85200009548</v>
      </c>
      <c r="BH1032" s="93">
        <v>85656818783</v>
      </c>
      <c r="BI1032" s="93">
        <v>82130258023</v>
      </c>
      <c r="BJ1032" s="93">
        <v>81218153744</v>
      </c>
      <c r="BK1032" s="93">
        <v>85713506696</v>
      </c>
      <c r="BP1032" s="18" t="s">
        <v>12249</v>
      </c>
      <c r="BQ1032" s="37">
        <v>45320</v>
      </c>
      <c r="BR1032" s="8">
        <f t="shared" si="4"/>
        <v>9</v>
      </c>
    </row>
    <row r="1033" spans="1:70" ht="14.5">
      <c r="A1033" s="4" t="str">
        <v xml:space="preserve"> </v>
      </c>
      <c r="B1033" s="4"/>
      <c r="C1033" s="4"/>
      <c r="D1033" s="4"/>
      <c r="E1033" s="4"/>
      <c r="F1033" s="4"/>
      <c r="H1033" s="95"/>
      <c r="I1033" s="95"/>
      <c r="J1033" s="95"/>
      <c r="K1033" s="95"/>
      <c r="L1033" s="95"/>
      <c r="M1033" s="95"/>
      <c r="T1033" s="95"/>
      <c r="U1033" s="95"/>
      <c r="V1033" s="95"/>
      <c r="W1033" s="95"/>
      <c r="X1033" s="95"/>
      <c r="Y1033" s="95"/>
      <c r="AF1033" s="95"/>
      <c r="AG1033" s="95"/>
      <c r="AH1033" s="95"/>
      <c r="AI1033" s="95"/>
      <c r="AJ1033" s="95"/>
      <c r="AK1033" s="95"/>
      <c r="AR1033" s="97"/>
      <c r="AS1033" s="97"/>
      <c r="AT1033" s="97"/>
      <c r="AU1033" s="97"/>
      <c r="AV1033" s="97"/>
      <c r="AW1033" s="97"/>
      <c r="BD1033" s="97"/>
      <c r="BE1033" s="97"/>
      <c r="BF1033" s="97"/>
      <c r="BG1033" s="97"/>
      <c r="BH1033" s="97"/>
      <c r="BI1033" s="97"/>
      <c r="BP1033" s="4"/>
      <c r="BR1033" s="8"/>
    </row>
    <row r="1034" spans="1:70" ht="14.5">
      <c r="A1034" s="4" t="str">
        <v>Reguler Periode ke-121 I.A.1</v>
      </c>
      <c r="B1034" s="4" t="s">
        <v>12250</v>
      </c>
      <c r="C1034" s="4" t="s">
        <v>165</v>
      </c>
      <c r="D1034" s="4" t="s">
        <v>321</v>
      </c>
      <c r="E1034" s="4" t="s">
        <v>12251</v>
      </c>
      <c r="F1034" s="4" t="s">
        <v>12252</v>
      </c>
      <c r="G1034" s="94" t="s">
        <v>12253</v>
      </c>
      <c r="H1034" s="95" t="s">
        <v>12254</v>
      </c>
      <c r="I1034" s="95" t="s">
        <v>12255</v>
      </c>
      <c r="J1034" s="95" t="s">
        <v>12256</v>
      </c>
      <c r="K1034" s="95" t="s">
        <v>12257</v>
      </c>
      <c r="L1034" s="95" t="s">
        <v>12258</v>
      </c>
      <c r="M1034" s="95" t="s">
        <v>12259</v>
      </c>
      <c r="S1034" s="94">
        <v>2000036106</v>
      </c>
      <c r="T1034" s="94">
        <v>2000029268</v>
      </c>
      <c r="U1034" s="94">
        <v>2000011051</v>
      </c>
      <c r="V1034" s="94">
        <v>2000014023</v>
      </c>
      <c r="W1034" s="94">
        <v>2000030192</v>
      </c>
      <c r="X1034" s="94">
        <v>2000032078</v>
      </c>
      <c r="Y1034" s="94">
        <v>2000029226</v>
      </c>
      <c r="AE1034" s="94" t="s">
        <v>227</v>
      </c>
      <c r="AF1034" s="95" t="s">
        <v>533</v>
      </c>
      <c r="AG1034" s="95" t="s">
        <v>182</v>
      </c>
      <c r="AH1034" s="95" t="s">
        <v>770</v>
      </c>
      <c r="AI1034" s="95" t="s">
        <v>184</v>
      </c>
      <c r="AJ1034" s="95" t="s">
        <v>732</v>
      </c>
      <c r="AK1034" s="95" t="s">
        <v>533</v>
      </c>
      <c r="AQ1034" s="94" t="s">
        <v>186</v>
      </c>
      <c r="AR1034" s="95" t="s">
        <v>186</v>
      </c>
      <c r="AS1034" s="95" t="s">
        <v>186</v>
      </c>
      <c r="AT1034" s="95" t="s">
        <v>186</v>
      </c>
      <c r="AU1034" s="95" t="s">
        <v>186</v>
      </c>
      <c r="AV1034" s="95" t="s">
        <v>186</v>
      </c>
      <c r="AW1034" s="95" t="s">
        <v>186</v>
      </c>
      <c r="BC1034" s="94">
        <v>85727511299</v>
      </c>
      <c r="BD1034" s="95">
        <v>8118468799</v>
      </c>
      <c r="BE1034" s="95">
        <v>82122009501</v>
      </c>
      <c r="BF1034" s="95">
        <v>81393914028</v>
      </c>
      <c r="BG1034" s="95">
        <v>82235483566</v>
      </c>
      <c r="BH1034" s="95">
        <v>82196326143</v>
      </c>
      <c r="BI1034" s="95">
        <v>87738935118</v>
      </c>
      <c r="BP1034" s="18" t="s">
        <v>12260</v>
      </c>
      <c r="BQ1034" s="37">
        <v>45329</v>
      </c>
      <c r="BR1034" s="8">
        <f>COUNTA(G1034:R1034)</f>
        <v>7</v>
      </c>
    </row>
    <row r="1035" spans="1:70" ht="14.5">
      <c r="A1035" s="4" t="str">
        <v xml:space="preserve"> </v>
      </c>
      <c r="B1035" s="4"/>
      <c r="C1035" s="4"/>
      <c r="D1035" s="4"/>
      <c r="E1035" s="4"/>
      <c r="F1035" s="4"/>
      <c r="G1035" s="94"/>
      <c r="H1035" s="95"/>
      <c r="I1035" s="95"/>
      <c r="J1035" s="95"/>
      <c r="K1035" s="95"/>
      <c r="L1035" s="95"/>
      <c r="M1035" s="95"/>
      <c r="N1035" s="73"/>
      <c r="O1035" s="73"/>
      <c r="S1035" s="94"/>
      <c r="T1035" s="95"/>
      <c r="U1035" s="95"/>
      <c r="V1035" s="95"/>
      <c r="W1035" s="95"/>
      <c r="X1035" s="95"/>
      <c r="Y1035" s="95"/>
      <c r="AE1035" s="94"/>
      <c r="AF1035" s="95"/>
      <c r="AG1035" s="95"/>
      <c r="AH1035" s="95"/>
      <c r="AI1035" s="95"/>
      <c r="AJ1035" s="95"/>
      <c r="AK1035" s="95"/>
      <c r="AQ1035" s="96"/>
      <c r="AR1035" s="97"/>
      <c r="AS1035" s="97"/>
      <c r="AT1035" s="97"/>
      <c r="AU1035" s="97"/>
      <c r="AV1035" s="97"/>
      <c r="AW1035" s="97"/>
      <c r="BC1035" s="94"/>
      <c r="BD1035" s="95"/>
      <c r="BE1035" s="95"/>
      <c r="BF1035" s="95"/>
      <c r="BG1035" s="95"/>
      <c r="BH1035" s="95"/>
      <c r="BI1035" s="95"/>
      <c r="BP1035" s="4"/>
      <c r="BR1035" s="8"/>
    </row>
    <row r="1036" spans="1:70" ht="14.5">
      <c r="A1036" s="4" t="str">
        <v>Reguler Periode ke-121 I.A.2</v>
      </c>
      <c r="B1036" s="4" t="s">
        <v>12250</v>
      </c>
      <c r="C1036" s="4" t="s">
        <v>216</v>
      </c>
      <c r="D1036" s="4" t="s">
        <v>321</v>
      </c>
      <c r="E1036" s="4" t="s">
        <v>12261</v>
      </c>
      <c r="F1036" s="4" t="s">
        <v>12252</v>
      </c>
      <c r="G1036" s="94" t="s">
        <v>12262</v>
      </c>
      <c r="H1036" s="95" t="s">
        <v>12263</v>
      </c>
      <c r="I1036" s="95" t="s">
        <v>12264</v>
      </c>
      <c r="J1036" s="95" t="s">
        <v>12265</v>
      </c>
      <c r="K1036" s="95" t="s">
        <v>12266</v>
      </c>
      <c r="L1036" s="95" t="s">
        <v>12267</v>
      </c>
      <c r="M1036" s="95" t="s">
        <v>12268</v>
      </c>
      <c r="N1036" s="73"/>
      <c r="O1036" s="73"/>
      <c r="S1036" s="94">
        <v>2000014020</v>
      </c>
      <c r="T1036" s="95">
        <v>2000026194</v>
      </c>
      <c r="U1036" s="95">
        <v>2000004013</v>
      </c>
      <c r="V1036" s="95">
        <v>2000029241</v>
      </c>
      <c r="W1036" s="95">
        <v>2000029166</v>
      </c>
      <c r="X1036" s="95">
        <v>2000033053</v>
      </c>
      <c r="Y1036" s="95">
        <v>2000026028</v>
      </c>
      <c r="AE1036" s="94" t="s">
        <v>770</v>
      </c>
      <c r="AF1036" s="95" t="s">
        <v>570</v>
      </c>
      <c r="AG1036" s="95" t="s">
        <v>201</v>
      </c>
      <c r="AH1036" s="95" t="s">
        <v>533</v>
      </c>
      <c r="AI1036" s="95" t="s">
        <v>533</v>
      </c>
      <c r="AJ1036" s="95" t="s">
        <v>1112</v>
      </c>
      <c r="AK1036" s="95" t="s">
        <v>570</v>
      </c>
      <c r="AQ1036" s="96" t="s">
        <v>186</v>
      </c>
      <c r="AR1036" s="97" t="s">
        <v>186</v>
      </c>
      <c r="AS1036" s="97" t="s">
        <v>186</v>
      </c>
      <c r="AT1036" s="97" t="s">
        <v>186</v>
      </c>
      <c r="AU1036" s="97" t="s">
        <v>186</v>
      </c>
      <c r="AV1036" s="97" t="s">
        <v>186</v>
      </c>
      <c r="AW1036" s="97" t="s">
        <v>186</v>
      </c>
      <c r="BC1036" s="94" t="s">
        <v>12269</v>
      </c>
      <c r="BD1036" s="95">
        <v>81225714177</v>
      </c>
      <c r="BE1036" s="95">
        <v>85728017858</v>
      </c>
      <c r="BF1036" s="95">
        <v>82269040545</v>
      </c>
      <c r="BG1036" s="95">
        <v>81228241580</v>
      </c>
      <c r="BH1036" s="95">
        <v>8568463445</v>
      </c>
      <c r="BI1036" s="95">
        <v>881025573030</v>
      </c>
      <c r="BP1036" s="18" t="s">
        <v>12270</v>
      </c>
      <c r="BQ1036" s="37">
        <v>45329</v>
      </c>
      <c r="BR1036" s="8">
        <f>COUNTA(G1036:R1036)</f>
        <v>7</v>
      </c>
    </row>
    <row r="1037" spans="1:70" ht="14.5">
      <c r="A1037" s="4" t="str">
        <v xml:space="preserve"> </v>
      </c>
      <c r="B1037" s="4"/>
      <c r="C1037" s="4"/>
      <c r="D1037" s="4"/>
      <c r="E1037" s="4"/>
      <c r="F1037" s="4"/>
      <c r="H1037" s="95"/>
      <c r="I1037" s="95"/>
      <c r="J1037" s="95"/>
      <c r="K1037" s="95"/>
      <c r="L1037" s="95"/>
      <c r="M1037" s="95"/>
      <c r="S1037" s="94"/>
      <c r="T1037" s="95"/>
      <c r="U1037" s="95"/>
      <c r="V1037" s="95"/>
      <c r="W1037" s="95"/>
      <c r="X1037" s="95"/>
      <c r="Y1037" s="95"/>
      <c r="AF1037" s="95"/>
      <c r="AG1037" s="95"/>
      <c r="AH1037" s="95"/>
      <c r="AI1037" s="95"/>
      <c r="AJ1037" s="95"/>
      <c r="AK1037" s="95"/>
      <c r="AQ1037" s="96"/>
      <c r="AR1037" s="97"/>
      <c r="AS1037" s="97"/>
      <c r="AT1037" s="97"/>
      <c r="AU1037" s="97"/>
      <c r="AV1037" s="97"/>
      <c r="AW1037" s="97"/>
      <c r="BD1037" s="97"/>
      <c r="BE1037" s="97"/>
      <c r="BF1037" s="97"/>
      <c r="BG1037" s="97"/>
      <c r="BH1037" s="97"/>
      <c r="BI1037" s="97"/>
      <c r="BP1037" s="4"/>
      <c r="BR1037" s="8"/>
    </row>
    <row r="1038" spans="1:70" ht="14.5">
      <c r="A1038" s="4" t="str">
        <v>Reguler Periode ke-121 I.A.3</v>
      </c>
      <c r="B1038" s="4" t="s">
        <v>12250</v>
      </c>
      <c r="C1038" s="4" t="s">
        <v>238</v>
      </c>
      <c r="D1038" s="4" t="s">
        <v>321</v>
      </c>
      <c r="E1038" s="4" t="s">
        <v>12271</v>
      </c>
      <c r="F1038" s="4" t="s">
        <v>12252</v>
      </c>
      <c r="G1038" s="94" t="s">
        <v>12272</v>
      </c>
      <c r="H1038" s="95" t="s">
        <v>12273</v>
      </c>
      <c r="I1038" s="95" t="s">
        <v>12274</v>
      </c>
      <c r="J1038" s="95" t="s">
        <v>12275</v>
      </c>
      <c r="K1038" s="95" t="s">
        <v>12276</v>
      </c>
      <c r="L1038" s="95" t="s">
        <v>12277</v>
      </c>
      <c r="M1038" s="95" t="s">
        <v>12278</v>
      </c>
      <c r="S1038" s="94">
        <v>2000036072</v>
      </c>
      <c r="T1038" s="95">
        <v>2000014024</v>
      </c>
      <c r="U1038" s="95">
        <v>2000005115</v>
      </c>
      <c r="V1038" s="95">
        <v>2000030069</v>
      </c>
      <c r="W1038" s="95">
        <v>1900030355</v>
      </c>
      <c r="X1038" s="95">
        <v>2000026212</v>
      </c>
      <c r="Y1038" s="95">
        <v>2000029264</v>
      </c>
      <c r="AE1038" s="94" t="s">
        <v>227</v>
      </c>
      <c r="AF1038" s="95" t="s">
        <v>770</v>
      </c>
      <c r="AG1038" s="95" t="s">
        <v>181</v>
      </c>
      <c r="AH1038" s="95" t="s">
        <v>184</v>
      </c>
      <c r="AI1038" s="95" t="s">
        <v>184</v>
      </c>
      <c r="AJ1038" s="95" t="s">
        <v>570</v>
      </c>
      <c r="AK1038" s="95" t="s">
        <v>533</v>
      </c>
      <c r="AL1038" s="73"/>
      <c r="AQ1038" s="96" t="s">
        <v>186</v>
      </c>
      <c r="AR1038" s="97" t="s">
        <v>186</v>
      </c>
      <c r="AS1038" s="97" t="s">
        <v>186</v>
      </c>
      <c r="AT1038" s="97" t="s">
        <v>187</v>
      </c>
      <c r="AU1038" s="97" t="s">
        <v>187</v>
      </c>
      <c r="AV1038" s="97" t="s">
        <v>187</v>
      </c>
      <c r="AW1038" s="97" t="s">
        <v>186</v>
      </c>
      <c r="BC1038" s="94">
        <v>85156360619</v>
      </c>
      <c r="BD1038" s="95">
        <v>89636210065</v>
      </c>
      <c r="BE1038" s="95">
        <v>81349256678</v>
      </c>
      <c r="BF1038" s="95">
        <v>85783829884</v>
      </c>
      <c r="BG1038" s="95">
        <v>85725023932</v>
      </c>
      <c r="BH1038" s="95">
        <v>87711570579</v>
      </c>
      <c r="BI1038" s="95">
        <v>81226771177</v>
      </c>
      <c r="BP1038" s="18" t="s">
        <v>12279</v>
      </c>
      <c r="BQ1038" s="37">
        <v>45329</v>
      </c>
      <c r="BR1038" s="8">
        <f t="shared" ref="BR1038:BR1053" si="5">COUNTA(G1038:R1038)</f>
        <v>7</v>
      </c>
    </row>
    <row r="1039" spans="1:70" ht="14.5">
      <c r="A1039" s="4" t="str">
        <v>Reguler Periode ke-122 I.A.1</v>
      </c>
      <c r="B1039" s="4" t="s">
        <v>12280</v>
      </c>
      <c r="C1039" s="4" t="s">
        <v>165</v>
      </c>
      <c r="D1039" s="4" t="s">
        <v>191</v>
      </c>
      <c r="E1039" s="4" t="s">
        <v>6348</v>
      </c>
      <c r="F1039" s="4" t="s">
        <v>6349</v>
      </c>
      <c r="G1039" s="94" t="s">
        <v>12281</v>
      </c>
      <c r="H1039" s="95" t="s">
        <v>12282</v>
      </c>
      <c r="I1039" s="95" t="s">
        <v>12283</v>
      </c>
      <c r="J1039" s="95" t="s">
        <v>12284</v>
      </c>
      <c r="K1039" s="95" t="s">
        <v>12285</v>
      </c>
      <c r="L1039" s="95" t="s">
        <v>12286</v>
      </c>
      <c r="M1039" s="95" t="s">
        <v>12287</v>
      </c>
      <c r="S1039" s="94">
        <v>2000001156</v>
      </c>
      <c r="T1039" s="95">
        <v>2000013353</v>
      </c>
      <c r="U1039" s="95">
        <v>2000023260</v>
      </c>
      <c r="V1039" s="95">
        <v>2000030152</v>
      </c>
      <c r="W1039" s="95">
        <v>2011020053</v>
      </c>
      <c r="X1039" s="95">
        <v>2011031150</v>
      </c>
      <c r="Y1039" s="95">
        <v>2011037005</v>
      </c>
      <c r="AE1039" s="94" t="s">
        <v>180</v>
      </c>
      <c r="AF1039" s="95" t="s">
        <v>677</v>
      </c>
      <c r="AG1039" s="95" t="s">
        <v>899</v>
      </c>
      <c r="AH1039" s="95" t="s">
        <v>184</v>
      </c>
      <c r="AI1039" s="95" t="s">
        <v>351</v>
      </c>
      <c r="AJ1039" s="95" t="s">
        <v>185</v>
      </c>
      <c r="AK1039" s="95" t="s">
        <v>10311</v>
      </c>
      <c r="AQ1039" s="96" t="s">
        <v>186</v>
      </c>
      <c r="AR1039" s="97" t="s">
        <v>187</v>
      </c>
      <c r="AS1039" s="97" t="s">
        <v>186</v>
      </c>
      <c r="AT1039" s="97" t="s">
        <v>186</v>
      </c>
      <c r="AU1039" s="97" t="s">
        <v>187</v>
      </c>
      <c r="AV1039" s="97" t="s">
        <v>186</v>
      </c>
      <c r="AW1039" s="97" t="s">
        <v>187</v>
      </c>
      <c r="BC1039" s="96">
        <v>81397440766</v>
      </c>
      <c r="BD1039" s="97">
        <v>89695050593</v>
      </c>
      <c r="BE1039" s="97">
        <v>85846551552</v>
      </c>
      <c r="BF1039" s="97">
        <v>82385747033</v>
      </c>
      <c r="BG1039" s="97">
        <v>85783149046</v>
      </c>
      <c r="BH1039" s="97">
        <v>83844034624</v>
      </c>
      <c r="BI1039" s="97">
        <v>85226049052</v>
      </c>
      <c r="BP1039" s="18" t="s">
        <v>12288</v>
      </c>
      <c r="BQ1039" s="37">
        <v>45322</v>
      </c>
      <c r="BR1039" s="8">
        <f t="shared" si="5"/>
        <v>7</v>
      </c>
    </row>
    <row r="1040" spans="1:70" ht="14.5">
      <c r="A1040" s="4" t="str">
        <v>Reguler Periode ke-122 I.A.2</v>
      </c>
      <c r="B1040" s="4" t="s">
        <v>12280</v>
      </c>
      <c r="C1040" s="4" t="s">
        <v>216</v>
      </c>
      <c r="D1040" s="4" t="s">
        <v>191</v>
      </c>
      <c r="E1040" s="4" t="s">
        <v>6357</v>
      </c>
      <c r="F1040" s="4" t="s">
        <v>6349</v>
      </c>
      <c r="G1040" s="94" t="s">
        <v>12289</v>
      </c>
      <c r="H1040" s="95" t="s">
        <v>12290</v>
      </c>
      <c r="I1040" s="95" t="s">
        <v>12291</v>
      </c>
      <c r="J1040" s="95" t="s">
        <v>12292</v>
      </c>
      <c r="K1040" s="95" t="s">
        <v>12293</v>
      </c>
      <c r="L1040" s="95" t="s">
        <v>12294</v>
      </c>
      <c r="M1040" s="95" t="s">
        <v>12295</v>
      </c>
      <c r="N1040" s="95" t="s">
        <v>12296</v>
      </c>
      <c r="S1040" s="94">
        <v>2000005321</v>
      </c>
      <c r="T1040" s="95">
        <v>2000013107</v>
      </c>
      <c r="U1040" s="95">
        <v>2000016037</v>
      </c>
      <c r="V1040" s="95">
        <v>2000029128</v>
      </c>
      <c r="W1040" s="95">
        <v>2000030125</v>
      </c>
      <c r="X1040" s="95">
        <v>2000030142</v>
      </c>
      <c r="Y1040" s="95">
        <v>2011006030</v>
      </c>
      <c r="Z1040" s="95">
        <v>2011020054</v>
      </c>
      <c r="AE1040" s="94" t="s">
        <v>181</v>
      </c>
      <c r="AF1040" s="95" t="s">
        <v>677</v>
      </c>
      <c r="AG1040" s="95" t="s">
        <v>531</v>
      </c>
      <c r="AH1040" s="95" t="s">
        <v>533</v>
      </c>
      <c r="AI1040" s="95" t="s">
        <v>184</v>
      </c>
      <c r="AJ1040" s="95" t="s">
        <v>184</v>
      </c>
      <c r="AK1040" s="95" t="s">
        <v>745</v>
      </c>
      <c r="AL1040" s="95" t="s">
        <v>351</v>
      </c>
      <c r="AQ1040" s="96" t="s">
        <v>186</v>
      </c>
      <c r="AR1040" s="97" t="s">
        <v>186</v>
      </c>
      <c r="AS1040" s="97" t="s">
        <v>186</v>
      </c>
      <c r="AT1040" s="97" t="s">
        <v>186</v>
      </c>
      <c r="AU1040" s="97" t="s">
        <v>187</v>
      </c>
      <c r="AV1040" s="97" t="s">
        <v>186</v>
      </c>
      <c r="AW1040" s="97" t="s">
        <v>186</v>
      </c>
      <c r="AX1040" s="97" t="s">
        <v>187</v>
      </c>
      <c r="BC1040" s="96">
        <v>82258743104</v>
      </c>
      <c r="BD1040" s="97">
        <v>82138153464</v>
      </c>
      <c r="BE1040" s="97">
        <v>82259292628</v>
      </c>
      <c r="BF1040" s="97">
        <v>881023491431</v>
      </c>
      <c r="BG1040" s="97">
        <v>87834424113</v>
      </c>
      <c r="BH1040" s="97">
        <v>85333345930</v>
      </c>
      <c r="BI1040" s="97">
        <v>882005838003</v>
      </c>
      <c r="BJ1040" s="97">
        <v>85709338438</v>
      </c>
      <c r="BP1040" s="18" t="s">
        <v>12297</v>
      </c>
      <c r="BQ1040" s="37">
        <v>45322</v>
      </c>
      <c r="BR1040" s="8">
        <f t="shared" si="5"/>
        <v>8</v>
      </c>
    </row>
    <row r="1041" spans="1:70" ht="14.5">
      <c r="A1041" s="4" t="str">
        <v>Reguler Periode ke-122 I.A.3</v>
      </c>
      <c r="B1041" s="4" t="s">
        <v>12280</v>
      </c>
      <c r="C1041" s="4" t="s">
        <v>238</v>
      </c>
      <c r="D1041" s="4" t="s">
        <v>191</v>
      </c>
      <c r="E1041" s="4" t="s">
        <v>6366</v>
      </c>
      <c r="F1041" s="4" t="s">
        <v>6349</v>
      </c>
      <c r="G1041" s="94" t="s">
        <v>12298</v>
      </c>
      <c r="H1041" s="95" t="s">
        <v>12299</v>
      </c>
      <c r="I1041" s="95" t="s">
        <v>12300</v>
      </c>
      <c r="J1041" s="95" t="s">
        <v>12301</v>
      </c>
      <c r="K1041" s="95" t="s">
        <v>12302</v>
      </c>
      <c r="L1041" s="95" t="s">
        <v>12303</v>
      </c>
      <c r="M1041" s="95" t="s">
        <v>9080</v>
      </c>
      <c r="N1041" s="95" t="s">
        <v>12231</v>
      </c>
      <c r="S1041" s="94">
        <v>2000013013</v>
      </c>
      <c r="T1041" s="95">
        <v>2000023008</v>
      </c>
      <c r="U1041" s="95">
        <v>2000030166</v>
      </c>
      <c r="V1041" s="95">
        <v>2011005219</v>
      </c>
      <c r="W1041" s="95">
        <v>2011006027</v>
      </c>
      <c r="X1041" s="95">
        <v>2011010047</v>
      </c>
      <c r="Y1041" s="95">
        <v>2011016065</v>
      </c>
      <c r="Z1041" s="95">
        <v>2015019072</v>
      </c>
      <c r="AE1041" s="94" t="s">
        <v>677</v>
      </c>
      <c r="AF1041" s="95" t="s">
        <v>899</v>
      </c>
      <c r="AG1041" s="95" t="s">
        <v>184</v>
      </c>
      <c r="AH1041" s="95" t="s">
        <v>181</v>
      </c>
      <c r="AI1041" s="95" t="s">
        <v>745</v>
      </c>
      <c r="AJ1041" s="95" t="s">
        <v>532</v>
      </c>
      <c r="AK1041" s="95" t="s">
        <v>531</v>
      </c>
      <c r="AL1041" s="95" t="s">
        <v>705</v>
      </c>
      <c r="AQ1041" s="96" t="s">
        <v>186</v>
      </c>
      <c r="AR1041" s="97" t="s">
        <v>186</v>
      </c>
      <c r="AS1041" s="97" t="s">
        <v>186</v>
      </c>
      <c r="AT1041" s="97" t="s">
        <v>187</v>
      </c>
      <c r="AU1041" s="97" t="s">
        <v>186</v>
      </c>
      <c r="AV1041" s="97" t="s">
        <v>186</v>
      </c>
      <c r="AW1041" s="97" t="s">
        <v>187</v>
      </c>
      <c r="AX1041" s="97" t="s">
        <v>187</v>
      </c>
      <c r="BC1041" s="96">
        <v>85725899475</v>
      </c>
      <c r="BD1041" s="97">
        <v>82278357848</v>
      </c>
      <c r="BE1041" s="97">
        <v>87843139888</v>
      </c>
      <c r="BF1041" s="97">
        <v>87777101232</v>
      </c>
      <c r="BG1041" s="97">
        <v>8884003390</v>
      </c>
      <c r="BH1041" s="97">
        <v>85157715349</v>
      </c>
      <c r="BI1041" s="97">
        <v>85215067556</v>
      </c>
      <c r="BJ1041" s="97">
        <v>81335182680</v>
      </c>
      <c r="BP1041" s="18" t="s">
        <v>12304</v>
      </c>
      <c r="BQ1041" s="37">
        <v>45322</v>
      </c>
      <c r="BR1041" s="8">
        <f t="shared" si="5"/>
        <v>8</v>
      </c>
    </row>
    <row r="1042" spans="1:70" ht="14.5">
      <c r="A1042" s="4" t="str">
        <v>Reguler Periode ke-122 I.A.4</v>
      </c>
      <c r="B1042" s="4" t="s">
        <v>12280</v>
      </c>
      <c r="C1042" s="4" t="s">
        <v>6374</v>
      </c>
      <c r="D1042" s="4" t="s">
        <v>191</v>
      </c>
      <c r="E1042" s="4" t="s">
        <v>6375</v>
      </c>
      <c r="F1042" s="4" t="s">
        <v>6349</v>
      </c>
      <c r="G1042" s="94" t="s">
        <v>12305</v>
      </c>
      <c r="H1042" s="95" t="s">
        <v>12306</v>
      </c>
      <c r="I1042" s="95" t="s">
        <v>12307</v>
      </c>
      <c r="J1042" s="95" t="s">
        <v>12308</v>
      </c>
      <c r="K1042" s="95" t="s">
        <v>12309</v>
      </c>
      <c r="L1042" s="95" t="s">
        <v>12310</v>
      </c>
      <c r="M1042" s="95" t="s">
        <v>12311</v>
      </c>
      <c r="S1042" s="94">
        <v>2000005370</v>
      </c>
      <c r="T1042" s="95">
        <v>2000011314</v>
      </c>
      <c r="U1042" s="95">
        <v>2000018020</v>
      </c>
      <c r="V1042" s="95">
        <v>2000026155</v>
      </c>
      <c r="W1042" s="95">
        <v>2000029026</v>
      </c>
      <c r="X1042" s="95">
        <v>2011004057</v>
      </c>
      <c r="Y1042" s="95">
        <v>2011035006</v>
      </c>
      <c r="AE1042" s="94" t="s">
        <v>181</v>
      </c>
      <c r="AF1042" s="95" t="s">
        <v>182</v>
      </c>
      <c r="AG1042" s="95" t="s">
        <v>179</v>
      </c>
      <c r="AH1042" s="95" t="s">
        <v>570</v>
      </c>
      <c r="AI1042" s="95" t="s">
        <v>533</v>
      </c>
      <c r="AJ1042" s="95" t="s">
        <v>201</v>
      </c>
      <c r="AK1042" s="95" t="s">
        <v>2071</v>
      </c>
      <c r="AQ1042" s="96" t="s">
        <v>186</v>
      </c>
      <c r="AR1042" s="97" t="s">
        <v>187</v>
      </c>
      <c r="AS1042" s="97" t="s">
        <v>187</v>
      </c>
      <c r="AT1042" s="97" t="s">
        <v>186</v>
      </c>
      <c r="AU1042" s="97" t="s">
        <v>186</v>
      </c>
      <c r="AV1042" s="97" t="s">
        <v>186</v>
      </c>
      <c r="AW1042" s="97" t="s">
        <v>187</v>
      </c>
      <c r="BC1042" s="96">
        <v>85747481958</v>
      </c>
      <c r="BD1042" s="97">
        <v>85772260078</v>
      </c>
      <c r="BE1042" s="97">
        <v>8970529875</v>
      </c>
      <c r="BF1042" s="97">
        <v>82291997410</v>
      </c>
      <c r="BG1042" s="97">
        <v>81917653041</v>
      </c>
      <c r="BH1042" s="97">
        <v>85747073780</v>
      </c>
      <c r="BI1042" s="97">
        <v>81328124727</v>
      </c>
      <c r="BP1042" s="18" t="s">
        <v>12312</v>
      </c>
      <c r="BQ1042" s="37">
        <v>45322</v>
      </c>
      <c r="BR1042" s="8">
        <f t="shared" si="5"/>
        <v>7</v>
      </c>
    </row>
    <row r="1043" spans="1:70" ht="12.5">
      <c r="A1043" s="4" t="str">
        <v>Alternatif Periode ke-90 I.A.1</v>
      </c>
      <c r="B1043" s="4" t="s">
        <v>12313</v>
      </c>
      <c r="C1043" s="4" t="s">
        <v>165</v>
      </c>
      <c r="D1043" s="4" t="s">
        <v>9267</v>
      </c>
      <c r="E1043" s="4" t="s">
        <v>6593</v>
      </c>
      <c r="F1043" s="4" t="s">
        <v>193</v>
      </c>
      <c r="G1043" s="4" t="s">
        <v>12314</v>
      </c>
      <c r="H1043" s="4" t="s">
        <v>12315</v>
      </c>
      <c r="I1043" s="4" t="s">
        <v>12316</v>
      </c>
      <c r="J1043" s="4" t="s">
        <v>12317</v>
      </c>
      <c r="K1043" s="4" t="s">
        <v>12318</v>
      </c>
      <c r="L1043" s="4" t="s">
        <v>12319</v>
      </c>
      <c r="M1043" s="4" t="s">
        <v>12320</v>
      </c>
      <c r="N1043" s="4" t="s">
        <v>12321</v>
      </c>
      <c r="S1043" s="4">
        <v>1800011018</v>
      </c>
      <c r="T1043" s="4">
        <v>1914002051</v>
      </c>
      <c r="U1043" s="4">
        <v>2000001036</v>
      </c>
      <c r="V1043" s="4">
        <v>2000008066</v>
      </c>
      <c r="W1043" s="4">
        <v>2000018206</v>
      </c>
      <c r="X1043" s="4">
        <v>2000019108</v>
      </c>
      <c r="Y1043" s="4">
        <v>2000029098</v>
      </c>
      <c r="Z1043" s="4">
        <v>2000070024</v>
      </c>
      <c r="AE1043" s="4" t="s">
        <v>182</v>
      </c>
      <c r="AF1043" s="4" t="s">
        <v>1043</v>
      </c>
      <c r="AG1043" s="4" t="s">
        <v>180</v>
      </c>
      <c r="AH1043" s="4" t="s">
        <v>1111</v>
      </c>
      <c r="AI1043" s="4" t="s">
        <v>179</v>
      </c>
      <c r="AJ1043" s="4" t="s">
        <v>705</v>
      </c>
      <c r="AK1043" s="4" t="s">
        <v>533</v>
      </c>
      <c r="AL1043" s="4" t="s">
        <v>2473</v>
      </c>
      <c r="AQ1043" s="4" t="s">
        <v>187</v>
      </c>
      <c r="AR1043" s="4" t="s">
        <v>186</v>
      </c>
      <c r="AS1043" s="4" t="s">
        <v>187</v>
      </c>
      <c r="AT1043" s="4" t="s">
        <v>186</v>
      </c>
      <c r="AU1043" s="4" t="s">
        <v>186</v>
      </c>
      <c r="AV1043" s="4" t="s">
        <v>187</v>
      </c>
      <c r="AW1043" s="4" t="s">
        <v>187</v>
      </c>
      <c r="AX1043" s="4" t="s">
        <v>186</v>
      </c>
      <c r="BC1043" s="4">
        <v>89609073324</v>
      </c>
      <c r="BD1043" s="4">
        <v>82239887574</v>
      </c>
      <c r="BE1043" s="4">
        <v>895321636429</v>
      </c>
      <c r="BF1043" s="4">
        <v>89661277247</v>
      </c>
      <c r="BG1043" s="4">
        <v>85845792124</v>
      </c>
      <c r="BH1043" s="4">
        <v>83140625850</v>
      </c>
      <c r="BI1043" s="4">
        <v>85834339040</v>
      </c>
      <c r="BJ1043" s="4">
        <v>89530260556</v>
      </c>
      <c r="BP1043" s="18" t="s">
        <v>12322</v>
      </c>
      <c r="BQ1043" s="37">
        <v>45321</v>
      </c>
      <c r="BR1043" s="8">
        <f t="shared" si="5"/>
        <v>8</v>
      </c>
    </row>
    <row r="1044" spans="1:70" ht="12.5">
      <c r="A1044" s="4" t="str">
        <v>Alternatif Periode ke-90 I.A.2</v>
      </c>
      <c r="B1044" s="4" t="s">
        <v>12313</v>
      </c>
      <c r="C1044" s="4" t="s">
        <v>216</v>
      </c>
      <c r="D1044" s="4" t="s">
        <v>9267</v>
      </c>
      <c r="E1044" s="4" t="s">
        <v>6604</v>
      </c>
      <c r="F1044" s="4" t="s">
        <v>193</v>
      </c>
      <c r="G1044" s="4" t="s">
        <v>12323</v>
      </c>
      <c r="H1044" s="4" t="s">
        <v>12324</v>
      </c>
      <c r="I1044" s="4" t="s">
        <v>12325</v>
      </c>
      <c r="J1044" s="4" t="s">
        <v>12326</v>
      </c>
      <c r="K1044" s="4" t="s">
        <v>12327</v>
      </c>
      <c r="S1044" s="4">
        <v>1700030319</v>
      </c>
      <c r="T1044" s="4">
        <v>1800012216</v>
      </c>
      <c r="U1044" s="4">
        <v>2000012075</v>
      </c>
      <c r="V1044" s="4">
        <v>2000018258</v>
      </c>
      <c r="W1044" s="4">
        <v>2000019061</v>
      </c>
      <c r="AE1044" s="4" t="s">
        <v>184</v>
      </c>
      <c r="AF1044" s="4" t="s">
        <v>885</v>
      </c>
      <c r="AG1044" s="4" t="s">
        <v>885</v>
      </c>
      <c r="AH1044" s="4" t="s">
        <v>179</v>
      </c>
      <c r="AI1044" s="4" t="s">
        <v>705</v>
      </c>
      <c r="AQ1044" s="4" t="s">
        <v>187</v>
      </c>
      <c r="AR1044" s="4" t="s">
        <v>187</v>
      </c>
      <c r="AS1044" s="4" t="s">
        <v>186</v>
      </c>
      <c r="AT1044" s="4" t="s">
        <v>187</v>
      </c>
      <c r="AU1044" s="4" t="s">
        <v>186</v>
      </c>
      <c r="BC1044" s="4">
        <v>81388800463</v>
      </c>
      <c r="BD1044" s="4">
        <v>81228300403</v>
      </c>
      <c r="BE1044" s="4">
        <v>85333316434</v>
      </c>
      <c r="BF1044" s="4">
        <v>81267526959</v>
      </c>
      <c r="BG1044" s="4">
        <v>83890648342</v>
      </c>
      <c r="BP1044" s="18" t="s">
        <v>12328</v>
      </c>
      <c r="BQ1044" s="37">
        <v>45321</v>
      </c>
      <c r="BR1044" s="8">
        <f t="shared" si="5"/>
        <v>5</v>
      </c>
    </row>
    <row r="1045" spans="1:70" ht="12.5">
      <c r="A1045" s="4" t="str">
        <v>Alternatif Periode ke-90 I.A.3</v>
      </c>
      <c r="B1045" s="4" t="s">
        <v>12313</v>
      </c>
      <c r="C1045" s="4" t="s">
        <v>238</v>
      </c>
      <c r="D1045" s="4" t="s">
        <v>9267</v>
      </c>
      <c r="E1045" s="4" t="s">
        <v>12329</v>
      </c>
      <c r="F1045" s="4" t="s">
        <v>193</v>
      </c>
      <c r="G1045" s="4" t="s">
        <v>6541</v>
      </c>
      <c r="H1045" s="4" t="s">
        <v>12330</v>
      </c>
      <c r="I1045" s="4" t="s">
        <v>12331</v>
      </c>
      <c r="J1045" s="4" t="s">
        <v>12332</v>
      </c>
      <c r="K1045" s="4" t="s">
        <v>12333</v>
      </c>
      <c r="L1045" s="4" t="s">
        <v>12334</v>
      </c>
      <c r="M1045" s="4" t="s">
        <v>12335</v>
      </c>
      <c r="S1045" s="4">
        <v>1800031035</v>
      </c>
      <c r="T1045" s="4">
        <v>2000005141</v>
      </c>
      <c r="U1045" s="4">
        <v>2000005150</v>
      </c>
      <c r="V1045" s="4">
        <v>2000012128</v>
      </c>
      <c r="W1045" s="4">
        <v>2000013175</v>
      </c>
      <c r="X1045" s="4">
        <v>2000024324</v>
      </c>
      <c r="Y1045" s="4">
        <v>2000026070</v>
      </c>
      <c r="AE1045" s="4" t="s">
        <v>185</v>
      </c>
      <c r="AF1045" s="4" t="s">
        <v>181</v>
      </c>
      <c r="AG1045" s="4" t="s">
        <v>181</v>
      </c>
      <c r="AH1045" s="4" t="s">
        <v>885</v>
      </c>
      <c r="AI1045" s="4" t="s">
        <v>677</v>
      </c>
      <c r="AJ1045" s="4" t="s">
        <v>924</v>
      </c>
      <c r="AK1045" s="4" t="s">
        <v>570</v>
      </c>
      <c r="AQ1045" s="4" t="s">
        <v>187</v>
      </c>
      <c r="AR1045" s="4" t="s">
        <v>187</v>
      </c>
      <c r="AS1045" s="4" t="s">
        <v>186</v>
      </c>
      <c r="AT1045" s="4" t="s">
        <v>186</v>
      </c>
      <c r="AU1045" s="4" t="s">
        <v>187</v>
      </c>
      <c r="AV1045" s="4" t="s">
        <v>186</v>
      </c>
      <c r="AW1045" s="4" t="s">
        <v>187</v>
      </c>
      <c r="BC1045" s="4">
        <v>85648317292</v>
      </c>
      <c r="BD1045" s="4">
        <v>85221908479</v>
      </c>
      <c r="BE1045" s="4">
        <v>82399967826</v>
      </c>
      <c r="BF1045" s="4">
        <v>895637097025</v>
      </c>
      <c r="BG1045" s="4">
        <v>81919251119</v>
      </c>
      <c r="BH1045" s="4">
        <v>81992281064</v>
      </c>
      <c r="BI1045" s="4">
        <v>82315747241</v>
      </c>
      <c r="BP1045" s="18" t="s">
        <v>12336</v>
      </c>
      <c r="BQ1045" s="37">
        <v>45321</v>
      </c>
      <c r="BR1045" s="8">
        <f t="shared" si="5"/>
        <v>7</v>
      </c>
    </row>
    <row r="1046" spans="1:70" ht="12.5">
      <c r="A1046" s="4" t="str">
        <v>Alternatif Periode ke-90 I.B.1</v>
      </c>
      <c r="B1046" s="4" t="s">
        <v>12313</v>
      </c>
      <c r="C1046" s="4" t="s">
        <v>260</v>
      </c>
      <c r="D1046" s="4" t="s">
        <v>12337</v>
      </c>
      <c r="E1046" s="4" t="s">
        <v>6559</v>
      </c>
      <c r="F1046" s="4" t="s">
        <v>193</v>
      </c>
      <c r="G1046" s="4" t="s">
        <v>12338</v>
      </c>
      <c r="H1046" s="4" t="s">
        <v>12339</v>
      </c>
      <c r="I1046" s="4" t="s">
        <v>12340</v>
      </c>
      <c r="J1046" s="4" t="s">
        <v>12341</v>
      </c>
      <c r="K1046" s="4" t="s">
        <v>12342</v>
      </c>
      <c r="L1046" s="4" t="s">
        <v>12343</v>
      </c>
      <c r="S1046" s="4">
        <v>1800016092</v>
      </c>
      <c r="T1046" s="4">
        <v>1800024212</v>
      </c>
      <c r="U1046" s="4">
        <v>2000005149</v>
      </c>
      <c r="V1046" s="4">
        <v>2000006044</v>
      </c>
      <c r="W1046" s="4">
        <v>2000024303</v>
      </c>
      <c r="X1046" s="4">
        <v>2000035007</v>
      </c>
      <c r="AE1046" s="4" t="s">
        <v>531</v>
      </c>
      <c r="AF1046" s="4" t="s">
        <v>924</v>
      </c>
      <c r="AG1046" s="4" t="s">
        <v>181</v>
      </c>
      <c r="AH1046" s="4" t="s">
        <v>745</v>
      </c>
      <c r="AI1046" s="4" t="s">
        <v>924</v>
      </c>
      <c r="AJ1046" s="4" t="s">
        <v>2071</v>
      </c>
      <c r="AQ1046" s="4" t="s">
        <v>187</v>
      </c>
      <c r="AR1046" s="4" t="s">
        <v>187</v>
      </c>
      <c r="AS1046" s="4" t="s">
        <v>187</v>
      </c>
      <c r="AT1046" s="4" t="s">
        <v>186</v>
      </c>
      <c r="AU1046" s="4" t="s">
        <v>186</v>
      </c>
      <c r="AV1046" s="4" t="s">
        <v>187</v>
      </c>
      <c r="BC1046" s="4">
        <v>85163571345</v>
      </c>
      <c r="BD1046" s="4">
        <v>81390639056</v>
      </c>
      <c r="BE1046" s="4">
        <v>81347627060</v>
      </c>
      <c r="BF1046" s="4">
        <v>81336475998</v>
      </c>
      <c r="BG1046" s="4">
        <v>83146876606</v>
      </c>
      <c r="BH1046" s="4">
        <v>85235944979</v>
      </c>
      <c r="BP1046" s="18" t="s">
        <v>12344</v>
      </c>
      <c r="BQ1046" s="37">
        <v>45321</v>
      </c>
      <c r="BR1046" s="8">
        <f t="shared" si="5"/>
        <v>6</v>
      </c>
    </row>
    <row r="1047" spans="1:70" ht="12.5">
      <c r="A1047" s="4" t="str">
        <v>Alternatif Periode ke-90 I.B.2</v>
      </c>
      <c r="B1047" s="4" t="s">
        <v>12313</v>
      </c>
      <c r="C1047" s="4" t="s">
        <v>280</v>
      </c>
      <c r="D1047" s="4" t="s">
        <v>12337</v>
      </c>
      <c r="E1047" s="4" t="s">
        <v>12345</v>
      </c>
      <c r="F1047" s="4" t="s">
        <v>193</v>
      </c>
      <c r="G1047" s="4" t="s">
        <v>12346</v>
      </c>
      <c r="H1047" s="4" t="s">
        <v>12347</v>
      </c>
      <c r="I1047" s="4" t="s">
        <v>12348</v>
      </c>
      <c r="J1047" s="4" t="s">
        <v>12349</v>
      </c>
      <c r="K1047" s="4" t="s">
        <v>12350</v>
      </c>
      <c r="L1047" s="4" t="s">
        <v>12351</v>
      </c>
      <c r="S1047" s="4">
        <v>1800010265</v>
      </c>
      <c r="T1047" s="4">
        <v>1800018006</v>
      </c>
      <c r="U1047" s="4">
        <v>1900008045</v>
      </c>
      <c r="V1047" s="4">
        <v>2000001121</v>
      </c>
      <c r="W1047" s="4">
        <v>2000018209</v>
      </c>
      <c r="X1047" s="4">
        <v>2000029132</v>
      </c>
      <c r="AE1047" s="4" t="s">
        <v>532</v>
      </c>
      <c r="AF1047" s="4" t="s">
        <v>179</v>
      </c>
      <c r="AG1047" s="4" t="s">
        <v>1111</v>
      </c>
      <c r="AH1047" s="4" t="s">
        <v>180</v>
      </c>
      <c r="AI1047" s="4" t="s">
        <v>179</v>
      </c>
      <c r="AJ1047" s="4" t="s">
        <v>533</v>
      </c>
      <c r="AQ1047" s="4" t="s">
        <v>187</v>
      </c>
      <c r="AR1047" s="4" t="s">
        <v>187</v>
      </c>
      <c r="AS1047" s="4" t="s">
        <v>186</v>
      </c>
      <c r="AT1047" s="4" t="s">
        <v>186</v>
      </c>
      <c r="AU1047" s="4" t="s">
        <v>186</v>
      </c>
      <c r="AV1047" s="4" t="s">
        <v>187</v>
      </c>
      <c r="BC1047" s="4">
        <v>81249884636</v>
      </c>
      <c r="BD1047" s="4">
        <v>82154368878</v>
      </c>
      <c r="BE1047" s="4">
        <v>82284669390</v>
      </c>
      <c r="BF1047" s="4">
        <v>81392468829</v>
      </c>
      <c r="BG1047" s="4">
        <v>82283325839</v>
      </c>
      <c r="BH1047" s="4">
        <v>81585221126</v>
      </c>
      <c r="BP1047" s="18" t="s">
        <v>12352</v>
      </c>
      <c r="BQ1047" s="37">
        <v>45321</v>
      </c>
      <c r="BR1047" s="8">
        <f t="shared" si="5"/>
        <v>6</v>
      </c>
    </row>
    <row r="1048" spans="1:70" ht="14">
      <c r="A1048" s="4" t="str">
        <v>Reguler Periode ke-125 I.A.1</v>
      </c>
      <c r="B1048" s="4" t="s">
        <v>12353</v>
      </c>
      <c r="C1048" s="4" t="s">
        <v>165</v>
      </c>
      <c r="D1048" s="4" t="s">
        <v>9066</v>
      </c>
      <c r="E1048" s="4" t="s">
        <v>12354</v>
      </c>
      <c r="F1048" s="4" t="s">
        <v>4928</v>
      </c>
      <c r="G1048" s="27" t="s">
        <v>12355</v>
      </c>
      <c r="H1048" s="27" t="s">
        <v>12356</v>
      </c>
      <c r="I1048" s="27" t="s">
        <v>12357</v>
      </c>
      <c r="S1048" s="27">
        <v>2000027029</v>
      </c>
      <c r="T1048" s="27">
        <v>2000031220</v>
      </c>
      <c r="U1048" s="4">
        <v>2000331005</v>
      </c>
      <c r="AE1048" s="27" t="s">
        <v>1763</v>
      </c>
      <c r="AF1048" s="27" t="s">
        <v>185</v>
      </c>
      <c r="AG1048" s="27" t="s">
        <v>546</v>
      </c>
      <c r="AQ1048" s="4" t="s">
        <v>187</v>
      </c>
      <c r="AR1048" s="4" t="s">
        <v>186</v>
      </c>
      <c r="AS1048" s="4" t="s">
        <v>187</v>
      </c>
      <c r="BC1048" s="28">
        <v>81805418824</v>
      </c>
      <c r="BD1048" s="28">
        <v>85848601309</v>
      </c>
      <c r="BE1048" s="28">
        <v>81390126619</v>
      </c>
      <c r="BP1048" s="18" t="s">
        <v>12358</v>
      </c>
      <c r="BQ1048" s="37">
        <v>45360</v>
      </c>
      <c r="BR1048" s="8">
        <f t="shared" si="5"/>
        <v>3</v>
      </c>
    </row>
    <row r="1049" spans="1:70" ht="12.5">
      <c r="A1049" s="4" t="str">
        <v>Reguler Periode ke-125 I.A.2</v>
      </c>
      <c r="B1049" s="4" t="s">
        <v>12353</v>
      </c>
      <c r="C1049" s="4" t="s">
        <v>216</v>
      </c>
      <c r="D1049" s="4" t="s">
        <v>9066</v>
      </c>
      <c r="E1049" s="4" t="s">
        <v>12359</v>
      </c>
      <c r="F1049" s="4" t="s">
        <v>4928</v>
      </c>
      <c r="G1049" s="4" t="s">
        <v>12360</v>
      </c>
      <c r="H1049" s="4" t="s">
        <v>12361</v>
      </c>
      <c r="I1049" s="4" t="s">
        <v>12362</v>
      </c>
      <c r="S1049" s="4">
        <v>1800013311</v>
      </c>
      <c r="T1049" s="4">
        <v>2000032098</v>
      </c>
      <c r="U1049" s="4">
        <v>2000036062</v>
      </c>
      <c r="AE1049" s="4" t="s">
        <v>677</v>
      </c>
      <c r="AF1049" s="4" t="s">
        <v>732</v>
      </c>
      <c r="AG1049" s="4" t="s">
        <v>227</v>
      </c>
      <c r="AQ1049" s="4" t="s">
        <v>187</v>
      </c>
      <c r="AR1049" s="4" t="s">
        <v>187</v>
      </c>
      <c r="AS1049" s="4" t="s">
        <v>186</v>
      </c>
      <c r="BC1049" s="4">
        <v>85784922932</v>
      </c>
      <c r="BD1049" s="4">
        <v>85643083590</v>
      </c>
      <c r="BE1049" s="4">
        <v>89671742998</v>
      </c>
      <c r="BP1049" s="18" t="s">
        <v>12363</v>
      </c>
      <c r="BQ1049" s="37">
        <v>45360</v>
      </c>
      <c r="BR1049" s="8">
        <f t="shared" si="5"/>
        <v>3</v>
      </c>
    </row>
    <row r="1050" spans="1:70" ht="12.5">
      <c r="A1050" s="4" t="str">
        <v>Reguler Periode ke-125 I.A.3</v>
      </c>
      <c r="B1050" s="4" t="s">
        <v>12353</v>
      </c>
      <c r="C1050" s="4" t="s">
        <v>238</v>
      </c>
      <c r="D1050" s="4" t="s">
        <v>9066</v>
      </c>
      <c r="E1050" s="4" t="s">
        <v>12364</v>
      </c>
      <c r="F1050" s="4" t="s">
        <v>4928</v>
      </c>
      <c r="G1050" s="4" t="s">
        <v>12365</v>
      </c>
      <c r="H1050" s="4" t="s">
        <v>12366</v>
      </c>
      <c r="I1050" s="4" t="s">
        <v>12367</v>
      </c>
      <c r="S1050" s="4">
        <v>2000005196</v>
      </c>
      <c r="T1050" s="4">
        <v>2000005281</v>
      </c>
      <c r="U1050" s="4">
        <v>2000019066</v>
      </c>
      <c r="AE1050" s="4" t="s">
        <v>181</v>
      </c>
      <c r="AF1050" s="4" t="s">
        <v>181</v>
      </c>
      <c r="AG1050" s="4" t="s">
        <v>705</v>
      </c>
      <c r="AQ1050" s="4" t="s">
        <v>187</v>
      </c>
      <c r="AR1050" s="4" t="s">
        <v>186</v>
      </c>
      <c r="AS1050" s="4" t="s">
        <v>187</v>
      </c>
      <c r="BC1050" s="4">
        <v>81220846867</v>
      </c>
      <c r="BD1050" s="4">
        <v>82273129497</v>
      </c>
      <c r="BE1050" s="4">
        <v>81344684148</v>
      </c>
      <c r="BP1050" s="18" t="s">
        <v>12368</v>
      </c>
      <c r="BQ1050" s="37">
        <v>45360</v>
      </c>
      <c r="BR1050" s="8">
        <f t="shared" si="5"/>
        <v>3</v>
      </c>
    </row>
    <row r="1051" spans="1:70" ht="14">
      <c r="A1051" s="4" t="str">
        <v>Reguler Periode ke-125 I.A.4</v>
      </c>
      <c r="B1051" s="4" t="s">
        <v>12353</v>
      </c>
      <c r="C1051" s="4" t="s">
        <v>6374</v>
      </c>
      <c r="D1051" s="4" t="s">
        <v>9066</v>
      </c>
      <c r="E1051" s="4" t="s">
        <v>12369</v>
      </c>
      <c r="F1051" s="4" t="s">
        <v>4928</v>
      </c>
      <c r="G1051" s="27" t="s">
        <v>12370</v>
      </c>
      <c r="H1051" s="27" t="s">
        <v>12371</v>
      </c>
      <c r="I1051" s="27" t="s">
        <v>12372</v>
      </c>
      <c r="J1051" s="27" t="s">
        <v>12373</v>
      </c>
      <c r="K1051" s="27" t="s">
        <v>7635</v>
      </c>
      <c r="S1051" s="27">
        <v>1800030444</v>
      </c>
      <c r="T1051" s="27">
        <v>2000010090</v>
      </c>
      <c r="U1051" s="27">
        <v>2000018378</v>
      </c>
      <c r="V1051" s="27">
        <v>2000024083</v>
      </c>
      <c r="W1051" s="27">
        <v>2000032113</v>
      </c>
      <c r="AE1051" s="27" t="s">
        <v>184</v>
      </c>
      <c r="AF1051" s="27" t="s">
        <v>532</v>
      </c>
      <c r="AG1051" s="27" t="s">
        <v>179</v>
      </c>
      <c r="AH1051" s="27" t="s">
        <v>924</v>
      </c>
      <c r="AI1051" s="27" t="s">
        <v>732</v>
      </c>
      <c r="AQ1051" s="28" t="s">
        <v>187</v>
      </c>
      <c r="AR1051" s="28" t="s">
        <v>186</v>
      </c>
      <c r="AS1051" s="28" t="s">
        <v>187</v>
      </c>
      <c r="AT1051" s="28" t="s">
        <v>187</v>
      </c>
      <c r="AU1051" s="28" t="s">
        <v>186</v>
      </c>
      <c r="BC1051" s="28">
        <v>81996153319</v>
      </c>
      <c r="BD1051" s="28">
        <v>81276526920</v>
      </c>
      <c r="BE1051" s="28">
        <v>83840434626</v>
      </c>
      <c r="BF1051" s="28">
        <v>81346394548</v>
      </c>
      <c r="BG1051" s="28">
        <v>89662462343</v>
      </c>
      <c r="BP1051" s="18" t="s">
        <v>12374</v>
      </c>
      <c r="BQ1051" s="37">
        <v>45360</v>
      </c>
      <c r="BR1051" s="8">
        <f t="shared" si="5"/>
        <v>5</v>
      </c>
    </row>
    <row r="1052" spans="1:70" ht="14">
      <c r="A1052" s="4" t="str">
        <v>Reguler Periode ke-125 I.A.5</v>
      </c>
      <c r="B1052" s="4" t="s">
        <v>12353</v>
      </c>
      <c r="C1052" s="4" t="s">
        <v>12375</v>
      </c>
      <c r="D1052" s="4" t="s">
        <v>9066</v>
      </c>
      <c r="E1052" s="4" t="s">
        <v>12376</v>
      </c>
      <c r="F1052" s="4" t="s">
        <v>4928</v>
      </c>
      <c r="G1052" s="27" t="s">
        <v>12377</v>
      </c>
      <c r="H1052" s="27" t="s">
        <v>12378</v>
      </c>
      <c r="I1052" s="27" t="s">
        <v>12379</v>
      </c>
      <c r="J1052" s="27" t="s">
        <v>12380</v>
      </c>
      <c r="K1052" s="27" t="s">
        <v>12381</v>
      </c>
      <c r="S1052" s="27">
        <v>1800016050</v>
      </c>
      <c r="T1052" s="27">
        <v>1800331014</v>
      </c>
      <c r="U1052" s="27">
        <v>2000011151</v>
      </c>
      <c r="V1052" s="27">
        <v>2000070020</v>
      </c>
      <c r="W1052" s="27">
        <v>2000331008</v>
      </c>
      <c r="AE1052" s="27" t="s">
        <v>531</v>
      </c>
      <c r="AF1052" s="27" t="s">
        <v>546</v>
      </c>
      <c r="AG1052" s="27" t="s">
        <v>182</v>
      </c>
      <c r="AH1052" s="27" t="s">
        <v>2473</v>
      </c>
      <c r="AI1052" s="27" t="s">
        <v>546</v>
      </c>
      <c r="AQ1052" s="28" t="s">
        <v>186</v>
      </c>
      <c r="AR1052" s="28" t="s">
        <v>187</v>
      </c>
      <c r="AS1052" s="28" t="s">
        <v>187</v>
      </c>
      <c r="AT1052" s="28" t="s">
        <v>186</v>
      </c>
      <c r="AU1052" s="28" t="s">
        <v>187</v>
      </c>
      <c r="BC1052" s="28">
        <v>83834360521</v>
      </c>
      <c r="BD1052" s="28">
        <v>89687434004</v>
      </c>
      <c r="BE1052" s="28">
        <v>81311232517</v>
      </c>
      <c r="BF1052" s="28">
        <v>895355217470</v>
      </c>
      <c r="BG1052" s="28">
        <v>87828788741</v>
      </c>
      <c r="BP1052" s="18" t="s">
        <v>12382</v>
      </c>
      <c r="BQ1052" s="37">
        <v>45360</v>
      </c>
      <c r="BR1052" s="8">
        <f t="shared" si="5"/>
        <v>5</v>
      </c>
    </row>
    <row r="1053" spans="1:70" ht="14">
      <c r="A1053" s="4" t="str">
        <v>Reguler Periode ke-125 I.A.6</v>
      </c>
      <c r="B1053" s="4" t="s">
        <v>12353</v>
      </c>
      <c r="C1053" s="4" t="s">
        <v>12383</v>
      </c>
      <c r="D1053" s="4" t="s">
        <v>9066</v>
      </c>
      <c r="E1053" s="4" t="s">
        <v>12384</v>
      </c>
      <c r="F1053" s="4" t="s">
        <v>4928</v>
      </c>
      <c r="G1053" s="27" t="s">
        <v>12385</v>
      </c>
      <c r="H1053" s="27" t="s">
        <v>12386</v>
      </c>
      <c r="I1053" s="27" t="s">
        <v>12387</v>
      </c>
      <c r="J1053" s="27" t="s">
        <v>12388</v>
      </c>
      <c r="K1053" s="27" t="s">
        <v>12389</v>
      </c>
      <c r="L1053" s="27" t="s">
        <v>12390</v>
      </c>
      <c r="M1053" s="27" t="s">
        <v>12391</v>
      </c>
      <c r="N1053" s="27" t="s">
        <v>12392</v>
      </c>
      <c r="O1053" s="27" t="s">
        <v>12393</v>
      </c>
      <c r="S1053" s="27">
        <v>1800011119</v>
      </c>
      <c r="T1053" s="27">
        <v>1800012258</v>
      </c>
      <c r="U1053" s="27">
        <v>1800018162</v>
      </c>
      <c r="V1053" s="27">
        <v>1900027105</v>
      </c>
      <c r="W1053" s="27">
        <v>2000003044</v>
      </c>
      <c r="X1053" s="27">
        <v>2000031265</v>
      </c>
      <c r="Y1053" s="27">
        <v>2000032137</v>
      </c>
      <c r="Z1053" s="27">
        <v>2000033061</v>
      </c>
      <c r="AA1053" s="27">
        <v>2000331006</v>
      </c>
      <c r="AE1053" s="27" t="s">
        <v>182</v>
      </c>
      <c r="AF1053" s="27" t="s">
        <v>885</v>
      </c>
      <c r="AG1053" s="27" t="s">
        <v>179</v>
      </c>
      <c r="AH1053" s="27" t="s">
        <v>1763</v>
      </c>
      <c r="AI1053" s="27" t="s">
        <v>178</v>
      </c>
      <c r="AJ1053" s="27" t="s">
        <v>185</v>
      </c>
      <c r="AK1053" s="27" t="s">
        <v>732</v>
      </c>
      <c r="AL1053" s="27" t="s">
        <v>1112</v>
      </c>
      <c r="AM1053" s="27" t="s">
        <v>546</v>
      </c>
      <c r="AQ1053" s="28" t="s">
        <v>186</v>
      </c>
      <c r="AR1053" s="28" t="s">
        <v>187</v>
      </c>
      <c r="AS1053" s="28" t="s">
        <v>187</v>
      </c>
      <c r="AT1053" s="28" t="s">
        <v>187</v>
      </c>
      <c r="AU1053" s="28" t="s">
        <v>186</v>
      </c>
      <c r="AV1053" s="28" t="s">
        <v>186</v>
      </c>
      <c r="AW1053" s="28" t="s">
        <v>187</v>
      </c>
      <c r="AX1053" s="28" t="s">
        <v>186</v>
      </c>
      <c r="AY1053" s="28" t="s">
        <v>187</v>
      </c>
      <c r="BC1053" s="28">
        <v>81366645735</v>
      </c>
      <c r="BD1053" s="28">
        <v>81243373899</v>
      </c>
      <c r="BE1053" s="28">
        <v>895327503160</v>
      </c>
      <c r="BF1053" s="28">
        <v>85337149592</v>
      </c>
      <c r="BG1053" s="28" t="s">
        <v>12394</v>
      </c>
      <c r="BH1053" s="28">
        <v>82157418535</v>
      </c>
      <c r="BI1053" s="28">
        <v>83185716347</v>
      </c>
      <c r="BJ1053" s="28">
        <v>82118705511</v>
      </c>
      <c r="BK1053" s="28">
        <v>82138268587</v>
      </c>
      <c r="BP1053" s="18" t="s">
        <v>12395</v>
      </c>
      <c r="BQ1053" s="37">
        <v>45360</v>
      </c>
      <c r="BR1053" s="8">
        <f t="shared" si="5"/>
        <v>9</v>
      </c>
    </row>
    <row r="1054" spans="1:70" ht="12.5">
      <c r="A1054" s="4" t="str">
        <v>Alternatif Periode ke-91 I.A.1</v>
      </c>
      <c r="B1054" s="4" t="s">
        <v>12396</v>
      </c>
      <c r="C1054" s="4" t="s">
        <v>165</v>
      </c>
      <c r="D1054" s="4" t="s">
        <v>4926</v>
      </c>
      <c r="E1054" s="4" t="s">
        <v>12397</v>
      </c>
      <c r="F1054" s="4" t="s">
        <v>520</v>
      </c>
      <c r="G1054" s="4" t="s">
        <v>12398</v>
      </c>
      <c r="H1054" s="4" t="s">
        <v>12399</v>
      </c>
      <c r="I1054" s="4" t="s">
        <v>12400</v>
      </c>
      <c r="J1054" s="4" t="s">
        <v>12401</v>
      </c>
      <c r="K1054" s="4" t="s">
        <v>12402</v>
      </c>
      <c r="L1054" s="4" t="s">
        <v>12403</v>
      </c>
      <c r="M1054" s="4" t="s">
        <v>12404</v>
      </c>
      <c r="N1054" s="4" t="s">
        <v>9525</v>
      </c>
      <c r="O1054" s="4" t="s">
        <v>12405</v>
      </c>
      <c r="S1054" s="4">
        <v>2000001052</v>
      </c>
      <c r="T1054" s="4">
        <v>2000004069</v>
      </c>
      <c r="U1054" s="4">
        <v>2000013328</v>
      </c>
      <c r="V1054" s="4">
        <v>2000022025</v>
      </c>
      <c r="W1054" s="4">
        <v>2000036041</v>
      </c>
      <c r="X1054" s="4">
        <v>2100024122</v>
      </c>
      <c r="Y1054" s="4">
        <v>2100030129</v>
      </c>
      <c r="Z1054" s="4">
        <v>2100031125</v>
      </c>
      <c r="AA1054" s="4">
        <v>2314027065</v>
      </c>
      <c r="AE1054" s="4" t="s">
        <v>180</v>
      </c>
      <c r="AF1054" s="4" t="s">
        <v>201</v>
      </c>
      <c r="AG1054" s="4" t="s">
        <v>677</v>
      </c>
      <c r="AH1054" s="4" t="s">
        <v>872</v>
      </c>
      <c r="AI1054" s="4" t="s">
        <v>227</v>
      </c>
      <c r="AJ1054" s="4" t="s">
        <v>924</v>
      </c>
      <c r="AK1054" s="4" t="s">
        <v>184</v>
      </c>
      <c r="AL1054" s="4" t="s">
        <v>185</v>
      </c>
      <c r="AM1054" s="4" t="s">
        <v>1763</v>
      </c>
      <c r="AQ1054" s="4" t="s">
        <v>187</v>
      </c>
      <c r="AR1054" s="4" t="s">
        <v>186</v>
      </c>
      <c r="AS1054" s="4" t="s">
        <v>186</v>
      </c>
      <c r="AT1054" s="4" t="s">
        <v>187</v>
      </c>
      <c r="AU1054" s="4" t="s">
        <v>186</v>
      </c>
      <c r="AV1054" s="4" t="s">
        <v>186</v>
      </c>
      <c r="AW1054" s="4" t="s">
        <v>186</v>
      </c>
      <c r="AX1054" s="4" t="s">
        <v>187</v>
      </c>
      <c r="AY1054" s="4" t="s">
        <v>187</v>
      </c>
      <c r="BC1054" s="4">
        <v>8886039313</v>
      </c>
      <c r="BD1054" s="4">
        <v>85758159106</v>
      </c>
      <c r="BE1054" s="4">
        <v>85846036246</v>
      </c>
      <c r="BF1054" s="4">
        <v>82188703683</v>
      </c>
      <c r="BG1054" s="4">
        <v>85718551312</v>
      </c>
      <c r="BH1054" s="4">
        <v>81393178799</v>
      </c>
      <c r="BI1054" s="4">
        <v>81278758674</v>
      </c>
      <c r="BJ1054" s="4">
        <v>85802703082</v>
      </c>
      <c r="BK1054" s="4">
        <v>249904401433</v>
      </c>
      <c r="BR1054" s="8"/>
    </row>
    <row r="1055" spans="1:70" ht="12.5">
      <c r="A1055" s="4" t="str">
        <v>Alternatif Periode ke-91 I.A.2</v>
      </c>
      <c r="B1055" s="4" t="s">
        <v>12396</v>
      </c>
      <c r="C1055" s="4" t="s">
        <v>216</v>
      </c>
      <c r="D1055" s="4" t="s">
        <v>4926</v>
      </c>
      <c r="E1055" s="4" t="s">
        <v>12397</v>
      </c>
      <c r="F1055" s="4" t="s">
        <v>520</v>
      </c>
      <c r="G1055" s="4" t="s">
        <v>12406</v>
      </c>
      <c r="H1055" s="4" t="s">
        <v>12407</v>
      </c>
      <c r="I1055" s="4" t="s">
        <v>12408</v>
      </c>
      <c r="J1055" s="4" t="s">
        <v>12409</v>
      </c>
      <c r="K1055" s="4" t="s">
        <v>12410</v>
      </c>
      <c r="L1055" s="4" t="s">
        <v>12411</v>
      </c>
      <c r="M1055" s="4" t="s">
        <v>10900</v>
      </c>
      <c r="N1055" s="4" t="s">
        <v>12412</v>
      </c>
      <c r="O1055" s="4" t="s">
        <v>12413</v>
      </c>
      <c r="S1055" s="4">
        <v>1900001227</v>
      </c>
      <c r="T1055" s="4">
        <v>1900004025</v>
      </c>
      <c r="U1055" s="4">
        <v>1900031279</v>
      </c>
      <c r="V1055" s="4">
        <v>2000022018</v>
      </c>
      <c r="W1055" s="4">
        <v>2000024187</v>
      </c>
      <c r="X1055" s="4">
        <v>2000030225</v>
      </c>
      <c r="Y1055" s="4">
        <v>2000036082</v>
      </c>
      <c r="Z1055" s="4">
        <v>2100013151</v>
      </c>
      <c r="AA1055" s="4">
        <v>2314027062</v>
      </c>
      <c r="AE1055" s="4" t="s">
        <v>180</v>
      </c>
      <c r="AF1055" s="4" t="s">
        <v>201</v>
      </c>
      <c r="AG1055" s="4" t="s">
        <v>185</v>
      </c>
      <c r="AH1055" s="4" t="s">
        <v>872</v>
      </c>
      <c r="AI1055" s="4" t="s">
        <v>924</v>
      </c>
      <c r="AJ1055" s="4" t="s">
        <v>184</v>
      </c>
      <c r="AK1055" s="4" t="s">
        <v>227</v>
      </c>
      <c r="AL1055" s="4" t="s">
        <v>677</v>
      </c>
      <c r="AM1055" s="4" t="s">
        <v>1763</v>
      </c>
      <c r="AQ1055" s="4" t="s">
        <v>187</v>
      </c>
      <c r="AR1055" s="4" t="s">
        <v>186</v>
      </c>
      <c r="AS1055" s="4" t="s">
        <v>187</v>
      </c>
      <c r="AT1055" s="4" t="s">
        <v>187</v>
      </c>
      <c r="AU1055" s="4" t="s">
        <v>186</v>
      </c>
      <c r="AV1055" s="4" t="s">
        <v>186</v>
      </c>
      <c r="AW1055" s="4" t="s">
        <v>186</v>
      </c>
      <c r="AX1055" s="4" t="s">
        <v>187</v>
      </c>
      <c r="AY1055" s="4" t="s">
        <v>187</v>
      </c>
      <c r="BC1055" s="4">
        <v>81227177237</v>
      </c>
      <c r="BD1055" s="4">
        <v>85602022205</v>
      </c>
      <c r="BE1055" s="4">
        <v>82287671196</v>
      </c>
      <c r="BF1055" s="4">
        <v>85339115607</v>
      </c>
      <c r="BG1055" s="4">
        <v>895414327000</v>
      </c>
      <c r="BH1055" s="4">
        <v>895705224193</v>
      </c>
      <c r="BI1055" s="4">
        <v>83175437910</v>
      </c>
      <c r="BJ1055" s="4">
        <v>89619503615</v>
      </c>
      <c r="BK1055" s="4">
        <f>6285216596870</f>
        <v>6285216596870</v>
      </c>
      <c r="BR1055" s="8"/>
    </row>
    <row r="1056" spans="1:70" ht="12.5">
      <c r="A1056" s="4" t="str">
        <v>Alternatif Periode ke-91 I.A.3</v>
      </c>
      <c r="B1056" s="4" t="s">
        <v>12396</v>
      </c>
      <c r="C1056" s="4" t="s">
        <v>238</v>
      </c>
      <c r="D1056" s="4" t="s">
        <v>4926</v>
      </c>
      <c r="E1056" s="4" t="s">
        <v>12397</v>
      </c>
      <c r="F1056" s="4" t="s">
        <v>520</v>
      </c>
      <c r="G1056" s="4" t="s">
        <v>12414</v>
      </c>
      <c r="H1056" s="4" t="s">
        <v>12415</v>
      </c>
      <c r="I1056" s="4" t="s">
        <v>12416</v>
      </c>
      <c r="J1056" s="4" t="s">
        <v>12417</v>
      </c>
      <c r="K1056" s="4" t="s">
        <v>12418</v>
      </c>
      <c r="L1056" s="4" t="s">
        <v>12419</v>
      </c>
      <c r="M1056" s="4" t="s">
        <v>12420</v>
      </c>
      <c r="N1056" s="4" t="s">
        <v>12421</v>
      </c>
      <c r="O1056" s="4" t="s">
        <v>12422</v>
      </c>
      <c r="S1056" s="4">
        <v>1700013158</v>
      </c>
      <c r="T1056" s="4">
        <v>1800005226</v>
      </c>
      <c r="U1056" s="4">
        <v>1900022025</v>
      </c>
      <c r="V1056" s="4">
        <v>2000030009</v>
      </c>
      <c r="W1056" s="4">
        <v>2000031244</v>
      </c>
      <c r="X1056" s="4">
        <v>2100001120</v>
      </c>
      <c r="Y1056" s="4">
        <v>2100013178</v>
      </c>
      <c r="Z1056" s="4">
        <v>2100024187</v>
      </c>
      <c r="AA1056" s="4">
        <v>2314027064</v>
      </c>
      <c r="AE1056" s="4" t="s">
        <v>677</v>
      </c>
      <c r="AF1056" s="4" t="s">
        <v>181</v>
      </c>
      <c r="AG1056" s="4" t="s">
        <v>872</v>
      </c>
      <c r="AH1056" s="4" t="s">
        <v>184</v>
      </c>
      <c r="AI1056" s="4" t="s">
        <v>185</v>
      </c>
      <c r="AJ1056" s="4" t="s">
        <v>180</v>
      </c>
      <c r="AK1056" s="4" t="s">
        <v>677</v>
      </c>
      <c r="AL1056" s="4" t="s">
        <v>924</v>
      </c>
      <c r="AM1056" s="4" t="s">
        <v>1763</v>
      </c>
      <c r="AQ1056" s="4" t="s">
        <v>187</v>
      </c>
      <c r="AR1056" s="4" t="s">
        <v>186</v>
      </c>
      <c r="AS1056" s="4" t="s">
        <v>187</v>
      </c>
      <c r="AT1056" s="4" t="s">
        <v>186</v>
      </c>
      <c r="AU1056" s="4" t="s">
        <v>187</v>
      </c>
      <c r="AV1056" s="4" t="s">
        <v>187</v>
      </c>
      <c r="AW1056" s="4" t="s">
        <v>186</v>
      </c>
      <c r="AX1056" s="4" t="s">
        <v>186</v>
      </c>
      <c r="AY1056" s="4" t="s">
        <v>187</v>
      </c>
      <c r="BC1056" s="4">
        <v>82297362334</v>
      </c>
      <c r="BD1056" s="4">
        <v>81390358161</v>
      </c>
      <c r="BE1056" s="4">
        <v>82310118368</v>
      </c>
      <c r="BF1056" s="4">
        <v>82138403520</v>
      </c>
      <c r="BG1056" s="4">
        <v>89603907049</v>
      </c>
      <c r="BH1056" s="4">
        <v>85732283190</v>
      </c>
      <c r="BI1056" s="4">
        <v>81258348093</v>
      </c>
      <c r="BJ1056" s="4">
        <v>82125181190</v>
      </c>
      <c r="BK1056" s="4">
        <v>87865209162</v>
      </c>
      <c r="BR1056" s="8"/>
    </row>
    <row r="1057" spans="1:70" ht="12.5">
      <c r="A1057" s="4" t="str">
        <v>Alternatif Periode ke-91 I.B.1</v>
      </c>
      <c r="B1057" s="4" t="s">
        <v>12396</v>
      </c>
      <c r="C1057" s="4" t="s">
        <v>260</v>
      </c>
      <c r="D1057" s="4" t="s">
        <v>9167</v>
      </c>
      <c r="E1057" s="4" t="s">
        <v>12397</v>
      </c>
      <c r="F1057" s="4" t="s">
        <v>520</v>
      </c>
      <c r="G1057" s="4" t="s">
        <v>12423</v>
      </c>
      <c r="H1057" s="4" t="s">
        <v>12050</v>
      </c>
      <c r="I1057" s="4" t="s">
        <v>12424</v>
      </c>
      <c r="J1057" s="4" t="s">
        <v>12425</v>
      </c>
      <c r="K1057" s="4" t="s">
        <v>12426</v>
      </c>
      <c r="L1057" s="4" t="s">
        <v>12427</v>
      </c>
      <c r="M1057" s="4" t="s">
        <v>12428</v>
      </c>
      <c r="N1057" s="4" t="s">
        <v>12429</v>
      </c>
      <c r="O1057" s="4" t="s">
        <v>12430</v>
      </c>
      <c r="S1057" s="4">
        <v>1800001013</v>
      </c>
      <c r="T1057" s="4">
        <v>1900013317</v>
      </c>
      <c r="U1057" s="4">
        <v>1900031033</v>
      </c>
      <c r="V1057" s="4">
        <v>2000005300</v>
      </c>
      <c r="W1057" s="4">
        <v>2000013330</v>
      </c>
      <c r="X1057" s="4">
        <v>2000023066</v>
      </c>
      <c r="Y1057" s="4">
        <v>2000024294</v>
      </c>
      <c r="Z1057" s="4">
        <v>2000030133</v>
      </c>
      <c r="AA1057" s="4">
        <v>2314027060</v>
      </c>
      <c r="AE1057" s="4" t="s">
        <v>180</v>
      </c>
      <c r="AF1057" s="4" t="s">
        <v>677</v>
      </c>
      <c r="AG1057" s="4" t="s">
        <v>185</v>
      </c>
      <c r="AH1057" s="4" t="s">
        <v>181</v>
      </c>
      <c r="AI1057" s="4" t="s">
        <v>677</v>
      </c>
      <c r="AJ1057" s="4" t="s">
        <v>899</v>
      </c>
      <c r="AK1057" s="4" t="s">
        <v>924</v>
      </c>
      <c r="AL1057" s="4" t="s">
        <v>184</v>
      </c>
      <c r="AM1057" s="4" t="s">
        <v>1763</v>
      </c>
      <c r="AQ1057" s="4" t="s">
        <v>187</v>
      </c>
      <c r="AR1057" s="4" t="s">
        <v>187</v>
      </c>
      <c r="AS1057" s="4" t="s">
        <v>187</v>
      </c>
      <c r="AT1057" s="4" t="s">
        <v>186</v>
      </c>
      <c r="AU1057" s="4" t="s">
        <v>186</v>
      </c>
      <c r="AV1057" s="4" t="s">
        <v>187</v>
      </c>
      <c r="AW1057" s="4" t="s">
        <v>186</v>
      </c>
      <c r="AX1057" s="4" t="s">
        <v>186</v>
      </c>
      <c r="AY1057" s="4" t="s">
        <v>187</v>
      </c>
      <c r="BC1057" s="4">
        <v>85879616963</v>
      </c>
      <c r="BD1057" s="4">
        <v>81341549902</v>
      </c>
      <c r="BE1057" s="4">
        <v>81290746687</v>
      </c>
      <c r="BF1057" s="4">
        <v>85701852722</v>
      </c>
      <c r="BG1057" s="4">
        <v>82293728935</v>
      </c>
      <c r="BH1057" s="4">
        <v>82248647873</v>
      </c>
      <c r="BI1057" s="4">
        <v>87828064730</v>
      </c>
      <c r="BJ1057" s="4">
        <v>82175819406</v>
      </c>
      <c r="BK1057" s="4">
        <v>82334902194</v>
      </c>
      <c r="BR1057" s="8"/>
    </row>
    <row r="1058" spans="1:70" ht="12.5">
      <c r="A1058" s="4" t="str">
        <v>Alternatif Periode ke-91 I.B.2</v>
      </c>
      <c r="B1058" s="4" t="s">
        <v>12396</v>
      </c>
      <c r="C1058" s="4" t="s">
        <v>280</v>
      </c>
      <c r="D1058" s="4" t="s">
        <v>9167</v>
      </c>
      <c r="E1058" s="4" t="s">
        <v>12397</v>
      </c>
      <c r="F1058" s="4" t="s">
        <v>520</v>
      </c>
      <c r="G1058" s="4" t="s">
        <v>12431</v>
      </c>
      <c r="H1058" s="4" t="s">
        <v>12432</v>
      </c>
      <c r="I1058" s="4" t="s">
        <v>12433</v>
      </c>
      <c r="J1058" s="4" t="s">
        <v>12434</v>
      </c>
      <c r="K1058" s="4" t="s">
        <v>12435</v>
      </c>
      <c r="L1058" s="4" t="s">
        <v>12436</v>
      </c>
      <c r="M1058" s="4" t="s">
        <v>11591</v>
      </c>
      <c r="N1058" s="4" t="s">
        <v>12437</v>
      </c>
      <c r="O1058" s="4" t="s">
        <v>12438</v>
      </c>
      <c r="S1058" s="4">
        <v>2000005204</v>
      </c>
      <c r="T1058" s="4">
        <v>2000013258</v>
      </c>
      <c r="U1058" s="4">
        <v>2000016045</v>
      </c>
      <c r="V1058" s="4">
        <v>2000023237</v>
      </c>
      <c r="W1058" s="4">
        <v>2000025098</v>
      </c>
      <c r="X1058" s="4">
        <v>2000027080</v>
      </c>
      <c r="Y1058" s="4">
        <v>2000030160</v>
      </c>
      <c r="Z1058" s="4">
        <v>2100001080</v>
      </c>
      <c r="AA1058" s="4">
        <v>2100031089</v>
      </c>
      <c r="AE1058" s="4" t="s">
        <v>181</v>
      </c>
      <c r="AF1058" s="4" t="s">
        <v>677</v>
      </c>
      <c r="AG1058" s="4" t="s">
        <v>531</v>
      </c>
      <c r="AH1058" s="4" t="s">
        <v>899</v>
      </c>
      <c r="AI1058" s="4" t="s">
        <v>1168</v>
      </c>
      <c r="AJ1058" s="4" t="s">
        <v>1763</v>
      </c>
      <c r="AK1058" s="4" t="s">
        <v>184</v>
      </c>
      <c r="AL1058" s="4" t="s">
        <v>180</v>
      </c>
      <c r="AM1058" s="4" t="s">
        <v>185</v>
      </c>
      <c r="AQ1058" s="4" t="s">
        <v>186</v>
      </c>
      <c r="AR1058" s="4" t="s">
        <v>186</v>
      </c>
      <c r="AS1058" s="4" t="s">
        <v>187</v>
      </c>
      <c r="AT1058" s="4" t="s">
        <v>187</v>
      </c>
      <c r="AU1058" s="4" t="s">
        <v>186</v>
      </c>
      <c r="AV1058" s="4" t="s">
        <v>187</v>
      </c>
      <c r="AW1058" s="4" t="s">
        <v>186</v>
      </c>
      <c r="AX1058" s="4" t="s">
        <v>187</v>
      </c>
      <c r="AY1058" s="4" t="s">
        <v>187</v>
      </c>
      <c r="BC1058" s="4">
        <v>82139103147</v>
      </c>
      <c r="BD1058" s="4">
        <v>85886734876</v>
      </c>
      <c r="BE1058" s="4">
        <v>81387206453</v>
      </c>
      <c r="BF1058" s="4">
        <v>8117776078</v>
      </c>
      <c r="BG1058" s="4">
        <v>89619485285</v>
      </c>
      <c r="BH1058" s="4">
        <v>81366700929</v>
      </c>
      <c r="BI1058" s="4">
        <v>81338925968</v>
      </c>
      <c r="BJ1058" s="4">
        <v>82224052647</v>
      </c>
      <c r="BK1058" s="4">
        <v>87741714129</v>
      </c>
      <c r="BR1058" s="8"/>
    </row>
    <row r="1059" spans="1:70" ht="12.5">
      <c r="A1059" s="4" t="str">
        <v>Alternatif Periode ke-91 I.B.3</v>
      </c>
      <c r="B1059" s="4" t="s">
        <v>12396</v>
      </c>
      <c r="C1059" s="4" t="s">
        <v>299</v>
      </c>
      <c r="D1059" s="4" t="s">
        <v>9167</v>
      </c>
      <c r="E1059" s="4" t="s">
        <v>12397</v>
      </c>
      <c r="F1059" s="4" t="s">
        <v>520</v>
      </c>
      <c r="G1059" s="4" t="s">
        <v>12439</v>
      </c>
      <c r="H1059" s="4" t="s">
        <v>12440</v>
      </c>
      <c r="I1059" s="4" t="s">
        <v>12441</v>
      </c>
      <c r="J1059" s="4" t="s">
        <v>12442</v>
      </c>
      <c r="K1059" s="4" t="s">
        <v>12443</v>
      </c>
      <c r="L1059" s="4" t="s">
        <v>11160</v>
      </c>
      <c r="M1059" s="4" t="s">
        <v>12444</v>
      </c>
      <c r="N1059" s="4" t="s">
        <v>12445</v>
      </c>
      <c r="O1059" s="4" t="s">
        <v>12446</v>
      </c>
      <c r="S1059" s="4">
        <v>1700023039</v>
      </c>
      <c r="T1059" s="4">
        <v>1800002071</v>
      </c>
      <c r="U1059" s="4">
        <v>1900032025</v>
      </c>
      <c r="V1059" s="4">
        <v>2000005185</v>
      </c>
      <c r="W1059" s="4">
        <v>2000016084</v>
      </c>
      <c r="X1059" s="4">
        <v>2000026039</v>
      </c>
      <c r="Y1059" s="4">
        <v>2000030099</v>
      </c>
      <c r="Z1059" s="4">
        <v>2100013311</v>
      </c>
      <c r="AA1059" s="4">
        <v>2314027063</v>
      </c>
      <c r="AE1059" s="4" t="s">
        <v>899</v>
      </c>
      <c r="AF1059" s="4" t="s">
        <v>1043</v>
      </c>
      <c r="AG1059" s="4" t="s">
        <v>732</v>
      </c>
      <c r="AH1059" s="4" t="s">
        <v>181</v>
      </c>
      <c r="AI1059" s="4" t="s">
        <v>531</v>
      </c>
      <c r="AJ1059" s="4" t="s">
        <v>570</v>
      </c>
      <c r="AK1059" s="4" t="s">
        <v>184</v>
      </c>
      <c r="AL1059" s="4" t="s">
        <v>677</v>
      </c>
      <c r="AM1059" s="4" t="s">
        <v>1763</v>
      </c>
      <c r="AQ1059" s="4" t="s">
        <v>187</v>
      </c>
      <c r="AR1059" s="4" t="s">
        <v>187</v>
      </c>
      <c r="AS1059" s="4" t="s">
        <v>187</v>
      </c>
      <c r="AT1059" s="4" t="s">
        <v>186</v>
      </c>
      <c r="AU1059" s="4" t="s">
        <v>187</v>
      </c>
      <c r="AV1059" s="4" t="s">
        <v>187</v>
      </c>
      <c r="AW1059" s="4" t="s">
        <v>186</v>
      </c>
      <c r="AX1059" s="4" t="s">
        <v>186</v>
      </c>
      <c r="AY1059" s="4" t="s">
        <v>187</v>
      </c>
      <c r="BC1059" s="4">
        <v>82375819581</v>
      </c>
      <c r="BD1059" s="4">
        <v>8985708652</v>
      </c>
      <c r="BE1059" s="4">
        <v>81290581100</v>
      </c>
      <c r="BF1059" s="4">
        <v>82340760914</v>
      </c>
      <c r="BG1059" s="4">
        <v>85878776110</v>
      </c>
      <c r="BH1059" s="4">
        <v>81226835406</v>
      </c>
      <c r="BI1059" s="4">
        <v>85226420807</v>
      </c>
      <c r="BJ1059" s="4">
        <v>81348979712</v>
      </c>
      <c r="BK1059" s="4">
        <v>82190249911</v>
      </c>
      <c r="BR1059" s="8"/>
    </row>
    <row r="1060" spans="1:70" ht="12.5">
      <c r="A1060" s="4" t="str">
        <v>Alternatif Periode ke-91 I.C.1</v>
      </c>
      <c r="B1060" s="4" t="s">
        <v>12396</v>
      </c>
      <c r="C1060" s="4" t="s">
        <v>320</v>
      </c>
      <c r="D1060" s="4" t="s">
        <v>12447</v>
      </c>
      <c r="E1060" s="4" t="s">
        <v>12397</v>
      </c>
      <c r="F1060" s="4" t="s">
        <v>520</v>
      </c>
      <c r="G1060" s="4" t="s">
        <v>12448</v>
      </c>
      <c r="H1060" s="4" t="s">
        <v>12449</v>
      </c>
      <c r="I1060" s="4" t="s">
        <v>12450</v>
      </c>
      <c r="J1060" s="4" t="s">
        <v>12451</v>
      </c>
      <c r="K1060" s="4" t="s">
        <v>12452</v>
      </c>
      <c r="L1060" s="4" t="s">
        <v>12453</v>
      </c>
      <c r="M1060" s="4" t="s">
        <v>12454</v>
      </c>
      <c r="N1060" s="4" t="s">
        <v>12455</v>
      </c>
      <c r="O1060" s="4" t="s">
        <v>12456</v>
      </c>
      <c r="S1060" s="4">
        <v>2000005248</v>
      </c>
      <c r="T1060" s="4">
        <v>2000016047</v>
      </c>
      <c r="U1060" s="4">
        <v>2000023174</v>
      </c>
      <c r="V1060" s="4">
        <v>2000026202</v>
      </c>
      <c r="W1060" s="4">
        <v>2000032186</v>
      </c>
      <c r="X1060" s="4">
        <v>2100003051</v>
      </c>
      <c r="Y1060" s="4">
        <v>2100027021</v>
      </c>
      <c r="Z1060" s="4">
        <v>2100030147</v>
      </c>
      <c r="AA1060" s="4">
        <v>2115014014</v>
      </c>
      <c r="AE1060" s="4" t="s">
        <v>181</v>
      </c>
      <c r="AF1060" s="4" t="s">
        <v>531</v>
      </c>
      <c r="AG1060" s="4" t="s">
        <v>899</v>
      </c>
      <c r="AH1060" s="4" t="s">
        <v>570</v>
      </c>
      <c r="AI1060" s="4" t="s">
        <v>732</v>
      </c>
      <c r="AJ1060" s="4" t="s">
        <v>178</v>
      </c>
      <c r="AK1060" s="4" t="s">
        <v>1763</v>
      </c>
      <c r="AL1060" s="4" t="s">
        <v>184</v>
      </c>
      <c r="AM1060" s="4" t="s">
        <v>770</v>
      </c>
      <c r="AQ1060" s="4" t="s">
        <v>186</v>
      </c>
      <c r="AR1060" s="4" t="s">
        <v>187</v>
      </c>
      <c r="AS1060" s="4" t="s">
        <v>187</v>
      </c>
      <c r="AT1060" s="4" t="s">
        <v>186</v>
      </c>
      <c r="AU1060" s="4" t="s">
        <v>187</v>
      </c>
      <c r="AV1060" s="4" t="s">
        <v>187</v>
      </c>
      <c r="AW1060" s="4" t="s">
        <v>187</v>
      </c>
      <c r="AX1060" s="4" t="s">
        <v>186</v>
      </c>
      <c r="AY1060" s="4" t="s">
        <v>186</v>
      </c>
      <c r="BC1060" s="4">
        <v>85654086572</v>
      </c>
      <c r="BD1060" s="4">
        <v>85664308087</v>
      </c>
      <c r="BE1060" s="4">
        <v>87828329742</v>
      </c>
      <c r="BF1060" s="4">
        <v>82137887822</v>
      </c>
      <c r="BG1060" s="4">
        <v>81223368366</v>
      </c>
      <c r="BH1060" s="4">
        <v>85692373795</v>
      </c>
      <c r="BI1060" s="4">
        <v>85848139426</v>
      </c>
      <c r="BJ1060" s="4">
        <v>895391924771</v>
      </c>
      <c r="BK1060" s="4">
        <v>87776593427</v>
      </c>
      <c r="BR1060" s="8"/>
    </row>
    <row r="1061" spans="1:70" ht="12.5">
      <c r="A1061" s="4" t="str">
        <v>Alternatif Periode ke-91 I.C.2</v>
      </c>
      <c r="B1061" s="4" t="s">
        <v>12396</v>
      </c>
      <c r="C1061" s="4" t="s">
        <v>340</v>
      </c>
      <c r="D1061" s="4" t="s">
        <v>12447</v>
      </c>
      <c r="E1061" s="4" t="s">
        <v>12397</v>
      </c>
      <c r="F1061" s="4" t="s">
        <v>520</v>
      </c>
      <c r="G1061" s="4" t="s">
        <v>12457</v>
      </c>
      <c r="H1061" s="4" t="s">
        <v>12458</v>
      </c>
      <c r="I1061" s="4" t="s">
        <v>12459</v>
      </c>
      <c r="J1061" s="4" t="s">
        <v>12460</v>
      </c>
      <c r="K1061" s="4" t="s">
        <v>12461</v>
      </c>
      <c r="L1061" s="4" t="s">
        <v>12462</v>
      </c>
      <c r="M1061" s="4" t="s">
        <v>12463</v>
      </c>
      <c r="N1061" s="4" t="s">
        <v>12464</v>
      </c>
      <c r="O1061" s="4" t="s">
        <v>12465</v>
      </c>
      <c r="S1061" s="4">
        <v>1700005325</v>
      </c>
      <c r="T1061" s="4">
        <v>1900003058</v>
      </c>
      <c r="U1061" s="4">
        <v>1900016007</v>
      </c>
      <c r="V1061" s="4">
        <v>1900016175</v>
      </c>
      <c r="W1061" s="4">
        <v>1900026291</v>
      </c>
      <c r="X1061" s="4">
        <v>1900030036</v>
      </c>
      <c r="Y1061" s="4">
        <v>2000024202</v>
      </c>
      <c r="Z1061" s="4">
        <v>2000033082</v>
      </c>
      <c r="AA1061" s="4">
        <v>2100027041</v>
      </c>
      <c r="AE1061" s="4" t="s">
        <v>181</v>
      </c>
      <c r="AF1061" s="4" t="s">
        <v>178</v>
      </c>
      <c r="AG1061" s="4" t="s">
        <v>531</v>
      </c>
      <c r="AH1061" s="4" t="s">
        <v>531</v>
      </c>
      <c r="AI1061" s="4" t="s">
        <v>570</v>
      </c>
      <c r="AJ1061" s="4" t="s">
        <v>184</v>
      </c>
      <c r="AK1061" s="4" t="s">
        <v>924</v>
      </c>
      <c r="AL1061" s="4" t="s">
        <v>1112</v>
      </c>
      <c r="AM1061" s="4" t="s">
        <v>1763</v>
      </c>
      <c r="AQ1061" s="4" t="s">
        <v>186</v>
      </c>
      <c r="AR1061" s="4" t="s">
        <v>187</v>
      </c>
      <c r="AS1061" s="4" t="s">
        <v>187</v>
      </c>
      <c r="AT1061" s="4" t="s">
        <v>186</v>
      </c>
      <c r="AU1061" s="4" t="s">
        <v>186</v>
      </c>
      <c r="AV1061" s="4" t="s">
        <v>186</v>
      </c>
      <c r="AW1061" s="4" t="s">
        <v>187</v>
      </c>
      <c r="AX1061" s="4" t="s">
        <v>187</v>
      </c>
      <c r="AY1061" s="4" t="s">
        <v>187</v>
      </c>
      <c r="BC1061" s="4">
        <v>82280172659</v>
      </c>
      <c r="BD1061" s="4">
        <v>88226910381</v>
      </c>
      <c r="BE1061" s="4">
        <v>82274478836</v>
      </c>
      <c r="BF1061" s="4">
        <v>81290345045</v>
      </c>
      <c r="BG1061" s="4">
        <v>89623672849</v>
      </c>
      <c r="BH1061" s="4">
        <v>82259133366</v>
      </c>
      <c r="BI1061" s="4">
        <v>89686138058</v>
      </c>
      <c r="BJ1061" s="4">
        <v>83842917358</v>
      </c>
      <c r="BK1061" s="4">
        <v>81225399368</v>
      </c>
      <c r="BR1061" s="8"/>
    </row>
    <row r="1062" spans="1:70" ht="12.5">
      <c r="A1062" s="4" t="str">
        <v>Alternatif Periode ke-91 I.C.3</v>
      </c>
      <c r="B1062" s="4" t="s">
        <v>12396</v>
      </c>
      <c r="C1062" s="4" t="s">
        <v>360</v>
      </c>
      <c r="D1062" s="4" t="s">
        <v>12447</v>
      </c>
      <c r="E1062" s="4" t="s">
        <v>12397</v>
      </c>
      <c r="F1062" s="4" t="s">
        <v>520</v>
      </c>
      <c r="G1062" s="4" t="s">
        <v>12466</v>
      </c>
      <c r="H1062" s="4" t="s">
        <v>12467</v>
      </c>
      <c r="I1062" s="4" t="s">
        <v>12468</v>
      </c>
      <c r="J1062" s="4" t="s">
        <v>12469</v>
      </c>
      <c r="K1062" s="4" t="s">
        <v>12470</v>
      </c>
      <c r="L1062" s="4" t="s">
        <v>12471</v>
      </c>
      <c r="M1062" s="4" t="s">
        <v>12472</v>
      </c>
      <c r="N1062" s="4" t="s">
        <v>12473</v>
      </c>
      <c r="O1062" s="4" t="s">
        <v>12474</v>
      </c>
      <c r="S1062" s="4">
        <v>1700024008</v>
      </c>
      <c r="T1062" s="4">
        <v>1900003053</v>
      </c>
      <c r="U1062" s="4">
        <v>1900016076</v>
      </c>
      <c r="V1062" s="4">
        <v>2000016146</v>
      </c>
      <c r="W1062" s="4">
        <v>2000026152</v>
      </c>
      <c r="X1062" s="4">
        <v>2000030102</v>
      </c>
      <c r="Y1062" s="4">
        <v>2000033113</v>
      </c>
      <c r="Z1062" s="4">
        <v>2100006057</v>
      </c>
      <c r="AA1062" s="4">
        <v>2100028039</v>
      </c>
      <c r="AE1062" s="4" t="s">
        <v>924</v>
      </c>
      <c r="AF1062" s="4" t="s">
        <v>178</v>
      </c>
      <c r="AG1062" s="4" t="s">
        <v>531</v>
      </c>
      <c r="AH1062" s="4" t="s">
        <v>531</v>
      </c>
      <c r="AI1062" s="4" t="s">
        <v>570</v>
      </c>
      <c r="AJ1062" s="4" t="s">
        <v>184</v>
      </c>
      <c r="AK1062" s="4" t="s">
        <v>1112</v>
      </c>
      <c r="AL1062" s="4" t="s">
        <v>745</v>
      </c>
      <c r="AM1062" s="4" t="s">
        <v>678</v>
      </c>
      <c r="AQ1062" s="4" t="s">
        <v>187</v>
      </c>
      <c r="AR1062" s="4" t="s">
        <v>187</v>
      </c>
      <c r="AS1062" s="4" t="s">
        <v>187</v>
      </c>
      <c r="AT1062" s="4" t="s">
        <v>186</v>
      </c>
      <c r="AU1062" s="4" t="s">
        <v>186</v>
      </c>
      <c r="AV1062" s="4" t="s">
        <v>186</v>
      </c>
      <c r="AW1062" s="4" t="s">
        <v>187</v>
      </c>
      <c r="AX1062" s="4" t="s">
        <v>186</v>
      </c>
      <c r="AY1062" s="4" t="s">
        <v>187</v>
      </c>
      <c r="BC1062" s="4">
        <v>89510313562</v>
      </c>
      <c r="BD1062" s="4">
        <v>81329187080</v>
      </c>
      <c r="BE1062" s="4">
        <v>81353297470</v>
      </c>
      <c r="BF1062" s="4">
        <v>82225118125</v>
      </c>
      <c r="BG1062" s="4">
        <v>81362817275</v>
      </c>
      <c r="BH1062" s="4">
        <v>83149314325</v>
      </c>
      <c r="BI1062" s="4">
        <v>82331398542</v>
      </c>
      <c r="BJ1062" s="4">
        <v>85173456828</v>
      </c>
      <c r="BK1062" s="4">
        <v>81210952065</v>
      </c>
      <c r="BR1062" s="8"/>
    </row>
    <row r="1063" spans="1:70" ht="12.5">
      <c r="A1063" s="4" t="str">
        <v>Alternatif Periode ke-91 I.D.1</v>
      </c>
      <c r="B1063" s="4" t="s">
        <v>12396</v>
      </c>
      <c r="C1063" s="4" t="s">
        <v>379</v>
      </c>
      <c r="D1063" s="4" t="s">
        <v>8895</v>
      </c>
      <c r="E1063" s="4" t="s">
        <v>12397</v>
      </c>
      <c r="F1063" s="4" t="s">
        <v>520</v>
      </c>
      <c r="G1063" s="4" t="s">
        <v>12475</v>
      </c>
      <c r="H1063" s="4" t="s">
        <v>12476</v>
      </c>
      <c r="I1063" s="4" t="s">
        <v>9866</v>
      </c>
      <c r="J1063" s="4" t="s">
        <v>12477</v>
      </c>
      <c r="K1063" s="4" t="s">
        <v>12478</v>
      </c>
      <c r="L1063" s="4" t="s">
        <v>12479</v>
      </c>
      <c r="M1063" s="4" t="s">
        <v>12480</v>
      </c>
      <c r="N1063" s="4" t="s">
        <v>12481</v>
      </c>
      <c r="O1063" s="4" t="s">
        <v>12482</v>
      </c>
      <c r="S1063" s="4">
        <v>2000004051</v>
      </c>
      <c r="T1063" s="4">
        <v>2000016106</v>
      </c>
      <c r="U1063" s="4">
        <v>2000019141</v>
      </c>
      <c r="V1063" s="4">
        <v>2000024260</v>
      </c>
      <c r="W1063" s="4">
        <v>2000026060</v>
      </c>
      <c r="X1063" s="4">
        <v>2000028090</v>
      </c>
      <c r="Y1063" s="4">
        <v>2000034024</v>
      </c>
      <c r="Z1063" s="4">
        <v>2100006006</v>
      </c>
      <c r="AA1063" s="4">
        <v>2100031149</v>
      </c>
      <c r="AE1063" s="4" t="s">
        <v>201</v>
      </c>
      <c r="AF1063" s="4" t="s">
        <v>531</v>
      </c>
      <c r="AG1063" s="4" t="s">
        <v>705</v>
      </c>
      <c r="AH1063" s="4" t="s">
        <v>924</v>
      </c>
      <c r="AI1063" s="4" t="s">
        <v>570</v>
      </c>
      <c r="AJ1063" s="4" t="s">
        <v>678</v>
      </c>
      <c r="AK1063" s="4" t="s">
        <v>534</v>
      </c>
      <c r="AL1063" s="4" t="s">
        <v>745</v>
      </c>
      <c r="AM1063" s="4" t="s">
        <v>185</v>
      </c>
      <c r="AQ1063" s="4" t="s">
        <v>187</v>
      </c>
      <c r="AR1063" s="4" t="s">
        <v>187</v>
      </c>
      <c r="AS1063" s="4" t="s">
        <v>186</v>
      </c>
      <c r="AT1063" s="4" t="s">
        <v>187</v>
      </c>
      <c r="AU1063" s="4" t="s">
        <v>186</v>
      </c>
      <c r="AV1063" s="4" t="s">
        <v>187</v>
      </c>
      <c r="AW1063" s="4" t="s">
        <v>187</v>
      </c>
      <c r="AX1063" s="4" t="s">
        <v>186</v>
      </c>
      <c r="AY1063" s="4" t="s">
        <v>186</v>
      </c>
      <c r="BC1063" s="4">
        <v>82226226780</v>
      </c>
      <c r="BD1063" s="4">
        <v>85174156785</v>
      </c>
      <c r="BE1063" s="4">
        <v>82317761519</v>
      </c>
      <c r="BF1063" s="4">
        <v>85776421728</v>
      </c>
      <c r="BG1063" s="4">
        <v>82248182042</v>
      </c>
      <c r="BH1063" s="4">
        <v>81335091277</v>
      </c>
      <c r="BI1063" s="4">
        <v>81355006499</v>
      </c>
      <c r="BJ1063" s="4">
        <v>81271192402</v>
      </c>
      <c r="BK1063" s="4">
        <v>85780392949</v>
      </c>
      <c r="BR1063" s="8"/>
    </row>
    <row r="1064" spans="1:70" ht="12.5">
      <c r="A1064" s="4" t="str">
        <v>Alternatif Periode ke-91 I.D.2</v>
      </c>
      <c r="B1064" s="4" t="s">
        <v>12396</v>
      </c>
      <c r="C1064" s="4" t="s">
        <v>642</v>
      </c>
      <c r="D1064" s="4" t="s">
        <v>8895</v>
      </c>
      <c r="E1064" s="4" t="s">
        <v>12397</v>
      </c>
      <c r="F1064" s="4" t="s">
        <v>520</v>
      </c>
      <c r="G1064" s="4" t="s">
        <v>12483</v>
      </c>
      <c r="H1064" s="4" t="s">
        <v>12484</v>
      </c>
      <c r="I1064" s="4" t="s">
        <v>12485</v>
      </c>
      <c r="J1064" s="4" t="s">
        <v>12486</v>
      </c>
      <c r="K1064" s="4" t="s">
        <v>12487</v>
      </c>
      <c r="L1064" s="4" t="s">
        <v>12488</v>
      </c>
      <c r="M1064" s="4" t="s">
        <v>12489</v>
      </c>
      <c r="N1064" s="4" t="s">
        <v>12490</v>
      </c>
      <c r="O1064" s="4" t="s">
        <v>12491</v>
      </c>
      <c r="S1064" s="4">
        <v>1700004189</v>
      </c>
      <c r="T1064" s="4">
        <v>1800024346</v>
      </c>
      <c r="U1064" s="4">
        <v>1900031060</v>
      </c>
      <c r="V1064" s="4">
        <v>2000018143</v>
      </c>
      <c r="W1064" s="4">
        <v>2000019009</v>
      </c>
      <c r="X1064" s="4">
        <v>2000026195</v>
      </c>
      <c r="Y1064" s="4">
        <v>2000028008</v>
      </c>
      <c r="Z1064" s="4">
        <v>2000034034</v>
      </c>
      <c r="AA1064" s="4">
        <v>2100006056</v>
      </c>
      <c r="AE1064" s="4" t="s">
        <v>201</v>
      </c>
      <c r="AF1064" s="4" t="s">
        <v>924</v>
      </c>
      <c r="AG1064" s="4" t="s">
        <v>185</v>
      </c>
      <c r="AH1064" s="4" t="s">
        <v>179</v>
      </c>
      <c r="AI1064" s="4" t="s">
        <v>705</v>
      </c>
      <c r="AJ1064" s="4" t="s">
        <v>570</v>
      </c>
      <c r="AK1064" s="4" t="s">
        <v>678</v>
      </c>
      <c r="AL1064" s="4" t="s">
        <v>534</v>
      </c>
      <c r="AM1064" s="4" t="s">
        <v>745</v>
      </c>
      <c r="AQ1064" s="4" t="s">
        <v>187</v>
      </c>
      <c r="AR1064" s="4" t="s">
        <v>187</v>
      </c>
      <c r="AS1064" s="4" t="s">
        <v>186</v>
      </c>
      <c r="AT1064" s="4" t="s">
        <v>187</v>
      </c>
      <c r="AU1064" s="4" t="s">
        <v>186</v>
      </c>
      <c r="AV1064" s="4" t="s">
        <v>186</v>
      </c>
      <c r="AW1064" s="4" t="s">
        <v>187</v>
      </c>
      <c r="AX1064" s="4" t="s">
        <v>187</v>
      </c>
      <c r="AY1064" s="4" t="s">
        <v>186</v>
      </c>
      <c r="BC1064" s="4">
        <v>8814109695</v>
      </c>
      <c r="BD1064" s="4">
        <v>83187878951</v>
      </c>
      <c r="BE1064" s="4">
        <v>89501077547</v>
      </c>
      <c r="BF1064" s="4">
        <v>85245049958</v>
      </c>
      <c r="BG1064" s="4">
        <v>89652673110</v>
      </c>
      <c r="BH1064" s="4">
        <v>87745517360</v>
      </c>
      <c r="BI1064" s="4">
        <v>89674233941</v>
      </c>
      <c r="BJ1064" s="4">
        <v>81327340226</v>
      </c>
      <c r="BK1064" s="4">
        <v>88225209276</v>
      </c>
      <c r="BR1064" s="8"/>
    </row>
    <row r="1065" spans="1:70" ht="12.5">
      <c r="A1065" s="4" t="str">
        <v>Alternatif Periode ke-91 I.D.3</v>
      </c>
      <c r="B1065" s="4" t="s">
        <v>12396</v>
      </c>
      <c r="C1065" s="4" t="s">
        <v>654</v>
      </c>
      <c r="D1065" s="4" t="s">
        <v>8895</v>
      </c>
      <c r="E1065" s="4" t="s">
        <v>12397</v>
      </c>
      <c r="F1065" s="4" t="s">
        <v>520</v>
      </c>
      <c r="G1065" s="4" t="s">
        <v>12492</v>
      </c>
      <c r="H1065" s="4" t="s">
        <v>12493</v>
      </c>
      <c r="I1065" s="4" t="s">
        <v>12494</v>
      </c>
      <c r="J1065" s="4" t="s">
        <v>12495</v>
      </c>
      <c r="K1065" s="4" t="s">
        <v>12496</v>
      </c>
      <c r="L1065" s="4" t="s">
        <v>12497</v>
      </c>
      <c r="M1065" s="4" t="s">
        <v>12498</v>
      </c>
      <c r="N1065" s="4" t="s">
        <v>12499</v>
      </c>
      <c r="O1065" s="4" t="s">
        <v>12500</v>
      </c>
      <c r="S1065" s="4">
        <v>1800004050</v>
      </c>
      <c r="T1065" s="4">
        <v>1800018137</v>
      </c>
      <c r="U1065" s="4">
        <v>1800024253</v>
      </c>
      <c r="V1065" s="4">
        <v>1900030336</v>
      </c>
      <c r="W1065" s="4">
        <v>2000006006</v>
      </c>
      <c r="X1065" s="4">
        <v>2000019090</v>
      </c>
      <c r="Y1065" s="4">
        <v>2000026147</v>
      </c>
      <c r="Z1065" s="4">
        <v>2000036074</v>
      </c>
      <c r="AA1065" s="4">
        <v>2100031070</v>
      </c>
      <c r="AE1065" s="4" t="s">
        <v>201</v>
      </c>
      <c r="AF1065" s="4" t="s">
        <v>179</v>
      </c>
      <c r="AG1065" s="4" t="s">
        <v>924</v>
      </c>
      <c r="AH1065" s="4" t="s">
        <v>184</v>
      </c>
      <c r="AI1065" s="4" t="s">
        <v>745</v>
      </c>
      <c r="AJ1065" s="4" t="s">
        <v>705</v>
      </c>
      <c r="AK1065" s="4" t="s">
        <v>570</v>
      </c>
      <c r="AL1065" s="4" t="s">
        <v>227</v>
      </c>
      <c r="AM1065" s="4" t="s">
        <v>185</v>
      </c>
      <c r="AQ1065" s="4" t="s">
        <v>187</v>
      </c>
      <c r="AR1065" s="4" t="s">
        <v>187</v>
      </c>
      <c r="AS1065" s="4" t="s">
        <v>187</v>
      </c>
      <c r="AT1065" s="4" t="s">
        <v>187</v>
      </c>
      <c r="AU1065" s="4" t="s">
        <v>186</v>
      </c>
      <c r="AV1065" s="4" t="s">
        <v>186</v>
      </c>
      <c r="AW1065" s="4" t="s">
        <v>186</v>
      </c>
      <c r="AX1065" s="4" t="s">
        <v>187</v>
      </c>
      <c r="AY1065" s="4" t="s">
        <v>186</v>
      </c>
      <c r="BC1065" s="4">
        <v>8985387421</v>
      </c>
      <c r="BD1065" s="4">
        <v>82291637315</v>
      </c>
      <c r="BE1065" s="4">
        <v>85162628433</v>
      </c>
      <c r="BF1065" s="4">
        <v>85602838404</v>
      </c>
      <c r="BG1065" s="4">
        <v>85643429262</v>
      </c>
      <c r="BH1065" s="4">
        <v>8975077539</v>
      </c>
      <c r="BI1065" s="4">
        <v>82225090467</v>
      </c>
      <c r="BJ1065" s="4" t="s">
        <v>12501</v>
      </c>
      <c r="BK1065" s="4">
        <v>89666936903</v>
      </c>
      <c r="BR1065" s="8"/>
    </row>
    <row r="1066" spans="1:70" ht="12.5">
      <c r="A1066" s="4" t="str">
        <v>Alternatif Periode ke-91 II.A.1</v>
      </c>
      <c r="B1066" s="4" t="s">
        <v>12396</v>
      </c>
      <c r="C1066" s="4" t="s">
        <v>680</v>
      </c>
      <c r="D1066" s="4" t="s">
        <v>1946</v>
      </c>
      <c r="E1066" s="4" t="s">
        <v>12397</v>
      </c>
      <c r="F1066" s="4" t="s">
        <v>520</v>
      </c>
      <c r="G1066" s="4" t="s">
        <v>12502</v>
      </c>
      <c r="H1066" s="4" t="s">
        <v>12503</v>
      </c>
      <c r="I1066" s="4" t="s">
        <v>12504</v>
      </c>
      <c r="J1066" s="4" t="s">
        <v>12505</v>
      </c>
      <c r="K1066" s="4" t="s">
        <v>12506</v>
      </c>
      <c r="L1066" s="4" t="s">
        <v>12507</v>
      </c>
      <c r="M1066" s="4" t="s">
        <v>12508</v>
      </c>
      <c r="N1066" s="4" t="s">
        <v>12509</v>
      </c>
      <c r="O1066" s="4" t="s">
        <v>12510</v>
      </c>
      <c r="S1066" s="4">
        <v>1700007008</v>
      </c>
      <c r="T1066" s="4">
        <v>1700030324</v>
      </c>
      <c r="U1066" s="4">
        <v>1900026115</v>
      </c>
      <c r="V1066" s="4">
        <v>2000005377</v>
      </c>
      <c r="W1066" s="4">
        <v>2000018309</v>
      </c>
      <c r="X1066" s="4">
        <v>2000019168</v>
      </c>
      <c r="Y1066" s="4">
        <v>2000024094</v>
      </c>
      <c r="Z1066" s="4">
        <v>2000331029</v>
      </c>
      <c r="AA1066" s="4">
        <v>2100031039</v>
      </c>
      <c r="AE1066" s="4" t="s">
        <v>1021</v>
      </c>
      <c r="AF1066" s="4" t="s">
        <v>184</v>
      </c>
      <c r="AG1066" s="4" t="s">
        <v>570</v>
      </c>
      <c r="AH1066" s="4" t="s">
        <v>181</v>
      </c>
      <c r="AI1066" s="4" t="s">
        <v>179</v>
      </c>
      <c r="AJ1066" s="4" t="s">
        <v>705</v>
      </c>
      <c r="AK1066" s="4" t="s">
        <v>924</v>
      </c>
      <c r="AL1066" s="4" t="s">
        <v>546</v>
      </c>
      <c r="AM1066" s="4" t="s">
        <v>185</v>
      </c>
      <c r="AQ1066" s="4" t="s">
        <v>186</v>
      </c>
      <c r="AR1066" s="4" t="s">
        <v>187</v>
      </c>
      <c r="AS1066" s="4" t="s">
        <v>186</v>
      </c>
      <c r="AT1066" s="4" t="s">
        <v>187</v>
      </c>
      <c r="AU1066" s="4" t="s">
        <v>187</v>
      </c>
      <c r="AV1066" s="4" t="s">
        <v>186</v>
      </c>
      <c r="AW1066" s="4" t="s">
        <v>187</v>
      </c>
      <c r="AX1066" s="4" t="s">
        <v>187</v>
      </c>
      <c r="AY1066" s="4" t="s">
        <v>186</v>
      </c>
      <c r="BC1066" s="4">
        <v>87839800348</v>
      </c>
      <c r="BD1066" s="4">
        <v>85156896916</v>
      </c>
      <c r="BE1066" s="4">
        <v>85242067743</v>
      </c>
      <c r="BF1066" s="4">
        <v>895399786784</v>
      </c>
      <c r="BG1066" s="4">
        <v>85365268722</v>
      </c>
      <c r="BH1066" s="4">
        <v>82284727167</v>
      </c>
      <c r="BI1066" s="4">
        <v>85333855766</v>
      </c>
      <c r="BJ1066" s="4">
        <v>6285248907219</v>
      </c>
      <c r="BK1066" s="4">
        <v>82180298359</v>
      </c>
      <c r="BR1066" s="8"/>
    </row>
    <row r="1067" spans="1:70" ht="12.5">
      <c r="A1067" s="4" t="str">
        <v>Alternatif Periode ke-91 II.A.2</v>
      </c>
      <c r="B1067" s="4" t="s">
        <v>12396</v>
      </c>
      <c r="C1067" s="4" t="s">
        <v>694</v>
      </c>
      <c r="D1067" s="4" t="s">
        <v>1946</v>
      </c>
      <c r="E1067" s="4" t="s">
        <v>12397</v>
      </c>
      <c r="F1067" s="4" t="s">
        <v>520</v>
      </c>
      <c r="G1067" s="4" t="s">
        <v>12511</v>
      </c>
      <c r="H1067" s="4" t="s">
        <v>12512</v>
      </c>
      <c r="I1067" s="4" t="s">
        <v>8387</v>
      </c>
      <c r="J1067" s="4" t="s">
        <v>12513</v>
      </c>
      <c r="K1067" s="4" t="s">
        <v>12514</v>
      </c>
      <c r="L1067" s="4" t="s">
        <v>12515</v>
      </c>
      <c r="M1067" s="4" t="s">
        <v>12516</v>
      </c>
      <c r="N1067" s="4" t="s">
        <v>12517</v>
      </c>
      <c r="O1067" s="4" t="s">
        <v>12518</v>
      </c>
      <c r="S1067" s="4">
        <v>1800024336</v>
      </c>
      <c r="T1067" s="4">
        <v>2000005161</v>
      </c>
      <c r="U1067" s="4">
        <v>2000018225</v>
      </c>
      <c r="V1067" s="4">
        <v>2000019067</v>
      </c>
      <c r="W1067" s="4">
        <v>2000026150</v>
      </c>
      <c r="X1067" s="4">
        <v>2000030136</v>
      </c>
      <c r="Y1067" s="4">
        <v>2000331007</v>
      </c>
      <c r="Z1067" s="4">
        <v>2100007011</v>
      </c>
      <c r="AA1067" s="4">
        <v>2100031049</v>
      </c>
      <c r="AE1067" s="4" t="s">
        <v>924</v>
      </c>
      <c r="AF1067" s="4" t="s">
        <v>181</v>
      </c>
      <c r="AG1067" s="4" t="s">
        <v>179</v>
      </c>
      <c r="AH1067" s="4" t="s">
        <v>705</v>
      </c>
      <c r="AI1067" s="4" t="s">
        <v>570</v>
      </c>
      <c r="AJ1067" s="4" t="s">
        <v>184</v>
      </c>
      <c r="AK1067" s="4" t="s">
        <v>546</v>
      </c>
      <c r="AL1067" s="4" t="s">
        <v>1021</v>
      </c>
      <c r="AM1067" s="4" t="s">
        <v>185</v>
      </c>
      <c r="AQ1067" s="4" t="s">
        <v>187</v>
      </c>
      <c r="AR1067" s="4" t="s">
        <v>187</v>
      </c>
      <c r="AS1067" s="4" t="s">
        <v>187</v>
      </c>
      <c r="AT1067" s="4" t="s">
        <v>186</v>
      </c>
      <c r="AU1067" s="4" t="s">
        <v>186</v>
      </c>
      <c r="AV1067" s="4" t="s">
        <v>187</v>
      </c>
      <c r="AW1067" s="4" t="s">
        <v>187</v>
      </c>
      <c r="AX1067" s="4" t="s">
        <v>186</v>
      </c>
      <c r="AY1067" s="4" t="s">
        <v>186</v>
      </c>
      <c r="BC1067" s="4">
        <v>82296161354</v>
      </c>
      <c r="BD1067" s="4">
        <v>82328356101</v>
      </c>
      <c r="BE1067" s="4">
        <v>81298315954</v>
      </c>
      <c r="BF1067" s="4">
        <v>89608977791</v>
      </c>
      <c r="BG1067" s="4">
        <v>81317342737</v>
      </c>
      <c r="BH1067" s="4">
        <v>82328541850</v>
      </c>
      <c r="BI1067" s="4">
        <v>87874771890</v>
      </c>
      <c r="BJ1067" s="4">
        <v>81392789252</v>
      </c>
      <c r="BK1067" s="4">
        <v>82232983116</v>
      </c>
      <c r="BR1067" s="8"/>
    </row>
    <row r="1068" spans="1:70" ht="12.5">
      <c r="A1068" s="4" t="str">
        <v>Alternatif Periode ke-91 II.A.3</v>
      </c>
      <c r="B1068" s="4" t="s">
        <v>12396</v>
      </c>
      <c r="C1068" s="4" t="s">
        <v>707</v>
      </c>
      <c r="D1068" s="4" t="s">
        <v>1946</v>
      </c>
      <c r="E1068" s="4" t="s">
        <v>12397</v>
      </c>
      <c r="F1068" s="4" t="s">
        <v>520</v>
      </c>
      <c r="G1068" s="4" t="s">
        <v>12519</v>
      </c>
      <c r="H1068" s="4" t="s">
        <v>12520</v>
      </c>
      <c r="I1068" s="4" t="s">
        <v>12521</v>
      </c>
      <c r="J1068" s="4" t="s">
        <v>12522</v>
      </c>
      <c r="K1068" s="4" t="s">
        <v>12523</v>
      </c>
      <c r="L1068" s="4" t="s">
        <v>12524</v>
      </c>
      <c r="M1068" s="4" t="s">
        <v>12525</v>
      </c>
      <c r="N1068" s="4" t="s">
        <v>12526</v>
      </c>
      <c r="O1068" s="4" t="s">
        <v>12527</v>
      </c>
      <c r="S1068" s="4">
        <v>1900027033</v>
      </c>
      <c r="T1068" s="4">
        <v>1900030120</v>
      </c>
      <c r="U1068" s="4">
        <v>2000006032</v>
      </c>
      <c r="V1068" s="4">
        <v>2000008041</v>
      </c>
      <c r="W1068" s="4">
        <v>2000018176</v>
      </c>
      <c r="X1068" s="4">
        <v>2000020080</v>
      </c>
      <c r="Y1068" s="4">
        <v>2000024271</v>
      </c>
      <c r="Z1068" s="4">
        <v>2000331028</v>
      </c>
      <c r="AA1068" s="4">
        <v>2100031142</v>
      </c>
      <c r="AE1068" s="4" t="s">
        <v>1763</v>
      </c>
      <c r="AF1068" s="4" t="s">
        <v>184</v>
      </c>
      <c r="AG1068" s="4" t="s">
        <v>745</v>
      </c>
      <c r="AH1068" s="4" t="s">
        <v>1111</v>
      </c>
      <c r="AI1068" s="4" t="s">
        <v>179</v>
      </c>
      <c r="AJ1068" s="4" t="s">
        <v>351</v>
      </c>
      <c r="AK1068" s="4" t="s">
        <v>924</v>
      </c>
      <c r="AL1068" s="4" t="s">
        <v>546</v>
      </c>
      <c r="AM1068" s="4" t="s">
        <v>185</v>
      </c>
      <c r="AQ1068" s="4" t="s">
        <v>186</v>
      </c>
      <c r="AR1068" s="4" t="s">
        <v>187</v>
      </c>
      <c r="AS1068" s="4" t="s">
        <v>187</v>
      </c>
      <c r="AT1068" s="4" t="s">
        <v>186</v>
      </c>
      <c r="AU1068" s="4" t="s">
        <v>187</v>
      </c>
      <c r="AV1068" s="4" t="s">
        <v>186</v>
      </c>
      <c r="AW1068" s="4" t="s">
        <v>187</v>
      </c>
      <c r="AX1068" s="4" t="s">
        <v>187</v>
      </c>
      <c r="AY1068" s="4" t="s">
        <v>186</v>
      </c>
      <c r="BC1068" s="4">
        <v>85156782192</v>
      </c>
      <c r="BD1068" s="4">
        <v>81374528229</v>
      </c>
      <c r="BE1068" s="4">
        <v>877772555438</v>
      </c>
      <c r="BF1068" s="4">
        <v>81328436548</v>
      </c>
      <c r="BG1068" s="4">
        <v>81390890473</v>
      </c>
      <c r="BH1068" s="4">
        <v>89512474309</v>
      </c>
      <c r="BI1068" s="4">
        <v>83846668501</v>
      </c>
      <c r="BJ1068" s="4">
        <v>82230619304</v>
      </c>
      <c r="BK1068" s="4">
        <v>895405071642</v>
      </c>
      <c r="BR1068" s="8"/>
    </row>
    <row r="1069" spans="1:70" ht="12.5">
      <c r="A1069" s="4" t="str">
        <v>Alternatif Periode ke-91 II.B.1</v>
      </c>
      <c r="B1069" s="4" t="s">
        <v>12396</v>
      </c>
      <c r="C1069" s="4" t="s">
        <v>719</v>
      </c>
      <c r="D1069" s="4" t="s">
        <v>12528</v>
      </c>
      <c r="E1069" s="4" t="s">
        <v>12397</v>
      </c>
      <c r="F1069" s="4" t="s">
        <v>520</v>
      </c>
      <c r="G1069" s="4" t="s">
        <v>7377</v>
      </c>
      <c r="H1069" s="4" t="s">
        <v>12529</v>
      </c>
      <c r="I1069" s="4" t="s">
        <v>12530</v>
      </c>
      <c r="J1069" s="4" t="s">
        <v>12531</v>
      </c>
      <c r="K1069" s="4" t="s">
        <v>12532</v>
      </c>
      <c r="L1069" s="4" t="s">
        <v>12533</v>
      </c>
      <c r="M1069" s="4" t="s">
        <v>12534</v>
      </c>
      <c r="N1069" s="4" t="s">
        <v>12535</v>
      </c>
      <c r="O1069" s="4" t="s">
        <v>12536</v>
      </c>
      <c r="S1069" s="4">
        <v>1900018278</v>
      </c>
      <c r="T1069" s="4">
        <v>1900024330</v>
      </c>
      <c r="U1069" s="4">
        <v>1900027086</v>
      </c>
      <c r="V1069" s="4">
        <v>2000008036</v>
      </c>
      <c r="W1069" s="4">
        <v>2000020044</v>
      </c>
      <c r="X1069" s="4">
        <v>2000030151</v>
      </c>
      <c r="Y1069" s="4">
        <v>2000070025</v>
      </c>
      <c r="Z1069" s="4">
        <v>2100006061</v>
      </c>
      <c r="AA1069" s="4">
        <v>2100031038</v>
      </c>
      <c r="AE1069" s="4" t="s">
        <v>179</v>
      </c>
      <c r="AF1069" s="4" t="s">
        <v>924</v>
      </c>
      <c r="AG1069" s="4" t="s">
        <v>1763</v>
      </c>
      <c r="AH1069" s="4" t="s">
        <v>1111</v>
      </c>
      <c r="AI1069" s="4" t="s">
        <v>351</v>
      </c>
      <c r="AJ1069" s="4" t="s">
        <v>184</v>
      </c>
      <c r="AK1069" s="4" t="s">
        <v>2473</v>
      </c>
      <c r="AL1069" s="4" t="s">
        <v>745</v>
      </c>
      <c r="AM1069" s="4" t="s">
        <v>185</v>
      </c>
      <c r="AQ1069" s="4" t="s">
        <v>187</v>
      </c>
      <c r="AR1069" s="4" t="s">
        <v>187</v>
      </c>
      <c r="AS1069" s="4" t="s">
        <v>186</v>
      </c>
      <c r="AT1069" s="4" t="s">
        <v>186</v>
      </c>
      <c r="AU1069" s="4" t="s">
        <v>186</v>
      </c>
      <c r="AV1069" s="4" t="s">
        <v>187</v>
      </c>
      <c r="AW1069" s="4" t="s">
        <v>187</v>
      </c>
      <c r="AX1069" s="4" t="s">
        <v>187</v>
      </c>
      <c r="AY1069" s="4" t="s">
        <v>186</v>
      </c>
      <c r="BC1069" s="4">
        <v>81355614231</v>
      </c>
      <c r="BD1069" s="4">
        <v>81282078373</v>
      </c>
      <c r="BE1069" s="4">
        <v>88239902485</v>
      </c>
      <c r="BF1069" s="4">
        <v>85641535787</v>
      </c>
      <c r="BG1069" s="4">
        <v>859123019047</v>
      </c>
      <c r="BH1069" s="4">
        <v>81255046223</v>
      </c>
      <c r="BI1069" s="4">
        <v>81271071247</v>
      </c>
      <c r="BJ1069" s="4">
        <v>82219610707</v>
      </c>
      <c r="BK1069" s="4">
        <v>85724670815</v>
      </c>
      <c r="BR1069" s="8"/>
    </row>
    <row r="1070" spans="1:70" ht="12.5">
      <c r="A1070" s="4" t="str">
        <v>Alternatif Periode ke-91 II.B.2</v>
      </c>
      <c r="B1070" s="4" t="s">
        <v>12396</v>
      </c>
      <c r="C1070" s="4" t="s">
        <v>734</v>
      </c>
      <c r="D1070" s="4" t="s">
        <v>12528</v>
      </c>
      <c r="E1070" s="4" t="s">
        <v>12397</v>
      </c>
      <c r="F1070" s="4" t="s">
        <v>520</v>
      </c>
      <c r="G1070" s="4" t="s">
        <v>12537</v>
      </c>
      <c r="H1070" s="4" t="s">
        <v>12538</v>
      </c>
      <c r="I1070" s="4" t="s">
        <v>12539</v>
      </c>
      <c r="J1070" s="4" t="s">
        <v>12540</v>
      </c>
      <c r="K1070" s="4" t="s">
        <v>12541</v>
      </c>
      <c r="L1070" s="4" t="s">
        <v>12542</v>
      </c>
      <c r="M1070" s="4" t="s">
        <v>9062</v>
      </c>
      <c r="N1070" s="4" t="s">
        <v>12543</v>
      </c>
      <c r="O1070" s="4" t="s">
        <v>12544</v>
      </c>
      <c r="S1070" s="4">
        <v>1900001203</v>
      </c>
      <c r="T1070" s="4">
        <v>1900009058</v>
      </c>
      <c r="U1070" s="4">
        <v>1900031024</v>
      </c>
      <c r="V1070" s="4">
        <v>1911008062</v>
      </c>
      <c r="W1070" s="4">
        <v>2000018449</v>
      </c>
      <c r="X1070" s="4">
        <v>2000020008</v>
      </c>
      <c r="Y1070" s="4">
        <v>2000030084</v>
      </c>
      <c r="Z1070" s="4">
        <v>2100024044</v>
      </c>
      <c r="AA1070" s="4">
        <v>2111027031</v>
      </c>
      <c r="AE1070" s="4" t="s">
        <v>180</v>
      </c>
      <c r="AF1070" s="4" t="s">
        <v>952</v>
      </c>
      <c r="AG1070" s="4" t="s">
        <v>185</v>
      </c>
      <c r="AH1070" s="4" t="s">
        <v>1111</v>
      </c>
      <c r="AI1070" s="4" t="s">
        <v>179</v>
      </c>
      <c r="AJ1070" s="4" t="s">
        <v>351</v>
      </c>
      <c r="AK1070" s="4" t="s">
        <v>184</v>
      </c>
      <c r="AL1070" s="4" t="s">
        <v>924</v>
      </c>
      <c r="AM1070" s="4" t="s">
        <v>1763</v>
      </c>
      <c r="AQ1070" s="4" t="s">
        <v>186</v>
      </c>
      <c r="AR1070" s="4" t="s">
        <v>186</v>
      </c>
      <c r="AS1070" s="4" t="s">
        <v>186</v>
      </c>
      <c r="AT1070" s="4" t="s">
        <v>187</v>
      </c>
      <c r="AU1070" s="4" t="s">
        <v>187</v>
      </c>
      <c r="AV1070" s="4" t="s">
        <v>186</v>
      </c>
      <c r="AW1070" s="4" t="s">
        <v>187</v>
      </c>
      <c r="AX1070" s="4" t="s">
        <v>187</v>
      </c>
      <c r="AY1070" s="4" t="s">
        <v>186</v>
      </c>
      <c r="BC1070" s="4">
        <v>81215827719</v>
      </c>
      <c r="BD1070" s="4">
        <v>81225899757</v>
      </c>
      <c r="BE1070" s="4">
        <v>82223183219</v>
      </c>
      <c r="BF1070" s="4">
        <v>82288959006</v>
      </c>
      <c r="BG1070" s="4">
        <v>85333003543</v>
      </c>
      <c r="BH1070" s="4">
        <v>895364939284</v>
      </c>
      <c r="BI1070" s="4">
        <v>85229644103</v>
      </c>
      <c r="BJ1070" s="4">
        <v>88225421304</v>
      </c>
      <c r="BK1070" s="4">
        <v>82269946544</v>
      </c>
      <c r="BR1070" s="8"/>
    </row>
    <row r="1071" spans="1:70" ht="12.5">
      <c r="A1071" s="4" t="str">
        <v>Alternatif Periode ke-91 II.B.3</v>
      </c>
      <c r="B1071" s="4" t="s">
        <v>12396</v>
      </c>
      <c r="C1071" s="4" t="s">
        <v>747</v>
      </c>
      <c r="D1071" s="4" t="s">
        <v>12528</v>
      </c>
      <c r="E1071" s="4" t="s">
        <v>12397</v>
      </c>
      <c r="F1071" s="4" t="s">
        <v>520</v>
      </c>
      <c r="G1071" s="4" t="s">
        <v>12545</v>
      </c>
      <c r="H1071" s="4" t="s">
        <v>12546</v>
      </c>
      <c r="I1071" s="4" t="s">
        <v>12547</v>
      </c>
      <c r="J1071" s="4" t="s">
        <v>12548</v>
      </c>
      <c r="K1071" s="4" t="s">
        <v>12549</v>
      </c>
      <c r="L1071" s="4" t="s">
        <v>12550</v>
      </c>
      <c r="M1071" s="4" t="s">
        <v>12551</v>
      </c>
      <c r="N1071" s="4" t="s">
        <v>12552</v>
      </c>
      <c r="O1071" s="4" t="s">
        <v>12553</v>
      </c>
      <c r="S1071" s="4">
        <v>1800010003</v>
      </c>
      <c r="T1071" s="4">
        <v>1800030156</v>
      </c>
      <c r="U1071" s="4">
        <v>2000020056</v>
      </c>
      <c r="V1071" s="4">
        <v>2000024321</v>
      </c>
      <c r="W1071" s="4">
        <v>2000028084</v>
      </c>
      <c r="X1071" s="4">
        <v>2100001009</v>
      </c>
      <c r="Y1071" s="4">
        <v>2100009002</v>
      </c>
      <c r="Z1071" s="4">
        <v>2100018438</v>
      </c>
      <c r="AA1071" s="4">
        <v>2100031061</v>
      </c>
      <c r="AE1071" s="4" t="s">
        <v>532</v>
      </c>
      <c r="AF1071" s="4" t="s">
        <v>184</v>
      </c>
      <c r="AG1071" s="4" t="s">
        <v>351</v>
      </c>
      <c r="AH1071" s="4" t="s">
        <v>924</v>
      </c>
      <c r="AI1071" s="4" t="s">
        <v>678</v>
      </c>
      <c r="AJ1071" s="4" t="s">
        <v>180</v>
      </c>
      <c r="AK1071" s="4" t="s">
        <v>952</v>
      </c>
      <c r="AL1071" s="4" t="s">
        <v>179</v>
      </c>
      <c r="AM1071" s="4" t="s">
        <v>185</v>
      </c>
      <c r="AQ1071" s="4" t="s">
        <v>187</v>
      </c>
      <c r="AR1071" s="4" t="s">
        <v>187</v>
      </c>
      <c r="AS1071" s="4" t="s">
        <v>186</v>
      </c>
      <c r="AT1071" s="4" t="s">
        <v>187</v>
      </c>
      <c r="AU1071" s="4" t="s">
        <v>186</v>
      </c>
      <c r="AV1071" s="4" t="s">
        <v>186</v>
      </c>
      <c r="AW1071" s="4" t="s">
        <v>186</v>
      </c>
      <c r="AX1071" s="4" t="s">
        <v>187</v>
      </c>
      <c r="AY1071" s="4" t="s">
        <v>186</v>
      </c>
      <c r="BC1071" s="4">
        <v>81930031528</v>
      </c>
      <c r="BD1071" s="4">
        <v>85789454544</v>
      </c>
      <c r="BE1071" s="4">
        <v>83113368091</v>
      </c>
      <c r="BF1071" s="4">
        <v>81329343123</v>
      </c>
      <c r="BG1071" s="4">
        <v>81328763503</v>
      </c>
      <c r="BH1071" s="4">
        <v>82134951078</v>
      </c>
      <c r="BI1071" s="4">
        <v>8813969839</v>
      </c>
      <c r="BJ1071" s="4">
        <v>81236688118</v>
      </c>
      <c r="BK1071" s="4">
        <v>89649332965</v>
      </c>
      <c r="BR1071" s="8"/>
    </row>
    <row r="1072" spans="1:70" ht="12.5">
      <c r="A1072" s="4" t="str">
        <v>Alternatif Periode ke-91 II.C.1</v>
      </c>
      <c r="B1072" s="4" t="s">
        <v>12396</v>
      </c>
      <c r="C1072" s="4" t="s">
        <v>772</v>
      </c>
      <c r="D1072" s="4" t="s">
        <v>10145</v>
      </c>
      <c r="E1072" s="4" t="s">
        <v>12397</v>
      </c>
      <c r="F1072" s="4" t="s">
        <v>520</v>
      </c>
      <c r="G1072" s="4" t="s">
        <v>12554</v>
      </c>
      <c r="H1072" s="4" t="s">
        <v>12555</v>
      </c>
      <c r="I1072" s="4" t="s">
        <v>12556</v>
      </c>
      <c r="J1072" s="4" t="s">
        <v>12557</v>
      </c>
      <c r="K1072" s="4" t="s">
        <v>12558</v>
      </c>
      <c r="L1072" s="4" t="s">
        <v>12559</v>
      </c>
      <c r="M1072" s="4" t="s">
        <v>12560</v>
      </c>
      <c r="N1072" s="4" t="s">
        <v>12561</v>
      </c>
      <c r="O1072" s="4" t="s">
        <v>12562</v>
      </c>
      <c r="S1072" s="4">
        <v>1700010200</v>
      </c>
      <c r="T1072" s="4">
        <v>1800010073</v>
      </c>
      <c r="U1072" s="4">
        <v>1800028028</v>
      </c>
      <c r="V1072" s="4">
        <v>1900025027</v>
      </c>
      <c r="W1072" s="4">
        <v>1900031213</v>
      </c>
      <c r="X1072" s="4">
        <v>2000020034</v>
      </c>
      <c r="Y1072" s="4">
        <v>2000030061</v>
      </c>
      <c r="Z1072" s="4">
        <v>2100001100</v>
      </c>
      <c r="AA1072" s="4">
        <v>2100018200</v>
      </c>
      <c r="AE1072" s="4" t="s">
        <v>532</v>
      </c>
      <c r="AF1072" s="4" t="s">
        <v>532</v>
      </c>
      <c r="AG1072" s="4" t="s">
        <v>678</v>
      </c>
      <c r="AH1072" s="4" t="s">
        <v>1168</v>
      </c>
      <c r="AI1072" s="4" t="s">
        <v>185</v>
      </c>
      <c r="AJ1072" s="4" t="s">
        <v>351</v>
      </c>
      <c r="AK1072" s="4" t="s">
        <v>184</v>
      </c>
      <c r="AL1072" s="4" t="s">
        <v>180</v>
      </c>
      <c r="AM1072" s="4" t="s">
        <v>179</v>
      </c>
      <c r="AQ1072" s="4" t="s">
        <v>187</v>
      </c>
      <c r="AR1072" s="4" t="s">
        <v>186</v>
      </c>
      <c r="AS1072" s="4" t="s">
        <v>186</v>
      </c>
      <c r="AT1072" s="4" t="s">
        <v>187</v>
      </c>
      <c r="AU1072" s="4" t="s">
        <v>186</v>
      </c>
      <c r="AV1072" s="4" t="s">
        <v>186</v>
      </c>
      <c r="AW1072" s="4" t="s">
        <v>187</v>
      </c>
      <c r="AX1072" s="4" t="s">
        <v>186</v>
      </c>
      <c r="AY1072" s="4" t="s">
        <v>187</v>
      </c>
      <c r="BC1072" s="4">
        <v>87732175722</v>
      </c>
      <c r="BD1072" s="4">
        <v>85150775796</v>
      </c>
      <c r="BE1072" s="4">
        <v>82223420147</v>
      </c>
      <c r="BF1072" s="4">
        <v>81391123017</v>
      </c>
      <c r="BG1072" s="4">
        <v>82224188009</v>
      </c>
      <c r="BH1072" s="4">
        <v>82146538939</v>
      </c>
      <c r="BI1072" s="4">
        <v>85294619251</v>
      </c>
      <c r="BJ1072" s="4" t="s">
        <v>12563</v>
      </c>
      <c r="BK1072" s="4">
        <v>85173433063</v>
      </c>
      <c r="BR1072" s="8"/>
    </row>
    <row r="1073" spans="1:70" ht="12.5">
      <c r="A1073" s="4" t="str">
        <v>Alternatif Periode ke-91 II.C.2</v>
      </c>
      <c r="B1073" s="4" t="s">
        <v>12396</v>
      </c>
      <c r="C1073" s="4" t="s">
        <v>785</v>
      </c>
      <c r="D1073" s="4" t="s">
        <v>10145</v>
      </c>
      <c r="E1073" s="4" t="s">
        <v>12397</v>
      </c>
      <c r="F1073" s="4" t="s">
        <v>520</v>
      </c>
      <c r="G1073" s="4" t="s">
        <v>12564</v>
      </c>
      <c r="H1073" s="4" t="s">
        <v>10770</v>
      </c>
      <c r="I1073" s="4" t="s">
        <v>12565</v>
      </c>
      <c r="J1073" s="4" t="s">
        <v>12566</v>
      </c>
      <c r="K1073" s="4" t="s">
        <v>12567</v>
      </c>
      <c r="L1073" s="4" t="s">
        <v>12568</v>
      </c>
      <c r="M1073" s="4" t="s">
        <v>12569</v>
      </c>
      <c r="N1073" s="4" t="s">
        <v>12570</v>
      </c>
      <c r="O1073" s="4" t="s">
        <v>12571</v>
      </c>
      <c r="S1073" s="4">
        <v>1800030153</v>
      </c>
      <c r="T1073" s="4">
        <v>2000010025</v>
      </c>
      <c r="U1073" s="4">
        <v>2000010045</v>
      </c>
      <c r="V1073" s="4">
        <v>2000018151</v>
      </c>
      <c r="W1073" s="4">
        <v>2000023223</v>
      </c>
      <c r="X1073" s="4">
        <v>2000025104</v>
      </c>
      <c r="Y1073" s="4">
        <v>2100001075</v>
      </c>
      <c r="Z1073" s="4">
        <v>2100028033</v>
      </c>
      <c r="AA1073" s="4">
        <v>2100031065</v>
      </c>
      <c r="AE1073" s="4" t="s">
        <v>184</v>
      </c>
      <c r="AF1073" s="4" t="s">
        <v>532</v>
      </c>
      <c r="AG1073" s="4" t="s">
        <v>532</v>
      </c>
      <c r="AH1073" s="4" t="s">
        <v>179</v>
      </c>
      <c r="AI1073" s="4" t="s">
        <v>899</v>
      </c>
      <c r="AJ1073" s="4" t="s">
        <v>1168</v>
      </c>
      <c r="AK1073" s="4" t="s">
        <v>180</v>
      </c>
      <c r="AL1073" s="4" t="s">
        <v>678</v>
      </c>
      <c r="AM1073" s="4" t="s">
        <v>185</v>
      </c>
      <c r="AQ1073" s="4" t="s">
        <v>187</v>
      </c>
      <c r="AR1073" s="4" t="s">
        <v>187</v>
      </c>
      <c r="AS1073" s="4" t="s">
        <v>186</v>
      </c>
      <c r="AT1073" s="4" t="s">
        <v>187</v>
      </c>
      <c r="AU1073" s="4" t="s">
        <v>186</v>
      </c>
      <c r="AV1073" s="4" t="s">
        <v>187</v>
      </c>
      <c r="AW1073" s="4" t="s">
        <v>186</v>
      </c>
      <c r="AX1073" s="4" t="s">
        <v>186</v>
      </c>
      <c r="AY1073" s="4" t="s">
        <v>186</v>
      </c>
      <c r="BC1073" s="4">
        <v>82226792155</v>
      </c>
      <c r="BD1073" s="4">
        <v>85900239843</v>
      </c>
      <c r="BE1073" s="4">
        <v>81216919607</v>
      </c>
      <c r="BF1073" s="4">
        <v>82133451494</v>
      </c>
      <c r="BG1073" s="4">
        <v>88803502018</v>
      </c>
      <c r="BH1073" s="4">
        <v>8886618227</v>
      </c>
      <c r="BI1073" s="4">
        <v>89698003913</v>
      </c>
      <c r="BJ1073" s="4">
        <v>82319689959</v>
      </c>
      <c r="BK1073" s="4">
        <v>81229907454</v>
      </c>
      <c r="BR1073" s="8"/>
    </row>
    <row r="1074" spans="1:70" ht="12.5">
      <c r="A1074" s="4" t="str">
        <v>Alternatif Periode ke-91 II.C.3</v>
      </c>
      <c r="B1074" s="4" t="s">
        <v>12396</v>
      </c>
      <c r="C1074" s="4" t="s">
        <v>797</v>
      </c>
      <c r="D1074" s="4" t="s">
        <v>10145</v>
      </c>
      <c r="E1074" s="4" t="s">
        <v>12397</v>
      </c>
      <c r="F1074" s="4" t="s">
        <v>520</v>
      </c>
      <c r="G1074" s="4" t="s">
        <v>12572</v>
      </c>
      <c r="H1074" s="4" t="s">
        <v>12573</v>
      </c>
      <c r="I1074" s="4" t="s">
        <v>12574</v>
      </c>
      <c r="J1074" s="4" t="s">
        <v>8756</v>
      </c>
      <c r="K1074" s="4" t="s">
        <v>12575</v>
      </c>
      <c r="L1074" s="4" t="s">
        <v>12576</v>
      </c>
      <c r="M1074" s="4" t="s">
        <v>12577</v>
      </c>
      <c r="N1074" s="4" t="s">
        <v>12578</v>
      </c>
      <c r="O1074" s="4" t="s">
        <v>12579</v>
      </c>
      <c r="S1074" s="4">
        <v>1700010154</v>
      </c>
      <c r="T1074" s="4">
        <v>1900001016</v>
      </c>
      <c r="U1074" s="4">
        <v>2000011310</v>
      </c>
      <c r="V1074" s="4">
        <v>2000018201</v>
      </c>
      <c r="W1074" s="4">
        <v>2000025061</v>
      </c>
      <c r="X1074" s="4">
        <v>2100023226</v>
      </c>
      <c r="Y1074" s="4">
        <v>2100029101</v>
      </c>
      <c r="Z1074" s="4">
        <v>2100030006</v>
      </c>
      <c r="AA1074" s="4">
        <v>2100031137</v>
      </c>
      <c r="AE1074" s="4" t="s">
        <v>532</v>
      </c>
      <c r="AF1074" s="4" t="s">
        <v>180</v>
      </c>
      <c r="AG1074" s="4" t="s">
        <v>182</v>
      </c>
      <c r="AH1074" s="4" t="s">
        <v>179</v>
      </c>
      <c r="AI1074" s="4" t="s">
        <v>1168</v>
      </c>
      <c r="AJ1074" s="4" t="s">
        <v>899</v>
      </c>
      <c r="AK1074" s="4" t="s">
        <v>533</v>
      </c>
      <c r="AL1074" s="4" t="s">
        <v>184</v>
      </c>
      <c r="AM1074" s="4" t="s">
        <v>185</v>
      </c>
      <c r="AQ1074" s="4" t="s">
        <v>186</v>
      </c>
      <c r="AR1074" s="4" t="s">
        <v>186</v>
      </c>
      <c r="AS1074" s="4" t="s">
        <v>187</v>
      </c>
      <c r="AT1074" s="4" t="s">
        <v>187</v>
      </c>
      <c r="AU1074" s="4" t="s">
        <v>187</v>
      </c>
      <c r="AV1074" s="4" t="s">
        <v>186</v>
      </c>
      <c r="AW1074" s="4" t="s">
        <v>186</v>
      </c>
      <c r="AX1074" s="4" t="s">
        <v>187</v>
      </c>
      <c r="AY1074" s="4" t="s">
        <v>186</v>
      </c>
      <c r="BC1074" s="4">
        <v>895340005758</v>
      </c>
      <c r="BD1074" s="4">
        <v>83865775143</v>
      </c>
      <c r="BE1074" s="4">
        <v>82115606891</v>
      </c>
      <c r="BF1074" s="4">
        <v>85713667446</v>
      </c>
      <c r="BG1074" s="4">
        <v>83867594507</v>
      </c>
      <c r="BH1074" s="4">
        <v>85269882145</v>
      </c>
      <c r="BI1074" s="4">
        <v>87738639131</v>
      </c>
      <c r="BJ1074" s="4">
        <v>85645232287</v>
      </c>
      <c r="BK1074" s="4">
        <v>82169156277</v>
      </c>
      <c r="BR1074" s="8"/>
    </row>
    <row r="1075" spans="1:70" ht="12.5">
      <c r="A1075" s="4" t="str">
        <v>Alternatif Periode ke-91 II.D.1</v>
      </c>
      <c r="B1075" s="4" t="s">
        <v>12396</v>
      </c>
      <c r="C1075" s="4" t="s">
        <v>809</v>
      </c>
      <c r="D1075" s="4" t="s">
        <v>12580</v>
      </c>
      <c r="E1075" s="4" t="s">
        <v>12397</v>
      </c>
      <c r="F1075" s="4" t="s">
        <v>520</v>
      </c>
      <c r="G1075" s="4" t="s">
        <v>12581</v>
      </c>
      <c r="H1075" s="4" t="s">
        <v>12582</v>
      </c>
      <c r="I1075" s="4" t="s">
        <v>12583</v>
      </c>
      <c r="J1075" s="4" t="s">
        <v>12584</v>
      </c>
      <c r="K1075" s="4" t="s">
        <v>12585</v>
      </c>
      <c r="L1075" s="4" t="s">
        <v>12586</v>
      </c>
      <c r="M1075" s="4" t="s">
        <v>12587</v>
      </c>
      <c r="N1075" s="4" t="s">
        <v>12588</v>
      </c>
      <c r="O1075" s="4" t="s">
        <v>12589</v>
      </c>
      <c r="S1075" s="4">
        <v>1800013118</v>
      </c>
      <c r="T1075" s="4">
        <v>1800018177</v>
      </c>
      <c r="U1075" s="4">
        <v>1900031069</v>
      </c>
      <c r="V1075" s="4">
        <v>2000011203</v>
      </c>
      <c r="W1075" s="4">
        <v>2000023267</v>
      </c>
      <c r="X1075" s="4">
        <v>2000030191</v>
      </c>
      <c r="Y1075" s="4">
        <v>2100011440</v>
      </c>
      <c r="Z1075" s="4">
        <v>2100029197</v>
      </c>
      <c r="AA1075" s="4">
        <v>2115001130</v>
      </c>
      <c r="AE1075" s="4" t="s">
        <v>677</v>
      </c>
      <c r="AF1075" s="4" t="s">
        <v>179</v>
      </c>
      <c r="AG1075" s="4" t="s">
        <v>185</v>
      </c>
      <c r="AH1075" s="4" t="s">
        <v>182</v>
      </c>
      <c r="AI1075" s="4" t="s">
        <v>899</v>
      </c>
      <c r="AJ1075" s="4" t="s">
        <v>184</v>
      </c>
      <c r="AK1075" s="4" t="s">
        <v>182</v>
      </c>
      <c r="AL1075" s="4" t="s">
        <v>533</v>
      </c>
      <c r="AM1075" s="4" t="s">
        <v>180</v>
      </c>
      <c r="AQ1075" s="4" t="s">
        <v>186</v>
      </c>
      <c r="AR1075" s="4" t="s">
        <v>187</v>
      </c>
      <c r="AS1075" s="4" t="s">
        <v>186</v>
      </c>
      <c r="AT1075" s="4" t="s">
        <v>187</v>
      </c>
      <c r="AU1075" s="4" t="s">
        <v>186</v>
      </c>
      <c r="AV1075" s="4" t="s">
        <v>187</v>
      </c>
      <c r="AW1075" s="4" t="s">
        <v>186</v>
      </c>
      <c r="AX1075" s="4" t="s">
        <v>186</v>
      </c>
      <c r="AY1075" s="4" t="s">
        <v>186</v>
      </c>
      <c r="BC1075" s="4">
        <v>81282440156</v>
      </c>
      <c r="BD1075" s="4">
        <v>82323404022</v>
      </c>
      <c r="BE1075" s="4">
        <v>87832250007</v>
      </c>
      <c r="BF1075" s="4">
        <v>82256653890</v>
      </c>
      <c r="BG1075" s="4">
        <v>89666437816</v>
      </c>
      <c r="BH1075" s="4">
        <v>8816759640</v>
      </c>
      <c r="BI1075" s="4">
        <v>85647706330</v>
      </c>
      <c r="BJ1075" s="4">
        <v>87758222380</v>
      </c>
      <c r="BK1075" s="4">
        <v>8385086009</v>
      </c>
      <c r="BR1075" s="8"/>
    </row>
    <row r="1076" spans="1:70" ht="12.5">
      <c r="A1076" s="4" t="str">
        <v>Alternatif Periode ke-91 II.D.2</v>
      </c>
      <c r="B1076" s="4" t="s">
        <v>12396</v>
      </c>
      <c r="C1076" s="4" t="s">
        <v>824</v>
      </c>
      <c r="D1076" s="4" t="s">
        <v>12580</v>
      </c>
      <c r="E1076" s="4" t="s">
        <v>12397</v>
      </c>
      <c r="F1076" s="4" t="s">
        <v>520</v>
      </c>
      <c r="G1076" s="4" t="s">
        <v>12590</v>
      </c>
      <c r="H1076" s="4" t="s">
        <v>12591</v>
      </c>
      <c r="I1076" s="4" t="s">
        <v>12592</v>
      </c>
      <c r="J1076" s="4" t="s">
        <v>12593</v>
      </c>
      <c r="K1076" s="4" t="s">
        <v>12594</v>
      </c>
      <c r="L1076" s="4" t="s">
        <v>12595</v>
      </c>
      <c r="M1076" s="4" t="s">
        <v>12596</v>
      </c>
      <c r="N1076" s="4" t="s">
        <v>12597</v>
      </c>
      <c r="O1076" s="4" t="s">
        <v>12598</v>
      </c>
      <c r="S1076" s="4">
        <v>1700011007</v>
      </c>
      <c r="T1076" s="4">
        <v>1900030389</v>
      </c>
      <c r="U1076" s="4">
        <v>2000011385</v>
      </c>
      <c r="V1076" s="4">
        <v>2000018387</v>
      </c>
      <c r="W1076" s="4">
        <v>2000023268</v>
      </c>
      <c r="X1076" s="4">
        <v>2000025083</v>
      </c>
      <c r="Y1076" s="4">
        <v>2100001119</v>
      </c>
      <c r="Z1076" s="4">
        <v>2100029179</v>
      </c>
      <c r="AA1076" s="4">
        <v>2100031096</v>
      </c>
      <c r="AE1076" s="4" t="s">
        <v>182</v>
      </c>
      <c r="AF1076" s="4" t="s">
        <v>184</v>
      </c>
      <c r="AG1076" s="4" t="s">
        <v>182</v>
      </c>
      <c r="AH1076" s="4" t="s">
        <v>179</v>
      </c>
      <c r="AI1076" s="4" t="s">
        <v>899</v>
      </c>
      <c r="AJ1076" s="4" t="s">
        <v>1168</v>
      </c>
      <c r="AK1076" s="4" t="s">
        <v>180</v>
      </c>
      <c r="AL1076" s="4" t="s">
        <v>533</v>
      </c>
      <c r="AM1076" s="4" t="s">
        <v>185</v>
      </c>
      <c r="AQ1076" s="4" t="s">
        <v>187</v>
      </c>
      <c r="AR1076" s="4" t="s">
        <v>187</v>
      </c>
      <c r="AS1076" s="4" t="s">
        <v>186</v>
      </c>
      <c r="AT1076" s="4" t="s">
        <v>187</v>
      </c>
      <c r="AU1076" s="4" t="s">
        <v>186</v>
      </c>
      <c r="AV1076" s="4" t="s">
        <v>187</v>
      </c>
      <c r="AW1076" s="4" t="s">
        <v>186</v>
      </c>
      <c r="AX1076" s="4" t="s">
        <v>186</v>
      </c>
      <c r="AY1076" s="4" t="s">
        <v>186</v>
      </c>
      <c r="BC1076" s="4">
        <v>85645809393</v>
      </c>
      <c r="BD1076" s="4">
        <v>82237672510</v>
      </c>
      <c r="BE1076" s="4">
        <v>89507082509</v>
      </c>
      <c r="BF1076" s="4">
        <v>87777258032</v>
      </c>
      <c r="BG1076" s="4">
        <v>82232105436</v>
      </c>
      <c r="BH1076" s="4">
        <v>89524991888</v>
      </c>
      <c r="BI1076" s="4">
        <v>82322734835</v>
      </c>
      <c r="BJ1076" s="4">
        <v>85848741447</v>
      </c>
      <c r="BK1076" s="4">
        <v>83175305300</v>
      </c>
      <c r="BR1076" s="8"/>
    </row>
    <row r="1077" spans="1:70" ht="12.5">
      <c r="A1077" s="4" t="str">
        <v>Alternatif Periode ke-91 II.D.3</v>
      </c>
      <c r="B1077" s="4" t="s">
        <v>12396</v>
      </c>
      <c r="C1077" s="4" t="s">
        <v>836</v>
      </c>
      <c r="D1077" s="4" t="s">
        <v>12580</v>
      </c>
      <c r="E1077" s="4" t="s">
        <v>12397</v>
      </c>
      <c r="F1077" s="4" t="s">
        <v>520</v>
      </c>
      <c r="G1077" s="4" t="s">
        <v>12599</v>
      </c>
      <c r="H1077" s="4" t="s">
        <v>12600</v>
      </c>
      <c r="I1077" s="4" t="s">
        <v>12601</v>
      </c>
      <c r="J1077" s="4" t="s">
        <v>12602</v>
      </c>
      <c r="K1077" s="4" t="s">
        <v>12603</v>
      </c>
      <c r="L1077" s="4" t="s">
        <v>12604</v>
      </c>
      <c r="M1077" s="4" t="s">
        <v>12605</v>
      </c>
      <c r="N1077" s="4" t="s">
        <v>12606</v>
      </c>
      <c r="O1077" s="4" t="s">
        <v>12607</v>
      </c>
      <c r="S1077" s="4">
        <v>1800024169</v>
      </c>
      <c r="T1077" s="4">
        <v>1900029248</v>
      </c>
      <c r="U1077" s="4">
        <v>2000011324</v>
      </c>
      <c r="V1077" s="4">
        <v>2000011349</v>
      </c>
      <c r="W1077" s="4">
        <v>2000019084</v>
      </c>
      <c r="X1077" s="4">
        <v>2000026078</v>
      </c>
      <c r="Y1077" s="4">
        <v>2100001098</v>
      </c>
      <c r="Z1077" s="4">
        <v>2100031093</v>
      </c>
      <c r="AA1077" s="4">
        <v>2100031139</v>
      </c>
      <c r="AE1077" s="4" t="s">
        <v>924</v>
      </c>
      <c r="AF1077" s="4" t="s">
        <v>533</v>
      </c>
      <c r="AG1077" s="4" t="s">
        <v>182</v>
      </c>
      <c r="AH1077" s="4" t="s">
        <v>182</v>
      </c>
      <c r="AI1077" s="4" t="s">
        <v>705</v>
      </c>
      <c r="AJ1077" s="4" t="s">
        <v>570</v>
      </c>
      <c r="AK1077" s="4" t="s">
        <v>180</v>
      </c>
      <c r="AL1077" s="4" t="s">
        <v>185</v>
      </c>
      <c r="AM1077" s="4" t="s">
        <v>185</v>
      </c>
      <c r="AQ1077" s="4" t="s">
        <v>186</v>
      </c>
      <c r="AR1077" s="4" t="s">
        <v>186</v>
      </c>
      <c r="AS1077" s="4" t="s">
        <v>186</v>
      </c>
      <c r="AT1077" s="4" t="s">
        <v>187</v>
      </c>
      <c r="AU1077" s="4" t="s">
        <v>187</v>
      </c>
      <c r="AV1077" s="4" t="s">
        <v>187</v>
      </c>
      <c r="AW1077" s="4" t="s">
        <v>186</v>
      </c>
      <c r="AX1077" s="4" t="s">
        <v>187</v>
      </c>
      <c r="AY1077" s="4" t="s">
        <v>186</v>
      </c>
      <c r="BC1077" s="4">
        <v>82237752018</v>
      </c>
      <c r="BD1077" s="4">
        <v>81996439604</v>
      </c>
      <c r="BE1077" s="4">
        <v>82334537629</v>
      </c>
      <c r="BF1077" s="4">
        <v>85213840749</v>
      </c>
      <c r="BG1077" s="4">
        <v>82375833039</v>
      </c>
      <c r="BH1077" s="4">
        <v>82236655062</v>
      </c>
      <c r="BI1077" s="4">
        <v>88229143783</v>
      </c>
      <c r="BJ1077" s="4">
        <v>85870210168</v>
      </c>
      <c r="BK1077" s="4">
        <v>83120874745</v>
      </c>
      <c r="BR1077" s="8"/>
    </row>
    <row r="1078" spans="1:70" ht="12.5">
      <c r="A1078" s="4" t="str">
        <v>Alternatif Periode ke-91 III.A.1</v>
      </c>
      <c r="B1078" s="4" t="s">
        <v>12396</v>
      </c>
      <c r="C1078" s="4" t="s">
        <v>848</v>
      </c>
      <c r="D1078" s="4" t="s">
        <v>6152</v>
      </c>
      <c r="E1078" s="4" t="s">
        <v>9212</v>
      </c>
      <c r="F1078" s="4" t="s">
        <v>520</v>
      </c>
      <c r="G1078" s="4" t="s">
        <v>12608</v>
      </c>
      <c r="H1078" s="4" t="s">
        <v>12609</v>
      </c>
      <c r="I1078" s="4" t="s">
        <v>12610</v>
      </c>
      <c r="J1078" s="4" t="s">
        <v>12611</v>
      </c>
      <c r="K1078" s="4" t="s">
        <v>12612</v>
      </c>
      <c r="L1078" s="4" t="s">
        <v>12613</v>
      </c>
      <c r="M1078" s="4" t="s">
        <v>12614</v>
      </c>
      <c r="N1078" s="4" t="s">
        <v>12615</v>
      </c>
      <c r="O1078" s="4" t="s">
        <v>12616</v>
      </c>
      <c r="S1078" s="4">
        <v>1900019155</v>
      </c>
      <c r="T1078" s="4">
        <v>1900031034</v>
      </c>
      <c r="U1078" s="4">
        <v>2000011125</v>
      </c>
      <c r="V1078" s="4">
        <v>2000026124</v>
      </c>
      <c r="W1078" s="4">
        <v>2100001092</v>
      </c>
      <c r="X1078" s="4">
        <v>2100011118</v>
      </c>
      <c r="Y1078" s="4">
        <v>2100024039</v>
      </c>
      <c r="Z1078" s="4">
        <v>2100031081</v>
      </c>
      <c r="AA1078" s="4">
        <v>2115029186</v>
      </c>
      <c r="AE1078" s="4" t="s">
        <v>705</v>
      </c>
      <c r="AF1078" s="4" t="s">
        <v>185</v>
      </c>
      <c r="AG1078" s="4" t="s">
        <v>182</v>
      </c>
      <c r="AH1078" s="4" t="s">
        <v>570</v>
      </c>
      <c r="AI1078" s="4" t="s">
        <v>180</v>
      </c>
      <c r="AJ1078" s="4" t="s">
        <v>182</v>
      </c>
      <c r="AK1078" s="4" t="s">
        <v>924</v>
      </c>
      <c r="AL1078" s="4" t="s">
        <v>185</v>
      </c>
      <c r="AM1078" s="4" t="s">
        <v>533</v>
      </c>
      <c r="AQ1078" s="4" t="s">
        <v>187</v>
      </c>
      <c r="AR1078" s="4" t="s">
        <v>186</v>
      </c>
      <c r="AS1078" s="4" t="s">
        <v>187</v>
      </c>
      <c r="AT1078" s="4" t="s">
        <v>187</v>
      </c>
      <c r="AU1078" s="4" t="s">
        <v>186</v>
      </c>
      <c r="AV1078" s="4" t="s">
        <v>186</v>
      </c>
      <c r="AW1078" s="4" t="s">
        <v>186</v>
      </c>
      <c r="AX1078" s="4" t="s">
        <v>187</v>
      </c>
      <c r="AY1078" s="4" t="s">
        <v>186</v>
      </c>
      <c r="BC1078" s="4">
        <v>89675034080</v>
      </c>
      <c r="BD1078" s="4">
        <v>87826745601</v>
      </c>
      <c r="BE1078" s="4">
        <v>82282321812</v>
      </c>
      <c r="BF1078" s="4">
        <v>83151867396</v>
      </c>
      <c r="BG1078" s="4">
        <v>87880269586</v>
      </c>
      <c r="BH1078" s="4">
        <v>88221135293</v>
      </c>
      <c r="BI1078" s="4">
        <v>81369318099</v>
      </c>
      <c r="BJ1078" s="4">
        <v>81229948433</v>
      </c>
      <c r="BK1078" s="4">
        <v>82132139880</v>
      </c>
      <c r="BR1078" s="8"/>
    </row>
    <row r="1079" spans="1:70" ht="12.5">
      <c r="A1079" s="4" t="str">
        <v>Alternatif Periode ke-91 III.A.2</v>
      </c>
      <c r="B1079" s="4" t="s">
        <v>12396</v>
      </c>
      <c r="C1079" s="4" t="s">
        <v>861</v>
      </c>
      <c r="D1079" s="4" t="s">
        <v>6152</v>
      </c>
      <c r="E1079" s="4" t="s">
        <v>12617</v>
      </c>
      <c r="F1079" s="4" t="s">
        <v>520</v>
      </c>
      <c r="G1079" s="4" t="s">
        <v>12618</v>
      </c>
      <c r="H1079" s="4" t="s">
        <v>12619</v>
      </c>
      <c r="I1079" s="4" t="s">
        <v>12620</v>
      </c>
      <c r="J1079" s="4" t="s">
        <v>12621</v>
      </c>
      <c r="K1079" s="4" t="s">
        <v>12622</v>
      </c>
      <c r="L1079" s="4" t="s">
        <v>12623</v>
      </c>
      <c r="M1079" s="4" t="s">
        <v>12624</v>
      </c>
      <c r="N1079" s="4" t="s">
        <v>12625</v>
      </c>
      <c r="O1079" s="4" t="s">
        <v>12626</v>
      </c>
      <c r="S1079" s="4">
        <v>1900029183</v>
      </c>
      <c r="T1079" s="4">
        <v>1900031312</v>
      </c>
      <c r="U1079" s="4">
        <v>2000011320</v>
      </c>
      <c r="V1079" s="4">
        <v>2000019131</v>
      </c>
      <c r="W1079" s="4">
        <v>2000026142</v>
      </c>
      <c r="X1079" s="4">
        <v>2100001131</v>
      </c>
      <c r="Y1079" s="4">
        <v>2100011374</v>
      </c>
      <c r="Z1079" s="4">
        <v>2100024387</v>
      </c>
      <c r="AA1079" s="4">
        <v>2100031080</v>
      </c>
      <c r="AE1079" s="4" t="s">
        <v>533</v>
      </c>
      <c r="AF1079" s="4" t="s">
        <v>185</v>
      </c>
      <c r="AG1079" s="4" t="s">
        <v>182</v>
      </c>
      <c r="AH1079" s="4" t="s">
        <v>705</v>
      </c>
      <c r="AI1079" s="4" t="s">
        <v>570</v>
      </c>
      <c r="AJ1079" s="4" t="s">
        <v>180</v>
      </c>
      <c r="AK1079" s="4" t="s">
        <v>182</v>
      </c>
      <c r="AL1079" s="4" t="s">
        <v>924</v>
      </c>
      <c r="AM1079" s="4" t="s">
        <v>185</v>
      </c>
      <c r="AQ1079" s="4" t="s">
        <v>186</v>
      </c>
      <c r="AR1079" s="4" t="s">
        <v>187</v>
      </c>
      <c r="AS1079" s="4" t="s">
        <v>187</v>
      </c>
      <c r="AT1079" s="4" t="s">
        <v>187</v>
      </c>
      <c r="AU1079" s="4" t="s">
        <v>187</v>
      </c>
      <c r="AV1079" s="4" t="s">
        <v>186</v>
      </c>
      <c r="AW1079" s="4" t="s">
        <v>186</v>
      </c>
      <c r="AX1079" s="4" t="s">
        <v>186</v>
      </c>
      <c r="AY1079" s="4" t="s">
        <v>186</v>
      </c>
      <c r="BC1079" s="4">
        <v>85747232316</v>
      </c>
      <c r="BD1079" s="4">
        <v>82326372750</v>
      </c>
      <c r="BE1079" s="4">
        <v>83183605538</v>
      </c>
      <c r="BF1079" s="4">
        <v>88238410916</v>
      </c>
      <c r="BG1079" s="4">
        <v>8970806623</v>
      </c>
      <c r="BH1079" s="4">
        <v>85842242689</v>
      </c>
      <c r="BI1079" s="4">
        <v>87719811866</v>
      </c>
      <c r="BJ1079" s="4">
        <v>82325848369</v>
      </c>
      <c r="BK1079" s="4">
        <v>85758219204</v>
      </c>
      <c r="BR1079" s="8"/>
    </row>
    <row r="1080" spans="1:70" ht="12.5">
      <c r="A1080" s="4" t="str">
        <v>Alternatif Periode ke-91 III.A.3</v>
      </c>
      <c r="B1080" s="4" t="s">
        <v>12396</v>
      </c>
      <c r="C1080" s="4" t="s">
        <v>874</v>
      </c>
      <c r="D1080" s="4" t="s">
        <v>6152</v>
      </c>
      <c r="E1080" s="4" t="s">
        <v>9290</v>
      </c>
      <c r="F1080" s="4" t="s">
        <v>520</v>
      </c>
      <c r="G1080" s="4" t="s">
        <v>12627</v>
      </c>
      <c r="H1080" s="4" t="s">
        <v>543</v>
      </c>
      <c r="I1080" s="4" t="s">
        <v>12628</v>
      </c>
      <c r="J1080" s="4" t="s">
        <v>12629</v>
      </c>
      <c r="K1080" s="4" t="s">
        <v>12630</v>
      </c>
      <c r="L1080" s="4" t="s">
        <v>12631</v>
      </c>
      <c r="M1080" s="4" t="s">
        <v>12632</v>
      </c>
      <c r="N1080" s="4" t="s">
        <v>12633</v>
      </c>
      <c r="O1080" s="4" t="s">
        <v>12634</v>
      </c>
      <c r="S1080" s="4">
        <v>1900011255</v>
      </c>
      <c r="T1080" s="4">
        <v>1900029217</v>
      </c>
      <c r="U1080" s="4">
        <v>2000001130</v>
      </c>
      <c r="V1080" s="4">
        <v>2000011005</v>
      </c>
      <c r="W1080" s="4">
        <v>2000019083</v>
      </c>
      <c r="X1080" s="4">
        <v>2000026222</v>
      </c>
      <c r="Y1080" s="4">
        <v>2000031204</v>
      </c>
      <c r="Z1080" s="4">
        <v>2100024194</v>
      </c>
      <c r="AA1080" s="4">
        <v>2100031043</v>
      </c>
      <c r="AE1080" s="4" t="s">
        <v>182</v>
      </c>
      <c r="AF1080" s="4" t="s">
        <v>533</v>
      </c>
      <c r="AG1080" s="4" t="s">
        <v>180</v>
      </c>
      <c r="AH1080" s="4" t="s">
        <v>182</v>
      </c>
      <c r="AI1080" s="4" t="s">
        <v>705</v>
      </c>
      <c r="AJ1080" s="4" t="s">
        <v>570</v>
      </c>
      <c r="AK1080" s="4" t="s">
        <v>185</v>
      </c>
      <c r="AL1080" s="4" t="s">
        <v>924</v>
      </c>
      <c r="AM1080" s="4" t="s">
        <v>185</v>
      </c>
      <c r="AQ1080" s="4" t="s">
        <v>186</v>
      </c>
      <c r="AR1080" s="4" t="s">
        <v>186</v>
      </c>
      <c r="AS1080" s="4" t="s">
        <v>186</v>
      </c>
      <c r="AT1080" s="4" t="s">
        <v>187</v>
      </c>
      <c r="AU1080" s="4" t="s">
        <v>187</v>
      </c>
      <c r="AV1080" s="4" t="s">
        <v>187</v>
      </c>
      <c r="AW1080" s="4" t="s">
        <v>187</v>
      </c>
      <c r="AX1080" s="4" t="s">
        <v>186</v>
      </c>
      <c r="AY1080" s="4" t="s">
        <v>186</v>
      </c>
      <c r="BC1080" s="4">
        <v>82339640734</v>
      </c>
      <c r="BD1080" s="4">
        <v>895391452329</v>
      </c>
      <c r="BE1080" s="4">
        <v>85642497990</v>
      </c>
      <c r="BF1080" s="4">
        <v>85759530734</v>
      </c>
      <c r="BG1080" s="4">
        <v>89691689749</v>
      </c>
      <c r="BH1080" s="4">
        <v>85802712500</v>
      </c>
      <c r="BI1080" s="4">
        <v>85641786674</v>
      </c>
      <c r="BJ1080" s="4">
        <v>87843933907</v>
      </c>
      <c r="BK1080" s="4">
        <v>85841959551</v>
      </c>
      <c r="BR1080" s="8"/>
    </row>
    <row r="1081" spans="1:70" ht="12.5">
      <c r="A1081" s="4" t="str">
        <v>Alternatif Periode ke-91 III.B.1</v>
      </c>
      <c r="B1081" s="4" t="s">
        <v>12396</v>
      </c>
      <c r="C1081" s="4" t="s">
        <v>887</v>
      </c>
      <c r="D1081" s="4" t="s">
        <v>1076</v>
      </c>
      <c r="E1081" s="4" t="s">
        <v>12635</v>
      </c>
      <c r="F1081" s="4" t="s">
        <v>520</v>
      </c>
      <c r="G1081" s="4" t="s">
        <v>7658</v>
      </c>
      <c r="H1081" s="4" t="s">
        <v>12636</v>
      </c>
      <c r="I1081" s="4" t="s">
        <v>12637</v>
      </c>
      <c r="J1081" s="4" t="s">
        <v>12638</v>
      </c>
      <c r="K1081" s="4" t="s">
        <v>12639</v>
      </c>
      <c r="L1081" s="4" t="s">
        <v>12640</v>
      </c>
      <c r="M1081" s="4" t="s">
        <v>12641</v>
      </c>
      <c r="N1081" s="4" t="s">
        <v>12642</v>
      </c>
      <c r="O1081" s="4" t="s">
        <v>12643</v>
      </c>
      <c r="S1081" s="4">
        <v>1900011394</v>
      </c>
      <c r="T1081" s="4">
        <v>2000011049</v>
      </c>
      <c r="U1081" s="4">
        <v>2000019163</v>
      </c>
      <c r="V1081" s="4">
        <v>2000026226</v>
      </c>
      <c r="W1081" s="4">
        <v>2000030196</v>
      </c>
      <c r="X1081" s="4">
        <v>2000031102</v>
      </c>
      <c r="Y1081" s="4">
        <v>2000031247</v>
      </c>
      <c r="Z1081" s="4">
        <v>2100001117</v>
      </c>
      <c r="AA1081" s="4">
        <v>2100024256</v>
      </c>
      <c r="AE1081" s="4" t="s">
        <v>182</v>
      </c>
      <c r="AF1081" s="4" t="s">
        <v>182</v>
      </c>
      <c r="AG1081" s="4" t="s">
        <v>705</v>
      </c>
      <c r="AH1081" s="4" t="s">
        <v>570</v>
      </c>
      <c r="AI1081" s="4" t="s">
        <v>184</v>
      </c>
      <c r="AJ1081" s="4" t="s">
        <v>185</v>
      </c>
      <c r="AK1081" s="4" t="s">
        <v>185</v>
      </c>
      <c r="AL1081" s="4" t="s">
        <v>180</v>
      </c>
      <c r="AM1081" s="4" t="s">
        <v>924</v>
      </c>
      <c r="AQ1081" s="4" t="s">
        <v>187</v>
      </c>
      <c r="AR1081" s="4" t="s">
        <v>186</v>
      </c>
      <c r="AS1081" s="4" t="s">
        <v>187</v>
      </c>
      <c r="AT1081" s="4" t="s">
        <v>187</v>
      </c>
      <c r="AU1081" s="4" t="s">
        <v>186</v>
      </c>
      <c r="AV1081" s="4" t="s">
        <v>187</v>
      </c>
      <c r="AW1081" s="4" t="s">
        <v>186</v>
      </c>
      <c r="AX1081" s="4" t="s">
        <v>186</v>
      </c>
      <c r="AY1081" s="4" t="s">
        <v>186</v>
      </c>
      <c r="BC1081" s="4">
        <v>82278975309</v>
      </c>
      <c r="BD1081" s="4">
        <v>895373045052</v>
      </c>
      <c r="BE1081" s="4">
        <v>895321681721</v>
      </c>
      <c r="BF1081" s="4">
        <v>85174377721</v>
      </c>
      <c r="BG1081" s="4">
        <v>85396047503</v>
      </c>
      <c r="BH1081" s="4">
        <v>89643101242</v>
      </c>
      <c r="BI1081" s="4">
        <v>85736914352</v>
      </c>
      <c r="BJ1081" s="4">
        <v>85853182391</v>
      </c>
      <c r="BK1081" s="4">
        <v>895402625524</v>
      </c>
      <c r="BR1081" s="8"/>
    </row>
    <row r="1082" spans="1:70" ht="12.5">
      <c r="A1082" s="4" t="str">
        <v>Alternatif Periode ke-91 III.B.2</v>
      </c>
      <c r="B1082" s="4" t="s">
        <v>12396</v>
      </c>
      <c r="C1082" s="4" t="s">
        <v>901</v>
      </c>
      <c r="D1082" s="4" t="s">
        <v>1076</v>
      </c>
      <c r="E1082" s="4" t="s">
        <v>9335</v>
      </c>
      <c r="F1082" s="4" t="s">
        <v>520</v>
      </c>
      <c r="G1082" s="4" t="s">
        <v>2194</v>
      </c>
      <c r="H1082" s="4" t="s">
        <v>12644</v>
      </c>
      <c r="I1082" s="4" t="s">
        <v>12645</v>
      </c>
      <c r="J1082" s="4" t="s">
        <v>12646</v>
      </c>
      <c r="K1082" s="4" t="s">
        <v>12647</v>
      </c>
      <c r="L1082" s="4" t="s">
        <v>12648</v>
      </c>
      <c r="M1082" s="4" t="s">
        <v>9580</v>
      </c>
      <c r="N1082" s="4" t="s">
        <v>12649</v>
      </c>
      <c r="O1082" s="4" t="s">
        <v>12650</v>
      </c>
      <c r="S1082" s="4">
        <v>1900011286</v>
      </c>
      <c r="T1082" s="4">
        <v>2000011421</v>
      </c>
      <c r="U1082" s="4">
        <v>2000019104</v>
      </c>
      <c r="V1082" s="4">
        <v>2000024240</v>
      </c>
      <c r="W1082" s="4">
        <v>2000026217</v>
      </c>
      <c r="X1082" s="4">
        <v>2000030029</v>
      </c>
      <c r="Y1082" s="4">
        <v>2000031122</v>
      </c>
      <c r="Z1082" s="4">
        <v>2000034009</v>
      </c>
      <c r="AA1082" s="4">
        <v>2235002023</v>
      </c>
      <c r="AE1082" s="4" t="s">
        <v>182</v>
      </c>
      <c r="AF1082" s="4" t="s">
        <v>182</v>
      </c>
      <c r="AG1082" s="4" t="s">
        <v>705</v>
      </c>
      <c r="AH1082" s="4" t="s">
        <v>924</v>
      </c>
      <c r="AI1082" s="4" t="s">
        <v>570</v>
      </c>
      <c r="AJ1082" s="4" t="s">
        <v>184</v>
      </c>
      <c r="AK1082" s="4" t="s">
        <v>185</v>
      </c>
      <c r="AL1082" s="4" t="s">
        <v>534</v>
      </c>
      <c r="AM1082" s="4" t="s">
        <v>1043</v>
      </c>
      <c r="AQ1082" s="4" t="s">
        <v>186</v>
      </c>
      <c r="AR1082" s="4" t="s">
        <v>187</v>
      </c>
      <c r="AS1082" s="4" t="s">
        <v>187</v>
      </c>
      <c r="AT1082" s="4" t="s">
        <v>186</v>
      </c>
      <c r="AU1082" s="4" t="s">
        <v>187</v>
      </c>
      <c r="AV1082" s="4" t="s">
        <v>186</v>
      </c>
      <c r="AW1082" s="4" t="s">
        <v>187</v>
      </c>
      <c r="AX1082" s="4" t="s">
        <v>186</v>
      </c>
      <c r="AY1082" s="4" t="s">
        <v>186</v>
      </c>
      <c r="BC1082" s="4">
        <v>81392424600</v>
      </c>
      <c r="BD1082" s="4">
        <v>89630725777</v>
      </c>
      <c r="BE1082" s="4">
        <v>81225077734</v>
      </c>
      <c r="BF1082" s="4">
        <v>85600415922</v>
      </c>
      <c r="BG1082" s="4">
        <v>85269854936</v>
      </c>
      <c r="BH1082" s="4">
        <v>85709433918</v>
      </c>
      <c r="BI1082" s="4">
        <v>82322760101</v>
      </c>
      <c r="BJ1082" s="4">
        <v>85211556300</v>
      </c>
      <c r="BK1082" s="4">
        <v>81325798062</v>
      </c>
      <c r="BR1082" s="8"/>
    </row>
    <row r="1083" spans="1:70" ht="12.5">
      <c r="A1083" s="4" t="str">
        <v>Alternatif Periode ke-91 III.B.3</v>
      </c>
      <c r="B1083" s="4" t="s">
        <v>12396</v>
      </c>
      <c r="C1083" s="4" t="s">
        <v>913</v>
      </c>
      <c r="D1083" s="4" t="s">
        <v>1076</v>
      </c>
      <c r="E1083" s="4" t="s">
        <v>9360</v>
      </c>
      <c r="F1083" s="4" t="s">
        <v>520</v>
      </c>
      <c r="G1083" s="4" t="s">
        <v>9586</v>
      </c>
      <c r="H1083" s="4" t="s">
        <v>12651</v>
      </c>
      <c r="I1083" s="4" t="s">
        <v>12652</v>
      </c>
      <c r="J1083" s="4" t="s">
        <v>12653</v>
      </c>
      <c r="K1083" s="4" t="s">
        <v>12654</v>
      </c>
      <c r="L1083" s="4" t="s">
        <v>12655</v>
      </c>
      <c r="M1083" s="4" t="s">
        <v>12656</v>
      </c>
      <c r="N1083" s="4" t="s">
        <v>12657</v>
      </c>
      <c r="O1083" s="4" t="s">
        <v>12658</v>
      </c>
      <c r="S1083" s="4">
        <v>2000011025</v>
      </c>
      <c r="T1083" s="4">
        <v>2000011199</v>
      </c>
      <c r="U1083" s="4">
        <v>2000019069</v>
      </c>
      <c r="V1083" s="4">
        <v>2000024319</v>
      </c>
      <c r="W1083" s="4">
        <v>2000026097</v>
      </c>
      <c r="X1083" s="4">
        <v>2000034051</v>
      </c>
      <c r="Y1083" s="4">
        <v>2100030113</v>
      </c>
      <c r="Z1083" s="4">
        <v>2100031129</v>
      </c>
      <c r="AA1083" s="4">
        <v>2235002031</v>
      </c>
      <c r="AE1083" s="4" t="s">
        <v>182</v>
      </c>
      <c r="AF1083" s="4" t="s">
        <v>182</v>
      </c>
      <c r="AG1083" s="4" t="s">
        <v>705</v>
      </c>
      <c r="AH1083" s="4" t="s">
        <v>924</v>
      </c>
      <c r="AI1083" s="4" t="s">
        <v>570</v>
      </c>
      <c r="AJ1083" s="4" t="s">
        <v>534</v>
      </c>
      <c r="AK1083" s="4" t="s">
        <v>184</v>
      </c>
      <c r="AL1083" s="4" t="s">
        <v>185</v>
      </c>
      <c r="AM1083" s="4" t="s">
        <v>1043</v>
      </c>
      <c r="AQ1083" s="4" t="s">
        <v>186</v>
      </c>
      <c r="AR1083" s="4" t="s">
        <v>187</v>
      </c>
      <c r="AS1083" s="4" t="s">
        <v>187</v>
      </c>
      <c r="AT1083" s="4" t="s">
        <v>186</v>
      </c>
      <c r="AU1083" s="4" t="s">
        <v>187</v>
      </c>
      <c r="AV1083" s="4" t="s">
        <v>186</v>
      </c>
      <c r="AW1083" s="4" t="s">
        <v>186</v>
      </c>
      <c r="AX1083" s="4" t="s">
        <v>187</v>
      </c>
      <c r="AY1083" s="4" t="s">
        <v>186</v>
      </c>
      <c r="BC1083" s="4">
        <v>82235239609</v>
      </c>
      <c r="BD1083" s="4">
        <v>85758955187</v>
      </c>
      <c r="BE1083" s="4">
        <v>85157125593</v>
      </c>
      <c r="BF1083" s="4">
        <v>82347624868</v>
      </c>
      <c r="BG1083" s="4">
        <v>89629170719</v>
      </c>
      <c r="BH1083" s="4">
        <v>81252460690</v>
      </c>
      <c r="BI1083" s="4">
        <v>81229318883</v>
      </c>
      <c r="BJ1083" s="4">
        <v>85215159446</v>
      </c>
      <c r="BK1083" s="4">
        <v>82324631282</v>
      </c>
      <c r="BR1083" s="8"/>
    </row>
    <row r="1084" spans="1:70" ht="14">
      <c r="A1084" s="4" t="str">
        <v>Alternatif Periode ke-91 III.C.1</v>
      </c>
      <c r="B1084" s="4" t="s">
        <v>12396</v>
      </c>
      <c r="C1084" s="4" t="s">
        <v>939</v>
      </c>
      <c r="D1084" s="4" t="s">
        <v>9100</v>
      </c>
      <c r="E1084" s="4" t="s">
        <v>9067</v>
      </c>
      <c r="F1084" s="4" t="s">
        <v>520</v>
      </c>
      <c r="G1084" s="27" t="s">
        <v>12659</v>
      </c>
      <c r="H1084" s="27" t="s">
        <v>12660</v>
      </c>
      <c r="I1084" s="27" t="s">
        <v>12661</v>
      </c>
      <c r="J1084" s="27" t="s">
        <v>12662</v>
      </c>
      <c r="K1084" s="27" t="s">
        <v>12663</v>
      </c>
      <c r="L1084" s="27" t="s">
        <v>12664</v>
      </c>
      <c r="M1084" s="27" t="s">
        <v>12665</v>
      </c>
      <c r="N1084" s="27" t="s">
        <v>12666</v>
      </c>
      <c r="O1084" s="27" t="s">
        <v>12667</v>
      </c>
      <c r="P1084" s="27" t="s">
        <v>7245</v>
      </c>
      <c r="S1084" s="27">
        <v>2000002014</v>
      </c>
      <c r="T1084" s="27">
        <v>2000011379</v>
      </c>
      <c r="U1084" s="27">
        <v>2000012169</v>
      </c>
      <c r="V1084" s="27">
        <v>2000013255</v>
      </c>
      <c r="W1084" s="27">
        <v>2000019043</v>
      </c>
      <c r="X1084" s="27">
        <v>2000030088</v>
      </c>
      <c r="Y1084" s="27">
        <v>2000036091</v>
      </c>
      <c r="Z1084" s="27">
        <v>2100031123</v>
      </c>
      <c r="AA1084" s="27">
        <v>2123025100</v>
      </c>
      <c r="AB1084" s="27">
        <v>2123025116</v>
      </c>
      <c r="AE1084" s="27" t="s">
        <v>1043</v>
      </c>
      <c r="AF1084" s="27" t="s">
        <v>182</v>
      </c>
      <c r="AG1084" s="27" t="s">
        <v>885</v>
      </c>
      <c r="AH1084" s="27" t="s">
        <v>677</v>
      </c>
      <c r="AI1084" s="27" t="s">
        <v>705</v>
      </c>
      <c r="AJ1084" s="27" t="s">
        <v>184</v>
      </c>
      <c r="AK1084" s="27" t="s">
        <v>227</v>
      </c>
      <c r="AL1084" s="27" t="s">
        <v>185</v>
      </c>
      <c r="AM1084" s="27" t="s">
        <v>1168</v>
      </c>
      <c r="AN1084" s="27" t="s">
        <v>1168</v>
      </c>
      <c r="AQ1084" s="28" t="s">
        <v>186</v>
      </c>
      <c r="AR1084" s="28" t="s">
        <v>187</v>
      </c>
      <c r="AS1084" s="28" t="s">
        <v>186</v>
      </c>
      <c r="AT1084" s="28" t="s">
        <v>187</v>
      </c>
      <c r="AU1084" s="28" t="s">
        <v>187</v>
      </c>
      <c r="AV1084" s="28" t="s">
        <v>186</v>
      </c>
      <c r="AW1084" s="28" t="s">
        <v>186</v>
      </c>
      <c r="AX1084" s="28" t="s">
        <v>187</v>
      </c>
      <c r="AY1084" s="28" t="s">
        <v>186</v>
      </c>
      <c r="AZ1084" s="28" t="s">
        <v>187</v>
      </c>
      <c r="BC1084" s="28">
        <v>81237052557</v>
      </c>
      <c r="BD1084" s="28">
        <v>87716406692</v>
      </c>
      <c r="BE1084" s="28">
        <v>87751020894</v>
      </c>
      <c r="BF1084" s="28">
        <v>82145683723</v>
      </c>
      <c r="BG1084" s="28">
        <v>82280480601</v>
      </c>
      <c r="BH1084" s="28">
        <v>81254226014</v>
      </c>
      <c r="BI1084" s="28">
        <v>81342345834</v>
      </c>
      <c r="BJ1084" s="28">
        <v>87775309327</v>
      </c>
      <c r="BK1084" s="28">
        <v>19163610523</v>
      </c>
      <c r="BL1084" s="28">
        <v>8617677389462</v>
      </c>
      <c r="BR1084" s="8"/>
    </row>
    <row r="1085" spans="1:70" ht="14">
      <c r="A1085" s="4" t="str">
        <v>Alternatif Periode ke-91 III.C.2</v>
      </c>
      <c r="B1085" s="4" t="s">
        <v>12396</v>
      </c>
      <c r="C1085" s="4" t="s">
        <v>955</v>
      </c>
      <c r="D1085" s="4" t="s">
        <v>9100</v>
      </c>
      <c r="E1085" s="4" t="s">
        <v>9134</v>
      </c>
      <c r="F1085" s="4" t="s">
        <v>520</v>
      </c>
      <c r="G1085" s="27" t="s">
        <v>12668</v>
      </c>
      <c r="H1085" s="27" t="s">
        <v>12669</v>
      </c>
      <c r="I1085" s="27" t="s">
        <v>12670</v>
      </c>
      <c r="J1085" s="27" t="s">
        <v>10697</v>
      </c>
      <c r="K1085" s="27" t="s">
        <v>12671</v>
      </c>
      <c r="L1085" s="27" t="s">
        <v>12672</v>
      </c>
      <c r="M1085" s="27" t="s">
        <v>12673</v>
      </c>
      <c r="N1085" s="27" t="s">
        <v>12674</v>
      </c>
      <c r="O1085" s="27" t="s">
        <v>12675</v>
      </c>
      <c r="S1085" s="27">
        <v>1700012157</v>
      </c>
      <c r="T1085" s="27">
        <v>1700019070</v>
      </c>
      <c r="U1085" s="27">
        <v>1900012135</v>
      </c>
      <c r="V1085" s="27">
        <v>2000026054</v>
      </c>
      <c r="W1085" s="27">
        <v>2000036070</v>
      </c>
      <c r="X1085" s="27">
        <v>2100024114</v>
      </c>
      <c r="Y1085" s="27">
        <v>2100024364</v>
      </c>
      <c r="Z1085" s="27">
        <v>2100030136</v>
      </c>
      <c r="AA1085" s="27">
        <v>2100031091</v>
      </c>
      <c r="AE1085" s="27" t="s">
        <v>885</v>
      </c>
      <c r="AF1085" s="27" t="s">
        <v>705</v>
      </c>
      <c r="AG1085" s="27" t="s">
        <v>885</v>
      </c>
      <c r="AH1085" s="27" t="s">
        <v>570</v>
      </c>
      <c r="AI1085" s="27" t="s">
        <v>227</v>
      </c>
      <c r="AJ1085" s="27" t="s">
        <v>924</v>
      </c>
      <c r="AK1085" s="27" t="s">
        <v>924</v>
      </c>
      <c r="AL1085" s="27" t="s">
        <v>184</v>
      </c>
      <c r="AM1085" s="27" t="s">
        <v>185</v>
      </c>
      <c r="AQ1085" s="28" t="s">
        <v>187</v>
      </c>
      <c r="AR1085" s="28" t="s">
        <v>187</v>
      </c>
      <c r="AS1085" s="28" t="s">
        <v>186</v>
      </c>
      <c r="AT1085" s="28" t="s">
        <v>187</v>
      </c>
      <c r="AU1085" s="28" t="s">
        <v>186</v>
      </c>
      <c r="AV1085" s="28" t="s">
        <v>186</v>
      </c>
      <c r="AW1085" s="28" t="s">
        <v>186</v>
      </c>
      <c r="AX1085" s="28" t="s">
        <v>186</v>
      </c>
      <c r="AY1085" s="28" t="s">
        <v>187</v>
      </c>
      <c r="BC1085" s="28">
        <v>85868101802</v>
      </c>
      <c r="BD1085" s="28">
        <v>85867312801</v>
      </c>
      <c r="BE1085" s="28">
        <v>85282742790</v>
      </c>
      <c r="BF1085" s="28">
        <v>82138333662</v>
      </c>
      <c r="BG1085" s="28">
        <v>81224284120</v>
      </c>
      <c r="BH1085" s="28">
        <v>85391853751</v>
      </c>
      <c r="BI1085" s="28">
        <v>83801371859</v>
      </c>
      <c r="BJ1085" s="28">
        <v>85866643162</v>
      </c>
      <c r="BK1085" s="28">
        <v>87802438517</v>
      </c>
      <c r="BR1085" s="8"/>
    </row>
    <row r="1086" spans="1:70" ht="14">
      <c r="A1086" s="4" t="str">
        <v>Alternatif Periode ke-91 III.D.1</v>
      </c>
      <c r="B1086" s="4" t="s">
        <v>12396</v>
      </c>
      <c r="C1086" s="4" t="s">
        <v>1009</v>
      </c>
      <c r="D1086" s="4" t="s">
        <v>12676</v>
      </c>
      <c r="E1086" s="4" t="s">
        <v>9168</v>
      </c>
      <c r="F1086" s="4" t="s">
        <v>520</v>
      </c>
      <c r="G1086" s="27" t="s">
        <v>11552</v>
      </c>
      <c r="H1086" s="27" t="s">
        <v>12677</v>
      </c>
      <c r="I1086" s="27" t="s">
        <v>12678</v>
      </c>
      <c r="J1086" s="27" t="s">
        <v>12679</v>
      </c>
      <c r="K1086" s="27" t="s">
        <v>12680</v>
      </c>
      <c r="L1086" s="27" t="s">
        <v>10942</v>
      </c>
      <c r="M1086" s="27" t="s">
        <v>12681</v>
      </c>
      <c r="N1086" s="27" t="s">
        <v>12682</v>
      </c>
      <c r="O1086" s="27" t="s">
        <v>12683</v>
      </c>
      <c r="P1086" s="27" t="s">
        <v>12684</v>
      </c>
      <c r="S1086" s="27">
        <v>2000004084</v>
      </c>
      <c r="T1086" s="27">
        <v>2000012163</v>
      </c>
      <c r="U1086" s="27">
        <v>2000013212</v>
      </c>
      <c r="V1086" s="27">
        <v>2000020083</v>
      </c>
      <c r="W1086" s="27">
        <v>2000024103</v>
      </c>
      <c r="X1086" s="27">
        <v>2000026123</v>
      </c>
      <c r="Y1086" s="27">
        <v>2000031010</v>
      </c>
      <c r="Z1086" s="27">
        <v>2000036054</v>
      </c>
      <c r="AA1086" s="27">
        <v>2100030116</v>
      </c>
      <c r="AB1086" s="27">
        <v>2235002033</v>
      </c>
      <c r="AE1086" s="27" t="s">
        <v>201</v>
      </c>
      <c r="AF1086" s="27" t="s">
        <v>885</v>
      </c>
      <c r="AG1086" s="27" t="s">
        <v>677</v>
      </c>
      <c r="AH1086" s="27" t="s">
        <v>351</v>
      </c>
      <c r="AI1086" s="27" t="s">
        <v>924</v>
      </c>
      <c r="AJ1086" s="27" t="s">
        <v>570</v>
      </c>
      <c r="AK1086" s="27" t="s">
        <v>185</v>
      </c>
      <c r="AL1086" s="27" t="s">
        <v>227</v>
      </c>
      <c r="AM1086" s="27" t="s">
        <v>184</v>
      </c>
      <c r="AN1086" s="27" t="s">
        <v>1043</v>
      </c>
      <c r="AQ1086" s="28" t="s">
        <v>186</v>
      </c>
      <c r="AR1086" s="28" t="s">
        <v>187</v>
      </c>
      <c r="AS1086" s="28" t="s">
        <v>186</v>
      </c>
      <c r="AT1086" s="28" t="s">
        <v>187</v>
      </c>
      <c r="AU1086" s="28" t="s">
        <v>186</v>
      </c>
      <c r="AV1086" s="28" t="s">
        <v>187</v>
      </c>
      <c r="AW1086" s="28" t="s">
        <v>187</v>
      </c>
      <c r="AX1086" s="28" t="s">
        <v>186</v>
      </c>
      <c r="AY1086" s="28" t="s">
        <v>186</v>
      </c>
      <c r="AZ1086" s="28" t="s">
        <v>186</v>
      </c>
      <c r="BC1086" s="28">
        <v>85727736730</v>
      </c>
      <c r="BD1086" s="28">
        <v>81271433840</v>
      </c>
      <c r="BE1086" s="28">
        <v>85375511061</v>
      </c>
      <c r="BF1086" s="28">
        <v>82335369622</v>
      </c>
      <c r="BG1086" s="28">
        <v>85346383869</v>
      </c>
      <c r="BH1086" s="28">
        <v>85794446742</v>
      </c>
      <c r="BI1086" s="28">
        <v>85967974122</v>
      </c>
      <c r="BJ1086" s="28">
        <v>89524674866</v>
      </c>
      <c r="BK1086" s="28">
        <v>89502996487</v>
      </c>
      <c r="BL1086" s="28">
        <v>87722460203</v>
      </c>
      <c r="BR1086" s="8"/>
    </row>
    <row r="1087" spans="1:70" ht="14">
      <c r="A1087" s="4" t="str">
        <v>Alternatif Periode ke-91 III.D.2</v>
      </c>
      <c r="B1087" s="4" t="s">
        <v>12396</v>
      </c>
      <c r="C1087" s="4" t="s">
        <v>1032</v>
      </c>
      <c r="D1087" s="4" t="s">
        <v>12676</v>
      </c>
      <c r="E1087" s="4" t="s">
        <v>12685</v>
      </c>
      <c r="F1087" s="4" t="s">
        <v>520</v>
      </c>
      <c r="G1087" s="27" t="s">
        <v>12686</v>
      </c>
      <c r="H1087" s="27" t="s">
        <v>12687</v>
      </c>
      <c r="I1087" s="27" t="s">
        <v>12688</v>
      </c>
      <c r="J1087" s="27" t="s">
        <v>12689</v>
      </c>
      <c r="K1087" s="27" t="s">
        <v>12690</v>
      </c>
      <c r="L1087" s="27" t="s">
        <v>12691</v>
      </c>
      <c r="M1087" s="27" t="s">
        <v>12692</v>
      </c>
      <c r="N1087" s="27" t="s">
        <v>12693</v>
      </c>
      <c r="O1087" s="27" t="s">
        <v>12694</v>
      </c>
      <c r="S1087" s="27">
        <v>1700012246</v>
      </c>
      <c r="T1087" s="27">
        <v>1900031087</v>
      </c>
      <c r="U1087" s="27">
        <v>2000004018</v>
      </c>
      <c r="V1087" s="27">
        <v>2000022009</v>
      </c>
      <c r="W1087" s="27">
        <v>2000024170</v>
      </c>
      <c r="X1087" s="27">
        <v>2000030091</v>
      </c>
      <c r="Y1087" s="27">
        <v>2000036053</v>
      </c>
      <c r="Z1087" s="27">
        <v>2100013313</v>
      </c>
      <c r="AA1087" s="27">
        <v>2100027005</v>
      </c>
      <c r="AE1087" s="27" t="s">
        <v>885</v>
      </c>
      <c r="AF1087" s="27" t="s">
        <v>185</v>
      </c>
      <c r="AG1087" s="27" t="s">
        <v>201</v>
      </c>
      <c r="AH1087" s="27" t="s">
        <v>872</v>
      </c>
      <c r="AI1087" s="27" t="s">
        <v>924</v>
      </c>
      <c r="AJ1087" s="27" t="s">
        <v>184</v>
      </c>
      <c r="AK1087" s="27" t="s">
        <v>227</v>
      </c>
      <c r="AL1087" s="27" t="s">
        <v>677</v>
      </c>
      <c r="AM1087" s="27" t="s">
        <v>1763</v>
      </c>
      <c r="AQ1087" s="28" t="s">
        <v>187</v>
      </c>
      <c r="AR1087" s="28" t="s">
        <v>187</v>
      </c>
      <c r="AS1087" s="28" t="s">
        <v>186</v>
      </c>
      <c r="AT1087" s="28" t="s">
        <v>187</v>
      </c>
      <c r="AU1087" s="28" t="s">
        <v>186</v>
      </c>
      <c r="AV1087" s="28" t="s">
        <v>186</v>
      </c>
      <c r="AW1087" s="28" t="s">
        <v>186</v>
      </c>
      <c r="AX1087" s="28" t="s">
        <v>186</v>
      </c>
      <c r="AY1087" s="28" t="s">
        <v>187</v>
      </c>
      <c r="BC1087" s="28">
        <v>81908052127</v>
      </c>
      <c r="BD1087" s="28">
        <v>82259572936</v>
      </c>
      <c r="BE1087" s="28">
        <v>83143211436</v>
      </c>
      <c r="BF1087" s="28">
        <v>81268191174</v>
      </c>
      <c r="BG1087" s="28">
        <v>85523629028</v>
      </c>
      <c r="BH1087" s="28">
        <v>87732018402</v>
      </c>
      <c r="BI1087" s="28">
        <v>83177831958</v>
      </c>
      <c r="BJ1087" s="28">
        <v>81278660408</v>
      </c>
      <c r="BK1087" s="28">
        <v>81227514390</v>
      </c>
      <c r="BR1087" s="8"/>
    </row>
    <row r="1088" spans="1:70" ht="12.5">
      <c r="A1088" s="4" t="str">
        <v xml:space="preserve"> </v>
      </c>
      <c r="C1088" s="4"/>
      <c r="D1088" s="4"/>
      <c r="E1088" s="4"/>
      <c r="BR1088" s="8"/>
    </row>
    <row r="1089" spans="1:70" ht="12.5">
      <c r="A1089" s="4" t="str">
        <v xml:space="preserve"> </v>
      </c>
      <c r="C1089" s="4"/>
      <c r="D1089" s="4"/>
      <c r="E1089" s="4"/>
      <c r="BR1089" s="8"/>
    </row>
    <row r="1090" spans="1:70" ht="12.5">
      <c r="A1090" s="4" t="str">
        <v xml:space="preserve"> </v>
      </c>
      <c r="C1090" s="4"/>
      <c r="D1090" s="4"/>
      <c r="E1090" s="4"/>
      <c r="BR1090" s="8"/>
    </row>
    <row r="1091" spans="1:70" ht="12.5">
      <c r="A1091" s="4" t="str">
        <v xml:space="preserve"> </v>
      </c>
      <c r="C1091" s="4"/>
      <c r="D1091" s="4"/>
      <c r="E1091" s="4"/>
      <c r="BR1091" s="8"/>
    </row>
    <row r="1092" spans="1:70" ht="12.5">
      <c r="A1092" s="4" t="str">
        <v xml:space="preserve"> </v>
      </c>
      <c r="C1092" s="4"/>
      <c r="D1092" s="4"/>
      <c r="E1092" s="4"/>
      <c r="BR1092" s="8"/>
    </row>
    <row r="1093" spans="1:70" ht="12.5">
      <c r="A1093" s="4" t="str">
        <v xml:space="preserve"> </v>
      </c>
      <c r="C1093" s="4"/>
      <c r="D1093" s="4"/>
      <c r="E1093" s="4"/>
      <c r="BR1093" s="8"/>
    </row>
    <row r="1094" spans="1:70" ht="12.5">
      <c r="A1094" s="4" t="str">
        <v xml:space="preserve"> </v>
      </c>
      <c r="C1094" s="4"/>
      <c r="D1094" s="4"/>
      <c r="E1094" s="4"/>
      <c r="BR1094" s="8"/>
    </row>
    <row r="1095" spans="1:70" ht="12.5">
      <c r="A1095" s="4" t="str">
        <v xml:space="preserve"> </v>
      </c>
      <c r="C1095" s="4"/>
      <c r="D1095" s="4"/>
      <c r="E1095" s="4"/>
      <c r="BR1095" s="8"/>
    </row>
    <row r="1096" spans="1:70" ht="12.5">
      <c r="A1096" s="4" t="str">
        <v xml:space="preserve"> </v>
      </c>
      <c r="C1096" s="4"/>
      <c r="D1096" s="4"/>
      <c r="E1096" s="4"/>
      <c r="BR1096" s="8"/>
    </row>
    <row r="1097" spans="1:70" ht="12.5">
      <c r="A1097" s="4" t="str">
        <v xml:space="preserve"> </v>
      </c>
      <c r="C1097" s="4"/>
      <c r="D1097" s="4"/>
      <c r="E1097" s="4"/>
      <c r="BR1097" s="8"/>
    </row>
    <row r="1098" spans="1:70" ht="12.5">
      <c r="A1098" s="4" t="str">
        <v xml:space="preserve"> </v>
      </c>
      <c r="C1098" s="4"/>
      <c r="D1098" s="4"/>
      <c r="E1098" s="4"/>
      <c r="BR1098" s="8"/>
    </row>
    <row r="1099" spans="1:70" ht="12.5">
      <c r="A1099" s="4" t="str">
        <v xml:space="preserve"> </v>
      </c>
      <c r="C1099" s="4"/>
      <c r="D1099" s="4"/>
      <c r="E1099" s="4"/>
      <c r="BR1099" s="8"/>
    </row>
    <row r="1100" spans="1:70" ht="12.5">
      <c r="A1100" s="4" t="str">
        <v xml:space="preserve"> </v>
      </c>
      <c r="C1100" s="4"/>
      <c r="D1100" s="4"/>
      <c r="E1100" s="4"/>
      <c r="BR1100" s="8"/>
    </row>
    <row r="1101" spans="1:70" ht="12.5">
      <c r="A1101" s="4" t="str">
        <v xml:space="preserve"> </v>
      </c>
      <c r="C1101" s="4"/>
      <c r="D1101" s="4"/>
      <c r="E1101" s="4"/>
      <c r="BR1101" s="8"/>
    </row>
    <row r="1102" spans="1:70" ht="12.5">
      <c r="A1102" s="4" t="str">
        <v xml:space="preserve"> </v>
      </c>
      <c r="C1102" s="4"/>
      <c r="D1102" s="4"/>
      <c r="E1102" s="4"/>
      <c r="BR1102" s="8"/>
    </row>
    <row r="1103" spans="1:70" ht="12.5">
      <c r="A1103" s="4" t="str">
        <v xml:space="preserve"> </v>
      </c>
      <c r="C1103" s="4"/>
      <c r="D1103" s="4"/>
      <c r="E1103" s="4"/>
      <c r="BR1103" s="8"/>
    </row>
    <row r="1104" spans="1:70" ht="12.5">
      <c r="A1104" s="4" t="str">
        <v xml:space="preserve"> </v>
      </c>
      <c r="C1104" s="4"/>
      <c r="D1104" s="4"/>
      <c r="E1104" s="4"/>
      <c r="BR1104" s="8"/>
    </row>
    <row r="1105" spans="1:70" ht="12.5">
      <c r="A1105" s="4" t="str">
        <v xml:space="preserve"> </v>
      </c>
      <c r="C1105" s="4"/>
      <c r="D1105" s="4"/>
      <c r="E1105" s="4"/>
      <c r="BR1105" s="8"/>
    </row>
    <row r="1106" spans="1:70" ht="12.5">
      <c r="A1106" s="4" t="str">
        <v xml:space="preserve"> </v>
      </c>
      <c r="C1106" s="4"/>
      <c r="D1106" s="4"/>
      <c r="E1106" s="4"/>
      <c r="BR1106" s="8"/>
    </row>
    <row r="1107" spans="1:70" ht="12.5">
      <c r="A1107" s="4" t="str">
        <v xml:space="preserve"> </v>
      </c>
      <c r="C1107" s="4"/>
      <c r="D1107" s="4"/>
      <c r="E1107" s="4"/>
      <c r="BR1107" s="8"/>
    </row>
    <row r="1108" spans="1:70" ht="12.5">
      <c r="A1108" s="4" t="str">
        <v xml:space="preserve"> </v>
      </c>
      <c r="C1108" s="4"/>
      <c r="D1108" s="4"/>
      <c r="E1108" s="4"/>
      <c r="BR1108" s="8"/>
    </row>
    <row r="1109" spans="1:70" ht="12.5">
      <c r="A1109" s="4" t="str">
        <v xml:space="preserve"> </v>
      </c>
      <c r="C1109" s="4"/>
      <c r="D1109" s="4"/>
      <c r="E1109" s="4"/>
      <c r="BR1109" s="8"/>
    </row>
    <row r="1110" spans="1:70" ht="12.5">
      <c r="A1110" s="4" t="str">
        <v xml:space="preserve"> </v>
      </c>
      <c r="C1110" s="4"/>
      <c r="D1110" s="4"/>
      <c r="E1110" s="4"/>
      <c r="BR1110" s="8"/>
    </row>
    <row r="1111" spans="1:70" ht="12.5">
      <c r="A1111" s="4" t="str">
        <v xml:space="preserve"> </v>
      </c>
      <c r="C1111" s="4"/>
      <c r="D1111" s="4"/>
      <c r="E1111" s="4"/>
      <c r="BR1111" s="8"/>
    </row>
    <row r="1112" spans="1:70" ht="12.5">
      <c r="A1112" s="4" t="str">
        <v xml:space="preserve"> </v>
      </c>
      <c r="C1112" s="4"/>
      <c r="D1112" s="4"/>
      <c r="E1112" s="4"/>
      <c r="BR1112" s="8"/>
    </row>
    <row r="1113" spans="1:70" ht="12.5">
      <c r="A1113" s="4" t="str">
        <v xml:space="preserve"> </v>
      </c>
      <c r="C1113" s="4"/>
      <c r="D1113" s="4"/>
      <c r="E1113" s="4"/>
      <c r="BR1113" s="8"/>
    </row>
    <row r="1114" spans="1:70" ht="12.5">
      <c r="A1114" s="4" t="str">
        <v xml:space="preserve"> </v>
      </c>
      <c r="C1114" s="4"/>
      <c r="D1114" s="4"/>
      <c r="E1114" s="4"/>
      <c r="BR1114" s="8"/>
    </row>
    <row r="1115" spans="1:70" ht="12.5">
      <c r="A1115" s="4" t="str">
        <v xml:space="preserve"> </v>
      </c>
      <c r="C1115" s="4"/>
      <c r="D1115" s="4"/>
      <c r="E1115" s="4"/>
      <c r="BR1115" s="8"/>
    </row>
    <row r="1116" spans="1:70" ht="12.5">
      <c r="A1116" s="4" t="str">
        <v xml:space="preserve"> </v>
      </c>
      <c r="C1116" s="4"/>
      <c r="D1116" s="4"/>
      <c r="E1116" s="4"/>
      <c r="BR1116" s="8"/>
    </row>
    <row r="1117" spans="1:70" ht="12.5">
      <c r="A1117" s="4" t="str">
        <v xml:space="preserve"> </v>
      </c>
      <c r="C1117" s="4"/>
      <c r="D1117" s="4"/>
      <c r="E1117" s="4"/>
      <c r="BR1117" s="8"/>
    </row>
    <row r="1118" spans="1:70" ht="12.5">
      <c r="A1118" s="4" t="str">
        <v xml:space="preserve"> </v>
      </c>
      <c r="C1118" s="4"/>
      <c r="D1118" s="4"/>
      <c r="E1118" s="4"/>
      <c r="BR1118" s="8"/>
    </row>
    <row r="1119" spans="1:70" ht="12.5">
      <c r="A1119" s="4" t="str">
        <v xml:space="preserve"> </v>
      </c>
      <c r="C1119" s="4"/>
      <c r="D1119" s="4"/>
      <c r="E1119" s="4"/>
      <c r="BR1119" s="8"/>
    </row>
    <row r="1120" spans="1:70" ht="12.5">
      <c r="A1120" s="4" t="str">
        <v xml:space="preserve"> </v>
      </c>
      <c r="C1120" s="4"/>
      <c r="D1120" s="4"/>
      <c r="E1120" s="4"/>
      <c r="BR1120" s="8"/>
    </row>
    <row r="1121" spans="1:70" ht="12.5">
      <c r="A1121" s="4" t="str">
        <v xml:space="preserve"> </v>
      </c>
      <c r="C1121" s="4"/>
      <c r="D1121" s="4"/>
      <c r="E1121" s="4"/>
      <c r="BR1121" s="8"/>
    </row>
    <row r="1122" spans="1:70" ht="12.5">
      <c r="A1122" s="4" t="str">
        <v xml:space="preserve"> </v>
      </c>
      <c r="C1122" s="4"/>
      <c r="D1122" s="4"/>
      <c r="E1122" s="4"/>
      <c r="BR1122" s="8"/>
    </row>
    <row r="1123" spans="1:70" ht="12.5">
      <c r="A1123" s="4" t="str">
        <v xml:space="preserve"> </v>
      </c>
      <c r="C1123" s="4"/>
      <c r="D1123" s="4"/>
      <c r="E1123" s="4"/>
      <c r="BR1123" s="8"/>
    </row>
    <row r="1124" spans="1:70" ht="12.5">
      <c r="A1124" s="4" t="str">
        <v xml:space="preserve"> </v>
      </c>
      <c r="C1124" s="4"/>
      <c r="D1124" s="4"/>
      <c r="E1124" s="4"/>
      <c r="BR1124" s="8"/>
    </row>
    <row r="1125" spans="1:70" ht="12.5">
      <c r="A1125" s="4" t="str">
        <v xml:space="preserve"> </v>
      </c>
      <c r="C1125" s="4"/>
      <c r="D1125" s="4"/>
      <c r="E1125" s="4"/>
      <c r="BR1125" s="8"/>
    </row>
    <row r="1126" spans="1:70" ht="12.5">
      <c r="A1126" s="4" t="str">
        <v xml:space="preserve"> </v>
      </c>
      <c r="C1126" s="4"/>
      <c r="D1126" s="4"/>
      <c r="E1126" s="4"/>
      <c r="BR1126" s="8"/>
    </row>
    <row r="1127" spans="1:70" ht="12.5">
      <c r="A1127" s="4" t="str">
        <v xml:space="preserve"> </v>
      </c>
      <c r="C1127" s="4"/>
      <c r="D1127" s="4"/>
      <c r="E1127" s="4"/>
      <c r="BR1127" s="8"/>
    </row>
    <row r="1128" spans="1:70" ht="12.5">
      <c r="A1128" s="4" t="str">
        <v xml:space="preserve"> </v>
      </c>
      <c r="C1128" s="4"/>
      <c r="D1128" s="4"/>
      <c r="E1128" s="4"/>
      <c r="BR1128" s="8"/>
    </row>
    <row r="1129" spans="1:70" ht="12.5">
      <c r="A1129" s="4" t="str">
        <v xml:space="preserve"> </v>
      </c>
      <c r="C1129" s="4"/>
      <c r="D1129" s="4"/>
      <c r="E1129" s="4"/>
      <c r="BR1129" s="8"/>
    </row>
    <row r="1130" spans="1:70" ht="12.5">
      <c r="A1130" s="4" t="str">
        <v xml:space="preserve"> </v>
      </c>
      <c r="C1130" s="4"/>
      <c r="D1130" s="4"/>
      <c r="E1130" s="4"/>
      <c r="BR1130" s="8"/>
    </row>
    <row r="1131" spans="1:70" ht="12.5">
      <c r="A1131" s="4" t="str">
        <v xml:space="preserve"> </v>
      </c>
      <c r="C1131" s="4"/>
      <c r="D1131" s="4"/>
      <c r="E1131" s="4"/>
      <c r="BR1131" s="8"/>
    </row>
    <row r="1132" spans="1:70" ht="12.5">
      <c r="A1132" s="4" t="str">
        <v xml:space="preserve"> </v>
      </c>
      <c r="C1132" s="4"/>
      <c r="D1132" s="4"/>
      <c r="E1132" s="4"/>
      <c r="BR1132" s="8"/>
    </row>
    <row r="1133" spans="1:70" ht="12.5">
      <c r="A1133" s="4" t="str">
        <v xml:space="preserve"> </v>
      </c>
      <c r="C1133" s="4"/>
      <c r="D1133" s="4"/>
      <c r="E1133" s="4"/>
      <c r="BR1133" s="8"/>
    </row>
    <row r="1134" spans="1:70" ht="12.5">
      <c r="A1134" s="4" t="str">
        <v xml:space="preserve"> </v>
      </c>
      <c r="C1134" s="4"/>
      <c r="D1134" s="4"/>
      <c r="E1134" s="4"/>
      <c r="BR1134" s="8"/>
    </row>
    <row r="1135" spans="1:70" ht="12.5">
      <c r="A1135" s="4" t="str">
        <v xml:space="preserve"> </v>
      </c>
      <c r="C1135" s="4"/>
      <c r="D1135" s="4"/>
      <c r="E1135" s="4"/>
      <c r="BR1135" s="8"/>
    </row>
    <row r="1136" spans="1:70" ht="12.5">
      <c r="A1136" s="4" t="str">
        <v xml:space="preserve"> </v>
      </c>
      <c r="C1136" s="4"/>
      <c r="D1136" s="4"/>
      <c r="E1136" s="4"/>
      <c r="BR1136" s="8"/>
    </row>
    <row r="1137" spans="1:70" ht="12.5">
      <c r="A1137" s="4" t="str">
        <v xml:space="preserve"> </v>
      </c>
      <c r="C1137" s="4"/>
      <c r="D1137" s="4"/>
      <c r="E1137" s="4"/>
      <c r="BR1137" s="8"/>
    </row>
    <row r="1138" spans="1:70" ht="12.5">
      <c r="A1138" s="4" t="str">
        <v xml:space="preserve"> </v>
      </c>
      <c r="C1138" s="4"/>
      <c r="D1138" s="4"/>
      <c r="E1138" s="4"/>
      <c r="BR1138" s="8"/>
    </row>
    <row r="1139" spans="1:70" ht="12.5">
      <c r="A1139" s="4" t="str">
        <v xml:space="preserve"> </v>
      </c>
      <c r="C1139" s="4"/>
      <c r="D1139" s="4"/>
      <c r="E1139" s="4"/>
      <c r="BR1139" s="8"/>
    </row>
    <row r="1140" spans="1:70" ht="12.5">
      <c r="A1140" s="4" t="str">
        <v xml:space="preserve"> </v>
      </c>
      <c r="C1140" s="4"/>
      <c r="D1140" s="4"/>
      <c r="E1140" s="4"/>
      <c r="BR1140" s="8"/>
    </row>
    <row r="1141" spans="1:70" ht="12.5">
      <c r="A1141" s="4" t="str">
        <v xml:space="preserve"> </v>
      </c>
      <c r="C1141" s="4"/>
      <c r="D1141" s="4"/>
      <c r="E1141" s="4"/>
      <c r="BR1141" s="8"/>
    </row>
    <row r="1142" spans="1:70" ht="12.5">
      <c r="A1142" s="4" t="str">
        <v xml:space="preserve"> </v>
      </c>
      <c r="C1142" s="4"/>
      <c r="D1142" s="4"/>
      <c r="E1142" s="4"/>
      <c r="BR1142" s="8"/>
    </row>
    <row r="1143" spans="1:70" ht="12.5">
      <c r="A1143" s="4" t="str">
        <v xml:space="preserve"> </v>
      </c>
      <c r="C1143" s="4"/>
      <c r="D1143" s="4"/>
      <c r="E1143" s="4"/>
      <c r="BR1143" s="8"/>
    </row>
    <row r="1144" spans="1:70" ht="12.5">
      <c r="A1144" s="4" t="str">
        <v xml:space="preserve"> </v>
      </c>
      <c r="C1144" s="4"/>
      <c r="D1144" s="4"/>
      <c r="E1144" s="4"/>
      <c r="BR1144" s="8"/>
    </row>
    <row r="1145" spans="1:70" ht="12.5">
      <c r="A1145" s="4" t="str">
        <v xml:space="preserve"> </v>
      </c>
      <c r="C1145" s="4"/>
      <c r="D1145" s="4"/>
      <c r="E1145" s="4"/>
      <c r="BR1145" s="8"/>
    </row>
    <row r="1146" spans="1:70" ht="12.5">
      <c r="A1146" s="4" t="str">
        <v xml:space="preserve"> </v>
      </c>
      <c r="C1146" s="4"/>
      <c r="D1146" s="4"/>
      <c r="E1146" s="4"/>
      <c r="BR1146" s="8"/>
    </row>
    <row r="1147" spans="1:70" ht="12.5">
      <c r="A1147" s="4" t="str">
        <v xml:space="preserve"> </v>
      </c>
      <c r="C1147" s="4"/>
      <c r="D1147" s="4"/>
      <c r="E1147" s="4"/>
      <c r="BR1147" s="8"/>
    </row>
    <row r="1148" spans="1:70" ht="12.5">
      <c r="A1148" s="4" t="str">
        <v xml:space="preserve"> </v>
      </c>
      <c r="C1148" s="4"/>
      <c r="D1148" s="4"/>
      <c r="E1148" s="4"/>
      <c r="BR1148" s="8"/>
    </row>
    <row r="1149" spans="1:70" ht="12.5">
      <c r="A1149" s="4" t="str">
        <v xml:space="preserve"> </v>
      </c>
      <c r="C1149" s="4"/>
      <c r="D1149" s="4"/>
      <c r="E1149" s="4"/>
      <c r="BR1149" s="8"/>
    </row>
    <row r="1150" spans="1:70" ht="12.5">
      <c r="A1150" s="4" t="str">
        <v xml:space="preserve"> </v>
      </c>
      <c r="C1150" s="4"/>
      <c r="D1150" s="4"/>
      <c r="E1150" s="4"/>
      <c r="BR1150" s="8"/>
    </row>
    <row r="1151" spans="1:70" ht="12.5">
      <c r="A1151" s="4" t="str">
        <v xml:space="preserve"> </v>
      </c>
      <c r="C1151" s="4"/>
      <c r="D1151" s="4"/>
      <c r="E1151" s="4"/>
      <c r="BR1151" s="8"/>
    </row>
    <row r="1152" spans="1:70" ht="12.5">
      <c r="A1152" s="4" t="str">
        <v xml:space="preserve"> </v>
      </c>
      <c r="C1152" s="4"/>
      <c r="D1152" s="4"/>
      <c r="E1152" s="4"/>
      <c r="BR1152" s="8"/>
    </row>
    <row r="1153" spans="1:70" ht="12.5">
      <c r="A1153" s="4" t="str">
        <v xml:space="preserve"> </v>
      </c>
      <c r="C1153" s="4"/>
      <c r="D1153" s="4"/>
      <c r="E1153" s="4"/>
      <c r="BR1153" s="8"/>
    </row>
    <row r="1154" spans="1:70" ht="12.5">
      <c r="A1154" s="4" t="str">
        <v xml:space="preserve"> </v>
      </c>
      <c r="C1154" s="4"/>
      <c r="D1154" s="4"/>
      <c r="E1154" s="4"/>
      <c r="BR1154" s="8"/>
    </row>
    <row r="1155" spans="1:70" ht="12.5">
      <c r="A1155" s="4" t="str">
        <v xml:space="preserve"> </v>
      </c>
      <c r="C1155" s="4"/>
      <c r="D1155" s="4"/>
      <c r="E1155" s="4"/>
      <c r="BR1155" s="8"/>
    </row>
    <row r="1156" spans="1:70" ht="12.5">
      <c r="A1156" s="4" t="str">
        <v xml:space="preserve"> </v>
      </c>
      <c r="C1156" s="4"/>
      <c r="D1156" s="4"/>
      <c r="E1156" s="4"/>
      <c r="BR1156" s="8"/>
    </row>
    <row r="1157" spans="1:70" ht="12.5">
      <c r="A1157" s="4" t="str">
        <v xml:space="preserve"> </v>
      </c>
      <c r="C1157" s="4"/>
      <c r="D1157" s="4"/>
      <c r="E1157" s="4"/>
      <c r="BR1157" s="8"/>
    </row>
    <row r="1158" spans="1:70" ht="12.5">
      <c r="A1158" s="4" t="str">
        <v xml:space="preserve"> </v>
      </c>
      <c r="C1158" s="4"/>
      <c r="D1158" s="4"/>
      <c r="E1158" s="4"/>
      <c r="BR1158" s="8"/>
    </row>
    <row r="1159" spans="1:70" ht="12.5">
      <c r="A1159" s="4" t="str">
        <v xml:space="preserve"> </v>
      </c>
      <c r="C1159" s="4"/>
      <c r="D1159" s="4"/>
      <c r="E1159" s="4"/>
      <c r="BR1159" s="8"/>
    </row>
    <row r="1160" spans="1:70" ht="12.5">
      <c r="A1160" s="4" t="str">
        <v xml:space="preserve"> </v>
      </c>
      <c r="C1160" s="4"/>
      <c r="D1160" s="4"/>
      <c r="E1160" s="4"/>
      <c r="BR1160" s="8"/>
    </row>
    <row r="1161" spans="1:70" ht="12.5">
      <c r="A1161" s="4" t="str">
        <v xml:space="preserve"> </v>
      </c>
      <c r="C1161" s="4"/>
      <c r="D1161" s="4"/>
      <c r="E1161" s="4"/>
      <c r="BR1161" s="8"/>
    </row>
    <row r="1162" spans="1:70" ht="12.5">
      <c r="A1162" s="4" t="str">
        <v xml:space="preserve"> </v>
      </c>
      <c r="C1162" s="4"/>
      <c r="D1162" s="4"/>
      <c r="E1162" s="4"/>
      <c r="BR1162" s="8"/>
    </row>
    <row r="1163" spans="1:70" ht="12.5">
      <c r="A1163" s="4" t="str">
        <v xml:space="preserve"> </v>
      </c>
      <c r="C1163" s="4"/>
      <c r="D1163" s="4"/>
      <c r="E1163" s="4"/>
      <c r="BR1163" s="8"/>
    </row>
    <row r="1164" spans="1:70" ht="12.5">
      <c r="A1164" s="4" t="str">
        <v xml:space="preserve"> </v>
      </c>
      <c r="C1164" s="4"/>
      <c r="D1164" s="4"/>
      <c r="E1164" s="4"/>
      <c r="BR1164" s="8"/>
    </row>
    <row r="1165" spans="1:70" ht="12.5">
      <c r="A1165" s="4" t="str">
        <v xml:space="preserve"> </v>
      </c>
      <c r="C1165" s="4"/>
      <c r="D1165" s="4"/>
      <c r="E1165" s="4"/>
      <c r="BR1165" s="8"/>
    </row>
    <row r="1166" spans="1:70" ht="12.5">
      <c r="A1166" s="4" t="str">
        <v xml:space="preserve"> </v>
      </c>
      <c r="C1166" s="4"/>
      <c r="D1166" s="4"/>
      <c r="E1166" s="4"/>
      <c r="BR1166" s="8"/>
    </row>
    <row r="1167" spans="1:70" ht="12.5">
      <c r="A1167" s="4" t="str">
        <v xml:space="preserve"> </v>
      </c>
      <c r="C1167" s="4"/>
      <c r="D1167" s="4"/>
      <c r="E1167" s="4"/>
      <c r="BR1167" s="8"/>
    </row>
    <row r="1168" spans="1:70" ht="12.5">
      <c r="A1168" s="4" t="str">
        <v xml:space="preserve"> </v>
      </c>
      <c r="C1168" s="4"/>
      <c r="D1168" s="4"/>
      <c r="E1168" s="4"/>
      <c r="BR1168" s="8"/>
    </row>
    <row r="1169" spans="1:70" ht="12.5">
      <c r="A1169" s="4" t="str">
        <v xml:space="preserve"> </v>
      </c>
      <c r="C1169" s="4"/>
      <c r="D1169" s="4"/>
      <c r="E1169" s="4"/>
      <c r="BR1169" s="8"/>
    </row>
    <row r="1170" spans="1:70" ht="12.5">
      <c r="A1170" s="4" t="str">
        <v xml:space="preserve"> </v>
      </c>
      <c r="C1170" s="4"/>
      <c r="D1170" s="4"/>
      <c r="E1170" s="4"/>
      <c r="BR1170" s="8"/>
    </row>
    <row r="1171" spans="1:70" ht="12.5">
      <c r="A1171" s="4" t="str">
        <v xml:space="preserve"> </v>
      </c>
      <c r="C1171" s="4"/>
      <c r="D1171" s="4"/>
      <c r="E1171" s="4"/>
      <c r="BR1171" s="8"/>
    </row>
    <row r="1172" spans="1:70" ht="12.5">
      <c r="A1172" s="4" t="str">
        <v xml:space="preserve"> </v>
      </c>
      <c r="C1172" s="4"/>
      <c r="D1172" s="4"/>
      <c r="E1172" s="4"/>
      <c r="BR1172" s="8"/>
    </row>
    <row r="1173" spans="1:70" ht="12.5">
      <c r="A1173" s="4" t="str">
        <v xml:space="preserve"> </v>
      </c>
      <c r="C1173" s="4"/>
      <c r="D1173" s="4"/>
      <c r="E1173" s="4"/>
      <c r="BR1173" s="8"/>
    </row>
    <row r="1174" spans="1:70" ht="12.5">
      <c r="A1174" s="4" t="str">
        <v xml:space="preserve"> </v>
      </c>
      <c r="C1174" s="4"/>
      <c r="D1174" s="4"/>
      <c r="E1174" s="4"/>
      <c r="BR1174" s="8"/>
    </row>
    <row r="1175" spans="1:70" ht="12.5">
      <c r="A1175" s="4" t="str">
        <v xml:space="preserve"> </v>
      </c>
      <c r="C1175" s="4"/>
      <c r="D1175" s="4"/>
      <c r="E1175" s="4"/>
      <c r="BR1175" s="8"/>
    </row>
    <row r="1176" spans="1:70" ht="12.5">
      <c r="A1176" s="4" t="str">
        <v xml:space="preserve"> </v>
      </c>
      <c r="C1176" s="4"/>
      <c r="D1176" s="4"/>
      <c r="E1176" s="4"/>
      <c r="BR1176" s="8"/>
    </row>
    <row r="1177" spans="1:70" ht="12.5">
      <c r="A1177" s="4" t="str">
        <v xml:space="preserve"> </v>
      </c>
      <c r="C1177" s="4"/>
      <c r="D1177" s="4"/>
      <c r="E1177" s="4"/>
      <c r="BR1177" s="8"/>
    </row>
    <row r="1178" spans="1:70" ht="12.5">
      <c r="A1178" s="4" t="str">
        <v xml:space="preserve"> </v>
      </c>
      <c r="C1178" s="4"/>
      <c r="D1178" s="4"/>
      <c r="E1178" s="4"/>
      <c r="BR1178" s="8"/>
    </row>
    <row r="1179" spans="1:70" ht="12.5">
      <c r="A1179" s="4" t="str">
        <v xml:space="preserve"> </v>
      </c>
      <c r="C1179" s="4"/>
      <c r="D1179" s="4"/>
      <c r="E1179" s="4"/>
      <c r="BR1179" s="8"/>
    </row>
    <row r="1180" spans="1:70" ht="12.5">
      <c r="A1180" s="4" t="str">
        <v xml:space="preserve"> </v>
      </c>
      <c r="C1180" s="4"/>
      <c r="D1180" s="4"/>
      <c r="E1180" s="4"/>
      <c r="BR1180" s="8"/>
    </row>
    <row r="1181" spans="1:70" ht="12.5">
      <c r="A1181" s="4" t="str">
        <v xml:space="preserve"> </v>
      </c>
      <c r="C1181" s="4"/>
      <c r="D1181" s="4"/>
      <c r="E1181" s="4"/>
      <c r="BR1181" s="8"/>
    </row>
    <row r="1182" spans="1:70" ht="12.5">
      <c r="A1182" s="4" t="str">
        <v xml:space="preserve"> </v>
      </c>
      <c r="C1182" s="4"/>
      <c r="D1182" s="4"/>
      <c r="E1182" s="4"/>
      <c r="BR1182" s="8"/>
    </row>
    <row r="1183" spans="1:70" ht="12.5">
      <c r="A1183" s="4" t="str">
        <v xml:space="preserve"> </v>
      </c>
      <c r="C1183" s="4"/>
      <c r="D1183" s="4"/>
      <c r="E1183" s="4"/>
      <c r="BR1183" s="8"/>
    </row>
    <row r="1184" spans="1:70" ht="12.5">
      <c r="A1184" s="4" t="str">
        <v xml:space="preserve"> </v>
      </c>
      <c r="C1184" s="4"/>
      <c r="D1184" s="4"/>
      <c r="E1184" s="4"/>
      <c r="BR1184" s="8"/>
    </row>
    <row r="1185" spans="1:70" ht="12.5">
      <c r="A1185" s="4" t="str">
        <v xml:space="preserve"> </v>
      </c>
      <c r="C1185" s="4"/>
      <c r="D1185" s="4"/>
      <c r="E1185" s="4"/>
      <c r="BR1185" s="8"/>
    </row>
    <row r="1186" spans="1:70" ht="12.5">
      <c r="A1186" s="4" t="str">
        <v xml:space="preserve"> </v>
      </c>
      <c r="C1186" s="4"/>
      <c r="D1186" s="4"/>
      <c r="E1186" s="4"/>
      <c r="BR1186" s="8"/>
    </row>
    <row r="1187" spans="1:70" ht="12.5">
      <c r="A1187" s="4" t="str">
        <v xml:space="preserve"> </v>
      </c>
      <c r="C1187" s="4"/>
      <c r="D1187" s="4"/>
      <c r="E1187" s="4"/>
      <c r="BR1187" s="8"/>
    </row>
    <row r="1188" spans="1:70" ht="12.5">
      <c r="A1188" s="4" t="str">
        <v xml:space="preserve"> </v>
      </c>
      <c r="C1188" s="4"/>
      <c r="D1188" s="4"/>
      <c r="E1188" s="4"/>
      <c r="BR1188" s="8"/>
    </row>
    <row r="1189" spans="1:70" ht="12.5">
      <c r="A1189" s="4" t="str">
        <v xml:space="preserve"> </v>
      </c>
      <c r="C1189" s="4"/>
      <c r="D1189" s="4"/>
      <c r="E1189" s="4"/>
      <c r="BR1189" s="8"/>
    </row>
    <row r="1190" spans="1:70" ht="12.5">
      <c r="A1190" s="4" t="str">
        <v xml:space="preserve"> </v>
      </c>
      <c r="C1190" s="4"/>
      <c r="D1190" s="4"/>
      <c r="E1190" s="4"/>
      <c r="BR1190" s="8"/>
    </row>
    <row r="1191" spans="1:70" ht="12.5">
      <c r="A1191" s="4" t="str">
        <v xml:space="preserve"> </v>
      </c>
      <c r="C1191" s="4"/>
      <c r="D1191" s="4"/>
      <c r="E1191" s="4"/>
      <c r="BR1191" s="8"/>
    </row>
    <row r="1192" spans="1:70" ht="12.5">
      <c r="A1192" s="4" t="str">
        <v xml:space="preserve"> </v>
      </c>
      <c r="C1192" s="4"/>
      <c r="D1192" s="4"/>
      <c r="E1192" s="4"/>
      <c r="BR1192" s="8"/>
    </row>
    <row r="1193" spans="1:70" ht="12.5">
      <c r="A1193" s="4" t="str">
        <v xml:space="preserve"> </v>
      </c>
      <c r="C1193" s="4"/>
      <c r="D1193" s="4"/>
      <c r="E1193" s="4"/>
      <c r="BR1193" s="8"/>
    </row>
    <row r="1194" spans="1:70" ht="12.5">
      <c r="A1194" s="4" t="str">
        <v xml:space="preserve"> </v>
      </c>
      <c r="C1194" s="4"/>
      <c r="D1194" s="4"/>
      <c r="E1194" s="4"/>
      <c r="BR1194" s="8"/>
    </row>
    <row r="1195" spans="1:70" ht="12.5">
      <c r="A1195" s="4" t="str">
        <v xml:space="preserve"> </v>
      </c>
      <c r="C1195" s="4"/>
      <c r="D1195" s="4"/>
      <c r="E1195" s="4"/>
      <c r="BR1195" s="8"/>
    </row>
    <row r="1196" spans="1:70" ht="12.5">
      <c r="A1196" s="4" t="str">
        <v xml:space="preserve"> </v>
      </c>
      <c r="C1196" s="4"/>
      <c r="D1196" s="4"/>
      <c r="E1196" s="4"/>
      <c r="BR1196" s="8"/>
    </row>
    <row r="1197" spans="1:70" ht="12.5">
      <c r="A1197" s="4" t="str">
        <v xml:space="preserve"> </v>
      </c>
      <c r="C1197" s="4"/>
      <c r="D1197" s="4"/>
      <c r="E1197" s="4"/>
      <c r="BR1197" s="8"/>
    </row>
    <row r="1198" spans="1:70" ht="12.5">
      <c r="A1198" s="4" t="str">
        <v xml:space="preserve"> </v>
      </c>
      <c r="C1198" s="4"/>
      <c r="D1198" s="4"/>
      <c r="E1198" s="4"/>
      <c r="BR1198" s="8"/>
    </row>
    <row r="1199" spans="1:70" ht="12.5">
      <c r="A1199" s="4" t="str">
        <v xml:space="preserve"> </v>
      </c>
      <c r="C1199" s="4"/>
      <c r="D1199" s="4"/>
      <c r="E1199" s="4"/>
      <c r="BR1199" s="8"/>
    </row>
    <row r="1200" spans="1:70" ht="12.5">
      <c r="A1200" s="4" t="str">
        <v xml:space="preserve"> </v>
      </c>
      <c r="C1200" s="4"/>
      <c r="D1200" s="4"/>
      <c r="E1200" s="4"/>
      <c r="BR1200" s="8"/>
    </row>
    <row r="1201" spans="1:70" ht="12.5">
      <c r="A1201" s="4" t="str">
        <v xml:space="preserve"> </v>
      </c>
      <c r="C1201" s="4"/>
      <c r="D1201" s="4"/>
      <c r="E1201" s="4"/>
      <c r="BR1201" s="8"/>
    </row>
    <row r="1202" spans="1:70" ht="12.5">
      <c r="A1202" s="4" t="str">
        <v xml:space="preserve"> </v>
      </c>
      <c r="C1202" s="4"/>
      <c r="D1202" s="4"/>
      <c r="E1202" s="4"/>
      <c r="BR1202" s="8"/>
    </row>
    <row r="1203" spans="1:70" ht="12.5">
      <c r="A1203" s="4" t="str">
        <v xml:space="preserve"> </v>
      </c>
      <c r="C1203" s="4"/>
      <c r="D1203" s="4"/>
      <c r="E1203" s="4"/>
      <c r="BR1203" s="8"/>
    </row>
    <row r="1204" spans="1:70" ht="12.5">
      <c r="A1204" s="4" t="str">
        <v xml:space="preserve"> </v>
      </c>
      <c r="C1204" s="4"/>
      <c r="D1204" s="4"/>
      <c r="E1204" s="4"/>
      <c r="BR1204" s="8"/>
    </row>
    <row r="1205" spans="1:70" ht="12.5">
      <c r="A1205" s="4" t="str">
        <v xml:space="preserve"> </v>
      </c>
      <c r="C1205" s="4"/>
      <c r="D1205" s="4"/>
      <c r="E1205" s="4"/>
      <c r="BR1205" s="8"/>
    </row>
    <row r="1206" spans="1:70" ht="12.5">
      <c r="A1206" s="4" t="str">
        <v xml:space="preserve"> </v>
      </c>
      <c r="C1206" s="4"/>
      <c r="D1206" s="4"/>
      <c r="E1206" s="4"/>
      <c r="BR1206" s="8"/>
    </row>
    <row r="1207" spans="1:70" ht="12.5">
      <c r="A1207" s="4" t="str">
        <v xml:space="preserve"> </v>
      </c>
      <c r="C1207" s="4"/>
      <c r="D1207" s="4"/>
      <c r="E1207" s="4"/>
      <c r="BR1207" s="8"/>
    </row>
    <row r="1208" spans="1:70" ht="12.5">
      <c r="A1208" s="4" t="str">
        <v xml:space="preserve"> </v>
      </c>
      <c r="C1208" s="4"/>
      <c r="D1208" s="4"/>
      <c r="E1208" s="4"/>
      <c r="BR1208" s="8"/>
    </row>
    <row r="1209" spans="1:70" ht="12.5">
      <c r="A1209" s="4" t="str">
        <v xml:space="preserve"> </v>
      </c>
      <c r="C1209" s="4"/>
      <c r="D1209" s="4"/>
      <c r="E1209" s="4"/>
      <c r="BR1209" s="8"/>
    </row>
    <row r="1210" spans="1:70" ht="12.5">
      <c r="A1210" s="4" t="str">
        <v xml:space="preserve"> </v>
      </c>
      <c r="C1210" s="4"/>
      <c r="D1210" s="4"/>
      <c r="E1210" s="4"/>
      <c r="BR1210" s="8"/>
    </row>
    <row r="1211" spans="1:70" ht="12.5">
      <c r="A1211" s="4" t="str">
        <v xml:space="preserve"> </v>
      </c>
      <c r="C1211" s="4"/>
      <c r="D1211" s="4"/>
      <c r="E1211" s="4"/>
      <c r="BR1211" s="8"/>
    </row>
    <row r="1212" spans="1:70" ht="12.5">
      <c r="A1212" s="4" t="str">
        <v xml:space="preserve"> </v>
      </c>
      <c r="C1212" s="4"/>
      <c r="D1212" s="4"/>
      <c r="E1212" s="4"/>
      <c r="BR1212" s="8"/>
    </row>
    <row r="1213" spans="1:70" ht="12.5">
      <c r="A1213" s="4" t="str">
        <v xml:space="preserve"> </v>
      </c>
      <c r="C1213" s="4"/>
      <c r="D1213" s="4"/>
      <c r="E1213" s="4"/>
      <c r="BR1213" s="8"/>
    </row>
    <row r="1214" spans="1:70" ht="12.5">
      <c r="A1214" s="4" t="str">
        <v xml:space="preserve"> </v>
      </c>
      <c r="C1214" s="4"/>
      <c r="D1214" s="4"/>
      <c r="E1214" s="4"/>
      <c r="BR1214" s="8"/>
    </row>
    <row r="1215" spans="1:70" ht="12.5">
      <c r="A1215" s="4" t="str">
        <v xml:space="preserve"> </v>
      </c>
      <c r="C1215" s="4"/>
      <c r="D1215" s="4"/>
      <c r="E1215" s="4"/>
      <c r="BR1215" s="8"/>
    </row>
    <row r="1216" spans="1:70" ht="12.5">
      <c r="A1216" s="4" t="str">
        <v xml:space="preserve"> </v>
      </c>
      <c r="C1216" s="4"/>
      <c r="D1216" s="4"/>
      <c r="E1216" s="4"/>
      <c r="BR1216" s="8"/>
    </row>
    <row r="1217" spans="1:70" ht="12.5">
      <c r="A1217" s="4" t="str">
        <v xml:space="preserve"> </v>
      </c>
      <c r="C1217" s="4"/>
      <c r="D1217" s="4"/>
      <c r="E1217" s="4"/>
      <c r="BR1217" s="8"/>
    </row>
    <row r="1218" spans="1:70" ht="12.5">
      <c r="A1218" s="4" t="str">
        <v xml:space="preserve"> </v>
      </c>
      <c r="C1218" s="4"/>
      <c r="D1218" s="4"/>
      <c r="E1218" s="4"/>
      <c r="BR1218" s="8"/>
    </row>
    <row r="1219" spans="1:70" ht="12.5">
      <c r="A1219" s="4" t="str">
        <v xml:space="preserve"> </v>
      </c>
      <c r="C1219" s="4"/>
      <c r="D1219" s="4"/>
      <c r="E1219" s="4"/>
      <c r="BR1219" s="8"/>
    </row>
    <row r="1220" spans="1:70" ht="12.5">
      <c r="A1220" s="4" t="str">
        <v xml:space="preserve"> </v>
      </c>
      <c r="C1220" s="4"/>
      <c r="D1220" s="4"/>
      <c r="E1220" s="4"/>
      <c r="BR1220" s="8"/>
    </row>
    <row r="1221" spans="1:70" ht="12.5">
      <c r="A1221" s="4" t="str">
        <v xml:space="preserve"> </v>
      </c>
      <c r="C1221" s="4"/>
      <c r="D1221" s="4"/>
      <c r="E1221" s="4"/>
      <c r="BR1221" s="8"/>
    </row>
    <row r="1222" spans="1:70" ht="12.5">
      <c r="A1222" s="4" t="str">
        <v xml:space="preserve"> </v>
      </c>
      <c r="C1222" s="4"/>
      <c r="D1222" s="4"/>
      <c r="E1222" s="4"/>
      <c r="BR1222" s="8"/>
    </row>
    <row r="1223" spans="1:70" ht="12.5">
      <c r="A1223" s="4" t="str">
        <v xml:space="preserve"> </v>
      </c>
      <c r="C1223" s="4"/>
      <c r="D1223" s="4"/>
      <c r="E1223" s="4"/>
      <c r="BR1223" s="8"/>
    </row>
    <row r="1224" spans="1:70" ht="12.5">
      <c r="A1224" s="4" t="str">
        <v xml:space="preserve"> </v>
      </c>
      <c r="C1224" s="4"/>
      <c r="D1224" s="4"/>
      <c r="E1224" s="4"/>
      <c r="BR1224" s="8"/>
    </row>
    <row r="1225" spans="1:70" ht="12.5">
      <c r="A1225" s="4" t="str">
        <v xml:space="preserve"> </v>
      </c>
      <c r="C1225" s="4"/>
      <c r="D1225" s="4"/>
      <c r="E1225" s="4"/>
      <c r="BR1225" s="8"/>
    </row>
    <row r="1226" spans="1:70" ht="12.5">
      <c r="A1226" s="4" t="str">
        <v xml:space="preserve"> </v>
      </c>
      <c r="C1226" s="4"/>
      <c r="D1226" s="4"/>
      <c r="E1226" s="4"/>
      <c r="BR1226" s="8"/>
    </row>
    <row r="1227" spans="1:70" ht="12.5">
      <c r="A1227" s="4" t="str">
        <v xml:space="preserve"> </v>
      </c>
      <c r="C1227" s="4"/>
      <c r="D1227" s="4"/>
      <c r="E1227" s="4"/>
      <c r="BR1227" s="8"/>
    </row>
    <row r="1228" spans="1:70" ht="12.5">
      <c r="A1228" s="4" t="str">
        <v xml:space="preserve"> </v>
      </c>
      <c r="C1228" s="4"/>
      <c r="D1228" s="4"/>
      <c r="E1228" s="4"/>
      <c r="BR1228" s="8"/>
    </row>
    <row r="1229" spans="1:70" ht="12.5">
      <c r="A1229" s="4" t="str">
        <v xml:space="preserve"> </v>
      </c>
      <c r="C1229" s="4"/>
      <c r="D1229" s="4"/>
      <c r="E1229" s="4"/>
      <c r="BR1229" s="8"/>
    </row>
    <row r="1230" spans="1:70" ht="12.5">
      <c r="A1230" s="4" t="str">
        <v xml:space="preserve"> </v>
      </c>
      <c r="C1230" s="4"/>
      <c r="D1230" s="4"/>
      <c r="E1230" s="4"/>
      <c r="BR1230" s="8"/>
    </row>
    <row r="1231" spans="1:70" ht="12.5">
      <c r="A1231" s="4" t="str">
        <v xml:space="preserve"> </v>
      </c>
      <c r="C1231" s="4"/>
      <c r="D1231" s="4"/>
      <c r="E1231" s="4"/>
      <c r="BR1231" s="8"/>
    </row>
    <row r="1232" spans="1:70" ht="12.5">
      <c r="A1232" s="4" t="str">
        <v xml:space="preserve"> </v>
      </c>
      <c r="C1232" s="4"/>
      <c r="D1232" s="4"/>
      <c r="E1232" s="4"/>
      <c r="BR1232" s="8"/>
    </row>
    <row r="1233" spans="1:70" ht="12.5">
      <c r="A1233" s="4" t="str">
        <v xml:space="preserve"> </v>
      </c>
      <c r="C1233" s="4"/>
      <c r="D1233" s="4"/>
      <c r="E1233" s="4"/>
      <c r="BR1233" s="8"/>
    </row>
    <row r="1234" spans="1:70" ht="12.5">
      <c r="A1234" s="4" t="str">
        <v xml:space="preserve"> </v>
      </c>
      <c r="C1234" s="4"/>
      <c r="D1234" s="4"/>
      <c r="E1234" s="4"/>
      <c r="BR1234" s="8"/>
    </row>
    <row r="1235" spans="1:70" ht="12.5">
      <c r="A1235" s="4" t="str">
        <v xml:space="preserve"> </v>
      </c>
      <c r="C1235" s="4"/>
      <c r="D1235" s="4"/>
      <c r="E1235" s="4"/>
      <c r="BR1235" s="8"/>
    </row>
    <row r="1236" spans="1:70" ht="12.5">
      <c r="A1236" s="4" t="str">
        <v xml:space="preserve"> </v>
      </c>
      <c r="C1236" s="4"/>
      <c r="D1236" s="4"/>
      <c r="E1236" s="4"/>
      <c r="BR1236" s="8"/>
    </row>
    <row r="1237" spans="1:70" ht="12.5">
      <c r="A1237" s="4" t="str">
        <v xml:space="preserve"> </v>
      </c>
      <c r="C1237" s="4"/>
      <c r="D1237" s="4"/>
      <c r="E1237" s="4"/>
      <c r="BR1237" s="8"/>
    </row>
    <row r="1238" spans="1:70" ht="12.5">
      <c r="A1238" s="4" t="str">
        <v xml:space="preserve"> </v>
      </c>
      <c r="C1238" s="4"/>
      <c r="D1238" s="4"/>
      <c r="E1238" s="4"/>
      <c r="BR1238" s="8"/>
    </row>
    <row r="1239" spans="1:70" ht="12.5">
      <c r="A1239" s="4" t="str">
        <v xml:space="preserve"> </v>
      </c>
      <c r="C1239" s="4"/>
      <c r="D1239" s="4"/>
      <c r="E1239" s="4"/>
      <c r="BR1239" s="8"/>
    </row>
    <row r="1240" spans="1:70" ht="12.5">
      <c r="A1240" s="4" t="str">
        <v xml:space="preserve"> </v>
      </c>
      <c r="C1240" s="4"/>
      <c r="D1240" s="4"/>
      <c r="E1240" s="4"/>
      <c r="BR1240" s="8"/>
    </row>
    <row r="1241" spans="1:70" ht="12.5">
      <c r="A1241" s="4" t="str">
        <v xml:space="preserve"> </v>
      </c>
      <c r="C1241" s="4"/>
      <c r="D1241" s="4"/>
      <c r="E1241" s="4"/>
      <c r="BR1241" s="8"/>
    </row>
    <row r="1242" spans="1:70" ht="12.5">
      <c r="A1242" s="4" t="str">
        <v xml:space="preserve"> </v>
      </c>
      <c r="C1242" s="4"/>
      <c r="D1242" s="4"/>
      <c r="E1242" s="4"/>
      <c r="BR1242" s="8"/>
    </row>
    <row r="1243" spans="1:70" ht="12.5">
      <c r="A1243" s="4" t="str">
        <v xml:space="preserve"> </v>
      </c>
      <c r="C1243" s="4"/>
      <c r="D1243" s="4"/>
      <c r="E1243" s="4"/>
      <c r="BR1243" s="8"/>
    </row>
    <row r="1244" spans="1:70" ht="12.5">
      <c r="A1244" s="4" t="str">
        <v xml:space="preserve"> </v>
      </c>
      <c r="C1244" s="4"/>
      <c r="D1244" s="4"/>
      <c r="E1244" s="4"/>
      <c r="BR1244" s="8"/>
    </row>
    <row r="1245" spans="1:70" ht="12.5">
      <c r="A1245" s="4" t="str">
        <v xml:space="preserve"> </v>
      </c>
      <c r="C1245" s="4"/>
      <c r="D1245" s="4"/>
      <c r="E1245" s="4"/>
      <c r="BR1245" s="8"/>
    </row>
    <row r="1246" spans="1:70" ht="12.5">
      <c r="A1246" s="4" t="str">
        <v xml:space="preserve"> </v>
      </c>
      <c r="C1246" s="4"/>
      <c r="D1246" s="4"/>
      <c r="E1246" s="4"/>
      <c r="BR1246" s="8"/>
    </row>
    <row r="1247" spans="1:70" ht="12.5">
      <c r="A1247" s="4" t="str">
        <v xml:space="preserve"> </v>
      </c>
      <c r="C1247" s="4"/>
      <c r="D1247" s="4"/>
      <c r="E1247" s="4"/>
      <c r="BR1247" s="8"/>
    </row>
    <row r="1248" spans="1:70" ht="12.5">
      <c r="A1248" s="4" t="str">
        <v xml:space="preserve"> </v>
      </c>
      <c r="C1248" s="4"/>
      <c r="D1248" s="4"/>
      <c r="E1248" s="4"/>
      <c r="BR1248" s="8"/>
    </row>
    <row r="1249" spans="1:70" ht="12.5">
      <c r="A1249" s="4" t="str">
        <v xml:space="preserve"> </v>
      </c>
      <c r="C1249" s="4"/>
      <c r="D1249" s="4"/>
      <c r="E1249" s="4"/>
      <c r="BR1249" s="8"/>
    </row>
    <row r="1250" spans="1:70" ht="12.5">
      <c r="A1250" s="4" t="str">
        <v xml:space="preserve"> </v>
      </c>
      <c r="C1250" s="4"/>
      <c r="D1250" s="4"/>
      <c r="E1250" s="4"/>
      <c r="BR1250" s="8"/>
    </row>
    <row r="1251" spans="1:70" ht="12.5">
      <c r="A1251" s="4" t="str">
        <v xml:space="preserve"> </v>
      </c>
      <c r="C1251" s="4"/>
      <c r="D1251" s="4"/>
      <c r="E1251" s="4"/>
      <c r="BR1251" s="8"/>
    </row>
    <row r="1252" spans="1:70" ht="12.5">
      <c r="A1252" s="4" t="str">
        <v xml:space="preserve"> </v>
      </c>
      <c r="C1252" s="4"/>
      <c r="D1252" s="4"/>
      <c r="E1252" s="4"/>
      <c r="BR1252" s="8"/>
    </row>
    <row r="1253" spans="1:70" ht="12.5">
      <c r="A1253" s="4" t="str">
        <v xml:space="preserve"> </v>
      </c>
      <c r="C1253" s="4"/>
      <c r="D1253" s="4"/>
      <c r="E1253" s="4"/>
      <c r="BR1253" s="8"/>
    </row>
    <row r="1254" spans="1:70" ht="12.5">
      <c r="A1254" s="4" t="str">
        <v xml:space="preserve"> </v>
      </c>
      <c r="C1254" s="4"/>
      <c r="D1254" s="4"/>
      <c r="E1254" s="4"/>
      <c r="BR1254" s="8"/>
    </row>
    <row r="1255" spans="1:70" ht="12.5">
      <c r="A1255" s="4" t="str">
        <v xml:space="preserve"> </v>
      </c>
      <c r="C1255" s="4"/>
      <c r="D1255" s="4"/>
      <c r="E1255" s="4"/>
      <c r="BR1255" s="8"/>
    </row>
    <row r="1256" spans="1:70" ht="12.5">
      <c r="A1256" s="4" t="str">
        <v xml:space="preserve"> </v>
      </c>
      <c r="C1256" s="4"/>
      <c r="D1256" s="4"/>
      <c r="E1256" s="4"/>
      <c r="BR1256" s="8"/>
    </row>
    <row r="1257" spans="1:70" ht="12.5">
      <c r="A1257" s="4" t="str">
        <v xml:space="preserve"> </v>
      </c>
      <c r="C1257" s="4"/>
      <c r="D1257" s="4"/>
      <c r="E1257" s="4"/>
      <c r="BR1257" s="8"/>
    </row>
    <row r="1258" spans="1:70" ht="12.5">
      <c r="A1258" s="4" t="str">
        <v xml:space="preserve"> </v>
      </c>
      <c r="C1258" s="4"/>
      <c r="D1258" s="4"/>
      <c r="E1258" s="4"/>
      <c r="BR1258" s="8"/>
    </row>
    <row r="1259" spans="1:70" ht="12.5">
      <c r="A1259" s="4" t="str">
        <v xml:space="preserve"> </v>
      </c>
      <c r="C1259" s="4"/>
      <c r="D1259" s="4"/>
      <c r="E1259" s="4"/>
      <c r="BR1259" s="8"/>
    </row>
    <row r="1260" spans="1:70" ht="12.5">
      <c r="A1260" s="4" t="str">
        <v xml:space="preserve"> </v>
      </c>
      <c r="C1260" s="4"/>
      <c r="D1260" s="4"/>
      <c r="E1260" s="4"/>
      <c r="BR1260" s="8"/>
    </row>
    <row r="1261" spans="1:70" ht="12.5">
      <c r="A1261" s="4" t="str">
        <v xml:space="preserve"> </v>
      </c>
      <c r="C1261" s="4"/>
      <c r="D1261" s="4"/>
      <c r="E1261" s="4"/>
      <c r="BR1261" s="8"/>
    </row>
    <row r="1262" spans="1:70" ht="12.5">
      <c r="A1262" s="4" t="str">
        <v xml:space="preserve"> </v>
      </c>
      <c r="C1262" s="4"/>
      <c r="D1262" s="4"/>
      <c r="E1262" s="4"/>
      <c r="BR1262" s="8"/>
    </row>
    <row r="1263" spans="1:70" ht="12.5">
      <c r="A1263" s="4" t="str">
        <v xml:space="preserve"> </v>
      </c>
      <c r="C1263" s="4"/>
      <c r="D1263" s="4"/>
      <c r="E1263" s="4"/>
      <c r="BR1263" s="8"/>
    </row>
    <row r="1264" spans="1:70" ht="12.5">
      <c r="A1264" s="4" t="str">
        <v xml:space="preserve"> </v>
      </c>
      <c r="C1264" s="4"/>
      <c r="D1264" s="4"/>
      <c r="E1264" s="4"/>
      <c r="BR1264" s="8"/>
    </row>
    <row r="1265" spans="1:70" ht="12.5">
      <c r="A1265" s="4" t="str">
        <v xml:space="preserve"> </v>
      </c>
      <c r="C1265" s="4"/>
      <c r="D1265" s="4"/>
      <c r="E1265" s="4"/>
      <c r="BR1265" s="8"/>
    </row>
    <row r="1266" spans="1:70" ht="12.5">
      <c r="A1266" s="4" t="str">
        <v xml:space="preserve"> </v>
      </c>
      <c r="C1266" s="4"/>
      <c r="D1266" s="4"/>
      <c r="E1266" s="4"/>
      <c r="BR1266" s="8"/>
    </row>
    <row r="1267" spans="1:70" ht="12.5">
      <c r="A1267" s="4" t="str">
        <v xml:space="preserve"> </v>
      </c>
      <c r="C1267" s="4"/>
      <c r="D1267" s="4"/>
      <c r="E1267" s="4"/>
      <c r="BR1267" s="8"/>
    </row>
    <row r="1268" spans="1:70" ht="12.5">
      <c r="A1268" s="4" t="str">
        <v xml:space="preserve"> </v>
      </c>
      <c r="C1268" s="4"/>
      <c r="D1268" s="4"/>
      <c r="E1268" s="4"/>
      <c r="BR1268" s="8"/>
    </row>
    <row r="1269" spans="1:70" ht="12.5">
      <c r="A1269" s="4" t="str">
        <v xml:space="preserve"> </v>
      </c>
      <c r="C1269" s="4"/>
      <c r="D1269" s="4"/>
      <c r="E1269" s="4"/>
      <c r="BR1269" s="8"/>
    </row>
    <row r="1270" spans="1:70" ht="12.5">
      <c r="A1270" s="4" t="str">
        <v xml:space="preserve"> </v>
      </c>
      <c r="C1270" s="4"/>
      <c r="D1270" s="4"/>
      <c r="E1270" s="4"/>
      <c r="BR1270" s="8"/>
    </row>
    <row r="1271" spans="1:70" ht="12.5">
      <c r="A1271" s="4" t="str">
        <v xml:space="preserve"> </v>
      </c>
      <c r="C1271" s="4"/>
      <c r="D1271" s="4"/>
      <c r="E1271" s="4"/>
      <c r="BR1271" s="8"/>
    </row>
    <row r="1272" spans="1:70" ht="12.5">
      <c r="A1272" s="4" t="str">
        <v xml:space="preserve"> </v>
      </c>
      <c r="C1272" s="4"/>
      <c r="D1272" s="4"/>
      <c r="E1272" s="4"/>
      <c r="BR1272" s="8"/>
    </row>
    <row r="1273" spans="1:70" ht="12.5">
      <c r="A1273" s="4" t="str">
        <v xml:space="preserve"> </v>
      </c>
      <c r="C1273" s="4"/>
      <c r="D1273" s="4"/>
      <c r="E1273" s="4"/>
      <c r="BR1273" s="8"/>
    </row>
    <row r="1274" spans="1:70" ht="12.5">
      <c r="A1274" s="4" t="str">
        <v xml:space="preserve"> </v>
      </c>
      <c r="C1274" s="4"/>
      <c r="D1274" s="4"/>
      <c r="E1274" s="4"/>
      <c r="BR1274" s="8"/>
    </row>
    <row r="1275" spans="1:70" ht="12.5">
      <c r="A1275" s="4" t="str">
        <v xml:space="preserve"> </v>
      </c>
      <c r="C1275" s="4"/>
      <c r="D1275" s="4"/>
      <c r="E1275" s="4"/>
      <c r="BR1275" s="8"/>
    </row>
    <row r="1276" spans="1:70" ht="12.5">
      <c r="A1276" s="4" t="str">
        <v xml:space="preserve"> </v>
      </c>
      <c r="C1276" s="4"/>
      <c r="D1276" s="4"/>
      <c r="E1276" s="4"/>
      <c r="BR1276" s="8"/>
    </row>
    <row r="1277" spans="1:70" ht="12.5">
      <c r="A1277" s="4" t="str">
        <v xml:space="preserve"> </v>
      </c>
      <c r="C1277" s="4"/>
      <c r="D1277" s="4"/>
      <c r="E1277" s="4"/>
      <c r="BR1277" s="8"/>
    </row>
    <row r="1278" spans="1:70" ht="12.5">
      <c r="A1278" s="4" t="str">
        <v xml:space="preserve"> </v>
      </c>
      <c r="C1278" s="4"/>
      <c r="D1278" s="4"/>
      <c r="E1278" s="4"/>
      <c r="BR1278" s="8"/>
    </row>
    <row r="1279" spans="1:70" ht="12.5">
      <c r="A1279" s="4" t="str">
        <v xml:space="preserve"> </v>
      </c>
      <c r="C1279" s="4"/>
      <c r="D1279" s="4"/>
      <c r="E1279" s="4"/>
      <c r="BR1279" s="8"/>
    </row>
    <row r="1280" spans="1:70" ht="12.5">
      <c r="A1280" s="4" t="str">
        <v xml:space="preserve"> </v>
      </c>
      <c r="C1280" s="4"/>
      <c r="D1280" s="4"/>
      <c r="E1280" s="4"/>
      <c r="BR1280" s="8"/>
    </row>
    <row r="1281" spans="1:70" ht="12.5">
      <c r="A1281" s="4" t="str">
        <v xml:space="preserve"> </v>
      </c>
      <c r="C1281" s="4"/>
      <c r="D1281" s="4"/>
      <c r="E1281" s="4"/>
      <c r="BR1281" s="8"/>
    </row>
    <row r="1282" spans="1:70" ht="12.5">
      <c r="A1282" s="4" t="str">
        <v xml:space="preserve"> </v>
      </c>
      <c r="C1282" s="4"/>
      <c r="D1282" s="4"/>
      <c r="E1282" s="4"/>
      <c r="BR1282" s="8"/>
    </row>
    <row r="1283" spans="1:70" ht="12.5">
      <c r="A1283" s="4" t="str">
        <v xml:space="preserve"> </v>
      </c>
      <c r="C1283" s="4"/>
      <c r="D1283" s="4"/>
      <c r="E1283" s="4"/>
      <c r="BR1283" s="8"/>
    </row>
    <row r="1284" spans="1:70" ht="12.5">
      <c r="A1284" s="4" t="str">
        <v xml:space="preserve"> </v>
      </c>
      <c r="C1284" s="4"/>
      <c r="D1284" s="4"/>
      <c r="E1284" s="4"/>
      <c r="BR1284" s="8"/>
    </row>
    <row r="1285" spans="1:70" ht="12.5">
      <c r="A1285" s="4" t="str">
        <v xml:space="preserve"> </v>
      </c>
      <c r="C1285" s="4"/>
      <c r="D1285" s="4"/>
      <c r="E1285" s="4"/>
      <c r="BR1285" s="8"/>
    </row>
    <row r="1286" spans="1:70" ht="12.5">
      <c r="A1286" s="4" t="str">
        <v xml:space="preserve"> </v>
      </c>
      <c r="C1286" s="4"/>
      <c r="D1286" s="4"/>
      <c r="E1286" s="4"/>
      <c r="BR1286" s="8"/>
    </row>
    <row r="1287" spans="1:70" ht="12.5">
      <c r="A1287" s="4" t="str">
        <v xml:space="preserve"> </v>
      </c>
      <c r="C1287" s="4"/>
      <c r="D1287" s="4"/>
      <c r="E1287" s="4"/>
      <c r="BR1287" s="8"/>
    </row>
    <row r="1288" spans="1:70" ht="12.5">
      <c r="A1288" s="4" t="str">
        <v xml:space="preserve"> </v>
      </c>
      <c r="C1288" s="4"/>
      <c r="D1288" s="4"/>
      <c r="E1288" s="4"/>
      <c r="BR1288" s="8"/>
    </row>
    <row r="1289" spans="1:70" ht="12.5">
      <c r="A1289" s="4" t="str">
        <v xml:space="preserve"> </v>
      </c>
      <c r="C1289" s="4"/>
      <c r="D1289" s="4"/>
      <c r="E1289" s="4"/>
      <c r="BR1289" s="8"/>
    </row>
    <row r="1290" spans="1:70" ht="12.5">
      <c r="A1290" s="4" t="str">
        <v xml:space="preserve"> </v>
      </c>
      <c r="C1290" s="4"/>
      <c r="D1290" s="4"/>
      <c r="E1290" s="4"/>
      <c r="BR1290" s="8"/>
    </row>
    <row r="1291" spans="1:70" ht="12.5">
      <c r="A1291" s="4" t="str">
        <v xml:space="preserve"> </v>
      </c>
      <c r="C1291" s="4"/>
      <c r="D1291" s="4"/>
      <c r="E1291" s="4"/>
      <c r="BR1291" s="8"/>
    </row>
    <row r="1292" spans="1:70" ht="12.5">
      <c r="A1292" s="4" t="str">
        <v xml:space="preserve"> </v>
      </c>
      <c r="C1292" s="4"/>
      <c r="D1292" s="4"/>
      <c r="E1292" s="4"/>
      <c r="BR1292" s="8"/>
    </row>
    <row r="1293" spans="1:70" ht="12.5">
      <c r="A1293" s="4" t="str">
        <v xml:space="preserve"> </v>
      </c>
      <c r="C1293" s="4"/>
      <c r="D1293" s="4"/>
      <c r="E1293" s="4"/>
      <c r="BR1293" s="8"/>
    </row>
    <row r="1294" spans="1:70" ht="12.5">
      <c r="A1294" s="4" t="str">
        <v xml:space="preserve"> </v>
      </c>
      <c r="C1294" s="4"/>
      <c r="D1294" s="4"/>
      <c r="E1294" s="4"/>
      <c r="BR1294" s="8"/>
    </row>
    <row r="1295" spans="1:70" ht="12.5">
      <c r="A1295" s="4" t="str">
        <v xml:space="preserve"> </v>
      </c>
      <c r="C1295" s="4"/>
      <c r="D1295" s="4"/>
      <c r="E1295" s="4"/>
      <c r="BR1295" s="8"/>
    </row>
    <row r="1296" spans="1:70" ht="12.5">
      <c r="A1296" s="4" t="str">
        <v xml:space="preserve"> </v>
      </c>
      <c r="C1296" s="4"/>
      <c r="D1296" s="4"/>
      <c r="E1296" s="4"/>
      <c r="BR1296" s="8"/>
    </row>
    <row r="1297" spans="1:70" ht="12.5">
      <c r="A1297" s="4" t="str">
        <v xml:space="preserve"> </v>
      </c>
      <c r="C1297" s="4"/>
      <c r="D1297" s="4"/>
      <c r="E1297" s="4"/>
      <c r="BR1297" s="8"/>
    </row>
    <row r="1298" spans="1:70" ht="12.5">
      <c r="A1298" s="4" t="str">
        <v xml:space="preserve"> </v>
      </c>
      <c r="C1298" s="4"/>
      <c r="D1298" s="4"/>
      <c r="E1298" s="4"/>
      <c r="BR1298" s="8"/>
    </row>
    <row r="1299" spans="1:70" ht="12.5">
      <c r="A1299" s="4" t="str">
        <v xml:space="preserve"> </v>
      </c>
      <c r="C1299" s="4"/>
      <c r="D1299" s="4"/>
      <c r="E1299" s="4"/>
      <c r="BR1299" s="8"/>
    </row>
    <row r="1300" spans="1:70" ht="12.5">
      <c r="A1300" s="4" t="str">
        <v xml:space="preserve"> </v>
      </c>
      <c r="C1300" s="4"/>
      <c r="D1300" s="4"/>
      <c r="E1300" s="4"/>
      <c r="BR1300" s="8"/>
    </row>
    <row r="1301" spans="1:70" ht="12.5">
      <c r="A1301" s="4" t="str">
        <v xml:space="preserve"> </v>
      </c>
      <c r="C1301" s="4"/>
      <c r="D1301" s="4"/>
      <c r="E1301" s="4"/>
      <c r="BR1301" s="8"/>
    </row>
    <row r="1302" spans="1:70" ht="12.5">
      <c r="A1302" s="4" t="str">
        <v xml:space="preserve"> </v>
      </c>
      <c r="C1302" s="4"/>
      <c r="D1302" s="4"/>
      <c r="E1302" s="4"/>
      <c r="BR1302" s="8"/>
    </row>
    <row r="1303" spans="1:70" ht="12.5">
      <c r="A1303" s="4" t="str">
        <v xml:space="preserve"> </v>
      </c>
      <c r="C1303" s="4"/>
      <c r="D1303" s="4"/>
      <c r="E1303" s="4"/>
      <c r="BR1303" s="8"/>
    </row>
    <row r="1304" spans="1:70" ht="12.5">
      <c r="A1304" s="4" t="str">
        <v xml:space="preserve"> </v>
      </c>
      <c r="C1304" s="4"/>
      <c r="D1304" s="4"/>
      <c r="E1304" s="4"/>
      <c r="BR1304" s="8"/>
    </row>
    <row r="1305" spans="1:70" ht="12.5">
      <c r="A1305" s="4" t="str">
        <v xml:space="preserve"> </v>
      </c>
      <c r="C1305" s="4"/>
      <c r="D1305" s="4"/>
      <c r="E1305" s="4"/>
      <c r="BR1305" s="8"/>
    </row>
    <row r="1306" spans="1:70" ht="12.5">
      <c r="A1306" s="4" t="str">
        <v xml:space="preserve"> </v>
      </c>
      <c r="C1306" s="4"/>
      <c r="D1306" s="4"/>
      <c r="E1306" s="4"/>
      <c r="BR1306" s="8"/>
    </row>
    <row r="1307" spans="1:70" ht="12.5">
      <c r="A1307" s="4" t="str">
        <v xml:space="preserve"> </v>
      </c>
      <c r="C1307" s="4"/>
      <c r="D1307" s="4"/>
      <c r="E1307" s="4"/>
      <c r="BR1307" s="8"/>
    </row>
    <row r="1308" spans="1:70" ht="12.5">
      <c r="A1308" s="4" t="str">
        <v xml:space="preserve"> </v>
      </c>
      <c r="C1308" s="4"/>
      <c r="D1308" s="4"/>
      <c r="E1308" s="4"/>
      <c r="BR1308" s="8"/>
    </row>
    <row r="1309" spans="1:70" ht="12.5">
      <c r="A1309" s="4" t="str">
        <v xml:space="preserve"> </v>
      </c>
      <c r="C1309" s="4"/>
      <c r="D1309" s="4"/>
      <c r="E1309" s="4"/>
      <c r="BR1309" s="8"/>
    </row>
    <row r="1310" spans="1:70" ht="12.5">
      <c r="A1310" s="4" t="str">
        <v xml:space="preserve"> </v>
      </c>
      <c r="C1310" s="4"/>
      <c r="D1310" s="4"/>
      <c r="E1310" s="4"/>
      <c r="BR1310" s="8"/>
    </row>
    <row r="1311" spans="1:70" ht="12.5">
      <c r="A1311" s="4" t="str">
        <v xml:space="preserve"> </v>
      </c>
      <c r="C1311" s="4"/>
      <c r="D1311" s="4"/>
      <c r="E1311" s="4"/>
      <c r="BR1311" s="8"/>
    </row>
    <row r="1312" spans="1:70" ht="12.5">
      <c r="A1312" s="4" t="str">
        <v xml:space="preserve"> </v>
      </c>
      <c r="C1312" s="4"/>
      <c r="D1312" s="4"/>
      <c r="E1312" s="4"/>
      <c r="BR1312" s="8"/>
    </row>
    <row r="1313" spans="1:70" ht="12.5">
      <c r="A1313" s="4" t="str">
        <v xml:space="preserve"> </v>
      </c>
      <c r="C1313" s="4"/>
      <c r="D1313" s="4"/>
      <c r="E1313" s="4"/>
      <c r="BR1313" s="8"/>
    </row>
    <row r="1314" spans="1:70" ht="12.5">
      <c r="A1314" s="4" t="str">
        <v xml:space="preserve"> </v>
      </c>
      <c r="C1314" s="4"/>
      <c r="D1314" s="4"/>
      <c r="E1314" s="4"/>
      <c r="BR1314" s="8"/>
    </row>
    <row r="1315" spans="1:70" ht="12.5">
      <c r="A1315" s="4" t="str">
        <v xml:space="preserve"> </v>
      </c>
      <c r="C1315" s="4"/>
      <c r="D1315" s="4"/>
      <c r="E1315" s="4"/>
      <c r="BR1315" s="8"/>
    </row>
    <row r="1316" spans="1:70" ht="12.5">
      <c r="A1316" s="4" t="str">
        <v xml:space="preserve"> </v>
      </c>
      <c r="C1316" s="4"/>
      <c r="D1316" s="4"/>
      <c r="E1316" s="4"/>
      <c r="BR1316" s="8"/>
    </row>
    <row r="1317" spans="1:70" ht="12.5">
      <c r="A1317" s="4" t="str">
        <v xml:space="preserve"> </v>
      </c>
      <c r="C1317" s="4"/>
      <c r="D1317" s="4"/>
      <c r="E1317" s="4"/>
      <c r="BR1317" s="8"/>
    </row>
    <row r="1318" spans="1:70" ht="12.5">
      <c r="A1318" s="4" t="str">
        <v xml:space="preserve"> </v>
      </c>
      <c r="C1318" s="4"/>
      <c r="D1318" s="4"/>
      <c r="E1318" s="4"/>
      <c r="BR1318" s="8"/>
    </row>
    <row r="1319" spans="1:70" ht="12.5">
      <c r="A1319" s="4" t="str">
        <v xml:space="preserve"> </v>
      </c>
      <c r="C1319" s="4"/>
      <c r="D1319" s="4"/>
      <c r="E1319" s="4"/>
      <c r="BR1319" s="8"/>
    </row>
    <row r="1320" spans="1:70" ht="12.5">
      <c r="A1320" s="4" t="str">
        <v xml:space="preserve"> </v>
      </c>
      <c r="C1320" s="4"/>
      <c r="D1320" s="4"/>
      <c r="E1320" s="4"/>
      <c r="BR1320" s="8"/>
    </row>
    <row r="1321" spans="1:70" ht="12.5">
      <c r="A1321" s="4" t="str">
        <v xml:space="preserve"> </v>
      </c>
      <c r="C1321" s="4"/>
      <c r="D1321" s="4"/>
      <c r="E1321" s="4"/>
      <c r="BR1321" s="8"/>
    </row>
    <row r="1322" spans="1:70" ht="12.5">
      <c r="A1322" s="4" t="str">
        <v xml:space="preserve"> </v>
      </c>
      <c r="C1322" s="4"/>
      <c r="D1322" s="4"/>
      <c r="E1322" s="4"/>
      <c r="BR1322" s="8"/>
    </row>
    <row r="1323" spans="1:70" ht="12.5">
      <c r="A1323" s="4" t="str">
        <v xml:space="preserve"> </v>
      </c>
      <c r="C1323" s="4"/>
      <c r="D1323" s="4"/>
      <c r="E1323" s="4"/>
      <c r="BR1323" s="8"/>
    </row>
    <row r="1324" spans="1:70" ht="12.5">
      <c r="A1324" s="4" t="str">
        <v xml:space="preserve"> </v>
      </c>
      <c r="C1324" s="4"/>
      <c r="D1324" s="4"/>
      <c r="E1324" s="4"/>
      <c r="BR1324" s="8"/>
    </row>
    <row r="1325" spans="1:70" ht="12.5">
      <c r="A1325" s="4" t="str">
        <v xml:space="preserve"> </v>
      </c>
      <c r="C1325" s="4"/>
      <c r="D1325" s="4"/>
      <c r="E1325" s="4"/>
      <c r="BR1325" s="8"/>
    </row>
    <row r="1326" spans="1:70" ht="12.5">
      <c r="A1326" s="4" t="str">
        <v xml:space="preserve"> </v>
      </c>
      <c r="C1326" s="4"/>
      <c r="D1326" s="4"/>
      <c r="E1326" s="4"/>
      <c r="BR1326" s="8"/>
    </row>
    <row r="1327" spans="1:70" ht="12.5">
      <c r="A1327" s="4" t="str">
        <v xml:space="preserve"> </v>
      </c>
      <c r="C1327" s="4"/>
      <c r="D1327" s="4"/>
      <c r="E1327" s="4"/>
      <c r="BR1327" s="8"/>
    </row>
    <row r="1328" spans="1:70" ht="12.5">
      <c r="A1328" s="4" t="str">
        <v xml:space="preserve"> </v>
      </c>
      <c r="C1328" s="4"/>
      <c r="D1328" s="4"/>
      <c r="E1328" s="4"/>
      <c r="BR1328" s="8"/>
    </row>
    <row r="1329" spans="1:70" ht="12.5">
      <c r="A1329" s="4" t="str">
        <v xml:space="preserve"> </v>
      </c>
      <c r="C1329" s="4"/>
      <c r="D1329" s="4"/>
      <c r="E1329" s="4"/>
      <c r="BR1329" s="8"/>
    </row>
    <row r="1330" spans="1:70" ht="12.5">
      <c r="A1330" s="4" t="str">
        <v xml:space="preserve"> </v>
      </c>
      <c r="C1330" s="4"/>
      <c r="D1330" s="4"/>
      <c r="E1330" s="4"/>
      <c r="BR1330" s="8"/>
    </row>
    <row r="1331" spans="1:70" ht="12.5">
      <c r="A1331" s="4" t="str">
        <v xml:space="preserve"> </v>
      </c>
      <c r="C1331" s="4"/>
      <c r="D1331" s="4"/>
      <c r="E1331" s="4"/>
      <c r="BR1331" s="8"/>
    </row>
    <row r="1332" spans="1:70" ht="12.5">
      <c r="A1332" s="4" t="str">
        <v xml:space="preserve"> </v>
      </c>
      <c r="C1332" s="4"/>
      <c r="D1332" s="4"/>
      <c r="E1332" s="4"/>
      <c r="BR1332" s="8"/>
    </row>
    <row r="1333" spans="1:70" ht="12.5">
      <c r="A1333" s="4" t="str">
        <v xml:space="preserve"> </v>
      </c>
      <c r="C1333" s="4"/>
      <c r="D1333" s="4"/>
      <c r="E1333" s="4"/>
      <c r="BR1333" s="8"/>
    </row>
    <row r="1334" spans="1:70" ht="12.5">
      <c r="A1334" s="4" t="str">
        <v xml:space="preserve"> </v>
      </c>
      <c r="C1334" s="4"/>
      <c r="D1334" s="4"/>
      <c r="E1334" s="4"/>
      <c r="BR1334" s="8"/>
    </row>
    <row r="1335" spans="1:70" ht="12.5">
      <c r="A1335" s="4" t="str">
        <v xml:space="preserve"> </v>
      </c>
      <c r="C1335" s="4"/>
      <c r="D1335" s="4"/>
      <c r="E1335" s="4"/>
      <c r="BR1335" s="8"/>
    </row>
    <row r="1336" spans="1:70" ht="12.5">
      <c r="A1336" s="4" t="str">
        <v xml:space="preserve"> </v>
      </c>
      <c r="C1336" s="4"/>
      <c r="D1336" s="4"/>
      <c r="E1336" s="4"/>
      <c r="BR1336" s="8"/>
    </row>
    <row r="1337" spans="1:70" ht="12.5">
      <c r="A1337" s="4" t="str">
        <v xml:space="preserve"> </v>
      </c>
      <c r="C1337" s="4"/>
      <c r="D1337" s="4"/>
      <c r="E1337" s="4"/>
      <c r="BR1337" s="8"/>
    </row>
    <row r="1338" spans="1:70" ht="12.5">
      <c r="A1338" s="4" t="str">
        <v xml:space="preserve"> </v>
      </c>
      <c r="C1338" s="4"/>
      <c r="D1338" s="4"/>
      <c r="E1338" s="4"/>
      <c r="BR1338" s="8"/>
    </row>
    <row r="1339" spans="1:70" ht="12.5">
      <c r="A1339" s="4" t="str">
        <v xml:space="preserve"> </v>
      </c>
      <c r="C1339" s="4"/>
      <c r="D1339" s="4"/>
      <c r="E1339" s="4"/>
      <c r="BR1339" s="8"/>
    </row>
    <row r="1340" spans="1:70" ht="12.5">
      <c r="A1340" s="4" t="str">
        <v xml:space="preserve"> </v>
      </c>
      <c r="C1340" s="4"/>
      <c r="D1340" s="4"/>
      <c r="E1340" s="4"/>
      <c r="BR1340" s="8"/>
    </row>
    <row r="1341" spans="1:70" ht="12.5">
      <c r="A1341" s="4" t="str">
        <v xml:space="preserve"> </v>
      </c>
      <c r="C1341" s="4"/>
      <c r="D1341" s="4"/>
      <c r="E1341" s="4"/>
      <c r="BR1341" s="8"/>
    </row>
    <row r="1342" spans="1:70" ht="12.5">
      <c r="A1342" s="4" t="str">
        <v xml:space="preserve"> </v>
      </c>
      <c r="C1342" s="4"/>
      <c r="D1342" s="4"/>
      <c r="E1342" s="4"/>
      <c r="BR1342" s="8"/>
    </row>
    <row r="1343" spans="1:70" ht="12.5">
      <c r="A1343" s="4" t="str">
        <v xml:space="preserve"> </v>
      </c>
      <c r="C1343" s="4"/>
      <c r="D1343" s="4"/>
      <c r="E1343" s="4"/>
      <c r="BR1343" s="8"/>
    </row>
    <row r="1344" spans="1:70" ht="12.5">
      <c r="A1344" s="4" t="str">
        <v xml:space="preserve"> </v>
      </c>
      <c r="C1344" s="4"/>
      <c r="D1344" s="4"/>
      <c r="E1344" s="4"/>
      <c r="BR1344" s="8"/>
    </row>
    <row r="1345" spans="1:70" ht="12.5">
      <c r="A1345" s="4" t="str">
        <v xml:space="preserve"> </v>
      </c>
      <c r="C1345" s="4"/>
      <c r="D1345" s="4"/>
      <c r="E1345" s="4"/>
      <c r="BR1345" s="8"/>
    </row>
    <row r="1346" spans="1:70" ht="12.5">
      <c r="A1346" s="4" t="str">
        <v xml:space="preserve"> </v>
      </c>
      <c r="C1346" s="4"/>
      <c r="D1346" s="4"/>
      <c r="E1346" s="4"/>
      <c r="BR1346" s="8"/>
    </row>
    <row r="1347" spans="1:70" ht="12.5">
      <c r="A1347" s="4" t="str">
        <v xml:space="preserve"> </v>
      </c>
      <c r="C1347" s="4"/>
      <c r="D1347" s="4"/>
      <c r="E1347" s="4"/>
      <c r="BR1347" s="8"/>
    </row>
    <row r="1348" spans="1:70" ht="12.5">
      <c r="A1348" s="4" t="str">
        <v xml:space="preserve"> </v>
      </c>
      <c r="C1348" s="4"/>
      <c r="D1348" s="4"/>
      <c r="E1348" s="4"/>
      <c r="BR1348" s="8"/>
    </row>
    <row r="1349" spans="1:70" ht="12.5">
      <c r="A1349" s="4" t="str">
        <v xml:space="preserve"> </v>
      </c>
      <c r="C1349" s="4"/>
      <c r="D1349" s="4"/>
      <c r="E1349" s="4"/>
      <c r="BR1349" s="8"/>
    </row>
    <row r="1350" spans="1:70" ht="12.5">
      <c r="A1350" s="4" t="str">
        <v xml:space="preserve"> </v>
      </c>
      <c r="C1350" s="4"/>
      <c r="D1350" s="4"/>
      <c r="E1350" s="4"/>
      <c r="BR1350" s="8"/>
    </row>
    <row r="1351" spans="1:70" ht="12.5">
      <c r="A1351" s="4" t="str">
        <v xml:space="preserve"> </v>
      </c>
      <c r="C1351" s="4"/>
      <c r="D1351" s="4"/>
      <c r="E1351" s="4"/>
      <c r="BR1351" s="8"/>
    </row>
    <row r="1352" spans="1:70" ht="12.5">
      <c r="A1352" s="4" t="str">
        <v xml:space="preserve"> </v>
      </c>
      <c r="C1352" s="4"/>
      <c r="D1352" s="4"/>
      <c r="E1352" s="4"/>
      <c r="BR1352" s="8"/>
    </row>
    <row r="1353" spans="1:70" ht="12.5">
      <c r="A1353" s="4" t="str">
        <v xml:space="preserve"> </v>
      </c>
      <c r="C1353" s="4"/>
      <c r="D1353" s="4"/>
      <c r="E1353" s="4"/>
      <c r="BR1353" s="8"/>
    </row>
    <row r="1354" spans="1:70" ht="12.5">
      <c r="A1354" s="4" t="str">
        <v xml:space="preserve"> </v>
      </c>
      <c r="C1354" s="4"/>
      <c r="D1354" s="4"/>
      <c r="E1354" s="4"/>
      <c r="BR1354" s="8"/>
    </row>
    <row r="1355" spans="1:70" ht="12.5">
      <c r="A1355" s="4" t="str">
        <v xml:space="preserve"> </v>
      </c>
      <c r="C1355" s="4"/>
      <c r="D1355" s="4"/>
      <c r="E1355" s="4"/>
      <c r="BR1355" s="8"/>
    </row>
    <row r="1356" spans="1:70" ht="12.5">
      <c r="A1356" s="4" t="str">
        <v xml:space="preserve"> </v>
      </c>
      <c r="C1356" s="4"/>
      <c r="D1356" s="4"/>
      <c r="E1356" s="4"/>
      <c r="BR1356" s="8"/>
    </row>
    <row r="1357" spans="1:70" ht="12.5">
      <c r="A1357" s="4" t="str">
        <v xml:space="preserve"> </v>
      </c>
      <c r="C1357" s="4"/>
      <c r="D1357" s="4"/>
      <c r="E1357" s="4"/>
      <c r="BR1357" s="8"/>
    </row>
    <row r="1358" spans="1:70" ht="12.5">
      <c r="A1358" s="4" t="str">
        <v xml:space="preserve"> </v>
      </c>
      <c r="C1358" s="4"/>
      <c r="D1358" s="4"/>
      <c r="E1358" s="4"/>
      <c r="BR1358" s="8"/>
    </row>
    <row r="1359" spans="1:70" ht="12.5">
      <c r="A1359" s="4" t="str">
        <v xml:space="preserve"> </v>
      </c>
      <c r="C1359" s="4"/>
      <c r="D1359" s="4"/>
      <c r="E1359" s="4"/>
      <c r="BR1359" s="8"/>
    </row>
    <row r="1360" spans="1:70" ht="12.5">
      <c r="A1360" s="4" t="str">
        <v xml:space="preserve"> </v>
      </c>
      <c r="C1360" s="4"/>
      <c r="D1360" s="4"/>
      <c r="E1360" s="4"/>
      <c r="BR1360" s="8"/>
    </row>
    <row r="1361" spans="1:70" ht="12.5">
      <c r="A1361" s="4" t="str">
        <v xml:space="preserve"> </v>
      </c>
      <c r="C1361" s="4"/>
      <c r="D1361" s="4"/>
      <c r="E1361" s="4"/>
      <c r="BR1361" s="8"/>
    </row>
    <row r="1362" spans="1:70" ht="12.5">
      <c r="A1362" s="4" t="str">
        <v xml:space="preserve"> </v>
      </c>
      <c r="C1362" s="4"/>
      <c r="D1362" s="4"/>
      <c r="E1362" s="4"/>
      <c r="BR1362" s="8"/>
    </row>
    <row r="1363" spans="1:70" ht="12.5">
      <c r="A1363" s="4" t="str">
        <v xml:space="preserve"> </v>
      </c>
      <c r="C1363" s="4"/>
      <c r="D1363" s="4"/>
      <c r="E1363" s="4"/>
      <c r="BR1363" s="8"/>
    </row>
    <row r="1364" spans="1:70" ht="12.5">
      <c r="A1364" s="4" t="str">
        <v xml:space="preserve"> </v>
      </c>
      <c r="C1364" s="4"/>
      <c r="D1364" s="4"/>
      <c r="E1364" s="4"/>
      <c r="BR1364" s="8"/>
    </row>
    <row r="1365" spans="1:70" ht="12.5">
      <c r="A1365" s="4" t="str">
        <v xml:space="preserve"> </v>
      </c>
      <c r="C1365" s="4"/>
      <c r="D1365" s="4"/>
      <c r="E1365" s="4"/>
      <c r="BR1365" s="8"/>
    </row>
    <row r="1366" spans="1:70" ht="12.5">
      <c r="A1366" s="4" t="str">
        <v xml:space="preserve"> </v>
      </c>
      <c r="C1366" s="4"/>
      <c r="D1366" s="4"/>
      <c r="E1366" s="4"/>
      <c r="BR1366" s="8"/>
    </row>
    <row r="1367" spans="1:70" ht="12.5">
      <c r="A1367" s="4" t="str">
        <v xml:space="preserve"> </v>
      </c>
      <c r="C1367" s="4"/>
      <c r="D1367" s="4"/>
      <c r="E1367" s="4"/>
      <c r="BR1367" s="8"/>
    </row>
    <row r="1368" spans="1:70" ht="12.5">
      <c r="A1368" s="4" t="str">
        <v xml:space="preserve"> </v>
      </c>
      <c r="C1368" s="4"/>
      <c r="D1368" s="4"/>
      <c r="E1368" s="4"/>
      <c r="BR1368" s="8"/>
    </row>
    <row r="1369" spans="1:70" ht="12.5">
      <c r="A1369" s="4" t="str">
        <v xml:space="preserve"> </v>
      </c>
      <c r="C1369" s="4"/>
      <c r="D1369" s="4"/>
      <c r="E1369" s="4"/>
      <c r="BR1369" s="8"/>
    </row>
    <row r="1370" spans="1:70" ht="12.5">
      <c r="A1370" s="4" t="str">
        <v xml:space="preserve"> </v>
      </c>
      <c r="C1370" s="4"/>
      <c r="D1370" s="4"/>
      <c r="E1370" s="4"/>
      <c r="BR1370" s="8"/>
    </row>
    <row r="1371" spans="1:70" ht="12.5">
      <c r="A1371" s="4" t="str">
        <v xml:space="preserve"> </v>
      </c>
      <c r="C1371" s="4"/>
      <c r="D1371" s="4"/>
      <c r="E1371" s="4"/>
      <c r="BR1371" s="8"/>
    </row>
    <row r="1372" spans="1:70" ht="12.5">
      <c r="A1372" s="4" t="str">
        <v xml:space="preserve"> </v>
      </c>
      <c r="C1372" s="4"/>
      <c r="D1372" s="4"/>
      <c r="E1372" s="4"/>
      <c r="BR1372" s="8"/>
    </row>
    <row r="1373" spans="1:70" ht="12.5">
      <c r="A1373" s="4" t="str">
        <v xml:space="preserve"> </v>
      </c>
      <c r="C1373" s="4"/>
      <c r="D1373" s="4"/>
      <c r="E1373" s="4"/>
      <c r="BR1373" s="8"/>
    </row>
    <row r="1374" spans="1:70" ht="12.5">
      <c r="A1374" s="4" t="str">
        <v xml:space="preserve"> </v>
      </c>
      <c r="C1374" s="4"/>
      <c r="D1374" s="4"/>
      <c r="E1374" s="4"/>
      <c r="BR1374" s="8"/>
    </row>
    <row r="1375" spans="1:70" ht="12.5">
      <c r="A1375" s="4" t="str">
        <v xml:space="preserve"> </v>
      </c>
      <c r="C1375" s="4"/>
      <c r="D1375" s="4"/>
      <c r="E1375" s="4"/>
      <c r="BR1375" s="8"/>
    </row>
    <row r="1376" spans="1:70" ht="12.5">
      <c r="A1376" s="4" t="str">
        <v xml:space="preserve"> </v>
      </c>
      <c r="C1376" s="4"/>
      <c r="D1376" s="4"/>
      <c r="E1376" s="4"/>
      <c r="BR1376" s="8"/>
    </row>
    <row r="1377" spans="1:70" ht="12.5">
      <c r="A1377" s="4" t="str">
        <v xml:space="preserve"> </v>
      </c>
      <c r="C1377" s="4"/>
      <c r="D1377" s="4"/>
      <c r="E1377" s="4"/>
      <c r="BR1377" s="8"/>
    </row>
    <row r="1378" spans="1:70" ht="12.5">
      <c r="A1378" s="4" t="str">
        <v xml:space="preserve"> </v>
      </c>
      <c r="C1378" s="4"/>
      <c r="D1378" s="4"/>
      <c r="E1378" s="4"/>
      <c r="BR1378" s="8"/>
    </row>
    <row r="1379" spans="1:70" ht="12.5">
      <c r="A1379" s="4" t="str">
        <v xml:space="preserve"> </v>
      </c>
      <c r="C1379" s="4"/>
      <c r="D1379" s="4"/>
      <c r="E1379" s="4"/>
      <c r="BR1379" s="8"/>
    </row>
    <row r="1380" spans="1:70" ht="12.5">
      <c r="A1380" s="4" t="str">
        <v xml:space="preserve"> </v>
      </c>
      <c r="C1380" s="4"/>
      <c r="D1380" s="4"/>
      <c r="E1380" s="4"/>
      <c r="BR1380" s="8"/>
    </row>
    <row r="1381" spans="1:70" ht="12.5">
      <c r="A1381" s="4" t="str">
        <v xml:space="preserve"> </v>
      </c>
      <c r="C1381" s="4"/>
      <c r="D1381" s="4"/>
      <c r="E1381" s="4"/>
      <c r="BR1381" s="8"/>
    </row>
    <row r="1382" spans="1:70" ht="12.5">
      <c r="A1382" s="4" t="str">
        <v xml:space="preserve"> </v>
      </c>
      <c r="C1382" s="4"/>
      <c r="D1382" s="4"/>
      <c r="E1382" s="4"/>
      <c r="BR1382" s="8"/>
    </row>
    <row r="1383" spans="1:70" ht="12.5">
      <c r="A1383" s="4" t="str">
        <v xml:space="preserve"> </v>
      </c>
      <c r="C1383" s="4"/>
      <c r="D1383" s="4"/>
      <c r="E1383" s="4"/>
      <c r="BR1383" s="8"/>
    </row>
    <row r="1384" spans="1:70" ht="12.5">
      <c r="A1384" s="4" t="str">
        <v xml:space="preserve"> </v>
      </c>
      <c r="C1384" s="4"/>
      <c r="D1384" s="4"/>
      <c r="E1384" s="4"/>
      <c r="BR1384" s="8"/>
    </row>
    <row r="1385" spans="1:70" ht="12.5">
      <c r="A1385" s="4" t="str">
        <v xml:space="preserve"> </v>
      </c>
      <c r="C1385" s="4"/>
      <c r="D1385" s="4"/>
      <c r="E1385" s="4"/>
      <c r="BR1385" s="8"/>
    </row>
    <row r="1386" spans="1:70" ht="12.5">
      <c r="A1386" s="4" t="str">
        <v xml:space="preserve"> </v>
      </c>
      <c r="C1386" s="4"/>
      <c r="D1386" s="4"/>
      <c r="E1386" s="4"/>
      <c r="BR1386" s="8"/>
    </row>
    <row r="1387" spans="1:70" ht="12.5">
      <c r="A1387" s="4" t="str">
        <v xml:space="preserve"> </v>
      </c>
      <c r="C1387" s="4"/>
      <c r="D1387" s="4"/>
      <c r="E1387" s="4"/>
      <c r="BR1387" s="8"/>
    </row>
    <row r="1388" spans="1:70" ht="12.5">
      <c r="A1388" s="4" t="str">
        <v xml:space="preserve"> </v>
      </c>
      <c r="C1388" s="4"/>
      <c r="D1388" s="4"/>
      <c r="E1388" s="4"/>
      <c r="BR1388" s="8"/>
    </row>
    <row r="1389" spans="1:70" ht="12.5">
      <c r="A1389" s="4" t="str">
        <v xml:space="preserve"> </v>
      </c>
      <c r="C1389" s="4"/>
      <c r="D1389" s="4"/>
      <c r="E1389" s="4"/>
      <c r="BR1389" s="8"/>
    </row>
    <row r="1390" spans="1:70" ht="12.5">
      <c r="A1390" s="4" t="str">
        <v xml:space="preserve"> </v>
      </c>
      <c r="C1390" s="4"/>
      <c r="D1390" s="4"/>
      <c r="E1390" s="4"/>
      <c r="BR1390" s="8"/>
    </row>
    <row r="1391" spans="1:70" ht="12.5">
      <c r="A1391" s="4" t="str">
        <v xml:space="preserve"> </v>
      </c>
      <c r="C1391" s="4"/>
      <c r="D1391" s="4"/>
      <c r="E1391" s="4"/>
      <c r="BR1391" s="8"/>
    </row>
    <row r="1392" spans="1:70" ht="12.5">
      <c r="A1392" s="4" t="str">
        <v xml:space="preserve"> </v>
      </c>
      <c r="C1392" s="4"/>
      <c r="D1392" s="4"/>
      <c r="E1392" s="4"/>
      <c r="BR1392" s="8"/>
    </row>
    <row r="1393" spans="1:70" ht="12.5">
      <c r="A1393" s="4" t="str">
        <v xml:space="preserve"> </v>
      </c>
      <c r="C1393" s="4"/>
      <c r="D1393" s="4"/>
      <c r="E1393" s="4"/>
      <c r="BR1393" s="8"/>
    </row>
    <row r="1394" spans="1:70" ht="12.5">
      <c r="A1394" s="4" t="str">
        <v xml:space="preserve"> </v>
      </c>
      <c r="C1394" s="4"/>
      <c r="D1394" s="4"/>
      <c r="E1394" s="4"/>
      <c r="BR1394" s="8"/>
    </row>
    <row r="1395" spans="1:70" ht="12.5">
      <c r="A1395" s="4" t="str">
        <v xml:space="preserve"> </v>
      </c>
      <c r="C1395" s="4"/>
      <c r="D1395" s="4"/>
      <c r="E1395" s="4"/>
      <c r="BR1395" s="8"/>
    </row>
    <row r="1396" spans="1:70" ht="12.5">
      <c r="A1396" s="4" t="str">
        <v xml:space="preserve"> </v>
      </c>
      <c r="C1396" s="4"/>
      <c r="D1396" s="4"/>
      <c r="E1396" s="4"/>
      <c r="BR1396" s="8"/>
    </row>
    <row r="1397" spans="1:70" ht="12.5">
      <c r="A1397" s="4" t="str">
        <v xml:space="preserve"> </v>
      </c>
      <c r="C1397" s="4"/>
      <c r="D1397" s="4"/>
      <c r="E1397" s="4"/>
      <c r="BR1397" s="8"/>
    </row>
    <row r="1398" spans="1:70" ht="12.5">
      <c r="A1398" s="4" t="str">
        <v xml:space="preserve"> </v>
      </c>
      <c r="C1398" s="4"/>
      <c r="D1398" s="4"/>
      <c r="E1398" s="4"/>
      <c r="BR1398" s="8"/>
    </row>
    <row r="1399" spans="1:70" ht="12.5">
      <c r="A1399" s="4" t="str">
        <v xml:space="preserve"> </v>
      </c>
      <c r="C1399" s="4"/>
      <c r="D1399" s="4"/>
      <c r="E1399" s="4"/>
      <c r="BR1399" s="8"/>
    </row>
    <row r="1400" spans="1:70" ht="12.5">
      <c r="A1400" s="4" t="str">
        <v xml:space="preserve"> </v>
      </c>
      <c r="C1400" s="4"/>
      <c r="D1400" s="4"/>
      <c r="E1400" s="4"/>
      <c r="BR1400" s="8"/>
    </row>
    <row r="1401" spans="1:70" ht="12.5">
      <c r="A1401" s="4" t="str">
        <v xml:space="preserve"> </v>
      </c>
      <c r="C1401" s="4"/>
      <c r="D1401" s="4"/>
      <c r="E1401" s="4"/>
      <c r="BR1401" s="8"/>
    </row>
    <row r="1402" spans="1:70" ht="12.5">
      <c r="A1402" s="4" t="str">
        <v xml:space="preserve"> </v>
      </c>
      <c r="C1402" s="4"/>
      <c r="D1402" s="4"/>
      <c r="E1402" s="4"/>
      <c r="BR1402" s="8"/>
    </row>
    <row r="1403" spans="1:70" ht="12.5">
      <c r="A1403" s="4" t="str">
        <v xml:space="preserve"> </v>
      </c>
      <c r="C1403" s="4"/>
      <c r="D1403" s="4"/>
      <c r="E1403" s="4"/>
      <c r="BR1403" s="8"/>
    </row>
    <row r="1404" spans="1:70" ht="12.5">
      <c r="A1404" s="4" t="str">
        <v xml:space="preserve"> </v>
      </c>
      <c r="C1404" s="4"/>
      <c r="D1404" s="4"/>
      <c r="E1404" s="4"/>
      <c r="BR1404" s="8"/>
    </row>
    <row r="1405" spans="1:70" ht="12.5">
      <c r="A1405" s="4" t="str">
        <v xml:space="preserve"> </v>
      </c>
      <c r="C1405" s="4"/>
      <c r="D1405" s="4"/>
      <c r="E1405" s="4"/>
      <c r="BR1405" s="8"/>
    </row>
    <row r="1406" spans="1:70" ht="12.5">
      <c r="A1406" s="4" t="str">
        <v xml:space="preserve"> </v>
      </c>
      <c r="C1406" s="4"/>
      <c r="D1406" s="4"/>
      <c r="E1406" s="4"/>
      <c r="BR1406" s="8"/>
    </row>
    <row r="1407" spans="1:70" ht="12.5">
      <c r="A1407" s="4" t="str">
        <v xml:space="preserve"> </v>
      </c>
      <c r="C1407" s="4"/>
      <c r="D1407" s="4"/>
      <c r="E1407" s="4"/>
      <c r="BR1407" s="8"/>
    </row>
    <row r="1408" spans="1:70" ht="12.5">
      <c r="A1408" s="4" t="str">
        <v xml:space="preserve"> </v>
      </c>
      <c r="C1408" s="4"/>
      <c r="D1408" s="4"/>
      <c r="E1408" s="4"/>
      <c r="BR1408" s="8"/>
    </row>
    <row r="1409" spans="1:70" ht="12.5">
      <c r="A1409" s="4" t="str">
        <v xml:space="preserve"> </v>
      </c>
      <c r="C1409" s="4"/>
      <c r="D1409" s="4"/>
      <c r="E1409" s="4"/>
      <c r="BR1409" s="8"/>
    </row>
    <row r="1410" spans="1:70" ht="12.5">
      <c r="A1410" s="4" t="str">
        <v xml:space="preserve"> </v>
      </c>
      <c r="C1410" s="4"/>
      <c r="D1410" s="4"/>
      <c r="E1410" s="4"/>
      <c r="BR1410" s="8"/>
    </row>
    <row r="1411" spans="1:70" ht="12.5">
      <c r="A1411" s="4" t="str">
        <v xml:space="preserve"> </v>
      </c>
      <c r="C1411" s="4"/>
      <c r="D1411" s="4"/>
      <c r="E1411" s="4"/>
      <c r="BR1411" s="8"/>
    </row>
    <row r="1412" spans="1:70" ht="12.5">
      <c r="A1412" s="4" t="str">
        <v xml:space="preserve"> </v>
      </c>
      <c r="C1412" s="4"/>
      <c r="D1412" s="4"/>
      <c r="E1412" s="4"/>
      <c r="BR1412" s="8"/>
    </row>
    <row r="1413" spans="1:70" ht="12.5">
      <c r="A1413" s="4" t="str">
        <v xml:space="preserve"> </v>
      </c>
      <c r="C1413" s="4"/>
      <c r="D1413" s="4"/>
      <c r="E1413" s="4"/>
      <c r="BR1413" s="8"/>
    </row>
    <row r="1414" spans="1:70" ht="12.5">
      <c r="A1414" s="4" t="str">
        <v xml:space="preserve"> </v>
      </c>
      <c r="C1414" s="4"/>
      <c r="D1414" s="4"/>
      <c r="E1414" s="4"/>
      <c r="BR1414" s="8"/>
    </row>
    <row r="1415" spans="1:70" ht="12.5">
      <c r="A1415" s="4" t="str">
        <v xml:space="preserve"> </v>
      </c>
      <c r="C1415" s="4"/>
      <c r="D1415" s="4"/>
      <c r="E1415" s="4"/>
      <c r="BR1415" s="8"/>
    </row>
    <row r="1416" spans="1:70" ht="12.5">
      <c r="A1416" s="4" t="str">
        <v xml:space="preserve"> </v>
      </c>
      <c r="C1416" s="4"/>
      <c r="D1416" s="4"/>
      <c r="E1416" s="4"/>
      <c r="BR1416" s="8"/>
    </row>
    <row r="1417" spans="1:70" ht="12.5">
      <c r="A1417" s="4" t="str">
        <v xml:space="preserve"> </v>
      </c>
      <c r="C1417" s="4"/>
      <c r="D1417" s="4"/>
      <c r="E1417" s="4"/>
      <c r="BR1417" s="8"/>
    </row>
    <row r="1418" spans="1:70" ht="12.5">
      <c r="A1418" s="4" t="str">
        <v xml:space="preserve"> </v>
      </c>
      <c r="C1418" s="4"/>
      <c r="D1418" s="4"/>
      <c r="E1418" s="4"/>
      <c r="BR1418" s="8"/>
    </row>
    <row r="1419" spans="1:70" ht="12.5">
      <c r="A1419" s="4" t="str">
        <v xml:space="preserve"> </v>
      </c>
      <c r="C1419" s="4"/>
      <c r="D1419" s="4"/>
      <c r="E1419" s="4"/>
      <c r="BR1419" s="8"/>
    </row>
    <row r="1420" spans="1:70" ht="12.5">
      <c r="A1420" s="4" t="str">
        <v xml:space="preserve"> </v>
      </c>
      <c r="C1420" s="4"/>
      <c r="D1420" s="4"/>
      <c r="E1420" s="4"/>
      <c r="BR1420" s="8"/>
    </row>
    <row r="1421" spans="1:70" ht="12.5">
      <c r="A1421" s="4" t="str">
        <v xml:space="preserve"> </v>
      </c>
      <c r="C1421" s="4"/>
      <c r="D1421" s="4"/>
      <c r="E1421" s="4"/>
      <c r="BR1421" s="8"/>
    </row>
    <row r="1422" spans="1:70" ht="12.5">
      <c r="A1422" s="4" t="str">
        <v xml:space="preserve"> </v>
      </c>
      <c r="C1422" s="4"/>
      <c r="D1422" s="4"/>
      <c r="E1422" s="4"/>
      <c r="BR1422" s="8"/>
    </row>
    <row r="1423" spans="1:70" ht="12.5">
      <c r="A1423" s="4" t="str">
        <v xml:space="preserve"> </v>
      </c>
      <c r="C1423" s="4"/>
      <c r="D1423" s="4"/>
      <c r="E1423" s="4"/>
      <c r="BR1423" s="8"/>
    </row>
    <row r="1424" spans="1:70" ht="12.5">
      <c r="A1424" s="4" t="str">
        <v xml:space="preserve"> </v>
      </c>
      <c r="C1424" s="4"/>
      <c r="D1424" s="4"/>
      <c r="E1424" s="4"/>
      <c r="BR1424" s="8"/>
    </row>
    <row r="1425" spans="1:70" ht="12.5">
      <c r="A1425" s="4" t="str">
        <v xml:space="preserve"> </v>
      </c>
      <c r="C1425" s="4"/>
      <c r="D1425" s="4"/>
      <c r="E1425" s="4"/>
      <c r="BR1425" s="8"/>
    </row>
    <row r="1426" spans="1:70" ht="12.5">
      <c r="A1426" s="4" t="str">
        <v xml:space="preserve"> </v>
      </c>
      <c r="C1426" s="4"/>
      <c r="D1426" s="4"/>
      <c r="E1426" s="4"/>
      <c r="BR1426" s="8"/>
    </row>
    <row r="1427" spans="1:70" ht="12.5">
      <c r="A1427" s="4" t="str">
        <v xml:space="preserve"> </v>
      </c>
      <c r="C1427" s="4"/>
      <c r="D1427" s="4"/>
      <c r="E1427" s="4"/>
      <c r="BR1427" s="8"/>
    </row>
    <row r="1428" spans="1:70" ht="12.5">
      <c r="A1428" s="4" t="str">
        <v xml:space="preserve"> </v>
      </c>
      <c r="C1428" s="4"/>
      <c r="D1428" s="4"/>
      <c r="E1428" s="4"/>
      <c r="BR1428" s="8"/>
    </row>
    <row r="1429" spans="1:70" ht="12.5">
      <c r="A1429" s="4" t="str">
        <v xml:space="preserve"> </v>
      </c>
      <c r="C1429" s="4"/>
      <c r="D1429" s="4"/>
      <c r="E1429" s="4"/>
      <c r="BR1429" s="8"/>
    </row>
    <row r="1430" spans="1:70" ht="12.5">
      <c r="A1430" s="4" t="str">
        <v xml:space="preserve"> </v>
      </c>
      <c r="C1430" s="4"/>
      <c r="D1430" s="4"/>
      <c r="E1430" s="4"/>
      <c r="BR1430" s="8"/>
    </row>
    <row r="1431" spans="1:70" ht="12.5">
      <c r="A1431" s="4" t="str">
        <v xml:space="preserve"> </v>
      </c>
      <c r="C1431" s="4"/>
      <c r="D1431" s="4"/>
      <c r="E1431" s="4"/>
      <c r="BR1431" s="8"/>
    </row>
    <row r="1432" spans="1:70" ht="12.5">
      <c r="A1432" s="4" t="str">
        <v xml:space="preserve"> </v>
      </c>
      <c r="C1432" s="4"/>
      <c r="D1432" s="4"/>
      <c r="E1432" s="4"/>
      <c r="BR1432" s="8"/>
    </row>
    <row r="1433" spans="1:70" ht="12.5">
      <c r="A1433" s="4" t="str">
        <v xml:space="preserve"> </v>
      </c>
      <c r="C1433" s="4"/>
      <c r="D1433" s="4"/>
      <c r="E1433" s="4"/>
      <c r="BR1433" s="8"/>
    </row>
    <row r="1434" spans="1:70" ht="12.5">
      <c r="A1434" s="4" t="str">
        <v xml:space="preserve"> </v>
      </c>
      <c r="C1434" s="4"/>
      <c r="D1434" s="4"/>
      <c r="E1434" s="4"/>
      <c r="BR1434" s="8"/>
    </row>
    <row r="1435" spans="1:70" ht="12.5">
      <c r="A1435" s="4" t="str">
        <v xml:space="preserve"> </v>
      </c>
      <c r="C1435" s="4"/>
      <c r="D1435" s="4"/>
      <c r="E1435" s="4"/>
      <c r="BR1435" s="8"/>
    </row>
    <row r="1436" spans="1:70" ht="12.5">
      <c r="A1436" s="4" t="str">
        <v xml:space="preserve"> </v>
      </c>
      <c r="C1436" s="4"/>
      <c r="D1436" s="4"/>
      <c r="E1436" s="4"/>
      <c r="BR1436" s="8"/>
    </row>
    <row r="1437" spans="1:70" ht="12.5">
      <c r="A1437" s="4" t="str">
        <v xml:space="preserve"> </v>
      </c>
      <c r="C1437" s="4"/>
      <c r="D1437" s="4"/>
      <c r="E1437" s="4"/>
      <c r="BR1437" s="8"/>
    </row>
    <row r="1438" spans="1:70" ht="12.5">
      <c r="A1438" s="4" t="str">
        <v xml:space="preserve"> </v>
      </c>
      <c r="C1438" s="4"/>
      <c r="D1438" s="4"/>
      <c r="E1438" s="4"/>
      <c r="BR1438" s="8"/>
    </row>
    <row r="1439" spans="1:70" ht="12.5">
      <c r="A1439" s="4" t="str">
        <v xml:space="preserve"> </v>
      </c>
      <c r="C1439" s="4"/>
      <c r="D1439" s="4"/>
      <c r="E1439" s="4"/>
      <c r="BR1439" s="8"/>
    </row>
    <row r="1440" spans="1:70" ht="12.5">
      <c r="A1440" s="4" t="str">
        <v xml:space="preserve"> </v>
      </c>
      <c r="C1440" s="4"/>
      <c r="D1440" s="4"/>
      <c r="E1440" s="4"/>
      <c r="BR1440" s="8"/>
    </row>
    <row r="1441" spans="1:70" ht="12.5">
      <c r="A1441" s="4" t="str">
        <v xml:space="preserve"> </v>
      </c>
      <c r="C1441" s="4"/>
      <c r="D1441" s="4"/>
      <c r="E1441" s="4"/>
      <c r="BR1441" s="8"/>
    </row>
    <row r="1442" spans="1:70" ht="12.5">
      <c r="A1442" s="4" t="str">
        <v xml:space="preserve"> </v>
      </c>
      <c r="C1442" s="4"/>
      <c r="D1442" s="4"/>
      <c r="E1442" s="4"/>
      <c r="BR1442" s="8"/>
    </row>
    <row r="1443" spans="1:70" ht="12.5">
      <c r="A1443" s="4" t="str">
        <v xml:space="preserve"> </v>
      </c>
      <c r="C1443" s="4"/>
      <c r="D1443" s="4"/>
      <c r="E1443" s="4"/>
      <c r="BR1443" s="8"/>
    </row>
    <row r="1444" spans="1:70" ht="12.5">
      <c r="A1444" s="4" t="str">
        <v xml:space="preserve"> </v>
      </c>
      <c r="C1444" s="4"/>
      <c r="D1444" s="4"/>
      <c r="E1444" s="4"/>
      <c r="BR1444" s="8"/>
    </row>
    <row r="1445" spans="1:70" ht="12.5">
      <c r="A1445" s="4" t="str">
        <v xml:space="preserve"> </v>
      </c>
      <c r="C1445" s="4"/>
      <c r="D1445" s="4"/>
      <c r="E1445" s="4"/>
      <c r="BR1445" s="8"/>
    </row>
    <row r="1446" spans="1:70" ht="12.5">
      <c r="A1446" s="4" t="str">
        <v xml:space="preserve"> </v>
      </c>
      <c r="C1446" s="4"/>
      <c r="D1446" s="4"/>
      <c r="E1446" s="4"/>
      <c r="BR1446" s="8"/>
    </row>
    <row r="1447" spans="1:70" ht="12.5">
      <c r="A1447" s="4" t="str">
        <v xml:space="preserve"> </v>
      </c>
      <c r="C1447" s="4"/>
      <c r="D1447" s="4"/>
      <c r="E1447" s="4"/>
      <c r="BR1447" s="8"/>
    </row>
    <row r="1448" spans="1:70" ht="12.5">
      <c r="A1448" s="4" t="str">
        <v xml:space="preserve"> </v>
      </c>
      <c r="C1448" s="4"/>
      <c r="D1448" s="4"/>
      <c r="E1448" s="4"/>
      <c r="BR1448" s="8"/>
    </row>
    <row r="1449" spans="1:70" ht="12.5">
      <c r="A1449" s="4" t="str">
        <v xml:space="preserve"> </v>
      </c>
      <c r="C1449" s="4"/>
      <c r="D1449" s="4"/>
      <c r="E1449" s="4"/>
      <c r="BR1449" s="8"/>
    </row>
    <row r="1450" spans="1:70" ht="12.5">
      <c r="A1450" s="4" t="str">
        <v xml:space="preserve"> </v>
      </c>
      <c r="C1450" s="4"/>
      <c r="D1450" s="4"/>
      <c r="E1450" s="4"/>
      <c r="BR1450" s="8"/>
    </row>
    <row r="1451" spans="1:70" ht="12.5">
      <c r="A1451" s="4" t="str">
        <v xml:space="preserve"> </v>
      </c>
      <c r="C1451" s="4"/>
      <c r="D1451" s="4"/>
      <c r="E1451" s="4"/>
      <c r="BR1451" s="8"/>
    </row>
    <row r="1452" spans="1:70" ht="12.5">
      <c r="A1452" s="4" t="str">
        <v xml:space="preserve"> </v>
      </c>
      <c r="C1452" s="4"/>
      <c r="D1452" s="4"/>
      <c r="E1452" s="4"/>
      <c r="BR1452" s="8"/>
    </row>
    <row r="1453" spans="1:70" ht="12.5">
      <c r="A1453" s="4" t="str">
        <v xml:space="preserve"> </v>
      </c>
      <c r="C1453" s="4"/>
      <c r="D1453" s="4"/>
      <c r="E1453" s="4"/>
      <c r="BR1453" s="8"/>
    </row>
    <row r="1454" spans="1:70" ht="12.5">
      <c r="A1454" s="4" t="str">
        <v xml:space="preserve"> </v>
      </c>
      <c r="C1454" s="4"/>
      <c r="D1454" s="4"/>
      <c r="E1454" s="4"/>
      <c r="BR1454" s="8"/>
    </row>
    <row r="1455" spans="1:70" ht="12.5">
      <c r="A1455" s="4" t="str">
        <v xml:space="preserve"> </v>
      </c>
      <c r="C1455" s="4"/>
      <c r="D1455" s="4"/>
      <c r="E1455" s="4"/>
      <c r="BR1455" s="8"/>
    </row>
    <row r="1456" spans="1:70" ht="12.5">
      <c r="A1456" s="4" t="str">
        <v xml:space="preserve"> </v>
      </c>
      <c r="C1456" s="4"/>
      <c r="D1456" s="4"/>
      <c r="E1456" s="4"/>
      <c r="BR1456" s="8"/>
    </row>
    <row r="1457" spans="1:70" ht="12.5">
      <c r="A1457" s="4" t="str">
        <v xml:space="preserve"> </v>
      </c>
      <c r="C1457" s="4"/>
      <c r="D1457" s="4"/>
      <c r="E1457" s="4"/>
      <c r="BR1457" s="8"/>
    </row>
    <row r="1458" spans="1:70" ht="12.5">
      <c r="A1458" s="4" t="str">
        <v xml:space="preserve"> </v>
      </c>
      <c r="C1458" s="4"/>
      <c r="D1458" s="4"/>
      <c r="E1458" s="4"/>
      <c r="BR1458" s="8"/>
    </row>
    <row r="1459" spans="1:70" ht="12.5">
      <c r="A1459" s="4" t="str">
        <v xml:space="preserve"> </v>
      </c>
      <c r="C1459" s="4"/>
      <c r="D1459" s="4"/>
      <c r="E1459" s="4"/>
      <c r="BR1459" s="8"/>
    </row>
    <row r="1460" spans="1:70" ht="12.5">
      <c r="A1460" s="4" t="str">
        <v xml:space="preserve"> </v>
      </c>
      <c r="C1460" s="4"/>
      <c r="D1460" s="4"/>
      <c r="E1460" s="4"/>
      <c r="BR1460" s="8"/>
    </row>
    <row r="1461" spans="1:70" ht="12.5">
      <c r="A1461" s="4" t="str">
        <v xml:space="preserve"> </v>
      </c>
      <c r="C1461" s="4"/>
      <c r="D1461" s="4"/>
      <c r="E1461" s="4"/>
      <c r="BR1461" s="8"/>
    </row>
    <row r="1462" spans="1:70" ht="12.5">
      <c r="A1462" s="4" t="str">
        <v xml:space="preserve"> </v>
      </c>
      <c r="C1462" s="4"/>
      <c r="D1462" s="4"/>
      <c r="E1462" s="4"/>
      <c r="BR1462" s="8"/>
    </row>
    <row r="1463" spans="1:70" ht="12.5">
      <c r="A1463" s="4" t="str">
        <v xml:space="preserve"> </v>
      </c>
      <c r="C1463" s="4"/>
      <c r="D1463" s="4"/>
      <c r="E1463" s="4"/>
      <c r="BR1463" s="8"/>
    </row>
    <row r="1464" spans="1:70" ht="12.5">
      <c r="A1464" s="4" t="str">
        <v xml:space="preserve"> </v>
      </c>
      <c r="C1464" s="4"/>
      <c r="D1464" s="4"/>
      <c r="E1464" s="4"/>
      <c r="BR1464" s="8"/>
    </row>
    <row r="1465" spans="1:70" ht="12.5">
      <c r="A1465" s="4" t="str">
        <v xml:space="preserve"> </v>
      </c>
      <c r="C1465" s="4"/>
      <c r="D1465" s="4"/>
      <c r="E1465" s="4"/>
      <c r="BR1465" s="8"/>
    </row>
    <row r="1466" spans="1:70" ht="12.5">
      <c r="A1466" s="4" t="str">
        <v xml:space="preserve"> </v>
      </c>
      <c r="C1466" s="4"/>
      <c r="D1466" s="4"/>
      <c r="E1466" s="4"/>
      <c r="BR1466" s="8"/>
    </row>
    <row r="1467" spans="1:70" ht="12.5">
      <c r="A1467" s="4" t="str">
        <v xml:space="preserve"> </v>
      </c>
      <c r="C1467" s="4"/>
      <c r="D1467" s="4"/>
      <c r="E1467" s="4"/>
      <c r="BR1467" s="8"/>
    </row>
    <row r="1468" spans="1:70" ht="12.5">
      <c r="A1468" s="4" t="str">
        <v xml:space="preserve"> </v>
      </c>
      <c r="C1468" s="4"/>
      <c r="D1468" s="4"/>
      <c r="E1468" s="4"/>
      <c r="BR1468" s="8"/>
    </row>
    <row r="1469" spans="1:70" ht="12.5">
      <c r="A1469" s="4" t="str">
        <v xml:space="preserve"> </v>
      </c>
      <c r="C1469" s="4"/>
      <c r="D1469" s="4"/>
      <c r="E1469" s="4"/>
      <c r="BR1469" s="8"/>
    </row>
    <row r="1470" spans="1:70" ht="12.5">
      <c r="A1470" s="4" t="str">
        <v xml:space="preserve"> </v>
      </c>
      <c r="C1470" s="4"/>
      <c r="D1470" s="4"/>
      <c r="E1470" s="4"/>
      <c r="BR1470" s="8"/>
    </row>
    <row r="1471" spans="1:70" ht="12.5">
      <c r="A1471" s="4" t="str">
        <v xml:space="preserve"> </v>
      </c>
      <c r="C1471" s="4"/>
      <c r="D1471" s="4"/>
      <c r="E1471" s="4"/>
      <c r="BR1471" s="8"/>
    </row>
    <row r="1472" spans="1:70" ht="12.5">
      <c r="A1472" s="4" t="str">
        <v xml:space="preserve"> </v>
      </c>
      <c r="C1472" s="4"/>
      <c r="D1472" s="4"/>
      <c r="E1472" s="4"/>
      <c r="BR1472" s="8"/>
    </row>
    <row r="1473" spans="1:70" ht="12.5">
      <c r="A1473" s="4" t="str">
        <v xml:space="preserve"> </v>
      </c>
      <c r="C1473" s="4"/>
      <c r="D1473" s="4"/>
      <c r="E1473" s="4"/>
      <c r="BR1473" s="8"/>
    </row>
    <row r="1474" spans="1:70" ht="12.5">
      <c r="A1474" s="4" t="str">
        <v xml:space="preserve"> </v>
      </c>
      <c r="C1474" s="4"/>
      <c r="D1474" s="4"/>
      <c r="E1474" s="4"/>
      <c r="BR1474" s="8"/>
    </row>
    <row r="1475" spans="1:70" ht="12.5">
      <c r="A1475" s="4" t="str">
        <v xml:space="preserve"> </v>
      </c>
      <c r="C1475" s="4"/>
      <c r="D1475" s="4"/>
      <c r="E1475" s="4"/>
      <c r="BR1475" s="8"/>
    </row>
    <row r="1476" spans="1:70" ht="12.5">
      <c r="A1476" s="4" t="str">
        <v xml:space="preserve"> </v>
      </c>
      <c r="C1476" s="4"/>
      <c r="D1476" s="4"/>
      <c r="E1476" s="4"/>
      <c r="BR1476" s="8"/>
    </row>
    <row r="1477" spans="1:70" ht="12.5">
      <c r="A1477" s="4" t="str">
        <v xml:space="preserve"> </v>
      </c>
      <c r="C1477" s="4"/>
      <c r="D1477" s="4"/>
      <c r="E1477" s="4"/>
      <c r="BR1477" s="8"/>
    </row>
    <row r="1478" spans="1:70" ht="12.5">
      <c r="A1478" s="4" t="str">
        <v xml:space="preserve"> </v>
      </c>
      <c r="C1478" s="4"/>
      <c r="D1478" s="4"/>
      <c r="E1478" s="4"/>
      <c r="BR1478" s="8"/>
    </row>
    <row r="1479" spans="1:70" ht="12.5">
      <c r="A1479" s="4" t="str">
        <v xml:space="preserve"> </v>
      </c>
      <c r="C1479" s="4"/>
      <c r="D1479" s="4"/>
      <c r="E1479" s="4"/>
      <c r="BR1479" s="8"/>
    </row>
    <row r="1480" spans="1:70" ht="12.5">
      <c r="A1480" s="4" t="str">
        <v xml:space="preserve"> </v>
      </c>
      <c r="C1480" s="4"/>
      <c r="D1480" s="4"/>
      <c r="E1480" s="4"/>
      <c r="BR1480" s="8"/>
    </row>
    <row r="1481" spans="1:70" ht="12.5">
      <c r="A1481" s="4" t="str">
        <v xml:space="preserve"> </v>
      </c>
      <c r="C1481" s="4"/>
      <c r="D1481" s="4"/>
      <c r="E1481" s="4"/>
      <c r="BR1481" s="8"/>
    </row>
    <row r="1482" spans="1:70" ht="12.5">
      <c r="A1482" s="4" t="str">
        <v xml:space="preserve"> </v>
      </c>
      <c r="C1482" s="4"/>
      <c r="D1482" s="4"/>
      <c r="E1482" s="4"/>
      <c r="BR1482" s="8"/>
    </row>
    <row r="1483" spans="1:70" ht="12.5">
      <c r="A1483" s="4" t="str">
        <v xml:space="preserve"> </v>
      </c>
      <c r="C1483" s="4"/>
      <c r="D1483" s="4"/>
      <c r="E1483" s="4"/>
      <c r="BR1483" s="8"/>
    </row>
    <row r="1484" spans="1:70" ht="12.5">
      <c r="A1484" s="4" t="str">
        <v xml:space="preserve"> </v>
      </c>
      <c r="C1484" s="4"/>
      <c r="D1484" s="4"/>
      <c r="E1484" s="4"/>
      <c r="BR1484" s="8"/>
    </row>
    <row r="1485" spans="1:70" ht="12.5">
      <c r="A1485" s="4" t="str">
        <v xml:space="preserve"> </v>
      </c>
      <c r="C1485" s="4"/>
      <c r="D1485" s="4"/>
      <c r="E1485" s="4"/>
      <c r="BR1485" s="8"/>
    </row>
    <row r="1486" spans="1:70" ht="12.5">
      <c r="A1486" s="4" t="str">
        <v xml:space="preserve"> </v>
      </c>
      <c r="C1486" s="4"/>
      <c r="D1486" s="4"/>
      <c r="E1486" s="4"/>
      <c r="BR1486" s="8"/>
    </row>
    <row r="1487" spans="1:70" ht="12.5">
      <c r="A1487" s="4" t="str">
        <v xml:space="preserve"> </v>
      </c>
      <c r="C1487" s="4"/>
      <c r="D1487" s="4"/>
      <c r="E1487" s="4"/>
      <c r="BR1487" s="8"/>
    </row>
    <row r="1488" spans="1:70" ht="12.5">
      <c r="A1488" s="4" t="str">
        <v xml:space="preserve"> </v>
      </c>
      <c r="C1488" s="4"/>
      <c r="D1488" s="4"/>
      <c r="E1488" s="4"/>
      <c r="BR1488" s="8"/>
    </row>
    <row r="1489" spans="1:70" ht="12.5">
      <c r="A1489" s="4" t="str">
        <v xml:space="preserve"> </v>
      </c>
      <c r="C1489" s="4"/>
      <c r="D1489" s="4"/>
      <c r="E1489" s="4"/>
      <c r="BR1489" s="8"/>
    </row>
    <row r="1490" spans="1:70" ht="12.5">
      <c r="A1490" s="4" t="str">
        <v xml:space="preserve"> </v>
      </c>
      <c r="C1490" s="4"/>
      <c r="D1490" s="4"/>
      <c r="E1490" s="4"/>
      <c r="BR1490" s="8"/>
    </row>
    <row r="1491" spans="1:70" ht="12.5">
      <c r="A1491" s="4" t="str">
        <v xml:space="preserve"> </v>
      </c>
      <c r="C1491" s="4"/>
      <c r="D1491" s="4"/>
      <c r="E1491" s="4"/>
      <c r="BR1491" s="8"/>
    </row>
    <row r="1492" spans="1:70" ht="12.5">
      <c r="A1492" s="4" t="str">
        <v xml:space="preserve"> </v>
      </c>
      <c r="C1492" s="4"/>
      <c r="D1492" s="4"/>
      <c r="E1492" s="4"/>
      <c r="BR1492" s="8"/>
    </row>
    <row r="1493" spans="1:70" ht="12.5">
      <c r="A1493" s="4" t="str">
        <v xml:space="preserve"> </v>
      </c>
      <c r="C1493" s="4"/>
      <c r="D1493" s="4"/>
      <c r="E1493" s="4"/>
      <c r="BR1493" s="8"/>
    </row>
    <row r="1494" spans="1:70" ht="12.5">
      <c r="A1494" s="4" t="str">
        <v xml:space="preserve"> </v>
      </c>
      <c r="C1494" s="4"/>
      <c r="D1494" s="4"/>
      <c r="E1494" s="4"/>
      <c r="BR1494" s="8"/>
    </row>
    <row r="1495" spans="1:70" ht="12.5">
      <c r="A1495" s="4" t="str">
        <v xml:space="preserve"> </v>
      </c>
      <c r="C1495" s="4"/>
      <c r="D1495" s="4"/>
      <c r="E1495" s="4"/>
      <c r="BR1495" s="8"/>
    </row>
    <row r="1496" spans="1:70" ht="12.5">
      <c r="A1496" s="4" t="str">
        <v xml:space="preserve"> </v>
      </c>
      <c r="C1496" s="4"/>
      <c r="D1496" s="4"/>
      <c r="E1496" s="4"/>
      <c r="BR1496" s="8"/>
    </row>
    <row r="1497" spans="1:70" ht="12.5">
      <c r="A1497" s="4" t="str">
        <v xml:space="preserve"> </v>
      </c>
      <c r="C1497" s="4"/>
      <c r="D1497" s="4"/>
      <c r="E1497" s="4"/>
      <c r="BR1497" s="8"/>
    </row>
    <row r="1498" spans="1:70" ht="12.5">
      <c r="A1498" s="4" t="str">
        <v xml:space="preserve"> </v>
      </c>
      <c r="C1498" s="4"/>
      <c r="D1498" s="4"/>
      <c r="E1498" s="4"/>
      <c r="BR1498" s="8"/>
    </row>
    <row r="1499" spans="1:70" ht="12.5">
      <c r="A1499" s="4" t="str">
        <v xml:space="preserve"> </v>
      </c>
      <c r="C1499" s="4"/>
      <c r="D1499" s="4"/>
      <c r="E1499" s="4"/>
      <c r="BR1499" s="8"/>
    </row>
    <row r="1500" spans="1:70" ht="12.5">
      <c r="A1500" s="4" t="str">
        <v xml:space="preserve"> </v>
      </c>
      <c r="C1500" s="4"/>
      <c r="D1500" s="4"/>
      <c r="E1500" s="4"/>
      <c r="BR1500" s="8"/>
    </row>
    <row r="1501" spans="1:70" ht="12.5">
      <c r="A1501" s="4" t="str">
        <v xml:space="preserve"> </v>
      </c>
      <c r="C1501" s="4"/>
      <c r="D1501" s="4"/>
      <c r="E1501" s="4"/>
      <c r="BR1501" s="8"/>
    </row>
    <row r="1502" spans="1:70" ht="12.5">
      <c r="A1502" s="4" t="str">
        <v xml:space="preserve"> </v>
      </c>
      <c r="C1502" s="4"/>
      <c r="D1502" s="4"/>
      <c r="E1502" s="4"/>
      <c r="BR1502" s="8"/>
    </row>
    <row r="1503" spans="1:70" ht="12.5">
      <c r="A1503" s="4" t="str">
        <v xml:space="preserve"> </v>
      </c>
      <c r="C1503" s="4"/>
      <c r="D1503" s="4"/>
      <c r="E1503" s="4"/>
      <c r="BR1503" s="8"/>
    </row>
    <row r="1504" spans="1:70" ht="12.5">
      <c r="A1504" s="4" t="str">
        <v xml:space="preserve"> </v>
      </c>
      <c r="C1504" s="4"/>
      <c r="D1504" s="4"/>
      <c r="E1504" s="4"/>
      <c r="BR1504" s="8"/>
    </row>
    <row r="1505" spans="1:70" ht="12.5">
      <c r="A1505" s="4" t="str">
        <v xml:space="preserve"> </v>
      </c>
      <c r="C1505" s="4"/>
      <c r="D1505" s="4"/>
      <c r="E1505" s="4"/>
      <c r="BR1505" s="8"/>
    </row>
    <row r="1506" spans="1:70" ht="12.5">
      <c r="A1506" s="4" t="str">
        <v xml:space="preserve"> </v>
      </c>
      <c r="C1506" s="4"/>
      <c r="D1506" s="4"/>
      <c r="E1506" s="4"/>
      <c r="BR1506" s="8"/>
    </row>
    <row r="1507" spans="1:70" ht="12.5">
      <c r="A1507" s="4" t="str">
        <v xml:space="preserve"> </v>
      </c>
      <c r="C1507" s="4"/>
      <c r="D1507" s="4"/>
      <c r="E1507" s="4"/>
      <c r="BR1507" s="8"/>
    </row>
    <row r="1508" spans="1:70" ht="12.5">
      <c r="A1508" s="4" t="str">
        <v xml:space="preserve"> </v>
      </c>
      <c r="C1508" s="4"/>
      <c r="D1508" s="4"/>
      <c r="E1508" s="4"/>
      <c r="BR1508" s="8"/>
    </row>
    <row r="1509" spans="1:70" ht="12.5">
      <c r="A1509" s="4" t="str">
        <v xml:space="preserve"> </v>
      </c>
      <c r="C1509" s="4"/>
      <c r="D1509" s="4"/>
      <c r="E1509" s="4"/>
      <c r="BR1509" s="8"/>
    </row>
    <row r="1510" spans="1:70" ht="12.5">
      <c r="A1510" s="4" t="str">
        <v xml:space="preserve"> </v>
      </c>
      <c r="C1510" s="4"/>
      <c r="D1510" s="4"/>
      <c r="E1510" s="4"/>
      <c r="BR1510" s="8"/>
    </row>
    <row r="1511" spans="1:70" ht="12.5">
      <c r="A1511" s="4" t="str">
        <v xml:space="preserve"> </v>
      </c>
      <c r="C1511" s="4"/>
      <c r="D1511" s="4"/>
      <c r="E1511" s="4"/>
      <c r="BR1511" s="8"/>
    </row>
    <row r="1512" spans="1:70" ht="12.5">
      <c r="A1512" s="4" t="str">
        <v xml:space="preserve"> </v>
      </c>
      <c r="C1512" s="4"/>
      <c r="D1512" s="4"/>
      <c r="E1512" s="4"/>
      <c r="BR1512" s="8"/>
    </row>
    <row r="1513" spans="1:70" ht="12.5">
      <c r="A1513" s="4" t="str">
        <v xml:space="preserve"> </v>
      </c>
      <c r="C1513" s="4"/>
      <c r="D1513" s="4"/>
      <c r="E1513" s="4"/>
      <c r="BR1513" s="8"/>
    </row>
    <row r="1514" spans="1:70" ht="12.5">
      <c r="A1514" s="4" t="str">
        <v xml:space="preserve"> </v>
      </c>
      <c r="C1514" s="4"/>
      <c r="D1514" s="4"/>
      <c r="E1514" s="4"/>
      <c r="BR1514" s="8"/>
    </row>
    <row r="1515" spans="1:70" ht="12.5">
      <c r="A1515" s="4" t="str">
        <v xml:space="preserve"> </v>
      </c>
      <c r="C1515" s="4"/>
      <c r="D1515" s="4"/>
      <c r="E1515" s="4"/>
      <c r="BR1515" s="8"/>
    </row>
    <row r="1516" spans="1:70" ht="12.5">
      <c r="A1516" s="4" t="str">
        <v xml:space="preserve"> </v>
      </c>
      <c r="C1516" s="4"/>
      <c r="D1516" s="4"/>
      <c r="E1516" s="4"/>
      <c r="BR1516" s="8"/>
    </row>
    <row r="1517" spans="1:70" ht="12.5">
      <c r="A1517" s="4" t="str">
        <v xml:space="preserve"> </v>
      </c>
      <c r="C1517" s="4"/>
      <c r="D1517" s="4"/>
      <c r="E1517" s="4"/>
      <c r="BR1517" s="8"/>
    </row>
    <row r="1518" spans="1:70" ht="12.5">
      <c r="A1518" s="4" t="str">
        <v xml:space="preserve"> </v>
      </c>
      <c r="C1518" s="4"/>
      <c r="D1518" s="4"/>
      <c r="E1518" s="4"/>
      <c r="BR1518" s="8"/>
    </row>
    <row r="1519" spans="1:70" ht="12.5">
      <c r="A1519" s="4" t="str">
        <v xml:space="preserve"> </v>
      </c>
      <c r="C1519" s="4"/>
      <c r="D1519" s="4"/>
      <c r="E1519" s="4"/>
      <c r="BR1519" s="8"/>
    </row>
    <row r="1520" spans="1:70" ht="12.5">
      <c r="A1520" s="4" t="str">
        <v xml:space="preserve"> </v>
      </c>
      <c r="C1520" s="4"/>
      <c r="D1520" s="4"/>
      <c r="E1520" s="4"/>
      <c r="BR1520" s="8"/>
    </row>
    <row r="1521" spans="1:70" ht="12.5">
      <c r="A1521" s="4" t="str">
        <v xml:space="preserve"> </v>
      </c>
      <c r="C1521" s="4"/>
      <c r="D1521" s="4"/>
      <c r="E1521" s="4"/>
      <c r="BR1521" s="8"/>
    </row>
    <row r="1522" spans="1:70" ht="12.5">
      <c r="A1522" s="4" t="str">
        <v xml:space="preserve"> </v>
      </c>
      <c r="C1522" s="4"/>
      <c r="D1522" s="4"/>
      <c r="E1522" s="4"/>
      <c r="BR1522" s="8"/>
    </row>
    <row r="1523" spans="1:70" ht="12.5">
      <c r="A1523" s="4" t="str">
        <v xml:space="preserve"> </v>
      </c>
      <c r="C1523" s="4"/>
      <c r="D1523" s="4"/>
      <c r="E1523" s="4"/>
      <c r="BR1523" s="8"/>
    </row>
    <row r="1524" spans="1:70" ht="12.5">
      <c r="A1524" s="4" t="str">
        <v xml:space="preserve"> </v>
      </c>
      <c r="C1524" s="4"/>
      <c r="D1524" s="4"/>
      <c r="E1524" s="4"/>
      <c r="BR1524" s="8"/>
    </row>
    <row r="1525" spans="1:70" ht="12.5">
      <c r="A1525" s="4" t="str">
        <v xml:space="preserve"> </v>
      </c>
      <c r="C1525" s="4"/>
      <c r="D1525" s="4"/>
      <c r="E1525" s="4"/>
      <c r="BR1525" s="8"/>
    </row>
    <row r="1526" spans="1:70" ht="12.5">
      <c r="A1526" s="4" t="str">
        <v xml:space="preserve"> </v>
      </c>
      <c r="C1526" s="4"/>
      <c r="D1526" s="4"/>
      <c r="E1526" s="4"/>
      <c r="BR1526" s="8"/>
    </row>
    <row r="1527" spans="1:70" ht="12.5">
      <c r="A1527" s="4" t="str">
        <v xml:space="preserve"> </v>
      </c>
      <c r="C1527" s="4"/>
      <c r="D1527" s="4"/>
      <c r="E1527" s="4"/>
      <c r="BR1527" s="8"/>
    </row>
    <row r="1528" spans="1:70" ht="12.5">
      <c r="A1528" s="4" t="str">
        <v xml:space="preserve"> </v>
      </c>
      <c r="C1528" s="4"/>
      <c r="D1528" s="4"/>
      <c r="E1528" s="4"/>
      <c r="BR1528" s="8"/>
    </row>
    <row r="1529" spans="1:70" ht="12.5">
      <c r="A1529" s="4" t="str">
        <v xml:space="preserve"> </v>
      </c>
      <c r="C1529" s="4"/>
      <c r="D1529" s="4"/>
      <c r="E1529" s="4"/>
      <c r="BR1529" s="8"/>
    </row>
    <row r="1530" spans="1:70" ht="12.5">
      <c r="A1530" s="4" t="str">
        <v xml:space="preserve"> </v>
      </c>
      <c r="C1530" s="4"/>
      <c r="D1530" s="4"/>
      <c r="E1530" s="4"/>
      <c r="BR1530" s="8"/>
    </row>
    <row r="1531" spans="1:70" ht="12.5">
      <c r="A1531" s="4" t="str">
        <v xml:space="preserve"> </v>
      </c>
      <c r="C1531" s="4"/>
      <c r="D1531" s="4"/>
      <c r="E1531" s="4"/>
      <c r="BR1531" s="8"/>
    </row>
    <row r="1532" spans="1:70" ht="12.5">
      <c r="A1532" s="4" t="str">
        <v xml:space="preserve"> </v>
      </c>
      <c r="C1532" s="4"/>
      <c r="D1532" s="4"/>
      <c r="E1532" s="4"/>
      <c r="BR1532" s="8"/>
    </row>
    <row r="1533" spans="1:70" ht="12.5">
      <c r="A1533" s="4" t="str">
        <v xml:space="preserve"> </v>
      </c>
      <c r="C1533" s="4"/>
      <c r="D1533" s="4"/>
      <c r="E1533" s="4"/>
      <c r="BR1533" s="8"/>
    </row>
    <row r="1534" spans="1:70" ht="12.5">
      <c r="A1534" s="4" t="str">
        <v xml:space="preserve"> </v>
      </c>
      <c r="C1534" s="4"/>
      <c r="D1534" s="4"/>
      <c r="E1534" s="4"/>
      <c r="BR1534" s="8"/>
    </row>
    <row r="1535" spans="1:70" ht="12.5">
      <c r="A1535" s="4" t="str">
        <v xml:space="preserve"> </v>
      </c>
      <c r="C1535" s="4"/>
      <c r="D1535" s="4"/>
      <c r="E1535" s="4"/>
      <c r="BR1535" s="8"/>
    </row>
    <row r="1536" spans="1:70" ht="12.5">
      <c r="A1536" s="4" t="str">
        <v xml:space="preserve"> </v>
      </c>
      <c r="C1536" s="4"/>
      <c r="D1536" s="4"/>
      <c r="E1536" s="4"/>
      <c r="BR1536" s="8"/>
    </row>
    <row r="1537" spans="1:70" ht="12.5">
      <c r="A1537" s="4" t="str">
        <v xml:space="preserve"> </v>
      </c>
      <c r="C1537" s="4"/>
      <c r="D1537" s="4"/>
      <c r="E1537" s="4"/>
      <c r="BR1537" s="8"/>
    </row>
    <row r="1538" spans="1:70" ht="12.5">
      <c r="A1538" s="4" t="str">
        <v xml:space="preserve"> </v>
      </c>
      <c r="C1538" s="4"/>
      <c r="D1538" s="4"/>
      <c r="E1538" s="4"/>
      <c r="BR1538" s="8"/>
    </row>
    <row r="1539" spans="1:70" ht="12.5">
      <c r="A1539" s="4" t="str">
        <v xml:space="preserve"> </v>
      </c>
      <c r="C1539" s="4"/>
      <c r="D1539" s="4"/>
      <c r="E1539" s="4"/>
      <c r="BR1539" s="8"/>
    </row>
    <row r="1540" spans="1:70" ht="12.5">
      <c r="A1540" s="4" t="str">
        <v xml:space="preserve"> </v>
      </c>
      <c r="C1540" s="4"/>
      <c r="D1540" s="4"/>
      <c r="E1540" s="4"/>
      <c r="BR1540" s="8"/>
    </row>
    <row r="1541" spans="1:70" ht="12.5">
      <c r="A1541" s="4" t="str">
        <v xml:space="preserve"> </v>
      </c>
      <c r="C1541" s="4"/>
      <c r="D1541" s="4"/>
      <c r="E1541" s="4"/>
      <c r="BR1541" s="8"/>
    </row>
    <row r="1542" spans="1:70" ht="12.5">
      <c r="A1542" s="4" t="str">
        <v xml:space="preserve"> </v>
      </c>
      <c r="C1542" s="4"/>
      <c r="D1542" s="4"/>
      <c r="E1542" s="4"/>
      <c r="BR1542" s="8"/>
    </row>
    <row r="1543" spans="1:70" ht="12.5">
      <c r="A1543" s="4" t="str">
        <v xml:space="preserve"> </v>
      </c>
      <c r="C1543" s="4"/>
      <c r="D1543" s="4"/>
      <c r="E1543" s="4"/>
      <c r="BR1543" s="8"/>
    </row>
    <row r="1544" spans="1:70" ht="12.5">
      <c r="A1544" s="4" t="str">
        <v xml:space="preserve"> </v>
      </c>
      <c r="C1544" s="4"/>
      <c r="D1544" s="4"/>
      <c r="E1544" s="4"/>
      <c r="BR1544" s="8"/>
    </row>
    <row r="1545" spans="1:70" ht="12.5">
      <c r="A1545" s="4" t="str">
        <v xml:space="preserve"> </v>
      </c>
      <c r="C1545" s="4"/>
      <c r="D1545" s="4"/>
      <c r="E1545" s="4"/>
      <c r="BR1545" s="8"/>
    </row>
    <row r="1546" spans="1:70" ht="12.5">
      <c r="A1546" s="4" t="str">
        <v xml:space="preserve"> </v>
      </c>
      <c r="C1546" s="4"/>
      <c r="D1546" s="4"/>
      <c r="E1546" s="4"/>
      <c r="BR1546" s="8"/>
    </row>
    <row r="1547" spans="1:70" ht="12.5">
      <c r="A1547" s="4" t="str">
        <v xml:space="preserve"> </v>
      </c>
      <c r="C1547" s="4"/>
      <c r="D1547" s="4"/>
      <c r="E1547" s="4"/>
      <c r="BR1547" s="8"/>
    </row>
    <row r="1548" spans="1:70" ht="12.5">
      <c r="A1548" s="4" t="str">
        <v xml:space="preserve"> </v>
      </c>
      <c r="C1548" s="4"/>
      <c r="D1548" s="4"/>
      <c r="E1548" s="4"/>
      <c r="BR1548" s="8"/>
    </row>
    <row r="1549" spans="1:70" ht="12.5">
      <c r="A1549" s="4" t="str">
        <v xml:space="preserve"> </v>
      </c>
      <c r="C1549" s="4"/>
      <c r="D1549" s="4"/>
      <c r="E1549" s="4"/>
      <c r="BR1549" s="8"/>
    </row>
    <row r="1550" spans="1:70" ht="12.5">
      <c r="A1550" s="4" t="str">
        <v xml:space="preserve"> </v>
      </c>
      <c r="C1550" s="4"/>
      <c r="D1550" s="4"/>
      <c r="E1550" s="4"/>
      <c r="BR1550" s="8"/>
    </row>
    <row r="1551" spans="1:70" ht="12.5">
      <c r="A1551" s="4" t="str">
        <v xml:space="preserve"> </v>
      </c>
      <c r="C1551" s="4"/>
      <c r="D1551" s="4"/>
      <c r="E1551" s="4"/>
      <c r="BR1551" s="8"/>
    </row>
    <row r="1552" spans="1:70" ht="12.5">
      <c r="A1552" s="4" t="str">
        <v xml:space="preserve"> </v>
      </c>
      <c r="C1552" s="4"/>
      <c r="D1552" s="4"/>
      <c r="E1552" s="4"/>
      <c r="BR1552" s="8"/>
    </row>
    <row r="1553" spans="1:70" ht="12.5">
      <c r="A1553" s="4" t="str">
        <v xml:space="preserve"> </v>
      </c>
      <c r="C1553" s="4"/>
      <c r="D1553" s="4"/>
      <c r="E1553" s="4"/>
      <c r="BR1553" s="8"/>
    </row>
    <row r="1554" spans="1:70" ht="12.5">
      <c r="A1554" s="4" t="str">
        <v xml:space="preserve"> </v>
      </c>
      <c r="C1554" s="4"/>
      <c r="D1554" s="4"/>
      <c r="E1554" s="4"/>
      <c r="BR1554" s="8"/>
    </row>
    <row r="1555" spans="1:70" ht="12.5">
      <c r="A1555" s="4" t="str">
        <v xml:space="preserve"> </v>
      </c>
      <c r="C1555" s="4"/>
      <c r="D1555" s="4"/>
      <c r="E1555" s="4"/>
      <c r="BR1555" s="8"/>
    </row>
    <row r="1556" spans="1:70" ht="12.5">
      <c r="A1556" s="4" t="str">
        <v xml:space="preserve"> </v>
      </c>
      <c r="C1556" s="4"/>
      <c r="D1556" s="4"/>
      <c r="E1556" s="4"/>
      <c r="BR1556" s="8"/>
    </row>
    <row r="1557" spans="1:70" ht="12.5">
      <c r="A1557" s="4" t="str">
        <v xml:space="preserve"> </v>
      </c>
      <c r="C1557" s="4"/>
      <c r="D1557" s="4"/>
      <c r="E1557" s="4"/>
      <c r="BR1557" s="8"/>
    </row>
    <row r="1558" spans="1:70" ht="12.5">
      <c r="A1558" s="4" t="str">
        <v xml:space="preserve"> </v>
      </c>
      <c r="C1558" s="4"/>
      <c r="D1558" s="4"/>
      <c r="E1558" s="4"/>
      <c r="BR1558" s="8"/>
    </row>
    <row r="1559" spans="1:70" ht="12.5">
      <c r="A1559" s="4" t="str">
        <v xml:space="preserve"> </v>
      </c>
      <c r="C1559" s="4"/>
      <c r="D1559" s="4"/>
      <c r="E1559" s="4"/>
      <c r="BR1559" s="8"/>
    </row>
    <row r="1560" spans="1:70" ht="12.5">
      <c r="A1560" s="4" t="str">
        <v xml:space="preserve"> </v>
      </c>
      <c r="C1560" s="4"/>
      <c r="D1560" s="4"/>
      <c r="E1560" s="4"/>
      <c r="BR1560" s="8"/>
    </row>
    <row r="1561" spans="1:70" ht="12.5">
      <c r="A1561" s="4" t="str">
        <v xml:space="preserve"> </v>
      </c>
      <c r="C1561" s="4"/>
      <c r="D1561" s="4"/>
      <c r="E1561" s="4"/>
      <c r="BR1561" s="8"/>
    </row>
    <row r="1562" spans="1:70" ht="12.5">
      <c r="A1562" s="4" t="str">
        <v xml:space="preserve"> </v>
      </c>
      <c r="C1562" s="4"/>
      <c r="D1562" s="4"/>
      <c r="E1562" s="4"/>
      <c r="BR1562" s="8"/>
    </row>
    <row r="1563" spans="1:70" ht="12.5">
      <c r="A1563" s="4" t="str">
        <v xml:space="preserve"> </v>
      </c>
      <c r="C1563" s="4"/>
      <c r="D1563" s="4"/>
      <c r="E1563" s="4"/>
      <c r="BR1563" s="8"/>
    </row>
    <row r="1564" spans="1:70" ht="12.5">
      <c r="A1564" s="4" t="str">
        <v xml:space="preserve"> </v>
      </c>
      <c r="C1564" s="4"/>
      <c r="D1564" s="4"/>
      <c r="E1564" s="4"/>
      <c r="BR1564" s="8"/>
    </row>
    <row r="1565" spans="1:70" ht="12.5">
      <c r="A1565" s="4" t="str">
        <v xml:space="preserve"> </v>
      </c>
      <c r="C1565" s="4"/>
      <c r="D1565" s="4"/>
      <c r="E1565" s="4"/>
      <c r="BR1565" s="8"/>
    </row>
    <row r="1566" spans="1:70" ht="12.5">
      <c r="A1566" s="4" t="str">
        <v xml:space="preserve"> </v>
      </c>
      <c r="C1566" s="4"/>
      <c r="D1566" s="4"/>
      <c r="E1566" s="4"/>
      <c r="BR1566" s="8"/>
    </row>
    <row r="1567" spans="1:70" ht="12.5">
      <c r="A1567" s="4" t="str">
        <v xml:space="preserve"> </v>
      </c>
      <c r="C1567" s="4"/>
      <c r="D1567" s="4"/>
      <c r="E1567" s="4"/>
      <c r="BR1567" s="8"/>
    </row>
    <row r="1568" spans="1:70" ht="12.5">
      <c r="A1568" s="4" t="str">
        <v xml:space="preserve"> </v>
      </c>
      <c r="C1568" s="4"/>
      <c r="D1568" s="4"/>
      <c r="E1568" s="4"/>
      <c r="BR1568" s="8"/>
    </row>
    <row r="1569" spans="1:70" ht="12.5">
      <c r="A1569" s="4" t="str">
        <v xml:space="preserve"> </v>
      </c>
      <c r="C1569" s="4"/>
      <c r="D1569" s="4"/>
      <c r="E1569" s="4"/>
      <c r="BR1569" s="8"/>
    </row>
    <row r="1570" spans="1:70" ht="12.5">
      <c r="A1570" s="4" t="str">
        <v xml:space="preserve"> </v>
      </c>
      <c r="C1570" s="4"/>
      <c r="D1570" s="4"/>
      <c r="E1570" s="4"/>
      <c r="BR1570" s="8"/>
    </row>
    <row r="1571" spans="1:70" ht="12.5">
      <c r="A1571" s="4" t="str">
        <v xml:space="preserve"> </v>
      </c>
      <c r="C1571" s="4"/>
      <c r="D1571" s="4"/>
      <c r="E1571" s="4"/>
      <c r="BR1571" s="8"/>
    </row>
    <row r="1572" spans="1:70" ht="12.5">
      <c r="A1572" s="4" t="str">
        <v xml:space="preserve"> </v>
      </c>
      <c r="C1572" s="4"/>
      <c r="D1572" s="4"/>
      <c r="E1572" s="4"/>
      <c r="BR1572" s="8"/>
    </row>
    <row r="1573" spans="1:70" ht="12.5">
      <c r="A1573" s="4" t="str">
        <v xml:space="preserve"> </v>
      </c>
      <c r="C1573" s="4"/>
      <c r="D1573" s="4"/>
      <c r="E1573" s="4"/>
      <c r="BR1573" s="8"/>
    </row>
    <row r="1574" spans="1:70" ht="12.5">
      <c r="A1574" s="4" t="str">
        <v xml:space="preserve"> </v>
      </c>
      <c r="C1574" s="4"/>
      <c r="D1574" s="4"/>
      <c r="E1574" s="4"/>
      <c r="BR1574" s="8"/>
    </row>
    <row r="1575" spans="1:70" ht="12.5">
      <c r="A1575" s="4" t="str">
        <v xml:space="preserve"> </v>
      </c>
      <c r="C1575" s="4"/>
      <c r="D1575" s="4"/>
      <c r="E1575" s="4"/>
      <c r="BR1575" s="8"/>
    </row>
    <row r="1576" spans="1:70" ht="12.5">
      <c r="A1576" s="4" t="str">
        <v xml:space="preserve"> </v>
      </c>
      <c r="C1576" s="4"/>
      <c r="D1576" s="4"/>
      <c r="E1576" s="4"/>
      <c r="BR1576" s="8"/>
    </row>
    <row r="1577" spans="1:70" ht="12.5">
      <c r="A1577" s="4" t="str">
        <v xml:space="preserve"> </v>
      </c>
      <c r="C1577" s="4"/>
      <c r="D1577" s="4"/>
      <c r="E1577" s="4"/>
      <c r="BR1577" s="8"/>
    </row>
    <row r="1578" spans="1:70" ht="12.5">
      <c r="A1578" s="4" t="str">
        <v xml:space="preserve"> </v>
      </c>
      <c r="C1578" s="4"/>
      <c r="D1578" s="4"/>
      <c r="E1578" s="4"/>
      <c r="BR1578" s="8"/>
    </row>
    <row r="1579" spans="1:70" ht="12.5">
      <c r="A1579" s="4" t="str">
        <v xml:space="preserve"> </v>
      </c>
      <c r="C1579" s="4"/>
      <c r="D1579" s="4"/>
      <c r="E1579" s="4"/>
      <c r="BR1579" s="8"/>
    </row>
    <row r="1580" spans="1:70" ht="12.5">
      <c r="A1580" s="4" t="str">
        <v xml:space="preserve"> </v>
      </c>
      <c r="C1580" s="4"/>
      <c r="D1580" s="4"/>
      <c r="E1580" s="4"/>
      <c r="BR1580" s="8"/>
    </row>
    <row r="1581" spans="1:70" ht="12.5">
      <c r="A1581" s="4" t="str">
        <v xml:space="preserve"> </v>
      </c>
      <c r="C1581" s="4"/>
      <c r="D1581" s="4"/>
      <c r="E1581" s="4"/>
      <c r="BR1581" s="8"/>
    </row>
    <row r="1582" spans="1:70" ht="12.5">
      <c r="A1582" s="4" t="str">
        <v xml:space="preserve"> </v>
      </c>
      <c r="C1582" s="4"/>
      <c r="D1582" s="4"/>
      <c r="E1582" s="4"/>
      <c r="BR1582" s="8"/>
    </row>
    <row r="1583" spans="1:70" ht="12.5">
      <c r="A1583" s="4" t="str">
        <v xml:space="preserve"> </v>
      </c>
      <c r="C1583" s="4"/>
      <c r="D1583" s="4"/>
      <c r="E1583" s="4"/>
      <c r="BR1583" s="8"/>
    </row>
    <row r="1584" spans="1:70" ht="12.5">
      <c r="A1584" s="4" t="str">
        <v xml:space="preserve"> </v>
      </c>
      <c r="C1584" s="4"/>
      <c r="D1584" s="4"/>
      <c r="E1584" s="4"/>
      <c r="BR1584" s="8"/>
    </row>
    <row r="1585" spans="1:70" ht="12.5">
      <c r="A1585" s="4" t="str">
        <v xml:space="preserve"> </v>
      </c>
      <c r="C1585" s="4"/>
      <c r="D1585" s="4"/>
      <c r="E1585" s="4"/>
      <c r="BR1585" s="8"/>
    </row>
    <row r="1586" spans="1:70" ht="12.5">
      <c r="A1586" s="4" t="str">
        <v xml:space="preserve"> </v>
      </c>
      <c r="C1586" s="4"/>
      <c r="D1586" s="4"/>
      <c r="E1586" s="4"/>
      <c r="BR1586" s="8"/>
    </row>
    <row r="1587" spans="1:70" ht="12.5">
      <c r="A1587" s="4" t="str">
        <v xml:space="preserve"> </v>
      </c>
      <c r="C1587" s="4"/>
      <c r="D1587" s="4"/>
      <c r="E1587" s="4"/>
      <c r="BR1587" s="8"/>
    </row>
    <row r="1588" spans="1:70" ht="12.5">
      <c r="A1588" s="4" t="str">
        <v xml:space="preserve"> </v>
      </c>
      <c r="C1588" s="4"/>
      <c r="D1588" s="4"/>
      <c r="E1588" s="4"/>
      <c r="BR1588" s="8"/>
    </row>
    <row r="1589" spans="1:70" ht="12.5">
      <c r="A1589" s="4" t="str">
        <v xml:space="preserve"> </v>
      </c>
      <c r="C1589" s="4"/>
      <c r="D1589" s="4"/>
      <c r="E1589" s="4"/>
      <c r="BR1589" s="8"/>
    </row>
    <row r="1590" spans="1:70" ht="12.5">
      <c r="A1590" s="4" t="str">
        <v xml:space="preserve"> </v>
      </c>
      <c r="C1590" s="4"/>
      <c r="D1590" s="4"/>
      <c r="E1590" s="4"/>
      <c r="BR1590" s="8"/>
    </row>
    <row r="1591" spans="1:70" ht="12.5">
      <c r="A1591" s="4" t="str">
        <v xml:space="preserve"> </v>
      </c>
      <c r="C1591" s="4"/>
      <c r="D1591" s="4"/>
      <c r="E1591" s="4"/>
      <c r="BR1591" s="8"/>
    </row>
    <row r="1592" spans="1:70" ht="12.5">
      <c r="A1592" s="4" t="str">
        <v xml:space="preserve"> </v>
      </c>
      <c r="C1592" s="4"/>
      <c r="D1592" s="4"/>
      <c r="E1592" s="4"/>
      <c r="BR1592" s="8"/>
    </row>
    <row r="1593" spans="1:70" ht="12.5">
      <c r="A1593" s="4" t="str">
        <v xml:space="preserve"> </v>
      </c>
      <c r="C1593" s="4"/>
      <c r="D1593" s="4"/>
      <c r="E1593" s="4"/>
      <c r="BR1593" s="8"/>
    </row>
    <row r="1594" spans="1:70" ht="12.5">
      <c r="A1594" s="4" t="str">
        <v xml:space="preserve"> </v>
      </c>
      <c r="C1594" s="4"/>
      <c r="D1594" s="4"/>
      <c r="E1594" s="4"/>
      <c r="BR1594" s="8"/>
    </row>
    <row r="1595" spans="1:70" ht="12.5">
      <c r="A1595" s="4" t="str">
        <v xml:space="preserve"> </v>
      </c>
      <c r="C1595" s="4"/>
      <c r="D1595" s="4"/>
      <c r="E1595" s="4"/>
      <c r="BR1595" s="8"/>
    </row>
    <row r="1596" spans="1:70" ht="12.5">
      <c r="A1596" s="4" t="str">
        <v xml:space="preserve"> </v>
      </c>
      <c r="C1596" s="4"/>
      <c r="D1596" s="4"/>
      <c r="E1596" s="4"/>
      <c r="BR1596" s="8"/>
    </row>
    <row r="1597" spans="1:70" ht="12.5">
      <c r="A1597" s="4" t="str">
        <v xml:space="preserve"> </v>
      </c>
      <c r="C1597" s="4"/>
      <c r="D1597" s="4"/>
      <c r="E1597" s="4"/>
      <c r="BR1597" s="8"/>
    </row>
    <row r="1598" spans="1:70" ht="12.5">
      <c r="A1598" s="4" t="str">
        <v xml:space="preserve"> </v>
      </c>
      <c r="C1598" s="4"/>
      <c r="D1598" s="4"/>
      <c r="E1598" s="4"/>
      <c r="BR1598" s="8"/>
    </row>
    <row r="1599" spans="1:70" ht="12.5">
      <c r="A1599" s="4" t="str">
        <v xml:space="preserve"> </v>
      </c>
      <c r="C1599" s="4"/>
      <c r="D1599" s="4"/>
      <c r="E1599" s="4"/>
      <c r="BR1599" s="8"/>
    </row>
    <row r="1600" spans="1:70" ht="12.5">
      <c r="A1600" s="4" t="str">
        <v xml:space="preserve"> </v>
      </c>
      <c r="C1600" s="4"/>
      <c r="D1600" s="4"/>
      <c r="E1600" s="4"/>
      <c r="BR1600" s="8"/>
    </row>
    <row r="1601" spans="1:70" ht="12.5">
      <c r="A1601" s="4" t="str">
        <v xml:space="preserve"> </v>
      </c>
      <c r="C1601" s="4"/>
      <c r="D1601" s="4"/>
      <c r="E1601" s="4"/>
      <c r="BR1601" s="8"/>
    </row>
    <row r="1602" spans="1:70" ht="12.5">
      <c r="A1602" s="4" t="str">
        <v xml:space="preserve"> </v>
      </c>
      <c r="C1602" s="4"/>
      <c r="D1602" s="4"/>
      <c r="E1602" s="4"/>
      <c r="BR1602" s="8"/>
    </row>
    <row r="1603" spans="1:70" ht="12.5">
      <c r="A1603" s="4" t="str">
        <v xml:space="preserve"> </v>
      </c>
      <c r="C1603" s="4"/>
      <c r="D1603" s="4"/>
      <c r="E1603" s="4"/>
      <c r="BR1603" s="8"/>
    </row>
    <row r="1604" spans="1:70" ht="12.5">
      <c r="A1604" s="4" t="str">
        <v xml:space="preserve"> </v>
      </c>
      <c r="C1604" s="4"/>
      <c r="D1604" s="4"/>
      <c r="E1604" s="4"/>
      <c r="BR1604" s="8"/>
    </row>
    <row r="1605" spans="1:70" ht="12.5">
      <c r="A1605" s="4" t="str">
        <v xml:space="preserve"> </v>
      </c>
      <c r="C1605" s="4"/>
      <c r="D1605" s="4"/>
      <c r="E1605" s="4"/>
      <c r="BR1605" s="8"/>
    </row>
    <row r="1606" spans="1:70" ht="12.5">
      <c r="A1606" s="4" t="str">
        <v xml:space="preserve"> </v>
      </c>
      <c r="C1606" s="4"/>
      <c r="D1606" s="4"/>
      <c r="E1606" s="4"/>
      <c r="BR1606" s="8"/>
    </row>
    <row r="1607" spans="1:70" ht="12.5">
      <c r="A1607" s="4" t="str">
        <v xml:space="preserve"> </v>
      </c>
      <c r="C1607" s="4"/>
      <c r="D1607" s="4"/>
      <c r="E1607" s="4"/>
      <c r="BR1607" s="8"/>
    </row>
    <row r="1608" spans="1:70" ht="12.5">
      <c r="A1608" s="4" t="str">
        <v xml:space="preserve"> </v>
      </c>
      <c r="C1608" s="4"/>
      <c r="D1608" s="4"/>
      <c r="E1608" s="4"/>
      <c r="BR1608" s="8"/>
    </row>
    <row r="1609" spans="1:70" ht="12.5">
      <c r="A1609" s="4" t="str">
        <v xml:space="preserve"> </v>
      </c>
      <c r="C1609" s="4"/>
      <c r="D1609" s="4"/>
      <c r="E1609" s="4"/>
      <c r="BR1609" s="8"/>
    </row>
    <row r="1610" spans="1:70" ht="12.5">
      <c r="A1610" s="4" t="str">
        <v xml:space="preserve"> </v>
      </c>
      <c r="C1610" s="4"/>
      <c r="D1610" s="4"/>
      <c r="E1610" s="4"/>
      <c r="BR1610" s="8"/>
    </row>
    <row r="1611" spans="1:70" ht="12.5">
      <c r="A1611" s="4" t="str">
        <v xml:space="preserve"> </v>
      </c>
      <c r="C1611" s="4"/>
      <c r="D1611" s="4"/>
      <c r="E1611" s="4"/>
      <c r="BR1611" s="8"/>
    </row>
    <row r="1612" spans="1:70" ht="12.5">
      <c r="A1612" s="4" t="str">
        <v xml:space="preserve"> </v>
      </c>
      <c r="C1612" s="4"/>
      <c r="D1612" s="4"/>
      <c r="E1612" s="4"/>
      <c r="BR1612" s="8"/>
    </row>
    <row r="1613" spans="1:70" ht="12.5">
      <c r="A1613" s="4" t="str">
        <v xml:space="preserve"> </v>
      </c>
      <c r="C1613" s="4"/>
      <c r="D1613" s="4"/>
      <c r="E1613" s="4"/>
      <c r="BR1613" s="8"/>
    </row>
    <row r="1614" spans="1:70" ht="12.5">
      <c r="A1614" s="4" t="str">
        <v xml:space="preserve"> </v>
      </c>
      <c r="C1614" s="4"/>
      <c r="D1614" s="4"/>
      <c r="E1614" s="4"/>
      <c r="BR1614" s="8"/>
    </row>
    <row r="1615" spans="1:70" ht="12.5">
      <c r="A1615" s="4" t="str">
        <v xml:space="preserve"> </v>
      </c>
      <c r="C1615" s="4"/>
      <c r="D1615" s="4"/>
      <c r="E1615" s="4"/>
      <c r="BR1615" s="8"/>
    </row>
    <row r="1616" spans="1:70" ht="12.5">
      <c r="A1616" s="4" t="str">
        <v xml:space="preserve"> </v>
      </c>
      <c r="C1616" s="4"/>
      <c r="D1616" s="4"/>
      <c r="E1616" s="4"/>
      <c r="BR1616" s="8"/>
    </row>
    <row r="1617" spans="1:70" ht="12.5">
      <c r="A1617" s="4" t="str">
        <v xml:space="preserve"> </v>
      </c>
      <c r="C1617" s="4"/>
      <c r="D1617" s="4"/>
      <c r="E1617" s="4"/>
      <c r="BR1617" s="8"/>
    </row>
    <row r="1618" spans="1:70" ht="12.5">
      <c r="A1618" s="4" t="str">
        <v xml:space="preserve"> </v>
      </c>
      <c r="C1618" s="4"/>
      <c r="D1618" s="4"/>
      <c r="E1618" s="4"/>
      <c r="BR1618" s="8"/>
    </row>
    <row r="1619" spans="1:70" ht="12.5">
      <c r="A1619" s="4" t="str">
        <v xml:space="preserve"> </v>
      </c>
      <c r="C1619" s="4"/>
      <c r="D1619" s="4"/>
      <c r="E1619" s="4"/>
      <c r="BR1619" s="8"/>
    </row>
    <row r="1620" spans="1:70" ht="12.5">
      <c r="A1620" s="4" t="str">
        <v xml:space="preserve"> </v>
      </c>
      <c r="C1620" s="4"/>
      <c r="D1620" s="4"/>
      <c r="E1620" s="4"/>
      <c r="BR1620" s="8"/>
    </row>
    <row r="1621" spans="1:70" ht="12.5">
      <c r="A1621" s="4" t="str">
        <v xml:space="preserve"> </v>
      </c>
      <c r="C1621" s="4"/>
      <c r="D1621" s="4"/>
      <c r="E1621" s="4"/>
      <c r="BR1621" s="8"/>
    </row>
    <row r="1622" spans="1:70" ht="12.5">
      <c r="A1622" s="4" t="str">
        <v xml:space="preserve"> </v>
      </c>
      <c r="C1622" s="4"/>
      <c r="D1622" s="4"/>
      <c r="E1622" s="4"/>
      <c r="BR1622" s="8"/>
    </row>
    <row r="1623" spans="1:70" ht="12.5">
      <c r="A1623" s="4" t="str">
        <v xml:space="preserve"> </v>
      </c>
      <c r="C1623" s="4"/>
      <c r="D1623" s="4"/>
      <c r="E1623" s="4"/>
      <c r="BR1623" s="8"/>
    </row>
    <row r="1624" spans="1:70" ht="12.5">
      <c r="A1624" s="4" t="str">
        <v xml:space="preserve"> </v>
      </c>
      <c r="C1624" s="4"/>
      <c r="D1624" s="4"/>
      <c r="E1624" s="4"/>
      <c r="BR1624" s="8"/>
    </row>
    <row r="1625" spans="1:70" ht="12.5">
      <c r="A1625" s="4" t="str">
        <v xml:space="preserve"> </v>
      </c>
      <c r="C1625" s="4"/>
      <c r="D1625" s="4"/>
      <c r="E1625" s="4"/>
      <c r="BR1625" s="8"/>
    </row>
    <row r="1626" spans="1:70" ht="12.5">
      <c r="A1626" s="4" t="str">
        <v xml:space="preserve"> </v>
      </c>
      <c r="C1626" s="4"/>
      <c r="D1626" s="4"/>
      <c r="E1626" s="4"/>
      <c r="BR1626" s="8"/>
    </row>
    <row r="1627" spans="1:70" ht="12.5">
      <c r="A1627" s="4" t="str">
        <v xml:space="preserve"> </v>
      </c>
      <c r="C1627" s="4"/>
      <c r="D1627" s="4"/>
      <c r="E1627" s="4"/>
      <c r="BR1627" s="8"/>
    </row>
    <row r="1628" spans="1:70" ht="12.5">
      <c r="A1628" s="4" t="str">
        <v xml:space="preserve"> </v>
      </c>
      <c r="C1628" s="4"/>
      <c r="D1628" s="4"/>
      <c r="E1628" s="4"/>
      <c r="BR1628" s="8"/>
    </row>
    <row r="1629" spans="1:70" ht="12.5">
      <c r="A1629" s="4" t="str">
        <v xml:space="preserve"> </v>
      </c>
      <c r="C1629" s="4"/>
      <c r="D1629" s="4"/>
      <c r="E1629" s="4"/>
      <c r="BR1629" s="8"/>
    </row>
    <row r="1630" spans="1:70" ht="12.5">
      <c r="A1630" s="4" t="str">
        <v xml:space="preserve"> </v>
      </c>
      <c r="C1630" s="4"/>
      <c r="D1630" s="4"/>
      <c r="E1630" s="4"/>
      <c r="BR1630" s="8"/>
    </row>
    <row r="1631" spans="1:70" ht="12.5">
      <c r="A1631" s="4" t="str">
        <v xml:space="preserve"> </v>
      </c>
      <c r="C1631" s="4"/>
      <c r="D1631" s="4"/>
      <c r="E1631" s="4"/>
      <c r="BR1631" s="8"/>
    </row>
    <row r="1632" spans="1:70" ht="12.5">
      <c r="A1632" s="4" t="str">
        <v xml:space="preserve"> </v>
      </c>
      <c r="C1632" s="4"/>
      <c r="D1632" s="4"/>
      <c r="E1632" s="4"/>
      <c r="BR1632" s="8"/>
    </row>
    <row r="1633" spans="1:70" ht="12.5">
      <c r="A1633" s="4" t="str">
        <v xml:space="preserve"> </v>
      </c>
      <c r="C1633" s="4"/>
      <c r="D1633" s="4"/>
      <c r="E1633" s="4"/>
      <c r="BR1633" s="8"/>
    </row>
    <row r="1634" spans="1:70" ht="12.5">
      <c r="A1634" s="4" t="str">
        <v xml:space="preserve"> </v>
      </c>
      <c r="C1634" s="4"/>
      <c r="D1634" s="4"/>
      <c r="E1634" s="4"/>
      <c r="BR1634" s="8"/>
    </row>
    <row r="1635" spans="1:70" ht="12.5">
      <c r="A1635" s="4" t="str">
        <v xml:space="preserve"> </v>
      </c>
      <c r="C1635" s="4"/>
      <c r="D1635" s="4"/>
      <c r="E1635" s="4"/>
      <c r="BR1635" s="8"/>
    </row>
    <row r="1636" spans="1:70" ht="12.5">
      <c r="A1636" s="4" t="str">
        <v xml:space="preserve"> </v>
      </c>
      <c r="C1636" s="4"/>
      <c r="D1636" s="4"/>
      <c r="E1636" s="4"/>
      <c r="BR1636" s="8"/>
    </row>
    <row r="1637" spans="1:70" ht="12.5">
      <c r="A1637" s="4" t="str">
        <v xml:space="preserve"> </v>
      </c>
      <c r="C1637" s="4"/>
      <c r="D1637" s="4"/>
      <c r="E1637" s="4"/>
      <c r="BR1637" s="8"/>
    </row>
    <row r="1638" spans="1:70" ht="12.5">
      <c r="A1638" s="4" t="str">
        <v xml:space="preserve"> </v>
      </c>
      <c r="C1638" s="4"/>
      <c r="D1638" s="4"/>
      <c r="E1638" s="4"/>
      <c r="BR1638" s="8"/>
    </row>
    <row r="1639" spans="1:70" ht="12.5">
      <c r="A1639" s="4" t="str">
        <v xml:space="preserve"> </v>
      </c>
      <c r="C1639" s="4"/>
      <c r="D1639" s="4"/>
      <c r="E1639" s="4"/>
      <c r="BR1639" s="8"/>
    </row>
    <row r="1640" spans="1:70" ht="12.5">
      <c r="A1640" s="4" t="str">
        <v xml:space="preserve"> </v>
      </c>
      <c r="C1640" s="4"/>
      <c r="D1640" s="4"/>
      <c r="E1640" s="4"/>
      <c r="BR1640" s="8"/>
    </row>
    <row r="1641" spans="1:70" ht="12.5">
      <c r="A1641" s="4" t="str">
        <v xml:space="preserve"> </v>
      </c>
      <c r="C1641" s="4"/>
      <c r="D1641" s="4"/>
      <c r="E1641" s="4"/>
      <c r="BR1641" s="8"/>
    </row>
    <row r="1642" spans="1:70" ht="12.5">
      <c r="A1642" s="4" t="str">
        <v xml:space="preserve"> </v>
      </c>
      <c r="C1642" s="4"/>
      <c r="D1642" s="4"/>
      <c r="E1642" s="4"/>
      <c r="BR1642" s="8"/>
    </row>
    <row r="1643" spans="1:70" ht="12.5">
      <c r="A1643" s="4" t="str">
        <v xml:space="preserve"> </v>
      </c>
      <c r="C1643" s="4"/>
      <c r="D1643" s="4"/>
      <c r="E1643" s="4"/>
      <c r="BR1643" s="8"/>
    </row>
    <row r="1644" spans="1:70" ht="12.5">
      <c r="A1644" s="4" t="str">
        <v xml:space="preserve"> </v>
      </c>
      <c r="C1644" s="4"/>
      <c r="D1644" s="4"/>
      <c r="E1644" s="4"/>
      <c r="BR1644" s="8"/>
    </row>
    <row r="1645" spans="1:70" ht="12.5">
      <c r="A1645" s="4" t="str">
        <v xml:space="preserve"> </v>
      </c>
      <c r="C1645" s="4"/>
      <c r="D1645" s="4"/>
      <c r="E1645" s="4"/>
      <c r="BR1645" s="8"/>
    </row>
    <row r="1646" spans="1:70" ht="12.5">
      <c r="A1646" s="4" t="str">
        <v xml:space="preserve"> </v>
      </c>
      <c r="C1646" s="4"/>
      <c r="D1646" s="4"/>
      <c r="E1646" s="4"/>
      <c r="BR1646" s="8"/>
    </row>
    <row r="1647" spans="1:70" ht="12.5">
      <c r="A1647" s="4" t="str">
        <v xml:space="preserve"> </v>
      </c>
      <c r="C1647" s="4"/>
      <c r="D1647" s="4"/>
      <c r="E1647" s="4"/>
      <c r="BR1647" s="8"/>
    </row>
    <row r="1648" spans="1:70" ht="12.5">
      <c r="A1648" s="4" t="str">
        <v xml:space="preserve"> </v>
      </c>
      <c r="C1648" s="4"/>
      <c r="D1648" s="4"/>
      <c r="E1648" s="4"/>
      <c r="BR1648" s="8"/>
    </row>
    <row r="1649" spans="1:70" ht="12.5">
      <c r="A1649" s="4" t="str">
        <v xml:space="preserve"> </v>
      </c>
      <c r="C1649" s="4"/>
      <c r="D1649" s="4"/>
      <c r="E1649" s="4"/>
      <c r="BR1649" s="8"/>
    </row>
    <row r="1650" spans="1:70" ht="12.5">
      <c r="A1650" s="4" t="str">
        <v xml:space="preserve"> </v>
      </c>
      <c r="C1650" s="4"/>
      <c r="D1650" s="4"/>
      <c r="E1650" s="4"/>
      <c r="BR1650" s="8"/>
    </row>
    <row r="1651" spans="1:70" ht="12.5">
      <c r="A1651" s="4" t="str">
        <v xml:space="preserve"> </v>
      </c>
      <c r="C1651" s="4"/>
      <c r="D1651" s="4"/>
      <c r="E1651" s="4"/>
      <c r="BR1651" s="8"/>
    </row>
    <row r="1652" spans="1:70" ht="12.5">
      <c r="A1652" s="4" t="str">
        <v xml:space="preserve"> </v>
      </c>
      <c r="C1652" s="4"/>
      <c r="D1652" s="4"/>
      <c r="E1652" s="4"/>
      <c r="BR1652" s="8"/>
    </row>
    <row r="1653" spans="1:70" ht="12.5">
      <c r="A1653" s="4" t="str">
        <v xml:space="preserve"> </v>
      </c>
      <c r="C1653" s="4"/>
      <c r="D1653" s="4"/>
      <c r="E1653" s="4"/>
      <c r="BR1653" s="8"/>
    </row>
    <row r="1654" spans="1:70" ht="12.5">
      <c r="A1654" s="4" t="str">
        <v xml:space="preserve"> </v>
      </c>
      <c r="C1654" s="4"/>
      <c r="D1654" s="4"/>
      <c r="E1654" s="4"/>
      <c r="BR1654" s="8"/>
    </row>
    <row r="1655" spans="1:70" ht="12.5">
      <c r="A1655" s="4" t="str">
        <v xml:space="preserve"> </v>
      </c>
      <c r="C1655" s="4"/>
      <c r="D1655" s="4"/>
      <c r="E1655" s="4"/>
      <c r="BR1655" s="8"/>
    </row>
    <row r="1656" spans="1:70" ht="12.5">
      <c r="A1656" s="4" t="str">
        <v xml:space="preserve"> </v>
      </c>
      <c r="C1656" s="4"/>
      <c r="D1656" s="4"/>
      <c r="E1656" s="4"/>
      <c r="BR1656" s="8"/>
    </row>
    <row r="1657" spans="1:70" ht="12.5">
      <c r="A1657" s="4" t="str">
        <v xml:space="preserve"> </v>
      </c>
      <c r="C1657" s="4"/>
      <c r="D1657" s="4"/>
      <c r="E1657" s="4"/>
      <c r="BR1657" s="8"/>
    </row>
    <row r="1658" spans="1:70" ht="12.5">
      <c r="A1658" s="4" t="str">
        <v xml:space="preserve"> </v>
      </c>
      <c r="C1658" s="4"/>
      <c r="D1658" s="4"/>
      <c r="E1658" s="4"/>
      <c r="BR1658" s="8"/>
    </row>
    <row r="1659" spans="1:70" ht="12.5">
      <c r="A1659" s="4" t="str">
        <v xml:space="preserve"> </v>
      </c>
      <c r="C1659" s="4"/>
      <c r="D1659" s="4"/>
      <c r="E1659" s="4"/>
      <c r="BR1659" s="8"/>
    </row>
    <row r="1660" spans="1:70" ht="12.5">
      <c r="A1660" s="4" t="str">
        <v xml:space="preserve"> </v>
      </c>
      <c r="C1660" s="4"/>
      <c r="D1660" s="4"/>
      <c r="E1660" s="4"/>
      <c r="BR1660" s="8"/>
    </row>
    <row r="1661" spans="1:70" ht="12.5">
      <c r="A1661" s="4" t="str">
        <v xml:space="preserve"> </v>
      </c>
      <c r="C1661" s="4"/>
      <c r="D1661" s="4"/>
      <c r="E1661" s="4"/>
      <c r="BR1661" s="8"/>
    </row>
    <row r="1662" spans="1:70" ht="12.5">
      <c r="A1662" s="4" t="str">
        <v xml:space="preserve"> </v>
      </c>
      <c r="C1662" s="4"/>
      <c r="D1662" s="4"/>
      <c r="E1662" s="4"/>
      <c r="BR1662" s="8"/>
    </row>
    <row r="1663" spans="1:70" ht="12.5">
      <c r="A1663" s="4" t="str">
        <v xml:space="preserve"> </v>
      </c>
      <c r="C1663" s="4"/>
      <c r="D1663" s="4"/>
      <c r="E1663" s="4"/>
      <c r="BR1663" s="8"/>
    </row>
    <row r="1664" spans="1:70" ht="12.5">
      <c r="A1664" s="4" t="str">
        <v xml:space="preserve"> </v>
      </c>
      <c r="C1664" s="4"/>
      <c r="D1664" s="4"/>
      <c r="E1664" s="4"/>
      <c r="BR1664" s="8"/>
    </row>
    <row r="1665" spans="1:70" ht="12.5">
      <c r="A1665" s="4" t="str">
        <v xml:space="preserve"> </v>
      </c>
      <c r="C1665" s="4"/>
      <c r="D1665" s="4"/>
      <c r="E1665" s="4"/>
      <c r="BR1665" s="8"/>
    </row>
    <row r="1666" spans="1:70" ht="12.5">
      <c r="A1666" s="4" t="str">
        <v xml:space="preserve"> </v>
      </c>
      <c r="C1666" s="4"/>
      <c r="D1666" s="4"/>
      <c r="E1666" s="4"/>
      <c r="BR1666" s="8"/>
    </row>
    <row r="1667" spans="1:70" ht="12.5">
      <c r="A1667" s="4" t="str">
        <v xml:space="preserve"> </v>
      </c>
      <c r="C1667" s="4"/>
      <c r="D1667" s="4"/>
      <c r="E1667" s="4"/>
      <c r="BR1667" s="8"/>
    </row>
    <row r="1668" spans="1:70" ht="12.5">
      <c r="A1668" s="4" t="str">
        <v xml:space="preserve"> </v>
      </c>
      <c r="C1668" s="4"/>
      <c r="D1668" s="4"/>
      <c r="E1668" s="4"/>
      <c r="BR1668" s="8"/>
    </row>
    <row r="1669" spans="1:70" ht="12.5">
      <c r="A1669" s="4" t="str">
        <v xml:space="preserve"> </v>
      </c>
      <c r="C1669" s="4"/>
      <c r="D1669" s="4"/>
      <c r="E1669" s="4"/>
      <c r="BR1669" s="8"/>
    </row>
    <row r="1670" spans="1:70" ht="12.5">
      <c r="A1670" s="4" t="str">
        <v xml:space="preserve"> </v>
      </c>
      <c r="C1670" s="4"/>
      <c r="D1670" s="4"/>
      <c r="E1670" s="4"/>
      <c r="BR1670" s="8"/>
    </row>
    <row r="1671" spans="1:70" ht="12.5">
      <c r="A1671" s="4" t="str">
        <v xml:space="preserve"> </v>
      </c>
      <c r="C1671" s="4"/>
      <c r="D1671" s="4"/>
      <c r="E1671" s="4"/>
      <c r="BR1671" s="8"/>
    </row>
    <row r="1672" spans="1:70" ht="12.5">
      <c r="A1672" s="4" t="str">
        <v xml:space="preserve"> </v>
      </c>
      <c r="C1672" s="4"/>
      <c r="D1672" s="4"/>
      <c r="E1672" s="4"/>
      <c r="BR1672" s="8"/>
    </row>
    <row r="1673" spans="1:70" ht="12.5">
      <c r="A1673" s="4" t="str">
        <v xml:space="preserve"> </v>
      </c>
      <c r="C1673" s="4"/>
      <c r="D1673" s="4"/>
      <c r="E1673" s="4"/>
      <c r="BR1673" s="8"/>
    </row>
    <row r="1674" spans="1:70" ht="12.5">
      <c r="A1674" s="4" t="str">
        <v xml:space="preserve"> </v>
      </c>
      <c r="C1674" s="4"/>
      <c r="D1674" s="4"/>
      <c r="E1674" s="4"/>
      <c r="BR1674" s="8"/>
    </row>
    <row r="1675" spans="1:70" ht="12.5">
      <c r="A1675" s="4" t="str">
        <v xml:space="preserve"> </v>
      </c>
      <c r="C1675" s="4"/>
      <c r="D1675" s="4"/>
      <c r="E1675" s="4"/>
      <c r="BR1675" s="8"/>
    </row>
    <row r="1676" spans="1:70" ht="12.5">
      <c r="A1676" s="4" t="str">
        <v xml:space="preserve"> </v>
      </c>
      <c r="C1676" s="4"/>
      <c r="D1676" s="4"/>
      <c r="E1676" s="4"/>
      <c r="BR1676" s="8"/>
    </row>
    <row r="1677" spans="1:70" ht="12.5">
      <c r="A1677" s="4" t="str">
        <v xml:space="preserve"> </v>
      </c>
      <c r="C1677" s="4"/>
      <c r="D1677" s="4"/>
      <c r="E1677" s="4"/>
      <c r="BR1677" s="8"/>
    </row>
    <row r="1678" spans="1:70" ht="12.5">
      <c r="A1678" s="4" t="str">
        <v xml:space="preserve"> </v>
      </c>
      <c r="C1678" s="4"/>
      <c r="D1678" s="4"/>
      <c r="E1678" s="4"/>
      <c r="BR1678" s="8"/>
    </row>
    <row r="1679" spans="1:70" ht="12.5">
      <c r="A1679" s="4" t="str">
        <v xml:space="preserve"> </v>
      </c>
      <c r="C1679" s="4"/>
      <c r="D1679" s="4"/>
      <c r="E1679" s="4"/>
      <c r="BR1679" s="8"/>
    </row>
    <row r="1680" spans="1:70" ht="12.5">
      <c r="A1680" s="4" t="str">
        <v xml:space="preserve"> </v>
      </c>
      <c r="C1680" s="4"/>
      <c r="D1680" s="4"/>
      <c r="E1680" s="4"/>
      <c r="BR1680" s="8"/>
    </row>
    <row r="1681" spans="1:70" ht="12.5">
      <c r="A1681" s="4" t="str">
        <v xml:space="preserve"> </v>
      </c>
      <c r="C1681" s="4"/>
      <c r="D1681" s="4"/>
      <c r="E1681" s="4"/>
      <c r="BR1681" s="8"/>
    </row>
    <row r="1682" spans="1:70" ht="12.5">
      <c r="A1682" s="4" t="str">
        <v xml:space="preserve"> </v>
      </c>
      <c r="C1682" s="4"/>
      <c r="D1682" s="4"/>
      <c r="E1682" s="4"/>
      <c r="BR1682" s="8"/>
    </row>
    <row r="1683" spans="1:70" ht="12.5">
      <c r="A1683" s="4" t="str">
        <v xml:space="preserve"> </v>
      </c>
      <c r="C1683" s="4"/>
      <c r="D1683" s="4"/>
      <c r="E1683" s="4"/>
      <c r="BR1683" s="8"/>
    </row>
    <row r="1684" spans="1:70" ht="12.5">
      <c r="A1684" s="4" t="str">
        <v xml:space="preserve"> </v>
      </c>
      <c r="C1684" s="4"/>
      <c r="D1684" s="4"/>
      <c r="E1684" s="4"/>
      <c r="BR1684" s="8"/>
    </row>
    <row r="1685" spans="1:70" ht="12.5">
      <c r="A1685" s="4" t="str">
        <v xml:space="preserve"> </v>
      </c>
      <c r="C1685" s="4"/>
      <c r="D1685" s="4"/>
      <c r="E1685" s="4"/>
      <c r="BR1685" s="8"/>
    </row>
    <row r="1686" spans="1:70" ht="12.5">
      <c r="A1686" s="4" t="str">
        <v xml:space="preserve"> </v>
      </c>
      <c r="C1686" s="4"/>
      <c r="D1686" s="4"/>
      <c r="E1686" s="4"/>
      <c r="BR1686" s="8"/>
    </row>
    <row r="1687" spans="1:70" ht="12.5">
      <c r="A1687" s="4" t="str">
        <v xml:space="preserve"> </v>
      </c>
      <c r="C1687" s="4"/>
      <c r="D1687" s="4"/>
      <c r="E1687" s="4"/>
      <c r="BR1687" s="8"/>
    </row>
    <row r="1688" spans="1:70" ht="12.5">
      <c r="A1688" s="4" t="str">
        <v xml:space="preserve"> </v>
      </c>
      <c r="C1688" s="4"/>
      <c r="D1688" s="4"/>
      <c r="E1688" s="4"/>
      <c r="BR1688" s="8"/>
    </row>
    <row r="1689" spans="1:70" ht="12.5">
      <c r="A1689" s="4" t="str">
        <v xml:space="preserve"> </v>
      </c>
      <c r="C1689" s="4"/>
      <c r="D1689" s="4"/>
      <c r="E1689" s="4"/>
      <c r="BR1689" s="8"/>
    </row>
    <row r="1690" spans="1:70" ht="12.5">
      <c r="A1690" s="4" t="str">
        <v xml:space="preserve"> </v>
      </c>
      <c r="C1690" s="4"/>
      <c r="D1690" s="4"/>
      <c r="E1690" s="4"/>
      <c r="BR1690" s="8"/>
    </row>
    <row r="1691" spans="1:70" ht="12.5">
      <c r="A1691" s="4" t="str">
        <v xml:space="preserve"> </v>
      </c>
      <c r="C1691" s="4"/>
      <c r="D1691" s="4"/>
      <c r="E1691" s="4"/>
      <c r="BR1691" s="8"/>
    </row>
    <row r="1692" spans="1:70" ht="12.5">
      <c r="A1692" s="4" t="str">
        <v xml:space="preserve"> </v>
      </c>
      <c r="C1692" s="4"/>
      <c r="D1692" s="4"/>
      <c r="E1692" s="4"/>
      <c r="BR1692" s="8"/>
    </row>
    <row r="1693" spans="1:70" ht="12.5">
      <c r="A1693" s="4" t="str">
        <v xml:space="preserve"> </v>
      </c>
      <c r="C1693" s="4"/>
      <c r="D1693" s="4"/>
      <c r="E1693" s="4"/>
      <c r="BR1693" s="8"/>
    </row>
    <row r="1694" spans="1:70" ht="12.5">
      <c r="A1694" s="4" t="str">
        <v xml:space="preserve"> </v>
      </c>
      <c r="C1694" s="4"/>
      <c r="D1694" s="4"/>
      <c r="E1694" s="4"/>
      <c r="BR1694" s="8"/>
    </row>
    <row r="1695" spans="1:70" ht="12.5">
      <c r="A1695" s="4" t="str">
        <v xml:space="preserve"> </v>
      </c>
      <c r="C1695" s="4"/>
      <c r="D1695" s="4"/>
      <c r="E1695" s="4"/>
      <c r="BR1695" s="8"/>
    </row>
    <row r="1696" spans="1:70" ht="12.5">
      <c r="A1696" s="4" t="str">
        <v xml:space="preserve"> </v>
      </c>
      <c r="C1696" s="4"/>
      <c r="D1696" s="4"/>
      <c r="E1696" s="4"/>
      <c r="BR1696" s="8"/>
    </row>
    <row r="1697" spans="1:70" ht="12.5">
      <c r="A1697" s="4" t="str">
        <v xml:space="preserve"> </v>
      </c>
      <c r="C1697" s="4"/>
      <c r="D1697" s="4"/>
      <c r="E1697" s="4"/>
      <c r="BR1697" s="8"/>
    </row>
    <row r="1698" spans="1:70" ht="12.5">
      <c r="A1698" s="4" t="str">
        <v xml:space="preserve"> </v>
      </c>
      <c r="D1698" s="4"/>
      <c r="E1698" s="4"/>
      <c r="BR1698" s="8"/>
    </row>
    <row r="1699" spans="1:70" ht="12.5">
      <c r="A1699" s="4" t="str">
        <v xml:space="preserve"> </v>
      </c>
      <c r="D1699" s="4"/>
      <c r="E1699" s="4"/>
      <c r="BR1699" s="8"/>
    </row>
    <row r="1700" spans="1:70" ht="12.5">
      <c r="A1700" s="4" t="str">
        <v xml:space="preserve"> </v>
      </c>
      <c r="D1700" s="4"/>
      <c r="E1700" s="4"/>
      <c r="BR1700" s="8"/>
    </row>
    <row r="1701" spans="1:70" ht="12.5">
      <c r="A1701" s="4" t="str">
        <v xml:space="preserve"> </v>
      </c>
      <c r="D1701" s="4"/>
      <c r="E1701" s="4"/>
      <c r="BR1701" s="8"/>
    </row>
    <row r="1702" spans="1:70" ht="12.5">
      <c r="A1702" s="4" t="str">
        <v xml:space="preserve"> </v>
      </c>
      <c r="D1702" s="4"/>
      <c r="E1702" s="4"/>
      <c r="BR1702" s="8"/>
    </row>
    <row r="1703" spans="1:70" ht="12.5">
      <c r="A1703" s="4" t="str">
        <v xml:space="preserve"> </v>
      </c>
      <c r="D1703" s="4"/>
      <c r="E1703" s="4"/>
      <c r="BR1703" s="8"/>
    </row>
    <row r="1704" spans="1:70" ht="12.5">
      <c r="A1704" s="4" t="str">
        <v xml:space="preserve"> </v>
      </c>
      <c r="D1704" s="4"/>
      <c r="E1704" s="4"/>
      <c r="BR1704" s="8"/>
    </row>
    <row r="1705" spans="1:70" ht="12.5">
      <c r="A1705" s="4" t="str">
        <v xml:space="preserve"> </v>
      </c>
      <c r="D1705" s="4"/>
      <c r="E1705" s="4"/>
      <c r="BR1705" s="8"/>
    </row>
  </sheetData>
  <hyperlinks>
    <hyperlink ref="BP3" r:id="rId1" xr:uid="{00000000-0004-0000-0200-000000000000}"/>
    <hyperlink ref="BP4" r:id="rId2" xr:uid="{00000000-0004-0000-0200-000001000000}"/>
    <hyperlink ref="BP5" r:id="rId3" xr:uid="{00000000-0004-0000-0200-000002000000}"/>
    <hyperlink ref="BP6" r:id="rId4" xr:uid="{00000000-0004-0000-0200-000003000000}"/>
    <hyperlink ref="BP7" r:id="rId5" xr:uid="{00000000-0004-0000-0200-000004000000}"/>
    <hyperlink ref="BP8" r:id="rId6" xr:uid="{00000000-0004-0000-0200-000005000000}"/>
    <hyperlink ref="BP9" r:id="rId7" xr:uid="{00000000-0004-0000-0200-000006000000}"/>
    <hyperlink ref="BP10" r:id="rId8" xr:uid="{00000000-0004-0000-0200-000007000000}"/>
    <hyperlink ref="BP11" r:id="rId9" xr:uid="{00000000-0004-0000-0200-000008000000}"/>
    <hyperlink ref="BP12" r:id="rId10" xr:uid="{00000000-0004-0000-0200-000009000000}"/>
    <hyperlink ref="BP13" r:id="rId11" xr:uid="{00000000-0004-0000-0200-00000A000000}"/>
    <hyperlink ref="BP14" r:id="rId12" xr:uid="{00000000-0004-0000-0200-00000B000000}"/>
    <hyperlink ref="BP15" r:id="rId13" xr:uid="{00000000-0004-0000-0200-00000C000000}"/>
    <hyperlink ref="BP16" r:id="rId14" xr:uid="{00000000-0004-0000-0200-00000D000000}"/>
    <hyperlink ref="BP17" r:id="rId15" xr:uid="{00000000-0004-0000-0200-00000E000000}"/>
    <hyperlink ref="BP18" r:id="rId16" xr:uid="{00000000-0004-0000-0200-00000F000000}"/>
    <hyperlink ref="BP19" r:id="rId17" xr:uid="{00000000-0004-0000-0200-000010000000}"/>
    <hyperlink ref="BP20" r:id="rId18" xr:uid="{00000000-0004-0000-0200-000011000000}"/>
    <hyperlink ref="BP21" r:id="rId19" xr:uid="{00000000-0004-0000-0200-000012000000}"/>
    <hyperlink ref="BP22" r:id="rId20" xr:uid="{00000000-0004-0000-0200-000013000000}"/>
    <hyperlink ref="BP23" r:id="rId21" xr:uid="{00000000-0004-0000-0200-000014000000}"/>
    <hyperlink ref="BP24" r:id="rId22" xr:uid="{00000000-0004-0000-0200-000015000000}"/>
    <hyperlink ref="BP25" r:id="rId23" xr:uid="{00000000-0004-0000-0200-000016000000}"/>
    <hyperlink ref="BP26" r:id="rId24" xr:uid="{00000000-0004-0000-0200-000017000000}"/>
    <hyperlink ref="BP27" r:id="rId25" xr:uid="{00000000-0004-0000-0200-000018000000}"/>
    <hyperlink ref="BP28" r:id="rId26" xr:uid="{00000000-0004-0000-0200-000019000000}"/>
    <hyperlink ref="BP29" r:id="rId27" xr:uid="{00000000-0004-0000-0200-00001A000000}"/>
    <hyperlink ref="BP30" r:id="rId28" xr:uid="{00000000-0004-0000-0200-00001B000000}"/>
    <hyperlink ref="BP31" r:id="rId29" xr:uid="{00000000-0004-0000-0200-00001C000000}"/>
    <hyperlink ref="BP32" r:id="rId30" xr:uid="{00000000-0004-0000-0200-00001D000000}"/>
    <hyperlink ref="BP33" r:id="rId31" xr:uid="{00000000-0004-0000-0200-00001E000000}"/>
    <hyperlink ref="BP34" r:id="rId32" xr:uid="{00000000-0004-0000-0200-00001F000000}"/>
    <hyperlink ref="BP35" r:id="rId33" xr:uid="{00000000-0004-0000-0200-000020000000}"/>
    <hyperlink ref="BP36" r:id="rId34" xr:uid="{00000000-0004-0000-0200-000021000000}"/>
    <hyperlink ref="BP37" r:id="rId35" xr:uid="{00000000-0004-0000-0200-000022000000}"/>
    <hyperlink ref="BP38" r:id="rId36" xr:uid="{00000000-0004-0000-0200-000023000000}"/>
    <hyperlink ref="BP39" r:id="rId37" xr:uid="{00000000-0004-0000-0200-000024000000}"/>
    <hyperlink ref="BP40" r:id="rId38" xr:uid="{00000000-0004-0000-0200-000025000000}"/>
    <hyperlink ref="BP41" r:id="rId39" xr:uid="{00000000-0004-0000-0200-000026000000}"/>
    <hyperlink ref="BP42" r:id="rId40" xr:uid="{00000000-0004-0000-0200-000027000000}"/>
    <hyperlink ref="BP43" r:id="rId41" xr:uid="{00000000-0004-0000-0200-000028000000}"/>
    <hyperlink ref="BP44" r:id="rId42" xr:uid="{00000000-0004-0000-0200-000029000000}"/>
    <hyperlink ref="BP45" r:id="rId43" xr:uid="{00000000-0004-0000-0200-00002A000000}"/>
    <hyperlink ref="BP46" r:id="rId44" xr:uid="{00000000-0004-0000-0200-00002B000000}"/>
    <hyperlink ref="BP47" r:id="rId45" xr:uid="{00000000-0004-0000-0200-00002C000000}"/>
    <hyperlink ref="BP48" r:id="rId46" xr:uid="{00000000-0004-0000-0200-00002D000000}"/>
    <hyperlink ref="BP49" r:id="rId47" xr:uid="{00000000-0004-0000-0200-00002E000000}"/>
    <hyperlink ref="BP50" r:id="rId48" xr:uid="{00000000-0004-0000-0200-00002F000000}"/>
    <hyperlink ref="BP51" r:id="rId49" xr:uid="{00000000-0004-0000-0200-000030000000}"/>
    <hyperlink ref="BP52" r:id="rId50" xr:uid="{00000000-0004-0000-0200-000031000000}"/>
    <hyperlink ref="BP53" r:id="rId51" xr:uid="{00000000-0004-0000-0200-000032000000}"/>
    <hyperlink ref="BP54" r:id="rId52" xr:uid="{00000000-0004-0000-0200-000033000000}"/>
    <hyperlink ref="BP55" r:id="rId53" xr:uid="{00000000-0004-0000-0200-000034000000}"/>
    <hyperlink ref="BP56" r:id="rId54" xr:uid="{00000000-0004-0000-0200-000035000000}"/>
    <hyperlink ref="BP57" r:id="rId55" xr:uid="{00000000-0004-0000-0200-000036000000}"/>
    <hyperlink ref="BP58" r:id="rId56" xr:uid="{00000000-0004-0000-0200-000037000000}"/>
    <hyperlink ref="BP59" r:id="rId57" xr:uid="{00000000-0004-0000-0200-000038000000}"/>
    <hyperlink ref="BP60" r:id="rId58" xr:uid="{00000000-0004-0000-0200-000039000000}"/>
    <hyperlink ref="BP61" r:id="rId59" xr:uid="{00000000-0004-0000-0200-00003A000000}"/>
    <hyperlink ref="BP62" r:id="rId60" xr:uid="{00000000-0004-0000-0200-00003B000000}"/>
    <hyperlink ref="BP63" r:id="rId61" xr:uid="{00000000-0004-0000-0200-00003C000000}"/>
    <hyperlink ref="BP64" r:id="rId62" xr:uid="{00000000-0004-0000-0200-00003D000000}"/>
    <hyperlink ref="BP65" r:id="rId63" xr:uid="{00000000-0004-0000-0200-00003E000000}"/>
    <hyperlink ref="BP66" r:id="rId64" xr:uid="{00000000-0004-0000-0200-00003F000000}"/>
    <hyperlink ref="BP67" r:id="rId65" xr:uid="{00000000-0004-0000-0200-000040000000}"/>
    <hyperlink ref="BP68" r:id="rId66" xr:uid="{00000000-0004-0000-0200-000041000000}"/>
    <hyperlink ref="BP69" r:id="rId67" xr:uid="{00000000-0004-0000-0200-000042000000}"/>
    <hyperlink ref="BP70" r:id="rId68" xr:uid="{00000000-0004-0000-0200-000043000000}"/>
    <hyperlink ref="BP71" r:id="rId69" xr:uid="{00000000-0004-0000-0200-000044000000}"/>
    <hyperlink ref="BP72" r:id="rId70" xr:uid="{00000000-0004-0000-0200-000045000000}"/>
    <hyperlink ref="BP73" r:id="rId71" xr:uid="{00000000-0004-0000-0200-000046000000}"/>
    <hyperlink ref="BP74" r:id="rId72" xr:uid="{00000000-0004-0000-0200-000047000000}"/>
    <hyperlink ref="BP75" r:id="rId73" xr:uid="{00000000-0004-0000-0200-000048000000}"/>
    <hyperlink ref="BP76" r:id="rId74" xr:uid="{00000000-0004-0000-0200-000049000000}"/>
    <hyperlink ref="BP77" r:id="rId75" xr:uid="{00000000-0004-0000-0200-00004A000000}"/>
    <hyperlink ref="BP78" r:id="rId76" xr:uid="{00000000-0004-0000-0200-00004B000000}"/>
    <hyperlink ref="BP79" r:id="rId77" xr:uid="{00000000-0004-0000-0200-00004C000000}"/>
    <hyperlink ref="BP80" r:id="rId78" xr:uid="{00000000-0004-0000-0200-00004D000000}"/>
    <hyperlink ref="BP81" r:id="rId79" xr:uid="{00000000-0004-0000-0200-00004E000000}"/>
    <hyperlink ref="BP82" r:id="rId80" xr:uid="{00000000-0004-0000-0200-00004F000000}"/>
    <hyperlink ref="BP83" r:id="rId81" xr:uid="{00000000-0004-0000-0200-000050000000}"/>
    <hyperlink ref="BP84" r:id="rId82" xr:uid="{00000000-0004-0000-0200-000051000000}"/>
    <hyperlink ref="BP85" r:id="rId83" xr:uid="{00000000-0004-0000-0200-000052000000}"/>
    <hyperlink ref="BP86" r:id="rId84" xr:uid="{00000000-0004-0000-0200-000053000000}"/>
    <hyperlink ref="BP87" r:id="rId85" xr:uid="{00000000-0004-0000-0200-000054000000}"/>
    <hyperlink ref="BP88" r:id="rId86" xr:uid="{00000000-0004-0000-0200-000055000000}"/>
    <hyperlink ref="BP89" r:id="rId87" xr:uid="{00000000-0004-0000-0200-000056000000}"/>
    <hyperlink ref="BP90" r:id="rId88" xr:uid="{00000000-0004-0000-0200-000057000000}"/>
    <hyperlink ref="BP91" r:id="rId89" xr:uid="{00000000-0004-0000-0200-000058000000}"/>
    <hyperlink ref="BP92" r:id="rId90" xr:uid="{00000000-0004-0000-0200-000059000000}"/>
    <hyperlink ref="BP93" r:id="rId91" xr:uid="{00000000-0004-0000-0200-00005A000000}"/>
    <hyperlink ref="BP94" r:id="rId92" xr:uid="{00000000-0004-0000-0200-00005B000000}"/>
    <hyperlink ref="BP95" r:id="rId93" xr:uid="{00000000-0004-0000-0200-00005C000000}"/>
    <hyperlink ref="BP96" r:id="rId94" xr:uid="{00000000-0004-0000-0200-00005D000000}"/>
    <hyperlink ref="BP97" r:id="rId95" xr:uid="{00000000-0004-0000-0200-00005E000000}"/>
    <hyperlink ref="BP98" r:id="rId96" xr:uid="{00000000-0004-0000-0200-00005F000000}"/>
    <hyperlink ref="BP99" r:id="rId97" xr:uid="{00000000-0004-0000-0200-000060000000}"/>
    <hyperlink ref="BP100" r:id="rId98" xr:uid="{00000000-0004-0000-0200-000061000000}"/>
    <hyperlink ref="BP101" r:id="rId99" xr:uid="{00000000-0004-0000-0200-000062000000}"/>
    <hyperlink ref="BP102" r:id="rId100" xr:uid="{00000000-0004-0000-0200-000063000000}"/>
    <hyperlink ref="BP103" r:id="rId101" xr:uid="{00000000-0004-0000-0200-000064000000}"/>
    <hyperlink ref="BP104" r:id="rId102" xr:uid="{00000000-0004-0000-0200-000065000000}"/>
    <hyperlink ref="BP105" r:id="rId103" xr:uid="{00000000-0004-0000-0200-000066000000}"/>
    <hyperlink ref="BP106" r:id="rId104" xr:uid="{00000000-0004-0000-0200-000067000000}"/>
    <hyperlink ref="BP107" r:id="rId105" xr:uid="{00000000-0004-0000-0200-000068000000}"/>
    <hyperlink ref="BP108" r:id="rId106" xr:uid="{00000000-0004-0000-0200-000069000000}"/>
    <hyperlink ref="BP109" r:id="rId107" xr:uid="{00000000-0004-0000-0200-00006A000000}"/>
    <hyperlink ref="BP110" r:id="rId108" xr:uid="{00000000-0004-0000-0200-00006B000000}"/>
    <hyperlink ref="BP111" r:id="rId109" xr:uid="{00000000-0004-0000-0200-00006C000000}"/>
    <hyperlink ref="BP112" r:id="rId110" xr:uid="{00000000-0004-0000-0200-00006D000000}"/>
    <hyperlink ref="BP113" r:id="rId111" xr:uid="{00000000-0004-0000-0200-00006E000000}"/>
    <hyperlink ref="BP114" r:id="rId112" xr:uid="{00000000-0004-0000-0200-00006F000000}"/>
    <hyperlink ref="BP115" r:id="rId113" xr:uid="{00000000-0004-0000-0200-000070000000}"/>
    <hyperlink ref="BP116" r:id="rId114" xr:uid="{00000000-0004-0000-0200-000071000000}"/>
    <hyperlink ref="BP117" r:id="rId115" xr:uid="{00000000-0004-0000-0200-000072000000}"/>
    <hyperlink ref="BP118" r:id="rId116" xr:uid="{00000000-0004-0000-0200-000073000000}"/>
    <hyperlink ref="BP119" r:id="rId117" xr:uid="{00000000-0004-0000-0200-000074000000}"/>
    <hyperlink ref="BP120" r:id="rId118" xr:uid="{00000000-0004-0000-0200-000075000000}"/>
    <hyperlink ref="BP121" r:id="rId119" xr:uid="{00000000-0004-0000-0200-000076000000}"/>
    <hyperlink ref="BP122" r:id="rId120" xr:uid="{00000000-0004-0000-0200-000077000000}"/>
    <hyperlink ref="BP123" r:id="rId121" xr:uid="{00000000-0004-0000-0200-000078000000}"/>
    <hyperlink ref="BP124" r:id="rId122" xr:uid="{00000000-0004-0000-0200-000079000000}"/>
    <hyperlink ref="BP125" r:id="rId123" xr:uid="{00000000-0004-0000-0200-00007A000000}"/>
    <hyperlink ref="BP126" r:id="rId124" xr:uid="{00000000-0004-0000-0200-00007B000000}"/>
    <hyperlink ref="BP127" r:id="rId125" xr:uid="{00000000-0004-0000-0200-00007C000000}"/>
    <hyperlink ref="BP128" r:id="rId126" xr:uid="{00000000-0004-0000-0200-00007D000000}"/>
    <hyperlink ref="BP129" r:id="rId127" xr:uid="{00000000-0004-0000-0200-00007E000000}"/>
    <hyperlink ref="BP130" r:id="rId128" xr:uid="{00000000-0004-0000-0200-00007F000000}"/>
    <hyperlink ref="BP131" r:id="rId129" xr:uid="{00000000-0004-0000-0200-000080000000}"/>
    <hyperlink ref="BP132" r:id="rId130" xr:uid="{00000000-0004-0000-0200-000081000000}"/>
    <hyperlink ref="BP133" r:id="rId131" xr:uid="{00000000-0004-0000-0200-000082000000}"/>
    <hyperlink ref="BP134" r:id="rId132" xr:uid="{00000000-0004-0000-0200-000083000000}"/>
    <hyperlink ref="BP135" r:id="rId133" xr:uid="{00000000-0004-0000-0200-000084000000}"/>
    <hyperlink ref="BP136" r:id="rId134" xr:uid="{00000000-0004-0000-0200-000085000000}"/>
    <hyperlink ref="BP137" r:id="rId135" xr:uid="{00000000-0004-0000-0200-000086000000}"/>
    <hyperlink ref="BP138" r:id="rId136" xr:uid="{00000000-0004-0000-0200-000087000000}"/>
    <hyperlink ref="BP139" r:id="rId137" xr:uid="{00000000-0004-0000-0200-000088000000}"/>
    <hyperlink ref="BP140" r:id="rId138" xr:uid="{00000000-0004-0000-0200-000089000000}"/>
    <hyperlink ref="BP141" r:id="rId139" xr:uid="{00000000-0004-0000-0200-00008A000000}"/>
    <hyperlink ref="BP142" r:id="rId140" xr:uid="{00000000-0004-0000-0200-00008B000000}"/>
    <hyperlink ref="BP143" r:id="rId141" xr:uid="{00000000-0004-0000-0200-00008C000000}"/>
    <hyperlink ref="BP144" r:id="rId142" xr:uid="{00000000-0004-0000-0200-00008D000000}"/>
    <hyperlink ref="BP145" r:id="rId143" xr:uid="{00000000-0004-0000-0200-00008E000000}"/>
    <hyperlink ref="BP146" r:id="rId144" xr:uid="{00000000-0004-0000-0200-00008F000000}"/>
    <hyperlink ref="BP147" r:id="rId145" xr:uid="{00000000-0004-0000-0200-000090000000}"/>
    <hyperlink ref="BP148" r:id="rId146" xr:uid="{00000000-0004-0000-0200-000091000000}"/>
    <hyperlink ref="BP149" r:id="rId147" xr:uid="{00000000-0004-0000-0200-000092000000}"/>
    <hyperlink ref="BP150" r:id="rId148" xr:uid="{00000000-0004-0000-0200-000093000000}"/>
    <hyperlink ref="BP151" r:id="rId149" xr:uid="{00000000-0004-0000-0200-000094000000}"/>
    <hyperlink ref="BP152" r:id="rId150" xr:uid="{00000000-0004-0000-0200-000095000000}"/>
    <hyperlink ref="BP153" r:id="rId151" xr:uid="{00000000-0004-0000-0200-000096000000}"/>
    <hyperlink ref="BP154" r:id="rId152" xr:uid="{00000000-0004-0000-0200-000097000000}"/>
    <hyperlink ref="BP155" r:id="rId153" xr:uid="{00000000-0004-0000-0200-000098000000}"/>
    <hyperlink ref="BP156" r:id="rId154" xr:uid="{00000000-0004-0000-0200-000099000000}"/>
    <hyperlink ref="BP157" r:id="rId155" xr:uid="{00000000-0004-0000-0200-00009A000000}"/>
    <hyperlink ref="BP158" r:id="rId156" xr:uid="{00000000-0004-0000-0200-00009B000000}"/>
    <hyperlink ref="BP159" r:id="rId157" xr:uid="{00000000-0004-0000-0200-00009C000000}"/>
    <hyperlink ref="BP160" r:id="rId158" xr:uid="{00000000-0004-0000-0200-00009D000000}"/>
    <hyperlink ref="BP161" r:id="rId159" xr:uid="{00000000-0004-0000-0200-00009E000000}"/>
    <hyperlink ref="BP162" r:id="rId160" xr:uid="{00000000-0004-0000-0200-00009F000000}"/>
    <hyperlink ref="BP163" r:id="rId161" xr:uid="{00000000-0004-0000-0200-0000A0000000}"/>
    <hyperlink ref="BP164" r:id="rId162" xr:uid="{00000000-0004-0000-0200-0000A1000000}"/>
    <hyperlink ref="BP165" r:id="rId163" xr:uid="{00000000-0004-0000-0200-0000A2000000}"/>
    <hyperlink ref="BP166" r:id="rId164" xr:uid="{00000000-0004-0000-0200-0000A3000000}"/>
    <hyperlink ref="BP167" r:id="rId165" xr:uid="{00000000-0004-0000-0200-0000A4000000}"/>
    <hyperlink ref="BP168" r:id="rId166" xr:uid="{00000000-0004-0000-0200-0000A5000000}"/>
    <hyperlink ref="BP169" r:id="rId167" xr:uid="{00000000-0004-0000-0200-0000A6000000}"/>
    <hyperlink ref="BP170" r:id="rId168" xr:uid="{00000000-0004-0000-0200-0000A7000000}"/>
    <hyperlink ref="BP171" r:id="rId169" xr:uid="{00000000-0004-0000-0200-0000A8000000}"/>
    <hyperlink ref="BP172" r:id="rId170" xr:uid="{00000000-0004-0000-0200-0000A9000000}"/>
    <hyperlink ref="BP173" r:id="rId171" xr:uid="{00000000-0004-0000-0200-0000AA000000}"/>
    <hyperlink ref="BP174" r:id="rId172" xr:uid="{00000000-0004-0000-0200-0000AB000000}"/>
    <hyperlink ref="BP175" r:id="rId173" xr:uid="{00000000-0004-0000-0200-0000AC000000}"/>
    <hyperlink ref="BP176" r:id="rId174" xr:uid="{00000000-0004-0000-0200-0000AD000000}"/>
    <hyperlink ref="BP177" r:id="rId175" xr:uid="{00000000-0004-0000-0200-0000AE000000}"/>
    <hyperlink ref="BP178" r:id="rId176" xr:uid="{00000000-0004-0000-0200-0000AF000000}"/>
    <hyperlink ref="BP179" r:id="rId177" xr:uid="{00000000-0004-0000-0200-0000B0000000}"/>
    <hyperlink ref="BP180" r:id="rId178" xr:uid="{00000000-0004-0000-0200-0000B1000000}"/>
    <hyperlink ref="BP181" r:id="rId179" xr:uid="{00000000-0004-0000-0200-0000B2000000}"/>
    <hyperlink ref="BP182" r:id="rId180" xr:uid="{00000000-0004-0000-0200-0000B3000000}"/>
    <hyperlink ref="BP183" r:id="rId181" xr:uid="{00000000-0004-0000-0200-0000B4000000}"/>
    <hyperlink ref="BP184" r:id="rId182" xr:uid="{00000000-0004-0000-0200-0000B5000000}"/>
    <hyperlink ref="BP185" r:id="rId183" xr:uid="{00000000-0004-0000-0200-0000B6000000}"/>
    <hyperlink ref="BP186" r:id="rId184" xr:uid="{00000000-0004-0000-0200-0000B7000000}"/>
    <hyperlink ref="BP187" r:id="rId185" xr:uid="{00000000-0004-0000-0200-0000B8000000}"/>
    <hyperlink ref="BP188" r:id="rId186" xr:uid="{00000000-0004-0000-0200-0000B9000000}"/>
    <hyperlink ref="BP189" r:id="rId187" xr:uid="{00000000-0004-0000-0200-0000BA000000}"/>
    <hyperlink ref="BP190" r:id="rId188" xr:uid="{00000000-0004-0000-0200-0000BB000000}"/>
    <hyperlink ref="BP191" r:id="rId189" xr:uid="{00000000-0004-0000-0200-0000BC000000}"/>
    <hyperlink ref="BP192" r:id="rId190" xr:uid="{00000000-0004-0000-0200-0000BD000000}"/>
    <hyperlink ref="BP193" r:id="rId191" xr:uid="{00000000-0004-0000-0200-0000BE000000}"/>
    <hyperlink ref="BP194" r:id="rId192" xr:uid="{00000000-0004-0000-0200-0000BF000000}"/>
    <hyperlink ref="BP195" r:id="rId193" xr:uid="{00000000-0004-0000-0200-0000C0000000}"/>
    <hyperlink ref="BP196" r:id="rId194" xr:uid="{00000000-0004-0000-0200-0000C1000000}"/>
    <hyperlink ref="BP197" r:id="rId195" xr:uid="{00000000-0004-0000-0200-0000C2000000}"/>
    <hyperlink ref="BP198" r:id="rId196" xr:uid="{00000000-0004-0000-0200-0000C3000000}"/>
    <hyperlink ref="BP199" r:id="rId197" xr:uid="{00000000-0004-0000-0200-0000C4000000}"/>
    <hyperlink ref="BP200" r:id="rId198" xr:uid="{00000000-0004-0000-0200-0000C5000000}"/>
    <hyperlink ref="BP201" r:id="rId199" xr:uid="{00000000-0004-0000-0200-0000C6000000}"/>
    <hyperlink ref="BP202" r:id="rId200" xr:uid="{00000000-0004-0000-0200-0000C7000000}"/>
    <hyperlink ref="BP203" r:id="rId201" xr:uid="{00000000-0004-0000-0200-0000C8000000}"/>
    <hyperlink ref="BP204" r:id="rId202" xr:uid="{00000000-0004-0000-0200-0000C9000000}"/>
    <hyperlink ref="BP205" r:id="rId203" xr:uid="{00000000-0004-0000-0200-0000CA000000}"/>
    <hyperlink ref="BP206" r:id="rId204" xr:uid="{00000000-0004-0000-0200-0000CB000000}"/>
    <hyperlink ref="BP207" r:id="rId205" xr:uid="{00000000-0004-0000-0200-0000CC000000}"/>
    <hyperlink ref="BP208" r:id="rId206" xr:uid="{00000000-0004-0000-0200-0000CD000000}"/>
    <hyperlink ref="BP209" r:id="rId207" xr:uid="{00000000-0004-0000-0200-0000CE000000}"/>
    <hyperlink ref="BP210" r:id="rId208" xr:uid="{00000000-0004-0000-0200-0000CF000000}"/>
    <hyperlink ref="BP211" r:id="rId209" xr:uid="{00000000-0004-0000-0200-0000D0000000}"/>
    <hyperlink ref="BP212" r:id="rId210" xr:uid="{00000000-0004-0000-0200-0000D1000000}"/>
    <hyperlink ref="BP213" r:id="rId211" xr:uid="{00000000-0004-0000-0200-0000D2000000}"/>
    <hyperlink ref="BP214" r:id="rId212" xr:uid="{00000000-0004-0000-0200-0000D3000000}"/>
    <hyperlink ref="BP215" r:id="rId213" xr:uid="{00000000-0004-0000-0200-0000D4000000}"/>
    <hyperlink ref="BP216" r:id="rId214" xr:uid="{00000000-0004-0000-0200-0000D5000000}"/>
    <hyperlink ref="BP217" r:id="rId215" xr:uid="{00000000-0004-0000-0200-0000D6000000}"/>
    <hyperlink ref="BP218" r:id="rId216" xr:uid="{00000000-0004-0000-0200-0000D7000000}"/>
    <hyperlink ref="BP219" r:id="rId217" xr:uid="{00000000-0004-0000-0200-0000D8000000}"/>
    <hyperlink ref="BP220" r:id="rId218" xr:uid="{00000000-0004-0000-0200-0000D9000000}"/>
    <hyperlink ref="BP221" r:id="rId219" xr:uid="{00000000-0004-0000-0200-0000DA000000}"/>
    <hyperlink ref="BP222" r:id="rId220" xr:uid="{00000000-0004-0000-0200-0000DB000000}"/>
    <hyperlink ref="BP223" r:id="rId221" xr:uid="{00000000-0004-0000-0200-0000DC000000}"/>
    <hyperlink ref="BP224" r:id="rId222" xr:uid="{00000000-0004-0000-0200-0000DD000000}"/>
    <hyperlink ref="BP225" r:id="rId223" xr:uid="{00000000-0004-0000-0200-0000DE000000}"/>
    <hyperlink ref="BP226" r:id="rId224" xr:uid="{00000000-0004-0000-0200-0000DF000000}"/>
    <hyperlink ref="BP227" r:id="rId225" xr:uid="{00000000-0004-0000-0200-0000E0000000}"/>
    <hyperlink ref="BP228" r:id="rId226" xr:uid="{00000000-0004-0000-0200-0000E1000000}"/>
    <hyperlink ref="BP229" r:id="rId227" xr:uid="{00000000-0004-0000-0200-0000E2000000}"/>
    <hyperlink ref="BP230" r:id="rId228" xr:uid="{00000000-0004-0000-0200-0000E3000000}"/>
    <hyperlink ref="BP231" r:id="rId229" xr:uid="{00000000-0004-0000-0200-0000E4000000}"/>
    <hyperlink ref="BP232" r:id="rId230" xr:uid="{00000000-0004-0000-0200-0000E5000000}"/>
    <hyperlink ref="BP233" r:id="rId231" xr:uid="{00000000-0004-0000-0200-0000E6000000}"/>
    <hyperlink ref="BP234" r:id="rId232" xr:uid="{00000000-0004-0000-0200-0000E7000000}"/>
    <hyperlink ref="BP235" r:id="rId233" xr:uid="{00000000-0004-0000-0200-0000E8000000}"/>
    <hyperlink ref="BP236" r:id="rId234" xr:uid="{00000000-0004-0000-0200-0000E9000000}"/>
    <hyperlink ref="BP237" r:id="rId235" xr:uid="{00000000-0004-0000-0200-0000EA000000}"/>
    <hyperlink ref="BP238" r:id="rId236" xr:uid="{00000000-0004-0000-0200-0000EB000000}"/>
    <hyperlink ref="BP239" r:id="rId237" xr:uid="{00000000-0004-0000-0200-0000EC000000}"/>
    <hyperlink ref="BP240" r:id="rId238" xr:uid="{00000000-0004-0000-0200-0000ED000000}"/>
    <hyperlink ref="BP241" r:id="rId239" xr:uid="{00000000-0004-0000-0200-0000EE000000}"/>
    <hyperlink ref="BP242" r:id="rId240" xr:uid="{00000000-0004-0000-0200-0000EF000000}"/>
    <hyperlink ref="BP243" r:id="rId241" xr:uid="{00000000-0004-0000-0200-0000F0000000}"/>
    <hyperlink ref="BP244" r:id="rId242" xr:uid="{00000000-0004-0000-0200-0000F1000000}"/>
    <hyperlink ref="BP245" r:id="rId243" xr:uid="{00000000-0004-0000-0200-0000F2000000}"/>
    <hyperlink ref="BP246" r:id="rId244" xr:uid="{00000000-0004-0000-0200-0000F3000000}"/>
    <hyperlink ref="BP247" r:id="rId245" xr:uid="{00000000-0004-0000-0200-0000F4000000}"/>
    <hyperlink ref="BP248" r:id="rId246" xr:uid="{00000000-0004-0000-0200-0000F5000000}"/>
    <hyperlink ref="BP249" r:id="rId247" xr:uid="{00000000-0004-0000-0200-0000F6000000}"/>
    <hyperlink ref="BP250" r:id="rId248" xr:uid="{00000000-0004-0000-0200-0000F7000000}"/>
    <hyperlink ref="BP251" r:id="rId249" xr:uid="{00000000-0004-0000-0200-0000F8000000}"/>
    <hyperlink ref="BP252" r:id="rId250" xr:uid="{00000000-0004-0000-0200-0000F9000000}"/>
    <hyperlink ref="BP253" r:id="rId251" xr:uid="{00000000-0004-0000-0200-0000FA000000}"/>
    <hyperlink ref="BP254" r:id="rId252" xr:uid="{00000000-0004-0000-0200-0000FB000000}"/>
    <hyperlink ref="BP255" r:id="rId253" xr:uid="{00000000-0004-0000-0200-0000FC000000}"/>
    <hyperlink ref="BP256" r:id="rId254" xr:uid="{00000000-0004-0000-0200-0000FD000000}"/>
    <hyperlink ref="BP257" r:id="rId255" xr:uid="{00000000-0004-0000-0200-0000FE000000}"/>
    <hyperlink ref="BP258" r:id="rId256" xr:uid="{00000000-0004-0000-0200-0000FF000000}"/>
    <hyperlink ref="BP259" r:id="rId257" xr:uid="{00000000-0004-0000-0200-000000010000}"/>
    <hyperlink ref="BP260" r:id="rId258" xr:uid="{00000000-0004-0000-0200-000001010000}"/>
    <hyperlink ref="BP261" r:id="rId259" xr:uid="{00000000-0004-0000-0200-000002010000}"/>
    <hyperlink ref="BP262" r:id="rId260" xr:uid="{00000000-0004-0000-0200-000003010000}"/>
    <hyperlink ref="BP263" r:id="rId261" xr:uid="{00000000-0004-0000-0200-000004010000}"/>
    <hyperlink ref="BP264" r:id="rId262" xr:uid="{00000000-0004-0000-0200-000005010000}"/>
    <hyperlink ref="BP265" r:id="rId263" xr:uid="{00000000-0004-0000-0200-000006010000}"/>
    <hyperlink ref="BP266" r:id="rId264" xr:uid="{00000000-0004-0000-0200-000007010000}"/>
    <hyperlink ref="BP267" r:id="rId265" xr:uid="{00000000-0004-0000-0200-000008010000}"/>
    <hyperlink ref="BP268" r:id="rId266" xr:uid="{00000000-0004-0000-0200-000009010000}"/>
    <hyperlink ref="BP269" r:id="rId267" xr:uid="{00000000-0004-0000-0200-00000A010000}"/>
    <hyperlink ref="BP270" r:id="rId268" xr:uid="{00000000-0004-0000-0200-00000B010000}"/>
    <hyperlink ref="BP271" r:id="rId269" xr:uid="{00000000-0004-0000-0200-00000C010000}"/>
    <hyperlink ref="BP272" r:id="rId270" xr:uid="{00000000-0004-0000-0200-00000D010000}"/>
    <hyperlink ref="BP273" r:id="rId271" xr:uid="{00000000-0004-0000-0200-00000E010000}"/>
    <hyperlink ref="BP274" r:id="rId272" xr:uid="{00000000-0004-0000-0200-00000F010000}"/>
    <hyperlink ref="BP275" r:id="rId273" xr:uid="{00000000-0004-0000-0200-000010010000}"/>
    <hyperlink ref="BP276" r:id="rId274" xr:uid="{00000000-0004-0000-0200-000011010000}"/>
    <hyperlink ref="BP277" r:id="rId275" xr:uid="{00000000-0004-0000-0200-000012010000}"/>
    <hyperlink ref="BP278" r:id="rId276" xr:uid="{00000000-0004-0000-0200-000013010000}"/>
    <hyperlink ref="BP279" r:id="rId277" xr:uid="{00000000-0004-0000-0200-000014010000}"/>
    <hyperlink ref="BP280" r:id="rId278" xr:uid="{00000000-0004-0000-0200-000015010000}"/>
    <hyperlink ref="BP281" r:id="rId279" xr:uid="{00000000-0004-0000-0200-000016010000}"/>
    <hyperlink ref="BP282" r:id="rId280" xr:uid="{00000000-0004-0000-0200-000017010000}"/>
    <hyperlink ref="BP283" r:id="rId281" xr:uid="{00000000-0004-0000-0200-000018010000}"/>
    <hyperlink ref="BP284" r:id="rId282" xr:uid="{00000000-0004-0000-0200-000019010000}"/>
    <hyperlink ref="BP285" r:id="rId283" xr:uid="{00000000-0004-0000-0200-00001A010000}"/>
    <hyperlink ref="BP286" r:id="rId284" xr:uid="{00000000-0004-0000-0200-00001B010000}"/>
    <hyperlink ref="BP287" r:id="rId285" xr:uid="{00000000-0004-0000-0200-00001C010000}"/>
    <hyperlink ref="BP288" r:id="rId286" xr:uid="{00000000-0004-0000-0200-00001D010000}"/>
    <hyperlink ref="BP289" r:id="rId287" xr:uid="{00000000-0004-0000-0200-00001E010000}"/>
    <hyperlink ref="BP290" r:id="rId288" xr:uid="{00000000-0004-0000-0200-00001F010000}"/>
    <hyperlink ref="BP291" r:id="rId289" xr:uid="{00000000-0004-0000-0200-000020010000}"/>
    <hyperlink ref="BP292" r:id="rId290" xr:uid="{00000000-0004-0000-0200-000021010000}"/>
    <hyperlink ref="BP293" r:id="rId291" xr:uid="{00000000-0004-0000-0200-000022010000}"/>
    <hyperlink ref="BP294" r:id="rId292" xr:uid="{00000000-0004-0000-0200-000023010000}"/>
    <hyperlink ref="BP295" r:id="rId293" xr:uid="{00000000-0004-0000-0200-000024010000}"/>
    <hyperlink ref="BP296" r:id="rId294" xr:uid="{00000000-0004-0000-0200-000025010000}"/>
    <hyperlink ref="BP297" r:id="rId295" xr:uid="{00000000-0004-0000-0200-000026010000}"/>
    <hyperlink ref="BP298" r:id="rId296" xr:uid="{00000000-0004-0000-0200-000027010000}"/>
    <hyperlink ref="BP299" r:id="rId297" xr:uid="{00000000-0004-0000-0200-000028010000}"/>
    <hyperlink ref="BP300" r:id="rId298" xr:uid="{00000000-0004-0000-0200-000029010000}"/>
    <hyperlink ref="BP301" r:id="rId299" xr:uid="{00000000-0004-0000-0200-00002A010000}"/>
    <hyperlink ref="BP302" r:id="rId300" xr:uid="{00000000-0004-0000-0200-00002B010000}"/>
    <hyperlink ref="BP303" r:id="rId301" xr:uid="{00000000-0004-0000-0200-00002C010000}"/>
    <hyperlink ref="BP304" r:id="rId302" xr:uid="{00000000-0004-0000-0200-00002D010000}"/>
    <hyperlink ref="BP305" r:id="rId303" xr:uid="{00000000-0004-0000-0200-00002E010000}"/>
    <hyperlink ref="BP306" r:id="rId304" xr:uid="{00000000-0004-0000-0200-00002F010000}"/>
    <hyperlink ref="BP307" r:id="rId305" xr:uid="{00000000-0004-0000-0200-000030010000}"/>
    <hyperlink ref="BP308" r:id="rId306" xr:uid="{00000000-0004-0000-0200-000031010000}"/>
    <hyperlink ref="BP309" r:id="rId307" xr:uid="{00000000-0004-0000-0200-000032010000}"/>
    <hyperlink ref="BP310" r:id="rId308" xr:uid="{00000000-0004-0000-0200-000033010000}"/>
    <hyperlink ref="BP311" r:id="rId309" xr:uid="{00000000-0004-0000-0200-000034010000}"/>
    <hyperlink ref="BP312" r:id="rId310" xr:uid="{00000000-0004-0000-0200-000035010000}"/>
    <hyperlink ref="BP313" r:id="rId311" xr:uid="{00000000-0004-0000-0200-000036010000}"/>
    <hyperlink ref="BP314" r:id="rId312" xr:uid="{00000000-0004-0000-0200-000037010000}"/>
    <hyperlink ref="BP315" r:id="rId313" xr:uid="{00000000-0004-0000-0200-000038010000}"/>
    <hyperlink ref="BP316" r:id="rId314" xr:uid="{00000000-0004-0000-0200-000039010000}"/>
    <hyperlink ref="BP317" r:id="rId315" xr:uid="{00000000-0004-0000-0200-00003A010000}"/>
    <hyperlink ref="BP318" r:id="rId316" xr:uid="{00000000-0004-0000-0200-00003B010000}"/>
    <hyperlink ref="BP319" r:id="rId317" xr:uid="{00000000-0004-0000-0200-00003C010000}"/>
    <hyperlink ref="BP320" r:id="rId318" xr:uid="{00000000-0004-0000-0200-00003D010000}"/>
    <hyperlink ref="BP321" r:id="rId319" xr:uid="{00000000-0004-0000-0200-00003E010000}"/>
    <hyperlink ref="BP322" r:id="rId320" xr:uid="{00000000-0004-0000-0200-00003F010000}"/>
    <hyperlink ref="BP323" r:id="rId321" xr:uid="{00000000-0004-0000-0200-000040010000}"/>
    <hyperlink ref="BP324" r:id="rId322" xr:uid="{00000000-0004-0000-0200-000041010000}"/>
    <hyperlink ref="BP325" r:id="rId323" xr:uid="{00000000-0004-0000-0200-000042010000}"/>
    <hyperlink ref="BP326" r:id="rId324" xr:uid="{00000000-0004-0000-0200-000043010000}"/>
    <hyperlink ref="BP327" r:id="rId325" xr:uid="{00000000-0004-0000-0200-000044010000}"/>
    <hyperlink ref="BP328" r:id="rId326" xr:uid="{00000000-0004-0000-0200-000045010000}"/>
    <hyperlink ref="BP329" r:id="rId327" xr:uid="{00000000-0004-0000-0200-000046010000}"/>
    <hyperlink ref="BP330" r:id="rId328" xr:uid="{00000000-0004-0000-0200-000047010000}"/>
    <hyperlink ref="BP331" r:id="rId329" xr:uid="{00000000-0004-0000-0200-000048010000}"/>
    <hyperlink ref="BP332" r:id="rId330" xr:uid="{00000000-0004-0000-0200-000049010000}"/>
    <hyperlink ref="BP333" r:id="rId331" xr:uid="{00000000-0004-0000-0200-00004A010000}"/>
    <hyperlink ref="BP334" r:id="rId332" xr:uid="{00000000-0004-0000-0200-00004B010000}"/>
    <hyperlink ref="BP335" r:id="rId333" xr:uid="{00000000-0004-0000-0200-00004C010000}"/>
    <hyperlink ref="BP336" r:id="rId334" xr:uid="{00000000-0004-0000-0200-00004D010000}"/>
    <hyperlink ref="BP337" r:id="rId335" xr:uid="{00000000-0004-0000-0200-00004E010000}"/>
    <hyperlink ref="BP338" r:id="rId336" xr:uid="{00000000-0004-0000-0200-00004F010000}"/>
    <hyperlink ref="BP339" r:id="rId337" xr:uid="{00000000-0004-0000-0200-000050010000}"/>
    <hyperlink ref="BP340" r:id="rId338" xr:uid="{00000000-0004-0000-0200-000051010000}"/>
    <hyperlink ref="BP341" r:id="rId339" xr:uid="{00000000-0004-0000-0200-000052010000}"/>
    <hyperlink ref="BP342" r:id="rId340" xr:uid="{00000000-0004-0000-0200-000053010000}"/>
    <hyperlink ref="BP343" r:id="rId341" xr:uid="{00000000-0004-0000-0200-000054010000}"/>
    <hyperlink ref="BP344" r:id="rId342" xr:uid="{00000000-0004-0000-0200-000055010000}"/>
    <hyperlink ref="BP345" r:id="rId343" xr:uid="{00000000-0004-0000-0200-000056010000}"/>
    <hyperlink ref="BP346" r:id="rId344" xr:uid="{00000000-0004-0000-0200-000057010000}"/>
    <hyperlink ref="BP347" r:id="rId345" xr:uid="{00000000-0004-0000-0200-000058010000}"/>
    <hyperlink ref="BP348" r:id="rId346" xr:uid="{00000000-0004-0000-0200-000059010000}"/>
    <hyperlink ref="BP349" r:id="rId347" xr:uid="{00000000-0004-0000-0200-00005A010000}"/>
    <hyperlink ref="BP350" r:id="rId348" xr:uid="{00000000-0004-0000-0200-00005B010000}"/>
    <hyperlink ref="BP351" r:id="rId349" xr:uid="{00000000-0004-0000-0200-00005C010000}"/>
    <hyperlink ref="BP352" r:id="rId350" xr:uid="{00000000-0004-0000-0200-00005D010000}"/>
    <hyperlink ref="BP353" r:id="rId351" xr:uid="{00000000-0004-0000-0200-00005E010000}"/>
    <hyperlink ref="BP354" r:id="rId352" xr:uid="{00000000-0004-0000-0200-00005F010000}"/>
    <hyperlink ref="BP355" r:id="rId353" xr:uid="{00000000-0004-0000-0200-000060010000}"/>
    <hyperlink ref="BP356" r:id="rId354" xr:uid="{00000000-0004-0000-0200-000061010000}"/>
    <hyperlink ref="BP357" r:id="rId355" xr:uid="{00000000-0004-0000-0200-000062010000}"/>
    <hyperlink ref="BP358" r:id="rId356" xr:uid="{00000000-0004-0000-0200-000063010000}"/>
    <hyperlink ref="BP359" r:id="rId357" xr:uid="{00000000-0004-0000-0200-000064010000}"/>
    <hyperlink ref="BP360" r:id="rId358" xr:uid="{00000000-0004-0000-0200-000065010000}"/>
    <hyperlink ref="BP361" r:id="rId359" xr:uid="{00000000-0004-0000-0200-000066010000}"/>
    <hyperlink ref="BP362" r:id="rId360" xr:uid="{00000000-0004-0000-0200-000067010000}"/>
    <hyperlink ref="BP363" r:id="rId361" xr:uid="{00000000-0004-0000-0200-000068010000}"/>
    <hyperlink ref="BP364" r:id="rId362" xr:uid="{00000000-0004-0000-0200-000069010000}"/>
    <hyperlink ref="BP365" r:id="rId363" xr:uid="{00000000-0004-0000-0200-00006A010000}"/>
    <hyperlink ref="BP366" r:id="rId364" xr:uid="{00000000-0004-0000-0200-00006B010000}"/>
    <hyperlink ref="BP367" r:id="rId365" xr:uid="{00000000-0004-0000-0200-00006C010000}"/>
    <hyperlink ref="BP368" r:id="rId366" xr:uid="{00000000-0004-0000-0200-00006D010000}"/>
    <hyperlink ref="BP369" r:id="rId367" xr:uid="{00000000-0004-0000-0200-00006E010000}"/>
    <hyperlink ref="BP370" r:id="rId368" xr:uid="{00000000-0004-0000-0200-00006F010000}"/>
    <hyperlink ref="BP371" r:id="rId369" xr:uid="{00000000-0004-0000-0200-000070010000}"/>
    <hyperlink ref="BP372" r:id="rId370" xr:uid="{00000000-0004-0000-0200-000071010000}"/>
    <hyperlink ref="BP373" r:id="rId371" xr:uid="{00000000-0004-0000-0200-000072010000}"/>
    <hyperlink ref="BP374" r:id="rId372" xr:uid="{00000000-0004-0000-0200-000073010000}"/>
    <hyperlink ref="BP375" r:id="rId373" xr:uid="{00000000-0004-0000-0200-000074010000}"/>
    <hyperlink ref="BP376" r:id="rId374" xr:uid="{00000000-0004-0000-0200-000075010000}"/>
    <hyperlink ref="BP377" r:id="rId375" xr:uid="{00000000-0004-0000-0200-000076010000}"/>
    <hyperlink ref="BP378" r:id="rId376" xr:uid="{00000000-0004-0000-0200-000077010000}"/>
    <hyperlink ref="BP379" r:id="rId377" xr:uid="{00000000-0004-0000-0200-000078010000}"/>
    <hyperlink ref="BP380" r:id="rId378" xr:uid="{00000000-0004-0000-0200-000079010000}"/>
    <hyperlink ref="BP381" r:id="rId379" xr:uid="{00000000-0004-0000-0200-00007A010000}"/>
    <hyperlink ref="BP382" r:id="rId380" xr:uid="{00000000-0004-0000-0200-00007B010000}"/>
    <hyperlink ref="BP383" r:id="rId381" xr:uid="{00000000-0004-0000-0200-00007C010000}"/>
    <hyperlink ref="BP384" r:id="rId382" xr:uid="{00000000-0004-0000-0200-00007D010000}"/>
    <hyperlink ref="BP385" r:id="rId383" xr:uid="{00000000-0004-0000-0200-00007E010000}"/>
    <hyperlink ref="BP386" r:id="rId384" xr:uid="{00000000-0004-0000-0200-00007F010000}"/>
    <hyperlink ref="BP387" r:id="rId385" xr:uid="{00000000-0004-0000-0200-000080010000}"/>
    <hyperlink ref="BP388" r:id="rId386" xr:uid="{00000000-0004-0000-0200-000081010000}"/>
    <hyperlink ref="BP389" r:id="rId387" xr:uid="{00000000-0004-0000-0200-000082010000}"/>
    <hyperlink ref="BP390" r:id="rId388" xr:uid="{00000000-0004-0000-0200-000083010000}"/>
    <hyperlink ref="BP391" r:id="rId389" xr:uid="{00000000-0004-0000-0200-000084010000}"/>
    <hyperlink ref="BP392" r:id="rId390" xr:uid="{00000000-0004-0000-0200-000085010000}"/>
    <hyperlink ref="BP393" r:id="rId391" xr:uid="{00000000-0004-0000-0200-000086010000}"/>
    <hyperlink ref="BP394" r:id="rId392" xr:uid="{00000000-0004-0000-0200-000087010000}"/>
    <hyperlink ref="BP395" r:id="rId393" xr:uid="{00000000-0004-0000-0200-000088010000}"/>
    <hyperlink ref="BP396" r:id="rId394" xr:uid="{00000000-0004-0000-0200-000089010000}"/>
    <hyperlink ref="BP397" r:id="rId395" xr:uid="{00000000-0004-0000-0200-00008A010000}"/>
    <hyperlink ref="BP398" r:id="rId396" xr:uid="{00000000-0004-0000-0200-00008B010000}"/>
    <hyperlink ref="BP399" r:id="rId397" xr:uid="{00000000-0004-0000-0200-00008C010000}"/>
    <hyperlink ref="BP400" r:id="rId398" xr:uid="{00000000-0004-0000-0200-00008D010000}"/>
    <hyperlink ref="BP401" r:id="rId399" xr:uid="{00000000-0004-0000-0200-00008E010000}"/>
    <hyperlink ref="BP402" r:id="rId400" xr:uid="{00000000-0004-0000-0200-00008F010000}"/>
    <hyperlink ref="BP403" r:id="rId401" xr:uid="{00000000-0004-0000-0200-000090010000}"/>
    <hyperlink ref="BP404" r:id="rId402" xr:uid="{00000000-0004-0000-0200-000091010000}"/>
    <hyperlink ref="BP405" r:id="rId403" xr:uid="{00000000-0004-0000-0200-000092010000}"/>
    <hyperlink ref="BP406" r:id="rId404" xr:uid="{00000000-0004-0000-0200-000093010000}"/>
    <hyperlink ref="BP407" r:id="rId405" xr:uid="{00000000-0004-0000-0200-000094010000}"/>
    <hyperlink ref="BP408" r:id="rId406" xr:uid="{00000000-0004-0000-0200-000095010000}"/>
    <hyperlink ref="BP409" r:id="rId407" xr:uid="{00000000-0004-0000-0200-000096010000}"/>
    <hyperlink ref="BP410" r:id="rId408" xr:uid="{00000000-0004-0000-0200-000097010000}"/>
    <hyperlink ref="BP411" r:id="rId409" xr:uid="{00000000-0004-0000-0200-000098010000}"/>
    <hyperlink ref="BP412" r:id="rId410" xr:uid="{00000000-0004-0000-0200-000099010000}"/>
    <hyperlink ref="BP413" r:id="rId411" xr:uid="{00000000-0004-0000-0200-00009A010000}"/>
    <hyperlink ref="BP414" r:id="rId412" xr:uid="{00000000-0004-0000-0200-00009B010000}"/>
    <hyperlink ref="BP415" r:id="rId413" xr:uid="{00000000-0004-0000-0200-00009C010000}"/>
    <hyperlink ref="BP416" r:id="rId414" xr:uid="{00000000-0004-0000-0200-00009D010000}"/>
    <hyperlink ref="BP417" r:id="rId415" xr:uid="{00000000-0004-0000-0200-00009E010000}"/>
    <hyperlink ref="BP418" r:id="rId416" xr:uid="{00000000-0004-0000-0200-00009F010000}"/>
    <hyperlink ref="BP419" r:id="rId417" xr:uid="{00000000-0004-0000-0200-0000A0010000}"/>
    <hyperlink ref="BP420" r:id="rId418" xr:uid="{00000000-0004-0000-0200-0000A1010000}"/>
    <hyperlink ref="BP421" r:id="rId419" xr:uid="{00000000-0004-0000-0200-0000A2010000}"/>
    <hyperlink ref="BP422" r:id="rId420" xr:uid="{00000000-0004-0000-0200-0000A3010000}"/>
    <hyperlink ref="BP423" r:id="rId421" xr:uid="{00000000-0004-0000-0200-0000A4010000}"/>
    <hyperlink ref="BP424" r:id="rId422" xr:uid="{00000000-0004-0000-0200-0000A5010000}"/>
    <hyperlink ref="BP425" r:id="rId423" xr:uid="{00000000-0004-0000-0200-0000A6010000}"/>
    <hyperlink ref="BP426" r:id="rId424" xr:uid="{00000000-0004-0000-0200-0000A7010000}"/>
    <hyperlink ref="BP427" r:id="rId425" xr:uid="{00000000-0004-0000-0200-0000A8010000}"/>
    <hyperlink ref="BP428" r:id="rId426" xr:uid="{00000000-0004-0000-0200-0000A9010000}"/>
    <hyperlink ref="BP429" r:id="rId427" xr:uid="{00000000-0004-0000-0200-0000AA010000}"/>
    <hyperlink ref="BP430" r:id="rId428" xr:uid="{00000000-0004-0000-0200-0000AB010000}"/>
    <hyperlink ref="BP431" r:id="rId429" xr:uid="{00000000-0004-0000-0200-0000AC010000}"/>
    <hyperlink ref="BP432" r:id="rId430" xr:uid="{00000000-0004-0000-0200-0000AD010000}"/>
    <hyperlink ref="BP433" r:id="rId431" xr:uid="{00000000-0004-0000-0200-0000AE010000}"/>
    <hyperlink ref="BP434" r:id="rId432" xr:uid="{00000000-0004-0000-0200-0000AF010000}"/>
    <hyperlink ref="BP435" r:id="rId433" xr:uid="{00000000-0004-0000-0200-0000B0010000}"/>
    <hyperlink ref="BP436" r:id="rId434" xr:uid="{00000000-0004-0000-0200-0000B1010000}"/>
    <hyperlink ref="BP437" r:id="rId435" xr:uid="{00000000-0004-0000-0200-0000B2010000}"/>
    <hyperlink ref="BP438" r:id="rId436" xr:uid="{00000000-0004-0000-0200-0000B3010000}"/>
    <hyperlink ref="BP439" r:id="rId437" xr:uid="{00000000-0004-0000-0200-0000B4010000}"/>
    <hyperlink ref="BP440" r:id="rId438" xr:uid="{00000000-0004-0000-0200-0000B5010000}"/>
    <hyperlink ref="BP441" r:id="rId439" xr:uid="{00000000-0004-0000-0200-0000B6010000}"/>
    <hyperlink ref="BP442" r:id="rId440" xr:uid="{00000000-0004-0000-0200-0000B7010000}"/>
    <hyperlink ref="BP443" r:id="rId441" xr:uid="{00000000-0004-0000-0200-0000B8010000}"/>
    <hyperlink ref="BP444" r:id="rId442" xr:uid="{00000000-0004-0000-0200-0000B9010000}"/>
    <hyperlink ref="BP445" r:id="rId443" xr:uid="{00000000-0004-0000-0200-0000BA010000}"/>
    <hyperlink ref="BP446" r:id="rId444" xr:uid="{00000000-0004-0000-0200-0000BB010000}"/>
    <hyperlink ref="BP447" r:id="rId445" xr:uid="{00000000-0004-0000-0200-0000BC010000}"/>
    <hyperlink ref="BP448" r:id="rId446" xr:uid="{00000000-0004-0000-0200-0000BD010000}"/>
    <hyperlink ref="BP449" r:id="rId447" xr:uid="{00000000-0004-0000-0200-0000BE010000}"/>
    <hyperlink ref="BP450" r:id="rId448" xr:uid="{00000000-0004-0000-0200-0000BF010000}"/>
    <hyperlink ref="BP451" r:id="rId449" xr:uid="{00000000-0004-0000-0200-0000C0010000}"/>
    <hyperlink ref="BP452" r:id="rId450" xr:uid="{00000000-0004-0000-0200-0000C1010000}"/>
    <hyperlink ref="BP453" r:id="rId451" xr:uid="{00000000-0004-0000-0200-0000C2010000}"/>
    <hyperlink ref="BP454" r:id="rId452" xr:uid="{00000000-0004-0000-0200-0000C3010000}"/>
    <hyperlink ref="BP455" r:id="rId453" xr:uid="{00000000-0004-0000-0200-0000C4010000}"/>
    <hyperlink ref="BP456" r:id="rId454" xr:uid="{00000000-0004-0000-0200-0000C5010000}"/>
    <hyperlink ref="BP457" r:id="rId455" xr:uid="{00000000-0004-0000-0200-0000C6010000}"/>
    <hyperlink ref="BP458" r:id="rId456" xr:uid="{00000000-0004-0000-0200-0000C7010000}"/>
    <hyperlink ref="BP459" r:id="rId457" xr:uid="{00000000-0004-0000-0200-0000C8010000}"/>
    <hyperlink ref="BP460" r:id="rId458" xr:uid="{00000000-0004-0000-0200-0000C9010000}"/>
    <hyperlink ref="BP461" r:id="rId459" xr:uid="{00000000-0004-0000-0200-0000CA010000}"/>
    <hyperlink ref="BP462" r:id="rId460" xr:uid="{00000000-0004-0000-0200-0000CB010000}"/>
    <hyperlink ref="BP463" r:id="rId461" xr:uid="{00000000-0004-0000-0200-0000CC010000}"/>
    <hyperlink ref="BP464" r:id="rId462" xr:uid="{00000000-0004-0000-0200-0000CD010000}"/>
    <hyperlink ref="BP465" r:id="rId463" xr:uid="{00000000-0004-0000-0200-0000CE010000}"/>
    <hyperlink ref="BP466" r:id="rId464" xr:uid="{00000000-0004-0000-0200-0000CF010000}"/>
    <hyperlink ref="BP467" r:id="rId465" xr:uid="{00000000-0004-0000-0200-0000D0010000}"/>
    <hyperlink ref="BP468" r:id="rId466" xr:uid="{00000000-0004-0000-0200-0000D1010000}"/>
    <hyperlink ref="BP469" r:id="rId467" xr:uid="{00000000-0004-0000-0200-0000D2010000}"/>
    <hyperlink ref="BP470" r:id="rId468" xr:uid="{00000000-0004-0000-0200-0000D3010000}"/>
    <hyperlink ref="BP471" r:id="rId469" xr:uid="{00000000-0004-0000-0200-0000D4010000}"/>
    <hyperlink ref="BP472" r:id="rId470" xr:uid="{00000000-0004-0000-0200-0000D5010000}"/>
    <hyperlink ref="BP473" r:id="rId471" xr:uid="{00000000-0004-0000-0200-0000D6010000}"/>
    <hyperlink ref="BP474" r:id="rId472" xr:uid="{00000000-0004-0000-0200-0000D7010000}"/>
    <hyperlink ref="BP475" r:id="rId473" xr:uid="{00000000-0004-0000-0200-0000D8010000}"/>
    <hyperlink ref="BP476" r:id="rId474" xr:uid="{00000000-0004-0000-0200-0000D9010000}"/>
    <hyperlink ref="BP477" r:id="rId475" xr:uid="{00000000-0004-0000-0200-0000DA010000}"/>
    <hyperlink ref="BP478" r:id="rId476" xr:uid="{00000000-0004-0000-0200-0000DB010000}"/>
    <hyperlink ref="BP479" r:id="rId477" xr:uid="{00000000-0004-0000-0200-0000DC010000}"/>
    <hyperlink ref="BP480" r:id="rId478" xr:uid="{00000000-0004-0000-0200-0000DD010000}"/>
    <hyperlink ref="BP481" r:id="rId479" xr:uid="{00000000-0004-0000-0200-0000DE010000}"/>
    <hyperlink ref="BP482" r:id="rId480" xr:uid="{00000000-0004-0000-0200-0000DF010000}"/>
    <hyperlink ref="BP483" r:id="rId481" xr:uid="{00000000-0004-0000-0200-0000E0010000}"/>
    <hyperlink ref="BP484" r:id="rId482" xr:uid="{00000000-0004-0000-0200-0000E1010000}"/>
    <hyperlink ref="BP485" r:id="rId483" xr:uid="{00000000-0004-0000-0200-0000E2010000}"/>
    <hyperlink ref="BP486" r:id="rId484" xr:uid="{00000000-0004-0000-0200-0000E3010000}"/>
    <hyperlink ref="BP487" r:id="rId485" xr:uid="{00000000-0004-0000-0200-0000E4010000}"/>
    <hyperlink ref="BP488" r:id="rId486" xr:uid="{00000000-0004-0000-0200-0000E5010000}"/>
    <hyperlink ref="BP489" r:id="rId487" xr:uid="{00000000-0004-0000-0200-0000E6010000}"/>
    <hyperlink ref="BP490" r:id="rId488" xr:uid="{00000000-0004-0000-0200-0000E7010000}"/>
    <hyperlink ref="BP492" r:id="rId489" xr:uid="{00000000-0004-0000-0200-0000E8010000}"/>
    <hyperlink ref="BP495" r:id="rId490" xr:uid="{00000000-0004-0000-0200-0000E9010000}"/>
    <hyperlink ref="BP496" r:id="rId491" xr:uid="{00000000-0004-0000-0200-0000EA010000}"/>
    <hyperlink ref="BP497" r:id="rId492" xr:uid="{00000000-0004-0000-0200-0000EB010000}"/>
    <hyperlink ref="BP498" r:id="rId493" xr:uid="{00000000-0004-0000-0200-0000EC010000}"/>
    <hyperlink ref="BP499" r:id="rId494" xr:uid="{00000000-0004-0000-0200-0000ED010000}"/>
    <hyperlink ref="BP500" r:id="rId495" xr:uid="{00000000-0004-0000-0200-0000EE010000}"/>
    <hyperlink ref="BP501" r:id="rId496" xr:uid="{00000000-0004-0000-0200-0000EF010000}"/>
    <hyperlink ref="BP502" r:id="rId497" xr:uid="{00000000-0004-0000-0200-0000F0010000}"/>
    <hyperlink ref="BP503" r:id="rId498" xr:uid="{00000000-0004-0000-0200-0000F1010000}"/>
    <hyperlink ref="BP504" r:id="rId499" xr:uid="{00000000-0004-0000-0200-0000F2010000}"/>
    <hyperlink ref="BP505" r:id="rId500" xr:uid="{00000000-0004-0000-0200-0000F3010000}"/>
    <hyperlink ref="BP506" r:id="rId501" xr:uid="{00000000-0004-0000-0200-0000F4010000}"/>
    <hyperlink ref="BP507" r:id="rId502" xr:uid="{00000000-0004-0000-0200-0000F5010000}"/>
    <hyperlink ref="BP508" r:id="rId503" xr:uid="{00000000-0004-0000-0200-0000F6010000}"/>
    <hyperlink ref="BP509" r:id="rId504" xr:uid="{00000000-0004-0000-0200-0000F7010000}"/>
    <hyperlink ref="BP510" r:id="rId505" xr:uid="{00000000-0004-0000-0200-0000F8010000}"/>
    <hyperlink ref="BP511" r:id="rId506" xr:uid="{00000000-0004-0000-0200-0000F9010000}"/>
    <hyperlink ref="BP512" r:id="rId507" xr:uid="{00000000-0004-0000-0200-0000FA010000}"/>
    <hyperlink ref="BP513" r:id="rId508" xr:uid="{00000000-0004-0000-0200-0000FB010000}"/>
    <hyperlink ref="BP514" r:id="rId509" xr:uid="{00000000-0004-0000-0200-0000FC010000}"/>
    <hyperlink ref="BP515" r:id="rId510" xr:uid="{00000000-0004-0000-0200-0000FD010000}"/>
    <hyperlink ref="BP516" r:id="rId511" xr:uid="{00000000-0004-0000-0200-0000FE010000}"/>
    <hyperlink ref="BP517" r:id="rId512" xr:uid="{00000000-0004-0000-0200-0000FF010000}"/>
    <hyperlink ref="BP518" r:id="rId513" xr:uid="{00000000-0004-0000-0200-000000020000}"/>
    <hyperlink ref="BP519" r:id="rId514" xr:uid="{00000000-0004-0000-0200-000001020000}"/>
    <hyperlink ref="BP520" r:id="rId515" xr:uid="{00000000-0004-0000-0200-000002020000}"/>
    <hyperlink ref="BP521" r:id="rId516" xr:uid="{00000000-0004-0000-0200-000003020000}"/>
    <hyperlink ref="BP522" r:id="rId517" xr:uid="{00000000-0004-0000-0200-000004020000}"/>
    <hyperlink ref="BP523" r:id="rId518" xr:uid="{00000000-0004-0000-0200-000005020000}"/>
    <hyperlink ref="BP524" r:id="rId519" xr:uid="{00000000-0004-0000-0200-000006020000}"/>
    <hyperlink ref="BP525" r:id="rId520" xr:uid="{00000000-0004-0000-0200-000007020000}"/>
    <hyperlink ref="BP526" r:id="rId521" xr:uid="{00000000-0004-0000-0200-000008020000}"/>
    <hyperlink ref="BP527" r:id="rId522" xr:uid="{00000000-0004-0000-0200-000009020000}"/>
    <hyperlink ref="BP528" r:id="rId523" xr:uid="{00000000-0004-0000-0200-00000A020000}"/>
    <hyperlink ref="BP529" r:id="rId524" xr:uid="{00000000-0004-0000-0200-00000B020000}"/>
    <hyperlink ref="BP530" r:id="rId525" xr:uid="{00000000-0004-0000-0200-00000C020000}"/>
    <hyperlink ref="BP531" r:id="rId526" xr:uid="{00000000-0004-0000-0200-00000D020000}"/>
    <hyperlink ref="BP532" r:id="rId527" xr:uid="{00000000-0004-0000-0200-00000E020000}"/>
    <hyperlink ref="BP533" r:id="rId528" xr:uid="{00000000-0004-0000-0200-00000F020000}"/>
    <hyperlink ref="BP534" r:id="rId529" xr:uid="{00000000-0004-0000-0200-000010020000}"/>
    <hyperlink ref="BP535" r:id="rId530" xr:uid="{00000000-0004-0000-0200-000011020000}"/>
    <hyperlink ref="BP536" r:id="rId531" xr:uid="{00000000-0004-0000-0200-000012020000}"/>
    <hyperlink ref="BP537" r:id="rId532" xr:uid="{00000000-0004-0000-0200-000013020000}"/>
    <hyperlink ref="BP538" r:id="rId533" xr:uid="{00000000-0004-0000-0200-000014020000}"/>
    <hyperlink ref="BP539" r:id="rId534" xr:uid="{00000000-0004-0000-0200-000015020000}"/>
    <hyperlink ref="BP540" r:id="rId535" xr:uid="{00000000-0004-0000-0200-000016020000}"/>
    <hyperlink ref="BP541" r:id="rId536" xr:uid="{00000000-0004-0000-0200-000017020000}"/>
    <hyperlink ref="BP542" r:id="rId537" xr:uid="{00000000-0004-0000-0200-000018020000}"/>
    <hyperlink ref="BP543" r:id="rId538" xr:uid="{00000000-0004-0000-0200-000019020000}"/>
    <hyperlink ref="BP544" r:id="rId539" xr:uid="{00000000-0004-0000-0200-00001A020000}"/>
    <hyperlink ref="BP545" r:id="rId540" xr:uid="{00000000-0004-0000-0200-00001B020000}"/>
    <hyperlink ref="BP546" r:id="rId541" xr:uid="{00000000-0004-0000-0200-00001C020000}"/>
    <hyperlink ref="BP547" r:id="rId542" xr:uid="{00000000-0004-0000-0200-00001D020000}"/>
    <hyperlink ref="BP548" r:id="rId543" xr:uid="{00000000-0004-0000-0200-00001E020000}"/>
    <hyperlink ref="BP549" r:id="rId544" xr:uid="{00000000-0004-0000-0200-00001F020000}"/>
    <hyperlink ref="BP550" r:id="rId545" xr:uid="{00000000-0004-0000-0200-000020020000}"/>
    <hyperlink ref="BP551" r:id="rId546" xr:uid="{00000000-0004-0000-0200-000021020000}"/>
    <hyperlink ref="BP552" r:id="rId547" xr:uid="{00000000-0004-0000-0200-000022020000}"/>
    <hyperlink ref="BP553" r:id="rId548" xr:uid="{00000000-0004-0000-0200-000023020000}"/>
    <hyperlink ref="BP554" r:id="rId549" xr:uid="{00000000-0004-0000-0200-000024020000}"/>
    <hyperlink ref="BP555" r:id="rId550" xr:uid="{00000000-0004-0000-0200-000025020000}"/>
    <hyperlink ref="BP556" r:id="rId551" xr:uid="{00000000-0004-0000-0200-000026020000}"/>
    <hyperlink ref="BP557" r:id="rId552" xr:uid="{00000000-0004-0000-0200-000027020000}"/>
    <hyperlink ref="BP558" r:id="rId553" xr:uid="{00000000-0004-0000-0200-000028020000}"/>
    <hyperlink ref="BP559" r:id="rId554" xr:uid="{00000000-0004-0000-0200-000029020000}"/>
    <hyperlink ref="BP560" r:id="rId555" xr:uid="{00000000-0004-0000-0200-00002A020000}"/>
    <hyperlink ref="BP561" r:id="rId556" xr:uid="{00000000-0004-0000-0200-00002B020000}"/>
    <hyperlink ref="BP562" r:id="rId557" xr:uid="{00000000-0004-0000-0200-00002C020000}"/>
    <hyperlink ref="BP563" r:id="rId558" xr:uid="{00000000-0004-0000-0200-00002D020000}"/>
    <hyperlink ref="BP564" r:id="rId559" xr:uid="{00000000-0004-0000-0200-00002E020000}"/>
    <hyperlink ref="BP565" r:id="rId560" xr:uid="{00000000-0004-0000-0200-00002F020000}"/>
    <hyperlink ref="BP566" r:id="rId561" xr:uid="{00000000-0004-0000-0200-000030020000}"/>
    <hyperlink ref="BP567" r:id="rId562" xr:uid="{00000000-0004-0000-0200-000031020000}"/>
    <hyperlink ref="BP568" r:id="rId563" xr:uid="{00000000-0004-0000-0200-000032020000}"/>
    <hyperlink ref="BP569" r:id="rId564" xr:uid="{00000000-0004-0000-0200-000033020000}"/>
    <hyperlink ref="BP570" r:id="rId565" xr:uid="{00000000-0004-0000-0200-000034020000}"/>
    <hyperlink ref="BP571" r:id="rId566" xr:uid="{00000000-0004-0000-0200-000035020000}"/>
    <hyperlink ref="BP572" r:id="rId567" xr:uid="{00000000-0004-0000-0200-000036020000}"/>
    <hyperlink ref="BP573" r:id="rId568" xr:uid="{00000000-0004-0000-0200-000037020000}"/>
    <hyperlink ref="BP574" r:id="rId569" xr:uid="{00000000-0004-0000-0200-000038020000}"/>
    <hyperlink ref="BP575" r:id="rId570" xr:uid="{00000000-0004-0000-0200-000039020000}"/>
    <hyperlink ref="BP576" r:id="rId571" xr:uid="{00000000-0004-0000-0200-00003A020000}"/>
    <hyperlink ref="BP577" r:id="rId572" xr:uid="{00000000-0004-0000-0200-00003B020000}"/>
    <hyperlink ref="BP578" r:id="rId573" xr:uid="{00000000-0004-0000-0200-00003C020000}"/>
    <hyperlink ref="BP579" r:id="rId574" xr:uid="{00000000-0004-0000-0200-00003D020000}"/>
    <hyperlink ref="BP580" r:id="rId575" xr:uid="{00000000-0004-0000-0200-00003E020000}"/>
    <hyperlink ref="BP581" r:id="rId576" xr:uid="{00000000-0004-0000-0200-00003F020000}"/>
    <hyperlink ref="BP582" r:id="rId577" xr:uid="{00000000-0004-0000-0200-000040020000}"/>
    <hyperlink ref="BP583" r:id="rId578" xr:uid="{00000000-0004-0000-0200-000041020000}"/>
    <hyperlink ref="BP584" r:id="rId579" xr:uid="{00000000-0004-0000-0200-000042020000}"/>
    <hyperlink ref="BP585" r:id="rId580" xr:uid="{00000000-0004-0000-0200-000043020000}"/>
    <hyperlink ref="BP586" r:id="rId581" xr:uid="{00000000-0004-0000-0200-000044020000}"/>
    <hyperlink ref="BP587" r:id="rId582" xr:uid="{00000000-0004-0000-0200-000045020000}"/>
    <hyperlink ref="BP588" r:id="rId583" xr:uid="{00000000-0004-0000-0200-000046020000}"/>
    <hyperlink ref="BP589" r:id="rId584" xr:uid="{00000000-0004-0000-0200-000047020000}"/>
    <hyperlink ref="BP590" r:id="rId585" xr:uid="{00000000-0004-0000-0200-000048020000}"/>
    <hyperlink ref="BP591" r:id="rId586" xr:uid="{00000000-0004-0000-0200-000049020000}"/>
    <hyperlink ref="BP592" r:id="rId587" xr:uid="{00000000-0004-0000-0200-00004A020000}"/>
    <hyperlink ref="BP593" r:id="rId588" xr:uid="{00000000-0004-0000-0200-00004B020000}"/>
    <hyperlink ref="BP594" r:id="rId589" xr:uid="{00000000-0004-0000-0200-00004C020000}"/>
    <hyperlink ref="BP595" r:id="rId590" xr:uid="{00000000-0004-0000-0200-00004D020000}"/>
    <hyperlink ref="BP596" r:id="rId591" xr:uid="{00000000-0004-0000-0200-00004E020000}"/>
    <hyperlink ref="BP597" r:id="rId592" xr:uid="{00000000-0004-0000-0200-00004F020000}"/>
    <hyperlink ref="BP598" r:id="rId593" xr:uid="{00000000-0004-0000-0200-000050020000}"/>
    <hyperlink ref="BP599" r:id="rId594" xr:uid="{00000000-0004-0000-0200-000051020000}"/>
    <hyperlink ref="BP600" r:id="rId595" xr:uid="{00000000-0004-0000-0200-000052020000}"/>
    <hyperlink ref="BP601" r:id="rId596" xr:uid="{00000000-0004-0000-0200-000053020000}"/>
    <hyperlink ref="BP602" r:id="rId597" xr:uid="{00000000-0004-0000-0200-000054020000}"/>
    <hyperlink ref="BP603" r:id="rId598" xr:uid="{00000000-0004-0000-0200-000055020000}"/>
    <hyperlink ref="BP604" r:id="rId599" xr:uid="{00000000-0004-0000-0200-000056020000}"/>
    <hyperlink ref="BP605" r:id="rId600" xr:uid="{00000000-0004-0000-0200-000057020000}"/>
    <hyperlink ref="BP606" r:id="rId601" xr:uid="{00000000-0004-0000-0200-000058020000}"/>
    <hyperlink ref="BP607" r:id="rId602" xr:uid="{00000000-0004-0000-0200-000059020000}"/>
    <hyperlink ref="BP608" r:id="rId603" xr:uid="{00000000-0004-0000-0200-00005A020000}"/>
    <hyperlink ref="BP609" r:id="rId604" xr:uid="{00000000-0004-0000-0200-00005B020000}"/>
    <hyperlink ref="BP610" r:id="rId605" xr:uid="{00000000-0004-0000-0200-00005C020000}"/>
    <hyperlink ref="BP611" r:id="rId606" xr:uid="{00000000-0004-0000-0200-00005D020000}"/>
    <hyperlink ref="BP612" r:id="rId607" xr:uid="{00000000-0004-0000-0200-00005E020000}"/>
    <hyperlink ref="BP613" r:id="rId608" xr:uid="{00000000-0004-0000-0200-00005F020000}"/>
    <hyperlink ref="BP614" r:id="rId609" xr:uid="{00000000-0004-0000-0200-000060020000}"/>
    <hyperlink ref="BP615" r:id="rId610" xr:uid="{00000000-0004-0000-0200-000061020000}"/>
    <hyperlink ref="BP616" r:id="rId611" xr:uid="{00000000-0004-0000-0200-000062020000}"/>
    <hyperlink ref="BP617" r:id="rId612" xr:uid="{00000000-0004-0000-0200-000063020000}"/>
    <hyperlink ref="BP618" r:id="rId613" xr:uid="{00000000-0004-0000-0200-000064020000}"/>
    <hyperlink ref="BP619" r:id="rId614" xr:uid="{00000000-0004-0000-0200-000065020000}"/>
    <hyperlink ref="BP620" r:id="rId615" xr:uid="{00000000-0004-0000-0200-000066020000}"/>
    <hyperlink ref="BP621" r:id="rId616" xr:uid="{00000000-0004-0000-0200-000067020000}"/>
    <hyperlink ref="BP622" r:id="rId617" xr:uid="{00000000-0004-0000-0200-000068020000}"/>
    <hyperlink ref="BP623" r:id="rId618" xr:uid="{00000000-0004-0000-0200-000069020000}"/>
    <hyperlink ref="BP624" r:id="rId619" xr:uid="{00000000-0004-0000-0200-00006A020000}"/>
    <hyperlink ref="BP625" r:id="rId620" xr:uid="{00000000-0004-0000-0200-00006B020000}"/>
    <hyperlink ref="BP626" r:id="rId621" xr:uid="{00000000-0004-0000-0200-00006C020000}"/>
    <hyperlink ref="BP627" r:id="rId622" xr:uid="{00000000-0004-0000-0200-00006D020000}"/>
    <hyperlink ref="BP628" r:id="rId623" xr:uid="{00000000-0004-0000-0200-00006E020000}"/>
    <hyperlink ref="BP629" r:id="rId624" xr:uid="{00000000-0004-0000-0200-00006F020000}"/>
    <hyperlink ref="BP630" r:id="rId625" xr:uid="{00000000-0004-0000-0200-000070020000}"/>
    <hyperlink ref="BP631" r:id="rId626" xr:uid="{00000000-0004-0000-0200-000071020000}"/>
    <hyperlink ref="BP632" r:id="rId627" xr:uid="{00000000-0004-0000-0200-000072020000}"/>
    <hyperlink ref="BP633" r:id="rId628" xr:uid="{00000000-0004-0000-0200-000073020000}"/>
    <hyperlink ref="BP634" r:id="rId629" xr:uid="{00000000-0004-0000-0200-000074020000}"/>
    <hyperlink ref="BP635" r:id="rId630" xr:uid="{00000000-0004-0000-0200-000075020000}"/>
    <hyperlink ref="BP636" r:id="rId631" xr:uid="{00000000-0004-0000-0200-000076020000}"/>
    <hyperlink ref="BP637" r:id="rId632" xr:uid="{00000000-0004-0000-0200-000077020000}"/>
    <hyperlink ref="BP638" r:id="rId633" xr:uid="{00000000-0004-0000-0200-000078020000}"/>
    <hyperlink ref="BP639" r:id="rId634" xr:uid="{00000000-0004-0000-0200-000079020000}"/>
    <hyperlink ref="BP640" r:id="rId635" xr:uid="{00000000-0004-0000-0200-00007A020000}"/>
    <hyperlink ref="BP641" r:id="rId636" xr:uid="{00000000-0004-0000-0200-00007B020000}"/>
    <hyperlink ref="BP642" r:id="rId637" xr:uid="{00000000-0004-0000-0200-00007C020000}"/>
    <hyperlink ref="BP643" r:id="rId638" xr:uid="{00000000-0004-0000-0200-00007D020000}"/>
    <hyperlink ref="BP644" r:id="rId639" xr:uid="{00000000-0004-0000-0200-00007E020000}"/>
    <hyperlink ref="BP645" r:id="rId640" xr:uid="{00000000-0004-0000-0200-00007F020000}"/>
    <hyperlink ref="BP646" r:id="rId641" xr:uid="{00000000-0004-0000-0200-000080020000}"/>
    <hyperlink ref="BP647" r:id="rId642" xr:uid="{00000000-0004-0000-0200-000081020000}"/>
    <hyperlink ref="BP648" r:id="rId643" xr:uid="{00000000-0004-0000-0200-000082020000}"/>
    <hyperlink ref="BP649" r:id="rId644" xr:uid="{00000000-0004-0000-0200-000083020000}"/>
    <hyperlink ref="BP650" r:id="rId645" xr:uid="{00000000-0004-0000-0200-000084020000}"/>
    <hyperlink ref="BP651" r:id="rId646" xr:uid="{00000000-0004-0000-0200-000085020000}"/>
    <hyperlink ref="BP652" r:id="rId647" xr:uid="{00000000-0004-0000-0200-000086020000}"/>
    <hyperlink ref="BP653" r:id="rId648" xr:uid="{00000000-0004-0000-0200-000087020000}"/>
    <hyperlink ref="BP654" r:id="rId649" xr:uid="{00000000-0004-0000-0200-000088020000}"/>
    <hyperlink ref="BP655" r:id="rId650" xr:uid="{00000000-0004-0000-0200-000089020000}"/>
    <hyperlink ref="BP656" r:id="rId651" xr:uid="{00000000-0004-0000-0200-00008A020000}"/>
    <hyperlink ref="BP657" r:id="rId652" xr:uid="{00000000-0004-0000-0200-00008B020000}"/>
    <hyperlink ref="BP658" r:id="rId653" xr:uid="{00000000-0004-0000-0200-00008C020000}"/>
    <hyperlink ref="BP659" r:id="rId654" xr:uid="{00000000-0004-0000-0200-00008D020000}"/>
    <hyperlink ref="BP660" r:id="rId655" xr:uid="{00000000-0004-0000-0200-00008E020000}"/>
    <hyperlink ref="BP661" r:id="rId656" xr:uid="{00000000-0004-0000-0200-00008F020000}"/>
    <hyperlink ref="BP662" r:id="rId657" xr:uid="{00000000-0004-0000-0200-000090020000}"/>
    <hyperlink ref="BP663" r:id="rId658" xr:uid="{00000000-0004-0000-0200-000091020000}"/>
    <hyperlink ref="BP664" r:id="rId659" xr:uid="{00000000-0004-0000-0200-000092020000}"/>
    <hyperlink ref="BP665" r:id="rId660" xr:uid="{00000000-0004-0000-0200-000093020000}"/>
    <hyperlink ref="BP666" r:id="rId661" xr:uid="{00000000-0004-0000-0200-000094020000}"/>
    <hyperlink ref="BP667" r:id="rId662" xr:uid="{00000000-0004-0000-0200-000095020000}"/>
    <hyperlink ref="BP668" r:id="rId663" xr:uid="{00000000-0004-0000-0200-000096020000}"/>
    <hyperlink ref="BP669" r:id="rId664" xr:uid="{00000000-0004-0000-0200-000097020000}"/>
    <hyperlink ref="BP670" r:id="rId665" xr:uid="{00000000-0004-0000-0200-000098020000}"/>
    <hyperlink ref="BP671" r:id="rId666" xr:uid="{00000000-0004-0000-0200-000099020000}"/>
    <hyperlink ref="BP672" r:id="rId667" xr:uid="{00000000-0004-0000-0200-00009A020000}"/>
    <hyperlink ref="BP673" r:id="rId668" xr:uid="{00000000-0004-0000-0200-00009B020000}"/>
    <hyperlink ref="BP674" r:id="rId669" xr:uid="{00000000-0004-0000-0200-00009C020000}"/>
    <hyperlink ref="BP675" r:id="rId670" xr:uid="{00000000-0004-0000-0200-00009D020000}"/>
    <hyperlink ref="BP676" r:id="rId671" xr:uid="{00000000-0004-0000-0200-00009E020000}"/>
    <hyperlink ref="BP680" r:id="rId672" xr:uid="{00000000-0004-0000-0200-00009F020000}"/>
    <hyperlink ref="BP681" r:id="rId673" xr:uid="{00000000-0004-0000-0200-0000A0020000}"/>
    <hyperlink ref="D682" r:id="rId674" xr:uid="{00000000-0004-0000-0200-0000A1020000}"/>
    <hyperlink ref="BP682" r:id="rId675" xr:uid="{00000000-0004-0000-0200-0000A2020000}"/>
    <hyperlink ref="BP683" r:id="rId676" xr:uid="{00000000-0004-0000-0200-0000A3020000}"/>
    <hyperlink ref="BP684" r:id="rId677" xr:uid="{00000000-0004-0000-0200-0000A4020000}"/>
    <hyperlink ref="BP685" r:id="rId678" xr:uid="{00000000-0004-0000-0200-0000A5020000}"/>
    <hyperlink ref="BP686" r:id="rId679" xr:uid="{00000000-0004-0000-0200-0000A6020000}"/>
    <hyperlink ref="BP687" r:id="rId680" xr:uid="{00000000-0004-0000-0200-0000A7020000}"/>
    <hyperlink ref="BP688" r:id="rId681" xr:uid="{00000000-0004-0000-0200-0000A8020000}"/>
    <hyperlink ref="BP689" r:id="rId682" xr:uid="{00000000-0004-0000-0200-0000A9020000}"/>
    <hyperlink ref="BP690" r:id="rId683" xr:uid="{00000000-0004-0000-0200-0000AA020000}"/>
    <hyperlink ref="BP691" r:id="rId684" xr:uid="{00000000-0004-0000-0200-0000AB020000}"/>
    <hyperlink ref="BP692" r:id="rId685" xr:uid="{00000000-0004-0000-0200-0000AC020000}"/>
    <hyperlink ref="BP693" r:id="rId686" xr:uid="{00000000-0004-0000-0200-0000AD020000}"/>
    <hyperlink ref="BP694" r:id="rId687" xr:uid="{00000000-0004-0000-0200-0000AE020000}"/>
    <hyperlink ref="BP695" r:id="rId688" xr:uid="{00000000-0004-0000-0200-0000AF020000}"/>
    <hyperlink ref="BP696" r:id="rId689" xr:uid="{00000000-0004-0000-0200-0000B0020000}"/>
    <hyperlink ref="BP697" r:id="rId690" xr:uid="{00000000-0004-0000-0200-0000B1020000}"/>
    <hyperlink ref="BP698" r:id="rId691" xr:uid="{00000000-0004-0000-0200-0000B2020000}"/>
    <hyperlink ref="BP699" r:id="rId692" xr:uid="{00000000-0004-0000-0200-0000B3020000}"/>
    <hyperlink ref="BP700" r:id="rId693" xr:uid="{00000000-0004-0000-0200-0000B4020000}"/>
    <hyperlink ref="BP701" r:id="rId694" xr:uid="{00000000-0004-0000-0200-0000B5020000}"/>
    <hyperlink ref="BP702" r:id="rId695" xr:uid="{00000000-0004-0000-0200-0000B6020000}"/>
    <hyperlink ref="BP703" r:id="rId696" xr:uid="{00000000-0004-0000-0200-0000B7020000}"/>
    <hyperlink ref="BP704" r:id="rId697" xr:uid="{00000000-0004-0000-0200-0000B8020000}"/>
    <hyperlink ref="BP705" r:id="rId698" xr:uid="{00000000-0004-0000-0200-0000B9020000}"/>
    <hyperlink ref="BP706" r:id="rId699" xr:uid="{00000000-0004-0000-0200-0000BA020000}"/>
    <hyperlink ref="BP707" r:id="rId700" xr:uid="{00000000-0004-0000-0200-0000BB020000}"/>
    <hyperlink ref="BP708" r:id="rId701" xr:uid="{00000000-0004-0000-0200-0000BC020000}"/>
    <hyperlink ref="BP709" r:id="rId702" xr:uid="{00000000-0004-0000-0200-0000BD020000}"/>
    <hyperlink ref="BP710" r:id="rId703" xr:uid="{00000000-0004-0000-0200-0000BE020000}"/>
    <hyperlink ref="BP711" r:id="rId704" xr:uid="{00000000-0004-0000-0200-0000BF020000}"/>
    <hyperlink ref="BP712" r:id="rId705" xr:uid="{00000000-0004-0000-0200-0000C0020000}"/>
    <hyperlink ref="BP713" r:id="rId706" xr:uid="{00000000-0004-0000-0200-0000C1020000}"/>
    <hyperlink ref="BP714" r:id="rId707" xr:uid="{00000000-0004-0000-0200-0000C2020000}"/>
    <hyperlink ref="BP715" r:id="rId708" xr:uid="{00000000-0004-0000-0200-0000C3020000}"/>
    <hyperlink ref="BP716" r:id="rId709" xr:uid="{00000000-0004-0000-0200-0000C4020000}"/>
    <hyperlink ref="BP717" r:id="rId710" xr:uid="{00000000-0004-0000-0200-0000C5020000}"/>
    <hyperlink ref="BP718" r:id="rId711" xr:uid="{00000000-0004-0000-0200-0000C6020000}"/>
    <hyperlink ref="BP719" r:id="rId712" xr:uid="{00000000-0004-0000-0200-0000C7020000}"/>
    <hyperlink ref="BP720" r:id="rId713" xr:uid="{00000000-0004-0000-0200-0000C8020000}"/>
    <hyperlink ref="BP721" r:id="rId714" xr:uid="{00000000-0004-0000-0200-0000C9020000}"/>
    <hyperlink ref="BP722" r:id="rId715" xr:uid="{00000000-0004-0000-0200-0000CA020000}"/>
    <hyperlink ref="BP723" r:id="rId716" xr:uid="{00000000-0004-0000-0200-0000CB020000}"/>
    <hyperlink ref="BP724" r:id="rId717" xr:uid="{00000000-0004-0000-0200-0000CC020000}"/>
    <hyperlink ref="BP725" r:id="rId718" xr:uid="{00000000-0004-0000-0200-0000CD020000}"/>
    <hyperlink ref="BP726" r:id="rId719" xr:uid="{00000000-0004-0000-0200-0000CE020000}"/>
    <hyperlink ref="BP727" r:id="rId720" xr:uid="{00000000-0004-0000-0200-0000CF020000}"/>
    <hyperlink ref="BP728" r:id="rId721" xr:uid="{00000000-0004-0000-0200-0000D0020000}"/>
    <hyperlink ref="BP729" r:id="rId722" xr:uid="{00000000-0004-0000-0200-0000D1020000}"/>
    <hyperlink ref="BP730" r:id="rId723" xr:uid="{00000000-0004-0000-0200-0000D2020000}"/>
    <hyperlink ref="BP731" r:id="rId724" xr:uid="{00000000-0004-0000-0200-0000D3020000}"/>
    <hyperlink ref="BP732" r:id="rId725" xr:uid="{00000000-0004-0000-0200-0000D4020000}"/>
    <hyperlink ref="BP733" r:id="rId726" xr:uid="{00000000-0004-0000-0200-0000D5020000}"/>
    <hyperlink ref="BP734" r:id="rId727" xr:uid="{00000000-0004-0000-0200-0000D6020000}"/>
    <hyperlink ref="BP735" r:id="rId728" xr:uid="{00000000-0004-0000-0200-0000D7020000}"/>
    <hyperlink ref="BP736" r:id="rId729" xr:uid="{00000000-0004-0000-0200-0000D8020000}"/>
    <hyperlink ref="BP737" r:id="rId730" xr:uid="{00000000-0004-0000-0200-0000D9020000}"/>
    <hyperlink ref="BP738" r:id="rId731" xr:uid="{00000000-0004-0000-0200-0000DA020000}"/>
    <hyperlink ref="BP739" r:id="rId732" xr:uid="{00000000-0004-0000-0200-0000DB020000}"/>
    <hyperlink ref="BP740" r:id="rId733" xr:uid="{00000000-0004-0000-0200-0000DC020000}"/>
    <hyperlink ref="BP741" r:id="rId734" xr:uid="{00000000-0004-0000-0200-0000DD020000}"/>
    <hyperlink ref="BP742" r:id="rId735" xr:uid="{00000000-0004-0000-0200-0000DE020000}"/>
    <hyperlink ref="BP743" r:id="rId736" xr:uid="{00000000-0004-0000-0200-0000DF020000}"/>
    <hyperlink ref="BP744" r:id="rId737" xr:uid="{00000000-0004-0000-0200-0000E0020000}"/>
    <hyperlink ref="BP745" r:id="rId738" xr:uid="{00000000-0004-0000-0200-0000E1020000}"/>
    <hyperlink ref="BP746" r:id="rId739" xr:uid="{00000000-0004-0000-0200-0000E2020000}"/>
    <hyperlink ref="BP747" r:id="rId740" xr:uid="{00000000-0004-0000-0200-0000E3020000}"/>
    <hyperlink ref="BP748" r:id="rId741" xr:uid="{00000000-0004-0000-0200-0000E4020000}"/>
    <hyperlink ref="BP749" r:id="rId742" xr:uid="{00000000-0004-0000-0200-0000E5020000}"/>
    <hyperlink ref="BP750" r:id="rId743" xr:uid="{00000000-0004-0000-0200-0000E6020000}"/>
    <hyperlink ref="BP751" r:id="rId744" xr:uid="{00000000-0004-0000-0200-0000E7020000}"/>
    <hyperlink ref="BP752" r:id="rId745" xr:uid="{00000000-0004-0000-0200-0000E8020000}"/>
    <hyperlink ref="BP753" r:id="rId746" xr:uid="{00000000-0004-0000-0200-0000E9020000}"/>
    <hyperlink ref="BP754" r:id="rId747" xr:uid="{00000000-0004-0000-0200-0000EA020000}"/>
    <hyperlink ref="BP755" r:id="rId748" xr:uid="{00000000-0004-0000-0200-0000EB020000}"/>
    <hyperlink ref="BP756" r:id="rId749" xr:uid="{00000000-0004-0000-0200-0000EC020000}"/>
    <hyperlink ref="BP757" r:id="rId750" xr:uid="{00000000-0004-0000-0200-0000ED020000}"/>
    <hyperlink ref="BP758" r:id="rId751" xr:uid="{00000000-0004-0000-0200-0000EE020000}"/>
    <hyperlink ref="BP759" r:id="rId752" xr:uid="{00000000-0004-0000-0200-0000EF020000}"/>
    <hyperlink ref="BP760" r:id="rId753" xr:uid="{00000000-0004-0000-0200-0000F0020000}"/>
    <hyperlink ref="BP761" r:id="rId754" xr:uid="{00000000-0004-0000-0200-0000F1020000}"/>
    <hyperlink ref="BP762" r:id="rId755" xr:uid="{00000000-0004-0000-0200-0000F2020000}"/>
    <hyperlink ref="BP763" r:id="rId756" xr:uid="{00000000-0004-0000-0200-0000F3020000}"/>
    <hyperlink ref="BP764" r:id="rId757" xr:uid="{00000000-0004-0000-0200-0000F4020000}"/>
    <hyperlink ref="BP765" r:id="rId758" xr:uid="{00000000-0004-0000-0200-0000F5020000}"/>
    <hyperlink ref="BP766" r:id="rId759" xr:uid="{00000000-0004-0000-0200-0000F6020000}"/>
    <hyperlink ref="BP767" r:id="rId760" xr:uid="{00000000-0004-0000-0200-0000F7020000}"/>
    <hyperlink ref="BP768" r:id="rId761" xr:uid="{00000000-0004-0000-0200-0000F8020000}"/>
    <hyperlink ref="BP769" r:id="rId762" xr:uid="{00000000-0004-0000-0200-0000F9020000}"/>
    <hyperlink ref="BP770" r:id="rId763" xr:uid="{00000000-0004-0000-0200-0000FA020000}"/>
    <hyperlink ref="BP771" r:id="rId764" xr:uid="{00000000-0004-0000-0200-0000FB020000}"/>
    <hyperlink ref="BP772" r:id="rId765" xr:uid="{00000000-0004-0000-0200-0000FC020000}"/>
    <hyperlink ref="BP773" r:id="rId766" xr:uid="{00000000-0004-0000-0200-0000FD020000}"/>
    <hyperlink ref="BP774" r:id="rId767" xr:uid="{00000000-0004-0000-0200-0000FE020000}"/>
    <hyperlink ref="BP775" r:id="rId768" xr:uid="{00000000-0004-0000-0200-0000FF020000}"/>
    <hyperlink ref="BP776" r:id="rId769" xr:uid="{00000000-0004-0000-0200-000000030000}"/>
    <hyperlink ref="BP777" r:id="rId770" xr:uid="{00000000-0004-0000-0200-000001030000}"/>
    <hyperlink ref="BP778" r:id="rId771" xr:uid="{00000000-0004-0000-0200-000002030000}"/>
    <hyperlink ref="BP779" r:id="rId772" xr:uid="{00000000-0004-0000-0200-000003030000}"/>
    <hyperlink ref="BP780" r:id="rId773" xr:uid="{00000000-0004-0000-0200-000004030000}"/>
    <hyperlink ref="BP781" r:id="rId774" xr:uid="{00000000-0004-0000-0200-000005030000}"/>
    <hyperlink ref="BP782" r:id="rId775" xr:uid="{00000000-0004-0000-0200-000006030000}"/>
    <hyperlink ref="BP783" r:id="rId776" xr:uid="{00000000-0004-0000-0200-000007030000}"/>
    <hyperlink ref="BP784" r:id="rId777" xr:uid="{00000000-0004-0000-0200-000008030000}"/>
    <hyperlink ref="BP785" r:id="rId778" xr:uid="{00000000-0004-0000-0200-000009030000}"/>
    <hyperlink ref="BP786" r:id="rId779" xr:uid="{00000000-0004-0000-0200-00000A030000}"/>
    <hyperlink ref="BP787" r:id="rId780" xr:uid="{00000000-0004-0000-0200-00000B030000}"/>
    <hyperlink ref="BP788" r:id="rId781" xr:uid="{00000000-0004-0000-0200-00000C030000}"/>
    <hyperlink ref="BP789" r:id="rId782" xr:uid="{00000000-0004-0000-0200-00000D030000}"/>
    <hyperlink ref="BP790" r:id="rId783" xr:uid="{00000000-0004-0000-0200-00000E030000}"/>
    <hyperlink ref="BP791" r:id="rId784" xr:uid="{00000000-0004-0000-0200-00000F030000}"/>
    <hyperlink ref="BP792" r:id="rId785" xr:uid="{00000000-0004-0000-0200-000010030000}"/>
    <hyperlink ref="BP793" r:id="rId786" xr:uid="{00000000-0004-0000-0200-000011030000}"/>
    <hyperlink ref="BP794" r:id="rId787" xr:uid="{00000000-0004-0000-0200-000012030000}"/>
    <hyperlink ref="BP795" r:id="rId788" xr:uid="{00000000-0004-0000-0200-000013030000}"/>
    <hyperlink ref="BP796" r:id="rId789" xr:uid="{00000000-0004-0000-0200-000014030000}"/>
    <hyperlink ref="BP797" r:id="rId790" xr:uid="{00000000-0004-0000-0200-000015030000}"/>
    <hyperlink ref="BP798" r:id="rId791" xr:uid="{00000000-0004-0000-0200-000016030000}"/>
    <hyperlink ref="BP799" r:id="rId792" xr:uid="{00000000-0004-0000-0200-000017030000}"/>
    <hyperlink ref="BP800" r:id="rId793" xr:uid="{00000000-0004-0000-0200-000018030000}"/>
    <hyperlink ref="BP801" r:id="rId794" xr:uid="{00000000-0004-0000-0200-000019030000}"/>
    <hyperlink ref="BP802" r:id="rId795" xr:uid="{00000000-0004-0000-0200-00001A030000}"/>
    <hyperlink ref="BP803" r:id="rId796" xr:uid="{00000000-0004-0000-0200-00001B030000}"/>
    <hyperlink ref="BP804" r:id="rId797" xr:uid="{00000000-0004-0000-0200-00001C030000}"/>
    <hyperlink ref="BP805" r:id="rId798" xr:uid="{00000000-0004-0000-0200-00001D030000}"/>
    <hyperlink ref="BP806" r:id="rId799" xr:uid="{00000000-0004-0000-0200-00001E030000}"/>
    <hyperlink ref="BP807" r:id="rId800" xr:uid="{00000000-0004-0000-0200-00001F030000}"/>
    <hyperlink ref="BP808" r:id="rId801" xr:uid="{00000000-0004-0000-0200-000020030000}"/>
    <hyperlink ref="BP809" r:id="rId802" xr:uid="{00000000-0004-0000-0200-000021030000}"/>
    <hyperlink ref="BP810" r:id="rId803" xr:uid="{00000000-0004-0000-0200-000022030000}"/>
    <hyperlink ref="BP811" r:id="rId804" xr:uid="{00000000-0004-0000-0200-000023030000}"/>
    <hyperlink ref="BP812" r:id="rId805" xr:uid="{00000000-0004-0000-0200-000024030000}"/>
    <hyperlink ref="BP813" r:id="rId806" xr:uid="{00000000-0004-0000-0200-000025030000}"/>
    <hyperlink ref="BP814" r:id="rId807" xr:uid="{00000000-0004-0000-0200-000026030000}"/>
    <hyperlink ref="BP815" r:id="rId808" xr:uid="{00000000-0004-0000-0200-000027030000}"/>
    <hyperlink ref="BP816" r:id="rId809" xr:uid="{00000000-0004-0000-0200-000028030000}"/>
    <hyperlink ref="BP817" r:id="rId810" xr:uid="{00000000-0004-0000-0200-000029030000}"/>
    <hyperlink ref="BP818" r:id="rId811" xr:uid="{00000000-0004-0000-0200-00002A030000}"/>
    <hyperlink ref="BP819" r:id="rId812" xr:uid="{00000000-0004-0000-0200-00002B030000}"/>
    <hyperlink ref="BP820" r:id="rId813" xr:uid="{00000000-0004-0000-0200-00002C030000}"/>
    <hyperlink ref="BP821" r:id="rId814" xr:uid="{00000000-0004-0000-0200-00002D030000}"/>
    <hyperlink ref="BP822" r:id="rId815" xr:uid="{00000000-0004-0000-0200-00002E030000}"/>
    <hyperlink ref="BP823" r:id="rId816" xr:uid="{00000000-0004-0000-0200-00002F030000}"/>
    <hyperlink ref="BP824" r:id="rId817" xr:uid="{00000000-0004-0000-0200-000030030000}"/>
    <hyperlink ref="BP825" r:id="rId818" xr:uid="{00000000-0004-0000-0200-000031030000}"/>
    <hyperlink ref="BP826" r:id="rId819" xr:uid="{00000000-0004-0000-0200-000032030000}"/>
    <hyperlink ref="BP827" r:id="rId820" xr:uid="{00000000-0004-0000-0200-000033030000}"/>
    <hyperlink ref="BP828" r:id="rId821" xr:uid="{00000000-0004-0000-0200-000034030000}"/>
    <hyperlink ref="BP829" r:id="rId822" xr:uid="{00000000-0004-0000-0200-000035030000}"/>
    <hyperlink ref="BP830" r:id="rId823" xr:uid="{00000000-0004-0000-0200-000036030000}"/>
    <hyperlink ref="BP831" r:id="rId824" xr:uid="{00000000-0004-0000-0200-000037030000}"/>
    <hyperlink ref="BP832" r:id="rId825" xr:uid="{00000000-0004-0000-0200-000038030000}"/>
    <hyperlink ref="BP833" r:id="rId826" xr:uid="{00000000-0004-0000-0200-000039030000}"/>
    <hyperlink ref="BP834" r:id="rId827" xr:uid="{00000000-0004-0000-0200-00003A030000}"/>
    <hyperlink ref="BP835" r:id="rId828" xr:uid="{00000000-0004-0000-0200-00003B030000}"/>
    <hyperlink ref="BP836" r:id="rId829" xr:uid="{00000000-0004-0000-0200-00003C030000}"/>
    <hyperlink ref="BP837" r:id="rId830" xr:uid="{00000000-0004-0000-0200-00003D030000}"/>
    <hyperlink ref="BP838" r:id="rId831" xr:uid="{00000000-0004-0000-0200-00003E030000}"/>
    <hyperlink ref="BP839" r:id="rId832" xr:uid="{00000000-0004-0000-0200-00003F030000}"/>
    <hyperlink ref="BP840" r:id="rId833" xr:uid="{00000000-0004-0000-0200-000040030000}"/>
    <hyperlink ref="BP841" r:id="rId834" xr:uid="{00000000-0004-0000-0200-000041030000}"/>
    <hyperlink ref="BP842" r:id="rId835" xr:uid="{00000000-0004-0000-0200-000042030000}"/>
    <hyperlink ref="BP843" r:id="rId836" xr:uid="{00000000-0004-0000-0200-000043030000}"/>
    <hyperlink ref="BP844" r:id="rId837" xr:uid="{00000000-0004-0000-0200-000044030000}"/>
    <hyperlink ref="BP845" r:id="rId838" xr:uid="{00000000-0004-0000-0200-000045030000}"/>
    <hyperlink ref="BP846" r:id="rId839" xr:uid="{00000000-0004-0000-0200-000046030000}"/>
    <hyperlink ref="BP847" r:id="rId840" xr:uid="{00000000-0004-0000-0200-000047030000}"/>
    <hyperlink ref="BP848" r:id="rId841" xr:uid="{00000000-0004-0000-0200-000048030000}"/>
    <hyperlink ref="BP849" r:id="rId842" xr:uid="{00000000-0004-0000-0200-000049030000}"/>
    <hyperlink ref="BP850" r:id="rId843" xr:uid="{00000000-0004-0000-0200-00004A030000}"/>
    <hyperlink ref="BP851" r:id="rId844" xr:uid="{00000000-0004-0000-0200-00004B030000}"/>
    <hyperlink ref="BP852" r:id="rId845" xr:uid="{00000000-0004-0000-0200-00004C030000}"/>
    <hyperlink ref="BP853" r:id="rId846" xr:uid="{00000000-0004-0000-0200-00004D030000}"/>
    <hyperlink ref="BP854" r:id="rId847" xr:uid="{00000000-0004-0000-0200-00004E030000}"/>
    <hyperlink ref="BP855" r:id="rId848" xr:uid="{00000000-0004-0000-0200-00004F030000}"/>
    <hyperlink ref="BP856" r:id="rId849" xr:uid="{00000000-0004-0000-0200-000050030000}"/>
    <hyperlink ref="BP857" r:id="rId850" xr:uid="{00000000-0004-0000-0200-000051030000}"/>
    <hyperlink ref="BP858" r:id="rId851" xr:uid="{00000000-0004-0000-0200-000052030000}"/>
    <hyperlink ref="BP859" r:id="rId852" xr:uid="{00000000-0004-0000-0200-000053030000}"/>
    <hyperlink ref="BP860" r:id="rId853" xr:uid="{00000000-0004-0000-0200-000054030000}"/>
    <hyperlink ref="BP861" r:id="rId854" xr:uid="{00000000-0004-0000-0200-000055030000}"/>
    <hyperlink ref="BP862" r:id="rId855" xr:uid="{00000000-0004-0000-0200-000056030000}"/>
    <hyperlink ref="BP863" r:id="rId856" xr:uid="{00000000-0004-0000-0200-000057030000}"/>
    <hyperlink ref="BP864" r:id="rId857" xr:uid="{00000000-0004-0000-0200-000058030000}"/>
    <hyperlink ref="BP865" r:id="rId858" xr:uid="{00000000-0004-0000-0200-000059030000}"/>
    <hyperlink ref="BP866" r:id="rId859" xr:uid="{00000000-0004-0000-0200-00005A030000}"/>
    <hyperlink ref="BP867" r:id="rId860" xr:uid="{00000000-0004-0000-0200-00005B030000}"/>
    <hyperlink ref="BP868" r:id="rId861" xr:uid="{00000000-0004-0000-0200-00005C030000}"/>
    <hyperlink ref="BP869" r:id="rId862" xr:uid="{00000000-0004-0000-0200-00005D030000}"/>
    <hyperlink ref="BP870" r:id="rId863" xr:uid="{00000000-0004-0000-0200-00005E030000}"/>
    <hyperlink ref="BP871" r:id="rId864" xr:uid="{00000000-0004-0000-0200-00005F030000}"/>
    <hyperlink ref="BP872" r:id="rId865" xr:uid="{00000000-0004-0000-0200-000060030000}"/>
    <hyperlink ref="BP873" r:id="rId866" xr:uid="{00000000-0004-0000-0200-000061030000}"/>
    <hyperlink ref="BP874" r:id="rId867" xr:uid="{00000000-0004-0000-0200-000062030000}"/>
    <hyperlink ref="BP875" r:id="rId868" xr:uid="{00000000-0004-0000-0200-000063030000}"/>
    <hyperlink ref="BP876" r:id="rId869" xr:uid="{00000000-0004-0000-0200-000064030000}"/>
    <hyperlink ref="BP877" r:id="rId870" xr:uid="{00000000-0004-0000-0200-000065030000}"/>
    <hyperlink ref="BP878" r:id="rId871" xr:uid="{00000000-0004-0000-0200-000066030000}"/>
    <hyperlink ref="BP879" r:id="rId872" xr:uid="{00000000-0004-0000-0200-000067030000}"/>
    <hyperlink ref="BP880" r:id="rId873" xr:uid="{00000000-0004-0000-0200-000068030000}"/>
    <hyperlink ref="BP881" r:id="rId874" xr:uid="{00000000-0004-0000-0200-000069030000}"/>
    <hyperlink ref="BP882" r:id="rId875" xr:uid="{00000000-0004-0000-0200-00006A030000}"/>
    <hyperlink ref="BP883" r:id="rId876" xr:uid="{00000000-0004-0000-0200-00006B030000}"/>
    <hyperlink ref="BP884" r:id="rId877" xr:uid="{00000000-0004-0000-0200-00006C030000}"/>
    <hyperlink ref="BP885" r:id="rId878" xr:uid="{00000000-0004-0000-0200-00006D030000}"/>
    <hyperlink ref="BP886" r:id="rId879" xr:uid="{00000000-0004-0000-0200-00006E030000}"/>
    <hyperlink ref="BP887" r:id="rId880" xr:uid="{00000000-0004-0000-0200-00006F030000}"/>
    <hyperlink ref="BP888" r:id="rId881" xr:uid="{00000000-0004-0000-0200-000070030000}"/>
    <hyperlink ref="BP889" r:id="rId882" xr:uid="{00000000-0004-0000-0200-000071030000}"/>
    <hyperlink ref="BP890" r:id="rId883" xr:uid="{00000000-0004-0000-0200-000072030000}"/>
    <hyperlink ref="BP891" r:id="rId884" xr:uid="{00000000-0004-0000-0200-000073030000}"/>
    <hyperlink ref="BP892" r:id="rId885" xr:uid="{00000000-0004-0000-0200-000074030000}"/>
    <hyperlink ref="BP893" r:id="rId886" xr:uid="{00000000-0004-0000-0200-000075030000}"/>
    <hyperlink ref="BP894" r:id="rId887" xr:uid="{00000000-0004-0000-0200-000076030000}"/>
    <hyperlink ref="BP895" r:id="rId888" xr:uid="{00000000-0004-0000-0200-000077030000}"/>
    <hyperlink ref="BP896" r:id="rId889" xr:uid="{00000000-0004-0000-0200-000078030000}"/>
    <hyperlink ref="BP897" r:id="rId890" xr:uid="{00000000-0004-0000-0200-000079030000}"/>
    <hyperlink ref="BP898" r:id="rId891" xr:uid="{00000000-0004-0000-0200-00007A030000}"/>
    <hyperlink ref="BP899" r:id="rId892" xr:uid="{00000000-0004-0000-0200-00007B030000}"/>
    <hyperlink ref="BP900" r:id="rId893" xr:uid="{00000000-0004-0000-0200-00007C030000}"/>
    <hyperlink ref="BP901" r:id="rId894" xr:uid="{00000000-0004-0000-0200-00007D030000}"/>
    <hyperlink ref="BP902" r:id="rId895" xr:uid="{00000000-0004-0000-0200-00007E030000}"/>
    <hyperlink ref="BP903" r:id="rId896" xr:uid="{00000000-0004-0000-0200-00007F030000}"/>
    <hyperlink ref="BP904" r:id="rId897" xr:uid="{00000000-0004-0000-0200-000080030000}"/>
    <hyperlink ref="BP905" r:id="rId898" xr:uid="{00000000-0004-0000-0200-000081030000}"/>
    <hyperlink ref="BP906" r:id="rId899" xr:uid="{00000000-0004-0000-0200-000082030000}"/>
    <hyperlink ref="BP907" r:id="rId900" xr:uid="{00000000-0004-0000-0200-000083030000}"/>
    <hyperlink ref="BP908" r:id="rId901" xr:uid="{00000000-0004-0000-0200-000084030000}"/>
    <hyperlink ref="BP909" r:id="rId902" xr:uid="{00000000-0004-0000-0200-000085030000}"/>
    <hyperlink ref="BP910" r:id="rId903" xr:uid="{00000000-0004-0000-0200-000086030000}"/>
    <hyperlink ref="BP911" r:id="rId904" xr:uid="{00000000-0004-0000-0200-000087030000}"/>
    <hyperlink ref="BP912" r:id="rId905" xr:uid="{00000000-0004-0000-0200-000088030000}"/>
    <hyperlink ref="BP913" r:id="rId906" xr:uid="{00000000-0004-0000-0200-000089030000}"/>
    <hyperlink ref="BP914" r:id="rId907" xr:uid="{00000000-0004-0000-0200-00008A030000}"/>
    <hyperlink ref="BP915" r:id="rId908" xr:uid="{00000000-0004-0000-0200-00008B030000}"/>
    <hyperlink ref="BP916" r:id="rId909" xr:uid="{00000000-0004-0000-0200-00008C030000}"/>
    <hyperlink ref="BP917" r:id="rId910" xr:uid="{00000000-0004-0000-0200-00008D030000}"/>
    <hyperlink ref="BP918" r:id="rId911" xr:uid="{00000000-0004-0000-0200-00008E030000}"/>
    <hyperlink ref="BP919" r:id="rId912" xr:uid="{00000000-0004-0000-0200-00008F030000}"/>
    <hyperlink ref="BP920" r:id="rId913" xr:uid="{00000000-0004-0000-0200-000090030000}"/>
    <hyperlink ref="BP921" r:id="rId914" xr:uid="{00000000-0004-0000-0200-000091030000}"/>
    <hyperlink ref="BP922" r:id="rId915" xr:uid="{00000000-0004-0000-0200-000092030000}"/>
    <hyperlink ref="BP923" r:id="rId916" xr:uid="{00000000-0004-0000-0200-000093030000}"/>
    <hyperlink ref="BP924" r:id="rId917" xr:uid="{00000000-0004-0000-0200-000094030000}"/>
    <hyperlink ref="BP925" r:id="rId918" xr:uid="{00000000-0004-0000-0200-000095030000}"/>
    <hyperlink ref="BP926" r:id="rId919" xr:uid="{00000000-0004-0000-0200-000096030000}"/>
    <hyperlink ref="BP927" r:id="rId920" xr:uid="{00000000-0004-0000-0200-000097030000}"/>
    <hyperlink ref="BP928" r:id="rId921" xr:uid="{00000000-0004-0000-0200-000098030000}"/>
    <hyperlink ref="BP929" r:id="rId922" xr:uid="{00000000-0004-0000-0200-000099030000}"/>
    <hyperlink ref="BP930" r:id="rId923" xr:uid="{00000000-0004-0000-0200-00009A030000}"/>
    <hyperlink ref="BP931" r:id="rId924" xr:uid="{00000000-0004-0000-0200-00009B030000}"/>
    <hyperlink ref="BP932" r:id="rId925" xr:uid="{00000000-0004-0000-0200-00009C030000}"/>
    <hyperlink ref="BP933" r:id="rId926" xr:uid="{00000000-0004-0000-0200-00009D030000}"/>
    <hyperlink ref="BP934" r:id="rId927" xr:uid="{00000000-0004-0000-0200-00009E030000}"/>
    <hyperlink ref="BP935" r:id="rId928" xr:uid="{00000000-0004-0000-0200-00009F030000}"/>
    <hyperlink ref="BP936" r:id="rId929" xr:uid="{00000000-0004-0000-0200-0000A0030000}"/>
    <hyperlink ref="BP937" r:id="rId930" xr:uid="{00000000-0004-0000-0200-0000A1030000}"/>
    <hyperlink ref="BP938" r:id="rId931" xr:uid="{00000000-0004-0000-0200-0000A2030000}"/>
    <hyperlink ref="BP939" r:id="rId932" xr:uid="{00000000-0004-0000-0200-0000A3030000}"/>
    <hyperlink ref="BP940" r:id="rId933" xr:uid="{00000000-0004-0000-0200-0000A4030000}"/>
    <hyperlink ref="BP941" r:id="rId934" xr:uid="{00000000-0004-0000-0200-0000A5030000}"/>
    <hyperlink ref="BP942" r:id="rId935" xr:uid="{00000000-0004-0000-0200-0000A6030000}"/>
    <hyperlink ref="BP943" r:id="rId936" xr:uid="{00000000-0004-0000-0200-0000A7030000}"/>
    <hyperlink ref="BP944" r:id="rId937" xr:uid="{00000000-0004-0000-0200-0000A8030000}"/>
    <hyperlink ref="BP945" r:id="rId938" xr:uid="{00000000-0004-0000-0200-0000A9030000}"/>
    <hyperlink ref="BP946" r:id="rId939" xr:uid="{00000000-0004-0000-0200-0000AA030000}"/>
    <hyperlink ref="BP947" r:id="rId940" xr:uid="{00000000-0004-0000-0200-0000AB030000}"/>
    <hyperlink ref="BP948" r:id="rId941" xr:uid="{00000000-0004-0000-0200-0000AC030000}"/>
    <hyperlink ref="BP949" r:id="rId942" xr:uid="{00000000-0004-0000-0200-0000AD030000}"/>
    <hyperlink ref="BP950" r:id="rId943" xr:uid="{00000000-0004-0000-0200-0000AE030000}"/>
    <hyperlink ref="BP951" r:id="rId944" xr:uid="{00000000-0004-0000-0200-0000AF030000}"/>
    <hyperlink ref="BP952" r:id="rId945" xr:uid="{00000000-0004-0000-0200-0000B0030000}"/>
    <hyperlink ref="BP953" r:id="rId946" xr:uid="{00000000-0004-0000-0200-0000B1030000}"/>
    <hyperlink ref="BP954" r:id="rId947" xr:uid="{00000000-0004-0000-0200-0000B2030000}"/>
    <hyperlink ref="BP955" r:id="rId948" xr:uid="{00000000-0004-0000-0200-0000B3030000}"/>
    <hyperlink ref="BP956" r:id="rId949" xr:uid="{00000000-0004-0000-0200-0000B4030000}"/>
    <hyperlink ref="BP957" r:id="rId950" xr:uid="{00000000-0004-0000-0200-0000B5030000}"/>
    <hyperlink ref="BP958" r:id="rId951" xr:uid="{00000000-0004-0000-0200-0000B6030000}"/>
    <hyperlink ref="BP959" r:id="rId952" xr:uid="{00000000-0004-0000-0200-0000B7030000}"/>
    <hyperlink ref="BP960" r:id="rId953" xr:uid="{00000000-0004-0000-0200-0000B8030000}"/>
    <hyperlink ref="BP961" r:id="rId954" xr:uid="{00000000-0004-0000-0200-0000B9030000}"/>
    <hyperlink ref="BP962" r:id="rId955" xr:uid="{00000000-0004-0000-0200-0000BA030000}"/>
    <hyperlink ref="BP963" r:id="rId956" xr:uid="{00000000-0004-0000-0200-0000BB030000}"/>
    <hyperlink ref="BP964" r:id="rId957" xr:uid="{00000000-0004-0000-0200-0000BC030000}"/>
    <hyperlink ref="BP965" r:id="rId958" xr:uid="{00000000-0004-0000-0200-0000BD030000}"/>
    <hyperlink ref="BP966" r:id="rId959" xr:uid="{00000000-0004-0000-0200-0000BE030000}"/>
    <hyperlink ref="BP967" r:id="rId960" xr:uid="{00000000-0004-0000-0200-0000BF030000}"/>
    <hyperlink ref="BP968" r:id="rId961" xr:uid="{00000000-0004-0000-0200-0000C0030000}"/>
    <hyperlink ref="BP969" r:id="rId962" xr:uid="{00000000-0004-0000-0200-0000C1030000}"/>
    <hyperlink ref="BP970" r:id="rId963" xr:uid="{00000000-0004-0000-0200-0000C2030000}"/>
    <hyperlink ref="BP971" r:id="rId964" xr:uid="{00000000-0004-0000-0200-0000C3030000}"/>
    <hyperlink ref="BP972" r:id="rId965" xr:uid="{00000000-0004-0000-0200-0000C4030000}"/>
    <hyperlink ref="BP973" r:id="rId966" xr:uid="{00000000-0004-0000-0200-0000C5030000}"/>
    <hyperlink ref="BP974" r:id="rId967" xr:uid="{00000000-0004-0000-0200-0000C6030000}"/>
    <hyperlink ref="BP975" r:id="rId968" xr:uid="{00000000-0004-0000-0200-0000C7030000}"/>
    <hyperlink ref="BP976" r:id="rId969" xr:uid="{00000000-0004-0000-0200-0000C8030000}"/>
    <hyperlink ref="BP977" r:id="rId970" xr:uid="{00000000-0004-0000-0200-0000C9030000}"/>
    <hyperlink ref="BP978" r:id="rId971" xr:uid="{00000000-0004-0000-0200-0000CA030000}"/>
    <hyperlink ref="BP979" r:id="rId972" xr:uid="{00000000-0004-0000-0200-0000CB030000}"/>
    <hyperlink ref="BP980" r:id="rId973" xr:uid="{00000000-0004-0000-0200-0000CC030000}"/>
    <hyperlink ref="BP981" r:id="rId974" xr:uid="{00000000-0004-0000-0200-0000CD030000}"/>
    <hyperlink ref="BP982" r:id="rId975" xr:uid="{00000000-0004-0000-0200-0000CE030000}"/>
    <hyperlink ref="BP983" r:id="rId976" xr:uid="{00000000-0004-0000-0200-0000CF030000}"/>
    <hyperlink ref="BP984" r:id="rId977" xr:uid="{00000000-0004-0000-0200-0000D0030000}"/>
    <hyperlink ref="BP985" r:id="rId978" xr:uid="{00000000-0004-0000-0200-0000D1030000}"/>
    <hyperlink ref="BP986" r:id="rId979" xr:uid="{00000000-0004-0000-0200-0000D2030000}"/>
    <hyperlink ref="BP987" r:id="rId980" xr:uid="{00000000-0004-0000-0200-0000D3030000}"/>
    <hyperlink ref="BP988" r:id="rId981" xr:uid="{00000000-0004-0000-0200-0000D4030000}"/>
    <hyperlink ref="BP989" r:id="rId982" xr:uid="{00000000-0004-0000-0200-0000D5030000}"/>
    <hyperlink ref="BP990" r:id="rId983" xr:uid="{00000000-0004-0000-0200-0000D6030000}"/>
    <hyperlink ref="BP991" r:id="rId984" xr:uid="{00000000-0004-0000-0200-0000D7030000}"/>
    <hyperlink ref="BP992" r:id="rId985" xr:uid="{00000000-0004-0000-0200-0000D8030000}"/>
    <hyperlink ref="BP993" r:id="rId986" xr:uid="{00000000-0004-0000-0200-0000D9030000}"/>
    <hyperlink ref="BP994" r:id="rId987" xr:uid="{00000000-0004-0000-0200-0000DA030000}"/>
    <hyperlink ref="BP995" r:id="rId988" xr:uid="{00000000-0004-0000-0200-0000DB030000}"/>
    <hyperlink ref="BP996" r:id="rId989" xr:uid="{00000000-0004-0000-0200-0000DC030000}"/>
    <hyperlink ref="BP997" r:id="rId990" xr:uid="{00000000-0004-0000-0200-0000DD030000}"/>
    <hyperlink ref="BP998" r:id="rId991" xr:uid="{00000000-0004-0000-0200-0000DE030000}"/>
    <hyperlink ref="BP999" r:id="rId992" xr:uid="{00000000-0004-0000-0200-0000DF030000}"/>
    <hyperlink ref="BP1000" r:id="rId993" xr:uid="{00000000-0004-0000-0200-0000E0030000}"/>
    <hyperlink ref="BP1001" r:id="rId994" xr:uid="{00000000-0004-0000-0200-0000E1030000}"/>
    <hyperlink ref="BP1002" r:id="rId995" xr:uid="{00000000-0004-0000-0200-0000E2030000}"/>
    <hyperlink ref="BP1003" r:id="rId996" xr:uid="{00000000-0004-0000-0200-0000E3030000}"/>
    <hyperlink ref="BP1004" r:id="rId997" xr:uid="{00000000-0004-0000-0200-0000E4030000}"/>
    <hyperlink ref="BP1005" r:id="rId998" xr:uid="{00000000-0004-0000-0200-0000E5030000}"/>
    <hyperlink ref="BP1006" r:id="rId999" xr:uid="{00000000-0004-0000-0200-0000E6030000}"/>
    <hyperlink ref="BP1007" r:id="rId1000" xr:uid="{00000000-0004-0000-0200-0000E7030000}"/>
    <hyperlink ref="BP1008" r:id="rId1001" xr:uid="{00000000-0004-0000-0200-0000E8030000}"/>
    <hyperlink ref="BP1009" r:id="rId1002" xr:uid="{00000000-0004-0000-0200-0000E9030000}"/>
    <hyperlink ref="BP1010" r:id="rId1003" xr:uid="{00000000-0004-0000-0200-0000EA030000}"/>
    <hyperlink ref="BP1011" r:id="rId1004" xr:uid="{00000000-0004-0000-0200-0000EB030000}"/>
    <hyperlink ref="BP1012" r:id="rId1005" xr:uid="{00000000-0004-0000-0200-0000EC030000}"/>
    <hyperlink ref="BP1013" r:id="rId1006" xr:uid="{00000000-0004-0000-0200-0000ED030000}"/>
    <hyperlink ref="BP1014" r:id="rId1007" xr:uid="{00000000-0004-0000-0200-0000EE030000}"/>
    <hyperlink ref="BP1015" r:id="rId1008" xr:uid="{00000000-0004-0000-0200-0000EF030000}"/>
    <hyperlink ref="BP1016" r:id="rId1009" xr:uid="{00000000-0004-0000-0200-0000F0030000}"/>
    <hyperlink ref="BP1017" r:id="rId1010" xr:uid="{00000000-0004-0000-0200-0000F1030000}"/>
    <hyperlink ref="BP1018" r:id="rId1011" xr:uid="{00000000-0004-0000-0200-0000F2030000}"/>
    <hyperlink ref="BP1019" r:id="rId1012" xr:uid="{00000000-0004-0000-0200-0000F3030000}"/>
    <hyperlink ref="BP1020" r:id="rId1013" xr:uid="{00000000-0004-0000-0200-0000F4030000}"/>
    <hyperlink ref="BP1021" r:id="rId1014" xr:uid="{00000000-0004-0000-0200-0000F5030000}"/>
    <hyperlink ref="BP1022" r:id="rId1015" xr:uid="{00000000-0004-0000-0200-0000F6030000}"/>
    <hyperlink ref="BP1023" r:id="rId1016" xr:uid="{00000000-0004-0000-0200-0000F7030000}"/>
    <hyperlink ref="BP1024" r:id="rId1017" xr:uid="{00000000-0004-0000-0200-0000F8030000}"/>
    <hyperlink ref="BP1025" r:id="rId1018" xr:uid="{00000000-0004-0000-0200-0000F9030000}"/>
    <hyperlink ref="BP1026" r:id="rId1019" xr:uid="{00000000-0004-0000-0200-0000FA030000}"/>
    <hyperlink ref="BP1027" r:id="rId1020" xr:uid="{00000000-0004-0000-0200-0000FB030000}"/>
    <hyperlink ref="BP1028" r:id="rId1021" xr:uid="{00000000-0004-0000-0200-0000FC030000}"/>
    <hyperlink ref="BP1029" r:id="rId1022" xr:uid="{00000000-0004-0000-0200-0000FD030000}"/>
    <hyperlink ref="BP1030" r:id="rId1023" xr:uid="{00000000-0004-0000-0200-0000FE030000}"/>
    <hyperlink ref="BP1031" r:id="rId1024" xr:uid="{00000000-0004-0000-0200-0000FF030000}"/>
    <hyperlink ref="BP1032" r:id="rId1025" xr:uid="{00000000-0004-0000-0200-000000040000}"/>
    <hyperlink ref="BP1034" r:id="rId1026" xr:uid="{00000000-0004-0000-0200-000001040000}"/>
    <hyperlink ref="BP1036" r:id="rId1027" xr:uid="{00000000-0004-0000-0200-000002040000}"/>
    <hyperlink ref="BP1038" r:id="rId1028" xr:uid="{00000000-0004-0000-0200-000003040000}"/>
    <hyperlink ref="BP1039" r:id="rId1029" xr:uid="{00000000-0004-0000-0200-000004040000}"/>
    <hyperlink ref="BP1040" r:id="rId1030" xr:uid="{00000000-0004-0000-0200-000005040000}"/>
    <hyperlink ref="BP1041" r:id="rId1031" xr:uid="{00000000-0004-0000-0200-000006040000}"/>
    <hyperlink ref="BP1042" r:id="rId1032" xr:uid="{00000000-0004-0000-0200-000007040000}"/>
    <hyperlink ref="BP1043" r:id="rId1033" xr:uid="{00000000-0004-0000-0200-000008040000}"/>
    <hyperlink ref="BP1044" r:id="rId1034" xr:uid="{00000000-0004-0000-0200-000009040000}"/>
    <hyperlink ref="BP1045" r:id="rId1035" xr:uid="{00000000-0004-0000-0200-00000A040000}"/>
    <hyperlink ref="BP1046" r:id="rId1036" xr:uid="{00000000-0004-0000-0200-00000B040000}"/>
    <hyperlink ref="BP1047" r:id="rId1037" xr:uid="{00000000-0004-0000-0200-00000C040000}"/>
    <hyperlink ref="BP1048" r:id="rId1038" xr:uid="{00000000-0004-0000-0200-00000D040000}"/>
    <hyperlink ref="BP1049" r:id="rId1039" xr:uid="{00000000-0004-0000-0200-00000E040000}"/>
    <hyperlink ref="BP1050" r:id="rId1040" xr:uid="{00000000-0004-0000-0200-00000F040000}"/>
    <hyperlink ref="BP1051" r:id="rId1041" xr:uid="{00000000-0004-0000-0200-000010040000}"/>
    <hyperlink ref="BP1052" r:id="rId1042" xr:uid="{00000000-0004-0000-0200-000011040000}"/>
    <hyperlink ref="BP1053" r:id="rId1043" xr:uid="{00000000-0004-0000-0200-000012040000}"/>
  </hyperlinks>
  <pageMargins left="0.7" right="0.7" top="0.75" bottom="0.75" header="0.3" footer="0.3"/>
  <legacyDrawing r:id="rId104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D4A41-50F5-4256-BA39-A14D93152E51}">
  <dimension ref="A1:CE32"/>
  <sheetViews>
    <sheetView tabSelected="1" workbookViewId="0">
      <selection activeCell="F24" sqref="F24"/>
    </sheetView>
  </sheetViews>
  <sheetFormatPr defaultRowHeight="12.5"/>
  <cols>
    <col min="1" max="1" width="6.90625" bestFit="1" customWidth="1"/>
    <col min="2" max="3" width="9.54296875" customWidth="1"/>
    <col min="4" max="4" width="30.26953125" bestFit="1" customWidth="1"/>
    <col min="5" max="5" width="28.453125" bestFit="1" customWidth="1"/>
    <col min="6" max="6" width="28.453125" customWidth="1"/>
    <col min="7" max="7" width="11.36328125" bestFit="1" customWidth="1"/>
    <col min="8" max="8" width="30.90625" bestFit="1" customWidth="1"/>
    <col min="9" max="9" width="28.36328125" bestFit="1" customWidth="1"/>
    <col min="10" max="10" width="30.54296875" bestFit="1" customWidth="1"/>
    <col min="11" max="11" width="39" bestFit="1" customWidth="1"/>
    <col min="12" max="12" width="25.81640625" bestFit="1" customWidth="1"/>
    <col min="13" max="13" width="24.54296875" bestFit="1" customWidth="1"/>
    <col min="14" max="14" width="27.36328125" bestFit="1" customWidth="1"/>
    <col min="15" max="15" width="24.6328125" bestFit="1" customWidth="1"/>
    <col min="16" max="16" width="25.7265625" bestFit="1" customWidth="1"/>
    <col min="17" max="19" width="13" bestFit="1" customWidth="1"/>
    <col min="20" max="28" width="11.7265625" bestFit="1" customWidth="1"/>
    <col min="29" max="31" width="6.6328125" bestFit="1" customWidth="1"/>
    <col min="32" max="32" width="19.453125" bestFit="1" customWidth="1"/>
    <col min="33" max="33" width="21.36328125" bestFit="1" customWidth="1"/>
    <col min="34" max="35" width="38.26953125" bestFit="1" customWidth="1"/>
    <col min="36" max="37" width="16.81640625" bestFit="1" customWidth="1"/>
    <col min="38" max="39" width="21.08984375" bestFit="1" customWidth="1"/>
    <col min="40" max="40" width="37.453125" bestFit="1" customWidth="1"/>
    <col min="41" max="43" width="9.08984375" bestFit="1" customWidth="1"/>
    <col min="44" max="52" width="5.08984375" bestFit="1" customWidth="1"/>
    <col min="53" max="55" width="6.08984375" bestFit="1" customWidth="1"/>
    <col min="56" max="56" width="16.7265625" style="117" bestFit="1" customWidth="1"/>
    <col min="57" max="57" width="32.453125" style="117" bestFit="1" customWidth="1"/>
    <col min="58" max="58" width="29.08984375" style="117" bestFit="1" customWidth="1"/>
    <col min="59" max="60" width="16.7265625" style="117" bestFit="1" customWidth="1"/>
    <col min="61" max="61" width="15.6328125" style="117" bestFit="1" customWidth="1"/>
    <col min="62" max="62" width="16.7265625" style="117" bestFit="1" customWidth="1"/>
    <col min="63" max="63" width="17.453125" style="117" bestFit="1" customWidth="1"/>
    <col min="64" max="64" width="15.6328125" style="117" bestFit="1" customWidth="1"/>
    <col min="65" max="67" width="5.7265625" bestFit="1" customWidth="1"/>
    <col min="68" max="68" width="7.26953125" bestFit="1" customWidth="1"/>
    <col min="69" max="69" width="26" bestFit="1" customWidth="1"/>
    <col min="70" max="70" width="16" bestFit="1" customWidth="1"/>
    <col min="72" max="72" width="36.453125" bestFit="1" customWidth="1"/>
    <col min="73" max="78" width="36.36328125" bestFit="1" customWidth="1"/>
    <col min="79" max="79" width="35" bestFit="1" customWidth="1"/>
    <col min="80" max="80" width="36.36328125" bestFit="1" customWidth="1"/>
    <col min="81" max="81" width="12.1796875" bestFit="1" customWidth="1"/>
  </cols>
  <sheetData>
    <row r="1" spans="1:83">
      <c r="A1" s="4" t="s">
        <v>96</v>
      </c>
      <c r="B1" s="4" t="s">
        <v>13771</v>
      </c>
      <c r="C1" s="4" t="s">
        <v>13784</v>
      </c>
      <c r="D1" s="4" t="s">
        <v>97</v>
      </c>
      <c r="E1" s="4" t="s">
        <v>98</v>
      </c>
      <c r="F1" s="4" t="s">
        <v>13786</v>
      </c>
      <c r="G1" s="4" t="s">
        <v>99</v>
      </c>
      <c r="H1" s="4" t="s">
        <v>100</v>
      </c>
      <c r="I1" s="4" t="s">
        <v>101</v>
      </c>
      <c r="J1" s="4" t="s">
        <v>102</v>
      </c>
      <c r="K1" s="4" t="s">
        <v>103</v>
      </c>
      <c r="L1" s="4" t="s">
        <v>104</v>
      </c>
      <c r="M1" s="4" t="s">
        <v>105</v>
      </c>
      <c r="N1" s="4" t="s">
        <v>106</v>
      </c>
      <c r="O1" s="4" t="s">
        <v>107</v>
      </c>
      <c r="P1" s="4" t="s">
        <v>108</v>
      </c>
      <c r="Q1" s="4" t="s">
        <v>109</v>
      </c>
      <c r="R1" s="4" t="s">
        <v>110</v>
      </c>
      <c r="S1" s="4" t="s">
        <v>111</v>
      </c>
      <c r="T1" s="4" t="s">
        <v>112</v>
      </c>
      <c r="U1" s="4" t="s">
        <v>113</v>
      </c>
      <c r="V1" s="4" t="s">
        <v>114</v>
      </c>
      <c r="W1" s="4" t="s">
        <v>115</v>
      </c>
      <c r="X1" s="4" t="s">
        <v>116</v>
      </c>
      <c r="Y1" s="4" t="s">
        <v>117</v>
      </c>
      <c r="Z1" s="4" t="s">
        <v>118</v>
      </c>
      <c r="AA1" s="4" t="s">
        <v>119</v>
      </c>
      <c r="AB1" s="4" t="s">
        <v>120</v>
      </c>
      <c r="AC1" s="4" t="s">
        <v>121</v>
      </c>
      <c r="AD1" s="4" t="s">
        <v>122</v>
      </c>
      <c r="AE1" s="4" t="s">
        <v>123</v>
      </c>
      <c r="AF1" s="4" t="s">
        <v>124</v>
      </c>
      <c r="AG1" s="4" t="s">
        <v>125</v>
      </c>
      <c r="AH1" s="4" t="s">
        <v>126</v>
      </c>
      <c r="AI1" s="4" t="s">
        <v>127</v>
      </c>
      <c r="AJ1" s="4" t="s">
        <v>128</v>
      </c>
      <c r="AK1" s="4" t="s">
        <v>129</v>
      </c>
      <c r="AL1" s="4" t="s">
        <v>130</v>
      </c>
      <c r="AM1" s="4" t="s">
        <v>131</v>
      </c>
      <c r="AN1" s="4" t="s">
        <v>132</v>
      </c>
      <c r="AO1" s="4" t="s">
        <v>133</v>
      </c>
      <c r="AP1" s="4" t="s">
        <v>134</v>
      </c>
      <c r="AQ1" s="4" t="s">
        <v>135</v>
      </c>
      <c r="AR1" s="4" t="s">
        <v>136</v>
      </c>
      <c r="AS1" s="4" t="s">
        <v>137</v>
      </c>
      <c r="AT1" s="4" t="s">
        <v>138</v>
      </c>
      <c r="AU1" s="4" t="s">
        <v>139</v>
      </c>
      <c r="AV1" s="4" t="s">
        <v>140</v>
      </c>
      <c r="AW1" s="4" t="s">
        <v>141</v>
      </c>
      <c r="AX1" s="4" t="s">
        <v>142</v>
      </c>
      <c r="AY1" s="4" t="s">
        <v>143</v>
      </c>
      <c r="AZ1" s="4" t="s">
        <v>144</v>
      </c>
      <c r="BA1" s="4" t="s">
        <v>145</v>
      </c>
      <c r="BB1" s="4" t="s">
        <v>146</v>
      </c>
      <c r="BC1" s="4" t="s">
        <v>147</v>
      </c>
      <c r="BD1" s="31" t="s">
        <v>148</v>
      </c>
      <c r="BE1" s="31" t="s">
        <v>149</v>
      </c>
      <c r="BF1" s="31" t="s">
        <v>150</v>
      </c>
      <c r="BG1" s="31" t="s">
        <v>151</v>
      </c>
      <c r="BH1" s="31" t="s">
        <v>152</v>
      </c>
      <c r="BI1" s="31" t="s">
        <v>153</v>
      </c>
      <c r="BJ1" s="31" t="s">
        <v>154</v>
      </c>
      <c r="BK1" s="31" t="s">
        <v>155</v>
      </c>
      <c r="BL1" s="31" t="s">
        <v>156</v>
      </c>
      <c r="BM1" s="4" t="s">
        <v>157</v>
      </c>
      <c r="BN1" s="4" t="s">
        <v>158</v>
      </c>
      <c r="BO1" s="4" t="s">
        <v>159</v>
      </c>
      <c r="BP1" s="4" t="s">
        <v>160</v>
      </c>
      <c r="BQ1" s="4" t="s">
        <v>162</v>
      </c>
      <c r="BR1" s="5" t="s">
        <v>163</v>
      </c>
      <c r="BS1" s="4"/>
      <c r="BT1" s="4" t="s">
        <v>13772</v>
      </c>
      <c r="BU1" s="4" t="s">
        <v>13773</v>
      </c>
      <c r="BV1" s="4" t="s">
        <v>13774</v>
      </c>
      <c r="BW1" s="4" t="s">
        <v>13775</v>
      </c>
      <c r="BX1" s="4" t="s">
        <v>13776</v>
      </c>
      <c r="BY1" s="4" t="s">
        <v>13777</v>
      </c>
      <c r="BZ1" s="4" t="s">
        <v>13778</v>
      </c>
      <c r="CA1" s="4" t="s">
        <v>13779</v>
      </c>
      <c r="CB1" s="4" t="s">
        <v>13780</v>
      </c>
      <c r="CC1" s="4" t="s">
        <v>13781</v>
      </c>
      <c r="CE1" s="4" t="s">
        <v>13785</v>
      </c>
    </row>
    <row r="2" spans="1:83" ht="14">
      <c r="A2" s="4" t="s">
        <v>1709</v>
      </c>
      <c r="B2" s="4" t="s">
        <v>13782</v>
      </c>
      <c r="C2" s="4">
        <v>3424435</v>
      </c>
      <c r="D2" s="4" t="s">
        <v>10278</v>
      </c>
      <c r="E2" s="4" t="s">
        <v>10279</v>
      </c>
      <c r="F2" s="4" t="str">
        <f>RIGHT(E2, 6)</f>
        <v>Kretek</v>
      </c>
      <c r="G2" s="4" t="s">
        <v>193</v>
      </c>
      <c r="H2" s="6" t="s">
        <v>10280</v>
      </c>
      <c r="I2" s="92" t="s">
        <v>10281</v>
      </c>
      <c r="J2" s="92" t="s">
        <v>10282</v>
      </c>
      <c r="K2" s="92" t="s">
        <v>10283</v>
      </c>
      <c r="L2" s="92" t="s">
        <v>10284</v>
      </c>
      <c r="M2" s="92" t="s">
        <v>10285</v>
      </c>
      <c r="N2" s="92" t="s">
        <v>10286</v>
      </c>
      <c r="O2" s="92" t="s">
        <v>10287</v>
      </c>
      <c r="P2" s="92" t="s">
        <v>10288</v>
      </c>
      <c r="T2" s="6">
        <v>2000005067</v>
      </c>
      <c r="U2" s="92">
        <v>2000005337</v>
      </c>
      <c r="V2" s="92">
        <v>2000012088</v>
      </c>
      <c r="W2" s="92">
        <v>2000018166</v>
      </c>
      <c r="X2" s="92">
        <v>2000023199</v>
      </c>
      <c r="Y2" s="92">
        <v>2000024001</v>
      </c>
      <c r="Z2" s="92">
        <v>2000029177</v>
      </c>
      <c r="AA2" s="92">
        <v>2000032037</v>
      </c>
      <c r="AB2" s="92">
        <v>2000036003</v>
      </c>
      <c r="AF2" s="6" t="s">
        <v>181</v>
      </c>
      <c r="AG2" s="92" t="s">
        <v>181</v>
      </c>
      <c r="AH2" s="92" t="s">
        <v>885</v>
      </c>
      <c r="AI2" s="92" t="s">
        <v>179</v>
      </c>
      <c r="AJ2" s="92" t="s">
        <v>899</v>
      </c>
      <c r="AK2" s="92" t="s">
        <v>924</v>
      </c>
      <c r="AL2" s="92" t="s">
        <v>533</v>
      </c>
      <c r="AM2" s="92" t="s">
        <v>732</v>
      </c>
      <c r="AN2" s="92" t="s">
        <v>227</v>
      </c>
      <c r="AR2" s="6" t="s">
        <v>186</v>
      </c>
      <c r="AS2" s="92" t="s">
        <v>187</v>
      </c>
      <c r="AT2" s="92" t="s">
        <v>186</v>
      </c>
      <c r="AU2" s="92" t="s">
        <v>187</v>
      </c>
      <c r="AV2" s="92" t="s">
        <v>186</v>
      </c>
      <c r="AW2" s="92" t="s">
        <v>187</v>
      </c>
      <c r="AX2" s="92" t="s">
        <v>186</v>
      </c>
      <c r="AY2" s="92" t="s">
        <v>186</v>
      </c>
      <c r="AZ2" s="92" t="s">
        <v>187</v>
      </c>
      <c r="BD2" s="115">
        <v>82338458846</v>
      </c>
      <c r="BE2" s="116">
        <v>8981644319</v>
      </c>
      <c r="BF2" s="116">
        <v>895413171505</v>
      </c>
      <c r="BG2" s="116">
        <v>82242776781</v>
      </c>
      <c r="BH2" s="116">
        <v>85829704198</v>
      </c>
      <c r="BI2" s="116">
        <v>82255850522</v>
      </c>
      <c r="BJ2" s="116">
        <v>895378069537</v>
      </c>
      <c r="BK2" s="116">
        <v>895383267360</v>
      </c>
      <c r="BL2" s="116">
        <v>81220304450</v>
      </c>
      <c r="BQ2" s="37">
        <v>45321</v>
      </c>
      <c r="BR2" s="8">
        <f t="shared" ref="BR2:BR21" si="0">COUNTA(H2:S2)</f>
        <v>9</v>
      </c>
      <c r="BT2" t="str">
        <f>IF(OR(ISBLANK(H2), ISBLANK(T2)), "", IF(ISBLANK(H2), T2 &amp; ".testing@gmail.com", IFERROR(CONCATENATE(LEFT(H2, IFERROR(SEARCH(" ", H2) - 1, LEN(H2))), T2, ".testing@gmail.com"), "")))</f>
        <v>Anita2000005067.testing@gmail.com</v>
      </c>
      <c r="BU2" t="str">
        <f t="shared" ref="BU2:CC2" si="1">IF(OR(ISBLANK(I2), ISBLANK(U2)), "", IF(ISBLANK(I2), U2 &amp; ".testing@gmail.com", IFERROR(CONCATENATE(LEFT(I2, IFERROR(SEARCH(" ", I2) - 1, LEN(I2))), U2, ".testing@gmail.com"), "")))</f>
        <v>Wahyu2000005337.testing@gmail.com</v>
      </c>
      <c r="BV2" t="str">
        <f t="shared" si="1"/>
        <v>Anisa2000012088.testing@gmail.com</v>
      </c>
      <c r="BW2" t="str">
        <f t="shared" si="1"/>
        <v>Muhammad2000018166.testing@gmail.com</v>
      </c>
      <c r="BX2" t="str">
        <f t="shared" si="1"/>
        <v>Frameiza2000023199.testing@gmail.com</v>
      </c>
      <c r="BY2" t="str">
        <f t="shared" si="1"/>
        <v>Noviyanto2000024001.testing@gmail.com</v>
      </c>
      <c r="BZ2" t="str">
        <f t="shared" si="1"/>
        <v>Risnaida2000029177.testing@gmail.com</v>
      </c>
      <c r="CA2" t="str">
        <f t="shared" si="1"/>
        <v>Gita2000032037.testing@gmail.com</v>
      </c>
      <c r="CB2" t="str">
        <f t="shared" si="1"/>
        <v>Indra2000036003.testing@gmail.com</v>
      </c>
      <c r="CC2" t="str">
        <f t="shared" si="1"/>
        <v/>
      </c>
      <c r="CE2" t="str">
        <f>IF(OR(ISBLANK(D2), ISBLANK(C2)), "", IF(ISBLANK(D2), C2 &amp; ".testing@gmail.com", IFERROR(CONCATENATE(LEFT(D2, IFERROR(SEARCH(" ", D2) - 1, LEN(D2))), C2, ".testing@gmail.com"), "")))</f>
        <v>Dr.3424435.testing@gmail.com</v>
      </c>
    </row>
    <row r="3" spans="1:83" ht="14">
      <c r="A3" s="4" t="s">
        <v>1731</v>
      </c>
      <c r="B3" t="s">
        <v>13782</v>
      </c>
      <c r="C3" s="4">
        <v>3424435</v>
      </c>
      <c r="D3" s="4" t="s">
        <v>10278</v>
      </c>
      <c r="E3" s="4" t="s">
        <v>10290</v>
      </c>
      <c r="F3" s="4" t="str">
        <f t="shared" ref="F3:F21" si="2">RIGHT(E3, 6)</f>
        <v>Kretek</v>
      </c>
      <c r="G3" s="4" t="s">
        <v>193</v>
      </c>
      <c r="H3" s="6" t="s">
        <v>10291</v>
      </c>
      <c r="I3" s="92" t="s">
        <v>10292</v>
      </c>
      <c r="J3" s="92" t="s">
        <v>10293</v>
      </c>
      <c r="K3" s="92" t="s">
        <v>10294</v>
      </c>
      <c r="L3" s="92" t="s">
        <v>10295</v>
      </c>
      <c r="M3" s="92" t="s">
        <v>10296</v>
      </c>
      <c r="N3" s="92" t="s">
        <v>10297</v>
      </c>
      <c r="O3" s="92" t="s">
        <v>10298</v>
      </c>
      <c r="P3" s="92" t="s">
        <v>10299</v>
      </c>
      <c r="T3" s="6">
        <v>2000005107</v>
      </c>
      <c r="U3" s="92">
        <v>2000005187</v>
      </c>
      <c r="V3" s="92">
        <v>2000012140</v>
      </c>
      <c r="W3" s="92">
        <v>2000018190</v>
      </c>
      <c r="X3" s="92">
        <v>2000023039</v>
      </c>
      <c r="Y3" s="92">
        <v>2000024077</v>
      </c>
      <c r="Z3" s="92">
        <v>2000029205</v>
      </c>
      <c r="AA3" s="92">
        <v>2000032003</v>
      </c>
      <c r="AB3" s="92">
        <v>2000036109</v>
      </c>
      <c r="AF3" s="6" t="s">
        <v>181</v>
      </c>
      <c r="AG3" s="92" t="s">
        <v>181</v>
      </c>
      <c r="AH3" s="92" t="s">
        <v>885</v>
      </c>
      <c r="AI3" s="92" t="s">
        <v>179</v>
      </c>
      <c r="AJ3" s="92" t="s">
        <v>899</v>
      </c>
      <c r="AK3" s="92" t="s">
        <v>924</v>
      </c>
      <c r="AL3" s="92" t="s">
        <v>533</v>
      </c>
      <c r="AM3" s="92" t="s">
        <v>732</v>
      </c>
      <c r="AN3" s="92" t="s">
        <v>227</v>
      </c>
      <c r="AR3" s="6" t="s">
        <v>187</v>
      </c>
      <c r="AS3" s="92" t="s">
        <v>186</v>
      </c>
      <c r="AT3" s="92" t="s">
        <v>186</v>
      </c>
      <c r="AU3" s="92" t="s">
        <v>187</v>
      </c>
      <c r="AV3" s="92" t="s">
        <v>186</v>
      </c>
      <c r="AW3" s="92" t="s">
        <v>187</v>
      </c>
      <c r="AX3" s="92" t="s">
        <v>186</v>
      </c>
      <c r="AY3" s="92" t="s">
        <v>186</v>
      </c>
      <c r="AZ3" s="92" t="s">
        <v>187</v>
      </c>
      <c r="BD3" s="115">
        <v>895392951224</v>
      </c>
      <c r="BE3" s="116">
        <v>81271466217</v>
      </c>
      <c r="BF3" s="116">
        <v>82229727316</v>
      </c>
      <c r="BG3" s="116">
        <v>85322471629</v>
      </c>
      <c r="BH3" s="116">
        <v>85333132390</v>
      </c>
      <c r="BI3" s="116">
        <v>82159496911</v>
      </c>
      <c r="BJ3" s="116">
        <v>82286271916</v>
      </c>
      <c r="BK3" s="116">
        <v>83109611761</v>
      </c>
      <c r="BL3" s="116">
        <v>85727698021</v>
      </c>
      <c r="BQ3" s="37">
        <v>45321</v>
      </c>
      <c r="BR3" s="8">
        <f t="shared" si="0"/>
        <v>9</v>
      </c>
      <c r="BT3" t="str">
        <f t="shared" ref="BT3:BT32" si="3">IF(OR(ISBLANK(H3), ISBLANK(T3)), "", IF(ISBLANK(H3), T3 &amp; ".testing@gmail.com", IFERROR(CONCATENATE(LEFT(H3, IFERROR(SEARCH(" ", H3) - 1, LEN(H3))), T3, ".testing@gmail.com"), "")))</f>
        <v>Akhmad2000005107.testing@gmail.com</v>
      </c>
      <c r="BU3" t="str">
        <f t="shared" ref="BU3:BU32" si="4">IF(OR(ISBLANK(I3), ISBLANK(U3)), "", IF(ISBLANK(I3), U3 &amp; ".testing@gmail.com", IFERROR(CONCATENATE(LEFT(I3, IFERROR(SEARCH(" ", I3) - 1, LEN(I3))), U3, ".testing@gmail.com"), "")))</f>
        <v>Faras2000005187.testing@gmail.com</v>
      </c>
      <c r="BV3" t="str">
        <f t="shared" ref="BV3:BV32" si="5">IF(OR(ISBLANK(J3), ISBLANK(V3)), "", IF(ISBLANK(J3), V3 &amp; ".testing@gmail.com", IFERROR(CONCATENATE(LEFT(J3, IFERROR(SEARCH(" ", J3) - 1, LEN(J3))), V3, ".testing@gmail.com"), "")))</f>
        <v>Lia2000012140.testing@gmail.com</v>
      </c>
      <c r="BW3" t="str">
        <f t="shared" ref="BW3:BW32" si="6">IF(OR(ISBLANK(K3), ISBLANK(W3)), "", IF(ISBLANK(K3), W3 &amp; ".testing@gmail.com", IFERROR(CONCATENATE(LEFT(K3, IFERROR(SEARCH(" ", K3) - 1, LEN(K3))), W3, ".testing@gmail.com"), "")))</f>
        <v>Amar2000018190.testing@gmail.com</v>
      </c>
      <c r="BX3" t="str">
        <f t="shared" ref="BX3:BX32" si="7">IF(OR(ISBLANK(L3), ISBLANK(X3)), "", IF(ISBLANK(L3), X3 &amp; ".testing@gmail.com", IFERROR(CONCATENATE(LEFT(L3, IFERROR(SEARCH(" ", L3) - 1, LEN(L3))), X3, ".testing@gmail.com"), "")))</f>
        <v>Rifqandini2000023039.testing@gmail.com</v>
      </c>
      <c r="BY3" t="str">
        <f t="shared" ref="BY3:BY32" si="8">IF(OR(ISBLANK(M3), ISBLANK(Y3)), "", IF(ISBLANK(M3), Y3 &amp; ".testing@gmail.com", IFERROR(CONCATENATE(LEFT(M3, IFERROR(SEARCH(" ", M3) - 1, LEN(M3))), Y3, ".testing@gmail.com"), "")))</f>
        <v>Muhammad2000024077.testing@gmail.com</v>
      </c>
      <c r="BZ3" t="str">
        <f t="shared" ref="BZ3:BZ32" si="9">IF(OR(ISBLANK(N3), ISBLANK(Z3)), "", IF(ISBLANK(N3), Z3 &amp; ".testing@gmail.com", IFERROR(CONCATENATE(LEFT(N3, IFERROR(SEARCH(" ", N3) - 1, LEN(N3))), Z3, ".testing@gmail.com"), "")))</f>
        <v>Cut2000029205.testing@gmail.com</v>
      </c>
      <c r="CA3" t="str">
        <f t="shared" ref="CA3:CA32" si="10">IF(OR(ISBLANK(O3), ISBLANK(AA3)), "", IF(ISBLANK(O3), AA3 &amp; ".testing@gmail.com", IFERROR(CONCATENATE(LEFT(O3, IFERROR(SEARCH(" ", O3) - 1, LEN(O3))), AA3, ".testing@gmail.com"), "")))</f>
        <v>Rina2000032003.testing@gmail.com</v>
      </c>
      <c r="CB3" t="str">
        <f t="shared" ref="CB3:CB32" si="11">IF(OR(ISBLANK(P3), ISBLANK(AB3)), "", IF(ISBLANK(P3), AB3 &amp; ".testing@gmail.com", IFERROR(CONCATENATE(LEFT(P3, IFERROR(SEARCH(" ", P3) - 1, LEN(P3))), AB3, ".testing@gmail.com"), "")))</f>
        <v>Rohman2000036109.testing@gmail.com</v>
      </c>
      <c r="CC3" t="str">
        <f t="shared" ref="CC3:CC32" si="12">IF(OR(ISBLANK(Q3), ISBLANK(AC3)), "", IF(ISBLANK(Q3), AC3 &amp; ".testing@gmail.com", IFERROR(CONCATENATE(LEFT(Q3, IFERROR(SEARCH(" ", Q3) - 1, LEN(Q3))), AC3, ".testing@gmail.com"), "")))</f>
        <v/>
      </c>
      <c r="CE3" t="str">
        <f t="shared" ref="CE3:CE28" si="13">IF(OR(ISBLANK(D3), ISBLANK(C3)), "", IF(ISBLANK(D3), C3 &amp; ".testing@gmail.com", IFERROR(CONCATENATE(LEFT(D3, IFERROR(SEARCH(" ", D3) - 1, LEN(D3))), C3, ".testing@gmail.com"), "")))</f>
        <v>Dr.3424435.testing@gmail.com</v>
      </c>
    </row>
    <row r="4" spans="1:83" ht="14">
      <c r="A4" s="4" t="s">
        <v>1752</v>
      </c>
      <c r="B4" s="4" t="s">
        <v>13782</v>
      </c>
      <c r="C4" s="4">
        <v>3424435</v>
      </c>
      <c r="D4" s="4" t="s">
        <v>10278</v>
      </c>
      <c r="E4" s="4" t="s">
        <v>10301</v>
      </c>
      <c r="F4" s="4" t="str">
        <f t="shared" si="2"/>
        <v>Kretek</v>
      </c>
      <c r="G4" s="4" t="s">
        <v>193</v>
      </c>
      <c r="H4" s="6" t="s">
        <v>10302</v>
      </c>
      <c r="I4" s="92" t="s">
        <v>10303</v>
      </c>
      <c r="J4" s="92" t="s">
        <v>10304</v>
      </c>
      <c r="K4" s="92" t="s">
        <v>10305</v>
      </c>
      <c r="L4" s="92" t="s">
        <v>10306</v>
      </c>
      <c r="M4" s="92" t="s">
        <v>10307</v>
      </c>
      <c r="N4" s="92" t="s">
        <v>10308</v>
      </c>
      <c r="O4" s="92" t="s">
        <v>10309</v>
      </c>
      <c r="P4" s="92" t="s">
        <v>10310</v>
      </c>
      <c r="T4" s="6">
        <v>2000005071</v>
      </c>
      <c r="U4" s="92">
        <v>2000005195</v>
      </c>
      <c r="V4" s="92">
        <v>2000012167</v>
      </c>
      <c r="W4" s="92">
        <v>2000018358</v>
      </c>
      <c r="X4" s="92">
        <v>2000023138</v>
      </c>
      <c r="Y4" s="92">
        <v>2000024290</v>
      </c>
      <c r="Z4" s="92">
        <v>2000029045</v>
      </c>
      <c r="AA4" s="92">
        <v>2000032047</v>
      </c>
      <c r="AB4" s="92">
        <v>2000037009</v>
      </c>
      <c r="AF4" s="6" t="s">
        <v>181</v>
      </c>
      <c r="AG4" s="92" t="s">
        <v>181</v>
      </c>
      <c r="AH4" s="92" t="s">
        <v>885</v>
      </c>
      <c r="AI4" s="92" t="s">
        <v>179</v>
      </c>
      <c r="AJ4" s="92" t="s">
        <v>899</v>
      </c>
      <c r="AK4" s="92" t="s">
        <v>924</v>
      </c>
      <c r="AL4" s="92" t="s">
        <v>533</v>
      </c>
      <c r="AM4" s="92" t="s">
        <v>732</v>
      </c>
      <c r="AN4" s="92" t="s">
        <v>10311</v>
      </c>
      <c r="AR4" s="6" t="s">
        <v>186</v>
      </c>
      <c r="AS4" s="92" t="s">
        <v>187</v>
      </c>
      <c r="AT4" s="92" t="s">
        <v>186</v>
      </c>
      <c r="AU4" s="92" t="s">
        <v>187</v>
      </c>
      <c r="AV4" s="92" t="s">
        <v>186</v>
      </c>
      <c r="AW4" s="92" t="s">
        <v>187</v>
      </c>
      <c r="AX4" s="92" t="s">
        <v>186</v>
      </c>
      <c r="AY4" s="92" t="s">
        <v>186</v>
      </c>
      <c r="AZ4" s="92" t="s">
        <v>187</v>
      </c>
      <c r="BD4" s="115">
        <v>87772213741</v>
      </c>
      <c r="BE4" s="116">
        <v>81215687579</v>
      </c>
      <c r="BF4" s="116">
        <v>82340806887</v>
      </c>
      <c r="BG4" s="116">
        <v>82281025064</v>
      </c>
      <c r="BH4" s="116">
        <v>81342601128</v>
      </c>
      <c r="BI4" s="116">
        <v>85602114864</v>
      </c>
      <c r="BJ4" s="116">
        <v>81236015698</v>
      </c>
      <c r="BK4" s="116">
        <v>82387253346</v>
      </c>
      <c r="BL4" s="116">
        <v>85750575576</v>
      </c>
      <c r="BQ4" s="37">
        <v>45321</v>
      </c>
      <c r="BR4" s="8">
        <f t="shared" si="0"/>
        <v>9</v>
      </c>
      <c r="BT4" t="str">
        <f t="shared" si="3"/>
        <v>Kamila2000005071.testing@gmail.com</v>
      </c>
      <c r="BU4" t="str">
        <f t="shared" si="4"/>
        <v>Septyan2000005195.testing@gmail.com</v>
      </c>
      <c r="BV4" t="str">
        <f t="shared" si="5"/>
        <v>Galuh2000012167.testing@gmail.com</v>
      </c>
      <c r="BW4" t="str">
        <f t="shared" si="6"/>
        <v>Dani2000018358.testing@gmail.com</v>
      </c>
      <c r="BX4" t="str">
        <f t="shared" si="7"/>
        <v>Nur2000023138.testing@gmail.com</v>
      </c>
      <c r="BY4" t="str">
        <f t="shared" si="8"/>
        <v>Fathurrohman2000024290.testing@gmail.com</v>
      </c>
      <c r="BZ4" t="str">
        <f t="shared" si="9"/>
        <v>Karine2000029045.testing@gmail.com</v>
      </c>
      <c r="CA4" t="str">
        <f t="shared" si="10"/>
        <v>Titi2000032047.testing@gmail.com</v>
      </c>
      <c r="CB4" t="str">
        <f t="shared" si="11"/>
        <v>Rio2000037009.testing@gmail.com</v>
      </c>
      <c r="CC4" t="str">
        <f t="shared" si="12"/>
        <v/>
      </c>
      <c r="CE4" t="str">
        <f t="shared" si="13"/>
        <v>Dr.3424435.testing@gmail.com</v>
      </c>
    </row>
    <row r="5" spans="1:83" ht="14.5">
      <c r="A5" s="4" t="s">
        <v>1774</v>
      </c>
      <c r="B5" t="s">
        <v>13782</v>
      </c>
      <c r="C5" s="4">
        <v>6554366</v>
      </c>
      <c r="D5" s="4" t="s">
        <v>10313</v>
      </c>
      <c r="E5" s="4" t="s">
        <v>10314</v>
      </c>
      <c r="F5" s="4" t="str">
        <f t="shared" si="2"/>
        <v>Kretek</v>
      </c>
      <c r="G5" s="4" t="s">
        <v>193</v>
      </c>
      <c r="H5" s="6" t="s">
        <v>10315</v>
      </c>
      <c r="I5" s="92" t="s">
        <v>10316</v>
      </c>
      <c r="J5" s="92" t="s">
        <v>10317</v>
      </c>
      <c r="K5" s="92" t="s">
        <v>10318</v>
      </c>
      <c r="L5" s="92" t="s">
        <v>10319</v>
      </c>
      <c r="M5" s="92" t="s">
        <v>10320</v>
      </c>
      <c r="N5" s="92" t="s">
        <v>10321</v>
      </c>
      <c r="O5" s="92" t="s">
        <v>10322</v>
      </c>
      <c r="P5" s="92" t="s">
        <v>10323</v>
      </c>
      <c r="T5" s="6">
        <v>2000005096</v>
      </c>
      <c r="U5" s="92">
        <v>2000005227</v>
      </c>
      <c r="V5" s="92">
        <v>2000012121</v>
      </c>
      <c r="W5" s="92">
        <v>2000018316</v>
      </c>
      <c r="X5" s="92">
        <v>2000023148</v>
      </c>
      <c r="Y5" s="92">
        <v>2000024207</v>
      </c>
      <c r="Z5" s="92">
        <v>2000029231</v>
      </c>
      <c r="AA5" s="92">
        <v>2000032090</v>
      </c>
      <c r="AB5" s="92">
        <v>2000037002</v>
      </c>
      <c r="AF5" s="6" t="s">
        <v>181</v>
      </c>
      <c r="AG5" s="92" t="s">
        <v>181</v>
      </c>
      <c r="AH5" s="92" t="s">
        <v>885</v>
      </c>
      <c r="AI5" s="92" t="s">
        <v>179</v>
      </c>
      <c r="AJ5" s="92" t="s">
        <v>899</v>
      </c>
      <c r="AK5" s="92" t="s">
        <v>924</v>
      </c>
      <c r="AL5" s="92" t="s">
        <v>533</v>
      </c>
      <c r="AM5" s="92" t="s">
        <v>732</v>
      </c>
      <c r="AN5" s="92" t="s">
        <v>10311</v>
      </c>
      <c r="AO5" s="73"/>
      <c r="AR5" s="6" t="s">
        <v>187</v>
      </c>
      <c r="AS5" s="92" t="s">
        <v>186</v>
      </c>
      <c r="AT5" s="92" t="s">
        <v>186</v>
      </c>
      <c r="AU5" s="92" t="s">
        <v>187</v>
      </c>
      <c r="AV5" s="92" t="s">
        <v>186</v>
      </c>
      <c r="AW5" s="92" t="s">
        <v>187</v>
      </c>
      <c r="AX5" s="92" t="s">
        <v>186</v>
      </c>
      <c r="AY5" s="92" t="s">
        <v>186</v>
      </c>
      <c r="AZ5" s="92" t="s">
        <v>187</v>
      </c>
      <c r="BD5" s="115">
        <v>81366937530</v>
      </c>
      <c r="BE5" s="116">
        <v>85791283492</v>
      </c>
      <c r="BF5" s="116" t="s">
        <v>10324</v>
      </c>
      <c r="BG5" s="116">
        <v>89652986985</v>
      </c>
      <c r="BH5" s="116">
        <v>82220944268</v>
      </c>
      <c r="BI5" s="116">
        <v>83825302121</v>
      </c>
      <c r="BJ5" s="116">
        <v>87881747712</v>
      </c>
      <c r="BK5" s="116">
        <v>85643415440</v>
      </c>
      <c r="BL5" s="116">
        <v>81390595430</v>
      </c>
      <c r="BQ5" s="37">
        <v>45321</v>
      </c>
      <c r="BR5" s="8">
        <f t="shared" si="0"/>
        <v>9</v>
      </c>
      <c r="BT5" t="str">
        <f t="shared" si="3"/>
        <v>Aldi2000005096.testing@gmail.com</v>
      </c>
      <c r="BU5" t="str">
        <f t="shared" si="4"/>
        <v>Mertya2000005227.testing@gmail.com</v>
      </c>
      <c r="BV5" t="str">
        <f t="shared" si="5"/>
        <v>Mahargyani2000012121.testing@gmail.com</v>
      </c>
      <c r="BW5" t="str">
        <f t="shared" si="6"/>
        <v>Ma'ruf2000018316.testing@gmail.com</v>
      </c>
      <c r="BX5" t="str">
        <f t="shared" si="7"/>
        <v>Zalfatira2000023148.testing@gmail.com</v>
      </c>
      <c r="BY5" t="str">
        <f t="shared" si="8"/>
        <v>Muhammad2000024207.testing@gmail.com</v>
      </c>
      <c r="BZ5" t="str">
        <f t="shared" si="9"/>
        <v>Hesti2000029231.testing@gmail.com</v>
      </c>
      <c r="CA5" t="str">
        <f t="shared" si="10"/>
        <v>Nur2000032090.testing@gmail.com</v>
      </c>
      <c r="CB5" t="str">
        <f t="shared" si="11"/>
        <v>David2000037002.testing@gmail.com</v>
      </c>
      <c r="CC5" t="str">
        <f t="shared" si="12"/>
        <v/>
      </c>
      <c r="CE5" t="str">
        <f t="shared" si="13"/>
        <v>Suci6554366.testing@gmail.com</v>
      </c>
    </row>
    <row r="6" spans="1:83" ht="14">
      <c r="A6" s="4" t="s">
        <v>1796</v>
      </c>
      <c r="B6" s="4" t="s">
        <v>13782</v>
      </c>
      <c r="C6" s="4">
        <v>6554366</v>
      </c>
      <c r="D6" s="4" t="s">
        <v>10313</v>
      </c>
      <c r="E6" s="4" t="s">
        <v>10326</v>
      </c>
      <c r="F6" s="4" t="str">
        <f t="shared" si="2"/>
        <v>Kretek</v>
      </c>
      <c r="G6" s="4" t="s">
        <v>193</v>
      </c>
      <c r="H6" s="6" t="s">
        <v>10327</v>
      </c>
      <c r="I6" s="92" t="s">
        <v>10328</v>
      </c>
      <c r="J6" s="92" t="s">
        <v>10329</v>
      </c>
      <c r="K6" s="92" t="s">
        <v>10330</v>
      </c>
      <c r="L6" s="92" t="s">
        <v>10331</v>
      </c>
      <c r="M6" s="92" t="s">
        <v>10332</v>
      </c>
      <c r="N6" s="92" t="s">
        <v>10333</v>
      </c>
      <c r="O6" s="92" t="s">
        <v>10334</v>
      </c>
      <c r="P6" s="92" t="s">
        <v>10335</v>
      </c>
      <c r="T6" s="6">
        <v>1800018374</v>
      </c>
      <c r="U6" s="92">
        <v>2000005186</v>
      </c>
      <c r="V6" s="92">
        <v>2000005354</v>
      </c>
      <c r="W6" s="92">
        <v>2000012116</v>
      </c>
      <c r="X6" s="92">
        <v>2000023216</v>
      </c>
      <c r="Y6" s="92">
        <v>2000024208</v>
      </c>
      <c r="Z6" s="92">
        <v>2000029038</v>
      </c>
      <c r="AA6" s="92">
        <v>2000032135</v>
      </c>
      <c r="AB6" s="92">
        <v>2011037004</v>
      </c>
      <c r="AF6" s="6" t="s">
        <v>179</v>
      </c>
      <c r="AG6" s="92" t="s">
        <v>181</v>
      </c>
      <c r="AH6" s="92" t="s">
        <v>181</v>
      </c>
      <c r="AI6" s="92" t="s">
        <v>885</v>
      </c>
      <c r="AJ6" s="92" t="s">
        <v>899</v>
      </c>
      <c r="AK6" s="92" t="s">
        <v>924</v>
      </c>
      <c r="AL6" s="92" t="s">
        <v>533</v>
      </c>
      <c r="AM6" s="92" t="s">
        <v>732</v>
      </c>
      <c r="AN6" s="92" t="s">
        <v>10311</v>
      </c>
      <c r="AR6" s="6" t="s">
        <v>187</v>
      </c>
      <c r="AS6" s="92" t="s">
        <v>186</v>
      </c>
      <c r="AT6" s="92" t="s">
        <v>187</v>
      </c>
      <c r="AU6" s="92" t="s">
        <v>186</v>
      </c>
      <c r="AV6" s="92" t="s">
        <v>186</v>
      </c>
      <c r="AW6" s="92" t="s">
        <v>187</v>
      </c>
      <c r="AX6" s="92" t="s">
        <v>186</v>
      </c>
      <c r="AY6" s="92" t="s">
        <v>186</v>
      </c>
      <c r="AZ6" s="92" t="s">
        <v>187</v>
      </c>
      <c r="BD6" s="115">
        <v>82221730627</v>
      </c>
      <c r="BE6" s="116">
        <v>8816404412</v>
      </c>
      <c r="BF6" s="116">
        <v>82137231854</v>
      </c>
      <c r="BG6" s="116" t="s">
        <v>13767</v>
      </c>
      <c r="BH6" s="116">
        <v>81558787907</v>
      </c>
      <c r="BI6" s="116">
        <v>81227935336</v>
      </c>
      <c r="BJ6" s="116">
        <v>81233873587</v>
      </c>
      <c r="BK6" s="116" t="s">
        <v>10336</v>
      </c>
      <c r="BL6" s="116">
        <v>89649409365</v>
      </c>
      <c r="BQ6" s="37">
        <v>45321</v>
      </c>
      <c r="BR6" s="8">
        <f t="shared" si="0"/>
        <v>9</v>
      </c>
      <c r="BT6" t="str">
        <f t="shared" si="3"/>
        <v>ALVIAN1800018374.testing@gmail.com</v>
      </c>
      <c r="BU6" t="str">
        <f t="shared" si="4"/>
        <v>Istiqomah2000005186.testing@gmail.com</v>
      </c>
      <c r="BV6" t="str">
        <f t="shared" si="5"/>
        <v>Naufal2000005354.testing@gmail.com</v>
      </c>
      <c r="BW6" t="str">
        <f t="shared" si="6"/>
        <v>Wina2000012116.testing@gmail.com</v>
      </c>
      <c r="BX6" t="str">
        <f t="shared" si="7"/>
        <v>Afifah2000023216.testing@gmail.com</v>
      </c>
      <c r="BY6" t="str">
        <f t="shared" si="8"/>
        <v>Mustofa2000024208.testing@gmail.com</v>
      </c>
      <c r="BZ6" t="str">
        <f t="shared" si="9"/>
        <v>Isyifa2000029038.testing@gmail.com</v>
      </c>
      <c r="CA6" t="str">
        <f t="shared" si="10"/>
        <v>Putri2000032135.testing@gmail.com</v>
      </c>
      <c r="CB6" t="str">
        <f t="shared" si="11"/>
        <v>Waznan2011037004.testing@gmail.com</v>
      </c>
      <c r="CC6" t="str">
        <f t="shared" si="12"/>
        <v/>
      </c>
      <c r="CE6" t="str">
        <f t="shared" si="13"/>
        <v>Suci6554366.testing@gmail.com</v>
      </c>
    </row>
    <row r="7" spans="1:83" ht="14">
      <c r="A7" s="4" t="s">
        <v>2883</v>
      </c>
      <c r="B7" t="s">
        <v>13782</v>
      </c>
      <c r="C7" s="4">
        <v>6554366</v>
      </c>
      <c r="D7" s="4" t="s">
        <v>10313</v>
      </c>
      <c r="E7" s="4" t="s">
        <v>10338</v>
      </c>
      <c r="F7" s="4" t="str">
        <f t="shared" si="2"/>
        <v>Kretek</v>
      </c>
      <c r="G7" s="4" t="s">
        <v>193</v>
      </c>
      <c r="H7" s="6" t="s">
        <v>10339</v>
      </c>
      <c r="I7" s="92" t="s">
        <v>10340</v>
      </c>
      <c r="J7" s="92" t="s">
        <v>10341</v>
      </c>
      <c r="K7" s="92" t="s">
        <v>10342</v>
      </c>
      <c r="L7" s="92" t="s">
        <v>10343</v>
      </c>
      <c r="M7" s="92" t="s">
        <v>10344</v>
      </c>
      <c r="N7" s="92" t="s">
        <v>10345</v>
      </c>
      <c r="O7" s="92" t="s">
        <v>10346</v>
      </c>
      <c r="T7" s="6">
        <v>1900070033</v>
      </c>
      <c r="U7" s="92">
        <v>2000005137</v>
      </c>
      <c r="V7" s="92">
        <v>2000005256</v>
      </c>
      <c r="W7" s="92">
        <v>2000012133</v>
      </c>
      <c r="X7" s="92">
        <v>2000023027</v>
      </c>
      <c r="Y7" s="92">
        <v>2000024335</v>
      </c>
      <c r="Z7" s="92">
        <v>2000029235</v>
      </c>
      <c r="AA7" s="92">
        <v>2000033081</v>
      </c>
      <c r="AF7" s="6" t="s">
        <v>2473</v>
      </c>
      <c r="AG7" s="92" t="s">
        <v>181</v>
      </c>
      <c r="AH7" s="92" t="s">
        <v>181</v>
      </c>
      <c r="AI7" s="92" t="s">
        <v>885</v>
      </c>
      <c r="AJ7" s="92" t="s">
        <v>899</v>
      </c>
      <c r="AK7" s="92" t="s">
        <v>924</v>
      </c>
      <c r="AL7" s="92" t="s">
        <v>533</v>
      </c>
      <c r="AM7" s="92" t="s">
        <v>1112</v>
      </c>
      <c r="AR7" s="6" t="s">
        <v>187</v>
      </c>
      <c r="AS7" s="92" t="s">
        <v>186</v>
      </c>
      <c r="AT7" s="92" t="s">
        <v>187</v>
      </c>
      <c r="AU7" s="92" t="s">
        <v>186</v>
      </c>
      <c r="AV7" s="92" t="s">
        <v>186</v>
      </c>
      <c r="AW7" s="92" t="s">
        <v>187</v>
      </c>
      <c r="AX7" s="92" t="s">
        <v>186</v>
      </c>
      <c r="AY7" s="92" t="s">
        <v>186</v>
      </c>
      <c r="BD7" s="115">
        <v>8813781055</v>
      </c>
      <c r="BE7" s="116">
        <v>82175248676</v>
      </c>
      <c r="BF7" s="116">
        <v>82265249011</v>
      </c>
      <c r="BG7" s="116">
        <v>85161252544</v>
      </c>
      <c r="BH7" s="116">
        <v>87747618770</v>
      </c>
      <c r="BI7" s="116">
        <v>85211508103</v>
      </c>
      <c r="BJ7" s="116">
        <v>895363144719</v>
      </c>
      <c r="BK7" s="116">
        <v>85840134010</v>
      </c>
      <c r="BQ7" s="37">
        <v>45321</v>
      </c>
      <c r="BR7" s="8">
        <f t="shared" si="0"/>
        <v>8</v>
      </c>
      <c r="BT7" t="str">
        <f t="shared" si="3"/>
        <v>Anriko1900070033.testing@gmail.com</v>
      </c>
      <c r="BU7" t="str">
        <f t="shared" si="4"/>
        <v>Nur2000005137.testing@gmail.com</v>
      </c>
      <c r="BV7" t="str">
        <f t="shared" si="5"/>
        <v>Ramadhan2000005256.testing@gmail.com</v>
      </c>
      <c r="BW7" t="str">
        <f t="shared" si="6"/>
        <v>Fadia2000012133.testing@gmail.com</v>
      </c>
      <c r="BX7" t="str">
        <f t="shared" si="7"/>
        <v>Mayang2000023027.testing@gmail.com</v>
      </c>
      <c r="BY7" t="str">
        <f t="shared" si="8"/>
        <v>Yudhistira2000024335.testing@gmail.com</v>
      </c>
      <c r="BZ7" t="str">
        <f t="shared" si="9"/>
        <v>Mutiya2000029235.testing@gmail.com</v>
      </c>
      <c r="CA7" t="str">
        <f t="shared" si="10"/>
        <v>Gandhes2000033081.testing@gmail.com</v>
      </c>
      <c r="CB7" t="str">
        <f t="shared" si="11"/>
        <v/>
      </c>
      <c r="CC7" t="str">
        <f t="shared" si="12"/>
        <v/>
      </c>
      <c r="CE7" t="str">
        <f t="shared" si="13"/>
        <v>Suci6554366.testing@gmail.com</v>
      </c>
    </row>
    <row r="8" spans="1:83" ht="14">
      <c r="A8" s="4" t="s">
        <v>1817</v>
      </c>
      <c r="B8" s="4" t="s">
        <v>13782</v>
      </c>
      <c r="C8" s="4">
        <v>6675674</v>
      </c>
      <c r="D8" s="4" t="s">
        <v>10348</v>
      </c>
      <c r="E8" s="4" t="s">
        <v>10349</v>
      </c>
      <c r="F8" s="4" t="str">
        <f t="shared" si="2"/>
        <v>Kretek</v>
      </c>
      <c r="G8" s="4" t="s">
        <v>193</v>
      </c>
      <c r="H8" s="6" t="s">
        <v>10350</v>
      </c>
      <c r="I8" s="92" t="s">
        <v>10351</v>
      </c>
      <c r="J8" s="92" t="s">
        <v>10352</v>
      </c>
      <c r="K8" s="92" t="s">
        <v>10353</v>
      </c>
      <c r="L8" s="92" t="s">
        <v>10354</v>
      </c>
      <c r="M8" s="92" t="s">
        <v>10355</v>
      </c>
      <c r="N8" s="92" t="s">
        <v>10356</v>
      </c>
      <c r="O8" s="92" t="s">
        <v>10357</v>
      </c>
      <c r="P8" s="92" t="s">
        <v>10358</v>
      </c>
      <c r="T8" s="6">
        <v>1900070014</v>
      </c>
      <c r="U8" s="92">
        <v>2000005162</v>
      </c>
      <c r="V8" s="92">
        <v>2000005202</v>
      </c>
      <c r="W8" s="92">
        <v>2000012084</v>
      </c>
      <c r="X8" s="92">
        <v>2000018114</v>
      </c>
      <c r="Y8" s="92">
        <v>2000023137</v>
      </c>
      <c r="Z8" s="92">
        <v>2000024123</v>
      </c>
      <c r="AA8" s="92">
        <v>2000029148</v>
      </c>
      <c r="AB8" s="92">
        <v>2000033021</v>
      </c>
      <c r="AF8" s="6" t="s">
        <v>2473</v>
      </c>
      <c r="AG8" s="92" t="s">
        <v>181</v>
      </c>
      <c r="AH8" s="92" t="s">
        <v>181</v>
      </c>
      <c r="AI8" s="92" t="s">
        <v>885</v>
      </c>
      <c r="AJ8" s="92" t="s">
        <v>179</v>
      </c>
      <c r="AK8" s="92" t="s">
        <v>899</v>
      </c>
      <c r="AL8" s="92" t="s">
        <v>924</v>
      </c>
      <c r="AM8" s="92" t="s">
        <v>533</v>
      </c>
      <c r="AN8" s="92" t="s">
        <v>1112</v>
      </c>
      <c r="AR8" s="6" t="s">
        <v>187</v>
      </c>
      <c r="AS8" s="92" t="s">
        <v>186</v>
      </c>
      <c r="AT8" s="92" t="s">
        <v>187</v>
      </c>
      <c r="AU8" s="92" t="s">
        <v>186</v>
      </c>
      <c r="AV8" s="92" t="s">
        <v>187</v>
      </c>
      <c r="AW8" s="92" t="s">
        <v>186</v>
      </c>
      <c r="AX8" s="92" t="s">
        <v>187</v>
      </c>
      <c r="AY8" s="92" t="s">
        <v>186</v>
      </c>
      <c r="AZ8" s="92" t="s">
        <v>186</v>
      </c>
      <c r="BD8" s="115">
        <v>88232142401</v>
      </c>
      <c r="BE8" s="116">
        <v>85643987936</v>
      </c>
      <c r="BF8" s="116">
        <v>85708808154</v>
      </c>
      <c r="BG8" s="116">
        <v>81273203447</v>
      </c>
      <c r="BH8" s="116">
        <v>87885727458</v>
      </c>
      <c r="BI8" s="116">
        <v>81367138407</v>
      </c>
      <c r="BJ8" s="116">
        <v>85767944522</v>
      </c>
      <c r="BK8" s="116">
        <v>85738093550</v>
      </c>
      <c r="BL8" s="116">
        <v>83870393786</v>
      </c>
      <c r="BQ8" s="37">
        <v>45321</v>
      </c>
      <c r="BR8" s="8">
        <f t="shared" si="0"/>
        <v>9</v>
      </c>
      <c r="BT8" t="str">
        <f t="shared" si="3"/>
        <v>Vaisal1900070014.testing@gmail.com</v>
      </c>
      <c r="BU8" t="str">
        <f t="shared" si="4"/>
        <v>Amanda2000005162.testing@gmail.com</v>
      </c>
      <c r="BV8" t="str">
        <f t="shared" si="5"/>
        <v>Raikhan2000005202.testing@gmail.com</v>
      </c>
      <c r="BW8" t="str">
        <f t="shared" si="6"/>
        <v>Melsy2000012084.testing@gmail.com</v>
      </c>
      <c r="BX8" t="str">
        <f t="shared" si="7"/>
        <v>Rosyamdani2000018114.testing@gmail.com</v>
      </c>
      <c r="BY8" t="str">
        <f t="shared" si="8"/>
        <v>Muji2000023137.testing@gmail.com</v>
      </c>
      <c r="BZ8" t="str">
        <f t="shared" si="9"/>
        <v>Ramadhan2000024123.testing@gmail.com</v>
      </c>
      <c r="CA8" t="str">
        <f t="shared" si="10"/>
        <v>Baiq2000029148.testing@gmail.com</v>
      </c>
      <c r="CB8" t="str">
        <f t="shared" si="11"/>
        <v>Menik2000033021.testing@gmail.com</v>
      </c>
      <c r="CC8" t="str">
        <f t="shared" si="12"/>
        <v/>
      </c>
      <c r="CE8" t="str">
        <f t="shared" si="13"/>
        <v>Irfan6675674.testing@gmail.com</v>
      </c>
    </row>
    <row r="9" spans="1:83" ht="14">
      <c r="A9" s="4" t="s">
        <v>1839</v>
      </c>
      <c r="B9" t="s">
        <v>13782</v>
      </c>
      <c r="C9" s="4">
        <v>6675674</v>
      </c>
      <c r="D9" s="4" t="s">
        <v>10348</v>
      </c>
      <c r="E9" s="4" t="s">
        <v>10360</v>
      </c>
      <c r="F9" s="4" t="str">
        <f t="shared" si="2"/>
        <v>Kretek</v>
      </c>
      <c r="G9" s="4" t="s">
        <v>193</v>
      </c>
      <c r="H9" s="6" t="s">
        <v>10361</v>
      </c>
      <c r="I9" s="92" t="s">
        <v>10362</v>
      </c>
      <c r="J9" s="92" t="s">
        <v>10363</v>
      </c>
      <c r="K9" s="92" t="s">
        <v>10364</v>
      </c>
      <c r="L9" s="92" t="s">
        <v>10365</v>
      </c>
      <c r="M9" s="92" t="s">
        <v>10366</v>
      </c>
      <c r="N9" s="92" t="s">
        <v>10367</v>
      </c>
      <c r="O9" s="92" t="s">
        <v>10368</v>
      </c>
      <c r="P9" s="92" t="s">
        <v>10369</v>
      </c>
      <c r="T9" s="6">
        <v>2000005042</v>
      </c>
      <c r="U9" s="92">
        <v>2000005297</v>
      </c>
      <c r="V9" s="92">
        <v>2000012145</v>
      </c>
      <c r="W9" s="92">
        <v>2000018039</v>
      </c>
      <c r="X9" s="92">
        <v>2000023144</v>
      </c>
      <c r="Y9" s="92">
        <v>2000024168</v>
      </c>
      <c r="Z9" s="92">
        <v>2000029278</v>
      </c>
      <c r="AA9" s="92">
        <v>2000033022</v>
      </c>
      <c r="AB9" s="92">
        <v>2000070055</v>
      </c>
      <c r="AF9" s="6" t="s">
        <v>181</v>
      </c>
      <c r="AG9" s="92" t="s">
        <v>181</v>
      </c>
      <c r="AH9" s="92" t="s">
        <v>885</v>
      </c>
      <c r="AI9" s="92" t="s">
        <v>179</v>
      </c>
      <c r="AJ9" s="92" t="s">
        <v>899</v>
      </c>
      <c r="AK9" s="92" t="s">
        <v>924</v>
      </c>
      <c r="AL9" s="92" t="s">
        <v>533</v>
      </c>
      <c r="AM9" s="92" t="s">
        <v>1112</v>
      </c>
      <c r="AN9" s="92" t="s">
        <v>2473</v>
      </c>
      <c r="AR9" s="6" t="s">
        <v>187</v>
      </c>
      <c r="AS9" s="92" t="s">
        <v>186</v>
      </c>
      <c r="AT9" s="92" t="s">
        <v>186</v>
      </c>
      <c r="AU9" s="92" t="s">
        <v>187</v>
      </c>
      <c r="AV9" s="92" t="s">
        <v>186</v>
      </c>
      <c r="AW9" s="92" t="s">
        <v>187</v>
      </c>
      <c r="AX9" s="92" t="s">
        <v>186</v>
      </c>
      <c r="AY9" s="92" t="s">
        <v>186</v>
      </c>
      <c r="AZ9" s="92" t="s">
        <v>187</v>
      </c>
      <c r="BD9" s="115">
        <v>85156694270</v>
      </c>
      <c r="BE9" s="116">
        <v>83838266287</v>
      </c>
      <c r="BF9" s="116">
        <v>85939889270</v>
      </c>
      <c r="BG9" s="116">
        <v>85157061776</v>
      </c>
      <c r="BH9" s="116" t="s">
        <v>13764</v>
      </c>
      <c r="BI9" s="116">
        <v>81546954243</v>
      </c>
      <c r="BJ9" s="116">
        <v>81394282576</v>
      </c>
      <c r="BK9" s="116">
        <v>85225611442</v>
      </c>
      <c r="BL9" s="116">
        <v>85725817933</v>
      </c>
      <c r="BQ9" s="37">
        <v>45321</v>
      </c>
      <c r="BR9" s="8">
        <f t="shared" si="0"/>
        <v>9</v>
      </c>
      <c r="BT9" t="str">
        <f t="shared" si="3"/>
        <v>Tegar2000005042.testing@gmail.com</v>
      </c>
      <c r="BU9" t="str">
        <f t="shared" si="4"/>
        <v>Fajar2000005297.testing@gmail.com</v>
      </c>
      <c r="BV9" t="str">
        <f t="shared" si="5"/>
        <v>Stiawati2000012145.testing@gmail.com</v>
      </c>
      <c r="BW9" t="str">
        <f t="shared" si="6"/>
        <v>Hario2000018039.testing@gmail.com</v>
      </c>
      <c r="BX9" t="str">
        <f t="shared" si="7"/>
        <v>Ria2000023144.testing@gmail.com</v>
      </c>
      <c r="BY9" t="str">
        <f t="shared" si="8"/>
        <v>Prabu2000024168.testing@gmail.com</v>
      </c>
      <c r="BZ9" t="str">
        <f t="shared" si="9"/>
        <v>Elys2000029278.testing@gmail.com</v>
      </c>
      <c r="CA9" t="str">
        <f t="shared" si="10"/>
        <v>Salsabila2000033022.testing@gmail.com</v>
      </c>
      <c r="CB9" t="str">
        <f t="shared" si="11"/>
        <v>Sadam2000070055.testing@gmail.com</v>
      </c>
      <c r="CC9" t="str">
        <f t="shared" si="12"/>
        <v/>
      </c>
      <c r="CE9" t="str">
        <f t="shared" si="13"/>
        <v>Irfan6675674.testing@gmail.com</v>
      </c>
    </row>
    <row r="10" spans="1:83" ht="14">
      <c r="A10" s="4" t="s">
        <v>1860</v>
      </c>
      <c r="B10" s="4" t="s">
        <v>13782</v>
      </c>
      <c r="C10" s="4">
        <v>6675674</v>
      </c>
      <c r="D10" s="4" t="s">
        <v>10348</v>
      </c>
      <c r="E10" s="4" t="s">
        <v>10371</v>
      </c>
      <c r="F10" s="4" t="str">
        <f t="shared" si="2"/>
        <v>Kretek</v>
      </c>
      <c r="G10" s="4" t="s">
        <v>193</v>
      </c>
      <c r="H10" s="6" t="s">
        <v>10372</v>
      </c>
      <c r="I10" s="92" t="s">
        <v>10373</v>
      </c>
      <c r="J10" s="92" t="s">
        <v>10374</v>
      </c>
      <c r="K10" s="92" t="s">
        <v>10375</v>
      </c>
      <c r="L10" s="92" t="s">
        <v>10376</v>
      </c>
      <c r="M10" s="92" t="s">
        <v>10377</v>
      </c>
      <c r="N10" s="92" t="s">
        <v>10378</v>
      </c>
      <c r="O10" s="92" t="s">
        <v>10379</v>
      </c>
      <c r="P10" s="92" t="s">
        <v>10380</v>
      </c>
      <c r="T10" s="6">
        <v>2000005313</v>
      </c>
      <c r="U10" s="92">
        <v>2000005343</v>
      </c>
      <c r="V10" s="92">
        <v>2000012170</v>
      </c>
      <c r="W10" s="92">
        <v>2000018021</v>
      </c>
      <c r="X10" s="92">
        <v>2000023122</v>
      </c>
      <c r="Y10" s="92">
        <v>2000024046</v>
      </c>
      <c r="Z10" s="92">
        <v>2000029081</v>
      </c>
      <c r="AA10" s="92">
        <v>2000033057</v>
      </c>
      <c r="AB10" s="92">
        <v>2000070043</v>
      </c>
      <c r="AF10" s="6" t="s">
        <v>181</v>
      </c>
      <c r="AG10" s="92" t="s">
        <v>181</v>
      </c>
      <c r="AH10" s="92" t="s">
        <v>885</v>
      </c>
      <c r="AI10" s="92" t="s">
        <v>179</v>
      </c>
      <c r="AJ10" s="92" t="s">
        <v>899</v>
      </c>
      <c r="AK10" s="92" t="s">
        <v>924</v>
      </c>
      <c r="AL10" s="92" t="s">
        <v>533</v>
      </c>
      <c r="AM10" s="92" t="s">
        <v>1112</v>
      </c>
      <c r="AN10" s="92" t="s">
        <v>2473</v>
      </c>
      <c r="AR10" s="6" t="s">
        <v>187</v>
      </c>
      <c r="AS10" s="92" t="s">
        <v>186</v>
      </c>
      <c r="AT10" s="92" t="s">
        <v>186</v>
      </c>
      <c r="AU10" s="92" t="s">
        <v>187</v>
      </c>
      <c r="AV10" s="92" t="s">
        <v>186</v>
      </c>
      <c r="AW10" s="92" t="s">
        <v>187</v>
      </c>
      <c r="AX10" s="92" t="s">
        <v>186</v>
      </c>
      <c r="AY10" s="92" t="s">
        <v>186</v>
      </c>
      <c r="AZ10" s="92" t="s">
        <v>187</v>
      </c>
      <c r="BD10" s="115">
        <v>85878306787</v>
      </c>
      <c r="BE10" s="116">
        <v>89656347143</v>
      </c>
      <c r="BF10" s="116">
        <v>85724342331</v>
      </c>
      <c r="BG10" s="116">
        <v>81390112151</v>
      </c>
      <c r="BH10" s="116"/>
      <c r="BI10" s="116">
        <v>81271775200</v>
      </c>
      <c r="BJ10" s="116" t="s">
        <v>13763</v>
      </c>
      <c r="BK10" s="116">
        <v>87719974529</v>
      </c>
      <c r="BL10" s="116">
        <v>88279458679</v>
      </c>
      <c r="BQ10" s="37">
        <v>45321</v>
      </c>
      <c r="BR10" s="8">
        <f t="shared" si="0"/>
        <v>9</v>
      </c>
      <c r="BT10" t="str">
        <f t="shared" si="3"/>
        <v>Muhammad2000005313.testing@gmail.com</v>
      </c>
      <c r="BU10" t="str">
        <f t="shared" si="4"/>
        <v>Diah2000005343.testing@gmail.com</v>
      </c>
      <c r="BV10" t="str">
        <f t="shared" si="5"/>
        <v>Sinthia2000012170.testing@gmail.com</v>
      </c>
      <c r="BW10" t="str">
        <f t="shared" si="6"/>
        <v>Muhamad2000018021.testing@gmail.com</v>
      </c>
      <c r="BX10" t="str">
        <f t="shared" si="7"/>
        <v>Nida2000023122.testing@gmail.com</v>
      </c>
      <c r="BY10" t="str">
        <f t="shared" si="8"/>
        <v>Salsabil2000024046.testing@gmail.com</v>
      </c>
      <c r="BZ10" t="str">
        <f t="shared" si="9"/>
        <v>Abelia2000029081.testing@gmail.com</v>
      </c>
      <c r="CA10" t="str">
        <f t="shared" si="10"/>
        <v>Nola2000033057.testing@gmail.com</v>
      </c>
      <c r="CB10" t="str">
        <f t="shared" si="11"/>
        <v>Muhammad2000070043.testing@gmail.com</v>
      </c>
      <c r="CC10" t="str">
        <f t="shared" si="12"/>
        <v/>
      </c>
      <c r="CE10" t="str">
        <f t="shared" si="13"/>
        <v>Irfan6675674.testing@gmail.com</v>
      </c>
    </row>
    <row r="11" spans="1:83" ht="14">
      <c r="A11" s="4" t="s">
        <v>1881</v>
      </c>
      <c r="B11" t="s">
        <v>13782</v>
      </c>
      <c r="C11" s="4">
        <v>8967575</v>
      </c>
      <c r="D11" s="4" t="s">
        <v>10382</v>
      </c>
      <c r="E11" s="4" t="s">
        <v>10383</v>
      </c>
      <c r="F11" s="4" t="str">
        <f t="shared" si="2"/>
        <v>Kretek</v>
      </c>
      <c r="G11" s="4" t="s">
        <v>193</v>
      </c>
      <c r="H11" s="6" t="s">
        <v>10384</v>
      </c>
      <c r="I11" s="92" t="s">
        <v>10385</v>
      </c>
      <c r="J11" s="92" t="s">
        <v>10386</v>
      </c>
      <c r="K11" s="92" t="s">
        <v>10387</v>
      </c>
      <c r="L11" s="92" t="s">
        <v>10388</v>
      </c>
      <c r="M11" s="92" t="s">
        <v>10389</v>
      </c>
      <c r="N11" s="92" t="s">
        <v>10390</v>
      </c>
      <c r="O11" s="92" t="s">
        <v>10391</v>
      </c>
      <c r="P11" s="92" t="s">
        <v>10392</v>
      </c>
      <c r="T11" s="6">
        <v>2000005095</v>
      </c>
      <c r="U11" s="92">
        <v>2000006056</v>
      </c>
      <c r="V11" s="92">
        <v>2000012040</v>
      </c>
      <c r="W11" s="92">
        <v>2000018182</v>
      </c>
      <c r="X11" s="92">
        <v>2000023157</v>
      </c>
      <c r="Y11" s="92">
        <v>2000024073</v>
      </c>
      <c r="Z11" s="92">
        <v>2000029010</v>
      </c>
      <c r="AA11" s="92">
        <v>2000033098</v>
      </c>
      <c r="AB11" s="92">
        <v>2000070042</v>
      </c>
      <c r="AF11" s="6" t="s">
        <v>181</v>
      </c>
      <c r="AG11" s="92" t="s">
        <v>745</v>
      </c>
      <c r="AH11" s="92" t="s">
        <v>885</v>
      </c>
      <c r="AI11" s="92" t="s">
        <v>179</v>
      </c>
      <c r="AJ11" s="92" t="s">
        <v>899</v>
      </c>
      <c r="AK11" s="92" t="s">
        <v>924</v>
      </c>
      <c r="AL11" s="92" t="s">
        <v>533</v>
      </c>
      <c r="AM11" s="92" t="s">
        <v>1112</v>
      </c>
      <c r="AN11" s="92" t="s">
        <v>2473</v>
      </c>
      <c r="AR11" s="6" t="s">
        <v>186</v>
      </c>
      <c r="AS11" s="92" t="s">
        <v>187</v>
      </c>
      <c r="AT11" s="92" t="s">
        <v>186</v>
      </c>
      <c r="AU11" s="92" t="s">
        <v>187</v>
      </c>
      <c r="AV11" s="92" t="s">
        <v>186</v>
      </c>
      <c r="AW11" s="92" t="s">
        <v>187</v>
      </c>
      <c r="AX11" s="92" t="s">
        <v>186</v>
      </c>
      <c r="AY11" s="92" t="s">
        <v>186</v>
      </c>
      <c r="AZ11" s="92" t="s">
        <v>187</v>
      </c>
      <c r="BD11" s="115">
        <v>81254445017</v>
      </c>
      <c r="BE11" s="116">
        <v>85337185881</v>
      </c>
      <c r="BF11" s="116">
        <v>895605967839</v>
      </c>
      <c r="BG11" s="116">
        <v>83861742929</v>
      </c>
      <c r="BH11" s="116">
        <v>81210523800</v>
      </c>
      <c r="BI11" s="116">
        <v>89629906154</v>
      </c>
      <c r="BJ11" s="116">
        <v>82331074015</v>
      </c>
      <c r="BK11" s="116">
        <v>85703177981</v>
      </c>
      <c r="BL11" s="116">
        <v>81912364132</v>
      </c>
      <c r="BQ11" s="37">
        <v>45321</v>
      </c>
      <c r="BR11" s="8">
        <f t="shared" si="0"/>
        <v>9</v>
      </c>
      <c r="BT11" t="str">
        <f t="shared" si="3"/>
        <v>Tamara2000005095.testing@gmail.com</v>
      </c>
      <c r="BU11" t="str">
        <f t="shared" si="4"/>
        <v>Khairullah2000006056.testing@gmail.com</v>
      </c>
      <c r="BV11" t="str">
        <f t="shared" si="5"/>
        <v>Shinta2000012040.testing@gmail.com</v>
      </c>
      <c r="BW11" t="str">
        <f t="shared" si="6"/>
        <v>Muhammad2000018182.testing@gmail.com</v>
      </c>
      <c r="BX11" t="str">
        <f t="shared" si="7"/>
        <v>Irna2000023157.testing@gmail.com</v>
      </c>
      <c r="BY11" t="str">
        <f t="shared" si="8"/>
        <v>M2000024073.testing@gmail.com</v>
      </c>
      <c r="BZ11" t="str">
        <f t="shared" si="9"/>
        <v>Riski2000029010.testing@gmail.com</v>
      </c>
      <c r="CA11" t="str">
        <f t="shared" si="10"/>
        <v>Nurul2000033098.testing@gmail.com</v>
      </c>
      <c r="CB11" t="str">
        <f t="shared" si="11"/>
        <v>Eska2000070042.testing@gmail.com</v>
      </c>
      <c r="CC11" t="str">
        <f t="shared" si="12"/>
        <v/>
      </c>
      <c r="CE11" t="str">
        <f t="shared" si="13"/>
        <v>Sabri,8967575.testing@gmail.com</v>
      </c>
    </row>
    <row r="12" spans="1:83" ht="14">
      <c r="A12" s="4" t="s">
        <v>1903</v>
      </c>
      <c r="B12" s="4" t="s">
        <v>13782</v>
      </c>
      <c r="C12" s="4">
        <v>8967575</v>
      </c>
      <c r="D12" s="4" t="s">
        <v>10382</v>
      </c>
      <c r="E12" s="4" t="s">
        <v>10394</v>
      </c>
      <c r="F12" s="4" t="str">
        <f t="shared" si="2"/>
        <v>Kretek</v>
      </c>
      <c r="G12" s="4" t="s">
        <v>193</v>
      </c>
      <c r="H12" s="6" t="s">
        <v>10395</v>
      </c>
      <c r="I12" s="92" t="s">
        <v>10396</v>
      </c>
      <c r="J12" s="92" t="s">
        <v>10397</v>
      </c>
      <c r="K12" s="92" t="s">
        <v>10398</v>
      </c>
      <c r="L12" s="92" t="s">
        <v>10399</v>
      </c>
      <c r="M12" s="92" t="s">
        <v>10400</v>
      </c>
      <c r="N12" s="92" t="s">
        <v>10401</v>
      </c>
      <c r="O12" s="92" t="s">
        <v>10402</v>
      </c>
      <c r="P12" s="92" t="s">
        <v>10403</v>
      </c>
      <c r="T12" s="6">
        <v>1900024311</v>
      </c>
      <c r="U12" s="92">
        <v>2000001075</v>
      </c>
      <c r="V12" s="92">
        <v>2000005190</v>
      </c>
      <c r="W12" s="92">
        <v>2000006002</v>
      </c>
      <c r="X12" s="92">
        <v>2000012138</v>
      </c>
      <c r="Y12" s="92">
        <v>2000018272</v>
      </c>
      <c r="Z12" s="92">
        <v>2000023265</v>
      </c>
      <c r="AA12" s="92">
        <v>2000029212</v>
      </c>
      <c r="AB12" s="92">
        <v>2000033067</v>
      </c>
      <c r="AF12" s="6" t="s">
        <v>924</v>
      </c>
      <c r="AG12" s="92" t="s">
        <v>180</v>
      </c>
      <c r="AH12" s="92" t="s">
        <v>181</v>
      </c>
      <c r="AI12" s="92" t="s">
        <v>745</v>
      </c>
      <c r="AJ12" s="92" t="s">
        <v>885</v>
      </c>
      <c r="AK12" s="92" t="s">
        <v>179</v>
      </c>
      <c r="AL12" s="92" t="s">
        <v>899</v>
      </c>
      <c r="AM12" s="92" t="s">
        <v>533</v>
      </c>
      <c r="AN12" s="92" t="s">
        <v>1112</v>
      </c>
      <c r="AR12" s="6" t="s">
        <v>187</v>
      </c>
      <c r="AS12" s="92" t="s">
        <v>186</v>
      </c>
      <c r="AT12" s="92" t="s">
        <v>186</v>
      </c>
      <c r="AU12" s="92" t="s">
        <v>187</v>
      </c>
      <c r="AV12" s="92" t="s">
        <v>186</v>
      </c>
      <c r="AW12" s="92" t="s">
        <v>187</v>
      </c>
      <c r="AX12" s="92" t="s">
        <v>186</v>
      </c>
      <c r="AY12" s="92" t="s">
        <v>186</v>
      </c>
      <c r="AZ12" s="92" t="s">
        <v>186</v>
      </c>
      <c r="BD12" s="115">
        <v>89649299795</v>
      </c>
      <c r="BE12" s="116">
        <v>85783942435</v>
      </c>
      <c r="BF12" s="116">
        <v>85269913943</v>
      </c>
      <c r="BG12" s="116" t="s">
        <v>13766</v>
      </c>
      <c r="BH12" s="116" t="s">
        <v>13765</v>
      </c>
      <c r="BI12" s="116">
        <v>85740542397</v>
      </c>
      <c r="BJ12" s="116">
        <v>82112724172</v>
      </c>
      <c r="BK12" s="116">
        <v>81906918226</v>
      </c>
      <c r="BL12" s="116">
        <v>82281864436</v>
      </c>
      <c r="BQ12" s="37">
        <v>45321</v>
      </c>
      <c r="BR12" s="8">
        <f t="shared" si="0"/>
        <v>9</v>
      </c>
      <c r="BT12" t="str">
        <f t="shared" si="3"/>
        <v>Sonny1900024311.testing@gmail.com</v>
      </c>
      <c r="BU12" t="str">
        <f t="shared" si="4"/>
        <v>Zerina2000001075.testing@gmail.com</v>
      </c>
      <c r="BV12" t="str">
        <f t="shared" si="5"/>
        <v>Salisa2000005190.testing@gmail.com</v>
      </c>
      <c r="BW12" t="str">
        <f t="shared" si="6"/>
        <v>Yus2000006002.testing@gmail.com</v>
      </c>
      <c r="BX12" t="str">
        <f t="shared" si="7"/>
        <v>Galuh2000012138.testing@gmail.com</v>
      </c>
      <c r="BY12" t="str">
        <f t="shared" si="8"/>
        <v>Deva2000018272.testing@gmail.com</v>
      </c>
      <c r="BZ12" t="str">
        <f t="shared" si="9"/>
        <v>Ayu2000023265.testing@gmail.com</v>
      </c>
      <c r="CA12" t="str">
        <f t="shared" si="10"/>
        <v>Sagita2000029212.testing@gmail.com</v>
      </c>
      <c r="CB12" t="str">
        <f t="shared" si="11"/>
        <v>Dini2000033067.testing@gmail.com</v>
      </c>
      <c r="CC12" t="str">
        <f t="shared" si="12"/>
        <v/>
      </c>
      <c r="CE12" t="str">
        <f t="shared" si="13"/>
        <v>Sabri,8967575.testing@gmail.com</v>
      </c>
    </row>
    <row r="13" spans="1:83" ht="14">
      <c r="A13" s="4" t="s">
        <v>1945</v>
      </c>
      <c r="B13" t="s">
        <v>13782</v>
      </c>
      <c r="C13" s="4">
        <v>9867865</v>
      </c>
      <c r="D13" s="4" t="s">
        <v>10405</v>
      </c>
      <c r="E13" s="4" t="s">
        <v>10406</v>
      </c>
      <c r="F13" s="4" t="str">
        <f t="shared" si="2"/>
        <v>Kretek</v>
      </c>
      <c r="G13" s="4" t="s">
        <v>193</v>
      </c>
      <c r="H13" s="6" t="s">
        <v>10407</v>
      </c>
      <c r="I13" s="92" t="s">
        <v>10408</v>
      </c>
      <c r="J13" s="92" t="s">
        <v>10409</v>
      </c>
      <c r="K13" s="92" t="s">
        <v>10410</v>
      </c>
      <c r="L13" s="92" t="s">
        <v>10411</v>
      </c>
      <c r="M13" s="92" t="s">
        <v>10412</v>
      </c>
      <c r="N13" s="92" t="s">
        <v>10413</v>
      </c>
      <c r="O13" s="92" t="s">
        <v>10414</v>
      </c>
      <c r="P13" s="92" t="s">
        <v>10415</v>
      </c>
      <c r="T13" s="6">
        <v>1900007011</v>
      </c>
      <c r="U13" s="92">
        <v>2000001161</v>
      </c>
      <c r="V13" s="92">
        <v>2000005093</v>
      </c>
      <c r="W13" s="92">
        <v>2000012013</v>
      </c>
      <c r="X13" s="92">
        <v>2000018043</v>
      </c>
      <c r="Y13" s="92">
        <v>2000023133</v>
      </c>
      <c r="Z13" s="92">
        <v>2000024338</v>
      </c>
      <c r="AA13" s="92">
        <v>2000029225</v>
      </c>
      <c r="AB13" s="92">
        <v>2000033068</v>
      </c>
      <c r="AF13" s="6" t="s">
        <v>1021</v>
      </c>
      <c r="AG13" s="92" t="s">
        <v>180</v>
      </c>
      <c r="AH13" s="92" t="s">
        <v>181</v>
      </c>
      <c r="AI13" s="92" t="s">
        <v>885</v>
      </c>
      <c r="AJ13" s="92" t="s">
        <v>179</v>
      </c>
      <c r="AK13" s="92" t="s">
        <v>899</v>
      </c>
      <c r="AL13" s="92" t="s">
        <v>924</v>
      </c>
      <c r="AM13" s="92" t="s">
        <v>533</v>
      </c>
      <c r="AN13" s="92" t="s">
        <v>1112</v>
      </c>
      <c r="AR13" s="6" t="s">
        <v>187</v>
      </c>
      <c r="AS13" s="92" t="s">
        <v>186</v>
      </c>
      <c r="AT13" s="92" t="s">
        <v>186</v>
      </c>
      <c r="AU13" s="92" t="s">
        <v>186</v>
      </c>
      <c r="AV13" s="92" t="s">
        <v>187</v>
      </c>
      <c r="AW13" s="92" t="s">
        <v>186</v>
      </c>
      <c r="AX13" s="92" t="s">
        <v>187</v>
      </c>
      <c r="AY13" s="92" t="s">
        <v>186</v>
      </c>
      <c r="AZ13" s="92" t="s">
        <v>186</v>
      </c>
      <c r="BD13" s="115">
        <v>89694035952</v>
      </c>
      <c r="BE13" s="116" t="s">
        <v>10416</v>
      </c>
      <c r="BF13" s="116">
        <v>85727606513</v>
      </c>
      <c r="BG13" s="116">
        <v>87728090953</v>
      </c>
      <c r="BH13" s="116">
        <v>85267718903</v>
      </c>
      <c r="BI13" s="116">
        <v>82286123923</v>
      </c>
      <c r="BJ13" s="116">
        <v>85156513640</v>
      </c>
      <c r="BK13" s="116">
        <v>82158332013</v>
      </c>
      <c r="BL13" s="116">
        <v>85771779515</v>
      </c>
      <c r="BQ13" s="37">
        <v>45321</v>
      </c>
      <c r="BR13" s="8">
        <f t="shared" si="0"/>
        <v>9</v>
      </c>
      <c r="BT13" t="str">
        <f t="shared" si="3"/>
        <v>Luthfi1900007011.testing@gmail.com</v>
      </c>
      <c r="BU13" t="str">
        <f t="shared" si="4"/>
        <v>Miftah2000001161.testing@gmail.com</v>
      </c>
      <c r="BV13" t="str">
        <f t="shared" si="5"/>
        <v>Rena2000005093.testing@gmail.com</v>
      </c>
      <c r="BW13" t="str">
        <f t="shared" si="6"/>
        <v>Ratri2000012013.testing@gmail.com</v>
      </c>
      <c r="BX13" t="str">
        <f t="shared" si="7"/>
        <v>Ramadhani2000018043.testing@gmail.com</v>
      </c>
      <c r="BY13" t="str">
        <f t="shared" si="8"/>
        <v>Adniyah2000023133.testing@gmail.com</v>
      </c>
      <c r="BZ13" t="str">
        <f t="shared" si="9"/>
        <v>Muhammad2000024338.testing@gmail.com</v>
      </c>
      <c r="CA13" t="str">
        <f t="shared" si="10"/>
        <v>Diyah2000029225.testing@gmail.com</v>
      </c>
      <c r="CB13" t="str">
        <f t="shared" si="11"/>
        <v>Retfi2000033068.testing@gmail.com</v>
      </c>
      <c r="CC13" t="str">
        <f t="shared" si="12"/>
        <v/>
      </c>
      <c r="CE13" t="str">
        <f t="shared" si="13"/>
        <v>Dr.9867865.testing@gmail.com</v>
      </c>
    </row>
    <row r="14" spans="1:83" ht="14">
      <c r="A14" s="4" t="s">
        <v>1967</v>
      </c>
      <c r="B14" s="4" t="s">
        <v>13782</v>
      </c>
      <c r="C14" s="4">
        <v>9867865</v>
      </c>
      <c r="D14" s="4" t="s">
        <v>10405</v>
      </c>
      <c r="E14" s="4" t="s">
        <v>10418</v>
      </c>
      <c r="F14" s="4" t="str">
        <f t="shared" si="2"/>
        <v>Kretek</v>
      </c>
      <c r="G14" s="4" t="s">
        <v>193</v>
      </c>
      <c r="H14" s="6" t="s">
        <v>10419</v>
      </c>
      <c r="I14" s="92" t="s">
        <v>10420</v>
      </c>
      <c r="J14" s="92" t="s">
        <v>10421</v>
      </c>
      <c r="K14" s="92" t="s">
        <v>10422</v>
      </c>
      <c r="L14" s="92" t="s">
        <v>10423</v>
      </c>
      <c r="M14" s="92" t="s">
        <v>10424</v>
      </c>
      <c r="N14" s="92" t="s">
        <v>10425</v>
      </c>
      <c r="O14" s="92" t="s">
        <v>10426</v>
      </c>
      <c r="P14" s="92" t="s">
        <v>10427</v>
      </c>
      <c r="T14" s="6">
        <v>2000001054</v>
      </c>
      <c r="U14" s="92">
        <v>2000005203</v>
      </c>
      <c r="V14" s="92">
        <v>2000007008</v>
      </c>
      <c r="W14" s="92">
        <v>2000013219</v>
      </c>
      <c r="X14" s="92">
        <v>2000018137</v>
      </c>
      <c r="Y14" s="92">
        <v>2000023105</v>
      </c>
      <c r="Z14" s="92">
        <v>2000024291</v>
      </c>
      <c r="AA14" s="92">
        <v>2000029220</v>
      </c>
      <c r="AB14" s="92">
        <v>2000033049</v>
      </c>
      <c r="AF14" s="6" t="s">
        <v>180</v>
      </c>
      <c r="AG14" s="92" t="s">
        <v>181</v>
      </c>
      <c r="AH14" s="92" t="s">
        <v>1021</v>
      </c>
      <c r="AI14" s="92" t="s">
        <v>677</v>
      </c>
      <c r="AJ14" s="92" t="s">
        <v>179</v>
      </c>
      <c r="AK14" s="92" t="s">
        <v>899</v>
      </c>
      <c r="AL14" s="92" t="s">
        <v>924</v>
      </c>
      <c r="AM14" s="92" t="s">
        <v>533</v>
      </c>
      <c r="AN14" s="92" t="s">
        <v>1112</v>
      </c>
      <c r="AR14" s="6" t="s">
        <v>186</v>
      </c>
      <c r="AS14" s="92" t="s">
        <v>186</v>
      </c>
      <c r="AT14" s="92" t="s">
        <v>187</v>
      </c>
      <c r="AU14" s="92" t="s">
        <v>186</v>
      </c>
      <c r="AV14" s="92" t="s">
        <v>187</v>
      </c>
      <c r="AW14" s="92" t="s">
        <v>186</v>
      </c>
      <c r="AX14" s="92" t="s">
        <v>187</v>
      </c>
      <c r="AY14" s="92" t="s">
        <v>186</v>
      </c>
      <c r="AZ14" s="92" t="s">
        <v>186</v>
      </c>
      <c r="BD14" s="115">
        <v>89666618472</v>
      </c>
      <c r="BE14" s="116">
        <v>85291500325</v>
      </c>
      <c r="BF14" s="116">
        <v>82311553107</v>
      </c>
      <c r="BG14" s="116">
        <v>81273700516</v>
      </c>
      <c r="BH14" s="116">
        <v>85379661729</v>
      </c>
      <c r="BI14" s="116">
        <v>81222212574</v>
      </c>
      <c r="BJ14" s="116">
        <v>82142637499</v>
      </c>
      <c r="BK14" s="116">
        <v>85655721918</v>
      </c>
      <c r="BL14" s="116">
        <v>81378070884</v>
      </c>
      <c r="BQ14" s="37">
        <v>45321</v>
      </c>
      <c r="BR14" s="8">
        <f t="shared" si="0"/>
        <v>9</v>
      </c>
      <c r="BT14" t="str">
        <f t="shared" si="3"/>
        <v>Fatma2000001054.testing@gmail.com</v>
      </c>
      <c r="BU14" t="str">
        <f t="shared" si="4"/>
        <v>Levi2000005203.testing@gmail.com</v>
      </c>
      <c r="BV14" t="str">
        <f t="shared" si="5"/>
        <v>Dhimas2000007008.testing@gmail.com</v>
      </c>
      <c r="BW14" t="str">
        <f t="shared" si="6"/>
        <v>Luk2000013219.testing@gmail.com</v>
      </c>
      <c r="BX14" t="str">
        <f t="shared" si="7"/>
        <v>Muhamad2000018137.testing@gmail.com</v>
      </c>
      <c r="BY14" t="str">
        <f t="shared" si="8"/>
        <v>Kayla2000023105.testing@gmail.com</v>
      </c>
      <c r="BZ14" t="str">
        <f t="shared" si="9"/>
        <v>Muhammad2000024291.testing@gmail.com</v>
      </c>
      <c r="CA14" t="str">
        <f t="shared" si="10"/>
        <v>Fatma2000029220.testing@gmail.com</v>
      </c>
      <c r="CB14" t="str">
        <f t="shared" si="11"/>
        <v>Riana2000033049.testing@gmail.com</v>
      </c>
      <c r="CC14" t="str">
        <f t="shared" si="12"/>
        <v/>
      </c>
      <c r="CE14" t="str">
        <f t="shared" si="13"/>
        <v>Dr.9867865.testing@gmail.com</v>
      </c>
    </row>
    <row r="15" spans="1:83" ht="14">
      <c r="A15" s="4" t="s">
        <v>2009</v>
      </c>
      <c r="B15" s="4" t="s">
        <v>13783</v>
      </c>
      <c r="C15" s="4">
        <v>7986877</v>
      </c>
      <c r="D15" s="4" t="s">
        <v>3519</v>
      </c>
      <c r="E15" s="4" t="s">
        <v>7617</v>
      </c>
      <c r="F15" s="4" t="str">
        <f t="shared" si="2"/>
        <v>Pandak</v>
      </c>
      <c r="G15" s="4" t="s">
        <v>193</v>
      </c>
      <c r="H15" s="6" t="s">
        <v>10429</v>
      </c>
      <c r="I15" s="92" t="s">
        <v>10430</v>
      </c>
      <c r="J15" s="92" t="s">
        <v>10431</v>
      </c>
      <c r="K15" s="92" t="s">
        <v>10432</v>
      </c>
      <c r="L15" s="92" t="s">
        <v>10433</v>
      </c>
      <c r="M15" s="92" t="s">
        <v>6692</v>
      </c>
      <c r="N15" s="92" t="s">
        <v>10434</v>
      </c>
      <c r="O15" s="92" t="s">
        <v>10435</v>
      </c>
      <c r="P15" s="92" t="s">
        <v>10436</v>
      </c>
      <c r="T15" s="6">
        <v>2000001070</v>
      </c>
      <c r="U15" s="92">
        <v>2000005369</v>
      </c>
      <c r="V15" s="92">
        <v>2000008001</v>
      </c>
      <c r="W15" s="92">
        <v>2000013296</v>
      </c>
      <c r="X15" s="92">
        <v>2000018313</v>
      </c>
      <c r="Y15" s="92">
        <v>2000023052</v>
      </c>
      <c r="Z15" s="92">
        <v>2000024334</v>
      </c>
      <c r="AA15" s="92">
        <v>2000029156</v>
      </c>
      <c r="AB15" s="92">
        <v>2000033017</v>
      </c>
      <c r="AF15" s="6" t="s">
        <v>180</v>
      </c>
      <c r="AG15" s="92" t="s">
        <v>181</v>
      </c>
      <c r="AH15" s="92" t="s">
        <v>1111</v>
      </c>
      <c r="AI15" s="92" t="s">
        <v>677</v>
      </c>
      <c r="AJ15" s="92" t="s">
        <v>179</v>
      </c>
      <c r="AK15" s="92" t="s">
        <v>899</v>
      </c>
      <c r="AL15" s="92" t="s">
        <v>924</v>
      </c>
      <c r="AM15" s="92" t="s">
        <v>533</v>
      </c>
      <c r="AN15" s="92" t="s">
        <v>1112</v>
      </c>
      <c r="AR15" s="6" t="s">
        <v>186</v>
      </c>
      <c r="AS15" s="92" t="s">
        <v>186</v>
      </c>
      <c r="AT15" s="92" t="s">
        <v>187</v>
      </c>
      <c r="AU15" s="92" t="s">
        <v>186</v>
      </c>
      <c r="AV15" s="92" t="s">
        <v>187</v>
      </c>
      <c r="AW15" s="92" t="s">
        <v>186</v>
      </c>
      <c r="AX15" s="92" t="s">
        <v>187</v>
      </c>
      <c r="AY15" s="92" t="s">
        <v>186</v>
      </c>
      <c r="AZ15" s="92" t="s">
        <v>186</v>
      </c>
      <c r="BD15" s="115">
        <v>82134786034</v>
      </c>
      <c r="BE15" s="116">
        <v>85642950518</v>
      </c>
      <c r="BF15" s="116">
        <v>81271568679</v>
      </c>
      <c r="BG15" s="116">
        <v>81392089419</v>
      </c>
      <c r="BH15" s="116">
        <v>82397287915</v>
      </c>
      <c r="BI15" s="116">
        <v>83153878865</v>
      </c>
      <c r="BJ15" s="116">
        <v>81221479038</v>
      </c>
      <c r="BK15" s="116">
        <v>82290047660</v>
      </c>
      <c r="BL15" s="116">
        <v>82152018126</v>
      </c>
      <c r="BQ15" s="37">
        <v>45320</v>
      </c>
      <c r="BR15" s="8">
        <f t="shared" si="0"/>
        <v>9</v>
      </c>
      <c r="BT15" t="str">
        <f t="shared" si="3"/>
        <v>Yasifa2000001070.testing@gmail.com</v>
      </c>
      <c r="BU15" t="str">
        <f t="shared" si="4"/>
        <v>Miftakhul2000005369.testing@gmail.com</v>
      </c>
      <c r="BV15" t="str">
        <f t="shared" si="5"/>
        <v>Ahmad2000008001.testing@gmail.com</v>
      </c>
      <c r="BW15" t="str">
        <f t="shared" si="6"/>
        <v>Anisa2000013296.testing@gmail.com</v>
      </c>
      <c r="BX15" t="str">
        <f t="shared" si="7"/>
        <v>Tisna2000018313.testing@gmail.com</v>
      </c>
      <c r="BY15" t="str">
        <f t="shared" si="8"/>
        <v>Suci2000023052.testing@gmail.com</v>
      </c>
      <c r="BZ15" t="str">
        <f t="shared" si="9"/>
        <v>Syarif2000024334.testing@gmail.com</v>
      </c>
      <c r="CA15" t="str">
        <f t="shared" si="10"/>
        <v>Nurul2000029156.testing@gmail.com</v>
      </c>
      <c r="CB15" t="str">
        <f t="shared" si="11"/>
        <v>Intan2000033017.testing@gmail.com</v>
      </c>
      <c r="CC15" t="str">
        <f t="shared" si="12"/>
        <v/>
      </c>
      <c r="CE15" t="str">
        <f t="shared" si="13"/>
        <v>Avanti7986877.testing@gmail.com</v>
      </c>
    </row>
    <row r="16" spans="1:83" ht="14">
      <c r="A16" s="4" t="s">
        <v>2031</v>
      </c>
      <c r="B16" s="4" t="s">
        <v>13783</v>
      </c>
      <c r="C16" s="4">
        <v>7986877</v>
      </c>
      <c r="D16" s="4" t="s">
        <v>3519</v>
      </c>
      <c r="E16" s="4" t="s">
        <v>3779</v>
      </c>
      <c r="F16" s="4" t="str">
        <f t="shared" si="2"/>
        <v>Pandak</v>
      </c>
      <c r="G16" s="4" t="s">
        <v>193</v>
      </c>
      <c r="H16" s="6" t="s">
        <v>10438</v>
      </c>
      <c r="I16" s="92" t="s">
        <v>10439</v>
      </c>
      <c r="J16" s="92" t="s">
        <v>10440</v>
      </c>
      <c r="K16" s="92" t="s">
        <v>10441</v>
      </c>
      <c r="L16" s="92" t="s">
        <v>10442</v>
      </c>
      <c r="M16" s="92" t="s">
        <v>10443</v>
      </c>
      <c r="N16" s="92" t="s">
        <v>10444</v>
      </c>
      <c r="O16" s="92" t="s">
        <v>10445</v>
      </c>
      <c r="T16" s="6">
        <v>2000001097</v>
      </c>
      <c r="U16" s="92">
        <v>2000008055</v>
      </c>
      <c r="V16" s="92">
        <v>2000013188</v>
      </c>
      <c r="W16" s="92">
        <v>2000018451</v>
      </c>
      <c r="X16" s="92">
        <v>2000023102</v>
      </c>
      <c r="Y16" s="92">
        <v>2000024241</v>
      </c>
      <c r="Z16" s="92">
        <v>2000029143</v>
      </c>
      <c r="AA16" s="92">
        <v>2000033083</v>
      </c>
      <c r="AF16" s="6" t="s">
        <v>180</v>
      </c>
      <c r="AG16" s="92" t="s">
        <v>1111</v>
      </c>
      <c r="AH16" s="92" t="s">
        <v>677</v>
      </c>
      <c r="AI16" s="92" t="s">
        <v>179</v>
      </c>
      <c r="AJ16" s="92" t="s">
        <v>899</v>
      </c>
      <c r="AK16" s="92" t="s">
        <v>924</v>
      </c>
      <c r="AL16" s="92" t="s">
        <v>533</v>
      </c>
      <c r="AM16" s="92" t="s">
        <v>1112</v>
      </c>
      <c r="AR16" s="6" t="s">
        <v>186</v>
      </c>
      <c r="AS16" s="92" t="s">
        <v>187</v>
      </c>
      <c r="AT16" s="92" t="s">
        <v>186</v>
      </c>
      <c r="AU16" s="92" t="s">
        <v>187</v>
      </c>
      <c r="AV16" s="92" t="s">
        <v>186</v>
      </c>
      <c r="AW16" s="92" t="s">
        <v>187</v>
      </c>
      <c r="AX16" s="92" t="s">
        <v>186</v>
      </c>
      <c r="AY16" s="92" t="s">
        <v>186</v>
      </c>
      <c r="BD16" s="115">
        <v>82314727569</v>
      </c>
      <c r="BE16" s="116">
        <v>81353677315</v>
      </c>
      <c r="BF16" s="116">
        <v>85840176224</v>
      </c>
      <c r="BG16" s="116">
        <v>8979837519</v>
      </c>
      <c r="BH16" s="116">
        <v>83164965500</v>
      </c>
      <c r="BI16" s="116">
        <v>87847988420</v>
      </c>
      <c r="BJ16" s="116">
        <v>81515187273</v>
      </c>
      <c r="BK16" s="116">
        <v>82269321371</v>
      </c>
      <c r="BQ16" s="37">
        <v>45320</v>
      </c>
      <c r="BR16" s="8">
        <f t="shared" si="0"/>
        <v>8</v>
      </c>
      <c r="BT16" t="str">
        <f t="shared" si="3"/>
        <v>Arista2000001097.testing@gmail.com</v>
      </c>
      <c r="BU16" t="str">
        <f t="shared" si="4"/>
        <v>Muhammad2000008055.testing@gmail.com</v>
      </c>
      <c r="BV16" t="str">
        <f t="shared" si="5"/>
        <v>Fadia2000013188.testing@gmail.com</v>
      </c>
      <c r="BW16" t="str">
        <f t="shared" si="6"/>
        <v>Jimy2000018451.testing@gmail.com</v>
      </c>
      <c r="BX16" t="str">
        <f t="shared" si="7"/>
        <v>Yoren2000023102.testing@gmail.com</v>
      </c>
      <c r="BY16" t="str">
        <f t="shared" si="8"/>
        <v>Daffa2000024241.testing@gmail.com</v>
      </c>
      <c r="BZ16" t="str">
        <f t="shared" si="9"/>
        <v>Hana2000029143.testing@gmail.com</v>
      </c>
      <c r="CA16" t="str">
        <f t="shared" si="10"/>
        <v>Arika2000033083.testing@gmail.com</v>
      </c>
      <c r="CB16" t="str">
        <f t="shared" si="11"/>
        <v/>
      </c>
      <c r="CC16" t="str">
        <f t="shared" si="12"/>
        <v/>
      </c>
      <c r="CE16" t="str">
        <f t="shared" si="13"/>
        <v>Avanti7986877.testing@gmail.com</v>
      </c>
    </row>
    <row r="17" spans="1:83" ht="14">
      <c r="A17" s="4" t="s">
        <v>3022</v>
      </c>
      <c r="B17" s="4" t="s">
        <v>13783</v>
      </c>
      <c r="C17" s="4">
        <v>7986877</v>
      </c>
      <c r="D17" s="4" t="s">
        <v>3519</v>
      </c>
      <c r="E17" s="4" t="s">
        <v>3791</v>
      </c>
      <c r="F17" s="4" t="str">
        <f t="shared" si="2"/>
        <v>Pandak</v>
      </c>
      <c r="G17" s="4" t="s">
        <v>193</v>
      </c>
      <c r="H17" s="6" t="s">
        <v>10447</v>
      </c>
      <c r="I17" s="92" t="s">
        <v>10448</v>
      </c>
      <c r="J17" s="92" t="s">
        <v>10449</v>
      </c>
      <c r="K17" s="92" t="s">
        <v>10450</v>
      </c>
      <c r="L17" s="92" t="s">
        <v>10451</v>
      </c>
      <c r="M17" s="92" t="s">
        <v>10452</v>
      </c>
      <c r="N17" s="92" t="s">
        <v>10453</v>
      </c>
      <c r="O17" s="92" t="s">
        <v>10454</v>
      </c>
      <c r="P17" s="92" t="s">
        <v>10455</v>
      </c>
      <c r="T17" s="6">
        <v>1900008066</v>
      </c>
      <c r="U17" s="92">
        <v>2000001155</v>
      </c>
      <c r="V17" s="92">
        <v>2000005277</v>
      </c>
      <c r="W17" s="92">
        <v>2000013272</v>
      </c>
      <c r="X17" s="92">
        <v>2000018012</v>
      </c>
      <c r="Y17" s="92">
        <v>2000023118</v>
      </c>
      <c r="Z17" s="92">
        <v>2000024110</v>
      </c>
      <c r="AA17" s="92">
        <v>2000029200</v>
      </c>
      <c r="AB17" s="92">
        <v>2000033005</v>
      </c>
      <c r="AF17" s="6" t="s">
        <v>1111</v>
      </c>
      <c r="AG17" s="92" t="s">
        <v>180</v>
      </c>
      <c r="AH17" s="92" t="s">
        <v>181</v>
      </c>
      <c r="AI17" s="92" t="s">
        <v>677</v>
      </c>
      <c r="AJ17" s="92" t="s">
        <v>179</v>
      </c>
      <c r="AK17" s="92" t="s">
        <v>899</v>
      </c>
      <c r="AL17" s="92" t="s">
        <v>924</v>
      </c>
      <c r="AM17" s="92" t="s">
        <v>533</v>
      </c>
      <c r="AN17" s="92" t="s">
        <v>1112</v>
      </c>
      <c r="AR17" s="6" t="s">
        <v>187</v>
      </c>
      <c r="AS17" s="92" t="s">
        <v>186</v>
      </c>
      <c r="AT17" s="92" t="s">
        <v>186</v>
      </c>
      <c r="AU17" s="92" t="s">
        <v>186</v>
      </c>
      <c r="AV17" s="92" t="s">
        <v>187</v>
      </c>
      <c r="AW17" s="92" t="s">
        <v>186</v>
      </c>
      <c r="AX17" s="92" t="s">
        <v>187</v>
      </c>
      <c r="AY17" s="92" t="s">
        <v>186</v>
      </c>
      <c r="AZ17" s="92" t="s">
        <v>186</v>
      </c>
      <c r="BD17" s="115">
        <v>88215364072</v>
      </c>
      <c r="BE17" s="116">
        <v>81476604427</v>
      </c>
      <c r="BF17" s="116">
        <v>82134095301</v>
      </c>
      <c r="BG17" s="116">
        <v>85713424033</v>
      </c>
      <c r="BH17" s="116">
        <v>82377917272</v>
      </c>
      <c r="BI17" s="116">
        <v>87896904905</v>
      </c>
      <c r="BJ17" s="116" t="s">
        <v>13769</v>
      </c>
      <c r="BK17" s="116">
        <v>88216480561</v>
      </c>
      <c r="BL17" s="116">
        <v>82251920973</v>
      </c>
      <c r="BQ17" s="37">
        <v>45320</v>
      </c>
      <c r="BR17" s="8">
        <f t="shared" si="0"/>
        <v>9</v>
      </c>
      <c r="BT17" t="str">
        <f t="shared" si="3"/>
        <v>Ahmad1900008066.testing@gmail.com</v>
      </c>
      <c r="BU17" t="str">
        <f t="shared" si="4"/>
        <v>Alvina2000001155.testing@gmail.com</v>
      </c>
      <c r="BV17" t="str">
        <f t="shared" si="5"/>
        <v>Ayu2000005277.testing@gmail.com</v>
      </c>
      <c r="BW17" t="str">
        <f t="shared" si="6"/>
        <v>Desi2000013272.testing@gmail.com</v>
      </c>
      <c r="BX17" t="str">
        <f t="shared" si="7"/>
        <v>Muhammad2000018012.testing@gmail.com</v>
      </c>
      <c r="BY17" t="str">
        <f t="shared" si="8"/>
        <v>Ladynda2000023118.testing@gmail.com</v>
      </c>
      <c r="BZ17" t="str">
        <f t="shared" si="9"/>
        <v>Muhamad2000024110.testing@gmail.com</v>
      </c>
      <c r="CA17" t="str">
        <f t="shared" si="10"/>
        <v>Maradella2000029200.testing@gmail.com</v>
      </c>
      <c r="CB17" t="str">
        <f t="shared" si="11"/>
        <v>Faras2000033005.testing@gmail.com</v>
      </c>
      <c r="CC17" t="str">
        <f t="shared" si="12"/>
        <v/>
      </c>
      <c r="CE17" t="str">
        <f t="shared" si="13"/>
        <v>Avanti7986877.testing@gmail.com</v>
      </c>
    </row>
    <row r="18" spans="1:83" ht="14">
      <c r="A18" s="4" t="s">
        <v>3034</v>
      </c>
      <c r="B18" s="4" t="s">
        <v>13783</v>
      </c>
      <c r="C18" s="4">
        <v>9636742</v>
      </c>
      <c r="D18" s="4" t="s">
        <v>10457</v>
      </c>
      <c r="E18" s="4" t="s">
        <v>3754</v>
      </c>
      <c r="F18" s="4" t="str">
        <f t="shared" si="2"/>
        <v>Pandak</v>
      </c>
      <c r="G18" s="4" t="s">
        <v>193</v>
      </c>
      <c r="H18" s="6" t="s">
        <v>10458</v>
      </c>
      <c r="I18" s="92" t="s">
        <v>10459</v>
      </c>
      <c r="J18" s="92" t="s">
        <v>10460</v>
      </c>
      <c r="K18" s="92" t="s">
        <v>10461</v>
      </c>
      <c r="L18" s="92" t="s">
        <v>10462</v>
      </c>
      <c r="M18" s="92" t="s">
        <v>10463</v>
      </c>
      <c r="N18" s="92" t="s">
        <v>10464</v>
      </c>
      <c r="O18" s="92" t="s">
        <v>10465</v>
      </c>
      <c r="P18" s="92" t="s">
        <v>10466</v>
      </c>
      <c r="T18" s="6">
        <v>2000001091</v>
      </c>
      <c r="U18" s="92">
        <v>2000005105</v>
      </c>
      <c r="V18" s="92">
        <v>2000008044</v>
      </c>
      <c r="W18" s="92">
        <v>2000013080</v>
      </c>
      <c r="X18" s="92">
        <v>2000018400</v>
      </c>
      <c r="Y18" s="92">
        <v>2000023136</v>
      </c>
      <c r="Z18" s="92">
        <v>2000024092</v>
      </c>
      <c r="AA18" s="92">
        <v>2000029250</v>
      </c>
      <c r="AB18" s="92">
        <v>2000033077</v>
      </c>
      <c r="AF18" s="6" t="s">
        <v>180</v>
      </c>
      <c r="AG18" s="92" t="s">
        <v>181</v>
      </c>
      <c r="AH18" s="92" t="s">
        <v>1111</v>
      </c>
      <c r="AI18" s="92" t="s">
        <v>677</v>
      </c>
      <c r="AJ18" s="92" t="s">
        <v>179</v>
      </c>
      <c r="AK18" s="92" t="s">
        <v>899</v>
      </c>
      <c r="AL18" s="92" t="s">
        <v>924</v>
      </c>
      <c r="AM18" s="92" t="s">
        <v>533</v>
      </c>
      <c r="AN18" s="92" t="s">
        <v>1112</v>
      </c>
      <c r="AR18" s="6" t="s">
        <v>186</v>
      </c>
      <c r="AS18" s="92" t="s">
        <v>186</v>
      </c>
      <c r="AT18" s="92" t="s">
        <v>187</v>
      </c>
      <c r="AU18" s="92" t="s">
        <v>186</v>
      </c>
      <c r="AV18" s="92" t="s">
        <v>187</v>
      </c>
      <c r="AW18" s="92" t="s">
        <v>186</v>
      </c>
      <c r="AX18" s="92" t="s">
        <v>187</v>
      </c>
      <c r="AY18" s="92" t="s">
        <v>186</v>
      </c>
      <c r="AZ18" s="92" t="s">
        <v>186</v>
      </c>
      <c r="BD18" s="115">
        <v>82230507545</v>
      </c>
      <c r="BE18" s="116">
        <v>81278043745</v>
      </c>
      <c r="BF18" s="116">
        <v>85724868857</v>
      </c>
      <c r="BG18" s="116">
        <v>85225013113</v>
      </c>
      <c r="BH18" s="116">
        <v>85297902614</v>
      </c>
      <c r="BI18" s="116">
        <v>81268861394</v>
      </c>
      <c r="BJ18" s="116">
        <v>85745723244</v>
      </c>
      <c r="BK18" s="116" t="s">
        <v>13770</v>
      </c>
      <c r="BL18" s="116">
        <v>85173026607</v>
      </c>
      <c r="BQ18" s="37">
        <v>45320</v>
      </c>
      <c r="BR18" s="8">
        <f t="shared" si="0"/>
        <v>9</v>
      </c>
      <c r="BT18" t="str">
        <f t="shared" si="3"/>
        <v>Triamariska2000001091.testing@gmail.com</v>
      </c>
      <c r="BU18" t="str">
        <f t="shared" si="4"/>
        <v>Sekar2000005105.testing@gmail.com</v>
      </c>
      <c r="BV18" t="str">
        <f t="shared" si="5"/>
        <v>Safwan2000008044.testing@gmail.com</v>
      </c>
      <c r="BW18" t="str">
        <f t="shared" si="6"/>
        <v>Laila2000013080.testing@gmail.com</v>
      </c>
      <c r="BX18" t="str">
        <f t="shared" si="7"/>
        <v>Alhadid2000018400.testing@gmail.com</v>
      </c>
      <c r="BY18" t="str">
        <f t="shared" si="8"/>
        <v>Regita2000023136.testing@gmail.com</v>
      </c>
      <c r="BZ18" t="str">
        <f t="shared" si="9"/>
        <v>Aldi2000024092.testing@gmail.com</v>
      </c>
      <c r="CA18" t="str">
        <f t="shared" si="10"/>
        <v>Erlina2000029250.testing@gmail.com</v>
      </c>
      <c r="CB18" t="str">
        <f t="shared" si="11"/>
        <v>Fayda2000033077.testing@gmail.com</v>
      </c>
      <c r="CC18" t="str">
        <f t="shared" si="12"/>
        <v/>
      </c>
      <c r="CE18" t="str">
        <f t="shared" si="13"/>
        <v>Bambang9636742.testing@gmail.com</v>
      </c>
    </row>
    <row r="19" spans="1:83" ht="14">
      <c r="A19" s="4" t="s">
        <v>3049</v>
      </c>
      <c r="B19" s="4" t="s">
        <v>13783</v>
      </c>
      <c r="C19" s="4">
        <v>9636742</v>
      </c>
      <c r="D19" s="4" t="s">
        <v>10457</v>
      </c>
      <c r="E19" s="4" t="s">
        <v>3803</v>
      </c>
      <c r="F19" s="4" t="str">
        <f t="shared" si="2"/>
        <v>Pandak</v>
      </c>
      <c r="G19" s="4" t="s">
        <v>193</v>
      </c>
      <c r="H19" s="6" t="s">
        <v>10468</v>
      </c>
      <c r="I19" s="92" t="s">
        <v>10469</v>
      </c>
      <c r="J19" s="92" t="s">
        <v>10470</v>
      </c>
      <c r="K19" s="92" t="s">
        <v>10471</v>
      </c>
      <c r="L19" s="92" t="s">
        <v>10472</v>
      </c>
      <c r="M19" s="92" t="s">
        <v>10473</v>
      </c>
      <c r="N19" s="92" t="s">
        <v>10474</v>
      </c>
      <c r="O19" s="92" t="s">
        <v>10475</v>
      </c>
      <c r="P19" s="92" t="s">
        <v>10476</v>
      </c>
      <c r="T19" s="6">
        <v>2000001187</v>
      </c>
      <c r="U19" s="92">
        <v>2000005226</v>
      </c>
      <c r="V19" s="92">
        <v>2000009036</v>
      </c>
      <c r="W19" s="92">
        <v>2000013243</v>
      </c>
      <c r="X19" s="92">
        <v>2000018024</v>
      </c>
      <c r="Y19" s="92">
        <v>2000023247</v>
      </c>
      <c r="Z19" s="92">
        <v>2000024156</v>
      </c>
      <c r="AA19" s="92">
        <v>2000029218</v>
      </c>
      <c r="AB19" s="92">
        <v>2000033059</v>
      </c>
      <c r="AF19" s="6" t="s">
        <v>180</v>
      </c>
      <c r="AG19" s="92" t="s">
        <v>181</v>
      </c>
      <c r="AH19" s="92" t="s">
        <v>952</v>
      </c>
      <c r="AI19" s="92" t="s">
        <v>677</v>
      </c>
      <c r="AJ19" s="92" t="s">
        <v>179</v>
      </c>
      <c r="AK19" s="92" t="s">
        <v>899</v>
      </c>
      <c r="AL19" s="92" t="s">
        <v>924</v>
      </c>
      <c r="AM19" s="92" t="s">
        <v>533</v>
      </c>
      <c r="AN19" s="92" t="s">
        <v>1112</v>
      </c>
      <c r="AR19" s="6" t="s">
        <v>186</v>
      </c>
      <c r="AS19" s="92" t="s">
        <v>186</v>
      </c>
      <c r="AT19" s="92" t="s">
        <v>187</v>
      </c>
      <c r="AU19" s="92" t="s">
        <v>186</v>
      </c>
      <c r="AV19" s="92" t="s">
        <v>187</v>
      </c>
      <c r="AW19" s="92" t="s">
        <v>186</v>
      </c>
      <c r="AX19" s="92" t="s">
        <v>187</v>
      </c>
      <c r="AY19" s="92" t="s">
        <v>186</v>
      </c>
      <c r="AZ19" s="92" t="s">
        <v>186</v>
      </c>
      <c r="BD19" s="115">
        <v>82217253482</v>
      </c>
      <c r="BE19" s="116">
        <v>89653354425</v>
      </c>
      <c r="BF19" s="116">
        <v>85604965521</v>
      </c>
      <c r="BG19" s="116" t="s">
        <v>13768</v>
      </c>
      <c r="BH19" s="116">
        <v>85222705202</v>
      </c>
      <c r="BI19" s="116">
        <v>89507798935</v>
      </c>
      <c r="BJ19" s="116">
        <v>81351500815</v>
      </c>
      <c r="BK19" s="116">
        <v>85750471578</v>
      </c>
      <c r="BL19" s="116">
        <v>81229028330</v>
      </c>
      <c r="BQ19" s="37">
        <v>45320</v>
      </c>
      <c r="BR19" s="8">
        <f t="shared" si="0"/>
        <v>9</v>
      </c>
      <c r="BT19" t="str">
        <f t="shared" si="3"/>
        <v>Aghni2000001187.testing@gmail.com</v>
      </c>
      <c r="BU19" t="str">
        <f t="shared" si="4"/>
        <v>Rini2000005226.testing@gmail.com</v>
      </c>
      <c r="BV19" t="str">
        <f t="shared" si="5"/>
        <v>Shidqi2000009036.testing@gmail.com</v>
      </c>
      <c r="BW19" t="str">
        <f t="shared" si="6"/>
        <v>Ulfia2000013243.testing@gmail.com</v>
      </c>
      <c r="BX19" t="str">
        <f t="shared" si="7"/>
        <v>Maulana2000018024.testing@gmail.com</v>
      </c>
      <c r="BY19" t="str">
        <f t="shared" si="8"/>
        <v>Firma2000023247.testing@gmail.com</v>
      </c>
      <c r="BZ19" t="str">
        <f t="shared" si="9"/>
        <v>Munif2000024156.testing@gmail.com</v>
      </c>
      <c r="CA19" t="str">
        <f t="shared" si="10"/>
        <v>Amadini2000029218.testing@gmail.com</v>
      </c>
      <c r="CB19" t="str">
        <f t="shared" si="11"/>
        <v>Nabila2000033059.testing@gmail.com</v>
      </c>
      <c r="CC19" t="str">
        <f t="shared" si="12"/>
        <v/>
      </c>
      <c r="CE19" t="str">
        <f t="shared" si="13"/>
        <v>Bambang9636742.testing@gmail.com</v>
      </c>
    </row>
    <row r="20" spans="1:83" ht="14">
      <c r="A20" s="4" t="s">
        <v>3061</v>
      </c>
      <c r="B20" s="4" t="s">
        <v>13783</v>
      </c>
      <c r="C20" s="4">
        <v>9636742</v>
      </c>
      <c r="D20" s="4" t="s">
        <v>10457</v>
      </c>
      <c r="E20" s="4" t="s">
        <v>3766</v>
      </c>
      <c r="F20" s="4" t="str">
        <f t="shared" si="2"/>
        <v>Pandak</v>
      </c>
      <c r="G20" s="4" t="s">
        <v>193</v>
      </c>
      <c r="H20" s="6" t="s">
        <v>10478</v>
      </c>
      <c r="I20" s="92" t="s">
        <v>10479</v>
      </c>
      <c r="J20" s="92" t="s">
        <v>10480</v>
      </c>
      <c r="K20" s="92" t="s">
        <v>10481</v>
      </c>
      <c r="L20" s="92" t="s">
        <v>10482</v>
      </c>
      <c r="M20" s="92" t="s">
        <v>10483</v>
      </c>
      <c r="N20" s="92" t="s">
        <v>10484</v>
      </c>
      <c r="O20" s="92" t="s">
        <v>10485</v>
      </c>
      <c r="P20" s="92" t="s">
        <v>10486</v>
      </c>
      <c r="T20" s="6">
        <v>2000001104</v>
      </c>
      <c r="U20" s="92">
        <v>2000005306</v>
      </c>
      <c r="V20" s="92">
        <v>2000009013</v>
      </c>
      <c r="W20" s="92">
        <v>2000013321</v>
      </c>
      <c r="X20" s="92">
        <v>2000018423</v>
      </c>
      <c r="Y20" s="92">
        <v>2000023166</v>
      </c>
      <c r="Z20" s="92">
        <v>2000024332</v>
      </c>
      <c r="AA20" s="92">
        <v>2000029214</v>
      </c>
      <c r="AB20" s="92">
        <v>2000033023</v>
      </c>
      <c r="AF20" s="6" t="s">
        <v>180</v>
      </c>
      <c r="AG20" s="92" t="s">
        <v>181</v>
      </c>
      <c r="AH20" s="92" t="s">
        <v>952</v>
      </c>
      <c r="AI20" s="92" t="s">
        <v>677</v>
      </c>
      <c r="AJ20" s="92" t="s">
        <v>179</v>
      </c>
      <c r="AK20" s="92" t="s">
        <v>899</v>
      </c>
      <c r="AL20" s="92" t="s">
        <v>924</v>
      </c>
      <c r="AM20" s="92" t="s">
        <v>533</v>
      </c>
      <c r="AN20" s="92" t="s">
        <v>1112</v>
      </c>
      <c r="AR20" s="6" t="s">
        <v>186</v>
      </c>
      <c r="AS20" s="92" t="s">
        <v>186</v>
      </c>
      <c r="AT20" s="92" t="s">
        <v>186</v>
      </c>
      <c r="AU20" s="92" t="s">
        <v>186</v>
      </c>
      <c r="AV20" s="92" t="s">
        <v>187</v>
      </c>
      <c r="AW20" s="92" t="s">
        <v>186</v>
      </c>
      <c r="AX20" s="92" t="s">
        <v>187</v>
      </c>
      <c r="AY20" s="92" t="s">
        <v>186</v>
      </c>
      <c r="AZ20" s="92" t="s">
        <v>186</v>
      </c>
      <c r="BD20" s="115">
        <v>83107360442</v>
      </c>
      <c r="BE20" s="116">
        <v>87887980028</v>
      </c>
      <c r="BF20" s="116">
        <v>85233894595</v>
      </c>
      <c r="BG20" s="116">
        <v>85643426579</v>
      </c>
      <c r="BH20" s="116">
        <v>82298341032</v>
      </c>
      <c r="BI20" s="116">
        <v>82284314350</v>
      </c>
      <c r="BJ20" s="116">
        <v>89644169753</v>
      </c>
      <c r="BK20" s="116">
        <v>81252106513</v>
      </c>
      <c r="BL20" s="116">
        <v>85864083367</v>
      </c>
      <c r="BQ20" s="37">
        <v>45320</v>
      </c>
      <c r="BR20" s="8">
        <f t="shared" si="0"/>
        <v>9</v>
      </c>
      <c r="BT20" t="str">
        <f t="shared" si="3"/>
        <v>Novena2000001104.testing@gmail.com</v>
      </c>
      <c r="BU20" t="str">
        <f t="shared" si="4"/>
        <v>Anggun2000005306.testing@gmail.com</v>
      </c>
      <c r="BV20" t="str">
        <f t="shared" si="5"/>
        <v>Ardila2000009013.testing@gmail.com</v>
      </c>
      <c r="BW20" t="str">
        <f t="shared" si="6"/>
        <v>Herdita2000013321.testing@gmail.com</v>
      </c>
      <c r="BX20" t="str">
        <f t="shared" si="7"/>
        <v>Raihan2000018423.testing@gmail.com</v>
      </c>
      <c r="BY20" t="str">
        <f t="shared" si="8"/>
        <v>Rahmatika2000023166.testing@gmail.com</v>
      </c>
      <c r="BZ20" t="str">
        <f t="shared" si="9"/>
        <v>Bayu2000024332.testing@gmail.com</v>
      </c>
      <c r="CA20" t="str">
        <f t="shared" si="10"/>
        <v>Rena2000029214.testing@gmail.com</v>
      </c>
      <c r="CB20" t="str">
        <f t="shared" si="11"/>
        <v>Deviana2000033023.testing@gmail.com</v>
      </c>
      <c r="CC20" t="str">
        <f t="shared" si="12"/>
        <v/>
      </c>
      <c r="CE20" t="str">
        <f t="shared" si="13"/>
        <v>Bambang9636742.testing@gmail.com</v>
      </c>
    </row>
    <row r="21" spans="1:83" ht="14">
      <c r="A21" s="4" t="s">
        <v>3073</v>
      </c>
      <c r="B21" s="4" t="s">
        <v>13783</v>
      </c>
      <c r="C21" s="4">
        <v>6787437</v>
      </c>
      <c r="D21" s="4" t="s">
        <v>486</v>
      </c>
      <c r="E21" s="4" t="s">
        <v>7678</v>
      </c>
      <c r="F21" s="4" t="str">
        <f t="shared" si="2"/>
        <v>Pandak</v>
      </c>
      <c r="G21" s="4" t="s">
        <v>193</v>
      </c>
      <c r="H21" s="6" t="s">
        <v>10488</v>
      </c>
      <c r="I21" s="92" t="s">
        <v>10489</v>
      </c>
      <c r="J21" s="92" t="s">
        <v>10490</v>
      </c>
      <c r="K21" s="92" t="s">
        <v>10491</v>
      </c>
      <c r="L21" s="92" t="s">
        <v>10492</v>
      </c>
      <c r="M21" s="92" t="s">
        <v>10493</v>
      </c>
      <c r="N21" s="92" t="s">
        <v>10494</v>
      </c>
      <c r="O21" s="92" t="s">
        <v>10495</v>
      </c>
      <c r="P21" s="92" t="s">
        <v>10496</v>
      </c>
      <c r="T21" s="6">
        <v>1900018097</v>
      </c>
      <c r="U21" s="92">
        <v>2000001171</v>
      </c>
      <c r="V21" s="92">
        <v>2000005205</v>
      </c>
      <c r="W21" s="92">
        <v>2000009021</v>
      </c>
      <c r="X21" s="92">
        <v>2000013079</v>
      </c>
      <c r="Y21" s="92">
        <v>2000023142</v>
      </c>
      <c r="Z21" s="92">
        <v>2000024119</v>
      </c>
      <c r="AA21" s="92">
        <v>2000029039</v>
      </c>
      <c r="AB21" s="92">
        <v>2000033047</v>
      </c>
      <c r="AF21" s="6" t="s">
        <v>179</v>
      </c>
      <c r="AG21" s="92" t="s">
        <v>180</v>
      </c>
      <c r="AH21" s="92" t="s">
        <v>181</v>
      </c>
      <c r="AI21" s="92" t="s">
        <v>952</v>
      </c>
      <c r="AJ21" s="92" t="s">
        <v>677</v>
      </c>
      <c r="AK21" s="92" t="s">
        <v>899</v>
      </c>
      <c r="AL21" s="92" t="s">
        <v>924</v>
      </c>
      <c r="AM21" s="92" t="s">
        <v>533</v>
      </c>
      <c r="AN21" s="92" t="s">
        <v>1112</v>
      </c>
      <c r="AR21" s="6" t="s">
        <v>187</v>
      </c>
      <c r="AS21" s="92" t="s">
        <v>186</v>
      </c>
      <c r="AT21" s="92" t="s">
        <v>186</v>
      </c>
      <c r="AU21" s="92" t="s">
        <v>187</v>
      </c>
      <c r="AV21" s="92" t="s">
        <v>186</v>
      </c>
      <c r="AW21" s="92" t="s">
        <v>186</v>
      </c>
      <c r="AX21" s="92" t="s">
        <v>187</v>
      </c>
      <c r="AY21" s="92" t="s">
        <v>186</v>
      </c>
      <c r="AZ21" s="92" t="s">
        <v>186</v>
      </c>
      <c r="BD21" s="115">
        <v>85738719845</v>
      </c>
      <c r="BE21" s="116">
        <v>87838852486</v>
      </c>
      <c r="BF21" s="116">
        <v>81346207985</v>
      </c>
      <c r="BG21" s="116">
        <v>81364000536</v>
      </c>
      <c r="BH21" s="116">
        <v>82135360528</v>
      </c>
      <c r="BI21" s="116">
        <v>87801681761</v>
      </c>
      <c r="BJ21" s="116">
        <v>81367925409</v>
      </c>
      <c r="BK21" s="116">
        <v>82372409439</v>
      </c>
      <c r="BL21" s="116">
        <v>83867434316</v>
      </c>
      <c r="BQ21" s="37">
        <v>45320</v>
      </c>
      <c r="BR21" s="8">
        <f t="shared" si="0"/>
        <v>9</v>
      </c>
      <c r="BT21" t="str">
        <f t="shared" si="3"/>
        <v>Akhmad1900018097.testing@gmail.com</v>
      </c>
      <c r="BU21" t="str">
        <f t="shared" si="4"/>
        <v>Lulu2000001171.testing@gmail.com</v>
      </c>
      <c r="BV21" t="str">
        <f t="shared" si="5"/>
        <v>Reffi2000005205.testing@gmail.com</v>
      </c>
      <c r="BW21" t="str">
        <f t="shared" si="6"/>
        <v>Wahyu2000009021.testing@gmail.com</v>
      </c>
      <c r="BX21" t="str">
        <f t="shared" si="7"/>
        <v>Yusriyyah2000013079.testing@gmail.com</v>
      </c>
      <c r="BY21" t="str">
        <f t="shared" si="8"/>
        <v>Khoirun2000023142.testing@gmail.com</v>
      </c>
      <c r="BZ21" t="str">
        <f t="shared" si="9"/>
        <v>Muhammad2000024119.testing@gmail.com</v>
      </c>
      <c r="CA21" t="str">
        <f t="shared" si="10"/>
        <v>Tasya2000029039.testing@gmail.com</v>
      </c>
      <c r="CB21" t="str">
        <f t="shared" si="11"/>
        <v>Umami2000033047.testing@gmail.com</v>
      </c>
      <c r="CC21" t="str">
        <f t="shared" si="12"/>
        <v/>
      </c>
      <c r="CE21" t="str">
        <f t="shared" si="13"/>
        <v>Dr.6787437.testing@gmail.com</v>
      </c>
    </row>
    <row r="22" spans="1:83">
      <c r="BT22" t="str">
        <f t="shared" si="3"/>
        <v/>
      </c>
      <c r="BU22" t="str">
        <f t="shared" si="4"/>
        <v/>
      </c>
      <c r="BV22" t="str">
        <f t="shared" si="5"/>
        <v/>
      </c>
      <c r="BW22" t="str">
        <f t="shared" si="6"/>
        <v/>
      </c>
      <c r="BX22" t="str">
        <f t="shared" si="7"/>
        <v/>
      </c>
      <c r="BY22" t="str">
        <f t="shared" si="8"/>
        <v/>
      </c>
      <c r="BZ22" t="str">
        <f t="shared" si="9"/>
        <v/>
      </c>
      <c r="CA22" t="str">
        <f t="shared" si="10"/>
        <v/>
      </c>
      <c r="CB22" t="str">
        <f t="shared" si="11"/>
        <v/>
      </c>
      <c r="CC22" t="str">
        <f t="shared" si="12"/>
        <v/>
      </c>
      <c r="CE22" t="str">
        <f t="shared" si="13"/>
        <v/>
      </c>
    </row>
    <row r="23" spans="1:83">
      <c r="BT23" t="str">
        <f t="shared" si="3"/>
        <v/>
      </c>
      <c r="BU23" t="str">
        <f t="shared" si="4"/>
        <v/>
      </c>
      <c r="BV23" t="str">
        <f t="shared" si="5"/>
        <v/>
      </c>
      <c r="BW23" t="str">
        <f t="shared" si="6"/>
        <v/>
      </c>
      <c r="BX23" t="str">
        <f t="shared" si="7"/>
        <v/>
      </c>
      <c r="BY23" t="str">
        <f t="shared" si="8"/>
        <v/>
      </c>
      <c r="BZ23" t="str">
        <f t="shared" si="9"/>
        <v/>
      </c>
      <c r="CA23" t="str">
        <f t="shared" si="10"/>
        <v/>
      </c>
      <c r="CB23" t="str">
        <f t="shared" si="11"/>
        <v/>
      </c>
      <c r="CC23" t="str">
        <f t="shared" si="12"/>
        <v/>
      </c>
      <c r="CE23" t="str">
        <f t="shared" si="13"/>
        <v/>
      </c>
    </row>
    <row r="24" spans="1:83">
      <c r="BT24" t="str">
        <f t="shared" si="3"/>
        <v/>
      </c>
      <c r="BU24" t="str">
        <f t="shared" si="4"/>
        <v/>
      </c>
      <c r="BV24" t="str">
        <f t="shared" si="5"/>
        <v/>
      </c>
      <c r="BW24" t="str">
        <f t="shared" si="6"/>
        <v/>
      </c>
      <c r="BX24" t="str">
        <f t="shared" si="7"/>
        <v/>
      </c>
      <c r="BY24" t="str">
        <f t="shared" si="8"/>
        <v/>
      </c>
      <c r="BZ24" t="str">
        <f t="shared" si="9"/>
        <v/>
      </c>
      <c r="CA24" t="str">
        <f t="shared" si="10"/>
        <v/>
      </c>
      <c r="CB24" t="str">
        <f t="shared" si="11"/>
        <v/>
      </c>
      <c r="CC24" t="str">
        <f t="shared" si="12"/>
        <v/>
      </c>
      <c r="CE24" t="str">
        <f t="shared" si="13"/>
        <v/>
      </c>
    </row>
    <row r="25" spans="1:83">
      <c r="BT25" t="str">
        <f t="shared" si="3"/>
        <v/>
      </c>
      <c r="BU25" t="str">
        <f t="shared" si="4"/>
        <v/>
      </c>
      <c r="BV25" t="str">
        <f t="shared" si="5"/>
        <v/>
      </c>
      <c r="BW25" t="str">
        <f t="shared" si="6"/>
        <v/>
      </c>
      <c r="BX25" t="str">
        <f t="shared" si="7"/>
        <v/>
      </c>
      <c r="BY25" t="str">
        <f t="shared" si="8"/>
        <v/>
      </c>
      <c r="BZ25" t="str">
        <f t="shared" si="9"/>
        <v/>
      </c>
      <c r="CA25" t="str">
        <f t="shared" si="10"/>
        <v/>
      </c>
      <c r="CB25" t="str">
        <f t="shared" si="11"/>
        <v/>
      </c>
      <c r="CC25" t="str">
        <f t="shared" si="12"/>
        <v/>
      </c>
      <c r="CE25" t="str">
        <f t="shared" si="13"/>
        <v/>
      </c>
    </row>
    <row r="26" spans="1:83">
      <c r="BT26" t="str">
        <f t="shared" si="3"/>
        <v/>
      </c>
      <c r="BU26" t="str">
        <f t="shared" si="4"/>
        <v/>
      </c>
      <c r="BV26" t="str">
        <f t="shared" si="5"/>
        <v/>
      </c>
      <c r="BW26" t="str">
        <f t="shared" si="6"/>
        <v/>
      </c>
      <c r="BX26" t="str">
        <f t="shared" si="7"/>
        <v/>
      </c>
      <c r="BY26" t="str">
        <f t="shared" si="8"/>
        <v/>
      </c>
      <c r="BZ26" t="str">
        <f t="shared" si="9"/>
        <v/>
      </c>
      <c r="CA26" t="str">
        <f t="shared" si="10"/>
        <v/>
      </c>
      <c r="CB26" t="str">
        <f t="shared" si="11"/>
        <v/>
      </c>
      <c r="CC26" t="str">
        <f t="shared" si="12"/>
        <v/>
      </c>
      <c r="CE26" t="str">
        <f t="shared" si="13"/>
        <v/>
      </c>
    </row>
    <row r="27" spans="1:83">
      <c r="BT27" t="str">
        <f t="shared" si="3"/>
        <v/>
      </c>
      <c r="BU27" t="str">
        <f t="shared" si="4"/>
        <v/>
      </c>
      <c r="BV27" t="str">
        <f t="shared" si="5"/>
        <v/>
      </c>
      <c r="BW27" t="str">
        <f t="shared" si="6"/>
        <v/>
      </c>
      <c r="BX27" t="str">
        <f t="shared" si="7"/>
        <v/>
      </c>
      <c r="BY27" t="str">
        <f t="shared" si="8"/>
        <v/>
      </c>
      <c r="BZ27" t="str">
        <f t="shared" si="9"/>
        <v/>
      </c>
      <c r="CA27" t="str">
        <f t="shared" si="10"/>
        <v/>
      </c>
      <c r="CB27" t="str">
        <f t="shared" si="11"/>
        <v/>
      </c>
      <c r="CC27" t="str">
        <f t="shared" si="12"/>
        <v/>
      </c>
      <c r="CE27" t="str">
        <f t="shared" si="13"/>
        <v/>
      </c>
    </row>
    <row r="28" spans="1:83">
      <c r="BT28" t="str">
        <f t="shared" si="3"/>
        <v/>
      </c>
      <c r="BU28" t="str">
        <f t="shared" si="4"/>
        <v/>
      </c>
      <c r="BV28" t="str">
        <f t="shared" si="5"/>
        <v/>
      </c>
      <c r="BW28" t="str">
        <f t="shared" si="6"/>
        <v/>
      </c>
      <c r="BX28" t="str">
        <f t="shared" si="7"/>
        <v/>
      </c>
      <c r="BY28" t="str">
        <f t="shared" si="8"/>
        <v/>
      </c>
      <c r="BZ28" t="str">
        <f t="shared" si="9"/>
        <v/>
      </c>
      <c r="CA28" t="str">
        <f t="shared" si="10"/>
        <v/>
      </c>
      <c r="CB28" t="str">
        <f t="shared" si="11"/>
        <v/>
      </c>
      <c r="CC28" t="str">
        <f t="shared" si="12"/>
        <v/>
      </c>
      <c r="CE28" t="str">
        <f t="shared" si="13"/>
        <v/>
      </c>
    </row>
    <row r="29" spans="1:83">
      <c r="BT29" t="str">
        <f t="shared" si="3"/>
        <v/>
      </c>
      <c r="BU29" t="str">
        <f t="shared" si="4"/>
        <v/>
      </c>
      <c r="BV29" t="str">
        <f t="shared" si="5"/>
        <v/>
      </c>
      <c r="BW29" t="str">
        <f t="shared" si="6"/>
        <v/>
      </c>
      <c r="BX29" t="str">
        <f t="shared" si="7"/>
        <v/>
      </c>
      <c r="BY29" t="str">
        <f t="shared" si="8"/>
        <v/>
      </c>
      <c r="BZ29" t="str">
        <f t="shared" si="9"/>
        <v/>
      </c>
      <c r="CA29" t="str">
        <f t="shared" si="10"/>
        <v/>
      </c>
      <c r="CB29" t="str">
        <f t="shared" si="11"/>
        <v/>
      </c>
      <c r="CC29" t="str">
        <f t="shared" si="12"/>
        <v/>
      </c>
    </row>
    <row r="30" spans="1:83">
      <c r="BT30" t="str">
        <f t="shared" si="3"/>
        <v/>
      </c>
      <c r="BU30" t="str">
        <f t="shared" si="4"/>
        <v/>
      </c>
      <c r="BV30" t="str">
        <f t="shared" si="5"/>
        <v/>
      </c>
      <c r="BW30" t="str">
        <f t="shared" si="6"/>
        <v/>
      </c>
      <c r="BX30" t="str">
        <f t="shared" si="7"/>
        <v/>
      </c>
      <c r="BY30" t="str">
        <f t="shared" si="8"/>
        <v/>
      </c>
      <c r="BZ30" t="str">
        <f t="shared" si="9"/>
        <v/>
      </c>
      <c r="CA30" t="str">
        <f t="shared" si="10"/>
        <v/>
      </c>
      <c r="CB30" t="str">
        <f t="shared" si="11"/>
        <v/>
      </c>
      <c r="CC30" t="str">
        <f t="shared" si="12"/>
        <v/>
      </c>
    </row>
    <row r="31" spans="1:83">
      <c r="BT31" t="str">
        <f t="shared" si="3"/>
        <v/>
      </c>
      <c r="BU31" t="str">
        <f t="shared" si="4"/>
        <v/>
      </c>
      <c r="BV31" t="str">
        <f t="shared" si="5"/>
        <v/>
      </c>
      <c r="BW31" t="str">
        <f t="shared" si="6"/>
        <v/>
      </c>
      <c r="BX31" t="str">
        <f t="shared" si="7"/>
        <v/>
      </c>
      <c r="BY31" t="str">
        <f t="shared" si="8"/>
        <v/>
      </c>
      <c r="BZ31" t="str">
        <f t="shared" si="9"/>
        <v/>
      </c>
      <c r="CA31" t="str">
        <f t="shared" si="10"/>
        <v/>
      </c>
      <c r="CB31" t="str">
        <f t="shared" si="11"/>
        <v/>
      </c>
      <c r="CC31" t="str">
        <f t="shared" si="12"/>
        <v/>
      </c>
    </row>
    <row r="32" spans="1:83">
      <c r="BT32" t="str">
        <f t="shared" si="3"/>
        <v/>
      </c>
      <c r="BU32" t="str">
        <f t="shared" si="4"/>
        <v/>
      </c>
      <c r="BV32" t="str">
        <f t="shared" si="5"/>
        <v/>
      </c>
      <c r="BW32" t="str">
        <f t="shared" si="6"/>
        <v/>
      </c>
      <c r="BX32" t="str">
        <f t="shared" si="7"/>
        <v/>
      </c>
      <c r="BY32" t="str">
        <f t="shared" si="8"/>
        <v/>
      </c>
      <c r="BZ32" t="str">
        <f t="shared" si="9"/>
        <v/>
      </c>
      <c r="CA32" t="str">
        <f t="shared" si="10"/>
        <v/>
      </c>
      <c r="CB32" t="str">
        <f t="shared" si="11"/>
        <v/>
      </c>
      <c r="CC32" t="str">
        <f t="shared" si="12"/>
        <v/>
      </c>
    </row>
  </sheetData>
  <phoneticPr fontId="3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K294"/>
  <sheetViews>
    <sheetView topLeftCell="A334" workbookViewId="0">
      <selection activeCell="B6" sqref="B6"/>
    </sheetView>
  </sheetViews>
  <sheetFormatPr defaultColWidth="12.6328125" defaultRowHeight="15.75" customHeight="1"/>
  <cols>
    <col min="1" max="1" width="34" customWidth="1"/>
  </cols>
  <sheetData>
    <row r="1" spans="1:11" ht="15.75" customHeight="1">
      <c r="A1" s="4" t="s">
        <v>12695</v>
      </c>
      <c r="B1" s="4">
        <v>1</v>
      </c>
      <c r="C1" s="4">
        <v>2</v>
      </c>
      <c r="D1" s="4">
        <v>3</v>
      </c>
      <c r="E1" s="4">
        <v>4</v>
      </c>
      <c r="F1" s="4">
        <v>5</v>
      </c>
      <c r="G1" s="4">
        <v>6</v>
      </c>
      <c r="H1" s="4">
        <v>7</v>
      </c>
      <c r="I1" s="4">
        <v>8</v>
      </c>
      <c r="J1" s="4">
        <v>9</v>
      </c>
    </row>
    <row r="2" spans="1:11" ht="15.75" customHeight="1">
      <c r="A2" s="4" t="s">
        <v>770</v>
      </c>
      <c r="B2" s="4" t="str">
        <f t="array" ref="B2:K2">TRANSPOSE(A2:A11)</f>
        <v>Fisika</v>
      </c>
      <c r="C2" s="4" t="str">
        <v>Ilmu Hukum</v>
      </c>
      <c r="D2" s="4" t="str">
        <v>Akuntansi</v>
      </c>
      <c r="E2" s="4" t="str">
        <v>Akuntansi</v>
      </c>
      <c r="F2" s="4" t="str">
        <v>Teknik Kimia</v>
      </c>
      <c r="G2" s="4" t="str">
        <v>Kesehatan Masyarakat</v>
      </c>
      <c r="H2" s="4" t="str">
        <v>Ilmu Komunikasi</v>
      </c>
      <c r="I2" s="4" t="str">
        <v>Teknik Industri</v>
      </c>
      <c r="J2" s="4" t="str">
        <v>Teknik Industri</v>
      </c>
      <c r="K2" s="4">
        <v>0</v>
      </c>
    </row>
    <row r="3" spans="1:11" ht="15.75" customHeight="1">
      <c r="A3" s="4" t="s">
        <v>924</v>
      </c>
    </row>
    <row r="4" spans="1:11" ht="15.75" customHeight="1">
      <c r="A4" s="4" t="s">
        <v>885</v>
      </c>
    </row>
    <row r="5" spans="1:11" ht="15.75" customHeight="1">
      <c r="A5" s="4" t="s">
        <v>885</v>
      </c>
    </row>
    <row r="6" spans="1:11" ht="15.75" customHeight="1">
      <c r="A6" s="4" t="s">
        <v>351</v>
      </c>
    </row>
    <row r="7" spans="1:11" ht="15.75" customHeight="1">
      <c r="A7" s="4" t="s">
        <v>533</v>
      </c>
    </row>
    <row r="8" spans="1:11" ht="15.75" customHeight="1">
      <c r="A8" s="4" t="s">
        <v>184</v>
      </c>
    </row>
    <row r="9" spans="1:11" ht="15.75" customHeight="1">
      <c r="A9" s="4" t="s">
        <v>705</v>
      </c>
    </row>
    <row r="10" spans="1:11" ht="15.75" customHeight="1">
      <c r="A10" s="4" t="s">
        <v>705</v>
      </c>
    </row>
    <row r="13" spans="1:11" ht="15.75" customHeight="1">
      <c r="A13" s="4"/>
    </row>
    <row r="14" spans="1:11" ht="15.75" customHeight="1">
      <c r="A14" s="4"/>
    </row>
    <row r="15" spans="1:11" ht="15.75" customHeight="1">
      <c r="A15" s="4" t="s">
        <v>12696</v>
      </c>
    </row>
    <row r="16" spans="1:11" ht="15.75" customHeight="1">
      <c r="A16" s="4">
        <v>2000012012</v>
      </c>
      <c r="B16" s="4">
        <f t="array" ref="B16:J16">TRANSPOSE(A16:A24)</f>
        <v>2000012012</v>
      </c>
      <c r="C16" s="4">
        <v>2000012105</v>
      </c>
      <c r="D16" s="4">
        <v>2000020063</v>
      </c>
      <c r="E16" s="4">
        <v>2000029091</v>
      </c>
      <c r="F16" s="4">
        <v>2000029097</v>
      </c>
      <c r="G16" s="4">
        <v>2000031021</v>
      </c>
      <c r="H16" s="4">
        <v>2100019008</v>
      </c>
      <c r="I16" s="4">
        <v>2100019094</v>
      </c>
      <c r="J16" s="4">
        <v>2100019101</v>
      </c>
    </row>
    <row r="17" spans="1:10" ht="15.75" customHeight="1">
      <c r="A17" s="4">
        <v>2000012105</v>
      </c>
    </row>
    <row r="18" spans="1:10" ht="15.75" customHeight="1">
      <c r="A18" s="4">
        <v>2000020063</v>
      </c>
    </row>
    <row r="19" spans="1:10" ht="15.75" customHeight="1">
      <c r="A19" s="4">
        <v>2000029091</v>
      </c>
    </row>
    <row r="20" spans="1:10" ht="12.5">
      <c r="A20" s="4">
        <v>2000029097</v>
      </c>
    </row>
    <row r="21" spans="1:10" ht="12.5">
      <c r="A21" s="4">
        <v>2000031021</v>
      </c>
    </row>
    <row r="22" spans="1:10" ht="12.5">
      <c r="A22" s="4">
        <v>2100019008</v>
      </c>
    </row>
    <row r="23" spans="1:10" ht="12.5">
      <c r="A23" s="4">
        <v>2100019094</v>
      </c>
    </row>
    <row r="24" spans="1:10" ht="12.5">
      <c r="A24" s="4">
        <v>2100019101</v>
      </c>
    </row>
    <row r="27" spans="1:10" ht="12.5">
      <c r="A27" s="4"/>
    </row>
    <row r="28" spans="1:10" ht="12.5">
      <c r="A28" s="4"/>
    </row>
    <row r="29" spans="1:10" ht="12.5">
      <c r="A29" s="4" t="s">
        <v>12696</v>
      </c>
    </row>
    <row r="30" spans="1:10" ht="12.5">
      <c r="A30" s="4">
        <v>81222249942</v>
      </c>
      <c r="B30" s="4">
        <f t="array" ref="B30:J30">TRANSPOSE(A30:A38)</f>
        <v>81222249942</v>
      </c>
      <c r="C30" s="4">
        <v>81326859131</v>
      </c>
      <c r="D30" s="4">
        <v>8978635096</v>
      </c>
      <c r="E30" s="4">
        <v>85225230605</v>
      </c>
      <c r="F30" s="4">
        <v>0</v>
      </c>
      <c r="G30" s="4">
        <v>85727708336</v>
      </c>
      <c r="H30" s="4">
        <v>81215786194</v>
      </c>
      <c r="I30" s="4">
        <v>85333652286</v>
      </c>
      <c r="J30" s="4">
        <v>81326294570</v>
      </c>
    </row>
    <row r="31" spans="1:10" ht="12.5">
      <c r="A31" s="4">
        <v>81326859131</v>
      </c>
    </row>
    <row r="32" spans="1:10" ht="12.5">
      <c r="A32" s="4">
        <v>8978635096</v>
      </c>
    </row>
    <row r="33" spans="1:10" ht="12.5">
      <c r="A33" s="4">
        <v>85225230605</v>
      </c>
    </row>
    <row r="34" spans="1:10" ht="12.5">
      <c r="A34" s="4"/>
    </row>
    <row r="35" spans="1:10" ht="12.5">
      <c r="A35" s="4">
        <v>85727708336</v>
      </c>
    </row>
    <row r="36" spans="1:10" ht="12.5">
      <c r="A36" s="4">
        <v>81215786194</v>
      </c>
    </row>
    <row r="37" spans="1:10" ht="12.5">
      <c r="A37" s="4">
        <v>85333652286</v>
      </c>
    </row>
    <row r="38" spans="1:10" ht="12.5">
      <c r="A38" s="4">
        <v>81326294570</v>
      </c>
    </row>
    <row r="41" spans="1:10" ht="12.5">
      <c r="A41" s="4"/>
    </row>
    <row r="42" spans="1:10" ht="12.5">
      <c r="A42" s="4"/>
    </row>
    <row r="43" spans="1:10" ht="12.5">
      <c r="A43" s="4"/>
    </row>
    <row r="44" spans="1:10" ht="12.5">
      <c r="A44" s="4" t="s">
        <v>12696</v>
      </c>
    </row>
    <row r="45" spans="1:10" ht="12.5">
      <c r="A45" s="4">
        <v>89687909715</v>
      </c>
      <c r="B45" s="4">
        <f t="array" ref="B45:J45">TRANSPOSE(A45:A53)</f>
        <v>89687909715</v>
      </c>
      <c r="C45" s="4">
        <v>82180018225</v>
      </c>
      <c r="D45" s="4">
        <v>85895552447</v>
      </c>
      <c r="E45" s="4">
        <v>82281084989</v>
      </c>
      <c r="F45" s="4">
        <v>89631291860</v>
      </c>
      <c r="G45" s="4">
        <v>81381640097</v>
      </c>
      <c r="H45" s="4">
        <v>85226180774</v>
      </c>
      <c r="I45" s="4">
        <v>82215754737</v>
      </c>
      <c r="J45" s="4">
        <v>82395437070</v>
      </c>
    </row>
    <row r="46" spans="1:10" ht="12.5">
      <c r="A46" s="4">
        <v>82180018225</v>
      </c>
    </row>
    <row r="47" spans="1:10" ht="12.5">
      <c r="A47" s="4">
        <v>85895552447</v>
      </c>
    </row>
    <row r="48" spans="1:10" ht="12.5">
      <c r="A48" s="4">
        <v>82281084989</v>
      </c>
    </row>
    <row r="49" spans="1:10" ht="12.5">
      <c r="A49" s="4">
        <v>89631291860</v>
      </c>
    </row>
    <row r="50" spans="1:10" ht="12.5">
      <c r="A50" s="4">
        <v>81381640097</v>
      </c>
    </row>
    <row r="51" spans="1:10" ht="12.5">
      <c r="A51" s="4">
        <v>85226180774</v>
      </c>
    </row>
    <row r="52" spans="1:10" ht="12.5">
      <c r="A52" s="4">
        <v>82215754737</v>
      </c>
    </row>
    <row r="53" spans="1:10" ht="12.5">
      <c r="A53" s="4">
        <v>82395437070</v>
      </c>
    </row>
    <row r="56" spans="1:10" ht="12.5">
      <c r="A56" s="4"/>
    </row>
    <row r="57" spans="1:10" ht="12.5">
      <c r="A57" s="4"/>
    </row>
    <row r="58" spans="1:10" ht="12.5">
      <c r="A58" s="4" t="s">
        <v>12696</v>
      </c>
    </row>
    <row r="59" spans="1:10" ht="12.5">
      <c r="A59" s="4">
        <v>85713859854</v>
      </c>
      <c r="B59" s="4">
        <f t="array" ref="B59:J59">TRANSPOSE(A59:A67)</f>
        <v>85713859854</v>
      </c>
      <c r="C59" s="4">
        <v>82163694733</v>
      </c>
      <c r="D59" s="4">
        <v>82278765802</v>
      </c>
      <c r="E59" s="4">
        <v>85769088235</v>
      </c>
      <c r="F59" s="4">
        <v>81368138392</v>
      </c>
      <c r="G59" s="4">
        <v>88226694708</v>
      </c>
      <c r="H59" s="4">
        <v>89643738306</v>
      </c>
      <c r="I59" s="4">
        <v>8994094040</v>
      </c>
      <c r="J59" s="4">
        <v>85826225920</v>
      </c>
    </row>
    <row r="60" spans="1:10" ht="12.5">
      <c r="A60" s="4">
        <v>82163694733</v>
      </c>
    </row>
    <row r="61" spans="1:10" ht="12.5">
      <c r="A61" s="4">
        <v>82278765802</v>
      </c>
    </row>
    <row r="62" spans="1:10" ht="12.5">
      <c r="A62" s="4">
        <v>85769088235</v>
      </c>
    </row>
    <row r="63" spans="1:10" ht="12.5">
      <c r="A63" s="4">
        <v>81368138392</v>
      </c>
    </row>
    <row r="64" spans="1:10" ht="12.5">
      <c r="A64" s="4">
        <v>88226694708</v>
      </c>
    </row>
    <row r="65" spans="1:10" ht="12.5">
      <c r="A65" s="4">
        <v>89643738306</v>
      </c>
    </row>
    <row r="66" spans="1:10" ht="12.5">
      <c r="A66" s="4">
        <v>8994094040</v>
      </c>
    </row>
    <row r="67" spans="1:10" ht="12.5">
      <c r="A67" s="4">
        <v>85826225920</v>
      </c>
    </row>
    <row r="70" spans="1:10" ht="12.5">
      <c r="A70" s="4"/>
    </row>
    <row r="71" spans="1:10" ht="12.5">
      <c r="A71" s="4"/>
    </row>
    <row r="72" spans="1:10" ht="12.5">
      <c r="A72" s="4" t="s">
        <v>12696</v>
      </c>
    </row>
    <row r="73" spans="1:10" ht="12.5">
      <c r="A73" s="4">
        <v>85731493005</v>
      </c>
      <c r="B73" s="4">
        <f t="array" ref="B73:J73">TRANSPOSE(A73:A81)</f>
        <v>85731493005</v>
      </c>
      <c r="C73" s="4">
        <v>895391463270</v>
      </c>
      <c r="D73" s="4">
        <v>85643198923</v>
      </c>
      <c r="E73" s="4">
        <v>85850209996</v>
      </c>
      <c r="F73" s="4">
        <v>8814300433</v>
      </c>
      <c r="G73" s="4">
        <v>82328689680</v>
      </c>
      <c r="H73" s="4">
        <v>81215658209</v>
      </c>
      <c r="I73" s="4">
        <v>81555662407</v>
      </c>
      <c r="J73" s="4" t="str">
        <v>Adinda Rahma Guswinaz</v>
      </c>
    </row>
    <row r="74" spans="1:10" ht="12.5">
      <c r="A74" s="4">
        <v>895391463270</v>
      </c>
    </row>
    <row r="75" spans="1:10" ht="12.5">
      <c r="A75" s="4">
        <v>85643198923</v>
      </c>
    </row>
    <row r="76" spans="1:10" ht="12.5">
      <c r="A76" s="4">
        <v>85850209996</v>
      </c>
    </row>
    <row r="77" spans="1:10" ht="12.5">
      <c r="A77" s="4">
        <v>8814300433</v>
      </c>
    </row>
    <row r="78" spans="1:10" ht="12.5">
      <c r="A78" s="4">
        <v>82328689680</v>
      </c>
    </row>
    <row r="79" spans="1:10" ht="12.5">
      <c r="A79" s="4">
        <v>81215658209</v>
      </c>
    </row>
    <row r="80" spans="1:10" ht="12.5">
      <c r="A80" s="4">
        <v>81555662407</v>
      </c>
    </row>
    <row r="81" spans="1:10" ht="12.5">
      <c r="A81" s="4" t="s">
        <v>6491</v>
      </c>
    </row>
    <row r="84" spans="1:10" ht="12.5">
      <c r="A84" s="4"/>
    </row>
    <row r="85" spans="1:10" ht="12.5">
      <c r="A85" s="4"/>
    </row>
    <row r="86" spans="1:10" ht="12.5">
      <c r="A86" s="4"/>
    </row>
    <row r="87" spans="1:10" ht="12.5">
      <c r="A87" s="4" t="s">
        <v>12695</v>
      </c>
    </row>
    <row r="88" spans="1:10" ht="12.5">
      <c r="A88" s="4" t="s">
        <v>6494</v>
      </c>
      <c r="B88" s="4" t="str">
        <f t="array" ref="B88:J88">TRANSPOSE(A88:A96)</f>
        <v>SITI KHOLBIAH</v>
      </c>
      <c r="C88" s="4" t="str">
        <v>ADITYA BUDI PRASETYO</v>
      </c>
      <c r="D88" s="4" t="str">
        <v>Herda Norlesiana</v>
      </c>
      <c r="E88" s="4" t="str">
        <v>MUHAMMAD YOGA SETIAWAN</v>
      </c>
      <c r="F88" s="4" t="str">
        <v>Angga Chairul Mahpud</v>
      </c>
      <c r="G88" s="4" t="str">
        <v>Fathan Abdulhalim</v>
      </c>
      <c r="H88" s="4" t="str">
        <v>Anggito Setiawan Ardiansyah</v>
      </c>
      <c r="I88" s="4" t="str">
        <v>Rizka Arum Pratiwi</v>
      </c>
      <c r="J88" s="4" t="str">
        <v>Luthfi Khulla Miqqotul Mala</v>
      </c>
    </row>
    <row r="89" spans="1:10" ht="12.5">
      <c r="A89" s="4" t="s">
        <v>6495</v>
      </c>
    </row>
    <row r="90" spans="1:10" ht="12.5">
      <c r="A90" s="4" t="s">
        <v>6496</v>
      </c>
    </row>
    <row r="91" spans="1:10" ht="12.5">
      <c r="A91" s="4" t="s">
        <v>1353</v>
      </c>
    </row>
    <row r="92" spans="1:10" ht="12.5">
      <c r="A92" s="4" t="s">
        <v>6497</v>
      </c>
    </row>
    <row r="93" spans="1:10" ht="12.5">
      <c r="A93" s="4" t="s">
        <v>6498</v>
      </c>
    </row>
    <row r="94" spans="1:10" ht="12.5">
      <c r="A94" s="4" t="s">
        <v>6499</v>
      </c>
    </row>
    <row r="95" spans="1:10" ht="12.5">
      <c r="A95" s="4" t="s">
        <v>6500</v>
      </c>
    </row>
    <row r="96" spans="1:10" ht="12.5">
      <c r="A96" s="4" t="s">
        <v>6501</v>
      </c>
    </row>
    <row r="99" spans="1:10" ht="12.5">
      <c r="A99" s="4"/>
    </row>
    <row r="100" spans="1:10" ht="12.5">
      <c r="A100" s="4"/>
    </row>
    <row r="101" spans="1:10" ht="12.5">
      <c r="A101" s="4" t="s">
        <v>12695</v>
      </c>
    </row>
    <row r="102" spans="1:10" ht="12.5">
      <c r="A102" s="4" t="s">
        <v>6504</v>
      </c>
      <c r="B102" s="4" t="str">
        <f t="array" ref="B102:J102">TRANSPOSE(A102:A110)</f>
        <v>Namira Prasetya Rizky Ramadhani</v>
      </c>
      <c r="C102" s="4" t="str">
        <v>Dewati Ardelia</v>
      </c>
      <c r="D102" s="4" t="str">
        <v>Moh Imam Masudi Kalim</v>
      </c>
      <c r="E102" s="4" t="str">
        <v>Yoga Rio Namas Saputra</v>
      </c>
      <c r="F102" s="4" t="str">
        <v>Muhammad Nazhifuddin Fikri</v>
      </c>
      <c r="G102" s="4" t="str">
        <v>Humaira Annisa Salsabilla</v>
      </c>
      <c r="H102" s="4" t="str">
        <v>M. Fatwa Alim Murahman</v>
      </c>
      <c r="I102" s="4" t="str">
        <v>Tri Cahyo Laksono</v>
      </c>
      <c r="J102" s="4" t="str">
        <v>Arista Ayu Sudrajat</v>
      </c>
    </row>
    <row r="103" spans="1:10" ht="12.5">
      <c r="A103" s="4" t="s">
        <v>6505</v>
      </c>
    </row>
    <row r="104" spans="1:10" ht="12.5">
      <c r="A104" s="4" t="s">
        <v>6506</v>
      </c>
    </row>
    <row r="105" spans="1:10" ht="12.5">
      <c r="A105" s="4" t="s">
        <v>6507</v>
      </c>
    </row>
    <row r="106" spans="1:10" ht="12.5">
      <c r="A106" s="4" t="s">
        <v>6508</v>
      </c>
    </row>
    <row r="107" spans="1:10" ht="12.5">
      <c r="A107" s="4" t="s">
        <v>6509</v>
      </c>
    </row>
    <row r="108" spans="1:10" ht="12.5">
      <c r="A108" s="4" t="s">
        <v>6510</v>
      </c>
    </row>
    <row r="109" spans="1:10" ht="12.5">
      <c r="A109" s="4" t="s">
        <v>6511</v>
      </c>
    </row>
    <row r="110" spans="1:10" ht="12.5">
      <c r="A110" s="4" t="s">
        <v>6512</v>
      </c>
    </row>
    <row r="113" spans="1:10" ht="12.5">
      <c r="A113" s="4"/>
    </row>
    <row r="114" spans="1:10" ht="12.5">
      <c r="A114" s="4"/>
    </row>
    <row r="115" spans="1:10" ht="12.5">
      <c r="A115" s="4" t="s">
        <v>12695</v>
      </c>
    </row>
    <row r="116" spans="1:10" ht="12.5">
      <c r="A116" s="4" t="s">
        <v>6515</v>
      </c>
      <c r="B116" s="4" t="str">
        <f t="array" ref="B116:J116">TRANSPOSE(A116:A124)</f>
        <v>MUHAMMAD FIRDAUS FAHRULLAH</v>
      </c>
      <c r="C116" s="4" t="str">
        <v>MADIHA</v>
      </c>
      <c r="D116" s="4" t="str">
        <v>Bayu Putra Pamungkas</v>
      </c>
      <c r="E116" s="4" t="str">
        <v>Dien Cahya Puspita Sari</v>
      </c>
      <c r="F116" s="4" t="str">
        <v>MOCHAMAD ZULKIFLI ISKANDAR</v>
      </c>
      <c r="G116" s="4" t="str">
        <v>SIDIK YULIANTO</v>
      </c>
      <c r="H116" s="4" t="str">
        <v>Karina Melga Yustitia</v>
      </c>
      <c r="I116" s="4" t="str">
        <v>Tengku Asraa Fariza</v>
      </c>
      <c r="J116" s="4" t="str">
        <v>Rahmadia Nurafifah</v>
      </c>
    </row>
    <row r="117" spans="1:10" ht="12.5">
      <c r="A117" s="4" t="s">
        <v>6516</v>
      </c>
    </row>
    <row r="118" spans="1:10" ht="12.5">
      <c r="A118" s="4" t="s">
        <v>6517</v>
      </c>
    </row>
    <row r="119" spans="1:10" ht="12.5">
      <c r="A119" s="4" t="s">
        <v>6518</v>
      </c>
    </row>
    <row r="120" spans="1:10" ht="12.5">
      <c r="A120" s="4" t="s">
        <v>6519</v>
      </c>
    </row>
    <row r="121" spans="1:10" ht="12.5">
      <c r="A121" s="4" t="s">
        <v>6520</v>
      </c>
    </row>
    <row r="122" spans="1:10" ht="12.5">
      <c r="A122" s="4" t="s">
        <v>6521</v>
      </c>
    </row>
    <row r="123" spans="1:10" ht="12.5">
      <c r="A123" s="4" t="s">
        <v>6522</v>
      </c>
    </row>
    <row r="124" spans="1:10" ht="12.5">
      <c r="A124" s="4" t="s">
        <v>6523</v>
      </c>
    </row>
    <row r="127" spans="1:10" ht="12.5">
      <c r="A127" s="4"/>
    </row>
    <row r="128" spans="1:10" ht="12.5">
      <c r="A128" s="4"/>
    </row>
    <row r="129" spans="1:10" ht="12.5">
      <c r="A129" s="4"/>
    </row>
    <row r="130" spans="1:10" ht="12.5">
      <c r="A130" s="4" t="s">
        <v>12695</v>
      </c>
    </row>
    <row r="131" spans="1:10" ht="12.5">
      <c r="A131" s="4" t="s">
        <v>6527</v>
      </c>
      <c r="B131" s="4" t="str">
        <f t="array" ref="B131:J131">TRANSPOSE(A131:A139)</f>
        <v>FELA SEPTIAN</v>
      </c>
      <c r="C131" s="4" t="str">
        <v>AFNAN SA'UD  HANIFUDDIN</v>
      </c>
      <c r="D131" s="4" t="str">
        <v>Yuni Ferianto</v>
      </c>
      <c r="E131" s="4" t="str">
        <v>Arma Zaimaji</v>
      </c>
      <c r="F131" s="4" t="str">
        <v>FIQRI HASAN MUBAROK</v>
      </c>
      <c r="G131" s="4" t="str">
        <v>Putri Retno Pandini</v>
      </c>
      <c r="H131" s="4" t="str">
        <v>Anma Aqila</v>
      </c>
      <c r="I131" s="4" t="str">
        <v>Dede Santika</v>
      </c>
      <c r="J131" s="4" t="str">
        <v>Rizkon Nada</v>
      </c>
    </row>
    <row r="132" spans="1:10" ht="12.5">
      <c r="A132" s="4" t="s">
        <v>6528</v>
      </c>
    </row>
    <row r="133" spans="1:10" ht="12.5">
      <c r="A133" s="4" t="s">
        <v>6529</v>
      </c>
    </row>
    <row r="134" spans="1:10" ht="12.5">
      <c r="A134" s="4" t="s">
        <v>6530</v>
      </c>
    </row>
    <row r="135" spans="1:10" ht="12.5">
      <c r="A135" s="4" t="s">
        <v>6531</v>
      </c>
    </row>
    <row r="136" spans="1:10" ht="12.5">
      <c r="A136" s="4" t="s">
        <v>6532</v>
      </c>
    </row>
    <row r="137" spans="1:10" ht="12.5">
      <c r="A137" s="4" t="s">
        <v>6533</v>
      </c>
    </row>
    <row r="138" spans="1:10" ht="12.5">
      <c r="A138" s="4" t="s">
        <v>6534</v>
      </c>
    </row>
    <row r="139" spans="1:10" ht="12.5">
      <c r="A139" s="4" t="s">
        <v>6535</v>
      </c>
    </row>
    <row r="142" spans="1:10" ht="12.5">
      <c r="A142" s="4"/>
    </row>
    <row r="143" spans="1:10" ht="12.5">
      <c r="A143" s="4"/>
    </row>
    <row r="144" spans="1:10" ht="12.5">
      <c r="A144" s="4" t="s">
        <v>12695</v>
      </c>
    </row>
    <row r="145" spans="1:10" ht="12.5">
      <c r="A145" s="4" t="s">
        <v>6538</v>
      </c>
      <c r="B145" s="4" t="str">
        <f t="array" ref="B145:J145">TRANSPOSE(A145:A153)</f>
        <v>Galuh Pramestyaningrum</v>
      </c>
      <c r="C145" s="4" t="str">
        <v>Venti Nur Isnayni</v>
      </c>
      <c r="D145" s="4" t="str">
        <v>Khairul Ihsan</v>
      </c>
      <c r="E145" s="4" t="str">
        <v>Mochammad Faruq Husein</v>
      </c>
      <c r="F145" s="4" t="str">
        <v>Rais Cahya Subagya</v>
      </c>
      <c r="G145" s="4" t="str">
        <v>Ahmad Safar Wijayanto</v>
      </c>
      <c r="H145" s="4" t="str">
        <v>Sarniti Oktaviani Pertiwi</v>
      </c>
      <c r="I145" s="4" t="str">
        <v>Farid Nurfauzan</v>
      </c>
      <c r="J145" s="4" t="str">
        <v>Inda Lestari</v>
      </c>
    </row>
    <row r="146" spans="1:10" ht="12.5">
      <c r="A146" s="4" t="s">
        <v>6539</v>
      </c>
    </row>
    <row r="147" spans="1:10" ht="12.5">
      <c r="A147" s="4" t="s">
        <v>6540</v>
      </c>
    </row>
    <row r="148" spans="1:10" ht="12.5">
      <c r="A148" s="4" t="s">
        <v>6541</v>
      </c>
    </row>
    <row r="149" spans="1:10" ht="12.5">
      <c r="A149" s="4" t="s">
        <v>6542</v>
      </c>
    </row>
    <row r="150" spans="1:10" ht="12.5">
      <c r="A150" s="4" t="s">
        <v>6543</v>
      </c>
    </row>
    <row r="151" spans="1:10" ht="12.5">
      <c r="A151" s="4" t="s">
        <v>6544</v>
      </c>
    </row>
    <row r="152" spans="1:10" ht="12.5">
      <c r="A152" s="4" t="s">
        <v>6545</v>
      </c>
    </row>
    <row r="153" spans="1:10" ht="12.5">
      <c r="A153" s="4" t="s">
        <v>6546</v>
      </c>
    </row>
    <row r="156" spans="1:10" ht="12.5">
      <c r="A156" s="4"/>
    </row>
    <row r="157" spans="1:10" ht="12.5">
      <c r="A157" s="4"/>
    </row>
    <row r="158" spans="1:10" ht="12.5">
      <c r="A158" s="4" t="s">
        <v>12695</v>
      </c>
    </row>
    <row r="159" spans="1:10" ht="12.5">
      <c r="A159" s="4" t="s">
        <v>6549</v>
      </c>
      <c r="B159" s="4" t="str">
        <f t="array" ref="B159:J159">TRANSPOSE(A159:A167)</f>
        <v>UMY MUSTAGFIROH</v>
      </c>
      <c r="C159" s="4" t="str">
        <v>IBNU PRABOWO</v>
      </c>
      <c r="D159" s="4" t="str">
        <v>DONI AZHARI</v>
      </c>
      <c r="E159" s="4" t="str">
        <v>ATINA MUSTAFIDA</v>
      </c>
      <c r="F159" s="4" t="str">
        <v>Safira Adni</v>
      </c>
      <c r="G159" s="4" t="str">
        <v>Adiffa Firki Diansyah</v>
      </c>
      <c r="H159" s="4" t="str">
        <v>Sri Astuti Wahyuningsih</v>
      </c>
      <c r="I159" s="4" t="str">
        <v>Muhammad Roihan Afif Erdin</v>
      </c>
      <c r="J159" s="4" t="str">
        <v>Akhmad Baharudin</v>
      </c>
    </row>
    <row r="160" spans="1:10" ht="12.5">
      <c r="A160" s="4" t="s">
        <v>6550</v>
      </c>
    </row>
    <row r="161" spans="1:10" ht="12.5">
      <c r="A161" s="4" t="s">
        <v>6551</v>
      </c>
    </row>
    <row r="162" spans="1:10" ht="12.5">
      <c r="A162" s="4" t="s">
        <v>6552</v>
      </c>
    </row>
    <row r="163" spans="1:10" ht="12.5">
      <c r="A163" s="4" t="s">
        <v>6553</v>
      </c>
    </row>
    <row r="164" spans="1:10" ht="12.5">
      <c r="A164" s="4" t="s">
        <v>6554</v>
      </c>
    </row>
    <row r="165" spans="1:10" ht="12.5">
      <c r="A165" s="4" t="s">
        <v>6555</v>
      </c>
    </row>
    <row r="166" spans="1:10" ht="12.5">
      <c r="A166" s="4" t="s">
        <v>6556</v>
      </c>
    </row>
    <row r="167" spans="1:10" ht="12.5">
      <c r="A167" s="4" t="s">
        <v>6557</v>
      </c>
    </row>
    <row r="170" spans="1:10" ht="12.5">
      <c r="A170" s="4"/>
    </row>
    <row r="171" spans="1:10" ht="12.5">
      <c r="A171" s="4"/>
    </row>
    <row r="172" spans="1:10" ht="12.5">
      <c r="A172" s="4"/>
    </row>
    <row r="173" spans="1:10" ht="12.5">
      <c r="A173" s="4" t="s">
        <v>12695</v>
      </c>
    </row>
    <row r="174" spans="1:10" ht="12.5">
      <c r="A174" s="4" t="s">
        <v>6560</v>
      </c>
      <c r="B174" s="4" t="str">
        <f t="array" ref="B174:J174">TRANSPOSE(A174:A182)</f>
        <v>DODI RIANSYAH</v>
      </c>
      <c r="C174" s="4" t="str">
        <v>APRISAL ZIKRI ANANDA</v>
      </c>
      <c r="D174" s="4" t="str">
        <v>AURIL DAMAIWANTI</v>
      </c>
      <c r="E174" s="4" t="str">
        <v>Melani Tri Mercyatun</v>
      </c>
      <c r="F174" s="4" t="str">
        <v>CANDRA CHOIRRUDIN</v>
      </c>
      <c r="G174" s="4" t="str">
        <v>Rahajeng Tiara Wijaya</v>
      </c>
      <c r="H174" s="4" t="str">
        <v>Risky Lutvi Faturohman</v>
      </c>
      <c r="I174" s="4" t="str">
        <v>Arief Rachman Mustafa</v>
      </c>
      <c r="J174" s="4" t="str">
        <v>Dhiya Shafarani Fauz</v>
      </c>
    </row>
    <row r="175" spans="1:10" ht="12.5">
      <c r="A175" s="4" t="s">
        <v>6561</v>
      </c>
    </row>
    <row r="176" spans="1:10" ht="12.5">
      <c r="A176" s="4" t="s">
        <v>6562</v>
      </c>
    </row>
    <row r="177" spans="1:10" ht="12.5">
      <c r="A177" s="4" t="s">
        <v>6563</v>
      </c>
    </row>
    <row r="178" spans="1:10" ht="12.5">
      <c r="A178" s="4" t="s">
        <v>6564</v>
      </c>
    </row>
    <row r="179" spans="1:10" ht="12.5">
      <c r="A179" s="4" t="s">
        <v>6565</v>
      </c>
    </row>
    <row r="180" spans="1:10" ht="12.5">
      <c r="A180" s="4" t="s">
        <v>6566</v>
      </c>
    </row>
    <row r="181" spans="1:10" ht="12.5">
      <c r="A181" s="4" t="s">
        <v>6567</v>
      </c>
    </row>
    <row r="182" spans="1:10" ht="12.5">
      <c r="A182" s="4" t="s">
        <v>6568</v>
      </c>
    </row>
    <row r="185" spans="1:10" ht="12.5">
      <c r="A185" s="4"/>
    </row>
    <row r="186" spans="1:10" ht="12.5">
      <c r="A186" s="4"/>
    </row>
    <row r="187" spans="1:10" ht="12.5">
      <c r="A187" s="4" t="s">
        <v>12695</v>
      </c>
    </row>
    <row r="188" spans="1:10" ht="12.5">
      <c r="A188" s="4" t="s">
        <v>6571</v>
      </c>
      <c r="B188" s="4" t="str">
        <f t="array" ref="B188:J188">TRANSPOSE(A188:A196)</f>
        <v>ARIEF SAJIDINTARA</v>
      </c>
      <c r="C188" s="4" t="str">
        <v>ANDIKA CAHYO WIRA WIBOWO</v>
      </c>
      <c r="D188" s="4" t="str">
        <v>LATIFAH NANDA AMELIA</v>
      </c>
      <c r="E188" s="4" t="str">
        <v>Toni Aditya</v>
      </c>
      <c r="F188" s="4" t="str">
        <v>Diandari</v>
      </c>
      <c r="G188" s="4" t="str">
        <v>Miftah Dzul Alfan Syafa</v>
      </c>
      <c r="H188" s="4" t="str">
        <v>Muhammad Abul Khair An Nabhan</v>
      </c>
      <c r="I188" s="4" t="str">
        <v>Rofiqoh Salsabila Zein</v>
      </c>
      <c r="J188" s="4">
        <v>0</v>
      </c>
    </row>
    <row r="189" spans="1:10" ht="12.5">
      <c r="A189" s="4" t="s">
        <v>6572</v>
      </c>
    </row>
    <row r="190" spans="1:10" ht="12.5">
      <c r="A190" s="4" t="s">
        <v>6573</v>
      </c>
    </row>
    <row r="191" spans="1:10" ht="12.5">
      <c r="A191" s="4" t="s">
        <v>6574</v>
      </c>
    </row>
    <row r="192" spans="1:10" ht="12.5">
      <c r="A192" s="4" t="s">
        <v>6575</v>
      </c>
    </row>
    <row r="193" spans="1:10" ht="12.5">
      <c r="A193" s="4" t="s">
        <v>6576</v>
      </c>
    </row>
    <row r="194" spans="1:10" ht="12.5">
      <c r="A194" s="4" t="s">
        <v>6577</v>
      </c>
    </row>
    <row r="195" spans="1:10" ht="12.5">
      <c r="A195" s="4" t="s">
        <v>6578</v>
      </c>
    </row>
    <row r="199" spans="1:10" ht="12.5">
      <c r="A199" s="4"/>
    </row>
    <row r="200" spans="1:10" ht="12.5">
      <c r="A200" s="4"/>
    </row>
    <row r="201" spans="1:10" ht="12.5">
      <c r="A201" s="4" t="s">
        <v>12695</v>
      </c>
    </row>
    <row r="202" spans="1:10" ht="12.5">
      <c r="A202" s="4" t="s">
        <v>6581</v>
      </c>
      <c r="B202" s="4" t="str">
        <f t="array" ref="B202:J202">TRANSPOSE(A202:A210)</f>
        <v>AHMAD ARIEF NUGROHO</v>
      </c>
      <c r="C202" s="4" t="str">
        <v>Annisa Nuril Syafarina</v>
      </c>
      <c r="D202" s="4" t="str">
        <v>ADITYA BAYU ASMARA</v>
      </c>
      <c r="E202" s="4" t="str">
        <v>JAUZI FIKRI PAHLEVI</v>
      </c>
      <c r="F202" s="4" t="str">
        <v>Galuh Putri Nurmaya Sari</v>
      </c>
      <c r="G202" s="4" t="str">
        <v>Cahya Sukma Khodijah</v>
      </c>
      <c r="H202" s="4" t="str">
        <v>Ilham Setiono</v>
      </c>
      <c r="I202" s="4" t="str">
        <v>Prisilla Maya Heni Pratiwi</v>
      </c>
      <c r="J202" s="4" t="str">
        <v>Yusuf Ramadhan</v>
      </c>
    </row>
    <row r="203" spans="1:10" ht="12.5">
      <c r="A203" s="4" t="s">
        <v>6582</v>
      </c>
    </row>
    <row r="204" spans="1:10" ht="12.5">
      <c r="A204" s="4" t="s">
        <v>6583</v>
      </c>
    </row>
    <row r="205" spans="1:10" ht="12.5">
      <c r="A205" s="4" t="s">
        <v>6584</v>
      </c>
    </row>
    <row r="206" spans="1:10" ht="12.5">
      <c r="A206" s="4" t="s">
        <v>6585</v>
      </c>
    </row>
    <row r="207" spans="1:10" ht="12.5">
      <c r="A207" s="4" t="s">
        <v>6586</v>
      </c>
    </row>
    <row r="208" spans="1:10" ht="12.5">
      <c r="A208" s="4" t="s">
        <v>6587</v>
      </c>
    </row>
    <row r="209" spans="1:10" ht="12.5">
      <c r="A209" s="4" t="s">
        <v>6588</v>
      </c>
    </row>
    <row r="210" spans="1:10" ht="12.5">
      <c r="A210" s="4" t="s">
        <v>6589</v>
      </c>
    </row>
    <row r="213" spans="1:10" ht="12.5">
      <c r="A213" s="4"/>
    </row>
    <row r="214" spans="1:10" ht="12.5">
      <c r="A214" s="4"/>
    </row>
    <row r="215" spans="1:10" ht="12.5">
      <c r="A215" s="4"/>
    </row>
    <row r="216" spans="1:10" ht="12.5">
      <c r="A216" s="4" t="s">
        <v>12695</v>
      </c>
    </row>
    <row r="217" spans="1:10" ht="12.5">
      <c r="A217" s="4" t="s">
        <v>6594</v>
      </c>
      <c r="B217" s="4" t="str">
        <f t="array" ref="B217:J217">TRANSPOSE(A217:A225)</f>
        <v>Sri Wahyuni</v>
      </c>
      <c r="C217" s="4" t="str">
        <v>Nurafdila Sari</v>
      </c>
      <c r="D217" s="4" t="str">
        <v>ANDRI A.HAFID</v>
      </c>
      <c r="E217" s="4" t="str">
        <v>ADI CANDRA</v>
      </c>
      <c r="F217" s="4" t="str">
        <v>ARLINE ALMIRA MARDIANA</v>
      </c>
      <c r="G217" s="4" t="str">
        <v>MUHAMMAD QADRHIZBULLAH</v>
      </c>
      <c r="H217" s="4" t="str">
        <v>TARMIDZI</v>
      </c>
      <c r="I217" s="4" t="str">
        <v>M. Tegar Imam Muzady</v>
      </c>
      <c r="J217" s="4" t="str">
        <v>Putri Umniati Sukma Nabila</v>
      </c>
    </row>
    <row r="218" spans="1:10" ht="12.5">
      <c r="A218" s="4" t="s">
        <v>6595</v>
      </c>
    </row>
    <row r="219" spans="1:10" ht="12.5">
      <c r="A219" s="4" t="s">
        <v>6596</v>
      </c>
    </row>
    <row r="220" spans="1:10" ht="12.5">
      <c r="A220" s="4" t="s">
        <v>6597</v>
      </c>
    </row>
    <row r="221" spans="1:10" ht="12.5">
      <c r="A221" s="4" t="s">
        <v>6598</v>
      </c>
    </row>
    <row r="222" spans="1:10" ht="12.5">
      <c r="A222" s="4" t="s">
        <v>6599</v>
      </c>
    </row>
    <row r="223" spans="1:10" ht="12.5">
      <c r="A223" s="4" t="s">
        <v>6600</v>
      </c>
    </row>
    <row r="224" spans="1:10" ht="12.5">
      <c r="A224" s="4" t="s">
        <v>6601</v>
      </c>
    </row>
    <row r="225" spans="1:10" ht="12.5">
      <c r="A225" s="4" t="s">
        <v>6602</v>
      </c>
    </row>
    <row r="228" spans="1:10" ht="12.5">
      <c r="A228" s="4"/>
    </row>
    <row r="229" spans="1:10" ht="12.5">
      <c r="A229" s="4"/>
    </row>
    <row r="230" spans="1:10" ht="12.5">
      <c r="A230" s="4" t="s">
        <v>12695</v>
      </c>
    </row>
    <row r="231" spans="1:10" ht="12.5">
      <c r="A231" s="4" t="s">
        <v>6605</v>
      </c>
      <c r="B231" s="4" t="str">
        <f t="array" ref="B231:J231">TRANSPOSE(A231:A239)</f>
        <v>RICHA RETNO RAHMADHANI SEMBIRING</v>
      </c>
      <c r="C231" s="4" t="str">
        <v>NOVIKAR TRI ALVIAN</v>
      </c>
      <c r="D231" s="4" t="str">
        <v>Ade Mugen Sempana</v>
      </c>
      <c r="E231" s="4" t="str">
        <v>TANIA ELKA VELIA</v>
      </c>
      <c r="F231" s="4" t="str">
        <v>Muhtar Latifu Nurrohmat</v>
      </c>
      <c r="G231" s="4" t="str">
        <v>LUKMAN HARSONO</v>
      </c>
      <c r="H231" s="4" t="str">
        <v>Noti Nurfatihah</v>
      </c>
      <c r="I231" s="4" t="str">
        <v>Yahya Pratama</v>
      </c>
      <c r="J231" s="4" t="str">
        <v>Putri Rahmadhaani</v>
      </c>
    </row>
    <row r="232" spans="1:10" ht="12.5">
      <c r="A232" s="4" t="s">
        <v>6606</v>
      </c>
    </row>
    <row r="233" spans="1:10" ht="12.5">
      <c r="A233" s="4" t="s">
        <v>6607</v>
      </c>
    </row>
    <row r="234" spans="1:10" ht="12.5">
      <c r="A234" s="4" t="s">
        <v>6608</v>
      </c>
    </row>
    <row r="235" spans="1:10" ht="12.5">
      <c r="A235" s="4" t="s">
        <v>6609</v>
      </c>
    </row>
    <row r="236" spans="1:10" ht="12.5">
      <c r="A236" s="4" t="s">
        <v>6610</v>
      </c>
    </row>
    <row r="237" spans="1:10" ht="12.5">
      <c r="A237" s="4" t="s">
        <v>6611</v>
      </c>
    </row>
    <row r="238" spans="1:10" ht="12.5">
      <c r="A238" s="4" t="s">
        <v>6612</v>
      </c>
    </row>
    <row r="239" spans="1:10" ht="12.5">
      <c r="A239" s="4" t="s">
        <v>6613</v>
      </c>
    </row>
    <row r="242" spans="1:10" ht="12.5">
      <c r="A242" s="4"/>
    </row>
    <row r="243" spans="1:10" ht="12.5">
      <c r="A243" s="4"/>
    </row>
    <row r="244" spans="1:10" ht="12.5">
      <c r="A244" s="4" t="s">
        <v>12695</v>
      </c>
    </row>
    <row r="245" spans="1:10" ht="12.5">
      <c r="A245" s="4" t="s">
        <v>6616</v>
      </c>
      <c r="B245" s="4" t="str">
        <f t="array" ref="B245:J245">TRANSPOSE(A245:A253)</f>
        <v>DINA AGUSTINA</v>
      </c>
      <c r="C245" s="4" t="str">
        <v>Mufti Fauzi Ramadhan</v>
      </c>
      <c r="D245" s="4" t="str">
        <v>Nursinta</v>
      </c>
      <c r="E245" s="4" t="str">
        <v>NASHRULLAH STIALANDRI</v>
      </c>
      <c r="F245" s="4" t="str">
        <v>APRILIANA TRI HANDAYANI</v>
      </c>
      <c r="G245" s="4" t="str">
        <v>Muhammad Yusril Ananta</v>
      </c>
      <c r="H245" s="4" t="str">
        <v>Igo Putra Pratama</v>
      </c>
      <c r="I245" s="4" t="str">
        <v>Ami Hamzah</v>
      </c>
      <c r="J245" s="4">
        <v>0</v>
      </c>
    </row>
    <row r="246" spans="1:10" ht="12.5">
      <c r="A246" s="4" t="s">
        <v>6617</v>
      </c>
    </row>
    <row r="247" spans="1:10" ht="12.5">
      <c r="A247" s="4" t="s">
        <v>6618</v>
      </c>
    </row>
    <row r="248" spans="1:10" ht="12.5">
      <c r="A248" s="4" t="s">
        <v>6619</v>
      </c>
    </row>
    <row r="249" spans="1:10" ht="12.5">
      <c r="A249" s="4" t="s">
        <v>6620</v>
      </c>
    </row>
    <row r="250" spans="1:10" ht="12.5">
      <c r="A250" s="4" t="s">
        <v>6621</v>
      </c>
    </row>
    <row r="251" spans="1:10" ht="12.5">
      <c r="A251" s="4" t="s">
        <v>6622</v>
      </c>
    </row>
    <row r="252" spans="1:10" ht="12.5">
      <c r="A252" s="4" t="s">
        <v>6623</v>
      </c>
    </row>
    <row r="255" spans="1:10" ht="12.5">
      <c r="A255" s="4"/>
    </row>
    <row r="256" spans="1:10" ht="12.5">
      <c r="A256" s="4"/>
    </row>
    <row r="257" spans="1:10" ht="12.5">
      <c r="A257" s="4"/>
    </row>
    <row r="258" spans="1:10" ht="12.5">
      <c r="A258" s="4" t="s">
        <v>12695</v>
      </c>
    </row>
    <row r="259" spans="1:10" ht="12.5">
      <c r="A259" s="4" t="s">
        <v>6627</v>
      </c>
      <c r="B259" s="4" t="str">
        <f t="array" ref="B259:J259">TRANSPOSE(A259:A267)</f>
        <v>GIERALD RIHHADAT E F</v>
      </c>
      <c r="C259" s="4" t="str">
        <v>SELIYANTI</v>
      </c>
      <c r="D259" s="4" t="str">
        <v>Aswa Amanina</v>
      </c>
      <c r="E259" s="4" t="str">
        <v>SATRIO DIRGANTORO GUNAWAN PUTRA</v>
      </c>
      <c r="F259" s="4" t="str">
        <v>Ardin</v>
      </c>
      <c r="G259" s="4" t="str">
        <v>Sabilla Rosyada</v>
      </c>
      <c r="H259" s="4" t="str">
        <v>Wahidin Ridwan</v>
      </c>
      <c r="I259" s="4" t="str">
        <v>Albar Hasan</v>
      </c>
      <c r="J259" s="4" t="str">
        <v>Khoirunnisa</v>
      </c>
    </row>
    <row r="260" spans="1:10" ht="12.5">
      <c r="A260" s="4" t="s">
        <v>6628</v>
      </c>
    </row>
    <row r="261" spans="1:10" ht="12.5">
      <c r="A261" s="4" t="s">
        <v>6629</v>
      </c>
    </row>
    <row r="262" spans="1:10" ht="12.5">
      <c r="A262" s="4" t="s">
        <v>6630</v>
      </c>
    </row>
    <row r="263" spans="1:10" ht="12.5">
      <c r="A263" s="4" t="s">
        <v>6631</v>
      </c>
    </row>
    <row r="264" spans="1:10" ht="12.5">
      <c r="A264" s="4" t="s">
        <v>6632</v>
      </c>
    </row>
    <row r="265" spans="1:10" ht="12.5">
      <c r="A265" s="4" t="s">
        <v>6633</v>
      </c>
    </row>
    <row r="266" spans="1:10" ht="12.5">
      <c r="A266" s="4" t="s">
        <v>6634</v>
      </c>
    </row>
    <row r="267" spans="1:10" ht="12.5">
      <c r="A267" s="4" t="s">
        <v>6635</v>
      </c>
    </row>
    <row r="270" spans="1:10" ht="12.5">
      <c r="A270" s="4"/>
    </row>
    <row r="271" spans="1:10" ht="12.5">
      <c r="A271" s="4"/>
    </row>
    <row r="272" spans="1:10" ht="12.5">
      <c r="A272" s="4" t="s">
        <v>12695</v>
      </c>
    </row>
    <row r="273" spans="1:10" ht="12.5">
      <c r="A273" s="4" t="s">
        <v>6638</v>
      </c>
      <c r="B273" s="4" t="str">
        <f t="array" ref="B273:J273">TRANSPOSE(A273:A281)</f>
        <v>Rafi Al Pasiri</v>
      </c>
      <c r="C273" s="4" t="str">
        <v>Abdul Azis Bethan</v>
      </c>
      <c r="D273" s="4" t="str">
        <v>Alfian Bagus Fitrianto</v>
      </c>
      <c r="E273" s="4" t="str">
        <v>YUDHA ARRASYID ALWATONY</v>
      </c>
      <c r="F273" s="4" t="str">
        <v>EVITA DWI YULIANTI</v>
      </c>
      <c r="G273" s="4" t="str">
        <v>Ratih Puspita Sari</v>
      </c>
      <c r="H273" s="4" t="str">
        <v>Novi Eka Putri</v>
      </c>
      <c r="I273" s="4" t="str">
        <v>Hanif Aqil Fauzi</v>
      </c>
      <c r="J273" s="4" t="str">
        <v>Ayu Lestari</v>
      </c>
    </row>
    <row r="274" spans="1:10" ht="12.5">
      <c r="A274" s="4" t="s">
        <v>6639</v>
      </c>
    </row>
    <row r="275" spans="1:10" ht="12.5">
      <c r="A275" s="4" t="s">
        <v>6640</v>
      </c>
    </row>
    <row r="276" spans="1:10" ht="12.5">
      <c r="A276" s="4" t="s">
        <v>6641</v>
      </c>
    </row>
    <row r="277" spans="1:10" ht="12.5">
      <c r="A277" s="4" t="s">
        <v>6642</v>
      </c>
    </row>
    <row r="278" spans="1:10" ht="12.5">
      <c r="A278" s="4" t="s">
        <v>6643</v>
      </c>
    </row>
    <row r="279" spans="1:10" ht="12.5">
      <c r="A279" s="4" t="s">
        <v>6644</v>
      </c>
    </row>
    <row r="280" spans="1:10" ht="12.5">
      <c r="A280" s="4" t="s">
        <v>6645</v>
      </c>
    </row>
    <row r="281" spans="1:10" ht="12.5">
      <c r="A281" s="4" t="s">
        <v>6646</v>
      </c>
    </row>
    <row r="284" spans="1:10" ht="12.5">
      <c r="A284" s="4"/>
    </row>
    <row r="285" spans="1:10" ht="12.5">
      <c r="A285" s="4"/>
    </row>
    <row r="286" spans="1:10" ht="12.5">
      <c r="A286" s="4" t="s">
        <v>12695</v>
      </c>
    </row>
    <row r="287" spans="1:10" ht="12.5">
      <c r="A287" s="4" t="s">
        <v>6649</v>
      </c>
      <c r="B287" s="4" t="str">
        <f t="array" ref="B287:J287">TRANSPOSE(A287:A295)</f>
        <v>ANDI FIRMANDA</v>
      </c>
      <c r="C287" s="4" t="str">
        <v>DESI KUMALA SARI TARIGAN</v>
      </c>
      <c r="D287" s="4" t="str">
        <v>Tedy Marta Kusuma</v>
      </c>
      <c r="E287" s="4" t="str">
        <v>Erwin Yoga Aditama</v>
      </c>
      <c r="F287" s="4" t="str">
        <v>Miskiah</v>
      </c>
      <c r="G287" s="4" t="str">
        <v>Henny Kusuma Wardani</v>
      </c>
      <c r="H287" s="4" t="str">
        <v>Muhammad Alfian</v>
      </c>
      <c r="I287" s="4" t="str">
        <v>Hilda Amalia</v>
      </c>
      <c r="J287" s="4">
        <v>0</v>
      </c>
    </row>
    <row r="288" spans="1:10" ht="12.5">
      <c r="A288" s="4" t="s">
        <v>6650</v>
      </c>
    </row>
    <row r="289" spans="1:1" ht="12.5">
      <c r="A289" s="4" t="s">
        <v>6651</v>
      </c>
    </row>
    <row r="290" spans="1:1" ht="12.5">
      <c r="A290" s="4" t="s">
        <v>6652</v>
      </c>
    </row>
    <row r="291" spans="1:1" ht="12.5">
      <c r="A291" s="4" t="s">
        <v>6653</v>
      </c>
    </row>
    <row r="292" spans="1:1" ht="12.5">
      <c r="A292" s="4" t="s">
        <v>6654</v>
      </c>
    </row>
    <row r="293" spans="1:1" ht="12.5">
      <c r="A293" s="4" t="s">
        <v>3874</v>
      </c>
    </row>
    <row r="294" spans="1:1" ht="12.5">
      <c r="A294" s="4" t="s">
        <v>6655</v>
      </c>
    </row>
  </sheetData>
  <autoFilter ref="A1:Z1001" xr:uid="{00000000-0009-0000-0000-000003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>
    <outlinePr summaryBelow="0" summaryRight="0"/>
  </sheetPr>
  <dimension ref="A1:M41576"/>
  <sheetViews>
    <sheetView workbookViewId="0">
      <pane xSplit="3" ySplit="1" topLeftCell="G809" activePane="bottomRight" state="frozen"/>
      <selection pane="topRight" activeCell="D1" sqref="D1"/>
      <selection pane="bottomLeft" activeCell="A2" sqref="A2"/>
      <selection pane="bottomRight" activeCell="E783" sqref="E783"/>
    </sheetView>
  </sheetViews>
  <sheetFormatPr defaultColWidth="12.6328125" defaultRowHeight="15.75" customHeight="1"/>
  <cols>
    <col min="1" max="1" width="25.453125" customWidth="1"/>
    <col min="2" max="2" width="20.08984375" customWidth="1"/>
    <col min="4" max="4" width="90" customWidth="1"/>
    <col min="5" max="5" width="87.90625" customWidth="1"/>
    <col min="6" max="6" width="19.36328125" customWidth="1"/>
    <col min="7" max="7" width="32.90625" customWidth="1"/>
    <col min="12" max="12" width="32.453125" customWidth="1"/>
    <col min="13" max="13" width="10" customWidth="1"/>
  </cols>
  <sheetData>
    <row r="1" spans="1:10" ht="16.5">
      <c r="A1" s="4" t="str">
        <f t="array" ref="A1:A1705">Sheet1!A1:A41575</f>
        <v>JENIS KKN UNIT</v>
      </c>
      <c r="B1" s="31" t="str">
        <f t="array" ref="B1:B1705">Sheet1!B1:B41575</f>
        <v>JENIS KKN</v>
      </c>
      <c r="C1" s="4" t="str">
        <f t="array" ref="C1:C1705">Sheet1!C1:C41575</f>
        <v>UNIT</v>
      </c>
      <c r="D1" s="4" t="str">
        <f t="array" ref="D1:D1705">Sheet1!BP1:BP41575</f>
        <v>LINK FORM ADMINISTRASI</v>
      </c>
      <c r="E1" s="98" t="str">
        <f t="array" ref="E1:E108">IF(C1:C108="UNIT","Link",SUBSTITUTE(D1:D108,"edit?usp=sharing","edit#gid=0"))</f>
        <v>Link</v>
      </c>
      <c r="F1" s="3" t="s">
        <v>12697</v>
      </c>
      <c r="G1" s="4" t="s">
        <v>12698</v>
      </c>
      <c r="J1" s="99" t="str">
        <f t="array" ref="J1:J1705">Sheet1!E1:E41575</f>
        <v>LOKASI</v>
      </c>
    </row>
    <row r="2" spans="1:10" ht="12.5" hidden="1">
      <c r="A2" s="4" t="str">
        <v>Alternatif Periode ke-82 I.A.1</v>
      </c>
      <c r="B2" s="31" t="str">
        <v>Alternatif Periode ke-82</v>
      </c>
      <c r="C2" s="4" t="str">
        <v>I.A.1</v>
      </c>
      <c r="D2" s="4">
        <v>0</v>
      </c>
      <c r="E2" s="4" t="str">
        <v>0</v>
      </c>
      <c r="F2" s="3"/>
      <c r="J2" s="4" t="str">
        <v>Pandeyan, Umbulharjo</v>
      </c>
    </row>
    <row r="3" spans="1:10" ht="12.5" hidden="1">
      <c r="A3" s="4" t="str">
        <v>ToT DPL Periode ke-2022 I.A.1</v>
      </c>
      <c r="B3" s="31" t="str">
        <v>ToT DPL Periode ke-2022</v>
      </c>
      <c r="C3" s="31" t="str">
        <v>I.A.1</v>
      </c>
      <c r="D3" s="100" t="str">
        <v>I.A.1_ToT DPL_FORM ADMINISTRASI KKN</v>
      </c>
      <c r="E3" s="4" t="str">
        <v>I.A.1_ToT DPL_FORM ADMINISTRASI KKN</v>
      </c>
      <c r="F3" s="3"/>
      <c r="J3" s="4" t="str">
        <v>Karangmojo, Trirenggo, Bantul</v>
      </c>
    </row>
    <row r="4" spans="1:10" ht="12.5" hidden="1">
      <c r="A4" s="4" t="str">
        <v>ToT DPL Periode ke-2022 I.A.2</v>
      </c>
      <c r="B4" s="31" t="str">
        <v>ToT DPL Periode ke-2022</v>
      </c>
      <c r="C4" s="31" t="str">
        <v>I.A.2</v>
      </c>
      <c r="D4" s="100" t="str">
        <v>I.A.2_ToT DPL_FORM ADMINISTRASI KKN</v>
      </c>
      <c r="E4" s="4" t="str">
        <v>I.A.2_ToT DPL_FORM ADMINISTRASI KKN</v>
      </c>
      <c r="F4" s="3"/>
      <c r="J4" s="4" t="str">
        <v>Cepoko, Trirenggo, Bantul</v>
      </c>
    </row>
    <row r="5" spans="1:10" ht="16.5" hidden="1">
      <c r="A5" s="4" t="str">
        <v>ToT DPL Periode ke-2022 I.A.3</v>
      </c>
      <c r="B5" s="4" t="str">
        <v>ToT DPL Periode ke-2022</v>
      </c>
      <c r="C5" s="31" t="str">
        <v>I.A.3</v>
      </c>
      <c r="D5" s="101" t="str">
        <v>https://docs.google.com/spreadsheets/d/1ty7k5Icb_MsNYo5vdr5Wkqz3qiVji_4o0GJ3W2dHzg0/edit?usp=sharing</v>
      </c>
      <c r="E5" s="101" t="str">
        <v>https://docs.google.com/spreadsheets/d/1ty7k5Icb_MsNYo5vdr5Wkqz3qiVji_4o0GJ3W2dHzg0/edit#gid=0</v>
      </c>
      <c r="F5" s="102" t="str">
        <f ca="1">IFERROR(__xludf.DUMMYFUNCTION("IMPORTRANGE(E5,""IDENTITAS UNIT!D9"")"),"")</f>
        <v/>
      </c>
      <c r="G5" s="98"/>
      <c r="J5" s="4" t="str">
        <v>Bantul Timur, Trirenggo, Bantul</v>
      </c>
    </row>
    <row r="6" spans="1:10" ht="16.5" hidden="1">
      <c r="A6" s="4" t="str">
        <v>ToT DPL Periode ke-2022 I.B.1</v>
      </c>
      <c r="B6" s="4" t="str">
        <v>ToT DPL Periode ke-2022</v>
      </c>
      <c r="C6" s="31" t="str">
        <v>I.B.1</v>
      </c>
      <c r="D6" s="101" t="str">
        <v>https://docs.google.com/spreadsheets/d/1OLSigPm7QKfN2jhQQW8zhuOO85ahX1EMJtyEMxUPcxM/edit?usp=sharing</v>
      </c>
      <c r="E6" s="101" t="str">
        <v>https://docs.google.com/spreadsheets/d/1OLSigPm7QKfN2jhQQW8zhuOO85ahX1EMJtyEMxUPcxM/edit#gid=0</v>
      </c>
      <c r="F6" s="102" t="str">
        <f ca="1">IFERROR(__xludf.DUMMYFUNCTION("IMPORTRANGE(E6,""IDENTITAS UNIT!D9"")"),"")</f>
        <v/>
      </c>
      <c r="J6" s="4" t="str">
        <v>Gandekan, Trirenggo, Bantul</v>
      </c>
    </row>
    <row r="7" spans="1:10" ht="16.5" hidden="1">
      <c r="A7" s="4" t="str">
        <v>ToT DPL Periode ke-2022 I.B.2</v>
      </c>
      <c r="B7" s="4" t="str">
        <v>ToT DPL Periode ke-2022</v>
      </c>
      <c r="C7" s="31" t="str">
        <v>I.B.2</v>
      </c>
      <c r="D7" s="101" t="str">
        <v>https://docs.google.com/spreadsheets/d/1pbFwW_eopXMwzOxCr8aUIyhqOLIFi-1QqWmjWC8Xp7Q/edit?usp=sharing</v>
      </c>
      <c r="E7" s="101" t="str">
        <v>https://docs.google.com/spreadsheets/d/1pbFwW_eopXMwzOxCr8aUIyhqOLIFi-1QqWmjWC8Xp7Q/edit#gid=0</v>
      </c>
      <c r="F7" s="102" t="str">
        <f ca="1">IFERROR(__xludf.DUMMYFUNCTION("IMPORTRANGE(E7,""IDENTITAS UNIT!D9"")"),"Bantul")</f>
        <v>Bantul</v>
      </c>
      <c r="J7" s="4" t="str">
        <v>Manding, Trirenggo, Bantul</v>
      </c>
    </row>
    <row r="8" spans="1:10" ht="16.5" hidden="1">
      <c r="A8" s="4" t="str">
        <v>ToT DPL Periode ke-2022 I.B.3</v>
      </c>
      <c r="B8" s="4" t="str">
        <v>ToT DPL Periode ke-2022</v>
      </c>
      <c r="C8" s="31" t="str">
        <v>I.B.3</v>
      </c>
      <c r="D8" s="101" t="str">
        <v>https://docs.google.com/spreadsheets/d/1gqdBtG8s8JckuZX-x0aajDR-3y-Xo_tUJH09PqpWZ44/edit?usp=sharing</v>
      </c>
      <c r="E8" s="101" t="str">
        <v>https://docs.google.com/spreadsheets/d/1gqdBtG8s8JckuZX-x0aajDR-3y-Xo_tUJH09PqpWZ44/edit#gid=0</v>
      </c>
      <c r="F8" s="102" t="str">
        <f ca="1">IFERROR(__xludf.DUMMYFUNCTION("IMPORTRANGE(E8,""IDENTITAS UNIT!D9"")"),"Bantul")</f>
        <v>Bantul</v>
      </c>
      <c r="J8" s="4" t="str">
        <v>Bakulan, Trirenggo, Bantul</v>
      </c>
    </row>
    <row r="9" spans="1:10" ht="16.5" hidden="1">
      <c r="A9" s="4" t="str">
        <v>ToT DPL Periode ke-2022 I.C.1</v>
      </c>
      <c r="B9" s="4" t="str">
        <v>ToT DPL Periode ke-2022</v>
      </c>
      <c r="C9" s="31" t="str">
        <v>I.C.1</v>
      </c>
      <c r="D9" s="101" t="str">
        <v>https://docs.google.com/spreadsheets/d/1VnZRiUSLkcf280njKLZy4CbXomR3Lk2MA7HohaPJkLE/edit?usp=sharing</v>
      </c>
      <c r="E9" s="101" t="str">
        <v>https://docs.google.com/spreadsheets/d/1VnZRiUSLkcf280njKLZy4CbXomR3Lk2MA7HohaPJkLE/edit#gid=0</v>
      </c>
      <c r="F9" s="102" t="str">
        <f ca="1">IFERROR(__xludf.DUMMYFUNCTION("IMPORTRANGE(E9,""IDENTITAS UNIT!D9"")"),"Bantul")</f>
        <v>Bantul</v>
      </c>
      <c r="J9" s="4" t="str">
        <v>Gedongan, Trirenggo, Bantul</v>
      </c>
    </row>
    <row r="10" spans="1:10" ht="16.5" hidden="1">
      <c r="A10" s="4" t="str">
        <v>ToT DPL Periode ke-2022 I.C.2</v>
      </c>
      <c r="B10" s="4" t="str">
        <v>ToT DPL Periode ke-2022</v>
      </c>
      <c r="C10" s="31" t="str">
        <v>I.C.2</v>
      </c>
      <c r="D10" s="101" t="str">
        <v>https://docs.google.com/spreadsheets/d/1Fmt3xTOqDakcaYdTYLKRHFZQiu-yqPrwjmAS2CwXYY8/edit?usp=sharing</v>
      </c>
      <c r="E10" s="101" t="str">
        <v>https://docs.google.com/spreadsheets/d/1Fmt3xTOqDakcaYdTYLKRHFZQiu-yqPrwjmAS2CwXYY8/edit#gid=0</v>
      </c>
      <c r="F10" s="102" t="str">
        <f ca="1">IFERROR(__xludf.DUMMYFUNCTION("IMPORTRANGE(E10,""IDENTITAS UNIT!D9"")"),"Bantul")</f>
        <v>Bantul</v>
      </c>
      <c r="J10" s="4" t="str">
        <v>Nogosari, Trirenggo, Bantul</v>
      </c>
    </row>
    <row r="11" spans="1:10" ht="16.5" hidden="1">
      <c r="A11" s="4" t="str">
        <v>ToT DPL Periode ke-2022 I.C.3</v>
      </c>
      <c r="B11" s="4" t="str">
        <v>ToT DPL Periode ke-2022</v>
      </c>
      <c r="C11" s="31" t="str">
        <v>I.C.3</v>
      </c>
      <c r="D11" s="101" t="str">
        <v>https://docs.google.com/spreadsheets/d/1wTmDatKrvEnZbp6nvQFfhsoCwPVFl-smEnuXA3P29Rw/edit?usp=sharing</v>
      </c>
      <c r="E11" s="101" t="str">
        <v>https://docs.google.com/spreadsheets/d/1wTmDatKrvEnZbp6nvQFfhsoCwPVFl-smEnuXA3P29Rw/edit#gid=0</v>
      </c>
      <c r="F11" s="102" t="str">
        <f ca="1">IFERROR(__xludf.DUMMYFUNCTION("IMPORTRANGE(E11,""IDENTITAS UNIT!D9"")"),"Bantul")</f>
        <v>Bantul</v>
      </c>
      <c r="J11" s="4" t="str">
        <v>Pepe, Trirenggo, Bantul</v>
      </c>
    </row>
    <row r="12" spans="1:10" ht="16.5" hidden="1">
      <c r="A12" s="4" t="str">
        <v>ToT DPL Periode ke-2022 I.D.1</v>
      </c>
      <c r="B12" s="4" t="str">
        <v>ToT DPL Periode ke-2022</v>
      </c>
      <c r="C12" s="31" t="str">
        <v>I.D.1</v>
      </c>
      <c r="D12" s="101" t="str">
        <v>https://docs.google.com/spreadsheets/d/1l4A9BRBr2tOGDY86IODPjAZJuovYvFZu2KA79jLKw00/edit?usp=sharing</v>
      </c>
      <c r="E12" s="101" t="str">
        <v>https://docs.google.com/spreadsheets/d/1l4A9BRBr2tOGDY86IODPjAZJuovYvFZu2KA79jLKw00/edit#gid=0</v>
      </c>
      <c r="F12" s="102" t="str">
        <f ca="1">IFERROR(__xludf.DUMMYFUNCTION("IMPORTRANGE(E12,""IDENTITAS UNIT!D9"")"),"Bantul")</f>
        <v>Bantul</v>
      </c>
      <c r="J12" s="4" t="str">
        <v>Priyan, Trirenggo, Bantul</v>
      </c>
    </row>
    <row r="13" spans="1:10" ht="16.5" hidden="1">
      <c r="A13" s="4" t="str">
        <v>ToT DPL 2 Periode ke-2022 I.A.1</v>
      </c>
      <c r="B13" s="4" t="str">
        <v>ToT DPL 2 Periode ke-2022</v>
      </c>
      <c r="C13" s="4" t="str">
        <v>I.A.1</v>
      </c>
      <c r="D13" s="101" t="str">
        <v>https://docs.google.com/spreadsheets/d/15WPjJJaiapTrjqvA8v70qJ9qqohXEXoqm8fjieBB7r8/edit?usp=sharing</v>
      </c>
      <c r="E13" s="101" t="str">
        <v>https://docs.google.com/spreadsheets/d/15WPjJJaiapTrjqvA8v70qJ9qqohXEXoqm8fjieBB7r8/edit#gid=0</v>
      </c>
      <c r="F13" s="102" t="str">
        <f ca="1">IFERROR(__xludf.DUMMYFUNCTION("IMPORTRANGE(E13,""IDENTITAS UNIT!D9"")"),"Bantul")</f>
        <v>Bantul</v>
      </c>
      <c r="J13" s="4" t="str">
        <v>Karangmojo, Trirenggo, Bantul</v>
      </c>
    </row>
    <row r="14" spans="1:10" ht="16.5" hidden="1">
      <c r="A14" s="4" t="str">
        <v>ToT DPL 2 Periode ke-2022 I.A.2</v>
      </c>
      <c r="B14" s="4" t="str">
        <v>ToT DPL 2 Periode ke-2022</v>
      </c>
      <c r="C14" s="31" t="str">
        <v>I.A.2</v>
      </c>
      <c r="D14" s="101" t="str">
        <v>https://docs.google.com/spreadsheets/d/1mb_BZPt2HMU-IcLb4vaK5c_CjHM23e3vhkmwItR5rAU/edit?usp=sharing</v>
      </c>
      <c r="E14" s="101" t="str">
        <v>https://docs.google.com/spreadsheets/d/1mb_BZPt2HMU-IcLb4vaK5c_CjHM23e3vhkmwItR5rAU/edit#gid=0</v>
      </c>
      <c r="F14" s="102" t="str">
        <f ca="1">IFERROR(__xludf.DUMMYFUNCTION("IMPORTRANGE(E14,""IDENTITAS UNIT!D9"")"),"Bantul")</f>
        <v>Bantul</v>
      </c>
      <c r="J14" s="4" t="str">
        <v>Cepoko, Trirenggo, Bantul</v>
      </c>
    </row>
    <row r="15" spans="1:10" ht="16.5" hidden="1">
      <c r="A15" s="4" t="str">
        <v>ToT DPL 2 Periode ke-2022 I.A.3</v>
      </c>
      <c r="B15" s="4" t="str">
        <v>ToT DPL 2 Periode ke-2022</v>
      </c>
      <c r="C15" s="31" t="str">
        <v>I.A.3</v>
      </c>
      <c r="D15" s="101" t="str">
        <v>https://docs.google.com/spreadsheets/d/1mdEIdKk7Gr7TyJLVSqbwsXZAuZWLekCO3p-uKtz_UYs/edit?usp=sharing</v>
      </c>
      <c r="E15" s="101" t="str">
        <v>https://docs.google.com/spreadsheets/d/1mdEIdKk7Gr7TyJLVSqbwsXZAuZWLekCO3p-uKtz_UYs/edit#gid=0</v>
      </c>
      <c r="F15" s="102" t="str">
        <f ca="1">IFERROR(__xludf.DUMMYFUNCTION("IMPORTRANGE(E15,""IDENTITAS UNIT!D9"")"),"Bantul")</f>
        <v>Bantul</v>
      </c>
      <c r="J15" s="4" t="str">
        <v>Bantul Timur, Trirenggo, Bantul</v>
      </c>
    </row>
    <row r="16" spans="1:10" ht="16.5" hidden="1">
      <c r="A16" s="4" t="str">
        <v>ToT DPL 2 Periode ke-2022 I.B.1</v>
      </c>
      <c r="B16" s="4" t="str">
        <v>ToT DPL 2 Periode ke-2022</v>
      </c>
      <c r="C16" s="31" t="str">
        <v>I.B.1</v>
      </c>
      <c r="D16" s="101" t="str">
        <v>https://docs.google.com/spreadsheets/d/1DpH6ubmGzpnCXYb7pJSgpt_1FxKAYTUv9FU1EfpMVUY/edit?usp=sharing</v>
      </c>
      <c r="E16" s="101" t="str">
        <v>https://docs.google.com/spreadsheets/d/1DpH6ubmGzpnCXYb7pJSgpt_1FxKAYTUv9FU1EfpMVUY/edit#gid=0</v>
      </c>
      <c r="F16" s="102" t="str">
        <f ca="1">IFERROR(__xludf.DUMMYFUNCTION("IMPORTRANGE(E16,""IDENTITAS UNIT!D9"")"),"Bantul")</f>
        <v>Bantul</v>
      </c>
      <c r="J16" s="4" t="str">
        <v>Gandekan, Trirenggo, Bantul</v>
      </c>
    </row>
    <row r="17" spans="1:12" ht="16.5" hidden="1">
      <c r="A17" s="4" t="str">
        <v>ToT DPL 2 Periode ke-2022 I.B.2</v>
      </c>
      <c r="B17" s="4" t="str">
        <v>ToT DPL 2 Periode ke-2022</v>
      </c>
      <c r="C17" s="31" t="str">
        <v>I.B.2</v>
      </c>
      <c r="D17" s="101" t="str">
        <v>https://docs.google.com/spreadsheets/d/1DaYCZKPal0nRHm95UwYaToKm9sNEy-FRwVgkNCeHaOI/edit?usp=sharing</v>
      </c>
      <c r="E17" s="101" t="str">
        <v>https://docs.google.com/spreadsheets/d/1DaYCZKPal0nRHm95UwYaToKm9sNEy-FRwVgkNCeHaOI/edit#gid=0</v>
      </c>
      <c r="F17" s="102" t="str">
        <f ca="1">IFERROR(__xludf.DUMMYFUNCTION("IMPORTRANGE(E17,""IDENTITAS UNIT!D9"")"),"Bantul")</f>
        <v>Bantul</v>
      </c>
      <c r="J17" s="4" t="str">
        <v>Manding, Trirenggo, Bantul</v>
      </c>
    </row>
    <row r="18" spans="1:12" ht="16.5" hidden="1">
      <c r="A18" s="4" t="str">
        <v>ToT DPL 2 Periode ke-2022 I.B.3</v>
      </c>
      <c r="B18" s="4" t="str">
        <v>ToT DPL 2 Periode ke-2022</v>
      </c>
      <c r="C18" s="31" t="str">
        <v>I.B.3</v>
      </c>
      <c r="D18" s="101" t="str">
        <v>https://docs.google.com/spreadsheets/d/1AkWfNG3UYk9CuV0j5d1__OQ_WVIg-e7aEfe28o2mRGI/edit?usp=sharing</v>
      </c>
      <c r="E18" s="101" t="str">
        <v>https://docs.google.com/spreadsheets/d/1AkWfNG3UYk9CuV0j5d1__OQ_WVIg-e7aEfe28o2mRGI/edit#gid=0</v>
      </c>
      <c r="F18" s="102" t="str">
        <f ca="1">IFERROR(__xludf.DUMMYFUNCTION("IMPORTRANGE(E18,""IDENTITAS UNIT!D9"")"),"")</f>
        <v/>
      </c>
      <c r="J18" s="4" t="str">
        <v>Bakulan, Trirenggo, Bantul</v>
      </c>
    </row>
    <row r="19" spans="1:12" ht="16.5" hidden="1">
      <c r="A19" s="4" t="str">
        <v>ToT DPL 2 Periode ke-2022 I.C.1</v>
      </c>
      <c r="B19" s="4" t="str">
        <v>ToT DPL 2 Periode ke-2022</v>
      </c>
      <c r="C19" s="31" t="str">
        <v>I.C.1</v>
      </c>
      <c r="D19" s="101" t="str">
        <v>https://docs.google.com/spreadsheets/d/101L9gkhuMxTZw173YmdxWNST82q44R5GkkiFc4KrpsM/edit?usp=sharing</v>
      </c>
      <c r="E19" s="101" t="str">
        <v>https://docs.google.com/spreadsheets/d/101L9gkhuMxTZw173YmdxWNST82q44R5GkkiFc4KrpsM/edit#gid=0</v>
      </c>
      <c r="F19" s="102" t="str">
        <f ca="1">IFERROR(__xludf.DUMMYFUNCTION("IMPORTRANGE(E19,""IDENTITAS UNIT!D9"")"),"Bantul")</f>
        <v>Bantul</v>
      </c>
      <c r="J19" s="4" t="str">
        <v>Gedongan, Trirenggo, Bantul</v>
      </c>
    </row>
    <row r="20" spans="1:12" ht="181.5" hidden="1">
      <c r="A20" s="4" t="str">
        <v>Alternatif Periode ke-84 I.A.1</v>
      </c>
      <c r="B20" s="4" t="str">
        <v>Alternatif Periode ke-84</v>
      </c>
      <c r="C20" s="4" t="str">
        <v>I.A.1</v>
      </c>
      <c r="D20" s="101" t="str">
        <v>https://docs.google.com/spreadsheets/d/1RSL4MMjMBh_1O1TSAHjqORjB66GWZpOXffhdpj78Sks/edit?usp=sharing</v>
      </c>
      <c r="E20" s="101" t="str">
        <v>https://docs.google.com/spreadsheets/d/1RSL4MMjMBh_1O1TSAHjqORjB66GWZpOXffhdpj78Sks/edit#gid=0</v>
      </c>
      <c r="F20" s="103" t="str">
        <f ca="1">IFERROR(__xludf.DUMMYFUNCTION("IMPORTRANGE(E20,""IDENTITAS UNIT!D9"")"),"https://www.google.co.id/maps/place/Masjid+BMIY/@-7.8034945,110.3674115,20.62z/data=!4m5!3m4!1s0x2e7a57858132b839:0xab66933d0f26a8f5!8m2!3d-7.8033684!4d110.3672965?hl=en&amp;authuser=0")</f>
        <v>https://www.google.co.id/maps/place/Masjid+BMIY/@-7.8034945,110.3674115,20.62z/data=!4m5!3m4!1s0x2e7a57858132b839:0xab66933d0f26a8f5!8m2!3d-7.8033684!4d110.3672965?hl=en&amp;authuser=0</v>
      </c>
      <c r="G20" s="4" t="s">
        <v>12699</v>
      </c>
      <c r="J20" s="4" t="str">
        <v>RW 2, Prawirodirjan, Gondomanan</v>
      </c>
      <c r="L20" s="99" t="str">
        <f ca="1">IFERROR(__xludf.DUMMYFUNCTION("IMPORTRANGE(H20,""IDENTITAS UNIT!D35"")"),"#N/A")</f>
        <v>#N/A</v>
      </c>
    </row>
    <row r="21" spans="1:12" ht="49.5" hidden="1">
      <c r="A21" s="4" t="str">
        <v>Alternatif Periode ke-84 I.A.2</v>
      </c>
      <c r="B21" s="4" t="str">
        <v>Alternatif Periode ke-84</v>
      </c>
      <c r="C21" s="4" t="str">
        <v>I.A.2</v>
      </c>
      <c r="D21" s="101" t="str">
        <v>https://docs.google.com/spreadsheets/d/1PnCXPopm7m_XIrY7rPQYCzXPKvRghZRuvMMXWqbOyUo/edit?usp=sharing</v>
      </c>
      <c r="E21" s="101" t="str">
        <v>https://docs.google.com/spreadsheets/d/1PnCXPopm7m_XIrY7rPQYCzXPKvRghZRuvMMXWqbOyUo/edit#gid=0</v>
      </c>
      <c r="F21" s="103" t="str">
        <f ca="1">IFERROR(__xludf.DUMMYFUNCTION("IMPORTRANGE(E21,""IDENTITAS UNIT!D9"")"),"https://maps.app.goo.gl/kwAfYNLWCohFtAbP8 ")</f>
        <v xml:space="preserve">https://maps.app.goo.gl/kwAfYNLWCohFtAbP8 </v>
      </c>
      <c r="G21" s="4" t="s">
        <v>12700</v>
      </c>
      <c r="J21" s="4" t="str">
        <v>RW 4, Prawirodirjan, Gondomanan</v>
      </c>
      <c r="L21" s="99" t="str">
        <f ca="1">IFERROR(__xludf.DUMMYFUNCTION("IMPORTRANGE(H21,""IDENTITAS UNIT!D35"")"),"#N/A")</f>
        <v>#N/A</v>
      </c>
    </row>
    <row r="22" spans="1:12" ht="49.5" hidden="1">
      <c r="A22" s="4" t="str">
        <v>Alternatif Periode ke-84 I.A.3</v>
      </c>
      <c r="B22" s="4" t="str">
        <v>Alternatif Periode ke-84</v>
      </c>
      <c r="C22" s="4" t="str">
        <v>I.A.3</v>
      </c>
      <c r="D22" s="101" t="str">
        <v>https://docs.google.com/spreadsheets/d/1au4oUBz7390z3Tyjuk8uCszWeLXsake_obXyQZLSDm4/edit?usp=sharing</v>
      </c>
      <c r="E22" s="101" t="str">
        <v>https://docs.google.com/spreadsheets/d/1au4oUBz7390z3Tyjuk8uCszWeLXsake_obXyQZLSDm4/edit#gid=0</v>
      </c>
      <c r="F22" s="103" t="str">
        <f ca="1">IFERROR(__xludf.DUMMYFUNCTION("IMPORTRANGE(E22,""IDENTITAS UNIT!D9"")"),"https://maps.app.goo.gl/gwpU1C4355mbQ2he9")</f>
        <v>https://maps.app.goo.gl/gwpU1C4355mbQ2he9</v>
      </c>
      <c r="G22" s="4" t="s">
        <v>12701</v>
      </c>
      <c r="J22" s="4" t="str">
        <v>RW 4, Prawirodirjan, Gondomanan</v>
      </c>
      <c r="L22" s="99" t="str">
        <f ca="1">IFERROR(__xludf.DUMMYFUNCTION("IMPORTRANGE(H22,""IDENTITAS UNIT!D35"")"),"#N/A")</f>
        <v>#N/A</v>
      </c>
    </row>
    <row r="23" spans="1:12" ht="49.5" hidden="1">
      <c r="A23" s="4" t="str">
        <v>Alternatif Periode ke-84 I.B.1</v>
      </c>
      <c r="B23" s="4" t="str">
        <v>Alternatif Periode ke-84</v>
      </c>
      <c r="C23" s="4" t="str">
        <v>I.B.1</v>
      </c>
      <c r="D23" s="101" t="str">
        <v>https://docs.google.com/spreadsheets/d/1l1ee0kEYCAhG00p-dOwffGM5ewsPu44aSoHB723IlTw/edit?usp=sharing</v>
      </c>
      <c r="E23" s="101" t="str">
        <v>https://docs.google.com/spreadsheets/d/1l1ee0kEYCAhG00p-dOwffGM5ewsPu44aSoHB723IlTw/edit#gid=0</v>
      </c>
      <c r="F23" s="103" t="str">
        <f ca="1">IFERROR(__xludf.DUMMYFUNCTION("IMPORTRANGE(E23,""IDENTITAS UNIT!D9"")"),"https://goo.gl/maps/P2caSUzeg1ypaTXc9")</f>
        <v>https://goo.gl/maps/P2caSUzeg1ypaTXc9</v>
      </c>
      <c r="G23" s="4" t="s">
        <v>12702</v>
      </c>
      <c r="J23" s="4" t="str">
        <v>RW 8, Prawirodirjan, Gondomanan</v>
      </c>
      <c r="L23" s="99" t="str">
        <f ca="1">IFERROR(__xludf.DUMMYFUNCTION("IMPORTRANGE(H23,""IDENTITAS UNIT!D35"")"),"#N/A")</f>
        <v>#N/A</v>
      </c>
    </row>
    <row r="24" spans="1:12" ht="66" hidden="1">
      <c r="A24" s="4" t="str">
        <v>Alternatif Periode ke-84 I.B.2</v>
      </c>
      <c r="B24" s="4" t="str">
        <v>Alternatif Periode ke-84</v>
      </c>
      <c r="C24" s="4" t="str">
        <v>I.B.2</v>
      </c>
      <c r="D24" s="101" t="str">
        <v>https://docs.google.com/spreadsheets/d/1qwbmA1MrLWqNcPdslxbK_ce8Q5YJPeoHdSBT6eeR6Y0/edit?usp=sharing</v>
      </c>
      <c r="E24" s="101" t="str">
        <v>https://docs.google.com/spreadsheets/d/1qwbmA1MrLWqNcPdslxbK_ce8Q5YJPeoHdSBT6eeR6Y0/edit#gid=0</v>
      </c>
      <c r="F24" s="102" t="str">
        <f ca="1">IFERROR(__xludf.DUMMYFUNCTION("IMPORTRANGE(E24,""IDENTITAS UNIT!D9"")"),"Masjid Al Muhsin
https://maps.app.goo.gl/SrXx5P63kwCa31ceA")</f>
        <v>Masjid Al Muhsin
https://maps.app.goo.gl/SrXx5P63kwCa31ceA</v>
      </c>
      <c r="G24" s="4" t="s">
        <v>12703</v>
      </c>
      <c r="J24" s="4" t="str">
        <v>RW 10, Prawirodirjan, Gondomanan</v>
      </c>
      <c r="L24" s="99" t="str">
        <f ca="1">IFERROR(__xludf.DUMMYFUNCTION("IMPORTRANGE(H24,""IDENTITAS UNIT!D35"")"),"#N/A")</f>
        <v>#N/A</v>
      </c>
    </row>
    <row r="25" spans="1:12" ht="49.5" hidden="1">
      <c r="A25" s="4" t="str">
        <v>Alternatif Periode ke-84 I.B.3</v>
      </c>
      <c r="B25" s="4" t="str">
        <v>Alternatif Periode ke-84</v>
      </c>
      <c r="C25" s="4" t="str">
        <v>I.B.3</v>
      </c>
      <c r="D25" s="101" t="str">
        <v>https://docs.google.com/spreadsheets/d/13uvT7ht--uG714ac0UvaWP3zdnRerv07KIfGV_DeuiI/edit?usp=sharing</v>
      </c>
      <c r="E25" s="101" t="str">
        <v>https://docs.google.com/spreadsheets/d/13uvT7ht--uG714ac0UvaWP3zdnRerv07KIfGV_DeuiI/edit#gid=0</v>
      </c>
      <c r="F25" s="103" t="str">
        <f ca="1">IFERROR(__xludf.DUMMYFUNCTION("IMPORTRANGE(E25,""IDENTITAS UNIT!D9"")"),"https://maps.app.goo.gl/rktCnGYA6LheJ3S87")</f>
        <v>https://maps.app.goo.gl/rktCnGYA6LheJ3S87</v>
      </c>
      <c r="G25" s="4" t="s">
        <v>12704</v>
      </c>
      <c r="J25" s="4" t="str">
        <v>RW 11, Prawirodirjan, Gondomanan</v>
      </c>
      <c r="L25" s="99" t="str">
        <f ca="1">IFERROR(__xludf.DUMMYFUNCTION("IMPORTRANGE(H25,""IDENTITAS UNIT!D35"")"),"#N/A")</f>
        <v>#N/A</v>
      </c>
    </row>
    <row r="26" spans="1:12" ht="49.5" hidden="1">
      <c r="A26" s="4" t="str">
        <v>Alternatif Periode ke-84 I.C.1</v>
      </c>
      <c r="B26" s="4" t="str">
        <v>Alternatif Periode ke-84</v>
      </c>
      <c r="C26" s="4" t="str">
        <v>I.C.1</v>
      </c>
      <c r="D26" s="101" t="str">
        <v>https://docs.google.com/spreadsheets/d/1Wiew3Vqrwe9Ch6R1cjbi65bdYpHgn3jH6WxGABSXMKY/edit?usp=sharing</v>
      </c>
      <c r="E26" s="101" t="str">
        <v>https://docs.google.com/spreadsheets/d/1Wiew3Vqrwe9Ch6R1cjbi65bdYpHgn3jH6WxGABSXMKY/edit#gid=0</v>
      </c>
      <c r="F26" s="103" t="str">
        <f ca="1">IFERROR(__xludf.DUMMYFUNCTION("IMPORTRANGE(E26,""IDENTITAS UNIT!D9"")"),"https://goo.gl/maps/rZxNRuiQUxwZQW6e8")</f>
        <v>https://goo.gl/maps/rZxNRuiQUxwZQW6e8</v>
      </c>
      <c r="G26" s="4" t="s">
        <v>12705</v>
      </c>
      <c r="J26" s="4" t="str">
        <v>RW 12, Prawirodirjan, Gondomanan</v>
      </c>
      <c r="L26" s="99" t="str">
        <f ca="1">IFERROR(__xludf.DUMMYFUNCTION("IMPORTRANGE(H26,""IDENTITAS UNIT!D35"")"),"#N/A")</f>
        <v>#N/A</v>
      </c>
    </row>
    <row r="27" spans="1:12" ht="99" hidden="1">
      <c r="A27" s="4" t="str">
        <v>Alternatif Periode ke-84 I.C.2</v>
      </c>
      <c r="B27" s="4" t="str">
        <v>Alternatif Periode ke-84</v>
      </c>
      <c r="C27" s="4" t="str">
        <v>I.C.2</v>
      </c>
      <c r="D27" s="101" t="str">
        <v>https://docs.google.com/spreadsheets/d/1atq5-5Swtert9m_EOhDzNkpiD8vV2GfgoRoyxIOr8uM/edit?usp=sharing</v>
      </c>
      <c r="E27" s="101" t="str">
        <v>https://docs.google.com/spreadsheets/d/1atq5-5Swtert9m_EOhDzNkpiD8vV2GfgoRoyxIOr8uM/edit#gid=0</v>
      </c>
      <c r="F27" s="102" t="str">
        <f ca="1">IFERROR(__xludf.DUMMYFUNCTION("IMPORTRANGE(E27,""IDENTITAS UNIT!D9"")"),"59VC+7WC, Prawirodirjan, Kec. Gondomanan, Kota Yogyakarta, Daerah Istimewa Yogyakarta 55121")</f>
        <v>59VC+7WC, Prawirodirjan, Kec. Gondomanan, Kota Yogyakarta, Daerah Istimewa Yogyakarta 55121</v>
      </c>
      <c r="G27" s="4" t="s">
        <v>12706</v>
      </c>
      <c r="J27" s="4" t="str">
        <v>RW 12, Prawirodirjan, Gondomanan</v>
      </c>
      <c r="L27" s="99" t="str">
        <f ca="1">IFERROR(__xludf.DUMMYFUNCTION("IMPORTRANGE(H27,""IDENTITAS UNIT!D35"")"),"#N/A")</f>
        <v>#N/A</v>
      </c>
    </row>
    <row r="28" spans="1:12" ht="49.5" hidden="1">
      <c r="A28" s="4" t="str">
        <v>Alternatif Periode ke-84 I.C.3</v>
      </c>
      <c r="B28" s="4" t="str">
        <v>Alternatif Periode ke-84</v>
      </c>
      <c r="C28" s="4" t="str">
        <v>I.C.3</v>
      </c>
      <c r="D28" s="101" t="str">
        <v>https://docs.google.com/spreadsheets/d/1r8elxg_xlILreh2P4w8j_EwCCYwUwtRBFcUPd9dVyqY/edit?usp=sharing</v>
      </c>
      <c r="E28" s="101" t="str">
        <v>https://docs.google.com/spreadsheets/d/1r8elxg_xlILreh2P4w8j_EwCCYwUwtRBFcUPd9dVyqY/edit#gid=0</v>
      </c>
      <c r="F28" s="103" t="str">
        <f ca="1">IFERROR(__xludf.DUMMYFUNCTION("IMPORTRANGE(E28,""IDENTITAS UNIT!D9"")"),"https://maps.app.goo.gl/UAaodt8qKXLmf7Gr8")</f>
        <v>https://maps.app.goo.gl/UAaodt8qKXLmf7Gr8</v>
      </c>
      <c r="G28" s="4" t="s">
        <v>12707</v>
      </c>
      <c r="J28" s="4" t="str">
        <v>RW 13, Prawirodirjan, Gondomanan</v>
      </c>
      <c r="L28" s="99" t="str">
        <f ca="1">IFERROR(__xludf.DUMMYFUNCTION("IMPORTRANGE(H28,""IDENTITAS UNIT!D35"")"),"#N/A")</f>
        <v>#N/A</v>
      </c>
    </row>
    <row r="29" spans="1:12" ht="49.5" hidden="1">
      <c r="A29" s="4" t="str">
        <v>Alternatif Periode ke-84 I.D.1</v>
      </c>
      <c r="B29" s="4" t="str">
        <v>Alternatif Periode ke-84</v>
      </c>
      <c r="C29" s="4" t="str">
        <v>I.D.1</v>
      </c>
      <c r="D29" s="101" t="str">
        <v>https://docs.google.com/spreadsheets/d/1tRA4RpPTeYIZVI8PYoYVplNI5uhZxIupTdN-noAYzTY/edit?usp=sharing</v>
      </c>
      <c r="E29" s="101" t="str">
        <v>https://docs.google.com/spreadsheets/d/1tRA4RpPTeYIZVI8PYoYVplNI5uhZxIupTdN-noAYzTY/edit#gid=0</v>
      </c>
      <c r="F29" s="103" t="str">
        <f ca="1">IFERROR(__xludf.DUMMYFUNCTION("IMPORTRANGE(E29,""IDENTITAS UNIT!D9"")"),"https://maps.app.goo.gl/x7rY4idAENmchwz3A")</f>
        <v>https://maps.app.goo.gl/x7rY4idAENmchwz3A</v>
      </c>
      <c r="G29" s="4" t="s">
        <v>12708</v>
      </c>
      <c r="J29" s="4" t="str">
        <v>RW 15, Prawirodirjan, Gondomanan</v>
      </c>
      <c r="L29" s="99" t="str">
        <f ca="1">IFERROR(__xludf.DUMMYFUNCTION("IMPORTRANGE(H29,""IDENTITAS UNIT!D35"")"),"#N/A")</f>
        <v>#N/A</v>
      </c>
    </row>
    <row r="30" spans="1:12" ht="49.5" hidden="1">
      <c r="A30" s="4" t="str">
        <v>Alternatif Periode ke-84 I.D.2</v>
      </c>
      <c r="B30" s="4" t="str">
        <v>Alternatif Periode ke-84</v>
      </c>
      <c r="C30" s="4" t="str">
        <v>I.D.2</v>
      </c>
      <c r="D30" s="101" t="str">
        <v>https://docs.google.com/spreadsheets/d/1FCUHjldnIpeRYJ089tn2UxQMNFBEnzJzB90UMvuvAQ4/edit?usp=sharing</v>
      </c>
      <c r="E30" s="101" t="str">
        <v>https://docs.google.com/spreadsheets/d/1FCUHjldnIpeRYJ089tn2UxQMNFBEnzJzB90UMvuvAQ4/edit#gid=0</v>
      </c>
      <c r="F30" s="103" t="str">
        <f ca="1">IFERROR(__xludf.DUMMYFUNCTION("IMPORTRANGE(E30,""IDENTITAS UNIT!D9"")"),"https://maps.app.goo.gl/AsZr4c9o1reFeU7F9?g_st=ic")</f>
        <v>https://maps.app.goo.gl/AsZr4c9o1reFeU7F9?g_st=ic</v>
      </c>
      <c r="G30" s="4" t="s">
        <v>12709</v>
      </c>
      <c r="J30" s="4" t="str">
        <v>RW 16, Prawirodirjan, Gondomanan</v>
      </c>
      <c r="L30" s="99" t="str">
        <f ca="1">IFERROR(__xludf.DUMMYFUNCTION("IMPORTRANGE(H30,""IDENTITAS UNIT!D35"")"),"#N/A")</f>
        <v>#N/A</v>
      </c>
    </row>
    <row r="31" spans="1:12" ht="49.5" hidden="1">
      <c r="A31" s="4" t="str">
        <v>Alternatif Periode ke-84 I.D.3</v>
      </c>
      <c r="B31" s="4" t="str">
        <v>Alternatif Periode ke-84</v>
      </c>
      <c r="C31" s="4" t="str">
        <v>I.D.3</v>
      </c>
      <c r="D31" s="101" t="str">
        <v>https://docs.google.com/spreadsheets/d/1gMYRU0PUUxCrNDwFQ0mih1q6NdGLpK8wi4den6cwdmU/edit?usp=sharing</v>
      </c>
      <c r="E31" s="101" t="str">
        <v>https://docs.google.com/spreadsheets/d/1gMYRU0PUUxCrNDwFQ0mih1q6NdGLpK8wi4den6cwdmU/edit#gid=0</v>
      </c>
      <c r="F31" s="103" t="str">
        <f ca="1">IFERROR(__xludf.DUMMYFUNCTION("IMPORTRANGE(E31,""IDENTITAS UNIT!D9"")"),"https://goo.gl/maps/x3oE4BmafCExzEpw7")</f>
        <v>https://goo.gl/maps/x3oE4BmafCExzEpw7</v>
      </c>
      <c r="G31" s="4" t="s">
        <v>12710</v>
      </c>
      <c r="J31" s="4" t="str">
        <v>RW 17, Prawirodirjan, Gondomanan</v>
      </c>
      <c r="L31" s="99" t="str">
        <f ca="1">IFERROR(__xludf.DUMMYFUNCTION("IMPORTRANGE(H31,""IDENTITAS UNIT!D35"")"),"#N/A")</f>
        <v>#N/A</v>
      </c>
    </row>
    <row r="32" spans="1:12" ht="49.5" hidden="1">
      <c r="A32" s="4" t="str">
        <v>Alternatif Periode ke-84 I.D.4</v>
      </c>
      <c r="B32" s="4" t="str">
        <v>Alternatif Periode ke-84</v>
      </c>
      <c r="C32" s="4" t="str">
        <v>I.D.4</v>
      </c>
      <c r="D32" s="101" t="str">
        <v>https://docs.google.com/spreadsheets/d/1IREh9NizLiFYNuJ5NwQWP-XSMMvaD9IKBDeMk5oBAeI/edit?usp=sharing</v>
      </c>
      <c r="E32" s="101" t="str">
        <v>https://docs.google.com/spreadsheets/d/1IREh9NizLiFYNuJ5NwQWP-XSMMvaD9IKBDeMk5oBAeI/edit#gid=0</v>
      </c>
      <c r="F32" s="103" t="str">
        <f ca="1">IFERROR(__xludf.DUMMYFUNCTION("IMPORTRANGE(E32,""IDENTITAS UNIT!D9"")"),"
https://maps.app.goo.gl/njPPcFg57BsvasFx7")</f>
        <v xml:space="preserve">
https://maps.app.goo.gl/njPPcFg57BsvasFx7</v>
      </c>
      <c r="J32" s="4" t="str">
        <v>RW 18, Prawirodirjan, Gondomanan</v>
      </c>
      <c r="L32" s="99" t="str">
        <f ca="1">IFERROR(__xludf.DUMMYFUNCTION("IMPORTRANGE(H32,""IDENTITAS UNIT!D35"")"),"#N/A")</f>
        <v>#N/A</v>
      </c>
    </row>
    <row r="33" spans="1:12" ht="49.5" hidden="1">
      <c r="A33" s="4" t="str">
        <v>Alternatif Periode ke-84 II.A.1</v>
      </c>
      <c r="B33" s="4" t="str">
        <v>Alternatif Periode ke-84</v>
      </c>
      <c r="C33" s="4" t="str">
        <v>II.A.1</v>
      </c>
      <c r="D33" s="101" t="str">
        <v>https://docs.google.com/spreadsheets/d/14WN4D4TO-6LDXmofCf4Hy2Hb4RVERBc-ybPxE3aFJqc/edit?usp=sharing</v>
      </c>
      <c r="E33" s="101" t="str">
        <v>https://docs.google.com/spreadsheets/d/14WN4D4TO-6LDXmofCf4Hy2Hb4RVERBc-ybPxE3aFJqc/edit#gid=0</v>
      </c>
      <c r="F33" s="103" t="str">
        <f ca="1">IFERROR(__xludf.DUMMYFUNCTION("IMPORTRANGE(E33,""IDENTITAS UNIT!D9"")"),"https://maps.app.goo.gl/cXLEpM7d3gecCA8X6")</f>
        <v>https://maps.app.goo.gl/cXLEpM7d3gecCA8X6</v>
      </c>
      <c r="G33" s="104" t="s">
        <v>12711</v>
      </c>
      <c r="J33" s="4" t="str">
        <v>RW 3, Ngupasan, Gondomanan</v>
      </c>
      <c r="L33" s="99" t="str">
        <f ca="1">IFERROR(__xludf.DUMMYFUNCTION("IMPORTRANGE(H33,""IDENTITAS UNIT!D35"")"),"#N/A")</f>
        <v>#N/A</v>
      </c>
    </row>
    <row r="34" spans="1:12" ht="82.5" hidden="1">
      <c r="A34" s="4" t="str">
        <v>Alternatif Periode ke-84 II.A.2</v>
      </c>
      <c r="B34" s="4" t="str">
        <v>Alternatif Periode ke-84</v>
      </c>
      <c r="C34" s="4" t="str">
        <v>II.A.2</v>
      </c>
      <c r="D34" s="101" t="str">
        <v>https://docs.google.com/spreadsheets/d/1HEixhZxIwIxcBQePyjNKswMkRCl5OIEnSOtLiwIC68Y/edit?usp=sharing</v>
      </c>
      <c r="E34" s="101" t="str">
        <v>https://docs.google.com/spreadsheets/d/1HEixhZxIwIxcBQePyjNKswMkRCl5OIEnSOtLiwIC68Y/edit#gid=0</v>
      </c>
      <c r="F34" s="102" t="str">
        <f ca="1">IFERROR(__xludf.DUMMYFUNCTION("IMPORTRANGE(E34,""IDENTITAS UNIT!D9"")"),"Ruang terbuka publik ratmakan
https://maps.app.goo.gl/WthQkgjiBbRYSr3bA")</f>
        <v>Ruang terbuka publik ratmakan
https://maps.app.goo.gl/WthQkgjiBbRYSr3bA</v>
      </c>
      <c r="G34" s="4" t="s">
        <v>12712</v>
      </c>
      <c r="J34" s="4" t="str">
        <v>RW 7, Ngupasan, Gondomanan</v>
      </c>
      <c r="L34" s="99" t="str">
        <f ca="1">IFERROR(__xludf.DUMMYFUNCTION("IMPORTRANGE(H34,""IDENTITAS UNIT!D35"")"),"#N/A")</f>
        <v>#N/A</v>
      </c>
    </row>
    <row r="35" spans="1:12" ht="49.5" hidden="1">
      <c r="A35" s="4" t="str">
        <v>Alternatif Periode ke-84 II.A.3</v>
      </c>
      <c r="B35" s="4" t="str">
        <v>Alternatif Periode ke-84</v>
      </c>
      <c r="C35" s="4" t="str">
        <v>II.A.3</v>
      </c>
      <c r="D35" s="101" t="str">
        <v>https://docs.google.com/spreadsheets/d/1JDadAZ9sInAQxLvUtnYfZkukrKwMmqJhsII4hYz0RDQ/edit?usp=sharing</v>
      </c>
      <c r="E35" s="101" t="str">
        <v>https://docs.google.com/spreadsheets/d/1JDadAZ9sInAQxLvUtnYfZkukrKwMmqJhsII4hYz0RDQ/edit#gid=0</v>
      </c>
      <c r="F35" s="103" t="str">
        <f ca="1">IFERROR(__xludf.DUMMYFUNCTION("IMPORTRANGE(E35,""IDENTITAS UNIT!D9"")"),"https://maps.app.goo.gl/FFNsCDru2UFj6iYA8")</f>
        <v>https://maps.app.goo.gl/FFNsCDru2UFj6iYA8</v>
      </c>
      <c r="G35" s="4" t="s">
        <v>12713</v>
      </c>
      <c r="J35" s="4" t="str">
        <v>RW 8, Ngupasan, Gondomanan</v>
      </c>
      <c r="L35" s="99" t="str">
        <f ca="1">IFERROR(__xludf.DUMMYFUNCTION("IMPORTRANGE(H35,""IDENTITAS UNIT!D35"")"),"#N/A")</f>
        <v>#N/A</v>
      </c>
    </row>
    <row r="36" spans="1:12" ht="49.5" hidden="1">
      <c r="A36" s="4" t="str">
        <v>Alternatif Periode ke-84 II.B.1</v>
      </c>
      <c r="B36" s="4" t="str">
        <v>Alternatif Periode ke-84</v>
      </c>
      <c r="C36" s="4" t="str">
        <v>II.B.1</v>
      </c>
      <c r="D36" s="101" t="str">
        <v>https://docs.google.com/spreadsheets/d/1jkfM3Ow_URh5QCpEop8C3NcZlI-Kn4oNuniVaSYZU0g/edit?usp=sharing</v>
      </c>
      <c r="E36" s="101" t="str">
        <v>https://docs.google.com/spreadsheets/d/1jkfM3Ow_URh5QCpEop8C3NcZlI-Kn4oNuniVaSYZU0g/edit#gid=0</v>
      </c>
      <c r="F36" s="103" t="str">
        <f ca="1">IFERROR(__xludf.DUMMYFUNCTION("IMPORTRANGE(E36,""IDENTITAS UNIT!D9"")"),"https://maps.app.goo.gl/dngUCFvujMzfpa4J7")</f>
        <v>https://maps.app.goo.gl/dngUCFvujMzfpa4J7</v>
      </c>
      <c r="G36" s="4" t="s">
        <v>12714</v>
      </c>
      <c r="J36" s="4" t="str">
        <v>RW 10, Ngupasan, Gondomanan</v>
      </c>
      <c r="L36" s="99" t="str">
        <f ca="1">IFERROR(__xludf.DUMMYFUNCTION("IMPORTRANGE(H36,""IDENTITAS UNIT!D35"")"),"#N/A")</f>
        <v>#N/A</v>
      </c>
    </row>
    <row r="37" spans="1:12" ht="181.5" hidden="1">
      <c r="A37" s="4" t="str">
        <v>Alternatif Periode ke-84 II.B.2</v>
      </c>
      <c r="B37" s="4" t="str">
        <v>Alternatif Periode ke-84</v>
      </c>
      <c r="C37" s="4" t="str">
        <v>II.B.2</v>
      </c>
      <c r="D37" s="101" t="str">
        <v>https://docs.google.com/spreadsheets/d/1FHoQOeZxHYPJ1dJd8f93dICw251n_SWKzk0SR4e2G94/edit?usp=sharing</v>
      </c>
      <c r="E37" s="101" t="str">
        <v>https://docs.google.com/spreadsheets/d/1FHoQOeZxHYPJ1dJd8f93dICw251n_SWKzk0SR4e2G94/edit#gid=0</v>
      </c>
      <c r="F37" s="103" t="str">
        <f ca="1">IFERROR(__xludf.DUMMYFUNCTION("IMPORTRANGE(E37,""IDENTITAS UNIT!D9"")"),"Langgar Makmur Kauman RW 11
59X7+37P, Jl. Kauman, Ngupasan, Kec. Gondomanan, Kota Yogyakarta, Daerah Istimewa Yogyakarta 55122
https://g.co/kgs/xHvjP3")</f>
        <v>Langgar Makmur Kauman RW 11
59X7+37P, Jl. Kauman, Ngupasan, Kec. Gondomanan, Kota Yogyakarta, Daerah Istimewa Yogyakarta 55122
https://g.co/kgs/xHvjP3</v>
      </c>
      <c r="G37" s="4" t="s">
        <v>12715</v>
      </c>
      <c r="J37" s="4" t="str">
        <v>RW 11, Ngupasan, Gondomanan</v>
      </c>
      <c r="L37" s="99" t="str">
        <f ca="1">IFERROR(__xludf.DUMMYFUNCTION("IMPORTRANGE(H37,""IDENTITAS UNIT!D35"")"),"#N/A")</f>
        <v>#N/A</v>
      </c>
    </row>
    <row r="38" spans="1:12" ht="66" hidden="1">
      <c r="A38" s="4" t="str">
        <v>Alternatif Periode ke-84 II.B.3</v>
      </c>
      <c r="B38" s="4" t="str">
        <v>Alternatif Periode ke-84</v>
      </c>
      <c r="C38" s="4" t="str">
        <v>II.B.3</v>
      </c>
      <c r="D38" s="101" t="str">
        <v>https://docs.google.com/spreadsheets/d/1IFZYTBc8VPvqx44JLaC2C9boWHZ4ZuCVPAAie7BjxQs/edit?usp=sharing</v>
      </c>
      <c r="E38" s="101" t="str">
        <v>https://docs.google.com/spreadsheets/d/1IFZYTBc8VPvqx44JLaC2C9boWHZ4ZuCVPAAie7BjxQs/edit#gid=0</v>
      </c>
      <c r="F38" s="102" t="str">
        <f ca="1">IFERROR(__xludf.DUMMYFUNCTION("IMPORTRANGE(E38,""IDENTITAS UNIT!D9"")"),"Saka FM Jogja ( https://maps.app.goo.gl/CS5ZyAi9GRyrGPkM6 )")</f>
        <v>Saka FM Jogja ( https://maps.app.goo.gl/CS5ZyAi9GRyrGPkM6 )</v>
      </c>
      <c r="G38" s="102" t="s">
        <v>12716</v>
      </c>
      <c r="J38" s="4" t="str">
        <v>RW 12, Ngupasan, Gondomanan</v>
      </c>
      <c r="L38" s="99" t="str">
        <f ca="1">IFERROR(__xludf.DUMMYFUNCTION("IMPORTRANGE(H38,""IDENTITAS UNIT!D35"")"),"#N/A")</f>
        <v>#N/A</v>
      </c>
    </row>
    <row r="39" spans="1:12" ht="49.5" hidden="1">
      <c r="A39" s="4" t="str">
        <v>Alternatif Periode ke-84 II.B.4</v>
      </c>
      <c r="B39" s="4" t="str">
        <v>Alternatif Periode ke-84</v>
      </c>
      <c r="C39" s="4" t="str">
        <v>II.B.4</v>
      </c>
      <c r="D39" s="101" t="str">
        <v>https://docs.google.com/spreadsheets/d/1TiPT_Tsgnrlk4QJMQsGhAKbtPFE1hnk2JOocRVl6DIk/edit?usp=sharing</v>
      </c>
      <c r="E39" s="101" t="str">
        <v>https://docs.google.com/spreadsheets/d/1TiPT_Tsgnrlk4QJMQsGhAKbtPFE1hnk2JOocRVl6DIk/edit#gid=0</v>
      </c>
      <c r="F39" s="103" t="str">
        <f ca="1">IFERROR(__xludf.DUMMYFUNCTION("IMPORTRANGE(E39,""IDENTITAS UNIT!D9"")"),"https://goo.gl/maps/Ye9VSztiZo8BzWE29")</f>
        <v>https://goo.gl/maps/Ye9VSztiZo8BzWE29</v>
      </c>
      <c r="G39" s="4" t="s">
        <v>12717</v>
      </c>
      <c r="J39" s="4" t="str">
        <v>RW 2, Ngupasan, Gondomanan</v>
      </c>
      <c r="L39" s="99" t="str">
        <f ca="1">IFERROR(__xludf.DUMMYFUNCTION("IMPORTRANGE(H39,""IDENTITAS UNIT!D35"")"),"#N/A")</f>
        <v>#N/A</v>
      </c>
    </row>
    <row r="40" spans="1:12" ht="49.5" hidden="1">
      <c r="A40" s="4" t="str">
        <v>Alternatif Periode ke-84 II.C.1</v>
      </c>
      <c r="B40" s="4" t="str">
        <v>Alternatif Periode ke-84</v>
      </c>
      <c r="C40" s="4" t="str">
        <v>II.C.1</v>
      </c>
      <c r="D40" s="101" t="str">
        <v>https://docs.google.com/spreadsheets/d/1soxDTyCIvMXeAcorKNFbzHABCx_PqNab5bzfGd-64A4/edit?usp=sharing</v>
      </c>
      <c r="E40" s="101" t="str">
        <v>https://docs.google.com/spreadsheets/d/1soxDTyCIvMXeAcorKNFbzHABCx_PqNab5bzfGd-64A4/edit#gid=0</v>
      </c>
      <c r="F40" s="103" t="str">
        <f ca="1">IFERROR(__xludf.DUMMYFUNCTION("IMPORTRANGE(E40,""IDENTITAS UNIT!D9"")"),"https://maps.app.goo.gl/12SouBReMHMKM6rZ7")</f>
        <v>https://maps.app.goo.gl/12SouBReMHMKM6rZ7</v>
      </c>
      <c r="G40" s="4" t="s">
        <v>12718</v>
      </c>
      <c r="J40" s="4" t="str">
        <v>RW 1, Ngampilan, Ngampilan</v>
      </c>
      <c r="L40" s="99" t="str">
        <f ca="1">IFERROR(__xludf.DUMMYFUNCTION("IMPORTRANGE(H40,""IDENTITAS UNIT!D35"")"),"#N/A")</f>
        <v>#N/A</v>
      </c>
    </row>
    <row r="41" spans="1:12" ht="66" hidden="1">
      <c r="A41" s="4" t="str">
        <v>Alternatif Periode ke-84 II.C.2</v>
      </c>
      <c r="B41" s="4" t="str">
        <v>Alternatif Periode ke-84</v>
      </c>
      <c r="C41" s="4" t="str">
        <v>II.C.2</v>
      </c>
      <c r="D41" s="101" t="str">
        <v>https://docs.google.com/spreadsheets/d/1esWHiFa3JeAbN45yB9gygjqFcqGmj9v5DGGSwKlQsIA/edit?usp=sharing</v>
      </c>
      <c r="E41" s="101" t="str">
        <v>https://docs.google.com/spreadsheets/d/1esWHiFa3JeAbN45yB9gygjqFcqGmj9v5DGGSwKlQsIA/edit#gid=0</v>
      </c>
      <c r="F41" s="103" t="str">
        <f ca="1">IFERROR(__xludf.DUMMYFUNCTION("IMPORTRANGE(E41,""IDENTITAS UNIT!D9"")"),"Masjid Darussalam
https://maps.app.goo.gl/JpeyBnexk8NqStLT7 v")</f>
        <v>Masjid Darussalam
https://maps.app.goo.gl/JpeyBnexk8NqStLT7 v</v>
      </c>
      <c r="G41" s="4" t="s">
        <v>12719</v>
      </c>
      <c r="J41" s="4" t="str">
        <v>RW 2, Ngampilan, Ngampilan</v>
      </c>
      <c r="L41" s="99" t="str">
        <f ca="1">IFERROR(__xludf.DUMMYFUNCTION("IMPORTRANGE(H41,""IDENTITAS UNIT!D35"")"),"#N/A")</f>
        <v>#N/A</v>
      </c>
    </row>
    <row r="42" spans="1:12" ht="49.5" hidden="1">
      <c r="A42" s="4" t="str">
        <v>Alternatif Periode ke-84 II.C.3</v>
      </c>
      <c r="B42" s="4" t="str">
        <v>Alternatif Periode ke-84</v>
      </c>
      <c r="C42" s="4" t="str">
        <v>II.C.3</v>
      </c>
      <c r="D42" s="101" t="str">
        <v>https://docs.google.com/spreadsheets/d/1-rDlRbJ5aBoEgiO5iLXj-Ee6wVxKsfpXW-1RBx49hGQ/edit?usp=sharing</v>
      </c>
      <c r="E42" s="101" t="str">
        <v>https://docs.google.com/spreadsheets/d/1-rDlRbJ5aBoEgiO5iLXj-Ee6wVxKsfpXW-1RBx49hGQ/edit#gid=0</v>
      </c>
      <c r="F42" s="103" t="str">
        <f ca="1">IFERROR(__xludf.DUMMYFUNCTION("IMPORTRANGE(E42,""IDENTITAS UNIT!D9"")"),"https://maps.app.goo.gl/sjH9WwtGDgXohPFr5")</f>
        <v>https://maps.app.goo.gl/sjH9WwtGDgXohPFr5</v>
      </c>
      <c r="G42" s="4" t="s">
        <v>12720</v>
      </c>
      <c r="J42" s="4" t="str">
        <v>RW 3, Ngampilan, Ngampilan</v>
      </c>
      <c r="L42" s="99" t="str">
        <f ca="1">IFERROR(__xludf.DUMMYFUNCTION("IMPORTRANGE(H42,""IDENTITAS UNIT!D35"")"),"#N/A")</f>
        <v>#N/A</v>
      </c>
    </row>
    <row r="43" spans="1:12" ht="82.5" hidden="1">
      <c r="A43" s="4" t="str">
        <v>Alternatif Periode ke-84 II.D.1</v>
      </c>
      <c r="B43" s="4" t="str">
        <v>Alternatif Periode ke-84</v>
      </c>
      <c r="C43" s="4" t="str">
        <v>II.D.1</v>
      </c>
      <c r="D43" s="101" t="str">
        <v>https://docs.google.com/spreadsheets/d/1DKPgl5OJQ_2_CCepQjfg7nkhOkEMNm26ZdWwOgpRPP8/edit?usp=sharing</v>
      </c>
      <c r="E43" s="101" t="str">
        <v>https://docs.google.com/spreadsheets/d/1DKPgl5OJQ_2_CCepQjfg7nkhOkEMNm26ZdWwOgpRPP8/edit#gid=0</v>
      </c>
      <c r="F43" s="103" t="str">
        <f ca="1">IFERROR(__xludf.DUMMYFUNCTION("IMPORTRANGE(E43,""IDENTITAS UNIT!D9"")"),"Masjid Ilham Sanggrahan Pathuk
https://maps.app.goo.gl/EdYUaULHR3nHJWRc6")</f>
        <v>Masjid Ilham Sanggrahan Pathuk
https://maps.app.goo.gl/EdYUaULHR3nHJWRc6</v>
      </c>
      <c r="G43" s="4" t="s">
        <v>12721</v>
      </c>
      <c r="J43" s="4" t="str">
        <v>RW 5, Ngampilan, Ngampilan</v>
      </c>
      <c r="L43" s="99" t="str">
        <f ca="1">IFERROR(__xludf.DUMMYFUNCTION("IMPORTRANGE(H43,""IDENTITAS UNIT!D35"")"),"#N/A")</f>
        <v>#N/A</v>
      </c>
    </row>
    <row r="44" spans="1:12" ht="49.5" hidden="1">
      <c r="A44" s="4" t="str">
        <v>Alternatif Periode ke-84 II.D.2</v>
      </c>
      <c r="B44" s="4" t="str">
        <v>Alternatif Periode ke-84</v>
      </c>
      <c r="C44" s="4" t="str">
        <v>II.D.2</v>
      </c>
      <c r="D44" s="101" t="str">
        <v>https://docs.google.com/spreadsheets/d/1PaOdbkisq_h5JOWIsb20yQzuRUdWgHhIj9NjAje6Wyo/edit?usp=sharing</v>
      </c>
      <c r="E44" s="101" t="str">
        <v>https://docs.google.com/spreadsheets/d/1PaOdbkisq_h5JOWIsb20yQzuRUdWgHhIj9NjAje6Wyo/edit#gid=0</v>
      </c>
      <c r="F44" s="103" t="str">
        <f ca="1">IFERROR(__xludf.DUMMYFUNCTION("IMPORTRANGE(E44,""IDENTITAS UNIT!D9"")"),"https://goo.gl/maps/uCXZ2Mw8gE2BHtBx8")</f>
        <v>https://goo.gl/maps/uCXZ2Mw8gE2BHtBx8</v>
      </c>
      <c r="G44" s="4" t="s">
        <v>12722</v>
      </c>
      <c r="J44" s="4" t="str">
        <v>RW 6, Ngampilan, Ngampilan</v>
      </c>
      <c r="L44" s="99" t="str">
        <f ca="1">IFERROR(__xludf.DUMMYFUNCTION("IMPORTRANGE(H44,""IDENTITAS UNIT!D35"")"),"#N/A")</f>
        <v>#N/A</v>
      </c>
    </row>
    <row r="45" spans="1:12" ht="49.5" hidden="1">
      <c r="A45" s="4" t="str">
        <v>Alternatif Periode ke-84 II.D.3</v>
      </c>
      <c r="B45" s="4" t="str">
        <v>Alternatif Periode ke-84</v>
      </c>
      <c r="C45" s="4" t="str">
        <v>II.D.3</v>
      </c>
      <c r="D45" s="101" t="str">
        <v>https://docs.google.com/spreadsheets/d/1P70N1tP0AQfUI9AuGVgYgINBv65E1veuPvyuyMkt3ag/edit?usp=sharing</v>
      </c>
      <c r="E45" s="101" t="str">
        <v>https://docs.google.com/spreadsheets/d/1P70N1tP0AQfUI9AuGVgYgINBv65E1veuPvyuyMkt3ag/edit#gid=0</v>
      </c>
      <c r="F45" s="103" t="str">
        <f ca="1">IFERROR(__xludf.DUMMYFUNCTION("IMPORTRANGE(E45,""IDENTITAS UNIT!D9"")"),"https://goo.gl/maps/yG986eHS7iAXVkEj9")</f>
        <v>https://goo.gl/maps/yG986eHS7iAXVkEj9</v>
      </c>
      <c r="G45" s="4" t="s">
        <v>12723</v>
      </c>
      <c r="J45" s="4" t="str">
        <v>RW 7, Ngampilan, Ngampilan</v>
      </c>
      <c r="L45" s="99" t="str">
        <f ca="1">IFERROR(__xludf.DUMMYFUNCTION("IMPORTRANGE(H45,""IDENTITAS UNIT!D35"")"),"#N/A")</f>
        <v>#N/A</v>
      </c>
    </row>
    <row r="46" spans="1:12" ht="49.5" hidden="1">
      <c r="A46" s="4" t="str">
        <v>Alternatif Periode ke-84 III.A.1</v>
      </c>
      <c r="B46" s="31" t="str">
        <v>Alternatif Periode ke-84</v>
      </c>
      <c r="C46" s="4" t="str">
        <v>III.A.1</v>
      </c>
      <c r="D46" s="101" t="str">
        <v>https://docs.google.com/spreadsheets/d/1inBpI-Z0BO66TjIAGtxX2T7vUjYDbvpdEOxseMkvnT8/edit?usp=sharing</v>
      </c>
      <c r="E46" s="101" t="str">
        <v>https://docs.google.com/spreadsheets/d/1inBpI-Z0BO66TjIAGtxX2T7vUjYDbvpdEOxseMkvnT8/edit#gid=0</v>
      </c>
      <c r="F46" s="103" t="str">
        <f ca="1">IFERROR(__xludf.DUMMYFUNCTION("IMPORTRANGE(E46,""IDENTITAS UNIT!D9"")"),"https://goo.gl/maps/WUj8eqTQqhKVgtbdA")</f>
        <v>https://goo.gl/maps/WUj8eqTQqhKVgtbdA</v>
      </c>
      <c r="G46" s="104" t="s">
        <v>12724</v>
      </c>
      <c r="J46" s="4" t="str">
        <v>RW 9, Ngampilan, Ngampilan</v>
      </c>
      <c r="L46" s="99" t="str">
        <f ca="1">IFERROR(__xludf.DUMMYFUNCTION("IMPORTRANGE(H46,""IDENTITAS UNIT!D35"")"),"#N/A")</f>
        <v>#N/A</v>
      </c>
    </row>
    <row r="47" spans="1:12" ht="49.5" hidden="1">
      <c r="A47" s="4" t="str">
        <v>Alternatif Periode ke-84 III.A.2</v>
      </c>
      <c r="B47" s="4" t="str">
        <v>Alternatif Periode ke-84</v>
      </c>
      <c r="C47" s="4" t="str">
        <v>III.A.2</v>
      </c>
      <c r="D47" s="101" t="str">
        <v>https://docs.google.com/spreadsheets/d/1l7feShSgrrgKEULxHUpZm9N6nbJu6Cvyk0aU_8xRLV0/edit?usp=sharing</v>
      </c>
      <c r="E47" s="101" t="str">
        <v>https://docs.google.com/spreadsheets/d/1l7feShSgrrgKEULxHUpZm9N6nbJu6Cvyk0aU_8xRLV0/edit#gid=0</v>
      </c>
      <c r="F47" s="103" t="str">
        <f ca="1">IFERROR(__xludf.DUMMYFUNCTION("IMPORTRANGE(E47,""IDENTITAS UNIT!D9"")"),"https://maps.app.goo.gl/wS1jxY6PmJ2u6KqB9")</f>
        <v>https://maps.app.goo.gl/wS1jxY6PmJ2u6KqB9</v>
      </c>
      <c r="G47" s="4" t="s">
        <v>12725</v>
      </c>
      <c r="J47" s="4" t="str">
        <v>RW 12, Ngampilan, Ngampilan</v>
      </c>
      <c r="L47" s="99" t="str">
        <f ca="1">IFERROR(__xludf.DUMMYFUNCTION("IMPORTRANGE(H47,""IDENTITAS UNIT!D35"")"),"#N/A")</f>
        <v>#N/A</v>
      </c>
    </row>
    <row r="48" spans="1:12" ht="49.5" hidden="1">
      <c r="A48" s="4" t="str">
        <v>Alternatif Periode ke-84 III.A.3</v>
      </c>
      <c r="B48" s="4" t="str">
        <v>Alternatif Periode ke-84</v>
      </c>
      <c r="C48" s="4" t="str">
        <v>III.A.3</v>
      </c>
      <c r="D48" s="101" t="str">
        <v>https://docs.google.com/spreadsheets/d/1y8AS5XKvxtXucY3AFGBDvwPXdq8qKawtD3LgpnrvmQU/edit?usp=sharing</v>
      </c>
      <c r="E48" s="101" t="str">
        <v>https://docs.google.com/spreadsheets/d/1y8AS5XKvxtXucY3AFGBDvwPXdq8qKawtD3LgpnrvmQU/edit#gid=0</v>
      </c>
      <c r="F48" s="103" t="str">
        <f ca="1">IFERROR(__xludf.DUMMYFUNCTION("IMPORTRANGE(E48,""IDENTITAS UNIT!D9"")"),"https://goo.gl/maps/gAohh9wLfp8NpruJ7")</f>
        <v>https://goo.gl/maps/gAohh9wLfp8NpruJ7</v>
      </c>
      <c r="G48" s="4" t="s">
        <v>12726</v>
      </c>
      <c r="J48" s="4" t="str">
        <v>RW 13, Ngampilan, Ngampilan</v>
      </c>
      <c r="L48" s="99" t="str">
        <f ca="1">IFERROR(__xludf.DUMMYFUNCTION("IMPORTRANGE(H48,""IDENTITAS UNIT!D35"")"),"#N/A")</f>
        <v>#N/A</v>
      </c>
    </row>
    <row r="49" spans="1:12" ht="49.5" hidden="1">
      <c r="A49" s="4" t="str">
        <v>Alternatif Periode ke-84 III.B.1</v>
      </c>
      <c r="B49" s="4" t="str">
        <v>Alternatif Periode ke-84</v>
      </c>
      <c r="C49" s="4" t="str">
        <v>III.B.1</v>
      </c>
      <c r="D49" s="101" t="str">
        <v>https://docs.google.com/spreadsheets/d/1Zrshi6jwOwyj2e8vcD0igRXjGqWyHD7nP52PJ8F94q0/edit?usp=sharing</v>
      </c>
      <c r="E49" s="101" t="str">
        <v>https://docs.google.com/spreadsheets/d/1Zrshi6jwOwyj2e8vcD0igRXjGqWyHD7nP52PJ8F94q0/edit#gid=0</v>
      </c>
      <c r="F49" s="103" t="str">
        <f ca="1">IFERROR(__xludf.DUMMYFUNCTION("IMPORTRANGE(E49,""IDENTITAS UNIT!D9"")"),"https://maps.app.goo.gl/52GMcyh3FRiiCE8T6")</f>
        <v>https://maps.app.goo.gl/52GMcyh3FRiiCE8T6</v>
      </c>
      <c r="G49" s="4" t="s">
        <v>12727</v>
      </c>
      <c r="J49" s="4" t="str">
        <v>RW 1, Notoprajan, Ngampilan</v>
      </c>
      <c r="L49" s="99" t="str">
        <f ca="1">IFERROR(__xludf.DUMMYFUNCTION("IMPORTRANGE(H49,""IDENTITAS UNIT!D35"")"),"#N/A")</f>
        <v>#N/A</v>
      </c>
    </row>
    <row r="50" spans="1:12" ht="49.5" hidden="1">
      <c r="A50" s="4" t="str">
        <v>Alternatif Periode ke-84 III.B.2</v>
      </c>
      <c r="B50" s="4" t="str">
        <v>Alternatif Periode ke-84</v>
      </c>
      <c r="C50" s="4" t="str">
        <v>III.B.2</v>
      </c>
      <c r="D50" s="101" t="str">
        <v>https://docs.google.com/spreadsheets/d/1cgxhZHI42-wvnF_KMegFNiCeKEvgXbD0SY8Gb_CMSnk/edit?usp=sharing</v>
      </c>
      <c r="E50" s="101" t="str">
        <v>https://docs.google.com/spreadsheets/d/1cgxhZHI42-wvnF_KMegFNiCeKEvgXbD0SY8Gb_CMSnk/edit#gid=0</v>
      </c>
      <c r="F50" s="103" t="str">
        <f ca="1">IFERROR(__xludf.DUMMYFUNCTION("IMPORTRANGE(E50,""IDENTITAS UNIT!D9"")"),"https://goo.gl/maps/bbN1zRn34tQHUPLy6")</f>
        <v>https://goo.gl/maps/bbN1zRn34tQHUPLy6</v>
      </c>
      <c r="G50" s="4" t="s">
        <v>12728</v>
      </c>
      <c r="J50" s="4" t="str">
        <v>RW 2, Notoprajan, Ngampilan</v>
      </c>
      <c r="L50" s="99" t="str">
        <f ca="1">IFERROR(__xludf.DUMMYFUNCTION("IMPORTRANGE(H50,""IDENTITAS UNIT!D35"")"),"#N/A")</f>
        <v>#N/A</v>
      </c>
    </row>
    <row r="51" spans="1:12" ht="49.5" hidden="1">
      <c r="A51" s="4" t="str">
        <v>Alternatif Periode ke-84 III.B.3</v>
      </c>
      <c r="B51" s="4" t="str">
        <v>Alternatif Periode ke-84</v>
      </c>
      <c r="C51" s="4" t="str">
        <v>III.B.3</v>
      </c>
      <c r="D51" s="101" t="str">
        <v>https://docs.google.com/spreadsheets/d/1tDGOr1-mQZ1j7enNWJkq4J-6UyRrxNp8PU4WHolfb4A/edit?usp=sharing</v>
      </c>
      <c r="E51" s="101" t="str">
        <v>https://docs.google.com/spreadsheets/d/1tDGOr1-mQZ1j7enNWJkq4J-6UyRrxNp8PU4WHolfb4A/edit#gid=0</v>
      </c>
      <c r="F51" s="103" t="str">
        <f ca="1">IFERROR(__xludf.DUMMYFUNCTION("IMPORTRANGE(E51,""IDENTITAS UNIT!D9"")"),"https://maps.app.goo.gl/kFnu1QkFUp1MvfNw5")</f>
        <v>https://maps.app.goo.gl/kFnu1QkFUp1MvfNw5</v>
      </c>
      <c r="G51" s="4" t="s">
        <v>12729</v>
      </c>
      <c r="J51" s="4" t="str">
        <v>RW 3, Notoprajan, Ngampilan</v>
      </c>
      <c r="L51" s="99" t="str">
        <f ca="1">IFERROR(__xludf.DUMMYFUNCTION("IMPORTRANGE(H51,""IDENTITAS UNIT!D35"")"),"#N/A")</f>
        <v>#N/A</v>
      </c>
    </row>
    <row r="52" spans="1:12" ht="49.5" hidden="1">
      <c r="A52" s="4" t="str">
        <v>Alternatif Periode ke-84 III.B.4</v>
      </c>
      <c r="B52" s="4" t="str">
        <v>Alternatif Periode ke-84</v>
      </c>
      <c r="C52" s="4" t="str">
        <v>III.B.4</v>
      </c>
      <c r="D52" s="101" t="str">
        <v>https://docs.google.com/spreadsheets/d/1j0Lk53rvth2OSnwbl_IFrDpyWIbY1rUqMlkzNIxd2Pw/edit?usp=sharing</v>
      </c>
      <c r="E52" s="101" t="str">
        <v>https://docs.google.com/spreadsheets/d/1j0Lk53rvth2OSnwbl_IFrDpyWIbY1rUqMlkzNIxd2Pw/edit#gid=0</v>
      </c>
      <c r="F52" s="103" t="str">
        <f ca="1">IFERROR(__xludf.DUMMYFUNCTION("IMPORTRANGE(E52,""IDENTITAS UNIT!D9"")"),"https://maps.app.goo.gl/fwiKWcbWhYP8BFfz5?g_st=ic")</f>
        <v>https://maps.app.goo.gl/fwiKWcbWhYP8BFfz5?g_st=ic</v>
      </c>
      <c r="G52" s="104" t="s">
        <v>12730</v>
      </c>
      <c r="J52" s="4" t="str">
        <v>RW 4, Notoprajan, Ngampilan</v>
      </c>
      <c r="L52" s="99" t="str">
        <f ca="1">IFERROR(__xludf.DUMMYFUNCTION("IMPORTRANGE(H52,""IDENTITAS UNIT!D35"")"),"#N/A")</f>
        <v>#N/A</v>
      </c>
    </row>
    <row r="53" spans="1:12" ht="49.5" hidden="1">
      <c r="A53" s="4" t="str">
        <v>Alternatif Periode ke-84 III.C.1</v>
      </c>
      <c r="B53" s="4" t="str">
        <v>Alternatif Periode ke-84</v>
      </c>
      <c r="C53" s="4" t="str">
        <v>III.C.1</v>
      </c>
      <c r="D53" s="101" t="str">
        <v>https://docs.google.com/spreadsheets/d/1zkVuN180kFTytWpzM39qPcl6YAl9Q2QmLu9jkwTktyA/edit?usp=sharing</v>
      </c>
      <c r="E53" s="101" t="str">
        <v>https://docs.google.com/spreadsheets/d/1zkVuN180kFTytWpzM39qPcl6YAl9Q2QmLu9jkwTktyA/edit#gid=0</v>
      </c>
      <c r="F53" s="103" t="str">
        <f ca="1">IFERROR(__xludf.DUMMYFUNCTION("IMPORTRANGE(E53,""IDENTITAS UNIT!D9"")"),"https://maps.app.goo.gl/F3nr3vZCsb3z1pnz6")</f>
        <v>https://maps.app.goo.gl/F3nr3vZCsb3z1pnz6</v>
      </c>
      <c r="G53" s="4" t="s">
        <v>12731</v>
      </c>
      <c r="J53" s="4" t="str">
        <v>RW 5, Notoprajan, Ngampilan</v>
      </c>
      <c r="L53" s="99" t="str">
        <f ca="1">IFERROR(__xludf.DUMMYFUNCTION("IMPORTRANGE(H53,""IDENTITAS UNIT!D35"")"),"#N/A")</f>
        <v>#N/A</v>
      </c>
    </row>
    <row r="54" spans="1:12" ht="49.5" hidden="1">
      <c r="A54" s="4" t="str">
        <v>Alternatif Periode ke-84 III.C.2</v>
      </c>
      <c r="B54" s="4" t="str">
        <v>Alternatif Periode ke-84</v>
      </c>
      <c r="C54" s="4" t="str">
        <v>III.C.2</v>
      </c>
      <c r="D54" s="101" t="str">
        <v>https://docs.google.com/spreadsheets/d/19vyXBiiywcpbi_WIEqk-sTP5GqW3eBtIOf0PRlFuIaM/edit?usp=sharing</v>
      </c>
      <c r="E54" s="101" t="str">
        <v>https://docs.google.com/spreadsheets/d/19vyXBiiywcpbi_WIEqk-sTP5GqW3eBtIOf0PRlFuIaM/edit#gid=0</v>
      </c>
      <c r="F54" s="103" t="str">
        <f ca="1">IFERROR(__xludf.DUMMYFUNCTION("IMPORTRANGE(E54,""IDENTITAS UNIT!D9"")"),"https://maps.app.goo.gl/T7ZesMB9eWUUFgE57")</f>
        <v>https://maps.app.goo.gl/T7ZesMB9eWUUFgE57</v>
      </c>
      <c r="G54" s="4" t="s">
        <v>12732</v>
      </c>
      <c r="J54" s="4" t="str">
        <v>RW 6, Notoprajan, Ngampilan</v>
      </c>
      <c r="L54" s="99" t="str">
        <f ca="1">IFERROR(__xludf.DUMMYFUNCTION("IMPORTRANGE(H54,""IDENTITAS UNIT!D35"")"),"#N/A")</f>
        <v>#N/A</v>
      </c>
    </row>
    <row r="55" spans="1:12" ht="49.5" hidden="1">
      <c r="A55" s="4" t="str">
        <v>Alternatif Periode ke-84 III.C.3</v>
      </c>
      <c r="B55" s="4" t="str">
        <v>Alternatif Periode ke-84</v>
      </c>
      <c r="C55" s="4" t="str">
        <v>III.C.3</v>
      </c>
      <c r="D55" s="101" t="str">
        <v>https://docs.google.com/spreadsheets/d/1CMFMHABfiex85dCoVLsKIT3_fLF_Y5oH1m-hjRkn91Q/edit?usp=sharing</v>
      </c>
      <c r="E55" s="101" t="str">
        <v>https://docs.google.com/spreadsheets/d/1CMFMHABfiex85dCoVLsKIT3_fLF_Y5oH1m-hjRkn91Q/edit#gid=0</v>
      </c>
      <c r="F55" s="103" t="str">
        <f ca="1">IFERROR(__xludf.DUMMYFUNCTION("IMPORTRANGE(E55,""IDENTITAS UNIT!D9"")"),"https://maps.app.goo.gl/U2n3PRoVXRkn7VkP8")</f>
        <v>https://maps.app.goo.gl/U2n3PRoVXRkn7VkP8</v>
      </c>
      <c r="G55" s="4" t="s">
        <v>12733</v>
      </c>
      <c r="J55" s="4" t="str">
        <v>RW 7, Notoprajan, Ngampilan</v>
      </c>
      <c r="L55" s="99" t="str">
        <f ca="1">IFERROR(__xludf.DUMMYFUNCTION("IMPORTRANGE(H55,""IDENTITAS UNIT!D35"")"),"#N/A")</f>
        <v>#N/A</v>
      </c>
    </row>
    <row r="56" spans="1:12" ht="99" hidden="1">
      <c r="A56" s="4" t="str">
        <v>Alternatif Periode ke-84 III.C.4</v>
      </c>
      <c r="B56" s="4" t="str">
        <v>Alternatif Periode ke-84</v>
      </c>
      <c r="C56" s="4" t="str">
        <v>III.C.4</v>
      </c>
      <c r="D56" s="101" t="str">
        <v>https://docs.google.com/spreadsheets/d/1Ljt-lgcOpgd1rE3OKtvbVNEF1-B63h7JpKmJS_G0DtU/edit?usp=sharing</v>
      </c>
      <c r="E56" s="101" t="str">
        <v>https://docs.google.com/spreadsheets/d/1Ljt-lgcOpgd1rE3OKtvbVNEF1-B63h7JpKmJS_G0DtU/edit#gid=0</v>
      </c>
      <c r="F56" s="102" t="str">
        <f ca="1">IFERROR(__xludf.DUMMYFUNCTION("IMPORTRANGE(E56,""IDENTITAS UNIT!D9"")"),"Jl. Suronatan 22-18, Notoprajan, Ngampilan, Kota Yogyakarta, Daerah Istimewa Yogyakarta 55262")</f>
        <v>Jl. Suronatan 22-18, Notoprajan, Ngampilan, Kota Yogyakarta, Daerah Istimewa Yogyakarta 55262</v>
      </c>
      <c r="G56" s="4" t="s">
        <v>12734</v>
      </c>
      <c r="J56" s="4" t="str">
        <v>RW 8, Notoprajan, Ngampilan</v>
      </c>
      <c r="L56" s="99" t="str">
        <f ca="1">IFERROR(__xludf.DUMMYFUNCTION("IMPORTRANGE(H56,""IDENTITAS UNIT!D35"")"),"#N/A")</f>
        <v>#N/A</v>
      </c>
    </row>
    <row r="57" spans="1:12" ht="49.5" hidden="1">
      <c r="A57" s="4" t="str">
        <v>Alternatif Periode ke-84 III.D.1</v>
      </c>
      <c r="B57" s="4" t="str">
        <v>Alternatif Periode ke-84</v>
      </c>
      <c r="C57" s="4" t="str">
        <v>III.D.1</v>
      </c>
      <c r="D57" s="101" t="str">
        <v>https://docs.google.com/spreadsheets/d/1tKqM1aTzQ7I8f6ncwehNxorI4OL67nR-0cPcq9IEHZE/edit?usp=sharing</v>
      </c>
      <c r="E57" s="101" t="str">
        <v>https://docs.google.com/spreadsheets/d/1tKqM1aTzQ7I8f6ncwehNxorI4OL67nR-0cPcq9IEHZE/edit#gid=0</v>
      </c>
      <c r="F57" s="103" t="str">
        <f ca="1">IFERROR(__xludf.DUMMYFUNCTION("IMPORTRANGE(E57,""IDENTITAS UNIT!D9"")"),"https://maps.app.goo.gl/Q4xYJNFEgZ6HweGM7")</f>
        <v>https://maps.app.goo.gl/Q4xYJNFEgZ6HweGM7</v>
      </c>
      <c r="G57" s="4" t="s">
        <v>12735</v>
      </c>
      <c r="J57" s="4" t="str">
        <v>RW 2, Kadipaten, Kraton</v>
      </c>
      <c r="L57" s="99" t="str">
        <f ca="1">IFERROR(__xludf.DUMMYFUNCTION("IMPORTRANGE(H57,""IDENTITAS UNIT!D35"")"),"#N/A")</f>
        <v>#N/A</v>
      </c>
    </row>
    <row r="58" spans="1:12" ht="33" hidden="1">
      <c r="A58" s="4" t="str">
        <v>Alternatif Periode ke-84 III.D.2</v>
      </c>
      <c r="B58" s="4" t="str">
        <v>Alternatif Periode ke-84</v>
      </c>
      <c r="C58" s="4" t="str">
        <v>III.D.2</v>
      </c>
      <c r="D58" s="101" t="str">
        <v>https://docs.google.com/spreadsheets/d/1CaV5OFRWvwBrRpGfp0vSeAMLH93QQMokzzePS-Py_G8/edit?usp=sharing</v>
      </c>
      <c r="E58" s="101" t="str">
        <v>https://docs.google.com/spreadsheets/d/1CaV5OFRWvwBrRpGfp0vSeAMLH93QQMokzzePS-Py_G8/edit#gid=0</v>
      </c>
      <c r="F58" s="103" t="str">
        <f ca="1">IFERROR(__xludf.DUMMYFUNCTION("IMPORTRANGE(E58,""IDENTITAS UNIT!D9"")"),"https://g.co/kgs/VVjfhg")</f>
        <v>https://g.co/kgs/VVjfhg</v>
      </c>
      <c r="G58" s="4" t="s">
        <v>12736</v>
      </c>
      <c r="J58" s="4" t="str">
        <v>RW 4, Kadipaten, Kraton</v>
      </c>
      <c r="L58" s="99" t="str">
        <f ca="1">IFERROR(__xludf.DUMMYFUNCTION("IMPORTRANGE(H58,""IDENTITAS UNIT!D35"")"),"#N/A")</f>
        <v>#N/A</v>
      </c>
    </row>
    <row r="59" spans="1:12" ht="49.5" hidden="1">
      <c r="A59" s="4" t="str">
        <v>Alternatif Periode ke-84 III.D.3</v>
      </c>
      <c r="B59" s="4" t="str">
        <v>Alternatif Periode ke-84</v>
      </c>
      <c r="C59" s="4" t="str">
        <v>III.D.3</v>
      </c>
      <c r="D59" s="101" t="str">
        <v>https://docs.google.com/spreadsheets/d/1AwW9NT6YP-AmXchbApbdn70E4F8OFCgIjQ6n7koJCD0/edit?usp=sharing</v>
      </c>
      <c r="E59" s="101" t="str">
        <v>https://docs.google.com/spreadsheets/d/1AwW9NT6YP-AmXchbApbdn70E4F8OFCgIjQ6n7koJCD0/edit#gid=0</v>
      </c>
      <c r="F59" s="103" t="str">
        <f ca="1">IFERROR(__xludf.DUMMYFUNCTION("IMPORTRANGE(E59,""IDENTITAS UNIT!D9"")"),"https://maps.app.goo.gl/mJdDJQdRohfCxcqX6 ")</f>
        <v xml:space="preserve">https://maps.app.goo.gl/mJdDJQdRohfCxcqX6 </v>
      </c>
      <c r="G59" s="4" t="s">
        <v>12737</v>
      </c>
      <c r="J59" s="4" t="str">
        <v>RW 7, Kadipaten, Kraton</v>
      </c>
      <c r="L59" s="99" t="str">
        <f ca="1">IFERROR(__xludf.DUMMYFUNCTION("IMPORTRANGE(H59,""IDENTITAS UNIT!D35"")"),"#N/A")</f>
        <v>#N/A</v>
      </c>
    </row>
    <row r="60" spans="1:12" ht="231" hidden="1">
      <c r="A60" s="4" t="str">
        <v>Alternatif Periode ke-84 IV.A.1</v>
      </c>
      <c r="B60" s="4" t="str">
        <v>Alternatif Periode ke-84</v>
      </c>
      <c r="C60" s="4" t="str">
        <v>IV.A.1</v>
      </c>
      <c r="D60" s="101" t="str">
        <v>https://docs.google.com/spreadsheets/d/1IkhgxPrRU82MJcUAj7-zT9MKALGy6DpfDtjnOT7djC8/edit?usp=sharing</v>
      </c>
      <c r="E60" s="101" t="str">
        <v>https://docs.google.com/spreadsheets/d/1IkhgxPrRU82MJcUAj7-zT9MKALGy6DpfDtjnOT7djC8/edit#gid=0</v>
      </c>
      <c r="F60" s="103" t="str">
        <f ca="1">IFERROR(__xludf.DUMMYFUNCTION("IMPORTRANGE(E60,""IDENTITAS UNIT!D9"")"),"https://www.google.com/maps/dir//59V5%2BHMJ,+Kadipaten,+Kecamatan+Kraton,+Kota+Yogyakarta,+Daerah+Istimewa+Yogyakarta+55132/@-7.8059937,110.289115,12z/data=!4m8!4m7!1m0!1m5!1m1!1s0x2e7a578b3d3745bd:0xe3cbbc8c118f9f35!2m2!1d110.3591556!2d-7.8059995")</f>
        <v>https://www.google.com/maps/dir//59V5%2BHMJ,+Kadipaten,+Kecamatan+Kraton,+Kota+Yogyakarta,+Daerah+Istimewa+Yogyakarta+55132/@-7.8059937,110.289115,12z/data=!4m8!4m7!1m0!1m5!1m1!1s0x2e7a578b3d3745bd:0xe3cbbc8c118f9f35!2m2!1d110.3591556!2d-7.8059995</v>
      </c>
      <c r="G60" s="4" t="s">
        <v>12738</v>
      </c>
      <c r="J60" s="4" t="str">
        <v>RW 8, Kadipaten, Kraton</v>
      </c>
      <c r="L60" s="99" t="str">
        <f ca="1">IFERROR(__xludf.DUMMYFUNCTION("IMPORTRANGE(H60,""IDENTITAS UNIT!D35"")"),"#N/A")</f>
        <v>#N/A</v>
      </c>
    </row>
    <row r="61" spans="1:12" ht="33" hidden="1">
      <c r="A61" s="4" t="str">
        <v>Alternatif Periode ke-84 IV.A.2</v>
      </c>
      <c r="B61" s="4" t="str">
        <v>Alternatif Periode ke-84</v>
      </c>
      <c r="C61" s="4" t="str">
        <v>IV.A.2</v>
      </c>
      <c r="D61" s="101" t="str">
        <v>https://docs.google.com/spreadsheets/d/1kh844CdPHfDcq7zmoZ_b7sjKyOsERJEfTDSosd9fBRU/edit?usp=sharing</v>
      </c>
      <c r="E61" s="101" t="str">
        <v>https://docs.google.com/spreadsheets/d/1kh844CdPHfDcq7zmoZ_b7sjKyOsERJEfTDSosd9fBRU/edit#gid=0</v>
      </c>
      <c r="F61" s="103" t="str">
        <f ca="1">IFERROR(__xludf.DUMMYFUNCTION("IMPORTRANGE(E61,""IDENTITAS UNIT!D9"")"),"https://g.co/kgs/RbAkQA")</f>
        <v>https://g.co/kgs/RbAkQA</v>
      </c>
      <c r="G61" s="4" t="s">
        <v>12739</v>
      </c>
      <c r="J61" s="4" t="str">
        <v>RW 9, Kadipaten, Kraton</v>
      </c>
      <c r="L61" s="99" t="str">
        <f ca="1">IFERROR(__xludf.DUMMYFUNCTION("IMPORTRANGE(H61,""IDENTITAS UNIT!D35"")"),"#N/A")</f>
        <v>#N/A</v>
      </c>
    </row>
    <row r="62" spans="1:12" ht="49.5" hidden="1">
      <c r="A62" s="4" t="str">
        <v>Alternatif Periode ke-84 IV.A.3</v>
      </c>
      <c r="B62" s="4" t="str">
        <v>Alternatif Periode ke-84</v>
      </c>
      <c r="C62" s="4" t="str">
        <v>IV.A.3</v>
      </c>
      <c r="D62" s="101" t="str">
        <v>https://docs.google.com/spreadsheets/d/1u3ydYXn7jjoGczqldwSU-Q7XHSS8keHbjbRvPqD5yvg/edit?usp=sharing</v>
      </c>
      <c r="E62" s="101" t="str">
        <v>https://docs.google.com/spreadsheets/d/1u3ydYXn7jjoGczqldwSU-Q7XHSS8keHbjbRvPqD5yvg/edit#gid=0</v>
      </c>
      <c r="F62" s="103" t="str">
        <f ca="1">IFERROR(__xludf.DUMMYFUNCTION("IMPORTRANGE(E62,""IDENTITAS UNIT!D9"")"),"https://goo.gl/maps/QfkdBfF98rf3h11N9 ")</f>
        <v xml:space="preserve">https://goo.gl/maps/QfkdBfF98rf3h11N9 </v>
      </c>
      <c r="G62" s="4" t="s">
        <v>12740</v>
      </c>
      <c r="J62" s="4" t="str">
        <v>RW 10, Kadipaten, Kraton</v>
      </c>
      <c r="L62" s="99" t="str">
        <f ca="1">IFERROR(__xludf.DUMMYFUNCTION("IMPORTRANGE(H62,""IDENTITAS UNIT!D35"")"),"#N/A")</f>
        <v>#N/A</v>
      </c>
    </row>
    <row r="63" spans="1:12" ht="115.5" hidden="1">
      <c r="A63" s="4" t="str">
        <v>Alternatif Periode ke-84 IV.B.1</v>
      </c>
      <c r="B63" s="4" t="str">
        <v>Alternatif Periode ke-84</v>
      </c>
      <c r="C63" s="4" t="str">
        <v>IV.B.1</v>
      </c>
      <c r="D63" s="101" t="str">
        <v>https://docs.google.com/spreadsheets/d/1CrHFHixT4a5ltdBQMyTC8-BNTWD32S809rVetEuK5Q0/edit?usp=sharing</v>
      </c>
      <c r="E63" s="101" t="str">
        <v>https://docs.google.com/spreadsheets/d/1CrHFHixT4a5ltdBQMyTC8-BNTWD32S809rVetEuK5Q0/edit#gid=0</v>
      </c>
      <c r="F63" s="102" t="str">
        <f ca="1">IFERROR(__xludf.DUMMYFUNCTION("IMPORTRANGE(E63,""IDENTITAS UNIT!D9"")"),"59V7+89J, Jl. Kemitbumen, Kadipaten, Kecamatan Kraton, Kota Yogyakarta, Daerah Istimewa Yogyakarta 55132")</f>
        <v>59V7+89J, Jl. Kemitbumen, Kadipaten, Kecamatan Kraton, Kota Yogyakarta, Daerah Istimewa Yogyakarta 55132</v>
      </c>
      <c r="G63" s="4" t="s">
        <v>12741</v>
      </c>
      <c r="J63" s="4" t="str">
        <v>RW 12, Kadipaten, Kraton</v>
      </c>
      <c r="L63" s="99" t="str">
        <f ca="1">IFERROR(__xludf.DUMMYFUNCTION("IMPORTRANGE(H63,""IDENTITAS UNIT!D35"")"),"#N/A")</f>
        <v>#N/A</v>
      </c>
    </row>
    <row r="64" spans="1:12" ht="49.5" hidden="1">
      <c r="A64" s="4" t="str">
        <v>Alternatif Periode ke-84 IV.B.2</v>
      </c>
      <c r="B64" s="4" t="str">
        <v>Alternatif Periode ke-84</v>
      </c>
      <c r="C64" s="4" t="str">
        <v>IV.B.2</v>
      </c>
      <c r="D64" s="101" t="str">
        <v>https://docs.google.com/spreadsheets/d/10CETA8Tx5g2bYkmtdBoA79NYoAe7ZizCUArcBQ63XsI/edit?usp=sharing</v>
      </c>
      <c r="E64" s="101" t="str">
        <v>https://docs.google.com/spreadsheets/d/10CETA8Tx5g2bYkmtdBoA79NYoAe7ZizCUArcBQ63XsI/edit#gid=0</v>
      </c>
      <c r="F64" s="103" t="str">
        <f ca="1">IFERROR(__xludf.DUMMYFUNCTION("IMPORTRANGE(E64,""IDENTITAS UNIT!D9"")"),"https://goo.gl/maps/Rvyt8hnu4SUQEK1S8")</f>
        <v>https://goo.gl/maps/Rvyt8hnu4SUQEK1S8</v>
      </c>
      <c r="G64" s="4" t="s">
        <v>12742</v>
      </c>
      <c r="J64" s="4" t="str">
        <v>RW 3, Patehan, Kraton</v>
      </c>
      <c r="L64" s="99" t="str">
        <f ca="1">IFERROR(__xludf.DUMMYFUNCTION("IMPORTRANGE(H64,""IDENTITAS UNIT!D35"")"),"#N/A")</f>
        <v>#N/A</v>
      </c>
    </row>
    <row r="65" spans="1:12" ht="49.5" hidden="1">
      <c r="A65" s="4" t="str">
        <v>Alternatif Periode ke-84 IV.B.3</v>
      </c>
      <c r="B65" s="4" t="str">
        <v>Alternatif Periode ke-84</v>
      </c>
      <c r="C65" s="4" t="str">
        <v>IV.B.3</v>
      </c>
      <c r="D65" s="101" t="str">
        <v>https://docs.google.com/spreadsheets/d/1NhTToGQ9cAKjYeEJfPeDGcsNE56h6SJh3yY5KqJsgxQ/edit?usp=sharing</v>
      </c>
      <c r="E65" s="101" t="str">
        <v>https://docs.google.com/spreadsheets/d/1NhTToGQ9cAKjYeEJfPeDGcsNE56h6SJh3yY5KqJsgxQ/edit#gid=0</v>
      </c>
      <c r="F65" s="103" t="str">
        <f ca="1">IFERROR(__xludf.DUMMYFUNCTION("IMPORTRANGE(E65,""IDENTITAS UNIT!D9"")"),"https://maps.app.goo.gl/Pb6ERW2NSDkn2hNv5")</f>
        <v>https://maps.app.goo.gl/Pb6ERW2NSDkn2hNv5</v>
      </c>
      <c r="G65" s="4" t="s">
        <v>12743</v>
      </c>
      <c r="J65" s="4" t="str">
        <v>RW 5, Patehan, Kraton</v>
      </c>
      <c r="L65" s="99" t="str">
        <f ca="1">IFERROR(__xludf.DUMMYFUNCTION("IMPORTRANGE(H65,""IDENTITAS UNIT!D35"")"),"#N/A")</f>
        <v>#N/A</v>
      </c>
    </row>
    <row r="66" spans="1:12" ht="49.5" hidden="1">
      <c r="A66" s="4" t="str">
        <v>Alternatif Periode ke-84 IV.C.1</v>
      </c>
      <c r="B66" s="4" t="str">
        <v>Alternatif Periode ke-84</v>
      </c>
      <c r="C66" s="4" t="str">
        <v>IV.C.1</v>
      </c>
      <c r="D66" s="101" t="str">
        <v>https://docs.google.com/spreadsheets/d/1Vmu3dLndfXiswE23zjgbhUgs3aEH1--FP8pVMd86Xt0/edit?usp=sharing</v>
      </c>
      <c r="E66" s="101" t="str">
        <v>https://docs.google.com/spreadsheets/d/1Vmu3dLndfXiswE23zjgbhUgs3aEH1--FP8pVMd86Xt0/edit#gid=0</v>
      </c>
      <c r="F66" s="103" t="str">
        <f ca="1">IFERROR(__xludf.DUMMYFUNCTION("IMPORTRANGE(E66,""IDENTITAS UNIT!D9"")"),"https://maps.app.goo.gl/EYdh246RbuR8o7Fn6")</f>
        <v>https://maps.app.goo.gl/EYdh246RbuR8o7Fn6</v>
      </c>
      <c r="G66" s="4" t="s">
        <v>12744</v>
      </c>
      <c r="J66" s="4" t="str">
        <v>RW 7, Patehan, Kraton</v>
      </c>
      <c r="L66" s="99" t="str">
        <f ca="1">IFERROR(__xludf.DUMMYFUNCTION("IMPORTRANGE(H66,""IDENTITAS UNIT!D35"")"),"#N/A")</f>
        <v>#N/A</v>
      </c>
    </row>
    <row r="67" spans="1:12" ht="49.5" hidden="1">
      <c r="A67" s="4" t="str">
        <v>Alternatif Periode ke-84 IV.C.2</v>
      </c>
      <c r="B67" s="4" t="str">
        <v>Alternatif Periode ke-84</v>
      </c>
      <c r="C67" s="4" t="str">
        <v>IV.C.2</v>
      </c>
      <c r="D67" s="101" t="str">
        <v>https://docs.google.com/spreadsheets/d/1yQu_8qKdWU1iAVHxM6pd5K6Hl6M5VlhvsRoz6YD3MoM/edit?usp=sharing</v>
      </c>
      <c r="E67" s="101" t="str">
        <v>https://docs.google.com/spreadsheets/d/1yQu_8qKdWU1iAVHxM6pd5K6Hl6M5VlhvsRoz6YD3MoM/edit#gid=0</v>
      </c>
      <c r="F67" s="103" t="str">
        <f ca="1">IFERROR(__xludf.DUMMYFUNCTION("IMPORTRANGE(E67,""IDENTITAS UNIT!D9"")"),"https://maps.app.goo.gl/5hMBo6hMJ8Jizgai6")</f>
        <v>https://maps.app.goo.gl/5hMBo6hMJ8Jizgai6</v>
      </c>
      <c r="G67" s="4" t="s">
        <v>12745</v>
      </c>
      <c r="J67" s="4" t="str">
        <v>RW 8, Patehan, Kraton</v>
      </c>
      <c r="L67" s="99" t="str">
        <f ca="1">IFERROR(__xludf.DUMMYFUNCTION("IMPORTRANGE(H67,""IDENTITAS UNIT!D35"")"),"#N/A")</f>
        <v>#N/A</v>
      </c>
    </row>
    <row r="68" spans="1:12" ht="49.5" hidden="1">
      <c r="A68" s="4" t="str">
        <v>Alternatif Periode ke-84 IV.C.3</v>
      </c>
      <c r="B68" s="4" t="str">
        <v>Alternatif Periode ke-84</v>
      </c>
      <c r="C68" s="4" t="str">
        <v>IV.C.3</v>
      </c>
      <c r="D68" s="101" t="str">
        <v>https://docs.google.com/spreadsheets/d/13rErnlCfxCiEtKMsQYLHvTwpmTRCXnNTzRIbjNzdOEE/edit?usp=sharing</v>
      </c>
      <c r="E68" s="101" t="str">
        <v>https://docs.google.com/spreadsheets/d/13rErnlCfxCiEtKMsQYLHvTwpmTRCXnNTzRIbjNzdOEE/edit#gid=0</v>
      </c>
      <c r="F68" s="103" t="str">
        <f ca="1">IFERROR(__xludf.DUMMYFUNCTION("IMPORTRANGE(E68,""IDENTITAS UNIT!D9"")"),"https://goo.gl/maps/6hcFDdkJNG5ktbSQ8")</f>
        <v>https://goo.gl/maps/6hcFDdkJNG5ktbSQ8</v>
      </c>
      <c r="G68" s="104" t="s">
        <v>12746</v>
      </c>
      <c r="J68" s="4" t="str">
        <v>RW 9, Patehan, Kraton</v>
      </c>
      <c r="L68" s="99" t="str">
        <f ca="1">IFERROR(__xludf.DUMMYFUNCTION("IMPORTRANGE(H68,""IDENTITAS UNIT!D35"")"),"#N/A")</f>
        <v>#N/A</v>
      </c>
    </row>
    <row r="69" spans="1:12" ht="49.5" hidden="1">
      <c r="A69" s="4" t="str">
        <v>Alternatif Periode ke-84 IV.D.1</v>
      </c>
      <c r="B69" s="4" t="str">
        <v>Alternatif Periode ke-84</v>
      </c>
      <c r="C69" s="4" t="str">
        <v>IV.D.1</v>
      </c>
      <c r="D69" s="101" t="str">
        <v>https://docs.google.com/spreadsheets/d/15OGdoWojUHNFXiDfeU2kwF8VcDtq9WwspbU5tyRVpak/edit?usp=sharing</v>
      </c>
      <c r="E69" s="101" t="str">
        <v>https://docs.google.com/spreadsheets/d/15OGdoWojUHNFXiDfeU2kwF8VcDtq9WwspbU5tyRVpak/edit#gid=0</v>
      </c>
      <c r="F69" s="103" t="str">
        <f ca="1">IFERROR(__xludf.DUMMYFUNCTION("IMPORTRANGE(E69,""IDENTITAS UNIT!D9"")"),"https://maps.app.goo.gl/4FpPbGLZ4jQBPTAg8")</f>
        <v>https://maps.app.goo.gl/4FpPbGLZ4jQBPTAg8</v>
      </c>
      <c r="G69" s="4" t="s">
        <v>12747</v>
      </c>
      <c r="J69" s="4" t="str">
        <v>RW 3, Panembahan, Kraton</v>
      </c>
      <c r="L69" s="99" t="str">
        <f ca="1">IFERROR(__xludf.DUMMYFUNCTION("IMPORTRANGE(H69,""IDENTITAS UNIT!D35"")"),"#N/A")</f>
        <v>#N/A</v>
      </c>
    </row>
    <row r="70" spans="1:12" ht="82.5" hidden="1">
      <c r="A70" s="4" t="str">
        <v>Alternatif Periode ke-84 IV.D.2</v>
      </c>
      <c r="B70" s="4" t="str">
        <v>Alternatif Periode ke-84</v>
      </c>
      <c r="C70" s="4" t="str">
        <v>IV.D.2</v>
      </c>
      <c r="D70" s="101" t="str">
        <v>https://docs.google.com/spreadsheets/d/1NAIDQDsM6unWiU0ohgUaoju3HNaPnjI6fV2f5jzrVy8/edit?usp=sharing</v>
      </c>
      <c r="E70" s="101" t="str">
        <v>https://docs.google.com/spreadsheets/d/1NAIDQDsM6unWiU0ohgUaoju3HNaPnjI6fV2f5jzrVy8/edit#gid=0</v>
      </c>
      <c r="F70" s="102" t="str">
        <f ca="1">IFERROR(__xludf.DUMMYFUNCTION("IMPORTRANGE(E70,""IDENTITAS UNIT!D9"")"),"Masjid Margo Rahayu
https://maps.app.goo.gl/nQcF4g6bFbKw5Zsp7")</f>
        <v>Masjid Margo Rahayu
https://maps.app.goo.gl/nQcF4g6bFbKw5Zsp7</v>
      </c>
      <c r="G70" s="4" t="s">
        <v>12748</v>
      </c>
      <c r="J70" s="4" t="str">
        <v>RW 5, Panembahan, Kraton</v>
      </c>
      <c r="L70" s="99" t="str">
        <f ca="1">IFERROR(__xludf.DUMMYFUNCTION("IMPORTRANGE(H70,""IDENTITAS UNIT!D35"")"),"#N/A")</f>
        <v>#N/A</v>
      </c>
    </row>
    <row r="71" spans="1:12" ht="49.5" hidden="1">
      <c r="A71" s="4" t="str">
        <v>Alternatif Periode ke-84 IV.D.3</v>
      </c>
      <c r="B71" s="4" t="str">
        <v>Alternatif Periode ke-84</v>
      </c>
      <c r="C71" s="4" t="str">
        <v>IV.D.3</v>
      </c>
      <c r="D71" s="101" t="str">
        <v>https://docs.google.com/spreadsheets/d/1OWG1BeOI8lxmu5iERIoMZTenARVLf4fLsCsp-eie52s/edit?usp=sharing</v>
      </c>
      <c r="E71" s="101" t="str">
        <v>https://docs.google.com/spreadsheets/d/1OWG1BeOI8lxmu5iERIoMZTenARVLf4fLsCsp-eie52s/edit#gid=0</v>
      </c>
      <c r="F71" s="103" t="str">
        <f ca="1">IFERROR(__xludf.DUMMYFUNCTION("IMPORTRANGE(E71,""IDENTITAS UNIT!D9"")"),"https://maps.app.goo.gl/ZihFvefTNUQfdSrt9")</f>
        <v>https://maps.app.goo.gl/ZihFvefTNUQfdSrt9</v>
      </c>
      <c r="G71" s="4" t="s">
        <v>12749</v>
      </c>
      <c r="J71" s="4" t="str">
        <v>RW 10, Panembahan, Kraton</v>
      </c>
      <c r="L71" s="99" t="str">
        <f ca="1">IFERROR(__xludf.DUMMYFUNCTION("IMPORTRANGE(H71,""IDENTITAS UNIT!D35"")"),"#N/A")</f>
        <v>#N/A</v>
      </c>
    </row>
    <row r="72" spans="1:12" ht="49.5" hidden="1">
      <c r="A72" s="4" t="str">
        <v>Alternatif Periode ke-84 IV.D.4</v>
      </c>
      <c r="B72" s="4" t="str">
        <v>Alternatif Periode ke-84</v>
      </c>
      <c r="C72" s="4" t="str">
        <v>IV.D.4</v>
      </c>
      <c r="D72" s="101" t="str">
        <v>https://docs.google.com/spreadsheets/d/1sl21ob5CwA2C6Z6MtX2jkH3TdulxFTTFLsQXA5H5YxM/edit?usp=sharing</v>
      </c>
      <c r="E72" s="101" t="str">
        <v>https://docs.google.com/spreadsheets/d/1sl21ob5CwA2C6Z6MtX2jkH3TdulxFTTFLsQXA5H5YxM/edit#gid=0</v>
      </c>
      <c r="F72" s="103" t="str">
        <f ca="1">IFERROR(__xludf.DUMMYFUNCTION("IMPORTRANGE(E72,""IDENTITAS UNIT!D9"")"),"https://maps.app.goo.gl/ney7iGvtWQK2S1Ry5")</f>
        <v>https://maps.app.goo.gl/ney7iGvtWQK2S1Ry5</v>
      </c>
      <c r="G72" s="4" t="s">
        <v>12750</v>
      </c>
      <c r="J72" s="4" t="str">
        <v>RW 11, Panembahan, Kraton</v>
      </c>
      <c r="L72" s="99" t="str">
        <f ca="1">IFERROR(__xludf.DUMMYFUNCTION("IMPORTRANGE(H72,""IDENTITAS UNIT!D35"")"),"#N/A")</f>
        <v>#N/A</v>
      </c>
    </row>
    <row r="73" spans="1:12" ht="49.5" hidden="1">
      <c r="A73" s="4" t="str">
        <v>Alternatif Periode ke-84 V.A.1</v>
      </c>
      <c r="B73" s="4" t="str">
        <v>Alternatif Periode ke-84</v>
      </c>
      <c r="C73" s="4" t="str">
        <v>V.A.1</v>
      </c>
      <c r="D73" s="101" t="str">
        <v>https://docs.google.com/spreadsheets/d/1fWJXBlSF9tS6mBFQIHZtQjPBGhMPQDbMuP5K4wPmhjs/edit?usp=sharing</v>
      </c>
      <c r="E73" s="101" t="str">
        <v>https://docs.google.com/spreadsheets/d/1fWJXBlSF9tS6mBFQIHZtQjPBGhMPQDbMuP5K4wPmhjs/edit#gid=0</v>
      </c>
      <c r="F73" s="103" t="str">
        <f ca="1">IFERROR(__xludf.DUMMYFUNCTION("IMPORTRANGE(E73,""IDENTITAS UNIT!D9"")"),"
https://maps.app.goo.gl/qw2yXtnUYRTQ8nLi8")</f>
        <v xml:space="preserve">
https://maps.app.goo.gl/qw2yXtnUYRTQ8nLi8</v>
      </c>
      <c r="G73" s="4" t="s">
        <v>12751</v>
      </c>
      <c r="J73" s="4" t="str">
        <v>RW 13, Panembahan, Kraton</v>
      </c>
      <c r="L73" s="99" t="str">
        <f ca="1">IFERROR(__xludf.DUMMYFUNCTION("IMPORTRANGE(H73,""IDENTITAS UNIT!D35"")"),"#N/A")</f>
        <v>#N/A</v>
      </c>
    </row>
    <row r="74" spans="1:12" ht="49.5" hidden="1">
      <c r="A74" s="4" t="str">
        <v>Alternatif Periode ke-84 V.A.2</v>
      </c>
      <c r="B74" s="4" t="str">
        <v>Alternatif Periode ke-84</v>
      </c>
      <c r="C74" s="4" t="str">
        <v>V.A.2</v>
      </c>
      <c r="D74" s="101" t="str">
        <v>https://docs.google.com/spreadsheets/d/1ldFXH30qfVlDiWGF7pYEMZZV2e-Q9rsJo6VEhFBDdrI/edit?usp=sharing</v>
      </c>
      <c r="E74" s="101" t="str">
        <v>https://docs.google.com/spreadsheets/d/1ldFXH30qfVlDiWGF7pYEMZZV2e-Q9rsJo6VEhFBDdrI/edit#gid=0</v>
      </c>
      <c r="F74" s="103" t="str">
        <f ca="1">IFERROR(__xludf.DUMMYFUNCTION("IMPORTRANGE(E74,""IDENTITAS UNIT!D9"")"),"https://maps.app.goo.gl/ZYDJzJyPGkc2TASy6")</f>
        <v>https://maps.app.goo.gl/ZYDJzJyPGkc2TASy6</v>
      </c>
      <c r="G74" s="4" t="s">
        <v>12752</v>
      </c>
      <c r="J74" s="4" t="str">
        <v>RW 16, Panembahan, Kraton</v>
      </c>
      <c r="L74" s="99" t="str">
        <f ca="1">IFERROR(__xludf.DUMMYFUNCTION("IMPORTRANGE(H74,""IDENTITAS UNIT!D35"")"),"#N/A")</f>
        <v>#N/A</v>
      </c>
    </row>
    <row r="75" spans="1:12" ht="49.5" hidden="1">
      <c r="A75" s="4" t="str">
        <v>Alternatif Periode ke-84 V.A.3</v>
      </c>
      <c r="B75" s="4" t="str">
        <v>Alternatif Periode ke-84</v>
      </c>
      <c r="C75" s="4" t="str">
        <v>V.A.3</v>
      </c>
      <c r="D75" s="101" t="str">
        <v>https://docs.google.com/spreadsheets/d/1sQ40EaQXDWo9yWHueA9ZH28131agLuj7MnD-Sq7wbJI/edit?usp=sharing</v>
      </c>
      <c r="E75" s="101" t="str">
        <v>https://docs.google.com/spreadsheets/d/1sQ40EaQXDWo9yWHueA9ZH28131agLuj7MnD-Sq7wbJI/edit#gid=0</v>
      </c>
      <c r="F75" s="103" t="str">
        <f ca="1">IFERROR(__xludf.DUMMYFUNCTION("IMPORTRANGE(E75,""IDENTITAS UNIT!D9"")"),"https://maps.app.goo.gl/oyWVWfwRX74NYCr26")</f>
        <v>https://maps.app.goo.gl/oyWVWfwRX74NYCr26</v>
      </c>
      <c r="G75" s="4" t="s">
        <v>12753</v>
      </c>
      <c r="J75" s="4" t="str">
        <v>RW 17, Panembahan, Kraton</v>
      </c>
      <c r="L75" s="99" t="str">
        <f ca="1">IFERROR(__xludf.DUMMYFUNCTION("IMPORTRANGE(H75,""IDENTITAS UNIT!D35"")"),"#N/A")</f>
        <v>#N/A</v>
      </c>
    </row>
    <row r="76" spans="1:12" ht="33" hidden="1">
      <c r="A76" s="4" t="str">
        <v>Alternatif Periode ke-84 V.B.1</v>
      </c>
      <c r="B76" s="31" t="str">
        <v>Alternatif Periode ke-84</v>
      </c>
      <c r="C76" s="4" t="str">
        <v>V.B.1</v>
      </c>
      <c r="D76" s="101" t="str">
        <v>https://docs.google.com/spreadsheets/d/1xQ7X23W5bprtCNGPNsX8mcA_ZLrBnEPDjNTe0J8h6l8/edit?usp=sharing</v>
      </c>
      <c r="E76" s="101" t="str">
        <v>https://docs.google.com/spreadsheets/d/1xQ7X23W5bprtCNGPNsX8mcA_ZLrBnEPDjNTe0J8h6l8/edit#gid=0</v>
      </c>
      <c r="F76" s="103" t="str">
        <f ca="1">IFERROR(__xludf.DUMMYFUNCTION("IMPORTRANGE(E76,""IDENTITAS UNIT!D9"")"),"https://g.co/kgs/sb8xGT")</f>
        <v>https://g.co/kgs/sb8xGT</v>
      </c>
      <c r="G76" s="4" t="s">
        <v>12754</v>
      </c>
      <c r="J76" s="4" t="str">
        <v>RW 2, Bausasran , Danurejan</v>
      </c>
      <c r="L76" s="99" t="str">
        <f ca="1">IFERROR(__xludf.DUMMYFUNCTION("IMPORTRANGE(H76,""IDENTITAS UNIT!D35"")"),"#N/A")</f>
        <v>#N/A</v>
      </c>
    </row>
    <row r="77" spans="1:12" ht="16.5" hidden="1">
      <c r="A77" s="4" t="str">
        <v>Alternatif Periode ke-84 V.B.2</v>
      </c>
      <c r="B77" s="31" t="str">
        <v>Alternatif Periode ke-84</v>
      </c>
      <c r="C77" s="4" t="str">
        <v>V.B.2</v>
      </c>
      <c r="D77" s="101" t="str">
        <v>https://docs.google.com/spreadsheets/d/1FQS5z-zo9dBOl2aEsvxYAe7QZrugXeyAb5Dbbhu2zHc/edit?usp=sharing</v>
      </c>
      <c r="E77" s="101" t="str">
        <v>https://docs.google.com/spreadsheets/d/1FQS5z-zo9dBOl2aEsvxYAe7QZrugXeyAb5Dbbhu2zHc/edit#gid=0</v>
      </c>
      <c r="F77" s="102" t="str">
        <f ca="1">IFERROR(__xludf.DUMMYFUNCTION("IMPORTRANGE(E77,""IDENTITAS UNIT!D9"")"),"")</f>
        <v/>
      </c>
      <c r="J77" s="4" t="str">
        <v>RW 4, Bausasran , Danurejan</v>
      </c>
      <c r="L77" s="99" t="str">
        <f ca="1">IFERROR(__xludf.DUMMYFUNCTION("IMPORTRANGE(H77,""IDENTITAS UNIT!D35"")"),"#N/A")</f>
        <v>#N/A</v>
      </c>
    </row>
    <row r="78" spans="1:12" ht="49.5" hidden="1">
      <c r="A78" s="4" t="str">
        <v>Alternatif Periode ke-84 V.B.3</v>
      </c>
      <c r="B78" s="31" t="str">
        <v>Alternatif Periode ke-84</v>
      </c>
      <c r="C78" s="4" t="str">
        <v>V.B.3</v>
      </c>
      <c r="D78" s="101" t="str">
        <v>https://docs.google.com/spreadsheets/d/13hrtWhGH1L0V8pdKWX6OKx0XoRGg1xp7PRoQReBLuQE/edit?usp=sharing</v>
      </c>
      <c r="E78" s="101" t="str">
        <v>https://docs.google.com/spreadsheets/d/13hrtWhGH1L0V8pdKWX6OKx0XoRGg1xp7PRoQReBLuQE/edit#gid=0</v>
      </c>
      <c r="F78" s="103" t="str">
        <f ca="1">IFERROR(__xludf.DUMMYFUNCTION("IMPORTRANGE(E78,""IDENTITAS UNIT!D9"")"),"https://maps.app.goo.gl/6wrCJK4pTLn2HJ7z8")</f>
        <v>https://maps.app.goo.gl/6wrCJK4pTLn2HJ7z8</v>
      </c>
      <c r="G78" s="4" t="s">
        <v>12755</v>
      </c>
      <c r="J78" s="4" t="str">
        <v>RW 6, Bausasran , Danurejan</v>
      </c>
      <c r="L78" s="99" t="str">
        <f ca="1">IFERROR(__xludf.DUMMYFUNCTION("IMPORTRANGE(H78,""IDENTITAS UNIT!D35"")"),"#N/A")</f>
        <v>#N/A</v>
      </c>
    </row>
    <row r="79" spans="1:12" ht="49.5" hidden="1">
      <c r="A79" s="4" t="str">
        <v>Alternatif Periode ke-84 V.C.1</v>
      </c>
      <c r="B79" s="4" t="str">
        <v>Alternatif Periode ke-84</v>
      </c>
      <c r="C79" s="4" t="str">
        <v>V.C.1</v>
      </c>
      <c r="D79" s="101" t="str">
        <v>https://docs.google.com/spreadsheets/d/16DJIlBw0Nb8RHzD_rV1mW0P61Ka_VUA33vdK-unwrRc/edit?usp=sharing</v>
      </c>
      <c r="E79" s="101" t="str">
        <v>https://docs.google.com/spreadsheets/d/16DJIlBw0Nb8RHzD_rV1mW0P61Ka_VUA33vdK-unwrRc/edit#gid=0</v>
      </c>
      <c r="F79" s="103" t="str">
        <f ca="1">IFERROR(__xludf.DUMMYFUNCTION("IMPORTRANGE(E79,""IDENTITAS UNIT!D9"")"),"https://maps.app.goo.gl/iJF2UMynNN4w2nhU7?g_st=iw")</f>
        <v>https://maps.app.goo.gl/iJF2UMynNN4w2nhU7?g_st=iw</v>
      </c>
      <c r="G79" s="4" t="s">
        <v>12756</v>
      </c>
      <c r="J79" s="4" t="str">
        <v>RW 5, Bausasran , Danurejan</v>
      </c>
      <c r="L79" s="99" t="str">
        <f ca="1">IFERROR(__xludf.DUMMYFUNCTION("IMPORTRANGE(H79,""IDENTITAS UNIT!D35"")"),"#N/A")</f>
        <v>#N/A</v>
      </c>
    </row>
    <row r="80" spans="1:12" ht="49.5" hidden="1">
      <c r="A80" s="4" t="str">
        <v>Alternatif Periode ke-84 V.C.2</v>
      </c>
      <c r="B80" s="4" t="str">
        <v>Alternatif Periode ke-84</v>
      </c>
      <c r="C80" s="4" t="str">
        <v>V.C.2</v>
      </c>
      <c r="D80" s="101" t="str">
        <v>https://docs.google.com/spreadsheets/d/1Bla9-F0_9NEvH6RIKSx0MN5G8lakCSlubgPSo75sIjQ/edit?usp=sharing</v>
      </c>
      <c r="E80" s="101" t="str">
        <v>https://docs.google.com/spreadsheets/d/1Bla9-F0_9NEvH6RIKSx0MN5G8lakCSlubgPSo75sIjQ/edit#gid=0</v>
      </c>
      <c r="F80" s="103" t="str">
        <f ca="1">IFERROR(__xludf.DUMMYFUNCTION("IMPORTRANGE(E80,""IDENTITAS UNIT!D9"")"),"https://maps.app.goo.gl/tkCNzu2XJ1cjQYJC6")</f>
        <v>https://maps.app.goo.gl/tkCNzu2XJ1cjQYJC6</v>
      </c>
      <c r="G80" s="4" t="s">
        <v>12757</v>
      </c>
      <c r="J80" s="4" t="str">
        <v>RW 5, Bausasran , Danurejan</v>
      </c>
      <c r="L80" s="99" t="str">
        <f ca="1">IFERROR(__xludf.DUMMYFUNCTION("IMPORTRANGE(H80,""IDENTITAS UNIT!D35"")"),"#N/A")</f>
        <v>#N/A</v>
      </c>
    </row>
    <row r="81" spans="1:12" ht="49.5" hidden="1">
      <c r="A81" s="4" t="str">
        <v>Alternatif Periode ke-84 V.C.3</v>
      </c>
      <c r="B81" s="4" t="str">
        <v>Alternatif Periode ke-84</v>
      </c>
      <c r="C81" s="4" t="str">
        <v>V.C.3</v>
      </c>
      <c r="D81" s="101" t="str">
        <v>https://docs.google.com/spreadsheets/d/1RMacLAUtlfrJ0QjHYYDO9GgdOjD5dz4ZQ9dW0ji9xQY/edit?usp=sharing</v>
      </c>
      <c r="E81" s="101" t="str">
        <v>https://docs.google.com/spreadsheets/d/1RMacLAUtlfrJ0QjHYYDO9GgdOjD5dz4ZQ9dW0ji9xQY/edit#gid=0</v>
      </c>
      <c r="F81" s="103" t="str">
        <f ca="1">IFERROR(__xludf.DUMMYFUNCTION("IMPORTRANGE(E81,""IDENTITAS UNIT!D9"")"),"https://maps.app.goo.gl/TPL9PnQVMiHfM7Cj6?g_st=iw")</f>
        <v>https://maps.app.goo.gl/TPL9PnQVMiHfM7Cj6?g_st=iw</v>
      </c>
      <c r="G81" s="104" t="s">
        <v>12758</v>
      </c>
      <c r="J81" s="4" t="str">
        <v>RW 7, Bausasran , Danurejan</v>
      </c>
      <c r="L81" s="99" t="str">
        <f ca="1">IFERROR(__xludf.DUMMYFUNCTION("IMPORTRANGE(H81,""IDENTITAS UNIT!D35"")"),"#N/A")</f>
        <v>#N/A</v>
      </c>
    </row>
    <row r="82" spans="1:12" ht="115.5" hidden="1">
      <c r="A82" s="4" t="str">
        <v>Alternatif Periode ke-84 V.D.1</v>
      </c>
      <c r="B82" s="4" t="str">
        <v>Alternatif Periode ke-84</v>
      </c>
      <c r="C82" s="4" t="str">
        <v>V.D.1</v>
      </c>
      <c r="D82" s="101" t="str">
        <v>https://docs.google.com/spreadsheets/d/1o8FZaCsvodB69vWRZJS8nYL-5tVtDdmo4upTGixxcao/edit?usp=sharing</v>
      </c>
      <c r="E82" s="101" t="str">
        <v>https://docs.google.com/spreadsheets/d/1o8FZaCsvodB69vWRZJS8nYL-5tVtDdmo4upTGixxcao/edit#gid=0</v>
      </c>
      <c r="F82" s="102" t="str">
        <f ca="1">IFERROR(__xludf.DUMMYFUNCTION("IMPORTRANGE(E82,""IDENTITAS UNIT!D9"")"),"Bausasran Dn3/819 035/009, Bausasran, Kec. Danurejan, Kota Yogyakarta, Daerah Istimewa Yogyakarta 55211")</f>
        <v>Bausasran Dn3/819 035/009, Bausasran, Kec. Danurejan, Kota Yogyakarta, Daerah Istimewa Yogyakarta 55211</v>
      </c>
      <c r="G82" s="4" t="s">
        <v>12759</v>
      </c>
      <c r="J82" s="4" t="str">
        <v>RW 9, Bausasran , Danurejan</v>
      </c>
      <c r="L82" s="99" t="str">
        <f ca="1">IFERROR(__xludf.DUMMYFUNCTION("IMPORTRANGE(H82,""IDENTITAS UNIT!D35"")"),"#N/A")</f>
        <v>#N/A</v>
      </c>
    </row>
    <row r="83" spans="1:12" ht="49.5" hidden="1">
      <c r="A83" s="4" t="str">
        <v>Alternatif Periode ke-84 V.D.2</v>
      </c>
      <c r="B83" s="4" t="str">
        <v>Alternatif Periode ke-84</v>
      </c>
      <c r="C83" s="4" t="str">
        <v>V.D.2</v>
      </c>
      <c r="D83" s="101" t="str">
        <v>https://docs.google.com/spreadsheets/d/1ELYs3wkwB6uDtrPxadWcD_X8PSli0ejfpeCOxYJ5iTU/edit?usp=sharing</v>
      </c>
      <c r="E83" s="101" t="str">
        <v>https://docs.google.com/spreadsheets/d/1ELYs3wkwB6uDtrPxadWcD_X8PSli0ejfpeCOxYJ5iTU/edit#gid=0</v>
      </c>
      <c r="F83" s="103" t="str">
        <f ca="1">IFERROR(__xludf.DUMMYFUNCTION("IMPORTRANGE(E83,""IDENTITAS UNIT!D9"")"),"https://maps.app.goo.gl/PT4BJFEQGi5mBdkBA")</f>
        <v>https://maps.app.goo.gl/PT4BJFEQGi5mBdkBA</v>
      </c>
      <c r="G83" s="4" t="s">
        <v>12760</v>
      </c>
      <c r="J83" s="4" t="str">
        <v>RW 11, Bausasran , Danurejan</v>
      </c>
      <c r="L83" s="99" t="str">
        <f ca="1">IFERROR(__xludf.DUMMYFUNCTION("IMPORTRANGE(H83,""IDENTITAS UNIT!D35"")"),"#N/A")</f>
        <v>#N/A</v>
      </c>
    </row>
    <row r="84" spans="1:12" ht="49.5" hidden="1">
      <c r="A84" s="4" t="str">
        <v>Alternatif Periode ke-84 V.D.3</v>
      </c>
      <c r="B84" s="4" t="str">
        <v>Alternatif Periode ke-84</v>
      </c>
      <c r="C84" s="4" t="str">
        <v>V.D.3</v>
      </c>
      <c r="D84" s="101" t="str">
        <v>https://docs.google.com/spreadsheets/d/1J__KrQBj7f9jahY4-LsPYNH1CTvwEdeUymvj4XRzAKI/edit?usp=sharing</v>
      </c>
      <c r="E84" s="101" t="str">
        <v>https://docs.google.com/spreadsheets/d/1J__KrQBj7f9jahY4-LsPYNH1CTvwEdeUymvj4XRzAKI/edit#gid=0</v>
      </c>
      <c r="F84" s="103" t="str">
        <f ca="1">IFERROR(__xludf.DUMMYFUNCTION("IMPORTRANGE(E84,""IDENTITAS UNIT!D9"")"),"https://maps.app.goo.gl/gYKdcE1bWsbYX6PX8?g_st=iw")</f>
        <v>https://maps.app.goo.gl/gYKdcE1bWsbYX6PX8?g_st=iw</v>
      </c>
      <c r="G84" s="4" t="s">
        <v>12761</v>
      </c>
      <c r="J84" s="4" t="str">
        <v>RW 12, Bausasran , Danurejan</v>
      </c>
      <c r="L84" s="99" t="str">
        <f ca="1">IFERROR(__xludf.DUMMYFUNCTION("IMPORTRANGE(H84,""IDENTITAS UNIT!D35"")"),"#N/A")</f>
        <v>#N/A</v>
      </c>
    </row>
    <row r="85" spans="1:12" ht="33" hidden="1">
      <c r="A85" s="4" t="str">
        <v>Alternatif Periode ke-84 VI.A.1</v>
      </c>
      <c r="B85" s="4" t="str">
        <v>Alternatif Periode ke-84</v>
      </c>
      <c r="C85" s="4" t="str">
        <v>VI.A.1</v>
      </c>
      <c r="D85" s="101" t="str">
        <v>https://docs.google.com/spreadsheets/d/1NaxcCtYDK5ytIaQ0soBtvVmV6MJGWF57k-8ZX-U3R9k/edit?usp=sharing</v>
      </c>
      <c r="E85" s="101" t="str">
        <v>https://docs.google.com/spreadsheets/d/1NaxcCtYDK5ytIaQ0soBtvVmV6MJGWF57k-8ZX-U3R9k/edit#gid=0</v>
      </c>
      <c r="F85" s="103" t="str">
        <f ca="1">IFERROR(__xludf.DUMMYFUNCTION("IMPORTRANGE(E85,""IDENTITAS UNIT!D9"")"),"https://g.co/kgs/bD2TME")</f>
        <v>https://g.co/kgs/bD2TME</v>
      </c>
      <c r="G85" s="4" t="s">
        <v>12762</v>
      </c>
      <c r="J85" s="4" t="str">
        <v>RW 2, Suryatmajan, Danurejan</v>
      </c>
      <c r="L85" s="99" t="str">
        <f ca="1">IFERROR(__xludf.DUMMYFUNCTION("IMPORTRANGE(H85,""IDENTITAS UNIT!D35"")"),"#N/A")</f>
        <v>#N/A</v>
      </c>
    </row>
    <row r="86" spans="1:12" ht="49.5" hidden="1">
      <c r="A86" s="4" t="str">
        <v>Alternatif Periode ke-84 VI.A.2</v>
      </c>
      <c r="B86" s="4" t="str">
        <v>Alternatif Periode ke-84</v>
      </c>
      <c r="C86" s="4" t="str">
        <v>VI.A.2</v>
      </c>
      <c r="D86" s="101" t="str">
        <v>https://docs.google.com/spreadsheets/d/1j7MrwdSrEECtRHzxeftUW1sX2DcvEoz1zQYzxjxQJ60/edit?usp=sharing</v>
      </c>
      <c r="E86" s="101" t="str">
        <v>https://docs.google.com/spreadsheets/d/1j7MrwdSrEECtRHzxeftUW1sX2DcvEoz1zQYzxjxQJ60/edit#gid=0</v>
      </c>
      <c r="F86" s="103" t="str">
        <f ca="1">IFERROR(__xludf.DUMMYFUNCTION("IMPORTRANGE(E86,""IDENTITAS UNIT!D9"")"),"https://maps.app.goo.gl/T3Yyy9fiwd1nt8rx5")</f>
        <v>https://maps.app.goo.gl/T3Yyy9fiwd1nt8rx5</v>
      </c>
      <c r="G86" s="4" t="s">
        <v>12763</v>
      </c>
      <c r="J86" s="4" t="str">
        <v>RW 4, Suryatmajan, Danurejan</v>
      </c>
      <c r="L86" s="99" t="str">
        <f ca="1">IFERROR(__xludf.DUMMYFUNCTION("IMPORTRANGE(H86,""IDENTITAS UNIT!D35"")"),"#N/A")</f>
        <v>#N/A</v>
      </c>
    </row>
    <row r="87" spans="1:12" ht="49.5" hidden="1">
      <c r="A87" s="4" t="str">
        <v>Alternatif Periode ke-84 VI.A.3</v>
      </c>
      <c r="B87" s="4" t="str">
        <v>Alternatif Periode ke-84</v>
      </c>
      <c r="C87" s="4" t="str">
        <v>VI.A.3</v>
      </c>
      <c r="D87" s="101" t="str">
        <v>https://docs.google.com/spreadsheets/d/1gEsEloOajdnAFVwhC1vaDfUSaQloLZZ5NQSG72no0a8/edit?usp=sharing</v>
      </c>
      <c r="E87" s="101" t="str">
        <v>https://docs.google.com/spreadsheets/d/1gEsEloOajdnAFVwhC1vaDfUSaQloLZZ5NQSG72no0a8/edit#gid=0</v>
      </c>
      <c r="F87" s="103" t="str">
        <f ca="1">IFERROR(__xludf.DUMMYFUNCTION("IMPORTRANGE(E87,""IDENTITAS UNIT!D9"")"),"https://maps.app.goo.gl/aaz5gLJWLoyUkjo88")</f>
        <v>https://maps.app.goo.gl/aaz5gLJWLoyUkjo88</v>
      </c>
      <c r="G87" s="4" t="s">
        <v>12764</v>
      </c>
      <c r="J87" s="4" t="str">
        <v>RW 6, Suryatmajan, Danurejan</v>
      </c>
      <c r="L87" s="99" t="str">
        <f ca="1">IFERROR(__xludf.DUMMYFUNCTION("IMPORTRANGE(H87,""IDENTITAS UNIT!D35"")"),"#N/A")</f>
        <v>#N/A</v>
      </c>
    </row>
    <row r="88" spans="1:12" ht="33" hidden="1">
      <c r="A88" s="4" t="str">
        <v>Alternatif Periode ke-84 VI.B.1</v>
      </c>
      <c r="B88" s="4" t="str">
        <v>Alternatif Periode ke-84</v>
      </c>
      <c r="C88" s="4" t="str">
        <v>VI.B.1</v>
      </c>
      <c r="D88" s="101" t="str">
        <v>https://docs.google.com/spreadsheets/d/1GWRmPdZOkI4gJs7AiX3I0NJG2E5MMTEJl-QwElTjSDA/edit?usp=sharing</v>
      </c>
      <c r="E88" s="101" t="str">
        <v>https://docs.google.com/spreadsheets/d/1GWRmPdZOkI4gJs7AiX3I0NJG2E5MMTEJl-QwElTjSDA/edit#gid=0</v>
      </c>
      <c r="F88" s="103" t="str">
        <f ca="1">IFERROR(__xludf.DUMMYFUNCTION("IMPORTRANGE(E88,""IDENTITAS UNIT!D9"")"),"https://g.co/kgs/vmoEx3")</f>
        <v>https://g.co/kgs/vmoEx3</v>
      </c>
      <c r="G88" s="4" t="s">
        <v>12765</v>
      </c>
      <c r="J88" s="4" t="str">
        <v>RW 1, Tegal Panggung, Danurejan</v>
      </c>
      <c r="L88" s="99" t="str">
        <f ca="1">IFERROR(__xludf.DUMMYFUNCTION("IMPORTRANGE(H88,""IDENTITAS UNIT!D35"")"),"#N/A")</f>
        <v>#N/A</v>
      </c>
    </row>
    <row r="89" spans="1:12" ht="49.5" hidden="1">
      <c r="A89" s="4" t="str">
        <v>Alternatif Periode ke-84 VI.B.2</v>
      </c>
      <c r="B89" s="4" t="str">
        <v>Alternatif Periode ke-84</v>
      </c>
      <c r="C89" s="4" t="str">
        <v>VI.B.2</v>
      </c>
      <c r="D89" s="101" t="str">
        <v>https://docs.google.com/spreadsheets/d/19a6MLDT0T9oizOnHoKcL7zlSLysVXV1SXIb-xwMsOyA/edit?usp=sharing</v>
      </c>
      <c r="E89" s="101" t="str">
        <v>https://docs.google.com/spreadsheets/d/19a6MLDT0T9oizOnHoKcL7zlSLysVXV1SXIb-xwMsOyA/edit#gid=0</v>
      </c>
      <c r="F89" s="103" t="str">
        <f ca="1">IFERROR(__xludf.DUMMYFUNCTION("IMPORTRANGE(E89,""IDENTITAS UNIT!D9"")"),"https://goo.gl/maps/qRpF6oUMmGfdteU76")</f>
        <v>https://goo.gl/maps/qRpF6oUMmGfdteU76</v>
      </c>
      <c r="G89" s="4" t="s">
        <v>12766</v>
      </c>
      <c r="J89" s="4" t="str">
        <v>RW 4, Tegal Panggung, Danurejan</v>
      </c>
      <c r="L89" s="99" t="str">
        <f ca="1">IFERROR(__xludf.DUMMYFUNCTION("IMPORTRANGE(H89,""IDENTITAS UNIT!D35"")"),"#N/A")</f>
        <v>#N/A</v>
      </c>
    </row>
    <row r="90" spans="1:12" ht="198" hidden="1">
      <c r="A90" s="4" t="str">
        <v>Alternatif Periode ke-84 VI.B.3</v>
      </c>
      <c r="B90" s="31" t="str">
        <v>Alternatif Periode ke-84</v>
      </c>
      <c r="C90" s="4" t="str">
        <v>VI.B.3</v>
      </c>
      <c r="D90" s="101" t="str">
        <v>https://docs.google.com/spreadsheets/d/1FCH0JLE4hJN_l0EMQoAl9dOslphzN8kKiPd0hrl6QhQ/edit?usp=sharing</v>
      </c>
      <c r="E90" s="101" t="str">
        <v>https://docs.google.com/spreadsheets/d/1FCH0JLE4hJN_l0EMQoAl9dOslphzN8kKiPd0hrl6QhQ/edit#gid=0</v>
      </c>
      <c r="F90" s="103" t="str">
        <f ca="1">IFERROR(__xludf.DUMMYFUNCTION("IMPORTRANGE(E90,""IDENTITAS UNIT!D9"")"),"https://www.google.com/maps/place/Masjid+MiftahussaLam/@-7.7931451,110.3691121,17z/data=!3m1!4b1!4m5!3m4!1s0x2e7a597319268613:0x1e63c9282f0217d9!8m2!3d-7.7932424!4d110.3715319")</f>
        <v>https://www.google.com/maps/place/Masjid+MiftahussaLam/@-7.7931451,110.3691121,17z/data=!3m1!4b1!4m5!3m4!1s0x2e7a597319268613:0x1e63c9282f0217d9!8m2!3d-7.7932424!4d110.3715319</v>
      </c>
      <c r="G90" s="4" t="s">
        <v>12767</v>
      </c>
      <c r="J90" s="4" t="str">
        <v>RW 4, Tegal Panggung, Danurejan</v>
      </c>
      <c r="L90" s="99" t="str">
        <f ca="1">IFERROR(__xludf.DUMMYFUNCTION("IMPORTRANGE(H90,""IDENTITAS UNIT!D35"")"),"#N/A")</f>
        <v>#N/A</v>
      </c>
    </row>
    <row r="91" spans="1:12" ht="66" hidden="1">
      <c r="A91" s="4" t="str">
        <v>Alternatif Periode ke-84 VI.C.1</v>
      </c>
      <c r="B91" s="4" t="str">
        <v>Alternatif Periode ke-84</v>
      </c>
      <c r="C91" s="4" t="str">
        <v>VI.C.1</v>
      </c>
      <c r="D91" s="101" t="str">
        <v>https://docs.google.com/spreadsheets/d/1rYE-oC22CjOtY3jfJIWxa7YKek6EXugqoq3cWQCzCyg/edit?usp=sharing</v>
      </c>
      <c r="E91" s="101" t="str">
        <v>https://docs.google.com/spreadsheets/d/1rYE-oC22CjOtY3jfJIWxa7YKek6EXugqoq3cWQCzCyg/edit#gid=0</v>
      </c>
      <c r="F91" s="103" t="str">
        <f ca="1">IFERROR(__xludf.DUMMYFUNCTION("IMPORTRANGE(E91,""IDENTITAS UNIT!D9"")"),"Masjid Al Bahrawi
https://maps.app.goo.gl/TmkgsmdMyZszaqNV6")</f>
        <v>Masjid Al Bahrawi
https://maps.app.goo.gl/TmkgsmdMyZszaqNV6</v>
      </c>
      <c r="G91" s="4" t="s">
        <v>12768</v>
      </c>
      <c r="J91" s="4" t="str">
        <v>RW 8, Tegal Panggung, Danurejan</v>
      </c>
      <c r="L91" s="99" t="str">
        <f ca="1">IFERROR(__xludf.DUMMYFUNCTION("IMPORTRANGE(H91,""IDENTITAS UNIT!D35"")"),"#N/A")</f>
        <v>#N/A</v>
      </c>
    </row>
    <row r="92" spans="1:12" ht="49.5" hidden="1">
      <c r="A92" s="4" t="str">
        <v>Alternatif Periode ke-84 VI.C.2</v>
      </c>
      <c r="B92" s="4" t="str">
        <v>Alternatif Periode ke-84</v>
      </c>
      <c r="C92" s="4" t="str">
        <v>VI.C.2</v>
      </c>
      <c r="D92" s="101" t="str">
        <v>https://docs.google.com/spreadsheets/d/1u7ZIaYWGVHH2cPOgN_F_C7OBcFxMFn74Mo5fl3kM_90/edit?usp=sharing</v>
      </c>
      <c r="E92" s="101" t="str">
        <v>https://docs.google.com/spreadsheets/d/1u7ZIaYWGVHH2cPOgN_F_C7OBcFxMFn74Mo5fl3kM_90/edit#gid=0</v>
      </c>
      <c r="F92" s="103" t="str">
        <f ca="1">IFERROR(__xludf.DUMMYFUNCTION("IMPORTRANGE(E92,""IDENTITAS UNIT!D9"")"),"https://goo.gl/maps/GP1bLGoiZhfVJBJ86")</f>
        <v>https://goo.gl/maps/GP1bLGoiZhfVJBJ86</v>
      </c>
      <c r="G92" s="4" t="s">
        <v>12769</v>
      </c>
      <c r="J92" s="4" t="str">
        <v>RW 7, Tegal Panggung, Danurejan</v>
      </c>
      <c r="L92" s="99" t="str">
        <f ca="1">IFERROR(__xludf.DUMMYFUNCTION("IMPORTRANGE(H92,""IDENTITAS UNIT!D35"")"),"#N/A")</f>
        <v>#N/A</v>
      </c>
    </row>
    <row r="93" spans="1:12" ht="82.5" hidden="1">
      <c r="A93" s="4" t="str">
        <v>Alternatif Periode ke-84 VI.C.3</v>
      </c>
      <c r="B93" s="4" t="str">
        <v>Alternatif Periode ke-84</v>
      </c>
      <c r="C93" s="4" t="str">
        <v>VI.C.3</v>
      </c>
      <c r="D93" s="101" t="str">
        <v>https://docs.google.com/spreadsheets/d/1JCBJ85vRz7dN4Gd7Fk9fUV2BLUA4_5mtokNwPYUDdvM/edit?usp=sharing</v>
      </c>
      <c r="E93" s="101" t="str">
        <v>https://docs.google.com/spreadsheets/d/1JCBJ85vRz7dN4Gd7Fk9fUV2BLUA4_5mtokNwPYUDdvM/edit#gid=0</v>
      </c>
      <c r="F93" s="103" t="str">
        <f ca="1">IFERROR(__xludf.DUMMYFUNCTION("IMPORTRANGE(E93,""IDENTITAS UNIT!D9"")"),"7°47'39.7""S 110°22'19.4""E
https://goo.gl/maps/AH3yt3syCeVvUDpq8")</f>
        <v>7°47'39.7"S 110°22'19.4"E
https://goo.gl/maps/AH3yt3syCeVvUDpq8</v>
      </c>
      <c r="G93" s="104" t="s">
        <v>12770</v>
      </c>
      <c r="J93" s="4" t="str">
        <v>RW 11, Tegal Panggung, Danurejan</v>
      </c>
      <c r="L93" s="99" t="str">
        <f ca="1">IFERROR(__xludf.DUMMYFUNCTION("IMPORTRANGE(H93,""IDENTITAS UNIT!D35"")"),"#N/A")</f>
        <v>#N/A</v>
      </c>
    </row>
    <row r="94" spans="1:12" ht="82.5" hidden="1">
      <c r="A94" s="4" t="str">
        <v>Alternatif Periode ke-84 VI.D.1</v>
      </c>
      <c r="B94" s="4" t="str">
        <v>Alternatif Periode ke-84</v>
      </c>
      <c r="C94" s="4" t="str">
        <v>VI.D.1</v>
      </c>
      <c r="D94" s="101" t="str">
        <v>https://docs.google.com/spreadsheets/d/1FD8pRTy-wVfTl4a0c52WQU9JKQyBqurQpFqpDWKegFM/edit?usp=sharing</v>
      </c>
      <c r="E94" s="101" t="str">
        <v>https://docs.google.com/spreadsheets/d/1FD8pRTy-wVfTl4a0c52WQU9JKQyBqurQpFqpDWKegFM/edit#gid=0</v>
      </c>
      <c r="F94" s="102" t="str">
        <f ca="1">IFERROR(__xludf.DUMMYFUNCTION("IMPORTRANGE(E94,""IDENTITAS UNIT!D9"")"),"Lorong sayur Suryatmajan
https://maps.app.goo.gl/ZxCXWtwn9xWDEh3j7")</f>
        <v>Lorong sayur Suryatmajan
https://maps.app.goo.gl/ZxCXWtwn9xWDEh3j7</v>
      </c>
      <c r="G94" s="4" t="s">
        <v>12771</v>
      </c>
      <c r="J94" s="4" t="str">
        <v>RW 11, Suryatmajan, Danurejan</v>
      </c>
      <c r="L94" s="99" t="str">
        <f ca="1">IFERROR(__xludf.DUMMYFUNCTION("IMPORTRANGE(H94,""IDENTITAS UNIT!D35"")"),"#N/A")</f>
        <v>#N/A</v>
      </c>
    </row>
    <row r="95" spans="1:12" ht="49.5" hidden="1">
      <c r="A95" s="4" t="str">
        <v>Alternatif Periode ke-84 VI.D.2</v>
      </c>
      <c r="B95" s="4" t="str">
        <v>Alternatif Periode ke-84</v>
      </c>
      <c r="C95" s="4" t="str">
        <v>VI.D.2</v>
      </c>
      <c r="D95" s="101" t="str">
        <v>https://docs.google.com/spreadsheets/d/1vCbdjifXhMV_SAE5SqVRLiOBK1H_iuEQdXcFTsRahwo/edit?usp=sharing</v>
      </c>
      <c r="E95" s="101" t="str">
        <v>https://docs.google.com/spreadsheets/d/1vCbdjifXhMV_SAE5SqVRLiOBK1H_iuEQdXcFTsRahwo/edit#gid=0</v>
      </c>
      <c r="F95" s="103" t="str">
        <f ca="1">IFERROR(__xludf.DUMMYFUNCTION("IMPORTRANGE(E95,""IDENTITAS UNIT!D9"")"),"https://maps.app.goo.gl/A1k1GU7SohjzMoQCA")</f>
        <v>https://maps.app.goo.gl/A1k1GU7SohjzMoQCA</v>
      </c>
      <c r="G95" s="4" t="s">
        <v>12772</v>
      </c>
      <c r="J95" s="4" t="str">
        <v>RW 15, Suryatmajan, Danurejan</v>
      </c>
      <c r="L95" s="99" t="str">
        <f ca="1">IFERROR(__xludf.DUMMYFUNCTION("IMPORTRANGE(H95,""IDENTITAS UNIT!D35"")"),"#N/A")</f>
        <v>#N/A</v>
      </c>
    </row>
    <row r="96" spans="1:12" ht="49.5" hidden="1">
      <c r="A96" s="4" t="str">
        <v>Alternatif Periode ke-84 VII.A.1</v>
      </c>
      <c r="B96" s="4" t="str">
        <v>Alternatif Periode ke-84</v>
      </c>
      <c r="C96" s="4" t="str">
        <v>VII.A.1</v>
      </c>
      <c r="D96" s="101" t="str">
        <v>https://docs.google.com/spreadsheets/d/1dTWuN_rPXGLchtRguFxrOm5xqzZmFNiucEOr3YFDaRs/edit?usp=sharing</v>
      </c>
      <c r="E96" s="101" t="str">
        <v>https://docs.google.com/spreadsheets/d/1dTWuN_rPXGLchtRguFxrOm5xqzZmFNiucEOr3YFDaRs/edit#gid=0</v>
      </c>
      <c r="F96" s="103" t="str">
        <f ca="1">IFERROR(__xludf.DUMMYFUNCTION("IMPORTRANGE(E96,""IDENTITAS UNIT!D9"")"),"https://maps.app.goo.gl/bwWVRXoRAQyAJvA2A?g_st=iw")</f>
        <v>https://maps.app.goo.gl/bwWVRXoRAQyAJvA2A?g_st=iw</v>
      </c>
      <c r="G96" s="4" t="s">
        <v>12773</v>
      </c>
      <c r="J96" s="4" t="str">
        <v>RW 2, Sorosutan, Umbulharjo</v>
      </c>
      <c r="L96" s="99" t="str">
        <f ca="1">IFERROR(__xludf.DUMMYFUNCTION("IMPORTRANGE(H96,""IDENTITAS UNIT!D35"")"),"#N/A")</f>
        <v>#N/A</v>
      </c>
    </row>
    <row r="97" spans="1:12" ht="49.5" hidden="1">
      <c r="A97" s="4" t="str">
        <v>Alternatif Periode ke-84 VII.A.2</v>
      </c>
      <c r="B97" s="4" t="str">
        <v>Alternatif Periode ke-84</v>
      </c>
      <c r="C97" s="4" t="str">
        <v>VII.A.2</v>
      </c>
      <c r="D97" s="101" t="str">
        <v>https://docs.google.com/spreadsheets/d/1SSPdi8fxUbr0OEnvMmcK7DpzlliSAFr09xptCauk0iY/edit?usp=sharing</v>
      </c>
      <c r="E97" s="101" t="str">
        <v>https://docs.google.com/spreadsheets/d/1SSPdi8fxUbr0OEnvMmcK7DpzlliSAFr09xptCauk0iY/edit#gid=0</v>
      </c>
      <c r="F97" s="103" t="str">
        <f ca="1">IFERROR(__xludf.DUMMYFUNCTION("IMPORTRANGE(E97,""IDENTITAS UNIT!D9"")"),"
https://maps.app.goo.gl/c6q4FNh7VX448uCs5")</f>
        <v xml:space="preserve">
https://maps.app.goo.gl/c6q4FNh7VX448uCs5</v>
      </c>
      <c r="G97" s="4" t="s">
        <v>12774</v>
      </c>
      <c r="J97" s="4" t="str">
        <v>RW 3, Sorosutan, Umbulharjo</v>
      </c>
      <c r="L97" s="99" t="str">
        <f ca="1">IFERROR(__xludf.DUMMYFUNCTION("IMPORTRANGE(H97,""IDENTITAS UNIT!D35"")"),"#N/A")</f>
        <v>#N/A</v>
      </c>
    </row>
    <row r="98" spans="1:12" ht="49.5" hidden="1">
      <c r="A98" s="4" t="str">
        <v>Alternatif Periode ke-84 VII.A.3</v>
      </c>
      <c r="B98" s="4" t="str">
        <v>Alternatif Periode ke-84</v>
      </c>
      <c r="C98" s="4" t="str">
        <v>VII.A.3</v>
      </c>
      <c r="D98" s="101" t="str">
        <v>https://docs.google.com/spreadsheets/d/1SFRqnqu-IIJQSxnEIhELKQyf3Iq3elYSOWiTz3lxelQ/edit?usp=sharing</v>
      </c>
      <c r="E98" s="101" t="str">
        <v>https://docs.google.com/spreadsheets/d/1SFRqnqu-IIJQSxnEIhELKQyf3Iq3elYSOWiTz3lxelQ/edit#gid=0</v>
      </c>
      <c r="F98" s="103" t="str">
        <f ca="1">IFERROR(__xludf.DUMMYFUNCTION("IMPORTRANGE(E98,""IDENTITAS UNIT!D9"")"),"https://goo.gl/maps/7wftZ5UJ69tx5gsh7")</f>
        <v>https://goo.gl/maps/7wftZ5UJ69tx5gsh7</v>
      </c>
      <c r="G98" s="4" t="s">
        <v>12775</v>
      </c>
      <c r="J98" s="4" t="str">
        <v>RW 8, Sorosutan, Umbulharjo</v>
      </c>
      <c r="L98" s="99" t="str">
        <f ca="1">IFERROR(__xludf.DUMMYFUNCTION("IMPORTRANGE(H98,""IDENTITAS UNIT!D35"")"),"#N/A")</f>
        <v>#N/A</v>
      </c>
    </row>
    <row r="99" spans="1:12" ht="49.5" hidden="1">
      <c r="A99" s="4" t="str">
        <v>Alternatif Periode ke-84 VII.B.1</v>
      </c>
      <c r="B99" s="4" t="str">
        <v>Alternatif Periode ke-84</v>
      </c>
      <c r="C99" s="4" t="str">
        <v>VII.B.1</v>
      </c>
      <c r="D99" s="101" t="str">
        <v>https://docs.google.com/spreadsheets/d/1RaBb4CQNYNCR44ydY7G-u6f9xYWCHOZ3o4MQK2PzfMo/edit?usp=sharing</v>
      </c>
      <c r="E99" s="101" t="str">
        <v>https://docs.google.com/spreadsheets/d/1RaBb4CQNYNCR44ydY7G-u6f9xYWCHOZ3o4MQK2PzfMo/edit#gid=0</v>
      </c>
      <c r="F99" s="103" t="str">
        <f ca="1">IFERROR(__xludf.DUMMYFUNCTION("IMPORTRANGE(E99,""IDENTITAS UNIT!D9"")"),"https://goo.gl/maps/yQc5XVZjWQXZyhj87")</f>
        <v>https://goo.gl/maps/yQc5XVZjWQXZyhj87</v>
      </c>
      <c r="G99" s="4" t="s">
        <v>12776</v>
      </c>
      <c r="J99" s="4" t="str">
        <v>RW 10, Sorosutan, Umbulharjo</v>
      </c>
      <c r="L99" s="99" t="str">
        <f ca="1">IFERROR(__xludf.DUMMYFUNCTION("IMPORTRANGE(H99,""IDENTITAS UNIT!D35"")"),"#N/A")</f>
        <v>#N/A</v>
      </c>
    </row>
    <row r="100" spans="1:12" ht="33" hidden="1">
      <c r="A100" s="4" t="str">
        <v>Alternatif Periode ke-84 VII.B.2</v>
      </c>
      <c r="B100" s="4" t="str">
        <v>Alternatif Periode ke-84</v>
      </c>
      <c r="C100" s="4" t="str">
        <v>VII.B.2</v>
      </c>
      <c r="D100" s="101" t="str">
        <v>https://docs.google.com/spreadsheets/d/1dfq-4mbH5Fxmq3qOJuQemQIfGGu0vhueCzCPUHM4N2Y/edit?usp=sharing</v>
      </c>
      <c r="E100" s="101" t="str">
        <v>https://docs.google.com/spreadsheets/d/1dfq-4mbH5Fxmq3qOJuQemQIfGGu0vhueCzCPUHM4N2Y/edit#gid=0</v>
      </c>
      <c r="F100" s="103" t="str">
        <f ca="1">IFERROR(__xludf.DUMMYFUNCTION("IMPORTRANGE(E100,""IDENTITAS UNIT!D9"")"),"https://g.co/kgs/cnUdVj")</f>
        <v>https://g.co/kgs/cnUdVj</v>
      </c>
      <c r="G100" s="4" t="s">
        <v>12777</v>
      </c>
      <c r="J100" s="4" t="str">
        <v>RW 13, Sorosutan, Umbulharjo</v>
      </c>
      <c r="L100" s="99" t="str">
        <f ca="1">IFERROR(__xludf.DUMMYFUNCTION("IMPORTRANGE(H100,""IDENTITAS UNIT!D35"")"),"#N/A")</f>
        <v>#N/A</v>
      </c>
    </row>
    <row r="101" spans="1:12" ht="49.5" hidden="1">
      <c r="A101" s="4" t="str">
        <v>Alternatif Periode ke-84 VII.B.3</v>
      </c>
      <c r="B101" s="4" t="str">
        <v>Alternatif Periode ke-84</v>
      </c>
      <c r="C101" s="4" t="str">
        <v>VII.B.3</v>
      </c>
      <c r="D101" s="101" t="str">
        <v>https://docs.google.com/spreadsheets/d/1fVfSMimdy8MezBZ50Zhmr4f0zSBYX83QLeZsMK4qqq4/edit?usp=sharing</v>
      </c>
      <c r="E101" s="101" t="str">
        <v>https://docs.google.com/spreadsheets/d/1fVfSMimdy8MezBZ50Zhmr4f0zSBYX83QLeZsMK4qqq4/edit#gid=0</v>
      </c>
      <c r="F101" s="103" t="str">
        <f ca="1">IFERROR(__xludf.DUMMYFUNCTION("IMPORTRANGE(E101,""IDENTITAS UNIT!D9"")"),"https://maps.app.goo.gl/z1SMNuPsQpmWYavD6?g_st=iw")</f>
        <v>https://maps.app.goo.gl/z1SMNuPsQpmWYavD6?g_st=iw</v>
      </c>
      <c r="G101" s="4" t="s">
        <v>12778</v>
      </c>
      <c r="J101" s="4" t="str">
        <v>RW 15, Sorosutan, Umbulharjo</v>
      </c>
      <c r="L101" s="99" t="str">
        <f ca="1">IFERROR(__xludf.DUMMYFUNCTION("IMPORTRANGE(H101,""IDENTITAS UNIT!D35"")"),"#N/A")</f>
        <v>#N/A</v>
      </c>
    </row>
    <row r="102" spans="1:12" ht="49.5" hidden="1">
      <c r="A102" s="4" t="str">
        <v>Alternatif Periode ke-84 VII.C.1</v>
      </c>
      <c r="B102" s="4" t="str">
        <v>Alternatif Periode ke-84</v>
      </c>
      <c r="C102" s="4" t="str">
        <v>VII.C.1</v>
      </c>
      <c r="D102" s="101" t="str">
        <v>https://docs.google.com/spreadsheets/d/1iamB5AEKX-uFeL_eQkPQFvZQo32l5qdvQo6UhMAbPLs/edit?usp=sharing</v>
      </c>
      <c r="E102" s="101" t="str">
        <v>https://docs.google.com/spreadsheets/d/1iamB5AEKX-uFeL_eQkPQFvZQo32l5qdvQo6UhMAbPLs/edit#gid=0</v>
      </c>
      <c r="F102" s="103" t="str">
        <f ca="1">IFERROR(__xludf.DUMMYFUNCTION("IMPORTRANGE(E102,""IDENTITAS UNIT!D9"")"),"https://maps.app.goo.gl/7YVm8eV2kPpA1BNB8")</f>
        <v>https://maps.app.goo.gl/7YVm8eV2kPpA1BNB8</v>
      </c>
      <c r="G102" s="4" t="s">
        <v>12779</v>
      </c>
      <c r="J102" s="4" t="str">
        <v>RW 17, Sorosutan, Umbulharjo</v>
      </c>
      <c r="L102" s="99" t="str">
        <f ca="1">IFERROR(__xludf.DUMMYFUNCTION("IMPORTRANGE(H102,""IDENTITAS UNIT!D35"")"),"#N/A")</f>
        <v>#N/A</v>
      </c>
    </row>
    <row r="103" spans="1:12" ht="49.5" hidden="1">
      <c r="A103" s="4" t="str">
        <v>Alternatif Periode ke-84 VII.C.2</v>
      </c>
      <c r="B103" s="4" t="str">
        <v>Alternatif Periode ke-84</v>
      </c>
      <c r="C103" s="4" t="str">
        <v>VII.C.2</v>
      </c>
      <c r="D103" s="101" t="str">
        <v>https://docs.google.com/spreadsheets/d/1Vj_ryLS_dMm6ONo4zmHjDbdOz1S4-zzbqk3W07-ISiw/edit?usp=sharing</v>
      </c>
      <c r="E103" s="101" t="str">
        <v>https://docs.google.com/spreadsheets/d/1Vj_ryLS_dMm6ONo4zmHjDbdOz1S4-zzbqk3W07-ISiw/edit#gid=0</v>
      </c>
      <c r="F103" s="103" t="str">
        <f ca="1">IFERROR(__xludf.DUMMYFUNCTION("IMPORTRANGE(E103,""IDENTITAS UNIT!D9"")"),"https://maps.app.goo.gl/Hu65mk38kuNvKg7PA")</f>
        <v>https://maps.app.goo.gl/Hu65mk38kuNvKg7PA</v>
      </c>
      <c r="G103" s="4" t="s">
        <v>12780</v>
      </c>
      <c r="J103" s="4" t="str">
        <v>RW 16, Sorosutan, Umbulharjo</v>
      </c>
      <c r="L103" s="99" t="str">
        <f ca="1">IFERROR(__xludf.DUMMYFUNCTION("IMPORTRANGE(H103,""IDENTITAS UNIT!D35"")"),"#N/A")</f>
        <v>#N/A</v>
      </c>
    </row>
    <row r="104" spans="1:12" ht="49.5" hidden="1">
      <c r="A104" s="4" t="str">
        <v>Alternatif Periode ke-84 VII.C.3</v>
      </c>
      <c r="B104" s="4" t="str">
        <v>Alternatif Periode ke-84</v>
      </c>
      <c r="C104" s="4" t="str">
        <v>VII.C.3</v>
      </c>
      <c r="D104" s="101" t="str">
        <v>https://docs.google.com/spreadsheets/d/12X9JD-AWbBkuWWezs5j-Wr8Pph2PVYUpR6vj5PVmvBw/edit?usp=sharing</v>
      </c>
      <c r="E104" s="101" t="str">
        <v>https://docs.google.com/spreadsheets/d/12X9JD-AWbBkuWWezs5j-Wr8Pph2PVYUpR6vj5PVmvBw/edit#gid=0</v>
      </c>
      <c r="F104" s="103" t="str">
        <f ca="1">IFERROR(__xludf.DUMMYFUNCTION("IMPORTRANGE(E104,""IDENTITAS UNIT!D9"")"),"https://maps.app.goo.gl/3iXmfUCogZaXpX2A6")</f>
        <v>https://maps.app.goo.gl/3iXmfUCogZaXpX2A6</v>
      </c>
      <c r="G104" s="4" t="s">
        <v>12781</v>
      </c>
      <c r="J104" s="4" t="str">
        <v>RW 18, Sorosutan, Umbulharjo</v>
      </c>
      <c r="L104" s="99" t="str">
        <f ca="1">IFERROR(__xludf.DUMMYFUNCTION("IMPORTRANGE(H104,""IDENTITAS UNIT!D35"")"),"#N/A")</f>
        <v>#N/A</v>
      </c>
    </row>
    <row r="105" spans="1:12" ht="49.5" hidden="1">
      <c r="A105" s="4" t="str">
        <v>Alternatif Periode ke-84 VII.D.1</v>
      </c>
      <c r="B105" s="4" t="str">
        <v>Alternatif Periode ke-84</v>
      </c>
      <c r="C105" s="4" t="str">
        <v>VII.D.1</v>
      </c>
      <c r="D105" s="101" t="str">
        <v>https://docs.google.com/spreadsheets/d/1gZ5dijV7J-SO8JaIDXQwuhoyxd7N0m6xVceIV7hOjaM/edit?usp=sharing</v>
      </c>
      <c r="E105" s="101" t="str">
        <v>https://docs.google.com/spreadsheets/d/1gZ5dijV7J-SO8JaIDXQwuhoyxd7N0m6xVceIV7hOjaM/edit#gid=0</v>
      </c>
      <c r="F105" s="103" t="str">
        <f ca="1">IFERROR(__xludf.DUMMYFUNCTION("IMPORTRANGE(E105,""IDENTITAS UNIT!D9"")"),"https://goo.gl/maps/oAhkpc1cSEyyDT6Y6")</f>
        <v>https://goo.gl/maps/oAhkpc1cSEyyDT6Y6</v>
      </c>
      <c r="G105" s="4" t="s">
        <v>12782</v>
      </c>
      <c r="J105" s="4" t="str">
        <v>RW 5, Sorosutan, Umbulharjo</v>
      </c>
      <c r="L105" s="99" t="str">
        <f ca="1">IFERROR(__xludf.DUMMYFUNCTION("IMPORTRANGE(H105,""IDENTITAS UNIT!D35"")"),"#N/A")</f>
        <v>#N/A</v>
      </c>
    </row>
    <row r="106" spans="1:12" ht="49.5" hidden="1">
      <c r="A106" s="4" t="str">
        <v>Alternatif Periode ke-84 VII.D.2</v>
      </c>
      <c r="B106" s="4" t="str">
        <v>Alternatif Periode ke-84</v>
      </c>
      <c r="C106" s="4" t="str">
        <v>VII.D.2</v>
      </c>
      <c r="D106" s="101" t="str">
        <v>https://docs.google.com/spreadsheets/d/1gjoMZKes_NIT0Xon1vRxWAZO0LhcD9CcQXbzW16c-Yc/edit?usp=sharing</v>
      </c>
      <c r="E106" s="101" t="str">
        <v>https://docs.google.com/spreadsheets/d/1gjoMZKes_NIT0Xon1vRxWAZO0LhcD9CcQXbzW16c-Yc/edit#gid=0</v>
      </c>
      <c r="F106" s="103" t="str">
        <f ca="1">IFERROR(__xludf.DUMMYFUNCTION("IMPORTRANGE(E106,""IDENTITAS UNIT!D9"")"),"https://goo.gl/maps/HMFVkK2Xt49mAoyG6")</f>
        <v>https://goo.gl/maps/HMFVkK2Xt49mAoyG6</v>
      </c>
      <c r="G106" s="4" t="s">
        <v>12783</v>
      </c>
      <c r="J106" s="4" t="str">
        <v>RW 6, Sorosutan, Umbulharjo</v>
      </c>
      <c r="L106" s="99" t="str">
        <f ca="1">IFERROR(__xludf.DUMMYFUNCTION("IMPORTRANGE(H106,""IDENTITAS UNIT!D35"")"),"#N/A")</f>
        <v>#N/A</v>
      </c>
    </row>
    <row r="107" spans="1:12" ht="16.5" hidden="1">
      <c r="A107" s="4" t="str">
        <v>Alternatif Periode ke-85 I.A.1</v>
      </c>
      <c r="B107" s="31" t="str">
        <v>Alternatif Periode ke-85</v>
      </c>
      <c r="C107" s="4" t="str">
        <v>I.A.1</v>
      </c>
      <c r="D107" s="101" t="str">
        <v>https://docs.google.com/spreadsheets/d/1eP_V33bTaEt96MDDOYovz_xGRcB2FhnyT9VHLyrzB00/edit?usp=sharing</v>
      </c>
      <c r="E107" s="101" t="str">
        <v>https://docs.google.com/spreadsheets/d/1eP_V33bTaEt96MDDOYovz_xGRcB2FhnyT9VHLyrzB00/edit#gid=0</v>
      </c>
      <c r="F107" s="102" t="str">
        <f ca="1">IFERROR(__xludf.DUMMYFUNCTION("IMPORTRANGE(E107,""IDENTITAS UNIT!D9"")"),"")</f>
        <v/>
      </c>
      <c r="G107" s="4" t="s">
        <v>12784</v>
      </c>
      <c r="J107" s="4" t="str">
        <v>Kantor PCM Jetis, Jetis</v>
      </c>
      <c r="L107" s="99" t="str">
        <f ca="1">IFERROR(__xludf.DUMMYFUNCTION("IMPORTRANGE(H107,""IDENTITAS UNIT!D35"")"),"#N/A")</f>
        <v>#N/A</v>
      </c>
    </row>
    <row r="108" spans="1:12" ht="49.5" hidden="1">
      <c r="A108" s="4" t="str">
        <v>Alternatif Periode ke-85 I.A.2</v>
      </c>
      <c r="B108" s="4" t="str">
        <v>Alternatif Periode ke-85</v>
      </c>
      <c r="C108" s="4" t="str">
        <v>I.A.2</v>
      </c>
      <c r="D108" s="101" t="str">
        <v>https://docs.google.com/spreadsheets/d/12mXedY5z58KXdD4H8WotwgFYFQqYtwnjc-mHiLSzOTE/edit?usp=sharing</v>
      </c>
      <c r="E108" s="101" t="str">
        <v>https://docs.google.com/spreadsheets/d/12mXedY5z58KXdD4H8WotwgFYFQqYtwnjc-mHiLSzOTE/edit#gid=0</v>
      </c>
      <c r="F108" s="103" t="str">
        <f ca="1">IFERROR(__xludf.DUMMYFUNCTION("IMPORTRANGE(E108,""IDENTITAS UNIT!D9"")"),"https://maps.app.goo.gl/H6rvqkJuPgksfDaV7")</f>
        <v>https://maps.app.goo.gl/H6rvqkJuPgksfDaV7</v>
      </c>
      <c r="G108" s="4" t="s">
        <v>12785</v>
      </c>
      <c r="J108" s="4" t="str">
        <v>Kantor PCM Pakualaman, Pakualaman</v>
      </c>
      <c r="L108" s="99" t="str">
        <f ca="1">IFERROR(__xludf.DUMMYFUNCTION("IMPORTRANGE(H108,""IDENTITAS UNIT!D35"")"),"#N/A")</f>
        <v>#N/A</v>
      </c>
    </row>
    <row r="109" spans="1:12" ht="49.5" hidden="1">
      <c r="A109" s="4" t="str">
        <v>Reguler Periode ke-101 I.A.1</v>
      </c>
      <c r="B109" s="4" t="str">
        <v>Reguler Periode ke-101</v>
      </c>
      <c r="C109" s="4" t="str">
        <v>I.A.1</v>
      </c>
      <c r="D109" s="101" t="str">
        <v>https://drive.google.com/open?id=1GVr-0M9hcU_79EyI5DswcnDGE_b9NdSwX6WI63ieBLk&amp;usp=drive_copy</v>
      </c>
      <c r="E109" s="101" t="str">
        <f t="array" ref="E109:E41576">SUBSTITUTE(D109:D41576,"&amp;usp=drive_copy","")</f>
        <v>https://drive.google.com/open?id=1GVr-0M9hcU_79EyI5DswcnDGE_b9NdSwX6WI63ieBLk</v>
      </c>
      <c r="F109" s="103" t="str">
        <f ca="1">IFERROR(__xludf.DUMMYFUNCTION("IMPORTRANGE(H109,""IDENTITAS UNIT!D9"")"),"https://goo.gl/maps/yXAoSvTaXykMU1kWA")</f>
        <v>https://goo.gl/maps/yXAoSvTaXykMU1kWA</v>
      </c>
      <c r="G109" s="4" t="s">
        <v>12786</v>
      </c>
      <c r="H109" s="101" t="str">
        <f t="array" ref="H109:H41576">SUBSTITUTE(I109:I41576,"open?id=","spreadsheets/d/")</f>
        <v>https://docs.google.com/spreadsheets/d/1GVr-0M9hcU_79EyI5DswcnDGE_b9NdSwX6WI63ieBLk</v>
      </c>
      <c r="I109" s="101" t="str">
        <f t="array" ref="I109:I41576">SUBSTITUTE(E109:E41576,"drive.","docs.")</f>
        <v>https://docs.google.com/open?id=1GVr-0M9hcU_79EyI5DswcnDGE_b9NdSwX6WI63ieBLk</v>
      </c>
      <c r="J109" s="4" t="str">
        <v>Klisat, Tambakrejo, Pacitan</v>
      </c>
      <c r="L109" s="99" t="str">
        <f ca="1">IFERROR(__xludf.DUMMYFUNCTION("IMPORTRANGE(H109,""IDENTITAS UNIT!D35"")"),"Dwipa Prasetyo Priyoko")</f>
        <v>Dwipa Prasetyo Priyoko</v>
      </c>
    </row>
    <row r="110" spans="1:12" ht="49.5" hidden="1">
      <c r="A110" s="4" t="str">
        <v>Reguler Periode ke-101 I.A.2</v>
      </c>
      <c r="B110" s="4" t="str">
        <v>Reguler Periode ke-101</v>
      </c>
      <c r="C110" s="4" t="str">
        <v>I.A.2</v>
      </c>
      <c r="D110" s="101" t="str">
        <v>https://drive.google.com/open?id=14PHFYBfwNIyFEI70LXz85hCHJNCd_-E4JiEYLXljb4U&amp;usp=drive_copy</v>
      </c>
      <c r="E110" s="101" t="str">
        <v>https://drive.google.com/open?id=14PHFYBfwNIyFEI70LXz85hCHJNCd_-E4JiEYLXljb4U</v>
      </c>
      <c r="F110" s="103" t="str">
        <f ca="1">IFERROR(__xludf.DUMMYFUNCTION("IMPORTRANGE(H110,""IDENTITAS UNIT!D9"")"),"https://maps.app.goo.gl/DxShap1LomeV84tq6")</f>
        <v>https://maps.app.goo.gl/DxShap1LomeV84tq6</v>
      </c>
      <c r="G110" s="4" t="s">
        <v>12787</v>
      </c>
      <c r="H110" s="101" t="str">
        <v>https://docs.google.com/spreadsheets/d/14PHFYBfwNIyFEI70LXz85hCHJNCd_-E4JiEYLXljb4U</v>
      </c>
      <c r="I110" s="101" t="str">
        <v>https://docs.google.com/open?id=14PHFYBfwNIyFEI70LXz85hCHJNCd_-E4JiEYLXljb4U</v>
      </c>
      <c r="J110" s="4" t="str">
        <v>Kwaron, Tambakrejo, Pacitan</v>
      </c>
      <c r="L110" s="99" t="str">
        <f ca="1">IFERROR(__xludf.DUMMYFUNCTION("IMPORTRANGE(H110,""IDENTITAS UNIT!D35"")"),"Arya Guna Ramadhan")</f>
        <v>Arya Guna Ramadhan</v>
      </c>
    </row>
    <row r="111" spans="1:12" ht="49.5" hidden="1">
      <c r="A111" s="4" t="str">
        <v>Reguler Periode ke-101 I.A.3</v>
      </c>
      <c r="B111" s="4" t="str">
        <v>Reguler Periode ke-101</v>
      </c>
      <c r="C111" s="4" t="str">
        <v>I.A.3</v>
      </c>
      <c r="D111" s="101" t="str">
        <v>https://drive.google.com/open?id=14pItguOYIocttyz_yNgnWkgesemJTUOAstLF0YQIWsE&amp;usp=drive_copy</v>
      </c>
      <c r="E111" s="101" t="str">
        <v>https://drive.google.com/open?id=14pItguOYIocttyz_yNgnWkgesemJTUOAstLF0YQIWsE</v>
      </c>
      <c r="F111" s="103" t="str">
        <f ca="1">IFERROR(__xludf.DUMMYFUNCTION("IMPORTRANGE(H111,""IDENTITAS UNIT!D9"")"),"https://maps.app.goo.gl/iBL9nYK9gsVaXb9LA")</f>
        <v>https://maps.app.goo.gl/iBL9nYK9gsVaXb9LA</v>
      </c>
      <c r="G111" s="4" t="s">
        <v>12788</v>
      </c>
      <c r="H111" s="101" t="str">
        <v>https://docs.google.com/spreadsheets/d/14pItguOYIocttyz_yNgnWkgesemJTUOAstLF0YQIWsE</v>
      </c>
      <c r="I111" s="101" t="str">
        <v>https://docs.google.com/open?id=14pItguOYIocttyz_yNgnWkgesemJTUOAstLF0YQIWsE</v>
      </c>
      <c r="J111" s="4" t="str">
        <v>Tambaan, Tambakrejo, Pacitan</v>
      </c>
      <c r="L111" s="99" t="str">
        <f ca="1">IFERROR(__xludf.DUMMYFUNCTION("IMPORTRANGE(H111,""IDENTITAS UNIT!D35"")"),"Rifki Maulana")</f>
        <v>Rifki Maulana</v>
      </c>
    </row>
    <row r="112" spans="1:12" ht="49.5" hidden="1">
      <c r="A112" s="4" t="str">
        <v>Reguler Periode ke-101 I.B.1</v>
      </c>
      <c r="B112" s="4" t="str">
        <v>Reguler Periode ke-101</v>
      </c>
      <c r="C112" s="4" t="str">
        <v>I.B.1</v>
      </c>
      <c r="D112" s="101" t="str">
        <v>https://drive.google.com/open?id=16fLehssuVd-GMaM2DSjtd_PrXcBpzKOHjOJ7Iin75KU&amp;usp=drive_copy</v>
      </c>
      <c r="E112" s="101" t="str">
        <v>https://drive.google.com/open?id=16fLehssuVd-GMaM2DSjtd_PrXcBpzKOHjOJ7Iin75KU</v>
      </c>
      <c r="F112" s="103" t="str">
        <f ca="1">IFERROR(__xludf.DUMMYFUNCTION("IMPORTRANGE(H112,""IDENTITAS UNIT!D9"")"),"https://maps.app.goo.gl/kTErVKwT2BcDeWi49")</f>
        <v>https://maps.app.goo.gl/kTErVKwT2BcDeWi49</v>
      </c>
      <c r="H112" s="101" t="str">
        <v>https://docs.google.com/spreadsheets/d/16fLehssuVd-GMaM2DSjtd_PrXcBpzKOHjOJ7Iin75KU</v>
      </c>
      <c r="I112" s="101" t="str">
        <v>https://docs.google.com/open?id=16fLehssuVd-GMaM2DSjtd_PrXcBpzKOHjOJ7Iin75KU</v>
      </c>
      <c r="J112" s="4" t="str">
        <v>Padangan, Banjarsari, Pacitan</v>
      </c>
      <c r="L112" s="99" t="str">
        <f ca="1">IFERROR(__xludf.DUMMYFUNCTION("IMPORTRANGE(H112,""IDENTITAS UNIT!D35"")"),"Galang Suryaputra")</f>
        <v>Galang Suryaputra</v>
      </c>
    </row>
    <row r="113" spans="1:12" ht="49.5" hidden="1">
      <c r="A113" s="4" t="str">
        <v>Reguler Periode ke-101 I.B.2</v>
      </c>
      <c r="B113" s="4" t="str">
        <v>Reguler Periode ke-101</v>
      </c>
      <c r="C113" s="4" t="str">
        <v>I.B.2</v>
      </c>
      <c r="D113" s="101" t="str">
        <v>https://drive.google.com/open?id=18Zb6D4T3btM3qXlej17u7QtC9wK0j_qI_oXj57HwkKs&amp;usp=drive_copy</v>
      </c>
      <c r="E113" s="101" t="str">
        <v>https://drive.google.com/open?id=18Zb6D4T3btM3qXlej17u7QtC9wK0j_qI_oXj57HwkKs</v>
      </c>
      <c r="F113" s="103" t="str">
        <f ca="1">IFERROR(__xludf.DUMMYFUNCTION("IMPORTRANGE(H113,""IDENTITAS UNIT!D9"")"),"https://maps.app.goo.gl/fzzqzrgf6dJ22Hs57")</f>
        <v>https://maps.app.goo.gl/fzzqzrgf6dJ22Hs57</v>
      </c>
      <c r="G113" s="4" t="s">
        <v>12789</v>
      </c>
      <c r="H113" s="101" t="str">
        <v>https://docs.google.com/spreadsheets/d/18Zb6D4T3btM3qXlej17u7QtC9wK0j_qI_oXj57HwkKs</v>
      </c>
      <c r="I113" s="101" t="str">
        <v>https://docs.google.com/open?id=18Zb6D4T3btM3qXlej17u7QtC9wK0j_qI_oXj57HwkKs</v>
      </c>
      <c r="J113" s="4" t="str">
        <v>Karang asri, Banjarsari, Pacitan</v>
      </c>
      <c r="L113" s="99" t="str">
        <f ca="1">IFERROR(__xludf.DUMMYFUNCTION("IMPORTRANGE(H113,""IDENTITAS UNIT!D35"")"),"Ardan Kensanovanto")</f>
        <v>Ardan Kensanovanto</v>
      </c>
    </row>
    <row r="114" spans="1:12" ht="16.5" hidden="1">
      <c r="A114" s="4" t="str">
        <v>Reguler Periode ke-101 I.B.3</v>
      </c>
      <c r="B114" s="4" t="str">
        <v>Reguler Periode ke-101</v>
      </c>
      <c r="C114" s="4" t="str">
        <v>I.B.3</v>
      </c>
      <c r="D114" s="101" t="str">
        <v>https://drive.google.com/open?id=1AI4iToPwSivpbJH_c1PI5SJZNZWkGtv0aSxNtZ098W4&amp;usp=drive_copy</v>
      </c>
      <c r="E114" s="101" t="str">
        <v>https://drive.google.com/open?id=1AI4iToPwSivpbJH_c1PI5SJZNZWkGtv0aSxNtZ098W4</v>
      </c>
      <c r="F114" s="102" t="str">
        <f ca="1">IFERROR(__xludf.DUMMYFUNCTION("IMPORTRANGE(H114,""IDENTITAS UNIT!D9"")"),"")</f>
        <v/>
      </c>
      <c r="H114" s="101" t="str">
        <v>https://docs.google.com/spreadsheets/d/1AI4iToPwSivpbJH_c1PI5SJZNZWkGtv0aSxNtZ098W4</v>
      </c>
      <c r="I114" s="101" t="str">
        <v>https://docs.google.com/open?id=1AI4iToPwSivpbJH_c1PI5SJZNZWkGtv0aSxNtZ098W4</v>
      </c>
      <c r="J114" s="4" t="str">
        <v>Krajan, Banjarsari, Pacitan</v>
      </c>
      <c r="L114" s="99" t="str">
        <f ca="1">IFERROR(__xludf.DUMMYFUNCTION("IMPORTRANGE(H114,""IDENTITAS UNIT!D35"")"),"Achmad Nurhardiansyah")</f>
        <v>Achmad Nurhardiansyah</v>
      </c>
    </row>
    <row r="115" spans="1:12" ht="49.5" hidden="1">
      <c r="A115" s="4" t="str">
        <v>Reguler Periode ke-101 I.C.1</v>
      </c>
      <c r="B115" s="4" t="str">
        <v>Reguler Periode ke-101</v>
      </c>
      <c r="C115" s="4" t="str">
        <v>I.C.1</v>
      </c>
      <c r="D115" s="101" t="str">
        <v>https://drive.google.com/open?id=1H_gw3ELahMZC8ASucf06ahSp52mLRSeuzs9WqLHuA2U&amp;usp=drive_copy</v>
      </c>
      <c r="E115" s="101" t="str">
        <v>https://drive.google.com/open?id=1H_gw3ELahMZC8ASucf06ahSp52mLRSeuzs9WqLHuA2U</v>
      </c>
      <c r="F115" s="103" t="str">
        <f ca="1">IFERROR(__xludf.DUMMYFUNCTION("IMPORTRANGE(H115,""IDENTITAS UNIT!D9"")"),"https://maps.app.goo.gl/L2sMSzfM9ULWMHix9")</f>
        <v>https://maps.app.goo.gl/L2sMSzfM9ULWMHix9</v>
      </c>
      <c r="H115" s="101" t="str">
        <v>https://docs.google.com/spreadsheets/d/1H_gw3ELahMZC8ASucf06ahSp52mLRSeuzs9WqLHuA2U</v>
      </c>
      <c r="I115" s="101" t="str">
        <v>https://docs.google.com/open?id=1H_gw3ELahMZC8ASucf06ahSp52mLRSeuzs9WqLHuA2U</v>
      </c>
      <c r="J115" s="4" t="str">
        <v>Demeling, Purworejo, Pacitan</v>
      </c>
      <c r="L115" s="99" t="str">
        <f ca="1">IFERROR(__xludf.DUMMYFUNCTION("IMPORTRANGE(H115,""IDENTITAS UNIT!D35"")"),"Ivanovic Maullana Mustofa")</f>
        <v>Ivanovic Maullana Mustofa</v>
      </c>
    </row>
    <row r="116" spans="1:12" ht="49.5" hidden="1">
      <c r="A116" s="4" t="str">
        <v>Reguler Periode ke-101 I.C.2</v>
      </c>
      <c r="B116" s="4" t="str">
        <v>Reguler Periode ke-101</v>
      </c>
      <c r="C116" s="4" t="str">
        <v>I.C.2</v>
      </c>
      <c r="D116" s="101" t="str">
        <v>https://drive.google.com/open?id=1HbDkQWBTrC4m6BP6mGZnpISwcXxH7rlaAYE9YshF_II&amp;usp=drive_copy</v>
      </c>
      <c r="E116" s="101" t="str">
        <v>https://drive.google.com/open?id=1HbDkQWBTrC4m6BP6mGZnpISwcXxH7rlaAYE9YshF_II</v>
      </c>
      <c r="F116" s="103" t="str">
        <f ca="1">IFERROR(__xludf.DUMMYFUNCTION("IMPORTRANGE(H116,""IDENTITAS UNIT!D9"")"),"https://maps.app.goo.gl/JU4qmBMBo4gZCHcf6")</f>
        <v>https://maps.app.goo.gl/JU4qmBMBo4gZCHcf6</v>
      </c>
      <c r="H116" s="101" t="str">
        <v>https://docs.google.com/spreadsheets/d/1HbDkQWBTrC4m6BP6mGZnpISwcXxH7rlaAYE9YshF_II</v>
      </c>
      <c r="I116" s="101" t="str">
        <v>https://docs.google.com/open?id=1HbDkQWBTrC4m6BP6mGZnpISwcXxH7rlaAYE9YshF_II</v>
      </c>
      <c r="J116" s="4" t="str">
        <v>Jati, Purworejo, Pacitan</v>
      </c>
      <c r="L116" s="99" t="str">
        <f ca="1">IFERROR(__xludf.DUMMYFUNCTION("IMPORTRANGE(H116,""IDENTITAS UNIT!D35"")"),"Rama Wijaya")</f>
        <v>Rama Wijaya</v>
      </c>
    </row>
    <row r="117" spans="1:12" ht="49.5" hidden="1">
      <c r="A117" s="4" t="str">
        <v>Reguler Periode ke-101 I.C.3</v>
      </c>
      <c r="B117" s="4" t="str">
        <v>Reguler Periode ke-101</v>
      </c>
      <c r="C117" s="4" t="str">
        <v>I.C.3</v>
      </c>
      <c r="D117" s="101" t="str">
        <v>https://drive.google.com/open?id=1KYugIwwEiOvYOpyPHcB98jKH13KQMTPamOpYz7YkUiE&amp;usp=drive_copy</v>
      </c>
      <c r="E117" s="101" t="str">
        <v>https://drive.google.com/open?id=1KYugIwwEiOvYOpyPHcB98jKH13KQMTPamOpYz7YkUiE</v>
      </c>
      <c r="F117" s="103" t="str">
        <f ca="1">IFERROR(__xludf.DUMMYFUNCTION("IMPORTRANGE(H117,""IDENTITAS UNIT!D9"")"),"https://maps.app.goo.gl/L6371bRJguU6rzfq9?g_st=ic")</f>
        <v>https://maps.app.goo.gl/L6371bRJguU6rzfq9?g_st=ic</v>
      </c>
      <c r="G117" s="4" t="s">
        <v>12790</v>
      </c>
      <c r="H117" s="101" t="str">
        <v>https://docs.google.com/spreadsheets/d/1KYugIwwEiOvYOpyPHcB98jKH13KQMTPamOpYz7YkUiE</v>
      </c>
      <c r="I117" s="101" t="str">
        <v>https://docs.google.com/open?id=1KYugIwwEiOvYOpyPHcB98jKH13KQMTPamOpYz7YkUiE</v>
      </c>
      <c r="J117" s="4" t="str">
        <v>Krajan, Purworejo, Pacitan</v>
      </c>
      <c r="L117" s="99" t="str">
        <f ca="1">IFERROR(__xludf.DUMMYFUNCTION("IMPORTRANGE(H117,""IDENTITAS UNIT!D35"")"),"Resa Kurniawan")</f>
        <v>Resa Kurniawan</v>
      </c>
    </row>
    <row r="118" spans="1:12" ht="49.5" hidden="1">
      <c r="A118" s="4" t="str">
        <v>Reguler Periode ke-101 I.D.1</v>
      </c>
      <c r="B118" s="4" t="str">
        <v>Reguler Periode ke-101</v>
      </c>
      <c r="C118" s="4" t="str">
        <v>I.D.1</v>
      </c>
      <c r="D118" s="101" t="str">
        <v>https://drive.google.com/open?id=1NvyKEQQLihaYxVjpQNCskWiifuJhyRv3QMxhWIGQhFs&amp;usp=drive_copy</v>
      </c>
      <c r="E118" s="101" t="str">
        <v>https://drive.google.com/open?id=1NvyKEQQLihaYxVjpQNCskWiifuJhyRv3QMxhWIGQhFs</v>
      </c>
      <c r="F118" s="103" t="str">
        <f ca="1">IFERROR(__xludf.DUMMYFUNCTION("IMPORTRANGE(H118,""IDENTITAS UNIT!D9"")"),"https://maps.app.goo.gl/JeS6Bp2Wdyen3fXTA")</f>
        <v>https://maps.app.goo.gl/JeS6Bp2Wdyen3fXTA</v>
      </c>
      <c r="G118" s="4" t="s">
        <v>12791</v>
      </c>
      <c r="H118" s="101" t="str">
        <v>https://docs.google.com/spreadsheets/d/1NvyKEQQLihaYxVjpQNCskWiifuJhyRv3QMxhWIGQhFs</v>
      </c>
      <c r="I118" s="101" t="str">
        <v>https://docs.google.com/open?id=1NvyKEQQLihaYxVjpQNCskWiifuJhyRv3QMxhWIGQhFs</v>
      </c>
      <c r="J118" s="4" t="str">
        <v>Kedawung, Mentoro, Pacitan</v>
      </c>
      <c r="L118" s="99" t="str">
        <f ca="1">IFERROR(__xludf.DUMMYFUNCTION("IMPORTRANGE(H118,""IDENTITAS UNIT!D35"")"),"Fanani Hidayatulloh")</f>
        <v>Fanani Hidayatulloh</v>
      </c>
    </row>
    <row r="119" spans="1:12" ht="49.5" hidden="1">
      <c r="A119" s="4" t="str">
        <v>Reguler Periode ke-101 I.D.2</v>
      </c>
      <c r="B119" s="4" t="str">
        <v>Reguler Periode ke-101</v>
      </c>
      <c r="C119" s="4" t="str">
        <v>I.D.2</v>
      </c>
      <c r="D119" s="101" t="str">
        <v>https://drive.google.com/open?id=1PQ3epZ0_cfiTD7AcemI5BM1GW7jf3rCZXMMtmZXwkpg&amp;usp=drive_copy</v>
      </c>
      <c r="E119" s="101" t="str">
        <v>https://drive.google.com/open?id=1PQ3epZ0_cfiTD7AcemI5BM1GW7jf3rCZXMMtmZXwkpg</v>
      </c>
      <c r="F119" s="103" t="str">
        <f ca="1">IFERROR(__xludf.DUMMYFUNCTION("IMPORTRANGE(H119,""IDENTITAS UNIT!D9"")"),"https://maps.app.goo.gl/BX6kGuUqfJuAemQi9")</f>
        <v>https://maps.app.goo.gl/BX6kGuUqfJuAemQi9</v>
      </c>
      <c r="G119" s="4" t="s">
        <v>12792</v>
      </c>
      <c r="H119" s="101" t="str">
        <v>https://docs.google.com/spreadsheets/d/1PQ3epZ0_cfiTD7AcemI5BM1GW7jf3rCZXMMtmZXwkpg</v>
      </c>
      <c r="I119" s="101" t="str">
        <v>https://docs.google.com/open?id=1PQ3epZ0_cfiTD7AcemI5BM1GW7jf3rCZXMMtmZXwkpg</v>
      </c>
      <c r="J119" s="4" t="str">
        <v>Duduhan, Mentoro, Pacitan</v>
      </c>
      <c r="L119" s="99" t="str">
        <f ca="1">IFERROR(__xludf.DUMMYFUNCTION("IMPORTRANGE(H119,""IDENTITAS UNIT!D35"")"),"Albays Aptuta'arim Wahid")</f>
        <v>Albays Aptuta'arim Wahid</v>
      </c>
    </row>
    <row r="120" spans="1:12" ht="16.5" hidden="1">
      <c r="A120" s="4" t="str">
        <v>Reguler Periode ke-101 I.D.3</v>
      </c>
      <c r="B120" s="4" t="str">
        <v>Reguler Periode ke-101</v>
      </c>
      <c r="C120" s="4" t="str">
        <v>I.D.3</v>
      </c>
      <c r="D120" s="101" t="str">
        <v>https://drive.google.com/open?id=1QxGgfCitr16o535x1d9UnMYRo9nTIkINAIMtBlh6o8c&amp;usp=drive_copy</v>
      </c>
      <c r="E120" s="101" t="str">
        <v>https://drive.google.com/open?id=1QxGgfCitr16o535x1d9UnMYRo9nTIkINAIMtBlh6o8c</v>
      </c>
      <c r="F120" s="102" t="str">
        <f ca="1">IFERROR(__xludf.DUMMYFUNCTION("IMPORTRANGE(H120,""IDENTITAS UNIT!D9"")"),"")</f>
        <v/>
      </c>
      <c r="H120" s="101" t="str">
        <v>https://docs.google.com/spreadsheets/d/1QxGgfCitr16o535x1d9UnMYRo9nTIkINAIMtBlh6o8c</v>
      </c>
      <c r="I120" s="101" t="str">
        <v>https://docs.google.com/open?id=1QxGgfCitr16o535x1d9UnMYRo9nTIkINAIMtBlh6o8c</v>
      </c>
      <c r="J120" s="4" t="str">
        <v>Krajan, Mentoro, Pacitan</v>
      </c>
      <c r="L120" s="99" t="str">
        <f ca="1">IFERROR(__xludf.DUMMYFUNCTION("IMPORTRANGE(H120,""IDENTITAS UNIT!D35"")"),"Deva Angga Carilliano")</f>
        <v>Deva Angga Carilliano</v>
      </c>
    </row>
    <row r="121" spans="1:12" ht="49.5" hidden="1">
      <c r="A121" s="4" t="str">
        <v>Reguler Periode ke-101 II.A.1</v>
      </c>
      <c r="B121" s="4" t="str">
        <v>Reguler Periode ke-101</v>
      </c>
      <c r="C121" s="4" t="str">
        <v>II.A.1</v>
      </c>
      <c r="D121" s="101" t="str">
        <v>https://drive.google.com/open?id=1V4yH_7ezu-rVrsvOpho86IBurptJI6IfVo1WT8tJzBI&amp;usp=drive_copy</v>
      </c>
      <c r="E121" s="101" t="str">
        <v>https://drive.google.com/open?id=1V4yH_7ezu-rVrsvOpho86IBurptJI6IfVo1WT8tJzBI</v>
      </c>
      <c r="F121" s="103" t="str">
        <f ca="1">IFERROR(__xludf.DUMMYFUNCTION("IMPORTRANGE(H121,""IDENTITAS UNIT!D9"")"),"https://maps.app.goo.gl/DpzzF15yC33WfvX26")</f>
        <v>https://maps.app.goo.gl/DpzzF15yC33WfvX26</v>
      </c>
      <c r="G121" s="4" t="s">
        <v>12793</v>
      </c>
      <c r="H121" s="101" t="str">
        <v>https://docs.google.com/spreadsheets/d/1V4yH_7ezu-rVrsvOpho86IBurptJI6IfVo1WT8tJzBI</v>
      </c>
      <c r="I121" s="101" t="str">
        <v>https://docs.google.com/open?id=1V4yH_7ezu-rVrsvOpho86IBurptJI6IfVo1WT8tJzBI</v>
      </c>
      <c r="J121" s="4" t="str">
        <v>Ngodong, Kayen, Pacitan</v>
      </c>
      <c r="L121" s="99" t="str">
        <f ca="1">IFERROR(__xludf.DUMMYFUNCTION("IMPORTRANGE(H121,""IDENTITAS UNIT!D35"")"),"Muhammad Akbar Ilham. Gp")</f>
        <v>Muhammad Akbar Ilham. Gp</v>
      </c>
    </row>
    <row r="122" spans="1:12" ht="49.5" hidden="1">
      <c r="A122" s="4" t="str">
        <v>Reguler Periode ke-101 II.A.2</v>
      </c>
      <c r="B122" s="4" t="str">
        <v>Reguler Periode ke-101</v>
      </c>
      <c r="C122" s="4" t="str">
        <v>II.A.2</v>
      </c>
      <c r="D122" s="101" t="str">
        <v>https://drive.google.com/open?id=1c7gv06DQzX8OMG64muBkEDU6ZJjbroMSSeWFQqiAAEQ&amp;usp=drive_copy</v>
      </c>
      <c r="E122" s="101" t="str">
        <v>https://drive.google.com/open?id=1c7gv06DQzX8OMG64muBkEDU6ZJjbroMSSeWFQqiAAEQ</v>
      </c>
      <c r="F122" s="103" t="str">
        <f ca="1">IFERROR(__xludf.DUMMYFUNCTION("IMPORTRANGE(H122,""IDENTITAS UNIT!D9"")"),"https://goo.gl/maps/xTHoCLPZ4GUCNxeW7")</f>
        <v>https://goo.gl/maps/xTHoCLPZ4GUCNxeW7</v>
      </c>
      <c r="G122" s="4" t="s">
        <v>12794</v>
      </c>
      <c r="H122" s="101" t="str">
        <v>https://docs.google.com/spreadsheets/d/1c7gv06DQzX8OMG64muBkEDU6ZJjbroMSSeWFQqiAAEQ</v>
      </c>
      <c r="I122" s="101" t="str">
        <v>https://docs.google.com/open?id=1c7gv06DQzX8OMG64muBkEDU6ZJjbroMSSeWFQqiAAEQ</v>
      </c>
      <c r="J122" s="4" t="str">
        <v>Nogosari, Kayen, Pacitan</v>
      </c>
      <c r="L122" s="99" t="str">
        <f ca="1">IFERROR(__xludf.DUMMYFUNCTION("IMPORTRANGE(H122,""IDENTITAS UNIT!D35"")"),"Bintang Makruf")</f>
        <v>Bintang Makruf</v>
      </c>
    </row>
    <row r="123" spans="1:12" ht="16.5" hidden="1">
      <c r="A123" s="4" t="str">
        <v>Reguler Periode ke-101 II.A.3</v>
      </c>
      <c r="B123" s="4" t="str">
        <v>Reguler Periode ke-101</v>
      </c>
      <c r="C123" s="4" t="str">
        <v>II.A.3</v>
      </c>
      <c r="D123" s="101" t="str">
        <v>https://drive.google.com/open?id=1hEZozbbt04pi8zcWWtApBLkiKCwsFW7GZPrEICLjDvs&amp;usp=drive_copy</v>
      </c>
      <c r="E123" s="101" t="str">
        <v>https://drive.google.com/open?id=1hEZozbbt04pi8zcWWtApBLkiKCwsFW7GZPrEICLjDvs</v>
      </c>
      <c r="F123" s="102" t="str">
        <f ca="1">IFERROR(__xludf.DUMMYFUNCTION("IMPORTRANGE(H123,""IDENTITAS UNIT!D9"")"),"")</f>
        <v/>
      </c>
      <c r="H123" s="101" t="str">
        <v>https://docs.google.com/spreadsheets/d/1hEZozbbt04pi8zcWWtApBLkiKCwsFW7GZPrEICLjDvs</v>
      </c>
      <c r="I123" s="101" t="str">
        <v>https://docs.google.com/open?id=1hEZozbbt04pi8zcWWtApBLkiKCwsFW7GZPrEICLjDvs</v>
      </c>
      <c r="J123" s="4" t="str">
        <v>Jelok, Kayen, Pacitan</v>
      </c>
      <c r="L123" s="99" t="str">
        <f ca="1">IFERROR(__xludf.DUMMYFUNCTION("IMPORTRANGE(H123,""IDENTITAS UNIT!D35"")"),"Achmad Adib Muaddy")</f>
        <v>Achmad Adib Muaddy</v>
      </c>
    </row>
    <row r="124" spans="1:12" ht="49.5" hidden="1">
      <c r="A124" s="4" t="str">
        <v>Reguler Periode ke-101 II.B.1</v>
      </c>
      <c r="B124" s="4" t="str">
        <v>Reguler Periode ke-101</v>
      </c>
      <c r="C124" s="4" t="str">
        <v>II.B.1</v>
      </c>
      <c r="D124" s="101" t="str">
        <v>https://drive.google.com/open?id=1ZOx50n9LxDnUJ4WoZJfQAW77psTsnQhwPusYOEBG7Ng&amp;usp=drive_copy</v>
      </c>
      <c r="E124" s="101" t="str">
        <v>https://drive.google.com/open?id=1ZOx50n9LxDnUJ4WoZJfQAW77psTsnQhwPusYOEBG7Ng</v>
      </c>
      <c r="F124" s="103" t="str">
        <f ca="1">IFERROR(__xludf.DUMMYFUNCTION("IMPORTRANGE(H124,""IDENTITAS UNIT!D9"")"),"https://maps.app.goo.gl/3Ha5Mnv1p9tGzHjP7")</f>
        <v>https://maps.app.goo.gl/3Ha5Mnv1p9tGzHjP7</v>
      </c>
      <c r="H124" s="101" t="str">
        <v>https://docs.google.com/spreadsheets/d/1ZOx50n9LxDnUJ4WoZJfQAW77psTsnQhwPusYOEBG7Ng</v>
      </c>
      <c r="I124" s="101" t="str">
        <v>https://docs.google.com/open?id=1ZOx50n9LxDnUJ4WoZJfQAW77psTsnQhwPusYOEBG7Ng</v>
      </c>
      <c r="J124" s="4" t="str">
        <v>Siwilan, Kayen, Pacitan</v>
      </c>
      <c r="L124" s="99" t="str">
        <f ca="1">IFERROR(__xludf.DUMMYFUNCTION("IMPORTRANGE(H124,""IDENTITAS UNIT!D35"")"),"Rizzal Muiz Fauzan")</f>
        <v>Rizzal Muiz Fauzan</v>
      </c>
    </row>
    <row r="125" spans="1:12" ht="66" hidden="1">
      <c r="A125" s="4" t="str">
        <v>Reguler Periode ke-101 II.B.2</v>
      </c>
      <c r="B125" s="4" t="str">
        <v>Reguler Periode ke-101</v>
      </c>
      <c r="C125" s="4" t="str">
        <v>II.B.2</v>
      </c>
      <c r="D125" s="101" t="str">
        <v>https://drive.google.com/open?id=1lbfJnMNqpi7gKnqhOm8ZeIrD89z1Gwdkb6n5q7UYH0s&amp;usp=drive_copy</v>
      </c>
      <c r="E125" s="101" t="str">
        <v>https://drive.google.com/open?id=1lbfJnMNqpi7gKnqhOm8ZeIrD89z1Gwdkb6n5q7UYH0s</v>
      </c>
      <c r="F125" s="103" t="str">
        <f ca="1">IFERROR(__xludf.DUMMYFUNCTION("IMPORTRANGE(H125,""IDENTITAS UNIT!D9"")"),"https://maps.google.com/?cid=3360584340399266539&amp;entry=gps")</f>
        <v>https://maps.google.com/?cid=3360584340399266539&amp;entry=gps</v>
      </c>
      <c r="G125" s="4" t="s">
        <v>12795</v>
      </c>
      <c r="H125" s="101" t="str">
        <v>https://docs.google.com/spreadsheets/d/1lbfJnMNqpi7gKnqhOm8ZeIrD89z1Gwdkb6n5q7UYH0s</v>
      </c>
      <c r="I125" s="101" t="str">
        <v>https://docs.google.com/open?id=1lbfJnMNqpi7gKnqhOm8ZeIrD89z1Gwdkb6n5q7UYH0s</v>
      </c>
      <c r="J125" s="4" t="str">
        <v>Gundi, Kayen, Pacitan</v>
      </c>
      <c r="L125" s="99" t="str">
        <f ca="1">IFERROR(__xludf.DUMMYFUNCTION("IMPORTRANGE(H125,""IDENTITAS UNIT!D35"")"),"Muhammad Satrio Nadhif Pratisto")</f>
        <v>Muhammad Satrio Nadhif Pratisto</v>
      </c>
    </row>
    <row r="126" spans="1:12" ht="198" hidden="1">
      <c r="A126" s="4" t="str">
        <v>Reguler Periode ke-101 II.B.3</v>
      </c>
      <c r="B126" s="4" t="str">
        <v>Reguler Periode ke-101</v>
      </c>
      <c r="C126" s="4" t="str">
        <v>II.B.3</v>
      </c>
      <c r="D126" s="101" t="str">
        <v>https://drive.google.com/open?id=1oXgW9d39z9Ms3zj6EQ_JgQZZGZMYRDeEVH0gGj1xLs8&amp;usp=drive_copy</v>
      </c>
      <c r="E126" s="101" t="str">
        <v>https://drive.google.com/open?id=1oXgW9d39z9Ms3zj6EQ_JgQZZGZMYRDeEVH0gGj1xLs8</v>
      </c>
      <c r="F126" s="103" t="str">
        <f ca="1">IFERROR(__xludf.DUMMYFUNCTION("IMPORTRANGE(H126,""IDENTITAS UNIT!D9"")"),"https://www.google.com/maps/place/tokopacitan.com/@-8.2135691,111.1377661,17z/data=!3m1!4b1!4m6!3m5!1s0x2e7961abaaaaaaab:0xff45dbfad341bd6f!8m2!3d-8.2135691!4d111.1377661!16s%2Fg%2F11c5xm198b")</f>
        <v>https://www.google.com/maps/place/tokopacitan.com/@-8.2135691,111.1377661,17z/data=!3m1!4b1!4m6!3m5!1s0x2e7961abaaaaaaab:0xff45dbfad341bd6f!8m2!3d-8.2135691!4d111.1377661!16s%2Fg%2F11c5xm198b</v>
      </c>
      <c r="G126" s="4" t="s">
        <v>12796</v>
      </c>
      <c r="H126" s="101" t="str">
        <v>https://docs.google.com/spreadsheets/d/1oXgW9d39z9Ms3zj6EQ_JgQZZGZMYRDeEVH0gGj1xLs8</v>
      </c>
      <c r="I126" s="101" t="str">
        <v>https://docs.google.com/open?id=1oXgW9d39z9Ms3zj6EQ_JgQZZGZMYRDeEVH0gGj1xLs8</v>
      </c>
      <c r="J126" s="4" t="str">
        <v>Krajan, Kayen, Pacitan</v>
      </c>
      <c r="L126" s="99" t="str">
        <f ca="1">IFERROR(__xludf.DUMMYFUNCTION("IMPORTRANGE(H126,""IDENTITAS UNIT!D35"")"),"Muhamad Didan Zaneti")</f>
        <v>Muhamad Didan Zaneti</v>
      </c>
    </row>
    <row r="127" spans="1:12" ht="49.5" hidden="1">
      <c r="A127" s="4" t="str">
        <v>Reguler Periode ke-101 II.C.1</v>
      </c>
      <c r="B127" s="4" t="str">
        <v>Reguler Periode ke-101</v>
      </c>
      <c r="C127" s="4" t="str">
        <v>II.C.1</v>
      </c>
      <c r="D127" s="101" t="str">
        <v>https://drive.google.com/open?id=1orFFrto1scfZ9mDQORWo96lHzeZL36XJm36lwAaox38&amp;usp=drive_copy</v>
      </c>
      <c r="E127" s="101" t="str">
        <v>https://drive.google.com/open?id=1orFFrto1scfZ9mDQORWo96lHzeZL36XJm36lwAaox38</v>
      </c>
      <c r="F127" s="103" t="str">
        <f ca="1">IFERROR(__xludf.DUMMYFUNCTION("IMPORTRANGE(H127,""IDENTITAS UNIT!D9"")"),"https://goo.gl/maps/7knLMq34YQksDF7B8")</f>
        <v>https://goo.gl/maps/7knLMq34YQksDF7B8</v>
      </c>
      <c r="G127" s="4" t="s">
        <v>12797</v>
      </c>
      <c r="H127" s="101" t="str">
        <v>https://docs.google.com/spreadsheets/d/1orFFrto1scfZ9mDQORWo96lHzeZL36XJm36lwAaox38</v>
      </c>
      <c r="I127" s="101" t="str">
        <v>https://docs.google.com/open?id=1orFFrto1scfZ9mDQORWo96lHzeZL36XJm36lwAaox38</v>
      </c>
      <c r="J127" s="4" t="str">
        <v>Djarum, Sukoharjo, Pacitan</v>
      </c>
      <c r="L127" s="99" t="str">
        <f ca="1">IFERROR(__xludf.DUMMYFUNCTION("IMPORTRANGE(H127,""IDENTITAS UNIT!D35"")"),"Erwin Septiawan")</f>
        <v>Erwin Septiawan</v>
      </c>
    </row>
    <row r="128" spans="1:12" ht="49.5" hidden="1">
      <c r="A128" s="4" t="str">
        <v>Reguler Periode ke-101 II.C.2</v>
      </c>
      <c r="B128" s="4" t="str">
        <v>Reguler Periode ke-101</v>
      </c>
      <c r="C128" s="4" t="str">
        <v>II.C.2</v>
      </c>
      <c r="D128" s="101" t="str">
        <v>https://drive.google.com/open?id=1rtTNWNY9LpjZeUWyikVb8KbSfvtENrROve13kIkmVMk&amp;usp=drive_copy</v>
      </c>
      <c r="E128" s="101" t="str">
        <v>https://drive.google.com/open?id=1rtTNWNY9LpjZeUWyikVb8KbSfvtENrROve13kIkmVMk</v>
      </c>
      <c r="F128" s="103" t="str">
        <f ca="1">IFERROR(__xludf.DUMMYFUNCTION("IMPORTRANGE(H128,""IDENTITAS UNIT!D9"")"),"https://goo.gl/maps/47dhdBHqLFAUWGe68")</f>
        <v>https://goo.gl/maps/47dhdBHqLFAUWGe68</v>
      </c>
      <c r="H128" s="101" t="str">
        <v>https://docs.google.com/spreadsheets/d/1rtTNWNY9LpjZeUWyikVb8KbSfvtENrROve13kIkmVMk</v>
      </c>
      <c r="I128" s="101" t="str">
        <v>https://docs.google.com/open?id=1rtTNWNY9LpjZeUWyikVb8KbSfvtENrROve13kIkmVMk</v>
      </c>
      <c r="J128" s="4" t="str">
        <v>Nitikan, Sukoharjo, Pacitan</v>
      </c>
      <c r="L128" s="99" t="str">
        <f ca="1">IFERROR(__xludf.DUMMYFUNCTION("IMPORTRANGE(H128,""IDENTITAS UNIT!D35"")"),"Itsna Fikri Nurhadi")</f>
        <v>Itsna Fikri Nurhadi</v>
      </c>
    </row>
    <row r="129" spans="1:12" ht="49.5" hidden="1">
      <c r="A129" s="4" t="str">
        <v>Reguler Periode ke-101 II.C.3</v>
      </c>
      <c r="B129" s="4" t="str">
        <v>Reguler Periode ke-101</v>
      </c>
      <c r="C129" s="4" t="str">
        <v>II.C.3</v>
      </c>
      <c r="D129" s="101" t="str">
        <v>https://drive.google.com/open?id=1uY6Pz6tteiw0PV8afHgeCW4qi-ZPFno6zGTGTFVrdVg&amp;usp=drive_copy</v>
      </c>
      <c r="E129" s="101" t="str">
        <v>https://drive.google.com/open?id=1uY6Pz6tteiw0PV8afHgeCW4qi-ZPFno6zGTGTFVrdVg</v>
      </c>
      <c r="F129" s="103" t="str">
        <f ca="1">IFERROR(__xludf.DUMMYFUNCTION("IMPORTRANGE(H129,""IDENTITAS UNIT!D9"")"),"https://goo.gl/maps/xuia4pfNr4qtuFXp8")</f>
        <v>https://goo.gl/maps/xuia4pfNr4qtuFXp8</v>
      </c>
      <c r="G129" s="4" t="s">
        <v>12798</v>
      </c>
      <c r="H129" s="101" t="str">
        <v>https://docs.google.com/spreadsheets/d/1uY6Pz6tteiw0PV8afHgeCW4qi-ZPFno6zGTGTFVrdVg</v>
      </c>
      <c r="I129" s="101" t="str">
        <v>https://docs.google.com/open?id=1uY6Pz6tteiw0PV8afHgeCW4qi-ZPFno6zGTGTFVrdVg</v>
      </c>
      <c r="J129" s="4" t="str">
        <v>Ngerjoso, Sukoharjo, Pacitan</v>
      </c>
      <c r="L129" s="99" t="str">
        <f ca="1">IFERROR(__xludf.DUMMYFUNCTION("IMPORTRANGE(H129,""IDENTITAS UNIT!D35"")"),"Mikhail Arif Reniurwarin")</f>
        <v>Mikhail Arif Reniurwarin</v>
      </c>
    </row>
    <row r="130" spans="1:12" ht="16.5" hidden="1">
      <c r="A130" s="4" t="str">
        <v>Reguler Periode ke-101 II.D.1</v>
      </c>
      <c r="B130" s="4" t="str">
        <v>Reguler Periode ke-101</v>
      </c>
      <c r="C130" s="4" t="str">
        <v>II.D.1</v>
      </c>
      <c r="D130" s="101" t="str">
        <v>https://drive.google.com/open?id=1wuTP6ZyVjkSrlxTL8N9Ko9Ahw4roz-bpCZiVKoGmPgw&amp;usp=drive_copy</v>
      </c>
      <c r="E130" s="101" t="str">
        <v>https://drive.google.com/open?id=1wuTP6ZyVjkSrlxTL8N9Ko9Ahw4roz-bpCZiVKoGmPgw</v>
      </c>
      <c r="F130" s="102" t="str">
        <f ca="1">IFERROR(__xludf.DUMMYFUNCTION("IMPORTRANGE(H130,""IDENTITAS UNIT!D9"")"),"")</f>
        <v/>
      </c>
      <c r="H130" s="101" t="str">
        <v>https://docs.google.com/spreadsheets/d/1wuTP6ZyVjkSrlxTL8N9Ko9Ahw4roz-bpCZiVKoGmPgw</v>
      </c>
      <c r="I130" s="101" t="str">
        <v>https://docs.google.com/open?id=1wuTP6ZyVjkSrlxTL8N9Ko9Ahw4roz-bpCZiVKoGmPgw</v>
      </c>
      <c r="J130" s="4" t="str">
        <v>Siten, Sumbermulyo, Bambanglipuro</v>
      </c>
      <c r="L130" s="99" t="str">
        <f ca="1">IFERROR(__xludf.DUMMYFUNCTION("IMPORTRANGE(H130,""IDENTITAS UNIT!D35"")"),"Dani Kusuma Wardana")</f>
        <v>Dani Kusuma Wardana</v>
      </c>
    </row>
    <row r="131" spans="1:12" ht="49.5" hidden="1">
      <c r="A131" s="4" t="str">
        <v>Reguler Periode ke-101 II.D.2</v>
      </c>
      <c r="B131" s="4" t="str">
        <v>Reguler Periode ke-101</v>
      </c>
      <c r="C131" s="4" t="str">
        <v>II.D.2</v>
      </c>
      <c r="D131" s="101" t="str">
        <v>https://drive.google.com/open?id=1xX2OCF10bCMG1NSt35BfuokC4pvbrNMI3vl4skht4QA&amp;usp=drive_copy</v>
      </c>
      <c r="E131" s="101" t="str">
        <v>https://drive.google.com/open?id=1xX2OCF10bCMG1NSt35BfuokC4pvbrNMI3vl4skht4QA</v>
      </c>
      <c r="F131" s="103" t="str">
        <f ca="1">IFERROR(__xludf.DUMMYFUNCTION("IMPORTRANGE(H131,""IDENTITAS UNIT!D9"")"),"https://maps.app.goo.gl/r6zDMbSLefAy6fmU8")</f>
        <v>https://maps.app.goo.gl/r6zDMbSLefAy6fmU8</v>
      </c>
      <c r="G131" s="4" t="s">
        <v>12799</v>
      </c>
      <c r="H131" s="101" t="str">
        <v>https://docs.google.com/spreadsheets/d/1xX2OCF10bCMG1NSt35BfuokC4pvbrNMI3vl4skht4QA</v>
      </c>
      <c r="I131" s="101" t="str">
        <v>https://docs.google.com/open?id=1xX2OCF10bCMG1NSt35BfuokC4pvbrNMI3vl4skht4QA</v>
      </c>
      <c r="J131" s="4" t="str">
        <v>Gunungan, Sumbermulyo, Bambanglipuro</v>
      </c>
      <c r="L131" s="99" t="str">
        <f ca="1">IFERROR(__xludf.DUMMYFUNCTION("IMPORTRANGE(H131,""IDENTITAS UNIT!D35"")"),"Anas Frentino Jasuma")</f>
        <v>Anas Frentino Jasuma</v>
      </c>
    </row>
    <row r="132" spans="1:12" ht="49.5" hidden="1">
      <c r="A132" s="4" t="str">
        <v>Reguler Periode ke-101 II.D.3</v>
      </c>
      <c r="B132" s="4" t="str">
        <v>Reguler Periode ke-101</v>
      </c>
      <c r="C132" s="4" t="str">
        <v>II.D.3</v>
      </c>
      <c r="D132" s="101" t="str">
        <v>https://drive.google.com/open?id=1zuVHOafl08m2jZNZHiCWOmEPOxq6cwD9akQ1PkR1dEQ&amp;usp=drive_copy</v>
      </c>
      <c r="E132" s="101" t="str">
        <v>https://drive.google.com/open?id=1zuVHOafl08m2jZNZHiCWOmEPOxq6cwD9akQ1PkR1dEQ</v>
      </c>
      <c r="F132" s="103" t="str">
        <f ca="1">IFERROR(__xludf.DUMMYFUNCTION("IMPORTRANGE(H132,""IDENTITAS UNIT!D9"")"),"https://maps.app.goo.gl/X5r21dFqD8U8zAWP9")</f>
        <v>https://maps.app.goo.gl/X5r21dFqD8U8zAWP9</v>
      </c>
      <c r="G132" s="4" t="s">
        <v>12800</v>
      </c>
      <c r="H132" s="101" t="str">
        <v>https://docs.google.com/spreadsheets/d/1zuVHOafl08m2jZNZHiCWOmEPOxq6cwD9akQ1PkR1dEQ</v>
      </c>
      <c r="I132" s="101" t="str">
        <v>https://docs.google.com/open?id=1zuVHOafl08m2jZNZHiCWOmEPOxq6cwD9akQ1PkR1dEQ</v>
      </c>
      <c r="J132" s="4" t="str">
        <v>Jogodayoh, Sumbermulyo, Bambanglipuro</v>
      </c>
      <c r="L132" s="99" t="str">
        <f ca="1">IFERROR(__xludf.DUMMYFUNCTION("IMPORTRANGE(H132,""IDENTITAS UNIT!D35"")"),"Nanda Junizar Rahmadani")</f>
        <v>Nanda Junizar Rahmadani</v>
      </c>
    </row>
    <row r="133" spans="1:12" ht="49.5" hidden="1">
      <c r="A133" s="4" t="str">
        <v>Reguler Periode ke-101 III.A.1</v>
      </c>
      <c r="B133" s="4" t="str">
        <v>Reguler Periode ke-101</v>
      </c>
      <c r="C133" s="4" t="str">
        <v>III.A.1</v>
      </c>
      <c r="D133" s="101" t="str">
        <v>https://drive.google.com/open?id=10SsfHfjMWVVwwkAQdyfHcZnV2TxslEEFeE11YoZT14I&amp;usp=drive_copy</v>
      </c>
      <c r="E133" s="101" t="str">
        <v>https://drive.google.com/open?id=10SsfHfjMWVVwwkAQdyfHcZnV2TxslEEFeE11YoZT14I</v>
      </c>
      <c r="F133" s="103" t="str">
        <f ca="1">IFERROR(__xludf.DUMMYFUNCTION("IMPORTRANGE(H133,""IDENTITAS UNIT!D9"")"),"https://goo.gl/maps/nzEceR3j7dvNuvnX7")</f>
        <v>https://goo.gl/maps/nzEceR3j7dvNuvnX7</v>
      </c>
      <c r="G133" s="4" t="s">
        <v>12801</v>
      </c>
      <c r="H133" s="101" t="str">
        <v>https://docs.google.com/spreadsheets/d/10SsfHfjMWVVwwkAQdyfHcZnV2TxslEEFeE11YoZT14I</v>
      </c>
      <c r="I133" s="101" t="str">
        <v>https://docs.google.com/open?id=10SsfHfjMWVVwwkAQdyfHcZnV2TxslEEFeE11YoZT14I</v>
      </c>
      <c r="J133" s="4" t="str">
        <v>Kintelan, Sumbermulyo, Bambanglipuro</v>
      </c>
      <c r="L133" s="99" t="str">
        <f ca="1">IFERROR(__xludf.DUMMYFUNCTION("IMPORTRANGE(H133,""IDENTITAS UNIT!D35"")"),"Falah Maulana Ferdian")</f>
        <v>Falah Maulana Ferdian</v>
      </c>
    </row>
    <row r="134" spans="1:12" ht="16.5" hidden="1">
      <c r="A134" s="4" t="str">
        <v>Reguler Periode ke-101 III.A.2</v>
      </c>
      <c r="B134" s="4" t="str">
        <v>Reguler Periode ke-101</v>
      </c>
      <c r="C134" s="4" t="str">
        <v>III.A.2</v>
      </c>
      <c r="D134" s="101" t="str">
        <v>https://drive.google.com/open?id=10Zzf91qP1H2PDmRipKtckjdBJNkXcHj30vf15FYyiAA&amp;usp=drive_copy</v>
      </c>
      <c r="E134" s="101" t="str">
        <v>https://drive.google.com/open?id=10Zzf91qP1H2PDmRipKtckjdBJNkXcHj30vf15FYyiAA</v>
      </c>
      <c r="F134" s="102" t="str">
        <f ca="1">IFERROR(__xludf.DUMMYFUNCTION("IMPORTRANGE(H134,""IDENTITAS UNIT!D9"")"),"")</f>
        <v/>
      </c>
      <c r="H134" s="101" t="str">
        <v>https://docs.google.com/spreadsheets/d/10Zzf91qP1H2PDmRipKtckjdBJNkXcHj30vf15FYyiAA</v>
      </c>
      <c r="I134" s="101" t="str">
        <v>https://docs.google.com/open?id=10Zzf91qP1H2PDmRipKtckjdBJNkXcHj30vf15FYyiAA</v>
      </c>
      <c r="J134" s="4" t="str">
        <v>Samen, Sumbermulyo, Bambanglipuro</v>
      </c>
      <c r="L134" s="99" t="str">
        <f ca="1">IFERROR(__xludf.DUMMYFUNCTION("IMPORTRANGE(H134,""IDENTITAS UNIT!D35"")"),"Reihan Armalan Enon")</f>
        <v>Reihan Armalan Enon</v>
      </c>
    </row>
    <row r="135" spans="1:12" ht="49.5" hidden="1">
      <c r="A135" s="4" t="str">
        <v>Reguler Periode ke-101 III.A.3</v>
      </c>
      <c r="B135" s="4" t="str">
        <v>Reguler Periode ke-101</v>
      </c>
      <c r="C135" s="4" t="str">
        <v>III.A.3</v>
      </c>
      <c r="D135" s="101" t="str">
        <v>https://drive.google.com/open?id=11OokbP0EVmmdg1_tOqNaSEJC7nRHVLe4ULP8VTkxO2s&amp;usp=drive_copy</v>
      </c>
      <c r="E135" s="101" t="str">
        <v>https://drive.google.com/open?id=11OokbP0EVmmdg1_tOqNaSEJC7nRHVLe4ULP8VTkxO2s</v>
      </c>
      <c r="F135" s="103" t="str">
        <f ca="1">IFERROR(__xludf.DUMMYFUNCTION("IMPORTRANGE(H135,""IDENTITAS UNIT!D9"")"),"https://maps.app.goo.gl/fhKbZvaPad5gvuK8A")</f>
        <v>https://maps.app.goo.gl/fhKbZvaPad5gvuK8A</v>
      </c>
      <c r="G135" s="4" t="s">
        <v>12802</v>
      </c>
      <c r="H135" s="101" t="str">
        <v>https://docs.google.com/spreadsheets/d/11OokbP0EVmmdg1_tOqNaSEJC7nRHVLe4ULP8VTkxO2s</v>
      </c>
      <c r="I135" s="101" t="str">
        <v>https://docs.google.com/open?id=11OokbP0EVmmdg1_tOqNaSEJC7nRHVLe4ULP8VTkxO2s</v>
      </c>
      <c r="J135" s="4" t="str">
        <v>Caben, Sumbermulyo, Bambanglipuro</v>
      </c>
      <c r="L135" s="99" t="str">
        <f ca="1">IFERROR(__xludf.DUMMYFUNCTION("IMPORTRANGE(H135,""IDENTITAS UNIT!D35"")"),"Alvian Nur Akbar Syaifullah")</f>
        <v>Alvian Nur Akbar Syaifullah</v>
      </c>
    </row>
    <row r="136" spans="1:12" ht="49.5" hidden="1">
      <c r="A136" s="4" t="str">
        <v>Reguler Periode ke-101 III.B.1</v>
      </c>
      <c r="B136" s="4" t="str">
        <v>Reguler Periode ke-101</v>
      </c>
      <c r="C136" s="4" t="str">
        <v>III.B.1</v>
      </c>
      <c r="D136" s="101" t="str">
        <v>https://drive.google.com/open?id=11oNatRDgf7GL14aK3o_6sI2AtRPtWUSXcbIKwqJFPyY&amp;usp=drive_copy</v>
      </c>
      <c r="E136" s="101" t="str">
        <v>https://drive.google.com/open?id=11oNatRDgf7GL14aK3o_6sI2AtRPtWUSXcbIKwqJFPyY</v>
      </c>
      <c r="F136" s="103" t="str">
        <f ca="1">IFERROR(__xludf.DUMMYFUNCTION("IMPORTRANGE(H136,""IDENTITAS UNIT!D9"")"),"https://maps.app.goo.gl/zVqi3bVM7JNeo35a6?g_st=iw")</f>
        <v>https://maps.app.goo.gl/zVqi3bVM7JNeo35a6?g_st=iw</v>
      </c>
      <c r="G136" s="4" t="s">
        <v>12803</v>
      </c>
      <c r="H136" s="101" t="str">
        <v>https://docs.google.com/spreadsheets/d/11oNatRDgf7GL14aK3o_6sI2AtRPtWUSXcbIKwqJFPyY</v>
      </c>
      <c r="I136" s="101" t="str">
        <v>https://docs.google.com/open?id=11oNatRDgf7GL14aK3o_6sI2AtRPtWUSXcbIKwqJFPyY</v>
      </c>
      <c r="J136" s="4" t="str">
        <v>Bondalem, Sumbermulyo, Bambanglipuro</v>
      </c>
      <c r="L136" s="99" t="str">
        <f ca="1">IFERROR(__xludf.DUMMYFUNCTION("IMPORTRANGE(H136,""IDENTITAS UNIT!D35"")"),"Muhammad Ikhwan Naufal")</f>
        <v>Muhammad Ikhwan Naufal</v>
      </c>
    </row>
    <row r="137" spans="1:12" ht="49.5" hidden="1">
      <c r="A137" s="4" t="str">
        <v>Reguler Periode ke-101 III.B.2</v>
      </c>
      <c r="B137" s="4" t="str">
        <v>Reguler Periode ke-101</v>
      </c>
      <c r="C137" s="4" t="str">
        <v>III.B.2</v>
      </c>
      <c r="D137" s="101" t="str">
        <v>https://drive.google.com/open?id=13o-MrHOy5GLcrolWE6M5psOzd-f1KxHoaJis0Yff9XE&amp;usp=drive_copy</v>
      </c>
      <c r="E137" s="101" t="str">
        <v>https://drive.google.com/open?id=13o-MrHOy5GLcrolWE6M5psOzd-f1KxHoaJis0Yff9XE</v>
      </c>
      <c r="F137" s="103" t="str">
        <f ca="1">IFERROR(__xludf.DUMMYFUNCTION("IMPORTRANGE(H137,""IDENTITAS UNIT!D9"")"),"https://maps.app.goo.gl/FgwNguTGHGgLvcv39?g_st=ic")</f>
        <v>https://maps.app.goo.gl/FgwNguTGHGgLvcv39?g_st=ic</v>
      </c>
      <c r="G137" s="4" t="s">
        <v>12804</v>
      </c>
      <c r="H137" s="101" t="str">
        <v>https://docs.google.com/spreadsheets/d/13o-MrHOy5GLcrolWE6M5psOzd-f1KxHoaJis0Yff9XE</v>
      </c>
      <c r="I137" s="101" t="str">
        <v>https://docs.google.com/open?id=13o-MrHOy5GLcrolWE6M5psOzd-f1KxHoaJis0Yff9XE</v>
      </c>
      <c r="J137" s="4" t="str">
        <v>Gersik, Sumbermulyo, Bambanglipuro</v>
      </c>
      <c r="L137" s="99" t="str">
        <f ca="1">IFERROR(__xludf.DUMMYFUNCTION("IMPORTRANGE(H137,""IDENTITAS UNIT!D35"")"),"Ardhiansyah Pradana")</f>
        <v>Ardhiansyah Pradana</v>
      </c>
    </row>
    <row r="138" spans="1:12" ht="49.5" hidden="1">
      <c r="A138" s="4" t="str">
        <v>Reguler Periode ke-101 III.B.3</v>
      </c>
      <c r="B138" s="4" t="str">
        <v>Reguler Periode ke-101</v>
      </c>
      <c r="C138" s="4" t="str">
        <v>III.B.3</v>
      </c>
      <c r="D138" s="101" t="str">
        <v>https://drive.google.com/open?id=13zju-bIiFlXLoG38GhXwrj0pcNq_0PKACRFt4wNkVRU&amp;usp=drive_copy</v>
      </c>
      <c r="E138" s="101" t="str">
        <v>https://drive.google.com/open?id=13zju-bIiFlXLoG38GhXwrj0pcNq_0PKACRFt4wNkVRU</v>
      </c>
      <c r="F138" s="103" t="str">
        <f ca="1">IFERROR(__xludf.DUMMYFUNCTION("IMPORTRANGE(H138,""IDENTITAS UNIT!D9"")"),"Kapanewon Bambanglipuro Kabupaten Bantul")</f>
        <v>Kapanewon Bambanglipuro Kabupaten Bantul</v>
      </c>
      <c r="H138" s="101" t="str">
        <v>https://docs.google.com/spreadsheets/d/13zju-bIiFlXLoG38GhXwrj0pcNq_0PKACRFt4wNkVRU</v>
      </c>
      <c r="I138" s="101" t="str">
        <v>https://docs.google.com/open?id=13zju-bIiFlXLoG38GhXwrj0pcNq_0PKACRFt4wNkVRU</v>
      </c>
      <c r="J138" s="4" t="str">
        <v>Gedogan, Sumbermulyo, Bambanglipuro</v>
      </c>
      <c r="L138" s="99" t="str">
        <f ca="1">IFERROR(__xludf.DUMMYFUNCTION("IMPORTRANGE(H138,""IDENTITAS UNIT!D35"")"),"Yoga Pratama")</f>
        <v>Yoga Pratama</v>
      </c>
    </row>
    <row r="139" spans="1:12" ht="49.5" hidden="1">
      <c r="A139" s="4" t="str">
        <v>Reguler Periode ke-101 III.C.1</v>
      </c>
      <c r="B139" s="4" t="str">
        <v>Reguler Periode ke-101</v>
      </c>
      <c r="C139" s="4" t="str">
        <v>III.C.1</v>
      </c>
      <c r="D139" s="101" t="str">
        <v>https://drive.google.com/open?id=160mwCVwARWMQQn4nKh_XybjFtd9XBFLnLPGaCl9zHqA&amp;usp=drive_copy</v>
      </c>
      <c r="E139" s="101" t="str">
        <v>https://drive.google.com/open?id=160mwCVwARWMQQn4nKh_XybjFtd9XBFLnLPGaCl9zHqA</v>
      </c>
      <c r="F139" s="103" t="str">
        <f ca="1">IFERROR(__xludf.DUMMYFUNCTION("IMPORTRANGE(H139,""IDENTITAS UNIT!D9"")"),"https://goo.gl/maps/4jLnxWqpJEbuF2HP9")</f>
        <v>https://goo.gl/maps/4jLnxWqpJEbuF2HP9</v>
      </c>
      <c r="G139" s="4" t="s">
        <v>12805</v>
      </c>
      <c r="H139" s="101" t="str">
        <v>https://docs.google.com/spreadsheets/d/160mwCVwARWMQQn4nKh_XybjFtd9XBFLnLPGaCl9zHqA</v>
      </c>
      <c r="I139" s="101" t="str">
        <v>https://docs.google.com/open?id=160mwCVwARWMQQn4nKh_XybjFtd9XBFLnLPGaCl9zHqA</v>
      </c>
      <c r="J139" s="4" t="str">
        <v>Plumbungan, Sumbermulyo, Bambanglipuro</v>
      </c>
      <c r="L139" s="99" t="str">
        <f ca="1">IFERROR(__xludf.DUMMYFUNCTION("IMPORTRANGE(H139,""IDENTITAS UNIT!D35"")"),"Tari Hardiyanti")</f>
        <v>Tari Hardiyanti</v>
      </c>
    </row>
    <row r="140" spans="1:12" ht="49.5" hidden="1">
      <c r="A140" s="4" t="str">
        <v>Reguler Periode ke-101 III.C.2</v>
      </c>
      <c r="B140" s="4" t="str">
        <v>Reguler Periode ke-101</v>
      </c>
      <c r="C140" s="4" t="str">
        <v>III.C.2</v>
      </c>
      <c r="D140" s="101" t="str">
        <v>https://drive.google.com/open?id=17BYHu_4eHwIFiihrpOpzhc-MhEVBCao5FjkTcBvd_1w&amp;usp=drive_copy</v>
      </c>
      <c r="E140" s="101" t="str">
        <v>https://drive.google.com/open?id=17BYHu_4eHwIFiihrpOpzhc-MhEVBCao5FjkTcBvd_1w</v>
      </c>
      <c r="F140" s="103" t="str">
        <f ca="1">IFERROR(__xludf.DUMMYFUNCTION("IMPORTRANGE(H140,""IDENTITAS UNIT!D9"")"),"https://goo.gl/maps/3AJ8M1fdftAsAsB68")</f>
        <v>https://goo.gl/maps/3AJ8M1fdftAsAsB68</v>
      </c>
      <c r="G140" s="4" t="s">
        <v>12806</v>
      </c>
      <c r="H140" s="101" t="str">
        <v>https://docs.google.com/spreadsheets/d/17BYHu_4eHwIFiihrpOpzhc-MhEVBCao5FjkTcBvd_1w</v>
      </c>
      <c r="I140" s="101" t="str">
        <v>https://docs.google.com/open?id=17BYHu_4eHwIFiihrpOpzhc-MhEVBCao5FjkTcBvd_1w</v>
      </c>
      <c r="J140" s="4" t="str">
        <v>Tangkilan, Sumbermulyo, Bambanglipuro</v>
      </c>
      <c r="L140" s="99" t="str">
        <f ca="1">IFERROR(__xludf.DUMMYFUNCTION("IMPORTRANGE(H140,""IDENTITAS UNIT!D35"")"),"Satria Muhammad Reza")</f>
        <v>Satria Muhammad Reza</v>
      </c>
    </row>
    <row r="141" spans="1:12" ht="82.5" hidden="1">
      <c r="A141" s="4" t="str">
        <v>Reguler Periode ke-101 III.C.3</v>
      </c>
      <c r="B141" s="4" t="str">
        <v>Reguler Periode ke-101</v>
      </c>
      <c r="C141" s="4" t="str">
        <v>III.C.3</v>
      </c>
      <c r="D141" s="101" t="str">
        <v>https://drive.google.com/open?id=1G034Ca2SXPIjqSO13Pdt1kyW9xeO96TuNSKDyn9gYO0&amp;usp=drive_copy</v>
      </c>
      <c r="E141" s="101" t="str">
        <v>https://drive.google.com/open?id=1G034Ca2SXPIjqSO13Pdt1kyW9xeO96TuNSKDyn9gYO0</v>
      </c>
      <c r="F141" s="103" t="str">
        <f ca="1">IFERROR(__xludf.DUMMYFUNCTION("IMPORTRANGE(H141,""IDENTITAS UNIT!D9"")"),"https://maps.google.com/maps?q=-7.92449426651001%2C110.30906677246094&amp;z=17&amp;hl=en")</f>
        <v>https://maps.google.com/maps?q=-7.92449426651001%2C110.30906677246094&amp;z=17&amp;hl=en</v>
      </c>
      <c r="G141" s="4" t="s">
        <v>12807</v>
      </c>
      <c r="H141" s="101" t="str">
        <v>https://docs.google.com/spreadsheets/d/1G034Ca2SXPIjqSO13Pdt1kyW9xeO96TuNSKDyn9gYO0</v>
      </c>
      <c r="I141" s="101" t="str">
        <v>https://docs.google.com/open?id=1G034Ca2SXPIjqSO13Pdt1kyW9xeO96TuNSKDyn9gYO0</v>
      </c>
      <c r="J141" s="4" t="str">
        <v>Kanutan, Sumbermulyo, Bambanglipuro</v>
      </c>
      <c r="L141" s="99" t="str">
        <f ca="1">IFERROR(__xludf.DUMMYFUNCTION("IMPORTRANGE(H141,""IDENTITAS UNIT!D35"")"),"RAHMAD DAUD IBRAHIM")</f>
        <v>RAHMAD DAUD IBRAHIM</v>
      </c>
    </row>
    <row r="142" spans="1:12" ht="49.5" hidden="1">
      <c r="A142" s="4" t="str">
        <v>Reguler Periode ke-101 III.D.1</v>
      </c>
      <c r="B142" s="4" t="str">
        <v>Reguler Periode ke-101</v>
      </c>
      <c r="C142" s="4" t="str">
        <v>III.D.1</v>
      </c>
      <c r="D142" s="101" t="str">
        <v>https://drive.google.com/open?id=1405VFsE3hMwXuAmtEkcu630yJ7nxerAMrCTp5RKAzMc&amp;usp=drive_copy</v>
      </c>
      <c r="E142" s="101" t="str">
        <v>https://drive.google.com/open?id=1405VFsE3hMwXuAmtEkcu630yJ7nxerAMrCTp5RKAzMc</v>
      </c>
      <c r="F142" s="103" t="str">
        <f ca="1">IFERROR(__xludf.DUMMYFUNCTION("IMPORTRANGE(H142,""IDENTITAS UNIT!D9"")"),"https://maps.app.goo.gl/UbEFhJen9tQ3QDPR9")</f>
        <v>https://maps.app.goo.gl/UbEFhJen9tQ3QDPR9</v>
      </c>
      <c r="G142" s="4" t="s">
        <v>12808</v>
      </c>
      <c r="H142" s="101" t="str">
        <v>https://docs.google.com/spreadsheets/d/1405VFsE3hMwXuAmtEkcu630yJ7nxerAMrCTp5RKAzMc</v>
      </c>
      <c r="I142" s="101" t="str">
        <v>https://docs.google.com/open?id=1405VFsE3hMwXuAmtEkcu630yJ7nxerAMrCTp5RKAzMc</v>
      </c>
      <c r="J142" s="4" t="str">
        <v>Kuwon, Sidomulyo, Bambanglipuro</v>
      </c>
      <c r="L142" s="99" t="str">
        <f ca="1">IFERROR(__xludf.DUMMYFUNCTION("IMPORTRANGE(H142,""IDENTITAS UNIT!D35"")"),"Muhammad Zaki")</f>
        <v>Muhammad Zaki</v>
      </c>
    </row>
    <row r="143" spans="1:12" ht="33" hidden="1">
      <c r="A143" s="4" t="str">
        <v>Reguler Periode ke-101 III.D.2</v>
      </c>
      <c r="B143" s="4" t="str">
        <v>Reguler Periode ke-101</v>
      </c>
      <c r="C143" s="4" t="str">
        <v>III.D.2</v>
      </c>
      <c r="D143" s="101" t="str">
        <v>https://drive.google.com/open?id=17HoejRUtYdUex9FEOd11KvVVGbOhTZZ59f8aZATV5FI&amp;usp=drive_copy</v>
      </c>
      <c r="E143" s="101" t="str">
        <v>https://drive.google.com/open?id=17HoejRUtYdUex9FEOd11KvVVGbOhTZZ59f8aZATV5FI</v>
      </c>
      <c r="F143" s="102" t="str">
        <f ca="1">IFERROR(__xludf.DUMMYFUNCTION("IMPORTRANGE(H143,""IDENTITAS UNIT!D9"")"),"-7.9694036, 110.3135554")</f>
        <v>-7.9694036, 110.3135554</v>
      </c>
      <c r="H143" s="101" t="str">
        <v>https://docs.google.com/spreadsheets/d/17HoejRUtYdUex9FEOd11KvVVGbOhTZZ59f8aZATV5FI</v>
      </c>
      <c r="I143" s="101" t="str">
        <v>https://docs.google.com/open?id=17HoejRUtYdUex9FEOd11KvVVGbOhTZZ59f8aZATV5FI</v>
      </c>
      <c r="J143" s="4" t="str">
        <v>Glodogan, Sidomulyo, Bambanglipuro</v>
      </c>
      <c r="L143" s="99" t="str">
        <f ca="1">IFERROR(__xludf.DUMMYFUNCTION("IMPORTRANGE(H143,""IDENTITAS UNIT!D35"")"),"Annisa Oktareza")</f>
        <v>Annisa Oktareza</v>
      </c>
    </row>
    <row r="144" spans="1:12" ht="49.5" hidden="1">
      <c r="A144" s="4" t="str">
        <v>Reguler Periode ke-101 III.D.3</v>
      </c>
      <c r="B144" s="4" t="str">
        <v>Reguler Periode ke-101</v>
      </c>
      <c r="C144" s="4" t="str">
        <v>III.D.3</v>
      </c>
      <c r="D144" s="101" t="str">
        <v>https://drive.google.com/open?id=19em8uyYuHZpV7EZI9rv_u0xfxQcUBavmiFpd7wOyhUs&amp;usp=drive_copy</v>
      </c>
      <c r="E144" s="101" t="str">
        <v>https://drive.google.com/open?id=19em8uyYuHZpV7EZI9rv_u0xfxQcUBavmiFpd7wOyhUs</v>
      </c>
      <c r="F144" s="103" t="str">
        <f ca="1">IFERROR(__xludf.DUMMYFUNCTION("IMPORTRANGE(H144,""IDENTITAS UNIT!D9"")"),"https://maps.app.goo.gl/p2UHAw1acnxbNq49A")</f>
        <v>https://maps.app.goo.gl/p2UHAw1acnxbNq49A</v>
      </c>
      <c r="H144" s="101" t="str">
        <v>https://docs.google.com/spreadsheets/d/19em8uyYuHZpV7EZI9rv_u0xfxQcUBavmiFpd7wOyhUs</v>
      </c>
      <c r="I144" s="101" t="str">
        <v>https://docs.google.com/open?id=19em8uyYuHZpV7EZI9rv_u0xfxQcUBavmiFpd7wOyhUs</v>
      </c>
      <c r="J144" s="4" t="str">
        <v>Turi, Sidomulyo, Bambanglipuro</v>
      </c>
      <c r="L144" s="99" t="str">
        <f ca="1">IFERROR(__xludf.DUMMYFUNCTION("IMPORTRANGE(H144,""IDENTITAS UNIT!D35"")"),"RIZKI SYAHPUTRA")</f>
        <v>RIZKI SYAHPUTRA</v>
      </c>
    </row>
    <row r="145" spans="1:12" ht="49.5" hidden="1">
      <c r="A145" s="4" t="str">
        <v>Reguler Periode ke-101 IV.A.1</v>
      </c>
      <c r="B145" s="4" t="str">
        <v>Reguler Periode ke-101</v>
      </c>
      <c r="C145" s="4" t="str">
        <v>IV.A.1</v>
      </c>
      <c r="D145" s="101" t="str">
        <v>https://drive.google.com/open?id=19mvdKqjA3iNQhCYKdFz1K0ZTg-LZWhEycE1OuCt5jnQ&amp;usp=drive_copy</v>
      </c>
      <c r="E145" s="101" t="str">
        <v>https://drive.google.com/open?id=19mvdKqjA3iNQhCYKdFz1K0ZTg-LZWhEycE1OuCt5jnQ</v>
      </c>
      <c r="F145" s="103" t="str">
        <f ca="1">IFERROR(__xludf.DUMMYFUNCTION("IMPORTRANGE(H145,""IDENTITAS UNIT!D9"")"),"https://maps.app.goo.gl/uXeEmCsTHwbaGUFc7")</f>
        <v>https://maps.app.goo.gl/uXeEmCsTHwbaGUFc7</v>
      </c>
      <c r="G145" s="4" t="s">
        <v>12809</v>
      </c>
      <c r="H145" s="101" t="str">
        <v>https://docs.google.com/spreadsheets/d/19mvdKqjA3iNQhCYKdFz1K0ZTg-LZWhEycE1OuCt5jnQ</v>
      </c>
      <c r="I145" s="101" t="str">
        <v>https://docs.google.com/open?id=19mvdKqjA3iNQhCYKdFz1K0ZTg-LZWhEycE1OuCt5jnQ</v>
      </c>
      <c r="J145" s="4" t="str">
        <v>Pinggir, Sidomulyo, Bambanglipuro</v>
      </c>
      <c r="L145" s="99" t="str">
        <f ca="1">IFERROR(__xludf.DUMMYFUNCTION("IMPORTRANGE(H145,""IDENTITAS UNIT!D35"")"),"Rizki Anugerah Pratama")</f>
        <v>Rizki Anugerah Pratama</v>
      </c>
    </row>
    <row r="146" spans="1:12" ht="49.5" hidden="1">
      <c r="A146" s="4" t="str">
        <v>Reguler Periode ke-101 IV.A.2</v>
      </c>
      <c r="B146" s="4" t="str">
        <v>Reguler Periode ke-101</v>
      </c>
      <c r="C146" s="4" t="str">
        <v>IV.A.2</v>
      </c>
      <c r="D146" s="101" t="str">
        <v>https://drive.google.com/open?id=19qRxJrRdMxgahbGiT62u8qqWoDDxayy1xn4upAopWXI&amp;usp=drive_copy</v>
      </c>
      <c r="E146" s="101" t="str">
        <v>https://drive.google.com/open?id=19qRxJrRdMxgahbGiT62u8qqWoDDxayy1xn4upAopWXI</v>
      </c>
      <c r="F146" s="103" t="str">
        <f ca="1">IFERROR(__xludf.DUMMYFUNCTION("IMPORTRANGE(H146,""IDENTITAS UNIT!D9"")"),"https://goo.gl/maps/rfsNvh6ivwtmKtr96")</f>
        <v>https://goo.gl/maps/rfsNvh6ivwtmKtr96</v>
      </c>
      <c r="G146" s="4" t="s">
        <v>12810</v>
      </c>
      <c r="H146" s="101" t="str">
        <v>https://docs.google.com/spreadsheets/d/19qRxJrRdMxgahbGiT62u8qqWoDDxayy1xn4upAopWXI</v>
      </c>
      <c r="I146" s="101" t="str">
        <v>https://docs.google.com/open?id=19qRxJrRdMxgahbGiT62u8qqWoDDxayy1xn4upAopWXI</v>
      </c>
      <c r="J146" s="4" t="str">
        <v>Ponggok, Sidomulyo, Bambanglipuro</v>
      </c>
      <c r="L146" s="99" t="str">
        <f ca="1">IFERROR(__xludf.DUMMYFUNCTION("IMPORTRANGE(H146,""IDENTITAS UNIT!D35"")"),"Muhammad Bagus Agam Triambada")</f>
        <v>Muhammad Bagus Agam Triambada</v>
      </c>
    </row>
    <row r="147" spans="1:12" ht="49.5" hidden="1">
      <c r="A147" s="4" t="str">
        <v>Reguler Periode ke-101 IV.A.3</v>
      </c>
      <c r="B147" s="4" t="str">
        <v>Reguler Periode ke-101</v>
      </c>
      <c r="C147" s="4" t="str">
        <v>IV.A.3</v>
      </c>
      <c r="D147" s="101" t="str">
        <v>https://drive.google.com/open?id=1AflDdxj5GtkuKJsDK6EELF3DfYHgmCJlP-oIVpTgm_o&amp;usp=drive_copy</v>
      </c>
      <c r="E147" s="101" t="str">
        <v>https://drive.google.com/open?id=1AflDdxj5GtkuKJsDK6EELF3DfYHgmCJlP-oIVpTgm_o</v>
      </c>
      <c r="F147" s="103" t="str">
        <f ca="1">IFERROR(__xludf.DUMMYFUNCTION("IMPORTRANGE(H147,""IDENTITAS UNIT!D9"")"),"https://maps.app.goo.gl/YyvypnNgBpco4uqt9")</f>
        <v>https://maps.app.goo.gl/YyvypnNgBpco4uqt9</v>
      </c>
      <c r="G147" s="4" t="s">
        <v>12811</v>
      </c>
      <c r="H147" s="101" t="str">
        <v>https://docs.google.com/spreadsheets/d/1AflDdxj5GtkuKJsDK6EELF3DfYHgmCJlP-oIVpTgm_o</v>
      </c>
      <c r="I147" s="101" t="str">
        <v>https://docs.google.com/open?id=1AflDdxj5GtkuKJsDK6EELF3DfYHgmCJlP-oIVpTgm_o</v>
      </c>
      <c r="J147" s="4" t="str">
        <v>Plebengan, Sidomulyo, Bambanglipuro</v>
      </c>
      <c r="L147" s="99" t="str">
        <f ca="1">IFERROR(__xludf.DUMMYFUNCTION("IMPORTRANGE(H147,""IDENTITAS UNIT!D35"")"),"Jovi Agnesya Pratama")</f>
        <v>Jovi Agnesya Pratama</v>
      </c>
    </row>
    <row r="148" spans="1:12" ht="49.5" hidden="1">
      <c r="A148" s="4" t="str">
        <v>Reguler Periode ke-101 IV.B.1</v>
      </c>
      <c r="B148" s="4" t="str">
        <v>Reguler Periode ke-101</v>
      </c>
      <c r="C148" s="4" t="str">
        <v>IV.B.1</v>
      </c>
      <c r="D148" s="101" t="str">
        <v>https://drive.google.com/open?id=1BfM1Y36k4wC-KmUwhmTbYQbvBXiMuVInq4baKJarnII&amp;usp=drive_copy</v>
      </c>
      <c r="E148" s="101" t="str">
        <v>https://drive.google.com/open?id=1BfM1Y36k4wC-KmUwhmTbYQbvBXiMuVInq4baKJarnII</v>
      </c>
      <c r="F148" s="103" t="str">
        <f ca="1">IFERROR(__xludf.DUMMYFUNCTION("IMPORTRANGE(H148,""IDENTITAS UNIT!D9"")"),"https://maps.app.goo.gl/AdC4xSSKufnexdyR6")</f>
        <v>https://maps.app.goo.gl/AdC4xSSKufnexdyR6</v>
      </c>
      <c r="G148" s="4" t="s">
        <v>12812</v>
      </c>
      <c r="H148" s="101" t="str">
        <v>https://docs.google.com/spreadsheets/d/1BfM1Y36k4wC-KmUwhmTbYQbvBXiMuVInq4baKJarnII</v>
      </c>
      <c r="I148" s="101" t="str">
        <v>https://docs.google.com/open?id=1BfM1Y36k4wC-KmUwhmTbYQbvBXiMuVInq4baKJarnII</v>
      </c>
      <c r="J148" s="4" t="str">
        <v>Ngajaran, Sidomulyo, Bambanglipuro</v>
      </c>
      <c r="L148" s="99" t="str">
        <f ca="1">IFERROR(__xludf.DUMMYFUNCTION("IMPORTRANGE(H148,""IDENTITAS UNIT!D35"")"),"MUHAMMAD YASIN YUSUF")</f>
        <v>MUHAMMAD YASIN YUSUF</v>
      </c>
    </row>
    <row r="149" spans="1:12" ht="49.5" hidden="1">
      <c r="A149" s="4" t="str">
        <v>Reguler Periode ke-101 IV.B.2</v>
      </c>
      <c r="B149" s="4" t="str">
        <v>Reguler Periode ke-101</v>
      </c>
      <c r="C149" s="4" t="str">
        <v>IV.B.2</v>
      </c>
      <c r="D149" s="101" t="str">
        <v>https://drive.google.com/open?id=1BimylDMx5fgM9XP1o6hzt1LNhvXzNtxuwJksIdhWcdk&amp;usp=drive_copy</v>
      </c>
      <c r="E149" s="101" t="str">
        <v>https://drive.google.com/open?id=1BimylDMx5fgM9XP1o6hzt1LNhvXzNtxuwJksIdhWcdk</v>
      </c>
      <c r="F149" s="103" t="str">
        <f ca="1">IFERROR(__xludf.DUMMYFUNCTION("IMPORTRANGE(H149,""IDENTITAS UNIT!D9"")"),"https://maps.app.goo.gl/itECPEokPpTBTdrL9")</f>
        <v>https://maps.app.goo.gl/itECPEokPpTBTdrL9</v>
      </c>
      <c r="G149" s="4" t="s">
        <v>12813</v>
      </c>
      <c r="H149" s="101" t="str">
        <v>https://docs.google.com/spreadsheets/d/1BimylDMx5fgM9XP1o6hzt1LNhvXzNtxuwJksIdhWcdk</v>
      </c>
      <c r="I149" s="101" t="str">
        <v>https://docs.google.com/open?id=1BimylDMx5fgM9XP1o6hzt1LNhvXzNtxuwJksIdhWcdk</v>
      </c>
      <c r="J149" s="4" t="str">
        <v>Cangkring, Sidomulyo, Bambanglipuro</v>
      </c>
      <c r="L149" s="99" t="str">
        <f ca="1">IFERROR(__xludf.DUMMYFUNCTION("IMPORTRANGE(H149,""IDENTITAS UNIT!D35"")"),"Ian Bachtiar")</f>
        <v>Ian Bachtiar</v>
      </c>
    </row>
    <row r="150" spans="1:12" ht="198" hidden="1">
      <c r="A150" s="4" t="str">
        <v>Reguler Periode ke-101 IV.B.3</v>
      </c>
      <c r="B150" s="4" t="str">
        <v>Reguler Periode ke-101</v>
      </c>
      <c r="C150" s="4" t="str">
        <v>IV.B.3</v>
      </c>
      <c r="D150" s="101" t="str">
        <v>https://drive.google.com/open?id=1C24n51dUAghWME3sjbKXDpU4l0jWyuZ8jJHxjN3_HL0&amp;usp=drive_copy</v>
      </c>
      <c r="E150" s="101" t="str">
        <v>https://drive.google.com/open?id=1C24n51dUAghWME3sjbKXDpU4l0jWyuZ8jJHxjN3_HL0</v>
      </c>
      <c r="F150" s="103" t="str">
        <f ca="1">IFERROR(__xludf.DUMMYFUNCTION("IMPORTRANGE(H150,""IDENTITAS UNIT!D9"")"),"https://www.google.com/maps/place/7%C2%B057'10.1%22S+110%C2%B017'22.0%22E/@-7.9527986,110.2872572,17z/data=!3m1!4b1!4m5!3m4!1s0x0:0xd6b66d14b3527c07!8m2!3d-7.9527986!4d110.2894459?hl=id")</f>
        <v>https://www.google.com/maps/place/7%C2%B057'10.1%22S+110%C2%B017'22.0%22E/@-7.9527986,110.2872572,17z/data=!3m1!4b1!4m5!3m4!1s0x0:0xd6b66d14b3527c07!8m2!3d-7.9527986!4d110.2894459?hl=id</v>
      </c>
      <c r="G150" s="4" t="s">
        <v>12814</v>
      </c>
      <c r="H150" s="101" t="str">
        <v>https://docs.google.com/spreadsheets/d/1C24n51dUAghWME3sjbKXDpU4l0jWyuZ8jJHxjN3_HL0</v>
      </c>
      <c r="I150" s="101" t="str">
        <v>https://docs.google.com/open?id=1C24n51dUAghWME3sjbKXDpU4l0jWyuZ8jJHxjN3_HL0</v>
      </c>
      <c r="J150" s="4" t="str">
        <v>Sirat, Sidomulyo, Bambanglipuro</v>
      </c>
      <c r="L150" s="99" t="str">
        <f ca="1">IFERROR(__xludf.DUMMYFUNCTION("IMPORTRANGE(H150,""IDENTITAS UNIT!D35"")"),"Erlang Bagus Yuniansyah")</f>
        <v>Erlang Bagus Yuniansyah</v>
      </c>
    </row>
    <row r="151" spans="1:12" ht="16.5" hidden="1">
      <c r="A151" s="4" t="str">
        <v>Reguler Periode ke-101 IV.C.1</v>
      </c>
      <c r="B151" s="4" t="str">
        <v>Reguler Periode ke-101</v>
      </c>
      <c r="C151" s="4" t="str">
        <v>IV.C.1</v>
      </c>
      <c r="D151" s="101" t="str">
        <v>https://drive.google.com/open?id=1CRN8ALEZ1JhgGnTmc67xxrR2NkW3Rzxz2wjVTlzF6R0&amp;usp=drive_copy</v>
      </c>
      <c r="E151" s="101" t="str">
        <v>https://drive.google.com/open?id=1CRN8ALEZ1JhgGnTmc67xxrR2NkW3Rzxz2wjVTlzF6R0</v>
      </c>
      <c r="F151" s="102" t="str">
        <f ca="1">IFERROR(__xludf.DUMMYFUNCTION("IMPORTRANGE(H151,""IDENTITAS UNIT!D9"")"),"")</f>
        <v/>
      </c>
      <c r="H151" s="101" t="str">
        <v>https://docs.google.com/spreadsheets/d/1CRN8ALEZ1JhgGnTmc67xxrR2NkW3Rzxz2wjVTlzF6R0</v>
      </c>
      <c r="I151" s="101" t="str">
        <v>https://docs.google.com/open?id=1CRN8ALEZ1JhgGnTmc67xxrR2NkW3Rzxz2wjVTlzF6R0</v>
      </c>
      <c r="J151" s="4" t="str">
        <v>Palihan, Sidomulyo, Bambanglipuro</v>
      </c>
      <c r="L151" s="99" t="str">
        <f ca="1">IFERROR(__xludf.DUMMYFUNCTION("IMPORTRANGE(H151,""IDENTITAS UNIT!D35"")"),"Pradhitya Bayu Ardiansyah")</f>
        <v>Pradhitya Bayu Ardiansyah</v>
      </c>
    </row>
    <row r="152" spans="1:12" ht="49.5" hidden="1">
      <c r="A152" s="4" t="str">
        <v>Reguler Periode ke-101 IV.C.2</v>
      </c>
      <c r="B152" s="4" t="str">
        <v>Reguler Periode ke-101</v>
      </c>
      <c r="C152" s="4" t="str">
        <v>IV.C.2</v>
      </c>
      <c r="D152" s="101" t="str">
        <v>https://drive.google.com/open?id=1EoaNMd42q4MFxfmg4M54yv37CFTdUayvvyc1t-QQQrY&amp;usp=drive_copy</v>
      </c>
      <c r="E152" s="101" t="str">
        <v>https://drive.google.com/open?id=1EoaNMd42q4MFxfmg4M54yv37CFTdUayvvyc1t-QQQrY</v>
      </c>
      <c r="F152" s="103" t="str">
        <f ca="1">IFERROR(__xludf.DUMMYFUNCTION("IMPORTRANGE(H152,""IDENTITAS UNIT!D9"")"),"https://maps.app.goo.gl/kn14noafR6jcdUBG9 ")</f>
        <v xml:space="preserve">https://maps.app.goo.gl/kn14noafR6jcdUBG9 </v>
      </c>
      <c r="G152" s="4" t="s">
        <v>12815</v>
      </c>
      <c r="H152" s="101" t="str">
        <v>https://docs.google.com/spreadsheets/d/1EoaNMd42q4MFxfmg4M54yv37CFTdUayvvyc1t-QQQrY</v>
      </c>
      <c r="I152" s="101" t="str">
        <v>https://docs.google.com/open?id=1EoaNMd42q4MFxfmg4M54yv37CFTdUayvvyc1t-QQQrY</v>
      </c>
      <c r="J152" s="4" t="str">
        <v>Prenggan, Sidomulyo, Bambanglipuro</v>
      </c>
      <c r="L152" s="99" t="str">
        <f ca="1">IFERROR(__xludf.DUMMYFUNCTION("IMPORTRANGE(H152,""IDENTITAS UNIT!D35"")"),"Suhendra Anang Prasetyo")</f>
        <v>Suhendra Anang Prasetyo</v>
      </c>
    </row>
    <row r="153" spans="1:12" ht="49.5" hidden="1">
      <c r="A153" s="4" t="str">
        <v>Reguler Periode ke-101 IV.C.3</v>
      </c>
      <c r="B153" s="4" t="str">
        <v>Reguler Periode ke-101</v>
      </c>
      <c r="C153" s="4" t="str">
        <v>IV.C.3</v>
      </c>
      <c r="D153" s="101" t="str">
        <v>https://drive.google.com/open?id=1GHnXCx0LnJC_JIy1DlN9P9EQpaEVohRuYPHdak8VkZg&amp;usp=drive_copy</v>
      </c>
      <c r="E153" s="101" t="str">
        <v>https://drive.google.com/open?id=1GHnXCx0LnJC_JIy1DlN9P9EQpaEVohRuYPHdak8VkZg</v>
      </c>
      <c r="F153" s="103" t="str">
        <f ca="1">IFERROR(__xludf.DUMMYFUNCTION("IMPORTRANGE(H153,""IDENTITAS UNIT!D9"")"),"https://goo.gl/maps/Nf9nmBNmuH7M92cP6")</f>
        <v>https://goo.gl/maps/Nf9nmBNmuH7M92cP6</v>
      </c>
      <c r="G153" s="4" t="s">
        <v>12816</v>
      </c>
      <c r="H153" s="101" t="str">
        <v>https://docs.google.com/spreadsheets/d/1GHnXCx0LnJC_JIy1DlN9P9EQpaEVohRuYPHdak8VkZg</v>
      </c>
      <c r="I153" s="101" t="str">
        <v>https://docs.google.com/open?id=1GHnXCx0LnJC_JIy1DlN9P9EQpaEVohRuYPHdak8VkZg</v>
      </c>
      <c r="J153" s="4" t="str">
        <v>Selo , Sidomulyo, Bambanglipuro</v>
      </c>
      <c r="L153" s="99" t="str">
        <f ca="1">IFERROR(__xludf.DUMMYFUNCTION("IMPORTRANGE(H153,""IDENTITAS UNIT!D35"")"),"Je Tri Apandi")</f>
        <v>Je Tri Apandi</v>
      </c>
    </row>
    <row r="154" spans="1:12" ht="16.5" hidden="1">
      <c r="A154" s="4" t="str">
        <v>Reguler Periode ke-101 IV.D.1</v>
      </c>
      <c r="B154" s="4" t="str">
        <v>Reguler Periode ke-101</v>
      </c>
      <c r="C154" s="4" t="str">
        <v>IV.D.1</v>
      </c>
      <c r="D154" s="101" t="str">
        <v>https://docs.google.com/spreadsheets/d/1rca7FK11fX25ETdQ2QXO9FWeCoDB76u-aScPoDiZU2k/edit?usp=sharing</v>
      </c>
      <c r="E154" s="101" t="str">
        <v>https://docs.google.com/spreadsheets/d/1rca7FK11fX25ETdQ2QXO9FWeCoDB76u-aScPoDiZU2k/edit?usp=sharing</v>
      </c>
      <c r="F154" s="102" t="str">
        <f ca="1">IFERROR(__xludf.DUMMYFUNCTION("IMPORTRANGE(H154,""IDENTITAS UNIT!D9"")"),"")</f>
        <v/>
      </c>
      <c r="H154" s="101" t="str">
        <v>https://docs.google.com/spreadsheets/d/1rca7FK11fX25ETdQ2QXO9FWeCoDB76u-aScPoDiZU2k/edit?usp=sharing</v>
      </c>
      <c r="I154" s="101" t="str">
        <v>https://docs.google.com/spreadsheets/d/1rca7FK11fX25ETdQ2QXO9FWeCoDB76u-aScPoDiZU2k/edit?usp=sharing</v>
      </c>
      <c r="J154" s="4" t="str">
        <v>Mejing, Mulyodadi, Bambanglipuro</v>
      </c>
      <c r="L154" s="99" t="str">
        <f ca="1">IFERROR(__xludf.DUMMYFUNCTION("IMPORTRANGE(H154,""IDENTITAS UNIT!D35"")"),"Richo Kais Threza Fauzi")</f>
        <v>Richo Kais Threza Fauzi</v>
      </c>
    </row>
    <row r="155" spans="1:12" ht="49.5" hidden="1">
      <c r="A155" s="4" t="str">
        <v>Reguler Periode ke-101 IV.D.2</v>
      </c>
      <c r="B155" s="4" t="str">
        <v>Reguler Periode ke-101</v>
      </c>
      <c r="C155" s="4" t="str">
        <v>IV.D.2</v>
      </c>
      <c r="D155" s="101" t="str">
        <v>https://drive.google.com/open?id=1HPIyl5UtdBO-ymbxPudlDNqsab2jtEyizcVC86jtIPo&amp;usp=drive_copy</v>
      </c>
      <c r="E155" s="101" t="str">
        <v>https://drive.google.com/open?id=1HPIyl5UtdBO-ymbxPudlDNqsab2jtEyizcVC86jtIPo</v>
      </c>
      <c r="F155" s="103" t="str">
        <f ca="1">IFERROR(__xludf.DUMMYFUNCTION("IMPORTRANGE(H155,""IDENTITAS UNIT!D9"")"),"https://goo.gl/maps/Y7YGSfBpnmVsiMF1A")</f>
        <v>https://goo.gl/maps/Y7YGSfBpnmVsiMF1A</v>
      </c>
      <c r="G155" s="4" t="s">
        <v>12817</v>
      </c>
      <c r="H155" s="101" t="str">
        <v>https://docs.google.com/spreadsheets/d/1HPIyl5UtdBO-ymbxPudlDNqsab2jtEyizcVC86jtIPo</v>
      </c>
      <c r="I155" s="101" t="str">
        <v>https://docs.google.com/open?id=1HPIyl5UtdBO-ymbxPudlDNqsab2jtEyizcVC86jtIPo</v>
      </c>
      <c r="J155" s="4" t="str">
        <v>Paker, Mulyodadi, Bambanglipuro</v>
      </c>
      <c r="L155" s="99" t="str">
        <f ca="1">IFERROR(__xludf.DUMMYFUNCTION("IMPORTRANGE(H155,""IDENTITAS UNIT!D35"")"),"Ageng Aprizal Timur")</f>
        <v>Ageng Aprizal Timur</v>
      </c>
    </row>
    <row r="156" spans="1:12" ht="16.5" hidden="1">
      <c r="A156" s="4" t="str">
        <v>Reguler Periode ke-101 IV.D.3</v>
      </c>
      <c r="B156" s="4" t="str">
        <v>Reguler Periode ke-101</v>
      </c>
      <c r="C156" s="4" t="str">
        <v>IV.D.3</v>
      </c>
      <c r="D156" s="101" t="str">
        <v>https://drive.google.com/open?id=1HRxI6hz0luUE5zGREJtO7hMkntccRGx8FopS8oxozOk&amp;usp=drive_copy</v>
      </c>
      <c r="E156" s="101" t="str">
        <v>https://drive.google.com/open?id=1HRxI6hz0luUE5zGREJtO7hMkntccRGx8FopS8oxozOk</v>
      </c>
      <c r="F156" s="102" t="str">
        <f ca="1">IFERROR(__xludf.DUMMYFUNCTION("IMPORTRANGE(H156,""IDENTITAS UNIT!D9"")"),"")</f>
        <v/>
      </c>
      <c r="H156" s="101" t="str">
        <v>https://docs.google.com/spreadsheets/d/1HRxI6hz0luUE5zGREJtO7hMkntccRGx8FopS8oxozOk</v>
      </c>
      <c r="I156" s="101" t="str">
        <v>https://docs.google.com/open?id=1HRxI6hz0luUE5zGREJtO7hMkntccRGx8FopS8oxozOk</v>
      </c>
      <c r="J156" s="4" t="str">
        <v>Wonodoro, Mulyodadi, Bambanglipuro</v>
      </c>
      <c r="L156" s="99" t="str">
        <f ca="1">IFERROR(__xludf.DUMMYFUNCTION("IMPORTRANGE(H156,""IDENTITAS UNIT!D35"")"),"Haikal Alulu")</f>
        <v>Haikal Alulu</v>
      </c>
    </row>
    <row r="157" spans="1:12" ht="49.5" hidden="1">
      <c r="A157" s="4" t="str">
        <v>Reguler Periode ke-101 V.A.1</v>
      </c>
      <c r="B157" s="4" t="str">
        <v>Reguler Periode ke-101</v>
      </c>
      <c r="C157" s="4" t="str">
        <v>V.A.1</v>
      </c>
      <c r="D157" s="101" t="str">
        <v>https://drive.google.com/open?id=1HyvwxqD5FNZqjR8zH5AobLOZNgEZj5B8DhfxGq-R-e8&amp;usp=drive_copy</v>
      </c>
      <c r="E157" s="101" t="str">
        <v>https://drive.google.com/open?id=1HyvwxqD5FNZqjR8zH5AobLOZNgEZj5B8DhfxGq-R-e8</v>
      </c>
      <c r="F157" s="103" t="str">
        <f ca="1">IFERROR(__xludf.DUMMYFUNCTION("IMPORTRANGE(H157,""IDENTITAS UNIT!D9"")"),"https://goo.gl/maps/VJPWjd4cxRv6Jwpv9")</f>
        <v>https://goo.gl/maps/VJPWjd4cxRv6Jwpv9</v>
      </c>
      <c r="G157" s="4" t="s">
        <v>12818</v>
      </c>
      <c r="H157" s="101" t="str">
        <v>https://docs.google.com/spreadsheets/d/1HyvwxqD5FNZqjR8zH5AobLOZNgEZj5B8DhfxGq-R-e8</v>
      </c>
      <c r="I157" s="101" t="str">
        <v>https://docs.google.com/open?id=1HyvwxqD5FNZqjR8zH5AobLOZNgEZj5B8DhfxGq-R-e8</v>
      </c>
      <c r="J157" s="4" t="str">
        <v>Destan, Mulyodadi, Bambanglipuro</v>
      </c>
      <c r="L157" s="99" t="str">
        <f ca="1">IFERROR(__xludf.DUMMYFUNCTION("IMPORTRANGE(H157,""IDENTITAS UNIT!D35"")"),"Nizar Arprian Saputra")</f>
        <v>Nizar Arprian Saputra</v>
      </c>
    </row>
    <row r="158" spans="1:12" ht="49.5" hidden="1">
      <c r="A158" s="4" t="str">
        <v>Reguler Periode ke-101 V.A.2</v>
      </c>
      <c r="B158" s="4" t="str">
        <v>Reguler Periode ke-101</v>
      </c>
      <c r="C158" s="4" t="str">
        <v>V.A.2</v>
      </c>
      <c r="D158" s="101" t="str">
        <v>https://drive.google.com/open?id=1J0DAmpEaH89_h2SBfiNxboUl8qE5ivgl7Qfoj9UAAc4&amp;usp=drive_copy</v>
      </c>
      <c r="E158" s="101" t="str">
        <v>https://drive.google.com/open?id=1J0DAmpEaH89_h2SBfiNxboUl8qE5ivgl7Qfoj9UAAc4</v>
      </c>
      <c r="F158" s="103" t="str">
        <f ca="1">IFERROR(__xludf.DUMMYFUNCTION("IMPORTRANGE(H158,""IDENTITAS UNIT!D9"")"),"https://maps.app.goo.gl/zwNGRZj8YtwNywnu6?g_st=iw")</f>
        <v>https://maps.app.goo.gl/zwNGRZj8YtwNywnu6?g_st=iw</v>
      </c>
      <c r="G158" s="4" t="s">
        <v>12819</v>
      </c>
      <c r="H158" s="101" t="str">
        <v>https://docs.google.com/spreadsheets/d/1J0DAmpEaH89_h2SBfiNxboUl8qE5ivgl7Qfoj9UAAc4</v>
      </c>
      <c r="I158" s="101" t="str">
        <v>https://docs.google.com/open?id=1J0DAmpEaH89_h2SBfiNxboUl8qE5ivgl7Qfoj9UAAc4</v>
      </c>
      <c r="J158" s="4" t="str">
        <v>Kraton, Mulyodadi, Bambanglipuro</v>
      </c>
      <c r="L158" s="99" t="str">
        <f ca="1">IFERROR(__xludf.DUMMYFUNCTION("IMPORTRANGE(H158,""IDENTITAS UNIT!D35"")"),"Wah Idna Aminudin")</f>
        <v>Wah Idna Aminudin</v>
      </c>
    </row>
    <row r="159" spans="1:12" ht="49.5" hidden="1">
      <c r="A159" s="4" t="str">
        <v>Reguler Periode ke-101 V.A.3</v>
      </c>
      <c r="B159" s="4" t="str">
        <v>Reguler Periode ke-101</v>
      </c>
      <c r="C159" s="4" t="str">
        <v>V.A.3</v>
      </c>
      <c r="D159" s="101" t="str">
        <v>https://drive.google.com/open?id=1J3U-LaPM34_WDdgxDeVoMfwJHY-BdwXO6cpgiOzNGZM&amp;usp=drive_copy</v>
      </c>
      <c r="E159" s="101" t="str">
        <v>https://drive.google.com/open?id=1J3U-LaPM34_WDdgxDeVoMfwJHY-BdwXO6cpgiOzNGZM</v>
      </c>
      <c r="F159" s="103" t="str">
        <f ca="1">IFERROR(__xludf.DUMMYFUNCTION("IMPORTRANGE(H159,""IDENTITAS UNIT!D9"")"),"https://maps.app.goo.gl/ck8LYZBthL94Rx8y8")</f>
        <v>https://maps.app.goo.gl/ck8LYZBthL94Rx8y8</v>
      </c>
      <c r="G159" s="4" t="s">
        <v>12820</v>
      </c>
      <c r="H159" s="101" t="str">
        <v>https://docs.google.com/spreadsheets/d/1J3U-LaPM34_WDdgxDeVoMfwJHY-BdwXO6cpgiOzNGZM</v>
      </c>
      <c r="I159" s="101" t="str">
        <v>https://docs.google.com/open?id=1J3U-LaPM34_WDdgxDeVoMfwJHY-BdwXO6cpgiOzNGZM</v>
      </c>
      <c r="J159" s="4" t="str">
        <v>Bregan, Mulyodadi, Bambanglipuro</v>
      </c>
      <c r="L159" s="99" t="str">
        <f ca="1">IFERROR(__xludf.DUMMYFUNCTION("IMPORTRANGE(H159,""IDENTITAS UNIT!D35"")"),"Farhan Ferdian")</f>
        <v>Farhan Ferdian</v>
      </c>
    </row>
    <row r="160" spans="1:12" ht="49.5" hidden="1">
      <c r="A160" s="4" t="str">
        <v>Reguler Periode ke-101 V.B.1</v>
      </c>
      <c r="B160" s="4" t="str">
        <v>Reguler Periode ke-101</v>
      </c>
      <c r="C160" s="4" t="str">
        <v>V.B.1</v>
      </c>
      <c r="D160" s="101" t="str">
        <v>https://drive.google.com/open?id=1JNcgZ59fa_kKtT0fXm78eux6Um6S3Y8LBMXoUiGrf2w&amp;usp=drive_copy</v>
      </c>
      <c r="E160" s="101" t="str">
        <v>https://drive.google.com/open?id=1JNcgZ59fa_kKtT0fXm78eux6Um6S3Y8LBMXoUiGrf2w</v>
      </c>
      <c r="F160" s="103" t="str">
        <f ca="1">IFERROR(__xludf.DUMMYFUNCTION("IMPORTRANGE(H160,""IDENTITAS UNIT!D9"")"),"https://goo.gl/maps/5uuxoCF3uYcbkHt6A")</f>
        <v>https://goo.gl/maps/5uuxoCF3uYcbkHt6A</v>
      </c>
      <c r="H160" s="101" t="str">
        <v>https://docs.google.com/spreadsheets/d/1JNcgZ59fa_kKtT0fXm78eux6Um6S3Y8LBMXoUiGrf2w</v>
      </c>
      <c r="I160" s="101" t="str">
        <v>https://docs.google.com/open?id=1JNcgZ59fa_kKtT0fXm78eux6Um6S3Y8LBMXoUiGrf2w</v>
      </c>
      <c r="J160" s="4" t="str">
        <v>Cangkring, Mulyodadi, Bambanglipuro</v>
      </c>
      <c r="L160" s="99" t="str">
        <f ca="1">IFERROR(__xludf.DUMMYFUNCTION("IMPORTRANGE(H160,""IDENTITAS UNIT!D35"")"),"Septian Yoga Krisnadi")</f>
        <v>Septian Yoga Krisnadi</v>
      </c>
    </row>
    <row r="161" spans="1:12" ht="49.5" hidden="1">
      <c r="A161" s="4" t="str">
        <v>Reguler Periode ke-101 V.B.2</v>
      </c>
      <c r="B161" s="4" t="str">
        <v>Reguler Periode ke-101</v>
      </c>
      <c r="C161" s="4" t="str">
        <v>V.B.2</v>
      </c>
      <c r="D161" s="101" t="str">
        <v>https://drive.google.com/open?id=1Jeqq8a6eQeAFJgcuEBZmj2cqIC2znoYyZT-OvV39pY4&amp;usp=drive_copy</v>
      </c>
      <c r="E161" s="101" t="str">
        <v>https://drive.google.com/open?id=1Jeqq8a6eQeAFJgcuEBZmj2cqIC2znoYyZT-OvV39pY4</v>
      </c>
      <c r="F161" s="103" t="str">
        <f ca="1">IFERROR(__xludf.DUMMYFUNCTION("IMPORTRANGE(H161,""IDENTITAS UNIT!D9"")"),"https://goo.gl/maps/1gBk1fMKHgYwprdN8")</f>
        <v>https://goo.gl/maps/1gBk1fMKHgYwprdN8</v>
      </c>
      <c r="G161" s="4" t="s">
        <v>12821</v>
      </c>
      <c r="H161" s="101" t="str">
        <v>https://docs.google.com/spreadsheets/d/1Jeqq8a6eQeAFJgcuEBZmj2cqIC2znoYyZT-OvV39pY4</v>
      </c>
      <c r="I161" s="101" t="str">
        <v>https://docs.google.com/open?id=1Jeqq8a6eQeAFJgcuEBZmj2cqIC2znoYyZT-OvV39pY4</v>
      </c>
      <c r="J161" s="4" t="str">
        <v>Tulasan, Mulyodadi, Bambanglipuro</v>
      </c>
      <c r="L161" s="99" t="str">
        <f ca="1">IFERROR(__xludf.DUMMYFUNCTION("IMPORTRANGE(H161,""IDENTITAS UNIT!D35"")"),"Ferdyan Ananta Yudatama Irawan")</f>
        <v>Ferdyan Ananta Yudatama Irawan</v>
      </c>
    </row>
    <row r="162" spans="1:12" ht="16.5" hidden="1">
      <c r="A162" s="4" t="str">
        <v>Reguler Periode ke-101 V.B.3</v>
      </c>
      <c r="B162" s="4" t="str">
        <v>Reguler Periode ke-101</v>
      </c>
      <c r="C162" s="4" t="str">
        <v>V.B.3</v>
      </c>
      <c r="D162" s="101" t="str">
        <v>https://drive.google.com/open?id=1L5vtww-CHU4fACZrzXt5nk2pfWiLXeHt6bazKm20Y6s&amp;usp=drive_copy</v>
      </c>
      <c r="E162" s="101" t="str">
        <v>https://drive.google.com/open?id=1L5vtww-CHU4fACZrzXt5nk2pfWiLXeHt6bazKm20Y6s</v>
      </c>
      <c r="F162" s="102" t="str">
        <f ca="1">IFERROR(__xludf.DUMMYFUNCTION("IMPORTRANGE(H162,""IDENTITAS UNIT!D9"")"),"")</f>
        <v/>
      </c>
      <c r="H162" s="101" t="str">
        <v>https://docs.google.com/spreadsheets/d/1L5vtww-CHU4fACZrzXt5nk2pfWiLXeHt6bazKm20Y6s</v>
      </c>
      <c r="I162" s="101" t="str">
        <v>https://docs.google.com/open?id=1L5vtww-CHU4fACZrzXt5nk2pfWiLXeHt6bazKm20Y6s</v>
      </c>
      <c r="J162" s="4" t="str">
        <v>Jomblang, Mulyodadi, Bambanglipuro</v>
      </c>
      <c r="L162" s="99" t="str">
        <f ca="1">IFERROR(__xludf.DUMMYFUNCTION("IMPORTRANGE(H162,""IDENTITAS UNIT!D35"")"),"Muhammad Aulia Ramadan")</f>
        <v>Muhammad Aulia Ramadan</v>
      </c>
    </row>
    <row r="163" spans="1:12" ht="49.5" hidden="1">
      <c r="A163" s="4" t="str">
        <v>Reguler Periode ke-101 V.C.1</v>
      </c>
      <c r="B163" s="4" t="str">
        <v>Reguler Periode ke-101</v>
      </c>
      <c r="C163" s="4" t="str">
        <v>V.C.1</v>
      </c>
      <c r="D163" s="101" t="str">
        <v>https://drive.google.com/open?id=1JrvEcBNIHds45QH3qMfqRQ_H-9ayBh5To_hJDicSlVE&amp;usp=drive_copy</v>
      </c>
      <c r="E163" s="101" t="str">
        <v>https://drive.google.com/open?id=1JrvEcBNIHds45QH3qMfqRQ_H-9ayBh5To_hJDicSlVE</v>
      </c>
      <c r="F163" s="103" t="str">
        <f ca="1">IFERROR(__xludf.DUMMYFUNCTION("IMPORTRANGE(H163,""IDENTITAS UNIT!D9"")"),"https://goo.gl/maps/tMp6nCERmEysXDjTA")</f>
        <v>https://goo.gl/maps/tMp6nCERmEysXDjTA</v>
      </c>
      <c r="H163" s="101" t="str">
        <v>https://docs.google.com/spreadsheets/d/1JrvEcBNIHds45QH3qMfqRQ_H-9ayBh5To_hJDicSlVE</v>
      </c>
      <c r="I163" s="101" t="str">
        <v>https://docs.google.com/open?id=1JrvEcBNIHds45QH3qMfqRQ_H-9ayBh5To_hJDicSlVE</v>
      </c>
      <c r="J163" s="4" t="str">
        <v>Ngireng-ireng, Sidomulyo, Bambanglipuro</v>
      </c>
      <c r="L163" s="99" t="str">
        <f ca="1">IFERROR(__xludf.DUMMYFUNCTION("IMPORTRANGE(H163,""IDENTITAS UNIT!D35"")"),"Rizki Ashada")</f>
        <v>Rizki Ashada</v>
      </c>
    </row>
    <row r="164" spans="1:12" ht="16.5" hidden="1">
      <c r="A164" s="4" t="str">
        <v>Reguler Periode ke-101 V.C.2</v>
      </c>
      <c r="B164" s="4" t="str">
        <v>Reguler Periode ke-101</v>
      </c>
      <c r="C164" s="4" t="str">
        <v>V.C.2</v>
      </c>
      <c r="D164" s="101" t="str">
        <v>https://drive.google.com/open?id=1eHfVIuJUr35UiXp2DSH52bJfSrZ0A3gREZI4-n7FaQk&amp;usp=drive_copy</v>
      </c>
      <c r="E164" s="101" t="str">
        <v>https://drive.google.com/open?id=1eHfVIuJUr35UiXp2DSH52bJfSrZ0A3gREZI4-n7FaQk</v>
      </c>
      <c r="F164" s="102" t="str">
        <f ca="1">IFERROR(__xludf.DUMMYFUNCTION("IMPORTRANGE(H164,""IDENTITAS UNIT!D9"")"),"")</f>
        <v/>
      </c>
      <c r="H164" s="101" t="str">
        <v>https://docs.google.com/spreadsheets/d/1eHfVIuJUr35UiXp2DSH52bJfSrZ0A3gREZI4-n7FaQk</v>
      </c>
      <c r="I164" s="101" t="str">
        <v>https://docs.google.com/open?id=1eHfVIuJUr35UiXp2DSH52bJfSrZ0A3gREZI4-n7FaQk</v>
      </c>
      <c r="J164" s="4" t="str">
        <v>Kepuh, Mulyodadi, Bambanglipuro</v>
      </c>
      <c r="L164" s="99" t="str">
        <f ca="1">IFERROR(__xludf.DUMMYFUNCTION("IMPORTRANGE(H164,""IDENTITAS UNIT!D35"")"),"Muhammad Panca Banyu Aji")</f>
        <v>Muhammad Panca Banyu Aji</v>
      </c>
    </row>
    <row r="165" spans="1:12" ht="49.5" hidden="1">
      <c r="A165" s="4" t="str">
        <v>Reguler Periode ke-101 V.C.3</v>
      </c>
      <c r="B165" s="4" t="str">
        <v>Reguler Periode ke-101</v>
      </c>
      <c r="C165" s="4" t="str">
        <v>V.C.3</v>
      </c>
      <c r="D165" s="101" t="str">
        <v>https://drive.google.com/open?id=1gjKJcc4fjEHs9bZ7AL5vU3ozaX0XeN59sr1bDdfFhDo&amp;usp=drive_copy</v>
      </c>
      <c r="E165" s="101" t="str">
        <v>https://drive.google.com/open?id=1gjKJcc4fjEHs9bZ7AL5vU3ozaX0XeN59sr1bDdfFhDo</v>
      </c>
      <c r="F165" s="102" t="str">
        <f ca="1">IFERROR(__xludf.DUMMYFUNCTION("IMPORTRANGE(H165,""IDENTITAS UNIT!D9"")"),"-7.944646928296637, 110.30077935651202")</f>
        <v>-7.944646928296637, 110.30077935651202</v>
      </c>
      <c r="H165" s="101" t="str">
        <v>https://docs.google.com/spreadsheets/d/1gjKJcc4fjEHs9bZ7AL5vU3ozaX0XeN59sr1bDdfFhDo</v>
      </c>
      <c r="I165" s="101" t="str">
        <v>https://docs.google.com/open?id=1gjKJcc4fjEHs9bZ7AL5vU3ozaX0XeN59sr1bDdfFhDo</v>
      </c>
      <c r="J165" s="4" t="str">
        <v>Warungpring, Mulyodadi, Bambanglipuro</v>
      </c>
      <c r="L165" s="99" t="str">
        <f ca="1">IFERROR(__xludf.DUMMYFUNCTION("IMPORTRANGE(H165,""IDENTITAS UNIT!D35"")"),"Sri Rahmanda Sinatrya")</f>
        <v>Sri Rahmanda Sinatrya</v>
      </c>
    </row>
    <row r="166" spans="1:12" ht="49.5" hidden="1">
      <c r="A166" s="4" t="str">
        <v>Reguler Periode ke-101 V.D.1</v>
      </c>
      <c r="B166" s="4" t="str">
        <v>Reguler Periode ke-101</v>
      </c>
      <c r="C166" s="4" t="str">
        <v>V.D.1</v>
      </c>
      <c r="D166" s="101" t="str">
        <v>https://drive.google.com/open?id=1kL6-1SfMeQDGwpswzdsMj0l4OJ7UXeB_xxxjKQALUjg&amp;usp=drive_copy</v>
      </c>
      <c r="E166" s="101" t="str">
        <v>https://drive.google.com/open?id=1kL6-1SfMeQDGwpswzdsMj0l4OJ7UXeB_xxxjKQALUjg</v>
      </c>
      <c r="F166" s="103" t="str">
        <f ca="1">IFERROR(__xludf.DUMMYFUNCTION("IMPORTRANGE(H166,""IDENTITAS UNIT!D9"")"),"https://maps.app.goo.gl/57Z17XfT9qZ9aqRb6")</f>
        <v>https://maps.app.goo.gl/57Z17XfT9qZ9aqRb6</v>
      </c>
      <c r="G166" s="4" t="s">
        <v>12822</v>
      </c>
      <c r="H166" s="101" t="str">
        <v>https://docs.google.com/spreadsheets/d/1kL6-1SfMeQDGwpswzdsMj0l4OJ7UXeB_xxxjKQALUjg</v>
      </c>
      <c r="I166" s="101" t="str">
        <v>https://docs.google.com/open?id=1kL6-1SfMeQDGwpswzdsMj0l4OJ7UXeB_xxxjKQALUjg</v>
      </c>
      <c r="J166" s="4" t="str">
        <v>Kresen, Bantul, Bantul</v>
      </c>
      <c r="L166" s="99" t="str">
        <f ca="1">IFERROR(__xludf.DUMMYFUNCTION("IMPORTRANGE(H166,""IDENTITAS UNIT!D35"")"),"Anas Maulana Gatie")</f>
        <v>Anas Maulana Gatie</v>
      </c>
    </row>
    <row r="167" spans="1:12" ht="49.5" hidden="1">
      <c r="A167" s="4" t="str">
        <v>Reguler Periode ke-101 V.D.2</v>
      </c>
      <c r="B167" s="4" t="str">
        <v>Reguler Periode ke-101</v>
      </c>
      <c r="C167" s="4" t="str">
        <v>V.D.2</v>
      </c>
      <c r="D167" s="101" t="str">
        <v>https://drive.google.com/open?id=1gjPzMk6r1lk_rGfRozFpEda6K5epzOqzLFAaYER5X3w&amp;usp=drive_copy</v>
      </c>
      <c r="E167" s="101" t="str">
        <v>https://drive.google.com/open?id=1gjPzMk6r1lk_rGfRozFpEda6K5epzOqzLFAaYER5X3w</v>
      </c>
      <c r="F167" s="103" t="str">
        <f ca="1">IFERROR(__xludf.DUMMYFUNCTION("IMPORTRANGE(H167,""IDENTITAS UNIT!D9"")"),"https://goo.gl/maps/judr7ZLj4uv6Ti9m6")</f>
        <v>https://goo.gl/maps/judr7ZLj4uv6Ti9m6</v>
      </c>
      <c r="G167" s="4" t="s">
        <v>12823</v>
      </c>
      <c r="H167" s="101" t="str">
        <v>https://docs.google.com/spreadsheets/d/1gjPzMk6r1lk_rGfRozFpEda6K5epzOqzLFAaYER5X3w</v>
      </c>
      <c r="I167" s="101" t="str">
        <v>https://docs.google.com/open?id=1gjPzMk6r1lk_rGfRozFpEda6K5epzOqzLFAaYER5X3w</v>
      </c>
      <c r="J167" s="4" t="str">
        <v>Bantul  Warung, Bantul, Bantul</v>
      </c>
      <c r="L167" s="99" t="str">
        <f ca="1">IFERROR(__xludf.DUMMYFUNCTION("IMPORTRANGE(H167,""IDENTITAS UNIT!D35"")"),"Maulana Ibrahim")</f>
        <v>Maulana Ibrahim</v>
      </c>
    </row>
    <row r="168" spans="1:12" ht="49.5" hidden="1">
      <c r="A168" s="4" t="str">
        <v>Reguler Periode ke-101 V.D.3</v>
      </c>
      <c r="B168" s="4" t="str">
        <v>Reguler Periode ke-101</v>
      </c>
      <c r="C168" s="4" t="str">
        <v>V.D.3</v>
      </c>
      <c r="D168" s="101" t="str">
        <v>https://drive.google.com/open?id=1k_Gd0Vrw4G7BWPAuQERQkoSXk7sws1wdJ9vK8QoMMQo&amp;usp=drive_copy</v>
      </c>
      <c r="E168" s="101" t="str">
        <v>https://drive.google.com/open?id=1k_Gd0Vrw4G7BWPAuQERQkoSXk7sws1wdJ9vK8QoMMQo</v>
      </c>
      <c r="F168" s="103" t="str">
        <f ca="1">IFERROR(__xludf.DUMMYFUNCTION("IMPORTRANGE(H168,""IDENTITAS UNIT!D9"")"),"https://maps.app.goo.gl/EC7PaCVnhxiQXe6B9")</f>
        <v>https://maps.app.goo.gl/EC7PaCVnhxiQXe6B9</v>
      </c>
      <c r="H168" s="101" t="str">
        <v>https://docs.google.com/spreadsheets/d/1k_Gd0Vrw4G7BWPAuQERQkoSXk7sws1wdJ9vK8QoMMQo</v>
      </c>
      <c r="I168" s="101" t="str">
        <v>https://docs.google.com/open?id=1k_Gd0Vrw4G7BWPAuQERQkoSXk7sws1wdJ9vK8QoMMQo</v>
      </c>
      <c r="J168" s="4" t="str">
        <v>Nyangkringan, Bantul, Bantul</v>
      </c>
      <c r="L168" s="99" t="str">
        <f ca="1">IFERROR(__xludf.DUMMYFUNCTION("IMPORTRANGE(H168,""IDENTITAS UNIT!D35"")"),"Annisaa' Noer Sholihati")</f>
        <v>Annisaa' Noer Sholihati</v>
      </c>
    </row>
    <row r="169" spans="1:12" ht="49.5" hidden="1">
      <c r="A169" s="4" t="str">
        <v>Reguler Periode ke-101 VI.A.1</v>
      </c>
      <c r="B169" s="4" t="str">
        <v>Reguler Periode ke-101</v>
      </c>
      <c r="C169" s="4" t="str">
        <v>VI.A.1</v>
      </c>
      <c r="D169" s="101" t="str">
        <v>https://drive.google.com/open?id=1klx-jM_uw9hDg7VHOS0x529_pFTS9wvAdIFBexxrz1Q&amp;usp=drive_copy</v>
      </c>
      <c r="E169" s="101" t="str">
        <v>https://drive.google.com/open?id=1klx-jM_uw9hDg7VHOS0x529_pFTS9wvAdIFBexxrz1Q</v>
      </c>
      <c r="F169" s="103" t="str">
        <f ca="1">IFERROR(__xludf.DUMMYFUNCTION("IMPORTRANGE(H169,""IDENTITAS UNIT!D9"")"),"https://goo.gl/maps/up2xLmKBMPTEXz338")</f>
        <v>https://goo.gl/maps/up2xLmKBMPTEXz338</v>
      </c>
      <c r="G169" s="4" t="s">
        <v>12824</v>
      </c>
      <c r="H169" s="101" t="str">
        <v>https://docs.google.com/spreadsheets/d/1klx-jM_uw9hDg7VHOS0x529_pFTS9wvAdIFBexxrz1Q</v>
      </c>
      <c r="I169" s="101" t="str">
        <v>https://docs.google.com/open?id=1klx-jM_uw9hDg7VHOS0x529_pFTS9wvAdIFBexxrz1Q</v>
      </c>
      <c r="J169" s="4" t="str">
        <v>Badegan, Bantul, Bantul</v>
      </c>
      <c r="L169" s="99" t="str">
        <f ca="1">IFERROR(__xludf.DUMMYFUNCTION("IMPORTRANGE(H169,""IDENTITAS UNIT!D35"")"),"Muhammad Ridho Rizky Syaputra")</f>
        <v>Muhammad Ridho Rizky Syaputra</v>
      </c>
    </row>
    <row r="170" spans="1:12" ht="16.5" hidden="1">
      <c r="A170" s="4" t="str">
        <v>Reguler Periode ke-101 VI.A.2</v>
      </c>
      <c r="B170" s="4" t="str">
        <v>Reguler Periode ke-101</v>
      </c>
      <c r="C170" s="4" t="str">
        <v>VI.A.2</v>
      </c>
      <c r="D170" s="101" t="str">
        <v>https://drive.google.com/open?id=1l_3BOphgSKiWS005QTyeceTwr4E4b1r5573yNsuQWMQ&amp;usp=drive_copy</v>
      </c>
      <c r="E170" s="101" t="str">
        <v>https://drive.google.com/open?id=1l_3BOphgSKiWS005QTyeceTwr4E4b1r5573yNsuQWMQ</v>
      </c>
      <c r="F170" s="102" t="str">
        <f ca="1">IFERROR(__xludf.DUMMYFUNCTION("IMPORTRANGE(H170,""IDENTITAS UNIT!D9"")"),"")</f>
        <v/>
      </c>
      <c r="H170" s="101" t="str">
        <v>https://docs.google.com/spreadsheets/d/1l_3BOphgSKiWS005QTyeceTwr4E4b1r5573yNsuQWMQ</v>
      </c>
      <c r="I170" s="101" t="str">
        <v>https://docs.google.com/open?id=1l_3BOphgSKiWS005QTyeceTwr4E4b1r5573yNsuQWMQ</v>
      </c>
      <c r="J170" s="4" t="str">
        <v>Karanggayam, Bantul, Bantul</v>
      </c>
      <c r="L170" s="99" t="str">
        <f ca="1">IFERROR(__xludf.DUMMYFUNCTION("IMPORTRANGE(H170,""IDENTITAS UNIT!D35"")"),"Ababiel Isnaindra Prasetya")</f>
        <v>Ababiel Isnaindra Prasetya</v>
      </c>
    </row>
    <row r="171" spans="1:12" ht="49.5" hidden="1">
      <c r="A171" s="4" t="str">
        <v>Reguler Periode ke-101 VI.A.3</v>
      </c>
      <c r="B171" s="4" t="str">
        <v>Reguler Periode ke-101</v>
      </c>
      <c r="C171" s="4" t="str">
        <v>VI.A.3</v>
      </c>
      <c r="D171" s="101" t="str">
        <v>https://drive.google.com/open?id=1mRWp6cNSWVFM1mVPDKYl_lNOIvvSDoo0DPXuRJ6zqEA&amp;usp=drive_copy</v>
      </c>
      <c r="E171" s="101" t="str">
        <v>https://drive.google.com/open?id=1mRWp6cNSWVFM1mVPDKYl_lNOIvvSDoo0DPXuRJ6zqEA</v>
      </c>
      <c r="F171" s="103" t="str">
        <f ca="1">IFERROR(__xludf.DUMMYFUNCTION("IMPORTRANGE(H171,""IDENTITAS UNIT!D9"")"),"https://goo.gl/maps/mkKufRgLu5Aern689")</f>
        <v>https://goo.gl/maps/mkKufRgLu5Aern689</v>
      </c>
      <c r="G171" s="4" t="s">
        <v>12825</v>
      </c>
      <c r="H171" s="101" t="str">
        <v>https://docs.google.com/spreadsheets/d/1mRWp6cNSWVFM1mVPDKYl_lNOIvvSDoo0DPXuRJ6zqEA</v>
      </c>
      <c r="I171" s="101" t="str">
        <v>https://docs.google.com/open?id=1mRWp6cNSWVFM1mVPDKYl_lNOIvvSDoo0DPXuRJ6zqEA</v>
      </c>
      <c r="J171" s="4" t="str">
        <v>Serayu, Bantul, Bantul</v>
      </c>
      <c r="L171" s="99" t="str">
        <f ca="1">IFERROR(__xludf.DUMMYFUNCTION("IMPORTRANGE(H171,""IDENTITAS UNIT!D35"")"),"Islami Giswa Ari Putranto")</f>
        <v>Islami Giswa Ari Putranto</v>
      </c>
    </row>
    <row r="172" spans="1:12" ht="49.5" hidden="1">
      <c r="A172" s="4" t="str">
        <v>Reguler Periode ke-101 VI.B.1</v>
      </c>
      <c r="B172" s="4" t="str">
        <v>Reguler Periode ke-101</v>
      </c>
      <c r="C172" s="4" t="str">
        <v>VI.B.1</v>
      </c>
      <c r="D172" s="101" t="str">
        <v>https://drive.google.com/open?id=1otcXblFr9qww47uEYhaUS54PBj0BwNGf-EZ8AjS8yH4&amp;usp=drive_copy</v>
      </c>
      <c r="E172" s="101" t="str">
        <v>https://drive.google.com/open?id=1otcXblFr9qww47uEYhaUS54PBj0BwNGf-EZ8AjS8yH4</v>
      </c>
      <c r="F172" s="103" t="str">
        <f ca="1">IFERROR(__xludf.DUMMYFUNCTION("IMPORTRANGE(H172,""IDENTITAS UNIT!D9"")"),"https://maps.app.goo.gl/uXFwCnTJGHi6vHnr5")</f>
        <v>https://maps.app.goo.gl/uXFwCnTJGHi6vHnr5</v>
      </c>
      <c r="H172" s="101" t="str">
        <v>https://docs.google.com/spreadsheets/d/1otcXblFr9qww47uEYhaUS54PBj0BwNGf-EZ8AjS8yH4</v>
      </c>
      <c r="I172" s="101" t="str">
        <v>https://docs.google.com/open?id=1otcXblFr9qww47uEYhaUS54PBj0BwNGf-EZ8AjS8yH4</v>
      </c>
      <c r="J172" s="4" t="str">
        <v>Babadan, Bantul, Bantul</v>
      </c>
      <c r="L172" s="99" t="str">
        <f ca="1">IFERROR(__xludf.DUMMYFUNCTION("IMPORTRANGE(H172,""IDENTITAS UNIT!D35"")"),"M.akbar Arifudin")</f>
        <v>M.akbar Arifudin</v>
      </c>
    </row>
    <row r="173" spans="1:12" ht="16.5" hidden="1">
      <c r="A173" s="4" t="str">
        <v>Reguler Periode ke-101 VI.B.2</v>
      </c>
      <c r="B173" s="4" t="str">
        <v>Reguler Periode ke-101</v>
      </c>
      <c r="C173" s="4" t="str">
        <v>VI.B.2</v>
      </c>
      <c r="D173" s="101" t="str">
        <v>https://drive.google.com/open?id=1qgLOwy0qMyZjypJatUEWeJiPf1ATQNjxTaHAxolzp48&amp;usp=drive_copy</v>
      </c>
      <c r="E173" s="101" t="str">
        <v>https://drive.google.com/open?id=1qgLOwy0qMyZjypJatUEWeJiPf1ATQNjxTaHAxolzp48</v>
      </c>
      <c r="F173" s="102" t="str">
        <f ca="1">IFERROR(__xludf.DUMMYFUNCTION("IMPORTRANGE(H173,""IDENTITAS UNIT!D9"")"),"")</f>
        <v/>
      </c>
      <c r="H173" s="101" t="str">
        <v>https://docs.google.com/spreadsheets/d/1qgLOwy0qMyZjypJatUEWeJiPf1ATQNjxTaHAxolzp48</v>
      </c>
      <c r="I173" s="101" t="str">
        <v>https://docs.google.com/open?id=1qgLOwy0qMyZjypJatUEWeJiPf1ATQNjxTaHAxolzp48</v>
      </c>
      <c r="J173" s="4" t="str">
        <v>Bejen, Bantul, Bantul</v>
      </c>
      <c r="L173" s="99" t="str">
        <f ca="1">IFERROR(__xludf.DUMMYFUNCTION("IMPORTRANGE(H173,""IDENTITAS UNIT!D35"")"),"Riko Wirawan")</f>
        <v>Riko Wirawan</v>
      </c>
    </row>
    <row r="174" spans="1:12" ht="16.5" hidden="1">
      <c r="A174" s="4" t="str">
        <v>Reguler Periode ke-101 VI.B.3</v>
      </c>
      <c r="B174" s="4" t="str">
        <v>Reguler Periode ke-101</v>
      </c>
      <c r="C174" s="4" t="str">
        <v>VI.B.3</v>
      </c>
      <c r="D174" s="101" t="str">
        <v>https://drive.google.com/open?id=1rmyKhBbN1Af6kfYBIrOuy2lf0HNARvUX1rj6V5C8IXc&amp;usp=drive_copy</v>
      </c>
      <c r="E174" s="101" t="str">
        <v>https://drive.google.com/open?id=1rmyKhBbN1Af6kfYBIrOuy2lf0HNARvUX1rj6V5C8IXc</v>
      </c>
      <c r="F174" s="102" t="str">
        <f ca="1">IFERROR(__xludf.DUMMYFUNCTION("IMPORTRANGE(H174,""IDENTITAS UNIT!D9"")"),"#REF!")</f>
        <v>#REF!</v>
      </c>
      <c r="G174" s="4" t="s">
        <v>12826</v>
      </c>
      <c r="H174" s="101" t="str">
        <v>https://docs.google.com/spreadsheets/d/1rmyKhBbN1Af6kfYBIrOuy2lf0HNARvUX1rj6V5C8IXc</v>
      </c>
      <c r="I174" s="101" t="str">
        <v>https://docs.google.com/open?id=1rmyKhBbN1Af6kfYBIrOuy2lf0HNARvUX1rj6V5C8IXc</v>
      </c>
      <c r="J174" s="4" t="str">
        <v>Kurahan, Bantul, Bantul</v>
      </c>
      <c r="L174" s="99" t="str">
        <f ca="1">IFERROR(__xludf.DUMMYFUNCTION("IMPORTRANGE(H174,""IDENTITAS UNIT!D35"")"),"#REF!")</f>
        <v>#REF!</v>
      </c>
    </row>
    <row r="175" spans="1:12" ht="49.5" hidden="1">
      <c r="A175" s="4" t="str">
        <v>Reguler Periode ke-101 VI.C.1</v>
      </c>
      <c r="B175" s="4" t="str">
        <v>Reguler Periode ke-101</v>
      </c>
      <c r="C175" s="4" t="str">
        <v>VI.C.1</v>
      </c>
      <c r="D175" s="101" t="str">
        <v>https://drive.google.com/open?id=1vUXqua83v3x9zh05wORCmfx2chW-Q5N-YKl7HU7_xxk&amp;usp=drive_copy</v>
      </c>
      <c r="E175" s="101" t="str">
        <v>https://drive.google.com/open?id=1vUXqua83v3x9zh05wORCmfx2chW-Q5N-YKl7HU7_xxk</v>
      </c>
      <c r="F175" s="103" t="str">
        <f ca="1">IFERROR(__xludf.DUMMYFUNCTION("IMPORTRANGE(H175,""IDENTITAS UNIT!D9"")"),"https://goo.gl/maps/EeVEVP5r2pXWSshE7")</f>
        <v>https://goo.gl/maps/EeVEVP5r2pXWSshE7</v>
      </c>
      <c r="G175" s="4" t="s">
        <v>12827</v>
      </c>
      <c r="H175" s="101" t="str">
        <v>https://docs.google.com/spreadsheets/d/1vUXqua83v3x9zh05wORCmfx2chW-Q5N-YKl7HU7_xxk</v>
      </c>
      <c r="I175" s="101" t="str">
        <v>https://docs.google.com/open?id=1vUXqua83v3x9zh05wORCmfx2chW-Q5N-YKl7HU7_xxk</v>
      </c>
      <c r="J175" s="4" t="str">
        <v>Sumuran, Palbapang, Bantul</v>
      </c>
      <c r="L175" s="99" t="str">
        <f ca="1">IFERROR(__xludf.DUMMYFUNCTION("IMPORTRANGE(H175,""IDENTITAS UNIT!D35"")"),"Dimas Aziz Prasetyo")</f>
        <v>Dimas Aziz Prasetyo</v>
      </c>
    </row>
    <row r="176" spans="1:12" ht="49.5" hidden="1">
      <c r="A176" s="4" t="str">
        <v>Reguler Periode ke-101 VI.C.2</v>
      </c>
      <c r="B176" s="4" t="str">
        <v>Reguler Periode ke-101</v>
      </c>
      <c r="C176" s="4" t="str">
        <v>VI.C.2</v>
      </c>
      <c r="D176" s="101" t="str">
        <v>https://drive.google.com/open?id=1vVWJqM_ZEbT8aB0cn9bEM5_yDhPt4R5bzNmGTet2Orw&amp;usp=drive_copy</v>
      </c>
      <c r="E176" s="101" t="str">
        <v>https://drive.google.com/open?id=1vVWJqM_ZEbT8aB0cn9bEM5_yDhPt4R5bzNmGTet2Orw</v>
      </c>
      <c r="F176" s="103" t="str">
        <f ca="1">IFERROR(__xludf.DUMMYFUNCTION("IMPORTRANGE(H176,""IDENTITAS UNIT!D9"")"),"https://maps.app.goo.gl/yA2ger5q13dmGM2J8")</f>
        <v>https://maps.app.goo.gl/yA2ger5q13dmGM2J8</v>
      </c>
      <c r="G176" s="4" t="s">
        <v>12828</v>
      </c>
      <c r="H176" s="101" t="str">
        <v>https://docs.google.com/spreadsheets/d/1vVWJqM_ZEbT8aB0cn9bEM5_yDhPt4R5bzNmGTet2Orw</v>
      </c>
      <c r="I176" s="101" t="str">
        <v>https://docs.google.com/open?id=1vVWJqM_ZEbT8aB0cn9bEM5_yDhPt4R5bzNmGTet2Orw</v>
      </c>
      <c r="J176" s="4" t="str">
        <v>Taskombang, Palbapang, Bantul</v>
      </c>
      <c r="L176" s="99" t="str">
        <f ca="1">IFERROR(__xludf.DUMMYFUNCTION("IMPORTRANGE(H176,""IDENTITAS UNIT!D35"")"),"Muhammad Kholid Syaifuddin")</f>
        <v>Muhammad Kholid Syaifuddin</v>
      </c>
    </row>
    <row r="177" spans="1:12" ht="49.5" hidden="1">
      <c r="A177" s="4" t="str">
        <v>Reguler Periode ke-101 VI.C.3</v>
      </c>
      <c r="B177" s="4" t="str">
        <v>Reguler Periode ke-101</v>
      </c>
      <c r="C177" s="4" t="str">
        <v>VI.C.3</v>
      </c>
      <c r="D177" s="101" t="str">
        <v>https://drive.google.com/open?id=1wMQbr05_r-X4uMyVsKJ8Ibj2ZQrvi7zlSBHbrv_H3VM&amp;usp=drive_copy</v>
      </c>
      <c r="E177" s="101" t="str">
        <v>https://drive.google.com/open?id=1wMQbr05_r-X4uMyVsKJ8Ibj2ZQrvi7zlSBHbrv_H3VM</v>
      </c>
      <c r="F177" s="103" t="str">
        <f ca="1">IFERROR(__xludf.DUMMYFUNCTION("IMPORTRANGE(H177,""IDENTITAS UNIT!D9"")"),"https://goo.gl/maps/a7vNLKEZfR39duDv6")</f>
        <v>https://goo.gl/maps/a7vNLKEZfR39duDv6</v>
      </c>
      <c r="G177" s="4" t="s">
        <v>12829</v>
      </c>
      <c r="H177" s="101" t="str">
        <v>https://docs.google.com/spreadsheets/d/1wMQbr05_r-X4uMyVsKJ8Ibj2ZQrvi7zlSBHbrv_H3VM</v>
      </c>
      <c r="I177" s="101" t="str">
        <v>https://docs.google.com/open?id=1wMQbr05_r-X4uMyVsKJ8Ibj2ZQrvi7zlSBHbrv_H3VM</v>
      </c>
      <c r="J177" s="4" t="str">
        <v>Karasan, Palbapang, Bantul</v>
      </c>
      <c r="L177" s="99" t="str">
        <f ca="1">IFERROR(__xludf.DUMMYFUNCTION("IMPORTRANGE(H177,""IDENTITAS UNIT!D35"")"),"Davin Ega Naldo")</f>
        <v>Davin Ega Naldo</v>
      </c>
    </row>
    <row r="178" spans="1:12" ht="49.5" hidden="1">
      <c r="A178" s="4" t="str">
        <v>Reguler Periode ke-101 VI.D.1</v>
      </c>
      <c r="B178" s="4" t="str">
        <v>Reguler Periode ke-101</v>
      </c>
      <c r="C178" s="4" t="str">
        <v>VI.D.1</v>
      </c>
      <c r="D178" s="101" t="str">
        <v>https://drive.google.com/open?id=1wY0EQWBPA5XkGfdYi5TQrYeuM9fq39UgRZeQC3E-7NU&amp;usp=drive_copy</v>
      </c>
      <c r="E178" s="101" t="str">
        <v>https://drive.google.com/open?id=1wY0EQWBPA5XkGfdYi5TQrYeuM9fq39UgRZeQC3E-7NU</v>
      </c>
      <c r="F178" s="103" t="str">
        <f ca="1">IFERROR(__xludf.DUMMYFUNCTION("IMPORTRANGE(H178,""IDENTITAS UNIT!D9"")"),"https://goo.gl/maps/GLcWH3bbfa3gNki56")</f>
        <v>https://goo.gl/maps/GLcWH3bbfa3gNki56</v>
      </c>
      <c r="H178" s="101" t="str">
        <v>https://docs.google.com/spreadsheets/d/1wY0EQWBPA5XkGfdYi5TQrYeuM9fq39UgRZeQC3E-7NU</v>
      </c>
      <c r="I178" s="101" t="str">
        <v>https://docs.google.com/open?id=1wY0EQWBPA5XkGfdYi5TQrYeuM9fq39UgRZeQC3E-7NU</v>
      </c>
      <c r="J178" s="4" t="str">
        <v>Karangasem, Palbapang, Bantul</v>
      </c>
      <c r="L178" s="99" t="str">
        <f ca="1">IFERROR(__xludf.DUMMYFUNCTION("IMPORTRANGE(H178,""IDENTITAS UNIT!D35"")"),"Muhammad Rizki Akbarridho")</f>
        <v>Muhammad Rizki Akbarridho</v>
      </c>
    </row>
    <row r="179" spans="1:12" ht="16.5" hidden="1">
      <c r="A179" s="4" t="str">
        <v>Reguler Periode ke-101 VI.D.2</v>
      </c>
      <c r="B179" s="4" t="str">
        <v>Reguler Periode ke-101</v>
      </c>
      <c r="C179" s="4" t="str">
        <v>VI.D.2</v>
      </c>
      <c r="D179" s="101" t="str">
        <v>https://drive.google.com/open?id=1x9U92VBdOh3QgmPp4ZWEHEVYci7yySVeST9S6KdeL5I&amp;usp=drive_copy</v>
      </c>
      <c r="E179" s="101" t="str">
        <v>https://drive.google.com/open?id=1x9U92VBdOh3QgmPp4ZWEHEVYci7yySVeST9S6KdeL5I</v>
      </c>
      <c r="F179" s="102" t="str">
        <f ca="1">IFERROR(__xludf.DUMMYFUNCTION("IMPORTRANGE(H179,""IDENTITAS UNIT!D9"")"),"")</f>
        <v/>
      </c>
      <c r="H179" s="101" t="str">
        <v>https://docs.google.com/spreadsheets/d/1x9U92VBdOh3QgmPp4ZWEHEVYci7yySVeST9S6KdeL5I</v>
      </c>
      <c r="I179" s="101" t="str">
        <v>https://docs.google.com/open?id=1x9U92VBdOh3QgmPp4ZWEHEVYci7yySVeST9S6KdeL5I</v>
      </c>
      <c r="J179" s="4" t="str">
        <v>Dagaran, Palbapang, Bantul</v>
      </c>
      <c r="L179" s="99" t="str">
        <f ca="1">IFERROR(__xludf.DUMMYFUNCTION("IMPORTRANGE(H179,""IDENTITAS UNIT!D35"")"),"Muhamad Bagus Sajiwo")</f>
        <v>Muhamad Bagus Sajiwo</v>
      </c>
    </row>
    <row r="180" spans="1:12" ht="49.5" hidden="1">
      <c r="A180" s="4" t="str">
        <v>Reguler Periode ke-101 VI.D.3</v>
      </c>
      <c r="B180" s="4" t="str">
        <v>Reguler Periode ke-101</v>
      </c>
      <c r="C180" s="4" t="str">
        <v>VI.D.3</v>
      </c>
      <c r="D180" s="101" t="str">
        <v>https://drive.google.com/open?id=13y-xpQPPXUCTfqu7A8owFAqLunprm0uplelyP_okWZU&amp;usp=drive_copy</v>
      </c>
      <c r="E180" s="101" t="str">
        <v>https://drive.google.com/open?id=13y-xpQPPXUCTfqu7A8owFAqLunprm0uplelyP_okWZU</v>
      </c>
      <c r="F180" s="103" t="str">
        <f ca="1">IFERROR(__xludf.DUMMYFUNCTION("IMPORTRANGE(H180,""IDENTITAS UNIT!D9"")"),"https://maps.app.goo.gl/mTmP3GFJthj1eZd1A?g_st=iw")</f>
        <v>https://maps.app.goo.gl/mTmP3GFJthj1eZd1A?g_st=iw</v>
      </c>
      <c r="G180" s="4" t="s">
        <v>12830</v>
      </c>
      <c r="H180" s="101" t="str">
        <v>https://docs.google.com/spreadsheets/d/13y-xpQPPXUCTfqu7A8owFAqLunprm0uplelyP_okWZU</v>
      </c>
      <c r="I180" s="101" t="str">
        <v>https://docs.google.com/open?id=13y-xpQPPXUCTfqu7A8owFAqLunprm0uplelyP_okWZU</v>
      </c>
      <c r="J180" s="4" t="str">
        <v>Kadirojo, Palbapang, Bantul</v>
      </c>
      <c r="L180" s="99" t="str">
        <f ca="1">IFERROR(__xludf.DUMMYFUNCTION("IMPORTRANGE(H180,""IDENTITAS UNIT!D35"")"),"LANDI")</f>
        <v>LANDI</v>
      </c>
    </row>
    <row r="181" spans="1:12" ht="49.5" hidden="1">
      <c r="A181" s="4" t="str">
        <v>Reguler Periode ke-101 VII.A.1</v>
      </c>
      <c r="B181" s="4" t="str">
        <v>Reguler Periode ke-101</v>
      </c>
      <c r="C181" s="4" t="str">
        <v>VII.A.1</v>
      </c>
      <c r="D181" s="101" t="str">
        <v>https://drive.google.com/open?id=1ACl9i5ZG6F4mvLHP2SlwmLtMsamk9D5X0Ge7b1sU7YA&amp;usp=drive_copy</v>
      </c>
      <c r="E181" s="101" t="str">
        <v>https://drive.google.com/open?id=1ACl9i5ZG6F4mvLHP2SlwmLtMsamk9D5X0Ge7b1sU7YA</v>
      </c>
      <c r="F181" s="103" t="str">
        <f ca="1">IFERROR(__xludf.DUMMYFUNCTION("IMPORTRANGE(H181,""IDENTITAS UNIT!D9"")"),"https://maps.app.goo.gl/5Cxz15a2x2eexLtw8")</f>
        <v>https://maps.app.goo.gl/5Cxz15a2x2eexLtw8</v>
      </c>
      <c r="H181" s="101" t="str">
        <v>https://docs.google.com/spreadsheets/d/1ACl9i5ZG6F4mvLHP2SlwmLtMsamk9D5X0Ge7b1sU7YA</v>
      </c>
      <c r="I181" s="101" t="str">
        <v>https://docs.google.com/open?id=1ACl9i5ZG6F4mvLHP2SlwmLtMsamk9D5X0Ge7b1sU7YA</v>
      </c>
      <c r="J181" s="4" t="str">
        <v>Peni, Palbapang, Bantul</v>
      </c>
      <c r="L181" s="99" t="str">
        <f ca="1">IFERROR(__xludf.DUMMYFUNCTION("IMPORTRANGE(H181,""IDENTITAS UNIT!D35"")"),"Rahmatialdi Yasifan Maulana")</f>
        <v>Rahmatialdi Yasifan Maulana</v>
      </c>
    </row>
    <row r="182" spans="1:12" ht="49.5" hidden="1">
      <c r="A182" s="4" t="str">
        <v>Reguler Periode ke-101 VII.A.2</v>
      </c>
      <c r="B182" s="4" t="str">
        <v>Reguler Periode ke-101</v>
      </c>
      <c r="C182" s="4" t="str">
        <v>VII.A.2</v>
      </c>
      <c r="D182" s="101" t="str">
        <v>https://drive.google.com/open?id=1BKzQyLoS7BSuZsRkiQApevcj2ZXn00Z3B8t-7Elt1lM&amp;usp=drive_copy</v>
      </c>
      <c r="E182" s="101" t="str">
        <v>https://drive.google.com/open?id=1BKzQyLoS7BSuZsRkiQApevcj2ZXn00Z3B8t-7Elt1lM</v>
      </c>
      <c r="F182" s="103" t="str">
        <f ca="1">IFERROR(__xludf.DUMMYFUNCTION("IMPORTRANGE(H182,""IDENTITAS UNIT!D9"")"),"https://maps.app.goo.gl/DuSKAqUe9HCJeDRz5")</f>
        <v>https://maps.app.goo.gl/DuSKAqUe9HCJeDRz5</v>
      </c>
      <c r="G182" s="4" t="s">
        <v>12831</v>
      </c>
      <c r="H182" s="101" t="str">
        <v>https://docs.google.com/spreadsheets/d/1BKzQyLoS7BSuZsRkiQApevcj2ZXn00Z3B8t-7Elt1lM</v>
      </c>
      <c r="I182" s="101" t="str">
        <v>https://docs.google.com/open?id=1BKzQyLoS7BSuZsRkiQApevcj2ZXn00Z3B8t-7Elt1lM</v>
      </c>
      <c r="J182" s="4" t="str">
        <v>Ngringinan, Palbapang, Bantul</v>
      </c>
      <c r="L182" s="99" t="str">
        <f ca="1">IFERROR(__xludf.DUMMYFUNCTION("IMPORTRANGE(H182,""IDENTITAS UNIT!D35"")"),"Wisnu Alkhowarizmi.a.")</f>
        <v>Wisnu Alkhowarizmi.a.</v>
      </c>
    </row>
    <row r="183" spans="1:12" ht="66" hidden="1">
      <c r="A183" s="4" t="str">
        <v>Reguler Periode ke-101 VII.A.3</v>
      </c>
      <c r="B183" s="4" t="str">
        <v>Reguler Periode ke-101</v>
      </c>
      <c r="C183" s="4" t="str">
        <v>VII.A.3</v>
      </c>
      <c r="D183" s="101" t="str">
        <v>https://drive.google.com/open?id=1GcfTeM06fL2h2DFNzZR1dtc4_cQ7sTpi7l_fflQK_YA&amp;usp=drive_copy</v>
      </c>
      <c r="E183" s="101" t="str">
        <v>https://drive.google.com/open?id=1GcfTeM06fL2h2DFNzZR1dtc4_cQ7sTpi7l_fflQK_YA</v>
      </c>
      <c r="F183" s="103" t="str">
        <f ca="1">IFERROR(__xludf.DUMMYFUNCTION("IMPORTRANGE(H183,""IDENTITAS UNIT!D9"")"),"https://www.google.com/maps?q=-7.9105163,110.3352333")</f>
        <v>https://www.google.com/maps?q=-7.9105163,110.3352333</v>
      </c>
      <c r="G183" s="4" t="s">
        <v>12832</v>
      </c>
      <c r="H183" s="101" t="str">
        <v>https://docs.google.com/spreadsheets/d/1GcfTeM06fL2h2DFNzZR1dtc4_cQ7sTpi7l_fflQK_YA</v>
      </c>
      <c r="I183" s="101" t="str">
        <v>https://docs.google.com/open?id=1GcfTeM06fL2h2DFNzZR1dtc4_cQ7sTpi7l_fflQK_YA</v>
      </c>
      <c r="J183" s="4" t="str">
        <v>Serut, Palbapang, Bantul</v>
      </c>
      <c r="L183" s="99" t="str">
        <f ca="1">IFERROR(__xludf.DUMMYFUNCTION("IMPORTRANGE(H183,""IDENTITAS UNIT!D35"")"),"Yovi Sepriansyah")</f>
        <v>Yovi Sepriansyah</v>
      </c>
    </row>
    <row r="184" spans="1:12" ht="49.5" hidden="1">
      <c r="A184" s="4" t="str">
        <v>Reguler Periode ke-101 VII.B.1</v>
      </c>
      <c r="B184" s="4" t="str">
        <v>Reguler Periode ke-101</v>
      </c>
      <c r="C184" s="4" t="str">
        <v>VII.B.1</v>
      </c>
      <c r="D184" s="101" t="str">
        <v>https://drive.google.com/open?id=1MF1fk8rVZIAco5Gnx8McsNwYVhLmA4lyw1YLhUMKXhU&amp;usp=drive_copy</v>
      </c>
      <c r="E184" s="101" t="str">
        <v>https://drive.google.com/open?id=1MF1fk8rVZIAco5Gnx8McsNwYVhLmA4lyw1YLhUMKXhU</v>
      </c>
      <c r="F184" s="103" t="str">
        <f ca="1">IFERROR(__xludf.DUMMYFUNCTION("IMPORTRANGE(H184,""IDENTITAS UNIT!D9"")"),"https://maps.app.goo.gl/yaySoNQc56BUwBP47")</f>
        <v>https://maps.app.goo.gl/yaySoNQc56BUwBP47</v>
      </c>
      <c r="H184" s="101" t="str">
        <v>https://docs.google.com/spreadsheets/d/1MF1fk8rVZIAco5Gnx8McsNwYVhLmA4lyw1YLhUMKXhU</v>
      </c>
      <c r="I184" s="101" t="str">
        <v>https://docs.google.com/open?id=1MF1fk8rVZIAco5Gnx8McsNwYVhLmA4lyw1YLhUMKXhU</v>
      </c>
      <c r="J184" s="4" t="str">
        <v>Bantul Karang, Ringinharjo, Bantul</v>
      </c>
      <c r="L184" s="99" t="str">
        <f ca="1">IFERROR(__xludf.DUMMYFUNCTION("IMPORTRANGE(H184,""IDENTITAS UNIT!D35"")"),"Alfin Nazmi Yusuf")</f>
        <v>Alfin Nazmi Yusuf</v>
      </c>
    </row>
    <row r="185" spans="1:12" ht="49.5" hidden="1">
      <c r="A185" s="4" t="str">
        <v>Reguler Periode ke-101 VII.B.2</v>
      </c>
      <c r="B185" s="4" t="str">
        <v>Reguler Periode ke-101</v>
      </c>
      <c r="C185" s="4" t="str">
        <v>VII.B.2</v>
      </c>
      <c r="D185" s="101" t="str">
        <v>https://drive.google.com/open?id=1WrO6d4_riEipMV3EXQ2EjXaQ2I5IYdIl5Mo4aYGadQg&amp;usp=drive_copy</v>
      </c>
      <c r="E185" s="101" t="str">
        <v>https://drive.google.com/open?id=1WrO6d4_riEipMV3EXQ2EjXaQ2I5IYdIl5Mo4aYGadQg</v>
      </c>
      <c r="F185" s="103" t="str">
        <f ca="1">IFERROR(__xludf.DUMMYFUNCTION("IMPORTRANGE(H185,""IDENTITAS UNIT!D9"")"),"https://maps.app.goo.gl/KBrgxKH9rqH4S99f6?g_st=iw ")</f>
        <v xml:space="preserve">https://maps.app.goo.gl/KBrgxKH9rqH4S99f6?g_st=iw </v>
      </c>
      <c r="G185" s="4" t="s">
        <v>12833</v>
      </c>
      <c r="H185" s="101" t="str">
        <v>https://docs.google.com/spreadsheets/d/1WrO6d4_riEipMV3EXQ2EjXaQ2I5IYdIl5Mo4aYGadQg</v>
      </c>
      <c r="I185" s="101" t="str">
        <v>https://docs.google.com/open?id=1WrO6d4_riEipMV3EXQ2EjXaQ2I5IYdIl5Mo4aYGadQg</v>
      </c>
      <c r="J185" s="4" t="str">
        <v>Deresan, Ringinharjo, Bantul</v>
      </c>
      <c r="L185" s="99" t="str">
        <f ca="1">IFERROR(__xludf.DUMMYFUNCTION("IMPORTRANGE(H185,""IDENTITAS UNIT!D35"")"),"Irsyad Al Farisi")</f>
        <v>Irsyad Al Farisi</v>
      </c>
    </row>
    <row r="186" spans="1:12" ht="214.5" hidden="1">
      <c r="A186" s="4" t="str">
        <v>Reguler Periode ke-101 VII.B.3</v>
      </c>
      <c r="B186" s="4" t="str">
        <v>Reguler Periode ke-101</v>
      </c>
      <c r="C186" s="4" t="str">
        <v>VII.B.3</v>
      </c>
      <c r="D186" s="101" t="str">
        <v>https://drive.google.com/open?id=1mTnATP6SNd_2SY_eHs-Bqbc6X5cLrzmtKhuS0qCmXzc&amp;usp=drive_copy</v>
      </c>
      <c r="E186" s="101" t="str">
        <v>https://drive.google.com/open?id=1mTnATP6SNd_2SY_eHs-Bqbc6X5cLrzmtKhuS0qCmXzc</v>
      </c>
      <c r="F186" s="103" t="str">
        <f ca="1">IFERROR(__xludf.DUMMYFUNCTION("IMPORTRANGE(H186,""IDENTITAS UNIT!D9"")"),"https://www.google.com/maps/place/SD+Al+Azhar+38/@-7.8806671,110.3143792,17z/data=!3m1!4b1!4m6!3m5!1s0x2e7af8b2d27908d1:0xa9f4c5d9773caf92!8m2!3d-7.8806671!4d110.3165679!16s%2Fg%2F11bwp2hrvv?coh=164777&amp;entry=tt")</f>
        <v>https://www.google.com/maps/place/SD+Al+Azhar+38/@-7.8806671,110.3143792,17z/data=!3m1!4b1!4m6!3m5!1s0x2e7af8b2d27908d1:0xa9f4c5d9773caf92!8m2!3d-7.8806671!4d110.3165679!16s%2Fg%2F11bwp2hrvv?coh=164777&amp;entry=tt</v>
      </c>
      <c r="G186" s="4" t="s">
        <v>12834</v>
      </c>
      <c r="H186" s="101" t="str">
        <v>https://docs.google.com/spreadsheets/d/1mTnATP6SNd_2SY_eHs-Bqbc6X5cLrzmtKhuS0qCmXzc</v>
      </c>
      <c r="I186" s="101" t="str">
        <v>https://docs.google.com/open?id=1mTnATP6SNd_2SY_eHs-Bqbc6X5cLrzmtKhuS0qCmXzc</v>
      </c>
      <c r="J186" s="4" t="str">
        <v>Gemahan, Ringinharjo, Bantul</v>
      </c>
      <c r="L186" s="99" t="str">
        <f ca="1">IFERROR(__xludf.DUMMYFUNCTION("IMPORTRANGE(H186,""IDENTITAS UNIT!D35"")"),"Pandu Dwi Utama")</f>
        <v>Pandu Dwi Utama</v>
      </c>
    </row>
    <row r="187" spans="1:12" ht="49.5" hidden="1">
      <c r="A187" s="4" t="str">
        <v>Reguler Periode ke-101 VII.C.1</v>
      </c>
      <c r="B187" s="4" t="str">
        <v>Reguler Periode ke-101</v>
      </c>
      <c r="C187" s="4" t="str">
        <v>VII.C.1</v>
      </c>
      <c r="D187" s="101" t="str">
        <v>https://drive.google.com/open?id=1qTpeEQnt9Rpk-icmqGc9J1CNga9ryRfyiIzmEt_-ehQ&amp;usp=drive_copy</v>
      </c>
      <c r="E187" s="101" t="str">
        <v>https://drive.google.com/open?id=1qTpeEQnt9Rpk-icmqGc9J1CNga9ryRfyiIzmEt_-ehQ</v>
      </c>
      <c r="F187" s="103" t="str">
        <f ca="1">IFERROR(__xludf.DUMMYFUNCTION("IMPORTRANGE(H187,""IDENTITAS UNIT!D9"")"),"https://maps.app.goo.gl/Qf3YN663UDUhNhJY8?g_st=iw")</f>
        <v>https://maps.app.goo.gl/Qf3YN663UDUhNhJY8?g_st=iw</v>
      </c>
      <c r="H187" s="101" t="str">
        <v>https://docs.google.com/spreadsheets/d/1qTpeEQnt9Rpk-icmqGc9J1CNga9ryRfyiIzmEt_-ehQ</v>
      </c>
      <c r="I187" s="101" t="str">
        <v>https://docs.google.com/open?id=1qTpeEQnt9Rpk-icmqGc9J1CNga9ryRfyiIzmEt_-ehQ</v>
      </c>
      <c r="J187" s="4" t="str">
        <v>Mandingan, Ringinharjo, Bantul</v>
      </c>
      <c r="L187" s="99" t="str">
        <f ca="1">IFERROR(__xludf.DUMMYFUNCTION("IMPORTRANGE(H187,""IDENTITAS UNIT!D35"")"),"Muhammad Aditya Jamil")</f>
        <v>Muhammad Aditya Jamil</v>
      </c>
    </row>
    <row r="188" spans="1:12" ht="49.5" hidden="1">
      <c r="A188" s="4" t="str">
        <v>Reguler Periode ke-101 VII.C.2</v>
      </c>
      <c r="B188" s="4" t="str">
        <v>Reguler Periode ke-101</v>
      </c>
      <c r="C188" s="4" t="str">
        <v>VII.C.2</v>
      </c>
      <c r="D188" s="101" t="str">
        <v>https://drive.google.com/open?id=103KL_VjoShnKTLjchsuvs_etS-tYQqzNE8Dbs_m5QYo&amp;usp=drive_copy</v>
      </c>
      <c r="E188" s="101" t="str">
        <v>https://drive.google.com/open?id=103KL_VjoShnKTLjchsuvs_etS-tYQqzNE8Dbs_m5QYo</v>
      </c>
      <c r="F188" s="103" t="str">
        <f ca="1">IFERROR(__xludf.DUMMYFUNCTION("IMPORTRANGE(H188,""IDENTITAS UNIT!D9"")"),"https://maps.app.goo.gl/u1erremZLnQ9aEKX6")</f>
        <v>https://maps.app.goo.gl/u1erremZLnQ9aEKX6</v>
      </c>
      <c r="G188" s="4" t="s">
        <v>12835</v>
      </c>
      <c r="H188" s="101" t="str">
        <v>https://docs.google.com/spreadsheets/d/103KL_VjoShnKTLjchsuvs_etS-tYQqzNE8Dbs_m5QYo</v>
      </c>
      <c r="I188" s="101" t="str">
        <v>https://docs.google.com/open?id=103KL_VjoShnKTLjchsuvs_etS-tYQqzNE8Dbs_m5QYo</v>
      </c>
      <c r="J188" s="4" t="str">
        <v>Soropaten, Ringinharjo, Bantul</v>
      </c>
      <c r="L188" s="99" t="str">
        <f ca="1">IFERROR(__xludf.DUMMYFUNCTION("IMPORTRANGE(H188,""IDENTITAS UNIT!D35"")"),"Dimas Buana Putra Prabowo")</f>
        <v>Dimas Buana Putra Prabowo</v>
      </c>
    </row>
    <row r="189" spans="1:12" ht="82.5" hidden="1">
      <c r="A189" s="4" t="str">
        <v>Reguler Periode ke-101 VII.C.3</v>
      </c>
      <c r="B189" s="4" t="str">
        <v>Reguler Periode ke-101</v>
      </c>
      <c r="C189" s="4" t="str">
        <v>VII.C.3</v>
      </c>
      <c r="D189" s="101" t="str">
        <v>https://drive.google.com/open?id=17qWmDGno2f-lqhJn0NXfqFhjW-rp-CZGjPw0JvZQt80&amp;usp=drive_copy</v>
      </c>
      <c r="E189" s="101" t="str">
        <v>https://drive.google.com/open?id=17qWmDGno2f-lqhJn0NXfqFhjW-rp-CZGjPw0JvZQt80</v>
      </c>
      <c r="F189" s="102" t="str">
        <f ca="1">IFERROR(__xludf.DUMMYFUNCTION("IMPORTRANGE(H189,""IDENTITAS UNIT!D9"")"),"7°53'36.4""S 110°18'39.9""E
https://goo.gl/maps/s5JfsoTtcjtW6XQ19")</f>
        <v>7°53'36.4"S 110°18'39.9"E
https://goo.gl/maps/s5JfsoTtcjtW6XQ19</v>
      </c>
      <c r="H189" s="101" t="str">
        <v>https://docs.google.com/spreadsheets/d/17qWmDGno2f-lqhJn0NXfqFhjW-rp-CZGjPw0JvZQt80</v>
      </c>
      <c r="I189" s="101" t="str">
        <v>https://docs.google.com/open?id=17qWmDGno2f-lqhJn0NXfqFhjW-rp-CZGjPw0JvZQt80</v>
      </c>
      <c r="J189" s="4" t="str">
        <v>Gumuk, Ringinharjo, Bantul</v>
      </c>
      <c r="L189" s="99" t="str">
        <f ca="1">IFERROR(__xludf.DUMMYFUNCTION("IMPORTRANGE(H189,""IDENTITAS UNIT!D35"")"),"Galang Yuri Ramadhan")</f>
        <v>Galang Yuri Ramadhan</v>
      </c>
    </row>
    <row r="190" spans="1:12" ht="49.5" hidden="1">
      <c r="A190" s="4" t="str">
        <v>Reguler Periode ke-101 VII.D.1</v>
      </c>
      <c r="B190" s="4" t="str">
        <v>Reguler Periode ke-101</v>
      </c>
      <c r="C190" s="4" t="str">
        <v>VII.D.1</v>
      </c>
      <c r="D190" s="101" t="str">
        <v>https://drive.google.com/open?id=1BbO3XwPgprrRzRbJNU782pgl77q3nT4WmQQznQPUp9c&amp;usp=drive_copy</v>
      </c>
      <c r="E190" s="101" t="str">
        <v>https://drive.google.com/open?id=1BbO3XwPgprrRzRbJNU782pgl77q3nT4WmQQznQPUp9c</v>
      </c>
      <c r="F190" s="103" t="str">
        <f ca="1">IFERROR(__xludf.DUMMYFUNCTION("IMPORTRANGE(H190,""IDENTITAS UNIT!D9"")"),"https://goo.gl/maps/iDuzs1hqtTBerJdy5")</f>
        <v>https://goo.gl/maps/iDuzs1hqtTBerJdy5</v>
      </c>
      <c r="G190" s="4" t="s">
        <v>12836</v>
      </c>
      <c r="H190" s="101" t="str">
        <v>https://docs.google.com/spreadsheets/d/1BbO3XwPgprrRzRbJNU782pgl77q3nT4WmQQznQPUp9c</v>
      </c>
      <c r="I190" s="101" t="str">
        <v>https://docs.google.com/open?id=1BbO3XwPgprrRzRbJNU782pgl77q3nT4WmQQznQPUp9c</v>
      </c>
      <c r="J190" s="4" t="str">
        <v>Dukuh, Sabdodadi, Bantul</v>
      </c>
      <c r="L190" s="99" t="str">
        <f ca="1">IFERROR(__xludf.DUMMYFUNCTION("IMPORTRANGE(H190,""IDENTITAS UNIT!D35"")"),"Fikri Aditya Pradana")</f>
        <v>Fikri Aditya Pradana</v>
      </c>
    </row>
    <row r="191" spans="1:12" ht="49.5" hidden="1">
      <c r="A191" s="4" t="str">
        <v>Reguler Periode ke-101 VII.D.2</v>
      </c>
      <c r="B191" s="4" t="str">
        <v>Reguler Periode ke-101</v>
      </c>
      <c r="C191" s="4" t="str">
        <v>VII.D.2</v>
      </c>
      <c r="D191" s="101" t="str">
        <v>https://drive.google.com/open?id=1JsKkfTNpHQ6vgUslFSEQ7lK1l-YE9XAKa-CpJKgkhII&amp;usp=drive_copy</v>
      </c>
      <c r="E191" s="101" t="str">
        <v>https://drive.google.com/open?id=1JsKkfTNpHQ6vgUslFSEQ7lK1l-YE9XAKa-CpJKgkhII</v>
      </c>
      <c r="F191" s="103" t="str">
        <f ca="1">IFERROR(__xludf.DUMMYFUNCTION("IMPORTRANGE(H191,""IDENTITAS UNIT!D9"")"),"https://maps.app.goo.gl/uoSe9EvCQSpN2UnU6")</f>
        <v>https://maps.app.goo.gl/uoSe9EvCQSpN2UnU6</v>
      </c>
      <c r="G191" s="4" t="s">
        <v>12837</v>
      </c>
      <c r="H191" s="101" t="str">
        <v>https://docs.google.com/spreadsheets/d/1JsKkfTNpHQ6vgUslFSEQ7lK1l-YE9XAKa-CpJKgkhII</v>
      </c>
      <c r="I191" s="101" t="str">
        <v>https://docs.google.com/open?id=1JsKkfTNpHQ6vgUslFSEQ7lK1l-YE9XAKa-CpJKgkhII</v>
      </c>
      <c r="J191" s="4" t="str">
        <v>Manding, Sabdodadi, Bantul</v>
      </c>
      <c r="L191" s="99" t="str">
        <f ca="1">IFERROR(__xludf.DUMMYFUNCTION("IMPORTRANGE(H191,""IDENTITAS UNIT!D35"")"),"Muhammad Rafi Tam Ramadhan")</f>
        <v>Muhammad Rafi Tam Ramadhan</v>
      </c>
    </row>
    <row r="192" spans="1:12" ht="165" hidden="1">
      <c r="A192" s="4" t="str">
        <v>Reguler Periode ke-101 VII.D.3</v>
      </c>
      <c r="B192" s="4" t="str">
        <v>Reguler Periode ke-101</v>
      </c>
      <c r="C192" s="4" t="str">
        <v>VII.D.3</v>
      </c>
      <c r="D192" s="101" t="str">
        <v>https://drive.google.com/open?id=1N2b5eyYI6AWlfXQTEv_JxnPRRXHfsXF9RjK4Z3AUhcM&amp;usp=drive_copy</v>
      </c>
      <c r="E192" s="101" t="str">
        <v>https://drive.google.com/open?id=1N2b5eyYI6AWlfXQTEv_JxnPRRXHfsXF9RjK4Z3AUhcM</v>
      </c>
      <c r="F192" s="103" t="str">
        <f ca="1">IFERROR(__xludf.DUMMYFUNCTION("IMPORTRANGE(H192,""IDENTITAS UNIT!D9"")"),"https://www.google.com/maps/place/7%C2%B053'20.5%22S+110%C2%B021'03.0%22E/@-7.8890182,110.348648,17z/data=!3m1!4b1!4m4!3m3!8m2!3d-7.8890182!4d110.3508367")</f>
        <v>https://www.google.com/maps/place/7%C2%B053'20.5%22S+110%C2%B021'03.0%22E/@-7.8890182,110.348648,17z/data=!3m1!4b1!4m4!3m3!8m2!3d-7.8890182!4d110.3508367</v>
      </c>
      <c r="G192" s="4" t="s">
        <v>12838</v>
      </c>
      <c r="H192" s="101" t="str">
        <v>https://docs.google.com/spreadsheets/d/1N2b5eyYI6AWlfXQTEv_JxnPRRXHfsXF9RjK4Z3AUhcM</v>
      </c>
      <c r="I192" s="101" t="str">
        <v>https://docs.google.com/open?id=1N2b5eyYI6AWlfXQTEv_JxnPRRXHfsXF9RjK4Z3AUhcM</v>
      </c>
      <c r="J192" s="4" t="str">
        <v>Neco, Sabdodadi, Bantul</v>
      </c>
      <c r="L192" s="99" t="str">
        <f ca="1">IFERROR(__xludf.DUMMYFUNCTION("IMPORTRANGE(H192,""IDENTITAS UNIT!D35"")"),"Edi Mulyady")</f>
        <v>Edi Mulyady</v>
      </c>
    </row>
    <row r="193" spans="1:12" ht="49.5" hidden="1">
      <c r="A193" s="4" t="str">
        <v>Reguler Periode ke-101 VIII.A.1</v>
      </c>
      <c r="B193" s="4" t="str">
        <v>Reguler Periode ke-101</v>
      </c>
      <c r="C193" s="4" t="str">
        <v>VIII.A.1</v>
      </c>
      <c r="D193" s="101" t="str">
        <v>https://drive.google.com/open?id=1PFDpdbRVgz9VZlbHvv8WiY0UgO0HMj0hu7D7L2XJeho&amp;usp=drive_copy</v>
      </c>
      <c r="E193" s="101" t="str">
        <v>https://drive.google.com/open?id=1PFDpdbRVgz9VZlbHvv8WiY0UgO0HMj0hu7D7L2XJeho</v>
      </c>
      <c r="F193" s="103" t="str">
        <f ca="1">IFERROR(__xludf.DUMMYFUNCTION("IMPORTRANGE(H193,""IDENTITAS UNIT!D9"")"),"https://goo.gl/maps/odAVsHtfStJbqyB29")</f>
        <v>https://goo.gl/maps/odAVsHtfStJbqyB29</v>
      </c>
      <c r="G193" s="4" t="s">
        <v>12839</v>
      </c>
      <c r="H193" s="101" t="str">
        <v>https://docs.google.com/spreadsheets/d/1PFDpdbRVgz9VZlbHvv8WiY0UgO0HMj0hu7D7L2XJeho</v>
      </c>
      <c r="I193" s="101" t="str">
        <v>https://docs.google.com/open?id=1PFDpdbRVgz9VZlbHvv8WiY0UgO0HMj0hu7D7L2XJeho</v>
      </c>
      <c r="J193" s="4" t="str">
        <v>Bogoran, Trirenggo, Bantul</v>
      </c>
      <c r="L193" s="99" t="str">
        <f ca="1">IFERROR(__xludf.DUMMYFUNCTION("IMPORTRANGE(H193,""IDENTITAS UNIT!D35"")"),"Sarifudin")</f>
        <v>Sarifudin</v>
      </c>
    </row>
    <row r="194" spans="1:12" ht="33" hidden="1">
      <c r="A194" s="4" t="str">
        <v>Reguler Periode ke-101 VIII.A.2</v>
      </c>
      <c r="B194" s="4" t="str">
        <v>Reguler Periode ke-101</v>
      </c>
      <c r="C194" s="4" t="str">
        <v>VIII.A.2</v>
      </c>
      <c r="D194" s="101" t="str">
        <v>https://drive.google.com/open?id=1RCIJO0JhFeMMnnju70d3As6zQjRA7MVNAIpbilwf-fg&amp;usp=drive_copy</v>
      </c>
      <c r="E194" s="101" t="str">
        <v>https://drive.google.com/open?id=1RCIJO0JhFeMMnnju70d3As6zQjRA7MVNAIpbilwf-fg</v>
      </c>
      <c r="F194" s="103" t="str">
        <f ca="1">IFERROR(__xludf.DUMMYFUNCTION("IMPORTRANGE(H194,""IDENTITAS UNIT!D9"")"),"https://bit.ly/40MFKWl")</f>
        <v>https://bit.ly/40MFKWl</v>
      </c>
      <c r="G194" s="4" t="s">
        <v>12840</v>
      </c>
      <c r="H194" s="101" t="str">
        <v>https://docs.google.com/spreadsheets/d/1RCIJO0JhFeMMnnju70d3As6zQjRA7MVNAIpbilwf-fg</v>
      </c>
      <c r="I194" s="101" t="str">
        <v>https://docs.google.com/open?id=1RCIJO0JhFeMMnnju70d3As6zQjRA7MVNAIpbilwf-fg</v>
      </c>
      <c r="J194" s="4" t="str">
        <v>Gempolan, Trirenggo, Bantul</v>
      </c>
      <c r="L194" s="99" t="str">
        <f ca="1">IFERROR(__xludf.DUMMYFUNCTION("IMPORTRANGE(H194,""IDENTITAS UNIT!D35"")"),"Muh Raihan Muzakki")</f>
        <v>Muh Raihan Muzakki</v>
      </c>
    </row>
    <row r="195" spans="1:12" ht="49.5" hidden="1">
      <c r="A195" s="4" t="str">
        <v>Reguler Periode ke-101 VIII.A.3</v>
      </c>
      <c r="B195" s="4" t="str">
        <v>Reguler Periode ke-101</v>
      </c>
      <c r="C195" s="4" t="str">
        <v>VIII.A.3</v>
      </c>
      <c r="D195" s="101" t="str">
        <v>https://drive.google.com/open?id=1SnY-xXs5HOXNXveC_LuuiSk2pUsKAxuGGzLZ8RZFv9k&amp;usp=drive_copy</v>
      </c>
      <c r="E195" s="101" t="str">
        <v>https://drive.google.com/open?id=1SnY-xXs5HOXNXveC_LuuiSk2pUsKAxuGGzLZ8RZFv9k</v>
      </c>
      <c r="F195" s="103" t="str">
        <f ca="1">IFERROR(__xludf.DUMMYFUNCTION("IMPORTRANGE(H195,""IDENTITAS UNIT!D9"")"),"https://maps.app.goo.gl/uiE291xu1N3cWVBU7?g_st=iw")</f>
        <v>https://maps.app.goo.gl/uiE291xu1N3cWVBU7?g_st=iw</v>
      </c>
      <c r="G195" s="4" t="s">
        <v>12841</v>
      </c>
      <c r="H195" s="101" t="str">
        <v>https://docs.google.com/spreadsheets/d/1SnY-xXs5HOXNXveC_LuuiSk2pUsKAxuGGzLZ8RZFv9k</v>
      </c>
      <c r="I195" s="101" t="str">
        <v>https://docs.google.com/open?id=1SnY-xXs5HOXNXveC_LuuiSk2pUsKAxuGGzLZ8RZFv9k</v>
      </c>
      <c r="J195" s="4" t="str">
        <v>Klembon, Trirenggo, Bantul</v>
      </c>
      <c r="L195" s="99" t="str">
        <f ca="1">IFERROR(__xludf.DUMMYFUNCTION("IMPORTRANGE(H195,""IDENTITAS UNIT!D35"")"),"Raihan Hadi Nafi' Triwijayanto")</f>
        <v>Raihan Hadi Nafi' Triwijayanto</v>
      </c>
    </row>
    <row r="196" spans="1:12" ht="66" hidden="1">
      <c r="A196" s="4" t="str">
        <v>Reguler Periode ke-101 VIII.B.1</v>
      </c>
      <c r="B196" s="4" t="str">
        <v>Reguler Periode ke-101</v>
      </c>
      <c r="C196" s="4" t="str">
        <v>VIII.B.1</v>
      </c>
      <c r="D196" s="101" t="str">
        <v>https://drive.google.com/open?id=1U6kEjj_XDAOLOxEUaZbHGmj3dtJkSYFdJEZp8QL7Rb8&amp;usp=drive_copy</v>
      </c>
      <c r="E196" s="101" t="str">
        <v>https://drive.google.com/open?id=1U6kEjj_XDAOLOxEUaZbHGmj3dtJkSYFdJEZp8QL7Rb8</v>
      </c>
      <c r="F196" s="103" t="str">
        <f ca="1">IFERROR(__xludf.DUMMYFUNCTION("IMPORTRANGE(H196,""IDENTITAS UNIT!D9"")"),"Bantul
https://maps.app.goo.gl/CZMFodYGMRT3LTCdA")</f>
        <v>Bantul
https://maps.app.goo.gl/CZMFodYGMRT3LTCdA</v>
      </c>
      <c r="H196" s="101" t="str">
        <v>https://docs.google.com/spreadsheets/d/1U6kEjj_XDAOLOxEUaZbHGmj3dtJkSYFdJEZp8QL7Rb8</v>
      </c>
      <c r="I196" s="101" t="str">
        <v>https://docs.google.com/open?id=1U6kEjj_XDAOLOxEUaZbHGmj3dtJkSYFdJEZp8QL7Rb8</v>
      </c>
      <c r="J196" s="4" t="str">
        <v>Gedongan, Trirenggo, Bantul</v>
      </c>
      <c r="L196" s="99" t="str">
        <f ca="1">IFERROR(__xludf.DUMMYFUNCTION("IMPORTRANGE(H196,""IDENTITAS UNIT!D35"")"),"Muhammad Hazril")</f>
        <v>Muhammad Hazril</v>
      </c>
    </row>
    <row r="197" spans="1:12" ht="33" hidden="1">
      <c r="A197" s="4" t="str">
        <v>Reguler Periode ke-101 VIII.B.2</v>
      </c>
      <c r="B197" s="4" t="str">
        <v>Reguler Periode ke-101</v>
      </c>
      <c r="C197" s="4" t="str">
        <v>VIII.B.2</v>
      </c>
      <c r="D197" s="101" t="str">
        <v>https://drive.google.com/open?id=1h_WoUgQLtAtpcxVeggaqOBw_o-opGErf0a4nla_B1Fc&amp;usp=drive_copy</v>
      </c>
      <c r="E197" s="101" t="str">
        <v>https://drive.google.com/open?id=1h_WoUgQLtAtpcxVeggaqOBw_o-opGErf0a4nla_B1Fc</v>
      </c>
      <c r="F197" s="103" t="str">
        <f ca="1">IFERROR(__xludf.DUMMYFUNCTION("IMPORTRANGE(H197,""IDENTITAS UNIT!D9"")"),"Bit.ly/LokasiKKN8B2")</f>
        <v>Bit.ly/LokasiKKN8B2</v>
      </c>
      <c r="G197" s="4" t="s">
        <v>12842</v>
      </c>
      <c r="H197" s="101" t="str">
        <v>https://docs.google.com/spreadsheets/d/1h_WoUgQLtAtpcxVeggaqOBw_o-opGErf0a4nla_B1Fc</v>
      </c>
      <c r="I197" s="101" t="str">
        <v>https://docs.google.com/open?id=1h_WoUgQLtAtpcxVeggaqOBw_o-opGErf0a4nla_B1Fc</v>
      </c>
      <c r="J197" s="4" t="str">
        <v>Nogosari, Trirenggo, Bantul</v>
      </c>
      <c r="L197" s="99" t="str">
        <f ca="1">IFERROR(__xludf.DUMMYFUNCTION("IMPORTRANGE(H197,""IDENTITAS UNIT!D35"")"),"Faishal Agus Sulistyo")</f>
        <v>Faishal Agus Sulistyo</v>
      </c>
    </row>
    <row r="198" spans="1:12" ht="49.5" hidden="1">
      <c r="A198" s="4" t="str">
        <v>Reguler Periode ke-101 VIII.B.3</v>
      </c>
      <c r="B198" s="4" t="str">
        <v>Reguler Periode ke-101</v>
      </c>
      <c r="C198" s="4" t="str">
        <v>VIII.B.3</v>
      </c>
      <c r="D198" s="101" t="str">
        <v>https://drive.google.com/open?id=1hxgCjtNItbqkal9qqShLMIuRhyyoRk3nsd0Rq4-wTAg&amp;usp=drive_copy</v>
      </c>
      <c r="E198" s="101" t="str">
        <v>https://drive.google.com/open?id=1hxgCjtNItbqkal9qqShLMIuRhyyoRk3nsd0Rq4-wTAg</v>
      </c>
      <c r="F198" s="103" t="str">
        <f ca="1">IFERROR(__xludf.DUMMYFUNCTION("IMPORTRANGE(H198,""IDENTITAS UNIT!D9"")"),"https://goo.gl/maps/wN3mEpceAtSgNgww6")</f>
        <v>https://goo.gl/maps/wN3mEpceAtSgNgww6</v>
      </c>
      <c r="G198" s="4" t="s">
        <v>12843</v>
      </c>
      <c r="H198" s="101" t="str">
        <v>https://docs.google.com/spreadsheets/d/1hxgCjtNItbqkal9qqShLMIuRhyyoRk3nsd0Rq4-wTAg</v>
      </c>
      <c r="I198" s="101" t="str">
        <v>https://docs.google.com/open?id=1hxgCjtNItbqkal9qqShLMIuRhyyoRk3nsd0Rq4-wTAg</v>
      </c>
      <c r="J198" s="4" t="str">
        <v>Pasutan, Trirenggo, Bantul</v>
      </c>
      <c r="L198" s="99" t="str">
        <f ca="1">IFERROR(__xludf.DUMMYFUNCTION("IMPORTRANGE(H198,""IDENTITAS UNIT!D35"")"),"Dedek Mulyadi")</f>
        <v>Dedek Mulyadi</v>
      </c>
    </row>
    <row r="199" spans="1:12" ht="49.5" hidden="1">
      <c r="A199" s="4" t="str">
        <v>Reguler Periode ke-101 VIII.C.1</v>
      </c>
      <c r="B199" s="4" t="str">
        <v>Reguler Periode ke-101</v>
      </c>
      <c r="C199" s="4" t="str">
        <v>VIII.C.1</v>
      </c>
      <c r="D199" s="101" t="str">
        <v>https://drive.google.com/open?id=1iuCdBVo6yQTl4ndwwoIEo4D2WdYc9qxKbP1EaXrMQLs&amp;usp=drive_copy</v>
      </c>
      <c r="E199" s="101" t="str">
        <v>https://drive.google.com/open?id=1iuCdBVo6yQTl4ndwwoIEo4D2WdYc9qxKbP1EaXrMQLs</v>
      </c>
      <c r="F199" s="103" t="str">
        <f ca="1">IFERROR(__xludf.DUMMYFUNCTION("IMPORTRANGE(H199,""IDENTITAS UNIT!D9"")"),"https://goo.gl/maps/kk4wEi8QfJMq6uvo6")</f>
        <v>https://goo.gl/maps/kk4wEi8QfJMq6uvo6</v>
      </c>
      <c r="G199" s="4" t="s">
        <v>12844</v>
      </c>
      <c r="H199" s="101" t="str">
        <v>https://docs.google.com/spreadsheets/d/1iuCdBVo6yQTl4ndwwoIEo4D2WdYc9qxKbP1EaXrMQLs</v>
      </c>
      <c r="I199" s="101" t="str">
        <v>https://docs.google.com/open?id=1iuCdBVo6yQTl4ndwwoIEo4D2WdYc9qxKbP1EaXrMQLs</v>
      </c>
      <c r="J199" s="4" t="str">
        <v>Manding, Trirenggo, Bantul</v>
      </c>
      <c r="L199" s="99" t="str">
        <f ca="1">IFERROR(__xludf.DUMMYFUNCTION("IMPORTRANGE(H199,""IDENTITAS UNIT!D35"")"),"Rizki Nur Alamsyah")</f>
        <v>Rizki Nur Alamsyah</v>
      </c>
    </row>
    <row r="200" spans="1:12" ht="49.5" hidden="1">
      <c r="A200" s="4" t="str">
        <v>Reguler Periode ke-101 VIII.C.2</v>
      </c>
      <c r="B200" s="4" t="str">
        <v>Reguler Periode ke-101</v>
      </c>
      <c r="C200" s="4" t="str">
        <v>VIII.C.2</v>
      </c>
      <c r="D200" s="101" t="str">
        <v>https://drive.google.com/open?id=1n5sWZltpsIm7cJhQVrF0clyV2ytJPBWzGhoGAnVcXNU&amp;usp=drive_copy</v>
      </c>
      <c r="E200" s="101" t="str">
        <v>https://drive.google.com/open?id=1n5sWZltpsIm7cJhQVrF0clyV2ytJPBWzGhoGAnVcXNU</v>
      </c>
      <c r="F200" s="103" t="str">
        <f ca="1">IFERROR(__xludf.DUMMYFUNCTION("IMPORTRANGE(H200,""IDENTITAS UNIT!D9"")"),"https://maps.app.goo.gl/Rczy8HfZzVG1gd5z8")</f>
        <v>https://maps.app.goo.gl/Rczy8HfZzVG1gd5z8</v>
      </c>
      <c r="H200" s="101" t="str">
        <v>https://docs.google.com/spreadsheets/d/1n5sWZltpsIm7cJhQVrF0clyV2ytJPBWzGhoGAnVcXNU</v>
      </c>
      <c r="I200" s="101" t="str">
        <v>https://docs.google.com/open?id=1n5sWZltpsIm7cJhQVrF0clyV2ytJPBWzGhoGAnVcXNU</v>
      </c>
      <c r="J200" s="4" t="str">
        <v>Cepoko, Trirenggo, Bantul</v>
      </c>
      <c r="L200" s="99" t="str">
        <f ca="1">IFERROR(__xludf.DUMMYFUNCTION("IMPORTRANGE(H200,""IDENTITAS UNIT!D35"")"),"Hadi Sidiq")</f>
        <v>Hadi Sidiq</v>
      </c>
    </row>
    <row r="201" spans="1:12" ht="49.5" hidden="1">
      <c r="A201" s="4" t="str">
        <v>Reguler Periode ke-101 VIII.C.3</v>
      </c>
      <c r="B201" s="4" t="str">
        <v>Reguler Periode ke-101</v>
      </c>
      <c r="C201" s="4" t="str">
        <v>VIII.C.3</v>
      </c>
      <c r="D201" s="101" t="str">
        <v>https://drive.google.com/open?id=1nx420kvbsr8urnff_BRIgmZ5gNnHMe2FuM8H9lD6XEY&amp;usp=drive_copy</v>
      </c>
      <c r="E201" s="101" t="str">
        <v>https://drive.google.com/open?id=1nx420kvbsr8urnff_BRIgmZ5gNnHMe2FuM8H9lD6XEY</v>
      </c>
      <c r="F201" s="103" t="str">
        <f ca="1">IFERROR(__xludf.DUMMYFUNCTION("IMPORTRANGE(H201,""IDENTITAS UNIT!D9"")"),"https://maps.app.goo.gl/z11Dwd2zmRNSxMm69 ")</f>
        <v xml:space="preserve">https://maps.app.goo.gl/z11Dwd2zmRNSxMm69 </v>
      </c>
      <c r="G201" s="4" t="s">
        <v>12845</v>
      </c>
      <c r="H201" s="101" t="str">
        <v>https://docs.google.com/spreadsheets/d/1nx420kvbsr8urnff_BRIgmZ5gNnHMe2FuM8H9lD6XEY</v>
      </c>
      <c r="I201" s="101" t="str">
        <v>https://docs.google.com/open?id=1nx420kvbsr8urnff_BRIgmZ5gNnHMe2FuM8H9lD6XEY</v>
      </c>
      <c r="J201" s="4" t="str">
        <v>Bakulan, Trirenggo, Bantul</v>
      </c>
      <c r="L201" s="99" t="str">
        <f ca="1">IFERROR(__xludf.DUMMYFUNCTION("IMPORTRANGE(H201,""IDENTITAS UNIT!D35"")"),"Muhammad Fahreza")</f>
        <v>Muhammad Fahreza</v>
      </c>
    </row>
    <row r="202" spans="1:12" ht="49.5" hidden="1">
      <c r="A202" s="4" t="str">
        <v>Reguler Periode ke-101 VIII.D.1</v>
      </c>
      <c r="B202" s="4" t="str">
        <v>Reguler Periode ke-101</v>
      </c>
      <c r="C202" s="4" t="str">
        <v>VIII.D.1</v>
      </c>
      <c r="D202" s="101" t="str">
        <v>https://drive.google.com/open?id=1oxvmIEAZSSpHSnqlebeMmpTXTl0exGkduKLiQzbjp00&amp;usp=drive_copy</v>
      </c>
      <c r="E202" s="101" t="str">
        <v>https://drive.google.com/open?id=1oxvmIEAZSSpHSnqlebeMmpTXTl0exGkduKLiQzbjp00</v>
      </c>
      <c r="F202" s="103" t="str">
        <f ca="1">IFERROR(__xludf.DUMMYFUNCTION("IMPORTRANGE(H202,""IDENTITAS UNIT!D9"")"),"https://goo.gl/maps/bzxUWQdeG6yh7VRM8")</f>
        <v>https://goo.gl/maps/bzxUWQdeG6yh7VRM8</v>
      </c>
      <c r="G202" s="4" t="s">
        <v>12846</v>
      </c>
      <c r="H202" s="101" t="str">
        <v>https://docs.google.com/spreadsheets/d/1oxvmIEAZSSpHSnqlebeMmpTXTl0exGkduKLiQzbjp00</v>
      </c>
      <c r="I202" s="101" t="str">
        <v>https://docs.google.com/open?id=1oxvmIEAZSSpHSnqlebeMmpTXTl0exGkduKLiQzbjp00</v>
      </c>
      <c r="J202" s="4" t="str">
        <v>Sragan, Trirenggo, Bantul</v>
      </c>
      <c r="L202" s="99" t="str">
        <f ca="1">IFERROR(__xludf.DUMMYFUNCTION("IMPORTRANGE(H202,""IDENTITAS UNIT!D35"")"),"Edo Ramdhan Alviandi")</f>
        <v>Edo Ramdhan Alviandi</v>
      </c>
    </row>
    <row r="203" spans="1:12" ht="49.5" hidden="1">
      <c r="A203" s="4" t="str">
        <v>Reguler Periode ke-101 VIII.D.2</v>
      </c>
      <c r="B203" s="4" t="str">
        <v>Reguler Periode ke-101</v>
      </c>
      <c r="C203" s="4" t="str">
        <v>VIII.D.2</v>
      </c>
      <c r="D203" s="101" t="str">
        <v>https://drive.google.com/open?id=1qnUnVWn2kRKO8oLDUSWhjsxsZYJJh5ofKS5i2hS0Prk&amp;usp=drive_copy</v>
      </c>
      <c r="E203" s="101" t="str">
        <v>https://drive.google.com/open?id=1qnUnVWn2kRKO8oLDUSWhjsxsZYJJh5ofKS5i2hS0Prk</v>
      </c>
      <c r="F203" s="103" t="str">
        <f ca="1">IFERROR(__xludf.DUMMYFUNCTION("IMPORTRANGE(H203,""IDENTITAS UNIT!D9"")"),"https://maps.app.goo.gl/LNr6zTH2W4AcPS7h6?g_st=iw")</f>
        <v>https://maps.app.goo.gl/LNr6zTH2W4AcPS7h6?g_st=iw</v>
      </c>
      <c r="G203" s="4" t="s">
        <v>12847</v>
      </c>
      <c r="H203" s="101" t="str">
        <v>https://docs.google.com/spreadsheets/d/1qnUnVWn2kRKO8oLDUSWhjsxsZYJJh5ofKS5i2hS0Prk</v>
      </c>
      <c r="I203" s="101" t="str">
        <v>https://docs.google.com/open?id=1qnUnVWn2kRKO8oLDUSWhjsxsZYJJh5ofKS5i2hS0Prk</v>
      </c>
      <c r="J203" s="4" t="str">
        <v>Gandekan, Trirenggo, Bantul</v>
      </c>
      <c r="L203" s="99" t="str">
        <f ca="1">IFERROR(__xludf.DUMMYFUNCTION("IMPORTRANGE(H203,""IDENTITAS UNIT!D35"")"),"Mohammad Henry Setyoko Zaelani")</f>
        <v>Mohammad Henry Setyoko Zaelani</v>
      </c>
    </row>
    <row r="204" spans="1:12" ht="49.5" hidden="1">
      <c r="A204" s="4" t="str">
        <v>Reguler Periode ke-101 VIII.D.3</v>
      </c>
      <c r="B204" s="4" t="str">
        <v>Reguler Periode ke-101</v>
      </c>
      <c r="C204" s="4" t="str">
        <v>VIII.D.3</v>
      </c>
      <c r="D204" s="101" t="str">
        <v>https://drive.google.com/open?id=1sHX0KoJRZc74ISydtKpHe0VS4-7QQtWaOe8XLATipOk&amp;usp=drive_copy</v>
      </c>
      <c r="E204" s="101" t="str">
        <v>https://drive.google.com/open?id=1sHX0KoJRZc74ISydtKpHe0VS4-7QQtWaOe8XLATipOk</v>
      </c>
      <c r="F204" s="103" t="str">
        <f ca="1">IFERROR(__xludf.DUMMYFUNCTION("IMPORTRANGE(H204,""IDENTITAS UNIT!D9"")"),"https://maps.app.goo.gl/ESzbXsQ6bQahkaNd8?g_st=ic")</f>
        <v>https://maps.app.goo.gl/ESzbXsQ6bQahkaNd8?g_st=ic</v>
      </c>
      <c r="G204" s="4" t="s">
        <v>12848</v>
      </c>
      <c r="H204" s="101" t="str">
        <v>https://docs.google.com/spreadsheets/d/1sHX0KoJRZc74ISydtKpHe0VS4-7QQtWaOe8XLATipOk</v>
      </c>
      <c r="I204" s="101" t="str">
        <v>https://docs.google.com/open?id=1sHX0KoJRZc74ISydtKpHe0VS4-7QQtWaOe8XLATipOk</v>
      </c>
      <c r="J204" s="4" t="str">
        <v>Kweden, Trirenggo, Bantul</v>
      </c>
      <c r="L204" s="99" t="str">
        <f ca="1">IFERROR(__xludf.DUMMYFUNCTION("IMPORTRANGE(H204,""IDENTITAS UNIT!D35"")"),"Fredy Giantoro")</f>
        <v>Fredy Giantoro</v>
      </c>
    </row>
    <row r="205" spans="1:12" ht="49.5" hidden="1">
      <c r="A205" s="4" t="str">
        <v>Reguler Periode ke-101 IX.A.1</v>
      </c>
      <c r="B205" s="4" t="str">
        <v>Reguler Periode ke-101</v>
      </c>
      <c r="C205" s="4" t="str">
        <v>IX.A.1</v>
      </c>
      <c r="D205" s="101" t="str">
        <v>https://drive.google.com/open?id=1zBfcx0TdF003nr_rzPiSnZ4drRXMsiwquWfhrFJ0A54&amp;usp=drive_copy</v>
      </c>
      <c r="E205" s="101" t="str">
        <v>https://drive.google.com/open?id=1zBfcx0TdF003nr_rzPiSnZ4drRXMsiwquWfhrFJ0A54</v>
      </c>
      <c r="F205" s="103" t="str">
        <f ca="1">IFERROR(__xludf.DUMMYFUNCTION("IMPORTRANGE(H205,""IDENTITAS UNIT!D9"")"),"https://goo.gl/maps/HhqCQAA2VrF44PFf7")</f>
        <v>https://goo.gl/maps/HhqCQAA2VrF44PFf7</v>
      </c>
      <c r="H205" s="101" t="str">
        <v>https://docs.google.com/spreadsheets/d/1zBfcx0TdF003nr_rzPiSnZ4drRXMsiwquWfhrFJ0A54</v>
      </c>
      <c r="I205" s="101" t="str">
        <v>https://docs.google.com/open?id=1zBfcx0TdF003nr_rzPiSnZ4drRXMsiwquWfhrFJ0A54</v>
      </c>
      <c r="J205" s="4" t="str">
        <v>Ngunan-unan, Srigading, Sanden</v>
      </c>
      <c r="L205" s="99" t="str">
        <f ca="1">IFERROR(__xludf.DUMMYFUNCTION("IMPORTRANGE(H205,""IDENTITAS UNIT!D35"")"),"Mahaputra Dimas Widya Andhika")</f>
        <v>Mahaputra Dimas Widya Andhika</v>
      </c>
    </row>
    <row r="206" spans="1:12" ht="66" hidden="1">
      <c r="A206" s="4" t="str">
        <v>Reguler Periode ke-101 IX.A.2</v>
      </c>
      <c r="B206" s="4" t="str">
        <v>Reguler Periode ke-101</v>
      </c>
      <c r="C206" s="4" t="str">
        <v>IX.A.2</v>
      </c>
      <c r="D206" s="101" t="str">
        <v>https://drive.google.com/open?id=1-PkSCXaCqEA_VP1iUd0aZ4Dn8bKiT18hTPXtvMWMLOI&amp;usp=drive_copy</v>
      </c>
      <c r="E206" s="101" t="str">
        <v>https://drive.google.com/open?id=1-PkSCXaCqEA_VP1iUd0aZ4Dn8bKiT18hTPXtvMWMLOI</v>
      </c>
      <c r="F206" s="103" t="str">
        <f ca="1">IFERROR(__xludf.DUMMYFUNCTION("IMPORTRANGE(H206,""IDENTITAS UNIT!D9"")"),"https://maps.google.com/?q=-7.977574,110.286894&amp;entry=gps")</f>
        <v>https://maps.google.com/?q=-7.977574,110.286894&amp;entry=gps</v>
      </c>
      <c r="G206" s="4" t="s">
        <v>12849</v>
      </c>
      <c r="H206" s="101" t="str">
        <v>https://docs.google.com/spreadsheets/d/1-PkSCXaCqEA_VP1iUd0aZ4Dn8bKiT18hTPXtvMWMLOI</v>
      </c>
      <c r="I206" s="101" t="str">
        <v>https://docs.google.com/open?id=1-PkSCXaCqEA_VP1iUd0aZ4Dn8bKiT18hTPXtvMWMLOI</v>
      </c>
      <c r="J206" s="4" t="str">
        <v>Wuluhadeg, Srigading, Sanden</v>
      </c>
      <c r="L206" s="99" t="str">
        <f ca="1">IFERROR(__xludf.DUMMYFUNCTION("IMPORTRANGE(H206,""IDENTITAS UNIT!D35"")"),"Fahilul Rafli")</f>
        <v>Fahilul Rafli</v>
      </c>
    </row>
    <row r="207" spans="1:12" ht="198" hidden="1">
      <c r="A207" s="4" t="str">
        <v>Reguler Periode ke-101 IX.A.3</v>
      </c>
      <c r="B207" s="4" t="str">
        <v>Reguler Periode ke-101</v>
      </c>
      <c r="C207" s="4" t="str">
        <v>IX.A.3</v>
      </c>
      <c r="D207" s="101" t="str">
        <v>https://drive.google.com/open?id=10KSMWY1j7Zp9u_vkU1WsZAnqSniXIe-GwxlHsYPPdyQ&amp;usp=drive_copy</v>
      </c>
      <c r="E207" s="101" t="str">
        <v>https://drive.google.com/open?id=10KSMWY1j7Zp9u_vkU1WsZAnqSniXIe-GwxlHsYPPdyQ</v>
      </c>
      <c r="F207" s="103" t="str">
        <f ca="1">IFERROR(__xludf.DUMMYFUNCTION("IMPORTRANGE(H207,""IDENTITAS UNIT!D9"")"),"https://www.google.com/maps/place/7%C2%B058'50.0%22S+110%C2%B017'14.9%22E/@-7.9805598,110.2852945,17z/data=!3m1!4b1!4m5!3m4!1s0x0:0x847d23513207b1f9!8m2!3d-7.9805598!4d110.2874832?hl=id")</f>
        <v>https://www.google.com/maps/place/7%C2%B058'50.0%22S+110%C2%B017'14.9%22E/@-7.9805598,110.2852945,17z/data=!3m1!4b1!4m5!3m4!1s0x0:0x847d23513207b1f9!8m2!3d-7.9805598!4d110.2874832?hl=id</v>
      </c>
      <c r="G207" s="4" t="s">
        <v>12850</v>
      </c>
      <c r="H207" s="101" t="str">
        <v>https://docs.google.com/spreadsheets/d/10KSMWY1j7Zp9u_vkU1WsZAnqSniXIe-GwxlHsYPPdyQ</v>
      </c>
      <c r="I207" s="101" t="str">
        <v>https://docs.google.com/open?id=10KSMWY1j7Zp9u_vkU1WsZAnqSniXIe-GwxlHsYPPdyQ</v>
      </c>
      <c r="J207" s="4" t="str">
        <v>Wirosutan, Srigading, Sanden</v>
      </c>
      <c r="L207" s="99" t="str">
        <f ca="1">IFERROR(__xludf.DUMMYFUNCTION("IMPORTRANGE(H207,""IDENTITAS UNIT!D35"")"),"Gatra Pamungkas")</f>
        <v>Gatra Pamungkas</v>
      </c>
    </row>
    <row r="208" spans="1:12" ht="66" hidden="1">
      <c r="A208" s="4" t="str">
        <v>Reguler Periode ke-101 IX.B.1</v>
      </c>
      <c r="B208" s="4" t="str">
        <v>Reguler Periode ke-101</v>
      </c>
      <c r="C208" s="4" t="str">
        <v>IX.B.1</v>
      </c>
      <c r="D208" s="101" t="str">
        <v>https://drive.google.com/open?id=10rSsdMFG_Z0Uwv1XwEOPegONArA48eFzWIqg21PpqOs&amp;usp=drive_copy</v>
      </c>
      <c r="E208" s="101" t="str">
        <v>https://drive.google.com/open?id=10rSsdMFG_Z0Uwv1XwEOPegONArA48eFzWIqg21PpqOs</v>
      </c>
      <c r="F208" s="103" t="str">
        <f ca="1">IFERROR(__xludf.DUMMYFUNCTION("IMPORTRANGE(H208,""IDENTITAS UNIT!D9"")"),"https://maps.google.com/?cid=5467135023825708198&amp;entry=gps")</f>
        <v>https://maps.google.com/?cid=5467135023825708198&amp;entry=gps</v>
      </c>
      <c r="G208" s="4" t="s">
        <v>12851</v>
      </c>
      <c r="H208" s="101" t="str">
        <v>https://docs.google.com/spreadsheets/d/10rSsdMFG_Z0Uwv1XwEOPegONArA48eFzWIqg21PpqOs</v>
      </c>
      <c r="I208" s="101" t="str">
        <v>https://docs.google.com/open?id=10rSsdMFG_Z0Uwv1XwEOPegONArA48eFzWIqg21PpqOs</v>
      </c>
      <c r="J208" s="4" t="str">
        <v>Srabahan, Srigading, Sanden</v>
      </c>
      <c r="L208" s="99" t="str">
        <f ca="1">IFERROR(__xludf.DUMMYFUNCTION("IMPORTRANGE(H208,""IDENTITAS UNIT!D35"")"),"Fahrizal Yudatama")</f>
        <v>Fahrizal Yudatama</v>
      </c>
    </row>
    <row r="209" spans="1:12" ht="49.5" hidden="1">
      <c r="A209" s="4" t="str">
        <v>Reguler Periode ke-101 IX.B.2</v>
      </c>
      <c r="B209" s="4" t="str">
        <v>Reguler Periode ke-101</v>
      </c>
      <c r="C209" s="4" t="str">
        <v>IX.B.2</v>
      </c>
      <c r="D209" s="101" t="str">
        <v>https://drive.google.com/open?id=10r_UsZUdmg54QO7bo8serIG-MqG3xlhPZDRdK2r9Kpw&amp;usp=drive_copy</v>
      </c>
      <c r="E209" s="101" t="str">
        <v>https://drive.google.com/open?id=10r_UsZUdmg54QO7bo8serIG-MqG3xlhPZDRdK2r9Kpw</v>
      </c>
      <c r="F209" s="103" t="str">
        <f ca="1">IFERROR(__xludf.DUMMYFUNCTION("IMPORTRANGE(H209,""IDENTITAS UNIT!D9"")"),"https://maps.app.goo.gl/AhMRn48p2DBkJZcK8")</f>
        <v>https://maps.app.goo.gl/AhMRn48p2DBkJZcK8</v>
      </c>
      <c r="G209" s="4" t="s">
        <v>12852</v>
      </c>
      <c r="H209" s="101" t="str">
        <v>https://docs.google.com/spreadsheets/d/10r_UsZUdmg54QO7bo8serIG-MqG3xlhPZDRdK2r9Kpw</v>
      </c>
      <c r="I209" s="101" t="str">
        <v>https://docs.google.com/open?id=10r_UsZUdmg54QO7bo8serIG-MqG3xlhPZDRdK2r9Kpw</v>
      </c>
      <c r="J209" s="4" t="str">
        <v>Gokerten, Srigading, Sanden</v>
      </c>
      <c r="L209" s="99" t="str">
        <f ca="1">IFERROR(__xludf.DUMMYFUNCTION("IMPORTRANGE(H209,""IDENTITAS UNIT!D35"")"),"Dwiky Rachmad Pangeran")</f>
        <v>Dwiky Rachmad Pangeran</v>
      </c>
    </row>
    <row r="210" spans="1:12" ht="49.5" hidden="1">
      <c r="A210" s="4" t="str">
        <v>Reguler Periode ke-101 IX.B.3</v>
      </c>
      <c r="B210" s="4" t="str">
        <v>Reguler Periode ke-101</v>
      </c>
      <c r="C210" s="4" t="str">
        <v>IX.B.3</v>
      </c>
      <c r="D210" s="101" t="str">
        <v>https://drive.google.com/open?id=14GktVkRn0hcgPE5YqXFMiYhXUeLQl4jqYJtvFgF6hTU&amp;usp=drive_copy</v>
      </c>
      <c r="E210" s="101" t="str">
        <v>https://drive.google.com/open?id=14GktVkRn0hcgPE5YqXFMiYhXUeLQl4jqYJtvFgF6hTU</v>
      </c>
      <c r="F210" s="103" t="str">
        <f ca="1">IFERROR(__xludf.DUMMYFUNCTION("IMPORTRANGE(H210,""IDENTITAS UNIT!D9"")"),"https://goo.gl/maps/2ao7M1VLqfvcbaGJ8")</f>
        <v>https://goo.gl/maps/2ao7M1VLqfvcbaGJ8</v>
      </c>
      <c r="G210" s="4" t="s">
        <v>12853</v>
      </c>
      <c r="H210" s="101" t="str">
        <v>https://docs.google.com/spreadsheets/d/14GktVkRn0hcgPE5YqXFMiYhXUeLQl4jqYJtvFgF6hTU</v>
      </c>
      <c r="I210" s="101" t="str">
        <v>https://docs.google.com/open?id=14GktVkRn0hcgPE5YqXFMiYhXUeLQl4jqYJtvFgF6hTU</v>
      </c>
      <c r="J210" s="4" t="str">
        <v>Sangkeh, Srigading, Sanden</v>
      </c>
      <c r="L210" s="99" t="str">
        <f ca="1">IFERROR(__xludf.DUMMYFUNCTION("IMPORTRANGE(H210,""IDENTITAS UNIT!D35"")"),"Rizqi Praimadi Rosalin")</f>
        <v>Rizqi Praimadi Rosalin</v>
      </c>
    </row>
    <row r="211" spans="1:12" ht="49.5" hidden="1">
      <c r="A211" s="4" t="str">
        <v>Reguler Periode ke-101 IX.C.1</v>
      </c>
      <c r="B211" s="4" t="str">
        <v>Reguler Periode ke-101</v>
      </c>
      <c r="C211" s="4" t="str">
        <v>IX.C.1</v>
      </c>
      <c r="D211" s="101" t="str">
        <v>https://drive.google.com/open?id=15QfApwuhEO15jiw3v1uAAyQWvf6mevK46wqYBH7wyas&amp;usp=drive_copy</v>
      </c>
      <c r="E211" s="101" t="str">
        <v>https://drive.google.com/open?id=15QfApwuhEO15jiw3v1uAAyQWvf6mevK46wqYBH7wyas</v>
      </c>
      <c r="F211" s="103" t="str">
        <f ca="1">IFERROR(__xludf.DUMMYFUNCTION("IMPORTRANGE(H211,""IDENTITAS UNIT!D9"")"),"https://goo.gl/maps/WeEzkbk4ue3WxZ6A9")</f>
        <v>https://goo.gl/maps/WeEzkbk4ue3WxZ6A9</v>
      </c>
      <c r="G211" s="4" t="s">
        <v>12854</v>
      </c>
      <c r="H211" s="101" t="str">
        <v>https://docs.google.com/spreadsheets/d/15QfApwuhEO15jiw3v1uAAyQWvf6mevK46wqYBH7wyas</v>
      </c>
      <c r="I211" s="101" t="str">
        <v>https://docs.google.com/open?id=15QfApwuhEO15jiw3v1uAAyQWvf6mevK46wqYBH7wyas</v>
      </c>
      <c r="J211" s="4" t="str">
        <v>Malangan, Srigading, Sanden</v>
      </c>
      <c r="L211" s="99" t="str">
        <f ca="1">IFERROR(__xludf.DUMMYFUNCTION("IMPORTRANGE(H211,""IDENTITAS UNIT!D35"")"),"Anjasmoro Tri Chorisa")</f>
        <v>Anjasmoro Tri Chorisa</v>
      </c>
    </row>
    <row r="212" spans="1:12" ht="49.5" hidden="1">
      <c r="A212" s="4" t="str">
        <v>Reguler Periode ke-101 IX.C.2</v>
      </c>
      <c r="B212" s="4" t="str">
        <v>Reguler Periode ke-101</v>
      </c>
      <c r="C212" s="4" t="str">
        <v>IX.C.2</v>
      </c>
      <c r="D212" s="101" t="str">
        <v>https://drive.google.com/open?id=12gWK6tQNOTSZt94ws7BXA73VCpywG_LlVxI9ulMbO8E&amp;usp=drive_copy</v>
      </c>
      <c r="E212" s="101" t="str">
        <v>https://drive.google.com/open?id=12gWK6tQNOTSZt94ws7BXA73VCpywG_LlVxI9ulMbO8E</v>
      </c>
      <c r="F212" s="103" t="str">
        <f ca="1">IFERROR(__xludf.DUMMYFUNCTION("IMPORTRANGE(H212,""IDENTITAS UNIT!D9"")"),"https://maps.app.goo.gl/dCeH6CnF7TANyY6Q7?g_st=iw")</f>
        <v>https://maps.app.goo.gl/dCeH6CnF7TANyY6Q7?g_st=iw</v>
      </c>
      <c r="H212" s="101" t="str">
        <v>https://docs.google.com/spreadsheets/d/12gWK6tQNOTSZt94ws7BXA73VCpywG_LlVxI9ulMbO8E</v>
      </c>
      <c r="I212" s="101" t="str">
        <v>https://docs.google.com/open?id=12gWK6tQNOTSZt94ws7BXA73VCpywG_LlVxI9ulMbO8E</v>
      </c>
      <c r="J212" s="4" t="str">
        <v>Dengokan, Srigading, Sanden</v>
      </c>
      <c r="L212" s="99" t="str">
        <f ca="1">IFERROR(__xludf.DUMMYFUNCTION("IMPORTRANGE(H212,""IDENTITAS UNIT!D35"")"),"NURUL HIZBULLAH")</f>
        <v>NURUL HIZBULLAH</v>
      </c>
    </row>
    <row r="213" spans="1:12" ht="49.5" hidden="1">
      <c r="A213" s="4" t="str">
        <v>Reguler Periode ke-101 IX.C.3</v>
      </c>
      <c r="B213" s="4" t="str">
        <v>Reguler Periode ke-101</v>
      </c>
      <c r="C213" s="4" t="str">
        <v>IX.C.3</v>
      </c>
      <c r="D213" s="101" t="str">
        <v>https://drive.google.com/open?id=17cM9UFvvKqifEPwUjT3QS4xTRbFQ0_UZl_eZ-jq2rzk&amp;usp=drive_copy</v>
      </c>
      <c r="E213" s="101" t="str">
        <v>https://drive.google.com/open?id=17cM9UFvvKqifEPwUjT3QS4xTRbFQ0_UZl_eZ-jq2rzk</v>
      </c>
      <c r="F213" s="103" t="str">
        <f ca="1">IFERROR(__xludf.DUMMYFUNCTION("IMPORTRANGE(H213,""IDENTITAS UNIT!D9"")"),"https://maps.app.goo.gl/jZtiFLnZaSmr5zT37")</f>
        <v>https://maps.app.goo.gl/jZtiFLnZaSmr5zT37</v>
      </c>
      <c r="G213" s="4" t="s">
        <v>12855</v>
      </c>
      <c r="H213" s="101" t="str">
        <v>https://docs.google.com/spreadsheets/d/17cM9UFvvKqifEPwUjT3QS4xTRbFQ0_UZl_eZ-jq2rzk</v>
      </c>
      <c r="I213" s="101" t="str">
        <v>https://docs.google.com/open?id=17cM9UFvvKqifEPwUjT3QS4xTRbFQ0_UZl_eZ-jq2rzk</v>
      </c>
      <c r="J213" s="4" t="str">
        <v>Dodogan, Srigading, Sanden</v>
      </c>
      <c r="L213" s="99" t="str">
        <f ca="1">IFERROR(__xludf.DUMMYFUNCTION("IMPORTRANGE(H213,""IDENTITAS UNIT!D35"")"),"Devi Kumala Sari")</f>
        <v>Devi Kumala Sari</v>
      </c>
    </row>
    <row r="214" spans="1:12" ht="49.5" hidden="1">
      <c r="A214" s="4" t="str">
        <v>Reguler Periode ke-101 IX.D.1</v>
      </c>
      <c r="B214" s="4" t="str">
        <v>Reguler Periode ke-101</v>
      </c>
      <c r="C214" s="4" t="str">
        <v>IX.D.1</v>
      </c>
      <c r="D214" s="101" t="str">
        <v>https://drive.google.com/open?id=1jgQE3cruaVJyDwE5DjyrsE7tSbUIH7_1zQUIewmDbZE&amp;usp=drive_copy</v>
      </c>
      <c r="E214" s="101" t="str">
        <v>https://drive.google.com/open?id=1jgQE3cruaVJyDwE5DjyrsE7tSbUIH7_1zQUIewmDbZE</v>
      </c>
      <c r="F214" s="103" t="str">
        <f ca="1">IFERROR(__xludf.DUMMYFUNCTION("IMPORTRANGE(H214,""IDENTITAS UNIT!D9"")"),"https://goo.gl/maps/FpUFRFEiaCH2bHqn6")</f>
        <v>https://goo.gl/maps/FpUFRFEiaCH2bHqn6</v>
      </c>
      <c r="G214" s="4" t="s">
        <v>12856</v>
      </c>
      <c r="H214" s="101" t="str">
        <v>https://docs.google.com/spreadsheets/d/1jgQE3cruaVJyDwE5DjyrsE7tSbUIH7_1zQUIewmDbZE</v>
      </c>
      <c r="I214" s="101" t="str">
        <v>https://docs.google.com/open?id=1jgQE3cruaVJyDwE5DjyrsE7tSbUIH7_1zQUIewmDbZE</v>
      </c>
      <c r="J214" s="4" t="str">
        <v>Ngemplak, Srigading, Sanden</v>
      </c>
      <c r="L214" s="99" t="str">
        <f ca="1">IFERROR(__xludf.DUMMYFUNCTION("IMPORTRANGE(H214,""IDENTITAS UNIT!D35"")"),"MUHAMAD AFIEF RIDLA AKBARI")</f>
        <v>MUHAMAD AFIEF RIDLA AKBARI</v>
      </c>
    </row>
    <row r="215" spans="1:12" ht="49.5" hidden="1">
      <c r="A215" s="4" t="str">
        <v>Reguler Periode ke-101 IX.D.2</v>
      </c>
      <c r="B215" s="4" t="str">
        <v>Reguler Periode ke-101</v>
      </c>
      <c r="C215" s="4" t="str">
        <v>IX.D.2</v>
      </c>
      <c r="D215" s="101" t="str">
        <v>https://drive.google.com/open?id=1lXklUJsSnA574n7icEVg2jxAsHLjkjQB2oPSXbLFI80&amp;usp=drive_copy</v>
      </c>
      <c r="E215" s="101" t="str">
        <v>https://drive.google.com/open?id=1lXklUJsSnA574n7icEVg2jxAsHLjkjQB2oPSXbLFI80</v>
      </c>
      <c r="F215" s="103" t="str">
        <f ca="1">IFERROR(__xludf.DUMMYFUNCTION("IMPORTRANGE(H215,""IDENTITAS UNIT!D9"")"),"https://goo.gl/maps/UstpNqzKZ3A1cM8B6")</f>
        <v>https://goo.gl/maps/UstpNqzKZ3A1cM8B6</v>
      </c>
      <c r="G215" s="4" t="s">
        <v>12857</v>
      </c>
      <c r="H215" s="101" t="str">
        <v>https://docs.google.com/spreadsheets/d/1lXklUJsSnA574n7icEVg2jxAsHLjkjQB2oPSXbLFI80</v>
      </c>
      <c r="I215" s="101" t="str">
        <v>https://docs.google.com/open?id=1lXklUJsSnA574n7icEVg2jxAsHLjkjQB2oPSXbLFI80</v>
      </c>
      <c r="J215" s="4" t="str">
        <v>Cetan, Srigading, Sanden</v>
      </c>
      <c r="L215" s="99" t="str">
        <f ca="1">IFERROR(__xludf.DUMMYFUNCTION("IMPORTRANGE(H215,""IDENTITAS UNIT!D35"")"),"Bagas Al Fajri")</f>
        <v>Bagas Al Fajri</v>
      </c>
    </row>
    <row r="216" spans="1:12" ht="49.5" hidden="1">
      <c r="A216" s="4" t="str">
        <v>Reguler Periode ke-101 IX.D.3</v>
      </c>
      <c r="B216" s="4" t="str">
        <v>Reguler Periode ke-101</v>
      </c>
      <c r="C216" s="4" t="str">
        <v>IX.D.3</v>
      </c>
      <c r="D216" s="101" t="str">
        <v>https://drive.google.com/open?id=1mEfo-7STl9l7TDG-nmn0LLWcMxmNUWf5f-tIZ8daGaU&amp;usp=drive_copy</v>
      </c>
      <c r="E216" s="101" t="str">
        <v>https://drive.google.com/open?id=1mEfo-7STl9l7TDG-nmn0LLWcMxmNUWf5f-tIZ8daGaU</v>
      </c>
      <c r="F216" s="103" t="str">
        <f ca="1">IFERROR(__xludf.DUMMYFUNCTION("IMPORTRANGE(H216,""IDENTITAS UNIT!D9"")"),"https://maps.app.goo.gl/PdDyTvAUaQqbWcNn8")</f>
        <v>https://maps.app.goo.gl/PdDyTvAUaQqbWcNn8</v>
      </c>
      <c r="G216" s="4" t="s">
        <v>12858</v>
      </c>
      <c r="H216" s="101" t="str">
        <v>https://docs.google.com/spreadsheets/d/1mEfo-7STl9l7TDG-nmn0LLWcMxmNUWf5f-tIZ8daGaU</v>
      </c>
      <c r="I216" s="101" t="str">
        <v>https://docs.google.com/open?id=1mEfo-7STl9l7TDG-nmn0LLWcMxmNUWf5f-tIZ8daGaU</v>
      </c>
      <c r="J216" s="4" t="str">
        <v>Sogesanden, Srigading, Sanden</v>
      </c>
      <c r="L216" s="99" t="str">
        <f ca="1">IFERROR(__xludf.DUMMYFUNCTION("IMPORTRANGE(H216,""IDENTITAS UNIT!D35"")"),"Anggun Friska Setyaningrum")</f>
        <v>Anggun Friska Setyaningrum</v>
      </c>
    </row>
    <row r="217" spans="1:12" ht="49.5" hidden="1">
      <c r="A217" s="4" t="str">
        <v>Reguler Periode ke-101 X.A.1</v>
      </c>
      <c r="B217" s="4" t="str">
        <v>Reguler Periode ke-101</v>
      </c>
      <c r="C217" s="4" t="str">
        <v>X.A.1</v>
      </c>
      <c r="D217" s="101" t="str">
        <v>https://drive.google.com/open?id=10ZQgOSd-0NV2Wu0yzlwduOcSejh5hy0ZK-G0ZfJqk5E&amp;usp=drive_copy</v>
      </c>
      <c r="E217" s="101" t="str">
        <v>https://drive.google.com/open?id=10ZQgOSd-0NV2Wu0yzlwduOcSejh5hy0ZK-G0ZfJqk5E</v>
      </c>
      <c r="F217" s="103" t="str">
        <f ca="1">IFERROR(__xludf.DUMMYFUNCTION("IMPORTRANGE(H217,""IDENTITAS UNIT!D9"")"),"https://goo.gl/maps/GVsKBJupcFDiumFA9")</f>
        <v>https://goo.gl/maps/GVsKBJupcFDiumFA9</v>
      </c>
      <c r="G217" s="4" t="s">
        <v>12859</v>
      </c>
      <c r="H217" s="101" t="str">
        <v>https://docs.google.com/spreadsheets/d/10ZQgOSd-0NV2Wu0yzlwduOcSejh5hy0ZK-G0ZfJqk5E</v>
      </c>
      <c r="I217" s="101" t="str">
        <v>https://docs.google.com/open?id=10ZQgOSd-0NV2Wu0yzlwduOcSejh5hy0ZK-G0ZfJqk5E</v>
      </c>
      <c r="J217" s="4" t="str">
        <v>Kalimundu, Gadingharjo, Sanden</v>
      </c>
      <c r="L217" s="99" t="str">
        <f ca="1">IFERROR(__xludf.DUMMYFUNCTION("IMPORTRANGE(H217,""IDENTITAS UNIT!D35"")"),"Nur Dian Agung Saputro")</f>
        <v>Nur Dian Agung Saputro</v>
      </c>
    </row>
    <row r="218" spans="1:12" ht="49.5" hidden="1">
      <c r="A218" s="4" t="str">
        <v>Reguler Periode ke-101 X.A.2</v>
      </c>
      <c r="B218" s="4" t="str">
        <v>Reguler Periode ke-101</v>
      </c>
      <c r="C218" s="4" t="str">
        <v>X.A.2</v>
      </c>
      <c r="D218" s="101" t="str">
        <v>https://drive.google.com/open?id=1EAyahGhjxPCL1iX8D-KjVlO4ZVCAODx5WV0uFpjgnAM&amp;usp=drive_copy</v>
      </c>
      <c r="E218" s="101" t="str">
        <v>https://drive.google.com/open?id=1EAyahGhjxPCL1iX8D-KjVlO4ZVCAODx5WV0uFpjgnAM</v>
      </c>
      <c r="F218" s="103" t="str">
        <f ca="1">IFERROR(__xludf.DUMMYFUNCTION("IMPORTRANGE(H218,""IDENTITAS UNIT!D9"")"),"https://maps.app.goo.gl/uBzZQ51MXk1iSNh37")</f>
        <v>https://maps.app.goo.gl/uBzZQ51MXk1iSNh37</v>
      </c>
      <c r="G218" s="4" t="s">
        <v>12860</v>
      </c>
      <c r="H218" s="101" t="str">
        <v>https://docs.google.com/spreadsheets/d/1EAyahGhjxPCL1iX8D-KjVlO4ZVCAODx5WV0uFpjgnAM</v>
      </c>
      <c r="I218" s="101" t="str">
        <v>https://docs.google.com/open?id=1EAyahGhjxPCL1iX8D-KjVlO4ZVCAODx5WV0uFpjgnAM</v>
      </c>
      <c r="J218" s="4" t="str">
        <v>Daleman, Gadingharjo, Sanden</v>
      </c>
      <c r="L218" s="99" t="str">
        <f ca="1">IFERROR(__xludf.DUMMYFUNCTION("IMPORTRANGE(H218,""IDENTITAS UNIT!D35"")"),"Muhammad Khalid Hardiansyah")</f>
        <v>Muhammad Khalid Hardiansyah</v>
      </c>
    </row>
    <row r="219" spans="1:12" ht="49.5" hidden="1">
      <c r="A219" s="4" t="str">
        <v>Reguler Periode ke-101 X.A.3</v>
      </c>
      <c r="B219" s="4" t="str">
        <v>Reguler Periode ke-101</v>
      </c>
      <c r="C219" s="4" t="str">
        <v>X.A.3</v>
      </c>
      <c r="D219" s="101" t="str">
        <v>https://drive.google.com/open?id=1AJbyPTvEEwaelfVjmkCZi1R7IxeJYplBzCxK1aiIWKY&amp;usp=drive_copy</v>
      </c>
      <c r="E219" s="101" t="str">
        <v>https://drive.google.com/open?id=1AJbyPTvEEwaelfVjmkCZi1R7IxeJYplBzCxK1aiIWKY</v>
      </c>
      <c r="F219" s="103" t="str">
        <f ca="1">IFERROR(__xludf.DUMMYFUNCTION("IMPORTRANGE(H219,""IDENTITAS UNIT!D9"")"),"https://maps.app.goo.gl/D4NajLSUtqQLRMn6 ")</f>
        <v xml:space="preserve">https://maps.app.goo.gl/D4NajLSUtqQLRMn6 </v>
      </c>
      <c r="H219" s="101" t="str">
        <v>https://docs.google.com/spreadsheets/d/1AJbyPTvEEwaelfVjmkCZi1R7IxeJYplBzCxK1aiIWKY</v>
      </c>
      <c r="I219" s="101" t="str">
        <v>https://docs.google.com/open?id=1AJbyPTvEEwaelfVjmkCZi1R7IxeJYplBzCxK1aiIWKY</v>
      </c>
      <c r="J219" s="4" t="str">
        <v>Merten, Gadingharjo, Sanden</v>
      </c>
      <c r="L219" s="99" t="str">
        <f ca="1">IFERROR(__xludf.DUMMYFUNCTION("IMPORTRANGE(H219,""IDENTITAS UNIT!D35"")"),"Harda Wijaya")</f>
        <v>Harda Wijaya</v>
      </c>
    </row>
    <row r="220" spans="1:12" ht="49.5" hidden="1">
      <c r="A220" s="4" t="str">
        <v>Reguler Periode ke-101 X.B.1</v>
      </c>
      <c r="B220" s="4" t="str">
        <v>Reguler Periode ke-101</v>
      </c>
      <c r="C220" s="4" t="str">
        <v>X.B.1</v>
      </c>
      <c r="D220" s="101" t="str">
        <v>https://drive.google.com/open?id=1EU6FPBVs4_bHZk5YhLGRafEA6_g5xHbvZj8VG2o9qeY&amp;usp=drive_copy</v>
      </c>
      <c r="E220" s="101" t="str">
        <v>https://drive.google.com/open?id=1EU6FPBVs4_bHZk5YhLGRafEA6_g5xHbvZj8VG2o9qeY</v>
      </c>
      <c r="F220" s="103" t="str">
        <f ca="1">IFERROR(__xludf.DUMMYFUNCTION("IMPORTRANGE(H220,""IDENTITAS UNIT!D9"")"),"https://goo.gl/maps/SY8zhhM4c9PLhmmT8")</f>
        <v>https://goo.gl/maps/SY8zhhM4c9PLhmmT8</v>
      </c>
      <c r="G220" s="4" t="s">
        <v>12861</v>
      </c>
      <c r="H220" s="101" t="str">
        <v>https://docs.google.com/spreadsheets/d/1EU6FPBVs4_bHZk5YhLGRafEA6_g5xHbvZj8VG2o9qeY</v>
      </c>
      <c r="I220" s="101" t="str">
        <v>https://docs.google.com/open?id=1EU6FPBVs4_bHZk5YhLGRafEA6_g5xHbvZj8VG2o9qeY</v>
      </c>
      <c r="J220" s="4" t="str">
        <v>Ngujung, Gadingharjo, Sanden</v>
      </c>
      <c r="L220" s="99" t="str">
        <f ca="1">IFERROR(__xludf.DUMMYFUNCTION("IMPORTRANGE(H220,""IDENTITAS UNIT!D35"")"),"M.syaifullah")</f>
        <v>M.syaifullah</v>
      </c>
    </row>
    <row r="221" spans="1:12" ht="49.5" hidden="1">
      <c r="A221" s="4" t="str">
        <v>Reguler Periode ke-101 X.B.2</v>
      </c>
      <c r="B221" s="4" t="str">
        <v>Reguler Periode ke-101</v>
      </c>
      <c r="C221" s="4" t="str">
        <v>X.B.2</v>
      </c>
      <c r="D221" s="101" t="str">
        <v>https://drive.google.com/open?id=1EjeRz5LjopaQ45gFnAY5NQCQpWc4QFs5vhI2fhhU_cA&amp;usp=drive_copy</v>
      </c>
      <c r="E221" s="101" t="str">
        <v>https://drive.google.com/open?id=1EjeRz5LjopaQ45gFnAY5NQCQpWc4QFs5vhI2fhhU_cA</v>
      </c>
      <c r="F221" s="103" t="str">
        <f ca="1">IFERROR(__xludf.DUMMYFUNCTION("IMPORTRANGE(H221,""IDENTITAS UNIT!D9"")"),"https://goo.gl/maps/5BLiz4UoWwkrxy6m6")</f>
        <v>https://goo.gl/maps/5BLiz4UoWwkrxy6m6</v>
      </c>
      <c r="G221" s="4" t="s">
        <v>12862</v>
      </c>
      <c r="H221" s="101" t="str">
        <v>https://docs.google.com/spreadsheets/d/1EjeRz5LjopaQ45gFnAY5NQCQpWc4QFs5vhI2fhhU_cA</v>
      </c>
      <c r="I221" s="101" t="str">
        <v>https://docs.google.com/open?id=1EjeRz5LjopaQ45gFnAY5NQCQpWc4QFs5vhI2fhhU_cA</v>
      </c>
      <c r="J221" s="4" t="str">
        <v>Pranti, Gadingharjo, Sanden</v>
      </c>
      <c r="L221" s="99" t="str">
        <f ca="1">IFERROR(__xludf.DUMMYFUNCTION("IMPORTRANGE(H221,""IDENTITAS UNIT!D35"")"),"Dimas Rizki Subagyo")</f>
        <v>Dimas Rizki Subagyo</v>
      </c>
    </row>
    <row r="222" spans="1:12" ht="49.5" hidden="1">
      <c r="A222" s="4" t="str">
        <v>Reguler Periode ke-101 X.B.3</v>
      </c>
      <c r="B222" s="4" t="str">
        <v>Reguler Periode ke-101</v>
      </c>
      <c r="C222" s="4" t="str">
        <v>X.B.3</v>
      </c>
      <c r="D222" s="101" t="str">
        <v>https://drive.google.com/open?id=1FKcQjqLinauzehbSGs5V555Y3ChiwhHP6O0KoyrfEzg&amp;usp=drive_copy</v>
      </c>
      <c r="E222" s="101" t="str">
        <v>https://drive.google.com/open?id=1FKcQjqLinauzehbSGs5V555Y3ChiwhHP6O0KoyrfEzg</v>
      </c>
      <c r="F222" s="103" t="str">
        <f ca="1">IFERROR(__xludf.DUMMYFUNCTION("IMPORTRANGE(H222,""IDENTITAS UNIT!D9"")"),"https://maps.app.goo.gl/oy5pvhcmTNXTBRJQ9")</f>
        <v>https://maps.app.goo.gl/oy5pvhcmTNXTBRJQ9</v>
      </c>
      <c r="G222" s="4" t="s">
        <v>12863</v>
      </c>
      <c r="H222" s="101" t="str">
        <v>https://docs.google.com/spreadsheets/d/1FKcQjqLinauzehbSGs5V555Y3ChiwhHP6O0KoyrfEzg</v>
      </c>
      <c r="I222" s="101" t="str">
        <v>https://docs.google.com/open?id=1FKcQjqLinauzehbSGs5V555Y3ChiwhHP6O0KoyrfEzg</v>
      </c>
      <c r="J222" s="4" t="str">
        <v>Karanganyar, Gadingharjo, Sanden</v>
      </c>
      <c r="L222" s="99" t="str">
        <f ca="1">IFERROR(__xludf.DUMMYFUNCTION("IMPORTRANGE(H222,""IDENTITAS UNIT!D35"")"),"Bimantara Putra Wartana")</f>
        <v>Bimantara Putra Wartana</v>
      </c>
    </row>
    <row r="223" spans="1:12" ht="49.5" hidden="1">
      <c r="A223" s="4" t="str">
        <v>Reguler Periode ke-101 X.C.1</v>
      </c>
      <c r="B223" s="4" t="str">
        <v>Reguler Periode ke-101</v>
      </c>
      <c r="C223" s="4" t="str">
        <v>X.C.1</v>
      </c>
      <c r="D223" s="101" t="str">
        <v>https://drive.google.com/open?id=1Fsx-5ZOCfCKVWOXLqp9p7s9qwc0IipvCRLJfiksv8n8&amp;usp=drive_copy</v>
      </c>
      <c r="E223" s="101" t="str">
        <v>https://drive.google.com/open?id=1Fsx-5ZOCfCKVWOXLqp9p7s9qwc0IipvCRLJfiksv8n8</v>
      </c>
      <c r="F223" s="103" t="str">
        <f ca="1">IFERROR(__xludf.DUMMYFUNCTION("IMPORTRANGE(H223,""IDENTITAS UNIT!D9"")"),"https://maps.app.goo.gl/hWeuqeKEiCYrUuMC9")</f>
        <v>https://maps.app.goo.gl/hWeuqeKEiCYrUuMC9</v>
      </c>
      <c r="G223" s="4" t="s">
        <v>12864</v>
      </c>
      <c r="H223" s="101" t="str">
        <v>https://docs.google.com/spreadsheets/d/1Fsx-5ZOCfCKVWOXLqp9p7s9qwc0IipvCRLJfiksv8n8</v>
      </c>
      <c r="I223" s="101" t="str">
        <v>https://docs.google.com/open?id=1Fsx-5ZOCfCKVWOXLqp9p7s9qwc0IipvCRLJfiksv8n8</v>
      </c>
      <c r="J223" s="4" t="str">
        <v>Sorobayan, Gadingsari, Sanden</v>
      </c>
      <c r="L223" s="99" t="str">
        <f ca="1">IFERROR(__xludf.DUMMYFUNCTION("IMPORTRANGE(H223,""IDENTITAS UNIT!D35"")"),"Rio Pratama")</f>
        <v>Rio Pratama</v>
      </c>
    </row>
    <row r="224" spans="1:12" ht="49.5" hidden="1">
      <c r="A224" s="4" t="str">
        <v>Reguler Periode ke-101 X.C.2</v>
      </c>
      <c r="B224" s="4" t="str">
        <v>Reguler Periode ke-101</v>
      </c>
      <c r="C224" s="4" t="str">
        <v>X.C.2</v>
      </c>
      <c r="D224" s="101" t="str">
        <v>https://drive.google.com/open?id=1Gpir0HMU-N9zt_jGne8XIfbSUW_8-K8jf6oflWxIePc&amp;usp=drive_copy</v>
      </c>
      <c r="E224" s="101" t="str">
        <v>https://drive.google.com/open?id=1Gpir0HMU-N9zt_jGne8XIfbSUW_8-K8jf6oflWxIePc</v>
      </c>
      <c r="F224" s="103" t="str">
        <f ca="1">IFERROR(__xludf.DUMMYFUNCTION("IMPORTRANGE(H224,""IDENTITAS UNIT!D9"")"),"https://goo.gl/maps/j3azAac2KSMYeX8Z9")</f>
        <v>https://goo.gl/maps/j3azAac2KSMYeX8Z9</v>
      </c>
      <c r="G224" s="4" t="s">
        <v>12865</v>
      </c>
      <c r="H224" s="101" t="str">
        <v>https://docs.google.com/spreadsheets/d/1Gpir0HMU-N9zt_jGne8XIfbSUW_8-K8jf6oflWxIePc</v>
      </c>
      <c r="I224" s="101" t="str">
        <v>https://docs.google.com/open?id=1Gpir0HMU-N9zt_jGne8XIfbSUW_8-K8jf6oflWxIePc</v>
      </c>
      <c r="J224" s="4" t="str">
        <v>Soko, Gadingsari, Sanden</v>
      </c>
      <c r="L224" s="99" t="str">
        <f ca="1">IFERROR(__xludf.DUMMYFUNCTION("IMPORTRANGE(H224,""IDENTITAS UNIT!D35"")"),"Jimmy Jupri")</f>
        <v>Jimmy Jupri</v>
      </c>
    </row>
    <row r="225" spans="1:12" ht="49.5" hidden="1">
      <c r="A225" s="4" t="str">
        <v>Reguler Periode ke-101 X.C.3</v>
      </c>
      <c r="B225" s="4" t="str">
        <v>Reguler Periode ke-101</v>
      </c>
      <c r="C225" s="4" t="str">
        <v>X.C.3</v>
      </c>
      <c r="D225" s="101" t="str">
        <v>https://drive.google.com/open?id=1IBOp12-8ahZqktw556yk84p1LLqJVyCZHCoqVBt70Rk&amp;usp=drive_copy</v>
      </c>
      <c r="E225" s="101" t="str">
        <v>https://drive.google.com/open?id=1IBOp12-8ahZqktw556yk84p1LLqJVyCZHCoqVBt70Rk</v>
      </c>
      <c r="F225" s="103" t="str">
        <f ca="1">IFERROR(__xludf.DUMMYFUNCTION("IMPORTRANGE(H225,""IDENTITAS UNIT!D9"")"),"https://goo.gl/maps/1MX6BSEmp51YUgaM9")</f>
        <v>https://goo.gl/maps/1MX6BSEmp51YUgaM9</v>
      </c>
      <c r="G225" s="4" t="s">
        <v>12866</v>
      </c>
      <c r="H225" s="101" t="str">
        <v>https://docs.google.com/spreadsheets/d/1IBOp12-8ahZqktw556yk84p1LLqJVyCZHCoqVBt70Rk</v>
      </c>
      <c r="I225" s="101" t="str">
        <v>https://docs.google.com/open?id=1IBOp12-8ahZqktw556yk84p1LLqJVyCZHCoqVBt70Rk</v>
      </c>
      <c r="J225" s="4" t="str">
        <v>Bongos I, Gadingsari, Sanden</v>
      </c>
      <c r="L225" s="99" t="str">
        <f ca="1">IFERROR(__xludf.DUMMYFUNCTION("IMPORTRANGE(H225,""IDENTITAS UNIT!D35"")"),"Ismail Zainal Abidin")</f>
        <v>Ismail Zainal Abidin</v>
      </c>
    </row>
    <row r="226" spans="1:12" ht="49.5" hidden="1">
      <c r="A226" s="4" t="str">
        <v>Reguler Periode ke-101 X.D.1</v>
      </c>
      <c r="B226" s="4" t="str">
        <v>Reguler Periode ke-101</v>
      </c>
      <c r="C226" s="4" t="str">
        <v>X.D.1</v>
      </c>
      <c r="D226" s="101" t="str">
        <v>https://drive.google.com/open?id=1IXb9Bk8sKJ83gCPkX3INib2baN24jj8mVj4yXEoI5IY&amp;usp=drive_copy</v>
      </c>
      <c r="E226" s="101" t="str">
        <v>https://drive.google.com/open?id=1IXb9Bk8sKJ83gCPkX3INib2baN24jj8mVj4yXEoI5IY</v>
      </c>
      <c r="F226" s="103" t="str">
        <f ca="1">IFERROR(__xludf.DUMMYFUNCTION("IMPORTRANGE(H226,""IDENTITAS UNIT!D9"")"),"https://maps.app.goo.gl/LrQw91djE4oNpNwu6?g_st=ic")</f>
        <v>https://maps.app.goo.gl/LrQw91djE4oNpNwu6?g_st=ic</v>
      </c>
      <c r="G226" s="4" t="s">
        <v>12867</v>
      </c>
      <c r="H226" s="101" t="str">
        <v>https://docs.google.com/spreadsheets/d/1IXb9Bk8sKJ83gCPkX3INib2baN24jj8mVj4yXEoI5IY</v>
      </c>
      <c r="I226" s="101" t="str">
        <v>https://docs.google.com/open?id=1IXb9Bk8sKJ83gCPkX3INib2baN24jj8mVj4yXEoI5IY</v>
      </c>
      <c r="J226" s="4" t="str">
        <v>Bongos II, Gadingsari, Sanden</v>
      </c>
      <c r="L226" s="99" t="str">
        <f ca="1">IFERROR(__xludf.DUMMYFUNCTION("IMPORTRANGE(H226,""IDENTITAS UNIT!D35"")"),"Raafi Taufiqurrahman")</f>
        <v>Raafi Taufiqurrahman</v>
      </c>
    </row>
    <row r="227" spans="1:12" ht="49.5" hidden="1">
      <c r="A227" s="4" t="str">
        <v>Reguler Periode ke-101 X.D.2</v>
      </c>
      <c r="B227" s="4" t="str">
        <v>Reguler Periode ke-101</v>
      </c>
      <c r="C227" s="4" t="str">
        <v>X.D.2</v>
      </c>
      <c r="D227" s="101" t="str">
        <v>https://drive.google.com/open?id=1IpjbK_P7dAk_ICHRUCk0DpMxZOgclIBDIH9lpWsYM-E&amp;usp=drive_copy</v>
      </c>
      <c r="E227" s="101" t="str">
        <v>https://drive.google.com/open?id=1IpjbK_P7dAk_ICHRUCk0DpMxZOgclIBDIH9lpWsYM-E</v>
      </c>
      <c r="F227" s="103" t="str">
        <f ca="1">IFERROR(__xludf.DUMMYFUNCTION("IMPORTRANGE(H227,""IDENTITAS UNIT!D9"")"),"https://goo.gl/maps/XrZJbc1wGoHVuNh66")</f>
        <v>https://goo.gl/maps/XrZJbc1wGoHVuNh66</v>
      </c>
      <c r="G227" s="4" t="s">
        <v>12868</v>
      </c>
      <c r="H227" s="101" t="str">
        <v>https://docs.google.com/spreadsheets/d/1IpjbK_P7dAk_ICHRUCk0DpMxZOgclIBDIH9lpWsYM-E</v>
      </c>
      <c r="I227" s="101" t="str">
        <v>https://docs.google.com/open?id=1IpjbK_P7dAk_ICHRUCk0DpMxZOgclIBDIH9lpWsYM-E</v>
      </c>
      <c r="J227" s="4" t="str">
        <v>Wonorejo I, Gadingsari, Sanden</v>
      </c>
      <c r="L227" s="99" t="str">
        <f ca="1">IFERROR(__xludf.DUMMYFUNCTION("IMPORTRANGE(H227,""IDENTITAS UNIT!D35"")"),"Muhammad Fakhri Nashruddin")</f>
        <v>Muhammad Fakhri Nashruddin</v>
      </c>
    </row>
    <row r="228" spans="1:12" ht="49.5" hidden="1">
      <c r="A228" s="4" t="str">
        <v>Reguler Periode ke-101 X.D.3</v>
      </c>
      <c r="B228" s="4" t="str">
        <v>Reguler Periode ke-101</v>
      </c>
      <c r="C228" s="4" t="str">
        <v>X.D.3</v>
      </c>
      <c r="D228" s="101" t="str">
        <v>https://drive.google.com/open?id=1Jk_5VSZ5FeXMMoESdIy82MTlH0QRHXsUPr3bwQLquuQ&amp;usp=drive_copy</v>
      </c>
      <c r="E228" s="101" t="str">
        <v>https://drive.google.com/open?id=1Jk_5VSZ5FeXMMoESdIy82MTlH0QRHXsUPr3bwQLquuQ</v>
      </c>
      <c r="F228" s="103" t="str">
        <f ca="1">IFERROR(__xludf.DUMMYFUNCTION("IMPORTRANGE(H228,""IDENTITAS UNIT!D9"")"),"https://maps.app.goo.gl/fwmE1MgwSFGC95je7")</f>
        <v>https://maps.app.goo.gl/fwmE1MgwSFGC95je7</v>
      </c>
      <c r="G228" s="4" t="s">
        <v>12869</v>
      </c>
      <c r="H228" s="101" t="str">
        <v>https://docs.google.com/spreadsheets/d/1Jk_5VSZ5FeXMMoESdIy82MTlH0QRHXsUPr3bwQLquuQ</v>
      </c>
      <c r="I228" s="101" t="str">
        <v>https://docs.google.com/open?id=1Jk_5VSZ5FeXMMoESdIy82MTlH0QRHXsUPr3bwQLquuQ</v>
      </c>
      <c r="J228" s="4" t="str">
        <v>Wonorejo II, Gadingsari, Sanden</v>
      </c>
      <c r="L228" s="99" t="str">
        <f ca="1">IFERROR(__xludf.DUMMYFUNCTION("IMPORTRANGE(H228,""IDENTITAS UNIT!D35"")"),"Wahyu Darma Putra")</f>
        <v>Wahyu Darma Putra</v>
      </c>
    </row>
    <row r="229" spans="1:12" ht="49.5" hidden="1">
      <c r="A229" s="4" t="str">
        <v>Reguler Periode ke-101 XI.A.1</v>
      </c>
      <c r="B229" s="4" t="str">
        <v>Reguler Periode ke-101</v>
      </c>
      <c r="C229" s="4" t="str">
        <v>XI.A.1</v>
      </c>
      <c r="D229" s="101" t="str">
        <v>https://drive.google.com/open?id=1JnDnaAKndNVUL00xE3ufawSO5PejocdvIEdEQHCKQlw&amp;usp=drive_copy</v>
      </c>
      <c r="E229" s="101" t="str">
        <v>https://drive.google.com/open?id=1JnDnaAKndNVUL00xE3ufawSO5PejocdvIEdEQHCKQlw</v>
      </c>
      <c r="F229" s="103" t="str">
        <f ca="1">IFERROR(__xludf.DUMMYFUNCTION("IMPORTRANGE(H229,""IDENTITAS UNIT!D9"")"),"https://goo.gl/maps/Qr3ZEzPMN29Lzj769")</f>
        <v>https://goo.gl/maps/Qr3ZEzPMN29Lzj769</v>
      </c>
      <c r="H229" s="101" t="str">
        <v>https://docs.google.com/spreadsheets/d/1JnDnaAKndNVUL00xE3ufawSO5PejocdvIEdEQHCKQlw</v>
      </c>
      <c r="I229" s="101" t="str">
        <v>https://docs.google.com/open?id=1JnDnaAKndNVUL00xE3ufawSO5PejocdvIEdEQHCKQlw</v>
      </c>
      <c r="J229" s="4" t="str">
        <v>Patihan, Gadingsari, Sanden</v>
      </c>
      <c r="L229" s="99" t="str">
        <f ca="1">IFERROR(__xludf.DUMMYFUNCTION("IMPORTRANGE(H229,""IDENTITAS UNIT!D35"")"),"Moch. Robert Zaky R.")</f>
        <v>Moch. Robert Zaky R.</v>
      </c>
    </row>
    <row r="230" spans="1:12" ht="49.5" hidden="1">
      <c r="A230" s="4" t="str">
        <v>Reguler Periode ke-101 XI.A.2</v>
      </c>
      <c r="B230" s="4" t="str">
        <v>Reguler Periode ke-101</v>
      </c>
      <c r="C230" s="4" t="str">
        <v>XI.A.2</v>
      </c>
      <c r="D230" s="101" t="str">
        <v>https://drive.google.com/open?id=1L39DI1wMDf9LCozOoaK5V2Ca99oceCq6rC86LKyKju4&amp;usp=drive_copy</v>
      </c>
      <c r="E230" s="101" t="str">
        <v>https://drive.google.com/open?id=1L39DI1wMDf9LCozOoaK5V2Ca99oceCq6rC86LKyKju4</v>
      </c>
      <c r="F230" s="103" t="str">
        <f ca="1">IFERROR(__xludf.DUMMYFUNCTION("IMPORTRANGE(H230,""IDENTITAS UNIT!D9"")"),"https://maps.app.goo.gl/snR7ui2yREqG9DQs9")</f>
        <v>https://maps.app.goo.gl/snR7ui2yREqG9DQs9</v>
      </c>
      <c r="G230" s="4" t="s">
        <v>12870</v>
      </c>
      <c r="H230" s="101" t="str">
        <v>https://docs.google.com/spreadsheets/d/1L39DI1wMDf9LCozOoaK5V2Ca99oceCq6rC86LKyKju4</v>
      </c>
      <c r="I230" s="101" t="str">
        <v>https://docs.google.com/open?id=1L39DI1wMDf9LCozOoaK5V2Ca99oceCq6rC86LKyKju4</v>
      </c>
      <c r="J230" s="4" t="str">
        <v>Wonoroto, Gadingsari, Sanden</v>
      </c>
      <c r="L230" s="99" t="str">
        <f ca="1">IFERROR(__xludf.DUMMYFUNCTION("IMPORTRANGE(H230,""IDENTITAS UNIT!D35"")"),"Azuzta Wira Adianto")</f>
        <v>Azuzta Wira Adianto</v>
      </c>
    </row>
    <row r="231" spans="1:12" ht="49.5" hidden="1">
      <c r="A231" s="4" t="str">
        <v>Reguler Periode ke-101 XI.A.3</v>
      </c>
      <c r="B231" s="4" t="str">
        <v>Reguler Periode ke-101</v>
      </c>
      <c r="C231" s="4" t="str">
        <v>XI.A.3</v>
      </c>
      <c r="D231" s="101" t="str">
        <v>https://drive.google.com/open?id=1MCWYAfDexINng7XNBycVpbbjJ4zCkX3Uu46SR1hZ6EI&amp;usp=drive_copy</v>
      </c>
      <c r="E231" s="101" t="str">
        <v>https://drive.google.com/open?id=1MCWYAfDexINng7XNBycVpbbjJ4zCkX3Uu46SR1hZ6EI</v>
      </c>
      <c r="F231" s="103" t="str">
        <f ca="1">IFERROR(__xludf.DUMMYFUNCTION("IMPORTRANGE(H231,""IDENTITAS UNIT!D9"")"),"https://goo.gl/maps/XXrDqXRow6UvxU8e7")</f>
        <v>https://goo.gl/maps/XXrDqXRow6UvxU8e7</v>
      </c>
      <c r="G231" s="4" t="s">
        <v>12871</v>
      </c>
      <c r="H231" s="101" t="str">
        <v>https://docs.google.com/spreadsheets/d/1MCWYAfDexINng7XNBycVpbbjJ4zCkX3Uu46SR1hZ6EI</v>
      </c>
      <c r="I231" s="101" t="str">
        <v>https://docs.google.com/open?id=1MCWYAfDexINng7XNBycVpbbjJ4zCkX3Uu46SR1hZ6EI</v>
      </c>
      <c r="J231" s="4" t="str">
        <v>Demangan, Gadingsari, Sanden</v>
      </c>
      <c r="L231" s="99" t="str">
        <f ca="1">IFERROR(__xludf.DUMMYFUNCTION("IMPORTRANGE(H231,""IDENTITAS UNIT!D35"")"),"Ahmad Solihin")</f>
        <v>Ahmad Solihin</v>
      </c>
    </row>
    <row r="232" spans="1:12" ht="33" hidden="1">
      <c r="A232" s="4" t="str">
        <v>Reguler Periode ke-101 XI.B.1</v>
      </c>
      <c r="B232" s="4" t="str">
        <v>Reguler Periode ke-101</v>
      </c>
      <c r="C232" s="4" t="str">
        <v>XI.B.1</v>
      </c>
      <c r="D232" s="101" t="str">
        <v>https://drive.google.com/open?id=1OGhMSmwLzY_YX9czT4J-ieZpRTQUnUIAMTS094bSnHo&amp;usp=drive_copy</v>
      </c>
      <c r="E232" s="101" t="str">
        <v>https://drive.google.com/open?id=1OGhMSmwLzY_YX9czT4J-ieZpRTQUnUIAMTS094bSnHo</v>
      </c>
      <c r="F232" s="102" t="str">
        <f ca="1">IFERROR(__xludf.DUMMYFUNCTION("IMPORTRANGE(H232,""IDENTITAS UNIT!D9"")"),"Jln. Kurahan II, Piring satu, ")</f>
        <v xml:space="preserve">Jln. Kurahan II, Piring satu, </v>
      </c>
      <c r="H232" s="101" t="str">
        <v>https://docs.google.com/spreadsheets/d/1OGhMSmwLzY_YX9czT4J-ieZpRTQUnUIAMTS094bSnHo</v>
      </c>
      <c r="I232" s="101" t="str">
        <v>https://docs.google.com/open?id=1OGhMSmwLzY_YX9czT4J-ieZpRTQUnUIAMTS094bSnHo</v>
      </c>
      <c r="J232" s="4" t="str">
        <v>Kurahan II, Murtigading, Sanden</v>
      </c>
      <c r="L232" s="99" t="str">
        <f ca="1">IFERROR(__xludf.DUMMYFUNCTION("IMPORTRANGE(H232,""IDENTITAS UNIT!D35"")"),"Faizin Jabibil Haq Amahoroe")</f>
        <v>Faizin Jabibil Haq Amahoroe</v>
      </c>
    </row>
    <row r="233" spans="1:12" ht="49.5" hidden="1">
      <c r="A233" s="4" t="str">
        <v>Reguler Periode ke-101 XI.B.2</v>
      </c>
      <c r="B233" s="4" t="str">
        <v>Reguler Periode ke-101</v>
      </c>
      <c r="C233" s="4" t="str">
        <v>XI.B.2</v>
      </c>
      <c r="D233" s="101" t="str">
        <v>https://drive.google.com/open?id=1P-hE-x-Nxd0tb3vcyrjzmtxs6VOeAGtQ7l_TrBZv7TU&amp;usp=drive_copy</v>
      </c>
      <c r="E233" s="101" t="str">
        <v>https://drive.google.com/open?id=1P-hE-x-Nxd0tb3vcyrjzmtxs6VOeAGtQ7l_TrBZv7TU</v>
      </c>
      <c r="F233" s="103" t="str">
        <f ca="1">IFERROR(__xludf.DUMMYFUNCTION("IMPORTRANGE(H233,""IDENTITAS UNIT!D9"")"),"https://goo.gl/maps/6yAdNJqNaSiUjVK56")</f>
        <v>https://goo.gl/maps/6yAdNJqNaSiUjVK56</v>
      </c>
      <c r="G233" s="4" t="s">
        <v>12872</v>
      </c>
      <c r="H233" s="101" t="str">
        <v>https://docs.google.com/spreadsheets/d/1P-hE-x-Nxd0tb3vcyrjzmtxs6VOeAGtQ7l_TrBZv7TU</v>
      </c>
      <c r="I233" s="101" t="str">
        <v>https://docs.google.com/open?id=1P-hE-x-Nxd0tb3vcyrjzmtxs6VOeAGtQ7l_TrBZv7TU</v>
      </c>
      <c r="J233" s="4" t="str">
        <v>Kurahan, Murtigading, Sanden</v>
      </c>
      <c r="L233" s="99" t="str">
        <f ca="1">IFERROR(__xludf.DUMMYFUNCTION("IMPORTRANGE(H233,""IDENTITAS UNIT!D35"")"),"Andreas Wahyu Kurniawan")</f>
        <v>Andreas Wahyu Kurniawan</v>
      </c>
    </row>
    <row r="234" spans="1:12" ht="165" hidden="1">
      <c r="A234" s="4" t="str">
        <v>Reguler Periode ke-101 XI.B.3</v>
      </c>
      <c r="B234" s="4" t="str">
        <v>Reguler Periode ke-101</v>
      </c>
      <c r="C234" s="4" t="str">
        <v>XI.B.3</v>
      </c>
      <c r="D234" s="101" t="str">
        <v>https://drive.google.com/open?id=1PixfsHZVJl09BlpcNdPDbSD8Y5E_kr-Y5Y90OrRDYIM&amp;usp=drive_copy</v>
      </c>
      <c r="E234" s="101" t="str">
        <v>https://drive.google.com/open?id=1PixfsHZVJl09BlpcNdPDbSD8Y5E_kr-Y5Y90OrRDYIM</v>
      </c>
      <c r="F234" s="102" t="str">
        <f ca="1">IFERROR(__xludf.DUMMYFUNCTION("IMPORTRANGE(H234,""IDENTITAS UNIT!D9"")"),"Jalan Raya Sanden Km. 4 RT.003 Dukuh 2, Murtigading, Sanden, Pucang Anom II, Murtigading, Kec. Sanden, Kabupaten Bantul, Daerah Istimewa Yogyakarta 55763")</f>
        <v>Jalan Raya Sanden Km. 4 RT.003 Dukuh 2, Murtigading, Sanden, Pucang Anom II, Murtigading, Kec. Sanden, Kabupaten Bantul, Daerah Istimewa Yogyakarta 55763</v>
      </c>
      <c r="H234" s="101" t="str">
        <v>https://docs.google.com/spreadsheets/d/1PixfsHZVJl09BlpcNdPDbSD8Y5E_kr-Y5Y90OrRDYIM</v>
      </c>
      <c r="I234" s="101" t="str">
        <v>https://docs.google.com/open?id=1PixfsHZVJl09BlpcNdPDbSD8Y5E_kr-Y5Y90OrRDYIM</v>
      </c>
      <c r="J234" s="4" t="str">
        <v>Pucanganom 1, Murtigading, Sanden</v>
      </c>
      <c r="L234" s="99" t="str">
        <f ca="1">IFERROR(__xludf.DUMMYFUNCTION("IMPORTRANGE(H234,""IDENTITAS UNIT!D35"")"),"Herdi Yudha Rahman")</f>
        <v>Herdi Yudha Rahman</v>
      </c>
    </row>
    <row r="235" spans="1:12" ht="49.5" hidden="1">
      <c r="A235" s="4" t="str">
        <v>Reguler Periode ke-101 XI.C.1</v>
      </c>
      <c r="B235" s="4" t="str">
        <v>Reguler Periode ke-101</v>
      </c>
      <c r="C235" s="4" t="str">
        <v>XI.C.1</v>
      </c>
      <c r="D235" s="101" t="str">
        <v>https://drive.google.com/open?id=1QNC_GjwCaYLhAtQnqLKMIiNB46WOFjAYv6RyJ9_bKTc&amp;usp=drive_copy</v>
      </c>
      <c r="E235" s="101" t="str">
        <v>https://drive.google.com/open?id=1QNC_GjwCaYLhAtQnqLKMIiNB46WOFjAYv6RyJ9_bKTc</v>
      </c>
      <c r="F235" s="103" t="str">
        <f ca="1">IFERROR(__xludf.DUMMYFUNCTION("IMPORTRANGE(H235,""IDENTITAS UNIT!D9"")"),"https://goo.gl/maps/DCSfF1K6b3K7sXNo9")</f>
        <v>https://goo.gl/maps/DCSfF1K6b3K7sXNo9</v>
      </c>
      <c r="G235" s="4" t="s">
        <v>12873</v>
      </c>
      <c r="H235" s="101" t="str">
        <v>https://docs.google.com/spreadsheets/d/1QNC_GjwCaYLhAtQnqLKMIiNB46WOFjAYv6RyJ9_bKTc</v>
      </c>
      <c r="I235" s="101" t="str">
        <v>https://docs.google.com/open?id=1QNC_GjwCaYLhAtQnqLKMIiNB46WOFjAYv6RyJ9_bKTc</v>
      </c>
      <c r="J235" s="4" t="str">
        <v>Piring II, Murtigading, Sanden</v>
      </c>
      <c r="L235" s="99" t="str">
        <f ca="1">IFERROR(__xludf.DUMMYFUNCTION("IMPORTRANGE(H235,""IDENTITAS UNIT!D35"")"),"Muhammad Aditya Wahyu Salsabila")</f>
        <v>Muhammad Aditya Wahyu Salsabila</v>
      </c>
    </row>
    <row r="236" spans="1:12" ht="49.5" hidden="1">
      <c r="A236" s="4" t="str">
        <v>Reguler Periode ke-101 XI.C.2</v>
      </c>
      <c r="B236" s="4" t="str">
        <v>Reguler Periode ke-101</v>
      </c>
      <c r="C236" s="4" t="str">
        <v>XI.C.2</v>
      </c>
      <c r="D236" s="101" t="str">
        <v>https://drive.google.com/open?id=1Scrz15EVMsypf1pcMUHNhoybcUnhsXxJFKEiAOmHZAo&amp;usp=drive_copy</v>
      </c>
      <c r="E236" s="101" t="str">
        <v>https://drive.google.com/open?id=1Scrz15EVMsypf1pcMUHNhoybcUnhsXxJFKEiAOmHZAo</v>
      </c>
      <c r="F236" s="103" t="str">
        <f ca="1">IFERROR(__xludf.DUMMYFUNCTION("IMPORTRANGE(H236,""IDENTITAS UNIT!D9"")"),"https://maps.app.goo.gl/7jXFJRxES1biVFtL7")</f>
        <v>https://maps.app.goo.gl/7jXFJRxES1biVFtL7</v>
      </c>
      <c r="H236" s="101" t="str">
        <v>https://docs.google.com/spreadsheets/d/1Scrz15EVMsypf1pcMUHNhoybcUnhsXxJFKEiAOmHZAo</v>
      </c>
      <c r="I236" s="101" t="str">
        <v>https://docs.google.com/open?id=1Scrz15EVMsypf1pcMUHNhoybcUnhsXxJFKEiAOmHZAo</v>
      </c>
      <c r="J236" s="4" t="str">
        <v>Pucanganom II, Murtigading, Sanden</v>
      </c>
      <c r="L236" s="99" t="str">
        <f ca="1">IFERROR(__xludf.DUMMYFUNCTION("IMPORTRANGE(H236,""IDENTITAS UNIT!D35"")"),"Aeritho Anshar")</f>
        <v>Aeritho Anshar</v>
      </c>
    </row>
    <row r="237" spans="1:12" ht="99" hidden="1">
      <c r="A237" s="4" t="str">
        <v>Reguler Periode ke-101 XI.C.3</v>
      </c>
      <c r="B237" s="4" t="str">
        <v>Reguler Periode ke-101</v>
      </c>
      <c r="C237" s="4" t="str">
        <v>XI.C.3</v>
      </c>
      <c r="D237" s="101" t="str">
        <v>https://drive.google.com/open?id=1T1TlUoxuPrXb59J6Pq0GSChhFotWcNzNzg3saMpJlHI&amp;usp=drive_copy</v>
      </c>
      <c r="E237" s="101" t="str">
        <v>https://drive.google.com/open?id=1T1TlUoxuPrXb59J6Pq0GSChhFotWcNzNzg3saMpJlHI</v>
      </c>
      <c r="F237" s="102" t="str">
        <f ca="1">IFERROR(__xludf.DUMMYFUNCTION("IMPORTRANGE(H237,""IDENTITAS UNIT!D9"")"),"Senden, Murtigading, Kec. Sanden, Kabupaten Bantul, Daerah Istimewa Yogyakarta 55763")</f>
        <v>Senden, Murtigading, Kec. Sanden, Kabupaten Bantul, Daerah Istimewa Yogyakarta 55763</v>
      </c>
      <c r="H237" s="101" t="str">
        <v>https://docs.google.com/spreadsheets/d/1T1TlUoxuPrXb59J6Pq0GSChhFotWcNzNzg3saMpJlHI</v>
      </c>
      <c r="I237" s="101" t="str">
        <v>https://docs.google.com/open?id=1T1TlUoxuPrXb59J6Pq0GSChhFotWcNzNzg3saMpJlHI</v>
      </c>
      <c r="J237" s="4" t="str">
        <v>Sanden, Murtigading, Sanden</v>
      </c>
      <c r="L237" s="99" t="str">
        <f ca="1">IFERROR(__xludf.DUMMYFUNCTION("IMPORTRANGE(H237,""IDENTITAS UNIT!D35"")"),"Trio Imam Solihin")</f>
        <v>Trio Imam Solihin</v>
      </c>
    </row>
    <row r="238" spans="1:12" ht="49.5" hidden="1">
      <c r="A238" s="4" t="str">
        <v>Reguler Periode ke-101 XI.D.1</v>
      </c>
      <c r="B238" s="4" t="str">
        <v>Reguler Periode ke-101</v>
      </c>
      <c r="C238" s="4" t="str">
        <v>XI.D.1</v>
      </c>
      <c r="D238" s="101" t="str">
        <v>https://drive.google.com/open?id=1XBeelw9ucV4ytdCXxFLAtKpPLOvWqSDpL9PSFdCQDYA&amp;usp=drive_copy</v>
      </c>
      <c r="E238" s="101" t="str">
        <v>https://drive.google.com/open?id=1XBeelw9ucV4ytdCXxFLAtKpPLOvWqSDpL9PSFdCQDYA</v>
      </c>
      <c r="F238" s="103" t="str">
        <f ca="1">IFERROR(__xludf.DUMMYFUNCTION("IMPORTRANGE(H238,""IDENTITAS UNIT!D9"")"),"https://goo.gl/maps/W66mGQQ8TGgohFUH7")</f>
        <v>https://goo.gl/maps/W66mGQQ8TGgohFUH7</v>
      </c>
      <c r="G238" s="4" t="s">
        <v>12874</v>
      </c>
      <c r="H238" s="101" t="str">
        <v>https://docs.google.com/spreadsheets/d/1XBeelw9ucV4ytdCXxFLAtKpPLOvWqSDpL9PSFdCQDYA</v>
      </c>
      <c r="I238" s="101" t="str">
        <v>https://docs.google.com/open?id=1XBeelw9ucV4ytdCXxFLAtKpPLOvWqSDpL9PSFdCQDYA</v>
      </c>
      <c r="J238" s="4" t="str">
        <v>Bongoskenthi, Murtigading, Sanden</v>
      </c>
      <c r="L238" s="99" t="str">
        <f ca="1">IFERROR(__xludf.DUMMYFUNCTION("IMPORTRANGE(H238,""IDENTITAS UNIT!D35"")"),"Dyllan Bagus Siswanto")</f>
        <v>Dyllan Bagus Siswanto</v>
      </c>
    </row>
    <row r="239" spans="1:12" ht="49.5" hidden="1">
      <c r="A239" s="4" t="str">
        <v>Reguler Periode ke-101 XI.D.2</v>
      </c>
      <c r="B239" s="4" t="str">
        <v>Reguler Periode ke-101</v>
      </c>
      <c r="C239" s="4" t="str">
        <v>XI.D.2</v>
      </c>
      <c r="D239" s="101" t="str">
        <v>https://drive.google.com/open?id=1XvsihmVQFuIhNuYLr4ZY3pwe7z0DK2N9-5RGJzYmsxE&amp;usp=drive_copy</v>
      </c>
      <c r="E239" s="101" t="str">
        <v>https://drive.google.com/open?id=1XvsihmVQFuIhNuYLr4ZY3pwe7z0DK2N9-5RGJzYmsxE</v>
      </c>
      <c r="F239" s="103" t="str">
        <f ca="1">IFERROR(__xludf.DUMMYFUNCTION("IMPORTRANGE(H239,""IDENTITAS UNIT!D9"")"),"https://goo.gl/maps/kfLoqJ49FUbfgvHu5")</f>
        <v>https://goo.gl/maps/kfLoqJ49FUbfgvHu5</v>
      </c>
      <c r="G239" s="4" t="s">
        <v>12875</v>
      </c>
      <c r="H239" s="101" t="str">
        <v>https://docs.google.com/spreadsheets/d/1XvsihmVQFuIhNuYLr4ZY3pwe7z0DK2N9-5RGJzYmsxE</v>
      </c>
      <c r="I239" s="101" t="str">
        <v>https://docs.google.com/open?id=1XvsihmVQFuIhNuYLr4ZY3pwe7z0DK2N9-5RGJzYmsxE</v>
      </c>
      <c r="J239" s="4" t="str">
        <v>Piring I , Murtigading, Sanden</v>
      </c>
      <c r="L239" s="99" t="str">
        <f ca="1">IFERROR(__xludf.DUMMYFUNCTION("IMPORTRANGE(H239,""IDENTITAS UNIT!D35"")"),"Aris Eka Putra")</f>
        <v>Aris Eka Putra</v>
      </c>
    </row>
    <row r="240" spans="1:12" ht="49.5" hidden="1">
      <c r="A240" s="4" t="str">
        <v>Reguler Periode ke-101 XI.D.3</v>
      </c>
      <c r="B240" s="4" t="str">
        <v>Reguler Periode ke-101</v>
      </c>
      <c r="C240" s="4" t="str">
        <v>XI.D.3</v>
      </c>
      <c r="D240" s="101" t="str">
        <v>https://drive.google.com/open?id=1ZYsGL93hUEpIsfPXZXcFQ8UvpYdafnpu3DWPsXTaF3E&amp;usp=drive_copy</v>
      </c>
      <c r="E240" s="101" t="str">
        <v>https://drive.google.com/open?id=1ZYsGL93hUEpIsfPXZXcFQ8UvpYdafnpu3DWPsXTaF3E</v>
      </c>
      <c r="F240" s="103" t="str">
        <f ca="1">IFERROR(__xludf.DUMMYFUNCTION("IMPORTRANGE(H240,""IDENTITAS UNIT!D9"")"),"https://maps.app.goo.gl/N8S4Qsj9y4hfFy3o9")</f>
        <v>https://maps.app.goo.gl/N8S4Qsj9y4hfFy3o9</v>
      </c>
      <c r="H240" s="101" t="str">
        <v>https://docs.google.com/spreadsheets/d/1ZYsGL93hUEpIsfPXZXcFQ8UvpYdafnpu3DWPsXTaF3E</v>
      </c>
      <c r="I240" s="101" t="str">
        <v>https://docs.google.com/open?id=1ZYsGL93hUEpIsfPXZXcFQ8UvpYdafnpu3DWPsXTaF3E</v>
      </c>
      <c r="J240" s="4" t="str">
        <v>Ngentak, Murtigading, Sanden</v>
      </c>
      <c r="L240" s="99" t="str">
        <f ca="1">IFERROR(__xludf.DUMMYFUNCTION("IMPORTRANGE(H240,""IDENTITAS UNIT!D35"")"),"Alvian Fandy Pratama")</f>
        <v>Alvian Fandy Pratama</v>
      </c>
    </row>
    <row r="241" spans="1:12" ht="49.5" hidden="1">
      <c r="A241" s="4" t="str">
        <v>Reguler Periode ke-101 XII.A.1</v>
      </c>
      <c r="B241" s="4" t="str">
        <v>Reguler Periode ke-101</v>
      </c>
      <c r="C241" s="4" t="str">
        <v>XII.A.1</v>
      </c>
      <c r="D241" s="101" t="str">
        <v>https://drive.google.com/open?id=188gvfRHY-Lhh0buPxNcpokgAmKt2u7SV1hIsUVuVCrQ&amp;usp=drive_copy</v>
      </c>
      <c r="E241" s="101" t="str">
        <v>https://drive.google.com/open?id=188gvfRHY-Lhh0buPxNcpokgAmKt2u7SV1hIsUVuVCrQ</v>
      </c>
      <c r="F241" s="103" t="str">
        <f ca="1">IFERROR(__xludf.DUMMYFUNCTION("IMPORTRANGE(H241,""IDENTITAS UNIT!D9"")"),"https://goo.gl/maps/vbypVtMk217gvHP86")</f>
        <v>https://goo.gl/maps/vbypVtMk217gvHP86</v>
      </c>
      <c r="G241" s="4" t="s">
        <v>12876</v>
      </c>
      <c r="H241" s="101" t="str">
        <v>https://docs.google.com/spreadsheets/d/188gvfRHY-Lhh0buPxNcpokgAmKt2u7SV1hIsUVuVCrQ</v>
      </c>
      <c r="I241" s="101" t="str">
        <v>https://docs.google.com/open?id=188gvfRHY-Lhh0buPxNcpokgAmKt2u7SV1hIsUVuVCrQ</v>
      </c>
      <c r="J241" s="4" t="str">
        <v>Pedak, Wijirejo, Pandak</v>
      </c>
      <c r="L241" s="99" t="str">
        <f ca="1">IFERROR(__xludf.DUMMYFUNCTION("IMPORTRANGE(H241,""IDENTITAS UNIT!D35"")"),"Faiq Suhail")</f>
        <v>Faiq Suhail</v>
      </c>
    </row>
    <row r="242" spans="1:12" ht="49.5" hidden="1">
      <c r="A242" s="4" t="str">
        <v>Reguler Periode ke-101 XII.A.2</v>
      </c>
      <c r="B242" s="4" t="str">
        <v>Reguler Periode ke-101</v>
      </c>
      <c r="C242" s="4" t="str">
        <v>XII.A.2</v>
      </c>
      <c r="D242" s="101" t="str">
        <v>https://drive.google.com/open?id=19an57qPg6-LW9HFYiknpVSOIG8cltkLJUsfFA7qJj5A&amp;usp=drive_copy</v>
      </c>
      <c r="E242" s="101" t="str">
        <v>https://drive.google.com/open?id=19an57qPg6-LW9HFYiknpVSOIG8cltkLJUsfFA7qJj5A</v>
      </c>
      <c r="F242" s="103" t="str">
        <f ca="1">IFERROR(__xludf.DUMMYFUNCTION("IMPORTRANGE(H242,""IDENTITAS UNIT!D9"")"),"https://maps.app.goo.gl/D5LJSezdrzxwiuYf8?g_st=iw")</f>
        <v>https://maps.app.goo.gl/D5LJSezdrzxwiuYf8?g_st=iw</v>
      </c>
      <c r="G242" s="4" t="s">
        <v>12877</v>
      </c>
      <c r="H242" s="101" t="str">
        <v>https://docs.google.com/spreadsheets/d/19an57qPg6-LW9HFYiknpVSOIG8cltkLJUsfFA7qJj5A</v>
      </c>
      <c r="I242" s="101" t="str">
        <v>https://docs.google.com/open?id=19an57qPg6-LW9HFYiknpVSOIG8cltkLJUsfFA7qJj5A</v>
      </c>
      <c r="J242" s="4" t="str">
        <v>Ngeblak, Wijirejo, Pandak</v>
      </c>
      <c r="L242" s="99" t="str">
        <f ca="1">IFERROR(__xludf.DUMMYFUNCTION("IMPORTRANGE(H242,""IDENTITAS UNIT!D35"")"),"Krisna Dwi Yulianto")</f>
        <v>Krisna Dwi Yulianto</v>
      </c>
    </row>
    <row r="243" spans="1:12" ht="49.5" hidden="1">
      <c r="A243" s="4" t="str">
        <v>Reguler Periode ke-101 XII.A.3</v>
      </c>
      <c r="B243" s="4" t="str">
        <v>Reguler Periode ke-101</v>
      </c>
      <c r="C243" s="4" t="str">
        <v>XII.A.3</v>
      </c>
      <c r="D243" s="101" t="str">
        <v>https://drive.google.com/open?id=1ABRpeRqMDXErNoGQEaO1t9HHevH-K2aqmWK4TwlrTNg&amp;usp=drive_copy</v>
      </c>
      <c r="E243" s="101" t="str">
        <v>https://drive.google.com/open?id=1ABRpeRqMDXErNoGQEaO1t9HHevH-K2aqmWK4TwlrTNg</v>
      </c>
      <c r="F243" s="103" t="str">
        <f ca="1">IFERROR(__xludf.DUMMYFUNCTION("IMPORTRANGE(H243,""IDENTITAS UNIT!D9"")"),"https://goo.gl/maps/NkYMiVuFXHVvJvD29")</f>
        <v>https://goo.gl/maps/NkYMiVuFXHVvJvD29</v>
      </c>
      <c r="G243" s="4" t="s">
        <v>12878</v>
      </c>
      <c r="H243" s="101" t="str">
        <v>https://docs.google.com/spreadsheets/d/1ABRpeRqMDXErNoGQEaO1t9HHevH-K2aqmWK4TwlrTNg</v>
      </c>
      <c r="I243" s="101" t="str">
        <v>https://docs.google.com/open?id=1ABRpeRqMDXErNoGQEaO1t9HHevH-K2aqmWK4TwlrTNg</v>
      </c>
      <c r="J243" s="4" t="str">
        <v>Bergan, Wijirejo, Pandak</v>
      </c>
      <c r="L243" s="99" t="str">
        <f ca="1">IFERROR(__xludf.DUMMYFUNCTION("IMPORTRANGE(H243,""IDENTITAS UNIT!D35"")"),"Arie Hidayattullah")</f>
        <v>Arie Hidayattullah</v>
      </c>
    </row>
    <row r="244" spans="1:12" ht="49.5" hidden="1">
      <c r="A244" s="4" t="str">
        <v>Reguler Periode ke-101 XII.B.1</v>
      </c>
      <c r="B244" s="4" t="str">
        <v>Reguler Periode ke-101</v>
      </c>
      <c r="C244" s="4" t="str">
        <v>XII.B.1</v>
      </c>
      <c r="D244" s="101" t="str">
        <v>https://drive.google.com/open?id=1_OC1x9LoKGkG1q2azWKy02arliNVRdFHPLG1bfvCfow&amp;usp=drive_copy</v>
      </c>
      <c r="E244" s="101" t="str">
        <v>https://drive.google.com/open?id=1_OC1x9LoKGkG1q2azWKy02arliNVRdFHPLG1bfvCfow</v>
      </c>
      <c r="F244" s="103" t="str">
        <f ca="1">IFERROR(__xludf.DUMMYFUNCTION("IMPORTRANGE(H244,""IDENTITAS UNIT!D9"")"),"https://goo.gl/maps/b7PTLWYXX59vZknk9")</f>
        <v>https://goo.gl/maps/b7PTLWYXX59vZknk9</v>
      </c>
      <c r="H244" s="101" t="str">
        <v>https://docs.google.com/spreadsheets/d/1_OC1x9LoKGkG1q2azWKy02arliNVRdFHPLG1bfvCfow</v>
      </c>
      <c r="I244" s="101" t="str">
        <v>https://docs.google.com/open?id=1_OC1x9LoKGkG1q2azWKy02arliNVRdFHPLG1bfvCfow</v>
      </c>
      <c r="J244" s="4" t="str">
        <v>Kauman, Wijirejo, Pandak</v>
      </c>
      <c r="L244" s="99" t="str">
        <f ca="1">IFERROR(__xludf.DUMMYFUNCTION("IMPORTRANGE(H244,""IDENTITAS UNIT!D35"")"),"Miqdad Abdul Majid")</f>
        <v>Miqdad Abdul Majid</v>
      </c>
    </row>
    <row r="245" spans="1:12" ht="49.5" hidden="1">
      <c r="A245" s="4" t="str">
        <v>Reguler Periode ke-101 XII.B.2</v>
      </c>
      <c r="B245" s="4" t="str">
        <v>Reguler Periode ke-101</v>
      </c>
      <c r="C245" s="4" t="str">
        <v>XII.B.2</v>
      </c>
      <c r="D245" s="101" t="str">
        <v>https://drive.google.com/open?id=1aPbxKEwoWAW89NUoyt5Dcy_08-96FShFe6vtAsXZh2o&amp;usp=drive_copy</v>
      </c>
      <c r="E245" s="101" t="str">
        <v>https://drive.google.com/open?id=1aPbxKEwoWAW89NUoyt5Dcy_08-96FShFe6vtAsXZh2o</v>
      </c>
      <c r="F245" s="103" t="str">
        <f ca="1">IFERROR(__xludf.DUMMYFUNCTION("IMPORTRANGE(H245,""IDENTITAS UNIT!D9"")"),"https://maps.app.goo.gl/yizftcddvcnB1Af38")</f>
        <v>https://maps.app.goo.gl/yizftcddvcnB1Af38</v>
      </c>
      <c r="H245" s="101" t="str">
        <v>https://docs.google.com/spreadsheets/d/1aPbxKEwoWAW89NUoyt5Dcy_08-96FShFe6vtAsXZh2o</v>
      </c>
      <c r="I245" s="101" t="str">
        <v>https://docs.google.com/open?id=1aPbxKEwoWAW89NUoyt5Dcy_08-96FShFe6vtAsXZh2o</v>
      </c>
      <c r="J245" s="4" t="str">
        <v>Gedongsari, Wijirejo, Pandak</v>
      </c>
      <c r="L245" s="99" t="str">
        <f ca="1">IFERROR(__xludf.DUMMYFUNCTION("IMPORTRANGE(H245,""IDENTITAS UNIT!D35"")"),"Ameirza Yudrianto")</f>
        <v>Ameirza Yudrianto</v>
      </c>
    </row>
    <row r="246" spans="1:12" ht="49.5" hidden="1">
      <c r="A246" s="4" t="str">
        <v>Reguler Periode ke-101 XII.B.3</v>
      </c>
      <c r="B246" s="4" t="str">
        <v>Reguler Periode ke-101</v>
      </c>
      <c r="C246" s="4" t="str">
        <v>XII.B.3</v>
      </c>
      <c r="D246" s="101" t="str">
        <v>https://drive.google.com/open?id=1c3br8TdeXFL5utojEt0poDYlrdaQ7v0TiQ9p2dXiWuA&amp;usp=drive_copy</v>
      </c>
      <c r="E246" s="101" t="str">
        <v>https://drive.google.com/open?id=1c3br8TdeXFL5utojEt0poDYlrdaQ7v0TiQ9p2dXiWuA</v>
      </c>
      <c r="F246" s="103" t="str">
        <f ca="1">IFERROR(__xludf.DUMMYFUNCTION("IMPORTRANGE(H246,""IDENTITAS UNIT!D9"")"),"https://maps.app.goo.gl/6aksGRwtHTVK2MpX8")</f>
        <v>https://maps.app.goo.gl/6aksGRwtHTVK2MpX8</v>
      </c>
      <c r="G246" s="4" t="s">
        <v>12879</v>
      </c>
      <c r="H246" s="101" t="str">
        <v>https://docs.google.com/spreadsheets/d/1c3br8TdeXFL5utojEt0poDYlrdaQ7v0TiQ9p2dXiWuA</v>
      </c>
      <c r="I246" s="101" t="str">
        <v>https://docs.google.com/open?id=1c3br8TdeXFL5utojEt0poDYlrdaQ7v0TiQ9p2dXiWuA</v>
      </c>
      <c r="J246" s="4" t="str">
        <v>Kwalangan, Wijirejo, Pandak</v>
      </c>
      <c r="L246" s="99" t="str">
        <f ca="1">IFERROR(__xludf.DUMMYFUNCTION("IMPORTRANGE(H246,""IDENTITAS UNIT!D35"")"),"Dandi Frimonda Febiangga")</f>
        <v>Dandi Frimonda Febiangga</v>
      </c>
    </row>
    <row r="247" spans="1:12" ht="49.5" hidden="1">
      <c r="A247" s="4" t="str">
        <v>Reguler Periode ke-101 XII.C.1</v>
      </c>
      <c r="B247" s="4" t="str">
        <v>Reguler Periode ke-101</v>
      </c>
      <c r="C247" s="4" t="str">
        <v>XII.C.1</v>
      </c>
      <c r="D247" s="101" t="str">
        <v>https://drive.google.com/open?id=1cbeGkjsmhBnqkSbnaED3lH6sqZYfy4rst8pE_bRbCAM&amp;usp=drive_copy</v>
      </c>
      <c r="E247" s="101" t="str">
        <v>https://drive.google.com/open?id=1cbeGkjsmhBnqkSbnaED3lH6sqZYfy4rst8pE_bRbCAM</v>
      </c>
      <c r="F247" s="103" t="str">
        <f ca="1">IFERROR(__xludf.DUMMYFUNCTION("IMPORTRANGE(H247,""IDENTITAS UNIT!D9"")"),"https://goo.gl/maps/WZCPfx5JQTmC84Ev6")</f>
        <v>https://goo.gl/maps/WZCPfx5JQTmC84Ev6</v>
      </c>
      <c r="G247" s="4" t="s">
        <v>12880</v>
      </c>
      <c r="H247" s="101" t="str">
        <v>https://docs.google.com/spreadsheets/d/1cbeGkjsmhBnqkSbnaED3lH6sqZYfy4rst8pE_bRbCAM</v>
      </c>
      <c r="I247" s="101" t="str">
        <v>https://docs.google.com/open?id=1cbeGkjsmhBnqkSbnaED3lH6sqZYfy4rst8pE_bRbCAM</v>
      </c>
      <c r="J247" s="4" t="str">
        <v>Pandak, Wijirejo, Pandak</v>
      </c>
      <c r="L247" s="99" t="str">
        <f ca="1">IFERROR(__xludf.DUMMYFUNCTION("IMPORTRANGE(H247,""IDENTITAS UNIT!D35"")"),"Muflich Jaka Wahana Abdul Qoyim")</f>
        <v>Muflich Jaka Wahana Abdul Qoyim</v>
      </c>
    </row>
    <row r="248" spans="1:12" ht="49.5" hidden="1">
      <c r="A248" s="4" t="str">
        <v>Reguler Periode ke-101 XII.C.2</v>
      </c>
      <c r="B248" s="4" t="str">
        <v>Reguler Periode ke-101</v>
      </c>
      <c r="C248" s="4" t="str">
        <v>XII.C.2</v>
      </c>
      <c r="D248" s="101" t="str">
        <v>https://drive.google.com/open?id=1cc0nC60HvZT-rjDdC-T_qjGOMNj7qr7Rawn8ISFSPuc&amp;usp=drive_copy</v>
      </c>
      <c r="E248" s="101" t="str">
        <v>https://drive.google.com/open?id=1cc0nC60HvZT-rjDdC-T_qjGOMNj7qr7Rawn8ISFSPuc</v>
      </c>
      <c r="F248" s="103" t="str">
        <f ca="1">IFERROR(__xludf.DUMMYFUNCTION("IMPORTRANGE(H248,""IDENTITAS UNIT!D9"")"),"https://goo.gl/maps/t7HSGvffYYBA1mbs6")</f>
        <v>https://goo.gl/maps/t7HSGvffYYBA1mbs6</v>
      </c>
      <c r="G248" s="4" t="s">
        <v>12881</v>
      </c>
      <c r="H248" s="101" t="str">
        <v>https://docs.google.com/spreadsheets/d/1cc0nC60HvZT-rjDdC-T_qjGOMNj7qr7Rawn8ISFSPuc</v>
      </c>
      <c r="I248" s="101" t="str">
        <v>https://docs.google.com/open?id=1cc0nC60HvZT-rjDdC-T_qjGOMNj7qr7Rawn8ISFSPuc</v>
      </c>
      <c r="J248" s="4" t="str">
        <v>Gesikan III, Wijirejo, Pandak</v>
      </c>
      <c r="L248" s="99" t="str">
        <f ca="1">IFERROR(__xludf.DUMMYFUNCTION("IMPORTRANGE(H248,""IDENTITAS UNIT!D35"")"),"Lisdianto Dwi Kesumahadi")</f>
        <v>Lisdianto Dwi Kesumahadi</v>
      </c>
    </row>
    <row r="249" spans="1:12" ht="49.5" hidden="1">
      <c r="A249" s="4" t="str">
        <v>Reguler Periode ke-101 XII.C.3</v>
      </c>
      <c r="B249" s="4" t="str">
        <v>Reguler Periode ke-101</v>
      </c>
      <c r="C249" s="4" t="str">
        <v>XII.C.3</v>
      </c>
      <c r="D249" s="101" t="str">
        <v>https://drive.google.com/open?id=1eQfRi8k0tisrHhZXh7t6BKiuIbxVlL4ZebSu_6o7okk&amp;usp=drive_copy</v>
      </c>
      <c r="E249" s="101" t="str">
        <v>https://drive.google.com/open?id=1eQfRi8k0tisrHhZXh7t6BKiuIbxVlL4ZebSu_6o7okk</v>
      </c>
      <c r="F249" s="103" t="str">
        <f ca="1">IFERROR(__xludf.DUMMYFUNCTION("IMPORTRANGE(H249,""IDENTITAS UNIT!D9"")"),"https://maps.app.goo.gl/moapzPkKyj3Vgu9m7")</f>
        <v>https://maps.app.goo.gl/moapzPkKyj3Vgu9m7</v>
      </c>
      <c r="H249" s="101" t="str">
        <v>https://docs.google.com/spreadsheets/d/1eQfRi8k0tisrHhZXh7t6BKiuIbxVlL4ZebSu_6o7okk</v>
      </c>
      <c r="I249" s="101" t="str">
        <v>https://docs.google.com/open?id=1eQfRi8k0tisrHhZXh7t6BKiuIbxVlL4ZebSu_6o7okk</v>
      </c>
      <c r="J249" s="4" t="str">
        <v>Gesikan IV, Wijirejo, Pandak</v>
      </c>
      <c r="L249" s="99" t="str">
        <f ca="1">IFERROR(__xludf.DUMMYFUNCTION("IMPORTRANGE(H249,""IDENTITAS UNIT!D35"")"),"Ahmad Zaki Madani")</f>
        <v>Ahmad Zaki Madani</v>
      </c>
    </row>
    <row r="250" spans="1:12" ht="49.5" hidden="1">
      <c r="A250" s="4" t="str">
        <v>Reguler Periode ke-101 XII.D.1</v>
      </c>
      <c r="B250" s="4" t="str">
        <v>Reguler Periode ke-101</v>
      </c>
      <c r="C250" s="4" t="str">
        <v>XII.D.1</v>
      </c>
      <c r="D250" s="101" t="str">
        <v>https://drive.google.com/open?id=1fBKYLNch64XfKPNXo0qRVwGAGElTRl-N1CHAUKreBvs&amp;usp=drive_copy</v>
      </c>
      <c r="E250" s="101" t="str">
        <v>https://drive.google.com/open?id=1fBKYLNch64XfKPNXo0qRVwGAGElTRl-N1CHAUKreBvs</v>
      </c>
      <c r="F250" s="103" t="str">
        <f ca="1">IFERROR(__xludf.DUMMYFUNCTION("IMPORTRANGE(H250,""IDENTITAS UNIT!D9"")"),"https://maps.app.goo.gl/gbieE6N63PSGLf4y9")</f>
        <v>https://maps.app.goo.gl/gbieE6N63PSGLf4y9</v>
      </c>
      <c r="G250" s="4" t="s">
        <v>12882</v>
      </c>
      <c r="H250" s="101" t="str">
        <v>https://docs.google.com/spreadsheets/d/1fBKYLNch64XfKPNXo0qRVwGAGElTRl-N1CHAUKreBvs</v>
      </c>
      <c r="I250" s="101" t="str">
        <v>https://docs.google.com/open?id=1fBKYLNch64XfKPNXo0qRVwGAGElTRl-N1CHAUKreBvs</v>
      </c>
      <c r="J250" s="4" t="str">
        <v>Bajang, Wijirejo, Pandak</v>
      </c>
      <c r="L250" s="99" t="str">
        <f ca="1">IFERROR(__xludf.DUMMYFUNCTION("IMPORTRANGE(H250,""IDENTITAS UNIT!D35"")"),"Setiyo Pranowo")</f>
        <v>Setiyo Pranowo</v>
      </c>
    </row>
    <row r="251" spans="1:12" ht="49.5" hidden="1">
      <c r="A251" s="4" t="str">
        <v>Reguler Periode ke-101 XII.D.2</v>
      </c>
      <c r="B251" s="4" t="str">
        <v>Reguler Periode ke-101</v>
      </c>
      <c r="C251" s="4" t="str">
        <v>XII.D.2</v>
      </c>
      <c r="D251" s="101" t="str">
        <v>https://drive.google.com/open?id=1guCrqxjyAvw3Wse-sH49A4MJcrkldK5kLxFfybSBydA&amp;usp=drive_copy</v>
      </c>
      <c r="E251" s="101" t="str">
        <v>https://drive.google.com/open?id=1guCrqxjyAvw3Wse-sH49A4MJcrkldK5kLxFfybSBydA</v>
      </c>
      <c r="F251" s="103" t="str">
        <f ca="1">IFERROR(__xludf.DUMMYFUNCTION("IMPORTRANGE(H251,""IDENTITAS UNIT!D9"")"),"https://goo.gl/maps/Pz4nxxwM9zafkyHXA")</f>
        <v>https://goo.gl/maps/Pz4nxxwM9zafkyHXA</v>
      </c>
      <c r="G251" s="4" t="s">
        <v>12883</v>
      </c>
      <c r="H251" s="101" t="str">
        <v>https://docs.google.com/spreadsheets/d/1guCrqxjyAvw3Wse-sH49A4MJcrkldK5kLxFfybSBydA</v>
      </c>
      <c r="I251" s="101" t="str">
        <v>https://docs.google.com/open?id=1guCrqxjyAvw3Wse-sH49A4MJcrkldK5kLxFfybSBydA</v>
      </c>
      <c r="J251" s="4" t="str">
        <v>Daleman, Gilangharjo, Pandak</v>
      </c>
      <c r="L251" s="99" t="str">
        <f ca="1">IFERROR(__xludf.DUMMYFUNCTION("IMPORTRANGE(H251,""IDENTITAS UNIT!D35"")"),"Hafizh Nauval Eka Rahmatullah")</f>
        <v>Hafizh Nauval Eka Rahmatullah</v>
      </c>
    </row>
    <row r="252" spans="1:12" ht="49.5" hidden="1">
      <c r="A252" s="4" t="str">
        <v>Reguler Periode ke-101 XII.D.3</v>
      </c>
      <c r="B252" s="4" t="str">
        <v>Reguler Periode ke-101</v>
      </c>
      <c r="C252" s="4" t="str">
        <v>XII.D.3</v>
      </c>
      <c r="D252" s="101" t="str">
        <v>https://drive.google.com/open?id=1hudjfA1PESgxzvm0EBhX9fasftTYv54YJd2Ei6dRapM&amp;usp=drive_copy</v>
      </c>
      <c r="E252" s="101" t="str">
        <v>https://drive.google.com/open?id=1hudjfA1PESgxzvm0EBhX9fasftTYv54YJd2Ei6dRapM</v>
      </c>
      <c r="F252" s="103" t="str">
        <f ca="1">IFERROR(__xludf.DUMMYFUNCTION("IMPORTRANGE(H252,""IDENTITAS UNIT!D9"")"),"https://maps.app.goo.gl/4jHPayWfhxd8XErS7?g_st=iw")</f>
        <v>https://maps.app.goo.gl/4jHPayWfhxd8XErS7?g_st=iw</v>
      </c>
      <c r="G252" s="4" t="s">
        <v>12884</v>
      </c>
      <c r="H252" s="101" t="str">
        <v>https://docs.google.com/spreadsheets/d/1hudjfA1PESgxzvm0EBhX9fasftTYv54YJd2Ei6dRapM</v>
      </c>
      <c r="I252" s="101" t="str">
        <v>https://docs.google.com/open?id=1hudjfA1PESgxzvm0EBhX9fasftTYv54YJd2Ei6dRapM</v>
      </c>
      <c r="J252" s="4" t="str">
        <v>Kadekrowo, Gilangharjo, Pandak</v>
      </c>
      <c r="L252" s="99" t="str">
        <f ca="1">IFERROR(__xludf.DUMMYFUNCTION("IMPORTRANGE(H252,""IDENTITAS UNIT!D35"")"),"Veri Safri")</f>
        <v>Veri Safri</v>
      </c>
    </row>
    <row r="253" spans="1:12" ht="49.5" hidden="1">
      <c r="A253" s="4" t="str">
        <v>Reguler Periode ke-101 XIII.A.1</v>
      </c>
      <c r="B253" s="4" t="str">
        <v>Reguler Periode ke-101</v>
      </c>
      <c r="C253" s="4" t="str">
        <v>XIII.A.1</v>
      </c>
      <c r="D253" s="101" t="str">
        <v>https://drive.google.com/open?id=1pHCmn5lXac1tgzmYkb6CtPNGruYb1PxdtkZucIpUu3A&amp;usp=drive_copy</v>
      </c>
      <c r="E253" s="101" t="str">
        <v>https://drive.google.com/open?id=1pHCmn5lXac1tgzmYkb6CtPNGruYb1PxdtkZucIpUu3A</v>
      </c>
      <c r="F253" s="103" t="str">
        <f ca="1">IFERROR(__xludf.DUMMYFUNCTION("IMPORTRANGE(H253,""IDENTITAS UNIT!D9"")"),"https://maps.app.goo.gl/PnKKHyjJKPSWaEWR6")</f>
        <v>https://maps.app.goo.gl/PnKKHyjJKPSWaEWR6</v>
      </c>
      <c r="G253" s="4" t="s">
        <v>12885</v>
      </c>
      <c r="H253" s="101" t="str">
        <v>https://docs.google.com/spreadsheets/d/1pHCmn5lXac1tgzmYkb6CtPNGruYb1PxdtkZucIpUu3A</v>
      </c>
      <c r="I253" s="101" t="str">
        <v>https://docs.google.com/open?id=1pHCmn5lXac1tgzmYkb6CtPNGruYb1PxdtkZucIpUu3A</v>
      </c>
      <c r="J253" s="4" t="str">
        <v>Jodog, Gilangharjo, Pandak</v>
      </c>
      <c r="L253" s="99" t="str">
        <f ca="1">IFERROR(__xludf.DUMMYFUNCTION("IMPORTRANGE(H253,""IDENTITAS UNIT!D35"")"),"Hasnia")</f>
        <v>Hasnia</v>
      </c>
    </row>
    <row r="254" spans="1:12" ht="66" hidden="1">
      <c r="A254" s="4" t="str">
        <v>Reguler Periode ke-101 XIII.A.2</v>
      </c>
      <c r="B254" s="4" t="str">
        <v>Reguler Periode ke-101</v>
      </c>
      <c r="C254" s="4" t="str">
        <v>XIII.A.2</v>
      </c>
      <c r="D254" s="101" t="str">
        <v>https://drive.google.com/open?id=1q_JiLk6_bA0dxtygieXCkIl4UPThvRWiS18iZb3nD7Y&amp;usp=drive_copy</v>
      </c>
      <c r="E254" s="101" t="str">
        <v>https://drive.google.com/open?id=1q_JiLk6_bA0dxtygieXCkIl4UPThvRWiS18iZb3nD7Y</v>
      </c>
      <c r="F254" s="103" t="str">
        <f ca="1">IFERROR(__xludf.DUMMYFUNCTION("IMPORTRANGE(H254,""IDENTITAS UNIT!D9"")"),"https://goo.gl/maps/HqybR9nH9Yky2NA28  (-7.910658, 110.309331)")</f>
        <v>https://goo.gl/maps/HqybR9nH9Yky2NA28  (-7.910658, 110.309331)</v>
      </c>
      <c r="G254" s="4" t="s">
        <v>12886</v>
      </c>
      <c r="H254" s="101" t="str">
        <v>https://docs.google.com/spreadsheets/d/1q_JiLk6_bA0dxtygieXCkIl4UPThvRWiS18iZb3nD7Y</v>
      </c>
      <c r="I254" s="101" t="str">
        <v>https://docs.google.com/open?id=1q_JiLk6_bA0dxtygieXCkIl4UPThvRWiS18iZb3nD7Y</v>
      </c>
      <c r="J254" s="4" t="str">
        <v>Karangasem, Gilangharjo, Pandak</v>
      </c>
      <c r="L254" s="99" t="str">
        <f ca="1">IFERROR(__xludf.DUMMYFUNCTION("IMPORTRANGE(H254,""IDENTITAS UNIT!D35"")"),"Faishal Ackmal Survanta")</f>
        <v>Faishal Ackmal Survanta</v>
      </c>
    </row>
    <row r="255" spans="1:12" ht="49.5" hidden="1">
      <c r="A255" s="4" t="str">
        <v>Reguler Periode ke-101 XIII.A.3</v>
      </c>
      <c r="B255" s="4" t="str">
        <v>Reguler Periode ke-101</v>
      </c>
      <c r="C255" s="4" t="str">
        <v>XIII.A.3</v>
      </c>
      <c r="D255" s="101" t="str">
        <v>https://drive.google.com/open?id=1ncnwZuMQy05fjCX98NBp_RkrmXPGyLpIea6g6mbazAg&amp;usp=drive_copy</v>
      </c>
      <c r="E255" s="101" t="str">
        <v>https://drive.google.com/open?id=1ncnwZuMQy05fjCX98NBp_RkrmXPGyLpIea6g6mbazAg</v>
      </c>
      <c r="F255" s="103" t="str">
        <f ca="1">IFERROR(__xludf.DUMMYFUNCTION("IMPORTRANGE(H255,""IDENTITAS UNIT!D9"")"),"https://goo.gl/maps/ifkUoBKFNUqFKCPR8")</f>
        <v>https://goo.gl/maps/ifkUoBKFNUqFKCPR8</v>
      </c>
      <c r="G255" s="4" t="s">
        <v>12887</v>
      </c>
      <c r="H255" s="101" t="str">
        <v>https://docs.google.com/spreadsheets/d/1ncnwZuMQy05fjCX98NBp_RkrmXPGyLpIea6g6mbazAg</v>
      </c>
      <c r="I255" s="101" t="str">
        <v>https://docs.google.com/open?id=1ncnwZuMQy05fjCX98NBp_RkrmXPGyLpIea6g6mbazAg</v>
      </c>
      <c r="J255" s="4" t="str">
        <v>Kauman, Gilangharjo, Pandak</v>
      </c>
      <c r="L255" s="99" t="str">
        <f ca="1">IFERROR(__xludf.DUMMYFUNCTION("IMPORTRANGE(H255,""IDENTITAS UNIT!D35"")"),"Wildan Pahda Wijaya")</f>
        <v>Wildan Pahda Wijaya</v>
      </c>
    </row>
    <row r="256" spans="1:12" ht="49.5" hidden="1">
      <c r="A256" s="4" t="str">
        <v>Reguler Periode ke-101 XIII.B.1</v>
      </c>
      <c r="B256" s="4" t="str">
        <v>Reguler Periode ke-101</v>
      </c>
      <c r="C256" s="4" t="str">
        <v>XIII.B.1</v>
      </c>
      <c r="D256" s="101" t="str">
        <v>https://drive.google.com/open?id=1r_4E1DJQBY0hYJ68f6K1LUruIPwYfjcgQ_f9QvwFH5c&amp;usp=drive_copy</v>
      </c>
      <c r="E256" s="101" t="str">
        <v>https://drive.google.com/open?id=1r_4E1DJQBY0hYJ68f6K1LUruIPwYfjcgQ_f9QvwFH5c</v>
      </c>
      <c r="F256" s="103" t="str">
        <f ca="1">IFERROR(__xludf.DUMMYFUNCTION("IMPORTRANGE(H256,""IDENTITAS UNIT!D9"")"),"https://maps.app.goo.gl/dMa24WGtkoHH8foE8")</f>
        <v>https://maps.app.goo.gl/dMa24WGtkoHH8foE8</v>
      </c>
      <c r="G256" s="4" t="s">
        <v>12888</v>
      </c>
      <c r="H256" s="101" t="str">
        <v>https://docs.google.com/spreadsheets/d/1r_4E1DJQBY0hYJ68f6K1LUruIPwYfjcgQ_f9QvwFH5c</v>
      </c>
      <c r="I256" s="101" t="str">
        <v>https://docs.google.com/open?id=1r_4E1DJQBY0hYJ68f6K1LUruIPwYfjcgQ_f9QvwFH5c</v>
      </c>
      <c r="J256" s="4" t="str">
        <v>Karanggede, Gilangharjo, Pandak</v>
      </c>
      <c r="L256" s="99" t="str">
        <f ca="1">IFERROR(__xludf.DUMMYFUNCTION("IMPORTRANGE(H256,""IDENTITAS UNIT!D35"")"),"Muhammad Mirza Nurraihan")</f>
        <v>Muhammad Mirza Nurraihan</v>
      </c>
    </row>
    <row r="257" spans="1:12" ht="49.5" hidden="1">
      <c r="A257" s="4" t="str">
        <v>Reguler Periode ke-101 XIII.B.2</v>
      </c>
      <c r="B257" s="4" t="str">
        <v>Reguler Periode ke-101</v>
      </c>
      <c r="C257" s="4" t="str">
        <v>XIII.B.2</v>
      </c>
      <c r="D257" s="101" t="str">
        <v>https://drive.google.com/open?id=1jHoKTzOHUEoVSMIKilhHMKvGU6KARjQzHPlRd-XMikY&amp;usp=drive_copy</v>
      </c>
      <c r="E257" s="101" t="str">
        <v>https://drive.google.com/open?id=1jHoKTzOHUEoVSMIKilhHMKvGU6KARjQzHPlRd-XMikY</v>
      </c>
      <c r="F257" s="103" t="str">
        <f ca="1">IFERROR(__xludf.DUMMYFUNCTION("IMPORTRANGE(H257,""IDENTITAS UNIT!D9"")"),"https://goo.gl/maps/5u9jHAnRkGMgexPRA")</f>
        <v>https://goo.gl/maps/5u9jHAnRkGMgexPRA</v>
      </c>
      <c r="G257" s="4" t="s">
        <v>12889</v>
      </c>
      <c r="H257" s="101" t="str">
        <v>https://docs.google.com/spreadsheets/d/1jHoKTzOHUEoVSMIKilhHMKvGU6KARjQzHPlRd-XMikY</v>
      </c>
      <c r="I257" s="101" t="str">
        <v>https://docs.google.com/open?id=1jHoKTzOHUEoVSMIKilhHMKvGU6KARjQzHPlRd-XMikY</v>
      </c>
      <c r="J257" s="4" t="str">
        <v>Gunting, Gilangharjo, Pandak</v>
      </c>
      <c r="L257" s="99" t="str">
        <f ca="1">IFERROR(__xludf.DUMMYFUNCTION("IMPORTRANGE(H257,""IDENTITAS UNIT!D35"")"),"Muhammad Dhimas Alfa Reza")</f>
        <v>Muhammad Dhimas Alfa Reza</v>
      </c>
    </row>
    <row r="258" spans="1:12" ht="49.5" hidden="1">
      <c r="A258" s="4" t="str">
        <v>Reguler Periode ke-101 XIII.B.3</v>
      </c>
      <c r="B258" s="4" t="str">
        <v>Reguler Periode ke-101</v>
      </c>
      <c r="C258" s="4" t="str">
        <v>XIII.B.3</v>
      </c>
      <c r="D258" s="101" t="str">
        <v>https://drive.google.com/open?id=1jQ-7c5ERC3tXeayZb7oi74uqtsIppLSQRPAb2tzZs38&amp;usp=drive_copy</v>
      </c>
      <c r="E258" s="101" t="str">
        <v>https://drive.google.com/open?id=1jQ-7c5ERC3tXeayZb7oi74uqtsIppLSQRPAb2tzZs38</v>
      </c>
      <c r="F258" s="103" t="str">
        <f ca="1">IFERROR(__xludf.DUMMYFUNCTION("IMPORTRANGE(H258,""IDENTITAS UNIT!D9"")"),"https://maps.app.goo.gl/f6Pc6V1K5rxpyt949")</f>
        <v>https://maps.app.goo.gl/f6Pc6V1K5rxpyt949</v>
      </c>
      <c r="H258" s="101" t="str">
        <v>https://docs.google.com/spreadsheets/d/1jQ-7c5ERC3tXeayZb7oi74uqtsIppLSQRPAb2tzZs38</v>
      </c>
      <c r="I258" s="101" t="str">
        <v>https://docs.google.com/open?id=1jQ-7c5ERC3tXeayZb7oi74uqtsIppLSQRPAb2tzZs38</v>
      </c>
      <c r="J258" s="4" t="str">
        <v>Banjarwaru, Gilangharjo, Pandak</v>
      </c>
      <c r="L258" s="99" t="str">
        <f ca="1">IFERROR(__xludf.DUMMYFUNCTION("IMPORTRANGE(H258,""IDENTITAS UNIT!D35"")"),"Dery Apriatama")</f>
        <v>Dery Apriatama</v>
      </c>
    </row>
    <row r="259" spans="1:12" ht="16.5" hidden="1">
      <c r="A259" s="4" t="str">
        <v>Reguler Periode ke-101 XIII.C.1</v>
      </c>
      <c r="B259" s="4" t="str">
        <v>Reguler Periode ke-101</v>
      </c>
      <c r="C259" s="4" t="str">
        <v>XIII.C.1</v>
      </c>
      <c r="D259" s="101" t="str">
        <v>https://drive.google.com/open?id=1fg_dhVP4MOnnKKDl-3hzPsSmqw1h1XEes-_m6xCC11Y&amp;usp=drive_copy</v>
      </c>
      <c r="E259" s="101" t="str">
        <v>https://drive.google.com/open?id=1fg_dhVP4MOnnKKDl-3hzPsSmqw1h1XEes-_m6xCC11Y</v>
      </c>
      <c r="F259" s="102" t="str">
        <f ca="1">IFERROR(__xludf.DUMMYFUNCTION("IMPORTRANGE(H259,""IDENTITAS UNIT!D9"")"),"")</f>
        <v/>
      </c>
      <c r="H259" s="101" t="str">
        <v>https://docs.google.com/spreadsheets/d/1fg_dhVP4MOnnKKDl-3hzPsSmqw1h1XEes-_m6xCC11Y</v>
      </c>
      <c r="I259" s="101" t="str">
        <v>https://docs.google.com/open?id=1fg_dhVP4MOnnKKDl-3hzPsSmqw1h1XEes-_m6xCC11Y</v>
      </c>
      <c r="J259" s="4" t="str">
        <v>Tegallurung, Gilangharjo, Pandak</v>
      </c>
      <c r="L259" s="99" t="str">
        <f ca="1">IFERROR(__xludf.DUMMYFUNCTION("IMPORTRANGE(H259,""IDENTITAS UNIT!D35"")"),"Muhammad Herdin Paldin")</f>
        <v>Muhammad Herdin Paldin</v>
      </c>
    </row>
    <row r="260" spans="1:12" ht="49.5" hidden="1">
      <c r="A260" s="4" t="str">
        <v>Reguler Periode ke-101 XIII.C.2</v>
      </c>
      <c r="B260" s="4" t="str">
        <v>Reguler Periode ke-101</v>
      </c>
      <c r="C260" s="4" t="str">
        <v>XIII.C.2</v>
      </c>
      <c r="D260" s="101" t="str">
        <v>https://drive.google.com/open?id=1h0da8XbNWNtnvc2iqgmLRYia5n8Ip5prEHOVJEHIFD4&amp;usp=drive_copy</v>
      </c>
      <c r="E260" s="101" t="str">
        <v>https://drive.google.com/open?id=1h0da8XbNWNtnvc2iqgmLRYia5n8Ip5prEHOVJEHIFD4</v>
      </c>
      <c r="F260" s="103" t="str">
        <f ca="1">IFERROR(__xludf.DUMMYFUNCTION("IMPORTRANGE(H260,""IDENTITAS UNIT!D9"")"),"https://goo.gl/maps/MK11rLWhGqaYZJPG8")</f>
        <v>https://goo.gl/maps/MK11rLWhGqaYZJPG8</v>
      </c>
      <c r="G260" s="4" t="s">
        <v>12890</v>
      </c>
      <c r="H260" s="101" t="str">
        <v>https://docs.google.com/spreadsheets/d/1h0da8XbNWNtnvc2iqgmLRYia5n8Ip5prEHOVJEHIFD4</v>
      </c>
      <c r="I260" s="101" t="str">
        <v>https://docs.google.com/open?id=1h0da8XbNWNtnvc2iqgmLRYia5n8Ip5prEHOVJEHIFD4</v>
      </c>
      <c r="J260" s="4" t="str">
        <v>Banyuurip, Caturharjo, Pandak</v>
      </c>
      <c r="L260" s="99" t="str">
        <f ca="1">IFERROR(__xludf.DUMMYFUNCTION("IMPORTRANGE(H260,""IDENTITAS UNIT!D35"")"),"Muhammad Hafizh Nasrullah")</f>
        <v>Muhammad Hafizh Nasrullah</v>
      </c>
    </row>
    <row r="261" spans="1:12" ht="49.5" hidden="1">
      <c r="A261" s="4" t="str">
        <v>Reguler Periode ke-101 XIII.C.3</v>
      </c>
      <c r="B261" s="4" t="str">
        <v>Reguler Periode ke-101</v>
      </c>
      <c r="C261" s="4" t="str">
        <v>XIII.C.3</v>
      </c>
      <c r="D261" s="101" t="str">
        <v>https://drive.google.com/open?id=1k7dXBbFOVUnaY8cGkVNhZNLVJWVhuSnWIgfPvMcNjrY&amp;usp=drive_copy</v>
      </c>
      <c r="E261" s="101" t="str">
        <v>https://drive.google.com/open?id=1k7dXBbFOVUnaY8cGkVNhZNLVJWVhuSnWIgfPvMcNjrY</v>
      </c>
      <c r="F261" s="103" t="str">
        <f ca="1">IFERROR(__xludf.DUMMYFUNCTION("IMPORTRANGE(H261,""IDENTITAS UNIT!D9"")"),"https://maps.app.goo.gl/yMAmfp5Q7ELS4hcB6.")</f>
        <v>https://maps.app.goo.gl/yMAmfp5Q7ELS4hcB6.</v>
      </c>
      <c r="H261" s="101" t="str">
        <v>https://docs.google.com/spreadsheets/d/1k7dXBbFOVUnaY8cGkVNhZNLVJWVhuSnWIgfPvMcNjrY</v>
      </c>
      <c r="I261" s="101" t="str">
        <v>https://docs.google.com/open?id=1k7dXBbFOVUnaY8cGkVNhZNLVJWVhuSnWIgfPvMcNjrY</v>
      </c>
      <c r="J261" s="4" t="str">
        <v>Gluntung lor, Caturharjo, Pandak</v>
      </c>
      <c r="L261" s="99" t="str">
        <f ca="1">IFERROR(__xludf.DUMMYFUNCTION("IMPORTRANGE(H261,""IDENTITAS UNIT!D35"")"),"Muhammad Arya Wirawan")</f>
        <v>Muhammad Arya Wirawan</v>
      </c>
    </row>
    <row r="262" spans="1:12" ht="49.5" hidden="1">
      <c r="A262" s="4" t="str">
        <v>Reguler Periode ke-101 XIII.D.1</v>
      </c>
      <c r="B262" s="4" t="str">
        <v>Reguler Periode ke-101</v>
      </c>
      <c r="C262" s="4" t="str">
        <v>XIII.D.1</v>
      </c>
      <c r="D262" s="101" t="str">
        <v>https://drive.google.com/open?id=1mAI-2AuoIc-cvrKTWlOtSH-Vn_l2p76CjdS5TDlayT8&amp;usp=drive_copy</v>
      </c>
      <c r="E262" s="101" t="str">
        <v>https://drive.google.com/open?id=1mAI-2AuoIc-cvrKTWlOtSH-Vn_l2p76CjdS5TDlayT8</v>
      </c>
      <c r="F262" s="103" t="str">
        <f ca="1">IFERROR(__xludf.DUMMYFUNCTION("IMPORTRANGE(H262,""IDENTITAS UNIT!D9"")"),"https://maps.app.goo.gl/CawaigjDpYuZAi1o6")</f>
        <v>https://maps.app.goo.gl/CawaigjDpYuZAi1o6</v>
      </c>
      <c r="G262" s="4" t="s">
        <v>12891</v>
      </c>
      <c r="H262" s="101" t="str">
        <v>https://docs.google.com/spreadsheets/d/1mAI-2AuoIc-cvrKTWlOtSH-Vn_l2p76CjdS5TDlayT8</v>
      </c>
      <c r="I262" s="101" t="str">
        <v>https://docs.google.com/open?id=1mAI-2AuoIc-cvrKTWlOtSH-Vn_l2p76CjdS5TDlayT8</v>
      </c>
      <c r="J262" s="4" t="str">
        <v>Gluntung Kidul, Caturharjo, Pandak</v>
      </c>
      <c r="L262" s="99" t="str">
        <f ca="1">IFERROR(__xludf.DUMMYFUNCTION("IMPORTRANGE(H262,""IDENTITAS UNIT!D35"")"),"Bayu Cahya Eka Putra")</f>
        <v>Bayu Cahya Eka Putra</v>
      </c>
    </row>
    <row r="263" spans="1:12" ht="49.5" hidden="1">
      <c r="A263" s="4" t="str">
        <v>Reguler Periode ke-101 XIII.D.2</v>
      </c>
      <c r="B263" s="4" t="str">
        <v>Reguler Periode ke-101</v>
      </c>
      <c r="C263" s="4" t="str">
        <v>XIII.D.2</v>
      </c>
      <c r="D263" s="101" t="str">
        <v>https://drive.google.com/open?id=1n9Aa6HxVngvQq50B4UTfv8sE_B-XeDhjObcHuM4I11E&amp;usp=drive_copy</v>
      </c>
      <c r="E263" s="101" t="str">
        <v>https://drive.google.com/open?id=1n9Aa6HxVngvQq50B4UTfv8sE_B-XeDhjObcHuM4I11E</v>
      </c>
      <c r="F263" s="103" t="str">
        <f ca="1">IFERROR(__xludf.DUMMYFUNCTION("IMPORTRANGE(H263,""IDENTITAS UNIT!D9"")"),"https://maps.app.goo.gl/to7io2Gnh4HYP1uEA")</f>
        <v>https://maps.app.goo.gl/to7io2Gnh4HYP1uEA</v>
      </c>
      <c r="G263" s="4" t="s">
        <v>12892</v>
      </c>
      <c r="H263" s="101" t="str">
        <v>https://docs.google.com/spreadsheets/d/1n9Aa6HxVngvQq50B4UTfv8sE_B-XeDhjObcHuM4I11E</v>
      </c>
      <c r="I263" s="101" t="str">
        <v>https://docs.google.com/open?id=1n9Aa6HxVngvQq50B4UTfv8sE_B-XeDhjObcHuM4I11E</v>
      </c>
      <c r="J263" s="4" t="str">
        <v>Gumulan, Caturharjo, Pandak</v>
      </c>
      <c r="L263" s="99" t="str">
        <f ca="1">IFERROR(__xludf.DUMMYFUNCTION("IMPORTRANGE(H263,""IDENTITAS UNIT!D35"")"),"")</f>
        <v/>
      </c>
    </row>
    <row r="264" spans="1:12" ht="49.5" hidden="1">
      <c r="A264" s="4" t="str">
        <v>Reguler Periode ke-101 XIII.D.3</v>
      </c>
      <c r="B264" s="4" t="str">
        <v>Reguler Periode ke-101</v>
      </c>
      <c r="C264" s="4" t="str">
        <v>XIII.D.3</v>
      </c>
      <c r="D264" s="101" t="str">
        <v>https://drive.google.com/open?id=1qpR5ONZQUsFyFulI_zYUaE953odJqd5EM5x3xK9XLW0&amp;usp=drive_copy</v>
      </c>
      <c r="E264" s="101" t="str">
        <v>https://drive.google.com/open?id=1qpR5ONZQUsFyFulI_zYUaE953odJqd5EM5x3xK9XLW0</v>
      </c>
      <c r="F264" s="103" t="str">
        <f ca="1">IFERROR(__xludf.DUMMYFUNCTION("IMPORTRANGE(H264,""IDENTITAS UNIT!D9"")"),"https://goo.gl/maps/edQQRJzU5Q2pGyva7")</f>
        <v>https://goo.gl/maps/edQQRJzU5Q2pGyva7</v>
      </c>
      <c r="G264" s="4" t="s">
        <v>12893</v>
      </c>
      <c r="H264" s="101" t="str">
        <v>https://docs.google.com/spreadsheets/d/1qpR5ONZQUsFyFulI_zYUaE953odJqd5EM5x3xK9XLW0</v>
      </c>
      <c r="I264" s="101" t="str">
        <v>https://docs.google.com/open?id=1qpR5ONZQUsFyFulI_zYUaE953odJqd5EM5x3xK9XLW0</v>
      </c>
      <c r="J264" s="4" t="str">
        <v>Tegal Sempu, Caturharjo, Pandak</v>
      </c>
      <c r="L264" s="99" t="str">
        <f ca="1">IFERROR(__xludf.DUMMYFUNCTION("IMPORTRANGE(H264,""IDENTITAS UNIT!D35"")"),"")</f>
        <v/>
      </c>
    </row>
    <row r="265" spans="1:12" ht="49.5" hidden="1">
      <c r="A265" s="4" t="str">
        <v>Reguler Periode ke-101 XIV.A.1</v>
      </c>
      <c r="B265" s="4" t="str">
        <v>Reguler Periode ke-101</v>
      </c>
      <c r="C265" s="4" t="str">
        <v>XIV.A.1</v>
      </c>
      <c r="D265" s="101" t="str">
        <v>https://drive.google.com/open?id=1ka_ZCFmubGzHtBlmWPGgs7e1W9kN7l7EMDttPPG5ELc&amp;usp=drive_copy</v>
      </c>
      <c r="E265" s="101" t="str">
        <v>https://drive.google.com/open?id=1ka_ZCFmubGzHtBlmWPGgs7e1W9kN7l7EMDttPPG5ELc</v>
      </c>
      <c r="F265" s="103" t="str">
        <f ca="1">IFERROR(__xludf.DUMMYFUNCTION("IMPORTRANGE(H265,""IDENTITAS UNIT!D9"")"),"https://goo.gl/maps/W9Wos4MUcEjwxr589")</f>
        <v>https://goo.gl/maps/W9Wos4MUcEjwxr589</v>
      </c>
      <c r="G265" s="4" t="s">
        <v>12894</v>
      </c>
      <c r="H265" s="101" t="str">
        <v>https://docs.google.com/spreadsheets/d/1ka_ZCFmubGzHtBlmWPGgs7e1W9kN7l7EMDttPPG5ELc</v>
      </c>
      <c r="I265" s="101" t="str">
        <v>https://docs.google.com/open?id=1ka_ZCFmubGzHtBlmWPGgs7e1W9kN7l7EMDttPPG5ELc</v>
      </c>
      <c r="J265" s="4" t="str">
        <v>Tunjungan, Caturharjo, Pandak</v>
      </c>
      <c r="L265" s="99" t="str">
        <f ca="1">IFERROR(__xludf.DUMMYFUNCTION("IMPORTRANGE(H265,""IDENTITAS UNIT!D35"")"),"Muhammad Banjaransari")</f>
        <v>Muhammad Banjaransari</v>
      </c>
    </row>
    <row r="266" spans="1:12" ht="49.5" hidden="1">
      <c r="A266" s="4" t="str">
        <v>Reguler Periode ke-101 XIV.A.2</v>
      </c>
      <c r="B266" s="4" t="str">
        <v>Reguler Periode ke-101</v>
      </c>
      <c r="C266" s="4" t="str">
        <v>XIV.A.2</v>
      </c>
      <c r="D266" s="101" t="str">
        <v>https://drive.google.com/open?id=1i_viCa1Ma0EfowXBQb0bgeYJxBglSuNcIB3Xq1pEsi0&amp;usp=drive_copy</v>
      </c>
      <c r="E266" s="101" t="str">
        <v>https://drive.google.com/open?id=1i_viCa1Ma0EfowXBQb0bgeYJxBglSuNcIB3Xq1pEsi0</v>
      </c>
      <c r="F266" s="103" t="str">
        <f ca="1">IFERROR(__xludf.DUMMYFUNCTION("IMPORTRANGE(H266,""IDENTITAS UNIT!D9"")"),"https://maps.app.goo.gl/Bf9NkGLCyNkFUZoz9")</f>
        <v>https://maps.app.goo.gl/Bf9NkGLCyNkFUZoz9</v>
      </c>
      <c r="H266" s="101" t="str">
        <v>https://docs.google.com/spreadsheets/d/1i_viCa1Ma0EfowXBQb0bgeYJxBglSuNcIB3Xq1pEsi0</v>
      </c>
      <c r="I266" s="101" t="str">
        <v>https://docs.google.com/open?id=1i_viCa1Ma0EfowXBQb0bgeYJxBglSuNcIB3Xq1pEsi0</v>
      </c>
      <c r="J266" s="4" t="str">
        <v>Krapakan, Caturharjo, Pandak</v>
      </c>
      <c r="L266" s="99" t="str">
        <f ca="1">IFERROR(__xludf.DUMMYFUNCTION("IMPORTRANGE(H266,""IDENTITAS UNIT!D35"")"),"Muhammad Fakhruddin Dhaifullah")</f>
        <v>Muhammad Fakhruddin Dhaifullah</v>
      </c>
    </row>
    <row r="267" spans="1:12" ht="16.5" hidden="1">
      <c r="A267" s="4" t="str">
        <v>Reguler Periode ke-101 XIV.A.3</v>
      </c>
      <c r="B267" s="4" t="str">
        <v>Reguler Periode ke-101</v>
      </c>
      <c r="C267" s="4" t="str">
        <v>XIV.A.3</v>
      </c>
      <c r="D267" s="101" t="str">
        <v>https://drive.google.com/open?id=1sbWZJ_XxfiWrscuhfcTV-mv7Ts6hWGgMKhjjYhcnLjE&amp;usp=drive_copy</v>
      </c>
      <c r="E267" s="101" t="str">
        <v>https://drive.google.com/open?id=1sbWZJ_XxfiWrscuhfcTV-mv7Ts6hWGgMKhjjYhcnLjE</v>
      </c>
      <c r="F267" s="102" t="str">
        <f ca="1">IFERROR(__xludf.DUMMYFUNCTION("IMPORTRANGE(H267,""IDENTITAS UNIT!D9"")"),"")</f>
        <v/>
      </c>
      <c r="H267" s="101" t="str">
        <v>https://docs.google.com/spreadsheets/d/1sbWZJ_XxfiWrscuhfcTV-mv7Ts6hWGgMKhjjYhcnLjE</v>
      </c>
      <c r="I267" s="101" t="str">
        <v>https://docs.google.com/open?id=1sbWZJ_XxfiWrscuhfcTV-mv7Ts6hWGgMKhjjYhcnLjE</v>
      </c>
      <c r="J267" s="4" t="str">
        <v>Samparan, Caturharjo, Pandak</v>
      </c>
      <c r="L267" s="99" t="str">
        <f ca="1">IFERROR(__xludf.DUMMYFUNCTION("IMPORTRANGE(H267,""IDENTITAS UNIT!D35"")"),"Anwar Rizky Sulaksono")</f>
        <v>Anwar Rizky Sulaksono</v>
      </c>
    </row>
    <row r="268" spans="1:12" ht="181.5" hidden="1">
      <c r="A268" s="4" t="str">
        <v>Reguler Periode ke-101 XIV.B.1</v>
      </c>
      <c r="B268" s="4" t="str">
        <v>Reguler Periode ke-101</v>
      </c>
      <c r="C268" s="4" t="str">
        <v>XIV.B.1</v>
      </c>
      <c r="D268" s="101" t="str">
        <v>https://drive.google.com/open?id=10baP5j-2T_JSYMwfFwCs6CPVl4O06jIt9cqdrr9OtwE&amp;usp=drive_copy</v>
      </c>
      <c r="E268" s="101" t="str">
        <v>https://drive.google.com/open?id=10baP5j-2T_JSYMwfFwCs6CPVl4O06jIt9cqdrr9OtwE</v>
      </c>
      <c r="F268" s="103" t="str">
        <f ca="1">IFERROR(__xludf.DUMMYFUNCTION("IMPORTRANGE(H268,""IDENTITAS UNIT!D9"")"),"https://ul.waze.com/ul?place=ChIJOwHISRD_ei4RwfcijqcA1SE&amp;ll=-7.93750840%2C110.26195260&amp;navigate=yes&amp;utm_campaign=default&amp;utm_source=waze_website&amp;utm_medium=lm_share_location")</f>
        <v>https://ul.waze.com/ul?place=ChIJOwHISRD_ei4RwfcijqcA1SE&amp;ll=-7.93750840%2C110.26195260&amp;navigate=yes&amp;utm_campaign=default&amp;utm_source=waze_website&amp;utm_medium=lm_share_location</v>
      </c>
      <c r="H268" s="101" t="str">
        <v>https://docs.google.com/spreadsheets/d/10baP5j-2T_JSYMwfFwCs6CPVl4O06jIt9cqdrr9OtwE</v>
      </c>
      <c r="I268" s="101" t="str">
        <v>https://docs.google.com/open?id=10baP5j-2T_JSYMwfFwCs6CPVl4O06jIt9cqdrr9OtwE</v>
      </c>
      <c r="J268" s="4" t="str">
        <v>Tegal Layang 9, Caturharjo, Pandak</v>
      </c>
      <c r="L268" s="99" t="str">
        <f ca="1">IFERROR(__xludf.DUMMYFUNCTION("IMPORTRANGE(H268,""IDENTITAS UNIT!D35"")"),"Muhammad Iqbal Al Anbari")</f>
        <v>Muhammad Iqbal Al Anbari</v>
      </c>
    </row>
    <row r="269" spans="1:12" ht="49.5" hidden="1">
      <c r="A269" s="4" t="str">
        <v>Reguler Periode ke-101 XIV.B.2</v>
      </c>
      <c r="B269" s="4" t="str">
        <v>Reguler Periode ke-101</v>
      </c>
      <c r="C269" s="4" t="str">
        <v>XIV.B.2</v>
      </c>
      <c r="D269" s="101" t="str">
        <v>https://drive.google.com/open?id=1uCWinIH6cUW37QtJa6uHlsqiOk-vPNUym53_dbWCAU0&amp;usp=drive_copy</v>
      </c>
      <c r="E269" s="101" t="str">
        <v>https://drive.google.com/open?id=1uCWinIH6cUW37QtJa6uHlsqiOk-vPNUym53_dbWCAU0</v>
      </c>
      <c r="F269" s="103" t="str">
        <f ca="1">IFERROR(__xludf.DUMMYFUNCTION("IMPORTRANGE(H269,""IDENTITAS UNIT!D9"")"),"https://maps.app.goo.gl/8uC9B1fzvW3Mhc5g7")</f>
        <v>https://maps.app.goo.gl/8uC9B1fzvW3Mhc5g7</v>
      </c>
      <c r="G269" s="4" t="s">
        <v>12895</v>
      </c>
      <c r="H269" s="101" t="str">
        <v>https://docs.google.com/spreadsheets/d/1uCWinIH6cUW37QtJa6uHlsqiOk-vPNUym53_dbWCAU0</v>
      </c>
      <c r="I269" s="101" t="str">
        <v>https://docs.google.com/open?id=1uCWinIH6cUW37QtJa6uHlsqiOk-vPNUym53_dbWCAU0</v>
      </c>
      <c r="J269" s="4" t="str">
        <v>Tegal Layang 10, Caturharjo, Pandak</v>
      </c>
      <c r="L269" s="99" t="str">
        <f ca="1">IFERROR(__xludf.DUMMYFUNCTION("IMPORTRANGE(H269,""IDENTITAS UNIT!D35"")"),"Muhammad Sidik")</f>
        <v>Muhammad Sidik</v>
      </c>
    </row>
    <row r="270" spans="1:12" ht="132" hidden="1">
      <c r="A270" s="4" t="str">
        <v>Reguler Periode ke-101 XIV.B.3</v>
      </c>
      <c r="B270" s="4" t="str">
        <v>Reguler Periode ke-101</v>
      </c>
      <c r="C270" s="4" t="str">
        <v>XIV.B.3</v>
      </c>
      <c r="D270" s="101" t="str">
        <v>https://drive.google.com/open?id=15FBk7sjgDl7cPUOvU963L9E2komH58om3QDtMZme2_Q&amp;usp=drive_copy</v>
      </c>
      <c r="E270" s="101" t="str">
        <v>https://drive.google.com/open?id=15FBk7sjgDl7cPUOvU963L9E2komH58om3QDtMZme2_Q</v>
      </c>
      <c r="F270" s="103" t="str">
        <f ca="1">IFERROR(__xludf.DUMMYFUNCTION("IMPORTRANGE(H270,""IDENTITAS UNIT!D9"")"),"https://www.google.co.id/maps/@-7.9353428,110.2697793,3a,90y,36.8h,80.88t/data=!3m6!1e1!3m4!1s5jEAy3eVPuMEHIQbNoZS7w!2e0!7i16384!8i8192")</f>
        <v>https://www.google.co.id/maps/@-7.9353428,110.2697793,3a,90y,36.8h,80.88t/data=!3m6!1e1!3m4!1s5jEAy3eVPuMEHIQbNoZS7w!2e0!7i16384!8i8192</v>
      </c>
      <c r="H270" s="101" t="str">
        <v>https://docs.google.com/spreadsheets/d/15FBk7sjgDl7cPUOvU963L9E2komH58om3QDtMZme2_Q</v>
      </c>
      <c r="I270" s="101" t="str">
        <v>https://docs.google.com/open?id=15FBk7sjgDl7cPUOvU963L9E2komH58om3QDtMZme2_Q</v>
      </c>
      <c r="J270" s="4" t="str">
        <v>Koroboyo, Caturharjo, Pandak</v>
      </c>
      <c r="L270" s="99" t="str">
        <f ca="1">IFERROR(__xludf.DUMMYFUNCTION("IMPORTRANGE(H270,""IDENTITAS UNIT!D35"")"),"Mhd Arief")</f>
        <v>Mhd Arief</v>
      </c>
    </row>
    <row r="271" spans="1:12" ht="49.5" hidden="1">
      <c r="A271" s="4" t="str">
        <v>Reguler Periode ke-101 XIV.C.1</v>
      </c>
      <c r="B271" s="4" t="str">
        <v>Reguler Periode ke-101</v>
      </c>
      <c r="C271" s="4" t="str">
        <v>XIV.C.1</v>
      </c>
      <c r="D271" s="101" t="str">
        <v>https://drive.google.com/open?id=1vqcpIDfsJPgxHW6yf2s3coUSIobsgXr9ySfMuK_9-tA&amp;usp=drive_copy</v>
      </c>
      <c r="E271" s="101" t="str">
        <v>https://drive.google.com/open?id=1vqcpIDfsJPgxHW6yf2s3coUSIobsgXr9ySfMuK_9-tA</v>
      </c>
      <c r="F271" s="103" t="str">
        <f ca="1">IFERROR(__xludf.DUMMYFUNCTION("IMPORTRANGE(H271,""IDENTITAS UNIT!D9"")"),"https://maps.app.goo.gl/UCzEYsjFkWTeeemh6")</f>
        <v>https://maps.app.goo.gl/UCzEYsjFkWTeeemh6</v>
      </c>
      <c r="G271" s="4" t="s">
        <v>12896</v>
      </c>
      <c r="H271" s="101" t="str">
        <v>https://docs.google.com/spreadsheets/d/1vqcpIDfsJPgxHW6yf2s3coUSIobsgXr9ySfMuK_9-tA</v>
      </c>
      <c r="I271" s="101" t="str">
        <v>https://docs.google.com/open?id=1vqcpIDfsJPgxHW6yf2s3coUSIobsgXr9ySfMuK_9-tA</v>
      </c>
      <c r="J271" s="4" t="str">
        <v>Korowelang, Caturharjo, Pandak</v>
      </c>
      <c r="L271" s="99" t="str">
        <f ca="1">IFERROR(__xludf.DUMMYFUNCTION("IMPORTRANGE(H271,""IDENTITAS UNIT!D35"")"),"Karlina")</f>
        <v>Karlina</v>
      </c>
    </row>
    <row r="272" spans="1:12" ht="49.5" hidden="1">
      <c r="A272" s="4" t="str">
        <v>Reguler Periode ke-101 XIV.C.2</v>
      </c>
      <c r="B272" s="4" t="str">
        <v>Reguler Periode ke-101</v>
      </c>
      <c r="C272" s="4" t="str">
        <v>XIV.C.2</v>
      </c>
      <c r="D272" s="101" t="str">
        <v>https://drive.google.com/open?id=1x1nYgQm0DL8JVvoXjNimbVfc-ojGdplpqg0XdAUFygQ&amp;usp=drive_copy</v>
      </c>
      <c r="E272" s="101" t="str">
        <v>https://drive.google.com/open?id=1x1nYgQm0DL8JVvoXjNimbVfc-ojGdplpqg0XdAUFygQ</v>
      </c>
      <c r="F272" s="103" t="str">
        <f ca="1">IFERROR(__xludf.DUMMYFUNCTION("IMPORTRANGE(H272,""IDENTITAS UNIT!D9"")"),"https://maps.app.goo.gl/9s4fvFLvPPH7QYV18")</f>
        <v>https://maps.app.goo.gl/9s4fvFLvPPH7QYV18</v>
      </c>
      <c r="H272" s="101" t="str">
        <v>https://docs.google.com/spreadsheets/d/1x1nYgQm0DL8JVvoXjNimbVfc-ojGdplpqg0XdAUFygQ</v>
      </c>
      <c r="I272" s="101" t="str">
        <v>https://docs.google.com/open?id=1x1nYgQm0DL8JVvoXjNimbVfc-ojGdplpqg0XdAUFygQ</v>
      </c>
      <c r="J272" s="4" t="str">
        <v>Glagahan, Caturharjo, Pandak</v>
      </c>
      <c r="L272" s="99" t="str">
        <f ca="1">IFERROR(__xludf.DUMMYFUNCTION("IMPORTRANGE(H272,""IDENTITAS UNIT!D35"")"),"M. Redho Syaputra")</f>
        <v>M. Redho Syaputra</v>
      </c>
    </row>
    <row r="273" spans="1:12" ht="49.5" hidden="1">
      <c r="A273" s="4" t="str">
        <v>Reguler Periode ke-101 XIV.C.3</v>
      </c>
      <c r="B273" s="4" t="str">
        <v>Reguler Periode ke-101</v>
      </c>
      <c r="C273" s="4" t="str">
        <v>XIV.C.3</v>
      </c>
      <c r="D273" s="101" t="str">
        <v>https://drive.google.com/open?id=1xoX4UWs_XJGjXdp-g9umMOGSZ3HZB4e9xmBRpmq07ik&amp;usp=drive_copy</v>
      </c>
      <c r="E273" s="101" t="str">
        <v>https://drive.google.com/open?id=1xoX4UWs_XJGjXdp-g9umMOGSZ3HZB4e9xmBRpmq07ik</v>
      </c>
      <c r="F273" s="103" t="str">
        <f ca="1">IFERROR(__xludf.DUMMYFUNCTION("IMPORTRANGE(H273,""IDENTITAS UNIT!D9"")"),"https://maps.app.goo.gl/bAPrFVUVsFuCZJbVA")</f>
        <v>https://maps.app.goo.gl/bAPrFVUVsFuCZJbVA</v>
      </c>
      <c r="H273" s="101" t="str">
        <v>https://docs.google.com/spreadsheets/d/1xoX4UWs_XJGjXdp-g9umMOGSZ3HZB4e9xmBRpmq07ik</v>
      </c>
      <c r="I273" s="101" t="str">
        <v>https://docs.google.com/open?id=1xoX4UWs_XJGjXdp-g9umMOGSZ3HZB4e9xmBRpmq07ik</v>
      </c>
      <c r="J273" s="4" t="str">
        <v>Bogem, Caturharjo, Pandak</v>
      </c>
      <c r="L273" s="99" t="str">
        <f ca="1">IFERROR(__xludf.DUMMYFUNCTION("IMPORTRANGE(H273,""IDENTITAS UNIT!D35"")"),"Rahmat Hanif Delfandi")</f>
        <v>Rahmat Hanif Delfandi</v>
      </c>
    </row>
    <row r="274" spans="1:12" ht="49.5" hidden="1">
      <c r="A274" s="4" t="str">
        <v>Reguler Periode ke-101 XIV.D.1</v>
      </c>
      <c r="B274" s="4" t="str">
        <v>Reguler Periode ke-101</v>
      </c>
      <c r="C274" s="4" t="str">
        <v>XIV.D.1</v>
      </c>
      <c r="D274" s="101" t="str">
        <v>https://drive.google.com/open?id=1xVwIVwhJZ1aLTQLS03BeQMS_wvvUh2wZfIX_cEuIWvY&amp;usp=drive_copy</v>
      </c>
      <c r="E274" s="101" t="str">
        <v>https://drive.google.com/open?id=1xVwIVwhJZ1aLTQLS03BeQMS_wvvUh2wZfIX_cEuIWvY</v>
      </c>
      <c r="F274" s="103" t="str">
        <f ca="1">IFERROR(__xludf.DUMMYFUNCTION("IMPORTRANGE(H274,""IDENTITAS UNIT!D9"")"),"https://maps.app.goo.gl/ThoxYZBVAxS2vMCVA")</f>
        <v>https://maps.app.goo.gl/ThoxYZBVAxS2vMCVA</v>
      </c>
      <c r="G274" s="4" t="s">
        <v>12897</v>
      </c>
      <c r="H274" s="101" t="str">
        <v>https://docs.google.com/spreadsheets/d/1xVwIVwhJZ1aLTQLS03BeQMS_wvvUh2wZfIX_cEuIWvY</v>
      </c>
      <c r="I274" s="101" t="str">
        <v>https://docs.google.com/open?id=1xVwIVwhJZ1aLTQLS03BeQMS_wvvUh2wZfIX_cEuIWvY</v>
      </c>
      <c r="J274" s="4" t="str">
        <v>Popohan, Banjararum, Kalibawang</v>
      </c>
      <c r="L274" s="99" t="str">
        <f ca="1">IFERROR(__xludf.DUMMYFUNCTION("IMPORTRANGE(H274,""IDENTITAS UNIT!D35"")"),"Syahrizal Ramadhan")</f>
        <v>Syahrizal Ramadhan</v>
      </c>
    </row>
    <row r="275" spans="1:12" ht="82.5" hidden="1">
      <c r="A275" s="4" t="str">
        <v>Reguler Periode ke-101 XIV.D.2</v>
      </c>
      <c r="B275" s="4" t="str">
        <v>Reguler Periode ke-101</v>
      </c>
      <c r="C275" s="4" t="str">
        <v>XIV.D.2</v>
      </c>
      <c r="D275" s="101" t="str">
        <v>https://drive.google.com/open?id=18bzRr9eE6gLLi1p0jkO0gWjsihw1tqcNLPhmPjEus_I&amp;usp=drive_copy</v>
      </c>
      <c r="E275" s="101" t="str">
        <v>https://drive.google.com/open?id=18bzRr9eE6gLLi1p0jkO0gWjsihw1tqcNLPhmPjEus_I</v>
      </c>
      <c r="F275" s="103" t="str">
        <f ca="1">IFERROR(__xludf.DUMMYFUNCTION("IMPORTRANGE(H275,""IDENTITAS UNIT!D9"")"),"7°43'23.0""S 110°11'43.7""E
https://maps.app.goo.gl/1nTwLzaLB3X2YfGXA?g_st=ic")</f>
        <v>7°43'23.0"S 110°11'43.7"E
https://maps.app.goo.gl/1nTwLzaLB3X2YfGXA?g_st=ic</v>
      </c>
      <c r="G275" s="4" t="s">
        <v>12898</v>
      </c>
      <c r="H275" s="101" t="str">
        <v>https://docs.google.com/spreadsheets/d/18bzRr9eE6gLLi1p0jkO0gWjsihw1tqcNLPhmPjEus_I</v>
      </c>
      <c r="I275" s="101" t="str">
        <v>https://docs.google.com/open?id=18bzRr9eE6gLLi1p0jkO0gWjsihw1tqcNLPhmPjEus_I</v>
      </c>
      <c r="J275" s="4" t="str">
        <v>Mejing, Banjararum, Kalibawang</v>
      </c>
      <c r="L275" s="99" t="str">
        <f ca="1">IFERROR(__xludf.DUMMYFUNCTION("IMPORTRANGE(H275,""IDENTITAS UNIT!D35"")"),"SUHESNO")</f>
        <v>SUHESNO</v>
      </c>
    </row>
    <row r="276" spans="1:12" ht="49.5" hidden="1">
      <c r="A276" s="4" t="str">
        <v>Reguler Periode ke-101 XIV.D.3</v>
      </c>
      <c r="B276" s="4" t="str">
        <v>Reguler Periode ke-101</v>
      </c>
      <c r="C276" s="4" t="str">
        <v>XIV.D.3</v>
      </c>
      <c r="D276" s="101" t="str">
        <v>https://drive.google.com/open?id=1cTg3xUvhDaFWyE5aoIHPvBLFjFcxxdD2oEMDUw3CaVY&amp;usp=drive_copy</v>
      </c>
      <c r="E276" s="101" t="str">
        <v>https://drive.google.com/open?id=1cTg3xUvhDaFWyE5aoIHPvBLFjFcxxdD2oEMDUw3CaVY</v>
      </c>
      <c r="F276" s="103" t="str">
        <f ca="1">IFERROR(__xludf.DUMMYFUNCTION("IMPORTRANGE(H276,""IDENTITAS UNIT!D9"")"),"https://maps.app.goo.gl/3wTpXDyQEn2ojxW36 ")</f>
        <v xml:space="preserve">https://maps.app.goo.gl/3wTpXDyQEn2ojxW36 </v>
      </c>
      <c r="G276" s="4" t="s">
        <v>12899</v>
      </c>
      <c r="H276" s="101" t="str">
        <v>https://docs.google.com/spreadsheets/d/1cTg3xUvhDaFWyE5aoIHPvBLFjFcxxdD2oEMDUw3CaVY</v>
      </c>
      <c r="I276" s="101" t="str">
        <v>https://docs.google.com/open?id=1cTg3xUvhDaFWyE5aoIHPvBLFjFcxxdD2oEMDUw3CaVY</v>
      </c>
      <c r="J276" s="4" t="str">
        <v>Klepu, Banjararum, Kalibawang</v>
      </c>
      <c r="L276" s="99" t="str">
        <f ca="1">IFERROR(__xludf.DUMMYFUNCTION("IMPORTRANGE(H276,""IDENTITAS UNIT!D35"")"),"Muhammad Fahrurrazi")</f>
        <v>Muhammad Fahrurrazi</v>
      </c>
    </row>
    <row r="277" spans="1:12" ht="49.5" hidden="1">
      <c r="A277" s="4" t="str">
        <v>Reguler Periode ke-101 XV.A.1</v>
      </c>
      <c r="B277" s="4" t="str">
        <v>Reguler Periode ke-101</v>
      </c>
      <c r="C277" s="4" t="str">
        <v>XV.A.1</v>
      </c>
      <c r="D277" s="101" t="str">
        <v>https://drive.google.com/open?id=1a6M75LEa0Mhn4ZyUiLyLZuTCwFWQ3H_ahBac0m_0iy8&amp;usp=drive_copy</v>
      </c>
      <c r="E277" s="101" t="str">
        <v>https://drive.google.com/open?id=1a6M75LEa0Mhn4ZyUiLyLZuTCwFWQ3H_ahBac0m_0iy8</v>
      </c>
      <c r="F277" s="103" t="str">
        <f ca="1">IFERROR(__xludf.DUMMYFUNCTION("IMPORTRANGE(H277,""IDENTITAS UNIT!D9"")"),"https://goo.gl/maps/nBzFiJL5xkYZSDDQ7")</f>
        <v>https://goo.gl/maps/nBzFiJL5xkYZSDDQ7</v>
      </c>
      <c r="G277" s="4" t="s">
        <v>12900</v>
      </c>
      <c r="H277" s="101" t="str">
        <v>https://docs.google.com/spreadsheets/d/1a6M75LEa0Mhn4ZyUiLyLZuTCwFWQ3H_ahBac0m_0iy8</v>
      </c>
      <c r="I277" s="101" t="str">
        <v>https://docs.google.com/open?id=1a6M75LEa0Mhn4ZyUiLyLZuTCwFWQ3H_ahBac0m_0iy8</v>
      </c>
      <c r="J277" s="4" t="str">
        <v>Kedondong I, Banjararum, Kalibawang</v>
      </c>
      <c r="L277" s="99" t="str">
        <f ca="1">IFERROR(__xludf.DUMMYFUNCTION("IMPORTRANGE(H277,""IDENTITAS UNIT!D35"")"),"Zulfikar Salihamidzic")</f>
        <v>Zulfikar Salihamidzic</v>
      </c>
    </row>
    <row r="278" spans="1:12" ht="49.5" hidden="1">
      <c r="A278" s="4" t="str">
        <v>Reguler Periode ke-101 XV.A.2</v>
      </c>
      <c r="B278" s="4" t="str">
        <v>Reguler Periode ke-101</v>
      </c>
      <c r="C278" s="4" t="str">
        <v>XV.A.2</v>
      </c>
      <c r="D278" s="101" t="str">
        <v>https://drive.google.com/open?id=1LntP-_rHXhiJt7pzrWMylRoxHRo9Czlu5Sz3cUIMCrg&amp;usp=drive_copy</v>
      </c>
      <c r="E278" s="101" t="str">
        <v>https://drive.google.com/open?id=1LntP-_rHXhiJt7pzrWMylRoxHRo9Czlu5Sz3cUIMCrg</v>
      </c>
      <c r="F278" s="103" t="str">
        <f ca="1">IFERROR(__xludf.DUMMYFUNCTION("IMPORTRANGE(H278,""IDENTITAS UNIT!D9"")"),"https://goo.gl/maps/r94iNiCcpnrJsmir9 ")</f>
        <v xml:space="preserve">https://goo.gl/maps/r94iNiCcpnrJsmir9 </v>
      </c>
      <c r="G278" s="4" t="s">
        <v>12901</v>
      </c>
      <c r="H278" s="101" t="str">
        <v>https://docs.google.com/spreadsheets/d/1LntP-_rHXhiJt7pzrWMylRoxHRo9Czlu5Sz3cUIMCrg</v>
      </c>
      <c r="I278" s="101" t="str">
        <v>https://docs.google.com/open?id=1LntP-_rHXhiJt7pzrWMylRoxHRo9Czlu5Sz3cUIMCrg</v>
      </c>
      <c r="J278" s="4" t="str">
        <v>Ngentak, Banjararum, Kalibawang</v>
      </c>
      <c r="L278" s="99" t="str">
        <f ca="1">IFERROR(__xludf.DUMMYFUNCTION("IMPORTRANGE(H278,""IDENTITAS UNIT!D35"")"),"Akhmad Ajrin Khairi")</f>
        <v>Akhmad Ajrin Khairi</v>
      </c>
    </row>
    <row r="279" spans="1:12" ht="66" hidden="1">
      <c r="A279" s="4" t="str">
        <v>Reguler Periode ke-101 XV.A.3</v>
      </c>
      <c r="B279" s="4" t="str">
        <v>Reguler Periode ke-101</v>
      </c>
      <c r="C279" s="4" t="str">
        <v>XV.A.3</v>
      </c>
      <c r="D279" s="101" t="str">
        <v>https://drive.google.com/open?id=1OhkZpAQmSa7eDZlcNCm4tpoVKg5llb1fotV9WHO8q6Q&amp;usp=drive_copy</v>
      </c>
      <c r="E279" s="101" t="str">
        <v>https://drive.google.com/open?id=1OhkZpAQmSa7eDZlcNCm4tpoVKg5llb1fotV9WHO8q6Q</v>
      </c>
      <c r="F279" s="103" t="str">
        <f ca="1">IFERROR(__xludf.DUMMYFUNCTION("IMPORTRANGE(H279,""IDENTITAS UNIT!D9"")"),"SDN Blumbang
https://maps.app.goo.gl/zvydpXLVCwD7yYJS7?g_st=ic")</f>
        <v>SDN Blumbang
https://maps.app.goo.gl/zvydpXLVCwD7yYJS7?g_st=ic</v>
      </c>
      <c r="G279" s="4" t="s">
        <v>12902</v>
      </c>
      <c r="H279" s="101" t="str">
        <v>https://docs.google.com/spreadsheets/d/1OhkZpAQmSa7eDZlcNCm4tpoVKg5llb1fotV9WHO8q6Q</v>
      </c>
      <c r="I279" s="101" t="str">
        <v>https://docs.google.com/open?id=1OhkZpAQmSa7eDZlcNCm4tpoVKg5llb1fotV9WHO8q6Q</v>
      </c>
      <c r="J279" s="4" t="str">
        <v>Blumbang, Banjararum, Kalibawang</v>
      </c>
      <c r="L279" s="99" t="str">
        <f ca="1">IFERROR(__xludf.DUMMYFUNCTION("IMPORTRANGE(H279,""IDENTITAS UNIT!D35"")"),"Indri Iman Sudrajat")</f>
        <v>Indri Iman Sudrajat</v>
      </c>
    </row>
    <row r="280" spans="1:12" ht="49.5" hidden="1">
      <c r="A280" s="4" t="str">
        <v>Reguler Periode ke-101 XV.B.1</v>
      </c>
      <c r="B280" s="4" t="str">
        <v>Reguler Periode ke-101</v>
      </c>
      <c r="C280" s="4" t="str">
        <v>XV.B.1</v>
      </c>
      <c r="D280" s="101" t="str">
        <v>https://drive.google.com/open?id=1Kn2yL1dfiBBlB42c2hoKnGu68Jscz_7oUT4UqjabIUA&amp;usp=drive_copy</v>
      </c>
      <c r="E280" s="101" t="str">
        <v>https://drive.google.com/open?id=1Kn2yL1dfiBBlB42c2hoKnGu68Jscz_7oUT4UqjabIUA</v>
      </c>
      <c r="F280" s="103" t="str">
        <f ca="1">IFERROR(__xludf.DUMMYFUNCTION("IMPORTRANGE(H280,""IDENTITAS UNIT!D9"")"),"https://maps.app.goo.gl/mRZsa4hdQ6uMuGwz8?g_st=iw")</f>
        <v>https://maps.app.goo.gl/mRZsa4hdQ6uMuGwz8?g_st=iw</v>
      </c>
      <c r="G280" s="4" t="s">
        <v>12903</v>
      </c>
      <c r="H280" s="101" t="str">
        <v>https://docs.google.com/spreadsheets/d/1Kn2yL1dfiBBlB42c2hoKnGu68Jscz_7oUT4UqjabIUA</v>
      </c>
      <c r="I280" s="101" t="str">
        <v>https://docs.google.com/open?id=1Kn2yL1dfiBBlB42c2hoKnGu68Jscz_7oUT4UqjabIUA</v>
      </c>
      <c r="J280" s="4" t="str">
        <v>Degan II, Banjararum, Kalibawang</v>
      </c>
      <c r="L280" s="99" t="str">
        <f ca="1">IFERROR(__xludf.DUMMYFUNCTION("IMPORTRANGE(H280,""IDENTITAS UNIT!D35"")"),"Panji Ali Mustakim")</f>
        <v>Panji Ali Mustakim</v>
      </c>
    </row>
    <row r="281" spans="1:12" ht="16.5" hidden="1">
      <c r="A281" s="4" t="str">
        <v>Reguler Periode ke-101 XV.B.2</v>
      </c>
      <c r="B281" s="4" t="str">
        <v>Reguler Periode ke-101</v>
      </c>
      <c r="C281" s="4" t="str">
        <v>XV.B.2</v>
      </c>
      <c r="D281" s="101" t="str">
        <v>https://drive.google.com/open?id=1R3ix6TlsU6FSycPVRYy2KtmwR-m0tlKaLbuWDkusD0w&amp;usp=drive_copy</v>
      </c>
      <c r="E281" s="101" t="str">
        <v>https://drive.google.com/open?id=1R3ix6TlsU6FSycPVRYy2KtmwR-m0tlKaLbuWDkusD0w</v>
      </c>
      <c r="F281" s="102" t="str">
        <f ca="1">IFERROR(__xludf.DUMMYFUNCTION("IMPORTRANGE(H281,""IDENTITAS UNIT!D9"")"),"")</f>
        <v/>
      </c>
      <c r="H281" s="101" t="str">
        <v>https://docs.google.com/spreadsheets/d/1R3ix6TlsU6FSycPVRYy2KtmwR-m0tlKaLbuWDkusD0w</v>
      </c>
      <c r="I281" s="101" t="str">
        <v>https://docs.google.com/open?id=1R3ix6TlsU6FSycPVRYy2KtmwR-m0tlKaLbuWDkusD0w</v>
      </c>
      <c r="J281" s="4" t="str">
        <v>Semaken III, Banjararum, Kalibawang</v>
      </c>
      <c r="L281" s="99" t="str">
        <f ca="1">IFERROR(__xludf.DUMMYFUNCTION("IMPORTRANGE(H281,""IDENTITAS UNIT!D35"")"),"Muhammad Riduan")</f>
        <v>Muhammad Riduan</v>
      </c>
    </row>
    <row r="282" spans="1:12" ht="49.5" hidden="1">
      <c r="A282" s="4" t="str">
        <v>Reguler Periode ke-101 XV.B.3</v>
      </c>
      <c r="B282" s="4" t="str">
        <v>Reguler Periode ke-101</v>
      </c>
      <c r="C282" s="4" t="str">
        <v>XV.B.3</v>
      </c>
      <c r="D282" s="101" t="str">
        <v>https://drive.google.com/open?id=1RZOcSjoSzOkP5YnNlLJv7nXNCo8hhzPRnwl65dW2FXs&amp;usp=drive_copy</v>
      </c>
      <c r="E282" s="101" t="str">
        <v>https://drive.google.com/open?id=1RZOcSjoSzOkP5YnNlLJv7nXNCo8hhzPRnwl65dW2FXs</v>
      </c>
      <c r="F282" s="103" t="str">
        <f ca="1">IFERROR(__xludf.DUMMYFUNCTION("IMPORTRANGE(H282,""IDENTITAS UNIT!D9"")"),"https://goo.gl/maps/ADvMmqaZ2ybJMjGo7")</f>
        <v>https://goo.gl/maps/ADvMmqaZ2ybJMjGo7</v>
      </c>
      <c r="G282" s="4" t="s">
        <v>12904</v>
      </c>
      <c r="H282" s="101" t="str">
        <v>https://docs.google.com/spreadsheets/d/1RZOcSjoSzOkP5YnNlLJv7nXNCo8hhzPRnwl65dW2FXs</v>
      </c>
      <c r="I282" s="101" t="str">
        <v>https://docs.google.com/open?id=1RZOcSjoSzOkP5YnNlLJv7nXNCo8hhzPRnwl65dW2FXs</v>
      </c>
      <c r="J282" s="4" t="str">
        <v>Kemesu, Banjararum, Kalibawang</v>
      </c>
      <c r="L282" s="99" t="str">
        <f ca="1">IFERROR(__xludf.DUMMYFUNCTION("IMPORTRANGE(H282,""IDENTITAS UNIT!D35"")"),"Merietha Agusti Syalsabilla")</f>
        <v>Merietha Agusti Syalsabilla</v>
      </c>
    </row>
    <row r="283" spans="1:12" ht="49.5" hidden="1">
      <c r="A283" s="4" t="str">
        <v>Reguler Periode ke-101 XV.C.1</v>
      </c>
      <c r="B283" s="4" t="str">
        <v>Reguler Periode ke-101</v>
      </c>
      <c r="C283" s="4" t="str">
        <v>XV.C.1</v>
      </c>
      <c r="D283" s="101" t="str">
        <v>https://drive.google.com/open?id=1SsvHkRej2vBregcp2Lsl1i2jJj8r_J5OFIu_IM_TS5A&amp;usp=drive_copy</v>
      </c>
      <c r="E283" s="101" t="str">
        <v>https://drive.google.com/open?id=1SsvHkRej2vBregcp2Lsl1i2jJj8r_J5OFIu_IM_TS5A</v>
      </c>
      <c r="F283" s="103" t="str">
        <f ca="1">IFERROR(__xludf.DUMMYFUNCTION("IMPORTRANGE(H283,""IDENTITAS UNIT!D9"")"),"https://maps.app.goo.gl/156u52hNAnittMgU9")</f>
        <v>https://maps.app.goo.gl/156u52hNAnittMgU9</v>
      </c>
      <c r="G283" s="4" t="s">
        <v>12905</v>
      </c>
      <c r="H283" s="101" t="str">
        <v>https://docs.google.com/spreadsheets/d/1SsvHkRej2vBregcp2Lsl1i2jJj8r_J5OFIu_IM_TS5A</v>
      </c>
      <c r="I283" s="101" t="str">
        <v>https://docs.google.com/open?id=1SsvHkRej2vBregcp2Lsl1i2jJj8r_J5OFIu_IM_TS5A</v>
      </c>
      <c r="J283" s="4" t="str">
        <v>Puguh, Banjaroyo, Kalibawang</v>
      </c>
      <c r="L283" s="99" t="str">
        <f ca="1">IFERROR(__xludf.DUMMYFUNCTION("IMPORTRANGE(H283,""IDENTITAS UNIT!D35"")"),"Iqbal Mursyid Fatwa")</f>
        <v>Iqbal Mursyid Fatwa</v>
      </c>
    </row>
    <row r="284" spans="1:12" ht="49.5" hidden="1">
      <c r="A284" s="4" t="str">
        <v>Reguler Periode ke-101 XV.C.2</v>
      </c>
      <c r="B284" s="4" t="str">
        <v>Reguler Periode ke-101</v>
      </c>
      <c r="C284" s="4" t="str">
        <v>XV.C.2</v>
      </c>
      <c r="D284" s="101" t="str">
        <v>https://drive.google.com/open?id=1R4017ykQ6WNTndHZCXTtl5SVSjMK56gg5ppQkqTA2rk&amp;usp=drive_copy</v>
      </c>
      <c r="E284" s="101" t="str">
        <v>https://drive.google.com/open?id=1R4017ykQ6WNTndHZCXTtl5SVSjMK56gg5ppQkqTA2rk</v>
      </c>
      <c r="F284" s="103" t="str">
        <f ca="1">IFERROR(__xludf.DUMMYFUNCTION("IMPORTRANGE(H284,""IDENTITAS UNIT!D9"")"),"https://maps.app.goo.gl/Sx7PMYhDTuyZ2m2P7")</f>
        <v>https://maps.app.goo.gl/Sx7PMYhDTuyZ2m2P7</v>
      </c>
      <c r="H284" s="101" t="str">
        <v>https://docs.google.com/spreadsheets/d/1R4017ykQ6WNTndHZCXTtl5SVSjMK56gg5ppQkqTA2rk</v>
      </c>
      <c r="I284" s="101" t="str">
        <v>https://docs.google.com/open?id=1R4017ykQ6WNTndHZCXTtl5SVSjMK56gg5ppQkqTA2rk</v>
      </c>
      <c r="J284" s="4" t="str">
        <v>Kempong, Banjaroyo, Kalibawang</v>
      </c>
      <c r="L284" s="99" t="str">
        <f ca="1">IFERROR(__xludf.DUMMYFUNCTION("IMPORTRANGE(H284,""IDENTITAS UNIT!D35"")"),"Pangestu Ari Bonggo")</f>
        <v>Pangestu Ari Bonggo</v>
      </c>
    </row>
    <row r="285" spans="1:12" ht="49.5" hidden="1">
      <c r="A285" s="4" t="str">
        <v>Reguler Periode ke-101 XV.C.3</v>
      </c>
      <c r="B285" s="4" t="str">
        <v>Reguler Periode ke-101</v>
      </c>
      <c r="C285" s="4" t="str">
        <v>XV.C.3</v>
      </c>
      <c r="D285" s="101" t="str">
        <v>https://drive.google.com/open?id=1SvSKL8C75JPtL2AI67EGw9NrRz_8DeCqmRflP63W0HA&amp;usp=drive_copy</v>
      </c>
      <c r="E285" s="101" t="str">
        <v>https://drive.google.com/open?id=1SvSKL8C75JPtL2AI67EGw9NrRz_8DeCqmRflP63W0HA</v>
      </c>
      <c r="F285" s="103" t="str">
        <f ca="1">IFERROR(__xludf.DUMMYFUNCTION("IMPORTRANGE(H285,""IDENTITAS UNIT!D9"")"),"https://goo.gl/maps/p3CQwQw7Wq8MCC3e8")</f>
        <v>https://goo.gl/maps/p3CQwQw7Wq8MCC3e8</v>
      </c>
      <c r="G285" s="4" t="s">
        <v>12906</v>
      </c>
      <c r="H285" s="101" t="str">
        <v>https://docs.google.com/spreadsheets/d/1SvSKL8C75JPtL2AI67EGw9NrRz_8DeCqmRflP63W0HA</v>
      </c>
      <c r="I285" s="101" t="str">
        <v>https://docs.google.com/open?id=1SvSKL8C75JPtL2AI67EGw9NrRz_8DeCqmRflP63W0HA</v>
      </c>
      <c r="J285" s="4" t="str">
        <v>Pranan, Banjaroyo, Kalibawang</v>
      </c>
      <c r="L285" s="99" t="str">
        <f ca="1">IFERROR(__xludf.DUMMYFUNCTION("IMPORTRANGE(H285,""IDENTITAS UNIT!D35"")"),"Mohammad Aldi Rosyidin")</f>
        <v>Mohammad Aldi Rosyidin</v>
      </c>
    </row>
    <row r="286" spans="1:12" ht="49.5" hidden="1">
      <c r="A286" s="4" t="str">
        <v>Reguler Periode ke-101 XV.D.1</v>
      </c>
      <c r="B286" s="4" t="str">
        <v>Reguler Periode ke-101</v>
      </c>
      <c r="C286" s="4" t="str">
        <v>XV.D.1</v>
      </c>
      <c r="D286" s="101" t="str">
        <v>https://drive.google.com/open?id=1TnmNTSo-03y6ulvYttT-hHHTp9QhfaNbZjV0kMWrqhg&amp;usp=drive_copy</v>
      </c>
      <c r="E286" s="101" t="str">
        <v>https://drive.google.com/open?id=1TnmNTSo-03y6ulvYttT-hHHTp9QhfaNbZjV0kMWrqhg</v>
      </c>
      <c r="F286" s="103" t="str">
        <f ca="1">IFERROR(__xludf.DUMMYFUNCTION("IMPORTRANGE(H286,""IDENTITAS UNIT!D9"")"),"https://maps.app.goo.gl/4dguLQ3cMym9pTzt6")</f>
        <v>https://maps.app.goo.gl/4dguLQ3cMym9pTzt6</v>
      </c>
      <c r="G286" s="4" t="s">
        <v>12907</v>
      </c>
      <c r="H286" s="101" t="str">
        <v>https://docs.google.com/spreadsheets/d/1TnmNTSo-03y6ulvYttT-hHHTp9QhfaNbZjV0kMWrqhg</v>
      </c>
      <c r="I286" s="101" t="str">
        <v>https://docs.google.com/open?id=1TnmNTSo-03y6ulvYttT-hHHTp9QhfaNbZjV0kMWrqhg</v>
      </c>
      <c r="J286" s="4" t="str">
        <v>Pantog Kulon, Banjaroyo, Kalibawang</v>
      </c>
      <c r="L286" s="99" t="str">
        <f ca="1">IFERROR(__xludf.DUMMYFUNCTION("IMPORTRANGE(H286,""IDENTITAS UNIT!D35"")"),"Satria Yogha Pratama")</f>
        <v>Satria Yogha Pratama</v>
      </c>
    </row>
    <row r="287" spans="1:12" ht="165" hidden="1">
      <c r="A287" s="4" t="str">
        <v>Reguler Periode ke-101 XV.D.2</v>
      </c>
      <c r="B287" s="4" t="str">
        <v>Reguler Periode ke-101</v>
      </c>
      <c r="C287" s="4" t="str">
        <v>XV.D.2</v>
      </c>
      <c r="D287" s="101" t="str">
        <v>https://drive.google.com/open?id=1UrAz0CyyTWAism1BSpkvFvdO9j7BVmFyK4BvFMGqoN4&amp;usp=drive_copy</v>
      </c>
      <c r="E287" s="101" t="str">
        <v>https://drive.google.com/open?id=1UrAz0CyyTWAism1BSpkvFvdO9j7BVmFyK4BvFMGqoN4</v>
      </c>
      <c r="F287" s="103" t="str">
        <f ca="1">IFERROR(__xludf.DUMMYFUNCTION("IMPORTRANGE(H287,""IDENTITAS UNIT!D9"")"),"https://maps.google.com/?q=Banjaran%2C+Banjaroyo%2C+Kec.+Kalibawang%2C+Kabupaten+Kulon+Progo%2C+Daerah+Istimewa+Yogyakarta&amp;ftid=0x2e7af48d86b24bc9:0x604fc9a04430b9b9&amp;entry=gps")</f>
        <v>https://maps.google.com/?q=Banjaran%2C+Banjaroyo%2C+Kec.+Kalibawang%2C+Kabupaten+Kulon+Progo%2C+Daerah+Istimewa+Yogyakarta&amp;ftid=0x2e7af48d86b24bc9:0x604fc9a04430b9b9&amp;entry=gps</v>
      </c>
      <c r="H287" s="101" t="str">
        <v>https://docs.google.com/spreadsheets/d/1UrAz0CyyTWAism1BSpkvFvdO9j7BVmFyK4BvFMGqoN4</v>
      </c>
      <c r="I287" s="101" t="str">
        <v>https://docs.google.com/open?id=1UrAz0CyyTWAism1BSpkvFvdO9j7BVmFyK4BvFMGqoN4</v>
      </c>
      <c r="J287" s="4" t="str">
        <v>Banjaran, Banjaroyo, Kalibawang</v>
      </c>
      <c r="L287" s="99" t="str">
        <f ca="1">IFERROR(__xludf.DUMMYFUNCTION("IMPORTRANGE(H287,""IDENTITAS UNIT!D35"")"),"Arkansa Haves Al Asyad")</f>
        <v>Arkansa Haves Al Asyad</v>
      </c>
    </row>
    <row r="288" spans="1:12" ht="49.5" hidden="1">
      <c r="A288" s="4" t="str">
        <v>Reguler Periode ke-101 XV.D.3</v>
      </c>
      <c r="B288" s="4" t="str">
        <v>Reguler Periode ke-101</v>
      </c>
      <c r="C288" s="4" t="str">
        <v>XV.D.3</v>
      </c>
      <c r="D288" s="101" t="str">
        <v>https://drive.google.com/open?id=1VBIFWNzu4ZyE7Y8gI-koV7eH1KkE2kYEabvwLkoyQHA&amp;usp=drive_copy</v>
      </c>
      <c r="E288" s="101" t="str">
        <v>https://drive.google.com/open?id=1VBIFWNzu4ZyE7Y8gI-koV7eH1KkE2kYEabvwLkoyQHA</v>
      </c>
      <c r="F288" s="103" t="str">
        <f ca="1">IFERROR(__xludf.DUMMYFUNCTION("IMPORTRANGE(H288,""IDENTITAS UNIT!D9"")"),"https://goo.gl/maps/sxbkw9YzAf22aZtp9")</f>
        <v>https://goo.gl/maps/sxbkw9YzAf22aZtp9</v>
      </c>
      <c r="G288" s="4" t="s">
        <v>12908</v>
      </c>
      <c r="H288" s="101" t="str">
        <v>https://docs.google.com/spreadsheets/d/1VBIFWNzu4ZyE7Y8gI-koV7eH1KkE2kYEabvwLkoyQHA</v>
      </c>
      <c r="I288" s="101" t="str">
        <v>https://docs.google.com/open?id=1VBIFWNzu4ZyE7Y8gI-koV7eH1KkE2kYEabvwLkoyQHA</v>
      </c>
      <c r="J288" s="4" t="str">
        <v>Slanden, Banjaroyo, Kalibawang</v>
      </c>
      <c r="L288" s="99" t="str">
        <f ca="1">IFERROR(__xludf.DUMMYFUNCTION("IMPORTRANGE(H288,""IDENTITAS UNIT!D35"")"),"Moh. Ihzarull Haaq")</f>
        <v>Moh. Ihzarull Haaq</v>
      </c>
    </row>
    <row r="289" spans="1:12" ht="16.5" hidden="1">
      <c r="A289" s="4" t="str">
        <v>Reguler Periode ke-101 XVI.A.1</v>
      </c>
      <c r="B289" s="4" t="str">
        <v>Reguler Periode ke-101</v>
      </c>
      <c r="C289" s="4" t="str">
        <v>XVI.A.1</v>
      </c>
      <c r="D289" s="101" t="str">
        <v>https://drive.google.com/open?id=1Es6h2bPMIK8HsDuzV7ioeTJf-2Khr8Dv68dgUc1gUFA&amp;usp=drive_copy</v>
      </c>
      <c r="E289" s="101" t="str">
        <v>https://drive.google.com/open?id=1Es6h2bPMIK8HsDuzV7ioeTJf-2Khr8Dv68dgUc1gUFA</v>
      </c>
      <c r="F289" s="102" t="str">
        <f ca="1">IFERROR(__xludf.DUMMYFUNCTION("IMPORTRANGE(H289,""IDENTITAS UNIT!D9"")"),"")</f>
        <v/>
      </c>
      <c r="H289" s="101" t="str">
        <v>https://docs.google.com/spreadsheets/d/1Es6h2bPMIK8HsDuzV7ioeTJf-2Khr8Dv68dgUc1gUFA</v>
      </c>
      <c r="I289" s="101" t="str">
        <v>https://docs.google.com/open?id=1Es6h2bPMIK8HsDuzV7ioeTJf-2Khr8Dv68dgUc1gUFA</v>
      </c>
      <c r="J289" s="4" t="str">
        <v>Semawung, Banjaroyo, Kalibawang</v>
      </c>
      <c r="L289" s="99" t="str">
        <f ca="1">IFERROR(__xludf.DUMMYFUNCTION("IMPORTRANGE(H289,""IDENTITAS UNIT!D35"")"),"Wahid Kurniawan")</f>
        <v>Wahid Kurniawan</v>
      </c>
    </row>
    <row r="290" spans="1:12" ht="16.5" hidden="1">
      <c r="A290" s="4" t="str">
        <v>Reguler Periode ke-101 XVI.A.2</v>
      </c>
      <c r="B290" s="4" t="str">
        <v>Reguler Periode ke-101</v>
      </c>
      <c r="C290" s="4" t="str">
        <v>XVI.A.2</v>
      </c>
      <c r="D290" s="101" t="str">
        <v>https://drive.google.com/open?id=1GqkYkQuEJEjU5J0ZRInGet7apy2Crxxg2bkyABnVSs0&amp;usp=drive_copy</v>
      </c>
      <c r="E290" s="101" t="str">
        <v>https://drive.google.com/open?id=1GqkYkQuEJEjU5J0ZRInGet7apy2Crxxg2bkyABnVSs0</v>
      </c>
      <c r="F290" s="102" t="str">
        <f ca="1">IFERROR(__xludf.DUMMYFUNCTION("IMPORTRANGE(H290,""IDENTITAS UNIT!D9"")"),"")</f>
        <v/>
      </c>
      <c r="H290" s="101" t="str">
        <v>https://docs.google.com/spreadsheets/d/1GqkYkQuEJEjU5J0ZRInGet7apy2Crxxg2bkyABnVSs0</v>
      </c>
      <c r="I290" s="101" t="str">
        <v>https://docs.google.com/open?id=1GqkYkQuEJEjU5J0ZRInGet7apy2Crxxg2bkyABnVSs0</v>
      </c>
      <c r="J290" s="4" t="str">
        <v>Tanjung, Banjaroyo, Kalibawang</v>
      </c>
      <c r="L290" s="99" t="str">
        <f ca="1">IFERROR(__xludf.DUMMYFUNCTION("IMPORTRANGE(H290,""IDENTITAS UNIT!D35"")"),"Muhammad Daffa Muntholib")</f>
        <v>Muhammad Daffa Muntholib</v>
      </c>
    </row>
    <row r="291" spans="1:12" ht="49.5" hidden="1">
      <c r="A291" s="4" t="str">
        <v>Reguler Periode ke-101 XVI.A.3</v>
      </c>
      <c r="B291" s="4" t="str">
        <v>Reguler Periode ke-101</v>
      </c>
      <c r="C291" s="4" t="str">
        <v>XVI.A.3</v>
      </c>
      <c r="D291" s="101" t="str">
        <v>https://drive.google.com/open?id=1HTaVZe1FFZP8z6EJtKgSrY71HOWk1fPYEpqK9U86A_I&amp;usp=drive_copy</v>
      </c>
      <c r="E291" s="101" t="str">
        <v>https://drive.google.com/open?id=1HTaVZe1FFZP8z6EJtKgSrY71HOWk1fPYEpqK9U86A_I</v>
      </c>
      <c r="F291" s="103" t="str">
        <f ca="1">IFERROR(__xludf.DUMMYFUNCTION("IMPORTRANGE(H291,""IDENTITAS UNIT!D9"")"),"https://maps.app.goo.gl/iCpmy7KJveA2gge2A")</f>
        <v>https://maps.app.goo.gl/iCpmy7KJveA2gge2A</v>
      </c>
      <c r="G291" s="4" t="s">
        <v>12909</v>
      </c>
      <c r="H291" s="101" t="str">
        <v>https://docs.google.com/spreadsheets/d/1HTaVZe1FFZP8z6EJtKgSrY71HOWk1fPYEpqK9U86A_I</v>
      </c>
      <c r="I291" s="101" t="str">
        <v>https://docs.google.com/open?id=1HTaVZe1FFZP8z6EJtKgSrY71HOWk1fPYEpqK9U86A_I</v>
      </c>
      <c r="J291" s="4" t="str">
        <v>Tonogoro, Banjaroyo, Kalibawang</v>
      </c>
      <c r="L291" s="99" t="str">
        <f ca="1">IFERROR(__xludf.DUMMYFUNCTION("IMPORTRANGE(H291,""IDENTITAS UNIT!D35"")"),"Muhammad Yusuf Al Jum'ah")</f>
        <v>Muhammad Yusuf Al Jum'ah</v>
      </c>
    </row>
    <row r="292" spans="1:12" ht="49.5" hidden="1">
      <c r="A292" s="4" t="str">
        <v>Reguler Periode ke-101 XVI.B.1</v>
      </c>
      <c r="B292" s="4" t="str">
        <v>Reguler Periode ke-101</v>
      </c>
      <c r="C292" s="4" t="str">
        <v>XVI.B.1</v>
      </c>
      <c r="D292" s="101" t="str">
        <v>https://drive.google.com/open?id=1SHUnS4dncNpz7YCd-hB6suWOY-kxE5GaGxxjn7571Oo&amp;usp=drive_copy</v>
      </c>
      <c r="E292" s="101" t="str">
        <v>https://drive.google.com/open?id=1SHUnS4dncNpz7YCd-hB6suWOY-kxE5GaGxxjn7571Oo</v>
      </c>
      <c r="F292" s="103" t="str">
        <f ca="1">IFERROR(__xludf.DUMMYFUNCTION("IMPORTRANGE(H292,""IDENTITAS UNIT!D9"")"),"https://maps.app.goo.gl/h8hTg2RaBozBb3Un6?g_st=iw")</f>
        <v>https://maps.app.goo.gl/h8hTg2RaBozBb3Un6?g_st=iw</v>
      </c>
      <c r="G292" s="4" t="s">
        <v>12910</v>
      </c>
      <c r="H292" s="101" t="str">
        <v>https://docs.google.com/spreadsheets/d/1SHUnS4dncNpz7YCd-hB6suWOY-kxE5GaGxxjn7571Oo</v>
      </c>
      <c r="I292" s="101" t="str">
        <v>https://docs.google.com/open?id=1SHUnS4dncNpz7YCd-hB6suWOY-kxE5GaGxxjn7571Oo</v>
      </c>
      <c r="J292" s="4" t="str">
        <v>Kepiton, Banjarasri, Kalibawang</v>
      </c>
      <c r="L292" s="99" t="str">
        <f ca="1">IFERROR(__xludf.DUMMYFUNCTION("IMPORTRANGE(H292,""IDENTITAS UNIT!D35"")"),"")</f>
        <v/>
      </c>
    </row>
    <row r="293" spans="1:12" ht="49.5" hidden="1">
      <c r="A293" s="4" t="str">
        <v>Reguler Periode ke-101 XVI.B.2</v>
      </c>
      <c r="B293" s="4" t="str">
        <v>Reguler Periode ke-101</v>
      </c>
      <c r="C293" s="4" t="str">
        <v>XVI.B.2</v>
      </c>
      <c r="D293" s="101" t="str">
        <v>https://drive.google.com/open?id=1nrzWTiKA9ldC2FGpwiAyr3risojtNYjoRHz63RvDSfg&amp;usp=drive_copy</v>
      </c>
      <c r="E293" s="101" t="str">
        <v>https://drive.google.com/open?id=1nrzWTiKA9ldC2FGpwiAyr3risojtNYjoRHz63RvDSfg</v>
      </c>
      <c r="F293" s="103" t="str">
        <f ca="1">IFERROR(__xludf.DUMMYFUNCTION("IMPORTRANGE(H293,""IDENTITAS UNIT!D9"")"),"https://goo.gl/maps/NEPZhm2ZwZGT8MbH6")</f>
        <v>https://goo.gl/maps/NEPZhm2ZwZGT8MbH6</v>
      </c>
      <c r="H293" s="101" t="str">
        <v>https://docs.google.com/spreadsheets/d/1nrzWTiKA9ldC2FGpwiAyr3risojtNYjoRHz63RvDSfg</v>
      </c>
      <c r="I293" s="101" t="str">
        <v>https://docs.google.com/open?id=1nrzWTiKA9ldC2FGpwiAyr3risojtNYjoRHz63RvDSfg</v>
      </c>
      <c r="J293" s="4" t="str">
        <v>Semak, Banjarasri, Kalibawang</v>
      </c>
      <c r="L293" s="99" t="str">
        <f ca="1">IFERROR(__xludf.DUMMYFUNCTION("IMPORTRANGE(H293,""IDENTITAS UNIT!D35"")"),"Ariz Zihad Dudin Muslim")</f>
        <v>Ariz Zihad Dudin Muslim</v>
      </c>
    </row>
    <row r="294" spans="1:12" ht="49.5" hidden="1">
      <c r="A294" s="4" t="str">
        <v>Reguler Periode ke-101 XVI.B.3</v>
      </c>
      <c r="B294" s="4" t="str">
        <v>Reguler Periode ke-101</v>
      </c>
      <c r="C294" s="4" t="str">
        <v>XVI.B.3</v>
      </c>
      <c r="D294" s="101" t="str">
        <v>https://drive.google.com/open?id=1qFc_9tU5EuyCio1Xr_H-k3r6k_LmSw9oxgysADhEUVY&amp;usp=drive_copy</v>
      </c>
      <c r="E294" s="101" t="str">
        <v>https://drive.google.com/open?id=1qFc_9tU5EuyCio1Xr_H-k3r6k_LmSw9oxgysADhEUVY</v>
      </c>
      <c r="F294" s="103" t="str">
        <f ca="1">IFERROR(__xludf.DUMMYFUNCTION("IMPORTRANGE(H294,""IDENTITAS UNIT!D9"")")," https://maps.app.goo.gl/dJ88LoEajRzkLjfL8")</f>
        <v xml:space="preserve"> https://maps.app.goo.gl/dJ88LoEajRzkLjfL8</v>
      </c>
      <c r="H294" s="101" t="str">
        <v>https://docs.google.com/spreadsheets/d/1qFc_9tU5EuyCio1Xr_H-k3r6k_LmSw9oxgysADhEUVY</v>
      </c>
      <c r="I294" s="101" t="str">
        <v>https://docs.google.com/open?id=1qFc_9tU5EuyCio1Xr_H-k3r6k_LmSw9oxgysADhEUVY</v>
      </c>
      <c r="J294" s="4" t="str">
        <v>Kisik, Banjarasri, Kalibawang</v>
      </c>
      <c r="L294" s="99" t="str">
        <f ca="1">IFERROR(__xludf.DUMMYFUNCTION("IMPORTRANGE(H294,""IDENTITAS UNIT!D35"")"),"Aan Sebastian")</f>
        <v>Aan Sebastian</v>
      </c>
    </row>
    <row r="295" spans="1:12" ht="49.5" hidden="1">
      <c r="A295" s="4" t="str">
        <v>Reguler Periode ke-101 XVI.C.1</v>
      </c>
      <c r="B295" s="4" t="str">
        <v>Reguler Periode ke-101</v>
      </c>
      <c r="C295" s="4" t="str">
        <v>XVI.C.1</v>
      </c>
      <c r="D295" s="101" t="str">
        <v>https://drive.google.com/open?id=1D51xmYYsDlWkRFPh_MU2uGUmjNrYLMcOxoPoM89_OLg&amp;usp=drive_copy</v>
      </c>
      <c r="E295" s="101" t="str">
        <v>https://drive.google.com/open?id=1D51xmYYsDlWkRFPh_MU2uGUmjNrYLMcOxoPoM89_OLg</v>
      </c>
      <c r="F295" s="103" t="str">
        <f ca="1">IFERROR(__xludf.DUMMYFUNCTION("IMPORTRANGE(H295,""IDENTITAS UNIT!D9"")"),"https://maps.app.goo.gl/hm9tpPKjsT2NsMkD7")</f>
        <v>https://maps.app.goo.gl/hm9tpPKjsT2NsMkD7</v>
      </c>
      <c r="H295" s="101" t="str">
        <v>https://docs.google.com/spreadsheets/d/1D51xmYYsDlWkRFPh_MU2uGUmjNrYLMcOxoPoM89_OLg</v>
      </c>
      <c r="I295" s="101" t="str">
        <v>https://docs.google.com/open?id=1D51xmYYsDlWkRFPh_MU2uGUmjNrYLMcOxoPoM89_OLg</v>
      </c>
      <c r="J295" s="4" t="str">
        <v>Ganasari, Banjarasri, Kalibawang</v>
      </c>
      <c r="L295" s="99" t="str">
        <f ca="1">IFERROR(__xludf.DUMMYFUNCTION("IMPORTRANGE(H295,""IDENTITAS UNIT!D35"")"),"Rifqi Ibadi Bosma")</f>
        <v>Rifqi Ibadi Bosma</v>
      </c>
    </row>
    <row r="296" spans="1:12" ht="49.5" hidden="1">
      <c r="A296" s="4" t="str">
        <v>Reguler Periode ke-101 XVI.C.2</v>
      </c>
      <c r="B296" s="4" t="str">
        <v>Reguler Periode ke-101</v>
      </c>
      <c r="C296" s="4" t="str">
        <v>XVI.C.2</v>
      </c>
      <c r="D296" s="101" t="str">
        <v>https://drive.google.com/open?id=1EfpRu0AWiuGZi-50E9z77xjsobE5vbJ4yk7Pv_htQlU&amp;usp=drive_copy</v>
      </c>
      <c r="E296" s="101" t="str">
        <v>https://drive.google.com/open?id=1EfpRu0AWiuGZi-50E9z77xjsobE5vbJ4yk7Pv_htQlU</v>
      </c>
      <c r="F296" s="103" t="str">
        <f ca="1">IFERROR(__xludf.DUMMYFUNCTION("IMPORTRANGE(H296,""IDENTITAS UNIT!D9"")"),"https://goo.gl/maps/GqTSd3M15MW3eHXE7")</f>
        <v>https://goo.gl/maps/GqTSd3M15MW3eHXE7</v>
      </c>
      <c r="G296" s="4" t="s">
        <v>12911</v>
      </c>
      <c r="H296" s="101" t="str">
        <v>https://docs.google.com/spreadsheets/d/1EfpRu0AWiuGZi-50E9z77xjsobE5vbJ4yk7Pv_htQlU</v>
      </c>
      <c r="I296" s="101" t="str">
        <v>https://docs.google.com/open?id=1EfpRu0AWiuGZi-50E9z77xjsobE5vbJ4yk7Pv_htQlU</v>
      </c>
      <c r="J296" s="4" t="str">
        <v>Paras, Banjarasri, Kalibawang</v>
      </c>
      <c r="L296" s="99" t="str">
        <f ca="1">IFERROR(__xludf.DUMMYFUNCTION("IMPORTRANGE(H296,""IDENTITAS UNIT!D35"")"),"Yan Saputra Wijoyo")</f>
        <v>Yan Saputra Wijoyo</v>
      </c>
    </row>
    <row r="297" spans="1:12" ht="49.5" hidden="1">
      <c r="A297" s="4" t="str">
        <v>Reguler Periode ke-101 XVI.C.3</v>
      </c>
      <c r="B297" s="4" t="str">
        <v>Reguler Periode ke-101</v>
      </c>
      <c r="C297" s="4" t="str">
        <v>XVI.C.3</v>
      </c>
      <c r="D297" s="101" t="str">
        <v>https://drive.google.com/open?id=1G9ZO3Ij_Px1N41zViF2lPSFfVn8iHHuSPCtMPo86bH4&amp;usp=drive_copy</v>
      </c>
      <c r="E297" s="101" t="str">
        <v>https://drive.google.com/open?id=1G9ZO3Ij_Px1N41zViF2lPSFfVn8iHHuSPCtMPo86bH4</v>
      </c>
      <c r="F297" s="103" t="str">
        <f ca="1">IFERROR(__xludf.DUMMYFUNCTION("IMPORTRANGE(H297,""IDENTITAS UNIT!D9"")"),"https://maps.app.goo.gl/HtCNnHV1Dz6jyf4L7")</f>
        <v>https://maps.app.goo.gl/HtCNnHV1Dz6jyf4L7</v>
      </c>
      <c r="H297" s="101" t="str">
        <v>https://docs.google.com/spreadsheets/d/1G9ZO3Ij_Px1N41zViF2lPSFfVn8iHHuSPCtMPo86bH4</v>
      </c>
      <c r="I297" s="101" t="str">
        <v>https://docs.google.com/open?id=1G9ZO3Ij_Px1N41zViF2lPSFfVn8iHHuSPCtMPo86bH4</v>
      </c>
      <c r="J297" s="4" t="str">
        <v>Jurang, Banjarharjo, Kalibawang</v>
      </c>
      <c r="L297" s="99" t="str">
        <f ca="1">IFERROR(__xludf.DUMMYFUNCTION("IMPORTRANGE(H297,""IDENTITAS UNIT!D35"")"),"Arga Aulia Rahman")</f>
        <v>Arga Aulia Rahman</v>
      </c>
    </row>
    <row r="298" spans="1:12" ht="49.5" hidden="1">
      <c r="A298" s="4" t="str">
        <v>Reguler Periode ke-101 XVI.D.1</v>
      </c>
      <c r="B298" s="4" t="str">
        <v>Reguler Periode ke-101</v>
      </c>
      <c r="C298" s="4" t="str">
        <v>XVI.D.1</v>
      </c>
      <c r="D298" s="101" t="str">
        <v>https://drive.google.com/open?id=1KdqwKBtk-yEflHK_cIrmFrH-o0x9R7tXlkmmlGwwtS4&amp;usp=drive_copy</v>
      </c>
      <c r="E298" s="101" t="str">
        <v>https://drive.google.com/open?id=1KdqwKBtk-yEflHK_cIrmFrH-o0x9R7tXlkmmlGwwtS4</v>
      </c>
      <c r="F298" s="103" t="str">
        <f ca="1">IFERROR(__xludf.DUMMYFUNCTION("IMPORTRANGE(H298,""IDENTITAS UNIT!D9"")"),"https://goo.gl/maps/CFjAyRvP4qrQyLyy5")</f>
        <v>https://goo.gl/maps/CFjAyRvP4qrQyLyy5</v>
      </c>
      <c r="G298" s="4" t="s">
        <v>12912</v>
      </c>
      <c r="H298" s="101" t="str">
        <v>https://docs.google.com/spreadsheets/d/1KdqwKBtk-yEflHK_cIrmFrH-o0x9R7tXlkmmlGwwtS4</v>
      </c>
      <c r="I298" s="101" t="str">
        <v>https://docs.google.com/open?id=1KdqwKBtk-yEflHK_cIrmFrH-o0x9R7tXlkmmlGwwtS4</v>
      </c>
      <c r="J298" s="4" t="str">
        <v>Bogo, Banjarharjo, Kalibawang</v>
      </c>
      <c r="L298" s="99" t="str">
        <f ca="1">IFERROR(__xludf.DUMMYFUNCTION("IMPORTRANGE(H298,""IDENTITAS UNIT!D35"")"),"Tri Fungsihono")</f>
        <v>Tri Fungsihono</v>
      </c>
    </row>
    <row r="299" spans="1:12" ht="49.5" hidden="1">
      <c r="A299" s="4" t="str">
        <v>Reguler Periode ke-101 XVI.D.2</v>
      </c>
      <c r="B299" s="4" t="str">
        <v>Reguler Periode ke-101</v>
      </c>
      <c r="C299" s="4" t="str">
        <v>XVI.D.2</v>
      </c>
      <c r="D299" s="101" t="str">
        <v>https://drive.google.com/open?id=1Qa-Rt-lPbfDnuTDFE_19OQ6U0Vwv9FKOcpnhbmelh6w&amp;usp=drive_copy</v>
      </c>
      <c r="E299" s="101" t="str">
        <v>https://drive.google.com/open?id=1Qa-Rt-lPbfDnuTDFE_19OQ6U0Vwv9FKOcpnhbmelh6w</v>
      </c>
      <c r="F299" s="103" t="str">
        <f ca="1">IFERROR(__xludf.DUMMYFUNCTION("IMPORTRANGE(H299,""IDENTITAS UNIT!D9"")"),"https://goo.gl/maps/keDpbQYcV7mZpffk7")</f>
        <v>https://goo.gl/maps/keDpbQYcV7mZpffk7</v>
      </c>
      <c r="H299" s="101" t="str">
        <v>https://docs.google.com/spreadsheets/d/1Qa-Rt-lPbfDnuTDFE_19OQ6U0Vwv9FKOcpnhbmelh6w</v>
      </c>
      <c r="I299" s="101" t="str">
        <v>https://docs.google.com/open?id=1Qa-Rt-lPbfDnuTDFE_19OQ6U0Vwv9FKOcpnhbmelh6w</v>
      </c>
      <c r="J299" s="4" t="str">
        <v>Srandu, Banjarharjo, Kalibawang</v>
      </c>
      <c r="L299" s="99" t="str">
        <f ca="1">IFERROR(__xludf.DUMMYFUNCTION("IMPORTRANGE(H299,""IDENTITAS UNIT!D35"")"),"M. Irfan Gustian")</f>
        <v>M. Irfan Gustian</v>
      </c>
    </row>
    <row r="300" spans="1:12" ht="49.5" hidden="1">
      <c r="A300" s="4" t="str">
        <v>Reguler Periode ke-101 XVI.D.3</v>
      </c>
      <c r="B300" s="4" t="str">
        <v>Reguler Periode ke-101</v>
      </c>
      <c r="C300" s="4" t="str">
        <v>XVI.D.3</v>
      </c>
      <c r="D300" s="101" t="str">
        <v>https://drive.google.com/open?id=1SiaExMdZMm1Dni-vyfUNFOrWmmVsozZMLGGJM0q_hnQ&amp;usp=drive_copy</v>
      </c>
      <c r="E300" s="101" t="str">
        <v>https://drive.google.com/open?id=1SiaExMdZMm1Dni-vyfUNFOrWmmVsozZMLGGJM0q_hnQ</v>
      </c>
      <c r="F300" s="103" t="str">
        <f ca="1">IFERROR(__xludf.DUMMYFUNCTION("IMPORTRANGE(H300,""IDENTITAS UNIT!D9"")"),"https://maps.app.goo.gl/qNtLFKTgbq6zkp686")</f>
        <v>https://maps.app.goo.gl/qNtLFKTgbq6zkp686</v>
      </c>
      <c r="H300" s="101" t="str">
        <v>https://docs.google.com/spreadsheets/d/1SiaExMdZMm1Dni-vyfUNFOrWmmVsozZMLGGJM0q_hnQ</v>
      </c>
      <c r="I300" s="101" t="str">
        <v>https://docs.google.com/open?id=1SiaExMdZMm1Dni-vyfUNFOrWmmVsozZMLGGJM0q_hnQ</v>
      </c>
      <c r="J300" s="4" t="str">
        <v>Duwet 1, Banjarharjo, Kalibawang</v>
      </c>
      <c r="L300" s="99" t="str">
        <f ca="1">IFERROR(__xludf.DUMMYFUNCTION("IMPORTRANGE(H300,""IDENTITAS UNIT!D35"")"),"Pashawa Khotob")</f>
        <v>Pashawa Khotob</v>
      </c>
    </row>
    <row r="301" spans="1:12" ht="49.5" hidden="1">
      <c r="A301" s="4" t="str">
        <v>Reguler Periode ke-101 XVII.A.1</v>
      </c>
      <c r="B301" s="4" t="str">
        <v>Reguler Periode ke-101</v>
      </c>
      <c r="C301" s="4" t="str">
        <v>XVII.A.1</v>
      </c>
      <c r="D301" s="101" t="str">
        <v>https://drive.google.com/open?id=1ZmpHtiGG6GHbJ3t4f7m6mVz6YP-37MXVLkmgSzjbKqg&amp;usp=drive_copy</v>
      </c>
      <c r="E301" s="101" t="str">
        <v>https://drive.google.com/open?id=1ZmpHtiGG6GHbJ3t4f7m6mVz6YP-37MXVLkmgSzjbKqg</v>
      </c>
      <c r="F301" s="103" t="str">
        <f ca="1">IFERROR(__xludf.DUMMYFUNCTION("IMPORTRANGE(H301,""IDENTITAS UNIT!D9"")"),"https://goo.gl/maps/XQEb2RbiUDM4hVm28")</f>
        <v>https://goo.gl/maps/XQEb2RbiUDM4hVm28</v>
      </c>
      <c r="G301" s="4" t="s">
        <v>12913</v>
      </c>
      <c r="H301" s="101" t="str">
        <v>https://docs.google.com/spreadsheets/d/1ZmpHtiGG6GHbJ3t4f7m6mVz6YP-37MXVLkmgSzjbKqg</v>
      </c>
      <c r="I301" s="101" t="str">
        <v>https://docs.google.com/open?id=1ZmpHtiGG6GHbJ3t4f7m6mVz6YP-37MXVLkmgSzjbKqg</v>
      </c>
      <c r="J301" s="4" t="str">
        <v>Padaan Wetan, Banjarharjo, Kalibawang</v>
      </c>
      <c r="L301" s="99" t="str">
        <f ca="1">IFERROR(__xludf.DUMMYFUNCTION("IMPORTRANGE(H301,""IDENTITAS UNIT!D35"")"),"Mirza Kasoma Anshori")</f>
        <v>Mirza Kasoma Anshori</v>
      </c>
    </row>
    <row r="302" spans="1:12" ht="49.5" hidden="1">
      <c r="A302" s="4" t="str">
        <v>Reguler Periode ke-101 XVII.A.2</v>
      </c>
      <c r="B302" s="4" t="str">
        <v>Reguler Periode ke-101</v>
      </c>
      <c r="C302" s="4" t="str">
        <v>XVII.A.2</v>
      </c>
      <c r="D302" s="101" t="str">
        <v>https://drive.google.com/open?id=1ZXjnCYh3jDAeWfSq0f_qyjwCjqi05SxL2zJI-NPAl-s&amp;usp=drive_copy</v>
      </c>
      <c r="E302" s="101" t="str">
        <v>https://drive.google.com/open?id=1ZXjnCYh3jDAeWfSq0f_qyjwCjqi05SxL2zJI-NPAl-s</v>
      </c>
      <c r="F302" s="103" t="str">
        <f ca="1">IFERROR(__xludf.DUMMYFUNCTION("IMPORTRANGE(H302,""IDENTITAS UNIT!D9"")"),"https://maps.app.goo.gl/4myCEZih7tLFsPpSA")</f>
        <v>https://maps.app.goo.gl/4myCEZih7tLFsPpSA</v>
      </c>
      <c r="G302" s="4" t="s">
        <v>12914</v>
      </c>
      <c r="H302" s="101" t="str">
        <v>https://docs.google.com/spreadsheets/d/1ZXjnCYh3jDAeWfSq0f_qyjwCjqi05SxL2zJI-NPAl-s</v>
      </c>
      <c r="I302" s="101" t="str">
        <v>https://docs.google.com/open?id=1ZXjnCYh3jDAeWfSq0f_qyjwCjqi05SxL2zJI-NPAl-s</v>
      </c>
      <c r="J302" s="4" t="str">
        <v>Padaan Kulon, Banjarharjo, Kalibawang</v>
      </c>
      <c r="L302" s="99" t="str">
        <f ca="1">IFERROR(__xludf.DUMMYFUNCTION("IMPORTRANGE(H302,""IDENTITAS UNIT!D35"")"),"Muhammad Irfan Fajru Ramadhan")</f>
        <v>Muhammad Irfan Fajru Ramadhan</v>
      </c>
    </row>
    <row r="303" spans="1:12" ht="49.5" hidden="1">
      <c r="A303" s="4" t="str">
        <v>Reguler Periode ke-101 XVII.A.3</v>
      </c>
      <c r="B303" s="4" t="str">
        <v>Reguler Periode ke-101</v>
      </c>
      <c r="C303" s="4" t="str">
        <v>XVII.A.3</v>
      </c>
      <c r="D303" s="101" t="str">
        <v>https://drive.google.com/open?id=1bd8DiGbSEZ3QJvrXK0bY80Zj7MSMvsa5mYzSSC_NGU8&amp;usp=drive_copy</v>
      </c>
      <c r="E303" s="101" t="str">
        <v>https://drive.google.com/open?id=1bd8DiGbSEZ3QJvrXK0bY80Zj7MSMvsa5mYzSSC_NGU8</v>
      </c>
      <c r="F303" s="103" t="str">
        <f ca="1">IFERROR(__xludf.DUMMYFUNCTION("IMPORTRANGE(H303,""IDENTITAS UNIT!D9"")"),"https://goo.gl/maps/qtCuNBUmH8qk2Rti7")</f>
        <v>https://goo.gl/maps/qtCuNBUmH8qk2Rti7</v>
      </c>
      <c r="H303" s="101" t="str">
        <v>https://docs.google.com/spreadsheets/d/1bd8DiGbSEZ3QJvrXK0bY80Zj7MSMvsa5mYzSSC_NGU8</v>
      </c>
      <c r="I303" s="101" t="str">
        <v>https://docs.google.com/open?id=1bd8DiGbSEZ3QJvrXK0bY80Zj7MSMvsa5mYzSSC_NGU8</v>
      </c>
      <c r="J303" s="4" t="str">
        <v>Demangan, Banjarharjo, Kalibawang</v>
      </c>
      <c r="L303" s="99" t="str">
        <f ca="1">IFERROR(__xludf.DUMMYFUNCTION("IMPORTRANGE(H303,""IDENTITAS UNIT!D35"")"),"Ricky Priyan Utama")</f>
        <v>Ricky Priyan Utama</v>
      </c>
    </row>
    <row r="304" spans="1:12" ht="49.5" hidden="1">
      <c r="A304" s="4" t="str">
        <v>Reguler Periode ke-101 XVII.B.1</v>
      </c>
      <c r="B304" s="4" t="str">
        <v>Reguler Periode ke-101</v>
      </c>
      <c r="C304" s="4" t="str">
        <v>XVII.B.1</v>
      </c>
      <c r="D304" s="101" t="str">
        <v>https://drive.google.com/open?id=1TkTdkXWko63gVKw4ClRaliysr9nonpq8lJ-_glqYxpw&amp;usp=drive_copy</v>
      </c>
      <c r="E304" s="101" t="str">
        <v>https://drive.google.com/open?id=1TkTdkXWko63gVKw4ClRaliysr9nonpq8lJ-_glqYxpw</v>
      </c>
      <c r="F304" s="103" t="str">
        <f ca="1">IFERROR(__xludf.DUMMYFUNCTION("IMPORTRANGE(H304,""IDENTITAS UNIT!D9"")"),"https://goo.gl/maps/ut2yri1eZidFyYH57")</f>
        <v>https://goo.gl/maps/ut2yri1eZidFyYH57</v>
      </c>
      <c r="G304" s="4" t="s">
        <v>12915</v>
      </c>
      <c r="H304" s="101" t="str">
        <v>https://docs.google.com/spreadsheets/d/1TkTdkXWko63gVKw4ClRaliysr9nonpq8lJ-_glqYxpw</v>
      </c>
      <c r="I304" s="101" t="str">
        <v>https://docs.google.com/open?id=1TkTdkXWko63gVKw4ClRaliysr9nonpq8lJ-_glqYxpw</v>
      </c>
      <c r="J304" s="4" t="str">
        <v>Semawung, Banjarharjo, Kalibawang</v>
      </c>
      <c r="L304" s="99" t="str">
        <f ca="1">IFERROR(__xludf.DUMMYFUNCTION("IMPORTRANGE(H304,""IDENTITAS UNIT!D35"")"),"Habib Miladika")</f>
        <v>Habib Miladika</v>
      </c>
    </row>
    <row r="305" spans="1:12" ht="16.5" hidden="1">
      <c r="A305" s="4" t="str">
        <v>Reguler Periode ke-101 XVII.B.2</v>
      </c>
      <c r="B305" s="4" t="str">
        <v>Reguler Periode ke-101</v>
      </c>
      <c r="C305" s="4" t="str">
        <v>XVII.B.2</v>
      </c>
      <c r="D305" s="101" t="str">
        <v>https://drive.google.com/open?id=1dzPt8b1d5eT0B7pQ_hU2et97TdFkZsm9N9j23a9t6EI&amp;usp=drive_copy</v>
      </c>
      <c r="E305" s="101" t="str">
        <v>https://drive.google.com/open?id=1dzPt8b1d5eT0B7pQ_hU2et97TdFkZsm9N9j23a9t6EI</v>
      </c>
      <c r="F305" s="102" t="str">
        <f ca="1">IFERROR(__xludf.DUMMYFUNCTION("IMPORTRANGE(H305,""IDENTITAS UNIT!D9"")"),"")</f>
        <v/>
      </c>
      <c r="H305" s="101" t="str">
        <v>https://docs.google.com/spreadsheets/d/1dzPt8b1d5eT0B7pQ_hU2et97TdFkZsm9N9j23a9t6EI</v>
      </c>
      <c r="I305" s="101" t="str">
        <v>https://docs.google.com/open?id=1dzPt8b1d5eT0B7pQ_hU2et97TdFkZsm9N9j23a9t6EI</v>
      </c>
      <c r="J305" s="4" t="str">
        <v>Salam, Banjarharjo, Kalibawang</v>
      </c>
      <c r="L305" s="99" t="str">
        <f ca="1">IFERROR(__xludf.DUMMYFUNCTION("IMPORTRANGE(H305,""IDENTITAS UNIT!D35"")"),"Yoga Danang Pratama")</f>
        <v>Yoga Danang Pratama</v>
      </c>
    </row>
    <row r="306" spans="1:12" ht="49.5" hidden="1">
      <c r="A306" s="4" t="str">
        <v>Reguler Periode ke-101 XVII.B.3</v>
      </c>
      <c r="B306" s="4" t="str">
        <v>Reguler Periode ke-101</v>
      </c>
      <c r="C306" s="4" t="str">
        <v>XVII.B.3</v>
      </c>
      <c r="D306" s="101" t="str">
        <v>https://drive.google.com/open?id=1Y8yBx_fF-SEJ2Rk10WMp0ZvBOfcYbS1064Q07Wm0wno&amp;usp=drive_copy</v>
      </c>
      <c r="E306" s="101" t="str">
        <v>https://drive.google.com/open?id=1Y8yBx_fF-SEJ2Rk10WMp0ZvBOfcYbS1064Q07Wm0wno</v>
      </c>
      <c r="F306" s="103" t="str">
        <f ca="1">IFERROR(__xludf.DUMMYFUNCTION("IMPORTRANGE(H306,""IDENTITAS UNIT!D9"")"),"https://goo.gl/maps/N5Rb5Dkj7GhiU7zx7")</f>
        <v>https://goo.gl/maps/N5Rb5Dkj7GhiU7zx7</v>
      </c>
      <c r="G306" s="4" t="s">
        <v>12916</v>
      </c>
      <c r="H306" s="101" t="str">
        <v>https://docs.google.com/spreadsheets/d/1Y8yBx_fF-SEJ2Rk10WMp0ZvBOfcYbS1064Q07Wm0wno</v>
      </c>
      <c r="I306" s="101" t="str">
        <v>https://docs.google.com/open?id=1Y8yBx_fF-SEJ2Rk10WMp0ZvBOfcYbS1064Q07Wm0wno</v>
      </c>
      <c r="J306" s="4" t="str">
        <v>Cikalan, Banjarharjo, Kalibawang</v>
      </c>
      <c r="L306" s="99" t="str">
        <f ca="1">IFERROR(__xludf.DUMMYFUNCTION("IMPORTRANGE(H306,""IDENTITAS UNIT!D35"")"),"Tegar Aji Waskito")</f>
        <v>Tegar Aji Waskito</v>
      </c>
    </row>
    <row r="307" spans="1:12" ht="49.5" hidden="1">
      <c r="A307" s="4" t="str">
        <v>Reguler Periode ke-101 XVII.C.1</v>
      </c>
      <c r="B307" s="4" t="str">
        <v>Reguler Periode ke-101</v>
      </c>
      <c r="C307" s="4" t="str">
        <v>XVII.C.1</v>
      </c>
      <c r="D307" s="101" t="str">
        <v>https://drive.google.com/open?id=1ISEd3zZ3_P1FV2SCiUiV-r7i24_e-6GfzFQSFt3Oaak&amp;usp=drive_copy</v>
      </c>
      <c r="E307" s="101" t="str">
        <v>https://drive.google.com/open?id=1ISEd3zZ3_P1FV2SCiUiV-r7i24_e-6GfzFQSFt3Oaak</v>
      </c>
      <c r="F307" s="103" t="str">
        <f ca="1">IFERROR(__xludf.DUMMYFUNCTION("IMPORTRANGE(H307,""IDENTITAS UNIT!D9"")"),"https://goo.gl/maps/GzmxBTpGX56RRUwg8")</f>
        <v>https://goo.gl/maps/GzmxBTpGX56RRUwg8</v>
      </c>
      <c r="G307" s="4" t="s">
        <v>12917</v>
      </c>
      <c r="H307" s="101" t="str">
        <v>https://docs.google.com/spreadsheets/d/1ISEd3zZ3_P1FV2SCiUiV-r7i24_e-6GfzFQSFt3Oaak</v>
      </c>
      <c r="I307" s="101" t="str">
        <v>https://docs.google.com/open?id=1ISEd3zZ3_P1FV2SCiUiV-r7i24_e-6GfzFQSFt3Oaak</v>
      </c>
      <c r="J307" s="4" t="str">
        <v>Ngemplak, Banjarharjo, Kalibawang</v>
      </c>
      <c r="L307" s="99" t="str">
        <f ca="1">IFERROR(__xludf.DUMMYFUNCTION("IMPORTRANGE(H307,""IDENTITAS UNIT!D35"")"),"M. Nauval Fauzi Khatullah")</f>
        <v>M. Nauval Fauzi Khatullah</v>
      </c>
    </row>
    <row r="308" spans="1:12" ht="396" hidden="1">
      <c r="A308" s="4" t="str">
        <v>Reguler Periode ke-101 XVII.C.2</v>
      </c>
      <c r="B308" s="4" t="str">
        <v>Reguler Periode ke-101</v>
      </c>
      <c r="C308" s="4" t="str">
        <v>XVII.C.2</v>
      </c>
      <c r="D308" s="101" t="str">
        <v>https://drive.google.com/open?id=1oMvRKCsxFE6sjk4cGmyuzDcOCu378H6gDJ8b3vLGNa4&amp;usp=drive_copy</v>
      </c>
      <c r="E308" s="101" t="str">
        <v>https://drive.google.com/open?id=1oMvRKCsxFE6sjk4cGmyuzDcOCu378H6gDJ8b3vLGNa4</v>
      </c>
      <c r="F308" s="103" t="str">
        <f ca="1">IFERROR(__xludf.DUMMYFUNCTION("IMPORTRANGE(H308,""IDENTITAS UNIT!D9"")"),"https://www.google.com/maps/place/7%C2%B041'03.6%22S+110%C2%B014'30.7%22E/@-7.684161,110.2416954,3a,75y,90t/data=!3m8!1e2!3m6!1sAF1QipPO-Jxqfy9DYyjYo6uhiSmSiMSrTf9JG8GnSooK!2e10!3e12!6shttps:%2F%2Flh5.googleusercontent.com%2Fp%2FAF1QipPO-Jxqfy9DYyjYo6uhiS"&amp;"mSiMSrTf9JG8GnSooK%3Dw360-h240-k-no!7i3456!8i2304!4m5!3m4!1s0x0:0x385819e06c037831!8m2!3d-7.68432!4d110.241869")</f>
        <v>https://www.google.com/maps/place/7%C2%B041'03.6%22S+110%C2%B014'30.7%22E/@-7.684161,110.2416954,3a,75y,90t/data=!3m8!1e2!3m6!1sAF1QipPO-Jxqfy9DYyjYo6uhiSmSiMSrTf9JG8GnSooK!2e10!3e12!6shttps:%2F%2Flh5.googleusercontent.com%2Fp%2FAF1QipPO-Jxqfy9DYyjYo6uhiSmSiMSrTf9JG8GnSooK%3Dw360-h240-k-no!7i3456!8i2304!4m5!3m4!1s0x0:0x385819e06c037831!8m2!3d-7.68432!4d110.241869</v>
      </c>
      <c r="G308" s="4" t="s">
        <v>12918</v>
      </c>
      <c r="H308" s="101" t="str">
        <v>https://docs.google.com/spreadsheets/d/1oMvRKCsxFE6sjk4cGmyuzDcOCu378H6gDJ8b3vLGNa4</v>
      </c>
      <c r="I308" s="101" t="str">
        <v>https://docs.google.com/open?id=1oMvRKCsxFE6sjk4cGmyuzDcOCu378H6gDJ8b3vLGNa4</v>
      </c>
      <c r="J308" s="4" t="str">
        <v>Padaan Ngasem, Banjarharjo, Kalibawang</v>
      </c>
      <c r="L308" s="99" t="str">
        <f ca="1">IFERROR(__xludf.DUMMYFUNCTION("IMPORTRANGE(H308,""IDENTITAS UNIT!D35"")"),"Valen Anandayan")</f>
        <v>Valen Anandayan</v>
      </c>
    </row>
    <row r="309" spans="1:12" ht="16.5" hidden="1">
      <c r="A309" s="4" t="str">
        <v>Reguler Periode ke-101 XVII.C.3</v>
      </c>
      <c r="B309" s="4" t="str">
        <v>Reguler Periode ke-101</v>
      </c>
      <c r="C309" s="4" t="str">
        <v>XVII.C.3</v>
      </c>
      <c r="D309" s="101" t="str">
        <v>https://drive.google.com/open?id=1ebORm7--zDvIm4NamzjuPjOtUBAx5tZHACLcjK5Mq_c&amp;usp=drive_copy</v>
      </c>
      <c r="E309" s="101" t="str">
        <v>https://drive.google.com/open?id=1ebORm7--zDvIm4NamzjuPjOtUBAx5tZHACLcjK5Mq_c</v>
      </c>
      <c r="F309" s="102" t="str">
        <f ca="1">IFERROR(__xludf.DUMMYFUNCTION("IMPORTRANGE(H309,""IDENTITAS UNIT!D9"")"),"")</f>
        <v/>
      </c>
      <c r="H309" s="101" t="str">
        <v>https://docs.google.com/spreadsheets/d/1ebORm7--zDvIm4NamzjuPjOtUBAx5tZHACLcjK5Mq_c</v>
      </c>
      <c r="I309" s="101" t="str">
        <v>https://docs.google.com/open?id=1ebORm7--zDvIm4NamzjuPjOtUBAx5tZHACLcjK5Mq_c</v>
      </c>
      <c r="J309" s="4" t="str">
        <v>Beku, Banjarharjo, Kalibawang</v>
      </c>
      <c r="L309" s="99" t="str">
        <f ca="1">IFERROR(__xludf.DUMMYFUNCTION("IMPORTRANGE(H309,""IDENTITAS UNIT!D35"")"),"Ya'yalatama Izmayana")</f>
        <v>Ya'yalatama Izmayana</v>
      </c>
    </row>
    <row r="310" spans="1:12" ht="49.5" hidden="1">
      <c r="A310" s="4" t="str">
        <v>Reguler Periode ke-101 XVII.D.1</v>
      </c>
      <c r="B310" s="4" t="str">
        <v>Reguler Periode ke-101</v>
      </c>
      <c r="C310" s="4" t="str">
        <v>XVII.D.1</v>
      </c>
      <c r="D310" s="101" t="str">
        <v>https://drive.google.com/open?id=1r2igowZW-MNiaQKk3N14pNNARCuLmR3N_RVN2UXG0fc&amp;usp=drive_copy</v>
      </c>
      <c r="E310" s="101" t="str">
        <v>https://drive.google.com/open?id=1r2igowZW-MNiaQKk3N14pNNARCuLmR3N_RVN2UXG0fc</v>
      </c>
      <c r="F310" s="103" t="str">
        <f ca="1">IFERROR(__xludf.DUMMYFUNCTION("IMPORTRANGE(H310,""IDENTITAS UNIT!D9"")"),"https://maps.app.goo.gl/C8BHaQxnQqrfxsGx8")</f>
        <v>https://maps.app.goo.gl/C8BHaQxnQqrfxsGx8</v>
      </c>
      <c r="H310" s="101" t="str">
        <v>https://docs.google.com/spreadsheets/d/1r2igowZW-MNiaQKk3N14pNNARCuLmR3N_RVN2UXG0fc</v>
      </c>
      <c r="I310" s="101" t="str">
        <v>https://docs.google.com/open?id=1r2igowZW-MNiaQKk3N14pNNARCuLmR3N_RVN2UXG0fc</v>
      </c>
      <c r="J310" s="4" t="str">
        <v>Puyang, Purwoharjo, Samigaluh</v>
      </c>
      <c r="L310" s="99" t="str">
        <f ca="1">IFERROR(__xludf.DUMMYFUNCTION("IMPORTRANGE(H310,""IDENTITAS UNIT!D35"")"),"Ridho Pangestu")</f>
        <v>Ridho Pangestu</v>
      </c>
    </row>
    <row r="311" spans="1:12" ht="49.5" hidden="1">
      <c r="A311" s="4" t="str">
        <v>Reguler Periode ke-101 XVII.D.2</v>
      </c>
      <c r="B311" s="4" t="str">
        <v>Reguler Periode ke-101</v>
      </c>
      <c r="C311" s="4" t="str">
        <v>XVII.D.2</v>
      </c>
      <c r="D311" s="101" t="str">
        <v>https://drive.google.com/open?id=1vM1v4OZYgij_oHrdxN3QvIJKTU0ApEqNdK3duiU4VII&amp;usp=drive_copy</v>
      </c>
      <c r="E311" s="101" t="str">
        <v>https://drive.google.com/open?id=1vM1v4OZYgij_oHrdxN3QvIJKTU0ApEqNdK3duiU4VII</v>
      </c>
      <c r="F311" s="103" t="str">
        <f ca="1">IFERROR(__xludf.DUMMYFUNCTION("IMPORTRANGE(H311,""IDENTITAS UNIT!D9"")"),"https://goo.gl/maps/dbmyLMTY9jzGgmBV6")</f>
        <v>https://goo.gl/maps/dbmyLMTY9jzGgmBV6</v>
      </c>
      <c r="G311" s="4" t="s">
        <v>12919</v>
      </c>
      <c r="H311" s="101" t="str">
        <v>https://docs.google.com/spreadsheets/d/1vM1v4OZYgij_oHrdxN3QvIJKTU0ApEqNdK3duiU4VII</v>
      </c>
      <c r="I311" s="101" t="str">
        <v>https://docs.google.com/open?id=1vM1v4OZYgij_oHrdxN3QvIJKTU0ApEqNdK3duiU4VII</v>
      </c>
      <c r="J311" s="4" t="str">
        <v>Tukharjo, Purwoharjo, Samigaluh</v>
      </c>
      <c r="L311" s="99" t="str">
        <f ca="1">IFERROR(__xludf.DUMMYFUNCTION("IMPORTRANGE(H311,""IDENTITAS UNIT!D35"")"),"Imam Rahmatullah")</f>
        <v>Imam Rahmatullah</v>
      </c>
    </row>
    <row r="312" spans="1:12" ht="49.5" hidden="1">
      <c r="A312" s="4" t="str">
        <v>Reguler Periode ke-101 XVII.D.3</v>
      </c>
      <c r="B312" s="4" t="str">
        <v>Reguler Periode ke-101</v>
      </c>
      <c r="C312" s="4" t="str">
        <v>XVII.D.3</v>
      </c>
      <c r="D312" s="101" t="str">
        <v>https://drive.google.com/open?id=1wQ7Gp1aiuN3lQCKG1IF-1obOJ1fNlusp_nS6h4jRCvE&amp;usp=drive_copy</v>
      </c>
      <c r="E312" s="101" t="str">
        <v>https://drive.google.com/open?id=1wQ7Gp1aiuN3lQCKG1IF-1obOJ1fNlusp_nS6h4jRCvE</v>
      </c>
      <c r="F312" s="103" t="str">
        <f ca="1">IFERROR(__xludf.DUMMYFUNCTION("IMPORTRANGE(H312,""IDENTITAS UNIT!D9"")"),"https://maps.app.goo.gl/TeCfG4UEJy3jsHse9")</f>
        <v>https://maps.app.goo.gl/TeCfG4UEJy3jsHse9</v>
      </c>
      <c r="G312" s="4" t="s">
        <v>12920</v>
      </c>
      <c r="H312" s="101" t="str">
        <v>https://docs.google.com/spreadsheets/d/1wQ7Gp1aiuN3lQCKG1IF-1obOJ1fNlusp_nS6h4jRCvE</v>
      </c>
      <c r="I312" s="101" t="str">
        <v>https://docs.google.com/open?id=1wQ7Gp1aiuN3lQCKG1IF-1obOJ1fNlusp_nS6h4jRCvE</v>
      </c>
      <c r="J312" s="4" t="str">
        <v>Bangunrejo, Purwoharjo, Samigaluh</v>
      </c>
      <c r="L312" s="99" t="str">
        <f ca="1">IFERROR(__xludf.DUMMYFUNCTION("IMPORTRANGE(H312,""IDENTITAS UNIT!D35"")"),"Amirul Hazji Hasibuan")</f>
        <v>Amirul Hazji Hasibuan</v>
      </c>
    </row>
    <row r="313" spans="1:12" ht="49.5" hidden="1">
      <c r="A313" s="4" t="str">
        <v>Reguler Periode ke-101 XVIII.A.1</v>
      </c>
      <c r="B313" s="4" t="str">
        <v>Reguler Periode ke-101</v>
      </c>
      <c r="C313" s="4" t="str">
        <v>XVIII.A.1</v>
      </c>
      <c r="D313" s="101" t="str">
        <v>https://drive.google.com/open?id=1zAyXeE1VA3-Wx0PJNINHXJUS8KXOyKmAYwLw6GycmbE&amp;usp=drive_copy</v>
      </c>
      <c r="E313" s="101" t="str">
        <v>https://drive.google.com/open?id=1zAyXeE1VA3-Wx0PJNINHXJUS8KXOyKmAYwLw6GycmbE</v>
      </c>
      <c r="F313" s="103" t="str">
        <f ca="1">IFERROR(__xludf.DUMMYFUNCTION("IMPORTRANGE(H313,""IDENTITAS UNIT!D9"")"),"https://goo.gl/maps/26Um8QMZ1TVB62wg7")</f>
        <v>https://goo.gl/maps/26Um8QMZ1TVB62wg7</v>
      </c>
      <c r="H313" s="101" t="str">
        <v>https://docs.google.com/spreadsheets/d/1zAyXeE1VA3-Wx0PJNINHXJUS8KXOyKmAYwLw6GycmbE</v>
      </c>
      <c r="I313" s="101" t="str">
        <v>https://docs.google.com/open?id=1zAyXeE1VA3-Wx0PJNINHXJUS8KXOyKmAYwLw6GycmbE</v>
      </c>
      <c r="J313" s="4" t="str">
        <v>Madigondo, Sidoharjo, Samigaluh</v>
      </c>
      <c r="L313" s="99" t="str">
        <f ca="1">IFERROR(__xludf.DUMMYFUNCTION("IMPORTRANGE(H313,""IDENTITAS UNIT!D35"")"),"Septian Adhi Nugroho")</f>
        <v>Septian Adhi Nugroho</v>
      </c>
    </row>
    <row r="314" spans="1:12" ht="49.5" hidden="1">
      <c r="A314" s="4" t="str">
        <v>Reguler Periode ke-101 XVIII.A.2</v>
      </c>
      <c r="B314" s="4" t="str">
        <v>Reguler Periode ke-101</v>
      </c>
      <c r="C314" s="4" t="str">
        <v>XVIII.A.2</v>
      </c>
      <c r="D314" s="101" t="str">
        <v>https://drive.google.com/open?id=1vPgpyo5KwkkYOHcKUiZVN-i7Gi-n4OudoxZ86i1DynE&amp;usp=drive_copy</v>
      </c>
      <c r="E314" s="101" t="str">
        <v>https://drive.google.com/open?id=1vPgpyo5KwkkYOHcKUiZVN-i7Gi-n4OudoxZ86i1DynE</v>
      </c>
      <c r="F314" s="103" t="str">
        <f ca="1">IFERROR(__xludf.DUMMYFUNCTION("IMPORTRANGE(H314,""IDENTITAS UNIT!D9"")"),"https://goo.gl/maps/uLM9jV1XLTtGibFf8")</f>
        <v>https://goo.gl/maps/uLM9jV1XLTtGibFf8</v>
      </c>
      <c r="G314" s="4" t="s">
        <v>12921</v>
      </c>
      <c r="H314" s="101" t="str">
        <v>https://docs.google.com/spreadsheets/d/1vPgpyo5KwkkYOHcKUiZVN-i7Gi-n4OudoxZ86i1DynE</v>
      </c>
      <c r="I314" s="101" t="str">
        <v>https://docs.google.com/open?id=1vPgpyo5KwkkYOHcKUiZVN-i7Gi-n4OudoxZ86i1DynE</v>
      </c>
      <c r="J314" s="4" t="str">
        <v>Sebo, Sidoharjo, Samigaluh</v>
      </c>
      <c r="L314" s="99" t="str">
        <f ca="1">IFERROR(__xludf.DUMMYFUNCTION("IMPORTRANGE(H314,""IDENTITAS UNIT!D35"")"),"Akhmad Daffa Ramadhan")</f>
        <v>Akhmad Daffa Ramadhan</v>
      </c>
    </row>
    <row r="315" spans="1:12" ht="49.5" hidden="1">
      <c r="A315" s="4" t="str">
        <v>Reguler Periode ke-101 XVIII.A.3</v>
      </c>
      <c r="B315" s="4" t="str">
        <v>Reguler Periode ke-101</v>
      </c>
      <c r="C315" s="4" t="str">
        <v>XVIII.A.3</v>
      </c>
      <c r="D315" s="101" t="str">
        <v>https://drive.google.com/open?id=1zV8tIvGoNK8aF3W0o-01UwnkDENQdvxe7JUTwTFxozA&amp;usp=drive_copy</v>
      </c>
      <c r="E315" s="101" t="str">
        <v>https://drive.google.com/open?id=1zV8tIvGoNK8aF3W0o-01UwnkDENQdvxe7JUTwTFxozA</v>
      </c>
      <c r="F315" s="103" t="str">
        <f ca="1">IFERROR(__xludf.DUMMYFUNCTION("IMPORTRANGE(H315,""IDENTITAS UNIT!D9"")"),"https://goo.gl/maps/VCJ49FVgVuySLnq57")</f>
        <v>https://goo.gl/maps/VCJ49FVgVuySLnq57</v>
      </c>
      <c r="G315" s="4" t="s">
        <v>12922</v>
      </c>
      <c r="H315" s="101" t="str">
        <v>https://docs.google.com/spreadsheets/d/1zV8tIvGoNK8aF3W0o-01UwnkDENQdvxe7JUTwTFxozA</v>
      </c>
      <c r="I315" s="101" t="str">
        <v>https://docs.google.com/open?id=1zV8tIvGoNK8aF3W0o-01UwnkDENQdvxe7JUTwTFxozA</v>
      </c>
      <c r="J315" s="4" t="str">
        <v>Ngelambur, Sidoharjo, Samigaluh</v>
      </c>
      <c r="L315" s="99" t="str">
        <f ca="1">IFERROR(__xludf.DUMMYFUNCTION("IMPORTRANGE(H315,""IDENTITAS UNIT!D35"")"),"Muhammad Diwan Kamara")</f>
        <v>Muhammad Diwan Kamara</v>
      </c>
    </row>
    <row r="316" spans="1:12" ht="16.5" hidden="1">
      <c r="A316" s="4" t="str">
        <v>Reguler Periode ke-101 XVIII.B.1</v>
      </c>
      <c r="B316" s="4" t="str">
        <v>Reguler Periode ke-101</v>
      </c>
      <c r="C316" s="4" t="str">
        <v>XVIII.B.1</v>
      </c>
      <c r="D316" s="101" t="str">
        <v>https://drive.google.com/open?id=10-e6i2Y1dJz7V0Ow6RYSOPsODg2DKNOiq-4_fCDRCow&amp;usp=drive_copy</v>
      </c>
      <c r="E316" s="101" t="str">
        <v>https://drive.google.com/open?id=10-e6i2Y1dJz7V0Ow6RYSOPsODg2DKNOiq-4_fCDRCow</v>
      </c>
      <c r="F316" s="102" t="str">
        <f ca="1">IFERROR(__xludf.DUMMYFUNCTION("IMPORTRANGE(H316,""IDENTITAS UNIT!D9"")"),"")</f>
        <v/>
      </c>
      <c r="H316" s="101" t="str">
        <v>https://docs.google.com/spreadsheets/d/10-e6i2Y1dJz7V0Ow6RYSOPsODg2DKNOiq-4_fCDRCow</v>
      </c>
      <c r="I316" s="101" t="str">
        <v>https://docs.google.com/open?id=10-e6i2Y1dJz7V0Ow6RYSOPsODg2DKNOiq-4_fCDRCow</v>
      </c>
      <c r="J316" s="4" t="str">
        <v>Nyemani, Sidoharjo, Samigaluh</v>
      </c>
      <c r="L316" s="99" t="str">
        <f ca="1">IFERROR(__xludf.DUMMYFUNCTION("IMPORTRANGE(H316,""IDENTITAS UNIT!D35"")"),"La Ode Dimas Pramasta")</f>
        <v>La Ode Dimas Pramasta</v>
      </c>
    </row>
    <row r="317" spans="1:12" ht="49.5" hidden="1">
      <c r="A317" s="4" t="str">
        <v>Reguler Periode ke-101 XVIII.B.2</v>
      </c>
      <c r="B317" s="4" t="str">
        <v>Reguler Periode ke-101</v>
      </c>
      <c r="C317" s="4" t="str">
        <v>XVIII.B.2</v>
      </c>
      <c r="D317" s="101" t="str">
        <v>https://drive.google.com/open?id=13YSRYTciJoU95rV7WBPkBKL52TKOuw2safWr01Df0-g&amp;usp=drive_copy</v>
      </c>
      <c r="E317" s="101" t="str">
        <v>https://drive.google.com/open?id=13YSRYTciJoU95rV7WBPkBKL52TKOuw2safWr01Df0-g</v>
      </c>
      <c r="F317" s="103" t="str">
        <f ca="1">IFERROR(__xludf.DUMMYFUNCTION("IMPORTRANGE(H317,""IDENTITAS UNIT!D9"")"),"https://goo.gl/maps/J5Vb8BuKtj2jvjkJ7")</f>
        <v>https://goo.gl/maps/J5Vb8BuKtj2jvjkJ7</v>
      </c>
      <c r="G317" s="4" t="s">
        <v>12923</v>
      </c>
      <c r="H317" s="101" t="str">
        <v>https://docs.google.com/spreadsheets/d/13YSRYTciJoU95rV7WBPkBKL52TKOuw2safWr01Df0-g</v>
      </c>
      <c r="I317" s="101" t="str">
        <v>https://docs.google.com/open?id=13YSRYTciJoU95rV7WBPkBKL52TKOuw2safWr01Df0-g</v>
      </c>
      <c r="J317" s="4" t="str">
        <v>Wonogiri, Sidoharjo, Samigaluh</v>
      </c>
      <c r="L317" s="99" t="str">
        <f ca="1">IFERROR(__xludf.DUMMYFUNCTION("IMPORTRANGE(H317,""IDENTITAS UNIT!D35"")"),"Ardi Yuniardi")</f>
        <v>Ardi Yuniardi</v>
      </c>
    </row>
    <row r="318" spans="1:12" ht="49.5" hidden="1">
      <c r="A318" s="4" t="str">
        <v>Reguler Periode ke-101 XVIII.B.3</v>
      </c>
      <c r="B318" s="4" t="str">
        <v>Reguler Periode ke-101</v>
      </c>
      <c r="C318" s="4" t="str">
        <v>XVIII.B.3</v>
      </c>
      <c r="D318" s="101" t="str">
        <v>https://drive.google.com/open?id=16WA4VfPvnflY-Rpfm4rXZH29RuxySB0zyhoz031Jeqw&amp;usp=drive_copy</v>
      </c>
      <c r="E318" s="101" t="str">
        <v>https://drive.google.com/open?id=16WA4VfPvnflY-Rpfm4rXZH29RuxySB0zyhoz031Jeqw</v>
      </c>
      <c r="F318" s="103" t="str">
        <f ca="1">IFERROR(__xludf.DUMMYFUNCTION("IMPORTRANGE(H318,""IDENTITAS UNIT!D9"")"),"https://goo.gl/maps/ddpfertf1iDTcaMV7")</f>
        <v>https://goo.gl/maps/ddpfertf1iDTcaMV7</v>
      </c>
      <c r="G318" s="4" t="s">
        <v>12924</v>
      </c>
      <c r="H318" s="101" t="str">
        <v>https://docs.google.com/spreadsheets/d/16WA4VfPvnflY-Rpfm4rXZH29RuxySB0zyhoz031Jeqw</v>
      </c>
      <c r="I318" s="101" t="str">
        <v>https://docs.google.com/open?id=16WA4VfPvnflY-Rpfm4rXZH29RuxySB0zyhoz031Jeqw</v>
      </c>
      <c r="J318" s="4" t="str">
        <v>Sumoroto, Sidoharjo, Samigaluh</v>
      </c>
      <c r="L318" s="99" t="str">
        <f ca="1">IFERROR(__xludf.DUMMYFUNCTION("IMPORTRANGE(H318,""IDENTITAS UNIT!D35"")"),"Bayu Anggara")</f>
        <v>Bayu Anggara</v>
      </c>
    </row>
    <row r="319" spans="1:12" ht="132" hidden="1">
      <c r="A319" s="4" t="str">
        <v>Reguler Periode ke-101 XVIII.C.1</v>
      </c>
      <c r="B319" s="4" t="str">
        <v>Reguler Periode ke-101</v>
      </c>
      <c r="C319" s="4" t="str">
        <v>XVIII.C.1</v>
      </c>
      <c r="D319" s="101" t="str">
        <v>https://drive.google.com/open?id=18rIwtIo9dWyf2Ut4Zmza2-vWtmaytdEvRgAiCozJi_0&amp;usp=drive_copy</v>
      </c>
      <c r="E319" s="101" t="str">
        <v>https://drive.google.com/open?id=18rIwtIo9dWyf2Ut4Zmza2-vWtmaytdEvRgAiCozJi_0</v>
      </c>
      <c r="F319" s="102" t="str">
        <f ca="1">IFERROR(__xludf.DUMMYFUNCTION("IMPORTRANGE(H319,""IDENTITAS UNIT!D9"")"),"85JP+7VQ, Jl. Keweron, Keweron, Sidoharjo, Kec. Samigaluh, Kabupaten Kulon Progo, Daerah Istimewa Yogyakarta 55673")</f>
        <v>85JP+7VQ, Jl. Keweron, Keweron, Sidoharjo, Kec. Samigaluh, Kabupaten Kulon Progo, Daerah Istimewa Yogyakarta 55673</v>
      </c>
      <c r="H319" s="101" t="str">
        <v>https://docs.google.com/spreadsheets/d/18rIwtIo9dWyf2Ut4Zmza2-vWtmaytdEvRgAiCozJi_0</v>
      </c>
      <c r="I319" s="101" t="str">
        <v>https://docs.google.com/open?id=18rIwtIo9dWyf2Ut4Zmza2-vWtmaytdEvRgAiCozJi_0</v>
      </c>
      <c r="J319" s="4" t="str">
        <v>Keweron, Sidoharjo, Samigaluh</v>
      </c>
      <c r="L319" s="99" t="str">
        <f ca="1">IFERROR(__xludf.DUMMYFUNCTION("IMPORTRANGE(H319,""IDENTITAS UNIT!D35"")"),"Luthfi Nuralifian")</f>
        <v>Luthfi Nuralifian</v>
      </c>
    </row>
    <row r="320" spans="1:12" ht="49.5" hidden="1">
      <c r="A320" s="4" t="str">
        <v>Reguler Periode ke-101 XVIII.C.2</v>
      </c>
      <c r="B320" s="4" t="str">
        <v>Reguler Periode ke-101</v>
      </c>
      <c r="C320" s="4" t="str">
        <v>XVIII.C.2</v>
      </c>
      <c r="D320" s="101" t="str">
        <v>https://drive.google.com/open?id=1ntJt78MMO8tHEAJei-fcRgs7q9llWOt0MnI-NMC4PjA&amp;usp=drive_copy</v>
      </c>
      <c r="E320" s="101" t="str">
        <v>https://drive.google.com/open?id=1ntJt78MMO8tHEAJei-fcRgs7q9llWOt0MnI-NMC4PjA</v>
      </c>
      <c r="F320" s="103" t="str">
        <f ca="1">IFERROR(__xludf.DUMMYFUNCTION("IMPORTRANGE(H320,""IDENTITAS UNIT!D9"")"),"https://maps.app.goo.gl/kU3YP2B9ef75URZG8?g_st=ic")</f>
        <v>https://maps.app.goo.gl/kU3YP2B9ef75URZG8?g_st=ic</v>
      </c>
      <c r="G320" s="4" t="s">
        <v>12925</v>
      </c>
      <c r="H320" s="101" t="str">
        <v>https://docs.google.com/spreadsheets/d/1ntJt78MMO8tHEAJei-fcRgs7q9llWOt0MnI-NMC4PjA</v>
      </c>
      <c r="I320" s="101" t="str">
        <v>https://docs.google.com/open?id=1ntJt78MMO8tHEAJei-fcRgs7q9llWOt0MnI-NMC4PjA</v>
      </c>
      <c r="J320" s="4" t="str">
        <v>Gebang, Sidoharjo, Samigaluh</v>
      </c>
      <c r="L320" s="99" t="str">
        <f ca="1">IFERROR(__xludf.DUMMYFUNCTION("IMPORTRANGE(H320,""IDENTITAS UNIT!D35"")"),"Muhammad Rafli")</f>
        <v>Muhammad Rafli</v>
      </c>
    </row>
    <row r="321" spans="1:12" ht="49.5" hidden="1">
      <c r="A321" s="4" t="str">
        <v>Reguler Periode ke-101 XVIII.C.3</v>
      </c>
      <c r="B321" s="4" t="str">
        <v>Reguler Periode ke-101</v>
      </c>
      <c r="C321" s="4" t="str">
        <v>XVIII.C.3</v>
      </c>
      <c r="D321" s="101" t="str">
        <v>https://drive.google.com/open?id=1nH62xTJNMa3X58-m-mj1l3cKnGDpbJbD-3xXHloHi90&amp;usp=drive_copy</v>
      </c>
      <c r="E321" s="101" t="str">
        <v>https://drive.google.com/open?id=1nH62xTJNMa3X58-m-mj1l3cKnGDpbJbD-3xXHloHi90</v>
      </c>
      <c r="F321" s="103" t="str">
        <f ca="1">IFERROR(__xludf.DUMMYFUNCTION("IMPORTRANGE(H321,""IDENTITAS UNIT!D9"")"),"https://goo.gl/maps/eYTViN4vG8ND28TbA")</f>
        <v>https://goo.gl/maps/eYTViN4vG8ND28TbA</v>
      </c>
      <c r="G321" s="4" t="s">
        <v>12926</v>
      </c>
      <c r="H321" s="101" t="str">
        <v>https://docs.google.com/spreadsheets/d/1nH62xTJNMa3X58-m-mj1l3cKnGDpbJbD-3xXHloHi90</v>
      </c>
      <c r="I321" s="101" t="str">
        <v>https://docs.google.com/open?id=1nH62xTJNMa3X58-m-mj1l3cKnGDpbJbD-3xXHloHi90</v>
      </c>
      <c r="J321" s="4" t="str">
        <v>Munggang Wetan, Sidoharjo, Samigaluh</v>
      </c>
      <c r="L321" s="99" t="str">
        <f ca="1">IFERROR(__xludf.DUMMYFUNCTION("IMPORTRANGE(H321,""IDENTITAS UNIT!D35"")"),"Dhenny Riconanda Alkatiri")</f>
        <v>Dhenny Riconanda Alkatiri</v>
      </c>
    </row>
    <row r="322" spans="1:12" ht="49.5" hidden="1">
      <c r="A322" s="4" t="str">
        <v>Reguler Periode ke-101 XVIII.D.1</v>
      </c>
      <c r="B322" s="4" t="str">
        <v>Reguler Periode ke-101</v>
      </c>
      <c r="C322" s="4" t="str">
        <v>XVIII.D.1</v>
      </c>
      <c r="D322" s="101" t="str">
        <v>https://drive.google.com/open?id=1_lZAeTR44NLPw8o0YVl4JkitOMzmqwe85Vai3zHQvHQ&amp;usp=drive_copy</v>
      </c>
      <c r="E322" s="101" t="str">
        <v>https://drive.google.com/open?id=1_lZAeTR44NLPw8o0YVl4JkitOMzmqwe85Vai3zHQvHQ</v>
      </c>
      <c r="F322" s="103" t="str">
        <f ca="1">IFERROR(__xludf.DUMMYFUNCTION("IMPORTRANGE(H322,""IDENTITAS UNIT!D9"")"),"https://maps.app.goo.gl/U1bAREjR4rXZ4g8s8")</f>
        <v>https://maps.app.goo.gl/U1bAREjR4rXZ4g8s8</v>
      </c>
      <c r="G322" s="4" t="s">
        <v>12927</v>
      </c>
      <c r="H322" s="101" t="str">
        <v>https://docs.google.com/spreadsheets/d/1_lZAeTR44NLPw8o0YVl4JkitOMzmqwe85Vai3zHQvHQ</v>
      </c>
      <c r="I322" s="101" t="str">
        <v>https://docs.google.com/open?id=1_lZAeTR44NLPw8o0YVl4JkitOMzmqwe85Vai3zHQvHQ</v>
      </c>
      <c r="J322" s="4" t="str">
        <v>Ngaran II, Banjarsari , Samigaluh</v>
      </c>
      <c r="L322" s="99" t="str">
        <f ca="1">IFERROR(__xludf.DUMMYFUNCTION("IMPORTRANGE(H322,""IDENTITAS UNIT!D35"")"),"")</f>
        <v/>
      </c>
    </row>
    <row r="323" spans="1:12" ht="49.5" hidden="1">
      <c r="A323" s="4" t="str">
        <v>Reguler Periode ke-101 XVIII.D.2</v>
      </c>
      <c r="B323" s="4" t="str">
        <v>Reguler Periode ke-101</v>
      </c>
      <c r="C323" s="4" t="str">
        <v>XVIII.D.2</v>
      </c>
      <c r="D323" s="101" t="str">
        <v>https://drive.google.com/open?id=1nyt8JabHoQZBO5ILQhBG_Sj__zD2xgtWtYAOGnhypos&amp;usp=drive_copy</v>
      </c>
      <c r="E323" s="101" t="str">
        <v>https://drive.google.com/open?id=1nyt8JabHoQZBO5ILQhBG_Sj__zD2xgtWtYAOGnhypos</v>
      </c>
      <c r="F323" s="103" t="str">
        <f ca="1">IFERROR(__xludf.DUMMYFUNCTION("IMPORTRANGE(H323,""IDENTITAS UNIT!D9"")"),"https://goo.gl/maps/MLAE7HsjQHX8GLrP7")</f>
        <v>https://goo.gl/maps/MLAE7HsjQHX8GLrP7</v>
      </c>
      <c r="G323" s="4" t="s">
        <v>12928</v>
      </c>
      <c r="H323" s="101" t="str">
        <v>https://docs.google.com/spreadsheets/d/1nyt8JabHoQZBO5ILQhBG_Sj__zD2xgtWtYAOGnhypos</v>
      </c>
      <c r="I323" s="101" t="str">
        <v>https://docs.google.com/open?id=1nyt8JabHoQZBO5ILQhBG_Sj__zD2xgtWtYAOGnhypos</v>
      </c>
      <c r="J323" s="4" t="str">
        <v>Waru X, Banjarsari , Samigaluh</v>
      </c>
      <c r="L323" s="99" t="str">
        <f ca="1">IFERROR(__xludf.DUMMYFUNCTION("IMPORTRANGE(H323,""IDENTITAS UNIT!D35"")"),"Indimaraga Dwi Akbar Yulianto Putra")</f>
        <v>Indimaraga Dwi Akbar Yulianto Putra</v>
      </c>
    </row>
    <row r="324" spans="1:12" ht="49.5" hidden="1">
      <c r="A324" s="4" t="str">
        <v>Reguler Periode ke-101 XVIII.D.3</v>
      </c>
      <c r="B324" s="4" t="str">
        <v>Reguler Periode ke-101</v>
      </c>
      <c r="C324" s="4" t="str">
        <v>XVIII.D.3</v>
      </c>
      <c r="D324" s="101" t="str">
        <v>https://drive.google.com/open?id=1u3c-H54YC0yYkqIRUdPXagzZHtdWLl-WsNSOsUA693g&amp;usp=drive_copy</v>
      </c>
      <c r="E324" s="101" t="str">
        <v>https://drive.google.com/open?id=1u3c-H54YC0yYkqIRUdPXagzZHtdWLl-WsNSOsUA693g</v>
      </c>
      <c r="F324" s="103" t="str">
        <f ca="1">IFERROR(__xludf.DUMMYFUNCTION("IMPORTRANGE(H324,""IDENTITAS UNIT!D9"")"),"https://goo.gl/maps/1FutKAZGBJYN1yXD7")</f>
        <v>https://goo.gl/maps/1FutKAZGBJYN1yXD7</v>
      </c>
      <c r="G324" s="4" t="s">
        <v>12929</v>
      </c>
      <c r="H324" s="101" t="str">
        <v>https://docs.google.com/spreadsheets/d/1u3c-H54YC0yYkqIRUdPXagzZHtdWLl-WsNSOsUA693g</v>
      </c>
      <c r="I324" s="101" t="str">
        <v>https://docs.google.com/open?id=1u3c-H54YC0yYkqIRUdPXagzZHtdWLl-WsNSOsUA693g</v>
      </c>
      <c r="J324" s="4" t="str">
        <v>Jumblangan XII, Banjarsari , Samigaluh</v>
      </c>
      <c r="L324" s="99" t="str">
        <f ca="1">IFERROR(__xludf.DUMMYFUNCTION("IMPORTRANGE(H324,""IDENTITAS UNIT!D35"")"),"Naufal Dliya Ul-haq")</f>
        <v>Naufal Dliya Ul-haq</v>
      </c>
    </row>
    <row r="325" spans="1:12" ht="49.5" hidden="1">
      <c r="A325" s="4" t="str">
        <v>Reguler Periode ke-101 XIX.A.1</v>
      </c>
      <c r="B325" s="4" t="str">
        <v>Reguler Periode ke-101</v>
      </c>
      <c r="C325" s="4" t="str">
        <v>XIX.A.1</v>
      </c>
      <c r="D325" s="101" t="str">
        <v>https://drive.google.com/open?id=1BRXpynHU4hwj1t-FIBojMXbyvBVKSj0DiATGFbOTeS4&amp;usp=drive_copy</v>
      </c>
      <c r="E325" s="101" t="str">
        <v>https://drive.google.com/open?id=1BRXpynHU4hwj1t-FIBojMXbyvBVKSj0DiATGFbOTeS4</v>
      </c>
      <c r="F325" s="103" t="str">
        <f ca="1">IFERROR(__xludf.DUMMYFUNCTION("IMPORTRANGE(H325,""IDENTITAS UNIT!D9"")"),"https://goo.gl/maps/FEx5xGcDk3J1ov3N7")</f>
        <v>https://goo.gl/maps/FEx5xGcDk3J1ov3N7</v>
      </c>
      <c r="G325" s="4" t="s">
        <v>12930</v>
      </c>
      <c r="H325" s="101" t="str">
        <v>https://docs.google.com/spreadsheets/d/1BRXpynHU4hwj1t-FIBojMXbyvBVKSj0DiATGFbOTeS4</v>
      </c>
      <c r="I325" s="101" t="str">
        <v>https://docs.google.com/open?id=1BRXpynHU4hwj1t-FIBojMXbyvBVKSj0DiATGFbOTeS4</v>
      </c>
      <c r="J325" s="4" t="str">
        <v>Jarakan, Kebonharjo, Samigaluh</v>
      </c>
      <c r="L325" s="99" t="str">
        <f ca="1">IFERROR(__xludf.DUMMYFUNCTION("IMPORTRANGE(H325,""IDENTITAS UNIT!D35"")"),"Ahmad Syihan")</f>
        <v>Ahmad Syihan</v>
      </c>
    </row>
    <row r="326" spans="1:12" ht="49.5" hidden="1">
      <c r="A326" s="4" t="str">
        <v>Reguler Periode ke-101 XIX.A.2</v>
      </c>
      <c r="B326" s="4" t="str">
        <v>Reguler Periode ke-101</v>
      </c>
      <c r="C326" s="4" t="str">
        <v>XIX.A.2</v>
      </c>
      <c r="D326" s="101" t="str">
        <v>https://drive.google.com/open?id=1gUp2of45r1p0dugD5kbOtWH35ont0ZVMOkqlLBlaYMo&amp;usp=drive_copy</v>
      </c>
      <c r="E326" s="101" t="str">
        <v>https://drive.google.com/open?id=1gUp2of45r1p0dugD5kbOtWH35ont0ZVMOkqlLBlaYMo</v>
      </c>
      <c r="F326" s="103" t="str">
        <f ca="1">IFERROR(__xludf.DUMMYFUNCTION("IMPORTRANGE(H326,""IDENTITAS UNIT!D9"")"),"https://maps.app.goo.gl/BwJna4q4nXiGEtm6A")</f>
        <v>https://maps.app.goo.gl/BwJna4q4nXiGEtm6A</v>
      </c>
      <c r="H326" s="101" t="str">
        <v>https://docs.google.com/spreadsheets/d/1gUp2of45r1p0dugD5kbOtWH35ont0ZVMOkqlLBlaYMo</v>
      </c>
      <c r="I326" s="101" t="str">
        <v>https://docs.google.com/open?id=1gUp2of45r1p0dugD5kbOtWH35ont0ZVMOkqlLBlaYMo</v>
      </c>
      <c r="J326" s="4" t="str">
        <v>Kaliduren, Kebonharjo, Samigaluh</v>
      </c>
      <c r="L326" s="99" t="str">
        <f ca="1">IFERROR(__xludf.DUMMYFUNCTION("IMPORTRANGE(H326,""IDENTITAS UNIT!D35"")"),"MUHAMMAD ILHAM HERMANSYAH")</f>
        <v>MUHAMMAD ILHAM HERMANSYAH</v>
      </c>
    </row>
    <row r="327" spans="1:12" ht="49.5" hidden="1">
      <c r="A327" s="4" t="str">
        <v>Reguler Periode ke-101 XIX.A.3</v>
      </c>
      <c r="B327" s="4" t="str">
        <v>Reguler Periode ke-101</v>
      </c>
      <c r="C327" s="4" t="str">
        <v>XIX.A.3</v>
      </c>
      <c r="D327" s="101" t="str">
        <v>https://drive.google.com/open?id=1hpIaW6OPhu-Wzs4jCob0b3BJt3IFD0vHWxah8OTuuVQ&amp;usp=drive_copy</v>
      </c>
      <c r="E327" s="101" t="str">
        <v>https://drive.google.com/open?id=1hpIaW6OPhu-Wzs4jCob0b3BJt3IFD0vHWxah8OTuuVQ</v>
      </c>
      <c r="F327" s="103" t="str">
        <f ca="1">IFERROR(__xludf.DUMMYFUNCTION("IMPORTRANGE(H327,""IDENTITAS UNIT!D9"")"),"https://maps.app.goo.gl/GANokhAidczRF9nc8")</f>
        <v>https://maps.app.goo.gl/GANokhAidczRF9nc8</v>
      </c>
      <c r="G327" s="4" t="s">
        <v>12931</v>
      </c>
      <c r="H327" s="101" t="str">
        <v>https://docs.google.com/spreadsheets/d/1hpIaW6OPhu-Wzs4jCob0b3BJt3IFD0vHWxah8OTuuVQ</v>
      </c>
      <c r="I327" s="101" t="str">
        <v>https://docs.google.com/open?id=1hpIaW6OPhu-Wzs4jCob0b3BJt3IFD0vHWxah8OTuuVQ</v>
      </c>
      <c r="J327" s="4" t="str">
        <v>Pringtali, Kebonharjo, Samigaluh</v>
      </c>
      <c r="L327" s="99" t="str">
        <f ca="1">IFERROR(__xludf.DUMMYFUNCTION("IMPORTRANGE(H327,""IDENTITAS UNIT!D35"")"),"Rifki Hisyam Majid")</f>
        <v>Rifki Hisyam Majid</v>
      </c>
    </row>
    <row r="328" spans="1:12" ht="49.5" hidden="1">
      <c r="A328" s="4" t="str">
        <v>Reguler Periode ke-101 XIX.B.1</v>
      </c>
      <c r="B328" s="4" t="str">
        <v>Reguler Periode ke-101</v>
      </c>
      <c r="C328" s="4" t="str">
        <v>XIX.B.1</v>
      </c>
      <c r="D328" s="101" t="str">
        <v>https://drive.google.com/open?id=1hbdePgcJfxdYIbmmQCKGKTkR0b1h2YZSc_zXl86g_VA&amp;usp=drive_copy</v>
      </c>
      <c r="E328" s="101" t="str">
        <v>https://drive.google.com/open?id=1hbdePgcJfxdYIbmmQCKGKTkR0b1h2YZSc_zXl86g_VA</v>
      </c>
      <c r="F328" s="103" t="str">
        <f ca="1">IFERROR(__xludf.DUMMYFUNCTION("IMPORTRANGE(H328,""IDENTITAS UNIT!D9"")"),"https://maps.app.goo.gl/2bEdJomEjyxuPFov5")</f>
        <v>https://maps.app.goo.gl/2bEdJomEjyxuPFov5</v>
      </c>
      <c r="H328" s="101" t="str">
        <v>https://docs.google.com/spreadsheets/d/1hbdePgcJfxdYIbmmQCKGKTkR0b1h2YZSc_zXl86g_VA</v>
      </c>
      <c r="I328" s="101" t="str">
        <v>https://docs.google.com/open?id=1hbdePgcJfxdYIbmmQCKGKTkR0b1h2YZSc_zXl86g_VA</v>
      </c>
      <c r="J328" s="4" t="str">
        <v>Gebang, Kebonharjo, Samigaluh</v>
      </c>
      <c r="L328" s="99" t="str">
        <f ca="1">IFERROR(__xludf.DUMMYFUNCTION("IMPORTRANGE(H328,""IDENTITAS UNIT!D35"")"),"AGY PUTRA PRADANA")</f>
        <v>AGY PUTRA PRADANA</v>
      </c>
    </row>
    <row r="329" spans="1:12" ht="49.5" hidden="1">
      <c r="A329" s="4" t="str">
        <v>Reguler Periode ke-101 XIX.B.2</v>
      </c>
      <c r="B329" s="4" t="str">
        <v>Reguler Periode ke-101</v>
      </c>
      <c r="C329" s="4" t="str">
        <v>XIX.B.2</v>
      </c>
      <c r="D329" s="101" t="str">
        <v>https://drive.google.com/open?id=1Hp6KMA0fPFywsxhr-xQPIhALtUqYjVodSXQvCSyfhYE&amp;usp=drive_copy</v>
      </c>
      <c r="E329" s="101" t="str">
        <v>https://drive.google.com/open?id=1Hp6KMA0fPFywsxhr-xQPIhALtUqYjVodSXQvCSyfhYE</v>
      </c>
      <c r="F329" s="103" t="str">
        <f ca="1">IFERROR(__xludf.DUMMYFUNCTION("IMPORTRANGE(H329,""IDENTITAS UNIT!D9"")"),"https://goo.gl/maps/VBAuEQmFQKQtncK28")</f>
        <v>https://goo.gl/maps/VBAuEQmFQKQtncK28</v>
      </c>
      <c r="G329" s="4" t="s">
        <v>12932</v>
      </c>
      <c r="H329" s="101" t="str">
        <v>https://docs.google.com/spreadsheets/d/1Hp6KMA0fPFywsxhr-xQPIhALtUqYjVodSXQvCSyfhYE</v>
      </c>
      <c r="I329" s="101" t="str">
        <v>https://docs.google.com/open?id=1Hp6KMA0fPFywsxhr-xQPIhALtUqYjVodSXQvCSyfhYE</v>
      </c>
      <c r="J329" s="4" t="str">
        <v>Kleben, Kebonharjo, Samigaluh</v>
      </c>
      <c r="L329" s="99" t="str">
        <f ca="1">IFERROR(__xludf.DUMMYFUNCTION("IMPORTRANGE(H329,""IDENTITAS UNIT!D35"")"),"Gamma Adi Pangestu")</f>
        <v>Gamma Adi Pangestu</v>
      </c>
    </row>
    <row r="330" spans="1:12" ht="247.5" hidden="1">
      <c r="A330" s="4" t="str">
        <v>Reguler Periode ke-101 XIX.B.3</v>
      </c>
      <c r="B330" s="4" t="str">
        <v>Reguler Periode ke-101</v>
      </c>
      <c r="C330" s="4" t="str">
        <v>XIX.B.3</v>
      </c>
      <c r="D330" s="101" t="str">
        <v>https://drive.google.com/open?id=1jXkfqSZqGAawLE9ECl2MxpNxfFkEtfAvk3PDxmRuIRw&amp;usp=drive_copy</v>
      </c>
      <c r="E330" s="101" t="str">
        <v>https://drive.google.com/open?id=1jXkfqSZqGAawLE9ECl2MxpNxfFkEtfAvk3PDxmRuIRw</v>
      </c>
      <c r="F330" s="103" t="str">
        <f ca="1">IFERROR(__xludf.DUMMYFUNCTION("IMPORTRANGE(H330,""IDENTITAS UNIT!D9"")"),"https://www.google.co.id/maps/place/Jeringan,+Kebonharjo,+Kec.+Samigaluh,+Kabupaten+Kulon+Progo,+Daerah+Istimewa+Yogyakarta/@-7.7068579,110.1596776,16z/data=!3m1!4b1!4m5!3m4!1s0x2e7af2158a9bbd11:0xa1765a8ea6da31!8m2!3d-7.707498!4d110.1663182")</f>
        <v>https://www.google.co.id/maps/place/Jeringan,+Kebonharjo,+Kec.+Samigaluh,+Kabupaten+Kulon+Progo,+Daerah+Istimewa+Yogyakarta/@-7.7068579,110.1596776,16z/data=!3m1!4b1!4m5!3m4!1s0x2e7af2158a9bbd11:0xa1765a8ea6da31!8m2!3d-7.707498!4d110.1663182</v>
      </c>
      <c r="H330" s="101" t="str">
        <v>https://docs.google.com/spreadsheets/d/1jXkfqSZqGAawLE9ECl2MxpNxfFkEtfAvk3PDxmRuIRw</v>
      </c>
      <c r="I330" s="101" t="str">
        <v>https://docs.google.com/open?id=1jXkfqSZqGAawLE9ECl2MxpNxfFkEtfAvk3PDxmRuIRw</v>
      </c>
      <c r="J330" s="4" t="str">
        <v>Jeringan, Kebonharjo, Samigaluh</v>
      </c>
      <c r="L330" s="99" t="str">
        <f ca="1">IFERROR(__xludf.DUMMYFUNCTION("IMPORTRANGE(H330,""IDENTITAS UNIT!D35"")"),"Ikbal Maulana")</f>
        <v>Ikbal Maulana</v>
      </c>
    </row>
    <row r="331" spans="1:12" ht="49.5" hidden="1">
      <c r="A331" s="4" t="str">
        <v>Reguler Periode ke-101 XIX.C.1</v>
      </c>
      <c r="B331" s="4" t="str">
        <v>Reguler Periode ke-101</v>
      </c>
      <c r="C331" s="4" t="str">
        <v>XIX.C.1</v>
      </c>
      <c r="D331" s="101" t="str">
        <v>https://drive.google.com/open?id=1mMcWuFVAwZhxChwjTzrL6lEaJwmyg3DSMEy8jlJqa50&amp;usp=drive_copy</v>
      </c>
      <c r="E331" s="101" t="str">
        <v>https://drive.google.com/open?id=1mMcWuFVAwZhxChwjTzrL6lEaJwmyg3DSMEy8jlJqa50</v>
      </c>
      <c r="F331" s="103" t="str">
        <f ca="1">IFERROR(__xludf.DUMMYFUNCTION("IMPORTRANGE(H331,""IDENTITAS UNIT!D9"")"),"https://maps.app.goo.gl/kuGXipkLBJosTNEC8")</f>
        <v>https://maps.app.goo.gl/kuGXipkLBJosTNEC8</v>
      </c>
      <c r="G331" s="4" t="s">
        <v>12933</v>
      </c>
      <c r="H331" s="101" t="str">
        <v>https://docs.google.com/spreadsheets/d/1mMcWuFVAwZhxChwjTzrL6lEaJwmyg3DSMEy8jlJqa50</v>
      </c>
      <c r="I331" s="101" t="str">
        <v>https://docs.google.com/open?id=1mMcWuFVAwZhxChwjTzrL6lEaJwmyg3DSMEy8jlJqa50</v>
      </c>
      <c r="J331" s="4" t="str">
        <v>Keceme, Gerbosari, Samigaluh</v>
      </c>
      <c r="L331" s="99" t="str">
        <f ca="1">IFERROR(__xludf.DUMMYFUNCTION("IMPORTRANGE(H331,""IDENTITAS UNIT!D35"")"),"M.rifqi Abiyyi Nabhan")</f>
        <v>M.rifqi Abiyyi Nabhan</v>
      </c>
    </row>
    <row r="332" spans="1:12" ht="49.5" hidden="1">
      <c r="A332" s="4" t="str">
        <v>Reguler Periode ke-101 XIX.C.2</v>
      </c>
      <c r="B332" s="4" t="str">
        <v>Reguler Periode ke-101</v>
      </c>
      <c r="C332" s="4" t="str">
        <v>XIX.C.2</v>
      </c>
      <c r="D332" s="101" t="str">
        <v>https://drive.google.com/open?id=1Ej1fn9ZntzCVNzdS9n2ooJM8aheySbhVY0aOsvlIxqU&amp;usp=drive_copy</v>
      </c>
      <c r="E332" s="101" t="str">
        <v>https://drive.google.com/open?id=1Ej1fn9ZntzCVNzdS9n2ooJM8aheySbhVY0aOsvlIxqU</v>
      </c>
      <c r="F332" s="103" t="str">
        <f ca="1">IFERROR(__xludf.DUMMYFUNCTION("IMPORTRANGE(H332,""IDENTITAS UNIT!D9"")"),"https://goo.gl/maps/178Nnex22AAoB69RA")</f>
        <v>https://goo.gl/maps/178Nnex22AAoB69RA</v>
      </c>
      <c r="G332" s="4" t="s">
        <v>12934</v>
      </c>
      <c r="H332" s="101" t="str">
        <v>https://docs.google.com/spreadsheets/d/1Ej1fn9ZntzCVNzdS9n2ooJM8aheySbhVY0aOsvlIxqU</v>
      </c>
      <c r="I332" s="101" t="str">
        <v>https://docs.google.com/open?id=1Ej1fn9ZntzCVNzdS9n2ooJM8aheySbhVY0aOsvlIxqU</v>
      </c>
      <c r="J332" s="4" t="str">
        <v>Jati, Gerbosari, Samigaluh</v>
      </c>
      <c r="L332" s="99" t="str">
        <f ca="1">IFERROR(__xludf.DUMMYFUNCTION("IMPORTRANGE(H332,""IDENTITAS UNIT!D35"")"),"Ilham Gaib Abiasto")</f>
        <v>Ilham Gaib Abiasto</v>
      </c>
    </row>
    <row r="333" spans="1:12" ht="49.5" hidden="1">
      <c r="A333" s="4" t="str">
        <v>Reguler Periode ke-101 XIX.C.3</v>
      </c>
      <c r="B333" s="4" t="str">
        <v>Reguler Periode ke-101</v>
      </c>
      <c r="C333" s="4" t="str">
        <v>XIX.C.3</v>
      </c>
      <c r="D333" s="101" t="str">
        <v>https://drive.google.com/open?id=1DI6KzFnPokmWGqcgy68XWI0vr-ytPKUTrVh8p7T3T8k&amp;usp=drive_copy</v>
      </c>
      <c r="E333" s="101" t="str">
        <v>https://drive.google.com/open?id=1DI6KzFnPokmWGqcgy68XWI0vr-ytPKUTrVh8p7T3T8k</v>
      </c>
      <c r="F333" s="103" t="str">
        <f ca="1">IFERROR(__xludf.DUMMYFUNCTION("IMPORTRANGE(H333,""IDENTITAS UNIT!D9"")"),"https://goo.gl/maps/nykePsmJmWaEnMZt6")</f>
        <v>https://goo.gl/maps/nykePsmJmWaEnMZt6</v>
      </c>
      <c r="G333" s="4" t="s">
        <v>12935</v>
      </c>
      <c r="H333" s="101" t="str">
        <v>https://docs.google.com/spreadsheets/d/1DI6KzFnPokmWGqcgy68XWI0vr-ytPKUTrVh8p7T3T8k</v>
      </c>
      <c r="I333" s="101" t="str">
        <v>https://docs.google.com/open?id=1DI6KzFnPokmWGqcgy68XWI0vr-ytPKUTrVh8p7T3T8k</v>
      </c>
      <c r="J333" s="4" t="str">
        <v>Sumbo, Gerbosari, Samigaluh</v>
      </c>
      <c r="L333" s="99" t="str">
        <f ca="1">IFERROR(__xludf.DUMMYFUNCTION("IMPORTRANGE(H333,""IDENTITAS UNIT!D35"")"),"Yudha Rahma Dhany")</f>
        <v>Yudha Rahma Dhany</v>
      </c>
    </row>
    <row r="334" spans="1:12" ht="49.5" hidden="1">
      <c r="A334" s="4" t="str">
        <v>Reguler Periode ke-101 XIX.D.1</v>
      </c>
      <c r="B334" s="4" t="str">
        <v>Reguler Periode ke-101</v>
      </c>
      <c r="C334" s="4" t="str">
        <v>XIX.D.1</v>
      </c>
      <c r="D334" s="101" t="str">
        <v>https://drive.google.com/open?id=1oxOc09P3H6c3etcU2Cox3OmjdScC_NtBT9weDtr2OM0&amp;usp=drive_copy</v>
      </c>
      <c r="E334" s="101" t="str">
        <v>https://drive.google.com/open?id=1oxOc09P3H6c3etcU2Cox3OmjdScC_NtBT9weDtr2OM0</v>
      </c>
      <c r="F334" s="103" t="str">
        <f ca="1">IFERROR(__xludf.DUMMYFUNCTION("IMPORTRANGE(H334,""IDENTITAS UNIT!D9"")"),"https://maps.app.goo.gl/6GD3NxuLme2iAySq7")</f>
        <v>https://maps.app.goo.gl/6GD3NxuLme2iAySq7</v>
      </c>
      <c r="G334" s="4" t="s">
        <v>12936</v>
      </c>
      <c r="H334" s="101" t="str">
        <v>https://docs.google.com/spreadsheets/d/1oxOc09P3H6c3etcU2Cox3OmjdScC_NtBT9weDtr2OM0</v>
      </c>
      <c r="I334" s="101" t="str">
        <v>https://docs.google.com/open?id=1oxOc09P3H6c3etcU2Cox3OmjdScC_NtBT9weDtr2OM0</v>
      </c>
      <c r="J334" s="4" t="str">
        <v>Tlogo, Gerbosari, Samigaluh</v>
      </c>
      <c r="L334" s="99" t="str">
        <f ca="1">IFERROR(__xludf.DUMMYFUNCTION("IMPORTRANGE(H334,""IDENTITAS UNIT!D35"")"),"Akbar Dwi Rizki Listanto")</f>
        <v>Akbar Dwi Rizki Listanto</v>
      </c>
    </row>
    <row r="335" spans="1:12" ht="49.5" hidden="1">
      <c r="A335" s="4" t="str">
        <v>Reguler Periode ke-101 XIX.D.2</v>
      </c>
      <c r="B335" s="4" t="str">
        <v>Reguler Periode ke-101</v>
      </c>
      <c r="C335" s="4" t="str">
        <v>XIX.D.2</v>
      </c>
      <c r="D335" s="101" t="str">
        <v>https://drive.google.com/open?id=1p9r9ZHTsIOZAQwuDiHReYmUzztPHbI4dg_hEC_4lG3Y&amp;usp=drive_copy</v>
      </c>
      <c r="E335" s="101" t="str">
        <v>https://drive.google.com/open?id=1p9r9ZHTsIOZAQwuDiHReYmUzztPHbI4dg_hEC_4lG3Y</v>
      </c>
      <c r="F335" s="103" t="str">
        <f ca="1">IFERROR(__xludf.DUMMYFUNCTION("IMPORTRANGE(H335,""IDENTITAS UNIT!D9"")"),"https://goo.gl/maps/EnUbdRVXWa4bBceBA")</f>
        <v>https://goo.gl/maps/EnUbdRVXWa4bBceBA</v>
      </c>
      <c r="G335" s="4" t="s">
        <v>12937</v>
      </c>
      <c r="H335" s="101" t="str">
        <v>https://docs.google.com/spreadsheets/d/1p9r9ZHTsIOZAQwuDiHReYmUzztPHbI4dg_hEC_4lG3Y</v>
      </c>
      <c r="I335" s="101" t="str">
        <v>https://docs.google.com/open?id=1p9r9ZHTsIOZAQwuDiHReYmUzztPHbI4dg_hEC_4lG3Y</v>
      </c>
      <c r="J335" s="4" t="str">
        <v>Clumprit, Gerbosari, Samigaluh</v>
      </c>
      <c r="L335" s="99" t="str">
        <f ca="1">IFERROR(__xludf.DUMMYFUNCTION("IMPORTRANGE(H335,""IDENTITAS UNIT!D35"")"),"Novada Al-vinka Ramadhan")</f>
        <v>Novada Al-vinka Ramadhan</v>
      </c>
    </row>
    <row r="336" spans="1:12" ht="49.5" hidden="1">
      <c r="A336" s="4" t="str">
        <v>Reguler Periode ke-101 XIX.D.3</v>
      </c>
      <c r="B336" s="4" t="str">
        <v>Reguler Periode ke-101</v>
      </c>
      <c r="C336" s="4" t="str">
        <v>XIX.D.3</v>
      </c>
      <c r="D336" s="101" t="str">
        <v>https://drive.google.com/open?id=1I89-ivqqBLTbJ4zIJKYkwfz4sAqagth-EtFVNowz0PU&amp;usp=drive_copy</v>
      </c>
      <c r="E336" s="101" t="str">
        <v>https://drive.google.com/open?id=1I89-ivqqBLTbJ4zIJKYkwfz4sAqagth-EtFVNowz0PU</v>
      </c>
      <c r="F336" s="103" t="str">
        <f ca="1">IFERROR(__xludf.DUMMYFUNCTION("IMPORTRANGE(H336,""IDENTITAS UNIT!D9"")"),"https://maps.app.goo.gl/u6gzdxoZi43pujrr8?g_st=ic")</f>
        <v>https://maps.app.goo.gl/u6gzdxoZi43pujrr8?g_st=ic</v>
      </c>
      <c r="G336" s="4" t="s">
        <v>12938</v>
      </c>
      <c r="H336" s="101" t="str">
        <v>https://docs.google.com/spreadsheets/d/1I89-ivqqBLTbJ4zIJKYkwfz4sAqagth-EtFVNowz0PU</v>
      </c>
      <c r="I336" s="101" t="str">
        <v>https://docs.google.com/open?id=1I89-ivqqBLTbJ4zIJKYkwfz4sAqagth-EtFVNowz0PU</v>
      </c>
      <c r="J336" s="4" t="str">
        <v>Ngroto, Gerbosari, Samigaluh</v>
      </c>
      <c r="L336" s="99" t="str">
        <f ca="1">IFERROR(__xludf.DUMMYFUNCTION("IMPORTRANGE(H336,""IDENTITAS UNIT!D35"")"),"Khairul Fahmi Zein")</f>
        <v>Khairul Fahmi Zein</v>
      </c>
    </row>
    <row r="337" spans="1:12" ht="49.5" hidden="1">
      <c r="A337" s="4" t="str">
        <v>Reguler Periode ke-101 XX.A.1</v>
      </c>
      <c r="B337" s="4" t="str">
        <v>Reguler Periode ke-101</v>
      </c>
      <c r="C337" s="4" t="str">
        <v>XX.A.1</v>
      </c>
      <c r="D337" s="101" t="str">
        <v>https://drive.google.com/open?id=1hWjdpahK8LfWaI-boTIWY318vErkuc2PvkMTj5xpQrk&amp;usp=drive_copy</v>
      </c>
      <c r="E337" s="101" t="str">
        <v>https://drive.google.com/open?id=1hWjdpahK8LfWaI-boTIWY318vErkuc2PvkMTj5xpQrk</v>
      </c>
      <c r="F337" s="103" t="str">
        <f ca="1">IFERROR(__xludf.DUMMYFUNCTION("IMPORTRANGE(H337,""IDENTITAS UNIT!D9"")"),"https://maps.app.goo.gl/rhK711mBvD5vHe2N6")</f>
        <v>https://maps.app.goo.gl/rhK711mBvD5vHe2N6</v>
      </c>
      <c r="G337" s="4" t="s">
        <v>12939</v>
      </c>
      <c r="H337" s="101" t="str">
        <v>https://docs.google.com/spreadsheets/d/1hWjdpahK8LfWaI-boTIWY318vErkuc2PvkMTj5xpQrk</v>
      </c>
      <c r="I337" s="101" t="str">
        <v>https://docs.google.com/open?id=1hWjdpahK8LfWaI-boTIWY318vErkuc2PvkMTj5xpQrk</v>
      </c>
      <c r="J337" s="4" t="str">
        <v>Ngaliyan, Ngargosari, Samigaluh</v>
      </c>
      <c r="L337" s="99" t="str">
        <f ca="1">IFERROR(__xludf.DUMMYFUNCTION("IMPORTRANGE(H337,""IDENTITAS UNIT!D35"")"),"Rifki Setiadi")</f>
        <v>Rifki Setiadi</v>
      </c>
    </row>
    <row r="338" spans="1:12" ht="16.5" hidden="1">
      <c r="A338" s="4" t="str">
        <v>Reguler Periode ke-101 XX.A.2</v>
      </c>
      <c r="B338" s="4" t="str">
        <v>Reguler Periode ke-101</v>
      </c>
      <c r="C338" s="4" t="str">
        <v>XX.A.2</v>
      </c>
      <c r="D338" s="101" t="str">
        <v>https://drive.google.com/open?id=1lWcYdNugbKYhbj-NsLmjM1M7bBuXkOU_Z7TE6wmzidA&amp;usp=drive_copy</v>
      </c>
      <c r="E338" s="101" t="str">
        <v>https://drive.google.com/open?id=1lWcYdNugbKYhbj-NsLmjM1M7bBuXkOU_Z7TE6wmzidA</v>
      </c>
      <c r="F338" s="103" t="str">
        <f ca="1">IFERROR(__xludf.DUMMYFUNCTION("IMPORTRANGE(H338,""IDENTITAS UNIT!D9"")"),"Pucung")</f>
        <v>Pucung</v>
      </c>
      <c r="H338" s="101" t="str">
        <v>https://docs.google.com/spreadsheets/d/1lWcYdNugbKYhbj-NsLmjM1M7bBuXkOU_Z7TE6wmzidA</v>
      </c>
      <c r="I338" s="101" t="str">
        <v>https://docs.google.com/open?id=1lWcYdNugbKYhbj-NsLmjM1M7bBuXkOU_Z7TE6wmzidA</v>
      </c>
      <c r="J338" s="4" t="str">
        <v>Pucung, Ngargosari, Samigaluh</v>
      </c>
      <c r="L338" s="99" t="str">
        <f ca="1">IFERROR(__xludf.DUMMYFUNCTION("IMPORTRANGE(H338,""IDENTITAS UNIT!D35"")"),"Syahrul Febri Wijaya")</f>
        <v>Syahrul Febri Wijaya</v>
      </c>
    </row>
    <row r="339" spans="1:12" ht="16.5" hidden="1">
      <c r="A339" s="4" t="str">
        <v>Reguler Periode ke-101 XX.A.3</v>
      </c>
      <c r="B339" s="4" t="str">
        <v>Reguler Periode ke-101</v>
      </c>
      <c r="C339" s="4" t="str">
        <v>XX.A.3</v>
      </c>
      <c r="D339" s="101" t="str">
        <v>https://drive.google.com/open?id=1lwyss_7wMpUIv0Eb2qCb2YsEPlxjf0Fx4TJTyDHCL3Q&amp;usp=drive_copy</v>
      </c>
      <c r="E339" s="101" t="str">
        <v>https://drive.google.com/open?id=1lwyss_7wMpUIv0Eb2qCb2YsEPlxjf0Fx4TJTyDHCL3Q</v>
      </c>
      <c r="F339" s="102" t="str">
        <f ca="1">IFERROR(__xludf.DUMMYFUNCTION("IMPORTRANGE(H339,""IDENTITAS UNIT!D9"")"),"")</f>
        <v/>
      </c>
      <c r="H339" s="101" t="str">
        <v>https://docs.google.com/spreadsheets/d/1lwyss_7wMpUIv0Eb2qCb2YsEPlxjf0Fx4TJTyDHCL3Q</v>
      </c>
      <c r="I339" s="101" t="str">
        <v>https://docs.google.com/open?id=1lwyss_7wMpUIv0Eb2qCb2YsEPlxjf0Fx4TJTyDHCL3Q</v>
      </c>
      <c r="J339" s="4" t="str">
        <v>Petet, Ngargosari, Samigaluh</v>
      </c>
      <c r="L339" s="99" t="str">
        <f ca="1">IFERROR(__xludf.DUMMYFUNCTION("IMPORTRANGE(H339,""IDENTITAS UNIT!D35"")"),"Muhammad Indra Kurniawan")</f>
        <v>Muhammad Indra Kurniawan</v>
      </c>
    </row>
    <row r="340" spans="1:12" ht="16.5" hidden="1">
      <c r="A340" s="4" t="str">
        <v>Reguler Periode ke-101 XX.B.1</v>
      </c>
      <c r="B340" s="4" t="str">
        <v>Reguler Periode ke-101</v>
      </c>
      <c r="C340" s="4" t="str">
        <v>XX.B.1</v>
      </c>
      <c r="D340" s="101" t="str">
        <v>https://drive.google.com/open?id=1o-5W8XHiBwlQrrTfoctzCtfwFk4dgrJD1x2tJ4-lcgc&amp;usp=drive_copy</v>
      </c>
      <c r="E340" s="101" t="str">
        <v>https://drive.google.com/open?id=1o-5W8XHiBwlQrrTfoctzCtfwFk4dgrJD1x2tJ4-lcgc</v>
      </c>
      <c r="F340" s="102" t="str">
        <f ca="1">IFERROR(__xludf.DUMMYFUNCTION("IMPORTRANGE(H340,""IDENTITAS UNIT!D9"")"),"")</f>
        <v/>
      </c>
      <c r="H340" s="101" t="str">
        <v>https://docs.google.com/spreadsheets/d/1o-5W8XHiBwlQrrTfoctzCtfwFk4dgrJD1x2tJ4-lcgc</v>
      </c>
      <c r="I340" s="101" t="str">
        <v>https://docs.google.com/open?id=1o-5W8XHiBwlQrrTfoctzCtfwFk4dgrJD1x2tJ4-lcgc</v>
      </c>
      <c r="J340" s="4" t="str">
        <v>Tegalsari, Ngargosari, Samigaluh</v>
      </c>
      <c r="L340" s="99" t="str">
        <f ca="1">IFERROR(__xludf.DUMMYFUNCTION("IMPORTRANGE(H340,""IDENTITAS UNIT!D35"")"),"Fauzan Nur Akbar Uddhiharta")</f>
        <v>Fauzan Nur Akbar Uddhiharta</v>
      </c>
    </row>
    <row r="341" spans="1:12" ht="49.5" hidden="1">
      <c r="A341" s="4" t="str">
        <v>Reguler Periode ke-101 XX.B.2</v>
      </c>
      <c r="B341" s="4" t="str">
        <v>Reguler Periode ke-101</v>
      </c>
      <c r="C341" s="4" t="str">
        <v>XX.B.2</v>
      </c>
      <c r="D341" s="101" t="str">
        <v>https://drive.google.com/open?id=1peJyQg3YjVuVHh5KG223shFEj7aVpFUVJ_BIkxW-VyY&amp;usp=drive_copy</v>
      </c>
      <c r="E341" s="101" t="str">
        <v>https://drive.google.com/open?id=1peJyQg3YjVuVHh5KG223shFEj7aVpFUVJ_BIkxW-VyY</v>
      </c>
      <c r="F341" s="103" t="str">
        <f ca="1">IFERROR(__xludf.DUMMYFUNCTION("IMPORTRANGE(H341,""IDENTITAS UNIT!D9"")"),"https://goo.gl/maps/KcJf3pt4m6KUR6gs8")</f>
        <v>https://goo.gl/maps/KcJf3pt4m6KUR6gs8</v>
      </c>
      <c r="G341" s="4" t="s">
        <v>12940</v>
      </c>
      <c r="H341" s="101" t="str">
        <v>https://docs.google.com/spreadsheets/d/1peJyQg3YjVuVHh5KG223shFEj7aVpFUVJ_BIkxW-VyY</v>
      </c>
      <c r="I341" s="101" t="str">
        <v>https://docs.google.com/open?id=1peJyQg3YjVuVHh5KG223shFEj7aVpFUVJ_BIkxW-VyY</v>
      </c>
      <c r="J341" s="4" t="str">
        <v>Trayu, Ngargosari, Samigaluh</v>
      </c>
      <c r="L341" s="99" t="str">
        <f ca="1">IFERROR(__xludf.DUMMYFUNCTION("IMPORTRANGE(H341,""IDENTITAS UNIT!D35"")"),"Dwiky Sayfudin Huda")</f>
        <v>Dwiky Sayfudin Huda</v>
      </c>
    </row>
    <row r="342" spans="1:12" ht="49.5" hidden="1">
      <c r="A342" s="4" t="str">
        <v>Reguler Periode ke-101 XX.B.3</v>
      </c>
      <c r="B342" s="4" t="str">
        <v>Reguler Periode ke-101</v>
      </c>
      <c r="C342" s="4" t="str">
        <v>XX.B.3</v>
      </c>
      <c r="D342" s="101" t="str">
        <v>https://drive.google.com/open?id=1r9FRjTB0i50xfIz1__yWsyNKPNQ9aZGQ1Fmcqb0iR6Q&amp;usp=drive_copy</v>
      </c>
      <c r="E342" s="101" t="str">
        <v>https://drive.google.com/open?id=1r9FRjTB0i50xfIz1__yWsyNKPNQ9aZGQ1Fmcqb0iR6Q</v>
      </c>
      <c r="F342" s="103" t="str">
        <f ca="1">IFERROR(__xludf.DUMMYFUNCTION("IMPORTRANGE(H342,""IDENTITAS UNIT!D9"")"),"https://goo.gl/maps/ceGDtfJLMhAanYCr7")</f>
        <v>https://goo.gl/maps/ceGDtfJLMhAanYCr7</v>
      </c>
      <c r="G342" s="4" t="s">
        <v>12941</v>
      </c>
      <c r="H342" s="101" t="str">
        <v>https://docs.google.com/spreadsheets/d/1r9FRjTB0i50xfIz1__yWsyNKPNQ9aZGQ1Fmcqb0iR6Q</v>
      </c>
      <c r="I342" s="101" t="str">
        <v>https://docs.google.com/open?id=1r9FRjTB0i50xfIz1__yWsyNKPNQ9aZGQ1Fmcqb0iR6Q</v>
      </c>
      <c r="J342" s="4" t="str">
        <v>Tritis, Ngargosari, Samigaluh</v>
      </c>
      <c r="L342" s="99" t="str">
        <f ca="1">IFERROR(__xludf.DUMMYFUNCTION("IMPORTRANGE(H342,""IDENTITAS UNIT!D35"")"),"Rendi Andrian")</f>
        <v>Rendi Andrian</v>
      </c>
    </row>
    <row r="343" spans="1:12" ht="49.5" hidden="1">
      <c r="A343" s="4" t="str">
        <v>Reguler Periode ke-101 XX.C.1</v>
      </c>
      <c r="B343" s="4" t="str">
        <v>Reguler Periode ke-101</v>
      </c>
      <c r="C343" s="4" t="str">
        <v>XX.C.1</v>
      </c>
      <c r="D343" s="101" t="str">
        <v>https://drive.google.com/open?id=1rnBeGu67CR0QBG4_DNubbzEK5NSk5mlBzMw_7iZ6Hs8&amp;usp=drive_copy</v>
      </c>
      <c r="E343" s="101" t="str">
        <v>https://drive.google.com/open?id=1rnBeGu67CR0QBG4_DNubbzEK5NSk5mlBzMw_7iZ6Hs8</v>
      </c>
      <c r="F343" s="103" t="str">
        <f ca="1">IFERROR(__xludf.DUMMYFUNCTION("IMPORTRANGE(H343,""IDENTITAS UNIT!D9"")"),"https://goo.gl/maps/eMEGnQ7PzCqYaXHz5")</f>
        <v>https://goo.gl/maps/eMEGnQ7PzCqYaXHz5</v>
      </c>
      <c r="G343" s="4" t="s">
        <v>12942</v>
      </c>
      <c r="H343" s="101" t="str">
        <v>https://docs.google.com/spreadsheets/d/1rnBeGu67CR0QBG4_DNubbzEK5NSk5mlBzMw_7iZ6Hs8</v>
      </c>
      <c r="I343" s="101" t="str">
        <v>https://docs.google.com/open?id=1rnBeGu67CR0QBG4_DNubbzEK5NSk5mlBzMw_7iZ6Hs8</v>
      </c>
      <c r="J343" s="4" t="str">
        <v>Mendolo, Pagerharjo, Samigaluh</v>
      </c>
      <c r="L343" s="99" t="str">
        <f ca="1">IFERROR(__xludf.DUMMYFUNCTION("IMPORTRANGE(H343,""IDENTITAS UNIT!D35"")"),"MUHAMMAD ANDI HASAN ABDILLAH")</f>
        <v>MUHAMMAD ANDI HASAN ABDILLAH</v>
      </c>
    </row>
    <row r="344" spans="1:12" ht="49.5" hidden="1">
      <c r="A344" s="4" t="str">
        <v>Reguler Periode ke-101 XX.C.2</v>
      </c>
      <c r="B344" s="4" t="str">
        <v>Reguler Periode ke-101</v>
      </c>
      <c r="C344" s="4" t="str">
        <v>XX.C.2</v>
      </c>
      <c r="D344" s="101" t="str">
        <v>https://drive.google.com/open?id=1TkzLHbzxcPVx537kBW55zEu46XLYU1_bQM6apZhoGo0&amp;usp=drive_copy</v>
      </c>
      <c r="E344" s="101" t="str">
        <v>https://drive.google.com/open?id=1TkzLHbzxcPVx537kBW55zEu46XLYU1_bQM6apZhoGo0</v>
      </c>
      <c r="F344" s="103" t="str">
        <f ca="1">IFERROR(__xludf.DUMMYFUNCTION("IMPORTRANGE(H344,""IDENTITAS UNIT!D9"")"),"https://maps.app.goo.gl/kZrdFn9UTyukkoyq5")</f>
        <v>https://maps.app.goo.gl/kZrdFn9UTyukkoyq5</v>
      </c>
      <c r="H344" s="101" t="str">
        <v>https://docs.google.com/spreadsheets/d/1TkzLHbzxcPVx537kBW55zEu46XLYU1_bQM6apZhoGo0</v>
      </c>
      <c r="I344" s="101" t="str">
        <v>https://docs.google.com/open?id=1TkzLHbzxcPVx537kBW55zEu46XLYU1_bQM6apZhoGo0</v>
      </c>
      <c r="J344" s="4" t="str">
        <v>Plono Timur, Pagerharjo, Samigaluh</v>
      </c>
      <c r="L344" s="99" t="str">
        <f ca="1">IFERROR(__xludf.DUMMYFUNCTION("IMPORTRANGE(H344,""IDENTITAS UNIT!D35"")"),"Lalu Moh. Syarifuddin")</f>
        <v>Lalu Moh. Syarifuddin</v>
      </c>
    </row>
    <row r="345" spans="1:12" ht="49.5" hidden="1">
      <c r="A345" s="4" t="str">
        <v>Reguler Periode ke-101 XX.C.3</v>
      </c>
      <c r="B345" s="4" t="str">
        <v>Reguler Periode ke-101</v>
      </c>
      <c r="C345" s="4" t="str">
        <v>XX.C.3</v>
      </c>
      <c r="D345" s="101" t="str">
        <v>https://drive.google.com/open?id=1T4pmLI_UD2FFyn2DwaOSxDiHRY9oEfYkfnxHH8QmqxM&amp;usp=drive_copy</v>
      </c>
      <c r="E345" s="101" t="str">
        <v>https://drive.google.com/open?id=1T4pmLI_UD2FFyn2DwaOSxDiHRY9oEfYkfnxHH8QmqxM</v>
      </c>
      <c r="F345" s="103" t="str">
        <f ca="1">IFERROR(__xludf.DUMMYFUNCTION("IMPORTRANGE(H345,""IDENTITAS UNIT!D9"")"),"https://maps.app.goo.gl/dH1KqXJwRXZLdTmDA")</f>
        <v>https://maps.app.goo.gl/dH1KqXJwRXZLdTmDA</v>
      </c>
      <c r="G345" s="4" t="s">
        <v>12943</v>
      </c>
      <c r="H345" s="101" t="str">
        <v>https://docs.google.com/spreadsheets/d/1T4pmLI_UD2FFyn2DwaOSxDiHRY9oEfYkfnxHH8QmqxM</v>
      </c>
      <c r="I345" s="101" t="str">
        <v>https://docs.google.com/open?id=1T4pmLI_UD2FFyn2DwaOSxDiHRY9oEfYkfnxHH8QmqxM</v>
      </c>
      <c r="J345" s="4" t="str">
        <v>Ngentak, Pagerharjo, Samigaluh</v>
      </c>
      <c r="L345" s="99" t="str">
        <f ca="1">IFERROR(__xludf.DUMMYFUNCTION("IMPORTRANGE(H345,""IDENTITAS UNIT!D35"")"),"Safriandy")</f>
        <v>Safriandy</v>
      </c>
    </row>
    <row r="346" spans="1:12" ht="49.5" hidden="1">
      <c r="A346" s="4" t="str">
        <v>Reguler Periode ke-101 XX.D.1</v>
      </c>
      <c r="B346" s="4" t="str">
        <v>Reguler Periode ke-101</v>
      </c>
      <c r="C346" s="4" t="str">
        <v>XX.D.1</v>
      </c>
      <c r="D346" s="101" t="str">
        <v>https://drive.google.com/open?id=1U3OXeXhbgaXTqO_-yUSfQiyA4NyEqttzT0DpZQKpNZM&amp;usp=drive_copy</v>
      </c>
      <c r="E346" s="101" t="str">
        <v>https://drive.google.com/open?id=1U3OXeXhbgaXTqO_-yUSfQiyA4NyEqttzT0DpZQKpNZM</v>
      </c>
      <c r="F346" s="103" t="str">
        <f ca="1">IFERROR(__xludf.DUMMYFUNCTION("IMPORTRANGE(H346,""IDENTITAS UNIT!D9"")"),"https://maps.app.goo.gl/Z6wz9dfZ7ub7Ud7Q9?g_st=iw")</f>
        <v>https://maps.app.goo.gl/Z6wz9dfZ7ub7Ud7Q9?g_st=iw</v>
      </c>
      <c r="G346" s="4" t="s">
        <v>12944</v>
      </c>
      <c r="H346" s="101" t="str">
        <v>https://docs.google.com/spreadsheets/d/1U3OXeXhbgaXTqO_-yUSfQiyA4NyEqttzT0DpZQKpNZM</v>
      </c>
      <c r="I346" s="101" t="str">
        <v>https://docs.google.com/open?id=1U3OXeXhbgaXTqO_-yUSfQiyA4NyEqttzT0DpZQKpNZM</v>
      </c>
      <c r="J346" s="4" t="str">
        <v>Pager, Logandeng, Playen</v>
      </c>
      <c r="L346" s="99" t="str">
        <f ca="1">IFERROR(__xludf.DUMMYFUNCTION("IMPORTRANGE(H346,""IDENTITAS UNIT!D35"")"),"M. Haikal Fahmi")</f>
        <v>M. Haikal Fahmi</v>
      </c>
    </row>
    <row r="347" spans="1:12" ht="49.5" hidden="1">
      <c r="A347" s="4" t="str">
        <v>Reguler Periode ke-101 XX.D.2</v>
      </c>
      <c r="B347" s="4" t="str">
        <v>Reguler Periode ke-101</v>
      </c>
      <c r="C347" s="4" t="str">
        <v>XX.D.2</v>
      </c>
      <c r="D347" s="101" t="str">
        <v>https://drive.google.com/open?id=1VoWzqnXAG4wrW76pwo8BG4ArFcxU_NBzI4VBqkg0sBQ&amp;usp=drive_copy</v>
      </c>
      <c r="E347" s="101" t="str">
        <v>https://drive.google.com/open?id=1VoWzqnXAG4wrW76pwo8BG4ArFcxU_NBzI4VBqkg0sBQ</v>
      </c>
      <c r="F347" s="103" t="str">
        <f ca="1">IFERROR(__xludf.DUMMYFUNCTION("IMPORTRANGE(H347,""IDENTITAS UNIT!D9"")"),"https://maps.app.goo.gl/i3E49rMWBUSgBTqX6")</f>
        <v>https://maps.app.goo.gl/i3E49rMWBUSgBTqX6</v>
      </c>
      <c r="G347" s="4" t="s">
        <v>12945</v>
      </c>
      <c r="H347" s="101" t="str">
        <v>https://docs.google.com/spreadsheets/d/1VoWzqnXAG4wrW76pwo8BG4ArFcxU_NBzI4VBqkg0sBQ</v>
      </c>
      <c r="I347" s="101" t="str">
        <v>https://docs.google.com/open?id=1VoWzqnXAG4wrW76pwo8BG4ArFcxU_NBzI4VBqkg0sBQ</v>
      </c>
      <c r="J347" s="4" t="str">
        <v>Plembon Kidul, Logandeng, Playen</v>
      </c>
      <c r="L347" s="99" t="str">
        <f ca="1">IFERROR(__xludf.DUMMYFUNCTION("IMPORTRANGE(H347,""IDENTITAS UNIT!D35"")"),"Ilham Munawar")</f>
        <v>Ilham Munawar</v>
      </c>
    </row>
    <row r="348" spans="1:12" ht="49.5" hidden="1">
      <c r="A348" s="4" t="str">
        <v>Reguler Periode ke-101 XX.D.3</v>
      </c>
      <c r="B348" s="4" t="str">
        <v>Reguler Periode ke-101</v>
      </c>
      <c r="C348" s="4" t="str">
        <v>XX.D.3</v>
      </c>
      <c r="D348" s="101" t="str">
        <v>https://drive.google.com/open?id=1UYWMWHeW-M8GY0OSZNcPF2R8afJWdtf38jKAsq2fAho&amp;usp=drive_copy</v>
      </c>
      <c r="E348" s="101" t="str">
        <v>https://drive.google.com/open?id=1UYWMWHeW-M8GY0OSZNcPF2R8afJWdtf38jKAsq2fAho</v>
      </c>
      <c r="F348" s="103" t="str">
        <f ca="1">IFERROR(__xludf.DUMMYFUNCTION("IMPORTRANGE(H348,""IDENTITAS UNIT!D9"")"),"https://goo.gl/maps/B55MkzB3FwpfJqEA7")</f>
        <v>https://goo.gl/maps/B55MkzB3FwpfJqEA7</v>
      </c>
      <c r="G348" s="4" t="s">
        <v>12946</v>
      </c>
      <c r="H348" s="101" t="str">
        <v>https://docs.google.com/spreadsheets/d/1UYWMWHeW-M8GY0OSZNcPF2R8afJWdtf38jKAsq2fAho</v>
      </c>
      <c r="I348" s="101" t="str">
        <v>https://docs.google.com/open?id=1UYWMWHeW-M8GY0OSZNcPF2R8afJWdtf38jKAsq2fAho</v>
      </c>
      <c r="J348" s="4" t="str">
        <v>Plembon Lor, Logandeng, Playen</v>
      </c>
      <c r="L348" s="99" t="str">
        <f ca="1">IFERROR(__xludf.DUMMYFUNCTION("IMPORTRANGE(H348,""IDENTITAS UNIT!D35"")"),"Muhammad Hilmy Nibras")</f>
        <v>Muhammad Hilmy Nibras</v>
      </c>
    </row>
    <row r="349" spans="1:12" ht="49.5" hidden="1">
      <c r="A349" s="4" t="str">
        <v>Reguler Periode ke-101 XXI.A.1</v>
      </c>
      <c r="B349" s="4" t="str">
        <v>Reguler Periode ke-101</v>
      </c>
      <c r="C349" s="4" t="str">
        <v>XXI.A.1</v>
      </c>
      <c r="D349" s="101" t="str">
        <v>https://drive.google.com/open?id=1XOOR8P92_AArpIzWPUqW3e7Ozp_SI-A1s85gzXPKDwc&amp;usp=drive_copy</v>
      </c>
      <c r="E349" s="101" t="str">
        <v>https://drive.google.com/open?id=1XOOR8P92_AArpIzWPUqW3e7Ozp_SI-A1s85gzXPKDwc</v>
      </c>
      <c r="F349" s="103" t="str">
        <f ca="1">IFERROR(__xludf.DUMMYFUNCTION("IMPORTRANGE(H349,""IDENTITAS UNIT!D9"")"),"https://goo.gl/maps/qWnrZYewYSKW73Ez8")</f>
        <v>https://goo.gl/maps/qWnrZYewYSKW73Ez8</v>
      </c>
      <c r="H349" s="101" t="str">
        <v>https://docs.google.com/spreadsheets/d/1XOOR8P92_AArpIzWPUqW3e7Ozp_SI-A1s85gzXPKDwc</v>
      </c>
      <c r="I349" s="101" t="str">
        <v>https://docs.google.com/open?id=1XOOR8P92_AArpIzWPUqW3e7Ozp_SI-A1s85gzXPKDwc</v>
      </c>
      <c r="J349" s="4" t="str">
        <v>Jalakan, Logandeng, Playen</v>
      </c>
      <c r="L349" s="99" t="str">
        <f ca="1">IFERROR(__xludf.DUMMYFUNCTION("IMPORTRANGE(H349,""IDENTITAS UNIT!D35"")"),"Nursandi Firdaus")</f>
        <v>Nursandi Firdaus</v>
      </c>
    </row>
    <row r="350" spans="1:12" ht="49.5" hidden="1">
      <c r="A350" s="4" t="str">
        <v>Reguler Periode ke-101 XXI.A.2</v>
      </c>
      <c r="B350" s="4" t="str">
        <v>Reguler Periode ke-101</v>
      </c>
      <c r="C350" s="4" t="str">
        <v>XXI.A.2</v>
      </c>
      <c r="D350" s="101" t="str">
        <v>https://drive.google.com/open?id=1XZ0nOf_lIIurh_0YI6XJjrazj_ubPlOlFvi6ZJ7-62M&amp;usp=drive_copy</v>
      </c>
      <c r="E350" s="101" t="str">
        <v>https://drive.google.com/open?id=1XZ0nOf_lIIurh_0YI6XJjrazj_ubPlOlFvi6ZJ7-62M</v>
      </c>
      <c r="F350" s="103" t="str">
        <f ca="1">IFERROR(__xludf.DUMMYFUNCTION("IMPORTRANGE(H350,""IDENTITAS UNIT!D9"")"),"https://goo.gl/maps/GkeKQ7qXuXe9Pcuw9")</f>
        <v>https://goo.gl/maps/GkeKQ7qXuXe9Pcuw9</v>
      </c>
      <c r="G350" s="4" t="s">
        <v>12947</v>
      </c>
      <c r="H350" s="101" t="str">
        <v>https://docs.google.com/spreadsheets/d/1XZ0nOf_lIIurh_0YI6XJjrazj_ubPlOlFvi6ZJ7-62M</v>
      </c>
      <c r="I350" s="101" t="str">
        <v>https://docs.google.com/open?id=1XZ0nOf_lIIurh_0YI6XJjrazj_ubPlOlFvi6ZJ7-62M</v>
      </c>
      <c r="J350" s="4" t="str">
        <v>Logandeng, Logandeng, Playen</v>
      </c>
      <c r="L350" s="99" t="str">
        <f ca="1">IFERROR(__xludf.DUMMYFUNCTION("IMPORTRANGE(H350,""IDENTITAS UNIT!D35"")"),"Zihad Safakul Fatahullah")</f>
        <v>Zihad Safakul Fatahullah</v>
      </c>
    </row>
    <row r="351" spans="1:12" ht="49.5" hidden="1">
      <c r="A351" s="4" t="str">
        <v>Reguler Periode ke-101 XXI.A.3</v>
      </c>
      <c r="B351" s="4" t="str">
        <v>Reguler Periode ke-101</v>
      </c>
      <c r="C351" s="4" t="str">
        <v>XXI.A.3</v>
      </c>
      <c r="D351" s="101" t="str">
        <v>https://drive.google.com/open?id=1XcYRqb7tFKMVwHMSlyWM_wXEQF0eDaSgcTGxvXqGMi4&amp;usp=drive_copy</v>
      </c>
      <c r="E351" s="101" t="str">
        <v>https://drive.google.com/open?id=1XcYRqb7tFKMVwHMSlyWM_wXEQF0eDaSgcTGxvXqGMi4</v>
      </c>
      <c r="F351" s="103" t="str">
        <f ca="1">IFERROR(__xludf.DUMMYFUNCTION("IMPORTRANGE(H351,""IDENTITAS UNIT!D9"")"),"https://maps.app.goo.gl/bifn4dUBPqFkMFV19")</f>
        <v>https://maps.app.goo.gl/bifn4dUBPqFkMFV19</v>
      </c>
      <c r="G351" s="4" t="s">
        <v>12948</v>
      </c>
      <c r="H351" s="101" t="str">
        <v>https://docs.google.com/spreadsheets/d/1XcYRqb7tFKMVwHMSlyWM_wXEQF0eDaSgcTGxvXqGMi4</v>
      </c>
      <c r="I351" s="101" t="str">
        <v>https://docs.google.com/open?id=1XcYRqb7tFKMVwHMSlyWM_wXEQF0eDaSgcTGxvXqGMi4</v>
      </c>
      <c r="J351" s="4" t="str">
        <v>Siyono Tengah, Logandeng, Playen</v>
      </c>
      <c r="L351" s="99" t="str">
        <f ca="1">IFERROR(__xludf.DUMMYFUNCTION("IMPORTRANGE(H351,""IDENTITAS UNIT!D35"")"),"DIMAS YUDHAFIANTO PUTRA")</f>
        <v>DIMAS YUDHAFIANTO PUTRA</v>
      </c>
    </row>
    <row r="352" spans="1:12" ht="49.5" hidden="1">
      <c r="A352" s="4" t="str">
        <v>Reguler Periode ke-101 XXI.B.1</v>
      </c>
      <c r="B352" s="4" t="str">
        <v>Reguler Periode ke-101</v>
      </c>
      <c r="C352" s="4" t="str">
        <v>XXI.B.1</v>
      </c>
      <c r="D352" s="101" t="str">
        <v>https://drive.google.com/open?id=1RF_SaQ8OXRxtpMgTxwUdfOuwgKhTzVvKcjdfy5a-Q0o&amp;usp=drive_copy</v>
      </c>
      <c r="E352" s="101" t="str">
        <v>https://drive.google.com/open?id=1RF_SaQ8OXRxtpMgTxwUdfOuwgKhTzVvKcjdfy5a-Q0o</v>
      </c>
      <c r="F352" s="103" t="str">
        <f ca="1">IFERROR(__xludf.DUMMYFUNCTION("IMPORTRANGE(H352,""IDENTITAS UNIT!D9"")"),"https://maps.app.goo.gl/dvt1tNqqWbKAJXhT6")</f>
        <v>https://maps.app.goo.gl/dvt1tNqqWbKAJXhT6</v>
      </c>
      <c r="H352" s="101" t="str">
        <v>https://docs.google.com/spreadsheets/d/1RF_SaQ8OXRxtpMgTxwUdfOuwgKhTzVvKcjdfy5a-Q0o</v>
      </c>
      <c r="I352" s="101" t="str">
        <v>https://docs.google.com/open?id=1RF_SaQ8OXRxtpMgTxwUdfOuwgKhTzVvKcjdfy5a-Q0o</v>
      </c>
      <c r="J352" s="4" t="str">
        <v>Siyono Wetan , Logandeng, Playen</v>
      </c>
      <c r="L352" s="99" t="str">
        <f ca="1">IFERROR(__xludf.DUMMYFUNCTION("IMPORTRANGE(H352,""IDENTITAS UNIT!D35"")"),"IMAM IFNA")</f>
        <v>IMAM IFNA</v>
      </c>
    </row>
    <row r="353" spans="1:12" ht="49.5" hidden="1">
      <c r="A353" s="4" t="str">
        <v>Reguler Periode ke-101 XXI.B.2</v>
      </c>
      <c r="B353" s="4" t="str">
        <v>Reguler Periode ke-101</v>
      </c>
      <c r="C353" s="4" t="str">
        <v>XXI.B.2</v>
      </c>
      <c r="D353" s="101" t="str">
        <v>https://drive.google.com/open?id=1Yis8bvL-ziqT88RZfFPowTkK1R7KVfqun4L18uOAEzI&amp;usp=drive_copy</v>
      </c>
      <c r="E353" s="101" t="str">
        <v>https://drive.google.com/open?id=1Yis8bvL-ziqT88RZfFPowTkK1R7KVfqun4L18uOAEzI</v>
      </c>
      <c r="F353" s="103" t="str">
        <f ca="1">IFERROR(__xludf.DUMMYFUNCTION("IMPORTRANGE(H353,""IDENTITAS UNIT!D9"")"),"https://maps.app.goo.gl/Mehqr9gZnJGZDU4B7")</f>
        <v>https://maps.app.goo.gl/Mehqr9gZnJGZDU4B7</v>
      </c>
      <c r="H353" s="101" t="str">
        <v>https://docs.google.com/spreadsheets/d/1Yis8bvL-ziqT88RZfFPowTkK1R7KVfqun4L18uOAEzI</v>
      </c>
      <c r="I353" s="101" t="str">
        <v>https://docs.google.com/open?id=1Yis8bvL-ziqT88RZfFPowTkK1R7KVfqun4L18uOAEzI</v>
      </c>
      <c r="J353" s="4" t="str">
        <v>Siyono Kidul, Logandeng, Playen</v>
      </c>
      <c r="L353" s="99" t="str">
        <f ca="1">IFERROR(__xludf.DUMMYFUNCTION("IMPORTRANGE(H353,""IDENTITAS UNIT!D35"")"),"Roi Oktawiadi")</f>
        <v>Roi Oktawiadi</v>
      </c>
    </row>
    <row r="354" spans="1:12" ht="49.5" hidden="1">
      <c r="A354" s="4" t="str">
        <v>Reguler Periode ke-101 XXI.B.3</v>
      </c>
      <c r="B354" s="4" t="str">
        <v>Reguler Periode ke-101</v>
      </c>
      <c r="C354" s="4" t="str">
        <v>XXI.B.3</v>
      </c>
      <c r="D354" s="101" t="str">
        <v>https://drive.google.com/open?id=1Yza90-TlvGx99B7AxrZnd8orAhG1q79_xXyht58dmYQ&amp;usp=drive_copy</v>
      </c>
      <c r="E354" s="101" t="str">
        <v>https://drive.google.com/open?id=1Yza90-TlvGx99B7AxrZnd8orAhG1q79_xXyht58dmYQ</v>
      </c>
      <c r="F354" s="103" t="str">
        <f ca="1">IFERROR(__xludf.DUMMYFUNCTION("IMPORTRANGE(H354,""IDENTITAS UNIT!D9"")"),"https://maps.app.goo.gl/yvCyyqGZFyetpGkK8")</f>
        <v>https://maps.app.goo.gl/yvCyyqGZFyetpGkK8</v>
      </c>
      <c r="H354" s="101" t="str">
        <v>https://docs.google.com/spreadsheets/d/1Yza90-TlvGx99B7AxrZnd8orAhG1q79_xXyht58dmYQ</v>
      </c>
      <c r="I354" s="101" t="str">
        <v>https://docs.google.com/open?id=1Yza90-TlvGx99B7AxrZnd8orAhG1q79_xXyht58dmYQ</v>
      </c>
      <c r="J354" s="4" t="str">
        <v>Siyono Kulon, Logandeng, Playen</v>
      </c>
      <c r="L354" s="99" t="str">
        <f ca="1">IFERROR(__xludf.DUMMYFUNCTION("IMPORTRANGE(H354,""IDENTITAS UNIT!D35"")"),"Bagas Sunarwi")</f>
        <v>Bagas Sunarwi</v>
      </c>
    </row>
    <row r="355" spans="1:12" ht="16.5" hidden="1">
      <c r="A355" s="4" t="str">
        <v>Reguler Periode ke-101 XXI.C.1</v>
      </c>
      <c r="B355" s="4" t="str">
        <v>Reguler Periode ke-101</v>
      </c>
      <c r="C355" s="4" t="str">
        <v>XXI.C.1</v>
      </c>
      <c r="D355" s="101" t="str">
        <v>https://drive.google.com/open?id=1ZGcE8KqSeQF0J6zfp80i1TrHAoE3eFk8gtM375IcFOY&amp;usp=drive_copy</v>
      </c>
      <c r="E355" s="101" t="str">
        <v>https://drive.google.com/open?id=1ZGcE8KqSeQF0J6zfp80i1TrHAoE3eFk8gtM375IcFOY</v>
      </c>
      <c r="F355" s="102" t="str">
        <f ca="1">IFERROR(__xludf.DUMMYFUNCTION("IMPORTRANGE(H355,""IDENTITAS UNIT!D9"")"),"")</f>
        <v/>
      </c>
      <c r="H355" s="101" t="str">
        <v>https://docs.google.com/spreadsheets/d/1ZGcE8KqSeQF0J6zfp80i1TrHAoE3eFk8gtM375IcFOY</v>
      </c>
      <c r="I355" s="101" t="str">
        <v>https://docs.google.com/open?id=1ZGcE8KqSeQF0J6zfp80i1TrHAoE3eFk8gtM375IcFOY</v>
      </c>
      <c r="J355" s="4" t="str">
        <v>Glidag, Logandeng, Playen</v>
      </c>
      <c r="L355" s="99" t="str">
        <f ca="1">IFERROR(__xludf.DUMMYFUNCTION("IMPORTRANGE(H355,""IDENTITAS UNIT!D35"")"),"Muhammad Helmi Luthfi")</f>
        <v>Muhammad Helmi Luthfi</v>
      </c>
    </row>
    <row r="356" spans="1:12" ht="49.5" hidden="1">
      <c r="A356" s="4" t="str">
        <v>Reguler Periode ke-101 XXI.C.2</v>
      </c>
      <c r="B356" s="4" t="str">
        <v>Reguler Periode ke-101</v>
      </c>
      <c r="C356" s="4" t="str">
        <v>XXI.C.2</v>
      </c>
      <c r="D356" s="101" t="str">
        <v>https://drive.google.com/open?id=1ZIF5QzVr3TVMcW0EO7gHnYPOkn-Y0q2Godqr8sr-8LA&amp;usp=drive_copy</v>
      </c>
      <c r="E356" s="101" t="str">
        <v>https://drive.google.com/open?id=1ZIF5QzVr3TVMcW0EO7gHnYPOkn-Y0q2Godqr8sr-8LA</v>
      </c>
      <c r="F356" s="103" t="str">
        <f ca="1">IFERROR(__xludf.DUMMYFUNCTION("IMPORTRANGE(H356,""IDENTITAS UNIT!D9"")"),"https://goo.gl/maps/bkRijzvPitcx8Ho28")</f>
        <v>https://goo.gl/maps/bkRijzvPitcx8Ho28</v>
      </c>
      <c r="G356" s="4" t="s">
        <v>12949</v>
      </c>
      <c r="H356" s="101" t="str">
        <v>https://docs.google.com/spreadsheets/d/1ZIF5QzVr3TVMcW0EO7gHnYPOkn-Y0q2Godqr8sr-8LA</v>
      </c>
      <c r="I356" s="101" t="str">
        <v>https://docs.google.com/open?id=1ZIF5QzVr3TVMcW0EO7gHnYPOkn-Y0q2Godqr8sr-8LA</v>
      </c>
      <c r="J356" s="4" t="str">
        <v>Bogor II, Playen, Playen</v>
      </c>
      <c r="L356" s="99" t="str">
        <f ca="1">IFERROR(__xludf.DUMMYFUNCTION("IMPORTRANGE(H356,""IDENTITAS UNIT!D35"")"),"Muhammad Alfu Nur Fasa")</f>
        <v>Muhammad Alfu Nur Fasa</v>
      </c>
    </row>
    <row r="357" spans="1:12" ht="49.5" hidden="1">
      <c r="A357" s="4" t="str">
        <v>Reguler Periode ke-101 XXI.C.3</v>
      </c>
      <c r="B357" s="4" t="str">
        <v>Reguler Periode ke-101</v>
      </c>
      <c r="C357" s="4" t="str">
        <v>XXI.C.3</v>
      </c>
      <c r="D357" s="101" t="str">
        <v>https://drive.google.com/open?id=1aK8bRPBwSbG-NKbaP6D0bAEWum3Q8sPJXCBZv6Ea1l4&amp;usp=drive_copy</v>
      </c>
      <c r="E357" s="101" t="str">
        <v>https://drive.google.com/open?id=1aK8bRPBwSbG-NKbaP6D0bAEWum3Q8sPJXCBZv6Ea1l4</v>
      </c>
      <c r="F357" s="103" t="str">
        <f ca="1">IFERROR(__xludf.DUMMYFUNCTION("IMPORTRANGE(H357,""IDENTITAS UNIT!D9"")"),"https://goo.gl/maps/Pf8EkzNhjgec8PHaA")</f>
        <v>https://goo.gl/maps/Pf8EkzNhjgec8PHaA</v>
      </c>
      <c r="G357" s="4" t="s">
        <v>12950</v>
      </c>
      <c r="H357" s="101" t="str">
        <v>https://docs.google.com/spreadsheets/d/1aK8bRPBwSbG-NKbaP6D0bAEWum3Q8sPJXCBZv6Ea1l4</v>
      </c>
      <c r="I357" s="101" t="str">
        <v>https://docs.google.com/open?id=1aK8bRPBwSbG-NKbaP6D0bAEWum3Q8sPJXCBZv6Ea1l4</v>
      </c>
      <c r="J357" s="4" t="str">
        <v>Bogor I, Playen, Playen</v>
      </c>
      <c r="L357" s="99" t="str">
        <f ca="1">IFERROR(__xludf.DUMMYFUNCTION("IMPORTRANGE(H357,""IDENTITAS UNIT!D35"")"),"Muh. Fakhrul Ihsan")</f>
        <v>Muh. Fakhrul Ihsan</v>
      </c>
    </row>
    <row r="358" spans="1:12" ht="16.5" hidden="1">
      <c r="A358" s="4" t="str">
        <v>Reguler Periode ke-101 XXI.D.1</v>
      </c>
      <c r="B358" s="4" t="str">
        <v>Reguler Periode ke-101</v>
      </c>
      <c r="C358" s="4" t="str">
        <v>XXI.D.1</v>
      </c>
      <c r="D358" s="101" t="str">
        <v>https://drive.google.com/open?id=1_Z1hkM7SRuL3P9byoBqA47W_Ayd8EFpoIHDvKWY5EmU&amp;usp=drive_copy</v>
      </c>
      <c r="E358" s="101" t="str">
        <v>https://drive.google.com/open?id=1_Z1hkM7SRuL3P9byoBqA47W_Ayd8EFpoIHDvKWY5EmU</v>
      </c>
      <c r="F358" s="102" t="str">
        <f ca="1">IFERROR(__xludf.DUMMYFUNCTION("IMPORTRANGE(H358,""IDENTITAS UNIT!D9"")"),"")</f>
        <v/>
      </c>
      <c r="H358" s="101" t="str">
        <v>https://docs.google.com/spreadsheets/d/1_Z1hkM7SRuL3P9byoBqA47W_Ayd8EFpoIHDvKWY5EmU</v>
      </c>
      <c r="I358" s="101" t="str">
        <v>https://docs.google.com/open?id=1_Z1hkM7SRuL3P9byoBqA47W_Ayd8EFpoIHDvKWY5EmU</v>
      </c>
      <c r="J358" s="4" t="str">
        <v>Jatisari, Playen, Playen</v>
      </c>
      <c r="L358" s="99" t="str">
        <f ca="1">IFERROR(__xludf.DUMMYFUNCTION("IMPORTRANGE(H358,""IDENTITAS UNIT!D35"")"),"Azhar Rinanda")</f>
        <v>Azhar Rinanda</v>
      </c>
    </row>
    <row r="359" spans="1:12" ht="49.5" hidden="1">
      <c r="A359" s="4" t="str">
        <v>Reguler Periode ke-101 XXI.D.2</v>
      </c>
      <c r="B359" s="4" t="str">
        <v>Reguler Periode ke-101</v>
      </c>
      <c r="C359" s="4" t="str">
        <v>XXI.D.2</v>
      </c>
      <c r="D359" s="101" t="str">
        <v>https://drive.google.com/open?id=1ZvBcY12fipEHX1b4eUbGpDkpc5lwxJ2nzm0kqiRSDJU&amp;usp=drive_copy</v>
      </c>
      <c r="E359" s="101" t="str">
        <v>https://drive.google.com/open?id=1ZvBcY12fipEHX1b4eUbGpDkpc5lwxJ2nzm0kqiRSDJU</v>
      </c>
      <c r="F359" s="103" t="str">
        <f ca="1">IFERROR(__xludf.DUMMYFUNCTION("IMPORTRANGE(H359,""IDENTITAS UNIT!D9"")"),"https://goo.gl/maps/ZhZyukPs8f8G89uq5")</f>
        <v>https://goo.gl/maps/ZhZyukPs8f8G89uq5</v>
      </c>
      <c r="G359" s="4" t="s">
        <v>12951</v>
      </c>
      <c r="H359" s="101" t="str">
        <v>https://docs.google.com/spreadsheets/d/1ZvBcY12fipEHX1b4eUbGpDkpc5lwxJ2nzm0kqiRSDJU</v>
      </c>
      <c r="I359" s="101" t="str">
        <v>https://docs.google.com/open?id=1ZvBcY12fipEHX1b4eUbGpDkpc5lwxJ2nzm0kqiRSDJU</v>
      </c>
      <c r="J359" s="4" t="str">
        <v>Playen I, Playen, Playen</v>
      </c>
      <c r="L359" s="99" t="str">
        <f ca="1">IFERROR(__xludf.DUMMYFUNCTION("IMPORTRANGE(H359,""IDENTITAS UNIT!D35"")"),"ARDAHAKA")</f>
        <v>ARDAHAKA</v>
      </c>
    </row>
    <row r="360" spans="1:12" ht="49.5" hidden="1">
      <c r="A360" s="4" t="str">
        <v>Reguler Periode ke-101 XXI.D.3</v>
      </c>
      <c r="B360" s="4" t="str">
        <v>Reguler Periode ke-101</v>
      </c>
      <c r="C360" s="4" t="str">
        <v>XXI.D.3</v>
      </c>
      <c r="D360" s="101" t="str">
        <v>https://drive.google.com/open?id=1c1kWZJ6TJz2qnu7YAzZ4WQdqgEDxu959vzQkAKsOzBI&amp;usp=drive_copy</v>
      </c>
      <c r="E360" s="101" t="str">
        <v>https://drive.google.com/open?id=1c1kWZJ6TJz2qnu7YAzZ4WQdqgEDxu959vzQkAKsOzBI</v>
      </c>
      <c r="F360" s="103" t="str">
        <f ca="1">IFERROR(__xludf.DUMMYFUNCTION("IMPORTRANGE(H360,""IDENTITAS UNIT!D9"")"),"https://goo.gl/maps/9meCR7Wm4yz4SZ158")</f>
        <v>https://goo.gl/maps/9meCR7Wm4yz4SZ158</v>
      </c>
      <c r="G360" s="4" t="s">
        <v>12952</v>
      </c>
      <c r="H360" s="101" t="str">
        <v>https://docs.google.com/spreadsheets/d/1c1kWZJ6TJz2qnu7YAzZ4WQdqgEDxu959vzQkAKsOzBI</v>
      </c>
      <c r="I360" s="101" t="str">
        <v>https://docs.google.com/open?id=1c1kWZJ6TJz2qnu7YAzZ4WQdqgEDxu959vzQkAKsOzBI</v>
      </c>
      <c r="J360" s="4" t="str">
        <v>Banaran, Playen, Playen</v>
      </c>
      <c r="L360" s="99" t="str">
        <f ca="1">IFERROR(__xludf.DUMMYFUNCTION("IMPORTRANGE(H360,""IDENTITAS UNIT!D35"")"),"Rafli Mukti Nugraha")</f>
        <v>Rafli Mukti Nugraha</v>
      </c>
    </row>
    <row r="361" spans="1:12" ht="49.5" hidden="1">
      <c r="A361" s="4" t="str">
        <v>Reguler Periode ke-101 XXII.A.1</v>
      </c>
      <c r="B361" s="4" t="str">
        <v>Reguler Periode ke-101</v>
      </c>
      <c r="C361" s="4" t="str">
        <v>XXII.A.1</v>
      </c>
      <c r="D361" s="101" t="str">
        <v>https://drive.google.com/open?id=1Og3mVdnDiCjFpE9cXvXy66fPL0fhJjpQ-28U3d9XHf4&amp;usp=drive_copy</v>
      </c>
      <c r="E361" s="101" t="str">
        <v>https://drive.google.com/open?id=1Og3mVdnDiCjFpE9cXvXy66fPL0fhJjpQ-28U3d9XHf4</v>
      </c>
      <c r="F361" s="103" t="str">
        <f ca="1">IFERROR(__xludf.DUMMYFUNCTION("IMPORTRANGE(H361,""IDENTITAS UNIT!D9"")"),"https://maps.app.goo.gl/d6Tn1SCJiA68xv2s6")</f>
        <v>https://maps.app.goo.gl/d6Tn1SCJiA68xv2s6</v>
      </c>
      <c r="H361" s="101" t="str">
        <v>https://docs.google.com/spreadsheets/d/1Og3mVdnDiCjFpE9cXvXy66fPL0fhJjpQ-28U3d9XHf4</v>
      </c>
      <c r="I361" s="101" t="str">
        <v>https://docs.google.com/open?id=1Og3mVdnDiCjFpE9cXvXy66fPL0fhJjpQ-28U3d9XHf4</v>
      </c>
      <c r="J361" s="4" t="str">
        <v>Playen II, Playen, Playen</v>
      </c>
      <c r="L361" s="99" t="str">
        <f ca="1">IFERROR(__xludf.DUMMYFUNCTION("IMPORTRANGE(H361,""IDENTITAS UNIT!D35"")"),"Ahmad Rayhan")</f>
        <v>Ahmad Rayhan</v>
      </c>
    </row>
    <row r="362" spans="1:12" ht="49.5" hidden="1">
      <c r="A362" s="4" t="str">
        <v>Reguler Periode ke-101 XXII.A.2</v>
      </c>
      <c r="B362" s="4" t="str">
        <v>Reguler Periode ke-101</v>
      </c>
      <c r="C362" s="4" t="str">
        <v>XXII.A.2</v>
      </c>
      <c r="D362" s="101" t="str">
        <v>https://drive.google.com/open?id=1OI0RdNMmZqRIPrr5sMuGO4qeAmlAlsu-4v37ggkdvKs&amp;usp=drive_copy</v>
      </c>
      <c r="E362" s="101" t="str">
        <v>https://drive.google.com/open?id=1OI0RdNMmZqRIPrr5sMuGO4qeAmlAlsu-4v37ggkdvKs</v>
      </c>
      <c r="F362" s="103" t="str">
        <f ca="1">IFERROR(__xludf.DUMMYFUNCTION("IMPORTRANGE(H362,""IDENTITAS UNIT!D9"")"),"https://goo.gl/maps/zpAQcd6QKcgoXa2X8")</f>
        <v>https://goo.gl/maps/zpAQcd6QKcgoXa2X8</v>
      </c>
      <c r="G362" s="4" t="s">
        <v>12953</v>
      </c>
      <c r="H362" s="101" t="str">
        <v>https://docs.google.com/spreadsheets/d/1OI0RdNMmZqRIPrr5sMuGO4qeAmlAlsu-4v37ggkdvKs</v>
      </c>
      <c r="I362" s="101" t="str">
        <v>https://docs.google.com/open?id=1OI0RdNMmZqRIPrr5sMuGO4qeAmlAlsu-4v37ggkdvKs</v>
      </c>
      <c r="J362" s="4" t="str">
        <v>Mojosari, Playen, Playen</v>
      </c>
      <c r="L362" s="99" t="str">
        <f ca="1">IFERROR(__xludf.DUMMYFUNCTION("IMPORTRANGE(H362,""IDENTITAS UNIT!D35"")"),"Mohammad Rizki Saputra")</f>
        <v>Mohammad Rizki Saputra</v>
      </c>
    </row>
    <row r="363" spans="1:12" ht="49.5" hidden="1">
      <c r="A363" s="4" t="str">
        <v>Reguler Periode ke-101 XXII.A.3</v>
      </c>
      <c r="B363" s="4" t="str">
        <v>Reguler Periode ke-101</v>
      </c>
      <c r="C363" s="4" t="str">
        <v>XXII.A.3</v>
      </c>
      <c r="D363" s="101" t="str">
        <v>https://drive.google.com/open?id=1OFeUEHRjAsBnku94OcZF75jRFJ9XV4JaanumlcjbimY&amp;usp=drive_copy</v>
      </c>
      <c r="E363" s="101" t="str">
        <v>https://drive.google.com/open?id=1OFeUEHRjAsBnku94OcZF75jRFJ9XV4JaanumlcjbimY</v>
      </c>
      <c r="F363" s="103" t="str">
        <f ca="1">IFERROR(__xludf.DUMMYFUNCTION("IMPORTRANGE(H363,""IDENTITAS UNIT!D9"")"),"https://goo.gl/maps/1ZB7j3SVj4cVPn3j9")</f>
        <v>https://goo.gl/maps/1ZB7j3SVj4cVPn3j9</v>
      </c>
      <c r="G363" s="4" t="s">
        <v>12954</v>
      </c>
      <c r="H363" s="101" t="str">
        <v>https://docs.google.com/spreadsheets/d/1OFeUEHRjAsBnku94OcZF75jRFJ9XV4JaanumlcjbimY</v>
      </c>
      <c r="I363" s="101" t="str">
        <v>https://docs.google.com/open?id=1OFeUEHRjAsBnku94OcZF75jRFJ9XV4JaanumlcjbimY</v>
      </c>
      <c r="J363" s="4" t="str">
        <v>Ngasem Lor, Plembutan, Playen</v>
      </c>
      <c r="L363" s="99" t="str">
        <f ca="1">IFERROR(__xludf.DUMMYFUNCTION("IMPORTRANGE(H363,""IDENTITAS UNIT!D35"")"),"Dika Pratama Putra")</f>
        <v>Dika Pratama Putra</v>
      </c>
    </row>
    <row r="364" spans="1:12" ht="49.5" hidden="1">
      <c r="A364" s="4" t="str">
        <v>Reguler Periode ke-101 XXII.B.1</v>
      </c>
      <c r="B364" s="4" t="str">
        <v>Reguler Periode ke-101</v>
      </c>
      <c r="C364" s="4" t="str">
        <v>XXII.B.1</v>
      </c>
      <c r="D364" s="101" t="str">
        <v>https://drive.google.com/open?id=1RAiyBpviyDH1LaSdNuoxdJepOzToEft0FTmR7G9UtUc&amp;usp=drive_copy</v>
      </c>
      <c r="E364" s="101" t="str">
        <v>https://drive.google.com/open?id=1RAiyBpviyDH1LaSdNuoxdJepOzToEft0FTmR7G9UtUc</v>
      </c>
      <c r="F364" s="103" t="str">
        <f ca="1">IFERROR(__xludf.DUMMYFUNCTION("IMPORTRANGE(H364,""IDENTITAS UNIT!D9"")"),"https://goo.gl/maps/QUqpNqqva5zJSHGK7")</f>
        <v>https://goo.gl/maps/QUqpNqqva5zJSHGK7</v>
      </c>
      <c r="G364" s="4" t="s">
        <v>12955</v>
      </c>
      <c r="H364" s="101" t="str">
        <v>https://docs.google.com/spreadsheets/d/1RAiyBpviyDH1LaSdNuoxdJepOzToEft0FTmR7G9UtUc</v>
      </c>
      <c r="I364" s="101" t="str">
        <v>https://docs.google.com/open?id=1RAiyBpviyDH1LaSdNuoxdJepOzToEft0FTmR7G9UtUc</v>
      </c>
      <c r="J364" s="4" t="str">
        <v>Ngasem Selatan, Plembutan, Playen</v>
      </c>
      <c r="L364" s="99" t="str">
        <f ca="1">IFERROR(__xludf.DUMMYFUNCTION("IMPORTRANGE(H364,""IDENTITAS UNIT!D35"")"),"Dwi Widianto")</f>
        <v>Dwi Widianto</v>
      </c>
    </row>
    <row r="365" spans="1:12" ht="49.5" hidden="1">
      <c r="A365" s="4" t="str">
        <v>Reguler Periode ke-101 XXII.B.2</v>
      </c>
      <c r="B365" s="4" t="str">
        <v>Reguler Periode ke-101</v>
      </c>
      <c r="C365" s="4" t="str">
        <v>XXII.B.2</v>
      </c>
      <c r="D365" s="101" t="str">
        <v>https://drive.google.com/open?id=1PedQQZZ84OiMFo693N_NG04uP-ZWcYd9bWCrfTuN3q4&amp;usp=drive_copy</v>
      </c>
      <c r="E365" s="101" t="str">
        <v>https://drive.google.com/open?id=1PedQQZZ84OiMFo693N_NG04uP-ZWcYd9bWCrfTuN3q4</v>
      </c>
      <c r="F365" s="103" t="str">
        <f ca="1">IFERROR(__xludf.DUMMYFUNCTION("IMPORTRANGE(H365,""IDENTITAS UNIT!D9"")"),"https://maps.app.goo.gl/px9UXx61VpYPkusE8")</f>
        <v>https://maps.app.goo.gl/px9UXx61VpYPkusE8</v>
      </c>
      <c r="G365" s="4" t="s">
        <v>12956</v>
      </c>
      <c r="H365" s="101" t="str">
        <v>https://docs.google.com/spreadsheets/d/1PedQQZZ84OiMFo693N_NG04uP-ZWcYd9bWCrfTuN3q4</v>
      </c>
      <c r="I365" s="101" t="str">
        <v>https://docs.google.com/open?id=1PedQQZZ84OiMFo693N_NG04uP-ZWcYd9bWCrfTuN3q4</v>
      </c>
      <c r="J365" s="4" t="str">
        <v>Papringan, Plembutan, Playen</v>
      </c>
      <c r="L365" s="99" t="str">
        <f ca="1">IFERROR(__xludf.DUMMYFUNCTION("IMPORTRANGE(H365,""IDENTITAS UNIT!D35"")"),"Agus Febri Susanto")</f>
        <v>Agus Febri Susanto</v>
      </c>
    </row>
    <row r="366" spans="1:12" ht="49.5" hidden="1">
      <c r="A366" s="4" t="str">
        <v>Reguler Periode ke-101 XXII.B.3</v>
      </c>
      <c r="B366" s="4" t="str">
        <v>Reguler Periode ke-101</v>
      </c>
      <c r="C366" s="4" t="str">
        <v>XXII.B.3</v>
      </c>
      <c r="D366" s="101" t="str">
        <v>https://drive.google.com/open?id=1YqBBaniyF14mD60Fm1sG4tl90H188fWHllZV8WeghRc&amp;usp=drive_copy</v>
      </c>
      <c r="E366" s="101" t="str">
        <v>https://drive.google.com/open?id=1YqBBaniyF14mD60Fm1sG4tl90H188fWHllZV8WeghRc</v>
      </c>
      <c r="F366" s="103" t="str">
        <f ca="1">IFERROR(__xludf.DUMMYFUNCTION("IMPORTRANGE(H366,""IDENTITAS UNIT!D9"")"),"https://goo.gl/maps/Yx8YZU8C5rVJuHDX7")</f>
        <v>https://goo.gl/maps/Yx8YZU8C5rVJuHDX7</v>
      </c>
      <c r="G366" s="4" t="s">
        <v>12957</v>
      </c>
      <c r="H366" s="101" t="str">
        <v>https://docs.google.com/spreadsheets/d/1YqBBaniyF14mD60Fm1sG4tl90H188fWHllZV8WeghRc</v>
      </c>
      <c r="I366" s="101" t="str">
        <v>https://docs.google.com/open?id=1YqBBaniyF14mD60Fm1sG4tl90H188fWHllZV8WeghRc</v>
      </c>
      <c r="J366" s="4" t="str">
        <v>Plembutan Barat, Plembutan, Playen</v>
      </c>
      <c r="L366" s="99" t="str">
        <f ca="1">IFERROR(__xludf.DUMMYFUNCTION("IMPORTRANGE(H366,""IDENTITAS UNIT!D35"")"),"Nasirudin Ahmad")</f>
        <v>Nasirudin Ahmad</v>
      </c>
    </row>
    <row r="367" spans="1:12" ht="16.5" hidden="1">
      <c r="A367" s="4" t="str">
        <v>Reguler Periode ke-101 XXII.C.1</v>
      </c>
      <c r="B367" s="4" t="str">
        <v>Reguler Periode ke-101</v>
      </c>
      <c r="C367" s="4" t="str">
        <v>XXII.C.1</v>
      </c>
      <c r="D367" s="101" t="str">
        <v>https://drive.google.com/open?id=1Qdkcu0bGP2GwNWE_f1ic2-g4KzvfN1l5y1NcBX5hZvk&amp;usp=drive_copy</v>
      </c>
      <c r="E367" s="101" t="str">
        <v>https://drive.google.com/open?id=1Qdkcu0bGP2GwNWE_f1ic2-g4KzvfN1l5y1NcBX5hZvk</v>
      </c>
      <c r="F367" s="102" t="str">
        <f ca="1">IFERROR(__xludf.DUMMYFUNCTION("IMPORTRANGE(H367,""IDENTITAS UNIT!D9"")"),"")</f>
        <v/>
      </c>
      <c r="H367" s="101" t="str">
        <v>https://docs.google.com/spreadsheets/d/1Qdkcu0bGP2GwNWE_f1ic2-g4KzvfN1l5y1NcBX5hZvk</v>
      </c>
      <c r="I367" s="101" t="str">
        <v>https://docs.google.com/open?id=1Qdkcu0bGP2GwNWE_f1ic2-g4KzvfN1l5y1NcBX5hZvk</v>
      </c>
      <c r="J367" s="4" t="str">
        <v>Plembutan Timur, Plembutan, Playen</v>
      </c>
      <c r="L367" s="99" t="str">
        <f ca="1">IFERROR(__xludf.DUMMYFUNCTION("IMPORTRANGE(H367,""IDENTITAS UNIT!D35"")"),"")</f>
        <v/>
      </c>
    </row>
    <row r="368" spans="1:12" ht="49.5" hidden="1">
      <c r="A368" s="4" t="str">
        <v>Reguler Periode ke-101 XXII.C.2</v>
      </c>
      <c r="B368" s="4" t="str">
        <v>Reguler Periode ke-101</v>
      </c>
      <c r="C368" s="4" t="str">
        <v>XXII.C.2</v>
      </c>
      <c r="D368" s="101" t="str">
        <v>https://drive.google.com/open?id=1bTgNRyK39vkJ-4fk7f-e3fMLf-cXto449tmsgw762aE&amp;usp=drive_copy</v>
      </c>
      <c r="E368" s="101" t="str">
        <v>https://drive.google.com/open?id=1bTgNRyK39vkJ-4fk7f-e3fMLf-cXto449tmsgw762aE</v>
      </c>
      <c r="F368" s="103" t="str">
        <f ca="1">IFERROR(__xludf.DUMMYFUNCTION("IMPORTRANGE(H368,""IDENTITAS UNIT!D9"")"),"https://goo.gl/maps/GLiZSgAXBECzokDN8")</f>
        <v>https://goo.gl/maps/GLiZSgAXBECzokDN8</v>
      </c>
      <c r="H368" s="101" t="str">
        <v>https://docs.google.com/spreadsheets/d/1bTgNRyK39vkJ-4fk7f-e3fMLf-cXto449tmsgw762aE</v>
      </c>
      <c r="I368" s="101" t="str">
        <v>https://docs.google.com/open?id=1bTgNRyK39vkJ-4fk7f-e3fMLf-cXto449tmsgw762aE</v>
      </c>
      <c r="J368" s="4" t="str">
        <v>Wiyoko Utara, Plembutan, Playen</v>
      </c>
      <c r="L368" s="99" t="str">
        <f ca="1">IFERROR(__xludf.DUMMYFUNCTION("IMPORTRANGE(H368,""IDENTITAS UNIT!D35"")"),"Fitra Wahyudi")</f>
        <v>Fitra Wahyudi</v>
      </c>
    </row>
    <row r="369" spans="1:12" ht="49.5" hidden="1">
      <c r="A369" s="4" t="str">
        <v>Reguler Periode ke-101 XXII.C.3</v>
      </c>
      <c r="B369" s="4" t="str">
        <v>Reguler Periode ke-101</v>
      </c>
      <c r="C369" s="4" t="str">
        <v>XXII.C.3</v>
      </c>
      <c r="D369" s="101" t="str">
        <v>https://drive.google.com/open?id=1bjku_Gk_9iMSFZTNgcsAFZaECplFltPExyoSg0Sb4Is&amp;usp=drive_copy</v>
      </c>
      <c r="E369" s="101" t="str">
        <v>https://drive.google.com/open?id=1bjku_Gk_9iMSFZTNgcsAFZaECplFltPExyoSg0Sb4Is</v>
      </c>
      <c r="F369" s="103" t="str">
        <f ca="1">IFERROR(__xludf.DUMMYFUNCTION("IMPORTRANGE(H369,""IDENTITAS UNIT!D9"")"),"https://maps.app.goo.gl/7TxHorXcJuLW69h59")</f>
        <v>https://maps.app.goo.gl/7TxHorXcJuLW69h59</v>
      </c>
      <c r="G369" s="4" t="s">
        <v>12958</v>
      </c>
      <c r="H369" s="101" t="str">
        <v>https://docs.google.com/spreadsheets/d/1bjku_Gk_9iMSFZTNgcsAFZaECplFltPExyoSg0Sb4Is</v>
      </c>
      <c r="I369" s="101" t="str">
        <v>https://docs.google.com/open?id=1bjku_Gk_9iMSFZTNgcsAFZaECplFltPExyoSg0Sb4Is</v>
      </c>
      <c r="J369" s="4" t="str">
        <v>Wiyoko Tengah, Plembutan, Playen</v>
      </c>
      <c r="L369" s="99" t="str">
        <f ca="1">IFERROR(__xludf.DUMMYFUNCTION("IMPORTRANGE(H369,""IDENTITAS UNIT!D35"")"),"Muhammad Lutfi Nur Fauzi")</f>
        <v>Muhammad Lutfi Nur Fauzi</v>
      </c>
    </row>
    <row r="370" spans="1:12" ht="16.5" hidden="1">
      <c r="A370" s="4" t="str">
        <v>Reguler Periode ke-101 XXII.D.1</v>
      </c>
      <c r="B370" s="4" t="str">
        <v>Reguler Periode ke-101</v>
      </c>
      <c r="C370" s="4" t="str">
        <v>XXII.D.1</v>
      </c>
      <c r="D370" s="101" t="str">
        <v>https://drive.google.com/open?id=1c93SYawf3vDqLUzX_RZpQXZDw6mAIyXefivHfven87I&amp;usp=drive_copy</v>
      </c>
      <c r="E370" s="101" t="str">
        <v>https://drive.google.com/open?id=1c93SYawf3vDqLUzX_RZpQXZDw6mAIyXefivHfven87I</v>
      </c>
      <c r="F370" s="102" t="str">
        <f ca="1">IFERROR(__xludf.DUMMYFUNCTION("IMPORTRANGE(H370,""IDENTITAS UNIT!D9"")"),"")</f>
        <v/>
      </c>
      <c r="H370" s="101" t="str">
        <v>https://docs.google.com/spreadsheets/d/1c93SYawf3vDqLUzX_RZpQXZDw6mAIyXefivHfven87I</v>
      </c>
      <c r="I370" s="101" t="str">
        <v>https://docs.google.com/open?id=1c93SYawf3vDqLUzX_RZpQXZDw6mAIyXefivHfven87I</v>
      </c>
      <c r="J370" s="4" t="str">
        <v>Wiyoko Selatan, Plembutan, Playen</v>
      </c>
      <c r="L370" s="99" t="str">
        <f ca="1">IFERROR(__xludf.DUMMYFUNCTION("IMPORTRANGE(H370,""IDENTITAS UNIT!D35"")"),"Puja Kesuma")</f>
        <v>Puja Kesuma</v>
      </c>
    </row>
    <row r="371" spans="1:12" ht="49.5" hidden="1">
      <c r="A371" s="4" t="str">
        <v>Reguler Periode ke-101 XXII.D.2</v>
      </c>
      <c r="B371" s="4" t="str">
        <v>Reguler Periode ke-101</v>
      </c>
      <c r="C371" s="4" t="str">
        <v>XXII.D.2</v>
      </c>
      <c r="D371" s="101" t="str">
        <v>https://drive.google.com/open?id=1cdSuyr-d86iL9kuHtngP0w4g8vgwBdMm9IB2dOWP-_8&amp;usp=drive_copy</v>
      </c>
      <c r="E371" s="101" t="str">
        <v>https://drive.google.com/open?id=1cdSuyr-d86iL9kuHtngP0w4g8vgwBdMm9IB2dOWP-_8</v>
      </c>
      <c r="F371" s="103" t="str">
        <f ca="1">IFERROR(__xludf.DUMMYFUNCTION("IMPORTRANGE(H371,""IDENTITAS UNIT!D9"")"),"https://goo.gl/maps/BBiMa5qFpcB1cQ7D7")</f>
        <v>https://goo.gl/maps/BBiMa5qFpcB1cQ7D7</v>
      </c>
      <c r="G371" s="4" t="s">
        <v>12959</v>
      </c>
      <c r="H371" s="101" t="str">
        <v>https://docs.google.com/spreadsheets/d/1cdSuyr-d86iL9kuHtngP0w4g8vgwBdMm9IB2dOWP-_8</v>
      </c>
      <c r="I371" s="101" t="str">
        <v>https://docs.google.com/open?id=1cdSuyr-d86iL9kuHtngP0w4g8vgwBdMm9IB2dOWP-_8</v>
      </c>
      <c r="J371" s="4" t="str">
        <v>Toboyo Barat, Plembutan, Playen</v>
      </c>
      <c r="L371" s="99" t="str">
        <f ca="1">IFERROR(__xludf.DUMMYFUNCTION("IMPORTRANGE(H371,""IDENTITAS UNIT!D35"")"),"Ilham Abdur Rohman")</f>
        <v>Ilham Abdur Rohman</v>
      </c>
    </row>
    <row r="372" spans="1:12" ht="49.5" hidden="1">
      <c r="A372" s="4" t="str">
        <v>Reguler Periode ke-101 XXII.D.3</v>
      </c>
      <c r="B372" s="4" t="str">
        <v>Reguler Periode ke-101</v>
      </c>
      <c r="C372" s="4" t="str">
        <v>XXII.D.3</v>
      </c>
      <c r="D372" s="101" t="str">
        <v>https://drive.google.com/open?id=1chz5gMDmUvWKj6RwlFH6E-YUViMTncRmCvRLW8a5juA&amp;usp=drive_copy</v>
      </c>
      <c r="E372" s="101" t="str">
        <v>https://drive.google.com/open?id=1chz5gMDmUvWKj6RwlFH6E-YUViMTncRmCvRLW8a5juA</v>
      </c>
      <c r="F372" s="103" t="str">
        <f ca="1">IFERROR(__xludf.DUMMYFUNCTION("IMPORTRANGE(H372,""IDENTITAS UNIT!D9"")"),"https://goo.gl/maps/s1eCF7FZrWhin1vK6")</f>
        <v>https://goo.gl/maps/s1eCF7FZrWhin1vK6</v>
      </c>
      <c r="G372" s="4" t="s">
        <v>12960</v>
      </c>
      <c r="H372" s="101" t="str">
        <v>https://docs.google.com/spreadsheets/d/1chz5gMDmUvWKj6RwlFH6E-YUViMTncRmCvRLW8a5juA</v>
      </c>
      <c r="I372" s="101" t="str">
        <v>https://docs.google.com/open?id=1chz5gMDmUvWKj6RwlFH6E-YUViMTncRmCvRLW8a5juA</v>
      </c>
      <c r="J372" s="4" t="str">
        <v>Toboyo Timur, Plembutan, Playen</v>
      </c>
      <c r="L372" s="99" t="str">
        <f ca="1">IFERROR(__xludf.DUMMYFUNCTION("IMPORTRANGE(H372,""IDENTITAS UNIT!D35"")"),"Yayan Bagus Duandanto")</f>
        <v>Yayan Bagus Duandanto</v>
      </c>
    </row>
    <row r="373" spans="1:12" ht="49.5" hidden="1">
      <c r="A373" s="4" t="str">
        <v>Reguler Periode ke-101 XXIII.A.1</v>
      </c>
      <c r="B373" s="4" t="str">
        <v>Reguler Periode ke-101</v>
      </c>
      <c r="C373" s="4" t="str">
        <v>XXIII.A.1</v>
      </c>
      <c r="D373" s="101" t="str">
        <v>https://drive.google.com/open?id=1cthv5jnBJlGdhZyvDCBx8gZP3C9tztTdSTf7burgAdU&amp;usp=drive_copy</v>
      </c>
      <c r="E373" s="101" t="str">
        <v>https://drive.google.com/open?id=1cthv5jnBJlGdhZyvDCBx8gZP3C9tztTdSTf7burgAdU</v>
      </c>
      <c r="F373" s="103" t="str">
        <f ca="1">IFERROR(__xludf.DUMMYFUNCTION("IMPORTRANGE(H373,""IDENTITAS UNIT!D9"")"),"https://goo.gl/maps/ufev4e9Z664T53gFA")</f>
        <v>https://goo.gl/maps/ufev4e9Z664T53gFA</v>
      </c>
      <c r="G373" s="4" t="s">
        <v>12961</v>
      </c>
      <c r="H373" s="101" t="str">
        <v>https://docs.google.com/spreadsheets/d/1cthv5jnBJlGdhZyvDCBx8gZP3C9tztTdSTf7burgAdU</v>
      </c>
      <c r="I373" s="101" t="str">
        <v>https://docs.google.com/open?id=1cthv5jnBJlGdhZyvDCBx8gZP3C9tztTdSTf7burgAdU</v>
      </c>
      <c r="J373" s="4" t="str">
        <v>Banjaran, Karangasem, Paliyan</v>
      </c>
      <c r="L373" s="99" t="str">
        <f ca="1">IFERROR(__xludf.DUMMYFUNCTION("IMPORTRANGE(H373,""IDENTITAS UNIT!D35"")"),"Al A`raaf Wira Adli")</f>
        <v>Al A`raaf Wira Adli</v>
      </c>
    </row>
    <row r="374" spans="1:12" ht="49.5" hidden="1">
      <c r="A374" s="4" t="str">
        <v>Reguler Periode ke-101 XXIII.A.2</v>
      </c>
      <c r="B374" s="4" t="str">
        <v>Reguler Periode ke-101</v>
      </c>
      <c r="C374" s="4" t="str">
        <v>XXIII.A.2</v>
      </c>
      <c r="D374" s="101" t="str">
        <v>https://drive.google.com/open?id=1ehTXtNyKxI8sdWQJRalOE7CkLNIHyFSzeDerlfvIjho&amp;usp=drive_copy</v>
      </c>
      <c r="E374" s="101" t="str">
        <v>https://drive.google.com/open?id=1ehTXtNyKxI8sdWQJRalOE7CkLNIHyFSzeDerlfvIjho</v>
      </c>
      <c r="F374" s="103" t="str">
        <f ca="1">IFERROR(__xludf.DUMMYFUNCTION("IMPORTRANGE(H374,""IDENTITAS UNIT!D9"")"),"https://goo.gl/maps/Mki48KAozJfstGgX9")</f>
        <v>https://goo.gl/maps/Mki48KAozJfstGgX9</v>
      </c>
      <c r="G374" s="4" t="s">
        <v>12962</v>
      </c>
      <c r="H374" s="101" t="str">
        <v>https://docs.google.com/spreadsheets/d/1ehTXtNyKxI8sdWQJRalOE7CkLNIHyFSzeDerlfvIjho</v>
      </c>
      <c r="I374" s="101" t="str">
        <v>https://docs.google.com/open?id=1ehTXtNyKxI8sdWQJRalOE7CkLNIHyFSzeDerlfvIjho</v>
      </c>
      <c r="J374" s="4" t="str">
        <v>Trowono B, Karangasem, Paliyan</v>
      </c>
      <c r="L374" s="99" t="str">
        <f ca="1">IFERROR(__xludf.DUMMYFUNCTION("IMPORTRANGE(H374,""IDENTITAS UNIT!D35"")"),"Muhammad Rafy Arrozaq")</f>
        <v>Muhammad Rafy Arrozaq</v>
      </c>
    </row>
    <row r="375" spans="1:12" ht="49.5" hidden="1">
      <c r="A375" s="4" t="str">
        <v>Reguler Periode ke-101 XXIII.A.3</v>
      </c>
      <c r="B375" s="4" t="str">
        <v>Reguler Periode ke-101</v>
      </c>
      <c r="C375" s="4" t="str">
        <v>XXIII.A.3</v>
      </c>
      <c r="D375" s="101" t="str">
        <v>https://drive.google.com/open?id=1fJPPSztCgeJoPKljKa4vAQT50OmZjvhtAXJ3O8wavM8&amp;usp=drive_copy</v>
      </c>
      <c r="E375" s="101" t="str">
        <v>https://drive.google.com/open?id=1fJPPSztCgeJoPKljKa4vAQT50OmZjvhtAXJ3O8wavM8</v>
      </c>
      <c r="F375" s="103" t="str">
        <f ca="1">IFERROR(__xludf.DUMMYFUNCTION("IMPORTRANGE(H375,""IDENTITAS UNIT!D9"")"),"https://maps.app.goo.gl/7wuNiHNNFVtpFVkb9")</f>
        <v>https://maps.app.goo.gl/7wuNiHNNFVtpFVkb9</v>
      </c>
      <c r="G375" s="4" t="s">
        <v>12963</v>
      </c>
      <c r="H375" s="101" t="str">
        <v>https://docs.google.com/spreadsheets/d/1fJPPSztCgeJoPKljKa4vAQT50OmZjvhtAXJ3O8wavM8</v>
      </c>
      <c r="I375" s="101" t="str">
        <v>https://docs.google.com/open?id=1fJPPSztCgeJoPKljKa4vAQT50OmZjvhtAXJ3O8wavM8</v>
      </c>
      <c r="J375" s="4" t="str">
        <v>Namberan, Karangasem, Paliyan</v>
      </c>
      <c r="L375" s="99" t="str">
        <f ca="1">IFERROR(__xludf.DUMMYFUNCTION("IMPORTRANGE(H375,""IDENTITAS UNIT!D35"")"),"M. Hikam Aolaniy")</f>
        <v>M. Hikam Aolaniy</v>
      </c>
    </row>
    <row r="376" spans="1:12" ht="49.5" hidden="1">
      <c r="A376" s="4" t="str">
        <v>Reguler Periode ke-101 XXIII.B.1</v>
      </c>
      <c r="B376" s="4" t="str">
        <v>Reguler Periode ke-101</v>
      </c>
      <c r="C376" s="4" t="str">
        <v>XXIII.B.1</v>
      </c>
      <c r="D376" s="101" t="str">
        <v>https://drive.google.com/open?id=1ficvqBHLJk6e99DgiH-WdiqrQG8boa8tEPe4zTVx0pc&amp;usp=drive_copy</v>
      </c>
      <c r="E376" s="101" t="str">
        <v>https://drive.google.com/open?id=1ficvqBHLJk6e99DgiH-WdiqrQG8boa8tEPe4zTVx0pc</v>
      </c>
      <c r="F376" s="103" t="str">
        <f ca="1">IFERROR(__xludf.DUMMYFUNCTION("IMPORTRANGE(H376,""IDENTITAS UNIT!D9"")"),"https://maps.app.goo.gl/JQJd8b1a6vpmUCtXA")</f>
        <v>https://maps.app.goo.gl/JQJd8b1a6vpmUCtXA</v>
      </c>
      <c r="G376" s="4" t="s">
        <v>12964</v>
      </c>
      <c r="H376" s="101" t="str">
        <v>https://docs.google.com/spreadsheets/d/1ficvqBHLJk6e99DgiH-WdiqrQG8boa8tEPe4zTVx0pc</v>
      </c>
      <c r="I376" s="101" t="str">
        <v>https://docs.google.com/open?id=1ficvqBHLJk6e99DgiH-WdiqrQG8boa8tEPe4zTVx0pc</v>
      </c>
      <c r="J376" s="4" t="str">
        <v>Trukan, Karangasem, Paliyan</v>
      </c>
      <c r="L376" s="99" t="str">
        <f ca="1">IFERROR(__xludf.DUMMYFUNCTION("IMPORTRANGE(H376,""IDENTITAS UNIT!D35"")"),"Muhamad Daffa Rizkia")</f>
        <v>Muhamad Daffa Rizkia</v>
      </c>
    </row>
    <row r="377" spans="1:12" ht="49.5" hidden="1">
      <c r="A377" s="4" t="str">
        <v>Reguler Periode ke-101 XXIII.B.2</v>
      </c>
      <c r="B377" s="4" t="str">
        <v>Reguler Periode ke-101</v>
      </c>
      <c r="C377" s="4" t="str">
        <v>XXIII.B.2</v>
      </c>
      <c r="D377" s="101" t="str">
        <v>https://drive.google.com/open?id=1g_NUbBwo69eY5_dY7yaGXktnXb4aemyZRxtp-B3RCAw&amp;usp=drive_copy</v>
      </c>
      <c r="E377" s="101" t="str">
        <v>https://drive.google.com/open?id=1g_NUbBwo69eY5_dY7yaGXktnXb4aemyZRxtp-B3RCAw</v>
      </c>
      <c r="F377" s="103" t="str">
        <f ca="1">IFERROR(__xludf.DUMMYFUNCTION("IMPORTRANGE(H377,""IDENTITAS UNIT!D9"")"),"https://maps.app.goo.gl/z531UkQkDVKqUN4g9")</f>
        <v>https://maps.app.goo.gl/z531UkQkDVKqUN4g9</v>
      </c>
      <c r="G377" s="4" t="s">
        <v>12965</v>
      </c>
      <c r="H377" s="101" t="str">
        <v>https://docs.google.com/spreadsheets/d/1g_NUbBwo69eY5_dY7yaGXktnXb4aemyZRxtp-B3RCAw</v>
      </c>
      <c r="I377" s="101" t="str">
        <v>https://docs.google.com/open?id=1g_NUbBwo69eY5_dY7yaGXktnXb4aemyZRxtp-B3RCAw</v>
      </c>
      <c r="J377" s="4" t="str">
        <v>Cangkring, Karangasem, Paliyan</v>
      </c>
      <c r="L377" s="99" t="str">
        <f ca="1">IFERROR(__xludf.DUMMYFUNCTION("IMPORTRANGE(H377,""IDENTITAS UNIT!D35"")"),"Muhammad Sofi'i")</f>
        <v>Muhammad Sofi'i</v>
      </c>
    </row>
    <row r="378" spans="1:12" ht="49.5" hidden="1">
      <c r="A378" s="4" t="str">
        <v>Reguler Periode ke-101 XXIII.B.3</v>
      </c>
      <c r="B378" s="4" t="str">
        <v>Reguler Periode ke-101</v>
      </c>
      <c r="C378" s="4" t="str">
        <v>XXIII.B.3</v>
      </c>
      <c r="D378" s="101" t="str">
        <v>https://drive.google.com/open?id=1M4SpjUaM1L5pykCZK1fIbNtKEtSpv1PBHArHd0oBREc&amp;usp=drive_copy</v>
      </c>
      <c r="E378" s="101" t="str">
        <v>https://drive.google.com/open?id=1M4SpjUaM1L5pykCZK1fIbNtKEtSpv1PBHArHd0oBREc</v>
      </c>
      <c r="F378" s="103" t="str">
        <f ca="1">IFERROR(__xludf.DUMMYFUNCTION("IMPORTRANGE(H378,""IDENTITAS UNIT!D9"")"),"https://maps.app.goo.gl/uRcS3iKuRckwXH9v8")</f>
        <v>https://maps.app.goo.gl/uRcS3iKuRckwXH9v8</v>
      </c>
      <c r="H378" s="101" t="str">
        <v>https://docs.google.com/spreadsheets/d/1M4SpjUaM1L5pykCZK1fIbNtKEtSpv1PBHArHd0oBREc</v>
      </c>
      <c r="I378" s="101" t="str">
        <v>https://docs.google.com/open?id=1M4SpjUaM1L5pykCZK1fIbNtKEtSpv1PBHArHd0oBREc</v>
      </c>
      <c r="J378" s="4" t="str">
        <v>Lemahbang, Karangasem, Paliyan</v>
      </c>
      <c r="L378" s="99" t="str">
        <f ca="1">IFERROR(__xludf.DUMMYFUNCTION("IMPORTRANGE(H378,""IDENTITAS UNIT!D35"")"),"WICAKSONO AJI WIBOWO")</f>
        <v>WICAKSONO AJI WIBOWO</v>
      </c>
    </row>
    <row r="379" spans="1:12" ht="49.5" hidden="1">
      <c r="A379" s="4" t="str">
        <v>Reguler Periode ke-101 XXIII.C.1</v>
      </c>
      <c r="B379" s="4" t="str">
        <v>Reguler Periode ke-101</v>
      </c>
      <c r="C379" s="4" t="str">
        <v>XXIII.C.1</v>
      </c>
      <c r="D379" s="101" t="str">
        <v>https://drive.google.com/open?id=1O0M1GF9FrEXr-6GoeB3fHoQbQ_QU62b75nZ_eZovKBM&amp;usp=drive_copy</v>
      </c>
      <c r="E379" s="101" t="str">
        <v>https://drive.google.com/open?id=1O0M1GF9FrEXr-6GoeB3fHoQbQ_QU62b75nZ_eZovKBM</v>
      </c>
      <c r="F379" s="103" t="str">
        <f ca="1">IFERROR(__xludf.DUMMYFUNCTION("IMPORTRANGE(H379,""IDENTITAS UNIT!D9"")"),"https://maps.app.goo.gl/NM8v16uThhaGKxk29")</f>
        <v>https://maps.app.goo.gl/NM8v16uThhaGKxk29</v>
      </c>
      <c r="H379" s="101" t="str">
        <v>https://docs.google.com/spreadsheets/d/1O0M1GF9FrEXr-6GoeB3fHoQbQ_QU62b75nZ_eZovKBM</v>
      </c>
      <c r="I379" s="101" t="str">
        <v>https://docs.google.com/open?id=1O0M1GF9FrEXr-6GoeB3fHoQbQ_QU62b75nZ_eZovKBM</v>
      </c>
      <c r="J379" s="4" t="str">
        <v>Sidorejo, Sodo, Paliyan</v>
      </c>
      <c r="L379" s="99" t="str">
        <f ca="1">IFERROR(__xludf.DUMMYFUNCTION("IMPORTRANGE(H379,""IDENTITAS UNIT!D35"")"),"Pandu Ajisatya Chanif")</f>
        <v>Pandu Ajisatya Chanif</v>
      </c>
    </row>
    <row r="380" spans="1:12" ht="49.5" hidden="1">
      <c r="A380" s="4" t="str">
        <v>Reguler Periode ke-101 XXIII.C.2</v>
      </c>
      <c r="B380" s="4" t="str">
        <v>Reguler Periode ke-101</v>
      </c>
      <c r="C380" s="4" t="str">
        <v>XXIII.C.2</v>
      </c>
      <c r="D380" s="101" t="str">
        <v>https://drive.google.com/open?id=1O4E4rmZQPYX_bqdeTrWzUGKaYZYSNyC-jwDE9-ao9X0&amp;usp=drive_copy</v>
      </c>
      <c r="E380" s="101" t="str">
        <v>https://drive.google.com/open?id=1O4E4rmZQPYX_bqdeTrWzUGKaYZYSNyC-jwDE9-ao9X0</v>
      </c>
      <c r="F380" s="103" t="str">
        <f ca="1">IFERROR(__xludf.DUMMYFUNCTION("IMPORTRANGE(H380,""IDENTITAS UNIT!D9"")"),"https://goo.gl/maps/mcdhZvDsnSjFCME49")</f>
        <v>https://goo.gl/maps/mcdhZvDsnSjFCME49</v>
      </c>
      <c r="G380" s="4" t="s">
        <v>12966</v>
      </c>
      <c r="H380" s="101" t="str">
        <v>https://docs.google.com/spreadsheets/d/1O4E4rmZQPYX_bqdeTrWzUGKaYZYSNyC-jwDE9-ao9X0</v>
      </c>
      <c r="I380" s="101" t="str">
        <v>https://docs.google.com/open?id=1O4E4rmZQPYX_bqdeTrWzUGKaYZYSNyC-jwDE9-ao9X0</v>
      </c>
      <c r="J380" s="4" t="str">
        <v>Pelemgede, Sodo, Paliyan</v>
      </c>
      <c r="L380" s="99" t="str">
        <f ca="1">IFERROR(__xludf.DUMMYFUNCTION("IMPORTRANGE(H380,""IDENTITAS UNIT!D35"")"),"Muhammad Farid Wajdi")</f>
        <v>Muhammad Farid Wajdi</v>
      </c>
    </row>
    <row r="381" spans="1:12" ht="409.5" hidden="1">
      <c r="A381" s="4" t="str">
        <v>Reguler Periode ke-101 XXIII.C.3</v>
      </c>
      <c r="B381" s="4" t="str">
        <v>Reguler Periode ke-101</v>
      </c>
      <c r="C381" s="4" t="str">
        <v>XXIII.C.3</v>
      </c>
      <c r="D381" s="101" t="str">
        <v>https://drive.google.com/open?id=1__D_DHUBWPg4FqLbqoqxmKhkWLnOeNx0lD5m702KrV0&amp;usp=drive_copy</v>
      </c>
      <c r="E381" s="101" t="str">
        <v>https://drive.google.com/open?id=1__D_DHUBWPg4FqLbqoqxmKhkWLnOeNx0lD5m702KrV0</v>
      </c>
      <c r="F381" s="103" t="str">
        <f ca="1">IFERROR(__xludf.DUMMYFUNCTION("IMPORTRANGE(H381,""IDENTITAS UNIT!D9"")"),"https://www.google.co.id/maps/place/Masjid+Al+Falakh/@-8.0113909,110.5565557,3a,75y,90t/data=!3m8!1e2!3m6!1sAF1QipNoLeSNUE4JvBZHB0EHc0xaBw5l4i8GMFNSeUeu!2e10!3e12!6shttps:%2F%2Flh5.googleusercontent.com%2Fp%2FAF1QipNoLeSNUE4JvBZHB0EHc0xaBw5l4i8GMFNSeUeu%3"&amp;"Dw114-h86-k-no!7i4160!8i3120!4m13!1m7!3m6!1s0x2e7bb247d1546ebd:0x9373e5b253ecbd8e!2sSelorejo,+Sodo,+Kec.+Paliyan,+Kabupaten+Gunung+Kidul,+Daerah+Istimewa+Yogyakarta!3b1!8m2!3d-8.0110804!4d110.5565548!3m4!1s0x2e7bb247fea1e603:0x219757b75f0dd7!8m2!3d-8.0113"&amp;"747!4d110.5565158")</f>
        <v>https://www.google.co.id/maps/place/Masjid+Al+Falakh/@-8.0113909,110.5565557,3a,75y,90t/data=!3m8!1e2!3m6!1sAF1QipNoLeSNUE4JvBZHB0EHc0xaBw5l4i8GMFNSeUeu!2e10!3e12!6shttps:%2F%2Flh5.googleusercontent.com%2Fp%2FAF1QipNoLeSNUE4JvBZHB0EHc0xaBw5l4i8GMFNSeUeu%3Dw114-h86-k-no!7i4160!8i3120!4m13!1m7!3m6!1s0x2e7bb247d1546ebd:0x9373e5b253ecbd8e!2sSelorejo,+Sodo,+Kec.+Paliyan,+Kabupaten+Gunung+Kidul,+Daerah+Istimewa+Yogyakarta!3b1!8m2!3d-8.0110804!4d110.5565548!3m4!1s0x2e7bb247fea1e603:0x219757b75f0dd7!8m2!3d-8.0113747!4d110.5565158</v>
      </c>
      <c r="G381" s="4" t="s">
        <v>12967</v>
      </c>
      <c r="H381" s="101" t="str">
        <v>https://docs.google.com/spreadsheets/d/1__D_DHUBWPg4FqLbqoqxmKhkWLnOeNx0lD5m702KrV0</v>
      </c>
      <c r="I381" s="101" t="str">
        <v>https://docs.google.com/open?id=1__D_DHUBWPg4FqLbqoqxmKhkWLnOeNx0lD5m702KrV0</v>
      </c>
      <c r="J381" s="4" t="str">
        <v>Selorejo, Sodo, Paliyan</v>
      </c>
      <c r="L381" s="99" t="str">
        <f ca="1">IFERROR(__xludf.DUMMYFUNCTION("IMPORTRANGE(H381,""IDENTITAS UNIT!D35"")"),"Nukhan Anwar")</f>
        <v>Nukhan Anwar</v>
      </c>
    </row>
    <row r="382" spans="1:12" ht="49.5" hidden="1">
      <c r="A382" s="4" t="str">
        <v>Reguler Periode ke-101 XXIII.D.1</v>
      </c>
      <c r="B382" s="4" t="str">
        <v>Reguler Periode ke-101</v>
      </c>
      <c r="C382" s="4" t="str">
        <v>XXIII.D.1</v>
      </c>
      <c r="D382" s="101" t="str">
        <v>https://drive.google.com/open?id=1LVaLs3dAZnPmRtkTeUSZWMie7s_xXnZYqev4OAV_NHE&amp;usp=drive_copy</v>
      </c>
      <c r="E382" s="101" t="str">
        <v>https://drive.google.com/open?id=1LVaLs3dAZnPmRtkTeUSZWMie7s_xXnZYqev4OAV_NHE</v>
      </c>
      <c r="F382" s="103" t="str">
        <f ca="1">IFERROR(__xludf.DUMMYFUNCTION("IMPORTRANGE(H382,""IDENTITAS UNIT!D9"")"),"https://maps.app.goo.gl/3vNN9dmX88S5WwxP6")</f>
        <v>https://maps.app.goo.gl/3vNN9dmX88S5WwxP6</v>
      </c>
      <c r="G382" s="4" t="s">
        <v>12968</v>
      </c>
      <c r="H382" s="101" t="str">
        <v>https://docs.google.com/spreadsheets/d/1LVaLs3dAZnPmRtkTeUSZWMie7s_xXnZYqev4OAV_NHE</v>
      </c>
      <c r="I382" s="101" t="str">
        <v>https://docs.google.com/open?id=1LVaLs3dAZnPmRtkTeUSZWMie7s_xXnZYqev4OAV_NHE</v>
      </c>
      <c r="J382" s="4" t="str">
        <v>Jamburejo, Sodo, Paliyan</v>
      </c>
      <c r="L382" s="99" t="str">
        <f ca="1">IFERROR(__xludf.DUMMYFUNCTION("IMPORTRANGE(H382,""IDENTITAS UNIT!D35"")"),"Ilham Fikri Dhima Pamungkas")</f>
        <v>Ilham Fikri Dhima Pamungkas</v>
      </c>
    </row>
    <row r="383" spans="1:12" ht="198" hidden="1">
      <c r="A383" s="4" t="str">
        <v>Reguler Periode ke-101 XXIII.D.2</v>
      </c>
      <c r="B383" s="4" t="str">
        <v>Reguler Periode ke-101</v>
      </c>
      <c r="C383" s="4" t="str">
        <v>XXIII.D.2</v>
      </c>
      <c r="D383" s="101" t="str">
        <v>https://drive.google.com/open?id=1MXucdfS77PtxYhAhCcI0KwuMYEzMXwKM2mQnT9uVmuw&amp;usp=drive_copy</v>
      </c>
      <c r="E383" s="101" t="str">
        <v>https://drive.google.com/open?id=1MXucdfS77PtxYhAhCcI0KwuMYEzMXwKM2mQnT9uVmuw</v>
      </c>
      <c r="F383" s="103" t="str">
        <f ca="1">IFERROR(__xludf.DUMMYFUNCTION("IMPORTRANGE(H383,""IDENTITAS UNIT!D9"")"),"https://www.google.com/maps/place/8%C2%B000'32.2%22S+110%C2%B033'42.5%22E/@-8.0089366,110.5596256,17z/data=!3m1!4b1!4m5!3m4!1s0x0:0xa845d76fa455b0ca!8m2!3d-8.0089366!4d110.5618143?hl=id")</f>
        <v>https://www.google.com/maps/place/8%C2%B000'32.2%22S+110%C2%B033'42.5%22E/@-8.0089366,110.5596256,17z/data=!3m1!4b1!4m5!3m4!1s0x0:0xa845d76fa455b0ca!8m2!3d-8.0089366!4d110.5618143?hl=id</v>
      </c>
      <c r="G383" s="4" t="s">
        <v>12969</v>
      </c>
      <c r="H383" s="101" t="str">
        <v>https://docs.google.com/spreadsheets/d/1MXucdfS77PtxYhAhCcI0KwuMYEzMXwKM2mQnT9uVmuw</v>
      </c>
      <c r="I383" s="101" t="str">
        <v>https://docs.google.com/open?id=1MXucdfS77PtxYhAhCcI0KwuMYEzMXwKM2mQnT9uVmuw</v>
      </c>
      <c r="J383" s="4" t="str">
        <v>Tambakrejo, Sodo, Paliyan</v>
      </c>
      <c r="L383" s="99" t="str">
        <f ca="1">IFERROR(__xludf.DUMMYFUNCTION("IMPORTRANGE(H383,""IDENTITAS UNIT!D35"")"),"Doni Arya Prakosa")</f>
        <v>Doni Arya Prakosa</v>
      </c>
    </row>
    <row r="384" spans="1:12" ht="66" hidden="1">
      <c r="A384" s="4" t="str">
        <v>Reguler Periode ke-101 XXIII.D.3</v>
      </c>
      <c r="B384" s="4" t="str">
        <v>Reguler Periode ke-101</v>
      </c>
      <c r="C384" s="4" t="str">
        <v>XXIII.D.3</v>
      </c>
      <c r="D384" s="101" t="str">
        <v>https://drive.google.com/open?id=1KoqX765PQvMj11X18mMNM4VPmmrkK8EJcvExQ1GZYrM&amp;usp=drive_copy</v>
      </c>
      <c r="E384" s="101" t="str">
        <v>https://drive.google.com/open?id=1KoqX765PQvMj11X18mMNM4VPmmrkK8EJcvExQ1GZYrM</v>
      </c>
      <c r="F384" s="103" t="str">
        <f ca="1">IFERROR(__xludf.DUMMYFUNCTION("IMPORTRANGE(H384,""IDENTITAS UNIT!D9"")"),"https://maps.google.com/?q=-8.000688,110.554051&amp;entry=gps")</f>
        <v>https://maps.google.com/?q=-8.000688,110.554051&amp;entry=gps</v>
      </c>
      <c r="G384" s="4" t="s">
        <v>12970</v>
      </c>
      <c r="H384" s="101" t="str">
        <v>https://docs.google.com/spreadsheets/d/1KoqX765PQvMj11X18mMNM4VPmmrkK8EJcvExQ1GZYrM</v>
      </c>
      <c r="I384" s="101" t="str">
        <v>https://docs.google.com/open?id=1KoqX765PQvMj11X18mMNM4VPmmrkK8EJcvExQ1GZYrM</v>
      </c>
      <c r="J384" s="4" t="str">
        <v>Jetis, Pampang, Paliyan</v>
      </c>
      <c r="L384" s="99" t="str">
        <f ca="1">IFERROR(__xludf.DUMMYFUNCTION("IMPORTRANGE(H384,""IDENTITAS UNIT!D35"")"),"SATRIO BHAGASKORO")</f>
        <v>SATRIO BHAGASKORO</v>
      </c>
    </row>
    <row r="385" spans="1:12" ht="66" hidden="1">
      <c r="A385" s="4" t="str">
        <v>Reguler Periode ke-101 XXIV.A.1</v>
      </c>
      <c r="B385" s="4" t="str">
        <v>Reguler Periode ke-101</v>
      </c>
      <c r="C385" s="4" t="str">
        <v>XXIV.A.1</v>
      </c>
      <c r="D385" s="101" t="str">
        <v>https://drive.google.com/open?id=1N_WrHcr11qulhkAdEab8_wuC2B7JHCxGyuLUPO_BLz8&amp;usp=drive_copy</v>
      </c>
      <c r="E385" s="101" t="str">
        <v>https://drive.google.com/open?id=1N_WrHcr11qulhkAdEab8_wuC2B7JHCxGyuLUPO_BLz8</v>
      </c>
      <c r="F385" s="103" t="str">
        <f ca="1">IFERROR(__xludf.DUMMYFUNCTION("IMPORTRANGE(H385,""IDENTITAS UNIT!D9"")"),"Masjid Al Falah
https://maps.app.goo.gl/KZueXd5aWENVt5NEA")</f>
        <v>Masjid Al Falah
https://maps.app.goo.gl/KZueXd5aWENVt5NEA</v>
      </c>
      <c r="H385" s="101" t="str">
        <v>https://docs.google.com/spreadsheets/d/1N_WrHcr11qulhkAdEab8_wuC2B7JHCxGyuLUPO_BLz8</v>
      </c>
      <c r="I385" s="101" t="str">
        <v>https://docs.google.com/open?id=1N_WrHcr11qulhkAdEab8_wuC2B7JHCxGyuLUPO_BLz8</v>
      </c>
      <c r="J385" s="4" t="str">
        <v>Kedungdowo Kulon, Pampang, Paliyan</v>
      </c>
      <c r="L385" s="99" t="str">
        <f ca="1">IFERROR(__xludf.DUMMYFUNCTION("IMPORTRANGE(H385,""IDENTITAS UNIT!D35"")"),"Joko Purwanto")</f>
        <v>Joko Purwanto</v>
      </c>
    </row>
    <row r="386" spans="1:12" ht="49.5" hidden="1">
      <c r="A386" s="4" t="str">
        <v>Reguler Periode ke-101 XXIV.A.2</v>
      </c>
      <c r="B386" s="4" t="str">
        <v>Reguler Periode ke-101</v>
      </c>
      <c r="C386" s="4" t="str">
        <v>XXIV.A.2</v>
      </c>
      <c r="D386" s="101" t="str">
        <v>https://drive.google.com/open?id=1s-L6qpGiijV9BQwFO--SrDFxriVRZmYTznS3vi4EEKw&amp;usp=drive_copy</v>
      </c>
      <c r="E386" s="101" t="str">
        <v>https://drive.google.com/open?id=1s-L6qpGiijV9BQwFO--SrDFxriVRZmYTznS3vi4EEKw</v>
      </c>
      <c r="F386" s="103" t="str">
        <f ca="1">IFERROR(__xludf.DUMMYFUNCTION("IMPORTRANGE(H386,""IDENTITAS UNIT!D9"")"),"https://maps.app.goo.gl/WMpHgBE5xeSG7Hfr6?g_st=iw")</f>
        <v>https://maps.app.goo.gl/WMpHgBE5xeSG7Hfr6?g_st=iw</v>
      </c>
      <c r="G386" s="4" t="s">
        <v>12971</v>
      </c>
      <c r="H386" s="101" t="str">
        <v>https://docs.google.com/spreadsheets/d/1s-L6qpGiijV9BQwFO--SrDFxriVRZmYTznS3vi4EEKw</v>
      </c>
      <c r="I386" s="101" t="str">
        <v>https://docs.google.com/open?id=1s-L6qpGiijV9BQwFO--SrDFxriVRZmYTznS3vi4EEKw</v>
      </c>
      <c r="J386" s="4" t="str">
        <v>Polaman, Pampang, Paliyan</v>
      </c>
      <c r="L386" s="99" t="str">
        <f ca="1">IFERROR(__xludf.DUMMYFUNCTION("IMPORTRANGE(H386,""IDENTITAS UNIT!D35"")"),"Fahrul Rahmad Koni")</f>
        <v>Fahrul Rahmad Koni</v>
      </c>
    </row>
    <row r="387" spans="1:12" ht="49.5" hidden="1">
      <c r="A387" s="4" t="str">
        <v>Reguler Periode ke-101 XXIV.A.3</v>
      </c>
      <c r="B387" s="4" t="str">
        <v>Reguler Periode ke-101</v>
      </c>
      <c r="C387" s="4" t="str">
        <v>XXIV.A.3</v>
      </c>
      <c r="D387" s="101" t="str">
        <v>https://drive.google.com/open?id=1rpP-ND357rpD0yc2zJ0P-_TadzWruVkDytkEfmMJzPE&amp;usp=drive_copy</v>
      </c>
      <c r="E387" s="101" t="str">
        <v>https://drive.google.com/open?id=1rpP-ND357rpD0yc2zJ0P-_TadzWruVkDytkEfmMJzPE</v>
      </c>
      <c r="F387" s="103" t="str">
        <f ca="1">IFERROR(__xludf.DUMMYFUNCTION("IMPORTRANGE(H387,""IDENTITAS UNIT!D9"")"),"https://maps.app.goo.gl/A4ZuY2QfmmSkaJ8z7")</f>
        <v>https://maps.app.goo.gl/A4ZuY2QfmmSkaJ8z7</v>
      </c>
      <c r="G387" s="4" t="s">
        <v>12972</v>
      </c>
      <c r="H387" s="101" t="str">
        <v>https://docs.google.com/spreadsheets/d/1rpP-ND357rpD0yc2zJ0P-_TadzWruVkDytkEfmMJzPE</v>
      </c>
      <c r="I387" s="101" t="str">
        <v>https://docs.google.com/open?id=1rpP-ND357rpD0yc2zJ0P-_TadzWruVkDytkEfmMJzPE</v>
      </c>
      <c r="J387" s="4" t="str">
        <v>Kedungdowo Wetan, Pampang, Paliyan</v>
      </c>
      <c r="L387" s="99" t="str">
        <f ca="1">IFERROR(__xludf.DUMMYFUNCTION("IMPORTRANGE(H387,""IDENTITAS UNIT!D35"")"),"Reza Gunawan")</f>
        <v>Reza Gunawan</v>
      </c>
    </row>
    <row r="388" spans="1:12" ht="49.5" hidden="1">
      <c r="A388" s="4" t="str">
        <v>Reguler Periode ke-101 XXIV.B.1</v>
      </c>
      <c r="B388" s="4" t="str">
        <v>Reguler Periode ke-101</v>
      </c>
      <c r="C388" s="4" t="str">
        <v>XXIV.B.1</v>
      </c>
      <c r="D388" s="101" t="str">
        <v>https://drive.google.com/open?id=1spbhJ9leRouDPHc59-QsvOpVu0HZJG_vS4I20yhg3DA&amp;usp=drive_copy</v>
      </c>
      <c r="E388" s="101" t="str">
        <v>https://drive.google.com/open?id=1spbhJ9leRouDPHc59-QsvOpVu0HZJG_vS4I20yhg3DA</v>
      </c>
      <c r="F388" s="103" t="str">
        <f ca="1">IFERROR(__xludf.DUMMYFUNCTION("IMPORTRANGE(H388,""IDENTITAS UNIT!D9"")"),"https://maps.app.goo.gl/f7gswmYVKgEAGErF6                    ")</f>
        <v xml:space="preserve">https://maps.app.goo.gl/f7gswmYVKgEAGErF6                    </v>
      </c>
      <c r="H388" s="101" t="str">
        <v>https://docs.google.com/spreadsheets/d/1spbhJ9leRouDPHc59-QsvOpVu0HZJG_vS4I20yhg3DA</v>
      </c>
      <c r="I388" s="101" t="str">
        <v>https://docs.google.com/open?id=1spbhJ9leRouDPHc59-QsvOpVu0HZJG_vS4I20yhg3DA</v>
      </c>
      <c r="J388" s="4" t="str">
        <v>Pampang, Pampang, Paliyan</v>
      </c>
      <c r="L388" s="99" t="str">
        <f ca="1">IFERROR(__xludf.DUMMYFUNCTION("IMPORTRANGE(H388,""IDENTITAS UNIT!D35"")"),"Firda Rizki Rhomadoni")</f>
        <v>Firda Rizki Rhomadoni</v>
      </c>
    </row>
    <row r="389" spans="1:12" ht="49.5" hidden="1">
      <c r="A389" s="4" t="str">
        <v>Reguler Periode ke-101 XXIV.B.2</v>
      </c>
      <c r="B389" s="4" t="str">
        <v>Reguler Periode ke-101</v>
      </c>
      <c r="C389" s="4" t="str">
        <v>XXIV.B.2</v>
      </c>
      <c r="D389" s="101" t="str">
        <v>https://drive.google.com/open?id=1tEb11G8oP1Jx-Kfa31rJ-h1KP8rn2Iubpc4EMuUj7Ew&amp;usp=drive_copy</v>
      </c>
      <c r="E389" s="101" t="str">
        <v>https://drive.google.com/open?id=1tEb11G8oP1Jx-Kfa31rJ-h1KP8rn2Iubpc4EMuUj7Ew</v>
      </c>
      <c r="F389" s="103" t="str">
        <f ca="1">IFERROR(__xludf.DUMMYFUNCTION("IMPORTRANGE(H389,""IDENTITAS UNIT!D9"")"),"https://goo.gl/maps/TpSFQKMcYvjJwMHw8")</f>
        <v>https://goo.gl/maps/TpSFQKMcYvjJwMHw8</v>
      </c>
      <c r="G389" s="4" t="s">
        <v>12973</v>
      </c>
      <c r="H389" s="101" t="str">
        <v>https://docs.google.com/spreadsheets/d/1tEb11G8oP1Jx-Kfa31rJ-h1KP8rn2Iubpc4EMuUj7Ew</v>
      </c>
      <c r="I389" s="101" t="str">
        <v>https://docs.google.com/open?id=1tEb11G8oP1Jx-Kfa31rJ-h1KP8rn2Iubpc4EMuUj7Ew</v>
      </c>
      <c r="J389" s="4" t="str">
        <v>Tahunan, Karangduwet, Paliyan</v>
      </c>
      <c r="L389" s="99" t="str">
        <f ca="1">IFERROR(__xludf.DUMMYFUNCTION("IMPORTRANGE(H389,""IDENTITAS UNIT!D35"")"),"Rizki Alfandi")</f>
        <v>Rizki Alfandi</v>
      </c>
    </row>
    <row r="390" spans="1:12" ht="49.5" hidden="1">
      <c r="A390" s="4" t="str">
        <v>Reguler Periode ke-101 XXIV.B.3</v>
      </c>
      <c r="B390" s="4" t="str">
        <v>Reguler Periode ke-101</v>
      </c>
      <c r="C390" s="4" t="str">
        <v>XXIV.B.3</v>
      </c>
      <c r="D390" s="101" t="str">
        <v>https://drive.google.com/open?id=1u4Qs85Z2YWfr3FN8fpvzc1IKJqEijkVaqrG4bOuFOwM&amp;usp=drive_copy</v>
      </c>
      <c r="E390" s="101" t="str">
        <v>https://drive.google.com/open?id=1u4Qs85Z2YWfr3FN8fpvzc1IKJqEijkVaqrG4bOuFOwM</v>
      </c>
      <c r="F390" s="103" t="str">
        <f ca="1">IFERROR(__xludf.DUMMYFUNCTION("IMPORTRANGE(H390,""IDENTITAS UNIT!D9"")"),"https://maps.app.goo.gl/PGnJuvWUKqwxHRT38")</f>
        <v>https://maps.app.goo.gl/PGnJuvWUKqwxHRT38</v>
      </c>
      <c r="H390" s="101" t="str">
        <v>https://docs.google.com/spreadsheets/d/1u4Qs85Z2YWfr3FN8fpvzc1IKJqEijkVaqrG4bOuFOwM</v>
      </c>
      <c r="I390" s="101" t="str">
        <v>https://docs.google.com/open?id=1u4Qs85Z2YWfr3FN8fpvzc1IKJqEijkVaqrG4bOuFOwM</v>
      </c>
      <c r="J390" s="4" t="str">
        <v>Corot, Karangduwet, Paliyan</v>
      </c>
      <c r="L390" s="99" t="str">
        <f ca="1">IFERROR(__xludf.DUMMYFUNCTION("IMPORTRANGE(H390,""IDENTITAS UNIT!D35"")"),"FAHMI HIDAYATULLAH")</f>
        <v>FAHMI HIDAYATULLAH</v>
      </c>
    </row>
    <row r="391" spans="1:12" ht="49.5" hidden="1">
      <c r="A391" s="4" t="str">
        <v>Reguler Periode ke-101 XXIV.C.1</v>
      </c>
      <c r="B391" s="4" t="str">
        <v>Reguler Periode ke-101</v>
      </c>
      <c r="C391" s="4" t="str">
        <v>XXIV.C.1</v>
      </c>
      <c r="D391" s="101" t="str">
        <v>https://drive.google.com/open?id=12cA8Txyp_qghhbZdtTjjNkmHKNSNteiz8CmQZXQJy0I&amp;usp=drive_copy</v>
      </c>
      <c r="E391" s="101" t="str">
        <v>https://drive.google.com/open?id=12cA8Txyp_qghhbZdtTjjNkmHKNSNteiz8CmQZXQJy0I</v>
      </c>
      <c r="F391" s="103" t="str">
        <f ca="1">IFERROR(__xludf.DUMMYFUNCTION("IMPORTRANGE(H391,""IDENTITAS UNIT!D9"")"),"https://goo.gl/maps/pkAmTcSfHtJ9m1VC7")</f>
        <v>https://goo.gl/maps/pkAmTcSfHtJ9m1VC7</v>
      </c>
      <c r="G391" s="4" t="s">
        <v>12974</v>
      </c>
      <c r="H391" s="101" t="str">
        <v>https://docs.google.com/spreadsheets/d/12cA8Txyp_qghhbZdtTjjNkmHKNSNteiz8CmQZXQJy0I</v>
      </c>
      <c r="I391" s="101" t="str">
        <v>https://docs.google.com/open?id=12cA8Txyp_qghhbZdtTjjNkmHKNSNteiz8CmQZXQJy0I</v>
      </c>
      <c r="J391" s="4" t="str">
        <v>Paliyan Kidul, Karangduwet, Paliyan</v>
      </c>
      <c r="L391" s="99" t="str">
        <f ca="1">IFERROR(__xludf.DUMMYFUNCTION("IMPORTRANGE(H391,""IDENTITAS UNIT!D35"")"),"IMADDUDIN ABIL FADHA")</f>
        <v>IMADDUDIN ABIL FADHA</v>
      </c>
    </row>
    <row r="392" spans="1:12" ht="49.5" hidden="1">
      <c r="A392" s="4" t="str">
        <v>Reguler Periode ke-101 XXIV.C.2</v>
      </c>
      <c r="B392" s="4" t="str">
        <v>Reguler Periode ke-101</v>
      </c>
      <c r="C392" s="4" t="str">
        <v>XXIV.C.2</v>
      </c>
      <c r="D392" s="101" t="str">
        <v>https://drive.google.com/open?id=14qyJ_PrmLfZMOf6cCWLpD4pKLNfTJMMpCu7ZEAopRsw&amp;usp=drive_copy</v>
      </c>
      <c r="E392" s="101" t="str">
        <v>https://drive.google.com/open?id=14qyJ_PrmLfZMOf6cCWLpD4pKLNfTJMMpCu7ZEAopRsw</v>
      </c>
      <c r="F392" s="103" t="str">
        <f ca="1">IFERROR(__xludf.DUMMYFUNCTION("IMPORTRANGE(H392,""IDENTITAS UNIT!D9"")"),"https://maps.app.goo.gl/F8vbfnmMSf9ifmxWA")</f>
        <v>https://maps.app.goo.gl/F8vbfnmMSf9ifmxWA</v>
      </c>
      <c r="G392" s="4" t="s">
        <v>12975</v>
      </c>
      <c r="H392" s="101" t="str">
        <v>https://docs.google.com/spreadsheets/d/14qyJ_PrmLfZMOf6cCWLpD4pKLNfTJMMpCu7ZEAopRsw</v>
      </c>
      <c r="I392" s="101" t="str">
        <v>https://docs.google.com/open?id=14qyJ_PrmLfZMOf6cCWLpD4pKLNfTJMMpCu7ZEAopRsw</v>
      </c>
      <c r="J392" s="4" t="str">
        <v>Pendem, Karangduwet, Paliyan</v>
      </c>
      <c r="L392" s="99" t="str">
        <f ca="1">IFERROR(__xludf.DUMMYFUNCTION("IMPORTRANGE(H392,""IDENTITAS UNIT!D35"")"),"Riyan Dimas Rinaldi")</f>
        <v>Riyan Dimas Rinaldi</v>
      </c>
    </row>
    <row r="393" spans="1:12" ht="49.5" hidden="1">
      <c r="A393" s="4" t="str">
        <v>Reguler Periode ke-101 XXIV.C.3</v>
      </c>
      <c r="B393" s="4" t="str">
        <v>Reguler Periode ke-101</v>
      </c>
      <c r="C393" s="4" t="str">
        <v>XXIV.C.3</v>
      </c>
      <c r="D393" s="101" t="str">
        <v>https://drive.google.com/open?id=17ctAtEfIrJCw-H4Lw-EIHBSHHCtK27c8i3nBUBx-dok&amp;usp=drive_copy</v>
      </c>
      <c r="E393" s="101" t="str">
        <v>https://drive.google.com/open?id=17ctAtEfIrJCw-H4Lw-EIHBSHHCtK27c8i3nBUBx-dok</v>
      </c>
      <c r="F393" s="103" t="str">
        <f ca="1">IFERROR(__xludf.DUMMYFUNCTION("IMPORTRANGE(H393,""IDENTITAS UNIT!D9"")"),"https://maps.app.goo.gl/6ttQ3re7D8ABEt5t6")</f>
        <v>https://maps.app.goo.gl/6ttQ3re7D8ABEt5t6</v>
      </c>
      <c r="H393" s="101" t="str">
        <v>https://docs.google.com/spreadsheets/d/17ctAtEfIrJCw-H4Lw-EIHBSHHCtK27c8i3nBUBx-dok</v>
      </c>
      <c r="I393" s="101" t="str">
        <v>https://docs.google.com/open?id=17ctAtEfIrJCw-H4Lw-EIHBSHHCtK27c8i3nBUBx-dok</v>
      </c>
      <c r="J393" s="4" t="str">
        <v>Surulanang, Karangduwet, Paliyan</v>
      </c>
      <c r="L393" s="99" t="str">
        <f ca="1">IFERROR(__xludf.DUMMYFUNCTION("IMPORTRANGE(H393,""IDENTITAS UNIT!D35"")"),"Aldi Al Husaini")</f>
        <v>Aldi Al Husaini</v>
      </c>
    </row>
    <row r="394" spans="1:12" ht="49.5" hidden="1">
      <c r="A394" s="4" t="str">
        <v>Reguler Periode ke-101 XXIV.D.1</v>
      </c>
      <c r="B394" s="4" t="str">
        <v>Reguler Periode ke-101</v>
      </c>
      <c r="C394" s="4" t="str">
        <v>XXIV.D.1</v>
      </c>
      <c r="D394" s="101" t="str">
        <v>https://drive.google.com/open?id=19K_0jUpJ8kktXDNGjYJ4WjRegT2dkmpWZZXQS7Bvz80&amp;usp=drive_copy</v>
      </c>
      <c r="E394" s="101" t="str">
        <v>https://drive.google.com/open?id=19K_0jUpJ8kktXDNGjYJ4WjRegT2dkmpWZZXQS7Bvz80</v>
      </c>
      <c r="F394" s="103" t="str">
        <f ca="1">IFERROR(__xludf.DUMMYFUNCTION("IMPORTRANGE(H394,""IDENTITAS UNIT!D9"")"),"https://maps.app.goo.gl/F5kVLWPTfuau3MUx9")</f>
        <v>https://maps.app.goo.gl/F5kVLWPTfuau3MUx9</v>
      </c>
      <c r="H394" s="101" t="str">
        <v>https://docs.google.com/spreadsheets/d/19K_0jUpJ8kktXDNGjYJ4WjRegT2dkmpWZZXQS7Bvz80</v>
      </c>
      <c r="I394" s="101" t="str">
        <v>https://docs.google.com/open?id=19K_0jUpJ8kktXDNGjYJ4WjRegT2dkmpWZZXQS7Bvz80</v>
      </c>
      <c r="J394" s="4" t="str">
        <v>Nasri, Giring, Paliyan</v>
      </c>
      <c r="L394" s="99" t="str">
        <f ca="1">IFERROR(__xludf.DUMMYFUNCTION("IMPORTRANGE(H394,""IDENTITAS UNIT!D35"")"),"Alaf Muhammad Zulfikri")</f>
        <v>Alaf Muhammad Zulfikri</v>
      </c>
    </row>
    <row r="395" spans="1:12" ht="49.5" hidden="1">
      <c r="A395" s="4" t="str">
        <v>Reguler Periode ke-101 XXIV.D.2</v>
      </c>
      <c r="B395" s="4" t="str">
        <v>Reguler Periode ke-101</v>
      </c>
      <c r="C395" s="4" t="str">
        <v>XXIV.D.2</v>
      </c>
      <c r="D395" s="101" t="str">
        <v>https://drive.google.com/open?id=1I1UhfpkW-m-1Bd3aBTNW7KA6LO60WjaHn23KnBRDhj4&amp;usp=drive_copy</v>
      </c>
      <c r="E395" s="101" t="str">
        <v>https://drive.google.com/open?id=1I1UhfpkW-m-1Bd3aBTNW7KA6LO60WjaHn23KnBRDhj4</v>
      </c>
      <c r="F395" s="103" t="str">
        <f ca="1">IFERROR(__xludf.DUMMYFUNCTION("IMPORTRANGE(H395,""IDENTITAS UNIT!D9"")"),"https://goo.gl/maps/R5md8fwWFMkxkrJ6A")</f>
        <v>https://goo.gl/maps/R5md8fwWFMkxkrJ6A</v>
      </c>
      <c r="G395" s="4" t="s">
        <v>12976</v>
      </c>
      <c r="H395" s="101" t="str">
        <v>https://docs.google.com/spreadsheets/d/1I1UhfpkW-m-1Bd3aBTNW7KA6LO60WjaHn23KnBRDhj4</v>
      </c>
      <c r="I395" s="101" t="str">
        <v>https://docs.google.com/open?id=1I1UhfpkW-m-1Bd3aBTNW7KA6LO60WjaHn23KnBRDhj4</v>
      </c>
      <c r="J395" s="4" t="str">
        <v>Pulobener, Giring, Paliyan</v>
      </c>
      <c r="L395" s="99" t="str">
        <f ca="1">IFERROR(__xludf.DUMMYFUNCTION("IMPORTRANGE(H395,""IDENTITAS UNIT!D35"")"),"Rahmat Syafarel")</f>
        <v>Rahmat Syafarel</v>
      </c>
    </row>
    <row r="396" spans="1:12" ht="49.5" hidden="1">
      <c r="A396" s="4" t="str">
        <v>Reguler Periode ke-101 XXIV.D.3</v>
      </c>
      <c r="B396" s="4" t="str">
        <v>Reguler Periode ke-101</v>
      </c>
      <c r="C396" s="4" t="str">
        <v>XXIV.D.3</v>
      </c>
      <c r="D396" s="101" t="str">
        <v>https://drive.google.com/open?id=1Jj5otQeDso0D0uNQp3S1GmCwFSEJTRkMJh8BeAIHIhI&amp;usp=drive_copy</v>
      </c>
      <c r="E396" s="101" t="str">
        <v>https://drive.google.com/open?id=1Jj5otQeDso0D0uNQp3S1GmCwFSEJTRkMJh8BeAIHIhI</v>
      </c>
      <c r="F396" s="103" t="str">
        <f ca="1">IFERROR(__xludf.DUMMYFUNCTION("IMPORTRANGE(H396,""IDENTITAS UNIT!D9"")"),"https://goo.gl/maps/c72AoiJR8JdhBTez7")</f>
        <v>https://goo.gl/maps/c72AoiJR8JdhBTez7</v>
      </c>
      <c r="G396" s="4" t="s">
        <v>12977</v>
      </c>
      <c r="H396" s="101" t="str">
        <v>https://docs.google.com/spreadsheets/d/1Jj5otQeDso0D0uNQp3S1GmCwFSEJTRkMJh8BeAIHIhI</v>
      </c>
      <c r="I396" s="101" t="str">
        <v>https://docs.google.com/open?id=1Jj5otQeDso0D0uNQp3S1GmCwFSEJTRkMJh8BeAIHIhI</v>
      </c>
      <c r="J396" s="4" t="str">
        <v>Candi, Giring, Paliyan</v>
      </c>
      <c r="L396" s="99" t="str">
        <f ca="1">IFERROR(__xludf.DUMMYFUNCTION("IMPORTRANGE(H396,""IDENTITAS UNIT!D35"")"),"Zainal Abidin A")</f>
        <v>Zainal Abidin A</v>
      </c>
    </row>
    <row r="397" spans="1:12" ht="49.5" hidden="1">
      <c r="A397" s="4" t="str">
        <v>Reguler Periode ke-101 XXV.A.1</v>
      </c>
      <c r="B397" s="4" t="str">
        <v>Reguler Periode ke-101</v>
      </c>
      <c r="C397" s="4" t="str">
        <v>XXV.A.1</v>
      </c>
      <c r="D397" s="101" t="str">
        <v>https://drive.google.com/open?id=1Ljnpf8pHlyilcVbJnrlTQb4FAW4jjkUGah_JbcMeEOs&amp;usp=drive_copy</v>
      </c>
      <c r="E397" s="101" t="str">
        <v>https://drive.google.com/open?id=1Ljnpf8pHlyilcVbJnrlTQb4FAW4jjkUGah_JbcMeEOs</v>
      </c>
      <c r="F397" s="103" t="str">
        <f ca="1">IFERROR(__xludf.DUMMYFUNCTION("IMPORTRANGE(H397,""IDENTITAS UNIT!D9"")"),"https://maps.app.goo.gl/iMSEETnHm7CmaJam6?g_st=ic")</f>
        <v>https://maps.app.goo.gl/iMSEETnHm7CmaJam6?g_st=ic</v>
      </c>
      <c r="G397" s="4" t="s">
        <v>12978</v>
      </c>
      <c r="H397" s="101" t="str">
        <v>https://docs.google.com/spreadsheets/d/1Ljnpf8pHlyilcVbJnrlTQb4FAW4jjkUGah_JbcMeEOs</v>
      </c>
      <c r="I397" s="101" t="str">
        <v>https://docs.google.com/open?id=1Ljnpf8pHlyilcVbJnrlTQb4FAW4jjkUGah_JbcMeEOs</v>
      </c>
      <c r="J397" s="4" t="str">
        <v>Tungu, Grogol, Paliyan</v>
      </c>
      <c r="L397" s="99" t="str">
        <f ca="1">IFERROR(__xludf.DUMMYFUNCTION("IMPORTRANGE(H397,""IDENTITAS UNIT!D35"")"),"MUHAMMAD FARKHAN FIKRI HUDA")</f>
        <v>MUHAMMAD FARKHAN FIKRI HUDA</v>
      </c>
    </row>
    <row r="398" spans="1:12" ht="49.5" hidden="1">
      <c r="A398" s="4" t="str">
        <v>Reguler Periode ke-101 XXV.A.2</v>
      </c>
      <c r="B398" s="4" t="str">
        <v>Reguler Periode ke-101</v>
      </c>
      <c r="C398" s="4" t="str">
        <v>XXV.A.2</v>
      </c>
      <c r="D398" s="101" t="str">
        <v>https://drive.google.com/open?id=1MInGZBbEGIdR7hK4Xqu5znda_M1zVfDLfM5KQzwIRqI&amp;usp=drive_copy</v>
      </c>
      <c r="E398" s="101" t="str">
        <v>https://drive.google.com/open?id=1MInGZBbEGIdR7hK4Xqu5znda_M1zVfDLfM5KQzwIRqI</v>
      </c>
      <c r="F398" s="103" t="str">
        <f ca="1">IFERROR(__xludf.DUMMYFUNCTION("IMPORTRANGE(H398,""IDENTITAS UNIT!D9"")"),"https://maps.app.goo.gl/rm7bQmvzEcxiydz77")</f>
        <v>https://maps.app.goo.gl/rm7bQmvzEcxiydz77</v>
      </c>
      <c r="H398" s="101" t="str">
        <v>https://docs.google.com/spreadsheets/d/1MInGZBbEGIdR7hK4Xqu5znda_M1zVfDLfM5KQzwIRqI</v>
      </c>
      <c r="I398" s="101" t="str">
        <v>https://docs.google.com/open?id=1MInGZBbEGIdR7hK4Xqu5znda_M1zVfDLfM5KQzwIRqI</v>
      </c>
      <c r="J398" s="4" t="str">
        <v>Senedi, Grogol, Paliyan</v>
      </c>
      <c r="L398" s="99" t="str">
        <f ca="1">IFERROR(__xludf.DUMMYFUNCTION("IMPORTRANGE(H398,""IDENTITAS UNIT!D35"")"),"Muhammad Azhar Ma'shum")</f>
        <v>Muhammad Azhar Ma'shum</v>
      </c>
    </row>
    <row r="399" spans="1:12" ht="49.5" hidden="1">
      <c r="A399" s="4" t="str">
        <v>Reguler Periode ke-101 XXV.A.3</v>
      </c>
      <c r="B399" s="4" t="str">
        <v>Reguler Periode ke-101</v>
      </c>
      <c r="C399" s="4" t="str">
        <v>XXV.A.3</v>
      </c>
      <c r="D399" s="101" t="str">
        <v>https://drive.google.com/open?id=1RkY9vgAvvnwrhVQkyDoLOh52B2LswQkqzwCLbyEDhUY&amp;usp=drive_copy</v>
      </c>
      <c r="E399" s="101" t="str">
        <v>https://drive.google.com/open?id=1RkY9vgAvvnwrhVQkyDoLOh52B2LswQkqzwCLbyEDhUY</v>
      </c>
      <c r="F399" s="103" t="str">
        <f ca="1">IFERROR(__xludf.DUMMYFUNCTION("IMPORTRANGE(H399,""IDENTITAS UNIT!D9"")"),"https://goo.gl/maps/ehaMc4UJEdm66srRA")</f>
        <v>https://goo.gl/maps/ehaMc4UJEdm66srRA</v>
      </c>
      <c r="G399" s="4" t="s">
        <v>12979</v>
      </c>
      <c r="H399" s="101" t="str">
        <v>https://docs.google.com/spreadsheets/d/1RkY9vgAvvnwrhVQkyDoLOh52B2LswQkqzwCLbyEDhUY</v>
      </c>
      <c r="I399" s="101" t="str">
        <v>https://docs.google.com/open?id=1RkY9vgAvvnwrhVQkyDoLOh52B2LswQkqzwCLbyEDhUY</v>
      </c>
      <c r="J399" s="4" t="str">
        <v>Gerjo, Grogol, Paliyan</v>
      </c>
      <c r="L399" s="99" t="str">
        <f ca="1">IFERROR(__xludf.DUMMYFUNCTION("IMPORTRANGE(H399,""IDENTITAS UNIT!D35"")"),"Isro Dwian Yunandha")</f>
        <v>Isro Dwian Yunandha</v>
      </c>
    </row>
    <row r="400" spans="1:12" ht="49.5" hidden="1">
      <c r="A400" s="4" t="str">
        <v>Reguler Periode ke-101 XXV.B.1</v>
      </c>
      <c r="B400" s="4" t="str">
        <v>Reguler Periode ke-101</v>
      </c>
      <c r="C400" s="4" t="str">
        <v>XXV.B.1</v>
      </c>
      <c r="D400" s="101" t="str">
        <v>https://drive.google.com/open?id=1VIHyc81uNys5RoAfqoNDOA8KZkPHQ3WkTMo7867R4BA&amp;usp=drive_copy</v>
      </c>
      <c r="E400" s="101" t="str">
        <v>https://drive.google.com/open?id=1VIHyc81uNys5RoAfqoNDOA8KZkPHQ3WkTMo7867R4BA</v>
      </c>
      <c r="F400" s="103" t="str">
        <f ca="1">IFERROR(__xludf.DUMMYFUNCTION("IMPORTRANGE(H400,""IDENTITAS UNIT!D9"")"),"https://maps.app.goo.gl/tQ9HMpwh9jAoYA2N9?g_st=ic")</f>
        <v>https://maps.app.goo.gl/tQ9HMpwh9jAoYA2N9?g_st=ic</v>
      </c>
      <c r="G400" s="4" t="s">
        <v>12980</v>
      </c>
      <c r="H400" s="101" t="str">
        <v>https://docs.google.com/spreadsheets/d/1VIHyc81uNys5RoAfqoNDOA8KZkPHQ3WkTMo7867R4BA</v>
      </c>
      <c r="I400" s="101" t="str">
        <v>https://docs.google.com/open?id=1VIHyc81uNys5RoAfqoNDOA8KZkPHQ3WkTMo7867R4BA</v>
      </c>
      <c r="J400" s="4" t="str">
        <v>Karangmojo A, Grogol, Paliyan</v>
      </c>
      <c r="L400" s="99" t="str">
        <f ca="1">IFERROR(__xludf.DUMMYFUNCTION("IMPORTRANGE(H400,""IDENTITAS UNIT!D35"")"),"CATUR CAHYONO PUTRA")</f>
        <v>CATUR CAHYONO PUTRA</v>
      </c>
    </row>
    <row r="401" spans="1:12" ht="49.5" hidden="1">
      <c r="A401" s="4" t="str">
        <v>Reguler Periode ke-101 XXV.B.2</v>
      </c>
      <c r="B401" s="4" t="str">
        <v>Reguler Periode ke-101</v>
      </c>
      <c r="C401" s="4" t="str">
        <v>XXV.B.2</v>
      </c>
      <c r="D401" s="101" t="str">
        <v>https://drive.google.com/open?id=11KSxHMGnoHkgZ0DLKwBfZft8R0qdo6rocjbz5kAT-ec&amp;usp=drive_copy</v>
      </c>
      <c r="E401" s="101" t="str">
        <v>https://drive.google.com/open?id=11KSxHMGnoHkgZ0DLKwBfZft8R0qdo6rocjbz5kAT-ec</v>
      </c>
      <c r="F401" s="103" t="str">
        <f ca="1">IFERROR(__xludf.DUMMYFUNCTION("IMPORTRANGE(H401,""IDENTITAS UNIT!D9"")"),"https://maps.app.goo.gl/VQDXxBzSwfmXcPhTA?g_st=iw")</f>
        <v>https://maps.app.goo.gl/VQDXxBzSwfmXcPhTA?g_st=iw</v>
      </c>
      <c r="G401" s="4" t="s">
        <v>12981</v>
      </c>
      <c r="H401" s="101" t="str">
        <v>https://docs.google.com/spreadsheets/d/11KSxHMGnoHkgZ0DLKwBfZft8R0qdo6rocjbz5kAT-ec</v>
      </c>
      <c r="I401" s="101" t="str">
        <v>https://docs.google.com/open?id=11KSxHMGnoHkgZ0DLKwBfZft8R0qdo6rocjbz5kAT-ec</v>
      </c>
      <c r="J401" s="4" t="str">
        <v>Karangmojo B, Grogol, Paliyan</v>
      </c>
      <c r="L401" s="99" t="str">
        <f ca="1">IFERROR(__xludf.DUMMYFUNCTION("IMPORTRANGE(H401,""IDENTITAS UNIT!D35"")"),"Muhammad Haikal Putra Ananto")</f>
        <v>Muhammad Haikal Putra Ananto</v>
      </c>
    </row>
    <row r="402" spans="1:12" ht="49.5" hidden="1">
      <c r="A402" s="4" t="str">
        <v>Reguler Periode ke-101 XXV.B.3</v>
      </c>
      <c r="B402" s="4" t="str">
        <v>Reguler Periode ke-101</v>
      </c>
      <c r="C402" s="4" t="str">
        <v>XXV.B.3</v>
      </c>
      <c r="D402" s="101" t="str">
        <v>https://drive.google.com/open?id=1VtV1VuFXIUlrUnyhxzTLQHZn6W1o8vEdxdeLKZwOWDs&amp;usp=drive_copy</v>
      </c>
      <c r="E402" s="101" t="str">
        <v>https://drive.google.com/open?id=1VtV1VuFXIUlrUnyhxzTLQHZn6W1o8vEdxdeLKZwOWDs</v>
      </c>
      <c r="F402" s="103" t="str">
        <f ca="1">IFERROR(__xludf.DUMMYFUNCTION("IMPORTRANGE(H402,""IDENTITAS UNIT!D9"")"),"https://goo.gl/maps/zAHa5S6nJ5cyGjz47")</f>
        <v>https://goo.gl/maps/zAHa5S6nJ5cyGjz47</v>
      </c>
      <c r="G402" s="4" t="s">
        <v>12982</v>
      </c>
      <c r="H402" s="101" t="str">
        <v>https://docs.google.com/spreadsheets/d/1VtV1VuFXIUlrUnyhxzTLQHZn6W1o8vEdxdeLKZwOWDs</v>
      </c>
      <c r="I402" s="101" t="str">
        <v>https://docs.google.com/open?id=1VtV1VuFXIUlrUnyhxzTLQHZn6W1o8vEdxdeLKZwOWDs</v>
      </c>
      <c r="J402" s="4" t="str">
        <v>Grogol, Grogol, Paliyan</v>
      </c>
      <c r="L402" s="99" t="str">
        <f ca="1">IFERROR(__xludf.DUMMYFUNCTION("IMPORTRANGE(H402,""IDENTITAS UNIT!D35"")"),"Ikhwanudin Al Gusni")</f>
        <v>Ikhwanudin Al Gusni</v>
      </c>
    </row>
    <row r="403" spans="1:12" ht="49.5" hidden="1">
      <c r="A403" s="4" t="str">
        <v>Reguler Periode ke-101 XXV.C.1</v>
      </c>
      <c r="B403" s="4" t="str">
        <v>Reguler Periode ke-101</v>
      </c>
      <c r="C403" s="4" t="str">
        <v>XXV.C.1</v>
      </c>
      <c r="D403" s="101" t="str">
        <v>https://drive.google.com/open?id=1xkC4xgU4cTSK2tdI9qeWL40RdsVwQTpd1Ve1jirfPEI&amp;usp=drive_copy</v>
      </c>
      <c r="E403" s="101" t="str">
        <v>https://drive.google.com/open?id=1xkC4xgU4cTSK2tdI9qeWL40RdsVwQTpd1Ve1jirfPEI</v>
      </c>
      <c r="F403" s="103" t="str">
        <f ca="1">IFERROR(__xludf.DUMMYFUNCTION("IMPORTRANGE(H403,""IDENTITAS UNIT!D9"")"),"https://maps.app.goo.gl/aUfkyVqJ7guR2wjq9")</f>
        <v>https://maps.app.goo.gl/aUfkyVqJ7guR2wjq9</v>
      </c>
      <c r="G403" s="4" t="s">
        <v>12983</v>
      </c>
      <c r="H403" s="101" t="str">
        <v>https://docs.google.com/spreadsheets/d/1xkC4xgU4cTSK2tdI9qeWL40RdsVwQTpd1Ve1jirfPEI</v>
      </c>
      <c r="I403" s="101" t="str">
        <v>https://docs.google.com/open?id=1xkC4xgU4cTSK2tdI9qeWL40RdsVwQTpd1Ve1jirfPEI</v>
      </c>
      <c r="J403" s="4" t="str">
        <v>Karangmiri, Mulusan, Paliyan</v>
      </c>
      <c r="L403" s="99" t="str">
        <f ca="1">IFERROR(__xludf.DUMMYFUNCTION("IMPORTRANGE(H403,""IDENTITAS UNIT!D35"")"),"Sastro Rurono")</f>
        <v>Sastro Rurono</v>
      </c>
    </row>
    <row r="404" spans="1:12" ht="49.5" hidden="1">
      <c r="A404" s="4" t="str">
        <v>Reguler Periode ke-101 XXV.C.2</v>
      </c>
      <c r="B404" s="4" t="str">
        <v>Reguler Periode ke-101</v>
      </c>
      <c r="C404" s="4" t="str">
        <v>XXV.C.2</v>
      </c>
      <c r="D404" s="101" t="str">
        <v>https://drive.google.com/open?id=1VwwKPJ-nn8QXgNoCc2vxkuGxRCW712tdCv1BNS9wOeA&amp;usp=drive_copy</v>
      </c>
      <c r="E404" s="101" t="str">
        <v>https://drive.google.com/open?id=1VwwKPJ-nn8QXgNoCc2vxkuGxRCW712tdCv1BNS9wOeA</v>
      </c>
      <c r="F404" s="103" t="str">
        <f ca="1">IFERROR(__xludf.DUMMYFUNCTION("IMPORTRANGE(H404,""IDENTITAS UNIT!D9"")"),"https://goo.gl/maps/N2SyTzQ6ZCiiFWoy7")</f>
        <v>https://goo.gl/maps/N2SyTzQ6ZCiiFWoy7</v>
      </c>
      <c r="G404" s="4" t="s">
        <v>12984</v>
      </c>
      <c r="H404" s="101" t="str">
        <v>https://docs.google.com/spreadsheets/d/1VwwKPJ-nn8QXgNoCc2vxkuGxRCW712tdCv1BNS9wOeA</v>
      </c>
      <c r="I404" s="101" t="str">
        <v>https://docs.google.com/open?id=1VwwKPJ-nn8QXgNoCc2vxkuGxRCW712tdCv1BNS9wOeA</v>
      </c>
      <c r="J404" s="4" t="str">
        <v>Watugilang A, Mulusan, Paliyan</v>
      </c>
      <c r="L404" s="99" t="str">
        <f ca="1">IFERROR(__xludf.DUMMYFUNCTION("IMPORTRANGE(H404,""IDENTITAS UNIT!D35"")"),"Tera Rahardiansyah")</f>
        <v>Tera Rahardiansyah</v>
      </c>
    </row>
    <row r="405" spans="1:12" ht="16.5" hidden="1">
      <c r="A405" s="4" t="str">
        <v>Reguler Periode ke-101 XXV.C.3</v>
      </c>
      <c r="B405" s="4" t="str">
        <v>Reguler Periode ke-101</v>
      </c>
      <c r="C405" s="4" t="str">
        <v>XXV.C.3</v>
      </c>
      <c r="D405" s="101" t="str">
        <v>https://drive.google.com/open?id=1xI28XMduWiyRsQRuEg9pXhAKlm_zkHZsHtqs-pC4cOI&amp;usp=drive_copy</v>
      </c>
      <c r="E405" s="101" t="str">
        <v>https://drive.google.com/open?id=1xI28XMduWiyRsQRuEg9pXhAKlm_zkHZsHtqs-pC4cOI</v>
      </c>
      <c r="F405" s="102" t="str">
        <f ca="1">IFERROR(__xludf.DUMMYFUNCTION("IMPORTRANGE(H405,""IDENTITAS UNIT!D9"")"),"")</f>
        <v/>
      </c>
      <c r="H405" s="101" t="str">
        <v>https://docs.google.com/spreadsheets/d/1xI28XMduWiyRsQRuEg9pXhAKlm_zkHZsHtqs-pC4cOI</v>
      </c>
      <c r="I405" s="101" t="str">
        <v>https://docs.google.com/open?id=1xI28XMduWiyRsQRuEg9pXhAKlm_zkHZsHtqs-pC4cOI</v>
      </c>
      <c r="J405" s="4" t="str">
        <v>Watugilang B, Mulusan, Paliyan</v>
      </c>
      <c r="L405" s="99" t="str">
        <f ca="1">IFERROR(__xludf.DUMMYFUNCTION("IMPORTRANGE(H405,""IDENTITAS UNIT!D35"")"),"Aulia Farkhan")</f>
        <v>Aulia Farkhan</v>
      </c>
    </row>
    <row r="406" spans="1:12" ht="49.5" hidden="1">
      <c r="A406" s="4" t="str">
        <v>Reguler Periode ke-101 XXV.D.1</v>
      </c>
      <c r="B406" s="4" t="str">
        <v>Reguler Periode ke-101</v>
      </c>
      <c r="C406" s="4" t="str">
        <v>XXV.D.1</v>
      </c>
      <c r="D406" s="101" t="str">
        <v>https://drive.google.com/open?id=1ys5ZaRCPKm6HywLUjjjNnUBNtGBYBbvxhUHvFQ4qtXk&amp;usp=drive_copy</v>
      </c>
      <c r="E406" s="101" t="str">
        <v>https://drive.google.com/open?id=1ys5ZaRCPKm6HywLUjjjNnUBNtGBYBbvxhUHvFQ4qtXk</v>
      </c>
      <c r="F406" s="103" t="str">
        <f ca="1">IFERROR(__xludf.DUMMYFUNCTION("IMPORTRANGE(H406,""IDENTITAS UNIT!D9"")"),"https://goo.gl/maps/CXsLM6GSZA84wiZD7")</f>
        <v>https://goo.gl/maps/CXsLM6GSZA84wiZD7</v>
      </c>
      <c r="G406" s="4" t="s">
        <v>12985</v>
      </c>
      <c r="H406" s="101" t="str">
        <v>https://docs.google.com/spreadsheets/d/1ys5ZaRCPKm6HywLUjjjNnUBNtGBYBbvxhUHvFQ4qtXk</v>
      </c>
      <c r="I406" s="101" t="str">
        <v>https://docs.google.com/open?id=1ys5ZaRCPKm6HywLUjjjNnUBNtGBYBbvxhUHvFQ4qtXk</v>
      </c>
      <c r="J406" s="4" t="str">
        <v>Mulusan, Mulusan, Paliyan</v>
      </c>
      <c r="L406" s="99" t="str">
        <f ca="1">IFERROR(__xludf.DUMMYFUNCTION("IMPORTRANGE(H406,""IDENTITAS UNIT!D35"")"),"Rizky Prabowo")</f>
        <v>Rizky Prabowo</v>
      </c>
    </row>
    <row r="407" spans="1:12" ht="49.5" hidden="1">
      <c r="A407" s="4" t="str">
        <v>Reguler Periode ke-101 XXV.D.2</v>
      </c>
      <c r="B407" s="4" t="str">
        <v>Reguler Periode ke-101</v>
      </c>
      <c r="C407" s="4" t="str">
        <v>XXV.D.2</v>
      </c>
      <c r="D407" s="101" t="str">
        <v>https://drive.google.com/open?id=1xwIpShrkCBz1_8eaQfHo0xzMua8p3PMDeCEyaUFvY5g&amp;usp=drive_copy</v>
      </c>
      <c r="E407" s="101" t="str">
        <v>https://drive.google.com/open?id=1xwIpShrkCBz1_8eaQfHo0xzMua8p3PMDeCEyaUFvY5g</v>
      </c>
      <c r="F407" s="103" t="str">
        <f ca="1">IFERROR(__xludf.DUMMYFUNCTION("IMPORTRANGE(H407,""IDENTITAS UNIT!D9"")"),"https://goo.gl/maps/FKHXNKU4Cj4odx3VA")</f>
        <v>https://goo.gl/maps/FKHXNKU4Cj4odx3VA</v>
      </c>
      <c r="G407" s="4" t="s">
        <v>12986</v>
      </c>
      <c r="H407" s="101" t="str">
        <v>https://docs.google.com/spreadsheets/d/1xwIpShrkCBz1_8eaQfHo0xzMua8p3PMDeCEyaUFvY5g</v>
      </c>
      <c r="I407" s="101" t="str">
        <v>https://docs.google.com/open?id=1xwIpShrkCBz1_8eaQfHo0xzMua8p3PMDeCEyaUFvY5g</v>
      </c>
      <c r="J407" s="4" t="str">
        <v>Kenteng, Mulusan, Paliyan</v>
      </c>
      <c r="L407" s="99" t="str">
        <f ca="1">IFERROR(__xludf.DUMMYFUNCTION("IMPORTRANGE(H407,""IDENTITAS UNIT!D35"")"),"Herpin Nurgiansyah")</f>
        <v>Herpin Nurgiansyah</v>
      </c>
    </row>
    <row r="408" spans="1:12" ht="49.5" hidden="1">
      <c r="A408" s="4" t="str">
        <v>Reguler Periode ke-101 XXV.D.3</v>
      </c>
      <c r="B408" s="4" t="str">
        <v>Reguler Periode ke-101</v>
      </c>
      <c r="C408" s="4" t="str">
        <v>XXV.D.3</v>
      </c>
      <c r="D408" s="101" t="str">
        <v>https://drive.google.com/open?id=19qXGdILdbc4JDL36_zxPHLRf6R1RvVAhAa_2WkiReZs&amp;usp=drive_copy</v>
      </c>
      <c r="E408" s="101" t="str">
        <v>https://drive.google.com/open?id=19qXGdILdbc4JDL36_zxPHLRf6R1RvVAhAa_2WkiReZs</v>
      </c>
      <c r="F408" s="103" t="str">
        <f ca="1">IFERROR(__xludf.DUMMYFUNCTION("IMPORTRANGE(H408,""IDENTITAS UNIT!D9"")"),"https://maps.app.goo.gl/fxNH4eGBTgCHT9ZM7")</f>
        <v>https://maps.app.goo.gl/fxNH4eGBTgCHT9ZM7</v>
      </c>
      <c r="G408" s="4" t="s">
        <v>12987</v>
      </c>
      <c r="H408" s="101" t="str">
        <v>https://docs.google.com/spreadsheets/d/19qXGdILdbc4JDL36_zxPHLRf6R1RvVAhAa_2WkiReZs</v>
      </c>
      <c r="I408" s="101" t="str">
        <v>https://docs.google.com/open?id=19qXGdILdbc4JDL36_zxPHLRf6R1RvVAhAa_2WkiReZs</v>
      </c>
      <c r="J408" s="4" t="str">
        <v>Muntuk, Mulusan, Paliyan</v>
      </c>
      <c r="L408" s="99" t="str">
        <f ca="1">IFERROR(__xludf.DUMMYFUNCTION("IMPORTRANGE(H408,""IDENTITAS UNIT!D35"")"),"Haikal Faris Nada")</f>
        <v>Haikal Faris Nada</v>
      </c>
    </row>
    <row r="409" spans="1:12" ht="49.5" hidden="1">
      <c r="A409" s="4" t="str">
        <v>Reguler Periode ke-101 XXVI.A.1</v>
      </c>
      <c r="B409" s="4" t="str">
        <v>Reguler Periode ke-101</v>
      </c>
      <c r="C409" s="4" t="str">
        <v>XXVI.A.1</v>
      </c>
      <c r="D409" s="101" t="str">
        <v>https://drive.google.com/open?id=1mNN0GGJA5oEitryJ21T-8euFGdM4BbxAOzlU3ZjgdIk&amp;usp=drive_copy</v>
      </c>
      <c r="E409" s="101" t="str">
        <v>https://drive.google.com/open?id=1mNN0GGJA5oEitryJ21T-8euFGdM4BbxAOzlU3ZjgdIk</v>
      </c>
      <c r="F409" s="103" t="str">
        <f ca="1">IFERROR(__xludf.DUMMYFUNCTION("IMPORTRANGE(H409,""IDENTITAS UNIT!D9"")"),"https://goo.gl/maps/gfzMbLCycFZXQh5bA")</f>
        <v>https://goo.gl/maps/gfzMbLCycFZXQh5bA</v>
      </c>
      <c r="G409" s="4" t="s">
        <v>12988</v>
      </c>
      <c r="H409" s="101" t="str">
        <v>https://docs.google.com/spreadsheets/d/1mNN0GGJA5oEitryJ21T-8euFGdM4BbxAOzlU3ZjgdIk</v>
      </c>
      <c r="I409" s="101" t="str">
        <v>https://docs.google.com/open?id=1mNN0GGJA5oEitryJ21T-8euFGdM4BbxAOzlU3ZjgdIk</v>
      </c>
      <c r="J409" s="4" t="str">
        <v>Pucangsari, Candirejo, Semanu</v>
      </c>
      <c r="L409" s="99" t="str">
        <f ca="1">IFERROR(__xludf.DUMMYFUNCTION("IMPORTRANGE(H409,""IDENTITAS UNIT!D35"")"),"Rio Tri Ardika")</f>
        <v>Rio Tri Ardika</v>
      </c>
    </row>
    <row r="410" spans="1:12" ht="49.5" hidden="1">
      <c r="A410" s="4" t="str">
        <v>Reguler Periode ke-101 XXVI.A.2</v>
      </c>
      <c r="B410" s="4" t="str">
        <v>Reguler Periode ke-101</v>
      </c>
      <c r="C410" s="4" t="str">
        <v>XXVI.A.2</v>
      </c>
      <c r="D410" s="101" t="str">
        <v>https://drive.google.com/open?id=1lUao2wmxTiEifXpnMqbltOkOVEkCh5fAzJBy1_d5gY8&amp;usp=drive_copy</v>
      </c>
      <c r="E410" s="101" t="str">
        <v>https://drive.google.com/open?id=1lUao2wmxTiEifXpnMqbltOkOVEkCh5fAzJBy1_d5gY8</v>
      </c>
      <c r="F410" s="103" t="str">
        <f ca="1">IFERROR(__xludf.DUMMYFUNCTION("IMPORTRANGE(H410,""IDENTITAS UNIT!D9"")"),"https://goo.gl/maps/efu4JW8QC5BX41ds9")</f>
        <v>https://goo.gl/maps/efu4JW8QC5BX41ds9</v>
      </c>
      <c r="G410" s="4" t="s">
        <v>12989</v>
      </c>
      <c r="H410" s="101" t="str">
        <v>https://docs.google.com/spreadsheets/d/1lUao2wmxTiEifXpnMqbltOkOVEkCh5fAzJBy1_d5gY8</v>
      </c>
      <c r="I410" s="101" t="str">
        <v>https://docs.google.com/open?id=1lUao2wmxTiEifXpnMqbltOkOVEkCh5fAzJBy1_d5gY8</v>
      </c>
      <c r="J410" s="4" t="str">
        <v>Soga, Candirejo, Semanu</v>
      </c>
      <c r="L410" s="99" t="str">
        <f ca="1">IFERROR(__xludf.DUMMYFUNCTION("IMPORTRANGE(H410,""IDENTITAS UNIT!D35"")"),"Eriko Alfian")</f>
        <v>Eriko Alfian</v>
      </c>
    </row>
    <row r="411" spans="1:12" ht="49.5" hidden="1">
      <c r="A411" s="4" t="str">
        <v>Reguler Periode ke-101 XXVI.B.1</v>
      </c>
      <c r="B411" s="4" t="str">
        <v>Reguler Periode ke-101</v>
      </c>
      <c r="C411" s="4" t="str">
        <v>XXVI.B.1</v>
      </c>
      <c r="D411" s="101" t="str">
        <v>https://drive.google.com/open?id=1cXIw5mog84y1d-YPHijS147H1dCepZCWIhPv8aMD96M&amp;usp=drive_copy</v>
      </c>
      <c r="E411" s="101" t="str">
        <v>https://drive.google.com/open?id=1cXIw5mog84y1d-YPHijS147H1dCepZCWIhPv8aMD96M</v>
      </c>
      <c r="F411" s="103" t="str">
        <f ca="1">IFERROR(__xludf.DUMMYFUNCTION("IMPORTRANGE(H411,""IDENTITAS UNIT!D9"")"),"https://maps.app.goo.gl/wpZ9A7fVWfUo9z2w5")</f>
        <v>https://maps.app.goo.gl/wpZ9A7fVWfUo9z2w5</v>
      </c>
      <c r="G411" s="4" t="s">
        <v>12990</v>
      </c>
      <c r="H411" s="101" t="str">
        <v>https://docs.google.com/spreadsheets/d/1cXIw5mog84y1d-YPHijS147H1dCepZCWIhPv8aMD96M</v>
      </c>
      <c r="I411" s="101" t="str">
        <v>https://docs.google.com/open?id=1cXIw5mog84y1d-YPHijS147H1dCepZCWIhPv8aMD96M</v>
      </c>
      <c r="J411" s="4" t="str">
        <v>Gunungkunir, Candirejo, Semanu</v>
      </c>
      <c r="L411" s="99" t="str">
        <f ca="1">IFERROR(__xludf.DUMMYFUNCTION("IMPORTRANGE(H411,""IDENTITAS UNIT!D35"")"),"Daffa Budiono")</f>
        <v>Daffa Budiono</v>
      </c>
    </row>
    <row r="412" spans="1:12" ht="16.5" hidden="1">
      <c r="A412" s="4" t="str">
        <v>Reguler Periode ke-101 XXVI.B.2</v>
      </c>
      <c r="B412" s="4" t="str">
        <v>Reguler Periode ke-101</v>
      </c>
      <c r="C412" s="4" t="str">
        <v>XXVI.B.2</v>
      </c>
      <c r="D412" s="101" t="str">
        <v>https://drive.google.com/open?id=1XJHv7jdPLbc1XBDOi1nsvUH78PfcxrQOIpN8ZMCEnzs&amp;usp=drive_copy</v>
      </c>
      <c r="E412" s="101" t="str">
        <v>https://drive.google.com/open?id=1XJHv7jdPLbc1XBDOi1nsvUH78PfcxrQOIpN8ZMCEnzs</v>
      </c>
      <c r="F412" s="102" t="str">
        <f ca="1">IFERROR(__xludf.DUMMYFUNCTION("IMPORTRANGE(H412,""IDENTITAS UNIT!D9"")"),"")</f>
        <v/>
      </c>
      <c r="H412" s="101" t="str">
        <v>https://docs.google.com/spreadsheets/d/1XJHv7jdPLbc1XBDOi1nsvUH78PfcxrQOIpN8ZMCEnzs</v>
      </c>
      <c r="I412" s="101" t="str">
        <v>https://docs.google.com/open?id=1XJHv7jdPLbc1XBDOi1nsvUH78PfcxrQOIpN8ZMCEnzs</v>
      </c>
      <c r="J412" s="4" t="str">
        <v>Nangsri Lor, Candirejo, Semanu</v>
      </c>
      <c r="L412" s="99" t="str">
        <f ca="1">IFERROR(__xludf.DUMMYFUNCTION("IMPORTRANGE(H412,""IDENTITAS UNIT!D35"")"),"Muhammad Tholibur Rikza")</f>
        <v>Muhammad Tholibur Rikza</v>
      </c>
    </row>
    <row r="413" spans="1:12" ht="49.5" hidden="1">
      <c r="A413" s="4" t="str">
        <v>Reguler Periode ke-101 XXVI.B.3</v>
      </c>
      <c r="B413" s="4" t="str">
        <v>Reguler Periode ke-101</v>
      </c>
      <c r="C413" s="4" t="str">
        <v>XXVI.B.3</v>
      </c>
      <c r="D413" s="101" t="str">
        <v>https://drive.google.com/open?id=1mbTS3Bu6MS0ju-5srY3pPB5b8S95ojZrjyxgkkp-DiQ&amp;usp=drive_copy</v>
      </c>
      <c r="E413" s="101" t="str">
        <v>https://drive.google.com/open?id=1mbTS3Bu6MS0ju-5srY3pPB5b8S95ojZrjyxgkkp-DiQ</v>
      </c>
      <c r="F413" s="103" t="str">
        <f ca="1">IFERROR(__xludf.DUMMYFUNCTION("IMPORTRANGE(H413,""IDENTITAS UNIT!D9"")"),"https://maps.app.goo.gl/HwkgQ6uNmmPyQ5pY7 ")</f>
        <v xml:space="preserve">https://maps.app.goo.gl/HwkgQ6uNmmPyQ5pY7 </v>
      </c>
      <c r="G413" s="4" t="s">
        <v>12991</v>
      </c>
      <c r="H413" s="101" t="str">
        <v>https://docs.google.com/spreadsheets/d/1mbTS3Bu6MS0ju-5srY3pPB5b8S95ojZrjyxgkkp-DiQ</v>
      </c>
      <c r="I413" s="101" t="str">
        <v>https://docs.google.com/open?id=1mbTS3Bu6MS0ju-5srY3pPB5b8S95ojZrjyxgkkp-DiQ</v>
      </c>
      <c r="J413" s="4" t="str">
        <v>Nangsri Kidul, Candirejo, Semanu</v>
      </c>
      <c r="L413" s="99" t="str">
        <f ca="1">IFERROR(__xludf.DUMMYFUNCTION("IMPORTRANGE(H413,""IDENTITAS UNIT!D35"")"),"Ahmad Nur Wahyudi")</f>
        <v>Ahmad Nur Wahyudi</v>
      </c>
    </row>
    <row r="414" spans="1:12" ht="49.5" hidden="1">
      <c r="A414" s="4" t="str">
        <v>Reguler Periode ke-101 XXVI.C.1</v>
      </c>
      <c r="B414" s="4" t="str">
        <v>Reguler Periode ke-101</v>
      </c>
      <c r="C414" s="4" t="str">
        <v>XXVI.C.1</v>
      </c>
      <c r="D414" s="101" t="str">
        <v>https://drive.google.com/open?id=1pSfHN2dkWjKfTx0ozR33SlCLhNVIlZzj11stTESMz9Y&amp;usp=drive_copy</v>
      </c>
      <c r="E414" s="101" t="str">
        <v>https://drive.google.com/open?id=1pSfHN2dkWjKfTx0ozR33SlCLhNVIlZzj11stTESMz9Y</v>
      </c>
      <c r="F414" s="103" t="str">
        <f ca="1">IFERROR(__xludf.DUMMYFUNCTION("IMPORTRANGE(H414,""IDENTITAS UNIT!D9"")"),"https://maps.app.goo.gl/BHthuAz7rvMfkg2H9")</f>
        <v>https://maps.app.goo.gl/BHthuAz7rvMfkg2H9</v>
      </c>
      <c r="G414" s="4" t="s">
        <v>12992</v>
      </c>
      <c r="H414" s="101" t="str">
        <v>https://docs.google.com/spreadsheets/d/1pSfHN2dkWjKfTx0ozR33SlCLhNVIlZzj11stTESMz9Y</v>
      </c>
      <c r="I414" s="101" t="str">
        <v>https://docs.google.com/open?id=1pSfHN2dkWjKfTx0ozR33SlCLhNVIlZzj11stTESMz9Y</v>
      </c>
      <c r="J414" s="4" t="str">
        <v>Plebengan Lor, Candirejo, Semanu</v>
      </c>
      <c r="L414" s="99" t="str">
        <f ca="1">IFERROR(__xludf.DUMMYFUNCTION("IMPORTRANGE(H414,""IDENTITAS UNIT!D35"")"),"Muhammad Hafidh Fahrizal")</f>
        <v>Muhammad Hafidh Fahrizal</v>
      </c>
    </row>
    <row r="415" spans="1:12" ht="49.5" hidden="1">
      <c r="A415" s="4" t="str">
        <v>Reguler Periode ke-101 XXVI.C.2</v>
      </c>
      <c r="B415" s="4" t="str">
        <v>Reguler Periode ke-101</v>
      </c>
      <c r="C415" s="4" t="str">
        <v>XXVI.C.2</v>
      </c>
      <c r="D415" s="101" t="str">
        <v>https://drive.google.com/open?id=1mZWWVltoMCDTOP9Wgo01tGmHcxLtDX60eDtdD9dKRoI&amp;usp=drive_copy</v>
      </c>
      <c r="E415" s="101" t="str">
        <v>https://drive.google.com/open?id=1mZWWVltoMCDTOP9Wgo01tGmHcxLtDX60eDtdD9dKRoI</v>
      </c>
      <c r="F415" s="103" t="str">
        <f ca="1">IFERROR(__xludf.DUMMYFUNCTION("IMPORTRANGE(H415,""IDENTITAS UNIT!D9"")"),"https://maps.app.goo.gl/4ABfE9jEnBxTyQCt6")</f>
        <v>https://maps.app.goo.gl/4ABfE9jEnBxTyQCt6</v>
      </c>
      <c r="G415" s="4" t="s">
        <v>12993</v>
      </c>
      <c r="H415" s="101" t="str">
        <v>https://docs.google.com/spreadsheets/d/1mZWWVltoMCDTOP9Wgo01tGmHcxLtDX60eDtdD9dKRoI</v>
      </c>
      <c r="I415" s="101" t="str">
        <v>https://docs.google.com/open?id=1mZWWVltoMCDTOP9Wgo01tGmHcxLtDX60eDtdD9dKRoI</v>
      </c>
      <c r="J415" s="4" t="str">
        <v>Plebengan Tengah, Candirejo, Semanu</v>
      </c>
      <c r="L415" s="99" t="str">
        <f ca="1">IFERROR(__xludf.DUMMYFUNCTION("IMPORTRANGE(H415,""IDENTITAS UNIT!D35"")"),"Octario Fiqri Saputra")</f>
        <v>Octario Fiqri Saputra</v>
      </c>
    </row>
    <row r="416" spans="1:12" ht="49.5" hidden="1">
      <c r="A416" s="4" t="str">
        <v>Reguler Periode ke-101 XXVI.C.3</v>
      </c>
      <c r="B416" s="4" t="str">
        <v>Reguler Periode ke-101</v>
      </c>
      <c r="C416" s="4" t="str">
        <v>XXVI.C.3</v>
      </c>
      <c r="D416" s="101" t="str">
        <v>https://drive.google.com/open?id=1mar7Gl-nlHAaQYOs5Hrjd_ZoB4W1yQWsAvHDIFO4ank&amp;usp=drive_copy</v>
      </c>
      <c r="E416" s="101" t="str">
        <v>https://drive.google.com/open?id=1mar7Gl-nlHAaQYOs5Hrjd_ZoB4W1yQWsAvHDIFO4ank</v>
      </c>
      <c r="F416" s="103" t="str">
        <f ca="1">IFERROR(__xludf.DUMMYFUNCTION("IMPORTRANGE(H416,""IDENTITAS UNIT!D9"")"),"https://goo.gl/maps/hXSV3q9WxSmQGnBY7")</f>
        <v>https://goo.gl/maps/hXSV3q9WxSmQGnBY7</v>
      </c>
      <c r="G416" s="4" t="s">
        <v>12994</v>
      </c>
      <c r="H416" s="101" t="str">
        <v>https://docs.google.com/spreadsheets/d/1mar7Gl-nlHAaQYOs5Hrjd_ZoB4W1yQWsAvHDIFO4ank</v>
      </c>
      <c r="I416" s="101" t="str">
        <v>https://docs.google.com/open?id=1mar7Gl-nlHAaQYOs5Hrjd_ZoB4W1yQWsAvHDIFO4ank</v>
      </c>
      <c r="J416" s="4" t="str">
        <v>Plebengan Kidul, Candirejo, Semanu</v>
      </c>
      <c r="L416" s="99" t="str">
        <f ca="1">IFERROR(__xludf.DUMMYFUNCTION("IMPORTRANGE(H416,""IDENTITAS UNIT!D35"")"),"Syahridha Ma'ruf")</f>
        <v>Syahridha Ma'ruf</v>
      </c>
    </row>
    <row r="417" spans="1:12" ht="49.5" hidden="1">
      <c r="A417" s="4" t="str">
        <v>Reguler Periode ke-101 XXVI.D.1</v>
      </c>
      <c r="B417" s="4" t="str">
        <v>Reguler Periode ke-101</v>
      </c>
      <c r="C417" s="4" t="str">
        <v>XXVI.D.1</v>
      </c>
      <c r="D417" s="101" t="str">
        <v>https://drive.google.com/open?id=1-Dx7y_31ZjX7fYtVRar7O_YSE4mdZnBmodjds8j_bgQ&amp;usp=drive_copy</v>
      </c>
      <c r="E417" s="101" t="str">
        <v>https://drive.google.com/open?id=1-Dx7y_31ZjX7fYtVRar7O_YSE4mdZnBmodjds8j_bgQ</v>
      </c>
      <c r="F417" s="103" t="str">
        <f ca="1">IFERROR(__xludf.DUMMYFUNCTION("IMPORTRANGE(H417,""IDENTITAS UNIT!D9"")"),"https://maps.app.goo.gl/xnrPtrhuVKwqY4Ta7")</f>
        <v>https://maps.app.goo.gl/xnrPtrhuVKwqY4Ta7</v>
      </c>
      <c r="H417" s="101" t="str">
        <v>https://docs.google.com/spreadsheets/d/1-Dx7y_31ZjX7fYtVRar7O_YSE4mdZnBmodjds8j_bgQ</v>
      </c>
      <c r="I417" s="101" t="str">
        <v>https://docs.google.com/open?id=1-Dx7y_31ZjX7fYtVRar7O_YSE4mdZnBmodjds8j_bgQ</v>
      </c>
      <c r="J417" s="4" t="str">
        <v>Panggul Kulon, Candirejo, Semanu</v>
      </c>
      <c r="L417" s="99" t="str">
        <f ca="1">IFERROR(__xludf.DUMMYFUNCTION("IMPORTRANGE(H417,""IDENTITAS UNIT!D35"")"),"Arya Dwi Satrio")</f>
        <v>Arya Dwi Satrio</v>
      </c>
    </row>
    <row r="418" spans="1:12" ht="49.5" hidden="1">
      <c r="A418" s="4" t="str">
        <v>Reguler Periode ke-101 XXVI.D.2</v>
      </c>
      <c r="B418" s="4" t="str">
        <v>Reguler Periode ke-101</v>
      </c>
      <c r="C418" s="4" t="str">
        <v>XXVI.D.2</v>
      </c>
      <c r="D418" s="101" t="str">
        <v>https://drive.google.com/open?id=14nV8fwn8fLh3_L6UJsAYePmumEC_O2FQdP-ozBdcY20&amp;usp=drive_copy</v>
      </c>
      <c r="E418" s="101" t="str">
        <v>https://drive.google.com/open?id=14nV8fwn8fLh3_L6UJsAYePmumEC_O2FQdP-ozBdcY20</v>
      </c>
      <c r="F418" s="103" t="str">
        <f ca="1">IFERROR(__xludf.DUMMYFUNCTION("IMPORTRANGE(H418,""IDENTITAS UNIT!D9"")"),"https://goo.gl/maps/guf9Ew2BEdv7Q1Sg9")</f>
        <v>https://goo.gl/maps/guf9Ew2BEdv7Q1Sg9</v>
      </c>
      <c r="G418" s="4" t="s">
        <v>12995</v>
      </c>
      <c r="H418" s="101" t="str">
        <v>https://docs.google.com/spreadsheets/d/14nV8fwn8fLh3_L6UJsAYePmumEC_O2FQdP-ozBdcY20</v>
      </c>
      <c r="I418" s="101" t="str">
        <v>https://docs.google.com/open?id=14nV8fwn8fLh3_L6UJsAYePmumEC_O2FQdP-ozBdcY20</v>
      </c>
      <c r="J418" s="4" t="str">
        <v>Panggul Wetan, Candirejo, Semanu</v>
      </c>
      <c r="L418" s="99" t="str">
        <f ca="1">IFERROR(__xludf.DUMMYFUNCTION("IMPORTRANGE(H418,""IDENTITAS UNIT!D35"")"),"M Yurry Gagarin")</f>
        <v>M Yurry Gagarin</v>
      </c>
    </row>
    <row r="419" spans="1:12" ht="49.5" hidden="1">
      <c r="A419" s="4" t="str">
        <v>Reguler Periode ke-101 XXVI.D.3</v>
      </c>
      <c r="B419" s="4" t="str">
        <v>Reguler Periode ke-101</v>
      </c>
      <c r="C419" s="4" t="str">
        <v>XXVI.D.3</v>
      </c>
      <c r="D419" s="101" t="str">
        <v>https://drive.google.com/open?id=14suCEkalgPVp2-MAHj2vV-P0IBZtDcItU-DnKDgR5RQ&amp;usp=drive_copy</v>
      </c>
      <c r="E419" s="101" t="str">
        <v>https://drive.google.com/open?id=14suCEkalgPVp2-MAHj2vV-P0IBZtDcItU-DnKDgR5RQ</v>
      </c>
      <c r="F419" s="103" t="str">
        <f ca="1">IFERROR(__xludf.DUMMYFUNCTION("IMPORTRANGE(H419,""IDENTITAS UNIT!D9"")"),"https://goo.gl/maps/zXbwuUuN9kz9UM3t7")</f>
        <v>https://goo.gl/maps/zXbwuUuN9kz9UM3t7</v>
      </c>
      <c r="H419" s="101" t="str">
        <v>https://docs.google.com/spreadsheets/d/14suCEkalgPVp2-MAHj2vV-P0IBZtDcItU-DnKDgR5RQ</v>
      </c>
      <c r="I419" s="101" t="str">
        <v>https://docs.google.com/open?id=14suCEkalgPVp2-MAHj2vV-P0IBZtDcItU-DnKDgR5RQ</v>
      </c>
      <c r="J419" s="4" t="str">
        <v>Panggul Tengah, Candirejo, Semanu</v>
      </c>
      <c r="L419" s="99" t="str">
        <f ca="1">IFERROR(__xludf.DUMMYFUNCTION("IMPORTRANGE(H419,""IDENTITAS UNIT!D35"")"),"M. Zaki Amali")</f>
        <v>M. Zaki Amali</v>
      </c>
    </row>
    <row r="420" spans="1:12" ht="49.5" hidden="1">
      <c r="A420" s="4" t="str">
        <v>Reguler Periode ke-101 XXVII.A.1</v>
      </c>
      <c r="B420" s="4" t="str">
        <v>Reguler Periode ke-101</v>
      </c>
      <c r="C420" s="4" t="str">
        <v>XXVII.A.1</v>
      </c>
      <c r="D420" s="101" t="str">
        <v>https://drive.google.com/open?id=1rpNu8ZwX5PG5PcLz3S5O2mSzQ-fLjtS5QNCQLe-Muj0&amp;usp=drive_copy</v>
      </c>
      <c r="E420" s="101" t="str">
        <v>https://drive.google.com/open?id=1rpNu8ZwX5PG5PcLz3S5O2mSzQ-fLjtS5QNCQLe-Muj0</v>
      </c>
      <c r="F420" s="103" t="str">
        <f ca="1">IFERROR(__xludf.DUMMYFUNCTION("IMPORTRANGE(H420,""IDENTITAS UNIT!D9"")"),"https://goo.gl/maps/Qiw3pZng7vgXJHcY9")</f>
        <v>https://goo.gl/maps/Qiw3pZng7vgXJHcY9</v>
      </c>
      <c r="G420" s="4" t="s">
        <v>12996</v>
      </c>
      <c r="H420" s="101" t="str">
        <v>https://docs.google.com/spreadsheets/d/1rpNu8ZwX5PG5PcLz3S5O2mSzQ-fLjtS5QNCQLe-Muj0</v>
      </c>
      <c r="I420" s="101" t="str">
        <v>https://docs.google.com/open?id=1rpNu8ZwX5PG5PcLz3S5O2mSzQ-fLjtS5QNCQLe-Muj0</v>
      </c>
      <c r="J420" s="4" t="str">
        <v>Gebang, Candirejo, Semanu</v>
      </c>
      <c r="L420" s="99" t="str">
        <f ca="1">IFERROR(__xludf.DUMMYFUNCTION("IMPORTRANGE(H420,""IDENTITAS UNIT!D35"")"),"Muhammad Iqbal Ash Shiddiqy")</f>
        <v>Muhammad Iqbal Ash Shiddiqy</v>
      </c>
    </row>
    <row r="421" spans="1:12" ht="49.5" hidden="1">
      <c r="A421" s="4" t="str">
        <v>Reguler Periode ke-101 XXVII.A.2</v>
      </c>
      <c r="B421" s="4" t="str">
        <v>Reguler Periode ke-101</v>
      </c>
      <c r="C421" s="4" t="str">
        <v>XXVII.A.2</v>
      </c>
      <c r="D421" s="101" t="str">
        <v>https://drive.google.com/open?id=1uI7v9DVy6DgtP0OIaUYChG2cm3G-a0HSJYQR42y8gMk&amp;usp=drive_copy</v>
      </c>
      <c r="E421" s="101" t="str">
        <v>https://drive.google.com/open?id=1uI7v9DVy6DgtP0OIaUYChG2cm3G-a0HSJYQR42y8gMk</v>
      </c>
      <c r="F421" s="103" t="str">
        <f ca="1">IFERROR(__xludf.DUMMYFUNCTION("IMPORTRANGE(H421,""IDENTITAS UNIT!D9"")"),"https://goo.gl/maps/64Wz8GGFTtB9K73M8")</f>
        <v>https://goo.gl/maps/64Wz8GGFTtB9K73M8</v>
      </c>
      <c r="H421" s="101" t="str">
        <v>https://docs.google.com/spreadsheets/d/1uI7v9DVy6DgtP0OIaUYChG2cm3G-a0HSJYQR42y8gMk</v>
      </c>
      <c r="I421" s="101" t="str">
        <v>https://docs.google.com/open?id=1uI7v9DVy6DgtP0OIaUYChG2cm3G-a0HSJYQR42y8gMk</v>
      </c>
      <c r="J421" s="4" t="str">
        <v>Soka, Candirejo, Semanu</v>
      </c>
      <c r="L421" s="99" t="str">
        <f ca="1">IFERROR(__xludf.DUMMYFUNCTION("IMPORTRANGE(H421,""IDENTITAS UNIT!D35"")"),"Ryan Alravi")</f>
        <v>Ryan Alravi</v>
      </c>
    </row>
    <row r="422" spans="1:12" ht="16.5" hidden="1">
      <c r="A422" s="4" t="str">
        <v>Reguler Periode ke-101 XXVII.A.3</v>
      </c>
      <c r="B422" s="4" t="str">
        <v>Reguler Periode ke-101</v>
      </c>
      <c r="C422" s="4" t="str">
        <v>XXVII.A.3</v>
      </c>
      <c r="D422" s="101" t="str">
        <v>https://drive.google.com/open?id=1v7i39sM4HmRQ9TF48oJ52a8YmotNhL_JjJK8ANwIxqk&amp;usp=drive_copy</v>
      </c>
      <c r="E422" s="101" t="str">
        <v>https://drive.google.com/open?id=1v7i39sM4HmRQ9TF48oJ52a8YmotNhL_JjJK8ANwIxqk</v>
      </c>
      <c r="F422" s="102" t="str">
        <f ca="1">IFERROR(__xludf.DUMMYFUNCTION("IMPORTRANGE(H422,""IDENTITAS UNIT!D9"")"),"")</f>
        <v/>
      </c>
      <c r="H422" s="101" t="str">
        <v>https://docs.google.com/spreadsheets/d/1v7i39sM4HmRQ9TF48oJ52a8YmotNhL_JjJK8ANwIxqk</v>
      </c>
      <c r="I422" s="101" t="str">
        <v>https://docs.google.com/open?id=1v7i39sM4HmRQ9TF48oJ52a8YmotNhL_JjJK8ANwIxqk</v>
      </c>
      <c r="J422" s="4" t="str">
        <v>Cuwelo Lor, Candirejo, Semanu</v>
      </c>
      <c r="L422" s="99" t="str">
        <f ca="1">IFERROR(__xludf.DUMMYFUNCTION("IMPORTRANGE(H422,""IDENTITAS UNIT!D35"")"),"Mohamad Anom Purwo Wijaya")</f>
        <v>Mohamad Anom Purwo Wijaya</v>
      </c>
    </row>
    <row r="423" spans="1:12" ht="49.5" hidden="1">
      <c r="A423" s="4" t="str">
        <v>Reguler Periode ke-101 XXVII.B.1</v>
      </c>
      <c r="B423" s="4" t="str">
        <v>Reguler Periode ke-101</v>
      </c>
      <c r="C423" s="4" t="str">
        <v>XXVII.B.1</v>
      </c>
      <c r="D423" s="101" t="str">
        <v>https://drive.google.com/open?id=1wAOwX8JShRYK_TrAzJtVGPmWa5FvO7On8DSPnC018XQ&amp;usp=drive_copy</v>
      </c>
      <c r="E423" s="101" t="str">
        <v>https://drive.google.com/open?id=1wAOwX8JShRYK_TrAzJtVGPmWa5FvO7On8DSPnC018XQ</v>
      </c>
      <c r="F423" s="103" t="str">
        <f ca="1">IFERROR(__xludf.DUMMYFUNCTION("IMPORTRANGE(H423,""IDENTITAS UNIT!D9"")"),"https://maps.app.goo.gl/qRefKhR7t8Db2mkMA")</f>
        <v>https://maps.app.goo.gl/qRefKhR7t8Db2mkMA</v>
      </c>
      <c r="G423" s="4" t="s">
        <v>12997</v>
      </c>
      <c r="H423" s="101" t="str">
        <v>https://docs.google.com/spreadsheets/d/1wAOwX8JShRYK_TrAzJtVGPmWa5FvO7On8DSPnC018XQ</v>
      </c>
      <c r="I423" s="101" t="str">
        <v>https://docs.google.com/open?id=1wAOwX8JShRYK_TrAzJtVGPmWa5FvO7On8DSPnC018XQ</v>
      </c>
      <c r="J423" s="4" t="str">
        <v>Cuwelo Kidul, Candirejo, Semanu</v>
      </c>
      <c r="L423" s="99" t="str">
        <f ca="1">IFERROR(__xludf.DUMMYFUNCTION("IMPORTRANGE(H423,""IDENTITAS UNIT!D35"")"),"Bagus Riyono")</f>
        <v>Bagus Riyono</v>
      </c>
    </row>
    <row r="424" spans="1:12" ht="49.5" hidden="1">
      <c r="A424" s="4" t="str">
        <v>Reguler Periode ke-101 XXVII.B.2</v>
      </c>
      <c r="B424" s="4" t="str">
        <v>Reguler Periode ke-101</v>
      </c>
      <c r="C424" s="4" t="str">
        <v>XXVII.B.2</v>
      </c>
      <c r="D424" s="101" t="str">
        <v>https://drive.google.com/open?id=1wC7-pCxOkogy929zyEPMm6J8Gv-WrGvooR1dcUKkg-U&amp;usp=drive_copy</v>
      </c>
      <c r="E424" s="101" t="str">
        <v>https://drive.google.com/open?id=1wC7-pCxOkogy929zyEPMm6J8Gv-WrGvooR1dcUKkg-U</v>
      </c>
      <c r="F424" s="103" t="str">
        <f ca="1">IFERROR(__xludf.DUMMYFUNCTION("IMPORTRANGE(H424,""IDENTITAS UNIT!D9"")"),"https://maps.app.goo.gl/FdvewTTx2rbNyZi86")</f>
        <v>https://maps.app.goo.gl/FdvewTTx2rbNyZi86</v>
      </c>
      <c r="H424" s="101" t="str">
        <v>https://docs.google.com/spreadsheets/d/1wC7-pCxOkogy929zyEPMm6J8Gv-WrGvooR1dcUKkg-U</v>
      </c>
      <c r="I424" s="101" t="str">
        <v>https://docs.google.com/open?id=1wC7-pCxOkogy929zyEPMm6J8Gv-WrGvooR1dcUKkg-U</v>
      </c>
      <c r="J424" s="4" t="str">
        <v>Pace, Candirejo, Semanu</v>
      </c>
      <c r="L424" s="99" t="str">
        <f ca="1">IFERROR(__xludf.DUMMYFUNCTION("IMPORTRANGE(H424,""IDENTITAS UNIT!D35"")"),"Maulana Irfan Ghazy")</f>
        <v>Maulana Irfan Ghazy</v>
      </c>
    </row>
    <row r="425" spans="1:12" ht="49.5" hidden="1">
      <c r="A425" s="4" t="str">
        <v>Reguler Periode ke-101 XXVII.B.3</v>
      </c>
      <c r="B425" s="4" t="str">
        <v>Reguler Periode ke-101</v>
      </c>
      <c r="C425" s="4" t="str">
        <v>XXVII.B.3</v>
      </c>
      <c r="D425" s="101" t="str">
        <v>https://drive.google.com/open?id=1yKglbaiJ2AHEKXwNA8dXJzyIcE576a0Dn8I5b43TLik&amp;usp=drive_copy</v>
      </c>
      <c r="E425" s="101" t="str">
        <v>https://drive.google.com/open?id=1yKglbaiJ2AHEKXwNA8dXJzyIcE576a0Dn8I5b43TLik</v>
      </c>
      <c r="F425" s="103" t="str">
        <f ca="1">IFERROR(__xludf.DUMMYFUNCTION("IMPORTRANGE(H425,""IDENTITAS UNIT!D9"")"),"https://maps.app.goo.gl/EkHPxSJ6qNmTDFU48")</f>
        <v>https://maps.app.goo.gl/EkHPxSJ6qNmTDFU48</v>
      </c>
      <c r="G425" s="4" t="s">
        <v>12998</v>
      </c>
      <c r="H425" s="101" t="str">
        <v>https://docs.google.com/spreadsheets/d/1yKglbaiJ2AHEKXwNA8dXJzyIcE576a0Dn8I5b43TLik</v>
      </c>
      <c r="I425" s="101" t="str">
        <v>https://docs.google.com/open?id=1yKglbaiJ2AHEKXwNA8dXJzyIcE576a0Dn8I5b43TLik</v>
      </c>
      <c r="J425" s="4" t="str">
        <v>Kropak, Candirejo, Semanu</v>
      </c>
      <c r="L425" s="99" t="str">
        <f ca="1">IFERROR(__xludf.DUMMYFUNCTION("IMPORTRANGE(H425,""IDENTITAS UNIT!D35"")"),"Bomo Wisnu Panuluh")</f>
        <v>Bomo Wisnu Panuluh</v>
      </c>
    </row>
    <row r="426" spans="1:12" ht="49.5" hidden="1">
      <c r="A426" s="4" t="str">
        <v>Reguler Periode ke-101 XXVII.C.1</v>
      </c>
      <c r="B426" s="4" t="str">
        <v>Reguler Periode ke-101</v>
      </c>
      <c r="C426" s="4" t="str">
        <v>XXVII.C.1</v>
      </c>
      <c r="D426" s="101" t="str">
        <v>https://drive.google.com/open?id=1-wiyawIb7nuGz3R72e-F5f_5y2rnpSuziq4huDcp1LM&amp;usp=drive_copy</v>
      </c>
      <c r="E426" s="101" t="str">
        <v>https://drive.google.com/open?id=1-wiyawIb7nuGz3R72e-F5f_5y2rnpSuziq4huDcp1LM</v>
      </c>
      <c r="F426" s="103" t="str">
        <f ca="1">IFERROR(__xludf.DUMMYFUNCTION("IMPORTRANGE(H426,""IDENTITAS UNIT!D9"")"),"https://maps.app.goo.gl/V9JoPdNTE35eMZQm6")</f>
        <v>https://maps.app.goo.gl/V9JoPdNTE35eMZQm6</v>
      </c>
      <c r="G426" s="4" t="s">
        <v>12999</v>
      </c>
      <c r="H426" s="101" t="str">
        <v>https://docs.google.com/spreadsheets/d/1-wiyawIb7nuGz3R72e-F5f_5y2rnpSuziq4huDcp1LM</v>
      </c>
      <c r="I426" s="101" t="str">
        <v>https://docs.google.com/open?id=1-wiyawIb7nuGz3R72e-F5f_5y2rnpSuziq4huDcp1LM</v>
      </c>
      <c r="J426" s="4" t="str">
        <v>Mranggen, Candirejo, Semanu</v>
      </c>
      <c r="L426" s="99" t="str">
        <f ca="1">IFERROR(__xludf.DUMMYFUNCTION("IMPORTRANGE(H426,""IDENTITAS UNIT!D35"")"),"")</f>
        <v/>
      </c>
    </row>
    <row r="427" spans="1:12" ht="49.5" hidden="1">
      <c r="A427" s="4" t="str">
        <v>Reguler Periode ke-101 XXVII.C.2</v>
      </c>
      <c r="B427" s="4" t="str">
        <v>Reguler Periode ke-101</v>
      </c>
      <c r="C427" s="4" t="str">
        <v>XXVII.C.2</v>
      </c>
      <c r="D427" s="101" t="str">
        <v>https://drive.google.com/open?id=15LwGcrE9V7r6eONxrF6shLmJZ32odris6qkdpZXNb8k&amp;usp=drive_copy</v>
      </c>
      <c r="E427" s="101" t="str">
        <v>https://drive.google.com/open?id=15LwGcrE9V7r6eONxrF6shLmJZ32odris6qkdpZXNb8k</v>
      </c>
      <c r="F427" s="103" t="str">
        <f ca="1">IFERROR(__xludf.DUMMYFUNCTION("IMPORTRANGE(H427,""IDENTITAS UNIT!D9"")"),"https://goo.gl/maps/7MxhjeNAGH1QhTDm9")</f>
        <v>https://goo.gl/maps/7MxhjeNAGH1QhTDm9</v>
      </c>
      <c r="G427" s="4" t="s">
        <v>13000</v>
      </c>
      <c r="H427" s="101" t="str">
        <v>https://docs.google.com/spreadsheets/d/15LwGcrE9V7r6eONxrF6shLmJZ32odris6qkdpZXNb8k</v>
      </c>
      <c r="I427" s="101" t="str">
        <v>https://docs.google.com/open?id=15LwGcrE9V7r6eONxrF6shLmJZ32odris6qkdpZXNb8k</v>
      </c>
      <c r="J427" s="4" t="str">
        <v>Bulu, Candirejo, Semanu</v>
      </c>
      <c r="L427" s="99" t="str">
        <f ca="1">IFERROR(__xludf.DUMMYFUNCTION("IMPORTRANGE(H427,""IDENTITAS UNIT!D35"")"),"Fiqih Ardiansyah")</f>
        <v>Fiqih Ardiansyah</v>
      </c>
    </row>
    <row r="428" spans="1:12" ht="49.5" hidden="1">
      <c r="A428" s="4" t="str">
        <v>Reguler Periode ke-101 XXVII.C.3</v>
      </c>
      <c r="B428" s="4" t="str">
        <v>Reguler Periode ke-101</v>
      </c>
      <c r="C428" s="4" t="str">
        <v>XXVII.C.3</v>
      </c>
      <c r="D428" s="101" t="str">
        <v>https://drive.google.com/open?id=17PMZXRQ_1B6Qqk7TdJ-LPPZxpEjiF7EJs8iczNpoijc&amp;usp=drive_copy</v>
      </c>
      <c r="E428" s="101" t="str">
        <v>https://drive.google.com/open?id=17PMZXRQ_1B6Qqk7TdJ-LPPZxpEjiF7EJs8iczNpoijc</v>
      </c>
      <c r="F428" s="103" t="str">
        <f ca="1">IFERROR(__xludf.DUMMYFUNCTION("IMPORTRANGE(H428,""IDENTITAS UNIT!D9"")"),"https://maps.app.goo.gl/591EUsZVbTQKp17Q8")</f>
        <v>https://maps.app.goo.gl/591EUsZVbTQKp17Q8</v>
      </c>
      <c r="G428" s="4" t="s">
        <v>13001</v>
      </c>
      <c r="H428" s="101" t="str">
        <v>https://docs.google.com/spreadsheets/d/17PMZXRQ_1B6Qqk7TdJ-LPPZxpEjiF7EJs8iczNpoijc</v>
      </c>
      <c r="I428" s="101" t="str">
        <v>https://docs.google.com/open?id=17PMZXRQ_1B6Qqk7TdJ-LPPZxpEjiF7EJs8iczNpoijc</v>
      </c>
      <c r="J428" s="4" t="str">
        <v>Jati, Candirejo, Semanu</v>
      </c>
      <c r="L428" s="99" t="str">
        <f ca="1">IFERROR(__xludf.DUMMYFUNCTION("IMPORTRANGE(H428,""IDENTITAS UNIT!D35"")"),"A. Hanief Alfadhil Sulaeman")</f>
        <v>A. Hanief Alfadhil Sulaeman</v>
      </c>
    </row>
    <row r="429" spans="1:12" ht="49.5" hidden="1">
      <c r="A429" s="4" t="str">
        <v>Reguler Periode ke-101 XXVII.D.1</v>
      </c>
      <c r="B429" s="4" t="str">
        <v>Reguler Periode ke-101</v>
      </c>
      <c r="C429" s="4" t="str">
        <v>XXVII.D.1</v>
      </c>
      <c r="D429" s="101" t="str">
        <v>https://drive.google.com/open?id=19iOKPB14W0VGP-0ml8pziHOt6sYzXWaj7a4Zoum-tBI&amp;usp=drive_copy</v>
      </c>
      <c r="E429" s="101" t="str">
        <v>https://drive.google.com/open?id=19iOKPB14W0VGP-0ml8pziHOt6sYzXWaj7a4Zoum-tBI</v>
      </c>
      <c r="F429" s="103" t="str">
        <f ca="1">IFERROR(__xludf.DUMMYFUNCTION("IMPORTRANGE(H429,""IDENTITAS UNIT!D9"")"),"https://goo.gl/maps/HAoXqnwGg3qAaWbJ8")</f>
        <v>https://goo.gl/maps/HAoXqnwGg3qAaWbJ8</v>
      </c>
      <c r="G429" s="4" t="s">
        <v>13002</v>
      </c>
      <c r="H429" s="101" t="str">
        <v>https://docs.google.com/spreadsheets/d/19iOKPB14W0VGP-0ml8pziHOt6sYzXWaj7a4Zoum-tBI</v>
      </c>
      <c r="I429" s="101" t="str">
        <v>https://docs.google.com/open?id=19iOKPB14W0VGP-0ml8pziHOt6sYzXWaj7a4Zoum-tBI</v>
      </c>
      <c r="J429" s="4" t="str">
        <v>Piyuyon, Pacarejo, Semanu</v>
      </c>
      <c r="L429" s="99" t="str">
        <f ca="1">IFERROR(__xludf.DUMMYFUNCTION("IMPORTRANGE(H429,""IDENTITAS UNIT!D35"")"),"Bagus Setyo Wibowo")</f>
        <v>Bagus Setyo Wibowo</v>
      </c>
    </row>
    <row r="430" spans="1:12" ht="49.5" hidden="1">
      <c r="A430" s="4" t="str">
        <v>Reguler Periode ke-101 XXVII.D.2</v>
      </c>
      <c r="B430" s="4" t="str">
        <v>Reguler Periode ke-101</v>
      </c>
      <c r="C430" s="4" t="str">
        <v>XXVII.D.2</v>
      </c>
      <c r="D430" s="101" t="str">
        <v>https://drive.google.com/open?id=1DCuZVQKauRTcA4dptxnDsgbbW76ZTGTU8xmjQO61cwI&amp;usp=drive_copy</v>
      </c>
      <c r="E430" s="101" t="str">
        <v>https://drive.google.com/open?id=1DCuZVQKauRTcA4dptxnDsgbbW76ZTGTU8xmjQO61cwI</v>
      </c>
      <c r="F430" s="103" t="str">
        <f ca="1">IFERROR(__xludf.DUMMYFUNCTION("IMPORTRANGE(H430,""IDENTITAS UNIT!D9"")"),"https://maps.app.goo.gl/9jAFgiMv5sbQz6Az7?g_st=ic")</f>
        <v>https://maps.app.goo.gl/9jAFgiMv5sbQz6Az7?g_st=ic</v>
      </c>
      <c r="G430" s="4" t="s">
        <v>13003</v>
      </c>
      <c r="H430" s="101" t="str">
        <v>https://docs.google.com/spreadsheets/d/1DCuZVQKauRTcA4dptxnDsgbbW76ZTGTU8xmjQO61cwI</v>
      </c>
      <c r="I430" s="101" t="str">
        <v>https://docs.google.com/open?id=1DCuZVQKauRTcA4dptxnDsgbbW76ZTGTU8xmjQO61cwI</v>
      </c>
      <c r="J430" s="4" t="str">
        <v>Pacing Lor, Pacarejo, Semanu</v>
      </c>
      <c r="L430" s="99" t="str">
        <f ca="1">IFERROR(__xludf.DUMMYFUNCTION("IMPORTRANGE(H430,""IDENTITAS UNIT!D35"")"),"Muhammad Rizky Widhayat")</f>
        <v>Muhammad Rizky Widhayat</v>
      </c>
    </row>
    <row r="431" spans="1:12" ht="49.5" hidden="1">
      <c r="A431" s="4" t="str">
        <v>Reguler Periode ke-101 XXVII.D.3</v>
      </c>
      <c r="B431" s="4" t="str">
        <v>Reguler Periode ke-101</v>
      </c>
      <c r="C431" s="4" t="str">
        <v>XXVII.D.3</v>
      </c>
      <c r="D431" s="101" t="str">
        <v>https://drive.google.com/open?id=1LrWvHuQX6DHow6YrL92yJDBgCwhl25PX9bpU07Pltj8&amp;usp=drive_copy</v>
      </c>
      <c r="E431" s="101" t="str">
        <v>https://drive.google.com/open?id=1LrWvHuQX6DHow6YrL92yJDBgCwhl25PX9bpU07Pltj8</v>
      </c>
      <c r="F431" s="103" t="str">
        <f ca="1">IFERROR(__xludf.DUMMYFUNCTION("IMPORTRANGE(H431,""IDENTITAS UNIT!D9"")"),"https://goo.gl/maps/7mdBqWuBdJx9DbMB7")</f>
        <v>https://goo.gl/maps/7mdBqWuBdJx9DbMB7</v>
      </c>
      <c r="G431" s="4" t="s">
        <v>13004</v>
      </c>
      <c r="H431" s="101" t="str">
        <v>https://docs.google.com/spreadsheets/d/1LrWvHuQX6DHow6YrL92yJDBgCwhl25PX9bpU07Pltj8</v>
      </c>
      <c r="I431" s="101" t="str">
        <v>https://docs.google.com/open?id=1LrWvHuQX6DHow6YrL92yJDBgCwhl25PX9bpU07Pltj8</v>
      </c>
      <c r="J431" s="4" t="str">
        <v>Pacing Kidul, Pacarejo, Semanu</v>
      </c>
      <c r="L431" s="99" t="str">
        <f ca="1">IFERROR(__xludf.DUMMYFUNCTION("IMPORTRANGE(H431,""IDENTITAS UNIT!D35"")"),"Dimas Fajar Alfiansyah")</f>
        <v>Dimas Fajar Alfiansyah</v>
      </c>
    </row>
    <row r="432" spans="1:12" ht="49.5" hidden="1">
      <c r="A432" s="4" t="str">
        <v>Reguler Periode ke-101 XXVIII.A.1</v>
      </c>
      <c r="B432" s="4" t="str">
        <v>Reguler Periode ke-101</v>
      </c>
      <c r="C432" s="4" t="str">
        <v>XXVIII.A.1</v>
      </c>
      <c r="D432" s="101" t="str">
        <v>https://drive.google.com/open?id=1512O-Mm7NdBhYen1YMEKrCEvruG_laGphSRrGhqy61k&amp;usp=drive_copy</v>
      </c>
      <c r="E432" s="101" t="str">
        <v>https://drive.google.com/open?id=1512O-Mm7NdBhYen1YMEKrCEvruG_laGphSRrGhqy61k</v>
      </c>
      <c r="F432" s="103" t="str">
        <f ca="1">IFERROR(__xludf.DUMMYFUNCTION("IMPORTRANGE(H432,""IDENTITAS UNIT!D9"")"),"https://maps.app.goo.gl/DjBBBPjf9jDQgwGe9")</f>
        <v>https://maps.app.goo.gl/DjBBBPjf9jDQgwGe9</v>
      </c>
      <c r="G432" s="4" t="s">
        <v>13005</v>
      </c>
      <c r="H432" s="101" t="str">
        <v>https://docs.google.com/spreadsheets/d/1512O-Mm7NdBhYen1YMEKrCEvruG_laGphSRrGhqy61k</v>
      </c>
      <c r="I432" s="101" t="str">
        <v>https://docs.google.com/open?id=1512O-Mm7NdBhYen1YMEKrCEvruG_laGphSRrGhqy61k</v>
      </c>
      <c r="J432" s="4" t="str">
        <v>Wilayu, Pacarejo, Semanu</v>
      </c>
      <c r="L432" s="99" t="str">
        <f ca="1">IFERROR(__xludf.DUMMYFUNCTION("IMPORTRANGE(H432,""IDENTITAS UNIT!D35"")"),"Muhammad Maulidan")</f>
        <v>Muhammad Maulidan</v>
      </c>
    </row>
    <row r="433" spans="1:12" ht="49.5" hidden="1">
      <c r="A433" s="4" t="str">
        <v>Reguler Periode ke-101 XXVIII.A.2</v>
      </c>
      <c r="B433" s="4" t="str">
        <v>Reguler Periode ke-101</v>
      </c>
      <c r="C433" s="4" t="str">
        <v>XXVIII.A.2</v>
      </c>
      <c r="D433" s="101" t="str">
        <v>https://drive.google.com/open?id=1AoqLRMfbxDdlkLPp4-L-DGGIvP-y-_6RZ_9_ZGxvn1s&amp;usp=drive_copy</v>
      </c>
      <c r="E433" s="101" t="str">
        <v>https://drive.google.com/open?id=1AoqLRMfbxDdlkLPp4-L-DGGIvP-y-_6RZ_9_ZGxvn1s</v>
      </c>
      <c r="F433" s="103" t="str">
        <f ca="1">IFERROR(__xludf.DUMMYFUNCTION("IMPORTRANGE(H433,""IDENTITAS UNIT!D9"")"),"https://goo.gl/maps/QuTPMfc6YsYQpiuQ7")</f>
        <v>https://goo.gl/maps/QuTPMfc6YsYQpiuQ7</v>
      </c>
      <c r="G433" s="4" t="s">
        <v>13006</v>
      </c>
      <c r="H433" s="101" t="str">
        <v>https://docs.google.com/spreadsheets/d/1AoqLRMfbxDdlkLPp4-L-DGGIvP-y-_6RZ_9_ZGxvn1s</v>
      </c>
      <c r="I433" s="101" t="str">
        <v>https://docs.google.com/open?id=1AoqLRMfbxDdlkLPp4-L-DGGIvP-y-_6RZ_9_ZGxvn1s</v>
      </c>
      <c r="J433" s="4" t="str">
        <v>Jasem Kidul, Pacarejo, Semanu</v>
      </c>
      <c r="L433" s="99" t="str">
        <f ca="1">IFERROR(__xludf.DUMMYFUNCTION("IMPORTRANGE(H433,""IDENTITAS UNIT!D35"")"),"Rahmat Rizkulloh Eka Taruna")</f>
        <v>Rahmat Rizkulloh Eka Taruna</v>
      </c>
    </row>
    <row r="434" spans="1:12" ht="49.5" hidden="1">
      <c r="A434" s="4" t="str">
        <v>Reguler Periode ke-101 XXVIII.A.3</v>
      </c>
      <c r="B434" s="4" t="str">
        <v>Reguler Periode ke-101</v>
      </c>
      <c r="C434" s="4" t="str">
        <v>XXVIII.A.3</v>
      </c>
      <c r="D434" s="101" t="str">
        <v>https://drive.google.com/open?id=1B0_xXXaZ8ZSCeiKzIlt_mubbOv9uwjelHVYI2_025Os&amp;usp=drive_copy</v>
      </c>
      <c r="E434" s="101" t="str">
        <v>https://drive.google.com/open?id=1B0_xXXaZ8ZSCeiKzIlt_mubbOv9uwjelHVYI2_025Os</v>
      </c>
      <c r="F434" s="103" t="str">
        <f ca="1">IFERROR(__xludf.DUMMYFUNCTION("IMPORTRANGE(H434,""IDENTITAS UNIT!D9"")"),"Trukan Ngampo, Pacrejo, Gunung Kidul ")</f>
        <v xml:space="preserve">Trukan Ngampo, Pacrejo, Gunung Kidul </v>
      </c>
      <c r="G434" s="4" t="s">
        <v>13007</v>
      </c>
      <c r="H434" s="101" t="str">
        <v>https://docs.google.com/spreadsheets/d/1B0_xXXaZ8ZSCeiKzIlt_mubbOv9uwjelHVYI2_025Os</v>
      </c>
      <c r="I434" s="101" t="str">
        <v>https://docs.google.com/open?id=1B0_xXXaZ8ZSCeiKzIlt_mubbOv9uwjelHVYI2_025Os</v>
      </c>
      <c r="J434" s="4" t="str">
        <v>Trukan Ngampo, Pacarejo, Semanu</v>
      </c>
      <c r="L434" s="99" t="str">
        <f ca="1">IFERROR(__xludf.DUMMYFUNCTION("IMPORTRANGE(H434,""IDENTITAS UNIT!D35"")"),"Muhammad Fauzi Abdullah")</f>
        <v>Muhammad Fauzi Abdullah</v>
      </c>
    </row>
    <row r="435" spans="1:12" ht="49.5" hidden="1">
      <c r="A435" s="4" t="str">
        <v>Reguler Periode ke-101 XXVIII.B.1</v>
      </c>
      <c r="B435" s="4" t="str">
        <v>Reguler Periode ke-101</v>
      </c>
      <c r="C435" s="4" t="str">
        <v>XXVIII.B.1</v>
      </c>
      <c r="D435" s="101" t="str">
        <v>https://drive.google.com/open?id=1FXY-UNoP9j2BPz7MCmhsJ1Jz7t9AOhN-j2OWoMZ-7Uk&amp;usp=drive_copy</v>
      </c>
      <c r="E435" s="101" t="str">
        <v>https://drive.google.com/open?id=1FXY-UNoP9j2BPz7MCmhsJ1Jz7t9AOhN-j2OWoMZ-7Uk</v>
      </c>
      <c r="F435" s="103" t="str">
        <f ca="1">IFERROR(__xludf.DUMMYFUNCTION("IMPORTRANGE(H435,""IDENTITAS UNIT!D9"")"),"https://goo.gl/maps/ek7BJ6F5J1JNR3dy5")</f>
        <v>https://goo.gl/maps/ek7BJ6F5J1JNR3dy5</v>
      </c>
      <c r="G435" s="4" t="s">
        <v>13008</v>
      </c>
      <c r="H435" s="101" t="str">
        <v>https://docs.google.com/spreadsheets/d/1FXY-UNoP9j2BPz7MCmhsJ1Jz7t9AOhN-j2OWoMZ-7Uk</v>
      </c>
      <c r="I435" s="101" t="str">
        <v>https://docs.google.com/open?id=1FXY-UNoP9j2BPz7MCmhsJ1Jz7t9AOhN-j2OWoMZ-7Uk</v>
      </c>
      <c r="J435" s="4" t="str">
        <v>Kenteng, Pacarejo, Semanu</v>
      </c>
      <c r="L435" s="99" t="str">
        <f ca="1">IFERROR(__xludf.DUMMYFUNCTION("IMPORTRANGE(H435,""IDENTITAS UNIT!D35"")"),"Ahmad Irfan Saputra")</f>
        <v>Ahmad Irfan Saputra</v>
      </c>
    </row>
    <row r="436" spans="1:12" ht="49.5" hidden="1">
      <c r="A436" s="4" t="str">
        <v>Reguler Periode ke-101 XXVIII.B.2</v>
      </c>
      <c r="B436" s="4" t="str">
        <v>Reguler Periode ke-101</v>
      </c>
      <c r="C436" s="4" t="str">
        <v>XXVIII.B.2</v>
      </c>
      <c r="D436" s="101" t="str">
        <v>https://drive.google.com/open?id=1HqzNGwGuqId77vArU1f5eOF-Z6oRpQuaNeof9YZidw8&amp;usp=drive_copy</v>
      </c>
      <c r="E436" s="101" t="str">
        <v>https://drive.google.com/open?id=1HqzNGwGuqId77vArU1f5eOF-Z6oRpQuaNeof9YZidw8</v>
      </c>
      <c r="F436" s="103" t="str">
        <f ca="1">IFERROR(__xludf.DUMMYFUNCTION("IMPORTRANGE(H436,""IDENTITAS UNIT!D9"")"),"https://goo.gl/maps/7QiBNU6N18zLMuDY7")</f>
        <v>https://goo.gl/maps/7QiBNU6N18zLMuDY7</v>
      </c>
      <c r="G436" s="4" t="s">
        <v>13009</v>
      </c>
      <c r="H436" s="101" t="str">
        <v>https://docs.google.com/spreadsheets/d/1HqzNGwGuqId77vArU1f5eOF-Z6oRpQuaNeof9YZidw8</v>
      </c>
      <c r="I436" s="101" t="str">
        <v>https://docs.google.com/open?id=1HqzNGwGuqId77vArU1f5eOF-Z6oRpQuaNeof9YZidw8</v>
      </c>
      <c r="J436" s="4" t="str">
        <v>Kepuh, Pacarejo, Semanu</v>
      </c>
      <c r="L436" s="99" t="str">
        <f ca="1">IFERROR(__xludf.DUMMYFUNCTION("IMPORTRANGE(H436,""IDENTITAS UNIT!D35"")"),"Ali Akbar Hamka Al Jabri")</f>
        <v>Ali Akbar Hamka Al Jabri</v>
      </c>
    </row>
    <row r="437" spans="1:12" ht="49.5" hidden="1">
      <c r="A437" s="4" t="str">
        <v>Reguler Periode ke-101 XXVIII.B.3</v>
      </c>
      <c r="B437" s="4" t="str">
        <v>Reguler Periode ke-101</v>
      </c>
      <c r="C437" s="4" t="str">
        <v>XXVIII.B.3</v>
      </c>
      <c r="D437" s="101" t="str">
        <v>https://drive.google.com/open?id=1C8nqDXbJfAiIjuDjiMu5OkA0dHOJ_GCj6_z55jqJYyk&amp;usp=drive_copy</v>
      </c>
      <c r="E437" s="101" t="str">
        <v>https://drive.google.com/open?id=1C8nqDXbJfAiIjuDjiMu5OkA0dHOJ_GCj6_z55jqJYyk</v>
      </c>
      <c r="F437" s="103" t="str">
        <f ca="1">IFERROR(__xludf.DUMMYFUNCTION("IMPORTRANGE(H437,""IDENTITAS UNIT!D9"")"),"https://goo.gl/maps/ELtCTN5wqUbV57A67")</f>
        <v>https://goo.gl/maps/ELtCTN5wqUbV57A67</v>
      </c>
      <c r="G437" s="4" t="s">
        <v>13010</v>
      </c>
      <c r="H437" s="101" t="str">
        <v>https://docs.google.com/spreadsheets/d/1C8nqDXbJfAiIjuDjiMu5OkA0dHOJ_GCj6_z55jqJYyk</v>
      </c>
      <c r="I437" s="101" t="str">
        <v>https://docs.google.com/open?id=1C8nqDXbJfAiIjuDjiMu5OkA0dHOJ_GCj6_z55jqJYyk</v>
      </c>
      <c r="J437" s="4" t="str">
        <v>Ngelak, Pacarejo, Semanu</v>
      </c>
      <c r="L437" s="99" t="str">
        <f ca="1">IFERROR(__xludf.DUMMYFUNCTION("IMPORTRANGE(H437,""IDENTITAS UNIT!D35"")"),"Ferian Okta Suprabana")</f>
        <v>Ferian Okta Suprabana</v>
      </c>
    </row>
    <row r="438" spans="1:12" ht="49.5" hidden="1">
      <c r="A438" s="4" t="str">
        <v>Reguler Periode ke-101 XXVIII.C.1</v>
      </c>
      <c r="B438" s="4" t="str">
        <v>Reguler Periode ke-101</v>
      </c>
      <c r="C438" s="4" t="str">
        <v>XXVIII.C.1</v>
      </c>
      <c r="D438" s="101" t="str">
        <v>https://drive.google.com/open?id=1Ku6IVJg6JSwAjBFTYmSAvpY8umlQSF_EevugWl3JX64&amp;usp=drive_copy</v>
      </c>
      <c r="E438" s="101" t="str">
        <v>https://drive.google.com/open?id=1Ku6IVJg6JSwAjBFTYmSAvpY8umlQSF_EevugWl3JX64</v>
      </c>
      <c r="F438" s="103" t="str">
        <f ca="1">IFERROR(__xludf.DUMMYFUNCTION("IMPORTRANGE(H438,""IDENTITAS UNIT!D9"")"),"https://goo.gl/maps/b2qr9VqyGcEuFQNz6")</f>
        <v>https://goo.gl/maps/b2qr9VqyGcEuFQNz6</v>
      </c>
      <c r="G438" s="4" t="s">
        <v>13011</v>
      </c>
      <c r="H438" s="101" t="str">
        <v>https://docs.google.com/spreadsheets/d/1Ku6IVJg6JSwAjBFTYmSAvpY8umlQSF_EevugWl3JX64</v>
      </c>
      <c r="I438" s="101" t="str">
        <v>https://docs.google.com/open?id=1Ku6IVJg6JSwAjBFTYmSAvpY8umlQSF_EevugWl3JX64</v>
      </c>
      <c r="J438" s="4" t="str">
        <v>Jelok, Pacarejo, Semanu</v>
      </c>
      <c r="L438" s="99" t="str">
        <f ca="1">IFERROR(__xludf.DUMMYFUNCTION("IMPORTRANGE(H438,""IDENTITAS UNIT!D35"")"),"Rizal Redita Putra")</f>
        <v>Rizal Redita Putra</v>
      </c>
    </row>
    <row r="439" spans="1:12" ht="49.5" hidden="1">
      <c r="A439" s="4" t="str">
        <v>Reguler Periode ke-101 XXVIII.C.2</v>
      </c>
      <c r="B439" s="4" t="str">
        <v>Reguler Periode ke-101</v>
      </c>
      <c r="C439" s="4" t="str">
        <v>XXVIII.C.2</v>
      </c>
      <c r="D439" s="101" t="str">
        <v>https://drive.google.com/open?id=1LqFLZW_eUurmtyfQLOzDSsHx14z9GnlepDz7V4O7uS8&amp;usp=drive_copy</v>
      </c>
      <c r="E439" s="101" t="str">
        <v>https://drive.google.com/open?id=1LqFLZW_eUurmtyfQLOzDSsHx14z9GnlepDz7V4O7uS8</v>
      </c>
      <c r="F439" s="103" t="str">
        <f ca="1">IFERROR(__xludf.DUMMYFUNCTION("IMPORTRANGE(H439,""IDENTITAS UNIT!D9"")"),"https://maps.app.goo.gl/hsjPANnMXJAWncSHA")</f>
        <v>https://maps.app.goo.gl/hsjPANnMXJAWncSHA</v>
      </c>
      <c r="G439" s="4" t="s">
        <v>13012</v>
      </c>
      <c r="H439" s="101" t="str">
        <v>https://docs.google.com/spreadsheets/d/1LqFLZW_eUurmtyfQLOzDSsHx14z9GnlepDz7V4O7uS8</v>
      </c>
      <c r="I439" s="101" t="str">
        <v>https://docs.google.com/open?id=1LqFLZW_eUurmtyfQLOzDSsHx14z9GnlepDz7V4O7uS8</v>
      </c>
      <c r="J439" s="4" t="str">
        <v>Jonge, Pacarejo, Semanu</v>
      </c>
      <c r="L439" s="99" t="str">
        <f ca="1">IFERROR(__xludf.DUMMYFUNCTION("IMPORTRANGE(H439,""IDENTITAS UNIT!D35"")"),"Hanif Khairul Imam")</f>
        <v>Hanif Khairul Imam</v>
      </c>
    </row>
    <row r="440" spans="1:12" ht="49.5" hidden="1">
      <c r="A440" s="4" t="str">
        <v>Reguler Periode ke-101 XXVIII.D.1</v>
      </c>
      <c r="B440" s="4" t="str">
        <v>Reguler Periode ke-101</v>
      </c>
      <c r="C440" s="4" t="str">
        <v>XXVIII.D.1</v>
      </c>
      <c r="D440" s="101" t="str">
        <v>https://drive.google.com/open?id=17Hq_5Fw1w9Vr5cydTPRPetk4gtdrKm7o5PNIqOGk8ks&amp;usp=drive_copy</v>
      </c>
      <c r="E440" s="101" t="str">
        <v>https://drive.google.com/open?id=17Hq_5Fw1w9Vr5cydTPRPetk4gtdrKm7o5PNIqOGk8ks</v>
      </c>
      <c r="F440" s="103" t="str">
        <f ca="1">IFERROR(__xludf.DUMMYFUNCTION("IMPORTRANGE(H440,""IDENTITAS UNIT!D9"")"),"https://maps.app.goo.gl/gSPCn17hpVh11Pof6")</f>
        <v>https://maps.app.goo.gl/gSPCn17hpVh11Pof6</v>
      </c>
      <c r="G440" s="4" t="s">
        <v>13013</v>
      </c>
      <c r="H440" s="101" t="str">
        <v>https://docs.google.com/spreadsheets/d/17Hq_5Fw1w9Vr5cydTPRPetk4gtdrKm7o5PNIqOGk8ks</v>
      </c>
      <c r="I440" s="101" t="str">
        <v>https://docs.google.com/open?id=17Hq_5Fw1w9Vr5cydTPRPetk4gtdrKm7o5PNIqOGk8ks</v>
      </c>
      <c r="J440" s="4" t="str">
        <v>Jetis Kulon, Pacarejo, Semanu</v>
      </c>
      <c r="L440" s="99" t="str">
        <f ca="1">IFERROR(__xludf.DUMMYFUNCTION("IMPORTRANGE(H440,""IDENTITAS UNIT!D35"")"),"Ahmad Amar Ridho")</f>
        <v>Ahmad Amar Ridho</v>
      </c>
    </row>
    <row r="441" spans="1:12" ht="49.5" hidden="1">
      <c r="A441" s="4" t="str">
        <v>Reguler Periode ke-101 XXVIII.D.2</v>
      </c>
      <c r="B441" s="4" t="str">
        <v>Reguler Periode ke-101</v>
      </c>
      <c r="C441" s="4" t="str">
        <v>XXVIII.D.2</v>
      </c>
      <c r="D441" s="101" t="str">
        <v>https://drive.google.com/open?id=1NxbUGqUHQ99sffyHI8XTxeIxOj9bdrNj1pszEIN-h4M&amp;usp=drive_copy</v>
      </c>
      <c r="E441" s="101" t="str">
        <v>https://drive.google.com/open?id=1NxbUGqUHQ99sffyHI8XTxeIxOj9bdrNj1pszEIN-h4M</v>
      </c>
      <c r="F441" s="103" t="str">
        <f ca="1">IFERROR(__xludf.DUMMYFUNCTION("IMPORTRANGE(H441,""IDENTITAS UNIT!D9"")"),"https://goo.gl/maps/nwTLyXV6CQ1m4J3R8")</f>
        <v>https://goo.gl/maps/nwTLyXV6CQ1m4J3R8</v>
      </c>
      <c r="G441" s="4" t="s">
        <v>13014</v>
      </c>
      <c r="H441" s="101" t="str">
        <v>https://docs.google.com/spreadsheets/d/1NxbUGqUHQ99sffyHI8XTxeIxOj9bdrNj1pszEIN-h4M</v>
      </c>
      <c r="I441" s="101" t="str">
        <v>https://docs.google.com/open?id=1NxbUGqUHQ99sffyHI8XTxeIxOj9bdrNj1pszEIN-h4M</v>
      </c>
      <c r="J441" s="4" t="str">
        <v>Jetis Wetan, Pacarejo, Semanu</v>
      </c>
      <c r="L441" s="99" t="str">
        <f ca="1">IFERROR(__xludf.DUMMYFUNCTION("IMPORTRANGE(H441,""IDENTITAS UNIT!D35"")"),"Anggi Setyawan")</f>
        <v>Anggi Setyawan</v>
      </c>
    </row>
    <row r="442" spans="1:12" ht="49.5" hidden="1">
      <c r="A442" s="4" t="str">
        <v>Reguler Periode ke-102 I.A.1</v>
      </c>
      <c r="B442" s="4" t="str">
        <v>Reguler Periode ke-102</v>
      </c>
      <c r="C442" s="4" t="str">
        <v>I.A.1</v>
      </c>
      <c r="D442" s="101" t="str">
        <v>https://docs.google.com/spreadsheets/d/1BjyddFfxjN8ROUiwiMYWElu0fvqK_3TBhZOMHkgSzxg/edit?usp=share_link</v>
      </c>
      <c r="E442" s="101" t="str">
        <v>https://docs.google.com/spreadsheets/d/1BjyddFfxjN8ROUiwiMYWElu0fvqK_3TBhZOMHkgSzxg/edit?usp=share_link</v>
      </c>
      <c r="F442" s="103" t="str">
        <f ca="1">IFERROR(__xludf.DUMMYFUNCTION("IMPORTRANGE(H442,""IDENTITAS UNIT!D9"")"),"https://maps.app.goo.gl/P5djKwqHKgcQA8iv6")</f>
        <v>https://maps.app.goo.gl/P5djKwqHKgcQA8iv6</v>
      </c>
      <c r="G442" s="4" t="s">
        <v>13015</v>
      </c>
      <c r="H442" s="101" t="str">
        <v>https://docs.google.com/spreadsheets/d/1BjyddFfxjN8ROUiwiMYWElu0fvqK_3TBhZOMHkgSzxg/edit?usp=share_link</v>
      </c>
      <c r="I442" s="101" t="str">
        <v>https://docs.google.com/spreadsheets/d/1BjyddFfxjN8ROUiwiMYWElu0fvqK_3TBhZOMHkgSzxg/edit?usp=share_link</v>
      </c>
      <c r="J442" s="4" t="str">
        <v>Karang Tengah I, Karang Tengah, Wonosari</v>
      </c>
      <c r="L442" s="99" t="str">
        <f ca="1">IFERROR(__xludf.DUMMYFUNCTION("IMPORTRANGE(H442,""IDENTITAS UNIT!D35"")"),"Sahlan Docar Movera")</f>
        <v>Sahlan Docar Movera</v>
      </c>
    </row>
    <row r="443" spans="1:12" ht="49.5" hidden="1">
      <c r="A443" s="4" t="str">
        <v>Reguler Periode ke-102 I.A.2</v>
      </c>
      <c r="B443" s="4" t="str">
        <v>Reguler Periode ke-102</v>
      </c>
      <c r="C443" s="4" t="str">
        <v>I.A.2</v>
      </c>
      <c r="D443" s="101" t="str">
        <v>https://drive.google.com/open?id=1BT3Cr_bOgCcUIpFKA8cfAA6l2-W-iDo-74bMGE3VfTI&amp;usp=drive_copy</v>
      </c>
      <c r="E443" s="101" t="str">
        <v>https://drive.google.com/open?id=1BT3Cr_bOgCcUIpFKA8cfAA6l2-W-iDo-74bMGE3VfTI</v>
      </c>
      <c r="F443" s="103" t="str">
        <f ca="1">IFERROR(__xludf.DUMMYFUNCTION("IMPORTRANGE(H443,""IDENTITAS UNIT!D9"")"),"https://maps.app.goo.gl/K5XYG4bcvaWyAkzJA")</f>
        <v>https://maps.app.goo.gl/K5XYG4bcvaWyAkzJA</v>
      </c>
      <c r="G443" s="4" t="s">
        <v>13016</v>
      </c>
      <c r="H443" s="101" t="str">
        <v>https://docs.google.com/spreadsheets/d/1BT3Cr_bOgCcUIpFKA8cfAA6l2-W-iDo-74bMGE3VfTI</v>
      </c>
      <c r="I443" s="101" t="str">
        <v>https://docs.google.com/open?id=1BT3Cr_bOgCcUIpFKA8cfAA6l2-W-iDo-74bMGE3VfTI</v>
      </c>
      <c r="J443" s="4" t="str">
        <v>Duwet Rejo, Karang Tengah, Wonosari</v>
      </c>
      <c r="L443" s="99" t="str">
        <f ca="1">IFERROR(__xludf.DUMMYFUNCTION("IMPORTRANGE(H443,""IDENTITAS UNIT!D35"")"),"UMAR ADHI NUGROHO")</f>
        <v>UMAR ADHI NUGROHO</v>
      </c>
    </row>
    <row r="444" spans="1:12" ht="49.5" hidden="1">
      <c r="A444" s="4" t="str">
        <v>Reguler Periode ke-102 I.A.3</v>
      </c>
      <c r="B444" s="4" t="str">
        <v>Reguler Periode ke-102</v>
      </c>
      <c r="C444" s="4" t="str">
        <v>I.A.3</v>
      </c>
      <c r="D444" s="101" t="str">
        <v>https://drive.google.com/open?id=1EKKoijwi3vW4zyUrz7QL__fUmeTC4Sr48ZlKm7whbEs&amp;usp=drive_copy</v>
      </c>
      <c r="E444" s="101" t="str">
        <v>https://drive.google.com/open?id=1EKKoijwi3vW4zyUrz7QL__fUmeTC4Sr48ZlKm7whbEs</v>
      </c>
      <c r="F444" s="103" t="str">
        <f ca="1">IFERROR(__xludf.DUMMYFUNCTION("IMPORTRANGE(H444,""IDENTITAS UNIT!D9"")"),"https://maps.app.goo.gl/fMMkYVyWH1nvbGSM9")</f>
        <v>https://maps.app.goo.gl/fMMkYVyWH1nvbGSM9</v>
      </c>
      <c r="H444" s="101" t="str">
        <v>https://docs.google.com/spreadsheets/d/1EKKoijwi3vW4zyUrz7QL__fUmeTC4Sr48ZlKm7whbEs</v>
      </c>
      <c r="I444" s="101" t="str">
        <v>https://docs.google.com/open?id=1EKKoijwi3vW4zyUrz7QL__fUmeTC4Sr48ZlKm7whbEs</v>
      </c>
      <c r="J444" s="4" t="str">
        <v>Kedung II, Karang Tengah, Wonosari</v>
      </c>
      <c r="L444" s="99" t="str">
        <f ca="1">IFERROR(__xludf.DUMMYFUNCTION("IMPORTRANGE(H444,""IDENTITAS UNIT!D35"")"),"Dendey Tero Seliger")</f>
        <v>Dendey Tero Seliger</v>
      </c>
    </row>
    <row r="445" spans="1:12" ht="49.5" hidden="1">
      <c r="A445" s="4" t="str">
        <v>Reguler Periode ke-102 I.B.1</v>
      </c>
      <c r="B445" s="4" t="str">
        <v>Reguler Periode ke-102</v>
      </c>
      <c r="C445" s="4" t="str">
        <v>I.B.1</v>
      </c>
      <c r="D445" s="101" t="str">
        <v>https://drive.google.com/open?id=1NBY0ZrUrZ0MdRN3p9Q17R9pb47g5c1fISG7knOlCmEE&amp;usp=drive_copy</v>
      </c>
      <c r="E445" s="101" t="str">
        <v>https://drive.google.com/open?id=1NBY0ZrUrZ0MdRN3p9Q17R9pb47g5c1fISG7knOlCmEE</v>
      </c>
      <c r="F445" s="103" t="str">
        <f ca="1">IFERROR(__xludf.DUMMYFUNCTION("IMPORTRANGE(H445,""IDENTITAS UNIT!D9"")"),"https://maps.app.goo.gl/sYYSJ4m1dn6oq4EC9")</f>
        <v>https://maps.app.goo.gl/sYYSJ4m1dn6oq4EC9</v>
      </c>
      <c r="G445" s="4" t="s">
        <v>13017</v>
      </c>
      <c r="H445" s="101" t="str">
        <v>https://docs.google.com/spreadsheets/d/1NBY0ZrUrZ0MdRN3p9Q17R9pb47g5c1fISG7knOlCmEE</v>
      </c>
      <c r="I445" s="101" t="str">
        <v>https://docs.google.com/open?id=1NBY0ZrUrZ0MdRN3p9Q17R9pb47g5c1fISG7knOlCmEE</v>
      </c>
      <c r="J445" s="4" t="str">
        <v>Wukirsari, Baleharjo, Wonosari</v>
      </c>
      <c r="L445" s="99" t="str">
        <f ca="1">IFERROR(__xludf.DUMMYFUNCTION("IMPORTRANGE(H445,""IDENTITAS UNIT!D35"")"),"Hasan Syakirun Ni'am")</f>
        <v>Hasan Syakirun Ni'am</v>
      </c>
    </row>
    <row r="446" spans="1:12" ht="16.5" hidden="1">
      <c r="A446" s="4" t="str">
        <v>Reguler Periode ke-102 I.B.2</v>
      </c>
      <c r="B446" s="4" t="str">
        <v>Reguler Periode ke-102</v>
      </c>
      <c r="C446" s="4" t="str">
        <v>I.B.2</v>
      </c>
      <c r="D446" s="101" t="str">
        <v>https://drive.google.com/open?id=1hQI2FxHX0goMdg176Rs4Cpm0kQynLiAuwnCuwoGSY9s&amp;usp=drive_copy</v>
      </c>
      <c r="E446" s="101" t="str">
        <v>https://drive.google.com/open?id=1hQI2FxHX0goMdg176Rs4Cpm0kQynLiAuwnCuwoGSY9s</v>
      </c>
      <c r="F446" s="102" t="str">
        <f ca="1">IFERROR(__xludf.DUMMYFUNCTION("IMPORTRANGE(H446,""IDENTITAS UNIT!D9"")"),"")</f>
        <v/>
      </c>
      <c r="H446" s="101" t="str">
        <v>https://docs.google.com/spreadsheets/d/1hQI2FxHX0goMdg176Rs4Cpm0kQynLiAuwnCuwoGSY9s</v>
      </c>
      <c r="I446" s="101" t="str">
        <v>https://docs.google.com/open?id=1hQI2FxHX0goMdg176Rs4Cpm0kQynLiAuwnCuwoGSY9s</v>
      </c>
      <c r="J446" s="4" t="str">
        <v>Purwosari, Baleharjo, Wonosari</v>
      </c>
      <c r="L446" s="99" t="str">
        <f ca="1">IFERROR(__xludf.DUMMYFUNCTION("IMPORTRANGE(H446,""IDENTITAS UNIT!D35"")"),"Abdul Rahman Malueka")</f>
        <v>Abdul Rahman Malueka</v>
      </c>
    </row>
    <row r="447" spans="1:12" ht="49.5" hidden="1">
      <c r="A447" s="4" t="str">
        <v>Reguler Periode ke-102 I.B.3</v>
      </c>
      <c r="B447" s="4" t="str">
        <v>Reguler Periode ke-102</v>
      </c>
      <c r="C447" s="4" t="str">
        <v>I.B.3</v>
      </c>
      <c r="D447" s="101" t="str">
        <v>https://drive.google.com/open?id=1lgnXlgMkjjvSwG3rWgPLOQf-vw9nTsUWYbLbN0aE23Y&amp;usp=drive_copy</v>
      </c>
      <c r="E447" s="101" t="str">
        <v>https://drive.google.com/open?id=1lgnXlgMkjjvSwG3rWgPLOQf-vw9nTsUWYbLbN0aE23Y</v>
      </c>
      <c r="F447" s="103" t="str">
        <f ca="1">IFERROR(__xludf.DUMMYFUNCTION("IMPORTRANGE(H447,""IDENTITAS UNIT!D9"")"),"https://maps.app.goo.gl/7mwRYdwy4Cw95p7q8?g_st=ic")</f>
        <v>https://maps.app.goo.gl/7mwRYdwy4Cw95p7q8?g_st=ic</v>
      </c>
      <c r="H447" s="101" t="str">
        <v>https://docs.google.com/spreadsheets/d/1lgnXlgMkjjvSwG3rWgPLOQf-vw9nTsUWYbLbN0aE23Y</v>
      </c>
      <c r="I447" s="101" t="str">
        <v>https://docs.google.com/open?id=1lgnXlgMkjjvSwG3rWgPLOQf-vw9nTsUWYbLbN0aE23Y</v>
      </c>
      <c r="J447" s="4" t="str">
        <v>Gedangsari, Baleharjo, Wonosari</v>
      </c>
      <c r="L447" s="99" t="str">
        <f ca="1">IFERROR(__xludf.DUMMYFUNCTION("IMPORTRANGE(H447,""IDENTITAS UNIT!D35"")"),"Irfan Nursalim")</f>
        <v>Irfan Nursalim</v>
      </c>
    </row>
    <row r="448" spans="1:12" ht="49.5" hidden="1">
      <c r="A448" s="4" t="str">
        <v>Reguler Periode ke-102 I.C.1</v>
      </c>
      <c r="B448" s="4" t="str">
        <v>Reguler Periode ke-102</v>
      </c>
      <c r="C448" s="4" t="str">
        <v>I.C.1</v>
      </c>
      <c r="D448" s="101" t="str">
        <v>https://drive.google.com/open?id=1vbIpNLIrtsRBXqGoKiTY2MwTpkrvJpMfY-4jcOc-87Q&amp;usp=drive_copy</v>
      </c>
      <c r="E448" s="101" t="str">
        <v>https://drive.google.com/open?id=1vbIpNLIrtsRBXqGoKiTY2MwTpkrvJpMfY-4jcOc-87Q</v>
      </c>
      <c r="F448" s="103" t="str">
        <f ca="1">IFERROR(__xludf.DUMMYFUNCTION("IMPORTRANGE(H448,""IDENTITAS UNIT!D9"")"),"https://maps.app.goo.gl/fhFGCjCkW6XjW7RHA")</f>
        <v>https://maps.app.goo.gl/fhFGCjCkW6XjW7RHA</v>
      </c>
      <c r="G448" s="4" t="s">
        <v>13018</v>
      </c>
      <c r="H448" s="101" t="str">
        <v>https://docs.google.com/spreadsheets/d/1vbIpNLIrtsRBXqGoKiTY2MwTpkrvJpMfY-4jcOc-87Q</v>
      </c>
      <c r="I448" s="101" t="str">
        <v>https://docs.google.com/open?id=1vbIpNLIrtsRBXqGoKiTY2MwTpkrvJpMfY-4jcOc-87Q</v>
      </c>
      <c r="J448" s="4" t="str">
        <v>Singkar I, Wareng, Wonosari</v>
      </c>
      <c r="L448" s="99" t="str">
        <f ca="1">IFERROR(__xludf.DUMMYFUNCTION("IMPORTRANGE(H448,""IDENTITAS UNIT!D35"")"),"Lalu Khaidir Azwadi Manik")</f>
        <v>Lalu Khaidir Azwadi Manik</v>
      </c>
    </row>
    <row r="449" spans="1:12" ht="16.5" hidden="1">
      <c r="A449" s="4" t="str">
        <v>Reguler Periode ke-102 I.C.2</v>
      </c>
      <c r="B449" s="4" t="str">
        <v>Reguler Periode ke-102</v>
      </c>
      <c r="C449" s="4" t="str">
        <v>I.C.2</v>
      </c>
      <c r="D449" s="101" t="str">
        <v>https://drive.google.com/open?id=1yBs1KJvR8yku7URbo6W8Er7IUlsdgx9l5z5Z2FxLw_g&amp;usp=drive_copy</v>
      </c>
      <c r="E449" s="101" t="str">
        <v>https://drive.google.com/open?id=1yBs1KJvR8yku7URbo6W8Er7IUlsdgx9l5z5Z2FxLw_g</v>
      </c>
      <c r="F449" s="102" t="str">
        <f ca="1">IFERROR(__xludf.DUMMYFUNCTION("IMPORTRANGE(H449,""IDENTITAS UNIT!D9"")"),"")</f>
        <v/>
      </c>
      <c r="H449" s="101" t="str">
        <v>https://docs.google.com/spreadsheets/d/1yBs1KJvR8yku7URbo6W8Er7IUlsdgx9l5z5Z2FxLw_g</v>
      </c>
      <c r="I449" s="101" t="str">
        <v>https://docs.google.com/open?id=1yBs1KJvR8yku7URbo6W8Er7IUlsdgx9l5z5Z2FxLw_g</v>
      </c>
      <c r="J449" s="4" t="str">
        <v>Wareng I, Wareng, Wonosari</v>
      </c>
      <c r="L449" s="99" t="str">
        <f ca="1">IFERROR(__xludf.DUMMYFUNCTION("IMPORTRANGE(H449,""IDENTITAS UNIT!D35"")"),"Muhammad Said Ridho")</f>
        <v>Muhammad Said Ridho</v>
      </c>
    </row>
    <row r="450" spans="1:12" ht="16.5" hidden="1">
      <c r="A450" s="4" t="str">
        <v>Reguler Periode ke-102 I.C.3</v>
      </c>
      <c r="B450" s="4" t="str">
        <v>Reguler Periode ke-102</v>
      </c>
      <c r="C450" s="4" t="str">
        <v>I.C.3</v>
      </c>
      <c r="D450" s="101" t="str">
        <v>https://drive.google.com/open?id=1yhh5SIiKlDKerXM1zWFx3u6bfsWibIKjK8yjZy5wBwI&amp;usp=drive_copy</v>
      </c>
      <c r="E450" s="101" t="str">
        <v>https://drive.google.com/open?id=1yhh5SIiKlDKerXM1zWFx3u6bfsWibIKjK8yjZy5wBwI</v>
      </c>
      <c r="F450" s="102" t="str">
        <f ca="1">IFERROR(__xludf.DUMMYFUNCTION("IMPORTRANGE(H450,""IDENTITAS UNIT!D9"")"),"")</f>
        <v/>
      </c>
      <c r="H450" s="101" t="str">
        <v>https://docs.google.com/spreadsheets/d/1yhh5SIiKlDKerXM1zWFx3u6bfsWibIKjK8yjZy5wBwI</v>
      </c>
      <c r="I450" s="101" t="str">
        <v>https://docs.google.com/open?id=1yhh5SIiKlDKerXM1zWFx3u6bfsWibIKjK8yjZy5wBwI</v>
      </c>
      <c r="J450" s="4" t="str">
        <v>Wareng III, Wareng, Wonosari</v>
      </c>
      <c r="L450" s="99" t="str">
        <f ca="1">IFERROR(__xludf.DUMMYFUNCTION("IMPORTRANGE(H450,""IDENTITAS UNIT!D35"")"),"Muhammad Saddam Firmansyah")</f>
        <v>Muhammad Saddam Firmansyah</v>
      </c>
    </row>
    <row r="451" spans="1:12" ht="49.5" hidden="1">
      <c r="A451" s="4" t="str">
        <v>Reguler Periode ke-103 I.A.1</v>
      </c>
      <c r="B451" s="4" t="str">
        <v>Reguler Periode ke-103</v>
      </c>
      <c r="C451" s="4" t="str">
        <v>I.A.1</v>
      </c>
      <c r="D451" s="101" t="str">
        <v>https://drive.google.com/open?id=1hdCeSha3PO3CZXUT5xSz1jdSDWQ3dPF5K74W5fUu0tA&amp;usp=drive_copy</v>
      </c>
      <c r="E451" s="101" t="str">
        <v>https://drive.google.com/open?id=1hdCeSha3PO3CZXUT5xSz1jdSDWQ3dPF5K74W5fUu0tA</v>
      </c>
      <c r="F451" s="103" t="str">
        <f ca="1">IFERROR(__xludf.DUMMYFUNCTION("IMPORTRANGE(H451,""IDENTITAS UNIT!D9"")"),"https://maps.app.goo.gl/VzYNxEBiGPNb368M6")</f>
        <v>https://maps.app.goo.gl/VzYNxEBiGPNb368M6</v>
      </c>
      <c r="G451" s="4" t="s">
        <v>13019</v>
      </c>
      <c r="H451" s="101" t="str">
        <v>https://docs.google.com/spreadsheets/d/1hdCeSha3PO3CZXUT5xSz1jdSDWQ3dPF5K74W5fUu0tA</v>
      </c>
      <c r="I451" s="101" t="str">
        <v>https://docs.google.com/open?id=1hdCeSha3PO3CZXUT5xSz1jdSDWQ3dPF5K74W5fUu0tA</v>
      </c>
      <c r="J451" s="4" t="str">
        <v>Tengklik, Tegalrejo, Gedangsari</v>
      </c>
      <c r="L451" s="99" t="str">
        <f ca="1">IFERROR(__xludf.DUMMYFUNCTION("IMPORTRANGE(H451,""IDENTITAS UNIT!D35"")"),"Jalu Yudha Anggoro")</f>
        <v>Jalu Yudha Anggoro</v>
      </c>
    </row>
    <row r="452" spans="1:12" ht="49.5" hidden="1">
      <c r="A452" s="4" t="str">
        <v>Reguler Periode ke-103 I.A.2</v>
      </c>
      <c r="B452" s="4" t="str">
        <v>Reguler Periode ke-103</v>
      </c>
      <c r="C452" s="4" t="str">
        <v>I.A.2</v>
      </c>
      <c r="D452" s="101" t="str">
        <v>https://drive.google.com/open?id=10G9V0VEZprBs9Zf5LMvm7Gxcax3NI9VT_i5PbXq34wU&amp;usp=drive_copy</v>
      </c>
      <c r="E452" s="101" t="str">
        <v>https://drive.google.com/open?id=10G9V0VEZprBs9Zf5LMvm7Gxcax3NI9VT_i5PbXq34wU</v>
      </c>
      <c r="F452" s="103" t="str">
        <f ca="1">IFERROR(__xludf.DUMMYFUNCTION("IMPORTRANGE(H452,""IDENTITAS UNIT!D9"")"),"https://goo.gl/maps/7CVrcDnQhKYt9a6m8")</f>
        <v>https://goo.gl/maps/7CVrcDnQhKYt9a6m8</v>
      </c>
      <c r="G452" s="4" t="s">
        <v>13020</v>
      </c>
      <c r="H452" s="101" t="str">
        <v>https://docs.google.com/spreadsheets/d/10G9V0VEZprBs9Zf5LMvm7Gxcax3NI9VT_i5PbXq34wU</v>
      </c>
      <c r="I452" s="101" t="str">
        <v>https://docs.google.com/open?id=10G9V0VEZprBs9Zf5LMvm7Gxcax3NI9VT_i5PbXq34wU</v>
      </c>
      <c r="J452" s="4" t="str">
        <v>Candi, Tegalrejo, Gedangsari</v>
      </c>
      <c r="L452" s="99" t="str">
        <f ca="1">IFERROR(__xludf.DUMMYFUNCTION("IMPORTRANGE(H452,""IDENTITAS UNIT!D35"")"),"ZULFANURRAHMAN NUGRAHARDI")</f>
        <v>ZULFANURRAHMAN NUGRAHARDI</v>
      </c>
    </row>
    <row r="453" spans="1:12" ht="115.5" hidden="1">
      <c r="A453" s="4" t="str">
        <v>Reguler Periode ke-103 I.A.3</v>
      </c>
      <c r="B453" s="4" t="str">
        <v>Reguler Periode ke-103</v>
      </c>
      <c r="C453" s="4" t="str">
        <v>I.A.3</v>
      </c>
      <c r="D453" s="101" t="str">
        <v>https://drive.google.com/open?id=18wpsudP0sN6jREFfFPZ0UvvA4jm37aLeSzFUM9KcRMo&amp;usp=drive_copy</v>
      </c>
      <c r="E453" s="101" t="str">
        <v>https://drive.google.com/open?id=18wpsudP0sN6jREFfFPZ0UvvA4jm37aLeSzFUM9KcRMo</v>
      </c>
      <c r="F453" s="102" t="str">
        <f ca="1">IFERROR(__xludf.DUMMYFUNCTION("IMPORTRANGE(H453,""IDENTITAS UNIT!D9"")"),"Prengguk, Tegalrejo, Kec. Gedang Sari, Kabupaten Gunung Kidul, Daerah Istimewa Yogyakarta 55863")</f>
        <v>Prengguk, Tegalrejo, Kec. Gedang Sari, Kabupaten Gunung Kidul, Daerah Istimewa Yogyakarta 55863</v>
      </c>
      <c r="H453" s="101" t="str">
        <v>https://docs.google.com/spreadsheets/d/18wpsudP0sN6jREFfFPZ0UvvA4jm37aLeSzFUM9KcRMo</v>
      </c>
      <c r="I453" s="101" t="str">
        <v>https://docs.google.com/open?id=18wpsudP0sN6jREFfFPZ0UvvA4jm37aLeSzFUM9KcRMo</v>
      </c>
      <c r="J453" s="4" t="str">
        <v>Prengguk, Tegalrejo, Gedangsari</v>
      </c>
      <c r="L453" s="99" t="str">
        <f ca="1">IFERROR(__xludf.DUMMYFUNCTION("IMPORTRANGE(H453,""IDENTITAS UNIT!D35"")"),"RAIHAN AZHAR IBRAHIM")</f>
        <v>RAIHAN AZHAR IBRAHIM</v>
      </c>
    </row>
    <row r="454" spans="1:12" ht="49.5" hidden="1">
      <c r="A454" s="4" t="str">
        <v>Reguler Periode ke-103 I.B.1</v>
      </c>
      <c r="B454" s="4" t="str">
        <v>Reguler Periode ke-103</v>
      </c>
      <c r="C454" s="4" t="str">
        <v>I.B.1</v>
      </c>
      <c r="D454" s="101" t="str">
        <v>https://drive.google.com/open?id=19vVI5odV63jHeaePT5HXI1chuVaH2t1gY7FP0jymLw4&amp;usp=drive_copy</v>
      </c>
      <c r="E454" s="101" t="str">
        <v>https://drive.google.com/open?id=19vVI5odV63jHeaePT5HXI1chuVaH2t1gY7FP0jymLw4</v>
      </c>
      <c r="F454" s="103" t="str">
        <f ca="1">IFERROR(__xludf.DUMMYFUNCTION("IMPORTRANGE(H454,""IDENTITAS UNIT!D9"")"),"https://maps.app.goo.gl/1qACc6ysKKrTj5gKA")</f>
        <v>https://maps.app.goo.gl/1qACc6ysKKrTj5gKA</v>
      </c>
      <c r="G454" s="4" t="s">
        <v>13021</v>
      </c>
      <c r="H454" s="101" t="str">
        <v>https://docs.google.com/spreadsheets/d/19vVI5odV63jHeaePT5HXI1chuVaH2t1gY7FP0jymLw4</v>
      </c>
      <c r="I454" s="101" t="str">
        <v>https://docs.google.com/open?id=19vVI5odV63jHeaePT5HXI1chuVaH2t1gY7FP0jymLw4</v>
      </c>
      <c r="J454" s="4" t="str">
        <v>Tegalrejo, Tegalrejo, Gedangsari</v>
      </c>
      <c r="L454" s="99" t="str">
        <f ca="1">IFERROR(__xludf.DUMMYFUNCTION("IMPORTRANGE(H454,""IDENTITAS UNIT!D35"")"),"Adam Bachtiar Damarjati Santoso")</f>
        <v>Adam Bachtiar Damarjati Santoso</v>
      </c>
    </row>
    <row r="455" spans="1:12" ht="49.5" hidden="1">
      <c r="A455" s="4" t="str">
        <v>Reguler Periode ke-103 I.B.2</v>
      </c>
      <c r="B455" s="4" t="str">
        <v>Reguler Periode ke-103</v>
      </c>
      <c r="C455" s="4" t="str">
        <v>I.B.2</v>
      </c>
      <c r="D455" s="101" t="str">
        <v>https://drive.google.com/open?id=1P-SnFiPbUmTrneBVUziQqOrKU8u-uvlp-9-M5KtblnY&amp;usp=drive_copy</v>
      </c>
      <c r="E455" s="101" t="str">
        <v>https://drive.google.com/open?id=1P-SnFiPbUmTrneBVUziQqOrKU8u-uvlp-9-M5KtblnY</v>
      </c>
      <c r="F455" s="103" t="str">
        <f ca="1">IFERROR(__xludf.DUMMYFUNCTION("IMPORTRANGE(H455,""IDENTITAS UNIT!D9"")"),"https://goo.gl/maps/T9XwxYeRbzfFyims9")</f>
        <v>https://goo.gl/maps/T9XwxYeRbzfFyims9</v>
      </c>
      <c r="G455" s="4" t="s">
        <v>13022</v>
      </c>
      <c r="H455" s="101" t="str">
        <v>https://docs.google.com/spreadsheets/d/1P-SnFiPbUmTrneBVUziQqOrKU8u-uvlp-9-M5KtblnY</v>
      </c>
      <c r="I455" s="101" t="str">
        <v>https://docs.google.com/open?id=1P-SnFiPbUmTrneBVUziQqOrKU8u-uvlp-9-M5KtblnY</v>
      </c>
      <c r="J455" s="4" t="str">
        <v>Tanjung, Tegalrejo, Gedangsari</v>
      </c>
      <c r="L455" s="99" t="str">
        <f ca="1">IFERROR(__xludf.DUMMYFUNCTION("IMPORTRANGE(H455,""IDENTITAS UNIT!D35"")"),"Muhammad Annas Budiarto")</f>
        <v>Muhammad Annas Budiarto</v>
      </c>
    </row>
    <row r="456" spans="1:12" ht="49.5" hidden="1">
      <c r="A456" s="4" t="str">
        <v>Reguler Periode ke-103 I.B.3</v>
      </c>
      <c r="B456" s="4" t="str">
        <v>Reguler Periode ke-103</v>
      </c>
      <c r="C456" s="4" t="str">
        <v>I.B.3</v>
      </c>
      <c r="D456" s="101" t="str">
        <v>https://drive.google.com/open?id=1P_Uq8atya55FYnsbDHIdfixgL_JvDhgnKD9mHAzvdNE&amp;usp=drive_copy</v>
      </c>
      <c r="E456" s="101" t="str">
        <v>https://drive.google.com/open?id=1P_Uq8atya55FYnsbDHIdfixgL_JvDhgnKD9mHAzvdNE</v>
      </c>
      <c r="F456" s="103" t="str">
        <f ca="1">IFERROR(__xludf.DUMMYFUNCTION("IMPORTRANGE(H456,""IDENTITAS UNIT!D9"")"),"https://maps.app.goo.gl/yRBrA4BULpDA99RD6")</f>
        <v>https://maps.app.goo.gl/yRBrA4BULpDA99RD6</v>
      </c>
      <c r="G456" s="4" t="s">
        <v>13023</v>
      </c>
      <c r="H456" s="101" t="str">
        <v>https://docs.google.com/spreadsheets/d/1P_Uq8atya55FYnsbDHIdfixgL_JvDhgnKD9mHAzvdNE</v>
      </c>
      <c r="I456" s="101" t="str">
        <v>https://docs.google.com/open?id=1P_Uq8atya55FYnsbDHIdfixgL_JvDhgnKD9mHAzvdNE</v>
      </c>
      <c r="J456" s="4" t="str">
        <v>Trembono, Tegalrejo, Gedangsari</v>
      </c>
      <c r="L456" s="99" t="str">
        <f ca="1">IFERROR(__xludf.DUMMYFUNCTION("IMPORTRANGE(H456,""IDENTITAS UNIT!D35"")"),"Indo Ahya Maulana")</f>
        <v>Indo Ahya Maulana</v>
      </c>
    </row>
    <row r="457" spans="1:12" ht="49.5" hidden="1">
      <c r="A457" s="4" t="str">
        <v>Reguler Periode ke-103 I.C.1</v>
      </c>
      <c r="B457" s="4" t="str">
        <v>Reguler Periode ke-103</v>
      </c>
      <c r="C457" s="4" t="str">
        <v>I.C.1</v>
      </c>
      <c r="D457" s="101" t="str">
        <v>https://drive.google.com/open?id=1Quri5opIk3oNuE0qMxg-enBuT2fPJBEJoQHZThQaVGQ&amp;usp=drive_copy</v>
      </c>
      <c r="E457" s="101" t="str">
        <v>https://drive.google.com/open?id=1Quri5opIk3oNuE0qMxg-enBuT2fPJBEJoQHZThQaVGQ</v>
      </c>
      <c r="F457" s="103" t="str">
        <f ca="1">IFERROR(__xludf.DUMMYFUNCTION("IMPORTRANGE(H457,""IDENTITAS UNIT!D9"")"),"https://goo.gl/maps/tUrhVAFdydiwTNrw5")</f>
        <v>https://goo.gl/maps/tUrhVAFdydiwTNrw5</v>
      </c>
      <c r="G457" s="4" t="s">
        <v>13024</v>
      </c>
      <c r="H457" s="101" t="str">
        <v>https://docs.google.com/spreadsheets/d/1Quri5opIk3oNuE0qMxg-enBuT2fPJBEJoQHZThQaVGQ</v>
      </c>
      <c r="I457" s="101" t="str">
        <v>https://docs.google.com/open?id=1Quri5opIk3oNuE0qMxg-enBuT2fPJBEJoQHZThQaVGQ</v>
      </c>
      <c r="J457" s="4" t="str">
        <v>Gupit, Tegalrejo, Gedangsari</v>
      </c>
      <c r="L457" s="99" t="str">
        <f ca="1">IFERROR(__xludf.DUMMYFUNCTION("IMPORTRANGE(H457,""IDENTITAS UNIT!D35"")"),"Muhammad Khairul Shafardi")</f>
        <v>Muhammad Khairul Shafardi</v>
      </c>
    </row>
    <row r="458" spans="1:12" ht="49.5" hidden="1">
      <c r="A458" s="4" t="str">
        <v>Reguler Periode ke-103 I.C.2</v>
      </c>
      <c r="B458" s="4" t="str">
        <v>Reguler Periode ke-103</v>
      </c>
      <c r="C458" s="4" t="str">
        <v>I.C.2</v>
      </c>
      <c r="D458" s="101" t="str">
        <v>https://drive.google.com/open?id=1ZxFfWGdhDcRY8GbsOm_dVlKVChEi0cduqg1zesDWfpY&amp;usp=drive_copy</v>
      </c>
      <c r="E458" s="101" t="str">
        <v>https://drive.google.com/open?id=1ZxFfWGdhDcRY8GbsOm_dVlKVChEi0cduqg1zesDWfpY</v>
      </c>
      <c r="F458" s="103" t="str">
        <f ca="1">IFERROR(__xludf.DUMMYFUNCTION("IMPORTRANGE(H458,""IDENTITAS UNIT!D9"")"),"https://maps.app.goo.gl/FtSycnVnrYuuUZmh8")</f>
        <v>https://maps.app.goo.gl/FtSycnVnrYuuUZmh8</v>
      </c>
      <c r="H458" s="101" t="str">
        <v>https://docs.google.com/spreadsheets/d/1ZxFfWGdhDcRY8GbsOm_dVlKVChEi0cduqg1zesDWfpY</v>
      </c>
      <c r="I458" s="101" t="str">
        <v>https://docs.google.com/open?id=1ZxFfWGdhDcRY8GbsOm_dVlKVChEi0cduqg1zesDWfpY</v>
      </c>
      <c r="J458" s="4" t="str">
        <v>Ketelo, Tegalrejo, Gedangsari</v>
      </c>
      <c r="L458" s="99" t="str">
        <f ca="1">IFERROR(__xludf.DUMMYFUNCTION("IMPORTRANGE(H458,""IDENTITAS UNIT!D35"")"),"Eko Suwanto")</f>
        <v>Eko Suwanto</v>
      </c>
    </row>
    <row r="459" spans="1:12" ht="49.5" hidden="1">
      <c r="A459" s="4" t="str">
        <v>Reguler Periode ke-103 I.C.3</v>
      </c>
      <c r="B459" s="4" t="str">
        <v>Reguler Periode ke-103</v>
      </c>
      <c r="C459" s="4" t="str">
        <v>I.C.3</v>
      </c>
      <c r="D459" s="101" t="str">
        <v>https://drive.google.com/open?id=1aD6_JGEkVhdmoMpdF2lFkFtTC-iSiRta5fudcOvvcc4&amp;usp=drive_copy</v>
      </c>
      <c r="E459" s="101" t="str">
        <v>https://drive.google.com/open?id=1aD6_JGEkVhdmoMpdF2lFkFtTC-iSiRta5fudcOvvcc4</v>
      </c>
      <c r="F459" s="103" t="str">
        <f ca="1">IFERROR(__xludf.DUMMYFUNCTION("IMPORTRANGE(H459,""IDENTITAS UNIT!D9"")"),"https://goo.gl/maps/hfm94KnNvEP3fqBE8")</f>
        <v>https://goo.gl/maps/hfm94KnNvEP3fqBE8</v>
      </c>
      <c r="H459" s="101" t="str">
        <v>https://docs.google.com/spreadsheets/d/1aD6_JGEkVhdmoMpdF2lFkFtTC-iSiRta5fudcOvvcc4</v>
      </c>
      <c r="I459" s="101" t="str">
        <v>https://docs.google.com/open?id=1aD6_JGEkVhdmoMpdF2lFkFtTC-iSiRta5fudcOvvcc4</v>
      </c>
      <c r="J459" s="4" t="str">
        <v>Cremo, Tegalrejo, Gedangsari</v>
      </c>
      <c r="L459" s="99" t="str">
        <f ca="1">IFERROR(__xludf.DUMMYFUNCTION("IMPORTRANGE(H459,""IDENTITAS UNIT!D35"")"),"Abdurrohim")</f>
        <v>Abdurrohim</v>
      </c>
    </row>
    <row r="460" spans="1:12" ht="49.5" hidden="1">
      <c r="A460" s="4" t="str">
        <v>Reguler Periode ke-103 I.D.1</v>
      </c>
      <c r="B460" s="4" t="str">
        <v>Reguler Periode ke-103</v>
      </c>
      <c r="C460" s="4" t="str">
        <v>I.D.1</v>
      </c>
      <c r="D460" s="101" t="str">
        <v>https://drive.google.com/open?id=1hOkzqveopZKmXwhuw5dIbaF0tXxatRAlQ7MbuFCOcf8&amp;usp=drive_copy</v>
      </c>
      <c r="E460" s="101" t="str">
        <v>https://drive.google.com/open?id=1hOkzqveopZKmXwhuw5dIbaF0tXxatRAlQ7MbuFCOcf8</v>
      </c>
      <c r="F460" s="103" t="str">
        <f ca="1">IFERROR(__xludf.DUMMYFUNCTION("IMPORTRANGE(H460,""IDENTITAS UNIT!D9"")"),"https://goo.gl/maps/8U8uoddsZLMDmvaMA")</f>
        <v>https://goo.gl/maps/8U8uoddsZLMDmvaMA</v>
      </c>
      <c r="G460" s="4" t="s">
        <v>13025</v>
      </c>
      <c r="H460" s="101" t="str">
        <v>https://docs.google.com/spreadsheets/d/1hOkzqveopZKmXwhuw5dIbaF0tXxatRAlQ7MbuFCOcf8</v>
      </c>
      <c r="I460" s="101" t="str">
        <v>https://docs.google.com/open?id=1hOkzqveopZKmXwhuw5dIbaF0tXxatRAlQ7MbuFCOcf8</v>
      </c>
      <c r="J460" s="4" t="str">
        <v>Ngipik, Tegalrejo, Gedangsari</v>
      </c>
      <c r="L460" s="99" t="str">
        <f ca="1">IFERROR(__xludf.DUMMYFUNCTION("IMPORTRANGE(H460,""IDENTITAS UNIT!D35"")"),"Wahyu Grajang")</f>
        <v>Wahyu Grajang</v>
      </c>
    </row>
    <row r="461" spans="1:12" ht="49.5" hidden="1">
      <c r="A461" s="4" t="str">
        <v>Reguler Periode ke-103 I.D.2</v>
      </c>
      <c r="B461" s="4" t="str">
        <v>Reguler Periode ke-103</v>
      </c>
      <c r="C461" s="4" t="str">
        <v>I.D.2</v>
      </c>
      <c r="D461" s="101" t="str">
        <v>https://drive.google.com/open?id=1pAkRuvbyP7S49qfQYEnl6qBu_nFSTfzQ_s18PxCYCkI&amp;usp=drive_copy</v>
      </c>
      <c r="E461" s="101" t="str">
        <v>https://drive.google.com/open?id=1pAkRuvbyP7S49qfQYEnl6qBu_nFSTfzQ_s18PxCYCkI</v>
      </c>
      <c r="F461" s="103" t="str">
        <f ca="1">IFERROR(__xludf.DUMMYFUNCTION("IMPORTRANGE(H461,""IDENTITAS UNIT!D9"")"),"https://maps.app.goo.gl/dPFrTX5U9wuFrUGn8")</f>
        <v>https://maps.app.goo.gl/dPFrTX5U9wuFrUGn8</v>
      </c>
      <c r="H461" s="101" t="str">
        <v>https://docs.google.com/spreadsheets/d/1pAkRuvbyP7S49qfQYEnl6qBu_nFSTfzQ_s18PxCYCkI</v>
      </c>
      <c r="I461" s="101" t="str">
        <v>https://docs.google.com/open?id=1pAkRuvbyP7S49qfQYEnl6qBu_nFSTfzQ_s18PxCYCkI</v>
      </c>
      <c r="J461" s="4" t="str">
        <v>Hargosari, Tegalrejo, Gedangsari</v>
      </c>
      <c r="L461" s="99" t="str">
        <f ca="1">IFERROR(__xludf.DUMMYFUNCTION("IMPORTRANGE(H461,""IDENTITAS UNIT!D35"")"),"Reno Setiaji")</f>
        <v>Reno Setiaji</v>
      </c>
    </row>
    <row r="462" spans="1:12" ht="49.5" hidden="1">
      <c r="A462" s="4" t="str">
        <v>Reguler Periode ke-104 I.A.1</v>
      </c>
      <c r="B462" s="4" t="str">
        <v>Reguler Periode ke-104</v>
      </c>
      <c r="C462" s="4" t="str">
        <v>I.A.1</v>
      </c>
      <c r="D462" s="101" t="str">
        <v>https://drive.google.com/open?id=1AmKlJCKlDYJv3JiCFuqGgTQzhBtrQMnBYY964lmsTYw&amp;usp=drive_copy</v>
      </c>
      <c r="E462" s="101" t="str">
        <v>https://drive.google.com/open?id=1AmKlJCKlDYJv3JiCFuqGgTQzhBtrQMnBYY964lmsTYw</v>
      </c>
      <c r="F462" s="103" t="str">
        <f ca="1">IFERROR(__xludf.DUMMYFUNCTION("IMPORTRANGE(H462,""IDENTITAS UNIT!D9"")"),"https://goo.gl/maps/7ePKz3XAyLawt4Qr8")</f>
        <v>https://goo.gl/maps/7ePKz3XAyLawt4Qr8</v>
      </c>
      <c r="G462" s="4" t="s">
        <v>13026</v>
      </c>
      <c r="H462" s="101" t="str">
        <v>https://docs.google.com/spreadsheets/d/1AmKlJCKlDYJv3JiCFuqGgTQzhBtrQMnBYY964lmsTYw</v>
      </c>
      <c r="I462" s="101" t="str">
        <v>https://docs.google.com/open?id=1AmKlJCKlDYJv3JiCFuqGgTQzhBtrQMnBYY964lmsTYw</v>
      </c>
      <c r="J462" s="4" t="str">
        <v>Sorobali, Karampi, Langgudu</v>
      </c>
      <c r="L462" s="99" t="str">
        <f ca="1">IFERROR(__xludf.DUMMYFUNCTION("IMPORTRANGE(H462,""IDENTITAS UNIT!D35"")"),"Fiina Ilhami Salsabila")</f>
        <v>Fiina Ilhami Salsabila</v>
      </c>
    </row>
    <row r="463" spans="1:12" ht="16.5" hidden="1">
      <c r="A463" s="4" t="str">
        <v>Reguler Periode ke-104 I.A.2</v>
      </c>
      <c r="B463" s="4" t="str">
        <v>Reguler Periode ke-104</v>
      </c>
      <c r="C463" s="4" t="str">
        <v>I.A.2</v>
      </c>
      <c r="D463" s="101" t="str">
        <v>https://drive.google.com/open?id=1DF6pTjy58c2gOtQ92YudUQxeF-1wog3DOU0cC6z8WDA&amp;usp=drive_copy</v>
      </c>
      <c r="E463" s="101" t="str">
        <v>https://drive.google.com/open?id=1DF6pTjy58c2gOtQ92YudUQxeF-1wog3DOU0cC6z8WDA</v>
      </c>
      <c r="F463" s="102" t="str">
        <f ca="1">IFERROR(__xludf.DUMMYFUNCTION("IMPORTRANGE(H463,""IDENTITAS UNIT!D9"")"),"")</f>
        <v/>
      </c>
      <c r="H463" s="101" t="str">
        <v>https://docs.google.com/spreadsheets/d/1DF6pTjy58c2gOtQ92YudUQxeF-1wog3DOU0cC6z8WDA</v>
      </c>
      <c r="I463" s="101" t="str">
        <v>https://docs.google.com/open?id=1DF6pTjy58c2gOtQ92YudUQxeF-1wog3DOU0cC6z8WDA</v>
      </c>
      <c r="J463" s="4" t="str">
        <v>Oi Temba, Karampi, Langgudu</v>
      </c>
      <c r="L463" s="99" t="str">
        <f ca="1">IFERROR(__xludf.DUMMYFUNCTION("IMPORTRANGE(H463,""IDENTITAS UNIT!D35"")"),"Dian Sidik Kurniawan")</f>
        <v>Dian Sidik Kurniawan</v>
      </c>
    </row>
    <row r="464" spans="1:12" ht="16.5" hidden="1">
      <c r="A464" s="4" t="str">
        <v>Reguler Periode ke-104 I.A.3</v>
      </c>
      <c r="B464" s="4" t="str">
        <v>Reguler Periode ke-104</v>
      </c>
      <c r="C464" s="4" t="str">
        <v>I.A.3</v>
      </c>
      <c r="D464" s="101" t="str">
        <v>https://drive.google.com/open?id=1ZKXxF_pUhiTP5zSE49s57MZjvJnEa6fNLXUny7a3gLg&amp;usp=drive_copy</v>
      </c>
      <c r="E464" s="101" t="str">
        <v>https://drive.google.com/open?id=1ZKXxF_pUhiTP5zSE49s57MZjvJnEa6fNLXUny7a3gLg</v>
      </c>
      <c r="F464" s="102" t="str">
        <f ca="1">IFERROR(__xludf.DUMMYFUNCTION("IMPORTRANGE(H464,""IDENTITAS UNIT!D9"")"),"")</f>
        <v/>
      </c>
      <c r="H464" s="101" t="str">
        <v>https://docs.google.com/spreadsheets/d/1ZKXxF_pUhiTP5zSE49s57MZjvJnEa6fNLXUny7a3gLg</v>
      </c>
      <c r="I464" s="101" t="str">
        <v>https://docs.google.com/open?id=1ZKXxF_pUhiTP5zSE49s57MZjvJnEa6fNLXUny7a3gLg</v>
      </c>
      <c r="J464" s="4" t="str">
        <v>Mamba Na'e, Karampi, Langgudu</v>
      </c>
      <c r="L464" s="99" t="str">
        <f ca="1">IFERROR(__xludf.DUMMYFUNCTION("IMPORTRANGE(H464,""IDENTITAS UNIT!D35"")"),"Lailina Lutfiyah Ningrum")</f>
        <v>Lailina Lutfiyah Ningrum</v>
      </c>
    </row>
    <row r="465" spans="1:12" ht="16.5" hidden="1">
      <c r="A465" s="4" t="str">
        <v>Reguler Periode ke-104 I.A.4</v>
      </c>
      <c r="B465" s="4" t="str">
        <v>Reguler Periode ke-104</v>
      </c>
      <c r="C465" s="4" t="str">
        <v>I.A.4</v>
      </c>
      <c r="D465" s="101" t="str">
        <v>https://drive.google.com/open?id=1qDjLQ2-zmIKipmsLWvCvt2a-M6hKKOyBZzsFPfmRvJM&amp;usp=drive_copy</v>
      </c>
      <c r="E465" s="101" t="str">
        <v>https://drive.google.com/open?id=1qDjLQ2-zmIKipmsLWvCvt2a-M6hKKOyBZzsFPfmRvJM</v>
      </c>
      <c r="F465" s="102" t="str">
        <f ca="1">IFERROR(__xludf.DUMMYFUNCTION("IMPORTRANGE(H465,""IDENTITAS UNIT!D9"")"),"")</f>
        <v/>
      </c>
      <c r="H465" s="101" t="str">
        <v>https://docs.google.com/spreadsheets/d/1qDjLQ2-zmIKipmsLWvCvt2a-M6hKKOyBZzsFPfmRvJM</v>
      </c>
      <c r="I465" s="101" t="str">
        <v>https://docs.google.com/open?id=1qDjLQ2-zmIKipmsLWvCvt2a-M6hKKOyBZzsFPfmRvJM</v>
      </c>
      <c r="J465" s="4" t="str">
        <v>Nanga Ni'u, Karampi, Langgudu</v>
      </c>
      <c r="L465" s="99" t="str">
        <f ca="1">IFERROR(__xludf.DUMMYFUNCTION("IMPORTRANGE(H465,""IDENTITAS UNIT!D35"")"),"Mohammad Haidar Albana")</f>
        <v>Mohammad Haidar Albana</v>
      </c>
    </row>
    <row r="466" spans="1:12" ht="49.5" hidden="1">
      <c r="A466" s="4" t="str">
        <v>Reguler Periode ke-105 I.A.1</v>
      </c>
      <c r="B466" s="4" t="str">
        <v>Reguler Periode ke-105</v>
      </c>
      <c r="C466" s="4" t="str">
        <v>I.A.1</v>
      </c>
      <c r="D466" s="101" t="str">
        <v>https://drive.google.com/open?id=1OKYNgBw1sRj1poxBM34onfhiZ9PZQdw3aYlmjHg2wx4&amp;usp=drive_copy</v>
      </c>
      <c r="E466" s="101" t="str">
        <v>https://drive.google.com/open?id=1OKYNgBw1sRj1poxBM34onfhiZ9PZQdw3aYlmjHg2wx4</v>
      </c>
      <c r="F466" s="103" t="str">
        <f ca="1">IFERROR(__xludf.DUMMYFUNCTION("IMPORTRANGE(H466,""IDENTITAS UNIT!D9"")"),"https://goo.gl/maps/kxpchc9mJSU8kPSH9")</f>
        <v>https://goo.gl/maps/kxpchc9mJSU8kPSH9</v>
      </c>
      <c r="G466" s="4" t="s">
        <v>13027</v>
      </c>
      <c r="H466" s="101" t="str">
        <v>https://docs.google.com/spreadsheets/d/1OKYNgBw1sRj1poxBM34onfhiZ9PZQdw3aYlmjHg2wx4</v>
      </c>
      <c r="I466" s="101" t="str">
        <v>https://docs.google.com/open?id=1OKYNgBw1sRj1poxBM34onfhiZ9PZQdw3aYlmjHg2wx4</v>
      </c>
      <c r="J466" s="4" t="str">
        <v>Songserm Sasana Vittaya School, Hatyai Songkhla, Thailand</v>
      </c>
      <c r="L466" s="99" t="str">
        <f ca="1">IFERROR(__xludf.DUMMYFUNCTION("IMPORTRANGE(H466,""IDENTITAS UNIT!D35"")"),"Raindras Dilla Arsa")</f>
        <v>Raindras Dilla Arsa</v>
      </c>
    </row>
    <row r="467" spans="1:12" ht="16.5" hidden="1">
      <c r="A467" s="4" t="str">
        <v>Reguler Periode ke-105 I.A.2</v>
      </c>
      <c r="B467" s="4" t="str">
        <v>Reguler Periode ke-105</v>
      </c>
      <c r="C467" s="4" t="str">
        <v>I.A.2</v>
      </c>
      <c r="D467" s="101" t="str">
        <v>https://drive.google.com/open?id=15NnHwZNtdLvNa8kYHxaRq_aLhBMi5k1IUcV6fQmrbuw&amp;usp=drive_copy</v>
      </c>
      <c r="E467" s="101" t="str">
        <v>https://drive.google.com/open?id=15NnHwZNtdLvNa8kYHxaRq_aLhBMi5k1IUcV6fQmrbuw</v>
      </c>
      <c r="F467" s="103" t="str">
        <f ca="1">IFERROR(__xludf.DUMMYFUNCTION("IMPORTRANGE(H467,""IDENTITAS UNIT!D9"")"),"Posko I.A.2")</f>
        <v>Posko I.A.2</v>
      </c>
      <c r="G467" s="4" t="s">
        <v>13028</v>
      </c>
      <c r="H467" s="101" t="str">
        <v>https://docs.google.com/spreadsheets/d/15NnHwZNtdLvNa8kYHxaRq_aLhBMi5k1IUcV6fQmrbuw</v>
      </c>
      <c r="I467" s="101" t="str">
        <v>https://docs.google.com/open?id=15NnHwZNtdLvNa8kYHxaRq_aLhBMi5k1IUcV6fQmrbuw</v>
      </c>
      <c r="J467" s="4" t="str">
        <v>Sangkhom Islam Wittaya School, Sadao Songkhla, Thailand</v>
      </c>
      <c r="L467" s="99" t="str">
        <f ca="1">IFERROR(__xludf.DUMMYFUNCTION("IMPORTRANGE(H467,""IDENTITAS UNIT!D35"")"),"Ibnu Adhitia Pratama")</f>
        <v>Ibnu Adhitia Pratama</v>
      </c>
    </row>
    <row r="468" spans="1:12" ht="49.5" hidden="1">
      <c r="A468" s="4" t="str">
        <v>Reguler Periode ke-105 I.A.3</v>
      </c>
      <c r="B468" s="4" t="str">
        <v>Reguler Periode ke-105</v>
      </c>
      <c r="C468" s="4" t="str">
        <v>I.A.3</v>
      </c>
      <c r="D468" s="101" t="str">
        <v>https://drive.google.com/open?id=1O5OIIO6A9Wl9qW8TUh5VgOVniNYpTvt3KJVJjPaO3IQ&amp;usp=drive_copy</v>
      </c>
      <c r="E468" s="101" t="str">
        <v>https://drive.google.com/open?id=1O5OIIO6A9Wl9qW8TUh5VgOVniNYpTvt3KJVJjPaO3IQ</v>
      </c>
      <c r="F468" s="103" t="str">
        <f ca="1">IFERROR(__xludf.DUMMYFUNCTION("IMPORTRANGE(H468,""IDENTITAS UNIT!D9"")"),"https://goo.gl/maps/WetAL36uP5GV6b2X6")</f>
        <v>https://goo.gl/maps/WetAL36uP5GV6b2X6</v>
      </c>
      <c r="G468" s="4" t="s">
        <v>13029</v>
      </c>
      <c r="H468" s="101" t="str">
        <v>https://docs.google.com/spreadsheets/d/1O5OIIO6A9Wl9qW8TUh5VgOVniNYpTvt3KJVJjPaO3IQ</v>
      </c>
      <c r="I468" s="101" t="str">
        <v>https://docs.google.com/open?id=1O5OIIO6A9Wl9qW8TUh5VgOVniNYpTvt3KJVJjPaO3IQ</v>
      </c>
      <c r="J468" s="4" t="str">
        <v>Kalamullah School, Pattani, Thailand</v>
      </c>
      <c r="L468" s="99" t="str">
        <f ca="1">IFERROR(__xludf.DUMMYFUNCTION("IMPORTRANGE(H468,""IDENTITAS UNIT!D35"")"),"Imam Khairil Akbar")</f>
        <v>Imam Khairil Akbar</v>
      </c>
    </row>
    <row r="469" spans="1:12" ht="99" hidden="1">
      <c r="A469" s="4" t="str">
        <v>Reguler Periode ke-106 I.A.1</v>
      </c>
      <c r="B469" s="4" t="str">
        <v>Reguler Periode ke-106</v>
      </c>
      <c r="C469" s="4" t="str">
        <v>I.A.1</v>
      </c>
      <c r="D469" s="101" t="str">
        <v>https://drive.google.com/open?id=1BKGz4VszRCofibN7fzSW16onHwd1FiEw8lKzXcKUvBU&amp;usp=drive_copy</v>
      </c>
      <c r="E469" s="101" t="str">
        <v>https://drive.google.com/open?id=1BKGz4VszRCofibN7fzSW16onHwd1FiEw8lKzXcKUvBU</v>
      </c>
      <c r="F469" s="103" t="str">
        <f ca="1">IFERROR(__xludf.DUMMYFUNCTION("IMPORTRANGE(H469,""IDENTITAS UNIT!D9"")")," https://g.co/kgs/tP4Pz1 (SB Sentul), https://maps.app.goo.gl/ATG7j86i97fzqUXd7 (SB Gombak Utara)")</f>
        <v xml:space="preserve"> https://g.co/kgs/tP4Pz1 (SB Sentul), https://maps.app.goo.gl/ATG7j86i97fzqUXd7 (SB Gombak Utara)</v>
      </c>
      <c r="G469" s="4" t="s">
        <v>13030</v>
      </c>
      <c r="H469" s="101" t="str">
        <v>https://docs.google.com/spreadsheets/d/1BKGz4VszRCofibN7fzSW16onHwd1FiEw8lKzXcKUvBU</v>
      </c>
      <c r="I469" s="101" t="str">
        <v>https://docs.google.com/open?id=1BKGz4VszRCofibN7fzSW16onHwd1FiEw8lKzXcKUvBU</v>
      </c>
      <c r="J469" s="4" t="str">
        <v>Malaysia</v>
      </c>
      <c r="L469" s="99" t="str">
        <f ca="1">IFERROR(__xludf.DUMMYFUNCTION("IMPORTRANGE(H469,""IDENTITAS UNIT!D35"")"),"Imam Suhardi")</f>
        <v>Imam Suhardi</v>
      </c>
    </row>
    <row r="470" spans="1:12" ht="49.5" hidden="1">
      <c r="A470" s="4" t="str">
        <v>Alternatif Periode ke-86 I.A.1</v>
      </c>
      <c r="B470" s="4" t="str">
        <v>Alternatif Periode ke-86</v>
      </c>
      <c r="C470" s="4" t="str">
        <v>I.A.1</v>
      </c>
      <c r="D470" s="101" t="str">
        <v>https://drive.google.com/open?id=1lQjB1bQpz-cknjSjwGGmxeegqSwBmLEZjef75RZP5H0&amp;usp=drive_copy</v>
      </c>
      <c r="E470" s="101" t="str">
        <v>https://drive.google.com/open?id=1lQjB1bQpz-cknjSjwGGmxeegqSwBmLEZjef75RZP5H0</v>
      </c>
      <c r="F470" s="103" t="str">
        <f ca="1">IFERROR(__xludf.DUMMYFUNCTION("IMPORTRANGE(H470,""IDENTITAS UNIT!D9"")"),"https://goo.gl/maps/cDfgMgXbg6X9nrGy9")</f>
        <v>https://goo.gl/maps/cDfgMgXbg6X9nrGy9</v>
      </c>
      <c r="G470" s="4" t="s">
        <v>13031</v>
      </c>
      <c r="H470" s="101" t="str">
        <v>https://docs.google.com/spreadsheets/d/1lQjB1bQpz-cknjSjwGGmxeegqSwBmLEZjef75RZP5H0</v>
      </c>
      <c r="I470" s="101" t="str">
        <v>https://docs.google.com/open?id=1lQjB1bQpz-cknjSjwGGmxeegqSwBmLEZjef75RZP5H0</v>
      </c>
      <c r="J470" s="4" t="str">
        <v>Masjid Al Muhtadin (Karangbendo Tengah), Karangbendo, Banguntapan</v>
      </c>
      <c r="L470" s="99" t="str">
        <f ca="1">IFERROR(__xludf.DUMMYFUNCTION("IMPORTRANGE(H470,""IDENTITAS UNIT!D35"")"),"BRILIAN ANUGRA")</f>
        <v>BRILIAN ANUGRA</v>
      </c>
    </row>
    <row r="471" spans="1:12" ht="49.5" hidden="1">
      <c r="A471" s="4" t="str">
        <v>Alternatif Periode ke-86 I.A.2</v>
      </c>
      <c r="B471" s="4" t="str">
        <v>Alternatif Periode ke-86</v>
      </c>
      <c r="C471" s="4" t="str">
        <v>I.A.2</v>
      </c>
      <c r="D471" s="101" t="str">
        <v>https://drive.google.com/open?id=1EB30-NWraVTcttYufI_3EUjC2_XjBUnFx8Ycb248MlE&amp;usp=drive_copy</v>
      </c>
      <c r="E471" s="101" t="str">
        <v>https://drive.google.com/open?id=1EB30-NWraVTcttYufI_3EUjC2_XjBUnFx8Ycb248MlE</v>
      </c>
      <c r="F471" s="103" t="str">
        <f ca="1">IFERROR(__xludf.DUMMYFUNCTION("IMPORTRANGE(H471,""IDENTITAS UNIT!D9"")"),"https://maps.app.goo.gl/T3eoe2WzKigodhzEA")</f>
        <v>https://maps.app.goo.gl/T3eoe2WzKigodhzEA</v>
      </c>
      <c r="G471" s="4" t="s">
        <v>13032</v>
      </c>
      <c r="H471" s="101" t="str">
        <v>https://docs.google.com/spreadsheets/d/1EB30-NWraVTcttYufI_3EUjC2_XjBUnFx8Ycb248MlE</v>
      </c>
      <c r="I471" s="101" t="str">
        <v>https://docs.google.com/open?id=1EB30-NWraVTcttYufI_3EUjC2_XjBUnFx8Ycb248MlE</v>
      </c>
      <c r="J471" s="4" t="str">
        <v>Masjid Al Mukhlisun (Jomlang), Karangbendo, Banguntapan</v>
      </c>
      <c r="L471" s="99" t="str">
        <f ca="1">IFERROR(__xludf.DUMMYFUNCTION("IMPORTRANGE(H471,""IDENTITAS UNIT!D35"")"),"Dewi Intan Permatasari")</f>
        <v>Dewi Intan Permatasari</v>
      </c>
    </row>
    <row r="472" spans="1:12" ht="49.5" hidden="1">
      <c r="A472" s="4" t="str">
        <v>Alternatif Periode ke-86 I.A.3</v>
      </c>
      <c r="B472" s="4" t="str">
        <v>Alternatif Periode ke-86</v>
      </c>
      <c r="C472" s="4" t="str">
        <v>I.A.3</v>
      </c>
      <c r="D472" s="101" t="str">
        <v>https://drive.google.com/open?id=1SvgwqPMmFRn7bd9BUNr0R5HUmumpGdQHHWFRch-vBN0&amp;usp=drive_copy</v>
      </c>
      <c r="E472" s="101" t="str">
        <v>https://drive.google.com/open?id=1SvgwqPMmFRn7bd9BUNr0R5HUmumpGdQHHWFRch-vBN0</v>
      </c>
      <c r="F472" s="103" t="str">
        <f ca="1">IFERROR(__xludf.DUMMYFUNCTION("IMPORTRANGE(H472,""IDENTITAS UNIT!D9"")"),"https://maps.app.goo.gl/RL9o7CgKCcDeKRhv8")</f>
        <v>https://maps.app.goo.gl/RL9o7CgKCcDeKRhv8</v>
      </c>
      <c r="G472" s="4" t="s">
        <v>13033</v>
      </c>
      <c r="H472" s="101" t="str">
        <v>https://docs.google.com/spreadsheets/d/1SvgwqPMmFRn7bd9BUNr0R5HUmumpGdQHHWFRch-vBN0</v>
      </c>
      <c r="I472" s="101" t="str">
        <v>https://docs.google.com/open?id=1SvgwqPMmFRn7bd9BUNr0R5HUmumpGdQHHWFRch-vBN0</v>
      </c>
      <c r="J472" s="4" t="str">
        <v>Masjid Ar Rahman, Karangjambe, Banguntapan</v>
      </c>
      <c r="L472" s="99" t="str">
        <f ca="1">IFERROR(__xludf.DUMMYFUNCTION("IMPORTRANGE(H472,""IDENTITAS UNIT!D35"")"),"Afif Khoerul Basyar")</f>
        <v>Afif Khoerul Basyar</v>
      </c>
    </row>
    <row r="473" spans="1:12" ht="49.5" hidden="1">
      <c r="A473" s="4" t="str">
        <v>Alternatif Periode ke-86 I.B.1</v>
      </c>
      <c r="B473" s="4" t="str">
        <v>Alternatif Periode ke-86</v>
      </c>
      <c r="C473" s="4" t="str">
        <v>I.B.1</v>
      </c>
      <c r="D473" s="101" t="str">
        <v>https://drive.google.com/open?id=1jhjuq4k1Sat4zS4c9e0ZJ0n-mHfTg_q_M33uzaEHqPQ&amp;usp=drive_copy</v>
      </c>
      <c r="E473" s="101" t="str">
        <v>https://drive.google.com/open?id=1jhjuq4k1Sat4zS4c9e0ZJ0n-mHfTg_q_M33uzaEHqPQ</v>
      </c>
      <c r="F473" s="103" t="str">
        <f ca="1">IFERROR(__xludf.DUMMYFUNCTION("IMPORTRANGE(H473,""IDENTITAS UNIT!D9"")"),"https://maps.app.goo.gl/Sy6XiwSmUxNLwtdA7")</f>
        <v>https://maps.app.goo.gl/Sy6XiwSmUxNLwtdA7</v>
      </c>
      <c r="G473" s="4" t="s">
        <v>13034</v>
      </c>
      <c r="H473" s="101" t="str">
        <v>https://docs.google.com/spreadsheets/d/1jhjuq4k1Sat4zS4c9e0ZJ0n-mHfTg_q_M33uzaEHqPQ</v>
      </c>
      <c r="I473" s="101" t="str">
        <v>https://docs.google.com/open?id=1jhjuq4k1Sat4zS4c9e0ZJ0n-mHfTg_q_M33uzaEHqPQ</v>
      </c>
      <c r="J473" s="4" t="str">
        <v>Masjid Annur Modalan, Modalan, Banguntapan</v>
      </c>
      <c r="L473" s="99" t="str">
        <f ca="1">IFERROR(__xludf.DUMMYFUNCTION("IMPORTRANGE(H473,""IDENTITAS UNIT!D35"")"),"ISNAINI ARIF NUGROHO")</f>
        <v>ISNAINI ARIF NUGROHO</v>
      </c>
    </row>
    <row r="474" spans="1:12" ht="49.5" hidden="1">
      <c r="A474" s="4" t="str">
        <v>Alternatif Periode ke-86 I.B.2</v>
      </c>
      <c r="B474" s="4" t="str">
        <v>Alternatif Periode ke-86</v>
      </c>
      <c r="C474" s="4" t="str">
        <v>I.B.2</v>
      </c>
      <c r="D474" s="101" t="str">
        <v>https://drive.google.com/open?id=1sE7EY91rg-Qo4QCzZdiSZxPdIAcvdZwllQsfa9An0Ak&amp;usp=drive_copy</v>
      </c>
      <c r="E474" s="101" t="str">
        <v>https://drive.google.com/open?id=1sE7EY91rg-Qo4QCzZdiSZxPdIAcvdZwllQsfa9An0Ak</v>
      </c>
      <c r="F474" s="103" t="str">
        <f ca="1">IFERROR(__xludf.DUMMYFUNCTION("IMPORTRANGE(H474,""IDENTITAS UNIT!D9"")"),"https://goo.gl/maps/QXeR2MeEog2VgsRe9")</f>
        <v>https://goo.gl/maps/QXeR2MeEog2VgsRe9</v>
      </c>
      <c r="G474" s="4" t="s">
        <v>13035</v>
      </c>
      <c r="H474" s="101" t="str">
        <v>https://docs.google.com/spreadsheets/d/1sE7EY91rg-Qo4QCzZdiSZxPdIAcvdZwllQsfa9An0Ak</v>
      </c>
      <c r="I474" s="101" t="str">
        <v>https://docs.google.com/open?id=1sE7EY91rg-Qo4QCzZdiSZxPdIAcvdZwllQsfa9An0Ak</v>
      </c>
      <c r="J474" s="4" t="str">
        <v>Masjid Ar-rohmah Jogoragan, Modalan, Banguntapan</v>
      </c>
      <c r="L474" s="99" t="str">
        <f ca="1">IFERROR(__xludf.DUMMYFUNCTION("IMPORTRANGE(H474,""IDENTITAS UNIT!D35"")"),"WAHYU AMIN MAHMUD")</f>
        <v>WAHYU AMIN MAHMUD</v>
      </c>
    </row>
    <row r="475" spans="1:12" ht="198" hidden="1">
      <c r="A475" s="4" t="str">
        <v>Alternatif Periode ke-86 I.B.3</v>
      </c>
      <c r="B475" s="4" t="str">
        <v>Alternatif Periode ke-86</v>
      </c>
      <c r="C475" s="4" t="str">
        <v>I.B.3</v>
      </c>
      <c r="D475" s="101" t="str">
        <v>https://drive.google.com/open?id=1textdPLKRNVtJANbhHPgxAt4NsrEeA1Z1tf6lyoCQeg&amp;usp=drive_copy</v>
      </c>
      <c r="E475" s="101" t="str">
        <v>https://drive.google.com/open?id=1textdPLKRNVtJANbhHPgxAt4NsrEeA1Z1tf6lyoCQeg</v>
      </c>
      <c r="F475" s="103" t="str">
        <f ca="1">IFERROR(__xludf.DUMMYFUNCTION("IMPORTRANGE(H475,""IDENTITAS UNIT!D9"")"),"https://www.google.com/maps/dir//masjid+nur+rohman+pringgolayan/data=!4m6!4m5!1m1!4e2!1m2!1m1!1s0x2e7a573cca4ab447:0x30aa3ac30032c009?sa=X&amp;ved=2ahUKEwiArYHdqq_8AhXt-nMBHZhSBYoQ9Rd6BAhAEAM")</f>
        <v>https://www.google.com/maps/dir//masjid+nur+rohman+pringgolayan/data=!4m6!4m5!1m1!4e2!1m2!1m1!1s0x2e7a573cca4ab447:0x30aa3ac30032c009?sa=X&amp;ved=2ahUKEwiArYHdqq_8AhXt-nMBHZhSBYoQ9Rd6BAhAEAM</v>
      </c>
      <c r="G475" s="4" t="s">
        <v>13036</v>
      </c>
      <c r="H475" s="101" t="str">
        <v>https://docs.google.com/spreadsheets/d/1textdPLKRNVtJANbhHPgxAt4NsrEeA1Z1tf6lyoCQeg</v>
      </c>
      <c r="I475" s="101" t="str">
        <v>https://docs.google.com/open?id=1textdPLKRNVtJANbhHPgxAt4NsrEeA1Z1tf6lyoCQeg</v>
      </c>
      <c r="J475" s="4" t="str">
        <v>Masjid Nur Rohman, Pringgolayan, Banguntapan</v>
      </c>
      <c r="L475" s="99" t="str">
        <f ca="1">IFERROR(__xludf.DUMMYFUNCTION("IMPORTRANGE(H475,""IDENTITAS UNIT!D35"")"),"NUR MUBARAK RUMALUTUR")</f>
        <v>NUR MUBARAK RUMALUTUR</v>
      </c>
    </row>
    <row r="476" spans="1:12" ht="49.5" hidden="1">
      <c r="A476" s="4" t="str">
        <v>Alternatif Periode ke-86 I.C.1</v>
      </c>
      <c r="B476" s="4" t="str">
        <v>Alternatif Periode ke-86</v>
      </c>
      <c r="C476" s="4" t="str">
        <v>I.C.1</v>
      </c>
      <c r="D476" s="101" t="str">
        <v>https://drive.google.com/open?id=1xbPBtISoPN6_NSY-RV0ySEF8bvHNKqTyK9jJjp6XIq4&amp;usp=drive_copy</v>
      </c>
      <c r="E476" s="101" t="str">
        <v>https://drive.google.com/open?id=1xbPBtISoPN6_NSY-RV0ySEF8bvHNKqTyK9jJjp6XIq4</v>
      </c>
      <c r="F476" s="103" t="str">
        <f ca="1">IFERROR(__xludf.DUMMYFUNCTION("IMPORTRANGE(H476,""IDENTITAS UNIT!D9"")"),"https://goo.gl/maps/KE1gkC9tViDAVdij6")</f>
        <v>https://goo.gl/maps/KE1gkC9tViDAVdij6</v>
      </c>
      <c r="G476" s="4" t="s">
        <v>13037</v>
      </c>
      <c r="H476" s="101" t="str">
        <v>https://docs.google.com/spreadsheets/d/1xbPBtISoPN6_NSY-RV0ySEF8bvHNKqTyK9jJjp6XIq4</v>
      </c>
      <c r="I476" s="101" t="str">
        <v>https://docs.google.com/open?id=1xbPBtISoPN6_NSY-RV0ySEF8bvHNKqTyK9jJjp6XIq4</v>
      </c>
      <c r="J476" s="4" t="str">
        <v>Masjid Al Falaah, Karangjambe, Banguntapan</v>
      </c>
      <c r="L476" s="99" t="str">
        <f ca="1">IFERROR(__xludf.DUMMYFUNCTION("IMPORTRANGE(H476,""IDENTITAS UNIT!D35"")"),"Angga Chairul Mahpud")</f>
        <v>Angga Chairul Mahpud</v>
      </c>
    </row>
    <row r="477" spans="1:12" ht="49.5" hidden="1">
      <c r="A477" s="4" t="str">
        <v>Alternatif Periode ke-86 I.C.2</v>
      </c>
      <c r="B477" s="4" t="str">
        <v>Alternatif Periode ke-86</v>
      </c>
      <c r="C477" s="4" t="str">
        <v>I.C.2</v>
      </c>
      <c r="D477" s="101" t="str">
        <v>https://drive.google.com/open?id=12QyFqHTRjIZOnrLXNr9NmaSp8rnvYFKsPPRe_6Enczs&amp;usp=drive_copy</v>
      </c>
      <c r="E477" s="101" t="str">
        <v>https://drive.google.com/open?id=12QyFqHTRjIZOnrLXNr9NmaSp8rnvYFKsPPRe_6Enczs</v>
      </c>
      <c r="F477" s="103" t="str">
        <f ca="1">IFERROR(__xludf.DUMMYFUNCTION("IMPORTRANGE(H477,""IDENTITAS UNIT!D9"")"),"https://goo.gl/maps/524HtHYNy5eoqpX38")</f>
        <v>https://goo.gl/maps/524HtHYNy5eoqpX38</v>
      </c>
      <c r="G477" s="4" t="s">
        <v>13038</v>
      </c>
      <c r="H477" s="101" t="str">
        <v>https://docs.google.com/spreadsheets/d/12QyFqHTRjIZOnrLXNr9NmaSp8rnvYFKsPPRe_6Enczs</v>
      </c>
      <c r="I477" s="101" t="str">
        <v>https://docs.google.com/open?id=12QyFqHTRjIZOnrLXNr9NmaSp8rnvYFKsPPRe_6Enczs</v>
      </c>
      <c r="J477" s="4" t="str">
        <v>Masjid Al Muhtadin , Plumbon, Banguntapan</v>
      </c>
      <c r="L477" s="99" t="str">
        <f ca="1">IFERROR(__xludf.DUMMYFUNCTION("IMPORTRANGE(H477,""IDENTITAS UNIT!D35"")"),"Muhammad Nazhifuddin Fikri")</f>
        <v>Muhammad Nazhifuddin Fikri</v>
      </c>
    </row>
    <row r="478" spans="1:12" ht="16.5" hidden="1">
      <c r="A478" s="4" t="str">
        <v>Alternatif Periode ke-86 I.C.3</v>
      </c>
      <c r="B478" s="4" t="str">
        <v>Alternatif Periode ke-86</v>
      </c>
      <c r="C478" s="4" t="str">
        <v>I.C.3</v>
      </c>
      <c r="D478" s="101" t="str">
        <v>https://drive.google.com/open?id=1ApGxdJkropQH9b8abbEd0uNMhS1VXb_hUEjifOTPkIA&amp;usp=drive_copy</v>
      </c>
      <c r="E478" s="101" t="str">
        <v>https://drive.google.com/open?id=1ApGxdJkropQH9b8abbEd0uNMhS1VXb_hUEjifOTPkIA</v>
      </c>
      <c r="F478" s="102" t="str">
        <f ca="1">IFERROR(__xludf.DUMMYFUNCTION("IMPORTRANGE(H478,""IDENTITAS UNIT!D9"")"),"")</f>
        <v/>
      </c>
      <c r="H478" s="101" t="str">
        <v>https://docs.google.com/spreadsheets/d/1ApGxdJkropQH9b8abbEd0uNMhS1VXb_hUEjifOTPkIA</v>
      </c>
      <c r="I478" s="101" t="str">
        <v>https://docs.google.com/open?id=1ApGxdJkropQH9b8abbEd0uNMhS1VXb_hUEjifOTPkIA</v>
      </c>
      <c r="J478" s="4" t="str">
        <v>Masjid Al Falah (Tegalkopen), Wonocatur, Banguntapan</v>
      </c>
      <c r="L478" s="99" t="str">
        <f ca="1">IFERROR(__xludf.DUMMYFUNCTION("IMPORTRANGE(H478,""IDENTITAS UNIT!D35"")"),"MUHAMMAD FIRDAUS FAHRULLAH")</f>
        <v>MUHAMMAD FIRDAUS FAHRULLAH</v>
      </c>
    </row>
    <row r="479" spans="1:12" ht="49.5" hidden="1">
      <c r="A479" s="4" t="str">
        <v>Alternatif Periode ke-86 I.D.1</v>
      </c>
      <c r="B479" s="4" t="str">
        <v>Alternatif Periode ke-86</v>
      </c>
      <c r="C479" s="4" t="str">
        <v>I.D.1</v>
      </c>
      <c r="D479" s="101" t="str">
        <v>https://drive.google.com/open?id=1F2PMExuSAdbpUTObtEtPgjRIZ5ZpbRG3gZrgcYiHtEU&amp;usp=drive_copy</v>
      </c>
      <c r="E479" s="101" t="str">
        <v>https://drive.google.com/open?id=1F2PMExuSAdbpUTObtEtPgjRIZ5ZpbRG3gZrgcYiHtEU</v>
      </c>
      <c r="F479" s="103" t="str">
        <f ca="1">IFERROR(__xludf.DUMMYFUNCTION("IMPORTRANGE(H479,""IDENTITAS UNIT!D9"")"),"https://goo.gl/maps/dwexFWLocr63S2xA6")</f>
        <v>https://goo.gl/maps/dwexFWLocr63S2xA6</v>
      </c>
      <c r="G479" s="4" t="s">
        <v>13039</v>
      </c>
      <c r="H479" s="101" t="str">
        <v>https://docs.google.com/spreadsheets/d/1F2PMExuSAdbpUTObtEtPgjRIZ5ZpbRG3gZrgcYiHtEU</v>
      </c>
      <c r="I479" s="101" t="str">
        <v>https://docs.google.com/open?id=1F2PMExuSAdbpUTObtEtPgjRIZ5ZpbRG3gZrgcYiHtEU</v>
      </c>
      <c r="J479" s="4" t="str">
        <v>Masjid Al-Ittihad, Tegaltandan, Banguntapan</v>
      </c>
      <c r="L479" s="99" t="str">
        <f ca="1">IFERROR(__xludf.DUMMYFUNCTION("IMPORTRANGE(H479,""IDENTITAS UNIT!D35"")"),"AFNAN SA'UD  HANIFUDDIN")</f>
        <v>AFNAN SA'UD  HANIFUDDIN</v>
      </c>
    </row>
    <row r="480" spans="1:12" ht="49.5" hidden="1">
      <c r="A480" s="4" t="str">
        <v>Alternatif Periode ke-86 I.D.2</v>
      </c>
      <c r="B480" s="4" t="str">
        <v>Alternatif Periode ke-86</v>
      </c>
      <c r="C480" s="4" t="str">
        <v>I.D.2</v>
      </c>
      <c r="D480" s="101" t="str">
        <v>https://drive.google.com/open?id=1R0L5ciJv2yeK-jlb1a8GLazpOmD8SB8z61Uw26B4EO0&amp;usp=drive_copy</v>
      </c>
      <c r="E480" s="101" t="str">
        <v>https://drive.google.com/open?id=1R0L5ciJv2yeK-jlb1a8GLazpOmD8SB8z61Uw26B4EO0</v>
      </c>
      <c r="F480" s="103" t="str">
        <f ca="1">IFERROR(__xludf.DUMMYFUNCTION("IMPORTRANGE(H480,""IDENTITAS UNIT!D9"")"),"https://goo.gl/maps/djsdRLRGtKPoiP1T6")</f>
        <v>https://goo.gl/maps/djsdRLRGtKPoiP1T6</v>
      </c>
      <c r="G480" s="4" t="s">
        <v>13040</v>
      </c>
      <c r="H480" s="101" t="str">
        <v>https://docs.google.com/spreadsheets/d/1R0L5ciJv2yeK-jlb1a8GLazpOmD8SB8z61Uw26B4EO0</v>
      </c>
      <c r="I480" s="101" t="str">
        <v>https://docs.google.com/open?id=1R0L5ciJv2yeK-jlb1a8GLazpOmD8SB8z61Uw26B4EO0</v>
      </c>
      <c r="J480" s="4" t="str">
        <v>Masjid Al Manar, Tegaltandan, Banguntapan</v>
      </c>
      <c r="L480" s="99" t="str">
        <f ca="1">IFERROR(__xludf.DUMMYFUNCTION("IMPORTRANGE(H480,""IDENTITAS UNIT!D35"")"),"Farid Nurfauzan")</f>
        <v>Farid Nurfauzan</v>
      </c>
    </row>
    <row r="481" spans="1:12" ht="49.5" hidden="1">
      <c r="A481" s="4" t="str">
        <v>Alternatif Periode ke-86 I.D.3</v>
      </c>
      <c r="B481" s="4" t="str">
        <v>Alternatif Periode ke-86</v>
      </c>
      <c r="C481" s="4" t="str">
        <v>I.D.3</v>
      </c>
      <c r="D481" s="101" t="str">
        <v>https://drive.google.com/open?id=1Tq9Xj7Em9_lW_2lpW-OoRc_MCq1ABdu3T2I984PjUnU&amp;usp=drive_copy</v>
      </c>
      <c r="E481" s="101" t="str">
        <v>https://drive.google.com/open?id=1Tq9Xj7Em9_lW_2lpW-OoRc_MCq1ABdu3T2I984PjUnU</v>
      </c>
      <c r="F481" s="103" t="str">
        <f ca="1">IFERROR(__xludf.DUMMYFUNCTION("IMPORTRANGE(H481,""IDENTITAS UNIT!D9"")"),"https://goo.gl/maps/X6Kr31wTRyPrRTRA8 ")</f>
        <v xml:space="preserve">https://goo.gl/maps/X6Kr31wTRyPrRTRA8 </v>
      </c>
      <c r="G481" s="4" t="s">
        <v>13041</v>
      </c>
      <c r="H481" s="101" t="str">
        <v>https://docs.google.com/spreadsheets/d/1Tq9Xj7Em9_lW_2lpW-OoRc_MCq1ABdu3T2I984PjUnU</v>
      </c>
      <c r="I481" s="101" t="str">
        <v>https://docs.google.com/open?id=1Tq9Xj7Em9_lW_2lpW-OoRc_MCq1ABdu3T2I984PjUnU</v>
      </c>
      <c r="J481" s="4" t="str">
        <v>Masjid Al-Hasanah, Pringgolayan, Banguntapan</v>
      </c>
      <c r="L481" s="99" t="str">
        <f ca="1">IFERROR(__xludf.DUMMYFUNCTION("IMPORTRANGE(H481,""IDENTITAS UNIT!D35"")"),"Adiffa Firki Diansyah")</f>
        <v>Adiffa Firki Diansyah</v>
      </c>
    </row>
    <row r="482" spans="1:12" ht="49.5" hidden="1">
      <c r="A482" s="4" t="str">
        <v>Alternatif Periode ke-86 II.A.1</v>
      </c>
      <c r="B482" s="4" t="str">
        <v>Alternatif Periode ke-86</v>
      </c>
      <c r="C482" s="4" t="str">
        <v>II.A.1</v>
      </c>
      <c r="D482" s="101" t="str">
        <v>https://drive.google.com/open?id=1YuEcudYycIAEz6Kj5tfliBJzbEOJLch9G62k9JrIOh0&amp;usp=drive_copy</v>
      </c>
      <c r="E482" s="101" t="str">
        <v>https://drive.google.com/open?id=1YuEcudYycIAEz6Kj5tfliBJzbEOJLch9G62k9JrIOh0</v>
      </c>
      <c r="F482" s="103" t="str">
        <f ca="1">IFERROR(__xludf.DUMMYFUNCTION("IMPORTRANGE(H482,""IDENTITAS UNIT!D9"")"),"https://maps.app.goo.gl/FLzuJ8DTVVviPuAX9")</f>
        <v>https://maps.app.goo.gl/FLzuJ8DTVVviPuAX9</v>
      </c>
      <c r="G482" s="4" t="s">
        <v>13042</v>
      </c>
      <c r="H482" s="101" t="str">
        <v>https://docs.google.com/spreadsheets/d/1YuEcudYycIAEz6Kj5tfliBJzbEOJLch9G62k9JrIOh0</v>
      </c>
      <c r="I482" s="101" t="str">
        <v>https://docs.google.com/open?id=1YuEcudYycIAEz6Kj5tfliBJzbEOJLch9G62k9JrIOh0</v>
      </c>
      <c r="J482" s="4" t="str">
        <v>Masjid Annur tegalsari, Jomblangan, Banguntapan</v>
      </c>
      <c r="L482" s="99" t="str">
        <f ca="1">IFERROR(__xludf.DUMMYFUNCTION("IMPORTRANGE(H482,""IDENTITAS UNIT!D35"")"),"Arief Rachman Mustafa")</f>
        <v>Arief Rachman Mustafa</v>
      </c>
    </row>
    <row r="483" spans="1:12" ht="49.5" hidden="1">
      <c r="A483" s="4" t="str">
        <v>Alternatif Periode ke-86 II.A.2</v>
      </c>
      <c r="B483" s="4" t="str">
        <v>Alternatif Periode ke-86</v>
      </c>
      <c r="C483" s="4" t="str">
        <v>II.A.2</v>
      </c>
      <c r="D483" s="101" t="str">
        <v>https://drive.google.com/open?id=1_NdIlA4_n_OgVCgBdztvn3Euv3Z8u8jQ61ocPZMYtkI&amp;usp=drive_copy</v>
      </c>
      <c r="E483" s="101" t="str">
        <v>https://drive.google.com/open?id=1_NdIlA4_n_OgVCgBdztvn3Euv3Z8u8jQ61ocPZMYtkI</v>
      </c>
      <c r="F483" s="103" t="str">
        <f ca="1">IFERROR(__xludf.DUMMYFUNCTION("IMPORTRANGE(H483,""IDENTITAS UNIT!D9"")"),"https://goo.gl/maps/mcgMU2z5f8ejPG2V8")</f>
        <v>https://goo.gl/maps/mcgMU2z5f8ejPG2V8</v>
      </c>
      <c r="G483" s="4" t="s">
        <v>13043</v>
      </c>
      <c r="H483" s="101" t="str">
        <v>https://docs.google.com/spreadsheets/d/1_NdIlA4_n_OgVCgBdztvn3Euv3Z8u8jQ61ocPZMYtkI</v>
      </c>
      <c r="I483" s="101" t="str">
        <v>https://docs.google.com/open?id=1_NdIlA4_n_OgVCgBdztvn3Euv3Z8u8jQ61ocPZMYtkI</v>
      </c>
      <c r="J483" s="4" t="str">
        <v>Masjid Sunan Kalijaga (RT 03), Jomblangan, Banguntapan</v>
      </c>
      <c r="L483" s="99" t="str">
        <f ca="1">IFERROR(__xludf.DUMMYFUNCTION("IMPORTRANGE(H483,""IDENTITAS UNIT!D35"")"),"Muhammad Abul Khair An Nabhan")</f>
        <v>Muhammad Abul Khair An Nabhan</v>
      </c>
    </row>
    <row r="484" spans="1:12" ht="16.5" hidden="1">
      <c r="A484" s="4" t="str">
        <v>Alternatif Periode ke-86 II.A.3</v>
      </c>
      <c r="B484" s="4" t="str">
        <v>Alternatif Periode ke-86</v>
      </c>
      <c r="C484" s="4" t="str">
        <v>II.A.3</v>
      </c>
      <c r="D484" s="101" t="str">
        <v>https://drive.google.com/open?id=1aj0nnqQJ8kdvSNyQQZ6Mx1y7gRbQZ64taRxAvkpPcnk&amp;usp=drive_copy</v>
      </c>
      <c r="E484" s="101" t="str">
        <v>https://drive.google.com/open?id=1aj0nnqQJ8kdvSNyQQZ6Mx1y7gRbQZ64taRxAvkpPcnk</v>
      </c>
      <c r="F484" s="102" t="str">
        <f ca="1">IFERROR(__xludf.DUMMYFUNCTION("IMPORTRANGE(H484,""IDENTITAS UNIT!D9"")"),"")</f>
        <v/>
      </c>
      <c r="H484" s="101" t="str">
        <v>https://docs.google.com/spreadsheets/d/1aj0nnqQJ8kdvSNyQQZ6Mx1y7gRbQZ64taRxAvkpPcnk</v>
      </c>
      <c r="I484" s="101" t="str">
        <v>https://docs.google.com/open?id=1aj0nnqQJ8kdvSNyQQZ6Mx1y7gRbQZ64taRxAvkpPcnk</v>
      </c>
      <c r="J484" s="4" t="str">
        <v>Masjid Ad Darajat (Patok Negara), Plumbon, Banguntapan</v>
      </c>
      <c r="L484" s="99" t="str">
        <f ca="1">IFERROR(__xludf.DUMMYFUNCTION("IMPORTRANGE(H484,""IDENTITAS UNIT!D35"")"),"JAUZI FIKRI PAHLEVI")</f>
        <v>JAUZI FIKRI PAHLEVI</v>
      </c>
    </row>
    <row r="485" spans="1:12" ht="99" hidden="1">
      <c r="A485" s="4" t="str">
        <v>Alternatif Periode ke-86 II.B.1</v>
      </c>
      <c r="B485" s="4" t="str">
        <v>Alternatif Periode ke-86</v>
      </c>
      <c r="C485" s="4" t="str">
        <v>II.B.1</v>
      </c>
      <c r="D485" s="101" t="str">
        <v>https://drive.google.com/open?id=1fdwJYovOBm4GBatw7NoRxwhxeZgIgsktpsUFfDiQgdM&amp;usp=drive_copy</v>
      </c>
      <c r="E485" s="101" t="str">
        <v>https://drive.google.com/open?id=1fdwJYovOBm4GBatw7NoRxwhxeZgIgsktpsUFfDiQgdM</v>
      </c>
      <c r="F485" s="103" t="str">
        <f ca="1">IFERROR(__xludf.DUMMYFUNCTION("IMPORTRANGE(H485,""IDENTITAS UNIT!D9"")"),"https://maps.app.goo.gl/C1QjisJDMkX4xGM68?g_st=iw
https://maps.app.goo.gl/4aj6iRyzGynqFdRM9?g_st=iw")</f>
        <v>https://maps.app.goo.gl/C1QjisJDMkX4xGM68?g_st=iw
https://maps.app.goo.gl/4aj6iRyzGynqFdRM9?g_st=iw</v>
      </c>
      <c r="G485" s="4" t="s">
        <v>13044</v>
      </c>
      <c r="H485" s="101" t="str">
        <v>https://docs.google.com/spreadsheets/d/1fdwJYovOBm4GBatw7NoRxwhxeZgIgsktpsUFfDiQgdM</v>
      </c>
      <c r="I485" s="101" t="str">
        <v>https://docs.google.com/open?id=1fdwJYovOBm4GBatw7NoRxwhxeZgIgsktpsUFfDiQgdM</v>
      </c>
      <c r="J485" s="4" t="str">
        <v>Masjid Al-Furqon dan Masjid Al-Muhajirin , Pelemwulung, Banguntapan</v>
      </c>
      <c r="L485" s="99" t="str">
        <f ca="1">IFERROR(__xludf.DUMMYFUNCTION("IMPORTRANGE(H485,""IDENTITAS UNIT!D35"")"),"ADI CANDRA")</f>
        <v>ADI CANDRA</v>
      </c>
    </row>
    <row r="486" spans="1:12" ht="49.5" hidden="1">
      <c r="A486" s="4" t="str">
        <v>Alternatif Periode ke-86 II.B.2</v>
      </c>
      <c r="B486" s="4" t="str">
        <v>Alternatif Periode ke-86</v>
      </c>
      <c r="C486" s="4" t="str">
        <v>II.B.2</v>
      </c>
      <c r="D486" s="101" t="str">
        <v>https://drive.google.com/open?id=1jrewA50US-kcfwsHtGixg5WmlbNYmireP83_lqHx9qo&amp;usp=drive_copy</v>
      </c>
      <c r="E486" s="101" t="str">
        <v>https://drive.google.com/open?id=1jrewA50US-kcfwsHtGixg5WmlbNYmireP83_lqHx9qo</v>
      </c>
      <c r="F486" s="103" t="str">
        <f ca="1">IFERROR(__xludf.DUMMYFUNCTION("IMPORTRANGE(H486,""IDENTITAS UNIT!D9"")"),"https://maps.app.goo.gl/mcck1q5CiWQE82RQA")</f>
        <v>https://maps.app.goo.gl/mcck1q5CiWQE82RQA</v>
      </c>
      <c r="G486" s="4" t="s">
        <v>13045</v>
      </c>
      <c r="H486" s="101" t="str">
        <v>https://docs.google.com/spreadsheets/d/1jrewA50US-kcfwsHtGixg5WmlbNYmireP83_lqHx9qo</v>
      </c>
      <c r="I486" s="101" t="str">
        <v>https://docs.google.com/open?id=1jrewA50US-kcfwsHtGixg5WmlbNYmireP83_lqHx9qo</v>
      </c>
      <c r="J486" s="4" t="str">
        <v>Masjid Al-Huda , Pelemwulung, Banguntapan</v>
      </c>
      <c r="L486" s="99" t="str">
        <f ca="1">IFERROR(__xludf.DUMMYFUNCTION("IMPORTRANGE(H486,""IDENTITAS UNIT!D35"")"),"Muhtar Latifu Nurrohmat")</f>
        <v>Muhtar Latifu Nurrohmat</v>
      </c>
    </row>
    <row r="487" spans="1:12" ht="49.5" hidden="1">
      <c r="A487" s="4" t="str">
        <v>Alternatif Periode ke-86 II.B.3</v>
      </c>
      <c r="B487" s="4" t="str">
        <v>Alternatif Periode ke-86</v>
      </c>
      <c r="C487" s="4" t="str">
        <v>II.B.3</v>
      </c>
      <c r="D487" s="101" t="str">
        <v>https://drive.google.com/open?id=1pv-oJn3kZ3J7LZWaKax10z-FmgwlT1FIZRjn_cFtR1Y&amp;usp=drive_copy</v>
      </c>
      <c r="E487" s="101" t="str">
        <v>https://drive.google.com/open?id=1pv-oJn3kZ3J7LZWaKax10z-FmgwlT1FIZRjn_cFtR1Y</v>
      </c>
      <c r="F487" s="103" t="str">
        <f ca="1">IFERROR(__xludf.DUMMYFUNCTION("IMPORTRANGE(H487,""IDENTITAS UNIT!D9"")"),"https://goo.gl/maps/ksFBYmvgdSmjbPPc7")</f>
        <v>https://goo.gl/maps/ksFBYmvgdSmjbPPc7</v>
      </c>
      <c r="G487" s="4" t="s">
        <v>13046</v>
      </c>
      <c r="H487" s="101" t="str">
        <v>https://docs.google.com/spreadsheets/d/1pv-oJn3kZ3J7LZWaKax10z-FmgwlT1FIZRjn_cFtR1Y</v>
      </c>
      <c r="I487" s="101" t="str">
        <v>https://docs.google.com/open?id=1pv-oJn3kZ3J7LZWaKax10z-FmgwlT1FIZRjn_cFtR1Y</v>
      </c>
      <c r="J487" s="4" t="str">
        <v>Masjid Al-Hidayah, Jaranan, Banguntapan</v>
      </c>
      <c r="L487" s="99" t="str">
        <f ca="1">IFERROR(__xludf.DUMMYFUNCTION("IMPORTRANGE(H487,""IDENTITAS UNIT!D35"")"),"Igo Putra Pratama")</f>
        <v>Igo Putra Pratama</v>
      </c>
    </row>
    <row r="488" spans="1:12" ht="16.5" hidden="1">
      <c r="A488" s="4" t="str">
        <v>Alternatif Periode ke-86 II.C.1</v>
      </c>
      <c r="B488" s="4" t="str">
        <v>Alternatif Periode ke-86</v>
      </c>
      <c r="C488" s="4" t="str">
        <v>II.C.1</v>
      </c>
      <c r="D488" s="101" t="str">
        <v>https://drive.google.com/open?id=11hH8ceQtzckvAhiPdC8A-_H9yjPAUzN47SxqyxbIpQA&amp;usp=drive_copy</v>
      </c>
      <c r="E488" s="101" t="str">
        <v>https://drive.google.com/open?id=11hH8ceQtzckvAhiPdC8A-_H9yjPAUzN47SxqyxbIpQA</v>
      </c>
      <c r="F488" s="102" t="str">
        <f ca="1">IFERROR(__xludf.DUMMYFUNCTION("IMPORTRANGE(H488,""IDENTITAS UNIT!D9"")"),"")</f>
        <v/>
      </c>
      <c r="H488" s="101" t="str">
        <v>https://docs.google.com/spreadsheets/d/11hH8ceQtzckvAhiPdC8A-_H9yjPAUzN47SxqyxbIpQA</v>
      </c>
      <c r="I488" s="101" t="str">
        <v>https://docs.google.com/open?id=11hH8ceQtzckvAhiPdC8A-_H9yjPAUzN47SxqyxbIpQA</v>
      </c>
      <c r="J488" s="4" t="str">
        <v>Masjid At-Taqarub (Wonocatur), Wonocatur, Banguntapan</v>
      </c>
      <c r="L488" s="99" t="str">
        <f ca="1">IFERROR(__xludf.DUMMYFUNCTION("IMPORTRANGE(H488,""IDENTITAS UNIT!D35"")"),"Albar Hasan")</f>
        <v>Albar Hasan</v>
      </c>
    </row>
    <row r="489" spans="1:12" ht="16.5" hidden="1">
      <c r="A489" s="4" t="str">
        <v>Alternatif Periode ke-86 II.C.2</v>
      </c>
      <c r="B489" s="4" t="str">
        <v>Alternatif Periode ke-86</v>
      </c>
      <c r="C489" s="4" t="str">
        <v>II.C.2</v>
      </c>
      <c r="D489" s="101" t="str">
        <v>https://drive.google.com/open?id=1GXJycXRAsniebh4p2JAgv_fjiRPhZrrR90Ejy2Gi7wA&amp;usp=drive_copy</v>
      </c>
      <c r="E489" s="101" t="str">
        <v>https://drive.google.com/open?id=1GXJycXRAsniebh4p2JAgv_fjiRPhZrrR90Ejy2Gi7wA</v>
      </c>
      <c r="F489" s="102" t="str">
        <f ca="1">IFERROR(__xludf.DUMMYFUNCTION("IMPORTRANGE(H489,""IDENTITAS UNIT!D9"")"),"")</f>
        <v/>
      </c>
      <c r="H489" s="101" t="str">
        <v>https://docs.google.com/spreadsheets/d/1GXJycXRAsniebh4p2JAgv_fjiRPhZrrR90Ejy2Gi7wA</v>
      </c>
      <c r="I489" s="101" t="str">
        <v>https://docs.google.com/open?id=1GXJycXRAsniebh4p2JAgv_fjiRPhZrrR90Ejy2Gi7wA</v>
      </c>
      <c r="J489" s="4" t="str">
        <v>Masjid Jabir bin Abdullah, Sorowajan, Banguntapan</v>
      </c>
      <c r="L489" s="99" t="str">
        <f ca="1">IFERROR(__xludf.DUMMYFUNCTION("IMPORTRANGE(H489,""IDENTITAS UNIT!D35"")"),"Rafi Al Pasiri")</f>
        <v>Rafi Al Pasiri</v>
      </c>
    </row>
    <row r="490" spans="1:12" ht="49.5" hidden="1">
      <c r="A490" s="4" t="str">
        <v>Alternatif Periode ke-86 II.C.3</v>
      </c>
      <c r="B490" s="4" t="str">
        <v>Alternatif Periode ke-86</v>
      </c>
      <c r="C490" s="4" t="str">
        <v>II.C.3</v>
      </c>
      <c r="D490" s="101" t="str">
        <v>https://drive.google.com/open?id=1U_kPG4zCJtc6l-UJpJgBpPUPqFitSrp-l4jVTEIaJ24&amp;usp=drive_copy</v>
      </c>
      <c r="E490" s="101" t="str">
        <v>https://drive.google.com/open?id=1U_kPG4zCJtc6l-UJpJgBpPUPqFitSrp-l4jVTEIaJ24</v>
      </c>
      <c r="F490" s="103" t="str">
        <f ca="1">IFERROR(__xludf.DUMMYFUNCTION("IMPORTRANGE(H490,""IDENTITAS UNIT!D9"")"),"https://goo.gl/maps/r421Ydh52oF3UA4u9")</f>
        <v>https://goo.gl/maps/r421Ydh52oF3UA4u9</v>
      </c>
      <c r="G490" s="4" t="s">
        <v>13047</v>
      </c>
      <c r="H490" s="101" t="str">
        <v>https://docs.google.com/spreadsheets/d/1U_kPG4zCJtc6l-UJpJgBpPUPqFitSrp-l4jVTEIaJ24</v>
      </c>
      <c r="I490" s="101" t="str">
        <v>https://docs.google.com/open?id=1U_kPG4zCJtc6l-UJpJgBpPUPqFitSrp-l4jVTEIaJ24</v>
      </c>
      <c r="J490" s="4" t="str">
        <v>Masjid Assalam Sorowajan, Sorowajan, Banguntapan</v>
      </c>
      <c r="L490" s="99" t="str">
        <f ca="1">IFERROR(__xludf.DUMMYFUNCTION("IMPORTRANGE(H490,""IDENTITAS UNIT!D35"")"),"ANDI FIRMANDA")</f>
        <v>ANDI FIRMANDA</v>
      </c>
    </row>
    <row r="491" spans="1:12" ht="16.5" hidden="1">
      <c r="A491" s="4" t="str">
        <v>Reguler Periode ke-101 XXIX.A.1</v>
      </c>
      <c r="B491" s="4" t="str">
        <v>Reguler Periode ke-101</v>
      </c>
      <c r="C491" s="4" t="str">
        <v>XXIX.A.1</v>
      </c>
      <c r="D491" s="4">
        <v>0</v>
      </c>
      <c r="E491" s="4" t="str">
        <v>0</v>
      </c>
      <c r="F491" s="102" t="str">
        <f ca="1">IFERROR(__xludf.DUMMYFUNCTION("IMPORTRANGE(H491,""IDENTITAS UNIT!D9"")"),"#N/A")</f>
        <v>#N/A</v>
      </c>
      <c r="H491" s="4" t="str">
        <v>0</v>
      </c>
      <c r="I491" s="4" t="str">
        <v>0</v>
      </c>
      <c r="J491" s="4">
        <v>0</v>
      </c>
      <c r="L491" s="99" t="str">
        <f ca="1">IFERROR(__xludf.DUMMYFUNCTION("IMPORTRANGE(H491,""IDENTITAS UNIT!D35"")"),"#N/A")</f>
        <v>#N/A</v>
      </c>
    </row>
    <row r="492" spans="1:12" ht="16.5" hidden="1">
      <c r="A492" s="4" t="str">
        <v>Reguler Periode ke-107 I.A.1</v>
      </c>
      <c r="B492" s="4" t="str">
        <v>Reguler Periode ke-107</v>
      </c>
      <c r="C492" s="4" t="str">
        <v>I.A.1</v>
      </c>
      <c r="D492" s="101" t="str">
        <v>https://docs.google.com/spreadsheets/d/1jLNf8Z_ggCDVtKRBWe0mr7gre3LCLqYYq10_rjFIYRA/edit?usp=sharing</v>
      </c>
      <c r="E492" s="101" t="str">
        <v>https://docs.google.com/spreadsheets/d/1jLNf8Z_ggCDVtKRBWe0mr7gre3LCLqYYq10_rjFIYRA/edit?usp=sharing</v>
      </c>
      <c r="F492" s="102" t="str">
        <f ca="1">IFERROR(__xludf.DUMMYFUNCTION("IMPORTRANGE(H492,""IDENTITAS UNIT!D9"")"),"")</f>
        <v/>
      </c>
      <c r="H492" s="101" t="str">
        <v>https://docs.google.com/spreadsheets/d/1jLNf8Z_ggCDVtKRBWe0mr7gre3LCLqYYq10_rjFIYRA/edit?usp=sharing</v>
      </c>
      <c r="I492" s="101" t="str">
        <v>https://docs.google.com/spreadsheets/d/1jLNf8Z_ggCDVtKRBWe0mr7gre3LCLqYYq10_rjFIYRA/edit?usp=sharing</v>
      </c>
      <c r="J492" s="4" t="str">
        <v>Cianjur</v>
      </c>
      <c r="L492" s="99" t="str">
        <f ca="1">IFERROR(__xludf.DUMMYFUNCTION("IMPORTRANGE(H492,""IDENTITAS UNIT!D35"")"),"MUHAMMAD FATTAH AR RIDLO")</f>
        <v>MUHAMMAD FATTAH AR RIDLO</v>
      </c>
    </row>
    <row r="493" spans="1:12" ht="16.5" hidden="1">
      <c r="A493" s="4" t="str">
        <v>Reguler Periode ke-109 I.A.1</v>
      </c>
      <c r="B493" s="4" t="str">
        <v>Reguler Periode ke-109</v>
      </c>
      <c r="C493" s="4" t="str">
        <v>I.A.1</v>
      </c>
      <c r="D493" s="4">
        <v>0</v>
      </c>
      <c r="E493" s="4" t="str">
        <v>0</v>
      </c>
      <c r="F493" s="102" t="str">
        <f ca="1">IFERROR(__xludf.DUMMYFUNCTION("IMPORTRANGE(H493,""IDENTITAS UNIT!D9"")"),"#N/A")</f>
        <v>#N/A</v>
      </c>
      <c r="H493" s="4" t="str">
        <v>0</v>
      </c>
      <c r="I493" s="4" t="str">
        <v>0</v>
      </c>
      <c r="J493" s="4" t="str">
        <v>Cianjur</v>
      </c>
      <c r="L493" s="99" t="str">
        <f ca="1">IFERROR(__xludf.DUMMYFUNCTION("IMPORTRANGE(H493,""IDENTITAS UNIT!D35"")"),"#N/A")</f>
        <v>#N/A</v>
      </c>
    </row>
    <row r="494" spans="1:12" ht="16.5" hidden="1">
      <c r="A494" s="4" t="str">
        <v>Reguler Periode ke-109 I.A.2</v>
      </c>
      <c r="B494" s="4" t="str">
        <v>Reguler Periode ke-109</v>
      </c>
      <c r="C494" s="4" t="str">
        <v>I.A.2</v>
      </c>
      <c r="D494" s="4">
        <v>0</v>
      </c>
      <c r="E494" s="4" t="str">
        <v>0</v>
      </c>
      <c r="F494" s="102" t="str">
        <f ca="1">IFERROR(__xludf.DUMMYFUNCTION("IMPORTRANGE(H494,""IDENTITAS UNIT!D9"")"),"#N/A")</f>
        <v>#N/A</v>
      </c>
      <c r="H494" s="4" t="str">
        <v>0</v>
      </c>
      <c r="I494" s="4" t="str">
        <v>0</v>
      </c>
      <c r="J494" s="4" t="str">
        <v>Cianjur</v>
      </c>
      <c r="L494" s="99" t="str">
        <f ca="1">IFERROR(__xludf.DUMMYFUNCTION("IMPORTRANGE(H494,""IDENTITAS UNIT!D35"")"),"#N/A")</f>
        <v>#N/A</v>
      </c>
    </row>
    <row r="495" spans="1:12" ht="16.5" hidden="1">
      <c r="A495" s="4" t="str">
        <v>Reguler Periode ke-108 I.A.1</v>
      </c>
      <c r="B495" s="4" t="str">
        <v>Reguler Periode ke-108</v>
      </c>
      <c r="C495" s="4" t="str">
        <v>I.A.1</v>
      </c>
      <c r="D495" s="101" t="str">
        <v>https://drive.google.com/open?id=1IvGLXJoz7d75gHCbZLlH5wx6DhZu_UQO1BSisDEZXII&amp;usp=drive_copy</v>
      </c>
      <c r="E495" s="101" t="str">
        <v>https://drive.google.com/open?id=1IvGLXJoz7d75gHCbZLlH5wx6DhZu_UQO1BSisDEZXII</v>
      </c>
      <c r="F495" s="102" t="str">
        <f ca="1">IFERROR(__xludf.DUMMYFUNCTION("IMPORTRANGE(H495,""IDENTITAS UNIT!D9"")"),"")</f>
        <v/>
      </c>
      <c r="H495" s="101" t="str">
        <v>https://docs.google.com/spreadsheets/d/1IvGLXJoz7d75gHCbZLlH5wx6DhZu_UQO1BSisDEZXII</v>
      </c>
      <c r="I495" s="101" t="str">
        <v>https://docs.google.com/open?id=1IvGLXJoz7d75gHCbZLlH5wx6DhZu_UQO1BSisDEZXII</v>
      </c>
      <c r="J495" s="4">
        <v>0</v>
      </c>
      <c r="L495" s="99" t="str">
        <f ca="1">IFERROR(__xludf.DUMMYFUNCTION("IMPORTRANGE(H495,""IDENTITAS UNIT!D35"")"),"ARIF FAJAR FEBRIYANTO")</f>
        <v>ARIF FAJAR FEBRIYANTO</v>
      </c>
    </row>
    <row r="496" spans="1:12" ht="16.5" hidden="1">
      <c r="A496" s="4" t="str">
        <v>Reguler Periode ke-108 I.A.2</v>
      </c>
      <c r="B496" s="4" t="str">
        <v>Reguler Periode ke-108</v>
      </c>
      <c r="C496" s="4" t="str">
        <v>I.A.2</v>
      </c>
      <c r="D496" s="101" t="str">
        <v>https://drive.google.com/open?id=1bX4_htlOqKWKCW9xNvrHrxZSt6oE7Q1X-y9KDW4k49c&amp;usp=drive_copy</v>
      </c>
      <c r="E496" s="101" t="str">
        <v>https://drive.google.com/open?id=1bX4_htlOqKWKCW9xNvrHrxZSt6oE7Q1X-y9KDW4k49c</v>
      </c>
      <c r="F496" s="102" t="str">
        <f ca="1">IFERROR(__xludf.DUMMYFUNCTION("IMPORTRANGE(H496,""IDENTITAS UNIT!D9"")"),"")</f>
        <v/>
      </c>
      <c r="H496" s="101" t="str">
        <v>https://docs.google.com/spreadsheets/d/1bX4_htlOqKWKCW9xNvrHrxZSt6oE7Q1X-y9KDW4k49c</v>
      </c>
      <c r="I496" s="101" t="str">
        <v>https://docs.google.com/open?id=1bX4_htlOqKWKCW9xNvrHrxZSt6oE7Q1X-y9KDW4k49c</v>
      </c>
      <c r="J496" s="4">
        <v>0</v>
      </c>
      <c r="L496" s="99" t="str">
        <f ca="1">IFERROR(__xludf.DUMMYFUNCTION("IMPORTRANGE(H496,""IDENTITAS UNIT!D35"")"),"Ahmad Firdaus. M")</f>
        <v>Ahmad Firdaus. M</v>
      </c>
    </row>
    <row r="497" spans="1:12" ht="16.5" hidden="1">
      <c r="A497" s="4" t="str">
        <v>Reguler Periode ke-108 I.A.3</v>
      </c>
      <c r="B497" s="4" t="str">
        <v>Reguler Periode ke-108</v>
      </c>
      <c r="C497" s="4" t="str">
        <v>I.A.3</v>
      </c>
      <c r="D497" s="101" t="str">
        <v>https://drive.google.com/open?id=1iQSjjeoJohWWzyXysRFJ8BNRzz1HhY8KY0Eh-5wBr1Y&amp;usp=drive_copy</v>
      </c>
      <c r="E497" s="101" t="str">
        <v>https://drive.google.com/open?id=1iQSjjeoJohWWzyXysRFJ8BNRzz1HhY8KY0Eh-5wBr1Y</v>
      </c>
      <c r="F497" s="102" t="str">
        <f ca="1">IFERROR(__xludf.DUMMYFUNCTION("IMPORTRANGE(H497,""IDENTITAS UNIT!D9"")"),"")</f>
        <v/>
      </c>
      <c r="H497" s="101" t="str">
        <v>https://docs.google.com/spreadsheets/d/1iQSjjeoJohWWzyXysRFJ8BNRzz1HhY8KY0Eh-5wBr1Y</v>
      </c>
      <c r="I497" s="101" t="str">
        <v>https://docs.google.com/open?id=1iQSjjeoJohWWzyXysRFJ8BNRzz1HhY8KY0Eh-5wBr1Y</v>
      </c>
      <c r="J497" s="4">
        <v>0</v>
      </c>
      <c r="L497" s="99" t="str">
        <f ca="1">IFERROR(__xludf.DUMMYFUNCTION("IMPORTRANGE(H497,""IDENTITAS UNIT!D35"")"),"Dhiwa Adlani Nahar")</f>
        <v>Dhiwa Adlani Nahar</v>
      </c>
    </row>
    <row r="498" spans="1:12" ht="49.5" hidden="1">
      <c r="A498" s="4" t="str">
        <v>Reguler Periode ke-108 I.B.1</v>
      </c>
      <c r="B498" s="4" t="str">
        <v>Reguler Periode ke-108</v>
      </c>
      <c r="C498" s="4" t="str">
        <v>I.B.1</v>
      </c>
      <c r="D498" s="101" t="str">
        <v>https://drive.google.com/open?id=1KyEd3_sAVEYlbG-CIYysI3kHDN81hVIDDGJ993q-O0w&amp;usp=drive_copy</v>
      </c>
      <c r="E498" s="101" t="str">
        <v>https://drive.google.com/open?id=1KyEd3_sAVEYlbG-CIYysI3kHDN81hVIDDGJ993q-O0w</v>
      </c>
      <c r="F498" s="103" t="str">
        <f ca="1">IFERROR(__xludf.DUMMYFUNCTION("IMPORTRANGE(H498,""IDENTITAS UNIT!D9"")"),"https://maps.app.goo.gl/EzYvFEbMChnh533t5")</f>
        <v>https://maps.app.goo.gl/EzYvFEbMChnh533t5</v>
      </c>
      <c r="H498" s="101" t="str">
        <v>https://docs.google.com/spreadsheets/d/1KyEd3_sAVEYlbG-CIYysI3kHDN81hVIDDGJ993q-O0w</v>
      </c>
      <c r="I498" s="101" t="str">
        <v>https://docs.google.com/open?id=1KyEd3_sAVEYlbG-CIYysI3kHDN81hVIDDGJ993q-O0w</v>
      </c>
      <c r="J498" s="4">
        <v>0</v>
      </c>
      <c r="L498" s="99" t="str">
        <f ca="1">IFERROR(__xludf.DUMMYFUNCTION("IMPORTRANGE(H498,""IDENTITAS UNIT!D35"")"),"Vrisas Meri Setiawan")</f>
        <v>Vrisas Meri Setiawan</v>
      </c>
    </row>
    <row r="499" spans="1:12" ht="66" hidden="1">
      <c r="A499" s="4" t="str">
        <v>Reguler Periode ke-108 I.B.2</v>
      </c>
      <c r="B499" s="4" t="str">
        <v>Reguler Periode ke-108</v>
      </c>
      <c r="C499" s="4" t="str">
        <v>I.B.2</v>
      </c>
      <c r="D499" s="101" t="str">
        <v>https://drive.google.com/open?id=1V6yu20UkgdKhMonMzjGUIWTYP2as6Onb-rGoh5RhXZk&amp;usp=drive_copy</v>
      </c>
      <c r="E499" s="101" t="str">
        <v>https://drive.google.com/open?id=1V6yu20UkgdKhMonMzjGUIWTYP2as6Onb-rGoh5RhXZk</v>
      </c>
      <c r="F499" s="102" t="str">
        <f ca="1">IFERROR(__xludf.DUMMYFUNCTION("IMPORTRANGE(H499,""IDENTITAS UNIT!D9"")"),"Warung Bu Sri
https://maps.app.goo.gl/7q5AvN1AHZkuv1eb7")</f>
        <v>Warung Bu Sri
https://maps.app.goo.gl/7q5AvN1AHZkuv1eb7</v>
      </c>
      <c r="G499" s="4" t="s">
        <v>13048</v>
      </c>
      <c r="H499" s="101" t="str">
        <v>https://docs.google.com/spreadsheets/d/1V6yu20UkgdKhMonMzjGUIWTYP2as6Onb-rGoh5RhXZk</v>
      </c>
      <c r="I499" s="101" t="str">
        <v>https://docs.google.com/open?id=1V6yu20UkgdKhMonMzjGUIWTYP2as6Onb-rGoh5RhXZk</v>
      </c>
      <c r="J499" s="4">
        <v>0</v>
      </c>
      <c r="L499" s="99" t="str">
        <f ca="1">IFERROR(__xludf.DUMMYFUNCTION("IMPORTRANGE(H499,""IDENTITAS UNIT!D35"")"),"ANGGA RIZKI SABDANA PUTRA")</f>
        <v>ANGGA RIZKI SABDANA PUTRA</v>
      </c>
    </row>
    <row r="500" spans="1:12" ht="49.5" hidden="1">
      <c r="A500" s="4" t="str">
        <v>Reguler Periode ke-108 I.B.3</v>
      </c>
      <c r="B500" s="4" t="str">
        <v>Reguler Periode ke-108</v>
      </c>
      <c r="C500" s="4" t="str">
        <v>I.B.3</v>
      </c>
      <c r="D500" s="101" t="str">
        <v>https://drive.google.com/open?id=1p_OgapkWx-5HjNula4UeZfj080vtBkeuUCZ0IbnMiqw&amp;usp=drive_copy</v>
      </c>
      <c r="E500" s="101" t="str">
        <v>https://drive.google.com/open?id=1p_OgapkWx-5HjNula4UeZfj080vtBkeuUCZ0IbnMiqw</v>
      </c>
      <c r="F500" s="103" t="str">
        <f ca="1">IFERROR(__xludf.DUMMYFUNCTION("IMPORTRANGE(H500,""IDENTITAS UNIT!D9"")"),"https://maps.app.goo.gl/mKpryZbmoikiPaE48")</f>
        <v>https://maps.app.goo.gl/mKpryZbmoikiPaE48</v>
      </c>
      <c r="G500" s="4" t="s">
        <v>13049</v>
      </c>
      <c r="H500" s="101" t="str">
        <v>https://docs.google.com/spreadsheets/d/1p_OgapkWx-5HjNula4UeZfj080vtBkeuUCZ0IbnMiqw</v>
      </c>
      <c r="I500" s="101" t="str">
        <v>https://docs.google.com/open?id=1p_OgapkWx-5HjNula4UeZfj080vtBkeuUCZ0IbnMiqw</v>
      </c>
      <c r="J500" s="4">
        <v>0</v>
      </c>
      <c r="L500" s="99" t="str">
        <f ca="1">IFERROR(__xludf.DUMMYFUNCTION("IMPORTRANGE(H500,""IDENTITAS UNIT!D35"")"),"Eqvista Runtun Pamungkas")</f>
        <v>Eqvista Runtun Pamungkas</v>
      </c>
    </row>
    <row r="501" spans="1:12" ht="49.5" hidden="1">
      <c r="A501" s="4" t="str">
        <v>Alternatif Periode ke-87 I.A.1</v>
      </c>
      <c r="B501" s="4" t="str">
        <v>Alternatif Periode ke-87</v>
      </c>
      <c r="C501" s="4" t="str">
        <v>I.A.1</v>
      </c>
      <c r="D501" s="101" t="str">
        <v>https://drive.google.com/open?id=1iUf28_s-jHH90j-QS6sqLcRJ5CjRxLXz_VFES7xmefk&amp;usp=drive_copy</v>
      </c>
      <c r="E501" s="101" t="str">
        <v>https://drive.google.com/open?id=1iUf28_s-jHH90j-QS6sqLcRJ5CjRxLXz_VFES7xmefk</v>
      </c>
      <c r="F501" s="103" t="str">
        <f ca="1">IFERROR(__xludf.DUMMYFUNCTION("IMPORTRANGE(H501,""IDENTITAS UNIT!D9"")"),"https://maps.app.goo.gl/VR7XeAgQJzyD3jCJ7")</f>
        <v>https://maps.app.goo.gl/VR7XeAgQJzyD3jCJ7</v>
      </c>
      <c r="G501" s="4" t="s">
        <v>13050</v>
      </c>
      <c r="H501" s="101" t="str">
        <v>https://docs.google.com/spreadsheets/d/1iUf28_s-jHH90j-QS6sqLcRJ5CjRxLXz_VFES7xmefk</v>
      </c>
      <c r="I501" s="101" t="str">
        <v>https://docs.google.com/open?id=1iUf28_s-jHH90j-QS6sqLcRJ5CjRxLXz_VFES7xmefk</v>
      </c>
      <c r="J501" s="4" t="str">
        <v>RW 10, Brontokusuman, Mergangsan</v>
      </c>
      <c r="L501" s="99" t="str">
        <f ca="1">IFERROR(__xludf.DUMMYFUNCTION("IMPORTRANGE(H501,""IDENTITAS UNIT!D35"")"),"Mellano Budi Saputra")</f>
        <v>Mellano Budi Saputra</v>
      </c>
    </row>
    <row r="502" spans="1:12" ht="49.5" hidden="1">
      <c r="A502" s="4" t="str">
        <v>Alternatif Periode ke-87 I.A.2</v>
      </c>
      <c r="B502" s="4" t="str">
        <v>Alternatif Periode ke-87</v>
      </c>
      <c r="C502" s="4" t="str">
        <v>I.A.2</v>
      </c>
      <c r="D502" s="101" t="str">
        <v>https://drive.google.com/open?id=1PPpDhspB4u9hX2w1lg9MB73NhEYQmUY3883AYCxVDCU&amp;usp=drive_copy</v>
      </c>
      <c r="E502" s="101" t="str">
        <v>https://drive.google.com/open?id=1PPpDhspB4u9hX2w1lg9MB73NhEYQmUY3883AYCxVDCU</v>
      </c>
      <c r="F502" s="103" t="str">
        <f ca="1">IFERROR(__xludf.DUMMYFUNCTION("IMPORTRANGE(H502,""IDENTITAS UNIT!D9"")"),"https://maps.app.goo.gl/ceT69f9uGMJrrVXp8")</f>
        <v>https://maps.app.goo.gl/ceT69f9uGMJrrVXp8</v>
      </c>
      <c r="H502" s="101" t="str">
        <v>https://docs.google.com/spreadsheets/d/1PPpDhspB4u9hX2w1lg9MB73NhEYQmUY3883AYCxVDCU</v>
      </c>
      <c r="I502" s="101" t="str">
        <v>https://docs.google.com/open?id=1PPpDhspB4u9hX2w1lg9MB73NhEYQmUY3883AYCxVDCU</v>
      </c>
      <c r="J502" s="4" t="str">
        <v>RW 11, Brontokusuman, Mergangsan</v>
      </c>
      <c r="L502" s="99" t="str">
        <f ca="1">IFERROR(__xludf.DUMMYFUNCTION("IMPORTRANGE(H502,""IDENTITAS UNIT!D35"")"),"Andre Pandia")</f>
        <v>Andre Pandia</v>
      </c>
    </row>
    <row r="503" spans="1:12" ht="49.5" hidden="1">
      <c r="A503" s="4" t="str">
        <v>Alternatif Periode ke-87 I.A.3</v>
      </c>
      <c r="B503" s="4" t="str">
        <v>Alternatif Periode ke-87</v>
      </c>
      <c r="C503" s="4" t="str">
        <v>I.A.3</v>
      </c>
      <c r="D503" s="101" t="str">
        <v>https://drive.google.com/open?id=1um608jV13fNH1ZbjwoXwV-tSluf_VdhWse6cXP4D8hU&amp;usp=drive_copy</v>
      </c>
      <c r="E503" s="101" t="str">
        <v>https://drive.google.com/open?id=1um608jV13fNH1ZbjwoXwV-tSluf_VdhWse6cXP4D8hU</v>
      </c>
      <c r="F503" s="103" t="str">
        <f ca="1">IFERROR(__xludf.DUMMYFUNCTION("IMPORTRANGE(H503,""IDENTITAS UNIT!D9"")"),"https://maps.app.goo.gl/fST9C89BDzJVFvxw8 ")</f>
        <v xml:space="preserve">https://maps.app.goo.gl/fST9C89BDzJVFvxw8 </v>
      </c>
      <c r="H503" s="101" t="str">
        <v>https://docs.google.com/spreadsheets/d/1um608jV13fNH1ZbjwoXwV-tSluf_VdhWse6cXP4D8hU</v>
      </c>
      <c r="I503" s="101" t="str">
        <v>https://docs.google.com/open?id=1um608jV13fNH1ZbjwoXwV-tSluf_VdhWse6cXP4D8hU</v>
      </c>
      <c r="J503" s="4" t="str">
        <v>RW 12, Brontokusuman, Mergangsan</v>
      </c>
      <c r="L503" s="99" t="str">
        <f ca="1">IFERROR(__xludf.DUMMYFUNCTION("IMPORTRANGE(H503,""IDENTITAS UNIT!D35"")"),"Muhammad Reva Aflaqi Fathoni")</f>
        <v>Muhammad Reva Aflaqi Fathoni</v>
      </c>
    </row>
    <row r="504" spans="1:12" ht="49.5" hidden="1">
      <c r="A504" s="4" t="str">
        <v>Alternatif Periode ke-87 I.B.1</v>
      </c>
      <c r="B504" s="4" t="str">
        <v>Alternatif Periode ke-87</v>
      </c>
      <c r="C504" s="4" t="str">
        <v>I.B.1</v>
      </c>
      <c r="D504" s="101" t="str">
        <v>https://drive.google.com/open?id=1O-egH88Iib6M9rZre7M_JfG2fbOwBPlkGCSlQhpfDzg&amp;usp=drive_copy</v>
      </c>
      <c r="E504" s="101" t="str">
        <v>https://drive.google.com/open?id=1O-egH88Iib6M9rZre7M_JfG2fbOwBPlkGCSlQhpfDzg</v>
      </c>
      <c r="F504" s="103" t="str">
        <f ca="1">IFERROR(__xludf.DUMMYFUNCTION("IMPORTRANGE(H504,""IDENTITAS UNIT!D9"")"),"https://goo.gl/maps/hyu7wmvqyn81Su1u7")</f>
        <v>https://goo.gl/maps/hyu7wmvqyn81Su1u7</v>
      </c>
      <c r="G504" s="4" t="s">
        <v>13051</v>
      </c>
      <c r="H504" s="101" t="str">
        <v>https://docs.google.com/spreadsheets/d/1O-egH88Iib6M9rZre7M_JfG2fbOwBPlkGCSlQhpfDzg</v>
      </c>
      <c r="I504" s="101" t="str">
        <v>https://docs.google.com/open?id=1O-egH88Iib6M9rZre7M_JfG2fbOwBPlkGCSlQhpfDzg</v>
      </c>
      <c r="J504" s="4" t="str">
        <v>RW 13, Brontokusuman, Mergangsan</v>
      </c>
      <c r="L504" s="99" t="str">
        <f ca="1">IFERROR(__xludf.DUMMYFUNCTION("IMPORTRANGE(H504,""IDENTITAS UNIT!D35"")"),"M. Anas Kurniawan Az-hari")</f>
        <v>M. Anas Kurniawan Az-hari</v>
      </c>
    </row>
    <row r="505" spans="1:12" ht="49.5" hidden="1">
      <c r="A505" s="4" t="str">
        <v>Alternatif Periode ke-87 I.B.2</v>
      </c>
      <c r="B505" s="4" t="str">
        <v>Alternatif Periode ke-87</v>
      </c>
      <c r="C505" s="4" t="str">
        <v>I.B.2</v>
      </c>
      <c r="D505" s="101" t="str">
        <v>https://drive.google.com/open?id=1vf9IH1TNEzD_gmwTsqRsxcuNdYEbaq1G0-xDRGPnyqs&amp;usp=drive_copy</v>
      </c>
      <c r="E505" s="101" t="str">
        <v>https://drive.google.com/open?id=1vf9IH1TNEzD_gmwTsqRsxcuNdYEbaq1G0-xDRGPnyqs</v>
      </c>
      <c r="F505" s="103" t="str">
        <f ca="1">IFERROR(__xludf.DUMMYFUNCTION("IMPORTRANGE(H505,""IDENTITAS UNIT!D9"")"),"https://goo.gl/maps/3MQmLE9Pcs7xRUkw6")</f>
        <v>https://goo.gl/maps/3MQmLE9Pcs7xRUkw6</v>
      </c>
      <c r="G505" s="4" t="s">
        <v>13052</v>
      </c>
      <c r="H505" s="101" t="str">
        <v>https://docs.google.com/spreadsheets/d/1vf9IH1TNEzD_gmwTsqRsxcuNdYEbaq1G0-xDRGPnyqs</v>
      </c>
      <c r="I505" s="101" t="str">
        <v>https://docs.google.com/open?id=1vf9IH1TNEzD_gmwTsqRsxcuNdYEbaq1G0-xDRGPnyqs</v>
      </c>
      <c r="J505" s="4" t="str">
        <v>RW 14, Brontokusuman, Mergangsan</v>
      </c>
      <c r="L505" s="99" t="str">
        <f ca="1">IFERROR(__xludf.DUMMYFUNCTION("IMPORTRANGE(H505,""IDENTITAS UNIT!D35"")"),"KARMAN EKA FEBRIANTO")</f>
        <v>KARMAN EKA FEBRIANTO</v>
      </c>
    </row>
    <row r="506" spans="1:12" ht="49.5" hidden="1">
      <c r="A506" s="4" t="str">
        <v>Alternatif Periode ke-87 I.B.3</v>
      </c>
      <c r="B506" s="4" t="str">
        <v>Alternatif Periode ke-87</v>
      </c>
      <c r="C506" s="4" t="str">
        <v>I.B.3</v>
      </c>
      <c r="D506" s="101" t="str">
        <v>https://drive.google.com/open?id=1mO6C_b6mBKmePJE5cBj_hx6Seiu8PTdyMZYgrGWJuLI&amp;usp=drive_copy</v>
      </c>
      <c r="E506" s="101" t="str">
        <v>https://drive.google.com/open?id=1mO6C_b6mBKmePJE5cBj_hx6Seiu8PTdyMZYgrGWJuLI</v>
      </c>
      <c r="F506" s="103" t="str">
        <f ca="1">IFERROR(__xludf.DUMMYFUNCTION("IMPORTRANGE(H506,""IDENTITAS UNIT!D9"")"),"https://goo.gl/maps/quQeiuuDzfVKwYLYA")</f>
        <v>https://goo.gl/maps/quQeiuuDzfVKwYLYA</v>
      </c>
      <c r="G506" s="4" t="s">
        <v>13053</v>
      </c>
      <c r="H506" s="101" t="str">
        <v>https://docs.google.com/spreadsheets/d/1mO6C_b6mBKmePJE5cBj_hx6Seiu8PTdyMZYgrGWJuLI</v>
      </c>
      <c r="I506" s="101" t="str">
        <v>https://docs.google.com/open?id=1mO6C_b6mBKmePJE5cBj_hx6Seiu8PTdyMZYgrGWJuLI</v>
      </c>
      <c r="J506" s="4" t="str">
        <v>RW 15, Brontokusuman, Mergangsan</v>
      </c>
      <c r="L506" s="99" t="str">
        <f ca="1">IFERROR(__xludf.DUMMYFUNCTION("IMPORTRANGE(H506,""IDENTITAS UNIT!D35"")"),"Khoirudin")</f>
        <v>Khoirudin</v>
      </c>
    </row>
    <row r="507" spans="1:12" ht="49.5" hidden="1">
      <c r="A507" s="4" t="str">
        <v>Alternatif Periode ke-87 I.C.1</v>
      </c>
      <c r="B507" s="4" t="str">
        <v>Alternatif Periode ke-87</v>
      </c>
      <c r="C507" s="4" t="str">
        <v>I.C.1</v>
      </c>
      <c r="D507" s="101" t="str">
        <v>https://drive.google.com/open?id=1Gyp4t-UQBK08oZO6biQiBfeO2ByzVN5eUy_Awhv5KCo&amp;usp=drive_copy</v>
      </c>
      <c r="E507" s="101" t="str">
        <v>https://drive.google.com/open?id=1Gyp4t-UQBK08oZO6biQiBfeO2ByzVN5eUy_Awhv5KCo</v>
      </c>
      <c r="F507" s="103" t="str">
        <f ca="1">IFERROR(__xludf.DUMMYFUNCTION("IMPORTRANGE(H507,""IDENTITAS UNIT!D9"")"),"https://goo.gl/maps/GFiGcfbgTjMfJFS69")</f>
        <v>https://goo.gl/maps/GFiGcfbgTjMfJFS69</v>
      </c>
      <c r="G507" s="4" t="s">
        <v>13054</v>
      </c>
      <c r="H507" s="101" t="str">
        <v>https://docs.google.com/spreadsheets/d/1Gyp4t-UQBK08oZO6biQiBfeO2ByzVN5eUy_Awhv5KCo</v>
      </c>
      <c r="I507" s="101" t="str">
        <v>https://docs.google.com/open?id=1Gyp4t-UQBK08oZO6biQiBfeO2ByzVN5eUy_Awhv5KCo</v>
      </c>
      <c r="J507" s="4" t="str">
        <v>RW 23, Brontokusuman, Mergangsan</v>
      </c>
      <c r="L507" s="99" t="str">
        <f ca="1">IFERROR(__xludf.DUMMYFUNCTION("IMPORTRANGE(H507,""IDENTITAS UNIT!D35"")"),"Waldi Juma")</f>
        <v>Waldi Juma</v>
      </c>
    </row>
    <row r="508" spans="1:12" ht="49.5" hidden="1">
      <c r="A508" s="4" t="str">
        <v>Alternatif Periode ke-87 I.C.2</v>
      </c>
      <c r="B508" s="4" t="str">
        <v>Alternatif Periode ke-87</v>
      </c>
      <c r="C508" s="4" t="str">
        <v>I.C.2</v>
      </c>
      <c r="D508" s="101" t="str">
        <v>https://drive.google.com/open?id=10DFYDDvNe3AZ4jpZx8gGBJWP8WiwHffFIRukjJi6Uw8&amp;usp=drive_copy</v>
      </c>
      <c r="E508" s="101" t="str">
        <v>https://drive.google.com/open?id=10DFYDDvNe3AZ4jpZx8gGBJWP8WiwHffFIRukjJi6Uw8</v>
      </c>
      <c r="F508" s="103" t="str">
        <f ca="1">IFERROR(__xludf.DUMMYFUNCTION("IMPORTRANGE(H508,""IDENTITAS UNIT!D9"")"),"https://maps.app.goo.gl/uQm8tZyW35j9j6Mv5")</f>
        <v>https://maps.app.goo.gl/uQm8tZyW35j9j6Mv5</v>
      </c>
      <c r="G508" s="4" t="s">
        <v>13055</v>
      </c>
      <c r="H508" s="101" t="str">
        <v>https://docs.google.com/spreadsheets/d/10DFYDDvNe3AZ4jpZx8gGBJWP8WiwHffFIRukjJi6Uw8</v>
      </c>
      <c r="I508" s="101" t="str">
        <v>https://docs.google.com/open?id=10DFYDDvNe3AZ4jpZx8gGBJWP8WiwHffFIRukjJi6Uw8</v>
      </c>
      <c r="J508" s="4" t="str">
        <v>RW 16, Brontokusuman, Mergangsan</v>
      </c>
      <c r="L508" s="99" t="str">
        <f ca="1">IFERROR(__xludf.DUMMYFUNCTION("IMPORTRANGE(H508,""IDENTITAS UNIT!D35"")"),"NURUDDIN HANIF AL MAHDI")</f>
        <v>NURUDDIN HANIF AL MAHDI</v>
      </c>
    </row>
    <row r="509" spans="1:12" ht="49.5" hidden="1">
      <c r="A509" s="4" t="str">
        <v>Alternatif Periode ke-87 I.C.3</v>
      </c>
      <c r="B509" s="4" t="str">
        <v>Alternatif Periode ke-87</v>
      </c>
      <c r="C509" s="4" t="str">
        <v>I.C.3</v>
      </c>
      <c r="D509" s="101" t="str">
        <v>https://drive.google.com/open?id=1XuQZNnibOyCytsARK_ziNOujKZT4jnSKfQXMe74mkpQ&amp;usp=drive_copy</v>
      </c>
      <c r="E509" s="101" t="str">
        <v>https://drive.google.com/open?id=1XuQZNnibOyCytsARK_ziNOujKZT4jnSKfQXMe74mkpQ</v>
      </c>
      <c r="F509" s="103" t="str">
        <f ca="1">IFERROR(__xludf.DUMMYFUNCTION("IMPORTRANGE(H509,""IDENTITAS UNIT!D9"")"),"https://maps.app.goo.gl/JtwjF9s2t2HoVLfg6?g_st=iww")</f>
        <v>https://maps.app.goo.gl/JtwjF9s2t2HoVLfg6?g_st=iww</v>
      </c>
      <c r="G509" s="4" t="s">
        <v>13056</v>
      </c>
      <c r="H509" s="101" t="str">
        <v>https://docs.google.com/spreadsheets/d/1XuQZNnibOyCytsARK_ziNOujKZT4jnSKfQXMe74mkpQ</v>
      </c>
      <c r="I509" s="101" t="str">
        <v>https://docs.google.com/open?id=1XuQZNnibOyCytsARK_ziNOujKZT4jnSKfQXMe74mkpQ</v>
      </c>
      <c r="J509" s="4" t="str">
        <v>RW 17, Brontokusuman, Mergangsan</v>
      </c>
      <c r="L509" s="99" t="str">
        <f ca="1">IFERROR(__xludf.DUMMYFUNCTION("IMPORTRANGE(H509,""IDENTITAS UNIT!D35"")"),"Gilang Rediansyah")</f>
        <v>Gilang Rediansyah</v>
      </c>
    </row>
    <row r="510" spans="1:12" ht="49.5" hidden="1">
      <c r="A510" s="4" t="str">
        <v>Alternatif Periode ke-87 I.D.1</v>
      </c>
      <c r="B510" s="4" t="str">
        <v>Alternatif Periode ke-87</v>
      </c>
      <c r="C510" s="4" t="str">
        <v>I.D.1</v>
      </c>
      <c r="D510" s="101" t="str">
        <v>https://drive.google.com/open?id=13TQ-__xDNE_0oT5PADtUN9vF5tqbAPeOY1xLTELvhe8&amp;usp=drive_copy</v>
      </c>
      <c r="E510" s="101" t="str">
        <v>https://drive.google.com/open?id=13TQ-__xDNE_0oT5PADtUN9vF5tqbAPeOY1xLTELvhe8</v>
      </c>
      <c r="F510" s="103" t="str">
        <f ca="1">IFERROR(__xludf.DUMMYFUNCTION("IMPORTRANGE(H510,""IDENTITAS UNIT!D9"")"),"https://maps.app.goo.gl/ysVbEpnsnFHvi2pJ9")</f>
        <v>https://maps.app.goo.gl/ysVbEpnsnFHvi2pJ9</v>
      </c>
      <c r="H510" s="101" t="str">
        <v>https://docs.google.com/spreadsheets/d/13TQ-__xDNE_0oT5PADtUN9vF5tqbAPeOY1xLTELvhe8</v>
      </c>
      <c r="I510" s="101" t="str">
        <v>https://docs.google.com/open?id=13TQ-__xDNE_0oT5PADtUN9vF5tqbAPeOY1xLTELvhe8</v>
      </c>
      <c r="J510" s="4" t="str">
        <v>RW 20, Brontokusuman, Mergangsan</v>
      </c>
      <c r="L510" s="99" t="str">
        <f ca="1">IFERROR(__xludf.DUMMYFUNCTION("IMPORTRANGE(H510,""IDENTITAS UNIT!D35"")"),"Muhammad Nashif Ubaidillah")</f>
        <v>Muhammad Nashif Ubaidillah</v>
      </c>
    </row>
    <row r="511" spans="1:12" ht="49.5" hidden="1">
      <c r="A511" s="4" t="str">
        <v>Alternatif Periode ke-87 I.D.2</v>
      </c>
      <c r="B511" s="4" t="str">
        <v>Alternatif Periode ke-87</v>
      </c>
      <c r="C511" s="4" t="str">
        <v>I.D.2</v>
      </c>
      <c r="D511" s="101" t="str">
        <v>https://drive.google.com/open?id=1BZvpE2lIELEHrmqGgVagoASRdUm4x0umZ0AkPkuzWsA&amp;usp=drive_copy</v>
      </c>
      <c r="E511" s="101" t="str">
        <v>https://drive.google.com/open?id=1BZvpE2lIELEHrmqGgVagoASRdUm4x0umZ0AkPkuzWsA</v>
      </c>
      <c r="F511" s="103" t="str">
        <f ca="1">IFERROR(__xludf.DUMMYFUNCTION("IMPORTRANGE(H511,""IDENTITAS UNIT!D9"")"),"https://maps.app.goo.gl/EpNxAh9RtwEgzq1D7")</f>
        <v>https://maps.app.goo.gl/EpNxAh9RtwEgzq1D7</v>
      </c>
      <c r="G511" s="4" t="s">
        <v>13057</v>
      </c>
      <c r="H511" s="101" t="str">
        <v>https://docs.google.com/spreadsheets/d/1BZvpE2lIELEHrmqGgVagoASRdUm4x0umZ0AkPkuzWsA</v>
      </c>
      <c r="I511" s="101" t="str">
        <v>https://docs.google.com/open?id=1BZvpE2lIELEHrmqGgVagoASRdUm4x0umZ0AkPkuzWsA</v>
      </c>
      <c r="J511" s="4" t="str">
        <v>RW 21, Brontokusuman, Mergangsan</v>
      </c>
      <c r="L511" s="99" t="str">
        <f ca="1">IFERROR(__xludf.DUMMYFUNCTION("IMPORTRANGE(H511,""IDENTITAS UNIT!D35"")"),"Shibghatallah Muhammad Azmi")</f>
        <v>Shibghatallah Muhammad Azmi</v>
      </c>
    </row>
    <row r="512" spans="1:12" ht="49.5" hidden="1">
      <c r="A512" s="4" t="str">
        <v>Alternatif Periode ke-87 I.D.3</v>
      </c>
      <c r="B512" s="4" t="str">
        <v>Alternatif Periode ke-87</v>
      </c>
      <c r="C512" s="4" t="str">
        <v>I.D.3</v>
      </c>
      <c r="D512" s="101" t="str">
        <v>https://drive.google.com/open?id=13XdAr_uOiINSRGWHFDHReJW5DqbVdCwUnPzlWN-nTPM&amp;usp=drive_copy</v>
      </c>
      <c r="E512" s="101" t="str">
        <v>https://drive.google.com/open?id=13XdAr_uOiINSRGWHFDHReJW5DqbVdCwUnPzlWN-nTPM</v>
      </c>
      <c r="F512" s="103" t="str">
        <f ca="1">IFERROR(__xludf.DUMMYFUNCTION("IMPORTRANGE(H512,""IDENTITAS UNIT!D9"")"),"https://maps.app.goo.gl/osKKgzWBASp8BpAq9?g_st=iw")</f>
        <v>https://maps.app.goo.gl/osKKgzWBASp8BpAq9?g_st=iw</v>
      </c>
      <c r="G512" s="4" t="s">
        <v>13058</v>
      </c>
      <c r="H512" s="101" t="str">
        <v>https://docs.google.com/spreadsheets/d/13XdAr_uOiINSRGWHFDHReJW5DqbVdCwUnPzlWN-nTPM</v>
      </c>
      <c r="I512" s="101" t="str">
        <v>https://docs.google.com/open?id=13XdAr_uOiINSRGWHFDHReJW5DqbVdCwUnPzlWN-nTPM</v>
      </c>
      <c r="J512" s="4" t="str">
        <v>RW 22, Brontokusuman, Mergangsan</v>
      </c>
      <c r="L512" s="99" t="str">
        <f ca="1">IFERROR(__xludf.DUMMYFUNCTION("IMPORTRANGE(H512,""IDENTITAS UNIT!D35"")"),"Wahyu Aditiyo")</f>
        <v>Wahyu Aditiyo</v>
      </c>
    </row>
    <row r="513" spans="1:12" ht="49.5" hidden="1">
      <c r="A513" s="4" t="str">
        <v>Alternatif Periode ke-87 II.A.1</v>
      </c>
      <c r="B513" s="4" t="str">
        <v>Alternatif Periode ke-87</v>
      </c>
      <c r="C513" s="4" t="str">
        <v>II.A.1</v>
      </c>
      <c r="D513" s="101" t="str">
        <v>https://drive.google.com/open?id=1smYlJllyFxSDC7a-ozDjpGG1hoTNBhv6WlntctPNeto&amp;usp=drive_copy</v>
      </c>
      <c r="E513" s="101" t="str">
        <v>https://drive.google.com/open?id=1smYlJllyFxSDC7a-ozDjpGG1hoTNBhv6WlntctPNeto</v>
      </c>
      <c r="F513" s="103" t="str">
        <f ca="1">IFERROR(__xludf.DUMMYFUNCTION("IMPORTRANGE(H513,""IDENTITAS UNIT!D9"")"),"https://goo.gl/maps/HXcTrZjM6WHUX8SS8")</f>
        <v>https://goo.gl/maps/HXcTrZjM6WHUX8SS8</v>
      </c>
      <c r="H513" s="101" t="str">
        <v>https://docs.google.com/spreadsheets/d/1smYlJllyFxSDC7a-ozDjpGG1hoTNBhv6WlntctPNeto</v>
      </c>
      <c r="I513" s="101" t="str">
        <v>https://docs.google.com/open?id=1smYlJllyFxSDC7a-ozDjpGG1hoTNBhv6WlntctPNeto</v>
      </c>
      <c r="J513" s="4" t="str">
        <v>RW 6, Brontokusuman, Mergangsan</v>
      </c>
      <c r="L513" s="99" t="str">
        <f ca="1">IFERROR(__xludf.DUMMYFUNCTION("IMPORTRANGE(H513,""IDENTITAS UNIT!D35"")"),"Aksan Isnawan")</f>
        <v>Aksan Isnawan</v>
      </c>
    </row>
    <row r="514" spans="1:12" ht="49.5" hidden="1">
      <c r="A514" s="4" t="str">
        <v>Alternatif Periode ke-87 II.A.2</v>
      </c>
      <c r="B514" s="4" t="str">
        <v>Alternatif Periode ke-87</v>
      </c>
      <c r="C514" s="4" t="str">
        <v>II.A.2</v>
      </c>
      <c r="D514" s="101" t="str">
        <v>https://drive.google.com/open?id=1AlCJEWk90gOYN_FH1lIm3DFOtuZWqHqrk9efEBmlnME&amp;usp=drive_copy</v>
      </c>
      <c r="E514" s="101" t="str">
        <v>https://drive.google.com/open?id=1AlCJEWk90gOYN_FH1lIm3DFOtuZWqHqrk9efEBmlnME</v>
      </c>
      <c r="F514" s="103" t="str">
        <f ca="1">IFERROR(__xludf.DUMMYFUNCTION("IMPORTRANGE(H514,""IDENTITAS UNIT!D9"")"),"https://maps.app.goo.gl/Pha4r6uMLrUK6Bqs7")</f>
        <v>https://maps.app.goo.gl/Pha4r6uMLrUK6Bqs7</v>
      </c>
      <c r="G514" s="4" t="s">
        <v>13059</v>
      </c>
      <c r="H514" s="101" t="str">
        <v>https://docs.google.com/spreadsheets/d/1AlCJEWk90gOYN_FH1lIm3DFOtuZWqHqrk9efEBmlnME</v>
      </c>
      <c r="I514" s="101" t="str">
        <v>https://docs.google.com/open?id=1AlCJEWk90gOYN_FH1lIm3DFOtuZWqHqrk9efEBmlnME</v>
      </c>
      <c r="J514" s="4" t="str">
        <v>RW 18, Brontokusuman, Mergangsan</v>
      </c>
      <c r="L514" s="99" t="str">
        <f ca="1">IFERROR(__xludf.DUMMYFUNCTION("IMPORTRANGE(H514,""IDENTITAS UNIT!D35"")"),"Arga Wisnu Wardana")</f>
        <v>Arga Wisnu Wardana</v>
      </c>
    </row>
    <row r="515" spans="1:12" ht="49.5" hidden="1">
      <c r="A515" s="4" t="str">
        <v>Alternatif Periode ke-87 II.A.3</v>
      </c>
      <c r="B515" s="4" t="str">
        <v>Alternatif Periode ke-87</v>
      </c>
      <c r="C515" s="4" t="str">
        <v>II.A.3</v>
      </c>
      <c r="D515" s="101" t="str">
        <v>https://drive.google.com/open?id=1-kfmxs9yKJgS8-LGv2weDkxdMdtawqO7_cXAbtiItfo&amp;usp=drive_copy</v>
      </c>
      <c r="E515" s="101" t="str">
        <v>https://drive.google.com/open?id=1-kfmxs9yKJgS8-LGv2weDkxdMdtawqO7_cXAbtiItfo</v>
      </c>
      <c r="F515" s="103" t="str">
        <f ca="1">IFERROR(__xludf.DUMMYFUNCTION("IMPORTRANGE(H515,""IDENTITAS UNIT!D9"")"),"https://goo.gl/maps/Nhwk7QWWJkxJNpYr9")</f>
        <v>https://goo.gl/maps/Nhwk7QWWJkxJNpYr9</v>
      </c>
      <c r="H515" s="101" t="str">
        <v>https://docs.google.com/spreadsheets/d/1-kfmxs9yKJgS8-LGv2weDkxdMdtawqO7_cXAbtiItfo</v>
      </c>
      <c r="I515" s="101" t="str">
        <v>https://docs.google.com/open?id=1-kfmxs9yKJgS8-LGv2weDkxdMdtawqO7_cXAbtiItfo</v>
      </c>
      <c r="J515" s="4" t="str">
        <v>RW 19, Brontokusuman, Mergangsan</v>
      </c>
      <c r="L515" s="99" t="str">
        <f ca="1">IFERROR(__xludf.DUMMYFUNCTION("IMPORTRANGE(H515,""IDENTITAS UNIT!D35"")"),"Buyung Angga Pristiawan")</f>
        <v>Buyung Angga Pristiawan</v>
      </c>
    </row>
    <row r="516" spans="1:12" ht="49.5" hidden="1">
      <c r="A516" s="4" t="str">
        <v>Alternatif Periode ke-87 II.B.1</v>
      </c>
      <c r="B516" s="4" t="str">
        <v>Alternatif Periode ke-87</v>
      </c>
      <c r="C516" s="4" t="str">
        <v>II.B.1</v>
      </c>
      <c r="D516" s="101" t="str">
        <v>https://drive.google.com/open?id=1Osc1TlACMEIMn4XmQgWi2hFlB5ZBS9Nuo7CoJcYrF1I&amp;usp=drive_copy</v>
      </c>
      <c r="E516" s="101" t="str">
        <v>https://drive.google.com/open?id=1Osc1TlACMEIMn4XmQgWi2hFlB5ZBS9Nuo7CoJcYrF1I</v>
      </c>
      <c r="F516" s="103" t="str">
        <f ca="1">IFERROR(__xludf.DUMMYFUNCTION("IMPORTRANGE(H516,""IDENTITAS UNIT!D9"")"),"https://maps.app.goo.gl/6KtYrc2EFjw5rGeK6")</f>
        <v>https://maps.app.goo.gl/6KtYrc2EFjw5rGeK6</v>
      </c>
      <c r="G516" s="4" t="s">
        <v>13060</v>
      </c>
      <c r="H516" s="101" t="str">
        <v>https://docs.google.com/spreadsheets/d/1Osc1TlACMEIMn4XmQgWi2hFlB5ZBS9Nuo7CoJcYrF1I</v>
      </c>
      <c r="I516" s="101" t="str">
        <v>https://docs.google.com/open?id=1Osc1TlACMEIMn4XmQgWi2hFlB5ZBS9Nuo7CoJcYrF1I</v>
      </c>
      <c r="J516" s="4" t="str">
        <v>RW 2, Bausasran , Danurejan</v>
      </c>
      <c r="L516" s="99" t="str">
        <f ca="1">IFERROR(__xludf.DUMMYFUNCTION("IMPORTRANGE(H516,""IDENTITAS UNIT!D35"")"),"Mohammad Al Kautsar Cahya Anggita")</f>
        <v>Mohammad Al Kautsar Cahya Anggita</v>
      </c>
    </row>
    <row r="517" spans="1:12" ht="49.5" hidden="1">
      <c r="A517" s="4" t="str">
        <v>Alternatif Periode ke-87 II.B.2</v>
      </c>
      <c r="B517" s="4" t="str">
        <v>Alternatif Periode ke-87</v>
      </c>
      <c r="C517" s="4" t="str">
        <v>II.B.2</v>
      </c>
      <c r="D517" s="101" t="str">
        <v>https://drive.google.com/open?id=1r0A6VMUoBMQJDedztgn_IFmMNa1pB1E05khPQfRylQg&amp;usp=drive_copy</v>
      </c>
      <c r="E517" s="101" t="str">
        <v>https://drive.google.com/open?id=1r0A6VMUoBMQJDedztgn_IFmMNa1pB1E05khPQfRylQg</v>
      </c>
      <c r="F517" s="103" t="str">
        <f ca="1">IFERROR(__xludf.DUMMYFUNCTION("IMPORTRANGE(H517,""IDENTITAS UNIT!D9"")"),"https://maps.app.goo.gl/KNJwtppmsNMuE5tn7?g_st=iw")</f>
        <v>https://maps.app.goo.gl/KNJwtppmsNMuE5tn7?g_st=iw</v>
      </c>
      <c r="G517" s="4" t="s">
        <v>13061</v>
      </c>
      <c r="H517" s="101" t="str">
        <v>https://docs.google.com/spreadsheets/d/1r0A6VMUoBMQJDedztgn_IFmMNa1pB1E05khPQfRylQg</v>
      </c>
      <c r="I517" s="101" t="str">
        <v>https://docs.google.com/open?id=1r0A6VMUoBMQJDedztgn_IFmMNa1pB1E05khPQfRylQg</v>
      </c>
      <c r="J517" s="4" t="str">
        <v>RW 4, Bausasran , Danurejan</v>
      </c>
      <c r="L517" s="99" t="str">
        <f ca="1">IFERROR(__xludf.DUMMYFUNCTION("IMPORTRANGE(H517,""IDENTITAS UNIT!D35"")"),"Annisa Inas Ghaida Widadsari")</f>
        <v>Annisa Inas Ghaida Widadsari</v>
      </c>
    </row>
    <row r="518" spans="1:12" ht="49.5" hidden="1">
      <c r="A518" s="4" t="str">
        <v>Alternatif Periode ke-87 II.B.3</v>
      </c>
      <c r="B518" s="4" t="str">
        <v>Alternatif Periode ke-87</v>
      </c>
      <c r="C518" s="4" t="str">
        <v>II.B.3</v>
      </c>
      <c r="D518" s="101" t="str">
        <v>https://drive.google.com/open?id=1EOXQuf60K_Uld5odEVzZydbD-vpkTuI-8a1bFmNADRk&amp;usp=drive_copy</v>
      </c>
      <c r="E518" s="101" t="str">
        <v>https://drive.google.com/open?id=1EOXQuf60K_Uld5odEVzZydbD-vpkTuI-8a1bFmNADRk</v>
      </c>
      <c r="F518" s="103" t="str">
        <f ca="1">IFERROR(__xludf.DUMMYFUNCTION("IMPORTRANGE(H518,""IDENTITAS UNIT!D9"")"),"https://maps.app.goo.gl/XA7NGg1evs2ev5XGA")</f>
        <v>https://maps.app.goo.gl/XA7NGg1evs2ev5XGA</v>
      </c>
      <c r="G518" s="4" t="s">
        <v>13062</v>
      </c>
      <c r="H518" s="101" t="str">
        <v>https://docs.google.com/spreadsheets/d/1EOXQuf60K_Uld5odEVzZydbD-vpkTuI-8a1bFmNADRk</v>
      </c>
      <c r="I518" s="101" t="str">
        <v>https://docs.google.com/open?id=1EOXQuf60K_Uld5odEVzZydbD-vpkTuI-8a1bFmNADRk</v>
      </c>
      <c r="J518" s="4" t="str">
        <v>RW 6, Bausasran , Danurejan</v>
      </c>
      <c r="L518" s="99" t="str">
        <f ca="1">IFERROR(__xludf.DUMMYFUNCTION("IMPORTRANGE(H518,""IDENTITAS UNIT!D35"")"),"ZAIN FADHIL IBNU PRATAMA")</f>
        <v>ZAIN FADHIL IBNU PRATAMA</v>
      </c>
    </row>
    <row r="519" spans="1:12" ht="49.5" hidden="1">
      <c r="A519" s="4" t="str">
        <v>Alternatif Periode ke-87 II.C.1</v>
      </c>
      <c r="B519" s="4" t="str">
        <v>Alternatif Periode ke-87</v>
      </c>
      <c r="C519" s="4" t="str">
        <v>II.C.1</v>
      </c>
      <c r="D519" s="101" t="str">
        <v>https://drive.google.com/open?id=13eMIV8XLrFIsrYh0yzSrWSulrLz-SVqY0-vlmEdsu_A&amp;usp=drive_copy</v>
      </c>
      <c r="E519" s="101" t="str">
        <v>https://drive.google.com/open?id=13eMIV8XLrFIsrYh0yzSrWSulrLz-SVqY0-vlmEdsu_A</v>
      </c>
      <c r="F519" s="103" t="str">
        <f ca="1">IFERROR(__xludf.DUMMYFUNCTION("IMPORTRANGE(H519,""IDENTITAS UNIT!D9"")"),"https://goo.gl/maps/g2eHeAonKXGKqE5J6")</f>
        <v>https://goo.gl/maps/g2eHeAonKXGKqE5J6</v>
      </c>
      <c r="G519" s="4" t="s">
        <v>13063</v>
      </c>
      <c r="H519" s="101" t="str">
        <v>https://docs.google.com/spreadsheets/d/13eMIV8XLrFIsrYh0yzSrWSulrLz-SVqY0-vlmEdsu_A</v>
      </c>
      <c r="I519" s="101" t="str">
        <v>https://docs.google.com/open?id=13eMIV8XLrFIsrYh0yzSrWSulrLz-SVqY0-vlmEdsu_A</v>
      </c>
      <c r="J519" s="4" t="str">
        <v>RW 5, Bausasran , Danurejan</v>
      </c>
      <c r="L519" s="99" t="str">
        <f ca="1">IFERROR(__xludf.DUMMYFUNCTION("IMPORTRANGE(H519,""IDENTITAS UNIT!D35"")"),"Chandra Firando")</f>
        <v>Chandra Firando</v>
      </c>
    </row>
    <row r="520" spans="1:12" ht="49.5" hidden="1">
      <c r="A520" s="4" t="str">
        <v>Alternatif Periode ke-87 II.C.2</v>
      </c>
      <c r="B520" s="4" t="str">
        <v>Alternatif Periode ke-87</v>
      </c>
      <c r="C520" s="4" t="str">
        <v>II.C.2</v>
      </c>
      <c r="D520" s="101" t="str">
        <v>https://drive.google.com/open?id=1I7RkrNovslxB9JxiPXBExgVyzLZs3EkVNXTGrAx97qU&amp;usp=drive_copy</v>
      </c>
      <c r="E520" s="101" t="str">
        <v>https://drive.google.com/open?id=1I7RkrNovslxB9JxiPXBExgVyzLZs3EkVNXTGrAx97qU</v>
      </c>
      <c r="F520" s="103" t="str">
        <f ca="1">IFERROR(__xludf.DUMMYFUNCTION("IMPORTRANGE(H520,""IDENTITAS UNIT!D9"")"),"https://goo.gl/maps/4P2aGFmuMbQXq8f88")</f>
        <v>https://goo.gl/maps/4P2aGFmuMbQXq8f88</v>
      </c>
      <c r="G520" s="4" t="s">
        <v>13064</v>
      </c>
      <c r="H520" s="101" t="str">
        <v>https://docs.google.com/spreadsheets/d/1I7RkrNovslxB9JxiPXBExgVyzLZs3EkVNXTGrAx97qU</v>
      </c>
      <c r="I520" s="101" t="str">
        <v>https://docs.google.com/open?id=1I7RkrNovslxB9JxiPXBExgVyzLZs3EkVNXTGrAx97qU</v>
      </c>
      <c r="J520" s="4" t="str">
        <v>RW 7, Bausasran , Danurejan</v>
      </c>
      <c r="L520" s="99" t="str">
        <f ca="1">IFERROR(__xludf.DUMMYFUNCTION("IMPORTRANGE(H520,""IDENTITAS UNIT!D35"")"),"Muhammad Fikri Zein")</f>
        <v>Muhammad Fikri Zein</v>
      </c>
    </row>
    <row r="521" spans="1:12" ht="16.5" hidden="1">
      <c r="A521" s="4" t="str">
        <v>Alternatif Periode ke-87 II.C.3</v>
      </c>
      <c r="B521" s="4" t="str">
        <v>Alternatif Periode ke-87</v>
      </c>
      <c r="C521" s="4" t="str">
        <v>II.C.3</v>
      </c>
      <c r="D521" s="101" t="str">
        <v>https://drive.google.com/open?id=1H8A-sD_iZi5l3sdtxU0rmjoRdba5SgzQTJTB4ETGzd8&amp;usp=drive_copy</v>
      </c>
      <c r="E521" s="101" t="str">
        <v>https://drive.google.com/open?id=1H8A-sD_iZi5l3sdtxU0rmjoRdba5SgzQTJTB4ETGzd8</v>
      </c>
      <c r="F521" s="102" t="str">
        <f ca="1">IFERROR(__xludf.DUMMYFUNCTION("IMPORTRANGE(H521,""IDENTITAS UNIT!D9"")"),"")</f>
        <v/>
      </c>
      <c r="H521" s="101" t="str">
        <v>https://docs.google.com/spreadsheets/d/1H8A-sD_iZi5l3sdtxU0rmjoRdba5SgzQTJTB4ETGzd8</v>
      </c>
      <c r="I521" s="101" t="str">
        <v>https://docs.google.com/open?id=1H8A-sD_iZi5l3sdtxU0rmjoRdba5SgzQTJTB4ETGzd8</v>
      </c>
      <c r="J521" s="4" t="str">
        <v>RW 9, Bausasran , Danurejan</v>
      </c>
      <c r="L521" s="99" t="str">
        <f ca="1">IFERROR(__xludf.DUMMYFUNCTION("IMPORTRANGE(H521,""IDENTITAS UNIT!D35"")"),"Agung Nugroho")</f>
        <v>Agung Nugroho</v>
      </c>
    </row>
    <row r="522" spans="1:12" ht="49.5" hidden="1">
      <c r="A522" s="4" t="str">
        <v>Alternatif Periode ke-87 II.D.1</v>
      </c>
      <c r="B522" s="4" t="str">
        <v>Alternatif Periode ke-87</v>
      </c>
      <c r="C522" s="4" t="str">
        <v>II.D.1</v>
      </c>
      <c r="D522" s="101" t="str">
        <v>https://drive.google.com/open?id=1CVec7J3OIvr4Ihx7henQ_ebOj3ZDuGwaOY4cGgm6rEM&amp;usp=drive_copy</v>
      </c>
      <c r="E522" s="101" t="str">
        <v>https://drive.google.com/open?id=1CVec7J3OIvr4Ihx7henQ_ebOj3ZDuGwaOY4cGgm6rEM</v>
      </c>
      <c r="F522" s="103" t="str">
        <f ca="1">IFERROR(__xludf.DUMMYFUNCTION("IMPORTRANGE(H522,""IDENTITAS UNIT!D9"")"),"https://maps.app.goo.gl/56uMY9aix7SC2Dqk6")</f>
        <v>https://maps.app.goo.gl/56uMY9aix7SC2Dqk6</v>
      </c>
      <c r="H522" s="101" t="str">
        <v>https://docs.google.com/spreadsheets/d/1CVec7J3OIvr4Ihx7henQ_ebOj3ZDuGwaOY4cGgm6rEM</v>
      </c>
      <c r="I522" s="101" t="str">
        <v>https://docs.google.com/open?id=1CVec7J3OIvr4Ihx7henQ_ebOj3ZDuGwaOY4cGgm6rEM</v>
      </c>
      <c r="J522" s="4" t="str">
        <v>RW 11, Bausasran , Danurejan</v>
      </c>
      <c r="L522" s="99" t="str">
        <f ca="1">IFERROR(__xludf.DUMMYFUNCTION("IMPORTRANGE(H522,""IDENTITAS UNIT!D35"")"),"Dimas Ananta Pribadi")</f>
        <v>Dimas Ananta Pribadi</v>
      </c>
    </row>
    <row r="523" spans="1:12" ht="66" hidden="1">
      <c r="A523" s="4" t="str">
        <v>Alternatif Periode ke-87 II.D.2</v>
      </c>
      <c r="B523" s="4" t="str">
        <v>Alternatif Periode ke-87</v>
      </c>
      <c r="C523" s="4" t="str">
        <v>II.D.2</v>
      </c>
      <c r="D523" s="101" t="str">
        <v>https://drive.google.com/open?id=1xCCbkLrhy8swVra4EwyXrJwwS5tZm2iBK2NqKLo-a6A&amp;usp=drive_copy</v>
      </c>
      <c r="E523" s="101" t="str">
        <v>https://drive.google.com/open?id=1xCCbkLrhy8swVra4EwyXrJwwS5tZm2iBK2NqKLo-a6A</v>
      </c>
      <c r="F523" s="103" t="str">
        <f ca="1">IFERROR(__xludf.DUMMYFUNCTION("IMPORTRANGE(H523,""IDENTITAS UNIT!D9"")"),"https://goo.gl/maps/3LqTSq7tygQZ6XV69?coh=178572&amp;entry=tt")</f>
        <v>https://goo.gl/maps/3LqTSq7tygQZ6XV69?coh=178572&amp;entry=tt</v>
      </c>
      <c r="G523" s="4" t="s">
        <v>13065</v>
      </c>
      <c r="H523" s="101" t="str">
        <v>https://docs.google.com/spreadsheets/d/1xCCbkLrhy8swVra4EwyXrJwwS5tZm2iBK2NqKLo-a6A</v>
      </c>
      <c r="I523" s="101" t="str">
        <v>https://docs.google.com/open?id=1xCCbkLrhy8swVra4EwyXrJwwS5tZm2iBK2NqKLo-a6A</v>
      </c>
      <c r="J523" s="4" t="str">
        <v>RW 12, Bausasran , Danurejan</v>
      </c>
      <c r="L523" s="99" t="str">
        <f ca="1">IFERROR(__xludf.DUMMYFUNCTION("IMPORTRANGE(H523,""IDENTITAS UNIT!D35"")"),"A. Miftahul Khair Malkab")</f>
        <v>A. Miftahul Khair Malkab</v>
      </c>
    </row>
    <row r="524" spans="1:12" ht="49.5" hidden="1">
      <c r="A524" s="4" t="str">
        <v>Alternatif Periode ke-87 II.D.3</v>
      </c>
      <c r="B524" s="4" t="str">
        <v>Alternatif Periode ke-87</v>
      </c>
      <c r="C524" s="4" t="str">
        <v>II.D.3</v>
      </c>
      <c r="D524" s="101" t="str">
        <v>https://drive.google.com/open?id=1X90azS6cpnwgPxZJZSS908nJMF-RJqkzZQmRNM-GSzU&amp;usp=drive_copy</v>
      </c>
      <c r="E524" s="101" t="str">
        <v>https://drive.google.com/open?id=1X90azS6cpnwgPxZJZSS908nJMF-RJqkzZQmRNM-GSzU</v>
      </c>
      <c r="F524" s="102" t="str">
        <f ca="1">IFERROR(__xludf.DUMMYFUNCTION("IMPORTRANGE(H524,""IDENTITAS UNIT!D9"")"),"-7.79452848434448,110.371810913086")</f>
        <v>-7.79452848434448,110.371810913086</v>
      </c>
      <c r="H524" s="101" t="str">
        <v>https://docs.google.com/spreadsheets/d/1X90azS6cpnwgPxZJZSS908nJMF-RJqkzZQmRNM-GSzU</v>
      </c>
      <c r="I524" s="101" t="str">
        <v>https://docs.google.com/open?id=1X90azS6cpnwgPxZJZSS908nJMF-RJqkzZQmRNM-GSzU</v>
      </c>
      <c r="J524" s="4" t="str">
        <v>RW 11, Tegal Panggung, Danurejan</v>
      </c>
      <c r="L524" s="99" t="str">
        <f ca="1">IFERROR(__xludf.DUMMYFUNCTION("IMPORTRANGE(H524,""IDENTITAS UNIT!D35"")"),"AHMAD RAKHA RIZAVIE")</f>
        <v>AHMAD RAKHA RIZAVIE</v>
      </c>
    </row>
    <row r="525" spans="1:12" ht="16.5" hidden="1">
      <c r="A525" s="4" t="str">
        <v>Alternatif Periode ke-87 III.A.1</v>
      </c>
      <c r="B525" s="4" t="str">
        <v>Alternatif Periode ke-87</v>
      </c>
      <c r="C525" s="4" t="str">
        <v>III.A.1</v>
      </c>
      <c r="D525" s="101" t="str">
        <v>https://drive.google.com/open?id=1iyMkQ5bE99SbqFBG65IjhxkVCaPQadRGxOrPyW59dw8&amp;usp=drive_copy</v>
      </c>
      <c r="E525" s="101" t="str">
        <v>https://drive.google.com/open?id=1iyMkQ5bE99SbqFBG65IjhxkVCaPQadRGxOrPyW59dw8</v>
      </c>
      <c r="F525" s="102" t="str">
        <f ca="1">IFERROR(__xludf.DUMMYFUNCTION("IMPORTRANGE(H525,""IDENTITAS UNIT!D9"")"),"#REF!")</f>
        <v>#REF!</v>
      </c>
      <c r="G525" s="4" t="s">
        <v>13066</v>
      </c>
      <c r="H525" s="101" t="str">
        <v>https://docs.google.com/spreadsheets/d/1iyMkQ5bE99SbqFBG65IjhxkVCaPQadRGxOrPyW59dw8</v>
      </c>
      <c r="I525" s="101" t="str">
        <v>https://docs.google.com/open?id=1iyMkQ5bE99SbqFBG65IjhxkVCaPQadRGxOrPyW59dw8</v>
      </c>
      <c r="J525" s="4" t="str">
        <v>RW 2, Suryatmajan, Danurejan</v>
      </c>
      <c r="L525" s="99" t="str">
        <f ca="1">IFERROR(__xludf.DUMMYFUNCTION("IMPORTRANGE(H525,""IDENTITAS UNIT!D35"")"),"#REF!")</f>
        <v>#REF!</v>
      </c>
    </row>
    <row r="526" spans="1:12" ht="49.5" hidden="1">
      <c r="A526" s="4" t="str">
        <v>Alternatif Periode ke-87 III.A.2</v>
      </c>
      <c r="B526" s="4" t="str">
        <v>Alternatif Periode ke-87</v>
      </c>
      <c r="C526" s="4" t="str">
        <v>III.A.2</v>
      </c>
      <c r="D526" s="101" t="str">
        <v>https://drive.google.com/open?id=1eyMPBGxaiboIcQ6K95OtPfpdspAsOr1gMiDm5eRw6Fg&amp;usp=drive_copy</v>
      </c>
      <c r="E526" s="101" t="str">
        <v>https://drive.google.com/open?id=1eyMPBGxaiboIcQ6K95OtPfpdspAsOr1gMiDm5eRw6Fg</v>
      </c>
      <c r="F526" s="103" t="str">
        <f ca="1">IFERROR(__xludf.DUMMYFUNCTION("IMPORTRANGE(H526,""IDENTITAS UNIT!D9"")"),"https://goo.gl/maps/DncR3n9gQRaXLAnA6")</f>
        <v>https://goo.gl/maps/DncR3n9gQRaXLAnA6</v>
      </c>
      <c r="G526" s="4" t="s">
        <v>13067</v>
      </c>
      <c r="H526" s="101" t="str">
        <v>https://docs.google.com/spreadsheets/d/1eyMPBGxaiboIcQ6K95OtPfpdspAsOr1gMiDm5eRw6Fg</v>
      </c>
      <c r="I526" s="101" t="str">
        <v>https://docs.google.com/open?id=1eyMPBGxaiboIcQ6K95OtPfpdspAsOr1gMiDm5eRw6Fg</v>
      </c>
      <c r="J526" s="4" t="str">
        <v>RW 4, Suryatmajan, Danurejan</v>
      </c>
      <c r="L526" s="99" t="str">
        <f ca="1">IFERROR(__xludf.DUMMYFUNCTION("IMPORTRANGE(H526,""IDENTITAS UNIT!D35"")"),"M.taufik Hidayat")</f>
        <v>M.taufik Hidayat</v>
      </c>
    </row>
    <row r="527" spans="1:12" ht="49.5" hidden="1">
      <c r="A527" s="4" t="str">
        <v>Alternatif Periode ke-87 III.A.3</v>
      </c>
      <c r="B527" s="4" t="str">
        <v>Alternatif Periode ke-87</v>
      </c>
      <c r="C527" s="4" t="str">
        <v>III.A.3</v>
      </c>
      <c r="D527" s="101" t="str">
        <v>https://drive.google.com/open?id=1wxxu2GO_U-eppy_8UcrmaUsKrFVSuaW9Pl2oHDxuQ8M&amp;usp=drive_copy</v>
      </c>
      <c r="E527" s="101" t="str">
        <v>https://drive.google.com/open?id=1wxxu2GO_U-eppy_8UcrmaUsKrFVSuaW9Pl2oHDxuQ8M</v>
      </c>
      <c r="F527" s="103" t="str">
        <f ca="1">IFERROR(__xludf.DUMMYFUNCTION("IMPORTRANGE(H527,""IDENTITAS UNIT!D9"")"),"https://goo.gl/maps/UyVzQnRDBLcRG63G8")</f>
        <v>https://goo.gl/maps/UyVzQnRDBLcRG63G8</v>
      </c>
      <c r="G527" s="4" t="s">
        <v>13068</v>
      </c>
      <c r="H527" s="101" t="str">
        <v>https://docs.google.com/spreadsheets/d/1wxxu2GO_U-eppy_8UcrmaUsKrFVSuaW9Pl2oHDxuQ8M</v>
      </c>
      <c r="I527" s="101" t="str">
        <v>https://docs.google.com/open?id=1wxxu2GO_U-eppy_8UcrmaUsKrFVSuaW9Pl2oHDxuQ8M</v>
      </c>
      <c r="J527" s="4" t="str">
        <v>RW 6, Suryatmajan, Danurejan</v>
      </c>
      <c r="L527" s="99" t="str">
        <f ca="1">IFERROR(__xludf.DUMMYFUNCTION("IMPORTRANGE(H527,""IDENTITAS UNIT!D35"")"),"TEGAR SUANA")</f>
        <v>TEGAR SUANA</v>
      </c>
    </row>
    <row r="528" spans="1:12" ht="49.5" hidden="1">
      <c r="A528" s="4" t="str">
        <v>Alternatif Periode ke-87 III.B.1</v>
      </c>
      <c r="B528" s="4" t="str">
        <v>Alternatif Periode ke-87</v>
      </c>
      <c r="C528" s="4" t="str">
        <v>III.B.1</v>
      </c>
      <c r="D528" s="101" t="str">
        <v>https://drive.google.com/open?id=1JLEnSKhvhMnskThAaSG44hKeH6IbfKN66bdqj9l_0nU&amp;usp=drive_copy</v>
      </c>
      <c r="E528" s="101" t="str">
        <v>https://drive.google.com/open?id=1JLEnSKhvhMnskThAaSG44hKeH6IbfKN66bdqj9l_0nU</v>
      </c>
      <c r="F528" s="103" t="str">
        <f ca="1">IFERROR(__xludf.DUMMYFUNCTION("IMPORTRANGE(H528,""IDENTITAS UNIT!D9"")"),"https://goo.gl/maps/fGnFCkL4YqdRJkbs5 ")</f>
        <v xml:space="preserve">https://goo.gl/maps/fGnFCkL4YqdRJkbs5 </v>
      </c>
      <c r="G528" s="4" t="s">
        <v>13069</v>
      </c>
      <c r="H528" s="101" t="str">
        <v>https://docs.google.com/spreadsheets/d/1JLEnSKhvhMnskThAaSG44hKeH6IbfKN66bdqj9l_0nU</v>
      </c>
      <c r="I528" s="101" t="str">
        <v>https://docs.google.com/open?id=1JLEnSKhvhMnskThAaSG44hKeH6IbfKN66bdqj9l_0nU</v>
      </c>
      <c r="J528" s="4" t="str">
        <v>RW 1, Tegal Panggung, Danurejan</v>
      </c>
      <c r="L528" s="99" t="str">
        <f ca="1">IFERROR(__xludf.DUMMYFUNCTION("IMPORTRANGE(H528,""IDENTITAS UNIT!D35"")"),"Khairil Fikri Zaini")</f>
        <v>Khairil Fikri Zaini</v>
      </c>
    </row>
    <row r="529" spans="1:12" ht="49.5" hidden="1">
      <c r="A529" s="4" t="str">
        <v>Alternatif Periode ke-87 III.B.2</v>
      </c>
      <c r="B529" s="4" t="str">
        <v>Alternatif Periode ke-87</v>
      </c>
      <c r="C529" s="4" t="str">
        <v>III.B.2</v>
      </c>
      <c r="D529" s="101" t="str">
        <v>https://drive.google.com/open?id=1rrxsUgZcebmq_EXVre3yoGj5K7TK_OyeTWWFpXWC-tQ&amp;usp=drive_copy</v>
      </c>
      <c r="E529" s="101" t="str">
        <v>https://drive.google.com/open?id=1rrxsUgZcebmq_EXVre3yoGj5K7TK_OyeTWWFpXWC-tQ</v>
      </c>
      <c r="F529" s="103" t="str">
        <f ca="1">IFERROR(__xludf.DUMMYFUNCTION("IMPORTRANGE(H529,""IDENTITAS UNIT!D9"")"),"https://goo.gl/maps/3CSYKhJdeMvdRDYU7")</f>
        <v>https://goo.gl/maps/3CSYKhJdeMvdRDYU7</v>
      </c>
      <c r="G529" s="4" t="s">
        <v>13070</v>
      </c>
      <c r="H529" s="101" t="str">
        <v>https://docs.google.com/spreadsheets/d/1rrxsUgZcebmq_EXVre3yoGj5K7TK_OyeTWWFpXWC-tQ</v>
      </c>
      <c r="I529" s="101" t="str">
        <v>https://docs.google.com/open?id=1rrxsUgZcebmq_EXVre3yoGj5K7TK_OyeTWWFpXWC-tQ</v>
      </c>
      <c r="J529" s="4" t="str">
        <v>RW 4, Tegal Panggung, Danurejan</v>
      </c>
      <c r="L529" s="99" t="str">
        <f ca="1">IFERROR(__xludf.DUMMYFUNCTION("IMPORTRANGE(H529,""IDENTITAS UNIT!D35"")"),"AJI PANGESTU")</f>
        <v>AJI PANGESTU</v>
      </c>
    </row>
    <row r="530" spans="1:12" ht="49.5" hidden="1">
      <c r="A530" s="4" t="str">
        <v>Alternatif Periode ke-87 III.B.3</v>
      </c>
      <c r="B530" s="4" t="str">
        <v>Alternatif Periode ke-87</v>
      </c>
      <c r="C530" s="4" t="str">
        <v>III.B.3</v>
      </c>
      <c r="D530" s="101" t="str">
        <v>https://drive.google.com/open?id=12aMFFPFGxnyKOAy28b8Yfg7kyBhhJJtpTDSjgPmE6wg&amp;usp=drive_copy</v>
      </c>
      <c r="E530" s="101" t="str">
        <v>https://drive.google.com/open?id=12aMFFPFGxnyKOAy28b8Yfg7kyBhhJJtpTDSjgPmE6wg</v>
      </c>
      <c r="F530" s="103" t="str">
        <f ca="1">IFERROR(__xludf.DUMMYFUNCTION("IMPORTRANGE(H530,""IDENTITAS UNIT!D9"")"),"https://maps.app.goo.gl/hDY7oEAUv663LerJA?g_st=iw")</f>
        <v>https://maps.app.goo.gl/hDY7oEAUv663LerJA?g_st=iw</v>
      </c>
      <c r="G530" s="4" t="s">
        <v>13071</v>
      </c>
      <c r="H530" s="101" t="str">
        <v>https://docs.google.com/spreadsheets/d/12aMFFPFGxnyKOAy28b8Yfg7kyBhhJJtpTDSjgPmE6wg</v>
      </c>
      <c r="I530" s="101" t="str">
        <v>https://docs.google.com/open?id=12aMFFPFGxnyKOAy28b8Yfg7kyBhhJJtpTDSjgPmE6wg</v>
      </c>
      <c r="J530" s="4" t="str">
        <v>RW 4, Tegal Panggung, Danurejan</v>
      </c>
      <c r="L530" s="99" t="str">
        <f ca="1">IFERROR(__xludf.DUMMYFUNCTION("IMPORTRANGE(H530,""IDENTITAS UNIT!D35"")"),"Kuni Taqiyyah")</f>
        <v>Kuni Taqiyyah</v>
      </c>
    </row>
    <row r="531" spans="1:12" ht="82.5" hidden="1">
      <c r="A531" s="4" t="str">
        <v>Alternatif Periode ke-87 III.C.1</v>
      </c>
      <c r="B531" s="4" t="str">
        <v>Alternatif Periode ke-87</v>
      </c>
      <c r="C531" s="4" t="str">
        <v>III.C.1</v>
      </c>
      <c r="D531" s="101" t="str">
        <v>https://drive.google.com/open?id=1SJRubbY7l7dcgLIMPyI6le2_CBx4wVxVAE2kasxIm9Y&amp;usp=drive_copy</v>
      </c>
      <c r="E531" s="101" t="str">
        <v>https://drive.google.com/open?id=1SJRubbY7l7dcgLIMPyI6le2_CBx4wVxVAE2kasxIm9Y</v>
      </c>
      <c r="F531" s="103" t="str">
        <f ca="1">IFERROR(__xludf.DUMMYFUNCTION("IMPORTRANGE(H531,""IDENTITAS UNIT!D9"")"),"Musholla Al Mujahidin
https://maps.app.goo.gl/tcoBBUho9LCy7RgQ6")</f>
        <v>Musholla Al Mujahidin
https://maps.app.goo.gl/tcoBBUho9LCy7RgQ6</v>
      </c>
      <c r="G531" s="4" t="s">
        <v>13072</v>
      </c>
      <c r="H531" s="101" t="str">
        <v>https://docs.google.com/spreadsheets/d/1SJRubbY7l7dcgLIMPyI6le2_CBx4wVxVAE2kasxIm9Y</v>
      </c>
      <c r="I531" s="101" t="str">
        <v>https://docs.google.com/open?id=1SJRubbY7l7dcgLIMPyI6le2_CBx4wVxVAE2kasxIm9Y</v>
      </c>
      <c r="J531" s="4" t="str">
        <v>RW 7, Tegal Panggung, Danurejan</v>
      </c>
      <c r="L531" s="99" t="str">
        <f ca="1">IFERROR(__xludf.DUMMYFUNCTION("IMPORTRANGE(H531,""IDENTITAS UNIT!D35"")"),"Hasbi Rosad")</f>
        <v>Hasbi Rosad</v>
      </c>
    </row>
    <row r="532" spans="1:12" ht="16.5" hidden="1">
      <c r="A532" s="4" t="str">
        <v>Alternatif Periode ke-87 III.C.2</v>
      </c>
      <c r="B532" s="4" t="str">
        <v>Alternatif Periode ke-87</v>
      </c>
      <c r="C532" s="4" t="str">
        <v>III.C.2</v>
      </c>
      <c r="D532" s="101" t="str">
        <v>https://drive.google.com/open?id=1SqgA_qKPTb2Ya7FcLr7_YCziGfCkP7ORR8cs2R3mvyM&amp;usp=drive_copy</v>
      </c>
      <c r="E532" s="101" t="str">
        <v>https://drive.google.com/open?id=1SqgA_qKPTb2Ya7FcLr7_YCziGfCkP7ORR8cs2R3mvyM</v>
      </c>
      <c r="F532" s="102" t="str">
        <f ca="1">IFERROR(__xludf.DUMMYFUNCTION("IMPORTRANGE(H532,""IDENTITAS UNIT!D9"")"),"")</f>
        <v/>
      </c>
      <c r="H532" s="101" t="str">
        <v>https://docs.google.com/spreadsheets/d/1SqgA_qKPTb2Ya7FcLr7_YCziGfCkP7ORR8cs2R3mvyM</v>
      </c>
      <c r="I532" s="101" t="str">
        <v>https://docs.google.com/open?id=1SqgA_qKPTb2Ya7FcLr7_YCziGfCkP7ORR8cs2R3mvyM</v>
      </c>
      <c r="J532" s="4" t="str">
        <v>RW 11, Suryatmajan, Danurejan</v>
      </c>
      <c r="L532" s="99" t="str">
        <f ca="1">IFERROR(__xludf.DUMMYFUNCTION("IMPORTRANGE(H532,""IDENTITAS UNIT!D35"")"),"Annas Nurhidayat")</f>
        <v>Annas Nurhidayat</v>
      </c>
    </row>
    <row r="533" spans="1:12" ht="49.5" hidden="1">
      <c r="A533" s="4" t="str">
        <v>Alternatif Periode ke-87 III.C.3</v>
      </c>
      <c r="B533" s="4" t="str">
        <v>Alternatif Periode ke-87</v>
      </c>
      <c r="C533" s="4" t="str">
        <v>III.C.3</v>
      </c>
      <c r="D533" s="101" t="str">
        <v>https://drive.google.com/open?id=1_R9CcLA2GK7WTSR8APk-IirV2HdC0YNkGn50tPgK0zM&amp;usp=drive_copy</v>
      </c>
      <c r="E533" s="101" t="str">
        <v>https://drive.google.com/open?id=1_R9CcLA2GK7WTSR8APk-IirV2HdC0YNkGn50tPgK0zM</v>
      </c>
      <c r="F533" s="103" t="str">
        <f ca="1">IFERROR(__xludf.DUMMYFUNCTION("IMPORTRANGE(H533,""IDENTITAS UNIT!D9"")"),"https://goo.gl/maps/CBKuB74FMRHo4LdR9")</f>
        <v>https://goo.gl/maps/CBKuB74FMRHo4LdR9</v>
      </c>
      <c r="G533" s="4" t="s">
        <v>13073</v>
      </c>
      <c r="H533" s="101" t="str">
        <v>https://docs.google.com/spreadsheets/d/1_R9CcLA2GK7WTSR8APk-IirV2HdC0YNkGn50tPgK0zM</v>
      </c>
      <c r="I533" s="101" t="str">
        <v>https://docs.google.com/open?id=1_R9CcLA2GK7WTSR8APk-IirV2HdC0YNkGn50tPgK0zM</v>
      </c>
      <c r="J533" s="4" t="str">
        <v>RW 15, Suryatmajan, Danurejan</v>
      </c>
      <c r="L533" s="99" t="str">
        <f ca="1">IFERROR(__xludf.DUMMYFUNCTION("IMPORTRANGE(H533,""IDENTITAS UNIT!D35"")"),"Ratno")</f>
        <v>Ratno</v>
      </c>
    </row>
    <row r="534" spans="1:12" ht="49.5" hidden="1">
      <c r="A534" s="4" t="str">
        <v>Alternatif Periode ke-87 III.D.1</v>
      </c>
      <c r="B534" s="4" t="str">
        <v>Alternatif Periode ke-87</v>
      </c>
      <c r="C534" s="4" t="str">
        <v>III.D.1</v>
      </c>
      <c r="D534" s="101" t="str">
        <v>https://drive.google.com/open?id=1itRX-eU3oKaBwBg1eva1Iw86l7By9Zb7ciHV84aNRus&amp;usp=drive_copy</v>
      </c>
      <c r="E534" s="101" t="str">
        <v>https://drive.google.com/open?id=1itRX-eU3oKaBwBg1eva1Iw86l7By9Zb7ciHV84aNRus</v>
      </c>
      <c r="F534" s="103" t="str">
        <f ca="1">IFERROR(__xludf.DUMMYFUNCTION("IMPORTRANGE(H534,""IDENTITAS UNIT!D9"")"),"https://maps.app.goo.gl/Ku72ARSoHVPtsD1Q6")</f>
        <v>https://maps.app.goo.gl/Ku72ARSoHVPtsD1Q6</v>
      </c>
      <c r="G534" s="4" t="s">
        <v>12718</v>
      </c>
      <c r="H534" s="101" t="str">
        <v>https://docs.google.com/spreadsheets/d/1itRX-eU3oKaBwBg1eva1Iw86l7By9Zb7ciHV84aNRus</v>
      </c>
      <c r="I534" s="101" t="str">
        <v>https://docs.google.com/open?id=1itRX-eU3oKaBwBg1eva1Iw86l7By9Zb7ciHV84aNRus</v>
      </c>
      <c r="J534" s="4" t="str">
        <v>RW 1, Ngampilan, Ngampilan</v>
      </c>
      <c r="L534" s="99" t="str">
        <f ca="1">IFERROR(__xludf.DUMMYFUNCTION("IMPORTRANGE(H534,""IDENTITAS UNIT!D35"")"),"Yudha Ichsan Nurul Aziz Sulistyanda")</f>
        <v>Yudha Ichsan Nurul Aziz Sulistyanda</v>
      </c>
    </row>
    <row r="535" spans="1:12" ht="66" hidden="1">
      <c r="A535" s="4" t="str">
        <v>Alternatif Periode ke-87 III.D.2</v>
      </c>
      <c r="B535" s="4" t="str">
        <v>Alternatif Periode ke-87</v>
      </c>
      <c r="C535" s="4" t="str">
        <v>III.D.2</v>
      </c>
      <c r="D535" s="101" t="str">
        <v>https://drive.google.com/open?id=1zfOOpLHZu0Ucu1ogJqLlvB-fpVfg8rbnySQryzfIM48&amp;usp=drive_copy</v>
      </c>
      <c r="E535" s="101" t="str">
        <v>https://drive.google.com/open?id=1zfOOpLHZu0Ucu1ogJqLlvB-fpVfg8rbnySQryzfIM48</v>
      </c>
      <c r="F535" s="103" t="str">
        <f ca="1">IFERROR(__xludf.DUMMYFUNCTION("IMPORTRANGE(H535,""IDENTITAS UNIT!D9"")"),"https://goo.gl/maps/PuX3HdTkReZet1Y36?coh=178571&amp;entry=tt")</f>
        <v>https://goo.gl/maps/PuX3HdTkReZet1Y36?coh=178571&amp;entry=tt</v>
      </c>
      <c r="G535" s="4" t="s">
        <v>12719</v>
      </c>
      <c r="H535" s="101" t="str">
        <v>https://docs.google.com/spreadsheets/d/1zfOOpLHZu0Ucu1ogJqLlvB-fpVfg8rbnySQryzfIM48</v>
      </c>
      <c r="I535" s="101" t="str">
        <v>https://docs.google.com/open?id=1zfOOpLHZu0Ucu1ogJqLlvB-fpVfg8rbnySQryzfIM48</v>
      </c>
      <c r="J535" s="4" t="str">
        <v>RW 2, Ngampilan, Ngampilan</v>
      </c>
      <c r="L535" s="99" t="str">
        <f ca="1">IFERROR(__xludf.DUMMYFUNCTION("IMPORTRANGE(H535,""IDENTITAS UNIT!D35"")"),"ANANDA DONI PRAMONO")</f>
        <v>ANANDA DONI PRAMONO</v>
      </c>
    </row>
    <row r="536" spans="1:12" ht="99" hidden="1">
      <c r="A536" s="4" t="str">
        <v>Alternatif Periode ke-87 III.D.3</v>
      </c>
      <c r="B536" s="4" t="str">
        <v>Alternatif Periode ke-87</v>
      </c>
      <c r="C536" s="4" t="str">
        <v>III.D.3</v>
      </c>
      <c r="D536" s="101" t="str">
        <v>https://drive.google.com/open?id=1qxVlRP3gJvJ83GVBugCrfcFudx0x3WrH7RK4vJKZdRA&amp;usp=drive_copy</v>
      </c>
      <c r="E536" s="101" t="str">
        <v>https://drive.google.com/open?id=1qxVlRP3gJvJ83GVBugCrfcFudx0x3WrH7RK4vJKZdRA</v>
      </c>
      <c r="F536" s="102" t="str">
        <f ca="1">IFERROR(__xludf.DUMMYFUNCTION("IMPORTRANGE(H536,""IDENTITAS UNIT!D9"")"),"Kelurahan Ngampilan
(0274) 551328
https://maps.app.goo.gl/D4wKc9C9oj91FxUn9?g_st=ic")</f>
        <v>Kelurahan Ngampilan
(0274) 551328
https://maps.app.goo.gl/D4wKc9C9oj91FxUn9?g_st=ic</v>
      </c>
      <c r="G536" s="4" t="s">
        <v>13074</v>
      </c>
      <c r="H536" s="101" t="str">
        <v>https://docs.google.com/spreadsheets/d/1qxVlRP3gJvJ83GVBugCrfcFudx0x3WrH7RK4vJKZdRA</v>
      </c>
      <c r="I536" s="101" t="str">
        <v>https://docs.google.com/open?id=1qxVlRP3gJvJ83GVBugCrfcFudx0x3WrH7RK4vJKZdRA</v>
      </c>
      <c r="J536" s="4" t="str">
        <v>RW 3, Ngampilan, Ngampilan</v>
      </c>
      <c r="L536" s="99" t="str">
        <f ca="1">IFERROR(__xludf.DUMMYFUNCTION("IMPORTRANGE(H536,""IDENTITAS UNIT!D35"")"),"Sayid Adam Bin Muchamad Agil Al Atas")</f>
        <v>Sayid Adam Bin Muchamad Agil Al Atas</v>
      </c>
    </row>
    <row r="537" spans="1:12" ht="49.5" hidden="1">
      <c r="A537" s="4" t="str">
        <v>Alternatif Periode ke-87 IV.A.1</v>
      </c>
      <c r="B537" s="4" t="str">
        <v>Alternatif Periode ke-87</v>
      </c>
      <c r="C537" s="4" t="str">
        <v>IV.A.1</v>
      </c>
      <c r="D537" s="101" t="str">
        <v>https://drive.google.com/open?id=1zYL5bnFz5mu0SGSZvdxL0LUsjhwX4VzNaVuZnMUArCk&amp;usp=drive_copy</v>
      </c>
      <c r="E537" s="101" t="str">
        <v>https://drive.google.com/open?id=1zYL5bnFz5mu0SGSZvdxL0LUsjhwX4VzNaVuZnMUArCk</v>
      </c>
      <c r="F537" s="103" t="str">
        <f ca="1">IFERROR(__xludf.DUMMYFUNCTION("IMPORTRANGE(H537,""IDENTITAS UNIT!D9"")"),"https://maps.app.goo.gl/myKMnaaxW5tgzrGs7")</f>
        <v>https://maps.app.goo.gl/myKMnaaxW5tgzrGs7</v>
      </c>
      <c r="G537" s="4" t="s">
        <v>13075</v>
      </c>
      <c r="H537" s="101" t="str">
        <v>https://docs.google.com/spreadsheets/d/1zYL5bnFz5mu0SGSZvdxL0LUsjhwX4VzNaVuZnMUArCk</v>
      </c>
      <c r="I537" s="101" t="str">
        <v>https://docs.google.com/open?id=1zYL5bnFz5mu0SGSZvdxL0LUsjhwX4VzNaVuZnMUArCk</v>
      </c>
      <c r="J537" s="4" t="str">
        <v>RW 5, Ngampilan, Ngampilan</v>
      </c>
      <c r="L537" s="99" t="str">
        <f ca="1">IFERROR(__xludf.DUMMYFUNCTION("IMPORTRANGE(H537,""IDENTITAS UNIT!D35"")"),"Andika Wisnu Wibowo")</f>
        <v>Andika Wisnu Wibowo</v>
      </c>
    </row>
    <row r="538" spans="1:12" ht="66" hidden="1">
      <c r="A538" s="4" t="str">
        <v>Alternatif Periode ke-87 IV.A.2</v>
      </c>
      <c r="B538" s="4" t="str">
        <v>Alternatif Periode ke-87</v>
      </c>
      <c r="C538" s="4" t="str">
        <v>IV.A.2</v>
      </c>
      <c r="D538" s="101" t="str">
        <v>https://drive.google.com/open?id=19OXvvJG73L7zFakAj-D78OPeowZrM1dVOLUKMWse13M&amp;usp=drive_copy</v>
      </c>
      <c r="E538" s="101" t="str">
        <v>https://drive.google.com/open?id=19OXvvJG73L7zFakAj-D78OPeowZrM1dVOLUKMWse13M</v>
      </c>
      <c r="F538" s="103" t="str">
        <f ca="1">IFERROR(__xludf.DUMMYFUNCTION("IMPORTRANGE(H538,""IDENTITAS UNIT!D9"")"),"https://goo.gl/maps/DwV8VcUcCtvuS4iv9?coh=178573&amp;entry=tt")</f>
        <v>https://goo.gl/maps/DwV8VcUcCtvuS4iv9?coh=178573&amp;entry=tt</v>
      </c>
      <c r="G538" s="4" t="s">
        <v>13076</v>
      </c>
      <c r="H538" s="101" t="str">
        <v>https://docs.google.com/spreadsheets/d/19OXvvJG73L7zFakAj-D78OPeowZrM1dVOLUKMWse13M</v>
      </c>
      <c r="I538" s="101" t="str">
        <v>https://docs.google.com/open?id=19OXvvJG73L7zFakAj-D78OPeowZrM1dVOLUKMWse13M</v>
      </c>
      <c r="J538" s="4" t="str">
        <v>RW 6, Ngampilan, Ngampilan</v>
      </c>
      <c r="L538" s="99" t="str">
        <f ca="1">IFERROR(__xludf.DUMMYFUNCTION("IMPORTRANGE(H538,""IDENTITAS UNIT!D35"")"),"MUHAMMAD SYAFIQ PRASETYO")</f>
        <v>MUHAMMAD SYAFIQ PRASETYO</v>
      </c>
    </row>
    <row r="539" spans="1:12" ht="49.5" hidden="1">
      <c r="A539" s="4" t="str">
        <v>Alternatif Periode ke-87 IV.A.3</v>
      </c>
      <c r="B539" s="4" t="str">
        <v>Alternatif Periode ke-87</v>
      </c>
      <c r="C539" s="4" t="str">
        <v>IV.A.3</v>
      </c>
      <c r="D539" s="101" t="str">
        <v>https://drive.google.com/open?id=1ux_omYs00ZIRBqO_vvyjDrGxqtMqjIMPcLxc9xdvc20&amp;usp=drive_copy</v>
      </c>
      <c r="E539" s="101" t="str">
        <v>https://drive.google.com/open?id=1ux_omYs00ZIRBqO_vvyjDrGxqtMqjIMPcLxc9xdvc20</v>
      </c>
      <c r="F539" s="103" t="str">
        <f ca="1">IFERROR(__xludf.DUMMYFUNCTION("IMPORTRANGE(H539,""IDENTITAS UNIT!D9"")"),"https://goo.gl/maps/W6B8kz72DJFjPTmb8 ")</f>
        <v xml:space="preserve">https://goo.gl/maps/W6B8kz72DJFjPTmb8 </v>
      </c>
      <c r="G539" s="4" t="s">
        <v>13077</v>
      </c>
      <c r="H539" s="101" t="str">
        <v>https://docs.google.com/spreadsheets/d/1ux_omYs00ZIRBqO_vvyjDrGxqtMqjIMPcLxc9xdvc20</v>
      </c>
      <c r="I539" s="101" t="str">
        <v>https://docs.google.com/open?id=1ux_omYs00ZIRBqO_vvyjDrGxqtMqjIMPcLxc9xdvc20</v>
      </c>
      <c r="J539" s="4" t="str">
        <v>RW 7, Ngampilan, Ngampilan</v>
      </c>
      <c r="L539" s="99" t="str">
        <f ca="1">IFERROR(__xludf.DUMMYFUNCTION("IMPORTRANGE(H539,""IDENTITAS UNIT!D35"")"),"Tegar Lesmana")</f>
        <v>Tegar Lesmana</v>
      </c>
    </row>
    <row r="540" spans="1:12" ht="49.5" hidden="1">
      <c r="A540" s="4" t="str">
        <v>Alternatif Periode ke-87 IV.B.1</v>
      </c>
      <c r="B540" s="4" t="str">
        <v>Alternatif Periode ke-87</v>
      </c>
      <c r="C540" s="4" t="str">
        <v>IV.B.1</v>
      </c>
      <c r="D540" s="101" t="str">
        <v>https://drive.google.com/open?id=1hN48lGmjWpWkYR21-StJeMuNKeUeuY9SvvUkLpfTpH0&amp;usp=drive_copy</v>
      </c>
      <c r="E540" s="101" t="str">
        <v>https://drive.google.com/open?id=1hN48lGmjWpWkYR21-StJeMuNKeUeuY9SvvUkLpfTpH0</v>
      </c>
      <c r="F540" s="103" t="str">
        <f ca="1">IFERROR(__xludf.DUMMYFUNCTION("IMPORTRANGE(H540,""IDENTITAS UNIT!D9"")"),"https://maps.app.goo.gl/7498G7bLvCnBctKj9")</f>
        <v>https://maps.app.goo.gl/7498G7bLvCnBctKj9</v>
      </c>
      <c r="G540" s="4" t="s">
        <v>13078</v>
      </c>
      <c r="H540" s="101" t="str">
        <v>https://docs.google.com/spreadsheets/d/1hN48lGmjWpWkYR21-StJeMuNKeUeuY9SvvUkLpfTpH0</v>
      </c>
      <c r="I540" s="101" t="str">
        <v>https://docs.google.com/open?id=1hN48lGmjWpWkYR21-StJeMuNKeUeuY9SvvUkLpfTpH0</v>
      </c>
      <c r="J540" s="4" t="str">
        <v>RW 9, Ngampilan, Ngampilan</v>
      </c>
      <c r="L540" s="99" t="str">
        <f ca="1">IFERROR(__xludf.DUMMYFUNCTION("IMPORTRANGE(H540,""IDENTITAS UNIT!D35"")"),"SUJUD PANGESTU")</f>
        <v>SUJUD PANGESTU</v>
      </c>
    </row>
    <row r="541" spans="1:12" ht="16.5" hidden="1">
      <c r="A541" s="4" t="str">
        <v>Alternatif Periode ke-87 IV.B.2</v>
      </c>
      <c r="B541" s="4" t="str">
        <v>Alternatif Periode ke-87</v>
      </c>
      <c r="C541" s="4" t="str">
        <v>IV.B.2</v>
      </c>
      <c r="D541" s="101" t="str">
        <v>https://drive.google.com/open?id=1MjSJ48VsUvAW9wEYhku_bTzxlU7EC2eYH8buDy7GMn0&amp;usp=drive_copy</v>
      </c>
      <c r="E541" s="101" t="str">
        <v>https://drive.google.com/open?id=1MjSJ48VsUvAW9wEYhku_bTzxlU7EC2eYH8buDy7GMn0</v>
      </c>
      <c r="F541" s="102" t="str">
        <f ca="1">IFERROR(__xludf.DUMMYFUNCTION("IMPORTRANGE(H541,""IDENTITAS UNIT!D9"")"),"")</f>
        <v/>
      </c>
      <c r="G541" s="4" t="s">
        <v>12725</v>
      </c>
      <c r="H541" s="101" t="str">
        <v>https://docs.google.com/spreadsheets/d/1MjSJ48VsUvAW9wEYhku_bTzxlU7EC2eYH8buDy7GMn0</v>
      </c>
      <c r="I541" s="101" t="str">
        <v>https://docs.google.com/open?id=1MjSJ48VsUvAW9wEYhku_bTzxlU7EC2eYH8buDy7GMn0</v>
      </c>
      <c r="J541" s="4" t="str">
        <v>RW 12, Ngampilan, Ngampilan</v>
      </c>
      <c r="L541" s="99" t="str">
        <f ca="1">IFERROR(__xludf.DUMMYFUNCTION("IMPORTRANGE(H541,""IDENTITAS UNIT!D35"")"),"Muhammad Faid Alim")</f>
        <v>Muhammad Faid Alim</v>
      </c>
    </row>
    <row r="542" spans="1:12" ht="181.5" hidden="1">
      <c r="A542" s="4" t="str">
        <v>Alternatif Periode ke-87 IV.B.3</v>
      </c>
      <c r="B542" s="4" t="str">
        <v>Alternatif Periode ke-87</v>
      </c>
      <c r="C542" s="4" t="str">
        <v>IV.B.3</v>
      </c>
      <c r="D542" s="101" t="str">
        <v>https://drive.google.com/open?id=1GYquKqn3r0ZCMvCxQ0_dCzC-2h3S21njVFgNpsaEvEw&amp;usp=drive_copy</v>
      </c>
      <c r="E542" s="101" t="str">
        <v>https://drive.google.com/open?id=1GYquKqn3r0ZCMvCxQ0_dCzC-2h3S21njVFgNpsaEvEw</v>
      </c>
      <c r="F542" s="103" t="str">
        <f ca="1">IFERROR(__xludf.DUMMYFUNCTION("IMPORTRANGE(H542,""IDENTITAS UNIT!D9"")"),"https://www.google.com/maps/place/7%C2%B047'58.0%22S+110%C2%B021'35.8%22E/@-7.7994499,110.3577661,17z/data=!3m1!4b1!4m4!3m3!8m2!3d-7.7994499!4d110.3599548?hl=id&amp;entry=ttu")</f>
        <v>https://www.google.com/maps/place/7%C2%B047'58.0%22S+110%C2%B021'35.8%22E/@-7.7994499,110.3577661,17z/data=!3m1!4b1!4m4!3m3!8m2!3d-7.7994499!4d110.3599548?hl=id&amp;entry=ttu</v>
      </c>
      <c r="G542" s="4" t="s">
        <v>12726</v>
      </c>
      <c r="H542" s="101" t="str">
        <v>https://docs.google.com/spreadsheets/d/1GYquKqn3r0ZCMvCxQ0_dCzC-2h3S21njVFgNpsaEvEw</v>
      </c>
      <c r="I542" s="101" t="str">
        <v>https://docs.google.com/open?id=1GYquKqn3r0ZCMvCxQ0_dCzC-2h3S21njVFgNpsaEvEw</v>
      </c>
      <c r="J542" s="4" t="str">
        <v>RW 13, Ngampilan, Ngampilan</v>
      </c>
      <c r="L542" s="99" t="str">
        <f ca="1">IFERROR(__xludf.DUMMYFUNCTION("IMPORTRANGE(H542,""IDENTITAS UNIT!D35"")"),"NAUFAL ARDHANA PUTRA")</f>
        <v>NAUFAL ARDHANA PUTRA</v>
      </c>
    </row>
    <row r="543" spans="1:12" ht="49.5" hidden="1">
      <c r="A543" s="4" t="str">
        <v>Alternatif Periode ke-87 IV.C.1</v>
      </c>
      <c r="B543" s="4" t="str">
        <v>Alternatif Periode ke-87</v>
      </c>
      <c r="C543" s="4" t="str">
        <v>IV.C.1</v>
      </c>
      <c r="D543" s="101" t="str">
        <v>https://drive.google.com/open?id=1_cpM8SFh9NZqujvKsLm6w5tNwwMFRflxdHMAv0X1HpE&amp;usp=drive_copy</v>
      </c>
      <c r="E543" s="101" t="str">
        <v>https://drive.google.com/open?id=1_cpM8SFh9NZqujvKsLm6w5tNwwMFRflxdHMAv0X1HpE</v>
      </c>
      <c r="F543" s="103" t="str">
        <f ca="1">IFERROR(__xludf.DUMMYFUNCTION("IMPORTRANGE(H543,""IDENTITAS UNIT!D9"")"),"https://maps.app.goo.gl/VWH4ML9Qoha3yXtC9?g_st=iw")</f>
        <v>https://maps.app.goo.gl/VWH4ML9Qoha3yXtC9?g_st=iw</v>
      </c>
      <c r="G543" s="4" t="s">
        <v>12727</v>
      </c>
      <c r="H543" s="101" t="str">
        <v>https://docs.google.com/spreadsheets/d/1_cpM8SFh9NZqujvKsLm6w5tNwwMFRflxdHMAv0X1HpE</v>
      </c>
      <c r="I543" s="101" t="str">
        <v>https://docs.google.com/open?id=1_cpM8SFh9NZqujvKsLm6w5tNwwMFRflxdHMAv0X1HpE</v>
      </c>
      <c r="J543" s="4" t="str">
        <v>RW 1, Notoprajan, Ngampilan</v>
      </c>
      <c r="L543" s="99" t="str">
        <f ca="1">IFERROR(__xludf.DUMMYFUNCTION("IMPORTRANGE(H543,""IDENTITAS UNIT!D35"")"),"Haiqkal Bachtiar Usman")</f>
        <v>Haiqkal Bachtiar Usman</v>
      </c>
    </row>
    <row r="544" spans="1:12" ht="49.5" hidden="1">
      <c r="A544" s="4" t="str">
        <v>Alternatif Periode ke-87 IV.C.2</v>
      </c>
      <c r="B544" s="4" t="str">
        <v>Alternatif Periode ke-87</v>
      </c>
      <c r="C544" s="4" t="str">
        <v>IV.C.2</v>
      </c>
      <c r="D544" s="101" t="str">
        <v>https://drive.google.com/open?id=1QYz-5adfwKa6Eptf2jisKw_mgaoIJEI4pp8242sJUMM&amp;usp=drive_copy</v>
      </c>
      <c r="E544" s="101" t="str">
        <v>https://drive.google.com/open?id=1QYz-5adfwKa6Eptf2jisKw_mgaoIJEI4pp8242sJUMM</v>
      </c>
      <c r="F544" s="103" t="str">
        <f ca="1">IFERROR(__xludf.DUMMYFUNCTION("IMPORTRANGE(H544,""IDENTITAS UNIT!D9"")"),"https://maps.app.goo.gl/PLnCgi27qst2n2Q86")</f>
        <v>https://maps.app.goo.gl/PLnCgi27qst2n2Q86</v>
      </c>
      <c r="G544" s="4" t="s">
        <v>13079</v>
      </c>
      <c r="H544" s="101" t="str">
        <v>https://docs.google.com/spreadsheets/d/1QYz-5adfwKa6Eptf2jisKw_mgaoIJEI4pp8242sJUMM</v>
      </c>
      <c r="I544" s="101" t="str">
        <v>https://docs.google.com/open?id=1QYz-5adfwKa6Eptf2jisKw_mgaoIJEI4pp8242sJUMM</v>
      </c>
      <c r="J544" s="4" t="str">
        <v>RW 2, Notoprajan, Ngampilan</v>
      </c>
      <c r="L544" s="99" t="str">
        <f ca="1">IFERROR(__xludf.DUMMYFUNCTION("IMPORTRANGE(H544,""IDENTITAS UNIT!D35"")"),"Haryo Tetuko")</f>
        <v>Haryo Tetuko</v>
      </c>
    </row>
    <row r="545" spans="1:12" ht="49.5" hidden="1">
      <c r="A545" s="4" t="str">
        <v>Alternatif Periode ke-87 IV.C.3</v>
      </c>
      <c r="B545" s="4" t="str">
        <v>Alternatif Periode ke-87</v>
      </c>
      <c r="C545" s="4" t="str">
        <v>IV.C.3</v>
      </c>
      <c r="D545" s="101" t="str">
        <v>https://drive.google.com/open?id=1I8C_UgjRaroa0SowO9lxKRWUEKhYffU47MZTZ2LS2Xw&amp;usp=drive_copy</v>
      </c>
      <c r="E545" s="101" t="str">
        <v>https://drive.google.com/open?id=1I8C_UgjRaroa0SowO9lxKRWUEKhYffU47MZTZ2LS2Xw</v>
      </c>
      <c r="F545" s="103" t="str">
        <f ca="1">IFERROR(__xludf.DUMMYFUNCTION("IMPORTRANGE(H545,""IDENTITAS UNIT!D9"")"),"https://maps.app.goo.gl/sWFD1H3PGxXhiaDm8")</f>
        <v>https://maps.app.goo.gl/sWFD1H3PGxXhiaDm8</v>
      </c>
      <c r="G545" s="4" t="s">
        <v>12729</v>
      </c>
      <c r="H545" s="101" t="str">
        <v>https://docs.google.com/spreadsheets/d/1I8C_UgjRaroa0SowO9lxKRWUEKhYffU47MZTZ2LS2Xw</v>
      </c>
      <c r="I545" s="101" t="str">
        <v>https://docs.google.com/open?id=1I8C_UgjRaroa0SowO9lxKRWUEKhYffU47MZTZ2LS2Xw</v>
      </c>
      <c r="J545" s="4" t="str">
        <v>RW 3, Notoprajan, Ngampilan</v>
      </c>
      <c r="L545" s="99" t="str">
        <f ca="1">IFERROR(__xludf.DUMMYFUNCTION("IMPORTRANGE(H545,""IDENTITAS UNIT!D35"")"),"MUHAMMAD FAISAL KHASBI")</f>
        <v>MUHAMMAD FAISAL KHASBI</v>
      </c>
    </row>
    <row r="546" spans="1:12" ht="115.5" hidden="1">
      <c r="A546" s="4" t="str">
        <v>Alternatif Periode ke-87 IV.D.1</v>
      </c>
      <c r="B546" s="4" t="str">
        <v>Alternatif Periode ke-87</v>
      </c>
      <c r="C546" s="4" t="str">
        <v>IV.D.1</v>
      </c>
      <c r="D546" s="101" t="str">
        <v>https://drive.google.com/open?id=1v22mzuSWLt2ZDEoN1NNFkTozSm0nN0SKVh2EVilzU44&amp;usp=drive_copy</v>
      </c>
      <c r="E546" s="101" t="str">
        <v>https://drive.google.com/open?id=1v22mzuSWLt2ZDEoN1NNFkTozSm0nN0SKVh2EVilzU44</v>
      </c>
      <c r="F546" s="102" t="str">
        <f ca="1">IFERROR(__xludf.DUMMYFUNCTION("IMPORTRANGE(H546,""IDENTITAS UNIT!D9"")"),"59X4+7Q6, Gg. Darusalam, Notoprajan, Ngampilan, Kota Yogyakarta, Daerah Istimewa Yogyakarta 55262")</f>
        <v>59X4+7Q6, Gg. Darusalam, Notoprajan, Ngampilan, Kota Yogyakarta, Daerah Istimewa Yogyakarta 55262</v>
      </c>
      <c r="G546" s="4" t="s">
        <v>12731</v>
      </c>
      <c r="H546" s="101" t="str">
        <v>https://docs.google.com/spreadsheets/d/1v22mzuSWLt2ZDEoN1NNFkTozSm0nN0SKVh2EVilzU44</v>
      </c>
      <c r="I546" s="101" t="str">
        <v>https://docs.google.com/open?id=1v22mzuSWLt2ZDEoN1NNFkTozSm0nN0SKVh2EVilzU44</v>
      </c>
      <c r="J546" s="4" t="str">
        <v>RW 5, Notoprajan, Ngampilan</v>
      </c>
      <c r="L546" s="99" t="str">
        <f ca="1">IFERROR(__xludf.DUMMYFUNCTION("IMPORTRANGE(H546,""IDENTITAS UNIT!D35"")"),"Andrian Pratista Amarta")</f>
        <v>Andrian Pratista Amarta</v>
      </c>
    </row>
    <row r="547" spans="1:12" ht="49.5" hidden="1">
      <c r="A547" s="4" t="str">
        <v>Alternatif Periode ke-87 IV.D.2</v>
      </c>
      <c r="B547" s="4" t="str">
        <v>Alternatif Periode ke-87</v>
      </c>
      <c r="C547" s="4" t="str">
        <v>IV.D.2</v>
      </c>
      <c r="D547" s="101" t="str">
        <v>https://drive.google.com/open?id=1xmPvvV6D_6PxB9GT5NdPQTv2eJOtsA6v0GSQ1Xiu4a8&amp;usp=drive_copy</v>
      </c>
      <c r="E547" s="101" t="str">
        <v>https://drive.google.com/open?id=1xmPvvV6D_6PxB9GT5NdPQTv2eJOtsA6v0GSQ1Xiu4a8</v>
      </c>
      <c r="F547" s="103" t="str">
        <f ca="1">IFERROR(__xludf.DUMMYFUNCTION("IMPORTRANGE(H547,""IDENTITAS UNIT!D9"")"),"https://maps.app.goo.gl/6z6KS42W9fxFU8ta6?g_st=iw")</f>
        <v>https://maps.app.goo.gl/6z6KS42W9fxFU8ta6?g_st=iw</v>
      </c>
      <c r="G547" s="4" t="s">
        <v>13080</v>
      </c>
      <c r="H547" s="101" t="str">
        <v>https://docs.google.com/spreadsheets/d/1xmPvvV6D_6PxB9GT5NdPQTv2eJOtsA6v0GSQ1Xiu4a8</v>
      </c>
      <c r="I547" s="101" t="str">
        <v>https://docs.google.com/open?id=1xmPvvV6D_6PxB9GT5NdPQTv2eJOtsA6v0GSQ1Xiu4a8</v>
      </c>
      <c r="J547" s="4" t="str">
        <v>RW 6, Notoprajan, Ngampilan</v>
      </c>
      <c r="L547" s="99" t="str">
        <f ca="1">IFERROR(__xludf.DUMMYFUNCTION("IMPORTRANGE(H547,""IDENTITAS UNIT!D35"")"),"Wahyu Tri Mahesa")</f>
        <v>Wahyu Tri Mahesa</v>
      </c>
    </row>
    <row r="548" spans="1:12" ht="49.5" hidden="1">
      <c r="A548" s="4" t="str">
        <v>Alternatif Periode ke-87 IV.D.3</v>
      </c>
      <c r="B548" s="4" t="str">
        <v>Alternatif Periode ke-87</v>
      </c>
      <c r="C548" s="4" t="str">
        <v>IV.D.3</v>
      </c>
      <c r="D548" s="101" t="str">
        <v>https://drive.google.com/open?id=1uQ9JHX2PHGbkCLb3Nl-puhFM8TAyzueOIKu5LntVzUM&amp;usp=drive_copy</v>
      </c>
      <c r="E548" s="101" t="str">
        <v>https://drive.google.com/open?id=1uQ9JHX2PHGbkCLb3Nl-puhFM8TAyzueOIKu5LntVzUM</v>
      </c>
      <c r="F548" s="103" t="str">
        <f ca="1">IFERROR(__xludf.DUMMYFUNCTION("IMPORTRANGE(H548,""IDENTITAS UNIT!D9"")"),"https://maps.app.goo.gl/ySgfwWnUrQbmGvsH8")</f>
        <v>https://maps.app.goo.gl/ySgfwWnUrQbmGvsH8</v>
      </c>
      <c r="G548" s="4" t="s">
        <v>13081</v>
      </c>
      <c r="H548" s="101" t="str">
        <v>https://docs.google.com/spreadsheets/d/1uQ9JHX2PHGbkCLb3Nl-puhFM8TAyzueOIKu5LntVzUM</v>
      </c>
      <c r="I548" s="101" t="str">
        <v>https://docs.google.com/open?id=1uQ9JHX2PHGbkCLb3Nl-puhFM8TAyzueOIKu5LntVzUM</v>
      </c>
      <c r="J548" s="4" t="str">
        <v>RW 7, Notoprajan, Ngampilan</v>
      </c>
      <c r="L548" s="99" t="str">
        <f ca="1">IFERROR(__xludf.DUMMYFUNCTION("IMPORTRANGE(H548,""IDENTITAS UNIT!D35"")"),"Aditya Nanda Irawan")</f>
        <v>Aditya Nanda Irawan</v>
      </c>
    </row>
    <row r="549" spans="1:12" ht="49.5" hidden="1">
      <c r="A549" s="4" t="str">
        <v>Alternatif Periode ke-87 II.D.4</v>
      </c>
      <c r="B549" s="4" t="str">
        <v>Alternatif Periode ke-87</v>
      </c>
      <c r="C549" s="4" t="str">
        <v>II.D.4</v>
      </c>
      <c r="D549" s="101" t="str">
        <v>https://drive.google.com/open?id=1zqWk2RzD3ZISP5pEqRHV_UOKPxgiq3K2008z6ObDq-o&amp;usp=drive_copy</v>
      </c>
      <c r="E549" s="101" t="str">
        <v>https://drive.google.com/open?id=1zqWk2RzD3ZISP5pEqRHV_UOKPxgiq3K2008z6ObDq-o</v>
      </c>
      <c r="F549" s="103" t="str">
        <f ca="1">IFERROR(__xludf.DUMMYFUNCTION("IMPORTRANGE(H549,""IDENTITAS UNIT!D9"")"),"https://goo.gl/maps/8ZCu5fc8bY8NkrKT7")</f>
        <v>https://goo.gl/maps/8ZCu5fc8bY8NkrKT7</v>
      </c>
      <c r="G549" s="4" t="s">
        <v>13082</v>
      </c>
      <c r="H549" s="101" t="str">
        <v>https://docs.google.com/spreadsheets/d/1zqWk2RzD3ZISP5pEqRHV_UOKPxgiq3K2008z6ObDq-o</v>
      </c>
      <c r="I549" s="101" t="str">
        <v>https://docs.google.com/open?id=1zqWk2RzD3ZISP5pEqRHV_UOKPxgiq3K2008z6ObDq-o</v>
      </c>
      <c r="J549" s="4" t="str">
        <v>RW 8, Tegal Panggung, Danurejan</v>
      </c>
      <c r="L549" s="99" t="str">
        <f ca="1">IFERROR(__xludf.DUMMYFUNCTION("IMPORTRANGE(H549,""IDENTITAS UNIT!D35"")"),"MUHAMMAD FAISAL SUPRIANSYAH")</f>
        <v>MUHAMMAD FAISAL SUPRIANSYAH</v>
      </c>
    </row>
    <row r="550" spans="1:12" ht="49.5" hidden="1">
      <c r="A550" s="4" t="str">
        <v>Alternatif Periode ke-87 IV.C.4</v>
      </c>
      <c r="B550" s="4" t="str">
        <v>Alternatif Periode ke-87</v>
      </c>
      <c r="C550" s="4" t="str">
        <v>IV.C.4</v>
      </c>
      <c r="D550" s="101" t="str">
        <v>https://drive.google.com/open?id=1S8HXocRKGh0PXzjCQQfus5g-NlIeRuYEaC7IsVRw54k&amp;usp=drive_copy</v>
      </c>
      <c r="E550" s="101" t="str">
        <v>https://drive.google.com/open?id=1S8HXocRKGh0PXzjCQQfus5g-NlIeRuYEaC7IsVRw54k</v>
      </c>
      <c r="F550" s="103" t="str">
        <f ca="1">IFERROR(__xludf.DUMMYFUNCTION("IMPORTRANGE(H550,""IDENTITAS UNIT!D9"")"),"https://maps.app.goo.gl/JJoZTk9j9DxiPNf66")</f>
        <v>https://maps.app.goo.gl/JJoZTk9j9DxiPNf66</v>
      </c>
      <c r="G550" s="104" t="s">
        <v>12730</v>
      </c>
      <c r="H550" s="101" t="str">
        <v>https://docs.google.com/spreadsheets/d/1S8HXocRKGh0PXzjCQQfus5g-NlIeRuYEaC7IsVRw54k</v>
      </c>
      <c r="I550" s="101" t="str">
        <v>https://docs.google.com/open?id=1S8HXocRKGh0PXzjCQQfus5g-NlIeRuYEaC7IsVRw54k</v>
      </c>
      <c r="J550" s="4" t="str">
        <v>RW 4, Notoprajan, Ngampilan</v>
      </c>
      <c r="L550" s="99" t="str">
        <f ca="1">IFERROR(__xludf.DUMMYFUNCTION("IMPORTRANGE(H550,""IDENTITAS UNIT!D35"")"),"ANGGA NOFE SEPTIAWAN")</f>
        <v>ANGGA NOFE SEPTIAWAN</v>
      </c>
    </row>
    <row r="551" spans="1:12" ht="49.5" hidden="1">
      <c r="A551" s="4" t="str">
        <v>Alternatif Periode ke-87 IV.D.4</v>
      </c>
      <c r="B551" s="4" t="str">
        <v>Alternatif Periode ke-87</v>
      </c>
      <c r="C551" s="4" t="str">
        <v>IV.D.4</v>
      </c>
      <c r="D551" s="101" t="str">
        <v>https://drive.google.com/open?id=1F8mh2f_xCHvYVXqCZR4UE3A7zt9fJAtyBMCw_Pbd0-E&amp;usp=drive_copy</v>
      </c>
      <c r="E551" s="101" t="str">
        <v>https://drive.google.com/open?id=1F8mh2f_xCHvYVXqCZR4UE3A7zt9fJAtyBMCw_Pbd0-E</v>
      </c>
      <c r="F551" s="103" t="str">
        <f ca="1">IFERROR(__xludf.DUMMYFUNCTION("IMPORTRANGE(H551,""IDENTITAS UNIT!D9"")"),"https://goo.gl/maps/dFXzLeSbqQYoWLfs8")</f>
        <v>https://goo.gl/maps/dFXzLeSbqQYoWLfs8</v>
      </c>
      <c r="G551" s="4" t="s">
        <v>13083</v>
      </c>
      <c r="H551" s="101" t="str">
        <v>https://docs.google.com/spreadsheets/d/1F8mh2f_xCHvYVXqCZR4UE3A7zt9fJAtyBMCw_Pbd0-E</v>
      </c>
      <c r="I551" s="101" t="str">
        <v>https://docs.google.com/open?id=1F8mh2f_xCHvYVXqCZR4UE3A7zt9fJAtyBMCw_Pbd0-E</v>
      </c>
      <c r="J551" s="4" t="str">
        <v>RW 8, Notoprajan, Ngampilan</v>
      </c>
      <c r="L551" s="99" t="str">
        <f ca="1">IFERROR(__xludf.DUMMYFUNCTION("IMPORTRANGE(H551,""IDENTITAS UNIT!D35"")"),"Agung Dwi Payana")</f>
        <v>Agung Dwi Payana</v>
      </c>
    </row>
    <row r="552" spans="1:12" ht="49.5" hidden="1">
      <c r="A552" s="4" t="str">
        <v>Reguler Periode ke-111 I.A.1</v>
      </c>
      <c r="B552" s="4" t="str">
        <v>Reguler Periode ke-111</v>
      </c>
      <c r="C552" s="4" t="str">
        <v>I.A.1</v>
      </c>
      <c r="D552" s="101" t="str">
        <v>https://drive.google.com/open?id=1W_GCuGDf3OciGTTLCGHtEvG_4wtDNIC5o7RV4Jfcpwo&amp;usp=drive_copy</v>
      </c>
      <c r="E552" s="101" t="str">
        <v>https://drive.google.com/open?id=1W_GCuGDf3OciGTTLCGHtEvG_4wtDNIC5o7RV4Jfcpwo</v>
      </c>
      <c r="F552" s="103" t="str">
        <f ca="1">IFERROR(__xludf.DUMMYFUNCTION("IMPORTRANGE(H552,""IDENTITAS UNIT!D9"")"),"https://goo.gl/maps/3JwWpb8RXKCTnrPX9")</f>
        <v>https://goo.gl/maps/3JwWpb8RXKCTnrPX9</v>
      </c>
      <c r="G552" s="4" t="s">
        <v>13084</v>
      </c>
      <c r="H552" s="101" t="str">
        <v>https://docs.google.com/spreadsheets/d/1W_GCuGDf3OciGTTLCGHtEvG_4wtDNIC5o7RV4Jfcpwo</v>
      </c>
      <c r="I552" s="101" t="str">
        <v>https://docs.google.com/open?id=1W_GCuGDf3OciGTTLCGHtEvG_4wtDNIC5o7RV4Jfcpwo</v>
      </c>
      <c r="J552" s="4" t="str">
        <v>Kuroboyo, Caturharjo, Pandak</v>
      </c>
      <c r="L552" s="99" t="str">
        <f ca="1">IFERROR(__xludf.DUMMYFUNCTION("IMPORTRANGE(H552,""IDENTITAS UNIT!D35"")"),"Abdi Fahruzain")</f>
        <v>Abdi Fahruzain</v>
      </c>
    </row>
    <row r="553" spans="1:12" ht="49.5" hidden="1">
      <c r="A553" s="4" t="str">
        <v>Reguler Periode ke-111 I.A.2</v>
      </c>
      <c r="B553" s="4" t="str">
        <v>Reguler Periode ke-111</v>
      </c>
      <c r="C553" s="4" t="str">
        <v>I.A.2</v>
      </c>
      <c r="D553" s="101" t="str">
        <v>https://drive.google.com/open?id=1Lkqbz3rBV8yB5jpHujxLdkQpr3Gb2Nmxp-CN8dwZ0W8&amp;usp=drive_copy</v>
      </c>
      <c r="E553" s="101" t="str">
        <v>https://drive.google.com/open?id=1Lkqbz3rBV8yB5jpHujxLdkQpr3Gb2Nmxp-CN8dwZ0W8</v>
      </c>
      <c r="F553" s="103" t="str">
        <f ca="1">IFERROR(__xludf.DUMMYFUNCTION("IMPORTRANGE(H553,""IDENTITAS UNIT!D9"")"),"https://maps.app.goo.gl/sD7frUVJsKutsKeF7")</f>
        <v>https://maps.app.goo.gl/sD7frUVJsKutsKeF7</v>
      </c>
      <c r="H553" s="101" t="str">
        <v>https://docs.google.com/spreadsheets/d/1Lkqbz3rBV8yB5jpHujxLdkQpr3Gb2Nmxp-CN8dwZ0W8</v>
      </c>
      <c r="I553" s="101" t="str">
        <v>https://docs.google.com/open?id=1Lkqbz3rBV8yB5jpHujxLdkQpr3Gb2Nmxp-CN8dwZ0W8</v>
      </c>
      <c r="J553" s="4" t="str">
        <v>Kuroboyo, Caturharjo, Pandak</v>
      </c>
      <c r="L553" s="99" t="str">
        <f ca="1">IFERROR(__xludf.DUMMYFUNCTION("IMPORTRANGE(H553,""IDENTITAS UNIT!D35"")"),"MAULANA NUR REZA PUTRA")</f>
        <v>MAULANA NUR REZA PUTRA</v>
      </c>
    </row>
    <row r="554" spans="1:12" ht="49.5" hidden="1">
      <c r="A554" s="4" t="str">
        <v>Reguler Periode ke-111 I.A.3</v>
      </c>
      <c r="B554" s="4" t="str">
        <v>Reguler Periode ke-111</v>
      </c>
      <c r="C554" s="4" t="str">
        <v>I.A.3</v>
      </c>
      <c r="D554" s="101" t="str">
        <v>https://drive.google.com/open?id=16NmzZdRIh7OW3EYKMashGS-DuqM1W3V1603dcQGNJ2M&amp;usp=drive_copy</v>
      </c>
      <c r="E554" s="101" t="str">
        <v>https://drive.google.com/open?id=16NmzZdRIh7OW3EYKMashGS-DuqM1W3V1603dcQGNJ2M</v>
      </c>
      <c r="F554" s="103" t="str">
        <f ca="1">IFERROR(__xludf.DUMMYFUNCTION("IMPORTRANGE(H554,""IDENTITAS UNIT!D9"")"),"https://goo.gl/maps/gNmuFbMUXs6meUij9")</f>
        <v>https://goo.gl/maps/gNmuFbMUXs6meUij9</v>
      </c>
      <c r="G554" s="4" t="s">
        <v>13085</v>
      </c>
      <c r="H554" s="101" t="str">
        <v>https://docs.google.com/spreadsheets/d/16NmzZdRIh7OW3EYKMashGS-DuqM1W3V1603dcQGNJ2M</v>
      </c>
      <c r="I554" s="101" t="str">
        <v>https://docs.google.com/open?id=16NmzZdRIh7OW3EYKMashGS-DuqM1W3V1603dcQGNJ2M</v>
      </c>
      <c r="J554" s="4" t="str">
        <v>Korowelang, Caturharjo, Pandak</v>
      </c>
      <c r="L554" s="99" t="str">
        <f ca="1">IFERROR(__xludf.DUMMYFUNCTION("IMPORTRANGE(H554,""IDENTITAS UNIT!D35"")"),"Bagus Prayoga")</f>
        <v>Bagus Prayoga</v>
      </c>
    </row>
    <row r="555" spans="1:12" ht="49.5" hidden="1">
      <c r="A555" s="4" t="str">
        <v>Reguler Periode ke-111 I.B.1</v>
      </c>
      <c r="B555" s="4" t="str">
        <v>Reguler Periode ke-111</v>
      </c>
      <c r="C555" s="4" t="str">
        <v>I.B.1</v>
      </c>
      <c r="D555" s="101" t="str">
        <v>https://drive.google.com/open?id=16MyVWQLNl7HMCmx8YWNFG_zmTXRoJ1gwvLsSTUWr_wg&amp;usp=drive_copy</v>
      </c>
      <c r="E555" s="101" t="str">
        <v>https://drive.google.com/open?id=16MyVWQLNl7HMCmx8YWNFG_zmTXRoJ1gwvLsSTUWr_wg</v>
      </c>
      <c r="F555" s="103" t="str">
        <f ca="1">IFERROR(__xludf.DUMMYFUNCTION("IMPORTRANGE(H555,""IDENTITAS UNIT!D9"")"),"https://goo.gl/maps/tQTKRnU6LXUypAtm9")</f>
        <v>https://goo.gl/maps/tQTKRnU6LXUypAtm9</v>
      </c>
      <c r="G555" s="4" t="s">
        <v>13086</v>
      </c>
      <c r="H555" s="101" t="str">
        <v>https://docs.google.com/spreadsheets/d/16MyVWQLNl7HMCmx8YWNFG_zmTXRoJ1gwvLsSTUWr_wg</v>
      </c>
      <c r="I555" s="101" t="str">
        <v>https://docs.google.com/open?id=16MyVWQLNl7HMCmx8YWNFG_zmTXRoJ1gwvLsSTUWr_wg</v>
      </c>
      <c r="J555" s="4" t="str">
        <v>Gumulan, Caturharjo, Pandak</v>
      </c>
      <c r="L555" s="99" t="str">
        <f ca="1">IFERROR(__xludf.DUMMYFUNCTION("IMPORTRANGE(H555,""IDENTITAS UNIT!D35"")"),"Finaldi Ardan Narendra")</f>
        <v>Finaldi Ardan Narendra</v>
      </c>
    </row>
    <row r="556" spans="1:12" ht="49.5" hidden="1">
      <c r="A556" s="4" t="str">
        <v>Reguler Periode ke-111 I.B.2</v>
      </c>
      <c r="B556" s="4" t="str">
        <v>Reguler Periode ke-111</v>
      </c>
      <c r="C556" s="4" t="str">
        <v>I.B.2</v>
      </c>
      <c r="D556" s="101" t="str">
        <v>https://drive.google.com/open?id=1BU0UUT5RNqv4BJFlEX9VuiIHltXkcSj7Uea1cuR_7ow&amp;usp=drive_copy</v>
      </c>
      <c r="E556" s="101" t="str">
        <v>https://drive.google.com/open?id=1BU0UUT5RNqv4BJFlEX9VuiIHltXkcSj7Uea1cuR_7ow</v>
      </c>
      <c r="F556" s="103" t="str">
        <f ca="1">IFERROR(__xludf.DUMMYFUNCTION("IMPORTRANGE(H556,""IDENTITAS UNIT!D9"")"),"https://maps.app.goo.gl/6GU7f2eHruEWKHXm7")</f>
        <v>https://maps.app.goo.gl/6GU7f2eHruEWKHXm7</v>
      </c>
      <c r="G556" s="4" t="s">
        <v>13087</v>
      </c>
      <c r="H556" s="101" t="str">
        <v>https://docs.google.com/spreadsheets/d/1BU0UUT5RNqv4BJFlEX9VuiIHltXkcSj7Uea1cuR_7ow</v>
      </c>
      <c r="I556" s="101" t="str">
        <v>https://docs.google.com/open?id=1BU0UUT5RNqv4BJFlEX9VuiIHltXkcSj7Uea1cuR_7ow</v>
      </c>
      <c r="J556" s="4" t="str">
        <v>Gumulan, Caturharjo, Pandak</v>
      </c>
      <c r="L556" s="99" t="str">
        <f ca="1">IFERROR(__xludf.DUMMYFUNCTION("IMPORTRANGE(H556,""IDENTITAS UNIT!D35"")"),"KHAMDAN ADE ASROFI")</f>
        <v>KHAMDAN ADE ASROFI</v>
      </c>
    </row>
    <row r="557" spans="1:12" ht="49.5" hidden="1">
      <c r="A557" s="4" t="str">
        <v>Reguler Periode ke-111 I.B.3</v>
      </c>
      <c r="B557" s="4" t="str">
        <v>Reguler Periode ke-111</v>
      </c>
      <c r="C557" s="4" t="str">
        <v>I.B.3</v>
      </c>
      <c r="D557" s="101" t="str">
        <v>https://drive.google.com/open?id=1bUrbjQoyRd_8zWya9Ql-oZVVEdKMJVD62WjZnWWglEY&amp;usp=drive_copy</v>
      </c>
      <c r="E557" s="101" t="str">
        <v>https://drive.google.com/open?id=1bUrbjQoyRd_8zWya9Ql-oZVVEdKMJVD62WjZnWWglEY</v>
      </c>
      <c r="F557" s="103" t="str">
        <f ca="1">IFERROR(__xludf.DUMMYFUNCTION("IMPORTRANGE(H557,""IDENTITAS UNIT!D9"")"),"https://maps.app.goo.gl/Jqz4piLMv7v7hfuaA")</f>
        <v>https://maps.app.goo.gl/Jqz4piLMv7v7hfuaA</v>
      </c>
      <c r="G557" s="4" t="s">
        <v>13088</v>
      </c>
      <c r="H557" s="101" t="str">
        <v>https://docs.google.com/spreadsheets/d/1bUrbjQoyRd_8zWya9Ql-oZVVEdKMJVD62WjZnWWglEY</v>
      </c>
      <c r="I557" s="101" t="str">
        <v>https://docs.google.com/open?id=1bUrbjQoyRd_8zWya9Ql-oZVVEdKMJVD62WjZnWWglEY</v>
      </c>
      <c r="J557" s="4" t="str">
        <v>Gluntung Lor, Caturharjo, Pandak</v>
      </c>
      <c r="L557" s="99" t="str">
        <f ca="1">IFERROR(__xludf.DUMMYFUNCTION("IMPORTRANGE(H557,""IDENTITAS UNIT!D35"")"),"Dwi Irianto")</f>
        <v>Dwi Irianto</v>
      </c>
    </row>
    <row r="558" spans="1:12" ht="49.5" hidden="1">
      <c r="A558" s="4" t="str">
        <v>Reguler Periode ke-111 I.C.1</v>
      </c>
      <c r="B558" s="4" t="str">
        <v>Reguler Periode ke-111</v>
      </c>
      <c r="C558" s="4" t="str">
        <v>I.C.1</v>
      </c>
      <c r="D558" s="101" t="str">
        <v>https://drive.google.com/open?id=1Dqc_Pf95YQXb5424igOMFHGNucg4DNgzS87U9cUeycU&amp;usp=drive_copy</v>
      </c>
      <c r="E558" s="101" t="str">
        <v>https://drive.google.com/open?id=1Dqc_Pf95YQXb5424igOMFHGNucg4DNgzS87U9cUeycU</v>
      </c>
      <c r="F558" s="103" t="str">
        <f ca="1">IFERROR(__xludf.DUMMYFUNCTION("IMPORTRANGE(H558,""IDENTITAS UNIT!D9"")"),"https://maps.app.goo.gl/rBkPVkyBZ1ani4Kv5")</f>
        <v>https://maps.app.goo.gl/rBkPVkyBZ1ani4Kv5</v>
      </c>
      <c r="G558" s="4" t="s">
        <v>13089</v>
      </c>
      <c r="H558" s="101" t="str">
        <v>https://docs.google.com/spreadsheets/d/1Dqc_Pf95YQXb5424igOMFHGNucg4DNgzS87U9cUeycU</v>
      </c>
      <c r="I558" s="101" t="str">
        <v>https://docs.google.com/open?id=1Dqc_Pf95YQXb5424igOMFHGNucg4DNgzS87U9cUeycU</v>
      </c>
      <c r="J558" s="4" t="str">
        <v>Krapakan, Caturharjo, Pandak</v>
      </c>
      <c r="L558" s="99" t="str">
        <f ca="1">IFERROR(__xludf.DUMMYFUNCTION("IMPORTRANGE(H558,""IDENTITAS UNIT!D35"")"),"Ristika Putri Rahmad Dewi")</f>
        <v>Ristika Putri Rahmad Dewi</v>
      </c>
    </row>
    <row r="559" spans="1:12" ht="49.5" hidden="1">
      <c r="A559" s="4" t="str">
        <v>Reguler Periode ke-111 I.C.2</v>
      </c>
      <c r="B559" s="4" t="str">
        <v>Reguler Periode ke-111</v>
      </c>
      <c r="C559" s="4" t="str">
        <v>I.C.2</v>
      </c>
      <c r="D559" s="101" t="str">
        <v>https://drive.google.com/open?id=1fRTVWq5RsLQHXiDjB1uhc_0c6GRGIzAkt24qjlxFN5o&amp;usp=drive_copy</v>
      </c>
      <c r="E559" s="101" t="str">
        <v>https://drive.google.com/open?id=1fRTVWq5RsLQHXiDjB1uhc_0c6GRGIzAkt24qjlxFN5o</v>
      </c>
      <c r="F559" s="103" t="str">
        <f ca="1">IFERROR(__xludf.DUMMYFUNCTION("IMPORTRANGE(H559,""IDENTITAS UNIT!D9"")"),"https://maps.app.goo.gl/W6AQgLdSiBQdbuZJ8")</f>
        <v>https://maps.app.goo.gl/W6AQgLdSiBQdbuZJ8</v>
      </c>
      <c r="G559" s="4" t="s">
        <v>13090</v>
      </c>
      <c r="H559" s="101" t="str">
        <v>https://docs.google.com/spreadsheets/d/1fRTVWq5RsLQHXiDjB1uhc_0c6GRGIzAkt24qjlxFN5o</v>
      </c>
      <c r="I559" s="101" t="str">
        <v>https://docs.google.com/open?id=1fRTVWq5RsLQHXiDjB1uhc_0c6GRGIzAkt24qjlxFN5o</v>
      </c>
      <c r="J559" s="4" t="str">
        <v>Krapakan, Caturharjo, Pandak</v>
      </c>
      <c r="L559" s="99" t="str">
        <f ca="1">IFERROR(__xludf.DUMMYFUNCTION("IMPORTRANGE(H559,""IDENTITAS UNIT!D35"")"),"Dwi Yuliastanto")</f>
        <v>Dwi Yuliastanto</v>
      </c>
    </row>
    <row r="560" spans="1:12" ht="165" hidden="1">
      <c r="A560" s="4" t="str">
        <v>Reguler Periode ke-111 I.C.3</v>
      </c>
      <c r="B560" s="4" t="str">
        <v>Reguler Periode ke-111</v>
      </c>
      <c r="C560" s="4" t="str">
        <v>I.C.3</v>
      </c>
      <c r="D560" s="101" t="str">
        <v>https://drive.google.com/open?id=1RKYZkFFOssiMJvj3ZKK89rKRTdj2oQ5ZIGmHPlaWj8I&amp;usp=drive_copy</v>
      </c>
      <c r="E560" s="101" t="str">
        <v>https://drive.google.com/open?id=1RKYZkFFOssiMJvj3ZKK89rKRTdj2oQ5ZIGmHPlaWj8I</v>
      </c>
      <c r="F560" s="103" t="str">
        <f ca="1">IFERROR(__xludf.DUMMYFUNCTION("IMPORTRANGE(H560,""IDENTITAS UNIT!D9"")"),"https://www.google.com/maps/@-7.9457062,110.2670745,3a,90.000000y,162.333115h,93.768562t/data=!3m4!1e1!3m2!1siHmOW5k_Nh2nQZ5D25sBng!2e0?lucs=,47071704&amp;g_st=iw ")</f>
        <v xml:space="preserve">https://www.google.com/maps/@-7.9457062,110.2670745,3a,90.000000y,162.333115h,93.768562t/data=!3m4!1e1!3m2!1siHmOW5k_Nh2nQZ5D25sBng!2e0?lucs=,47071704&amp;g_st=iw </v>
      </c>
      <c r="G560" s="4" t="s">
        <v>13091</v>
      </c>
      <c r="H560" s="101" t="str">
        <v>https://docs.google.com/spreadsheets/d/1RKYZkFFOssiMJvj3ZKK89rKRTdj2oQ5ZIGmHPlaWj8I</v>
      </c>
      <c r="I560" s="101" t="str">
        <v>https://docs.google.com/open?id=1RKYZkFFOssiMJvj3ZKK89rKRTdj2oQ5ZIGmHPlaWj8I</v>
      </c>
      <c r="J560" s="4" t="str">
        <v>Tegal Sempu, Caturharjo, Pandak</v>
      </c>
      <c r="L560" s="99" t="str">
        <f ca="1">IFERROR(__xludf.DUMMYFUNCTION("IMPORTRANGE(H560,""IDENTITAS UNIT!D35"")"),"Muhammad Rayhan Fuadi")</f>
        <v>Muhammad Rayhan Fuadi</v>
      </c>
    </row>
    <row r="561" spans="1:12" ht="49.5" hidden="1">
      <c r="A561" s="4" t="str">
        <v>Reguler Periode ke-111 I.D.1</v>
      </c>
      <c r="B561" s="4" t="str">
        <v>Reguler Periode ke-111</v>
      </c>
      <c r="C561" s="4" t="str">
        <v>I.D.1</v>
      </c>
      <c r="D561" s="101" t="str">
        <v>https://drive.google.com/open?id=1f0Z3c9FhlPQcA_mStNucrGOMAA6WSd7OQOeTDngX6gk&amp;usp=drive_copy</v>
      </c>
      <c r="E561" s="101" t="str">
        <v>https://drive.google.com/open?id=1f0Z3c9FhlPQcA_mStNucrGOMAA6WSd7OQOeTDngX6gk</v>
      </c>
      <c r="F561" s="103" t="str">
        <f ca="1">IFERROR(__xludf.DUMMYFUNCTION("IMPORTRANGE(H561,""IDENTITAS UNIT!D9"")"),"https://goo.gl/maps/tirnk61bsftZSX5H8")</f>
        <v>https://goo.gl/maps/tirnk61bsftZSX5H8</v>
      </c>
      <c r="G561" s="4" t="s">
        <v>13092</v>
      </c>
      <c r="H561" s="101" t="str">
        <v>https://docs.google.com/spreadsheets/d/1f0Z3c9FhlPQcA_mStNucrGOMAA6WSd7OQOeTDngX6gk</v>
      </c>
      <c r="I561" s="101" t="str">
        <v>https://docs.google.com/open?id=1f0Z3c9FhlPQcA_mStNucrGOMAA6WSd7OQOeTDngX6gk</v>
      </c>
      <c r="J561" s="4" t="str">
        <v>Banyuurip, Caturharjo, Pandak</v>
      </c>
      <c r="L561" s="99" t="str">
        <f ca="1">IFERROR(__xludf.DUMMYFUNCTION("IMPORTRANGE(H561,""IDENTITAS UNIT!D35"")"),"")</f>
        <v/>
      </c>
    </row>
    <row r="562" spans="1:12" ht="49.5" hidden="1">
      <c r="A562" s="4" t="str">
        <v>Reguler Periode ke-111 I.D.2</v>
      </c>
      <c r="B562" s="4" t="str">
        <v>Reguler Periode ke-111</v>
      </c>
      <c r="C562" s="4" t="str">
        <v>I.D.2</v>
      </c>
      <c r="D562" s="101" t="str">
        <v>https://drive.google.com/open?id=1fU1JXOTykueNJng4Yr5LHGOHott98hjFCCQ3_vke5nQ&amp;usp=drive_copy</v>
      </c>
      <c r="E562" s="101" t="str">
        <v>https://drive.google.com/open?id=1fU1JXOTykueNJng4Yr5LHGOHott98hjFCCQ3_vke5nQ</v>
      </c>
      <c r="F562" s="103" t="str">
        <f ca="1">IFERROR(__xludf.DUMMYFUNCTION("IMPORTRANGE(H562,""IDENTITAS UNIT!D9"")"),"https://maps.app.goo.gl/5zoXWqccuzXKiBjCA")</f>
        <v>https://maps.app.goo.gl/5zoXWqccuzXKiBjCA</v>
      </c>
      <c r="G562" s="4" t="s">
        <v>13093</v>
      </c>
      <c r="H562" s="101" t="str">
        <v>https://docs.google.com/spreadsheets/d/1fU1JXOTykueNJng4Yr5LHGOHott98hjFCCQ3_vke5nQ</v>
      </c>
      <c r="I562" s="101" t="str">
        <v>https://docs.google.com/open?id=1fU1JXOTykueNJng4Yr5LHGOHott98hjFCCQ3_vke5nQ</v>
      </c>
      <c r="J562" s="4" t="str">
        <v>Banyuurip, Caturharjo, Pandak</v>
      </c>
      <c r="L562" s="99" t="str">
        <f ca="1">IFERROR(__xludf.DUMMYFUNCTION("IMPORTRANGE(H562,""IDENTITAS UNIT!D35"")"),"Taufiq Qurohman")</f>
        <v>Taufiq Qurohman</v>
      </c>
    </row>
    <row r="563" spans="1:12" ht="16.5" hidden="1">
      <c r="A563" s="4" t="str">
        <v>Reguler Periode ke-111 I.D.3</v>
      </c>
      <c r="B563" s="4" t="str">
        <v>Reguler Periode ke-111</v>
      </c>
      <c r="C563" s="4" t="str">
        <v>I.D.3</v>
      </c>
      <c r="D563" s="101" t="str">
        <v>https://drive.google.com/open?id=1qz-QanfNnKYCuEUwecPOPU4pSGBcW0ts_uhGZXtaLs8&amp;usp=drive_copy</v>
      </c>
      <c r="E563" s="101" t="str">
        <v>https://drive.google.com/open?id=1qz-QanfNnKYCuEUwecPOPU4pSGBcW0ts_uhGZXtaLs8</v>
      </c>
      <c r="F563" s="102" t="str">
        <f ca="1">IFERROR(__xludf.DUMMYFUNCTION("IMPORTRANGE(H563,""IDENTITAS UNIT!D9"")"),"")</f>
        <v/>
      </c>
      <c r="H563" s="101" t="str">
        <v>https://docs.google.com/spreadsheets/d/1qz-QanfNnKYCuEUwecPOPU4pSGBcW0ts_uhGZXtaLs8</v>
      </c>
      <c r="I563" s="101" t="str">
        <v>https://docs.google.com/open?id=1qz-QanfNnKYCuEUwecPOPU4pSGBcW0ts_uhGZXtaLs8</v>
      </c>
      <c r="J563" s="4" t="str">
        <v>Bogem, Caturharjo, Pandak</v>
      </c>
      <c r="L563" s="99" t="str">
        <f ca="1">IFERROR(__xludf.DUMMYFUNCTION("IMPORTRANGE(H563,""IDENTITAS UNIT!D35"")"),"Putri Arifa Cahya Maharani")</f>
        <v>Putri Arifa Cahya Maharani</v>
      </c>
    </row>
    <row r="564" spans="1:12" ht="49.5" hidden="1">
      <c r="A564" s="4" t="str">
        <v>Reguler Periode ke-111 II.A.1</v>
      </c>
      <c r="B564" s="4" t="str">
        <v>Reguler Periode ke-111</v>
      </c>
      <c r="C564" s="4" t="str">
        <v>II.A.1</v>
      </c>
      <c r="D564" s="101" t="str">
        <v>https://drive.google.com/open?id=1I3AF19kK7L1mKBHF-HNiBhq5ToSl1LbuuMHzVkPdcUo&amp;usp=drive_copy</v>
      </c>
      <c r="E564" s="101" t="str">
        <v>https://drive.google.com/open?id=1I3AF19kK7L1mKBHF-HNiBhq5ToSl1LbuuMHzVkPdcUo</v>
      </c>
      <c r="F564" s="103" t="str">
        <f ca="1">IFERROR(__xludf.DUMMYFUNCTION("IMPORTRANGE(H564,""IDENTITAS UNIT!D9"")"),"https://maps.app.goo.gl/cmLoS91SkXQR5Bcg6")</f>
        <v>https://maps.app.goo.gl/cmLoS91SkXQR5Bcg6</v>
      </c>
      <c r="G564" s="4" t="s">
        <v>13094</v>
      </c>
      <c r="H564" s="101" t="str">
        <v>https://docs.google.com/spreadsheets/d/1I3AF19kK7L1mKBHF-HNiBhq5ToSl1LbuuMHzVkPdcUo</v>
      </c>
      <c r="I564" s="101" t="str">
        <v>https://docs.google.com/open?id=1I3AF19kK7L1mKBHF-HNiBhq5ToSl1LbuuMHzVkPdcUo</v>
      </c>
      <c r="J564" s="4" t="str">
        <v>Tegallayang 10, Caturharjo, Pandak</v>
      </c>
      <c r="L564" s="99" t="str">
        <f ca="1">IFERROR(__xludf.DUMMYFUNCTION("IMPORTRANGE(H564,""IDENTITAS UNIT!D35"")"),"Muhammad Deni Akbar")</f>
        <v>Muhammad Deni Akbar</v>
      </c>
    </row>
    <row r="565" spans="1:12" ht="49.5" hidden="1">
      <c r="A565" s="4" t="str">
        <v>Reguler Periode ke-111 II.A.2</v>
      </c>
      <c r="B565" s="4" t="str">
        <v>Reguler Periode ke-111</v>
      </c>
      <c r="C565" s="4" t="str">
        <v>II.A.2</v>
      </c>
      <c r="D565" s="101" t="str">
        <v>https://drive.google.com/open?id=1jAMIDgWJQybcb8r7KykpfwMb-EcHt5QEdWF1kNkZ5Ns&amp;usp=drive_copy</v>
      </c>
      <c r="E565" s="101" t="str">
        <v>https://drive.google.com/open?id=1jAMIDgWJQybcb8r7KykpfwMb-EcHt5QEdWF1kNkZ5Ns</v>
      </c>
      <c r="F565" s="103" t="str">
        <f ca="1">IFERROR(__xludf.DUMMYFUNCTION("IMPORTRANGE(H565,""IDENTITAS UNIT!D9"")"),"https://maps.app.goo.gl/HKsckPi6jfgetk9G9")</f>
        <v>https://maps.app.goo.gl/HKsckPi6jfgetk9G9</v>
      </c>
      <c r="G565" s="4" t="s">
        <v>13095</v>
      </c>
      <c r="H565" s="101" t="str">
        <v>https://docs.google.com/spreadsheets/d/1jAMIDgWJQybcb8r7KykpfwMb-EcHt5QEdWF1kNkZ5Ns</v>
      </c>
      <c r="I565" s="101" t="str">
        <v>https://docs.google.com/open?id=1jAMIDgWJQybcb8r7KykpfwMb-EcHt5QEdWF1kNkZ5Ns</v>
      </c>
      <c r="J565" s="4" t="str">
        <v>Tegallayang 10, Caturharjo, Pandak</v>
      </c>
      <c r="L565" s="99" t="str">
        <f ca="1">IFERROR(__xludf.DUMMYFUNCTION("IMPORTRANGE(H565,""IDENTITAS UNIT!D35"")"),"Fajar Rifai")</f>
        <v>Fajar Rifai</v>
      </c>
    </row>
    <row r="566" spans="1:12" ht="49.5" hidden="1">
      <c r="A566" s="4" t="str">
        <v>Reguler Periode ke-111 II.A.3</v>
      </c>
      <c r="B566" s="4" t="str">
        <v>Reguler Periode ke-111</v>
      </c>
      <c r="C566" s="4" t="str">
        <v>II.A.3</v>
      </c>
      <c r="D566" s="101" t="str">
        <v>https://drive.google.com/open?id=1sGrah5s8iEACXhZq_fvr19mWahjeuT0zh2ZVftcP-3k&amp;usp=drive_copy</v>
      </c>
      <c r="E566" s="101" t="str">
        <v>https://drive.google.com/open?id=1sGrah5s8iEACXhZq_fvr19mWahjeuT0zh2ZVftcP-3k</v>
      </c>
      <c r="F566" s="103" t="str">
        <f ca="1">IFERROR(__xludf.DUMMYFUNCTION("IMPORTRANGE(H566,""IDENTITAS UNIT!D9"")"),"https://goo.gl/maps/sPU4kJrPoK8zJjKL6")</f>
        <v>https://goo.gl/maps/sPU4kJrPoK8zJjKL6</v>
      </c>
      <c r="G566" s="4" t="s">
        <v>13096</v>
      </c>
      <c r="H566" s="101" t="str">
        <v>https://docs.google.com/spreadsheets/d/1sGrah5s8iEACXhZq_fvr19mWahjeuT0zh2ZVftcP-3k</v>
      </c>
      <c r="I566" s="101" t="str">
        <v>https://docs.google.com/open?id=1sGrah5s8iEACXhZq_fvr19mWahjeuT0zh2ZVftcP-3k</v>
      </c>
      <c r="J566" s="4" t="str">
        <v>Glagahan, Caturharjo, Pandak</v>
      </c>
      <c r="L566" s="99" t="str">
        <f ca="1">IFERROR(__xludf.DUMMYFUNCTION("IMPORTRANGE(H566,""IDENTITAS UNIT!D35"")"),"Yoga Budi Prabowo")</f>
        <v>Yoga Budi Prabowo</v>
      </c>
    </row>
    <row r="567" spans="1:12" ht="49.5" hidden="1">
      <c r="A567" s="4" t="str">
        <v>Reguler Periode ke-111 II.B.1</v>
      </c>
      <c r="B567" s="4" t="str">
        <v>Reguler Periode ke-111</v>
      </c>
      <c r="C567" s="4" t="str">
        <v>II.B.1</v>
      </c>
      <c r="D567" s="101" t="str">
        <v>https://drive.google.com/open?id=1EZZlf-oZkJOSuzCoedEqasBDz1cZkRN6OJBsdqLytVo&amp;usp=drive_copy</v>
      </c>
      <c r="E567" s="101" t="str">
        <v>https://drive.google.com/open?id=1EZZlf-oZkJOSuzCoedEqasBDz1cZkRN6OJBsdqLytVo</v>
      </c>
      <c r="F567" s="103" t="str">
        <f ca="1">IFERROR(__xludf.DUMMYFUNCTION("IMPORTRANGE(H567,""IDENTITAS UNIT!D9"")"),"https://maps.app.goo.gl/kupLWmhd2x9Jv4eL6")</f>
        <v>https://maps.app.goo.gl/kupLWmhd2x9Jv4eL6</v>
      </c>
      <c r="G567" s="4" t="s">
        <v>13097</v>
      </c>
      <c r="H567" s="101" t="str">
        <v>https://docs.google.com/spreadsheets/d/1EZZlf-oZkJOSuzCoedEqasBDz1cZkRN6OJBsdqLytVo</v>
      </c>
      <c r="I567" s="101" t="str">
        <v>https://docs.google.com/open?id=1EZZlf-oZkJOSuzCoedEqasBDz1cZkRN6OJBsdqLytVo</v>
      </c>
      <c r="J567" s="4" t="str">
        <v>Tanjungan, Caturharjo, Pandak</v>
      </c>
      <c r="L567" s="99" t="str">
        <f ca="1">IFERROR(__xludf.DUMMYFUNCTION("IMPORTRANGE(H567,""IDENTITAS UNIT!D35"")"),"Rahmad Budi Setyawan")</f>
        <v>Rahmad Budi Setyawan</v>
      </c>
    </row>
    <row r="568" spans="1:12" ht="49.5" hidden="1">
      <c r="A568" s="4" t="str">
        <v>Reguler Periode ke-111 II.B.2</v>
      </c>
      <c r="B568" s="4" t="str">
        <v>Reguler Periode ke-111</v>
      </c>
      <c r="C568" s="4" t="str">
        <v>II.B.2</v>
      </c>
      <c r="D568" s="101" t="str">
        <v>https://drive.google.com/open?id=1G6R0o5Pv0LcGQYBrrDDjvimc0cHTaZk2TzWJX4Wu7ns&amp;usp=drive_copy</v>
      </c>
      <c r="E568" s="101" t="str">
        <v>https://drive.google.com/open?id=1G6R0o5Pv0LcGQYBrrDDjvimc0cHTaZk2TzWJX4Wu7ns</v>
      </c>
      <c r="F568" s="103" t="str">
        <f ca="1">IFERROR(__xludf.DUMMYFUNCTION("IMPORTRANGE(H568,""IDENTITAS UNIT!D9"")"),"https://maps.app.goo.gl/4b6vxUTzdP3QdAMm9")</f>
        <v>https://maps.app.goo.gl/4b6vxUTzdP3QdAMm9</v>
      </c>
      <c r="G568" s="4" t="s">
        <v>13098</v>
      </c>
      <c r="H568" s="101" t="str">
        <v>https://docs.google.com/spreadsheets/d/1G6R0o5Pv0LcGQYBrrDDjvimc0cHTaZk2TzWJX4Wu7ns</v>
      </c>
      <c r="I568" s="101" t="str">
        <v>https://docs.google.com/open?id=1G6R0o5Pv0LcGQYBrrDDjvimc0cHTaZk2TzWJX4Wu7ns</v>
      </c>
      <c r="J568" s="4" t="str">
        <v>Tunjungan, Caturharjo, Pandak</v>
      </c>
      <c r="L568" s="99" t="str">
        <f ca="1">IFERROR(__xludf.DUMMYFUNCTION("IMPORTRANGE(H568,""IDENTITAS UNIT!D35"")"),"Alina Firdaus Ghozali")</f>
        <v>Alina Firdaus Ghozali</v>
      </c>
    </row>
    <row r="569" spans="1:12" ht="49.5" hidden="1">
      <c r="A569" s="4" t="str">
        <v>Reguler Periode ke-111 II.B.3</v>
      </c>
      <c r="B569" s="4" t="str">
        <v>Reguler Periode ke-111</v>
      </c>
      <c r="C569" s="4" t="str">
        <v>II.B.3</v>
      </c>
      <c r="D569" s="101" t="str">
        <v>https://drive.google.com/open?id=1biTi2ymlkV4x9dXvw9oFu6Sw05uBhDTp5wXV7PymxRg&amp;usp=drive_copy</v>
      </c>
      <c r="E569" s="101" t="str">
        <v>https://drive.google.com/open?id=1biTi2ymlkV4x9dXvw9oFu6Sw05uBhDTp5wXV7PymxRg</v>
      </c>
      <c r="F569" s="103" t="str">
        <f ca="1">IFERROR(__xludf.DUMMYFUNCTION("IMPORTRANGE(H569,""IDENTITAS UNIT!D9"")"),"https://maps.app.goo.gl/we6H4eZgArvHhA1K8")</f>
        <v>https://maps.app.goo.gl/we6H4eZgArvHhA1K8</v>
      </c>
      <c r="G569" s="4" t="s">
        <v>13099</v>
      </c>
      <c r="H569" s="101" t="str">
        <v>https://docs.google.com/spreadsheets/d/1biTi2ymlkV4x9dXvw9oFu6Sw05uBhDTp5wXV7PymxRg</v>
      </c>
      <c r="I569" s="101" t="str">
        <v>https://docs.google.com/open?id=1biTi2ymlkV4x9dXvw9oFu6Sw05uBhDTp5wXV7PymxRg</v>
      </c>
      <c r="J569" s="4" t="str">
        <v>Samparan, Caturharjo, Pandak</v>
      </c>
      <c r="L569" s="99" t="str">
        <f ca="1">IFERROR(__xludf.DUMMYFUNCTION("IMPORTRANGE(H569,""IDENTITAS UNIT!D35"")"),"Danang Jati Prasojo")</f>
        <v>Danang Jati Prasojo</v>
      </c>
    </row>
    <row r="570" spans="1:12" ht="181.5" hidden="1">
      <c r="A570" s="4" t="str">
        <v>Reguler Periode ke-111 II.C.1</v>
      </c>
      <c r="B570" s="4" t="str">
        <v>Reguler Periode ke-111</v>
      </c>
      <c r="C570" s="4" t="str">
        <v>II.C.1</v>
      </c>
      <c r="D570" s="101" t="str">
        <v>https://drive.google.com/open?id=188Cz7H5iEkxNMg9roX8vCsWndIEsyC3uohC-u-2_1FU&amp;usp=drive_copy</v>
      </c>
      <c r="E570" s="101" t="str">
        <v>https://drive.google.com/open?id=188Cz7H5iEkxNMg9roX8vCsWndIEsyC3uohC-u-2_1FU</v>
      </c>
      <c r="F570" s="103" t="str">
        <f ca="1">IFERROR(__xludf.DUMMYFUNCTION("IMPORTRANGE(H570,""IDENTITAS UNIT!D9"")"),"https://www.google.com/maps/place/7%C2%B056'11.6%22S+110%C2%B015'40.6%22E/@-7.9365487,110.2586899,17z/data=!3m1!4b1!4m4!3m3!8m2!3d-7.9365487!4d110.2612648?hl=id&amp;entry=ttu")</f>
        <v>https://www.google.com/maps/place/7%C2%B056'11.6%22S+110%C2%B015'40.6%22E/@-7.9365487,110.2586899,17z/data=!3m1!4b1!4m4!3m3!8m2!3d-7.9365487!4d110.2612648?hl=id&amp;entry=ttu</v>
      </c>
      <c r="G570" s="4" t="s">
        <v>13100</v>
      </c>
      <c r="H570" s="101" t="str">
        <v>https://docs.google.com/spreadsheets/d/188Cz7H5iEkxNMg9roX8vCsWndIEsyC3uohC-u-2_1FU</v>
      </c>
      <c r="I570" s="101" t="str">
        <v>https://docs.google.com/open?id=188Cz7H5iEkxNMg9roX8vCsWndIEsyC3uohC-u-2_1FU</v>
      </c>
      <c r="J570" s="4" t="str">
        <v>Tegallayang 9, Caturharjo, Pandak</v>
      </c>
      <c r="L570" s="99" t="str">
        <f ca="1">IFERROR(__xludf.DUMMYFUNCTION("IMPORTRANGE(H570,""IDENTITAS UNIT!D35"")"),"Faris Husnan")</f>
        <v>Faris Husnan</v>
      </c>
    </row>
    <row r="571" spans="1:12" ht="49.5" hidden="1">
      <c r="A571" s="4" t="str">
        <v>Reguler Periode ke-111 II.C.2</v>
      </c>
      <c r="B571" s="4" t="str">
        <v>Reguler Periode ke-111</v>
      </c>
      <c r="C571" s="4" t="str">
        <v>II.C.2</v>
      </c>
      <c r="D571" s="101" t="str">
        <v>https://drive.google.com/open?id=1RcvHn8UmSUJnVTdhZDqkVTd6AyOnH3nsRPYso4rouDk&amp;usp=drive_copy</v>
      </c>
      <c r="E571" s="101" t="str">
        <v>https://drive.google.com/open?id=1RcvHn8UmSUJnVTdhZDqkVTd6AyOnH3nsRPYso4rouDk</v>
      </c>
      <c r="F571" s="103" t="str">
        <f ca="1">IFERROR(__xludf.DUMMYFUNCTION("IMPORTRANGE(H571,""IDENTITAS UNIT!D9"")"),"https://maps.app.goo.gl/zCwRqHHTKMofBwZ47?g_st=iw")</f>
        <v>https://maps.app.goo.gl/zCwRqHHTKMofBwZ47?g_st=iw</v>
      </c>
      <c r="G571" s="4" t="s">
        <v>13101</v>
      </c>
      <c r="H571" s="101" t="str">
        <v>https://docs.google.com/spreadsheets/d/1RcvHn8UmSUJnVTdhZDqkVTd6AyOnH3nsRPYso4rouDk</v>
      </c>
      <c r="I571" s="101" t="str">
        <v>https://docs.google.com/open?id=1RcvHn8UmSUJnVTdhZDqkVTd6AyOnH3nsRPYso4rouDk</v>
      </c>
      <c r="J571" s="4" t="str">
        <v>Tegallayang 9, Caturharjo, Pandak</v>
      </c>
      <c r="L571" s="99" t="str">
        <f ca="1">IFERROR(__xludf.DUMMYFUNCTION("IMPORTRANGE(H571,""IDENTITAS UNIT!D35"")"),"")</f>
        <v/>
      </c>
    </row>
    <row r="572" spans="1:12" ht="16.5" hidden="1">
      <c r="A572" s="4" t="str">
        <v>Reguler Periode ke-111 II.C.3</v>
      </c>
      <c r="B572" s="4" t="str">
        <v>Reguler Periode ke-111</v>
      </c>
      <c r="C572" s="4" t="str">
        <v>II.C.3</v>
      </c>
      <c r="D572" s="101" t="str">
        <v>https://drive.google.com/open?id=1YH1tpdzFQjPmqYxFGID-KIc1M73TGdL9ohNRiS2KZpE&amp;usp=drive_copy</v>
      </c>
      <c r="E572" s="101" t="str">
        <v>https://drive.google.com/open?id=1YH1tpdzFQjPmqYxFGID-KIc1M73TGdL9ohNRiS2KZpE</v>
      </c>
      <c r="F572" s="102" t="str">
        <f ca="1">IFERROR(__xludf.DUMMYFUNCTION("IMPORTRANGE(H572,""IDENTITAS UNIT!D9"")"),"")</f>
        <v/>
      </c>
      <c r="H572" s="101" t="str">
        <v>https://docs.google.com/spreadsheets/d/1YH1tpdzFQjPmqYxFGID-KIc1M73TGdL9ohNRiS2KZpE</v>
      </c>
      <c r="I572" s="101" t="str">
        <v>https://docs.google.com/open?id=1YH1tpdzFQjPmqYxFGID-KIc1M73TGdL9ohNRiS2KZpE</v>
      </c>
      <c r="J572" s="4" t="str">
        <v>Gluntung Kidul, Caturharjo, Pandak</v>
      </c>
      <c r="L572" s="99" t="str">
        <f ca="1">IFERROR(__xludf.DUMMYFUNCTION("IMPORTRANGE(H572,""IDENTITAS UNIT!D35"")"),"Mahmud Suja'i")</f>
        <v>Mahmud Suja'i</v>
      </c>
    </row>
    <row r="573" spans="1:12" ht="49.5" hidden="1">
      <c r="A573" s="4" t="str">
        <v>Reguler Periode ke-111 II.D.1</v>
      </c>
      <c r="B573" s="4" t="str">
        <v>Reguler Periode ke-111</v>
      </c>
      <c r="C573" s="4" t="str">
        <v>II.D.1</v>
      </c>
      <c r="D573" s="101" t="str">
        <v>https://drive.google.com/open?id=13QhkliNcfriD2DUW8HuH6dOshknm0I0cqz7sQlTzgmI&amp;usp=drive_copy</v>
      </c>
      <c r="E573" s="101" t="str">
        <v>https://drive.google.com/open?id=13QhkliNcfriD2DUW8HuH6dOshknm0I0cqz7sQlTzgmI</v>
      </c>
      <c r="F573" s="103" t="str">
        <f ca="1">IFERROR(__xludf.DUMMYFUNCTION("IMPORTRANGE(H573,""IDENTITAS UNIT!D9"")"),"https://maps.app.goo.gl/KH3okSqUhNfbxq9W6")</f>
        <v>https://maps.app.goo.gl/KH3okSqUhNfbxq9W6</v>
      </c>
      <c r="G573" s="4" t="s">
        <v>13102</v>
      </c>
      <c r="H573" s="101" t="str">
        <v>https://docs.google.com/spreadsheets/d/13QhkliNcfriD2DUW8HuH6dOshknm0I0cqz7sQlTzgmI</v>
      </c>
      <c r="I573" s="101" t="str">
        <v>https://docs.google.com/open?id=13QhkliNcfriD2DUW8HuH6dOshknm0I0cqz7sQlTzgmI</v>
      </c>
      <c r="J573" s="4" t="str">
        <v>Pandak, Wijirejo, Pandak</v>
      </c>
      <c r="L573" s="99" t="str">
        <f ca="1">IFERROR(__xludf.DUMMYFUNCTION("IMPORTRANGE(H573,""IDENTITAS UNIT!D35"")"),"Muhammad Dimas Abdillah")</f>
        <v>Muhammad Dimas Abdillah</v>
      </c>
    </row>
    <row r="574" spans="1:12" ht="49.5" hidden="1">
      <c r="A574" s="4" t="str">
        <v>Reguler Periode ke-111 II.D.2</v>
      </c>
      <c r="B574" s="4" t="str">
        <v>Reguler Periode ke-111</v>
      </c>
      <c r="C574" s="4" t="str">
        <v>II.D.2</v>
      </c>
      <c r="D574" s="101" t="str">
        <v>https://drive.google.com/open?id=10mbr-0vwM8kYmIfhGJyI31hWVUgazf863FXyTN0cu2A&amp;usp=drive_copy</v>
      </c>
      <c r="E574" s="101" t="str">
        <v>https://drive.google.com/open?id=10mbr-0vwM8kYmIfhGJyI31hWVUgazf863FXyTN0cu2A</v>
      </c>
      <c r="F574" s="103" t="str">
        <f ca="1">IFERROR(__xludf.DUMMYFUNCTION("IMPORTRANGE(H574,""IDENTITAS UNIT!D9"")"),"https://goo.gl/maps/nVarQKxCXh5r3Akq9")</f>
        <v>https://goo.gl/maps/nVarQKxCXh5r3Akq9</v>
      </c>
      <c r="G574" s="4" t="s">
        <v>13103</v>
      </c>
      <c r="H574" s="101" t="str">
        <v>https://docs.google.com/spreadsheets/d/10mbr-0vwM8kYmIfhGJyI31hWVUgazf863FXyTN0cu2A</v>
      </c>
      <c r="I574" s="101" t="str">
        <v>https://docs.google.com/open?id=10mbr-0vwM8kYmIfhGJyI31hWVUgazf863FXyTN0cu2A</v>
      </c>
      <c r="J574" s="4" t="str">
        <v>Bajang, Wijirejo, Pandak</v>
      </c>
      <c r="L574" s="99" t="str">
        <f ca="1">IFERROR(__xludf.DUMMYFUNCTION("IMPORTRANGE(H574,""IDENTITAS UNIT!D35"")"),"Aditya Waskitha Nugraha")</f>
        <v>Aditya Waskitha Nugraha</v>
      </c>
    </row>
    <row r="575" spans="1:12" ht="82.5" hidden="1">
      <c r="A575" s="4" t="str">
        <v>Reguler Periode ke-111 II.D.3</v>
      </c>
      <c r="B575" s="4" t="str">
        <v>Reguler Periode ke-111</v>
      </c>
      <c r="C575" s="4" t="str">
        <v>II.D.3</v>
      </c>
      <c r="D575" s="101" t="str">
        <v>https://drive.google.com/open?id=1YWX9TQlOJvLswET9G6iypcmHdHdVOFR_-rKFuAQyoUc&amp;usp=drive_copy</v>
      </c>
      <c r="E575" s="101" t="str">
        <v>https://drive.google.com/open?id=1YWX9TQlOJvLswET9G6iypcmHdHdVOFR_-rKFuAQyoUc</v>
      </c>
      <c r="F575" s="102" t="str">
        <f ca="1">IFERROR(__xludf.DUMMYFUNCTION("IMPORTRANGE(H575,""IDENTITAS UNIT!D9"")"),"7°53'50.4""S 110°18'17.7""E (https://goo.gl/maps/XZQNm7HWnpw3jTgY9)")</f>
        <v>7°53'50.4"S 110°18'17.7"E (https://goo.gl/maps/XZQNm7HWnpw3jTgY9)</v>
      </c>
      <c r="H575" s="101" t="str">
        <v>https://docs.google.com/spreadsheets/d/1YWX9TQlOJvLswET9G6iypcmHdHdVOFR_-rKFuAQyoUc</v>
      </c>
      <c r="I575" s="101" t="str">
        <v>https://docs.google.com/open?id=1YWX9TQlOJvLswET9G6iypcmHdHdVOFR_-rKFuAQyoUc</v>
      </c>
      <c r="J575" s="4" t="str">
        <v>Gesikan 3, Wijirejo, Pandak</v>
      </c>
      <c r="L575" s="99" t="str">
        <f ca="1">IFERROR(__xludf.DUMMYFUNCTION("IMPORTRANGE(H575,""IDENTITAS UNIT!D35"")"),"Achmad Ardian Zuvani")</f>
        <v>Achmad Ardian Zuvani</v>
      </c>
    </row>
    <row r="576" spans="1:12" ht="49.5" hidden="1">
      <c r="A576" s="4" t="str">
        <v>Reguler Periode ke-111 III.A.1</v>
      </c>
      <c r="B576" s="4" t="str">
        <v>Reguler Periode ke-111</v>
      </c>
      <c r="C576" s="4" t="str">
        <v>III.A.1</v>
      </c>
      <c r="D576" s="101" t="str">
        <v>https://drive.google.com/open?id=1_Z9xhlLNQp8Gg84MYo3lOwLL1j3O0rpkd188A6qymLE&amp;usp=drive_copy</v>
      </c>
      <c r="E576" s="101" t="str">
        <v>https://drive.google.com/open?id=1_Z9xhlLNQp8Gg84MYo3lOwLL1j3O0rpkd188A6qymLE</v>
      </c>
      <c r="F576" s="102" t="str">
        <f ca="1">IFERROR(__xludf.DUMMYFUNCTION("IMPORTRANGE(H576,""IDENTITAS UNIT!D9"")"),"-7.900547029097029, 110.3019342939019")</f>
        <v>-7.900547029097029, 110.3019342939019</v>
      </c>
      <c r="G576" s="4" t="s">
        <v>13104</v>
      </c>
      <c r="H576" s="101" t="str">
        <v>https://docs.google.com/spreadsheets/d/1_Z9xhlLNQp8Gg84MYo3lOwLL1j3O0rpkd188A6qymLE</v>
      </c>
      <c r="I576" s="101" t="str">
        <v>https://docs.google.com/open?id=1_Z9xhlLNQp8Gg84MYo3lOwLL1j3O0rpkd188A6qymLE</v>
      </c>
      <c r="J576" s="4" t="str">
        <v>Gesikan 4, Wijirejo, Pandak</v>
      </c>
      <c r="L576" s="99" t="str">
        <f ca="1">IFERROR(__xludf.DUMMYFUNCTION("IMPORTRANGE(H576,""IDENTITAS UNIT!D35"")"),"A.Achmad Amirul Dinul")</f>
        <v>A.Achmad Amirul Dinul</v>
      </c>
    </row>
    <row r="577" spans="1:12" ht="49.5" hidden="1">
      <c r="A577" s="4" t="str">
        <v>Reguler Periode ke-111 III.A.2</v>
      </c>
      <c r="B577" s="4" t="str">
        <v>Reguler Periode ke-111</v>
      </c>
      <c r="C577" s="4" t="str">
        <v>III.A.2</v>
      </c>
      <c r="D577" s="101" t="str">
        <v>https://drive.google.com/open?id=1kFh-M-hT8ij3Uec8M8S6NZ1xdxzBrB7XYxkvhSPqxGU&amp;usp=drive_copy</v>
      </c>
      <c r="E577" s="101" t="str">
        <v>https://drive.google.com/open?id=1kFh-M-hT8ij3Uec8M8S6NZ1xdxzBrB7XYxkvhSPqxGU</v>
      </c>
      <c r="F577" s="103" t="str">
        <f ca="1">IFERROR(__xludf.DUMMYFUNCTION("IMPORTRANGE(H577,""IDENTITAS UNIT!D9"")"),"https://maps.app.goo.gl/MhkbrVvteRVkwre8A")</f>
        <v>https://maps.app.goo.gl/MhkbrVvteRVkwre8A</v>
      </c>
      <c r="G577" s="4" t="s">
        <v>13105</v>
      </c>
      <c r="H577" s="101" t="str">
        <v>https://docs.google.com/spreadsheets/d/1kFh-M-hT8ij3Uec8M8S6NZ1xdxzBrB7XYxkvhSPqxGU</v>
      </c>
      <c r="I577" s="101" t="str">
        <v>https://docs.google.com/open?id=1kFh-M-hT8ij3Uec8M8S6NZ1xdxzBrB7XYxkvhSPqxGU</v>
      </c>
      <c r="J577" s="4" t="str">
        <v>Bergan, Wijirejo, Pandak</v>
      </c>
      <c r="L577" s="99" t="str">
        <f ca="1">IFERROR(__xludf.DUMMYFUNCTION("IMPORTRANGE(H577,""IDENTITAS UNIT!D35"")"),"Wahyu Padliansyah Liambo")</f>
        <v>Wahyu Padliansyah Liambo</v>
      </c>
    </row>
    <row r="578" spans="1:12" ht="49.5" hidden="1">
      <c r="A578" s="4" t="str">
        <v>Reguler Periode ke-111 III.A.3</v>
      </c>
      <c r="B578" s="4" t="str">
        <v>Reguler Periode ke-111</v>
      </c>
      <c r="C578" s="4" t="str">
        <v>III.A.3</v>
      </c>
      <c r="D578" s="101" t="str">
        <v>https://drive.google.com/open?id=13ss263b1v0zCi3a6DhT3Z7lXL24RgSPEnJ8zBbN4iKw&amp;usp=drive_copy</v>
      </c>
      <c r="E578" s="101" t="str">
        <v>https://drive.google.com/open?id=13ss263b1v0zCi3a6DhT3Z7lXL24RgSPEnJ8zBbN4iKw</v>
      </c>
      <c r="F578" s="103" t="str">
        <f ca="1">IFERROR(__xludf.DUMMYFUNCTION("IMPORTRANGE(H578,""IDENTITAS UNIT!D9"")"),"https://goo.gl/maps/1C8shj6jCUbg57c27")</f>
        <v>https://goo.gl/maps/1C8shj6jCUbg57c27</v>
      </c>
      <c r="G578" s="4" t="s">
        <v>13106</v>
      </c>
      <c r="H578" s="101" t="str">
        <v>https://docs.google.com/spreadsheets/d/13ss263b1v0zCi3a6DhT3Z7lXL24RgSPEnJ8zBbN4iKw</v>
      </c>
      <c r="I578" s="101" t="str">
        <v>https://docs.google.com/open?id=13ss263b1v0zCi3a6DhT3Z7lXL24RgSPEnJ8zBbN4iKw</v>
      </c>
      <c r="J578" s="4" t="str">
        <v>Ngeblak, Wijirejo, Pandak</v>
      </c>
      <c r="L578" s="99" t="str">
        <f ca="1">IFERROR(__xludf.DUMMYFUNCTION("IMPORTRANGE(H578,""IDENTITAS UNIT!D35"")"),"")</f>
        <v/>
      </c>
    </row>
    <row r="579" spans="1:12" ht="49.5" hidden="1">
      <c r="A579" s="4" t="str">
        <v>Reguler Periode ke-111 III.B.1</v>
      </c>
      <c r="B579" s="4" t="str">
        <v>Reguler Periode ke-111</v>
      </c>
      <c r="C579" s="4" t="str">
        <v>III.B.1</v>
      </c>
      <c r="D579" s="101" t="str">
        <v>https://drive.google.com/open?id=15KZ--t3Q0kkTCxhyfiIGFFjAhGJJsnt0xLok7nrdO38&amp;usp=drive_copy</v>
      </c>
      <c r="E579" s="101" t="str">
        <v>https://drive.google.com/open?id=15KZ--t3Q0kkTCxhyfiIGFFjAhGJJsnt0xLok7nrdO38</v>
      </c>
      <c r="F579" s="103" t="str">
        <f ca="1">IFERROR(__xludf.DUMMYFUNCTION("IMPORTRANGE(H579,""IDENTITAS UNIT!D9"")"),"https://goo.gl/maps/B8pqbtTYk9n9sv3o6")</f>
        <v>https://goo.gl/maps/B8pqbtTYk9n9sv3o6</v>
      </c>
      <c r="G579" s="4" t="s">
        <v>13107</v>
      </c>
      <c r="H579" s="101" t="str">
        <v>https://docs.google.com/spreadsheets/d/15KZ--t3Q0kkTCxhyfiIGFFjAhGJJsnt0xLok7nrdO38</v>
      </c>
      <c r="I579" s="101" t="str">
        <v>https://docs.google.com/open?id=15KZ--t3Q0kkTCxhyfiIGFFjAhGJJsnt0xLok7nrdO38</v>
      </c>
      <c r="J579" s="4" t="str">
        <v>Pedak, Wijirejo, Pandak</v>
      </c>
      <c r="L579" s="99" t="str">
        <f ca="1">IFERROR(__xludf.DUMMYFUNCTION("IMPORTRANGE(H579,""IDENTITAS UNIT!D35"")"),"Muchammad Maulana Isnan")</f>
        <v>Muchammad Maulana Isnan</v>
      </c>
    </row>
    <row r="580" spans="1:12" ht="49.5" hidden="1">
      <c r="A580" s="4" t="str">
        <v>Reguler Periode ke-111 III.B.2</v>
      </c>
      <c r="B580" s="4" t="str">
        <v>Reguler Periode ke-111</v>
      </c>
      <c r="C580" s="4" t="str">
        <v>III.B.2</v>
      </c>
      <c r="D580" s="101" t="str">
        <v>https://drive.google.com/open?id=1F_9OAvKz0KlFsPKIxwKI3CJWvfkj5tmmyxQqpkANOIc&amp;usp=drive_copy</v>
      </c>
      <c r="E580" s="101" t="str">
        <v>https://drive.google.com/open?id=1F_9OAvKz0KlFsPKIxwKI3CJWvfkj5tmmyxQqpkANOIc</v>
      </c>
      <c r="F580" s="103" t="str">
        <f ca="1">IFERROR(__xludf.DUMMYFUNCTION("IMPORTRANGE(H580,""IDENTITAS UNIT!D9"")"),"https://maps.app.goo.gl/CzFvPa36eTDeMZqk7")</f>
        <v>https://maps.app.goo.gl/CzFvPa36eTDeMZqk7</v>
      </c>
      <c r="H580" s="101" t="str">
        <v>https://docs.google.com/spreadsheets/d/1F_9OAvKz0KlFsPKIxwKI3CJWvfkj5tmmyxQqpkANOIc</v>
      </c>
      <c r="I580" s="101" t="str">
        <v>https://docs.google.com/open?id=1F_9OAvKz0KlFsPKIxwKI3CJWvfkj5tmmyxQqpkANOIc</v>
      </c>
      <c r="J580" s="4" t="str">
        <v>Kauman, Wijirejo, Pandak</v>
      </c>
      <c r="L580" s="99" t="str">
        <f ca="1">IFERROR(__xludf.DUMMYFUNCTION("IMPORTRANGE(H580,""IDENTITAS UNIT!D35"")"),"Hendra Saputra")</f>
        <v>Hendra Saputra</v>
      </c>
    </row>
    <row r="581" spans="1:12" ht="49.5" hidden="1">
      <c r="A581" s="4" t="str">
        <v>Reguler Periode ke-111 III.B.3</v>
      </c>
      <c r="B581" s="4" t="str">
        <v>Reguler Periode ke-111</v>
      </c>
      <c r="C581" s="4" t="str">
        <v>III.B.3</v>
      </c>
      <c r="D581" s="101" t="str">
        <v>https://drive.google.com/open?id=1OkOJ9-fcwAxIY0UiNGHafkZR6crApqZVOZT7fs3rOh8&amp;usp=drive_copy</v>
      </c>
      <c r="E581" s="101" t="str">
        <v>https://drive.google.com/open?id=1OkOJ9-fcwAxIY0UiNGHafkZR6crApqZVOZT7fs3rOh8</v>
      </c>
      <c r="F581" s="103" t="str">
        <f ca="1">IFERROR(__xludf.DUMMYFUNCTION("IMPORTRANGE(H581,""IDENTITAS UNIT!D9"")"),"https://maps.app.goo.gl/ihUvDJLoRAcYYtM67")</f>
        <v>https://maps.app.goo.gl/ihUvDJLoRAcYYtM67</v>
      </c>
      <c r="G581" s="4" t="s">
        <v>13108</v>
      </c>
      <c r="H581" s="101" t="str">
        <v>https://docs.google.com/spreadsheets/d/1OkOJ9-fcwAxIY0UiNGHafkZR6crApqZVOZT7fs3rOh8</v>
      </c>
      <c r="I581" s="101" t="str">
        <v>https://docs.google.com/open?id=1OkOJ9-fcwAxIY0UiNGHafkZR6crApqZVOZT7fs3rOh8</v>
      </c>
      <c r="J581" s="4" t="str">
        <v>Gedongsari, Wijirejo, Pandak</v>
      </c>
      <c r="L581" s="99" t="str">
        <f ca="1">IFERROR(__xludf.DUMMYFUNCTION("IMPORTRANGE(H581,""IDENTITAS UNIT!D35"")"),"R. Sumantri Hardhianto")</f>
        <v>R. Sumantri Hardhianto</v>
      </c>
    </row>
    <row r="582" spans="1:12" ht="49.5" hidden="1">
      <c r="A582" s="4" t="str">
        <v>Reguler Periode ke-111 III.C.1</v>
      </c>
      <c r="B582" s="4" t="str">
        <v>Reguler Periode ke-111</v>
      </c>
      <c r="C582" s="4" t="str">
        <v>III.C.1</v>
      </c>
      <c r="D582" s="101" t="str">
        <v>https://drive.google.com/open?id=1qi8RpRUilbwQp6yaE6A4fo9IsrE1w4X5EuFk7MfPJvw&amp;usp=drive_copy</v>
      </c>
      <c r="E582" s="101" t="str">
        <v>https://drive.google.com/open?id=1qi8RpRUilbwQp6yaE6A4fo9IsrE1w4X5EuFk7MfPJvw</v>
      </c>
      <c r="F582" s="103" t="str">
        <f ca="1">IFERROR(__xludf.DUMMYFUNCTION("IMPORTRANGE(H582,""IDENTITAS UNIT!D9"")"),"https://maps.app.goo.gl/pAD9AQNVQ69zokZD7")</f>
        <v>https://maps.app.goo.gl/pAD9AQNVQ69zokZD7</v>
      </c>
      <c r="G582" s="4" t="s">
        <v>13109</v>
      </c>
      <c r="H582" s="101" t="str">
        <v>https://docs.google.com/spreadsheets/d/1qi8RpRUilbwQp6yaE6A4fo9IsrE1w4X5EuFk7MfPJvw</v>
      </c>
      <c r="I582" s="101" t="str">
        <v>https://docs.google.com/open?id=1qi8RpRUilbwQp6yaE6A4fo9IsrE1w4X5EuFk7MfPJvw</v>
      </c>
      <c r="J582" s="4" t="str">
        <v>Kwalangan, Wijirejo, Pandak</v>
      </c>
      <c r="L582" s="99" t="str">
        <f ca="1">IFERROR(__xludf.DUMMYFUNCTION("IMPORTRANGE(H582,""IDENTITAS UNIT!D35"")"),"Shafira Qoriy Ramadhani")</f>
        <v>Shafira Qoriy Ramadhani</v>
      </c>
    </row>
    <row r="583" spans="1:12" ht="49.5" hidden="1">
      <c r="A583" s="4" t="str">
        <v>Reguler Periode ke-111 III.C.2</v>
      </c>
      <c r="B583" s="4" t="str">
        <v>Reguler Periode ke-111</v>
      </c>
      <c r="C583" s="4" t="str">
        <v>III.C.2</v>
      </c>
      <c r="D583" s="101" t="str">
        <v>https://drive.google.com/open?id=1jozkSJ-c0pOQMXXCjkAgYrmDaFrwUr9J-GPsDi4AnnM&amp;usp=drive_copy</v>
      </c>
      <c r="E583" s="101" t="str">
        <v>https://drive.google.com/open?id=1jozkSJ-c0pOQMXXCjkAgYrmDaFrwUr9J-GPsDi4AnnM</v>
      </c>
      <c r="F583" s="103" t="str">
        <f ca="1">IFERROR(__xludf.DUMMYFUNCTION("IMPORTRANGE(H583,""IDENTITAS UNIT!D9"")"),"https://maps.app.goo.gl/LtDv3Se9f4Ks6ij1A")</f>
        <v>https://maps.app.goo.gl/LtDv3Se9f4Ks6ij1A</v>
      </c>
      <c r="G583" s="4" t="s">
        <v>13110</v>
      </c>
      <c r="H583" s="101" t="str">
        <v>https://docs.google.com/spreadsheets/d/1jozkSJ-c0pOQMXXCjkAgYrmDaFrwUr9J-GPsDi4AnnM</v>
      </c>
      <c r="I583" s="101" t="str">
        <v>https://docs.google.com/open?id=1jozkSJ-c0pOQMXXCjkAgYrmDaFrwUr9J-GPsDi4AnnM</v>
      </c>
      <c r="J583" s="4" t="str">
        <v>Kadisoro, Gilangharjo, Pandak</v>
      </c>
      <c r="L583" s="99" t="str">
        <f ca="1">IFERROR(__xludf.DUMMYFUNCTION("IMPORTRANGE(H583,""IDENTITAS UNIT!D35"")"),"Gilar Hana Kusuma")</f>
        <v>Gilar Hana Kusuma</v>
      </c>
    </row>
    <row r="584" spans="1:12" ht="49.5" hidden="1">
      <c r="A584" s="4" t="str">
        <v>Reguler Periode ke-111 III.C.3</v>
      </c>
      <c r="B584" s="4" t="str">
        <v>Reguler Periode ke-111</v>
      </c>
      <c r="C584" s="4" t="str">
        <v>III.C.3</v>
      </c>
      <c r="D584" s="101" t="str">
        <v>https://drive.google.com/open?id=1qwXEmEX155112a9wvWtRYTctoBhotoIAq4SwhNWQGq0&amp;usp=drive_copy</v>
      </c>
      <c r="E584" s="101" t="str">
        <v>https://drive.google.com/open?id=1qwXEmEX155112a9wvWtRYTctoBhotoIAq4SwhNWQGq0</v>
      </c>
      <c r="F584" s="103" t="str">
        <f ca="1">IFERROR(__xludf.DUMMYFUNCTION("IMPORTRANGE(H584,""IDENTITAS UNIT!D9"")"),"https://maps.app.goo.gl/ijBLyNEJVyRJ7sqY9?g_st=iw")</f>
        <v>https://maps.app.goo.gl/ijBLyNEJVyRJ7sqY9?g_st=iw</v>
      </c>
      <c r="G584" s="4" t="s">
        <v>13111</v>
      </c>
      <c r="H584" s="101" t="str">
        <v>https://docs.google.com/spreadsheets/d/1qwXEmEX155112a9wvWtRYTctoBhotoIAq4SwhNWQGq0</v>
      </c>
      <c r="I584" s="101" t="str">
        <v>https://docs.google.com/open?id=1qwXEmEX155112a9wvWtRYTctoBhotoIAq4SwhNWQGq0</v>
      </c>
      <c r="J584" s="4" t="str">
        <v>Jodog, Gilangharjo, Pandak</v>
      </c>
      <c r="L584" s="99" t="str">
        <f ca="1">IFERROR(__xludf.DUMMYFUNCTION("IMPORTRANGE(H584,""IDENTITAS UNIT!D35"")"),"Farhan Subhani")</f>
        <v>Farhan Subhani</v>
      </c>
    </row>
    <row r="585" spans="1:12" ht="49.5" hidden="1">
      <c r="A585" s="4" t="str">
        <v>Reguler Periode ke-111 III.D.1</v>
      </c>
      <c r="B585" s="4" t="str">
        <v>Reguler Periode ke-111</v>
      </c>
      <c r="C585" s="4" t="str">
        <v>III.D.1</v>
      </c>
      <c r="D585" s="101" t="str">
        <v>https://drive.google.com/open?id=18qSbAXw4IAiqN7UMYpJ_lqFs-ERDVHiBfjRGi1nDb6o&amp;usp=drive_copy</v>
      </c>
      <c r="E585" s="101" t="str">
        <v>https://drive.google.com/open?id=18qSbAXw4IAiqN7UMYpJ_lqFs-ERDVHiBfjRGi1nDb6o</v>
      </c>
      <c r="F585" s="103" t="str">
        <f ca="1">IFERROR(__xludf.DUMMYFUNCTION("IMPORTRANGE(H585,""IDENTITAS UNIT!D9"")"),"https://maps.app.goo.gl/4aiadfVmh1f2jYmM9")</f>
        <v>https://maps.app.goo.gl/4aiadfVmh1f2jYmM9</v>
      </c>
      <c r="G585" s="4" t="s">
        <v>13112</v>
      </c>
      <c r="H585" s="101" t="str">
        <v>https://docs.google.com/spreadsheets/d/18qSbAXw4IAiqN7UMYpJ_lqFs-ERDVHiBfjRGi1nDb6o</v>
      </c>
      <c r="I585" s="101" t="str">
        <v>https://docs.google.com/open?id=18qSbAXw4IAiqN7UMYpJ_lqFs-ERDVHiBfjRGi1nDb6o</v>
      </c>
      <c r="J585" s="4" t="str">
        <v>Karangasem, Gilangharjo, Pandak</v>
      </c>
      <c r="L585" s="99" t="str">
        <f ca="1">IFERROR(__xludf.DUMMYFUNCTION("IMPORTRANGE(H585,""IDENTITAS UNIT!D35"")"),"Aisyah Tri Wahyu Anggraeni")</f>
        <v>Aisyah Tri Wahyu Anggraeni</v>
      </c>
    </row>
    <row r="586" spans="1:12" ht="49.5" hidden="1">
      <c r="A586" s="4" t="str">
        <v>Reguler Periode ke-111 III.D.2</v>
      </c>
      <c r="B586" s="4" t="str">
        <v>Reguler Periode ke-111</v>
      </c>
      <c r="C586" s="4" t="str">
        <v>III.D.2</v>
      </c>
      <c r="D586" s="101" t="str">
        <v>https://drive.google.com/open?id=1Q79oxW6H3J_Qyqs3cDucMJP-QsuGGkB1CzQx4IA372I&amp;usp=drive_copy</v>
      </c>
      <c r="E586" s="101" t="str">
        <v>https://drive.google.com/open?id=1Q79oxW6H3J_Qyqs3cDucMJP-QsuGGkB1CzQx4IA372I</v>
      </c>
      <c r="F586" s="103" t="str">
        <f ca="1">IFERROR(__xludf.DUMMYFUNCTION("IMPORTRANGE(H586,""IDENTITAS UNIT!D9"")"),"https://maps.app.goo.gl/3oHUuhqJuiLzcmCBA?g_st=ic ")</f>
        <v xml:space="preserve">https://maps.app.goo.gl/3oHUuhqJuiLzcmCBA?g_st=ic </v>
      </c>
      <c r="G586" s="4" t="s">
        <v>13113</v>
      </c>
      <c r="H586" s="101" t="str">
        <v>https://docs.google.com/spreadsheets/d/1Q79oxW6H3J_Qyqs3cDucMJP-QsuGGkB1CzQx4IA372I</v>
      </c>
      <c r="I586" s="101" t="str">
        <v>https://docs.google.com/open?id=1Q79oxW6H3J_Qyqs3cDucMJP-QsuGGkB1CzQx4IA372I</v>
      </c>
      <c r="J586" s="4" t="str">
        <v>Daleman, Gilangharjo, Pandak</v>
      </c>
      <c r="L586" s="99" t="str">
        <f ca="1">IFERROR(__xludf.DUMMYFUNCTION("IMPORTRANGE(H586,""IDENTITAS UNIT!D35"")"),"Muhammad Sawalludin")</f>
        <v>Muhammad Sawalludin</v>
      </c>
    </row>
    <row r="587" spans="1:12" ht="49.5" hidden="1">
      <c r="A587" s="4" t="str">
        <v>Reguler Periode ke-111 III.D.3</v>
      </c>
      <c r="B587" s="4" t="str">
        <v>Reguler Periode ke-111</v>
      </c>
      <c r="C587" s="4" t="str">
        <v>III.D.3</v>
      </c>
      <c r="D587" s="101" t="str">
        <v>https://drive.google.com/open?id=112_AMzoi6eIQvc9EhNq3E6l0-jMuicXT_27Prs-ZtyA&amp;usp=drive_copy</v>
      </c>
      <c r="E587" s="101" t="str">
        <v>https://drive.google.com/open?id=112_AMzoi6eIQvc9EhNq3E6l0-jMuicXT_27Prs-ZtyA</v>
      </c>
      <c r="F587" s="103" t="str">
        <f ca="1">IFERROR(__xludf.DUMMYFUNCTION("IMPORTRANGE(H587,""IDENTITAS UNIT!D9"")"),"https://maps.app.goo.gl/AgdZHJRSa3WrUnf79?g_st=ic")</f>
        <v>https://maps.app.goo.gl/AgdZHJRSa3WrUnf79?g_st=ic</v>
      </c>
      <c r="G587" s="4" t="s">
        <v>13114</v>
      </c>
      <c r="H587" s="101" t="str">
        <v>https://docs.google.com/spreadsheets/d/112_AMzoi6eIQvc9EhNq3E6l0-jMuicXT_27Prs-ZtyA</v>
      </c>
      <c r="I587" s="101" t="str">
        <v>https://docs.google.com/open?id=112_AMzoi6eIQvc9EhNq3E6l0-jMuicXT_27Prs-ZtyA</v>
      </c>
      <c r="J587" s="4" t="str">
        <v>Kauman, Gilangharjo, Pandak</v>
      </c>
      <c r="L587" s="99" t="str">
        <f ca="1">IFERROR(__xludf.DUMMYFUNCTION("IMPORTRANGE(H587,""IDENTITAS UNIT!D35"")"),"Aspar Taufiq")</f>
        <v>Aspar Taufiq</v>
      </c>
    </row>
    <row r="588" spans="1:12" ht="49.5" hidden="1">
      <c r="A588" s="4" t="str">
        <v>Reguler Periode ke-111 IV.A.1</v>
      </c>
      <c r="B588" s="4" t="str">
        <v>Reguler Periode ke-111</v>
      </c>
      <c r="C588" s="4" t="str">
        <v>IV.A.1</v>
      </c>
      <c r="D588" s="101" t="str">
        <v>https://drive.google.com/open?id=1MabMWeb11l_jAiWX5XaI1pSiAKaScicTVXK6tjp2KlU&amp;usp=drive_copy</v>
      </c>
      <c r="E588" s="101" t="str">
        <v>https://drive.google.com/open?id=1MabMWeb11l_jAiWX5XaI1pSiAKaScicTVXK6tjp2KlU</v>
      </c>
      <c r="F588" s="103" t="str">
        <f ca="1">IFERROR(__xludf.DUMMYFUNCTION("IMPORTRANGE(H588,""IDENTITAS UNIT!D9"")"),"https://maps.app.goo.gl/osh9ag3ar75CtLaa7")</f>
        <v>https://maps.app.goo.gl/osh9ag3ar75CtLaa7</v>
      </c>
      <c r="G588" s="4" t="s">
        <v>13115</v>
      </c>
      <c r="H588" s="101" t="str">
        <v>https://docs.google.com/spreadsheets/d/1MabMWeb11l_jAiWX5XaI1pSiAKaScicTVXK6tjp2KlU</v>
      </c>
      <c r="I588" s="101" t="str">
        <v>https://docs.google.com/open?id=1MabMWeb11l_jAiWX5XaI1pSiAKaScicTVXK6tjp2KlU</v>
      </c>
      <c r="J588" s="4" t="str">
        <v>Kadekrowo, Gilangharjo, Pandak</v>
      </c>
      <c r="L588" s="99" t="str">
        <f ca="1">IFERROR(__xludf.DUMMYFUNCTION("IMPORTRANGE(H588,""IDENTITAS UNIT!D35"")"),"Dayu Mega Maharani")</f>
        <v>Dayu Mega Maharani</v>
      </c>
    </row>
    <row r="589" spans="1:12" ht="49.5" hidden="1">
      <c r="A589" s="4" t="str">
        <v>Reguler Periode ke-111 IV.A.2</v>
      </c>
      <c r="B589" s="4" t="str">
        <v>Reguler Periode ke-111</v>
      </c>
      <c r="C589" s="4" t="str">
        <v>IV.A.2</v>
      </c>
      <c r="D589" s="101" t="str">
        <v>https://drive.google.com/open?id=1bHeKpf4EVsL3rafD5oed2cGiFdyJruYGBv-FzcLrm6g&amp;usp=drive_copy</v>
      </c>
      <c r="E589" s="101" t="str">
        <v>https://drive.google.com/open?id=1bHeKpf4EVsL3rafD5oed2cGiFdyJruYGBv-FzcLrm6g</v>
      </c>
      <c r="F589" s="103" t="str">
        <f ca="1">IFERROR(__xludf.DUMMYFUNCTION("IMPORTRANGE(H589,""IDENTITAS UNIT!D9"")"),"https://goo.gl/maps/kmzgV9onyeGAJiyJ7")</f>
        <v>https://goo.gl/maps/kmzgV9onyeGAJiyJ7</v>
      </c>
      <c r="G589" s="4" t="s">
        <v>13116</v>
      </c>
      <c r="H589" s="101" t="str">
        <v>https://docs.google.com/spreadsheets/d/1bHeKpf4EVsL3rafD5oed2cGiFdyJruYGBv-FzcLrm6g</v>
      </c>
      <c r="I589" s="101" t="str">
        <v>https://docs.google.com/open?id=1bHeKpf4EVsL3rafD5oed2cGiFdyJruYGBv-FzcLrm6g</v>
      </c>
      <c r="J589" s="4" t="str">
        <v>Ngaran, Gilangharjo, Pandak</v>
      </c>
      <c r="L589" s="99" t="str">
        <f ca="1">IFERROR(__xludf.DUMMYFUNCTION("IMPORTRANGE(H589,""IDENTITAS UNIT!D35"")"),"")</f>
        <v/>
      </c>
    </row>
    <row r="590" spans="1:12" ht="49.5" hidden="1">
      <c r="A590" s="4" t="str">
        <v>Reguler Periode ke-111 IV.A.3</v>
      </c>
      <c r="B590" s="4" t="str">
        <v>Reguler Periode ke-111</v>
      </c>
      <c r="C590" s="4" t="str">
        <v>IV.A.3</v>
      </c>
      <c r="D590" s="101" t="str">
        <v>https://drive.google.com/open?id=1jX14CpXtesjpB5tgFjcb3mrSIbWULZ-AotF87YvuNsY&amp;usp=drive_copy</v>
      </c>
      <c r="E590" s="101" t="str">
        <v>https://drive.google.com/open?id=1jX14CpXtesjpB5tgFjcb3mrSIbWULZ-AotF87YvuNsY</v>
      </c>
      <c r="F590" s="103" t="str">
        <f ca="1">IFERROR(__xludf.DUMMYFUNCTION("IMPORTRANGE(H590,""IDENTITAS UNIT!D9"")"),"https://maps.app.goo.gl/4K5T3Ef6i96sSwEn9")</f>
        <v>https://maps.app.goo.gl/4K5T3Ef6i96sSwEn9</v>
      </c>
      <c r="G590" s="4" t="s">
        <v>13117</v>
      </c>
      <c r="H590" s="101" t="str">
        <v>https://docs.google.com/spreadsheets/d/1jX14CpXtesjpB5tgFjcb3mrSIbWULZ-AotF87YvuNsY</v>
      </c>
      <c r="I590" s="101" t="str">
        <v>https://docs.google.com/open?id=1jX14CpXtesjpB5tgFjcb3mrSIbWULZ-AotF87YvuNsY</v>
      </c>
      <c r="J590" s="4" t="str">
        <v>Karanggede, Gilangharjo, Pandak</v>
      </c>
      <c r="L590" s="99" t="str">
        <f ca="1">IFERROR(__xludf.DUMMYFUNCTION("IMPORTRANGE(H590,""IDENTITAS UNIT!D35"")"),"Clara Egidia")</f>
        <v>Clara Egidia</v>
      </c>
    </row>
    <row r="591" spans="1:12" ht="49.5" hidden="1">
      <c r="A591" s="4" t="str">
        <v>Reguler Periode ke-111 IV.B.1</v>
      </c>
      <c r="B591" s="4" t="str">
        <v>Reguler Periode ke-111</v>
      </c>
      <c r="C591" s="4" t="str">
        <v>IV.B.1</v>
      </c>
      <c r="D591" s="101" t="str">
        <v>https://drive.google.com/open?id=1zZHX4a0FY2YJ2Eu5EhItf_gs00d53mwfU6nmXVTq2sI&amp;usp=drive_copy</v>
      </c>
      <c r="E591" s="101" t="str">
        <v>https://drive.google.com/open?id=1zZHX4a0FY2YJ2Eu5EhItf_gs00d53mwfU6nmXVTq2sI</v>
      </c>
      <c r="F591" s="102" t="str">
        <f ca="1">IFERROR(__xludf.DUMMYFUNCTION("IMPORTRANGE(H591,""IDENTITAS UNIT!D9"")"),"-7.93609476089478,110.291793823242")</f>
        <v>-7.93609476089478,110.291793823242</v>
      </c>
      <c r="H591" s="101" t="str">
        <v>https://docs.google.com/spreadsheets/d/1zZHX4a0FY2YJ2Eu5EhItf_gs00d53mwfU6nmXVTq2sI</v>
      </c>
      <c r="I591" s="101" t="str">
        <v>https://docs.google.com/open?id=1zZHX4a0FY2YJ2Eu5EhItf_gs00d53mwfU6nmXVTq2sI</v>
      </c>
      <c r="J591" s="4" t="str">
        <v>Gunting, Gilangharjo, Pandak</v>
      </c>
      <c r="L591" s="99" t="str">
        <f ca="1">IFERROR(__xludf.DUMMYFUNCTION("IMPORTRANGE(H591,""IDENTITAS UNIT!D35"")"),"Charmila Pattimura")</f>
        <v>Charmila Pattimura</v>
      </c>
    </row>
    <row r="592" spans="1:12" ht="49.5" hidden="1">
      <c r="A592" s="4" t="str">
        <v>Reguler Periode ke-111 IV.B.2</v>
      </c>
      <c r="B592" s="4" t="str">
        <v>Reguler Periode ke-111</v>
      </c>
      <c r="C592" s="4" t="str">
        <v>IV.B.2</v>
      </c>
      <c r="D592" s="101" t="str">
        <v>https://drive.google.com/open?id=1gjojWKaW77IWMv44XbLSysOJaL7bE-RN3ZWpUdIommo&amp;usp=drive_copy</v>
      </c>
      <c r="E592" s="101" t="str">
        <v>https://drive.google.com/open?id=1gjojWKaW77IWMv44XbLSysOJaL7bE-RN3ZWpUdIommo</v>
      </c>
      <c r="F592" s="103" t="str">
        <f ca="1">IFERROR(__xludf.DUMMYFUNCTION("IMPORTRANGE(H592,""IDENTITAS UNIT!D9"")"),"https://goo.gl/maps/crC9onyFp5vTgE8MA")</f>
        <v>https://goo.gl/maps/crC9onyFp5vTgE8MA</v>
      </c>
      <c r="G592" s="4" t="s">
        <v>13118</v>
      </c>
      <c r="H592" s="101" t="str">
        <v>https://docs.google.com/spreadsheets/d/1gjojWKaW77IWMv44XbLSysOJaL7bE-RN3ZWpUdIommo</v>
      </c>
      <c r="I592" s="101" t="str">
        <v>https://docs.google.com/open?id=1gjojWKaW77IWMv44XbLSysOJaL7bE-RN3ZWpUdIommo</v>
      </c>
      <c r="J592" s="4" t="str">
        <v>Krekah, Gilangharjo, Pandak</v>
      </c>
      <c r="L592" s="99" t="str">
        <f ca="1">IFERROR(__xludf.DUMMYFUNCTION("IMPORTRANGE(H592,""IDENTITAS UNIT!D35"")"),"Iqbal Hidayat")</f>
        <v>Iqbal Hidayat</v>
      </c>
    </row>
    <row r="593" spans="1:12" ht="16.5" hidden="1">
      <c r="A593" s="4" t="str">
        <v>Reguler Periode ke-111 IV.B.3</v>
      </c>
      <c r="B593" s="4" t="str">
        <v>Reguler Periode ke-111</v>
      </c>
      <c r="C593" s="4" t="str">
        <v>IV.B.3</v>
      </c>
      <c r="D593" s="101" t="str">
        <v>https://drive.google.com/open?id=1U9IhFiWSDuBKDWs_Q35FSL0yDRfuP0oq7UOlt7OUh4Y&amp;usp=drive_copy</v>
      </c>
      <c r="E593" s="101" t="str">
        <v>https://drive.google.com/open?id=1U9IhFiWSDuBKDWs_Q35FSL0yDRfuP0oq7UOlt7OUh4Y</v>
      </c>
      <c r="F593" s="102" t="str">
        <f ca="1">IFERROR(__xludf.DUMMYFUNCTION("IMPORTRANGE(H593,""IDENTITAS UNIT!D9"")"),"#REF!")</f>
        <v>#REF!</v>
      </c>
      <c r="H593" s="101" t="str">
        <v>https://docs.google.com/spreadsheets/d/1U9IhFiWSDuBKDWs_Q35FSL0yDRfuP0oq7UOlt7OUh4Y</v>
      </c>
      <c r="I593" s="101" t="str">
        <v>https://docs.google.com/open?id=1U9IhFiWSDuBKDWs_Q35FSL0yDRfuP0oq7UOlt7OUh4Y</v>
      </c>
      <c r="J593" s="4" t="str">
        <v>Banjarwaru, Gilangharjo, Pandak</v>
      </c>
      <c r="L593" s="99" t="str">
        <f ca="1">IFERROR(__xludf.DUMMYFUNCTION("IMPORTRANGE(H593,""IDENTITAS UNIT!D35"")"),"#REF!")</f>
        <v>#REF!</v>
      </c>
    </row>
    <row r="594" spans="1:12" ht="49.5" hidden="1">
      <c r="A594" s="4" t="str">
        <v>Reguler Periode ke-111 IV.C.1</v>
      </c>
      <c r="B594" s="4" t="str">
        <v>Reguler Periode ke-111</v>
      </c>
      <c r="C594" s="4" t="str">
        <v>IV.C.1</v>
      </c>
      <c r="D594" s="101" t="str">
        <v>https://drive.google.com/open?id=1EWNwkTNxoPbagahazsgN5ecMqHNPGiE2yIHWv4vyCk4&amp;usp=drive_copy</v>
      </c>
      <c r="E594" s="101" t="str">
        <v>https://drive.google.com/open?id=1EWNwkTNxoPbagahazsgN5ecMqHNPGiE2yIHWv4vyCk4</v>
      </c>
      <c r="F594" s="103" t="str">
        <f ca="1">IFERROR(__xludf.DUMMYFUNCTION("IMPORTRANGE(H594,""IDENTITAS UNIT!D9"")"),"https://maps.app.goo.gl/UWKYHevsgF3op5rR6")</f>
        <v>https://maps.app.goo.gl/UWKYHevsgF3op5rR6</v>
      </c>
      <c r="G594" s="4" t="s">
        <v>13119</v>
      </c>
      <c r="H594" s="101" t="str">
        <v>https://docs.google.com/spreadsheets/d/1EWNwkTNxoPbagahazsgN5ecMqHNPGiE2yIHWv4vyCk4</v>
      </c>
      <c r="I594" s="101" t="str">
        <v>https://docs.google.com/open?id=1EWNwkTNxoPbagahazsgN5ecMqHNPGiE2yIHWv4vyCk4</v>
      </c>
      <c r="J594" s="4" t="str">
        <v>Tegallurung , Gilangharjo, Pandak</v>
      </c>
      <c r="L594" s="99" t="str">
        <f ca="1">IFERROR(__xludf.DUMMYFUNCTION("IMPORTRANGE(H594,""IDENTITAS UNIT!D35"")"),"Nensi Astria Ningsih")</f>
        <v>Nensi Astria Ningsih</v>
      </c>
    </row>
    <row r="595" spans="1:12" ht="49.5" hidden="1">
      <c r="A595" s="4" t="str">
        <v>Reguler Periode ke-111 IV.C.2</v>
      </c>
      <c r="B595" s="4" t="str">
        <v>Reguler Periode ke-111</v>
      </c>
      <c r="C595" s="4" t="str">
        <v>IV.C.2</v>
      </c>
      <c r="D595" s="101" t="str">
        <v>https://drive.google.com/open?id=1_AAseG4k6qbmz9dnFEb5m4Wt2PHaxgFYS0EBaMH3BYM&amp;usp=drive_copy</v>
      </c>
      <c r="E595" s="101" t="str">
        <v>https://drive.google.com/open?id=1_AAseG4k6qbmz9dnFEb5m4Wt2PHaxgFYS0EBaMH3BYM</v>
      </c>
      <c r="F595" s="103" t="str">
        <f ca="1">IFERROR(__xludf.DUMMYFUNCTION("IMPORTRANGE(H595,""IDENTITAS UNIT!D9"")"),"https://maps.app.goo.gl/PSFEpyTqXMzwcwHS6")</f>
        <v>https://maps.app.goo.gl/PSFEpyTqXMzwcwHS6</v>
      </c>
      <c r="G595" s="4" t="s">
        <v>13094</v>
      </c>
      <c r="H595" s="101" t="str">
        <v>https://docs.google.com/spreadsheets/d/1_AAseG4k6qbmz9dnFEb5m4Wt2PHaxgFYS0EBaMH3BYM</v>
      </c>
      <c r="I595" s="101" t="str">
        <v>https://docs.google.com/open?id=1_AAseG4k6qbmz9dnFEb5m4Wt2PHaxgFYS0EBaMH3BYM</v>
      </c>
      <c r="J595" s="4" t="str">
        <v>Depok, Gilangharjo, Pandak</v>
      </c>
      <c r="L595" s="99" t="str">
        <f ca="1">IFERROR(__xludf.DUMMYFUNCTION("IMPORTRANGE(H595,""IDENTITAS UNIT!D35"")"),"")</f>
        <v/>
      </c>
    </row>
    <row r="596" spans="1:12" ht="181.5" hidden="1">
      <c r="A596" s="4" t="str">
        <v>Reguler Periode ke-111 IV.D.1</v>
      </c>
      <c r="B596" s="4" t="str">
        <v>Reguler Periode ke-111</v>
      </c>
      <c r="C596" s="4" t="str">
        <v>IV.D.1</v>
      </c>
      <c r="D596" s="101" t="str">
        <v>https://drive.google.com/open?id=1Lk6E6szCZxhHjuz7lZa-A1CxGfD2ia3gaD7SYUWrlCw&amp;usp=drive_copy</v>
      </c>
      <c r="E596" s="101" t="str">
        <v>https://drive.google.com/open?id=1Lk6E6szCZxhHjuz7lZa-A1CxGfD2ia3gaD7SYUWrlCw</v>
      </c>
      <c r="F596" s="103" t="str">
        <f ca="1">IFERROR(__xludf.DUMMYFUNCTION("IMPORTRANGE(H596,""IDENTITAS UNIT!D9"")"),"https://www.google.com/maps/place/7%C2%B047'57.4%22S+110%C2%B011'49.1%22E/@-7.7992678,110.1947794,17z/data=!3m1!4b1!4m4!3m3!8m2!3d-7.7992678!4d110.1969681?hl=id&amp;entry=ttu")</f>
        <v>https://www.google.com/maps/place/7%C2%B047'57.4%22S+110%C2%B011'49.1%22E/@-7.7992678,110.1947794,17z/data=!3m1!4b1!4m4!3m3!8m2!3d-7.7992678!4d110.1969681?hl=id&amp;entry=ttu</v>
      </c>
      <c r="G596" s="4" t="s">
        <v>13120</v>
      </c>
      <c r="H596" s="101" t="str">
        <v>https://docs.google.com/spreadsheets/d/1Lk6E6szCZxhHjuz7lZa-A1CxGfD2ia3gaD7SYUWrlCw</v>
      </c>
      <c r="I596" s="101" t="str">
        <v>https://docs.google.com/open?id=1Lk6E6szCZxhHjuz7lZa-A1CxGfD2ia3gaD7SYUWrlCw</v>
      </c>
      <c r="J596" s="4" t="str">
        <v>Plugon, Donomulyo, Nanggulan</v>
      </c>
      <c r="L596" s="99" t="str">
        <f ca="1">IFERROR(__xludf.DUMMYFUNCTION("IMPORTRANGE(H596,""IDENTITAS UNIT!D35"")"),"Muhammad Hega Rabbani")</f>
        <v>Muhammad Hega Rabbani</v>
      </c>
    </row>
    <row r="597" spans="1:12" ht="49.5" hidden="1">
      <c r="A597" s="4" t="str">
        <v>Reguler Periode ke-111 IV.D.2</v>
      </c>
      <c r="B597" s="4" t="str">
        <v>Reguler Periode ke-111</v>
      </c>
      <c r="C597" s="4" t="str">
        <v>IV.D.2</v>
      </c>
      <c r="D597" s="101" t="str">
        <v>https://drive.google.com/open?id=1jajxmCI0_tJWdvCbQ1ARhcQODExydt4nspmZoWDLbYE&amp;usp=drive_copy</v>
      </c>
      <c r="E597" s="101" t="str">
        <v>https://drive.google.com/open?id=1jajxmCI0_tJWdvCbQ1ARhcQODExydt4nspmZoWDLbYE</v>
      </c>
      <c r="F597" s="103" t="str">
        <f ca="1">IFERROR(__xludf.DUMMYFUNCTION("IMPORTRANGE(H597,""IDENTITAS UNIT!D9"")"),"https://maps.app.goo.gl/GJdPbs27vNqyf9cx7?g_st=ic								")</f>
        <v xml:space="preserve">https://maps.app.goo.gl/GJdPbs27vNqyf9cx7?g_st=ic								</v>
      </c>
      <c r="G597" s="4" t="s">
        <v>13121</v>
      </c>
      <c r="H597" s="101" t="str">
        <v>https://docs.google.com/spreadsheets/d/1jajxmCI0_tJWdvCbQ1ARhcQODExydt4nspmZoWDLbYE</v>
      </c>
      <c r="I597" s="101" t="str">
        <v>https://docs.google.com/open?id=1jajxmCI0_tJWdvCbQ1ARhcQODExydt4nspmZoWDLbYE</v>
      </c>
      <c r="J597" s="4" t="str">
        <v>Penjalin, Donomulyo, Nanggulan</v>
      </c>
      <c r="L597" s="99" t="str">
        <f ca="1">IFERROR(__xludf.DUMMYFUNCTION("IMPORTRANGE(H597,""IDENTITAS UNIT!D35"")"),"Achmad Harits Firmansyah")</f>
        <v>Achmad Harits Firmansyah</v>
      </c>
    </row>
    <row r="598" spans="1:12" ht="49.5" hidden="1">
      <c r="A598" s="4" t="str">
        <v>Reguler Periode ke-111 IV.D.3</v>
      </c>
      <c r="B598" s="4" t="str">
        <v>Reguler Periode ke-111</v>
      </c>
      <c r="C598" s="4" t="str">
        <v>IV.D.3</v>
      </c>
      <c r="D598" s="101" t="str">
        <v>https://drive.google.com/open?id=1C_4Dx2yWp5F-kWIdkAmd4xPLMP1r_axfG0EQDBFEN_4&amp;usp=drive_copy</v>
      </c>
      <c r="E598" s="101" t="str">
        <v>https://drive.google.com/open?id=1C_4Dx2yWp5F-kWIdkAmd4xPLMP1r_axfG0EQDBFEN_4</v>
      </c>
      <c r="F598" s="103" t="str">
        <f ca="1">IFERROR(__xludf.DUMMYFUNCTION("IMPORTRANGE(H598,""IDENTITAS UNIT!D9"")"),"https://goo.gl/maps/E9wWHewcocyXmZKR8")</f>
        <v>https://goo.gl/maps/E9wWHewcocyXmZKR8</v>
      </c>
      <c r="G598" s="4" t="s">
        <v>13122</v>
      </c>
      <c r="H598" s="101" t="str">
        <v>https://docs.google.com/spreadsheets/d/1C_4Dx2yWp5F-kWIdkAmd4xPLMP1r_axfG0EQDBFEN_4</v>
      </c>
      <c r="I598" s="101" t="str">
        <v>https://docs.google.com/open?id=1C_4Dx2yWp5F-kWIdkAmd4xPLMP1r_axfG0EQDBFEN_4</v>
      </c>
      <c r="J598" s="4" t="str">
        <v>Donomerto, Donomulyo, Nanggulan</v>
      </c>
      <c r="L598" s="99" t="str">
        <f ca="1">IFERROR(__xludf.DUMMYFUNCTION("IMPORTRANGE(H598,""IDENTITAS UNIT!D35"")"),"Silvia Gita Saputri")</f>
        <v>Silvia Gita Saputri</v>
      </c>
    </row>
    <row r="599" spans="1:12" ht="49.5" hidden="1">
      <c r="A599" s="4" t="str">
        <v>Reguler Periode ke-111 V.A.1</v>
      </c>
      <c r="B599" s="4" t="str">
        <v>Reguler Periode ke-111</v>
      </c>
      <c r="C599" s="4" t="str">
        <v>V.A.1</v>
      </c>
      <c r="D599" s="101" t="str">
        <v>https://drive.google.com/open?id=1gp-STXwLZ7ksJXWsEH9Se3ppe-mCXxDjiCtHrDrGUi8&amp;usp=drive_copy</v>
      </c>
      <c r="E599" s="101" t="str">
        <v>https://drive.google.com/open?id=1gp-STXwLZ7ksJXWsEH9Se3ppe-mCXxDjiCtHrDrGUi8</v>
      </c>
      <c r="F599" s="103" t="str">
        <f ca="1">IFERROR(__xludf.DUMMYFUNCTION("IMPORTRANGE(H599,""IDENTITAS UNIT!D9"")"),"https://maps.app.goo.gl/vu8vk3kxmXePnXGK9")</f>
        <v>https://maps.app.goo.gl/vu8vk3kxmXePnXGK9</v>
      </c>
      <c r="G599" s="4" t="s">
        <v>13094</v>
      </c>
      <c r="H599" s="101" t="str">
        <v>https://docs.google.com/spreadsheets/d/1gp-STXwLZ7ksJXWsEH9Se3ppe-mCXxDjiCtHrDrGUi8</v>
      </c>
      <c r="I599" s="101" t="str">
        <v>https://docs.google.com/open?id=1gp-STXwLZ7ksJXWsEH9Se3ppe-mCXxDjiCtHrDrGUi8</v>
      </c>
      <c r="J599" s="4" t="str">
        <v>Sorogaten, Donomulyo, Nanggulan</v>
      </c>
      <c r="L599" s="99" t="str">
        <f ca="1">IFERROR(__xludf.DUMMYFUNCTION("IMPORTRANGE(H599,""IDENTITAS UNIT!D35"")"),"Muhammad Herpiko")</f>
        <v>Muhammad Herpiko</v>
      </c>
    </row>
    <row r="600" spans="1:12" ht="49.5" hidden="1">
      <c r="A600" s="4" t="str">
        <v>Reguler Periode ke-111 V.A.2</v>
      </c>
      <c r="B600" s="4" t="str">
        <v>Reguler Periode ke-111</v>
      </c>
      <c r="C600" s="4" t="str">
        <v>V.A.2</v>
      </c>
      <c r="D600" s="101" t="str">
        <v>https://drive.google.com/open?id=1cqQPDYJshoAfoB9TRdfQY17UcIJ036j9FIUGLT35Mkg&amp;usp=drive_copy</v>
      </c>
      <c r="E600" s="101" t="str">
        <v>https://drive.google.com/open?id=1cqQPDYJshoAfoB9TRdfQY17UcIJ036j9FIUGLT35Mkg</v>
      </c>
      <c r="F600" s="103" t="str">
        <f ca="1">IFERROR(__xludf.DUMMYFUNCTION("IMPORTRANGE(H600,""IDENTITAS UNIT!D9"")"),"https://maps.app.goo.gl/JKeJ1v2FtJst5bZY7")</f>
        <v>https://maps.app.goo.gl/JKeJ1v2FtJst5bZY7</v>
      </c>
      <c r="G600" s="4" t="s">
        <v>13123</v>
      </c>
      <c r="H600" s="101" t="str">
        <v>https://docs.google.com/spreadsheets/d/1cqQPDYJshoAfoB9TRdfQY17UcIJ036j9FIUGLT35Mkg</v>
      </c>
      <c r="I600" s="101" t="str">
        <v>https://docs.google.com/open?id=1cqQPDYJshoAfoB9TRdfQY17UcIJ036j9FIUGLT35Mkg</v>
      </c>
      <c r="J600" s="4" t="str">
        <v>Wareng, Donomulyo, Nanggulan</v>
      </c>
      <c r="L600" s="99" t="str">
        <f ca="1">IFERROR(__xludf.DUMMYFUNCTION("IMPORTRANGE(H600,""IDENTITAS UNIT!D35"")"),"Sutopo Habib Burohman")</f>
        <v>Sutopo Habib Burohman</v>
      </c>
    </row>
    <row r="601" spans="1:12" ht="49.5" hidden="1">
      <c r="A601" s="4" t="str">
        <v>Reguler Periode ke-111 V.A.3</v>
      </c>
      <c r="B601" s="4" t="str">
        <v>Reguler Periode ke-111</v>
      </c>
      <c r="C601" s="4" t="str">
        <v>V.A.3</v>
      </c>
      <c r="D601" s="101" t="str">
        <v>https://drive.google.com/open?id=1kiSshQuQgpKyFFh5lh66q67s7KCAJ3wlZ5vtWI0lHcg&amp;usp=drive_copy</v>
      </c>
      <c r="E601" s="101" t="str">
        <v>https://drive.google.com/open?id=1kiSshQuQgpKyFFh5lh66q67s7KCAJ3wlZ5vtWI0lHcg</v>
      </c>
      <c r="F601" s="103" t="str">
        <f ca="1">IFERROR(__xludf.DUMMYFUNCTION("IMPORTRANGE(H601,""IDENTITAS UNIT!D9"")"),"https://maps.app.goo.gl/X7zCiRQV5cNDk9r1A?g_st=iw")</f>
        <v>https://maps.app.goo.gl/X7zCiRQV5cNDk9r1A?g_st=iw</v>
      </c>
      <c r="G601" s="4" t="s">
        <v>13124</v>
      </c>
      <c r="H601" s="101" t="str">
        <v>https://docs.google.com/spreadsheets/d/1kiSshQuQgpKyFFh5lh66q67s7KCAJ3wlZ5vtWI0lHcg</v>
      </c>
      <c r="I601" s="101" t="str">
        <v>https://docs.google.com/open?id=1kiSshQuQgpKyFFh5lh66q67s7KCAJ3wlZ5vtWI0lHcg</v>
      </c>
      <c r="J601" s="4" t="str">
        <v>Jambon, Donomulyo, Nanggulan</v>
      </c>
      <c r="L601" s="99" t="str">
        <f ca="1">IFERROR(__xludf.DUMMYFUNCTION("IMPORTRANGE(H601,""IDENTITAS UNIT!D35"")"),"Octa Farisca Vindiatmoko")</f>
        <v>Octa Farisca Vindiatmoko</v>
      </c>
    </row>
    <row r="602" spans="1:12" ht="49.5" hidden="1">
      <c r="A602" s="4" t="str">
        <v>Reguler Periode ke-111 V.B.1</v>
      </c>
      <c r="B602" s="4" t="str">
        <v>Reguler Periode ke-111</v>
      </c>
      <c r="C602" s="4" t="str">
        <v>V.B.1</v>
      </c>
      <c r="D602" s="101" t="str">
        <v>https://drive.google.com/open?id=1fN9WTZ4BlhzJmkw5hijUhiIlKOUsybDyVzCyji02UAc&amp;usp=drive_copy</v>
      </c>
      <c r="E602" s="101" t="str">
        <v>https://drive.google.com/open?id=1fN9WTZ4BlhzJmkw5hijUhiIlKOUsybDyVzCyji02UAc</v>
      </c>
      <c r="F602" s="102" t="str">
        <f ca="1">IFERROR(__xludf.DUMMYFUNCTION("IMPORTRANGE(H602,""IDENTITAS UNIT!D9"")"),"-7.822044,110.167635")</f>
        <v>-7.822044,110.167635</v>
      </c>
      <c r="H602" s="101" t="str">
        <v>https://docs.google.com/spreadsheets/d/1fN9WTZ4BlhzJmkw5hijUhiIlKOUsybDyVzCyji02UAc</v>
      </c>
      <c r="I602" s="101" t="str">
        <v>https://docs.google.com/open?id=1fN9WTZ4BlhzJmkw5hijUhiIlKOUsybDyVzCyji02UAc</v>
      </c>
      <c r="J602" s="4" t="str">
        <v>Brangkal, Banyuroto, Nanggulan</v>
      </c>
      <c r="L602" s="99" t="str">
        <f ca="1">IFERROR(__xludf.DUMMYFUNCTION("IMPORTRANGE(H602,""IDENTITAS UNIT!D35"")"),"Nur Maulana Ikhsan")</f>
        <v>Nur Maulana Ikhsan</v>
      </c>
    </row>
    <row r="603" spans="1:12" ht="115.5" hidden="1">
      <c r="A603" s="4" t="str">
        <v>Reguler Periode ke-111 V.B.2</v>
      </c>
      <c r="B603" s="4" t="str">
        <v>Reguler Periode ke-111</v>
      </c>
      <c r="C603" s="4" t="str">
        <v>V.B.2</v>
      </c>
      <c r="D603" s="101" t="str">
        <v>https://drive.google.com/open?id=1qX1Cycb5q9fdejXxrC5tDEUuiRoPEL6lrlKM5_p1FK0&amp;usp=drive_copy</v>
      </c>
      <c r="E603" s="101" t="str">
        <v>https://drive.google.com/open?id=1qX1Cycb5q9fdejXxrC5tDEUuiRoPEL6lrlKM5_p1FK0</v>
      </c>
      <c r="F603" s="102" t="str">
        <f ca="1">IFERROR(__xludf.DUMMYFUNCTION("IMPORTRANGE(H603,""IDENTITAS UNIT!D9"")"),"-7.8151021003723145,110.17115020751953  (https://maps.app.goo.gl/7QqJfgVfidj14dTe9)")</f>
        <v>-7.8151021003723145,110.17115020751953  (https://maps.app.goo.gl/7QqJfgVfidj14dTe9)</v>
      </c>
      <c r="H603" s="101" t="str">
        <v>https://docs.google.com/spreadsheets/d/1qX1Cycb5q9fdejXxrC5tDEUuiRoPEL6lrlKM5_p1FK0</v>
      </c>
      <c r="I603" s="101" t="str">
        <v>https://docs.google.com/open?id=1qX1Cycb5q9fdejXxrC5tDEUuiRoPEL6lrlKM5_p1FK0</v>
      </c>
      <c r="J603" s="4" t="str">
        <v>Sambiroto, Banyuroto, Nanggulan</v>
      </c>
      <c r="L603" s="99" t="str">
        <f ca="1">IFERROR(__xludf.DUMMYFUNCTION("IMPORTRANGE(H603,""IDENTITAS UNIT!D35"")"),"Asy-Syaffa Qotrunnada Mufida Yumna")</f>
        <v>Asy-Syaffa Qotrunnada Mufida Yumna</v>
      </c>
    </row>
    <row r="604" spans="1:12" ht="49.5" hidden="1">
      <c r="A604" s="4" t="str">
        <v>Reguler Periode ke-111 V.B.3</v>
      </c>
      <c r="B604" s="4" t="str">
        <v>Reguler Periode ke-111</v>
      </c>
      <c r="C604" s="4" t="str">
        <v>V.B.3</v>
      </c>
      <c r="D604" s="101" t="str">
        <v>https://drive.google.com/open?id=1vJQhAHyCp0iYVhrC3FVecoPao5DKZVbzYlR0rdC8mug&amp;usp=drive_copy</v>
      </c>
      <c r="E604" s="101" t="str">
        <v>https://drive.google.com/open?id=1vJQhAHyCp0iYVhrC3FVecoPao5DKZVbzYlR0rdC8mug</v>
      </c>
      <c r="F604" s="103" t="str">
        <f ca="1">IFERROR(__xludf.DUMMYFUNCTION("IMPORTRANGE(H604,""IDENTITAS UNIT!D9"")"),"https://maps.app.goo.gl/3cLnUMjS2R2STn4Y9")</f>
        <v>https://maps.app.goo.gl/3cLnUMjS2R2STn4Y9</v>
      </c>
      <c r="G604" s="4" t="s">
        <v>13125</v>
      </c>
      <c r="H604" s="101" t="str">
        <v>https://docs.google.com/spreadsheets/d/1vJQhAHyCp0iYVhrC3FVecoPao5DKZVbzYlR0rdC8mug</v>
      </c>
      <c r="I604" s="101" t="str">
        <v>https://docs.google.com/open?id=1vJQhAHyCp0iYVhrC3FVecoPao5DKZVbzYlR0rdC8mug</v>
      </c>
      <c r="J604" s="4" t="str">
        <v>Dlingo, Banyuroto, Nanggulan</v>
      </c>
      <c r="L604" s="99" t="str">
        <f ca="1">IFERROR(__xludf.DUMMYFUNCTION("IMPORTRANGE(H604,""IDENTITAS UNIT!D35"")"),"Alda Puspa Hidayat")</f>
        <v>Alda Puspa Hidayat</v>
      </c>
    </row>
    <row r="605" spans="1:12" ht="49.5" hidden="1">
      <c r="A605" s="4" t="str">
        <v>Reguler Periode ke-111 V.C.1</v>
      </c>
      <c r="B605" s="4" t="str">
        <v>Reguler Periode ke-111</v>
      </c>
      <c r="C605" s="4" t="str">
        <v>V.C.1</v>
      </c>
      <c r="D605" s="101" t="str">
        <v>https://drive.google.com/open?id=17kbKWMzjWXPAUvz-vPypeO3KNNGgrUZXvzztKfA-F84&amp;usp=drive_copy</v>
      </c>
      <c r="E605" s="101" t="str">
        <v>https://drive.google.com/open?id=17kbKWMzjWXPAUvz-vPypeO3KNNGgrUZXvzztKfA-F84</v>
      </c>
      <c r="F605" s="103" t="str">
        <f ca="1">IFERROR(__xludf.DUMMYFUNCTION("IMPORTRANGE(H605,""IDENTITAS UNIT!D9"")"),"https://goo.gl/maps/mLn46iBcTiuTQ8mE8")</f>
        <v>https://goo.gl/maps/mLn46iBcTiuTQ8mE8</v>
      </c>
      <c r="G605" s="4" t="s">
        <v>13126</v>
      </c>
      <c r="H605" s="101" t="str">
        <v>https://docs.google.com/spreadsheets/d/17kbKWMzjWXPAUvz-vPypeO3KNNGgrUZXvzztKfA-F84</v>
      </c>
      <c r="I605" s="101" t="str">
        <v>https://docs.google.com/open?id=17kbKWMzjWXPAUvz-vPypeO3KNNGgrUZXvzztKfA-F84</v>
      </c>
      <c r="J605" s="4" t="str">
        <v>Klajuran, Tanjungharjo, Nanggulan</v>
      </c>
      <c r="L605" s="99" t="str">
        <f ca="1">IFERROR(__xludf.DUMMYFUNCTION("IMPORTRANGE(H605,""IDENTITAS UNIT!D35"")"),"Naufal Afif")</f>
        <v>Naufal Afif</v>
      </c>
    </row>
    <row r="606" spans="1:12" ht="16.5" hidden="1">
      <c r="A606" s="4" t="str">
        <v>Reguler Periode ke-111 V.C.2</v>
      </c>
      <c r="B606" s="4" t="str">
        <v>Reguler Periode ke-111</v>
      </c>
      <c r="C606" s="4" t="str">
        <v>V.C.2</v>
      </c>
      <c r="D606" s="101" t="str">
        <v>https://drive.google.com/open?id=1mco9cLjzQnY4uXiMOOPx_fU2rhhUTlz-LMmgaJIWQVM&amp;usp=drive_copy</v>
      </c>
      <c r="E606" s="101" t="str">
        <v>https://drive.google.com/open?id=1mco9cLjzQnY4uXiMOOPx_fU2rhhUTlz-LMmgaJIWQVM</v>
      </c>
      <c r="F606" s="102" t="str">
        <f ca="1">IFERROR(__xludf.DUMMYFUNCTION("IMPORTRANGE(H606,""IDENTITAS UNIT!D9"")"),"#REF!")</f>
        <v>#REF!</v>
      </c>
      <c r="G606" s="4" t="s">
        <v>13127</v>
      </c>
      <c r="H606" s="101" t="str">
        <v>https://docs.google.com/spreadsheets/d/1mco9cLjzQnY4uXiMOOPx_fU2rhhUTlz-LMmgaJIWQVM</v>
      </c>
      <c r="I606" s="101" t="str">
        <v>https://docs.google.com/open?id=1mco9cLjzQnY4uXiMOOPx_fU2rhhUTlz-LMmgaJIWQVM</v>
      </c>
      <c r="J606" s="4" t="str">
        <v>Tanggulangin, Tanjungharjo, Nanggulan</v>
      </c>
      <c r="L606" s="99" t="str">
        <f ca="1">IFERROR(__xludf.DUMMYFUNCTION("IMPORTRANGE(H606,""IDENTITAS UNIT!D35"")"),"#REF!")</f>
        <v>#REF!</v>
      </c>
    </row>
    <row r="607" spans="1:12" ht="49.5" hidden="1">
      <c r="A607" s="4" t="str">
        <v>Reguler Periode ke-111 V.C.3</v>
      </c>
      <c r="B607" s="4" t="str">
        <v>Reguler Periode ke-111</v>
      </c>
      <c r="C607" s="4" t="str">
        <v>V.C.3</v>
      </c>
      <c r="D607" s="101" t="str">
        <v>https://drive.google.com/open?id=1eAUiwnv25gIxi_M3hv8Y_2BqqOMs7Hz56cYir8lp70M&amp;usp=drive_copy</v>
      </c>
      <c r="E607" s="101" t="str">
        <v>https://drive.google.com/open?id=1eAUiwnv25gIxi_M3hv8Y_2BqqOMs7Hz56cYir8lp70M</v>
      </c>
      <c r="F607" s="103" t="str">
        <f ca="1">IFERROR(__xludf.DUMMYFUNCTION("IMPORTRANGE(H607,""IDENTITAS UNIT!D9"")"),"https://maps.app.goo.gl/NprvYLqTmVYh2uyk8?g_st=iw")</f>
        <v>https://maps.app.goo.gl/NprvYLqTmVYh2uyk8?g_st=iw</v>
      </c>
      <c r="G607" s="4" t="s">
        <v>13128</v>
      </c>
      <c r="H607" s="101" t="str">
        <v>https://docs.google.com/spreadsheets/d/1eAUiwnv25gIxi_M3hv8Y_2BqqOMs7Hz56cYir8lp70M</v>
      </c>
      <c r="I607" s="101" t="str">
        <v>https://docs.google.com/open?id=1eAUiwnv25gIxi_M3hv8Y_2BqqOMs7Hz56cYir8lp70M</v>
      </c>
      <c r="J607" s="4" t="str">
        <v>Kemukus, Tanjungharjo, Nanggulan</v>
      </c>
      <c r="L607" s="99" t="str">
        <f ca="1">IFERROR(__xludf.DUMMYFUNCTION("IMPORTRANGE(H607,""IDENTITAS UNIT!D35"")"),"Lisa Yuliyanti Cahyaningrum")</f>
        <v>Lisa Yuliyanti Cahyaningrum</v>
      </c>
    </row>
    <row r="608" spans="1:12" ht="49.5" hidden="1">
      <c r="A608" s="4" t="str">
        <v>Reguler Periode ke-111 V.D.1</v>
      </c>
      <c r="B608" s="4" t="str">
        <v>Reguler Periode ke-111</v>
      </c>
      <c r="C608" s="4" t="str">
        <v>V.D.1</v>
      </c>
      <c r="D608" s="101" t="str">
        <v>https://drive.google.com/open?id=1MrejJrplIKDiOadU5wBIaPWbk_bEaP81_zrIL-04hKQ&amp;usp=drive_copy</v>
      </c>
      <c r="E608" s="101" t="str">
        <v>https://drive.google.com/open?id=1MrejJrplIKDiOadU5wBIaPWbk_bEaP81_zrIL-04hKQ</v>
      </c>
      <c r="F608" s="103" t="str">
        <f ca="1">IFERROR(__xludf.DUMMYFUNCTION("IMPORTRANGE(H608,""IDENTITAS UNIT!D9"")"),"https://maps.app.goo.gl/Bf6KzDaUf19aiG1Y6")</f>
        <v>https://maps.app.goo.gl/Bf6KzDaUf19aiG1Y6</v>
      </c>
      <c r="G608" s="4" t="s">
        <v>13129</v>
      </c>
      <c r="H608" s="101" t="str">
        <v>https://docs.google.com/spreadsheets/d/1MrejJrplIKDiOadU5wBIaPWbk_bEaP81_zrIL-04hKQ</v>
      </c>
      <c r="I608" s="101" t="str">
        <v>https://docs.google.com/open?id=1MrejJrplIKDiOadU5wBIaPWbk_bEaP81_zrIL-04hKQ</v>
      </c>
      <c r="J608" s="4" t="str">
        <v>Tegalsari, Wijimulyo, Nanggulan</v>
      </c>
      <c r="L608" s="99" t="str">
        <f ca="1">IFERROR(__xludf.DUMMYFUNCTION("IMPORTRANGE(H608,""IDENTITAS UNIT!D35"")"),"Yusuf")</f>
        <v>Yusuf</v>
      </c>
    </row>
    <row r="609" spans="1:12" ht="49.5" hidden="1">
      <c r="A609" s="4" t="str">
        <v>Reguler Periode ke-111 V.D.2</v>
      </c>
      <c r="B609" s="4" t="str">
        <v>Reguler Periode ke-111</v>
      </c>
      <c r="C609" s="4" t="str">
        <v>V.D.2</v>
      </c>
      <c r="D609" s="101" t="str">
        <v>https://drive.google.com/open?id=1tsIodRSz24w_PZMtOuk1zD2qSUpuAIJOMNZBmszMLGI&amp;usp=drive_copy</v>
      </c>
      <c r="E609" s="101" t="str">
        <v>https://drive.google.com/open?id=1tsIodRSz24w_PZMtOuk1zD2qSUpuAIJOMNZBmszMLGI</v>
      </c>
      <c r="F609" s="103" t="str">
        <f ca="1">IFERROR(__xludf.DUMMYFUNCTION("IMPORTRANGE(H609,""IDENTITAS UNIT!D9"")"),"https://goo.gl/maps/3TXLqe46uJ62rXjM9")</f>
        <v>https://goo.gl/maps/3TXLqe46uJ62rXjM9</v>
      </c>
      <c r="G609" s="4" t="s">
        <v>13130</v>
      </c>
      <c r="H609" s="101" t="str">
        <v>https://docs.google.com/spreadsheets/d/1tsIodRSz24w_PZMtOuk1zD2qSUpuAIJOMNZBmszMLGI</v>
      </c>
      <c r="I609" s="101" t="str">
        <v>https://docs.google.com/open?id=1tsIodRSz24w_PZMtOuk1zD2qSUpuAIJOMNZBmszMLGI</v>
      </c>
      <c r="J609" s="4" t="str">
        <v>Sokorojo, Wijimulyo, Nanggulan</v>
      </c>
      <c r="L609" s="99" t="str">
        <f ca="1">IFERROR(__xludf.DUMMYFUNCTION("IMPORTRANGE(H609,""IDENTITAS UNIT!D35"")"),"Catur Prasetiyo")</f>
        <v>Catur Prasetiyo</v>
      </c>
    </row>
    <row r="610" spans="1:12" ht="49.5" hidden="1">
      <c r="A610" s="4" t="str">
        <v>Reguler Periode ke-111 V.D.3</v>
      </c>
      <c r="B610" s="4" t="str">
        <v>Reguler Periode ke-111</v>
      </c>
      <c r="C610" s="4" t="str">
        <v>V.D.3</v>
      </c>
      <c r="D610" s="101" t="str">
        <v>https://drive.google.com/open?id=19HroPzzkmiZzm6tC2ANSMFbNSMSMb2EabDKeadenDbk&amp;usp=drive_copy</v>
      </c>
      <c r="E610" s="101" t="str">
        <v>https://drive.google.com/open?id=19HroPzzkmiZzm6tC2ANSMFbNSMSMb2EabDKeadenDbk</v>
      </c>
      <c r="F610" s="103" t="str">
        <f ca="1">IFERROR(__xludf.DUMMYFUNCTION("IMPORTRANGE(H610,""IDENTITAS UNIT!D9"")"),"https://maps.app.goo.gl/WXYrLitpEtgxdo966?g_st=iw")</f>
        <v>https://maps.app.goo.gl/WXYrLitpEtgxdo966?g_st=iw</v>
      </c>
      <c r="G610" s="4" t="s">
        <v>13131</v>
      </c>
      <c r="H610" s="101" t="str">
        <v>https://docs.google.com/spreadsheets/d/19HroPzzkmiZzm6tC2ANSMFbNSMSMb2EabDKeadenDbk</v>
      </c>
      <c r="I610" s="101" t="str">
        <v>https://docs.google.com/open?id=19HroPzzkmiZzm6tC2ANSMFbNSMSMb2EabDKeadenDbk</v>
      </c>
      <c r="J610" s="4" t="str">
        <v>Rejoso, Wijimulyo, Nanggulan</v>
      </c>
      <c r="L610" s="99" t="str">
        <f ca="1">IFERROR(__xludf.DUMMYFUNCTION("IMPORTRANGE(H610,""IDENTITAS UNIT!D35"")"),"Danendra Tsaqifta V Firjatullah")</f>
        <v>Danendra Tsaqifta V Firjatullah</v>
      </c>
    </row>
    <row r="611" spans="1:12" ht="16.5" hidden="1">
      <c r="A611" s="4" t="str">
        <v>Reguler Periode ke-111 VI.A.1</v>
      </c>
      <c r="B611" s="4" t="str">
        <v>Reguler Periode ke-111</v>
      </c>
      <c r="C611" s="4" t="str">
        <v>VI.A.1</v>
      </c>
      <c r="D611" s="101" t="str">
        <v>https://drive.google.com/open?id=1M0O7KTLx0wqIvFensHByOPlVhErYtR1f0ZecyfXkFMs&amp;usp=drive_copy</v>
      </c>
      <c r="E611" s="101" t="str">
        <v>https://drive.google.com/open?id=1M0O7KTLx0wqIvFensHByOPlVhErYtR1f0ZecyfXkFMs</v>
      </c>
      <c r="F611" s="102" t="str">
        <f ca="1">IFERROR(__xludf.DUMMYFUNCTION("IMPORTRANGE(H611,""IDENTITAS UNIT!D9"")"),"")</f>
        <v/>
      </c>
      <c r="H611" s="101" t="str">
        <v>https://docs.google.com/spreadsheets/d/1M0O7KTLx0wqIvFensHByOPlVhErYtR1f0ZecyfXkFMs</v>
      </c>
      <c r="I611" s="101" t="str">
        <v>https://docs.google.com/open?id=1M0O7KTLx0wqIvFensHByOPlVhErYtR1f0ZecyfXkFMs</v>
      </c>
      <c r="J611" s="4" t="str">
        <v>Setan, Wijimulyo, Nanggulan</v>
      </c>
      <c r="L611" s="99" t="str">
        <f ca="1">IFERROR(__xludf.DUMMYFUNCTION("IMPORTRANGE(H611,""IDENTITAS UNIT!D35"")"),"Annisa Rachma Mardiyah")</f>
        <v>Annisa Rachma Mardiyah</v>
      </c>
    </row>
    <row r="612" spans="1:12" ht="49.5" hidden="1">
      <c r="A612" s="4" t="str">
        <v>Reguler Periode ke-111 VI.A.2</v>
      </c>
      <c r="B612" s="4" t="str">
        <v>Reguler Periode ke-111</v>
      </c>
      <c r="C612" s="4" t="str">
        <v>VI.A.2</v>
      </c>
      <c r="D612" s="101" t="str">
        <v>https://drive.google.com/open?id=102r7nKugopJHYu-XT1-7cBNDOnKcIGuFNtRHRl_2mcg&amp;usp=drive_copy</v>
      </c>
      <c r="E612" s="101" t="str">
        <v>https://drive.google.com/open?id=102r7nKugopJHYu-XT1-7cBNDOnKcIGuFNtRHRl_2mcg</v>
      </c>
      <c r="F612" s="103" t="str">
        <f ca="1">IFERROR(__xludf.DUMMYFUNCTION("IMPORTRANGE(H612,""IDENTITAS UNIT!D9"")"),"https://maps.app.goo.gl/oN6XxrVePuXZHuZNA")</f>
        <v>https://maps.app.goo.gl/oN6XxrVePuXZHuZNA</v>
      </c>
      <c r="G612" s="4" t="s">
        <v>13132</v>
      </c>
      <c r="H612" s="101" t="str">
        <v>https://docs.google.com/spreadsheets/d/102r7nKugopJHYu-XT1-7cBNDOnKcIGuFNtRHRl_2mcg</v>
      </c>
      <c r="I612" s="101" t="str">
        <v>https://docs.google.com/open?id=102r7nKugopJHYu-XT1-7cBNDOnKcIGuFNtRHRl_2mcg</v>
      </c>
      <c r="J612" s="4" t="str">
        <v>Wijilan, Wijimulyo, Nanggulan</v>
      </c>
      <c r="L612" s="99" t="str">
        <f ca="1">IFERROR(__xludf.DUMMYFUNCTION("IMPORTRANGE(H612,""IDENTITAS UNIT!D35"")"),"")</f>
        <v/>
      </c>
    </row>
    <row r="613" spans="1:12" ht="49.5" hidden="1">
      <c r="A613" s="4" t="str">
        <v>Reguler Periode ke-111 VI.A.3</v>
      </c>
      <c r="B613" s="4" t="str">
        <v>Reguler Periode ke-111</v>
      </c>
      <c r="C613" s="4" t="str">
        <v>VI.A.3</v>
      </c>
      <c r="D613" s="101" t="str">
        <v>https://drive.google.com/open?id=1z3ChhJSr0KAV7qa0nJKi1S70IRf1GlAzGnAG20UpG_o&amp;usp=drive_copy</v>
      </c>
      <c r="E613" s="101" t="str">
        <v>https://drive.google.com/open?id=1z3ChhJSr0KAV7qa0nJKi1S70IRf1GlAzGnAG20UpG_o</v>
      </c>
      <c r="F613" s="103" t="str">
        <f ca="1">IFERROR(__xludf.DUMMYFUNCTION("IMPORTRANGE(H613,""IDENTITAS UNIT!D9"")"),"https://goo.gl/maps/1mzYmGCjos3tmHnp7")</f>
        <v>https://goo.gl/maps/1mzYmGCjos3tmHnp7</v>
      </c>
      <c r="G613" s="4" t="s">
        <v>13133</v>
      </c>
      <c r="H613" s="101" t="str">
        <v>https://docs.google.com/spreadsheets/d/1z3ChhJSr0KAV7qa0nJKi1S70IRf1GlAzGnAG20UpG_o</v>
      </c>
      <c r="I613" s="101" t="str">
        <v>https://docs.google.com/open?id=1z3ChhJSr0KAV7qa0nJKi1S70IRf1GlAzGnAG20UpG_o</v>
      </c>
      <c r="J613" s="4" t="str">
        <v>Temanggal, Wijimulyo, Nanggulan</v>
      </c>
      <c r="L613" s="99" t="str">
        <f ca="1">IFERROR(__xludf.DUMMYFUNCTION("IMPORTRANGE(H613,""IDENTITAS UNIT!D35"")"),"Haris Ihsan Adhyasa")</f>
        <v>Haris Ihsan Adhyasa</v>
      </c>
    </row>
    <row r="614" spans="1:12" ht="49.5" hidden="1">
      <c r="A614" s="4" t="str">
        <v>Reguler Periode ke-111 VI.B.1</v>
      </c>
      <c r="B614" s="4" t="str">
        <v>Reguler Periode ke-111</v>
      </c>
      <c r="C614" s="4" t="str">
        <v>VI.B.1</v>
      </c>
      <c r="D614" s="101" t="str">
        <v>https://drive.google.com/open?id=1FH-j3S2Aaq3Gofr7IzXAg0_U45KFkdKOl7hx9rjOyPg&amp;usp=drive_copy</v>
      </c>
      <c r="E614" s="101" t="str">
        <v>https://drive.google.com/open?id=1FH-j3S2Aaq3Gofr7IzXAg0_U45KFkdKOl7hx9rjOyPg</v>
      </c>
      <c r="F614" s="103" t="str">
        <f ca="1">IFERROR(__xludf.DUMMYFUNCTION("IMPORTRANGE(H614,""IDENTITAS UNIT!D9"")"),"https://goo.gl/maps/vBUSCv2TgLo718p28")</f>
        <v>https://goo.gl/maps/vBUSCv2TgLo718p28</v>
      </c>
      <c r="G614" s="4" t="s">
        <v>13134</v>
      </c>
      <c r="H614" s="101" t="str">
        <v>https://docs.google.com/spreadsheets/d/1FH-j3S2Aaq3Gofr7IzXAg0_U45KFkdKOl7hx9rjOyPg</v>
      </c>
      <c r="I614" s="101" t="str">
        <v>https://docs.google.com/open?id=1FH-j3S2Aaq3Gofr7IzXAg0_U45KFkdKOl7hx9rjOyPg</v>
      </c>
      <c r="J614" s="4" t="str">
        <v>Jatingarang Lor, Jatisarono, Nanggulan</v>
      </c>
      <c r="L614" s="99" t="str">
        <f ca="1">IFERROR(__xludf.DUMMYFUNCTION("IMPORTRANGE(H614,""IDENTITAS UNIT!D35"")"),"Abdul Rozaq")</f>
        <v>Abdul Rozaq</v>
      </c>
    </row>
    <row r="615" spans="1:12" ht="49.5" hidden="1">
      <c r="A615" s="4" t="str">
        <v>Reguler Periode ke-111 VI.B.2</v>
      </c>
      <c r="B615" s="4" t="str">
        <v>Reguler Periode ke-111</v>
      </c>
      <c r="C615" s="4" t="str">
        <v>VI.B.2</v>
      </c>
      <c r="D615" s="101" t="str">
        <v>https://drive.google.com/open?id=1rzdx9UAhbIRoxrMEutVUaRWfVqoguv6al7RHo09Q7qs&amp;usp=drive_copy</v>
      </c>
      <c r="E615" s="101" t="str">
        <v>https://drive.google.com/open?id=1rzdx9UAhbIRoxrMEutVUaRWfVqoguv6al7RHo09Q7qs</v>
      </c>
      <c r="F615" s="103" t="str">
        <f ca="1">IFERROR(__xludf.DUMMYFUNCTION("IMPORTRANGE(H615,""IDENTITAS UNIT!D9"")"),"https://maps.app.goo.gl/4Fu9QZLu1eF7zC4fA")</f>
        <v>https://maps.app.goo.gl/4Fu9QZLu1eF7zC4fA</v>
      </c>
      <c r="G615" s="4" t="s">
        <v>13135</v>
      </c>
      <c r="H615" s="101" t="str">
        <v>https://docs.google.com/spreadsheets/d/1rzdx9UAhbIRoxrMEutVUaRWfVqoguv6al7RHo09Q7qs</v>
      </c>
      <c r="I615" s="101" t="str">
        <v>https://docs.google.com/open?id=1rzdx9UAhbIRoxrMEutVUaRWfVqoguv6al7RHo09Q7qs</v>
      </c>
      <c r="J615" s="4" t="str">
        <v>Kauman, Jatisarono, Nanggulan</v>
      </c>
      <c r="L615" s="99" t="str">
        <f ca="1">IFERROR(__xludf.DUMMYFUNCTION("IMPORTRANGE(H615,""IDENTITAS UNIT!D35"")"),"Muhammad Basila Ardi Syabana")</f>
        <v>Muhammad Basila Ardi Syabana</v>
      </c>
    </row>
    <row r="616" spans="1:12" ht="49.5" hidden="1">
      <c r="A616" s="4" t="str">
        <v>Reguler Periode ke-111 VI.B.3</v>
      </c>
      <c r="B616" s="4" t="str">
        <v>Reguler Periode ke-111</v>
      </c>
      <c r="C616" s="4" t="str">
        <v>VI.B.3</v>
      </c>
      <c r="D616" s="101" t="str">
        <v>https://drive.google.com/open?id=1rY1y9v9wU3tikCxYk5bZrEOXkSjSmrYf_42fVy3Wq3E&amp;usp=drive_copy</v>
      </c>
      <c r="E616" s="101" t="str">
        <v>https://drive.google.com/open?id=1rY1y9v9wU3tikCxYk5bZrEOXkSjSmrYf_42fVy3Wq3E</v>
      </c>
      <c r="F616" s="103" t="str">
        <f ca="1">IFERROR(__xludf.DUMMYFUNCTION("IMPORTRANGE(H616,""IDENTITAS UNIT!D9"")"),"https://maps.app.goo.gl/VGdkVpUaY1Vvkro56")</f>
        <v>https://maps.app.goo.gl/VGdkVpUaY1Vvkro56</v>
      </c>
      <c r="G616" s="4" t="s">
        <v>13136</v>
      </c>
      <c r="H616" s="101" t="str">
        <v>https://docs.google.com/spreadsheets/d/1rY1y9v9wU3tikCxYk5bZrEOXkSjSmrYf_42fVy3Wq3E</v>
      </c>
      <c r="I616" s="101" t="str">
        <v>https://docs.google.com/open?id=1rY1y9v9wU3tikCxYk5bZrEOXkSjSmrYf_42fVy3Wq3E</v>
      </c>
      <c r="J616" s="4" t="str">
        <v>Bejaten, Jatisarono, Nanggulan</v>
      </c>
      <c r="L616" s="99" t="str">
        <f ca="1">IFERROR(__xludf.DUMMYFUNCTION("IMPORTRANGE(H616,""IDENTITAS UNIT!D35"")"),"Muhammad Wafiq Rasyid")</f>
        <v>Muhammad Wafiq Rasyid</v>
      </c>
    </row>
    <row r="617" spans="1:12" ht="49.5" hidden="1">
      <c r="A617" s="4" t="str">
        <v>Reguler Periode ke-111 VI.C.1</v>
      </c>
      <c r="B617" s="4" t="str">
        <v>Reguler Periode ke-111</v>
      </c>
      <c r="C617" s="4" t="str">
        <v>VI.C.1</v>
      </c>
      <c r="D617" s="101" t="str">
        <v>https://drive.google.com/open?id=1NPdAmiUllW4QQdU323H-amB3GiuTrLbw65BFi1EUbw8&amp;usp=drive_copy</v>
      </c>
      <c r="E617" s="101" t="str">
        <v>https://drive.google.com/open?id=1NPdAmiUllW4QQdU323H-amB3GiuTrLbw65BFi1EUbw8</v>
      </c>
      <c r="F617" s="103" t="str">
        <f ca="1">IFERROR(__xludf.DUMMYFUNCTION("IMPORTRANGE(H617,""IDENTITAS UNIT!D9"")"),"https://maps.app.goo.gl/vbc73bqAYKQdNchz8")</f>
        <v>https://maps.app.goo.gl/vbc73bqAYKQdNchz8</v>
      </c>
      <c r="G617" s="4" t="s">
        <v>13137</v>
      </c>
      <c r="H617" s="101" t="str">
        <v>https://docs.google.com/spreadsheets/d/1NPdAmiUllW4QQdU323H-amB3GiuTrLbw65BFi1EUbw8</v>
      </c>
      <c r="I617" s="101" t="str">
        <v>https://docs.google.com/open?id=1NPdAmiUllW4QQdU323H-amB3GiuTrLbw65BFi1EUbw8</v>
      </c>
      <c r="J617" s="4" t="str">
        <v>Grubug, Jatisarono, Nanggulan</v>
      </c>
      <c r="L617" s="99" t="str">
        <f ca="1">IFERROR(__xludf.DUMMYFUNCTION("IMPORTRANGE(H617,""IDENTITAS UNIT!D35"")"),"")</f>
        <v/>
      </c>
    </row>
    <row r="618" spans="1:12" ht="33" hidden="1">
      <c r="A618" s="4" t="str">
        <v>Reguler Periode ke-111 VI.C.2</v>
      </c>
      <c r="B618" s="4" t="str">
        <v>Reguler Periode ke-111</v>
      </c>
      <c r="C618" s="4" t="str">
        <v>VI.C.2</v>
      </c>
      <c r="D618" s="101" t="str">
        <v>https://drive.google.com/open?id=1zmrMFDtuU7Zb3qQokSgZvMH6lwHO2rzwp_0JiY5R4h8&amp;usp=drive_copy</v>
      </c>
      <c r="E618" s="101" t="str">
        <v>https://drive.google.com/open?id=1zmrMFDtuU7Zb3qQokSgZvMH6lwHO2rzwp_0JiY5R4h8</v>
      </c>
      <c r="F618" s="103" t="str">
        <f ca="1">IFERROR(__xludf.DUMMYFUNCTION("IMPORTRANGE(H618,""IDENTITAS UNIT!D9"")"),"https://g.co/kgs/ktjCay")</f>
        <v>https://g.co/kgs/ktjCay</v>
      </c>
      <c r="G618" s="4" t="s">
        <v>13138</v>
      </c>
      <c r="H618" s="101" t="str">
        <v>https://docs.google.com/spreadsheets/d/1zmrMFDtuU7Zb3qQokSgZvMH6lwHO2rzwp_0JiY5R4h8</v>
      </c>
      <c r="I618" s="101" t="str">
        <v>https://docs.google.com/open?id=1zmrMFDtuU7Zb3qQokSgZvMH6lwHO2rzwp_0JiY5R4h8</v>
      </c>
      <c r="J618" s="4" t="str">
        <v>Soronongan, Jatisarono, Nanggulan</v>
      </c>
      <c r="L618" s="99" t="str">
        <f ca="1">IFERROR(__xludf.DUMMYFUNCTION("IMPORTRANGE(H618,""IDENTITAS UNIT!D35"")"),"Fauzan Syafiq Abdullah")</f>
        <v>Fauzan Syafiq Abdullah</v>
      </c>
    </row>
    <row r="619" spans="1:12" ht="49.5" hidden="1">
      <c r="A619" s="4" t="str">
        <v>Reguler Periode ke-111 VI.C.3</v>
      </c>
      <c r="B619" s="4" t="str">
        <v>Reguler Periode ke-111</v>
      </c>
      <c r="C619" s="4" t="str">
        <v>VI.C.3</v>
      </c>
      <c r="D619" s="101" t="str">
        <v>https://drive.google.com/open?id=1E-39bO3bNSRhmNES2Fyy636-L9pMZTXgm9NWrYaIPv0&amp;usp=drive_copy</v>
      </c>
      <c r="E619" s="101" t="str">
        <v>https://drive.google.com/open?id=1E-39bO3bNSRhmNES2Fyy636-L9pMZTXgm9NWrYaIPv0</v>
      </c>
      <c r="F619" s="103" t="str">
        <f ca="1">IFERROR(__xludf.DUMMYFUNCTION("IMPORTRANGE(H619,""IDENTITAS UNIT!D9"")"),"https://goo.gl/maps/8XsYEuLExTebYt8c6")</f>
        <v>https://goo.gl/maps/8XsYEuLExTebYt8c6</v>
      </c>
      <c r="G619" s="4" t="s">
        <v>13139</v>
      </c>
      <c r="H619" s="101" t="str">
        <v>https://docs.google.com/spreadsheets/d/1E-39bO3bNSRhmNES2Fyy636-L9pMZTXgm9NWrYaIPv0</v>
      </c>
      <c r="I619" s="101" t="str">
        <v>https://docs.google.com/open?id=1E-39bO3bNSRhmNES2Fyy636-L9pMZTXgm9NWrYaIPv0</v>
      </c>
      <c r="J619" s="4" t="str">
        <v>Karang, Jatisarono, Nanggulan</v>
      </c>
      <c r="L619" s="99" t="str">
        <f ca="1">IFERROR(__xludf.DUMMYFUNCTION("IMPORTRANGE(H619,""IDENTITAS UNIT!D35"")"),"")</f>
        <v/>
      </c>
    </row>
    <row r="620" spans="1:12" ht="49.5" hidden="1">
      <c r="A620" s="4" t="str">
        <v>Reguler Periode ke-111 VI.D.1</v>
      </c>
      <c r="B620" s="4" t="str">
        <v>Reguler Periode ke-111</v>
      </c>
      <c r="C620" s="4" t="str">
        <v>VI.D.1</v>
      </c>
      <c r="D620" s="101" t="str">
        <v>https://drive.google.com/open?id=1CpcRgciqgAQrz5_BC2x-uy9_NNEMAfuy7JNhwF1hvqs&amp;usp=drive_copy</v>
      </c>
      <c r="E620" s="101" t="str">
        <v>https://drive.google.com/open?id=1CpcRgciqgAQrz5_BC2x-uy9_NNEMAfuy7JNhwF1hvqs</v>
      </c>
      <c r="F620" s="103" t="str">
        <f ca="1">IFERROR(__xludf.DUMMYFUNCTION("IMPORTRANGE(H620,""IDENTITAS UNIT!D9"")"),"https://goo.gl/maps/NcchoEd11CYbVVXZ9")</f>
        <v>https://goo.gl/maps/NcchoEd11CYbVVXZ9</v>
      </c>
      <c r="G620" s="4" t="s">
        <v>13140</v>
      </c>
      <c r="H620" s="101" t="str">
        <v>https://docs.google.com/spreadsheets/d/1CpcRgciqgAQrz5_BC2x-uy9_NNEMAfuy7JNhwF1hvqs</v>
      </c>
      <c r="I620" s="101" t="str">
        <v>https://docs.google.com/open?id=1CpcRgciqgAQrz5_BC2x-uy9_NNEMAfuy7JNhwF1hvqs</v>
      </c>
      <c r="J620" s="4" t="str">
        <v>Pronosutan, Kembang, Nanggulan</v>
      </c>
      <c r="L620" s="99" t="str">
        <f ca="1">IFERROR(__xludf.DUMMYFUNCTION("IMPORTRANGE(H620,""IDENTITAS UNIT!D35"")"),"Hanafi Nurhuda Avicena")</f>
        <v>Hanafi Nurhuda Avicena</v>
      </c>
    </row>
    <row r="621" spans="1:12" ht="49.5" hidden="1">
      <c r="A621" s="4" t="str">
        <v>Reguler Periode ke-111 VI.D.2</v>
      </c>
      <c r="B621" s="4" t="str">
        <v>Reguler Periode ke-111</v>
      </c>
      <c r="C621" s="4" t="str">
        <v>VI.D.2</v>
      </c>
      <c r="D621" s="101" t="str">
        <v>https://drive.google.com/open?id=12ujRKi24oY7vpetZfrmCx5t98Ak9onutT0BxpFD2NXc&amp;usp=drive_copy</v>
      </c>
      <c r="E621" s="101" t="str">
        <v>https://drive.google.com/open?id=12ujRKi24oY7vpetZfrmCx5t98Ak9onutT0BxpFD2NXc</v>
      </c>
      <c r="F621" s="103" t="str">
        <f ca="1">IFERROR(__xludf.DUMMYFUNCTION("IMPORTRANGE(H621,""IDENTITAS UNIT!D9"")"),"https://goo.gl/maps/hLDwWrhTY9cPt4fS9")</f>
        <v>https://goo.gl/maps/hLDwWrhTY9cPt4fS9</v>
      </c>
      <c r="G621" s="4" t="s">
        <v>13141</v>
      </c>
      <c r="H621" s="101" t="str">
        <v>https://docs.google.com/spreadsheets/d/12ujRKi24oY7vpetZfrmCx5t98Ak9onutT0BxpFD2NXc</v>
      </c>
      <c r="I621" s="101" t="str">
        <v>https://docs.google.com/open?id=12ujRKi24oY7vpetZfrmCx5t98Ak9onutT0BxpFD2NXc</v>
      </c>
      <c r="J621" s="4" t="str">
        <v>Pundak Tegal, Kembang, Nanggulan</v>
      </c>
      <c r="L621" s="99" t="str">
        <f ca="1">IFERROR(__xludf.DUMMYFUNCTION("IMPORTRANGE(H621,""IDENTITAS UNIT!D35"")"),"Hendra Setiawan")</f>
        <v>Hendra Setiawan</v>
      </c>
    </row>
    <row r="622" spans="1:12" ht="181.5" hidden="1">
      <c r="A622" s="4" t="str">
        <v>Reguler Periode ke-111 VII.A.1</v>
      </c>
      <c r="B622" s="4" t="str">
        <v>Reguler Periode ke-111</v>
      </c>
      <c r="C622" s="4" t="str">
        <v>VII.A.1</v>
      </c>
      <c r="D622" s="101" t="str">
        <v>https://drive.google.com/open?id=140ZhkVAiahpRT1th_6cUTltV8cws6uma-lJeeuJJT6k&amp;usp=drive_copy</v>
      </c>
      <c r="E622" s="101" t="str">
        <v>https://drive.google.com/open?id=140ZhkVAiahpRT1th_6cUTltV8cws6uma-lJeeuJJT6k</v>
      </c>
      <c r="F622" s="103" t="str">
        <f ca="1">IFERROR(__xludf.DUMMYFUNCTION("IMPORTRANGE(H622,""IDENTITAS UNIT!D9"")"),"https://www.google.com/maps/place/7%C2%B054'14.5%22S+110%C2%B029'35.2%22E/@-7.9040351,110.4905434,17z/data=!3m1!4b1!4m4!3m3!8m2!3d-7.9040351!4d110.4931183?hl=id&amp;entry=ttu")</f>
        <v>https://www.google.com/maps/place/7%C2%B054'14.5%22S+110%C2%B029'35.2%22E/@-7.9040351,110.4905434,17z/data=!3m1!4b1!4m4!3m3!8m2!3d-7.9040351!4d110.4931183?hl=id&amp;entry=ttu</v>
      </c>
      <c r="G622" s="4" t="s">
        <v>13142</v>
      </c>
      <c r="H622" s="101" t="str">
        <v>https://docs.google.com/spreadsheets/d/140ZhkVAiahpRT1th_6cUTltV8cws6uma-lJeeuJJT6k</v>
      </c>
      <c r="I622" s="101" t="str">
        <v>https://docs.google.com/open?id=140ZhkVAiahpRT1th_6cUTltV8cws6uma-lJeeuJJT6k</v>
      </c>
      <c r="J622" s="4" t="str">
        <v>Banyuurip, Jatimulyo, Dlingo</v>
      </c>
      <c r="L622" s="99" t="str">
        <f ca="1">IFERROR(__xludf.DUMMYFUNCTION("IMPORTRANGE(H622,""IDENTITAS UNIT!D35"")"),"Yuni Juniarti")</f>
        <v>Yuni Juniarti</v>
      </c>
    </row>
    <row r="623" spans="1:12" ht="16.5" hidden="1">
      <c r="A623" s="4" t="str">
        <v>Reguler Periode ke-111 VII.A.2</v>
      </c>
      <c r="B623" s="4" t="str">
        <v>Reguler Periode ke-111</v>
      </c>
      <c r="C623" s="4" t="str">
        <v>VII.A.2</v>
      </c>
      <c r="D623" s="101" t="str">
        <v>https://drive.google.com/open?id=1aKhwhoTo6OQOu-TLg1sLxgh8ATb2bYtbLjtQyDGX5Sg&amp;usp=drive_copy</v>
      </c>
      <c r="E623" s="101" t="str">
        <v>https://drive.google.com/open?id=1aKhwhoTo6OQOu-TLg1sLxgh8ATb2bYtbLjtQyDGX5Sg</v>
      </c>
      <c r="F623" s="102" t="str">
        <f ca="1">IFERROR(__xludf.DUMMYFUNCTION("IMPORTRANGE(H623,""IDENTITAS UNIT!D9"")"),"")</f>
        <v/>
      </c>
      <c r="H623" s="101" t="str">
        <v>https://docs.google.com/spreadsheets/d/1aKhwhoTo6OQOu-TLg1sLxgh8ATb2bYtbLjtQyDGX5Sg</v>
      </c>
      <c r="I623" s="101" t="str">
        <v>https://docs.google.com/open?id=1aKhwhoTo6OQOu-TLg1sLxgh8ATb2bYtbLjtQyDGX5Sg</v>
      </c>
      <c r="J623" s="4" t="str">
        <v>Maladan, Jatimulyo, Dlingo</v>
      </c>
      <c r="L623" s="99" t="str">
        <f ca="1">IFERROR(__xludf.DUMMYFUNCTION("IMPORTRANGE(H623,""IDENTITAS UNIT!D35"")"),"Zuhra Nur Fadhilah")</f>
        <v>Zuhra Nur Fadhilah</v>
      </c>
    </row>
    <row r="624" spans="1:12" ht="181.5" hidden="1">
      <c r="A624" s="4" t="str">
        <v>Reguler Periode ke-111 VII.A.3</v>
      </c>
      <c r="B624" s="4" t="str">
        <v>Reguler Periode ke-111</v>
      </c>
      <c r="C624" s="4" t="str">
        <v>VII.A.3</v>
      </c>
      <c r="D624" s="101" t="str">
        <v>https://drive.google.com/open?id=1tJ9oaVdI4eBbESC0OH_aAq6lpZvnmI8SLOwxfCJ3yTk&amp;usp=drive_copy</v>
      </c>
      <c r="E624" s="101" t="str">
        <v>https://drive.google.com/open?id=1tJ9oaVdI4eBbESC0OH_aAq6lpZvnmI8SLOwxfCJ3yTk</v>
      </c>
      <c r="F624" s="103" t="str">
        <f ca="1">IFERROR(__xludf.DUMMYFUNCTION("IMPORTRANGE(H624,""IDENTITAS UNIT!D9"")"),"https://www.google.com/maps/place/7%C2%B051'15.9%22S+110%C2%B023'24.5%22E/@-7.85441,110.3879496,17z/data=!3m1!4b1!4m4!3m3!8m2!3d-7.85441!4d110.3901383?hl=id&amp;entry=ttu")</f>
        <v>https://www.google.com/maps/place/7%C2%B051'15.9%22S+110%C2%B023'24.5%22E/@-7.85441,110.3879496,17z/data=!3m1!4b1!4m4!3m3!8m2!3d-7.85441!4d110.3901383?hl=id&amp;entry=ttu</v>
      </c>
      <c r="G624" s="4" t="s">
        <v>13143</v>
      </c>
      <c r="H624" s="101" t="str">
        <v>https://docs.google.com/spreadsheets/d/1tJ9oaVdI4eBbESC0OH_aAq6lpZvnmI8SLOwxfCJ3yTk</v>
      </c>
      <c r="I624" s="101" t="str">
        <v>https://docs.google.com/open?id=1tJ9oaVdI4eBbESC0OH_aAq6lpZvnmI8SLOwxfCJ3yTk</v>
      </c>
      <c r="J624" s="4" t="str">
        <v>Tegallawas, Jatimulyo, Dlingo</v>
      </c>
      <c r="L624" s="99" t="str">
        <f ca="1">IFERROR(__xludf.DUMMYFUNCTION("IMPORTRANGE(H624,""IDENTITAS UNIT!D35"")"),"Imam Hidayat")</f>
        <v>Imam Hidayat</v>
      </c>
    </row>
    <row r="625" spans="1:12" ht="49.5" hidden="1">
      <c r="A625" s="4" t="str">
        <v>Reguler Periode ke-111 VII.B.1</v>
      </c>
      <c r="B625" s="4" t="str">
        <v>Reguler Periode ke-111</v>
      </c>
      <c r="C625" s="4" t="str">
        <v>VII.B.1</v>
      </c>
      <c r="D625" s="101" t="str">
        <v>https://drive.google.com/open?id=1n91_dZnAo6ulbP_WgpTe6DReCHsOLKzA0OoBXB3rE7E&amp;usp=drive_copy</v>
      </c>
      <c r="E625" s="101" t="str">
        <v>https://drive.google.com/open?id=1n91_dZnAo6ulbP_WgpTe6DReCHsOLKzA0OoBXB3rE7E</v>
      </c>
      <c r="F625" s="103" t="str">
        <f ca="1">IFERROR(__xludf.DUMMYFUNCTION("IMPORTRANGE(H625,""IDENTITAS UNIT!D9"")"),"https://maps.app.goo.gl/PqNqZuEzFtTSoVEBA?g_st=ic")</f>
        <v>https://maps.app.goo.gl/PqNqZuEzFtTSoVEBA?g_st=ic</v>
      </c>
      <c r="G625" s="4" t="s">
        <v>13144</v>
      </c>
      <c r="H625" s="101" t="str">
        <v>https://docs.google.com/spreadsheets/d/1n91_dZnAo6ulbP_WgpTe6DReCHsOLKzA0OoBXB3rE7E</v>
      </c>
      <c r="I625" s="101" t="str">
        <v>https://docs.google.com/open?id=1n91_dZnAo6ulbP_WgpTe6DReCHsOLKzA0OoBXB3rE7E</v>
      </c>
      <c r="J625" s="4" t="str">
        <v>Dodogan, Jatimulyo, Dlingo</v>
      </c>
      <c r="L625" s="99" t="str">
        <f ca="1">IFERROR(__xludf.DUMMYFUNCTION("IMPORTRANGE(H625,""IDENTITAS UNIT!D35"")"),"Iqbal Fikri")</f>
        <v>Iqbal Fikri</v>
      </c>
    </row>
    <row r="626" spans="1:12" ht="49.5" hidden="1">
      <c r="A626" s="4" t="str">
        <v>Reguler Periode ke-111 VII.B.2</v>
      </c>
      <c r="B626" s="4" t="str">
        <v>Reguler Periode ke-111</v>
      </c>
      <c r="C626" s="4" t="str">
        <v>VII.B.2</v>
      </c>
      <c r="D626" s="101" t="str">
        <v>https://drive.google.com/open?id=1GjupOWxtK-zw87q_JSH5PTCFprpcXdqguwBvEHPbSh8&amp;usp=drive_copy</v>
      </c>
      <c r="E626" s="101" t="str">
        <v>https://drive.google.com/open?id=1GjupOWxtK-zw87q_JSH5PTCFprpcXdqguwBvEHPbSh8</v>
      </c>
      <c r="F626" s="103" t="str">
        <f ca="1">IFERROR(__xludf.DUMMYFUNCTION("IMPORTRANGE(H626,""IDENTITAS UNIT!D9"")"),"https://maps.app.goo.gl/oCUVGhxQz6fR1Kx17 ")</f>
        <v xml:space="preserve">https://maps.app.goo.gl/oCUVGhxQz6fR1Kx17 </v>
      </c>
      <c r="G626" s="4" t="s">
        <v>13145</v>
      </c>
      <c r="H626" s="101" t="str">
        <v>https://docs.google.com/spreadsheets/d/1GjupOWxtK-zw87q_JSH5PTCFprpcXdqguwBvEHPbSh8</v>
      </c>
      <c r="I626" s="101" t="str">
        <v>https://docs.google.com/open?id=1GjupOWxtK-zw87q_JSH5PTCFprpcXdqguwBvEHPbSh8</v>
      </c>
      <c r="J626" s="4" t="str">
        <v>Gayam, Jatimulyo, Dlingo</v>
      </c>
      <c r="L626" s="99" t="str">
        <f ca="1">IFERROR(__xludf.DUMMYFUNCTION("IMPORTRANGE(H626,""IDENTITAS UNIT!D35"")"),"MUHAMMAD HASAN`")</f>
        <v>MUHAMMAD HASAN`</v>
      </c>
    </row>
    <row r="627" spans="1:12" ht="181.5" hidden="1">
      <c r="A627" s="4" t="str">
        <v>Reguler Periode ke-111 VII.B.3</v>
      </c>
      <c r="B627" s="4" t="str">
        <v>Reguler Periode ke-111</v>
      </c>
      <c r="C627" s="4" t="str">
        <v>VII.B.3</v>
      </c>
      <c r="D627" s="101" t="str">
        <v>https://drive.google.com/open?id=1YnweNW4B4kDthnEB8i0Nt5ZWP1XzZsnFWKgnuP1ypk4&amp;usp=drive_copy</v>
      </c>
      <c r="E627" s="101" t="str">
        <v>https://drive.google.com/open?id=1YnweNW4B4kDthnEB8i0Nt5ZWP1XzZsnFWKgnuP1ypk4</v>
      </c>
      <c r="F627" s="103" t="str">
        <f ca="1">IFERROR(__xludf.DUMMYFUNCTION("IMPORTRANGE(H627,""IDENTITAS UNIT!D9"")"),"https://www.google.com/maps/place/7%C2%B053'51.7%22S+110%C2%B028'58.7%22E/@-7.8976914,110.4807785,17z/data=!3m1!4b1!4m4!3m3!8m2!3d-7.8976914!4d110.4829672?hl=id&amp;entry=ttu")</f>
        <v>https://www.google.com/maps/place/7%C2%B053'51.7%22S+110%C2%B028'58.7%22E/@-7.8976914,110.4807785,17z/data=!3m1!4b1!4m4!3m3!8m2!3d-7.8976914!4d110.4829672?hl=id&amp;entry=ttu</v>
      </c>
      <c r="G627" s="4" t="s">
        <v>13146</v>
      </c>
      <c r="H627" s="101" t="str">
        <v>https://docs.google.com/spreadsheets/d/1YnweNW4B4kDthnEB8i0Nt5ZWP1XzZsnFWKgnuP1ypk4</v>
      </c>
      <c r="I627" s="101" t="str">
        <v>https://docs.google.com/open?id=1YnweNW4B4kDthnEB8i0Nt5ZWP1XzZsnFWKgnuP1ypk4</v>
      </c>
      <c r="J627" s="4" t="str">
        <v>Badean, Jatimulyo, Dlingo</v>
      </c>
      <c r="L627" s="99" t="str">
        <f ca="1">IFERROR(__xludf.DUMMYFUNCTION("IMPORTRANGE(H627,""IDENTITAS UNIT!D35"")"),"Ali Akbar")</f>
        <v>Ali Akbar</v>
      </c>
    </row>
    <row r="628" spans="1:12" ht="49.5" hidden="1">
      <c r="A628" s="4" t="str">
        <v>Reguler Periode ke-111 VII.C.1</v>
      </c>
      <c r="B628" s="4" t="str">
        <v>Reguler Periode ke-111</v>
      </c>
      <c r="C628" s="4" t="str">
        <v>VII.C.1</v>
      </c>
      <c r="D628" s="101" t="str">
        <v>https://drive.google.com/open?id=13IXO_KWsN44UjR6jYAwOApXIcPgtchZKHLzXZN49ktc&amp;usp=drive_copy</v>
      </c>
      <c r="E628" s="101" t="str">
        <v>https://drive.google.com/open?id=13IXO_KWsN44UjR6jYAwOApXIcPgtchZKHLzXZN49ktc</v>
      </c>
      <c r="F628" s="103" t="str">
        <f ca="1">IFERROR(__xludf.DUMMYFUNCTION("IMPORTRANGE(H628,""IDENTITAS UNIT!D9"")"),"https://goo.gl/maps/fMQ4VqXR3vvser4j8")</f>
        <v>https://goo.gl/maps/fMQ4VqXR3vvser4j8</v>
      </c>
      <c r="G628" s="4" t="s">
        <v>13147</v>
      </c>
      <c r="H628" s="101" t="str">
        <v>https://docs.google.com/spreadsheets/d/13IXO_KWsN44UjR6jYAwOApXIcPgtchZKHLzXZN49ktc</v>
      </c>
      <c r="I628" s="101" t="str">
        <v>https://docs.google.com/open?id=13IXO_KWsN44UjR6jYAwOApXIcPgtchZKHLzXZN49ktc</v>
      </c>
      <c r="J628" s="4" t="str">
        <v>Loputih, Jatimulyo, Dlingo</v>
      </c>
      <c r="L628" s="99" t="str">
        <f ca="1">IFERROR(__xludf.DUMMYFUNCTION("IMPORTRANGE(H628,""IDENTITAS UNIT!D35"")"),"RADEN ADE KOESOEMA WIJAYA")</f>
        <v>RADEN ADE KOESOEMA WIJAYA</v>
      </c>
    </row>
    <row r="629" spans="1:12" ht="16.5" hidden="1">
      <c r="A629" s="4" t="str">
        <v>Reguler Periode ke-111 VII.C.2</v>
      </c>
      <c r="B629" s="4" t="str">
        <v>Reguler Periode ke-111</v>
      </c>
      <c r="C629" s="4" t="str">
        <v>VII.C.2</v>
      </c>
      <c r="D629" s="101" t="str">
        <v>https://drive.google.com/open?id=1zif92Bq28Io-nQ6s0AfutKm_ZvBTTgyYv8JscmasLRM&amp;usp=drive_copy</v>
      </c>
      <c r="E629" s="101" t="str">
        <v>https://drive.google.com/open?id=1zif92Bq28Io-nQ6s0AfutKm_ZvBTTgyYv8JscmasLRM</v>
      </c>
      <c r="F629" s="102" t="str">
        <f ca="1">IFERROR(__xludf.DUMMYFUNCTION("IMPORTRANGE(H629,""IDENTITAS UNIT!D9"")"),"")</f>
        <v/>
      </c>
      <c r="H629" s="101" t="str">
        <v>https://docs.google.com/spreadsheets/d/1zif92Bq28Io-nQ6s0AfutKm_ZvBTTgyYv8JscmasLRM</v>
      </c>
      <c r="I629" s="101" t="str">
        <v>https://docs.google.com/open?id=1zif92Bq28Io-nQ6s0AfutKm_ZvBTTgyYv8JscmasLRM</v>
      </c>
      <c r="J629" s="4" t="str">
        <v>Semuten, Jatimulyo, Dlingo</v>
      </c>
      <c r="L629" s="99" t="str">
        <f ca="1">IFERROR(__xludf.DUMMYFUNCTION("IMPORTRANGE(H629,""IDENTITAS UNIT!D35"")"),"Yusuf Abdillah Suroso")</f>
        <v>Yusuf Abdillah Suroso</v>
      </c>
    </row>
    <row r="630" spans="1:12" ht="49.5" hidden="1">
      <c r="A630" s="4" t="str">
        <v>Reguler Periode ke-111 VII.D.1</v>
      </c>
      <c r="B630" s="4" t="str">
        <v>Reguler Periode ke-111</v>
      </c>
      <c r="C630" s="4" t="str">
        <v>VII.D.1</v>
      </c>
      <c r="D630" s="101" t="str">
        <v>https://drive.google.com/open?id=1N86qmhiBNI30g8xIMC8S5jr-tLrobxNcnQ0iKzmN4WQ&amp;usp=drive_copy</v>
      </c>
      <c r="E630" s="101" t="str">
        <v>https://drive.google.com/open?id=1N86qmhiBNI30g8xIMC8S5jr-tLrobxNcnQ0iKzmN4WQ</v>
      </c>
      <c r="F630" s="103" t="str">
        <f ca="1">IFERROR(__xludf.DUMMYFUNCTION("IMPORTRANGE(H630,""IDENTITAS UNIT!D9"")"),"https://maps.app.goo.gl/7SErAAsvyoXvin5p6?g_st=iw")</f>
        <v>https://maps.app.goo.gl/7SErAAsvyoXvin5p6?g_st=iw</v>
      </c>
      <c r="G630" s="4" t="s">
        <v>13148</v>
      </c>
      <c r="H630" s="101" t="str">
        <v>https://docs.google.com/spreadsheets/d/1N86qmhiBNI30g8xIMC8S5jr-tLrobxNcnQ0iKzmN4WQ</v>
      </c>
      <c r="I630" s="101" t="str">
        <v>https://docs.google.com/open?id=1N86qmhiBNI30g8xIMC8S5jr-tLrobxNcnQ0iKzmN4WQ</v>
      </c>
      <c r="J630" s="4" t="str">
        <v>Rejosari, Jatimulyo, Dlingo</v>
      </c>
      <c r="L630" s="99" t="str">
        <f ca="1">IFERROR(__xludf.DUMMYFUNCTION("IMPORTRANGE(H630,""IDENTITAS UNIT!D35"")"),"Fadilah Rahma")</f>
        <v>Fadilah Rahma</v>
      </c>
    </row>
    <row r="631" spans="1:12" ht="264" hidden="1">
      <c r="A631" s="4" t="str">
        <v>Reguler Periode ke-111 VII.D.2</v>
      </c>
      <c r="B631" s="4" t="str">
        <v>Reguler Periode ke-111</v>
      </c>
      <c r="C631" s="4" t="str">
        <v>VII.D.2</v>
      </c>
      <c r="D631" s="101" t="str">
        <v>https://drive.google.com/open?id=1Zo85uBGE13Qzd5paM2axQ0Ii1YohyoFaI_-_A5HcCoc&amp;usp=drive_copy</v>
      </c>
      <c r="E631" s="101" t="str">
        <v>https://drive.google.com/open?id=1Zo85uBGE13Qzd5paM2axQ0Ii1YohyoFaI_-_A5HcCoc</v>
      </c>
      <c r="F631" s="103" t="str">
        <f ca="1">IFERROR(__xludf.DUMMYFUNCTION("IMPORTRANGE(H631,""IDENTITAS UNIT!D9"")"),"https://www.google.com/maps/place/Kedung+Dayak,+Jatimulyo,+Kec.+Dlingo,+Kabupaten+Bantul,+Daerah+Istimewa+Yogyakarta/@-7.9209594,110.4747305,15z/data=!3m1!4b1!4m6!3m5!1s0x2e7a52fa64ac34d5:0x559ad30eaba9fe1a!8m2!3d-7.9175061!4d110.4843037!16s%2Fg%2F11g0gc6"&amp;"hxl?entry=ttu")</f>
        <v>https://www.google.com/maps/place/Kedung+Dayak,+Jatimulyo,+Kec.+Dlingo,+Kabupaten+Bantul,+Daerah+Istimewa+Yogyakarta/@-7.9209594,110.4747305,15z/data=!3m1!4b1!4m6!3m5!1s0x2e7a52fa64ac34d5:0x559ad30eaba9fe1a!8m2!3d-7.9175061!4d110.4843037!16s%2Fg%2F11g0gc6hxl?entry=ttu</v>
      </c>
      <c r="G631" s="4" t="s">
        <v>13149</v>
      </c>
      <c r="H631" s="101" t="str">
        <v>https://docs.google.com/spreadsheets/d/1Zo85uBGE13Qzd5paM2axQ0Ii1YohyoFaI_-_A5HcCoc</v>
      </c>
      <c r="I631" s="101" t="str">
        <v>https://docs.google.com/open?id=1Zo85uBGE13Qzd5paM2axQ0Ii1YohyoFaI_-_A5HcCoc</v>
      </c>
      <c r="J631" s="4" t="str">
        <v>Kedungdayak, Jatimulyo, Dlingo</v>
      </c>
      <c r="L631" s="99" t="str">
        <f ca="1">IFERROR(__xludf.DUMMYFUNCTION("IMPORTRANGE(H631,""IDENTITAS UNIT!D35"")"),"Galuh Santoso")</f>
        <v>Galuh Santoso</v>
      </c>
    </row>
    <row r="632" spans="1:12" ht="16.5" hidden="1">
      <c r="A632" s="4" t="str">
        <v>Reguler Periode ke-112 I.A.1</v>
      </c>
      <c r="B632" s="4" t="str">
        <v>Reguler Periode ke-112</v>
      </c>
      <c r="C632" s="4" t="str">
        <v>I.A.1</v>
      </c>
      <c r="D632" s="101" t="str">
        <v>https://drive.google.com/open?id=1WqSWisKbH3gdREv0eGw5VBFk8RKNvQpjnt-ajyPCNvg&amp;usp=drive_copy</v>
      </c>
      <c r="E632" s="101" t="str">
        <v>https://drive.google.com/open?id=1WqSWisKbH3gdREv0eGw5VBFk8RKNvQpjnt-ajyPCNvg</v>
      </c>
      <c r="F632" s="102" t="str">
        <f ca="1">IFERROR(__xludf.DUMMYFUNCTION("IMPORTRANGE(H632,""IDENTITAS UNIT!D9"")"),"")</f>
        <v/>
      </c>
      <c r="H632" s="101" t="str">
        <v>https://docs.google.com/spreadsheets/d/1WqSWisKbH3gdREv0eGw5VBFk8RKNvQpjnt-ajyPCNvg</v>
      </c>
      <c r="I632" s="101" t="str">
        <v>https://docs.google.com/open?id=1WqSWisKbH3gdREv0eGw5VBFk8RKNvQpjnt-ajyPCNvg</v>
      </c>
      <c r="J632" s="4" t="str">
        <v>Buton, Sulawesi Tenggara</v>
      </c>
      <c r="L632" s="99" t="str">
        <f ca="1">IFERROR(__xludf.DUMMYFUNCTION("IMPORTRANGE(H632,""IDENTITAS UNIT!D35"")"),"")</f>
        <v/>
      </c>
    </row>
    <row r="633" spans="1:12" ht="49.5" hidden="1">
      <c r="A633" s="4" t="str">
        <v>Reguler Periode ke-114 I.A.1</v>
      </c>
      <c r="B633" s="4" t="str">
        <v>Reguler Periode ke-114</v>
      </c>
      <c r="C633" s="4" t="str">
        <v>I.A.1</v>
      </c>
      <c r="D633" s="101" t="str">
        <v>https://drive.google.com/open?id=1eO-UXrCKF-KBpFJO6zIqf2VSS2FhG7PEzzz0H3z4uk8&amp;usp=drive_copy</v>
      </c>
      <c r="E633" s="101" t="str">
        <v>https://drive.google.com/open?id=1eO-UXrCKF-KBpFJO6zIqf2VSS2FhG7PEzzz0H3z4uk8</v>
      </c>
      <c r="F633" s="103" t="str">
        <f ca="1">IFERROR(__xludf.DUMMYFUNCTION("IMPORTRANGE(H633,""IDENTITAS UNIT!D9"")"),"https://maps.app.goo.gl/Laj4U6Z5kigFoFTF6")</f>
        <v>https://maps.app.goo.gl/Laj4U6Z5kigFoFTF6</v>
      </c>
      <c r="H633" s="101" t="str">
        <v>https://docs.google.com/spreadsheets/d/1eO-UXrCKF-KBpFJO6zIqf2VSS2FhG7PEzzz0H3z4uk8</v>
      </c>
      <c r="I633" s="101" t="str">
        <v>https://docs.google.com/open?id=1eO-UXrCKF-KBpFJO6zIqf2VSS2FhG7PEzzz0H3z4uk8</v>
      </c>
      <c r="J633" s="4" t="str">
        <v>Malaysia</v>
      </c>
      <c r="L633" s="99" t="str">
        <f ca="1">IFERROR(__xludf.DUMMYFUNCTION("IMPORTRANGE(H633,""IDENTITAS UNIT!D35"")"),"Rofiqoh Setianingsih")</f>
        <v>Rofiqoh Setianingsih</v>
      </c>
    </row>
    <row r="634" spans="1:12" ht="16.5" hidden="1">
      <c r="A634" s="4" t="str">
        <v>Reguler Periode ke-115 I.A.1</v>
      </c>
      <c r="B634" s="4" t="str">
        <v>Reguler Periode ke-115</v>
      </c>
      <c r="C634" s="4" t="str">
        <v>I.A.1</v>
      </c>
      <c r="D634" s="101" t="str">
        <v>https://drive.google.com/open?id=1TRRqPufsYEUl_PyL7lkIkgBQ5pbDLDi8MOSLHu5EjuU&amp;usp=drive_copy</v>
      </c>
      <c r="E634" s="101" t="str">
        <v>https://drive.google.com/open?id=1TRRqPufsYEUl_PyL7lkIkgBQ5pbDLDi8MOSLHu5EjuU</v>
      </c>
      <c r="F634" s="102" t="str">
        <f ca="1">IFERROR(__xludf.DUMMYFUNCTION("IMPORTRANGE(H634,""IDENTITAS UNIT!D9"")"),"")</f>
        <v/>
      </c>
      <c r="H634" s="101" t="str">
        <v>https://docs.google.com/spreadsheets/d/1TRRqPufsYEUl_PyL7lkIkgBQ5pbDLDi8MOSLHu5EjuU</v>
      </c>
      <c r="I634" s="101" t="str">
        <v>https://docs.google.com/open?id=1TRRqPufsYEUl_PyL7lkIkgBQ5pbDLDi8MOSLHu5EjuU</v>
      </c>
      <c r="J634" s="4" t="str">
        <v>Sambas dan Bengkayang, Kalimantan Barat</v>
      </c>
      <c r="L634" s="99" t="str">
        <f ca="1">IFERROR(__xludf.DUMMYFUNCTION("IMPORTRANGE(H634,""IDENTITAS UNIT!D35"")"),"")</f>
        <v/>
      </c>
    </row>
    <row r="635" spans="1:12" ht="16.5" hidden="1">
      <c r="A635" s="4" t="str">
        <v>Reguler Periode ke-116 I.A.1</v>
      </c>
      <c r="B635" s="4" t="str">
        <v>Reguler Periode ke-116</v>
      </c>
      <c r="C635" s="4" t="str">
        <v>I.A.1</v>
      </c>
      <c r="D635" s="101" t="str">
        <v>https://drive.google.com/open?id=1AGIoxrQ12COJppeFlqZktRitXux6_xbqrQu5wB1swoI&amp;usp=drive_copy</v>
      </c>
      <c r="E635" s="101" t="str">
        <v>https://drive.google.com/open?id=1AGIoxrQ12COJppeFlqZktRitXux6_xbqrQu5wB1swoI</v>
      </c>
      <c r="F635" s="102" t="str">
        <f ca="1">IFERROR(__xludf.DUMMYFUNCTION("IMPORTRANGE(H635,""IDENTITAS UNIT!D9"")"),"")</f>
        <v/>
      </c>
      <c r="H635" s="101" t="str">
        <v>https://docs.google.com/spreadsheets/d/1AGIoxrQ12COJppeFlqZktRitXux6_xbqrQu5wB1swoI</v>
      </c>
      <c r="I635" s="101" t="str">
        <v>https://docs.google.com/open?id=1AGIoxrQ12COJppeFlqZktRitXux6_xbqrQu5wB1swoI</v>
      </c>
      <c r="J635" s="4" t="str">
        <v>Sere, Bangorejo, Bangorejo</v>
      </c>
      <c r="L635" s="99" t="str">
        <f ca="1">IFERROR(__xludf.DUMMYFUNCTION("IMPORTRANGE(H635,""IDENTITAS UNIT!D35"")"),"Algifani Rizki Arsayli")</f>
        <v>Algifani Rizki Arsayli</v>
      </c>
    </row>
    <row r="636" spans="1:12" ht="49.5" hidden="1">
      <c r="A636" s="4" t="str">
        <v>Reguler Periode ke-116 I.A.2</v>
      </c>
      <c r="B636" s="4" t="str">
        <v>Reguler Periode ke-116</v>
      </c>
      <c r="C636" s="4" t="str">
        <v>I.A.2</v>
      </c>
      <c r="D636" s="101" t="str">
        <v>https://drive.google.com/open?id=1C_1B3o0dG9n_WF4jMaowYgYAN5ikM4iCmm-EnJNp9Tw&amp;usp=drive_copy</v>
      </c>
      <c r="E636" s="101" t="str">
        <v>https://drive.google.com/open?id=1C_1B3o0dG9n_WF4jMaowYgYAN5ikM4iCmm-EnJNp9Tw</v>
      </c>
      <c r="F636" s="103" t="str">
        <f ca="1">IFERROR(__xludf.DUMMYFUNCTION("IMPORTRANGE(H636,""IDENTITAS UNIT!D9"")"),"https://maps.app.goo.gl/jQmuvNLNeJxoMvP29")</f>
        <v>https://maps.app.goo.gl/jQmuvNLNeJxoMvP29</v>
      </c>
      <c r="G636" s="4" t="s">
        <v>13150</v>
      </c>
      <c r="H636" s="101" t="str">
        <v>https://docs.google.com/spreadsheets/d/1C_1B3o0dG9n_WF4jMaowYgYAN5ikM4iCmm-EnJNp9Tw</v>
      </c>
      <c r="I636" s="101" t="str">
        <v>https://docs.google.com/open?id=1C_1B3o0dG9n_WF4jMaowYgYAN5ikM4iCmm-EnJNp9Tw</v>
      </c>
      <c r="J636" s="4" t="str">
        <v>Gunung Sari, Bangorejo, Bangorejo</v>
      </c>
      <c r="L636" s="99" t="str">
        <f ca="1">IFERROR(__xludf.DUMMYFUNCTION("IMPORTRANGE(H636,""IDENTITAS UNIT!D35"")"),"Habib Ahmad Hasbullah")</f>
        <v>Habib Ahmad Hasbullah</v>
      </c>
    </row>
    <row r="637" spans="1:12" ht="49.5" hidden="1">
      <c r="A637" s="4" t="str">
        <v>Reguler Periode ke-116 I.A.3</v>
      </c>
      <c r="B637" s="4" t="str">
        <v>Reguler Periode ke-116</v>
      </c>
      <c r="C637" s="4" t="str">
        <v>I.A.3</v>
      </c>
      <c r="D637" s="101" t="str">
        <v>https://drive.google.com/open?id=1Xb0r4Qtg6NAcXp3XGsicju53acBxOt5Rptgp4Q1quIY&amp;usp=drive_copy</v>
      </c>
      <c r="E637" s="101" t="str">
        <v>https://drive.google.com/open?id=1Xb0r4Qtg6NAcXp3XGsicju53acBxOt5Rptgp4Q1quIY</v>
      </c>
      <c r="F637" s="103" t="str">
        <f ca="1">IFERROR(__xludf.DUMMYFUNCTION("IMPORTRANGE(H637,""IDENTITAS UNIT!D9"")"),"https://maps.app.goo.gl/qJtKXyXuMUwoiC469?g_st=iw")</f>
        <v>https://maps.app.goo.gl/qJtKXyXuMUwoiC469?g_st=iw</v>
      </c>
      <c r="G637" s="4" t="s">
        <v>13151</v>
      </c>
      <c r="H637" s="101" t="str">
        <v>https://docs.google.com/spreadsheets/d/1Xb0r4Qtg6NAcXp3XGsicju53acBxOt5Rptgp4Q1quIY</v>
      </c>
      <c r="I637" s="101" t="str">
        <v>https://docs.google.com/open?id=1Xb0r4Qtg6NAcXp3XGsicju53acBxOt5Rptgp4Q1quIY</v>
      </c>
      <c r="J637" s="4" t="str">
        <v>Tanjungrejo, Kebondalem, Bangorejo</v>
      </c>
      <c r="L637" s="99" t="str">
        <f ca="1">IFERROR(__xludf.DUMMYFUNCTION("IMPORTRANGE(H637,""IDENTITAS UNIT!D35"")"),"RIFKI RAMADHAN")</f>
        <v>RIFKI RAMADHAN</v>
      </c>
    </row>
    <row r="638" spans="1:12" ht="66" hidden="1">
      <c r="A638" s="4" t="str">
        <v>Reguler Periode ke-116 I.B.1</v>
      </c>
      <c r="B638" s="4" t="str">
        <v>Reguler Periode ke-116</v>
      </c>
      <c r="C638" s="4" t="str">
        <v>I.B.1</v>
      </c>
      <c r="D638" s="101" t="str">
        <v>https://drive.google.com/open?id=1-uT4_fCLFL6x8ngrsGxMr0SdOy_D5djhxqpz_vstw1c&amp;usp=drive_copy</v>
      </c>
      <c r="E638" s="101" t="str">
        <v>https://drive.google.com/open?id=1-uT4_fCLFL6x8ngrsGxMr0SdOy_D5djhxqpz_vstw1c</v>
      </c>
      <c r="F638" s="103" t="str">
        <f ca="1">IFERROR(__xludf.DUMMYFUNCTION("IMPORTRANGE(H638,""IDENTITAS UNIT!D9"")"),"https://maps.google.com/maps?q=-8.5158748%2C114.1528948&amp;z=17&amp;hl=id")</f>
        <v>https://maps.google.com/maps?q=-8.5158748%2C114.1528948&amp;z=17&amp;hl=id</v>
      </c>
      <c r="H638" s="101" t="str">
        <v>https://docs.google.com/spreadsheets/d/1-uT4_fCLFL6x8ngrsGxMr0SdOy_D5djhxqpz_vstw1c</v>
      </c>
      <c r="I638" s="101" t="str">
        <v>https://docs.google.com/open?id=1-uT4_fCLFL6x8ngrsGxMr0SdOy_D5djhxqpz_vstw1c</v>
      </c>
      <c r="J638" s="4" t="str">
        <v>Kedungagung, Sambirejo, Bangorejo</v>
      </c>
      <c r="L638" s="99" t="str">
        <f ca="1">IFERROR(__xludf.DUMMYFUNCTION("IMPORTRANGE(H638,""IDENTITAS UNIT!D35"")"),"M.Furkan")</f>
        <v>M.Furkan</v>
      </c>
    </row>
    <row r="639" spans="1:12" ht="49.5" hidden="1">
      <c r="A639" s="4" t="str">
        <v>Reguler Periode ke-116 I.B.2</v>
      </c>
      <c r="B639" s="4" t="str">
        <v>Reguler Periode ke-116</v>
      </c>
      <c r="C639" s="4" t="str">
        <v>I.B.2</v>
      </c>
      <c r="D639" s="101" t="str">
        <v>https://drive.google.com/open?id=1OPTkergdFEZYezeXIKRwnn8PLvKWaiU62h3i052WOB8&amp;usp=drive_copy</v>
      </c>
      <c r="E639" s="101" t="str">
        <v>https://drive.google.com/open?id=1OPTkergdFEZYezeXIKRwnn8PLvKWaiU62h3i052WOB8</v>
      </c>
      <c r="F639" s="103" t="str">
        <f ca="1">IFERROR(__xludf.DUMMYFUNCTION("IMPORTRANGE(H639,""IDENTITAS UNIT!D9"")"),"https://maps.app.goo.gl/AFb7Ji6EJgGci8FC7")</f>
        <v>https://maps.app.goo.gl/AFb7Ji6EJgGci8FC7</v>
      </c>
      <c r="G639" s="4" t="s">
        <v>13152</v>
      </c>
      <c r="H639" s="101" t="str">
        <v>https://docs.google.com/spreadsheets/d/1OPTkergdFEZYezeXIKRwnn8PLvKWaiU62h3i052WOB8</v>
      </c>
      <c r="I639" s="101" t="str">
        <v>https://docs.google.com/open?id=1OPTkergdFEZYezeXIKRwnn8PLvKWaiU62h3i052WOB8</v>
      </c>
      <c r="J639" s="4" t="str">
        <v>Bangorejo, Bangorejo, Bangorejo</v>
      </c>
      <c r="L639" s="99" t="str">
        <f ca="1">IFERROR(__xludf.DUMMYFUNCTION("IMPORTRANGE(H639,""IDENTITAS UNIT!D35"")"),"Billie Pramana Putra")</f>
        <v>Billie Pramana Putra</v>
      </c>
    </row>
    <row r="640" spans="1:12" ht="82.5" hidden="1">
      <c r="A640" s="4" t="str">
        <v>Reguler Periode ke-116 I.B.3</v>
      </c>
      <c r="B640" s="4" t="str">
        <v>Reguler Periode ke-116</v>
      </c>
      <c r="C640" s="4" t="str">
        <v>I.B.3</v>
      </c>
      <c r="D640" s="101" t="str">
        <v>https://drive.google.com/open?id=1Tz9-x0Pu6yHJvTFIRmaxWv633DUoqbpjw2sD3YRv0nA&amp;usp=drive_copy</v>
      </c>
      <c r="E640" s="101" t="str">
        <v>https://drive.google.com/open?id=1Tz9-x0Pu6yHJvTFIRmaxWv633DUoqbpjw2sD3YRv0nA</v>
      </c>
      <c r="F640" s="102" t="str">
        <f ca="1">IFERROR(__xludf.DUMMYFUNCTION("IMPORTRANGE(H640,""IDENTITAS UNIT!D9"")"),"8°28'30.7""S 114°10'54.0""E
https://goo.gl/maps/JgkpUrgd4s4CrF2JA")</f>
        <v>8°28'30.7"S 114°10'54.0"E
https://goo.gl/maps/JgkpUrgd4s4CrF2JA</v>
      </c>
      <c r="G640" s="4" t="s">
        <v>13153</v>
      </c>
      <c r="H640" s="101" t="str">
        <v>https://docs.google.com/spreadsheets/d/1Tz9-x0Pu6yHJvTFIRmaxWv633DUoqbpjw2sD3YRv0nA</v>
      </c>
      <c r="I640" s="101" t="str">
        <v>https://docs.google.com/open?id=1Tz9-x0Pu6yHJvTFIRmaxWv633DUoqbpjw2sD3YRv0nA</v>
      </c>
      <c r="J640" s="4" t="str">
        <v>Taman Suruh, Bangorejo, Bangorejo</v>
      </c>
      <c r="L640" s="99" t="str">
        <f ca="1">IFERROR(__xludf.DUMMYFUNCTION("IMPORTRANGE(H640,""IDENTITAS UNIT!D35"")"),"Taufik Osama Hatala")</f>
        <v>Taufik Osama Hatala</v>
      </c>
    </row>
    <row r="641" spans="1:12" ht="49.5" hidden="1">
      <c r="A641" s="4" t="str">
        <v>Reguler Periode ke-116 I.C.1</v>
      </c>
      <c r="B641" s="4" t="str">
        <v>Reguler Periode ke-116</v>
      </c>
      <c r="C641" s="4" t="str">
        <v>I.C.1</v>
      </c>
      <c r="D641" s="101" t="str">
        <v>https://drive.google.com/open?id=10XjszphET9bNnbIftOpOD-2suLE-v-UImiLMdELar-A&amp;usp=drive_copy</v>
      </c>
      <c r="E641" s="101" t="str">
        <v>https://drive.google.com/open?id=10XjszphET9bNnbIftOpOD-2suLE-v-UImiLMdELar-A</v>
      </c>
      <c r="F641" s="103" t="str">
        <f ca="1">IFERROR(__xludf.DUMMYFUNCTION("IMPORTRANGE(H641,""IDENTITAS UNIT!D9"")"),"https://maps.app.goo.gl/WvTkejjNmCwdbskN9")</f>
        <v>https://maps.app.goo.gl/WvTkejjNmCwdbskN9</v>
      </c>
      <c r="G641" s="4" t="s">
        <v>13154</v>
      </c>
      <c r="H641" s="101" t="str">
        <v>https://docs.google.com/spreadsheets/d/10XjszphET9bNnbIftOpOD-2suLE-v-UImiLMdELar-A</v>
      </c>
      <c r="I641" s="101" t="str">
        <v>https://docs.google.com/open?id=10XjszphET9bNnbIftOpOD-2suLE-v-UImiLMdELar-A</v>
      </c>
      <c r="J641" s="4" t="str">
        <v>Kedungrejo, Sambimulyo, Bangorejo</v>
      </c>
      <c r="L641" s="99" t="str">
        <f ca="1">IFERROR(__xludf.DUMMYFUNCTION("IMPORTRANGE(H641,""IDENTITAS UNIT!D35"")"),"Nabilla Az Zahra")</f>
        <v>Nabilla Az Zahra</v>
      </c>
    </row>
    <row r="642" spans="1:12" ht="49.5" hidden="1">
      <c r="A642" s="4" t="str">
        <v>Reguler Periode ke-116 I.C.2</v>
      </c>
      <c r="B642" s="4" t="str">
        <v>Reguler Periode ke-116</v>
      </c>
      <c r="C642" s="4" t="str">
        <v>I.C.2</v>
      </c>
      <c r="D642" s="101" t="str">
        <v>https://drive.google.com/open?id=1Ow6tt7GgsGzVDcxAbmTaGwFSVWBWdbuF0NCB0Fa9u_I&amp;usp=drive_copy</v>
      </c>
      <c r="E642" s="101" t="str">
        <v>https://drive.google.com/open?id=1Ow6tt7GgsGzVDcxAbmTaGwFSVWBWdbuF0NCB0Fa9u_I</v>
      </c>
      <c r="F642" s="103" t="str">
        <f ca="1">IFERROR(__xludf.DUMMYFUNCTION("IMPORTRANGE(H642,""IDENTITAS UNIT!D9"")"),"https://goo.gl/maps/SLWosNL2WStnEC6q8")</f>
        <v>https://goo.gl/maps/SLWosNL2WStnEC6q8</v>
      </c>
      <c r="G642" s="4" t="s">
        <v>13155</v>
      </c>
      <c r="H642" s="101" t="str">
        <v>https://docs.google.com/spreadsheets/d/1Ow6tt7GgsGzVDcxAbmTaGwFSVWBWdbuF0NCB0Fa9u_I</v>
      </c>
      <c r="I642" s="101" t="str">
        <v>https://docs.google.com/open?id=1Ow6tt7GgsGzVDcxAbmTaGwFSVWBWdbuF0NCB0Fa9u_I</v>
      </c>
      <c r="J642" s="4" t="str">
        <v>Sambirejo, Sambimulyo, Bangorejo</v>
      </c>
      <c r="L642" s="99" t="str">
        <f ca="1">IFERROR(__xludf.DUMMYFUNCTION("IMPORTRANGE(H642,""IDENTITAS UNIT!D35"")"),"Sintawati")</f>
        <v>Sintawati</v>
      </c>
    </row>
    <row r="643" spans="1:12" ht="49.5" hidden="1">
      <c r="A643" s="4" t="str">
        <v>Reguler Periode ke-116 I.C.3</v>
      </c>
      <c r="B643" s="4" t="str">
        <v>Reguler Periode ke-116</v>
      </c>
      <c r="C643" s="4" t="str">
        <v>I.C.3</v>
      </c>
      <c r="D643" s="101" t="str">
        <v>https://drive.google.com/open?id=1f4WW9qVtuFPjrDhsFzzy7LYxpPaj0bfF8ZirxJlXjA0&amp;usp=drive_copy</v>
      </c>
      <c r="E643" s="101" t="str">
        <v>https://drive.google.com/open?id=1f4WW9qVtuFPjrDhsFzzy7LYxpPaj0bfF8ZirxJlXjA0</v>
      </c>
      <c r="F643" s="103" t="str">
        <f ca="1">IFERROR(__xludf.DUMMYFUNCTION("IMPORTRANGE(H643,""IDENTITAS UNIT!D9"")"),"https://maps.app.goo.gl/jeDCpuG65DtNUQ26A")</f>
        <v>https://maps.app.goo.gl/jeDCpuG65DtNUQ26A</v>
      </c>
      <c r="H643" s="101" t="str">
        <v>https://docs.google.com/spreadsheets/d/1f4WW9qVtuFPjrDhsFzzy7LYxpPaj0bfF8ZirxJlXjA0</v>
      </c>
      <c r="I643" s="101" t="str">
        <v>https://docs.google.com/open?id=1f4WW9qVtuFPjrDhsFzzy7LYxpPaj0bfF8ZirxJlXjA0</v>
      </c>
      <c r="J643" s="4" t="str">
        <v>Pasembon, Sambirejo, Bangorejo</v>
      </c>
      <c r="L643" s="99" t="str">
        <f ca="1">IFERROR(__xludf.DUMMYFUNCTION("IMPORTRANGE(H643,""IDENTITAS UNIT!D35"")"),"Risalatun Nadhiroh")</f>
        <v>Risalatun Nadhiroh</v>
      </c>
    </row>
    <row r="644" spans="1:12" ht="16.5" hidden="1">
      <c r="A644" s="4" t="str">
        <v>ToT DPL KKN PERIODE KE-2023 I.A.1</v>
      </c>
      <c r="B644" s="4" t="str">
        <v>ToT DPL KKN PERIODE KE-2023</v>
      </c>
      <c r="C644" s="4" t="str">
        <v>I.A.1</v>
      </c>
      <c r="D644" s="101" t="str">
        <v>https://drive.google.com/open?id=18u4QNBSKaftLb7YCpVYjGjn_Vn_8GY-HN-gq9j9oNcU&amp;usp=drive_copy</v>
      </c>
      <c r="E644" s="101" t="str">
        <v>https://drive.google.com/open?id=18u4QNBSKaftLb7YCpVYjGjn_Vn_8GY-HN-gq9j9oNcU</v>
      </c>
      <c r="F644" s="102" t="str">
        <f ca="1">IFERROR(__xludf.DUMMYFUNCTION("IMPORTRANGE(H644,""IDENTITAS UNIT!D9"")"),"")</f>
        <v/>
      </c>
      <c r="H644" s="101" t="str">
        <v>https://docs.google.com/spreadsheets/d/18u4QNBSKaftLb7YCpVYjGjn_Vn_8GY-HN-gq9j9oNcU</v>
      </c>
      <c r="I644" s="101" t="str">
        <v>https://docs.google.com/open?id=18u4QNBSKaftLb7YCpVYjGjn_Vn_8GY-HN-gq9j9oNcU</v>
      </c>
      <c r="J644" s="4" t="str">
        <v>Masjid Islamic Center</v>
      </c>
      <c r="L644" s="99" t="str">
        <f ca="1">IFERROR(__xludf.DUMMYFUNCTION("IMPORTRANGE(H644,""IDENTITAS UNIT!D35"")"),"")</f>
        <v/>
      </c>
    </row>
    <row r="645" spans="1:12" ht="16.5" hidden="1">
      <c r="A645" s="4" t="str">
        <v>ToT DPL KKN PERIODE KE-2023 I.A.2</v>
      </c>
      <c r="B645" s="4" t="str">
        <v>ToT DPL KKN PERIODE KE-2023</v>
      </c>
      <c r="C645" s="4" t="str">
        <v>I.A.2</v>
      </c>
      <c r="D645" s="101" t="str">
        <v>https://drive.google.com/open?id=1LVR1aPL1dAq6g8CXTg-Gmkmx3cph1OJTlXvJQKr4mBc&amp;usp=drive_copy</v>
      </c>
      <c r="E645" s="101" t="str">
        <v>https://drive.google.com/open?id=1LVR1aPL1dAq6g8CXTg-Gmkmx3cph1OJTlXvJQKr4mBc</v>
      </c>
      <c r="F645" s="102" t="str">
        <f ca="1">IFERROR(__xludf.DUMMYFUNCTION("IMPORTRANGE(H645,""IDENTITAS UNIT!D9"")"),"")</f>
        <v/>
      </c>
      <c r="H645" s="101" t="str">
        <v>https://docs.google.com/spreadsheets/d/1LVR1aPL1dAq6g8CXTg-Gmkmx3cph1OJTlXvJQKr4mBc</v>
      </c>
      <c r="I645" s="101" t="str">
        <v>https://docs.google.com/open?id=1LVR1aPL1dAq6g8CXTg-Gmkmx3cph1OJTlXvJQKr4mBc</v>
      </c>
      <c r="J645" s="4" t="str">
        <v>Masjid Islamic Center</v>
      </c>
      <c r="L645" s="99" t="str">
        <f ca="1">IFERROR(__xludf.DUMMYFUNCTION("IMPORTRANGE(H645,""IDENTITAS UNIT!D35"")"),"")</f>
        <v/>
      </c>
    </row>
    <row r="646" spans="1:12" ht="16.5" hidden="1">
      <c r="A646" s="4" t="str">
        <v>ToT DPL KKN PERIODE KE-2023 I.A.3</v>
      </c>
      <c r="B646" s="4" t="str">
        <v>ToT DPL KKN PERIODE KE-2023</v>
      </c>
      <c r="C646" s="4" t="str">
        <v>I.A.3</v>
      </c>
      <c r="D646" s="101" t="str">
        <v>https://drive.google.com/open?id=1Unnleg8hS7znOSgPeU2DfMMPK1_N1a0l5x7A0C2wrq8&amp;usp=drive_copy</v>
      </c>
      <c r="E646" s="101" t="str">
        <v>https://drive.google.com/open?id=1Unnleg8hS7znOSgPeU2DfMMPK1_N1a0l5x7A0C2wrq8</v>
      </c>
      <c r="F646" s="102" t="str">
        <f ca="1">IFERROR(__xludf.DUMMYFUNCTION("IMPORTRANGE(H646,""IDENTITAS UNIT!D9"")"),"")</f>
        <v/>
      </c>
      <c r="H646" s="101" t="str">
        <v>https://docs.google.com/spreadsheets/d/1Unnleg8hS7znOSgPeU2DfMMPK1_N1a0l5x7A0C2wrq8</v>
      </c>
      <c r="I646" s="101" t="str">
        <v>https://docs.google.com/open?id=1Unnleg8hS7znOSgPeU2DfMMPK1_N1a0l5x7A0C2wrq8</v>
      </c>
      <c r="J646" s="4" t="str">
        <v>Masjid Islamic Center</v>
      </c>
      <c r="L646" s="99" t="str">
        <f ca="1">IFERROR(__xludf.DUMMYFUNCTION("IMPORTRANGE(H646,""IDENTITAS UNIT!D35"")"),"")</f>
        <v/>
      </c>
    </row>
    <row r="647" spans="1:12" ht="16.5" hidden="1">
      <c r="A647" s="4" t="str">
        <v>ToT DPL KKN PERIODE KE-2023 I.B.1</v>
      </c>
      <c r="B647" s="4" t="str">
        <v>ToT DPL KKN PERIODE KE-2023</v>
      </c>
      <c r="C647" s="4" t="str">
        <v>I.B.1</v>
      </c>
      <c r="D647" s="101" t="str">
        <v>https://drive.google.com/open?id=1_lB4xeo89spumEvb56SHsPLccl1hDrHyTSw3w4wSl6g&amp;usp=drive_copy</v>
      </c>
      <c r="E647" s="101" t="str">
        <v>https://drive.google.com/open?id=1_lB4xeo89spumEvb56SHsPLccl1hDrHyTSw3w4wSl6g</v>
      </c>
      <c r="F647" s="102" t="str">
        <f ca="1">IFERROR(__xludf.DUMMYFUNCTION("IMPORTRANGE(H647,""IDENTITAS UNIT!D9"")"),"")</f>
        <v/>
      </c>
      <c r="H647" s="101" t="str">
        <v>https://docs.google.com/spreadsheets/d/1_lB4xeo89spumEvb56SHsPLccl1hDrHyTSw3w4wSl6g</v>
      </c>
      <c r="I647" s="101" t="str">
        <v>https://docs.google.com/open?id=1_lB4xeo89spumEvb56SHsPLccl1hDrHyTSw3w4wSl6g</v>
      </c>
      <c r="J647" s="4" t="str">
        <v>Masjid Islamic Center</v>
      </c>
      <c r="L647" s="99" t="str">
        <f ca="1">IFERROR(__xludf.DUMMYFUNCTION("IMPORTRANGE(H647,""IDENTITAS UNIT!D35"")"),"")</f>
        <v/>
      </c>
    </row>
    <row r="648" spans="1:12" ht="16.5" hidden="1">
      <c r="A648" s="4" t="str">
        <v>ToT DPL KKN PERIODE KE-2023 I.B.2</v>
      </c>
      <c r="B648" s="4" t="str">
        <v>ToT DPL KKN PERIODE KE-2023</v>
      </c>
      <c r="C648" s="4" t="str">
        <v>I.B.2</v>
      </c>
      <c r="D648" s="101" t="str">
        <v>https://drive.google.com/open?id=1fqX2rnwxnkl7OpLwjM8LgM7ahxyRsdrJL1xus5ReMp4&amp;usp=drive_copy</v>
      </c>
      <c r="E648" s="101" t="str">
        <v>https://drive.google.com/open?id=1fqX2rnwxnkl7OpLwjM8LgM7ahxyRsdrJL1xus5ReMp4</v>
      </c>
      <c r="F648" s="102" t="str">
        <f ca="1">IFERROR(__xludf.DUMMYFUNCTION("IMPORTRANGE(H648,""IDENTITAS UNIT!D9"")"),"")</f>
        <v/>
      </c>
      <c r="H648" s="101" t="str">
        <v>https://docs.google.com/spreadsheets/d/1fqX2rnwxnkl7OpLwjM8LgM7ahxyRsdrJL1xus5ReMp4</v>
      </c>
      <c r="I648" s="101" t="str">
        <v>https://docs.google.com/open?id=1fqX2rnwxnkl7OpLwjM8LgM7ahxyRsdrJL1xus5ReMp4</v>
      </c>
      <c r="J648" s="4" t="str">
        <v>Masjid Islamic Center</v>
      </c>
      <c r="L648" s="99" t="str">
        <f ca="1">IFERROR(__xludf.DUMMYFUNCTION("IMPORTRANGE(H648,""IDENTITAS UNIT!D35"")"),"")</f>
        <v/>
      </c>
    </row>
    <row r="649" spans="1:12" ht="16.5" hidden="1">
      <c r="A649" s="4" t="str">
        <v>ToT DPL KKN PERIODE KE-2023 I.B.3</v>
      </c>
      <c r="B649" s="4" t="str">
        <v>ToT DPL KKN PERIODE KE-2023</v>
      </c>
      <c r="C649" s="4" t="str">
        <v>I.B.3</v>
      </c>
      <c r="D649" s="101" t="str">
        <v>https://drive.google.com/open?id=1lvbdhkKJuzWiWwfKdmxnWYl3x7bLTrm7ud7dSIaqUtE&amp;usp=drive_copy</v>
      </c>
      <c r="E649" s="101" t="str">
        <v>https://drive.google.com/open?id=1lvbdhkKJuzWiWwfKdmxnWYl3x7bLTrm7ud7dSIaqUtE</v>
      </c>
      <c r="F649" s="102" t="str">
        <f ca="1">IFERROR(__xludf.DUMMYFUNCTION("IMPORTRANGE(H649,""IDENTITAS UNIT!D9"")"),"")</f>
        <v/>
      </c>
      <c r="H649" s="101" t="str">
        <v>https://docs.google.com/spreadsheets/d/1lvbdhkKJuzWiWwfKdmxnWYl3x7bLTrm7ud7dSIaqUtE</v>
      </c>
      <c r="I649" s="101" t="str">
        <v>https://docs.google.com/open?id=1lvbdhkKJuzWiWwfKdmxnWYl3x7bLTrm7ud7dSIaqUtE</v>
      </c>
      <c r="J649" s="4" t="str">
        <v>Masjid Islamic Center</v>
      </c>
      <c r="L649" s="99" t="str">
        <f ca="1">IFERROR(__xludf.DUMMYFUNCTION("IMPORTRANGE(H649,""IDENTITAS UNIT!D35"")"),"")</f>
        <v/>
      </c>
    </row>
    <row r="650" spans="1:12" ht="16.5" hidden="1">
      <c r="A650" s="4" t="str">
        <v>ToT DPL KKN PERIODE KE-2023 I.C.1</v>
      </c>
      <c r="B650" s="4" t="str">
        <v>ToT DPL KKN PERIODE KE-2023</v>
      </c>
      <c r="C650" s="4" t="str">
        <v>I.C.1</v>
      </c>
      <c r="D650" s="101" t="str">
        <v>https://drive.google.com/open?id=10_OwX_aZhDoGS6yaVBeSj7im8Lh-mNudToK-z5iklOE&amp;usp=drive_copy</v>
      </c>
      <c r="E650" s="101" t="str">
        <v>https://drive.google.com/open?id=10_OwX_aZhDoGS6yaVBeSj7im8Lh-mNudToK-z5iklOE</v>
      </c>
      <c r="F650" s="102" t="str">
        <f ca="1">IFERROR(__xludf.DUMMYFUNCTION("IMPORTRANGE(H650,""IDENTITAS UNIT!D9"")"),"")</f>
        <v/>
      </c>
      <c r="H650" s="101" t="str">
        <v>https://docs.google.com/spreadsheets/d/10_OwX_aZhDoGS6yaVBeSj7im8Lh-mNudToK-z5iklOE</v>
      </c>
      <c r="I650" s="101" t="str">
        <v>https://docs.google.com/open?id=10_OwX_aZhDoGS6yaVBeSj7im8Lh-mNudToK-z5iklOE</v>
      </c>
      <c r="J650" s="4" t="str">
        <v>Masjid Islamic Center</v>
      </c>
      <c r="L650" s="99" t="str">
        <f ca="1">IFERROR(__xludf.DUMMYFUNCTION("IMPORTRANGE(H650,""IDENTITAS UNIT!D35"")"),"")</f>
        <v/>
      </c>
    </row>
    <row r="651" spans="1:12" ht="16.5" hidden="1">
      <c r="A651" s="4" t="str">
        <v>ToT DPL KKN PERIODE KE-2023 I.C.2</v>
      </c>
      <c r="B651" s="4" t="str">
        <v>ToT DPL KKN PERIODE KE-2023</v>
      </c>
      <c r="C651" s="4" t="str">
        <v>I.C.2</v>
      </c>
      <c r="D651" s="101" t="str">
        <v>https://drive.google.com/open?id=1C3sM5khnjwmFxar7TH3x9KEFFy2k4oIL2zEJBDDpgA4&amp;usp=drive_copy</v>
      </c>
      <c r="E651" s="101" t="str">
        <v>https://drive.google.com/open?id=1C3sM5khnjwmFxar7TH3x9KEFFy2k4oIL2zEJBDDpgA4</v>
      </c>
      <c r="F651" s="102" t="str">
        <f ca="1">IFERROR(__xludf.DUMMYFUNCTION("IMPORTRANGE(H651,""IDENTITAS UNIT!D9"")"),"")</f>
        <v/>
      </c>
      <c r="H651" s="101" t="str">
        <v>https://docs.google.com/spreadsheets/d/1C3sM5khnjwmFxar7TH3x9KEFFy2k4oIL2zEJBDDpgA4</v>
      </c>
      <c r="I651" s="101" t="str">
        <v>https://docs.google.com/open?id=1C3sM5khnjwmFxar7TH3x9KEFFy2k4oIL2zEJBDDpgA4</v>
      </c>
      <c r="J651" s="4" t="str">
        <v>Masjid Islamic Center</v>
      </c>
      <c r="L651" s="99" t="str">
        <f ca="1">IFERROR(__xludf.DUMMYFUNCTION("IMPORTRANGE(H651,""IDENTITAS UNIT!D35"")"),"")</f>
        <v/>
      </c>
    </row>
    <row r="652" spans="1:12" ht="16.5" hidden="1">
      <c r="A652" s="4" t="str">
        <v>ToT DPL KKN PERIODE KE-2023 I.C.3</v>
      </c>
      <c r="B652" s="4" t="str">
        <v>ToT DPL KKN PERIODE KE-2023</v>
      </c>
      <c r="C652" s="4" t="str">
        <v>I.C.3</v>
      </c>
      <c r="D652" s="101" t="str">
        <v>https://drive.google.com/open?id=1CNO3FmxgKA-FxJwmkspUa5fYz5eQrg3bHmt3-wYfS2w&amp;usp=drive_copy</v>
      </c>
      <c r="E652" s="101" t="str">
        <v>https://drive.google.com/open?id=1CNO3FmxgKA-FxJwmkspUa5fYz5eQrg3bHmt3-wYfS2w</v>
      </c>
      <c r="F652" s="102" t="str">
        <f ca="1">IFERROR(__xludf.DUMMYFUNCTION("IMPORTRANGE(H652,""IDENTITAS UNIT!D9"")"),"")</f>
        <v/>
      </c>
      <c r="H652" s="101" t="str">
        <v>https://docs.google.com/spreadsheets/d/1CNO3FmxgKA-FxJwmkspUa5fYz5eQrg3bHmt3-wYfS2w</v>
      </c>
      <c r="I652" s="101" t="str">
        <v>https://docs.google.com/open?id=1CNO3FmxgKA-FxJwmkspUa5fYz5eQrg3bHmt3-wYfS2w</v>
      </c>
      <c r="J652" s="4" t="str">
        <v>Masjid Islamic Center</v>
      </c>
      <c r="L652" s="99" t="str">
        <f ca="1">IFERROR(__xludf.DUMMYFUNCTION("IMPORTRANGE(H652,""IDENTITAS UNIT!D35"")"),"")</f>
        <v/>
      </c>
    </row>
    <row r="653" spans="1:12" ht="16.5" hidden="1">
      <c r="A653" s="4" t="str">
        <v>ToT DPL KKN PERIODE KE-2023 I.D.1</v>
      </c>
      <c r="B653" s="4" t="str">
        <v>ToT DPL KKN PERIODE KE-2023</v>
      </c>
      <c r="C653" s="4" t="str">
        <v>I.D.1</v>
      </c>
      <c r="D653" s="101" t="str">
        <v>https://drive.google.com/open?id=1DVU_uAKjdkGavMu_hijFuuToS4tOFsYkHQ0O7Lo-cPw&amp;usp=drive_copy</v>
      </c>
      <c r="E653" s="101" t="str">
        <v>https://drive.google.com/open?id=1DVU_uAKjdkGavMu_hijFuuToS4tOFsYkHQ0O7Lo-cPw</v>
      </c>
      <c r="F653" s="102" t="str">
        <f ca="1">IFERROR(__xludf.DUMMYFUNCTION("IMPORTRANGE(H653,""IDENTITAS UNIT!D9"")"),"")</f>
        <v/>
      </c>
      <c r="H653" s="101" t="str">
        <v>https://docs.google.com/spreadsheets/d/1DVU_uAKjdkGavMu_hijFuuToS4tOFsYkHQ0O7Lo-cPw</v>
      </c>
      <c r="I653" s="101" t="str">
        <v>https://docs.google.com/open?id=1DVU_uAKjdkGavMu_hijFuuToS4tOFsYkHQ0O7Lo-cPw</v>
      </c>
      <c r="J653" s="4" t="str">
        <v>Masjid Islamic Center</v>
      </c>
      <c r="L653" s="99" t="str">
        <f ca="1">IFERROR(__xludf.DUMMYFUNCTION("IMPORTRANGE(H653,""IDENTITAS UNIT!D35"")"),"")</f>
        <v/>
      </c>
    </row>
    <row r="654" spans="1:12" ht="16.5" hidden="1">
      <c r="A654" s="4" t="str">
        <v>ToT DPL KKN PERIODE KE-2023 I.D.2</v>
      </c>
      <c r="B654" s="4" t="str">
        <v>ToT DPL KKN PERIODE KE-2023</v>
      </c>
      <c r="C654" s="4" t="str">
        <v>I.D.2</v>
      </c>
      <c r="D654" s="101" t="str">
        <v>https://drive.google.com/open?id=1HHMaOW5q5JLo5M5MsXlALoKdzRAY0aRZEMGnEerxrzM&amp;usp=drive_copy</v>
      </c>
      <c r="E654" s="101" t="str">
        <v>https://drive.google.com/open?id=1HHMaOW5q5JLo5M5MsXlALoKdzRAY0aRZEMGnEerxrzM</v>
      </c>
      <c r="F654" s="102" t="str">
        <f ca="1">IFERROR(__xludf.DUMMYFUNCTION("IMPORTRANGE(H654,""IDENTITAS UNIT!D9"")"),"")</f>
        <v/>
      </c>
      <c r="H654" s="101" t="str">
        <v>https://docs.google.com/spreadsheets/d/1HHMaOW5q5JLo5M5MsXlALoKdzRAY0aRZEMGnEerxrzM</v>
      </c>
      <c r="I654" s="101" t="str">
        <v>https://docs.google.com/open?id=1HHMaOW5q5JLo5M5MsXlALoKdzRAY0aRZEMGnEerxrzM</v>
      </c>
      <c r="J654" s="4" t="str">
        <v>Masjid Islamic Center</v>
      </c>
      <c r="L654" s="99" t="str">
        <f ca="1">IFERROR(__xludf.DUMMYFUNCTION("IMPORTRANGE(H654,""IDENTITAS UNIT!D35"")"),"")</f>
        <v/>
      </c>
    </row>
    <row r="655" spans="1:12" ht="16.5" hidden="1">
      <c r="A655" s="4" t="str">
        <v>ToT DPL KKN PERIODE KE-2023 I.D.3</v>
      </c>
      <c r="B655" s="4" t="str">
        <v>ToT DPL KKN PERIODE KE-2023</v>
      </c>
      <c r="C655" s="4" t="str">
        <v>I.D.3</v>
      </c>
      <c r="D655" s="101" t="str">
        <v>https://drive.google.com/open?id=1SOjXPypXqSXAHAEQPaFXljMmC25mCFzbBzRrsrA47ks&amp;usp=drive_copy</v>
      </c>
      <c r="E655" s="101" t="str">
        <v>https://drive.google.com/open?id=1SOjXPypXqSXAHAEQPaFXljMmC25mCFzbBzRrsrA47ks</v>
      </c>
      <c r="F655" s="102" t="str">
        <f ca="1">IFERROR(__xludf.DUMMYFUNCTION("IMPORTRANGE(H655,""IDENTITAS UNIT!D9"")"),"")</f>
        <v/>
      </c>
      <c r="H655" s="101" t="str">
        <v>https://docs.google.com/spreadsheets/d/1SOjXPypXqSXAHAEQPaFXljMmC25mCFzbBzRrsrA47ks</v>
      </c>
      <c r="I655" s="101" t="str">
        <v>https://docs.google.com/open?id=1SOjXPypXqSXAHAEQPaFXljMmC25mCFzbBzRrsrA47ks</v>
      </c>
      <c r="J655" s="4" t="str">
        <v>Masjid Islamic Center</v>
      </c>
      <c r="L655" s="99" t="str">
        <f ca="1">IFERROR(__xludf.DUMMYFUNCTION("IMPORTRANGE(H655,""IDENTITAS UNIT!D35"")"),"")</f>
        <v/>
      </c>
    </row>
    <row r="656" spans="1:12" ht="49.5" hidden="1">
      <c r="A656" s="4" t="str">
        <v>ToT DPL KKN PERIODE KE-2023 II.A.1</v>
      </c>
      <c r="B656" s="4" t="str">
        <v>ToT DPL KKN PERIODE KE-2023</v>
      </c>
      <c r="C656" s="4" t="str">
        <v>II.A.1</v>
      </c>
      <c r="D656" s="101" t="str">
        <v>https://drive.google.com/open?id=1UBvQoTk4qsIOAJkXVur7USHEjzssCdKMaKqRNrM7BH4&amp;usp=drive_copy</v>
      </c>
      <c r="E656" s="101" t="str">
        <v>https://drive.google.com/open?id=1UBvQoTk4qsIOAJkXVur7USHEjzssCdKMaKqRNrM7BH4</v>
      </c>
      <c r="F656" s="103" t="str">
        <f ca="1">IFERROR(__xludf.DUMMYFUNCTION("IMPORTRANGE(H656,""IDENTITAS UNIT!D9"")"),"https://goo.gl/maps/hgwe7YPhjTQRtJ4k9")</f>
        <v>https://goo.gl/maps/hgwe7YPhjTQRtJ4k9</v>
      </c>
      <c r="H656" s="101" t="str">
        <v>https://docs.google.com/spreadsheets/d/1UBvQoTk4qsIOAJkXVur7USHEjzssCdKMaKqRNrM7BH4</v>
      </c>
      <c r="I656" s="101" t="str">
        <v>https://docs.google.com/open?id=1UBvQoTk4qsIOAJkXVur7USHEjzssCdKMaKqRNrM7BH4</v>
      </c>
      <c r="J656" s="4" t="str">
        <v>Masjid Islamic Center</v>
      </c>
      <c r="L656" s="99" t="str">
        <f ca="1">IFERROR(__xludf.DUMMYFUNCTION("IMPORTRANGE(H656,""IDENTITAS UNIT!D35"")"),"")</f>
        <v/>
      </c>
    </row>
    <row r="657" spans="1:12" ht="16.5" hidden="1">
      <c r="A657" s="4" t="str">
        <v>ToT DPL KKN PERIODE KE-2023 II.A.2</v>
      </c>
      <c r="B657" s="4" t="str">
        <v>ToT DPL KKN PERIODE KE-2023</v>
      </c>
      <c r="C657" s="4" t="str">
        <v>II.A.2</v>
      </c>
      <c r="D657" s="101" t="str">
        <v>https://drive.google.com/open?id=1VlSGPNVTV7nzL827hVNFrN1CIZfDc1f05dfgc2qzpvw&amp;usp=drive_copy</v>
      </c>
      <c r="E657" s="101" t="str">
        <v>https://drive.google.com/open?id=1VlSGPNVTV7nzL827hVNFrN1CIZfDc1f05dfgc2qzpvw</v>
      </c>
      <c r="F657" s="102" t="str">
        <f ca="1">IFERROR(__xludf.DUMMYFUNCTION("IMPORTRANGE(H657,""IDENTITAS UNIT!D9"")"),"")</f>
        <v/>
      </c>
      <c r="H657" s="101" t="str">
        <v>https://docs.google.com/spreadsheets/d/1VlSGPNVTV7nzL827hVNFrN1CIZfDc1f05dfgc2qzpvw</v>
      </c>
      <c r="I657" s="101" t="str">
        <v>https://docs.google.com/open?id=1VlSGPNVTV7nzL827hVNFrN1CIZfDc1f05dfgc2qzpvw</v>
      </c>
      <c r="J657" s="4" t="str">
        <v>Masjid Islamic Center</v>
      </c>
      <c r="L657" s="99" t="str">
        <f ca="1">IFERROR(__xludf.DUMMYFUNCTION("IMPORTRANGE(H657,""IDENTITAS UNIT!D35"")"),"")</f>
        <v/>
      </c>
    </row>
    <row r="658" spans="1:12" ht="16.5" hidden="1">
      <c r="A658" s="4" t="str">
        <v>ToT DPL KKN PERIODE KE-2023 II.A.3</v>
      </c>
      <c r="B658" s="4" t="str">
        <v>ToT DPL KKN PERIODE KE-2023</v>
      </c>
      <c r="C658" s="4" t="str">
        <v>II.A.3</v>
      </c>
      <c r="D658" s="101" t="str">
        <v>https://drive.google.com/open?id=1YXoLIt-c7QGqA4FJ9oWi3ZPYX0JyzLkFWGf2aC-SkwU&amp;usp=drive_copy</v>
      </c>
      <c r="E658" s="101" t="str">
        <v>https://drive.google.com/open?id=1YXoLIt-c7QGqA4FJ9oWi3ZPYX0JyzLkFWGf2aC-SkwU</v>
      </c>
      <c r="F658" s="102" t="str">
        <f ca="1">IFERROR(__xludf.DUMMYFUNCTION("IMPORTRANGE(H658,""IDENTITAS UNIT!D9"")"),"")</f>
        <v/>
      </c>
      <c r="H658" s="101" t="str">
        <v>https://docs.google.com/spreadsheets/d/1YXoLIt-c7QGqA4FJ9oWi3ZPYX0JyzLkFWGf2aC-SkwU</v>
      </c>
      <c r="I658" s="101" t="str">
        <v>https://docs.google.com/open?id=1YXoLIt-c7QGqA4FJ9oWi3ZPYX0JyzLkFWGf2aC-SkwU</v>
      </c>
      <c r="J658" s="4" t="str">
        <v>Masjid Islamic Center</v>
      </c>
      <c r="L658" s="99" t="str">
        <f ca="1">IFERROR(__xludf.DUMMYFUNCTION("IMPORTRANGE(H658,""IDENTITAS UNIT!D35"")"),"")</f>
        <v/>
      </c>
    </row>
    <row r="659" spans="1:12" ht="16.5" hidden="1">
      <c r="A659" s="4" t="str">
        <v>ToT DPL KKN PERIODE KE-2023 II.B.1</v>
      </c>
      <c r="B659" s="4" t="str">
        <v>ToT DPL KKN PERIODE KE-2023</v>
      </c>
      <c r="C659" s="4" t="str">
        <v>II.B.1</v>
      </c>
      <c r="D659" s="101" t="str">
        <v>https://drive.google.com/open?id=1zMPB_qLJCPdy8KbBJ27lIU0enlk63xGUlGaT2u2Hsz4&amp;usp=drive_copy</v>
      </c>
      <c r="E659" s="101" t="str">
        <v>https://drive.google.com/open?id=1zMPB_qLJCPdy8KbBJ27lIU0enlk63xGUlGaT2u2Hsz4</v>
      </c>
      <c r="F659" s="102" t="str">
        <f ca="1">IFERROR(__xludf.DUMMYFUNCTION("IMPORTRANGE(H659,""IDENTITAS UNIT!D9"")"),"")</f>
        <v/>
      </c>
      <c r="H659" s="101" t="str">
        <v>https://docs.google.com/spreadsheets/d/1zMPB_qLJCPdy8KbBJ27lIU0enlk63xGUlGaT2u2Hsz4</v>
      </c>
      <c r="I659" s="101" t="str">
        <v>https://docs.google.com/open?id=1zMPB_qLJCPdy8KbBJ27lIU0enlk63xGUlGaT2u2Hsz4</v>
      </c>
      <c r="J659" s="4" t="str">
        <v>Masjid Islamic Center</v>
      </c>
      <c r="L659" s="99" t="str">
        <f ca="1">IFERROR(__xludf.DUMMYFUNCTION("IMPORTRANGE(H659,""IDENTITAS UNIT!D35"")"),"")</f>
        <v/>
      </c>
    </row>
    <row r="660" spans="1:12" ht="16.5" hidden="1">
      <c r="A660" s="4" t="str">
        <v>ToT DPL KKN PERIODE KE-2023 II.B.2</v>
      </c>
      <c r="B660" s="4" t="str">
        <v>ToT DPL KKN PERIODE KE-2023</v>
      </c>
      <c r="C660" s="4" t="str">
        <v>II.B.2</v>
      </c>
      <c r="D660" s="101" t="str">
        <v>https://drive.google.com/open?id=14zMP8wU-P9XDjEapTt2vNxCj7-A38ewKHzv8GbkMsEQ&amp;usp=drive_copy</v>
      </c>
      <c r="E660" s="101" t="str">
        <v>https://drive.google.com/open?id=14zMP8wU-P9XDjEapTt2vNxCj7-A38ewKHzv8GbkMsEQ</v>
      </c>
      <c r="F660" s="102" t="str">
        <f ca="1">IFERROR(__xludf.DUMMYFUNCTION("IMPORTRANGE(H660,""IDENTITAS UNIT!D9"")"),"")</f>
        <v/>
      </c>
      <c r="H660" s="101" t="str">
        <v>https://docs.google.com/spreadsheets/d/14zMP8wU-P9XDjEapTt2vNxCj7-A38ewKHzv8GbkMsEQ</v>
      </c>
      <c r="I660" s="101" t="str">
        <v>https://docs.google.com/open?id=14zMP8wU-P9XDjEapTt2vNxCj7-A38ewKHzv8GbkMsEQ</v>
      </c>
      <c r="J660" s="4" t="str">
        <v>Masjid Islamic Center</v>
      </c>
      <c r="L660" s="99" t="str">
        <f ca="1">IFERROR(__xludf.DUMMYFUNCTION("IMPORTRANGE(H660,""IDENTITAS UNIT!D35"")"),"")</f>
        <v/>
      </c>
    </row>
    <row r="661" spans="1:12" ht="16.5" hidden="1">
      <c r="A661" s="4" t="str">
        <v>ToT DPL KKN PERIODE KE-2023 II.B.3</v>
      </c>
      <c r="B661" s="4" t="str">
        <v>ToT DPL KKN PERIODE KE-2023</v>
      </c>
      <c r="C661" s="4" t="str">
        <v>II.B.3</v>
      </c>
      <c r="D661" s="101" t="str">
        <v>https://drive.google.com/open?id=18J-rPDBiPB6u-Rflumq7gBbzeQv6WylE_Hpoa7dVz04&amp;usp=drive_copy</v>
      </c>
      <c r="E661" s="101" t="str">
        <v>https://drive.google.com/open?id=18J-rPDBiPB6u-Rflumq7gBbzeQv6WylE_Hpoa7dVz04</v>
      </c>
      <c r="F661" s="102" t="str">
        <f ca="1">IFERROR(__xludf.DUMMYFUNCTION("IMPORTRANGE(H661,""IDENTITAS UNIT!D9"")"),"")</f>
        <v/>
      </c>
      <c r="H661" s="101" t="str">
        <v>https://docs.google.com/spreadsheets/d/18J-rPDBiPB6u-Rflumq7gBbzeQv6WylE_Hpoa7dVz04</v>
      </c>
      <c r="I661" s="101" t="str">
        <v>https://docs.google.com/open?id=18J-rPDBiPB6u-Rflumq7gBbzeQv6WylE_Hpoa7dVz04</v>
      </c>
      <c r="J661" s="4" t="str">
        <v>Masjid Islamic Center</v>
      </c>
      <c r="L661" s="99" t="str">
        <f ca="1">IFERROR(__xludf.DUMMYFUNCTION("IMPORTRANGE(H661,""IDENTITAS UNIT!D35"")"),"")</f>
        <v/>
      </c>
    </row>
    <row r="662" spans="1:12" ht="16.5" hidden="1">
      <c r="A662" s="4" t="str">
        <v>ToT DPL KKN PERIODE KE-2023 II.C.1</v>
      </c>
      <c r="B662" s="4" t="str">
        <v>ToT DPL KKN PERIODE KE-2023</v>
      </c>
      <c r="C662" s="4" t="str">
        <v>II.C.1</v>
      </c>
      <c r="D662" s="101" t="str">
        <v>https://drive.google.com/open?id=1BiOy31ydaVVAcBt-Odrlic5lW7IjRXsL3sfcaf-bVN0&amp;usp=drive_copy</v>
      </c>
      <c r="E662" s="101" t="str">
        <v>https://drive.google.com/open?id=1BiOy31ydaVVAcBt-Odrlic5lW7IjRXsL3sfcaf-bVN0</v>
      </c>
      <c r="F662" s="102" t="str">
        <f ca="1">IFERROR(__xludf.DUMMYFUNCTION("IMPORTRANGE(H662,""IDENTITAS UNIT!D9"")"),"")</f>
        <v/>
      </c>
      <c r="H662" s="101" t="str">
        <v>https://docs.google.com/spreadsheets/d/1BiOy31ydaVVAcBt-Odrlic5lW7IjRXsL3sfcaf-bVN0</v>
      </c>
      <c r="I662" s="101" t="str">
        <v>https://docs.google.com/open?id=1BiOy31ydaVVAcBt-Odrlic5lW7IjRXsL3sfcaf-bVN0</v>
      </c>
      <c r="J662" s="4" t="str">
        <v>Masjid Islamic Center</v>
      </c>
      <c r="L662" s="99" t="str">
        <f ca="1">IFERROR(__xludf.DUMMYFUNCTION("IMPORTRANGE(H662,""IDENTITAS UNIT!D35"")"),"")</f>
        <v/>
      </c>
    </row>
    <row r="663" spans="1:12" ht="16.5" hidden="1">
      <c r="A663" s="4" t="str">
        <v>ToT DPL KKN PERIODE KE-2023 II.C.2</v>
      </c>
      <c r="B663" s="4" t="str">
        <v>ToT DPL KKN PERIODE KE-2023</v>
      </c>
      <c r="C663" s="4" t="str">
        <v>II.C.2</v>
      </c>
      <c r="D663" s="101" t="str">
        <v>https://drive.google.com/open?id=1DNmcaNb_9LHk5ypYwBKO4NM6uEQYNNPLWE6uFEI-oIs&amp;usp=drive_copy</v>
      </c>
      <c r="E663" s="101" t="str">
        <v>https://drive.google.com/open?id=1DNmcaNb_9LHk5ypYwBKO4NM6uEQYNNPLWE6uFEI-oIs</v>
      </c>
      <c r="F663" s="102" t="str">
        <f ca="1">IFERROR(__xludf.DUMMYFUNCTION("IMPORTRANGE(H663,""IDENTITAS UNIT!D9"")"),"")</f>
        <v/>
      </c>
      <c r="H663" s="101" t="str">
        <v>https://docs.google.com/spreadsheets/d/1DNmcaNb_9LHk5ypYwBKO4NM6uEQYNNPLWE6uFEI-oIs</v>
      </c>
      <c r="I663" s="101" t="str">
        <v>https://docs.google.com/open?id=1DNmcaNb_9LHk5ypYwBKO4NM6uEQYNNPLWE6uFEI-oIs</v>
      </c>
      <c r="J663" s="4" t="str">
        <v>Masjid Islamic Center</v>
      </c>
      <c r="L663" s="99" t="str">
        <f ca="1">IFERROR(__xludf.DUMMYFUNCTION("IMPORTRANGE(H663,""IDENTITAS UNIT!D35"")"),"")</f>
        <v/>
      </c>
    </row>
    <row r="664" spans="1:12" ht="16.5" hidden="1">
      <c r="A664" s="4" t="str">
        <v>ToT DPL KKN PERIODE KE-2023 II.C.3</v>
      </c>
      <c r="B664" s="4" t="str">
        <v>ToT DPL KKN PERIODE KE-2023</v>
      </c>
      <c r="C664" s="4" t="str">
        <v>II.C.3</v>
      </c>
      <c r="D664" s="101" t="str">
        <v>https://drive.google.com/open?id=1Dk6MbPFSP5TugVSenmzuxwYGZyOxYX3l8PUwjiX__Es&amp;usp=drive_copy</v>
      </c>
      <c r="E664" s="101" t="str">
        <v>https://drive.google.com/open?id=1Dk6MbPFSP5TugVSenmzuxwYGZyOxYX3l8PUwjiX__Es</v>
      </c>
      <c r="F664" s="102" t="str">
        <f ca="1">IFERROR(__xludf.DUMMYFUNCTION("IMPORTRANGE(H664,""IDENTITAS UNIT!D9"")"),"")</f>
        <v/>
      </c>
      <c r="H664" s="101" t="str">
        <v>https://docs.google.com/spreadsheets/d/1Dk6MbPFSP5TugVSenmzuxwYGZyOxYX3l8PUwjiX__Es</v>
      </c>
      <c r="I664" s="101" t="str">
        <v>https://docs.google.com/open?id=1Dk6MbPFSP5TugVSenmzuxwYGZyOxYX3l8PUwjiX__Es</v>
      </c>
      <c r="J664" s="4" t="str">
        <v>Masjid Islamic Center</v>
      </c>
      <c r="L664" s="99" t="str">
        <f ca="1">IFERROR(__xludf.DUMMYFUNCTION("IMPORTRANGE(H664,""IDENTITAS UNIT!D35"")"),"")</f>
        <v/>
      </c>
    </row>
    <row r="665" spans="1:12" ht="16.5" hidden="1">
      <c r="A665" s="4" t="str">
        <v>ToT DPL KKN PERIODE KE-2023 II.D.1</v>
      </c>
      <c r="B665" s="4" t="str">
        <v>ToT DPL KKN PERIODE KE-2023</v>
      </c>
      <c r="C665" s="4" t="str">
        <v>II.D.1</v>
      </c>
      <c r="D665" s="101" t="str">
        <v>https://drive.google.com/open?id=1Fl8SB1u-OrjUIf3rPiFm60DJ3kkdeK849gSKfJPwxH0&amp;usp=drive_copy</v>
      </c>
      <c r="E665" s="101" t="str">
        <v>https://drive.google.com/open?id=1Fl8SB1u-OrjUIf3rPiFm60DJ3kkdeK849gSKfJPwxH0</v>
      </c>
      <c r="F665" s="102" t="str">
        <f ca="1">IFERROR(__xludf.DUMMYFUNCTION("IMPORTRANGE(H665,""IDENTITAS UNIT!D9"")"),"")</f>
        <v/>
      </c>
      <c r="H665" s="101" t="str">
        <v>https://docs.google.com/spreadsheets/d/1Fl8SB1u-OrjUIf3rPiFm60DJ3kkdeK849gSKfJPwxH0</v>
      </c>
      <c r="I665" s="101" t="str">
        <v>https://docs.google.com/open?id=1Fl8SB1u-OrjUIf3rPiFm60DJ3kkdeK849gSKfJPwxH0</v>
      </c>
      <c r="J665" s="4" t="str">
        <v>Masjid Islamic Center</v>
      </c>
      <c r="L665" s="99" t="str">
        <f ca="1">IFERROR(__xludf.DUMMYFUNCTION("IMPORTRANGE(H665,""IDENTITAS UNIT!D35"")"),"")</f>
        <v/>
      </c>
    </row>
    <row r="666" spans="1:12" ht="16.5" hidden="1">
      <c r="A666" s="4" t="str">
        <v>ToT DPL KKN PERIODE KE-2023 II.D.2</v>
      </c>
      <c r="B666" s="4" t="str">
        <v>ToT DPL KKN PERIODE KE-2023</v>
      </c>
      <c r="C666" s="4" t="str">
        <v>II.D.2</v>
      </c>
      <c r="D666" s="101" t="str">
        <v>https://drive.google.com/open?id=1RaH9-IZl5nEqWw3pdo4ZQv6320aAO4wRUIT7d_TA56o&amp;usp=drive_copy</v>
      </c>
      <c r="E666" s="101" t="str">
        <v>https://drive.google.com/open?id=1RaH9-IZl5nEqWw3pdo4ZQv6320aAO4wRUIT7d_TA56o</v>
      </c>
      <c r="F666" s="102" t="str">
        <f ca="1">IFERROR(__xludf.DUMMYFUNCTION("IMPORTRANGE(H666,""IDENTITAS UNIT!D9"")"),"")</f>
        <v/>
      </c>
      <c r="H666" s="101" t="str">
        <v>https://docs.google.com/spreadsheets/d/1RaH9-IZl5nEqWw3pdo4ZQv6320aAO4wRUIT7d_TA56o</v>
      </c>
      <c r="I666" s="101" t="str">
        <v>https://docs.google.com/open?id=1RaH9-IZl5nEqWw3pdo4ZQv6320aAO4wRUIT7d_TA56o</v>
      </c>
      <c r="J666" s="4" t="str">
        <v>Masjid Islamic Center</v>
      </c>
      <c r="L666" s="99" t="str">
        <f ca="1">IFERROR(__xludf.DUMMYFUNCTION("IMPORTRANGE(H666,""IDENTITAS UNIT!D35"")"),"")</f>
        <v/>
      </c>
    </row>
    <row r="667" spans="1:12" ht="16.5" hidden="1">
      <c r="A667" s="4" t="str">
        <v>ToT DPL KKN PERIODE KE-2023 II.D.3</v>
      </c>
      <c r="B667" s="4" t="str">
        <v>ToT DPL KKN PERIODE KE-2023</v>
      </c>
      <c r="C667" s="4" t="str">
        <v>II.D.3</v>
      </c>
      <c r="D667" s="101" t="str">
        <v>https://drive.google.com/open?id=1U1_WC00FR3s7Xqllgrk-nYX6bEswGj3ea0FaYR3S7rI&amp;usp=drive_copy</v>
      </c>
      <c r="E667" s="101" t="str">
        <v>https://drive.google.com/open?id=1U1_WC00FR3s7Xqllgrk-nYX6bEswGj3ea0FaYR3S7rI</v>
      </c>
      <c r="F667" s="102" t="str">
        <f ca="1">IFERROR(__xludf.DUMMYFUNCTION("IMPORTRANGE(H667,""IDENTITAS UNIT!D9"")"),"")</f>
        <v/>
      </c>
      <c r="H667" s="101" t="str">
        <v>https://docs.google.com/spreadsheets/d/1U1_WC00FR3s7Xqllgrk-nYX6bEswGj3ea0FaYR3S7rI</v>
      </c>
      <c r="I667" s="101" t="str">
        <v>https://docs.google.com/open?id=1U1_WC00FR3s7Xqllgrk-nYX6bEswGj3ea0FaYR3S7rI</v>
      </c>
      <c r="J667" s="4" t="str">
        <v>Masjid Islamic Center</v>
      </c>
      <c r="L667" s="99" t="str">
        <f ca="1">IFERROR(__xludf.DUMMYFUNCTION("IMPORTRANGE(H667,""IDENTITAS UNIT!D35"")"),"")</f>
        <v/>
      </c>
    </row>
    <row r="668" spans="1:12" ht="99" hidden="1">
      <c r="A668" s="4" t="str">
        <v>ToT DPL KKN PERIODE KE-2023 III.A.1</v>
      </c>
      <c r="B668" s="4" t="str">
        <v>ToT DPL KKN PERIODE KE-2023</v>
      </c>
      <c r="C668" s="4" t="str">
        <v>III.A.1</v>
      </c>
      <c r="D668" s="101" t="str">
        <v>https://drive.google.com/open?id=1X0c9rOIN3Ezxk5U_OM91vIdv2oTMZeLSywZ0MFV1WDA&amp;usp=drive_copy</v>
      </c>
      <c r="E668" s="101" t="str">
        <v>https://drive.google.com/open?id=1X0c9rOIN3Ezxk5U_OM91vIdv2oTMZeLSywZ0MFV1WDA</v>
      </c>
      <c r="F668" s="103" t="str">
        <f ca="1">IFERROR(__xludf.DUMMYFUNCTION("IMPORTRANGE(H668,""IDENTITAS UNIT!D9"")"),"https://www.google.com/maps/search/kampus+2+uad/@-7.8199114,110.385374,17z/data=!3m1!4b1?entry=ttu")</f>
        <v>https://www.google.com/maps/search/kampus+2+uad/@-7.8199114,110.385374,17z/data=!3m1!4b1?entry=ttu</v>
      </c>
      <c r="H668" s="101" t="str">
        <v>https://docs.google.com/spreadsheets/d/1X0c9rOIN3Ezxk5U_OM91vIdv2oTMZeLSywZ0MFV1WDA</v>
      </c>
      <c r="I668" s="101" t="str">
        <v>https://docs.google.com/open?id=1X0c9rOIN3Ezxk5U_OM91vIdv2oTMZeLSywZ0MFV1WDA</v>
      </c>
      <c r="J668" s="4" t="str">
        <v>Masjid Islamic Center</v>
      </c>
      <c r="L668" s="99" t="str">
        <f ca="1">IFERROR(__xludf.DUMMYFUNCTION("IMPORTRANGE(H668,""IDENTITAS UNIT!D35"")"),"")</f>
        <v/>
      </c>
    </row>
    <row r="669" spans="1:12" ht="16.5" hidden="1">
      <c r="A669" s="4" t="str">
        <v>ToT DPL KKN PERIODE KE-2023 III.A.2</v>
      </c>
      <c r="B669" s="4" t="str">
        <v>ToT DPL KKN PERIODE KE-2023</v>
      </c>
      <c r="C669" s="4" t="str">
        <v>III.A.2</v>
      </c>
      <c r="D669" s="101" t="str">
        <v>https://drive.google.com/open?id=1XmjjaxhccnvGh5nP_NwFuid8AOS8YXBHMmiOrkKZJXA&amp;usp=drive_copy</v>
      </c>
      <c r="E669" s="101" t="str">
        <v>https://drive.google.com/open?id=1XmjjaxhccnvGh5nP_NwFuid8AOS8YXBHMmiOrkKZJXA</v>
      </c>
      <c r="F669" s="102" t="str">
        <f ca="1">IFERROR(__xludf.DUMMYFUNCTION("IMPORTRANGE(H669,""IDENTITAS UNIT!D9"")"),"")</f>
        <v/>
      </c>
      <c r="H669" s="101" t="str">
        <v>https://docs.google.com/spreadsheets/d/1XmjjaxhccnvGh5nP_NwFuid8AOS8YXBHMmiOrkKZJXA</v>
      </c>
      <c r="I669" s="101" t="str">
        <v>https://docs.google.com/open?id=1XmjjaxhccnvGh5nP_NwFuid8AOS8YXBHMmiOrkKZJXA</v>
      </c>
      <c r="J669" s="4" t="str">
        <v>Masjid Islamic Center</v>
      </c>
      <c r="L669" s="99" t="str">
        <f ca="1">IFERROR(__xludf.DUMMYFUNCTION("IMPORTRANGE(H669,""IDENTITAS UNIT!D35"")"),"")</f>
        <v/>
      </c>
    </row>
    <row r="670" spans="1:12" ht="16.5" hidden="1">
      <c r="A670" s="4" t="str">
        <v>ToT DPL KKN PERIODE KE-2023 III.A.3</v>
      </c>
      <c r="B670" s="4" t="str">
        <v>ToT DPL KKN PERIODE KE-2023</v>
      </c>
      <c r="C670" s="4" t="str">
        <v>III.A.3</v>
      </c>
      <c r="D670" s="101" t="str">
        <v>https://drive.google.com/open?id=16D9Wl55OB5imzgP8lk5OmxpV70KoxgBndXqnbh48UTM&amp;usp=drive_copy</v>
      </c>
      <c r="E670" s="101" t="str">
        <v>https://drive.google.com/open?id=16D9Wl55OB5imzgP8lk5OmxpV70KoxgBndXqnbh48UTM</v>
      </c>
      <c r="F670" s="102" t="str">
        <f ca="1">IFERROR(__xludf.DUMMYFUNCTION("IMPORTRANGE(H670,""IDENTITAS UNIT!D9"")"),"")</f>
        <v/>
      </c>
      <c r="H670" s="101" t="str">
        <v>https://docs.google.com/spreadsheets/d/16D9Wl55OB5imzgP8lk5OmxpV70KoxgBndXqnbh48UTM</v>
      </c>
      <c r="I670" s="101" t="str">
        <v>https://docs.google.com/open?id=16D9Wl55OB5imzgP8lk5OmxpV70KoxgBndXqnbh48UTM</v>
      </c>
      <c r="J670" s="4" t="str">
        <v>Masjid Islamic Center</v>
      </c>
      <c r="L670" s="99" t="str">
        <f ca="1">IFERROR(__xludf.DUMMYFUNCTION("IMPORTRANGE(H670,""IDENTITAS UNIT!D35"")"),"")</f>
        <v/>
      </c>
    </row>
    <row r="671" spans="1:12" ht="16.5" hidden="1">
      <c r="A671" s="4" t="str">
        <v>ToT DPL KKN PERIODE KE-2023 III.B.1</v>
      </c>
      <c r="B671" s="4" t="str">
        <v>ToT DPL KKN PERIODE KE-2023</v>
      </c>
      <c r="C671" s="4" t="str">
        <v>III.B.1</v>
      </c>
      <c r="D671" s="101" t="str">
        <v>https://drive.google.com/open?id=1C3gI83EfwjXPAEk1x8HuqsYvPOf-XMjJTPVihXzB3LM&amp;usp=drive_copy</v>
      </c>
      <c r="E671" s="101" t="str">
        <v>https://drive.google.com/open?id=1C3gI83EfwjXPAEk1x8HuqsYvPOf-XMjJTPVihXzB3LM</v>
      </c>
      <c r="F671" s="102" t="str">
        <f ca="1">IFERROR(__xludf.DUMMYFUNCTION("IMPORTRANGE(H671,""IDENTITAS UNIT!D9"")"),"")</f>
        <v/>
      </c>
      <c r="H671" s="101" t="str">
        <v>https://docs.google.com/spreadsheets/d/1C3gI83EfwjXPAEk1x8HuqsYvPOf-XMjJTPVihXzB3LM</v>
      </c>
      <c r="I671" s="101" t="str">
        <v>https://docs.google.com/open?id=1C3gI83EfwjXPAEk1x8HuqsYvPOf-XMjJTPVihXzB3LM</v>
      </c>
      <c r="J671" s="4" t="str">
        <v>Masjid Islamic Center</v>
      </c>
      <c r="L671" s="99" t="str">
        <f ca="1">IFERROR(__xludf.DUMMYFUNCTION("IMPORTRANGE(H671,""IDENTITAS UNIT!D35"")"),"")</f>
        <v/>
      </c>
    </row>
    <row r="672" spans="1:12" ht="16.5" hidden="1">
      <c r="A672" s="4" t="str">
        <v>ToT DPL KKN PERIODE KE-2023 III.B.2</v>
      </c>
      <c r="B672" s="4" t="str">
        <v>ToT DPL KKN PERIODE KE-2023</v>
      </c>
      <c r="C672" s="4" t="str">
        <v>III.B.2</v>
      </c>
      <c r="D672" s="101" t="str">
        <v>https://drive.google.com/open?id=1Dijqr-OktZIwWV0-PK1ir9pszEpEVDmfjf99l_EhFmo&amp;usp=drive_copy</v>
      </c>
      <c r="E672" s="101" t="str">
        <v>https://drive.google.com/open?id=1Dijqr-OktZIwWV0-PK1ir9pszEpEVDmfjf99l_EhFmo</v>
      </c>
      <c r="F672" s="102" t="str">
        <f ca="1">IFERROR(__xludf.DUMMYFUNCTION("IMPORTRANGE(H672,""IDENTITAS UNIT!D9"")"),"")</f>
        <v/>
      </c>
      <c r="H672" s="101" t="str">
        <v>https://docs.google.com/spreadsheets/d/1Dijqr-OktZIwWV0-PK1ir9pszEpEVDmfjf99l_EhFmo</v>
      </c>
      <c r="I672" s="101" t="str">
        <v>https://docs.google.com/open?id=1Dijqr-OktZIwWV0-PK1ir9pszEpEVDmfjf99l_EhFmo</v>
      </c>
      <c r="J672" s="4" t="str">
        <v>Masjid Islamic Center</v>
      </c>
      <c r="L672" s="99" t="str">
        <f ca="1">IFERROR(__xludf.DUMMYFUNCTION("IMPORTRANGE(H672,""IDENTITAS UNIT!D35"")"),"")</f>
        <v/>
      </c>
    </row>
    <row r="673" spans="1:12" ht="16.5" hidden="1">
      <c r="A673" s="4" t="str">
        <v>ToT DPL KKN PERIODE KE-2023 III.B.3</v>
      </c>
      <c r="B673" s="4" t="str">
        <v>ToT DPL KKN PERIODE KE-2023</v>
      </c>
      <c r="C673" s="4" t="str">
        <v>III.B.3</v>
      </c>
      <c r="D673" s="101" t="str">
        <v>https://drive.google.com/open?id=1HWdETOZ0jWL3Cc2-y4iSvi5auBhr3Il96oHeeQjnPlA&amp;usp=drive_copy</v>
      </c>
      <c r="E673" s="101" t="str">
        <v>https://drive.google.com/open?id=1HWdETOZ0jWL3Cc2-y4iSvi5auBhr3Il96oHeeQjnPlA</v>
      </c>
      <c r="F673" s="102" t="str">
        <f ca="1">IFERROR(__xludf.DUMMYFUNCTION("IMPORTRANGE(H673,""IDENTITAS UNIT!D9"")"),"")</f>
        <v/>
      </c>
      <c r="H673" s="101" t="str">
        <v>https://docs.google.com/spreadsheets/d/1HWdETOZ0jWL3Cc2-y4iSvi5auBhr3Il96oHeeQjnPlA</v>
      </c>
      <c r="I673" s="101" t="str">
        <v>https://docs.google.com/open?id=1HWdETOZ0jWL3Cc2-y4iSvi5auBhr3Il96oHeeQjnPlA</v>
      </c>
      <c r="J673" s="4" t="str">
        <v>Masjid Islamic Center</v>
      </c>
      <c r="L673" s="99" t="str">
        <f ca="1">IFERROR(__xludf.DUMMYFUNCTION("IMPORTRANGE(H673,""IDENTITAS UNIT!D35"")"),"")</f>
        <v/>
      </c>
    </row>
    <row r="674" spans="1:12" ht="16.5" hidden="1">
      <c r="A674" s="4" t="str">
        <v>ToT DPL KKN PERIODE KE-2023 III.C.1</v>
      </c>
      <c r="B674" s="4" t="str">
        <v>ToT DPL KKN PERIODE KE-2023</v>
      </c>
      <c r="C674" s="4" t="str">
        <v>III.C.1</v>
      </c>
      <c r="D674" s="101" t="str">
        <v>https://drive.google.com/open?id=1cDi4Jr4B31xD9wwGXqXPwWZ0K07bE62O4aZio_Ee-Vk&amp;usp=drive_copy</v>
      </c>
      <c r="E674" s="101" t="str">
        <v>https://drive.google.com/open?id=1cDi4Jr4B31xD9wwGXqXPwWZ0K07bE62O4aZio_Ee-Vk</v>
      </c>
      <c r="F674" s="102" t="str">
        <f ca="1">IFERROR(__xludf.DUMMYFUNCTION("IMPORTRANGE(H674,""IDENTITAS UNIT!D9"")"),"")</f>
        <v/>
      </c>
      <c r="H674" s="101" t="str">
        <v>https://docs.google.com/spreadsheets/d/1cDi4Jr4B31xD9wwGXqXPwWZ0K07bE62O4aZio_Ee-Vk</v>
      </c>
      <c r="I674" s="101" t="str">
        <v>https://docs.google.com/open?id=1cDi4Jr4B31xD9wwGXqXPwWZ0K07bE62O4aZio_Ee-Vk</v>
      </c>
      <c r="J674" s="4" t="str">
        <v>Masjid Islamic Center</v>
      </c>
      <c r="L674" s="99" t="str">
        <f ca="1">IFERROR(__xludf.DUMMYFUNCTION("IMPORTRANGE(H674,""IDENTITAS UNIT!D35"")"),"")</f>
        <v/>
      </c>
    </row>
    <row r="675" spans="1:12" ht="16.5" hidden="1">
      <c r="A675" s="4" t="str">
        <v>ToT DPL KKN PERIODE KE-2023 III.C.2</v>
      </c>
      <c r="B675" s="4" t="str">
        <v>ToT DPL KKN PERIODE KE-2023</v>
      </c>
      <c r="C675" s="4" t="str">
        <v>III.C.2</v>
      </c>
      <c r="D675" s="101" t="str">
        <v>https://drive.google.com/open?id=1jlBih2S5uvCFmSog67HGX-rXOJDxzrzzphu-TTfjIhU&amp;usp=drive_copy</v>
      </c>
      <c r="E675" s="101" t="str">
        <v>https://drive.google.com/open?id=1jlBih2S5uvCFmSog67HGX-rXOJDxzrzzphu-TTfjIhU</v>
      </c>
      <c r="F675" s="102" t="str">
        <f ca="1">IFERROR(__xludf.DUMMYFUNCTION("IMPORTRANGE(H675,""IDENTITAS UNIT!D9"")"),"")</f>
        <v/>
      </c>
      <c r="H675" s="101" t="str">
        <v>https://docs.google.com/spreadsheets/d/1jlBih2S5uvCFmSog67HGX-rXOJDxzrzzphu-TTfjIhU</v>
      </c>
      <c r="I675" s="101" t="str">
        <v>https://docs.google.com/open?id=1jlBih2S5uvCFmSog67HGX-rXOJDxzrzzphu-TTfjIhU</v>
      </c>
      <c r="J675" s="4" t="str">
        <v>Masjid Islamic Center</v>
      </c>
      <c r="L675" s="99" t="str">
        <f ca="1">IFERROR(__xludf.DUMMYFUNCTION("IMPORTRANGE(H675,""IDENTITAS UNIT!D35"")"),"")</f>
        <v/>
      </c>
    </row>
    <row r="676" spans="1:12" ht="16.5" hidden="1">
      <c r="A676" s="4" t="str">
        <v>ToT DPL KKN PERIODE KE-2023 III.C.3</v>
      </c>
      <c r="B676" s="4" t="str">
        <v>ToT DPL KKN PERIODE KE-2023</v>
      </c>
      <c r="C676" s="4" t="str">
        <v>III.C.3</v>
      </c>
      <c r="D676" s="101" t="str">
        <v>https://drive.google.com/open?id=1CMHEyAbKdUepMmAVaZOCvNVyMvzRnjr-8syUod6Qe9s&amp;usp=drive_copy</v>
      </c>
      <c r="E676" s="101" t="str">
        <v>https://drive.google.com/open?id=1CMHEyAbKdUepMmAVaZOCvNVyMvzRnjr-8syUod6Qe9s</v>
      </c>
      <c r="F676" s="102" t="str">
        <f ca="1">IFERROR(__xludf.DUMMYFUNCTION("IMPORTRANGE(H676,""IDENTITAS UNIT!D9"")"),"")</f>
        <v/>
      </c>
      <c r="H676" s="101" t="str">
        <v>https://docs.google.com/spreadsheets/d/1CMHEyAbKdUepMmAVaZOCvNVyMvzRnjr-8syUod6Qe9s</v>
      </c>
      <c r="I676" s="101" t="str">
        <v>https://docs.google.com/open?id=1CMHEyAbKdUepMmAVaZOCvNVyMvzRnjr-8syUod6Qe9s</v>
      </c>
      <c r="J676" s="4" t="str">
        <v>Masjid Islamic Center</v>
      </c>
      <c r="L676" s="99" t="str">
        <f ca="1">IFERROR(__xludf.DUMMYFUNCTION("IMPORTRANGE(H676,""IDENTITAS UNIT!D35"")"),"")</f>
        <v/>
      </c>
    </row>
    <row r="677" spans="1:12" ht="16.5" hidden="1">
      <c r="A677" s="4" t="str">
        <v>KKN ADI PERIODE KE-1 I.A.1</v>
      </c>
      <c r="B677" s="4" t="str">
        <v>KKN ADI PERIODE KE-1</v>
      </c>
      <c r="C677" s="4" t="str">
        <v>I.A.1</v>
      </c>
      <c r="D677" s="4">
        <v>0</v>
      </c>
      <c r="E677" s="4" t="str">
        <v>0</v>
      </c>
      <c r="F677" s="102" t="str">
        <f ca="1">IFERROR(__xludf.DUMMYFUNCTION("IMPORTRANGE(H677,""IDENTITAS UNIT!D9"")"),"#N/A")</f>
        <v>#N/A</v>
      </c>
      <c r="H677" s="4" t="str">
        <v>0</v>
      </c>
      <c r="I677" s="4" t="str">
        <v>0</v>
      </c>
      <c r="J677" s="4" t="str">
        <v>Hendea, Sampolawa, Buton Selatan</v>
      </c>
      <c r="L677" s="99" t="str">
        <f ca="1">IFERROR(__xludf.DUMMYFUNCTION("IMPORTRANGE(H677,""IDENTITAS UNIT!D35"")"),"#N/A")</f>
        <v>#N/A</v>
      </c>
    </row>
    <row r="678" spans="1:12" ht="16.5" hidden="1">
      <c r="A678" s="4" t="str">
        <v>KKN ADI PERIODE KE-1 I.A.2</v>
      </c>
      <c r="B678" s="4" t="str">
        <v>KKN ADI PERIODE KE-1</v>
      </c>
      <c r="C678" s="4" t="str">
        <v>I.A.2</v>
      </c>
      <c r="D678" s="4">
        <v>0</v>
      </c>
      <c r="E678" s="4" t="str">
        <v>0</v>
      </c>
      <c r="F678" s="102" t="str">
        <f ca="1">IFERROR(__xludf.DUMMYFUNCTION("IMPORTRANGE(H678,""IDENTITAS UNIT!D9"")"),"#N/A")</f>
        <v>#N/A</v>
      </c>
      <c r="H678" s="4" t="str">
        <v>0</v>
      </c>
      <c r="I678" s="4" t="str">
        <v>0</v>
      </c>
      <c r="J678" s="4" t="str">
        <v>Lipu Mangau, Sampolawa, Bangorejo</v>
      </c>
      <c r="L678" s="99" t="str">
        <f ca="1">IFERROR(__xludf.DUMMYFUNCTION("IMPORTRANGE(H678,""IDENTITAS UNIT!D35"")"),"#N/A")</f>
        <v>#N/A</v>
      </c>
    </row>
    <row r="679" spans="1:12" ht="16.5" hidden="1">
      <c r="A679" s="4" t="str">
        <v>KKN ADI PERIODE KE-1 I.A.3</v>
      </c>
      <c r="B679" s="4" t="str">
        <v>KKN ADI PERIODE KE-1</v>
      </c>
      <c r="C679" s="4" t="str">
        <v>I.A.3</v>
      </c>
      <c r="D679" s="4">
        <v>0</v>
      </c>
      <c r="E679" s="4" t="str">
        <v>0</v>
      </c>
      <c r="F679" s="102" t="str">
        <f ca="1">IFERROR(__xludf.DUMMYFUNCTION("IMPORTRANGE(H679,""IDENTITAS UNIT!D9"")"),"#N/A")</f>
        <v>#N/A</v>
      </c>
      <c r="H679" s="4" t="str">
        <v>0</v>
      </c>
      <c r="I679" s="4" t="str">
        <v>0</v>
      </c>
      <c r="J679" s="4" t="str">
        <v>Gunung Sejuk, Sampolawa, Bangorejo</v>
      </c>
      <c r="L679" s="99" t="str">
        <f ca="1">IFERROR(__xludf.DUMMYFUNCTION("IMPORTRANGE(H679,""IDENTITAS UNIT!D35"")"),"#N/A")</f>
        <v>#N/A</v>
      </c>
    </row>
    <row r="680" spans="1:12" ht="49.5" hidden="1">
      <c r="A680" s="4" t="str">
        <v>Reguler Periode ke-117 I.A.1</v>
      </c>
      <c r="B680" s="4" t="str">
        <v>Reguler Periode ke-117</v>
      </c>
      <c r="C680" s="4" t="str">
        <v>I.A.1</v>
      </c>
      <c r="D680" s="101" t="str">
        <v>https://drive.google.com/open?id=1qzO6X1tKDTsOXKHHXgAWY0BThScdUBj-kN8SBlmt1kY&amp;usp=drive_copy</v>
      </c>
      <c r="E680" s="101" t="str">
        <v>https://drive.google.com/open?id=1qzO6X1tKDTsOXKHHXgAWY0BThScdUBj-kN8SBlmt1kY</v>
      </c>
      <c r="F680" s="103" t="str">
        <f ca="1">IFERROR(__xludf.DUMMYFUNCTION("IMPORTRANGE(H680,""IDENTITAS UNIT!D9"")"),"https://maps.app.goo.gl/9xh1FddouRvNmarY7?g_st=iw")</f>
        <v>https://maps.app.goo.gl/9xh1FddouRvNmarY7?g_st=iw</v>
      </c>
      <c r="G680" s="4" t="s">
        <v>13156</v>
      </c>
      <c r="H680" s="101" t="str">
        <v>https://docs.google.com/spreadsheets/d/1qzO6X1tKDTsOXKHHXgAWY0BThScdUBj-kN8SBlmt1kY</v>
      </c>
      <c r="I680" s="101" t="str">
        <v>https://docs.google.com/open?id=1qzO6X1tKDTsOXKHHXgAWY0BThScdUBj-kN8SBlmt1kY</v>
      </c>
      <c r="J680" s="4">
        <v>0</v>
      </c>
      <c r="L680" s="99" t="str">
        <f ca="1">IFERROR(__xludf.DUMMYFUNCTION("IMPORTRANGE(H680,""IDENTITAS UNIT!D35"")"),"")</f>
        <v/>
      </c>
    </row>
    <row r="681" spans="1:12" ht="49.5" hidden="1">
      <c r="A681" s="4" t="str">
        <v>Reguler Periode ke-117 I.B.1</v>
      </c>
      <c r="B681" s="4" t="str">
        <v>Reguler Periode ke-117</v>
      </c>
      <c r="C681" s="4" t="str">
        <v>I.B.1</v>
      </c>
      <c r="D681" s="101" t="str">
        <v>https://drive.google.com/open?id=1HgwxKJP6-XjGZYXnLuy-dAy8hCHXAspBVTq9KUkKxgA&amp;usp=drive_copy</v>
      </c>
      <c r="E681" s="101" t="str">
        <v>https://drive.google.com/open?id=1HgwxKJP6-XjGZYXnLuy-dAy8hCHXAspBVTq9KUkKxgA</v>
      </c>
      <c r="F681" s="103" t="str">
        <f ca="1">IFERROR(__xludf.DUMMYFUNCTION("IMPORTRANGE(H681,""IDENTITAS UNIT!D9"")"),"https://maps.app.goo.gl/2nNEntmvHSr3Gwwg6")</f>
        <v>https://maps.app.goo.gl/2nNEntmvHSr3Gwwg6</v>
      </c>
      <c r="G681" s="4" t="s">
        <v>13157</v>
      </c>
      <c r="H681" s="101" t="str">
        <v>https://docs.google.com/spreadsheets/d/1HgwxKJP6-XjGZYXnLuy-dAy8hCHXAspBVTq9KUkKxgA</v>
      </c>
      <c r="I681" s="101" t="str">
        <v>https://docs.google.com/open?id=1HgwxKJP6-XjGZYXnLuy-dAy8hCHXAspBVTq9KUkKxgA</v>
      </c>
      <c r="J681" s="4">
        <v>0</v>
      </c>
      <c r="L681" s="99" t="str">
        <f ca="1">IFERROR(__xludf.DUMMYFUNCTION("IMPORTRANGE(H681,""IDENTITAS UNIT!D35"")"),"")</f>
        <v/>
      </c>
    </row>
    <row r="682" spans="1:12" ht="49.5" hidden="1">
      <c r="A682" s="4" t="str">
        <v>Reguler Periode ke-117 I.C.1</v>
      </c>
      <c r="B682" s="4" t="str">
        <v>Reguler Periode ke-117</v>
      </c>
      <c r="C682" s="4" t="str">
        <v>I.C.1</v>
      </c>
      <c r="D682" s="101" t="str">
        <v>https://drive.google.com/open?id=1C4qLmFbzdCUDhoZs1AxGfn3RXqtL1vs1dPHz29tN85A&amp;usp=drive_copy</v>
      </c>
      <c r="E682" s="101" t="str">
        <v>https://drive.google.com/open?id=1C4qLmFbzdCUDhoZs1AxGfn3RXqtL1vs1dPHz29tN85A</v>
      </c>
      <c r="F682" s="103" t="str">
        <f ca="1">IFERROR(__xludf.DUMMYFUNCTION("IMPORTRANGE(H682,""IDENTITAS UNIT!D9"")"),"https://maps.app.goo.gl/RwkoeUjYsYZeL2Qj7")</f>
        <v>https://maps.app.goo.gl/RwkoeUjYsYZeL2Qj7</v>
      </c>
      <c r="G682" s="4" t="s">
        <v>13158</v>
      </c>
      <c r="H682" s="101" t="str">
        <v>https://docs.google.com/spreadsheets/d/1C4qLmFbzdCUDhoZs1AxGfn3RXqtL1vs1dPHz29tN85A</v>
      </c>
      <c r="I682" s="101" t="str">
        <v>https://docs.google.com/open?id=1C4qLmFbzdCUDhoZs1AxGfn3RXqtL1vs1dPHz29tN85A</v>
      </c>
      <c r="J682" s="4">
        <v>0</v>
      </c>
      <c r="L682" s="99" t="str">
        <f ca="1">IFERROR(__xludf.DUMMYFUNCTION("IMPORTRANGE(H682,""IDENTITAS UNIT!D35"")"),"")</f>
        <v/>
      </c>
    </row>
    <row r="683" spans="1:12" ht="49.5" hidden="1">
      <c r="A683" s="4" t="str">
        <v>Reguler Periode ke-117 I.D.1</v>
      </c>
      <c r="B683" s="4" t="str">
        <v>Reguler Periode ke-117</v>
      </c>
      <c r="C683" s="4" t="str">
        <v>I.D.1</v>
      </c>
      <c r="D683" s="101" t="str">
        <v>https://drive.google.com/open?id=1mOXbF6yfi6oNvpmZMbJmkg3T_Qp9tOva4cXGq7N9gM0&amp;usp=drive_copy</v>
      </c>
      <c r="E683" s="101" t="str">
        <v>https://drive.google.com/open?id=1mOXbF6yfi6oNvpmZMbJmkg3T_Qp9tOva4cXGq7N9gM0</v>
      </c>
      <c r="F683" s="103" t="str">
        <f ca="1">IFERROR(__xludf.DUMMYFUNCTION("IMPORTRANGE(H683,""IDENTITAS UNIT!D9"")"),"https://maps.app.goo.gl/YXCuCbYSdnuo9yyJ6?g_st=iw")</f>
        <v>https://maps.app.goo.gl/YXCuCbYSdnuo9yyJ6?g_st=iw</v>
      </c>
      <c r="G683" s="4" t="s">
        <v>13159</v>
      </c>
      <c r="H683" s="101" t="str">
        <v>https://docs.google.com/spreadsheets/d/1mOXbF6yfi6oNvpmZMbJmkg3T_Qp9tOva4cXGq7N9gM0</v>
      </c>
      <c r="I683" s="101" t="str">
        <v>https://docs.google.com/open?id=1mOXbF6yfi6oNvpmZMbJmkg3T_Qp9tOva4cXGq7N9gM0</v>
      </c>
      <c r="J683" s="4">
        <v>0</v>
      </c>
      <c r="L683" s="99" t="str">
        <f ca="1">IFERROR(__xludf.DUMMYFUNCTION("IMPORTRANGE(H683,""IDENTITAS UNIT!D35"")"),"")</f>
        <v/>
      </c>
    </row>
    <row r="684" spans="1:12" ht="49.5" hidden="1">
      <c r="A684" s="4" t="str">
        <v>Reguler Periode ke-117 II.A.1</v>
      </c>
      <c r="B684" s="4" t="str">
        <v>Reguler Periode ke-117</v>
      </c>
      <c r="C684" s="4" t="str">
        <v>II.A.1</v>
      </c>
      <c r="D684" s="101" t="str">
        <v>https://drive.google.com/open?id=11kU6FZ9riH3rtFvnufRxnUW1LS2hCu-4EJLKiYufiUU&amp;usp=drive_copy</v>
      </c>
      <c r="E684" s="101" t="str">
        <v>https://drive.google.com/open?id=11kU6FZ9riH3rtFvnufRxnUW1LS2hCu-4EJLKiYufiUU</v>
      </c>
      <c r="F684" s="103" t="str">
        <f ca="1">IFERROR(__xludf.DUMMYFUNCTION("IMPORTRANGE(H684,""IDENTITAS UNIT!D9"")"),"https://maps.app.goo.gl/7rF5QhVa8biJQERDA")</f>
        <v>https://maps.app.goo.gl/7rF5QhVa8biJQERDA</v>
      </c>
      <c r="G684" s="4" t="s">
        <v>13160</v>
      </c>
      <c r="H684" s="101" t="str">
        <v>https://docs.google.com/spreadsheets/d/11kU6FZ9riH3rtFvnufRxnUW1LS2hCu-4EJLKiYufiUU</v>
      </c>
      <c r="I684" s="101" t="str">
        <v>https://docs.google.com/open?id=11kU6FZ9riH3rtFvnufRxnUW1LS2hCu-4EJLKiYufiUU</v>
      </c>
      <c r="J684" s="4">
        <v>0</v>
      </c>
      <c r="L684" s="99" t="str">
        <f ca="1">IFERROR(__xludf.DUMMYFUNCTION("IMPORTRANGE(H684,""IDENTITAS UNIT!D35"")"),"")</f>
        <v/>
      </c>
    </row>
    <row r="685" spans="1:12" ht="49.5" hidden="1">
      <c r="A685" s="4" t="str">
        <v>Alternatif Periode ke-88 I.A.1</v>
      </c>
      <c r="B685" s="4" t="str">
        <v>Alternatif Periode ke-88</v>
      </c>
      <c r="C685" s="4" t="str">
        <v>I.A.1</v>
      </c>
      <c r="D685" s="101" t="str">
        <v>https://drive.google.com/open?id=1hpZT4rLx8oJP9qze-AN69HmDJwSjkfLUfdyUMBWBl3k&amp;usp=drive_copy</v>
      </c>
      <c r="E685" s="101" t="str">
        <v>https://drive.google.com/open?id=1hpZT4rLx8oJP9qze-AN69HmDJwSjkfLUfdyUMBWBl3k</v>
      </c>
      <c r="F685" s="103" t="str">
        <f ca="1">IFERROR(__xludf.DUMMYFUNCTION("IMPORTRANGE(H685,""IDENTITAS UNIT!D9"")"),"https://maps.app.goo.gl/cvwK3QNs5jfE9wj19")</f>
        <v>https://maps.app.goo.gl/cvwK3QNs5jfE9wj19</v>
      </c>
      <c r="G685" s="4" t="s">
        <v>13161</v>
      </c>
      <c r="H685" s="101" t="str">
        <v>https://docs.google.com/spreadsheets/d/1hpZT4rLx8oJP9qze-AN69HmDJwSjkfLUfdyUMBWBl3k</v>
      </c>
      <c r="I685" s="101" t="str">
        <v>https://docs.google.com/open?id=1hpZT4rLx8oJP9qze-AN69HmDJwSjkfLUfdyUMBWBl3k</v>
      </c>
      <c r="J685" s="4" t="str">
        <v>RW 09, Sorosutan, Umbulharjo</v>
      </c>
      <c r="L685" s="99" t="str">
        <f ca="1">IFERROR(__xludf.DUMMYFUNCTION("IMPORTRANGE(H685,""IDENTITAS UNIT!D35"")"),"Elsa Maudy Rohman")</f>
        <v>Elsa Maudy Rohman</v>
      </c>
    </row>
    <row r="686" spans="1:12" ht="49.5" hidden="1">
      <c r="A686" s="4" t="str">
        <v>Alternatif Periode ke-88 I.A.2</v>
      </c>
      <c r="B686" s="4" t="str">
        <v>Alternatif Periode ke-88</v>
      </c>
      <c r="C686" s="4" t="str">
        <v>I.A.2</v>
      </c>
      <c r="D686" s="101" t="str">
        <v>https://drive.google.com/open?id=1ABl5HWNj_EPPJZ1lYqyBuuE9trN08kQPqWf5d3_xJSE&amp;usp=drive_copy</v>
      </c>
      <c r="E686" s="101" t="str">
        <v>https://drive.google.com/open?id=1ABl5HWNj_EPPJZ1lYqyBuuE9trN08kQPqWf5d3_xJSE</v>
      </c>
      <c r="F686" s="103" t="str">
        <f ca="1">IFERROR(__xludf.DUMMYFUNCTION("IMPORTRANGE(H686,""IDENTITAS UNIT!D9"")"),"https://maps.app.goo.gl/koeoHzp5ns8zZ3kH9")</f>
        <v>https://maps.app.goo.gl/koeoHzp5ns8zZ3kH9</v>
      </c>
      <c r="G686" s="4" t="s">
        <v>13162</v>
      </c>
      <c r="H686" s="101" t="str">
        <v>https://docs.google.com/spreadsheets/d/1ABl5HWNj_EPPJZ1lYqyBuuE9trN08kQPqWf5d3_xJSE</v>
      </c>
      <c r="I686" s="101" t="str">
        <v>https://docs.google.com/open?id=1ABl5HWNj_EPPJZ1lYqyBuuE9trN08kQPqWf5d3_xJSE</v>
      </c>
      <c r="J686" s="4" t="str">
        <v>RW 12, Sorosutan, Umbulharjo</v>
      </c>
      <c r="L686" s="99" t="str">
        <f ca="1">IFERROR(__xludf.DUMMYFUNCTION("IMPORTRANGE(H686,""IDENTITAS UNIT!D35"")"),"Muhammad Nurul Ikhsan")</f>
        <v>Muhammad Nurul Ikhsan</v>
      </c>
    </row>
    <row r="687" spans="1:12" ht="49.5" hidden="1">
      <c r="A687" s="4" t="str">
        <v>Alternatif Periode ke-88 I.A.3</v>
      </c>
      <c r="B687" s="4" t="str">
        <v>Alternatif Periode ke-88</v>
      </c>
      <c r="C687" s="4" t="str">
        <v>I.A.3</v>
      </c>
      <c r="D687" s="101" t="str">
        <v>https://drive.google.com/open?id=1SHKyeAS5y0pkTm_BBpkaT4UN7_ASCZxIEVWJ_rfV6Jk&amp;usp=drive_copy</v>
      </c>
      <c r="E687" s="101" t="str">
        <v>https://drive.google.com/open?id=1SHKyeAS5y0pkTm_BBpkaT4UN7_ASCZxIEVWJ_rfV6Jk</v>
      </c>
      <c r="F687" s="103" t="str">
        <f ca="1">IFERROR(__xludf.DUMMYFUNCTION("IMPORTRANGE(H687,""IDENTITAS UNIT!D9"")"),"https://maps.app.goo.gl/cDsVZ5KaQVynaM3s9")</f>
        <v>https://maps.app.goo.gl/cDsVZ5KaQVynaM3s9</v>
      </c>
      <c r="G687" s="4" t="s">
        <v>13163</v>
      </c>
      <c r="H687" s="101" t="str">
        <v>https://docs.google.com/spreadsheets/d/1SHKyeAS5y0pkTm_BBpkaT4UN7_ASCZxIEVWJ_rfV6Jk</v>
      </c>
      <c r="I687" s="101" t="str">
        <v>https://docs.google.com/open?id=1SHKyeAS5y0pkTm_BBpkaT4UN7_ASCZxIEVWJ_rfV6Jk</v>
      </c>
      <c r="J687" s="4" t="str">
        <v>RW 11, Sorosutan, Umbulharjo</v>
      </c>
      <c r="L687" s="99" t="str">
        <f ca="1">IFERROR(__xludf.DUMMYFUNCTION("IMPORTRANGE(H687,""IDENTITAS UNIT!D35"")"),"Haidar Gibran")</f>
        <v>Haidar Gibran</v>
      </c>
    </row>
    <row r="688" spans="1:12" ht="49.5" hidden="1">
      <c r="A688" s="4" t="str">
        <v>Alternatif Periode ke-89 I.A.1</v>
      </c>
      <c r="B688" s="4" t="str">
        <v>Alternatif Periode ke-89</v>
      </c>
      <c r="C688" s="4" t="str">
        <v>I.A.1</v>
      </c>
      <c r="D688" s="101" t="str">
        <v>https://drive.google.com/open?id=1zNTlPO-P72XhQpDpk2tL1wsxpPrfBm_WxVsuKUD-yYU&amp;usp=drive_copy</v>
      </c>
      <c r="E688" s="101" t="str">
        <v>https://drive.google.com/open?id=1zNTlPO-P72XhQpDpk2tL1wsxpPrfBm_WxVsuKUD-yYU</v>
      </c>
      <c r="F688" s="103" t="str">
        <f ca="1">IFERROR(__xludf.DUMMYFUNCTION("IMPORTRANGE(H688,""IDENTITAS UNIT!D9"")"),"https://maps.app.goo.gl/axbyAnDiJHNXTEPP8?g_st=iw")</f>
        <v>https://maps.app.goo.gl/axbyAnDiJHNXTEPP8?g_st=iw</v>
      </c>
      <c r="G688" s="4" t="s">
        <v>13164</v>
      </c>
      <c r="H688" s="101" t="str">
        <v>https://docs.google.com/spreadsheets/d/1zNTlPO-P72XhQpDpk2tL1wsxpPrfBm_WxVsuKUD-yYU</v>
      </c>
      <c r="I688" s="101" t="str">
        <v>https://docs.google.com/open?id=1zNTlPO-P72XhQpDpk2tL1wsxpPrfBm_WxVsuKUD-yYU</v>
      </c>
      <c r="J688" s="4" t="str">
        <v>Masjid Tamtama, RW 7, Brontokusuman, Mergangsan</v>
      </c>
      <c r="L688" s="99" t="str">
        <f ca="1">IFERROR(__xludf.DUMMYFUNCTION("IMPORTRANGE(H688,""IDENTITAS UNIT!D35"")"),"Maharani Tantri Aberta")</f>
        <v>Maharani Tantri Aberta</v>
      </c>
    </row>
    <row r="689" spans="1:12" ht="49.5" hidden="1">
      <c r="A689" s="4" t="str">
        <v>Alternatif Periode ke-89 I.A.2</v>
      </c>
      <c r="B689" s="4" t="str">
        <v>Alternatif Periode ke-89</v>
      </c>
      <c r="C689" s="4" t="str">
        <v>I.A.2</v>
      </c>
      <c r="D689" s="101" t="str">
        <v>https://drive.google.com/open?id=1EE7F9TdJWX39Eaf_HwosXUAAqTVHuiDKG-FG6pfOzP0&amp;usp=drive_copy</v>
      </c>
      <c r="E689" s="101" t="str">
        <v>https://drive.google.com/open?id=1EE7F9TdJWX39Eaf_HwosXUAAqTVHuiDKG-FG6pfOzP0</v>
      </c>
      <c r="F689" s="103" t="str">
        <f ca="1">IFERROR(__xludf.DUMMYFUNCTION("IMPORTRANGE(H689,""IDENTITAS UNIT!D9"")"),"https://maps.app.goo.gl/GYGWTGb9tTZcq3Zs7")</f>
        <v>https://maps.app.goo.gl/GYGWTGb9tTZcq3Zs7</v>
      </c>
      <c r="G689" s="4" t="s">
        <v>13165</v>
      </c>
      <c r="H689" s="101" t="str">
        <v>https://docs.google.com/spreadsheets/d/1EE7F9TdJWX39Eaf_HwosXUAAqTVHuiDKG-FG6pfOzP0</v>
      </c>
      <c r="I689" s="101" t="str">
        <v>https://docs.google.com/open?id=1EE7F9TdJWX39Eaf_HwosXUAAqTVHuiDKG-FG6pfOzP0</v>
      </c>
      <c r="J689" s="4" t="str">
        <v>Masjid Baitul Karim, RW 18, Brontokusuman, Mergangsan</v>
      </c>
      <c r="L689" s="99" t="str">
        <f ca="1">IFERROR(__xludf.DUMMYFUNCTION("IMPORTRANGE(H689,""IDENTITAS UNIT!D35"")"),"Jagad Ari Murti")</f>
        <v>Jagad Ari Murti</v>
      </c>
    </row>
    <row r="690" spans="1:12" ht="33" hidden="1">
      <c r="A690" s="4" t="str">
        <v>Alternatif Periode ke-89 I.A.3</v>
      </c>
      <c r="B690" s="4" t="str">
        <v>Alternatif Periode ke-89</v>
      </c>
      <c r="C690" s="4" t="str">
        <v>I.A.3</v>
      </c>
      <c r="D690" s="101" t="str">
        <v>https://drive.google.com/open?id=1fvNCC2t16Qfk_o9AkKJAv-d_2t-c3Xre99PuELZhPZI&amp;usp=drive_copy</v>
      </c>
      <c r="E690" s="101" t="str">
        <v>https://drive.google.com/open?id=1fvNCC2t16Qfk_o9AkKJAv-d_2t-c3Xre99PuELZhPZI</v>
      </c>
      <c r="F690" s="103" t="str">
        <f ca="1">IFERROR(__xludf.DUMMYFUNCTION("IMPORTRANGE(H690,""IDENTITAS UNIT!D9"")"),"https://g.co/kgs/ZvPvG8")</f>
        <v>https://g.co/kgs/ZvPvG8</v>
      </c>
      <c r="G690" s="4" t="s">
        <v>13166</v>
      </c>
      <c r="H690" s="101" t="str">
        <v>https://docs.google.com/spreadsheets/d/1fvNCC2t16Qfk_o9AkKJAv-d_2t-c3Xre99PuELZhPZI</v>
      </c>
      <c r="I690" s="101" t="str">
        <v>https://docs.google.com/open?id=1fvNCC2t16Qfk_o9AkKJAv-d_2t-c3Xre99PuELZhPZI</v>
      </c>
      <c r="J690" s="4" t="str">
        <v>Masjid Al Ahdhor, RW 23, Brontokusuman, Mergangsan</v>
      </c>
      <c r="L690" s="99" t="str">
        <f ca="1">IFERROR(__xludf.DUMMYFUNCTION("IMPORTRANGE(H690,""IDENTITAS UNIT!D35"")"),"Muhhidayah Yofi Dzulfikar")</f>
        <v>Muhhidayah Yofi Dzulfikar</v>
      </c>
    </row>
    <row r="691" spans="1:12" ht="49.5" hidden="1">
      <c r="A691" s="4" t="str">
        <v>Alternatif Periode ke-89 I.B.1</v>
      </c>
      <c r="B691" s="4" t="str">
        <v>Alternatif Periode ke-89</v>
      </c>
      <c r="C691" s="4" t="str">
        <v>I.B.1</v>
      </c>
      <c r="D691" s="101" t="str">
        <v>https://drive.google.com/open?id=1X8M_NgcJludMMtabQT_1et3zj9a_YUYut9f1tLdbY4A&amp;usp=drive_copy</v>
      </c>
      <c r="E691" s="101" t="str">
        <v>https://drive.google.com/open?id=1X8M_NgcJludMMtabQT_1et3zj9a_YUYut9f1tLdbY4A</v>
      </c>
      <c r="F691" s="103" t="str">
        <f ca="1">IFERROR(__xludf.DUMMYFUNCTION("IMPORTRANGE(H691,""IDENTITAS UNIT!D9"")"),"https://maps.app.goo.gl/aM6mEf6xXmXJDdu6A")</f>
        <v>https://maps.app.goo.gl/aM6mEf6xXmXJDdu6A</v>
      </c>
      <c r="G691" s="4" t="s">
        <v>13167</v>
      </c>
      <c r="H691" s="101" t="str">
        <v>https://docs.google.com/spreadsheets/d/1X8M_NgcJludMMtabQT_1et3zj9a_YUYut9f1tLdbY4A</v>
      </c>
      <c r="I691" s="101" t="str">
        <v>https://docs.google.com/open?id=1X8M_NgcJludMMtabQT_1et3zj9a_YUYut9f1tLdbY4A</v>
      </c>
      <c r="J691" s="4" t="str">
        <v>Masjid Hayyalassolah, RW 22, Brontokusuman, Mergangsan</v>
      </c>
      <c r="L691" s="99" t="str">
        <f ca="1">IFERROR(__xludf.DUMMYFUNCTION("IMPORTRANGE(H691,""IDENTITAS UNIT!D35"")"),"Muhammad Fadhil Hilmi")</f>
        <v>Muhammad Fadhil Hilmi</v>
      </c>
    </row>
    <row r="692" spans="1:12" ht="33" hidden="1">
      <c r="A692" s="4" t="str">
        <v>Alternatif Periode ke-89 I.B.2</v>
      </c>
      <c r="B692" s="4" t="str">
        <v>Alternatif Periode ke-89</v>
      </c>
      <c r="C692" s="4" t="str">
        <v>I.B.2</v>
      </c>
      <c r="D692" s="101" t="str">
        <v>https://drive.google.com/open?id=165Su4-_ydhwK1-zm5fOKBdNpo6Mdcbt448UPuHUT4AI&amp;usp=drive_copy</v>
      </c>
      <c r="E692" s="101" t="str">
        <v>https://drive.google.com/open?id=165Su4-_ydhwK1-zm5fOKBdNpo6Mdcbt448UPuHUT4AI</v>
      </c>
      <c r="F692" s="103" t="str">
        <f ca="1">IFERROR(__xludf.DUMMYFUNCTION("IMPORTRANGE(H692,""IDENTITAS UNIT!D9"")"),"https://g.co/kgs/ZeJJJu")</f>
        <v>https://g.co/kgs/ZeJJJu</v>
      </c>
      <c r="G692" s="4" t="s">
        <v>13168</v>
      </c>
      <c r="H692" s="101" t="str">
        <v>https://docs.google.com/spreadsheets/d/165Su4-_ydhwK1-zm5fOKBdNpo6Mdcbt448UPuHUT4AI</v>
      </c>
      <c r="I692" s="101" t="str">
        <v>https://docs.google.com/open?id=165Su4-_ydhwK1-zm5fOKBdNpo6Mdcbt448UPuHUT4AI</v>
      </c>
      <c r="J692" s="4" t="str">
        <v>Masjid Baiturrohim, RW 4, Brontokusuman, Mergangsan</v>
      </c>
      <c r="L692" s="99" t="str">
        <f ca="1">IFERROR(__xludf.DUMMYFUNCTION("IMPORTRANGE(H692,""IDENTITAS UNIT!D35"")"),"Indah Sulistyo Budi Wijaya")</f>
        <v>Indah Sulistyo Budi Wijaya</v>
      </c>
    </row>
    <row r="693" spans="1:12" ht="49.5" hidden="1">
      <c r="A693" s="4" t="str">
        <v>Alternatif Periode ke-89 I.B.3</v>
      </c>
      <c r="B693" s="4" t="str">
        <v>Alternatif Periode ke-89</v>
      </c>
      <c r="C693" s="4" t="str">
        <v>I.B.3</v>
      </c>
      <c r="D693" s="101" t="str">
        <v>https://drive.google.com/open?id=1gB7ywvBiq1Y6KelcMxF4tOsyvdbg72yF0QBiljxdfW4&amp;usp=drive_copy</v>
      </c>
      <c r="E693" s="101" t="str">
        <v>https://drive.google.com/open?id=1gB7ywvBiq1Y6KelcMxF4tOsyvdbg72yF0QBiljxdfW4</v>
      </c>
      <c r="F693" s="103" t="str">
        <f ca="1">IFERROR(__xludf.DUMMYFUNCTION("IMPORTRANGE(H693,""IDENTITAS UNIT!D9"")"),"https://maps.app.goo.gl/Zo3gh2GzHWoF8PTz5?g_st=ic")</f>
        <v>https://maps.app.goo.gl/Zo3gh2GzHWoF8PTz5?g_st=ic</v>
      </c>
      <c r="G693" s="4" t="s">
        <v>13169</v>
      </c>
      <c r="H693" s="101" t="str">
        <v>https://docs.google.com/spreadsheets/d/1gB7ywvBiq1Y6KelcMxF4tOsyvdbg72yF0QBiljxdfW4</v>
      </c>
      <c r="I693" s="101" t="str">
        <v>https://docs.google.com/open?id=1gB7ywvBiq1Y6KelcMxF4tOsyvdbg72yF0QBiljxdfW4</v>
      </c>
      <c r="J693" s="4" t="str">
        <v>Mushola RW 16, RW 16, Brontokusuman, Mergangsan</v>
      </c>
      <c r="L693" s="99" t="str">
        <f ca="1">IFERROR(__xludf.DUMMYFUNCTION("IMPORTRANGE(H693,""IDENTITAS UNIT!D35"")"),"M. RENALDI NAUFAL ARMANUSHA")</f>
        <v>M. RENALDI NAUFAL ARMANUSHA</v>
      </c>
    </row>
    <row r="694" spans="1:12" ht="16.5" hidden="1">
      <c r="A694" s="4" t="str">
        <v>Alternatif Periode ke-89 I.C.1</v>
      </c>
      <c r="B694" s="4" t="str">
        <v>Alternatif Periode ke-89</v>
      </c>
      <c r="C694" s="4" t="str">
        <v>I.C.1</v>
      </c>
      <c r="D694" s="101" t="str">
        <v>https://drive.google.com/open?id=1cL0YXRJErBHsz2Dcib-JJ3g-rV7waf3sC8Y2kKHtzBk&amp;usp=drive_copy</v>
      </c>
      <c r="E694" s="101" t="str">
        <v>https://drive.google.com/open?id=1cL0YXRJErBHsz2Dcib-JJ3g-rV7waf3sC8Y2kKHtzBk</v>
      </c>
      <c r="F694" s="102" t="str">
        <f ca="1">IFERROR(__xludf.DUMMYFUNCTION("IMPORTRANGE(H694,""IDENTITAS UNIT!D9"")"),"Masjid Timuran")</f>
        <v>Masjid Timuran</v>
      </c>
      <c r="G694" s="4" t="s">
        <v>13170</v>
      </c>
      <c r="H694" s="101" t="str">
        <v>https://docs.google.com/spreadsheets/d/1cL0YXRJErBHsz2Dcib-JJ3g-rV7waf3sC8Y2kKHtzBk</v>
      </c>
      <c r="I694" s="101" t="str">
        <v>https://docs.google.com/open?id=1cL0YXRJErBHsz2Dcib-JJ3g-rV7waf3sC8Y2kKHtzBk</v>
      </c>
      <c r="J694" s="4" t="str">
        <v>Masjid Timuran, RW 1, Brontokusuman, Mergangsan</v>
      </c>
      <c r="L694" s="99" t="str">
        <f ca="1">IFERROR(__xludf.DUMMYFUNCTION("IMPORTRANGE(H694,""IDENTITAS UNIT!D35"")"),"Hibban Ahsanal Fatta")</f>
        <v>Hibban Ahsanal Fatta</v>
      </c>
    </row>
    <row r="695" spans="1:12" ht="49.5" hidden="1">
      <c r="A695" s="4" t="str">
        <v>Alternatif Periode ke-89 I.C.2</v>
      </c>
      <c r="B695" s="4" t="str">
        <v>Alternatif Periode ke-89</v>
      </c>
      <c r="C695" s="4" t="str">
        <v>I.C.2</v>
      </c>
      <c r="D695" s="101" t="str">
        <v>https://drive.google.com/open?id=1djoBP-C5Fs3sKkR7aWKGCf9uZIcsDwipHMLKjW05Svc&amp;usp=drive_copy</v>
      </c>
      <c r="E695" s="101" t="str">
        <v>https://drive.google.com/open?id=1djoBP-C5Fs3sKkR7aWKGCf9uZIcsDwipHMLKjW05Svc</v>
      </c>
      <c r="F695" s="103" t="str">
        <f ca="1">IFERROR(__xludf.DUMMYFUNCTION("IMPORTRANGE(H695,""IDENTITAS UNIT!D9"")"),"https://maps.app.goo.gl/EMrUWUYT553UPRa19")</f>
        <v>https://maps.app.goo.gl/EMrUWUYT553UPRa19</v>
      </c>
      <c r="G695" s="4" t="s">
        <v>13171</v>
      </c>
      <c r="H695" s="101" t="str">
        <v>https://docs.google.com/spreadsheets/d/1djoBP-C5Fs3sKkR7aWKGCf9uZIcsDwipHMLKjW05Svc</v>
      </c>
      <c r="I695" s="101" t="str">
        <v>https://docs.google.com/open?id=1djoBP-C5Fs3sKkR7aWKGCf9uZIcsDwipHMLKjW05Svc</v>
      </c>
      <c r="J695" s="4" t="str">
        <v>Masjid Prawirotaman, RW 8, Brontokusuman, Mergangsan</v>
      </c>
      <c r="L695" s="99" t="str">
        <f ca="1">IFERROR(__xludf.DUMMYFUNCTION("IMPORTRANGE(H695,""IDENTITAS UNIT!D35"")"),"Ramdhani Zafitra Lasabuda")</f>
        <v>Ramdhani Zafitra Lasabuda</v>
      </c>
    </row>
    <row r="696" spans="1:12" ht="49.5" hidden="1">
      <c r="A696" s="4" t="str">
        <v>Alternatif Periode ke-89 I.C.3</v>
      </c>
      <c r="B696" s="4" t="str">
        <v>Alternatif Periode ke-89</v>
      </c>
      <c r="C696" s="4" t="str">
        <v>I.C.3</v>
      </c>
      <c r="D696" s="101" t="str">
        <v>https://drive.google.com/open?id=1eXZVA_ImAE2XJu026QaWPTili5KXyoVrxabbT7-sc2I&amp;usp=drive_copy</v>
      </c>
      <c r="E696" s="101" t="str">
        <v>https://drive.google.com/open?id=1eXZVA_ImAE2XJu026QaWPTili5KXyoVrxabbT7-sc2I</v>
      </c>
      <c r="F696" s="103" t="str">
        <f ca="1">IFERROR(__xludf.DUMMYFUNCTION("IMPORTRANGE(H696,""IDENTITAS UNIT!D9"")"),"https://maps.app.goo.gl/PxrnntnKfaHwC5XE8")</f>
        <v>https://maps.app.goo.gl/PxrnntnKfaHwC5XE8</v>
      </c>
      <c r="G696" s="4" t="s">
        <v>13172</v>
      </c>
      <c r="H696" s="101" t="str">
        <v>https://docs.google.com/spreadsheets/d/1eXZVA_ImAE2XJu026QaWPTili5KXyoVrxabbT7-sc2I</v>
      </c>
      <c r="I696" s="101" t="str">
        <v>https://docs.google.com/open?id=1eXZVA_ImAE2XJu026QaWPTili5KXyoVrxabbT7-sc2I</v>
      </c>
      <c r="J696" s="4" t="str">
        <v>Masjid Al Irsyad, RW 17, Brontokusuman, Mergangsan</v>
      </c>
      <c r="L696" s="99" t="str">
        <f ca="1">IFERROR(__xludf.DUMMYFUNCTION("IMPORTRANGE(H696,""IDENTITAS UNIT!D35"")"),"Rifaldi Fajri Isnan")</f>
        <v>Rifaldi Fajri Isnan</v>
      </c>
    </row>
    <row r="697" spans="1:12" ht="66" hidden="1">
      <c r="A697" s="4" t="str">
        <v>Alternatif Periode ke-89 I.D.1</v>
      </c>
      <c r="B697" s="4" t="str">
        <v>Alternatif Periode ke-89</v>
      </c>
      <c r="C697" s="4" t="str">
        <v>I.D.1</v>
      </c>
      <c r="D697" s="101" t="str">
        <v>https://drive.google.com/open?id=1hUu6hrodSNaoGtd6xwJ40UL3XVRZbrXOpkphpiJrEPw&amp;usp=drive_copy</v>
      </c>
      <c r="E697" s="101" t="str">
        <v>https://drive.google.com/open?id=1hUu6hrodSNaoGtd6xwJ40UL3XVRZbrXOpkphpiJrEPw</v>
      </c>
      <c r="F697" s="102" t="str">
        <f ca="1">IFERROR(__xludf.DUMMYFUNCTION("IMPORTRANGE(H697,""IDENTITAS UNIT!D9"")"),"Masjid Al-Ihsan Karangkunti (ꦩꦱ꧀ꦗꦶꦣ꧀ꦄꦭ꧀ꦆꦃꦱꦤ꧀ꦏꦫꦁꦏꦸꦤ꧀ꦠꦶ)")</f>
        <v>Masjid Al-Ihsan Karangkunti (ꦩꦱ꧀ꦗꦶꦣ꧀ꦄꦭ꧀ꦆꦃꦱꦤ꧀ꦏꦫꦁꦏꦸꦤ꧀ꦠꦶ)</v>
      </c>
      <c r="G697" s="4" t="s">
        <v>13173</v>
      </c>
      <c r="H697" s="101" t="str">
        <v>https://docs.google.com/spreadsheets/d/1hUu6hrodSNaoGtd6xwJ40UL3XVRZbrXOpkphpiJrEPw</v>
      </c>
      <c r="I697" s="101" t="str">
        <v>https://docs.google.com/open?id=1hUu6hrodSNaoGtd6xwJ40UL3XVRZbrXOpkphpiJrEPw</v>
      </c>
      <c r="J697" s="4" t="str">
        <v>Masjid AI lhsan, RW 12, Brontokusuman, Mergangsan</v>
      </c>
      <c r="L697" s="99" t="str">
        <f ca="1">IFERROR(__xludf.DUMMYFUNCTION("IMPORTRANGE(H697,""IDENTITAS UNIT!D35"")"),"Lintang Anggita Prasetyawati")</f>
        <v>Lintang Anggita Prasetyawati</v>
      </c>
    </row>
    <row r="698" spans="1:12" ht="49.5" hidden="1">
      <c r="A698" s="4" t="str">
        <v>Alternatif Periode ke-89 I.D.2</v>
      </c>
      <c r="B698" s="4" t="str">
        <v>Alternatif Periode ke-89</v>
      </c>
      <c r="C698" s="4" t="str">
        <v>I.D.2</v>
      </c>
      <c r="D698" s="101" t="str">
        <v>https://drive.google.com/open?id=1hj9Co6STaAQxdUSeZPqhGx7CfFMhdiHnGboJ9Knc1Fg&amp;usp=drive_copy</v>
      </c>
      <c r="E698" s="101" t="str">
        <v>https://drive.google.com/open?id=1hj9Co6STaAQxdUSeZPqhGx7CfFMhdiHnGboJ9Knc1Fg</v>
      </c>
      <c r="F698" s="103" t="str">
        <f ca="1">IFERROR(__xludf.DUMMYFUNCTION("IMPORTRANGE(H698,""IDENTITAS UNIT!D9"")"),"https://maps.app.goo.gl/Q5sJzjw7VBYfwSmk8")</f>
        <v>https://maps.app.goo.gl/Q5sJzjw7VBYfwSmk8</v>
      </c>
      <c r="G698" s="4" t="s">
        <v>13174</v>
      </c>
      <c r="H698" s="101" t="str">
        <v>https://docs.google.com/spreadsheets/d/1hj9Co6STaAQxdUSeZPqhGx7CfFMhdiHnGboJ9Knc1Fg</v>
      </c>
      <c r="I698" s="101" t="str">
        <v>https://docs.google.com/open?id=1hj9Co6STaAQxdUSeZPqhGx7CfFMhdiHnGboJ9Knc1Fg</v>
      </c>
      <c r="J698" s="4" t="str">
        <v>Masjid Syakirin, RW 14, Brontokusuman, Mergangsan</v>
      </c>
      <c r="L698" s="99" t="str">
        <f ca="1">IFERROR(__xludf.DUMMYFUNCTION("IMPORTRANGE(H698,""IDENTITAS UNIT!D35"")"),"Hilda Azkiyatul Ma'rifah")</f>
        <v>Hilda Azkiyatul Ma'rifah</v>
      </c>
    </row>
    <row r="699" spans="1:12" ht="16.5" hidden="1">
      <c r="A699" s="4" t="str">
        <v>Alternatif Periode ke-89 I.D.3</v>
      </c>
      <c r="B699" s="4" t="str">
        <v>Alternatif Periode ke-89</v>
      </c>
      <c r="C699" s="4" t="str">
        <v>I.D.3</v>
      </c>
      <c r="D699" s="101" t="str">
        <v>https://drive.google.com/open?id=1j-raWHTDg7bIkhIrOWNc1kkM9Fs7t5o3DO5-62nSJVM&amp;usp=drive_copy</v>
      </c>
      <c r="E699" s="101" t="str">
        <v>https://drive.google.com/open?id=1j-raWHTDg7bIkhIrOWNc1kkM9Fs7t5o3DO5-62nSJVM</v>
      </c>
      <c r="F699" s="102" t="str">
        <f ca="1">IFERROR(__xludf.DUMMYFUNCTION("IMPORTRANGE(H699,""IDENTITAS UNIT!D9"")")," ")</f>
        <v xml:space="preserve"> </v>
      </c>
      <c r="H699" s="101" t="str">
        <v>https://docs.google.com/spreadsheets/d/1j-raWHTDg7bIkhIrOWNc1kkM9Fs7t5o3DO5-62nSJVM</v>
      </c>
      <c r="I699" s="101" t="str">
        <v>https://docs.google.com/open?id=1j-raWHTDg7bIkhIrOWNc1kkM9Fs7t5o3DO5-62nSJVM</v>
      </c>
      <c r="J699" s="4" t="str">
        <v>Masjid Ar Rohmah, RW 9, Wirogunan, Mergangsan</v>
      </c>
      <c r="L699" s="99" t="str">
        <f ca="1">IFERROR(__xludf.DUMMYFUNCTION("IMPORTRANGE(H699,""IDENTITAS UNIT!D35"")"),"Mima Nuraeni")</f>
        <v>Mima Nuraeni</v>
      </c>
    </row>
    <row r="700" spans="1:12" ht="49.5" hidden="1">
      <c r="A700" s="4" t="str">
        <v>Alternatif Periode ke-89 II.A.1</v>
      </c>
      <c r="B700" s="4" t="str">
        <v>Alternatif Periode ke-89</v>
      </c>
      <c r="C700" s="4" t="str">
        <v>II.A.1</v>
      </c>
      <c r="D700" s="101" t="str">
        <v>https://drive.google.com/open?id=1jbXLlkwoxgCySTy6o6zAcNPhyxQ0nEUCmjA-dKjU2ec&amp;usp=drive_copy</v>
      </c>
      <c r="E700" s="101" t="str">
        <v>https://drive.google.com/open?id=1jbXLlkwoxgCySTy6o6zAcNPhyxQ0nEUCmjA-dKjU2ec</v>
      </c>
      <c r="F700" s="103" t="str">
        <f ca="1">IFERROR(__xludf.DUMMYFUNCTION("IMPORTRANGE(H700,""IDENTITAS UNIT!D9"")"),"https://goo.gl/maps/YXKV7EFRwzdzt6nV8")</f>
        <v>https://goo.gl/maps/YXKV7EFRwzdzt6nV8</v>
      </c>
      <c r="G700" s="4" t="s">
        <v>13175</v>
      </c>
      <c r="H700" s="101" t="str">
        <v>https://docs.google.com/spreadsheets/d/1jbXLlkwoxgCySTy6o6zAcNPhyxQ0nEUCmjA-dKjU2ec</v>
      </c>
      <c r="I700" s="101" t="str">
        <v>https://docs.google.com/open?id=1jbXLlkwoxgCySTy6o6zAcNPhyxQ0nEUCmjA-dKjU2ec</v>
      </c>
      <c r="J700" s="4" t="str">
        <v>Gedung Wakaf Asana Guna, RW 10, Brontokusuman, Mergangsan</v>
      </c>
      <c r="L700" s="99" t="str">
        <f ca="1">IFERROR(__xludf.DUMMYFUNCTION("IMPORTRANGE(H700,""IDENTITAS UNIT!D35"")"),"Tito Arifien Moesa")</f>
        <v>Tito Arifien Moesa</v>
      </c>
    </row>
    <row r="701" spans="1:12" ht="49.5" hidden="1">
      <c r="A701" s="4" t="str">
        <v>Alternatif Periode ke-89 II.A.2</v>
      </c>
      <c r="B701" s="4" t="str">
        <v>Alternatif Periode ke-89</v>
      </c>
      <c r="C701" s="4" t="str">
        <v>II.A.2</v>
      </c>
      <c r="D701" s="101" t="str">
        <v>https://drive.google.com/open?id=1k2CuP_y7KfJ3gCJ3lyOf7jIz04RA8pwtH9NE5aGpq24&amp;usp=drive_copy</v>
      </c>
      <c r="E701" s="101" t="str">
        <v>https://drive.google.com/open?id=1k2CuP_y7KfJ3gCJ3lyOf7jIz04RA8pwtH9NE5aGpq24</v>
      </c>
      <c r="F701" s="103" t="str">
        <f ca="1">IFERROR(__xludf.DUMMYFUNCTION("IMPORTRANGE(H701,""IDENTITAS UNIT!D9"")"),"https://maps.app.goo.gl/d8WkrycUzhuKU7Ry8")</f>
        <v>https://maps.app.goo.gl/d8WkrycUzhuKU7Ry8</v>
      </c>
      <c r="G701" s="4" t="s">
        <v>13176</v>
      </c>
      <c r="H701" s="101" t="str">
        <v>https://docs.google.com/spreadsheets/d/1k2CuP_y7KfJ3gCJ3lyOf7jIz04RA8pwtH9NE5aGpq24</v>
      </c>
      <c r="I701" s="101" t="str">
        <v>https://docs.google.com/open?id=1k2CuP_y7KfJ3gCJ3lyOf7jIz04RA8pwtH9NE5aGpq24</v>
      </c>
      <c r="J701" s="4" t="str">
        <v>Masjid At Tauhid, RW 1, Wirogunan, Mergangsan</v>
      </c>
      <c r="L701" s="99" t="str">
        <f ca="1">IFERROR(__xludf.DUMMYFUNCTION("IMPORTRANGE(H701,""IDENTITAS UNIT!D35"")"),"Evie Nur Sofhiya")</f>
        <v>Evie Nur Sofhiya</v>
      </c>
    </row>
    <row r="702" spans="1:12" ht="16.5" hidden="1">
      <c r="A702" s="4" t="str">
        <v>Alternatif Periode ke-89 II.A.3</v>
      </c>
      <c r="B702" s="4" t="str">
        <v>Alternatif Periode ke-89</v>
      </c>
      <c r="C702" s="4" t="str">
        <v>II.A.3</v>
      </c>
      <c r="D702" s="101" t="str">
        <v>https://drive.google.com/open?id=1kEC64J6e8Q_50XIjvhn6Wp-Fcg0WzH9a4oBMGplL_Cc&amp;usp=drive_copy</v>
      </c>
      <c r="E702" s="101" t="str">
        <v>https://drive.google.com/open?id=1kEC64J6e8Q_50XIjvhn6Wp-Fcg0WzH9a4oBMGplL_Cc</v>
      </c>
      <c r="F702" s="103" t="str">
        <f ca="1">IFERROR(__xludf.DUMMYFUNCTION("IMPORTRANGE(H702,""IDENTITAS UNIT!D9"")"),"Masjid Ar Ridho")</f>
        <v>Masjid Ar Ridho</v>
      </c>
      <c r="G702" s="4" t="s">
        <v>13177</v>
      </c>
      <c r="H702" s="101" t="str">
        <v>https://docs.google.com/spreadsheets/d/1kEC64J6e8Q_50XIjvhn6Wp-Fcg0WzH9a4oBMGplL_Cc</v>
      </c>
      <c r="I702" s="101" t="str">
        <v>https://docs.google.com/open?id=1kEC64J6e8Q_50XIjvhn6Wp-Fcg0WzH9a4oBMGplL_Cc</v>
      </c>
      <c r="J702" s="4" t="str">
        <v>Masjid Ar Rido, RW 3, Wirogunan, Mergangsan</v>
      </c>
      <c r="L702" s="99" t="str">
        <f ca="1">IFERROR(__xludf.DUMMYFUNCTION("IMPORTRANGE(H702,""IDENTITAS UNIT!D35"")"),"Anggoro Budi Prakosa")</f>
        <v>Anggoro Budi Prakosa</v>
      </c>
    </row>
    <row r="703" spans="1:12" ht="49.5" hidden="1">
      <c r="A703" s="4" t="str">
        <v>Alternatif Periode ke-89 II.B.1</v>
      </c>
      <c r="B703" s="4" t="str">
        <v>Alternatif Periode ke-89</v>
      </c>
      <c r="C703" s="4" t="str">
        <v>II.B.1</v>
      </c>
      <c r="D703" s="101" t="str">
        <v>https://drive.google.com/open?id=1kKOZ9UmMhjp7cM7JAMzefBqKghcwcKcqZJ_Nr5kvgkA&amp;usp=drive_copy</v>
      </c>
      <c r="E703" s="101" t="str">
        <v>https://drive.google.com/open?id=1kKOZ9UmMhjp7cM7JAMzefBqKghcwcKcqZJ_Nr5kvgkA</v>
      </c>
      <c r="F703" s="103" t="str">
        <f ca="1">IFERROR(__xludf.DUMMYFUNCTION("IMPORTRANGE(H703,""IDENTITAS UNIT!D9"")"),"https://maps.app.goo.gl/f8Z9K7fExaqgnvxV7")</f>
        <v>https://maps.app.goo.gl/f8Z9K7fExaqgnvxV7</v>
      </c>
      <c r="G703" s="4" t="s">
        <v>13178</v>
      </c>
      <c r="H703" s="101" t="str">
        <v>https://docs.google.com/spreadsheets/d/1kKOZ9UmMhjp7cM7JAMzefBqKghcwcKcqZJ_Nr5kvgkA</v>
      </c>
      <c r="I703" s="101" t="str">
        <v>https://docs.google.com/open?id=1kKOZ9UmMhjp7cM7JAMzefBqKghcwcKcqZJ_Nr5kvgkA</v>
      </c>
      <c r="J703" s="4" t="str">
        <v>Masjid Nurul Huda, RW 5, Wirogunan, Mergangsan</v>
      </c>
      <c r="L703" s="99" t="str">
        <f ca="1">IFERROR(__xludf.DUMMYFUNCTION("IMPORTRANGE(H703,""IDENTITAS UNIT!D35"")"),"Rizki Gusnando")</f>
        <v>Rizki Gusnando</v>
      </c>
    </row>
    <row r="704" spans="1:12" ht="49.5" hidden="1">
      <c r="A704" s="4" t="str">
        <v>Alternatif Periode ke-89 II.B.2</v>
      </c>
      <c r="B704" s="4" t="str">
        <v>Alternatif Periode ke-89</v>
      </c>
      <c r="C704" s="4" t="str">
        <v>II.B.2</v>
      </c>
      <c r="D704" s="101" t="str">
        <v>https://drive.google.com/open?id=1m45ah0LsT8DJwjY50L4zAQd2YwlIupO-Uy8WiZ-g_ic&amp;usp=drive_copy</v>
      </c>
      <c r="E704" s="101" t="str">
        <v>https://drive.google.com/open?id=1m45ah0LsT8DJwjY50L4zAQd2YwlIupO-Uy8WiZ-g_ic</v>
      </c>
      <c r="F704" s="103" t="str">
        <f ca="1">IFERROR(__xludf.DUMMYFUNCTION("IMPORTRANGE(H704,""IDENTITAS UNIT!D9"")"),"https://maps.app.goo.gl/cthAnwZPDAaZgv5K6?g_st=iw")</f>
        <v>https://maps.app.goo.gl/cthAnwZPDAaZgv5K6?g_st=iw</v>
      </c>
      <c r="G704" s="4" t="s">
        <v>13179</v>
      </c>
      <c r="H704" s="101" t="str">
        <v>https://docs.google.com/spreadsheets/d/1m45ah0LsT8DJwjY50L4zAQd2YwlIupO-Uy8WiZ-g_ic</v>
      </c>
      <c r="I704" s="101" t="str">
        <v>https://docs.google.com/open?id=1m45ah0LsT8DJwjY50L4zAQd2YwlIupO-Uy8WiZ-g_ic</v>
      </c>
      <c r="J704" s="4" t="str">
        <v>Masjid Al Mizan, RW 7, Wirogunan, Mergangsan</v>
      </c>
      <c r="L704" s="99" t="str">
        <f ca="1">IFERROR(__xludf.DUMMYFUNCTION("IMPORTRANGE(H704,""IDENTITAS UNIT!D35"")"),"Muhammad Arief Nurachman")</f>
        <v>Muhammad Arief Nurachman</v>
      </c>
    </row>
    <row r="705" spans="1:12" ht="49.5" hidden="1">
      <c r="A705" s="4" t="str">
        <v>Alternatif Periode ke-89 II.B.3</v>
      </c>
      <c r="B705" s="4" t="str">
        <v>Alternatif Periode ke-89</v>
      </c>
      <c r="C705" s="4" t="str">
        <v>II.B.3</v>
      </c>
      <c r="D705" s="101" t="str">
        <v>https://drive.google.com/open?id=1nIgLQUqkTZWxzZ7wba4p4rdet2tZLGLBiBV7eCpag2s&amp;usp=drive_copy</v>
      </c>
      <c r="E705" s="101" t="str">
        <v>https://drive.google.com/open?id=1nIgLQUqkTZWxzZ7wba4p4rdet2tZLGLBiBV7eCpag2s</v>
      </c>
      <c r="F705" s="103" t="str">
        <f ca="1">IFERROR(__xludf.DUMMYFUNCTION("IMPORTRANGE(H705,""IDENTITAS UNIT!D9"")"),"https://goo.gl/maps/6wG5FdBTBQ8n4DN46")</f>
        <v>https://goo.gl/maps/6wG5FdBTBQ8n4DN46</v>
      </c>
      <c r="G705" s="53" t="s">
        <v>13180</v>
      </c>
      <c r="H705" s="101" t="str">
        <v>https://docs.google.com/spreadsheets/d/1nIgLQUqkTZWxzZ7wba4p4rdet2tZLGLBiBV7eCpag2s</v>
      </c>
      <c r="I705" s="101" t="str">
        <v>https://docs.google.com/open?id=1nIgLQUqkTZWxzZ7wba4p4rdet2tZLGLBiBV7eCpag2s</v>
      </c>
      <c r="J705" s="4" t="str">
        <v>Masjid Baitul Na'im, RW 8, Wirogunan, Mergangsan</v>
      </c>
      <c r="L705" s="99" t="str">
        <f ca="1">IFERROR(__xludf.DUMMYFUNCTION("IMPORTRANGE(H705,""IDENTITAS UNIT!D35"")"),"Daffa Kusuma Zain")</f>
        <v>Daffa Kusuma Zain</v>
      </c>
    </row>
    <row r="706" spans="1:12" ht="49.5" hidden="1">
      <c r="A706" s="4" t="str">
        <v>Alternatif Periode ke-89 II.C.1</v>
      </c>
      <c r="B706" s="4" t="str">
        <v>Alternatif Periode ke-89</v>
      </c>
      <c r="C706" s="4" t="str">
        <v>II.C.1</v>
      </c>
      <c r="D706" s="101" t="str">
        <v>https://drive.google.com/open?id=1qLY0KcjOX7FusoNyiFZK5bq0p_3x_Id1dbASVWLawMY&amp;usp=drive_copy</v>
      </c>
      <c r="E706" s="101" t="str">
        <v>https://drive.google.com/open?id=1qLY0KcjOX7FusoNyiFZK5bq0p_3x_Id1dbASVWLawMY</v>
      </c>
      <c r="F706" s="103" t="str">
        <f ca="1">IFERROR(__xludf.DUMMYFUNCTION("IMPORTRANGE(H706,""IDENTITAS UNIT!D9"")"),"https://maps.app.goo.gl/gwJswANHN61Fum747")</f>
        <v>https://maps.app.goo.gl/gwJswANHN61Fum747</v>
      </c>
      <c r="G706" s="4" t="s">
        <v>13181</v>
      </c>
      <c r="H706" s="101" t="str">
        <v>https://docs.google.com/spreadsheets/d/1qLY0KcjOX7FusoNyiFZK5bq0p_3x_Id1dbASVWLawMY</v>
      </c>
      <c r="I706" s="101" t="str">
        <v>https://docs.google.com/open?id=1qLY0KcjOX7FusoNyiFZK5bq0p_3x_Id1dbASVWLawMY</v>
      </c>
      <c r="J706" s="4" t="str">
        <v>Mushola Al Ma'ruf, RW 12, Wirogunan, Mergangsan</v>
      </c>
      <c r="L706" s="99" t="str">
        <f ca="1">IFERROR(__xludf.DUMMYFUNCTION("IMPORTRANGE(H706,""IDENTITAS UNIT!D35"")"),"PRAVIRA TRISNA GITA BESTARI")</f>
        <v>PRAVIRA TRISNA GITA BESTARI</v>
      </c>
    </row>
    <row r="707" spans="1:12" ht="247.5" hidden="1">
      <c r="A707" s="4" t="str">
        <v>Alternatif Periode ke-89 II.C.2</v>
      </c>
      <c r="B707" s="4" t="str">
        <v>Alternatif Periode ke-89</v>
      </c>
      <c r="C707" s="4" t="str">
        <v>II.C.2</v>
      </c>
      <c r="D707" s="101" t="str">
        <v>https://drive.google.com/open?id=1qSbpqhBnbT3tMzgcYUDNtl4jYShJmIvqrgwXWSJAw4I&amp;usp=drive_copy</v>
      </c>
      <c r="E707" s="101" t="str">
        <v>https://drive.google.com/open?id=1qSbpqhBnbT3tMzgcYUDNtl4jYShJmIvqrgwXWSJAw4I</v>
      </c>
      <c r="F707" s="103" t="str">
        <f ca="1">IFERROR(__xludf.DUMMYFUNCTION("IMPORTRANGE(H707,""IDENTITAS UNIT!D9"")"),"https://www.google.com/maps/dir//Masjid+Hidayah+Al+Ma'ruf,+RW+13,+Wirogunan,+Mergangsan/data=!4m6!4m5!1m1!4e2!1m2!1m1!1s0x2e7a579d7ded5e37:0xe81db7667bfd2ceb?sa=X&amp;ved=2ahUKEwiN--vcn-uBAxX3TmwGHXv-CXkQ9Rd6BAgeEAA&amp;ved=2ahUKEwiN--vcn-uBAxX3TmwGHXv-CXkQ9Rd6BA"&amp;"gqEAM")</f>
        <v>https://www.google.com/maps/dir//Masjid+Hidayah+Al+Ma'ruf,+RW+13,+Wirogunan,+Mergangsan/data=!4m6!4m5!1m1!4e2!1m2!1m1!1s0x2e7a579d7ded5e37:0xe81db7667bfd2ceb?sa=X&amp;ved=2ahUKEwiN--vcn-uBAxX3TmwGHXv-CXkQ9Rd6BAgeEAA&amp;ved=2ahUKEwiN--vcn-uBAxX3TmwGHXv-CXkQ9Rd6BAgqEAM</v>
      </c>
      <c r="G707" s="4" t="s">
        <v>13182</v>
      </c>
      <c r="H707" s="101" t="str">
        <v>https://docs.google.com/spreadsheets/d/1qSbpqhBnbT3tMzgcYUDNtl4jYShJmIvqrgwXWSJAw4I</v>
      </c>
      <c r="I707" s="101" t="str">
        <v>https://docs.google.com/open?id=1qSbpqhBnbT3tMzgcYUDNtl4jYShJmIvqrgwXWSJAw4I</v>
      </c>
      <c r="J707" s="4" t="str">
        <v>Masjid Hidayah Al Makruf, RW 13, Wirogunan, Mergangsan</v>
      </c>
      <c r="L707" s="99" t="str">
        <f ca="1">IFERROR(__xludf.DUMMYFUNCTION("IMPORTRANGE(H707,""IDENTITAS UNIT!D35"")"),"Muhamad Sukhin Annur")</f>
        <v>Muhamad Sukhin Annur</v>
      </c>
    </row>
    <row r="708" spans="1:12" ht="49.5" hidden="1">
      <c r="A708" s="4" t="str">
        <v>Alternatif Periode ke-89 II.C.3</v>
      </c>
      <c r="B708" s="4" t="str">
        <v>Alternatif Periode ke-89</v>
      </c>
      <c r="C708" s="4" t="str">
        <v>II.C.3</v>
      </c>
      <c r="D708" s="101" t="str">
        <v>https://drive.google.com/open?id=1qtSGRx_mTEwLDofEEe4umvjSPQXrgfqyrbLnZNgg5gU&amp;usp=drive_copy</v>
      </c>
      <c r="E708" s="101" t="str">
        <v>https://drive.google.com/open?id=1qtSGRx_mTEwLDofEEe4umvjSPQXrgfqyrbLnZNgg5gU</v>
      </c>
      <c r="F708" s="103" t="str">
        <f ca="1">IFERROR(__xludf.DUMMYFUNCTION("IMPORTRANGE(H708,""IDENTITAS UNIT!D9"")"),"https://maps.app.goo.gl/qrsqRBqDX4WM7Zkj9")</f>
        <v>https://maps.app.goo.gl/qrsqRBqDX4WM7Zkj9</v>
      </c>
      <c r="G708" s="4" t="s">
        <v>13183</v>
      </c>
      <c r="H708" s="101" t="str">
        <v>https://docs.google.com/spreadsheets/d/1qtSGRx_mTEwLDofEEe4umvjSPQXrgfqyrbLnZNgg5gU</v>
      </c>
      <c r="I708" s="101" t="str">
        <v>https://docs.google.com/open?id=1qtSGRx_mTEwLDofEEe4umvjSPQXrgfqyrbLnZNgg5gU</v>
      </c>
      <c r="J708" s="4" t="str">
        <v>Masjid Al Ikhlas, RW 15, Wirogunan, Mergangsan</v>
      </c>
      <c r="L708" s="99" t="str">
        <f ca="1">IFERROR(__xludf.DUMMYFUNCTION("IMPORTRANGE(H708,""IDENTITAS UNIT!D35"")"),"EEP EPANDRI")</f>
        <v>EEP EPANDRI</v>
      </c>
    </row>
    <row r="709" spans="1:12" ht="49.5" hidden="1">
      <c r="A709" s="4" t="str">
        <v>Alternatif Periode ke-89 II.D.1</v>
      </c>
      <c r="B709" s="4" t="str">
        <v>Alternatif Periode ke-89</v>
      </c>
      <c r="C709" s="4" t="str">
        <v>II.D.1</v>
      </c>
      <c r="D709" s="101" t="str">
        <v>https://drive.google.com/open?id=1svK65Db2XbIZ3EF0tRrXJ89w6jJSrCjc46QLt0pRHA0&amp;usp=drive_copy</v>
      </c>
      <c r="E709" s="101" t="str">
        <v>https://drive.google.com/open?id=1svK65Db2XbIZ3EF0tRrXJ89w6jJSrCjc46QLt0pRHA0</v>
      </c>
      <c r="F709" s="103" t="str">
        <f ca="1">IFERROR(__xludf.DUMMYFUNCTION("IMPORTRANGE(H709,""IDENTITAS UNIT!D9"")"),"https://maps.app.goo.gl/Zr6cV4S3nKhnZ48x8")</f>
        <v>https://maps.app.goo.gl/Zr6cV4S3nKhnZ48x8</v>
      </c>
      <c r="G709" s="4" t="s">
        <v>13184</v>
      </c>
      <c r="H709" s="101" t="str">
        <v>https://docs.google.com/spreadsheets/d/1svK65Db2XbIZ3EF0tRrXJ89w6jJSrCjc46QLt0pRHA0</v>
      </c>
      <c r="I709" s="101" t="str">
        <v>https://docs.google.com/open?id=1svK65Db2XbIZ3EF0tRrXJ89w6jJSrCjc46QLt0pRHA0</v>
      </c>
      <c r="J709" s="4" t="str">
        <v>Masjid Al Widah, RW 17, Wirogunan, Mergangsan</v>
      </c>
      <c r="L709" s="99" t="str">
        <f ca="1">IFERROR(__xludf.DUMMYFUNCTION("IMPORTRANGE(H709,""IDENTITAS UNIT!D35"")"),"Sri Kukuh Prassetyo")</f>
        <v>Sri Kukuh Prassetyo</v>
      </c>
    </row>
    <row r="710" spans="1:12" ht="49.5" hidden="1">
      <c r="A710" s="4" t="str">
        <v>Alternatif Periode ke-89 II.D.2</v>
      </c>
      <c r="B710" s="4" t="str">
        <v>Alternatif Periode ke-89</v>
      </c>
      <c r="C710" s="4" t="str">
        <v>II.D.2</v>
      </c>
      <c r="D710" s="101" t="str">
        <v>https://drive.google.com/open?id=1sx5WVhXNy6607d3_U7jfG-NEgRH4psUo-61KtcyYKGY&amp;usp=drive_copy</v>
      </c>
      <c r="E710" s="101" t="str">
        <v>https://drive.google.com/open?id=1sx5WVhXNy6607d3_U7jfG-NEgRH4psUo-61KtcyYKGY</v>
      </c>
      <c r="F710" s="103" t="str">
        <f ca="1">IFERROR(__xludf.DUMMYFUNCTION("IMPORTRANGE(H710,""IDENTITAS UNIT!D9"")"),"https://maps.app.goo.gl/hwauLgeWNiA92Wa57?g_st=iw")</f>
        <v>https://maps.app.goo.gl/hwauLgeWNiA92Wa57?g_st=iw</v>
      </c>
      <c r="G710" s="4" t="s">
        <v>13185</v>
      </c>
      <c r="H710" s="101" t="str">
        <v>https://docs.google.com/spreadsheets/d/1sx5WVhXNy6607d3_U7jfG-NEgRH4psUo-61KtcyYKGY</v>
      </c>
      <c r="I710" s="101" t="str">
        <v>https://docs.google.com/open?id=1sx5WVhXNy6607d3_U7jfG-NEgRH4psUo-61KtcyYKGY</v>
      </c>
      <c r="J710" s="4" t="str">
        <v>Masjid Al Jihad, RW 18, Wirogunan, Mergangsan</v>
      </c>
      <c r="L710" s="99" t="str">
        <f ca="1">IFERROR(__xludf.DUMMYFUNCTION("IMPORTRANGE(H710,""IDENTITAS UNIT!D35"")"),"Aulia Hidayati")</f>
        <v>Aulia Hidayati</v>
      </c>
    </row>
    <row r="711" spans="1:12" ht="33" hidden="1">
      <c r="A711" s="4" t="str">
        <v>Alternatif Periode ke-89 II.D.3</v>
      </c>
      <c r="B711" s="4" t="str">
        <v>Alternatif Periode ke-89</v>
      </c>
      <c r="C711" s="4" t="str">
        <v>II.D.3</v>
      </c>
      <c r="D711" s="101" t="str">
        <v>https://drive.google.com/open?id=1tLi36uvDnmqVH9TgaKuWyJvfbnSO90v1Rz6oqz_1QoQ&amp;usp=drive_copy</v>
      </c>
      <c r="E711" s="101" t="str">
        <v>https://drive.google.com/open?id=1tLi36uvDnmqVH9TgaKuWyJvfbnSO90v1Rz6oqz_1QoQ</v>
      </c>
      <c r="F711" s="103" t="str">
        <f ca="1">IFERROR(__xludf.DUMMYFUNCTION("IMPORTRANGE(H711,""IDENTITAS UNIT!D9"")"),"https://g.co/kgs/915CZA")</f>
        <v>https://g.co/kgs/915CZA</v>
      </c>
      <c r="G711" s="4" t="s">
        <v>13186</v>
      </c>
      <c r="H711" s="101" t="str">
        <v>https://docs.google.com/spreadsheets/d/1tLi36uvDnmqVH9TgaKuWyJvfbnSO90v1Rz6oqz_1QoQ</v>
      </c>
      <c r="I711" s="101" t="str">
        <v>https://docs.google.com/open?id=1tLi36uvDnmqVH9TgaKuWyJvfbnSO90v1Rz6oqz_1QoQ</v>
      </c>
      <c r="J711" s="4" t="str">
        <v>Masjid An Nur, RW 21, Wirogunan, Mergangsan</v>
      </c>
      <c r="L711" s="99" t="str">
        <f ca="1">IFERROR(__xludf.DUMMYFUNCTION("IMPORTRANGE(H711,""IDENTITAS UNIT!D35"")"),"Ibrahim Hasan Ali")</f>
        <v>Ibrahim Hasan Ali</v>
      </c>
    </row>
    <row r="712" spans="1:12" ht="115.5" hidden="1">
      <c r="A712" s="4" t="str">
        <v>Alternatif Periode ke-89 III.A.1</v>
      </c>
      <c r="B712" s="4" t="str">
        <v>Alternatif Periode ke-89</v>
      </c>
      <c r="C712" s="4" t="str">
        <v>III.A.1</v>
      </c>
      <c r="D712" s="101" t="str">
        <v>https://drive.google.com/open?id=1tsl8mfgkSZosk35pnU1hGtMFXQDOUE44E0kBPsxi-d8&amp;usp=drive_copy</v>
      </c>
      <c r="E712" s="101" t="str">
        <v>https://drive.google.com/open?id=1tsl8mfgkSZosk35pnU1hGtMFXQDOUE44E0kBPsxi-d8</v>
      </c>
      <c r="F712" s="102" t="str">
        <f ca="1">IFERROR(__xludf.DUMMYFUNCTION("IMPORTRANGE(H712,""IDENTITAS UNIT!D9"")"),"59QG+M63, Gg. Brojopermono, Wirogunan, Kec. Mergangsan, Kota Yogyakarta, Daerah Istimewa Yogyakarta 55151")</f>
        <v>59QG+M63, Gg. Brojopermono, Wirogunan, Kec. Mergangsan, Kota Yogyakarta, Daerah Istimewa Yogyakarta 55151</v>
      </c>
      <c r="G712" s="53"/>
      <c r="H712" s="101" t="str">
        <v>https://docs.google.com/spreadsheets/d/1tsl8mfgkSZosk35pnU1hGtMFXQDOUE44E0kBPsxi-d8</v>
      </c>
      <c r="I712" s="101" t="str">
        <v>https://docs.google.com/open?id=1tsl8mfgkSZosk35pnU1hGtMFXQDOUE44E0kBPsxi-d8</v>
      </c>
      <c r="J712" s="4" t="str">
        <v>Masjid Al Huffadh, RW 22, Wirogunan, Mergangsan</v>
      </c>
      <c r="L712" s="99" t="str">
        <f ca="1">IFERROR(__xludf.DUMMYFUNCTION("IMPORTRANGE(H712,""IDENTITAS UNIT!D35"")"),"NURING RARAS KUSUMANINGTYAS")</f>
        <v>NURING RARAS KUSUMANINGTYAS</v>
      </c>
    </row>
    <row r="713" spans="1:12" ht="49.5" hidden="1">
      <c r="A713" s="4" t="str">
        <v>Alternatif Periode ke-89 III.A.2</v>
      </c>
      <c r="B713" s="4" t="str">
        <v>Alternatif Periode ke-89</v>
      </c>
      <c r="C713" s="4" t="str">
        <v>III.A.2</v>
      </c>
      <c r="D713" s="101" t="str">
        <v>https://drive.google.com/open?id=1w4DA1jJhQ2K5INJ9-6_26nQpEupQKgDkFwoyQib--3k&amp;usp=drive_copy</v>
      </c>
      <c r="E713" s="101" t="str">
        <v>https://drive.google.com/open?id=1w4DA1jJhQ2K5INJ9-6_26nQpEupQKgDkFwoyQib--3k</v>
      </c>
      <c r="F713" s="103" t="str">
        <f ca="1">IFERROR(__xludf.DUMMYFUNCTION("IMPORTRANGE(H713,""IDENTITAS UNIT!D9"")"),"https://maps.app.goo.gl/26zNmnZXkqwjVGVy8")</f>
        <v>https://maps.app.goo.gl/26zNmnZXkqwjVGVy8</v>
      </c>
      <c r="G713" s="4" t="s">
        <v>13187</v>
      </c>
      <c r="H713" s="101" t="str">
        <v>https://docs.google.com/spreadsheets/d/1w4DA1jJhQ2K5INJ9-6_26nQpEupQKgDkFwoyQib--3k</v>
      </c>
      <c r="I713" s="101" t="str">
        <v>https://docs.google.com/open?id=1w4DA1jJhQ2K5INJ9-6_26nQpEupQKgDkFwoyQib--3k</v>
      </c>
      <c r="J713" s="4" t="str">
        <v>Masjid Baiturrahman, RW 24, Wirogunan, Mergangsan</v>
      </c>
      <c r="L713" s="99" t="str">
        <f ca="1">IFERROR(__xludf.DUMMYFUNCTION("IMPORTRANGE(H713,""IDENTITAS UNIT!D35"")"),"Arista Stiyanti")</f>
        <v>Arista Stiyanti</v>
      </c>
    </row>
    <row r="714" spans="1:12" ht="49.5" hidden="1">
      <c r="A714" s="4" t="str">
        <v>Alternatif Periode ke-89 III.A.3</v>
      </c>
      <c r="B714" s="4" t="str">
        <v>Alternatif Periode ke-89</v>
      </c>
      <c r="C714" s="4" t="str">
        <v>III.A.3</v>
      </c>
      <c r="D714" s="101" t="str">
        <v>https://drive.google.com/open?id=1w9TkOwhLPHAt_8L4y3JJCg5I4gzwaCy2E1NfouMG7bM&amp;usp=drive_copy</v>
      </c>
      <c r="E714" s="101" t="str">
        <v>https://drive.google.com/open?id=1w9TkOwhLPHAt_8L4y3JJCg5I4gzwaCy2E1NfouMG7bM</v>
      </c>
      <c r="F714" s="103" t="str">
        <f ca="1">IFERROR(__xludf.DUMMYFUNCTION("IMPORTRANGE(H714,""IDENTITAS UNIT!D9"")"),"https://maps.app.goo.gl/V5MpkZhJxBEuwPEP8")</f>
        <v>https://maps.app.goo.gl/V5MpkZhJxBEuwPEP8</v>
      </c>
      <c r="G714" s="4" t="s">
        <v>13188</v>
      </c>
      <c r="H714" s="101" t="str">
        <v>https://docs.google.com/spreadsheets/d/1w9TkOwhLPHAt_8L4y3JJCg5I4gzwaCy2E1NfouMG7bM</v>
      </c>
      <c r="I714" s="101" t="str">
        <v>https://docs.google.com/open?id=1w9TkOwhLPHAt_8L4y3JJCg5I4gzwaCy2E1NfouMG7bM</v>
      </c>
      <c r="J714" s="4" t="str">
        <v>Masjid Jami' Kintelan, RW 2, Keparakan, Mergangsan</v>
      </c>
      <c r="L714" s="99" t="str">
        <f ca="1">IFERROR(__xludf.DUMMYFUNCTION("IMPORTRANGE(H714,""IDENTITAS UNIT!D35"")"),"Zuhair Sudrajat Tiyan Mujiono")</f>
        <v>Zuhair Sudrajat Tiyan Mujiono</v>
      </c>
    </row>
    <row r="715" spans="1:12" ht="49.5" hidden="1">
      <c r="A715" s="4" t="str">
        <v>Alternatif Periode ke-89 III.B.1</v>
      </c>
      <c r="B715" s="4" t="str">
        <v>Alternatif Periode ke-89</v>
      </c>
      <c r="C715" s="4" t="str">
        <v>III.B.1</v>
      </c>
      <c r="D715" s="101" t="str">
        <v>https://drive.google.com/open?id=1wT6WZdIiN8LNxd30Go1lN5h7VTkHLPq-9zqeQsl9DoM&amp;usp=drive_copy</v>
      </c>
      <c r="E715" s="101" t="str">
        <v>https://drive.google.com/open?id=1wT6WZdIiN8LNxd30Go1lN5h7VTkHLPq-9zqeQsl9DoM</v>
      </c>
      <c r="F715" s="103" t="str">
        <f ca="1">IFERROR(__xludf.DUMMYFUNCTION("IMPORTRANGE(H715,""IDENTITAS UNIT!D9"")"),"https://maps.app.goo.gl/cBbXgFVVjiAg3EvV8")</f>
        <v>https://maps.app.goo.gl/cBbXgFVVjiAg3EvV8</v>
      </c>
      <c r="G715" s="4" t="s">
        <v>13189</v>
      </c>
      <c r="H715" s="101" t="str">
        <v>https://docs.google.com/spreadsheets/d/1wT6WZdIiN8LNxd30Go1lN5h7VTkHLPq-9zqeQsl9DoM</v>
      </c>
      <c r="I715" s="101" t="str">
        <v>https://docs.google.com/open?id=1wT6WZdIiN8LNxd30Go1lN5h7VTkHLPq-9zqeQsl9DoM</v>
      </c>
      <c r="J715" s="4" t="str">
        <v>Mushola Tarbiyatul Fikri, RW 3, Keparakan, Mergangsan</v>
      </c>
      <c r="L715" s="99" t="str">
        <f ca="1">IFERROR(__xludf.DUMMYFUNCTION("IMPORTRANGE(H715,""IDENTITAS UNIT!D35"")"),"Arya Difa Hendrawan")</f>
        <v>Arya Difa Hendrawan</v>
      </c>
    </row>
    <row r="716" spans="1:12" ht="33" hidden="1">
      <c r="A716" s="4" t="str">
        <v>Alternatif Periode ke-89 III.B.2</v>
      </c>
      <c r="B716" s="4" t="str">
        <v>Alternatif Periode ke-89</v>
      </c>
      <c r="C716" s="4" t="str">
        <v>III.B.2</v>
      </c>
      <c r="D716" s="101" t="str">
        <v>https://drive.google.com/open?id=1yvD9HB4uTA5FRBLn7oY7nGWyfIL40vf_kazLPp3z5VY&amp;usp=drive_copy</v>
      </c>
      <c r="E716" s="101" t="str">
        <v>https://drive.google.com/open?id=1yvD9HB4uTA5FRBLn7oY7nGWyfIL40vf_kazLPp3z5VY</v>
      </c>
      <c r="F716" s="103" t="str">
        <f ca="1">IFERROR(__xludf.DUMMYFUNCTION("IMPORTRANGE(H716,""IDENTITAS UNIT!D9"")"),"https://g.co/kgs/vAoC3p")</f>
        <v>https://g.co/kgs/vAoC3p</v>
      </c>
      <c r="G716" s="4" t="s">
        <v>13190</v>
      </c>
      <c r="H716" s="101" t="str">
        <v>https://docs.google.com/spreadsheets/d/1yvD9HB4uTA5FRBLn7oY7nGWyfIL40vf_kazLPp3z5VY</v>
      </c>
      <c r="I716" s="101" t="str">
        <v>https://docs.google.com/open?id=1yvD9HB4uTA5FRBLn7oY7nGWyfIL40vf_kazLPp3z5VY</v>
      </c>
      <c r="J716" s="4" t="str">
        <v>Masjid Darussalam, RW 5, Keparakan, Mergangsan</v>
      </c>
      <c r="L716" s="99" t="str">
        <f ca="1">IFERROR(__xludf.DUMMYFUNCTION("IMPORTRANGE(H716,""IDENTITAS UNIT!D35"")"),"Nurkholis Uliawan")</f>
        <v>Nurkholis Uliawan</v>
      </c>
    </row>
    <row r="717" spans="1:12" ht="49.5" hidden="1">
      <c r="A717" s="4" t="str">
        <v>Alternatif Periode ke-89 III.B.3</v>
      </c>
      <c r="B717" s="4" t="str">
        <v>Alternatif Periode ke-89</v>
      </c>
      <c r="C717" s="4" t="str">
        <v>III.B.3</v>
      </c>
      <c r="D717" s="101" t="str">
        <v>https://drive.google.com/open?id=1-0X0HMeTQmIRCk_pJfwsz13RQ3KiqggzPT64BlsAfK8&amp;usp=drive_copy</v>
      </c>
      <c r="E717" s="101" t="str">
        <v>https://drive.google.com/open?id=1-0X0HMeTQmIRCk_pJfwsz13RQ3KiqggzPT64BlsAfK8</v>
      </c>
      <c r="F717" s="103" t="str">
        <f ca="1">IFERROR(__xludf.DUMMYFUNCTION("IMPORTRANGE(H717,""IDENTITAS UNIT!D9"")"),"https://maps.app.goo.gl/KEfE1pwKCUvJUmpz8")</f>
        <v>https://maps.app.goo.gl/KEfE1pwKCUvJUmpz8</v>
      </c>
      <c r="G717" s="4" t="s">
        <v>13191</v>
      </c>
      <c r="H717" s="101" t="str">
        <v>https://docs.google.com/spreadsheets/d/1-0X0HMeTQmIRCk_pJfwsz13RQ3KiqggzPT64BlsAfK8</v>
      </c>
      <c r="I717" s="101" t="str">
        <v>https://docs.google.com/open?id=1-0X0HMeTQmIRCk_pJfwsz13RQ3KiqggzPT64BlsAfK8</v>
      </c>
      <c r="J717" s="4" t="str">
        <v>Masjid Al Fajar, RW 7, Keparakan, Mergangsan</v>
      </c>
      <c r="L717" s="99" t="str">
        <f ca="1">IFERROR(__xludf.DUMMYFUNCTION("IMPORTRANGE(H717,""IDENTITAS UNIT!D35"")"),"Taufiq Ashari")</f>
        <v>Taufiq Ashari</v>
      </c>
    </row>
    <row r="718" spans="1:12" ht="66" hidden="1">
      <c r="A718" s="4" t="str">
        <v>Alternatif Periode ke-89 III.C.1</v>
      </c>
      <c r="B718" s="4" t="str">
        <v>Alternatif Periode ke-89</v>
      </c>
      <c r="C718" s="4" t="str">
        <v>III.C.1</v>
      </c>
      <c r="D718" s="101" t="str">
        <v>https://drive.google.com/open?id=12tatt3fXXJgU72IzH9B_W1uuNOmUjRYuA2iN4rIsRrk&amp;usp=drive_copy</v>
      </c>
      <c r="E718" s="101" t="str">
        <v>https://drive.google.com/open?id=12tatt3fXXJgU72IzH9B_W1uuNOmUjRYuA2iN4rIsRrk</v>
      </c>
      <c r="F718" s="103" t="str">
        <f ca="1">IFERROR(__xludf.DUMMYFUNCTION("IMPORTRANGE(H718,""IDENTITAS UNIT!D9"")"),"Masjid Al Mustaqim
https://maps.app.goo.gl/ufXxAobHp6o7tJ5D9")</f>
        <v>Masjid Al Mustaqim
https://maps.app.goo.gl/ufXxAobHp6o7tJ5D9</v>
      </c>
      <c r="G718" s="4" t="s">
        <v>13192</v>
      </c>
      <c r="H718" s="101" t="str">
        <v>https://docs.google.com/spreadsheets/d/12tatt3fXXJgU72IzH9B_W1uuNOmUjRYuA2iN4rIsRrk</v>
      </c>
      <c r="I718" s="101" t="str">
        <v>https://docs.google.com/open?id=12tatt3fXXJgU72IzH9B_W1uuNOmUjRYuA2iN4rIsRrk</v>
      </c>
      <c r="J718" s="4" t="str">
        <v>Masjid Al Mustaqim, RW 8, Keparakan, Mergangsan</v>
      </c>
      <c r="L718" s="99" t="str">
        <f ca="1">IFERROR(__xludf.DUMMYFUNCTION("IMPORTRANGE(H718,""IDENTITAS UNIT!D35"")"),"Afifah")</f>
        <v>Afifah</v>
      </c>
    </row>
    <row r="719" spans="1:12" ht="49.5" hidden="1">
      <c r="A719" s="4" t="str">
        <v>Alternatif Periode ke-89 III.C.2</v>
      </c>
      <c r="B719" s="4" t="str">
        <v>Alternatif Periode ke-89</v>
      </c>
      <c r="C719" s="4" t="str">
        <v>III.C.2</v>
      </c>
      <c r="D719" s="101" t="str">
        <v>https://drive.google.com/open?id=13_dDIvMy9lHcIsdHvdy4RDWKzFPH6Hgs4rKd7TyzFl8&amp;usp=drive_copy</v>
      </c>
      <c r="E719" s="101" t="str">
        <v>https://drive.google.com/open?id=13_dDIvMy9lHcIsdHvdy4RDWKzFPH6Hgs4rKd7TyzFl8</v>
      </c>
      <c r="F719" s="103" t="str">
        <f ca="1">IFERROR(__xludf.DUMMYFUNCTION("IMPORTRANGE(H719,""IDENTITAS UNIT!D9"")"),"https://maps.app.goo.gl/oaq9JfHKRuiPFUJ37")</f>
        <v>https://maps.app.goo.gl/oaq9JfHKRuiPFUJ37</v>
      </c>
      <c r="G719" s="4" t="s">
        <v>13193</v>
      </c>
      <c r="H719" s="101" t="str">
        <v>https://docs.google.com/spreadsheets/d/13_dDIvMy9lHcIsdHvdy4RDWKzFPH6Hgs4rKd7TyzFl8</v>
      </c>
      <c r="I719" s="101" t="str">
        <v>https://docs.google.com/open?id=13_dDIvMy9lHcIsdHvdy4RDWKzFPH6Hgs4rKd7TyzFl8</v>
      </c>
      <c r="J719" s="4" t="str">
        <v>Masjid Al Amin, RW 10, Keparakan, Mergangsan</v>
      </c>
      <c r="L719" s="99" t="str">
        <f ca="1">IFERROR(__xludf.DUMMYFUNCTION("IMPORTRANGE(H719,""IDENTITAS UNIT!D35"")"),"Fakih Fairuz Zayan")</f>
        <v>Fakih Fairuz Zayan</v>
      </c>
    </row>
    <row r="720" spans="1:12" ht="49.5" hidden="1">
      <c r="A720" s="4" t="str">
        <v>Alternatif Periode ke-89 III.C.3</v>
      </c>
      <c r="B720" s="4" t="str">
        <v>Alternatif Periode ke-89</v>
      </c>
      <c r="C720" s="4" t="str">
        <v>III.C.3</v>
      </c>
      <c r="D720" s="101" t="str">
        <v>https://drive.google.com/open?id=14dpPW1hHjofL6btAyU5zz05BgNTvj0Aqyt6rGKwHZm4&amp;usp=drive_copy</v>
      </c>
      <c r="E720" s="101" t="str">
        <v>https://drive.google.com/open?id=14dpPW1hHjofL6btAyU5zz05BgNTvj0Aqyt6rGKwHZm4</v>
      </c>
      <c r="F720" s="103" t="str">
        <f ca="1">IFERROR(__xludf.DUMMYFUNCTION("IMPORTRANGE(H720,""IDENTITAS UNIT!D9"")"),"https://maps.app.goo.gl/sMQb6RZaEpGJVvg68")</f>
        <v>https://maps.app.goo.gl/sMQb6RZaEpGJVvg68</v>
      </c>
      <c r="G720" s="4" t="s">
        <v>13194</v>
      </c>
      <c r="H720" s="101" t="str">
        <v>https://docs.google.com/spreadsheets/d/14dpPW1hHjofL6btAyU5zz05BgNTvj0Aqyt6rGKwHZm4</v>
      </c>
      <c r="I720" s="101" t="str">
        <v>https://docs.google.com/open?id=14dpPW1hHjofL6btAyU5zz05BgNTvj0Aqyt6rGKwHZm4</v>
      </c>
      <c r="J720" s="4" t="str">
        <v>Masjid Al Anhar, RW 13, Keparakan, Mergangsan</v>
      </c>
      <c r="L720" s="99" t="str">
        <f ca="1">IFERROR(__xludf.DUMMYFUNCTION("IMPORTRANGE(H720,""IDENTITAS UNIT!D35"")"),"Aditya Ircham Syafrudin")</f>
        <v>Aditya Ircham Syafrudin</v>
      </c>
    </row>
    <row r="721" spans="1:12" ht="49.5" hidden="1">
      <c r="A721" s="4" t="str">
        <v>Alternatif Periode ke-89 III.D.1</v>
      </c>
      <c r="B721" s="4" t="str">
        <v>Alternatif Periode ke-89</v>
      </c>
      <c r="C721" s="4" t="str">
        <v>III.D.1</v>
      </c>
      <c r="D721" s="101" t="str">
        <v>https://drive.google.com/open?id=15-OwXoXz34OvCqjAZ2nRt95M9w_mPT0G9Yv6SI6wV5Y&amp;usp=drive_copy</v>
      </c>
      <c r="E721" s="101" t="str">
        <v>https://drive.google.com/open?id=15-OwXoXz34OvCqjAZ2nRt95M9w_mPT0G9Yv6SI6wV5Y</v>
      </c>
      <c r="F721" s="103" t="str">
        <f ca="1">IFERROR(__xludf.DUMMYFUNCTION("IMPORTRANGE(H721,""IDENTITAS UNIT!D9"")"),"https://maps.app.goo.gl/jQN16bgFhsGZ2cHg6")</f>
        <v>https://maps.app.goo.gl/jQN16bgFhsGZ2cHg6</v>
      </c>
      <c r="G721" s="4" t="s">
        <v>13195</v>
      </c>
      <c r="H721" s="101" t="str">
        <v>https://docs.google.com/spreadsheets/d/15-OwXoXz34OvCqjAZ2nRt95M9w_mPT0G9Yv6SI6wV5Y</v>
      </c>
      <c r="I721" s="101" t="str">
        <v>https://docs.google.com/open?id=15-OwXoXz34OvCqjAZ2nRt95M9w_mPT0G9Yv6SI6wV5Y</v>
      </c>
      <c r="J721" s="4" t="str">
        <v>RW 1, Ngampilan, Ngampilan</v>
      </c>
      <c r="L721" s="99" t="str">
        <f ca="1">IFERROR(__xludf.DUMMYFUNCTION("IMPORTRANGE(H721,""IDENTITAS UNIT!D35"")"),"HUSNUL DZIKRI")</f>
        <v>HUSNUL DZIKRI</v>
      </c>
    </row>
    <row r="722" spans="1:12" ht="49.5" hidden="1">
      <c r="A722" s="4" t="str">
        <v>Alternatif Periode ke-89 III.D.2</v>
      </c>
      <c r="B722" s="4" t="str">
        <v>Alternatif Periode ke-89</v>
      </c>
      <c r="C722" s="4" t="str">
        <v>III.D.2</v>
      </c>
      <c r="D722" s="101" t="str">
        <v>https://drive.google.com/open?id=15EG26otaYaMz5pLM2cwV__p3Hao_0saGDoTiGHY3n28&amp;usp=drive_copy</v>
      </c>
      <c r="E722" s="101" t="str">
        <v>https://drive.google.com/open?id=15EG26otaYaMz5pLM2cwV__p3Hao_0saGDoTiGHY3n28</v>
      </c>
      <c r="F722" s="103" t="str">
        <f ca="1">IFERROR(__xludf.DUMMYFUNCTION("IMPORTRANGE(H722,""IDENTITAS UNIT!D9"")"),"https://maps.app.goo.gl/zRhpNmoYEhyGCfKWA?g_st=iw                                                                                                                          ")</f>
        <v xml:space="preserve">https://maps.app.goo.gl/zRhpNmoYEhyGCfKWA?g_st=iw                                                                                                                          </v>
      </c>
      <c r="G722" s="4" t="s">
        <v>13196</v>
      </c>
      <c r="H722" s="101" t="str">
        <v>https://docs.google.com/spreadsheets/d/15EG26otaYaMz5pLM2cwV__p3Hao_0saGDoTiGHY3n28</v>
      </c>
      <c r="I722" s="101" t="str">
        <v>https://docs.google.com/open?id=15EG26otaYaMz5pLM2cwV__p3Hao_0saGDoTiGHY3n28</v>
      </c>
      <c r="J722" s="4" t="str">
        <v>RW 2, Ngampilan, Ngampilan</v>
      </c>
      <c r="L722" s="99" t="str">
        <f ca="1">IFERROR(__xludf.DUMMYFUNCTION("IMPORTRANGE(H722,""IDENTITAS UNIT!D35"")"),"Abdul Syahrani")</f>
        <v>Abdul Syahrani</v>
      </c>
    </row>
    <row r="723" spans="1:12" ht="49.5" hidden="1">
      <c r="A723" s="4" t="str">
        <v>Alternatif Periode ke-89 III.D.3</v>
      </c>
      <c r="B723" s="4" t="str">
        <v>Alternatif Periode ke-89</v>
      </c>
      <c r="C723" s="4" t="str">
        <v>III.D.3</v>
      </c>
      <c r="D723" s="101" t="str">
        <v>https://drive.google.com/open?id=15cU8phFe_v0WfxgLXoIIL-nMuKNfBi50Fu-YZUp_p1U&amp;usp=drive_copy</v>
      </c>
      <c r="E723" s="101" t="str">
        <v>https://drive.google.com/open?id=15cU8phFe_v0WfxgLXoIIL-nMuKNfBi50Fu-YZUp_p1U</v>
      </c>
      <c r="F723" s="103" t="str">
        <f ca="1">IFERROR(__xludf.DUMMYFUNCTION("IMPORTRANGE(H723,""IDENTITAS UNIT!D9"")"),"https://maps.app.goo.gl/4et9ZE3ZxpRBGNpFA")</f>
        <v>https://maps.app.goo.gl/4et9ZE3ZxpRBGNpFA</v>
      </c>
      <c r="G723" s="4" t="s">
        <v>13197</v>
      </c>
      <c r="H723" s="101" t="str">
        <v>https://docs.google.com/spreadsheets/d/15cU8phFe_v0WfxgLXoIIL-nMuKNfBi50Fu-YZUp_p1U</v>
      </c>
      <c r="I723" s="101" t="str">
        <v>https://docs.google.com/open?id=15cU8phFe_v0WfxgLXoIIL-nMuKNfBi50Fu-YZUp_p1U</v>
      </c>
      <c r="J723" s="4" t="str">
        <v>RW 3, Ngampilan, Ngampilan</v>
      </c>
      <c r="L723" s="99" t="str">
        <f ca="1">IFERROR(__xludf.DUMMYFUNCTION("IMPORTRANGE(H723,""IDENTITAS UNIT!D35"")"),"Lilik Anggraini")</f>
        <v>Lilik Anggraini</v>
      </c>
    </row>
    <row r="724" spans="1:12" ht="49.5" hidden="1">
      <c r="A724" s="4" t="str">
        <v>Alternatif Periode ke-89 IV.A.1</v>
      </c>
      <c r="B724" s="4" t="str">
        <v>Alternatif Periode ke-89</v>
      </c>
      <c r="C724" s="4" t="str">
        <v>IV.A.1</v>
      </c>
      <c r="D724" s="101" t="str">
        <v>https://drive.google.com/open?id=18V2TuR64ZwJVbQdxwGrz8h3eNOhofDrzvLfElk1FTBw&amp;usp=drive_copy</v>
      </c>
      <c r="E724" s="101" t="str">
        <v>https://drive.google.com/open?id=18V2TuR64ZwJVbQdxwGrz8h3eNOhofDrzvLfElk1FTBw</v>
      </c>
      <c r="F724" s="103" t="str">
        <f ca="1">IFERROR(__xludf.DUMMYFUNCTION("IMPORTRANGE(H724,""IDENTITAS UNIT!D9"")"),"https://maps.app.goo.gl/aaaPHR6ocoFXACAN9")</f>
        <v>https://maps.app.goo.gl/aaaPHR6ocoFXACAN9</v>
      </c>
      <c r="G724" s="4" t="s">
        <v>13198</v>
      </c>
      <c r="H724" s="101" t="str">
        <v>https://docs.google.com/spreadsheets/d/18V2TuR64ZwJVbQdxwGrz8h3eNOhofDrzvLfElk1FTBw</v>
      </c>
      <c r="I724" s="101" t="str">
        <v>https://docs.google.com/open?id=18V2TuR64ZwJVbQdxwGrz8h3eNOhofDrzvLfElk1FTBw</v>
      </c>
      <c r="J724" s="4" t="str">
        <v>RW 5, Ngampilan, Ngampilan</v>
      </c>
      <c r="L724" s="99" t="str">
        <f ca="1">IFERROR(__xludf.DUMMYFUNCTION("IMPORTRANGE(H724,""IDENTITAS UNIT!D35"")"),"Rendy Yurize")</f>
        <v>Rendy Yurize</v>
      </c>
    </row>
    <row r="725" spans="1:12" ht="49.5" hidden="1">
      <c r="A725" s="4" t="str">
        <v>Alternatif Periode ke-89 IV.A.2</v>
      </c>
      <c r="B725" s="4" t="str">
        <v>Alternatif Periode ke-89</v>
      </c>
      <c r="C725" s="4" t="str">
        <v>IV.A.2</v>
      </c>
      <c r="D725" s="101" t="str">
        <v>https://drive.google.com/open?id=1A7ENQBIOfZAZGbp-VVBqZFoB-GKf8A-cFOvzvIVS888&amp;usp=drive_copy</v>
      </c>
      <c r="E725" s="101" t="str">
        <v>https://drive.google.com/open?id=1A7ENQBIOfZAZGbp-VVBqZFoB-GKf8A-cFOvzvIVS888</v>
      </c>
      <c r="F725" s="103" t="str">
        <f ca="1">IFERROR(__xludf.DUMMYFUNCTION("IMPORTRANGE(H725,""IDENTITAS UNIT!D9"")"),"https://maps.app.goo.gl/osAyyLt694vBvkKm6?g_st=iw")</f>
        <v>https://maps.app.goo.gl/osAyyLt694vBvkKm6?g_st=iw</v>
      </c>
      <c r="G725" s="4" t="s">
        <v>13199</v>
      </c>
      <c r="H725" s="101" t="str">
        <v>https://docs.google.com/spreadsheets/d/1A7ENQBIOfZAZGbp-VVBqZFoB-GKf8A-cFOvzvIVS888</v>
      </c>
      <c r="I725" s="101" t="str">
        <v>https://docs.google.com/open?id=1A7ENQBIOfZAZGbp-VVBqZFoB-GKf8A-cFOvzvIVS888</v>
      </c>
      <c r="J725" s="4" t="str">
        <v>RW 6, Ngampilan, Ngampilan</v>
      </c>
      <c r="L725" s="99" t="str">
        <f ca="1">IFERROR(__xludf.DUMMYFUNCTION("IMPORTRANGE(H725,""IDENTITAS UNIT!D35"")"),"Ervina Fajri Ramadhan")</f>
        <v>Ervina Fajri Ramadhan</v>
      </c>
    </row>
    <row r="726" spans="1:12" ht="198" hidden="1">
      <c r="A726" s="4" t="str">
        <v>Alternatif Periode ke-89 IV.A.3</v>
      </c>
      <c r="B726" s="4" t="str">
        <v>Alternatif Periode ke-89</v>
      </c>
      <c r="C726" s="4" t="str">
        <v>IV.A.3</v>
      </c>
      <c r="D726" s="101" t="str">
        <v>https://drive.google.com/open?id=1AMMlmC4XUlbgzoCrfB4-yxj8d7N3Ikzdi15FYBbxP9g&amp;usp=drive_copy</v>
      </c>
      <c r="E726" s="101" t="str">
        <v>https://drive.google.com/open?id=1AMMlmC4XUlbgzoCrfB4-yxj8d7N3Ikzdi15FYBbxP9g</v>
      </c>
      <c r="F726" s="103" t="str">
        <f ca="1">IFERROR(__xludf.DUMMYFUNCTION("IMPORTRANGE(H726,""IDENTITAS UNIT!D9"")"),"https://www.google.com/maps/place/7%C2%B047'48.4%22S+110%C2%B021'41.2%22E/@-7.7967754,110.3588702,17z/data=!3m1!4b1!4m4!3m3!8m2!3d-7.7967754!4d110.3614451?hl=en&amp;entry=ttu")</f>
        <v>https://www.google.com/maps/place/7%C2%B047'48.4%22S+110%C2%B021'41.2%22E/@-7.7967754,110.3588702,17z/data=!3m1!4b1!4m4!3m3!8m2!3d-7.7967754!4d110.3614451?hl=en&amp;entry=ttu</v>
      </c>
      <c r="G726" s="4" t="s">
        <v>13200</v>
      </c>
      <c r="H726" s="101" t="str">
        <v>https://docs.google.com/spreadsheets/d/1AMMlmC4XUlbgzoCrfB4-yxj8d7N3Ikzdi15FYBbxP9g</v>
      </c>
      <c r="I726" s="101" t="str">
        <v>https://docs.google.com/open?id=1AMMlmC4XUlbgzoCrfB4-yxj8d7N3Ikzdi15FYBbxP9g</v>
      </c>
      <c r="J726" s="4" t="str">
        <v>RW 7, Ngampilan, Ngampilan</v>
      </c>
      <c r="L726" s="99" t="str">
        <f ca="1">IFERROR(__xludf.DUMMYFUNCTION("IMPORTRANGE(H726,""IDENTITAS UNIT!D35"")"),"Muhammad Arif Rahman")</f>
        <v>Muhammad Arif Rahman</v>
      </c>
    </row>
    <row r="727" spans="1:12" ht="49.5" hidden="1">
      <c r="A727" s="4" t="str">
        <v>Alternatif Periode ke-89 IV.B.1</v>
      </c>
      <c r="B727" s="4" t="str">
        <v>Alternatif Periode ke-89</v>
      </c>
      <c r="C727" s="4" t="str">
        <v>IV.B.1</v>
      </c>
      <c r="D727" s="101" t="str">
        <v>https://drive.google.com/open?id=1AWiq3H99nx8mHFS_NrvOVOBlS_CdwfE0EdXzlQIkc2M&amp;usp=drive_copy</v>
      </c>
      <c r="E727" s="101" t="str">
        <v>https://drive.google.com/open?id=1AWiq3H99nx8mHFS_NrvOVOBlS_CdwfE0EdXzlQIkc2M</v>
      </c>
      <c r="F727" s="103" t="str">
        <f ca="1">IFERROR(__xludf.DUMMYFUNCTION("IMPORTRANGE(H727,""IDENTITAS UNIT!D9"")"),"https://maps.app.goo.gl/415PFpNY2Y87F7YT8")</f>
        <v>https://maps.app.goo.gl/415PFpNY2Y87F7YT8</v>
      </c>
      <c r="G727" s="4" t="s">
        <v>13201</v>
      </c>
      <c r="H727" s="101" t="str">
        <v>https://docs.google.com/spreadsheets/d/1AWiq3H99nx8mHFS_NrvOVOBlS_CdwfE0EdXzlQIkc2M</v>
      </c>
      <c r="I727" s="101" t="str">
        <v>https://docs.google.com/open?id=1AWiq3H99nx8mHFS_NrvOVOBlS_CdwfE0EdXzlQIkc2M</v>
      </c>
      <c r="J727" s="4" t="str">
        <v>RW 9, Ngampilan, Ngampilan</v>
      </c>
      <c r="L727" s="99" t="str">
        <f ca="1">IFERROR(__xludf.DUMMYFUNCTION("IMPORTRANGE(H727,""IDENTITAS UNIT!D35"")"),"Sulthan Rafi Yuwan Putra")</f>
        <v>Sulthan Rafi Yuwan Putra</v>
      </c>
    </row>
    <row r="728" spans="1:12" ht="49.5" hidden="1">
      <c r="A728" s="4" t="str">
        <v>Alternatif Periode ke-89 IV.B.2</v>
      </c>
      <c r="B728" s="4" t="str">
        <v>Alternatif Periode ke-89</v>
      </c>
      <c r="C728" s="4" t="str">
        <v>IV.B.2</v>
      </c>
      <c r="D728" s="101" t="str">
        <v>https://drive.google.com/open?id=1AWtI7U2uCWMuOTWPTlQF3GEjxY7KA63HBrN6l_3QpVM&amp;usp=drive_copy</v>
      </c>
      <c r="E728" s="101" t="str">
        <v>https://drive.google.com/open?id=1AWtI7U2uCWMuOTWPTlQF3GEjxY7KA63HBrN6l_3QpVM</v>
      </c>
      <c r="F728" s="103" t="str">
        <f ca="1">IFERROR(__xludf.DUMMYFUNCTION("IMPORTRANGE(H728,""IDENTITAS UNIT!D9"")"),"https://maps.app.goo.gl/dQV6SGnQcs1VAcLcA?g_st=ic")</f>
        <v>https://maps.app.goo.gl/dQV6SGnQcs1VAcLcA?g_st=ic</v>
      </c>
      <c r="G728" s="4" t="s">
        <v>13202</v>
      </c>
      <c r="H728" s="101" t="str">
        <v>https://docs.google.com/spreadsheets/d/1AWtI7U2uCWMuOTWPTlQF3GEjxY7KA63HBrN6l_3QpVM</v>
      </c>
      <c r="I728" s="101" t="str">
        <v>https://docs.google.com/open?id=1AWtI7U2uCWMuOTWPTlQF3GEjxY7KA63HBrN6l_3QpVM</v>
      </c>
      <c r="J728" s="4" t="str">
        <v>RW 12, Ngampilan, Ngampilan</v>
      </c>
      <c r="L728" s="99" t="str">
        <f ca="1">IFERROR(__xludf.DUMMYFUNCTION("IMPORTRANGE(H728,""IDENTITAS UNIT!D35"")"),"Ihsan Fahrudin")</f>
        <v>Ihsan Fahrudin</v>
      </c>
    </row>
    <row r="729" spans="1:12" ht="49.5" hidden="1">
      <c r="A729" s="4" t="str">
        <v>Alternatif Periode ke-89 IV.B.3</v>
      </c>
      <c r="B729" s="4" t="str">
        <v>Alternatif Periode ke-89</v>
      </c>
      <c r="C729" s="4" t="str">
        <v>IV.B.3</v>
      </c>
      <c r="D729" s="101" t="str">
        <v>https://drive.google.com/open?id=1Ai4ecMLhjaGxhxEnEqL64cjB3nkz5cSYB_zSZLIcE0k&amp;usp=drive_copy</v>
      </c>
      <c r="E729" s="101" t="str">
        <v>https://drive.google.com/open?id=1Ai4ecMLhjaGxhxEnEqL64cjB3nkz5cSYB_zSZLIcE0k</v>
      </c>
      <c r="F729" s="103" t="str">
        <f ca="1">IFERROR(__xludf.DUMMYFUNCTION("IMPORTRANGE(H729,""IDENTITAS UNIT!D9"")"),"https://maps.app.goo.gl/hk4yPbbZTeKUrjAy8?g_st=iw")</f>
        <v>https://maps.app.goo.gl/hk4yPbbZTeKUrjAy8?g_st=iw</v>
      </c>
      <c r="G729" s="4" t="s">
        <v>13203</v>
      </c>
      <c r="H729" s="101" t="str">
        <v>https://docs.google.com/spreadsheets/d/1Ai4ecMLhjaGxhxEnEqL64cjB3nkz5cSYB_zSZLIcE0k</v>
      </c>
      <c r="I729" s="101" t="str">
        <v>https://docs.google.com/open?id=1Ai4ecMLhjaGxhxEnEqL64cjB3nkz5cSYB_zSZLIcE0k</v>
      </c>
      <c r="J729" s="4" t="str">
        <v>RW 13, Ngampilan, Ngampilan</v>
      </c>
      <c r="L729" s="99" t="str">
        <f ca="1">IFERROR(__xludf.DUMMYFUNCTION("IMPORTRANGE(H729,""IDENTITAS UNIT!D35"")"),"Muhammad Luthfi Septian Cahya")</f>
        <v>Muhammad Luthfi Septian Cahya</v>
      </c>
    </row>
    <row r="730" spans="1:12" ht="49.5" hidden="1">
      <c r="A730" s="4" t="str">
        <v>Alternatif Periode ke-89 IV.C.1</v>
      </c>
      <c r="B730" s="4" t="str">
        <v>Alternatif Periode ke-89</v>
      </c>
      <c r="C730" s="4" t="str">
        <v>IV.C.1</v>
      </c>
      <c r="D730" s="101" t="str">
        <v>https://drive.google.com/open?id=1BVoWdQ2_uJwzb3-CirTDWlgBmzRuFF7_AsHqaYNzYN4&amp;usp=drive_copy</v>
      </c>
      <c r="E730" s="101" t="str">
        <v>https://drive.google.com/open?id=1BVoWdQ2_uJwzb3-CirTDWlgBmzRuFF7_AsHqaYNzYN4</v>
      </c>
      <c r="F730" s="103" t="str">
        <f ca="1">IFERROR(__xludf.DUMMYFUNCTION("IMPORTRANGE(H730,""IDENTITAS UNIT!D9"")"),"https://maps.app.goo.gl/a12R98wmabXinCTE8")</f>
        <v>https://maps.app.goo.gl/a12R98wmabXinCTE8</v>
      </c>
      <c r="G730" s="4" t="s">
        <v>13204</v>
      </c>
      <c r="H730" s="101" t="str">
        <v>https://docs.google.com/spreadsheets/d/1BVoWdQ2_uJwzb3-CirTDWlgBmzRuFF7_AsHqaYNzYN4</v>
      </c>
      <c r="I730" s="101" t="str">
        <v>https://docs.google.com/open?id=1BVoWdQ2_uJwzb3-CirTDWlgBmzRuFF7_AsHqaYNzYN4</v>
      </c>
      <c r="J730" s="4" t="str">
        <v>RW 1, Notoprajan, Ngampilan</v>
      </c>
      <c r="L730" s="99" t="str">
        <f ca="1">IFERROR(__xludf.DUMMYFUNCTION("IMPORTRANGE(H730,""IDENTITAS UNIT!D35"")"),"Alfiqri Rizka Apriza")</f>
        <v>Alfiqri Rizka Apriza</v>
      </c>
    </row>
    <row r="731" spans="1:12" ht="49.5" hidden="1">
      <c r="A731" s="4" t="str">
        <v>Alternatif Periode ke-89 IV.C.2</v>
      </c>
      <c r="B731" s="4" t="str">
        <v>Alternatif Periode ke-89</v>
      </c>
      <c r="C731" s="4" t="str">
        <v>IV.C.2</v>
      </c>
      <c r="D731" s="101" t="str">
        <v>https://drive.google.com/open?id=1DdzJmM06x-glnl3GscloMiRH_dyFnrzJVEoTTJWoqJg&amp;usp=drive_copy</v>
      </c>
      <c r="E731" s="101" t="str">
        <v>https://drive.google.com/open?id=1DdzJmM06x-glnl3GscloMiRH_dyFnrzJVEoTTJWoqJg</v>
      </c>
      <c r="F731" s="103" t="str">
        <f ca="1">IFERROR(__xludf.DUMMYFUNCTION("IMPORTRANGE(H731,""IDENTITAS UNIT!D9"")"),"https://maps.app.goo.gl/PLnCgi27qst2n2Q86")</f>
        <v>https://maps.app.goo.gl/PLnCgi27qst2n2Q86</v>
      </c>
      <c r="G731" s="4" t="s">
        <v>13205</v>
      </c>
      <c r="H731" s="101" t="str">
        <v>https://docs.google.com/spreadsheets/d/1DdzJmM06x-glnl3GscloMiRH_dyFnrzJVEoTTJWoqJg</v>
      </c>
      <c r="I731" s="101" t="str">
        <v>https://docs.google.com/open?id=1DdzJmM06x-glnl3GscloMiRH_dyFnrzJVEoTTJWoqJg</v>
      </c>
      <c r="J731" s="4" t="str">
        <v>RW 2, Notoprajan, Ngampilan</v>
      </c>
      <c r="L731" s="99" t="str">
        <f ca="1">IFERROR(__xludf.DUMMYFUNCTION("IMPORTRANGE(H731,""IDENTITAS UNIT!D35"")"),"Budi Santoso")</f>
        <v>Budi Santoso</v>
      </c>
    </row>
    <row r="732" spans="1:12" ht="49.5" hidden="1">
      <c r="A732" s="4" t="str">
        <v>Alternatif Periode ke-89 IV.C.3</v>
      </c>
      <c r="B732" s="4" t="str">
        <v>Alternatif Periode ke-89</v>
      </c>
      <c r="C732" s="4" t="str">
        <v>IV.C.3</v>
      </c>
      <c r="D732" s="101" t="str">
        <v>https://drive.google.com/open?id=1EGodTSi4EVGsscuAEweNLqHJexpFamluXrI8o4isKws&amp;usp=drive_copy</v>
      </c>
      <c r="E732" s="101" t="str">
        <v>https://drive.google.com/open?id=1EGodTSi4EVGsscuAEweNLqHJexpFamluXrI8o4isKws</v>
      </c>
      <c r="F732" s="103" t="str">
        <f ca="1">IFERROR(__xludf.DUMMYFUNCTION("IMPORTRANGE(H732,""IDENTITAS UNIT!D9"")"),"https://maps.app.goo.gl/VmCMheCxPL6b1hGW6")</f>
        <v>https://maps.app.goo.gl/VmCMheCxPL6b1hGW6</v>
      </c>
      <c r="G732" s="4" t="s">
        <v>13206</v>
      </c>
      <c r="H732" s="101" t="str">
        <v>https://docs.google.com/spreadsheets/d/1EGodTSi4EVGsscuAEweNLqHJexpFamluXrI8o4isKws</v>
      </c>
      <c r="I732" s="101" t="str">
        <v>https://docs.google.com/open?id=1EGodTSi4EVGsscuAEweNLqHJexpFamluXrI8o4isKws</v>
      </c>
      <c r="J732" s="4" t="str">
        <v>RW 3, Notoprajan, Ngampilan</v>
      </c>
      <c r="L732" s="99" t="str">
        <f ca="1">IFERROR(__xludf.DUMMYFUNCTION("IMPORTRANGE(H732,""IDENTITAS UNIT!D35"")"),"Adelia Dekrit Mega Bintang")</f>
        <v>Adelia Dekrit Mega Bintang</v>
      </c>
    </row>
    <row r="733" spans="1:12" ht="49.5" hidden="1">
      <c r="A733" s="4" t="str">
        <v>Alternatif Periode ke-89 IV.D.1</v>
      </c>
      <c r="B733" s="4" t="str">
        <v>Alternatif Periode ke-89</v>
      </c>
      <c r="C733" s="4" t="str">
        <v>IV.D.1</v>
      </c>
      <c r="D733" s="101" t="str">
        <v>https://drive.google.com/open?id=1GKFZB2ZgLyj-2sXoNSsxZ7TMuEoz_6HUSJJCrNs6HGo&amp;usp=drive_copy</v>
      </c>
      <c r="E733" s="101" t="str">
        <v>https://drive.google.com/open?id=1GKFZB2ZgLyj-2sXoNSsxZ7TMuEoz_6HUSJJCrNs6HGo</v>
      </c>
      <c r="F733" s="103" t="str">
        <f ca="1">IFERROR(__xludf.DUMMYFUNCTION("IMPORTRANGE(H733,""IDENTITAS UNIT!D9"")"),"https://maps.app.goo.gl/D2djrJ2Vg1BkvBkGA")</f>
        <v>https://maps.app.goo.gl/D2djrJ2Vg1BkvBkGA</v>
      </c>
      <c r="G733" s="4" t="s">
        <v>13207</v>
      </c>
      <c r="H733" s="101" t="str">
        <v>https://docs.google.com/spreadsheets/d/1GKFZB2ZgLyj-2sXoNSsxZ7TMuEoz_6HUSJJCrNs6HGo</v>
      </c>
      <c r="I733" s="101" t="str">
        <v>https://docs.google.com/open?id=1GKFZB2ZgLyj-2sXoNSsxZ7TMuEoz_6HUSJJCrNs6HGo</v>
      </c>
      <c r="J733" s="4" t="str">
        <v>RW 4, Notoprajan, Ngampilan</v>
      </c>
      <c r="L733" s="99" t="str">
        <f ca="1">IFERROR(__xludf.DUMMYFUNCTION("IMPORTRANGE(H733,""IDENTITAS UNIT!D35"")"),"Ari Saputra")</f>
        <v>Ari Saputra</v>
      </c>
    </row>
    <row r="734" spans="1:12" ht="49.5" hidden="1">
      <c r="A734" s="4" t="str">
        <v>Alternatif Periode ke-89 IV.D.2</v>
      </c>
      <c r="B734" s="4" t="str">
        <v>Alternatif Periode ke-89</v>
      </c>
      <c r="C734" s="4" t="str">
        <v>IV.D.2</v>
      </c>
      <c r="D734" s="101" t="str">
        <v>https://drive.google.com/open?id=1GtMyGXZYhTZmt73tEue0FyKbQlpdxCgwlC3BHP5StoU&amp;usp=drive_copy</v>
      </c>
      <c r="E734" s="101" t="str">
        <v>https://drive.google.com/open?id=1GtMyGXZYhTZmt73tEue0FyKbQlpdxCgwlC3BHP5StoU</v>
      </c>
      <c r="F734" s="103" t="str">
        <f ca="1">IFERROR(__xludf.DUMMYFUNCTION("IMPORTRANGE(H734,""IDENTITAS UNIT!D9"")"),"https://maps.app.goo.gl/Z5GFDfbSgbp1eTEa7?g_st=iw")</f>
        <v>https://maps.app.goo.gl/Z5GFDfbSgbp1eTEa7?g_st=iw</v>
      </c>
      <c r="G734" s="4" t="s">
        <v>13208</v>
      </c>
      <c r="H734" s="101" t="str">
        <v>https://docs.google.com/spreadsheets/d/1GtMyGXZYhTZmt73tEue0FyKbQlpdxCgwlC3BHP5StoU</v>
      </c>
      <c r="I734" s="101" t="str">
        <v>https://docs.google.com/open?id=1GtMyGXZYhTZmt73tEue0FyKbQlpdxCgwlC3BHP5StoU</v>
      </c>
      <c r="J734" s="4" t="str">
        <v>RW 5, Notoprajan, Ngampilan</v>
      </c>
      <c r="L734" s="99" t="str">
        <f ca="1">IFERROR(__xludf.DUMMYFUNCTION("IMPORTRANGE(H734,""IDENTITAS UNIT!D35"")"),"Ponco Arif Wicaksono")</f>
        <v>Ponco Arif Wicaksono</v>
      </c>
    </row>
    <row r="735" spans="1:12" ht="49.5" hidden="1">
      <c r="A735" s="4" t="str">
        <v>Alternatif Periode ke-89 IV.D.3</v>
      </c>
      <c r="B735" s="4" t="str">
        <v>Alternatif Periode ke-89</v>
      </c>
      <c r="C735" s="4" t="str">
        <v>IV.D.3</v>
      </c>
      <c r="D735" s="101" t="str">
        <v>https://drive.google.com/open?id=1IccExUFXt5XdjHHTMrTFVK-VM4nKT4kcsB6qQ482lao&amp;usp=drive_copy</v>
      </c>
      <c r="E735" s="101" t="str">
        <v>https://drive.google.com/open?id=1IccExUFXt5XdjHHTMrTFVK-VM4nKT4kcsB6qQ482lao</v>
      </c>
      <c r="F735" s="103" t="str">
        <f ca="1">IFERROR(__xludf.DUMMYFUNCTION("IMPORTRANGE(H735,""IDENTITAS UNIT!D9"")"),"https://maps.app.goo.gl/UQ2Aaz6ArRBRCWNi9")</f>
        <v>https://maps.app.goo.gl/UQ2Aaz6ArRBRCWNi9</v>
      </c>
      <c r="G735" s="4" t="s">
        <v>13209</v>
      </c>
      <c r="H735" s="101" t="str">
        <v>https://docs.google.com/spreadsheets/d/1IccExUFXt5XdjHHTMrTFVK-VM4nKT4kcsB6qQ482lao</v>
      </c>
      <c r="I735" s="101" t="str">
        <v>https://docs.google.com/open?id=1IccExUFXt5XdjHHTMrTFVK-VM4nKT4kcsB6qQ482lao</v>
      </c>
      <c r="J735" s="4" t="str">
        <v>RW 6, Notoprajan, Ngampilan</v>
      </c>
      <c r="L735" s="99" t="str">
        <f ca="1">IFERROR(__xludf.DUMMYFUNCTION("IMPORTRANGE(H735,""IDENTITAS UNIT!D35"")"),"Zaiful Richi Nurrohmat")</f>
        <v>Zaiful Richi Nurrohmat</v>
      </c>
    </row>
    <row r="736" spans="1:12" ht="49.5" hidden="1">
      <c r="A736" s="4" t="str">
        <v>Alternatif Periode ke-89 V.A.1</v>
      </c>
      <c r="B736" s="4" t="str">
        <v>Alternatif Periode ke-89</v>
      </c>
      <c r="C736" s="4" t="str">
        <v>V.A.1</v>
      </c>
      <c r="D736" s="101" t="str">
        <v>https://drive.google.com/open?id=1NfSL4hQNYhYS76hNjW8IcTXq2ARCR3aTuOdBmpzbUo8&amp;usp=drive_copy</v>
      </c>
      <c r="E736" s="101" t="str">
        <v>https://drive.google.com/open?id=1NfSL4hQNYhYS76hNjW8IcTXq2ARCR3aTuOdBmpzbUo8</v>
      </c>
      <c r="F736" s="103" t="str">
        <f ca="1">IFERROR(__xludf.DUMMYFUNCTION("IMPORTRANGE(H736,""IDENTITAS UNIT!D9"")"),"https://maps.app.goo.gl/ySgfwWnUrQbmGvsH8")</f>
        <v>https://maps.app.goo.gl/ySgfwWnUrQbmGvsH8</v>
      </c>
      <c r="G736" s="4" t="s">
        <v>13210</v>
      </c>
      <c r="H736" s="101" t="str">
        <v>https://docs.google.com/spreadsheets/d/1NfSL4hQNYhYS76hNjW8IcTXq2ARCR3aTuOdBmpzbUo8</v>
      </c>
      <c r="I736" s="101" t="str">
        <v>https://docs.google.com/open?id=1NfSL4hQNYhYS76hNjW8IcTXq2ARCR3aTuOdBmpzbUo8</v>
      </c>
      <c r="J736" s="4" t="str">
        <v>RW 7, Notoprajan, Ngampilan</v>
      </c>
      <c r="L736" s="99" t="str">
        <f ca="1">IFERROR(__xludf.DUMMYFUNCTION("IMPORTRANGE(H736,""IDENTITAS UNIT!D35"")"),"Izza Alvin Aditya")</f>
        <v>Izza Alvin Aditya</v>
      </c>
    </row>
    <row r="737" spans="1:12" ht="49.5" hidden="1">
      <c r="A737" s="4" t="str">
        <v>Alternatif Periode ke-89 V.A.2</v>
      </c>
      <c r="B737" s="4" t="str">
        <v>Alternatif Periode ke-89</v>
      </c>
      <c r="C737" s="4" t="str">
        <v>V.A.2</v>
      </c>
      <c r="D737" s="101" t="str">
        <v>https://drive.google.com/open?id=1Ktsuh0-AFhJe76t0Pi334cE3ekohdRbPx2bysuw-sG4&amp;usp=drive_copy</v>
      </c>
      <c r="E737" s="101" t="str">
        <v>https://drive.google.com/open?id=1Ktsuh0-AFhJe76t0Pi334cE3ekohdRbPx2bysuw-sG4</v>
      </c>
      <c r="F737" s="103" t="str">
        <f ca="1">IFERROR(__xludf.DUMMYFUNCTION("IMPORTRANGE(H737,""IDENTITAS UNIT!D9"")"),"https://maps.app.goo.gl/rNgH9knVYXK8xJyv6")</f>
        <v>https://maps.app.goo.gl/rNgH9knVYXK8xJyv6</v>
      </c>
      <c r="G737" s="4" t="s">
        <v>13211</v>
      </c>
      <c r="H737" s="101" t="str">
        <v>https://docs.google.com/spreadsheets/d/1Ktsuh0-AFhJe76t0Pi334cE3ekohdRbPx2bysuw-sG4</v>
      </c>
      <c r="I737" s="101" t="str">
        <v>https://docs.google.com/open?id=1Ktsuh0-AFhJe76t0Pi334cE3ekohdRbPx2bysuw-sG4</v>
      </c>
      <c r="J737" s="4" t="str">
        <v>RW 8, Notoprajan, Ngampilan</v>
      </c>
      <c r="L737" s="99" t="str">
        <f ca="1">IFERROR(__xludf.DUMMYFUNCTION("IMPORTRANGE(H737,""IDENTITAS UNIT!D35"")"),"REVATA DENDI AURIX P")</f>
        <v>REVATA DENDI AURIX P</v>
      </c>
    </row>
    <row r="738" spans="1:12" ht="49.5" hidden="1">
      <c r="A738" s="4" t="str">
        <v>Alternatif Periode ke-89 V.B.1</v>
      </c>
      <c r="B738" s="4" t="str">
        <v>Alternatif Periode ke-89</v>
      </c>
      <c r="C738" s="4" t="str">
        <v>V.B.1</v>
      </c>
      <c r="D738" s="101" t="str">
        <v>https://drive.google.com/open?id=1KlknmlzdwCizIktTE1fk7Ov3VKf1zDKLF2eHBbbdjkE&amp;usp=drive_copy</v>
      </c>
      <c r="E738" s="101" t="str">
        <v>https://drive.google.com/open?id=1KlknmlzdwCizIktTE1fk7Ov3VKf1zDKLF2eHBbbdjkE</v>
      </c>
      <c r="F738" s="103" t="str">
        <f ca="1">IFERROR(__xludf.DUMMYFUNCTION("IMPORTRANGE(H738,""IDENTITAS UNIT!D9"")"),"https://maps.app.goo.gl/VcnvcTTesTSYMotJ7")</f>
        <v>https://maps.app.goo.gl/VcnvcTTesTSYMotJ7</v>
      </c>
      <c r="G738" s="4" t="s">
        <v>13212</v>
      </c>
      <c r="H738" s="101" t="str">
        <v>https://docs.google.com/spreadsheets/d/1KlknmlzdwCizIktTE1fk7Ov3VKf1zDKLF2eHBbbdjkE</v>
      </c>
      <c r="I738" s="101" t="str">
        <v>https://docs.google.com/open?id=1KlknmlzdwCizIktTE1fk7Ov3VKf1zDKLF2eHBbbdjkE</v>
      </c>
      <c r="J738" s="4" t="str">
        <v>RW 1, Pakuncen, Wirobrajan</v>
      </c>
      <c r="L738" s="99" t="str">
        <f ca="1">IFERROR(__xludf.DUMMYFUNCTION("IMPORTRANGE(H738,""IDENTITAS UNIT!D35"")"),"Eliza Amalia Istiqomah")</f>
        <v>Eliza Amalia Istiqomah</v>
      </c>
    </row>
    <row r="739" spans="1:12" ht="49.5" hidden="1">
      <c r="A739" s="4" t="str">
        <v>Alternatif Periode ke-89 V.B.2</v>
      </c>
      <c r="B739" s="4" t="str">
        <v>Alternatif Periode ke-89</v>
      </c>
      <c r="C739" s="4" t="str">
        <v>V.B.2</v>
      </c>
      <c r="D739" s="101" t="str">
        <v>https://drive.google.com/open?id=1yHOcB0P0-C8bbDp9y6_e3_QhPg-8swyMHSB4vAEEvvo&amp;usp=drive_copy</v>
      </c>
      <c r="E739" s="101" t="str">
        <v>https://drive.google.com/open?id=1yHOcB0P0-C8bbDp9y6_e3_QhPg-8swyMHSB4vAEEvvo</v>
      </c>
      <c r="F739" s="103" t="str">
        <f ca="1">IFERROR(__xludf.DUMMYFUNCTION("IMPORTRANGE(H739,""IDENTITAS UNIT!D9"")"),"https://maps.app.goo.gl/x1dLUgG2oNkpz9J66")</f>
        <v>https://maps.app.goo.gl/x1dLUgG2oNkpz9J66</v>
      </c>
      <c r="G739" s="4" t="s">
        <v>13213</v>
      </c>
      <c r="H739" s="101" t="str">
        <v>https://docs.google.com/spreadsheets/d/1yHOcB0P0-C8bbDp9y6_e3_QhPg-8swyMHSB4vAEEvvo</v>
      </c>
      <c r="I739" s="101" t="str">
        <v>https://docs.google.com/open?id=1yHOcB0P0-C8bbDp9y6_e3_QhPg-8swyMHSB4vAEEvvo</v>
      </c>
      <c r="J739" s="4" t="str">
        <v>RW 2, Pakuncen, Wirobrajan</v>
      </c>
      <c r="L739" s="99" t="str">
        <f ca="1">IFERROR(__xludf.DUMMYFUNCTION("IMPORTRANGE(H739,""IDENTITAS UNIT!D35"")"),"Dheva Adhi Dharma")</f>
        <v>Dheva Adhi Dharma</v>
      </c>
    </row>
    <row r="740" spans="1:12" ht="409.5" hidden="1">
      <c r="A740" s="4" t="str">
        <v>Alternatif Periode ke-89 V.B.3</v>
      </c>
      <c r="B740" s="4" t="str">
        <v>Alternatif Periode ke-89</v>
      </c>
      <c r="C740" s="4" t="str">
        <v>V.B.3</v>
      </c>
      <c r="D740" s="101" t="str">
        <v>https://drive.google.com/open?id=1v-LVk_FIVSQP6J1HbOw49lsrOQrwAMrqUGNvchMQ-RE&amp;usp=drive_copy</v>
      </c>
      <c r="E740" s="101" t="str">
        <v>https://drive.google.com/open?id=1v-LVk_FIVSQP6J1HbOw49lsrOQrwAMrqUGNvchMQ-RE</v>
      </c>
      <c r="F740" s="103" t="str">
        <f ca="1">IFERROR(__xludf.DUMMYFUNCTION("IMPORTRANGE(H740,""IDENTITAS UNIT!D9"")"),"https://www.google.com/maps/place/%EA%A6%A9%EA%A6%B1%EA%A7%80%EA%A6%97%EA%A6%B6%EA%A6%A3%EA%A7%80%EA%A6%84%EA%A6%AD%EA%A7%80%EA%A6%B2%EA%A6%B8%EA%A6%A3+Masjid+Al+Huda,+Jl.+Ngadimulya,+Rw+03,+Wirobrajan,+Pakuncen,+Wirobrajan,+Kota+Yogyakarta,+Daerah+Istime"&amp;"wa+Yogyakarta+55253/data=!4m2!3m1!1s0x2e7a581f916a9235:0xc1032120c3a798f4?utm_source=mstt_1&amp;entry=gps&amp;lucs=47068615,,47075915&amp;g_ep=CAESCTExLjk5LjUwMRgAINeCAyoSNDcwNjg2MTUsLDQ3MDc1OTE1QgJJRA%3D%3D")</f>
        <v>https://www.google.com/maps/place/%EA%A6%A9%EA%A6%B1%EA%A7%80%EA%A6%97%EA%A6%B6%EA%A6%A3%EA%A7%80%EA%A6%84%EA%A6%AD%EA%A7%80%EA%A6%B2%EA%A6%B8%EA%A6%A3+Masjid+Al+Huda,+Jl.+Ngadimulya,+Rw+03,+Wirobrajan,+Pakuncen,+Wirobrajan,+Kota+Yogyakarta,+Daerah+Istimewa+Yogyakarta+55253/data=!4m2!3m1!1s0x2e7a581f916a9235:0xc1032120c3a798f4?utm_source=mstt_1&amp;entry=gps&amp;lucs=47068615,,47075915&amp;g_ep=CAESCTExLjk5LjUwMRgAINeCAyoSNDcwNjg2MTUsLDQ3MDc1OTE1QgJJRA%3D%3D</v>
      </c>
      <c r="G740" s="4" t="s">
        <v>13214</v>
      </c>
      <c r="H740" s="101" t="str">
        <v>https://docs.google.com/spreadsheets/d/1v-LVk_FIVSQP6J1HbOw49lsrOQrwAMrqUGNvchMQ-RE</v>
      </c>
      <c r="I740" s="101" t="str">
        <v>https://docs.google.com/open?id=1v-LVk_FIVSQP6J1HbOw49lsrOQrwAMrqUGNvchMQ-RE</v>
      </c>
      <c r="J740" s="4" t="str">
        <v>RW 3, Pakuncen, Wirobrajan</v>
      </c>
      <c r="L740" s="99" t="str">
        <f ca="1">IFERROR(__xludf.DUMMYFUNCTION("IMPORTRANGE(H740,""IDENTITAS UNIT!D35"")"),"ZULFIKRI SODIQ ENDRAWAN")</f>
        <v>ZULFIKRI SODIQ ENDRAWAN</v>
      </c>
    </row>
    <row r="741" spans="1:12" ht="49.5" hidden="1">
      <c r="A741" s="4" t="str">
        <v>Alternatif Periode ke-89 V.C.1</v>
      </c>
      <c r="B741" s="4" t="str">
        <v>Alternatif Periode ke-89</v>
      </c>
      <c r="C741" s="4" t="str">
        <v>V.C.1</v>
      </c>
      <c r="D741" s="101" t="str">
        <v>https://drive.google.com/open?id=1uGLafnwIlis0kZmaAo4Pjzeo7Z74zkABUJIvqmVN_YE&amp;usp=drive_copy</v>
      </c>
      <c r="E741" s="101" t="str">
        <v>https://drive.google.com/open?id=1uGLafnwIlis0kZmaAo4Pjzeo7Z74zkABUJIvqmVN_YE</v>
      </c>
      <c r="F741" s="103" t="str">
        <f ca="1">IFERROR(__xludf.DUMMYFUNCTION("IMPORTRANGE(H741,""IDENTITAS UNIT!D9"")"),"https://maps.app.goo.gl/tGR513m6oZdkX9MV9")</f>
        <v>https://maps.app.goo.gl/tGR513m6oZdkX9MV9</v>
      </c>
      <c r="G741" s="4" t="s">
        <v>13215</v>
      </c>
      <c r="H741" s="101" t="str">
        <v>https://docs.google.com/spreadsheets/d/1uGLafnwIlis0kZmaAo4Pjzeo7Z74zkABUJIvqmVN_YE</v>
      </c>
      <c r="I741" s="101" t="str">
        <v>https://docs.google.com/open?id=1uGLafnwIlis0kZmaAo4Pjzeo7Z74zkABUJIvqmVN_YE</v>
      </c>
      <c r="J741" s="4" t="str">
        <v>RW 4, Pakuncen, Wirobrajan</v>
      </c>
      <c r="L741" s="99" t="str">
        <f ca="1">IFERROR(__xludf.DUMMYFUNCTION("IMPORTRANGE(H741,""IDENTITAS UNIT!D35"")"),"Raeyvaldo Dwi Hendriyanto")</f>
        <v>Raeyvaldo Dwi Hendriyanto</v>
      </c>
    </row>
    <row r="742" spans="1:12" ht="49.5" hidden="1">
      <c r="A742" s="4" t="str">
        <v>Alternatif Periode ke-89 V.C.2</v>
      </c>
      <c r="B742" s="4" t="str">
        <v>Alternatif Periode ke-89</v>
      </c>
      <c r="C742" s="4" t="str">
        <v>V.C.2</v>
      </c>
      <c r="D742" s="101" t="str">
        <v>https://drive.google.com/open?id=1tIXgfS-dcEy6_5BXEfusPr8ZzvcYQTZ4ccKowazlDVY&amp;usp=drive_copy</v>
      </c>
      <c r="E742" s="101" t="str">
        <v>https://drive.google.com/open?id=1tIXgfS-dcEy6_5BXEfusPr8ZzvcYQTZ4ccKowazlDVY</v>
      </c>
      <c r="F742" s="103" t="str">
        <f ca="1">IFERROR(__xludf.DUMMYFUNCTION("IMPORTRANGE(H742,""IDENTITAS UNIT!D9"")"),"https://maps.app.goo.gl/hsKg4MeneRZznPTG7?g_st=ic")</f>
        <v>https://maps.app.goo.gl/hsKg4MeneRZznPTG7?g_st=ic</v>
      </c>
      <c r="G742" s="4" t="s">
        <v>13216</v>
      </c>
      <c r="H742" s="101" t="str">
        <v>https://docs.google.com/spreadsheets/d/1tIXgfS-dcEy6_5BXEfusPr8ZzvcYQTZ4ccKowazlDVY</v>
      </c>
      <c r="I742" s="101" t="str">
        <v>https://docs.google.com/open?id=1tIXgfS-dcEy6_5BXEfusPr8ZzvcYQTZ4ccKowazlDVY</v>
      </c>
      <c r="J742" s="4" t="str">
        <v>RW 5, Pakuncen, Wirobrajan</v>
      </c>
      <c r="L742" s="99" t="str">
        <f ca="1">IFERROR(__xludf.DUMMYFUNCTION("IMPORTRANGE(H742,""IDENTITAS UNIT!D35"")"),"Halimatus Sadiah")</f>
        <v>Halimatus Sadiah</v>
      </c>
    </row>
    <row r="743" spans="1:12" ht="49.5" hidden="1">
      <c r="A743" s="4" t="str">
        <v>Alternatif Periode ke-89 V.C.3</v>
      </c>
      <c r="B743" s="4" t="str">
        <v>Alternatif Periode ke-89</v>
      </c>
      <c r="C743" s="4" t="str">
        <v>V.C.3</v>
      </c>
      <c r="D743" s="101" t="str">
        <v>https://drive.google.com/open?id=1sUZE1iVKscA9BL-_QSaoErR9lgGkVxkwuC5RyEU0yq8&amp;usp=drive_copy</v>
      </c>
      <c r="E743" s="101" t="str">
        <v>https://drive.google.com/open?id=1sUZE1iVKscA9BL-_QSaoErR9lgGkVxkwuC5RyEU0yq8</v>
      </c>
      <c r="F743" s="103" t="str">
        <f ca="1">IFERROR(__xludf.DUMMYFUNCTION("IMPORTRANGE(H743,""IDENTITAS UNIT!D9"")"),"https://maps.app.goo.gl/g6wqxTbGkgkSPQed6")</f>
        <v>https://maps.app.goo.gl/g6wqxTbGkgkSPQed6</v>
      </c>
      <c r="G743" s="4" t="s">
        <v>13217</v>
      </c>
      <c r="H743" s="101" t="str">
        <v>https://docs.google.com/spreadsheets/d/1sUZE1iVKscA9BL-_QSaoErR9lgGkVxkwuC5RyEU0yq8</v>
      </c>
      <c r="I743" s="101" t="str">
        <v>https://docs.google.com/open?id=1sUZE1iVKscA9BL-_QSaoErR9lgGkVxkwuC5RyEU0yq8</v>
      </c>
      <c r="J743" s="4" t="str">
        <v>RW 6, Pakuncen, Wirobrajan</v>
      </c>
      <c r="L743" s="99" t="str">
        <f ca="1">IFERROR(__xludf.DUMMYFUNCTION("IMPORTRANGE(H743,""IDENTITAS UNIT!D35"")"),"Rifqal Majid")</f>
        <v>Rifqal Majid</v>
      </c>
    </row>
    <row r="744" spans="1:12" ht="49.5" hidden="1">
      <c r="A744" s="4" t="str">
        <v>Alternatif Periode ke-89 V.D.1</v>
      </c>
      <c r="B744" s="4" t="str">
        <v>Alternatif Periode ke-89</v>
      </c>
      <c r="C744" s="4" t="str">
        <v>V.D.1</v>
      </c>
      <c r="D744" s="101" t="str">
        <v>https://drive.google.com/open?id=1sQstdyTWoH9wZivh1drMuerG_YTxIyrVkChnfl98yJA&amp;usp=drive_copy</v>
      </c>
      <c r="E744" s="101" t="str">
        <v>https://drive.google.com/open?id=1sQstdyTWoH9wZivh1drMuerG_YTxIyrVkChnfl98yJA</v>
      </c>
      <c r="F744" s="103" t="str">
        <f ca="1">IFERROR(__xludf.DUMMYFUNCTION("IMPORTRANGE(H744,""IDENTITAS UNIT!D9"")"),"https://maps.app.goo.gl/byqMX7eR5KuYGPSv8?g_st=iw")</f>
        <v>https://maps.app.goo.gl/byqMX7eR5KuYGPSv8?g_st=iw</v>
      </c>
      <c r="G744" s="4" t="s">
        <v>13218</v>
      </c>
      <c r="H744" s="101" t="str">
        <v>https://docs.google.com/spreadsheets/d/1sQstdyTWoH9wZivh1drMuerG_YTxIyrVkChnfl98yJA</v>
      </c>
      <c r="I744" s="101" t="str">
        <v>https://docs.google.com/open?id=1sQstdyTWoH9wZivh1drMuerG_YTxIyrVkChnfl98yJA</v>
      </c>
      <c r="J744" s="4" t="str">
        <v>RW 7, Pakuncen, Wirobrajan</v>
      </c>
      <c r="L744" s="99" t="str">
        <f ca="1">IFERROR(__xludf.DUMMYFUNCTION("IMPORTRANGE(H744,""IDENTITAS UNIT!D35"")"),"Ummi Zahratul Mufidah")</f>
        <v>Ummi Zahratul Mufidah</v>
      </c>
    </row>
    <row r="745" spans="1:12" ht="49.5" hidden="1">
      <c r="A745" s="4" t="str">
        <v>Alternatif Periode ke-89 V.D.2</v>
      </c>
      <c r="B745" s="4" t="str">
        <v>Alternatif Periode ke-89</v>
      </c>
      <c r="C745" s="4" t="str">
        <v>V.D.2</v>
      </c>
      <c r="D745" s="101" t="str">
        <v>https://drive.google.com/open?id=1mb1biGUdRjeJPMLsfv6DNq_8Xiud5nmDGHF308kq81g&amp;usp=drive_copy</v>
      </c>
      <c r="E745" s="101" t="str">
        <v>https://drive.google.com/open?id=1mb1biGUdRjeJPMLsfv6DNq_8Xiud5nmDGHF308kq81g</v>
      </c>
      <c r="F745" s="103" t="str">
        <f ca="1">IFERROR(__xludf.DUMMYFUNCTION("IMPORTRANGE(H745,""IDENTITAS UNIT!D9"")"),"https://maps.app.goo.gl/J6c5uKafJmjGYoWP7")</f>
        <v>https://maps.app.goo.gl/J6c5uKafJmjGYoWP7</v>
      </c>
      <c r="G745" s="4" t="s">
        <v>13219</v>
      </c>
      <c r="H745" s="101" t="str">
        <v>https://docs.google.com/spreadsheets/d/1mb1biGUdRjeJPMLsfv6DNq_8Xiud5nmDGHF308kq81g</v>
      </c>
      <c r="I745" s="101" t="str">
        <v>https://docs.google.com/open?id=1mb1biGUdRjeJPMLsfv6DNq_8Xiud5nmDGHF308kq81g</v>
      </c>
      <c r="J745" s="4" t="str">
        <v>RW 8, Pakuncen, Wirobrajan</v>
      </c>
      <c r="L745" s="99" t="str">
        <f ca="1">IFERROR(__xludf.DUMMYFUNCTION("IMPORTRANGE(H745,""IDENTITAS UNIT!D35"")"),"Ika Ristiani")</f>
        <v>Ika Ristiani</v>
      </c>
    </row>
    <row r="746" spans="1:12" ht="49.5" hidden="1">
      <c r="A746" s="4" t="str">
        <v>Alternatif Periode ke-89 V.D.3</v>
      </c>
      <c r="B746" s="4" t="str">
        <v>Alternatif Periode ke-89</v>
      </c>
      <c r="C746" s="4" t="str">
        <v>V.D.3</v>
      </c>
      <c r="D746" s="101" t="str">
        <v>https://drive.google.com/open?id=1d7iT8fLAxJeBp4TPBrgTuaes30t-zalwrkrCmeeEHI0&amp;usp=drive_copy</v>
      </c>
      <c r="E746" s="101" t="str">
        <v>https://drive.google.com/open?id=1d7iT8fLAxJeBp4TPBrgTuaes30t-zalwrkrCmeeEHI0</v>
      </c>
      <c r="F746" s="103" t="str">
        <f ca="1">IFERROR(__xludf.DUMMYFUNCTION("IMPORTRANGE(H746,""IDENTITAS UNIT!D9"")"),"https://maps.app.goo.gl/trxM4caPchdgmrea8")</f>
        <v>https://maps.app.goo.gl/trxM4caPchdgmrea8</v>
      </c>
      <c r="G746" s="4" t="s">
        <v>13220</v>
      </c>
      <c r="H746" s="101" t="str">
        <v>https://docs.google.com/spreadsheets/d/1d7iT8fLAxJeBp4TPBrgTuaes30t-zalwrkrCmeeEHI0</v>
      </c>
      <c r="I746" s="101" t="str">
        <v>https://docs.google.com/open?id=1d7iT8fLAxJeBp4TPBrgTuaes30t-zalwrkrCmeeEHI0</v>
      </c>
      <c r="J746" s="4" t="str">
        <v>RW 10, Pakuncen, Wirobrajan</v>
      </c>
      <c r="L746" s="99" t="str">
        <f ca="1">IFERROR(__xludf.DUMMYFUNCTION("IMPORTRANGE(H746,""IDENTITAS UNIT!D35"")"),"Risa Rahmadaniah Putri")</f>
        <v>Risa Rahmadaniah Putri</v>
      </c>
    </row>
    <row r="747" spans="1:12" ht="49.5" hidden="1">
      <c r="A747" s="4" t="str">
        <v>Alternatif Periode ke-89 VI.A.1</v>
      </c>
      <c r="B747" s="4" t="str">
        <v>Alternatif Periode ke-89</v>
      </c>
      <c r="C747" s="4" t="str">
        <v>VI.A.1</v>
      </c>
      <c r="D747" s="101" t="str">
        <v>https://drive.google.com/open?id=1mWO9AEmxDWm4C2TVAo3lPzikYlFfBhdHUKgdSFb8h0Q&amp;usp=drive_copy</v>
      </c>
      <c r="E747" s="101" t="str">
        <v>https://drive.google.com/open?id=1mWO9AEmxDWm4C2TVAo3lPzikYlFfBhdHUKgdSFb8h0Q</v>
      </c>
      <c r="F747" s="103" t="str">
        <f ca="1">IFERROR(__xludf.DUMMYFUNCTION("IMPORTRANGE(H747,""IDENTITAS UNIT!D9"")"),"https://maps.app.goo.gl/1CW6uF9HBRFjnzKdA")</f>
        <v>https://maps.app.goo.gl/1CW6uF9HBRFjnzKdA</v>
      </c>
      <c r="G747" s="4" t="s">
        <v>13221</v>
      </c>
      <c r="H747" s="101" t="str">
        <v>https://docs.google.com/spreadsheets/d/1mWO9AEmxDWm4C2TVAo3lPzikYlFfBhdHUKgdSFb8h0Q</v>
      </c>
      <c r="I747" s="101" t="str">
        <v>https://docs.google.com/open?id=1mWO9AEmxDWm4C2TVAo3lPzikYlFfBhdHUKgdSFb8h0Q</v>
      </c>
      <c r="J747" s="4" t="str">
        <v>RW 11, Pakuncen, Wirobrajan</v>
      </c>
      <c r="L747" s="99" t="str">
        <f ca="1">IFERROR(__xludf.DUMMYFUNCTION("IMPORTRANGE(H747,""IDENTITAS UNIT!D35"")"),"Akbar Arif Muhammad")</f>
        <v>Akbar Arif Muhammad</v>
      </c>
    </row>
    <row r="748" spans="1:12" ht="33" hidden="1">
      <c r="A748" s="4" t="str">
        <v>Alternatif Periode ke-89 VI.A.2</v>
      </c>
      <c r="B748" s="4" t="str">
        <v>Alternatif Periode ke-89</v>
      </c>
      <c r="C748" s="4" t="str">
        <v>VI.A.2</v>
      </c>
      <c r="D748" s="101" t="str">
        <v>https://drive.google.com/open?id=1m5dUtlmU7stLw5HoKctMMpoy3gQ6QrgFU3z3hCirk2A&amp;usp=drive_copy</v>
      </c>
      <c r="E748" s="101" t="str">
        <v>https://drive.google.com/open?id=1m5dUtlmU7stLw5HoKctMMpoy3gQ6QrgFU3z3hCirk2A</v>
      </c>
      <c r="F748" s="102" t="str">
        <f ca="1">IFERROR(__xludf.DUMMYFUNCTION("IMPORTRANGE(H748,""IDENTITAS UNIT!D9"")"),"Koperasi Singosaren")</f>
        <v>Koperasi Singosaren</v>
      </c>
      <c r="G748" s="4" t="s">
        <v>13222</v>
      </c>
      <c r="H748" s="101" t="str">
        <v>https://docs.google.com/spreadsheets/d/1m5dUtlmU7stLw5HoKctMMpoy3gQ6QrgFU3z3hCirk2A</v>
      </c>
      <c r="I748" s="101" t="str">
        <v>https://docs.google.com/open?id=1m5dUtlmU7stLw5HoKctMMpoy3gQ6QrgFU3z3hCirk2A</v>
      </c>
      <c r="J748" s="4" t="str">
        <v>RW 12, Pakuncen, Wirobrajan</v>
      </c>
      <c r="L748" s="99" t="str">
        <f ca="1">IFERROR(__xludf.DUMMYFUNCTION("IMPORTRANGE(H748,""IDENTITAS UNIT!D35"")"),"Dimas Urip Santoso")</f>
        <v>Dimas Urip Santoso</v>
      </c>
    </row>
    <row r="749" spans="1:12" ht="16.5" hidden="1">
      <c r="A749" s="4" t="str">
        <v>Alternatif Periode ke-89 VI.A.3</v>
      </c>
      <c r="B749" s="4" t="str">
        <v>Alternatif Periode ke-89</v>
      </c>
      <c r="C749" s="4" t="str">
        <v>VI.A.3</v>
      </c>
      <c r="D749" s="101" t="str">
        <v>https://drive.google.com/open?id=1iS7GQzTWD1xeGO-VZl3XCq2gJT68EXEs-laiahTPNSg&amp;usp=drive_copy</v>
      </c>
      <c r="E749" s="101" t="str">
        <v>https://drive.google.com/open?id=1iS7GQzTWD1xeGO-VZl3XCq2gJT68EXEs-laiahTPNSg</v>
      </c>
      <c r="F749" s="102" t="str">
        <f ca="1">IFERROR(__xludf.DUMMYFUNCTION("IMPORTRANGE(H749,""IDENTITAS UNIT!D9"")"),"#REF!")</f>
        <v>#REF!</v>
      </c>
      <c r="G749" s="4" t="s">
        <v>13223</v>
      </c>
      <c r="H749" s="101" t="str">
        <v>https://docs.google.com/spreadsheets/d/1iS7GQzTWD1xeGO-VZl3XCq2gJT68EXEs-laiahTPNSg</v>
      </c>
      <c r="I749" s="101" t="str">
        <v>https://docs.google.com/open?id=1iS7GQzTWD1xeGO-VZl3XCq2gJT68EXEs-laiahTPNSg</v>
      </c>
      <c r="J749" s="4" t="str">
        <v>RW 2, Wirobrajan, Wirobrajan</v>
      </c>
      <c r="L749" s="99" t="str">
        <f ca="1">IFERROR(__xludf.DUMMYFUNCTION("IMPORTRANGE(H749,""IDENTITAS UNIT!D35"")"),"#REF!")</f>
        <v>#REF!</v>
      </c>
    </row>
    <row r="750" spans="1:12" ht="49.5" hidden="1">
      <c r="A750" s="4" t="str">
        <v>Alternatif Periode ke-89 VI.B.1</v>
      </c>
      <c r="B750" s="4" t="str">
        <v>Alternatif Periode ke-89</v>
      </c>
      <c r="C750" s="4" t="str">
        <v>VI.B.1</v>
      </c>
      <c r="D750" s="101" t="str">
        <v>https://drive.google.com/open?id=1dex4fmiuuWlVcHMMSrRcYibNGJHvdGqAj1gqWoj0SZo&amp;usp=drive_copy</v>
      </c>
      <c r="E750" s="101" t="str">
        <v>https://drive.google.com/open?id=1dex4fmiuuWlVcHMMSrRcYibNGJHvdGqAj1gqWoj0SZo</v>
      </c>
      <c r="F750" s="103" t="str">
        <f ca="1">IFERROR(__xludf.DUMMYFUNCTION("IMPORTRANGE(H750,""IDENTITAS UNIT!D9"")"),"https://maps.app.goo.gl/dYTGidMNR5T3PRydA								")</f>
        <v xml:space="preserve">https://maps.app.goo.gl/dYTGidMNR5T3PRydA								</v>
      </c>
      <c r="G750" s="4" t="s">
        <v>13224</v>
      </c>
      <c r="H750" s="101" t="str">
        <v>https://docs.google.com/spreadsheets/d/1dex4fmiuuWlVcHMMSrRcYibNGJHvdGqAj1gqWoj0SZo</v>
      </c>
      <c r="I750" s="101" t="str">
        <v>https://docs.google.com/open?id=1dex4fmiuuWlVcHMMSrRcYibNGJHvdGqAj1gqWoj0SZo</v>
      </c>
      <c r="J750" s="4" t="str">
        <v>RW 3, Wirobrajan, Wirobrajan</v>
      </c>
      <c r="L750" s="99" t="str">
        <f ca="1">IFERROR(__xludf.DUMMYFUNCTION("IMPORTRANGE(H750,""IDENTITAS UNIT!D35"")"),"MUHAMMAD SAUQI ALFATH JUNDULLAH")</f>
        <v>MUHAMMAD SAUQI ALFATH JUNDULLAH</v>
      </c>
    </row>
    <row r="751" spans="1:12" ht="49.5" hidden="1">
      <c r="A751" s="4" t="str">
        <v>Alternatif Periode ke-89 VI.B.2</v>
      </c>
      <c r="B751" s="4" t="str">
        <v>Alternatif Periode ke-89</v>
      </c>
      <c r="C751" s="4" t="str">
        <v>VI.B.2</v>
      </c>
      <c r="D751" s="101" t="str">
        <v>https://drive.google.com/open?id=1dFYKnraWoB3WZ4MP41EP4ghyuPLXWsObUHIR97NukCk&amp;usp=drive_copy</v>
      </c>
      <c r="E751" s="101" t="str">
        <v>https://drive.google.com/open?id=1dFYKnraWoB3WZ4MP41EP4ghyuPLXWsObUHIR97NukCk</v>
      </c>
      <c r="F751" s="103" t="str">
        <f ca="1">IFERROR(__xludf.DUMMYFUNCTION("IMPORTRANGE(H751,""IDENTITAS UNIT!D9"")"),"https://maps.app.goo.gl/CL2CBqPP5x18XYpe9")</f>
        <v>https://maps.app.goo.gl/CL2CBqPP5x18XYpe9</v>
      </c>
      <c r="G751" s="4" t="s">
        <v>13225</v>
      </c>
      <c r="H751" s="101" t="str">
        <v>https://docs.google.com/spreadsheets/d/1dFYKnraWoB3WZ4MP41EP4ghyuPLXWsObUHIR97NukCk</v>
      </c>
      <c r="I751" s="101" t="str">
        <v>https://docs.google.com/open?id=1dFYKnraWoB3WZ4MP41EP4ghyuPLXWsObUHIR97NukCk</v>
      </c>
      <c r="J751" s="4" t="str">
        <v>RW 4, Wirobrajan, Wirobrajan</v>
      </c>
      <c r="L751" s="99" t="str">
        <f ca="1">IFERROR(__xludf.DUMMYFUNCTION("IMPORTRANGE(H751,""IDENTITAS UNIT!D35"")"),"Rhafid Luhur Pambudi")</f>
        <v>Rhafid Luhur Pambudi</v>
      </c>
    </row>
    <row r="752" spans="1:12" ht="49.5" hidden="1">
      <c r="A752" s="4" t="str">
        <v>Alternatif Periode ke-89 VI.B.3</v>
      </c>
      <c r="B752" s="4" t="str">
        <v>Alternatif Periode ke-89</v>
      </c>
      <c r="C752" s="4" t="str">
        <v>VI.B.3</v>
      </c>
      <c r="D752" s="101" t="str">
        <v>https://drive.google.com/open?id=1bpzPTv2x34Z3f7I7vnh0EdNcL2_IXuBRk0j86EfK_i8&amp;usp=drive_copy</v>
      </c>
      <c r="E752" s="101" t="str">
        <v>https://drive.google.com/open?id=1bpzPTv2x34Z3f7I7vnh0EdNcL2_IXuBRk0j86EfK_i8</v>
      </c>
      <c r="F752" s="103" t="str">
        <f ca="1">IFERROR(__xludf.DUMMYFUNCTION("IMPORTRANGE(H752,""IDENTITAS UNIT!D9"")"),"https://maps.app.goo.gl/D4vTE8EpSoXzJjKJ7?g_st=iw")</f>
        <v>https://maps.app.goo.gl/D4vTE8EpSoXzJjKJ7?g_st=iw</v>
      </c>
      <c r="G752" s="4" t="s">
        <v>13226</v>
      </c>
      <c r="H752" s="101" t="str">
        <v>https://docs.google.com/spreadsheets/d/1bpzPTv2x34Z3f7I7vnh0EdNcL2_IXuBRk0j86EfK_i8</v>
      </c>
      <c r="I752" s="101" t="str">
        <v>https://docs.google.com/open?id=1bpzPTv2x34Z3f7I7vnh0EdNcL2_IXuBRk0j86EfK_i8</v>
      </c>
      <c r="J752" s="4" t="str">
        <v>RW 6, Wirobrajan, Wirobrajan</v>
      </c>
      <c r="L752" s="99" t="str">
        <f ca="1">IFERROR(__xludf.DUMMYFUNCTION("IMPORTRANGE(H752,""IDENTITAS UNIT!D35"")"),"Avif Ariyanto")</f>
        <v>Avif Ariyanto</v>
      </c>
    </row>
    <row r="753" spans="1:12" ht="49.5" hidden="1">
      <c r="A753" s="4" t="str">
        <v>Alternatif Periode ke-89 VI.C.1</v>
      </c>
      <c r="B753" s="4" t="str">
        <v>Alternatif Periode ke-89</v>
      </c>
      <c r="C753" s="4" t="str">
        <v>VI.C.1</v>
      </c>
      <c r="D753" s="101" t="str">
        <v>https://drive.google.com/open?id=1bR2ufX8Op8eqV5gVUrYQu6WPHgJ5sr0fP6saaNEWL-k&amp;usp=drive_copy</v>
      </c>
      <c r="E753" s="101" t="str">
        <v>https://drive.google.com/open?id=1bR2ufX8Op8eqV5gVUrYQu6WPHgJ5sr0fP6saaNEWL-k</v>
      </c>
      <c r="F753" s="103" t="str">
        <f ca="1">IFERROR(__xludf.DUMMYFUNCTION("IMPORTRANGE(H753,""IDENTITAS UNIT!D9"")"),"https://maps.app.goo.gl/jhGhMheu2RNaxQ6d6")</f>
        <v>https://maps.app.goo.gl/jhGhMheu2RNaxQ6d6</v>
      </c>
      <c r="G753" s="4" t="s">
        <v>13227</v>
      </c>
      <c r="H753" s="101" t="str">
        <v>https://docs.google.com/spreadsheets/d/1bR2ufX8Op8eqV5gVUrYQu6WPHgJ5sr0fP6saaNEWL-k</v>
      </c>
      <c r="I753" s="101" t="str">
        <v>https://docs.google.com/open?id=1bR2ufX8Op8eqV5gVUrYQu6WPHgJ5sr0fP6saaNEWL-k</v>
      </c>
      <c r="J753" s="4" t="str">
        <v>RW 7, Wirobrajan, Wirobrajan</v>
      </c>
      <c r="L753" s="99" t="str">
        <f ca="1">IFERROR(__xludf.DUMMYFUNCTION("IMPORTRANGE(H753,""IDENTITAS UNIT!D35"")"),"Muhammad Farid Fadillah")</f>
        <v>Muhammad Farid Fadillah</v>
      </c>
    </row>
    <row r="754" spans="1:12" ht="33" hidden="1">
      <c r="A754" s="4" t="str">
        <v>Alternatif Periode ke-89 VI.C.2</v>
      </c>
      <c r="B754" s="4" t="str">
        <v>Alternatif Periode ke-89</v>
      </c>
      <c r="C754" s="4" t="str">
        <v>VI.C.2</v>
      </c>
      <c r="D754" s="101" t="str">
        <v>https://drive.google.com/open?id=1YELInT8SSBdYpiVlIAGwh7WCJDvXKgQuw-Jk_gt43w8&amp;usp=drive_copy</v>
      </c>
      <c r="E754" s="101" t="str">
        <v>https://drive.google.com/open?id=1YELInT8SSBdYpiVlIAGwh7WCJDvXKgQuw-Jk_gt43w8</v>
      </c>
      <c r="F754" s="103" t="str">
        <f ca="1">IFERROR(__xludf.DUMMYFUNCTION("IMPORTRANGE(H754,""IDENTITAS UNIT!D9"")"),"Masjid Al-Barokah War-Rohmah")</f>
        <v>Masjid Al-Barokah War-Rohmah</v>
      </c>
      <c r="G754" s="4" t="s">
        <v>13228</v>
      </c>
      <c r="H754" s="101" t="str">
        <v>https://docs.google.com/spreadsheets/d/1YELInT8SSBdYpiVlIAGwh7WCJDvXKgQuw-Jk_gt43w8</v>
      </c>
      <c r="I754" s="101" t="str">
        <v>https://docs.google.com/open?id=1YELInT8SSBdYpiVlIAGwh7WCJDvXKgQuw-Jk_gt43w8</v>
      </c>
      <c r="J754" s="4" t="str">
        <v>RW 8, Wirobrajan, Wirobrajan</v>
      </c>
      <c r="L754" s="99" t="str">
        <f ca="1">IFERROR(__xludf.DUMMYFUNCTION("IMPORTRANGE(H754,""IDENTITAS UNIT!D35"")"),"Riana Maqhekah Narasiwi")</f>
        <v>Riana Maqhekah Narasiwi</v>
      </c>
    </row>
    <row r="755" spans="1:12" ht="33" hidden="1">
      <c r="A755" s="4" t="str">
        <v>Alternatif Periode ke-89 VI.C.3</v>
      </c>
      <c r="B755" s="4" t="str">
        <v>Alternatif Periode ke-89</v>
      </c>
      <c r="C755" s="4" t="str">
        <v>VI.C.3</v>
      </c>
      <c r="D755" s="101" t="str">
        <v>https://drive.google.com/open?id=1VIZS6PLpEBV87yqgP2xbtMPHM7PwDFK09G6hhgPNXac&amp;usp=drive_copy</v>
      </c>
      <c r="E755" s="101" t="str">
        <v>https://drive.google.com/open?id=1VIZS6PLpEBV87yqgP2xbtMPHM7PwDFK09G6hhgPNXac</v>
      </c>
      <c r="F755" s="102" t="str">
        <f ca="1">IFERROR(__xludf.DUMMYFUNCTION("IMPORTRANGE(H755,""IDENTITAS UNIT!D9"")"),"ꦩꦱ꧀ꦗꦶꦣ꧀ꦄꦂꦫꦥ꦳꧀ꦥ꦳ꦤ꧀ Masjid Ar-Raffan8")</f>
        <v>ꦩꦱ꧀ꦗꦶꦣ꧀ꦄꦂꦫꦥ꦳꧀ꦥ꦳ꦤ꧀ Masjid Ar-Raffan8</v>
      </c>
      <c r="G755" s="4" t="s">
        <v>13229</v>
      </c>
      <c r="H755" s="101" t="str">
        <v>https://docs.google.com/spreadsheets/d/1VIZS6PLpEBV87yqgP2xbtMPHM7PwDFK09G6hhgPNXac</v>
      </c>
      <c r="I755" s="101" t="str">
        <v>https://docs.google.com/open?id=1VIZS6PLpEBV87yqgP2xbtMPHM7PwDFK09G6hhgPNXac</v>
      </c>
      <c r="J755" s="4" t="str">
        <v>RW 10, Wirobrajan, Wirobrajan</v>
      </c>
      <c r="L755" s="99" t="str">
        <f ca="1">IFERROR(__xludf.DUMMYFUNCTION("IMPORTRANGE(H755,""IDENTITAS UNIT!D35"")"),"Fa`izatur Rofidah")</f>
        <v>Fa`izatur Rofidah</v>
      </c>
    </row>
    <row r="756" spans="1:12" ht="33" hidden="1">
      <c r="A756" s="4" t="str">
        <v>Alternatif Periode ke-89 VI.D.1</v>
      </c>
      <c r="B756" s="4" t="str">
        <v>Alternatif Periode ke-89</v>
      </c>
      <c r="C756" s="4" t="str">
        <v>VI.D.1</v>
      </c>
      <c r="D756" s="101" t="str">
        <v>https://drive.google.com/open?id=1R9atTXRoPxBG287AvyjX6m06NzqLOeB8pjDu-WO2m2k&amp;usp=drive_copy</v>
      </c>
      <c r="E756" s="101" t="str">
        <v>https://drive.google.com/open?id=1R9atTXRoPxBG287AvyjX6m06NzqLOeB8pjDu-WO2m2k</v>
      </c>
      <c r="F756" s="103" t="str">
        <f ca="1">IFERROR(__xludf.DUMMYFUNCTION("IMPORTRANGE(H756,""IDENTITAS UNIT!D9"")"),"https://g.co/kgs/1PgnpF")</f>
        <v>https://g.co/kgs/1PgnpF</v>
      </c>
      <c r="G756" s="4" t="s">
        <v>13230</v>
      </c>
      <c r="H756" s="101" t="str">
        <v>https://docs.google.com/spreadsheets/d/1R9atTXRoPxBG287AvyjX6m06NzqLOeB8pjDu-WO2m2k</v>
      </c>
      <c r="I756" s="101" t="str">
        <v>https://docs.google.com/open?id=1R9atTXRoPxBG287AvyjX6m06NzqLOeB8pjDu-WO2m2k</v>
      </c>
      <c r="J756" s="4" t="str">
        <v>RW 11, Wirobrajan, Wirobrajan</v>
      </c>
      <c r="L756" s="99" t="str">
        <f ca="1">IFERROR(__xludf.DUMMYFUNCTION("IMPORTRANGE(H756,""IDENTITAS UNIT!D35"")"),"Eka Laila Fithria Nita")</f>
        <v>Eka Laila Fithria Nita</v>
      </c>
    </row>
    <row r="757" spans="1:12" ht="49.5" hidden="1">
      <c r="A757" s="4" t="str">
        <v>Alternatif Periode ke-89 VI.D.2</v>
      </c>
      <c r="B757" s="4" t="str">
        <v>Alternatif Periode ke-89</v>
      </c>
      <c r="C757" s="4" t="str">
        <v>VI.D.2</v>
      </c>
      <c r="D757" s="101" t="str">
        <v>https://drive.google.com/open?id=1J4OUfYVevYIkMTNs7PYRvwLNtypwqeEwHbNQuRVjSkY&amp;usp=drive_copy</v>
      </c>
      <c r="E757" s="101" t="str">
        <v>https://drive.google.com/open?id=1J4OUfYVevYIkMTNs7PYRvwLNtypwqeEwHbNQuRVjSkY</v>
      </c>
      <c r="F757" s="103" t="str">
        <f ca="1">IFERROR(__xludf.DUMMYFUNCTION("IMPORTRANGE(H757,""IDENTITAS UNIT!D9"")"),"https://maps.app.goo.gl/rrJaDWsBaGfBzoEQ6")</f>
        <v>https://maps.app.goo.gl/rrJaDWsBaGfBzoEQ6</v>
      </c>
      <c r="G757" s="4" t="s">
        <v>13231</v>
      </c>
      <c r="H757" s="101" t="str">
        <v>https://docs.google.com/spreadsheets/d/1J4OUfYVevYIkMTNs7PYRvwLNtypwqeEwHbNQuRVjSkY</v>
      </c>
      <c r="I757" s="101" t="str">
        <v>https://docs.google.com/open?id=1J4OUfYVevYIkMTNs7PYRvwLNtypwqeEwHbNQuRVjSkY</v>
      </c>
      <c r="J757" s="4" t="str">
        <v>RW 1, Wirobrajan, Wirobrajan</v>
      </c>
      <c r="L757" s="99" t="str">
        <f ca="1">IFERROR(__xludf.DUMMYFUNCTION("IMPORTRANGE(H757,""IDENTITAS UNIT!D35"")"),"Fairuz Fatchiyyah Darajah")</f>
        <v>Fairuz Fatchiyyah Darajah</v>
      </c>
    </row>
    <row r="758" spans="1:12" ht="49.5" hidden="1">
      <c r="A758" s="4" t="str">
        <v>Alternatif Periode ke-89 VI.D.3</v>
      </c>
      <c r="B758" s="4" t="str">
        <v>Alternatif Periode ke-89</v>
      </c>
      <c r="C758" s="4" t="str">
        <v>VI.D.3</v>
      </c>
      <c r="D758" s="101" t="str">
        <v>https://drive.google.com/open?id=1HLBRY_1Lkamd5VGg5i5rIfoNxlv4N5eZyCauIpJV7UY&amp;usp=drive_copy</v>
      </c>
      <c r="E758" s="101" t="str">
        <v>https://drive.google.com/open?id=1HLBRY_1Lkamd5VGg5i5rIfoNxlv4N5eZyCauIpJV7UY</v>
      </c>
      <c r="F758" s="103" t="str">
        <f ca="1">IFERROR(__xludf.DUMMYFUNCTION("IMPORTRANGE(H758,""IDENTITAS UNIT!D9"")"),"https://maps.app.goo.gl/em9TqUC3ed87KptCA")</f>
        <v>https://maps.app.goo.gl/em9TqUC3ed87KptCA</v>
      </c>
      <c r="G758" s="4" t="s">
        <v>13232</v>
      </c>
      <c r="H758" s="101" t="str">
        <v>https://docs.google.com/spreadsheets/d/1HLBRY_1Lkamd5VGg5i5rIfoNxlv4N5eZyCauIpJV7UY</v>
      </c>
      <c r="I758" s="101" t="str">
        <v>https://docs.google.com/open?id=1HLBRY_1Lkamd5VGg5i5rIfoNxlv4N5eZyCauIpJV7UY</v>
      </c>
      <c r="J758" s="4" t="str">
        <v>RW 12, Wirobrajan, Wirobrajan</v>
      </c>
      <c r="L758" s="99" t="str">
        <f ca="1">IFERROR(__xludf.DUMMYFUNCTION("IMPORTRANGE(H758,""IDENTITAS UNIT!D35"")"),"Atalah Tadzaru Al-kindi")</f>
        <v>Atalah Tadzaru Al-kindi</v>
      </c>
    </row>
    <row r="759" spans="1:12" ht="49.5" hidden="1">
      <c r="A759" s="4" t="str">
        <v>Alternatif Periode ke-89 VII.A.1</v>
      </c>
      <c r="B759" s="4" t="str">
        <v>Alternatif Periode ke-89</v>
      </c>
      <c r="C759" s="4" t="str">
        <v>VII.A.1</v>
      </c>
      <c r="D759" s="101" t="str">
        <v>https://drive.google.com/open?id=1HBCQ_XXfUmpmKaHIn83dtmHplKxjITHcMoC7wOksBgw&amp;usp=drive_copy</v>
      </c>
      <c r="E759" s="101" t="str">
        <v>https://drive.google.com/open?id=1HBCQ_XXfUmpmKaHIn83dtmHplKxjITHcMoC7wOksBgw</v>
      </c>
      <c r="F759" s="103" t="str">
        <f ca="1">IFERROR(__xludf.DUMMYFUNCTION("IMPORTRANGE(H759,""IDENTITAS UNIT!D9"")"),"https://maps.app.goo.gl/sVamfttmqdX4rPtZ8?g_st=iw")</f>
        <v>https://maps.app.goo.gl/sVamfttmqdX4rPtZ8?g_st=iw</v>
      </c>
      <c r="G759" s="4" t="s">
        <v>13233</v>
      </c>
      <c r="H759" s="101" t="str">
        <v>https://docs.google.com/spreadsheets/d/1HBCQ_XXfUmpmKaHIn83dtmHplKxjITHcMoC7wOksBgw</v>
      </c>
      <c r="I759" s="101" t="str">
        <v>https://docs.google.com/open?id=1HBCQ_XXfUmpmKaHIn83dtmHplKxjITHcMoC7wOksBgw</v>
      </c>
      <c r="J759" s="4" t="str">
        <v>RW 1, Patangpuluhan, Wirobrajan</v>
      </c>
      <c r="L759" s="99" t="str">
        <f ca="1">IFERROR(__xludf.DUMMYFUNCTION("IMPORTRANGE(H759,""IDENTITAS UNIT!D35"")"),"Sumarlin")</f>
        <v>Sumarlin</v>
      </c>
    </row>
    <row r="760" spans="1:12" ht="33" hidden="1">
      <c r="A760" s="4" t="str">
        <v>Alternatif Periode ke-89 VII.A.2</v>
      </c>
      <c r="B760" s="4" t="str">
        <v>Alternatif Periode ke-89</v>
      </c>
      <c r="C760" s="4" t="str">
        <v>VII.A.2</v>
      </c>
      <c r="D760" s="101" t="str">
        <v>https://drive.google.com/open?id=1GUqqX2sUUIqUtHB-7RT8rcFxMd0I3LfOfcW5dGM5b5w&amp;usp=drive_copy</v>
      </c>
      <c r="E760" s="101" t="str">
        <v>https://drive.google.com/open?id=1GUqqX2sUUIqUtHB-7RT8rcFxMd0I3LfOfcW5dGM5b5w</v>
      </c>
      <c r="F760" s="102" t="str">
        <f ca="1">IFERROR(__xludf.DUMMYFUNCTION("IMPORTRANGE(H760,""IDENTITAS UNIT!D9"")"),"Masjid Kalimosodo Patangpuluhan6")</f>
        <v>Masjid Kalimosodo Patangpuluhan6</v>
      </c>
      <c r="G760" s="44" t="s">
        <v>13234</v>
      </c>
      <c r="H760" s="101" t="str">
        <v>https://docs.google.com/spreadsheets/d/1GUqqX2sUUIqUtHB-7RT8rcFxMd0I3LfOfcW5dGM5b5w</v>
      </c>
      <c r="I760" s="101" t="str">
        <v>https://docs.google.com/open?id=1GUqqX2sUUIqUtHB-7RT8rcFxMd0I3LfOfcW5dGM5b5w</v>
      </c>
      <c r="J760" s="4" t="str">
        <v>RW 4, Patangpuluhan, Wirobrajan</v>
      </c>
      <c r="L760" s="99" t="str">
        <f ca="1">IFERROR(__xludf.DUMMYFUNCTION("IMPORTRANGE(H760,""IDENTITAS UNIT!D35"")"),"Salim Ibrahim Bin Kadim")</f>
        <v>Salim Ibrahim Bin Kadim</v>
      </c>
    </row>
    <row r="761" spans="1:12" ht="49.5" hidden="1">
      <c r="A761" s="4" t="str">
        <v>Alternatif Periode ke-89 VII.A.3</v>
      </c>
      <c r="B761" s="4" t="str">
        <v>Alternatif Periode ke-89</v>
      </c>
      <c r="C761" s="4" t="str">
        <v>VII.A.3</v>
      </c>
      <c r="D761" s="101" t="str">
        <v>https://drive.google.com/open?id=1GC_-EMnONn18eWpzwximFq5MMWMRoaBXdFM7ruWd1zM&amp;usp=drive_copy</v>
      </c>
      <c r="E761" s="101" t="str">
        <v>https://drive.google.com/open?id=1GC_-EMnONn18eWpzwximFq5MMWMRoaBXdFM7ruWd1zM</v>
      </c>
      <c r="F761" s="103" t="str">
        <f ca="1">IFERROR(__xludf.DUMMYFUNCTION("IMPORTRANGE(H761,""IDENTITAS UNIT!D9"")"),"https://maps.app.goo.gl/2Ws6AS9sbRYqQT6K6")</f>
        <v>https://maps.app.goo.gl/2Ws6AS9sbRYqQT6K6</v>
      </c>
      <c r="G761" s="4" t="s">
        <v>13235</v>
      </c>
      <c r="H761" s="101" t="str">
        <v>https://docs.google.com/spreadsheets/d/1GC_-EMnONn18eWpzwximFq5MMWMRoaBXdFM7ruWd1zM</v>
      </c>
      <c r="I761" s="101" t="str">
        <v>https://docs.google.com/open?id=1GC_-EMnONn18eWpzwximFq5MMWMRoaBXdFM7ruWd1zM</v>
      </c>
      <c r="J761" s="4" t="str">
        <v>RW 5, Patangpuluhan, Wirobrajan</v>
      </c>
      <c r="L761" s="99" t="str">
        <f ca="1">IFERROR(__xludf.DUMMYFUNCTION("IMPORTRANGE(H761,""IDENTITAS UNIT!D35"")"),"FAJAR RAMADHAN DEVA REZKI")</f>
        <v>FAJAR RAMADHAN DEVA REZKI</v>
      </c>
    </row>
    <row r="762" spans="1:12" ht="49.5" hidden="1">
      <c r="A762" s="4" t="str">
        <v>Alternatif Periode ke-89 VII.B.1</v>
      </c>
      <c r="B762" s="4" t="str">
        <v>Alternatif Periode ke-89</v>
      </c>
      <c r="C762" s="4" t="str">
        <v>VII.B.1</v>
      </c>
      <c r="D762" s="101" t="str">
        <v>https://drive.google.com/open?id=1CmuAZGYYfPT-pN3Q5YamQd_O0eWSCmuNl-kHlIwnRRM&amp;usp=drive_copy</v>
      </c>
      <c r="E762" s="101" t="str">
        <v>https://drive.google.com/open?id=1CmuAZGYYfPT-pN3Q5YamQd_O0eWSCmuNl-kHlIwnRRM</v>
      </c>
      <c r="F762" s="103" t="str">
        <f ca="1">IFERROR(__xludf.DUMMYFUNCTION("IMPORTRANGE(H762,""IDENTITAS UNIT!D9"")"),"https://maps.app.goo.gl/tZXNSqMryNFby8vX9")</f>
        <v>https://maps.app.goo.gl/tZXNSqMryNFby8vX9</v>
      </c>
      <c r="G762" s="4" t="s">
        <v>13236</v>
      </c>
      <c r="H762" s="101" t="str">
        <v>https://docs.google.com/spreadsheets/d/1CmuAZGYYfPT-pN3Q5YamQd_O0eWSCmuNl-kHlIwnRRM</v>
      </c>
      <c r="I762" s="101" t="str">
        <v>https://docs.google.com/open?id=1CmuAZGYYfPT-pN3Q5YamQd_O0eWSCmuNl-kHlIwnRRM</v>
      </c>
      <c r="J762" s="4" t="str">
        <v>RW 7, Patangpuluhan, Wirobrajan</v>
      </c>
      <c r="L762" s="99" t="str">
        <f ca="1">IFERROR(__xludf.DUMMYFUNCTION("IMPORTRANGE(H762,""IDENTITAS UNIT!D35"")"),"Amalia Marta Prameswari")</f>
        <v>Amalia Marta Prameswari</v>
      </c>
    </row>
    <row r="763" spans="1:12" ht="49.5" hidden="1">
      <c r="A763" s="4" t="str">
        <v>Alternatif Periode ke-89 VII.B.2</v>
      </c>
      <c r="B763" s="4" t="str">
        <v>Alternatif Periode ke-89</v>
      </c>
      <c r="C763" s="4" t="str">
        <v>VII.B.2</v>
      </c>
      <c r="D763" s="101" t="str">
        <v>https://drive.google.com/open?id=1AeBKCKz-zhMs5sPCu1DXxWnQsuZktwqEOljwcYK7n6Y&amp;usp=drive_copy</v>
      </c>
      <c r="E763" s="101" t="str">
        <v>https://drive.google.com/open?id=1AeBKCKz-zhMs5sPCu1DXxWnQsuZktwqEOljwcYK7n6Y</v>
      </c>
      <c r="F763" s="103" t="str">
        <f ca="1">IFERROR(__xludf.DUMMYFUNCTION("IMPORTRANGE(H763,""IDENTITAS UNIT!D9"")"),"https://maps.app.goo.gl/pfFVtZ7DJ1QTfNaw5")</f>
        <v>https://maps.app.goo.gl/pfFVtZ7DJ1QTfNaw5</v>
      </c>
      <c r="G763" s="4" t="s">
        <v>13237</v>
      </c>
      <c r="H763" s="101" t="str">
        <v>https://docs.google.com/spreadsheets/d/1AeBKCKz-zhMs5sPCu1DXxWnQsuZktwqEOljwcYK7n6Y</v>
      </c>
      <c r="I763" s="101" t="str">
        <v>https://docs.google.com/open?id=1AeBKCKz-zhMs5sPCu1DXxWnQsuZktwqEOljwcYK7n6Y</v>
      </c>
      <c r="J763" s="4" t="str">
        <v>RW 9, Patangpuluhan, Wirobrajan</v>
      </c>
      <c r="L763" s="99" t="str">
        <f ca="1">IFERROR(__xludf.DUMMYFUNCTION("IMPORTRANGE(H763,""IDENTITAS UNIT!D35"")"),"Muhamad Rivaldi")</f>
        <v>Muhamad Rivaldi</v>
      </c>
    </row>
    <row r="764" spans="1:12" ht="49.5" hidden="1">
      <c r="A764" s="4" t="str">
        <v>Alternatif Periode ke-89 VII.C.1</v>
      </c>
      <c r="B764" s="4" t="str">
        <v>Alternatif Periode ke-89</v>
      </c>
      <c r="C764" s="4" t="str">
        <v>VII.C.1</v>
      </c>
      <c r="D764" s="101" t="str">
        <v>https://drive.google.com/open?id=14S0Jqu9xTsc0TD7yxwv2vnF9BabyO01GUruZTKCgjxc&amp;usp=drive_copy</v>
      </c>
      <c r="E764" s="101" t="str">
        <v>https://drive.google.com/open?id=14S0Jqu9xTsc0TD7yxwv2vnF9BabyO01GUruZTKCgjxc</v>
      </c>
      <c r="F764" s="103" t="str">
        <f ca="1">IFERROR(__xludf.DUMMYFUNCTION("IMPORTRANGE(H764,""IDENTITAS UNIT!D9"")"),"https://maps.app.goo.gl/wyhruTYgHkMGu8F19")</f>
        <v>https://maps.app.goo.gl/wyhruTYgHkMGu8F19</v>
      </c>
      <c r="G764" s="4" t="s">
        <v>13238</v>
      </c>
      <c r="H764" s="101" t="str">
        <v>https://docs.google.com/spreadsheets/d/14S0Jqu9xTsc0TD7yxwv2vnF9BabyO01GUruZTKCgjxc</v>
      </c>
      <c r="I764" s="101" t="str">
        <v>https://docs.google.com/open?id=14S0Jqu9xTsc0TD7yxwv2vnF9BabyO01GUruZTKCgjxc</v>
      </c>
      <c r="J764" s="4" t="str">
        <v>RW 10, Patangpuluhan, Wirobrajan</v>
      </c>
      <c r="L764" s="99" t="str">
        <f ca="1">IFERROR(__xludf.DUMMYFUNCTION("IMPORTRANGE(H764,""IDENTITAS UNIT!D35"")"),"Senandika Setya Wardana")</f>
        <v>Senandika Setya Wardana</v>
      </c>
    </row>
    <row r="765" spans="1:12" ht="49.5" hidden="1">
      <c r="A765" s="4" t="str">
        <v>Alternatif Periode ke-89 VII.C.2</v>
      </c>
      <c r="B765" s="4" t="str">
        <v>Alternatif Periode ke-89</v>
      </c>
      <c r="C765" s="4" t="str">
        <v>VII.C.2</v>
      </c>
      <c r="D765" s="101" t="str">
        <v>https://drive.google.com/open?id=128NztE3J2EIjNv_irPNggRTyrD4tQi0shpmk_Qd9n_4&amp;usp=drive_copy</v>
      </c>
      <c r="E765" s="101" t="str">
        <v>https://drive.google.com/open?id=128NztE3J2EIjNv_irPNggRTyrD4tQi0shpmk_Qd9n_4</v>
      </c>
      <c r="F765" s="103" t="str">
        <f ca="1">IFERROR(__xludf.DUMMYFUNCTION("IMPORTRANGE(H765,""IDENTITAS UNIT!D9"")"),"https://maps.app.goo.gl/ZpmpFuQGq4ovXrY87?g_st=ic")</f>
        <v>https://maps.app.goo.gl/ZpmpFuQGq4ovXrY87?g_st=ic</v>
      </c>
      <c r="G765" s="4" t="s">
        <v>13239</v>
      </c>
      <c r="H765" s="101" t="str">
        <v>https://docs.google.com/spreadsheets/d/128NztE3J2EIjNv_irPNggRTyrD4tQi0shpmk_Qd9n_4</v>
      </c>
      <c r="I765" s="101" t="str">
        <v>https://docs.google.com/open?id=128NztE3J2EIjNv_irPNggRTyrD4tQi0shpmk_Qd9n_4</v>
      </c>
      <c r="J765" s="4" t="str">
        <v>RW 3, Patangpuluhan, Wirobrajan</v>
      </c>
      <c r="L765" s="99" t="str">
        <f ca="1">IFERROR(__xludf.DUMMYFUNCTION("IMPORTRANGE(H765,""IDENTITAS UNIT!D35"")"),"Ivan Padhillah")</f>
        <v>Ivan Padhillah</v>
      </c>
    </row>
    <row r="766" spans="1:12" ht="16.5" hidden="1">
      <c r="A766" s="4" t="str">
        <v>Reguler Periode ke-123 I.A.1</v>
      </c>
      <c r="B766" s="4" t="str">
        <v>Reguler Periode ke-123</v>
      </c>
      <c r="C766" s="4" t="str">
        <v>I.A.1</v>
      </c>
      <c r="D766" s="101" t="str">
        <v>https://drive.google.com/open?id=1f6ybG6ihbTg_jrev_6wUmBWAyhFAx1rZDSZ0tzjcXB8&amp;usp=drive_copy</v>
      </c>
      <c r="E766" s="101" t="str">
        <v>https://drive.google.com/open?id=1f6ybG6ihbTg_jrev_6wUmBWAyhFAx1rZDSZ0tzjcXB8</v>
      </c>
      <c r="F766" s="102" t="str">
        <f ca="1">IFERROR(__xludf.DUMMYFUNCTION("IMPORTRANGE(H766,""IDENTITAS UNIT!D9"")"),"")</f>
        <v/>
      </c>
      <c r="H766" s="101" t="str">
        <v>https://docs.google.com/spreadsheets/d/1f6ybG6ihbTg_jrev_6wUmBWAyhFAx1rZDSZ0tzjcXB8</v>
      </c>
      <c r="I766" s="101" t="str">
        <v>https://docs.google.com/open?id=1f6ybG6ihbTg_jrev_6wUmBWAyhFAx1rZDSZ0tzjcXB8</v>
      </c>
      <c r="J766" s="4">
        <v>0</v>
      </c>
      <c r="L766" s="99" t="str">
        <f ca="1">IFERROR(__xludf.DUMMYFUNCTION("IMPORTRANGE(H766,""IDENTITAS UNIT!D35"")"),"Fajar Auliya Akbar")</f>
        <v>Fajar Auliya Akbar</v>
      </c>
    </row>
    <row r="767" spans="1:12" ht="16.5" hidden="1">
      <c r="A767" s="4" t="str">
        <v>Reguler Periode ke-123 I.B.1</v>
      </c>
      <c r="B767" s="4" t="str">
        <v>Reguler Periode ke-123</v>
      </c>
      <c r="C767" s="4" t="str">
        <v>I.B.1</v>
      </c>
      <c r="D767" s="101" t="str">
        <v>https://drive.google.com/open?id=1tnid7ETYJfYjoPzqwcSHKT6xbWQY8q1WdtereWllGpU&amp;usp=drive_copy</v>
      </c>
      <c r="E767" s="101" t="str">
        <v>https://drive.google.com/open?id=1tnid7ETYJfYjoPzqwcSHKT6xbWQY8q1WdtereWllGpU</v>
      </c>
      <c r="F767" s="102" t="str">
        <f ca="1">IFERROR(__xludf.DUMMYFUNCTION("IMPORTRANGE(H767,""IDENTITAS UNIT!D9"")"),"")</f>
        <v/>
      </c>
      <c r="H767" s="101" t="str">
        <v>https://docs.google.com/spreadsheets/d/1tnid7ETYJfYjoPzqwcSHKT6xbWQY8q1WdtereWllGpU</v>
      </c>
      <c r="I767" s="101" t="str">
        <v>https://docs.google.com/open?id=1tnid7ETYJfYjoPzqwcSHKT6xbWQY8q1WdtereWllGpU</v>
      </c>
      <c r="J767" s="4">
        <v>0</v>
      </c>
      <c r="L767" s="99" t="str">
        <f ca="1">IFERROR(__xludf.DUMMYFUNCTION("IMPORTRANGE(H767,""IDENTITAS UNIT!D35"")"),"")</f>
        <v/>
      </c>
    </row>
    <row r="768" spans="1:12" ht="49.5" hidden="1">
      <c r="A768" s="4" t="str">
        <v>Reguler Periode ke-123 I.C.1</v>
      </c>
      <c r="B768" s="4" t="str">
        <v>Reguler Periode ke-123</v>
      </c>
      <c r="C768" s="4" t="str">
        <v>I.C.1</v>
      </c>
      <c r="D768" s="101" t="str">
        <v>https://drive.google.com/open?id=1JhCbbPaj6nNSi2eaVB4InnD5fX6_dRTCR5p9B1HiIDg&amp;usp=drive_copy</v>
      </c>
      <c r="E768" s="101" t="str">
        <v>https://drive.google.com/open?id=1JhCbbPaj6nNSi2eaVB4InnD5fX6_dRTCR5p9B1HiIDg</v>
      </c>
      <c r="F768" s="103" t="str">
        <f ca="1">IFERROR(__xludf.DUMMYFUNCTION("IMPORTRANGE(H768,""IDENTITAS UNIT!D9"")"),"https://maps.app.goo.gl/dLEzR15ej5BCqona8")</f>
        <v>https://maps.app.goo.gl/dLEzR15ej5BCqona8</v>
      </c>
      <c r="G768" s="4" t="s">
        <v>13240</v>
      </c>
      <c r="H768" s="101" t="str">
        <v>https://docs.google.com/spreadsheets/d/1JhCbbPaj6nNSi2eaVB4InnD5fX6_dRTCR5p9B1HiIDg</v>
      </c>
      <c r="I768" s="101" t="str">
        <v>https://docs.google.com/open?id=1JhCbbPaj6nNSi2eaVB4InnD5fX6_dRTCR5p9B1HiIDg</v>
      </c>
      <c r="J768" s="4">
        <v>0</v>
      </c>
      <c r="L768" s="99" t="str">
        <f ca="1">IFERROR(__xludf.DUMMYFUNCTION("IMPORTRANGE(H768,""IDENTITAS UNIT!D35"")"),"Giga Jundan Al Huda")</f>
        <v>Giga Jundan Al Huda</v>
      </c>
    </row>
    <row r="769" spans="1:13" ht="16.5" hidden="1">
      <c r="A769" s="4" t="str">
        <v>Reguler Periode ke-123 I.D.1</v>
      </c>
      <c r="B769" s="4" t="str">
        <v>Reguler Periode ke-123</v>
      </c>
      <c r="C769" s="4" t="str">
        <v>I.D.1</v>
      </c>
      <c r="D769" s="101" t="str">
        <v>https://drive.google.com/open?id=1_IlLrpMCR8JwfyVw7TeHCLEb5PHpLme-K6LRIFBUVm0&amp;usp=drive_copy</v>
      </c>
      <c r="E769" s="101" t="str">
        <v>https://drive.google.com/open?id=1_IlLrpMCR8JwfyVw7TeHCLEb5PHpLme-K6LRIFBUVm0</v>
      </c>
      <c r="F769" s="102" t="str">
        <f ca="1">IFERROR(__xludf.DUMMYFUNCTION("IMPORTRANGE(H769,""IDENTITAS UNIT!D9"")"),"")</f>
        <v/>
      </c>
      <c r="H769" s="101" t="str">
        <v>https://docs.google.com/spreadsheets/d/1_IlLrpMCR8JwfyVw7TeHCLEb5PHpLme-K6LRIFBUVm0</v>
      </c>
      <c r="I769" s="101" t="str">
        <v>https://docs.google.com/open?id=1_IlLrpMCR8JwfyVw7TeHCLEb5PHpLme-K6LRIFBUVm0</v>
      </c>
      <c r="J769" s="4">
        <v>0</v>
      </c>
      <c r="L769" s="99" t="str">
        <f ca="1">IFERROR(__xludf.DUMMYFUNCTION("IMPORTRANGE(H769,""IDENTITAS UNIT!D35"")"),"Muhammad Rayhan Maulana")</f>
        <v>Muhammad Rayhan Maulana</v>
      </c>
    </row>
    <row r="770" spans="1:13" ht="49.5" hidden="1">
      <c r="A770" s="4" t="str">
        <v>Reguler Periode ke-123 II.A.1</v>
      </c>
      <c r="B770" s="4" t="str">
        <v>Reguler Periode ke-123</v>
      </c>
      <c r="C770" s="4" t="str">
        <v>II.A.1</v>
      </c>
      <c r="D770" s="101" t="str">
        <v>https://drive.google.com/open?id=1dfJqbnJ3FAMnAfoaYsjD7bVPLGUp8eWkE3ceFLs1YkI&amp;usp=drive_copy</v>
      </c>
      <c r="E770" s="101" t="str">
        <v>https://drive.google.com/open?id=1dfJqbnJ3FAMnAfoaYsjD7bVPLGUp8eWkE3ceFLs1YkI</v>
      </c>
      <c r="F770" s="103" t="str">
        <f ca="1">IFERROR(__xludf.DUMMYFUNCTION("IMPORTRANGE(H770,""IDENTITAS UNIT!D9"")"),"https://maps.app.goo.gl/i2tv6ACxEhJS5S1T8")</f>
        <v>https://maps.app.goo.gl/i2tv6ACxEhJS5S1T8</v>
      </c>
      <c r="H770" s="101" t="str">
        <v>https://docs.google.com/spreadsheets/d/1dfJqbnJ3FAMnAfoaYsjD7bVPLGUp8eWkE3ceFLs1YkI</v>
      </c>
      <c r="I770" s="101" t="str">
        <v>https://docs.google.com/open?id=1dfJqbnJ3FAMnAfoaYsjD7bVPLGUp8eWkE3ceFLs1YkI</v>
      </c>
      <c r="J770" s="4">
        <v>0</v>
      </c>
      <c r="L770" s="99" t="str">
        <f ca="1">IFERROR(__xludf.DUMMYFUNCTION("IMPORTRANGE(H770,""IDENTITAS UNIT!D35"")"),"Sukma Andita Putrianti")</f>
        <v>Sukma Andita Putrianti</v>
      </c>
    </row>
    <row r="771" spans="1:13" ht="33" hidden="1">
      <c r="A771" s="4" t="str">
        <v>Reguler Periode ke-123 II.B.1</v>
      </c>
      <c r="B771" s="4" t="str">
        <v>Reguler Periode ke-123</v>
      </c>
      <c r="C771" s="4" t="str">
        <v>II.B.1</v>
      </c>
      <c r="D771" s="101" t="str">
        <v>https://drive.google.com/open?id=1G3KXYnyJg44v2A7MN_5-eQd0dGuxRhmYMgUmmWZ61zw&amp;usp=drive_copy</v>
      </c>
      <c r="E771" s="101" t="str">
        <v>https://drive.google.com/open?id=1G3KXYnyJg44v2A7MN_5-eQd0dGuxRhmYMgUmmWZ61zw</v>
      </c>
      <c r="F771" s="103" t="str">
        <f ca="1">IFERROR(__xludf.DUMMYFUNCTION("IMPORTRANGE(H771,""IDENTITAS UNIT!D9"")"),"https://g.co/kgs/CHvk97")</f>
        <v>https://g.co/kgs/CHvk97</v>
      </c>
      <c r="H771" s="101" t="str">
        <v>https://docs.google.com/spreadsheets/d/1G3KXYnyJg44v2A7MN_5-eQd0dGuxRhmYMgUmmWZ61zw</v>
      </c>
      <c r="I771" s="101" t="str">
        <v>https://docs.google.com/open?id=1G3KXYnyJg44v2A7MN_5-eQd0dGuxRhmYMgUmmWZ61zw</v>
      </c>
      <c r="J771" s="4">
        <v>0</v>
      </c>
      <c r="L771" s="99" t="str">
        <f ca="1">IFERROR(__xludf.DUMMYFUNCTION("IMPORTRANGE(H771,""IDENTITAS UNIT!D35"")"),"Laelatul Hidayah")</f>
        <v>Laelatul Hidayah</v>
      </c>
    </row>
    <row r="772" spans="1:13" ht="16.5" hidden="1">
      <c r="A772" s="4" t="str">
        <v>Reguler Periode ke-118 I.A.1</v>
      </c>
      <c r="B772" s="4" t="str">
        <v>Reguler Periode ke-118</v>
      </c>
      <c r="C772" s="4" t="str">
        <v>I.A.1</v>
      </c>
      <c r="D772" s="101" t="str">
        <v>https://drive.google.com/open?id=1g3hRnzu_zkX6M0lU4kh6wk94uChWtMO_sEGQT-791AA&amp;usp=drive_copy</v>
      </c>
      <c r="E772" s="101" t="str">
        <v>https://drive.google.com/open?id=1g3hRnzu_zkX6M0lU4kh6wk94uChWtMO_sEGQT-791AA</v>
      </c>
      <c r="F772" s="102" t="str">
        <f ca="1">IFERROR(__xludf.DUMMYFUNCTION("IMPORTRANGE(H772,""IDENTITAS UNIT!D9"")"),"")</f>
        <v/>
      </c>
      <c r="H772" s="101" t="str">
        <v>https://docs.google.com/spreadsheets/d/1g3hRnzu_zkX6M0lU4kh6wk94uChWtMO_sEGQT-791AA</v>
      </c>
      <c r="I772" s="101" t="str">
        <v>https://docs.google.com/open?id=1g3hRnzu_zkX6M0lU4kh6wk94uChWtMO_sEGQT-791AA</v>
      </c>
      <c r="J772" s="4">
        <v>0</v>
      </c>
      <c r="L772" s="99" t="str">
        <f ca="1">IFERROR(__xludf.DUMMYFUNCTION("IMPORTRANGE(H772,""IDENTITAS UNIT!D35"")"),"Oki Ariyanto")</f>
        <v>Oki Ariyanto</v>
      </c>
    </row>
    <row r="773" spans="1:13" ht="16.5" hidden="1">
      <c r="A773" s="4" t="str">
        <v>Reguler Periode ke-118 I.A.2</v>
      </c>
      <c r="B773" s="4" t="str">
        <v>Reguler Periode ke-118</v>
      </c>
      <c r="C773" s="4" t="str">
        <v>I.A.2</v>
      </c>
      <c r="D773" s="101" t="str">
        <v>https://drive.google.com/open?id=1v94-53gvuSh_eOtsRIWOB6PO1E4V8VWq4vyiZu3ilIE&amp;usp=drive_copy</v>
      </c>
      <c r="E773" s="101" t="str">
        <v>https://drive.google.com/open?id=1v94-53gvuSh_eOtsRIWOB6PO1E4V8VWq4vyiZu3ilIE</v>
      </c>
      <c r="F773" s="102" t="str">
        <f ca="1">IFERROR(__xludf.DUMMYFUNCTION("IMPORTRANGE(H773,""IDENTITAS UNIT!D9"")"),"")</f>
        <v/>
      </c>
      <c r="H773" s="101" t="str">
        <v>https://docs.google.com/spreadsheets/d/1v94-53gvuSh_eOtsRIWOB6PO1E4V8VWq4vyiZu3ilIE</v>
      </c>
      <c r="I773" s="101" t="str">
        <v>https://docs.google.com/open?id=1v94-53gvuSh_eOtsRIWOB6PO1E4V8VWq4vyiZu3ilIE</v>
      </c>
      <c r="J773" s="4">
        <v>0</v>
      </c>
      <c r="L773" s="99" t="str">
        <f ca="1">IFERROR(__xludf.DUMMYFUNCTION("IMPORTRANGE(H773,""IDENTITAS UNIT!D35"")"),"Suci Agika Febiyanti")</f>
        <v>Suci Agika Febiyanti</v>
      </c>
    </row>
    <row r="774" spans="1:13" ht="16.5" hidden="1">
      <c r="A774" s="4" t="str">
        <v>Reguler Periode ke-118 I.A.3</v>
      </c>
      <c r="B774" s="4" t="str">
        <v>Reguler Periode ke-118</v>
      </c>
      <c r="C774" s="4" t="str">
        <v>I.A.3</v>
      </c>
      <c r="D774" s="101" t="str">
        <v>https://drive.google.com/open?id=11TIo12gaplYwBMjM1xADlYLIcaEjCnFCxLMJC4uYEDI&amp;usp=drive_copy</v>
      </c>
      <c r="E774" s="101" t="str">
        <v>https://drive.google.com/open?id=11TIo12gaplYwBMjM1xADlYLIcaEjCnFCxLMJC4uYEDI</v>
      </c>
      <c r="F774" s="102" t="str">
        <f ca="1">IFERROR(__xludf.DUMMYFUNCTION("IMPORTRANGE(H774,""IDENTITAS UNIT!D9"")"),"")</f>
        <v/>
      </c>
      <c r="H774" s="101" t="str">
        <v>https://docs.google.com/spreadsheets/d/11TIo12gaplYwBMjM1xADlYLIcaEjCnFCxLMJC4uYEDI</v>
      </c>
      <c r="I774" s="101" t="str">
        <v>https://docs.google.com/open?id=11TIo12gaplYwBMjM1xADlYLIcaEjCnFCxLMJC4uYEDI</v>
      </c>
      <c r="J774" s="4">
        <v>0</v>
      </c>
      <c r="L774" s="99" t="str">
        <f ca="1">IFERROR(__xludf.DUMMYFUNCTION("IMPORTRANGE(H774,""IDENTITAS UNIT!D35"")"),"Nur Putriana Yuliawati")</f>
        <v>Nur Putriana Yuliawati</v>
      </c>
    </row>
    <row r="775" spans="1:13" ht="16.5" hidden="1">
      <c r="A775" s="4" t="str">
        <v>Reguler Periode ke-118 I.B.1</v>
      </c>
      <c r="B775" s="4" t="str">
        <v>Reguler Periode ke-118</v>
      </c>
      <c r="C775" s="4" t="str">
        <v>I.B.1</v>
      </c>
      <c r="D775" s="101" t="str">
        <v>https://drive.google.com/open?id=1TjfXudfOEISX08ERgo5PAwsPnAoCj0eJMznwKsd1CqI&amp;usp=drive_copy</v>
      </c>
      <c r="E775" s="101" t="str">
        <v>https://drive.google.com/open?id=1TjfXudfOEISX08ERgo5PAwsPnAoCj0eJMznwKsd1CqI</v>
      </c>
      <c r="F775" s="102" t="str">
        <f ca="1">IFERROR(__xludf.DUMMYFUNCTION("IMPORTRANGE(H775,""IDENTITAS UNIT!D9"")"),"")</f>
        <v/>
      </c>
      <c r="H775" s="101" t="str">
        <v>https://docs.google.com/spreadsheets/d/1TjfXudfOEISX08ERgo5PAwsPnAoCj0eJMznwKsd1CqI</v>
      </c>
      <c r="I775" s="101" t="str">
        <v>https://docs.google.com/open?id=1TjfXudfOEISX08ERgo5PAwsPnAoCj0eJMznwKsd1CqI</v>
      </c>
      <c r="J775" s="4">
        <v>0</v>
      </c>
      <c r="L775" s="99" t="str">
        <f ca="1">IFERROR(__xludf.DUMMYFUNCTION("IMPORTRANGE(H775,""IDENTITAS UNIT!D35"")"),"Nadia Regita Pramesti")</f>
        <v>Nadia Regita Pramesti</v>
      </c>
    </row>
    <row r="776" spans="1:13" ht="16.5" hidden="1">
      <c r="A776" s="4" t="str">
        <v>Reguler Periode ke-118 I.B.2</v>
      </c>
      <c r="B776" s="4" t="str">
        <v>Reguler Periode ke-118</v>
      </c>
      <c r="C776" s="4" t="str">
        <v>I.B.2</v>
      </c>
      <c r="D776" s="101" t="str">
        <v>https://drive.google.com/open?id=1mb56fxeCsNeZ0a6kyOs71lHHML1NvKdWPL1pxHAxARE&amp;usp=drive_copy</v>
      </c>
      <c r="E776" s="101" t="str">
        <v>https://drive.google.com/open?id=1mb56fxeCsNeZ0a6kyOs71lHHML1NvKdWPL1pxHAxARE</v>
      </c>
      <c r="F776" s="102" t="str">
        <f ca="1">IFERROR(__xludf.DUMMYFUNCTION("IMPORTRANGE(H776,""IDENTITAS UNIT!D9"")"),"")</f>
        <v/>
      </c>
      <c r="H776" s="101" t="str">
        <v>https://docs.google.com/spreadsheets/d/1mb56fxeCsNeZ0a6kyOs71lHHML1NvKdWPL1pxHAxARE</v>
      </c>
      <c r="I776" s="101" t="str">
        <v>https://docs.google.com/open?id=1mb56fxeCsNeZ0a6kyOs71lHHML1NvKdWPL1pxHAxARE</v>
      </c>
      <c r="J776" s="4">
        <v>0</v>
      </c>
      <c r="L776" s="99" t="str">
        <f ca="1">IFERROR(__xludf.DUMMYFUNCTION("IMPORTRANGE(H776,""IDENTITAS UNIT!D35"")"),"Tiara Afnaita")</f>
        <v>Tiara Afnaita</v>
      </c>
    </row>
    <row r="777" spans="1:13" ht="16.5" hidden="1">
      <c r="A777" s="4" t="str">
        <v>Reguler Periode ke-118 I.B.3</v>
      </c>
      <c r="B777" s="4" t="str">
        <v>Reguler Periode ke-118</v>
      </c>
      <c r="C777" s="4" t="str">
        <v>I.B.3</v>
      </c>
      <c r="D777" s="101" t="str">
        <v>https://drive.google.com/open?id=1NSKlN1dcSMn3V_13lnTKnPHZB5DyOSJWGOdV4pgZ8m8&amp;usp=drive_copy</v>
      </c>
      <c r="E777" s="101" t="str">
        <v>https://drive.google.com/open?id=1NSKlN1dcSMn3V_13lnTKnPHZB5DyOSJWGOdV4pgZ8m8</v>
      </c>
      <c r="F777" s="102" t="str">
        <f ca="1">IFERROR(__xludf.DUMMYFUNCTION("IMPORTRANGE(H777,""IDENTITAS UNIT!D9"")"),"")</f>
        <v/>
      </c>
      <c r="H777" s="101" t="str">
        <v>https://docs.google.com/spreadsheets/d/1NSKlN1dcSMn3V_13lnTKnPHZB5DyOSJWGOdV4pgZ8m8</v>
      </c>
      <c r="I777" s="101" t="str">
        <v>https://docs.google.com/open?id=1NSKlN1dcSMn3V_13lnTKnPHZB5DyOSJWGOdV4pgZ8m8</v>
      </c>
      <c r="J777" s="4">
        <v>0</v>
      </c>
      <c r="L777" s="99" t="str">
        <f ca="1">IFERROR(__xludf.DUMMYFUNCTION("IMPORTRANGE(H777,""IDENTITAS UNIT!D35"")"),"Soffingathuz Zhahro")</f>
        <v>Soffingathuz Zhahro</v>
      </c>
    </row>
    <row r="778" spans="1:13" ht="16.5" hidden="1">
      <c r="A778" s="4" t="str">
        <v>Reguler Periode ke-124 I.A.1</v>
      </c>
      <c r="B778" s="4" t="str">
        <v>Reguler Periode ke-124</v>
      </c>
      <c r="C778" s="4" t="str">
        <v>I.A.1</v>
      </c>
      <c r="D778" s="101" t="str">
        <v>https://drive.google.com/open?id=1Tf3iC2J5EUzrdRnyTeE4mOHjdS3w8bycoFotZrJyjlw&amp;usp=drive_copy</v>
      </c>
      <c r="E778" s="101" t="str">
        <v>https://drive.google.com/open?id=1Tf3iC2J5EUzrdRnyTeE4mOHjdS3w8bycoFotZrJyjlw</v>
      </c>
      <c r="F778" s="102" t="str">
        <f ca="1">IFERROR(__xludf.DUMMYFUNCTION("IMPORTRANGE(H778,""IDENTITAS UNIT!D9"")"),"")</f>
        <v/>
      </c>
      <c r="H778" s="101" t="str">
        <v>https://docs.google.com/spreadsheets/d/1Tf3iC2J5EUzrdRnyTeE4mOHjdS3w8bycoFotZrJyjlw</v>
      </c>
      <c r="I778" s="101" t="str">
        <v>https://docs.google.com/open?id=1Tf3iC2J5EUzrdRnyTeE4mOHjdS3w8bycoFotZrJyjlw</v>
      </c>
      <c r="J778" s="4">
        <v>0</v>
      </c>
      <c r="L778" s="99" t="str">
        <f ca="1">IFERROR(__xludf.DUMMYFUNCTION("IMPORTRANGE(H778,""IDENTITAS UNIT!D35"")"),"")</f>
        <v/>
      </c>
    </row>
    <row r="779" spans="1:13" ht="16.5" hidden="1">
      <c r="A779" s="4" t="str">
        <v>Reguler Periode ke-124 I.A.2</v>
      </c>
      <c r="B779" s="4" t="str">
        <v>Reguler Periode ke-124</v>
      </c>
      <c r="C779" s="4" t="str">
        <v>I.A.2</v>
      </c>
      <c r="D779" s="101" t="str">
        <v>https://drive.google.com/open?id=18MREpkqj7gVpqlVVe-iK76z3Qxj6yF_oKO7AfG2qXT0&amp;usp=drive_copy</v>
      </c>
      <c r="E779" s="101" t="str">
        <v>https://drive.google.com/open?id=18MREpkqj7gVpqlVVe-iK76z3Qxj6yF_oKO7AfG2qXT0</v>
      </c>
      <c r="F779" s="102" t="str">
        <f ca="1">IFERROR(__xludf.DUMMYFUNCTION("IMPORTRANGE(H779,""IDENTITAS UNIT!D9"")"),"")</f>
        <v/>
      </c>
      <c r="H779" s="101" t="str">
        <v>https://docs.google.com/spreadsheets/d/18MREpkqj7gVpqlVVe-iK76z3Qxj6yF_oKO7AfG2qXT0</v>
      </c>
      <c r="I779" s="101" t="str">
        <v>https://docs.google.com/open?id=18MREpkqj7gVpqlVVe-iK76z3Qxj6yF_oKO7AfG2qXT0</v>
      </c>
      <c r="J779" s="4">
        <v>0</v>
      </c>
      <c r="L779" s="99" t="str">
        <f ca="1">IFERROR(__xludf.DUMMYFUNCTION("IMPORTRANGE(H779,""IDENTITAS UNIT!D35"")"),"")</f>
        <v/>
      </c>
    </row>
    <row r="780" spans="1:13" ht="16.5" hidden="1">
      <c r="A780" s="4" t="str">
        <v>Reguler Periode ke-124 I.A.3</v>
      </c>
      <c r="B780" s="4" t="str">
        <v>Reguler Periode ke-124</v>
      </c>
      <c r="C780" s="4" t="str">
        <v>I.A.3</v>
      </c>
      <c r="D780" s="101" t="str">
        <v>https://drive.google.com/open?id=1BlwP1IABydJc7mcPhy4Rz9nQT1QFO35n1_By8k9mMno&amp;usp=drive_copy</v>
      </c>
      <c r="E780" s="101" t="str">
        <v>https://drive.google.com/open?id=1BlwP1IABydJc7mcPhy4Rz9nQT1QFO35n1_By8k9mMno</v>
      </c>
      <c r="F780" s="102" t="str">
        <f ca="1">IFERROR(__xludf.DUMMYFUNCTION("IMPORTRANGE(H780,""IDENTITAS UNIT!D9"")"),"")</f>
        <v/>
      </c>
      <c r="H780" s="101" t="str">
        <v>https://docs.google.com/spreadsheets/d/1BlwP1IABydJc7mcPhy4Rz9nQT1QFO35n1_By8k9mMno</v>
      </c>
      <c r="I780" s="101" t="str">
        <v>https://docs.google.com/open?id=1BlwP1IABydJc7mcPhy4Rz9nQT1QFO35n1_By8k9mMno</v>
      </c>
      <c r="J780" s="4">
        <v>0</v>
      </c>
      <c r="L780" s="99" t="str">
        <f ca="1">IFERROR(__xludf.DUMMYFUNCTION("IMPORTRANGE(H780,""IDENTITAS UNIT!D35"")"),"Intan Farnisya")</f>
        <v>Intan Farnisya</v>
      </c>
    </row>
    <row r="781" spans="1:13" ht="16.5" hidden="1">
      <c r="A781" s="4" t="str">
        <v>Reguler Periode ke-114 I.A.1</v>
      </c>
      <c r="B781" s="4" t="str">
        <v>Reguler Periode ke-114</v>
      </c>
      <c r="C781" s="4" t="str">
        <v>I.A.1</v>
      </c>
      <c r="D781" s="101" t="str">
        <v>https://drive.google.com/open?id=13OnRcW7ESZKNo15sgUzNkmd_L_7ZOIWewAWJ0X7Xv5Y&amp;usp=drive_copy</v>
      </c>
      <c r="E781" s="101" t="str">
        <v>https://drive.google.com/open?id=13OnRcW7ESZKNo15sgUzNkmd_L_7ZOIWewAWJ0X7Xv5Y</v>
      </c>
      <c r="F781" s="102" t="str">
        <f ca="1">IFERROR(__xludf.DUMMYFUNCTION("IMPORTRANGE(H781,""IDENTITAS UNIT!D9"")"),"")</f>
        <v/>
      </c>
      <c r="H781" s="101" t="str">
        <v>https://docs.google.com/spreadsheets/d/13OnRcW7ESZKNo15sgUzNkmd_L_7ZOIWewAWJ0X7Xv5Y</v>
      </c>
      <c r="I781" s="101" t="str">
        <v>https://docs.google.com/open?id=13OnRcW7ESZKNo15sgUzNkmd_L_7ZOIWewAWJ0X7Xv5Y</v>
      </c>
      <c r="J781" s="4" t="str">
        <v>Malaysia</v>
      </c>
      <c r="L781" s="99" t="str">
        <f ca="1">IFERROR(__xludf.DUMMYFUNCTION("IMPORTRANGE(H781,""IDENTITAS UNIT!D35"")"),"")</f>
        <v/>
      </c>
    </row>
    <row r="782" spans="1:13" ht="49.5" hidden="1">
      <c r="A782" s="4" t="str">
        <v>Reguler Periode ke-120 I.A.1</v>
      </c>
      <c r="B782" s="4" t="str">
        <v>Reguler Periode ke-120</v>
      </c>
      <c r="C782" s="4" t="str">
        <v>I.A.1</v>
      </c>
      <c r="D782" s="101" t="str">
        <v>https://drive.google.com/open?id=1G-Zc5IrYQz-VrfEhSe6--V8Yphx_t3cxSHKSIoM3Bew&amp;usp=drive_copy</v>
      </c>
      <c r="E782" s="101" t="str">
        <v>https://drive.google.com/open?id=1G-Zc5IrYQz-VrfEhSe6--V8Yphx_t3cxSHKSIoM3Bew</v>
      </c>
      <c r="F782" s="103" t="str">
        <f ca="1">IFERROR(__xludf.DUMMYFUNCTION("IMPORTRANGE(H782,""IDENTITAS UNIT!D9"")"),"https://maps.app.goo.gl/JZbmHTePbxQbUJNf6")</f>
        <v>https://maps.app.goo.gl/JZbmHTePbxQbUJNf6</v>
      </c>
      <c r="H782" s="101" t="str">
        <v>https://docs.google.com/spreadsheets/d/1G-Zc5IrYQz-VrfEhSe6--V8Yphx_t3cxSHKSIoM3Bew</v>
      </c>
      <c r="I782" s="101" t="str">
        <v>https://docs.google.com/open?id=1G-Zc5IrYQz-VrfEhSe6--V8Yphx_t3cxSHKSIoM3Bew</v>
      </c>
      <c r="J782" s="4" t="str">
        <v>Buwuh, Mambalan, Gunungsari</v>
      </c>
      <c r="L782" s="99" t="str">
        <f ca="1">IFERROR(__xludf.DUMMYFUNCTION("IMPORTRANGE(H782,""IDENTITAS UNIT!D35"")"),"")</f>
        <v/>
      </c>
    </row>
    <row r="783" spans="1:13" ht="49.5">
      <c r="A783" s="4" t="str">
        <v>Reguler Periode ke-119 I.A.1</v>
      </c>
      <c r="B783" s="4" t="str">
        <v>Reguler Periode ke-119</v>
      </c>
      <c r="C783" s="4" t="str">
        <v>I.A.1</v>
      </c>
      <c r="D783" s="101" t="str">
        <v>https://drive.google.com/open?id=13tlOIam5jvfpUcS-LUK1J1s9NXHkTmNyuik_xHu-9Qc&amp;usp=drive_copy</v>
      </c>
      <c r="E783" s="101" t="str">
        <v>https://drive.google.com/open?id=13tlOIam5jvfpUcS-LUK1J1s9NXHkTmNyuik_xHu-9Qc</v>
      </c>
      <c r="F783" s="103" t="str">
        <f ca="1">IFERROR(__xludf.DUMMYFUNCTION("IMPORTRANGE(H783,""IDENTITAS UNIT!D9"")"),"https://maps.app.goo.gl/g1zhYtkgNwuXfL4W6")</f>
        <v>https://maps.app.goo.gl/g1zhYtkgNwuXfL4W6</v>
      </c>
      <c r="G783" s="4" t="s">
        <v>13241</v>
      </c>
      <c r="H783" s="101" t="str">
        <v>https://docs.google.com/spreadsheets/d/13tlOIam5jvfpUcS-LUK1J1s9NXHkTmNyuik_xHu-9Qc</v>
      </c>
      <c r="I783" s="101" t="str">
        <v>https://docs.google.com/open?id=13tlOIam5jvfpUcS-LUK1J1s9NXHkTmNyuik_xHu-9Qc</v>
      </c>
      <c r="J783" s="4" t="str">
        <v>Klisat, Tambakrejo, Pacitan</v>
      </c>
      <c r="L783" s="99" t="str">
        <f ca="1">IFERROR(__xludf.DUMMYFUNCTION("IMPORTRANGE(H783,""IDENTITAS UNIT!D35"")"),"Hizbullah Muhammad Huda")</f>
        <v>Hizbullah Muhammad Huda</v>
      </c>
      <c r="M783" s="99">
        <f ca="1">IFERROR(__xludf.DUMMYFUNCTION("IMPORTRANGE(H783,""IDENTITAS UNIT!F35"")"),2000031210)</f>
        <v>2000031210</v>
      </c>
    </row>
    <row r="784" spans="1:13" ht="49.5">
      <c r="A784" s="4" t="str">
        <v>Reguler Periode ke-119 I.A.2</v>
      </c>
      <c r="B784" s="4" t="str">
        <v>Reguler Periode ke-119</v>
      </c>
      <c r="C784" s="4" t="str">
        <v>I.A.2</v>
      </c>
      <c r="D784" s="101" t="str">
        <v>https://drive.google.com/open?id=15qvk2sQLMMWtLqCLn2YL-LAZOi6lcLH1svpqA0bhYiI&amp;usp=drive_copy</v>
      </c>
      <c r="E784" s="101" t="str">
        <v>https://drive.google.com/open?id=15qvk2sQLMMWtLqCLn2YL-LAZOi6lcLH1svpqA0bhYiI</v>
      </c>
      <c r="F784" s="103" t="str">
        <f ca="1">IFERROR(__xludf.DUMMYFUNCTION("IMPORTRANGE(H784,""IDENTITAS UNIT!D9"")"),"https://maps.app.goo.gl/EAXFHnAxeCUuRs4P9")</f>
        <v>https://maps.app.goo.gl/EAXFHnAxeCUuRs4P9</v>
      </c>
      <c r="G784" s="4" t="s">
        <v>13242</v>
      </c>
      <c r="H784" s="101" t="str">
        <v>https://docs.google.com/spreadsheets/d/15qvk2sQLMMWtLqCLn2YL-LAZOi6lcLH1svpqA0bhYiI</v>
      </c>
      <c r="I784" s="101" t="str">
        <v>https://docs.google.com/open?id=15qvk2sQLMMWtLqCLn2YL-LAZOi6lcLH1svpqA0bhYiI</v>
      </c>
      <c r="J784" s="4" t="str">
        <v>Kwaron, Tambakrejo, Pacitan</v>
      </c>
      <c r="L784" s="99" t="str">
        <f ca="1">IFERROR(__xludf.DUMMYFUNCTION("IMPORTRANGE(H784,""IDENTITAS UNIT!D35"")"),"M.fadhilatul Ramadhan")</f>
        <v>M.fadhilatul Ramadhan</v>
      </c>
      <c r="M784" s="99">
        <f ca="1">IFERROR(__xludf.DUMMYFUNCTION("IMPORTRANGE(H784,""IDENTITAS UNIT!F35"")"),2000022061)</f>
        <v>2000022061</v>
      </c>
    </row>
    <row r="785" spans="1:13" ht="49.5">
      <c r="A785" s="4" t="str">
        <v>Reguler Periode ke-119 I.A.3</v>
      </c>
      <c r="B785" s="4" t="str">
        <v>Reguler Periode ke-119</v>
      </c>
      <c r="C785" s="4" t="str">
        <v>I.A.3</v>
      </c>
      <c r="D785" s="101" t="str">
        <v>https://drive.google.com/open?id=1IMZkm8yKZby27A5acXdMX9BuSRfyc7XvRE9kjtzijxQ&amp;usp=drive_copy</v>
      </c>
      <c r="E785" s="101" t="str">
        <v>https://drive.google.com/open?id=1IMZkm8yKZby27A5acXdMX9BuSRfyc7XvRE9kjtzijxQ</v>
      </c>
      <c r="F785" s="103" t="str">
        <f ca="1">IFERROR(__xludf.DUMMYFUNCTION("IMPORTRANGE(H785,""IDENTITAS UNIT!D9"")"),"https://maps.app.goo.gl/4KXiBx3XFamHY7R29?g_st=iw")</f>
        <v>https://maps.app.goo.gl/4KXiBx3XFamHY7R29?g_st=iw</v>
      </c>
      <c r="G785" s="4" t="s">
        <v>13243</v>
      </c>
      <c r="H785" s="101" t="str">
        <v>https://docs.google.com/spreadsheets/d/1IMZkm8yKZby27A5acXdMX9BuSRfyc7XvRE9kjtzijxQ</v>
      </c>
      <c r="I785" s="101" t="str">
        <v>https://docs.google.com/open?id=1IMZkm8yKZby27A5acXdMX9BuSRfyc7XvRE9kjtzijxQ</v>
      </c>
      <c r="J785" s="4" t="str">
        <v>Tambaan, Tambakrejo, Pacitan</v>
      </c>
      <c r="L785" s="99" t="str">
        <f ca="1">IFERROR(__xludf.DUMMYFUNCTION("IMPORTRANGE(H785,""IDENTITAS UNIT!D35"")"),"Muhammad Daffa Nuradi")</f>
        <v>Muhammad Daffa Nuradi</v>
      </c>
      <c r="M785" s="99">
        <f ca="1">IFERROR(__xludf.DUMMYFUNCTION("IMPORTRANGE(H785,""IDENTITAS UNIT!F35"")"),2000016127)</f>
        <v>2000016127</v>
      </c>
    </row>
    <row r="786" spans="1:13" ht="49.5">
      <c r="A786" s="4" t="str">
        <v>Reguler Periode ke-119 I.B.1</v>
      </c>
      <c r="B786" s="4" t="str">
        <v>Reguler Periode ke-119</v>
      </c>
      <c r="C786" s="4" t="str">
        <v>I.B.1</v>
      </c>
      <c r="D786" s="101" t="str">
        <v>https://drive.google.com/open?id=1TnXziYPJSvf4zwM9FILC3S53fmJhIXI-pPKwCaB-Seg&amp;usp=drive_copy</v>
      </c>
      <c r="E786" s="101" t="str">
        <v>https://drive.google.com/open?id=1TnXziYPJSvf4zwM9FILC3S53fmJhIXI-pPKwCaB-Seg</v>
      </c>
      <c r="F786" s="103" t="str">
        <f ca="1">IFERROR(__xludf.DUMMYFUNCTION("IMPORTRANGE(H786,""IDENTITAS UNIT!D9"")"),"https://maps.app.goo.gl/8y3mSosv9VWoRz12A")</f>
        <v>https://maps.app.goo.gl/8y3mSosv9VWoRz12A</v>
      </c>
      <c r="G786" s="4" t="s">
        <v>13244</v>
      </c>
      <c r="H786" s="101" t="str">
        <v>https://docs.google.com/spreadsheets/d/1TnXziYPJSvf4zwM9FILC3S53fmJhIXI-pPKwCaB-Seg</v>
      </c>
      <c r="I786" s="101" t="str">
        <v>https://docs.google.com/open?id=1TnXziYPJSvf4zwM9FILC3S53fmJhIXI-pPKwCaB-Seg</v>
      </c>
      <c r="J786" s="4" t="str">
        <v>Ngodong, Kayen, Pacitan</v>
      </c>
      <c r="L786" s="99" t="str">
        <f ca="1">IFERROR(__xludf.DUMMYFUNCTION("IMPORTRANGE(H786,""IDENTITAS UNIT!D35"")"),"Zaydan Aymar Luthfy")</f>
        <v>Zaydan Aymar Luthfy</v>
      </c>
      <c r="M786" s="99">
        <f ca="1">IFERROR(__xludf.DUMMYFUNCTION("IMPORTRANGE(H786,""IDENTITAS UNIT!F35"")"),2000016020)</f>
        <v>2000016020</v>
      </c>
    </row>
    <row r="787" spans="1:13" ht="49.5">
      <c r="A787" s="4" t="str">
        <v>Reguler Periode ke-119 I.B.2</v>
      </c>
      <c r="B787" s="4" t="str">
        <v>Reguler Periode ke-119</v>
      </c>
      <c r="C787" s="4" t="str">
        <v>I.B.2</v>
      </c>
      <c r="D787" s="101" t="str">
        <v>https://drive.google.com/open?id=1VRx1_kzqtzOcQap8Edcli55mX_SZmlUdk6fdp24kplY&amp;usp=drive_copy</v>
      </c>
      <c r="E787" s="101" t="str">
        <v>https://drive.google.com/open?id=1VRx1_kzqtzOcQap8Edcli55mX_SZmlUdk6fdp24kplY</v>
      </c>
      <c r="F787" s="103" t="str">
        <f ca="1">IFERROR(__xludf.DUMMYFUNCTION("IMPORTRANGE(H787,""IDENTITAS UNIT!D9"")"),"https://maps.app.goo.gl/AXBo9wNUJ511gJbN7 ")</f>
        <v xml:space="preserve">https://maps.app.goo.gl/AXBo9wNUJ511gJbN7 </v>
      </c>
      <c r="G787" s="4" t="s">
        <v>13245</v>
      </c>
      <c r="H787" s="101" t="str">
        <v>https://docs.google.com/spreadsheets/d/1VRx1_kzqtzOcQap8Edcli55mX_SZmlUdk6fdp24kplY</v>
      </c>
      <c r="I787" s="101" t="str">
        <v>https://docs.google.com/open?id=1VRx1_kzqtzOcQap8Edcli55mX_SZmlUdk6fdp24kplY</v>
      </c>
      <c r="J787" s="4" t="str">
        <v>Nogosari, Kayen, Pacitan</v>
      </c>
      <c r="L787" s="99" t="str">
        <f ca="1">IFERROR(__xludf.DUMMYFUNCTION("IMPORTRANGE(H787,""IDENTITAS UNIT!D35"")"),"Wafiq Faurozi")</f>
        <v>Wafiq Faurozi</v>
      </c>
      <c r="M787" s="99">
        <f ca="1">IFERROR(__xludf.DUMMYFUNCTION("IMPORTRANGE(H787,""IDENTITAS UNIT!F35"")"),2000022034)</f>
        <v>2000022034</v>
      </c>
    </row>
    <row r="788" spans="1:13" ht="49.5">
      <c r="A788" s="4" t="str">
        <v>Reguler Periode ke-119 I.B.3</v>
      </c>
      <c r="B788" s="4" t="str">
        <v>Reguler Periode ke-119</v>
      </c>
      <c r="C788" s="4" t="str">
        <v>I.B.3</v>
      </c>
      <c r="D788" s="101" t="str">
        <v>https://drive.google.com/open?id=1gLvyPzUQ7pJx2S8jphwgB5IRLAR4qmgspg6kZfl1VhU&amp;usp=drive_copy</v>
      </c>
      <c r="E788" s="101" t="str">
        <v>https://drive.google.com/open?id=1gLvyPzUQ7pJx2S8jphwgB5IRLAR4qmgspg6kZfl1VhU</v>
      </c>
      <c r="F788" s="103" t="str">
        <f ca="1">IFERROR(__xludf.DUMMYFUNCTION("IMPORTRANGE(H788,""IDENTITAS UNIT!D9"")"),"https://maps.app.goo.gl/RXYLQspB4qF4AyhTA?g_st=ic")</f>
        <v>https://maps.app.goo.gl/RXYLQspB4qF4AyhTA?g_st=ic</v>
      </c>
      <c r="G788" s="4" t="s">
        <v>13246</v>
      </c>
      <c r="H788" s="101" t="str">
        <v>https://docs.google.com/spreadsheets/d/1gLvyPzUQ7pJx2S8jphwgB5IRLAR4qmgspg6kZfl1VhU</v>
      </c>
      <c r="I788" s="101" t="str">
        <v>https://docs.google.com/open?id=1gLvyPzUQ7pJx2S8jphwgB5IRLAR4qmgspg6kZfl1VhU</v>
      </c>
      <c r="J788" s="4" t="str">
        <v>Jelok, Kayen, Pacitan</v>
      </c>
      <c r="L788" s="99" t="str">
        <f ca="1">IFERROR(__xludf.DUMMYFUNCTION("IMPORTRANGE(H788,""IDENTITAS UNIT!D35"")"),"Muhammad Fikri Asshidiq")</f>
        <v>Muhammad Fikri Asshidiq</v>
      </c>
      <c r="M788" s="99">
        <f ca="1">IFERROR(__xludf.DUMMYFUNCTION("IMPORTRANGE(H788,""IDENTITAS UNIT!F35"")"),2000001083)</f>
        <v>2000001083</v>
      </c>
    </row>
    <row r="789" spans="1:13" ht="49.5">
      <c r="A789" s="4" t="str">
        <v>Reguler Periode ke-119 I.C.1</v>
      </c>
      <c r="B789" s="4" t="str">
        <v>Reguler Periode ke-119</v>
      </c>
      <c r="C789" s="4" t="str">
        <v>I.C.1</v>
      </c>
      <c r="D789" s="101" t="str">
        <v>https://drive.google.com/open?id=1iJNUFh3xGdGzCehlEuz7GJb8b3f_f2fV3cRqXvQ6iD4&amp;usp=drive_copy</v>
      </c>
      <c r="E789" s="101" t="str">
        <v>https://drive.google.com/open?id=1iJNUFh3xGdGzCehlEuz7GJb8b3f_f2fV3cRqXvQ6iD4</v>
      </c>
      <c r="F789" s="103" t="str">
        <f ca="1">IFERROR(__xludf.DUMMYFUNCTION("IMPORTRANGE(H789,""IDENTITAS UNIT!D9"")"),"https://maps.app.goo.gl/N4tKgyqNWyarScS58								")</f>
        <v xml:space="preserve">https://maps.app.goo.gl/N4tKgyqNWyarScS58								</v>
      </c>
      <c r="G789" s="4" t="s">
        <v>13247</v>
      </c>
      <c r="H789" s="101" t="str">
        <v>https://docs.google.com/spreadsheets/d/1iJNUFh3xGdGzCehlEuz7GJb8b3f_f2fV3cRqXvQ6iD4</v>
      </c>
      <c r="I789" s="101" t="str">
        <v>https://docs.google.com/open?id=1iJNUFh3xGdGzCehlEuz7GJb8b3f_f2fV3cRqXvQ6iD4</v>
      </c>
      <c r="J789" s="4" t="str">
        <v>Siwilan, Kayen, Pacitan</v>
      </c>
      <c r="L789" s="99" t="str">
        <f ca="1">IFERROR(__xludf.DUMMYFUNCTION("IMPORTRANGE(H789,""IDENTITAS UNIT!D35"")"),"Gusti Rizal Adypratama")</f>
        <v>Gusti Rizal Adypratama</v>
      </c>
      <c r="M789" s="99">
        <f ca="1">IFERROR(__xludf.DUMMYFUNCTION("IMPORTRANGE(H789,""IDENTITAS UNIT!F35"")"),2000022015)</f>
        <v>2000022015</v>
      </c>
    </row>
    <row r="790" spans="1:13" ht="49.5">
      <c r="A790" s="4" t="str">
        <v>Reguler Periode ke-119 I.C.2</v>
      </c>
      <c r="B790" s="4" t="str">
        <v>Reguler Periode ke-119</v>
      </c>
      <c r="C790" s="4" t="str">
        <v>I.C.2</v>
      </c>
      <c r="D790" s="101" t="str">
        <v>https://drive.google.com/open?id=1wVihCEqK9oub6pMR7JEDElWSDWyEFx1YWo0ARiyhgcc&amp;usp=drive_copy</v>
      </c>
      <c r="E790" s="101" t="str">
        <v>https://drive.google.com/open?id=1wVihCEqK9oub6pMR7JEDElWSDWyEFx1YWo0ARiyhgcc</v>
      </c>
      <c r="F790" s="103" t="str">
        <f ca="1">IFERROR(__xludf.DUMMYFUNCTION("IMPORTRANGE(H790,""IDENTITAS UNIT!D9"")"),"https://maps.app.goo.gl/esw7hw8cCArYb6oN9")</f>
        <v>https://maps.app.goo.gl/esw7hw8cCArYb6oN9</v>
      </c>
      <c r="G790" s="4" t="s">
        <v>13248</v>
      </c>
      <c r="H790" s="101" t="str">
        <v>https://docs.google.com/spreadsheets/d/1wVihCEqK9oub6pMR7JEDElWSDWyEFx1YWo0ARiyhgcc</v>
      </c>
      <c r="I790" s="101" t="str">
        <v>https://docs.google.com/open?id=1wVihCEqK9oub6pMR7JEDElWSDWyEFx1YWo0ARiyhgcc</v>
      </c>
      <c r="J790" s="4" t="str">
        <v>Gundi, Kayen, Pacitan</v>
      </c>
      <c r="L790" s="99" t="str">
        <f ca="1">IFERROR(__xludf.DUMMYFUNCTION("IMPORTRANGE(H790,""IDENTITAS UNIT!D35"")"),"Muhammad Faiz Fikri")</f>
        <v>Muhammad Faiz Fikri</v>
      </c>
      <c r="M790" s="99">
        <f ca="1">IFERROR(__xludf.DUMMYFUNCTION("IMPORTRANGE(H790,""IDENTITAS UNIT!F35"")"),2000001073)</f>
        <v>2000001073</v>
      </c>
    </row>
    <row r="791" spans="1:13" ht="247.5">
      <c r="A791" s="4" t="str">
        <v>Reguler Periode ke-119 I.C.3</v>
      </c>
      <c r="B791" s="4" t="str">
        <v>Reguler Periode ke-119</v>
      </c>
      <c r="C791" s="4" t="str">
        <v>I.C.3</v>
      </c>
      <c r="D791" s="101" t="str">
        <v>https://drive.google.com/open?id=11Qn454PLPLi2WuRzh9mhThVAZsUwRMRPJ2a4FL48tq4&amp;usp=drive_copy</v>
      </c>
      <c r="E791" s="101" t="str">
        <v>https://drive.google.com/open?id=11Qn454PLPLi2WuRzh9mhThVAZsUwRMRPJ2a4FL48tq4</v>
      </c>
      <c r="F791" s="103" t="str">
        <f ca="1">IFERROR(__xludf.DUMMYFUNCTION("IMPORTRANGE(H791,""IDENTITAS UNIT!D9"")"),"https://www.google.com/maps/place/tokopacitan.com,+Krajan,+Kayen,+Kec.+Pacitan,+Kabupaten+Pacitan,+Jawa+Timur+63518/@-8.2135691,111.1377661,16z/data=!4m6!3m5!1s0x2e7961abaaaaaaab:0xff45dbfad341bd6f!8m2!3d-8.2135691!4d111.1377661!16s%2Fg%2F11c5xm198b")</f>
        <v>https://www.google.com/maps/place/tokopacitan.com,+Krajan,+Kayen,+Kec.+Pacitan,+Kabupaten+Pacitan,+Jawa+Timur+63518/@-8.2135691,111.1377661,16z/data=!4m6!3m5!1s0x2e7961abaaaaaaab:0xff45dbfad341bd6f!8m2!3d-8.2135691!4d111.1377661!16s%2Fg%2F11c5xm198b</v>
      </c>
      <c r="G791" s="4" t="s">
        <v>13249</v>
      </c>
      <c r="H791" s="101" t="str">
        <v>https://docs.google.com/spreadsheets/d/11Qn454PLPLi2WuRzh9mhThVAZsUwRMRPJ2a4FL48tq4</v>
      </c>
      <c r="I791" s="101" t="str">
        <v>https://docs.google.com/open?id=11Qn454PLPLi2WuRzh9mhThVAZsUwRMRPJ2a4FL48tq4</v>
      </c>
      <c r="J791" s="4" t="str">
        <v>Krajan, Kayen, Pacitan</v>
      </c>
      <c r="L791" s="99" t="str">
        <f ca="1">IFERROR(__xludf.DUMMYFUNCTION("IMPORTRANGE(H791,""IDENTITAS UNIT!D35"")"),"Rifki Muamar Arafat")</f>
        <v>Rifki Muamar Arafat</v>
      </c>
      <c r="M791" s="99">
        <f ca="1">IFERROR(__xludf.DUMMYFUNCTION("IMPORTRANGE(H791,""IDENTITAS UNIT!F35"")"),2019001057)</f>
        <v>2019001057</v>
      </c>
    </row>
    <row r="792" spans="1:13" ht="49.5">
      <c r="A792" s="4" t="str">
        <v>Reguler Periode ke-119 I.D.1</v>
      </c>
      <c r="B792" s="4" t="str">
        <v>Reguler Periode ke-119</v>
      </c>
      <c r="C792" s="4" t="str">
        <v>I.D.1</v>
      </c>
      <c r="D792" s="101" t="str">
        <v>https://drive.google.com/open?id=13UKQVBKtrm6kycmufaXNoBDOstV94QfjD6ps0Z9s1RA&amp;usp=drive_copy</v>
      </c>
      <c r="E792" s="101" t="str">
        <v>https://drive.google.com/open?id=13UKQVBKtrm6kycmufaXNoBDOstV94QfjD6ps0Z9s1RA</v>
      </c>
      <c r="F792" s="103" t="str">
        <f ca="1">IFERROR(__xludf.DUMMYFUNCTION("IMPORTRANGE(H792,""IDENTITAS UNIT!D9"")"),"https://maps.app.goo.gl/E1s32KQx5rkZN8Au7?g_st=iw ")</f>
        <v xml:space="preserve">https://maps.app.goo.gl/E1s32KQx5rkZN8Au7?g_st=iw </v>
      </c>
      <c r="G792" s="4" t="s">
        <v>13250</v>
      </c>
      <c r="H792" s="101" t="str">
        <v>https://docs.google.com/spreadsheets/d/13UKQVBKtrm6kycmufaXNoBDOstV94QfjD6ps0Z9s1RA</v>
      </c>
      <c r="I792" s="101" t="str">
        <v>https://docs.google.com/open?id=13UKQVBKtrm6kycmufaXNoBDOstV94QfjD6ps0Z9s1RA</v>
      </c>
      <c r="J792" s="4" t="str">
        <v>Demeling, Purworejo, Pacitan</v>
      </c>
      <c r="L792" s="99" t="str">
        <f ca="1">IFERROR(__xludf.DUMMYFUNCTION("IMPORTRANGE(H792,""IDENTITAS UNIT!D35"")"),"Hafizh Aulia")</f>
        <v>Hafizh Aulia</v>
      </c>
      <c r="M792" s="99">
        <f ca="1">IFERROR(__xludf.DUMMYFUNCTION("IMPORTRANGE(H792,""IDENTITAS UNIT!F35"")"),2000022049)</f>
        <v>2000022049</v>
      </c>
    </row>
    <row r="793" spans="1:13" ht="49.5">
      <c r="A793" s="4" t="str">
        <v>Reguler Periode ke-119 I.D.2</v>
      </c>
      <c r="B793" s="4" t="str">
        <v>Reguler Periode ke-119</v>
      </c>
      <c r="C793" s="4" t="str">
        <v>I.D.2</v>
      </c>
      <c r="D793" s="101" t="str">
        <v>https://drive.google.com/open?id=15XzwiTLnXTVZU4W19qVl298eEfhfzwdZaYDqQkY-_hM&amp;usp=drive_copy</v>
      </c>
      <c r="E793" s="101" t="str">
        <v>https://drive.google.com/open?id=15XzwiTLnXTVZU4W19qVl298eEfhfzwdZaYDqQkY-_hM</v>
      </c>
      <c r="F793" s="103" t="str">
        <f ca="1">IFERROR(__xludf.DUMMYFUNCTION("IMPORTRANGE(H793,""IDENTITAS UNIT!D9"")"),"https://maps.app.goo.gl/RhXp7VuWapmG2h3v9")</f>
        <v>https://maps.app.goo.gl/RhXp7VuWapmG2h3v9</v>
      </c>
      <c r="G793" s="4" t="s">
        <v>13251</v>
      </c>
      <c r="H793" s="101" t="str">
        <v>https://docs.google.com/spreadsheets/d/15XzwiTLnXTVZU4W19qVl298eEfhfzwdZaYDqQkY-_hM</v>
      </c>
      <c r="I793" s="101" t="str">
        <v>https://docs.google.com/open?id=15XzwiTLnXTVZU4W19qVl298eEfhfzwdZaYDqQkY-_hM</v>
      </c>
      <c r="J793" s="4" t="str">
        <v>Jati, Purworejo, Pacitan</v>
      </c>
      <c r="L793" s="99" t="str">
        <f ca="1">IFERROR(__xludf.DUMMYFUNCTION("IMPORTRANGE(H793,""IDENTITAS UNIT!D35"")"),"Hahan Nur Rizky")</f>
        <v>Hahan Nur Rizky</v>
      </c>
      <c r="M793" s="99">
        <f ca="1">IFERROR(__xludf.DUMMYFUNCTION("IMPORTRANGE(H793,""IDENTITAS UNIT!F35"")"),2000016038)</f>
        <v>2000016038</v>
      </c>
    </row>
    <row r="794" spans="1:13" ht="49.5">
      <c r="A794" s="4" t="str">
        <v>Reguler Periode ke-119 I.D.3</v>
      </c>
      <c r="B794" s="4" t="str">
        <v>Reguler Periode ke-119</v>
      </c>
      <c r="C794" s="4" t="str">
        <v>I.D.3</v>
      </c>
      <c r="D794" s="101" t="str">
        <v>https://drive.google.com/open?id=164xIOjtl2axdo9kr5oxa8oPwHyE6tQgqB0rRsWfm_bE&amp;usp=drive_copy</v>
      </c>
      <c r="E794" s="101" t="str">
        <v>https://drive.google.com/open?id=164xIOjtl2axdo9kr5oxa8oPwHyE6tQgqB0rRsWfm_bE</v>
      </c>
      <c r="F794" s="103" t="str">
        <f ca="1">IFERROR(__xludf.DUMMYFUNCTION("IMPORTRANGE(H794,""IDENTITAS UNIT!D9"")"),"https://maps.app.goo.gl/DTYeTmghKeFtcPLn7")</f>
        <v>https://maps.app.goo.gl/DTYeTmghKeFtcPLn7</v>
      </c>
      <c r="G794" s="4" t="s">
        <v>13252</v>
      </c>
      <c r="H794" s="101" t="str">
        <v>https://docs.google.com/spreadsheets/d/164xIOjtl2axdo9kr5oxa8oPwHyE6tQgqB0rRsWfm_bE</v>
      </c>
      <c r="I794" s="101" t="str">
        <v>https://docs.google.com/open?id=164xIOjtl2axdo9kr5oxa8oPwHyE6tQgqB0rRsWfm_bE</v>
      </c>
      <c r="J794" s="4" t="str">
        <v>Krajan, Purworejo, Pacitan</v>
      </c>
      <c r="L794" s="99" t="str">
        <f ca="1">IFERROR(__xludf.DUMMYFUNCTION("IMPORTRANGE(H794,""IDENTITAS UNIT!D35"")"),"M. Zoel Vantorry")</f>
        <v>M. Zoel Vantorry</v>
      </c>
      <c r="M794" s="99">
        <f ca="1">IFERROR(__xludf.DUMMYFUNCTION("IMPORTRANGE(H794,""IDENTITAS UNIT!F35"")"),2000031139)</f>
        <v>2000031139</v>
      </c>
    </row>
    <row r="795" spans="1:13" ht="49.5">
      <c r="A795" s="4" t="str">
        <v>Reguler Periode ke-119 II.A.1</v>
      </c>
      <c r="B795" s="4" t="str">
        <v>Reguler Periode ke-119</v>
      </c>
      <c r="C795" s="4" t="str">
        <v>II.A.1</v>
      </c>
      <c r="D795" s="101" t="str">
        <v>https://drive.google.com/open?id=16nOwJNZjj6axyzK5H8fPKZBhBLLYM3Q3bv2UD5YpI_U&amp;usp=drive_copy</v>
      </c>
      <c r="E795" s="101" t="str">
        <v>https://drive.google.com/open?id=16nOwJNZjj6axyzK5H8fPKZBhBLLYM3Q3bv2UD5YpI_U</v>
      </c>
      <c r="F795" s="103" t="str">
        <f ca="1">IFERROR(__xludf.DUMMYFUNCTION("IMPORTRANGE(H795,""IDENTITAS UNIT!D9"")"),"https://maps.app.goo.gl/w4s6WbXpA2ph4gTD7")</f>
        <v>https://maps.app.goo.gl/w4s6WbXpA2ph4gTD7</v>
      </c>
      <c r="G795" s="4" t="s">
        <v>13253</v>
      </c>
      <c r="H795" s="101" t="str">
        <v>https://docs.google.com/spreadsheets/d/16nOwJNZjj6axyzK5H8fPKZBhBLLYM3Q3bv2UD5YpI_U</v>
      </c>
      <c r="I795" s="101" t="str">
        <v>https://docs.google.com/open?id=16nOwJNZjj6axyzK5H8fPKZBhBLLYM3Q3bv2UD5YpI_U</v>
      </c>
      <c r="J795" s="4" t="str">
        <v>Krajan, Batur, Batur</v>
      </c>
      <c r="L795" s="99" t="str">
        <f ca="1">IFERROR(__xludf.DUMMYFUNCTION("IMPORTRANGE(H795,""IDENTITAS UNIT!D35"")"),"R. Ilham Fauzi Wiranugraha")</f>
        <v>R. Ilham Fauzi Wiranugraha</v>
      </c>
      <c r="M795" s="99">
        <f ca="1">IFERROR(__xludf.DUMMYFUNCTION("IMPORTRANGE(H795,""IDENTITAS UNIT!F35"")"),2000001129)</f>
        <v>2000001129</v>
      </c>
    </row>
    <row r="796" spans="1:13" ht="49.5">
      <c r="A796" s="4" t="str">
        <v>Reguler Periode ke-119 II.A.2</v>
      </c>
      <c r="B796" s="4" t="str">
        <v>Reguler Periode ke-119</v>
      </c>
      <c r="C796" s="4" t="str">
        <v>II.A.2</v>
      </c>
      <c r="D796" s="101" t="str">
        <v>https://drive.google.com/open?id=18JOOyJE4xNDoZvD4njVJUwTqiyb45Op1PtUsA1_Q0BM&amp;usp=drive_copy</v>
      </c>
      <c r="E796" s="101" t="str">
        <v>https://drive.google.com/open?id=18JOOyJE4xNDoZvD4njVJUwTqiyb45Op1PtUsA1_Q0BM</v>
      </c>
      <c r="F796" s="103" t="str">
        <f ca="1">IFERROR(__xludf.DUMMYFUNCTION("IMPORTRANGE(H796,""IDENTITAS UNIT!D9"")"),"https://maps.app.goo.gl/Yb3gsJstT7zFELss5")</f>
        <v>https://maps.app.goo.gl/Yb3gsJstT7zFELss5</v>
      </c>
      <c r="G796" s="4" t="s">
        <v>13254</v>
      </c>
      <c r="H796" s="101" t="str">
        <v>https://docs.google.com/spreadsheets/d/18JOOyJE4xNDoZvD4njVJUwTqiyb45Op1PtUsA1_Q0BM</v>
      </c>
      <c r="I796" s="101" t="str">
        <v>https://docs.google.com/open?id=18JOOyJE4xNDoZvD4njVJUwTqiyb45Op1PtUsA1_Q0BM</v>
      </c>
      <c r="J796" s="4" t="str">
        <v>Ratan, Batur, Batur</v>
      </c>
      <c r="L796" s="99" t="str">
        <f ca="1">IFERROR(__xludf.DUMMYFUNCTION("IMPORTRANGE(H796,""IDENTITAS UNIT!D35"")"),"Cicik Iswati")</f>
        <v>Cicik Iswati</v>
      </c>
      <c r="M796" s="99">
        <f ca="1">IFERROR(__xludf.DUMMYFUNCTION("IMPORTRANGE(H796,""IDENTITAS UNIT!F35"")"),2000026009)</f>
        <v>2000026009</v>
      </c>
    </row>
    <row r="797" spans="1:13" ht="49.5">
      <c r="A797" s="4" t="str">
        <v>Reguler Periode ke-119 II.A.3</v>
      </c>
      <c r="B797" s="4" t="str">
        <v>Reguler Periode ke-119</v>
      </c>
      <c r="C797" s="4" t="str">
        <v>II.A.3</v>
      </c>
      <c r="D797" s="101" t="str">
        <v>https://drive.google.com/open?id=1BsififttxAm_ypQ-el1S57hWPDPtTR2E_7UlI0wFcqY&amp;usp=drive_copy</v>
      </c>
      <c r="E797" s="101" t="str">
        <v>https://drive.google.com/open?id=1BsififttxAm_ypQ-el1S57hWPDPtTR2E_7UlI0wFcqY</v>
      </c>
      <c r="F797" s="103" t="str">
        <f ca="1">IFERROR(__xludf.DUMMYFUNCTION("IMPORTRANGE(H797,""IDENTITAS UNIT!D9"")"),"https://maps.app.goo.gl/55LVXAh6i53tignz8?g_st=ic")</f>
        <v>https://maps.app.goo.gl/55LVXAh6i53tignz8?g_st=ic</v>
      </c>
      <c r="G797" s="4" t="s">
        <v>13255</v>
      </c>
      <c r="H797" s="101" t="str">
        <v>https://docs.google.com/spreadsheets/d/1BsififttxAm_ypQ-el1S57hWPDPtTR2E_7UlI0wFcqY</v>
      </c>
      <c r="I797" s="101" t="str">
        <v>https://docs.google.com/open?id=1BsififttxAm_ypQ-el1S57hWPDPtTR2E_7UlI0wFcqY</v>
      </c>
      <c r="J797" s="4" t="str">
        <v>Tieng, Batur, Batur</v>
      </c>
      <c r="L797" s="99" t="str">
        <f ca="1">IFERROR(__xludf.DUMMYFUNCTION("IMPORTRANGE(H797,""IDENTITAS UNIT!D35"")"),"Romano Fajar Ikhsan")</f>
        <v>Romano Fajar Ikhsan</v>
      </c>
      <c r="M797" s="99">
        <f ca="1">IFERROR(__xludf.DUMMYFUNCTION("IMPORTRANGE(H797,""IDENTITAS UNIT!F35"")"),2000016053)</f>
        <v>2000016053</v>
      </c>
    </row>
    <row r="798" spans="1:13" ht="49.5">
      <c r="A798" s="4" t="str">
        <v>Reguler Periode ke-119 II.B.1</v>
      </c>
      <c r="B798" s="4" t="str">
        <v>Reguler Periode ke-119</v>
      </c>
      <c r="C798" s="4" t="str">
        <v>II.B.1</v>
      </c>
      <c r="D798" s="101" t="str">
        <v>https://drive.google.com/open?id=1J6vl1p7n0dc6Vxyb1AHnQXuduAlQzZ3KkmYCrMsBpXQ&amp;usp=drive_copy</v>
      </c>
      <c r="E798" s="101" t="str">
        <v>https://drive.google.com/open?id=1J6vl1p7n0dc6Vxyb1AHnQXuduAlQzZ3KkmYCrMsBpXQ</v>
      </c>
      <c r="F798" s="103" t="str">
        <f ca="1">IFERROR(__xludf.DUMMYFUNCTION("IMPORTRANGE(H798,""IDENTITAS UNIT!D9"")"),"https://maps.app.goo.gl/TWH4VrhF4UZX9txd6?g_st=ic")</f>
        <v>https://maps.app.goo.gl/TWH4VrhF4UZX9txd6?g_st=ic</v>
      </c>
      <c r="G798" s="4" t="s">
        <v>13256</v>
      </c>
      <c r="H798" s="101" t="str">
        <v>https://docs.google.com/spreadsheets/d/1J6vl1p7n0dc6Vxyb1AHnQXuduAlQzZ3KkmYCrMsBpXQ</v>
      </c>
      <c r="I798" s="101" t="str">
        <v>https://docs.google.com/open?id=1J6vl1p7n0dc6Vxyb1AHnQXuduAlQzZ3KkmYCrMsBpXQ</v>
      </c>
      <c r="J798" s="4" t="str">
        <v>Sumberejo Lor, Sumberejo, Batur</v>
      </c>
      <c r="L798" s="99" t="str">
        <f ca="1">IFERROR(__xludf.DUMMYFUNCTION("IMPORTRANGE(H798,""IDENTITAS UNIT!D35"")"),"Rifky Ramadhan")</f>
        <v>Rifky Ramadhan</v>
      </c>
      <c r="M798" s="99">
        <f ca="1">IFERROR(__xludf.DUMMYFUNCTION("IMPORTRANGE(H798,""IDENTITAS UNIT!F35"")"),2000016002)</f>
        <v>2000016002</v>
      </c>
    </row>
    <row r="799" spans="1:13" ht="49.5">
      <c r="A799" s="4" t="str">
        <v>Reguler Periode ke-119 II.B.2</v>
      </c>
      <c r="B799" s="4" t="str">
        <v>Reguler Periode ke-119</v>
      </c>
      <c r="C799" s="4" t="str">
        <v>II.B.2</v>
      </c>
      <c r="D799" s="101" t="str">
        <v>https://drive.google.com/open?id=1JsN4x6qkeTs7wLVr6XLNgXiy5-mW__0v825hXWtWTPI&amp;usp=drive_copy</v>
      </c>
      <c r="E799" s="101" t="str">
        <v>https://drive.google.com/open?id=1JsN4x6qkeTs7wLVr6XLNgXiy5-mW__0v825hXWtWTPI</v>
      </c>
      <c r="F799" s="103" t="str">
        <f ca="1">IFERROR(__xludf.DUMMYFUNCTION("IMPORTRANGE(H799,""IDENTITAS UNIT!D9"")"),"https://maps.app.goo.gl/geGKqrCqyHqYV9XJA")</f>
        <v>https://maps.app.goo.gl/geGKqrCqyHqYV9XJA</v>
      </c>
      <c r="G799" s="4" t="s">
        <v>13257</v>
      </c>
      <c r="H799" s="101" t="str">
        <v>https://docs.google.com/spreadsheets/d/1JsN4x6qkeTs7wLVr6XLNgXiy5-mW__0v825hXWtWTPI</v>
      </c>
      <c r="I799" s="101" t="str">
        <v>https://docs.google.com/open?id=1JsN4x6qkeTs7wLVr6XLNgXiy5-mW__0v825hXWtWTPI</v>
      </c>
      <c r="J799" s="4" t="str">
        <v>Karanganyar, Pasurenan, Batur</v>
      </c>
      <c r="L799" s="99" t="str">
        <f ca="1">IFERROR(__xludf.DUMMYFUNCTION("IMPORTRANGE(H799,""IDENTITAS UNIT!D35"")"),"Legi Jumansyah")</f>
        <v>Legi Jumansyah</v>
      </c>
      <c r="M799" s="99">
        <f ca="1">IFERROR(__xludf.DUMMYFUNCTION("IMPORTRANGE(H799,""IDENTITAS UNIT!F35"")"),2000022029)</f>
        <v>2000022029</v>
      </c>
    </row>
    <row r="800" spans="1:13" ht="49.5">
      <c r="A800" s="4" t="str">
        <v>Reguler Periode ke-119 II.B.3</v>
      </c>
      <c r="B800" s="4" t="str">
        <v>Reguler Periode ke-119</v>
      </c>
      <c r="C800" s="4" t="str">
        <v>II.B.3</v>
      </c>
      <c r="D800" s="101" t="str">
        <v>https://drive.google.com/open?id=1MHJCwQcQNSV8n_R6I-zLfrAfKXBt2eiHCE_V_fEkUPU&amp;usp=drive_copy</v>
      </c>
      <c r="E800" s="101" t="str">
        <v>https://drive.google.com/open?id=1MHJCwQcQNSV8n_R6I-zLfrAfKXBt2eiHCE_V_fEkUPU</v>
      </c>
      <c r="F800" s="103" t="str">
        <f ca="1">IFERROR(__xludf.DUMMYFUNCTION("IMPORTRANGE(H800,""IDENTITAS UNIT!D9"")"),"https://maps.app.goo.gl/8Xb6ian3wK31PfTu8")</f>
        <v>https://maps.app.goo.gl/8Xb6ian3wK31PfTu8</v>
      </c>
      <c r="G800" s="4" t="s">
        <v>13258</v>
      </c>
      <c r="H800" s="101" t="str">
        <v>https://docs.google.com/spreadsheets/d/1MHJCwQcQNSV8n_R6I-zLfrAfKXBt2eiHCE_V_fEkUPU</v>
      </c>
      <c r="I800" s="101" t="str">
        <v>https://docs.google.com/open?id=1MHJCwQcQNSV8n_R6I-zLfrAfKXBt2eiHCE_V_fEkUPU</v>
      </c>
      <c r="J800" s="4" t="str">
        <v>Krajan, Pasurenan, Batur</v>
      </c>
      <c r="L800" s="99" t="str">
        <f ca="1">IFERROR(__xludf.DUMMYFUNCTION("IMPORTRANGE(H800,""IDENTITAS UNIT!D35"")"),"Muhammad Rizali Syahrul Nur Hamdani")</f>
        <v>Muhammad Rizali Syahrul Nur Hamdani</v>
      </c>
      <c r="M800" s="99">
        <f ca="1">IFERROR(__xludf.DUMMYFUNCTION("IMPORTRANGE(H800,""IDENTITAS UNIT!F35"")"),2000031062)</f>
        <v>2000031062</v>
      </c>
    </row>
    <row r="801" spans="1:13" ht="49.5">
      <c r="A801" s="4" t="str">
        <v>Reguler Periode ke-119 II.C.1</v>
      </c>
      <c r="B801" s="4" t="str">
        <v>Reguler Periode ke-119</v>
      </c>
      <c r="C801" s="4" t="str">
        <v>II.C.1</v>
      </c>
      <c r="D801" s="101" t="str">
        <v>https://drive.google.com/open?id=1NXloLPdh5MiFLQRsbudsl6t9ZaJ0tBudRZhDhnbvPVM&amp;usp=drive_copy</v>
      </c>
      <c r="E801" s="101" t="str">
        <v>https://drive.google.com/open?id=1NXloLPdh5MiFLQRsbudsl6t9ZaJ0tBudRZhDhnbvPVM</v>
      </c>
      <c r="F801" s="103" t="str">
        <f ca="1">IFERROR(__xludf.DUMMYFUNCTION("IMPORTRANGE(H801,""IDENTITAS UNIT!D9"")"),"https://maps.app.goo.gl/xY1189A9DEM26xmp9")</f>
        <v>https://maps.app.goo.gl/xY1189A9DEM26xmp9</v>
      </c>
      <c r="G801" s="4" t="s">
        <v>13259</v>
      </c>
      <c r="H801" s="101" t="str">
        <v>https://docs.google.com/spreadsheets/d/1NXloLPdh5MiFLQRsbudsl6t9ZaJ0tBudRZhDhnbvPVM</v>
      </c>
      <c r="I801" s="101" t="str">
        <v>https://docs.google.com/open?id=1NXloLPdh5MiFLQRsbudsl6t9ZaJ0tBudRZhDhnbvPVM</v>
      </c>
      <c r="J801" s="4" t="str">
        <v>Wiroyoso, Pasurenan, Batur</v>
      </c>
      <c r="L801" s="99" t="str">
        <f ca="1">IFERROR(__xludf.DUMMYFUNCTION("IMPORTRANGE(H801,""IDENTITAS UNIT!D35"")"),"Mu'aziz Latif")</f>
        <v>Mu'aziz Latif</v>
      </c>
      <c r="M801" s="99">
        <f ca="1">IFERROR(__xludf.DUMMYFUNCTION("IMPORTRANGE(H801,""IDENTITAS UNIT!F35"")"),2000031250)</f>
        <v>2000031250</v>
      </c>
    </row>
    <row r="802" spans="1:13" ht="49.5">
      <c r="A802" s="4" t="str">
        <v>Reguler Periode ke-119 II.C.2</v>
      </c>
      <c r="B802" s="4" t="str">
        <v>Reguler Periode ke-119</v>
      </c>
      <c r="C802" s="4" t="str">
        <v>II.C.2</v>
      </c>
      <c r="D802" s="101" t="str">
        <v>https://drive.google.com/open?id=1Pu4Zms7MKl4RvswRmnbczScpLk6wFSxSRxtfpMKaqIc&amp;usp=drive_copy</v>
      </c>
      <c r="E802" s="101" t="str">
        <v>https://drive.google.com/open?id=1Pu4Zms7MKl4RvswRmnbczScpLk6wFSxSRxtfpMKaqIc</v>
      </c>
      <c r="F802" s="103" t="str">
        <f ca="1">IFERROR(__xludf.DUMMYFUNCTION("IMPORTRANGE(H802,""IDENTITAS UNIT!D9"")"),"https://maps.app.goo.gl/4L7nS25vgvFwsxaZA")</f>
        <v>https://maps.app.goo.gl/4L7nS25vgvFwsxaZA</v>
      </c>
      <c r="G802" s="4" t="s">
        <v>13260</v>
      </c>
      <c r="H802" s="101" t="str">
        <v>https://docs.google.com/spreadsheets/d/1Pu4Zms7MKl4RvswRmnbczScpLk6wFSxSRxtfpMKaqIc</v>
      </c>
      <c r="I802" s="101" t="str">
        <v>https://docs.google.com/open?id=1Pu4Zms7MKl4RvswRmnbczScpLk6wFSxSRxtfpMKaqIc</v>
      </c>
      <c r="J802" s="4" t="str">
        <v>Bakal Kulon, Bakal, Batur</v>
      </c>
      <c r="L802" s="99" t="str">
        <f ca="1">IFERROR(__xludf.DUMMYFUNCTION("IMPORTRANGE(H802,""IDENTITAS UNIT!D35"")"),"Hafizh Ananda Rizkilla")</f>
        <v>Hafizh Ananda Rizkilla</v>
      </c>
      <c r="M802" s="99">
        <f ca="1">IFERROR(__xludf.DUMMYFUNCTION("IMPORTRANGE(H802,""IDENTITAS UNIT!F35"")"),2000031203)</f>
        <v>2000031203</v>
      </c>
    </row>
    <row r="803" spans="1:13" ht="49.5">
      <c r="A803" s="4" t="str">
        <v>Reguler Periode ke-119 II.C.3</v>
      </c>
      <c r="B803" s="4" t="str">
        <v>Reguler Periode ke-119</v>
      </c>
      <c r="C803" s="4" t="str">
        <v>II.C.3</v>
      </c>
      <c r="D803" s="101" t="str">
        <v>https://drive.google.com/open?id=1Q7yOGnlcdHOfhi2u-d7NAPhNn4lEPtu8ki0kQw_Ayus&amp;usp=drive_copy</v>
      </c>
      <c r="E803" s="101" t="str">
        <v>https://drive.google.com/open?id=1Q7yOGnlcdHOfhi2u-d7NAPhNn4lEPtu8ki0kQw_Ayus</v>
      </c>
      <c r="F803" s="103" t="str">
        <f ca="1">IFERROR(__xludf.DUMMYFUNCTION("IMPORTRANGE(H803,""IDENTITAS UNIT!D9"")"),"https://maps.app.goo.gl/GGdu1d6Qas4c88y46")</f>
        <v>https://maps.app.goo.gl/GGdu1d6Qas4c88y46</v>
      </c>
      <c r="G803" s="4" t="s">
        <v>13261</v>
      </c>
      <c r="H803" s="101" t="str">
        <v>https://docs.google.com/spreadsheets/d/1Q7yOGnlcdHOfhi2u-d7NAPhNn4lEPtu8ki0kQw_Ayus</v>
      </c>
      <c r="I803" s="101" t="str">
        <v>https://docs.google.com/open?id=1Q7yOGnlcdHOfhi2u-d7NAPhNn4lEPtu8ki0kQw_Ayus</v>
      </c>
      <c r="J803" s="4" t="str">
        <v>Buntu, Bakal, Batur</v>
      </c>
      <c r="L803" s="99" t="str">
        <f ca="1">IFERROR(__xludf.DUMMYFUNCTION("IMPORTRANGE(H803,""IDENTITAS UNIT!D35"")"),"Rizal Asyifa Putra Dinata")</f>
        <v>Rizal Asyifa Putra Dinata</v>
      </c>
      <c r="M803" s="99">
        <f ca="1">IFERROR(__xludf.DUMMYFUNCTION("IMPORTRANGE(H803,""IDENTITAS UNIT!F35"")"),2000003099)</f>
        <v>2000003099</v>
      </c>
    </row>
    <row r="804" spans="1:13" ht="49.5">
      <c r="A804" s="4" t="str">
        <v>Reguler Periode ke-119 II.D.1</v>
      </c>
      <c r="B804" s="4" t="str">
        <v>Reguler Periode ke-119</v>
      </c>
      <c r="C804" s="4" t="str">
        <v>II.D.1</v>
      </c>
      <c r="D804" s="101" t="str">
        <v>https://drive.google.com/open?id=1WIeOo_cavCz6IzPv-79HsdP8DPAiY2XsnlSzhq_-wfw&amp;usp=drive_copy</v>
      </c>
      <c r="E804" s="101" t="str">
        <v>https://drive.google.com/open?id=1WIeOo_cavCz6IzPv-79HsdP8DPAiY2XsnlSzhq_-wfw</v>
      </c>
      <c r="F804" s="103" t="str">
        <f ca="1">IFERROR(__xludf.DUMMYFUNCTION("IMPORTRANGE(H804,""IDENTITAS UNIT!D9"")"),"https://maps.app.goo.gl/7psb7u58KxBDCkga7")</f>
        <v>https://maps.app.goo.gl/7psb7u58KxBDCkga7</v>
      </c>
      <c r="G804" s="4" t="s">
        <v>13262</v>
      </c>
      <c r="H804" s="101" t="str">
        <v>https://docs.google.com/spreadsheets/d/1WIeOo_cavCz6IzPv-79HsdP8DPAiY2XsnlSzhq_-wfw</v>
      </c>
      <c r="I804" s="101" t="str">
        <v>https://docs.google.com/open?id=1WIeOo_cavCz6IzPv-79HsdP8DPAiY2XsnlSzhq_-wfw</v>
      </c>
      <c r="J804" s="4" t="str">
        <v>Garongan Pojok, Wonokerto, Turi</v>
      </c>
      <c r="L804" s="99" t="str">
        <f ca="1">IFERROR(__xludf.DUMMYFUNCTION("IMPORTRANGE(H804,""IDENTITAS UNIT!D35"")"),"Andre Triansya")</f>
        <v>Andre Triansya</v>
      </c>
      <c r="M804" s="99">
        <f ca="1">IFERROR(__xludf.DUMMYFUNCTION("IMPORTRANGE(H804,""IDENTITAS UNIT!F35"")"),2000003079)</f>
        <v>2000003079</v>
      </c>
    </row>
    <row r="805" spans="1:13" ht="49.5">
      <c r="A805" s="4" t="str">
        <v>Reguler Periode ke-119 II.D.2</v>
      </c>
      <c r="B805" s="4" t="str">
        <v>Reguler Periode ke-119</v>
      </c>
      <c r="C805" s="4" t="str">
        <v>II.D.2</v>
      </c>
      <c r="D805" s="101" t="str">
        <v>https://drive.google.com/open?id=1ZRu0cDPG3ZnOcMxstsnvp__GyPvKCgHY_Kw1yEDb1_k&amp;usp=drive_copy</v>
      </c>
      <c r="E805" s="101" t="str">
        <v>https://drive.google.com/open?id=1ZRu0cDPG3ZnOcMxstsnvp__GyPvKCgHY_Kw1yEDb1_k</v>
      </c>
      <c r="F805" s="103" t="str">
        <f ca="1">IFERROR(__xludf.DUMMYFUNCTION("IMPORTRANGE(H805,""IDENTITAS UNIT!D9"")"),"https://maps.app.goo.gl/KZFsVo3ePMR86rot6")</f>
        <v>https://maps.app.goo.gl/KZFsVo3ePMR86rot6</v>
      </c>
      <c r="G805" s="4" t="s">
        <v>13263</v>
      </c>
      <c r="H805" s="101" t="str">
        <v>https://docs.google.com/spreadsheets/d/1ZRu0cDPG3ZnOcMxstsnvp__GyPvKCgHY_Kw1yEDb1_k</v>
      </c>
      <c r="I805" s="101" t="str">
        <v>https://docs.google.com/open?id=1ZRu0cDPG3ZnOcMxstsnvp__GyPvKCgHY_Kw1yEDb1_k</v>
      </c>
      <c r="J805" s="4" t="str">
        <v>Sempu, Wonokerto, Turi</v>
      </c>
      <c r="L805" s="99" t="str">
        <f ca="1">IFERROR(__xludf.DUMMYFUNCTION("IMPORTRANGE(H805,""IDENTITAS UNIT!D35"")"),"Taufiq Ramadhan")</f>
        <v>Taufiq Ramadhan</v>
      </c>
      <c r="M805" s="99">
        <f ca="1">IFERROR(__xludf.DUMMYFUNCTION("IMPORTRANGE(H805,""IDENTITAS UNIT!F35"")"),2000032172)</f>
        <v>2000032172</v>
      </c>
    </row>
    <row r="806" spans="1:13" ht="49.5">
      <c r="A806" s="4" t="str">
        <v>Reguler Periode ke-119 II.D.3</v>
      </c>
      <c r="B806" s="4" t="str">
        <v>Reguler Periode ke-119</v>
      </c>
      <c r="C806" s="4" t="str">
        <v>II.D.3</v>
      </c>
      <c r="D806" s="101" t="str">
        <v>https://drive.google.com/open?id=1bpanpWhQGFeHYhtox_A-JZcht_rFGNVfcwih-ljQgW8&amp;usp=drive_copy</v>
      </c>
      <c r="E806" s="101" t="str">
        <v>https://drive.google.com/open?id=1bpanpWhQGFeHYhtox_A-JZcht_rFGNVfcwih-ljQgW8</v>
      </c>
      <c r="F806" s="103" t="str">
        <f ca="1">IFERROR(__xludf.DUMMYFUNCTION("IMPORTRANGE(H806,""IDENTITAS UNIT!D9"")"),"https://maps.app.goo.gl/RyyesoExckCEmrBD6")</f>
        <v>https://maps.app.goo.gl/RyyesoExckCEmrBD6</v>
      </c>
      <c r="G806" s="4" t="s">
        <v>13264</v>
      </c>
      <c r="H806" s="101" t="str">
        <v>https://docs.google.com/spreadsheets/d/1bpanpWhQGFeHYhtox_A-JZcht_rFGNVfcwih-ljQgW8</v>
      </c>
      <c r="I806" s="101" t="str">
        <v>https://docs.google.com/open?id=1bpanpWhQGFeHYhtox_A-JZcht_rFGNVfcwih-ljQgW8</v>
      </c>
      <c r="J806" s="4" t="str">
        <v>Dukuhsari, Wonokerto, Turi</v>
      </c>
      <c r="L806" s="99" t="str">
        <f ca="1">IFERROR(__xludf.DUMMYFUNCTION("IMPORTRANGE(H806,""IDENTITAS UNIT!D35"")"),"Ropiki Sagala")</f>
        <v>Ropiki Sagala</v>
      </c>
      <c r="M806" s="99">
        <f ca="1">IFERROR(__xludf.DUMMYFUNCTION("IMPORTRANGE(H806,""IDENTITAS UNIT!F35"")"),2000032165)</f>
        <v>2000032165</v>
      </c>
    </row>
    <row r="807" spans="1:13" ht="49.5">
      <c r="A807" s="4" t="str">
        <v>Reguler Periode ke-119 III.A.1</v>
      </c>
      <c r="B807" s="4" t="str">
        <v>Reguler Periode ke-119</v>
      </c>
      <c r="C807" s="4" t="str">
        <v>III.A.1</v>
      </c>
      <c r="D807" s="101" t="str">
        <v>https://drive.google.com/open?id=1dK-1GRWW7qKlqYsPMEacabrPGPnUBnoxVl4_b5qXxx0&amp;usp=drive_copy</v>
      </c>
      <c r="E807" s="101" t="str">
        <v>https://drive.google.com/open?id=1dK-1GRWW7qKlqYsPMEacabrPGPnUBnoxVl4_b5qXxx0</v>
      </c>
      <c r="F807" s="103" t="str">
        <f ca="1">IFERROR(__xludf.DUMMYFUNCTION("IMPORTRANGE(H807,""IDENTITAS UNIT!D9"")"),"https://maps.app.goo.gl/jUETcMPAH4113qae7")</f>
        <v>https://maps.app.goo.gl/jUETcMPAH4113qae7</v>
      </c>
      <c r="G807" s="4" t="s">
        <v>13265</v>
      </c>
      <c r="H807" s="101" t="str">
        <v>https://docs.google.com/spreadsheets/d/1dK-1GRWW7qKlqYsPMEacabrPGPnUBnoxVl4_b5qXxx0</v>
      </c>
      <c r="I807" s="101" t="str">
        <v>https://docs.google.com/open?id=1dK-1GRWW7qKlqYsPMEacabrPGPnUBnoxVl4_b5qXxx0</v>
      </c>
      <c r="J807" s="4" t="str">
        <v>Selowangsan, Wonokerto, Turi</v>
      </c>
      <c r="L807" s="99" t="str">
        <f ca="1">IFERROR(__xludf.DUMMYFUNCTION("IMPORTRANGE(H807,""IDENTITAS UNIT!D35"")"),"Agung Dwi Nugroho")</f>
        <v>Agung Dwi Nugroho</v>
      </c>
      <c r="M807" s="99">
        <f ca="1">IFERROR(__xludf.DUMMYFUNCTION("IMPORTRANGE(H807,""IDENTITAS UNIT!F35"")"),2000023069)</f>
        <v>2000023069</v>
      </c>
    </row>
    <row r="808" spans="1:13" ht="49.5">
      <c r="A808" s="4" t="str">
        <v>Reguler Periode ke-119 III.A.2</v>
      </c>
      <c r="B808" s="4" t="str">
        <v>Reguler Periode ke-119</v>
      </c>
      <c r="C808" s="4" t="str">
        <v>III.A.2</v>
      </c>
      <c r="D808" s="101" t="str">
        <v>https://drive.google.com/open?id=1fCUY5EXexmjdnLDxMmzuos-LNQ8xkLSda7kL3wcZCsY&amp;usp=drive_copy</v>
      </c>
      <c r="E808" s="101" t="str">
        <v>https://drive.google.com/open?id=1fCUY5EXexmjdnLDxMmzuos-LNQ8xkLSda7kL3wcZCsY</v>
      </c>
      <c r="F808" s="103" t="str">
        <f ca="1">IFERROR(__xludf.DUMMYFUNCTION("IMPORTRANGE(H808,""IDENTITAS UNIT!D9"")"),"https://maps.app.goo.gl/ySm4ymVL1ktKiHKd8")</f>
        <v>https://maps.app.goo.gl/ySm4ymVL1ktKiHKd8</v>
      </c>
      <c r="G808" s="4" t="s">
        <v>13266</v>
      </c>
      <c r="H808" s="101" t="str">
        <v>https://docs.google.com/spreadsheets/d/1fCUY5EXexmjdnLDxMmzuos-LNQ8xkLSda7kL3wcZCsY</v>
      </c>
      <c r="I808" s="101" t="str">
        <v>https://docs.google.com/open?id=1fCUY5EXexmjdnLDxMmzuos-LNQ8xkLSda7kL3wcZCsY</v>
      </c>
      <c r="J808" s="4" t="str">
        <v>Pulosari Becici, Wonokerto, Turi</v>
      </c>
      <c r="L808" s="99" t="str">
        <f ca="1">IFERROR(__xludf.DUMMYFUNCTION("IMPORTRANGE(H808,""IDENTITAS UNIT!D35"")"),"Angga Budi Saputra")</f>
        <v>Angga Budi Saputra</v>
      </c>
      <c r="M808" s="99">
        <f ca="1">IFERROR(__xludf.DUMMYFUNCTION("IMPORTRANGE(H808,""IDENTITAS UNIT!F35"")"),2000004065)</f>
        <v>2000004065</v>
      </c>
    </row>
    <row r="809" spans="1:13" ht="49.5">
      <c r="A809" s="4" t="str">
        <v>Reguler Periode ke-119 III.A.3</v>
      </c>
      <c r="B809" s="4" t="str">
        <v>Reguler Periode ke-119</v>
      </c>
      <c r="C809" s="4" t="str">
        <v>III.A.3</v>
      </c>
      <c r="D809" s="101" t="str">
        <v>https://drive.google.com/open?id=1gZAFYnonIrMoTqtO_2f2RZJgKxJ8vHI9GpKbRjcRDbs&amp;usp=drive_copy</v>
      </c>
      <c r="E809" s="101" t="str">
        <v>https://drive.google.com/open?id=1gZAFYnonIrMoTqtO_2f2RZJgKxJ8vHI9GpKbRjcRDbs</v>
      </c>
      <c r="F809" s="103" t="str">
        <f ca="1">IFERROR(__xludf.DUMMYFUNCTION("IMPORTRANGE(H809,""IDENTITAS UNIT!D9"")"),"https://maps.app.goo.gl/ZoH4XCEuYgtKuWV18")</f>
        <v>https://maps.app.goo.gl/ZoH4XCEuYgtKuWV18</v>
      </c>
      <c r="G809" s="4" t="s">
        <v>13267</v>
      </c>
      <c r="H809" s="101" t="str">
        <v>https://docs.google.com/spreadsheets/d/1gZAFYnonIrMoTqtO_2f2RZJgKxJ8vHI9GpKbRjcRDbs</v>
      </c>
      <c r="I809" s="101" t="str">
        <v>https://docs.google.com/open?id=1gZAFYnonIrMoTqtO_2f2RZJgKxJ8vHI9GpKbRjcRDbs</v>
      </c>
      <c r="J809" s="4" t="str">
        <v>Manggungsari, Wonokerto, Turi</v>
      </c>
      <c r="L809" s="99" t="str">
        <f ca="1">IFERROR(__xludf.DUMMYFUNCTION("IMPORTRANGE(H809,""IDENTITAS UNIT!D35"")"),"Muhammad Ilham Bintang Ramadhan")</f>
        <v>Muhammad Ilham Bintang Ramadhan</v>
      </c>
      <c r="M809" s="99">
        <f ca="1">IFERROR(__xludf.DUMMYFUNCTION("IMPORTRANGE(H809,""IDENTITAS UNIT!F35"")"),2000024310)</f>
        <v>2000024310</v>
      </c>
    </row>
    <row r="810" spans="1:13" ht="49.5">
      <c r="A810" s="4" t="str">
        <v>Reguler Periode ke-119 III.B.1</v>
      </c>
      <c r="B810" s="4" t="str">
        <v>Reguler Periode ke-119</v>
      </c>
      <c r="C810" s="4" t="str">
        <v>III.B.1</v>
      </c>
      <c r="D810" s="101" t="str">
        <v>https://drive.google.com/open?id=1ixk6PTLsAgjRwdaPEXyvycf1xmiVYn9IluVfFCoEgGs&amp;usp=drive_copy</v>
      </c>
      <c r="E810" s="101" t="str">
        <v>https://drive.google.com/open?id=1ixk6PTLsAgjRwdaPEXyvycf1xmiVYn9IluVfFCoEgGs</v>
      </c>
      <c r="F810" s="103" t="str">
        <f ca="1">IFERROR(__xludf.DUMMYFUNCTION("IMPORTRANGE(H810,""IDENTITAS UNIT!D9"")"),"https://maps.app.goo.gl/yfwyn4Cv34Y6hipS7")</f>
        <v>https://maps.app.goo.gl/yfwyn4Cv34Y6hipS7</v>
      </c>
      <c r="G810" s="4" t="s">
        <v>13268</v>
      </c>
      <c r="H810" s="101" t="str">
        <v>https://docs.google.com/spreadsheets/d/1ixk6PTLsAgjRwdaPEXyvycf1xmiVYn9IluVfFCoEgGs</v>
      </c>
      <c r="I810" s="101" t="str">
        <v>https://docs.google.com/open?id=1ixk6PTLsAgjRwdaPEXyvycf1xmiVYn9IluVfFCoEgGs</v>
      </c>
      <c r="J810" s="4" t="str">
        <v>Tunggularum, Wonokerto, Turi</v>
      </c>
      <c r="L810" s="99" t="str">
        <f ca="1">IFERROR(__xludf.DUMMYFUNCTION("IMPORTRANGE(H810,""IDENTITAS UNIT!D35"")"),"Dhani Suryandono")</f>
        <v>Dhani Suryandono</v>
      </c>
      <c r="M810" s="99">
        <f ca="1">IFERROR(__xludf.DUMMYFUNCTION("IMPORTRANGE(H810,""IDENTITAS UNIT!F35"")"),2000004115)</f>
        <v>2000004115</v>
      </c>
    </row>
    <row r="811" spans="1:13" ht="49.5">
      <c r="A811" s="4" t="str">
        <v>Reguler Periode ke-119 III.B.2</v>
      </c>
      <c r="B811" s="4" t="str">
        <v>Reguler Periode ke-119</v>
      </c>
      <c r="C811" s="4" t="str">
        <v>III.B.2</v>
      </c>
      <c r="D811" s="101" t="str">
        <v>https://drive.google.com/open?id=1mnKPLyxOXQjn0E0yqs9JJZB9JiLp2bqc7d7hf0T9ySM&amp;usp=drive_copy</v>
      </c>
      <c r="E811" s="101" t="str">
        <v>https://drive.google.com/open?id=1mnKPLyxOXQjn0E0yqs9JJZB9JiLp2bqc7d7hf0T9ySM</v>
      </c>
      <c r="F811" s="103" t="str">
        <f ca="1">IFERROR(__xludf.DUMMYFUNCTION("IMPORTRANGE(H811,""IDENTITAS UNIT!D9"")"),"https://maps.app.goo.gl/spCejCr9a4okYuSC8")</f>
        <v>https://maps.app.goo.gl/spCejCr9a4okYuSC8</v>
      </c>
      <c r="G811" s="4" t="s">
        <v>13269</v>
      </c>
      <c r="H811" s="101" t="str">
        <v>https://docs.google.com/spreadsheets/d/1mnKPLyxOXQjn0E0yqs9JJZB9JiLp2bqc7d7hf0T9ySM</v>
      </c>
      <c r="I811" s="101" t="str">
        <v>https://docs.google.com/open?id=1mnKPLyxOXQjn0E0yqs9JJZB9JiLp2bqc7d7hf0T9ySM</v>
      </c>
      <c r="J811" s="4" t="str">
        <v>Banjarsari, Wonokerto, Turi</v>
      </c>
      <c r="L811" s="99" t="str">
        <f ca="1">IFERROR(__xludf.DUMMYFUNCTION("IMPORTRANGE(H811,""IDENTITAS UNIT!D35"")"),"Ahmad Fatkhurrochman Alfarisi")</f>
        <v>Ahmad Fatkhurrochman Alfarisi</v>
      </c>
      <c r="M811" s="99">
        <f ca="1">IFERROR(__xludf.DUMMYFUNCTION("IMPORTRANGE(H811,""IDENTITAS UNIT!F35"")"),2000032053)</f>
        <v>2000032053</v>
      </c>
    </row>
    <row r="812" spans="1:13" ht="280.5">
      <c r="A812" s="4" t="str">
        <v>Reguler Periode ke-119 III.B.3</v>
      </c>
      <c r="B812" s="4" t="str">
        <v>Reguler Periode ke-119</v>
      </c>
      <c r="C812" s="4" t="str">
        <v>III.B.3</v>
      </c>
      <c r="D812" s="101" t="str">
        <v>https://drive.google.com/open?id=1p7uvTMayYvM8cmBmRBJxovTB13d71VfVTxT69smOT0M&amp;usp=drive_copy</v>
      </c>
      <c r="E812" s="101" t="str">
        <v>https://drive.google.com/open?id=1p7uvTMayYvM8cmBmRBJxovTB13d71VfVTxT69smOT0M</v>
      </c>
      <c r="F812" s="103" t="str">
        <f ca="1">IFERROR(__xludf.DUMMYFUNCTION("IMPORTRANGE(H812,""IDENTITAS UNIT!D9"")"),"https://maps.apple.com/?address=Giri%20Kerto,%20Kabupaten%20Sleman,%20Daerah%20Istimewa%20Yogyakarta,%20Indonesia&amp;auid=4277592042467432780&amp;ll=-7.637008,110.394516&amp;lsp=7618&amp;q=Giri%20Kerto&amp;_ext=Ch4KBAgEEEUKBAgFEAMKBAgGEAQKBAgKEAIKBAhVEA0SJimU+x2KAp0ewDExzt+"&amp;"EQphbQDkA/b5/80IewEFegH106ppbQFAM&amp;t=m")</f>
        <v>https://maps.apple.com/?address=Giri%20Kerto,%20Kabupaten%20Sleman,%20Daerah%20Istimewa%20Yogyakarta,%20Indonesia&amp;auid=4277592042467432780&amp;ll=-7.637008,110.394516&amp;lsp=7618&amp;q=Giri%20Kerto&amp;_ext=Ch4KBAgEEEUKBAgFEAMKBAgGEAQKBAgKEAIKBAhVEA0SJimU+x2KAp0ewDExzt+EQphbQDkA/b5/80IewEFegH106ppbQFAM&amp;t=m</v>
      </c>
      <c r="H812" s="101" t="str">
        <v>https://docs.google.com/spreadsheets/d/1p7uvTMayYvM8cmBmRBJxovTB13d71VfVTxT69smOT0M</v>
      </c>
      <c r="I812" s="101" t="str">
        <v>https://docs.google.com/open?id=1p7uvTMayYvM8cmBmRBJxovTB13d71VfVTxT69smOT0M</v>
      </c>
      <c r="J812" s="4" t="str">
        <v>Glagahombo, Girikerto, Turi</v>
      </c>
      <c r="L812" s="99" t="str">
        <f ca="1">IFERROR(__xludf.DUMMYFUNCTION("IMPORTRANGE(H812,""IDENTITAS UNIT!D35"")"),"Faliant Chandra Putera")</f>
        <v>Faliant Chandra Putera</v>
      </c>
      <c r="M812" s="99">
        <f ca="1">IFERROR(__xludf.DUMMYFUNCTION("IMPORTRANGE(H812,""IDENTITAS UNIT!F35"")"),2000032092)</f>
        <v>2000032092</v>
      </c>
    </row>
    <row r="813" spans="1:13" ht="49.5">
      <c r="A813" s="4" t="str">
        <v>Reguler Periode ke-119 III.C.1</v>
      </c>
      <c r="B813" s="4" t="str">
        <v>Reguler Periode ke-119</v>
      </c>
      <c r="C813" s="4" t="str">
        <v>III.C.1</v>
      </c>
      <c r="D813" s="101" t="str">
        <v>https://drive.google.com/open?id=1qb1eOF5I_ykC4cNtNDoPOpiuPVxDie5KqzwQvzCBF-s&amp;usp=drive_copy</v>
      </c>
      <c r="E813" s="101" t="str">
        <v>https://drive.google.com/open?id=1qb1eOF5I_ykC4cNtNDoPOpiuPVxDie5KqzwQvzCBF-s</v>
      </c>
      <c r="F813" s="103" t="str">
        <f ca="1">IFERROR(__xludf.DUMMYFUNCTION("IMPORTRANGE(H813,""IDENTITAS UNIT!D9"")"),"https://maps.app.goo.gl/VMdfUCDrhr9kqsGYA")</f>
        <v>https://maps.app.goo.gl/VMdfUCDrhr9kqsGYA</v>
      </c>
      <c r="G813" s="4" t="s">
        <v>13270</v>
      </c>
      <c r="H813" s="101" t="str">
        <v>https://docs.google.com/spreadsheets/d/1qb1eOF5I_ykC4cNtNDoPOpiuPVxDie5KqzwQvzCBF-s</v>
      </c>
      <c r="I813" s="101" t="str">
        <v>https://docs.google.com/open?id=1qb1eOF5I_ykC4cNtNDoPOpiuPVxDie5KqzwQvzCBF-s</v>
      </c>
      <c r="J813" s="4" t="str">
        <v>Surodadi, Girikerto, Turi</v>
      </c>
      <c r="L813" s="99" t="str">
        <f ca="1">IFERROR(__xludf.DUMMYFUNCTION("IMPORTRANGE(H813,""IDENTITAS UNIT!D35"")"),"Andika Prasetia")</f>
        <v>Andika Prasetia</v>
      </c>
      <c r="M813" s="99" t="str">
        <f ca="1">IFERROR(__xludf.DUMMYFUNCTION("IMPORTRANGE(H813,""IDENTITAS UNIT!F35"")"),"PILIH SESUAI DENGAN NAMA YANG TERSEDIA")</f>
        <v>PILIH SESUAI DENGAN NAMA YANG TERSEDIA</v>
      </c>
    </row>
    <row r="814" spans="1:13" ht="49.5">
      <c r="A814" s="4" t="str">
        <v>Reguler Periode ke-119 III.C.2</v>
      </c>
      <c r="B814" s="4" t="str">
        <v>Reguler Periode ke-119</v>
      </c>
      <c r="C814" s="4" t="str">
        <v>III.C.2</v>
      </c>
      <c r="D814" s="101" t="str">
        <v>https://drive.google.com/open?id=1rhKdNxZENi3iQXBOf2mtMsDAO5yX_2S-0pyN62VEn58&amp;usp=drive_copy</v>
      </c>
      <c r="E814" s="101" t="str">
        <v>https://drive.google.com/open?id=1rhKdNxZENi3iQXBOf2mtMsDAO5yX_2S-0pyN62VEn58</v>
      </c>
      <c r="F814" s="103" t="str">
        <f ca="1">IFERROR(__xludf.DUMMYFUNCTION("IMPORTRANGE(H814,""IDENTITAS UNIT!D9"")"),"https://maps.app.goo.gl/P3joEC43Scqv2vnZ7")</f>
        <v>https://maps.app.goo.gl/P3joEC43Scqv2vnZ7</v>
      </c>
      <c r="G814" s="4" t="s">
        <v>13271</v>
      </c>
      <c r="H814" s="101" t="str">
        <v>https://docs.google.com/spreadsheets/d/1rhKdNxZENi3iQXBOf2mtMsDAO5yX_2S-0pyN62VEn58</v>
      </c>
      <c r="I814" s="101" t="str">
        <v>https://docs.google.com/open?id=1rhKdNxZENi3iQXBOf2mtMsDAO5yX_2S-0pyN62VEn58</v>
      </c>
      <c r="J814" s="4" t="str">
        <v>Bening Nganggring, Girikerto, Turi</v>
      </c>
      <c r="L814" s="99" t="str">
        <f ca="1">IFERROR(__xludf.DUMMYFUNCTION("IMPORTRANGE(H814,""IDENTITAS UNIT!D35"")"),"Rezi Saputra")</f>
        <v>Rezi Saputra</v>
      </c>
      <c r="M814" s="99">
        <f ca="1">IFERROR(__xludf.DUMMYFUNCTION("IMPORTRANGE(H814,""IDENTITAS UNIT!F35"")"),2000005140)</f>
        <v>2000005140</v>
      </c>
    </row>
    <row r="815" spans="1:13" ht="49.5">
      <c r="A815" s="4" t="str">
        <v>Reguler Periode ke-119 III.C.3</v>
      </c>
      <c r="B815" s="4" t="str">
        <v>Reguler Periode ke-119</v>
      </c>
      <c r="C815" s="4" t="str">
        <v>III.C.3</v>
      </c>
      <c r="D815" s="101" t="str">
        <v>https://drive.google.com/open?id=1uFFREyj9FnrBR7QtVPEqYaXaViO_p0eGWshC7pUa8sY&amp;usp=drive_copy</v>
      </c>
      <c r="E815" s="101" t="str">
        <v>https://drive.google.com/open?id=1uFFREyj9FnrBR7QtVPEqYaXaViO_p0eGWshC7pUa8sY</v>
      </c>
      <c r="F815" s="103" t="str">
        <f ca="1">IFERROR(__xludf.DUMMYFUNCTION("IMPORTRANGE(H815,""IDENTITAS UNIT!D9"")"),"https://maps.app.goo.gl/iafxgfbgQmWGRQjQ7 ")</f>
        <v xml:space="preserve">https://maps.app.goo.gl/iafxgfbgQmWGRQjQ7 </v>
      </c>
      <c r="G815" s="4" t="s">
        <v>13272</v>
      </c>
      <c r="H815" s="101" t="str">
        <v>https://docs.google.com/spreadsheets/d/1uFFREyj9FnrBR7QtVPEqYaXaViO_p0eGWshC7pUa8sY</v>
      </c>
      <c r="I815" s="101" t="str">
        <v>https://docs.google.com/open?id=1uFFREyj9FnrBR7QtVPEqYaXaViO_p0eGWshC7pUa8sY</v>
      </c>
      <c r="J815" s="4" t="str">
        <v>Pancoh, Girikerto, Turi</v>
      </c>
      <c r="L815" s="99" t="str">
        <f ca="1">IFERROR(__xludf.DUMMYFUNCTION("IMPORTRANGE(H815,""IDENTITAS UNIT!D35"")"),"TOHA EDI SAPUTRA")</f>
        <v>TOHA EDI SAPUTRA</v>
      </c>
      <c r="M815" s="99">
        <f ca="1">IFERROR(__xludf.DUMMYFUNCTION("IMPORTRANGE(H815,""IDENTITAS UNIT!F35"")"),1800017092)</f>
        <v>1800017092</v>
      </c>
    </row>
    <row r="816" spans="1:13" ht="49.5">
      <c r="A816" s="4" t="str">
        <v>Reguler Periode ke-119 III.D.1</v>
      </c>
      <c r="B816" s="4" t="str">
        <v>Reguler Periode ke-119</v>
      </c>
      <c r="C816" s="4" t="str">
        <v>III.D.1</v>
      </c>
      <c r="D816" s="101" t="str">
        <v>https://drive.google.com/open?id=1wydgIhLcEgTNwZcbPqSh_ifapScHd3pZMv3hxIlHL5U&amp;usp=drive_copy</v>
      </c>
      <c r="E816" s="101" t="str">
        <v>https://drive.google.com/open?id=1wydgIhLcEgTNwZcbPqSh_ifapScHd3pZMv3hxIlHL5U</v>
      </c>
      <c r="F816" s="103" t="str">
        <f ca="1">IFERROR(__xludf.DUMMYFUNCTION("IMPORTRANGE(H816,""IDENTITAS UNIT!D9"")"),"https://maps.app.goo.gl/B6AhriiF4ArLFt4k8")</f>
        <v>https://maps.app.goo.gl/B6AhriiF4ArLFt4k8</v>
      </c>
      <c r="G816" s="4" t="s">
        <v>13273</v>
      </c>
      <c r="H816" s="101" t="str">
        <v>https://docs.google.com/spreadsheets/d/1wydgIhLcEgTNwZcbPqSh_ifapScHd3pZMv3hxIlHL5U</v>
      </c>
      <c r="I816" s="101" t="str">
        <v>https://docs.google.com/open?id=1wydgIhLcEgTNwZcbPqSh_ifapScHd3pZMv3hxIlHL5U</v>
      </c>
      <c r="J816" s="4" t="str">
        <v>Karanggawang, Girikerto, Turi</v>
      </c>
      <c r="L816" s="99" t="str">
        <f ca="1">IFERROR(__xludf.DUMMYFUNCTION("IMPORTRANGE(H816,""IDENTITAS UNIT!D35"")"),"Rinal Abdul Azis")</f>
        <v>Rinal Abdul Azis</v>
      </c>
      <c r="M816" s="99">
        <f ca="1">IFERROR(__xludf.DUMMYFUNCTION("IMPORTRANGE(H816,""IDENTITAS UNIT!F35"")"),2000018239)</f>
        <v>2000018239</v>
      </c>
    </row>
    <row r="817" spans="1:13" ht="66">
      <c r="A817" s="4" t="str">
        <v>Reguler Periode ke-119 III.D.2</v>
      </c>
      <c r="B817" s="4" t="str">
        <v>Reguler Periode ke-119</v>
      </c>
      <c r="C817" s="4" t="str">
        <v>III.D.2</v>
      </c>
      <c r="D817" s="101" t="str">
        <v>https://drive.google.com/open?id=1xGj6NFbIzK3dda4h1VeMzV9oVdUVEjKq2_EsjFMj1ns&amp;usp=drive_copy</v>
      </c>
      <c r="E817" s="101" t="str">
        <v>https://drive.google.com/open?id=1xGj6NFbIzK3dda4h1VeMzV9oVdUVEjKq2_EsjFMj1ns</v>
      </c>
      <c r="F817" s="103" t="str">
        <f ca="1">IFERROR(__xludf.DUMMYFUNCTION("IMPORTRANGE(H817,""IDENTITAS UNIT!D9"")"),"https://maps.google.com/?cid=6599454320265985965&amp;entry=gps")</f>
        <v>https://maps.google.com/?cid=6599454320265985965&amp;entry=gps</v>
      </c>
      <c r="G817" s="4" t="s">
        <v>13274</v>
      </c>
      <c r="H817" s="101" t="str">
        <v>https://docs.google.com/spreadsheets/d/1xGj6NFbIzK3dda4h1VeMzV9oVdUVEjKq2_EsjFMj1ns</v>
      </c>
      <c r="I817" s="101" t="str">
        <v>https://docs.google.com/open?id=1xGj6NFbIzK3dda4h1VeMzV9oVdUVEjKq2_EsjFMj1ns</v>
      </c>
      <c r="J817" s="4" t="str">
        <v>Ngandong, Girikerto, Turi</v>
      </c>
      <c r="L817" s="99" t="str">
        <f ca="1">IFERROR(__xludf.DUMMYFUNCTION("IMPORTRANGE(H817,""IDENTITAS UNIT!D35"")"),"Ahmad Daffa Subagio")</f>
        <v>Ahmad Daffa Subagio</v>
      </c>
      <c r="M817" s="99">
        <f ca="1">IFERROR(__xludf.DUMMYFUNCTION("IMPORTRANGE(H817,""IDENTITAS UNIT!F35"")"),2000024264)</f>
        <v>2000024264</v>
      </c>
    </row>
    <row r="818" spans="1:13" ht="49.5">
      <c r="A818" s="4" t="str">
        <v>Reguler Periode ke-119 III.D.3</v>
      </c>
      <c r="B818" s="4" t="str">
        <v>Reguler Periode ke-119</v>
      </c>
      <c r="C818" s="4" t="str">
        <v>III.D.3</v>
      </c>
      <c r="D818" s="101" t="str">
        <v>https://drive.google.com/open?id=1yVJSFzpNooqOgLJUGiWtKAZxsvOVpESm_ce_i1tvsvY&amp;usp=drive_copy</v>
      </c>
      <c r="E818" s="101" t="str">
        <v>https://drive.google.com/open?id=1yVJSFzpNooqOgLJUGiWtKAZxsvOVpESm_ce_i1tvsvY</v>
      </c>
      <c r="F818" s="103" t="str">
        <f ca="1">IFERROR(__xludf.DUMMYFUNCTION("IMPORTRANGE(H818,""IDENTITAS UNIT!D9"")"),"https://maps.app.goo.gl/sDTnBvkAh1qqyDgM9")</f>
        <v>https://maps.app.goo.gl/sDTnBvkAh1qqyDgM9</v>
      </c>
      <c r="G818" s="4" t="s">
        <v>13275</v>
      </c>
      <c r="H818" s="101" t="str">
        <v>https://docs.google.com/spreadsheets/d/1yVJSFzpNooqOgLJUGiWtKAZxsvOVpESm_ce_i1tvsvY</v>
      </c>
      <c r="I818" s="101" t="str">
        <v>https://docs.google.com/open?id=1yVJSFzpNooqOgLJUGiWtKAZxsvOVpESm_ce_i1tvsvY</v>
      </c>
      <c r="J818" s="4" t="str">
        <v>Kloposawit, Girikerto, Turi</v>
      </c>
      <c r="L818" s="99" t="str">
        <f ca="1">IFERROR(__xludf.DUMMYFUNCTION("IMPORTRANGE(H818,""IDENTITAS UNIT!D35"")"),"Irham Sidi Putra Wiratma")</f>
        <v>Irham Sidi Putra Wiratma</v>
      </c>
      <c r="M818" s="99">
        <f ca="1">IFERROR(__xludf.DUMMYFUNCTION("IMPORTRANGE(H818,""IDENTITAS UNIT!F35"")"),2000018443)</f>
        <v>2000018443</v>
      </c>
    </row>
    <row r="819" spans="1:13" ht="49.5">
      <c r="A819" s="4" t="str">
        <v>Reguler Periode ke-119 IV.A.1</v>
      </c>
      <c r="B819" s="4" t="str">
        <v>Reguler Periode ke-119</v>
      </c>
      <c r="C819" s="4" t="str">
        <v>IV.A.1</v>
      </c>
      <c r="D819" s="101" t="str">
        <v>https://drive.google.com/open?id=1-6L7eMel2mT86hlP2hhtSzWmzugKauA3IcddEA7o82I&amp;usp=drive_copy</v>
      </c>
      <c r="E819" s="101" t="str">
        <v>https://drive.google.com/open?id=1-6L7eMel2mT86hlP2hhtSzWmzugKauA3IcddEA7o82I</v>
      </c>
      <c r="F819" s="103" t="str">
        <f ca="1">IFERROR(__xludf.DUMMYFUNCTION("IMPORTRANGE(H819,""IDENTITAS UNIT!D9"")"),"https://maps.app.goo.gl/7hHCu69j4FZMoSHo6?g_st=ic")</f>
        <v>https://maps.app.goo.gl/7hHCu69j4FZMoSHo6?g_st=ic</v>
      </c>
      <c r="G819" s="4" t="s">
        <v>13276</v>
      </c>
      <c r="H819" s="101" t="str">
        <v>https://docs.google.com/spreadsheets/d/1-6L7eMel2mT86hlP2hhtSzWmzugKauA3IcddEA7o82I</v>
      </c>
      <c r="I819" s="101" t="str">
        <v>https://docs.google.com/open?id=1-6L7eMel2mT86hlP2hhtSzWmzugKauA3IcddEA7o82I</v>
      </c>
      <c r="J819" s="4" t="str">
        <v>Surodadi, Donokerto, Turi</v>
      </c>
      <c r="L819" s="99" t="str">
        <f ca="1">IFERROR(__xludf.DUMMYFUNCTION("IMPORTRANGE(H819,""IDENTITAS UNIT!D35"")"),"Munazzad Risky M. Ways")</f>
        <v>Munazzad Risky M. Ways</v>
      </c>
      <c r="M819" s="99">
        <f ca="1">IFERROR(__xludf.DUMMYFUNCTION("IMPORTRANGE(H819,""IDENTITAS UNIT!F35"")"),2000018194)</f>
        <v>2000018194</v>
      </c>
    </row>
    <row r="820" spans="1:13" ht="49.5">
      <c r="A820" s="4" t="str">
        <v>Reguler Periode ke-119 IV.A.2</v>
      </c>
      <c r="B820" s="4" t="str">
        <v>Reguler Periode ke-119</v>
      </c>
      <c r="C820" s="4" t="str">
        <v>IV.A.2</v>
      </c>
      <c r="D820" s="101" t="str">
        <v>https://drive.google.com/open?id=1-jrdE8cRZvI5Rfz7BI0il0R2v8zjsUJ4FcGlq3IJDbU&amp;usp=drive_copy</v>
      </c>
      <c r="E820" s="101" t="str">
        <v>https://drive.google.com/open?id=1-jrdE8cRZvI5Rfz7BI0il0R2v8zjsUJ4FcGlq3IJDbU</v>
      </c>
      <c r="F820" s="103" t="str">
        <f ca="1">IFERROR(__xludf.DUMMYFUNCTION("IMPORTRANGE(H820,""IDENTITAS UNIT!D9"")"),"https://maps.app.goo.gl/kFXaVpa6GWYKC9Uq8")</f>
        <v>https://maps.app.goo.gl/kFXaVpa6GWYKC9Uq8</v>
      </c>
      <c r="G820" s="4" t="s">
        <v>13277</v>
      </c>
      <c r="H820" s="101" t="str">
        <v>https://docs.google.com/spreadsheets/d/1-jrdE8cRZvI5Rfz7BI0il0R2v8zjsUJ4FcGlq3IJDbU</v>
      </c>
      <c r="I820" s="101" t="str">
        <v>https://docs.google.com/open?id=1-jrdE8cRZvI5Rfz7BI0il0R2v8zjsUJ4FcGlq3IJDbU</v>
      </c>
      <c r="J820" s="4" t="str">
        <v>Randusongo, Donokerto, Turi</v>
      </c>
      <c r="L820" s="99" t="str">
        <f ca="1">IFERROR(__xludf.DUMMYFUNCTION("IMPORTRANGE(H820,""IDENTITAS UNIT!D35"")"),"Sulton Fathoni")</f>
        <v>Sulton Fathoni</v>
      </c>
      <c r="M820" s="99">
        <f ca="1">IFERROR(__xludf.DUMMYFUNCTION("IMPORTRANGE(H820,""IDENTITAS UNIT!F35"")"),2000032069)</f>
        <v>2000032069</v>
      </c>
    </row>
    <row r="821" spans="1:13" ht="49.5">
      <c r="A821" s="4" t="str">
        <v>Reguler Periode ke-119 IV.A.3</v>
      </c>
      <c r="B821" s="4" t="str">
        <v>Reguler Periode ke-119</v>
      </c>
      <c r="C821" s="4" t="str">
        <v>IV.A.3</v>
      </c>
      <c r="D821" s="101" t="str">
        <v>https://drive.google.com/open?id=11Se6BOXImfM9O0fBFQM2VCinjPrwX42geCm-njfyD6U&amp;usp=drive_copy</v>
      </c>
      <c r="E821" s="101" t="str">
        <v>https://drive.google.com/open?id=11Se6BOXImfM9O0fBFQM2VCinjPrwX42geCm-njfyD6U</v>
      </c>
      <c r="F821" s="103" t="str">
        <f ca="1">IFERROR(__xludf.DUMMYFUNCTION("IMPORTRANGE(H821,""IDENTITAS UNIT!D9"")"),"https://maps.app.goo.gl/Yw2kSoQN868XvUbA7?g_st=ic")</f>
        <v>https://maps.app.goo.gl/Yw2kSoQN868XvUbA7?g_st=ic</v>
      </c>
      <c r="G821" s="4" t="s">
        <v>13278</v>
      </c>
      <c r="H821" s="101" t="str">
        <v>https://docs.google.com/spreadsheets/d/11Se6BOXImfM9O0fBFQM2VCinjPrwX42geCm-njfyD6U</v>
      </c>
      <c r="I821" s="101" t="str">
        <v>https://docs.google.com/open?id=11Se6BOXImfM9O0fBFQM2VCinjPrwX42geCm-njfyD6U</v>
      </c>
      <c r="J821" s="4" t="str">
        <v>Turi, Donokerto, Turi</v>
      </c>
      <c r="L821" s="99" t="str">
        <f ca="1">IFERROR(__xludf.DUMMYFUNCTION("IMPORTRANGE(H821,""IDENTITAS UNIT!D35"")"),"Akmal Al Hawari")</f>
        <v>Akmal Al Hawari</v>
      </c>
      <c r="M821" s="99">
        <f ca="1">IFERROR(__xludf.DUMMYFUNCTION("IMPORTRANGE(H821,""IDENTITAS UNIT!F35"")"),2000032171)</f>
        <v>2000032171</v>
      </c>
    </row>
    <row r="822" spans="1:13" ht="49.5">
      <c r="A822" s="4" t="str">
        <v>Reguler Periode ke-119 IV.B.1</v>
      </c>
      <c r="B822" s="4" t="str">
        <v>Reguler Periode ke-119</v>
      </c>
      <c r="C822" s="4" t="str">
        <v>IV.B.1</v>
      </c>
      <c r="D822" s="101" t="str">
        <v>https://drive.google.com/open?id=11pSpAn6jZkEYXXgtUW34KYQKHn2n_QTc_Z9qr2r9go4&amp;usp=drive_copy</v>
      </c>
      <c r="E822" s="101" t="str">
        <v>https://drive.google.com/open?id=11pSpAn6jZkEYXXgtUW34KYQKHn2n_QTc_Z9qr2r9go4</v>
      </c>
      <c r="F822" s="103" t="str">
        <f ca="1">IFERROR(__xludf.DUMMYFUNCTION("IMPORTRANGE(H822,""IDENTITAS UNIT!D9"")"),"https://maps.app.goo.gl/GgD3FYywXuQpdBRR6")</f>
        <v>https://maps.app.goo.gl/GgD3FYywXuQpdBRR6</v>
      </c>
      <c r="G822" s="4" t="s">
        <v>13279</v>
      </c>
      <c r="H822" s="101" t="str">
        <v>https://docs.google.com/spreadsheets/d/11pSpAn6jZkEYXXgtUW34KYQKHn2n_QTc_Z9qr2r9go4</v>
      </c>
      <c r="I822" s="101" t="str">
        <v>https://docs.google.com/open?id=11pSpAn6jZkEYXXgtUW34KYQKHn2n_QTc_Z9qr2r9go4</v>
      </c>
      <c r="J822" s="4" t="str">
        <v>Karanganyar, Donokerto, Turi</v>
      </c>
      <c r="L822" s="99" t="str">
        <f ca="1">IFERROR(__xludf.DUMMYFUNCTION("IMPORTRANGE(H822,""IDENTITAS UNIT!D35"")"),"M. Zikri Agsah")</f>
        <v>M. Zikri Agsah</v>
      </c>
      <c r="M822" s="99">
        <f ca="1">IFERROR(__xludf.DUMMYFUNCTION("IMPORTRANGE(H822,""IDENTITAS UNIT!F35"")"),2000005245)</f>
        <v>2000005245</v>
      </c>
    </row>
    <row r="823" spans="1:13" ht="49.5">
      <c r="A823" s="4" t="str">
        <v>Reguler Periode ke-119 IV.B.2</v>
      </c>
      <c r="B823" s="4" t="str">
        <v>Reguler Periode ke-119</v>
      </c>
      <c r="C823" s="4" t="str">
        <v>IV.B.2</v>
      </c>
      <c r="D823" s="101" t="str">
        <v>https://drive.google.com/open?id=11t1VkjBTaaNK_NdHKhawvQy0Rc9JhsgVEhXgftGm1Gs&amp;usp=drive_copy</v>
      </c>
      <c r="E823" s="101" t="str">
        <v>https://drive.google.com/open?id=11t1VkjBTaaNK_NdHKhawvQy0Rc9JhsgVEhXgftGm1Gs</v>
      </c>
      <c r="F823" s="103" t="str">
        <f ca="1">IFERROR(__xludf.DUMMYFUNCTION("IMPORTRANGE(H823,""IDENTITAS UNIT!D9"")"),"https://maps.app.goo.gl/GgD3FYywXuQpdBRR6")</f>
        <v>https://maps.app.goo.gl/GgD3FYywXuQpdBRR6</v>
      </c>
      <c r="G823" s="4" t="s">
        <v>13280</v>
      </c>
      <c r="H823" s="101" t="str">
        <v>https://docs.google.com/spreadsheets/d/11t1VkjBTaaNK_NdHKhawvQy0Rc9JhsgVEhXgftGm1Gs</v>
      </c>
      <c r="I823" s="101" t="str">
        <v>https://docs.google.com/open?id=11t1VkjBTaaNK_NdHKhawvQy0Rc9JhsgVEhXgftGm1Gs</v>
      </c>
      <c r="J823" s="4" t="str">
        <v>Pulerejo, Donokerto, Turi</v>
      </c>
      <c r="L823" s="99" t="str">
        <f ca="1">IFERROR(__xludf.DUMMYFUNCTION("IMPORTRANGE(H823,""IDENTITAS UNIT!D35"")"),"Agung Dwi Prasetyo")</f>
        <v>Agung Dwi Prasetyo</v>
      </c>
      <c r="M823" s="99">
        <f ca="1">IFERROR(__xludf.DUMMYFUNCTION("IMPORTRANGE(H823,""IDENTITAS UNIT!F35"")"),2000005108)</f>
        <v>2000005108</v>
      </c>
    </row>
    <row r="824" spans="1:13" ht="49.5">
      <c r="A824" s="4" t="str">
        <v>Reguler Periode ke-119 IV.B.3</v>
      </c>
      <c r="B824" s="4" t="str">
        <v>Reguler Periode ke-119</v>
      </c>
      <c r="C824" s="4" t="str">
        <v>IV.B.3</v>
      </c>
      <c r="D824" s="101" t="str">
        <v>https://drive.google.com/open?id=125ckWSGOlwdkX5ypzvVX4Z86-le2ukVLGv7ghytrMXg&amp;usp=drive_copy</v>
      </c>
      <c r="E824" s="101" t="str">
        <v>https://drive.google.com/open?id=125ckWSGOlwdkX5ypzvVX4Z86-le2ukVLGv7ghytrMXg</v>
      </c>
      <c r="F824" s="103" t="str">
        <f ca="1">IFERROR(__xludf.DUMMYFUNCTION("IMPORTRANGE(H824,""IDENTITAS UNIT!D9"")"),"https://maps.app.goo.gl/gRAmFKyhpHMzB9TDA")</f>
        <v>https://maps.app.goo.gl/gRAmFKyhpHMzB9TDA</v>
      </c>
      <c r="G824" s="4" t="s">
        <v>13281</v>
      </c>
      <c r="H824" s="101" t="str">
        <v>https://docs.google.com/spreadsheets/d/125ckWSGOlwdkX5ypzvVX4Z86-le2ukVLGv7ghytrMXg</v>
      </c>
      <c r="I824" s="101" t="str">
        <v>https://docs.google.com/open?id=125ckWSGOlwdkX5ypzvVX4Z86-le2ukVLGv7ghytrMXg</v>
      </c>
      <c r="J824" s="4" t="str">
        <v>Daren Lor, Donokerto, Turi</v>
      </c>
      <c r="L824" s="99" t="str">
        <f ca="1">IFERROR(__xludf.DUMMYFUNCTION("IMPORTRANGE(H824,""IDENTITAS UNIT!D35"")"),"Rizdho Fattah Putra")</f>
        <v>Rizdho Fattah Putra</v>
      </c>
      <c r="M824" s="99">
        <f ca="1">IFERROR(__xludf.DUMMYFUNCTION("IMPORTRANGE(H824,""IDENTITAS UNIT!F35"")"),2000018094)</f>
        <v>2000018094</v>
      </c>
    </row>
    <row r="825" spans="1:13" ht="49.5">
      <c r="A825" s="4" t="str">
        <v>Reguler Periode ke-119 IV.C.1</v>
      </c>
      <c r="B825" s="4" t="str">
        <v>Reguler Periode ke-119</v>
      </c>
      <c r="C825" s="4" t="str">
        <v>IV.C.1</v>
      </c>
      <c r="D825" s="101" t="str">
        <v>https://drive.google.com/open?id=1288ftmk97ud5rhCBM1IvNd-eyBvZmxUgj3L45T3aJAI&amp;usp=drive_copy</v>
      </c>
      <c r="E825" s="101" t="str">
        <v>https://drive.google.com/open?id=1288ftmk97ud5rhCBM1IvNd-eyBvZmxUgj3L45T3aJAI</v>
      </c>
      <c r="F825" s="103" t="str">
        <f ca="1">IFERROR(__xludf.DUMMYFUNCTION("IMPORTRANGE(H825,""IDENTITAS UNIT!D9"")"),"https://maps.app.goo.gl/D7kp8jxVfedxkiFD7")</f>
        <v>https://maps.app.goo.gl/D7kp8jxVfedxkiFD7</v>
      </c>
      <c r="G825" s="4" t="s">
        <v>13282</v>
      </c>
      <c r="H825" s="101" t="str">
        <v>https://docs.google.com/spreadsheets/d/1288ftmk97ud5rhCBM1IvNd-eyBvZmxUgj3L45T3aJAI</v>
      </c>
      <c r="I825" s="101" t="str">
        <v>https://docs.google.com/open?id=1288ftmk97ud5rhCBM1IvNd-eyBvZmxUgj3L45T3aJAI</v>
      </c>
      <c r="J825" s="4" t="str">
        <v>Pules Kidul, Donokerto, Turi</v>
      </c>
      <c r="L825" s="99" t="str">
        <f ca="1">IFERROR(__xludf.DUMMYFUNCTION("IMPORTRANGE(H825,""IDENTITAS UNIT!D35"")"),"Tito Rivaldo")</f>
        <v>Tito Rivaldo</v>
      </c>
      <c r="M825" s="99">
        <f ca="1">IFERROR(__xludf.DUMMYFUNCTION("IMPORTRANGE(H825,""IDENTITAS UNIT!F35"")"),2000005357)</f>
        <v>2000005357</v>
      </c>
    </row>
    <row r="826" spans="1:13" ht="49.5">
      <c r="A826" s="4" t="str">
        <v>Reguler Periode ke-119 IV.C.2</v>
      </c>
      <c r="B826" s="4" t="str">
        <v>Reguler Periode ke-119</v>
      </c>
      <c r="C826" s="4" t="str">
        <v>IV.C.2</v>
      </c>
      <c r="D826" s="101" t="str">
        <v>https://drive.google.com/open?id=13kXOsLZnCg9HnW_SotthyrcIsOrNgMh5odIQqbEt0qc&amp;usp=drive_copy</v>
      </c>
      <c r="E826" s="101" t="str">
        <v>https://drive.google.com/open?id=13kXOsLZnCg9HnW_SotthyrcIsOrNgMh5odIQqbEt0qc</v>
      </c>
      <c r="F826" s="103" t="str">
        <f ca="1">IFERROR(__xludf.DUMMYFUNCTION("IMPORTRANGE(H826,""IDENTITAS UNIT!D9"")"),"https://maps.app.goo.gl/X7C3xZaFzhFXk7g49?g_st=iw")</f>
        <v>https://maps.app.goo.gl/X7C3xZaFzhFXk7g49?g_st=iw</v>
      </c>
      <c r="G826" s="4" t="s">
        <v>13283</v>
      </c>
      <c r="H826" s="101" t="str">
        <v>https://docs.google.com/spreadsheets/d/13kXOsLZnCg9HnW_SotthyrcIsOrNgMh5odIQqbEt0qc</v>
      </c>
      <c r="I826" s="101" t="str">
        <v>https://docs.google.com/open?id=13kXOsLZnCg9HnW_SotthyrcIsOrNgMh5odIQqbEt0qc</v>
      </c>
      <c r="J826" s="4" t="str">
        <v>Bandaran, Donokerto, Turi</v>
      </c>
      <c r="L826" s="99" t="str">
        <f ca="1">IFERROR(__xludf.DUMMYFUNCTION("IMPORTRANGE(H826,""IDENTITAS UNIT!D35"")"),"Wahyu Aji Pradani")</f>
        <v>Wahyu Aji Pradani</v>
      </c>
      <c r="M826" s="99">
        <f ca="1">IFERROR(__xludf.DUMMYFUNCTION("IMPORTRANGE(H826,""IDENTITAS UNIT!F35"")"),2000018255)</f>
        <v>2000018255</v>
      </c>
    </row>
    <row r="827" spans="1:13" ht="49.5">
      <c r="A827" s="4" t="str">
        <v>Reguler Periode ke-119 IV.C.3</v>
      </c>
      <c r="B827" s="4" t="str">
        <v>Reguler Periode ke-119</v>
      </c>
      <c r="C827" s="4" t="str">
        <v>IV.C.3</v>
      </c>
      <c r="D827" s="101" t="str">
        <v>https://drive.google.com/open?id=13lZOdZecbBh2fhnG4TGBUVqHbVSVOdLgUg0MzVCLr-E&amp;usp=drive_copy</v>
      </c>
      <c r="E827" s="101" t="str">
        <v>https://drive.google.com/open?id=13lZOdZecbBh2fhnG4TGBUVqHbVSVOdLgUg0MzVCLr-E</v>
      </c>
      <c r="F827" s="103" t="str">
        <f ca="1">IFERROR(__xludf.DUMMYFUNCTION("IMPORTRANGE(H827,""IDENTITAS UNIT!D9"")"),"https://maps.app.goo.gl/ZtAju33cAu5ysNNT8?g_st=iw")</f>
        <v>https://maps.app.goo.gl/ZtAju33cAu5ysNNT8?g_st=iw</v>
      </c>
      <c r="G827" s="4" t="s">
        <v>13284</v>
      </c>
      <c r="H827" s="101" t="str">
        <v>https://docs.google.com/spreadsheets/d/13lZOdZecbBh2fhnG4TGBUVqHbVSVOdLgUg0MzVCLr-E</v>
      </c>
      <c r="I827" s="101" t="str">
        <v>https://docs.google.com/open?id=13lZOdZecbBh2fhnG4TGBUVqHbVSVOdLgUg0MzVCLr-E</v>
      </c>
      <c r="J827" s="4" t="str">
        <v>Kenaruhan, Donokerto, Turi</v>
      </c>
      <c r="L827" s="99" t="str">
        <f ca="1">IFERROR(__xludf.DUMMYFUNCTION("IMPORTRANGE(H827,""IDENTITAS UNIT!D35"")"),"Michael Liow Suyono")</f>
        <v>Michael Liow Suyono</v>
      </c>
      <c r="M827" s="99">
        <f ca="1">IFERROR(__xludf.DUMMYFUNCTION("IMPORTRANGE(H827,""IDENTITAS UNIT!F35"")"),2000018360)</f>
        <v>2000018360</v>
      </c>
    </row>
    <row r="828" spans="1:13" ht="49.5">
      <c r="A828" s="4" t="str">
        <v>Reguler Periode ke-119 IV.D.1</v>
      </c>
      <c r="B828" s="4" t="str">
        <v>Reguler Periode ke-119</v>
      </c>
      <c r="C828" s="4" t="str">
        <v>IV.D.1</v>
      </c>
      <c r="D828" s="101" t="str">
        <v>https://drive.google.com/open?id=14P8BxsnIp5GPkBBcP9ANehw2qkofm97ZOqcXgzCog5s&amp;usp=drive_copy</v>
      </c>
      <c r="E828" s="101" t="str">
        <v>https://drive.google.com/open?id=14P8BxsnIp5GPkBBcP9ANehw2qkofm97ZOqcXgzCog5s</v>
      </c>
      <c r="F828" s="103" t="str">
        <f ca="1">IFERROR(__xludf.DUMMYFUNCTION("IMPORTRANGE(H828,""IDENTITAS UNIT!D9"")"),"https://maps.app.goo.gl/Wd2L8bfnm3ia38d86")</f>
        <v>https://maps.app.goo.gl/Wd2L8bfnm3ia38d86</v>
      </c>
      <c r="G828" s="4" t="s">
        <v>13285</v>
      </c>
      <c r="H828" s="101" t="str">
        <v>https://docs.google.com/spreadsheets/d/14P8BxsnIp5GPkBBcP9ANehw2qkofm97ZOqcXgzCog5s</v>
      </c>
      <c r="I828" s="101" t="str">
        <v>https://docs.google.com/open?id=14P8BxsnIp5GPkBBcP9ANehw2qkofm97ZOqcXgzCog5s</v>
      </c>
      <c r="J828" s="4" t="str">
        <v>Gabugan, Donokerto, Turi</v>
      </c>
      <c r="L828" s="99" t="str">
        <f ca="1">IFERROR(__xludf.DUMMYFUNCTION("IMPORTRANGE(H828,""IDENTITAS UNIT!D35"")"),"Yusuf Hikari")</f>
        <v>Yusuf Hikari</v>
      </c>
      <c r="M828" s="99">
        <f ca="1">IFERROR(__xludf.DUMMYFUNCTION("IMPORTRANGE(H828,""IDENTITAS UNIT!F35"")"),2000033100)</f>
        <v>2000033100</v>
      </c>
    </row>
    <row r="829" spans="1:13" ht="49.5">
      <c r="A829" s="4" t="str">
        <v>Reguler Periode ke-119 IV.D.2</v>
      </c>
      <c r="B829" s="4" t="str">
        <v>Reguler Periode ke-119</v>
      </c>
      <c r="C829" s="4" t="str">
        <v>IV.D.2</v>
      </c>
      <c r="D829" s="101" t="str">
        <v>https://drive.google.com/open?id=17Ko1LM4jIp6bwuXmNtHl8M-offEqBv4yzu9oM9psBEg&amp;usp=drive_copy</v>
      </c>
      <c r="E829" s="101" t="str">
        <v>https://drive.google.com/open?id=17Ko1LM4jIp6bwuXmNtHl8M-offEqBv4yzu9oM9psBEg</v>
      </c>
      <c r="F829" s="103" t="str">
        <f ca="1">IFERROR(__xludf.DUMMYFUNCTION("IMPORTRANGE(H829,""IDENTITAS UNIT!D9"")"),"https://maps.app.goo.gl/aw3ySum6zgcvDSFx8")</f>
        <v>https://maps.app.goo.gl/aw3ySum6zgcvDSFx8</v>
      </c>
      <c r="G829" s="4" t="s">
        <v>13286</v>
      </c>
      <c r="H829" s="101" t="str">
        <v>https://docs.google.com/spreadsheets/d/17Ko1LM4jIp6bwuXmNtHl8M-offEqBv4yzu9oM9psBEg</v>
      </c>
      <c r="I829" s="101" t="str">
        <v>https://docs.google.com/open?id=17Ko1LM4jIp6bwuXmNtHl8M-offEqBv4yzu9oM9psBEg</v>
      </c>
      <c r="J829" s="4" t="str">
        <v>Klegung, Donokerto, Turi</v>
      </c>
      <c r="L829" s="99" t="str">
        <f ca="1">IFERROR(__xludf.DUMMYFUNCTION("IMPORTRANGE(H829,""IDENTITAS UNIT!D35"")"),"Fakhrur Rohim Wahid Nugroho")</f>
        <v>Fakhrur Rohim Wahid Nugroho</v>
      </c>
      <c r="M829" s="99">
        <f ca="1">IFERROR(__xludf.DUMMYFUNCTION("IMPORTRANGE(H829,""IDENTITAS UNIT!F35"")"),2000005129)</f>
        <v>2000005129</v>
      </c>
    </row>
    <row r="830" spans="1:13" ht="49.5">
      <c r="A830" s="4" t="str">
        <v>Reguler Periode ke-119 V.A.1</v>
      </c>
      <c r="B830" s="105" t="str">
        <v>Reguler Periode ke-119</v>
      </c>
      <c r="C830" s="105" t="str">
        <v>V.A.1</v>
      </c>
      <c r="D830" s="106" t="str">
        <v>https://drive.google.com/open?id=18PhNjCiYdveRUTmJqMlyM83BT8Ht9DlHAt7y4yZMHHQ&amp;usp=drive_copy</v>
      </c>
      <c r="E830" s="101" t="str">
        <v>https://drive.google.com/open?id=18PhNjCiYdveRUTmJqMlyM83BT8Ht9DlHAt7y4yZMHHQ</v>
      </c>
      <c r="F830" s="103" t="str">
        <f ca="1">IFERROR(__xludf.DUMMYFUNCTION("IMPORTRANGE(H830,""IDENTITAS UNIT!D9"")"),"https://maps.app.goo.gl/g4W317nU75TTrxCx8")</f>
        <v>https://maps.app.goo.gl/g4W317nU75TTrxCx8</v>
      </c>
      <c r="G830" s="4" t="s">
        <v>13287</v>
      </c>
      <c r="H830" s="101" t="str">
        <v>https://docs.google.com/spreadsheets/d/18PhNjCiYdveRUTmJqMlyM83BT8Ht9DlHAt7y4yZMHHQ</v>
      </c>
      <c r="I830" s="101" t="str">
        <v>https://docs.google.com/open?id=18PhNjCiYdveRUTmJqMlyM83BT8Ht9DlHAt7y4yZMHHQ</v>
      </c>
      <c r="J830" s="4" t="str">
        <v>Grogol 9, Parangtritis, Kretek</v>
      </c>
      <c r="L830" s="99" t="str">
        <f ca="1">IFERROR(__xludf.DUMMYFUNCTION("IMPORTRANGE(H830,""IDENTITAS UNIT!D35"")"),"Wisnu Firman Agus Santoso")</f>
        <v>Wisnu Firman Agus Santoso</v>
      </c>
      <c r="M830" s="99">
        <f ca="1">IFERROR(__xludf.DUMMYFUNCTION("IMPORTRANGE(H830,""IDENTITAS UNIT!F35"")"),1900018230)</f>
        <v>1900018230</v>
      </c>
    </row>
    <row r="831" spans="1:13" ht="49.5">
      <c r="A831" s="4" t="str">
        <v>Reguler Periode ke-119 V.A.2</v>
      </c>
      <c r="B831" s="4" t="str">
        <v>Reguler Periode ke-119</v>
      </c>
      <c r="C831" s="4" t="str">
        <v>V.A.2</v>
      </c>
      <c r="D831" s="101" t="str">
        <v>https://drive.google.com/open?id=19hwfWzDWGGP-vUtMI-Akz-XGqskRXgTxSNYezb8qyXY&amp;usp=drive_copy</v>
      </c>
      <c r="E831" s="101" t="str">
        <v>https://drive.google.com/open?id=19hwfWzDWGGP-vUtMI-Akz-XGqskRXgTxSNYezb8qyXY</v>
      </c>
      <c r="F831" s="103" t="str">
        <f ca="1">IFERROR(__xludf.DUMMYFUNCTION("IMPORTRANGE(H831,""IDENTITAS UNIT!D9"")"),"https://maps.app.goo.gl/6defb2gPBCzS6rkJ7")</f>
        <v>https://maps.app.goo.gl/6defb2gPBCzS6rkJ7</v>
      </c>
      <c r="G831" s="4" t="s">
        <v>13288</v>
      </c>
      <c r="H831" s="101" t="str">
        <v>https://docs.google.com/spreadsheets/d/19hwfWzDWGGP-vUtMI-Akz-XGqskRXgTxSNYezb8qyXY</v>
      </c>
      <c r="I831" s="101" t="str">
        <v>https://docs.google.com/open?id=19hwfWzDWGGP-vUtMI-Akz-XGqskRXgTxSNYezb8qyXY</v>
      </c>
      <c r="J831" s="4" t="str">
        <v>Mancingan, Parangtritis, Kretek</v>
      </c>
      <c r="L831" s="99" t="str">
        <f ca="1">IFERROR(__xludf.DUMMYFUNCTION("IMPORTRANGE(H831,""IDENTITAS UNIT!D35"")"),"Muhammad Rizki Alamsyah")</f>
        <v>Muhammad Rizki Alamsyah</v>
      </c>
      <c r="M831" s="99">
        <f ca="1">IFERROR(__xludf.DUMMYFUNCTION("IMPORTRANGE(H831,""IDENTITAS UNIT!F35"")"),2000018430)</f>
        <v>2000018430</v>
      </c>
    </row>
    <row r="832" spans="1:13" ht="49.5">
      <c r="A832" s="4" t="str">
        <v>Reguler Periode ke-119 V.A.3</v>
      </c>
      <c r="B832" s="4" t="str">
        <v>Reguler Periode ke-119</v>
      </c>
      <c r="C832" s="4" t="str">
        <v>V.A.3</v>
      </c>
      <c r="D832" s="101" t="str">
        <v>https://drive.google.com/open?id=19pAZ_XP5vnFRIEPwwgAtvBNmrCMOxTaquaPgMM-L1FI&amp;usp=drive_copy</v>
      </c>
      <c r="E832" s="101" t="str">
        <v>https://drive.google.com/open?id=19pAZ_XP5vnFRIEPwwgAtvBNmrCMOxTaquaPgMM-L1FI</v>
      </c>
      <c r="F832" s="103" t="str">
        <f ca="1">IFERROR(__xludf.DUMMYFUNCTION("IMPORTRANGE(H832,""IDENTITAS UNIT!D9"")"),"https://maps.app.goo.gl/4cCWkAnPRyxfN1z19")</f>
        <v>https://maps.app.goo.gl/4cCWkAnPRyxfN1z19</v>
      </c>
      <c r="G832" s="4" t="s">
        <v>13289</v>
      </c>
      <c r="H832" s="101" t="str">
        <v>https://docs.google.com/spreadsheets/d/19pAZ_XP5vnFRIEPwwgAtvBNmrCMOxTaquaPgMM-L1FI</v>
      </c>
      <c r="I832" s="101" t="str">
        <v>https://docs.google.com/open?id=19pAZ_XP5vnFRIEPwwgAtvBNmrCMOxTaquaPgMM-L1FI</v>
      </c>
      <c r="J832" s="4" t="str">
        <v>Depok, Parangtritis, Kretek</v>
      </c>
      <c r="L832" s="99" t="str">
        <f ca="1">IFERROR(__xludf.DUMMYFUNCTION("IMPORTRANGE(H832,""IDENTITAS UNIT!D35"")"),"Stefhan Alfan Putra")</f>
        <v>Stefhan Alfan Putra</v>
      </c>
      <c r="M832" s="99">
        <f ca="1">IFERROR(__xludf.DUMMYFUNCTION("IMPORTRANGE(H832,""IDENTITAS UNIT!F35"")"),2000005052)</f>
        <v>2000005052</v>
      </c>
    </row>
    <row r="833" spans="1:13" ht="49.5">
      <c r="A833" s="4" t="str">
        <v>Reguler Periode ke-119 V.B.1</v>
      </c>
      <c r="B833" s="4" t="str">
        <v>Reguler Periode ke-119</v>
      </c>
      <c r="C833" s="4" t="str">
        <v>V.B.1</v>
      </c>
      <c r="D833" s="101" t="str">
        <v>https://drive.google.com/open?id=19sZMWEMpwmjetMOFzSZeryqbWg-QjBLFuhGIAZ3F2II&amp;usp=drive_copy</v>
      </c>
      <c r="E833" s="101" t="str">
        <v>https://drive.google.com/open?id=19sZMWEMpwmjetMOFzSZeryqbWg-QjBLFuhGIAZ3F2II</v>
      </c>
      <c r="F833" s="103" t="str">
        <f ca="1">IFERROR(__xludf.DUMMYFUNCTION("IMPORTRANGE(H833,""IDENTITAS UNIT!D9"")"),"https://maps.app.goo.gl/cCfZMMUQYqFATVx28")</f>
        <v>https://maps.app.goo.gl/cCfZMMUQYqFATVx28</v>
      </c>
      <c r="G833" s="4" t="s">
        <v>13290</v>
      </c>
      <c r="H833" s="101" t="str">
        <v>https://docs.google.com/spreadsheets/d/19sZMWEMpwmjetMOFzSZeryqbWg-QjBLFuhGIAZ3F2II</v>
      </c>
      <c r="I833" s="101" t="str">
        <v>https://docs.google.com/open?id=19sZMWEMpwmjetMOFzSZeryqbWg-QjBLFuhGIAZ3F2II</v>
      </c>
      <c r="J833" s="4" t="str">
        <v>Sono, Parangtritis, Kretek</v>
      </c>
      <c r="L833" s="99" t="str">
        <f ca="1">IFERROR(__xludf.DUMMYFUNCTION("IMPORTRANGE(H833,""IDENTITAS UNIT!D35"")"),"Anwar Sholeh Saputro")</f>
        <v>Anwar Sholeh Saputro</v>
      </c>
      <c r="M833" s="99">
        <f ca="1">IFERROR(__xludf.DUMMYFUNCTION("IMPORTRANGE(H833,""IDENTITAS UNIT!F35"")"),2000024343)</f>
        <v>2000024343</v>
      </c>
    </row>
    <row r="834" spans="1:13" ht="49.5">
      <c r="A834" s="4" t="str">
        <v>Reguler Periode ke-119 V.B.2</v>
      </c>
      <c r="B834" s="4" t="str">
        <v>Reguler Periode ke-119</v>
      </c>
      <c r="C834" s="4" t="str">
        <v>V.B.2</v>
      </c>
      <c r="D834" s="101" t="str">
        <v>https://drive.google.com/open?id=1ArTc1K8fu0f2BVdKP5gSH6pWa8ATK9XDeWY34kBBcM4&amp;usp=drive_copy</v>
      </c>
      <c r="E834" s="101" t="str">
        <v>https://drive.google.com/open?id=1ArTc1K8fu0f2BVdKP5gSH6pWa8ATK9XDeWY34kBBcM4</v>
      </c>
      <c r="F834" s="103" t="str">
        <f ca="1">IFERROR(__xludf.DUMMYFUNCTION("IMPORTRANGE(H834,""IDENTITAS UNIT!D9"")"),"https://maps.app.goo.gl/SUhdqZowKLmFq4sp9?g_st=iw")</f>
        <v>https://maps.app.goo.gl/SUhdqZowKLmFq4sp9?g_st=iw</v>
      </c>
      <c r="G834" s="4" t="s">
        <v>13291</v>
      </c>
      <c r="H834" s="101" t="str">
        <v>https://docs.google.com/spreadsheets/d/1ArTc1K8fu0f2BVdKP5gSH6pWa8ATK9XDeWY34kBBcM4</v>
      </c>
      <c r="I834" s="101" t="str">
        <v>https://docs.google.com/open?id=1ArTc1K8fu0f2BVdKP5gSH6pWa8ATK9XDeWY34kBBcM4</v>
      </c>
      <c r="J834" s="4" t="str">
        <v>Grogol 10, Parangtritis, Kretek</v>
      </c>
      <c r="L834" s="99" t="str">
        <f ca="1">IFERROR(__xludf.DUMMYFUNCTION("IMPORTRANGE(H834,""IDENTITAS UNIT!D35"")"),"Qonita Riezka Farhani")</f>
        <v>Qonita Riezka Farhani</v>
      </c>
      <c r="M834" s="99">
        <f ca="1">IFERROR(__xludf.DUMMYFUNCTION("IMPORTRANGE(H834,""IDENTITAS UNIT!F35"")"),2000032178)</f>
        <v>2000032178</v>
      </c>
    </row>
    <row r="835" spans="1:13" ht="49.5">
      <c r="A835" s="4" t="str">
        <v>Reguler Periode ke-119 V.B.3</v>
      </c>
      <c r="B835" s="4" t="str">
        <v>Reguler Periode ke-119</v>
      </c>
      <c r="C835" s="4" t="str">
        <v>V.B.3</v>
      </c>
      <c r="D835" s="101" t="str">
        <v>https://drive.google.com/open?id=1C8EdgcVWAT4PGDVCSNA49KM6YQ_F1E04cahpenkUFcM&amp;usp=drive_copy</v>
      </c>
      <c r="E835" s="101" t="str">
        <v>https://drive.google.com/open?id=1C8EdgcVWAT4PGDVCSNA49KM6YQ_F1E04cahpenkUFcM</v>
      </c>
      <c r="F835" s="103" t="str">
        <f ca="1">IFERROR(__xludf.DUMMYFUNCTION("IMPORTRANGE(H835,""IDENTITAS UNIT!D9"")"),"https://maps.app.goo.gl/NKqouM1Nmska6x24A")</f>
        <v>https://maps.app.goo.gl/NKqouM1Nmska6x24A</v>
      </c>
      <c r="G835" s="4" t="s">
        <v>13292</v>
      </c>
      <c r="H835" s="101" t="str">
        <v>https://docs.google.com/spreadsheets/d/1C8EdgcVWAT4PGDVCSNA49KM6YQ_F1E04cahpenkUFcM</v>
      </c>
      <c r="I835" s="101" t="str">
        <v>https://docs.google.com/open?id=1C8EdgcVWAT4PGDVCSNA49KM6YQ_F1E04cahpenkUFcM</v>
      </c>
      <c r="J835" s="4" t="str">
        <v>Grogol 8, Parangtritis, Kretek</v>
      </c>
      <c r="L835" s="99" t="str">
        <f ca="1">IFERROR(__xludf.DUMMYFUNCTION("IMPORTRANGE(H835,""IDENTITAS UNIT!D35"")"),"Abbika Nugraha")</f>
        <v>Abbika Nugraha</v>
      </c>
      <c r="M835" s="99">
        <f ca="1">IFERROR(__xludf.DUMMYFUNCTION("IMPORTRANGE(H835,""IDENTITAS UNIT!F35"")"),2000024284)</f>
        <v>2000024284</v>
      </c>
    </row>
    <row r="836" spans="1:13" ht="49.5">
      <c r="A836" s="4" t="str">
        <v>Reguler Periode ke-119 V.C.1</v>
      </c>
      <c r="B836" s="4" t="str">
        <v>Reguler Periode ke-119</v>
      </c>
      <c r="C836" s="4" t="str">
        <v>V.C.1</v>
      </c>
      <c r="D836" s="101" t="str">
        <v>https://drive.google.com/open?id=1CehHk5pu2q8DN6btSupLBm_7TGv5hMWZBOzI_ccjnmU&amp;usp=drive_copy</v>
      </c>
      <c r="E836" s="101" t="str">
        <v>https://drive.google.com/open?id=1CehHk5pu2q8DN6btSupLBm_7TGv5hMWZBOzI_ccjnmU</v>
      </c>
      <c r="F836" s="103" t="str">
        <f ca="1">IFERROR(__xludf.DUMMYFUNCTION("IMPORTRANGE(H836,""IDENTITAS UNIT!D9"")"),"https://maps.app.goo.gl/ZoxaW4gpWoYx3Srp7")</f>
        <v>https://maps.app.goo.gl/ZoxaW4gpWoYx3Srp7</v>
      </c>
      <c r="G836" s="4" t="s">
        <v>13293</v>
      </c>
      <c r="H836" s="101" t="str">
        <v>https://docs.google.com/spreadsheets/d/1CehHk5pu2q8DN6btSupLBm_7TGv5hMWZBOzI_ccjnmU</v>
      </c>
      <c r="I836" s="101" t="str">
        <v>https://docs.google.com/open?id=1CehHk5pu2q8DN6btSupLBm_7TGv5hMWZBOzI_ccjnmU</v>
      </c>
      <c r="J836" s="4" t="str">
        <v>Duwuran, Parangtritis, Kretek</v>
      </c>
      <c r="L836" s="99" t="str">
        <f ca="1">IFERROR(__xludf.DUMMYFUNCTION("IMPORTRANGE(H836,""IDENTITAS UNIT!D35"")"),"Jeagi Bil Fitra")</f>
        <v>Jeagi Bil Fitra</v>
      </c>
      <c r="M836" s="99">
        <f ca="1">IFERROR(__xludf.DUMMYFUNCTION("IMPORTRANGE(H836,""IDENTITAS UNIT!F35"")"),2000024122)</f>
        <v>2000024122</v>
      </c>
    </row>
    <row r="837" spans="1:13" ht="49.5">
      <c r="A837" s="4" t="str">
        <v>Reguler Periode ke-119 V.C.2</v>
      </c>
      <c r="B837" s="4" t="str">
        <v>Reguler Periode ke-119</v>
      </c>
      <c r="C837" s="4" t="str">
        <v>V.C.2</v>
      </c>
      <c r="D837" s="101" t="str">
        <v>https://drive.google.com/open?id=1CpQlSWeyrqXlNd9ZJf8rGkAFLDdYCFcxRejlCGN8M9s&amp;usp=drive_copy</v>
      </c>
      <c r="E837" s="101" t="str">
        <v>https://drive.google.com/open?id=1CpQlSWeyrqXlNd9ZJf8rGkAFLDdYCFcxRejlCGN8M9s</v>
      </c>
      <c r="F837" s="103" t="str">
        <f ca="1">IFERROR(__xludf.DUMMYFUNCTION("IMPORTRANGE(H837,""IDENTITAS UNIT!D9"")"),"https://maps.app.goo.gl/JQ55LuA8QudKBtZH9")</f>
        <v>https://maps.app.goo.gl/JQ55LuA8QudKBtZH9</v>
      </c>
      <c r="G837" s="4" t="s">
        <v>13294</v>
      </c>
      <c r="H837" s="101" t="str">
        <v>https://docs.google.com/spreadsheets/d/1CpQlSWeyrqXlNd9ZJf8rGkAFLDdYCFcxRejlCGN8M9s</v>
      </c>
      <c r="I837" s="101" t="str">
        <v>https://docs.google.com/open?id=1CpQlSWeyrqXlNd9ZJf8rGkAFLDdYCFcxRejlCGN8M9s</v>
      </c>
      <c r="J837" s="4" t="str">
        <v>Kretek, Parangtritis, Kretek</v>
      </c>
      <c r="L837" s="99" t="str">
        <f ca="1">IFERROR(__xludf.DUMMYFUNCTION("IMPORTRANGE(H837,""IDENTITAS UNIT!D35"")"),"Surya Arif Richali")</f>
        <v>Surya Arif Richali</v>
      </c>
      <c r="M837" s="99">
        <f ca="1">IFERROR(__xludf.DUMMYFUNCTION("IMPORTRANGE(H837,""IDENTITAS UNIT!F35"")"),2000024107)</f>
        <v>2000024107</v>
      </c>
    </row>
    <row r="838" spans="1:13" ht="49.5">
      <c r="A838" s="4" t="str">
        <v>Reguler Periode ke-119 V.C.3</v>
      </c>
      <c r="B838" s="4" t="str">
        <v>Reguler Periode ke-119</v>
      </c>
      <c r="C838" s="4" t="str">
        <v>V.C.3</v>
      </c>
      <c r="D838" s="101" t="str">
        <v>https://drive.google.com/open?id=1EVKR1rqQgTJacdCSP0b-LQ5t1dDdS-CT8RmYoL1ihDQ&amp;usp=drive_copy</v>
      </c>
      <c r="E838" s="101" t="str">
        <v>https://drive.google.com/open?id=1EVKR1rqQgTJacdCSP0b-LQ5t1dDdS-CT8RmYoL1ihDQ</v>
      </c>
      <c r="F838" s="103" t="str">
        <f ca="1">IFERROR(__xludf.DUMMYFUNCTION("IMPORTRANGE(H838,""IDENTITAS UNIT!D9"")"),"https://maps.app.goo.gl/LAp7VFqUi8UiQ8fP9")</f>
        <v>https://maps.app.goo.gl/LAp7VFqUi8UiQ8fP9</v>
      </c>
      <c r="G838" s="4" t="s">
        <v>13295</v>
      </c>
      <c r="H838" s="101" t="str">
        <v>https://docs.google.com/spreadsheets/d/1EVKR1rqQgTJacdCSP0b-LQ5t1dDdS-CT8RmYoL1ihDQ</v>
      </c>
      <c r="I838" s="101" t="str">
        <v>https://docs.google.com/open?id=1EVKR1rqQgTJacdCSP0b-LQ5t1dDdS-CT8RmYoL1ihDQ</v>
      </c>
      <c r="J838" s="4" t="str">
        <v>Bungkus, Parangtritis, Kretek</v>
      </c>
      <c r="L838" s="99" t="str">
        <f ca="1">IFERROR(__xludf.DUMMYFUNCTION("IMPORTRANGE(H838,""IDENTITAS UNIT!D35"")"),"Afiandy Dwi Gunawan")</f>
        <v>Afiandy Dwi Gunawan</v>
      </c>
      <c r="M838" s="99">
        <f ca="1">IFERROR(__xludf.DUMMYFUNCTION("IMPORTRANGE(H838,""IDENTITAS UNIT!F35"")"),1900024289)</f>
        <v>1900024289</v>
      </c>
    </row>
    <row r="839" spans="1:13" ht="49.5">
      <c r="A839" s="4" t="str">
        <v>Reguler Periode ke-119 V.D.1</v>
      </c>
      <c r="B839" s="4" t="str">
        <v>Reguler Periode ke-119</v>
      </c>
      <c r="C839" s="4" t="str">
        <v>V.D.1</v>
      </c>
      <c r="D839" s="101" t="str">
        <v>https://drive.google.com/open?id=1EWIatL9Gr0INVKf3Rfp92LzAebemE5P8CXHdt_LomZQ&amp;usp=drive_copy</v>
      </c>
      <c r="E839" s="101" t="str">
        <v>https://drive.google.com/open?id=1EWIatL9Gr0INVKf3Rfp92LzAebemE5P8CXHdt_LomZQ</v>
      </c>
      <c r="F839" s="103" t="str">
        <f ca="1">IFERROR(__xludf.DUMMYFUNCTION("IMPORTRANGE(H839,""IDENTITAS UNIT!D9"")"),"https://goo.gl/maps/YfzZJDthnSJDtvFB7")</f>
        <v>https://goo.gl/maps/YfzZJDthnSJDtvFB7</v>
      </c>
      <c r="G839" s="4" t="s">
        <v>13296</v>
      </c>
      <c r="H839" s="101" t="str">
        <v>https://docs.google.com/spreadsheets/d/1EWIatL9Gr0INVKf3Rfp92LzAebemE5P8CXHdt_LomZQ</v>
      </c>
      <c r="I839" s="101" t="str">
        <v>https://docs.google.com/open?id=1EWIatL9Gr0INVKf3Rfp92LzAebemE5P8CXHdt_LomZQ</v>
      </c>
      <c r="J839" s="4" t="str">
        <v>Grogol 7, Parangtritis, Kretek</v>
      </c>
      <c r="L839" s="99" t="str">
        <f ca="1">IFERROR(__xludf.DUMMYFUNCTION("IMPORTRANGE(H839,""IDENTITAS UNIT!D35"")"),"Ouzy Kurniasandy")</f>
        <v>Ouzy Kurniasandy</v>
      </c>
      <c r="M839" s="99">
        <f ca="1">IFERROR(__xludf.DUMMYFUNCTION("IMPORTRANGE(H839,""IDENTITAS UNIT!F35"")"),1900024082)</f>
        <v>1900024082</v>
      </c>
    </row>
    <row r="840" spans="1:13" ht="49.5">
      <c r="A840" s="4" t="str">
        <v>Reguler Periode ke-119 V.D.2</v>
      </c>
      <c r="B840" s="4" t="str">
        <v>Reguler Periode ke-119</v>
      </c>
      <c r="C840" s="4" t="str">
        <v>V.D.2</v>
      </c>
      <c r="D840" s="101" t="str">
        <v>https://drive.google.com/open?id=1EynSOIKAIklDQNjxGcPnGAPAUZF6_G6cclZscB0oF1U&amp;usp=drive_copy</v>
      </c>
      <c r="E840" s="101" t="str">
        <v>https://drive.google.com/open?id=1EynSOIKAIklDQNjxGcPnGAPAUZF6_G6cclZscB0oF1U</v>
      </c>
      <c r="F840" s="103" t="str">
        <f ca="1">IFERROR(__xludf.DUMMYFUNCTION("IMPORTRANGE(H840,""IDENTITAS UNIT!D9"")"),"https://maps.app.goo.gl/QYkwPLbcwv7HGiXH7")</f>
        <v>https://maps.app.goo.gl/QYkwPLbcwv7HGiXH7</v>
      </c>
      <c r="G840" s="4" t="s">
        <v>13297</v>
      </c>
      <c r="H840" s="101" t="str">
        <v>https://docs.google.com/spreadsheets/d/1EynSOIKAIklDQNjxGcPnGAPAUZF6_G6cclZscB0oF1U</v>
      </c>
      <c r="I840" s="101" t="str">
        <v>https://docs.google.com/open?id=1EynSOIKAIklDQNjxGcPnGAPAUZF6_G6cclZscB0oF1U</v>
      </c>
      <c r="J840" s="4" t="str">
        <v>Samiran, Parangtritis, Kretek</v>
      </c>
      <c r="L840" s="99" t="str">
        <f ca="1">IFERROR(__xludf.DUMMYFUNCTION("IMPORTRANGE(H840,""IDENTITAS UNIT!D35"")"),"Farhan Kurniawan Mahesta")</f>
        <v>Farhan Kurniawan Mahesta</v>
      </c>
      <c r="M840" s="99">
        <f ca="1">IFERROR(__xludf.DUMMYFUNCTION("IMPORTRANGE(H840,""IDENTITAS UNIT!F35"")"),2000005266)</f>
        <v>2000005266</v>
      </c>
    </row>
    <row r="841" spans="1:13" ht="49.5">
      <c r="A841" s="4" t="str">
        <v>Reguler Periode ke-119 V.D.3</v>
      </c>
      <c r="B841" s="4" t="str">
        <v>Reguler Periode ke-119</v>
      </c>
      <c r="C841" s="4" t="str">
        <v>V.D.3</v>
      </c>
      <c r="D841" s="101" t="str">
        <v>https://drive.google.com/open?id=1Ggwne6FhClLfHDLaniFGKfcevssvoYgQ7elRreZqWnY&amp;usp=drive_copy</v>
      </c>
      <c r="E841" s="101" t="str">
        <v>https://drive.google.com/open?id=1Ggwne6FhClLfHDLaniFGKfcevssvoYgQ7elRreZqWnY</v>
      </c>
      <c r="F841" s="103" t="str">
        <f ca="1">IFERROR(__xludf.DUMMYFUNCTION("IMPORTRANGE(H841,""IDENTITAS UNIT!D9"")"),"https://maps.app.goo.gl/VdaCcTaHDhtSKkQd8?g_st=iw")</f>
        <v>https://maps.app.goo.gl/VdaCcTaHDhtSKkQd8?g_st=iw</v>
      </c>
      <c r="G841" s="4" t="s">
        <v>13298</v>
      </c>
      <c r="H841" s="101" t="str">
        <v>https://docs.google.com/spreadsheets/d/1Ggwne6FhClLfHDLaniFGKfcevssvoYgQ7elRreZqWnY</v>
      </c>
      <c r="I841" s="101" t="str">
        <v>https://docs.google.com/open?id=1Ggwne6FhClLfHDLaniFGKfcevssvoYgQ7elRreZqWnY</v>
      </c>
      <c r="J841" s="4" t="str">
        <v>Baros, Tirtohargo, Kretek</v>
      </c>
      <c r="L841" s="99" t="str">
        <f ca="1">IFERROR(__xludf.DUMMYFUNCTION("IMPORTRANGE(H841,""IDENTITAS UNIT!D35"")"),"Dimas Andriyano Cahyo")</f>
        <v>Dimas Andriyano Cahyo</v>
      </c>
      <c r="M841" s="99">
        <f ca="1">IFERROR(__xludf.DUMMYFUNCTION("IMPORTRANGE(H841,""IDENTITAS UNIT!F35"")"),1900035003)</f>
        <v>1900035003</v>
      </c>
    </row>
    <row r="842" spans="1:13" ht="49.5">
      <c r="A842" s="4" t="str">
        <v>Reguler Periode ke-119 VI.A.1</v>
      </c>
      <c r="B842" s="4" t="str">
        <v>Reguler Periode ke-119</v>
      </c>
      <c r="C842" s="4" t="str">
        <v>VI.A.1</v>
      </c>
      <c r="D842" s="101" t="str">
        <v>https://drive.google.com/open?id=1I-vxLIVYfSOUtjQO7TMvGR1QBJWchh0c21ssBEdTrhY&amp;usp=drive_copy</v>
      </c>
      <c r="E842" s="101" t="str">
        <v>https://drive.google.com/open?id=1I-vxLIVYfSOUtjQO7TMvGR1QBJWchh0c21ssBEdTrhY</v>
      </c>
      <c r="F842" s="103" t="str">
        <f ca="1">IFERROR(__xludf.DUMMYFUNCTION("IMPORTRANGE(H842,""IDENTITAS UNIT!D9"")"),"https://maps.app.goo.gl/4K1HKPvNvcepBW7d6?g_st=iw")</f>
        <v>https://maps.app.goo.gl/4K1HKPvNvcepBW7d6?g_st=iw</v>
      </c>
      <c r="G842" s="4" t="s">
        <v>13299</v>
      </c>
      <c r="H842" s="101" t="str">
        <v>https://docs.google.com/spreadsheets/d/1I-vxLIVYfSOUtjQO7TMvGR1QBJWchh0c21ssBEdTrhY</v>
      </c>
      <c r="I842" s="101" t="str">
        <v>https://docs.google.com/open?id=1I-vxLIVYfSOUtjQO7TMvGR1QBJWchh0c21ssBEdTrhY</v>
      </c>
      <c r="J842" s="4" t="str">
        <v>Muneng, Tirtohargo, Kretek</v>
      </c>
      <c r="L842" s="99" t="str">
        <f ca="1">IFERROR(__xludf.DUMMYFUNCTION("IMPORTRANGE(H842,""IDENTITAS UNIT!D35"")"),"Iqbal Risfianda Arraihan")</f>
        <v>Iqbal Risfianda Arraihan</v>
      </c>
      <c r="M842" s="99">
        <f ca="1">IFERROR(__xludf.DUMMYFUNCTION("IMPORTRANGE(H842,""IDENTITAS UNIT!F35"")"),2000035004)</f>
        <v>2000035004</v>
      </c>
    </row>
    <row r="843" spans="1:13" ht="49.5">
      <c r="A843" s="4" t="str">
        <v>Reguler Periode ke-119 VI.A.2</v>
      </c>
      <c r="B843" s="4" t="str">
        <v>Reguler Periode ke-119</v>
      </c>
      <c r="C843" s="4" t="str">
        <v>VI.A.2</v>
      </c>
      <c r="D843" s="101" t="str">
        <v>https://drive.google.com/open?id=1KSkYoabZUfoRf9R2XZmQFgR73KPQxNQEVH8KjynjLa8&amp;usp=drive_copy</v>
      </c>
      <c r="E843" s="101" t="str">
        <v>https://drive.google.com/open?id=1KSkYoabZUfoRf9R2XZmQFgR73KPQxNQEVH8KjynjLa8</v>
      </c>
      <c r="F843" s="103" t="str">
        <f ca="1">IFERROR(__xludf.DUMMYFUNCTION("IMPORTRANGE(H843,""IDENTITAS UNIT!D9"")"),"https://maps.app.goo.gl/Y7eSRnw9R2GEovzF8")</f>
        <v>https://maps.app.goo.gl/Y7eSRnw9R2GEovzF8</v>
      </c>
      <c r="G843" s="4" t="s">
        <v>13300</v>
      </c>
      <c r="H843" s="101" t="str">
        <v>https://docs.google.com/spreadsheets/d/1KSkYoabZUfoRf9R2XZmQFgR73KPQxNQEVH8KjynjLa8</v>
      </c>
      <c r="I843" s="101" t="str">
        <v>https://docs.google.com/open?id=1KSkYoabZUfoRf9R2XZmQFgR73KPQxNQEVH8KjynjLa8</v>
      </c>
      <c r="J843" s="4" t="str">
        <v>Gunung Kenci, Tirtohargo, Kretek</v>
      </c>
      <c r="L843" s="99" t="str">
        <f ca="1">IFERROR(__xludf.DUMMYFUNCTION("IMPORTRANGE(H843,""IDENTITAS UNIT!D35"")"),"Tan Linggar Pramudita")</f>
        <v>Tan Linggar Pramudita</v>
      </c>
      <c r="M843" s="99">
        <f ca="1">IFERROR(__xludf.DUMMYFUNCTION("IMPORTRANGE(H843,""IDENTITAS UNIT!F35"")"),2000035002)</f>
        <v>2000035002</v>
      </c>
    </row>
    <row r="844" spans="1:13" ht="49.5">
      <c r="A844" s="4" t="str">
        <v>Reguler Periode ke-119 VI.A.3</v>
      </c>
      <c r="B844" s="4" t="str">
        <v>Reguler Periode ke-119</v>
      </c>
      <c r="C844" s="4" t="str">
        <v>VI.A.3</v>
      </c>
      <c r="D844" s="101" t="str">
        <v>https://drive.google.com/open?id=1MafOfSGifK16z3HokW_RAoYg1UqD0vXESWIf4-UqBeE&amp;usp=drive_copy</v>
      </c>
      <c r="E844" s="101" t="str">
        <v>https://drive.google.com/open?id=1MafOfSGifK16z3HokW_RAoYg1UqD0vXESWIf4-UqBeE</v>
      </c>
      <c r="F844" s="103" t="str">
        <f ca="1">IFERROR(__xludf.DUMMYFUNCTION("IMPORTRANGE(H844,""IDENTITAS UNIT!D9"")"),"https://maps.app.goo.gl/5o6nUxRo8qzyrnzTA")</f>
        <v>https://maps.app.goo.gl/5o6nUxRo8qzyrnzTA</v>
      </c>
      <c r="G844" s="4" t="s">
        <v>13301</v>
      </c>
      <c r="H844" s="101" t="str">
        <v>https://docs.google.com/spreadsheets/d/1MafOfSGifK16z3HokW_RAoYg1UqD0vXESWIf4-UqBeE</v>
      </c>
      <c r="I844" s="101" t="str">
        <v>https://docs.google.com/open?id=1MafOfSGifK16z3HokW_RAoYg1UqD0vXESWIf4-UqBeE</v>
      </c>
      <c r="J844" s="4" t="str">
        <v>Gegunung, Tirtohargo, Kretek</v>
      </c>
      <c r="L844" s="99" t="str">
        <f ca="1">IFERROR(__xludf.DUMMYFUNCTION("IMPORTRANGE(H844,""IDENTITAS UNIT!D35"")"),"Agustin Nurul Sejati")</f>
        <v>Agustin Nurul Sejati</v>
      </c>
      <c r="M844" s="99">
        <f ca="1">IFERROR(__xludf.DUMMYFUNCTION("IMPORTRANGE(H844,""IDENTITAS UNIT!F35"")"),2000005018)</f>
        <v>2000005018</v>
      </c>
    </row>
    <row r="845" spans="1:13" ht="49.5">
      <c r="A845" s="4" t="str">
        <v>Reguler Periode ke-119 VI.B.1</v>
      </c>
      <c r="B845" s="4" t="str">
        <v>Reguler Periode ke-119</v>
      </c>
      <c r="C845" s="4" t="str">
        <v>VI.B.1</v>
      </c>
      <c r="D845" s="101" t="str">
        <v>https://drive.google.com/open?id=1QIzz8HYesPRmic6Qkc5-ebla4knJzqQHHpoOj4BbwI0&amp;usp=drive_copy</v>
      </c>
      <c r="E845" s="101" t="str">
        <v>https://drive.google.com/open?id=1QIzz8HYesPRmic6Qkc5-ebla4knJzqQHHpoOj4BbwI0</v>
      </c>
      <c r="F845" s="103" t="str">
        <f ca="1">IFERROR(__xludf.DUMMYFUNCTION("IMPORTRANGE(H845,""IDENTITAS UNIT!D9"")"),"https://maps.app.goo.gl/kXsyNUZTpaxszN5M8")</f>
        <v>https://maps.app.goo.gl/kXsyNUZTpaxszN5M8</v>
      </c>
      <c r="G845" s="4" t="s">
        <v>13302</v>
      </c>
      <c r="H845" s="101" t="str">
        <v>https://docs.google.com/spreadsheets/d/1QIzz8HYesPRmic6Qkc5-ebla4knJzqQHHpoOj4BbwI0</v>
      </c>
      <c r="I845" s="101" t="str">
        <v>https://docs.google.com/open?id=1QIzz8HYesPRmic6Qkc5-ebla4knJzqQHHpoOj4BbwI0</v>
      </c>
      <c r="J845" s="4" t="str">
        <v>Kalangan, Tirtohargo, Kretek</v>
      </c>
      <c r="L845" s="99" t="str">
        <f ca="1">IFERROR(__xludf.DUMMYFUNCTION("IMPORTRANGE(H845,""IDENTITAS UNIT!D35"")"),"Rizky Mulyadi")</f>
        <v>Rizky Mulyadi</v>
      </c>
      <c r="M845" s="99">
        <f ca="1">IFERROR(__xludf.DUMMYFUNCTION("IMPORTRANGE(H845,""IDENTITAS UNIT!F35"")"),2000036005)</f>
        <v>2000036005</v>
      </c>
    </row>
    <row r="846" spans="1:13" ht="49.5">
      <c r="A846" s="4" t="str">
        <v>Reguler Periode ke-119 VI.B.2</v>
      </c>
      <c r="B846" s="4" t="str">
        <v>Reguler Periode ke-119</v>
      </c>
      <c r="C846" s="4" t="str">
        <v>VI.B.2</v>
      </c>
      <c r="D846" s="101" t="str">
        <v>https://drive.google.com/open?id=1R9wbltaLsx33FD0_S60X9zYWd8VCHYWJQuE6-tyjkds&amp;usp=drive_copy</v>
      </c>
      <c r="E846" s="101" t="str">
        <v>https://drive.google.com/open?id=1R9wbltaLsx33FD0_S60X9zYWd8VCHYWJQuE6-tyjkds</v>
      </c>
      <c r="F846" s="103" t="str">
        <f ca="1">IFERROR(__xludf.DUMMYFUNCTION("IMPORTRANGE(H846,""IDENTITAS UNIT!D9"")"),"https://maps.app.goo.gl/aGmfNRqTEBFHTXWh6")</f>
        <v>https://maps.app.goo.gl/aGmfNRqTEBFHTXWh6</v>
      </c>
      <c r="G846" s="4" t="s">
        <v>13303</v>
      </c>
      <c r="H846" s="101" t="str">
        <v>https://docs.google.com/spreadsheets/d/1R9wbltaLsx33FD0_S60X9zYWd8VCHYWJQuE6-tyjkds</v>
      </c>
      <c r="I846" s="101" t="str">
        <v>https://docs.google.com/open?id=1R9wbltaLsx33FD0_S60X9zYWd8VCHYWJQuE6-tyjkds</v>
      </c>
      <c r="J846" s="4" t="str">
        <v>Karang, Tirtohargo, Kretek</v>
      </c>
      <c r="L846" s="99" t="str">
        <f ca="1">IFERROR(__xludf.DUMMYFUNCTION("IMPORTRANGE(H846,""IDENTITAS UNIT!D35"")"),"Ibnu Albana")</f>
        <v>Ibnu Albana</v>
      </c>
      <c r="M846" s="99">
        <f ca="1">IFERROR(__xludf.DUMMYFUNCTION("IMPORTRANGE(H846,""IDENTITAS UNIT!F35"")"),2000036049)</f>
        <v>2000036049</v>
      </c>
    </row>
    <row r="847" spans="1:13" ht="49.5">
      <c r="A847" s="4" t="str">
        <v>Reguler Periode ke-119 VI.B.3</v>
      </c>
      <c r="B847" s="4" t="str">
        <v>Reguler Periode ke-119</v>
      </c>
      <c r="C847" s="4" t="str">
        <v>VI.B.3</v>
      </c>
      <c r="D847" s="101" t="str">
        <v>https://drive.google.com/open?id=1R_kmgKHjC5dirWb3nEeOWZoW0lwdB2FKTN4qk-UUArg&amp;usp=drive_copy</v>
      </c>
      <c r="E847" s="101" t="str">
        <v>https://drive.google.com/open?id=1R_kmgKHjC5dirWb3nEeOWZoW0lwdB2FKTN4qk-UUArg</v>
      </c>
      <c r="F847" s="103" t="str">
        <f ca="1">IFERROR(__xludf.DUMMYFUNCTION("IMPORTRANGE(H847,""IDENTITAS UNIT!D9"")"),"https://maps.app.goo.gl/xNdRcigZjWyoJKjH9")</f>
        <v>https://maps.app.goo.gl/xNdRcigZjWyoJKjH9</v>
      </c>
      <c r="G847" s="4" t="s">
        <v>13304</v>
      </c>
      <c r="H847" s="101" t="str">
        <v>https://docs.google.com/spreadsheets/d/1R_kmgKHjC5dirWb3nEeOWZoW0lwdB2FKTN4qk-UUArg</v>
      </c>
      <c r="I847" s="101" t="str">
        <v>https://docs.google.com/open?id=1R_kmgKHjC5dirWb3nEeOWZoW0lwdB2FKTN4qk-UUArg</v>
      </c>
      <c r="J847" s="4" t="str">
        <v>Mulekan 1, Tirtosari, Kretek</v>
      </c>
      <c r="L847" s="99" t="str">
        <f ca="1">IFERROR(__xludf.DUMMYFUNCTION("IMPORTRANGE(H847,""IDENTITAS UNIT!D35"")"),"")</f>
        <v/>
      </c>
      <c r="M847" s="99" t="str">
        <f ca="1">IFERROR(__xludf.DUMMYFUNCTION("IMPORTRANGE(H847,""IDENTITAS UNIT!F35"")"),"")</f>
        <v/>
      </c>
    </row>
    <row r="848" spans="1:13" ht="33">
      <c r="A848" s="4" t="str">
        <v>Reguler Periode ke-119 VI.C.1</v>
      </c>
      <c r="B848" s="4" t="str">
        <v>Reguler Periode ke-119</v>
      </c>
      <c r="C848" s="4" t="str">
        <v>VI.C.1</v>
      </c>
      <c r="D848" s="101" t="str">
        <v>https://drive.google.com/open?id=1Rf_DQtYJqINOD9eJuejVgUtrhGdHCajPjJp7VG1DiZs&amp;usp=drive_copy</v>
      </c>
      <c r="E848" s="101" t="str">
        <v>https://drive.google.com/open?id=1Rf_DQtYJqINOD9eJuejVgUtrhGdHCajPjJp7VG1DiZs</v>
      </c>
      <c r="F848" s="103" t="str">
        <f ca="1">IFERROR(__xludf.DUMMYFUNCTION("IMPORTRANGE(H848,""IDENTITAS UNIT!D9"")"),"https://g.co/kgs/TuQpAA")</f>
        <v>https://g.co/kgs/TuQpAA</v>
      </c>
      <c r="G848" s="4" t="s">
        <v>13305</v>
      </c>
      <c r="H848" s="101" t="str">
        <v>https://docs.google.com/spreadsheets/d/1Rf_DQtYJqINOD9eJuejVgUtrhGdHCajPjJp7VG1DiZs</v>
      </c>
      <c r="I848" s="101" t="str">
        <v>https://docs.google.com/open?id=1Rf_DQtYJqINOD9eJuejVgUtrhGdHCajPjJp7VG1DiZs</v>
      </c>
      <c r="J848" s="4" t="str">
        <v>Mulekan 2, Tirtosari, Kretek</v>
      </c>
      <c r="L848" s="99" t="str">
        <f ca="1">IFERROR(__xludf.DUMMYFUNCTION("IMPORTRANGE(H848,""IDENTITAS UNIT!D35"")"),"")</f>
        <v/>
      </c>
      <c r="M848" s="99" t="str">
        <f ca="1">IFERROR(__xludf.DUMMYFUNCTION("IMPORTRANGE(H848,""IDENTITAS UNIT!F35"")"),"")</f>
        <v/>
      </c>
    </row>
    <row r="849" spans="1:13" ht="49.5">
      <c r="A849" s="4" t="str">
        <v>Reguler Periode ke-119 VI.C.2</v>
      </c>
      <c r="B849" s="4" t="str">
        <v>Reguler Periode ke-119</v>
      </c>
      <c r="C849" s="4" t="str">
        <v>VI.C.2</v>
      </c>
      <c r="D849" s="101" t="str">
        <v>https://drive.google.com/open?id=1Va5oy0t_jd39QSaMFrIyZnNU0FJBr-rAh53ey3ZEVLo&amp;usp=drive_copy</v>
      </c>
      <c r="E849" s="101" t="str">
        <v>https://drive.google.com/open?id=1Va5oy0t_jd39QSaMFrIyZnNU0FJBr-rAh53ey3ZEVLo</v>
      </c>
      <c r="F849" s="103" t="str">
        <f ca="1">IFERROR(__xludf.DUMMYFUNCTION("IMPORTRANGE(H849,""IDENTITAS UNIT!D9"")"),"https://maps.app.goo.gl/2CJcbpz2do8xHEHDA")</f>
        <v>https://maps.app.goo.gl/2CJcbpz2do8xHEHDA</v>
      </c>
      <c r="G849" s="4" t="s">
        <v>13306</v>
      </c>
      <c r="H849" s="101" t="str">
        <v>https://docs.google.com/spreadsheets/d/1Va5oy0t_jd39QSaMFrIyZnNU0FJBr-rAh53ey3ZEVLo</v>
      </c>
      <c r="I849" s="101" t="str">
        <v>https://docs.google.com/open?id=1Va5oy0t_jd39QSaMFrIyZnNU0FJBr-rAh53ey3ZEVLo</v>
      </c>
      <c r="J849" s="4" t="str">
        <v>Pangkah, Tirtosari, Kretek</v>
      </c>
      <c r="L849" s="99" t="str">
        <f ca="1">IFERROR(__xludf.DUMMYFUNCTION("IMPORTRANGE(H849,""IDENTITAS UNIT!D35"")"),"")</f>
        <v/>
      </c>
      <c r="M849" s="99" t="str">
        <f ca="1">IFERROR(__xludf.DUMMYFUNCTION("IMPORTRANGE(H849,""IDENTITAS UNIT!F35"")"),"")</f>
        <v/>
      </c>
    </row>
    <row r="850" spans="1:13" ht="49.5">
      <c r="A850" s="4" t="str">
        <v>Reguler Periode ke-119 VI.C.3</v>
      </c>
      <c r="B850" s="4" t="str">
        <v>Reguler Periode ke-119</v>
      </c>
      <c r="C850" s="4" t="str">
        <v>VI.C.3</v>
      </c>
      <c r="D850" s="101" t="str">
        <v>https://drive.google.com/open?id=1YLlvgfTuo2NZZkChUDmDqRmzzYZIhfhGyz2AW3J3xh4&amp;usp=drive_copy</v>
      </c>
      <c r="E850" s="101" t="str">
        <v>https://drive.google.com/open?id=1YLlvgfTuo2NZZkChUDmDqRmzzYZIhfhGyz2AW3J3xh4</v>
      </c>
      <c r="F850" s="103" t="str">
        <f ca="1">IFERROR(__xludf.DUMMYFUNCTION("IMPORTRANGE(H850,""IDENTITAS UNIT!D9"")"),"https://maps.app.goo.gl/xch6yTJ5tXaKiVFp7")</f>
        <v>https://maps.app.goo.gl/xch6yTJ5tXaKiVFp7</v>
      </c>
      <c r="G850" s="4" t="s">
        <v>13307</v>
      </c>
      <c r="H850" s="101" t="str">
        <v>https://docs.google.com/spreadsheets/d/1YLlvgfTuo2NZZkChUDmDqRmzzYZIhfhGyz2AW3J3xh4</v>
      </c>
      <c r="I850" s="101" t="str">
        <v>https://docs.google.com/open?id=1YLlvgfTuo2NZZkChUDmDqRmzzYZIhfhGyz2AW3J3xh4</v>
      </c>
      <c r="J850" s="4" t="str">
        <v>Tegal Tapen, Tirtosari, Kretek</v>
      </c>
      <c r="L850" s="99" t="str">
        <f ca="1">IFERROR(__xludf.DUMMYFUNCTION("IMPORTRANGE(H850,""IDENTITAS UNIT!D35"")"),"Rio Tirta Sudarma")</f>
        <v>Rio Tirta Sudarma</v>
      </c>
      <c r="M850" s="99">
        <f ca="1">IFERROR(__xludf.DUMMYFUNCTION("IMPORTRANGE(H850,""IDENTITAS UNIT!F35"")"),2000037009)</f>
        <v>2000037009</v>
      </c>
    </row>
    <row r="851" spans="1:13" ht="66">
      <c r="A851" s="4" t="str">
        <v>Reguler Periode ke-119 VI.D.1</v>
      </c>
      <c r="B851" s="4" t="str">
        <v>Reguler Periode ke-119</v>
      </c>
      <c r="C851" s="4" t="str">
        <v>VI.D.1</v>
      </c>
      <c r="D851" s="101" t="str">
        <v>https://drive.google.com/open?id=1Z0IkKOp4cYidGPdsj94JisqcD0dMsoCFCUTH92Uz1P8&amp;usp=drive_copy</v>
      </c>
      <c r="E851" s="101" t="str">
        <v>https://drive.google.com/open?id=1Z0IkKOp4cYidGPdsj94JisqcD0dMsoCFCUTH92Uz1P8</v>
      </c>
      <c r="F851" s="103" t="str">
        <f ca="1">IFERROR(__xludf.DUMMYFUNCTION("IMPORTRANGE(H851,""IDENTITAS UNIT!D9"")"),"https://maps.apple.com/?ll=-7.988475,110.299745&amp;q=Tirtosari&amp;t=m")</f>
        <v>https://maps.apple.com/?ll=-7.988475,110.299745&amp;q=Tirtosari&amp;t=m</v>
      </c>
      <c r="H851" s="101" t="str">
        <v>https://docs.google.com/spreadsheets/d/1Z0IkKOp4cYidGPdsj94JisqcD0dMsoCFCUTH92Uz1P8</v>
      </c>
      <c r="I851" s="101" t="str">
        <v>https://docs.google.com/open?id=1Z0IkKOp4cYidGPdsj94JisqcD0dMsoCFCUTH92Uz1P8</v>
      </c>
      <c r="J851" s="4" t="str">
        <v>Cimpon, Tirtosari, Kretek</v>
      </c>
      <c r="L851" s="99" t="str">
        <f ca="1">IFERROR(__xludf.DUMMYFUNCTION("IMPORTRANGE(H851,""IDENTITAS UNIT!D35"")"),"David Yoga Pradana")</f>
        <v>David Yoga Pradana</v>
      </c>
      <c r="M851" s="99">
        <f ca="1">IFERROR(__xludf.DUMMYFUNCTION("IMPORTRANGE(H851,""IDENTITAS UNIT!F35"")"),2000037002)</f>
        <v>2000037002</v>
      </c>
    </row>
    <row r="852" spans="1:13" ht="49.5">
      <c r="A852" s="4" t="str">
        <v>Reguler Periode ke-119 VI.D.2</v>
      </c>
      <c r="B852" s="4" t="str">
        <v>Reguler Periode ke-119</v>
      </c>
      <c r="C852" s="4" t="str">
        <v>VI.D.2</v>
      </c>
      <c r="D852" s="101" t="str">
        <v>https://drive.google.com/open?id=1ZunsWjnXH-0PB8hBwvVNdCe1GRwXk_dwGjfOoEeEI-E&amp;usp=drive_copy</v>
      </c>
      <c r="E852" s="101" t="str">
        <v>https://drive.google.com/open?id=1ZunsWjnXH-0PB8hBwvVNdCe1GRwXk_dwGjfOoEeEI-E</v>
      </c>
      <c r="F852" s="103" t="str">
        <f ca="1">IFERROR(__xludf.DUMMYFUNCTION("IMPORTRANGE(H852,""IDENTITAS UNIT!D9"")"),"https://maps.app.goo.gl/BUCD5MTRKRUmPbFj7")</f>
        <v>https://maps.app.goo.gl/BUCD5MTRKRUmPbFj7</v>
      </c>
      <c r="G852" s="4" t="s">
        <v>13308</v>
      </c>
      <c r="H852" s="101" t="str">
        <v>https://docs.google.com/spreadsheets/d/1ZunsWjnXH-0PB8hBwvVNdCe1GRwXk_dwGjfOoEeEI-E</v>
      </c>
      <c r="I852" s="101" t="str">
        <v>https://docs.google.com/open?id=1ZunsWjnXH-0PB8hBwvVNdCe1GRwXk_dwGjfOoEeEI-E</v>
      </c>
      <c r="J852" s="4" t="str">
        <v>Buruhan, Tirtosari, Kretek</v>
      </c>
      <c r="L852" s="99" t="str">
        <f ca="1">IFERROR(__xludf.DUMMYFUNCTION("IMPORTRANGE(H852,""IDENTITAS UNIT!D35"")"),"Waznan Fauzi Oktavian")</f>
        <v>Waznan Fauzi Oktavian</v>
      </c>
      <c r="M852" s="99">
        <f ca="1">IFERROR(__xludf.DUMMYFUNCTION("IMPORTRANGE(H852,""IDENTITAS UNIT!F35"")"),2011037004)</f>
        <v>2011037004</v>
      </c>
    </row>
    <row r="853" spans="1:13" ht="49.5">
      <c r="A853" s="4" t="str">
        <v>Reguler Periode ke-119 VI.D.3</v>
      </c>
      <c r="B853" s="4" t="str">
        <v>Reguler Periode ke-119</v>
      </c>
      <c r="C853" s="4" t="str">
        <v>VI.D.3</v>
      </c>
      <c r="D853" s="101" t="str">
        <v>https://drive.google.com/open?id=1a8LV4npoimBfBVZdQqg1Db57ovM38klupR7YzhDNDCI&amp;usp=drive_copy</v>
      </c>
      <c r="E853" s="101" t="str">
        <v>https://drive.google.com/open?id=1a8LV4npoimBfBVZdQqg1Db57ovM38klupR7YzhDNDCI</v>
      </c>
      <c r="F853" s="103" t="str">
        <f ca="1">IFERROR(__xludf.DUMMYFUNCTION("IMPORTRANGE(H853,""IDENTITAS UNIT!D9"")"),"https://maps.app.goo.gl/8W5fCtcUVe7dtAcL7")</f>
        <v>https://maps.app.goo.gl/8W5fCtcUVe7dtAcL7</v>
      </c>
      <c r="G853" s="4" t="s">
        <v>13309</v>
      </c>
      <c r="H853" s="101" t="str">
        <v>https://docs.google.com/spreadsheets/d/1a8LV4npoimBfBVZdQqg1Db57ovM38klupR7YzhDNDCI</v>
      </c>
      <c r="I853" s="101" t="str">
        <v>https://docs.google.com/open?id=1a8LV4npoimBfBVZdQqg1Db57ovM38klupR7YzhDNDCI</v>
      </c>
      <c r="J853" s="4" t="str">
        <v>Galan, Tirtosari, Kretek</v>
      </c>
      <c r="L853" s="99" t="str">
        <f ca="1">IFERROR(__xludf.DUMMYFUNCTION("IMPORTRANGE(H853,""IDENTITAS UNIT!D35"")"),"Anriko Rizki Dandy")</f>
        <v>Anriko Rizki Dandy</v>
      </c>
      <c r="M853" s="99">
        <f ca="1">IFERROR(__xludf.DUMMYFUNCTION("IMPORTRANGE(H853,""IDENTITAS UNIT!F35"")"),1900070033)</f>
        <v>1900070033</v>
      </c>
    </row>
    <row r="854" spans="1:13" ht="49.5">
      <c r="A854" s="4" t="str">
        <v>Reguler Periode ke-119 VII.A.1</v>
      </c>
      <c r="B854" s="4" t="str">
        <v>Reguler Periode ke-119</v>
      </c>
      <c r="C854" s="4" t="str">
        <v>VII.A.1</v>
      </c>
      <c r="D854" s="101" t="str">
        <v>https://drive.google.com/open?id=1dqoTdLhR_zIt6QNdClkbdCkQRRZY3qMc_OrdKh_EyIo&amp;usp=drive_copy</v>
      </c>
      <c r="E854" s="101" t="str">
        <v>https://drive.google.com/open?id=1dqoTdLhR_zIt6QNdClkbdCkQRRZY3qMc_OrdKh_EyIo</v>
      </c>
      <c r="F854" s="103" t="str">
        <f ca="1">IFERROR(__xludf.DUMMYFUNCTION("IMPORTRANGE(H854,""IDENTITAS UNIT!D9"")"),"https://maps.app.goo.gl/51DK9xzjJxL1WyA96?g_st=ic")</f>
        <v>https://maps.app.goo.gl/51DK9xzjJxL1WyA96?g_st=ic</v>
      </c>
      <c r="G854" s="4" t="s">
        <v>13310</v>
      </c>
      <c r="H854" s="101" t="str">
        <v>https://docs.google.com/spreadsheets/d/1dqoTdLhR_zIt6QNdClkbdCkQRRZY3qMc_OrdKh_EyIo</v>
      </c>
      <c r="I854" s="101" t="str">
        <v>https://docs.google.com/open?id=1dqoTdLhR_zIt6QNdClkbdCkQRRZY3qMc_OrdKh_EyIo</v>
      </c>
      <c r="J854" s="4" t="str">
        <v>Busuran, Donotirto, Kretek</v>
      </c>
      <c r="L854" s="99" t="str">
        <f ca="1">IFERROR(__xludf.DUMMYFUNCTION("IMPORTRANGE(H854,""IDENTITAS UNIT!D35"")"),"Vaisal Syaiful Amri")</f>
        <v>Vaisal Syaiful Amri</v>
      </c>
      <c r="M854" s="99">
        <f ca="1">IFERROR(__xludf.DUMMYFUNCTION("IMPORTRANGE(H854,""IDENTITAS UNIT!F35"")"),1900070014)</f>
        <v>1900070014</v>
      </c>
    </row>
    <row r="855" spans="1:13" ht="49.5">
      <c r="A855" s="4" t="str">
        <v>Reguler Periode ke-119 VII.A.2</v>
      </c>
      <c r="B855" s="4" t="str">
        <v>Reguler Periode ke-119</v>
      </c>
      <c r="C855" s="4" t="str">
        <v>VII.A.2</v>
      </c>
      <c r="D855" s="101" t="str">
        <v>https://drive.google.com/open?id=1gGRTR4Lur6u0_zRESzBU7KW1TPl4P5Iv880bTU8SJBs&amp;usp=drive_copy</v>
      </c>
      <c r="E855" s="101" t="str">
        <v>https://drive.google.com/open?id=1gGRTR4Lur6u0_zRESzBU7KW1TPl4P5Iv880bTU8SJBs</v>
      </c>
      <c r="F855" s="103" t="str">
        <f ca="1">IFERROR(__xludf.DUMMYFUNCTION("IMPORTRANGE(H855,""IDENTITAS UNIT!D9"")"),"https://maps.app.goo.gl/rE3bCTy6CFpDWmDKA")</f>
        <v>https://maps.app.goo.gl/rE3bCTy6CFpDWmDKA</v>
      </c>
      <c r="G855" s="4" t="s">
        <v>13311</v>
      </c>
      <c r="H855" s="101" t="str">
        <v>https://docs.google.com/spreadsheets/d/1gGRTR4Lur6u0_zRESzBU7KW1TPl4P5Iv880bTU8SJBs</v>
      </c>
      <c r="I855" s="101" t="str">
        <v>https://docs.google.com/open?id=1gGRTR4Lur6u0_zRESzBU7KW1TPl4P5Iv880bTU8SJBs</v>
      </c>
      <c r="J855" s="4" t="str">
        <v>Mersan, Donotirto, Kretek</v>
      </c>
      <c r="L855" s="99" t="str">
        <f ca="1">IFERROR(__xludf.DUMMYFUNCTION("IMPORTRANGE(H855,""IDENTITAS UNIT!D35"")"),"Tegar Laksono")</f>
        <v>Tegar Laksono</v>
      </c>
      <c r="M855" s="99">
        <f ca="1">IFERROR(__xludf.DUMMYFUNCTION("IMPORTRANGE(H855,""IDENTITAS UNIT!F35"")"),2000005042)</f>
        <v>2000005042</v>
      </c>
    </row>
    <row r="856" spans="1:13" ht="49.5">
      <c r="A856" s="4" t="str">
        <v>Reguler Periode ke-119 VII.A.3</v>
      </c>
      <c r="B856" s="4" t="str">
        <v>Reguler Periode ke-119</v>
      </c>
      <c r="C856" s="4" t="str">
        <v>VII.A.3</v>
      </c>
      <c r="D856" s="101" t="str">
        <v>https://drive.google.com/open?id=1hFRUOlfSu5TkfyULTbaFb_WXE3h6_xvfhVQx2Ms3gag&amp;usp=drive_copy</v>
      </c>
      <c r="E856" s="101" t="str">
        <v>https://drive.google.com/open?id=1hFRUOlfSu5TkfyULTbaFb_WXE3h6_xvfhVQx2Ms3gag</v>
      </c>
      <c r="F856" s="103" t="str">
        <f ca="1">IFERROR(__xludf.DUMMYFUNCTION("IMPORTRANGE(H856,""IDENTITAS UNIT!D9"")"),"https://maps.app.goo.gl/vCRNK4zeqqeyuAvA9")</f>
        <v>https://maps.app.goo.gl/vCRNK4zeqqeyuAvA9</v>
      </c>
      <c r="G856" s="4" t="s">
        <v>13312</v>
      </c>
      <c r="H856" s="101" t="str">
        <v>https://docs.google.com/spreadsheets/d/1hFRUOlfSu5TkfyULTbaFb_WXE3h6_xvfhVQx2Ms3gag</v>
      </c>
      <c r="I856" s="101" t="str">
        <v>https://docs.google.com/open?id=1hFRUOlfSu5TkfyULTbaFb_WXE3h6_xvfhVQx2Ms3gag</v>
      </c>
      <c r="J856" s="4" t="str">
        <v>Kalipakel, Donotirto, Kretek</v>
      </c>
      <c r="L856" s="99" t="str">
        <f ca="1">IFERROR(__xludf.DUMMYFUNCTION("IMPORTRANGE(H856,""IDENTITAS UNIT!D35"")"),"Salsabil Isen R.")</f>
        <v>Salsabil Isen R.</v>
      </c>
      <c r="M856" s="99">
        <f ca="1">IFERROR(__xludf.DUMMYFUNCTION("IMPORTRANGE(H856,""IDENTITAS UNIT!F35"")"),2000024046)</f>
        <v>2000024046</v>
      </c>
    </row>
    <row r="857" spans="1:13" ht="49.5">
      <c r="A857" s="4" t="str">
        <v>Reguler Periode ke-119 VII.B.1</v>
      </c>
      <c r="B857" s="4" t="str">
        <v>Reguler Periode ke-119</v>
      </c>
      <c r="C857" s="4" t="str">
        <v>VII.B.1</v>
      </c>
      <c r="D857" s="101" t="str">
        <v>https://drive.google.com/open?id=1hr4sEDv5ImRr72xB6QGjWoqkfIbcBtFGSs6Nzxs-iJo&amp;usp=drive_copy</v>
      </c>
      <c r="E857" s="101" t="str">
        <v>https://drive.google.com/open?id=1hr4sEDv5ImRr72xB6QGjWoqkfIbcBtFGSs6Nzxs-iJo</v>
      </c>
      <c r="F857" s="103" t="str">
        <f ca="1">IFERROR(__xludf.DUMMYFUNCTION("IMPORTRANGE(H857,""IDENTITAS UNIT!D9"")"),"https://maps.app.goo.gl/UKcVHWoYQLX4skFj6?g_st=ic")</f>
        <v>https://maps.app.goo.gl/UKcVHWoYQLX4skFj6?g_st=ic</v>
      </c>
      <c r="G857" s="4" t="s">
        <v>13313</v>
      </c>
      <c r="H857" s="101" t="str">
        <v>https://docs.google.com/spreadsheets/d/1hr4sEDv5ImRr72xB6QGjWoqkfIbcBtFGSs6Nzxs-iJo</v>
      </c>
      <c r="I857" s="101" t="str">
        <v>https://docs.google.com/open?id=1hr4sEDv5ImRr72xB6QGjWoqkfIbcBtFGSs6Nzxs-iJo</v>
      </c>
      <c r="J857" s="4" t="str">
        <v>Tegalsari, Donotirto, Kretek</v>
      </c>
      <c r="L857" s="99" t="str">
        <f ca="1">IFERROR(__xludf.DUMMYFUNCTION("IMPORTRANGE(H857,""IDENTITAS UNIT!D35"")"),"M Dwi Putra Wijaya")</f>
        <v>M Dwi Putra Wijaya</v>
      </c>
      <c r="M857" s="99">
        <f ca="1">IFERROR(__xludf.DUMMYFUNCTION("IMPORTRANGE(H857,""IDENTITAS UNIT!F35"")"),2000024073)</f>
        <v>2000024073</v>
      </c>
    </row>
    <row r="858" spans="1:13" ht="49.5">
      <c r="A858" s="4" t="str">
        <v>Reguler Periode ke-119 VII.B.2</v>
      </c>
      <c r="B858" s="4" t="str">
        <v>Reguler Periode ke-119</v>
      </c>
      <c r="C858" s="4" t="str">
        <v>VII.B.2</v>
      </c>
      <c r="D858" s="101" t="str">
        <v>https://drive.google.com/open?id=1iN8V6kILDpCOAUTUiY2gurcNtfqAKQwFaAYU2_j8xT0&amp;usp=drive_copy</v>
      </c>
      <c r="E858" s="101" t="str">
        <v>https://drive.google.com/open?id=1iN8V6kILDpCOAUTUiY2gurcNtfqAKQwFaAYU2_j8xT0</v>
      </c>
      <c r="F858" s="103" t="str">
        <f ca="1">IFERROR(__xludf.DUMMYFUNCTION("IMPORTRANGE(H858,""IDENTITAS UNIT!D9"")"),"https://maps.app.goo.gl/F8PfqAg8RfE3PVyd7")</f>
        <v>https://maps.app.goo.gl/F8PfqAg8RfE3PVyd7</v>
      </c>
      <c r="G858" s="4" t="s">
        <v>13314</v>
      </c>
      <c r="H858" s="101" t="str">
        <v>https://docs.google.com/spreadsheets/d/1iN8V6kILDpCOAUTUiY2gurcNtfqAKQwFaAYU2_j8xT0</v>
      </c>
      <c r="I858" s="101" t="str">
        <v>https://docs.google.com/open?id=1iN8V6kILDpCOAUTUiY2gurcNtfqAKQwFaAYU2_j8xT0</v>
      </c>
      <c r="J858" s="4" t="str">
        <v>Palangjiwan, Donotirto, Kretek</v>
      </c>
      <c r="L858" s="99" t="str">
        <f ca="1">IFERROR(__xludf.DUMMYFUNCTION("IMPORTRANGE(H858,""IDENTITAS UNIT!D35"")"),"Sonny Muhammad Ilham")</f>
        <v>Sonny Muhammad Ilham</v>
      </c>
      <c r="M858" s="99">
        <f ca="1">IFERROR(__xludf.DUMMYFUNCTION("IMPORTRANGE(H858,""IDENTITAS UNIT!F35"")"),1900024311)</f>
        <v>1900024311</v>
      </c>
    </row>
    <row r="859" spans="1:13" ht="66">
      <c r="A859" s="4" t="str">
        <v>Reguler Periode ke-119 VII.C.1</v>
      </c>
      <c r="B859" s="4" t="str">
        <v>Reguler Periode ke-119</v>
      </c>
      <c r="C859" s="4" t="str">
        <v>VII.C.1</v>
      </c>
      <c r="D859" s="101" t="str">
        <v>https://drive.google.com/open?id=1i_Ppc1K3c0wvumPRTD5AH2CWBK-x9OCGuFLz13BOKpQ&amp;usp=drive_copy</v>
      </c>
      <c r="E859" s="101" t="str">
        <v>https://drive.google.com/open?id=1i_Ppc1K3c0wvumPRTD5AH2CWBK-x9OCGuFLz13BOKpQ</v>
      </c>
      <c r="F859" s="103" t="str">
        <f ca="1">IFERROR(__xludf.DUMMYFUNCTION("IMPORTRANGE(H859,""IDENTITAS UNIT!D9"")"),"https://maps.google.com/maps?q=-7.9861363%2C110.3050536&amp;z=17&amp;hl=idc")</f>
        <v>https://maps.google.com/maps?q=-7.9861363%2C110.3050536&amp;z=17&amp;hl=idc</v>
      </c>
      <c r="G859" s="4" t="s">
        <v>13315</v>
      </c>
      <c r="H859" s="101" t="str">
        <v>https://docs.google.com/spreadsheets/d/1i_Ppc1K3c0wvumPRTD5AH2CWBK-x9OCGuFLz13BOKpQ</v>
      </c>
      <c r="I859" s="101" t="str">
        <v>https://docs.google.com/open?id=1i_Ppc1K3c0wvumPRTD5AH2CWBK-x9OCGuFLz13BOKpQ</v>
      </c>
      <c r="J859" s="4" t="str">
        <v>Mriyan, Donotirto, Kretek</v>
      </c>
      <c r="L859" s="99" t="str">
        <f ca="1">IFERROR(__xludf.DUMMYFUNCTION("IMPORTRANGE(H859,""IDENTITAS UNIT!D35"")"),"Luthfi Arrahman Tanjung")</f>
        <v>Luthfi Arrahman Tanjung</v>
      </c>
      <c r="M859" s="99">
        <f ca="1">IFERROR(__xludf.DUMMYFUNCTION("IMPORTRANGE(H859,""IDENTITAS UNIT!F35"")"),1900007011)</f>
        <v>1900007011</v>
      </c>
    </row>
    <row r="860" spans="1:13" ht="49.5">
      <c r="A860" s="4" t="str">
        <v>Reguler Periode ke-119 VII.C.2</v>
      </c>
      <c r="B860" s="4" t="str">
        <v>Reguler Periode ke-119</v>
      </c>
      <c r="C860" s="4" t="str">
        <v>VII.C.2</v>
      </c>
      <c r="D860" s="101" t="str">
        <v>https://drive.google.com/open?id=1iiDWyPM3p_HDFcSXscTlPduf3RpRqVWAURHvIKjVW28&amp;usp=drive_copy</v>
      </c>
      <c r="E860" s="101" t="str">
        <v>https://drive.google.com/open?id=1iiDWyPM3p_HDFcSXscTlPduf3RpRqVWAURHvIKjVW28</v>
      </c>
      <c r="F860" s="103" t="str">
        <f ca="1">IFERROR(__xludf.DUMMYFUNCTION("IMPORTRANGE(H860,""IDENTITAS UNIT!D9"")"),"https://maps.app.goo.gl/4NeuYi7cg5x2oYZHA")</f>
        <v>https://maps.app.goo.gl/4NeuYi7cg5x2oYZHA</v>
      </c>
      <c r="G860" s="4" t="s">
        <v>13316</v>
      </c>
      <c r="H860" s="101" t="str">
        <v>https://docs.google.com/spreadsheets/d/1iiDWyPM3p_HDFcSXscTlPduf3RpRqVWAURHvIKjVW28</v>
      </c>
      <c r="I860" s="101" t="str">
        <v>https://docs.google.com/open?id=1iiDWyPM3p_HDFcSXscTlPduf3RpRqVWAURHvIKjVW28</v>
      </c>
      <c r="J860" s="4" t="str">
        <v>Sruwuh, Donotirto, Kretek</v>
      </c>
      <c r="L860" s="99" t="str">
        <f ca="1">IFERROR(__xludf.DUMMYFUNCTION("IMPORTRANGE(H860,""IDENTITAS UNIT!D35"")"),"Dhimas Prayoga Jullyantama A.R")</f>
        <v>Dhimas Prayoga Jullyantama A.R</v>
      </c>
      <c r="M860" s="99">
        <f ca="1">IFERROR(__xludf.DUMMYFUNCTION("IMPORTRANGE(H860,""IDENTITAS UNIT!F35"")"),2000007008)</f>
        <v>2000007008</v>
      </c>
    </row>
    <row r="861" spans="1:13" ht="49.5">
      <c r="A861" s="4" t="str">
        <v>Reguler Periode ke-119 VII.D.1</v>
      </c>
      <c r="B861" s="4" t="str">
        <v>Reguler Periode ke-119</v>
      </c>
      <c r="C861" s="4" t="str">
        <v>VII.D.1</v>
      </c>
      <c r="D861" s="101" t="str">
        <v>https://drive.google.com/open?id=1imT2Zwz9zf-XBmxV_g-zZwibwx9P-QFZPeT_cP-82FA&amp;usp=drive_copy</v>
      </c>
      <c r="E861" s="101" t="str">
        <v>https://drive.google.com/open?id=1imT2Zwz9zf-XBmxV_g-zZwibwx9P-QFZPeT_cP-82FA</v>
      </c>
      <c r="F861" s="103" t="str">
        <f ca="1">IFERROR(__xludf.DUMMYFUNCTION("IMPORTRANGE(H861,""IDENTITAS UNIT!D9"")"),"https://maps.app.goo.gl/NZvZ7NzXUKKmsKSK7")</f>
        <v>https://maps.app.goo.gl/NZvZ7NzXUKKmsKSK7</v>
      </c>
      <c r="G861" s="4" t="s">
        <v>13317</v>
      </c>
      <c r="H861" s="101" t="str">
        <v>https://docs.google.com/spreadsheets/d/1imT2Zwz9zf-XBmxV_g-zZwibwx9P-QFZPeT_cP-82FA</v>
      </c>
      <c r="I861" s="101" t="str">
        <v>https://docs.google.com/open?id=1imT2Zwz9zf-XBmxV_g-zZwibwx9P-QFZPeT_cP-82FA</v>
      </c>
      <c r="J861" s="4" t="str">
        <v>Kadisoro, Gilangharjo, Pandak</v>
      </c>
      <c r="L861" s="99" t="str">
        <f ca="1">IFERROR(__xludf.DUMMYFUNCTION("IMPORTRANGE(H861,""IDENTITAS UNIT!D35"")"),"Intan Putri Pertiwi")</f>
        <v>Intan Putri Pertiwi</v>
      </c>
      <c r="M861" s="99">
        <f ca="1">IFERROR(__xludf.DUMMYFUNCTION("IMPORTRANGE(H861,""IDENTITAS UNIT!F35"")"),2000033017)</f>
        <v>2000033017</v>
      </c>
    </row>
    <row r="862" spans="1:13" ht="49.5">
      <c r="A862" s="4" t="str">
        <v>Reguler Periode ke-119 VII.D.2</v>
      </c>
      <c r="B862" s="4" t="str">
        <v>Reguler Periode ke-119</v>
      </c>
      <c r="C862" s="4" t="str">
        <v>VII.D.2</v>
      </c>
      <c r="D862" s="101" t="str">
        <v>https://drive.google.com/open?id=1lMZjxWXqAbgHw-PCv_Zz6wJogTEjdfThvWYzSt1Ghs8&amp;usp=drive_copy</v>
      </c>
      <c r="E862" s="101" t="str">
        <v>https://drive.google.com/open?id=1lMZjxWXqAbgHw-PCv_Zz6wJogTEjdfThvWYzSt1Ghs8</v>
      </c>
      <c r="F862" s="103" t="str">
        <f ca="1">IFERROR(__xludf.DUMMYFUNCTION("IMPORTRANGE(H862,""IDENTITAS UNIT!D9"")"),"https://maps.app.goo.gl/W8uFw6sFdjmrMjoEA")</f>
        <v>https://maps.app.goo.gl/W8uFw6sFdjmrMjoEA</v>
      </c>
      <c r="G862" s="4" t="s">
        <v>13318</v>
      </c>
      <c r="H862" s="101" t="str">
        <v>https://docs.google.com/spreadsheets/d/1lMZjxWXqAbgHw-PCv_Zz6wJogTEjdfThvWYzSt1Ghs8</v>
      </c>
      <c r="I862" s="101" t="str">
        <v>https://docs.google.com/open?id=1lMZjxWXqAbgHw-PCv_Zz6wJogTEjdfThvWYzSt1Ghs8</v>
      </c>
      <c r="J862" s="4" t="str">
        <v>Jodog, Gilangharjo, Pandak</v>
      </c>
      <c r="L862" s="99" t="str">
        <f ca="1">IFERROR(__xludf.DUMMYFUNCTION("IMPORTRANGE(H862,""IDENTITAS UNIT!D35"")"),"Daffa Yudha Tamtama")</f>
        <v>Daffa Yudha Tamtama</v>
      </c>
      <c r="M862" s="99">
        <f ca="1">IFERROR(__xludf.DUMMYFUNCTION("IMPORTRANGE(H862,""IDENTITAS UNIT!F35"")"),2000024241)</f>
        <v>2000024241</v>
      </c>
    </row>
    <row r="863" spans="1:13" ht="49.5">
      <c r="A863" s="4" t="str">
        <v>Reguler Periode ke-119 VII.D.3</v>
      </c>
      <c r="B863" s="4" t="str">
        <v>Reguler Periode ke-119</v>
      </c>
      <c r="C863" s="4" t="str">
        <v>VII.D.3</v>
      </c>
      <c r="D863" s="101" t="str">
        <v>https://drive.google.com/open?id=1nBVPq7ay0513lbZ-WpWkih-to-LE1aXP6d8jXDeovKY&amp;usp=drive_copy</v>
      </c>
      <c r="E863" s="101" t="str">
        <v>https://drive.google.com/open?id=1nBVPq7ay0513lbZ-WpWkih-to-LE1aXP6d8jXDeovKY</v>
      </c>
      <c r="F863" s="103" t="str">
        <f ca="1">IFERROR(__xludf.DUMMYFUNCTION("IMPORTRANGE(H863,""IDENTITAS UNIT!D9"")"),"https://maps.app.goo.gl/vb6XzUoWQ7eiRPUo8")</f>
        <v>https://maps.app.goo.gl/vb6XzUoWQ7eiRPUo8</v>
      </c>
      <c r="G863" s="4" t="s">
        <v>13319</v>
      </c>
      <c r="H863" s="101" t="str">
        <v>https://docs.google.com/spreadsheets/d/1nBVPq7ay0513lbZ-WpWkih-to-LE1aXP6d8jXDeovKY</v>
      </c>
      <c r="I863" s="101" t="str">
        <v>https://docs.google.com/open?id=1nBVPq7ay0513lbZ-WpWkih-to-LE1aXP6d8jXDeovKY</v>
      </c>
      <c r="J863" s="4" t="str">
        <v>Karangasem, Gilangharjo, Pandak</v>
      </c>
      <c r="L863" s="99" t="str">
        <f ca="1">IFERROR(__xludf.DUMMYFUNCTION("IMPORTRANGE(H863,""IDENTITAS UNIT!D35"")"),"Muhammad Al- Hafiz")</f>
        <v>Muhammad Al- Hafiz</v>
      </c>
      <c r="M863" s="99">
        <f ca="1">IFERROR(__xludf.DUMMYFUNCTION("IMPORTRANGE(H863,""IDENTITAS UNIT!F35"")"),2000018012)</f>
        <v>2000018012</v>
      </c>
    </row>
    <row r="864" spans="1:13" ht="49.5">
      <c r="A864" s="4" t="str">
        <v>Reguler Periode ke-119 VIII.A.1</v>
      </c>
      <c r="B864" s="4" t="str">
        <v>Reguler Periode ke-119</v>
      </c>
      <c r="C864" s="4" t="str">
        <v>VIII.A.1</v>
      </c>
      <c r="D864" s="101" t="str">
        <v>https://drive.google.com/open?id=1p379W6bykEQ8xe3zOi8uiLhwC58RyN8BBToJl6cMk2Y&amp;usp=drive_copy</v>
      </c>
      <c r="E864" s="101" t="str">
        <v>https://drive.google.com/open?id=1p379W6bykEQ8xe3zOi8uiLhwC58RyN8BBToJl6cMk2Y</v>
      </c>
      <c r="F864" s="103" t="str">
        <f ca="1">IFERROR(__xludf.DUMMYFUNCTION("IMPORTRANGE(H864,""IDENTITAS UNIT!D9"")"),"https://maps.app.goo.gl/oVfvR5BH2v8H1pEKADaleman")</f>
        <v>https://maps.app.goo.gl/oVfvR5BH2v8H1pEKADaleman</v>
      </c>
      <c r="G864" s="4" t="s">
        <v>13320</v>
      </c>
      <c r="H864" s="101" t="str">
        <v>https://docs.google.com/spreadsheets/d/1p379W6bykEQ8xe3zOi8uiLhwC58RyN8BBToJl6cMk2Y</v>
      </c>
      <c r="I864" s="101" t="str">
        <v>https://docs.google.com/open?id=1p379W6bykEQ8xe3zOi8uiLhwC58RyN8BBToJl6cMk2Y</v>
      </c>
      <c r="J864" s="4" t="str">
        <v>Daleman, Gilangharjo, Pandak</v>
      </c>
      <c r="L864" s="99" t="str">
        <f ca="1">IFERROR(__xludf.DUMMYFUNCTION("IMPORTRANGE(H864,""IDENTITAS UNIT!D35"")"),"Triamariska Septiara Ma'rifah")</f>
        <v>Triamariska Septiara Ma'rifah</v>
      </c>
      <c r="M864" s="99" t="str">
        <f ca="1">IFERROR(__xludf.DUMMYFUNCTION("IMPORTRANGE(H864,""IDENTITAS UNIT!F35"")"),"PILIH SESUAI DENGAN NAMA YANG TERSEDIA")</f>
        <v>PILIH SESUAI DENGAN NAMA YANG TERSEDIA</v>
      </c>
    </row>
    <row r="865" spans="1:13" ht="49.5">
      <c r="A865" s="4" t="str">
        <v>Reguler Periode ke-119 VIII.A.2</v>
      </c>
      <c r="B865" s="4" t="str">
        <v>Reguler Periode ke-119</v>
      </c>
      <c r="C865" s="4" t="str">
        <v>VIII.A.2</v>
      </c>
      <c r="D865" s="101" t="str">
        <v>https://drive.google.com/open?id=1t2uI5jSJvcoYzVphAG-PsbmtRBmaihD0bbE2MtW-_CI&amp;usp=drive_copy</v>
      </c>
      <c r="E865" s="101" t="str">
        <v>https://drive.google.com/open?id=1t2uI5jSJvcoYzVphAG-PsbmtRBmaihD0bbE2MtW-_CI</v>
      </c>
      <c r="F865" s="103" t="str">
        <f ca="1">IFERROR(__xludf.DUMMYFUNCTION("IMPORTRANGE(H865,""IDENTITAS UNIT!D9"")"),"https://maps.app.goo.gl/aYt1BETd4xaY8HAL7")</f>
        <v>https://maps.app.goo.gl/aYt1BETd4xaY8HAL7</v>
      </c>
      <c r="G865" s="4" t="s">
        <v>13321</v>
      </c>
      <c r="H865" s="101" t="str">
        <v>https://docs.google.com/spreadsheets/d/1t2uI5jSJvcoYzVphAG-PsbmtRBmaihD0bbE2MtW-_CI</v>
      </c>
      <c r="I865" s="101" t="str">
        <v>https://docs.google.com/open?id=1t2uI5jSJvcoYzVphAG-PsbmtRBmaihD0bbE2MtW-_CI</v>
      </c>
      <c r="J865" s="4" t="str">
        <v>Kauman, Gilangharjo, Pandak</v>
      </c>
      <c r="L865" s="99" t="str">
        <f ca="1">IFERROR(__xludf.DUMMYFUNCTION("IMPORTRANGE(H865,""IDENTITAS UNIT!D35"")"),"Shidqi Fafi Aqilla")</f>
        <v>Shidqi Fafi Aqilla</v>
      </c>
      <c r="M865" s="99">
        <f ca="1">IFERROR(__xludf.DUMMYFUNCTION("IMPORTRANGE(H865,""IDENTITAS UNIT!F35"")"),2000009036)</f>
        <v>2000009036</v>
      </c>
    </row>
    <row r="866" spans="1:13" ht="49.5">
      <c r="A866" s="4" t="str">
        <v>Reguler Periode ke-119 VIII.A.3</v>
      </c>
      <c r="B866" s="4" t="str">
        <v>Reguler Periode ke-119</v>
      </c>
      <c r="C866" s="4" t="str">
        <v>VIII.A.3</v>
      </c>
      <c r="D866" s="101" t="str">
        <v>https://drive.google.com/open?id=1tHtlj7siaMRBFfV83T5Uls4JNBSa964qoiCMchp-Uzs&amp;usp=drive_copy</v>
      </c>
      <c r="E866" s="101" t="str">
        <v>https://drive.google.com/open?id=1tHtlj7siaMRBFfV83T5Uls4JNBSa964qoiCMchp-Uzs</v>
      </c>
      <c r="F866" s="103" t="str">
        <f ca="1">IFERROR(__xludf.DUMMYFUNCTION("IMPORTRANGE(H866,""IDENTITAS UNIT!D9"")"),"https://maps.app.goo.gl/sT2mr1AbRzMVtwTL7								")</f>
        <v xml:space="preserve">https://maps.app.goo.gl/sT2mr1AbRzMVtwTL7								</v>
      </c>
      <c r="G866" s="4" t="s">
        <v>13322</v>
      </c>
      <c r="H866" s="101" t="str">
        <v>https://docs.google.com/spreadsheets/d/1tHtlj7siaMRBFfV83T5Uls4JNBSa964qoiCMchp-Uzs</v>
      </c>
      <c r="I866" s="101" t="str">
        <v>https://docs.google.com/open?id=1tHtlj7siaMRBFfV83T5Uls4JNBSa964qoiCMchp-Uzs</v>
      </c>
      <c r="J866" s="4" t="str">
        <v>Kadekrowo, Gilangharjo, Pandak</v>
      </c>
      <c r="L866" s="99" t="str">
        <f ca="1">IFERROR(__xludf.DUMMYFUNCTION("IMPORTRANGE(H866,""IDENTITAS UNIT!D35"")"),"Deviana Romadhona")</f>
        <v>Deviana Romadhona</v>
      </c>
      <c r="M866" s="99">
        <f ca="1">IFERROR(__xludf.DUMMYFUNCTION("IMPORTRANGE(H866,""IDENTITAS UNIT!F35"")"),2000033023)</f>
        <v>2000033023</v>
      </c>
    </row>
    <row r="867" spans="1:13" ht="49.5">
      <c r="A867" s="4" t="str">
        <v>Reguler Periode ke-119 VIII.B.1</v>
      </c>
      <c r="B867" s="4" t="str">
        <v>Reguler Periode ke-119</v>
      </c>
      <c r="C867" s="4" t="str">
        <v>VIII.B.1</v>
      </c>
      <c r="D867" s="101" t="str">
        <v>https://drive.google.com/open?id=1tnkLhF9Kn3oaTPa60FYDCDC-brmRWrG3qMqMDEBUeck&amp;usp=drive_copy</v>
      </c>
      <c r="E867" s="101" t="str">
        <v>https://drive.google.com/open?id=1tnkLhF9Kn3oaTPa60FYDCDC-brmRWrG3qMqMDEBUeck</v>
      </c>
      <c r="F867" s="103" t="str">
        <f ca="1">IFERROR(__xludf.DUMMYFUNCTION("IMPORTRANGE(H867,""IDENTITAS UNIT!D9"")"),"https://maps.app.goo.gl/gGP3VTtGd26vWF1t7")</f>
        <v>https://maps.app.goo.gl/gGP3VTtGd26vWF1t7</v>
      </c>
      <c r="G867" s="4" t="s">
        <v>13323</v>
      </c>
      <c r="H867" s="101" t="str">
        <v>https://docs.google.com/spreadsheets/d/1tnkLhF9Kn3oaTPa60FYDCDC-brmRWrG3qMqMDEBUeck</v>
      </c>
      <c r="I867" s="101" t="str">
        <v>https://docs.google.com/open?id=1tnkLhF9Kn3oaTPa60FYDCDC-brmRWrG3qMqMDEBUeck</v>
      </c>
      <c r="J867" s="4" t="str">
        <v>Ngaran, Gilangharjo, Pandak</v>
      </c>
      <c r="L867" s="99" t="str">
        <f ca="1">IFERROR(__xludf.DUMMYFUNCTION("IMPORTRANGE(H867,""IDENTITAS UNIT!D35"")"),"Wahyu Surya Al Fikri")</f>
        <v>Wahyu Surya Al Fikri</v>
      </c>
      <c r="M867" s="99">
        <f ca="1">IFERROR(__xludf.DUMMYFUNCTION("IMPORTRANGE(H867,""IDENTITAS UNIT!F35"")"),2000009021)</f>
        <v>2000009021</v>
      </c>
    </row>
    <row r="868" spans="1:13" ht="49.5">
      <c r="A868" s="4" t="str">
        <v>Reguler Periode ke-119 VIII.B.2</v>
      </c>
      <c r="B868" s="4" t="str">
        <v>Reguler Periode ke-119</v>
      </c>
      <c r="C868" s="4" t="str">
        <v>VIII.B.2</v>
      </c>
      <c r="D868" s="101" t="str">
        <v>https://drive.google.com/open?id=1usiGc68IUfegekX67iDRg2CQD3p93OLTR-7dkGqC_hg&amp;usp=drive_copy</v>
      </c>
      <c r="E868" s="101" t="str">
        <v>https://drive.google.com/open?id=1usiGc68IUfegekX67iDRg2CQD3p93OLTR-7dkGqC_hg</v>
      </c>
      <c r="F868" s="103" t="str">
        <f ca="1">IFERROR(__xludf.DUMMYFUNCTION("IMPORTRANGE(H868,""IDENTITAS UNIT!D9"")"),"https://maps.app.goo.gl/K62SCLi6HWv6zWLt7?g_st=iw")</f>
        <v>https://maps.app.goo.gl/K62SCLi6HWv6zWLt7?g_st=iw</v>
      </c>
      <c r="G868" s="4" t="s">
        <v>13324</v>
      </c>
      <c r="H868" s="101" t="str">
        <v>https://docs.google.com/spreadsheets/d/1usiGc68IUfegekX67iDRg2CQD3p93OLTR-7dkGqC_hg</v>
      </c>
      <c r="I868" s="101" t="str">
        <v>https://docs.google.com/open?id=1usiGc68IUfegekX67iDRg2CQD3p93OLTR-7dkGqC_hg</v>
      </c>
      <c r="J868" s="4" t="str">
        <v>Karanggede, Gilangharjo, Pandak</v>
      </c>
      <c r="L868" s="99" t="str">
        <f ca="1">IFERROR(__xludf.DUMMYFUNCTION("IMPORTRANGE(H868,""IDENTITAS UNIT!D35"")"),"Zahra Raihan Nissa")</f>
        <v>Zahra Raihan Nissa</v>
      </c>
      <c r="M868" s="99" t="str">
        <f ca="1">IFERROR(__xludf.DUMMYFUNCTION("IMPORTRANGE(H868,""IDENTITAS UNIT!F35"")"),"PILIH SESUAI DENGAN NAMA YANG TERSEDIA")</f>
        <v>PILIH SESUAI DENGAN NAMA YANG TERSEDIA</v>
      </c>
    </row>
    <row r="869" spans="1:13" ht="49.5">
      <c r="A869" s="4" t="str">
        <v>Reguler Periode ke-119 VIII.B.3</v>
      </c>
      <c r="B869" s="4" t="str">
        <v>Reguler Periode ke-119</v>
      </c>
      <c r="C869" s="4" t="str">
        <v>VIII.B.3</v>
      </c>
      <c r="D869" s="101" t="str">
        <v>https://drive.google.com/open?id=1wdHweScfbL0EVUCVGK5VaH2M4EzFpkZ4OhyaDnZnXI8&amp;usp=drive_copy</v>
      </c>
      <c r="E869" s="101" t="str">
        <v>https://drive.google.com/open?id=1wdHweScfbL0EVUCVGK5VaH2M4EzFpkZ4OhyaDnZnXI8</v>
      </c>
      <c r="F869" s="103" t="str">
        <f ca="1">IFERROR(__xludf.DUMMYFUNCTION("IMPORTRANGE(H869,""IDENTITAS UNIT!D9"")"),"https://maps.app.goo.gl/HaksAgoecbtt5fTr8")</f>
        <v>https://maps.app.goo.gl/HaksAgoecbtt5fTr8</v>
      </c>
      <c r="G869" s="4" t="s">
        <v>13325</v>
      </c>
      <c r="H869" s="101" t="str">
        <v>https://docs.google.com/spreadsheets/d/1wdHweScfbL0EVUCVGK5VaH2M4EzFpkZ4OhyaDnZnXI8</v>
      </c>
      <c r="I869" s="101" t="str">
        <v>https://docs.google.com/open?id=1wdHweScfbL0EVUCVGK5VaH2M4EzFpkZ4OhyaDnZnXI8</v>
      </c>
      <c r="J869" s="4" t="str">
        <v>Gunting, Gilangharjo, Pandak</v>
      </c>
      <c r="L869" s="99" t="str">
        <f ca="1">IFERROR(__xludf.DUMMYFUNCTION("IMPORTRANGE(H869,""IDENTITAS UNIT!D35"")"),"Eka Frendy Setiawan")</f>
        <v>Eka Frendy Setiawan</v>
      </c>
      <c r="M869" s="99" t="str">
        <f ca="1">IFERROR(__xludf.DUMMYFUNCTION("IMPORTRANGE(H869,""IDENTITAS UNIT!F35"")"),"PILIH SESUAI DENGAN NAMA YANG TERSEDIA")</f>
        <v>PILIH SESUAI DENGAN NAMA YANG TERSEDIA</v>
      </c>
    </row>
    <row r="870" spans="1:13" ht="49.5">
      <c r="A870" s="4" t="str">
        <v>Reguler Periode ke-119 VIII.C.1</v>
      </c>
      <c r="B870" s="4" t="str">
        <v>Reguler Periode ke-119</v>
      </c>
      <c r="C870" s="4" t="str">
        <v>VIII.C.1</v>
      </c>
      <c r="D870" s="101" t="str">
        <v>https://drive.google.com/open?id=1wi98emzzWCsQjRb2OTNjUxya8qhrgXV8Ew9jbtSOpis&amp;usp=drive_copy</v>
      </c>
      <c r="E870" s="101" t="str">
        <v>https://drive.google.com/open?id=1wi98emzzWCsQjRb2OTNjUxya8qhrgXV8Ew9jbtSOpis</v>
      </c>
      <c r="F870" s="103" t="str">
        <f ca="1">IFERROR(__xludf.DUMMYFUNCTION("IMPORTRANGE(H870,""IDENTITAS UNIT!D9"")"),"https://maps.app.goo.gl/LoJgJMU5PPdNeKsR9?g_st=iw")</f>
        <v>https://maps.app.goo.gl/LoJgJMU5PPdNeKsR9?g_st=iw</v>
      </c>
      <c r="G870" s="4" t="s">
        <v>13326</v>
      </c>
      <c r="H870" s="101" t="str">
        <v>https://docs.google.com/spreadsheets/d/1wi98emzzWCsQjRb2OTNjUxya8qhrgXV8Ew9jbtSOpis</v>
      </c>
      <c r="I870" s="101" t="str">
        <v>https://docs.google.com/open?id=1wi98emzzWCsQjRb2OTNjUxya8qhrgXV8Ew9jbtSOpis</v>
      </c>
      <c r="J870" s="4" t="str">
        <v>Krekah, Gilangharjo, Pandak</v>
      </c>
      <c r="L870" s="99" t="str">
        <f ca="1">IFERROR(__xludf.DUMMYFUNCTION("IMPORTRANGE(H870,""IDENTITAS UNIT!D35"")"),"Muhammad Hamas Lantip Trengginas")</f>
        <v>Muhammad Hamas Lantip Trengginas</v>
      </c>
      <c r="M870" s="99">
        <f ca="1">IFERROR(__xludf.DUMMYFUNCTION("IMPORTRANGE(H870,""IDENTITAS UNIT!F35"")"),2000024146)</f>
        <v>2000024146</v>
      </c>
    </row>
    <row r="871" spans="1:13" ht="49.5">
      <c r="A871" s="4" t="str">
        <v>Reguler Periode ke-119 VIII.C.2</v>
      </c>
      <c r="B871" s="4" t="str">
        <v>Reguler Periode ke-119</v>
      </c>
      <c r="C871" s="4" t="str">
        <v>VIII.C.2</v>
      </c>
      <c r="D871" s="101" t="str">
        <v>https://drive.google.com/open?id=1x6MgWiMfFeP-2w6mzPOjf5dUms4hyvgTcRY3gs6tuVE&amp;usp=drive_copy</v>
      </c>
      <c r="E871" s="101" t="str">
        <v>https://drive.google.com/open?id=1x6MgWiMfFeP-2w6mzPOjf5dUms4hyvgTcRY3gs6tuVE</v>
      </c>
      <c r="F871" s="103" t="str">
        <f ca="1">IFERROR(__xludf.DUMMYFUNCTION("IMPORTRANGE(H871,""IDENTITAS UNIT!D9"")"),"https://maps.app.goo.gl/uy6YmnWj3WD8g5q69")</f>
        <v>https://maps.app.goo.gl/uy6YmnWj3WD8g5q69</v>
      </c>
      <c r="G871" s="4" t="s">
        <v>13327</v>
      </c>
      <c r="H871" s="101" t="str">
        <v>https://docs.google.com/spreadsheets/d/1x6MgWiMfFeP-2w6mzPOjf5dUms4hyvgTcRY3gs6tuVE</v>
      </c>
      <c r="I871" s="101" t="str">
        <v>https://docs.google.com/open?id=1x6MgWiMfFeP-2w6mzPOjf5dUms4hyvgTcRY3gs6tuVE</v>
      </c>
      <c r="J871" s="4" t="str">
        <v>Banjarwaru, Gilangharjo, Pandak</v>
      </c>
      <c r="L871" s="99" t="str">
        <f ca="1">IFERROR(__xludf.DUMMYFUNCTION("IMPORTRANGE(H871,""IDENTITAS UNIT!D35"")"),"Rino Ribenza")</f>
        <v>Rino Ribenza</v>
      </c>
      <c r="M871" s="99">
        <f ca="1">IFERROR(__xludf.DUMMYFUNCTION("IMPORTRANGE(H871,""IDENTITAS UNIT!F35"")"),2000009033)</f>
        <v>2000009033</v>
      </c>
    </row>
    <row r="872" spans="1:13" ht="66">
      <c r="A872" s="4" t="str">
        <v>Reguler Periode ke-119 VIII.C.3</v>
      </c>
      <c r="B872" s="4" t="str">
        <v>Reguler Periode ke-119</v>
      </c>
      <c r="C872" s="4" t="str">
        <v>VIII.C.3</v>
      </c>
      <c r="D872" s="101" t="str">
        <v>https://drive.google.com/open?id=1xseDbL76iqEG-ydpQtSFkcuLXuUm_zOGpGJTfkOHJfE&amp;usp=drive_copy</v>
      </c>
      <c r="E872" s="101" t="str">
        <v>https://drive.google.com/open?id=1xseDbL76iqEG-ydpQtSFkcuLXuUm_zOGpGJTfkOHJfE</v>
      </c>
      <c r="F872" s="103" t="str">
        <f ca="1">IFERROR(__xludf.DUMMYFUNCTION("IMPORTRANGE(H872,""IDENTITAS UNIT!D9"")"),"https://maps.google.com/maps?q=-7.9399846%2C110.2981539&amp;z=17&amp;hl=id ")</f>
        <v xml:space="preserve">https://maps.google.com/maps?q=-7.9399846%2C110.2981539&amp;z=17&amp;hl=id </v>
      </c>
      <c r="G872" s="4" t="s">
        <v>13328</v>
      </c>
      <c r="H872" s="101" t="str">
        <v>https://docs.google.com/spreadsheets/d/1xseDbL76iqEG-ydpQtSFkcuLXuUm_zOGpGJTfkOHJfE</v>
      </c>
      <c r="I872" s="101" t="str">
        <v>https://docs.google.com/open?id=1xseDbL76iqEG-ydpQtSFkcuLXuUm_zOGpGJTfkOHJfE</v>
      </c>
      <c r="J872" s="4" t="str">
        <v>Tegallurung, Gilangharjo, Pandak</v>
      </c>
      <c r="L872" s="99" t="str">
        <f ca="1">IFERROR(__xludf.DUMMYFUNCTION("IMPORTRANGE(H872,""IDENTITAS UNIT!D35"")"),"Ardian Nur Wicaksono")</f>
        <v>Ardian Nur Wicaksono</v>
      </c>
      <c r="M872" s="99">
        <f ca="1">IFERROR(__xludf.DUMMYFUNCTION("IMPORTRANGE(H872,""IDENTITAS UNIT!F35"")"),2000025077)</f>
        <v>2000025077</v>
      </c>
    </row>
    <row r="873" spans="1:13" ht="49.5">
      <c r="A873" s="4" t="str">
        <v>Reguler Periode ke-119 VIII.D.1</v>
      </c>
      <c r="B873" s="4" t="str">
        <v>Reguler Periode ke-119</v>
      </c>
      <c r="C873" s="4" t="str">
        <v>VIII.D.1</v>
      </c>
      <c r="D873" s="101" t="str">
        <v>https://drive.google.com/open?id=10DOeXShPMSPnKnYFX7tLGdFEFi2xwBWCt9ByQDPQmr8&amp;usp=drive_copy</v>
      </c>
      <c r="E873" s="101" t="str">
        <v>https://drive.google.com/open?id=10DOeXShPMSPnKnYFX7tLGdFEFi2xwBWCt9ByQDPQmr8</v>
      </c>
      <c r="F873" s="103" t="str">
        <f ca="1">IFERROR(__xludf.DUMMYFUNCTION("IMPORTRANGE(H873,""IDENTITAS UNIT!D9"")"),"https://maps.app.goo.gl/yiBY6EHH1MwApGuN8")</f>
        <v>https://maps.app.goo.gl/yiBY6EHH1MwApGuN8</v>
      </c>
      <c r="G873" s="4" t="s">
        <v>13329</v>
      </c>
      <c r="H873" s="101" t="str">
        <v>https://docs.google.com/spreadsheets/d/10DOeXShPMSPnKnYFX7tLGdFEFi2xwBWCt9ByQDPQmr8</v>
      </c>
      <c r="I873" s="101" t="str">
        <v>https://docs.google.com/open?id=10DOeXShPMSPnKnYFX7tLGdFEFi2xwBWCt9ByQDPQmr8</v>
      </c>
      <c r="J873" s="4" t="str">
        <v>Depok, Gilangharjo, Pandak</v>
      </c>
      <c r="L873" s="99" t="str">
        <f ca="1">IFERROR(__xludf.DUMMYFUNCTION("IMPORTRANGE(H873,""IDENTITAS UNIT!D35"")"),"M. Julkiflin")</f>
        <v>M. Julkiflin</v>
      </c>
      <c r="M873" s="99">
        <f ca="1">IFERROR(__xludf.DUMMYFUNCTION("IMPORTRANGE(H873,""IDENTITAS UNIT!F35"")"),2000025067)</f>
        <v>2000025067</v>
      </c>
    </row>
    <row r="874" spans="1:13" ht="115.5">
      <c r="A874" s="4" t="str">
        <v>Reguler Periode ke-119 VIII.D.2</v>
      </c>
      <c r="B874" s="4" t="str">
        <v>Reguler Periode ke-119</v>
      </c>
      <c r="C874" s="4" t="str">
        <v>VIII.D.2</v>
      </c>
      <c r="D874" s="101" t="str">
        <v>https://drive.google.com/open?id=11TI1BDEzXRacvim_OptN4swWA3caAZIuUCXrMABeO7I&amp;usp=drive_copy</v>
      </c>
      <c r="E874" s="101" t="str">
        <v>https://drive.google.com/open?id=11TI1BDEzXRacvim_OptN4swWA3caAZIuUCXrMABeO7I</v>
      </c>
      <c r="F874" s="103" t="str">
        <f ca="1">IFERROR(__xludf.DUMMYFUNCTION("IMPORTRANGE(H874,""IDENTITAS UNIT!D9"")"),"https://www.google.com/maps/dir//-7.9212366,110.3022456/@-7.9213524,110.2970438,17z/data=!4m2!4m1!3e0?entry=ttu")</f>
        <v>https://www.google.com/maps/dir//-7.9212366,110.3022456/@-7.9213524,110.2970438,17z/data=!4m2!4m1!3e0?entry=ttu</v>
      </c>
      <c r="G874" s="4" t="s">
        <v>13330</v>
      </c>
      <c r="H874" s="101" t="str">
        <v>https://docs.google.com/spreadsheets/d/11TI1BDEzXRacvim_OptN4swWA3caAZIuUCXrMABeO7I</v>
      </c>
      <c r="I874" s="101" t="str">
        <v>https://docs.google.com/open?id=11TI1BDEzXRacvim_OptN4swWA3caAZIuUCXrMABeO7I</v>
      </c>
      <c r="J874" s="4" t="str">
        <v>Bangsren, Gilangharjo, Pandak</v>
      </c>
      <c r="L874" s="99" t="str">
        <f ca="1">IFERROR(__xludf.DUMMYFUNCTION("IMPORTRANGE(H874,""IDENTITAS UNIT!D35"")"),"Ropiyandi")</f>
        <v>Ropiyandi</v>
      </c>
      <c r="M874" s="99">
        <f ca="1">IFERROR(__xludf.DUMMYFUNCTION("IMPORTRANGE(H874,""IDENTITAS UNIT!F35"")"),2000018317)</f>
        <v>2000018317</v>
      </c>
    </row>
    <row r="875" spans="1:13" ht="49.5">
      <c r="A875" s="4" t="str">
        <v>Reguler Periode ke-119 VIII.D.3</v>
      </c>
      <c r="B875" s="4" t="str">
        <v>Reguler Periode ke-119</v>
      </c>
      <c r="C875" s="4" t="str">
        <v>VIII.D.3</v>
      </c>
      <c r="D875" s="101" t="str">
        <v>https://drive.google.com/open?id=13-y3TpYrrZJJ7orHEn9uXCsg4-o-JqqAhQi_QGT_m3E&amp;usp=drive_copy</v>
      </c>
      <c r="E875" s="101" t="str">
        <v>https://drive.google.com/open?id=13-y3TpYrrZJJ7orHEn9uXCsg4-o-JqqAhQi_QGT_m3E</v>
      </c>
      <c r="F875" s="103" t="str">
        <f ca="1">IFERROR(__xludf.DUMMYFUNCTION("IMPORTRANGE(H875,""IDENTITAS UNIT!D9"")"),"https://maps.app.goo.gl/pYvD2NR6gfcL8DgZ7")</f>
        <v>https://maps.app.goo.gl/pYvD2NR6gfcL8DgZ7</v>
      </c>
      <c r="G875" s="4" t="s">
        <v>13331</v>
      </c>
      <c r="H875" s="101" t="str">
        <v>https://docs.google.com/spreadsheets/d/13-y3TpYrrZJJ7orHEn9uXCsg4-o-JqqAhQi_QGT_m3E</v>
      </c>
      <c r="I875" s="101" t="str">
        <v>https://docs.google.com/open?id=13-y3TpYrrZJJ7orHEn9uXCsg4-o-JqqAhQi_QGT_m3E</v>
      </c>
      <c r="J875" s="4" t="str">
        <v>Jomboran, Gilangharjo, Pandak</v>
      </c>
      <c r="L875" s="99" t="str">
        <f ca="1">IFERROR(__xludf.DUMMYFUNCTION("IMPORTRANGE(H875,""IDENTITAS UNIT!D35"")"),"Nur Arifah")</f>
        <v>Nur Arifah</v>
      </c>
      <c r="M875" s="99">
        <f ca="1">IFERROR(__xludf.DUMMYFUNCTION("IMPORTRANGE(H875,""IDENTITAS UNIT!F35"")"),2000029242)</f>
        <v>2000029242</v>
      </c>
    </row>
    <row r="876" spans="1:13" ht="49.5">
      <c r="A876" s="4" t="str">
        <v>Reguler Periode ke-119 IX.A.1</v>
      </c>
      <c r="B876" s="4" t="str">
        <v>Reguler Periode ke-119</v>
      </c>
      <c r="C876" s="4" t="str">
        <v>IX.A.1</v>
      </c>
      <c r="D876" s="101" t="str">
        <v>https://drive.google.com/open?id=14AM6_aa-ThFRzFQxlFxDAPqVxMQW64NrnTw3fX8qFyI&amp;usp=drive_copy</v>
      </c>
      <c r="E876" s="101" t="str">
        <v>https://drive.google.com/open?id=14AM6_aa-ThFRzFQxlFxDAPqVxMQW64NrnTw3fX8qFyI</v>
      </c>
      <c r="F876" s="103" t="str">
        <f ca="1">IFERROR(__xludf.DUMMYFUNCTION("IMPORTRANGE(H876,""IDENTITAS UNIT!D9"")"),"https://maps.app.goo.gl/QcgSBTtP5h8xaCdi7")</f>
        <v>https://maps.app.goo.gl/QcgSBTtP5h8xaCdi7</v>
      </c>
      <c r="G876" s="4" t="s">
        <v>13332</v>
      </c>
      <c r="H876" s="101" t="str">
        <v>https://docs.google.com/spreadsheets/d/14AM6_aa-ThFRzFQxlFxDAPqVxMQW64NrnTw3fX8qFyI</v>
      </c>
      <c r="I876" s="101" t="str">
        <v>https://docs.google.com/open?id=14AM6_aa-ThFRzFQxlFxDAPqVxMQW64NrnTw3fX8qFyI</v>
      </c>
      <c r="J876" s="4" t="str">
        <v>Banyuurip, Caturharjo, Pandak</v>
      </c>
      <c r="L876" s="99" t="str">
        <f ca="1">IFERROR(__xludf.DUMMYFUNCTION("IMPORTRANGE(H876,""IDENTITAS UNIT!D35"")"),"Rafie Nashiruddin")</f>
        <v>Rafie Nashiruddin</v>
      </c>
      <c r="M876" s="99">
        <f ca="1">IFERROR(__xludf.DUMMYFUNCTION("IMPORTRANGE(H876,""IDENTITAS UNIT!F35"")"),2000010022)</f>
        <v>2000010022</v>
      </c>
    </row>
    <row r="877" spans="1:13" ht="49.5">
      <c r="A877" s="4" t="str">
        <v>Reguler Periode ke-119 IX.A.2</v>
      </c>
      <c r="B877" s="4" t="str">
        <v>Reguler Periode ke-119</v>
      </c>
      <c r="C877" s="4" t="str">
        <v>IX.A.2</v>
      </c>
      <c r="D877" s="101" t="str">
        <v>https://drive.google.com/open?id=14K4vBGbEPLrpjqxWuBqkMZisO1QpDOqeoS-1ntR6goM&amp;usp=drive_copy</v>
      </c>
      <c r="E877" s="101" t="str">
        <v>https://drive.google.com/open?id=14K4vBGbEPLrpjqxWuBqkMZisO1QpDOqeoS-1ntR6goM</v>
      </c>
      <c r="F877" s="103" t="str">
        <f ca="1">IFERROR(__xludf.DUMMYFUNCTION("IMPORTRANGE(H877,""IDENTITAS UNIT!D9"")"),"https://maps.app.goo.gl/uN5dpP7qkBLaSAxq5")</f>
        <v>https://maps.app.goo.gl/uN5dpP7qkBLaSAxq5</v>
      </c>
      <c r="G877" s="4" t="s">
        <v>13333</v>
      </c>
      <c r="H877" s="101" t="str">
        <v>https://docs.google.com/spreadsheets/d/14K4vBGbEPLrpjqxWuBqkMZisO1QpDOqeoS-1ntR6goM</v>
      </c>
      <c r="I877" s="101" t="str">
        <v>https://docs.google.com/open?id=14K4vBGbEPLrpjqxWuBqkMZisO1QpDOqeoS-1ntR6goM</v>
      </c>
      <c r="J877" s="4" t="str">
        <v>Gluntung Lor, Caturharjo, Pandak</v>
      </c>
      <c r="L877" s="99" t="str">
        <f ca="1">IFERROR(__xludf.DUMMYFUNCTION("IMPORTRANGE(H877,""IDENTITAS UNIT!D35"")"),"Baharudin Nur Hidayat")</f>
        <v>Baharudin Nur Hidayat</v>
      </c>
      <c r="M877" s="99">
        <f ca="1">IFERROR(__xludf.DUMMYFUNCTION("IMPORTRANGE(H877,""IDENTITAS UNIT!F35"")"),2000018263)</f>
        <v>2000018263</v>
      </c>
    </row>
    <row r="878" spans="1:13" ht="49.5">
      <c r="A878" s="4" t="str">
        <v>Reguler Periode ke-119 IX.A.3</v>
      </c>
      <c r="B878" s="4" t="str">
        <v>Reguler Periode ke-119</v>
      </c>
      <c r="C878" s="4" t="str">
        <v>IX.A.3</v>
      </c>
      <c r="D878" s="101" t="str">
        <v>https://drive.google.com/open?id=14xXIDMHktHinzKVs2eiN2Rnz5a8ew907SP0tyARAIuU&amp;usp=drive_copy</v>
      </c>
      <c r="E878" s="101" t="str">
        <v>https://drive.google.com/open?id=14xXIDMHktHinzKVs2eiN2Rnz5a8ew907SP0tyARAIuU</v>
      </c>
      <c r="F878" s="103" t="str">
        <f ca="1">IFERROR(__xludf.DUMMYFUNCTION("IMPORTRANGE(H878,""IDENTITAS UNIT!D9"")"),"https://maps.app.goo.gl/5Z4XuR4KfDydSU5e7")</f>
        <v>https://maps.app.goo.gl/5Z4XuR4KfDydSU5e7</v>
      </c>
      <c r="G878" s="4" t="s">
        <v>13334</v>
      </c>
      <c r="H878" s="101" t="str">
        <v>https://docs.google.com/spreadsheets/d/14xXIDMHktHinzKVs2eiN2Rnz5a8ew907SP0tyARAIuU</v>
      </c>
      <c r="I878" s="101" t="str">
        <v>https://docs.google.com/open?id=14xXIDMHktHinzKVs2eiN2Rnz5a8ew907SP0tyARAIuU</v>
      </c>
      <c r="J878" s="4" t="str">
        <v>Gluntung Kidul, Caturharjo, Pandak</v>
      </c>
      <c r="L878" s="99" t="str">
        <f ca="1">IFERROR(__xludf.DUMMYFUNCTION("IMPORTRANGE(H878,""IDENTITAS UNIT!D35"")"),"Firman Yoga Pratama")</f>
        <v>Firman Yoga Pratama</v>
      </c>
      <c r="M878" s="99" t="str">
        <f ca="1">IFERROR(__xludf.DUMMYFUNCTION("IMPORTRANGE(H878,""IDENTITAS UNIT!F35"")"),"PILIH SESUAI DENGAN NAMA YANG TERSEDIA")</f>
        <v>PILIH SESUAI DENGAN NAMA YANG TERSEDIA</v>
      </c>
    </row>
    <row r="879" spans="1:13" ht="49.5">
      <c r="A879" s="4" t="str">
        <v>Reguler Periode ke-119 IX.B.1</v>
      </c>
      <c r="B879" s="4" t="str">
        <v>Reguler Periode ke-119</v>
      </c>
      <c r="C879" s="4" t="str">
        <v>IX.B.1</v>
      </c>
      <c r="D879" s="101" t="str">
        <v>https://drive.google.com/open?id=15IFNGbKEJeYtpqeWbn1f6_jWdkkm-_yApAbXMfPaFOg&amp;usp=drive_copy</v>
      </c>
      <c r="E879" s="101" t="str">
        <v>https://drive.google.com/open?id=15IFNGbKEJeYtpqeWbn1f6_jWdkkm-_yApAbXMfPaFOg</v>
      </c>
      <c r="F879" s="103" t="str">
        <f ca="1">IFERROR(__xludf.DUMMYFUNCTION("IMPORTRANGE(H879,""IDENTITAS UNIT!D9"")"),"https://maps.app.goo.gl/6SSL92i4JPuj9NcF9?g_st=iw")</f>
        <v>https://maps.app.goo.gl/6SSL92i4JPuj9NcF9?g_st=iw</v>
      </c>
      <c r="G879" s="4" t="s">
        <v>13335</v>
      </c>
      <c r="H879" s="101" t="str">
        <v>https://docs.google.com/spreadsheets/d/15IFNGbKEJeYtpqeWbn1f6_jWdkkm-_yApAbXMfPaFOg</v>
      </c>
      <c r="I879" s="101" t="str">
        <v>https://docs.google.com/open?id=15IFNGbKEJeYtpqeWbn1f6_jWdkkm-_yApAbXMfPaFOg</v>
      </c>
      <c r="J879" s="4" t="str">
        <v>Gumulan, Caturharjo, Pandak</v>
      </c>
      <c r="L879" s="99" t="str">
        <f ca="1">IFERROR(__xludf.DUMMYFUNCTION("IMPORTRANGE(H879,""IDENTITAS UNIT!D35"")"),"Dien Rosada Zahra")</f>
        <v>Dien Rosada Zahra</v>
      </c>
      <c r="M879" s="99">
        <f ca="1">IFERROR(__xludf.DUMMYFUNCTION("IMPORTRANGE(H879,""IDENTITAS UNIT!F35"")"),2000023076)</f>
        <v>2000023076</v>
      </c>
    </row>
    <row r="880" spans="1:13" ht="49.5">
      <c r="A880" s="4" t="str">
        <v>Reguler Periode ke-119 IX.B.2</v>
      </c>
      <c r="B880" s="4" t="str">
        <v>Reguler Periode ke-119</v>
      </c>
      <c r="C880" s="4" t="str">
        <v>IX.B.2</v>
      </c>
      <c r="D880" s="101" t="str">
        <v>https://drive.google.com/open?id=15gskuiLJ7NnwRC3YF9-7hGMug8sEDze5zbG9chymo6U&amp;usp=drive_copy</v>
      </c>
      <c r="E880" s="101" t="str">
        <v>https://drive.google.com/open?id=15gskuiLJ7NnwRC3YF9-7hGMug8sEDze5zbG9chymo6U</v>
      </c>
      <c r="F880" s="103" t="str">
        <f ca="1">IFERROR(__xludf.DUMMYFUNCTION("IMPORTRANGE(H880,""IDENTITAS UNIT!D9"")"),"https://maps.app.goo.gl/8vdbDW1s4etBnmYB6")</f>
        <v>https://maps.app.goo.gl/8vdbDW1s4etBnmYB6</v>
      </c>
      <c r="G880" s="4" t="s">
        <v>13336</v>
      </c>
      <c r="H880" s="101" t="str">
        <v>https://docs.google.com/spreadsheets/d/15gskuiLJ7NnwRC3YF9-7hGMug8sEDze5zbG9chymo6U</v>
      </c>
      <c r="I880" s="101" t="str">
        <v>https://docs.google.com/open?id=15gskuiLJ7NnwRC3YF9-7hGMug8sEDze5zbG9chymo6U</v>
      </c>
      <c r="J880" s="4" t="str">
        <v>Tegal Sempu, Caturharjo, Pandak</v>
      </c>
      <c r="L880" s="99" t="str">
        <f ca="1">IFERROR(__xludf.DUMMYFUNCTION("IMPORTRANGE(H880,""IDENTITAS UNIT!D35"")"),"Rohmadoni Kokop")</f>
        <v>Rohmadoni Kokop</v>
      </c>
      <c r="M880" s="99">
        <f ca="1">IFERROR(__xludf.DUMMYFUNCTION("IMPORTRANGE(H880,""IDENTITAS UNIT!F35"")"),2000010005)</f>
        <v>2000010005</v>
      </c>
    </row>
    <row r="881" spans="1:13" ht="49.5">
      <c r="A881" s="4" t="str">
        <v>Reguler Periode ke-119 IX.B.3</v>
      </c>
      <c r="B881" s="4" t="str">
        <v>Reguler Periode ke-119</v>
      </c>
      <c r="C881" s="4" t="str">
        <v>IX.B.3</v>
      </c>
      <c r="D881" s="101" t="str">
        <v>https://drive.google.com/open?id=16Kzkc0An9X9x9gpUv8X_iRGhP2YimemOCL6bkkRmHK4&amp;usp=drive_copy</v>
      </c>
      <c r="E881" s="101" t="str">
        <v>https://drive.google.com/open?id=16Kzkc0An9X9x9gpUv8X_iRGhP2YimemOCL6bkkRmHK4</v>
      </c>
      <c r="F881" s="103" t="str">
        <f ca="1">IFERROR(__xludf.DUMMYFUNCTION("IMPORTRANGE(H881,""IDENTITAS UNIT!D9"")"),"https://maps.app.goo.gl/KwxeboZMV2zHriA36")</f>
        <v>https://maps.app.goo.gl/KwxeboZMV2zHriA36</v>
      </c>
      <c r="G881" s="4" t="s">
        <v>13337</v>
      </c>
      <c r="H881" s="101" t="str">
        <v>https://docs.google.com/spreadsheets/d/16Kzkc0An9X9x9gpUv8X_iRGhP2YimemOCL6bkkRmHK4</v>
      </c>
      <c r="I881" s="101" t="str">
        <v>https://docs.google.com/open?id=16Kzkc0An9X9x9gpUv8X_iRGhP2YimemOCL6bkkRmHK4</v>
      </c>
      <c r="J881" s="4" t="str">
        <v>Tunjungan, Caturharjo, Pandak</v>
      </c>
      <c r="L881" s="99" t="str">
        <f ca="1">IFERROR(__xludf.DUMMYFUNCTION("IMPORTRANGE(H881,""IDENTITAS UNIT!D35"")"),"Zahrotu Sekaring Arum")</f>
        <v>Zahrotu Sekaring Arum</v>
      </c>
      <c r="M881" s="99">
        <f ca="1">IFERROR(__xludf.DUMMYFUNCTION("IMPORTRANGE(H881,""IDENTITAS UNIT!F35"")"),2000013323)</f>
        <v>2000013323</v>
      </c>
    </row>
    <row r="882" spans="1:13" ht="49.5">
      <c r="A882" s="4" t="str">
        <v>Reguler Periode ke-119 IX.C.1</v>
      </c>
      <c r="B882" s="4" t="str">
        <v>Reguler Periode ke-119</v>
      </c>
      <c r="C882" s="4" t="str">
        <v>IX.C.1</v>
      </c>
      <c r="D882" s="101" t="str">
        <v>https://drive.google.com/open?id=17MjiVkq4-IqFDqhagMXOFs7HEgZc8AUeRGcXk72DUN8&amp;usp=drive_copy</v>
      </c>
      <c r="E882" s="101" t="str">
        <v>https://drive.google.com/open?id=17MjiVkq4-IqFDqhagMXOFs7HEgZc8AUeRGcXk72DUN8</v>
      </c>
      <c r="F882" s="103" t="str">
        <f ca="1">IFERROR(__xludf.DUMMYFUNCTION("IMPORTRANGE(H882,""IDENTITAS UNIT!D9"")"),"https://maps.app.goo.gl/EDFgVf4tRDqb5UHc9")</f>
        <v>https://maps.app.goo.gl/EDFgVf4tRDqb5UHc9</v>
      </c>
      <c r="G882" s="4" t="s">
        <v>13338</v>
      </c>
      <c r="H882" s="101" t="str">
        <v>https://docs.google.com/spreadsheets/d/17MjiVkq4-IqFDqhagMXOFs7HEgZc8AUeRGcXk72DUN8</v>
      </c>
      <c r="I882" s="101" t="str">
        <v>https://docs.google.com/open?id=17MjiVkq4-IqFDqhagMXOFs7HEgZc8AUeRGcXk72DUN8</v>
      </c>
      <c r="J882" s="4" t="str">
        <v>Krapakan, Caturharjo, Pandak</v>
      </c>
      <c r="L882" s="99" t="str">
        <f ca="1">IFERROR(__xludf.DUMMYFUNCTION("IMPORTRANGE(H882,""IDENTITAS UNIT!D35"")"),"Zhio Priandyca Mahendra Putra")</f>
        <v>Zhio Priandyca Mahendra Putra</v>
      </c>
      <c r="M882" s="99">
        <f ca="1">IFERROR(__xludf.DUMMYFUNCTION("IMPORTRANGE(H882,""IDENTITAS UNIT!F35"")"),2000010052)</f>
        <v>2000010052</v>
      </c>
    </row>
    <row r="883" spans="1:13" ht="49.5">
      <c r="A883" s="4" t="str">
        <v>Reguler Periode ke-119 IX.C.2</v>
      </c>
      <c r="B883" s="4" t="str">
        <v>Reguler Periode ke-119</v>
      </c>
      <c r="C883" s="4" t="str">
        <v>IX.C.2</v>
      </c>
      <c r="D883" s="101" t="str">
        <v>https://drive.google.com/open?id=18tSqRAUgcfwLQyGvD-S2v9IScY0XVSq6dLjtSiGUSvE&amp;usp=drive_copy</v>
      </c>
      <c r="E883" s="101" t="str">
        <v>https://drive.google.com/open?id=18tSqRAUgcfwLQyGvD-S2v9IScY0XVSq6dLjtSiGUSvE</v>
      </c>
      <c r="F883" s="103" t="str">
        <f ca="1">IFERROR(__xludf.DUMMYFUNCTION("IMPORTRANGE(H883,""IDENTITAS UNIT!D9"")"),"https://maps.app.goo.gl/n6ZpHi1TrgnEunyQ9")</f>
        <v>https://maps.app.goo.gl/n6ZpHi1TrgnEunyQ9</v>
      </c>
      <c r="G883" s="4" t="s">
        <v>13339</v>
      </c>
      <c r="H883" s="101" t="str">
        <v>https://docs.google.com/spreadsheets/d/18tSqRAUgcfwLQyGvD-S2v9IScY0XVSq6dLjtSiGUSvE</v>
      </c>
      <c r="I883" s="101" t="str">
        <v>https://docs.google.com/open?id=18tSqRAUgcfwLQyGvD-S2v9IScY0XVSq6dLjtSiGUSvE</v>
      </c>
      <c r="J883" s="4" t="str">
        <v>Samparan, Caturharjo, Pandak</v>
      </c>
      <c r="L883" s="99" t="str">
        <f ca="1">IFERROR(__xludf.DUMMYFUNCTION("IMPORTRANGE(H883,""IDENTITAS UNIT!D35"")"),"Muhammad Refan Al-Falaq")</f>
        <v>Muhammad Refan Al-Falaq</v>
      </c>
      <c r="M883" s="99">
        <f ca="1">IFERROR(__xludf.DUMMYFUNCTION("IMPORTRANGE(H883,""IDENTITAS UNIT!F35"")"),2000025108)</f>
        <v>2000025108</v>
      </c>
    </row>
    <row r="884" spans="1:13" ht="49.5">
      <c r="A884" s="4" t="str">
        <v>Reguler Periode ke-119 IX.C.3</v>
      </c>
      <c r="B884" s="4" t="str">
        <v>Reguler Periode ke-119</v>
      </c>
      <c r="C884" s="4" t="str">
        <v>IX.C.3</v>
      </c>
      <c r="D884" s="101" t="str">
        <v>https://drive.google.com/open?id=19FnX7C-DXErXS6trn4mjEWD4dtuoA1r-Qn99_iD6rnY&amp;usp=drive_copy</v>
      </c>
      <c r="E884" s="101" t="str">
        <v>https://drive.google.com/open?id=19FnX7C-DXErXS6trn4mjEWD4dtuoA1r-Qn99_iD6rnY</v>
      </c>
      <c r="F884" s="103" t="str">
        <f ca="1">IFERROR(__xludf.DUMMYFUNCTION("IMPORTRANGE(H884,""IDENTITAS UNIT!D9"")"),"https://maps.app.goo.gl/aCkMP4ebtXvHQkRj7?g_st=ic")</f>
        <v>https://maps.app.goo.gl/aCkMP4ebtXvHQkRj7?g_st=ic</v>
      </c>
      <c r="G884" s="4" t="s">
        <v>13340</v>
      </c>
      <c r="H884" s="101" t="str">
        <v>https://docs.google.com/spreadsheets/d/19FnX7C-DXErXS6trn4mjEWD4dtuoA1r-Qn99_iD6rnY</v>
      </c>
      <c r="I884" s="101" t="str">
        <v>https://docs.google.com/open?id=19FnX7C-DXErXS6trn4mjEWD4dtuoA1r-Qn99_iD6rnY</v>
      </c>
      <c r="J884" s="4" t="str">
        <v>Tegal Layang 9, Caturharjo, Pandak</v>
      </c>
      <c r="L884" s="99" t="str">
        <f ca="1">IFERROR(__xludf.DUMMYFUNCTION("IMPORTRANGE(H884,""IDENTITAS UNIT!D35"")"),"Fadel Muhammad Ikhsan")</f>
        <v>Fadel Muhammad Ikhsan</v>
      </c>
      <c r="M884" s="99">
        <f ca="1">IFERROR(__xludf.DUMMYFUNCTION("IMPORTRANGE(H884,""IDENTITAS UNIT!F35"")"),2000018366)</f>
        <v>2000018366</v>
      </c>
    </row>
    <row r="885" spans="1:13" ht="49.5">
      <c r="A885" s="4" t="str">
        <v>Reguler Periode ke-119 IX.D.1</v>
      </c>
      <c r="B885" s="4" t="str">
        <v>Reguler Periode ke-119</v>
      </c>
      <c r="C885" s="4" t="str">
        <v>IX.D.1</v>
      </c>
      <c r="D885" s="101" t="str">
        <v>https://drive.google.com/open?id=19yc9NmctTc2hyHNhanpq9BxpRXWOynRnf2imPsqdp28&amp;usp=drive_copy</v>
      </c>
      <c r="E885" s="101" t="str">
        <v>https://drive.google.com/open?id=19yc9NmctTc2hyHNhanpq9BxpRXWOynRnf2imPsqdp28</v>
      </c>
      <c r="F885" s="103" t="str">
        <f ca="1">IFERROR(__xludf.DUMMYFUNCTION("IMPORTRANGE(H885,""IDENTITAS UNIT!D9"")"),"https://maps.app.goo.gl/NuLzjQpXp5ZaAtxN8?g_st=iw")</f>
        <v>https://maps.app.goo.gl/NuLzjQpXp5ZaAtxN8?g_st=iw</v>
      </c>
      <c r="G885" s="4" t="s">
        <v>13341</v>
      </c>
      <c r="H885" s="101" t="str">
        <v>https://docs.google.com/spreadsheets/d/19yc9NmctTc2hyHNhanpq9BxpRXWOynRnf2imPsqdp28</v>
      </c>
      <c r="I885" s="101" t="str">
        <v>https://docs.google.com/open?id=19yc9NmctTc2hyHNhanpq9BxpRXWOynRnf2imPsqdp28</v>
      </c>
      <c r="J885" s="4" t="str">
        <v>Tegal Layang 10, Caturharjo, Pandak</v>
      </c>
      <c r="L885" s="99" t="str">
        <f ca="1">IFERROR(__xludf.DUMMYFUNCTION("IMPORTRANGE(H885,""IDENTITAS UNIT!D35"")"),"Muhammad Firhan Hudaya")</f>
        <v>Muhammad Firhan Hudaya</v>
      </c>
      <c r="M885" s="99">
        <f ca="1">IFERROR(__xludf.DUMMYFUNCTION("IMPORTRANGE(H885,""IDENTITAS UNIT!F35"")"),2000025088)</f>
        <v>2000025088</v>
      </c>
    </row>
    <row r="886" spans="1:13" ht="280.5">
      <c r="A886" s="4" t="str">
        <v>Reguler Periode ke-119 IX.D.2</v>
      </c>
      <c r="B886" s="4" t="str">
        <v>Reguler Periode ke-119</v>
      </c>
      <c r="C886" s="4" t="str">
        <v>IX.D.2</v>
      </c>
      <c r="D886" s="101" t="str">
        <v>https://drive.google.com/open?id=1Amt0-y4F0ARykCl4GHi4GdTbUECV1DIPWFC28NWNkfQ&amp;usp=drive_copy</v>
      </c>
      <c r="E886" s="101" t="str">
        <v>https://drive.google.com/open?id=1Amt0-y4F0ARykCl4GHi4GdTbUECV1DIPWFC28NWNkfQ</v>
      </c>
      <c r="F886" s="103" t="str">
        <f ca="1">IFERROR(__xludf.DUMMYFUNCTION("IMPORTRANGE(H886,""IDENTITAS UNIT!D9"")"),"https://www.google.com/maps/place/Jl.caturharjo,+Koro+Wejang,+Caturharjo,+Pandak,+Bantul+Regency,+Special+Region+of+Yogyakarta/@-7.9397294,110.2667625,17z/data=!3m1!4b1!4m6!3m5!1s0x2e7afe440231db67:0x502fc97e1c641fd0!8m2!3d-7.9397347!4d110.2693374!16s%2Fg"&amp;"%2F11g0t75kpw?entry=ttu")</f>
        <v>https://www.google.com/maps/place/Jl.caturharjo,+Koro+Wejang,+Caturharjo,+Pandak,+Bantul+Regency,+Special+Region+of+Yogyakarta/@-7.9397294,110.2667625,17z/data=!3m1!4b1!4m6!3m5!1s0x2e7afe440231db67:0x502fc97e1c641fd0!8m2!3d-7.9397347!4d110.2693374!16s%2Fg%2F11g0t75kpw?entry=ttu</v>
      </c>
      <c r="G886" s="4" t="s">
        <v>13342</v>
      </c>
      <c r="H886" s="101" t="str">
        <v>https://docs.google.com/spreadsheets/d/1Amt0-y4F0ARykCl4GHi4GdTbUECV1DIPWFC28NWNkfQ</v>
      </c>
      <c r="I886" s="101" t="str">
        <v>https://docs.google.com/open?id=1Amt0-y4F0ARykCl4GHi4GdTbUECV1DIPWFC28NWNkfQ</v>
      </c>
      <c r="J886" s="4" t="str">
        <v>Korowelang, Caturharjo, Pandak</v>
      </c>
      <c r="L886" s="99" t="str">
        <f ca="1">IFERROR(__xludf.DUMMYFUNCTION("IMPORTRANGE(H886,""IDENTITAS UNIT!D35"")"),"Jhorgi Gheovani Elbet")</f>
        <v>Jhorgi Gheovani Elbet</v>
      </c>
      <c r="M886" s="99">
        <f ca="1">IFERROR(__xludf.DUMMYFUNCTION("IMPORTRANGE(H886,""IDENTITAS UNIT!F35"")"),2000018217)</f>
        <v>2000018217</v>
      </c>
    </row>
    <row r="887" spans="1:13" ht="49.5">
      <c r="A887" s="4" t="str">
        <v>Reguler Periode ke-119 IX.D.3</v>
      </c>
      <c r="B887" s="4" t="str">
        <v>Reguler Periode ke-119</v>
      </c>
      <c r="C887" s="4" t="str">
        <v>IX.D.3</v>
      </c>
      <c r="D887" s="101" t="str">
        <v>https://drive.google.com/open?id=1BoVERwmQ-a-yGG-PS5iIrmdlddaP1FQW59uBgpAPkUs&amp;usp=drive_copy</v>
      </c>
      <c r="E887" s="101" t="str">
        <v>https://drive.google.com/open?id=1BoVERwmQ-a-yGG-PS5iIrmdlddaP1FQW59uBgpAPkUs</v>
      </c>
      <c r="F887" s="103" t="str">
        <f ca="1">IFERROR(__xludf.DUMMYFUNCTION("IMPORTRANGE(H887,""IDENTITAS UNIT!D9"")"),"https://maps.app.goo.gl/MRqba3xDJ2HvQDoy6")</f>
        <v>https://maps.app.goo.gl/MRqba3xDJ2HvQDoy6</v>
      </c>
      <c r="G887" s="4" t="s">
        <v>13343</v>
      </c>
      <c r="H887" s="101" t="str">
        <v>https://docs.google.com/spreadsheets/d/1BoVERwmQ-a-yGG-PS5iIrmdlddaP1FQW59uBgpAPkUs</v>
      </c>
      <c r="I887" s="101" t="str">
        <v>https://docs.google.com/open?id=1BoVERwmQ-a-yGG-PS5iIrmdlddaP1FQW59uBgpAPkUs</v>
      </c>
      <c r="J887" s="4" t="str">
        <v>Kuroboyo, Caturharjo, Pandak</v>
      </c>
      <c r="L887" s="99" t="str">
        <f ca="1">IFERROR(__xludf.DUMMYFUNCTION("IMPORTRANGE(H887,""IDENTITAS UNIT!D35"")"),"Firda Khuzaimah Isnaini")</f>
        <v>Firda Khuzaimah Isnaini</v>
      </c>
      <c r="M887" s="99">
        <f ca="1">IFERROR(__xludf.DUMMYFUNCTION("IMPORTRANGE(H887,""IDENTITAS UNIT!F35"")"),2000013100)</f>
        <v>2000013100</v>
      </c>
    </row>
    <row r="888" spans="1:13" ht="49.5">
      <c r="A888" s="4" t="str">
        <v>Reguler Periode ke-119 X.A.1</v>
      </c>
      <c r="B888" s="4" t="str">
        <v>Reguler Periode ke-119</v>
      </c>
      <c r="C888" s="4" t="str">
        <v>X.A.1</v>
      </c>
      <c r="D888" s="101" t="str">
        <v>https://drive.google.com/open?id=1CMv1lSTwVVLlKgXC1iVk9cQ26fx-WnQDcg8x8ksQ9WY&amp;usp=drive_copy</v>
      </c>
      <c r="E888" s="101" t="str">
        <v>https://drive.google.com/open?id=1CMv1lSTwVVLlKgXC1iVk9cQ26fx-WnQDcg8x8ksQ9WY</v>
      </c>
      <c r="F888" s="103" t="str">
        <f ca="1">IFERROR(__xludf.DUMMYFUNCTION("IMPORTRANGE(H888,""IDENTITAS UNIT!D9"")"),"https://maps.app.goo.gl/b9FAjoUfiqUmrcRz9?g_st=ic ")</f>
        <v xml:space="preserve">https://maps.app.goo.gl/b9FAjoUfiqUmrcRz9?g_st=ic </v>
      </c>
      <c r="G888" s="4" t="s">
        <v>13344</v>
      </c>
      <c r="H888" s="101" t="str">
        <v>https://docs.google.com/spreadsheets/d/1CMv1lSTwVVLlKgXC1iVk9cQ26fx-WnQDcg8x8ksQ9WY</v>
      </c>
      <c r="I888" s="101" t="str">
        <v>https://docs.google.com/open?id=1CMv1lSTwVVLlKgXC1iVk9cQ26fx-WnQDcg8x8ksQ9WY</v>
      </c>
      <c r="J888" s="4" t="str">
        <v>Glagahan, Caturharjo, Pandak</v>
      </c>
      <c r="L888" s="99" t="str">
        <f ca="1">IFERROR(__xludf.DUMMYFUNCTION("IMPORTRANGE(H888,""IDENTITAS UNIT!D35"")"),"Lituhayu Liyudza Dwiagda Maheswari")</f>
        <v>Lituhayu Liyudza Dwiagda Maheswari</v>
      </c>
      <c r="M888" s="99" t="str">
        <f ca="1">IFERROR(__xludf.DUMMYFUNCTION("IMPORTRANGE(H888,""IDENTITAS UNIT!F35"")"),"PILIH SESUAI DENGAN NAMA YANG TERSEDIA")</f>
        <v>PILIH SESUAI DENGAN NAMA YANG TERSEDIA</v>
      </c>
    </row>
    <row r="889" spans="1:13" ht="49.5">
      <c r="A889" s="4" t="str">
        <v>Reguler Periode ke-119 X.A.2</v>
      </c>
      <c r="B889" s="4" t="str">
        <v>Reguler Periode ke-119</v>
      </c>
      <c r="C889" s="4" t="str">
        <v>X.A.2</v>
      </c>
      <c r="D889" s="101" t="str">
        <v>https://drive.google.com/open?id=1DE2t0QXu5zy-D3SIpM-HzPtPAJOjoyyE6cov2Draufo&amp;usp=drive_copy</v>
      </c>
      <c r="E889" s="101" t="str">
        <v>https://drive.google.com/open?id=1DE2t0QXu5zy-D3SIpM-HzPtPAJOjoyyE6cov2Draufo</v>
      </c>
      <c r="F889" s="103" t="str">
        <f ca="1">IFERROR(__xludf.DUMMYFUNCTION("IMPORTRANGE(H889,""IDENTITAS UNIT!D9"")"),"https://maps.app.goo.gl/ejzuE921kYXcLp4x7")</f>
        <v>https://maps.app.goo.gl/ejzuE921kYXcLp4x7</v>
      </c>
      <c r="G889" s="4" t="s">
        <v>13345</v>
      </c>
      <c r="H889" s="101" t="str">
        <v>https://docs.google.com/spreadsheets/d/1DE2t0QXu5zy-D3SIpM-HzPtPAJOjoyyE6cov2Draufo</v>
      </c>
      <c r="I889" s="101" t="str">
        <v>https://docs.google.com/open?id=1DE2t0QXu5zy-D3SIpM-HzPtPAJOjoyyE6cov2Draufo</v>
      </c>
      <c r="J889" s="4" t="str">
        <v>Bogem, Caturharjo, Pandak</v>
      </c>
      <c r="L889" s="99" t="str">
        <f ca="1">IFERROR(__xludf.DUMMYFUNCTION("IMPORTRANGE(H889,""IDENTITAS UNIT!D35"")"),"Arindra Fajri Dewantara")</f>
        <v>Arindra Fajri Dewantara</v>
      </c>
      <c r="M889" s="99">
        <f ca="1">IFERROR(__xludf.DUMMYFUNCTION("IMPORTRANGE(H889,""IDENTITAS UNIT!F35"")"),2000018401)</f>
        <v>2000018401</v>
      </c>
    </row>
    <row r="890" spans="1:13" ht="49.5">
      <c r="A890" s="4" t="str">
        <v>Reguler Periode ke-119 X.A.3</v>
      </c>
      <c r="B890" s="4" t="str">
        <v>Reguler Periode ke-119</v>
      </c>
      <c r="C890" s="4" t="str">
        <v>X.A.3</v>
      </c>
      <c r="D890" s="101" t="str">
        <v>https://drive.google.com/open?id=1DR4a8V1eMTqjMyeFxwmA12QFvAEKcMRA5SbChnS7qFo&amp;usp=drive_copy</v>
      </c>
      <c r="E890" s="101" t="str">
        <v>https://drive.google.com/open?id=1DR4a8V1eMTqjMyeFxwmA12QFvAEKcMRA5SbChnS7qFo</v>
      </c>
      <c r="F890" s="103" t="str">
        <f ca="1">IFERROR(__xludf.DUMMYFUNCTION("IMPORTRANGE(H890,""IDENTITAS UNIT!D9"")"),"https://maps.app.goo.gl/a4kk5qmGnEAUym2M6")</f>
        <v>https://maps.app.goo.gl/a4kk5qmGnEAUym2M6</v>
      </c>
      <c r="G890" s="4" t="s">
        <v>13346</v>
      </c>
      <c r="H890" s="101" t="str">
        <v>https://docs.google.com/spreadsheets/d/1DR4a8V1eMTqjMyeFxwmA12QFvAEKcMRA5SbChnS7qFo</v>
      </c>
      <c r="I890" s="101" t="str">
        <v>https://docs.google.com/open?id=1DR4a8V1eMTqjMyeFxwmA12QFvAEKcMRA5SbChnS7qFo</v>
      </c>
      <c r="J890" s="4" t="str">
        <v>Kuroboyo, Caturharjo, Pandak</v>
      </c>
      <c r="L890" s="99" t="str">
        <f ca="1">IFERROR(__xludf.DUMMYFUNCTION("IMPORTRANGE(H890,""IDENTITAS UNIT!D35"")"),"Rezka Yason Saputro")</f>
        <v>Rezka Yason Saputro</v>
      </c>
      <c r="M890" s="99">
        <f ca="1">IFERROR(__xludf.DUMMYFUNCTION("IMPORTRANGE(H890,""IDENTITAS UNIT!F35"")"),2000010111)</f>
        <v>2000010111</v>
      </c>
    </row>
    <row r="891" spans="1:13" ht="49.5">
      <c r="A891" s="4" t="str">
        <v>Reguler Periode ke-119 X.B.1</v>
      </c>
      <c r="B891" s="4" t="str">
        <v>Reguler Periode ke-119</v>
      </c>
      <c r="C891" s="4" t="str">
        <v>X.B.1</v>
      </c>
      <c r="D891" s="101" t="str">
        <v>https://drive.google.com/open?id=1DreTUPvjfwZfdMHJ0RV1WXRdDItjSBuo1SnpO1WX0Bg&amp;usp=drive_copy</v>
      </c>
      <c r="E891" s="101" t="str">
        <v>https://drive.google.com/open?id=1DreTUPvjfwZfdMHJ0RV1WXRdDItjSBuo1SnpO1WX0Bg</v>
      </c>
      <c r="F891" s="103" t="str">
        <f ca="1">IFERROR(__xludf.DUMMYFUNCTION("IMPORTRANGE(H891,""IDENTITAS UNIT!D9"")"),"https://maps.app.goo.gl/eCxXjsKKZKGiNAqH9")</f>
        <v>https://maps.app.goo.gl/eCxXjsKKZKGiNAqH9</v>
      </c>
      <c r="G891" s="4" t="s">
        <v>13347</v>
      </c>
      <c r="H891" s="101" t="str">
        <v>https://docs.google.com/spreadsheets/d/1DreTUPvjfwZfdMHJ0RV1WXRdDItjSBuo1SnpO1WX0Bg</v>
      </c>
      <c r="I891" s="101" t="str">
        <v>https://docs.google.com/open?id=1DreTUPvjfwZfdMHJ0RV1WXRdDItjSBuo1SnpO1WX0Bg</v>
      </c>
      <c r="J891" s="4" t="str">
        <v>Korowelang, Caturharjo, Pandak</v>
      </c>
      <c r="L891" s="99" t="str">
        <f ca="1">IFERROR(__xludf.DUMMYFUNCTION("IMPORTRANGE(H891,""IDENTITAS UNIT!D35"")"),"Dito Wijayatno")</f>
        <v>Dito Wijayatno</v>
      </c>
      <c r="M891" s="99">
        <f ca="1">IFERROR(__xludf.DUMMYFUNCTION("IMPORTRANGE(H891,""IDENTITAS UNIT!F35"")"),2000010013)</f>
        <v>2000010013</v>
      </c>
    </row>
    <row r="892" spans="1:13" ht="49.5">
      <c r="A892" s="4" t="str">
        <v>Reguler Periode ke-119 X.B.2</v>
      </c>
      <c r="B892" s="4" t="str">
        <v>Reguler Periode ke-119</v>
      </c>
      <c r="C892" s="4" t="str">
        <v>X.B.2</v>
      </c>
      <c r="D892" s="101" t="str">
        <v>https://drive.google.com/open?id=1EZrU53gtJdwsEYuNiHOgrMRTrEKmUh9hNrRFMLVCOGw&amp;usp=drive_copy</v>
      </c>
      <c r="E892" s="101" t="str">
        <v>https://drive.google.com/open?id=1EZrU53gtJdwsEYuNiHOgrMRTrEKmUh9hNrRFMLVCOGw</v>
      </c>
      <c r="F892" s="103" t="str">
        <f ca="1">IFERROR(__xludf.DUMMYFUNCTION("IMPORTRANGE(H892,""IDENTITAS UNIT!D9"")"),"https://maps.app.goo.gl/Wo8WZzfrRfjqDemX6")</f>
        <v>https://maps.app.goo.gl/Wo8WZzfrRfjqDemX6</v>
      </c>
      <c r="G892" s="4" t="s">
        <v>13348</v>
      </c>
      <c r="H892" s="101" t="str">
        <v>https://docs.google.com/spreadsheets/d/1EZrU53gtJdwsEYuNiHOgrMRTrEKmUh9hNrRFMLVCOGw</v>
      </c>
      <c r="I892" s="101" t="str">
        <v>https://docs.google.com/open?id=1EZrU53gtJdwsEYuNiHOgrMRTrEKmUh9hNrRFMLVCOGw</v>
      </c>
      <c r="J892" s="4" t="str">
        <v>Pandak, Wijirejo, Pandak</v>
      </c>
      <c r="L892" s="99" t="str">
        <f ca="1">IFERROR(__xludf.DUMMYFUNCTION("IMPORTRANGE(H892,""IDENTITAS UNIT!D35"")"),"M. Syahril Rais")</f>
        <v>M. Syahril Rais</v>
      </c>
      <c r="M892" s="99">
        <f ca="1">IFERROR(__xludf.DUMMYFUNCTION("IMPORTRANGE(H892,""IDENTITAS UNIT!F35"")"),2000018365)</f>
        <v>2000018365</v>
      </c>
    </row>
    <row r="893" spans="1:13" ht="49.5">
      <c r="A893" s="4" t="str">
        <v>Reguler Periode ke-119 X.B.3</v>
      </c>
      <c r="B893" s="4" t="str">
        <v>Reguler Periode ke-119</v>
      </c>
      <c r="C893" s="4" t="str">
        <v>X.B.3</v>
      </c>
      <c r="D893" s="101" t="str">
        <v>https://drive.google.com/open?id=1Gj9Obdt_pt5xjryTJUUUqjMAzeze1zxwe0ZY2vIEEPc&amp;usp=drive_copy</v>
      </c>
      <c r="E893" s="101" t="str">
        <v>https://drive.google.com/open?id=1Gj9Obdt_pt5xjryTJUUUqjMAzeze1zxwe0ZY2vIEEPc</v>
      </c>
      <c r="F893" s="103" t="str">
        <f ca="1">IFERROR(__xludf.DUMMYFUNCTION("IMPORTRANGE(H893,""IDENTITAS UNIT!D9"")"),"https://maps.app.goo.gl/rRFWvZfGCqCRhcME7")</f>
        <v>https://maps.app.goo.gl/rRFWvZfGCqCRhcME7</v>
      </c>
      <c r="G893" s="4" t="s">
        <v>13349</v>
      </c>
      <c r="H893" s="101" t="str">
        <v>https://docs.google.com/spreadsheets/d/1Gj9Obdt_pt5xjryTJUUUqjMAzeze1zxwe0ZY2vIEEPc</v>
      </c>
      <c r="I893" s="101" t="str">
        <v>https://docs.google.com/open?id=1Gj9Obdt_pt5xjryTJUUUqjMAzeze1zxwe0ZY2vIEEPc</v>
      </c>
      <c r="J893" s="4" t="str">
        <v>Bajang, Wijirejo, Pandak</v>
      </c>
      <c r="L893" s="99" t="str">
        <f ca="1">IFERROR(__xludf.DUMMYFUNCTION("IMPORTRANGE(H893,""IDENTITAS UNIT!D35"")"),"Elasarmasela")</f>
        <v>Elasarmasela</v>
      </c>
      <c r="M893" s="99">
        <f ca="1">IFERROR(__xludf.DUMMYFUNCTION("IMPORTRANGE(H893,""IDENTITAS UNIT!F35"")"),1900014025)</f>
        <v>1900014025</v>
      </c>
    </row>
    <row r="894" spans="1:13" ht="49.5">
      <c r="A894" s="4" t="str">
        <v>Reguler Periode ke-119 X.C.1</v>
      </c>
      <c r="B894" s="4" t="str">
        <v>Reguler Periode ke-119</v>
      </c>
      <c r="C894" s="4" t="str">
        <v>X.C.1</v>
      </c>
      <c r="D894" s="101" t="str">
        <v>https://drive.google.com/open?id=1Hv6VNG6hlABhvRK5K9_0ZFagpo-NXNhJcAbMzbVL--Q&amp;usp=drive_copy</v>
      </c>
      <c r="E894" s="101" t="str">
        <v>https://drive.google.com/open?id=1Hv6VNG6hlABhvRK5K9_0ZFagpo-NXNhJcAbMzbVL--Q</v>
      </c>
      <c r="F894" s="103" t="str">
        <f ca="1">IFERROR(__xludf.DUMMYFUNCTION("IMPORTRANGE(H894,""IDENTITAS UNIT!D9"")"),"https://maps.app.goo.gl/WjYGHyjiyY7ER54K8")</f>
        <v>https://maps.app.goo.gl/WjYGHyjiyY7ER54K8</v>
      </c>
      <c r="G894" s="4" t="s">
        <v>13350</v>
      </c>
      <c r="H894" s="101" t="str">
        <v>https://docs.google.com/spreadsheets/d/1Hv6VNG6hlABhvRK5K9_0ZFagpo-NXNhJcAbMzbVL--Q</v>
      </c>
      <c r="I894" s="101" t="str">
        <v>https://docs.google.com/open?id=1Hv6VNG6hlABhvRK5K9_0ZFagpo-NXNhJcAbMzbVL--Q</v>
      </c>
      <c r="J894" s="4" t="str">
        <v>Gesikan 3, Wijirejo, Pandak</v>
      </c>
      <c r="L894" s="99" t="str">
        <f ca="1">IFERROR(__xludf.DUMMYFUNCTION("IMPORTRANGE(H894,""IDENTITAS UNIT!D35"")"),"Arif Dwi Nugroho")</f>
        <v>Arif Dwi Nugroho</v>
      </c>
      <c r="M894" s="99">
        <f ca="1">IFERROR(__xludf.DUMMYFUNCTION("IMPORTRANGE(H894,""IDENTITAS UNIT!F35"")"),2000018335)</f>
        <v>2000018335</v>
      </c>
    </row>
    <row r="895" spans="1:13" ht="49.5">
      <c r="A895" s="4" t="str">
        <v>Reguler Periode ke-119 X.C.2</v>
      </c>
      <c r="B895" s="4" t="str">
        <v>Reguler Periode ke-119</v>
      </c>
      <c r="C895" s="4" t="str">
        <v>X.C.2</v>
      </c>
      <c r="D895" s="101" t="str">
        <v>https://drive.google.com/open?id=1J56tQGx5mtEW15sjHpVWJmBCL1_B-Xd1BtU1Ls_yCOc&amp;usp=drive_copy</v>
      </c>
      <c r="E895" s="101" t="str">
        <v>https://drive.google.com/open?id=1J56tQGx5mtEW15sjHpVWJmBCL1_B-Xd1BtU1Ls_yCOc</v>
      </c>
      <c r="F895" s="103" t="str">
        <f ca="1">IFERROR(__xludf.DUMMYFUNCTION("IMPORTRANGE(H895,""IDENTITAS UNIT!D9"")"),"https://maps.app.goo.gl/MTr6gaZnpQNKZi74A")</f>
        <v>https://maps.app.goo.gl/MTr6gaZnpQNKZi74A</v>
      </c>
      <c r="G895" s="4" t="s">
        <v>13351</v>
      </c>
      <c r="H895" s="101" t="str">
        <v>https://docs.google.com/spreadsheets/d/1J56tQGx5mtEW15sjHpVWJmBCL1_B-Xd1BtU1Ls_yCOc</v>
      </c>
      <c r="I895" s="101" t="str">
        <v>https://docs.google.com/open?id=1J56tQGx5mtEW15sjHpVWJmBCL1_B-Xd1BtU1Ls_yCOc</v>
      </c>
      <c r="J895" s="4" t="str">
        <v>Gesikan 4, Wijirejo, Pandak</v>
      </c>
      <c r="L895" s="99" t="str">
        <f ca="1">IFERROR(__xludf.DUMMYFUNCTION("IMPORTRANGE(H895,""IDENTITAS UNIT!D35"")"),"Anggi Anggraini")</f>
        <v>Anggi Anggraini</v>
      </c>
      <c r="M895" s="99">
        <f ca="1">IFERROR(__xludf.DUMMYFUNCTION("IMPORTRANGE(H895,""IDENTITAS UNIT!F35"")"),2000014002)</f>
        <v>2000014002</v>
      </c>
    </row>
    <row r="896" spans="1:13" ht="49.5">
      <c r="A896" s="4" t="str">
        <v>Reguler Periode ke-119 X.C.3</v>
      </c>
      <c r="B896" s="4" t="str">
        <v>Reguler Periode ke-119</v>
      </c>
      <c r="C896" s="4" t="str">
        <v>X.C.3</v>
      </c>
      <c r="D896" s="101" t="str">
        <v>https://drive.google.com/open?id=1JX5AXL24KPqv1kxPnPeXQjYkHRZoOYrTG4bk8cOzoII&amp;usp=drive_copy</v>
      </c>
      <c r="E896" s="101" t="str">
        <v>https://drive.google.com/open?id=1JX5AXL24KPqv1kxPnPeXQjYkHRZoOYrTG4bk8cOzoII</v>
      </c>
      <c r="F896" s="103" t="str">
        <f ca="1">IFERROR(__xludf.DUMMYFUNCTION("IMPORTRANGE(H896,""IDENTITAS UNIT!D9"")"),"https://maps.app.goo.gl/3SzZmFQ5m7aejaeF7")</f>
        <v>https://maps.app.goo.gl/3SzZmFQ5m7aejaeF7</v>
      </c>
      <c r="G896" s="4" t="s">
        <v>13352</v>
      </c>
      <c r="H896" s="101" t="str">
        <v>https://docs.google.com/spreadsheets/d/1JX5AXL24KPqv1kxPnPeXQjYkHRZoOYrTG4bk8cOzoII</v>
      </c>
      <c r="I896" s="101" t="str">
        <v>https://docs.google.com/open?id=1JX5AXL24KPqv1kxPnPeXQjYkHRZoOYrTG4bk8cOzoII</v>
      </c>
      <c r="J896" s="4" t="str">
        <v>Bergan, Wijirejo, Pandak</v>
      </c>
      <c r="L896" s="99" t="str">
        <f ca="1">IFERROR(__xludf.DUMMYFUNCTION("IMPORTRANGE(H896,""IDENTITAS UNIT!D35"")"),"Nurul Inayah")</f>
        <v>Nurul Inayah</v>
      </c>
      <c r="M896" s="99">
        <f ca="1">IFERROR(__xludf.DUMMYFUNCTION("IMPORTRANGE(H896,""IDENTITAS UNIT!F35"")"),2000014006)</f>
        <v>2000014006</v>
      </c>
    </row>
    <row r="897" spans="1:13" ht="49.5">
      <c r="A897" s="4" t="str">
        <v>Reguler Periode ke-119 X.D.1</v>
      </c>
      <c r="B897" s="4" t="str">
        <v>Reguler Periode ke-119</v>
      </c>
      <c r="C897" s="4" t="str">
        <v>X.D.1</v>
      </c>
      <c r="D897" s="101" t="str">
        <v>https://drive.google.com/open?id=1LqfVSef_aOuCX_dREDH3UXrgYQQU0JmKN_DM1HCw0RY&amp;usp=drive_copy</v>
      </c>
      <c r="E897" s="101" t="str">
        <v>https://drive.google.com/open?id=1LqfVSef_aOuCX_dREDH3UXrgYQQU0JmKN_DM1HCw0RY</v>
      </c>
      <c r="F897" s="103" t="str">
        <f ca="1">IFERROR(__xludf.DUMMYFUNCTION("IMPORTRANGE(H897,""IDENTITAS UNIT!D9"")"),"https://goo.gl/maps/bsukEdZcroK8y8Am7")</f>
        <v>https://goo.gl/maps/bsukEdZcroK8y8Am7</v>
      </c>
      <c r="G897" s="4" t="s">
        <v>13353</v>
      </c>
      <c r="H897" s="101" t="str">
        <v>https://docs.google.com/spreadsheets/d/1LqfVSef_aOuCX_dREDH3UXrgYQQU0JmKN_DM1HCw0RY</v>
      </c>
      <c r="I897" s="101" t="str">
        <v>https://docs.google.com/open?id=1LqfVSef_aOuCX_dREDH3UXrgYQQU0JmKN_DM1HCw0RY</v>
      </c>
      <c r="J897" s="4" t="str">
        <v>Ngeblak, Wijirejo, Pandak</v>
      </c>
      <c r="L897" s="99" t="str">
        <f ca="1">IFERROR(__xludf.DUMMYFUNCTION("IMPORTRANGE(H897,""IDENTITAS UNIT!D35"")"),"Muzarekita Mangunsong")</f>
        <v>Muzarekita Mangunsong</v>
      </c>
      <c r="M897" s="99" t="str">
        <f ca="1">IFERROR(__xludf.DUMMYFUNCTION("IMPORTRANGE(H897,""IDENTITAS UNIT!F35"")"),"PILIH SESUAI DENGAN NAMA YANG TERSEDIA")</f>
        <v>PILIH SESUAI DENGAN NAMA YANG TERSEDIA</v>
      </c>
    </row>
    <row r="898" spans="1:13" ht="49.5">
      <c r="A898" s="4" t="str">
        <v>Reguler Periode ke-119 X.D.2</v>
      </c>
      <c r="B898" s="4" t="str">
        <v>Reguler Periode ke-119</v>
      </c>
      <c r="C898" s="4" t="str">
        <v>X.D.2</v>
      </c>
      <c r="D898" s="101" t="str">
        <v>https://drive.google.com/open?id=1NN1Kv0MfkYlHQUur9jCYPZ5bjPeTbmp8ZoqC6VmnXao&amp;usp=drive_copy</v>
      </c>
      <c r="E898" s="101" t="str">
        <v>https://drive.google.com/open?id=1NN1Kv0MfkYlHQUur9jCYPZ5bjPeTbmp8ZoqC6VmnXao</v>
      </c>
      <c r="F898" s="103" t="str">
        <f ca="1">IFERROR(__xludf.DUMMYFUNCTION("IMPORTRANGE(H898,""IDENTITAS UNIT!D9"")"),"https://maps.app.goo.gl/995i3ozMhyfdFJYF7")</f>
        <v>https://maps.app.goo.gl/995i3ozMhyfdFJYF7</v>
      </c>
      <c r="G898" s="4" t="s">
        <v>13354</v>
      </c>
      <c r="H898" s="101" t="str">
        <v>https://docs.google.com/spreadsheets/d/1NN1Kv0MfkYlHQUur9jCYPZ5bjPeTbmp8ZoqC6VmnXao</v>
      </c>
      <c r="I898" s="101" t="str">
        <v>https://docs.google.com/open?id=1NN1Kv0MfkYlHQUur9jCYPZ5bjPeTbmp8ZoqC6VmnXao</v>
      </c>
      <c r="J898" s="4" t="str">
        <v>Pedak, Wijirejo, Pandak</v>
      </c>
      <c r="L898" s="99" t="str">
        <f ca="1">IFERROR(__xludf.DUMMYFUNCTION("IMPORTRANGE(H898,""IDENTITAS UNIT!D35"")"),"Alwi Nurshobroni")</f>
        <v>Alwi Nurshobroni</v>
      </c>
      <c r="M898" s="99">
        <f ca="1">IFERROR(__xludf.DUMMYFUNCTION("IMPORTRANGE(H898,""IDENTITAS UNIT!F35"")"),2000026208)</f>
        <v>2000026208</v>
      </c>
    </row>
    <row r="899" spans="1:13" ht="49.5">
      <c r="A899" s="4" t="str">
        <v>Reguler Periode ke-119 X.D.3</v>
      </c>
      <c r="B899" s="4" t="str">
        <v>Reguler Periode ke-119</v>
      </c>
      <c r="C899" s="4" t="str">
        <v>X.D.3</v>
      </c>
      <c r="D899" s="101" t="str">
        <v>https://drive.google.com/open?id=1OOHMI232_oP5oX8fS28pYSkDNtpR-MiqpIFkHZYrjJE&amp;usp=drive_copy</v>
      </c>
      <c r="E899" s="101" t="str">
        <v>https://drive.google.com/open?id=1OOHMI232_oP5oX8fS28pYSkDNtpR-MiqpIFkHZYrjJE</v>
      </c>
      <c r="F899" s="103" t="str">
        <f ca="1">IFERROR(__xludf.DUMMYFUNCTION("IMPORTRANGE(H899,""IDENTITAS UNIT!D9"")"),"https://maps.app.goo.gl/7syqyAYTecgp8FGV9")</f>
        <v>https://maps.app.goo.gl/7syqyAYTecgp8FGV9</v>
      </c>
      <c r="G899" s="4" t="s">
        <v>13355</v>
      </c>
      <c r="H899" s="101" t="str">
        <v>https://docs.google.com/spreadsheets/d/1OOHMI232_oP5oX8fS28pYSkDNtpR-MiqpIFkHZYrjJE</v>
      </c>
      <c r="I899" s="101" t="str">
        <v>https://docs.google.com/open?id=1OOHMI232_oP5oX8fS28pYSkDNtpR-MiqpIFkHZYrjJE</v>
      </c>
      <c r="J899" s="4" t="str">
        <v>Kauman, Wijirejo, Pandak</v>
      </c>
      <c r="L899" s="99" t="str">
        <f ca="1">IFERROR(__xludf.DUMMYFUNCTION("IMPORTRANGE(H899,""IDENTITAS UNIT!D35"")"),"Iqbal Manaf")</f>
        <v>Iqbal Manaf</v>
      </c>
      <c r="M899" s="99">
        <f ca="1">IFERROR(__xludf.DUMMYFUNCTION("IMPORTRANGE(H899,""IDENTITAS UNIT!F35"")"),2000010044)</f>
        <v>2000010044</v>
      </c>
    </row>
    <row r="900" spans="1:13" ht="181.5">
      <c r="A900" s="4" t="str">
        <v>Reguler Periode ke-119 XI.A.1</v>
      </c>
      <c r="B900" s="4" t="str">
        <v>Reguler Periode ke-119</v>
      </c>
      <c r="C900" s="4" t="str">
        <v>XI.A.1</v>
      </c>
      <c r="D900" s="101" t="str">
        <v>https://drive.google.com/open?id=1PBVCKZ15LG3PK_khMQh4cShqvtx1Rtou_3tp6Hitfkc&amp;usp=drive_copy</v>
      </c>
      <c r="E900" s="101" t="str">
        <v>https://drive.google.com/open?id=1PBVCKZ15LG3PK_khMQh4cShqvtx1Rtou_3tp6Hitfkc</v>
      </c>
      <c r="F900" s="103" t="str">
        <f ca="1">IFERROR(__xludf.DUMMYFUNCTION("IMPORTRANGE(H900,""IDENTITAS UNIT!D9"")"),"https://www.google.com/maps/place/7%C2%B054'32.2%22S+110%C2%B017'27.8%22E/@-7.9089444,110.2910556,17z/data=!3m1!4b1!4m4!3m3!8m2!3d-7.9089444!4d110.2910556?entry=ttu")</f>
        <v>https://www.google.com/maps/place/7%C2%B054'32.2%22S+110%C2%B017'27.8%22E/@-7.9089444,110.2910556,17z/data=!3m1!4b1!4m4!3m3!8m2!3d-7.9089444!4d110.2910556?entry=ttu</v>
      </c>
      <c r="G900" s="4" t="s">
        <v>13356</v>
      </c>
      <c r="H900" s="101" t="str">
        <v>https://docs.google.com/spreadsheets/d/1PBVCKZ15LG3PK_khMQh4cShqvtx1Rtou_3tp6Hitfkc</v>
      </c>
      <c r="I900" s="101" t="str">
        <v>https://docs.google.com/open?id=1PBVCKZ15LG3PK_khMQh4cShqvtx1Rtou_3tp6Hitfkc</v>
      </c>
      <c r="J900" s="4" t="str">
        <v>Gedongsari, Wijirejo, Pandak</v>
      </c>
      <c r="L900" s="99" t="str">
        <f ca="1">IFERROR(__xludf.DUMMYFUNCTION("IMPORTRANGE(H900,""IDENTITAS UNIT!D35"")"),"Mohammad Amirul Kurniawan Putranto")</f>
        <v>Mohammad Amirul Kurniawan Putranto</v>
      </c>
      <c r="M900" s="99" t="str">
        <f ca="1">IFERROR(__xludf.DUMMYFUNCTION("IMPORTRANGE(H900,""IDENTITAS UNIT!F35"")"),"PILIH SESUAI DENGAN NAMA YANG TERSEDIA")</f>
        <v>PILIH SESUAI DENGAN NAMA YANG TERSEDIA</v>
      </c>
    </row>
    <row r="901" spans="1:13" ht="49.5">
      <c r="A901" s="4" t="str">
        <v>Reguler Periode ke-119 XI.A.2</v>
      </c>
      <c r="B901" s="4" t="str">
        <v>Reguler Periode ke-119</v>
      </c>
      <c r="C901" s="4" t="str">
        <v>XI.A.2</v>
      </c>
      <c r="D901" s="101" t="str">
        <v>https://drive.google.com/open?id=1Pp1Ghnniuzx4PhOej2_tv5nh-I-KZjV9hK2OKn10D-A&amp;usp=drive_copy</v>
      </c>
      <c r="E901" s="101" t="str">
        <v>https://drive.google.com/open?id=1Pp1Ghnniuzx4PhOej2_tv5nh-I-KZjV9hK2OKn10D-A</v>
      </c>
      <c r="F901" s="103" t="str">
        <f ca="1">IFERROR(__xludf.DUMMYFUNCTION("IMPORTRANGE(H901,""IDENTITAS UNIT!D9"")"),"https://maps.app.goo.gl/EaZgwumtSeCmNBxt6")</f>
        <v>https://maps.app.goo.gl/EaZgwumtSeCmNBxt6</v>
      </c>
      <c r="G901" s="4" t="s">
        <v>13357</v>
      </c>
      <c r="H901" s="101" t="str">
        <v>https://docs.google.com/spreadsheets/d/1Pp1Ghnniuzx4PhOej2_tv5nh-I-KZjV9hK2OKn10D-A</v>
      </c>
      <c r="I901" s="101" t="str">
        <v>https://docs.google.com/open?id=1Pp1Ghnniuzx4PhOej2_tv5nh-I-KZjV9hK2OKn10D-A</v>
      </c>
      <c r="J901" s="4" t="str">
        <v>Kwalangan, Wijirejo, Pandak</v>
      </c>
      <c r="L901" s="99" t="str">
        <f ca="1">IFERROR(__xludf.DUMMYFUNCTION("IMPORTRANGE(H901,""IDENTITAS UNIT!D35"")"),"Yoga Pradana Budiyanto")</f>
        <v>Yoga Pradana Budiyanto</v>
      </c>
      <c r="M901" s="99">
        <f ca="1">IFERROR(__xludf.DUMMYFUNCTION("IMPORTRANGE(H901,""IDENTITAS UNIT!F35"")"),2000018058)</f>
        <v>2000018058</v>
      </c>
    </row>
    <row r="902" spans="1:13" ht="49.5">
      <c r="A902" s="4" t="str">
        <v>Reguler Periode ke-119 XI.B.1</v>
      </c>
      <c r="B902" s="4" t="str">
        <v>Reguler Periode ke-119</v>
      </c>
      <c r="C902" s="4" t="str">
        <v>XI.B.1</v>
      </c>
      <c r="D902" s="101" t="str">
        <v>https://drive.google.com/open?id=1Pp76r7Ak4DuylWBxzrWd6SYxU6NF6ZiTCOTpZimQIJo&amp;usp=drive_copy</v>
      </c>
      <c r="E902" s="101" t="str">
        <v>https://drive.google.com/open?id=1Pp76r7Ak4DuylWBxzrWd6SYxU6NF6ZiTCOTpZimQIJo</v>
      </c>
      <c r="F902" s="103" t="str">
        <f ca="1">IFERROR(__xludf.DUMMYFUNCTION("IMPORTRANGE(H902,""IDENTITAS UNIT!D9"")"),"https://maps.app.goo.gl/Mwoi4nJDbCj62hsH9")</f>
        <v>https://maps.app.goo.gl/Mwoi4nJDbCj62hsH9</v>
      </c>
      <c r="G902" s="4" t="s">
        <v>13358</v>
      </c>
      <c r="H902" s="101" t="str">
        <v>https://docs.google.com/spreadsheets/d/1Pp76r7Ak4DuylWBxzrWd6SYxU6NF6ZiTCOTpZimQIJo</v>
      </c>
      <c r="I902" s="101" t="str">
        <v>https://docs.google.com/open?id=1Pp76r7Ak4DuylWBxzrWd6SYxU6NF6ZiTCOTpZimQIJo</v>
      </c>
      <c r="J902" s="4" t="str">
        <v>Proketen, Trimurti, Srandakan</v>
      </c>
      <c r="L902" s="99" t="str">
        <f ca="1">IFERROR(__xludf.DUMMYFUNCTION("IMPORTRANGE(H902,""IDENTITAS UNIT!D35"")"),"Lis Setyowati")</f>
        <v>Lis Setyowati</v>
      </c>
      <c r="M902" s="99" t="str">
        <f ca="1">IFERROR(__xludf.DUMMYFUNCTION("IMPORTRANGE(H902,""IDENTITAS UNIT!F35"")"),"PILIH SESUAI DENGAN NAMA YANG TERSEDIA")</f>
        <v>PILIH SESUAI DENGAN NAMA YANG TERSEDIA</v>
      </c>
    </row>
    <row r="903" spans="1:13" ht="49.5">
      <c r="A903" s="4" t="str">
        <v>Reguler Periode ke-119 XI.B.2</v>
      </c>
      <c r="B903" s="4" t="str">
        <v>Reguler Periode ke-119</v>
      </c>
      <c r="C903" s="4" t="str">
        <v>XI.B.2</v>
      </c>
      <c r="D903" s="101" t="str">
        <v>https://drive.google.com/open?id=1PyeGAl9c8CKYVDRlFmDAMjJ7M3o1MMCwc3alUyFImH8&amp;usp=drive_copy</v>
      </c>
      <c r="E903" s="101" t="str">
        <v>https://drive.google.com/open?id=1PyeGAl9c8CKYVDRlFmDAMjJ7M3o1MMCwc3alUyFImH8</v>
      </c>
      <c r="F903" s="103" t="str">
        <f ca="1">IFERROR(__xludf.DUMMYFUNCTION("IMPORTRANGE(H903,""IDENTITAS UNIT!D9"")"),"https://maps.app.goo.gl/d9H8sGnphQs1Aks96")</f>
        <v>https://maps.app.goo.gl/d9H8sGnphQs1Aks96</v>
      </c>
      <c r="G903" s="4" t="s">
        <v>13359</v>
      </c>
      <c r="H903" s="101" t="str">
        <v>https://docs.google.com/spreadsheets/d/1PyeGAl9c8CKYVDRlFmDAMjJ7M3o1MMCwc3alUyFImH8</v>
      </c>
      <c r="I903" s="101" t="str">
        <v>https://docs.google.com/open?id=1PyeGAl9c8CKYVDRlFmDAMjJ7M3o1MMCwc3alUyFImH8</v>
      </c>
      <c r="J903" s="4" t="str">
        <v>Cagunan, Trimurti, Srandakan</v>
      </c>
      <c r="L903" s="99" t="str">
        <f ca="1">IFERROR(__xludf.DUMMYFUNCTION("IMPORTRANGE(H903,""IDENTITAS UNIT!D35"")"),"Haidar Yosumi Fajariyanto")</f>
        <v>Haidar Yosumi Fajariyanto</v>
      </c>
      <c r="M903" s="99">
        <f ca="1">IFERROR(__xludf.DUMMYFUNCTION("IMPORTRANGE(H903,""IDENTITAS UNIT!F35"")"),2000011009)</f>
        <v>2000011009</v>
      </c>
    </row>
    <row r="904" spans="1:13" ht="49.5">
      <c r="A904" s="4" t="str">
        <v>Reguler Periode ke-119 XI.B.3</v>
      </c>
      <c r="B904" s="4" t="str">
        <v>Reguler Periode ke-119</v>
      </c>
      <c r="C904" s="4" t="str">
        <v>XI.B.3</v>
      </c>
      <c r="D904" s="101" t="str">
        <v>https://drive.google.com/open?id=1RPOd8h85ieURdIpnOM5w6_mXo8O5-jUQgD3PMix2wHQ&amp;usp=drive_copy</v>
      </c>
      <c r="E904" s="101" t="str">
        <v>https://drive.google.com/open?id=1RPOd8h85ieURdIpnOM5w6_mXo8O5-jUQgD3PMix2wHQ</v>
      </c>
      <c r="F904" s="103" t="str">
        <f ca="1">IFERROR(__xludf.DUMMYFUNCTION("IMPORTRANGE(H904,""IDENTITAS UNIT!D9"")"),"https://maps.app.goo.gl/RBCrmXQ519dfADog8")</f>
        <v>https://maps.app.goo.gl/RBCrmXQ519dfADog8</v>
      </c>
      <c r="G904" s="4" t="s">
        <v>13360</v>
      </c>
      <c r="H904" s="101" t="str">
        <v>https://docs.google.com/spreadsheets/d/1RPOd8h85ieURdIpnOM5w6_mXo8O5-jUQgD3PMix2wHQ</v>
      </c>
      <c r="I904" s="101" t="str">
        <v>https://docs.google.com/open?id=1RPOd8h85ieURdIpnOM5w6_mXo8O5-jUQgD3PMix2wHQ</v>
      </c>
      <c r="J904" s="4" t="str">
        <v>Pedak, Trimurti, Srandakan</v>
      </c>
      <c r="L904" s="99" t="str">
        <f ca="1">IFERROR(__xludf.DUMMYFUNCTION("IMPORTRANGE(H904,""IDENTITAS UNIT!D35"")"),"Ahmad Rizgifan Fauzhy")</f>
        <v>Ahmad Rizgifan Fauzhy</v>
      </c>
      <c r="M904" s="99">
        <f ca="1">IFERROR(__xludf.DUMMYFUNCTION("IMPORTRANGE(H904,""IDENTITAS UNIT!F35"")"),2000018436)</f>
        <v>2000018436</v>
      </c>
    </row>
    <row r="905" spans="1:13" ht="49.5">
      <c r="A905" s="4" t="str">
        <v>Reguler Periode ke-119 XI.B.4</v>
      </c>
      <c r="B905" s="4" t="str">
        <v>Reguler Periode ke-119</v>
      </c>
      <c r="C905" s="4" t="str">
        <v>XI.B.4</v>
      </c>
      <c r="D905" s="101" t="str">
        <v>https://drive.google.com/open?id=1Tq84tGbE9Zkelp4obL2UpRADSSk6UrGr8H1kwfc0FjM&amp;usp=drive_copy</v>
      </c>
      <c r="E905" s="101" t="str">
        <v>https://drive.google.com/open?id=1Tq84tGbE9Zkelp4obL2UpRADSSk6UrGr8H1kwfc0FjM</v>
      </c>
      <c r="F905" s="103" t="str">
        <f ca="1">IFERROR(__xludf.DUMMYFUNCTION("IMPORTRANGE(H905,""IDENTITAS UNIT!D9"")"),"https://maps.app.goo.gl/JyHiq54KyBFvahDE8")</f>
        <v>https://maps.app.goo.gl/JyHiq54KyBFvahDE8</v>
      </c>
      <c r="G905" s="4" t="s">
        <v>13361</v>
      </c>
      <c r="H905" s="101" t="str">
        <v>https://docs.google.com/spreadsheets/d/1Tq84tGbE9Zkelp4obL2UpRADSSk6UrGr8H1kwfc0FjM</v>
      </c>
      <c r="I905" s="101" t="str">
        <v>https://docs.google.com/open?id=1Tq84tGbE9Zkelp4obL2UpRADSSk6UrGr8H1kwfc0FjM</v>
      </c>
      <c r="J905" s="4" t="str">
        <v>Gerso, Trimurti, Srandakan</v>
      </c>
      <c r="L905" s="99" t="str">
        <f ca="1">IFERROR(__xludf.DUMMYFUNCTION("IMPORTRANGE(H905,""IDENTITAS UNIT!D35"")"),"Mutiara Fitrasari")</f>
        <v>Mutiara Fitrasari</v>
      </c>
      <c r="M905" s="99">
        <f ca="1">IFERROR(__xludf.DUMMYFUNCTION("IMPORTRANGE(H905,""IDENTITAS UNIT!F35"")"),2000005160)</f>
        <v>2000005160</v>
      </c>
    </row>
    <row r="906" spans="1:13" ht="49.5">
      <c r="A906" s="4" t="str">
        <v>Reguler Periode ke-119 XI.C.1</v>
      </c>
      <c r="B906" s="4" t="str">
        <v>Reguler Periode ke-119</v>
      </c>
      <c r="C906" s="4" t="str">
        <v>XI.C.1</v>
      </c>
      <c r="D906" s="101" t="str">
        <v>https://drive.google.com/open?id=1ZAh-POS4IjlD2tAMXbtHwClTdpqE6l1x6BjzrPbIuYc&amp;usp=drive_copy</v>
      </c>
      <c r="E906" s="101" t="str">
        <v>https://drive.google.com/open?id=1ZAh-POS4IjlD2tAMXbtHwClTdpqE6l1x6BjzrPbIuYc</v>
      </c>
      <c r="F906" s="103" t="str">
        <f ca="1">IFERROR(__xludf.DUMMYFUNCTION("IMPORTRANGE(H906,""IDENTITAS UNIT!D9"")"),"https://maps.app.goo.gl/ZA3DTrLUG7HYd1V68?g_st=iw")</f>
        <v>https://maps.app.goo.gl/ZA3DTrLUG7HYd1V68?g_st=iw</v>
      </c>
      <c r="G906" s="4" t="s">
        <v>13362</v>
      </c>
      <c r="H906" s="101" t="str">
        <v>https://docs.google.com/spreadsheets/d/1ZAh-POS4IjlD2tAMXbtHwClTdpqE6l1x6BjzrPbIuYc</v>
      </c>
      <c r="I906" s="101" t="str">
        <v>https://docs.google.com/open?id=1ZAh-POS4IjlD2tAMXbtHwClTdpqE6l1x6BjzrPbIuYc</v>
      </c>
      <c r="J906" s="4" t="str">
        <v>Puron, Trimurti, Srandakan</v>
      </c>
      <c r="L906" s="99" t="str">
        <f ca="1">IFERROR(__xludf.DUMMYFUNCTION("IMPORTRANGE(H906,""IDENTITAS UNIT!D35"")"),"Nur Rahman Budi Rahmadhan")</f>
        <v>Nur Rahman Budi Rahmadhan</v>
      </c>
      <c r="M906" s="99">
        <f ca="1">IFERROR(__xludf.DUMMYFUNCTION("IMPORTRANGE(H906,""IDENTITAS UNIT!F35"")"),2000011207)</f>
        <v>2000011207</v>
      </c>
    </row>
    <row r="907" spans="1:13" ht="49.5">
      <c r="A907" s="4" t="str">
        <v>Reguler Periode ke-119 XI.C.2</v>
      </c>
      <c r="B907" s="4" t="str">
        <v>Reguler Periode ke-119</v>
      </c>
      <c r="C907" s="4" t="str">
        <v>XI.C.2</v>
      </c>
      <c r="D907" s="101" t="str">
        <v>https://drive.google.com/open?id=1ZAjs8uOUu7KESrx8g76IIGgkiTAegU2Tt0XLsaupjXk&amp;usp=drive_copy</v>
      </c>
      <c r="E907" s="101" t="str">
        <v>https://drive.google.com/open?id=1ZAjs8uOUu7KESrx8g76IIGgkiTAegU2Tt0XLsaupjXk</v>
      </c>
      <c r="F907" s="103" t="str">
        <f ca="1">IFERROR(__xludf.DUMMYFUNCTION("IMPORTRANGE(H907,""IDENTITAS UNIT!D9"")"),"https://maps.app.goo.gl/9hevLZ57gQ5QmLZb6")</f>
        <v>https://maps.app.goo.gl/9hevLZ57gQ5QmLZb6</v>
      </c>
      <c r="G907" s="4" t="s">
        <v>13363</v>
      </c>
      <c r="H907" s="101" t="str">
        <v>https://docs.google.com/spreadsheets/d/1ZAjs8uOUu7KESrx8g76IIGgkiTAegU2Tt0XLsaupjXk</v>
      </c>
      <c r="I907" s="101" t="str">
        <v>https://docs.google.com/open?id=1ZAjs8uOUu7KESrx8g76IIGgkiTAegU2Tt0XLsaupjXk</v>
      </c>
      <c r="J907" s="4" t="str">
        <v>Sapuangin, Trimurti, Srandakan</v>
      </c>
      <c r="L907" s="99" t="str">
        <f ca="1">IFERROR(__xludf.DUMMYFUNCTION("IMPORTRANGE(H907,""IDENTITAS UNIT!D35"")"),"Alrija Mutawarik")</f>
        <v>Alrija Mutawarik</v>
      </c>
      <c r="M907" s="99">
        <f ca="1">IFERROR(__xludf.DUMMYFUNCTION("IMPORTRANGE(H907,""IDENTITAS UNIT!F35"")"),2000011426)</f>
        <v>2000011426</v>
      </c>
    </row>
    <row r="908" spans="1:13" ht="49.5">
      <c r="A908" s="4" t="str">
        <v>Reguler Periode ke-119 XI.C.3</v>
      </c>
      <c r="B908" s="4" t="str">
        <v>Reguler Periode ke-119</v>
      </c>
      <c r="C908" s="4" t="str">
        <v>XI.C.3</v>
      </c>
      <c r="D908" s="101" t="str">
        <v>https://drive.google.com/open?id=1_RlN0CKB4oFHtLfEPSJ_YfvD7h0DBUwU4T2yuUDA6aA&amp;usp=drive_copy</v>
      </c>
      <c r="E908" s="101" t="str">
        <v>https://drive.google.com/open?id=1_RlN0CKB4oFHtLfEPSJ_YfvD7h0DBUwU4T2yuUDA6aA</v>
      </c>
      <c r="F908" s="103" t="str">
        <f ca="1">IFERROR(__xludf.DUMMYFUNCTION("IMPORTRANGE(H908,""IDENTITAS UNIT!D9"")"),"https://maps.app.goo.gl/WAAkbBKMVvXSmPYH8")</f>
        <v>https://maps.app.goo.gl/WAAkbBKMVvXSmPYH8</v>
      </c>
      <c r="G908" s="4" t="s">
        <v>13364</v>
      </c>
      <c r="H908" s="101" t="str">
        <v>https://docs.google.com/spreadsheets/d/1_RlN0CKB4oFHtLfEPSJ_YfvD7h0DBUwU4T2yuUDA6aA</v>
      </c>
      <c r="I908" s="101" t="str">
        <v>https://docs.google.com/open?id=1_RlN0CKB4oFHtLfEPSJ_YfvD7h0DBUwU4T2yuUDA6aA</v>
      </c>
      <c r="J908" s="4" t="str">
        <v>Mangiran, Trimurti, Srandakan</v>
      </c>
      <c r="L908" s="99" t="str">
        <f ca="1">IFERROR(__xludf.DUMMYFUNCTION("IMPORTRANGE(H908,""IDENTITAS UNIT!D35"")"),"Muh. Fachrul Rizal")</f>
        <v>Muh. Fachrul Rizal</v>
      </c>
      <c r="M908" s="99">
        <f ca="1">IFERROR(__xludf.DUMMYFUNCTION("IMPORTRANGE(H908,""IDENTITAS UNIT!F35"")"),2000026170)</f>
        <v>2000026170</v>
      </c>
    </row>
    <row r="909" spans="1:13" ht="49.5">
      <c r="A909" s="4" t="str">
        <v>Reguler Periode ke-119 XI.D.1</v>
      </c>
      <c r="B909" s="4" t="str">
        <v>Reguler Periode ke-119</v>
      </c>
      <c r="C909" s="4" t="str">
        <v>XI.D.1</v>
      </c>
      <c r="D909" s="101" t="str">
        <v>https://drive.google.com/open?id=1csVtVocDwYktqQHT0X6msdnFWO0-LIeo5Pvful2mYe0&amp;usp=drive_copy</v>
      </c>
      <c r="E909" s="101" t="str">
        <v>https://drive.google.com/open?id=1csVtVocDwYktqQHT0X6msdnFWO0-LIeo5Pvful2mYe0</v>
      </c>
      <c r="F909" s="103" t="str">
        <f ca="1">IFERROR(__xludf.DUMMYFUNCTION("IMPORTRANGE(H909,""IDENTITAS UNIT!D9"")"),"https://maps.app.goo.gl/2B9tNbbWygehkvRb9")</f>
        <v>https://maps.app.goo.gl/2B9tNbbWygehkvRb9</v>
      </c>
      <c r="G909" s="4" t="s">
        <v>13365</v>
      </c>
      <c r="H909" s="101" t="str">
        <v>https://docs.google.com/spreadsheets/d/1csVtVocDwYktqQHT0X6msdnFWO0-LIeo5Pvful2mYe0</v>
      </c>
      <c r="I909" s="101" t="str">
        <v>https://docs.google.com/open?id=1csVtVocDwYktqQHT0X6msdnFWO0-LIeo5Pvful2mYe0</v>
      </c>
      <c r="J909" s="4" t="str">
        <v>Klurahan, Trimurti, Srandakan</v>
      </c>
      <c r="L909" s="99" t="str">
        <f ca="1">IFERROR(__xludf.DUMMYFUNCTION("IMPORTRANGE(H909,""IDENTITAS UNIT!D35"")"),"Alal Falah Khoiri")</f>
        <v>Alal Falah Khoiri</v>
      </c>
      <c r="M909" s="99">
        <f ca="1">IFERROR(__xludf.DUMMYFUNCTION("IMPORTRANGE(H909,""IDENTITAS UNIT!F35"")"),2000011230)</f>
        <v>2000011230</v>
      </c>
    </row>
    <row r="910" spans="1:13" ht="49.5">
      <c r="A910" s="4" t="str">
        <v>Reguler Periode ke-119 XI.D.2</v>
      </c>
      <c r="B910" s="4" t="str">
        <v>Reguler Periode ke-119</v>
      </c>
      <c r="C910" s="4" t="str">
        <v>XI.D.2</v>
      </c>
      <c r="D910" s="101" t="str">
        <v>https://drive.google.com/open?id=1itD7aYIfVoWMXwLix1VKtMaA65kphtZ6BmVMI3St-lw&amp;usp=drive_copy</v>
      </c>
      <c r="E910" s="101" t="str">
        <v>https://drive.google.com/open?id=1itD7aYIfVoWMXwLix1VKtMaA65kphtZ6BmVMI3St-lw</v>
      </c>
      <c r="F910" s="103" t="str">
        <f ca="1">IFERROR(__xludf.DUMMYFUNCTION("IMPORTRANGE(H910,""IDENTITAS UNIT!D9"")"),"https://maps.app.goo.gl/HLrDLbiWE4Aef2T4A")</f>
        <v>https://maps.app.goo.gl/HLrDLbiWE4Aef2T4A</v>
      </c>
      <c r="G910" s="4" t="s">
        <v>13366</v>
      </c>
      <c r="H910" s="101" t="str">
        <v>https://docs.google.com/spreadsheets/d/1itD7aYIfVoWMXwLix1VKtMaA65kphtZ6BmVMI3St-lw</v>
      </c>
      <c r="I910" s="101" t="str">
        <v>https://docs.google.com/open?id=1itD7aYIfVoWMXwLix1VKtMaA65kphtZ6BmVMI3St-lw</v>
      </c>
      <c r="J910" s="4" t="str">
        <v>Gunungsaren Lor, Trimurti, Srandakan</v>
      </c>
      <c r="L910" s="99" t="str">
        <f ca="1">IFERROR(__xludf.DUMMYFUNCTION("IMPORTRANGE(H910,""IDENTITAS UNIT!D35"")"),"Tegar Arsyadani")</f>
        <v>Tegar Arsyadani</v>
      </c>
      <c r="M910" s="99" t="str">
        <f ca="1">IFERROR(__xludf.DUMMYFUNCTION("IMPORTRANGE(H910,""IDENTITAS UNIT!F35"")"),"PILIH SESUAI DENGAN NAMA YANG TERSEDIA")</f>
        <v>PILIH SESUAI DENGAN NAMA YANG TERSEDIA</v>
      </c>
    </row>
    <row r="911" spans="1:13" ht="49.5">
      <c r="A911" s="4" t="str">
        <v>Reguler Periode ke-119 XI.D.3</v>
      </c>
      <c r="B911" s="4" t="str">
        <v>Reguler Periode ke-119</v>
      </c>
      <c r="C911" s="4" t="str">
        <v>XI.D.3</v>
      </c>
      <c r="D911" s="101" t="str">
        <v>https://drive.google.com/open?id=1jRR5WGplGtp1GxJxtUDW66MOWCeFhBhceNQS0tSCfKI&amp;usp=drive_copy</v>
      </c>
      <c r="E911" s="101" t="str">
        <v>https://drive.google.com/open?id=1jRR5WGplGtp1GxJxtUDW66MOWCeFhBhceNQS0tSCfKI</v>
      </c>
      <c r="F911" s="103" t="str">
        <f ca="1">IFERROR(__xludf.DUMMYFUNCTION("IMPORTRANGE(H911,""IDENTITAS UNIT!D9"")"),"https://maps.app.goo.gl/3M5EbrCMw3VXsyDP6")</f>
        <v>https://maps.app.goo.gl/3M5EbrCMw3VXsyDP6</v>
      </c>
      <c r="G911" s="4" t="s">
        <v>13367</v>
      </c>
      <c r="H911" s="101" t="str">
        <v>https://docs.google.com/spreadsheets/d/1jRR5WGplGtp1GxJxtUDW66MOWCeFhBhceNQS0tSCfKI</v>
      </c>
      <c r="I911" s="101" t="str">
        <v>https://docs.google.com/open?id=1jRR5WGplGtp1GxJxtUDW66MOWCeFhBhceNQS0tSCfKI</v>
      </c>
      <c r="J911" s="4" t="str">
        <v>Puluhanla Lor, Trimurti, Srandakan</v>
      </c>
      <c r="L911" s="99" t="str">
        <f ca="1">IFERROR(__xludf.DUMMYFUNCTION("IMPORTRANGE(H911,""IDENTITAS UNIT!D35"")"),"Alfian Bagus Prakoso")</f>
        <v>Alfian Bagus Prakoso</v>
      </c>
      <c r="M911" s="99">
        <f ca="1">IFERROR(__xludf.DUMMYFUNCTION("IMPORTRANGE(H911,""IDENTITAS UNIT!F35"")"),2000011056)</f>
        <v>2000011056</v>
      </c>
    </row>
    <row r="912" spans="1:13" ht="49.5">
      <c r="A912" s="4" t="str">
        <v>Reguler Periode ke-119 XII.A.1</v>
      </c>
      <c r="B912" s="4" t="str">
        <v>Reguler Periode ke-119</v>
      </c>
      <c r="C912" s="4" t="str">
        <v>XII.A.1</v>
      </c>
      <c r="D912" s="101" t="str">
        <v>https://drive.google.com/open?id=1pCy-7uCgNB6oTZL8D5rl2sClI77OeSEC0-Gmapc316U&amp;usp=drive_copy</v>
      </c>
      <c r="E912" s="101" t="str">
        <v>https://drive.google.com/open?id=1pCy-7uCgNB6oTZL8D5rl2sClI77OeSEC0-Gmapc316U</v>
      </c>
      <c r="F912" s="103" t="str">
        <f ca="1">IFERROR(__xludf.DUMMYFUNCTION("IMPORTRANGE(H912,""IDENTITAS UNIT!D9"")"),"https://maps.app.goo.gl/c9Kv1pDZTSSPpQiM6 ")</f>
        <v xml:space="preserve">https://maps.app.goo.gl/c9Kv1pDZTSSPpQiM6 </v>
      </c>
      <c r="G912" s="4" t="s">
        <v>13368</v>
      </c>
      <c r="H912" s="101" t="str">
        <v>https://docs.google.com/spreadsheets/d/1pCy-7uCgNB6oTZL8D5rl2sClI77OeSEC0-Gmapc316U</v>
      </c>
      <c r="I912" s="101" t="str">
        <v>https://docs.google.com/open?id=1pCy-7uCgNB6oTZL8D5rl2sClI77OeSEC0-Gmapc316U</v>
      </c>
      <c r="J912" s="4" t="str">
        <v>Sawahan, Trimurti, Srandakan</v>
      </c>
      <c r="L912" s="99" t="str">
        <f ca="1">IFERROR(__xludf.DUMMYFUNCTION("IMPORTRANGE(H912,""IDENTITAS UNIT!D35"")"),"Muhammad Rizki Alhagi")</f>
        <v>Muhammad Rizki Alhagi</v>
      </c>
      <c r="M912" s="99">
        <f ca="1">IFERROR(__xludf.DUMMYFUNCTION("IMPORTRANGE(H912,""IDENTITAS UNIT!F35"")"),2000026115)</f>
        <v>2000026115</v>
      </c>
    </row>
    <row r="913" spans="1:13" ht="49.5">
      <c r="A913" s="4" t="str">
        <v>Reguler Periode ke-119 XII.A.2</v>
      </c>
      <c r="B913" s="4" t="str">
        <v>Reguler Periode ke-119</v>
      </c>
      <c r="C913" s="4" t="str">
        <v>XII.A.2</v>
      </c>
      <c r="D913" s="101" t="str">
        <v>https://drive.google.com/open?id=1rBfHBEcwMgZWV8H6veyT4I357O8fiuHjufKX3AAPC6g&amp;usp=drive_copy</v>
      </c>
      <c r="E913" s="101" t="str">
        <v>https://drive.google.com/open?id=1rBfHBEcwMgZWV8H6veyT4I357O8fiuHjufKX3AAPC6g</v>
      </c>
      <c r="F913" s="103" t="str">
        <f ca="1">IFERROR(__xludf.DUMMYFUNCTION("IMPORTRANGE(H913,""IDENTITAS UNIT!D9"")"),"https://maps.app.goo.gl/UtPJa4PaXLKDyrNU8")</f>
        <v>https://maps.app.goo.gl/UtPJa4PaXLKDyrNU8</v>
      </c>
      <c r="G913" s="4" t="s">
        <v>13369</v>
      </c>
      <c r="H913" s="101" t="str">
        <v>https://docs.google.com/spreadsheets/d/1rBfHBEcwMgZWV8H6veyT4I357O8fiuHjufKX3AAPC6g</v>
      </c>
      <c r="I913" s="101" t="str">
        <v>https://docs.google.com/open?id=1rBfHBEcwMgZWV8H6veyT4I357O8fiuHjufKX3AAPC6g</v>
      </c>
      <c r="J913" s="4" t="str">
        <v>Nengahan, Trimurti, Srandakan</v>
      </c>
      <c r="L913" s="99" t="str">
        <f ca="1">IFERROR(__xludf.DUMMYFUNCTION("IMPORTRANGE(H913,""IDENTITAS UNIT!D35"")"),"Tiar Irawan")</f>
        <v>Tiar Irawan</v>
      </c>
      <c r="M913" s="99">
        <f ca="1">IFERROR(__xludf.DUMMYFUNCTION("IMPORTRANGE(H913,""IDENTITAS UNIT!F35"")"),2000011277)</f>
        <v>2000011277</v>
      </c>
    </row>
    <row r="914" spans="1:13" ht="198">
      <c r="A914" s="4" t="str">
        <v>Reguler Periode ke-119 XII.A.3</v>
      </c>
      <c r="B914" s="4" t="str">
        <v>Reguler Periode ke-119</v>
      </c>
      <c r="C914" s="4" t="str">
        <v>XII.A.3</v>
      </c>
      <c r="D914" s="101" t="str">
        <v>https://drive.google.com/open?id=1rDqG8HquCwW9pnZZCYlHGX7ElQehNuNDHFV-OcxgQXA&amp;usp=drive_copy</v>
      </c>
      <c r="E914" s="101" t="str">
        <v>https://drive.google.com/open?id=1rDqG8HquCwW9pnZZCYlHGX7ElQehNuNDHFV-OcxgQXA</v>
      </c>
      <c r="F914" s="103" t="str">
        <f ca="1">IFERROR(__xludf.DUMMYFUNCTION("IMPORTRANGE(H914,""IDENTITAS UNIT!D9"")"),"https://maps.google.com/maps?q=3794%2BG6Q%2C%2BKlurahan%2C%2BTrimurti%2C%2BKec.%2BSrandakan%2C%2BKabupaten%2BBantul%2C%2BDaerah%2BIstimewa%2BYogyakarta%2B55762%2C%2BIndonesia&amp;sll=-7.931275905849396,110.2554966509342")</f>
        <v>https://maps.google.com/maps?q=3794%2BG6Q%2C%2BKlurahan%2C%2BTrimurti%2C%2BKec.%2BSrandakan%2C%2BKabupaten%2BBantul%2C%2BDaerah%2BIstimewa%2BYogyakarta%2B55762%2C%2BIndonesia&amp;sll=-7.931275905849396,110.2554966509342</v>
      </c>
      <c r="G914" s="4" t="s">
        <v>13370</v>
      </c>
      <c r="H914" s="101" t="str">
        <v>https://docs.google.com/spreadsheets/d/1rDqG8HquCwW9pnZZCYlHGX7ElQehNuNDHFV-OcxgQXA</v>
      </c>
      <c r="I914" s="101" t="str">
        <v>https://docs.google.com/open?id=1rDqG8HquCwW9pnZZCYlHGX7ElQehNuNDHFV-OcxgQXA</v>
      </c>
      <c r="J914" s="4" t="str">
        <v>Lopati, Trimurti, Srandakan</v>
      </c>
      <c r="L914" s="99" t="str">
        <f ca="1">IFERROR(__xludf.DUMMYFUNCTION("IMPORTRANGE(H914,""IDENTITAS UNIT!D35"")"),"Muhammad Iqbal")</f>
        <v>Muhammad Iqbal</v>
      </c>
      <c r="M914" s="99">
        <f ca="1">IFERROR(__xludf.DUMMYFUNCTION("IMPORTRANGE(H914,""IDENTITAS UNIT!F35"")"),2000011280)</f>
        <v>2000011280</v>
      </c>
    </row>
    <row r="915" spans="1:13" ht="49.5">
      <c r="A915" s="4" t="str">
        <v>Reguler Periode ke-119 XII.B.1</v>
      </c>
      <c r="B915" s="4" t="str">
        <v>Reguler Periode ke-119</v>
      </c>
      <c r="C915" s="4" t="str">
        <v>XII.B.1</v>
      </c>
      <c r="D915" s="101" t="str">
        <v>https://drive.google.com/open?id=1rcN_QM9ff91-_lRk_nMKAGVj3BuhRP0rKJHmf6BMUDI&amp;usp=drive_copy</v>
      </c>
      <c r="E915" s="101" t="str">
        <v>https://drive.google.com/open?id=1rcN_QM9ff91-_lRk_nMKAGVj3BuhRP0rKJHmf6BMUDI</v>
      </c>
      <c r="F915" s="103" t="str">
        <f ca="1">IFERROR(__xludf.DUMMYFUNCTION("IMPORTRANGE(H915,""IDENTITAS UNIT!D9"")"),"https://maps.app.goo.gl/1XwSrhr9BYLX8kQm9?g_st=ic")</f>
        <v>https://maps.app.goo.gl/1XwSrhr9BYLX8kQm9?g_st=ic</v>
      </c>
      <c r="G915" s="4" t="s">
        <v>13371</v>
      </c>
      <c r="H915" s="101" t="str">
        <v>https://docs.google.com/spreadsheets/d/1rcN_QM9ff91-_lRk_nMKAGVj3BuhRP0rKJHmf6BMUDI</v>
      </c>
      <c r="I915" s="101" t="str">
        <v>https://docs.google.com/open?id=1rcN_QM9ff91-_lRk_nMKAGVj3BuhRP0rKJHmf6BMUDI</v>
      </c>
      <c r="J915" s="4" t="str">
        <v>Srandakan, Trimurti, Srandakan</v>
      </c>
      <c r="L915" s="99" t="str">
        <f ca="1">IFERROR(__xludf.DUMMYFUNCTION("IMPORTRANGE(H915,""IDENTITAS UNIT!D35"")"),"Abdilah Muttaqin")</f>
        <v>Abdilah Muttaqin</v>
      </c>
      <c r="M915" s="99">
        <f ca="1">IFERROR(__xludf.DUMMYFUNCTION("IMPORTRANGE(H915,""IDENTITAS UNIT!F35"")"),2000018418)</f>
        <v>2000018418</v>
      </c>
    </row>
    <row r="916" spans="1:13" ht="49.5">
      <c r="A916" s="4" t="str">
        <v>Reguler Periode ke-119 XII.B.2</v>
      </c>
      <c r="B916" s="4" t="str">
        <v>Reguler Periode ke-119</v>
      </c>
      <c r="C916" s="4" t="str">
        <v>XII.B.2</v>
      </c>
      <c r="D916" s="101" t="str">
        <v>https://drive.google.com/open?id=1upMbc2DOHsxHu_J0dPK37xsFchSINnXvgmYGT1j2Pcs&amp;usp=drive_copy</v>
      </c>
      <c r="E916" s="101" t="str">
        <v>https://drive.google.com/open?id=1upMbc2DOHsxHu_J0dPK37xsFchSINnXvgmYGT1j2Pcs</v>
      </c>
      <c r="F916" s="103" t="str">
        <f ca="1">IFERROR(__xludf.DUMMYFUNCTION("IMPORTRANGE(H916,""IDENTITAS UNIT!D9"")"),"https://maps.app.goo.gl/DyVNgap21XUv3H737")</f>
        <v>https://maps.app.goo.gl/DyVNgap21XUv3H737</v>
      </c>
      <c r="G916" s="4" t="s">
        <v>13372</v>
      </c>
      <c r="H916" s="101" t="str">
        <v>https://docs.google.com/spreadsheets/d/1upMbc2DOHsxHu_J0dPK37xsFchSINnXvgmYGT1j2Pcs</v>
      </c>
      <c r="I916" s="101" t="str">
        <v>https://docs.google.com/open?id=1upMbc2DOHsxHu_J0dPK37xsFchSINnXvgmYGT1j2Pcs</v>
      </c>
      <c r="J916" s="4" t="str">
        <v>Puluhan Kidul, Trimurti, Srandakan</v>
      </c>
      <c r="L916" s="99" t="str">
        <f ca="1">IFERROR(__xludf.DUMMYFUNCTION("IMPORTRANGE(H916,""IDENTITAS UNIT!D35"")"),"Rizki Hidayatul Fadli")</f>
        <v>Rizki Hidayatul Fadli</v>
      </c>
      <c r="M916" s="99">
        <f ca="1">IFERROR(__xludf.DUMMYFUNCTION("IMPORTRANGE(H916,""IDENTITAS UNIT!F35"")"),2000011224)</f>
        <v>2000011224</v>
      </c>
    </row>
    <row r="917" spans="1:13" ht="49.5">
      <c r="A917" s="4" t="str">
        <v>Reguler Periode ke-119 XII.B.3</v>
      </c>
      <c r="B917" s="4" t="str">
        <v>Reguler Periode ke-119</v>
      </c>
      <c r="C917" s="4" t="str">
        <v>XII.B.3</v>
      </c>
      <c r="D917" s="101" t="str">
        <v>https://drive.google.com/open?id=1v0B78fGKszZ0MIaj-OsnW-lOHAaOl0XbwGzHp5U5K90&amp;usp=drive_copy</v>
      </c>
      <c r="E917" s="101" t="str">
        <v>https://drive.google.com/open?id=1v0B78fGKszZ0MIaj-OsnW-lOHAaOl0XbwGzHp5U5K90</v>
      </c>
      <c r="F917" s="103" t="str">
        <f ca="1">IFERROR(__xludf.DUMMYFUNCTION("IMPORTRANGE(H917,""IDENTITAS UNIT!D9"")"),"https://maps.app.goo.gl/dHXrBAacgVTb8rhE9")</f>
        <v>https://maps.app.goo.gl/dHXrBAacgVTb8rhE9</v>
      </c>
      <c r="G917" s="4" t="s">
        <v>13373</v>
      </c>
      <c r="H917" s="101" t="str">
        <v>https://docs.google.com/spreadsheets/d/1v0B78fGKszZ0MIaj-OsnW-lOHAaOl0XbwGzHp5U5K90</v>
      </c>
      <c r="I917" s="101" t="str">
        <v>https://docs.google.com/open?id=1v0B78fGKszZ0MIaj-OsnW-lOHAaOl0XbwGzHp5U5K90</v>
      </c>
      <c r="J917" s="4" t="str">
        <v>Gunungsaren Kidul, Trimurti, Srandakan</v>
      </c>
      <c r="L917" s="99" t="str">
        <f ca="1">IFERROR(__xludf.DUMMYFUNCTION("IMPORTRANGE(H917,""IDENTITAS UNIT!D35"")"),"Megawati Wenyi")</f>
        <v>Megawati Wenyi</v>
      </c>
      <c r="M917" s="99" t="str">
        <f ca="1">IFERROR(__xludf.DUMMYFUNCTION("IMPORTRANGE(H917,""IDENTITAS UNIT!F35"")"),"PILIH SESUAI DENGAN NAMA YANG TERSEDIA")</f>
        <v>PILIH SESUAI DENGAN NAMA YANG TERSEDIA</v>
      </c>
    </row>
    <row r="918" spans="1:13" ht="49.5">
      <c r="A918" s="4" t="str">
        <v>Reguler Periode ke-119 XII.C.1</v>
      </c>
      <c r="B918" s="4" t="str">
        <v>Reguler Periode ke-119</v>
      </c>
      <c r="C918" s="4" t="str">
        <v>XII.C.1</v>
      </c>
      <c r="D918" s="101" t="str">
        <v>https://drive.google.com/open?id=1wvernDXmT_2VrScpmuBFFqYiEp5inaacKpnz9OgbA7c&amp;usp=drive_copy</v>
      </c>
      <c r="E918" s="101" t="str">
        <v>https://drive.google.com/open?id=1wvernDXmT_2VrScpmuBFFqYiEp5inaacKpnz9OgbA7c</v>
      </c>
      <c r="F918" s="103" t="str">
        <f ca="1">IFERROR(__xludf.DUMMYFUNCTION("IMPORTRANGE(H918,""IDENTITAS UNIT!D9"")"),"https://maps.app.goo.gl/Q61yJrZiApHYmsSFA")</f>
        <v>https://maps.app.goo.gl/Q61yJrZiApHYmsSFA</v>
      </c>
      <c r="G918" s="4" t="s">
        <v>13374</v>
      </c>
      <c r="H918" s="101" t="str">
        <v>https://docs.google.com/spreadsheets/d/1wvernDXmT_2VrScpmuBFFqYiEp5inaacKpnz9OgbA7c</v>
      </c>
      <c r="I918" s="101" t="str">
        <v>https://docs.google.com/open?id=1wvernDXmT_2VrScpmuBFFqYiEp5inaacKpnz9OgbA7c</v>
      </c>
      <c r="J918" s="4" t="str">
        <v>Bendo, Trimurti, Srandakan</v>
      </c>
      <c r="L918" s="99" t="str">
        <f ca="1">IFERROR(__xludf.DUMMYFUNCTION("IMPORTRANGE(H918,""IDENTITAS UNIT!D35"")"),"Muhamad Murdani")</f>
        <v>Muhamad Murdani</v>
      </c>
      <c r="M918" s="99">
        <f ca="1">IFERROR(__xludf.DUMMYFUNCTION("IMPORTRANGE(H918,""IDENTITAS UNIT!F35"")"),2000011142)</f>
        <v>2000011142</v>
      </c>
    </row>
    <row r="919" spans="1:13" ht="49.5">
      <c r="A919" s="4" t="str">
        <v>Reguler Periode ke-119 XII.C.2</v>
      </c>
      <c r="B919" s="4" t="str">
        <v>Reguler Periode ke-119</v>
      </c>
      <c r="C919" s="4" t="str">
        <v>XII.C.2</v>
      </c>
      <c r="D919" s="101" t="str">
        <v>https://drive.google.com/open?id=1yMOLYb9iMFQeZGQLZTLsfmd4PiLm0glG1p5dxYVzzQo&amp;usp=drive_copy</v>
      </c>
      <c r="E919" s="101" t="str">
        <v>https://drive.google.com/open?id=1yMOLYb9iMFQeZGQLZTLsfmd4PiLm0glG1p5dxYVzzQo</v>
      </c>
      <c r="F919" s="103" t="str">
        <f ca="1">IFERROR(__xludf.DUMMYFUNCTION("IMPORTRANGE(H919,""IDENTITAS UNIT!D9"")"),"https://maps.app.goo.gl/brw7ss4Pk1q5Vk6TA")</f>
        <v>https://maps.app.goo.gl/brw7ss4Pk1q5Vk6TA</v>
      </c>
      <c r="G919" s="4" t="s">
        <v>13375</v>
      </c>
      <c r="H919" s="101" t="str">
        <v>https://docs.google.com/spreadsheets/d/1yMOLYb9iMFQeZGQLZTLsfmd4PiLm0glG1p5dxYVzzQo</v>
      </c>
      <c r="I919" s="101" t="str">
        <v>https://docs.google.com/open?id=1yMOLYb9iMFQeZGQLZTLsfmd4PiLm0glG1p5dxYVzzQo</v>
      </c>
      <c r="J919" s="4" t="str">
        <v>Celan, Trimurti, Srandakan</v>
      </c>
      <c r="L919" s="99" t="str">
        <f ca="1">IFERROR(__xludf.DUMMYFUNCTION("IMPORTRANGE(H919,""IDENTITAS UNIT!D35"")"),"Muhammad Alfin Hanif Yahya")</f>
        <v>Muhammad Alfin Hanif Yahya</v>
      </c>
      <c r="M919" s="99">
        <f ca="1">IFERROR(__xludf.DUMMYFUNCTION("IMPORTRANGE(H919,""IDENTITAS UNIT!F35"")"),1900026013)</f>
        <v>1900026013</v>
      </c>
    </row>
    <row r="920" spans="1:13" ht="49.5">
      <c r="A920" s="4" t="str">
        <v>Reguler Periode ke-119 XII.C.3</v>
      </c>
      <c r="B920" s="4" t="str">
        <v>Reguler Periode ke-119</v>
      </c>
      <c r="C920" s="4" t="str">
        <v>XII.C.3</v>
      </c>
      <c r="D920" s="101" t="str">
        <v>https://drive.google.com/open?id=13ny4rOEDEnY1AGkF5RMKA1PU0YlibcUxOK5H3q3Is-M&amp;usp=drive_copy</v>
      </c>
      <c r="E920" s="101" t="str">
        <v>https://drive.google.com/open?id=13ny4rOEDEnY1AGkF5RMKA1PU0YlibcUxOK5H3q3Is-M</v>
      </c>
      <c r="F920" s="103" t="str">
        <f ca="1">IFERROR(__xludf.DUMMYFUNCTION("IMPORTRANGE(H920,""IDENTITAS UNIT!D9"")"),"https://maps.app.goo.gl/Efo2wwMiSXFNyWSN9")</f>
        <v>https://maps.app.goo.gl/Efo2wwMiSXFNyWSN9</v>
      </c>
      <c r="G920" s="4" t="s">
        <v>13376</v>
      </c>
      <c r="H920" s="101" t="str">
        <v>https://docs.google.com/spreadsheets/d/13ny4rOEDEnY1AGkF5RMKA1PU0YlibcUxOK5H3q3Is-M</v>
      </c>
      <c r="I920" s="101" t="str">
        <v>https://docs.google.com/open?id=13ny4rOEDEnY1AGkF5RMKA1PU0YlibcUxOK5H3q3Is-M</v>
      </c>
      <c r="J920" s="4" t="str">
        <v>Jetis, Trimurti, Srandakan</v>
      </c>
      <c r="L920" s="99" t="str">
        <f ca="1">IFERROR(__xludf.DUMMYFUNCTION("IMPORTRANGE(H920,""IDENTITAS UNIT!D35"")"),"Mohammad Rafi Rustaman")</f>
        <v>Mohammad Rafi Rustaman</v>
      </c>
      <c r="M920" s="99">
        <f ca="1">IFERROR(__xludf.DUMMYFUNCTION("IMPORTRANGE(H920,""IDENTITAS UNIT!F35"")"),2000026043)</f>
        <v>2000026043</v>
      </c>
    </row>
    <row r="921" spans="1:13" ht="49.5">
      <c r="A921" s="4" t="str">
        <v>Reguler Periode ke-119 XII.D.1</v>
      </c>
      <c r="B921" s="4" t="str">
        <v>Reguler Periode ke-119</v>
      </c>
      <c r="C921" s="4" t="str">
        <v>XII.D.1</v>
      </c>
      <c r="D921" s="101" t="str">
        <v>https://drive.google.com/open?id=16w475vVUAnM6o9vbOIsGpgiM76cKmsCLKWT-tz2V7tg&amp;usp=drive_copy</v>
      </c>
      <c r="E921" s="101" t="str">
        <v>https://drive.google.com/open?id=16w475vVUAnM6o9vbOIsGpgiM76cKmsCLKWT-tz2V7tg</v>
      </c>
      <c r="F921" s="103" t="str">
        <f ca="1">IFERROR(__xludf.DUMMYFUNCTION("IMPORTRANGE(H921,""IDENTITAS UNIT!D9"")"),"https://maps.app.goo.gl/oPvLW8U2RcrxcJ969?g_st=iw")</f>
        <v>https://maps.app.goo.gl/oPvLW8U2RcrxcJ969?g_st=iw</v>
      </c>
      <c r="G921" s="4" t="s">
        <v>13377</v>
      </c>
      <c r="H921" s="101" t="str">
        <v>https://docs.google.com/spreadsheets/d/16w475vVUAnM6o9vbOIsGpgiM76cKmsCLKWT-tz2V7tg</v>
      </c>
      <c r="I921" s="101" t="str">
        <v>https://docs.google.com/open?id=16w475vVUAnM6o9vbOIsGpgiM76cKmsCLKWT-tz2V7tg</v>
      </c>
      <c r="J921" s="4" t="str">
        <v>Kuwaru, Poncosari, Srandakan</v>
      </c>
      <c r="L921" s="99" t="str">
        <f ca="1">IFERROR(__xludf.DUMMYFUNCTION("IMPORTRANGE(H921,""IDENTITAS UNIT!D35"")"),"Iqbal Rilcardo")</f>
        <v>Iqbal Rilcardo</v>
      </c>
      <c r="M921" s="99">
        <f ca="1">IFERROR(__xludf.DUMMYFUNCTION("IMPORTRANGE(H921,""IDENTITAS UNIT!F35"")"),2000018101)</f>
        <v>2000018101</v>
      </c>
    </row>
    <row r="922" spans="1:13" ht="198">
      <c r="A922" s="4" t="str">
        <v>Reguler Periode ke-119 XII.D.2</v>
      </c>
      <c r="B922" s="4" t="str">
        <v>Reguler Periode ke-119</v>
      </c>
      <c r="C922" s="4" t="str">
        <v>XII.D.2</v>
      </c>
      <c r="D922" s="101" t="str">
        <v>https://drive.google.com/open?id=180j7fWgZqA8Otl5yj05uFReYYKDtMlv7iRwSqorboWY&amp;usp=drive_copy</v>
      </c>
      <c r="E922" s="101" t="str">
        <v>https://drive.google.com/open?id=180j7fWgZqA8Otl5yj05uFReYYKDtMlv7iRwSqorboWY</v>
      </c>
      <c r="F922" s="103" t="str">
        <f ca="1">IFERROR(__xludf.DUMMYFUNCTION("IMPORTRANGE(H922,""IDENTITAS UNIT!D9"")"),"https://www.google.com/maps/place/7%C2%B057'51.1%22S+110%C2%B014'52.1%22E/@-7.9642005,110.2452278,17z/data=!3m1!4b1!4m4!3m3!8m2!3d-7.9642005!4d110.2478027?hl=id&amp;entry=ttu")</f>
        <v>https://www.google.com/maps/place/7%C2%B057'51.1%22S+110%C2%B014'52.1%22E/@-7.9642005,110.2452278,17z/data=!3m1!4b1!4m4!3m3!8m2!3d-7.9642005!4d110.2478027?hl=id&amp;entry=ttu</v>
      </c>
      <c r="G922" s="4" t="s">
        <v>13378</v>
      </c>
      <c r="H922" s="101" t="str">
        <v>https://docs.google.com/spreadsheets/d/180j7fWgZqA8Otl5yj05uFReYYKDtMlv7iRwSqorboWY</v>
      </c>
      <c r="I922" s="101" t="str">
        <v>https://docs.google.com/open?id=180j7fWgZqA8Otl5yj05uFReYYKDtMlv7iRwSqorboWY</v>
      </c>
      <c r="J922" s="4" t="str">
        <v>Gunturgeni, Poncosari, Srandakan</v>
      </c>
      <c r="L922" s="99" t="str">
        <f ca="1">IFERROR(__xludf.DUMMYFUNCTION("IMPORTRANGE(H922,""IDENTITAS UNIT!D35"")"),"Sendy Khoerur Rijal")</f>
        <v>Sendy Khoerur Rijal</v>
      </c>
      <c r="M922" s="99">
        <f ca="1">IFERROR(__xludf.DUMMYFUNCTION("IMPORTRANGE(H922,""IDENTITAS UNIT!F35"")"),2000018216)</f>
        <v>2000018216</v>
      </c>
    </row>
    <row r="923" spans="1:13" ht="49.5">
      <c r="A923" s="4" t="str">
        <v>Reguler Periode ke-119 XII.D.3</v>
      </c>
      <c r="B923" s="4" t="str">
        <v>Reguler Periode ke-119</v>
      </c>
      <c r="C923" s="4" t="str">
        <v>XII.D.3</v>
      </c>
      <c r="D923" s="101" t="str">
        <v>https://drive.google.com/open?id=18AYpcdqW__Uj8oUK72dYYPB5Q2hpTfCpuTq7Cw18ztQ&amp;usp=drive_copy</v>
      </c>
      <c r="E923" s="101" t="str">
        <v>https://drive.google.com/open?id=18AYpcdqW__Uj8oUK72dYYPB5Q2hpTfCpuTq7Cw18ztQ</v>
      </c>
      <c r="F923" s="103" t="str">
        <f ca="1">IFERROR(__xludf.DUMMYFUNCTION("IMPORTRANGE(H923,""IDENTITAS UNIT!D9"")"),"https://maps.app.goo.gl/pkNaTyivHeuj1v3y6")</f>
        <v>https://maps.app.goo.gl/pkNaTyivHeuj1v3y6</v>
      </c>
      <c r="G923" s="4" t="s">
        <v>13379</v>
      </c>
      <c r="H923" s="101" t="str">
        <v>https://docs.google.com/spreadsheets/d/18AYpcdqW__Uj8oUK72dYYPB5Q2hpTfCpuTq7Cw18ztQ</v>
      </c>
      <c r="I923" s="101" t="str">
        <v>https://docs.google.com/open?id=18AYpcdqW__Uj8oUK72dYYPB5Q2hpTfCpuTq7Cw18ztQ</v>
      </c>
      <c r="J923" s="4" t="str">
        <v>Talkondo, Poncosari, Srandakan</v>
      </c>
      <c r="L923" s="99" t="str">
        <f ca="1">IFERROR(__xludf.DUMMYFUNCTION("IMPORTRANGE(H923,""IDENTITAS UNIT!D35"")"),"Wahyu Ayatulloh")</f>
        <v>Wahyu Ayatulloh</v>
      </c>
      <c r="M923" s="99">
        <f ca="1">IFERROR(__xludf.DUMMYFUNCTION("IMPORTRANGE(H923,""IDENTITAS UNIT!F35"")"),2000011291)</f>
        <v>2000011291</v>
      </c>
    </row>
    <row r="924" spans="1:13" ht="49.5">
      <c r="A924" s="4" t="str">
        <v>Reguler Periode ke-119 XIII.A.1</v>
      </c>
      <c r="B924" s="4" t="str">
        <v>Reguler Periode ke-119</v>
      </c>
      <c r="C924" s="4" t="str">
        <v>XIII.A.1</v>
      </c>
      <c r="D924" s="101" t="str">
        <v>https://drive.google.com/open?id=1BQLMl-8UBuSeh_FgdAPlfzOpMjxjY9XTh4On8FtFbJE&amp;usp=drive_copy</v>
      </c>
      <c r="E924" s="101" t="str">
        <v>https://drive.google.com/open?id=1BQLMl-8UBuSeh_FgdAPlfzOpMjxjY9XTh4On8FtFbJE</v>
      </c>
      <c r="F924" s="103" t="str">
        <f ca="1">IFERROR(__xludf.DUMMYFUNCTION("IMPORTRANGE(H924,""IDENTITAS UNIT!D9"")"),"https://maps.app.goo.gl/62wAA3KF7bfzJGcf7")</f>
        <v>https://maps.app.goo.gl/62wAA3KF7bfzJGcf7</v>
      </c>
      <c r="G924" s="4" t="s">
        <v>13380</v>
      </c>
      <c r="H924" s="101" t="str">
        <v>https://docs.google.com/spreadsheets/d/1BQLMl-8UBuSeh_FgdAPlfzOpMjxjY9XTh4On8FtFbJE</v>
      </c>
      <c r="I924" s="101" t="str">
        <v>https://docs.google.com/open?id=1BQLMl-8UBuSeh_FgdAPlfzOpMjxjY9XTh4On8FtFbJE</v>
      </c>
      <c r="J924" s="4" t="str">
        <v>Jragan I, Poncosari, Srandakan</v>
      </c>
      <c r="L924" s="99" t="str">
        <f ca="1">IFERROR(__xludf.DUMMYFUNCTION("IMPORTRANGE(H924,""IDENTITAS UNIT!D35"")"),"Ahmad Wahyudi")</f>
        <v>Ahmad Wahyudi</v>
      </c>
      <c r="M924" s="99">
        <f ca="1">IFERROR(__xludf.DUMMYFUNCTION("IMPORTRANGE(H924,""IDENTITAS UNIT!F35"")"),2000026157)</f>
        <v>2000026157</v>
      </c>
    </row>
    <row r="925" spans="1:13" ht="49.5">
      <c r="A925" s="4" t="str">
        <v>Reguler Periode ke-119 XIII.A.2</v>
      </c>
      <c r="B925" s="4" t="str">
        <v>Reguler Periode ke-119</v>
      </c>
      <c r="C925" s="4" t="str">
        <v>XIII.A.2</v>
      </c>
      <c r="D925" s="101" t="str">
        <v>https://drive.google.com/open?id=1FhbQwC2P78N7UvKbbEf4fZtLjUTmB9qkm15EbeT8pGI&amp;usp=drive_copy</v>
      </c>
      <c r="E925" s="101" t="str">
        <v>https://drive.google.com/open?id=1FhbQwC2P78N7UvKbbEf4fZtLjUTmB9qkm15EbeT8pGI</v>
      </c>
      <c r="F925" s="103" t="str">
        <f ca="1">IFERROR(__xludf.DUMMYFUNCTION("IMPORTRANGE(H925,""IDENTITAS UNIT!D9"")"),"https://maps.app.goo.gl/HFH1aUzCbywDyBoV6")</f>
        <v>https://maps.app.goo.gl/HFH1aUzCbywDyBoV6</v>
      </c>
      <c r="G925" s="4" t="s">
        <v>13381</v>
      </c>
      <c r="H925" s="101" t="str">
        <v>https://docs.google.com/spreadsheets/d/1FhbQwC2P78N7UvKbbEf4fZtLjUTmB9qkm15EbeT8pGI</v>
      </c>
      <c r="I925" s="101" t="str">
        <v>https://docs.google.com/open?id=1FhbQwC2P78N7UvKbbEf4fZtLjUTmB9qkm15EbeT8pGI</v>
      </c>
      <c r="J925" s="4" t="str">
        <v>Krajan, Poncosari, Srandakan</v>
      </c>
      <c r="L925" s="99" t="str">
        <f ca="1">IFERROR(__xludf.DUMMYFUNCTION("IMPORTRANGE(H925,""IDENTITAS UNIT!D35"")"),"Rafif Nugie Indrasta")</f>
        <v>Rafif Nugie Indrasta</v>
      </c>
      <c r="M925" s="99">
        <f ca="1">IFERROR(__xludf.DUMMYFUNCTION("IMPORTRANGE(H925,""IDENTITAS UNIT!F35"")"),2000018210)</f>
        <v>2000018210</v>
      </c>
    </row>
    <row r="926" spans="1:13" ht="49.5">
      <c r="A926" s="4" t="str">
        <v>Reguler Periode ke-119 XIII.A.3</v>
      </c>
      <c r="B926" s="4" t="str">
        <v>Reguler Periode ke-119</v>
      </c>
      <c r="C926" s="4" t="str">
        <v>XIII.A.3</v>
      </c>
      <c r="D926" s="101" t="str">
        <v>https://drive.google.com/open?id=1J4_dGJ0Evjsn88mrszCUSfHjg7Sv7ek2a9AdeLZNGcs&amp;usp=drive_copy</v>
      </c>
      <c r="E926" s="101" t="str">
        <v>https://drive.google.com/open?id=1J4_dGJ0Evjsn88mrszCUSfHjg7Sv7ek2a9AdeLZNGcs</v>
      </c>
      <c r="F926" s="103" t="str">
        <f ca="1">IFERROR(__xludf.DUMMYFUNCTION("IMPORTRANGE(H926,""IDENTITAS UNIT!D9"")"),"https://maps.app.goo.gl/F1CzWwFBWTAmKU757")</f>
        <v>https://maps.app.goo.gl/F1CzWwFBWTAmKU757</v>
      </c>
      <c r="G926" s="4" t="s">
        <v>13382</v>
      </c>
      <c r="H926" s="101" t="str">
        <v>https://docs.google.com/spreadsheets/d/1J4_dGJ0Evjsn88mrszCUSfHjg7Sv7ek2a9AdeLZNGcs</v>
      </c>
      <c r="I926" s="101" t="str">
        <v>https://docs.google.com/open?id=1J4_dGJ0Evjsn88mrszCUSfHjg7Sv7ek2a9AdeLZNGcs</v>
      </c>
      <c r="J926" s="4" t="str">
        <v>Polosiyo, Poncosari, Srandakan</v>
      </c>
      <c r="L926" s="99" t="str">
        <f ca="1">IFERROR(__xludf.DUMMYFUNCTION("IMPORTRANGE(H926,""IDENTITAS UNIT!D35"")"),"Andi Mulya Firman")</f>
        <v>Andi Mulya Firman</v>
      </c>
      <c r="M926" s="99">
        <f ca="1">IFERROR(__xludf.DUMMYFUNCTION("IMPORTRANGE(H926,""IDENTITAS UNIT!F35"")"),2000018283)</f>
        <v>2000018283</v>
      </c>
    </row>
    <row r="927" spans="1:13" ht="49.5">
      <c r="A927" s="4" t="str">
        <v>Reguler Periode ke-119 XIII.B.1</v>
      </c>
      <c r="B927" s="4" t="str">
        <v>Reguler Periode ke-119</v>
      </c>
      <c r="C927" s="4" t="str">
        <v>XIII.B.1</v>
      </c>
      <c r="D927" s="101" t="str">
        <v>https://drive.google.com/open?id=1Kk5ljm1U1aNX9U-iO3woyNGOVfHVoaCk0XRcsdKqFE8&amp;usp=drive_copy</v>
      </c>
      <c r="E927" s="101" t="str">
        <v>https://drive.google.com/open?id=1Kk5ljm1U1aNX9U-iO3woyNGOVfHVoaCk0XRcsdKqFE8</v>
      </c>
      <c r="F927" s="103" t="str">
        <f ca="1">IFERROR(__xludf.DUMMYFUNCTION("IMPORTRANGE(H927,""IDENTITAS UNIT!D9"")"),"https://maps.app.goo.gl/bE5mAgneRHP7Uq4X7")</f>
        <v>https://maps.app.goo.gl/bE5mAgneRHP7Uq4X7</v>
      </c>
      <c r="G927" s="4" t="s">
        <v>13383</v>
      </c>
      <c r="H927" s="101" t="str">
        <v>https://docs.google.com/spreadsheets/d/1Kk5ljm1U1aNX9U-iO3woyNGOVfHVoaCk0XRcsdKqFE8</v>
      </c>
      <c r="I927" s="101" t="str">
        <v>https://docs.google.com/open?id=1Kk5ljm1U1aNX9U-iO3woyNGOVfHVoaCk0XRcsdKqFE8</v>
      </c>
      <c r="J927" s="4" t="str">
        <v>Sambeng I, Poncosari, Srandakan</v>
      </c>
      <c r="L927" s="99" t="str">
        <f ca="1">IFERROR(__xludf.DUMMYFUNCTION("IMPORTRANGE(H927,""IDENTITAS UNIT!D35"")"),"Bintang Wahid Husaeni")</f>
        <v>Bintang Wahid Husaeni</v>
      </c>
      <c r="M927" s="99">
        <f ca="1">IFERROR(__xludf.DUMMYFUNCTION("IMPORTRANGE(H927,""IDENTITAS UNIT!F35"")"),2000011287)</f>
        <v>2000011287</v>
      </c>
    </row>
    <row r="928" spans="1:13" ht="49.5">
      <c r="A928" s="4" t="str">
        <v>Reguler Periode ke-119 XIII.B.2</v>
      </c>
      <c r="B928" s="4" t="str">
        <v>Reguler Periode ke-119</v>
      </c>
      <c r="C928" s="4" t="str">
        <v>XIII.B.2</v>
      </c>
      <c r="D928" s="101" t="str">
        <v>https://drive.google.com/open?id=1M4Ei5XLHh_AqnIF9110SlxEJXFTIrySqKK8HMc9rT8k&amp;usp=drive_copy</v>
      </c>
      <c r="E928" s="101" t="str">
        <v>https://drive.google.com/open?id=1M4Ei5XLHh_AqnIF9110SlxEJXFTIrySqKK8HMc9rT8k</v>
      </c>
      <c r="F928" s="103" t="str">
        <f ca="1">IFERROR(__xludf.DUMMYFUNCTION("IMPORTRANGE(H928,""IDENTITAS UNIT!D9"")"),"https://maps.app.goo.gl/wzt1pQqwiFKjCk7q9")</f>
        <v>https://maps.app.goo.gl/wzt1pQqwiFKjCk7q9</v>
      </c>
      <c r="G928" s="4" t="s">
        <v>13384</v>
      </c>
      <c r="H928" s="101" t="str">
        <v>https://docs.google.com/spreadsheets/d/1M4Ei5XLHh_AqnIF9110SlxEJXFTIrySqKK8HMc9rT8k</v>
      </c>
      <c r="I928" s="101" t="str">
        <v>https://docs.google.com/open?id=1M4Ei5XLHh_AqnIF9110SlxEJXFTIrySqKK8HMc9rT8k</v>
      </c>
      <c r="J928" s="4" t="str">
        <v>Bibis, Poncosari, Srandakan</v>
      </c>
      <c r="L928" s="99" t="str">
        <f ca="1">IFERROR(__xludf.DUMMYFUNCTION("IMPORTRANGE(H928,""IDENTITAS UNIT!D35"")"),"Wisnu Nur Arya Saputra")</f>
        <v>Wisnu Nur Arya Saputra</v>
      </c>
      <c r="M928" s="99">
        <f ca="1">IFERROR(__xludf.DUMMYFUNCTION("IMPORTRANGE(H928,""IDENTITAS UNIT!F35"")"),2000018052)</f>
        <v>2000018052</v>
      </c>
    </row>
    <row r="929" spans="1:13" ht="49.5">
      <c r="A929" s="4" t="str">
        <v>Reguler Periode ke-119 XIII.B.3</v>
      </c>
      <c r="B929" s="4" t="str">
        <v>Reguler Periode ke-119</v>
      </c>
      <c r="C929" s="4" t="str">
        <v>XIII.B.3</v>
      </c>
      <c r="D929" s="101" t="str">
        <v>https://drive.google.com/open?id=1MKr_jjc4GXU_Zmbncl1XMESpZh3TKe1CYRcrgEzOrc4&amp;usp=drive_copy</v>
      </c>
      <c r="E929" s="101" t="str">
        <v>https://drive.google.com/open?id=1MKr_jjc4GXU_Zmbncl1XMESpZh3TKe1CYRcrgEzOrc4</v>
      </c>
      <c r="F929" s="103" t="str">
        <f ca="1">IFERROR(__xludf.DUMMYFUNCTION("IMPORTRANGE(H929,""IDENTITAS UNIT!D9"")"),"https://maps.app.goo.gl/R4C56xF5Veh9kvDh7?g_st=iw")</f>
        <v>https://maps.app.goo.gl/R4C56xF5Veh9kvDh7?g_st=iw</v>
      </c>
      <c r="G929" s="4" t="s">
        <v>13385</v>
      </c>
      <c r="H929" s="101" t="str">
        <v>https://docs.google.com/spreadsheets/d/1MKr_jjc4GXU_Zmbncl1XMESpZh3TKe1CYRcrgEzOrc4</v>
      </c>
      <c r="I929" s="101" t="str">
        <v>https://docs.google.com/open?id=1MKr_jjc4GXU_Zmbncl1XMESpZh3TKe1CYRcrgEzOrc4</v>
      </c>
      <c r="J929" s="4" t="str">
        <v>Besole, Poncosari, Srandakan</v>
      </c>
      <c r="L929" s="99" t="str">
        <f ca="1">IFERROR(__xludf.DUMMYFUNCTION("IMPORTRANGE(H929,""IDENTITAS UNIT!D35"")"),"Muhammad Bina Almadani Parhan")</f>
        <v>Muhammad Bina Almadani Parhan</v>
      </c>
      <c r="M929" s="99">
        <f ca="1">IFERROR(__xludf.DUMMYFUNCTION("IMPORTRANGE(H929,""IDENTITAS UNIT!F35"")"),2000026068)</f>
        <v>2000026068</v>
      </c>
    </row>
    <row r="930" spans="1:13" ht="49.5">
      <c r="A930" s="4" t="str">
        <v>Reguler Periode ke-119 XIII.C.1</v>
      </c>
      <c r="B930" s="4" t="str">
        <v>Reguler Periode ke-119</v>
      </c>
      <c r="C930" s="4" t="str">
        <v>XIII.C.1</v>
      </c>
      <c r="D930" s="101" t="str">
        <v>https://drive.google.com/open?id=1RSm8btu3tw7llgbpmDPWH25n7KJAahHQqNmgb8cE86o&amp;usp=drive_copy</v>
      </c>
      <c r="E930" s="101" t="str">
        <v>https://drive.google.com/open?id=1RSm8btu3tw7llgbpmDPWH25n7KJAahHQqNmgb8cE86o</v>
      </c>
      <c r="F930" s="103" t="str">
        <f ca="1">IFERROR(__xludf.DUMMYFUNCTION("IMPORTRANGE(H930,""IDENTITAS UNIT!D9"")"),"https://maps.app.goo.gl/GMhfQe76bKvMCxgH7")</f>
        <v>https://maps.app.goo.gl/GMhfQe76bKvMCxgH7</v>
      </c>
      <c r="H930" s="101" t="str">
        <v>https://docs.google.com/spreadsheets/d/1RSm8btu3tw7llgbpmDPWH25n7KJAahHQqNmgb8cE86o</v>
      </c>
      <c r="I930" s="101" t="str">
        <v>https://docs.google.com/open?id=1RSm8btu3tw7llgbpmDPWH25n7KJAahHQqNmgb8cE86o</v>
      </c>
      <c r="J930" s="4" t="str">
        <v>Jragan II, Poncosari, Srandakan</v>
      </c>
      <c r="L930" s="99" t="str">
        <f ca="1">IFERROR(__xludf.DUMMYFUNCTION("IMPORTRANGE(H930,""IDENTITAS UNIT!D35"")"),"N.h Nabila Farras")</f>
        <v>N.h Nabila Farras</v>
      </c>
      <c r="M930" s="99">
        <f ca="1">IFERROR(__xludf.DUMMYFUNCTION("IMPORTRANGE(H930,""IDENTITAS UNIT!F35"")"),2000036017)</f>
        <v>2000036017</v>
      </c>
    </row>
    <row r="931" spans="1:13" ht="49.5">
      <c r="A931" s="4" t="str">
        <v>Reguler Periode ke-119 XIII.C.2</v>
      </c>
      <c r="B931" s="4" t="str">
        <v>Reguler Periode ke-119</v>
      </c>
      <c r="C931" s="4" t="str">
        <v>XIII.C.2</v>
      </c>
      <c r="D931" s="101" t="str">
        <v>https://drive.google.com/open?id=1VHeVNoEakEu_3Fys9GdA0tpaonxhxhDzgZdJEhTw7u0&amp;usp=drive_copy</v>
      </c>
      <c r="E931" s="101" t="str">
        <v>https://drive.google.com/open?id=1VHeVNoEakEu_3Fys9GdA0tpaonxhxhDzgZdJEhTw7u0</v>
      </c>
      <c r="F931" s="103" t="str">
        <f ca="1">IFERROR(__xludf.DUMMYFUNCTION("IMPORTRANGE(H931,""IDENTITAS UNIT!D9"")"),"https://maps.app.goo.gl/V8ALyj6yJhsP9h4w9")</f>
        <v>https://maps.app.goo.gl/V8ALyj6yJhsP9h4w9</v>
      </c>
      <c r="G931" s="4" t="s">
        <v>13386</v>
      </c>
      <c r="H931" s="101" t="str">
        <v>https://docs.google.com/spreadsheets/d/1VHeVNoEakEu_3Fys9GdA0tpaonxhxhDzgZdJEhTw7u0</v>
      </c>
      <c r="I931" s="101" t="str">
        <v>https://docs.google.com/open?id=1VHeVNoEakEu_3Fys9GdA0tpaonxhxhDzgZdJEhTw7u0</v>
      </c>
      <c r="J931" s="4" t="str">
        <v>Kukap, Poncosari, Srandakan</v>
      </c>
      <c r="L931" s="99" t="str">
        <f ca="1">IFERROR(__xludf.DUMMYFUNCTION("IMPORTRANGE(H931,""IDENTITAS UNIT!D35"")"),"Alfin Nur Indratama")</f>
        <v>Alfin Nur Indratama</v>
      </c>
      <c r="M931" s="99">
        <f ca="1">IFERROR(__xludf.DUMMYFUNCTION("IMPORTRANGE(H931,""IDENTITAS UNIT!F35"")"),1900018108)</f>
        <v>1900018108</v>
      </c>
    </row>
    <row r="932" spans="1:13" ht="49.5">
      <c r="A932" s="4" t="str">
        <v>Reguler Periode ke-119 XIII.C.3</v>
      </c>
      <c r="B932" s="4" t="str">
        <v>Reguler Periode ke-119</v>
      </c>
      <c r="C932" s="4" t="str">
        <v>XIII.C.3</v>
      </c>
      <c r="D932" s="101" t="str">
        <v>https://drive.google.com/open?id=1W8-YnxJU9mEmehXQIh8Ljt6bMy3x95GwhJYHGegfkxw&amp;usp=drive_copy</v>
      </c>
      <c r="E932" s="101" t="str">
        <v>https://drive.google.com/open?id=1W8-YnxJU9mEmehXQIh8Ljt6bMy3x95GwhJYHGegfkxw</v>
      </c>
      <c r="F932" s="103" t="str">
        <f ca="1">IFERROR(__xludf.DUMMYFUNCTION("IMPORTRANGE(H932,""IDENTITAS UNIT!D9"")"),"https://goo.gl/maps/ciGUpdpQXvtbHgoa6")</f>
        <v>https://goo.gl/maps/ciGUpdpQXvtbHgoa6</v>
      </c>
      <c r="G932" s="4" t="s">
        <v>13387</v>
      </c>
      <c r="H932" s="101" t="str">
        <v>https://docs.google.com/spreadsheets/d/1W8-YnxJU9mEmehXQIh8Ljt6bMy3x95GwhJYHGegfkxw</v>
      </c>
      <c r="I932" s="101" t="str">
        <v>https://docs.google.com/open?id=1W8-YnxJU9mEmehXQIh8Ljt6bMy3x95GwhJYHGegfkxw</v>
      </c>
      <c r="J932" s="4" t="str">
        <v>Koripan, Poncosari, Srandakan</v>
      </c>
      <c r="L932" s="99" t="str">
        <f ca="1">IFERROR(__xludf.DUMMYFUNCTION("IMPORTRANGE(H932,""IDENTITAS UNIT!D35"")"),"Rizky Sukma Pratama")</f>
        <v>Rizky Sukma Pratama</v>
      </c>
      <c r="M932" s="99">
        <f ca="1">IFERROR(__xludf.DUMMYFUNCTION("IMPORTRANGE(H932,""IDENTITAS UNIT!F35"")"),2000011381)</f>
        <v>2000011381</v>
      </c>
    </row>
    <row r="933" spans="1:13" ht="49.5">
      <c r="A933" s="4" t="str">
        <v>Reguler Periode ke-119 XIII.D.1</v>
      </c>
      <c r="B933" s="4" t="str">
        <v>Reguler Periode ke-119</v>
      </c>
      <c r="C933" s="4" t="str">
        <v>XIII.D.1</v>
      </c>
      <c r="D933" s="101" t="str">
        <v>https://drive.google.com/open?id=1hwkAUAByOT0oYcNjrPJFJL25inXb2j0PllUvrBO5hvQ&amp;usp=drive_copy</v>
      </c>
      <c r="E933" s="101" t="str">
        <v>https://drive.google.com/open?id=1hwkAUAByOT0oYcNjrPJFJL25inXb2j0PllUvrBO5hvQ</v>
      </c>
      <c r="F933" s="103" t="str">
        <f ca="1">IFERROR(__xludf.DUMMYFUNCTION("IMPORTRANGE(H933,""IDENTITAS UNIT!D9"")"),"https://maps.app.goo.gl/NGKL3EpN46ZksapJ8")</f>
        <v>https://maps.app.goo.gl/NGKL3EpN46ZksapJ8</v>
      </c>
      <c r="G933" s="4" t="s">
        <v>13388</v>
      </c>
      <c r="H933" s="101" t="str">
        <v>https://docs.google.com/spreadsheets/d/1hwkAUAByOT0oYcNjrPJFJL25inXb2j0PllUvrBO5hvQ</v>
      </c>
      <c r="I933" s="101" t="str">
        <v>https://docs.google.com/open?id=1hwkAUAByOT0oYcNjrPJFJL25inXb2j0PllUvrBO5hvQ</v>
      </c>
      <c r="J933" s="4" t="str">
        <v>Cangkring, Poncosari, Srandakan</v>
      </c>
      <c r="L933" s="99" t="str">
        <f ca="1">IFERROR(__xludf.DUMMYFUNCTION("IMPORTRANGE(H933,""IDENTITAS UNIT!D35"")"),"Darmansyah S. Arsyad")</f>
        <v>Darmansyah S. Arsyad</v>
      </c>
      <c r="M933" s="99">
        <f ca="1">IFERROR(__xludf.DUMMYFUNCTION("IMPORTRANGE(H933,""IDENTITAS UNIT!F35"")"),2000028070)</f>
        <v>2000028070</v>
      </c>
    </row>
    <row r="934" spans="1:13" ht="49.5">
      <c r="A934" s="4" t="str">
        <v>Reguler Periode ke-119 XIII.D.2</v>
      </c>
      <c r="B934" s="4" t="str">
        <v>Reguler Periode ke-119</v>
      </c>
      <c r="C934" s="4" t="str">
        <v>XIII.D.2</v>
      </c>
      <c r="D934" s="101" t="str">
        <v>https://drive.google.com/open?id=1rE_ckqhKl7FSC5fenyBrcNODErnTSokKP3B0_36z4CY&amp;usp=drive_copy</v>
      </c>
      <c r="E934" s="101" t="str">
        <v>https://drive.google.com/open?id=1rE_ckqhKl7FSC5fenyBrcNODErnTSokKP3B0_36z4CY</v>
      </c>
      <c r="F934" s="103" t="str">
        <f ca="1">IFERROR(__xludf.DUMMYFUNCTION("IMPORTRANGE(H934,""IDENTITAS UNIT!D9"")"),"https://maps.app.goo.gl/yGTeuw6hU8yesirD6")</f>
        <v>https://maps.app.goo.gl/yGTeuw6hU8yesirD6</v>
      </c>
      <c r="G934" s="4" t="s">
        <v>13389</v>
      </c>
      <c r="H934" s="101" t="str">
        <v>https://docs.google.com/spreadsheets/d/1rE_ckqhKl7FSC5fenyBrcNODErnTSokKP3B0_36z4CY</v>
      </c>
      <c r="I934" s="101" t="str">
        <v>https://docs.google.com/open?id=1rE_ckqhKl7FSC5fenyBrcNODErnTSokKP3B0_36z4CY</v>
      </c>
      <c r="J934" s="4" t="str">
        <v>Ngentak, Poncosari, Srandakan</v>
      </c>
      <c r="L934" s="99" t="str">
        <f ca="1">IFERROR(__xludf.DUMMYFUNCTION("IMPORTRANGE(H934,""IDENTITAS UNIT!D35"")"),"Muhammad Fachri Maswi")</f>
        <v>Muhammad Fachri Maswi</v>
      </c>
      <c r="M934" s="99" t="str">
        <f ca="1">IFERROR(__xludf.DUMMYFUNCTION("IMPORTRANGE(H934,""IDENTITAS UNIT!F35"")"),"PILIH SESUAI DENGAN NAMA YANG TERSEDIA")</f>
        <v>PILIH SESUAI DENGAN NAMA YANG TERSEDIA</v>
      </c>
    </row>
    <row r="935" spans="1:13" ht="280.5">
      <c r="A935" s="4" t="str">
        <v>Reguler Periode ke-119 XIII.D.3</v>
      </c>
      <c r="B935" s="4" t="str">
        <v>Reguler Periode ke-119</v>
      </c>
      <c r="C935" s="4" t="str">
        <v>XIII.D.3</v>
      </c>
      <c r="D935" s="101" t="str">
        <v>https://drive.google.com/open?id=1s2TfMVV6iHv16riausmRZ11glqryl6mn7rLxUsFPe00&amp;usp=drive_copy</v>
      </c>
      <c r="E935" s="101" t="str">
        <v>https://drive.google.com/open?id=1s2TfMVV6iHv16riausmRZ11glqryl6mn7rLxUsFPe00</v>
      </c>
      <c r="F935" s="103" t="str">
        <f ca="1">IFERROR(__xludf.DUMMYFUNCTION("IMPORTRANGE(H935,""IDENTITAS UNIT!D9"")"),"https://www.google.com/maps/place/Gg.+Sadewa+III,+Sambong+3,+Poncosari,+Kec.+Srandakan,+Kabupaten+Bantul,+Daerah+Istimewa+Yogyakarta+55762/@-7.9682539,110.2291209,757m/data=!3m2!1e3!4b1!4m6!3m5!1s0x2e7b02009bd807e5:0xa2bdc39f5bdfb52e!8m2!3d-7.9682592!4d11"&amp;"0.2316958!16s%2Fg%2F11h3ngq_22?entry=ttu")</f>
        <v>https://www.google.com/maps/place/Gg.+Sadewa+III,+Sambong+3,+Poncosari,+Kec.+Srandakan,+Kabupaten+Bantul,+Daerah+Istimewa+Yogyakarta+55762/@-7.9682539,110.2291209,757m/data=!3m2!1e3!4b1!4m6!3m5!1s0x2e7b02009bd807e5:0xa2bdc39f5bdfb52e!8m2!3d-7.9682592!4d110.2316958!16s%2Fg%2F11h3ngq_22?entry=ttu</v>
      </c>
      <c r="G935" s="4" t="s">
        <v>13390</v>
      </c>
      <c r="H935" s="101" t="str">
        <v>https://docs.google.com/spreadsheets/d/1s2TfMVV6iHv16riausmRZ11glqryl6mn7rLxUsFPe00</v>
      </c>
      <c r="I935" s="101" t="str">
        <v>https://docs.google.com/open?id=1s2TfMVV6iHv16riausmRZ11glqryl6mn7rLxUsFPe00</v>
      </c>
      <c r="J935" s="4" t="str">
        <v>Sambeng III, Poncosari, Srandakan</v>
      </c>
      <c r="L935" s="99" t="str">
        <f ca="1">IFERROR(__xludf.DUMMYFUNCTION("IMPORTRANGE(H935,""IDENTITAS UNIT!D35"")"),"Ariyo Putra Pratama")</f>
        <v>Ariyo Putra Pratama</v>
      </c>
      <c r="M935" s="99" t="str">
        <f ca="1">IFERROR(__xludf.DUMMYFUNCTION("IMPORTRANGE(H935,""IDENTITAS UNIT!F35"")"),"PILIH SESUAI DENGAN NAMA YANG TERSEDIA")</f>
        <v>PILIH SESUAI DENGAN NAMA YANG TERSEDIA</v>
      </c>
    </row>
    <row r="936" spans="1:13" ht="49.5">
      <c r="A936" s="4" t="str">
        <v>Reguler Periode ke-119 XIV.A.1</v>
      </c>
      <c r="B936" s="4" t="str">
        <v>Reguler Periode ke-119</v>
      </c>
      <c r="C936" s="4" t="str">
        <v>XIV.A.1</v>
      </c>
      <c r="D936" s="101" t="str">
        <v>https://drive.google.com/open?id=1JzcGtbGzXkzj43IU3jfTpNYbAR-EcA_b2T5o8vdTkeo&amp;usp=drive_copy</v>
      </c>
      <c r="E936" s="101" t="str">
        <v>https://drive.google.com/open?id=1JzcGtbGzXkzj43IU3jfTpNYbAR-EcA_b2T5o8vdTkeo</v>
      </c>
      <c r="F936" s="103" t="str">
        <f ca="1">IFERROR(__xludf.DUMMYFUNCTION("IMPORTRANGE(H936,""IDENTITAS UNIT!D9"")"),"https://maps.app.goo.gl/N6V8ainhrz9ryRNv9")</f>
        <v>https://maps.app.goo.gl/N6V8ainhrz9ryRNv9</v>
      </c>
      <c r="G936" s="4" t="s">
        <v>13391</v>
      </c>
      <c r="H936" s="101" t="str">
        <v>https://docs.google.com/spreadsheets/d/1JzcGtbGzXkzj43IU3jfTpNYbAR-EcA_b2T5o8vdTkeo</v>
      </c>
      <c r="I936" s="101" t="str">
        <v>https://docs.google.com/open?id=1JzcGtbGzXkzj43IU3jfTpNYbAR-EcA_b2T5o8vdTkeo</v>
      </c>
      <c r="J936" s="4" t="str">
        <v>Karang, Poncosari, Srandakan</v>
      </c>
      <c r="L936" s="99" t="str">
        <f ca="1">IFERROR(__xludf.DUMMYFUNCTION("IMPORTRANGE(H936,""IDENTITAS UNIT!D35"")"),"A.R. BAHRY AL FARIZI")</f>
        <v>A.R. BAHRY AL FARIZI</v>
      </c>
      <c r="M936" s="99">
        <f ca="1">IFERROR(__xludf.DUMMYFUNCTION("IMPORTRANGE(H936,""IDENTITAS UNIT!F35"")"),1800028053)</f>
        <v>1800028053</v>
      </c>
    </row>
    <row r="937" spans="1:13" ht="49.5">
      <c r="A937" s="4" t="str">
        <v>Reguler Periode ke-119 XIV.A.2</v>
      </c>
      <c r="B937" s="4" t="str">
        <v>Reguler Periode ke-119</v>
      </c>
      <c r="C937" s="4" t="str">
        <v>XIV.A.2</v>
      </c>
      <c r="D937" s="101" t="str">
        <v>https://drive.google.com/open?id=1fbASbdOk6qezIFeASok8XuHnJ5La5Gfv0GGAkgJj468&amp;usp=drive_copy</v>
      </c>
      <c r="E937" s="101" t="str">
        <v>https://drive.google.com/open?id=1fbASbdOk6qezIFeASok8XuHnJ5La5Gfv0GGAkgJj468</v>
      </c>
      <c r="F937" s="103" t="str">
        <f ca="1">IFERROR(__xludf.DUMMYFUNCTION("IMPORTRANGE(H937,""IDENTITAS UNIT!D9"")"),"https://maps.app.goo.gl/23TRQ8iQwm3VhR9w7")</f>
        <v>https://maps.app.goo.gl/23TRQ8iQwm3VhR9w7</v>
      </c>
      <c r="G937" s="4" t="s">
        <v>13392</v>
      </c>
      <c r="H937" s="101" t="str">
        <v>https://docs.google.com/spreadsheets/d/1fbASbdOk6qezIFeASok8XuHnJ5La5Gfv0GGAkgJj468</v>
      </c>
      <c r="I937" s="101" t="str">
        <v>https://docs.google.com/open?id=1fbASbdOk6qezIFeASok8XuHnJ5La5Gfv0GGAkgJj468</v>
      </c>
      <c r="J937" s="4" t="str">
        <v>Bayuran, Poncosari, Srandakan</v>
      </c>
      <c r="L937" s="99" t="str">
        <f ca="1">IFERROR(__xludf.DUMMYFUNCTION("IMPORTRANGE(H937,""IDENTITAS UNIT!D35"")"),"Ardyla Yuanita Wibowo")</f>
        <v>Ardyla Yuanita Wibowo</v>
      </c>
      <c r="M937" s="99">
        <f ca="1">IFERROR(__xludf.DUMMYFUNCTION("IMPORTRANGE(H937,""IDENTITAS UNIT!F35"")"),2015010041)</f>
        <v>2015010041</v>
      </c>
    </row>
    <row r="938" spans="1:13" ht="49.5">
      <c r="A938" s="4" t="str">
        <v>Reguler Periode ke-119 XIV.A.3</v>
      </c>
      <c r="B938" s="4" t="str">
        <v>Reguler Periode ke-119</v>
      </c>
      <c r="C938" s="4" t="str">
        <v>XIV.A.3</v>
      </c>
      <c r="D938" s="101" t="str">
        <v>https://drive.google.com/open?id=1rH6kyAVbX8pW5MAOrlk2Jokqia-0_4uWlt2iRtdD1mY&amp;usp=drive_copy</v>
      </c>
      <c r="E938" s="101" t="str">
        <v>https://drive.google.com/open?id=1rH6kyAVbX8pW5MAOrlk2Jokqia-0_4uWlt2iRtdD1mY</v>
      </c>
      <c r="F938" s="103" t="str">
        <f ca="1">IFERROR(__xludf.DUMMYFUNCTION("IMPORTRANGE(H938,""IDENTITAS UNIT!D9"")"),"https://maps.app.goo.gl/YkRgmPAqtMiduCGNA")</f>
        <v>https://maps.app.goo.gl/YkRgmPAqtMiduCGNA</v>
      </c>
      <c r="G938" s="4" t="s">
        <v>13393</v>
      </c>
      <c r="H938" s="101" t="str">
        <v>https://docs.google.com/spreadsheets/d/1rH6kyAVbX8pW5MAOrlk2Jokqia-0_4uWlt2iRtdD1mY</v>
      </c>
      <c r="I938" s="101" t="str">
        <v>https://docs.google.com/open?id=1rH6kyAVbX8pW5MAOrlk2Jokqia-0_4uWlt2iRtdD1mY</v>
      </c>
      <c r="J938" s="4" t="str">
        <v>Godegan, Poncosari, Srandakan</v>
      </c>
      <c r="L938" s="99" t="str">
        <f ca="1">IFERROR(__xludf.DUMMYFUNCTION("IMPORTRANGE(H938,""IDENTITAS UNIT!D35"")"),"Miftah Mushobbirin")</f>
        <v>Miftah Mushobbirin</v>
      </c>
      <c r="M938" s="99">
        <f ca="1">IFERROR(__xludf.DUMMYFUNCTION("IMPORTRANGE(H938,""IDENTITAS UNIT!F35"")"),2000011034)</f>
        <v>2000011034</v>
      </c>
    </row>
    <row r="939" spans="1:13" ht="33">
      <c r="A939" s="4" t="str">
        <v>Reguler Periode ke-119 XIV.B.1</v>
      </c>
      <c r="B939" s="4" t="str">
        <v>Reguler Periode ke-119</v>
      </c>
      <c r="C939" s="4" t="str">
        <v>XIV.B.1</v>
      </c>
      <c r="D939" s="101" t="str">
        <v>https://drive.google.com/open?id=1prdDQAHRhsCE7UAcoNvSUPgG37gcwChHioujJD2Xbe0&amp;usp=drive_copy</v>
      </c>
      <c r="E939" s="101" t="str">
        <v>https://drive.google.com/open?id=1prdDQAHRhsCE7UAcoNvSUPgG37gcwChHioujJD2Xbe0</v>
      </c>
      <c r="F939" s="102" t="str">
        <f ca="1">IFERROR(__xludf.DUMMYFUNCTION("IMPORTRANGE(H939,""IDENTITAS UNIT!D9"")"),"7° 38' 50.4676"" S 110° 15' 4.0597"" E")</f>
        <v>7° 38' 50.4676" S 110° 15' 4.0597" E</v>
      </c>
      <c r="H939" s="101" t="str">
        <v>https://docs.google.com/spreadsheets/d/1prdDQAHRhsCE7UAcoNvSUPgG37gcwChHioujJD2Xbe0</v>
      </c>
      <c r="I939" s="101" t="str">
        <v>https://docs.google.com/open?id=1prdDQAHRhsCE7UAcoNvSUPgG37gcwChHioujJD2Xbe0</v>
      </c>
      <c r="J939" s="4" t="str">
        <v>Beji, Banjaroyo, Kalibawang</v>
      </c>
      <c r="L939" s="99" t="str">
        <f ca="1">IFERROR(__xludf.DUMMYFUNCTION("IMPORTRANGE(H939,""IDENTITAS UNIT!D35"")"),"Oryza Zativa Agatha")</f>
        <v>Oryza Zativa Agatha</v>
      </c>
      <c r="M939" s="99">
        <f ca="1">IFERROR(__xludf.DUMMYFUNCTION("IMPORTRANGE(H939,""IDENTITAS UNIT!F35"")"),2000036128)</f>
        <v>2000036128</v>
      </c>
    </row>
    <row r="940" spans="1:13" ht="49.5">
      <c r="A940" s="4" t="str">
        <v>Reguler Periode ke-119 XIV.B.2</v>
      </c>
      <c r="B940" s="4" t="str">
        <v>Reguler Periode ke-119</v>
      </c>
      <c r="C940" s="4" t="str">
        <v>XIV.B.2</v>
      </c>
      <c r="D940" s="101" t="str">
        <v>https://drive.google.com/open?id=1FkaDDLgFi_H-nJcPFo2xv32OCp-8Si-OgH6LiYw4PAo&amp;usp=drive_copy</v>
      </c>
      <c r="E940" s="101" t="str">
        <v>https://drive.google.com/open?id=1FkaDDLgFi_H-nJcPFo2xv32OCp-8Si-OgH6LiYw4PAo</v>
      </c>
      <c r="F940" s="103" t="str">
        <f ca="1">IFERROR(__xludf.DUMMYFUNCTION("IMPORTRANGE(H940,""IDENTITAS UNIT!D9"")"),"https://maps.app.goo.gl/U8rwwzy4ZrRkM1Ho6")</f>
        <v>https://maps.app.goo.gl/U8rwwzy4ZrRkM1Ho6</v>
      </c>
      <c r="G940" s="4" t="s">
        <v>13394</v>
      </c>
      <c r="H940" s="101" t="str">
        <v>https://docs.google.com/spreadsheets/d/1FkaDDLgFi_H-nJcPFo2xv32OCp-8Si-OgH6LiYw4PAo</v>
      </c>
      <c r="I940" s="101" t="str">
        <v>https://docs.google.com/open?id=1FkaDDLgFi_H-nJcPFo2xv32OCp-8Si-OgH6LiYw4PAo</v>
      </c>
      <c r="J940" s="4" t="str">
        <v>Dlingseng, Banjaroyo, Kalibawang</v>
      </c>
      <c r="L940" s="99" t="str">
        <f ca="1">IFERROR(__xludf.DUMMYFUNCTION("IMPORTRANGE(H940,""IDENTITAS UNIT!D35"")"),"Jadid Habibillah Al Ghazi Supriyono")</f>
        <v>Jadid Habibillah Al Ghazi Supriyono</v>
      </c>
      <c r="M940" s="99">
        <f ca="1">IFERROR(__xludf.DUMMYFUNCTION("IMPORTRANGE(H940,""IDENTITAS UNIT!F35"")"),2000011341)</f>
        <v>2000011341</v>
      </c>
    </row>
    <row r="941" spans="1:13" ht="49.5">
      <c r="A941" s="4" t="str">
        <v>Reguler Periode ke-119 XIV.B.3</v>
      </c>
      <c r="B941" s="4" t="str">
        <v>Reguler Periode ke-119</v>
      </c>
      <c r="C941" s="4" t="str">
        <v>XIV.B.3</v>
      </c>
      <c r="D941" s="101" t="str">
        <v>https://drive.google.com/open?id=14AjmcSxFqO98I0h0kG6Pk1ZscuoTColeCO15tJvy1I4&amp;usp=drive_copy</v>
      </c>
      <c r="E941" s="101" t="str">
        <v>https://drive.google.com/open?id=14AjmcSxFqO98I0h0kG6Pk1ZscuoTColeCO15tJvy1I4</v>
      </c>
      <c r="F941" s="103" t="str">
        <f ca="1">IFERROR(__xludf.DUMMYFUNCTION("IMPORTRANGE(H941,""IDENTITAS UNIT!D9"")"),"https://maps.app.goo.gl/SAE9oE1PnsHU9Dqe9")</f>
        <v>https://maps.app.goo.gl/SAE9oE1PnsHU9Dqe9</v>
      </c>
      <c r="G941" s="4" t="s">
        <v>13395</v>
      </c>
      <c r="H941" s="101" t="str">
        <v>https://docs.google.com/spreadsheets/d/14AjmcSxFqO98I0h0kG6Pk1ZscuoTColeCO15tJvy1I4</v>
      </c>
      <c r="I941" s="101" t="str">
        <v>https://docs.google.com/open?id=14AjmcSxFqO98I0h0kG6Pk1ZscuoTColeCO15tJvy1I4</v>
      </c>
      <c r="J941" s="4" t="str">
        <v>Klangon, Banjaroyo, Kalibawang</v>
      </c>
      <c r="L941" s="99" t="str">
        <f ca="1">IFERROR(__xludf.DUMMYFUNCTION("IMPORTRANGE(H941,""IDENTITAS UNIT!D35"")"),"Habbatul Qolbi H")</f>
        <v>Habbatul Qolbi H</v>
      </c>
      <c r="M941" s="99">
        <f ca="1">IFERROR(__xludf.DUMMYFUNCTION("IMPORTRANGE(H941,""IDENTITAS UNIT!F35"")"),2000018240)</f>
        <v>2000018240</v>
      </c>
    </row>
    <row r="942" spans="1:13" ht="49.5">
      <c r="A942" s="4" t="str">
        <v>Reguler Periode ke-119 XIV.C.1</v>
      </c>
      <c r="B942" s="4" t="str">
        <v>Reguler Periode ke-119</v>
      </c>
      <c r="C942" s="4" t="str">
        <v>XIV.C.1</v>
      </c>
      <c r="D942" s="101" t="str">
        <v>https://drive.google.com/open?id=1mxuSbGlj9k491eazC4Z3igjTPbInYE79aNtgLPzMC6Y&amp;usp=drive_copy</v>
      </c>
      <c r="E942" s="101" t="str">
        <v>https://drive.google.com/open?id=1mxuSbGlj9k491eazC4Z3igjTPbInYE79aNtgLPzMC6Y</v>
      </c>
      <c r="F942" s="103" t="str">
        <f ca="1">IFERROR(__xludf.DUMMYFUNCTION("IMPORTRANGE(H942,""IDENTITAS UNIT!D9"")"),"https://maps.app.goo.gl/kShBnuuX25LA8dcv9")</f>
        <v>https://maps.app.goo.gl/kShBnuuX25LA8dcv9</v>
      </c>
      <c r="G942" s="4" t="s">
        <v>13395</v>
      </c>
      <c r="H942" s="101" t="str">
        <v>https://docs.google.com/spreadsheets/d/1mxuSbGlj9k491eazC4Z3igjTPbInYE79aNtgLPzMC6Y</v>
      </c>
      <c r="I942" s="101" t="str">
        <v>https://docs.google.com/open?id=1mxuSbGlj9k491eazC4Z3igjTPbInYE79aNtgLPzMC6Y</v>
      </c>
      <c r="J942" s="4" t="str">
        <v>Semawung, Banjaroyo, Kalibawang</v>
      </c>
      <c r="L942" s="99" t="str">
        <f ca="1">IFERROR(__xludf.DUMMYFUNCTION("IMPORTRANGE(H942,""IDENTITAS UNIT!D35"")"),"Moh Amirrulloh")</f>
        <v>Moh Amirrulloh</v>
      </c>
      <c r="M942" s="99" t="str">
        <f ca="1">IFERROR(__xludf.DUMMYFUNCTION("IMPORTRANGE(H942,""IDENTITAS UNIT!F35"")"),"PILIH SESUAI DENGAN NAMA YANG TERSEDIA")</f>
        <v>PILIH SESUAI DENGAN NAMA YANG TERSEDIA</v>
      </c>
    </row>
    <row r="943" spans="1:13" ht="49.5">
      <c r="A943" s="4" t="str">
        <v>Reguler Periode ke-119 XIV.C.2</v>
      </c>
      <c r="B943" s="4" t="str">
        <v>Reguler Periode ke-119</v>
      </c>
      <c r="C943" s="4" t="str">
        <v>XIV.C.2</v>
      </c>
      <c r="D943" s="101" t="str">
        <v>https://drive.google.com/open?id=1QI46iaT6QLn_FWY_QD7lgI6VdaqHfQWt1vFQMPzzr7Q&amp;usp=drive_copy</v>
      </c>
      <c r="E943" s="101" t="str">
        <v>https://drive.google.com/open?id=1QI46iaT6QLn_FWY_QD7lgI6VdaqHfQWt1vFQMPzzr7Q</v>
      </c>
      <c r="F943" s="103" t="str">
        <f ca="1">IFERROR(__xludf.DUMMYFUNCTION("IMPORTRANGE(H943,""IDENTITAS UNIT!D9"")"),"https://maps.app.goo.gl/2qZFqsUWkkV96GTd7")</f>
        <v>https://maps.app.goo.gl/2qZFqsUWkkV96GTd7</v>
      </c>
      <c r="G943" s="4" t="s">
        <v>13396</v>
      </c>
      <c r="H943" s="101" t="str">
        <v>https://docs.google.com/spreadsheets/d/1QI46iaT6QLn_FWY_QD7lgI6VdaqHfQWt1vFQMPzzr7Q</v>
      </c>
      <c r="I943" s="101" t="str">
        <v>https://docs.google.com/open?id=1QI46iaT6QLn_FWY_QD7lgI6VdaqHfQWt1vFQMPzzr7Q</v>
      </c>
      <c r="J943" s="4" t="str">
        <v>Pantog Kulon, Banjaroyo, Kalibawang</v>
      </c>
      <c r="L943" s="99" t="str">
        <f ca="1">IFERROR(__xludf.DUMMYFUNCTION("IMPORTRANGE(H943,""IDENTITAS UNIT!D35"")"),"Revasya Diva Oktaviani")</f>
        <v>Revasya Diva Oktaviani</v>
      </c>
      <c r="M943" s="99">
        <f ca="1">IFERROR(__xludf.DUMMYFUNCTION("IMPORTRANGE(H943,""IDENTITAS UNIT!F35"")"),2000024105)</f>
        <v>2000024105</v>
      </c>
    </row>
    <row r="944" spans="1:13" ht="49.5">
      <c r="A944" s="4" t="str">
        <v>Reguler Periode ke-119 XIV.C.3</v>
      </c>
      <c r="B944" s="4" t="str">
        <v>Reguler Periode ke-119</v>
      </c>
      <c r="C944" s="4" t="str">
        <v>XIV.C.3</v>
      </c>
      <c r="D944" s="101" t="str">
        <v>https://drive.google.com/open?id=1P30C7qC89zbuaidMCY1Hk2p00nfFb_PzLKl5HwA-xnU&amp;usp=drive_copy</v>
      </c>
      <c r="E944" s="101" t="str">
        <v>https://drive.google.com/open?id=1P30C7qC89zbuaidMCY1Hk2p00nfFb_PzLKl5HwA-xnU</v>
      </c>
      <c r="F944" s="103" t="str">
        <f ca="1">IFERROR(__xludf.DUMMYFUNCTION("IMPORTRANGE(H944,""IDENTITAS UNIT!D9"")"),"https://maps.app.goo.gl/6QCCixgbawi54SPP8")</f>
        <v>https://maps.app.goo.gl/6QCCixgbawi54SPP8</v>
      </c>
      <c r="G944" s="4" t="s">
        <v>13397</v>
      </c>
      <c r="H944" s="101" t="str">
        <v>https://docs.google.com/spreadsheets/d/1P30C7qC89zbuaidMCY1Hk2p00nfFb_PzLKl5HwA-xnU</v>
      </c>
      <c r="I944" s="101" t="str">
        <v>https://docs.google.com/open?id=1P30C7qC89zbuaidMCY1Hk2p00nfFb_PzLKl5HwA-xnU</v>
      </c>
      <c r="J944" s="4" t="str">
        <v>Pantog Wetan, Banjaroyo, Kalibawang</v>
      </c>
      <c r="L944" s="99" t="str">
        <f ca="1">IFERROR(__xludf.DUMMYFUNCTION("IMPORTRANGE(H944,""IDENTITAS UNIT!D35"")"),"Bambang Arief Wijayanto")</f>
        <v>Bambang Arief Wijayanto</v>
      </c>
      <c r="M944" s="99">
        <f ca="1">IFERROR(__xludf.DUMMYFUNCTION("IMPORTRANGE(H944,""IDENTITAS UNIT!F35"")"),2000011342)</f>
        <v>2000011342</v>
      </c>
    </row>
    <row r="945" spans="1:13" ht="49.5">
      <c r="A945" s="4" t="str">
        <v>Reguler Periode ke-119 XIV.D.1</v>
      </c>
      <c r="B945" s="4" t="str">
        <v>Reguler Periode ke-119</v>
      </c>
      <c r="C945" s="4" t="str">
        <v>XIV.D.1</v>
      </c>
      <c r="D945" s="101" t="str">
        <v>https://drive.google.com/open?id=1qCqj-iSsJPsQFZ560U3TOTy78w-l888Ydu7XQ3hU5hM&amp;usp=drive_copy</v>
      </c>
      <c r="E945" s="101" t="str">
        <v>https://drive.google.com/open?id=1qCqj-iSsJPsQFZ560U3TOTy78w-l888Ydu7XQ3hU5hM</v>
      </c>
      <c r="F945" s="103" t="str">
        <f ca="1">IFERROR(__xludf.DUMMYFUNCTION("IMPORTRANGE(H945,""IDENTITAS UNIT!D9"")"),"https://maps.app.goo.gl/DrGoBeH8KLN99ayL7")</f>
        <v>https://maps.app.goo.gl/DrGoBeH8KLN99ayL7</v>
      </c>
      <c r="G945" s="4" t="s">
        <v>13398</v>
      </c>
      <c r="H945" s="101" t="str">
        <v>https://docs.google.com/spreadsheets/d/1qCqj-iSsJPsQFZ560U3TOTy78w-l888Ydu7XQ3hU5hM</v>
      </c>
      <c r="I945" s="101" t="str">
        <v>https://docs.google.com/open?id=1qCqj-iSsJPsQFZ560U3TOTy78w-l888Ydu7XQ3hU5hM</v>
      </c>
      <c r="J945" s="4" t="str">
        <v>Paras, Banjarasri, Kalibawang</v>
      </c>
      <c r="L945" s="99" t="str">
        <f ca="1">IFERROR(__xludf.DUMMYFUNCTION("IMPORTRANGE(H945,""IDENTITAS UNIT!D35"")"),"Ferdy")</f>
        <v>Ferdy</v>
      </c>
      <c r="M945" s="99">
        <f ca="1">IFERROR(__xludf.DUMMYFUNCTION("IMPORTRANGE(H945,""IDENTITAS UNIT!F35"")"),2000011146)</f>
        <v>2000011146</v>
      </c>
    </row>
    <row r="946" spans="1:13" ht="66">
      <c r="A946" s="4" t="str">
        <v>Reguler Periode ke-119 XIV.D.2</v>
      </c>
      <c r="B946" s="4" t="str">
        <v>Reguler Periode ke-119</v>
      </c>
      <c r="C946" s="4" t="str">
        <v>XIV.D.2</v>
      </c>
      <c r="D946" s="101" t="str">
        <v>https://drive.google.com/open?id=1gnt4AFyXmaaRGzayHdK0_PmNalG3gRic42cC1r0nYrw&amp;usp=drive_copy</v>
      </c>
      <c r="E946" s="101" t="str">
        <v>https://drive.google.com/open?id=1gnt4AFyXmaaRGzayHdK0_PmNalG3gRic42cC1r0nYrw</v>
      </c>
      <c r="F946" s="103" t="str">
        <f ca="1">IFERROR(__xludf.DUMMYFUNCTION("IMPORTRANGE(H946,""IDENTITAS UNIT!D9"")"),"https://www.google.com/maps?q=-7.70388841629028,110.237419128418")</f>
        <v>https://www.google.com/maps?q=-7.70388841629028,110.237419128418</v>
      </c>
      <c r="G946" s="4" t="s">
        <v>13399</v>
      </c>
      <c r="H946" s="101" t="str">
        <v>https://docs.google.com/spreadsheets/d/1gnt4AFyXmaaRGzayHdK0_PmNalG3gRic42cC1r0nYrw</v>
      </c>
      <c r="I946" s="101" t="str">
        <v>https://docs.google.com/open?id=1gnt4AFyXmaaRGzayHdK0_PmNalG3gRic42cC1r0nYrw</v>
      </c>
      <c r="J946" s="4" t="str">
        <v>Dukuh, Banjarasri, Kalibawang</v>
      </c>
      <c r="L946" s="99" t="str">
        <f ca="1">IFERROR(__xludf.DUMMYFUNCTION("IMPORTRANGE(H946,""IDENTITAS UNIT!D35"")"),"Aris Afrianto Nugroho")</f>
        <v>Aris Afrianto Nugroho</v>
      </c>
      <c r="M946" s="99" t="str">
        <f ca="1">IFERROR(__xludf.DUMMYFUNCTION("IMPORTRANGE(H946,""IDENTITAS UNIT!F35"")"),"PILIH SESUAI DENGAN NAMA YANG TERSEDIA")</f>
        <v>PILIH SESUAI DENGAN NAMA YANG TERSEDIA</v>
      </c>
    </row>
    <row r="947" spans="1:13" ht="49.5">
      <c r="A947" s="4" t="str">
        <v>Reguler Periode ke-119 XIV.D.3</v>
      </c>
      <c r="B947" s="4" t="str">
        <v>Reguler Periode ke-119</v>
      </c>
      <c r="C947" s="4" t="str">
        <v>XIV.D.3</v>
      </c>
      <c r="D947" s="101" t="str">
        <v>https://drive.google.com/open?id=1gD0Ddy423CRu97oM004S2MfK70Xjt-7BpeLO-rPcpqU&amp;usp=drive_copy</v>
      </c>
      <c r="E947" s="101" t="str">
        <v>https://drive.google.com/open?id=1gD0Ddy423CRu97oM004S2MfK70Xjt-7BpeLO-rPcpqU</v>
      </c>
      <c r="F947" s="103" t="str">
        <f ca="1">IFERROR(__xludf.DUMMYFUNCTION("IMPORTRANGE(H947,""IDENTITAS UNIT!D9"")"),"https://maps.app.goo.gl/n8rK8iDRxGjb1R7eA")</f>
        <v>https://maps.app.goo.gl/n8rK8iDRxGjb1R7eA</v>
      </c>
      <c r="G947" s="4" t="s">
        <v>13400</v>
      </c>
      <c r="H947" s="101" t="str">
        <v>https://docs.google.com/spreadsheets/d/1gD0Ddy423CRu97oM004S2MfK70Xjt-7BpeLO-rPcpqU</v>
      </c>
      <c r="I947" s="101" t="str">
        <v>https://docs.google.com/open?id=1gD0Ddy423CRu97oM004S2MfK70Xjt-7BpeLO-rPcpqU</v>
      </c>
      <c r="J947" s="4" t="str">
        <v>Kepiton, Banjarasri, Kalibawang</v>
      </c>
      <c r="L947" s="99" t="str">
        <f ca="1">IFERROR(__xludf.DUMMYFUNCTION("IMPORTRANGE(H947,""IDENTITAS UNIT!D35"")"),"Mukhamat Sholikin")</f>
        <v>Mukhamat Sholikin</v>
      </c>
      <c r="M947" s="99">
        <f ca="1">IFERROR(__xludf.DUMMYFUNCTION("IMPORTRANGE(H947,""IDENTITAS UNIT!F35"")"),2000029184)</f>
        <v>2000029184</v>
      </c>
    </row>
    <row r="948" spans="1:13" ht="49.5">
      <c r="A948" s="4" t="str">
        <v>Reguler Periode ke-119 XV.A.1</v>
      </c>
      <c r="B948" s="4" t="str">
        <v>Reguler Periode ke-119</v>
      </c>
      <c r="C948" s="4" t="str">
        <v>XV.A.1</v>
      </c>
      <c r="D948" s="101" t="str">
        <v>https://drive.google.com/open?id=1WGDjKIPLXSJ9aE63m6Pfrx8u3HA-zqjEqydTTYEuU40&amp;usp=drive_copy</v>
      </c>
      <c r="E948" s="101" t="str">
        <v>https://drive.google.com/open?id=1WGDjKIPLXSJ9aE63m6Pfrx8u3HA-zqjEqydTTYEuU40</v>
      </c>
      <c r="F948" s="103" t="str">
        <f ca="1">IFERROR(__xludf.DUMMYFUNCTION("IMPORTRANGE(H948,""IDENTITAS UNIT!D9"")"),"https://goo.gl/maps/hsNZ5gos4eDG4oVK7")</f>
        <v>https://goo.gl/maps/hsNZ5gos4eDG4oVK7</v>
      </c>
      <c r="G948" s="4" t="s">
        <v>13401</v>
      </c>
      <c r="H948" s="101" t="str">
        <v>https://docs.google.com/spreadsheets/d/1WGDjKIPLXSJ9aE63m6Pfrx8u3HA-zqjEqydTTYEuU40</v>
      </c>
      <c r="I948" s="101" t="str">
        <v>https://docs.google.com/open?id=1WGDjKIPLXSJ9aE63m6Pfrx8u3HA-zqjEqydTTYEuU40</v>
      </c>
      <c r="J948" s="4" t="str">
        <v>Kalijeruk, Banjarasri, Kalibawang</v>
      </c>
      <c r="L948" s="99" t="str">
        <f ca="1">IFERROR(__xludf.DUMMYFUNCTION("IMPORTRANGE(H948,""IDENTITAS UNIT!D35"")"),"Luthfi Maria Ulfa")</f>
        <v>Luthfi Maria Ulfa</v>
      </c>
      <c r="M948" s="99">
        <f ca="1">IFERROR(__xludf.DUMMYFUNCTION("IMPORTRANGE(H948,""IDENTITAS UNIT!F35"")"),2000036084)</f>
        <v>2000036084</v>
      </c>
    </row>
    <row r="949" spans="1:13" ht="49.5">
      <c r="A949" s="4" t="str">
        <v>Reguler Periode ke-119 XV.A.2</v>
      </c>
      <c r="B949" s="4" t="str">
        <v>Reguler Periode ke-119</v>
      </c>
      <c r="C949" s="4" t="str">
        <v>XV.A.2</v>
      </c>
      <c r="D949" s="101" t="str">
        <v>https://drive.google.com/open?id=1chPG5BEYUfnuoEuJ6P16A7Hc4nj9jwlPafV2YxyrB0k&amp;usp=drive_copy</v>
      </c>
      <c r="E949" s="101" t="str">
        <v>https://drive.google.com/open?id=1chPG5BEYUfnuoEuJ6P16A7Hc4nj9jwlPafV2YxyrB0k</v>
      </c>
      <c r="F949" s="103" t="str">
        <f ca="1">IFERROR(__xludf.DUMMYFUNCTION("IMPORTRANGE(H949,""IDENTITAS UNIT!D9"")"),"https://maps.app.goo.gl/SjJsS4oHsx4NXxuq8")</f>
        <v>https://maps.app.goo.gl/SjJsS4oHsx4NXxuq8</v>
      </c>
      <c r="G949" s="4" t="s">
        <v>13402</v>
      </c>
      <c r="H949" s="101" t="str">
        <v>https://docs.google.com/spreadsheets/d/1chPG5BEYUfnuoEuJ6P16A7Hc4nj9jwlPafV2YxyrB0k</v>
      </c>
      <c r="I949" s="101" t="str">
        <v>https://docs.google.com/open?id=1chPG5BEYUfnuoEuJ6P16A7Hc4nj9jwlPafV2YxyrB0k</v>
      </c>
      <c r="J949" s="4" t="str">
        <v>Ganasari, Banjarasri, Kalibawang</v>
      </c>
      <c r="L949" s="99" t="str">
        <f ca="1">IFERROR(__xludf.DUMMYFUNCTION("IMPORTRANGE(H949,""IDENTITAS UNIT!D35"")"),"Akbar Haryo Priyo Gati")</f>
        <v>Akbar Haryo Priyo Gati</v>
      </c>
      <c r="M949" s="99">
        <f ca="1">IFERROR(__xludf.DUMMYFUNCTION("IMPORTRANGE(H949,""IDENTITAS UNIT!F35"")"),1900029074)</f>
        <v>1900029074</v>
      </c>
    </row>
    <row r="950" spans="1:13" ht="49.5">
      <c r="A950" s="4" t="str">
        <v>Reguler Periode ke-119 XV.A.3</v>
      </c>
      <c r="B950" s="4" t="str">
        <v>Reguler Periode ke-119</v>
      </c>
      <c r="C950" s="4" t="str">
        <v>XV.A.3</v>
      </c>
      <c r="D950" s="101" t="str">
        <v>https://drive.google.com/open?id=1VXp94l-Nfkc0ZTjAuTbJndmx2OXlJ54HqPujmj9PHec&amp;usp=drive_copy</v>
      </c>
      <c r="E950" s="101" t="str">
        <v>https://drive.google.com/open?id=1VXp94l-Nfkc0ZTjAuTbJndmx2OXlJ54HqPujmj9PHec</v>
      </c>
      <c r="F950" s="103" t="str">
        <f ca="1">IFERROR(__xludf.DUMMYFUNCTION("IMPORTRANGE(H950,""IDENTITAS UNIT!D9"")"),"https://maps.app.goo.gl/sdHK5WHpV8PPm74HA")</f>
        <v>https://maps.app.goo.gl/sdHK5WHpV8PPm74HA</v>
      </c>
      <c r="G950" s="4" t="s">
        <v>13403</v>
      </c>
      <c r="H950" s="101" t="str">
        <v>https://docs.google.com/spreadsheets/d/1VXp94l-Nfkc0ZTjAuTbJndmx2OXlJ54HqPujmj9PHec</v>
      </c>
      <c r="I950" s="101" t="str">
        <v>https://docs.google.com/open?id=1VXp94l-Nfkc0ZTjAuTbJndmx2OXlJ54HqPujmj9PHec</v>
      </c>
      <c r="J950" s="4" t="str">
        <v>Kisik, Banjarasri, Kalibawang</v>
      </c>
      <c r="L950" s="99" t="str">
        <f ca="1">IFERROR(__xludf.DUMMYFUNCTION("IMPORTRANGE(H950,""IDENTITAS UNIT!D35"")"),"Muhammad Fikrizza")</f>
        <v>Muhammad Fikrizza</v>
      </c>
      <c r="M950" s="99">
        <f ca="1">IFERROR(__xludf.DUMMYFUNCTION("IMPORTRANGE(H950,""IDENTITAS UNIT!F35"")"),2000018096)</f>
        <v>2000018096</v>
      </c>
    </row>
    <row r="951" spans="1:13" ht="49.5">
      <c r="A951" s="4" t="str">
        <v>Reguler Periode ke-119 XV.B.1</v>
      </c>
      <c r="B951" s="4" t="str">
        <v>Reguler Periode ke-119</v>
      </c>
      <c r="C951" s="4" t="str">
        <v>XV.B.1</v>
      </c>
      <c r="D951" s="101" t="str">
        <v>https://drive.google.com/open?id=1cJyH9G0xbvBMR_LB1KQIbph10iy8GP-WteejWLRZcuI&amp;usp=drive_copy</v>
      </c>
      <c r="E951" s="101" t="str">
        <v>https://drive.google.com/open?id=1cJyH9G0xbvBMR_LB1KQIbph10iy8GP-WteejWLRZcuI</v>
      </c>
      <c r="F951" s="103" t="str">
        <f ca="1">IFERROR(__xludf.DUMMYFUNCTION("IMPORTRANGE(H951,""IDENTITAS UNIT!D9"")"),"https://maps.app.goo.gl/JFNLqsHF2drmYXQw7")</f>
        <v>https://maps.app.goo.gl/JFNLqsHF2drmYXQw7</v>
      </c>
      <c r="G951" s="4" t="s">
        <v>13404</v>
      </c>
      <c r="H951" s="101" t="str">
        <v>https://docs.google.com/spreadsheets/d/1cJyH9G0xbvBMR_LB1KQIbph10iy8GP-WteejWLRZcuI</v>
      </c>
      <c r="I951" s="101" t="str">
        <v>https://docs.google.com/open?id=1cJyH9G0xbvBMR_LB1KQIbph10iy8GP-WteejWLRZcuI</v>
      </c>
      <c r="J951" s="4" t="str">
        <v>Meging, Banjararum, Kalibawang</v>
      </c>
      <c r="L951" s="99" t="str">
        <f ca="1">IFERROR(__xludf.DUMMYFUNCTION("IMPORTRANGE(H951,""IDENTITAS UNIT!D35"")"),"Muhammad Arfianto")</f>
        <v>Muhammad Arfianto</v>
      </c>
      <c r="M951" s="99">
        <f ca="1">IFERROR(__xludf.DUMMYFUNCTION("IMPORTRANGE(H951,""IDENTITAS UNIT!F35"")"),2000029203)</f>
        <v>2000029203</v>
      </c>
    </row>
    <row r="952" spans="1:13" ht="49.5">
      <c r="A952" s="4" t="str">
        <v>Reguler Periode ke-119 XV.B.2</v>
      </c>
      <c r="B952" s="4" t="str">
        <v>Reguler Periode ke-119</v>
      </c>
      <c r="C952" s="4" t="str">
        <v>XV.B.2</v>
      </c>
      <c r="D952" s="101" t="str">
        <v>https://drive.google.com/open?id=1ctiHswOXHo3kzhA152GSX_39DI2sUMqj3xHK9Wqye9M&amp;usp=drive_copy</v>
      </c>
      <c r="E952" s="101" t="str">
        <v>https://drive.google.com/open?id=1ctiHswOXHo3kzhA152GSX_39DI2sUMqj3xHK9Wqye9M</v>
      </c>
      <c r="F952" s="103" t="str">
        <f ca="1">IFERROR(__xludf.DUMMYFUNCTION("IMPORTRANGE(H952,""IDENTITAS UNIT!D9"")"),"https://maps.app.goo.gl/wrKshQJdMKhSt4hu8")</f>
        <v>https://maps.app.goo.gl/wrKshQJdMKhSt4hu8</v>
      </c>
      <c r="H952" s="101" t="str">
        <v>https://docs.google.com/spreadsheets/d/1ctiHswOXHo3kzhA152GSX_39DI2sUMqj3xHK9Wqye9M</v>
      </c>
      <c r="I952" s="101" t="str">
        <v>https://docs.google.com/open?id=1ctiHswOXHo3kzhA152GSX_39DI2sUMqj3xHK9Wqye9M</v>
      </c>
      <c r="J952" s="4" t="str">
        <v>Klepu, Banjararum, Kalibawang</v>
      </c>
      <c r="L952" s="99" t="str">
        <f ca="1">IFERROR(__xludf.DUMMYFUNCTION("IMPORTRANGE(H952,""IDENTITAS UNIT!D35"")"),"Aldy Hakim")</f>
        <v>Aldy Hakim</v>
      </c>
      <c r="M952" s="99">
        <f ca="1">IFERROR(__xludf.DUMMYFUNCTION("IMPORTRANGE(H952,""IDENTITAS UNIT!F35"")"),2000018301)</f>
        <v>2000018301</v>
      </c>
    </row>
    <row r="953" spans="1:13" ht="49.5">
      <c r="A953" s="4" t="str">
        <v>Reguler Periode ke-119 XV.B.3</v>
      </c>
      <c r="B953" s="4" t="str">
        <v>Reguler Periode ke-119</v>
      </c>
      <c r="C953" s="4" t="str">
        <v>XV.B.3</v>
      </c>
      <c r="D953" s="101" t="str">
        <v>https://drive.google.com/open?id=1w9UDOhqKhK10CRAoIXE2ha0jsDoUupzOTUA82u2byeU&amp;usp=drive_copy</v>
      </c>
      <c r="E953" s="101" t="str">
        <v>https://drive.google.com/open?id=1w9UDOhqKhK10CRAoIXE2ha0jsDoUupzOTUA82u2byeU</v>
      </c>
      <c r="F953" s="103" t="str">
        <f ca="1">IFERROR(__xludf.DUMMYFUNCTION("IMPORTRANGE(H953,""IDENTITAS UNIT!D9"")"),"https://maps.app.goo.gl/htMqS35F1FEqsKPx8")</f>
        <v>https://maps.app.goo.gl/htMqS35F1FEqsKPx8</v>
      </c>
      <c r="G953" s="4" t="s">
        <v>13405</v>
      </c>
      <c r="H953" s="101" t="str">
        <v>https://docs.google.com/spreadsheets/d/1w9UDOhqKhK10CRAoIXE2ha0jsDoUupzOTUA82u2byeU</v>
      </c>
      <c r="I953" s="101" t="str">
        <v>https://docs.google.com/open?id=1w9UDOhqKhK10CRAoIXE2ha0jsDoUupzOTUA82u2byeU</v>
      </c>
      <c r="J953" s="4" t="str">
        <v>Blumbang, Banjararum, Kalibawang</v>
      </c>
      <c r="L953" s="99" t="str">
        <f ca="1">IFERROR(__xludf.DUMMYFUNCTION("IMPORTRANGE(H953,""IDENTITAS UNIT!D35"")"),"Nur Ikhsan")</f>
        <v>Nur Ikhsan</v>
      </c>
      <c r="M953" s="99">
        <f ca="1">IFERROR(__xludf.DUMMYFUNCTION("IMPORTRANGE(H953,""IDENTITAS UNIT!F35"")"),2000018392)</f>
        <v>2000018392</v>
      </c>
    </row>
    <row r="954" spans="1:13" ht="165">
      <c r="A954" s="4" t="str">
        <v>Reguler Periode ke-119 XV.C.1</v>
      </c>
      <c r="B954" s="4" t="str">
        <v>Reguler Periode ke-119</v>
      </c>
      <c r="C954" s="4" t="str">
        <v>XV.C.1</v>
      </c>
      <c r="D954" s="101" t="str">
        <v>https://drive.google.com/open?id=1URKqqjoFy9KleK-0wRRLmr7qsdv9kOSC4MDvOL-FBUU&amp;usp=drive_copy</v>
      </c>
      <c r="E954" s="101" t="str">
        <v>https://drive.google.com/open?id=1URKqqjoFy9KleK-0wRRLmr7qsdv9kOSC4MDvOL-FBUU</v>
      </c>
      <c r="F954" s="103" t="str">
        <f ca="1">IFERROR(__xludf.DUMMYFUNCTION("IMPORTRANGE(H954,""IDENTITAS UNIT!D9"")"),"https://www.google.com/maps/place/7%C2%B043'15.0%22S+110%C2%B012'39.6%22E/@-7.720829,110.2084313,17z/data=!3m1!4b1!4m4!3m3!8m2!3d-7.720829!4d110.2110062?entry=ttu")</f>
        <v>https://www.google.com/maps/place/7%C2%B043'15.0%22S+110%C2%B012'39.6%22E/@-7.720829,110.2084313,17z/data=!3m1!4b1!4m4!3m3!8m2!3d-7.720829!4d110.2110062?entry=ttu</v>
      </c>
      <c r="H954" s="101" t="str">
        <v>https://docs.google.com/spreadsheets/d/1URKqqjoFy9KleK-0wRRLmr7qsdv9kOSC4MDvOL-FBUU</v>
      </c>
      <c r="I954" s="101" t="str">
        <v>https://docs.google.com/open?id=1URKqqjoFy9KleK-0wRRLmr7qsdv9kOSC4MDvOL-FBUU</v>
      </c>
      <c r="J954" s="4" t="str">
        <v>Ngentak, Banjararum, Kalibawang</v>
      </c>
      <c r="L954" s="99" t="str">
        <f ca="1">IFERROR(__xludf.DUMMYFUNCTION("IMPORTRANGE(H954,""IDENTITAS UNIT!D35"")"),"Ahmad Najib Musabbichin")</f>
        <v>Ahmad Najib Musabbichin</v>
      </c>
      <c r="M954" s="99">
        <f ca="1">IFERROR(__xludf.DUMMYFUNCTION("IMPORTRANGE(H954,""IDENTITAS UNIT!F35"")"),2000029121)</f>
        <v>2000029121</v>
      </c>
    </row>
    <row r="955" spans="1:13" ht="49.5">
      <c r="A955" s="4" t="str">
        <v>Reguler Periode ke-119 XV.C.2</v>
      </c>
      <c r="B955" s="4" t="str">
        <v>Reguler Periode ke-119</v>
      </c>
      <c r="C955" s="4" t="str">
        <v>XV.C.2</v>
      </c>
      <c r="D955" s="101" t="str">
        <v>https://drive.google.com/open?id=1GCAPpFIfgtRLEPE5cXjUTuIQSSFK4GoNHcD-7Prx-i4&amp;usp=drive_copy</v>
      </c>
      <c r="E955" s="101" t="str">
        <v>https://drive.google.com/open?id=1GCAPpFIfgtRLEPE5cXjUTuIQSSFK4GoNHcD-7Prx-i4</v>
      </c>
      <c r="F955" s="103" t="str">
        <f ca="1">IFERROR(__xludf.DUMMYFUNCTION("IMPORTRANGE(H955,""IDENTITAS UNIT!D9"")"),"https://maps.app.goo.gl/XmG3wNNjnbngun1X7")</f>
        <v>https://maps.app.goo.gl/XmG3wNNjnbngun1X7</v>
      </c>
      <c r="G955" s="4" t="s">
        <v>13406</v>
      </c>
      <c r="H955" s="101" t="str">
        <v>https://docs.google.com/spreadsheets/d/1GCAPpFIfgtRLEPE5cXjUTuIQSSFK4GoNHcD-7Prx-i4</v>
      </c>
      <c r="I955" s="101" t="str">
        <v>https://docs.google.com/open?id=1GCAPpFIfgtRLEPE5cXjUTuIQSSFK4GoNHcD-7Prx-i4</v>
      </c>
      <c r="J955" s="4" t="str">
        <v>Degan I, Banjararum, Kalibawang</v>
      </c>
      <c r="L955" s="99" t="str">
        <f ca="1">IFERROR(__xludf.DUMMYFUNCTION("IMPORTRANGE(H955,""IDENTITAS UNIT!D35"")"),"Waldi Darmansyah")</f>
        <v>Waldi Darmansyah</v>
      </c>
      <c r="M955" s="99">
        <f ca="1">IFERROR(__xludf.DUMMYFUNCTION("IMPORTRANGE(H955,""IDENTITAS UNIT!F35"")"),2000018159)</f>
        <v>2000018159</v>
      </c>
    </row>
    <row r="956" spans="1:13" ht="49.5">
      <c r="A956" s="4" t="str">
        <v>Reguler Periode ke-119 XV.C.3</v>
      </c>
      <c r="B956" s="4" t="str">
        <v>Reguler Periode ke-119</v>
      </c>
      <c r="C956" s="4" t="str">
        <v>XV.C.3</v>
      </c>
      <c r="D956" s="101" t="str">
        <v>https://drive.google.com/open?id=1sriO7LK-YCbgERo-yBZZZuuhBm80zstjcD6_BDzydtY&amp;usp=drive_copy</v>
      </c>
      <c r="E956" s="101" t="str">
        <v>https://drive.google.com/open?id=1sriO7LK-YCbgERo-yBZZZuuhBm80zstjcD6_BDzydtY</v>
      </c>
      <c r="F956" s="103" t="str">
        <f ca="1">IFERROR(__xludf.DUMMYFUNCTION("IMPORTRANGE(H956,""IDENTITAS UNIT!D9"")"),"https://maps.app.goo.gl/x8pXV7CGtKMBodVr8")</f>
        <v>https://maps.app.goo.gl/x8pXV7CGtKMBodVr8</v>
      </c>
      <c r="G956" s="4" t="s">
        <v>13407</v>
      </c>
      <c r="H956" s="101" t="str">
        <v>https://docs.google.com/spreadsheets/d/1sriO7LK-YCbgERo-yBZZZuuhBm80zstjcD6_BDzydtY</v>
      </c>
      <c r="I956" s="101" t="str">
        <v>https://docs.google.com/open?id=1sriO7LK-YCbgERo-yBZZZuuhBm80zstjcD6_BDzydtY</v>
      </c>
      <c r="J956" s="4" t="str">
        <v>Popohan, Banjararum, Kalibawang</v>
      </c>
      <c r="L956" s="99" t="str">
        <f ca="1">IFERROR(__xludf.DUMMYFUNCTION("IMPORTRANGE(H956,""IDENTITAS UNIT!D35"")"),"Niko Ferdian")</f>
        <v>Niko Ferdian</v>
      </c>
      <c r="M956" s="99">
        <f ca="1">IFERROR(__xludf.DUMMYFUNCTION("IMPORTRANGE(H956,""IDENTITAS UNIT!F35"")"),2000029092)</f>
        <v>2000029092</v>
      </c>
    </row>
    <row r="957" spans="1:13" ht="49.5">
      <c r="A957" s="4" t="str">
        <v>Reguler Periode ke-119 XV.D.1</v>
      </c>
      <c r="B957" s="4" t="str">
        <v>Reguler Periode ke-119</v>
      </c>
      <c r="C957" s="4" t="str">
        <v>XV.D.1</v>
      </c>
      <c r="D957" s="101" t="str">
        <v>https://drive.google.com/open?id=1hxDcUiR2_OPCKIaNZNICweaP8lJDq3LaLREI0EBTJ2Q&amp;usp=drive_copy</v>
      </c>
      <c r="E957" s="101" t="str">
        <v>https://drive.google.com/open?id=1hxDcUiR2_OPCKIaNZNICweaP8lJDq3LaLREI0EBTJ2Q</v>
      </c>
      <c r="F957" s="103" t="str">
        <f ca="1">IFERROR(__xludf.DUMMYFUNCTION("IMPORTRANGE(H957,""IDENTITAS UNIT!D9"")"),"https://maps.app.goo.gl/y7uCMXgJxfZW9waW8")</f>
        <v>https://maps.app.goo.gl/y7uCMXgJxfZW9waW8</v>
      </c>
      <c r="G957" s="4" t="s">
        <v>13408</v>
      </c>
      <c r="H957" s="101" t="str">
        <v>https://docs.google.com/spreadsheets/d/1hxDcUiR2_OPCKIaNZNICweaP8lJDq3LaLREI0EBTJ2Q</v>
      </c>
      <c r="I957" s="101" t="str">
        <v>https://docs.google.com/open?id=1hxDcUiR2_OPCKIaNZNICweaP8lJDq3LaLREI0EBTJ2Q</v>
      </c>
      <c r="J957" s="4" t="str">
        <v>P. Wetan, Banjarharjo, Kalibawang</v>
      </c>
      <c r="L957" s="99" t="str">
        <f ca="1">IFERROR(__xludf.DUMMYFUNCTION("IMPORTRANGE(H957,""IDENTITAS UNIT!D35"")"),"Muhamad Alfinnudin Cholil")</f>
        <v>Muhamad Alfinnudin Cholil</v>
      </c>
      <c r="M957" s="99">
        <f ca="1">IFERROR(__xludf.DUMMYFUNCTION("IMPORTRANGE(H957,""IDENTITAS UNIT!F35"")"),2000029190)</f>
        <v>2000029190</v>
      </c>
    </row>
    <row r="958" spans="1:13" ht="49.5">
      <c r="A958" s="4" t="str">
        <v>Reguler Periode ke-119 XV.D.2</v>
      </c>
      <c r="B958" s="4" t="str">
        <v>Reguler Periode ke-119</v>
      </c>
      <c r="C958" s="4" t="str">
        <v>XV.D.2</v>
      </c>
      <c r="D958" s="101" t="str">
        <v>https://drive.google.com/open?id=14zvWB5Roxv0q_85N-nEiyWk_OkhDmpZrsew3o1AoIMY&amp;usp=drive_copy</v>
      </c>
      <c r="E958" s="101" t="str">
        <v>https://drive.google.com/open?id=14zvWB5Roxv0q_85N-nEiyWk_OkhDmpZrsew3o1AoIMY</v>
      </c>
      <c r="F958" s="103" t="str">
        <f ca="1">IFERROR(__xludf.DUMMYFUNCTION("IMPORTRANGE(H958,""IDENTITAS UNIT!D9"")"),"https://maps.app.goo.gl/JKm8DtDZsUT76vwNA")</f>
        <v>https://maps.app.goo.gl/JKm8DtDZsUT76vwNA</v>
      </c>
      <c r="G958" s="4" t="s">
        <v>13409</v>
      </c>
      <c r="H958" s="101" t="str">
        <v>https://docs.google.com/spreadsheets/d/14zvWB5Roxv0q_85N-nEiyWk_OkhDmpZrsew3o1AoIMY</v>
      </c>
      <c r="I958" s="101" t="str">
        <v>https://docs.google.com/open?id=14zvWB5Roxv0q_85N-nEiyWk_OkhDmpZrsew3o1AoIMY</v>
      </c>
      <c r="J958" s="4" t="str">
        <v>P. Kulon, Banjarharjo, Kalibawang</v>
      </c>
      <c r="L958" s="99" t="str">
        <f ca="1">IFERROR(__xludf.DUMMYFUNCTION("IMPORTRANGE(H958,""IDENTITAS UNIT!D35"")"),"YAURONIN FITRAH")</f>
        <v>YAURONIN FITRAH</v>
      </c>
      <c r="M958" s="99">
        <f ca="1">IFERROR(__xludf.DUMMYFUNCTION("IMPORTRANGE(H958,""IDENTITAS UNIT!F35"")"),1800018175)</f>
        <v>1800018175</v>
      </c>
    </row>
    <row r="959" spans="1:13" ht="66">
      <c r="A959" s="4" t="str">
        <v>Reguler Periode ke-119 XV.D.3</v>
      </c>
      <c r="B959" s="4" t="str">
        <v>Reguler Periode ke-119</v>
      </c>
      <c r="C959" s="4" t="str">
        <v>XV.D.3</v>
      </c>
      <c r="D959" s="101" t="str">
        <v>https://drive.google.com/open?id=1Igi7B-Q9byhFAZ9R8IO-jln7Gl5LHt4lfnQuSKwKl60&amp;usp=drive_copy</v>
      </c>
      <c r="E959" s="101" t="str">
        <v>https://drive.google.com/open?id=1Igi7B-Q9byhFAZ9R8IO-jln7Gl5LHt4lfnQuSKwKl60</v>
      </c>
      <c r="F959" s="103" t="str">
        <f ca="1">IFERROR(__xludf.DUMMYFUNCTION("IMPORTRANGE(H959,""IDENTITAS UNIT!D9"")"),"https://maps.google.com/maps?q=-7.6843889%2C110.2515105&amp;z=17&amp;hl=id")</f>
        <v>https://maps.google.com/maps?q=-7.6843889%2C110.2515105&amp;z=17&amp;hl=id</v>
      </c>
      <c r="G959" s="4" t="s">
        <v>13410</v>
      </c>
      <c r="H959" s="101" t="str">
        <v>https://docs.google.com/spreadsheets/d/1Igi7B-Q9byhFAZ9R8IO-jln7Gl5LHt4lfnQuSKwKl60</v>
      </c>
      <c r="I959" s="101" t="str">
        <v>https://docs.google.com/open?id=1Igi7B-Q9byhFAZ9R8IO-jln7Gl5LHt4lfnQuSKwKl60</v>
      </c>
      <c r="J959" s="4" t="str">
        <v>Demangan, Banjarharjo, Kalibawang</v>
      </c>
      <c r="L959" s="99" t="str">
        <f ca="1">IFERROR(__xludf.DUMMYFUNCTION("IMPORTRANGE(H959,""IDENTITAS UNIT!D35"")"),"Khaeru Nabil Saputra")</f>
        <v>Khaeru Nabil Saputra</v>
      </c>
      <c r="M959" s="99">
        <f ca="1">IFERROR(__xludf.DUMMYFUNCTION("IMPORTRANGE(H959,""IDENTITAS UNIT!F35"")"),2000029066)</f>
        <v>2000029066</v>
      </c>
    </row>
    <row r="960" spans="1:13" ht="49.5">
      <c r="A960" s="4" t="str">
        <v>Reguler Periode ke-119 XVI.A.1</v>
      </c>
      <c r="B960" s="4" t="str">
        <v>Reguler Periode ke-119</v>
      </c>
      <c r="C960" s="4" t="str">
        <v>XVI.A.1</v>
      </c>
      <c r="D960" s="101" t="str">
        <v>https://drive.google.com/open?id=1Q1GNst04UgagLwEZ_7X22Iy2C-TWl4929eYPzA-gvbE&amp;usp=drive_copy</v>
      </c>
      <c r="E960" s="101" t="str">
        <v>https://drive.google.com/open?id=1Q1GNst04UgagLwEZ_7X22Iy2C-TWl4929eYPzA-gvbE</v>
      </c>
      <c r="F960" s="103" t="str">
        <f ca="1">IFERROR(__xludf.DUMMYFUNCTION("IMPORTRANGE(H960,""IDENTITAS UNIT!D9"")"),"https://maps.app.goo.gl/Q93z9gXHZFgPf9KU6")</f>
        <v>https://maps.app.goo.gl/Q93z9gXHZFgPf9KU6</v>
      </c>
      <c r="G960" s="4" t="s">
        <v>13411</v>
      </c>
      <c r="H960" s="101" t="str">
        <v>https://docs.google.com/spreadsheets/d/1Q1GNst04UgagLwEZ_7X22Iy2C-TWl4929eYPzA-gvbE</v>
      </c>
      <c r="I960" s="101" t="str">
        <v>https://docs.google.com/open?id=1Q1GNst04UgagLwEZ_7X22Iy2C-TWl4929eYPzA-gvbE</v>
      </c>
      <c r="J960" s="4" t="str">
        <v>Semawung, Banjarharjo, Kalibawang</v>
      </c>
      <c r="L960" s="99" t="str">
        <f ca="1">IFERROR(__xludf.DUMMYFUNCTION("IMPORTRANGE(H960,""IDENTITAS UNIT!D35"")"),"M. Raihandaffa Dzikrianasa")</f>
        <v>M. Raihandaffa Dzikrianasa</v>
      </c>
      <c r="M960" s="99" t="str">
        <f ca="1">IFERROR(__xludf.DUMMYFUNCTION("IMPORTRANGE(H960,""IDENTITAS UNIT!F35"")"),"PILIH SESUAI DENGAN NAMA YANG TERSEDIA")</f>
        <v>PILIH SESUAI DENGAN NAMA YANG TERSEDIA</v>
      </c>
    </row>
    <row r="961" spans="1:13" ht="49.5">
      <c r="A961" s="4" t="str">
        <v>Reguler Periode ke-119 XVI.A.2</v>
      </c>
      <c r="B961" s="4" t="str">
        <v>Reguler Periode ke-119</v>
      </c>
      <c r="C961" s="4" t="str">
        <v>XVI.A.2</v>
      </c>
      <c r="D961" s="101" t="str">
        <v>https://drive.google.com/open?id=1_mOIsl6Kzf2oblCtDdNkPF7l8gP9vmBlkEQKsWrz1KM&amp;usp=drive_copy</v>
      </c>
      <c r="E961" s="101" t="str">
        <v>https://drive.google.com/open?id=1_mOIsl6Kzf2oblCtDdNkPF7l8gP9vmBlkEQKsWrz1KM</v>
      </c>
      <c r="F961" s="103" t="str">
        <f ca="1">IFERROR(__xludf.DUMMYFUNCTION("IMPORTRANGE(H961,""IDENTITAS UNIT!D9"")"),"https://maps.app.goo.gl/18ZebdxtVEYeUAfJ8?g_st=ic")</f>
        <v>https://maps.app.goo.gl/18ZebdxtVEYeUAfJ8?g_st=ic</v>
      </c>
      <c r="G961" s="4" t="s">
        <v>13412</v>
      </c>
      <c r="H961" s="101" t="str">
        <v>https://docs.google.com/spreadsheets/d/1_mOIsl6Kzf2oblCtDdNkPF7l8gP9vmBlkEQKsWrz1KM</v>
      </c>
      <c r="I961" s="101" t="str">
        <v>https://docs.google.com/open?id=1_mOIsl6Kzf2oblCtDdNkPF7l8gP9vmBlkEQKsWrz1KM</v>
      </c>
      <c r="J961" s="4" t="str">
        <v>Srandu, Banjarharjo, Kalibawang</v>
      </c>
      <c r="L961" s="99" t="str">
        <f ca="1">IFERROR(__xludf.DUMMYFUNCTION("IMPORTRANGE(H961,""IDENTITAS UNIT!D35"")"),"D.a.rosi Arsida Wardani")</f>
        <v>D.a.rosi Arsida Wardani</v>
      </c>
      <c r="M961" s="99">
        <f ca="1">IFERROR(__xludf.DUMMYFUNCTION("IMPORTRANGE(H961,""IDENTITAS UNIT!F35"")"),2000018059)</f>
        <v>2000018059</v>
      </c>
    </row>
    <row r="962" spans="1:13" ht="49.5">
      <c r="A962" s="4" t="str">
        <v>Reguler Periode ke-119 XVI.A.3</v>
      </c>
      <c r="B962" s="4" t="str">
        <v>Reguler Periode ke-119</v>
      </c>
      <c r="C962" s="4" t="str">
        <v>XVI.A.3</v>
      </c>
      <c r="D962" s="101" t="str">
        <v>https://drive.google.com/open?id=1TFECJJopodwekhtR2PKF9WgnAcBWKltb4U9QfBUHZFc&amp;usp=drive_copy</v>
      </c>
      <c r="E962" s="101" t="str">
        <v>https://drive.google.com/open?id=1TFECJJopodwekhtR2PKF9WgnAcBWKltb4U9QfBUHZFc</v>
      </c>
      <c r="F962" s="103" t="str">
        <f ca="1">IFERROR(__xludf.DUMMYFUNCTION("IMPORTRANGE(H962,""IDENTITAS UNIT!D9"")"),"https://maps.app.goo.gl/qVUgEDC3ETPCVUEx5?g_st=iw")</f>
        <v>https://maps.app.goo.gl/qVUgEDC3ETPCVUEx5?g_st=iw</v>
      </c>
      <c r="G962" s="4" t="s">
        <v>13413</v>
      </c>
      <c r="H962" s="101" t="str">
        <v>https://docs.google.com/spreadsheets/d/1TFECJJopodwekhtR2PKF9WgnAcBWKltb4U9QfBUHZFc</v>
      </c>
      <c r="I962" s="101" t="str">
        <v>https://docs.google.com/open?id=1TFECJJopodwekhtR2PKF9WgnAcBWKltb4U9QfBUHZFc</v>
      </c>
      <c r="J962" s="4" t="str">
        <v>Ngemplak, Banjarharjo, Kalibawang</v>
      </c>
      <c r="L962" s="99" t="str">
        <f ca="1">IFERROR(__xludf.DUMMYFUNCTION("IMPORTRANGE(H962,""IDENTITAS UNIT!D35"")"),"Rahmad Dzuliyanto")</f>
        <v>Rahmad Dzuliyanto</v>
      </c>
      <c r="M962" s="99">
        <f ca="1">IFERROR(__xludf.DUMMYFUNCTION("IMPORTRANGE(H962,""IDENTITAS UNIT!F35"")"),2000029129)</f>
        <v>2000029129</v>
      </c>
    </row>
    <row r="963" spans="1:13" ht="49.5">
      <c r="A963" s="4" t="str">
        <v>Reguler Periode ke-119 XVI.B.1</v>
      </c>
      <c r="B963" s="4" t="str">
        <v>Reguler Periode ke-119</v>
      </c>
      <c r="C963" s="4" t="str">
        <v>XVI.B.1</v>
      </c>
      <c r="D963" s="101" t="str">
        <v>https://drive.google.com/open?id=17eY4nROJpGsjg1W4voKbNn6KA0Puob4BAm6FRBK5jPQ&amp;usp=drive_copy</v>
      </c>
      <c r="E963" s="101" t="str">
        <v>https://drive.google.com/open?id=17eY4nROJpGsjg1W4voKbNn6KA0Puob4BAm6FRBK5jPQ</v>
      </c>
      <c r="F963" s="103" t="str">
        <f ca="1">IFERROR(__xludf.DUMMYFUNCTION("IMPORTRANGE(H963,""IDENTITAS UNIT!D9"")"),"https://maps.app.goo.gl/yZYmKAq5LuRUrhym6")</f>
        <v>https://maps.app.goo.gl/yZYmKAq5LuRUrhym6</v>
      </c>
      <c r="G963" s="4" t="s">
        <v>13414</v>
      </c>
      <c r="H963" s="101" t="str">
        <v>https://docs.google.com/spreadsheets/d/17eY4nROJpGsjg1W4voKbNn6KA0Puob4BAm6FRBK5jPQ</v>
      </c>
      <c r="I963" s="101" t="str">
        <v>https://docs.google.com/open?id=17eY4nROJpGsjg1W4voKbNn6KA0Puob4BAm6FRBK5jPQ</v>
      </c>
      <c r="J963" s="4" t="str">
        <v>Sebo, Sidoharjo, Samigaluh</v>
      </c>
      <c r="L963" s="99" t="str">
        <f ca="1">IFERROR(__xludf.DUMMYFUNCTION("IMPORTRANGE(H963,""IDENTITAS UNIT!D35"")"),"Royfanza Reynaldi")</f>
        <v>Royfanza Reynaldi</v>
      </c>
      <c r="M963" s="99">
        <f ca="1">IFERROR(__xludf.DUMMYFUNCTION("IMPORTRANGE(H963,""IDENTITAS UNIT!F35"")"),2000029145)</f>
        <v>2000029145</v>
      </c>
    </row>
    <row r="964" spans="1:13" ht="49.5">
      <c r="A964" s="4" t="str">
        <v>Reguler Periode ke-119 XVI.B.2</v>
      </c>
      <c r="B964" s="4" t="str">
        <v>Reguler Periode ke-119</v>
      </c>
      <c r="C964" s="4" t="str">
        <v>XVI.B.2</v>
      </c>
      <c r="D964" s="101" t="str">
        <v>https://drive.google.com/open?id=1hik3PZ4HHAcC15rCCghx5uFz39EaD1w2tTz7NvL9Wv4&amp;usp=drive_copy</v>
      </c>
      <c r="E964" s="101" t="str">
        <v>https://drive.google.com/open?id=1hik3PZ4HHAcC15rCCghx5uFz39EaD1w2tTz7NvL9Wv4</v>
      </c>
      <c r="F964" s="103" t="str">
        <f ca="1">IFERROR(__xludf.DUMMYFUNCTION("IMPORTRANGE(H964,""IDENTITAS UNIT!D9"")"),"https://maps.app.goo.gl/v88euFFobGSAsyQR7")</f>
        <v>https://maps.app.goo.gl/v88euFFobGSAsyQR7</v>
      </c>
      <c r="G964" s="4" t="s">
        <v>13415</v>
      </c>
      <c r="H964" s="101" t="str">
        <v>https://docs.google.com/spreadsheets/d/1hik3PZ4HHAcC15rCCghx5uFz39EaD1w2tTz7NvL9Wv4</v>
      </c>
      <c r="I964" s="101" t="str">
        <v>https://docs.google.com/open?id=1hik3PZ4HHAcC15rCCghx5uFz39EaD1w2tTz7NvL9Wv4</v>
      </c>
      <c r="J964" s="4" t="str">
        <v>Keweron, Sidoharjo, Samigaluh</v>
      </c>
      <c r="L964" s="99" t="str">
        <f ca="1">IFERROR(__xludf.DUMMYFUNCTION("IMPORTRANGE(H964,""IDENTITAS UNIT!D35"")"),"Rizqy Rahmana Ginting")</f>
        <v>Rizqy Rahmana Ginting</v>
      </c>
      <c r="M964" s="99">
        <f ca="1">IFERROR(__xludf.DUMMYFUNCTION("IMPORTRANGE(H964,""IDENTITAS UNIT!F35"")"),2000029103)</f>
        <v>2000029103</v>
      </c>
    </row>
    <row r="965" spans="1:13" ht="49.5">
      <c r="A965" s="4" t="str">
        <v>Reguler Periode ke-119 XVI.B.3</v>
      </c>
      <c r="B965" s="4" t="str">
        <v>Reguler Periode ke-119</v>
      </c>
      <c r="C965" s="4" t="str">
        <v>XVI.B.3</v>
      </c>
      <c r="D965" s="101" t="str">
        <v>https://drive.google.com/open?id=1rUbnpZRlk35FQfy_BzYps7EJWLC6LQvmPDViGnVO1A8&amp;usp=drive_copy</v>
      </c>
      <c r="E965" s="101" t="str">
        <v>https://drive.google.com/open?id=1rUbnpZRlk35FQfy_BzYps7EJWLC6LQvmPDViGnVO1A8</v>
      </c>
      <c r="F965" s="103" t="str">
        <f ca="1">IFERROR(__xludf.DUMMYFUNCTION("IMPORTRANGE(H965,""IDENTITAS UNIT!D9"")"),"https://maps.app.goo.gl/8fVd9Dz4yzzjr9qb8")</f>
        <v>https://maps.app.goo.gl/8fVd9Dz4yzzjr9qb8</v>
      </c>
      <c r="G965" s="4" t="s">
        <v>13416</v>
      </c>
      <c r="H965" s="101" t="str">
        <v>https://docs.google.com/spreadsheets/d/1rUbnpZRlk35FQfy_BzYps7EJWLC6LQvmPDViGnVO1A8</v>
      </c>
      <c r="I965" s="101" t="str">
        <v>https://docs.google.com/open?id=1rUbnpZRlk35FQfy_BzYps7EJWLC6LQvmPDViGnVO1A8</v>
      </c>
      <c r="J965" s="4" t="str">
        <v>Bleder, Sidoharjo, Samigaluh</v>
      </c>
      <c r="L965" s="99" t="str">
        <f ca="1">IFERROR(__xludf.DUMMYFUNCTION("IMPORTRANGE(H965,""IDENTITAS UNIT!D35"")"),"David Dermawan")</f>
        <v>David Dermawan</v>
      </c>
      <c r="M965" s="99">
        <f ca="1">IFERROR(__xludf.DUMMYFUNCTION("IMPORTRANGE(H965,""IDENTITAS UNIT!F35"")"),2000029227)</f>
        <v>2000029227</v>
      </c>
    </row>
    <row r="966" spans="1:13" ht="49.5">
      <c r="A966" s="4" t="str">
        <v>Reguler Periode ke-119 XVI.C.1</v>
      </c>
      <c r="B966" s="4" t="str">
        <v>Reguler Periode ke-119</v>
      </c>
      <c r="C966" s="4" t="str">
        <v>XVI.C.1</v>
      </c>
      <c r="D966" s="101" t="str">
        <v>https://drive.google.com/open?id=1Z2Ie-rgR-WHtE0QkZNjOOd5ecTpkBy3G6MqfhcutgL0&amp;usp=drive_copy</v>
      </c>
      <c r="E966" s="101" t="str">
        <v>https://drive.google.com/open?id=1Z2Ie-rgR-WHtE0QkZNjOOd5ecTpkBy3G6MqfhcutgL0</v>
      </c>
      <c r="F966" s="103" t="str">
        <f ca="1">IFERROR(__xludf.DUMMYFUNCTION("IMPORTRANGE(H966,""IDENTITAS UNIT!D9"")"),"https://maps.app.goo.gl/SsYiN8vC7ysQBfhv5")</f>
        <v>https://maps.app.goo.gl/SsYiN8vC7ysQBfhv5</v>
      </c>
      <c r="G966" s="4" t="s">
        <v>13417</v>
      </c>
      <c r="H966" s="101" t="str">
        <v>https://docs.google.com/spreadsheets/d/1Z2Ie-rgR-WHtE0QkZNjOOd5ecTpkBy3G6MqfhcutgL0</v>
      </c>
      <c r="I966" s="101" t="str">
        <v>https://docs.google.com/open?id=1Z2Ie-rgR-WHtE0QkZNjOOd5ecTpkBy3G6MqfhcutgL0</v>
      </c>
      <c r="J966" s="4" t="str">
        <v>Tukmudal, Sidoharjo, Samigaluh</v>
      </c>
      <c r="L966" s="99" t="str">
        <f ca="1">IFERROR(__xludf.DUMMYFUNCTION("IMPORTRANGE(H966,""IDENTITAS UNIT!D35"")"),"Iqbal Rabbani")</f>
        <v>Iqbal Rabbani</v>
      </c>
      <c r="M966" s="99">
        <f ca="1">IFERROR(__xludf.DUMMYFUNCTION("IMPORTRANGE(H966,""IDENTITAS UNIT!F35"")"),2000029063)</f>
        <v>2000029063</v>
      </c>
    </row>
    <row r="967" spans="1:13" ht="49.5">
      <c r="A967" s="4" t="str">
        <v>Reguler Periode ke-119 XVI.C.2</v>
      </c>
      <c r="B967" s="4" t="str">
        <v>Reguler Periode ke-119</v>
      </c>
      <c r="C967" s="4" t="str">
        <v>XVI.C.2</v>
      </c>
      <c r="D967" s="101" t="str">
        <v>https://drive.google.com/open?id=1YI2hk4HHlfbWi0j-gFAJvHCuMpfNy6vns0c3r3_HwNg&amp;usp=drive_copy</v>
      </c>
      <c r="E967" s="101" t="str">
        <v>https://drive.google.com/open?id=1YI2hk4HHlfbWi0j-gFAJvHCuMpfNy6vns0c3r3_HwNg</v>
      </c>
      <c r="F967" s="103" t="str">
        <f ca="1">IFERROR(__xludf.DUMMYFUNCTION("IMPORTRANGE(H967,""IDENTITAS UNIT!D9"")"),"https://maps.app.goo.gl/98iztoEjKT3cKAyu6")</f>
        <v>https://maps.app.goo.gl/98iztoEjKT3cKAyu6</v>
      </c>
      <c r="G967" s="4" t="s">
        <v>13418</v>
      </c>
      <c r="H967" s="101" t="str">
        <v>https://docs.google.com/spreadsheets/d/1YI2hk4HHlfbWi0j-gFAJvHCuMpfNy6vns0c3r3_HwNg</v>
      </c>
      <c r="I967" s="101" t="str">
        <v>https://docs.google.com/open?id=1YI2hk4HHlfbWi0j-gFAJvHCuMpfNy6vns0c3r3_HwNg</v>
      </c>
      <c r="J967" s="4" t="str">
        <v>Wonogiri, Sidoharjo, Samigaluh</v>
      </c>
      <c r="L967" s="99" t="str">
        <f ca="1">IFERROR(__xludf.DUMMYFUNCTION("IMPORTRANGE(H967,""IDENTITAS UNIT!D35"")"),"Ahmad Aditya Sidik Zulkarnain")</f>
        <v>Ahmad Aditya Sidik Zulkarnain</v>
      </c>
      <c r="M967" s="99">
        <f ca="1">IFERROR(__xludf.DUMMYFUNCTION("IMPORTRANGE(H967,""IDENTITAS UNIT!F35"")"),2000029187)</f>
        <v>2000029187</v>
      </c>
    </row>
    <row r="968" spans="1:13" ht="66">
      <c r="A968" s="4" t="str">
        <v>Reguler Periode ke-119 XVI.C.3</v>
      </c>
      <c r="B968" s="4" t="str">
        <v>Reguler Periode ke-119</v>
      </c>
      <c r="C968" s="4" t="str">
        <v>XVI.C.3</v>
      </c>
      <c r="D968" s="101" t="str">
        <v>https://docs.google.com/spreadsheets/d/1x3trs2wSiz5ktdTSnKOmaf0SXagaoGxqKwbd6xwRG0c/edit?usp=drive_link</v>
      </c>
      <c r="E968" s="101" t="str">
        <v>https://docs.google.com/spreadsheets/d/1x3trs2wSiz5ktdTSnKOmaf0SXagaoGxqKwbd6xwRG0c/edit?usp=drive_link</v>
      </c>
      <c r="F968" s="103" t="str">
        <f ca="1">IFERROR(__xludf.DUMMYFUNCTION("IMPORTRANGE(H968,""IDENTITAS UNIT!D9"")"),"https://maps.google.com/?q=-7.672330,110.185768")</f>
        <v>https://maps.google.com/?q=-7.672330,110.185768</v>
      </c>
      <c r="G968" s="4" t="s">
        <v>13419</v>
      </c>
      <c r="H968" s="101" t="str">
        <v>https://docs.google.com/spreadsheets/d/1x3trs2wSiz5ktdTSnKOmaf0SXagaoGxqKwbd6xwRG0c/edit?usp=drive_link</v>
      </c>
      <c r="I968" s="101" t="str">
        <v>https://docs.google.com/spreadsheets/d/1x3trs2wSiz5ktdTSnKOmaf0SXagaoGxqKwbd6xwRG0c/edit?usp=drive_link</v>
      </c>
      <c r="J968" s="4" t="str">
        <v>Sulur, Sidoharjo, Samigaluh</v>
      </c>
      <c r="L968" s="99" t="str">
        <f ca="1">IFERROR(__xludf.DUMMYFUNCTION("IMPORTRANGE(H968,""IDENTITAS UNIT!D35"")"),"Genta Husega")</f>
        <v>Genta Husega</v>
      </c>
      <c r="M968" s="99">
        <f ca="1">IFERROR(__xludf.DUMMYFUNCTION("IMPORTRANGE(H968,""IDENTITAS UNIT!F35"")"),2000029011)</f>
        <v>2000029011</v>
      </c>
    </row>
    <row r="969" spans="1:13" ht="49.5">
      <c r="A969" s="4" t="str">
        <v>Reguler Periode ke-119 XVI.D.1</v>
      </c>
      <c r="B969" s="4" t="str">
        <v>Reguler Periode ke-119</v>
      </c>
      <c r="C969" s="4" t="str">
        <v>XVI.D.1</v>
      </c>
      <c r="D969" s="101" t="str">
        <v>https://drive.google.com/open?id=1VhOX0eYYn9UW6tI66ExqgnezmRHghm1suLHL-YT9a34&amp;usp=drive_copy</v>
      </c>
      <c r="E969" s="101" t="str">
        <v>https://drive.google.com/open?id=1VhOX0eYYn9UW6tI66ExqgnezmRHghm1suLHL-YT9a34</v>
      </c>
      <c r="F969" s="103" t="str">
        <f ca="1">IFERROR(__xludf.DUMMYFUNCTION("IMPORTRANGE(H969,""IDENTITAS UNIT!D9"")"),"https://maps.app.goo.gl/rsshRyHxk1A9rSZf6")</f>
        <v>https://maps.app.goo.gl/rsshRyHxk1A9rSZf6</v>
      </c>
      <c r="G969" s="4" t="s">
        <v>13420</v>
      </c>
      <c r="H969" s="101" t="str">
        <v>https://docs.google.com/spreadsheets/d/1VhOX0eYYn9UW6tI66ExqgnezmRHghm1suLHL-YT9a34</v>
      </c>
      <c r="I969" s="101" t="str">
        <v>https://docs.google.com/open?id=1VhOX0eYYn9UW6tI66ExqgnezmRHghm1suLHL-YT9a34</v>
      </c>
      <c r="J969" s="4" t="str">
        <v>Nungkep, Sidoharjo, Samigaluh</v>
      </c>
      <c r="L969" s="99" t="str">
        <f ca="1">IFERROR(__xludf.DUMMYFUNCTION("IMPORTRANGE(H969,""IDENTITAS UNIT!D35"")"),"Muhammad Kheyrul Sayni")</f>
        <v>Muhammad Kheyrul Sayni</v>
      </c>
      <c r="M969" s="99">
        <f ca="1">IFERROR(__xludf.DUMMYFUNCTION("IMPORTRANGE(H969,""IDENTITAS UNIT!F35"")"),2000029118)</f>
        <v>2000029118</v>
      </c>
    </row>
    <row r="970" spans="1:13" ht="49.5">
      <c r="A970" s="4" t="str">
        <v>Reguler Periode ke-119 XVI.D.2</v>
      </c>
      <c r="B970" s="4" t="str">
        <v>Reguler Periode ke-119</v>
      </c>
      <c r="C970" s="4" t="str">
        <v>XVI.D.2</v>
      </c>
      <c r="D970" s="101" t="str">
        <v>https://drive.google.com/open?id=1GHl_BhP-EU9pjuHRxjFgow14W8msGSYW2g81zoBcegc&amp;usp=drive_copy</v>
      </c>
      <c r="E970" s="101" t="str">
        <v>https://drive.google.com/open?id=1GHl_BhP-EU9pjuHRxjFgow14W8msGSYW2g81zoBcegc</v>
      </c>
      <c r="F970" s="103" t="str">
        <f ca="1">IFERROR(__xludf.DUMMYFUNCTION("IMPORTRANGE(H970,""IDENTITAS UNIT!D9"")"),"https://maps.app.goo.gl/gZJxcnQ66UgjWLDa9")</f>
        <v>https://maps.app.goo.gl/gZJxcnQ66UgjWLDa9</v>
      </c>
      <c r="G970" s="4" t="s">
        <v>13421</v>
      </c>
      <c r="H970" s="101" t="str">
        <v>https://docs.google.com/spreadsheets/d/1GHl_BhP-EU9pjuHRxjFgow14W8msGSYW2g81zoBcegc</v>
      </c>
      <c r="I970" s="101" t="str">
        <v>https://docs.google.com/open?id=1GHl_BhP-EU9pjuHRxjFgow14W8msGSYW2g81zoBcegc</v>
      </c>
      <c r="J970" s="4" t="str">
        <v>Gorolangu, Sidoharjo, Samigaluh</v>
      </c>
      <c r="L970" s="99" t="str">
        <f ca="1">IFERROR(__xludf.DUMMYFUNCTION("IMPORTRANGE(H970,""IDENTITAS UNIT!D35"")"),"Fauziah Anggraini")</f>
        <v>Fauziah Anggraini</v>
      </c>
      <c r="M970" s="99">
        <f ca="1">IFERROR(__xludf.DUMMYFUNCTION("IMPORTRANGE(H970,""IDENTITAS UNIT!F35"")"),2000036004)</f>
        <v>2000036004</v>
      </c>
    </row>
    <row r="971" spans="1:13" ht="49.5">
      <c r="A971" s="4" t="str">
        <v>Reguler Periode ke-119 XVI.D.3</v>
      </c>
      <c r="B971" s="4" t="str">
        <v>Reguler Periode ke-119</v>
      </c>
      <c r="C971" s="4" t="str">
        <v>XVI.D.3</v>
      </c>
      <c r="D971" s="101" t="str">
        <v>https://drive.google.com/open?id=19NWPP5RBg_Y2vIZ7pIZnkUtOcfOb-OMaViWz0CT52PA&amp;usp=drive_copy</v>
      </c>
      <c r="E971" s="101" t="str">
        <v>https://drive.google.com/open?id=19NWPP5RBg_Y2vIZ7pIZnkUtOcfOb-OMaViWz0CT52PA</v>
      </c>
      <c r="F971" s="103" t="str">
        <f ca="1">IFERROR(__xludf.DUMMYFUNCTION("IMPORTRANGE(H971,""IDENTITAS UNIT!D9"")"),"https://maps.app.goo.gl/AZnWAkzkHd9XmuRCA")</f>
        <v>https://maps.app.goo.gl/AZnWAkzkHd9XmuRCA</v>
      </c>
      <c r="G971" s="4" t="s">
        <v>13422</v>
      </c>
      <c r="H971" s="101" t="str">
        <v>https://docs.google.com/spreadsheets/d/19NWPP5RBg_Y2vIZ7pIZnkUtOcfOb-OMaViWz0CT52PA</v>
      </c>
      <c r="I971" s="101" t="str">
        <v>https://docs.google.com/open?id=19NWPP5RBg_Y2vIZ7pIZnkUtOcfOb-OMaViWz0CT52PA</v>
      </c>
      <c r="J971" s="4" t="str">
        <v>Gebang, Sidoharjo, Samigaluh</v>
      </c>
      <c r="L971" s="99" t="str">
        <f ca="1">IFERROR(__xludf.DUMMYFUNCTION("IMPORTRANGE(H971,""IDENTITAS UNIT!D35"")"),"Felia Leonita")</f>
        <v>Felia Leonita</v>
      </c>
      <c r="M971" s="99" t="str">
        <f ca="1">IFERROR(__xludf.DUMMYFUNCTION("IMPORTRANGE(H971,""IDENTITAS UNIT!F35"")"),"PILIH SESUAI DENGAN NAMA YANG TERSEDIA")</f>
        <v>PILIH SESUAI DENGAN NAMA YANG TERSEDIA</v>
      </c>
    </row>
    <row r="972" spans="1:13" ht="49.5">
      <c r="A972" s="4" t="str">
        <v>Reguler Periode ke-119 XVII.A.1</v>
      </c>
      <c r="B972" s="4" t="str">
        <v>Reguler Periode ke-119</v>
      </c>
      <c r="C972" s="4" t="str">
        <v>XVII.A.1</v>
      </c>
      <c r="D972" s="101" t="str">
        <v>https://drive.google.com/open?id=1hxBdbZw1SOqEdW8XqmgwKoLwu6HRBvC9xF4jkjV4rDY&amp;usp=drive_copy</v>
      </c>
      <c r="E972" s="101" t="str">
        <v>https://drive.google.com/open?id=1hxBdbZw1SOqEdW8XqmgwKoLwu6HRBvC9xF4jkjV4rDY</v>
      </c>
      <c r="F972" s="103" t="str">
        <f ca="1">IFERROR(__xludf.DUMMYFUNCTION("IMPORTRANGE(H972,""IDENTITAS UNIT!D9"")"),"https://maps.app.goo.gl/LvMFj63yipbqNpcf8")</f>
        <v>https://maps.app.goo.gl/LvMFj63yipbqNpcf8</v>
      </c>
      <c r="G972" s="4" t="s">
        <v>13423</v>
      </c>
      <c r="H972" s="101" t="str">
        <v>https://docs.google.com/spreadsheets/d/1hxBdbZw1SOqEdW8XqmgwKoLwu6HRBvC9xF4jkjV4rDY</v>
      </c>
      <c r="I972" s="101" t="str">
        <v>https://docs.google.com/open?id=1hxBdbZw1SOqEdW8XqmgwKoLwu6HRBvC9xF4jkjV4rDY</v>
      </c>
      <c r="J972" s="4" t="str">
        <v>Munggang Wetan, Sidoharjo, Samigaluh</v>
      </c>
      <c r="L972" s="99" t="str">
        <f ca="1">IFERROR(__xludf.DUMMYFUNCTION("IMPORTRANGE(H972,""IDENTITAS UNIT!D35"")"),"Mochamad Rafly Dwilian Indarji")</f>
        <v>Mochamad Rafly Dwilian Indarji</v>
      </c>
      <c r="M972" s="99">
        <f ca="1">IFERROR(__xludf.DUMMYFUNCTION("IMPORTRANGE(H972,""IDENTITAS UNIT!F35"")"),2000019133)</f>
        <v>2000019133</v>
      </c>
    </row>
    <row r="973" spans="1:13" ht="49.5">
      <c r="A973" s="4" t="str">
        <v>Reguler Periode ke-119 XVII.A.2</v>
      </c>
      <c r="B973" s="4" t="str">
        <v>Reguler Periode ke-119</v>
      </c>
      <c r="C973" s="4" t="str">
        <v>XVII.A.2</v>
      </c>
      <c r="D973" s="101" t="str">
        <v>https://drive.google.com/open?id=1UMn0T1328tuDd33dVst5TEXOEmomwule8U0dioZVhRM&amp;usp=drive_copy</v>
      </c>
      <c r="E973" s="101" t="str">
        <v>https://drive.google.com/open?id=1UMn0T1328tuDd33dVst5TEXOEmomwule8U0dioZVhRM</v>
      </c>
      <c r="F973" s="103" t="str">
        <f ca="1">IFERROR(__xludf.DUMMYFUNCTION("IMPORTRANGE(H973,""IDENTITAS UNIT!D9"")"),"https://maps.app.goo.gl/uBSE5DDsb1M9PJuJ6")</f>
        <v>https://maps.app.goo.gl/uBSE5DDsb1M9PJuJ6</v>
      </c>
      <c r="H973" s="101" t="str">
        <v>https://docs.google.com/spreadsheets/d/1UMn0T1328tuDd33dVst5TEXOEmomwule8U0dioZVhRM</v>
      </c>
      <c r="I973" s="101" t="str">
        <v>https://docs.google.com/open?id=1UMn0T1328tuDd33dVst5TEXOEmomwule8U0dioZVhRM</v>
      </c>
      <c r="J973" s="4" t="str">
        <v>Nglambur, Sidoharjo, Samigaluh</v>
      </c>
      <c r="L973" s="99" t="str">
        <f ca="1">IFERROR(__xludf.DUMMYFUNCTION("IMPORTRANGE(H973,""IDENTITAS UNIT!D35"")"),"Herdian Putra Lokananta")</f>
        <v>Herdian Putra Lokananta</v>
      </c>
      <c r="M973" s="99">
        <f ca="1">IFERROR(__xludf.DUMMYFUNCTION("IMPORTRANGE(H973,""IDENTITAS UNIT!F35"")"),2000030110)</f>
        <v>2000030110</v>
      </c>
    </row>
    <row r="974" spans="1:13" ht="49.5">
      <c r="A974" s="4" t="str">
        <v>Reguler Periode ke-119 XVII.A.3</v>
      </c>
      <c r="B974" s="4" t="str">
        <v>Reguler Periode ke-119</v>
      </c>
      <c r="C974" s="4" t="str">
        <v>XVII.A.3</v>
      </c>
      <c r="D974" s="101" t="str">
        <v>https://drive.google.com/open?id=1kPFo6TDQXKDGPrteAimylU3WQsHgpnNz-WLO3fkIkUQ&amp;usp=drive_copy</v>
      </c>
      <c r="E974" s="101" t="str">
        <v>https://drive.google.com/open?id=1kPFo6TDQXKDGPrteAimylU3WQsHgpnNz-WLO3fkIkUQ</v>
      </c>
      <c r="F974" s="103" t="str">
        <f ca="1">IFERROR(__xludf.DUMMYFUNCTION("IMPORTRANGE(H974,""IDENTITAS UNIT!D9"")"),"https://maps.app.goo.gl/QQfPhZvf6Ask9zsg7")</f>
        <v>https://maps.app.goo.gl/QQfPhZvf6Ask9zsg7</v>
      </c>
      <c r="G974" s="4" t="s">
        <v>13424</v>
      </c>
      <c r="H974" s="101" t="str">
        <v>https://docs.google.com/spreadsheets/d/1kPFo6TDQXKDGPrteAimylU3WQsHgpnNz-WLO3fkIkUQ</v>
      </c>
      <c r="I974" s="101" t="str">
        <v>https://docs.google.com/open?id=1kPFo6TDQXKDGPrteAimylU3WQsHgpnNz-WLO3fkIkUQ</v>
      </c>
      <c r="J974" s="4" t="str">
        <v>Nyemani, Sidoharjo, Samigaluh</v>
      </c>
      <c r="L974" s="99" t="str">
        <f ca="1">IFERROR(__xludf.DUMMYFUNCTION("IMPORTRANGE(H974,""IDENTITAS UNIT!D35"")"),"Ferry Ardiansyah")</f>
        <v>Ferry Ardiansyah</v>
      </c>
      <c r="M974" s="99">
        <f ca="1">IFERROR(__xludf.DUMMYFUNCTION("IMPORTRANGE(H974,""IDENTITAS UNIT!F35"")"),2000011123)</f>
        <v>2000011123</v>
      </c>
    </row>
    <row r="975" spans="1:13" ht="49.5">
      <c r="A975" s="4" t="str">
        <v>Reguler Periode ke-119 XVII.B.1</v>
      </c>
      <c r="B975" s="4" t="str">
        <v>Reguler Periode ke-119</v>
      </c>
      <c r="C975" s="4" t="str">
        <v>XVII.B.1</v>
      </c>
      <c r="D975" s="101" t="str">
        <v>https://drive.google.com/open?id=1nTguIhz7s84xpHZvYXCDLKGXhAkn-m851iGpSU8Gkv0&amp;usp=drive_copy</v>
      </c>
      <c r="E975" s="101" t="str">
        <v>https://drive.google.com/open?id=1nTguIhz7s84xpHZvYXCDLKGXhAkn-m851iGpSU8Gkv0</v>
      </c>
      <c r="F975" s="103" t="str">
        <f ca="1">IFERROR(__xludf.DUMMYFUNCTION("IMPORTRANGE(H975,""IDENTITAS UNIT!D9"")"),"https://maps.app.goo.gl/AHXwazJSMztfv6yf7")</f>
        <v>https://maps.app.goo.gl/AHXwazJSMztfv6yf7</v>
      </c>
      <c r="G975" s="4" t="s">
        <v>13425</v>
      </c>
      <c r="H975" s="101" t="str">
        <v>https://docs.google.com/spreadsheets/d/1nTguIhz7s84xpHZvYXCDLKGXhAkn-m851iGpSU8Gkv0</v>
      </c>
      <c r="I975" s="101" t="str">
        <v>https://docs.google.com/open?id=1nTguIhz7s84xpHZvYXCDLKGXhAkn-m851iGpSU8Gkv0</v>
      </c>
      <c r="J975" s="4" t="str">
        <v>Madigondo, Sidoharjo, Samigaluh</v>
      </c>
      <c r="L975" s="99" t="str">
        <f ca="1">IFERROR(__xludf.DUMMYFUNCTION("IMPORTRANGE(H975,""IDENTITAS UNIT!D35"")"),"Muhammad Rizqy Ardh-sam")</f>
        <v>Muhammad Rizqy Ardh-sam</v>
      </c>
      <c r="M975" s="99">
        <f ca="1">IFERROR(__xludf.DUMMYFUNCTION("IMPORTRANGE(H975,""IDENTITAS UNIT!F35"")"),2000030243)</f>
        <v>2000030243</v>
      </c>
    </row>
    <row r="976" spans="1:13" ht="49.5">
      <c r="A976" s="4" t="str">
        <v>Reguler Periode ke-119 XVII.B.2</v>
      </c>
      <c r="B976" s="4" t="str">
        <v>Reguler Periode ke-119</v>
      </c>
      <c r="C976" s="4" t="str">
        <v>XVII.B.2</v>
      </c>
      <c r="D976" s="101" t="str">
        <v>https://drive.google.com/open?id=1YL-thVA9WsyYVWzPE53-uqCkY2pDDN0Urv2pbbKqh94&amp;usp=drive_copy</v>
      </c>
      <c r="E976" s="101" t="str">
        <v>https://drive.google.com/open?id=1YL-thVA9WsyYVWzPE53-uqCkY2pDDN0Urv2pbbKqh94</v>
      </c>
      <c r="F976" s="103" t="str">
        <f ca="1">IFERROR(__xludf.DUMMYFUNCTION("IMPORTRANGE(H976,""IDENTITAS UNIT!D9"")"),"https://maps.app.goo.gl/42QYqkX3Ai8NLeM36")</f>
        <v>https://maps.app.goo.gl/42QYqkX3Ai8NLeM36</v>
      </c>
      <c r="G976" s="4" t="s">
        <v>13426</v>
      </c>
      <c r="H976" s="101" t="str">
        <v>https://docs.google.com/spreadsheets/d/1YL-thVA9WsyYVWzPE53-uqCkY2pDDN0Urv2pbbKqh94</v>
      </c>
      <c r="I976" s="101" t="str">
        <v>https://docs.google.com/open?id=1YL-thVA9WsyYVWzPE53-uqCkY2pDDN0Urv2pbbKqh94</v>
      </c>
      <c r="J976" s="4" t="str">
        <v>Sumoroto, Sidoharjo, Samigaluh</v>
      </c>
      <c r="L976" s="99" t="str">
        <f ca="1">IFERROR(__xludf.DUMMYFUNCTION("IMPORTRANGE(H976,""IDENTITAS UNIT!D35"")"),"Abdan Auliahabbi Julfia")</f>
        <v>Abdan Auliahabbi Julfia</v>
      </c>
      <c r="M976" s="99">
        <f ca="1">IFERROR(__xludf.DUMMYFUNCTION("IMPORTRANGE(H976,""IDENTITAS UNIT!F35"")"),2000012101)</f>
        <v>2000012101</v>
      </c>
    </row>
    <row r="977" spans="1:13" ht="49.5">
      <c r="A977" s="4" t="str">
        <v>Reguler Periode ke-119 XVII.B.3</v>
      </c>
      <c r="B977" s="4" t="str">
        <v>Reguler Periode ke-119</v>
      </c>
      <c r="C977" s="4" t="str">
        <v>XVII.B.3</v>
      </c>
      <c r="D977" s="101" t="str">
        <v>https://drive.google.com/open?id=1zBnO5IHOpYERp-YB7AyJDf4Q8yGUWuwiwTANjk_ACBc&amp;usp=drive_copy</v>
      </c>
      <c r="E977" s="101" t="str">
        <v>https://drive.google.com/open?id=1zBnO5IHOpYERp-YB7AyJDf4Q8yGUWuwiwTANjk_ACBc</v>
      </c>
      <c r="F977" s="103" t="str">
        <f ca="1">IFERROR(__xludf.DUMMYFUNCTION("IMPORTRANGE(H977,""IDENTITAS UNIT!D9"")"),"https://maps.app.goo.gl/Pe4Smgci2vTK1Q7DA?g_st=iw")</f>
        <v>https://maps.app.goo.gl/Pe4Smgci2vTK1Q7DA?g_st=iw</v>
      </c>
      <c r="G977" s="4" t="s">
        <v>13427</v>
      </c>
      <c r="H977" s="101" t="str">
        <v>https://docs.google.com/spreadsheets/d/1zBnO5IHOpYERp-YB7AyJDf4Q8yGUWuwiwTANjk_ACBc</v>
      </c>
      <c r="I977" s="101" t="str">
        <v>https://docs.google.com/open?id=1zBnO5IHOpYERp-YB7AyJDf4Q8yGUWuwiwTANjk_ACBc</v>
      </c>
      <c r="J977" s="4" t="str">
        <v>Kedokan, Sidoharjo, Samigaluh</v>
      </c>
      <c r="L977" s="99" t="str">
        <f ca="1">IFERROR(__xludf.DUMMYFUNCTION("IMPORTRANGE(H977,""IDENTITAS UNIT!D35"")"),"Bondan Aji Anggoro")</f>
        <v>Bondan Aji Anggoro</v>
      </c>
      <c r="M977" s="99" t="str">
        <f ca="1">IFERROR(__xludf.DUMMYFUNCTION("IMPORTRANGE(H977,""IDENTITAS UNIT!F35"")"),"PILIH SESUAI DENGAN NAMA YANG TERSEDIA")</f>
        <v>PILIH SESUAI DENGAN NAMA YANG TERSEDIA</v>
      </c>
    </row>
    <row r="978" spans="1:13" ht="49.5">
      <c r="A978" s="4" t="str">
        <v>Reguler Periode ke-119 XVII.C.1</v>
      </c>
      <c r="B978" s="4" t="str">
        <v>Reguler Periode ke-119</v>
      </c>
      <c r="C978" s="4" t="str">
        <v>XVII.C.1</v>
      </c>
      <c r="D978" s="101" t="str">
        <v>https://drive.google.com/open?id=1NPZRYGR4l9E_qQ95k7xwCdIB74YsO5sMjAxdN6bZPkY&amp;usp=drive_copy</v>
      </c>
      <c r="E978" s="101" t="str">
        <v>https://drive.google.com/open?id=1NPZRYGR4l9E_qQ95k7xwCdIB74YsO5sMjAxdN6bZPkY</v>
      </c>
      <c r="F978" s="103" t="str">
        <f ca="1">IFERROR(__xludf.DUMMYFUNCTION("IMPORTRANGE(H978,""IDENTITAS UNIT!D9"")"),"https://maps.app.goo.gl/NN9mCCPA5wBcrTeV8")</f>
        <v>https://maps.app.goo.gl/NN9mCCPA5wBcrTeV8</v>
      </c>
      <c r="G978" s="4" t="s">
        <v>13428</v>
      </c>
      <c r="H978" s="101" t="str">
        <v>https://docs.google.com/spreadsheets/d/1NPZRYGR4l9E_qQ95k7xwCdIB74YsO5sMjAxdN6bZPkY</v>
      </c>
      <c r="I978" s="101" t="str">
        <v>https://docs.google.com/open?id=1NPZRYGR4l9E_qQ95k7xwCdIB74YsO5sMjAxdN6bZPkY</v>
      </c>
      <c r="J978" s="4" t="str">
        <v>Junut, Purwoharjo, Samigaluh</v>
      </c>
      <c r="L978" s="99" t="str">
        <f ca="1">IFERROR(__xludf.DUMMYFUNCTION("IMPORTRANGE(H978,""IDENTITAS UNIT!D35"")"),"Muhammad Lutfi Aji Pamungkas")</f>
        <v>Muhammad Lutfi Aji Pamungkas</v>
      </c>
      <c r="M978" s="99" t="str">
        <f ca="1">IFERROR(__xludf.DUMMYFUNCTION("IMPORTRANGE(H978,""IDENTITAS UNIT!F35"")"),"PILIH SESUAI DENGAN NAMA YANG TERSEDIA")</f>
        <v>PILIH SESUAI DENGAN NAMA YANG TERSEDIA</v>
      </c>
    </row>
    <row r="979" spans="1:13" ht="49.5">
      <c r="A979" s="4" t="str">
        <v>Reguler Periode ke-119 XVII.C.2</v>
      </c>
      <c r="B979" s="4" t="str">
        <v>Reguler Periode ke-119</v>
      </c>
      <c r="C979" s="4" t="str">
        <v>XVII.C.2</v>
      </c>
      <c r="D979" s="101" t="str">
        <v>https://drive.google.com/open?id=19ZDN6-sAUd9J7XkAkFvRVoMzw1UnPWUn7WxMS0UCz04&amp;usp=drive_copy</v>
      </c>
      <c r="E979" s="101" t="str">
        <v>https://drive.google.com/open?id=19ZDN6-sAUd9J7XkAkFvRVoMzw1UnPWUn7WxMS0UCz04</v>
      </c>
      <c r="F979" s="103" t="str">
        <f ca="1">IFERROR(__xludf.DUMMYFUNCTION("IMPORTRANGE(H979,""IDENTITAS UNIT!D9"")"),"https://maps.app.goo.gl/P2YvXVPfs6AE3krW7?g_st=iw")</f>
        <v>https://maps.app.goo.gl/P2YvXVPfs6AE3krW7?g_st=iw</v>
      </c>
      <c r="G979" s="4" t="s">
        <v>13429</v>
      </c>
      <c r="H979" s="101" t="str">
        <v>https://docs.google.com/spreadsheets/d/19ZDN6-sAUd9J7XkAkFvRVoMzw1UnPWUn7WxMS0UCz04</v>
      </c>
      <c r="I979" s="101" t="str">
        <v>https://docs.google.com/open?id=19ZDN6-sAUd9J7XkAkFvRVoMzw1UnPWUn7WxMS0UCz04</v>
      </c>
      <c r="J979" s="4" t="str">
        <v>Tukharjo, Purwoharjo, Samigaluh</v>
      </c>
      <c r="L979" s="99" t="str">
        <f ca="1">IFERROR(__xludf.DUMMYFUNCTION("IMPORTRANGE(H979,""IDENTITAS UNIT!D35"")"),"Wildan Ahdiana Rizky")</f>
        <v>Wildan Ahdiana Rizky</v>
      </c>
      <c r="M979" s="99" t="str">
        <f ca="1">IFERROR(__xludf.DUMMYFUNCTION("IMPORTRANGE(H979,""IDENTITAS UNIT!F35"")"),"PILIH SESUAI DENGAN NAMA YANG TERSEDIA")</f>
        <v>PILIH SESUAI DENGAN NAMA YANG TERSEDIA</v>
      </c>
    </row>
    <row r="980" spans="1:13" ht="49.5">
      <c r="A980" s="4" t="str">
        <v>Reguler Periode ke-119 XVII.C.3</v>
      </c>
      <c r="B980" s="4" t="str">
        <v>Reguler Periode ke-119</v>
      </c>
      <c r="C980" s="4" t="str">
        <v>XVII.C.3</v>
      </c>
      <c r="D980" s="101" t="str">
        <v>https://drive.google.com/open?id=1yjeF5-pkOGsYR_qPlRwkoxHwvdMtCJeEuOdytxXHgfs&amp;usp=drive_copy</v>
      </c>
      <c r="E980" s="101" t="str">
        <v>https://drive.google.com/open?id=1yjeF5-pkOGsYR_qPlRwkoxHwvdMtCJeEuOdytxXHgfs</v>
      </c>
      <c r="F980" s="103" t="str">
        <f ca="1">IFERROR(__xludf.DUMMYFUNCTION("IMPORTRANGE(H980,""IDENTITAS UNIT!D9"")"),"https://maps.app.goo.gl/2iNR2oio35uLbP2V8")</f>
        <v>https://maps.app.goo.gl/2iNR2oio35uLbP2V8</v>
      </c>
      <c r="G980" s="4" t="s">
        <v>13430</v>
      </c>
      <c r="H980" s="101" t="str">
        <v>https://docs.google.com/spreadsheets/d/1yjeF5-pkOGsYR_qPlRwkoxHwvdMtCJeEuOdytxXHgfs</v>
      </c>
      <c r="I980" s="101" t="str">
        <v>https://docs.google.com/open?id=1yjeF5-pkOGsYR_qPlRwkoxHwvdMtCJeEuOdytxXHgfs</v>
      </c>
      <c r="J980" s="4" t="str">
        <v>Dukuh, Purwoharjo, Samigaluh</v>
      </c>
      <c r="L980" s="99" t="str">
        <f ca="1">IFERROR(__xludf.DUMMYFUNCTION("IMPORTRANGE(H980,""IDENTITAS UNIT!D35"")"),"HADAINA NUR ENDRAIRANTI")</f>
        <v>HADAINA NUR ENDRAIRANTI</v>
      </c>
      <c r="M980" s="99">
        <f ca="1">IFERROR(__xludf.DUMMYFUNCTION("IMPORTRANGE(H980,""IDENTITAS UNIT!F35"")"),2000036118)</f>
        <v>2000036118</v>
      </c>
    </row>
    <row r="981" spans="1:13" ht="49.5">
      <c r="A981" s="4" t="str">
        <v>Reguler Periode ke-119 XVII.D.1</v>
      </c>
      <c r="B981" s="4" t="str">
        <v>Reguler Periode ke-119</v>
      </c>
      <c r="C981" s="4" t="str">
        <v>XVII.D.1</v>
      </c>
      <c r="D981" s="101" t="str">
        <v>https://drive.google.com/open?id=1QmUi7ARVrPxxYYnSt19fF4Ks8563tp3d8KxOA8uZSgY&amp;usp=drive_copy</v>
      </c>
      <c r="E981" s="101" t="str">
        <v>https://drive.google.com/open?id=1QmUi7ARVrPxxYYnSt19fF4Ks8563tp3d8KxOA8uZSgY</v>
      </c>
      <c r="F981" s="103" t="str">
        <f ca="1">IFERROR(__xludf.DUMMYFUNCTION("IMPORTRANGE(H981,""IDENTITAS UNIT!D9"")"),"https://maps.app.goo.gl/wtgAKMjebKcNoyVR9")</f>
        <v>https://maps.app.goo.gl/wtgAKMjebKcNoyVR9</v>
      </c>
      <c r="G981" s="4" t="s">
        <v>13431</v>
      </c>
      <c r="H981" s="101" t="str">
        <v>https://docs.google.com/spreadsheets/d/1QmUi7ARVrPxxYYnSt19fF4Ks8563tp3d8KxOA8uZSgY</v>
      </c>
      <c r="I981" s="101" t="str">
        <v>https://docs.google.com/open?id=1QmUi7ARVrPxxYYnSt19fF4Ks8563tp3d8KxOA8uZSgY</v>
      </c>
      <c r="J981" s="4" t="str">
        <v>Kalinangka, Purwoharjo, Samigaluh</v>
      </c>
      <c r="L981" s="99" t="str">
        <f ca="1">IFERROR(__xludf.DUMMYFUNCTION("IMPORTRANGE(H981,""IDENTITAS UNIT!D35"")"),"Deviana Vida Widiyastuti")</f>
        <v>Deviana Vida Widiyastuti</v>
      </c>
      <c r="M981" s="99">
        <f ca="1">IFERROR(__xludf.DUMMYFUNCTION("IMPORTRANGE(H981,""IDENTITAS UNIT!F35"")"),2000011161)</f>
        <v>2000011161</v>
      </c>
    </row>
    <row r="982" spans="1:13" ht="49.5">
      <c r="A982" s="4" t="str">
        <v>Reguler Periode ke-119 XVII.D.2</v>
      </c>
      <c r="B982" s="4" t="str">
        <v>Reguler Periode ke-119</v>
      </c>
      <c r="C982" s="4" t="str">
        <v>XVII.D.2</v>
      </c>
      <c r="D982" s="101" t="str">
        <v>https://drive.google.com/open?id=1IpmCgn885JULqdjoGvMFlAzAu-iojSZDeuFfFMfNlgA&amp;usp=drive_copy</v>
      </c>
      <c r="E982" s="101" t="str">
        <v>https://drive.google.com/open?id=1IpmCgn885JULqdjoGvMFlAzAu-iojSZDeuFfFMfNlgA</v>
      </c>
      <c r="F982" s="103" t="str">
        <f ca="1">IFERROR(__xludf.DUMMYFUNCTION("IMPORTRANGE(H982,""IDENTITAS UNIT!D9"")"),"https://maps.app.goo.gl/LktJyaycTFVHHPG76")</f>
        <v>https://maps.app.goo.gl/LktJyaycTFVHHPG76</v>
      </c>
      <c r="G982" s="4" t="s">
        <v>13432</v>
      </c>
      <c r="H982" s="101" t="str">
        <v>https://docs.google.com/spreadsheets/d/1IpmCgn885JULqdjoGvMFlAzAu-iojSZDeuFfFMfNlgA</v>
      </c>
      <c r="I982" s="101" t="str">
        <v>https://docs.google.com/open?id=1IpmCgn885JULqdjoGvMFlAzAu-iojSZDeuFfFMfNlgA</v>
      </c>
      <c r="J982" s="4" t="str">
        <v>Bangunrejo, Purwoharjo, Samigaluh</v>
      </c>
      <c r="L982" s="99" t="str">
        <f ca="1">IFERROR(__xludf.DUMMYFUNCTION("IMPORTRANGE(H982,""IDENTITAS UNIT!D35"")"),"Nalendra Putra Firdaus")</f>
        <v>Nalendra Putra Firdaus</v>
      </c>
      <c r="M982" s="99">
        <f ca="1">IFERROR(__xludf.DUMMYFUNCTION("IMPORTRANGE(H982,""IDENTITAS UNIT!F35"")"),2000030114)</f>
        <v>2000030114</v>
      </c>
    </row>
    <row r="983" spans="1:13" ht="49.5">
      <c r="A983" s="4" t="str">
        <v>Reguler Periode ke-119 XVII.D.3</v>
      </c>
      <c r="B983" s="4" t="str">
        <v>Reguler Periode ke-119</v>
      </c>
      <c r="C983" s="4" t="str">
        <v>XVII.D.3</v>
      </c>
      <c r="D983" s="101" t="str">
        <v>https://drive.google.com/open?id=18wpXdoseD-Gd9NYjhyF4oSdsGUtMnRmt2naZm3cfpFQ&amp;usp=drive_copy</v>
      </c>
      <c r="E983" s="101" t="str">
        <v>https://drive.google.com/open?id=18wpXdoseD-Gd9NYjhyF4oSdsGUtMnRmt2naZm3cfpFQ</v>
      </c>
      <c r="F983" s="103" t="str">
        <f ca="1">IFERROR(__xludf.DUMMYFUNCTION("IMPORTRANGE(H983,""IDENTITAS UNIT!D9"")"),"https://maps.app.goo.gl/9J7P3K9TuhEPgxnt7")</f>
        <v>https://maps.app.goo.gl/9J7P3K9TuhEPgxnt7</v>
      </c>
      <c r="G983" s="4" t="s">
        <v>13433</v>
      </c>
      <c r="H983" s="101" t="str">
        <v>https://docs.google.com/spreadsheets/d/18wpXdoseD-Gd9NYjhyF4oSdsGUtMnRmt2naZm3cfpFQ</v>
      </c>
      <c r="I983" s="101" t="str">
        <v>https://docs.google.com/open?id=18wpXdoseD-Gd9NYjhyF4oSdsGUtMnRmt2naZm3cfpFQ</v>
      </c>
      <c r="J983" s="4" t="str">
        <v>Besole, Purwoharjo, Samigaluh</v>
      </c>
      <c r="L983" s="99" t="str">
        <f ca="1">IFERROR(__xludf.DUMMYFUNCTION("IMPORTRANGE(H983,""IDENTITAS UNIT!D35"")"),"Deandra Fazauli Alsa")</f>
        <v>Deandra Fazauli Alsa</v>
      </c>
      <c r="M983" s="99">
        <f ca="1">IFERROR(__xludf.DUMMYFUNCTION("IMPORTRANGE(H983,""IDENTITAS UNIT!F35"")"),2000030109)</f>
        <v>2000030109</v>
      </c>
    </row>
    <row r="984" spans="1:13" ht="49.5">
      <c r="A984" s="4" t="str">
        <v>Reguler Periode ke-119 XVIII.A.1</v>
      </c>
      <c r="B984" s="4" t="str">
        <v>Reguler Periode ke-119</v>
      </c>
      <c r="C984" s="4" t="str">
        <v>XVIII.A.1</v>
      </c>
      <c r="D984" s="101" t="str">
        <v>https://drive.google.com/open?id=1TNTNRv981Yl3_UDj9snbr7qhrCIY4W-oZudH8Ubdoww&amp;usp=drive_copy</v>
      </c>
      <c r="E984" s="101" t="str">
        <v>https://drive.google.com/open?id=1TNTNRv981Yl3_UDj9snbr7qhrCIY4W-oZudH8Ubdoww</v>
      </c>
      <c r="F984" s="103" t="str">
        <f ca="1">IFERROR(__xludf.DUMMYFUNCTION("IMPORTRANGE(H984,""IDENTITAS UNIT!D9"")"),"https://maps.app.goo.gl/7d9wYXCCv6jmm8BRA")</f>
        <v>https://maps.app.goo.gl/7d9wYXCCv6jmm8BRA</v>
      </c>
      <c r="G984" s="4" t="s">
        <v>13434</v>
      </c>
      <c r="H984" s="101" t="str">
        <v>https://docs.google.com/spreadsheets/d/1TNTNRv981Yl3_UDj9snbr7qhrCIY4W-oZudH8Ubdoww</v>
      </c>
      <c r="I984" s="101" t="str">
        <v>https://docs.google.com/open?id=1TNTNRv981Yl3_UDj9snbr7qhrCIY4W-oZudH8Ubdoww</v>
      </c>
      <c r="J984" s="4" t="str">
        <v>Duwet, Purwoharjo, Samigaluh</v>
      </c>
      <c r="L984" s="99" t="str">
        <f ca="1">IFERROR(__xludf.DUMMYFUNCTION("IMPORTRANGE(H984,""IDENTITAS UNIT!D35"")"),"Zainurrifqy Alfian Ahmadi")</f>
        <v>Zainurrifqy Alfian Ahmadi</v>
      </c>
      <c r="M984" s="99">
        <f ca="1">IFERROR(__xludf.DUMMYFUNCTION("IMPORTRANGE(H984,""IDENTITAS UNIT!F35"")"),2000030199)</f>
        <v>2000030199</v>
      </c>
    </row>
    <row r="985" spans="1:13" ht="49.5">
      <c r="A985" s="4" t="str">
        <v>Reguler Periode ke-119 XVIII.A.2</v>
      </c>
      <c r="B985" s="4" t="str">
        <v>Reguler Periode ke-119</v>
      </c>
      <c r="C985" s="4" t="str">
        <v>XVIII.A.2</v>
      </c>
      <c r="D985" s="101" t="str">
        <v>https://drive.google.com/open?id=1Bq43Mn1CskIWPWHSVZzU_8PM_ZaluHA5dYV635n1lwA&amp;usp=drive_copy</v>
      </c>
      <c r="E985" s="101" t="str">
        <v>https://drive.google.com/open?id=1Bq43Mn1CskIWPWHSVZzU_8PM_ZaluHA5dYV635n1lwA</v>
      </c>
      <c r="F985" s="103" t="str">
        <f ca="1">IFERROR(__xludf.DUMMYFUNCTION("IMPORTRANGE(H985,""IDENTITAS UNIT!D9"")"),"https://maps.app.goo.gl/AFhtGSMMTywdBuvz7 ")</f>
        <v xml:space="preserve">https://maps.app.goo.gl/AFhtGSMMTywdBuvz7 </v>
      </c>
      <c r="G985" s="4" t="s">
        <v>13435</v>
      </c>
      <c r="H985" s="101" t="str">
        <v>https://docs.google.com/spreadsheets/d/1Bq43Mn1CskIWPWHSVZzU_8PM_ZaluHA5dYV635n1lwA</v>
      </c>
      <c r="I985" s="101" t="str">
        <v>https://docs.google.com/open?id=1Bq43Mn1CskIWPWHSVZzU_8PM_ZaluHA5dYV635n1lwA</v>
      </c>
      <c r="J985" s="4" t="str">
        <v>Puyang, Purwoharjo, Samigaluh</v>
      </c>
      <c r="L985" s="99" t="str">
        <f ca="1">IFERROR(__xludf.DUMMYFUNCTION("IMPORTRANGE(H985,""IDENTITAS UNIT!D35"")"),"Fachrurrozi Ahmad")</f>
        <v>Fachrurrozi Ahmad</v>
      </c>
      <c r="M985" s="99" t="str">
        <f ca="1">IFERROR(__xludf.DUMMYFUNCTION("IMPORTRANGE(H985,""IDENTITAS UNIT!F35"")"),"PILIH SESUAI DENGAN NAMA YANG TERSEDIA")</f>
        <v>PILIH SESUAI DENGAN NAMA YANG TERSEDIA</v>
      </c>
    </row>
    <row r="986" spans="1:13" ht="49.5">
      <c r="A986" s="4" t="str">
        <v>Reguler Periode ke-119 XVIII.A.3</v>
      </c>
      <c r="B986" s="4" t="str">
        <v>Reguler Periode ke-119</v>
      </c>
      <c r="C986" s="4" t="str">
        <v>XVIII.A.3</v>
      </c>
      <c r="D986" s="101" t="str">
        <v>https://drive.google.com/open?id=1Yk1yQn_PGRwSe8BNNnKwSy6nlEdzEKhsFw9sdXWz_sk&amp;usp=drive_copy</v>
      </c>
      <c r="E986" s="101" t="str">
        <v>https://drive.google.com/open?id=1Yk1yQn_PGRwSe8BNNnKwSy6nlEdzEKhsFw9sdXWz_sk</v>
      </c>
      <c r="F986" s="103" t="str">
        <f ca="1">IFERROR(__xludf.DUMMYFUNCTION("IMPORTRANGE(H986,""IDENTITAS UNIT!D9"")"),"https://maps.app.goo.gl/njv5rXwBJFZynTACA")</f>
        <v>https://maps.app.goo.gl/njv5rXwBJFZynTACA</v>
      </c>
      <c r="G986" s="4" t="s">
        <v>13436</v>
      </c>
      <c r="H986" s="101" t="str">
        <v>https://docs.google.com/spreadsheets/d/1Yk1yQn_PGRwSe8BNNnKwSy6nlEdzEKhsFw9sdXWz_sk</v>
      </c>
      <c r="I986" s="101" t="str">
        <v>https://docs.google.com/open?id=1Yk1yQn_PGRwSe8BNNnKwSy6nlEdzEKhsFw9sdXWz_sk</v>
      </c>
      <c r="J986" s="4" t="str">
        <v>Kedungrong, Purwoharjo, Samigaluh</v>
      </c>
      <c r="L986" s="99" t="str">
        <f ca="1">IFERROR(__xludf.DUMMYFUNCTION("IMPORTRANGE(H986,""IDENTITAS UNIT!D35"")"),"Imam Rufi'i")</f>
        <v>Imam Rufi'i</v>
      </c>
      <c r="M986" s="99">
        <f ca="1">IFERROR(__xludf.DUMMYFUNCTION("IMPORTRANGE(H986,""IDENTITAS UNIT!F35"")"),2000019092)</f>
        <v>2000019092</v>
      </c>
    </row>
    <row r="987" spans="1:13" ht="49.5">
      <c r="A987" s="4" t="str">
        <v>Reguler Periode ke-119 XVIII.B.1</v>
      </c>
      <c r="B987" s="4" t="str">
        <v>Reguler Periode ke-119</v>
      </c>
      <c r="C987" s="4" t="str">
        <v>XVIII.B.1</v>
      </c>
      <c r="D987" s="101" t="str">
        <v>https://drive.google.com/open?id=1Mj88VmwjiSmHE8H5vF_BmqlUKbkSXPhyIef-g04zpMk&amp;usp=drive_copy</v>
      </c>
      <c r="E987" s="101" t="str">
        <v>https://drive.google.com/open?id=1Mj88VmwjiSmHE8H5vF_BmqlUKbkSXPhyIef-g04zpMk</v>
      </c>
      <c r="F987" s="103" t="str">
        <f ca="1">IFERROR(__xludf.DUMMYFUNCTION("IMPORTRANGE(H987,""IDENTITAS UNIT!D9"")"),"https://maps.app.goo.gl/w27b4QffBsmWzb7d8?g_st=ic")</f>
        <v>https://maps.app.goo.gl/w27b4QffBsmWzb7d8?g_st=ic</v>
      </c>
      <c r="G987" s="4" t="s">
        <v>13437</v>
      </c>
      <c r="H987" s="101" t="str">
        <v>https://docs.google.com/spreadsheets/d/1Mj88VmwjiSmHE8H5vF_BmqlUKbkSXPhyIef-g04zpMk</v>
      </c>
      <c r="I987" s="101" t="str">
        <v>https://docs.google.com/open?id=1Mj88VmwjiSmHE8H5vF_BmqlUKbkSXPhyIef-g04zpMk</v>
      </c>
      <c r="J987" s="4" t="str">
        <v>Pagutan, Purwoharjo, Samigaluh</v>
      </c>
      <c r="L987" s="99" t="str">
        <f ca="1">IFERROR(__xludf.DUMMYFUNCTION("IMPORTRANGE(H987,""IDENTITAS UNIT!D35"")"),"Amru Alfadli Ahmad")</f>
        <v>Amru Alfadli Ahmad</v>
      </c>
      <c r="M987" s="99">
        <f ca="1">IFERROR(__xludf.DUMMYFUNCTION("IMPORTRANGE(H987,""IDENTITAS UNIT!F35"")"),2000019135)</f>
        <v>2000019135</v>
      </c>
    </row>
    <row r="988" spans="1:13" ht="49.5">
      <c r="A988" s="4" t="str">
        <v>Reguler Periode ke-119 XVIII.B.2</v>
      </c>
      <c r="B988" s="4" t="str">
        <v>Reguler Periode ke-119</v>
      </c>
      <c r="C988" s="4" t="str">
        <v>XVIII.B.2</v>
      </c>
      <c r="D988" s="101" t="str">
        <v>https://drive.google.com/open?id=1ygoaH-E2xwIA3OpOd3RsnvMKCUNrtXMS7FrvC5diEF8&amp;usp=drive_copy</v>
      </c>
      <c r="E988" s="101" t="str">
        <v>https://drive.google.com/open?id=1ygoaH-E2xwIA3OpOd3RsnvMKCUNrtXMS7FrvC5diEF8</v>
      </c>
      <c r="F988" s="103" t="str">
        <f ca="1">IFERROR(__xludf.DUMMYFUNCTION("IMPORTRANGE(H988,""IDENTITAS UNIT!D9"")"),"https://maps.app.goo.gl/7UikG2a5u63xfY4a6")</f>
        <v>https://maps.app.goo.gl/7UikG2a5u63xfY4a6</v>
      </c>
      <c r="G988" s="4" t="s">
        <v>13437</v>
      </c>
      <c r="H988" s="101" t="str">
        <v>https://docs.google.com/spreadsheets/d/1ygoaH-E2xwIA3OpOd3RsnvMKCUNrtXMS7FrvC5diEF8</v>
      </c>
      <c r="I988" s="101" t="str">
        <v>https://docs.google.com/open?id=1ygoaH-E2xwIA3OpOd3RsnvMKCUNrtXMS7FrvC5diEF8</v>
      </c>
      <c r="J988" s="4" t="str">
        <v>Taman, Purwoharjo, Samigaluh</v>
      </c>
      <c r="L988" s="99" t="str">
        <f ca="1">IFERROR(__xludf.DUMMYFUNCTION("IMPORTRANGE(H988,""IDENTITAS UNIT!D35"")"),"Bagas Bayu Bismantaka")</f>
        <v>Bagas Bayu Bismantaka</v>
      </c>
      <c r="M988" s="99">
        <f ca="1">IFERROR(__xludf.DUMMYFUNCTION("IMPORTRANGE(H988,""IDENTITAS UNIT!F35"")"),2000019075)</f>
        <v>2000019075</v>
      </c>
    </row>
    <row r="989" spans="1:13" ht="33">
      <c r="A989" s="4" t="str">
        <v>Reguler Periode ke-119 XVIII.B.3</v>
      </c>
      <c r="B989" s="4" t="str">
        <v>Reguler Periode ke-119</v>
      </c>
      <c r="C989" s="4" t="str">
        <v>XVIII.B.3</v>
      </c>
      <c r="D989" s="101" t="str">
        <v>https://drive.google.com/open?id=1f6kulBS3UlSu7KAfRoL4VX778WExd9vtP47kwZUsYqE&amp;usp=drive_copy</v>
      </c>
      <c r="E989" s="101" t="str">
        <v>https://drive.google.com/open?id=1f6kulBS3UlSu7KAfRoL4VX778WExd9vtP47kwZUsYqE</v>
      </c>
      <c r="F989" s="102" t="str">
        <f ca="1">IFERROR(__xludf.DUMMYFUNCTION("IMPORTRANGE(H989,""IDENTITAS UNIT!D9"")"),"Masjid Al Jihad Plarangan")</f>
        <v>Masjid Al Jihad Plarangan</v>
      </c>
      <c r="H989" s="101" t="str">
        <v>https://docs.google.com/spreadsheets/d/1f6kulBS3UlSu7KAfRoL4VX778WExd9vtP47kwZUsYqE</v>
      </c>
      <c r="I989" s="101" t="str">
        <v>https://docs.google.com/open?id=1f6kulBS3UlSu7KAfRoL4VX778WExd9vtP47kwZUsYqE</v>
      </c>
      <c r="J989" s="4" t="str">
        <v>Plarangan, Purwoharjo, Samigaluh</v>
      </c>
      <c r="L989" s="99" t="str">
        <f ca="1">IFERROR(__xludf.DUMMYFUNCTION("IMPORTRANGE(H989,""IDENTITAS UNIT!D35"")"),"Mohammad Alamsyah")</f>
        <v>Mohammad Alamsyah</v>
      </c>
      <c r="M989" s="99">
        <f ca="1">IFERROR(__xludf.DUMMYFUNCTION("IMPORTRANGE(H989,""IDENTITAS UNIT!F35"")"),2000019079)</f>
        <v>2000019079</v>
      </c>
    </row>
    <row r="990" spans="1:13" ht="49.5">
      <c r="A990" s="4" t="str">
        <v>Reguler Periode ke-119 XVIII.C.1</v>
      </c>
      <c r="B990" s="4" t="str">
        <v>Reguler Periode ke-119</v>
      </c>
      <c r="C990" s="4" t="str">
        <v>XVIII.C.1</v>
      </c>
      <c r="D990" s="101" t="str">
        <v>https://drive.google.com/open?id=1y9Lgqg477ZAdlL1jQZOz5i-QPCgso97UZOvDZhm0aMg&amp;usp=drive_copy</v>
      </c>
      <c r="E990" s="101" t="str">
        <v>https://drive.google.com/open?id=1y9Lgqg477ZAdlL1jQZOz5i-QPCgso97UZOvDZhm0aMg</v>
      </c>
      <c r="F990" s="103" t="str">
        <f ca="1">IFERROR(__xludf.DUMMYFUNCTION("IMPORTRANGE(H990,""IDENTITAS UNIT!D9"")"),"https://maps.app.goo.gl/Bnp5kTLEQDHjr3548")</f>
        <v>https://maps.app.goo.gl/Bnp5kTLEQDHjr3548</v>
      </c>
      <c r="G990" s="4" t="s">
        <v>13438</v>
      </c>
      <c r="H990" s="101" t="str">
        <v>https://docs.google.com/spreadsheets/d/1y9Lgqg477ZAdlL1jQZOz5i-QPCgso97UZOvDZhm0aMg</v>
      </c>
      <c r="I990" s="101" t="str">
        <v>https://docs.google.com/open?id=1y9Lgqg477ZAdlL1jQZOz5i-QPCgso97UZOvDZhm0aMg</v>
      </c>
      <c r="J990" s="4" t="str">
        <v>Sendangrejo, Purwoharjo, Samigaluh</v>
      </c>
      <c r="L990" s="99" t="str">
        <f ca="1">IFERROR(__xludf.DUMMYFUNCTION("IMPORTRANGE(H990,""IDENTITAS UNIT!D35"")"),"Yuni Wahyuningsih Setiawan")</f>
        <v>Yuni Wahyuningsih Setiawan</v>
      </c>
      <c r="M990" s="99" t="str">
        <f ca="1">IFERROR(__xludf.DUMMYFUNCTION("IMPORTRANGE(H990,""IDENTITAS UNIT!F35"")"),"PILIH SESUAI DENGAN NAMA YANG TERSEDIA")</f>
        <v>PILIH SESUAI DENGAN NAMA YANG TERSEDIA</v>
      </c>
    </row>
    <row r="991" spans="1:13" ht="49.5">
      <c r="A991" s="4" t="str">
        <v>Reguler Periode ke-119 XVIII.C.2</v>
      </c>
      <c r="B991" s="4" t="str">
        <v>Reguler Periode ke-119</v>
      </c>
      <c r="C991" s="4" t="str">
        <v>XVIII.C.2</v>
      </c>
      <c r="D991" s="101" t="str">
        <v>https://drive.google.com/open?id=1ue2qeGje5VLC86p7V1m4P8ZaDfL6LC9A4hmmjrn0iSs&amp;usp=drive_copy</v>
      </c>
      <c r="E991" s="101" t="str">
        <v>https://drive.google.com/open?id=1ue2qeGje5VLC86p7V1m4P8ZaDfL6LC9A4hmmjrn0iSs</v>
      </c>
      <c r="F991" s="103" t="str">
        <f ca="1">IFERROR(__xludf.DUMMYFUNCTION("IMPORTRANGE(H991,""IDENTITAS UNIT!D9"")"),"https://maps.app.goo.gl/fjv5WmkwTmboGyNR6")</f>
        <v>https://maps.app.goo.gl/fjv5WmkwTmboGyNR6</v>
      </c>
      <c r="H991" s="101" t="str">
        <v>https://docs.google.com/spreadsheets/d/1ue2qeGje5VLC86p7V1m4P8ZaDfL6LC9A4hmmjrn0iSs</v>
      </c>
      <c r="I991" s="101" t="str">
        <v>https://docs.google.com/open?id=1ue2qeGje5VLC86p7V1m4P8ZaDfL6LC9A4hmmjrn0iSs</v>
      </c>
      <c r="J991" s="4" t="str">
        <v>Sendangmulyo, Purwoharjo, Samigaluh</v>
      </c>
      <c r="L991" s="99" t="str">
        <f ca="1">IFERROR(__xludf.DUMMYFUNCTION("IMPORTRANGE(H991,""IDENTITAS UNIT!D35"")"),"Siti Mutmainah")</f>
        <v>Siti Mutmainah</v>
      </c>
      <c r="M991" s="99">
        <f ca="1">IFERROR(__xludf.DUMMYFUNCTION("IMPORTRANGE(H991,""IDENTITAS UNIT!F35"")"),2000036155)</f>
        <v>2000036155</v>
      </c>
    </row>
    <row r="992" spans="1:13" ht="49.5">
      <c r="A992" s="4" t="str">
        <v>Reguler Periode ke-119 XVIII.C.3</v>
      </c>
      <c r="B992" s="4" t="str">
        <v>Reguler Periode ke-119</v>
      </c>
      <c r="C992" s="4" t="str">
        <v>XVIII.C.3</v>
      </c>
      <c r="D992" s="101" t="str">
        <v>https://drive.google.com/open?id=1KkMWFV9F_Olf03N8cs2fRlYh5SN1vdZN38G08P3Ys-k&amp;usp=drive_copy</v>
      </c>
      <c r="E992" s="101" t="str">
        <v>https://drive.google.com/open?id=1KkMWFV9F_Olf03N8cs2fRlYh5SN1vdZN38G08P3Ys-k</v>
      </c>
      <c r="F992" s="103" t="str">
        <f ca="1">IFERROR(__xludf.DUMMYFUNCTION("IMPORTRANGE(H992,""IDENTITAS UNIT!D9"")"),"https://maps.app.goo.gl/zetGvFkDpj3kAnea8")</f>
        <v>https://maps.app.goo.gl/zetGvFkDpj3kAnea8</v>
      </c>
      <c r="G992" s="4" t="s">
        <v>13439</v>
      </c>
      <c r="H992" s="101" t="str">
        <v>https://docs.google.com/spreadsheets/d/1KkMWFV9F_Olf03N8cs2fRlYh5SN1vdZN38G08P3Ys-k</v>
      </c>
      <c r="I992" s="101" t="str">
        <v>https://docs.google.com/open?id=1KkMWFV9F_Olf03N8cs2fRlYh5SN1vdZN38G08P3Ys-k</v>
      </c>
      <c r="J992" s="4" t="str">
        <v>Sendat, Gerbosari, Samigaluh</v>
      </c>
      <c r="L992" s="99" t="str">
        <f ca="1">IFERROR(__xludf.DUMMYFUNCTION("IMPORTRANGE(H992,""IDENTITAS UNIT!D35"")"),"Faika Faradinna")</f>
        <v>Faika Faradinna</v>
      </c>
      <c r="M992" s="99">
        <f ca="1">IFERROR(__xludf.DUMMYFUNCTION("IMPORTRANGE(H992,""IDENTITAS UNIT!F35"")"),2000036063)</f>
        <v>2000036063</v>
      </c>
    </row>
    <row r="993" spans="1:13" ht="49.5">
      <c r="A993" s="4" t="str">
        <v>Reguler Periode ke-119 XVIII.D.1</v>
      </c>
      <c r="B993" s="4" t="str">
        <v>Reguler Periode ke-119</v>
      </c>
      <c r="C993" s="4" t="str">
        <v>XVIII.D.1</v>
      </c>
      <c r="D993" s="101" t="str">
        <v>https://drive.google.com/open?id=1YjVEQRCUIDfnygdO2tr6ZdE4nmIfuj5nl-rRwH7bOc0&amp;usp=drive_copy</v>
      </c>
      <c r="E993" s="101" t="str">
        <v>https://drive.google.com/open?id=1YjVEQRCUIDfnygdO2tr6ZdE4nmIfuj5nl-rRwH7bOc0</v>
      </c>
      <c r="F993" s="103" t="str">
        <f ca="1">IFERROR(__xludf.DUMMYFUNCTION("IMPORTRANGE(H993,""IDENTITAS UNIT!D9"")"),"https://maps.app.goo.gl/xi3wFXwFc5fc5rxG9?g_st=iw")</f>
        <v>https://maps.app.goo.gl/xi3wFXwFc5fc5rxG9?g_st=iw</v>
      </c>
      <c r="G993" s="4" t="s">
        <v>13440</v>
      </c>
      <c r="H993" s="101" t="str">
        <v>https://docs.google.com/spreadsheets/d/1YjVEQRCUIDfnygdO2tr6ZdE4nmIfuj5nl-rRwH7bOc0</v>
      </c>
      <c r="I993" s="101" t="str">
        <v>https://docs.google.com/open?id=1YjVEQRCUIDfnygdO2tr6ZdE4nmIfuj5nl-rRwH7bOc0</v>
      </c>
      <c r="J993" s="4" t="str">
        <v>Clumprit, Gerbosari, Samigaluh</v>
      </c>
      <c r="L993" s="99" t="str">
        <f ca="1">IFERROR(__xludf.DUMMYFUNCTION("IMPORTRANGE(H993,""IDENTITAS UNIT!D35"")"),"Hasyim Athallah Yusran")</f>
        <v>Hasyim Athallah Yusran</v>
      </c>
      <c r="M993" s="99">
        <f ca="1">IFERROR(__xludf.DUMMYFUNCTION("IMPORTRANGE(H993,""IDENTITAS UNIT!F35"")"),2000019011)</f>
        <v>2000019011</v>
      </c>
    </row>
    <row r="994" spans="1:13" ht="49.5">
      <c r="A994" s="4" t="str">
        <v>Reguler Periode ke-119 XVIII.D.2</v>
      </c>
      <c r="B994" s="4" t="str">
        <v>Reguler Periode ke-119</v>
      </c>
      <c r="C994" s="4" t="str">
        <v>XVIII.D.2</v>
      </c>
      <c r="D994" s="101" t="str">
        <v>https://drive.google.com/open?id=1Tvqk1bJKXdGbrS7ddGjVCJivUpazhwPnWsMb8MPpGWI&amp;usp=drive_copy</v>
      </c>
      <c r="E994" s="101" t="str">
        <v>https://drive.google.com/open?id=1Tvqk1bJKXdGbrS7ddGjVCJivUpazhwPnWsMb8MPpGWI</v>
      </c>
      <c r="F994" s="103" t="str">
        <f ca="1">IFERROR(__xludf.DUMMYFUNCTION("IMPORTRANGE(H994,""IDENTITAS UNIT!D9"")"),"https://maps.app.goo.gl/5wnGskGpYRsSTWsF7")</f>
        <v>https://maps.app.goo.gl/5wnGskGpYRsSTWsF7</v>
      </c>
      <c r="G994" s="4" t="s">
        <v>13441</v>
      </c>
      <c r="H994" s="101" t="str">
        <v>https://docs.google.com/spreadsheets/d/1Tvqk1bJKXdGbrS7ddGjVCJivUpazhwPnWsMb8MPpGWI</v>
      </c>
      <c r="I994" s="101" t="str">
        <v>https://docs.google.com/open?id=1Tvqk1bJKXdGbrS7ddGjVCJivUpazhwPnWsMb8MPpGWI</v>
      </c>
      <c r="J994" s="4" t="str">
        <v>Kayugede, Gerbosari, Samigaluh</v>
      </c>
      <c r="L994" s="99" t="str">
        <f ca="1">IFERROR(__xludf.DUMMYFUNCTION("IMPORTRANGE(H994,""IDENTITAS UNIT!D35"")"),"Asri Putri Satya Insani")</f>
        <v>Asri Putri Satya Insani</v>
      </c>
      <c r="M994" s="99">
        <f ca="1">IFERROR(__xludf.DUMMYFUNCTION("IMPORTRANGE(H994,""IDENTITAS UNIT!F35"")"),2000031065)</f>
        <v>2000031065</v>
      </c>
    </row>
    <row r="995" spans="1:13" ht="363">
      <c r="A995" s="4" t="str">
        <v>Reguler Periode ke-119 XVIII.D.3</v>
      </c>
      <c r="B995" s="4" t="str">
        <v>Reguler Periode ke-119</v>
      </c>
      <c r="C995" s="4" t="str">
        <v>XVIII.D.3</v>
      </c>
      <c r="D995" s="101" t="str">
        <v>https://drive.google.com/open?id=1HtUSkXQu9RYEKgAWQqmPbFTbzZkrb9t3uAmfHXapDII&amp;usp=drive_copy</v>
      </c>
      <c r="E995" s="101" t="str">
        <v>https://drive.google.com/open?id=1HtUSkXQu9RYEKgAWQqmPbFTbzZkrb9t3uAmfHXapDII</v>
      </c>
      <c r="F995" s="103" t="str">
        <f ca="1">IFERROR(__xludf.DUMMYFUNCTION("IMPORTRANGE(H995,""IDENTITAS UNIT!D9"")"),"https://www.google.com/search?client=mobilesearchapp&amp;sca_esv=587545444&amp;bih=848&amp;biw=414&amp;channel=iss&amp;cs=1&amp;hl=en&amp;rlz=1MDAPLA_idID993ID993&amp;source=sh/x/loc/act/m1/5&amp;v=291.0.582931352&amp;sxsrf=AM9HkKlLFKUmaJAAdtKe0Xu5mmI0J0PNwQ:1701652469810&amp;q=Kantor+Kelurahan+Ger"&amp;"bosari&amp;ludocid=14855260981614268075&amp;ibp=gwp;0,7&amp;gsas=1&amp;lsig=AB86z5UJ7rJ3Hcoi9HXT6Zd8rfpk&amp;kgs=a5347b128647dd1b&amp;shndl=-1&amp;shem=lcspc,lsp")</f>
        <v>https://www.google.com/search?client=mobilesearchapp&amp;sca_esv=587545444&amp;bih=848&amp;biw=414&amp;channel=iss&amp;cs=1&amp;hl=en&amp;rlz=1MDAPLA_idID993ID993&amp;source=sh/x/loc/act/m1/5&amp;v=291.0.582931352&amp;sxsrf=AM9HkKlLFKUmaJAAdtKe0Xu5mmI0J0PNwQ:1701652469810&amp;q=Kantor+Kelurahan+Gerbosari&amp;ludocid=14855260981614268075&amp;ibp=gwp;0,7&amp;gsas=1&amp;lsig=AB86z5UJ7rJ3Hcoi9HXT6Zd8rfpk&amp;kgs=a5347b128647dd1b&amp;shndl=-1&amp;shem=lcspc,lsp</v>
      </c>
      <c r="G995" s="4" t="s">
        <v>13442</v>
      </c>
      <c r="H995" s="101" t="str">
        <v>https://docs.google.com/spreadsheets/d/1HtUSkXQu9RYEKgAWQqmPbFTbzZkrb9t3uAmfHXapDII</v>
      </c>
      <c r="I995" s="101" t="str">
        <v>https://docs.google.com/open?id=1HtUSkXQu9RYEKgAWQqmPbFTbzZkrb9t3uAmfHXapDII</v>
      </c>
      <c r="J995" s="4" t="str">
        <v>Pengos A, Gerbosari, Samigaluh</v>
      </c>
      <c r="L995" s="99" t="str">
        <f ca="1">IFERROR(__xludf.DUMMYFUNCTION("IMPORTRANGE(H995,""IDENTITAS UNIT!D35"")"),"Fergiandi Hilmanda")</f>
        <v>Fergiandi Hilmanda</v>
      </c>
      <c r="M995" s="99">
        <f ca="1">IFERROR(__xludf.DUMMYFUNCTION("IMPORTRANGE(H995,""IDENTITAS UNIT!F35"")"),2000019035)</f>
        <v>2000019035</v>
      </c>
    </row>
    <row r="996" spans="1:13" ht="49.5">
      <c r="A996" s="4" t="str">
        <v>Reguler Periode ke-119 XIX.A.1</v>
      </c>
      <c r="B996" s="4" t="str">
        <v>Reguler Periode ke-119</v>
      </c>
      <c r="C996" s="4" t="str">
        <v>XIX.A.1</v>
      </c>
      <c r="D996" s="101" t="str">
        <v>https://drive.google.com/open?id=1ekEFpD9xXi9Za6ydKgp1dK3cOzwLqtoRxwEOjmN053E&amp;usp=drive_copy</v>
      </c>
      <c r="E996" s="101" t="str">
        <v>https://drive.google.com/open?id=1ekEFpD9xXi9Za6ydKgp1dK3cOzwLqtoRxwEOjmN053E</v>
      </c>
      <c r="F996" s="103" t="str">
        <f ca="1">IFERROR(__xludf.DUMMYFUNCTION("IMPORTRANGE(H996,""IDENTITAS UNIT!D9"")"),"https://maps.app.goo.gl/t7Lqp29KATLqfs4Z8?g_st=ic")</f>
        <v>https://maps.app.goo.gl/t7Lqp29KATLqfs4Z8?g_st=ic</v>
      </c>
      <c r="G996" s="4" t="s">
        <v>13443</v>
      </c>
      <c r="H996" s="101" t="str">
        <v>https://docs.google.com/spreadsheets/d/1ekEFpD9xXi9Za6ydKgp1dK3cOzwLqtoRxwEOjmN053E</v>
      </c>
      <c r="I996" s="101" t="str">
        <v>https://docs.google.com/open?id=1ekEFpD9xXi9Za6ydKgp1dK3cOzwLqtoRxwEOjmN053E</v>
      </c>
      <c r="J996" s="4" t="str">
        <v>Sarimulyo, Gerbosari, Samigaluh</v>
      </c>
      <c r="L996" s="99" t="str">
        <f ca="1">IFERROR(__xludf.DUMMYFUNCTION("IMPORTRANGE(H996,""IDENTITAS UNIT!D35"")"),"Ahmad Zaky Ausmar")</f>
        <v>Ahmad Zaky Ausmar</v>
      </c>
      <c r="M996" s="99">
        <f ca="1">IFERROR(__xludf.DUMMYFUNCTION("IMPORTRANGE(H996,""IDENTITAS UNIT!F35"")"),2000012098)</f>
        <v>2000012098</v>
      </c>
    </row>
    <row r="997" spans="1:13" ht="49.5">
      <c r="A997" s="4" t="str">
        <v>Reguler Periode ke-119 XIX.A.2</v>
      </c>
      <c r="B997" s="4" t="str">
        <v>Reguler Periode ke-119</v>
      </c>
      <c r="C997" s="4" t="str">
        <v>XIX.A.2</v>
      </c>
      <c r="D997" s="101" t="str">
        <v>https://drive.google.com/open?id=1_WtIIkGQDdKqwcFGDGeWAtD4cjTivdYvwKFjZk1obHA&amp;usp=drive_copy</v>
      </c>
      <c r="E997" s="101" t="str">
        <v>https://drive.google.com/open?id=1_WtIIkGQDdKqwcFGDGeWAtD4cjTivdYvwKFjZk1obHA</v>
      </c>
      <c r="F997" s="103" t="str">
        <f ca="1">IFERROR(__xludf.DUMMYFUNCTION("IMPORTRANGE(H997,""IDENTITAS UNIT!D9"")"),"https://maps.app.goo.gl/nH1L7bnBVqU5qWbr8")</f>
        <v>https://maps.app.goo.gl/nH1L7bnBVqU5qWbr8</v>
      </c>
      <c r="G997" s="4" t="s">
        <v>13444</v>
      </c>
      <c r="H997" s="101" t="str">
        <v>https://docs.google.com/spreadsheets/d/1_WtIIkGQDdKqwcFGDGeWAtD4cjTivdYvwKFjZk1obHA</v>
      </c>
      <c r="I997" s="101" t="str">
        <v>https://docs.google.com/open?id=1_WtIIkGQDdKqwcFGDGeWAtD4cjTivdYvwKFjZk1obHA</v>
      </c>
      <c r="J997" s="4" t="str">
        <v>Pengos B, Gerbosari, Samigaluh</v>
      </c>
      <c r="L997" s="99" t="str">
        <f ca="1">IFERROR(__xludf.DUMMYFUNCTION("IMPORTRANGE(H997,""IDENTITAS UNIT!D35"")"),"Rafli Aldigunawan")</f>
        <v>Rafli Aldigunawan</v>
      </c>
      <c r="M997" s="99">
        <f ca="1">IFERROR(__xludf.DUMMYFUNCTION("IMPORTRANGE(H997,""IDENTITAS UNIT!F35"")"),2000019127)</f>
        <v>2000019127</v>
      </c>
    </row>
    <row r="998" spans="1:13" ht="49.5">
      <c r="A998" s="4" t="str">
        <v>Reguler Periode ke-119 XIX.A.3</v>
      </c>
      <c r="B998" s="4" t="str">
        <v>Reguler Periode ke-119</v>
      </c>
      <c r="C998" s="4" t="str">
        <v>XIX.A.3</v>
      </c>
      <c r="D998" s="101" t="str">
        <v>https://drive.google.com/open?id=1YiQnxI8HHD64PfzhO12VtbZTG1UoHBp5aEZ0BAgKhJM&amp;usp=drive_copy</v>
      </c>
      <c r="E998" s="101" t="str">
        <v>https://drive.google.com/open?id=1YiQnxI8HHD64PfzhO12VtbZTG1UoHBp5aEZ0BAgKhJM</v>
      </c>
      <c r="F998" s="103" t="str">
        <f ca="1">IFERROR(__xludf.DUMMYFUNCTION("IMPORTRANGE(H998,""IDENTITAS UNIT!D9"")"),"https://maps.app.goo.gl/SYD6FmReRr6z82Xr5")</f>
        <v>https://maps.app.goo.gl/SYD6FmReRr6z82Xr5</v>
      </c>
      <c r="G998" s="4" t="s">
        <v>13445</v>
      </c>
      <c r="H998" s="101" t="str">
        <v>https://docs.google.com/spreadsheets/d/1YiQnxI8HHD64PfzhO12VtbZTG1UoHBp5aEZ0BAgKhJM</v>
      </c>
      <c r="I998" s="101" t="str">
        <v>https://docs.google.com/open?id=1YiQnxI8HHD64PfzhO12VtbZTG1UoHBp5aEZ0BAgKhJM</v>
      </c>
      <c r="J998" s="4" t="str">
        <v>Sumbo, Gerbosari, Samigaluh</v>
      </c>
      <c r="L998" s="99" t="str">
        <f ca="1">IFERROR(__xludf.DUMMYFUNCTION("IMPORTRANGE(H998,""IDENTITAS UNIT!D35"")"),"Bachtiar Fauzi Hidayat")</f>
        <v>Bachtiar Fauzi Hidayat</v>
      </c>
      <c r="M998" s="99">
        <f ca="1">IFERROR(__xludf.DUMMYFUNCTION("IMPORTRANGE(H998,""IDENTITAS UNIT!F35"")"),2000019008)</f>
        <v>2000019008</v>
      </c>
    </row>
    <row r="999" spans="1:13" ht="49.5">
      <c r="A999" s="4" t="str">
        <v>Reguler Periode ke-119 XIX.B.1</v>
      </c>
      <c r="B999" s="4" t="str">
        <v>Reguler Periode ke-119</v>
      </c>
      <c r="C999" s="4" t="str">
        <v>XIX.B.1</v>
      </c>
      <c r="D999" s="101" t="str">
        <v>https://drive.google.com/open?id=1SI4kIxZ-i0kHyYymJRPoUEJU2gRRKLyYzR_p8CbP-Rs&amp;usp=drive_copy</v>
      </c>
      <c r="E999" s="101" t="str">
        <v>https://drive.google.com/open?id=1SI4kIxZ-i0kHyYymJRPoUEJU2gRRKLyYzR_p8CbP-Rs</v>
      </c>
      <c r="F999" s="103" t="str">
        <f ca="1">IFERROR(__xludf.DUMMYFUNCTION("IMPORTRANGE(H999,""IDENTITAS UNIT!D9"")"),"https://maps.app.goo.gl/MrKzm4aFhZRJ3rCq6")</f>
        <v>https://maps.app.goo.gl/MrKzm4aFhZRJ3rCq6</v>
      </c>
      <c r="G999" s="4" t="s">
        <v>13446</v>
      </c>
      <c r="H999" s="101" t="str">
        <v>https://docs.google.com/spreadsheets/d/1SI4kIxZ-i0kHyYymJRPoUEJU2gRRKLyYzR_p8CbP-Rs</v>
      </c>
      <c r="I999" s="101" t="str">
        <v>https://docs.google.com/open?id=1SI4kIxZ-i0kHyYymJRPoUEJU2gRRKLyYzR_p8CbP-Rs</v>
      </c>
      <c r="J999" s="4" t="str">
        <v>Tlogo, Gerbosari, Samigaluh</v>
      </c>
      <c r="L999" s="99" t="str">
        <f ca="1">IFERROR(__xludf.DUMMYFUNCTION("IMPORTRANGE(H999,""IDENTITAS UNIT!D35"")"),"Rachma Chanesya Rizkina")</f>
        <v>Rachma Chanesya Rizkina</v>
      </c>
      <c r="M999" s="99">
        <f ca="1">IFERROR(__xludf.DUMMYFUNCTION("IMPORTRANGE(H999,""IDENTITAS UNIT!F35"")"),2000026050)</f>
        <v>2000026050</v>
      </c>
    </row>
    <row r="1000" spans="1:13" ht="49.5">
      <c r="A1000" s="4" t="str">
        <v>Reguler Periode ke-119 XIX.B.2</v>
      </c>
      <c r="B1000" s="4" t="str">
        <v>Reguler Periode ke-119</v>
      </c>
      <c r="C1000" s="4" t="str">
        <v>XIX.B.2</v>
      </c>
      <c r="D1000" s="101" t="str">
        <v>https://drive.google.com/open?id=1anp0yAtCtObdnSGDXQSTByktqscnJWT4UdCOFYZgV7A&amp;usp=drive_copy</v>
      </c>
      <c r="E1000" s="101" t="str">
        <v>https://drive.google.com/open?id=1anp0yAtCtObdnSGDXQSTByktqscnJWT4UdCOFYZgV7A</v>
      </c>
      <c r="F1000" s="103" t="str">
        <f ca="1">IFERROR(__xludf.DUMMYFUNCTION("IMPORTRANGE(H1000,""IDENTITAS UNIT!D9"")"),"https://maps.app.goo.gl/3Gdux6MkLe4wD3Ed9")</f>
        <v>https://maps.app.goo.gl/3Gdux6MkLe4wD3Ed9</v>
      </c>
      <c r="G1000" s="4" t="s">
        <v>13447</v>
      </c>
      <c r="H1000" s="101" t="str">
        <v>https://docs.google.com/spreadsheets/d/1anp0yAtCtObdnSGDXQSTByktqscnJWT4UdCOFYZgV7A</v>
      </c>
      <c r="I1000" s="101" t="str">
        <v>https://docs.google.com/open?id=1anp0yAtCtObdnSGDXQSTByktqscnJWT4UdCOFYZgV7A</v>
      </c>
      <c r="J1000" s="4" t="str">
        <v>Jati, Gerbosari, Samigaluh</v>
      </c>
      <c r="L1000" s="99" t="str">
        <f ca="1">IFERROR(__xludf.DUMMYFUNCTION("IMPORTRANGE(H1000,""IDENTITAS UNIT!D35"")"),"Muhammad Nadhif Waliyudin")</f>
        <v>Muhammad Nadhif Waliyudin</v>
      </c>
      <c r="M1000" s="99" t="str">
        <f ca="1">IFERROR(__xludf.DUMMYFUNCTION("IMPORTRANGE(H1000,""IDENTITAS UNIT!F35"")"),"PILIH SESUAI DENGAN NAMA YANG TERSEDIA")</f>
        <v>PILIH SESUAI DENGAN NAMA YANG TERSEDIA</v>
      </c>
    </row>
    <row r="1001" spans="1:13" ht="49.5">
      <c r="A1001" s="4" t="str">
        <v>Reguler Periode ke-119 XIX.B.3</v>
      </c>
      <c r="B1001" s="4" t="str">
        <v>Reguler Periode ke-119</v>
      </c>
      <c r="C1001" s="4" t="str">
        <v>XIX.B.3</v>
      </c>
      <c r="D1001" s="101" t="str">
        <v>https://drive.google.com/open?id=13AMGlOKBAW-VZ8ToDUrrK6d4Xh26E-pLgYHTKTcAt_I&amp;usp=drive_copy</v>
      </c>
      <c r="E1001" s="101" t="str">
        <v>https://drive.google.com/open?id=13AMGlOKBAW-VZ8ToDUrrK6d4Xh26E-pLgYHTKTcAt_I</v>
      </c>
      <c r="F1001" s="103" t="str">
        <f ca="1">IFERROR(__xludf.DUMMYFUNCTION("IMPORTRANGE(H1001,""IDENTITAS UNIT!D9"")"),"https://maps.app.goo.gl/1BbUY72WNTLJPVc59")</f>
        <v>https://maps.app.goo.gl/1BbUY72WNTLJPVc59</v>
      </c>
      <c r="G1001" s="4" t="s">
        <v>13447</v>
      </c>
      <c r="H1001" s="101" t="str">
        <v>https://docs.google.com/spreadsheets/d/13AMGlOKBAW-VZ8ToDUrrK6d4Xh26E-pLgYHTKTcAt_I</v>
      </c>
      <c r="I1001" s="101" t="str">
        <v>https://docs.google.com/open?id=13AMGlOKBAW-VZ8ToDUrrK6d4Xh26E-pLgYHTKTcAt_I</v>
      </c>
      <c r="J1001" s="4" t="str">
        <v>Ngroto, Gerbosari, Samigaluh</v>
      </c>
      <c r="L1001" s="99" t="str">
        <f ca="1">IFERROR(__xludf.DUMMYFUNCTION("IMPORTRANGE(H1001,""IDENTITAS UNIT!D35"")"),"Muhammad Hafiz Fauzan")</f>
        <v>Muhammad Hafiz Fauzan</v>
      </c>
      <c r="M1001" s="99">
        <f ca="1">IFERROR(__xludf.DUMMYFUNCTION("IMPORTRANGE(H1001,""IDENTITAS UNIT!F35"")"),1900012129)</f>
        <v>1900012129</v>
      </c>
    </row>
    <row r="1002" spans="1:13" ht="49.5">
      <c r="A1002" s="4" t="str">
        <v>Reguler Periode ke-119 XIX.C.1</v>
      </c>
      <c r="B1002" s="4" t="str">
        <v>Reguler Periode ke-119</v>
      </c>
      <c r="C1002" s="4" t="str">
        <v>XIX.C.1</v>
      </c>
      <c r="D1002" s="101" t="str">
        <v>https://drive.google.com/open?id=17o-xDNHvJSK69tAcTwwjesRw5ogiJZi2LKam4LE6SLw&amp;usp=drive_copy</v>
      </c>
      <c r="E1002" s="101" t="str">
        <v>https://drive.google.com/open?id=17o-xDNHvJSK69tAcTwwjesRw5ogiJZi2LKam4LE6SLw</v>
      </c>
      <c r="F1002" s="103" t="str">
        <f ca="1">IFERROR(__xludf.DUMMYFUNCTION("IMPORTRANGE(H1002,""IDENTITAS UNIT!D9"")"),"https://maps.app.goo.gl/axBAovxLWhqvMbYT8")</f>
        <v>https://maps.app.goo.gl/axBAovxLWhqvMbYT8</v>
      </c>
      <c r="G1002" s="4" t="s">
        <v>13448</v>
      </c>
      <c r="H1002" s="101" t="str">
        <v>https://docs.google.com/spreadsheets/d/17o-xDNHvJSK69tAcTwwjesRw5ogiJZi2LKam4LE6SLw</v>
      </c>
      <c r="I1002" s="101" t="str">
        <v>https://docs.google.com/open?id=17o-xDNHvJSK69tAcTwwjesRw5ogiJZi2LKam4LE6SLw</v>
      </c>
      <c r="J1002" s="4" t="str">
        <v>Keceme, Gerbosari, Samigaluh</v>
      </c>
      <c r="L1002" s="99" t="str">
        <f ca="1">IFERROR(__xludf.DUMMYFUNCTION("IMPORTRANGE(H1002,""IDENTITAS UNIT!D35"")"),"Refki Nova Saputra")</f>
        <v>Refki Nova Saputra</v>
      </c>
      <c r="M1002" s="99">
        <f ca="1">IFERROR(__xludf.DUMMYFUNCTION("IMPORTRANGE(H1002,""IDENTITAS UNIT!F35"")"),2000012126)</f>
        <v>2000012126</v>
      </c>
    </row>
    <row r="1003" spans="1:13" ht="49.5">
      <c r="A1003" s="4" t="str">
        <v>Reguler Periode ke-119 XIX.C.2</v>
      </c>
      <c r="B1003" s="4" t="str">
        <v>Reguler Periode ke-119</v>
      </c>
      <c r="C1003" s="4" t="str">
        <v>XIX.C.2</v>
      </c>
      <c r="D1003" s="101" t="str">
        <v>https://drive.google.com/open?id=1Vp9XSd4bFFHPTkZ3pBXqVAaqQ3D5HakYfXbBEzzxmXk&amp;usp=drive_copy</v>
      </c>
      <c r="E1003" s="101" t="str">
        <v>https://drive.google.com/open?id=1Vp9XSd4bFFHPTkZ3pBXqVAaqQ3D5HakYfXbBEzzxmXk</v>
      </c>
      <c r="F1003" s="103" t="str">
        <f ca="1">IFERROR(__xludf.DUMMYFUNCTION("IMPORTRANGE(H1003,""IDENTITAS UNIT!D9"")"),"https://maps.app.goo.gl/d59YNq9EPmtVjfvW9")</f>
        <v>https://maps.app.goo.gl/d59YNq9EPmtVjfvW9</v>
      </c>
      <c r="G1003" s="4" t="s">
        <v>13449</v>
      </c>
      <c r="H1003" s="101" t="str">
        <v>https://docs.google.com/spreadsheets/d/1Vp9XSd4bFFHPTkZ3pBXqVAaqQ3D5HakYfXbBEzzxmXk</v>
      </c>
      <c r="I1003" s="101" t="str">
        <v>https://docs.google.com/open?id=1Vp9XSd4bFFHPTkZ3pBXqVAaqQ3D5HakYfXbBEzzxmXk</v>
      </c>
      <c r="J1003" s="4" t="str">
        <v>Pelem, Kebonharjo, Samigaluh</v>
      </c>
      <c r="L1003" s="99" t="str">
        <f ca="1">IFERROR(__xludf.DUMMYFUNCTION("IMPORTRANGE(H1003,""IDENTITAS UNIT!D35"")"),"Hafiz Dien Pratama")</f>
        <v>Hafiz Dien Pratama</v>
      </c>
      <c r="M1003" s="99">
        <f ca="1">IFERROR(__xludf.DUMMYFUNCTION("IMPORTRANGE(H1003,""IDENTITAS UNIT!F35"")"),2000013202)</f>
        <v>2000013202</v>
      </c>
    </row>
    <row r="1004" spans="1:13" ht="49.5">
      <c r="A1004" s="4" t="str">
        <v>Reguler Periode ke-119 XIX.C.3</v>
      </c>
      <c r="B1004" s="4" t="str">
        <v>Reguler Periode ke-119</v>
      </c>
      <c r="C1004" s="4" t="str">
        <v>XIX.C.3</v>
      </c>
      <c r="D1004" s="101" t="str">
        <v>https://drive.google.com/open?id=1_39KRmdaiGIG7rtsK7ZAqFSYeD0enwDKt_RE51wckss&amp;usp=drive_copy</v>
      </c>
      <c r="E1004" s="101" t="str">
        <v>https://drive.google.com/open?id=1_39KRmdaiGIG7rtsK7ZAqFSYeD0enwDKt_RE51wckss</v>
      </c>
      <c r="F1004" s="103" t="str">
        <f ca="1">IFERROR(__xludf.DUMMYFUNCTION("IMPORTRANGE(H1004,""IDENTITAS UNIT!D9"")"),"https://maps.app.goo.gl/akFPinhQixvRPyWz8")</f>
        <v>https://maps.app.goo.gl/akFPinhQixvRPyWz8</v>
      </c>
      <c r="G1004" s="4" t="s">
        <v>13450</v>
      </c>
      <c r="H1004" s="101" t="str">
        <v>https://docs.google.com/spreadsheets/d/1_39KRmdaiGIG7rtsK7ZAqFSYeD0enwDKt_RE51wckss</v>
      </c>
      <c r="I1004" s="101" t="str">
        <v>https://docs.google.com/open?id=1_39KRmdaiGIG7rtsK7ZAqFSYeD0enwDKt_RE51wckss</v>
      </c>
      <c r="J1004" s="4" t="str">
        <v>Dangsambuh, Kebonharjo, Samigaluh</v>
      </c>
      <c r="L1004" s="99" t="str">
        <f ca="1">IFERROR(__xludf.DUMMYFUNCTION("IMPORTRANGE(H1004,""IDENTITAS UNIT!D35"")"),"Mauliend Dear Mahardika")</f>
        <v>Mauliend Dear Mahardika</v>
      </c>
      <c r="M1004" s="99">
        <f ca="1">IFERROR(__xludf.DUMMYFUNCTION("IMPORTRANGE(H1004,""IDENTITAS UNIT!F35"")"),2000019021)</f>
        <v>2000019021</v>
      </c>
    </row>
    <row r="1005" spans="1:13" ht="49.5">
      <c r="A1005" s="4" t="str">
        <v>Reguler Periode ke-119 XIX.D.1</v>
      </c>
      <c r="B1005" s="4" t="str">
        <v>Reguler Periode ke-119</v>
      </c>
      <c r="C1005" s="4" t="str">
        <v>XIX.D.1</v>
      </c>
      <c r="D1005" s="101" t="str">
        <v>https://drive.google.com/open?id=1Yp7MGDRhRootSQcpTiZSPHdr0pJe93NgN45rRBfdZSk&amp;usp=drive_copy</v>
      </c>
      <c r="E1005" s="101" t="str">
        <v>https://drive.google.com/open?id=1Yp7MGDRhRootSQcpTiZSPHdr0pJe93NgN45rRBfdZSk</v>
      </c>
      <c r="F1005" s="103" t="str">
        <f ca="1">IFERROR(__xludf.DUMMYFUNCTION("IMPORTRANGE(H1005,""IDENTITAS UNIT!D9"")"),"https://maps.app.goo.gl/TQt9twr7McmJJNnt9")</f>
        <v>https://maps.app.goo.gl/TQt9twr7McmJJNnt9</v>
      </c>
      <c r="G1005" s="4" t="s">
        <v>13451</v>
      </c>
      <c r="H1005" s="101" t="str">
        <v>https://docs.google.com/spreadsheets/d/1Yp7MGDRhRootSQcpTiZSPHdr0pJe93NgN45rRBfdZSk</v>
      </c>
      <c r="I1005" s="101" t="str">
        <v>https://docs.google.com/open?id=1Yp7MGDRhRootSQcpTiZSPHdr0pJe93NgN45rRBfdZSk</v>
      </c>
      <c r="J1005" s="4" t="str">
        <v>Kaliduren, Kebonharjo, Samigaluh</v>
      </c>
      <c r="L1005" s="99" t="str">
        <f ca="1">IFERROR(__xludf.DUMMYFUNCTION("IMPORTRANGE(H1005,""IDENTITAS UNIT!D35"")"),"Reza Firmansyah")</f>
        <v>Reza Firmansyah</v>
      </c>
      <c r="M1005" s="99">
        <f ca="1">IFERROR(__xludf.DUMMYFUNCTION("IMPORTRANGE(H1005,""IDENTITAS UNIT!F35"")"),2000019112)</f>
        <v>2000019112</v>
      </c>
    </row>
    <row r="1006" spans="1:13" ht="49.5">
      <c r="A1006" s="4" t="str">
        <v>Reguler Periode ke-119 XIX.D.2</v>
      </c>
      <c r="B1006" s="4" t="str">
        <v>Reguler Periode ke-119</v>
      </c>
      <c r="C1006" s="4" t="str">
        <v>XIX.D.2</v>
      </c>
      <c r="D1006" s="101" t="str">
        <v>https://drive.google.com/open?id=1ZdKx-gRc7vXwqzxPiusLqIw3EvOaG9XKjXGP2XwAuqk&amp;usp=drive_copy</v>
      </c>
      <c r="E1006" s="101" t="str">
        <v>https://drive.google.com/open?id=1ZdKx-gRc7vXwqzxPiusLqIw3EvOaG9XKjXGP2XwAuqk</v>
      </c>
      <c r="F1006" s="103" t="str">
        <f ca="1">IFERROR(__xludf.DUMMYFUNCTION("IMPORTRANGE(H1006,""IDENTITAS UNIT!D9"")"),"https://maps.app.goo.gl/Qfp2VXusVgG8xoZc7")</f>
        <v>https://maps.app.goo.gl/Qfp2VXusVgG8xoZc7</v>
      </c>
      <c r="G1006" s="4" t="s">
        <v>13452</v>
      </c>
      <c r="H1006" s="101" t="str">
        <v>https://docs.google.com/spreadsheets/d/1ZdKx-gRc7vXwqzxPiusLqIw3EvOaG9XKjXGP2XwAuqk</v>
      </c>
      <c r="I1006" s="101" t="str">
        <v>https://docs.google.com/open?id=1ZdKx-gRc7vXwqzxPiusLqIw3EvOaG9XKjXGP2XwAuqk</v>
      </c>
      <c r="J1006" s="4" t="str">
        <v>Kleben, Kebonharjo, Samigaluh</v>
      </c>
      <c r="L1006" s="99" t="str">
        <f ca="1">IFERROR(__xludf.DUMMYFUNCTION("IMPORTRANGE(H1006,""IDENTITAS UNIT!D35"")"),"Tedy Setiawan")</f>
        <v>Tedy Setiawan</v>
      </c>
      <c r="M1006" s="99">
        <f ca="1">IFERROR(__xludf.DUMMYFUNCTION("IMPORTRANGE(H1006,""IDENTITAS UNIT!F35"")"),2000019173)</f>
        <v>2000019173</v>
      </c>
    </row>
    <row r="1007" spans="1:13" ht="49.5">
      <c r="A1007" s="4" t="str">
        <v>Reguler Periode ke-119 XIX.D.3</v>
      </c>
      <c r="B1007" s="4" t="str">
        <v>Reguler Periode ke-119</v>
      </c>
      <c r="C1007" s="4" t="str">
        <v>XIX.D.3</v>
      </c>
      <c r="D1007" s="101" t="str">
        <v>https://drive.google.com/open?id=1aq8xfzCuk-0oCPc09GmTTT9HuSNJBLDrDEOg5pu7ePw&amp;usp=drive_copy</v>
      </c>
      <c r="E1007" s="101" t="str">
        <v>https://drive.google.com/open?id=1aq8xfzCuk-0oCPc09GmTTT9HuSNJBLDrDEOg5pu7ePw</v>
      </c>
      <c r="F1007" s="103" t="str">
        <f ca="1">IFERROR(__xludf.DUMMYFUNCTION("IMPORTRANGE(H1007,""IDENTITAS UNIT!D9"")"),"https://maps.app.goo.gl/RdwqxzhqS8Cej7gh9")</f>
        <v>https://maps.app.goo.gl/RdwqxzhqS8Cej7gh9</v>
      </c>
      <c r="G1007" s="4" t="s">
        <v>13453</v>
      </c>
      <c r="H1007" s="101" t="str">
        <v>https://docs.google.com/spreadsheets/d/1aq8xfzCuk-0oCPc09GmTTT9HuSNJBLDrDEOg5pu7ePw</v>
      </c>
      <c r="I1007" s="101" t="str">
        <v>https://docs.google.com/open?id=1aq8xfzCuk-0oCPc09GmTTT9HuSNJBLDrDEOg5pu7ePw</v>
      </c>
      <c r="J1007" s="4" t="str">
        <v>Pringtali, Kebonharjo, Samigaluh</v>
      </c>
      <c r="L1007" s="99" t="str">
        <f ca="1">IFERROR(__xludf.DUMMYFUNCTION("IMPORTRANGE(H1007,""IDENTITAS UNIT!D35"")"),"Achmad Prasetyo")</f>
        <v>Achmad Prasetyo</v>
      </c>
      <c r="M1007" s="99">
        <f ca="1">IFERROR(__xludf.DUMMYFUNCTION("IMPORTRANGE(H1007,""IDENTITAS UNIT!F35"")"),2000019176)</f>
        <v>2000019176</v>
      </c>
    </row>
    <row r="1008" spans="1:13" ht="49.5">
      <c r="A1008" s="4" t="str">
        <v>Reguler Periode ke-119 XX.A.1</v>
      </c>
      <c r="B1008" s="4" t="str">
        <v>Reguler Periode ke-119</v>
      </c>
      <c r="C1008" s="4" t="str">
        <v>XX.A.1</v>
      </c>
      <c r="D1008" s="101" t="str">
        <v>https://drive.google.com/open?id=1X9977pSfw_8T_W2EuVY_pyF-dk1kRFmT3b_LiHa32eY&amp;usp=drive_copy</v>
      </c>
      <c r="E1008" s="101" t="str">
        <v>https://drive.google.com/open?id=1X9977pSfw_8T_W2EuVY_pyF-dk1kRFmT3b_LiHa32eY</v>
      </c>
      <c r="F1008" s="103" t="str">
        <f ca="1">IFERROR(__xludf.DUMMYFUNCTION("IMPORTRANGE(H1008,""IDENTITAS UNIT!D9"")"),"https://maps.app.goo.gl/3LCCw5JihhMuryKy8?g_st=iw")</f>
        <v>https://maps.app.goo.gl/3LCCw5JihhMuryKy8?g_st=iw</v>
      </c>
      <c r="G1008" s="4" t="s">
        <v>13454</v>
      </c>
      <c r="H1008" s="101" t="str">
        <v>https://docs.google.com/spreadsheets/d/1X9977pSfw_8T_W2EuVY_pyF-dk1kRFmT3b_LiHa32eY</v>
      </c>
      <c r="I1008" s="101" t="str">
        <v>https://docs.google.com/open?id=1X9977pSfw_8T_W2EuVY_pyF-dk1kRFmT3b_LiHa32eY</v>
      </c>
      <c r="J1008" s="4" t="str">
        <v>Gebang, Kebonharjo, Samigaluh</v>
      </c>
      <c r="L1008" s="99" t="str">
        <f ca="1">IFERROR(__xludf.DUMMYFUNCTION("IMPORTRANGE(H1008,""IDENTITAS UNIT!D35"")"),"Ricky Yahya Wijaya")</f>
        <v>Ricky Yahya Wijaya</v>
      </c>
      <c r="M1008" s="99">
        <f ca="1">IFERROR(__xludf.DUMMYFUNCTION("IMPORTRANGE(H1008,""IDENTITAS UNIT!F35"")"),2000019005)</f>
        <v>2000019005</v>
      </c>
    </row>
    <row r="1009" spans="1:13" ht="49.5">
      <c r="A1009" s="4" t="str">
        <v>Reguler Periode ke-119 XX.A.2</v>
      </c>
      <c r="B1009" s="4" t="str">
        <v>Reguler Periode ke-119</v>
      </c>
      <c r="C1009" s="4" t="str">
        <v>XX.A.2</v>
      </c>
      <c r="D1009" s="101" t="str">
        <v>https://drive.google.com/open?id=1hSjaegjwgA5As4lWIB31isr_ZX9MuwX0cOsIM01X-jE&amp;usp=drive_copy</v>
      </c>
      <c r="E1009" s="101" t="str">
        <v>https://drive.google.com/open?id=1hSjaegjwgA5As4lWIB31isr_ZX9MuwX0cOsIM01X-jE</v>
      </c>
      <c r="F1009" s="103" t="str">
        <f ca="1">IFERROR(__xludf.DUMMYFUNCTION("IMPORTRANGE(H1009,""IDENTITAS UNIT!D9"")"),"https://maps.app.goo.gl/zxjCrhRZHAViDJTz7?g_st=ic")</f>
        <v>https://maps.app.goo.gl/zxjCrhRZHAViDJTz7?g_st=ic</v>
      </c>
      <c r="G1009" s="4" t="s">
        <v>13455</v>
      </c>
      <c r="H1009" s="101" t="str">
        <v>https://docs.google.com/spreadsheets/d/1hSjaegjwgA5As4lWIB31isr_ZX9MuwX0cOsIM01X-jE</v>
      </c>
      <c r="I1009" s="101" t="str">
        <v>https://docs.google.com/open?id=1hSjaegjwgA5As4lWIB31isr_ZX9MuwX0cOsIM01X-jE</v>
      </c>
      <c r="J1009" s="4" t="str">
        <v>Jeringan, Kebonharjo, Samigaluh</v>
      </c>
      <c r="L1009" s="99" t="str">
        <f ca="1">IFERROR(__xludf.DUMMYFUNCTION("IMPORTRANGE(H1009,""IDENTITAS UNIT!D35"")"),"Noorpani Ramadani")</f>
        <v>Noorpani Ramadani</v>
      </c>
      <c r="M1009" s="99">
        <f ca="1">IFERROR(__xludf.DUMMYFUNCTION("IMPORTRANGE(H1009,""IDENTITAS UNIT!F35"")"),2000020016)</f>
        <v>2000020016</v>
      </c>
    </row>
    <row r="1010" spans="1:13" ht="49.5">
      <c r="A1010" s="4" t="str">
        <v>Reguler Periode ke-119 XX.A.3</v>
      </c>
      <c r="B1010" s="4" t="str">
        <v>Reguler Periode ke-119</v>
      </c>
      <c r="C1010" s="4" t="str">
        <v>XX.A.3</v>
      </c>
      <c r="D1010" s="101" t="str">
        <v>https://drive.google.com/open?id=1Ma8B8P9T1jyN_GT7W61KRUZ_VMQgkur191iZWCk7QO8&amp;usp=drive_copy</v>
      </c>
      <c r="E1010" s="101" t="str">
        <v>https://drive.google.com/open?id=1Ma8B8P9T1jyN_GT7W61KRUZ_VMQgkur191iZWCk7QO8</v>
      </c>
      <c r="F1010" s="103" t="str">
        <f ca="1">IFERROR(__xludf.DUMMYFUNCTION("IMPORTRANGE(H1010,""IDENTITAS UNIT!D9"")"),"https://maps.app.goo.gl/S9Yr3QmjwxDwVPAX8?g_st=iw")</f>
        <v>https://maps.app.goo.gl/S9Yr3QmjwxDwVPAX8?g_st=iw</v>
      </c>
      <c r="G1010" s="4" t="s">
        <v>13456</v>
      </c>
      <c r="H1010" s="101" t="str">
        <v>https://docs.google.com/spreadsheets/d/1Ma8B8P9T1jyN_GT7W61KRUZ_VMQgkur191iZWCk7QO8</v>
      </c>
      <c r="I1010" s="101" t="str">
        <v>https://docs.google.com/open?id=1Ma8B8P9T1jyN_GT7W61KRUZ_VMQgkur191iZWCk7QO8</v>
      </c>
      <c r="J1010" s="4" t="str">
        <v>Gowok, Kebonharjo, Samigaluh</v>
      </c>
      <c r="L1010" s="99" t="str">
        <f ca="1">IFERROR(__xludf.DUMMYFUNCTION("IMPORTRANGE(H1010,""IDENTITAS UNIT!D35"")"),"Danendra Dzulfikar Kusuma")</f>
        <v>Danendra Dzulfikar Kusuma</v>
      </c>
      <c r="M1010" s="99">
        <f ca="1">IFERROR(__xludf.DUMMYFUNCTION("IMPORTRANGE(H1010,""IDENTITAS UNIT!F35"")"),2000020084)</f>
        <v>2000020084</v>
      </c>
    </row>
    <row r="1011" spans="1:13" ht="49.5">
      <c r="A1011" s="4" t="str">
        <v>Reguler Periode ke-119 XX.B.1</v>
      </c>
      <c r="B1011" s="4" t="str">
        <v>Reguler Periode ke-119</v>
      </c>
      <c r="C1011" s="4" t="str">
        <v>XX.B.1</v>
      </c>
      <c r="D1011" s="101" t="str">
        <v>https://drive.google.com/open?id=1aD66S7fa7G9sym6uAMjXVUDcezM9e12I2ff_EFj0kig&amp;usp=drive_copy</v>
      </c>
      <c r="E1011" s="101" t="str">
        <v>https://drive.google.com/open?id=1aD66S7fa7G9sym6uAMjXVUDcezM9e12I2ff_EFj0kig</v>
      </c>
      <c r="F1011" s="103" t="str">
        <f ca="1">IFERROR(__xludf.DUMMYFUNCTION("IMPORTRANGE(H1011,""IDENTITAS UNIT!D9"")"),"https://maps.app.goo.gl/H34w1dXk4Kxn6Wtz6")</f>
        <v>https://maps.app.goo.gl/H34w1dXk4Kxn6Wtz6</v>
      </c>
      <c r="G1011" s="4" t="s">
        <v>13457</v>
      </c>
      <c r="H1011" s="101" t="str">
        <v>https://docs.google.com/spreadsheets/d/1aD66S7fa7G9sym6uAMjXVUDcezM9e12I2ff_EFj0kig</v>
      </c>
      <c r="I1011" s="101" t="str">
        <v>https://docs.google.com/open?id=1aD66S7fa7G9sym6uAMjXVUDcezM9e12I2ff_EFj0kig</v>
      </c>
      <c r="J1011" s="4" t="str">
        <v>Kedunggupit, Kebonharjo, Samigaluh</v>
      </c>
      <c r="L1011" s="99" t="str">
        <f ca="1">IFERROR(__xludf.DUMMYFUNCTION("IMPORTRANGE(H1011,""IDENTITAS UNIT!D35"")"),"Dzaki Ramadhan Fatra")</f>
        <v>Dzaki Ramadhan Fatra</v>
      </c>
      <c r="M1011" s="99">
        <f ca="1">IFERROR(__xludf.DUMMYFUNCTION("IMPORTRANGE(H1011,""IDENTITAS UNIT!F35"")"),2000020072)</f>
        <v>2000020072</v>
      </c>
    </row>
    <row r="1012" spans="1:13" ht="49.5">
      <c r="A1012" s="4" t="str">
        <v>Reguler Periode ke-119 XX.B.2</v>
      </c>
      <c r="B1012" s="4" t="str">
        <v>Reguler Periode ke-119</v>
      </c>
      <c r="C1012" s="4" t="str">
        <v>XX.B.2</v>
      </c>
      <c r="D1012" s="101" t="str">
        <v>https://drive.google.com/open?id=1DiW_pSLEOElRrUJuczGmCnjl1xFdIgPXD7UANxgRO04&amp;usp=drive_copy</v>
      </c>
      <c r="E1012" s="101" t="str">
        <v>https://drive.google.com/open?id=1DiW_pSLEOElRrUJuczGmCnjl1xFdIgPXD7UANxgRO04</v>
      </c>
      <c r="F1012" s="103" t="str">
        <f ca="1">IFERROR(__xludf.DUMMYFUNCTION("IMPORTRANGE(H1012,""IDENTITAS UNIT!D9"")"),"https://maps.app.goo.gl/6vvsPsnkBf8HxNiu7")</f>
        <v>https://maps.app.goo.gl/6vvsPsnkBf8HxNiu7</v>
      </c>
      <c r="G1012" s="4" t="s">
        <v>13458</v>
      </c>
      <c r="H1012" s="101" t="str">
        <v>https://docs.google.com/spreadsheets/d/1DiW_pSLEOElRrUJuczGmCnjl1xFdIgPXD7UANxgRO04</v>
      </c>
      <c r="I1012" s="101" t="str">
        <v>https://docs.google.com/open?id=1DiW_pSLEOElRrUJuczGmCnjl1xFdIgPXD7UANxgRO04</v>
      </c>
      <c r="J1012" s="4" t="str">
        <v>Jarakan, Kebonharjo, Samigaluh</v>
      </c>
      <c r="L1012" s="99" t="str">
        <f ca="1">IFERROR(__xludf.DUMMYFUNCTION("IMPORTRANGE(H1012,""IDENTITAS UNIT!D35"")"),"Ahyar Rosidi")</f>
        <v>Ahyar Rosidi</v>
      </c>
      <c r="M1012" s="99">
        <f ca="1">IFERROR(__xludf.DUMMYFUNCTION("IMPORTRANGE(H1012,""IDENTITAS UNIT!F35"")"),2000020033)</f>
        <v>2000020033</v>
      </c>
    </row>
    <row r="1013" spans="1:13" ht="396">
      <c r="A1013" s="4" t="str">
        <v>Reguler Periode ke-119 XX.B.3</v>
      </c>
      <c r="B1013" s="4" t="str">
        <v>Reguler Periode ke-119</v>
      </c>
      <c r="C1013" s="4" t="str">
        <v>XX.B.3</v>
      </c>
      <c r="D1013" s="101" t="str">
        <v>https://drive.google.com/open?id=1HUXoVXu9KF3uSLy1NeUvbYHN6NI1q7ecDNxcINSf-2k&amp;usp=drive_copy</v>
      </c>
      <c r="E1013" s="101" t="str">
        <v>https://drive.google.com/open?id=1HUXoVXu9KF3uSLy1NeUvbYHN6NI1q7ecDNxcINSf-2k</v>
      </c>
      <c r="F1013" s="103" t="str">
        <f ca="1">IFERROR(__xludf.DUMMYFUNCTION("IMPORTRANGE(H1013,""IDENTITAS UNIT!D9"")"),"https://www.google.com/maps/place/Kepala+Dukuh+Trayu/@-7.6538581,110.1578414,16.41z/data=!4m15!1m8!3m7!1s0x2e7af2b9f4d01b21:0xae41cc6dda47b1b3!2sTrayu,+Ngargosari,+Kec.+Samigaluh,+Kabupaten+Kulon+Progo,+Daerah+Istimewa+Yogyakarta!3b1!8m2!3d-7.6506159!4d11"&amp;"0.1596173!16s%2Fg%2F11f613s9tw!3m5!1s0x2e7af30d444b2c93:0x547255e3a759b453!8m2!3d-7.6539072!4d110.1555042!16s%2Fg%2F11t_ph_brq?entry=ttu")</f>
        <v>https://www.google.com/maps/place/Kepala+Dukuh+Trayu/@-7.6538581,110.1578414,16.41z/data=!4m15!1m8!3m7!1s0x2e7af2b9f4d01b21:0xae41cc6dda47b1b3!2sTrayu,+Ngargosari,+Kec.+Samigaluh,+Kabupaten+Kulon+Progo,+Daerah+Istimewa+Yogyakarta!3b1!8m2!3d-7.6506159!4d110.1596173!16s%2Fg%2F11f613s9tw!3m5!1s0x2e7af30d444b2c93:0x547255e3a759b453!8m2!3d-7.6539072!4d110.1555042!16s%2Fg%2F11t_ph_brq?entry=ttu</v>
      </c>
      <c r="G1013" s="4" t="s">
        <v>13459</v>
      </c>
      <c r="H1013" s="101" t="str">
        <v>https://docs.google.com/spreadsheets/d/1HUXoVXu9KF3uSLy1NeUvbYHN6NI1q7ecDNxcINSf-2k</v>
      </c>
      <c r="I1013" s="101" t="str">
        <v>https://docs.google.com/open?id=1HUXoVXu9KF3uSLy1NeUvbYHN6NI1q7ecDNxcINSf-2k</v>
      </c>
      <c r="J1013" s="4" t="str">
        <v>Trayu, Ngargosari, Samigaluh</v>
      </c>
      <c r="L1013" s="99" t="str">
        <f ca="1">IFERROR(__xludf.DUMMYFUNCTION("IMPORTRANGE(H1013,""IDENTITAS UNIT!D35"")"),"Imamudin Hanif")</f>
        <v>Imamudin Hanif</v>
      </c>
      <c r="M1013" s="99">
        <f ca="1">IFERROR(__xludf.DUMMYFUNCTION("IMPORTRANGE(H1013,""IDENTITAS UNIT!F35"")"),2000031232)</f>
        <v>2000031232</v>
      </c>
    </row>
    <row r="1014" spans="1:13" ht="49.5">
      <c r="A1014" s="4" t="str">
        <v>Reguler Periode ke-119 XX.C.1</v>
      </c>
      <c r="B1014" s="4" t="str">
        <v>Reguler Periode ke-119</v>
      </c>
      <c r="C1014" s="4" t="str">
        <v>XX.C.1</v>
      </c>
      <c r="D1014" s="101" t="str">
        <v>https://drive.google.com/open?id=1dqJTwOHJYL_xbryi9hkDlRUtEz4fuB8nYqhqvT77a1A&amp;usp=drive_copy</v>
      </c>
      <c r="E1014" s="101" t="str">
        <v>https://drive.google.com/open?id=1dqJTwOHJYL_xbryi9hkDlRUtEz4fuB8nYqhqvT77a1A</v>
      </c>
      <c r="F1014" s="103" t="str">
        <f ca="1">IFERROR(__xludf.DUMMYFUNCTION("IMPORTRANGE(H1014,""IDENTITAS UNIT!D9"")"),"https://maps.app.goo.gl/x4Am3i6cwhZUcEKA7")</f>
        <v>https://maps.app.goo.gl/x4Am3i6cwhZUcEKA7</v>
      </c>
      <c r="G1014" s="4" t="s">
        <v>13460</v>
      </c>
      <c r="H1014" s="101" t="str">
        <v>https://docs.google.com/spreadsheets/d/1dqJTwOHJYL_xbryi9hkDlRUtEz4fuB8nYqhqvT77a1A</v>
      </c>
      <c r="I1014" s="101" t="str">
        <v>https://docs.google.com/open?id=1dqJTwOHJYL_xbryi9hkDlRUtEz4fuB8nYqhqvT77a1A</v>
      </c>
      <c r="J1014" s="4" t="str">
        <v>Tegalsari, Ngargosari, Samigaluh</v>
      </c>
      <c r="L1014" s="99" t="str">
        <f ca="1">IFERROR(__xludf.DUMMYFUNCTION("IMPORTRANGE(H1014,""IDENTITAS UNIT!D35"")"),"Adli Gimnastiar")</f>
        <v>Adli Gimnastiar</v>
      </c>
      <c r="M1014" s="99">
        <f ca="1">IFERROR(__xludf.DUMMYFUNCTION("IMPORTRANGE(H1014,""IDENTITAS UNIT!F35"")"),2000031070)</f>
        <v>2000031070</v>
      </c>
    </row>
    <row r="1015" spans="1:13" ht="49.5">
      <c r="A1015" s="4" t="str">
        <v>Reguler Periode ke-119 XX.C.2</v>
      </c>
      <c r="B1015" s="4" t="str">
        <v>Reguler Periode ke-119</v>
      </c>
      <c r="C1015" s="4" t="str">
        <v>XX.C.2</v>
      </c>
      <c r="D1015" s="101" t="str">
        <v>https://drive.google.com/open?id=1hhUgikEW5K-NuleAxxHugrZWLfJENeDn34ezodBXBz4&amp;usp=drive_copy</v>
      </c>
      <c r="E1015" s="101" t="str">
        <v>https://drive.google.com/open?id=1hhUgikEW5K-NuleAxxHugrZWLfJENeDn34ezodBXBz4</v>
      </c>
      <c r="F1015" s="103" t="str">
        <f ca="1">IFERROR(__xludf.DUMMYFUNCTION("IMPORTRANGE(H1015,""IDENTITAS UNIT!D9"")"),"https://maps.app.goo.gl/8Tyudc9aJiZQTnhC7?g_st=iw")</f>
        <v>https://maps.app.goo.gl/8Tyudc9aJiZQTnhC7?g_st=iw</v>
      </c>
      <c r="G1015" s="4" t="s">
        <v>13461</v>
      </c>
      <c r="H1015" s="101" t="str">
        <v>https://docs.google.com/spreadsheets/d/1hhUgikEW5K-NuleAxxHugrZWLfJENeDn34ezodBXBz4</v>
      </c>
      <c r="I1015" s="101" t="str">
        <v>https://docs.google.com/open?id=1hhUgikEW5K-NuleAxxHugrZWLfJENeDn34ezodBXBz4</v>
      </c>
      <c r="J1015" s="4" t="str">
        <v>Nguntuk Untuk, Ngargosari, Samigaluh</v>
      </c>
      <c r="L1015" s="99" t="str">
        <f ca="1">IFERROR(__xludf.DUMMYFUNCTION("IMPORTRANGE(H1015,""IDENTITAS UNIT!D35"")"),"Randa Karunia")</f>
        <v>Randa Karunia</v>
      </c>
      <c r="M1015" s="99">
        <f ca="1">IFERROR(__xludf.DUMMYFUNCTION("IMPORTRANGE(H1015,""IDENTITAS UNIT!F35"")"),2000020057)</f>
        <v>2000020057</v>
      </c>
    </row>
    <row r="1016" spans="1:13" ht="49.5">
      <c r="A1016" s="4" t="str">
        <v>Reguler Periode ke-119 XX.C.3</v>
      </c>
      <c r="B1016" s="4" t="str">
        <v>Reguler Periode ke-119</v>
      </c>
      <c r="C1016" s="4" t="str">
        <v>XX.C.3</v>
      </c>
      <c r="D1016" s="101" t="str">
        <v>https://drive.google.com/open?id=1nAUeg8nhByjQyE0nbbrN4HQq6Kwe4JMO1lmKt7iyi3E&amp;usp=drive_copy</v>
      </c>
      <c r="E1016" s="101" t="str">
        <v>https://drive.google.com/open?id=1nAUeg8nhByjQyE0nbbrN4HQq6Kwe4JMO1lmKt7iyi3E</v>
      </c>
      <c r="F1016" s="103" t="str">
        <f ca="1">IFERROR(__xludf.DUMMYFUNCTION("IMPORTRANGE(H1016,""IDENTITAS UNIT!D9"")"),"https://goo.gl/maps/WCxnkUCQYp7go4iv5")</f>
        <v>https://goo.gl/maps/WCxnkUCQYp7go4iv5</v>
      </c>
      <c r="G1016" s="4" t="s">
        <v>13462</v>
      </c>
      <c r="H1016" s="101" t="str">
        <v>https://docs.google.com/spreadsheets/d/1nAUeg8nhByjQyE0nbbrN4HQq6Kwe4JMO1lmKt7iyi3E</v>
      </c>
      <c r="I1016" s="101" t="str">
        <v>https://docs.google.com/open?id=1nAUeg8nhByjQyE0nbbrN4HQq6Kwe4JMO1lmKt7iyi3E</v>
      </c>
      <c r="J1016" s="4" t="str">
        <v>Tritis, Ngargosari, Samigaluh</v>
      </c>
      <c r="L1016" s="99" t="str">
        <f ca="1">IFERROR(__xludf.DUMMYFUNCTION("IMPORTRANGE(H1016,""IDENTITAS UNIT!D35"")"),"Ikhlasul Amal")</f>
        <v>Ikhlasul Amal</v>
      </c>
      <c r="M1016" s="99">
        <f ca="1">IFERROR(__xludf.DUMMYFUNCTION("IMPORTRANGE(H1016,""IDENTITAS UNIT!F35"")"),2000020015)</f>
        <v>2000020015</v>
      </c>
    </row>
    <row r="1017" spans="1:13" ht="82.5">
      <c r="A1017" s="4" t="str">
        <v>Reguler Periode ke-119 XX.D.1</v>
      </c>
      <c r="B1017" s="4" t="str">
        <v>Reguler Periode ke-119</v>
      </c>
      <c r="C1017" s="4" t="str">
        <v>XX.D.1</v>
      </c>
      <c r="D1017" s="101" t="str">
        <v>https://drive.google.com/open?id=1onvwJOD3spBRN2COXsvyKzx5dTdKAme7H2G7ceBgQMs&amp;usp=drive_copy</v>
      </c>
      <c r="E1017" s="101" t="str">
        <v>https://drive.google.com/open?id=1onvwJOD3spBRN2COXsvyKzx5dTdKAme7H2G7ceBgQMs</v>
      </c>
      <c r="F1017" s="103" t="str">
        <f ca="1">IFERROR(__xludf.DUMMYFUNCTION("IMPORTRANGE(H1017,""IDENTITAS UNIT!D9"")"),"https://drive.google.com/file/d/1T8cx5B8zgTSxkOB7vYtc3KZQNkgvfRSq/view?usp=sharing")</f>
        <v>https://drive.google.com/file/d/1T8cx5B8zgTSxkOB7vYtc3KZQNkgvfRSq/view?usp=sharing</v>
      </c>
      <c r="H1017" s="101" t="str">
        <v>https://docs.google.com/spreadsheets/d/1onvwJOD3spBRN2COXsvyKzx5dTdKAme7H2G7ceBgQMs</v>
      </c>
      <c r="I1017" s="101" t="str">
        <v>https://docs.google.com/open?id=1onvwJOD3spBRN2COXsvyKzx5dTdKAme7H2G7ceBgQMs</v>
      </c>
      <c r="J1017" s="4" t="str">
        <v>Gegerbajing, Pagerharjo, Samigaluh</v>
      </c>
      <c r="L1017" s="99" t="str">
        <f ca="1">IFERROR(__xludf.DUMMYFUNCTION("IMPORTRANGE(H1017,""IDENTITAS UNIT!D35"")"),"Wardi Yusro")</f>
        <v>Wardi Yusro</v>
      </c>
      <c r="M1017" s="99">
        <f ca="1">IFERROR(__xludf.DUMMYFUNCTION("IMPORTRANGE(H1017,""IDENTITAS UNIT!F35"")"),2000031126)</f>
        <v>2000031126</v>
      </c>
    </row>
    <row r="1018" spans="1:13" ht="165">
      <c r="A1018" s="4" t="str">
        <v>Reguler Periode ke-119 XX.D.2</v>
      </c>
      <c r="B1018" s="4" t="str">
        <v>Reguler Periode ke-119</v>
      </c>
      <c r="C1018" s="4" t="str">
        <v>XX.D.2</v>
      </c>
      <c r="D1018" s="101" t="str">
        <v>https://drive.google.com/open?id=1r9KcGfp64Cwn68Cnl7E0UQdtQ63FYNp0ZDtxe8PfQi8&amp;usp=drive_copy</v>
      </c>
      <c r="E1018" s="101" t="str">
        <v>https://drive.google.com/open?id=1r9KcGfp64Cwn68Cnl7E0UQdtQ63FYNp0ZDtxe8PfQi8</v>
      </c>
      <c r="F1018" s="103" t="str">
        <f ca="1">IFERROR(__xludf.DUMMYFUNCTION("IMPORTRANGE(H1018,""IDENTITAS UNIT!D9"")"),"https://maps.google.com/?q=Kemesu%2C+Pagerharjo%2C+Kec.+Samigaluh%2C+Kabupaten+Kulon+Progo%2C+Daerah+Istimewa+Yogyakarta&amp;ftid=0x2e7aed79afbde51d:0x6e5de170f1a9cd11&amp;entry=gps")</f>
        <v>https://maps.google.com/?q=Kemesu%2C+Pagerharjo%2C+Kec.+Samigaluh%2C+Kabupaten+Kulon+Progo%2C+Daerah+Istimewa+Yogyakarta&amp;ftid=0x2e7aed79afbde51d:0x6e5de170f1a9cd11&amp;entry=gps</v>
      </c>
      <c r="G1018" s="4" t="s">
        <v>13463</v>
      </c>
      <c r="H1018" s="101" t="str">
        <v>https://docs.google.com/spreadsheets/d/1r9KcGfp64Cwn68Cnl7E0UQdtQ63FYNp0ZDtxe8PfQi8</v>
      </c>
      <c r="I1018" s="101" t="str">
        <v>https://docs.google.com/open?id=1r9KcGfp64Cwn68Cnl7E0UQdtQ63FYNp0ZDtxe8PfQi8</v>
      </c>
      <c r="J1018" s="4" t="str">
        <v>Kemesu, Pagerharjo, Samigaluh</v>
      </c>
      <c r="L1018" s="99" t="str">
        <f ca="1">IFERROR(__xludf.DUMMYFUNCTION("IMPORTRANGE(H1018,""IDENTITAS UNIT!D35"")"),"Muhammad Zandaru")</f>
        <v>Muhammad Zandaru</v>
      </c>
      <c r="M1018" s="99">
        <f ca="1">IFERROR(__xludf.DUMMYFUNCTION("IMPORTRANGE(H1018,""IDENTITAS UNIT!F35"")"),2015022037)</f>
        <v>2015022037</v>
      </c>
    </row>
    <row r="1019" spans="1:13" ht="49.5">
      <c r="A1019" s="4" t="str">
        <v>Reguler Periode ke-119 XX.D.3</v>
      </c>
      <c r="B1019" s="4" t="str">
        <v>Reguler Periode ke-119</v>
      </c>
      <c r="C1019" s="4" t="str">
        <v>XX.D.3</v>
      </c>
      <c r="D1019" s="101" t="str">
        <v>https://drive.google.com/open?id=1sTb2zaDnsrvopAxKPzSrbiCQ6KoxD9gMrwqhkHtnxMs&amp;usp=drive_copy</v>
      </c>
      <c r="E1019" s="101" t="str">
        <v>https://drive.google.com/open?id=1sTb2zaDnsrvopAxKPzSrbiCQ6KoxD9gMrwqhkHtnxMs</v>
      </c>
      <c r="F1019" s="103" t="str">
        <f ca="1">IFERROR(__xludf.DUMMYFUNCTION("IMPORTRANGE(H1019,""IDENTITAS UNIT!D9"")"),"https://maps.app.goo.gl/5em9J5JbhqDgJbbm6")</f>
        <v>https://maps.app.goo.gl/5em9J5JbhqDgJbbm6</v>
      </c>
      <c r="G1019" s="4" t="s">
        <v>13464</v>
      </c>
      <c r="H1019" s="101" t="str">
        <v>https://docs.google.com/spreadsheets/d/1sTb2zaDnsrvopAxKPzSrbiCQ6KoxD9gMrwqhkHtnxMs</v>
      </c>
      <c r="I1019" s="101" t="str">
        <v>https://docs.google.com/open?id=1sTb2zaDnsrvopAxKPzSrbiCQ6KoxD9gMrwqhkHtnxMs</v>
      </c>
      <c r="J1019" s="4" t="str">
        <v>Sinogo, Pagerharjo, Samigaluh</v>
      </c>
      <c r="L1019" s="99" t="str">
        <f ca="1">IFERROR(__xludf.DUMMYFUNCTION("IMPORTRANGE(H1019,""IDENTITAS UNIT!D35"")"),"Abid Abdullah")</f>
        <v>Abid Abdullah</v>
      </c>
      <c r="M1019" s="99">
        <f ca="1">IFERROR(__xludf.DUMMYFUNCTION("IMPORTRANGE(H1019,""IDENTITAS UNIT!F35"")"),2000031214)</f>
        <v>2000031214</v>
      </c>
    </row>
    <row r="1020" spans="1:13" ht="181.5">
      <c r="A1020" s="4" t="str">
        <v>Reguler Periode ke-119 XXI.A.1</v>
      </c>
      <c r="B1020" s="4" t="str">
        <v>Reguler Periode ke-119</v>
      </c>
      <c r="C1020" s="4" t="str">
        <v>XXI.A.1</v>
      </c>
      <c r="D1020" s="101" t="str">
        <v>https://drive.google.com/open?id=1tZRJB1j9hziG_MFLArQoNBLT3XB73Dl60mxJ_A17UCk&amp;usp=drive_copy</v>
      </c>
      <c r="E1020" s="101" t="str">
        <v>https://drive.google.com/open?id=1tZRJB1j9hziG_MFLArQoNBLT3XB73Dl60mxJ_A17UCk</v>
      </c>
      <c r="F1020" s="103" t="str">
        <f ca="1">IFERROR(__xludf.DUMMYFUNCTION("IMPORTRANGE(H1020,""IDENTITAS UNIT!D9"")"),"https://www.google.com/maps/place/7%C2%B039'25.4%22S+110%C2%B008'32.9%22E/@-7.6570623,110.1399067,17z/data=!3m1!4b1!4m4!3m3!8m2!3d-7.6570623!4d110.1424816?entry=ttu")</f>
        <v>https://www.google.com/maps/place/7%C2%B039'25.4%22S+110%C2%B008'32.9%22E/@-7.6570623,110.1399067,17z/data=!3m1!4b1!4m4!3m3!8m2!3d-7.6570623!4d110.1424816?entry=ttu</v>
      </c>
      <c r="G1020" s="4" t="s">
        <v>13465</v>
      </c>
      <c r="H1020" s="101" t="str">
        <v>https://docs.google.com/spreadsheets/d/1tZRJB1j9hziG_MFLArQoNBLT3XB73Dl60mxJ_A17UCk</v>
      </c>
      <c r="I1020" s="101" t="str">
        <v>https://docs.google.com/open?id=1tZRJB1j9hziG_MFLArQoNBLT3XB73Dl60mxJ_A17UCk</v>
      </c>
      <c r="J1020" s="4" t="str">
        <v>Nglinggo Timur, Pagerharjo, Samigaluh</v>
      </c>
      <c r="L1020" s="99" t="str">
        <f ca="1">IFERROR(__xludf.DUMMYFUNCTION("IMPORTRANGE(H1020,""IDENTITAS UNIT!D35"")"),"Fauzi Ramadhan")</f>
        <v>Fauzi Ramadhan</v>
      </c>
      <c r="M1020" s="99">
        <f ca="1">IFERROR(__xludf.DUMMYFUNCTION("IMPORTRANGE(H1020,""IDENTITAS UNIT!F35"")"),2000015018)</f>
        <v>2000015018</v>
      </c>
    </row>
    <row r="1021" spans="1:13" ht="49.5">
      <c r="A1021" s="4" t="str">
        <v>Reguler Periode ke-119 XXI.A.2</v>
      </c>
      <c r="B1021" s="4" t="str">
        <v>Reguler Periode ke-119</v>
      </c>
      <c r="C1021" s="4" t="str">
        <v>XXI.A.2</v>
      </c>
      <c r="D1021" s="101" t="str">
        <v>https://drive.google.com/open?id=1yzpnK1mpmqmhTIzyD-WVvBmb8nnxvXjeEOIWehuHWlI&amp;usp=drive_copy</v>
      </c>
      <c r="E1021" s="101" t="str">
        <v>https://drive.google.com/open?id=1yzpnK1mpmqmhTIzyD-WVvBmb8nnxvXjeEOIWehuHWlI</v>
      </c>
      <c r="F1021" s="103" t="str">
        <f ca="1">IFERROR(__xludf.DUMMYFUNCTION("IMPORTRANGE(H1021,""IDENTITAS UNIT!D9"")"),"https://maps.app.goo.gl/THoyLK6m71RNsMar9")</f>
        <v>https://maps.app.goo.gl/THoyLK6m71RNsMar9</v>
      </c>
      <c r="G1021" s="4" t="s">
        <v>13466</v>
      </c>
      <c r="H1021" s="101" t="str">
        <v>https://docs.google.com/spreadsheets/d/1yzpnK1mpmqmhTIzyD-WVvBmb8nnxvXjeEOIWehuHWlI</v>
      </c>
      <c r="I1021" s="101" t="str">
        <v>https://docs.google.com/open?id=1yzpnK1mpmqmhTIzyD-WVvBmb8nnxvXjeEOIWehuHWlI</v>
      </c>
      <c r="J1021" s="4" t="str">
        <v>Kalirejo Utara, Pagerharjo, Samigaluh</v>
      </c>
      <c r="L1021" s="99" t="str">
        <f ca="1">IFERROR(__xludf.DUMMYFUNCTION("IMPORTRANGE(H1021,""IDENTITAS UNIT!D35"")"),"Abi Nazli Karuana")</f>
        <v>Abi Nazli Karuana</v>
      </c>
      <c r="M1021" s="99" t="str">
        <f ca="1">IFERROR(__xludf.DUMMYFUNCTION("IMPORTRANGE(H1021,""IDENTITAS UNIT!F35"")"),"PILIH SESUAI DENGAN NAMA YANG TERSEDIA")</f>
        <v>PILIH SESUAI DENGAN NAMA YANG TERSEDIA</v>
      </c>
    </row>
    <row r="1022" spans="1:13" ht="49.5">
      <c r="A1022" s="4" t="str">
        <v>Reguler Periode ke-119 XXI.A.3</v>
      </c>
      <c r="B1022" s="4" t="str">
        <v>Reguler Periode ke-119</v>
      </c>
      <c r="C1022" s="4" t="str">
        <v>XXI.A.3</v>
      </c>
      <c r="D1022" s="101" t="str">
        <v>https://drive.google.com/open?id=1zh2TuFV0FMAEYytBJUChBSc9SIJItqctq-QBvrPHvxM&amp;usp=drive_copy</v>
      </c>
      <c r="E1022" s="101" t="str">
        <v>https://drive.google.com/open?id=1zh2TuFV0FMAEYytBJUChBSc9SIJItqctq-QBvrPHvxM</v>
      </c>
      <c r="F1022" s="103" t="str">
        <f ca="1">IFERROR(__xludf.DUMMYFUNCTION("IMPORTRANGE(H1022,""IDENTITAS UNIT!D9"")"),"https://maps.app.goo.gl/mMdJYjVDcH86T7T78")</f>
        <v>https://maps.app.goo.gl/mMdJYjVDcH86T7T78</v>
      </c>
      <c r="G1022" s="4" t="s">
        <v>13467</v>
      </c>
      <c r="H1022" s="101" t="str">
        <v>https://docs.google.com/spreadsheets/d/1zh2TuFV0FMAEYytBJUChBSc9SIJItqctq-QBvrPHvxM</v>
      </c>
      <c r="I1022" s="101" t="str">
        <v>https://docs.google.com/open?id=1zh2TuFV0FMAEYytBJUChBSc9SIJItqctq-QBvrPHvxM</v>
      </c>
      <c r="J1022" s="4" t="str">
        <v>Ngaglik, Pagerharjo, Samigaluh</v>
      </c>
      <c r="L1022" s="99" t="str">
        <f ca="1">IFERROR(__xludf.DUMMYFUNCTION("IMPORTRANGE(H1022,""IDENTITAS UNIT!D35"")"),"Satriawan Muammar Fadil")</f>
        <v>Satriawan Muammar Fadil</v>
      </c>
      <c r="M1022" s="99">
        <f ca="1">IFERROR(__xludf.DUMMYFUNCTION("IMPORTRANGE(H1022,""IDENTITAS UNIT!F35"")"),2000022053)</f>
        <v>2000022053</v>
      </c>
    </row>
    <row r="1023" spans="1:13" ht="49.5">
      <c r="A1023" s="4" t="str">
        <v>Reguler Periode ke-119 XXI.B.1</v>
      </c>
      <c r="B1023" s="4" t="str">
        <v>Reguler Periode ke-119</v>
      </c>
      <c r="C1023" s="4" t="str">
        <v>XXI.B.1</v>
      </c>
      <c r="D1023" s="101" t="str">
        <v>https://drive.google.com/open?id=1ztvYGRzFuUHJJXOlbYuan0yQswk_YQTFCI1Zo_whx3w&amp;usp=drive_copy</v>
      </c>
      <c r="E1023" s="101" t="str">
        <v>https://drive.google.com/open?id=1ztvYGRzFuUHJJXOlbYuan0yQswk_YQTFCI1Zo_whx3w</v>
      </c>
      <c r="F1023" s="103" t="str">
        <f ca="1">IFERROR(__xludf.DUMMYFUNCTION("IMPORTRANGE(H1023,""IDENTITAS UNIT!D9"")"),"https://maps.app.goo.gl/MZ777Kn4h1RS8cYX7")</f>
        <v>https://maps.app.goo.gl/MZ777Kn4h1RS8cYX7</v>
      </c>
      <c r="G1023" s="4" t="s">
        <v>13468</v>
      </c>
      <c r="H1023" s="101" t="str">
        <v>https://docs.google.com/spreadsheets/d/1ztvYGRzFuUHJJXOlbYuan0yQswk_YQTFCI1Zo_whx3w</v>
      </c>
      <c r="I1023" s="101" t="str">
        <v>https://docs.google.com/open?id=1ztvYGRzFuUHJJXOlbYuan0yQswk_YQTFCI1Zo_whx3w</v>
      </c>
      <c r="J1023" s="4" t="str">
        <v>Ngaran Barat, Banjarsari, Samigaluh</v>
      </c>
      <c r="L1023" s="99" t="str">
        <f ca="1">IFERROR(__xludf.DUMMYFUNCTION("IMPORTRANGE(H1023,""IDENTITAS UNIT!D35"")"),"Fakhri Hamzah Sunni")</f>
        <v>Fakhri Hamzah Sunni</v>
      </c>
      <c r="M1023" s="99">
        <f ca="1">IFERROR(__xludf.DUMMYFUNCTION("IMPORTRANGE(H1023,""IDENTITAS UNIT!F35"")"),2000031044)</f>
        <v>2000031044</v>
      </c>
    </row>
    <row r="1024" spans="1:13" ht="49.5">
      <c r="A1024" s="4" t="str">
        <v>Reguler Periode ke-119 XXI.B.2</v>
      </c>
      <c r="B1024" s="4" t="str">
        <v>Reguler Periode ke-119</v>
      </c>
      <c r="C1024" s="4" t="str">
        <v>XXI.B.2</v>
      </c>
      <c r="D1024" s="101" t="str">
        <v>https://drive.google.com/open?id=1-3JhFXXVW8o5GzX7Ckq7KY5IRx3PBYngosj34uiJd7g&amp;usp=drive_copy</v>
      </c>
      <c r="E1024" s="101" t="str">
        <v>https://drive.google.com/open?id=1-3JhFXXVW8o5GzX7Ckq7KY5IRx3PBYngosj34uiJd7g</v>
      </c>
      <c r="F1024" s="103" t="str">
        <f ca="1">IFERROR(__xludf.DUMMYFUNCTION("IMPORTRANGE(H1024,""IDENTITAS UNIT!D9"")"),"https://maps.app.goo.gl/RwxK9iDzUN5r9C8T7")</f>
        <v>https://maps.app.goo.gl/RwxK9iDzUN5r9C8T7</v>
      </c>
      <c r="G1024" s="4" t="s">
        <v>13469</v>
      </c>
      <c r="H1024" s="101" t="str">
        <v>https://docs.google.com/spreadsheets/d/1-3JhFXXVW8o5GzX7Ckq7KY5IRx3PBYngosj34uiJd7g</v>
      </c>
      <c r="I1024" s="101" t="str">
        <v>https://docs.google.com/open?id=1-3JhFXXVW8o5GzX7Ckq7KY5IRx3PBYngosj34uiJd7g</v>
      </c>
      <c r="J1024" s="4" t="str">
        <v>Klendrekan, Banjarsari, Samigaluh</v>
      </c>
      <c r="L1024" s="99" t="str">
        <f ca="1">IFERROR(__xludf.DUMMYFUNCTION("IMPORTRANGE(H1024,""IDENTITAS UNIT!D35"")"),"Aldo Wiguna")</f>
        <v>Aldo Wiguna</v>
      </c>
      <c r="M1024" s="99">
        <f ca="1">IFERROR(__xludf.DUMMYFUNCTION("IMPORTRANGE(H1024,""IDENTITAS UNIT!F35"")"),2000022047)</f>
        <v>2000022047</v>
      </c>
    </row>
    <row r="1025" spans="1:13" ht="49.5">
      <c r="A1025" s="4" t="str">
        <v>Reguler Periode ke-119 XXI.B.3</v>
      </c>
      <c r="B1025" s="4" t="str">
        <v>Reguler Periode ke-119</v>
      </c>
      <c r="C1025" s="4" t="str">
        <v>XXI.B.3</v>
      </c>
      <c r="D1025" s="101" t="str">
        <v>https://drive.google.com/open?id=14-ELN3Sjstb2CkWNCRw-Esf0MIX4Psi8NCb19ohiuaA&amp;usp=drive_copy</v>
      </c>
      <c r="E1025" s="101" t="str">
        <v>https://drive.google.com/open?id=14-ELN3Sjstb2CkWNCRw-Esf0MIX4Psi8NCb19ohiuaA</v>
      </c>
      <c r="F1025" s="103" t="str">
        <f ca="1">IFERROR(__xludf.DUMMYFUNCTION("IMPORTRANGE(H1025,""IDENTITAS UNIT!D9"")"),"https://goo.gl/maps/qvi3vBuAkYjppsth8")</f>
        <v>https://goo.gl/maps/qvi3vBuAkYjppsth8</v>
      </c>
      <c r="G1025" s="4" t="s">
        <v>13470</v>
      </c>
      <c r="H1025" s="101" t="str">
        <v>https://docs.google.com/spreadsheets/d/14-ELN3Sjstb2CkWNCRw-Esf0MIX4Psi8NCb19ohiuaA</v>
      </c>
      <c r="I1025" s="101" t="str">
        <v>https://docs.google.com/open?id=14-ELN3Sjstb2CkWNCRw-Esf0MIX4Psi8NCb19ohiuaA</v>
      </c>
      <c r="J1025" s="4" t="str">
        <v>Balong Timur, Banjarsari, Samigaluh</v>
      </c>
      <c r="L1025" s="99" t="str">
        <f ca="1">IFERROR(__xludf.DUMMYFUNCTION("IMPORTRANGE(H1025,""IDENTITAS UNIT!D35"")"),"Fahriza Dwipa Putra")</f>
        <v>Fahriza Dwipa Putra</v>
      </c>
      <c r="M1025" s="99">
        <f ca="1">IFERROR(__xludf.DUMMYFUNCTION("IMPORTRANGE(H1025,""IDENTITAS UNIT!F35"")"),2000022001)</f>
        <v>2000022001</v>
      </c>
    </row>
    <row r="1026" spans="1:13" ht="49.5">
      <c r="A1026" s="4" t="str">
        <v>Reguler Periode ke-119 XXI.C.1</v>
      </c>
      <c r="B1026" s="4" t="str">
        <v>Reguler Periode ke-119</v>
      </c>
      <c r="C1026" s="4" t="str">
        <v>XXI.C.1</v>
      </c>
      <c r="D1026" s="101" t="str">
        <v>https://drive.google.com/open?id=1DKNtZaI3w_LqyItkhFKLoFoF-6YzzS75G-WzPlOpuNg&amp;usp=drive_copy</v>
      </c>
      <c r="E1026" s="101" t="str">
        <v>https://drive.google.com/open?id=1DKNtZaI3w_LqyItkhFKLoFoF-6YzzS75G-WzPlOpuNg</v>
      </c>
      <c r="F1026" s="103" t="str">
        <f ca="1">IFERROR(__xludf.DUMMYFUNCTION("IMPORTRANGE(H1026,""IDENTITAS UNIT!D9"")"),"https://maps.app.goo.gl/gipAtazF2FDD73f69")</f>
        <v>https://maps.app.goo.gl/gipAtazF2FDD73f69</v>
      </c>
      <c r="G1026" s="4" t="s">
        <v>13471</v>
      </c>
      <c r="H1026" s="101" t="str">
        <v>https://docs.google.com/spreadsheets/d/1DKNtZaI3w_LqyItkhFKLoFoF-6YzzS75G-WzPlOpuNg</v>
      </c>
      <c r="I1026" s="101" t="str">
        <v>https://docs.google.com/open?id=1DKNtZaI3w_LqyItkhFKLoFoF-6YzzS75G-WzPlOpuNg</v>
      </c>
      <c r="J1026" s="4" t="str">
        <v>Kaliapak, Banjarsari, Samigaluh</v>
      </c>
      <c r="L1026" s="99" t="str">
        <f ca="1">IFERROR(__xludf.DUMMYFUNCTION("IMPORTRANGE(H1026,""IDENTITAS UNIT!D35"")"),"Muhammad Anas Kamaluddin")</f>
        <v>Muhammad Anas Kamaluddin</v>
      </c>
      <c r="M1026" s="99">
        <f ca="1">IFERROR(__xludf.DUMMYFUNCTION("IMPORTRANGE(H1026,""IDENTITAS UNIT!F35"")"),2000031227)</f>
        <v>2000031227</v>
      </c>
    </row>
    <row r="1027" spans="1:13" ht="49.5">
      <c r="A1027" s="4" t="str">
        <v>Reguler Periode ke-119 XXI.C.2</v>
      </c>
      <c r="B1027" s="4" t="str">
        <v>Reguler Periode ke-119</v>
      </c>
      <c r="C1027" s="4" t="str">
        <v>XXI.C.2</v>
      </c>
      <c r="D1027" s="101" t="str">
        <v>https://drive.google.com/open?id=1coomfJAONokVC15fN6Knp5MW4JZLrTtBNCi2DyhIolU&amp;usp=drive_copy</v>
      </c>
      <c r="E1027" s="101" t="str">
        <v>https://drive.google.com/open?id=1coomfJAONokVC15fN6Knp5MW4JZLrTtBNCi2DyhIolU</v>
      </c>
      <c r="F1027" s="103" t="str">
        <f ca="1">IFERROR(__xludf.DUMMYFUNCTION("IMPORTRANGE(H1027,""IDENTITAS UNIT!D9"")"),"https://maps.app.goo.gl/fEuGbS1NvdJ2YJLSA?g_st=iw")</f>
        <v>https://maps.app.goo.gl/fEuGbS1NvdJ2YJLSA?g_st=iw</v>
      </c>
      <c r="G1027" s="4" t="s">
        <v>13472</v>
      </c>
      <c r="H1027" s="101" t="str">
        <v>https://docs.google.com/spreadsheets/d/1coomfJAONokVC15fN6Knp5MW4JZLrTtBNCi2DyhIolU</v>
      </c>
      <c r="I1027" s="101" t="str">
        <v>https://docs.google.com/open?id=1coomfJAONokVC15fN6Knp5MW4JZLrTtBNCi2DyhIolU</v>
      </c>
      <c r="J1027" s="4" t="str">
        <v>Jumblangan Selatan, Banjarsari, Samigaluh</v>
      </c>
      <c r="L1027" s="99" t="str">
        <f ca="1">IFERROR(__xludf.DUMMYFUNCTION("IMPORTRANGE(H1027,""IDENTITAS UNIT!D35"")"),"Linggar Rahmat Dwiyono")</f>
        <v>Linggar Rahmat Dwiyono</v>
      </c>
      <c r="M1027" s="99">
        <f ca="1">IFERROR(__xludf.DUMMYFUNCTION("IMPORTRANGE(H1027,""IDENTITAS UNIT!F35"")"),2000022005)</f>
        <v>2000022005</v>
      </c>
    </row>
    <row r="1028" spans="1:13" ht="49.5">
      <c r="A1028" s="4" t="str">
        <v>Reguler Periode ke-119 XXI.C.3</v>
      </c>
      <c r="B1028" s="4" t="str">
        <v>Reguler Periode ke-119</v>
      </c>
      <c r="C1028" s="4" t="str">
        <v>XXI.C.3</v>
      </c>
      <c r="D1028" s="101" t="str">
        <v>https://drive.google.com/open?id=1jObs-f0fcG_8ykBZQcT1C4OCWvDpQTexWm_gIpugJOs&amp;usp=drive_copy</v>
      </c>
      <c r="E1028" s="101" t="str">
        <v>https://drive.google.com/open?id=1jObs-f0fcG_8ykBZQcT1C4OCWvDpQTexWm_gIpugJOs</v>
      </c>
      <c r="F1028" s="103" t="str">
        <f ca="1">IFERROR(__xludf.DUMMYFUNCTION("IMPORTRANGE(H1028,""IDENTITAS UNIT!D9"")"),"https://maps.app.goo.gl/fNe6t8HcHXY4oyuk9")</f>
        <v>https://maps.app.goo.gl/fNe6t8HcHXY4oyuk9</v>
      </c>
      <c r="G1028" s="4" t="s">
        <v>13473</v>
      </c>
      <c r="H1028" s="101" t="str">
        <v>https://docs.google.com/spreadsheets/d/1jObs-f0fcG_8ykBZQcT1C4OCWvDpQTexWm_gIpugJOs</v>
      </c>
      <c r="I1028" s="101" t="str">
        <v>https://docs.google.com/open?id=1jObs-f0fcG_8ykBZQcT1C4OCWvDpQTexWm_gIpugJOs</v>
      </c>
      <c r="J1028" s="4" t="str">
        <v>Waru, Banjarsari, Samigaluh</v>
      </c>
      <c r="L1028" s="99" t="str">
        <f ca="1">IFERROR(__xludf.DUMMYFUNCTION("IMPORTRANGE(H1028,""IDENTITAS UNIT!D35"")"),"Prima Notario")</f>
        <v>Prima Notario</v>
      </c>
      <c r="M1028" s="99">
        <f ca="1">IFERROR(__xludf.DUMMYFUNCTION("IMPORTRANGE(H1028,""IDENTITAS UNIT!F35"")"),2000024357)</f>
        <v>2000024357</v>
      </c>
    </row>
    <row r="1029" spans="1:13" ht="49.5">
      <c r="A1029" s="4" t="str">
        <v>Reguler Periode ke-119 XXI.D.1</v>
      </c>
      <c r="B1029" s="4" t="str">
        <v>Reguler Periode ke-119</v>
      </c>
      <c r="C1029" s="4" t="str">
        <v>XXI.D.1</v>
      </c>
      <c r="D1029" s="101" t="str">
        <v>https://drive.google.com/open?id=1m2oGMtfxLfiNjBvGTLFkpTzUTzOUo382KnAxilJGdhk&amp;usp=drive_copy</v>
      </c>
      <c r="E1029" s="101" t="str">
        <v>https://drive.google.com/open?id=1m2oGMtfxLfiNjBvGTLFkpTzUTzOUo382KnAxilJGdhk</v>
      </c>
      <c r="F1029" s="103" t="str">
        <f ca="1">IFERROR(__xludf.DUMMYFUNCTION("IMPORTRANGE(H1029,""IDENTITAS UNIT!D9"")"),"https://maps.app.goo.gl/vxs23vHLTsmpgWD98")</f>
        <v>https://maps.app.goo.gl/vxs23vHLTsmpgWD98</v>
      </c>
      <c r="G1029" s="4" t="s">
        <v>13474</v>
      </c>
      <c r="H1029" s="101" t="str">
        <v>https://docs.google.com/spreadsheets/d/1m2oGMtfxLfiNjBvGTLFkpTzUTzOUo382KnAxilJGdhk</v>
      </c>
      <c r="I1029" s="101" t="str">
        <v>https://docs.google.com/open?id=1m2oGMtfxLfiNjBvGTLFkpTzUTzOUo382KnAxilJGdhk</v>
      </c>
      <c r="J1029" s="4" t="str">
        <v>Jumblangan, Banjarsari, Samigaluh</v>
      </c>
      <c r="L1029" s="99" t="str">
        <f ca="1">IFERROR(__xludf.DUMMYFUNCTION("IMPORTRANGE(H1029,""IDENTITAS UNIT!D35"")"),"Arsyad Atpi Sidiq")</f>
        <v>Arsyad Atpi Sidiq</v>
      </c>
      <c r="M1029" s="99">
        <f ca="1">IFERROR(__xludf.DUMMYFUNCTION("IMPORTRANGE(H1029,""IDENTITAS UNIT!F35"")"),2000016010)</f>
        <v>2000016010</v>
      </c>
    </row>
    <row r="1030" spans="1:13" ht="49.5">
      <c r="A1030" s="4" t="str">
        <v>Reguler Periode ke-119 XXI.D.2</v>
      </c>
      <c r="B1030" s="4" t="str">
        <v>Reguler Periode ke-119</v>
      </c>
      <c r="C1030" s="4" t="str">
        <v>XXI.D.2</v>
      </c>
      <c r="D1030" s="101" t="str">
        <v>https://drive.google.com/open?id=1sPpECM-rL9ae2oTcbCokVyn1lkK79LtZ767loRcKsOo&amp;usp=drive_copy</v>
      </c>
      <c r="E1030" s="101" t="str">
        <v>https://drive.google.com/open?id=1sPpECM-rL9ae2oTcbCokVyn1lkK79LtZ767loRcKsOo</v>
      </c>
      <c r="F1030" s="103" t="str">
        <f ca="1">IFERROR(__xludf.DUMMYFUNCTION("IMPORTRANGE(H1030,""IDENTITAS UNIT!D9"")"),"https://maps.app.goo.gl/s6wYJVdGLx37aET7A")</f>
        <v>https://maps.app.goo.gl/s6wYJVdGLx37aET7A</v>
      </c>
      <c r="G1030" s="4" t="s">
        <v>13475</v>
      </c>
      <c r="H1030" s="101" t="str">
        <v>https://docs.google.com/spreadsheets/d/1sPpECM-rL9ae2oTcbCokVyn1lkK79LtZ767loRcKsOo</v>
      </c>
      <c r="I1030" s="101" t="str">
        <v>https://docs.google.com/open?id=1sPpECM-rL9ae2oTcbCokVyn1lkK79LtZ767loRcKsOo</v>
      </c>
      <c r="J1030" s="4" t="str">
        <v>Balong Tengah, Banjarsari, Samigaluh</v>
      </c>
      <c r="L1030" s="99" t="str">
        <f ca="1">IFERROR(__xludf.DUMMYFUNCTION("IMPORTRANGE(H1030,""IDENTITAS UNIT!D35"")"),"Refli Rezka Julianda")</f>
        <v>Refli Rezka Julianda</v>
      </c>
      <c r="M1030" s="99">
        <f ca="1">IFERROR(__xludf.DUMMYFUNCTION("IMPORTRANGE(H1030,""IDENTITAS UNIT!F35"")"),2000022045)</f>
        <v>2000022045</v>
      </c>
    </row>
    <row r="1031" spans="1:13" ht="49.5">
      <c r="A1031" s="4" t="str">
        <v>Reguler Periode ke-119 XXII.A.1</v>
      </c>
      <c r="B1031" s="4" t="str">
        <v>Reguler Periode ke-119</v>
      </c>
      <c r="C1031" s="4" t="str">
        <v>XXII.A.1</v>
      </c>
      <c r="D1031" s="101" t="str">
        <v>https://drive.google.com/open?id=1uNIGa0BmylAikCZTRfDYS7Z0d1-o7ET-2vGbGpJLHnQ&amp;usp=drive_copy</v>
      </c>
      <c r="E1031" s="101" t="str">
        <v>https://drive.google.com/open?id=1uNIGa0BmylAikCZTRfDYS7Z0d1-o7ET-2vGbGpJLHnQ</v>
      </c>
      <c r="F1031" s="103" t="str">
        <f ca="1">IFERROR(__xludf.DUMMYFUNCTION("IMPORTRANGE(H1031,""IDENTITAS UNIT!D9"")"),"https://maps.app.goo.gl/xyJS6SNQ6sYFXx4V9")</f>
        <v>https://maps.app.goo.gl/xyJS6SNQ6sYFXx4V9</v>
      </c>
      <c r="G1031" s="4" t="s">
        <v>13476</v>
      </c>
      <c r="H1031" s="101" t="str">
        <v>https://docs.google.com/spreadsheets/d/1uNIGa0BmylAikCZTRfDYS7Z0d1-o7ET-2vGbGpJLHnQ</v>
      </c>
      <c r="I1031" s="101" t="str">
        <v>https://docs.google.com/open?id=1uNIGa0BmylAikCZTRfDYS7Z0d1-o7ET-2vGbGpJLHnQ</v>
      </c>
      <c r="J1031" s="4" t="str">
        <v>Ngaran Timur, Banjarsari, Samigaluh</v>
      </c>
      <c r="L1031" s="99" t="str">
        <f ca="1">IFERROR(__xludf.DUMMYFUNCTION("IMPORTRANGE(H1031,""IDENTITAS UNIT!D35"")"),"Arya Permana Salaka")</f>
        <v>Arya Permana Salaka</v>
      </c>
      <c r="M1031" s="99">
        <f ca="1">IFERROR(__xludf.DUMMYFUNCTION("IMPORTRANGE(H1031,""IDENTITAS UNIT!F35"")"),2000024255)</f>
        <v>2000024255</v>
      </c>
    </row>
    <row r="1032" spans="1:13" ht="49.5">
      <c r="A1032" s="4" t="str">
        <v>Reguler Periode ke-119 XXII.A.2</v>
      </c>
      <c r="B1032" s="4" t="str">
        <v>Reguler Periode ke-119</v>
      </c>
      <c r="C1032" s="4" t="str">
        <v>XXII.A.2</v>
      </c>
      <c r="D1032" s="101" t="str">
        <v>https://drive.google.com/open?id=1VEK6lO97nwgpRksBKriuYQTICvxPgONd5ViVz6GtCvU&amp;usp=drive_copy</v>
      </c>
      <c r="E1032" s="101" t="str">
        <v>https://drive.google.com/open?id=1VEK6lO97nwgpRksBKriuYQTICvxPgONd5ViVz6GtCvU</v>
      </c>
      <c r="F1032" s="103" t="str">
        <f ca="1">IFERROR(__xludf.DUMMYFUNCTION("IMPORTRANGE(H1032,""IDENTITAS UNIT!D9"")"),"https://goo.gl/maps/DmGbz9tpn3o2XdkU7")</f>
        <v>https://goo.gl/maps/DmGbz9tpn3o2XdkU7</v>
      </c>
      <c r="G1032" s="4" t="s">
        <v>13477</v>
      </c>
      <c r="H1032" s="101" t="str">
        <v>https://docs.google.com/spreadsheets/d/1VEK6lO97nwgpRksBKriuYQTICvxPgONd5ViVz6GtCvU</v>
      </c>
      <c r="I1032" s="101" t="str">
        <v>https://docs.google.com/open?id=1VEK6lO97nwgpRksBKriuYQTICvxPgONd5ViVz6GtCvU</v>
      </c>
      <c r="J1032" s="4" t="str">
        <v>Kaliwunglon, Banjarsari, Samigaluh</v>
      </c>
      <c r="L1032" s="99" t="str">
        <f ca="1">IFERROR(__xludf.DUMMYFUNCTION("IMPORTRANGE(H1032,""IDENTITAS UNIT!D35"")"),"Moh Nasiruddin")</f>
        <v>Moh Nasiruddin</v>
      </c>
      <c r="M1032" s="99">
        <f ca="1">IFERROR(__xludf.DUMMYFUNCTION("IMPORTRANGE(H1032,""IDENTITAS UNIT!F35"")"),1900008049)</f>
        <v>1900008049</v>
      </c>
    </row>
    <row r="1033" spans="1:13" ht="16.5" hidden="1">
      <c r="A1033" s="4" t="str">
        <v xml:space="preserve"> </v>
      </c>
      <c r="B1033" s="4">
        <v>0</v>
      </c>
      <c r="C1033" s="4">
        <v>0</v>
      </c>
      <c r="D1033" s="4">
        <v>0</v>
      </c>
      <c r="E1033" s="4" t="str">
        <v>0</v>
      </c>
      <c r="F1033" s="102" t="str">
        <f ca="1">IFERROR(__xludf.DUMMYFUNCTION("IMPORTRANGE(H1033,""IDENTITAS UNIT!D9"")"),"#N/A")</f>
        <v>#N/A</v>
      </c>
      <c r="H1033" s="4" t="str">
        <v>0</v>
      </c>
      <c r="I1033" s="4" t="str">
        <v>0</v>
      </c>
      <c r="J1033" s="4">
        <v>0</v>
      </c>
      <c r="L1033" s="99" t="str">
        <f ca="1">IFERROR(__xludf.DUMMYFUNCTION("IMPORTRANGE(H1033,""IDENTITAS UNIT!D35"")"),"#N/A")</f>
        <v>#N/A</v>
      </c>
    </row>
    <row r="1034" spans="1:13" ht="49.5" hidden="1">
      <c r="A1034" s="4" t="str">
        <v>Reguler Periode ke-121 I.A.1</v>
      </c>
      <c r="B1034" s="4" t="str">
        <v>Reguler Periode ke-121</v>
      </c>
      <c r="C1034" s="4" t="str">
        <v>I.A.1</v>
      </c>
      <c r="D1034" s="101" t="str">
        <v>https://drive.google.com/open?id=1tIX7CR72CMcniyd5f-f6DZd34NVygmN7eq59zwbplgE&amp;usp=drive_copy</v>
      </c>
      <c r="E1034" s="101" t="str">
        <v>https://drive.google.com/open?id=1tIX7CR72CMcniyd5f-f6DZd34NVygmN7eq59zwbplgE</v>
      </c>
      <c r="F1034" s="103" t="str">
        <f ca="1">IFERROR(__xludf.DUMMYFUNCTION("IMPORTRANGE(H1034,""IDENTITAS UNIT!D9"")"),"https://maps.app.goo.gl/RRKeJ85zYy72sTtA8")</f>
        <v>https://maps.app.goo.gl/RRKeJ85zYy72sTtA8</v>
      </c>
      <c r="G1034" s="4" t="s">
        <v>13478</v>
      </c>
      <c r="H1034" s="101" t="str">
        <v>https://docs.google.com/spreadsheets/d/1tIX7CR72CMcniyd5f-f6DZd34NVygmN7eq59zwbplgE</v>
      </c>
      <c r="I1034" s="101" t="str">
        <v>https://docs.google.com/open?id=1tIX7CR72CMcniyd5f-f6DZd34NVygmN7eq59zwbplgE</v>
      </c>
      <c r="J1034" s="4" t="str">
        <v>Songserm Sasana Vittaya School, Thailand</v>
      </c>
      <c r="L1034" s="99" t="str">
        <f ca="1">IFERROR(__xludf.DUMMYFUNCTION("IMPORTRANGE(H1034,""IDENTITAS UNIT!D35"")"),"")</f>
        <v/>
      </c>
    </row>
    <row r="1035" spans="1:13" ht="16.5" hidden="1">
      <c r="A1035" s="4" t="str">
        <v xml:space="preserve"> </v>
      </c>
      <c r="B1035" s="4">
        <v>0</v>
      </c>
      <c r="C1035" s="4">
        <v>0</v>
      </c>
      <c r="D1035" s="4">
        <v>0</v>
      </c>
      <c r="E1035" s="4" t="str">
        <v>0</v>
      </c>
      <c r="F1035" s="102" t="str">
        <f ca="1">IFERROR(__xludf.DUMMYFUNCTION("IMPORTRANGE(H1035,""IDENTITAS UNIT!D9"")"),"#N/A")</f>
        <v>#N/A</v>
      </c>
      <c r="H1035" s="4" t="str">
        <v>0</v>
      </c>
      <c r="I1035" s="4" t="str">
        <v>0</v>
      </c>
      <c r="J1035" s="4">
        <v>0</v>
      </c>
      <c r="L1035" s="99" t="str">
        <f ca="1">IFERROR(__xludf.DUMMYFUNCTION("IMPORTRANGE(H1035,""IDENTITAS UNIT!D35"")"),"#N/A")</f>
        <v>#N/A</v>
      </c>
    </row>
    <row r="1036" spans="1:13" ht="33" hidden="1">
      <c r="A1036" s="4" t="str">
        <v>Reguler Periode ke-121 I.A.2</v>
      </c>
      <c r="B1036" s="4" t="str">
        <v>Reguler Periode ke-121</v>
      </c>
      <c r="C1036" s="4" t="str">
        <v>I.A.2</v>
      </c>
      <c r="D1036" s="101" t="str">
        <v>https://drive.google.com/open?id=1oduhaIf8fcwj-eWTKp7sVf9TAEuuoYJAHr0ygSM_pEo&amp;usp=drive_copy</v>
      </c>
      <c r="E1036" s="101" t="str">
        <v>https://drive.google.com/open?id=1oduhaIf8fcwj-eWTKp7sVf9TAEuuoYJAHr0ygSM_pEo</v>
      </c>
      <c r="F1036" s="102" t="str">
        <f ca="1">IFERROR(__xludf.DUMMYFUNCTION("IMPORTRANGE(H1036,""IDENTITAS UNIT!D9"")"),"Sangkhom Islam Wittaya school")</f>
        <v>Sangkhom Islam Wittaya school</v>
      </c>
      <c r="H1036" s="101" t="str">
        <v>https://docs.google.com/spreadsheets/d/1oduhaIf8fcwj-eWTKp7sVf9TAEuuoYJAHr0ygSM_pEo</v>
      </c>
      <c r="I1036" s="101" t="str">
        <v>https://docs.google.com/open?id=1oduhaIf8fcwj-eWTKp7sVf9TAEuuoYJAHr0ygSM_pEo</v>
      </c>
      <c r="J1036" s="4" t="str">
        <v>Sangkhom Islam Wittaya School, Thailand</v>
      </c>
      <c r="L1036" s="99" t="str">
        <f ca="1">IFERROR(__xludf.DUMMYFUNCTION("IMPORTRANGE(H1036,""IDENTITAS UNIT!D35"")"),"")</f>
        <v/>
      </c>
    </row>
    <row r="1037" spans="1:13" ht="16.5" hidden="1">
      <c r="A1037" s="4" t="str">
        <v xml:space="preserve"> </v>
      </c>
      <c r="B1037" s="4">
        <v>0</v>
      </c>
      <c r="C1037" s="4">
        <v>0</v>
      </c>
      <c r="D1037" s="4">
        <v>0</v>
      </c>
      <c r="E1037" s="4" t="str">
        <v>0</v>
      </c>
      <c r="F1037" s="102" t="str">
        <f ca="1">IFERROR(__xludf.DUMMYFUNCTION("IMPORTRANGE(H1037,""IDENTITAS UNIT!D9"")"),"#N/A")</f>
        <v>#N/A</v>
      </c>
      <c r="H1037" s="4" t="str">
        <v>0</v>
      </c>
      <c r="I1037" s="4" t="str">
        <v>0</v>
      </c>
      <c r="J1037" s="4">
        <v>0</v>
      </c>
      <c r="L1037" s="99" t="str">
        <f ca="1">IFERROR(__xludf.DUMMYFUNCTION("IMPORTRANGE(H1037,""IDENTITAS UNIT!D35"")"),"#N/A")</f>
        <v>#N/A</v>
      </c>
    </row>
    <row r="1038" spans="1:13" ht="49.5" hidden="1">
      <c r="A1038" s="4" t="str">
        <v>Reguler Periode ke-121 I.A.3</v>
      </c>
      <c r="B1038" s="4" t="str">
        <v>Reguler Periode ke-121</v>
      </c>
      <c r="C1038" s="4" t="str">
        <v>I.A.3</v>
      </c>
      <c r="D1038" s="101" t="str">
        <v>https://drive.google.com/open?id=19Ot4b1Pasvdp7KssnBJ3memm5REKtMdFm0X5sc7j1m0&amp;usp=drive_copy</v>
      </c>
      <c r="E1038" s="101" t="str">
        <v>https://drive.google.com/open?id=19Ot4b1Pasvdp7KssnBJ3memm5REKtMdFm0X5sc7j1m0</v>
      </c>
      <c r="F1038" s="103" t="str">
        <f ca="1">IFERROR(__xludf.DUMMYFUNCTION("IMPORTRANGE(H1038,""IDENTITAS UNIT!D9"")"),"https://maps.app.goo.gl/xX5Cx1vQG6aMzJ689")</f>
        <v>https://maps.app.goo.gl/xX5Cx1vQG6aMzJ689</v>
      </c>
      <c r="G1038" s="4" t="s">
        <v>13479</v>
      </c>
      <c r="H1038" s="101" t="str">
        <v>https://docs.google.com/spreadsheets/d/19Ot4b1Pasvdp7KssnBJ3memm5REKtMdFm0X5sc7j1m0</v>
      </c>
      <c r="I1038" s="101" t="str">
        <v>https://docs.google.com/open?id=19Ot4b1Pasvdp7KssnBJ3memm5REKtMdFm0X5sc7j1m0</v>
      </c>
      <c r="J1038" s="4" t="str">
        <v>Kalamullah School, Thailanda</v>
      </c>
      <c r="L1038" s="99" t="str">
        <f ca="1">IFERROR(__xludf.DUMMYFUNCTION("IMPORTRANGE(H1038,""IDENTITAS UNIT!D35"")"),"")</f>
        <v/>
      </c>
    </row>
    <row r="1039" spans="1:13" ht="198" hidden="1">
      <c r="A1039" s="4" t="str">
        <v>Reguler Periode ke-122 I.A.1</v>
      </c>
      <c r="B1039" s="4" t="str">
        <v>Reguler Periode ke-122</v>
      </c>
      <c r="C1039" s="4" t="str">
        <v>I.A.1</v>
      </c>
      <c r="D1039" s="101" t="str">
        <v>https://drive.google.com/open?id=1re7KxSnGoHPIfrfLhDeKI3Pa-2ni4BBKVJT3qrXGkWQ&amp;usp=drive_copy</v>
      </c>
      <c r="E1039" s="101" t="str">
        <v>https://drive.google.com/open?id=1re7KxSnGoHPIfrfLhDeKI3Pa-2ni4BBKVJT3qrXGkWQ</v>
      </c>
      <c r="F1039" s="103" t="str">
        <f ca="1">IFERROR(__xludf.DUMMYFUNCTION("IMPORTRANGE(H1039,""IDENTITAS UNIT!D9"")"),"https://www.google.co.id/maps/place/Dusun+Sorobali/@-8.7683272,118.8202931,15z/data=!3m1!4b1!4m6!3m5!1s0x2db579b9e497374b:0xe96ca93387e9d74b!8m2!3d-8.7683276!4d118.8387472!16s%2Fg%2F11pys8tyzg?entry=ttu")</f>
        <v>https://www.google.co.id/maps/place/Dusun+Sorobali/@-8.7683272,118.8202931,15z/data=!3m1!4b1!4m6!3m5!1s0x2db579b9e497374b:0xe96ca93387e9d74b!8m2!3d-8.7683276!4d118.8387472!16s%2Fg%2F11pys8tyzg?entry=ttu</v>
      </c>
      <c r="G1039" s="4" t="s">
        <v>13480</v>
      </c>
      <c r="H1039" s="101" t="str">
        <v>https://docs.google.com/spreadsheets/d/1re7KxSnGoHPIfrfLhDeKI3Pa-2ni4BBKVJT3qrXGkWQ</v>
      </c>
      <c r="I1039" s="101" t="str">
        <v>https://docs.google.com/open?id=1re7KxSnGoHPIfrfLhDeKI3Pa-2ni4BBKVJT3qrXGkWQ</v>
      </c>
      <c r="J1039" s="4" t="str">
        <v>Sorobali, Karampi, Langgudu</v>
      </c>
      <c r="L1039" s="99" t="str">
        <f ca="1">IFERROR(__xludf.DUMMYFUNCTION("IMPORTRANGE(H1039,""IDENTITAS UNIT!D35"")"),"")</f>
        <v/>
      </c>
    </row>
    <row r="1040" spans="1:13" ht="49.5" hidden="1">
      <c r="A1040" s="4" t="str">
        <v>Reguler Periode ke-122 I.A.2</v>
      </c>
      <c r="B1040" s="4" t="str">
        <v>Reguler Periode ke-122</v>
      </c>
      <c r="C1040" s="4" t="str">
        <v>I.A.2</v>
      </c>
      <c r="D1040" s="101" t="str">
        <v>https://drive.google.com/open?id=1fyOZhUTnosGJ4s8TnmySKCKTgZ7tnssCaHs9nyUUHkU&amp;usp=drive_copy</v>
      </c>
      <c r="E1040" s="101" t="str">
        <v>https://drive.google.com/open?id=1fyOZhUTnosGJ4s8TnmySKCKTgZ7tnssCaHs9nyUUHkU</v>
      </c>
      <c r="F1040" s="103" t="str">
        <f ca="1">IFERROR(__xludf.DUMMYFUNCTION("IMPORTRANGE(H1040,""IDENTITAS UNIT!D9"")"),"https://maps.app.goo.gl/Bu6K9oXefGtUJgqH8?g_st=ic")</f>
        <v>https://maps.app.goo.gl/Bu6K9oXefGtUJgqH8?g_st=ic</v>
      </c>
      <c r="G1040" s="4" t="s">
        <v>13481</v>
      </c>
      <c r="H1040" s="101" t="str">
        <v>https://docs.google.com/spreadsheets/d/1fyOZhUTnosGJ4s8TnmySKCKTgZ7tnssCaHs9nyUUHkU</v>
      </c>
      <c r="I1040" s="101" t="str">
        <v>https://docs.google.com/open?id=1fyOZhUTnosGJ4s8TnmySKCKTgZ7tnssCaHs9nyUUHkU</v>
      </c>
      <c r="J1040" s="4" t="str">
        <v>Oi Temba, Karampi, Langgudu</v>
      </c>
      <c r="L1040" s="99" t="str">
        <f ca="1">IFERROR(__xludf.DUMMYFUNCTION("IMPORTRANGE(H1040,""IDENTITAS UNIT!D35"")"),"")</f>
        <v/>
      </c>
    </row>
    <row r="1041" spans="1:12" ht="49.5" hidden="1">
      <c r="A1041" s="4" t="str">
        <v>Reguler Periode ke-122 I.A.3</v>
      </c>
      <c r="B1041" s="4" t="str">
        <v>Reguler Periode ke-122</v>
      </c>
      <c r="C1041" s="4" t="str">
        <v>I.A.3</v>
      </c>
      <c r="D1041" s="101" t="str">
        <v>https://drive.google.com/open?id=16wByBKkq54MlVMp5UkjlFbElc_thB7GBJgwUFmV5emU&amp;usp=drive_copy</v>
      </c>
      <c r="E1041" s="101" t="str">
        <v>https://drive.google.com/open?id=16wByBKkq54MlVMp5UkjlFbElc_thB7GBJgwUFmV5emU</v>
      </c>
      <c r="F1041" s="103" t="str">
        <f ca="1">IFERROR(__xludf.DUMMYFUNCTION("IMPORTRANGE(H1041,""IDENTITAS UNIT!D9"")"),"https://maps.app.goo.gl/imcgfbS6hAJxED418")</f>
        <v>https://maps.app.goo.gl/imcgfbS6hAJxED418</v>
      </c>
      <c r="G1041" s="4" t="s">
        <v>13482</v>
      </c>
      <c r="H1041" s="101" t="str">
        <v>https://docs.google.com/spreadsheets/d/16wByBKkq54MlVMp5UkjlFbElc_thB7GBJgwUFmV5emU</v>
      </c>
      <c r="I1041" s="101" t="str">
        <v>https://docs.google.com/open?id=16wByBKkq54MlVMp5UkjlFbElc_thB7GBJgwUFmV5emU</v>
      </c>
      <c r="J1041" s="4" t="str">
        <v>Mamba Na'e, Karampi, Langgudu</v>
      </c>
      <c r="L1041" s="99" t="str">
        <f ca="1">IFERROR(__xludf.DUMMYFUNCTION("IMPORTRANGE(H1041,""IDENTITAS UNIT!D35"")"),"")</f>
        <v/>
      </c>
    </row>
    <row r="1042" spans="1:12" ht="49.5" hidden="1">
      <c r="A1042" s="4" t="str">
        <v>Reguler Periode ke-122 I.A.4</v>
      </c>
      <c r="B1042" s="4" t="str">
        <v>Reguler Periode ke-122</v>
      </c>
      <c r="C1042" s="4" t="str">
        <v>I.A.4</v>
      </c>
      <c r="D1042" s="101" t="str">
        <v>https://drive.google.com/open?id=1YG8FCFfb_7C-VhPVWkjgcqsqSOCY3bVI7QNYB_FGnz0&amp;usp=drive_copy</v>
      </c>
      <c r="E1042" s="101" t="str">
        <v>https://drive.google.com/open?id=1YG8FCFfb_7C-VhPVWkjgcqsqSOCY3bVI7QNYB_FGnz0</v>
      </c>
      <c r="F1042" s="103" t="str">
        <f ca="1">IFERROR(__xludf.DUMMYFUNCTION("IMPORTRANGE(H1042,""IDENTITAS UNIT!D9"")"),"https://maps.app.goo.gl/Cid8eMxkPWGfj2QM9")</f>
        <v>https://maps.app.goo.gl/Cid8eMxkPWGfj2QM9</v>
      </c>
      <c r="G1042" s="4" t="s">
        <v>13483</v>
      </c>
      <c r="H1042" s="101" t="str">
        <v>https://docs.google.com/spreadsheets/d/1YG8FCFfb_7C-VhPVWkjgcqsqSOCY3bVI7QNYB_FGnz0</v>
      </c>
      <c r="I1042" s="101" t="str">
        <v>https://docs.google.com/open?id=1YG8FCFfb_7C-VhPVWkjgcqsqSOCY3bVI7QNYB_FGnz0</v>
      </c>
      <c r="J1042" s="4" t="str">
        <v>Nanga Ni'u, Karampi, Langgudu</v>
      </c>
      <c r="L1042" s="99" t="str">
        <f ca="1">IFERROR(__xludf.DUMMYFUNCTION("IMPORTRANGE(H1042,""IDENTITAS UNIT!D35"")"),"")</f>
        <v/>
      </c>
    </row>
    <row r="1043" spans="1:12" ht="49.5" hidden="1">
      <c r="A1043" s="4" t="str">
        <v>Alternatif Periode ke-90 I.A.1</v>
      </c>
      <c r="B1043" s="4" t="str">
        <v>Alternatif Periode ke-90</v>
      </c>
      <c r="C1043" s="4" t="str">
        <v>I.A.1</v>
      </c>
      <c r="D1043" s="101" t="str">
        <v>https://drive.google.com/open?id=1m9EJVnohl8ykmPyQm0Pl1-APfkFQXT33tLPGtmrrR18&amp;usp=drive_copy</v>
      </c>
      <c r="E1043" s="101" t="str">
        <v>https://drive.google.com/open?id=1m9EJVnohl8ykmPyQm0Pl1-APfkFQXT33tLPGtmrrR18</v>
      </c>
      <c r="F1043" s="103" t="str">
        <f ca="1">IFERROR(__xludf.DUMMYFUNCTION("IMPORTRANGE(H1043,""IDENTITAS UNIT!D9"")"),"https://maps.app.goo.gl/AhgPQDD7mqH8ep4B9")</f>
        <v>https://maps.app.goo.gl/AhgPQDD7mqH8ep4B9</v>
      </c>
      <c r="H1043" s="101" t="str">
        <v>https://docs.google.com/spreadsheets/d/1m9EJVnohl8ykmPyQm0Pl1-APfkFQXT33tLPGtmrrR18</v>
      </c>
      <c r="I1043" s="101" t="str">
        <v>https://docs.google.com/open?id=1m9EJVnohl8ykmPyQm0Pl1-APfkFQXT33tLPGtmrrR18</v>
      </c>
      <c r="J1043" s="4" t="str">
        <v>Masjid Al-Furqon dan Masjid Al-Muhajirin , Pelemwulung, Banguntapan</v>
      </c>
      <c r="L1043" s="99" t="str">
        <f ca="1">IFERROR(__xludf.DUMMYFUNCTION("IMPORTRANGE(H1043,""IDENTITAS UNIT!D35"")"),"")</f>
        <v/>
      </c>
    </row>
    <row r="1044" spans="1:12" ht="49.5" hidden="1">
      <c r="A1044" s="4" t="str">
        <v>Alternatif Periode ke-90 I.A.2</v>
      </c>
      <c r="B1044" s="4" t="str">
        <v>Alternatif Periode ke-90</v>
      </c>
      <c r="C1044" s="4" t="str">
        <v>I.A.2</v>
      </c>
      <c r="D1044" s="101" t="str">
        <v>https://drive.google.com/open?id=1-NeEg7nf50XdGCSRBd2N1t-YTNjzk_8fBvgLsdFhFGU&amp;usp=drive_copy</v>
      </c>
      <c r="E1044" s="101" t="str">
        <v>https://drive.google.com/open?id=1-NeEg7nf50XdGCSRBd2N1t-YTNjzk_8fBvgLsdFhFGU</v>
      </c>
      <c r="F1044" s="103" t="str">
        <f ca="1">IFERROR(__xludf.DUMMYFUNCTION("IMPORTRANGE(H1044,""IDENTITAS UNIT!D9"")"),"https://maps.app.goo.gl/HSAybfMW1KUjPnQ36")</f>
        <v>https://maps.app.goo.gl/HSAybfMW1KUjPnQ36</v>
      </c>
      <c r="H1044" s="101" t="str">
        <v>https://docs.google.com/spreadsheets/d/1-NeEg7nf50XdGCSRBd2N1t-YTNjzk_8fBvgLsdFhFGU</v>
      </c>
      <c r="I1044" s="101" t="str">
        <v>https://docs.google.com/open?id=1-NeEg7nf50XdGCSRBd2N1t-YTNjzk_8fBvgLsdFhFGU</v>
      </c>
      <c r="J1044" s="4" t="str">
        <v>Masjid Al-Huda , Pelemwulung, Banguntapan</v>
      </c>
      <c r="L1044" s="99" t="str">
        <f ca="1">IFERROR(__xludf.DUMMYFUNCTION("IMPORTRANGE(H1044,""IDENTITAS UNIT!D35"")"),"")</f>
        <v/>
      </c>
    </row>
    <row r="1045" spans="1:12" ht="49.5" hidden="1">
      <c r="A1045" s="4" t="str">
        <v>Alternatif Periode ke-90 I.A.3</v>
      </c>
      <c r="B1045" s="4" t="str">
        <v>Alternatif Periode ke-90</v>
      </c>
      <c r="C1045" s="4" t="str">
        <v>I.A.3</v>
      </c>
      <c r="D1045" s="101" t="str">
        <v>https://drive.google.com/open?id=1CpCz0vLXMG11zC0rqWrZ5tvBrokKpg166AxbWCplO_g&amp;usp=drive_copy</v>
      </c>
      <c r="E1045" s="101" t="str">
        <v>https://drive.google.com/open?id=1CpCz0vLXMG11zC0rqWrZ5tvBrokKpg166AxbWCplO_g</v>
      </c>
      <c r="F1045" s="103" t="str">
        <f ca="1">IFERROR(__xludf.DUMMYFUNCTION("IMPORTRANGE(H1045,""IDENTITAS UNIT!D9"")"),"https://maps.app.goo.gl/cAYvM5CUMnGGSJ919")</f>
        <v>https://maps.app.goo.gl/cAYvM5CUMnGGSJ919</v>
      </c>
      <c r="H1045" s="101" t="str">
        <v>https://docs.google.com/spreadsheets/d/1CpCz0vLXMG11zC0rqWrZ5tvBrokKpg166AxbWCplO_g</v>
      </c>
      <c r="I1045" s="101" t="str">
        <v>https://docs.google.com/open?id=1CpCz0vLXMG11zC0rqWrZ5tvBrokKpg166AxbWCplO_g</v>
      </c>
      <c r="J1045" s="4" t="str">
        <v xml:space="preserve">Masjid Al-Hidayah, Jaranan, Banguntapan
</v>
      </c>
      <c r="L1045" s="99" t="str">
        <f ca="1">IFERROR(__xludf.DUMMYFUNCTION("IMPORTRANGE(H1045,""IDENTITAS UNIT!D35"")"),"")</f>
        <v/>
      </c>
    </row>
    <row r="1046" spans="1:12" ht="49.5" hidden="1">
      <c r="A1046" s="4" t="str">
        <v>Alternatif Periode ke-90 I.B.1</v>
      </c>
      <c r="B1046" s="4" t="str">
        <v>Alternatif Periode ke-90</v>
      </c>
      <c r="C1046" s="4" t="str">
        <v>I.B.1</v>
      </c>
      <c r="D1046" s="101" t="str">
        <v>https://drive.google.com/open?id=1aBTrGvbqltxSQtKd3zkmnYnyrZMF-P-VokD5amQDyMM&amp;usp=drive_copy</v>
      </c>
      <c r="E1046" s="101" t="str">
        <v>https://drive.google.com/open?id=1aBTrGvbqltxSQtKd3zkmnYnyrZMF-P-VokD5amQDyMM</v>
      </c>
      <c r="F1046" s="103" t="str">
        <f ca="1">IFERROR(__xludf.DUMMYFUNCTION("IMPORTRANGE(H1046,""IDENTITAS UNIT!D9"")"),"https://maps.app.goo.gl/bNipyMCXeThPK6HP6")</f>
        <v>https://maps.app.goo.gl/bNipyMCXeThPK6HP6</v>
      </c>
      <c r="H1046" s="101" t="str">
        <v>https://docs.google.com/spreadsheets/d/1aBTrGvbqltxSQtKd3zkmnYnyrZMF-P-VokD5amQDyMM</v>
      </c>
      <c r="I1046" s="101" t="str">
        <v>https://docs.google.com/open?id=1aBTrGvbqltxSQtKd3zkmnYnyrZMF-P-VokD5amQDyMM</v>
      </c>
      <c r="J1046" s="4" t="str">
        <v>Masjid Annur tegalsari, Jomblangan, Banguntapan</v>
      </c>
      <c r="L1046" s="99" t="str">
        <f ca="1">IFERROR(__xludf.DUMMYFUNCTION("IMPORTRANGE(H1046,""IDENTITAS UNIT!D35"")"),"")</f>
        <v/>
      </c>
    </row>
    <row r="1047" spans="1:12" ht="49.5" hidden="1">
      <c r="A1047" s="4" t="str">
        <v>Alternatif Periode ke-90 I.B.2</v>
      </c>
      <c r="B1047" s="4" t="str">
        <v>Alternatif Periode ke-90</v>
      </c>
      <c r="C1047" s="4" t="str">
        <v>I.B.2</v>
      </c>
      <c r="D1047" s="101" t="str">
        <v>https://drive.google.com/open?id=1hG1xZfWvrLZrkcDwtWpawuKV1-9Ijm0-E07otJ8fKBM&amp;usp=drive_copy</v>
      </c>
      <c r="E1047" s="101" t="str">
        <v>https://drive.google.com/open?id=1hG1xZfWvrLZrkcDwtWpawuKV1-9Ijm0-E07otJ8fKBM</v>
      </c>
      <c r="F1047" s="103" t="str">
        <f ca="1">IFERROR(__xludf.DUMMYFUNCTION("IMPORTRANGE(H1047,""IDENTITAS UNIT!D9"")"),"https://maps.app.goo.gl/2yVgM6KQEZ3Ce2Kj8")</f>
        <v>https://maps.app.goo.gl/2yVgM6KQEZ3Ce2Kj8</v>
      </c>
      <c r="H1047" s="101" t="str">
        <v>https://docs.google.com/spreadsheets/d/1hG1xZfWvrLZrkcDwtWpawuKV1-9Ijm0-E07otJ8fKBM</v>
      </c>
      <c r="I1047" s="101" t="str">
        <v>https://docs.google.com/open?id=1hG1xZfWvrLZrkcDwtWpawuKV1-9Ijm0-E07otJ8fKBM</v>
      </c>
      <c r="J1047" s="4" t="str">
        <v>Masjid Sunan Kalijaga (RT 03), Jomblangan, Banguntapan</v>
      </c>
      <c r="L1047" s="99" t="str">
        <f ca="1">IFERROR(__xludf.DUMMYFUNCTION("IMPORTRANGE(H1047,""IDENTITAS UNIT!D35"")"),"")</f>
        <v/>
      </c>
    </row>
    <row r="1048" spans="1:12" ht="198">
      <c r="A1048" s="4" t="str">
        <v>Reguler Periode ke-125 I.A.1</v>
      </c>
      <c r="B1048" s="4" t="str">
        <v>Reguler Periode ke-125</v>
      </c>
      <c r="C1048" s="4" t="str">
        <v>I.A.1</v>
      </c>
      <c r="D1048" s="101" t="str">
        <v>https://drive.google.com/open?id=1GS9yh4MIOl1HFEhjn8rVm8OzPUoBZg0WYu2bK_jBnpo&amp;usp=drive_copy</v>
      </c>
      <c r="E1048" s="101" t="str">
        <v>https://drive.google.com/open?id=1GS9yh4MIOl1HFEhjn8rVm8OzPUoBZg0WYu2bK_jBnpo</v>
      </c>
      <c r="F1048" s="103" t="str">
        <f ca="1">IFERROR(__xludf.DUMMYFUNCTION("IMPORTRANGE(H1048,""IDENTITAS UNIT!D9"")"),"https://www.google.com/maps/place/Nologaten/@-7.8191522,110.7020427,17z/data=!3m1!4b1!4m6!3m5!1s0x2e7a496c29f2e0d1:0x8d55028f6ed00f8a!8m2!3d-7.8191522!4d110.7020427!16s%2Fg%2F11h75kf2hd?entry=ttu")</f>
        <v>https://www.google.com/maps/place/Nologaten/@-7.8191522,110.7020427,17z/data=!3m1!4b1!4m6!3m5!1s0x2e7a496c29f2e0d1:0x8d55028f6ed00f8a!8m2!3d-7.8191522!4d110.7020427!16s%2Fg%2F11h75kf2hd?entry=ttu</v>
      </c>
      <c r="H1048" s="101" t="str">
        <v>https://docs.google.com/spreadsheets/d/1GS9yh4MIOl1HFEhjn8rVm8OzPUoBZg0WYu2bK_jBnpo</v>
      </c>
      <c r="I1048" s="101" t="str">
        <v>https://docs.google.com/open?id=1GS9yh4MIOl1HFEhjn8rVm8OzPUoBZg0WYu2bK_jBnpo</v>
      </c>
      <c r="J1048" s="4" t="str">
        <v>Masjid Al-Hadir, Nologaten, Jurangjero, Ngawen</v>
      </c>
      <c r="L1048" s="99" t="str">
        <f ca="1">IFERROR(__xludf.DUMMYFUNCTION("IMPORTRANGE(H1048,""IDENTITAS UNIT!D35"")"),"")</f>
        <v/>
      </c>
    </row>
    <row r="1049" spans="1:12" ht="198">
      <c r="A1049" s="4" t="str">
        <v>Reguler Periode ke-125 I.A.2</v>
      </c>
      <c r="B1049" s="4" t="str">
        <v>Reguler Periode ke-125</v>
      </c>
      <c r="C1049" s="4" t="str">
        <v>I.A.2</v>
      </c>
      <c r="D1049" s="101" t="str">
        <v>https://drive.google.com/open?id=1KSoKnWVe3zFAuUCet34CnYqcyzNaUQXMs3T0nYVQnLg&amp;usp=drive_copy</v>
      </c>
      <c r="E1049" s="101" t="str">
        <v>https://drive.google.com/open?id=1KSoKnWVe3zFAuUCet34CnYqcyzNaUQXMs3T0nYVQnLg</v>
      </c>
      <c r="F1049" s="103" t="str">
        <f ca="1">IFERROR(__xludf.DUMMYFUNCTION("IMPORTRANGE(H1049,""IDENTITAS UNIT!D9"")"),"https://www.google.com/maps/place/Nologaten/@-7.8191522,110.7020427,17z/data=!3m1!4b1!4m6!3m5!1s0x2e7a496c29f2e0d1:0x8d55028f6ed00f8a!8m2!3d-7.8191522!4d110.7020427!16s%2Fg%2F11h75kf2hd?entry=ttu")</f>
        <v>https://www.google.com/maps/place/Nologaten/@-7.8191522,110.7020427,17z/data=!3m1!4b1!4m6!3m5!1s0x2e7a496c29f2e0d1:0x8d55028f6ed00f8a!8m2!3d-7.8191522!4d110.7020427!16s%2Fg%2F11h75kf2hd?entry=ttu</v>
      </c>
      <c r="H1049" s="101" t="str">
        <v>https://docs.google.com/spreadsheets/d/1KSoKnWVe3zFAuUCet34CnYqcyzNaUQXMs3T0nYVQnLg</v>
      </c>
      <c r="I1049" s="101" t="str">
        <v>https://docs.google.com/open?id=1KSoKnWVe3zFAuUCet34CnYqcyzNaUQXMs3T0nYVQnLg</v>
      </c>
      <c r="J1049" s="4" t="str">
        <v>Masjid Al-Huda, Nologaten, Jurangjero, Ngawen</v>
      </c>
      <c r="L1049" s="99" t="str">
        <f ca="1">IFERROR(__xludf.DUMMYFUNCTION("IMPORTRANGE(H1049,""IDENTITAS UNIT!D35"")"),"")</f>
        <v/>
      </c>
    </row>
    <row r="1050" spans="1:12" ht="49.5">
      <c r="A1050" s="4" t="str">
        <v>Reguler Periode ke-125 I.A.3</v>
      </c>
      <c r="B1050" s="4" t="str">
        <v>Reguler Periode ke-125</v>
      </c>
      <c r="C1050" s="4" t="str">
        <v>I.A.3</v>
      </c>
      <c r="D1050" s="101" t="str">
        <v>https://drive.google.com/open?id=1gBEDRqZ-XUZ4pkRpGMoP6Zk6dOHbTSvD8I8Ya9tKuXc&amp;usp=drive_copy</v>
      </c>
      <c r="E1050" s="101" t="str">
        <v>https://drive.google.com/open?id=1gBEDRqZ-XUZ4pkRpGMoP6Zk6dOHbTSvD8I8Ya9tKuXc</v>
      </c>
      <c r="F1050" s="103" t="str">
        <f ca="1">IFERROR(__xludf.DUMMYFUNCTION("IMPORTRANGE(H1050,""IDENTITAS UNIT!D9"")"),"https://maps.app.goo.gl/uLPHpXAwtA9XeMfz6?g_st=iw")</f>
        <v>https://maps.app.goo.gl/uLPHpXAwtA9XeMfz6?g_st=iw</v>
      </c>
      <c r="H1050" s="101" t="str">
        <v>https://docs.google.com/spreadsheets/d/1gBEDRqZ-XUZ4pkRpGMoP6Zk6dOHbTSvD8I8Ya9tKuXc</v>
      </c>
      <c r="I1050" s="101" t="str">
        <v>https://docs.google.com/open?id=1gBEDRqZ-XUZ4pkRpGMoP6Zk6dOHbTSvD8I8Ya9tKuXc</v>
      </c>
      <c r="J1050" s="4" t="str">
        <v>Mushola Al-Ikhlas, Nologaten, Jurangjero, Ngawen</v>
      </c>
      <c r="L1050" s="99" t="str">
        <f ca="1">IFERROR(__xludf.DUMMYFUNCTION("IMPORTRANGE(H1050,""IDENTITAS UNIT!D35"")"),"")</f>
        <v/>
      </c>
    </row>
    <row r="1051" spans="1:12" ht="33">
      <c r="A1051" s="4" t="str">
        <v>Reguler Periode ke-125 I.A.4</v>
      </c>
      <c r="B1051" s="4" t="str">
        <v>Reguler Periode ke-125</v>
      </c>
      <c r="C1051" s="4" t="str">
        <v>I.A.4</v>
      </c>
      <c r="D1051" s="101" t="str">
        <v>https://drive.google.com/open?id=1MiyDZVUXj1utHEsf2iRrXi2eY-C05IHgCItJy3NjnaU&amp;usp=drive_copy</v>
      </c>
      <c r="E1051" s="101" t="str">
        <v>https://drive.google.com/open?id=1MiyDZVUXj1utHEsf2iRrXi2eY-C05IHgCItJy3NjnaU</v>
      </c>
      <c r="F1051" s="102" t="str">
        <f ca="1">IFERROR(__xludf.DUMMYFUNCTION("IMPORTRANGE(H1051,""IDENTITAS UNIT!D9"")"),"Masjid Al-Amin Purworejo")</f>
        <v>Masjid Al-Amin Purworejo</v>
      </c>
      <c r="H1051" s="101" t="str">
        <v>https://docs.google.com/spreadsheets/d/1MiyDZVUXj1utHEsf2iRrXi2eY-C05IHgCItJy3NjnaU</v>
      </c>
      <c r="I1051" s="101" t="str">
        <v>https://docs.google.com/open?id=1MiyDZVUXj1utHEsf2iRrXi2eY-C05IHgCItJy3NjnaU</v>
      </c>
      <c r="J1051" s="4" t="str">
        <v>Masjid Al-Amin, Purworejo, Jurangjero, Ngawen</v>
      </c>
      <c r="L1051" s="99" t="str">
        <f ca="1">IFERROR(__xludf.DUMMYFUNCTION("IMPORTRANGE(H1051,""IDENTITAS UNIT!D35"")"),"")</f>
        <v/>
      </c>
    </row>
    <row r="1052" spans="1:12" ht="49.5">
      <c r="A1052" s="4" t="str">
        <v>Reguler Periode ke-125 I.A.5</v>
      </c>
      <c r="B1052" s="4" t="str">
        <v>Reguler Periode ke-125</v>
      </c>
      <c r="C1052" s="4" t="str">
        <v>I.A.5</v>
      </c>
      <c r="D1052" s="101" t="str">
        <v>https://drive.google.com/open?id=1osIE4GcDxk6_15hdNrHtYNNdIHD9MeFX8rABG_0MUlg&amp;usp=drive_copy</v>
      </c>
      <c r="E1052" s="101" t="str">
        <v>https://drive.google.com/open?id=1osIE4GcDxk6_15hdNrHtYNNdIHD9MeFX8rABG_0MUlg</v>
      </c>
      <c r="F1052" s="103" t="str">
        <f ca="1">IFERROR(__xludf.DUMMYFUNCTION("IMPORTRANGE(H1052,""IDENTITAS UNIT!D9"")"),"https://maps.app.goo.gl/BmoapK7ThPTNJu5A7")</f>
        <v>https://maps.app.goo.gl/BmoapK7ThPTNJu5A7</v>
      </c>
      <c r="H1052" s="101" t="str">
        <v>https://docs.google.com/spreadsheets/d/1osIE4GcDxk6_15hdNrHtYNNdIHD9MeFX8rABG_0MUlg</v>
      </c>
      <c r="I1052" s="101" t="str">
        <v>https://docs.google.com/open?id=1osIE4GcDxk6_15hdNrHtYNNdIHD9MeFX8rABG_0MUlg</v>
      </c>
      <c r="J1052" s="4" t="str">
        <v>Mushola Baiturohman, Purworejo, Jurangjero, Ngawen</v>
      </c>
      <c r="L1052" s="99" t="str">
        <f ca="1">IFERROR(__xludf.DUMMYFUNCTION("IMPORTRANGE(H1052,""IDENTITAS UNIT!D35"")"),"")</f>
        <v/>
      </c>
    </row>
    <row r="1053" spans="1:12" ht="49.5">
      <c r="A1053" s="4" t="str">
        <v>Reguler Periode ke-125 I.A.6</v>
      </c>
      <c r="B1053" s="4" t="str">
        <v>Reguler Periode ke-125</v>
      </c>
      <c r="C1053" s="4" t="str">
        <v>I.A.6</v>
      </c>
      <c r="D1053" s="101" t="str">
        <v>https://drive.google.com/open?id=1yyWpoI7sekFdjRmZBdv2nk40V__VZXy6Nxa_RTxVxYU&amp;usp=drive_copy</v>
      </c>
      <c r="E1053" s="101" t="str">
        <v>https://drive.google.com/open?id=1yyWpoI7sekFdjRmZBdv2nk40V__VZXy6Nxa_RTxVxYU</v>
      </c>
      <c r="F1053" s="103" t="str">
        <f ca="1">IFERROR(__xludf.DUMMYFUNCTION("IMPORTRANGE(H1053,""IDENTITAS UNIT!D9"")"),"https://maps.app.goo.gl/hKWUYeVcvNBYMVTE6")</f>
        <v>https://maps.app.goo.gl/hKWUYeVcvNBYMVTE6</v>
      </c>
      <c r="H1053" s="101" t="str">
        <v>https://docs.google.com/spreadsheets/d/1yyWpoI7sekFdjRmZBdv2nk40V__VZXy6Nxa_RTxVxYU</v>
      </c>
      <c r="I1053" s="101" t="str">
        <v>https://docs.google.com/open?id=1yyWpoI7sekFdjRmZBdv2nk40V__VZXy6Nxa_RTxVxYU</v>
      </c>
      <c r="J1053" s="4" t="str">
        <v>Masjid Baiturohman, Jambu, Jurangjero, Ngawen</v>
      </c>
      <c r="L1053" s="99" t="str">
        <f ca="1">IFERROR(__xludf.DUMMYFUNCTION("IMPORTRANGE(H1053,""IDENTITAS UNIT!D35"")"),"")</f>
        <v/>
      </c>
    </row>
    <row r="1054" spans="1:12" ht="16.5" hidden="1">
      <c r="A1054" s="4" t="str">
        <v>Alternatif Periode ke-91 I.A.1</v>
      </c>
      <c r="B1054" s="4" t="str">
        <v>Alternatif Periode ke-91</v>
      </c>
      <c r="C1054" s="4" t="str">
        <v>I.A.1</v>
      </c>
      <c r="D1054" s="4">
        <v>0</v>
      </c>
      <c r="E1054" s="4" t="str">
        <v>0</v>
      </c>
      <c r="F1054" s="102" t="str">
        <f ca="1">IFERROR(__xludf.DUMMYFUNCTION("IMPORTRANGE(H1054,""IDENTITAS UNIT!D9"")"),"#N/A")</f>
        <v>#N/A</v>
      </c>
      <c r="H1054" s="4" t="str">
        <v>0</v>
      </c>
      <c r="I1054" s="4" t="str">
        <v>0</v>
      </c>
      <c r="J1054" s="4" t="str">
        <v>Tegalrejo</v>
      </c>
    </row>
    <row r="1055" spans="1:12" ht="16.5" hidden="1">
      <c r="A1055" s="4" t="str">
        <v>Alternatif Periode ke-91 I.A.2</v>
      </c>
      <c r="B1055" s="4" t="str">
        <v>Alternatif Periode ke-91</v>
      </c>
      <c r="C1055" s="4" t="str">
        <v>I.A.2</v>
      </c>
      <c r="D1055" s="4">
        <v>0</v>
      </c>
      <c r="E1055" s="4" t="str">
        <v>0</v>
      </c>
      <c r="F1055" s="102" t="str">
        <f ca="1">IFERROR(__xludf.DUMMYFUNCTION("IMPORTRANGE(H1055,""IDENTITAS UNIT!D9"")"),"#N/A")</f>
        <v>#N/A</v>
      </c>
      <c r="H1055" s="4" t="str">
        <v>0</v>
      </c>
      <c r="I1055" s="4" t="str">
        <v>0</v>
      </c>
      <c r="J1055" s="4" t="str">
        <v>Tegalrejo</v>
      </c>
    </row>
    <row r="1056" spans="1:12" ht="16.5" hidden="1">
      <c r="A1056" s="4" t="str">
        <v>Alternatif Periode ke-91 I.A.3</v>
      </c>
      <c r="B1056" s="4" t="str">
        <v>Alternatif Periode ke-91</v>
      </c>
      <c r="C1056" s="4" t="str">
        <v>I.A.3</v>
      </c>
      <c r="D1056" s="4">
        <v>0</v>
      </c>
      <c r="E1056" s="4" t="str">
        <v>0</v>
      </c>
      <c r="F1056" s="102" t="str">
        <f ca="1">IFERROR(__xludf.DUMMYFUNCTION("IMPORTRANGE(H1056,""IDENTITAS UNIT!D9"")"),"#N/A")</f>
        <v>#N/A</v>
      </c>
      <c r="H1056" s="4" t="str">
        <v>0</v>
      </c>
      <c r="I1056" s="4" t="str">
        <v>0</v>
      </c>
      <c r="J1056" s="4" t="str">
        <v>Tegalrejo</v>
      </c>
    </row>
    <row r="1057" spans="1:10" ht="16.5" hidden="1">
      <c r="A1057" s="4" t="str">
        <v>Alternatif Periode ke-91 I.B.1</v>
      </c>
      <c r="B1057" s="4" t="str">
        <v>Alternatif Periode ke-91</v>
      </c>
      <c r="C1057" s="4" t="str">
        <v>I.B.1</v>
      </c>
      <c r="D1057" s="4">
        <v>0</v>
      </c>
      <c r="E1057" s="4" t="str">
        <v>0</v>
      </c>
      <c r="F1057" s="102" t="str">
        <f ca="1">IFERROR(__xludf.DUMMYFUNCTION("IMPORTRANGE(H1057,""IDENTITAS UNIT!D9"")"),"#N/A")</f>
        <v>#N/A</v>
      </c>
      <c r="H1057" s="4" t="str">
        <v>0</v>
      </c>
      <c r="I1057" s="4" t="str">
        <v>0</v>
      </c>
      <c r="J1057" s="4" t="str">
        <v>Tegalrejo</v>
      </c>
    </row>
    <row r="1058" spans="1:10" ht="16.5" hidden="1">
      <c r="A1058" s="4" t="str">
        <v>Alternatif Periode ke-91 I.B.2</v>
      </c>
      <c r="B1058" s="4" t="str">
        <v>Alternatif Periode ke-91</v>
      </c>
      <c r="C1058" s="4" t="str">
        <v>I.B.2</v>
      </c>
      <c r="D1058" s="4">
        <v>0</v>
      </c>
      <c r="E1058" s="4" t="str">
        <v>0</v>
      </c>
      <c r="F1058" s="102" t="str">
        <f ca="1">IFERROR(__xludf.DUMMYFUNCTION("IMPORTRANGE(H1058,""IDENTITAS UNIT!D9"")"),"#N/A")</f>
        <v>#N/A</v>
      </c>
      <c r="H1058" s="4" t="str">
        <v>0</v>
      </c>
      <c r="I1058" s="4" t="str">
        <v>0</v>
      </c>
      <c r="J1058" s="4" t="str">
        <v>Tegalrejo</v>
      </c>
    </row>
    <row r="1059" spans="1:10" ht="16.5" hidden="1">
      <c r="A1059" s="4" t="str">
        <v>Alternatif Periode ke-91 I.B.3</v>
      </c>
      <c r="B1059" s="4" t="str">
        <v>Alternatif Periode ke-91</v>
      </c>
      <c r="C1059" s="4" t="str">
        <v>I.B.3</v>
      </c>
      <c r="D1059" s="4">
        <v>0</v>
      </c>
      <c r="E1059" s="4" t="str">
        <v>0</v>
      </c>
      <c r="F1059" s="102" t="str">
        <f ca="1">IFERROR(__xludf.DUMMYFUNCTION("IMPORTRANGE(H1059,""IDENTITAS UNIT!D9"")"),"#N/A")</f>
        <v>#N/A</v>
      </c>
      <c r="H1059" s="4" t="str">
        <v>0</v>
      </c>
      <c r="I1059" s="4" t="str">
        <v>0</v>
      </c>
      <c r="J1059" s="4" t="str">
        <v>Tegalrejo</v>
      </c>
    </row>
    <row r="1060" spans="1:10" ht="16.5" hidden="1">
      <c r="A1060" s="4" t="str">
        <v>Alternatif Periode ke-91 I.C.1</v>
      </c>
      <c r="B1060" s="4" t="str">
        <v>Alternatif Periode ke-91</v>
      </c>
      <c r="C1060" s="4" t="str">
        <v>I.C.1</v>
      </c>
      <c r="D1060" s="4">
        <v>0</v>
      </c>
      <c r="E1060" s="4" t="str">
        <v>0</v>
      </c>
      <c r="F1060" s="102" t="str">
        <f ca="1">IFERROR(__xludf.DUMMYFUNCTION("IMPORTRANGE(H1060,""IDENTITAS UNIT!D9"")"),"#N/A")</f>
        <v>#N/A</v>
      </c>
      <c r="H1060" s="4" t="str">
        <v>0</v>
      </c>
      <c r="I1060" s="4" t="str">
        <v>0</v>
      </c>
      <c r="J1060" s="4" t="str">
        <v>Tegalrejo</v>
      </c>
    </row>
    <row r="1061" spans="1:10" ht="16.5" hidden="1">
      <c r="A1061" s="4" t="str">
        <v>Alternatif Periode ke-91 I.C.2</v>
      </c>
      <c r="B1061" s="4" t="str">
        <v>Alternatif Periode ke-91</v>
      </c>
      <c r="C1061" s="4" t="str">
        <v>I.C.2</v>
      </c>
      <c r="D1061" s="4">
        <v>0</v>
      </c>
      <c r="E1061" s="4" t="str">
        <v>0</v>
      </c>
      <c r="F1061" s="102" t="str">
        <f ca="1">IFERROR(__xludf.DUMMYFUNCTION("IMPORTRANGE(H1061,""IDENTITAS UNIT!D9"")"),"#N/A")</f>
        <v>#N/A</v>
      </c>
      <c r="H1061" s="4" t="str">
        <v>0</v>
      </c>
      <c r="I1061" s="4" t="str">
        <v>0</v>
      </c>
      <c r="J1061" s="4" t="str">
        <v>Tegalrejo</v>
      </c>
    </row>
    <row r="1062" spans="1:10" ht="16.5" hidden="1">
      <c r="A1062" s="4" t="str">
        <v>Alternatif Periode ke-91 I.C.3</v>
      </c>
      <c r="B1062" s="4" t="str">
        <v>Alternatif Periode ke-91</v>
      </c>
      <c r="C1062" s="4" t="str">
        <v>I.C.3</v>
      </c>
      <c r="D1062" s="4">
        <v>0</v>
      </c>
      <c r="E1062" s="4" t="str">
        <v>0</v>
      </c>
      <c r="F1062" s="102" t="str">
        <f ca="1">IFERROR(__xludf.DUMMYFUNCTION("IMPORTRANGE(H1062,""IDENTITAS UNIT!D9"")"),"#N/A")</f>
        <v>#N/A</v>
      </c>
      <c r="H1062" s="4" t="str">
        <v>0</v>
      </c>
      <c r="I1062" s="4" t="str">
        <v>0</v>
      </c>
      <c r="J1062" s="4" t="str">
        <v>Tegalrejo</v>
      </c>
    </row>
    <row r="1063" spans="1:10" ht="16.5" hidden="1">
      <c r="A1063" s="4" t="str">
        <v>Alternatif Periode ke-91 I.D.1</v>
      </c>
      <c r="B1063" s="4" t="str">
        <v>Alternatif Periode ke-91</v>
      </c>
      <c r="C1063" s="4" t="str">
        <v>I.D.1</v>
      </c>
      <c r="D1063" s="4">
        <v>0</v>
      </c>
      <c r="E1063" s="4" t="str">
        <v>0</v>
      </c>
      <c r="F1063" s="102" t="str">
        <f ca="1">IFERROR(__xludf.DUMMYFUNCTION("IMPORTRANGE(H1063,""IDENTITAS UNIT!D9"")"),"#N/A")</f>
        <v>#N/A</v>
      </c>
      <c r="H1063" s="4" t="str">
        <v>0</v>
      </c>
      <c r="I1063" s="4" t="str">
        <v>0</v>
      </c>
      <c r="J1063" s="4" t="str">
        <v>Tegalrejo</v>
      </c>
    </row>
    <row r="1064" spans="1:10" ht="16.5" hidden="1">
      <c r="A1064" s="4" t="str">
        <v>Alternatif Periode ke-91 I.D.2</v>
      </c>
      <c r="B1064" s="4" t="str">
        <v>Alternatif Periode ke-91</v>
      </c>
      <c r="C1064" s="4" t="str">
        <v>I.D.2</v>
      </c>
      <c r="D1064" s="4">
        <v>0</v>
      </c>
      <c r="E1064" s="4" t="str">
        <v>0</v>
      </c>
      <c r="F1064" s="102" t="str">
        <f ca="1">IFERROR(__xludf.DUMMYFUNCTION("IMPORTRANGE(H1064,""IDENTITAS UNIT!D9"")"),"#N/A")</f>
        <v>#N/A</v>
      </c>
      <c r="H1064" s="4" t="str">
        <v>0</v>
      </c>
      <c r="I1064" s="4" t="str">
        <v>0</v>
      </c>
      <c r="J1064" s="4" t="str">
        <v>Tegalrejo</v>
      </c>
    </row>
    <row r="1065" spans="1:10" ht="16.5" hidden="1">
      <c r="A1065" s="4" t="str">
        <v>Alternatif Periode ke-91 I.D.3</v>
      </c>
      <c r="B1065" s="4" t="str">
        <v>Alternatif Periode ke-91</v>
      </c>
      <c r="C1065" s="4" t="str">
        <v>I.D.3</v>
      </c>
      <c r="D1065" s="4">
        <v>0</v>
      </c>
      <c r="E1065" s="4" t="str">
        <v>0</v>
      </c>
      <c r="F1065" s="102" t="str">
        <f ca="1">IFERROR(__xludf.DUMMYFUNCTION("IMPORTRANGE(H1065,""IDENTITAS UNIT!D9"")"),"#N/A")</f>
        <v>#N/A</v>
      </c>
      <c r="H1065" s="4" t="str">
        <v>0</v>
      </c>
      <c r="I1065" s="4" t="str">
        <v>0</v>
      </c>
      <c r="J1065" s="4" t="str">
        <v>Tegalrejo</v>
      </c>
    </row>
    <row r="1066" spans="1:10" ht="16.5" hidden="1">
      <c r="A1066" s="4" t="str">
        <v>Alternatif Periode ke-91 II.A.1</v>
      </c>
      <c r="B1066" s="4" t="str">
        <v>Alternatif Periode ke-91</v>
      </c>
      <c r="C1066" s="4" t="str">
        <v>II.A.1</v>
      </c>
      <c r="D1066" s="4">
        <v>0</v>
      </c>
      <c r="E1066" s="4" t="str">
        <v>0</v>
      </c>
      <c r="F1066" s="102" t="str">
        <f ca="1">IFERROR(__xludf.DUMMYFUNCTION("IMPORTRANGE(H1066,""IDENTITAS UNIT!D9"")"),"#N/A")</f>
        <v>#N/A</v>
      </c>
      <c r="H1066" s="4" t="str">
        <v>0</v>
      </c>
      <c r="I1066" s="4" t="str">
        <v>0</v>
      </c>
      <c r="J1066" s="4" t="str">
        <v>Tegalrejo</v>
      </c>
    </row>
    <row r="1067" spans="1:10" ht="16.5" hidden="1">
      <c r="A1067" s="4" t="str">
        <v>Alternatif Periode ke-91 II.A.2</v>
      </c>
      <c r="B1067" s="4" t="str">
        <v>Alternatif Periode ke-91</v>
      </c>
      <c r="C1067" s="4" t="str">
        <v>II.A.2</v>
      </c>
      <c r="D1067" s="4">
        <v>0</v>
      </c>
      <c r="E1067" s="4" t="str">
        <v>0</v>
      </c>
      <c r="F1067" s="102" t="str">
        <f ca="1">IFERROR(__xludf.DUMMYFUNCTION("IMPORTRANGE(H1067,""IDENTITAS UNIT!D9"")"),"#N/A")</f>
        <v>#N/A</v>
      </c>
      <c r="H1067" s="4" t="str">
        <v>0</v>
      </c>
      <c r="I1067" s="4" t="str">
        <v>0</v>
      </c>
      <c r="J1067" s="4" t="str">
        <v>Tegalrejo</v>
      </c>
    </row>
    <row r="1068" spans="1:10" ht="16.5" hidden="1">
      <c r="A1068" s="4" t="str">
        <v>Alternatif Periode ke-91 II.A.3</v>
      </c>
      <c r="B1068" s="4" t="str">
        <v>Alternatif Periode ke-91</v>
      </c>
      <c r="C1068" s="4" t="str">
        <v>II.A.3</v>
      </c>
      <c r="D1068" s="4">
        <v>0</v>
      </c>
      <c r="E1068" s="4" t="str">
        <v>0</v>
      </c>
      <c r="F1068" s="102" t="str">
        <f ca="1">IFERROR(__xludf.DUMMYFUNCTION("IMPORTRANGE(H1068,""IDENTITAS UNIT!D9"")"),"#N/A")</f>
        <v>#N/A</v>
      </c>
      <c r="H1068" s="4" t="str">
        <v>0</v>
      </c>
      <c r="I1068" s="4" t="str">
        <v>0</v>
      </c>
      <c r="J1068" s="4" t="str">
        <v>Tegalrejo</v>
      </c>
    </row>
    <row r="1069" spans="1:10" ht="16.5" hidden="1">
      <c r="A1069" s="4" t="str">
        <v>Alternatif Periode ke-91 II.B.1</v>
      </c>
      <c r="B1069" s="4" t="str">
        <v>Alternatif Periode ke-91</v>
      </c>
      <c r="C1069" s="4" t="str">
        <v>II.B.1</v>
      </c>
      <c r="D1069" s="4">
        <v>0</v>
      </c>
      <c r="E1069" s="4" t="str">
        <v>0</v>
      </c>
      <c r="F1069" s="102" t="str">
        <f ca="1">IFERROR(__xludf.DUMMYFUNCTION("IMPORTRANGE(H1069,""IDENTITAS UNIT!D9"")"),"#N/A")</f>
        <v>#N/A</v>
      </c>
      <c r="H1069" s="4" t="str">
        <v>0</v>
      </c>
      <c r="I1069" s="4" t="str">
        <v>0</v>
      </c>
      <c r="J1069" s="4" t="str">
        <v>Tegalrejo</v>
      </c>
    </row>
    <row r="1070" spans="1:10" ht="16.5" hidden="1">
      <c r="A1070" s="4" t="str">
        <v>Alternatif Periode ke-91 II.B.2</v>
      </c>
      <c r="B1070" s="4" t="str">
        <v>Alternatif Periode ke-91</v>
      </c>
      <c r="C1070" s="4" t="str">
        <v>II.B.2</v>
      </c>
      <c r="D1070" s="4">
        <v>0</v>
      </c>
      <c r="E1070" s="4" t="str">
        <v>0</v>
      </c>
      <c r="F1070" s="102" t="str">
        <f ca="1">IFERROR(__xludf.DUMMYFUNCTION("IMPORTRANGE(H1070,""IDENTITAS UNIT!D9"")"),"#N/A")</f>
        <v>#N/A</v>
      </c>
      <c r="H1070" s="4" t="str">
        <v>0</v>
      </c>
      <c r="I1070" s="4" t="str">
        <v>0</v>
      </c>
      <c r="J1070" s="4" t="str">
        <v>Tegalrejo</v>
      </c>
    </row>
    <row r="1071" spans="1:10" ht="16.5" hidden="1">
      <c r="A1071" s="4" t="str">
        <v>Alternatif Periode ke-91 II.B.3</v>
      </c>
      <c r="B1071" s="4" t="str">
        <v>Alternatif Periode ke-91</v>
      </c>
      <c r="C1071" s="4" t="str">
        <v>II.B.3</v>
      </c>
      <c r="D1071" s="4">
        <v>0</v>
      </c>
      <c r="E1071" s="4" t="str">
        <v>0</v>
      </c>
      <c r="F1071" s="102" t="str">
        <f ca="1">IFERROR(__xludf.DUMMYFUNCTION("IMPORTRANGE(H1071,""IDENTITAS UNIT!D9"")"),"#N/A")</f>
        <v>#N/A</v>
      </c>
      <c r="H1071" s="4" t="str">
        <v>0</v>
      </c>
      <c r="I1071" s="4" t="str">
        <v>0</v>
      </c>
      <c r="J1071" s="4" t="str">
        <v>Tegalrejo</v>
      </c>
    </row>
    <row r="1072" spans="1:10" ht="16.5" hidden="1">
      <c r="A1072" s="4" t="str">
        <v>Alternatif Periode ke-91 II.C.1</v>
      </c>
      <c r="B1072" s="4" t="str">
        <v>Alternatif Periode ke-91</v>
      </c>
      <c r="C1072" s="4" t="str">
        <v>II.C.1</v>
      </c>
      <c r="D1072" s="4">
        <v>0</v>
      </c>
      <c r="E1072" s="4" t="str">
        <v>0</v>
      </c>
      <c r="F1072" s="102" t="str">
        <f ca="1">IFERROR(__xludf.DUMMYFUNCTION("IMPORTRANGE(H1072,""IDENTITAS UNIT!D9"")"),"#N/A")</f>
        <v>#N/A</v>
      </c>
      <c r="H1072" s="4" t="str">
        <v>0</v>
      </c>
      <c r="I1072" s="4" t="str">
        <v>0</v>
      </c>
      <c r="J1072" s="4" t="str">
        <v>Tegalrejo</v>
      </c>
    </row>
    <row r="1073" spans="1:10" ht="16.5" hidden="1">
      <c r="A1073" s="4" t="str">
        <v>Alternatif Periode ke-91 II.C.2</v>
      </c>
      <c r="B1073" s="4" t="str">
        <v>Alternatif Periode ke-91</v>
      </c>
      <c r="C1073" s="4" t="str">
        <v>II.C.2</v>
      </c>
      <c r="D1073" s="4">
        <v>0</v>
      </c>
      <c r="E1073" s="4" t="str">
        <v>0</v>
      </c>
      <c r="F1073" s="102" t="str">
        <f ca="1">IFERROR(__xludf.DUMMYFUNCTION("IMPORTRANGE(H1073,""IDENTITAS UNIT!D9"")"),"#N/A")</f>
        <v>#N/A</v>
      </c>
      <c r="H1073" s="4" t="str">
        <v>0</v>
      </c>
      <c r="I1073" s="4" t="str">
        <v>0</v>
      </c>
      <c r="J1073" s="4" t="str">
        <v>Tegalrejo</v>
      </c>
    </row>
    <row r="1074" spans="1:10" ht="16.5" hidden="1">
      <c r="A1074" s="4" t="str">
        <v>Alternatif Periode ke-91 II.C.3</v>
      </c>
      <c r="B1074" s="4" t="str">
        <v>Alternatif Periode ke-91</v>
      </c>
      <c r="C1074" s="4" t="str">
        <v>II.C.3</v>
      </c>
      <c r="D1074" s="4">
        <v>0</v>
      </c>
      <c r="E1074" s="4" t="str">
        <v>0</v>
      </c>
      <c r="F1074" s="102" t="str">
        <f ca="1">IFERROR(__xludf.DUMMYFUNCTION("IMPORTRANGE(H1074,""IDENTITAS UNIT!D9"")"),"#N/A")</f>
        <v>#N/A</v>
      </c>
      <c r="H1074" s="4" t="str">
        <v>0</v>
      </c>
      <c r="I1074" s="4" t="str">
        <v>0</v>
      </c>
      <c r="J1074" s="4" t="str">
        <v>Tegalrejo</v>
      </c>
    </row>
    <row r="1075" spans="1:10" ht="16.5" hidden="1">
      <c r="A1075" s="4" t="str">
        <v>Alternatif Periode ke-91 II.D.1</v>
      </c>
      <c r="B1075" s="4" t="str">
        <v>Alternatif Periode ke-91</v>
      </c>
      <c r="C1075" s="4" t="str">
        <v>II.D.1</v>
      </c>
      <c r="D1075" s="4">
        <v>0</v>
      </c>
      <c r="E1075" s="4" t="str">
        <v>0</v>
      </c>
      <c r="F1075" s="102" t="str">
        <f ca="1">IFERROR(__xludf.DUMMYFUNCTION("IMPORTRANGE(H1075,""IDENTITAS UNIT!D9"")"),"#N/A")</f>
        <v>#N/A</v>
      </c>
      <c r="H1075" s="4" t="str">
        <v>0</v>
      </c>
      <c r="I1075" s="4" t="str">
        <v>0</v>
      </c>
      <c r="J1075" s="4" t="str">
        <v>Tegalrejo</v>
      </c>
    </row>
    <row r="1076" spans="1:10" ht="16.5" hidden="1">
      <c r="A1076" s="4" t="str">
        <v>Alternatif Periode ke-91 II.D.2</v>
      </c>
      <c r="B1076" s="4" t="str">
        <v>Alternatif Periode ke-91</v>
      </c>
      <c r="C1076" s="4" t="str">
        <v>II.D.2</v>
      </c>
      <c r="D1076" s="4">
        <v>0</v>
      </c>
      <c r="E1076" s="4" t="str">
        <v>0</v>
      </c>
      <c r="F1076" s="102" t="str">
        <f ca="1">IFERROR(__xludf.DUMMYFUNCTION("IMPORTRANGE(H1076,""IDENTITAS UNIT!D9"")"),"#N/A")</f>
        <v>#N/A</v>
      </c>
      <c r="H1076" s="4" t="str">
        <v>0</v>
      </c>
      <c r="I1076" s="4" t="str">
        <v>0</v>
      </c>
      <c r="J1076" s="4" t="str">
        <v>Tegalrejo</v>
      </c>
    </row>
    <row r="1077" spans="1:10" ht="16.5" hidden="1">
      <c r="A1077" s="4" t="str">
        <v>Alternatif Periode ke-91 II.D.3</v>
      </c>
      <c r="B1077" s="4" t="str">
        <v>Alternatif Periode ke-91</v>
      </c>
      <c r="C1077" s="4" t="str">
        <v>II.D.3</v>
      </c>
      <c r="D1077" s="4">
        <v>0</v>
      </c>
      <c r="E1077" s="4" t="str">
        <v>0</v>
      </c>
      <c r="F1077" s="102" t="str">
        <f ca="1">IFERROR(__xludf.DUMMYFUNCTION("IMPORTRANGE(H1077,""IDENTITAS UNIT!D9"")"),"#N/A")</f>
        <v>#N/A</v>
      </c>
      <c r="H1077" s="4" t="str">
        <v>0</v>
      </c>
      <c r="I1077" s="4" t="str">
        <v>0</v>
      </c>
      <c r="J1077" s="4" t="str">
        <v>Tegalrejo</v>
      </c>
    </row>
    <row r="1078" spans="1:10" ht="16.5" hidden="1">
      <c r="A1078" s="4" t="str">
        <v>Alternatif Periode ke-91 III.A.1</v>
      </c>
      <c r="B1078" s="4" t="str">
        <v>Alternatif Periode ke-91</v>
      </c>
      <c r="C1078" s="4" t="str">
        <v>III.A.1</v>
      </c>
      <c r="D1078" s="4">
        <v>0</v>
      </c>
      <c r="E1078" s="4" t="str">
        <v>0</v>
      </c>
      <c r="F1078" s="102" t="str">
        <f ca="1">IFERROR(__xludf.DUMMYFUNCTION("IMPORTRANGE(H1078,""IDENTITAS UNIT!D9"")"),"#N/A")</f>
        <v>#N/A</v>
      </c>
      <c r="H1078" s="4" t="str">
        <v>0</v>
      </c>
      <c r="I1078" s="4" t="str">
        <v>0</v>
      </c>
      <c r="J1078" s="4" t="str">
        <v>RW 4, Wirobrajan, Wirobrajan</v>
      </c>
    </row>
    <row r="1079" spans="1:10" ht="16.5" hidden="1">
      <c r="A1079" s="4" t="str">
        <v>Alternatif Periode ke-91 III.A.2</v>
      </c>
      <c r="B1079" s="4" t="str">
        <v>Alternatif Periode ke-91</v>
      </c>
      <c r="C1079" s="4" t="str">
        <v>III.A.2</v>
      </c>
      <c r="D1079" s="4">
        <v>0</v>
      </c>
      <c r="E1079" s="4" t="str">
        <v>0</v>
      </c>
      <c r="F1079" s="102" t="str">
        <f ca="1">IFERROR(__xludf.DUMMYFUNCTION("IMPORTRANGE(H1079,""IDENTITAS UNIT!D9"")"),"#N/A")</f>
        <v>#N/A</v>
      </c>
      <c r="H1079" s="4" t="str">
        <v>0</v>
      </c>
      <c r="I1079" s="4" t="str">
        <v>0</v>
      </c>
      <c r="J1079" s="4" t="str">
        <v>RW 9, Wirobrajan, Wirobrajan</v>
      </c>
    </row>
    <row r="1080" spans="1:10" ht="16.5" hidden="1">
      <c r="A1080" s="4" t="str">
        <v>Alternatif Periode ke-91 III.A.3</v>
      </c>
      <c r="B1080" s="4" t="str">
        <v>Alternatif Periode ke-91</v>
      </c>
      <c r="C1080" s="4" t="str">
        <v>III.A.3</v>
      </c>
      <c r="D1080" s="4">
        <v>0</v>
      </c>
      <c r="E1080" s="4" t="str">
        <v>0</v>
      </c>
      <c r="F1080" s="102" t="str">
        <f ca="1">IFERROR(__xludf.DUMMYFUNCTION("IMPORTRANGE(H1080,""IDENTITAS UNIT!D9"")"),"#N/A")</f>
        <v>#N/A</v>
      </c>
      <c r="H1080" s="4" t="str">
        <v>0</v>
      </c>
      <c r="I1080" s="4" t="str">
        <v>0</v>
      </c>
      <c r="J1080" s="4" t="str">
        <v>RW 12, Wirobrajan, Wirobrajan</v>
      </c>
    </row>
    <row r="1081" spans="1:10" ht="16.5" hidden="1">
      <c r="A1081" s="4" t="str">
        <v>Alternatif Periode ke-91 III.B.1</v>
      </c>
      <c r="B1081" s="4" t="str">
        <v>Alternatif Periode ke-91</v>
      </c>
      <c r="C1081" s="4" t="str">
        <v>III.B.1</v>
      </c>
      <c r="D1081" s="4">
        <v>0</v>
      </c>
      <c r="E1081" s="4" t="str">
        <v>0</v>
      </c>
      <c r="F1081" s="102" t="str">
        <f ca="1">IFERROR(__xludf.DUMMYFUNCTION("IMPORTRANGE(H1081,""IDENTITAS UNIT!D9"")"),"#N/A")</f>
        <v>#N/A</v>
      </c>
      <c r="H1081" s="4" t="str">
        <v>0</v>
      </c>
      <c r="I1081" s="4" t="str">
        <v>0</v>
      </c>
      <c r="J1081" s="4" t="str">
        <v>RW 6, Patangpuluhan, Wirobrajan</v>
      </c>
    </row>
    <row r="1082" spans="1:10" ht="16.5" hidden="1">
      <c r="A1082" s="4" t="str">
        <v>Alternatif Periode ke-91 III.B.2</v>
      </c>
      <c r="B1082" s="4" t="str">
        <v>Alternatif Periode ke-91</v>
      </c>
      <c r="C1082" s="4" t="str">
        <v>III.B.2</v>
      </c>
      <c r="D1082" s="4">
        <v>0</v>
      </c>
      <c r="E1082" s="4" t="str">
        <v>0</v>
      </c>
      <c r="F1082" s="102" t="str">
        <f ca="1">IFERROR(__xludf.DUMMYFUNCTION("IMPORTRANGE(H1082,""IDENTITAS UNIT!D9"")"),"#N/A")</f>
        <v>#N/A</v>
      </c>
      <c r="H1082" s="4" t="str">
        <v>0</v>
      </c>
      <c r="I1082" s="4" t="str">
        <v>0</v>
      </c>
      <c r="J1082" s="4" t="str">
        <v>RW 7, Patangpuluhan, Wirobrajan</v>
      </c>
    </row>
    <row r="1083" spans="1:10" ht="16.5" hidden="1">
      <c r="A1083" s="4" t="str">
        <v>Alternatif Periode ke-91 III.B.3</v>
      </c>
      <c r="B1083" s="4" t="str">
        <v>Alternatif Periode ke-91</v>
      </c>
      <c r="C1083" s="4" t="str">
        <v>III.B.3</v>
      </c>
      <c r="D1083" s="4">
        <v>0</v>
      </c>
      <c r="E1083" s="4" t="str">
        <v>0</v>
      </c>
      <c r="F1083" s="102" t="str">
        <f ca="1">IFERROR(__xludf.DUMMYFUNCTION("IMPORTRANGE(H1083,""IDENTITAS UNIT!D9"")"),"#N/A")</f>
        <v>#N/A</v>
      </c>
      <c r="H1083" s="4" t="str">
        <v>0</v>
      </c>
      <c r="I1083" s="4" t="str">
        <v>0</v>
      </c>
      <c r="J1083" s="4" t="str">
        <v>RW 10, Patangpuluhan, Wirobrajan</v>
      </c>
    </row>
    <row r="1084" spans="1:10" ht="16.5" hidden="1">
      <c r="A1084" s="4" t="str">
        <v>Alternatif Periode ke-91 III.C.1</v>
      </c>
      <c r="B1084" s="4" t="str">
        <v>Alternatif Periode ke-91</v>
      </c>
      <c r="C1084" s="4" t="str">
        <v>III.C.1</v>
      </c>
      <c r="D1084" s="4">
        <v>0</v>
      </c>
      <c r="E1084" s="4" t="str">
        <v>0</v>
      </c>
      <c r="F1084" s="102" t="str">
        <f ca="1">IFERROR(__xludf.DUMMYFUNCTION("IMPORTRANGE(H1084,""IDENTITAS UNIT!D9"")"),"#N/A")</f>
        <v>#N/A</v>
      </c>
      <c r="H1084" s="4" t="str">
        <v>0</v>
      </c>
      <c r="I1084" s="4" t="str">
        <v>0</v>
      </c>
      <c r="J1084" s="4" t="str">
        <v>RW 1, Pakuncen, Wirobrajan</v>
      </c>
    </row>
    <row r="1085" spans="1:10" ht="16.5" hidden="1">
      <c r="A1085" s="4" t="str">
        <v>Alternatif Periode ke-91 III.C.2</v>
      </c>
      <c r="B1085" s="4" t="str">
        <v>Alternatif Periode ke-91</v>
      </c>
      <c r="C1085" s="4" t="str">
        <v>III.C.2</v>
      </c>
      <c r="D1085" s="4">
        <v>0</v>
      </c>
      <c r="E1085" s="4" t="str">
        <v>0</v>
      </c>
      <c r="F1085" s="102" t="str">
        <f ca="1">IFERROR(__xludf.DUMMYFUNCTION("IMPORTRANGE(H1085,""IDENTITAS UNIT!D9"")"),"#N/A")</f>
        <v>#N/A</v>
      </c>
      <c r="H1085" s="4" t="str">
        <v>0</v>
      </c>
      <c r="I1085" s="4" t="str">
        <v>0</v>
      </c>
      <c r="J1085" s="4" t="str">
        <v>RW 7, Pakuncen, Wirobrajan</v>
      </c>
    </row>
    <row r="1086" spans="1:10" ht="16.5" hidden="1">
      <c r="A1086" s="4" t="str">
        <v>Alternatif Periode ke-91 III.D.1</v>
      </c>
      <c r="B1086" s="4" t="str">
        <v>Alternatif Periode ke-91</v>
      </c>
      <c r="C1086" s="4" t="str">
        <v>III.D.1</v>
      </c>
      <c r="D1086" s="4">
        <v>0</v>
      </c>
      <c r="E1086" s="4" t="str">
        <v>0</v>
      </c>
      <c r="F1086" s="102" t="str">
        <f ca="1">IFERROR(__xludf.DUMMYFUNCTION("IMPORTRANGE(H1086,""IDENTITAS UNIT!D9"")"),"#N/A")</f>
        <v>#N/A</v>
      </c>
      <c r="H1086" s="4" t="str">
        <v>0</v>
      </c>
      <c r="I1086" s="4" t="str">
        <v>0</v>
      </c>
      <c r="J1086" s="4" t="str">
        <v>RW 11, Pakuncen, Wirobrajan</v>
      </c>
    </row>
    <row r="1087" spans="1:10" ht="16.5" hidden="1">
      <c r="A1087" s="4" t="str">
        <v>Alternatif Periode ke-91 III.D.2</v>
      </c>
      <c r="B1087" s="4" t="str">
        <v>Alternatif Periode ke-91</v>
      </c>
      <c r="C1087" s="4" t="str">
        <v>III.D.2</v>
      </c>
      <c r="D1087" s="4">
        <v>0</v>
      </c>
      <c r="E1087" s="4" t="str">
        <v>0</v>
      </c>
      <c r="F1087" s="102" t="str">
        <f ca="1">IFERROR(__xludf.DUMMYFUNCTION("IMPORTRANGE(H1087,""IDENTITAS UNIT!D9"")"),"#N/A")</f>
        <v>#N/A</v>
      </c>
      <c r="H1087" s="4" t="str">
        <v>0</v>
      </c>
      <c r="I1087" s="4" t="str">
        <v>0</v>
      </c>
      <c r="J1087" s="4" t="str">
        <v>RW 9, Pakuncen, Wirobrajan</v>
      </c>
    </row>
    <row r="1088" spans="1:10" ht="16.5" hidden="1">
      <c r="A1088" s="4" t="str">
        <v xml:space="preserve"> </v>
      </c>
      <c r="B1088" s="4">
        <v>0</v>
      </c>
      <c r="C1088" s="4">
        <v>0</v>
      </c>
      <c r="D1088" s="4">
        <v>0</v>
      </c>
      <c r="E1088" s="4" t="str">
        <v>0</v>
      </c>
      <c r="F1088" s="102" t="str">
        <f ca="1">IFERROR(__xludf.DUMMYFUNCTION("IMPORTRANGE(H1088,""IDENTITAS UNIT!D9"")"),"#N/A")</f>
        <v>#N/A</v>
      </c>
      <c r="H1088" s="4" t="str">
        <v>0</v>
      </c>
      <c r="I1088" s="4" t="str">
        <v>0</v>
      </c>
      <c r="J1088" s="4">
        <v>0</v>
      </c>
    </row>
    <row r="1089" spans="1:10" ht="16.5" hidden="1">
      <c r="A1089" s="4" t="str">
        <v xml:space="preserve"> </v>
      </c>
      <c r="B1089" s="4">
        <v>0</v>
      </c>
      <c r="C1089" s="4">
        <v>0</v>
      </c>
      <c r="D1089" s="4">
        <v>0</v>
      </c>
      <c r="E1089" s="4" t="str">
        <v>0</v>
      </c>
      <c r="F1089" s="102" t="str">
        <f ca="1">IFERROR(__xludf.DUMMYFUNCTION("IMPORTRANGE(H1089,""IDENTITAS UNIT!D9"")"),"#N/A")</f>
        <v>#N/A</v>
      </c>
      <c r="H1089" s="4" t="str">
        <v>0</v>
      </c>
      <c r="I1089" s="4" t="str">
        <v>0</v>
      </c>
      <c r="J1089" s="4">
        <v>0</v>
      </c>
    </row>
    <row r="1090" spans="1:10" ht="16.5" hidden="1">
      <c r="A1090" s="4" t="str">
        <v xml:space="preserve"> </v>
      </c>
      <c r="B1090" s="4">
        <v>0</v>
      </c>
      <c r="C1090" s="4">
        <v>0</v>
      </c>
      <c r="D1090" s="4">
        <v>0</v>
      </c>
      <c r="E1090" s="4" t="str">
        <v>0</v>
      </c>
      <c r="F1090" s="102" t="str">
        <f ca="1">IFERROR(__xludf.DUMMYFUNCTION("IMPORTRANGE(H1090,""IDENTITAS UNIT!D9"")"),"#N/A")</f>
        <v>#N/A</v>
      </c>
      <c r="H1090" s="4" t="str">
        <v>0</v>
      </c>
      <c r="I1090" s="4" t="str">
        <v>0</v>
      </c>
      <c r="J1090" s="4">
        <v>0</v>
      </c>
    </row>
    <row r="1091" spans="1:10" ht="16.5" hidden="1">
      <c r="A1091" s="4" t="str">
        <v xml:space="preserve"> </v>
      </c>
      <c r="B1091" s="4">
        <v>0</v>
      </c>
      <c r="C1091" s="4">
        <v>0</v>
      </c>
      <c r="D1091" s="4">
        <v>0</v>
      </c>
      <c r="E1091" s="4" t="str">
        <v>0</v>
      </c>
      <c r="F1091" s="102" t="str">
        <f ca="1">IFERROR(__xludf.DUMMYFUNCTION("IMPORTRANGE(H1091,""IDENTITAS UNIT!D9"")"),"#N/A")</f>
        <v>#N/A</v>
      </c>
      <c r="H1091" s="4" t="str">
        <v>0</v>
      </c>
      <c r="I1091" s="4" t="str">
        <v>0</v>
      </c>
      <c r="J1091" s="4">
        <v>0</v>
      </c>
    </row>
    <row r="1092" spans="1:10" ht="16.5" hidden="1">
      <c r="A1092" s="4" t="str">
        <v xml:space="preserve"> </v>
      </c>
      <c r="B1092" s="4">
        <v>0</v>
      </c>
      <c r="C1092" s="4">
        <v>0</v>
      </c>
      <c r="D1092" s="4">
        <v>0</v>
      </c>
      <c r="E1092" s="4" t="str">
        <v>0</v>
      </c>
      <c r="F1092" s="102" t="str">
        <f ca="1">IFERROR(__xludf.DUMMYFUNCTION("IMPORTRANGE(H1092,""IDENTITAS UNIT!D9"")"),"#N/A")</f>
        <v>#N/A</v>
      </c>
      <c r="H1092" s="4" t="str">
        <v>0</v>
      </c>
      <c r="I1092" s="4" t="str">
        <v>0</v>
      </c>
      <c r="J1092" s="4">
        <v>0</v>
      </c>
    </row>
    <row r="1093" spans="1:10" ht="16.5" hidden="1">
      <c r="A1093" s="4" t="str">
        <v xml:space="preserve"> </v>
      </c>
      <c r="B1093" s="4">
        <v>0</v>
      </c>
      <c r="C1093" s="4">
        <v>0</v>
      </c>
      <c r="D1093" s="4">
        <v>0</v>
      </c>
      <c r="E1093" s="4" t="str">
        <v>0</v>
      </c>
      <c r="F1093" s="102" t="str">
        <f ca="1">IFERROR(__xludf.DUMMYFUNCTION("IMPORTRANGE(H1093,""IDENTITAS UNIT!D9"")"),"#N/A")</f>
        <v>#N/A</v>
      </c>
      <c r="H1093" s="4" t="str">
        <v>0</v>
      </c>
      <c r="I1093" s="4" t="str">
        <v>0</v>
      </c>
      <c r="J1093" s="4">
        <v>0</v>
      </c>
    </row>
    <row r="1094" spans="1:10" ht="16.5" hidden="1">
      <c r="A1094" s="4" t="str">
        <v xml:space="preserve"> </v>
      </c>
      <c r="B1094" s="4">
        <v>0</v>
      </c>
      <c r="C1094" s="4">
        <v>0</v>
      </c>
      <c r="D1094" s="4">
        <v>0</v>
      </c>
      <c r="E1094" s="4" t="str">
        <v>0</v>
      </c>
      <c r="F1094" s="102" t="str">
        <f ca="1">IFERROR(__xludf.DUMMYFUNCTION("IMPORTRANGE(H1094,""IDENTITAS UNIT!D9"")"),"#N/A")</f>
        <v>#N/A</v>
      </c>
      <c r="H1094" s="4" t="str">
        <v>0</v>
      </c>
      <c r="I1094" s="4" t="str">
        <v>0</v>
      </c>
      <c r="J1094" s="4">
        <v>0</v>
      </c>
    </row>
    <row r="1095" spans="1:10" ht="16.5" hidden="1">
      <c r="A1095" s="4" t="str">
        <v xml:space="preserve"> </v>
      </c>
      <c r="B1095" s="4">
        <v>0</v>
      </c>
      <c r="C1095" s="4">
        <v>0</v>
      </c>
      <c r="D1095" s="4">
        <v>0</v>
      </c>
      <c r="E1095" s="4" t="str">
        <v>0</v>
      </c>
      <c r="F1095" s="102" t="str">
        <f ca="1">IFERROR(__xludf.DUMMYFUNCTION("IMPORTRANGE(H1095,""IDENTITAS UNIT!D9"")"),"#N/A")</f>
        <v>#N/A</v>
      </c>
      <c r="H1095" s="4" t="str">
        <v>0</v>
      </c>
      <c r="I1095" s="4" t="str">
        <v>0</v>
      </c>
      <c r="J1095" s="4">
        <v>0</v>
      </c>
    </row>
    <row r="1096" spans="1:10" ht="16.5" hidden="1">
      <c r="A1096" s="4" t="str">
        <v xml:space="preserve"> </v>
      </c>
      <c r="B1096" s="4">
        <v>0</v>
      </c>
      <c r="C1096" s="4">
        <v>0</v>
      </c>
      <c r="D1096" s="4">
        <v>0</v>
      </c>
      <c r="E1096" s="4" t="str">
        <v>0</v>
      </c>
      <c r="F1096" s="102" t="str">
        <f ca="1">IFERROR(__xludf.DUMMYFUNCTION("IMPORTRANGE(H1096,""IDENTITAS UNIT!D9"")"),"#N/A")</f>
        <v>#N/A</v>
      </c>
      <c r="H1096" s="4" t="str">
        <v>0</v>
      </c>
      <c r="I1096" s="4" t="str">
        <v>0</v>
      </c>
      <c r="J1096" s="4">
        <v>0</v>
      </c>
    </row>
    <row r="1097" spans="1:10" ht="16.5" hidden="1">
      <c r="A1097" s="4" t="str">
        <v xml:space="preserve"> </v>
      </c>
      <c r="B1097" s="4">
        <v>0</v>
      </c>
      <c r="C1097" s="4">
        <v>0</v>
      </c>
      <c r="D1097" s="4">
        <v>0</v>
      </c>
      <c r="E1097" s="4" t="str">
        <v>0</v>
      </c>
      <c r="F1097" s="102" t="str">
        <f ca="1">IFERROR(__xludf.DUMMYFUNCTION("IMPORTRANGE(H1097,""IDENTITAS UNIT!D9"")"),"#N/A")</f>
        <v>#N/A</v>
      </c>
      <c r="H1097" s="4" t="str">
        <v>0</v>
      </c>
      <c r="I1097" s="4" t="str">
        <v>0</v>
      </c>
      <c r="J1097" s="4">
        <v>0</v>
      </c>
    </row>
    <row r="1098" spans="1:10" ht="16.5" hidden="1">
      <c r="A1098" s="4" t="str">
        <v xml:space="preserve"> </v>
      </c>
      <c r="B1098" s="4">
        <v>0</v>
      </c>
      <c r="C1098" s="4">
        <v>0</v>
      </c>
      <c r="D1098" s="4">
        <v>0</v>
      </c>
      <c r="E1098" s="4" t="str">
        <v>0</v>
      </c>
      <c r="F1098" s="102" t="str">
        <f ca="1">IFERROR(__xludf.DUMMYFUNCTION("IMPORTRANGE(H1098,""IDENTITAS UNIT!D9"")"),"#N/A")</f>
        <v>#N/A</v>
      </c>
      <c r="H1098" s="4" t="str">
        <v>0</v>
      </c>
      <c r="I1098" s="4" t="str">
        <v>0</v>
      </c>
      <c r="J1098" s="4">
        <v>0</v>
      </c>
    </row>
    <row r="1099" spans="1:10" ht="16.5" hidden="1">
      <c r="A1099" s="4" t="str">
        <v xml:space="preserve"> </v>
      </c>
      <c r="B1099" s="4">
        <v>0</v>
      </c>
      <c r="C1099" s="4">
        <v>0</v>
      </c>
      <c r="D1099" s="4">
        <v>0</v>
      </c>
      <c r="E1099" s="4" t="str">
        <v>0</v>
      </c>
      <c r="F1099" s="102" t="str">
        <f ca="1">IFERROR(__xludf.DUMMYFUNCTION("IMPORTRANGE(H1099,""IDENTITAS UNIT!D9"")"),"#N/A")</f>
        <v>#N/A</v>
      </c>
      <c r="H1099" s="4" t="str">
        <v>0</v>
      </c>
      <c r="I1099" s="4" t="str">
        <v>0</v>
      </c>
      <c r="J1099" s="4">
        <v>0</v>
      </c>
    </row>
    <row r="1100" spans="1:10" ht="16.5" hidden="1">
      <c r="A1100" s="4" t="str">
        <v xml:space="preserve"> </v>
      </c>
      <c r="B1100" s="4">
        <v>0</v>
      </c>
      <c r="C1100" s="4">
        <v>0</v>
      </c>
      <c r="D1100" s="4">
        <v>0</v>
      </c>
      <c r="E1100" s="4" t="str">
        <v>0</v>
      </c>
      <c r="F1100" s="102" t="str">
        <f ca="1">IFERROR(__xludf.DUMMYFUNCTION("IMPORTRANGE(H1100,""IDENTITAS UNIT!D9"")"),"#N/A")</f>
        <v>#N/A</v>
      </c>
      <c r="H1100" s="4" t="str">
        <v>0</v>
      </c>
      <c r="I1100" s="4" t="str">
        <v>0</v>
      </c>
      <c r="J1100" s="4">
        <v>0</v>
      </c>
    </row>
    <row r="1101" spans="1:10" ht="16.5" hidden="1">
      <c r="A1101" s="4" t="str">
        <v xml:space="preserve"> </v>
      </c>
      <c r="B1101" s="4">
        <v>0</v>
      </c>
      <c r="C1101" s="4">
        <v>0</v>
      </c>
      <c r="D1101" s="4">
        <v>0</v>
      </c>
      <c r="E1101" s="4" t="str">
        <v>0</v>
      </c>
      <c r="F1101" s="102" t="str">
        <f ca="1">IFERROR(__xludf.DUMMYFUNCTION("IMPORTRANGE(H1101,""IDENTITAS UNIT!D9"")"),"#N/A")</f>
        <v>#N/A</v>
      </c>
      <c r="H1101" s="4" t="str">
        <v>0</v>
      </c>
      <c r="I1101" s="4" t="str">
        <v>0</v>
      </c>
      <c r="J1101" s="4">
        <v>0</v>
      </c>
    </row>
    <row r="1102" spans="1:10" ht="16.5" hidden="1">
      <c r="A1102" s="4" t="str">
        <v xml:space="preserve"> </v>
      </c>
      <c r="B1102" s="4">
        <v>0</v>
      </c>
      <c r="C1102" s="4">
        <v>0</v>
      </c>
      <c r="D1102" s="4">
        <v>0</v>
      </c>
      <c r="E1102" s="4" t="str">
        <v>0</v>
      </c>
      <c r="F1102" s="102" t="str">
        <f ca="1">IFERROR(__xludf.DUMMYFUNCTION("IMPORTRANGE(H1102,""IDENTITAS UNIT!D9"")"),"#N/A")</f>
        <v>#N/A</v>
      </c>
      <c r="H1102" s="4" t="str">
        <v>0</v>
      </c>
      <c r="I1102" s="4" t="str">
        <v>0</v>
      </c>
      <c r="J1102" s="4">
        <v>0</v>
      </c>
    </row>
    <row r="1103" spans="1:10" ht="16.5" hidden="1">
      <c r="A1103" s="4" t="str">
        <v xml:space="preserve"> </v>
      </c>
      <c r="B1103" s="4">
        <v>0</v>
      </c>
      <c r="C1103" s="4">
        <v>0</v>
      </c>
      <c r="D1103" s="4">
        <v>0</v>
      </c>
      <c r="E1103" s="4" t="str">
        <v>0</v>
      </c>
      <c r="F1103" s="102" t="str">
        <f ca="1">IFERROR(__xludf.DUMMYFUNCTION("IMPORTRANGE(H1103,""IDENTITAS UNIT!D9"")"),"#N/A")</f>
        <v>#N/A</v>
      </c>
      <c r="H1103" s="4" t="str">
        <v>0</v>
      </c>
      <c r="I1103" s="4" t="str">
        <v>0</v>
      </c>
      <c r="J1103" s="4">
        <v>0</v>
      </c>
    </row>
    <row r="1104" spans="1:10" ht="16.5" hidden="1">
      <c r="A1104" s="4" t="str">
        <v xml:space="preserve"> </v>
      </c>
      <c r="B1104" s="4">
        <v>0</v>
      </c>
      <c r="C1104" s="4">
        <v>0</v>
      </c>
      <c r="D1104" s="4">
        <v>0</v>
      </c>
      <c r="E1104" s="4" t="str">
        <v>0</v>
      </c>
      <c r="F1104" s="102" t="str">
        <f ca="1">IFERROR(__xludf.DUMMYFUNCTION("IMPORTRANGE(H1104,""IDENTITAS UNIT!D9"")"),"#N/A")</f>
        <v>#N/A</v>
      </c>
      <c r="H1104" s="4" t="str">
        <v>0</v>
      </c>
      <c r="I1104" s="4" t="str">
        <v>0</v>
      </c>
      <c r="J1104" s="4">
        <v>0</v>
      </c>
    </row>
    <row r="1105" spans="1:10" ht="16.5" hidden="1">
      <c r="A1105" s="4" t="str">
        <v xml:space="preserve"> </v>
      </c>
      <c r="B1105" s="4">
        <v>0</v>
      </c>
      <c r="C1105" s="4">
        <v>0</v>
      </c>
      <c r="D1105" s="4">
        <v>0</v>
      </c>
      <c r="E1105" s="4" t="str">
        <v>0</v>
      </c>
      <c r="F1105" s="102" t="str">
        <f ca="1">IFERROR(__xludf.DUMMYFUNCTION("IMPORTRANGE(H1105,""IDENTITAS UNIT!D9"")"),"#N/A")</f>
        <v>#N/A</v>
      </c>
      <c r="H1105" s="4" t="str">
        <v>0</v>
      </c>
      <c r="I1105" s="4" t="str">
        <v>0</v>
      </c>
      <c r="J1105" s="4">
        <v>0</v>
      </c>
    </row>
    <row r="1106" spans="1:10" ht="16.5" hidden="1">
      <c r="A1106" s="4" t="str">
        <v xml:space="preserve"> </v>
      </c>
      <c r="B1106" s="4">
        <v>0</v>
      </c>
      <c r="C1106" s="4">
        <v>0</v>
      </c>
      <c r="D1106" s="4">
        <v>0</v>
      </c>
      <c r="E1106" s="4" t="str">
        <v>0</v>
      </c>
      <c r="F1106" s="102" t="str">
        <f ca="1">IFERROR(__xludf.DUMMYFUNCTION("IMPORTRANGE(H1106,""IDENTITAS UNIT!D9"")"),"#N/A")</f>
        <v>#N/A</v>
      </c>
      <c r="H1106" s="4" t="str">
        <v>0</v>
      </c>
      <c r="I1106" s="4" t="str">
        <v>0</v>
      </c>
      <c r="J1106" s="4">
        <v>0</v>
      </c>
    </row>
    <row r="1107" spans="1:10" ht="16.5" hidden="1">
      <c r="A1107" s="4" t="str">
        <v xml:space="preserve"> </v>
      </c>
      <c r="B1107" s="4">
        <v>0</v>
      </c>
      <c r="C1107" s="4">
        <v>0</v>
      </c>
      <c r="D1107" s="4">
        <v>0</v>
      </c>
      <c r="E1107" s="4" t="str">
        <v>0</v>
      </c>
      <c r="F1107" s="102" t="str">
        <f ca="1">IFERROR(__xludf.DUMMYFUNCTION("IMPORTRANGE(H1107,""IDENTITAS UNIT!D9"")"),"#N/A")</f>
        <v>#N/A</v>
      </c>
      <c r="H1107" s="4" t="str">
        <v>0</v>
      </c>
      <c r="I1107" s="4" t="str">
        <v>0</v>
      </c>
      <c r="J1107" s="4">
        <v>0</v>
      </c>
    </row>
    <row r="1108" spans="1:10" ht="16.5" hidden="1">
      <c r="A1108" s="4" t="str">
        <v xml:space="preserve"> </v>
      </c>
      <c r="B1108" s="4">
        <v>0</v>
      </c>
      <c r="C1108" s="4">
        <v>0</v>
      </c>
      <c r="D1108" s="4">
        <v>0</v>
      </c>
      <c r="E1108" s="4" t="str">
        <v>0</v>
      </c>
      <c r="F1108" s="102" t="str">
        <f ca="1">IFERROR(__xludf.DUMMYFUNCTION("IMPORTRANGE(H1108,""IDENTITAS UNIT!D9"")"),"#N/A")</f>
        <v>#N/A</v>
      </c>
      <c r="H1108" s="4" t="str">
        <v>0</v>
      </c>
      <c r="I1108" s="4" t="str">
        <v>0</v>
      </c>
      <c r="J1108" s="4">
        <v>0</v>
      </c>
    </row>
    <row r="1109" spans="1:10" ht="16.5" hidden="1">
      <c r="A1109" s="4" t="str">
        <v xml:space="preserve"> </v>
      </c>
      <c r="B1109" s="4">
        <v>0</v>
      </c>
      <c r="C1109" s="4">
        <v>0</v>
      </c>
      <c r="D1109" s="4">
        <v>0</v>
      </c>
      <c r="E1109" s="4" t="str">
        <v>0</v>
      </c>
      <c r="F1109" s="102" t="str">
        <f ca="1">IFERROR(__xludf.DUMMYFUNCTION("IMPORTRANGE(H1109,""IDENTITAS UNIT!D9"")"),"#N/A")</f>
        <v>#N/A</v>
      </c>
      <c r="H1109" s="4" t="str">
        <v>0</v>
      </c>
      <c r="I1109" s="4" t="str">
        <v>0</v>
      </c>
      <c r="J1109" s="4">
        <v>0</v>
      </c>
    </row>
    <row r="1110" spans="1:10" ht="16.5" hidden="1">
      <c r="A1110" s="4" t="str">
        <v xml:space="preserve"> </v>
      </c>
      <c r="B1110" s="4">
        <v>0</v>
      </c>
      <c r="C1110" s="4">
        <v>0</v>
      </c>
      <c r="D1110" s="4">
        <v>0</v>
      </c>
      <c r="E1110" s="4" t="str">
        <v>0</v>
      </c>
      <c r="F1110" s="102" t="str">
        <f ca="1">IFERROR(__xludf.DUMMYFUNCTION("IMPORTRANGE(H1110,""IDENTITAS UNIT!D9"")"),"#N/A")</f>
        <v>#N/A</v>
      </c>
      <c r="H1110" s="4" t="str">
        <v>0</v>
      </c>
      <c r="I1110" s="4" t="str">
        <v>0</v>
      </c>
      <c r="J1110" s="4">
        <v>0</v>
      </c>
    </row>
    <row r="1111" spans="1:10" ht="16.5" hidden="1">
      <c r="A1111" s="4" t="str">
        <v xml:space="preserve"> </v>
      </c>
      <c r="B1111" s="4">
        <v>0</v>
      </c>
      <c r="C1111" s="4">
        <v>0</v>
      </c>
      <c r="D1111" s="4">
        <v>0</v>
      </c>
      <c r="E1111" s="4" t="str">
        <v>0</v>
      </c>
      <c r="F1111" s="102" t="str">
        <f ca="1">IFERROR(__xludf.DUMMYFUNCTION("IMPORTRANGE(H1111,""IDENTITAS UNIT!D9"")"),"#N/A")</f>
        <v>#N/A</v>
      </c>
      <c r="H1111" s="4" t="str">
        <v>0</v>
      </c>
      <c r="I1111" s="4" t="str">
        <v>0</v>
      </c>
      <c r="J1111" s="4">
        <v>0</v>
      </c>
    </row>
    <row r="1112" spans="1:10" ht="16.5" hidden="1">
      <c r="A1112" s="4" t="str">
        <v xml:space="preserve"> </v>
      </c>
      <c r="B1112" s="4">
        <v>0</v>
      </c>
      <c r="C1112" s="4">
        <v>0</v>
      </c>
      <c r="D1112" s="4">
        <v>0</v>
      </c>
      <c r="E1112" s="4" t="str">
        <v>0</v>
      </c>
      <c r="F1112" s="102" t="str">
        <f ca="1">IFERROR(__xludf.DUMMYFUNCTION("IMPORTRANGE(H1112,""IDENTITAS UNIT!D9"")"),"#N/A")</f>
        <v>#N/A</v>
      </c>
      <c r="H1112" s="4" t="str">
        <v>0</v>
      </c>
      <c r="I1112" s="4" t="str">
        <v>0</v>
      </c>
      <c r="J1112" s="4">
        <v>0</v>
      </c>
    </row>
    <row r="1113" spans="1:10" ht="16.5" hidden="1">
      <c r="A1113" s="4" t="str">
        <v xml:space="preserve"> </v>
      </c>
      <c r="B1113" s="4">
        <v>0</v>
      </c>
      <c r="C1113" s="4">
        <v>0</v>
      </c>
      <c r="D1113" s="4">
        <v>0</v>
      </c>
      <c r="E1113" s="4" t="str">
        <v>0</v>
      </c>
      <c r="F1113" s="102" t="str">
        <f ca="1">IFERROR(__xludf.DUMMYFUNCTION("IMPORTRANGE(H1113,""IDENTITAS UNIT!D9"")"),"#N/A")</f>
        <v>#N/A</v>
      </c>
      <c r="H1113" s="4" t="str">
        <v>0</v>
      </c>
      <c r="I1113" s="4" t="str">
        <v>0</v>
      </c>
      <c r="J1113" s="4">
        <v>0</v>
      </c>
    </row>
    <row r="1114" spans="1:10" ht="16.5" hidden="1">
      <c r="A1114" s="4" t="str">
        <v xml:space="preserve"> </v>
      </c>
      <c r="B1114" s="4">
        <v>0</v>
      </c>
      <c r="C1114" s="4">
        <v>0</v>
      </c>
      <c r="D1114" s="4">
        <v>0</v>
      </c>
      <c r="E1114" s="4" t="str">
        <v>0</v>
      </c>
      <c r="F1114" s="102" t="str">
        <f ca="1">IFERROR(__xludf.DUMMYFUNCTION("IMPORTRANGE(H1114,""IDENTITAS UNIT!D9"")"),"#N/A")</f>
        <v>#N/A</v>
      </c>
      <c r="H1114" s="4" t="str">
        <v>0</v>
      </c>
      <c r="I1114" s="4" t="str">
        <v>0</v>
      </c>
      <c r="J1114" s="4">
        <v>0</v>
      </c>
    </row>
    <row r="1115" spans="1:10" ht="16.5" hidden="1">
      <c r="A1115" s="4" t="str">
        <v xml:space="preserve"> </v>
      </c>
      <c r="B1115" s="4">
        <v>0</v>
      </c>
      <c r="C1115" s="4">
        <v>0</v>
      </c>
      <c r="D1115" s="4">
        <v>0</v>
      </c>
      <c r="E1115" s="4" t="str">
        <v>0</v>
      </c>
      <c r="F1115" s="102" t="str">
        <f ca="1">IFERROR(__xludf.DUMMYFUNCTION("IMPORTRANGE(H1115,""IDENTITAS UNIT!D9"")"),"#N/A")</f>
        <v>#N/A</v>
      </c>
      <c r="H1115" s="4" t="str">
        <v>0</v>
      </c>
      <c r="I1115" s="4" t="str">
        <v>0</v>
      </c>
      <c r="J1115" s="4">
        <v>0</v>
      </c>
    </row>
    <row r="1116" spans="1:10" ht="16.5" hidden="1">
      <c r="A1116" s="4" t="str">
        <v xml:space="preserve"> </v>
      </c>
      <c r="B1116" s="4">
        <v>0</v>
      </c>
      <c r="C1116" s="4">
        <v>0</v>
      </c>
      <c r="D1116" s="4">
        <v>0</v>
      </c>
      <c r="E1116" s="4" t="str">
        <v>0</v>
      </c>
      <c r="F1116" s="102" t="str">
        <f ca="1">IFERROR(__xludf.DUMMYFUNCTION("IMPORTRANGE(H1116,""IDENTITAS UNIT!D9"")"),"#N/A")</f>
        <v>#N/A</v>
      </c>
      <c r="H1116" s="4" t="str">
        <v>0</v>
      </c>
      <c r="I1116" s="4" t="str">
        <v>0</v>
      </c>
      <c r="J1116" s="4">
        <v>0</v>
      </c>
    </row>
    <row r="1117" spans="1:10" ht="16.5" hidden="1">
      <c r="A1117" s="4" t="str">
        <v xml:space="preserve"> </v>
      </c>
      <c r="B1117" s="4">
        <v>0</v>
      </c>
      <c r="C1117" s="4">
        <v>0</v>
      </c>
      <c r="D1117" s="4">
        <v>0</v>
      </c>
      <c r="E1117" s="4" t="str">
        <v>0</v>
      </c>
      <c r="F1117" s="102" t="str">
        <f ca="1">IFERROR(__xludf.DUMMYFUNCTION("IMPORTRANGE(H1117,""IDENTITAS UNIT!D9"")"),"#N/A")</f>
        <v>#N/A</v>
      </c>
      <c r="H1117" s="4" t="str">
        <v>0</v>
      </c>
      <c r="I1117" s="4" t="str">
        <v>0</v>
      </c>
      <c r="J1117" s="4">
        <v>0</v>
      </c>
    </row>
    <row r="1118" spans="1:10" ht="16.5" hidden="1">
      <c r="A1118" s="4" t="str">
        <v xml:space="preserve"> </v>
      </c>
      <c r="B1118" s="4">
        <v>0</v>
      </c>
      <c r="C1118" s="4">
        <v>0</v>
      </c>
      <c r="D1118" s="4">
        <v>0</v>
      </c>
      <c r="E1118" s="4" t="str">
        <v>0</v>
      </c>
      <c r="F1118" s="102" t="str">
        <f ca="1">IFERROR(__xludf.DUMMYFUNCTION("IMPORTRANGE(H1118,""IDENTITAS UNIT!D9"")"),"#N/A")</f>
        <v>#N/A</v>
      </c>
      <c r="H1118" s="4" t="str">
        <v>0</v>
      </c>
      <c r="I1118" s="4" t="str">
        <v>0</v>
      </c>
      <c r="J1118" s="4">
        <v>0</v>
      </c>
    </row>
    <row r="1119" spans="1:10" ht="16.5" hidden="1">
      <c r="A1119" s="4" t="str">
        <v xml:space="preserve"> </v>
      </c>
      <c r="B1119" s="4">
        <v>0</v>
      </c>
      <c r="C1119" s="4">
        <v>0</v>
      </c>
      <c r="D1119" s="4">
        <v>0</v>
      </c>
      <c r="E1119" s="4" t="str">
        <v>0</v>
      </c>
      <c r="F1119" s="102" t="str">
        <f ca="1">IFERROR(__xludf.DUMMYFUNCTION("IMPORTRANGE(H1119,""IDENTITAS UNIT!D9"")"),"#N/A")</f>
        <v>#N/A</v>
      </c>
      <c r="H1119" s="4" t="str">
        <v>0</v>
      </c>
      <c r="I1119" s="4" t="str">
        <v>0</v>
      </c>
      <c r="J1119" s="4">
        <v>0</v>
      </c>
    </row>
    <row r="1120" spans="1:10" ht="16.5" hidden="1">
      <c r="A1120" s="4" t="str">
        <v xml:space="preserve"> </v>
      </c>
      <c r="B1120" s="4">
        <v>0</v>
      </c>
      <c r="C1120" s="4">
        <v>0</v>
      </c>
      <c r="D1120" s="4">
        <v>0</v>
      </c>
      <c r="E1120" s="4" t="str">
        <v>0</v>
      </c>
      <c r="F1120" s="102" t="str">
        <f ca="1">IFERROR(__xludf.DUMMYFUNCTION("IMPORTRANGE(H1120,""IDENTITAS UNIT!D9"")"),"#N/A")</f>
        <v>#N/A</v>
      </c>
      <c r="H1120" s="4" t="str">
        <v>0</v>
      </c>
      <c r="I1120" s="4" t="str">
        <v>0</v>
      </c>
      <c r="J1120" s="4">
        <v>0</v>
      </c>
    </row>
    <row r="1121" spans="1:10" ht="16.5" hidden="1">
      <c r="A1121" s="4" t="str">
        <v xml:space="preserve"> </v>
      </c>
      <c r="B1121" s="4">
        <v>0</v>
      </c>
      <c r="C1121" s="4">
        <v>0</v>
      </c>
      <c r="D1121" s="4">
        <v>0</v>
      </c>
      <c r="E1121" s="4" t="str">
        <v>0</v>
      </c>
      <c r="F1121" s="102" t="str">
        <f ca="1">IFERROR(__xludf.DUMMYFUNCTION("IMPORTRANGE(H1121,""IDENTITAS UNIT!D9"")"),"#N/A")</f>
        <v>#N/A</v>
      </c>
      <c r="H1121" s="4" t="str">
        <v>0</v>
      </c>
      <c r="I1121" s="4" t="str">
        <v>0</v>
      </c>
      <c r="J1121" s="4">
        <v>0</v>
      </c>
    </row>
    <row r="1122" spans="1:10" ht="16.5" hidden="1">
      <c r="A1122" s="4" t="str">
        <v xml:space="preserve"> </v>
      </c>
      <c r="B1122" s="4">
        <v>0</v>
      </c>
      <c r="C1122" s="4">
        <v>0</v>
      </c>
      <c r="D1122" s="4">
        <v>0</v>
      </c>
      <c r="E1122" s="4" t="str">
        <v>0</v>
      </c>
      <c r="F1122" s="102" t="str">
        <f ca="1">IFERROR(__xludf.DUMMYFUNCTION("IMPORTRANGE(H1122,""IDENTITAS UNIT!D9"")"),"#N/A")</f>
        <v>#N/A</v>
      </c>
      <c r="H1122" s="4" t="str">
        <v>0</v>
      </c>
      <c r="I1122" s="4" t="str">
        <v>0</v>
      </c>
      <c r="J1122" s="4">
        <v>0</v>
      </c>
    </row>
    <row r="1123" spans="1:10" ht="16.5" hidden="1">
      <c r="A1123" s="4" t="str">
        <v xml:space="preserve"> </v>
      </c>
      <c r="B1123" s="4">
        <v>0</v>
      </c>
      <c r="C1123" s="4">
        <v>0</v>
      </c>
      <c r="D1123" s="4">
        <v>0</v>
      </c>
      <c r="E1123" s="4" t="str">
        <v>0</v>
      </c>
      <c r="F1123" s="102" t="str">
        <f ca="1">IFERROR(__xludf.DUMMYFUNCTION("IMPORTRANGE(H1123,""IDENTITAS UNIT!D9"")"),"#N/A")</f>
        <v>#N/A</v>
      </c>
      <c r="H1123" s="4" t="str">
        <v>0</v>
      </c>
      <c r="I1123" s="4" t="str">
        <v>0</v>
      </c>
      <c r="J1123" s="4">
        <v>0</v>
      </c>
    </row>
    <row r="1124" spans="1:10" ht="16.5" hidden="1">
      <c r="A1124" s="4" t="str">
        <v xml:space="preserve"> </v>
      </c>
      <c r="B1124" s="4">
        <v>0</v>
      </c>
      <c r="C1124" s="4">
        <v>0</v>
      </c>
      <c r="D1124" s="4">
        <v>0</v>
      </c>
      <c r="E1124" s="4" t="str">
        <v>0</v>
      </c>
      <c r="F1124" s="102" t="str">
        <f ca="1">IFERROR(__xludf.DUMMYFUNCTION("IMPORTRANGE(H1124,""IDENTITAS UNIT!D9"")"),"#N/A")</f>
        <v>#N/A</v>
      </c>
      <c r="H1124" s="4" t="str">
        <v>0</v>
      </c>
      <c r="I1124" s="4" t="str">
        <v>0</v>
      </c>
      <c r="J1124" s="4">
        <v>0</v>
      </c>
    </row>
    <row r="1125" spans="1:10" ht="16.5" hidden="1">
      <c r="A1125" s="4" t="str">
        <v xml:space="preserve"> </v>
      </c>
      <c r="B1125" s="4">
        <v>0</v>
      </c>
      <c r="C1125" s="4">
        <v>0</v>
      </c>
      <c r="D1125" s="4">
        <v>0</v>
      </c>
      <c r="E1125" s="4" t="str">
        <v>0</v>
      </c>
      <c r="F1125" s="102" t="str">
        <f ca="1">IFERROR(__xludf.DUMMYFUNCTION("IMPORTRANGE(H1125,""IDENTITAS UNIT!D9"")"),"#N/A")</f>
        <v>#N/A</v>
      </c>
      <c r="H1125" s="4" t="str">
        <v>0</v>
      </c>
      <c r="I1125" s="4" t="str">
        <v>0</v>
      </c>
      <c r="J1125" s="4">
        <v>0</v>
      </c>
    </row>
    <row r="1126" spans="1:10" ht="16.5" hidden="1">
      <c r="A1126" s="4" t="str">
        <v xml:space="preserve"> </v>
      </c>
      <c r="B1126" s="4">
        <v>0</v>
      </c>
      <c r="C1126" s="4">
        <v>0</v>
      </c>
      <c r="D1126" s="4">
        <v>0</v>
      </c>
      <c r="E1126" s="4" t="str">
        <v>0</v>
      </c>
      <c r="F1126" s="102" t="str">
        <f ca="1">IFERROR(__xludf.DUMMYFUNCTION("IMPORTRANGE(H1126,""IDENTITAS UNIT!D9"")"),"#N/A")</f>
        <v>#N/A</v>
      </c>
      <c r="H1126" s="4" t="str">
        <v>0</v>
      </c>
      <c r="I1126" s="4" t="str">
        <v>0</v>
      </c>
      <c r="J1126" s="4">
        <v>0</v>
      </c>
    </row>
    <row r="1127" spans="1:10" ht="16.5" hidden="1">
      <c r="A1127" s="4" t="str">
        <v xml:space="preserve"> </v>
      </c>
      <c r="B1127" s="4">
        <v>0</v>
      </c>
      <c r="C1127" s="4">
        <v>0</v>
      </c>
      <c r="D1127" s="4">
        <v>0</v>
      </c>
      <c r="E1127" s="4" t="str">
        <v>0</v>
      </c>
      <c r="F1127" s="102" t="str">
        <f ca="1">IFERROR(__xludf.DUMMYFUNCTION("IMPORTRANGE(H1127,""IDENTITAS UNIT!D9"")"),"#N/A")</f>
        <v>#N/A</v>
      </c>
      <c r="H1127" s="4" t="str">
        <v>0</v>
      </c>
      <c r="I1127" s="4" t="str">
        <v>0</v>
      </c>
      <c r="J1127" s="4">
        <v>0</v>
      </c>
    </row>
    <row r="1128" spans="1:10" ht="16.5" hidden="1">
      <c r="A1128" s="4" t="str">
        <v xml:space="preserve"> </v>
      </c>
      <c r="B1128" s="4">
        <v>0</v>
      </c>
      <c r="C1128" s="4">
        <v>0</v>
      </c>
      <c r="D1128" s="4">
        <v>0</v>
      </c>
      <c r="E1128" s="4" t="str">
        <v>0</v>
      </c>
      <c r="F1128" s="102" t="str">
        <f ca="1">IFERROR(__xludf.DUMMYFUNCTION("IMPORTRANGE(H1128,""IDENTITAS UNIT!D9"")"),"#N/A")</f>
        <v>#N/A</v>
      </c>
      <c r="H1128" s="4" t="str">
        <v>0</v>
      </c>
      <c r="I1128" s="4" t="str">
        <v>0</v>
      </c>
      <c r="J1128" s="4">
        <v>0</v>
      </c>
    </row>
    <row r="1129" spans="1:10" ht="16.5" hidden="1">
      <c r="A1129" s="4" t="str">
        <v xml:space="preserve"> </v>
      </c>
      <c r="B1129" s="4">
        <v>0</v>
      </c>
      <c r="C1129" s="4">
        <v>0</v>
      </c>
      <c r="D1129" s="4">
        <v>0</v>
      </c>
      <c r="E1129" s="4" t="str">
        <v>0</v>
      </c>
      <c r="F1129" s="102" t="str">
        <f ca="1">IFERROR(__xludf.DUMMYFUNCTION("IMPORTRANGE(H1129,""IDENTITAS UNIT!D9"")"),"#N/A")</f>
        <v>#N/A</v>
      </c>
      <c r="H1129" s="4" t="str">
        <v>0</v>
      </c>
      <c r="I1129" s="4" t="str">
        <v>0</v>
      </c>
      <c r="J1129" s="4">
        <v>0</v>
      </c>
    </row>
    <row r="1130" spans="1:10" ht="16.5" hidden="1">
      <c r="A1130" s="4" t="str">
        <v xml:space="preserve"> </v>
      </c>
      <c r="B1130" s="4">
        <v>0</v>
      </c>
      <c r="C1130" s="4">
        <v>0</v>
      </c>
      <c r="D1130" s="4">
        <v>0</v>
      </c>
      <c r="E1130" s="4" t="str">
        <v>0</v>
      </c>
      <c r="F1130" s="102" t="str">
        <f ca="1">IFERROR(__xludf.DUMMYFUNCTION("IMPORTRANGE(H1130,""IDENTITAS UNIT!D9"")"),"#N/A")</f>
        <v>#N/A</v>
      </c>
      <c r="H1130" s="4" t="str">
        <v>0</v>
      </c>
      <c r="I1130" s="4" t="str">
        <v>0</v>
      </c>
      <c r="J1130" s="4">
        <v>0</v>
      </c>
    </row>
    <row r="1131" spans="1:10" ht="16.5" hidden="1">
      <c r="A1131" s="4" t="str">
        <v xml:space="preserve"> </v>
      </c>
      <c r="B1131" s="4">
        <v>0</v>
      </c>
      <c r="C1131" s="4">
        <v>0</v>
      </c>
      <c r="D1131" s="4">
        <v>0</v>
      </c>
      <c r="E1131" s="4" t="str">
        <v>0</v>
      </c>
      <c r="F1131" s="102" t="str">
        <f ca="1">IFERROR(__xludf.DUMMYFUNCTION("IMPORTRANGE(H1131,""IDENTITAS UNIT!D9"")"),"#N/A")</f>
        <v>#N/A</v>
      </c>
      <c r="H1131" s="4" t="str">
        <v>0</v>
      </c>
      <c r="I1131" s="4" t="str">
        <v>0</v>
      </c>
      <c r="J1131" s="4">
        <v>0</v>
      </c>
    </row>
    <row r="1132" spans="1:10" ht="16.5" hidden="1">
      <c r="A1132" s="4" t="str">
        <v xml:space="preserve"> </v>
      </c>
      <c r="B1132" s="4">
        <v>0</v>
      </c>
      <c r="C1132" s="4">
        <v>0</v>
      </c>
      <c r="D1132" s="4">
        <v>0</v>
      </c>
      <c r="E1132" s="4" t="str">
        <v>0</v>
      </c>
      <c r="F1132" s="102" t="str">
        <f ca="1">IFERROR(__xludf.DUMMYFUNCTION("IMPORTRANGE(H1132,""IDENTITAS UNIT!D9"")"),"#N/A")</f>
        <v>#N/A</v>
      </c>
      <c r="H1132" s="4" t="str">
        <v>0</v>
      </c>
      <c r="I1132" s="4" t="str">
        <v>0</v>
      </c>
      <c r="J1132" s="4">
        <v>0</v>
      </c>
    </row>
    <row r="1133" spans="1:10" ht="16.5" hidden="1">
      <c r="A1133" s="4" t="str">
        <v xml:space="preserve"> </v>
      </c>
      <c r="B1133" s="4">
        <v>0</v>
      </c>
      <c r="C1133" s="4">
        <v>0</v>
      </c>
      <c r="D1133" s="4">
        <v>0</v>
      </c>
      <c r="E1133" s="4" t="str">
        <v>0</v>
      </c>
      <c r="F1133" s="102" t="str">
        <f ca="1">IFERROR(__xludf.DUMMYFUNCTION("IMPORTRANGE(H1133,""IDENTITAS UNIT!D9"")"),"#N/A")</f>
        <v>#N/A</v>
      </c>
      <c r="H1133" s="4" t="str">
        <v>0</v>
      </c>
      <c r="I1133" s="4" t="str">
        <v>0</v>
      </c>
      <c r="J1133" s="4">
        <v>0</v>
      </c>
    </row>
    <row r="1134" spans="1:10" ht="16.5" hidden="1">
      <c r="A1134" s="4" t="str">
        <v xml:space="preserve"> </v>
      </c>
      <c r="B1134" s="4">
        <v>0</v>
      </c>
      <c r="C1134" s="4">
        <v>0</v>
      </c>
      <c r="D1134" s="4">
        <v>0</v>
      </c>
      <c r="E1134" s="4" t="str">
        <v>0</v>
      </c>
      <c r="F1134" s="102" t="str">
        <f ca="1">IFERROR(__xludf.DUMMYFUNCTION("IMPORTRANGE(H1134,""IDENTITAS UNIT!D9"")"),"#N/A")</f>
        <v>#N/A</v>
      </c>
      <c r="H1134" s="4" t="str">
        <v>0</v>
      </c>
      <c r="I1134" s="4" t="str">
        <v>0</v>
      </c>
      <c r="J1134" s="4">
        <v>0</v>
      </c>
    </row>
    <row r="1135" spans="1:10" ht="16.5" hidden="1">
      <c r="A1135" s="4" t="str">
        <v xml:space="preserve"> </v>
      </c>
      <c r="B1135" s="4">
        <v>0</v>
      </c>
      <c r="C1135" s="4">
        <v>0</v>
      </c>
      <c r="D1135" s="4">
        <v>0</v>
      </c>
      <c r="E1135" s="4" t="str">
        <v>0</v>
      </c>
      <c r="F1135" s="102" t="str">
        <f ca="1">IFERROR(__xludf.DUMMYFUNCTION("IMPORTRANGE(H1135,""IDENTITAS UNIT!D9"")"),"#N/A")</f>
        <v>#N/A</v>
      </c>
      <c r="H1135" s="4" t="str">
        <v>0</v>
      </c>
      <c r="I1135" s="4" t="str">
        <v>0</v>
      </c>
      <c r="J1135" s="4">
        <v>0</v>
      </c>
    </row>
    <row r="1136" spans="1:10" ht="16.5" hidden="1">
      <c r="A1136" s="4" t="str">
        <v xml:space="preserve"> </v>
      </c>
      <c r="B1136" s="4">
        <v>0</v>
      </c>
      <c r="C1136" s="4">
        <v>0</v>
      </c>
      <c r="D1136" s="4">
        <v>0</v>
      </c>
      <c r="E1136" s="4" t="str">
        <v>0</v>
      </c>
      <c r="F1136" s="102" t="str">
        <f ca="1">IFERROR(__xludf.DUMMYFUNCTION("IMPORTRANGE(H1136,""IDENTITAS UNIT!D9"")"),"#N/A")</f>
        <v>#N/A</v>
      </c>
      <c r="H1136" s="4" t="str">
        <v>0</v>
      </c>
      <c r="I1136" s="4" t="str">
        <v>0</v>
      </c>
      <c r="J1136" s="4">
        <v>0</v>
      </c>
    </row>
    <row r="1137" spans="1:10" ht="16.5" hidden="1">
      <c r="A1137" s="4" t="str">
        <v xml:space="preserve"> </v>
      </c>
      <c r="B1137" s="4">
        <v>0</v>
      </c>
      <c r="C1137" s="4">
        <v>0</v>
      </c>
      <c r="D1137" s="4">
        <v>0</v>
      </c>
      <c r="E1137" s="4" t="str">
        <v>0</v>
      </c>
      <c r="F1137" s="102" t="str">
        <f ca="1">IFERROR(__xludf.DUMMYFUNCTION("IMPORTRANGE(H1137,""IDENTITAS UNIT!D9"")"),"#N/A")</f>
        <v>#N/A</v>
      </c>
      <c r="H1137" s="4" t="str">
        <v>0</v>
      </c>
      <c r="I1137" s="4" t="str">
        <v>0</v>
      </c>
      <c r="J1137" s="4">
        <v>0</v>
      </c>
    </row>
    <row r="1138" spans="1:10" ht="16.5" hidden="1">
      <c r="A1138" s="4" t="str">
        <v xml:space="preserve"> </v>
      </c>
      <c r="B1138" s="4">
        <v>0</v>
      </c>
      <c r="C1138" s="4">
        <v>0</v>
      </c>
      <c r="D1138" s="4">
        <v>0</v>
      </c>
      <c r="E1138" s="4" t="str">
        <v>0</v>
      </c>
      <c r="F1138" s="102" t="str">
        <f ca="1">IFERROR(__xludf.DUMMYFUNCTION("IMPORTRANGE(H1138,""IDENTITAS UNIT!D9"")"),"#N/A")</f>
        <v>#N/A</v>
      </c>
      <c r="H1138" s="4" t="str">
        <v>0</v>
      </c>
      <c r="I1138" s="4" t="str">
        <v>0</v>
      </c>
      <c r="J1138" s="4">
        <v>0</v>
      </c>
    </row>
    <row r="1139" spans="1:10" ht="16.5" hidden="1">
      <c r="A1139" s="4" t="str">
        <v xml:space="preserve"> </v>
      </c>
      <c r="B1139" s="4">
        <v>0</v>
      </c>
      <c r="C1139" s="4">
        <v>0</v>
      </c>
      <c r="D1139" s="4">
        <v>0</v>
      </c>
      <c r="E1139" s="4" t="str">
        <v>0</v>
      </c>
      <c r="F1139" s="102" t="str">
        <f ca="1">IFERROR(__xludf.DUMMYFUNCTION("IMPORTRANGE(H1139,""IDENTITAS UNIT!D9"")"),"#N/A")</f>
        <v>#N/A</v>
      </c>
      <c r="H1139" s="4" t="str">
        <v>0</v>
      </c>
      <c r="I1139" s="4" t="str">
        <v>0</v>
      </c>
      <c r="J1139" s="4">
        <v>0</v>
      </c>
    </row>
    <row r="1140" spans="1:10" ht="16.5" hidden="1">
      <c r="A1140" s="4" t="str">
        <v xml:space="preserve"> </v>
      </c>
      <c r="B1140" s="4">
        <v>0</v>
      </c>
      <c r="C1140" s="4">
        <v>0</v>
      </c>
      <c r="D1140" s="4">
        <v>0</v>
      </c>
      <c r="E1140" s="4" t="str">
        <v>0</v>
      </c>
      <c r="F1140" s="102" t="str">
        <f ca="1">IFERROR(__xludf.DUMMYFUNCTION("IMPORTRANGE(H1140,""IDENTITAS UNIT!D9"")"),"#N/A")</f>
        <v>#N/A</v>
      </c>
      <c r="H1140" s="4" t="str">
        <v>0</v>
      </c>
      <c r="I1140" s="4" t="str">
        <v>0</v>
      </c>
      <c r="J1140" s="4">
        <v>0</v>
      </c>
    </row>
    <row r="1141" spans="1:10" ht="16.5" hidden="1">
      <c r="A1141" s="4" t="str">
        <v xml:space="preserve"> </v>
      </c>
      <c r="B1141" s="4">
        <v>0</v>
      </c>
      <c r="C1141" s="4">
        <v>0</v>
      </c>
      <c r="D1141" s="4">
        <v>0</v>
      </c>
      <c r="E1141" s="4" t="str">
        <v>0</v>
      </c>
      <c r="F1141" s="102" t="str">
        <f ca="1">IFERROR(__xludf.DUMMYFUNCTION("IMPORTRANGE(H1141,""IDENTITAS UNIT!D9"")"),"#N/A")</f>
        <v>#N/A</v>
      </c>
      <c r="H1141" s="4" t="str">
        <v>0</v>
      </c>
      <c r="I1141" s="4" t="str">
        <v>0</v>
      </c>
      <c r="J1141" s="4">
        <v>0</v>
      </c>
    </row>
    <row r="1142" spans="1:10" ht="16.5" hidden="1">
      <c r="A1142" s="4" t="str">
        <v xml:space="preserve"> </v>
      </c>
      <c r="B1142" s="4">
        <v>0</v>
      </c>
      <c r="C1142" s="4">
        <v>0</v>
      </c>
      <c r="D1142" s="4">
        <v>0</v>
      </c>
      <c r="E1142" s="4" t="str">
        <v>0</v>
      </c>
      <c r="F1142" s="102" t="str">
        <f ca="1">IFERROR(__xludf.DUMMYFUNCTION("IMPORTRANGE(H1142,""IDENTITAS UNIT!D9"")"),"#N/A")</f>
        <v>#N/A</v>
      </c>
      <c r="H1142" s="4" t="str">
        <v>0</v>
      </c>
      <c r="I1142" s="4" t="str">
        <v>0</v>
      </c>
      <c r="J1142" s="4">
        <v>0</v>
      </c>
    </row>
    <row r="1143" spans="1:10" ht="16.5" hidden="1">
      <c r="A1143" s="4" t="str">
        <v xml:space="preserve"> </v>
      </c>
      <c r="B1143" s="4">
        <v>0</v>
      </c>
      <c r="C1143" s="4">
        <v>0</v>
      </c>
      <c r="D1143" s="4">
        <v>0</v>
      </c>
      <c r="E1143" s="4" t="str">
        <v>0</v>
      </c>
      <c r="F1143" s="102" t="str">
        <f ca="1">IFERROR(__xludf.DUMMYFUNCTION("IMPORTRANGE(H1143,""IDENTITAS UNIT!D9"")"),"#N/A")</f>
        <v>#N/A</v>
      </c>
      <c r="H1143" s="4" t="str">
        <v>0</v>
      </c>
      <c r="I1143" s="4" t="str">
        <v>0</v>
      </c>
      <c r="J1143" s="4">
        <v>0</v>
      </c>
    </row>
    <row r="1144" spans="1:10" ht="16.5" hidden="1">
      <c r="A1144" s="4" t="str">
        <v xml:space="preserve"> </v>
      </c>
      <c r="B1144" s="4">
        <v>0</v>
      </c>
      <c r="C1144" s="4">
        <v>0</v>
      </c>
      <c r="D1144" s="4">
        <v>0</v>
      </c>
      <c r="E1144" s="4" t="str">
        <v>0</v>
      </c>
      <c r="F1144" s="102" t="str">
        <f ca="1">IFERROR(__xludf.DUMMYFUNCTION("IMPORTRANGE(H1144,""IDENTITAS UNIT!D9"")"),"#N/A")</f>
        <v>#N/A</v>
      </c>
      <c r="H1144" s="4" t="str">
        <v>0</v>
      </c>
      <c r="I1144" s="4" t="str">
        <v>0</v>
      </c>
      <c r="J1144" s="4">
        <v>0</v>
      </c>
    </row>
    <row r="1145" spans="1:10" ht="16.5" hidden="1">
      <c r="A1145" s="4" t="str">
        <v xml:space="preserve"> </v>
      </c>
      <c r="B1145" s="4">
        <v>0</v>
      </c>
      <c r="C1145" s="4">
        <v>0</v>
      </c>
      <c r="D1145" s="4">
        <v>0</v>
      </c>
      <c r="E1145" s="4" t="str">
        <v>0</v>
      </c>
      <c r="F1145" s="102" t="str">
        <f ca="1">IFERROR(__xludf.DUMMYFUNCTION("IMPORTRANGE(H1145,""IDENTITAS UNIT!D9"")"),"#N/A")</f>
        <v>#N/A</v>
      </c>
      <c r="H1145" s="4" t="str">
        <v>0</v>
      </c>
      <c r="I1145" s="4" t="str">
        <v>0</v>
      </c>
      <c r="J1145" s="4">
        <v>0</v>
      </c>
    </row>
    <row r="1146" spans="1:10" ht="16.5" hidden="1">
      <c r="A1146" s="4" t="str">
        <v xml:space="preserve"> </v>
      </c>
      <c r="B1146" s="4">
        <v>0</v>
      </c>
      <c r="C1146" s="4">
        <v>0</v>
      </c>
      <c r="D1146" s="4">
        <v>0</v>
      </c>
      <c r="E1146" s="4" t="str">
        <v>0</v>
      </c>
      <c r="F1146" s="102" t="str">
        <f ca="1">IFERROR(__xludf.DUMMYFUNCTION("IMPORTRANGE(H1146,""IDENTITAS UNIT!D9"")"),"#N/A")</f>
        <v>#N/A</v>
      </c>
      <c r="H1146" s="4" t="str">
        <v>0</v>
      </c>
      <c r="I1146" s="4" t="str">
        <v>0</v>
      </c>
      <c r="J1146" s="4">
        <v>0</v>
      </c>
    </row>
    <row r="1147" spans="1:10" ht="16.5" hidden="1">
      <c r="A1147" s="4" t="str">
        <v xml:space="preserve"> </v>
      </c>
      <c r="B1147" s="4">
        <v>0</v>
      </c>
      <c r="C1147" s="4">
        <v>0</v>
      </c>
      <c r="D1147" s="4">
        <v>0</v>
      </c>
      <c r="E1147" s="4" t="str">
        <v>0</v>
      </c>
      <c r="F1147" s="102" t="str">
        <f ca="1">IFERROR(__xludf.DUMMYFUNCTION("IMPORTRANGE(H1147,""IDENTITAS UNIT!D9"")"),"#N/A")</f>
        <v>#N/A</v>
      </c>
      <c r="H1147" s="4" t="str">
        <v>0</v>
      </c>
      <c r="I1147" s="4" t="str">
        <v>0</v>
      </c>
      <c r="J1147" s="4">
        <v>0</v>
      </c>
    </row>
    <row r="1148" spans="1:10" ht="16.5" hidden="1">
      <c r="A1148" s="4" t="str">
        <v xml:space="preserve"> </v>
      </c>
      <c r="B1148" s="4">
        <v>0</v>
      </c>
      <c r="C1148" s="4">
        <v>0</v>
      </c>
      <c r="D1148" s="4">
        <v>0</v>
      </c>
      <c r="E1148" s="4" t="str">
        <v>0</v>
      </c>
      <c r="F1148" s="102" t="str">
        <f ca="1">IFERROR(__xludf.DUMMYFUNCTION("IMPORTRANGE(H1148,""IDENTITAS UNIT!D9"")"),"#N/A")</f>
        <v>#N/A</v>
      </c>
      <c r="H1148" s="4" t="str">
        <v>0</v>
      </c>
      <c r="I1148" s="4" t="str">
        <v>0</v>
      </c>
      <c r="J1148" s="4">
        <v>0</v>
      </c>
    </row>
    <row r="1149" spans="1:10" ht="16.5" hidden="1">
      <c r="A1149" s="4" t="str">
        <v xml:space="preserve"> </v>
      </c>
      <c r="B1149" s="4">
        <v>0</v>
      </c>
      <c r="C1149" s="4">
        <v>0</v>
      </c>
      <c r="D1149" s="4">
        <v>0</v>
      </c>
      <c r="E1149" s="4" t="str">
        <v>0</v>
      </c>
      <c r="F1149" s="102" t="str">
        <f ca="1">IFERROR(__xludf.DUMMYFUNCTION("IMPORTRANGE(H1149,""IDENTITAS UNIT!D9"")"),"#N/A")</f>
        <v>#N/A</v>
      </c>
      <c r="H1149" s="4" t="str">
        <v>0</v>
      </c>
      <c r="I1149" s="4" t="str">
        <v>0</v>
      </c>
      <c r="J1149" s="4">
        <v>0</v>
      </c>
    </row>
    <row r="1150" spans="1:10" ht="16.5" hidden="1">
      <c r="A1150" s="4" t="str">
        <v xml:space="preserve"> </v>
      </c>
      <c r="B1150" s="4">
        <v>0</v>
      </c>
      <c r="C1150" s="4">
        <v>0</v>
      </c>
      <c r="D1150" s="4">
        <v>0</v>
      </c>
      <c r="E1150" s="4" t="str">
        <v>0</v>
      </c>
      <c r="F1150" s="102" t="str">
        <f ca="1">IFERROR(__xludf.DUMMYFUNCTION("IMPORTRANGE(H1150,""IDENTITAS UNIT!D9"")"),"#N/A")</f>
        <v>#N/A</v>
      </c>
      <c r="H1150" s="4" t="str">
        <v>0</v>
      </c>
      <c r="I1150" s="4" t="str">
        <v>0</v>
      </c>
      <c r="J1150" s="4">
        <v>0</v>
      </c>
    </row>
    <row r="1151" spans="1:10" ht="16.5" hidden="1">
      <c r="A1151" s="4" t="str">
        <v xml:space="preserve"> </v>
      </c>
      <c r="B1151" s="4">
        <v>0</v>
      </c>
      <c r="C1151" s="4">
        <v>0</v>
      </c>
      <c r="D1151" s="4">
        <v>0</v>
      </c>
      <c r="E1151" s="4" t="str">
        <v>0</v>
      </c>
      <c r="F1151" s="102" t="str">
        <f ca="1">IFERROR(__xludf.DUMMYFUNCTION("IMPORTRANGE(H1151,""IDENTITAS UNIT!D9"")"),"#N/A")</f>
        <v>#N/A</v>
      </c>
      <c r="H1151" s="4" t="str">
        <v>0</v>
      </c>
      <c r="I1151" s="4" t="str">
        <v>0</v>
      </c>
      <c r="J1151" s="4">
        <v>0</v>
      </c>
    </row>
    <row r="1152" spans="1:10" ht="16.5" hidden="1">
      <c r="A1152" s="4" t="str">
        <v xml:space="preserve"> </v>
      </c>
      <c r="B1152" s="4">
        <v>0</v>
      </c>
      <c r="C1152" s="4">
        <v>0</v>
      </c>
      <c r="D1152" s="4">
        <v>0</v>
      </c>
      <c r="E1152" s="4" t="str">
        <v>0</v>
      </c>
      <c r="F1152" s="102" t="str">
        <f ca="1">IFERROR(__xludf.DUMMYFUNCTION("IMPORTRANGE(H1152,""IDENTITAS UNIT!D9"")"),"#N/A")</f>
        <v>#N/A</v>
      </c>
      <c r="H1152" s="4" t="str">
        <v>0</v>
      </c>
      <c r="I1152" s="4" t="str">
        <v>0</v>
      </c>
      <c r="J1152" s="4">
        <v>0</v>
      </c>
    </row>
    <row r="1153" spans="1:10" ht="16.5" hidden="1">
      <c r="A1153" s="4" t="str">
        <v xml:space="preserve"> </v>
      </c>
      <c r="B1153" s="4">
        <v>0</v>
      </c>
      <c r="C1153" s="4">
        <v>0</v>
      </c>
      <c r="D1153" s="4">
        <v>0</v>
      </c>
      <c r="E1153" s="4" t="str">
        <v>0</v>
      </c>
      <c r="F1153" s="102" t="str">
        <f ca="1">IFERROR(__xludf.DUMMYFUNCTION("IMPORTRANGE(H1153,""IDENTITAS UNIT!D9"")"),"#N/A")</f>
        <v>#N/A</v>
      </c>
      <c r="H1153" s="4" t="str">
        <v>0</v>
      </c>
      <c r="I1153" s="4" t="str">
        <v>0</v>
      </c>
      <c r="J1153" s="4">
        <v>0</v>
      </c>
    </row>
    <row r="1154" spans="1:10" ht="16.5" hidden="1">
      <c r="A1154" s="4" t="str">
        <v xml:space="preserve"> </v>
      </c>
      <c r="B1154" s="4">
        <v>0</v>
      </c>
      <c r="C1154" s="4">
        <v>0</v>
      </c>
      <c r="D1154" s="4">
        <v>0</v>
      </c>
      <c r="E1154" s="4" t="str">
        <v>0</v>
      </c>
      <c r="F1154" s="102" t="str">
        <f ca="1">IFERROR(__xludf.DUMMYFUNCTION("IMPORTRANGE(H1154,""IDENTITAS UNIT!D9"")"),"#N/A")</f>
        <v>#N/A</v>
      </c>
      <c r="H1154" s="4" t="str">
        <v>0</v>
      </c>
      <c r="I1154" s="4" t="str">
        <v>0</v>
      </c>
      <c r="J1154" s="4">
        <v>0</v>
      </c>
    </row>
    <row r="1155" spans="1:10" ht="16.5" hidden="1">
      <c r="A1155" s="4" t="str">
        <v xml:space="preserve"> </v>
      </c>
      <c r="B1155" s="4">
        <v>0</v>
      </c>
      <c r="C1155" s="4">
        <v>0</v>
      </c>
      <c r="D1155" s="4">
        <v>0</v>
      </c>
      <c r="E1155" s="4" t="str">
        <v>0</v>
      </c>
      <c r="F1155" s="102" t="str">
        <f ca="1">IFERROR(__xludf.DUMMYFUNCTION("IMPORTRANGE(H1155,""IDENTITAS UNIT!D9"")"),"#N/A")</f>
        <v>#N/A</v>
      </c>
      <c r="H1155" s="4" t="str">
        <v>0</v>
      </c>
      <c r="I1155" s="4" t="str">
        <v>0</v>
      </c>
      <c r="J1155" s="4">
        <v>0</v>
      </c>
    </row>
    <row r="1156" spans="1:10" ht="16.5" hidden="1">
      <c r="A1156" s="4" t="str">
        <v xml:space="preserve"> </v>
      </c>
      <c r="B1156" s="4">
        <v>0</v>
      </c>
      <c r="C1156" s="4">
        <v>0</v>
      </c>
      <c r="D1156" s="4">
        <v>0</v>
      </c>
      <c r="E1156" s="4" t="str">
        <v>0</v>
      </c>
      <c r="F1156" s="102" t="str">
        <f ca="1">IFERROR(__xludf.DUMMYFUNCTION("IMPORTRANGE(H1156,""IDENTITAS UNIT!D9"")"),"#N/A")</f>
        <v>#N/A</v>
      </c>
      <c r="H1156" s="4" t="str">
        <v>0</v>
      </c>
      <c r="I1156" s="4" t="str">
        <v>0</v>
      </c>
      <c r="J1156" s="4">
        <v>0</v>
      </c>
    </row>
    <row r="1157" spans="1:10" ht="16.5" hidden="1">
      <c r="A1157" s="4" t="str">
        <v xml:space="preserve"> </v>
      </c>
      <c r="B1157" s="4">
        <v>0</v>
      </c>
      <c r="C1157" s="4">
        <v>0</v>
      </c>
      <c r="D1157" s="4">
        <v>0</v>
      </c>
      <c r="E1157" s="4" t="str">
        <v>0</v>
      </c>
      <c r="F1157" s="102" t="str">
        <f ca="1">IFERROR(__xludf.DUMMYFUNCTION("IMPORTRANGE(H1157,""IDENTITAS UNIT!D9"")"),"#N/A")</f>
        <v>#N/A</v>
      </c>
      <c r="H1157" s="4" t="str">
        <v>0</v>
      </c>
      <c r="I1157" s="4" t="str">
        <v>0</v>
      </c>
      <c r="J1157" s="4">
        <v>0</v>
      </c>
    </row>
    <row r="1158" spans="1:10" ht="16.5" hidden="1">
      <c r="A1158" s="4" t="str">
        <v xml:space="preserve"> </v>
      </c>
      <c r="B1158" s="4">
        <v>0</v>
      </c>
      <c r="C1158" s="4">
        <v>0</v>
      </c>
      <c r="D1158" s="4">
        <v>0</v>
      </c>
      <c r="E1158" s="4" t="str">
        <v>0</v>
      </c>
      <c r="F1158" s="102" t="str">
        <f ca="1">IFERROR(__xludf.DUMMYFUNCTION("IMPORTRANGE(H1158,""IDENTITAS UNIT!D9"")"),"#N/A")</f>
        <v>#N/A</v>
      </c>
      <c r="H1158" s="4" t="str">
        <v>0</v>
      </c>
      <c r="I1158" s="4" t="str">
        <v>0</v>
      </c>
      <c r="J1158" s="4">
        <v>0</v>
      </c>
    </row>
    <row r="1159" spans="1:10" ht="16.5" hidden="1">
      <c r="A1159" s="4" t="str">
        <v xml:space="preserve"> </v>
      </c>
      <c r="B1159" s="4">
        <v>0</v>
      </c>
      <c r="C1159" s="4">
        <v>0</v>
      </c>
      <c r="D1159" s="4">
        <v>0</v>
      </c>
      <c r="E1159" s="4" t="str">
        <v>0</v>
      </c>
      <c r="F1159" s="102" t="str">
        <f ca="1">IFERROR(__xludf.DUMMYFUNCTION("IMPORTRANGE(H1159,""IDENTITAS UNIT!D9"")"),"#N/A")</f>
        <v>#N/A</v>
      </c>
      <c r="H1159" s="4" t="str">
        <v>0</v>
      </c>
      <c r="I1159" s="4" t="str">
        <v>0</v>
      </c>
      <c r="J1159" s="4">
        <v>0</v>
      </c>
    </row>
    <row r="1160" spans="1:10" ht="16.5" hidden="1">
      <c r="A1160" s="4" t="str">
        <v xml:space="preserve"> </v>
      </c>
      <c r="B1160" s="4">
        <v>0</v>
      </c>
      <c r="C1160" s="4">
        <v>0</v>
      </c>
      <c r="D1160" s="4">
        <v>0</v>
      </c>
      <c r="E1160" s="4" t="str">
        <v>0</v>
      </c>
      <c r="F1160" s="102" t="str">
        <f ca="1">IFERROR(__xludf.DUMMYFUNCTION("IMPORTRANGE(H1160,""IDENTITAS UNIT!D9"")"),"#N/A")</f>
        <v>#N/A</v>
      </c>
      <c r="H1160" s="4" t="str">
        <v>0</v>
      </c>
      <c r="I1160" s="4" t="str">
        <v>0</v>
      </c>
      <c r="J1160" s="4">
        <v>0</v>
      </c>
    </row>
    <row r="1161" spans="1:10" ht="16.5" hidden="1">
      <c r="A1161" s="4" t="str">
        <v xml:space="preserve"> </v>
      </c>
      <c r="B1161" s="4">
        <v>0</v>
      </c>
      <c r="C1161" s="4">
        <v>0</v>
      </c>
      <c r="D1161" s="4">
        <v>0</v>
      </c>
      <c r="E1161" s="4" t="str">
        <v>0</v>
      </c>
      <c r="F1161" s="102" t="str">
        <f ca="1">IFERROR(__xludf.DUMMYFUNCTION("IMPORTRANGE(H1161,""IDENTITAS UNIT!D9"")"),"#N/A")</f>
        <v>#N/A</v>
      </c>
      <c r="H1161" s="4" t="str">
        <v>0</v>
      </c>
      <c r="I1161" s="4" t="str">
        <v>0</v>
      </c>
      <c r="J1161" s="4">
        <v>0</v>
      </c>
    </row>
    <row r="1162" spans="1:10" ht="16.5" hidden="1">
      <c r="A1162" s="4" t="str">
        <v xml:space="preserve"> </v>
      </c>
      <c r="B1162" s="4">
        <v>0</v>
      </c>
      <c r="C1162" s="4">
        <v>0</v>
      </c>
      <c r="D1162" s="4">
        <v>0</v>
      </c>
      <c r="E1162" s="4" t="str">
        <v>0</v>
      </c>
      <c r="F1162" s="102" t="str">
        <f ca="1">IFERROR(__xludf.DUMMYFUNCTION("IMPORTRANGE(H1162,""IDENTITAS UNIT!D9"")"),"#N/A")</f>
        <v>#N/A</v>
      </c>
      <c r="H1162" s="4" t="str">
        <v>0</v>
      </c>
      <c r="I1162" s="4" t="str">
        <v>0</v>
      </c>
      <c r="J1162" s="4">
        <v>0</v>
      </c>
    </row>
    <row r="1163" spans="1:10" ht="16.5" hidden="1">
      <c r="A1163" s="4" t="str">
        <v xml:space="preserve"> </v>
      </c>
      <c r="B1163" s="4">
        <v>0</v>
      </c>
      <c r="C1163" s="4">
        <v>0</v>
      </c>
      <c r="D1163" s="4">
        <v>0</v>
      </c>
      <c r="E1163" s="4" t="str">
        <v>0</v>
      </c>
      <c r="F1163" s="102" t="str">
        <f ca="1">IFERROR(__xludf.DUMMYFUNCTION("IMPORTRANGE(H1163,""IDENTITAS UNIT!D9"")"),"#N/A")</f>
        <v>#N/A</v>
      </c>
      <c r="H1163" s="4" t="str">
        <v>0</v>
      </c>
      <c r="I1163" s="4" t="str">
        <v>0</v>
      </c>
      <c r="J1163" s="4">
        <v>0</v>
      </c>
    </row>
    <row r="1164" spans="1:10" ht="16.5" hidden="1">
      <c r="A1164" s="4" t="str">
        <v xml:space="preserve"> </v>
      </c>
      <c r="B1164" s="4">
        <v>0</v>
      </c>
      <c r="C1164" s="4">
        <v>0</v>
      </c>
      <c r="D1164" s="4">
        <v>0</v>
      </c>
      <c r="E1164" s="4" t="str">
        <v>0</v>
      </c>
      <c r="F1164" s="102" t="str">
        <f ca="1">IFERROR(__xludf.DUMMYFUNCTION("IMPORTRANGE(H1164,""IDENTITAS UNIT!D9"")"),"#N/A")</f>
        <v>#N/A</v>
      </c>
      <c r="H1164" s="4" t="str">
        <v>0</v>
      </c>
      <c r="I1164" s="4" t="str">
        <v>0</v>
      </c>
      <c r="J1164" s="4">
        <v>0</v>
      </c>
    </row>
    <row r="1165" spans="1:10" ht="16.5" hidden="1">
      <c r="A1165" s="4" t="str">
        <v xml:space="preserve"> </v>
      </c>
      <c r="B1165" s="4">
        <v>0</v>
      </c>
      <c r="C1165" s="4">
        <v>0</v>
      </c>
      <c r="D1165" s="4">
        <v>0</v>
      </c>
      <c r="E1165" s="4" t="str">
        <v>0</v>
      </c>
      <c r="F1165" s="102" t="str">
        <f ca="1">IFERROR(__xludf.DUMMYFUNCTION("IMPORTRANGE(H1165,""IDENTITAS UNIT!D9"")"),"#N/A")</f>
        <v>#N/A</v>
      </c>
      <c r="H1165" s="4" t="str">
        <v>0</v>
      </c>
      <c r="I1165" s="4" t="str">
        <v>0</v>
      </c>
      <c r="J1165" s="4">
        <v>0</v>
      </c>
    </row>
    <row r="1166" spans="1:10" ht="16.5" hidden="1">
      <c r="A1166" s="4" t="str">
        <v xml:space="preserve"> </v>
      </c>
      <c r="B1166" s="4">
        <v>0</v>
      </c>
      <c r="C1166" s="4">
        <v>0</v>
      </c>
      <c r="D1166" s="4">
        <v>0</v>
      </c>
      <c r="E1166" s="4" t="str">
        <v>0</v>
      </c>
      <c r="F1166" s="102" t="str">
        <f ca="1">IFERROR(__xludf.DUMMYFUNCTION("IMPORTRANGE(H1166,""IDENTITAS UNIT!D9"")"),"#N/A")</f>
        <v>#N/A</v>
      </c>
      <c r="H1166" s="4" t="str">
        <v>0</v>
      </c>
      <c r="I1166" s="4" t="str">
        <v>0</v>
      </c>
      <c r="J1166" s="4">
        <v>0</v>
      </c>
    </row>
    <row r="1167" spans="1:10" ht="16.5" hidden="1">
      <c r="A1167" s="4" t="str">
        <v xml:space="preserve"> </v>
      </c>
      <c r="B1167" s="4">
        <v>0</v>
      </c>
      <c r="C1167" s="4">
        <v>0</v>
      </c>
      <c r="D1167" s="4">
        <v>0</v>
      </c>
      <c r="E1167" s="4" t="str">
        <v>0</v>
      </c>
      <c r="F1167" s="102" t="str">
        <f ca="1">IFERROR(__xludf.DUMMYFUNCTION("IMPORTRANGE(H1167,""IDENTITAS UNIT!D9"")"),"#N/A")</f>
        <v>#N/A</v>
      </c>
      <c r="H1167" s="4" t="str">
        <v>0</v>
      </c>
      <c r="I1167" s="4" t="str">
        <v>0</v>
      </c>
      <c r="J1167" s="4">
        <v>0</v>
      </c>
    </row>
    <row r="1168" spans="1:10" ht="16.5" hidden="1">
      <c r="A1168" s="4" t="str">
        <v xml:space="preserve"> </v>
      </c>
      <c r="B1168" s="4">
        <v>0</v>
      </c>
      <c r="C1168" s="4">
        <v>0</v>
      </c>
      <c r="D1168" s="4">
        <v>0</v>
      </c>
      <c r="E1168" s="4" t="str">
        <v>0</v>
      </c>
      <c r="F1168" s="102" t="str">
        <f ca="1">IFERROR(__xludf.DUMMYFUNCTION("IMPORTRANGE(H1168,""IDENTITAS UNIT!D9"")"),"#N/A")</f>
        <v>#N/A</v>
      </c>
      <c r="H1168" s="4" t="str">
        <v>0</v>
      </c>
      <c r="I1168" s="4" t="str">
        <v>0</v>
      </c>
      <c r="J1168" s="4">
        <v>0</v>
      </c>
    </row>
    <row r="1169" spans="1:10" ht="16.5" hidden="1">
      <c r="A1169" s="4" t="str">
        <v xml:space="preserve"> </v>
      </c>
      <c r="B1169" s="4">
        <v>0</v>
      </c>
      <c r="C1169" s="4">
        <v>0</v>
      </c>
      <c r="D1169" s="4">
        <v>0</v>
      </c>
      <c r="E1169" s="4" t="str">
        <v>0</v>
      </c>
      <c r="F1169" s="102" t="str">
        <f ca="1">IFERROR(__xludf.DUMMYFUNCTION("IMPORTRANGE(H1169,""IDENTITAS UNIT!D9"")"),"#N/A")</f>
        <v>#N/A</v>
      </c>
      <c r="H1169" s="4" t="str">
        <v>0</v>
      </c>
      <c r="I1169" s="4" t="str">
        <v>0</v>
      </c>
      <c r="J1169" s="4">
        <v>0</v>
      </c>
    </row>
    <row r="1170" spans="1:10" ht="16.5" hidden="1">
      <c r="A1170" s="4" t="str">
        <v xml:space="preserve"> </v>
      </c>
      <c r="B1170" s="4">
        <v>0</v>
      </c>
      <c r="C1170" s="4">
        <v>0</v>
      </c>
      <c r="D1170" s="4">
        <v>0</v>
      </c>
      <c r="E1170" s="4" t="str">
        <v>0</v>
      </c>
      <c r="F1170" s="102" t="str">
        <f ca="1">IFERROR(__xludf.DUMMYFUNCTION("IMPORTRANGE(H1170,""IDENTITAS UNIT!D9"")"),"#N/A")</f>
        <v>#N/A</v>
      </c>
      <c r="H1170" s="4" t="str">
        <v>0</v>
      </c>
      <c r="I1170" s="4" t="str">
        <v>0</v>
      </c>
      <c r="J1170" s="4">
        <v>0</v>
      </c>
    </row>
    <row r="1171" spans="1:10" ht="16.5" hidden="1">
      <c r="A1171" s="4" t="str">
        <v xml:space="preserve"> </v>
      </c>
      <c r="B1171" s="4">
        <v>0</v>
      </c>
      <c r="C1171" s="4">
        <v>0</v>
      </c>
      <c r="D1171" s="4">
        <v>0</v>
      </c>
      <c r="E1171" s="4" t="str">
        <v>0</v>
      </c>
      <c r="F1171" s="102" t="str">
        <f ca="1">IFERROR(__xludf.DUMMYFUNCTION("IMPORTRANGE(H1171,""IDENTITAS UNIT!D9"")"),"#N/A")</f>
        <v>#N/A</v>
      </c>
      <c r="H1171" s="4" t="str">
        <v>0</v>
      </c>
      <c r="I1171" s="4" t="str">
        <v>0</v>
      </c>
      <c r="J1171" s="4">
        <v>0</v>
      </c>
    </row>
    <row r="1172" spans="1:10" ht="16.5" hidden="1">
      <c r="A1172" s="4" t="str">
        <v xml:space="preserve"> </v>
      </c>
      <c r="B1172" s="4">
        <v>0</v>
      </c>
      <c r="C1172" s="4">
        <v>0</v>
      </c>
      <c r="D1172" s="4">
        <v>0</v>
      </c>
      <c r="E1172" s="4" t="str">
        <v>0</v>
      </c>
      <c r="F1172" s="102" t="str">
        <f ca="1">IFERROR(__xludf.DUMMYFUNCTION("IMPORTRANGE(H1172,""IDENTITAS UNIT!D9"")"),"#N/A")</f>
        <v>#N/A</v>
      </c>
      <c r="H1172" s="4" t="str">
        <v>0</v>
      </c>
      <c r="I1172" s="4" t="str">
        <v>0</v>
      </c>
      <c r="J1172" s="4">
        <v>0</v>
      </c>
    </row>
    <row r="1173" spans="1:10" ht="16.5" hidden="1">
      <c r="A1173" s="4" t="str">
        <v xml:space="preserve"> </v>
      </c>
      <c r="B1173" s="4">
        <v>0</v>
      </c>
      <c r="C1173" s="4">
        <v>0</v>
      </c>
      <c r="D1173" s="4">
        <v>0</v>
      </c>
      <c r="E1173" s="4" t="str">
        <v>0</v>
      </c>
      <c r="F1173" s="102" t="str">
        <f ca="1">IFERROR(__xludf.DUMMYFUNCTION("IMPORTRANGE(H1173,""IDENTITAS UNIT!D9"")"),"#N/A")</f>
        <v>#N/A</v>
      </c>
      <c r="H1173" s="4" t="str">
        <v>0</v>
      </c>
      <c r="I1173" s="4" t="str">
        <v>0</v>
      </c>
      <c r="J1173" s="4">
        <v>0</v>
      </c>
    </row>
    <row r="1174" spans="1:10" ht="16.5" hidden="1">
      <c r="A1174" s="4" t="str">
        <v xml:space="preserve"> </v>
      </c>
      <c r="B1174" s="4">
        <v>0</v>
      </c>
      <c r="C1174" s="4">
        <v>0</v>
      </c>
      <c r="D1174" s="4">
        <v>0</v>
      </c>
      <c r="E1174" s="4" t="str">
        <v>0</v>
      </c>
      <c r="F1174" s="102" t="str">
        <f ca="1">IFERROR(__xludf.DUMMYFUNCTION("IMPORTRANGE(H1174,""IDENTITAS UNIT!D9"")"),"#N/A")</f>
        <v>#N/A</v>
      </c>
      <c r="H1174" s="4" t="str">
        <v>0</v>
      </c>
      <c r="I1174" s="4" t="str">
        <v>0</v>
      </c>
      <c r="J1174" s="4">
        <v>0</v>
      </c>
    </row>
    <row r="1175" spans="1:10" ht="16.5" hidden="1">
      <c r="A1175" s="4" t="str">
        <v xml:space="preserve"> </v>
      </c>
      <c r="B1175" s="4">
        <v>0</v>
      </c>
      <c r="C1175" s="4">
        <v>0</v>
      </c>
      <c r="D1175" s="4">
        <v>0</v>
      </c>
      <c r="E1175" s="4" t="str">
        <v>0</v>
      </c>
      <c r="F1175" s="102" t="str">
        <f ca="1">IFERROR(__xludf.DUMMYFUNCTION("IMPORTRANGE(H1175,""IDENTITAS UNIT!D9"")"),"#N/A")</f>
        <v>#N/A</v>
      </c>
      <c r="H1175" s="4" t="str">
        <v>0</v>
      </c>
      <c r="I1175" s="4" t="str">
        <v>0</v>
      </c>
      <c r="J1175" s="4">
        <v>0</v>
      </c>
    </row>
    <row r="1176" spans="1:10" ht="16.5" hidden="1">
      <c r="A1176" s="4" t="str">
        <v xml:space="preserve"> </v>
      </c>
      <c r="B1176" s="4">
        <v>0</v>
      </c>
      <c r="C1176" s="4">
        <v>0</v>
      </c>
      <c r="D1176" s="4">
        <v>0</v>
      </c>
      <c r="E1176" s="4" t="str">
        <v>0</v>
      </c>
      <c r="F1176" s="102" t="str">
        <f ca="1">IFERROR(__xludf.DUMMYFUNCTION("IMPORTRANGE(H1176,""IDENTITAS UNIT!D9"")"),"#N/A")</f>
        <v>#N/A</v>
      </c>
      <c r="H1176" s="4" t="str">
        <v>0</v>
      </c>
      <c r="I1176" s="4" t="str">
        <v>0</v>
      </c>
      <c r="J1176" s="4">
        <v>0</v>
      </c>
    </row>
    <row r="1177" spans="1:10" ht="16.5" hidden="1">
      <c r="A1177" s="4" t="str">
        <v xml:space="preserve"> </v>
      </c>
      <c r="B1177" s="4">
        <v>0</v>
      </c>
      <c r="C1177" s="4">
        <v>0</v>
      </c>
      <c r="D1177" s="4">
        <v>0</v>
      </c>
      <c r="E1177" s="4" t="str">
        <v>0</v>
      </c>
      <c r="F1177" s="102" t="str">
        <f ca="1">IFERROR(__xludf.DUMMYFUNCTION("IMPORTRANGE(H1177,""IDENTITAS UNIT!D9"")"),"#N/A")</f>
        <v>#N/A</v>
      </c>
      <c r="H1177" s="4" t="str">
        <v>0</v>
      </c>
      <c r="I1177" s="4" t="str">
        <v>0</v>
      </c>
      <c r="J1177" s="4">
        <v>0</v>
      </c>
    </row>
    <row r="1178" spans="1:10" ht="16.5" hidden="1">
      <c r="A1178" s="4" t="str">
        <v xml:space="preserve"> </v>
      </c>
      <c r="B1178" s="4">
        <v>0</v>
      </c>
      <c r="C1178" s="4">
        <v>0</v>
      </c>
      <c r="D1178" s="4">
        <v>0</v>
      </c>
      <c r="E1178" s="4" t="str">
        <v>0</v>
      </c>
      <c r="F1178" s="102" t="str">
        <f ca="1">IFERROR(__xludf.DUMMYFUNCTION("IMPORTRANGE(H1178,""IDENTITAS UNIT!D9"")"),"#N/A")</f>
        <v>#N/A</v>
      </c>
      <c r="H1178" s="4" t="str">
        <v>0</v>
      </c>
      <c r="I1178" s="4" t="str">
        <v>0</v>
      </c>
      <c r="J1178" s="4">
        <v>0</v>
      </c>
    </row>
    <row r="1179" spans="1:10" ht="16.5" hidden="1">
      <c r="A1179" s="4" t="str">
        <v xml:space="preserve"> </v>
      </c>
      <c r="B1179" s="4">
        <v>0</v>
      </c>
      <c r="C1179" s="4">
        <v>0</v>
      </c>
      <c r="D1179" s="4">
        <v>0</v>
      </c>
      <c r="E1179" s="4" t="str">
        <v>0</v>
      </c>
      <c r="F1179" s="102" t="str">
        <f ca="1">IFERROR(__xludf.DUMMYFUNCTION("IMPORTRANGE(H1179,""IDENTITAS UNIT!D9"")"),"#N/A")</f>
        <v>#N/A</v>
      </c>
      <c r="H1179" s="4" t="str">
        <v>0</v>
      </c>
      <c r="I1179" s="4" t="str">
        <v>0</v>
      </c>
      <c r="J1179" s="4">
        <v>0</v>
      </c>
    </row>
    <row r="1180" spans="1:10" ht="16.5" hidden="1">
      <c r="A1180" s="4" t="str">
        <v xml:space="preserve"> </v>
      </c>
      <c r="B1180" s="4">
        <v>0</v>
      </c>
      <c r="C1180" s="4">
        <v>0</v>
      </c>
      <c r="D1180" s="4">
        <v>0</v>
      </c>
      <c r="E1180" s="4" t="str">
        <v>0</v>
      </c>
      <c r="F1180" s="102" t="str">
        <f ca="1">IFERROR(__xludf.DUMMYFUNCTION("IMPORTRANGE(H1180,""IDENTITAS UNIT!D9"")"),"#N/A")</f>
        <v>#N/A</v>
      </c>
      <c r="H1180" s="4" t="str">
        <v>0</v>
      </c>
      <c r="I1180" s="4" t="str">
        <v>0</v>
      </c>
      <c r="J1180" s="4">
        <v>0</v>
      </c>
    </row>
    <row r="1181" spans="1:10" ht="16.5" hidden="1">
      <c r="A1181" s="4" t="str">
        <v xml:space="preserve"> </v>
      </c>
      <c r="B1181" s="4">
        <v>0</v>
      </c>
      <c r="C1181" s="4">
        <v>0</v>
      </c>
      <c r="D1181" s="4">
        <v>0</v>
      </c>
      <c r="E1181" s="4" t="str">
        <v>0</v>
      </c>
      <c r="F1181" s="102" t="str">
        <f ca="1">IFERROR(__xludf.DUMMYFUNCTION("IMPORTRANGE(H1181,""IDENTITAS UNIT!D9"")"),"#N/A")</f>
        <v>#N/A</v>
      </c>
      <c r="H1181" s="4" t="str">
        <v>0</v>
      </c>
      <c r="I1181" s="4" t="str">
        <v>0</v>
      </c>
      <c r="J1181" s="4">
        <v>0</v>
      </c>
    </row>
    <row r="1182" spans="1:10" ht="16.5" hidden="1">
      <c r="A1182" s="4" t="str">
        <v xml:space="preserve"> </v>
      </c>
      <c r="B1182" s="4">
        <v>0</v>
      </c>
      <c r="C1182" s="4">
        <v>0</v>
      </c>
      <c r="D1182" s="4">
        <v>0</v>
      </c>
      <c r="E1182" s="4" t="str">
        <v>0</v>
      </c>
      <c r="F1182" s="102" t="str">
        <f ca="1">IFERROR(__xludf.DUMMYFUNCTION("IMPORTRANGE(H1182,""IDENTITAS UNIT!D9"")"),"#N/A")</f>
        <v>#N/A</v>
      </c>
      <c r="H1182" s="4" t="str">
        <v>0</v>
      </c>
      <c r="I1182" s="4" t="str">
        <v>0</v>
      </c>
      <c r="J1182" s="4">
        <v>0</v>
      </c>
    </row>
    <row r="1183" spans="1:10" ht="16.5" hidden="1">
      <c r="A1183" s="4" t="str">
        <v xml:space="preserve"> </v>
      </c>
      <c r="B1183" s="4">
        <v>0</v>
      </c>
      <c r="C1183" s="4">
        <v>0</v>
      </c>
      <c r="D1183" s="4">
        <v>0</v>
      </c>
      <c r="E1183" s="4" t="str">
        <v>0</v>
      </c>
      <c r="F1183" s="102" t="str">
        <f ca="1">IFERROR(__xludf.DUMMYFUNCTION("IMPORTRANGE(H1183,""IDENTITAS UNIT!D9"")"),"#N/A")</f>
        <v>#N/A</v>
      </c>
      <c r="H1183" s="4" t="str">
        <v>0</v>
      </c>
      <c r="I1183" s="4" t="str">
        <v>0</v>
      </c>
      <c r="J1183" s="4">
        <v>0</v>
      </c>
    </row>
    <row r="1184" spans="1:10" ht="16.5" hidden="1">
      <c r="A1184" s="4" t="str">
        <v xml:space="preserve"> </v>
      </c>
      <c r="B1184" s="4">
        <v>0</v>
      </c>
      <c r="C1184" s="4">
        <v>0</v>
      </c>
      <c r="D1184" s="4">
        <v>0</v>
      </c>
      <c r="E1184" s="4" t="str">
        <v>0</v>
      </c>
      <c r="F1184" s="102" t="str">
        <f ca="1">IFERROR(__xludf.DUMMYFUNCTION("IMPORTRANGE(H1184,""IDENTITAS UNIT!D9"")"),"#N/A")</f>
        <v>#N/A</v>
      </c>
      <c r="H1184" s="4" t="str">
        <v>0</v>
      </c>
      <c r="I1184" s="4" t="str">
        <v>0</v>
      </c>
      <c r="J1184" s="4">
        <v>0</v>
      </c>
    </row>
    <row r="1185" spans="1:10" ht="16.5" hidden="1">
      <c r="A1185" s="4" t="str">
        <v xml:space="preserve"> </v>
      </c>
      <c r="B1185" s="4">
        <v>0</v>
      </c>
      <c r="C1185" s="4">
        <v>0</v>
      </c>
      <c r="D1185" s="4">
        <v>0</v>
      </c>
      <c r="E1185" s="4" t="str">
        <v>0</v>
      </c>
      <c r="F1185" s="102" t="str">
        <f ca="1">IFERROR(__xludf.DUMMYFUNCTION("IMPORTRANGE(H1185,""IDENTITAS UNIT!D9"")"),"#N/A")</f>
        <v>#N/A</v>
      </c>
      <c r="H1185" s="4" t="str">
        <v>0</v>
      </c>
      <c r="I1185" s="4" t="str">
        <v>0</v>
      </c>
      <c r="J1185" s="4">
        <v>0</v>
      </c>
    </row>
    <row r="1186" spans="1:10" ht="16.5" hidden="1">
      <c r="A1186" s="4" t="str">
        <v xml:space="preserve"> </v>
      </c>
      <c r="B1186" s="4">
        <v>0</v>
      </c>
      <c r="C1186" s="4">
        <v>0</v>
      </c>
      <c r="D1186" s="4">
        <v>0</v>
      </c>
      <c r="E1186" s="4" t="str">
        <v>0</v>
      </c>
      <c r="F1186" s="102" t="str">
        <f ca="1">IFERROR(__xludf.DUMMYFUNCTION("IMPORTRANGE(H1186,""IDENTITAS UNIT!D9"")"),"#N/A")</f>
        <v>#N/A</v>
      </c>
      <c r="H1186" s="4" t="str">
        <v>0</v>
      </c>
      <c r="I1186" s="4" t="str">
        <v>0</v>
      </c>
      <c r="J1186" s="4">
        <v>0</v>
      </c>
    </row>
    <row r="1187" spans="1:10" ht="16.5" hidden="1">
      <c r="A1187" s="4" t="str">
        <v xml:space="preserve"> </v>
      </c>
      <c r="B1187" s="4">
        <v>0</v>
      </c>
      <c r="C1187" s="4">
        <v>0</v>
      </c>
      <c r="D1187" s="4">
        <v>0</v>
      </c>
      <c r="E1187" s="4" t="str">
        <v>0</v>
      </c>
      <c r="F1187" s="102" t="str">
        <f ca="1">IFERROR(__xludf.DUMMYFUNCTION("IMPORTRANGE(H1187,""IDENTITAS UNIT!D9"")"),"#N/A")</f>
        <v>#N/A</v>
      </c>
      <c r="H1187" s="4" t="str">
        <v>0</v>
      </c>
      <c r="I1187" s="4" t="str">
        <v>0</v>
      </c>
      <c r="J1187" s="4">
        <v>0</v>
      </c>
    </row>
    <row r="1188" spans="1:10" ht="16.5" hidden="1">
      <c r="A1188" s="4" t="str">
        <v xml:space="preserve"> </v>
      </c>
      <c r="B1188" s="4">
        <v>0</v>
      </c>
      <c r="C1188" s="4">
        <v>0</v>
      </c>
      <c r="D1188" s="4">
        <v>0</v>
      </c>
      <c r="E1188" s="4" t="str">
        <v>0</v>
      </c>
      <c r="F1188" s="102" t="str">
        <f ca="1">IFERROR(__xludf.DUMMYFUNCTION("IMPORTRANGE(H1188,""IDENTITAS UNIT!D9"")"),"#N/A")</f>
        <v>#N/A</v>
      </c>
      <c r="H1188" s="4" t="str">
        <v>0</v>
      </c>
      <c r="I1188" s="4" t="str">
        <v>0</v>
      </c>
      <c r="J1188" s="4">
        <v>0</v>
      </c>
    </row>
    <row r="1189" spans="1:10" ht="16.5" hidden="1">
      <c r="A1189" s="4" t="str">
        <v xml:space="preserve"> </v>
      </c>
      <c r="B1189" s="4">
        <v>0</v>
      </c>
      <c r="C1189" s="4">
        <v>0</v>
      </c>
      <c r="D1189" s="4">
        <v>0</v>
      </c>
      <c r="E1189" s="4" t="str">
        <v>0</v>
      </c>
      <c r="F1189" s="102" t="str">
        <f ca="1">IFERROR(__xludf.DUMMYFUNCTION("IMPORTRANGE(H1189,""IDENTITAS UNIT!D9"")"),"#N/A")</f>
        <v>#N/A</v>
      </c>
      <c r="H1189" s="4" t="str">
        <v>0</v>
      </c>
      <c r="I1189" s="4" t="str">
        <v>0</v>
      </c>
      <c r="J1189" s="4">
        <v>0</v>
      </c>
    </row>
    <row r="1190" spans="1:10" ht="16.5" hidden="1">
      <c r="A1190" s="4" t="str">
        <v xml:space="preserve"> </v>
      </c>
      <c r="B1190" s="4">
        <v>0</v>
      </c>
      <c r="C1190" s="4">
        <v>0</v>
      </c>
      <c r="D1190" s="4">
        <v>0</v>
      </c>
      <c r="E1190" s="4" t="str">
        <v>0</v>
      </c>
      <c r="F1190" s="102" t="str">
        <f ca="1">IFERROR(__xludf.DUMMYFUNCTION("IMPORTRANGE(H1190,""IDENTITAS UNIT!D9"")"),"#N/A")</f>
        <v>#N/A</v>
      </c>
      <c r="H1190" s="4" t="str">
        <v>0</v>
      </c>
      <c r="I1190" s="4" t="str">
        <v>0</v>
      </c>
      <c r="J1190" s="4">
        <v>0</v>
      </c>
    </row>
    <row r="1191" spans="1:10" ht="16.5" hidden="1">
      <c r="A1191" s="4" t="str">
        <v xml:space="preserve"> </v>
      </c>
      <c r="B1191" s="4">
        <v>0</v>
      </c>
      <c r="C1191" s="4">
        <v>0</v>
      </c>
      <c r="D1191" s="4">
        <v>0</v>
      </c>
      <c r="E1191" s="4" t="str">
        <v>0</v>
      </c>
      <c r="F1191" s="102" t="str">
        <f ca="1">IFERROR(__xludf.DUMMYFUNCTION("IMPORTRANGE(H1191,""IDENTITAS UNIT!D9"")"),"#N/A")</f>
        <v>#N/A</v>
      </c>
      <c r="H1191" s="4" t="str">
        <v>0</v>
      </c>
      <c r="I1191" s="4" t="str">
        <v>0</v>
      </c>
      <c r="J1191" s="4">
        <v>0</v>
      </c>
    </row>
    <row r="1192" spans="1:10" ht="16.5" hidden="1">
      <c r="A1192" s="4" t="str">
        <v xml:space="preserve"> </v>
      </c>
      <c r="B1192" s="4">
        <v>0</v>
      </c>
      <c r="C1192" s="4">
        <v>0</v>
      </c>
      <c r="D1192" s="4">
        <v>0</v>
      </c>
      <c r="E1192" s="4" t="str">
        <v>0</v>
      </c>
      <c r="F1192" s="102" t="str">
        <f ca="1">IFERROR(__xludf.DUMMYFUNCTION("IMPORTRANGE(H1192,""IDENTITAS UNIT!D9"")"),"#N/A")</f>
        <v>#N/A</v>
      </c>
      <c r="H1192" s="4" t="str">
        <v>0</v>
      </c>
      <c r="I1192" s="4" t="str">
        <v>0</v>
      </c>
      <c r="J1192" s="4">
        <v>0</v>
      </c>
    </row>
    <row r="1193" spans="1:10" ht="16.5" hidden="1">
      <c r="A1193" s="4" t="str">
        <v xml:space="preserve"> </v>
      </c>
      <c r="B1193" s="4">
        <v>0</v>
      </c>
      <c r="C1193" s="4">
        <v>0</v>
      </c>
      <c r="D1193" s="4">
        <v>0</v>
      </c>
      <c r="E1193" s="4" t="str">
        <v>0</v>
      </c>
      <c r="F1193" s="102" t="str">
        <f ca="1">IFERROR(__xludf.DUMMYFUNCTION("IMPORTRANGE(H1193,""IDENTITAS UNIT!D9"")"),"#N/A")</f>
        <v>#N/A</v>
      </c>
      <c r="H1193" s="4" t="str">
        <v>0</v>
      </c>
      <c r="I1193" s="4" t="str">
        <v>0</v>
      </c>
      <c r="J1193" s="4">
        <v>0</v>
      </c>
    </row>
    <row r="1194" spans="1:10" ht="16.5" hidden="1">
      <c r="A1194" s="4" t="str">
        <v xml:space="preserve"> </v>
      </c>
      <c r="B1194" s="4">
        <v>0</v>
      </c>
      <c r="C1194" s="4">
        <v>0</v>
      </c>
      <c r="D1194" s="4">
        <v>0</v>
      </c>
      <c r="E1194" s="4" t="str">
        <v>0</v>
      </c>
      <c r="F1194" s="102" t="str">
        <f ca="1">IFERROR(__xludf.DUMMYFUNCTION("IMPORTRANGE(H1194,""IDENTITAS UNIT!D9"")"),"#N/A")</f>
        <v>#N/A</v>
      </c>
      <c r="H1194" s="4" t="str">
        <v>0</v>
      </c>
      <c r="I1194" s="4" t="str">
        <v>0</v>
      </c>
      <c r="J1194" s="4">
        <v>0</v>
      </c>
    </row>
    <row r="1195" spans="1:10" ht="16.5" hidden="1">
      <c r="A1195" s="4" t="str">
        <v xml:space="preserve"> </v>
      </c>
      <c r="B1195" s="4">
        <v>0</v>
      </c>
      <c r="C1195" s="4">
        <v>0</v>
      </c>
      <c r="D1195" s="4">
        <v>0</v>
      </c>
      <c r="E1195" s="4" t="str">
        <v>0</v>
      </c>
      <c r="F1195" s="102" t="str">
        <f ca="1">IFERROR(__xludf.DUMMYFUNCTION("IMPORTRANGE(H1195,""IDENTITAS UNIT!D9"")"),"#N/A")</f>
        <v>#N/A</v>
      </c>
      <c r="H1195" s="4" t="str">
        <v>0</v>
      </c>
      <c r="I1195" s="4" t="str">
        <v>0</v>
      </c>
      <c r="J1195" s="4">
        <v>0</v>
      </c>
    </row>
    <row r="1196" spans="1:10" ht="16.5" hidden="1">
      <c r="A1196" s="4" t="str">
        <v xml:space="preserve"> </v>
      </c>
      <c r="B1196" s="4">
        <v>0</v>
      </c>
      <c r="C1196" s="4">
        <v>0</v>
      </c>
      <c r="D1196" s="4">
        <v>0</v>
      </c>
      <c r="E1196" s="4" t="str">
        <v>0</v>
      </c>
      <c r="F1196" s="102" t="str">
        <f ca="1">IFERROR(__xludf.DUMMYFUNCTION("IMPORTRANGE(H1196,""IDENTITAS UNIT!D9"")"),"#N/A")</f>
        <v>#N/A</v>
      </c>
      <c r="H1196" s="4" t="str">
        <v>0</v>
      </c>
      <c r="I1196" s="4" t="str">
        <v>0</v>
      </c>
      <c r="J1196" s="4">
        <v>0</v>
      </c>
    </row>
    <row r="1197" spans="1:10" ht="16.5" hidden="1">
      <c r="A1197" s="4" t="str">
        <v xml:space="preserve"> </v>
      </c>
      <c r="B1197" s="4">
        <v>0</v>
      </c>
      <c r="C1197" s="4">
        <v>0</v>
      </c>
      <c r="D1197" s="4">
        <v>0</v>
      </c>
      <c r="E1197" s="4" t="str">
        <v>0</v>
      </c>
      <c r="F1197" s="102" t="str">
        <f ca="1">IFERROR(__xludf.DUMMYFUNCTION("IMPORTRANGE(H1197,""IDENTITAS UNIT!D9"")"),"#N/A")</f>
        <v>#N/A</v>
      </c>
      <c r="H1197" s="4" t="str">
        <v>0</v>
      </c>
      <c r="I1197" s="4" t="str">
        <v>0</v>
      </c>
      <c r="J1197" s="4">
        <v>0</v>
      </c>
    </row>
    <row r="1198" spans="1:10" ht="16.5" hidden="1">
      <c r="A1198" s="4" t="str">
        <v xml:space="preserve"> </v>
      </c>
      <c r="B1198" s="4">
        <v>0</v>
      </c>
      <c r="C1198" s="4">
        <v>0</v>
      </c>
      <c r="D1198" s="4">
        <v>0</v>
      </c>
      <c r="E1198" s="4" t="str">
        <v>0</v>
      </c>
      <c r="F1198" s="102" t="str">
        <f ca="1">IFERROR(__xludf.DUMMYFUNCTION("IMPORTRANGE(H1198,""IDENTITAS UNIT!D9"")"),"#N/A")</f>
        <v>#N/A</v>
      </c>
      <c r="H1198" s="4" t="str">
        <v>0</v>
      </c>
      <c r="I1198" s="4" t="str">
        <v>0</v>
      </c>
      <c r="J1198" s="4">
        <v>0</v>
      </c>
    </row>
    <row r="1199" spans="1:10" ht="16.5" hidden="1">
      <c r="A1199" s="4" t="str">
        <v xml:space="preserve"> </v>
      </c>
      <c r="B1199" s="4">
        <v>0</v>
      </c>
      <c r="C1199" s="4">
        <v>0</v>
      </c>
      <c r="D1199" s="4">
        <v>0</v>
      </c>
      <c r="E1199" s="4" t="str">
        <v>0</v>
      </c>
      <c r="F1199" s="102" t="str">
        <f ca="1">IFERROR(__xludf.DUMMYFUNCTION("IMPORTRANGE(H1199,""IDENTITAS UNIT!D9"")"),"#N/A")</f>
        <v>#N/A</v>
      </c>
      <c r="H1199" s="4" t="str">
        <v>0</v>
      </c>
      <c r="I1199" s="4" t="str">
        <v>0</v>
      </c>
      <c r="J1199" s="4">
        <v>0</v>
      </c>
    </row>
    <row r="1200" spans="1:10" ht="16.5" hidden="1">
      <c r="A1200" s="4" t="str">
        <v xml:space="preserve"> </v>
      </c>
      <c r="B1200" s="4">
        <v>0</v>
      </c>
      <c r="C1200" s="4">
        <v>0</v>
      </c>
      <c r="D1200" s="4">
        <v>0</v>
      </c>
      <c r="E1200" s="4" t="str">
        <v>0</v>
      </c>
      <c r="F1200" s="102" t="str">
        <f ca="1">IFERROR(__xludf.DUMMYFUNCTION("IMPORTRANGE(H1200,""IDENTITAS UNIT!D9"")"),"#N/A")</f>
        <v>#N/A</v>
      </c>
      <c r="H1200" s="4" t="str">
        <v>0</v>
      </c>
      <c r="I1200" s="4" t="str">
        <v>0</v>
      </c>
      <c r="J1200" s="4">
        <v>0</v>
      </c>
    </row>
    <row r="1201" spans="1:10" ht="16.5" hidden="1">
      <c r="A1201" s="4" t="str">
        <v xml:space="preserve"> </v>
      </c>
      <c r="B1201" s="4">
        <v>0</v>
      </c>
      <c r="C1201" s="4">
        <v>0</v>
      </c>
      <c r="D1201" s="4">
        <v>0</v>
      </c>
      <c r="E1201" s="4" t="str">
        <v>0</v>
      </c>
      <c r="F1201" s="102" t="str">
        <f ca="1">IFERROR(__xludf.DUMMYFUNCTION("IMPORTRANGE(H1201,""IDENTITAS UNIT!D9"")"),"#N/A")</f>
        <v>#N/A</v>
      </c>
      <c r="H1201" s="4" t="str">
        <v>0</v>
      </c>
      <c r="I1201" s="4" t="str">
        <v>0</v>
      </c>
      <c r="J1201" s="4">
        <v>0</v>
      </c>
    </row>
    <row r="1202" spans="1:10" ht="16.5" hidden="1">
      <c r="A1202" s="4" t="str">
        <v xml:space="preserve"> </v>
      </c>
      <c r="B1202" s="4">
        <v>0</v>
      </c>
      <c r="C1202" s="4">
        <v>0</v>
      </c>
      <c r="D1202" s="4">
        <v>0</v>
      </c>
      <c r="E1202" s="4" t="str">
        <v>0</v>
      </c>
      <c r="F1202" s="102" t="str">
        <f ca="1">IFERROR(__xludf.DUMMYFUNCTION("IMPORTRANGE(H1202,""IDENTITAS UNIT!D9"")"),"#N/A")</f>
        <v>#N/A</v>
      </c>
      <c r="H1202" s="4" t="str">
        <v>0</v>
      </c>
      <c r="I1202" s="4" t="str">
        <v>0</v>
      </c>
      <c r="J1202" s="4">
        <v>0</v>
      </c>
    </row>
    <row r="1203" spans="1:10" ht="16.5" hidden="1">
      <c r="A1203" s="4" t="str">
        <v xml:space="preserve"> </v>
      </c>
      <c r="B1203" s="4">
        <v>0</v>
      </c>
      <c r="C1203" s="4">
        <v>0</v>
      </c>
      <c r="D1203" s="4">
        <v>0</v>
      </c>
      <c r="E1203" s="4" t="str">
        <v>0</v>
      </c>
      <c r="F1203" s="102" t="str">
        <f ca="1">IFERROR(__xludf.DUMMYFUNCTION("IMPORTRANGE(H1203,""IDENTITAS UNIT!D9"")"),"#N/A")</f>
        <v>#N/A</v>
      </c>
      <c r="H1203" s="4" t="str">
        <v>0</v>
      </c>
      <c r="I1203" s="4" t="str">
        <v>0</v>
      </c>
      <c r="J1203" s="4">
        <v>0</v>
      </c>
    </row>
    <row r="1204" spans="1:10" ht="16.5" hidden="1">
      <c r="A1204" s="4" t="str">
        <v xml:space="preserve"> </v>
      </c>
      <c r="B1204" s="4">
        <v>0</v>
      </c>
      <c r="C1204" s="4">
        <v>0</v>
      </c>
      <c r="D1204" s="4">
        <v>0</v>
      </c>
      <c r="E1204" s="4" t="str">
        <v>0</v>
      </c>
      <c r="F1204" s="102" t="str">
        <f ca="1">IFERROR(__xludf.DUMMYFUNCTION("IMPORTRANGE(H1204,""IDENTITAS UNIT!D9"")"),"#N/A")</f>
        <v>#N/A</v>
      </c>
      <c r="H1204" s="4" t="str">
        <v>0</v>
      </c>
      <c r="I1204" s="4" t="str">
        <v>0</v>
      </c>
      <c r="J1204" s="4">
        <v>0</v>
      </c>
    </row>
    <row r="1205" spans="1:10" ht="16.5" hidden="1">
      <c r="A1205" s="4" t="str">
        <v xml:space="preserve"> </v>
      </c>
      <c r="B1205" s="4">
        <v>0</v>
      </c>
      <c r="C1205" s="4">
        <v>0</v>
      </c>
      <c r="D1205" s="4">
        <v>0</v>
      </c>
      <c r="E1205" s="4" t="str">
        <v>0</v>
      </c>
      <c r="F1205" s="102" t="str">
        <f ca="1">IFERROR(__xludf.DUMMYFUNCTION("IMPORTRANGE(H1205,""IDENTITAS UNIT!D9"")"),"#N/A")</f>
        <v>#N/A</v>
      </c>
      <c r="H1205" s="4" t="str">
        <v>0</v>
      </c>
      <c r="I1205" s="4" t="str">
        <v>0</v>
      </c>
      <c r="J1205" s="4">
        <v>0</v>
      </c>
    </row>
    <row r="1206" spans="1:10" ht="16.5" hidden="1">
      <c r="A1206" s="4" t="str">
        <v xml:space="preserve"> </v>
      </c>
      <c r="B1206" s="4">
        <v>0</v>
      </c>
      <c r="C1206" s="4">
        <v>0</v>
      </c>
      <c r="D1206" s="4">
        <v>0</v>
      </c>
      <c r="E1206" s="4" t="str">
        <v>0</v>
      </c>
      <c r="F1206" s="102" t="str">
        <f ca="1">IFERROR(__xludf.DUMMYFUNCTION("IMPORTRANGE(H1206,""IDENTITAS UNIT!D9"")"),"#N/A")</f>
        <v>#N/A</v>
      </c>
      <c r="H1206" s="4" t="str">
        <v>0</v>
      </c>
      <c r="I1206" s="4" t="str">
        <v>0</v>
      </c>
      <c r="J1206" s="4">
        <v>0</v>
      </c>
    </row>
    <row r="1207" spans="1:10" ht="16.5" hidden="1">
      <c r="A1207" s="4" t="str">
        <v xml:space="preserve"> </v>
      </c>
      <c r="B1207" s="4">
        <v>0</v>
      </c>
      <c r="C1207" s="4">
        <v>0</v>
      </c>
      <c r="D1207" s="4">
        <v>0</v>
      </c>
      <c r="E1207" s="4" t="str">
        <v>0</v>
      </c>
      <c r="F1207" s="102" t="str">
        <f ca="1">IFERROR(__xludf.DUMMYFUNCTION("IMPORTRANGE(H1207,""IDENTITAS UNIT!D9"")"),"#N/A")</f>
        <v>#N/A</v>
      </c>
      <c r="H1207" s="4" t="str">
        <v>0</v>
      </c>
      <c r="I1207" s="4" t="str">
        <v>0</v>
      </c>
      <c r="J1207" s="4">
        <v>0</v>
      </c>
    </row>
    <row r="1208" spans="1:10" ht="16.5" hidden="1">
      <c r="A1208" s="4" t="str">
        <v xml:space="preserve"> </v>
      </c>
      <c r="B1208" s="4">
        <v>0</v>
      </c>
      <c r="C1208" s="4">
        <v>0</v>
      </c>
      <c r="D1208" s="4">
        <v>0</v>
      </c>
      <c r="E1208" s="4" t="str">
        <v>0</v>
      </c>
      <c r="F1208" s="102" t="str">
        <f ca="1">IFERROR(__xludf.DUMMYFUNCTION("IMPORTRANGE(H1208,""IDENTITAS UNIT!D9"")"),"#N/A")</f>
        <v>#N/A</v>
      </c>
      <c r="H1208" s="4" t="str">
        <v>0</v>
      </c>
      <c r="I1208" s="4" t="str">
        <v>0</v>
      </c>
      <c r="J1208" s="4">
        <v>0</v>
      </c>
    </row>
    <row r="1209" spans="1:10" ht="16.5" hidden="1">
      <c r="A1209" s="4" t="str">
        <v xml:space="preserve"> </v>
      </c>
      <c r="B1209" s="4">
        <v>0</v>
      </c>
      <c r="C1209" s="4">
        <v>0</v>
      </c>
      <c r="D1209" s="4">
        <v>0</v>
      </c>
      <c r="E1209" s="4" t="str">
        <v>0</v>
      </c>
      <c r="F1209" s="102" t="str">
        <f ca="1">IFERROR(__xludf.DUMMYFUNCTION("IMPORTRANGE(H1209,""IDENTITAS UNIT!D9"")"),"#N/A")</f>
        <v>#N/A</v>
      </c>
      <c r="H1209" s="4" t="str">
        <v>0</v>
      </c>
      <c r="I1209" s="4" t="str">
        <v>0</v>
      </c>
      <c r="J1209" s="4">
        <v>0</v>
      </c>
    </row>
    <row r="1210" spans="1:10" ht="16.5" hidden="1">
      <c r="A1210" s="4" t="str">
        <v xml:space="preserve"> </v>
      </c>
      <c r="B1210" s="4">
        <v>0</v>
      </c>
      <c r="C1210" s="4">
        <v>0</v>
      </c>
      <c r="D1210" s="4">
        <v>0</v>
      </c>
      <c r="E1210" s="4" t="str">
        <v>0</v>
      </c>
      <c r="F1210" s="102" t="str">
        <f ca="1">IFERROR(__xludf.DUMMYFUNCTION("IMPORTRANGE(H1210,""IDENTITAS UNIT!D9"")"),"#N/A")</f>
        <v>#N/A</v>
      </c>
      <c r="H1210" s="4" t="str">
        <v>0</v>
      </c>
      <c r="I1210" s="4" t="str">
        <v>0</v>
      </c>
      <c r="J1210" s="4">
        <v>0</v>
      </c>
    </row>
    <row r="1211" spans="1:10" ht="16.5" hidden="1">
      <c r="A1211" s="4" t="str">
        <v xml:space="preserve"> </v>
      </c>
      <c r="B1211" s="4">
        <v>0</v>
      </c>
      <c r="C1211" s="4">
        <v>0</v>
      </c>
      <c r="D1211" s="4">
        <v>0</v>
      </c>
      <c r="E1211" s="4" t="str">
        <v>0</v>
      </c>
      <c r="F1211" s="102" t="str">
        <f ca="1">IFERROR(__xludf.DUMMYFUNCTION("IMPORTRANGE(H1211,""IDENTITAS UNIT!D9"")"),"#N/A")</f>
        <v>#N/A</v>
      </c>
      <c r="H1211" s="4" t="str">
        <v>0</v>
      </c>
      <c r="I1211" s="4" t="str">
        <v>0</v>
      </c>
      <c r="J1211" s="4">
        <v>0</v>
      </c>
    </row>
    <row r="1212" spans="1:10" ht="16.5" hidden="1">
      <c r="A1212" s="4" t="str">
        <v xml:space="preserve"> </v>
      </c>
      <c r="B1212" s="4">
        <v>0</v>
      </c>
      <c r="C1212" s="4">
        <v>0</v>
      </c>
      <c r="D1212" s="4">
        <v>0</v>
      </c>
      <c r="E1212" s="4" t="str">
        <v>0</v>
      </c>
      <c r="F1212" s="102" t="str">
        <f ca="1">IFERROR(__xludf.DUMMYFUNCTION("IMPORTRANGE(H1212,""IDENTITAS UNIT!D9"")"),"#N/A")</f>
        <v>#N/A</v>
      </c>
      <c r="H1212" s="4" t="str">
        <v>0</v>
      </c>
      <c r="I1212" s="4" t="str">
        <v>0</v>
      </c>
      <c r="J1212" s="4">
        <v>0</v>
      </c>
    </row>
    <row r="1213" spans="1:10" ht="16.5" hidden="1">
      <c r="A1213" s="4" t="str">
        <v xml:space="preserve"> </v>
      </c>
      <c r="B1213" s="4">
        <v>0</v>
      </c>
      <c r="C1213" s="4">
        <v>0</v>
      </c>
      <c r="D1213" s="4">
        <v>0</v>
      </c>
      <c r="E1213" s="4" t="str">
        <v>0</v>
      </c>
      <c r="F1213" s="102" t="str">
        <f ca="1">IFERROR(__xludf.DUMMYFUNCTION("IMPORTRANGE(H1213,""IDENTITAS UNIT!D9"")"),"#N/A")</f>
        <v>#N/A</v>
      </c>
      <c r="H1213" s="4" t="str">
        <v>0</v>
      </c>
      <c r="I1213" s="4" t="str">
        <v>0</v>
      </c>
      <c r="J1213" s="4">
        <v>0</v>
      </c>
    </row>
    <row r="1214" spans="1:10" ht="16.5" hidden="1">
      <c r="A1214" s="4" t="str">
        <v xml:space="preserve"> </v>
      </c>
      <c r="B1214" s="4">
        <v>0</v>
      </c>
      <c r="C1214" s="4">
        <v>0</v>
      </c>
      <c r="D1214" s="4">
        <v>0</v>
      </c>
      <c r="E1214" s="4" t="str">
        <v>0</v>
      </c>
      <c r="F1214" s="102" t="str">
        <f ca="1">IFERROR(__xludf.DUMMYFUNCTION("IMPORTRANGE(H1214,""IDENTITAS UNIT!D9"")"),"#N/A")</f>
        <v>#N/A</v>
      </c>
      <c r="H1214" s="4" t="str">
        <v>0</v>
      </c>
      <c r="I1214" s="4" t="str">
        <v>0</v>
      </c>
      <c r="J1214" s="4">
        <v>0</v>
      </c>
    </row>
    <row r="1215" spans="1:10" ht="16.5" hidden="1">
      <c r="A1215" s="4" t="str">
        <v xml:space="preserve"> </v>
      </c>
      <c r="B1215" s="4">
        <v>0</v>
      </c>
      <c r="C1215" s="4">
        <v>0</v>
      </c>
      <c r="D1215" s="4">
        <v>0</v>
      </c>
      <c r="E1215" s="4" t="str">
        <v>0</v>
      </c>
      <c r="F1215" s="102" t="str">
        <f ca="1">IFERROR(__xludf.DUMMYFUNCTION("IMPORTRANGE(H1215,""IDENTITAS UNIT!D9"")"),"#N/A")</f>
        <v>#N/A</v>
      </c>
      <c r="H1215" s="4" t="str">
        <v>0</v>
      </c>
      <c r="I1215" s="4" t="str">
        <v>0</v>
      </c>
      <c r="J1215" s="4">
        <v>0</v>
      </c>
    </row>
    <row r="1216" spans="1:10" ht="16.5" hidden="1">
      <c r="A1216" s="4" t="str">
        <v xml:space="preserve"> </v>
      </c>
      <c r="B1216" s="4">
        <v>0</v>
      </c>
      <c r="C1216" s="4">
        <v>0</v>
      </c>
      <c r="D1216" s="4">
        <v>0</v>
      </c>
      <c r="E1216" s="4" t="str">
        <v>0</v>
      </c>
      <c r="F1216" s="102" t="str">
        <f ca="1">IFERROR(__xludf.DUMMYFUNCTION("IMPORTRANGE(H1216,""IDENTITAS UNIT!D9"")"),"#N/A")</f>
        <v>#N/A</v>
      </c>
      <c r="H1216" s="4" t="str">
        <v>0</v>
      </c>
      <c r="I1216" s="4" t="str">
        <v>0</v>
      </c>
      <c r="J1216" s="4">
        <v>0</v>
      </c>
    </row>
    <row r="1217" spans="1:10" ht="16.5" hidden="1">
      <c r="A1217" s="4" t="str">
        <v xml:space="preserve"> </v>
      </c>
      <c r="B1217" s="4">
        <v>0</v>
      </c>
      <c r="C1217" s="4">
        <v>0</v>
      </c>
      <c r="D1217" s="4">
        <v>0</v>
      </c>
      <c r="E1217" s="4" t="str">
        <v>0</v>
      </c>
      <c r="F1217" s="102" t="str">
        <f ca="1">IFERROR(__xludf.DUMMYFUNCTION("IMPORTRANGE(H1217,""IDENTITAS UNIT!D9"")"),"#N/A")</f>
        <v>#N/A</v>
      </c>
      <c r="H1217" s="4" t="str">
        <v>0</v>
      </c>
      <c r="I1217" s="4" t="str">
        <v>0</v>
      </c>
      <c r="J1217" s="4">
        <v>0</v>
      </c>
    </row>
    <row r="1218" spans="1:10" ht="16.5" hidden="1">
      <c r="A1218" s="4" t="str">
        <v xml:space="preserve"> </v>
      </c>
      <c r="B1218" s="4">
        <v>0</v>
      </c>
      <c r="C1218" s="4">
        <v>0</v>
      </c>
      <c r="D1218" s="4">
        <v>0</v>
      </c>
      <c r="E1218" s="4" t="str">
        <v>0</v>
      </c>
      <c r="F1218" s="102" t="str">
        <f ca="1">IFERROR(__xludf.DUMMYFUNCTION("IMPORTRANGE(H1218,""IDENTITAS UNIT!D9"")"),"#N/A")</f>
        <v>#N/A</v>
      </c>
      <c r="H1218" s="4" t="str">
        <v>0</v>
      </c>
      <c r="I1218" s="4" t="str">
        <v>0</v>
      </c>
      <c r="J1218" s="4">
        <v>0</v>
      </c>
    </row>
    <row r="1219" spans="1:10" ht="16.5" hidden="1">
      <c r="A1219" s="4" t="str">
        <v xml:space="preserve"> </v>
      </c>
      <c r="B1219" s="4">
        <v>0</v>
      </c>
      <c r="C1219" s="4">
        <v>0</v>
      </c>
      <c r="D1219" s="4">
        <v>0</v>
      </c>
      <c r="E1219" s="4" t="str">
        <v>0</v>
      </c>
      <c r="F1219" s="102" t="str">
        <f ca="1">IFERROR(__xludf.DUMMYFUNCTION("IMPORTRANGE(H1219,""IDENTITAS UNIT!D9"")"),"#N/A")</f>
        <v>#N/A</v>
      </c>
      <c r="H1219" s="4" t="str">
        <v>0</v>
      </c>
      <c r="I1219" s="4" t="str">
        <v>0</v>
      </c>
      <c r="J1219" s="4">
        <v>0</v>
      </c>
    </row>
    <row r="1220" spans="1:10" ht="16.5" hidden="1">
      <c r="A1220" s="4" t="str">
        <v xml:space="preserve"> </v>
      </c>
      <c r="B1220" s="4">
        <v>0</v>
      </c>
      <c r="C1220" s="4">
        <v>0</v>
      </c>
      <c r="D1220" s="4">
        <v>0</v>
      </c>
      <c r="E1220" s="4" t="str">
        <v>0</v>
      </c>
      <c r="F1220" s="102" t="str">
        <f ca="1">IFERROR(__xludf.DUMMYFUNCTION("IMPORTRANGE(H1220,""IDENTITAS UNIT!D9"")"),"#N/A")</f>
        <v>#N/A</v>
      </c>
      <c r="H1220" s="4" t="str">
        <v>0</v>
      </c>
      <c r="I1220" s="4" t="str">
        <v>0</v>
      </c>
      <c r="J1220" s="4">
        <v>0</v>
      </c>
    </row>
    <row r="1221" spans="1:10" ht="16.5" hidden="1">
      <c r="A1221" s="4" t="str">
        <v xml:space="preserve"> </v>
      </c>
      <c r="B1221" s="4">
        <v>0</v>
      </c>
      <c r="C1221" s="4">
        <v>0</v>
      </c>
      <c r="D1221" s="4">
        <v>0</v>
      </c>
      <c r="E1221" s="4" t="str">
        <v>0</v>
      </c>
      <c r="F1221" s="102" t="str">
        <f ca="1">IFERROR(__xludf.DUMMYFUNCTION("IMPORTRANGE(H1221,""IDENTITAS UNIT!D9"")"),"#N/A")</f>
        <v>#N/A</v>
      </c>
      <c r="H1221" s="4" t="str">
        <v>0</v>
      </c>
      <c r="I1221" s="4" t="str">
        <v>0</v>
      </c>
      <c r="J1221" s="4">
        <v>0</v>
      </c>
    </row>
    <row r="1222" spans="1:10" ht="16.5" hidden="1">
      <c r="A1222" s="4" t="str">
        <v xml:space="preserve"> </v>
      </c>
      <c r="B1222" s="4">
        <v>0</v>
      </c>
      <c r="C1222" s="4">
        <v>0</v>
      </c>
      <c r="D1222" s="4">
        <v>0</v>
      </c>
      <c r="E1222" s="4" t="str">
        <v>0</v>
      </c>
      <c r="F1222" s="102" t="str">
        <f ca="1">IFERROR(__xludf.DUMMYFUNCTION("IMPORTRANGE(H1222,""IDENTITAS UNIT!D9"")"),"#N/A")</f>
        <v>#N/A</v>
      </c>
      <c r="H1222" s="4" t="str">
        <v>0</v>
      </c>
      <c r="I1222" s="4" t="str">
        <v>0</v>
      </c>
      <c r="J1222" s="4">
        <v>0</v>
      </c>
    </row>
    <row r="1223" spans="1:10" ht="16.5" hidden="1">
      <c r="A1223" s="4" t="str">
        <v xml:space="preserve"> </v>
      </c>
      <c r="B1223" s="4">
        <v>0</v>
      </c>
      <c r="C1223" s="4">
        <v>0</v>
      </c>
      <c r="D1223" s="4">
        <v>0</v>
      </c>
      <c r="E1223" s="4" t="str">
        <v>0</v>
      </c>
      <c r="F1223" s="102" t="str">
        <f ca="1">IFERROR(__xludf.DUMMYFUNCTION("IMPORTRANGE(H1223,""IDENTITAS UNIT!D9"")"),"#N/A")</f>
        <v>#N/A</v>
      </c>
      <c r="H1223" s="4" t="str">
        <v>0</v>
      </c>
      <c r="I1223" s="4" t="str">
        <v>0</v>
      </c>
      <c r="J1223" s="4">
        <v>0</v>
      </c>
    </row>
    <row r="1224" spans="1:10" ht="16.5" hidden="1">
      <c r="A1224" s="4" t="str">
        <v xml:space="preserve"> </v>
      </c>
      <c r="B1224" s="4">
        <v>0</v>
      </c>
      <c r="C1224" s="4">
        <v>0</v>
      </c>
      <c r="D1224" s="4">
        <v>0</v>
      </c>
      <c r="E1224" s="4" t="str">
        <v>0</v>
      </c>
      <c r="F1224" s="102" t="str">
        <f ca="1">IFERROR(__xludf.DUMMYFUNCTION("IMPORTRANGE(H1224,""IDENTITAS UNIT!D9"")"),"#N/A")</f>
        <v>#N/A</v>
      </c>
      <c r="H1224" s="4" t="str">
        <v>0</v>
      </c>
      <c r="I1224" s="4" t="str">
        <v>0</v>
      </c>
      <c r="J1224" s="4">
        <v>0</v>
      </c>
    </row>
    <row r="1225" spans="1:10" ht="16.5" hidden="1">
      <c r="A1225" s="4" t="str">
        <v xml:space="preserve"> </v>
      </c>
      <c r="B1225" s="4">
        <v>0</v>
      </c>
      <c r="C1225" s="4">
        <v>0</v>
      </c>
      <c r="D1225" s="4">
        <v>0</v>
      </c>
      <c r="E1225" s="4" t="str">
        <v>0</v>
      </c>
      <c r="F1225" s="102" t="str">
        <f ca="1">IFERROR(__xludf.DUMMYFUNCTION("IMPORTRANGE(H1225,""IDENTITAS UNIT!D9"")"),"#N/A")</f>
        <v>#N/A</v>
      </c>
      <c r="H1225" s="4" t="str">
        <v>0</v>
      </c>
      <c r="I1225" s="4" t="str">
        <v>0</v>
      </c>
      <c r="J1225" s="4">
        <v>0</v>
      </c>
    </row>
    <row r="1226" spans="1:10" ht="16.5" hidden="1">
      <c r="A1226" s="4" t="str">
        <v xml:space="preserve"> </v>
      </c>
      <c r="B1226" s="4">
        <v>0</v>
      </c>
      <c r="C1226" s="4">
        <v>0</v>
      </c>
      <c r="D1226" s="4">
        <v>0</v>
      </c>
      <c r="E1226" s="4" t="str">
        <v>0</v>
      </c>
      <c r="F1226" s="102" t="str">
        <f ca="1">IFERROR(__xludf.DUMMYFUNCTION("IMPORTRANGE(H1226,""IDENTITAS UNIT!D9"")"),"#N/A")</f>
        <v>#N/A</v>
      </c>
      <c r="H1226" s="4" t="str">
        <v>0</v>
      </c>
      <c r="I1226" s="4" t="str">
        <v>0</v>
      </c>
      <c r="J1226" s="4">
        <v>0</v>
      </c>
    </row>
    <row r="1227" spans="1:10" ht="16.5" hidden="1">
      <c r="A1227" s="4" t="str">
        <v xml:space="preserve"> </v>
      </c>
      <c r="B1227" s="4">
        <v>0</v>
      </c>
      <c r="C1227" s="4">
        <v>0</v>
      </c>
      <c r="D1227" s="4">
        <v>0</v>
      </c>
      <c r="E1227" s="4" t="str">
        <v>0</v>
      </c>
      <c r="F1227" s="102" t="str">
        <f ca="1">IFERROR(__xludf.DUMMYFUNCTION("IMPORTRANGE(H1227,""IDENTITAS UNIT!D9"")"),"#N/A")</f>
        <v>#N/A</v>
      </c>
      <c r="H1227" s="4" t="str">
        <v>0</v>
      </c>
      <c r="I1227" s="4" t="str">
        <v>0</v>
      </c>
      <c r="J1227" s="4">
        <v>0</v>
      </c>
    </row>
    <row r="1228" spans="1:10" ht="16.5" hidden="1">
      <c r="A1228" s="4" t="str">
        <v xml:space="preserve"> </v>
      </c>
      <c r="B1228" s="4">
        <v>0</v>
      </c>
      <c r="C1228" s="4">
        <v>0</v>
      </c>
      <c r="D1228" s="4">
        <v>0</v>
      </c>
      <c r="E1228" s="4" t="str">
        <v>0</v>
      </c>
      <c r="F1228" s="102" t="str">
        <f ca="1">IFERROR(__xludf.DUMMYFUNCTION("IMPORTRANGE(H1228,""IDENTITAS UNIT!D9"")"),"#N/A")</f>
        <v>#N/A</v>
      </c>
      <c r="H1228" s="4" t="str">
        <v>0</v>
      </c>
      <c r="I1228" s="4" t="str">
        <v>0</v>
      </c>
      <c r="J1228" s="4">
        <v>0</v>
      </c>
    </row>
    <row r="1229" spans="1:10" ht="16.5" hidden="1">
      <c r="A1229" s="4" t="str">
        <v xml:space="preserve"> </v>
      </c>
      <c r="B1229" s="4">
        <v>0</v>
      </c>
      <c r="C1229" s="4">
        <v>0</v>
      </c>
      <c r="D1229" s="4">
        <v>0</v>
      </c>
      <c r="E1229" s="4" t="str">
        <v>0</v>
      </c>
      <c r="F1229" s="102" t="str">
        <f ca="1">IFERROR(__xludf.DUMMYFUNCTION("IMPORTRANGE(H1229,""IDENTITAS UNIT!D9"")"),"#N/A")</f>
        <v>#N/A</v>
      </c>
      <c r="H1229" s="4" t="str">
        <v>0</v>
      </c>
      <c r="I1229" s="4" t="str">
        <v>0</v>
      </c>
      <c r="J1229" s="4">
        <v>0</v>
      </c>
    </row>
    <row r="1230" spans="1:10" ht="16.5" hidden="1">
      <c r="A1230" s="4" t="str">
        <v xml:space="preserve"> </v>
      </c>
      <c r="B1230" s="4">
        <v>0</v>
      </c>
      <c r="C1230" s="4">
        <v>0</v>
      </c>
      <c r="D1230" s="4">
        <v>0</v>
      </c>
      <c r="E1230" s="4" t="str">
        <v>0</v>
      </c>
      <c r="F1230" s="102" t="str">
        <f ca="1">IFERROR(__xludf.DUMMYFUNCTION("IMPORTRANGE(H1230,""IDENTITAS UNIT!D9"")"),"#N/A")</f>
        <v>#N/A</v>
      </c>
      <c r="H1230" s="4" t="str">
        <v>0</v>
      </c>
      <c r="I1230" s="4" t="str">
        <v>0</v>
      </c>
      <c r="J1230" s="4">
        <v>0</v>
      </c>
    </row>
    <row r="1231" spans="1:10" ht="16.5" hidden="1">
      <c r="A1231" s="4" t="str">
        <v xml:space="preserve"> </v>
      </c>
      <c r="B1231" s="4">
        <v>0</v>
      </c>
      <c r="C1231" s="4">
        <v>0</v>
      </c>
      <c r="D1231" s="4">
        <v>0</v>
      </c>
      <c r="E1231" s="4" t="str">
        <v>0</v>
      </c>
      <c r="F1231" s="102" t="str">
        <f ca="1">IFERROR(__xludf.DUMMYFUNCTION("IMPORTRANGE(H1231,""IDENTITAS UNIT!D9"")"),"#N/A")</f>
        <v>#N/A</v>
      </c>
      <c r="H1231" s="4" t="str">
        <v>0</v>
      </c>
      <c r="I1231" s="4" t="str">
        <v>0</v>
      </c>
      <c r="J1231" s="4">
        <v>0</v>
      </c>
    </row>
    <row r="1232" spans="1:10" ht="16.5" hidden="1">
      <c r="A1232" s="4" t="str">
        <v xml:space="preserve"> </v>
      </c>
      <c r="B1232" s="4">
        <v>0</v>
      </c>
      <c r="C1232" s="4">
        <v>0</v>
      </c>
      <c r="D1232" s="4">
        <v>0</v>
      </c>
      <c r="E1232" s="4" t="str">
        <v>0</v>
      </c>
      <c r="F1232" s="102" t="str">
        <f ca="1">IFERROR(__xludf.DUMMYFUNCTION("IMPORTRANGE(H1232,""IDENTITAS UNIT!D9"")"),"#N/A")</f>
        <v>#N/A</v>
      </c>
      <c r="H1232" s="4" t="str">
        <v>0</v>
      </c>
      <c r="I1232" s="4" t="str">
        <v>0</v>
      </c>
      <c r="J1232" s="4">
        <v>0</v>
      </c>
    </row>
    <row r="1233" spans="1:10" ht="16.5" hidden="1">
      <c r="A1233" s="4" t="str">
        <v xml:space="preserve"> </v>
      </c>
      <c r="B1233" s="4">
        <v>0</v>
      </c>
      <c r="C1233" s="4">
        <v>0</v>
      </c>
      <c r="D1233" s="4">
        <v>0</v>
      </c>
      <c r="E1233" s="4" t="str">
        <v>0</v>
      </c>
      <c r="F1233" s="102" t="str">
        <f ca="1">IFERROR(__xludf.DUMMYFUNCTION("IMPORTRANGE(H1233,""IDENTITAS UNIT!D9"")"),"#N/A")</f>
        <v>#N/A</v>
      </c>
      <c r="H1233" s="4" t="str">
        <v>0</v>
      </c>
      <c r="I1233" s="4" t="str">
        <v>0</v>
      </c>
      <c r="J1233" s="4">
        <v>0</v>
      </c>
    </row>
    <row r="1234" spans="1:10" ht="16.5" hidden="1">
      <c r="A1234" s="4" t="str">
        <v xml:space="preserve"> </v>
      </c>
      <c r="B1234" s="4">
        <v>0</v>
      </c>
      <c r="C1234" s="4">
        <v>0</v>
      </c>
      <c r="D1234" s="4">
        <v>0</v>
      </c>
      <c r="E1234" s="4" t="str">
        <v>0</v>
      </c>
      <c r="F1234" s="102" t="str">
        <f ca="1">IFERROR(__xludf.DUMMYFUNCTION("IMPORTRANGE(H1234,""IDENTITAS UNIT!D9"")"),"#N/A")</f>
        <v>#N/A</v>
      </c>
      <c r="H1234" s="4" t="str">
        <v>0</v>
      </c>
      <c r="I1234" s="4" t="str">
        <v>0</v>
      </c>
      <c r="J1234" s="4">
        <v>0</v>
      </c>
    </row>
    <row r="1235" spans="1:10" ht="16.5" hidden="1">
      <c r="A1235" s="4" t="str">
        <v xml:space="preserve"> </v>
      </c>
      <c r="B1235" s="4">
        <v>0</v>
      </c>
      <c r="C1235" s="4">
        <v>0</v>
      </c>
      <c r="D1235" s="4">
        <v>0</v>
      </c>
      <c r="E1235" s="4" t="str">
        <v>0</v>
      </c>
      <c r="F1235" s="102" t="str">
        <f ca="1">IFERROR(__xludf.DUMMYFUNCTION("IMPORTRANGE(H1235,""IDENTITAS UNIT!D9"")"),"#N/A")</f>
        <v>#N/A</v>
      </c>
      <c r="H1235" s="4" t="str">
        <v>0</v>
      </c>
      <c r="I1235" s="4" t="str">
        <v>0</v>
      </c>
      <c r="J1235" s="4">
        <v>0</v>
      </c>
    </row>
    <row r="1236" spans="1:10" ht="16.5" hidden="1">
      <c r="A1236" s="4" t="str">
        <v xml:space="preserve"> </v>
      </c>
      <c r="B1236" s="4">
        <v>0</v>
      </c>
      <c r="C1236" s="4">
        <v>0</v>
      </c>
      <c r="D1236" s="4">
        <v>0</v>
      </c>
      <c r="E1236" s="4" t="str">
        <v>0</v>
      </c>
      <c r="F1236" s="102" t="str">
        <f ca="1">IFERROR(__xludf.DUMMYFUNCTION("IMPORTRANGE(H1236,""IDENTITAS UNIT!D9"")"),"#N/A")</f>
        <v>#N/A</v>
      </c>
      <c r="H1236" s="4" t="str">
        <v>0</v>
      </c>
      <c r="I1236" s="4" t="str">
        <v>0</v>
      </c>
      <c r="J1236" s="4">
        <v>0</v>
      </c>
    </row>
    <row r="1237" spans="1:10" ht="16.5" hidden="1">
      <c r="A1237" s="4" t="str">
        <v xml:space="preserve"> </v>
      </c>
      <c r="B1237" s="4">
        <v>0</v>
      </c>
      <c r="C1237" s="4">
        <v>0</v>
      </c>
      <c r="D1237" s="4">
        <v>0</v>
      </c>
      <c r="E1237" s="4" t="str">
        <v>0</v>
      </c>
      <c r="F1237" s="102" t="str">
        <f ca="1">IFERROR(__xludf.DUMMYFUNCTION("IMPORTRANGE(H1237,""IDENTITAS UNIT!D9"")"),"#N/A")</f>
        <v>#N/A</v>
      </c>
      <c r="H1237" s="4" t="str">
        <v>0</v>
      </c>
      <c r="I1237" s="4" t="str">
        <v>0</v>
      </c>
      <c r="J1237" s="4">
        <v>0</v>
      </c>
    </row>
    <row r="1238" spans="1:10" ht="16.5" hidden="1">
      <c r="A1238" s="4" t="str">
        <v xml:space="preserve"> </v>
      </c>
      <c r="B1238" s="4">
        <v>0</v>
      </c>
      <c r="C1238" s="4">
        <v>0</v>
      </c>
      <c r="D1238" s="4">
        <v>0</v>
      </c>
      <c r="E1238" s="4" t="str">
        <v>0</v>
      </c>
      <c r="F1238" s="102" t="str">
        <f ca="1">IFERROR(__xludf.DUMMYFUNCTION("IMPORTRANGE(H1238,""IDENTITAS UNIT!D9"")"),"#N/A")</f>
        <v>#N/A</v>
      </c>
      <c r="H1238" s="4" t="str">
        <v>0</v>
      </c>
      <c r="I1238" s="4" t="str">
        <v>0</v>
      </c>
      <c r="J1238" s="4">
        <v>0</v>
      </c>
    </row>
    <row r="1239" spans="1:10" ht="16.5" hidden="1">
      <c r="A1239" s="4" t="str">
        <v xml:space="preserve"> </v>
      </c>
      <c r="B1239" s="4">
        <v>0</v>
      </c>
      <c r="C1239" s="4">
        <v>0</v>
      </c>
      <c r="D1239" s="4">
        <v>0</v>
      </c>
      <c r="E1239" s="4" t="str">
        <v>0</v>
      </c>
      <c r="F1239" s="102" t="str">
        <f ca="1">IFERROR(__xludf.DUMMYFUNCTION("IMPORTRANGE(H1239,""IDENTITAS UNIT!D9"")"),"#N/A")</f>
        <v>#N/A</v>
      </c>
      <c r="H1239" s="4" t="str">
        <v>0</v>
      </c>
      <c r="I1239" s="4" t="str">
        <v>0</v>
      </c>
      <c r="J1239" s="4">
        <v>0</v>
      </c>
    </row>
    <row r="1240" spans="1:10" ht="16.5" hidden="1">
      <c r="A1240" s="4" t="str">
        <v xml:space="preserve"> </v>
      </c>
      <c r="B1240" s="4">
        <v>0</v>
      </c>
      <c r="C1240" s="4">
        <v>0</v>
      </c>
      <c r="D1240" s="4">
        <v>0</v>
      </c>
      <c r="E1240" s="4" t="str">
        <v>0</v>
      </c>
      <c r="F1240" s="102" t="str">
        <f ca="1">IFERROR(__xludf.DUMMYFUNCTION("IMPORTRANGE(H1240,""IDENTITAS UNIT!D9"")"),"#N/A")</f>
        <v>#N/A</v>
      </c>
      <c r="H1240" s="4" t="str">
        <v>0</v>
      </c>
      <c r="I1240" s="4" t="str">
        <v>0</v>
      </c>
      <c r="J1240" s="4">
        <v>0</v>
      </c>
    </row>
    <row r="1241" spans="1:10" ht="16.5" hidden="1">
      <c r="A1241" s="4" t="str">
        <v xml:space="preserve"> </v>
      </c>
      <c r="B1241" s="4">
        <v>0</v>
      </c>
      <c r="C1241" s="4">
        <v>0</v>
      </c>
      <c r="D1241" s="4">
        <v>0</v>
      </c>
      <c r="E1241" s="4" t="str">
        <v>0</v>
      </c>
      <c r="F1241" s="102" t="str">
        <f ca="1">IFERROR(__xludf.DUMMYFUNCTION("IMPORTRANGE(H1241,""IDENTITAS UNIT!D9"")"),"#N/A")</f>
        <v>#N/A</v>
      </c>
      <c r="H1241" s="4" t="str">
        <v>0</v>
      </c>
      <c r="I1241" s="4" t="str">
        <v>0</v>
      </c>
      <c r="J1241" s="4">
        <v>0</v>
      </c>
    </row>
    <row r="1242" spans="1:10" ht="16.5" hidden="1">
      <c r="A1242" s="4" t="str">
        <v xml:space="preserve"> </v>
      </c>
      <c r="B1242" s="4">
        <v>0</v>
      </c>
      <c r="C1242" s="4">
        <v>0</v>
      </c>
      <c r="D1242" s="4">
        <v>0</v>
      </c>
      <c r="E1242" s="4" t="str">
        <v>0</v>
      </c>
      <c r="F1242" s="102" t="str">
        <f ca="1">IFERROR(__xludf.DUMMYFUNCTION("IMPORTRANGE(H1242,""IDENTITAS UNIT!D9"")"),"#N/A")</f>
        <v>#N/A</v>
      </c>
      <c r="H1242" s="4" t="str">
        <v>0</v>
      </c>
      <c r="I1242" s="4" t="str">
        <v>0</v>
      </c>
      <c r="J1242" s="4">
        <v>0</v>
      </c>
    </row>
    <row r="1243" spans="1:10" ht="16.5" hidden="1">
      <c r="A1243" s="4" t="str">
        <v xml:space="preserve"> </v>
      </c>
      <c r="B1243" s="4">
        <v>0</v>
      </c>
      <c r="C1243" s="4">
        <v>0</v>
      </c>
      <c r="D1243" s="4">
        <v>0</v>
      </c>
      <c r="E1243" s="4" t="str">
        <v>0</v>
      </c>
      <c r="F1243" s="102" t="str">
        <f ca="1">IFERROR(__xludf.DUMMYFUNCTION("IMPORTRANGE(H1243,""IDENTITAS UNIT!D9"")"),"#N/A")</f>
        <v>#N/A</v>
      </c>
      <c r="H1243" s="4" t="str">
        <v>0</v>
      </c>
      <c r="I1243" s="4" t="str">
        <v>0</v>
      </c>
      <c r="J1243" s="4">
        <v>0</v>
      </c>
    </row>
    <row r="1244" spans="1:10" ht="16.5" hidden="1">
      <c r="A1244" s="4" t="str">
        <v xml:space="preserve"> </v>
      </c>
      <c r="B1244" s="4">
        <v>0</v>
      </c>
      <c r="C1244" s="4">
        <v>0</v>
      </c>
      <c r="D1244" s="4">
        <v>0</v>
      </c>
      <c r="E1244" s="4" t="str">
        <v>0</v>
      </c>
      <c r="F1244" s="102" t="str">
        <f ca="1">IFERROR(__xludf.DUMMYFUNCTION("IMPORTRANGE(H1244,""IDENTITAS UNIT!D9"")"),"#N/A")</f>
        <v>#N/A</v>
      </c>
      <c r="H1244" s="4" t="str">
        <v>0</v>
      </c>
      <c r="I1244" s="4" t="str">
        <v>0</v>
      </c>
      <c r="J1244" s="4">
        <v>0</v>
      </c>
    </row>
    <row r="1245" spans="1:10" ht="16.5" hidden="1">
      <c r="A1245" s="4" t="str">
        <v xml:space="preserve"> </v>
      </c>
      <c r="B1245" s="4">
        <v>0</v>
      </c>
      <c r="C1245" s="4">
        <v>0</v>
      </c>
      <c r="D1245" s="4">
        <v>0</v>
      </c>
      <c r="E1245" s="4" t="str">
        <v>0</v>
      </c>
      <c r="F1245" s="102" t="str">
        <f ca="1">IFERROR(__xludf.DUMMYFUNCTION("IMPORTRANGE(H1245,""IDENTITAS UNIT!D9"")"),"#N/A")</f>
        <v>#N/A</v>
      </c>
      <c r="H1245" s="4" t="str">
        <v>0</v>
      </c>
      <c r="I1245" s="4" t="str">
        <v>0</v>
      </c>
      <c r="J1245" s="4">
        <v>0</v>
      </c>
    </row>
    <row r="1246" spans="1:10" ht="16.5" hidden="1">
      <c r="A1246" s="4" t="str">
        <v xml:space="preserve"> </v>
      </c>
      <c r="B1246" s="4">
        <v>0</v>
      </c>
      <c r="C1246" s="4">
        <v>0</v>
      </c>
      <c r="D1246" s="4">
        <v>0</v>
      </c>
      <c r="E1246" s="4" t="str">
        <v>0</v>
      </c>
      <c r="F1246" s="102" t="str">
        <f ca="1">IFERROR(__xludf.DUMMYFUNCTION("IMPORTRANGE(H1246,""IDENTITAS UNIT!D9"")"),"#N/A")</f>
        <v>#N/A</v>
      </c>
      <c r="H1246" s="4" t="str">
        <v>0</v>
      </c>
      <c r="I1246" s="4" t="str">
        <v>0</v>
      </c>
      <c r="J1246" s="4">
        <v>0</v>
      </c>
    </row>
    <row r="1247" spans="1:10" ht="16.5" hidden="1">
      <c r="A1247" s="4" t="str">
        <v xml:space="preserve"> </v>
      </c>
      <c r="B1247" s="4">
        <v>0</v>
      </c>
      <c r="C1247" s="4">
        <v>0</v>
      </c>
      <c r="D1247" s="4">
        <v>0</v>
      </c>
      <c r="E1247" s="4" t="str">
        <v>0</v>
      </c>
      <c r="F1247" s="102" t="str">
        <f ca="1">IFERROR(__xludf.DUMMYFUNCTION("IMPORTRANGE(H1247,""IDENTITAS UNIT!D9"")"),"#N/A")</f>
        <v>#N/A</v>
      </c>
      <c r="H1247" s="4" t="str">
        <v>0</v>
      </c>
      <c r="I1247" s="4" t="str">
        <v>0</v>
      </c>
      <c r="J1247" s="4">
        <v>0</v>
      </c>
    </row>
    <row r="1248" spans="1:10" ht="16.5" hidden="1">
      <c r="A1248" s="4" t="str">
        <v xml:space="preserve"> </v>
      </c>
      <c r="B1248" s="4">
        <v>0</v>
      </c>
      <c r="C1248" s="4">
        <v>0</v>
      </c>
      <c r="D1248" s="4">
        <v>0</v>
      </c>
      <c r="E1248" s="4" t="str">
        <v>0</v>
      </c>
      <c r="F1248" s="102" t="str">
        <f ca="1">IFERROR(__xludf.DUMMYFUNCTION("IMPORTRANGE(H1248,""IDENTITAS UNIT!D9"")"),"#N/A")</f>
        <v>#N/A</v>
      </c>
      <c r="H1248" s="4" t="str">
        <v>0</v>
      </c>
      <c r="I1248" s="4" t="str">
        <v>0</v>
      </c>
      <c r="J1248" s="4">
        <v>0</v>
      </c>
    </row>
    <row r="1249" spans="1:10" ht="16.5" hidden="1">
      <c r="A1249" s="4" t="str">
        <v xml:space="preserve"> </v>
      </c>
      <c r="B1249" s="4">
        <v>0</v>
      </c>
      <c r="C1249" s="4">
        <v>0</v>
      </c>
      <c r="D1249" s="4">
        <v>0</v>
      </c>
      <c r="E1249" s="4" t="str">
        <v>0</v>
      </c>
      <c r="F1249" s="102" t="str">
        <f ca="1">IFERROR(__xludf.DUMMYFUNCTION("IMPORTRANGE(H1249,""IDENTITAS UNIT!D9"")"),"#N/A")</f>
        <v>#N/A</v>
      </c>
      <c r="H1249" s="4" t="str">
        <v>0</v>
      </c>
      <c r="I1249" s="4" t="str">
        <v>0</v>
      </c>
      <c r="J1249" s="4">
        <v>0</v>
      </c>
    </row>
    <row r="1250" spans="1:10" ht="16.5" hidden="1">
      <c r="A1250" s="4" t="str">
        <v xml:space="preserve"> </v>
      </c>
      <c r="B1250" s="4">
        <v>0</v>
      </c>
      <c r="C1250" s="4">
        <v>0</v>
      </c>
      <c r="D1250" s="4">
        <v>0</v>
      </c>
      <c r="E1250" s="4" t="str">
        <v>0</v>
      </c>
      <c r="F1250" s="102" t="str">
        <f ca="1">IFERROR(__xludf.DUMMYFUNCTION("IMPORTRANGE(H1250,""IDENTITAS UNIT!D9"")"),"#N/A")</f>
        <v>#N/A</v>
      </c>
      <c r="H1250" s="4" t="str">
        <v>0</v>
      </c>
      <c r="I1250" s="4" t="str">
        <v>0</v>
      </c>
      <c r="J1250" s="4">
        <v>0</v>
      </c>
    </row>
    <row r="1251" spans="1:10" ht="16.5" hidden="1">
      <c r="A1251" s="4" t="str">
        <v xml:space="preserve"> </v>
      </c>
      <c r="B1251" s="4">
        <v>0</v>
      </c>
      <c r="C1251" s="4">
        <v>0</v>
      </c>
      <c r="D1251" s="4">
        <v>0</v>
      </c>
      <c r="E1251" s="4" t="str">
        <v>0</v>
      </c>
      <c r="F1251" s="102" t="str">
        <f ca="1">IFERROR(__xludf.DUMMYFUNCTION("IMPORTRANGE(H1251,""IDENTITAS UNIT!D9"")"),"#N/A")</f>
        <v>#N/A</v>
      </c>
      <c r="H1251" s="4" t="str">
        <v>0</v>
      </c>
      <c r="I1251" s="4" t="str">
        <v>0</v>
      </c>
      <c r="J1251" s="4">
        <v>0</v>
      </c>
    </row>
    <row r="1252" spans="1:10" ht="16.5" hidden="1">
      <c r="A1252" s="4" t="str">
        <v xml:space="preserve"> </v>
      </c>
      <c r="B1252" s="4">
        <v>0</v>
      </c>
      <c r="C1252" s="4">
        <v>0</v>
      </c>
      <c r="D1252" s="4">
        <v>0</v>
      </c>
      <c r="E1252" s="4" t="str">
        <v>0</v>
      </c>
      <c r="F1252" s="102" t="str">
        <f ca="1">IFERROR(__xludf.DUMMYFUNCTION("IMPORTRANGE(H1252,""IDENTITAS UNIT!D9"")"),"#N/A")</f>
        <v>#N/A</v>
      </c>
      <c r="H1252" s="4" t="str">
        <v>0</v>
      </c>
      <c r="I1252" s="4" t="str">
        <v>0</v>
      </c>
      <c r="J1252" s="4">
        <v>0</v>
      </c>
    </row>
    <row r="1253" spans="1:10" ht="16.5" hidden="1">
      <c r="A1253" s="4" t="str">
        <v xml:space="preserve"> </v>
      </c>
      <c r="B1253" s="4">
        <v>0</v>
      </c>
      <c r="C1253" s="4">
        <v>0</v>
      </c>
      <c r="D1253" s="4">
        <v>0</v>
      </c>
      <c r="E1253" s="4" t="str">
        <v>0</v>
      </c>
      <c r="F1253" s="102" t="str">
        <f ca="1">IFERROR(__xludf.DUMMYFUNCTION("IMPORTRANGE(H1253,""IDENTITAS UNIT!D9"")"),"#N/A")</f>
        <v>#N/A</v>
      </c>
      <c r="H1253" s="4" t="str">
        <v>0</v>
      </c>
      <c r="I1253" s="4" t="str">
        <v>0</v>
      </c>
      <c r="J1253" s="4">
        <v>0</v>
      </c>
    </row>
    <row r="1254" spans="1:10" ht="16.5" hidden="1">
      <c r="A1254" s="4" t="str">
        <v xml:space="preserve"> </v>
      </c>
      <c r="B1254" s="4">
        <v>0</v>
      </c>
      <c r="C1254" s="4">
        <v>0</v>
      </c>
      <c r="D1254" s="4">
        <v>0</v>
      </c>
      <c r="E1254" s="4" t="str">
        <v>0</v>
      </c>
      <c r="F1254" s="102" t="str">
        <f ca="1">IFERROR(__xludf.DUMMYFUNCTION("IMPORTRANGE(H1254,""IDENTITAS UNIT!D9"")"),"#N/A")</f>
        <v>#N/A</v>
      </c>
      <c r="H1254" s="4" t="str">
        <v>0</v>
      </c>
      <c r="I1254" s="4" t="str">
        <v>0</v>
      </c>
      <c r="J1254" s="4">
        <v>0</v>
      </c>
    </row>
    <row r="1255" spans="1:10" ht="16.5" hidden="1">
      <c r="A1255" s="4" t="str">
        <v xml:space="preserve"> </v>
      </c>
      <c r="B1255" s="4">
        <v>0</v>
      </c>
      <c r="C1255" s="4">
        <v>0</v>
      </c>
      <c r="D1255" s="4">
        <v>0</v>
      </c>
      <c r="E1255" s="4" t="str">
        <v>0</v>
      </c>
      <c r="F1255" s="102" t="str">
        <f ca="1">IFERROR(__xludf.DUMMYFUNCTION("IMPORTRANGE(H1255,""IDENTITAS UNIT!D9"")"),"#N/A")</f>
        <v>#N/A</v>
      </c>
      <c r="H1255" s="4" t="str">
        <v>0</v>
      </c>
      <c r="I1255" s="4" t="str">
        <v>0</v>
      </c>
      <c r="J1255" s="4">
        <v>0</v>
      </c>
    </row>
    <row r="1256" spans="1:10" ht="16.5" hidden="1">
      <c r="A1256" s="4" t="str">
        <v xml:space="preserve"> </v>
      </c>
      <c r="B1256" s="4">
        <v>0</v>
      </c>
      <c r="C1256" s="4">
        <v>0</v>
      </c>
      <c r="D1256" s="4">
        <v>0</v>
      </c>
      <c r="E1256" s="4" t="str">
        <v>0</v>
      </c>
      <c r="F1256" s="102" t="str">
        <f ca="1">IFERROR(__xludf.DUMMYFUNCTION("IMPORTRANGE(H1256,""IDENTITAS UNIT!D9"")"),"#N/A")</f>
        <v>#N/A</v>
      </c>
      <c r="H1256" s="4" t="str">
        <v>0</v>
      </c>
      <c r="I1256" s="4" t="str">
        <v>0</v>
      </c>
      <c r="J1256" s="4">
        <v>0</v>
      </c>
    </row>
    <row r="1257" spans="1:10" ht="16.5" hidden="1">
      <c r="A1257" s="4" t="str">
        <v xml:space="preserve"> </v>
      </c>
      <c r="B1257" s="4">
        <v>0</v>
      </c>
      <c r="C1257" s="4">
        <v>0</v>
      </c>
      <c r="D1257" s="4">
        <v>0</v>
      </c>
      <c r="E1257" s="4" t="str">
        <v>0</v>
      </c>
      <c r="F1257" s="102" t="str">
        <f ca="1">IFERROR(__xludf.DUMMYFUNCTION("IMPORTRANGE(H1257,""IDENTITAS UNIT!D9"")"),"#N/A")</f>
        <v>#N/A</v>
      </c>
      <c r="H1257" s="4" t="str">
        <v>0</v>
      </c>
      <c r="I1257" s="4" t="str">
        <v>0</v>
      </c>
      <c r="J1257" s="4">
        <v>0</v>
      </c>
    </row>
    <row r="1258" spans="1:10" ht="16.5" hidden="1">
      <c r="A1258" s="4" t="str">
        <v xml:space="preserve"> </v>
      </c>
      <c r="B1258" s="4">
        <v>0</v>
      </c>
      <c r="C1258" s="4">
        <v>0</v>
      </c>
      <c r="D1258" s="4">
        <v>0</v>
      </c>
      <c r="E1258" s="4" t="str">
        <v>0</v>
      </c>
      <c r="F1258" s="102" t="str">
        <f ca="1">IFERROR(__xludf.DUMMYFUNCTION("IMPORTRANGE(H1258,""IDENTITAS UNIT!D9"")"),"#N/A")</f>
        <v>#N/A</v>
      </c>
      <c r="H1258" s="4" t="str">
        <v>0</v>
      </c>
      <c r="I1258" s="4" t="str">
        <v>0</v>
      </c>
      <c r="J1258" s="4">
        <v>0</v>
      </c>
    </row>
    <row r="1259" spans="1:10" ht="16.5" hidden="1">
      <c r="A1259" s="4" t="str">
        <v xml:space="preserve"> </v>
      </c>
      <c r="B1259" s="4">
        <v>0</v>
      </c>
      <c r="C1259" s="4">
        <v>0</v>
      </c>
      <c r="D1259" s="4">
        <v>0</v>
      </c>
      <c r="E1259" s="4" t="str">
        <v>0</v>
      </c>
      <c r="F1259" s="102" t="str">
        <f ca="1">IFERROR(__xludf.DUMMYFUNCTION("IMPORTRANGE(H1259,""IDENTITAS UNIT!D9"")"),"#N/A")</f>
        <v>#N/A</v>
      </c>
      <c r="H1259" s="4" t="str">
        <v>0</v>
      </c>
      <c r="I1259" s="4" t="str">
        <v>0</v>
      </c>
      <c r="J1259" s="4">
        <v>0</v>
      </c>
    </row>
    <row r="1260" spans="1:10" ht="16.5" hidden="1">
      <c r="A1260" s="4" t="str">
        <v xml:space="preserve"> </v>
      </c>
      <c r="B1260" s="4">
        <v>0</v>
      </c>
      <c r="C1260" s="4">
        <v>0</v>
      </c>
      <c r="D1260" s="4">
        <v>0</v>
      </c>
      <c r="E1260" s="4" t="str">
        <v>0</v>
      </c>
      <c r="F1260" s="102" t="str">
        <f ca="1">IFERROR(__xludf.DUMMYFUNCTION("IMPORTRANGE(H1260,""IDENTITAS UNIT!D9"")"),"#N/A")</f>
        <v>#N/A</v>
      </c>
      <c r="H1260" s="4" t="str">
        <v>0</v>
      </c>
      <c r="I1260" s="4" t="str">
        <v>0</v>
      </c>
      <c r="J1260" s="4">
        <v>0</v>
      </c>
    </row>
    <row r="1261" spans="1:10" ht="16.5" hidden="1">
      <c r="A1261" s="4" t="str">
        <v xml:space="preserve"> </v>
      </c>
      <c r="B1261" s="4">
        <v>0</v>
      </c>
      <c r="C1261" s="4">
        <v>0</v>
      </c>
      <c r="D1261" s="4">
        <v>0</v>
      </c>
      <c r="E1261" s="4" t="str">
        <v>0</v>
      </c>
      <c r="F1261" s="102" t="str">
        <f ca="1">IFERROR(__xludf.DUMMYFUNCTION("IMPORTRANGE(H1261,""IDENTITAS UNIT!D9"")"),"#N/A")</f>
        <v>#N/A</v>
      </c>
      <c r="H1261" s="4" t="str">
        <v>0</v>
      </c>
      <c r="I1261" s="4" t="str">
        <v>0</v>
      </c>
      <c r="J1261" s="4">
        <v>0</v>
      </c>
    </row>
    <row r="1262" spans="1:10" ht="16.5" hidden="1">
      <c r="A1262" s="4" t="str">
        <v xml:space="preserve"> </v>
      </c>
      <c r="B1262" s="4">
        <v>0</v>
      </c>
      <c r="C1262" s="4">
        <v>0</v>
      </c>
      <c r="D1262" s="4">
        <v>0</v>
      </c>
      <c r="E1262" s="4" t="str">
        <v>0</v>
      </c>
      <c r="F1262" s="102" t="str">
        <f ca="1">IFERROR(__xludf.DUMMYFUNCTION("IMPORTRANGE(H1262,""IDENTITAS UNIT!D9"")"),"#N/A")</f>
        <v>#N/A</v>
      </c>
      <c r="H1262" s="4" t="str">
        <v>0</v>
      </c>
      <c r="I1262" s="4" t="str">
        <v>0</v>
      </c>
      <c r="J1262" s="4">
        <v>0</v>
      </c>
    </row>
    <row r="1263" spans="1:10" ht="16.5" hidden="1">
      <c r="A1263" s="4" t="str">
        <v xml:space="preserve"> </v>
      </c>
      <c r="B1263" s="4">
        <v>0</v>
      </c>
      <c r="C1263" s="4">
        <v>0</v>
      </c>
      <c r="D1263" s="4">
        <v>0</v>
      </c>
      <c r="E1263" s="4" t="str">
        <v>0</v>
      </c>
      <c r="F1263" s="102" t="str">
        <f ca="1">IFERROR(__xludf.DUMMYFUNCTION("IMPORTRANGE(H1263,""IDENTITAS UNIT!D9"")"),"#N/A")</f>
        <v>#N/A</v>
      </c>
      <c r="H1263" s="4" t="str">
        <v>0</v>
      </c>
      <c r="I1263" s="4" t="str">
        <v>0</v>
      </c>
      <c r="J1263" s="4">
        <v>0</v>
      </c>
    </row>
    <row r="1264" spans="1:10" ht="16.5" hidden="1">
      <c r="A1264" s="4" t="str">
        <v xml:space="preserve"> </v>
      </c>
      <c r="B1264" s="4">
        <v>0</v>
      </c>
      <c r="C1264" s="4">
        <v>0</v>
      </c>
      <c r="D1264" s="4">
        <v>0</v>
      </c>
      <c r="E1264" s="4" t="str">
        <v>0</v>
      </c>
      <c r="F1264" s="102" t="str">
        <f ca="1">IFERROR(__xludf.DUMMYFUNCTION("IMPORTRANGE(H1264,""IDENTITAS UNIT!D9"")"),"#N/A")</f>
        <v>#N/A</v>
      </c>
      <c r="H1264" s="4" t="str">
        <v>0</v>
      </c>
      <c r="I1264" s="4" t="str">
        <v>0</v>
      </c>
      <c r="J1264" s="4">
        <v>0</v>
      </c>
    </row>
    <row r="1265" spans="1:10" ht="16.5" hidden="1">
      <c r="A1265" s="4" t="str">
        <v xml:space="preserve"> </v>
      </c>
      <c r="B1265" s="4">
        <v>0</v>
      </c>
      <c r="C1265" s="4">
        <v>0</v>
      </c>
      <c r="D1265" s="4">
        <v>0</v>
      </c>
      <c r="E1265" s="4" t="str">
        <v>0</v>
      </c>
      <c r="F1265" s="102" t="str">
        <f ca="1">IFERROR(__xludf.DUMMYFUNCTION("IMPORTRANGE(H1265,""IDENTITAS UNIT!D9"")"),"#N/A")</f>
        <v>#N/A</v>
      </c>
      <c r="H1265" s="4" t="str">
        <v>0</v>
      </c>
      <c r="I1265" s="4" t="str">
        <v>0</v>
      </c>
      <c r="J1265" s="4">
        <v>0</v>
      </c>
    </row>
    <row r="1266" spans="1:10" ht="16.5" hidden="1">
      <c r="A1266" s="4" t="str">
        <v xml:space="preserve"> </v>
      </c>
      <c r="B1266" s="4">
        <v>0</v>
      </c>
      <c r="C1266" s="4">
        <v>0</v>
      </c>
      <c r="D1266" s="4">
        <v>0</v>
      </c>
      <c r="E1266" s="4" t="str">
        <v>0</v>
      </c>
      <c r="F1266" s="102" t="str">
        <f ca="1">IFERROR(__xludf.DUMMYFUNCTION("IMPORTRANGE(H1266,""IDENTITAS UNIT!D9"")"),"#N/A")</f>
        <v>#N/A</v>
      </c>
      <c r="H1266" s="4" t="str">
        <v>0</v>
      </c>
      <c r="I1266" s="4" t="str">
        <v>0</v>
      </c>
      <c r="J1266" s="4">
        <v>0</v>
      </c>
    </row>
    <row r="1267" spans="1:10" ht="16.5" hidden="1">
      <c r="A1267" s="4" t="str">
        <v xml:space="preserve"> </v>
      </c>
      <c r="B1267" s="4">
        <v>0</v>
      </c>
      <c r="C1267" s="4">
        <v>0</v>
      </c>
      <c r="D1267" s="4">
        <v>0</v>
      </c>
      <c r="E1267" s="4" t="str">
        <v>0</v>
      </c>
      <c r="F1267" s="102" t="str">
        <f ca="1">IFERROR(__xludf.DUMMYFUNCTION("IMPORTRANGE(H1267,""IDENTITAS UNIT!D9"")"),"#N/A")</f>
        <v>#N/A</v>
      </c>
      <c r="H1267" s="4" t="str">
        <v>0</v>
      </c>
      <c r="I1267" s="4" t="str">
        <v>0</v>
      </c>
      <c r="J1267" s="4">
        <v>0</v>
      </c>
    </row>
    <row r="1268" spans="1:10" ht="16.5" hidden="1">
      <c r="A1268" s="4" t="str">
        <v xml:space="preserve"> </v>
      </c>
      <c r="B1268" s="4">
        <v>0</v>
      </c>
      <c r="C1268" s="4">
        <v>0</v>
      </c>
      <c r="D1268" s="4">
        <v>0</v>
      </c>
      <c r="E1268" s="4" t="str">
        <v>0</v>
      </c>
      <c r="F1268" s="102" t="str">
        <f ca="1">IFERROR(__xludf.DUMMYFUNCTION("IMPORTRANGE(H1268,""IDENTITAS UNIT!D9"")"),"#N/A")</f>
        <v>#N/A</v>
      </c>
      <c r="H1268" s="4" t="str">
        <v>0</v>
      </c>
      <c r="I1268" s="4" t="str">
        <v>0</v>
      </c>
      <c r="J1268" s="4">
        <v>0</v>
      </c>
    </row>
    <row r="1269" spans="1:10" ht="16.5" hidden="1">
      <c r="A1269" s="4" t="str">
        <v xml:space="preserve"> </v>
      </c>
      <c r="B1269" s="4">
        <v>0</v>
      </c>
      <c r="C1269" s="4">
        <v>0</v>
      </c>
      <c r="D1269" s="4">
        <v>0</v>
      </c>
      <c r="E1269" s="4" t="str">
        <v>0</v>
      </c>
      <c r="F1269" s="102" t="str">
        <f ca="1">IFERROR(__xludf.DUMMYFUNCTION("IMPORTRANGE(H1269,""IDENTITAS UNIT!D9"")"),"#N/A")</f>
        <v>#N/A</v>
      </c>
      <c r="H1269" s="4" t="str">
        <v>0</v>
      </c>
      <c r="I1269" s="4" t="str">
        <v>0</v>
      </c>
      <c r="J1269" s="4">
        <v>0</v>
      </c>
    </row>
    <row r="1270" spans="1:10" ht="16.5" hidden="1">
      <c r="A1270" s="4" t="str">
        <v xml:space="preserve"> </v>
      </c>
      <c r="B1270" s="4">
        <v>0</v>
      </c>
      <c r="C1270" s="4">
        <v>0</v>
      </c>
      <c r="D1270" s="4">
        <v>0</v>
      </c>
      <c r="E1270" s="4" t="str">
        <v>0</v>
      </c>
      <c r="F1270" s="102" t="str">
        <f ca="1">IFERROR(__xludf.DUMMYFUNCTION("IMPORTRANGE(H1270,""IDENTITAS UNIT!D9"")"),"#N/A")</f>
        <v>#N/A</v>
      </c>
      <c r="H1270" s="4" t="str">
        <v>0</v>
      </c>
      <c r="I1270" s="4" t="str">
        <v>0</v>
      </c>
      <c r="J1270" s="4">
        <v>0</v>
      </c>
    </row>
    <row r="1271" spans="1:10" ht="16.5" hidden="1">
      <c r="A1271" s="4" t="str">
        <v xml:space="preserve"> </v>
      </c>
      <c r="B1271" s="4">
        <v>0</v>
      </c>
      <c r="C1271" s="4">
        <v>0</v>
      </c>
      <c r="D1271" s="4">
        <v>0</v>
      </c>
      <c r="E1271" s="4" t="str">
        <v>0</v>
      </c>
      <c r="F1271" s="102" t="str">
        <f ca="1">IFERROR(__xludf.DUMMYFUNCTION("IMPORTRANGE(H1271,""IDENTITAS UNIT!D9"")"),"#N/A")</f>
        <v>#N/A</v>
      </c>
      <c r="H1271" s="4" t="str">
        <v>0</v>
      </c>
      <c r="I1271" s="4" t="str">
        <v>0</v>
      </c>
      <c r="J1271" s="4">
        <v>0</v>
      </c>
    </row>
    <row r="1272" spans="1:10" ht="16.5" hidden="1">
      <c r="A1272" s="4" t="str">
        <v xml:space="preserve"> </v>
      </c>
      <c r="B1272" s="4">
        <v>0</v>
      </c>
      <c r="C1272" s="4">
        <v>0</v>
      </c>
      <c r="D1272" s="4">
        <v>0</v>
      </c>
      <c r="E1272" s="4" t="str">
        <v>0</v>
      </c>
      <c r="F1272" s="102" t="str">
        <f ca="1">IFERROR(__xludf.DUMMYFUNCTION("IMPORTRANGE(H1272,""IDENTITAS UNIT!D9"")"),"#N/A")</f>
        <v>#N/A</v>
      </c>
      <c r="H1272" s="4" t="str">
        <v>0</v>
      </c>
      <c r="I1272" s="4" t="str">
        <v>0</v>
      </c>
      <c r="J1272" s="4">
        <v>0</v>
      </c>
    </row>
    <row r="1273" spans="1:10" ht="16.5" hidden="1">
      <c r="A1273" s="4" t="str">
        <v xml:space="preserve"> </v>
      </c>
      <c r="B1273" s="4">
        <v>0</v>
      </c>
      <c r="C1273" s="4">
        <v>0</v>
      </c>
      <c r="D1273" s="4">
        <v>0</v>
      </c>
      <c r="E1273" s="4" t="str">
        <v>0</v>
      </c>
      <c r="F1273" s="102" t="str">
        <f ca="1">IFERROR(__xludf.DUMMYFUNCTION("IMPORTRANGE(H1273,""IDENTITAS UNIT!D9"")"),"#N/A")</f>
        <v>#N/A</v>
      </c>
      <c r="H1273" s="4" t="str">
        <v>0</v>
      </c>
      <c r="I1273" s="4" t="str">
        <v>0</v>
      </c>
      <c r="J1273" s="4">
        <v>0</v>
      </c>
    </row>
    <row r="1274" spans="1:10" ht="16.5" hidden="1">
      <c r="A1274" s="4" t="str">
        <v xml:space="preserve"> </v>
      </c>
      <c r="B1274" s="4">
        <v>0</v>
      </c>
      <c r="C1274" s="4">
        <v>0</v>
      </c>
      <c r="D1274" s="4">
        <v>0</v>
      </c>
      <c r="E1274" s="4" t="str">
        <v>0</v>
      </c>
      <c r="F1274" s="102" t="str">
        <f ca="1">IFERROR(__xludf.DUMMYFUNCTION("IMPORTRANGE(H1274,""IDENTITAS UNIT!D9"")"),"#N/A")</f>
        <v>#N/A</v>
      </c>
      <c r="H1274" s="4" t="str">
        <v>0</v>
      </c>
      <c r="I1274" s="4" t="str">
        <v>0</v>
      </c>
      <c r="J1274" s="4">
        <v>0</v>
      </c>
    </row>
    <row r="1275" spans="1:10" ht="16.5" hidden="1">
      <c r="A1275" s="4" t="str">
        <v xml:space="preserve"> </v>
      </c>
      <c r="B1275" s="4">
        <v>0</v>
      </c>
      <c r="C1275" s="4">
        <v>0</v>
      </c>
      <c r="D1275" s="4">
        <v>0</v>
      </c>
      <c r="E1275" s="4" t="str">
        <v>0</v>
      </c>
      <c r="F1275" s="102" t="str">
        <f ca="1">IFERROR(__xludf.DUMMYFUNCTION("IMPORTRANGE(H1275,""IDENTITAS UNIT!D9"")"),"#N/A")</f>
        <v>#N/A</v>
      </c>
      <c r="H1275" s="4" t="str">
        <v>0</v>
      </c>
      <c r="I1275" s="4" t="str">
        <v>0</v>
      </c>
      <c r="J1275" s="4">
        <v>0</v>
      </c>
    </row>
    <row r="1276" spans="1:10" ht="16.5" hidden="1">
      <c r="A1276" s="4" t="str">
        <v xml:space="preserve"> </v>
      </c>
      <c r="B1276" s="4">
        <v>0</v>
      </c>
      <c r="C1276" s="4">
        <v>0</v>
      </c>
      <c r="D1276" s="4">
        <v>0</v>
      </c>
      <c r="E1276" s="4" t="str">
        <v>0</v>
      </c>
      <c r="F1276" s="102" t="str">
        <f ca="1">IFERROR(__xludf.DUMMYFUNCTION("IMPORTRANGE(H1276,""IDENTITAS UNIT!D9"")"),"#N/A")</f>
        <v>#N/A</v>
      </c>
      <c r="H1276" s="4" t="str">
        <v>0</v>
      </c>
      <c r="I1276" s="4" t="str">
        <v>0</v>
      </c>
      <c r="J1276" s="4">
        <v>0</v>
      </c>
    </row>
    <row r="1277" spans="1:10" ht="16.5" hidden="1">
      <c r="A1277" s="4" t="str">
        <v xml:space="preserve"> </v>
      </c>
      <c r="B1277" s="4">
        <v>0</v>
      </c>
      <c r="C1277" s="4">
        <v>0</v>
      </c>
      <c r="D1277" s="4">
        <v>0</v>
      </c>
      <c r="E1277" s="4" t="str">
        <v>0</v>
      </c>
      <c r="F1277" s="102" t="str">
        <f ca="1">IFERROR(__xludf.DUMMYFUNCTION("IMPORTRANGE(H1277,""IDENTITAS UNIT!D9"")"),"#N/A")</f>
        <v>#N/A</v>
      </c>
      <c r="H1277" s="4" t="str">
        <v>0</v>
      </c>
      <c r="I1277" s="4" t="str">
        <v>0</v>
      </c>
      <c r="J1277" s="4">
        <v>0</v>
      </c>
    </row>
    <row r="1278" spans="1:10" ht="16.5" hidden="1">
      <c r="A1278" s="4" t="str">
        <v xml:space="preserve"> </v>
      </c>
      <c r="B1278" s="4">
        <v>0</v>
      </c>
      <c r="C1278" s="4">
        <v>0</v>
      </c>
      <c r="D1278" s="4">
        <v>0</v>
      </c>
      <c r="E1278" s="4" t="str">
        <v>0</v>
      </c>
      <c r="F1278" s="102" t="str">
        <f ca="1">IFERROR(__xludf.DUMMYFUNCTION("IMPORTRANGE(H1278,""IDENTITAS UNIT!D9"")"),"#N/A")</f>
        <v>#N/A</v>
      </c>
      <c r="H1278" s="4" t="str">
        <v>0</v>
      </c>
      <c r="I1278" s="4" t="str">
        <v>0</v>
      </c>
      <c r="J1278" s="4">
        <v>0</v>
      </c>
    </row>
    <row r="1279" spans="1:10" ht="16.5" hidden="1">
      <c r="A1279" s="4" t="str">
        <v xml:space="preserve"> </v>
      </c>
      <c r="B1279" s="4">
        <v>0</v>
      </c>
      <c r="C1279" s="4">
        <v>0</v>
      </c>
      <c r="D1279" s="4">
        <v>0</v>
      </c>
      <c r="E1279" s="4" t="str">
        <v>0</v>
      </c>
      <c r="F1279" s="102" t="str">
        <f ca="1">IFERROR(__xludf.DUMMYFUNCTION("IMPORTRANGE(H1279,""IDENTITAS UNIT!D9"")"),"#N/A")</f>
        <v>#N/A</v>
      </c>
      <c r="H1279" s="4" t="str">
        <v>0</v>
      </c>
      <c r="I1279" s="4" t="str">
        <v>0</v>
      </c>
      <c r="J1279" s="4">
        <v>0</v>
      </c>
    </row>
    <row r="1280" spans="1:10" ht="16.5" hidden="1">
      <c r="A1280" s="4" t="str">
        <v xml:space="preserve"> </v>
      </c>
      <c r="B1280" s="4">
        <v>0</v>
      </c>
      <c r="C1280" s="4">
        <v>0</v>
      </c>
      <c r="D1280" s="4">
        <v>0</v>
      </c>
      <c r="E1280" s="4" t="str">
        <v>0</v>
      </c>
      <c r="F1280" s="102" t="str">
        <f ca="1">IFERROR(__xludf.DUMMYFUNCTION("IMPORTRANGE(H1280,""IDENTITAS UNIT!D9"")"),"#N/A")</f>
        <v>#N/A</v>
      </c>
      <c r="H1280" s="4" t="str">
        <v>0</v>
      </c>
      <c r="I1280" s="4" t="str">
        <v>0</v>
      </c>
      <c r="J1280" s="4">
        <v>0</v>
      </c>
    </row>
    <row r="1281" spans="1:10" ht="16.5" hidden="1">
      <c r="A1281" s="4" t="str">
        <v xml:space="preserve"> </v>
      </c>
      <c r="B1281" s="4">
        <v>0</v>
      </c>
      <c r="C1281" s="4">
        <v>0</v>
      </c>
      <c r="D1281" s="4">
        <v>0</v>
      </c>
      <c r="E1281" s="4" t="str">
        <v>0</v>
      </c>
      <c r="F1281" s="102" t="str">
        <f ca="1">IFERROR(__xludf.DUMMYFUNCTION("IMPORTRANGE(H1281,""IDENTITAS UNIT!D9"")"),"#N/A")</f>
        <v>#N/A</v>
      </c>
      <c r="H1281" s="4" t="str">
        <v>0</v>
      </c>
      <c r="I1281" s="4" t="str">
        <v>0</v>
      </c>
      <c r="J1281" s="4">
        <v>0</v>
      </c>
    </row>
    <row r="1282" spans="1:10" ht="16.5" hidden="1">
      <c r="A1282" s="4" t="str">
        <v xml:space="preserve"> </v>
      </c>
      <c r="B1282" s="4">
        <v>0</v>
      </c>
      <c r="C1282" s="4">
        <v>0</v>
      </c>
      <c r="D1282" s="4">
        <v>0</v>
      </c>
      <c r="E1282" s="4" t="str">
        <v>0</v>
      </c>
      <c r="F1282" s="102" t="str">
        <f ca="1">IFERROR(__xludf.DUMMYFUNCTION("IMPORTRANGE(H1282,""IDENTITAS UNIT!D9"")"),"#N/A")</f>
        <v>#N/A</v>
      </c>
      <c r="H1282" s="4" t="str">
        <v>0</v>
      </c>
      <c r="I1282" s="4" t="str">
        <v>0</v>
      </c>
      <c r="J1282" s="4">
        <v>0</v>
      </c>
    </row>
    <row r="1283" spans="1:10" ht="16.5" hidden="1">
      <c r="A1283" s="4" t="str">
        <v xml:space="preserve"> </v>
      </c>
      <c r="B1283" s="4">
        <v>0</v>
      </c>
      <c r="C1283" s="4">
        <v>0</v>
      </c>
      <c r="D1283" s="4">
        <v>0</v>
      </c>
      <c r="E1283" s="4" t="str">
        <v>0</v>
      </c>
      <c r="F1283" s="102" t="str">
        <f ca="1">IFERROR(__xludf.DUMMYFUNCTION("IMPORTRANGE(H1283,""IDENTITAS UNIT!D9"")"),"#N/A")</f>
        <v>#N/A</v>
      </c>
      <c r="H1283" s="4" t="str">
        <v>0</v>
      </c>
      <c r="I1283" s="4" t="str">
        <v>0</v>
      </c>
      <c r="J1283" s="4">
        <v>0</v>
      </c>
    </row>
    <row r="1284" spans="1:10" ht="16.5" hidden="1">
      <c r="A1284" s="4" t="str">
        <v xml:space="preserve"> </v>
      </c>
      <c r="B1284" s="4">
        <v>0</v>
      </c>
      <c r="C1284" s="4">
        <v>0</v>
      </c>
      <c r="D1284" s="4">
        <v>0</v>
      </c>
      <c r="E1284" s="4" t="str">
        <v>0</v>
      </c>
      <c r="F1284" s="102" t="str">
        <f ca="1">IFERROR(__xludf.DUMMYFUNCTION("IMPORTRANGE(H1284,""IDENTITAS UNIT!D9"")"),"#N/A")</f>
        <v>#N/A</v>
      </c>
      <c r="H1284" s="4" t="str">
        <v>0</v>
      </c>
      <c r="I1284" s="4" t="str">
        <v>0</v>
      </c>
      <c r="J1284" s="4">
        <v>0</v>
      </c>
    </row>
    <row r="1285" spans="1:10" ht="16.5" hidden="1">
      <c r="A1285" s="4" t="str">
        <v xml:space="preserve"> </v>
      </c>
      <c r="B1285" s="4">
        <v>0</v>
      </c>
      <c r="C1285" s="4">
        <v>0</v>
      </c>
      <c r="D1285" s="4">
        <v>0</v>
      </c>
      <c r="E1285" s="4" t="str">
        <v>0</v>
      </c>
      <c r="F1285" s="102" t="str">
        <f ca="1">IFERROR(__xludf.DUMMYFUNCTION("IMPORTRANGE(H1285,""IDENTITAS UNIT!D9"")"),"#N/A")</f>
        <v>#N/A</v>
      </c>
      <c r="H1285" s="4" t="str">
        <v>0</v>
      </c>
      <c r="I1285" s="4" t="str">
        <v>0</v>
      </c>
      <c r="J1285" s="4">
        <v>0</v>
      </c>
    </row>
    <row r="1286" spans="1:10" ht="16.5" hidden="1">
      <c r="A1286" s="4" t="str">
        <v xml:space="preserve"> </v>
      </c>
      <c r="B1286" s="4">
        <v>0</v>
      </c>
      <c r="C1286" s="4">
        <v>0</v>
      </c>
      <c r="D1286" s="4">
        <v>0</v>
      </c>
      <c r="E1286" s="4" t="str">
        <v>0</v>
      </c>
      <c r="F1286" s="102" t="str">
        <f ca="1">IFERROR(__xludf.DUMMYFUNCTION("IMPORTRANGE(H1286,""IDENTITAS UNIT!D9"")"),"#N/A")</f>
        <v>#N/A</v>
      </c>
      <c r="H1286" s="4" t="str">
        <v>0</v>
      </c>
      <c r="I1286" s="4" t="str">
        <v>0</v>
      </c>
      <c r="J1286" s="4">
        <v>0</v>
      </c>
    </row>
    <row r="1287" spans="1:10" ht="16.5" hidden="1">
      <c r="A1287" s="4" t="str">
        <v xml:space="preserve"> </v>
      </c>
      <c r="B1287" s="4">
        <v>0</v>
      </c>
      <c r="C1287" s="4">
        <v>0</v>
      </c>
      <c r="D1287" s="4">
        <v>0</v>
      </c>
      <c r="E1287" s="4" t="str">
        <v>0</v>
      </c>
      <c r="F1287" s="102" t="str">
        <f ca="1">IFERROR(__xludf.DUMMYFUNCTION("IMPORTRANGE(H1287,""IDENTITAS UNIT!D9"")"),"#N/A")</f>
        <v>#N/A</v>
      </c>
      <c r="H1287" s="4" t="str">
        <v>0</v>
      </c>
      <c r="I1287" s="4" t="str">
        <v>0</v>
      </c>
      <c r="J1287" s="4">
        <v>0</v>
      </c>
    </row>
    <row r="1288" spans="1:10" ht="16.5" hidden="1">
      <c r="A1288" s="4" t="str">
        <v xml:space="preserve"> </v>
      </c>
      <c r="B1288" s="4">
        <v>0</v>
      </c>
      <c r="C1288" s="4">
        <v>0</v>
      </c>
      <c r="D1288" s="4">
        <v>0</v>
      </c>
      <c r="E1288" s="4" t="str">
        <v>0</v>
      </c>
      <c r="F1288" s="102" t="str">
        <f ca="1">IFERROR(__xludf.DUMMYFUNCTION("IMPORTRANGE(H1288,""IDENTITAS UNIT!D9"")"),"#N/A")</f>
        <v>#N/A</v>
      </c>
      <c r="H1288" s="4" t="str">
        <v>0</v>
      </c>
      <c r="I1288" s="4" t="str">
        <v>0</v>
      </c>
      <c r="J1288" s="4">
        <v>0</v>
      </c>
    </row>
    <row r="1289" spans="1:10" ht="16.5" hidden="1">
      <c r="A1289" s="4" t="str">
        <v xml:space="preserve"> </v>
      </c>
      <c r="B1289" s="4">
        <v>0</v>
      </c>
      <c r="C1289" s="4">
        <v>0</v>
      </c>
      <c r="D1289" s="4">
        <v>0</v>
      </c>
      <c r="E1289" s="4" t="str">
        <v>0</v>
      </c>
      <c r="F1289" s="102" t="str">
        <f ca="1">IFERROR(__xludf.DUMMYFUNCTION("IMPORTRANGE(H1289,""IDENTITAS UNIT!D9"")"),"#N/A")</f>
        <v>#N/A</v>
      </c>
      <c r="H1289" s="4" t="str">
        <v>0</v>
      </c>
      <c r="I1289" s="4" t="str">
        <v>0</v>
      </c>
      <c r="J1289" s="4">
        <v>0</v>
      </c>
    </row>
    <row r="1290" spans="1:10" ht="16.5" hidden="1">
      <c r="A1290" s="4" t="str">
        <v xml:space="preserve"> </v>
      </c>
      <c r="B1290" s="4">
        <v>0</v>
      </c>
      <c r="C1290" s="4">
        <v>0</v>
      </c>
      <c r="D1290" s="4">
        <v>0</v>
      </c>
      <c r="E1290" s="4" t="str">
        <v>0</v>
      </c>
      <c r="F1290" s="102" t="str">
        <f ca="1">IFERROR(__xludf.DUMMYFUNCTION("IMPORTRANGE(H1290,""IDENTITAS UNIT!D9"")"),"#N/A")</f>
        <v>#N/A</v>
      </c>
      <c r="H1290" s="4" t="str">
        <v>0</v>
      </c>
      <c r="I1290" s="4" t="str">
        <v>0</v>
      </c>
      <c r="J1290" s="4">
        <v>0</v>
      </c>
    </row>
    <row r="1291" spans="1:10" ht="16.5" hidden="1">
      <c r="A1291" s="4" t="str">
        <v xml:space="preserve"> </v>
      </c>
      <c r="B1291" s="4">
        <v>0</v>
      </c>
      <c r="C1291" s="4">
        <v>0</v>
      </c>
      <c r="D1291" s="4">
        <v>0</v>
      </c>
      <c r="E1291" s="4" t="str">
        <v>0</v>
      </c>
      <c r="F1291" s="102" t="str">
        <f ca="1">IFERROR(__xludf.DUMMYFUNCTION("IMPORTRANGE(H1291,""IDENTITAS UNIT!D9"")"),"#N/A")</f>
        <v>#N/A</v>
      </c>
      <c r="H1291" s="4" t="str">
        <v>0</v>
      </c>
      <c r="I1291" s="4" t="str">
        <v>0</v>
      </c>
      <c r="J1291" s="4">
        <v>0</v>
      </c>
    </row>
    <row r="1292" spans="1:10" ht="16.5" hidden="1">
      <c r="A1292" s="4" t="str">
        <v xml:space="preserve"> </v>
      </c>
      <c r="B1292" s="4">
        <v>0</v>
      </c>
      <c r="C1292" s="4">
        <v>0</v>
      </c>
      <c r="D1292" s="4">
        <v>0</v>
      </c>
      <c r="E1292" s="4" t="str">
        <v>0</v>
      </c>
      <c r="F1292" s="102" t="str">
        <f ca="1">IFERROR(__xludf.DUMMYFUNCTION("IMPORTRANGE(H1292,""IDENTITAS UNIT!D9"")"),"#N/A")</f>
        <v>#N/A</v>
      </c>
      <c r="H1292" s="4" t="str">
        <v>0</v>
      </c>
      <c r="I1292" s="4" t="str">
        <v>0</v>
      </c>
      <c r="J1292" s="4">
        <v>0</v>
      </c>
    </row>
    <row r="1293" spans="1:10" ht="16.5" hidden="1">
      <c r="A1293" s="4" t="str">
        <v xml:space="preserve"> </v>
      </c>
      <c r="B1293" s="4">
        <v>0</v>
      </c>
      <c r="C1293" s="4">
        <v>0</v>
      </c>
      <c r="D1293" s="4">
        <v>0</v>
      </c>
      <c r="E1293" s="4" t="str">
        <v>0</v>
      </c>
      <c r="F1293" s="102" t="str">
        <f ca="1">IFERROR(__xludf.DUMMYFUNCTION("IMPORTRANGE(H1293,""IDENTITAS UNIT!D9"")"),"#N/A")</f>
        <v>#N/A</v>
      </c>
      <c r="H1293" s="4" t="str">
        <v>0</v>
      </c>
      <c r="I1293" s="4" t="str">
        <v>0</v>
      </c>
      <c r="J1293" s="4">
        <v>0</v>
      </c>
    </row>
    <row r="1294" spans="1:10" ht="16.5" hidden="1">
      <c r="A1294" s="4" t="str">
        <v xml:space="preserve"> </v>
      </c>
      <c r="B1294" s="4">
        <v>0</v>
      </c>
      <c r="C1294" s="4">
        <v>0</v>
      </c>
      <c r="D1294" s="4">
        <v>0</v>
      </c>
      <c r="E1294" s="4" t="str">
        <v>0</v>
      </c>
      <c r="F1294" s="102" t="str">
        <f ca="1">IFERROR(__xludf.DUMMYFUNCTION("IMPORTRANGE(H1294,""IDENTITAS UNIT!D9"")"),"#N/A")</f>
        <v>#N/A</v>
      </c>
      <c r="H1294" s="4" t="str">
        <v>0</v>
      </c>
      <c r="I1294" s="4" t="str">
        <v>0</v>
      </c>
      <c r="J1294" s="4">
        <v>0</v>
      </c>
    </row>
    <row r="1295" spans="1:10" ht="16.5" hidden="1">
      <c r="A1295" s="4" t="str">
        <v xml:space="preserve"> </v>
      </c>
      <c r="B1295" s="4">
        <v>0</v>
      </c>
      <c r="C1295" s="4">
        <v>0</v>
      </c>
      <c r="D1295" s="4">
        <v>0</v>
      </c>
      <c r="E1295" s="4" t="str">
        <v>0</v>
      </c>
      <c r="F1295" s="102" t="str">
        <f ca="1">IFERROR(__xludf.DUMMYFUNCTION("IMPORTRANGE(H1295,""IDENTITAS UNIT!D9"")"),"#N/A")</f>
        <v>#N/A</v>
      </c>
      <c r="H1295" s="4" t="str">
        <v>0</v>
      </c>
      <c r="I1295" s="4" t="str">
        <v>0</v>
      </c>
      <c r="J1295" s="4">
        <v>0</v>
      </c>
    </row>
    <row r="1296" spans="1:10" ht="16.5" hidden="1">
      <c r="A1296" s="4" t="str">
        <v xml:space="preserve"> </v>
      </c>
      <c r="B1296" s="4">
        <v>0</v>
      </c>
      <c r="C1296" s="4">
        <v>0</v>
      </c>
      <c r="D1296" s="4">
        <v>0</v>
      </c>
      <c r="E1296" s="4" t="str">
        <v>0</v>
      </c>
      <c r="F1296" s="102" t="str">
        <f ca="1">IFERROR(__xludf.DUMMYFUNCTION("IMPORTRANGE(H1296,""IDENTITAS UNIT!D9"")"),"#N/A")</f>
        <v>#N/A</v>
      </c>
      <c r="H1296" s="4" t="str">
        <v>0</v>
      </c>
      <c r="I1296" s="4" t="str">
        <v>0</v>
      </c>
      <c r="J1296" s="4">
        <v>0</v>
      </c>
    </row>
    <row r="1297" spans="1:10" ht="16.5" hidden="1">
      <c r="A1297" s="4" t="str">
        <v xml:space="preserve"> </v>
      </c>
      <c r="B1297" s="4">
        <v>0</v>
      </c>
      <c r="C1297" s="4">
        <v>0</v>
      </c>
      <c r="D1297" s="4">
        <v>0</v>
      </c>
      <c r="E1297" s="4" t="str">
        <v>0</v>
      </c>
      <c r="F1297" s="102" t="str">
        <f ca="1">IFERROR(__xludf.DUMMYFUNCTION("IMPORTRANGE(H1297,""IDENTITAS UNIT!D9"")"),"#N/A")</f>
        <v>#N/A</v>
      </c>
      <c r="H1297" s="4" t="str">
        <v>0</v>
      </c>
      <c r="I1297" s="4" t="str">
        <v>0</v>
      </c>
      <c r="J1297" s="4">
        <v>0</v>
      </c>
    </row>
    <row r="1298" spans="1:10" ht="16.5" hidden="1">
      <c r="A1298" s="4" t="str">
        <v xml:space="preserve"> </v>
      </c>
      <c r="B1298" s="4">
        <v>0</v>
      </c>
      <c r="C1298" s="4">
        <v>0</v>
      </c>
      <c r="D1298" s="4">
        <v>0</v>
      </c>
      <c r="E1298" s="4" t="str">
        <v>0</v>
      </c>
      <c r="F1298" s="102" t="str">
        <f ca="1">IFERROR(__xludf.DUMMYFUNCTION("IMPORTRANGE(H1298,""IDENTITAS UNIT!D9"")"),"#N/A")</f>
        <v>#N/A</v>
      </c>
      <c r="H1298" s="4" t="str">
        <v>0</v>
      </c>
      <c r="I1298" s="4" t="str">
        <v>0</v>
      </c>
      <c r="J1298" s="4">
        <v>0</v>
      </c>
    </row>
    <row r="1299" spans="1:10" ht="16.5" hidden="1">
      <c r="A1299" s="4" t="str">
        <v xml:space="preserve"> </v>
      </c>
      <c r="B1299" s="4">
        <v>0</v>
      </c>
      <c r="C1299" s="4">
        <v>0</v>
      </c>
      <c r="D1299" s="4">
        <v>0</v>
      </c>
      <c r="E1299" s="4" t="str">
        <v>0</v>
      </c>
      <c r="F1299" s="102" t="str">
        <f ca="1">IFERROR(__xludf.DUMMYFUNCTION("IMPORTRANGE(H1299,""IDENTITAS UNIT!D9"")"),"#N/A")</f>
        <v>#N/A</v>
      </c>
      <c r="H1299" s="4" t="str">
        <v>0</v>
      </c>
      <c r="I1299" s="4" t="str">
        <v>0</v>
      </c>
      <c r="J1299" s="4">
        <v>0</v>
      </c>
    </row>
    <row r="1300" spans="1:10" ht="16.5" hidden="1">
      <c r="A1300" s="4" t="str">
        <v xml:space="preserve"> </v>
      </c>
      <c r="B1300" s="4">
        <v>0</v>
      </c>
      <c r="C1300" s="4">
        <v>0</v>
      </c>
      <c r="D1300" s="4">
        <v>0</v>
      </c>
      <c r="E1300" s="4" t="str">
        <v>0</v>
      </c>
      <c r="F1300" s="102" t="str">
        <f ca="1">IFERROR(__xludf.DUMMYFUNCTION("IMPORTRANGE(H1300,""IDENTITAS UNIT!D9"")"),"#N/A")</f>
        <v>#N/A</v>
      </c>
      <c r="H1300" s="4" t="str">
        <v>0</v>
      </c>
      <c r="I1300" s="4" t="str">
        <v>0</v>
      </c>
      <c r="J1300" s="4">
        <v>0</v>
      </c>
    </row>
    <row r="1301" spans="1:10" ht="16.5" hidden="1">
      <c r="A1301" s="4" t="str">
        <v xml:space="preserve"> </v>
      </c>
      <c r="B1301" s="4">
        <v>0</v>
      </c>
      <c r="C1301" s="4">
        <v>0</v>
      </c>
      <c r="D1301" s="4">
        <v>0</v>
      </c>
      <c r="E1301" s="4" t="str">
        <v>0</v>
      </c>
      <c r="F1301" s="102" t="str">
        <f ca="1">IFERROR(__xludf.DUMMYFUNCTION("IMPORTRANGE(H1301,""IDENTITAS UNIT!D9"")"),"#N/A")</f>
        <v>#N/A</v>
      </c>
      <c r="H1301" s="4" t="str">
        <v>0</v>
      </c>
      <c r="I1301" s="4" t="str">
        <v>0</v>
      </c>
      <c r="J1301" s="4">
        <v>0</v>
      </c>
    </row>
    <row r="1302" spans="1:10" ht="16.5" hidden="1">
      <c r="A1302" s="4" t="str">
        <v xml:space="preserve"> </v>
      </c>
      <c r="B1302" s="4">
        <v>0</v>
      </c>
      <c r="C1302" s="4">
        <v>0</v>
      </c>
      <c r="D1302" s="4">
        <v>0</v>
      </c>
      <c r="E1302" s="4" t="str">
        <v>0</v>
      </c>
      <c r="F1302" s="102" t="str">
        <f ca="1">IFERROR(__xludf.DUMMYFUNCTION("IMPORTRANGE(H1302,""IDENTITAS UNIT!D9"")"),"#N/A")</f>
        <v>#N/A</v>
      </c>
      <c r="H1302" s="4" t="str">
        <v>0</v>
      </c>
      <c r="I1302" s="4" t="str">
        <v>0</v>
      </c>
      <c r="J1302" s="4">
        <v>0</v>
      </c>
    </row>
    <row r="1303" spans="1:10" ht="16.5" hidden="1">
      <c r="A1303" s="4" t="str">
        <v xml:space="preserve"> </v>
      </c>
      <c r="B1303" s="4">
        <v>0</v>
      </c>
      <c r="C1303" s="4">
        <v>0</v>
      </c>
      <c r="D1303" s="4">
        <v>0</v>
      </c>
      <c r="E1303" s="4" t="str">
        <v>0</v>
      </c>
      <c r="F1303" s="102" t="str">
        <f ca="1">IFERROR(__xludf.DUMMYFUNCTION("IMPORTRANGE(H1303,""IDENTITAS UNIT!D9"")"),"#N/A")</f>
        <v>#N/A</v>
      </c>
      <c r="H1303" s="4" t="str">
        <v>0</v>
      </c>
      <c r="I1303" s="4" t="str">
        <v>0</v>
      </c>
      <c r="J1303" s="4">
        <v>0</v>
      </c>
    </row>
    <row r="1304" spans="1:10" ht="16.5" hidden="1">
      <c r="A1304" s="4" t="str">
        <v xml:space="preserve"> </v>
      </c>
      <c r="B1304" s="4">
        <v>0</v>
      </c>
      <c r="C1304" s="4">
        <v>0</v>
      </c>
      <c r="D1304" s="4">
        <v>0</v>
      </c>
      <c r="E1304" s="4" t="str">
        <v>0</v>
      </c>
      <c r="F1304" s="102" t="str">
        <f ca="1">IFERROR(__xludf.DUMMYFUNCTION("IMPORTRANGE(H1304,""IDENTITAS UNIT!D9"")"),"#N/A")</f>
        <v>#N/A</v>
      </c>
      <c r="H1304" s="4" t="str">
        <v>0</v>
      </c>
      <c r="I1304" s="4" t="str">
        <v>0</v>
      </c>
      <c r="J1304" s="4">
        <v>0</v>
      </c>
    </row>
    <row r="1305" spans="1:10" ht="16.5" hidden="1">
      <c r="A1305" s="4" t="str">
        <v xml:space="preserve"> </v>
      </c>
      <c r="B1305" s="4">
        <v>0</v>
      </c>
      <c r="C1305" s="4">
        <v>0</v>
      </c>
      <c r="D1305" s="4">
        <v>0</v>
      </c>
      <c r="E1305" s="4" t="str">
        <v>0</v>
      </c>
      <c r="F1305" s="102" t="str">
        <f ca="1">IFERROR(__xludf.DUMMYFUNCTION("IMPORTRANGE(H1305,""IDENTITAS UNIT!D9"")"),"#N/A")</f>
        <v>#N/A</v>
      </c>
      <c r="H1305" s="4" t="str">
        <v>0</v>
      </c>
      <c r="I1305" s="4" t="str">
        <v>0</v>
      </c>
      <c r="J1305" s="4">
        <v>0</v>
      </c>
    </row>
    <row r="1306" spans="1:10" ht="16.5" hidden="1">
      <c r="A1306" s="4" t="str">
        <v xml:space="preserve"> </v>
      </c>
      <c r="B1306" s="4">
        <v>0</v>
      </c>
      <c r="C1306" s="4">
        <v>0</v>
      </c>
      <c r="D1306" s="4">
        <v>0</v>
      </c>
      <c r="E1306" s="4" t="str">
        <v>0</v>
      </c>
      <c r="F1306" s="102" t="str">
        <f ca="1">IFERROR(__xludf.DUMMYFUNCTION("IMPORTRANGE(H1306,""IDENTITAS UNIT!D9"")"),"#N/A")</f>
        <v>#N/A</v>
      </c>
      <c r="H1306" s="4" t="str">
        <v>0</v>
      </c>
      <c r="I1306" s="4" t="str">
        <v>0</v>
      </c>
      <c r="J1306" s="4">
        <v>0</v>
      </c>
    </row>
    <row r="1307" spans="1:10" ht="16.5" hidden="1">
      <c r="A1307" s="4" t="str">
        <v xml:space="preserve"> </v>
      </c>
      <c r="B1307" s="4">
        <v>0</v>
      </c>
      <c r="C1307" s="4">
        <v>0</v>
      </c>
      <c r="D1307" s="4">
        <v>0</v>
      </c>
      <c r="E1307" s="4" t="str">
        <v>0</v>
      </c>
      <c r="F1307" s="102" t="str">
        <f ca="1">IFERROR(__xludf.DUMMYFUNCTION("IMPORTRANGE(H1307,""IDENTITAS UNIT!D9"")"),"#N/A")</f>
        <v>#N/A</v>
      </c>
      <c r="H1307" s="4" t="str">
        <v>0</v>
      </c>
      <c r="I1307" s="4" t="str">
        <v>0</v>
      </c>
      <c r="J1307" s="4">
        <v>0</v>
      </c>
    </row>
    <row r="1308" spans="1:10" ht="16.5" hidden="1">
      <c r="A1308" s="4" t="str">
        <v xml:space="preserve"> </v>
      </c>
      <c r="B1308" s="4">
        <v>0</v>
      </c>
      <c r="C1308" s="4">
        <v>0</v>
      </c>
      <c r="D1308" s="4">
        <v>0</v>
      </c>
      <c r="E1308" s="4" t="str">
        <v>0</v>
      </c>
      <c r="F1308" s="102" t="str">
        <f ca="1">IFERROR(__xludf.DUMMYFUNCTION("IMPORTRANGE(H1308,""IDENTITAS UNIT!D9"")"),"#N/A")</f>
        <v>#N/A</v>
      </c>
      <c r="H1308" s="4" t="str">
        <v>0</v>
      </c>
      <c r="I1308" s="4" t="str">
        <v>0</v>
      </c>
      <c r="J1308" s="4">
        <v>0</v>
      </c>
    </row>
    <row r="1309" spans="1:10" ht="16.5" hidden="1">
      <c r="A1309" s="4" t="str">
        <v xml:space="preserve"> </v>
      </c>
      <c r="B1309" s="4">
        <v>0</v>
      </c>
      <c r="C1309" s="4">
        <v>0</v>
      </c>
      <c r="D1309" s="4">
        <v>0</v>
      </c>
      <c r="E1309" s="4" t="str">
        <v>0</v>
      </c>
      <c r="F1309" s="102" t="str">
        <f ca="1">IFERROR(__xludf.DUMMYFUNCTION("IMPORTRANGE(H1309,""IDENTITAS UNIT!D9"")"),"#N/A")</f>
        <v>#N/A</v>
      </c>
      <c r="H1309" s="4" t="str">
        <v>0</v>
      </c>
      <c r="I1309" s="4" t="str">
        <v>0</v>
      </c>
      <c r="J1309" s="4">
        <v>0</v>
      </c>
    </row>
    <row r="1310" spans="1:10" ht="16.5" hidden="1">
      <c r="A1310" s="4" t="str">
        <v xml:space="preserve"> </v>
      </c>
      <c r="B1310" s="4">
        <v>0</v>
      </c>
      <c r="C1310" s="4">
        <v>0</v>
      </c>
      <c r="D1310" s="4">
        <v>0</v>
      </c>
      <c r="E1310" s="4" t="str">
        <v>0</v>
      </c>
      <c r="F1310" s="102" t="str">
        <f ca="1">IFERROR(__xludf.DUMMYFUNCTION("IMPORTRANGE(H1310,""IDENTITAS UNIT!D9"")"),"#N/A")</f>
        <v>#N/A</v>
      </c>
      <c r="H1310" s="4" t="str">
        <v>0</v>
      </c>
      <c r="I1310" s="4" t="str">
        <v>0</v>
      </c>
      <c r="J1310" s="4">
        <v>0</v>
      </c>
    </row>
    <row r="1311" spans="1:10" ht="16.5" hidden="1">
      <c r="A1311" s="4" t="str">
        <v xml:space="preserve"> </v>
      </c>
      <c r="B1311" s="4">
        <v>0</v>
      </c>
      <c r="C1311" s="4">
        <v>0</v>
      </c>
      <c r="D1311" s="4">
        <v>0</v>
      </c>
      <c r="E1311" s="4" t="str">
        <v>0</v>
      </c>
      <c r="F1311" s="102" t="str">
        <f ca="1">IFERROR(__xludf.DUMMYFUNCTION("IMPORTRANGE(H1311,""IDENTITAS UNIT!D9"")"),"#N/A")</f>
        <v>#N/A</v>
      </c>
      <c r="H1311" s="4" t="str">
        <v>0</v>
      </c>
      <c r="I1311" s="4" t="str">
        <v>0</v>
      </c>
      <c r="J1311" s="4">
        <v>0</v>
      </c>
    </row>
    <row r="1312" spans="1:10" ht="16.5" hidden="1">
      <c r="A1312" s="4" t="str">
        <v xml:space="preserve"> </v>
      </c>
      <c r="B1312" s="4">
        <v>0</v>
      </c>
      <c r="C1312" s="4">
        <v>0</v>
      </c>
      <c r="D1312" s="4">
        <v>0</v>
      </c>
      <c r="E1312" s="4" t="str">
        <v>0</v>
      </c>
      <c r="F1312" s="102" t="str">
        <f ca="1">IFERROR(__xludf.DUMMYFUNCTION("IMPORTRANGE(H1312,""IDENTITAS UNIT!D9"")"),"#N/A")</f>
        <v>#N/A</v>
      </c>
      <c r="H1312" s="4" t="str">
        <v>0</v>
      </c>
      <c r="I1312" s="4" t="str">
        <v>0</v>
      </c>
      <c r="J1312" s="4">
        <v>0</v>
      </c>
    </row>
    <row r="1313" spans="1:10" ht="16.5" hidden="1">
      <c r="A1313" s="4" t="str">
        <v xml:space="preserve"> </v>
      </c>
      <c r="B1313" s="4">
        <v>0</v>
      </c>
      <c r="C1313" s="4">
        <v>0</v>
      </c>
      <c r="D1313" s="4">
        <v>0</v>
      </c>
      <c r="E1313" s="4" t="str">
        <v>0</v>
      </c>
      <c r="F1313" s="102" t="str">
        <f ca="1">IFERROR(__xludf.DUMMYFUNCTION("IMPORTRANGE(H1313,""IDENTITAS UNIT!D9"")"),"#N/A")</f>
        <v>#N/A</v>
      </c>
      <c r="H1313" s="4" t="str">
        <v>0</v>
      </c>
      <c r="I1313" s="4" t="str">
        <v>0</v>
      </c>
      <c r="J1313" s="4">
        <v>0</v>
      </c>
    </row>
    <row r="1314" spans="1:10" ht="16.5" hidden="1">
      <c r="A1314" s="4" t="str">
        <v xml:space="preserve"> </v>
      </c>
      <c r="B1314" s="4">
        <v>0</v>
      </c>
      <c r="C1314" s="4">
        <v>0</v>
      </c>
      <c r="D1314" s="4">
        <v>0</v>
      </c>
      <c r="E1314" s="4" t="str">
        <v>0</v>
      </c>
      <c r="F1314" s="102" t="str">
        <f ca="1">IFERROR(__xludf.DUMMYFUNCTION("IMPORTRANGE(H1314,""IDENTITAS UNIT!D9"")"),"#N/A")</f>
        <v>#N/A</v>
      </c>
      <c r="H1314" s="4" t="str">
        <v>0</v>
      </c>
      <c r="I1314" s="4" t="str">
        <v>0</v>
      </c>
      <c r="J1314" s="4">
        <v>0</v>
      </c>
    </row>
    <row r="1315" spans="1:10" ht="16.5" hidden="1">
      <c r="A1315" s="4" t="str">
        <v xml:space="preserve"> </v>
      </c>
      <c r="B1315" s="4">
        <v>0</v>
      </c>
      <c r="C1315" s="4">
        <v>0</v>
      </c>
      <c r="D1315" s="4">
        <v>0</v>
      </c>
      <c r="E1315" s="4" t="str">
        <v>0</v>
      </c>
      <c r="F1315" s="102" t="str">
        <f ca="1">IFERROR(__xludf.DUMMYFUNCTION("IMPORTRANGE(H1315,""IDENTITAS UNIT!D9"")"),"#N/A")</f>
        <v>#N/A</v>
      </c>
      <c r="H1315" s="4" t="str">
        <v>0</v>
      </c>
      <c r="I1315" s="4" t="str">
        <v>0</v>
      </c>
      <c r="J1315" s="4">
        <v>0</v>
      </c>
    </row>
    <row r="1316" spans="1:10" ht="16.5" hidden="1">
      <c r="A1316" s="4" t="str">
        <v xml:space="preserve"> </v>
      </c>
      <c r="B1316" s="4">
        <v>0</v>
      </c>
      <c r="C1316" s="4">
        <v>0</v>
      </c>
      <c r="D1316" s="4">
        <v>0</v>
      </c>
      <c r="E1316" s="4" t="str">
        <v>0</v>
      </c>
      <c r="F1316" s="102" t="str">
        <f ca="1">IFERROR(__xludf.DUMMYFUNCTION("IMPORTRANGE(H1316,""IDENTITAS UNIT!D9"")"),"#N/A")</f>
        <v>#N/A</v>
      </c>
      <c r="H1316" s="4" t="str">
        <v>0</v>
      </c>
      <c r="I1316" s="4" t="str">
        <v>0</v>
      </c>
      <c r="J1316" s="4">
        <v>0</v>
      </c>
    </row>
    <row r="1317" spans="1:10" ht="16.5" hidden="1">
      <c r="A1317" s="4" t="str">
        <v xml:space="preserve"> </v>
      </c>
      <c r="B1317" s="4">
        <v>0</v>
      </c>
      <c r="C1317" s="4">
        <v>0</v>
      </c>
      <c r="D1317" s="4">
        <v>0</v>
      </c>
      <c r="E1317" s="4" t="str">
        <v>0</v>
      </c>
      <c r="F1317" s="102" t="str">
        <f ca="1">IFERROR(__xludf.DUMMYFUNCTION("IMPORTRANGE(H1317,""IDENTITAS UNIT!D9"")"),"#N/A")</f>
        <v>#N/A</v>
      </c>
      <c r="H1317" s="4" t="str">
        <v>0</v>
      </c>
      <c r="I1317" s="4" t="str">
        <v>0</v>
      </c>
      <c r="J1317" s="4">
        <v>0</v>
      </c>
    </row>
    <row r="1318" spans="1:10" ht="16.5" hidden="1">
      <c r="A1318" s="4" t="str">
        <v xml:space="preserve"> </v>
      </c>
      <c r="B1318" s="4">
        <v>0</v>
      </c>
      <c r="C1318" s="4">
        <v>0</v>
      </c>
      <c r="D1318" s="4">
        <v>0</v>
      </c>
      <c r="E1318" s="4" t="str">
        <v>0</v>
      </c>
      <c r="F1318" s="102" t="str">
        <f ca="1">IFERROR(__xludf.DUMMYFUNCTION("IMPORTRANGE(H1318,""IDENTITAS UNIT!D9"")"),"#N/A")</f>
        <v>#N/A</v>
      </c>
      <c r="H1318" s="4" t="str">
        <v>0</v>
      </c>
      <c r="I1318" s="4" t="str">
        <v>0</v>
      </c>
      <c r="J1318" s="4">
        <v>0</v>
      </c>
    </row>
    <row r="1319" spans="1:10" ht="16.5" hidden="1">
      <c r="A1319" s="4" t="str">
        <v xml:space="preserve"> </v>
      </c>
      <c r="B1319" s="4">
        <v>0</v>
      </c>
      <c r="C1319" s="4">
        <v>0</v>
      </c>
      <c r="D1319" s="4">
        <v>0</v>
      </c>
      <c r="E1319" s="4" t="str">
        <v>0</v>
      </c>
      <c r="F1319" s="102" t="str">
        <f ca="1">IFERROR(__xludf.DUMMYFUNCTION("IMPORTRANGE(H1319,""IDENTITAS UNIT!D9"")"),"#N/A")</f>
        <v>#N/A</v>
      </c>
      <c r="H1319" s="4" t="str">
        <v>0</v>
      </c>
      <c r="I1319" s="4" t="str">
        <v>0</v>
      </c>
      <c r="J1319" s="4">
        <v>0</v>
      </c>
    </row>
    <row r="1320" spans="1:10" ht="16.5" hidden="1">
      <c r="A1320" s="4" t="str">
        <v xml:space="preserve"> </v>
      </c>
      <c r="B1320" s="4">
        <v>0</v>
      </c>
      <c r="C1320" s="4">
        <v>0</v>
      </c>
      <c r="D1320" s="4">
        <v>0</v>
      </c>
      <c r="E1320" s="4" t="str">
        <v>0</v>
      </c>
      <c r="F1320" s="102" t="str">
        <f ca="1">IFERROR(__xludf.DUMMYFUNCTION("IMPORTRANGE(H1320,""IDENTITAS UNIT!D9"")"),"#N/A")</f>
        <v>#N/A</v>
      </c>
      <c r="H1320" s="4" t="str">
        <v>0</v>
      </c>
      <c r="I1320" s="4" t="str">
        <v>0</v>
      </c>
      <c r="J1320" s="4">
        <v>0</v>
      </c>
    </row>
    <row r="1321" spans="1:10" ht="16.5" hidden="1">
      <c r="A1321" s="4" t="str">
        <v xml:space="preserve"> </v>
      </c>
      <c r="B1321" s="4">
        <v>0</v>
      </c>
      <c r="C1321" s="4">
        <v>0</v>
      </c>
      <c r="D1321" s="4">
        <v>0</v>
      </c>
      <c r="E1321" s="4" t="str">
        <v>0</v>
      </c>
      <c r="F1321" s="102" t="str">
        <f ca="1">IFERROR(__xludf.DUMMYFUNCTION("IMPORTRANGE(H1321,""IDENTITAS UNIT!D9"")"),"#N/A")</f>
        <v>#N/A</v>
      </c>
      <c r="H1321" s="4" t="str">
        <v>0</v>
      </c>
      <c r="I1321" s="4" t="str">
        <v>0</v>
      </c>
      <c r="J1321" s="4">
        <v>0</v>
      </c>
    </row>
    <row r="1322" spans="1:10" ht="16.5" hidden="1">
      <c r="A1322" s="4" t="str">
        <v xml:space="preserve"> </v>
      </c>
      <c r="B1322" s="4">
        <v>0</v>
      </c>
      <c r="C1322" s="4">
        <v>0</v>
      </c>
      <c r="D1322" s="4">
        <v>0</v>
      </c>
      <c r="E1322" s="4" t="str">
        <v>0</v>
      </c>
      <c r="F1322" s="102" t="str">
        <f ca="1">IFERROR(__xludf.DUMMYFUNCTION("IMPORTRANGE(H1322,""IDENTITAS UNIT!D9"")"),"#N/A")</f>
        <v>#N/A</v>
      </c>
      <c r="H1322" s="4" t="str">
        <v>0</v>
      </c>
      <c r="I1322" s="4" t="str">
        <v>0</v>
      </c>
      <c r="J1322" s="4">
        <v>0</v>
      </c>
    </row>
    <row r="1323" spans="1:10" ht="16.5" hidden="1">
      <c r="A1323" s="4" t="str">
        <v xml:space="preserve"> </v>
      </c>
      <c r="B1323" s="4">
        <v>0</v>
      </c>
      <c r="C1323" s="4">
        <v>0</v>
      </c>
      <c r="D1323" s="4">
        <v>0</v>
      </c>
      <c r="E1323" s="4" t="str">
        <v>0</v>
      </c>
      <c r="F1323" s="102" t="str">
        <f ca="1">IFERROR(__xludf.DUMMYFUNCTION("IMPORTRANGE(H1323,""IDENTITAS UNIT!D9"")"),"#N/A")</f>
        <v>#N/A</v>
      </c>
      <c r="H1323" s="4" t="str">
        <v>0</v>
      </c>
      <c r="I1323" s="4" t="str">
        <v>0</v>
      </c>
      <c r="J1323" s="4">
        <v>0</v>
      </c>
    </row>
    <row r="1324" spans="1:10" ht="16.5" hidden="1">
      <c r="A1324" s="4" t="str">
        <v xml:space="preserve"> </v>
      </c>
      <c r="B1324" s="4">
        <v>0</v>
      </c>
      <c r="C1324" s="4">
        <v>0</v>
      </c>
      <c r="D1324" s="4">
        <v>0</v>
      </c>
      <c r="E1324" s="4" t="str">
        <v>0</v>
      </c>
      <c r="F1324" s="102" t="str">
        <f ca="1">IFERROR(__xludf.DUMMYFUNCTION("IMPORTRANGE(H1324,""IDENTITAS UNIT!D9"")"),"#N/A")</f>
        <v>#N/A</v>
      </c>
      <c r="H1324" s="4" t="str">
        <v>0</v>
      </c>
      <c r="I1324" s="4" t="str">
        <v>0</v>
      </c>
      <c r="J1324" s="4">
        <v>0</v>
      </c>
    </row>
    <row r="1325" spans="1:10" ht="16.5" hidden="1">
      <c r="A1325" s="4" t="str">
        <v xml:space="preserve"> </v>
      </c>
      <c r="B1325" s="4">
        <v>0</v>
      </c>
      <c r="C1325" s="4">
        <v>0</v>
      </c>
      <c r="D1325" s="4">
        <v>0</v>
      </c>
      <c r="E1325" s="4" t="str">
        <v>0</v>
      </c>
      <c r="F1325" s="102" t="str">
        <f ca="1">IFERROR(__xludf.DUMMYFUNCTION("IMPORTRANGE(H1325,""IDENTITAS UNIT!D9"")"),"#N/A")</f>
        <v>#N/A</v>
      </c>
      <c r="H1325" s="4" t="str">
        <v>0</v>
      </c>
      <c r="I1325" s="4" t="str">
        <v>0</v>
      </c>
      <c r="J1325" s="4">
        <v>0</v>
      </c>
    </row>
    <row r="1326" spans="1:10" ht="16.5" hidden="1">
      <c r="A1326" s="4" t="str">
        <v xml:space="preserve"> </v>
      </c>
      <c r="B1326" s="4">
        <v>0</v>
      </c>
      <c r="C1326" s="4">
        <v>0</v>
      </c>
      <c r="D1326" s="4">
        <v>0</v>
      </c>
      <c r="E1326" s="4" t="str">
        <v>0</v>
      </c>
      <c r="F1326" s="102" t="str">
        <f ca="1">IFERROR(__xludf.DUMMYFUNCTION("IMPORTRANGE(H1326,""IDENTITAS UNIT!D9"")"),"#N/A")</f>
        <v>#N/A</v>
      </c>
      <c r="H1326" s="4" t="str">
        <v>0</v>
      </c>
      <c r="I1326" s="4" t="str">
        <v>0</v>
      </c>
      <c r="J1326" s="4">
        <v>0</v>
      </c>
    </row>
    <row r="1327" spans="1:10" ht="16.5" hidden="1">
      <c r="A1327" s="4" t="str">
        <v xml:space="preserve"> </v>
      </c>
      <c r="B1327" s="4">
        <v>0</v>
      </c>
      <c r="C1327" s="4">
        <v>0</v>
      </c>
      <c r="D1327" s="4">
        <v>0</v>
      </c>
      <c r="E1327" s="4" t="str">
        <v>0</v>
      </c>
      <c r="F1327" s="102" t="str">
        <f ca="1">IFERROR(__xludf.DUMMYFUNCTION("IMPORTRANGE(H1327,""IDENTITAS UNIT!D9"")"),"#N/A")</f>
        <v>#N/A</v>
      </c>
      <c r="H1327" s="4" t="str">
        <v>0</v>
      </c>
      <c r="I1327" s="4" t="str">
        <v>0</v>
      </c>
      <c r="J1327" s="4">
        <v>0</v>
      </c>
    </row>
    <row r="1328" spans="1:10" ht="16.5" hidden="1">
      <c r="A1328" s="4" t="str">
        <v xml:space="preserve"> </v>
      </c>
      <c r="B1328" s="4">
        <v>0</v>
      </c>
      <c r="C1328" s="4">
        <v>0</v>
      </c>
      <c r="D1328" s="4">
        <v>0</v>
      </c>
      <c r="E1328" s="4" t="str">
        <v>0</v>
      </c>
      <c r="F1328" s="102" t="str">
        <f ca="1">IFERROR(__xludf.DUMMYFUNCTION("IMPORTRANGE(H1328,""IDENTITAS UNIT!D9"")"),"#N/A")</f>
        <v>#N/A</v>
      </c>
      <c r="H1328" s="4" t="str">
        <v>0</v>
      </c>
      <c r="I1328" s="4" t="str">
        <v>0</v>
      </c>
      <c r="J1328" s="4">
        <v>0</v>
      </c>
    </row>
    <row r="1329" spans="1:10" ht="16.5" hidden="1">
      <c r="A1329" s="4" t="str">
        <v xml:space="preserve"> </v>
      </c>
      <c r="B1329" s="4">
        <v>0</v>
      </c>
      <c r="C1329" s="4">
        <v>0</v>
      </c>
      <c r="D1329" s="4">
        <v>0</v>
      </c>
      <c r="E1329" s="4" t="str">
        <v>0</v>
      </c>
      <c r="F1329" s="102" t="str">
        <f ca="1">IFERROR(__xludf.DUMMYFUNCTION("IMPORTRANGE(H1329,""IDENTITAS UNIT!D9"")"),"#N/A")</f>
        <v>#N/A</v>
      </c>
      <c r="H1329" s="4" t="str">
        <v>0</v>
      </c>
      <c r="I1329" s="4" t="str">
        <v>0</v>
      </c>
      <c r="J1329" s="4">
        <v>0</v>
      </c>
    </row>
    <row r="1330" spans="1:10" ht="16.5" hidden="1">
      <c r="A1330" s="4" t="str">
        <v xml:space="preserve"> </v>
      </c>
      <c r="B1330" s="4">
        <v>0</v>
      </c>
      <c r="C1330" s="4">
        <v>0</v>
      </c>
      <c r="D1330" s="4">
        <v>0</v>
      </c>
      <c r="E1330" s="4" t="str">
        <v>0</v>
      </c>
      <c r="F1330" s="102" t="str">
        <f ca="1">IFERROR(__xludf.DUMMYFUNCTION("IMPORTRANGE(H1330,""IDENTITAS UNIT!D9"")"),"#N/A")</f>
        <v>#N/A</v>
      </c>
      <c r="H1330" s="4" t="str">
        <v>0</v>
      </c>
      <c r="I1330" s="4" t="str">
        <v>0</v>
      </c>
      <c r="J1330" s="4">
        <v>0</v>
      </c>
    </row>
    <row r="1331" spans="1:10" ht="16.5" hidden="1">
      <c r="A1331" s="4" t="str">
        <v xml:space="preserve"> </v>
      </c>
      <c r="B1331" s="4">
        <v>0</v>
      </c>
      <c r="C1331" s="4">
        <v>0</v>
      </c>
      <c r="D1331" s="4">
        <v>0</v>
      </c>
      <c r="E1331" s="4" t="str">
        <v>0</v>
      </c>
      <c r="F1331" s="102" t="str">
        <f ca="1">IFERROR(__xludf.DUMMYFUNCTION("IMPORTRANGE(H1331,""IDENTITAS UNIT!D9"")"),"#N/A")</f>
        <v>#N/A</v>
      </c>
      <c r="H1331" s="4" t="str">
        <v>0</v>
      </c>
      <c r="I1331" s="4" t="str">
        <v>0</v>
      </c>
      <c r="J1331" s="4">
        <v>0</v>
      </c>
    </row>
    <row r="1332" spans="1:10" ht="16.5" hidden="1">
      <c r="A1332" s="4" t="str">
        <v xml:space="preserve"> </v>
      </c>
      <c r="B1332" s="4">
        <v>0</v>
      </c>
      <c r="C1332" s="4">
        <v>0</v>
      </c>
      <c r="D1332" s="4">
        <v>0</v>
      </c>
      <c r="E1332" s="4" t="str">
        <v>0</v>
      </c>
      <c r="F1332" s="102" t="str">
        <f ca="1">IFERROR(__xludf.DUMMYFUNCTION("IMPORTRANGE(H1332,""IDENTITAS UNIT!D9"")"),"#N/A")</f>
        <v>#N/A</v>
      </c>
      <c r="H1332" s="4" t="str">
        <v>0</v>
      </c>
      <c r="I1332" s="4" t="str">
        <v>0</v>
      </c>
      <c r="J1332" s="4">
        <v>0</v>
      </c>
    </row>
    <row r="1333" spans="1:10" ht="16.5" hidden="1">
      <c r="A1333" s="4" t="str">
        <v xml:space="preserve"> </v>
      </c>
      <c r="B1333" s="4">
        <v>0</v>
      </c>
      <c r="C1333" s="4">
        <v>0</v>
      </c>
      <c r="D1333" s="4">
        <v>0</v>
      </c>
      <c r="E1333" s="4" t="str">
        <v>0</v>
      </c>
      <c r="F1333" s="102" t="str">
        <f ca="1">IFERROR(__xludf.DUMMYFUNCTION("IMPORTRANGE(H1333,""IDENTITAS UNIT!D9"")"),"#N/A")</f>
        <v>#N/A</v>
      </c>
      <c r="H1333" s="4" t="str">
        <v>0</v>
      </c>
      <c r="I1333" s="4" t="str">
        <v>0</v>
      </c>
      <c r="J1333" s="4">
        <v>0</v>
      </c>
    </row>
    <row r="1334" spans="1:10" ht="16.5" hidden="1">
      <c r="A1334" s="4" t="str">
        <v xml:space="preserve"> </v>
      </c>
      <c r="B1334" s="4">
        <v>0</v>
      </c>
      <c r="C1334" s="4">
        <v>0</v>
      </c>
      <c r="D1334" s="4">
        <v>0</v>
      </c>
      <c r="E1334" s="4" t="str">
        <v>0</v>
      </c>
      <c r="F1334" s="102" t="str">
        <f ca="1">IFERROR(__xludf.DUMMYFUNCTION("IMPORTRANGE(H1334,""IDENTITAS UNIT!D9"")"),"#N/A")</f>
        <v>#N/A</v>
      </c>
      <c r="H1334" s="4" t="str">
        <v>0</v>
      </c>
      <c r="I1334" s="4" t="str">
        <v>0</v>
      </c>
      <c r="J1334" s="4">
        <v>0</v>
      </c>
    </row>
    <row r="1335" spans="1:10" ht="16.5" hidden="1">
      <c r="A1335" s="4" t="str">
        <v xml:space="preserve"> </v>
      </c>
      <c r="B1335" s="4">
        <v>0</v>
      </c>
      <c r="C1335" s="4">
        <v>0</v>
      </c>
      <c r="D1335" s="4">
        <v>0</v>
      </c>
      <c r="E1335" s="4" t="str">
        <v>0</v>
      </c>
      <c r="F1335" s="102" t="str">
        <f ca="1">IFERROR(__xludf.DUMMYFUNCTION("IMPORTRANGE(H1335,""IDENTITAS UNIT!D9"")"),"#N/A")</f>
        <v>#N/A</v>
      </c>
      <c r="H1335" s="4" t="str">
        <v>0</v>
      </c>
      <c r="I1335" s="4" t="str">
        <v>0</v>
      </c>
      <c r="J1335" s="4">
        <v>0</v>
      </c>
    </row>
    <row r="1336" spans="1:10" ht="16.5" hidden="1">
      <c r="A1336" s="4" t="str">
        <v xml:space="preserve"> </v>
      </c>
      <c r="B1336" s="4">
        <v>0</v>
      </c>
      <c r="C1336" s="4">
        <v>0</v>
      </c>
      <c r="D1336" s="4">
        <v>0</v>
      </c>
      <c r="E1336" s="4" t="str">
        <v>0</v>
      </c>
      <c r="F1336" s="102" t="str">
        <f ca="1">IFERROR(__xludf.DUMMYFUNCTION("IMPORTRANGE(H1336,""IDENTITAS UNIT!D9"")"),"#N/A")</f>
        <v>#N/A</v>
      </c>
      <c r="H1336" s="4" t="str">
        <v>0</v>
      </c>
      <c r="I1336" s="4" t="str">
        <v>0</v>
      </c>
      <c r="J1336" s="4">
        <v>0</v>
      </c>
    </row>
    <row r="1337" spans="1:10" ht="16.5" hidden="1">
      <c r="A1337" s="4" t="str">
        <v xml:space="preserve"> </v>
      </c>
      <c r="B1337" s="4">
        <v>0</v>
      </c>
      <c r="C1337" s="4">
        <v>0</v>
      </c>
      <c r="D1337" s="4">
        <v>0</v>
      </c>
      <c r="E1337" s="4" t="str">
        <v>0</v>
      </c>
      <c r="F1337" s="102" t="str">
        <f ca="1">IFERROR(__xludf.DUMMYFUNCTION("IMPORTRANGE(H1337,""IDENTITAS UNIT!D9"")"),"#N/A")</f>
        <v>#N/A</v>
      </c>
      <c r="H1337" s="4" t="str">
        <v>0</v>
      </c>
      <c r="I1337" s="4" t="str">
        <v>0</v>
      </c>
      <c r="J1337" s="4">
        <v>0</v>
      </c>
    </row>
    <row r="1338" spans="1:10" ht="16.5" hidden="1">
      <c r="A1338" s="4" t="str">
        <v xml:space="preserve"> </v>
      </c>
      <c r="B1338" s="4">
        <v>0</v>
      </c>
      <c r="C1338" s="4">
        <v>0</v>
      </c>
      <c r="D1338" s="4">
        <v>0</v>
      </c>
      <c r="E1338" s="4" t="str">
        <v>0</v>
      </c>
      <c r="F1338" s="102" t="str">
        <f ca="1">IFERROR(__xludf.DUMMYFUNCTION("IMPORTRANGE(H1338,""IDENTITAS UNIT!D9"")"),"#N/A")</f>
        <v>#N/A</v>
      </c>
      <c r="H1338" s="4" t="str">
        <v>0</v>
      </c>
      <c r="I1338" s="4" t="str">
        <v>0</v>
      </c>
      <c r="J1338" s="4">
        <v>0</v>
      </c>
    </row>
    <row r="1339" spans="1:10" ht="16.5" hidden="1">
      <c r="A1339" s="4" t="str">
        <v xml:space="preserve"> </v>
      </c>
      <c r="B1339" s="4">
        <v>0</v>
      </c>
      <c r="C1339" s="4">
        <v>0</v>
      </c>
      <c r="D1339" s="4">
        <v>0</v>
      </c>
      <c r="E1339" s="4" t="str">
        <v>0</v>
      </c>
      <c r="F1339" s="102" t="str">
        <f ca="1">IFERROR(__xludf.DUMMYFUNCTION("IMPORTRANGE(H1339,""IDENTITAS UNIT!D9"")"),"#N/A")</f>
        <v>#N/A</v>
      </c>
      <c r="H1339" s="4" t="str">
        <v>0</v>
      </c>
      <c r="I1339" s="4" t="str">
        <v>0</v>
      </c>
      <c r="J1339" s="4">
        <v>0</v>
      </c>
    </row>
    <row r="1340" spans="1:10" ht="16.5" hidden="1">
      <c r="A1340" s="4" t="str">
        <v xml:space="preserve"> </v>
      </c>
      <c r="B1340" s="4">
        <v>0</v>
      </c>
      <c r="C1340" s="4">
        <v>0</v>
      </c>
      <c r="D1340" s="4">
        <v>0</v>
      </c>
      <c r="E1340" s="4" t="str">
        <v>0</v>
      </c>
      <c r="F1340" s="102" t="str">
        <f ca="1">IFERROR(__xludf.DUMMYFUNCTION("IMPORTRANGE(H1340,""IDENTITAS UNIT!D9"")"),"#N/A")</f>
        <v>#N/A</v>
      </c>
      <c r="H1340" s="4" t="str">
        <v>0</v>
      </c>
      <c r="I1340" s="4" t="str">
        <v>0</v>
      </c>
      <c r="J1340" s="4">
        <v>0</v>
      </c>
    </row>
    <row r="1341" spans="1:10" ht="16.5" hidden="1">
      <c r="A1341" s="4" t="str">
        <v xml:space="preserve"> </v>
      </c>
      <c r="B1341" s="4">
        <v>0</v>
      </c>
      <c r="C1341" s="4">
        <v>0</v>
      </c>
      <c r="D1341" s="4">
        <v>0</v>
      </c>
      <c r="E1341" s="4" t="str">
        <v>0</v>
      </c>
      <c r="F1341" s="102" t="str">
        <f ca="1">IFERROR(__xludf.DUMMYFUNCTION("IMPORTRANGE(H1341,""IDENTITAS UNIT!D9"")"),"#N/A")</f>
        <v>#N/A</v>
      </c>
      <c r="H1341" s="4" t="str">
        <v>0</v>
      </c>
      <c r="I1341" s="4" t="str">
        <v>0</v>
      </c>
      <c r="J1341" s="4">
        <v>0</v>
      </c>
    </row>
    <row r="1342" spans="1:10" ht="16.5" hidden="1">
      <c r="A1342" s="4" t="str">
        <v xml:space="preserve"> </v>
      </c>
      <c r="B1342" s="4">
        <v>0</v>
      </c>
      <c r="C1342" s="4">
        <v>0</v>
      </c>
      <c r="D1342" s="4">
        <v>0</v>
      </c>
      <c r="E1342" s="4" t="str">
        <v>0</v>
      </c>
      <c r="F1342" s="102" t="str">
        <f ca="1">IFERROR(__xludf.DUMMYFUNCTION("IMPORTRANGE(H1342,""IDENTITAS UNIT!D9"")"),"#N/A")</f>
        <v>#N/A</v>
      </c>
      <c r="H1342" s="4" t="str">
        <v>0</v>
      </c>
      <c r="I1342" s="4" t="str">
        <v>0</v>
      </c>
      <c r="J1342" s="4">
        <v>0</v>
      </c>
    </row>
    <row r="1343" spans="1:10" ht="16.5" hidden="1">
      <c r="A1343" s="4" t="str">
        <v xml:space="preserve"> </v>
      </c>
      <c r="B1343" s="4">
        <v>0</v>
      </c>
      <c r="C1343" s="4">
        <v>0</v>
      </c>
      <c r="D1343" s="4">
        <v>0</v>
      </c>
      <c r="E1343" s="4" t="str">
        <v>0</v>
      </c>
      <c r="F1343" s="102" t="str">
        <f ca="1">IFERROR(__xludf.DUMMYFUNCTION("IMPORTRANGE(H1343,""IDENTITAS UNIT!D9"")"),"#N/A")</f>
        <v>#N/A</v>
      </c>
      <c r="H1343" s="4" t="str">
        <v>0</v>
      </c>
      <c r="I1343" s="4" t="str">
        <v>0</v>
      </c>
      <c r="J1343" s="4">
        <v>0</v>
      </c>
    </row>
    <row r="1344" spans="1:10" ht="16.5" hidden="1">
      <c r="A1344" s="4" t="str">
        <v xml:space="preserve"> </v>
      </c>
      <c r="B1344" s="4">
        <v>0</v>
      </c>
      <c r="C1344" s="4">
        <v>0</v>
      </c>
      <c r="D1344" s="4">
        <v>0</v>
      </c>
      <c r="E1344" s="4" t="str">
        <v>0</v>
      </c>
      <c r="F1344" s="102" t="str">
        <f ca="1">IFERROR(__xludf.DUMMYFUNCTION("IMPORTRANGE(H1344,""IDENTITAS UNIT!D9"")"),"#N/A")</f>
        <v>#N/A</v>
      </c>
      <c r="H1344" s="4" t="str">
        <v>0</v>
      </c>
      <c r="I1344" s="4" t="str">
        <v>0</v>
      </c>
      <c r="J1344" s="4">
        <v>0</v>
      </c>
    </row>
    <row r="1345" spans="1:10" ht="16.5" hidden="1">
      <c r="A1345" s="4" t="str">
        <v xml:space="preserve"> </v>
      </c>
      <c r="B1345" s="4">
        <v>0</v>
      </c>
      <c r="C1345" s="4">
        <v>0</v>
      </c>
      <c r="D1345" s="4">
        <v>0</v>
      </c>
      <c r="E1345" s="4" t="str">
        <v>0</v>
      </c>
      <c r="F1345" s="102" t="str">
        <f ca="1">IFERROR(__xludf.DUMMYFUNCTION("IMPORTRANGE(H1345,""IDENTITAS UNIT!D9"")"),"#N/A")</f>
        <v>#N/A</v>
      </c>
      <c r="H1345" s="4" t="str">
        <v>0</v>
      </c>
      <c r="I1345" s="4" t="str">
        <v>0</v>
      </c>
      <c r="J1345" s="4">
        <v>0</v>
      </c>
    </row>
    <row r="1346" spans="1:10" ht="16.5" hidden="1">
      <c r="A1346" s="4" t="str">
        <v xml:space="preserve"> </v>
      </c>
      <c r="B1346" s="4">
        <v>0</v>
      </c>
      <c r="C1346" s="4">
        <v>0</v>
      </c>
      <c r="D1346" s="4">
        <v>0</v>
      </c>
      <c r="E1346" s="4" t="str">
        <v>0</v>
      </c>
      <c r="F1346" s="102" t="str">
        <f ca="1">IFERROR(__xludf.DUMMYFUNCTION("IMPORTRANGE(H1346,""IDENTITAS UNIT!D9"")"),"#N/A")</f>
        <v>#N/A</v>
      </c>
      <c r="H1346" s="4" t="str">
        <v>0</v>
      </c>
      <c r="I1346" s="4" t="str">
        <v>0</v>
      </c>
      <c r="J1346" s="4">
        <v>0</v>
      </c>
    </row>
    <row r="1347" spans="1:10" ht="16.5" hidden="1">
      <c r="A1347" s="4" t="str">
        <v xml:space="preserve"> </v>
      </c>
      <c r="B1347" s="4">
        <v>0</v>
      </c>
      <c r="C1347" s="4">
        <v>0</v>
      </c>
      <c r="D1347" s="4">
        <v>0</v>
      </c>
      <c r="E1347" s="4" t="str">
        <v>0</v>
      </c>
      <c r="F1347" s="102" t="str">
        <f ca="1">IFERROR(__xludf.DUMMYFUNCTION("IMPORTRANGE(H1347,""IDENTITAS UNIT!D9"")"),"#N/A")</f>
        <v>#N/A</v>
      </c>
      <c r="H1347" s="4" t="str">
        <v>0</v>
      </c>
      <c r="I1347" s="4" t="str">
        <v>0</v>
      </c>
      <c r="J1347" s="4">
        <v>0</v>
      </c>
    </row>
    <row r="1348" spans="1:10" ht="16.5" hidden="1">
      <c r="A1348" s="4" t="str">
        <v xml:space="preserve"> </v>
      </c>
      <c r="B1348" s="4">
        <v>0</v>
      </c>
      <c r="C1348" s="4">
        <v>0</v>
      </c>
      <c r="D1348" s="4">
        <v>0</v>
      </c>
      <c r="E1348" s="4" t="str">
        <v>0</v>
      </c>
      <c r="F1348" s="102" t="str">
        <f ca="1">IFERROR(__xludf.DUMMYFUNCTION("IMPORTRANGE(H1348,""IDENTITAS UNIT!D9"")"),"#N/A")</f>
        <v>#N/A</v>
      </c>
      <c r="H1348" s="4" t="str">
        <v>0</v>
      </c>
      <c r="I1348" s="4" t="str">
        <v>0</v>
      </c>
      <c r="J1348" s="4">
        <v>0</v>
      </c>
    </row>
    <row r="1349" spans="1:10" ht="16.5" hidden="1">
      <c r="A1349" s="4" t="str">
        <v xml:space="preserve"> </v>
      </c>
      <c r="B1349" s="4">
        <v>0</v>
      </c>
      <c r="C1349" s="4">
        <v>0</v>
      </c>
      <c r="D1349" s="4">
        <v>0</v>
      </c>
      <c r="E1349" s="4" t="str">
        <v>0</v>
      </c>
      <c r="F1349" s="102" t="str">
        <f ca="1">IFERROR(__xludf.DUMMYFUNCTION("IMPORTRANGE(H1349,""IDENTITAS UNIT!D9"")"),"#N/A")</f>
        <v>#N/A</v>
      </c>
      <c r="H1349" s="4" t="str">
        <v>0</v>
      </c>
      <c r="I1349" s="4" t="str">
        <v>0</v>
      </c>
      <c r="J1349" s="4">
        <v>0</v>
      </c>
    </row>
    <row r="1350" spans="1:10" ht="16.5" hidden="1">
      <c r="A1350" s="4" t="str">
        <v xml:space="preserve"> </v>
      </c>
      <c r="B1350" s="4">
        <v>0</v>
      </c>
      <c r="C1350" s="4">
        <v>0</v>
      </c>
      <c r="D1350" s="4">
        <v>0</v>
      </c>
      <c r="E1350" s="4" t="str">
        <v>0</v>
      </c>
      <c r="F1350" s="102" t="str">
        <f ca="1">IFERROR(__xludf.DUMMYFUNCTION("IMPORTRANGE(H1350,""IDENTITAS UNIT!D9"")"),"#N/A")</f>
        <v>#N/A</v>
      </c>
      <c r="H1350" s="4" t="str">
        <v>0</v>
      </c>
      <c r="I1350" s="4" t="str">
        <v>0</v>
      </c>
      <c r="J1350" s="4">
        <v>0</v>
      </c>
    </row>
    <row r="1351" spans="1:10" ht="16.5" hidden="1">
      <c r="A1351" s="4" t="str">
        <v xml:space="preserve"> </v>
      </c>
      <c r="B1351" s="4">
        <v>0</v>
      </c>
      <c r="C1351" s="4">
        <v>0</v>
      </c>
      <c r="D1351" s="4">
        <v>0</v>
      </c>
      <c r="E1351" s="4" t="str">
        <v>0</v>
      </c>
      <c r="F1351" s="102" t="str">
        <f ca="1">IFERROR(__xludf.DUMMYFUNCTION("IMPORTRANGE(H1351,""IDENTITAS UNIT!D9"")"),"#N/A")</f>
        <v>#N/A</v>
      </c>
      <c r="H1351" s="4" t="str">
        <v>0</v>
      </c>
      <c r="I1351" s="4" t="str">
        <v>0</v>
      </c>
      <c r="J1351" s="4">
        <v>0</v>
      </c>
    </row>
    <row r="1352" spans="1:10" ht="16.5" hidden="1">
      <c r="A1352" s="4" t="str">
        <v xml:space="preserve"> </v>
      </c>
      <c r="B1352" s="4">
        <v>0</v>
      </c>
      <c r="C1352" s="4">
        <v>0</v>
      </c>
      <c r="D1352" s="4">
        <v>0</v>
      </c>
      <c r="E1352" s="4" t="str">
        <v>0</v>
      </c>
      <c r="F1352" s="102" t="str">
        <f ca="1">IFERROR(__xludf.DUMMYFUNCTION("IMPORTRANGE(H1352,""IDENTITAS UNIT!D9"")"),"#N/A")</f>
        <v>#N/A</v>
      </c>
      <c r="H1352" s="4" t="str">
        <v>0</v>
      </c>
      <c r="I1352" s="4" t="str">
        <v>0</v>
      </c>
      <c r="J1352" s="4">
        <v>0</v>
      </c>
    </row>
    <row r="1353" spans="1:10" ht="16.5" hidden="1">
      <c r="A1353" s="4" t="str">
        <v xml:space="preserve"> </v>
      </c>
      <c r="B1353" s="4">
        <v>0</v>
      </c>
      <c r="C1353" s="4">
        <v>0</v>
      </c>
      <c r="D1353" s="4">
        <v>0</v>
      </c>
      <c r="E1353" s="4" t="str">
        <v>0</v>
      </c>
      <c r="F1353" s="102" t="str">
        <f ca="1">IFERROR(__xludf.DUMMYFUNCTION("IMPORTRANGE(H1353,""IDENTITAS UNIT!D9"")"),"#N/A")</f>
        <v>#N/A</v>
      </c>
      <c r="H1353" s="4" t="str">
        <v>0</v>
      </c>
      <c r="I1353" s="4" t="str">
        <v>0</v>
      </c>
      <c r="J1353" s="4">
        <v>0</v>
      </c>
    </row>
    <row r="1354" spans="1:10" ht="16.5" hidden="1">
      <c r="A1354" s="4" t="str">
        <v xml:space="preserve"> </v>
      </c>
      <c r="B1354" s="4">
        <v>0</v>
      </c>
      <c r="C1354" s="4">
        <v>0</v>
      </c>
      <c r="D1354" s="4">
        <v>0</v>
      </c>
      <c r="E1354" s="4" t="str">
        <v>0</v>
      </c>
      <c r="F1354" s="102" t="str">
        <f ca="1">IFERROR(__xludf.DUMMYFUNCTION("IMPORTRANGE(H1354,""IDENTITAS UNIT!D9"")"),"#N/A")</f>
        <v>#N/A</v>
      </c>
      <c r="H1354" s="4" t="str">
        <v>0</v>
      </c>
      <c r="I1354" s="4" t="str">
        <v>0</v>
      </c>
      <c r="J1354" s="4">
        <v>0</v>
      </c>
    </row>
    <row r="1355" spans="1:10" ht="16.5" hidden="1">
      <c r="A1355" s="4" t="str">
        <v xml:space="preserve"> </v>
      </c>
      <c r="B1355" s="4">
        <v>0</v>
      </c>
      <c r="C1355" s="4">
        <v>0</v>
      </c>
      <c r="D1355" s="4">
        <v>0</v>
      </c>
      <c r="E1355" s="4" t="str">
        <v>0</v>
      </c>
      <c r="F1355" s="102" t="str">
        <f ca="1">IFERROR(__xludf.DUMMYFUNCTION("IMPORTRANGE(H1355,""IDENTITAS UNIT!D9"")"),"#N/A")</f>
        <v>#N/A</v>
      </c>
      <c r="H1355" s="4" t="str">
        <v>0</v>
      </c>
      <c r="I1355" s="4" t="str">
        <v>0</v>
      </c>
      <c r="J1355" s="4">
        <v>0</v>
      </c>
    </row>
    <row r="1356" spans="1:10" ht="16.5" hidden="1">
      <c r="A1356" s="4" t="str">
        <v xml:space="preserve"> </v>
      </c>
      <c r="B1356" s="4">
        <v>0</v>
      </c>
      <c r="C1356" s="4">
        <v>0</v>
      </c>
      <c r="D1356" s="4">
        <v>0</v>
      </c>
      <c r="E1356" s="4" t="str">
        <v>0</v>
      </c>
      <c r="F1356" s="102" t="str">
        <f ca="1">IFERROR(__xludf.DUMMYFUNCTION("IMPORTRANGE(H1356,""IDENTITAS UNIT!D9"")"),"#N/A")</f>
        <v>#N/A</v>
      </c>
      <c r="H1356" s="4" t="str">
        <v>0</v>
      </c>
      <c r="I1356" s="4" t="str">
        <v>0</v>
      </c>
      <c r="J1356" s="4">
        <v>0</v>
      </c>
    </row>
    <row r="1357" spans="1:10" ht="16.5" hidden="1">
      <c r="A1357" s="4" t="str">
        <v xml:space="preserve"> </v>
      </c>
      <c r="B1357" s="4">
        <v>0</v>
      </c>
      <c r="C1357" s="4">
        <v>0</v>
      </c>
      <c r="D1357" s="4">
        <v>0</v>
      </c>
      <c r="E1357" s="4" t="str">
        <v>0</v>
      </c>
      <c r="F1357" s="102" t="str">
        <f ca="1">IFERROR(__xludf.DUMMYFUNCTION("IMPORTRANGE(H1357,""IDENTITAS UNIT!D9"")"),"#N/A")</f>
        <v>#N/A</v>
      </c>
      <c r="H1357" s="4" t="str">
        <v>0</v>
      </c>
      <c r="I1357" s="4" t="str">
        <v>0</v>
      </c>
      <c r="J1357" s="4">
        <v>0</v>
      </c>
    </row>
    <row r="1358" spans="1:10" ht="16.5" hidden="1">
      <c r="A1358" s="4" t="str">
        <v xml:space="preserve"> </v>
      </c>
      <c r="B1358" s="4">
        <v>0</v>
      </c>
      <c r="C1358" s="4">
        <v>0</v>
      </c>
      <c r="D1358" s="4">
        <v>0</v>
      </c>
      <c r="E1358" s="4" t="str">
        <v>0</v>
      </c>
      <c r="F1358" s="102" t="str">
        <f ca="1">IFERROR(__xludf.DUMMYFUNCTION("IMPORTRANGE(H1358,""IDENTITAS UNIT!D9"")"),"#N/A")</f>
        <v>#N/A</v>
      </c>
      <c r="H1358" s="4" t="str">
        <v>0</v>
      </c>
      <c r="I1358" s="4" t="str">
        <v>0</v>
      </c>
      <c r="J1358" s="4">
        <v>0</v>
      </c>
    </row>
    <row r="1359" spans="1:10" ht="16.5" hidden="1">
      <c r="A1359" s="4" t="str">
        <v xml:space="preserve"> </v>
      </c>
      <c r="B1359" s="4">
        <v>0</v>
      </c>
      <c r="C1359" s="4">
        <v>0</v>
      </c>
      <c r="D1359" s="4">
        <v>0</v>
      </c>
      <c r="E1359" s="4" t="str">
        <v>0</v>
      </c>
      <c r="F1359" s="102" t="str">
        <f ca="1">IFERROR(__xludf.DUMMYFUNCTION("IMPORTRANGE(H1359,""IDENTITAS UNIT!D9"")"),"#N/A")</f>
        <v>#N/A</v>
      </c>
      <c r="H1359" s="4" t="str">
        <v>0</v>
      </c>
      <c r="I1359" s="4" t="str">
        <v>0</v>
      </c>
      <c r="J1359" s="4">
        <v>0</v>
      </c>
    </row>
    <row r="1360" spans="1:10" ht="16.5" hidden="1">
      <c r="A1360" s="4" t="str">
        <v xml:space="preserve"> </v>
      </c>
      <c r="B1360" s="4">
        <v>0</v>
      </c>
      <c r="C1360" s="4">
        <v>0</v>
      </c>
      <c r="D1360" s="4">
        <v>0</v>
      </c>
      <c r="E1360" s="4" t="str">
        <v>0</v>
      </c>
      <c r="F1360" s="102" t="str">
        <f ca="1">IFERROR(__xludf.DUMMYFUNCTION("IMPORTRANGE(H1360,""IDENTITAS UNIT!D9"")"),"#N/A")</f>
        <v>#N/A</v>
      </c>
      <c r="H1360" s="4" t="str">
        <v>0</v>
      </c>
      <c r="I1360" s="4" t="str">
        <v>0</v>
      </c>
      <c r="J1360" s="4">
        <v>0</v>
      </c>
    </row>
    <row r="1361" spans="1:10" ht="16.5" hidden="1">
      <c r="A1361" s="4" t="str">
        <v xml:space="preserve"> </v>
      </c>
      <c r="B1361" s="4">
        <v>0</v>
      </c>
      <c r="C1361" s="4">
        <v>0</v>
      </c>
      <c r="D1361" s="4">
        <v>0</v>
      </c>
      <c r="E1361" s="4" t="str">
        <v>0</v>
      </c>
      <c r="F1361" s="102" t="str">
        <f ca="1">IFERROR(__xludf.DUMMYFUNCTION("IMPORTRANGE(H1361,""IDENTITAS UNIT!D9"")"),"#N/A")</f>
        <v>#N/A</v>
      </c>
      <c r="H1361" s="4" t="str">
        <v>0</v>
      </c>
      <c r="I1361" s="4" t="str">
        <v>0</v>
      </c>
      <c r="J1361" s="4">
        <v>0</v>
      </c>
    </row>
    <row r="1362" spans="1:10" ht="16.5" hidden="1">
      <c r="A1362" s="4" t="str">
        <v xml:space="preserve"> </v>
      </c>
      <c r="B1362" s="4">
        <v>0</v>
      </c>
      <c r="C1362" s="4">
        <v>0</v>
      </c>
      <c r="D1362" s="4">
        <v>0</v>
      </c>
      <c r="E1362" s="4" t="str">
        <v>0</v>
      </c>
      <c r="F1362" s="102" t="str">
        <f ca="1">IFERROR(__xludf.DUMMYFUNCTION("IMPORTRANGE(H1362,""IDENTITAS UNIT!D9"")"),"#N/A")</f>
        <v>#N/A</v>
      </c>
      <c r="H1362" s="4" t="str">
        <v>0</v>
      </c>
      <c r="I1362" s="4" t="str">
        <v>0</v>
      </c>
      <c r="J1362" s="4">
        <v>0</v>
      </c>
    </row>
    <row r="1363" spans="1:10" ht="16.5" hidden="1">
      <c r="A1363" s="4" t="str">
        <v xml:space="preserve"> </v>
      </c>
      <c r="B1363" s="4">
        <v>0</v>
      </c>
      <c r="C1363" s="4">
        <v>0</v>
      </c>
      <c r="D1363" s="4">
        <v>0</v>
      </c>
      <c r="E1363" s="4" t="str">
        <v>0</v>
      </c>
      <c r="F1363" s="102" t="str">
        <f ca="1">IFERROR(__xludf.DUMMYFUNCTION("IMPORTRANGE(H1363,""IDENTITAS UNIT!D9"")"),"#N/A")</f>
        <v>#N/A</v>
      </c>
      <c r="H1363" s="4" t="str">
        <v>0</v>
      </c>
      <c r="I1363" s="4" t="str">
        <v>0</v>
      </c>
      <c r="J1363" s="4">
        <v>0</v>
      </c>
    </row>
    <row r="1364" spans="1:10" ht="16.5" hidden="1">
      <c r="A1364" s="4" t="str">
        <v xml:space="preserve"> </v>
      </c>
      <c r="B1364" s="4">
        <v>0</v>
      </c>
      <c r="C1364" s="4">
        <v>0</v>
      </c>
      <c r="D1364" s="4">
        <v>0</v>
      </c>
      <c r="E1364" s="4" t="str">
        <v>0</v>
      </c>
      <c r="F1364" s="102" t="str">
        <f ca="1">IFERROR(__xludf.DUMMYFUNCTION("IMPORTRANGE(H1364,""IDENTITAS UNIT!D9"")"),"#N/A")</f>
        <v>#N/A</v>
      </c>
      <c r="H1364" s="4" t="str">
        <v>0</v>
      </c>
      <c r="I1364" s="4" t="str">
        <v>0</v>
      </c>
      <c r="J1364" s="4">
        <v>0</v>
      </c>
    </row>
    <row r="1365" spans="1:10" ht="16.5" hidden="1">
      <c r="A1365" s="4" t="str">
        <v xml:space="preserve"> </v>
      </c>
      <c r="B1365" s="4">
        <v>0</v>
      </c>
      <c r="C1365" s="4">
        <v>0</v>
      </c>
      <c r="D1365" s="4">
        <v>0</v>
      </c>
      <c r="E1365" s="4" t="str">
        <v>0</v>
      </c>
      <c r="F1365" s="102" t="str">
        <f ca="1">IFERROR(__xludf.DUMMYFUNCTION("IMPORTRANGE(H1365,""IDENTITAS UNIT!D9"")"),"#N/A")</f>
        <v>#N/A</v>
      </c>
      <c r="H1365" s="4" t="str">
        <v>0</v>
      </c>
      <c r="I1365" s="4" t="str">
        <v>0</v>
      </c>
      <c r="J1365" s="4">
        <v>0</v>
      </c>
    </row>
    <row r="1366" spans="1:10" ht="16.5" hidden="1">
      <c r="A1366" s="4" t="str">
        <v xml:space="preserve"> </v>
      </c>
      <c r="B1366" s="4">
        <v>0</v>
      </c>
      <c r="C1366" s="4">
        <v>0</v>
      </c>
      <c r="D1366" s="4">
        <v>0</v>
      </c>
      <c r="E1366" s="4" t="str">
        <v>0</v>
      </c>
      <c r="F1366" s="102" t="str">
        <f ca="1">IFERROR(__xludf.DUMMYFUNCTION("IMPORTRANGE(H1366,""IDENTITAS UNIT!D9"")"),"#N/A")</f>
        <v>#N/A</v>
      </c>
      <c r="H1366" s="4" t="str">
        <v>0</v>
      </c>
      <c r="I1366" s="4" t="str">
        <v>0</v>
      </c>
      <c r="J1366" s="4">
        <v>0</v>
      </c>
    </row>
    <row r="1367" spans="1:10" ht="16.5" hidden="1">
      <c r="A1367" s="4" t="str">
        <v xml:space="preserve"> </v>
      </c>
      <c r="B1367" s="4">
        <v>0</v>
      </c>
      <c r="C1367" s="4">
        <v>0</v>
      </c>
      <c r="D1367" s="4">
        <v>0</v>
      </c>
      <c r="E1367" s="4" t="str">
        <v>0</v>
      </c>
      <c r="F1367" s="102" t="str">
        <f ca="1">IFERROR(__xludf.DUMMYFUNCTION("IMPORTRANGE(H1367,""IDENTITAS UNIT!D9"")"),"#N/A")</f>
        <v>#N/A</v>
      </c>
      <c r="H1367" s="4" t="str">
        <v>0</v>
      </c>
      <c r="I1367" s="4" t="str">
        <v>0</v>
      </c>
      <c r="J1367" s="4">
        <v>0</v>
      </c>
    </row>
    <row r="1368" spans="1:10" ht="16.5" hidden="1">
      <c r="A1368" s="4" t="str">
        <v xml:space="preserve"> </v>
      </c>
      <c r="B1368" s="4">
        <v>0</v>
      </c>
      <c r="C1368" s="4">
        <v>0</v>
      </c>
      <c r="D1368" s="4">
        <v>0</v>
      </c>
      <c r="E1368" s="4" t="str">
        <v>0</v>
      </c>
      <c r="F1368" s="102" t="str">
        <f ca="1">IFERROR(__xludf.DUMMYFUNCTION("IMPORTRANGE(H1368,""IDENTITAS UNIT!D9"")"),"#N/A")</f>
        <v>#N/A</v>
      </c>
      <c r="H1368" s="4" t="str">
        <v>0</v>
      </c>
      <c r="I1368" s="4" t="str">
        <v>0</v>
      </c>
      <c r="J1368" s="4">
        <v>0</v>
      </c>
    </row>
    <row r="1369" spans="1:10" ht="16.5" hidden="1">
      <c r="A1369" s="4" t="str">
        <v xml:space="preserve"> </v>
      </c>
      <c r="B1369" s="4">
        <v>0</v>
      </c>
      <c r="C1369" s="4">
        <v>0</v>
      </c>
      <c r="D1369" s="4">
        <v>0</v>
      </c>
      <c r="E1369" s="4" t="str">
        <v>0</v>
      </c>
      <c r="F1369" s="102" t="str">
        <f ca="1">IFERROR(__xludf.DUMMYFUNCTION("IMPORTRANGE(H1369,""IDENTITAS UNIT!D9"")"),"#N/A")</f>
        <v>#N/A</v>
      </c>
      <c r="H1369" s="4" t="str">
        <v>0</v>
      </c>
      <c r="I1369" s="4" t="str">
        <v>0</v>
      </c>
      <c r="J1369" s="4">
        <v>0</v>
      </c>
    </row>
    <row r="1370" spans="1:10" ht="16.5" hidden="1">
      <c r="A1370" s="4" t="str">
        <v xml:space="preserve"> </v>
      </c>
      <c r="B1370" s="4">
        <v>0</v>
      </c>
      <c r="C1370" s="4">
        <v>0</v>
      </c>
      <c r="D1370" s="4">
        <v>0</v>
      </c>
      <c r="E1370" s="4" t="str">
        <v>0</v>
      </c>
      <c r="F1370" s="102" t="str">
        <f ca="1">IFERROR(__xludf.DUMMYFUNCTION("IMPORTRANGE(H1370,""IDENTITAS UNIT!D9"")"),"#N/A")</f>
        <v>#N/A</v>
      </c>
      <c r="H1370" s="4" t="str">
        <v>0</v>
      </c>
      <c r="I1370" s="4" t="str">
        <v>0</v>
      </c>
      <c r="J1370" s="4">
        <v>0</v>
      </c>
    </row>
    <row r="1371" spans="1:10" ht="16.5" hidden="1">
      <c r="A1371" s="4" t="str">
        <v xml:space="preserve"> </v>
      </c>
      <c r="B1371" s="4">
        <v>0</v>
      </c>
      <c r="C1371" s="4">
        <v>0</v>
      </c>
      <c r="D1371" s="4">
        <v>0</v>
      </c>
      <c r="E1371" s="4" t="str">
        <v>0</v>
      </c>
      <c r="F1371" s="102" t="str">
        <f ca="1">IFERROR(__xludf.DUMMYFUNCTION("IMPORTRANGE(H1371,""IDENTITAS UNIT!D9"")"),"#N/A")</f>
        <v>#N/A</v>
      </c>
      <c r="H1371" s="4" t="str">
        <v>0</v>
      </c>
      <c r="I1371" s="4" t="str">
        <v>0</v>
      </c>
      <c r="J1371" s="4">
        <v>0</v>
      </c>
    </row>
    <row r="1372" spans="1:10" ht="16.5" hidden="1">
      <c r="A1372" s="4" t="str">
        <v xml:space="preserve"> </v>
      </c>
      <c r="B1372" s="4">
        <v>0</v>
      </c>
      <c r="C1372" s="4">
        <v>0</v>
      </c>
      <c r="D1372" s="4">
        <v>0</v>
      </c>
      <c r="E1372" s="4" t="str">
        <v>0</v>
      </c>
      <c r="F1372" s="102" t="str">
        <f ca="1">IFERROR(__xludf.DUMMYFUNCTION("IMPORTRANGE(H1372,""IDENTITAS UNIT!D9"")"),"#N/A")</f>
        <v>#N/A</v>
      </c>
      <c r="H1372" s="4" t="str">
        <v>0</v>
      </c>
      <c r="I1372" s="4" t="str">
        <v>0</v>
      </c>
      <c r="J1372" s="4">
        <v>0</v>
      </c>
    </row>
    <row r="1373" spans="1:10" ht="16.5" hidden="1">
      <c r="A1373" s="4" t="str">
        <v xml:space="preserve"> </v>
      </c>
      <c r="B1373" s="4">
        <v>0</v>
      </c>
      <c r="C1373" s="4">
        <v>0</v>
      </c>
      <c r="D1373" s="4">
        <v>0</v>
      </c>
      <c r="E1373" s="4" t="str">
        <v>0</v>
      </c>
      <c r="F1373" s="102" t="str">
        <f ca="1">IFERROR(__xludf.DUMMYFUNCTION("IMPORTRANGE(H1373,""IDENTITAS UNIT!D9"")"),"#N/A")</f>
        <v>#N/A</v>
      </c>
      <c r="H1373" s="4" t="str">
        <v>0</v>
      </c>
      <c r="I1373" s="4" t="str">
        <v>0</v>
      </c>
      <c r="J1373" s="4">
        <v>0</v>
      </c>
    </row>
    <row r="1374" spans="1:10" ht="16.5" hidden="1">
      <c r="A1374" s="4" t="str">
        <v xml:space="preserve"> </v>
      </c>
      <c r="B1374" s="4">
        <v>0</v>
      </c>
      <c r="C1374" s="4">
        <v>0</v>
      </c>
      <c r="D1374" s="4">
        <v>0</v>
      </c>
      <c r="E1374" s="4" t="str">
        <v>0</v>
      </c>
      <c r="F1374" s="102" t="str">
        <f ca="1">IFERROR(__xludf.DUMMYFUNCTION("IMPORTRANGE(H1374,""IDENTITAS UNIT!D9"")"),"#N/A")</f>
        <v>#N/A</v>
      </c>
      <c r="H1374" s="4" t="str">
        <v>0</v>
      </c>
      <c r="I1374" s="4" t="str">
        <v>0</v>
      </c>
      <c r="J1374" s="4">
        <v>0</v>
      </c>
    </row>
    <row r="1375" spans="1:10" ht="16.5" hidden="1">
      <c r="A1375" s="4" t="str">
        <v xml:space="preserve"> </v>
      </c>
      <c r="B1375" s="4">
        <v>0</v>
      </c>
      <c r="C1375" s="4">
        <v>0</v>
      </c>
      <c r="D1375" s="4">
        <v>0</v>
      </c>
      <c r="E1375" s="4" t="str">
        <v>0</v>
      </c>
      <c r="F1375" s="102" t="str">
        <f ca="1">IFERROR(__xludf.DUMMYFUNCTION("IMPORTRANGE(H1375,""IDENTITAS UNIT!D9"")"),"#N/A")</f>
        <v>#N/A</v>
      </c>
      <c r="H1375" s="4" t="str">
        <v>0</v>
      </c>
      <c r="I1375" s="4" t="str">
        <v>0</v>
      </c>
      <c r="J1375" s="4">
        <v>0</v>
      </c>
    </row>
    <row r="1376" spans="1:10" ht="16.5" hidden="1">
      <c r="A1376" s="4" t="str">
        <v xml:space="preserve"> </v>
      </c>
      <c r="B1376" s="4">
        <v>0</v>
      </c>
      <c r="C1376" s="4">
        <v>0</v>
      </c>
      <c r="D1376" s="4">
        <v>0</v>
      </c>
      <c r="E1376" s="4" t="str">
        <v>0</v>
      </c>
      <c r="F1376" s="102" t="str">
        <f ca="1">IFERROR(__xludf.DUMMYFUNCTION("IMPORTRANGE(H1376,""IDENTITAS UNIT!D9"")"),"#N/A")</f>
        <v>#N/A</v>
      </c>
      <c r="H1376" s="4" t="str">
        <v>0</v>
      </c>
      <c r="I1376" s="4" t="str">
        <v>0</v>
      </c>
      <c r="J1376" s="4">
        <v>0</v>
      </c>
    </row>
    <row r="1377" spans="1:10" ht="16.5" hidden="1">
      <c r="A1377" s="4" t="str">
        <v xml:space="preserve"> </v>
      </c>
      <c r="B1377" s="4">
        <v>0</v>
      </c>
      <c r="C1377" s="4">
        <v>0</v>
      </c>
      <c r="D1377" s="4">
        <v>0</v>
      </c>
      <c r="E1377" s="4" t="str">
        <v>0</v>
      </c>
      <c r="F1377" s="102" t="str">
        <f ca="1">IFERROR(__xludf.DUMMYFUNCTION("IMPORTRANGE(H1377,""IDENTITAS UNIT!D9"")"),"#N/A")</f>
        <v>#N/A</v>
      </c>
      <c r="H1377" s="4" t="str">
        <v>0</v>
      </c>
      <c r="I1377" s="4" t="str">
        <v>0</v>
      </c>
      <c r="J1377" s="4">
        <v>0</v>
      </c>
    </row>
    <row r="1378" spans="1:10" ht="16.5" hidden="1">
      <c r="A1378" s="4" t="str">
        <v xml:space="preserve"> </v>
      </c>
      <c r="B1378" s="4">
        <v>0</v>
      </c>
      <c r="C1378" s="4">
        <v>0</v>
      </c>
      <c r="D1378" s="4">
        <v>0</v>
      </c>
      <c r="E1378" s="4" t="str">
        <v>0</v>
      </c>
      <c r="F1378" s="102" t="str">
        <f ca="1">IFERROR(__xludf.DUMMYFUNCTION("IMPORTRANGE(H1378,""IDENTITAS UNIT!D9"")"),"#N/A")</f>
        <v>#N/A</v>
      </c>
      <c r="H1378" s="4" t="str">
        <v>0</v>
      </c>
      <c r="I1378" s="4" t="str">
        <v>0</v>
      </c>
      <c r="J1378" s="4">
        <v>0</v>
      </c>
    </row>
    <row r="1379" spans="1:10" ht="16.5" hidden="1">
      <c r="A1379" s="4" t="str">
        <v xml:space="preserve"> </v>
      </c>
      <c r="B1379" s="4">
        <v>0</v>
      </c>
      <c r="C1379" s="4">
        <v>0</v>
      </c>
      <c r="D1379" s="4">
        <v>0</v>
      </c>
      <c r="E1379" s="4" t="str">
        <v>0</v>
      </c>
      <c r="F1379" s="102" t="str">
        <f ca="1">IFERROR(__xludf.DUMMYFUNCTION("IMPORTRANGE(H1379,""IDENTITAS UNIT!D9"")"),"#N/A")</f>
        <v>#N/A</v>
      </c>
      <c r="H1379" s="4" t="str">
        <v>0</v>
      </c>
      <c r="I1379" s="4" t="str">
        <v>0</v>
      </c>
      <c r="J1379" s="4">
        <v>0</v>
      </c>
    </row>
    <row r="1380" spans="1:10" ht="16.5" hidden="1">
      <c r="A1380" s="4" t="str">
        <v xml:space="preserve"> </v>
      </c>
      <c r="B1380" s="4">
        <v>0</v>
      </c>
      <c r="C1380" s="4">
        <v>0</v>
      </c>
      <c r="D1380" s="4">
        <v>0</v>
      </c>
      <c r="E1380" s="4" t="str">
        <v>0</v>
      </c>
      <c r="F1380" s="102" t="str">
        <f ca="1">IFERROR(__xludf.DUMMYFUNCTION("IMPORTRANGE(H1380,""IDENTITAS UNIT!D9"")"),"#N/A")</f>
        <v>#N/A</v>
      </c>
      <c r="H1380" s="4" t="str">
        <v>0</v>
      </c>
      <c r="I1380" s="4" t="str">
        <v>0</v>
      </c>
      <c r="J1380" s="4">
        <v>0</v>
      </c>
    </row>
    <row r="1381" spans="1:10" ht="16.5" hidden="1">
      <c r="A1381" s="4" t="str">
        <v xml:space="preserve"> </v>
      </c>
      <c r="B1381" s="4">
        <v>0</v>
      </c>
      <c r="C1381" s="4">
        <v>0</v>
      </c>
      <c r="D1381" s="4">
        <v>0</v>
      </c>
      <c r="E1381" s="4" t="str">
        <v>0</v>
      </c>
      <c r="F1381" s="102" t="str">
        <f ca="1">IFERROR(__xludf.DUMMYFUNCTION("IMPORTRANGE(H1381,""IDENTITAS UNIT!D9"")"),"#N/A")</f>
        <v>#N/A</v>
      </c>
      <c r="H1381" s="4" t="str">
        <v>0</v>
      </c>
      <c r="I1381" s="4" t="str">
        <v>0</v>
      </c>
      <c r="J1381" s="4">
        <v>0</v>
      </c>
    </row>
    <row r="1382" spans="1:10" ht="16.5" hidden="1">
      <c r="A1382" s="4" t="str">
        <v xml:space="preserve"> </v>
      </c>
      <c r="B1382" s="4">
        <v>0</v>
      </c>
      <c r="C1382" s="4">
        <v>0</v>
      </c>
      <c r="D1382" s="4">
        <v>0</v>
      </c>
      <c r="E1382" s="4" t="str">
        <v>0</v>
      </c>
      <c r="F1382" s="102" t="str">
        <f ca="1">IFERROR(__xludf.DUMMYFUNCTION("IMPORTRANGE(H1382,""IDENTITAS UNIT!D9"")"),"#N/A")</f>
        <v>#N/A</v>
      </c>
      <c r="H1382" s="4" t="str">
        <v>0</v>
      </c>
      <c r="I1382" s="4" t="str">
        <v>0</v>
      </c>
      <c r="J1382" s="4">
        <v>0</v>
      </c>
    </row>
    <row r="1383" spans="1:10" ht="16.5" hidden="1">
      <c r="A1383" s="4" t="str">
        <v xml:space="preserve"> </v>
      </c>
      <c r="B1383" s="4">
        <v>0</v>
      </c>
      <c r="C1383" s="4">
        <v>0</v>
      </c>
      <c r="D1383" s="4">
        <v>0</v>
      </c>
      <c r="E1383" s="4" t="str">
        <v>0</v>
      </c>
      <c r="F1383" s="102" t="str">
        <f ca="1">IFERROR(__xludf.DUMMYFUNCTION("IMPORTRANGE(H1383,""IDENTITAS UNIT!D9"")"),"#N/A")</f>
        <v>#N/A</v>
      </c>
      <c r="H1383" s="4" t="str">
        <v>0</v>
      </c>
      <c r="I1383" s="4" t="str">
        <v>0</v>
      </c>
      <c r="J1383" s="4">
        <v>0</v>
      </c>
    </row>
    <row r="1384" spans="1:10" ht="16.5" hidden="1">
      <c r="A1384" s="4" t="str">
        <v xml:space="preserve"> </v>
      </c>
      <c r="B1384" s="4">
        <v>0</v>
      </c>
      <c r="C1384" s="4">
        <v>0</v>
      </c>
      <c r="D1384" s="4">
        <v>0</v>
      </c>
      <c r="E1384" s="4" t="str">
        <v>0</v>
      </c>
      <c r="F1384" s="102" t="str">
        <f ca="1">IFERROR(__xludf.DUMMYFUNCTION("IMPORTRANGE(H1384,""IDENTITAS UNIT!D9"")"),"#N/A")</f>
        <v>#N/A</v>
      </c>
      <c r="H1384" s="4" t="str">
        <v>0</v>
      </c>
      <c r="I1384" s="4" t="str">
        <v>0</v>
      </c>
      <c r="J1384" s="4">
        <v>0</v>
      </c>
    </row>
    <row r="1385" spans="1:10" ht="16.5" hidden="1">
      <c r="A1385" s="4" t="str">
        <v xml:space="preserve"> </v>
      </c>
      <c r="B1385" s="4">
        <v>0</v>
      </c>
      <c r="C1385" s="4">
        <v>0</v>
      </c>
      <c r="D1385" s="4">
        <v>0</v>
      </c>
      <c r="E1385" s="4" t="str">
        <v>0</v>
      </c>
      <c r="F1385" s="102" t="str">
        <f ca="1">IFERROR(__xludf.DUMMYFUNCTION("IMPORTRANGE(H1385,""IDENTITAS UNIT!D9"")"),"#N/A")</f>
        <v>#N/A</v>
      </c>
      <c r="H1385" s="4" t="str">
        <v>0</v>
      </c>
      <c r="I1385" s="4" t="str">
        <v>0</v>
      </c>
      <c r="J1385" s="4">
        <v>0</v>
      </c>
    </row>
    <row r="1386" spans="1:10" ht="16.5" hidden="1">
      <c r="A1386" s="4" t="str">
        <v xml:space="preserve"> </v>
      </c>
      <c r="B1386" s="4">
        <v>0</v>
      </c>
      <c r="C1386" s="4">
        <v>0</v>
      </c>
      <c r="D1386" s="4">
        <v>0</v>
      </c>
      <c r="E1386" s="4" t="str">
        <v>0</v>
      </c>
      <c r="F1386" s="102" t="str">
        <f ca="1">IFERROR(__xludf.DUMMYFUNCTION("IMPORTRANGE(H1386,""IDENTITAS UNIT!D9"")"),"#N/A")</f>
        <v>#N/A</v>
      </c>
      <c r="H1386" s="4" t="str">
        <v>0</v>
      </c>
      <c r="I1386" s="4" t="str">
        <v>0</v>
      </c>
      <c r="J1386" s="4">
        <v>0</v>
      </c>
    </row>
    <row r="1387" spans="1:10" ht="16.5" hidden="1">
      <c r="A1387" s="4" t="str">
        <v xml:space="preserve"> </v>
      </c>
      <c r="B1387" s="4">
        <v>0</v>
      </c>
      <c r="C1387" s="4">
        <v>0</v>
      </c>
      <c r="D1387" s="4">
        <v>0</v>
      </c>
      <c r="E1387" s="4" t="str">
        <v>0</v>
      </c>
      <c r="F1387" s="102" t="str">
        <f ca="1">IFERROR(__xludf.DUMMYFUNCTION("IMPORTRANGE(H1387,""IDENTITAS UNIT!D9"")"),"#N/A")</f>
        <v>#N/A</v>
      </c>
      <c r="H1387" s="4" t="str">
        <v>0</v>
      </c>
      <c r="I1387" s="4" t="str">
        <v>0</v>
      </c>
      <c r="J1387" s="4">
        <v>0</v>
      </c>
    </row>
    <row r="1388" spans="1:10" ht="16.5" hidden="1">
      <c r="A1388" s="4" t="str">
        <v xml:space="preserve"> </v>
      </c>
      <c r="B1388" s="4">
        <v>0</v>
      </c>
      <c r="C1388" s="4">
        <v>0</v>
      </c>
      <c r="D1388" s="4">
        <v>0</v>
      </c>
      <c r="E1388" s="4" t="str">
        <v>0</v>
      </c>
      <c r="F1388" s="102" t="str">
        <f ca="1">IFERROR(__xludf.DUMMYFUNCTION("IMPORTRANGE(H1388,""IDENTITAS UNIT!D9"")"),"#N/A")</f>
        <v>#N/A</v>
      </c>
      <c r="H1388" s="4" t="str">
        <v>0</v>
      </c>
      <c r="I1388" s="4" t="str">
        <v>0</v>
      </c>
      <c r="J1388" s="4">
        <v>0</v>
      </c>
    </row>
    <row r="1389" spans="1:10" ht="16.5" hidden="1">
      <c r="A1389" s="4" t="str">
        <v xml:space="preserve"> </v>
      </c>
      <c r="B1389" s="4">
        <v>0</v>
      </c>
      <c r="C1389" s="4">
        <v>0</v>
      </c>
      <c r="D1389" s="4">
        <v>0</v>
      </c>
      <c r="E1389" s="4" t="str">
        <v>0</v>
      </c>
      <c r="F1389" s="102" t="str">
        <f ca="1">IFERROR(__xludf.DUMMYFUNCTION("IMPORTRANGE(H1389,""IDENTITAS UNIT!D9"")"),"#N/A")</f>
        <v>#N/A</v>
      </c>
      <c r="H1389" s="4" t="str">
        <v>0</v>
      </c>
      <c r="I1389" s="4" t="str">
        <v>0</v>
      </c>
      <c r="J1389" s="4">
        <v>0</v>
      </c>
    </row>
    <row r="1390" spans="1:10" ht="16.5" hidden="1">
      <c r="A1390" s="4" t="str">
        <v xml:space="preserve"> </v>
      </c>
      <c r="B1390" s="4">
        <v>0</v>
      </c>
      <c r="C1390" s="4">
        <v>0</v>
      </c>
      <c r="D1390" s="4">
        <v>0</v>
      </c>
      <c r="E1390" s="4" t="str">
        <v>0</v>
      </c>
      <c r="F1390" s="102" t="str">
        <f ca="1">IFERROR(__xludf.DUMMYFUNCTION("IMPORTRANGE(H1390,""IDENTITAS UNIT!D9"")"),"#N/A")</f>
        <v>#N/A</v>
      </c>
      <c r="H1390" s="4" t="str">
        <v>0</v>
      </c>
      <c r="I1390" s="4" t="str">
        <v>0</v>
      </c>
      <c r="J1390" s="4">
        <v>0</v>
      </c>
    </row>
    <row r="1391" spans="1:10" ht="16.5" hidden="1">
      <c r="A1391" s="4" t="str">
        <v xml:space="preserve"> </v>
      </c>
      <c r="B1391" s="4">
        <v>0</v>
      </c>
      <c r="C1391" s="4">
        <v>0</v>
      </c>
      <c r="D1391" s="4">
        <v>0</v>
      </c>
      <c r="E1391" s="4" t="str">
        <v>0</v>
      </c>
      <c r="F1391" s="102" t="str">
        <f ca="1">IFERROR(__xludf.DUMMYFUNCTION("IMPORTRANGE(H1391,""IDENTITAS UNIT!D9"")"),"#N/A")</f>
        <v>#N/A</v>
      </c>
      <c r="H1391" s="4" t="str">
        <v>0</v>
      </c>
      <c r="I1391" s="4" t="str">
        <v>0</v>
      </c>
      <c r="J1391" s="4">
        <v>0</v>
      </c>
    </row>
    <row r="1392" spans="1:10" ht="16.5" hidden="1">
      <c r="A1392" s="4" t="str">
        <v xml:space="preserve"> </v>
      </c>
      <c r="B1392" s="4">
        <v>0</v>
      </c>
      <c r="C1392" s="4">
        <v>0</v>
      </c>
      <c r="D1392" s="4">
        <v>0</v>
      </c>
      <c r="E1392" s="4" t="str">
        <v>0</v>
      </c>
      <c r="F1392" s="102" t="str">
        <f ca="1">IFERROR(__xludf.DUMMYFUNCTION("IMPORTRANGE(H1392,""IDENTITAS UNIT!D9"")"),"#N/A")</f>
        <v>#N/A</v>
      </c>
      <c r="H1392" s="4" t="str">
        <v>0</v>
      </c>
      <c r="I1392" s="4" t="str">
        <v>0</v>
      </c>
      <c r="J1392" s="4">
        <v>0</v>
      </c>
    </row>
    <row r="1393" spans="1:10" ht="16.5" hidden="1">
      <c r="A1393" s="4" t="str">
        <v xml:space="preserve"> </v>
      </c>
      <c r="B1393" s="4">
        <v>0</v>
      </c>
      <c r="C1393" s="4">
        <v>0</v>
      </c>
      <c r="D1393" s="4">
        <v>0</v>
      </c>
      <c r="E1393" s="4" t="str">
        <v>0</v>
      </c>
      <c r="F1393" s="102" t="str">
        <f ca="1">IFERROR(__xludf.DUMMYFUNCTION("IMPORTRANGE(H1393,""IDENTITAS UNIT!D9"")"),"#N/A")</f>
        <v>#N/A</v>
      </c>
      <c r="H1393" s="4" t="str">
        <v>0</v>
      </c>
      <c r="I1393" s="4" t="str">
        <v>0</v>
      </c>
      <c r="J1393" s="4">
        <v>0</v>
      </c>
    </row>
    <row r="1394" spans="1:10" ht="16.5" hidden="1">
      <c r="A1394" s="4" t="str">
        <v xml:space="preserve"> </v>
      </c>
      <c r="B1394" s="4">
        <v>0</v>
      </c>
      <c r="C1394" s="4">
        <v>0</v>
      </c>
      <c r="D1394" s="4">
        <v>0</v>
      </c>
      <c r="E1394" s="4" t="str">
        <v>0</v>
      </c>
      <c r="F1394" s="102" t="str">
        <f ca="1">IFERROR(__xludf.DUMMYFUNCTION("IMPORTRANGE(H1394,""IDENTITAS UNIT!D9"")"),"#N/A")</f>
        <v>#N/A</v>
      </c>
      <c r="H1394" s="4" t="str">
        <v>0</v>
      </c>
      <c r="I1394" s="4" t="str">
        <v>0</v>
      </c>
      <c r="J1394" s="4">
        <v>0</v>
      </c>
    </row>
    <row r="1395" spans="1:10" ht="16.5" hidden="1">
      <c r="A1395" s="4" t="str">
        <v xml:space="preserve"> </v>
      </c>
      <c r="B1395" s="4">
        <v>0</v>
      </c>
      <c r="C1395" s="4">
        <v>0</v>
      </c>
      <c r="D1395" s="4">
        <v>0</v>
      </c>
      <c r="E1395" s="4" t="str">
        <v>0</v>
      </c>
      <c r="F1395" s="102" t="str">
        <f ca="1">IFERROR(__xludf.DUMMYFUNCTION("IMPORTRANGE(H1395,""IDENTITAS UNIT!D9"")"),"#N/A")</f>
        <v>#N/A</v>
      </c>
      <c r="H1395" s="4" t="str">
        <v>0</v>
      </c>
      <c r="I1395" s="4" t="str">
        <v>0</v>
      </c>
      <c r="J1395" s="4">
        <v>0</v>
      </c>
    </row>
    <row r="1396" spans="1:10" ht="16.5" hidden="1">
      <c r="A1396" s="4" t="str">
        <v xml:space="preserve"> </v>
      </c>
      <c r="B1396" s="4">
        <v>0</v>
      </c>
      <c r="C1396" s="4">
        <v>0</v>
      </c>
      <c r="D1396" s="4">
        <v>0</v>
      </c>
      <c r="E1396" s="4" t="str">
        <v>0</v>
      </c>
      <c r="F1396" s="102" t="str">
        <f ca="1">IFERROR(__xludf.DUMMYFUNCTION("IMPORTRANGE(H1396,""IDENTITAS UNIT!D9"")"),"#N/A")</f>
        <v>#N/A</v>
      </c>
      <c r="H1396" s="4" t="str">
        <v>0</v>
      </c>
      <c r="I1396" s="4" t="str">
        <v>0</v>
      </c>
      <c r="J1396" s="4">
        <v>0</v>
      </c>
    </row>
    <row r="1397" spans="1:10" ht="16.5" hidden="1">
      <c r="A1397" s="4" t="str">
        <v xml:space="preserve"> </v>
      </c>
      <c r="B1397" s="4">
        <v>0</v>
      </c>
      <c r="C1397" s="4">
        <v>0</v>
      </c>
      <c r="D1397" s="4">
        <v>0</v>
      </c>
      <c r="E1397" s="4" t="str">
        <v>0</v>
      </c>
      <c r="F1397" s="102" t="str">
        <f ca="1">IFERROR(__xludf.DUMMYFUNCTION("IMPORTRANGE(H1397,""IDENTITAS UNIT!D9"")"),"#N/A")</f>
        <v>#N/A</v>
      </c>
      <c r="H1397" s="4" t="str">
        <v>0</v>
      </c>
      <c r="I1397" s="4" t="str">
        <v>0</v>
      </c>
      <c r="J1397" s="4">
        <v>0</v>
      </c>
    </row>
    <row r="1398" spans="1:10" ht="16.5" hidden="1">
      <c r="A1398" s="4" t="str">
        <v xml:space="preserve"> </v>
      </c>
      <c r="B1398" s="4">
        <v>0</v>
      </c>
      <c r="C1398" s="4">
        <v>0</v>
      </c>
      <c r="D1398" s="4">
        <v>0</v>
      </c>
      <c r="E1398" s="4" t="str">
        <v>0</v>
      </c>
      <c r="F1398" s="102" t="str">
        <f ca="1">IFERROR(__xludf.DUMMYFUNCTION("IMPORTRANGE(H1398,""IDENTITAS UNIT!D9"")"),"#N/A")</f>
        <v>#N/A</v>
      </c>
      <c r="H1398" s="4" t="str">
        <v>0</v>
      </c>
      <c r="I1398" s="4" t="str">
        <v>0</v>
      </c>
      <c r="J1398" s="4">
        <v>0</v>
      </c>
    </row>
    <row r="1399" spans="1:10" ht="16.5" hidden="1">
      <c r="A1399" s="4" t="str">
        <v xml:space="preserve"> </v>
      </c>
      <c r="B1399" s="4">
        <v>0</v>
      </c>
      <c r="C1399" s="4">
        <v>0</v>
      </c>
      <c r="D1399" s="4">
        <v>0</v>
      </c>
      <c r="E1399" s="4" t="str">
        <v>0</v>
      </c>
      <c r="F1399" s="102" t="str">
        <f ca="1">IFERROR(__xludf.DUMMYFUNCTION("IMPORTRANGE(H1399,""IDENTITAS UNIT!D9"")"),"#N/A")</f>
        <v>#N/A</v>
      </c>
      <c r="H1399" s="4" t="str">
        <v>0</v>
      </c>
      <c r="I1399" s="4" t="str">
        <v>0</v>
      </c>
      <c r="J1399" s="4">
        <v>0</v>
      </c>
    </row>
    <row r="1400" spans="1:10" ht="16.5" hidden="1">
      <c r="A1400" s="4" t="str">
        <v xml:space="preserve"> </v>
      </c>
      <c r="B1400" s="4">
        <v>0</v>
      </c>
      <c r="C1400" s="4">
        <v>0</v>
      </c>
      <c r="D1400" s="4">
        <v>0</v>
      </c>
      <c r="E1400" s="4" t="str">
        <v>0</v>
      </c>
      <c r="F1400" s="102" t="str">
        <f ca="1">IFERROR(__xludf.DUMMYFUNCTION("IMPORTRANGE(H1400,""IDENTITAS UNIT!D9"")"),"#N/A")</f>
        <v>#N/A</v>
      </c>
      <c r="H1400" s="4" t="str">
        <v>0</v>
      </c>
      <c r="I1400" s="4" t="str">
        <v>0</v>
      </c>
      <c r="J1400" s="4">
        <v>0</v>
      </c>
    </row>
    <row r="1401" spans="1:10" ht="16.5" hidden="1">
      <c r="A1401" s="4" t="str">
        <v xml:space="preserve"> </v>
      </c>
      <c r="B1401" s="4">
        <v>0</v>
      </c>
      <c r="C1401" s="4">
        <v>0</v>
      </c>
      <c r="D1401" s="4">
        <v>0</v>
      </c>
      <c r="E1401" s="4" t="str">
        <v>0</v>
      </c>
      <c r="F1401" s="102" t="str">
        <f ca="1">IFERROR(__xludf.DUMMYFUNCTION("IMPORTRANGE(H1401,""IDENTITAS UNIT!D9"")"),"#N/A")</f>
        <v>#N/A</v>
      </c>
      <c r="H1401" s="4" t="str">
        <v>0</v>
      </c>
      <c r="I1401" s="4" t="str">
        <v>0</v>
      </c>
      <c r="J1401" s="4">
        <v>0</v>
      </c>
    </row>
    <row r="1402" spans="1:10" ht="16.5" hidden="1">
      <c r="A1402" s="4" t="str">
        <v xml:space="preserve"> </v>
      </c>
      <c r="B1402" s="4">
        <v>0</v>
      </c>
      <c r="C1402" s="4">
        <v>0</v>
      </c>
      <c r="D1402" s="4">
        <v>0</v>
      </c>
      <c r="E1402" s="4" t="str">
        <v>0</v>
      </c>
      <c r="F1402" s="102" t="str">
        <f ca="1">IFERROR(__xludf.DUMMYFUNCTION("IMPORTRANGE(H1402,""IDENTITAS UNIT!D9"")"),"#N/A")</f>
        <v>#N/A</v>
      </c>
      <c r="H1402" s="4" t="str">
        <v>0</v>
      </c>
      <c r="I1402" s="4" t="str">
        <v>0</v>
      </c>
      <c r="J1402" s="4">
        <v>0</v>
      </c>
    </row>
    <row r="1403" spans="1:10" ht="16.5" hidden="1">
      <c r="A1403" s="4" t="str">
        <v xml:space="preserve"> </v>
      </c>
      <c r="B1403" s="4">
        <v>0</v>
      </c>
      <c r="C1403" s="4">
        <v>0</v>
      </c>
      <c r="D1403" s="4">
        <v>0</v>
      </c>
      <c r="E1403" s="4" t="str">
        <v>0</v>
      </c>
      <c r="F1403" s="102" t="str">
        <f ca="1">IFERROR(__xludf.DUMMYFUNCTION("IMPORTRANGE(H1403,""IDENTITAS UNIT!D9"")"),"#N/A")</f>
        <v>#N/A</v>
      </c>
      <c r="H1403" s="4" t="str">
        <v>0</v>
      </c>
      <c r="I1403" s="4" t="str">
        <v>0</v>
      </c>
      <c r="J1403" s="4">
        <v>0</v>
      </c>
    </row>
    <row r="1404" spans="1:10" ht="16.5" hidden="1">
      <c r="A1404" s="4" t="str">
        <v xml:space="preserve"> </v>
      </c>
      <c r="B1404" s="4">
        <v>0</v>
      </c>
      <c r="C1404" s="4">
        <v>0</v>
      </c>
      <c r="D1404" s="4">
        <v>0</v>
      </c>
      <c r="E1404" s="4" t="str">
        <v>0</v>
      </c>
      <c r="F1404" s="102" t="str">
        <f ca="1">IFERROR(__xludf.DUMMYFUNCTION("IMPORTRANGE(H1404,""IDENTITAS UNIT!D9"")"),"#N/A")</f>
        <v>#N/A</v>
      </c>
      <c r="H1404" s="4" t="str">
        <v>0</v>
      </c>
      <c r="I1404" s="4" t="str">
        <v>0</v>
      </c>
      <c r="J1404" s="4">
        <v>0</v>
      </c>
    </row>
    <row r="1405" spans="1:10" ht="16.5" hidden="1">
      <c r="A1405" s="4" t="str">
        <v xml:space="preserve"> </v>
      </c>
      <c r="B1405" s="4">
        <v>0</v>
      </c>
      <c r="C1405" s="4">
        <v>0</v>
      </c>
      <c r="D1405" s="4">
        <v>0</v>
      </c>
      <c r="E1405" s="4" t="str">
        <v>0</v>
      </c>
      <c r="F1405" s="102" t="str">
        <f ca="1">IFERROR(__xludf.DUMMYFUNCTION("IMPORTRANGE(H1405,""IDENTITAS UNIT!D9"")"),"#N/A")</f>
        <v>#N/A</v>
      </c>
      <c r="H1405" s="4" t="str">
        <v>0</v>
      </c>
      <c r="I1405" s="4" t="str">
        <v>0</v>
      </c>
      <c r="J1405" s="4">
        <v>0</v>
      </c>
    </row>
    <row r="1406" spans="1:10" ht="16.5" hidden="1">
      <c r="A1406" s="4" t="str">
        <v xml:space="preserve"> </v>
      </c>
      <c r="B1406" s="4">
        <v>0</v>
      </c>
      <c r="C1406" s="4">
        <v>0</v>
      </c>
      <c r="D1406" s="4">
        <v>0</v>
      </c>
      <c r="E1406" s="4" t="str">
        <v>0</v>
      </c>
      <c r="F1406" s="102" t="str">
        <f ca="1">IFERROR(__xludf.DUMMYFUNCTION("IMPORTRANGE(H1406,""IDENTITAS UNIT!D9"")"),"#N/A")</f>
        <v>#N/A</v>
      </c>
      <c r="H1406" s="4" t="str">
        <v>0</v>
      </c>
      <c r="I1406" s="4" t="str">
        <v>0</v>
      </c>
      <c r="J1406" s="4">
        <v>0</v>
      </c>
    </row>
    <row r="1407" spans="1:10" ht="16.5" hidden="1">
      <c r="A1407" s="4" t="str">
        <v xml:space="preserve"> </v>
      </c>
      <c r="B1407" s="4">
        <v>0</v>
      </c>
      <c r="C1407" s="4">
        <v>0</v>
      </c>
      <c r="D1407" s="4">
        <v>0</v>
      </c>
      <c r="E1407" s="4" t="str">
        <v>0</v>
      </c>
      <c r="F1407" s="102" t="str">
        <f ca="1">IFERROR(__xludf.DUMMYFUNCTION("IMPORTRANGE(H1407,""IDENTITAS UNIT!D9"")"),"#N/A")</f>
        <v>#N/A</v>
      </c>
      <c r="H1407" s="4" t="str">
        <v>0</v>
      </c>
      <c r="I1407" s="4" t="str">
        <v>0</v>
      </c>
      <c r="J1407" s="4">
        <v>0</v>
      </c>
    </row>
    <row r="1408" spans="1:10" ht="16.5" hidden="1">
      <c r="A1408" s="4" t="str">
        <v xml:space="preserve"> </v>
      </c>
      <c r="B1408" s="4">
        <v>0</v>
      </c>
      <c r="C1408" s="4">
        <v>0</v>
      </c>
      <c r="D1408" s="4">
        <v>0</v>
      </c>
      <c r="E1408" s="4" t="str">
        <v>0</v>
      </c>
      <c r="F1408" s="102" t="str">
        <f ca="1">IFERROR(__xludf.DUMMYFUNCTION("IMPORTRANGE(H1408,""IDENTITAS UNIT!D9"")"),"#N/A")</f>
        <v>#N/A</v>
      </c>
      <c r="H1408" s="4" t="str">
        <v>0</v>
      </c>
      <c r="I1408" s="4" t="str">
        <v>0</v>
      </c>
      <c r="J1408" s="4">
        <v>0</v>
      </c>
    </row>
    <row r="1409" spans="1:10" ht="16.5" hidden="1">
      <c r="A1409" s="4" t="str">
        <v xml:space="preserve"> </v>
      </c>
      <c r="B1409" s="4">
        <v>0</v>
      </c>
      <c r="C1409" s="4">
        <v>0</v>
      </c>
      <c r="D1409" s="4">
        <v>0</v>
      </c>
      <c r="E1409" s="4" t="str">
        <v>0</v>
      </c>
      <c r="F1409" s="102" t="str">
        <f ca="1">IFERROR(__xludf.DUMMYFUNCTION("IMPORTRANGE(H1409,""IDENTITAS UNIT!D9"")"),"#N/A")</f>
        <v>#N/A</v>
      </c>
      <c r="H1409" s="4" t="str">
        <v>0</v>
      </c>
      <c r="I1409" s="4" t="str">
        <v>0</v>
      </c>
      <c r="J1409" s="4">
        <v>0</v>
      </c>
    </row>
    <row r="1410" spans="1:10" ht="16.5" hidden="1">
      <c r="A1410" s="4" t="str">
        <v xml:space="preserve"> </v>
      </c>
      <c r="B1410" s="4">
        <v>0</v>
      </c>
      <c r="C1410" s="4">
        <v>0</v>
      </c>
      <c r="D1410" s="4">
        <v>0</v>
      </c>
      <c r="E1410" s="4" t="str">
        <v>0</v>
      </c>
      <c r="F1410" s="102" t="str">
        <f ca="1">IFERROR(__xludf.DUMMYFUNCTION("IMPORTRANGE(H1410,""IDENTITAS UNIT!D9"")"),"#N/A")</f>
        <v>#N/A</v>
      </c>
      <c r="H1410" s="4" t="str">
        <v>0</v>
      </c>
      <c r="I1410" s="4" t="str">
        <v>0</v>
      </c>
      <c r="J1410" s="4">
        <v>0</v>
      </c>
    </row>
    <row r="1411" spans="1:10" ht="16.5" hidden="1">
      <c r="A1411" s="4" t="str">
        <v xml:space="preserve"> </v>
      </c>
      <c r="B1411" s="4">
        <v>0</v>
      </c>
      <c r="C1411" s="4">
        <v>0</v>
      </c>
      <c r="D1411" s="4">
        <v>0</v>
      </c>
      <c r="E1411" s="4" t="str">
        <v>0</v>
      </c>
      <c r="F1411" s="102" t="str">
        <f ca="1">IFERROR(__xludf.DUMMYFUNCTION("IMPORTRANGE(H1411,""IDENTITAS UNIT!D9"")"),"#N/A")</f>
        <v>#N/A</v>
      </c>
      <c r="H1411" s="4" t="str">
        <v>0</v>
      </c>
      <c r="I1411" s="4" t="str">
        <v>0</v>
      </c>
      <c r="J1411" s="4">
        <v>0</v>
      </c>
    </row>
    <row r="1412" spans="1:10" ht="16.5" hidden="1">
      <c r="A1412" s="4" t="str">
        <v xml:space="preserve"> </v>
      </c>
      <c r="B1412" s="4">
        <v>0</v>
      </c>
      <c r="C1412" s="4">
        <v>0</v>
      </c>
      <c r="D1412" s="4">
        <v>0</v>
      </c>
      <c r="E1412" s="4" t="str">
        <v>0</v>
      </c>
      <c r="F1412" s="102" t="str">
        <f ca="1">IFERROR(__xludf.DUMMYFUNCTION("IMPORTRANGE(H1412,""IDENTITAS UNIT!D9"")"),"#N/A")</f>
        <v>#N/A</v>
      </c>
      <c r="H1412" s="4" t="str">
        <v>0</v>
      </c>
      <c r="I1412" s="4" t="str">
        <v>0</v>
      </c>
      <c r="J1412" s="4">
        <v>0</v>
      </c>
    </row>
    <row r="1413" spans="1:10" ht="16.5" hidden="1">
      <c r="A1413" s="4" t="str">
        <v xml:space="preserve"> </v>
      </c>
      <c r="B1413" s="4">
        <v>0</v>
      </c>
      <c r="C1413" s="4">
        <v>0</v>
      </c>
      <c r="D1413" s="4">
        <v>0</v>
      </c>
      <c r="E1413" s="4" t="str">
        <v>0</v>
      </c>
      <c r="F1413" s="102" t="str">
        <f ca="1">IFERROR(__xludf.DUMMYFUNCTION("IMPORTRANGE(H1413,""IDENTITAS UNIT!D9"")"),"#N/A")</f>
        <v>#N/A</v>
      </c>
      <c r="H1413" s="4" t="str">
        <v>0</v>
      </c>
      <c r="I1413" s="4" t="str">
        <v>0</v>
      </c>
      <c r="J1413" s="4">
        <v>0</v>
      </c>
    </row>
    <row r="1414" spans="1:10" ht="16.5" hidden="1">
      <c r="A1414" s="4" t="str">
        <v xml:space="preserve"> </v>
      </c>
      <c r="B1414" s="4">
        <v>0</v>
      </c>
      <c r="C1414" s="4">
        <v>0</v>
      </c>
      <c r="D1414" s="4">
        <v>0</v>
      </c>
      <c r="E1414" s="4" t="str">
        <v>0</v>
      </c>
      <c r="F1414" s="102" t="str">
        <f ca="1">IFERROR(__xludf.DUMMYFUNCTION("IMPORTRANGE(H1414,""IDENTITAS UNIT!D9"")"),"#N/A")</f>
        <v>#N/A</v>
      </c>
      <c r="H1414" s="4" t="str">
        <v>0</v>
      </c>
      <c r="I1414" s="4" t="str">
        <v>0</v>
      </c>
      <c r="J1414" s="4">
        <v>0</v>
      </c>
    </row>
    <row r="1415" spans="1:10" ht="16.5" hidden="1">
      <c r="A1415" s="4" t="str">
        <v xml:space="preserve"> </v>
      </c>
      <c r="B1415" s="4">
        <v>0</v>
      </c>
      <c r="C1415" s="4">
        <v>0</v>
      </c>
      <c r="D1415" s="4">
        <v>0</v>
      </c>
      <c r="E1415" s="4" t="str">
        <v>0</v>
      </c>
      <c r="F1415" s="102" t="str">
        <f ca="1">IFERROR(__xludf.DUMMYFUNCTION("IMPORTRANGE(H1415,""IDENTITAS UNIT!D9"")"),"#N/A")</f>
        <v>#N/A</v>
      </c>
      <c r="H1415" s="4" t="str">
        <v>0</v>
      </c>
      <c r="I1415" s="4" t="str">
        <v>0</v>
      </c>
      <c r="J1415" s="4">
        <v>0</v>
      </c>
    </row>
    <row r="1416" spans="1:10" ht="16.5" hidden="1">
      <c r="A1416" s="4" t="str">
        <v xml:space="preserve"> </v>
      </c>
      <c r="B1416" s="4">
        <v>0</v>
      </c>
      <c r="C1416" s="4">
        <v>0</v>
      </c>
      <c r="D1416" s="4">
        <v>0</v>
      </c>
      <c r="E1416" s="4" t="str">
        <v>0</v>
      </c>
      <c r="F1416" s="102" t="str">
        <f ca="1">IFERROR(__xludf.DUMMYFUNCTION("IMPORTRANGE(H1416,""IDENTITAS UNIT!D9"")"),"#N/A")</f>
        <v>#N/A</v>
      </c>
      <c r="H1416" s="4" t="str">
        <v>0</v>
      </c>
      <c r="I1416" s="4" t="str">
        <v>0</v>
      </c>
      <c r="J1416" s="4">
        <v>0</v>
      </c>
    </row>
    <row r="1417" spans="1:10" ht="16.5" hidden="1">
      <c r="A1417" s="4" t="str">
        <v xml:space="preserve"> </v>
      </c>
      <c r="B1417" s="4">
        <v>0</v>
      </c>
      <c r="C1417" s="4">
        <v>0</v>
      </c>
      <c r="D1417" s="4">
        <v>0</v>
      </c>
      <c r="E1417" s="4" t="str">
        <v>0</v>
      </c>
      <c r="F1417" s="102" t="str">
        <f ca="1">IFERROR(__xludf.DUMMYFUNCTION("IMPORTRANGE(H1417,""IDENTITAS UNIT!D9"")"),"#N/A")</f>
        <v>#N/A</v>
      </c>
      <c r="H1417" s="4" t="str">
        <v>0</v>
      </c>
      <c r="I1417" s="4" t="str">
        <v>0</v>
      </c>
      <c r="J1417" s="4">
        <v>0</v>
      </c>
    </row>
    <row r="1418" spans="1:10" ht="16.5" hidden="1">
      <c r="A1418" s="4" t="str">
        <v xml:space="preserve"> </v>
      </c>
      <c r="B1418" s="4">
        <v>0</v>
      </c>
      <c r="C1418" s="4">
        <v>0</v>
      </c>
      <c r="D1418" s="4">
        <v>0</v>
      </c>
      <c r="E1418" s="4" t="str">
        <v>0</v>
      </c>
      <c r="F1418" s="102" t="str">
        <f ca="1">IFERROR(__xludf.DUMMYFUNCTION("IMPORTRANGE(H1418,""IDENTITAS UNIT!D9"")"),"#N/A")</f>
        <v>#N/A</v>
      </c>
      <c r="H1418" s="4" t="str">
        <v>0</v>
      </c>
      <c r="I1418" s="4" t="str">
        <v>0</v>
      </c>
      <c r="J1418" s="4">
        <v>0</v>
      </c>
    </row>
    <row r="1419" spans="1:10" ht="16.5" hidden="1">
      <c r="A1419" s="4" t="str">
        <v xml:space="preserve"> </v>
      </c>
      <c r="B1419" s="4">
        <v>0</v>
      </c>
      <c r="C1419" s="4">
        <v>0</v>
      </c>
      <c r="D1419" s="4">
        <v>0</v>
      </c>
      <c r="E1419" s="4" t="str">
        <v>0</v>
      </c>
      <c r="F1419" s="102" t="str">
        <f ca="1">IFERROR(__xludf.DUMMYFUNCTION("IMPORTRANGE(H1419,""IDENTITAS UNIT!D9"")"),"#N/A")</f>
        <v>#N/A</v>
      </c>
      <c r="H1419" s="4" t="str">
        <v>0</v>
      </c>
      <c r="I1419" s="4" t="str">
        <v>0</v>
      </c>
      <c r="J1419" s="4">
        <v>0</v>
      </c>
    </row>
    <row r="1420" spans="1:10" ht="16.5" hidden="1">
      <c r="A1420" s="4" t="str">
        <v xml:space="preserve"> </v>
      </c>
      <c r="B1420" s="4">
        <v>0</v>
      </c>
      <c r="C1420" s="4">
        <v>0</v>
      </c>
      <c r="D1420" s="4">
        <v>0</v>
      </c>
      <c r="E1420" s="4" t="str">
        <v>0</v>
      </c>
      <c r="F1420" s="102" t="str">
        <f ca="1">IFERROR(__xludf.DUMMYFUNCTION("IMPORTRANGE(H1420,""IDENTITAS UNIT!D9"")"),"#N/A")</f>
        <v>#N/A</v>
      </c>
      <c r="H1420" s="4" t="str">
        <v>0</v>
      </c>
      <c r="I1420" s="4" t="str">
        <v>0</v>
      </c>
      <c r="J1420" s="4">
        <v>0</v>
      </c>
    </row>
    <row r="1421" spans="1:10" ht="16.5" hidden="1">
      <c r="A1421" s="4" t="str">
        <v xml:space="preserve"> </v>
      </c>
      <c r="B1421" s="4">
        <v>0</v>
      </c>
      <c r="C1421" s="4">
        <v>0</v>
      </c>
      <c r="D1421" s="4">
        <v>0</v>
      </c>
      <c r="E1421" s="4" t="str">
        <v>0</v>
      </c>
      <c r="F1421" s="102" t="str">
        <f ca="1">IFERROR(__xludf.DUMMYFUNCTION("IMPORTRANGE(H1421,""IDENTITAS UNIT!D9"")"),"#N/A")</f>
        <v>#N/A</v>
      </c>
      <c r="H1421" s="4" t="str">
        <v>0</v>
      </c>
      <c r="I1421" s="4" t="str">
        <v>0</v>
      </c>
      <c r="J1421" s="4">
        <v>0</v>
      </c>
    </row>
    <row r="1422" spans="1:10" ht="16.5" hidden="1">
      <c r="A1422" s="4" t="str">
        <v xml:space="preserve"> </v>
      </c>
      <c r="B1422" s="4">
        <v>0</v>
      </c>
      <c r="C1422" s="4">
        <v>0</v>
      </c>
      <c r="D1422" s="4">
        <v>0</v>
      </c>
      <c r="E1422" s="4" t="str">
        <v>0</v>
      </c>
      <c r="F1422" s="102" t="str">
        <f ca="1">IFERROR(__xludf.DUMMYFUNCTION("IMPORTRANGE(H1422,""IDENTITAS UNIT!D9"")"),"#N/A")</f>
        <v>#N/A</v>
      </c>
      <c r="H1422" s="4" t="str">
        <v>0</v>
      </c>
      <c r="I1422" s="4" t="str">
        <v>0</v>
      </c>
      <c r="J1422" s="4">
        <v>0</v>
      </c>
    </row>
    <row r="1423" spans="1:10" ht="16.5" hidden="1">
      <c r="A1423" s="4" t="str">
        <v xml:space="preserve"> </v>
      </c>
      <c r="B1423" s="4">
        <v>0</v>
      </c>
      <c r="C1423" s="4">
        <v>0</v>
      </c>
      <c r="D1423" s="4">
        <v>0</v>
      </c>
      <c r="E1423" s="4" t="str">
        <v>0</v>
      </c>
      <c r="F1423" s="102" t="str">
        <f ca="1">IFERROR(__xludf.DUMMYFUNCTION("IMPORTRANGE(H1423,""IDENTITAS UNIT!D9"")"),"#N/A")</f>
        <v>#N/A</v>
      </c>
      <c r="H1423" s="4" t="str">
        <v>0</v>
      </c>
      <c r="I1423" s="4" t="str">
        <v>0</v>
      </c>
      <c r="J1423" s="4">
        <v>0</v>
      </c>
    </row>
    <row r="1424" spans="1:10" ht="16.5" hidden="1">
      <c r="A1424" s="4" t="str">
        <v xml:space="preserve"> </v>
      </c>
      <c r="B1424" s="4">
        <v>0</v>
      </c>
      <c r="C1424" s="4">
        <v>0</v>
      </c>
      <c r="D1424" s="4">
        <v>0</v>
      </c>
      <c r="E1424" s="4" t="str">
        <v>0</v>
      </c>
      <c r="F1424" s="102" t="str">
        <f ca="1">IFERROR(__xludf.DUMMYFUNCTION("IMPORTRANGE(H1424,""IDENTITAS UNIT!D9"")"),"#N/A")</f>
        <v>#N/A</v>
      </c>
      <c r="H1424" s="4" t="str">
        <v>0</v>
      </c>
      <c r="I1424" s="4" t="str">
        <v>0</v>
      </c>
      <c r="J1424" s="4">
        <v>0</v>
      </c>
    </row>
    <row r="1425" spans="1:10" ht="16.5" hidden="1">
      <c r="A1425" s="4" t="str">
        <v xml:space="preserve"> </v>
      </c>
      <c r="B1425" s="4">
        <v>0</v>
      </c>
      <c r="C1425" s="4">
        <v>0</v>
      </c>
      <c r="D1425" s="4">
        <v>0</v>
      </c>
      <c r="E1425" s="4" t="str">
        <v>0</v>
      </c>
      <c r="F1425" s="102" t="str">
        <f ca="1">IFERROR(__xludf.DUMMYFUNCTION("IMPORTRANGE(H1425,""IDENTITAS UNIT!D9"")"),"#N/A")</f>
        <v>#N/A</v>
      </c>
      <c r="H1425" s="4" t="str">
        <v>0</v>
      </c>
      <c r="I1425" s="4" t="str">
        <v>0</v>
      </c>
      <c r="J1425" s="4">
        <v>0</v>
      </c>
    </row>
    <row r="1426" spans="1:10" ht="16.5" hidden="1">
      <c r="A1426" s="4" t="str">
        <v xml:space="preserve"> </v>
      </c>
      <c r="B1426" s="4">
        <v>0</v>
      </c>
      <c r="C1426" s="4">
        <v>0</v>
      </c>
      <c r="D1426" s="4">
        <v>0</v>
      </c>
      <c r="E1426" s="4" t="str">
        <v>0</v>
      </c>
      <c r="F1426" s="102" t="str">
        <f ca="1">IFERROR(__xludf.DUMMYFUNCTION("IMPORTRANGE(H1426,""IDENTITAS UNIT!D9"")"),"#N/A")</f>
        <v>#N/A</v>
      </c>
      <c r="H1426" s="4" t="str">
        <v>0</v>
      </c>
      <c r="I1426" s="4" t="str">
        <v>0</v>
      </c>
      <c r="J1426" s="4">
        <v>0</v>
      </c>
    </row>
    <row r="1427" spans="1:10" ht="16.5" hidden="1">
      <c r="A1427" s="4" t="str">
        <v xml:space="preserve"> </v>
      </c>
      <c r="B1427" s="4">
        <v>0</v>
      </c>
      <c r="C1427" s="4">
        <v>0</v>
      </c>
      <c r="D1427" s="4">
        <v>0</v>
      </c>
      <c r="E1427" s="4" t="str">
        <v>0</v>
      </c>
      <c r="F1427" s="102" t="str">
        <f ca="1">IFERROR(__xludf.DUMMYFUNCTION("IMPORTRANGE(H1427,""IDENTITAS UNIT!D9"")"),"#N/A")</f>
        <v>#N/A</v>
      </c>
      <c r="H1427" s="4" t="str">
        <v>0</v>
      </c>
      <c r="I1427" s="4" t="str">
        <v>0</v>
      </c>
      <c r="J1427" s="4">
        <v>0</v>
      </c>
    </row>
    <row r="1428" spans="1:10" ht="16.5" hidden="1">
      <c r="A1428" s="4" t="str">
        <v xml:space="preserve"> </v>
      </c>
      <c r="B1428" s="4">
        <v>0</v>
      </c>
      <c r="C1428" s="4">
        <v>0</v>
      </c>
      <c r="D1428" s="4">
        <v>0</v>
      </c>
      <c r="E1428" s="4" t="str">
        <v>0</v>
      </c>
      <c r="F1428" s="102" t="str">
        <f ca="1">IFERROR(__xludf.DUMMYFUNCTION("IMPORTRANGE(H1428,""IDENTITAS UNIT!D9"")"),"#N/A")</f>
        <v>#N/A</v>
      </c>
      <c r="H1428" s="4" t="str">
        <v>0</v>
      </c>
      <c r="I1428" s="4" t="str">
        <v>0</v>
      </c>
      <c r="J1428" s="4">
        <v>0</v>
      </c>
    </row>
    <row r="1429" spans="1:10" ht="16.5" hidden="1">
      <c r="A1429" s="4" t="str">
        <v xml:space="preserve"> </v>
      </c>
      <c r="B1429" s="4">
        <v>0</v>
      </c>
      <c r="C1429" s="4">
        <v>0</v>
      </c>
      <c r="D1429" s="4">
        <v>0</v>
      </c>
      <c r="E1429" s="4" t="str">
        <v>0</v>
      </c>
      <c r="F1429" s="102" t="str">
        <f ca="1">IFERROR(__xludf.DUMMYFUNCTION("IMPORTRANGE(H1429,""IDENTITAS UNIT!D9"")"),"#N/A")</f>
        <v>#N/A</v>
      </c>
      <c r="H1429" s="4" t="str">
        <v>0</v>
      </c>
      <c r="I1429" s="4" t="str">
        <v>0</v>
      </c>
      <c r="J1429" s="4">
        <v>0</v>
      </c>
    </row>
    <row r="1430" spans="1:10" ht="16.5" hidden="1">
      <c r="A1430" s="4" t="str">
        <v xml:space="preserve"> </v>
      </c>
      <c r="B1430" s="4">
        <v>0</v>
      </c>
      <c r="C1430" s="4">
        <v>0</v>
      </c>
      <c r="D1430" s="4">
        <v>0</v>
      </c>
      <c r="E1430" s="4" t="str">
        <v>0</v>
      </c>
      <c r="F1430" s="102" t="str">
        <f ca="1">IFERROR(__xludf.DUMMYFUNCTION("IMPORTRANGE(H1430,""IDENTITAS UNIT!D9"")"),"#N/A")</f>
        <v>#N/A</v>
      </c>
      <c r="H1430" s="4" t="str">
        <v>0</v>
      </c>
      <c r="I1430" s="4" t="str">
        <v>0</v>
      </c>
      <c r="J1430" s="4">
        <v>0</v>
      </c>
    </row>
    <row r="1431" spans="1:10" ht="16.5" hidden="1">
      <c r="A1431" s="4" t="str">
        <v xml:space="preserve"> </v>
      </c>
      <c r="B1431" s="4">
        <v>0</v>
      </c>
      <c r="C1431" s="4">
        <v>0</v>
      </c>
      <c r="D1431" s="4">
        <v>0</v>
      </c>
      <c r="E1431" s="4" t="str">
        <v>0</v>
      </c>
      <c r="F1431" s="102" t="str">
        <f ca="1">IFERROR(__xludf.DUMMYFUNCTION("IMPORTRANGE(H1431,""IDENTITAS UNIT!D9"")"),"#N/A")</f>
        <v>#N/A</v>
      </c>
      <c r="H1431" s="4" t="str">
        <v>0</v>
      </c>
      <c r="I1431" s="4" t="str">
        <v>0</v>
      </c>
      <c r="J1431" s="4">
        <v>0</v>
      </c>
    </row>
    <row r="1432" spans="1:10" ht="16.5" hidden="1">
      <c r="A1432" s="4" t="str">
        <v xml:space="preserve"> </v>
      </c>
      <c r="B1432" s="4">
        <v>0</v>
      </c>
      <c r="C1432" s="4">
        <v>0</v>
      </c>
      <c r="D1432" s="4">
        <v>0</v>
      </c>
      <c r="E1432" s="4" t="str">
        <v>0</v>
      </c>
      <c r="F1432" s="102" t="str">
        <f ca="1">IFERROR(__xludf.DUMMYFUNCTION("IMPORTRANGE(H1432,""IDENTITAS UNIT!D9"")"),"#N/A")</f>
        <v>#N/A</v>
      </c>
      <c r="H1432" s="4" t="str">
        <v>0</v>
      </c>
      <c r="I1432" s="4" t="str">
        <v>0</v>
      </c>
      <c r="J1432" s="4">
        <v>0</v>
      </c>
    </row>
    <row r="1433" spans="1:10" ht="16.5" hidden="1">
      <c r="A1433" s="4" t="str">
        <v xml:space="preserve"> </v>
      </c>
      <c r="B1433" s="4">
        <v>0</v>
      </c>
      <c r="C1433" s="4">
        <v>0</v>
      </c>
      <c r="D1433" s="4">
        <v>0</v>
      </c>
      <c r="E1433" s="4" t="str">
        <v>0</v>
      </c>
      <c r="F1433" s="102" t="str">
        <f ca="1">IFERROR(__xludf.DUMMYFUNCTION("IMPORTRANGE(H1433,""IDENTITAS UNIT!D9"")"),"#N/A")</f>
        <v>#N/A</v>
      </c>
      <c r="H1433" s="4" t="str">
        <v>0</v>
      </c>
      <c r="I1433" s="4" t="str">
        <v>0</v>
      </c>
      <c r="J1433" s="4">
        <v>0</v>
      </c>
    </row>
    <row r="1434" spans="1:10" ht="16.5" hidden="1">
      <c r="A1434" s="4" t="str">
        <v xml:space="preserve"> </v>
      </c>
      <c r="B1434" s="4">
        <v>0</v>
      </c>
      <c r="C1434" s="4">
        <v>0</v>
      </c>
      <c r="D1434" s="4">
        <v>0</v>
      </c>
      <c r="E1434" s="4" t="str">
        <v>0</v>
      </c>
      <c r="F1434" s="102" t="str">
        <f ca="1">IFERROR(__xludf.DUMMYFUNCTION("IMPORTRANGE(H1434,""IDENTITAS UNIT!D9"")"),"#N/A")</f>
        <v>#N/A</v>
      </c>
      <c r="H1434" s="4" t="str">
        <v>0</v>
      </c>
      <c r="I1434" s="4" t="str">
        <v>0</v>
      </c>
      <c r="J1434" s="4">
        <v>0</v>
      </c>
    </row>
    <row r="1435" spans="1:10" ht="16.5" hidden="1">
      <c r="A1435" s="4" t="str">
        <v xml:space="preserve"> </v>
      </c>
      <c r="B1435" s="4">
        <v>0</v>
      </c>
      <c r="C1435" s="4">
        <v>0</v>
      </c>
      <c r="D1435" s="4">
        <v>0</v>
      </c>
      <c r="E1435" s="4" t="str">
        <v>0</v>
      </c>
      <c r="F1435" s="102" t="str">
        <f ca="1">IFERROR(__xludf.DUMMYFUNCTION("IMPORTRANGE(H1435,""IDENTITAS UNIT!D9"")"),"#N/A")</f>
        <v>#N/A</v>
      </c>
      <c r="H1435" s="4" t="str">
        <v>0</v>
      </c>
      <c r="I1435" s="4" t="str">
        <v>0</v>
      </c>
      <c r="J1435" s="4">
        <v>0</v>
      </c>
    </row>
    <row r="1436" spans="1:10" ht="16.5" hidden="1">
      <c r="A1436" s="4" t="str">
        <v xml:space="preserve"> </v>
      </c>
      <c r="B1436" s="4">
        <v>0</v>
      </c>
      <c r="C1436" s="4">
        <v>0</v>
      </c>
      <c r="D1436" s="4">
        <v>0</v>
      </c>
      <c r="E1436" s="4" t="str">
        <v>0</v>
      </c>
      <c r="F1436" s="102" t="str">
        <f ca="1">IFERROR(__xludf.DUMMYFUNCTION("IMPORTRANGE(H1436,""IDENTITAS UNIT!D9"")"),"#N/A")</f>
        <v>#N/A</v>
      </c>
      <c r="H1436" s="4" t="str">
        <v>0</v>
      </c>
      <c r="I1436" s="4" t="str">
        <v>0</v>
      </c>
      <c r="J1436" s="4">
        <v>0</v>
      </c>
    </row>
    <row r="1437" spans="1:10" ht="16.5" hidden="1">
      <c r="A1437" s="4" t="str">
        <v xml:space="preserve"> </v>
      </c>
      <c r="B1437" s="4">
        <v>0</v>
      </c>
      <c r="C1437" s="4">
        <v>0</v>
      </c>
      <c r="D1437" s="4">
        <v>0</v>
      </c>
      <c r="E1437" s="4" t="str">
        <v>0</v>
      </c>
      <c r="F1437" s="102" t="str">
        <f ca="1">IFERROR(__xludf.DUMMYFUNCTION("IMPORTRANGE(H1437,""IDENTITAS UNIT!D9"")"),"#N/A")</f>
        <v>#N/A</v>
      </c>
      <c r="H1437" s="4" t="str">
        <v>0</v>
      </c>
      <c r="I1437" s="4" t="str">
        <v>0</v>
      </c>
      <c r="J1437" s="4">
        <v>0</v>
      </c>
    </row>
    <row r="1438" spans="1:10" ht="16.5" hidden="1">
      <c r="A1438" s="4" t="str">
        <v xml:space="preserve"> </v>
      </c>
      <c r="B1438" s="4">
        <v>0</v>
      </c>
      <c r="C1438" s="4">
        <v>0</v>
      </c>
      <c r="D1438" s="4">
        <v>0</v>
      </c>
      <c r="E1438" s="4" t="str">
        <v>0</v>
      </c>
      <c r="F1438" s="102" t="str">
        <f ca="1">IFERROR(__xludf.DUMMYFUNCTION("IMPORTRANGE(H1438,""IDENTITAS UNIT!D9"")"),"#N/A")</f>
        <v>#N/A</v>
      </c>
      <c r="H1438" s="4" t="str">
        <v>0</v>
      </c>
      <c r="I1438" s="4" t="str">
        <v>0</v>
      </c>
      <c r="J1438" s="4">
        <v>0</v>
      </c>
    </row>
    <row r="1439" spans="1:10" ht="16.5" hidden="1">
      <c r="A1439" s="4" t="str">
        <v xml:space="preserve"> </v>
      </c>
      <c r="B1439" s="4">
        <v>0</v>
      </c>
      <c r="C1439" s="4">
        <v>0</v>
      </c>
      <c r="D1439" s="4">
        <v>0</v>
      </c>
      <c r="E1439" s="4" t="str">
        <v>0</v>
      </c>
      <c r="F1439" s="102" t="str">
        <f ca="1">IFERROR(__xludf.DUMMYFUNCTION("IMPORTRANGE(H1439,""IDENTITAS UNIT!D9"")"),"#N/A")</f>
        <v>#N/A</v>
      </c>
      <c r="H1439" s="4" t="str">
        <v>0</v>
      </c>
      <c r="I1439" s="4" t="str">
        <v>0</v>
      </c>
      <c r="J1439" s="4">
        <v>0</v>
      </c>
    </row>
    <row r="1440" spans="1:10" ht="16.5" hidden="1">
      <c r="A1440" s="4" t="str">
        <v xml:space="preserve"> </v>
      </c>
      <c r="B1440" s="4">
        <v>0</v>
      </c>
      <c r="C1440" s="4">
        <v>0</v>
      </c>
      <c r="D1440" s="4">
        <v>0</v>
      </c>
      <c r="E1440" s="4" t="str">
        <v>0</v>
      </c>
      <c r="F1440" s="102" t="str">
        <f ca="1">IFERROR(__xludf.DUMMYFUNCTION("IMPORTRANGE(H1440,""IDENTITAS UNIT!D9"")"),"#N/A")</f>
        <v>#N/A</v>
      </c>
      <c r="H1440" s="4" t="str">
        <v>0</v>
      </c>
      <c r="I1440" s="4" t="str">
        <v>0</v>
      </c>
      <c r="J1440" s="4">
        <v>0</v>
      </c>
    </row>
    <row r="1441" spans="1:10" ht="16.5" hidden="1">
      <c r="A1441" s="4" t="str">
        <v xml:space="preserve"> </v>
      </c>
      <c r="B1441" s="4">
        <v>0</v>
      </c>
      <c r="C1441" s="4">
        <v>0</v>
      </c>
      <c r="D1441" s="4">
        <v>0</v>
      </c>
      <c r="E1441" s="4" t="str">
        <v>0</v>
      </c>
      <c r="F1441" s="102" t="str">
        <f ca="1">IFERROR(__xludf.DUMMYFUNCTION("IMPORTRANGE(H1441,""IDENTITAS UNIT!D9"")"),"#N/A")</f>
        <v>#N/A</v>
      </c>
      <c r="H1441" s="4" t="str">
        <v>0</v>
      </c>
      <c r="I1441" s="4" t="str">
        <v>0</v>
      </c>
      <c r="J1441" s="4">
        <v>0</v>
      </c>
    </row>
    <row r="1442" spans="1:10" ht="16.5" hidden="1">
      <c r="A1442" s="4" t="str">
        <v xml:space="preserve"> </v>
      </c>
      <c r="B1442" s="4">
        <v>0</v>
      </c>
      <c r="C1442" s="4">
        <v>0</v>
      </c>
      <c r="D1442" s="4">
        <v>0</v>
      </c>
      <c r="E1442" s="4" t="str">
        <v>0</v>
      </c>
      <c r="F1442" s="102" t="str">
        <f ca="1">IFERROR(__xludf.DUMMYFUNCTION("IMPORTRANGE(H1442,""IDENTITAS UNIT!D9"")"),"#N/A")</f>
        <v>#N/A</v>
      </c>
      <c r="H1442" s="4" t="str">
        <v>0</v>
      </c>
      <c r="I1442" s="4" t="str">
        <v>0</v>
      </c>
      <c r="J1442" s="4">
        <v>0</v>
      </c>
    </row>
    <row r="1443" spans="1:10" ht="16.5" hidden="1">
      <c r="A1443" s="4" t="str">
        <v xml:space="preserve"> </v>
      </c>
      <c r="B1443" s="4">
        <v>0</v>
      </c>
      <c r="C1443" s="4">
        <v>0</v>
      </c>
      <c r="D1443" s="4">
        <v>0</v>
      </c>
      <c r="E1443" s="4" t="str">
        <v>0</v>
      </c>
      <c r="F1443" s="102" t="str">
        <f ca="1">IFERROR(__xludf.DUMMYFUNCTION("IMPORTRANGE(H1443,""IDENTITAS UNIT!D9"")"),"#N/A")</f>
        <v>#N/A</v>
      </c>
      <c r="H1443" s="4" t="str">
        <v>0</v>
      </c>
      <c r="I1443" s="4" t="str">
        <v>0</v>
      </c>
      <c r="J1443" s="4">
        <v>0</v>
      </c>
    </row>
    <row r="1444" spans="1:10" ht="16.5" hidden="1">
      <c r="A1444" s="4" t="str">
        <v xml:space="preserve"> </v>
      </c>
      <c r="B1444" s="4">
        <v>0</v>
      </c>
      <c r="C1444" s="4">
        <v>0</v>
      </c>
      <c r="D1444" s="4">
        <v>0</v>
      </c>
      <c r="E1444" s="4" t="str">
        <v>0</v>
      </c>
      <c r="F1444" s="102" t="str">
        <f ca="1">IFERROR(__xludf.DUMMYFUNCTION("IMPORTRANGE(H1444,""IDENTITAS UNIT!D9"")"),"#N/A")</f>
        <v>#N/A</v>
      </c>
      <c r="H1444" s="4" t="str">
        <v>0</v>
      </c>
      <c r="I1444" s="4" t="str">
        <v>0</v>
      </c>
      <c r="J1444" s="4">
        <v>0</v>
      </c>
    </row>
    <row r="1445" spans="1:10" ht="16.5" hidden="1">
      <c r="A1445" s="4" t="str">
        <v xml:space="preserve"> </v>
      </c>
      <c r="B1445" s="4">
        <v>0</v>
      </c>
      <c r="C1445" s="4">
        <v>0</v>
      </c>
      <c r="D1445" s="4">
        <v>0</v>
      </c>
      <c r="E1445" s="4" t="str">
        <v>0</v>
      </c>
      <c r="F1445" s="102" t="str">
        <f ca="1">IFERROR(__xludf.DUMMYFUNCTION("IMPORTRANGE(H1445,""IDENTITAS UNIT!D9"")"),"#N/A")</f>
        <v>#N/A</v>
      </c>
      <c r="H1445" s="4" t="str">
        <v>0</v>
      </c>
      <c r="I1445" s="4" t="str">
        <v>0</v>
      </c>
      <c r="J1445" s="4">
        <v>0</v>
      </c>
    </row>
    <row r="1446" spans="1:10" ht="16.5" hidden="1">
      <c r="A1446" s="4" t="str">
        <v xml:space="preserve"> </v>
      </c>
      <c r="B1446" s="4">
        <v>0</v>
      </c>
      <c r="C1446" s="4">
        <v>0</v>
      </c>
      <c r="D1446" s="4">
        <v>0</v>
      </c>
      <c r="E1446" s="4" t="str">
        <v>0</v>
      </c>
      <c r="F1446" s="102" t="str">
        <f ca="1">IFERROR(__xludf.DUMMYFUNCTION("IMPORTRANGE(H1446,""IDENTITAS UNIT!D9"")"),"#N/A")</f>
        <v>#N/A</v>
      </c>
      <c r="H1446" s="4" t="str">
        <v>0</v>
      </c>
      <c r="I1446" s="4" t="str">
        <v>0</v>
      </c>
      <c r="J1446" s="4">
        <v>0</v>
      </c>
    </row>
    <row r="1447" spans="1:10" ht="16.5" hidden="1">
      <c r="A1447" s="4" t="str">
        <v xml:space="preserve"> </v>
      </c>
      <c r="B1447" s="4">
        <v>0</v>
      </c>
      <c r="C1447" s="4">
        <v>0</v>
      </c>
      <c r="D1447" s="4">
        <v>0</v>
      </c>
      <c r="E1447" s="4" t="str">
        <v>0</v>
      </c>
      <c r="F1447" s="102" t="str">
        <f ca="1">IFERROR(__xludf.DUMMYFUNCTION("IMPORTRANGE(H1447,""IDENTITAS UNIT!D9"")"),"#N/A")</f>
        <v>#N/A</v>
      </c>
      <c r="H1447" s="4" t="str">
        <v>0</v>
      </c>
      <c r="I1447" s="4" t="str">
        <v>0</v>
      </c>
      <c r="J1447" s="4">
        <v>0</v>
      </c>
    </row>
    <row r="1448" spans="1:10" ht="16.5" hidden="1">
      <c r="A1448" s="4" t="str">
        <v xml:space="preserve"> </v>
      </c>
      <c r="B1448" s="4">
        <v>0</v>
      </c>
      <c r="C1448" s="4">
        <v>0</v>
      </c>
      <c r="D1448" s="4">
        <v>0</v>
      </c>
      <c r="E1448" s="4" t="str">
        <v>0</v>
      </c>
      <c r="F1448" s="102" t="str">
        <f ca="1">IFERROR(__xludf.DUMMYFUNCTION("IMPORTRANGE(H1448,""IDENTITAS UNIT!D9"")"),"#N/A")</f>
        <v>#N/A</v>
      </c>
      <c r="H1448" s="4" t="str">
        <v>0</v>
      </c>
      <c r="I1448" s="4" t="str">
        <v>0</v>
      </c>
      <c r="J1448" s="4">
        <v>0</v>
      </c>
    </row>
    <row r="1449" spans="1:10" ht="16.5" hidden="1">
      <c r="A1449" s="4" t="str">
        <v xml:space="preserve"> </v>
      </c>
      <c r="B1449" s="4">
        <v>0</v>
      </c>
      <c r="C1449" s="4">
        <v>0</v>
      </c>
      <c r="D1449" s="4">
        <v>0</v>
      </c>
      <c r="E1449" s="4" t="str">
        <v>0</v>
      </c>
      <c r="F1449" s="102" t="str">
        <f ca="1">IFERROR(__xludf.DUMMYFUNCTION("IMPORTRANGE(H1449,""IDENTITAS UNIT!D9"")"),"#N/A")</f>
        <v>#N/A</v>
      </c>
      <c r="H1449" s="4" t="str">
        <v>0</v>
      </c>
      <c r="I1449" s="4" t="str">
        <v>0</v>
      </c>
      <c r="J1449" s="4">
        <v>0</v>
      </c>
    </row>
    <row r="1450" spans="1:10" ht="16.5" hidden="1">
      <c r="A1450" s="4" t="str">
        <v xml:space="preserve"> </v>
      </c>
      <c r="B1450" s="4">
        <v>0</v>
      </c>
      <c r="C1450" s="4">
        <v>0</v>
      </c>
      <c r="D1450" s="4">
        <v>0</v>
      </c>
      <c r="E1450" s="4" t="str">
        <v>0</v>
      </c>
      <c r="F1450" s="102" t="str">
        <f ca="1">IFERROR(__xludf.DUMMYFUNCTION("IMPORTRANGE(H1450,""IDENTITAS UNIT!D9"")"),"#N/A")</f>
        <v>#N/A</v>
      </c>
      <c r="H1450" s="4" t="str">
        <v>0</v>
      </c>
      <c r="I1450" s="4" t="str">
        <v>0</v>
      </c>
      <c r="J1450" s="4">
        <v>0</v>
      </c>
    </row>
    <row r="1451" spans="1:10" ht="16.5" hidden="1">
      <c r="A1451" s="4" t="str">
        <v xml:space="preserve"> </v>
      </c>
      <c r="B1451" s="4">
        <v>0</v>
      </c>
      <c r="C1451" s="4">
        <v>0</v>
      </c>
      <c r="D1451" s="4">
        <v>0</v>
      </c>
      <c r="E1451" s="4" t="str">
        <v>0</v>
      </c>
      <c r="F1451" s="102" t="str">
        <f ca="1">IFERROR(__xludf.DUMMYFUNCTION("IMPORTRANGE(H1451,""IDENTITAS UNIT!D9"")"),"#N/A")</f>
        <v>#N/A</v>
      </c>
      <c r="H1451" s="4" t="str">
        <v>0</v>
      </c>
      <c r="I1451" s="4" t="str">
        <v>0</v>
      </c>
      <c r="J1451" s="4">
        <v>0</v>
      </c>
    </row>
    <row r="1452" spans="1:10" ht="16.5" hidden="1">
      <c r="A1452" s="4" t="str">
        <v xml:space="preserve"> </v>
      </c>
      <c r="B1452" s="4">
        <v>0</v>
      </c>
      <c r="C1452" s="4">
        <v>0</v>
      </c>
      <c r="D1452" s="4">
        <v>0</v>
      </c>
      <c r="E1452" s="4" t="str">
        <v>0</v>
      </c>
      <c r="F1452" s="102" t="str">
        <f ca="1">IFERROR(__xludf.DUMMYFUNCTION("IMPORTRANGE(H1452,""IDENTITAS UNIT!D9"")"),"#N/A")</f>
        <v>#N/A</v>
      </c>
      <c r="H1452" s="4" t="str">
        <v>0</v>
      </c>
      <c r="I1452" s="4" t="str">
        <v>0</v>
      </c>
      <c r="J1452" s="4">
        <v>0</v>
      </c>
    </row>
    <row r="1453" spans="1:10" ht="16.5" hidden="1">
      <c r="A1453" s="4" t="str">
        <v xml:space="preserve"> </v>
      </c>
      <c r="B1453" s="4">
        <v>0</v>
      </c>
      <c r="C1453" s="4">
        <v>0</v>
      </c>
      <c r="D1453" s="4">
        <v>0</v>
      </c>
      <c r="E1453" s="4" t="str">
        <v>0</v>
      </c>
      <c r="F1453" s="102" t="str">
        <f ca="1">IFERROR(__xludf.DUMMYFUNCTION("IMPORTRANGE(H1453,""IDENTITAS UNIT!D9"")"),"#N/A")</f>
        <v>#N/A</v>
      </c>
      <c r="H1453" s="4" t="str">
        <v>0</v>
      </c>
      <c r="I1453" s="4" t="str">
        <v>0</v>
      </c>
      <c r="J1453" s="4">
        <v>0</v>
      </c>
    </row>
    <row r="1454" spans="1:10" ht="16.5" hidden="1">
      <c r="A1454" s="4" t="str">
        <v xml:space="preserve"> </v>
      </c>
      <c r="B1454" s="4">
        <v>0</v>
      </c>
      <c r="C1454" s="4">
        <v>0</v>
      </c>
      <c r="D1454" s="4">
        <v>0</v>
      </c>
      <c r="E1454" s="4" t="str">
        <v>0</v>
      </c>
      <c r="F1454" s="102" t="str">
        <f ca="1">IFERROR(__xludf.DUMMYFUNCTION("IMPORTRANGE(H1454,""IDENTITAS UNIT!D9"")"),"#N/A")</f>
        <v>#N/A</v>
      </c>
      <c r="H1454" s="4" t="str">
        <v>0</v>
      </c>
      <c r="I1454" s="4" t="str">
        <v>0</v>
      </c>
      <c r="J1454" s="4">
        <v>0</v>
      </c>
    </row>
    <row r="1455" spans="1:10" ht="16.5" hidden="1">
      <c r="A1455" s="4" t="str">
        <v xml:space="preserve"> </v>
      </c>
      <c r="B1455" s="4">
        <v>0</v>
      </c>
      <c r="C1455" s="4">
        <v>0</v>
      </c>
      <c r="D1455" s="4">
        <v>0</v>
      </c>
      <c r="E1455" s="4" t="str">
        <v>0</v>
      </c>
      <c r="F1455" s="102" t="str">
        <f ca="1">IFERROR(__xludf.DUMMYFUNCTION("IMPORTRANGE(H1455,""IDENTITAS UNIT!D9"")"),"#N/A")</f>
        <v>#N/A</v>
      </c>
      <c r="H1455" s="4" t="str">
        <v>0</v>
      </c>
      <c r="I1455" s="4" t="str">
        <v>0</v>
      </c>
      <c r="J1455" s="4">
        <v>0</v>
      </c>
    </row>
    <row r="1456" spans="1:10" ht="16.5" hidden="1">
      <c r="A1456" s="4" t="str">
        <v xml:space="preserve"> </v>
      </c>
      <c r="B1456" s="4">
        <v>0</v>
      </c>
      <c r="C1456" s="4">
        <v>0</v>
      </c>
      <c r="D1456" s="4">
        <v>0</v>
      </c>
      <c r="E1456" s="4" t="str">
        <v>0</v>
      </c>
      <c r="F1456" s="102" t="str">
        <f ca="1">IFERROR(__xludf.DUMMYFUNCTION("IMPORTRANGE(H1456,""IDENTITAS UNIT!D9"")"),"#N/A")</f>
        <v>#N/A</v>
      </c>
      <c r="H1456" s="4" t="str">
        <v>0</v>
      </c>
      <c r="I1456" s="4" t="str">
        <v>0</v>
      </c>
      <c r="J1456" s="4">
        <v>0</v>
      </c>
    </row>
    <row r="1457" spans="1:10" ht="16.5" hidden="1">
      <c r="A1457" s="4" t="str">
        <v xml:space="preserve"> </v>
      </c>
      <c r="B1457" s="4">
        <v>0</v>
      </c>
      <c r="C1457" s="4">
        <v>0</v>
      </c>
      <c r="D1457" s="4">
        <v>0</v>
      </c>
      <c r="E1457" s="4" t="str">
        <v>0</v>
      </c>
      <c r="F1457" s="102" t="str">
        <f ca="1">IFERROR(__xludf.DUMMYFUNCTION("IMPORTRANGE(H1457,""IDENTITAS UNIT!D9"")"),"#N/A")</f>
        <v>#N/A</v>
      </c>
      <c r="H1457" s="4" t="str">
        <v>0</v>
      </c>
      <c r="I1457" s="4" t="str">
        <v>0</v>
      </c>
      <c r="J1457" s="4">
        <v>0</v>
      </c>
    </row>
    <row r="1458" spans="1:10" ht="16.5" hidden="1">
      <c r="A1458" s="4" t="str">
        <v xml:space="preserve"> </v>
      </c>
      <c r="B1458" s="4">
        <v>0</v>
      </c>
      <c r="C1458" s="4">
        <v>0</v>
      </c>
      <c r="D1458" s="4">
        <v>0</v>
      </c>
      <c r="E1458" s="4" t="str">
        <v>0</v>
      </c>
      <c r="F1458" s="102" t="str">
        <f ca="1">IFERROR(__xludf.DUMMYFUNCTION("IMPORTRANGE(H1458,""IDENTITAS UNIT!D9"")"),"#N/A")</f>
        <v>#N/A</v>
      </c>
      <c r="H1458" s="4" t="str">
        <v>0</v>
      </c>
      <c r="I1458" s="4" t="str">
        <v>0</v>
      </c>
      <c r="J1458" s="4">
        <v>0</v>
      </c>
    </row>
    <row r="1459" spans="1:10" ht="16.5" hidden="1">
      <c r="A1459" s="4" t="str">
        <v xml:space="preserve"> </v>
      </c>
      <c r="B1459" s="4">
        <v>0</v>
      </c>
      <c r="C1459" s="4">
        <v>0</v>
      </c>
      <c r="D1459" s="4">
        <v>0</v>
      </c>
      <c r="E1459" s="4" t="str">
        <v>0</v>
      </c>
      <c r="F1459" s="102" t="str">
        <f ca="1">IFERROR(__xludf.DUMMYFUNCTION("IMPORTRANGE(H1459,""IDENTITAS UNIT!D9"")"),"#N/A")</f>
        <v>#N/A</v>
      </c>
      <c r="H1459" s="4" t="str">
        <v>0</v>
      </c>
      <c r="I1459" s="4" t="str">
        <v>0</v>
      </c>
      <c r="J1459" s="4">
        <v>0</v>
      </c>
    </row>
    <row r="1460" spans="1:10" ht="16.5" hidden="1">
      <c r="A1460" s="4" t="str">
        <v xml:space="preserve"> </v>
      </c>
      <c r="B1460" s="4">
        <v>0</v>
      </c>
      <c r="C1460" s="4">
        <v>0</v>
      </c>
      <c r="D1460" s="4">
        <v>0</v>
      </c>
      <c r="E1460" s="4" t="str">
        <v>0</v>
      </c>
      <c r="F1460" s="102" t="str">
        <f ca="1">IFERROR(__xludf.DUMMYFUNCTION("IMPORTRANGE(H1460,""IDENTITAS UNIT!D9"")"),"#N/A")</f>
        <v>#N/A</v>
      </c>
      <c r="H1460" s="4" t="str">
        <v>0</v>
      </c>
      <c r="I1460" s="4" t="str">
        <v>0</v>
      </c>
      <c r="J1460" s="4">
        <v>0</v>
      </c>
    </row>
    <row r="1461" spans="1:10" ht="16.5" hidden="1">
      <c r="A1461" s="4" t="str">
        <v xml:space="preserve"> </v>
      </c>
      <c r="B1461" s="4">
        <v>0</v>
      </c>
      <c r="C1461" s="4">
        <v>0</v>
      </c>
      <c r="D1461" s="4">
        <v>0</v>
      </c>
      <c r="E1461" s="4" t="str">
        <v>0</v>
      </c>
      <c r="F1461" s="102" t="str">
        <f ca="1">IFERROR(__xludf.DUMMYFUNCTION("IMPORTRANGE(H1461,""IDENTITAS UNIT!D9"")"),"#N/A")</f>
        <v>#N/A</v>
      </c>
      <c r="H1461" s="4" t="str">
        <v>0</v>
      </c>
      <c r="I1461" s="4" t="str">
        <v>0</v>
      </c>
      <c r="J1461" s="4">
        <v>0</v>
      </c>
    </row>
    <row r="1462" spans="1:10" ht="16.5" hidden="1">
      <c r="A1462" s="4" t="str">
        <v xml:space="preserve"> </v>
      </c>
      <c r="B1462" s="4">
        <v>0</v>
      </c>
      <c r="C1462" s="4">
        <v>0</v>
      </c>
      <c r="D1462" s="4">
        <v>0</v>
      </c>
      <c r="E1462" s="4" t="str">
        <v>0</v>
      </c>
      <c r="F1462" s="102" t="str">
        <f ca="1">IFERROR(__xludf.DUMMYFUNCTION("IMPORTRANGE(H1462,""IDENTITAS UNIT!D9"")"),"#N/A")</f>
        <v>#N/A</v>
      </c>
      <c r="H1462" s="4" t="str">
        <v>0</v>
      </c>
      <c r="I1462" s="4" t="str">
        <v>0</v>
      </c>
      <c r="J1462" s="4">
        <v>0</v>
      </c>
    </row>
    <row r="1463" spans="1:10" ht="16.5" hidden="1">
      <c r="A1463" s="4" t="str">
        <v xml:space="preserve"> </v>
      </c>
      <c r="B1463" s="4">
        <v>0</v>
      </c>
      <c r="C1463" s="4">
        <v>0</v>
      </c>
      <c r="D1463" s="4">
        <v>0</v>
      </c>
      <c r="E1463" s="4" t="str">
        <v>0</v>
      </c>
      <c r="F1463" s="102" t="str">
        <f ca="1">IFERROR(__xludf.DUMMYFUNCTION("IMPORTRANGE(H1463,""IDENTITAS UNIT!D9"")"),"#N/A")</f>
        <v>#N/A</v>
      </c>
      <c r="H1463" s="4" t="str">
        <v>0</v>
      </c>
      <c r="I1463" s="4" t="str">
        <v>0</v>
      </c>
      <c r="J1463" s="4">
        <v>0</v>
      </c>
    </row>
    <row r="1464" spans="1:10" ht="16.5" hidden="1">
      <c r="A1464" s="4" t="str">
        <v xml:space="preserve"> </v>
      </c>
      <c r="B1464" s="4">
        <v>0</v>
      </c>
      <c r="C1464" s="4">
        <v>0</v>
      </c>
      <c r="D1464" s="4">
        <v>0</v>
      </c>
      <c r="E1464" s="4" t="str">
        <v>0</v>
      </c>
      <c r="F1464" s="102" t="str">
        <f ca="1">IFERROR(__xludf.DUMMYFUNCTION("IMPORTRANGE(H1464,""IDENTITAS UNIT!D9"")"),"#N/A")</f>
        <v>#N/A</v>
      </c>
      <c r="H1464" s="4" t="str">
        <v>0</v>
      </c>
      <c r="I1464" s="4" t="str">
        <v>0</v>
      </c>
      <c r="J1464" s="4">
        <v>0</v>
      </c>
    </row>
    <row r="1465" spans="1:10" ht="16.5" hidden="1">
      <c r="A1465" s="4" t="str">
        <v xml:space="preserve"> </v>
      </c>
      <c r="B1465" s="4">
        <v>0</v>
      </c>
      <c r="C1465" s="4">
        <v>0</v>
      </c>
      <c r="D1465" s="4">
        <v>0</v>
      </c>
      <c r="E1465" s="4" t="str">
        <v>0</v>
      </c>
      <c r="F1465" s="102" t="str">
        <f ca="1">IFERROR(__xludf.DUMMYFUNCTION("IMPORTRANGE(H1465,""IDENTITAS UNIT!D9"")"),"#N/A")</f>
        <v>#N/A</v>
      </c>
      <c r="H1465" s="4" t="str">
        <v>0</v>
      </c>
      <c r="I1465" s="4" t="str">
        <v>0</v>
      </c>
      <c r="J1465" s="4">
        <v>0</v>
      </c>
    </row>
    <row r="1466" spans="1:10" ht="16.5" hidden="1">
      <c r="A1466" s="4" t="str">
        <v xml:space="preserve"> </v>
      </c>
      <c r="B1466" s="4">
        <v>0</v>
      </c>
      <c r="C1466" s="4">
        <v>0</v>
      </c>
      <c r="D1466" s="4">
        <v>0</v>
      </c>
      <c r="E1466" s="4" t="str">
        <v>0</v>
      </c>
      <c r="F1466" s="102" t="str">
        <f ca="1">IFERROR(__xludf.DUMMYFUNCTION("IMPORTRANGE(H1466,""IDENTITAS UNIT!D9"")"),"#N/A")</f>
        <v>#N/A</v>
      </c>
      <c r="H1466" s="4" t="str">
        <v>0</v>
      </c>
      <c r="I1466" s="4" t="str">
        <v>0</v>
      </c>
      <c r="J1466" s="4">
        <v>0</v>
      </c>
    </row>
    <row r="1467" spans="1:10" ht="16.5" hidden="1">
      <c r="A1467" s="4" t="str">
        <v xml:space="preserve"> </v>
      </c>
      <c r="B1467" s="4">
        <v>0</v>
      </c>
      <c r="C1467" s="4">
        <v>0</v>
      </c>
      <c r="D1467" s="4">
        <v>0</v>
      </c>
      <c r="E1467" s="4" t="str">
        <v>0</v>
      </c>
      <c r="F1467" s="102" t="str">
        <f ca="1">IFERROR(__xludf.DUMMYFUNCTION("IMPORTRANGE(H1467,""IDENTITAS UNIT!D9"")"),"#N/A")</f>
        <v>#N/A</v>
      </c>
      <c r="H1467" s="4" t="str">
        <v>0</v>
      </c>
      <c r="I1467" s="4" t="str">
        <v>0</v>
      </c>
      <c r="J1467" s="4">
        <v>0</v>
      </c>
    </row>
    <row r="1468" spans="1:10" ht="16.5" hidden="1">
      <c r="A1468" s="4" t="str">
        <v xml:space="preserve"> </v>
      </c>
      <c r="B1468" s="4">
        <v>0</v>
      </c>
      <c r="C1468" s="4">
        <v>0</v>
      </c>
      <c r="D1468" s="4">
        <v>0</v>
      </c>
      <c r="E1468" s="4" t="str">
        <v>0</v>
      </c>
      <c r="F1468" s="102" t="str">
        <f ca="1">IFERROR(__xludf.DUMMYFUNCTION("IMPORTRANGE(H1468,""IDENTITAS UNIT!D9"")"),"#N/A")</f>
        <v>#N/A</v>
      </c>
      <c r="H1468" s="4" t="str">
        <v>0</v>
      </c>
      <c r="I1468" s="4" t="str">
        <v>0</v>
      </c>
      <c r="J1468" s="4">
        <v>0</v>
      </c>
    </row>
    <row r="1469" spans="1:10" ht="16.5" hidden="1">
      <c r="A1469" s="4" t="str">
        <v xml:space="preserve"> </v>
      </c>
      <c r="B1469" s="4">
        <v>0</v>
      </c>
      <c r="C1469" s="4">
        <v>0</v>
      </c>
      <c r="D1469" s="4">
        <v>0</v>
      </c>
      <c r="E1469" s="4" t="str">
        <v>0</v>
      </c>
      <c r="F1469" s="102" t="str">
        <f ca="1">IFERROR(__xludf.DUMMYFUNCTION("IMPORTRANGE(H1469,""IDENTITAS UNIT!D9"")"),"#N/A")</f>
        <v>#N/A</v>
      </c>
      <c r="H1469" s="4" t="str">
        <v>0</v>
      </c>
      <c r="I1469" s="4" t="str">
        <v>0</v>
      </c>
      <c r="J1469" s="4">
        <v>0</v>
      </c>
    </row>
    <row r="1470" spans="1:10" ht="16.5" hidden="1">
      <c r="A1470" s="4" t="str">
        <v xml:space="preserve"> </v>
      </c>
      <c r="B1470" s="4">
        <v>0</v>
      </c>
      <c r="C1470" s="4">
        <v>0</v>
      </c>
      <c r="D1470" s="4">
        <v>0</v>
      </c>
      <c r="E1470" s="4" t="str">
        <v>0</v>
      </c>
      <c r="F1470" s="102" t="str">
        <f ca="1">IFERROR(__xludf.DUMMYFUNCTION("IMPORTRANGE(H1470,""IDENTITAS UNIT!D9"")"),"#N/A")</f>
        <v>#N/A</v>
      </c>
      <c r="H1470" s="4" t="str">
        <v>0</v>
      </c>
      <c r="I1470" s="4" t="str">
        <v>0</v>
      </c>
      <c r="J1470" s="4">
        <v>0</v>
      </c>
    </row>
    <row r="1471" spans="1:10" ht="16.5" hidden="1">
      <c r="A1471" s="4" t="str">
        <v xml:space="preserve"> </v>
      </c>
      <c r="B1471" s="4">
        <v>0</v>
      </c>
      <c r="C1471" s="4">
        <v>0</v>
      </c>
      <c r="D1471" s="4">
        <v>0</v>
      </c>
      <c r="E1471" s="4" t="str">
        <v>0</v>
      </c>
      <c r="F1471" s="102" t="str">
        <f ca="1">IFERROR(__xludf.DUMMYFUNCTION("IMPORTRANGE(H1471,""IDENTITAS UNIT!D9"")"),"#N/A")</f>
        <v>#N/A</v>
      </c>
      <c r="H1471" s="4" t="str">
        <v>0</v>
      </c>
      <c r="I1471" s="4" t="str">
        <v>0</v>
      </c>
      <c r="J1471" s="4">
        <v>0</v>
      </c>
    </row>
    <row r="1472" spans="1:10" ht="16.5" hidden="1">
      <c r="A1472" s="4" t="str">
        <v xml:space="preserve"> </v>
      </c>
      <c r="B1472" s="4">
        <v>0</v>
      </c>
      <c r="C1472" s="4">
        <v>0</v>
      </c>
      <c r="D1472" s="4">
        <v>0</v>
      </c>
      <c r="E1472" s="4" t="str">
        <v>0</v>
      </c>
      <c r="F1472" s="102" t="str">
        <f ca="1">IFERROR(__xludf.DUMMYFUNCTION("IMPORTRANGE(H1472,""IDENTITAS UNIT!D9"")"),"#N/A")</f>
        <v>#N/A</v>
      </c>
      <c r="H1472" s="4" t="str">
        <v>0</v>
      </c>
      <c r="I1472" s="4" t="str">
        <v>0</v>
      </c>
      <c r="J1472" s="4">
        <v>0</v>
      </c>
    </row>
    <row r="1473" spans="1:10" ht="16.5" hidden="1">
      <c r="A1473" s="4" t="str">
        <v xml:space="preserve"> </v>
      </c>
      <c r="B1473" s="4">
        <v>0</v>
      </c>
      <c r="C1473" s="4">
        <v>0</v>
      </c>
      <c r="D1473" s="4">
        <v>0</v>
      </c>
      <c r="E1473" s="4" t="str">
        <v>0</v>
      </c>
      <c r="F1473" s="102" t="str">
        <f ca="1">IFERROR(__xludf.DUMMYFUNCTION("IMPORTRANGE(H1473,""IDENTITAS UNIT!D9"")"),"#N/A")</f>
        <v>#N/A</v>
      </c>
      <c r="H1473" s="4" t="str">
        <v>0</v>
      </c>
      <c r="I1473" s="4" t="str">
        <v>0</v>
      </c>
      <c r="J1473" s="4">
        <v>0</v>
      </c>
    </row>
    <row r="1474" spans="1:10" ht="16.5" hidden="1">
      <c r="A1474" s="4" t="str">
        <v xml:space="preserve"> </v>
      </c>
      <c r="B1474" s="4">
        <v>0</v>
      </c>
      <c r="C1474" s="4">
        <v>0</v>
      </c>
      <c r="D1474" s="4">
        <v>0</v>
      </c>
      <c r="E1474" s="4" t="str">
        <v>0</v>
      </c>
      <c r="F1474" s="102" t="str">
        <f ca="1">IFERROR(__xludf.DUMMYFUNCTION("IMPORTRANGE(H1474,""IDENTITAS UNIT!D9"")"),"#N/A")</f>
        <v>#N/A</v>
      </c>
      <c r="H1474" s="4" t="str">
        <v>0</v>
      </c>
      <c r="I1474" s="4" t="str">
        <v>0</v>
      </c>
      <c r="J1474" s="4">
        <v>0</v>
      </c>
    </row>
    <row r="1475" spans="1:10" ht="16.5" hidden="1">
      <c r="A1475" s="4" t="str">
        <v xml:space="preserve"> </v>
      </c>
      <c r="B1475" s="4">
        <v>0</v>
      </c>
      <c r="C1475" s="4">
        <v>0</v>
      </c>
      <c r="D1475" s="4">
        <v>0</v>
      </c>
      <c r="E1475" s="4" t="str">
        <v>0</v>
      </c>
      <c r="F1475" s="102" t="str">
        <f ca="1">IFERROR(__xludf.DUMMYFUNCTION("IMPORTRANGE(H1475,""IDENTITAS UNIT!D9"")"),"#N/A")</f>
        <v>#N/A</v>
      </c>
      <c r="H1475" s="4" t="str">
        <v>0</v>
      </c>
      <c r="I1475" s="4" t="str">
        <v>0</v>
      </c>
      <c r="J1475" s="4">
        <v>0</v>
      </c>
    </row>
    <row r="1476" spans="1:10" ht="16.5" hidden="1">
      <c r="A1476" s="4" t="str">
        <v xml:space="preserve"> </v>
      </c>
      <c r="B1476" s="4">
        <v>0</v>
      </c>
      <c r="C1476" s="4">
        <v>0</v>
      </c>
      <c r="D1476" s="4">
        <v>0</v>
      </c>
      <c r="E1476" s="4" t="str">
        <v>0</v>
      </c>
      <c r="F1476" s="102" t="str">
        <f ca="1">IFERROR(__xludf.DUMMYFUNCTION("IMPORTRANGE(H1476,""IDENTITAS UNIT!D9"")"),"#N/A")</f>
        <v>#N/A</v>
      </c>
      <c r="H1476" s="4" t="str">
        <v>0</v>
      </c>
      <c r="I1476" s="4" t="str">
        <v>0</v>
      </c>
      <c r="J1476" s="4">
        <v>0</v>
      </c>
    </row>
    <row r="1477" spans="1:10" ht="16.5" hidden="1">
      <c r="A1477" s="4" t="str">
        <v xml:space="preserve"> </v>
      </c>
      <c r="B1477" s="4">
        <v>0</v>
      </c>
      <c r="C1477" s="4">
        <v>0</v>
      </c>
      <c r="D1477" s="4">
        <v>0</v>
      </c>
      <c r="E1477" s="4" t="str">
        <v>0</v>
      </c>
      <c r="F1477" s="102" t="str">
        <f ca="1">IFERROR(__xludf.DUMMYFUNCTION("IMPORTRANGE(H1477,""IDENTITAS UNIT!D9"")"),"#N/A")</f>
        <v>#N/A</v>
      </c>
      <c r="H1477" s="4" t="str">
        <v>0</v>
      </c>
      <c r="I1477" s="4" t="str">
        <v>0</v>
      </c>
      <c r="J1477" s="4">
        <v>0</v>
      </c>
    </row>
    <row r="1478" spans="1:10" ht="16.5" hidden="1">
      <c r="A1478" s="4" t="str">
        <v xml:space="preserve"> </v>
      </c>
      <c r="B1478" s="4">
        <v>0</v>
      </c>
      <c r="C1478" s="4">
        <v>0</v>
      </c>
      <c r="D1478" s="4">
        <v>0</v>
      </c>
      <c r="E1478" s="4" t="str">
        <v>0</v>
      </c>
      <c r="F1478" s="102" t="str">
        <f ca="1">IFERROR(__xludf.DUMMYFUNCTION("IMPORTRANGE(H1478,""IDENTITAS UNIT!D9"")"),"#N/A")</f>
        <v>#N/A</v>
      </c>
      <c r="H1478" s="4" t="str">
        <v>0</v>
      </c>
      <c r="I1478" s="4" t="str">
        <v>0</v>
      </c>
      <c r="J1478" s="4">
        <v>0</v>
      </c>
    </row>
    <row r="1479" spans="1:10" ht="16.5" hidden="1">
      <c r="A1479" s="4" t="str">
        <v xml:space="preserve"> </v>
      </c>
      <c r="B1479" s="4">
        <v>0</v>
      </c>
      <c r="C1479" s="4">
        <v>0</v>
      </c>
      <c r="D1479" s="4">
        <v>0</v>
      </c>
      <c r="E1479" s="4" t="str">
        <v>0</v>
      </c>
      <c r="F1479" s="102" t="str">
        <f ca="1">IFERROR(__xludf.DUMMYFUNCTION("IMPORTRANGE(H1479,""IDENTITAS UNIT!D9"")"),"#N/A")</f>
        <v>#N/A</v>
      </c>
      <c r="H1479" s="4" t="str">
        <v>0</v>
      </c>
      <c r="I1479" s="4" t="str">
        <v>0</v>
      </c>
      <c r="J1479" s="4">
        <v>0</v>
      </c>
    </row>
    <row r="1480" spans="1:10" ht="16.5" hidden="1">
      <c r="A1480" s="4" t="str">
        <v xml:space="preserve"> </v>
      </c>
      <c r="B1480" s="4">
        <v>0</v>
      </c>
      <c r="C1480" s="4">
        <v>0</v>
      </c>
      <c r="D1480" s="4">
        <v>0</v>
      </c>
      <c r="E1480" s="4" t="str">
        <v>0</v>
      </c>
      <c r="F1480" s="102" t="str">
        <f ca="1">IFERROR(__xludf.DUMMYFUNCTION("IMPORTRANGE(H1480,""IDENTITAS UNIT!D9"")"),"#N/A")</f>
        <v>#N/A</v>
      </c>
      <c r="H1480" s="4" t="str">
        <v>0</v>
      </c>
      <c r="I1480" s="4" t="str">
        <v>0</v>
      </c>
      <c r="J1480" s="4">
        <v>0</v>
      </c>
    </row>
    <row r="1481" spans="1:10" ht="16.5" hidden="1">
      <c r="A1481" s="4" t="str">
        <v xml:space="preserve"> </v>
      </c>
      <c r="B1481" s="4">
        <v>0</v>
      </c>
      <c r="C1481" s="4">
        <v>0</v>
      </c>
      <c r="D1481" s="4">
        <v>0</v>
      </c>
      <c r="E1481" s="4" t="str">
        <v>0</v>
      </c>
      <c r="F1481" s="102" t="str">
        <f ca="1">IFERROR(__xludf.DUMMYFUNCTION("IMPORTRANGE(H1481,""IDENTITAS UNIT!D9"")"),"#N/A")</f>
        <v>#N/A</v>
      </c>
      <c r="H1481" s="4" t="str">
        <v>0</v>
      </c>
      <c r="I1481" s="4" t="str">
        <v>0</v>
      </c>
      <c r="J1481" s="4">
        <v>0</v>
      </c>
    </row>
    <row r="1482" spans="1:10" ht="16.5" hidden="1">
      <c r="A1482" s="4" t="str">
        <v xml:space="preserve"> </v>
      </c>
      <c r="B1482" s="4">
        <v>0</v>
      </c>
      <c r="C1482" s="4">
        <v>0</v>
      </c>
      <c r="D1482" s="4">
        <v>0</v>
      </c>
      <c r="E1482" s="4" t="str">
        <v>0</v>
      </c>
      <c r="F1482" s="102" t="str">
        <f ca="1">IFERROR(__xludf.DUMMYFUNCTION("IMPORTRANGE(H1482,""IDENTITAS UNIT!D9"")"),"#N/A")</f>
        <v>#N/A</v>
      </c>
      <c r="H1482" s="4" t="str">
        <v>0</v>
      </c>
      <c r="I1482" s="4" t="str">
        <v>0</v>
      </c>
      <c r="J1482" s="4">
        <v>0</v>
      </c>
    </row>
    <row r="1483" spans="1:10" ht="16.5" hidden="1">
      <c r="A1483" s="4" t="str">
        <v xml:space="preserve"> </v>
      </c>
      <c r="B1483" s="4">
        <v>0</v>
      </c>
      <c r="C1483" s="4">
        <v>0</v>
      </c>
      <c r="D1483" s="4">
        <v>0</v>
      </c>
      <c r="E1483" s="4" t="str">
        <v>0</v>
      </c>
      <c r="F1483" s="102" t="str">
        <f ca="1">IFERROR(__xludf.DUMMYFUNCTION("IMPORTRANGE(H1483,""IDENTITAS UNIT!D9"")"),"#N/A")</f>
        <v>#N/A</v>
      </c>
      <c r="H1483" s="4" t="str">
        <v>0</v>
      </c>
      <c r="I1483" s="4" t="str">
        <v>0</v>
      </c>
      <c r="J1483" s="4">
        <v>0</v>
      </c>
    </row>
    <row r="1484" spans="1:10" ht="16.5" hidden="1">
      <c r="A1484" s="4" t="str">
        <v xml:space="preserve"> </v>
      </c>
      <c r="B1484" s="4">
        <v>0</v>
      </c>
      <c r="C1484" s="4">
        <v>0</v>
      </c>
      <c r="D1484" s="4">
        <v>0</v>
      </c>
      <c r="E1484" s="4" t="str">
        <v>0</v>
      </c>
      <c r="F1484" s="102" t="str">
        <f ca="1">IFERROR(__xludf.DUMMYFUNCTION("IMPORTRANGE(H1484,""IDENTITAS UNIT!D9"")"),"#N/A")</f>
        <v>#N/A</v>
      </c>
      <c r="H1484" s="4" t="str">
        <v>0</v>
      </c>
      <c r="I1484" s="4" t="str">
        <v>0</v>
      </c>
      <c r="J1484" s="4">
        <v>0</v>
      </c>
    </row>
    <row r="1485" spans="1:10" ht="16.5" hidden="1">
      <c r="A1485" s="4" t="str">
        <v xml:space="preserve"> </v>
      </c>
      <c r="B1485" s="4">
        <v>0</v>
      </c>
      <c r="C1485" s="4">
        <v>0</v>
      </c>
      <c r="D1485" s="4">
        <v>0</v>
      </c>
      <c r="E1485" s="4" t="str">
        <v>0</v>
      </c>
      <c r="F1485" s="102" t="str">
        <f ca="1">IFERROR(__xludf.DUMMYFUNCTION("IMPORTRANGE(H1485,""IDENTITAS UNIT!D9"")"),"#N/A")</f>
        <v>#N/A</v>
      </c>
      <c r="H1485" s="4" t="str">
        <v>0</v>
      </c>
      <c r="I1485" s="4" t="str">
        <v>0</v>
      </c>
      <c r="J1485" s="4">
        <v>0</v>
      </c>
    </row>
    <row r="1486" spans="1:10" ht="16.5" hidden="1">
      <c r="A1486" s="4" t="str">
        <v xml:space="preserve"> </v>
      </c>
      <c r="B1486" s="4">
        <v>0</v>
      </c>
      <c r="C1486" s="4">
        <v>0</v>
      </c>
      <c r="D1486" s="4">
        <v>0</v>
      </c>
      <c r="E1486" s="4" t="str">
        <v>0</v>
      </c>
      <c r="F1486" s="102" t="str">
        <f ca="1">IFERROR(__xludf.DUMMYFUNCTION("IMPORTRANGE(H1486,""IDENTITAS UNIT!D9"")"),"#N/A")</f>
        <v>#N/A</v>
      </c>
      <c r="H1486" s="4" t="str">
        <v>0</v>
      </c>
      <c r="I1486" s="4" t="str">
        <v>0</v>
      </c>
      <c r="J1486" s="4">
        <v>0</v>
      </c>
    </row>
    <row r="1487" spans="1:10" ht="16.5" hidden="1">
      <c r="A1487" s="4" t="str">
        <v xml:space="preserve"> </v>
      </c>
      <c r="B1487" s="4">
        <v>0</v>
      </c>
      <c r="C1487" s="4">
        <v>0</v>
      </c>
      <c r="D1487" s="4">
        <v>0</v>
      </c>
      <c r="E1487" s="4" t="str">
        <v>0</v>
      </c>
      <c r="F1487" s="102" t="str">
        <f ca="1">IFERROR(__xludf.DUMMYFUNCTION("IMPORTRANGE(H1487,""IDENTITAS UNIT!D9"")"),"#N/A")</f>
        <v>#N/A</v>
      </c>
      <c r="H1487" s="4" t="str">
        <v>0</v>
      </c>
      <c r="I1487" s="4" t="str">
        <v>0</v>
      </c>
      <c r="J1487" s="4">
        <v>0</v>
      </c>
    </row>
    <row r="1488" spans="1:10" ht="16.5" hidden="1">
      <c r="A1488" s="4" t="str">
        <v xml:space="preserve"> </v>
      </c>
      <c r="B1488" s="4">
        <v>0</v>
      </c>
      <c r="C1488" s="4">
        <v>0</v>
      </c>
      <c r="D1488" s="4">
        <v>0</v>
      </c>
      <c r="E1488" s="4" t="str">
        <v>0</v>
      </c>
      <c r="F1488" s="102" t="str">
        <f ca="1">IFERROR(__xludf.DUMMYFUNCTION("IMPORTRANGE(H1488,""IDENTITAS UNIT!D9"")"),"#N/A")</f>
        <v>#N/A</v>
      </c>
      <c r="H1488" s="4" t="str">
        <v>0</v>
      </c>
      <c r="I1488" s="4" t="str">
        <v>0</v>
      </c>
      <c r="J1488" s="4">
        <v>0</v>
      </c>
    </row>
    <row r="1489" spans="1:10" ht="16.5" hidden="1">
      <c r="A1489" s="4" t="str">
        <v xml:space="preserve"> </v>
      </c>
      <c r="B1489" s="4">
        <v>0</v>
      </c>
      <c r="C1489" s="4">
        <v>0</v>
      </c>
      <c r="D1489" s="4">
        <v>0</v>
      </c>
      <c r="E1489" s="4" t="str">
        <v>0</v>
      </c>
      <c r="F1489" s="102" t="str">
        <f ca="1">IFERROR(__xludf.DUMMYFUNCTION("IMPORTRANGE(H1489,""IDENTITAS UNIT!D9"")"),"#N/A")</f>
        <v>#N/A</v>
      </c>
      <c r="H1489" s="4" t="str">
        <v>0</v>
      </c>
      <c r="I1489" s="4" t="str">
        <v>0</v>
      </c>
      <c r="J1489" s="4">
        <v>0</v>
      </c>
    </row>
    <row r="1490" spans="1:10" ht="16.5" hidden="1">
      <c r="A1490" s="4" t="str">
        <v xml:space="preserve"> </v>
      </c>
      <c r="B1490" s="4">
        <v>0</v>
      </c>
      <c r="C1490" s="4">
        <v>0</v>
      </c>
      <c r="D1490" s="4">
        <v>0</v>
      </c>
      <c r="E1490" s="4" t="str">
        <v>0</v>
      </c>
      <c r="F1490" s="102" t="str">
        <f ca="1">IFERROR(__xludf.DUMMYFUNCTION("IMPORTRANGE(H1490,""IDENTITAS UNIT!D9"")"),"#N/A")</f>
        <v>#N/A</v>
      </c>
      <c r="H1490" s="4" t="str">
        <v>0</v>
      </c>
      <c r="I1490" s="4" t="str">
        <v>0</v>
      </c>
      <c r="J1490" s="4">
        <v>0</v>
      </c>
    </row>
    <row r="1491" spans="1:10" ht="16.5" hidden="1">
      <c r="A1491" s="4" t="str">
        <v xml:space="preserve"> </v>
      </c>
      <c r="B1491" s="4">
        <v>0</v>
      </c>
      <c r="C1491" s="4">
        <v>0</v>
      </c>
      <c r="D1491" s="4">
        <v>0</v>
      </c>
      <c r="E1491" s="4" t="str">
        <v>0</v>
      </c>
      <c r="F1491" s="102" t="str">
        <f ca="1">IFERROR(__xludf.DUMMYFUNCTION("IMPORTRANGE(H1491,""IDENTITAS UNIT!D9"")"),"#N/A")</f>
        <v>#N/A</v>
      </c>
      <c r="H1491" s="4" t="str">
        <v>0</v>
      </c>
      <c r="I1491" s="4" t="str">
        <v>0</v>
      </c>
      <c r="J1491" s="4">
        <v>0</v>
      </c>
    </row>
    <row r="1492" spans="1:10" ht="16.5" hidden="1">
      <c r="A1492" s="4" t="str">
        <v xml:space="preserve"> </v>
      </c>
      <c r="B1492" s="4">
        <v>0</v>
      </c>
      <c r="C1492" s="4">
        <v>0</v>
      </c>
      <c r="D1492" s="4">
        <v>0</v>
      </c>
      <c r="E1492" s="4" t="str">
        <v>0</v>
      </c>
      <c r="F1492" s="102" t="str">
        <f ca="1">IFERROR(__xludf.DUMMYFUNCTION("IMPORTRANGE(H1492,""IDENTITAS UNIT!D9"")"),"#N/A")</f>
        <v>#N/A</v>
      </c>
      <c r="H1492" s="4" t="str">
        <v>0</v>
      </c>
      <c r="I1492" s="4" t="str">
        <v>0</v>
      </c>
      <c r="J1492" s="4">
        <v>0</v>
      </c>
    </row>
    <row r="1493" spans="1:10" ht="16.5" hidden="1">
      <c r="A1493" s="4" t="str">
        <v xml:space="preserve"> </v>
      </c>
      <c r="B1493" s="4">
        <v>0</v>
      </c>
      <c r="C1493" s="4">
        <v>0</v>
      </c>
      <c r="D1493" s="4">
        <v>0</v>
      </c>
      <c r="E1493" s="4" t="str">
        <v>0</v>
      </c>
      <c r="F1493" s="102" t="str">
        <f ca="1">IFERROR(__xludf.DUMMYFUNCTION("IMPORTRANGE(H1493,""IDENTITAS UNIT!D9"")"),"#N/A")</f>
        <v>#N/A</v>
      </c>
      <c r="H1493" s="4" t="str">
        <v>0</v>
      </c>
      <c r="I1493" s="4" t="str">
        <v>0</v>
      </c>
      <c r="J1493" s="4">
        <v>0</v>
      </c>
    </row>
    <row r="1494" spans="1:10" ht="16.5" hidden="1">
      <c r="A1494" s="4" t="str">
        <v xml:space="preserve"> </v>
      </c>
      <c r="B1494" s="4">
        <v>0</v>
      </c>
      <c r="C1494" s="4">
        <v>0</v>
      </c>
      <c r="D1494" s="4">
        <v>0</v>
      </c>
      <c r="E1494" s="4" t="str">
        <v>0</v>
      </c>
      <c r="F1494" s="102" t="str">
        <f ca="1">IFERROR(__xludf.DUMMYFUNCTION("IMPORTRANGE(H1494,""IDENTITAS UNIT!D9"")"),"#N/A")</f>
        <v>#N/A</v>
      </c>
      <c r="H1494" s="4" t="str">
        <v>0</v>
      </c>
      <c r="I1494" s="4" t="str">
        <v>0</v>
      </c>
      <c r="J1494" s="4">
        <v>0</v>
      </c>
    </row>
    <row r="1495" spans="1:10" ht="16.5" hidden="1">
      <c r="A1495" s="4" t="str">
        <v xml:space="preserve"> </v>
      </c>
      <c r="B1495" s="4">
        <v>0</v>
      </c>
      <c r="C1495" s="4">
        <v>0</v>
      </c>
      <c r="D1495" s="4">
        <v>0</v>
      </c>
      <c r="E1495" s="4" t="str">
        <v>0</v>
      </c>
      <c r="F1495" s="102" t="str">
        <f ca="1">IFERROR(__xludf.DUMMYFUNCTION("IMPORTRANGE(H1495,""IDENTITAS UNIT!D9"")"),"#N/A")</f>
        <v>#N/A</v>
      </c>
      <c r="H1495" s="4" t="str">
        <v>0</v>
      </c>
      <c r="I1495" s="4" t="str">
        <v>0</v>
      </c>
      <c r="J1495" s="4">
        <v>0</v>
      </c>
    </row>
    <row r="1496" spans="1:10" ht="16.5" hidden="1">
      <c r="A1496" s="4" t="str">
        <v xml:space="preserve"> </v>
      </c>
      <c r="B1496" s="4">
        <v>0</v>
      </c>
      <c r="C1496" s="4">
        <v>0</v>
      </c>
      <c r="D1496" s="4">
        <v>0</v>
      </c>
      <c r="E1496" s="4" t="str">
        <v>0</v>
      </c>
      <c r="F1496" s="102" t="str">
        <f ca="1">IFERROR(__xludf.DUMMYFUNCTION("IMPORTRANGE(H1496,""IDENTITAS UNIT!D9"")"),"#N/A")</f>
        <v>#N/A</v>
      </c>
      <c r="H1496" s="4" t="str">
        <v>0</v>
      </c>
      <c r="I1496" s="4" t="str">
        <v>0</v>
      </c>
      <c r="J1496" s="4">
        <v>0</v>
      </c>
    </row>
    <row r="1497" spans="1:10" ht="16.5" hidden="1">
      <c r="A1497" s="4" t="str">
        <v xml:space="preserve"> </v>
      </c>
      <c r="B1497" s="4">
        <v>0</v>
      </c>
      <c r="C1497" s="4">
        <v>0</v>
      </c>
      <c r="D1497" s="4">
        <v>0</v>
      </c>
      <c r="E1497" s="4" t="str">
        <v>0</v>
      </c>
      <c r="F1497" s="102" t="str">
        <f ca="1">IFERROR(__xludf.DUMMYFUNCTION("IMPORTRANGE(H1497,""IDENTITAS UNIT!D9"")"),"#N/A")</f>
        <v>#N/A</v>
      </c>
      <c r="H1497" s="4" t="str">
        <v>0</v>
      </c>
      <c r="I1497" s="4" t="str">
        <v>0</v>
      </c>
      <c r="J1497" s="4">
        <v>0</v>
      </c>
    </row>
    <row r="1498" spans="1:10" ht="16.5" hidden="1">
      <c r="A1498" s="4" t="str">
        <v xml:space="preserve"> </v>
      </c>
      <c r="B1498" s="4">
        <v>0</v>
      </c>
      <c r="C1498" s="4">
        <v>0</v>
      </c>
      <c r="D1498" s="4">
        <v>0</v>
      </c>
      <c r="E1498" s="4" t="str">
        <v>0</v>
      </c>
      <c r="F1498" s="102" t="str">
        <f ca="1">IFERROR(__xludf.DUMMYFUNCTION("IMPORTRANGE(H1498,""IDENTITAS UNIT!D9"")"),"#N/A")</f>
        <v>#N/A</v>
      </c>
      <c r="H1498" s="4" t="str">
        <v>0</v>
      </c>
      <c r="I1498" s="4" t="str">
        <v>0</v>
      </c>
      <c r="J1498" s="4">
        <v>0</v>
      </c>
    </row>
    <row r="1499" spans="1:10" ht="16.5" hidden="1">
      <c r="A1499" s="4" t="str">
        <v xml:space="preserve"> </v>
      </c>
      <c r="B1499" s="4">
        <v>0</v>
      </c>
      <c r="C1499" s="4">
        <v>0</v>
      </c>
      <c r="D1499" s="4">
        <v>0</v>
      </c>
      <c r="E1499" s="4" t="str">
        <v>0</v>
      </c>
      <c r="F1499" s="102" t="str">
        <f ca="1">IFERROR(__xludf.DUMMYFUNCTION("IMPORTRANGE(H1499,""IDENTITAS UNIT!D9"")"),"#N/A")</f>
        <v>#N/A</v>
      </c>
      <c r="H1499" s="4" t="str">
        <v>0</v>
      </c>
      <c r="I1499" s="4" t="str">
        <v>0</v>
      </c>
      <c r="J1499" s="4">
        <v>0</v>
      </c>
    </row>
    <row r="1500" spans="1:10" ht="16.5" hidden="1">
      <c r="A1500" s="4" t="str">
        <v xml:space="preserve"> </v>
      </c>
      <c r="B1500" s="4">
        <v>0</v>
      </c>
      <c r="C1500" s="4">
        <v>0</v>
      </c>
      <c r="D1500" s="4">
        <v>0</v>
      </c>
      <c r="E1500" s="4" t="str">
        <v>0</v>
      </c>
      <c r="F1500" s="102" t="str">
        <f ca="1">IFERROR(__xludf.DUMMYFUNCTION("IMPORTRANGE(H1500,""IDENTITAS UNIT!D9"")"),"#N/A")</f>
        <v>#N/A</v>
      </c>
      <c r="H1500" s="4" t="str">
        <v>0</v>
      </c>
      <c r="I1500" s="4" t="str">
        <v>0</v>
      </c>
      <c r="J1500" s="4">
        <v>0</v>
      </c>
    </row>
    <row r="1501" spans="1:10" ht="16.5" hidden="1">
      <c r="A1501" s="4" t="str">
        <v xml:space="preserve"> </v>
      </c>
      <c r="B1501" s="4">
        <v>0</v>
      </c>
      <c r="C1501" s="4">
        <v>0</v>
      </c>
      <c r="D1501" s="4">
        <v>0</v>
      </c>
      <c r="E1501" s="4" t="str">
        <v>0</v>
      </c>
      <c r="F1501" s="102" t="str">
        <f ca="1">IFERROR(__xludf.DUMMYFUNCTION("IMPORTRANGE(H1501,""IDENTITAS UNIT!D9"")"),"#N/A")</f>
        <v>#N/A</v>
      </c>
      <c r="H1501" s="4" t="str">
        <v>0</v>
      </c>
      <c r="I1501" s="4" t="str">
        <v>0</v>
      </c>
      <c r="J1501" s="4">
        <v>0</v>
      </c>
    </row>
    <row r="1502" spans="1:10" ht="16.5" hidden="1">
      <c r="A1502" s="4" t="str">
        <v xml:space="preserve"> </v>
      </c>
      <c r="B1502" s="4">
        <v>0</v>
      </c>
      <c r="C1502" s="4">
        <v>0</v>
      </c>
      <c r="D1502" s="4">
        <v>0</v>
      </c>
      <c r="E1502" s="4" t="str">
        <v>0</v>
      </c>
      <c r="F1502" s="102" t="str">
        <f ca="1">IFERROR(__xludf.DUMMYFUNCTION("IMPORTRANGE(H1502,""IDENTITAS UNIT!D9"")"),"#N/A")</f>
        <v>#N/A</v>
      </c>
      <c r="H1502" s="4" t="str">
        <v>0</v>
      </c>
      <c r="I1502" s="4" t="str">
        <v>0</v>
      </c>
      <c r="J1502" s="4">
        <v>0</v>
      </c>
    </row>
    <row r="1503" spans="1:10" ht="16.5" hidden="1">
      <c r="A1503" s="4" t="str">
        <v xml:space="preserve"> </v>
      </c>
      <c r="B1503" s="4">
        <v>0</v>
      </c>
      <c r="C1503" s="4">
        <v>0</v>
      </c>
      <c r="D1503" s="4">
        <v>0</v>
      </c>
      <c r="E1503" s="4" t="str">
        <v>0</v>
      </c>
      <c r="F1503" s="102" t="str">
        <f ca="1">IFERROR(__xludf.DUMMYFUNCTION("IMPORTRANGE(H1503,""IDENTITAS UNIT!D9"")"),"#N/A")</f>
        <v>#N/A</v>
      </c>
      <c r="H1503" s="4" t="str">
        <v>0</v>
      </c>
      <c r="I1503" s="4" t="str">
        <v>0</v>
      </c>
      <c r="J1503" s="4">
        <v>0</v>
      </c>
    </row>
    <row r="1504" spans="1:10" ht="16.5" hidden="1">
      <c r="A1504" s="4" t="str">
        <v xml:space="preserve"> </v>
      </c>
      <c r="B1504" s="4">
        <v>0</v>
      </c>
      <c r="C1504" s="4">
        <v>0</v>
      </c>
      <c r="D1504" s="4">
        <v>0</v>
      </c>
      <c r="E1504" s="4" t="str">
        <v>0</v>
      </c>
      <c r="F1504" s="102" t="str">
        <f ca="1">IFERROR(__xludf.DUMMYFUNCTION("IMPORTRANGE(H1504,""IDENTITAS UNIT!D9"")"),"#N/A")</f>
        <v>#N/A</v>
      </c>
      <c r="H1504" s="4" t="str">
        <v>0</v>
      </c>
      <c r="I1504" s="4" t="str">
        <v>0</v>
      </c>
      <c r="J1504" s="4">
        <v>0</v>
      </c>
    </row>
    <row r="1505" spans="1:10" ht="16.5" hidden="1">
      <c r="A1505" s="4" t="str">
        <v xml:space="preserve"> </v>
      </c>
      <c r="B1505" s="4">
        <v>0</v>
      </c>
      <c r="C1505" s="4">
        <v>0</v>
      </c>
      <c r="D1505" s="4">
        <v>0</v>
      </c>
      <c r="E1505" s="4" t="str">
        <v>0</v>
      </c>
      <c r="F1505" s="102" t="str">
        <f ca="1">IFERROR(__xludf.DUMMYFUNCTION("IMPORTRANGE(H1505,""IDENTITAS UNIT!D9"")"),"#N/A")</f>
        <v>#N/A</v>
      </c>
      <c r="H1505" s="4" t="str">
        <v>0</v>
      </c>
      <c r="I1505" s="4" t="str">
        <v>0</v>
      </c>
      <c r="J1505" s="4">
        <v>0</v>
      </c>
    </row>
    <row r="1506" spans="1:10" ht="16.5" hidden="1">
      <c r="A1506" s="4" t="str">
        <v xml:space="preserve"> </v>
      </c>
      <c r="B1506" s="4">
        <v>0</v>
      </c>
      <c r="C1506" s="4">
        <v>0</v>
      </c>
      <c r="D1506" s="4">
        <v>0</v>
      </c>
      <c r="E1506" s="4" t="str">
        <v>0</v>
      </c>
      <c r="F1506" s="102" t="str">
        <f ca="1">IFERROR(__xludf.DUMMYFUNCTION("IMPORTRANGE(H1506,""IDENTITAS UNIT!D9"")"),"#N/A")</f>
        <v>#N/A</v>
      </c>
      <c r="H1506" s="4" t="str">
        <v>0</v>
      </c>
      <c r="I1506" s="4" t="str">
        <v>0</v>
      </c>
      <c r="J1506" s="4">
        <v>0</v>
      </c>
    </row>
    <row r="1507" spans="1:10" ht="16.5" hidden="1">
      <c r="A1507" s="4" t="str">
        <v xml:space="preserve"> </v>
      </c>
      <c r="B1507" s="4">
        <v>0</v>
      </c>
      <c r="C1507" s="4">
        <v>0</v>
      </c>
      <c r="D1507" s="4">
        <v>0</v>
      </c>
      <c r="E1507" s="4" t="str">
        <v>0</v>
      </c>
      <c r="F1507" s="102" t="str">
        <f ca="1">IFERROR(__xludf.DUMMYFUNCTION("IMPORTRANGE(H1507,""IDENTITAS UNIT!D9"")"),"#N/A")</f>
        <v>#N/A</v>
      </c>
      <c r="H1507" s="4" t="str">
        <v>0</v>
      </c>
      <c r="I1507" s="4" t="str">
        <v>0</v>
      </c>
      <c r="J1507" s="4">
        <v>0</v>
      </c>
    </row>
    <row r="1508" spans="1:10" ht="16.5" hidden="1">
      <c r="A1508" s="4" t="str">
        <v xml:space="preserve"> </v>
      </c>
      <c r="B1508" s="4">
        <v>0</v>
      </c>
      <c r="C1508" s="4">
        <v>0</v>
      </c>
      <c r="D1508" s="4">
        <v>0</v>
      </c>
      <c r="E1508" s="4" t="str">
        <v>0</v>
      </c>
      <c r="F1508" s="102" t="str">
        <f ca="1">IFERROR(__xludf.DUMMYFUNCTION("IMPORTRANGE(H1508,""IDENTITAS UNIT!D9"")"),"#N/A")</f>
        <v>#N/A</v>
      </c>
      <c r="H1508" s="4" t="str">
        <v>0</v>
      </c>
      <c r="I1508" s="4" t="str">
        <v>0</v>
      </c>
      <c r="J1508" s="4">
        <v>0</v>
      </c>
    </row>
    <row r="1509" spans="1:10" ht="16.5" hidden="1">
      <c r="A1509" s="4" t="str">
        <v xml:space="preserve"> </v>
      </c>
      <c r="B1509" s="4">
        <v>0</v>
      </c>
      <c r="C1509" s="4">
        <v>0</v>
      </c>
      <c r="D1509" s="4">
        <v>0</v>
      </c>
      <c r="E1509" s="4" t="str">
        <v>0</v>
      </c>
      <c r="F1509" s="102" t="str">
        <f ca="1">IFERROR(__xludf.DUMMYFUNCTION("IMPORTRANGE(H1509,""IDENTITAS UNIT!D9"")"),"#N/A")</f>
        <v>#N/A</v>
      </c>
      <c r="H1509" s="4" t="str">
        <v>0</v>
      </c>
      <c r="I1509" s="4" t="str">
        <v>0</v>
      </c>
      <c r="J1509" s="4">
        <v>0</v>
      </c>
    </row>
    <row r="1510" spans="1:10" ht="16.5" hidden="1">
      <c r="A1510" s="4" t="str">
        <v xml:space="preserve"> </v>
      </c>
      <c r="B1510" s="4">
        <v>0</v>
      </c>
      <c r="C1510" s="4">
        <v>0</v>
      </c>
      <c r="D1510" s="4">
        <v>0</v>
      </c>
      <c r="E1510" s="4" t="str">
        <v>0</v>
      </c>
      <c r="F1510" s="102" t="str">
        <f ca="1">IFERROR(__xludf.DUMMYFUNCTION("IMPORTRANGE(H1510,""IDENTITAS UNIT!D9"")"),"#N/A")</f>
        <v>#N/A</v>
      </c>
      <c r="H1510" s="4" t="str">
        <v>0</v>
      </c>
      <c r="I1510" s="4" t="str">
        <v>0</v>
      </c>
      <c r="J1510" s="4">
        <v>0</v>
      </c>
    </row>
    <row r="1511" spans="1:10" ht="16.5" hidden="1">
      <c r="A1511" s="4" t="str">
        <v xml:space="preserve"> </v>
      </c>
      <c r="B1511" s="4">
        <v>0</v>
      </c>
      <c r="C1511" s="4">
        <v>0</v>
      </c>
      <c r="D1511" s="4">
        <v>0</v>
      </c>
      <c r="E1511" s="4" t="str">
        <v>0</v>
      </c>
      <c r="F1511" s="102" t="str">
        <f ca="1">IFERROR(__xludf.DUMMYFUNCTION("IMPORTRANGE(H1511,""IDENTITAS UNIT!D9"")"),"#N/A")</f>
        <v>#N/A</v>
      </c>
      <c r="H1511" s="4" t="str">
        <v>0</v>
      </c>
      <c r="I1511" s="4" t="str">
        <v>0</v>
      </c>
      <c r="J1511" s="4">
        <v>0</v>
      </c>
    </row>
    <row r="1512" spans="1:10" ht="16.5" hidden="1">
      <c r="A1512" s="4" t="str">
        <v xml:space="preserve"> </v>
      </c>
      <c r="B1512" s="4">
        <v>0</v>
      </c>
      <c r="C1512" s="4">
        <v>0</v>
      </c>
      <c r="D1512" s="4">
        <v>0</v>
      </c>
      <c r="E1512" s="4" t="str">
        <v>0</v>
      </c>
      <c r="F1512" s="102" t="str">
        <f ca="1">IFERROR(__xludf.DUMMYFUNCTION("IMPORTRANGE(H1512,""IDENTITAS UNIT!D9"")"),"#N/A")</f>
        <v>#N/A</v>
      </c>
      <c r="H1512" s="4" t="str">
        <v>0</v>
      </c>
      <c r="I1512" s="4" t="str">
        <v>0</v>
      </c>
      <c r="J1512" s="4">
        <v>0</v>
      </c>
    </row>
    <row r="1513" spans="1:10" ht="16.5" hidden="1">
      <c r="A1513" s="4" t="str">
        <v xml:space="preserve"> </v>
      </c>
      <c r="B1513" s="4">
        <v>0</v>
      </c>
      <c r="C1513" s="4">
        <v>0</v>
      </c>
      <c r="D1513" s="4">
        <v>0</v>
      </c>
      <c r="E1513" s="4" t="str">
        <v>0</v>
      </c>
      <c r="F1513" s="102" t="str">
        <f ca="1">IFERROR(__xludf.DUMMYFUNCTION("IMPORTRANGE(H1513,""IDENTITAS UNIT!D9"")"),"#N/A")</f>
        <v>#N/A</v>
      </c>
      <c r="H1513" s="4" t="str">
        <v>0</v>
      </c>
      <c r="I1513" s="4" t="str">
        <v>0</v>
      </c>
      <c r="J1513" s="4">
        <v>0</v>
      </c>
    </row>
    <row r="1514" spans="1:10" ht="16.5" hidden="1">
      <c r="A1514" s="4" t="str">
        <v xml:space="preserve"> </v>
      </c>
      <c r="B1514" s="4">
        <v>0</v>
      </c>
      <c r="C1514" s="4">
        <v>0</v>
      </c>
      <c r="D1514" s="4">
        <v>0</v>
      </c>
      <c r="E1514" s="4" t="str">
        <v>0</v>
      </c>
      <c r="F1514" s="102" t="str">
        <f ca="1">IFERROR(__xludf.DUMMYFUNCTION("IMPORTRANGE(H1514,""IDENTITAS UNIT!D9"")"),"#N/A")</f>
        <v>#N/A</v>
      </c>
      <c r="H1514" s="4" t="str">
        <v>0</v>
      </c>
      <c r="I1514" s="4" t="str">
        <v>0</v>
      </c>
      <c r="J1514" s="4">
        <v>0</v>
      </c>
    </row>
    <row r="1515" spans="1:10" ht="16.5" hidden="1">
      <c r="A1515" s="4" t="str">
        <v xml:space="preserve"> </v>
      </c>
      <c r="B1515" s="4">
        <v>0</v>
      </c>
      <c r="C1515" s="4">
        <v>0</v>
      </c>
      <c r="D1515" s="4">
        <v>0</v>
      </c>
      <c r="E1515" s="4" t="str">
        <v>0</v>
      </c>
      <c r="F1515" s="102" t="str">
        <f ca="1">IFERROR(__xludf.DUMMYFUNCTION("IMPORTRANGE(H1515,""IDENTITAS UNIT!D9"")"),"#N/A")</f>
        <v>#N/A</v>
      </c>
      <c r="H1515" s="4" t="str">
        <v>0</v>
      </c>
      <c r="I1515" s="4" t="str">
        <v>0</v>
      </c>
      <c r="J1515" s="4">
        <v>0</v>
      </c>
    </row>
    <row r="1516" spans="1:10" ht="16.5" hidden="1">
      <c r="A1516" s="4" t="str">
        <v xml:space="preserve"> </v>
      </c>
      <c r="B1516" s="4">
        <v>0</v>
      </c>
      <c r="C1516" s="4">
        <v>0</v>
      </c>
      <c r="D1516" s="4">
        <v>0</v>
      </c>
      <c r="E1516" s="4" t="str">
        <v>0</v>
      </c>
      <c r="F1516" s="102" t="str">
        <f ca="1">IFERROR(__xludf.DUMMYFUNCTION("IMPORTRANGE(H1516,""IDENTITAS UNIT!D9"")"),"#N/A")</f>
        <v>#N/A</v>
      </c>
      <c r="H1516" s="4" t="str">
        <v>0</v>
      </c>
      <c r="I1516" s="4" t="str">
        <v>0</v>
      </c>
      <c r="J1516" s="4">
        <v>0</v>
      </c>
    </row>
    <row r="1517" spans="1:10" ht="16.5" hidden="1">
      <c r="A1517" s="4" t="str">
        <v xml:space="preserve"> </v>
      </c>
      <c r="B1517" s="4">
        <v>0</v>
      </c>
      <c r="C1517" s="4">
        <v>0</v>
      </c>
      <c r="D1517" s="4">
        <v>0</v>
      </c>
      <c r="E1517" s="4" t="str">
        <v>0</v>
      </c>
      <c r="F1517" s="102" t="str">
        <f ca="1">IFERROR(__xludf.DUMMYFUNCTION("IMPORTRANGE(H1517,""IDENTITAS UNIT!D9"")"),"#N/A")</f>
        <v>#N/A</v>
      </c>
      <c r="H1517" s="4" t="str">
        <v>0</v>
      </c>
      <c r="I1517" s="4" t="str">
        <v>0</v>
      </c>
      <c r="J1517" s="4">
        <v>0</v>
      </c>
    </row>
    <row r="1518" spans="1:10" ht="16.5" hidden="1">
      <c r="A1518" s="4" t="str">
        <v xml:space="preserve"> </v>
      </c>
      <c r="B1518" s="4">
        <v>0</v>
      </c>
      <c r="C1518" s="4">
        <v>0</v>
      </c>
      <c r="D1518" s="4">
        <v>0</v>
      </c>
      <c r="E1518" s="4" t="str">
        <v>0</v>
      </c>
      <c r="F1518" s="102" t="str">
        <f ca="1">IFERROR(__xludf.DUMMYFUNCTION("IMPORTRANGE(H1518,""IDENTITAS UNIT!D9"")"),"#N/A")</f>
        <v>#N/A</v>
      </c>
      <c r="H1518" s="4" t="str">
        <v>0</v>
      </c>
      <c r="I1518" s="4" t="str">
        <v>0</v>
      </c>
      <c r="J1518" s="4">
        <v>0</v>
      </c>
    </row>
    <row r="1519" spans="1:10" ht="16.5" hidden="1">
      <c r="A1519" s="4" t="str">
        <v xml:space="preserve"> </v>
      </c>
      <c r="B1519" s="4">
        <v>0</v>
      </c>
      <c r="C1519" s="4">
        <v>0</v>
      </c>
      <c r="D1519" s="4">
        <v>0</v>
      </c>
      <c r="E1519" s="4" t="str">
        <v>0</v>
      </c>
      <c r="F1519" s="102" t="str">
        <f ca="1">IFERROR(__xludf.DUMMYFUNCTION("IMPORTRANGE(H1519,""IDENTITAS UNIT!D9"")"),"#N/A")</f>
        <v>#N/A</v>
      </c>
      <c r="H1519" s="4" t="str">
        <v>0</v>
      </c>
      <c r="I1519" s="4" t="str">
        <v>0</v>
      </c>
      <c r="J1519" s="4">
        <v>0</v>
      </c>
    </row>
    <row r="1520" spans="1:10" ht="16.5" hidden="1">
      <c r="A1520" s="4" t="str">
        <v xml:space="preserve"> </v>
      </c>
      <c r="B1520" s="4">
        <v>0</v>
      </c>
      <c r="C1520" s="4">
        <v>0</v>
      </c>
      <c r="D1520" s="4">
        <v>0</v>
      </c>
      <c r="E1520" s="4" t="str">
        <v>0</v>
      </c>
      <c r="F1520" s="102" t="str">
        <f ca="1">IFERROR(__xludf.DUMMYFUNCTION("IMPORTRANGE(H1520,""IDENTITAS UNIT!D9"")"),"#N/A")</f>
        <v>#N/A</v>
      </c>
      <c r="H1520" s="4" t="str">
        <v>0</v>
      </c>
      <c r="I1520" s="4" t="str">
        <v>0</v>
      </c>
      <c r="J1520" s="4">
        <v>0</v>
      </c>
    </row>
    <row r="1521" spans="1:10" ht="16.5" hidden="1">
      <c r="A1521" s="4" t="str">
        <v xml:space="preserve"> </v>
      </c>
      <c r="B1521" s="4">
        <v>0</v>
      </c>
      <c r="C1521" s="4">
        <v>0</v>
      </c>
      <c r="D1521" s="4">
        <v>0</v>
      </c>
      <c r="E1521" s="4" t="str">
        <v>0</v>
      </c>
      <c r="F1521" s="102" t="str">
        <f ca="1">IFERROR(__xludf.DUMMYFUNCTION("IMPORTRANGE(H1521,""IDENTITAS UNIT!D9"")"),"#N/A")</f>
        <v>#N/A</v>
      </c>
      <c r="H1521" s="4" t="str">
        <v>0</v>
      </c>
      <c r="I1521" s="4" t="str">
        <v>0</v>
      </c>
      <c r="J1521" s="4">
        <v>0</v>
      </c>
    </row>
    <row r="1522" spans="1:10" ht="16.5" hidden="1">
      <c r="A1522" s="4" t="str">
        <v xml:space="preserve"> </v>
      </c>
      <c r="B1522" s="4">
        <v>0</v>
      </c>
      <c r="C1522" s="4">
        <v>0</v>
      </c>
      <c r="D1522" s="4">
        <v>0</v>
      </c>
      <c r="E1522" s="4" t="str">
        <v>0</v>
      </c>
      <c r="F1522" s="102" t="str">
        <f ca="1">IFERROR(__xludf.DUMMYFUNCTION("IMPORTRANGE(H1522,""IDENTITAS UNIT!D9"")"),"#N/A")</f>
        <v>#N/A</v>
      </c>
      <c r="H1522" s="4" t="str">
        <v>0</v>
      </c>
      <c r="I1522" s="4" t="str">
        <v>0</v>
      </c>
      <c r="J1522" s="4">
        <v>0</v>
      </c>
    </row>
    <row r="1523" spans="1:10" ht="16.5" hidden="1">
      <c r="A1523" s="4" t="str">
        <v xml:space="preserve"> </v>
      </c>
      <c r="B1523" s="4">
        <v>0</v>
      </c>
      <c r="C1523" s="4">
        <v>0</v>
      </c>
      <c r="D1523" s="4">
        <v>0</v>
      </c>
      <c r="E1523" s="4" t="str">
        <v>0</v>
      </c>
      <c r="F1523" s="102" t="str">
        <f ca="1">IFERROR(__xludf.DUMMYFUNCTION("IMPORTRANGE(H1523,""IDENTITAS UNIT!D9"")"),"#N/A")</f>
        <v>#N/A</v>
      </c>
      <c r="H1523" s="4" t="str">
        <v>0</v>
      </c>
      <c r="I1523" s="4" t="str">
        <v>0</v>
      </c>
      <c r="J1523" s="4">
        <v>0</v>
      </c>
    </row>
    <row r="1524" spans="1:10" ht="16.5" hidden="1">
      <c r="A1524" s="4" t="str">
        <v xml:space="preserve"> </v>
      </c>
      <c r="B1524" s="4">
        <v>0</v>
      </c>
      <c r="C1524" s="4">
        <v>0</v>
      </c>
      <c r="D1524" s="4">
        <v>0</v>
      </c>
      <c r="E1524" s="4" t="str">
        <v>0</v>
      </c>
      <c r="F1524" s="102" t="str">
        <f ca="1">IFERROR(__xludf.DUMMYFUNCTION("IMPORTRANGE(H1524,""IDENTITAS UNIT!D9"")"),"#N/A")</f>
        <v>#N/A</v>
      </c>
      <c r="H1524" s="4" t="str">
        <v>0</v>
      </c>
      <c r="I1524" s="4" t="str">
        <v>0</v>
      </c>
      <c r="J1524" s="4">
        <v>0</v>
      </c>
    </row>
    <row r="1525" spans="1:10" ht="16.5" hidden="1">
      <c r="A1525" s="4" t="str">
        <v xml:space="preserve"> </v>
      </c>
      <c r="B1525" s="4">
        <v>0</v>
      </c>
      <c r="C1525" s="4">
        <v>0</v>
      </c>
      <c r="D1525" s="4">
        <v>0</v>
      </c>
      <c r="E1525" s="4" t="str">
        <v>0</v>
      </c>
      <c r="F1525" s="102" t="str">
        <f ca="1">IFERROR(__xludf.DUMMYFUNCTION("IMPORTRANGE(H1525,""IDENTITAS UNIT!D9"")"),"#N/A")</f>
        <v>#N/A</v>
      </c>
      <c r="H1525" s="4" t="str">
        <v>0</v>
      </c>
      <c r="I1525" s="4" t="str">
        <v>0</v>
      </c>
      <c r="J1525" s="4">
        <v>0</v>
      </c>
    </row>
    <row r="1526" spans="1:10" ht="16.5" hidden="1">
      <c r="A1526" s="4" t="str">
        <v xml:space="preserve"> </v>
      </c>
      <c r="B1526" s="4">
        <v>0</v>
      </c>
      <c r="C1526" s="4">
        <v>0</v>
      </c>
      <c r="D1526" s="4">
        <v>0</v>
      </c>
      <c r="E1526" s="4" t="str">
        <v>0</v>
      </c>
      <c r="F1526" s="102" t="str">
        <f ca="1">IFERROR(__xludf.DUMMYFUNCTION("IMPORTRANGE(H1526,""IDENTITAS UNIT!D9"")"),"#N/A")</f>
        <v>#N/A</v>
      </c>
      <c r="H1526" s="4" t="str">
        <v>0</v>
      </c>
      <c r="I1526" s="4" t="str">
        <v>0</v>
      </c>
      <c r="J1526" s="4">
        <v>0</v>
      </c>
    </row>
    <row r="1527" spans="1:10" ht="16.5" hidden="1">
      <c r="A1527" s="4" t="str">
        <v xml:space="preserve"> </v>
      </c>
      <c r="B1527" s="4">
        <v>0</v>
      </c>
      <c r="C1527" s="4">
        <v>0</v>
      </c>
      <c r="D1527" s="4">
        <v>0</v>
      </c>
      <c r="E1527" s="4" t="str">
        <v>0</v>
      </c>
      <c r="F1527" s="102" t="str">
        <f ca="1">IFERROR(__xludf.DUMMYFUNCTION("IMPORTRANGE(H1527,""IDENTITAS UNIT!D9"")"),"#N/A")</f>
        <v>#N/A</v>
      </c>
      <c r="H1527" s="4" t="str">
        <v>0</v>
      </c>
      <c r="I1527" s="4" t="str">
        <v>0</v>
      </c>
      <c r="J1527" s="4">
        <v>0</v>
      </c>
    </row>
    <row r="1528" spans="1:10" ht="16.5" hidden="1">
      <c r="A1528" s="4" t="str">
        <v xml:space="preserve"> </v>
      </c>
      <c r="B1528" s="4">
        <v>0</v>
      </c>
      <c r="C1528" s="4">
        <v>0</v>
      </c>
      <c r="D1528" s="4">
        <v>0</v>
      </c>
      <c r="E1528" s="4" t="str">
        <v>0</v>
      </c>
      <c r="F1528" s="102" t="str">
        <f ca="1">IFERROR(__xludf.DUMMYFUNCTION("IMPORTRANGE(H1528,""IDENTITAS UNIT!D9"")"),"#N/A")</f>
        <v>#N/A</v>
      </c>
      <c r="H1528" s="4" t="str">
        <v>0</v>
      </c>
      <c r="I1528" s="4" t="str">
        <v>0</v>
      </c>
      <c r="J1528" s="4">
        <v>0</v>
      </c>
    </row>
    <row r="1529" spans="1:10" ht="16.5" hidden="1">
      <c r="A1529" s="4" t="str">
        <v xml:space="preserve"> </v>
      </c>
      <c r="B1529" s="4">
        <v>0</v>
      </c>
      <c r="C1529" s="4">
        <v>0</v>
      </c>
      <c r="D1529" s="4">
        <v>0</v>
      </c>
      <c r="E1529" s="4" t="str">
        <v>0</v>
      </c>
      <c r="F1529" s="102" t="str">
        <f ca="1">IFERROR(__xludf.DUMMYFUNCTION("IMPORTRANGE(H1529,""IDENTITAS UNIT!D9"")"),"#N/A")</f>
        <v>#N/A</v>
      </c>
      <c r="H1529" s="4" t="str">
        <v>0</v>
      </c>
      <c r="I1529" s="4" t="str">
        <v>0</v>
      </c>
      <c r="J1529" s="4">
        <v>0</v>
      </c>
    </row>
    <row r="1530" spans="1:10" ht="16.5" hidden="1">
      <c r="A1530" s="4" t="str">
        <v xml:space="preserve"> </v>
      </c>
      <c r="B1530" s="4">
        <v>0</v>
      </c>
      <c r="C1530" s="4">
        <v>0</v>
      </c>
      <c r="D1530" s="4">
        <v>0</v>
      </c>
      <c r="E1530" s="4" t="str">
        <v>0</v>
      </c>
      <c r="F1530" s="102" t="str">
        <f ca="1">IFERROR(__xludf.DUMMYFUNCTION("IMPORTRANGE(H1530,""IDENTITAS UNIT!D9"")"),"#N/A")</f>
        <v>#N/A</v>
      </c>
      <c r="H1530" s="4" t="str">
        <v>0</v>
      </c>
      <c r="I1530" s="4" t="str">
        <v>0</v>
      </c>
      <c r="J1530" s="4">
        <v>0</v>
      </c>
    </row>
    <row r="1531" spans="1:10" ht="16.5" hidden="1">
      <c r="A1531" s="4" t="str">
        <v xml:space="preserve"> </v>
      </c>
      <c r="B1531" s="4">
        <v>0</v>
      </c>
      <c r="C1531" s="4">
        <v>0</v>
      </c>
      <c r="D1531" s="4">
        <v>0</v>
      </c>
      <c r="E1531" s="4" t="str">
        <v>0</v>
      </c>
      <c r="F1531" s="102" t="str">
        <f ca="1">IFERROR(__xludf.DUMMYFUNCTION("IMPORTRANGE(H1531,""IDENTITAS UNIT!D9"")"),"#N/A")</f>
        <v>#N/A</v>
      </c>
      <c r="H1531" s="4" t="str">
        <v>0</v>
      </c>
      <c r="I1531" s="4" t="str">
        <v>0</v>
      </c>
      <c r="J1531" s="4">
        <v>0</v>
      </c>
    </row>
    <row r="1532" spans="1:10" ht="16.5" hidden="1">
      <c r="A1532" s="4" t="str">
        <v xml:space="preserve"> </v>
      </c>
      <c r="B1532" s="4">
        <v>0</v>
      </c>
      <c r="C1532" s="4">
        <v>0</v>
      </c>
      <c r="D1532" s="4">
        <v>0</v>
      </c>
      <c r="E1532" s="4" t="str">
        <v>0</v>
      </c>
      <c r="F1532" s="102" t="str">
        <f ca="1">IFERROR(__xludf.DUMMYFUNCTION("IMPORTRANGE(H1532,""IDENTITAS UNIT!D9"")"),"#N/A")</f>
        <v>#N/A</v>
      </c>
      <c r="H1532" s="4" t="str">
        <v>0</v>
      </c>
      <c r="I1532" s="4" t="str">
        <v>0</v>
      </c>
      <c r="J1532" s="4">
        <v>0</v>
      </c>
    </row>
    <row r="1533" spans="1:10" ht="16.5" hidden="1">
      <c r="A1533" s="4" t="str">
        <v xml:space="preserve"> </v>
      </c>
      <c r="B1533" s="4">
        <v>0</v>
      </c>
      <c r="C1533" s="4">
        <v>0</v>
      </c>
      <c r="D1533" s="4">
        <v>0</v>
      </c>
      <c r="E1533" s="4" t="str">
        <v>0</v>
      </c>
      <c r="F1533" s="102" t="str">
        <f ca="1">IFERROR(__xludf.DUMMYFUNCTION("IMPORTRANGE(H1533,""IDENTITAS UNIT!D9"")"),"#N/A")</f>
        <v>#N/A</v>
      </c>
      <c r="H1533" s="4" t="str">
        <v>0</v>
      </c>
      <c r="I1533" s="4" t="str">
        <v>0</v>
      </c>
      <c r="J1533" s="4">
        <v>0</v>
      </c>
    </row>
    <row r="1534" spans="1:10" ht="16.5" hidden="1">
      <c r="A1534" s="4" t="str">
        <v xml:space="preserve"> </v>
      </c>
      <c r="B1534" s="4">
        <v>0</v>
      </c>
      <c r="C1534" s="4">
        <v>0</v>
      </c>
      <c r="D1534" s="4">
        <v>0</v>
      </c>
      <c r="E1534" s="4" t="str">
        <v>0</v>
      </c>
      <c r="F1534" s="102" t="str">
        <f ca="1">IFERROR(__xludf.DUMMYFUNCTION("IMPORTRANGE(H1534,""IDENTITAS UNIT!D9"")"),"#N/A")</f>
        <v>#N/A</v>
      </c>
      <c r="H1534" s="4" t="str">
        <v>0</v>
      </c>
      <c r="I1534" s="4" t="str">
        <v>0</v>
      </c>
      <c r="J1534" s="4">
        <v>0</v>
      </c>
    </row>
    <row r="1535" spans="1:10" ht="16.5" hidden="1">
      <c r="A1535" s="4" t="str">
        <v xml:space="preserve"> </v>
      </c>
      <c r="B1535" s="4">
        <v>0</v>
      </c>
      <c r="C1535" s="4">
        <v>0</v>
      </c>
      <c r="D1535" s="4">
        <v>0</v>
      </c>
      <c r="E1535" s="4" t="str">
        <v>0</v>
      </c>
      <c r="F1535" s="102" t="str">
        <f ca="1">IFERROR(__xludf.DUMMYFUNCTION("IMPORTRANGE(H1535,""IDENTITAS UNIT!D9"")"),"#N/A")</f>
        <v>#N/A</v>
      </c>
      <c r="H1535" s="4" t="str">
        <v>0</v>
      </c>
      <c r="I1535" s="4" t="str">
        <v>0</v>
      </c>
      <c r="J1535" s="4">
        <v>0</v>
      </c>
    </row>
    <row r="1536" spans="1:10" ht="16.5" hidden="1">
      <c r="A1536" s="4" t="str">
        <v xml:space="preserve"> </v>
      </c>
      <c r="B1536" s="4">
        <v>0</v>
      </c>
      <c r="C1536" s="4">
        <v>0</v>
      </c>
      <c r="D1536" s="4">
        <v>0</v>
      </c>
      <c r="E1536" s="4" t="str">
        <v>0</v>
      </c>
      <c r="F1536" s="102" t="str">
        <f ca="1">IFERROR(__xludf.DUMMYFUNCTION("IMPORTRANGE(H1536,""IDENTITAS UNIT!D9"")"),"#N/A")</f>
        <v>#N/A</v>
      </c>
      <c r="H1536" s="4" t="str">
        <v>0</v>
      </c>
      <c r="I1536" s="4" t="str">
        <v>0</v>
      </c>
      <c r="J1536" s="4">
        <v>0</v>
      </c>
    </row>
    <row r="1537" spans="1:10" ht="16.5" hidden="1">
      <c r="A1537" s="4" t="str">
        <v xml:space="preserve"> </v>
      </c>
      <c r="B1537" s="4">
        <v>0</v>
      </c>
      <c r="C1537" s="4">
        <v>0</v>
      </c>
      <c r="D1537" s="4">
        <v>0</v>
      </c>
      <c r="E1537" s="4" t="str">
        <v>0</v>
      </c>
      <c r="F1537" s="102" t="str">
        <f ca="1">IFERROR(__xludf.DUMMYFUNCTION("IMPORTRANGE(H1537,""IDENTITAS UNIT!D9"")"),"#N/A")</f>
        <v>#N/A</v>
      </c>
      <c r="H1537" s="4" t="str">
        <v>0</v>
      </c>
      <c r="I1537" s="4" t="str">
        <v>0</v>
      </c>
      <c r="J1537" s="4">
        <v>0</v>
      </c>
    </row>
    <row r="1538" spans="1:10" ht="16.5" hidden="1">
      <c r="A1538" s="4" t="str">
        <v xml:space="preserve"> </v>
      </c>
      <c r="B1538" s="4">
        <v>0</v>
      </c>
      <c r="C1538" s="4">
        <v>0</v>
      </c>
      <c r="D1538" s="4">
        <v>0</v>
      </c>
      <c r="E1538" s="4" t="str">
        <v>0</v>
      </c>
      <c r="F1538" s="102" t="str">
        <f ca="1">IFERROR(__xludf.DUMMYFUNCTION("IMPORTRANGE(H1538,""IDENTITAS UNIT!D9"")"),"#N/A")</f>
        <v>#N/A</v>
      </c>
      <c r="H1538" s="4" t="str">
        <v>0</v>
      </c>
      <c r="I1538" s="4" t="str">
        <v>0</v>
      </c>
      <c r="J1538" s="4">
        <v>0</v>
      </c>
    </row>
    <row r="1539" spans="1:10" ht="16.5" hidden="1">
      <c r="A1539" s="4" t="str">
        <v xml:space="preserve"> </v>
      </c>
      <c r="B1539" s="4">
        <v>0</v>
      </c>
      <c r="C1539" s="4">
        <v>0</v>
      </c>
      <c r="D1539" s="4">
        <v>0</v>
      </c>
      <c r="E1539" s="4" t="str">
        <v>0</v>
      </c>
      <c r="F1539" s="102" t="str">
        <f ca="1">IFERROR(__xludf.DUMMYFUNCTION("IMPORTRANGE(H1539,""IDENTITAS UNIT!D9"")"),"#N/A")</f>
        <v>#N/A</v>
      </c>
      <c r="H1539" s="4" t="str">
        <v>0</v>
      </c>
      <c r="I1539" s="4" t="str">
        <v>0</v>
      </c>
      <c r="J1539" s="4">
        <v>0</v>
      </c>
    </row>
    <row r="1540" spans="1:10" ht="16.5" hidden="1">
      <c r="A1540" s="4" t="str">
        <v xml:space="preserve"> </v>
      </c>
      <c r="B1540" s="4">
        <v>0</v>
      </c>
      <c r="C1540" s="4">
        <v>0</v>
      </c>
      <c r="D1540" s="4">
        <v>0</v>
      </c>
      <c r="E1540" s="4" t="str">
        <v>0</v>
      </c>
      <c r="F1540" s="102" t="str">
        <f ca="1">IFERROR(__xludf.DUMMYFUNCTION("IMPORTRANGE(H1540,""IDENTITAS UNIT!D9"")"),"#N/A")</f>
        <v>#N/A</v>
      </c>
      <c r="H1540" s="4" t="str">
        <v>0</v>
      </c>
      <c r="I1540" s="4" t="str">
        <v>0</v>
      </c>
      <c r="J1540" s="4">
        <v>0</v>
      </c>
    </row>
    <row r="1541" spans="1:10" ht="16.5" hidden="1">
      <c r="A1541" s="4" t="str">
        <v xml:space="preserve"> </v>
      </c>
      <c r="B1541" s="4">
        <v>0</v>
      </c>
      <c r="C1541" s="4">
        <v>0</v>
      </c>
      <c r="D1541" s="4">
        <v>0</v>
      </c>
      <c r="E1541" s="4" t="str">
        <v>0</v>
      </c>
      <c r="F1541" s="102" t="str">
        <f ca="1">IFERROR(__xludf.DUMMYFUNCTION("IMPORTRANGE(H1541,""IDENTITAS UNIT!D9"")"),"#N/A")</f>
        <v>#N/A</v>
      </c>
      <c r="H1541" s="4" t="str">
        <v>0</v>
      </c>
      <c r="I1541" s="4" t="str">
        <v>0</v>
      </c>
      <c r="J1541" s="4">
        <v>0</v>
      </c>
    </row>
    <row r="1542" spans="1:10" ht="16.5" hidden="1">
      <c r="A1542" s="4" t="str">
        <v xml:space="preserve"> </v>
      </c>
      <c r="B1542" s="4">
        <v>0</v>
      </c>
      <c r="C1542" s="4">
        <v>0</v>
      </c>
      <c r="D1542" s="4">
        <v>0</v>
      </c>
      <c r="E1542" s="4" t="str">
        <v>0</v>
      </c>
      <c r="F1542" s="102" t="str">
        <f ca="1">IFERROR(__xludf.DUMMYFUNCTION("IMPORTRANGE(H1542,""IDENTITAS UNIT!D9"")"),"#N/A")</f>
        <v>#N/A</v>
      </c>
      <c r="H1542" s="4" t="str">
        <v>0</v>
      </c>
      <c r="I1542" s="4" t="str">
        <v>0</v>
      </c>
      <c r="J1542" s="4">
        <v>0</v>
      </c>
    </row>
    <row r="1543" spans="1:10" ht="16.5" hidden="1">
      <c r="A1543" s="4" t="str">
        <v xml:space="preserve"> </v>
      </c>
      <c r="B1543" s="4">
        <v>0</v>
      </c>
      <c r="C1543" s="4">
        <v>0</v>
      </c>
      <c r="D1543" s="4">
        <v>0</v>
      </c>
      <c r="E1543" s="4" t="str">
        <v>0</v>
      </c>
      <c r="F1543" s="102" t="str">
        <f ca="1">IFERROR(__xludf.DUMMYFUNCTION("IMPORTRANGE(H1543,""IDENTITAS UNIT!D9"")"),"#N/A")</f>
        <v>#N/A</v>
      </c>
      <c r="H1543" s="4" t="str">
        <v>0</v>
      </c>
      <c r="I1543" s="4" t="str">
        <v>0</v>
      </c>
      <c r="J1543" s="4">
        <v>0</v>
      </c>
    </row>
    <row r="1544" spans="1:10" ht="16.5" hidden="1">
      <c r="A1544" s="4" t="str">
        <v xml:space="preserve"> </v>
      </c>
      <c r="B1544" s="4">
        <v>0</v>
      </c>
      <c r="C1544" s="4">
        <v>0</v>
      </c>
      <c r="D1544" s="4">
        <v>0</v>
      </c>
      <c r="E1544" s="4" t="str">
        <v>0</v>
      </c>
      <c r="F1544" s="102" t="str">
        <f ca="1">IFERROR(__xludf.DUMMYFUNCTION("IMPORTRANGE(H1544,""IDENTITAS UNIT!D9"")"),"#N/A")</f>
        <v>#N/A</v>
      </c>
      <c r="H1544" s="4" t="str">
        <v>0</v>
      </c>
      <c r="I1544" s="4" t="str">
        <v>0</v>
      </c>
      <c r="J1544" s="4">
        <v>0</v>
      </c>
    </row>
    <row r="1545" spans="1:10" ht="16.5" hidden="1">
      <c r="A1545" s="4" t="str">
        <v xml:space="preserve"> </v>
      </c>
      <c r="B1545" s="4">
        <v>0</v>
      </c>
      <c r="C1545" s="4">
        <v>0</v>
      </c>
      <c r="D1545" s="4">
        <v>0</v>
      </c>
      <c r="E1545" s="4" t="str">
        <v>0</v>
      </c>
      <c r="F1545" s="102" t="str">
        <f ca="1">IFERROR(__xludf.DUMMYFUNCTION("IMPORTRANGE(H1545,""IDENTITAS UNIT!D9"")"),"#N/A")</f>
        <v>#N/A</v>
      </c>
      <c r="H1545" s="4" t="str">
        <v>0</v>
      </c>
      <c r="I1545" s="4" t="str">
        <v>0</v>
      </c>
      <c r="J1545" s="4">
        <v>0</v>
      </c>
    </row>
    <row r="1546" spans="1:10" ht="16.5" hidden="1">
      <c r="A1546" s="4" t="str">
        <v xml:space="preserve"> </v>
      </c>
      <c r="B1546" s="4">
        <v>0</v>
      </c>
      <c r="C1546" s="4">
        <v>0</v>
      </c>
      <c r="D1546" s="4">
        <v>0</v>
      </c>
      <c r="E1546" s="4" t="str">
        <v>0</v>
      </c>
      <c r="F1546" s="102" t="str">
        <f ca="1">IFERROR(__xludf.DUMMYFUNCTION("IMPORTRANGE(H1546,""IDENTITAS UNIT!D9"")"),"#N/A")</f>
        <v>#N/A</v>
      </c>
      <c r="H1546" s="4" t="str">
        <v>0</v>
      </c>
      <c r="I1546" s="4" t="str">
        <v>0</v>
      </c>
      <c r="J1546" s="4">
        <v>0</v>
      </c>
    </row>
    <row r="1547" spans="1:10" ht="16.5" hidden="1">
      <c r="A1547" s="4" t="str">
        <v xml:space="preserve"> </v>
      </c>
      <c r="B1547" s="4">
        <v>0</v>
      </c>
      <c r="C1547" s="4">
        <v>0</v>
      </c>
      <c r="D1547" s="4">
        <v>0</v>
      </c>
      <c r="E1547" s="4" t="str">
        <v>0</v>
      </c>
      <c r="F1547" s="102" t="str">
        <f ca="1">IFERROR(__xludf.DUMMYFUNCTION("IMPORTRANGE(H1547,""IDENTITAS UNIT!D9"")"),"#N/A")</f>
        <v>#N/A</v>
      </c>
      <c r="H1547" s="4" t="str">
        <v>0</v>
      </c>
      <c r="I1547" s="4" t="str">
        <v>0</v>
      </c>
      <c r="J1547" s="4">
        <v>0</v>
      </c>
    </row>
    <row r="1548" spans="1:10" ht="16.5" hidden="1">
      <c r="A1548" s="4" t="str">
        <v xml:space="preserve"> </v>
      </c>
      <c r="B1548" s="4">
        <v>0</v>
      </c>
      <c r="C1548" s="4">
        <v>0</v>
      </c>
      <c r="D1548" s="4">
        <v>0</v>
      </c>
      <c r="E1548" s="4" t="str">
        <v>0</v>
      </c>
      <c r="F1548" s="102" t="str">
        <f ca="1">IFERROR(__xludf.DUMMYFUNCTION("IMPORTRANGE(H1548,""IDENTITAS UNIT!D9"")"),"#N/A")</f>
        <v>#N/A</v>
      </c>
      <c r="H1548" s="4" t="str">
        <v>0</v>
      </c>
      <c r="I1548" s="4" t="str">
        <v>0</v>
      </c>
      <c r="J1548" s="4">
        <v>0</v>
      </c>
    </row>
    <row r="1549" spans="1:10" ht="16.5" hidden="1">
      <c r="A1549" s="4" t="str">
        <v xml:space="preserve"> </v>
      </c>
      <c r="B1549" s="4">
        <v>0</v>
      </c>
      <c r="C1549" s="4">
        <v>0</v>
      </c>
      <c r="D1549" s="4">
        <v>0</v>
      </c>
      <c r="E1549" s="4" t="str">
        <v>0</v>
      </c>
      <c r="F1549" s="102" t="str">
        <f ca="1">IFERROR(__xludf.DUMMYFUNCTION("IMPORTRANGE(H1549,""IDENTITAS UNIT!D9"")"),"#N/A")</f>
        <v>#N/A</v>
      </c>
      <c r="H1549" s="4" t="str">
        <v>0</v>
      </c>
      <c r="I1549" s="4" t="str">
        <v>0</v>
      </c>
      <c r="J1549" s="4">
        <v>0</v>
      </c>
    </row>
    <row r="1550" spans="1:10" ht="16.5" hidden="1">
      <c r="A1550" s="4" t="str">
        <v xml:space="preserve"> </v>
      </c>
      <c r="B1550" s="4">
        <v>0</v>
      </c>
      <c r="C1550" s="4">
        <v>0</v>
      </c>
      <c r="D1550" s="4">
        <v>0</v>
      </c>
      <c r="E1550" s="4" t="str">
        <v>0</v>
      </c>
      <c r="F1550" s="102" t="str">
        <f ca="1">IFERROR(__xludf.DUMMYFUNCTION("IMPORTRANGE(H1550,""IDENTITAS UNIT!D9"")"),"#N/A")</f>
        <v>#N/A</v>
      </c>
      <c r="H1550" s="4" t="str">
        <v>0</v>
      </c>
      <c r="I1550" s="4" t="str">
        <v>0</v>
      </c>
      <c r="J1550" s="4">
        <v>0</v>
      </c>
    </row>
    <row r="1551" spans="1:10" ht="16.5" hidden="1">
      <c r="A1551" s="4" t="str">
        <v xml:space="preserve"> </v>
      </c>
      <c r="B1551" s="4">
        <v>0</v>
      </c>
      <c r="C1551" s="4">
        <v>0</v>
      </c>
      <c r="D1551" s="4">
        <v>0</v>
      </c>
      <c r="E1551" s="4" t="str">
        <v>0</v>
      </c>
      <c r="F1551" s="102" t="str">
        <f ca="1">IFERROR(__xludf.DUMMYFUNCTION("IMPORTRANGE(H1551,""IDENTITAS UNIT!D9"")"),"#N/A")</f>
        <v>#N/A</v>
      </c>
      <c r="H1551" s="4" t="str">
        <v>0</v>
      </c>
      <c r="I1551" s="4" t="str">
        <v>0</v>
      </c>
      <c r="J1551" s="4">
        <v>0</v>
      </c>
    </row>
    <row r="1552" spans="1:10" ht="16.5" hidden="1">
      <c r="A1552" s="4" t="str">
        <v xml:space="preserve"> </v>
      </c>
      <c r="B1552" s="4">
        <v>0</v>
      </c>
      <c r="C1552" s="4">
        <v>0</v>
      </c>
      <c r="D1552" s="4">
        <v>0</v>
      </c>
      <c r="E1552" s="4" t="str">
        <v>0</v>
      </c>
      <c r="F1552" s="102" t="str">
        <f ca="1">IFERROR(__xludf.DUMMYFUNCTION("IMPORTRANGE(H1552,""IDENTITAS UNIT!D9"")"),"#N/A")</f>
        <v>#N/A</v>
      </c>
      <c r="H1552" s="4" t="str">
        <v>0</v>
      </c>
      <c r="I1552" s="4" t="str">
        <v>0</v>
      </c>
      <c r="J1552" s="4">
        <v>0</v>
      </c>
    </row>
    <row r="1553" spans="1:10" ht="16.5" hidden="1">
      <c r="A1553" s="4" t="str">
        <v xml:space="preserve"> </v>
      </c>
      <c r="B1553" s="4">
        <v>0</v>
      </c>
      <c r="C1553" s="4">
        <v>0</v>
      </c>
      <c r="D1553" s="4">
        <v>0</v>
      </c>
      <c r="E1553" s="4" t="str">
        <v>0</v>
      </c>
      <c r="F1553" s="102" t="str">
        <f ca="1">IFERROR(__xludf.DUMMYFUNCTION("IMPORTRANGE(H1553,""IDENTITAS UNIT!D9"")"),"#N/A")</f>
        <v>#N/A</v>
      </c>
      <c r="H1553" s="4" t="str">
        <v>0</v>
      </c>
      <c r="I1553" s="4" t="str">
        <v>0</v>
      </c>
      <c r="J1553" s="4">
        <v>0</v>
      </c>
    </row>
    <row r="1554" spans="1:10" ht="16.5" hidden="1">
      <c r="A1554" s="4" t="str">
        <v xml:space="preserve"> </v>
      </c>
      <c r="B1554" s="4">
        <v>0</v>
      </c>
      <c r="C1554" s="4">
        <v>0</v>
      </c>
      <c r="D1554" s="4">
        <v>0</v>
      </c>
      <c r="E1554" s="4" t="str">
        <v>0</v>
      </c>
      <c r="F1554" s="102" t="str">
        <f ca="1">IFERROR(__xludf.DUMMYFUNCTION("IMPORTRANGE(H1554,""IDENTITAS UNIT!D9"")"),"#N/A")</f>
        <v>#N/A</v>
      </c>
      <c r="H1554" s="4" t="str">
        <v>0</v>
      </c>
      <c r="I1554" s="4" t="str">
        <v>0</v>
      </c>
      <c r="J1554" s="4">
        <v>0</v>
      </c>
    </row>
    <row r="1555" spans="1:10" ht="16.5" hidden="1">
      <c r="A1555" s="4" t="str">
        <v xml:space="preserve"> </v>
      </c>
      <c r="B1555" s="4">
        <v>0</v>
      </c>
      <c r="C1555" s="4">
        <v>0</v>
      </c>
      <c r="D1555" s="4">
        <v>0</v>
      </c>
      <c r="E1555" s="4" t="str">
        <v>0</v>
      </c>
      <c r="F1555" s="102" t="str">
        <f ca="1">IFERROR(__xludf.DUMMYFUNCTION("IMPORTRANGE(H1555,""IDENTITAS UNIT!D9"")"),"#N/A")</f>
        <v>#N/A</v>
      </c>
      <c r="H1555" s="4" t="str">
        <v>0</v>
      </c>
      <c r="I1555" s="4" t="str">
        <v>0</v>
      </c>
      <c r="J1555" s="4">
        <v>0</v>
      </c>
    </row>
    <row r="1556" spans="1:10" ht="16.5" hidden="1">
      <c r="A1556" s="4" t="str">
        <v xml:space="preserve"> </v>
      </c>
      <c r="B1556" s="4">
        <v>0</v>
      </c>
      <c r="C1556" s="4">
        <v>0</v>
      </c>
      <c r="D1556" s="4">
        <v>0</v>
      </c>
      <c r="E1556" s="4" t="str">
        <v>0</v>
      </c>
      <c r="F1556" s="102" t="str">
        <f ca="1">IFERROR(__xludf.DUMMYFUNCTION("IMPORTRANGE(H1556,""IDENTITAS UNIT!D9"")"),"#N/A")</f>
        <v>#N/A</v>
      </c>
      <c r="H1556" s="4" t="str">
        <v>0</v>
      </c>
      <c r="I1556" s="4" t="str">
        <v>0</v>
      </c>
      <c r="J1556" s="4">
        <v>0</v>
      </c>
    </row>
    <row r="1557" spans="1:10" ht="16.5" hidden="1">
      <c r="A1557" s="4" t="str">
        <v xml:space="preserve"> </v>
      </c>
      <c r="B1557" s="4">
        <v>0</v>
      </c>
      <c r="C1557" s="4">
        <v>0</v>
      </c>
      <c r="D1557" s="4">
        <v>0</v>
      </c>
      <c r="E1557" s="4" t="str">
        <v>0</v>
      </c>
      <c r="F1557" s="102" t="str">
        <f ca="1">IFERROR(__xludf.DUMMYFUNCTION("IMPORTRANGE(H1557,""IDENTITAS UNIT!D9"")"),"#N/A")</f>
        <v>#N/A</v>
      </c>
      <c r="H1557" s="4" t="str">
        <v>0</v>
      </c>
      <c r="I1557" s="4" t="str">
        <v>0</v>
      </c>
      <c r="J1557" s="4">
        <v>0</v>
      </c>
    </row>
    <row r="1558" spans="1:10" ht="16.5" hidden="1">
      <c r="A1558" s="4" t="str">
        <v xml:space="preserve"> </v>
      </c>
      <c r="B1558" s="4">
        <v>0</v>
      </c>
      <c r="C1558" s="4">
        <v>0</v>
      </c>
      <c r="D1558" s="4">
        <v>0</v>
      </c>
      <c r="E1558" s="4" t="str">
        <v>0</v>
      </c>
      <c r="F1558" s="102" t="str">
        <f ca="1">IFERROR(__xludf.DUMMYFUNCTION("IMPORTRANGE(H1558,""IDENTITAS UNIT!D9"")"),"#N/A")</f>
        <v>#N/A</v>
      </c>
      <c r="H1558" s="4" t="str">
        <v>0</v>
      </c>
      <c r="I1558" s="4" t="str">
        <v>0</v>
      </c>
      <c r="J1558" s="4">
        <v>0</v>
      </c>
    </row>
    <row r="1559" spans="1:10" ht="16.5" hidden="1">
      <c r="A1559" s="4" t="str">
        <v xml:space="preserve"> </v>
      </c>
      <c r="B1559" s="4">
        <v>0</v>
      </c>
      <c r="C1559" s="4">
        <v>0</v>
      </c>
      <c r="D1559" s="4">
        <v>0</v>
      </c>
      <c r="E1559" s="4" t="str">
        <v>0</v>
      </c>
      <c r="F1559" s="102" t="str">
        <f ca="1">IFERROR(__xludf.DUMMYFUNCTION("IMPORTRANGE(H1559,""IDENTITAS UNIT!D9"")"),"#N/A")</f>
        <v>#N/A</v>
      </c>
      <c r="H1559" s="4" t="str">
        <v>0</v>
      </c>
      <c r="I1559" s="4" t="str">
        <v>0</v>
      </c>
      <c r="J1559" s="4">
        <v>0</v>
      </c>
    </row>
    <row r="1560" spans="1:10" ht="16.5" hidden="1">
      <c r="A1560" s="4" t="str">
        <v xml:space="preserve"> </v>
      </c>
      <c r="B1560" s="4">
        <v>0</v>
      </c>
      <c r="C1560" s="4">
        <v>0</v>
      </c>
      <c r="D1560" s="4">
        <v>0</v>
      </c>
      <c r="E1560" s="4" t="str">
        <v>0</v>
      </c>
      <c r="F1560" s="102" t="str">
        <f ca="1">IFERROR(__xludf.DUMMYFUNCTION("IMPORTRANGE(H1560,""IDENTITAS UNIT!D9"")"),"#N/A")</f>
        <v>#N/A</v>
      </c>
      <c r="H1560" s="4" t="str">
        <v>0</v>
      </c>
      <c r="I1560" s="4" t="str">
        <v>0</v>
      </c>
      <c r="J1560" s="4">
        <v>0</v>
      </c>
    </row>
    <row r="1561" spans="1:10" ht="16.5" hidden="1">
      <c r="A1561" s="4" t="str">
        <v xml:space="preserve"> </v>
      </c>
      <c r="B1561" s="4">
        <v>0</v>
      </c>
      <c r="C1561" s="4">
        <v>0</v>
      </c>
      <c r="D1561" s="4">
        <v>0</v>
      </c>
      <c r="E1561" s="4" t="str">
        <v>0</v>
      </c>
      <c r="F1561" s="102" t="str">
        <f ca="1">IFERROR(__xludf.DUMMYFUNCTION("IMPORTRANGE(H1561,""IDENTITAS UNIT!D9"")"),"#N/A")</f>
        <v>#N/A</v>
      </c>
      <c r="H1561" s="4" t="str">
        <v>0</v>
      </c>
      <c r="I1561" s="4" t="str">
        <v>0</v>
      </c>
      <c r="J1561" s="4">
        <v>0</v>
      </c>
    </row>
    <row r="1562" spans="1:10" ht="16.5" hidden="1">
      <c r="A1562" s="4" t="str">
        <v xml:space="preserve"> </v>
      </c>
      <c r="B1562" s="4">
        <v>0</v>
      </c>
      <c r="C1562" s="4">
        <v>0</v>
      </c>
      <c r="D1562" s="4">
        <v>0</v>
      </c>
      <c r="E1562" s="4" t="str">
        <v>0</v>
      </c>
      <c r="F1562" s="102" t="str">
        <f ca="1">IFERROR(__xludf.DUMMYFUNCTION("IMPORTRANGE(H1562,""IDENTITAS UNIT!D9"")"),"#N/A")</f>
        <v>#N/A</v>
      </c>
      <c r="H1562" s="4" t="str">
        <v>0</v>
      </c>
      <c r="I1562" s="4" t="str">
        <v>0</v>
      </c>
      <c r="J1562" s="4">
        <v>0</v>
      </c>
    </row>
    <row r="1563" spans="1:10" ht="16.5" hidden="1">
      <c r="A1563" s="4" t="str">
        <v xml:space="preserve"> </v>
      </c>
      <c r="B1563" s="4">
        <v>0</v>
      </c>
      <c r="C1563" s="4">
        <v>0</v>
      </c>
      <c r="D1563" s="4">
        <v>0</v>
      </c>
      <c r="E1563" s="4" t="str">
        <v>0</v>
      </c>
      <c r="F1563" s="102" t="str">
        <f ca="1">IFERROR(__xludf.DUMMYFUNCTION("IMPORTRANGE(H1563,""IDENTITAS UNIT!D9"")"),"#N/A")</f>
        <v>#N/A</v>
      </c>
      <c r="H1563" s="4" t="str">
        <v>0</v>
      </c>
      <c r="I1563" s="4" t="str">
        <v>0</v>
      </c>
      <c r="J1563" s="4">
        <v>0</v>
      </c>
    </row>
    <row r="1564" spans="1:10" ht="16.5" hidden="1">
      <c r="A1564" s="4" t="str">
        <v xml:space="preserve"> </v>
      </c>
      <c r="B1564" s="4">
        <v>0</v>
      </c>
      <c r="C1564" s="4">
        <v>0</v>
      </c>
      <c r="D1564" s="4">
        <v>0</v>
      </c>
      <c r="E1564" s="4" t="str">
        <v>0</v>
      </c>
      <c r="F1564" s="102" t="str">
        <f ca="1">IFERROR(__xludf.DUMMYFUNCTION("IMPORTRANGE(H1564,""IDENTITAS UNIT!D9"")"),"#N/A")</f>
        <v>#N/A</v>
      </c>
      <c r="H1564" s="4" t="str">
        <v>0</v>
      </c>
      <c r="I1564" s="4" t="str">
        <v>0</v>
      </c>
      <c r="J1564" s="4">
        <v>0</v>
      </c>
    </row>
    <row r="1565" spans="1:10" ht="16.5" hidden="1">
      <c r="A1565" s="4" t="str">
        <v xml:space="preserve"> </v>
      </c>
      <c r="B1565" s="4">
        <v>0</v>
      </c>
      <c r="C1565" s="4">
        <v>0</v>
      </c>
      <c r="D1565" s="4">
        <v>0</v>
      </c>
      <c r="E1565" s="4" t="str">
        <v>0</v>
      </c>
      <c r="F1565" s="102" t="str">
        <f ca="1">IFERROR(__xludf.DUMMYFUNCTION("IMPORTRANGE(H1565,""IDENTITAS UNIT!D9"")"),"#N/A")</f>
        <v>#N/A</v>
      </c>
      <c r="H1565" s="4" t="str">
        <v>0</v>
      </c>
      <c r="I1565" s="4" t="str">
        <v>0</v>
      </c>
      <c r="J1565" s="4">
        <v>0</v>
      </c>
    </row>
    <row r="1566" spans="1:10" ht="16.5" hidden="1">
      <c r="A1566" s="4" t="str">
        <v xml:space="preserve"> </v>
      </c>
      <c r="B1566" s="4">
        <v>0</v>
      </c>
      <c r="C1566" s="4">
        <v>0</v>
      </c>
      <c r="D1566" s="4">
        <v>0</v>
      </c>
      <c r="E1566" s="4" t="str">
        <v>0</v>
      </c>
      <c r="F1566" s="102" t="str">
        <f ca="1">IFERROR(__xludf.DUMMYFUNCTION("IMPORTRANGE(H1566,""IDENTITAS UNIT!D9"")"),"#N/A")</f>
        <v>#N/A</v>
      </c>
      <c r="H1566" s="4" t="str">
        <v>0</v>
      </c>
      <c r="I1566" s="4" t="str">
        <v>0</v>
      </c>
      <c r="J1566" s="4">
        <v>0</v>
      </c>
    </row>
    <row r="1567" spans="1:10" ht="16.5" hidden="1">
      <c r="A1567" s="4" t="str">
        <v xml:space="preserve"> </v>
      </c>
      <c r="B1567" s="4">
        <v>0</v>
      </c>
      <c r="C1567" s="4">
        <v>0</v>
      </c>
      <c r="D1567" s="4">
        <v>0</v>
      </c>
      <c r="E1567" s="4" t="str">
        <v>0</v>
      </c>
      <c r="F1567" s="102" t="str">
        <f ca="1">IFERROR(__xludf.DUMMYFUNCTION("IMPORTRANGE(H1567,""IDENTITAS UNIT!D9"")"),"#N/A")</f>
        <v>#N/A</v>
      </c>
      <c r="H1567" s="4" t="str">
        <v>0</v>
      </c>
      <c r="I1567" s="4" t="str">
        <v>0</v>
      </c>
      <c r="J1567" s="4">
        <v>0</v>
      </c>
    </row>
    <row r="1568" spans="1:10" ht="16.5" hidden="1">
      <c r="A1568" s="4" t="str">
        <v xml:space="preserve"> </v>
      </c>
      <c r="B1568" s="4">
        <v>0</v>
      </c>
      <c r="C1568" s="4">
        <v>0</v>
      </c>
      <c r="D1568" s="4">
        <v>0</v>
      </c>
      <c r="E1568" s="4" t="str">
        <v>0</v>
      </c>
      <c r="F1568" s="102" t="str">
        <f ca="1">IFERROR(__xludf.DUMMYFUNCTION("IMPORTRANGE(H1568,""IDENTITAS UNIT!D9"")"),"#N/A")</f>
        <v>#N/A</v>
      </c>
      <c r="H1568" s="4" t="str">
        <v>0</v>
      </c>
      <c r="I1568" s="4" t="str">
        <v>0</v>
      </c>
      <c r="J1568" s="4">
        <v>0</v>
      </c>
    </row>
    <row r="1569" spans="1:10" ht="16.5" hidden="1">
      <c r="A1569" s="4" t="str">
        <v xml:space="preserve"> </v>
      </c>
      <c r="B1569" s="4">
        <v>0</v>
      </c>
      <c r="C1569" s="4">
        <v>0</v>
      </c>
      <c r="D1569" s="4">
        <v>0</v>
      </c>
      <c r="E1569" s="4" t="str">
        <v>0</v>
      </c>
      <c r="F1569" s="102" t="str">
        <f ca="1">IFERROR(__xludf.DUMMYFUNCTION("IMPORTRANGE(H1569,""IDENTITAS UNIT!D9"")"),"#N/A")</f>
        <v>#N/A</v>
      </c>
      <c r="H1569" s="4" t="str">
        <v>0</v>
      </c>
      <c r="I1569" s="4" t="str">
        <v>0</v>
      </c>
      <c r="J1569" s="4">
        <v>0</v>
      </c>
    </row>
    <row r="1570" spans="1:10" ht="16.5" hidden="1">
      <c r="A1570" s="4" t="str">
        <v xml:space="preserve"> </v>
      </c>
      <c r="B1570" s="4">
        <v>0</v>
      </c>
      <c r="C1570" s="4">
        <v>0</v>
      </c>
      <c r="D1570" s="4">
        <v>0</v>
      </c>
      <c r="E1570" s="4" t="str">
        <v>0</v>
      </c>
      <c r="F1570" s="102" t="str">
        <f ca="1">IFERROR(__xludf.DUMMYFUNCTION("IMPORTRANGE(H1570,""IDENTITAS UNIT!D9"")"),"#N/A")</f>
        <v>#N/A</v>
      </c>
      <c r="H1570" s="4" t="str">
        <v>0</v>
      </c>
      <c r="I1570" s="4" t="str">
        <v>0</v>
      </c>
      <c r="J1570" s="4">
        <v>0</v>
      </c>
    </row>
    <row r="1571" spans="1:10" ht="16.5" hidden="1">
      <c r="A1571" s="4" t="str">
        <v xml:space="preserve"> </v>
      </c>
      <c r="B1571" s="4">
        <v>0</v>
      </c>
      <c r="C1571" s="4">
        <v>0</v>
      </c>
      <c r="D1571" s="4">
        <v>0</v>
      </c>
      <c r="E1571" s="4" t="str">
        <v>0</v>
      </c>
      <c r="F1571" s="102" t="str">
        <f ca="1">IFERROR(__xludf.DUMMYFUNCTION("IMPORTRANGE(H1571,""IDENTITAS UNIT!D9"")"),"#N/A")</f>
        <v>#N/A</v>
      </c>
      <c r="H1571" s="4" t="str">
        <v>0</v>
      </c>
      <c r="I1571" s="4" t="str">
        <v>0</v>
      </c>
      <c r="J1571" s="4">
        <v>0</v>
      </c>
    </row>
    <row r="1572" spans="1:10" ht="16.5" hidden="1">
      <c r="A1572" s="4" t="str">
        <v xml:space="preserve"> </v>
      </c>
      <c r="B1572" s="4">
        <v>0</v>
      </c>
      <c r="C1572" s="4">
        <v>0</v>
      </c>
      <c r="D1572" s="4">
        <v>0</v>
      </c>
      <c r="E1572" s="4" t="str">
        <v>0</v>
      </c>
      <c r="F1572" s="102" t="str">
        <f ca="1">IFERROR(__xludf.DUMMYFUNCTION("IMPORTRANGE(H1572,""IDENTITAS UNIT!D9"")"),"#N/A")</f>
        <v>#N/A</v>
      </c>
      <c r="H1572" s="4" t="str">
        <v>0</v>
      </c>
      <c r="I1572" s="4" t="str">
        <v>0</v>
      </c>
      <c r="J1572" s="4">
        <v>0</v>
      </c>
    </row>
    <row r="1573" spans="1:10" ht="16.5" hidden="1">
      <c r="A1573" s="4" t="str">
        <v xml:space="preserve"> </v>
      </c>
      <c r="B1573" s="4">
        <v>0</v>
      </c>
      <c r="C1573" s="4">
        <v>0</v>
      </c>
      <c r="D1573" s="4">
        <v>0</v>
      </c>
      <c r="E1573" s="4" t="str">
        <v>0</v>
      </c>
      <c r="F1573" s="102" t="str">
        <f ca="1">IFERROR(__xludf.DUMMYFUNCTION("IMPORTRANGE(H1573,""IDENTITAS UNIT!D9"")"),"#N/A")</f>
        <v>#N/A</v>
      </c>
      <c r="H1573" s="4" t="str">
        <v>0</v>
      </c>
      <c r="I1573" s="4" t="str">
        <v>0</v>
      </c>
      <c r="J1573" s="4">
        <v>0</v>
      </c>
    </row>
    <row r="1574" spans="1:10" ht="16.5" hidden="1">
      <c r="A1574" s="4" t="str">
        <v xml:space="preserve"> </v>
      </c>
      <c r="B1574" s="4">
        <v>0</v>
      </c>
      <c r="C1574" s="4">
        <v>0</v>
      </c>
      <c r="D1574" s="4">
        <v>0</v>
      </c>
      <c r="E1574" s="4" t="str">
        <v>0</v>
      </c>
      <c r="F1574" s="102" t="str">
        <f ca="1">IFERROR(__xludf.DUMMYFUNCTION("IMPORTRANGE(H1574,""IDENTITAS UNIT!D9"")"),"#N/A")</f>
        <v>#N/A</v>
      </c>
      <c r="H1574" s="4" t="str">
        <v>0</v>
      </c>
      <c r="I1574" s="4" t="str">
        <v>0</v>
      </c>
      <c r="J1574" s="4">
        <v>0</v>
      </c>
    </row>
    <row r="1575" spans="1:10" ht="16.5" hidden="1">
      <c r="A1575" s="4" t="str">
        <v xml:space="preserve"> </v>
      </c>
      <c r="B1575" s="4">
        <v>0</v>
      </c>
      <c r="C1575" s="4">
        <v>0</v>
      </c>
      <c r="D1575" s="4">
        <v>0</v>
      </c>
      <c r="E1575" s="4" t="str">
        <v>0</v>
      </c>
      <c r="F1575" s="102" t="str">
        <f ca="1">IFERROR(__xludf.DUMMYFUNCTION("IMPORTRANGE(H1575,""IDENTITAS UNIT!D9"")"),"#N/A")</f>
        <v>#N/A</v>
      </c>
      <c r="H1575" s="4" t="str">
        <v>0</v>
      </c>
      <c r="I1575" s="4" t="str">
        <v>0</v>
      </c>
      <c r="J1575" s="4">
        <v>0</v>
      </c>
    </row>
    <row r="1576" spans="1:10" ht="16.5" hidden="1">
      <c r="A1576" s="4" t="str">
        <v xml:space="preserve"> </v>
      </c>
      <c r="B1576" s="4">
        <v>0</v>
      </c>
      <c r="C1576" s="4">
        <v>0</v>
      </c>
      <c r="D1576" s="4">
        <v>0</v>
      </c>
      <c r="E1576" s="4" t="str">
        <v>0</v>
      </c>
      <c r="F1576" s="102" t="str">
        <f ca="1">IFERROR(__xludf.DUMMYFUNCTION("IMPORTRANGE(H1576,""IDENTITAS UNIT!D9"")"),"#N/A")</f>
        <v>#N/A</v>
      </c>
      <c r="H1576" s="4" t="str">
        <v>0</v>
      </c>
      <c r="I1576" s="4" t="str">
        <v>0</v>
      </c>
      <c r="J1576" s="4">
        <v>0</v>
      </c>
    </row>
    <row r="1577" spans="1:10" ht="16.5" hidden="1">
      <c r="A1577" s="4" t="str">
        <v xml:space="preserve"> </v>
      </c>
      <c r="B1577" s="4">
        <v>0</v>
      </c>
      <c r="C1577" s="4">
        <v>0</v>
      </c>
      <c r="D1577" s="4">
        <v>0</v>
      </c>
      <c r="E1577" s="4" t="str">
        <v>0</v>
      </c>
      <c r="F1577" s="102" t="str">
        <f ca="1">IFERROR(__xludf.DUMMYFUNCTION("IMPORTRANGE(H1577,""IDENTITAS UNIT!D9"")"),"#N/A")</f>
        <v>#N/A</v>
      </c>
      <c r="H1577" s="4" t="str">
        <v>0</v>
      </c>
      <c r="I1577" s="4" t="str">
        <v>0</v>
      </c>
      <c r="J1577" s="4">
        <v>0</v>
      </c>
    </row>
    <row r="1578" spans="1:10" ht="16.5" hidden="1">
      <c r="A1578" s="4" t="str">
        <v xml:space="preserve"> </v>
      </c>
      <c r="B1578" s="4">
        <v>0</v>
      </c>
      <c r="C1578" s="4">
        <v>0</v>
      </c>
      <c r="D1578" s="4">
        <v>0</v>
      </c>
      <c r="E1578" s="4" t="str">
        <v>0</v>
      </c>
      <c r="F1578" s="102" t="str">
        <f ca="1">IFERROR(__xludf.DUMMYFUNCTION("IMPORTRANGE(H1578,""IDENTITAS UNIT!D9"")"),"#N/A")</f>
        <v>#N/A</v>
      </c>
      <c r="H1578" s="4" t="str">
        <v>0</v>
      </c>
      <c r="I1578" s="4" t="str">
        <v>0</v>
      </c>
      <c r="J1578" s="4">
        <v>0</v>
      </c>
    </row>
    <row r="1579" spans="1:10" ht="16.5" hidden="1">
      <c r="A1579" s="4" t="str">
        <v xml:space="preserve"> </v>
      </c>
      <c r="B1579" s="4">
        <v>0</v>
      </c>
      <c r="C1579" s="4">
        <v>0</v>
      </c>
      <c r="D1579" s="4">
        <v>0</v>
      </c>
      <c r="E1579" s="4" t="str">
        <v>0</v>
      </c>
      <c r="F1579" s="102" t="str">
        <f ca="1">IFERROR(__xludf.DUMMYFUNCTION("IMPORTRANGE(H1579,""IDENTITAS UNIT!D9"")"),"#N/A")</f>
        <v>#N/A</v>
      </c>
      <c r="H1579" s="4" t="str">
        <v>0</v>
      </c>
      <c r="I1579" s="4" t="str">
        <v>0</v>
      </c>
      <c r="J1579" s="4">
        <v>0</v>
      </c>
    </row>
    <row r="1580" spans="1:10" ht="16.5" hidden="1">
      <c r="A1580" s="4" t="str">
        <v xml:space="preserve"> </v>
      </c>
      <c r="B1580" s="4">
        <v>0</v>
      </c>
      <c r="C1580" s="4">
        <v>0</v>
      </c>
      <c r="D1580" s="4">
        <v>0</v>
      </c>
      <c r="E1580" s="4" t="str">
        <v>0</v>
      </c>
      <c r="F1580" s="102" t="str">
        <f ca="1">IFERROR(__xludf.DUMMYFUNCTION("IMPORTRANGE(H1580,""IDENTITAS UNIT!D9"")"),"#N/A")</f>
        <v>#N/A</v>
      </c>
      <c r="H1580" s="4" t="str">
        <v>0</v>
      </c>
      <c r="I1580" s="4" t="str">
        <v>0</v>
      </c>
      <c r="J1580" s="4">
        <v>0</v>
      </c>
    </row>
    <row r="1581" spans="1:10" ht="16.5" hidden="1">
      <c r="A1581" s="4" t="str">
        <v xml:space="preserve"> </v>
      </c>
      <c r="B1581" s="4">
        <v>0</v>
      </c>
      <c r="C1581" s="4">
        <v>0</v>
      </c>
      <c r="D1581" s="4">
        <v>0</v>
      </c>
      <c r="E1581" s="4" t="str">
        <v>0</v>
      </c>
      <c r="F1581" s="102" t="str">
        <f ca="1">IFERROR(__xludf.DUMMYFUNCTION("IMPORTRANGE(H1581,""IDENTITAS UNIT!D9"")"),"#N/A")</f>
        <v>#N/A</v>
      </c>
      <c r="H1581" s="4" t="str">
        <v>0</v>
      </c>
      <c r="I1581" s="4" t="str">
        <v>0</v>
      </c>
      <c r="J1581" s="4">
        <v>0</v>
      </c>
    </row>
    <row r="1582" spans="1:10" ht="16.5" hidden="1">
      <c r="A1582" s="4" t="str">
        <v xml:space="preserve"> </v>
      </c>
      <c r="B1582" s="4">
        <v>0</v>
      </c>
      <c r="C1582" s="4">
        <v>0</v>
      </c>
      <c r="D1582" s="4">
        <v>0</v>
      </c>
      <c r="E1582" s="4" t="str">
        <v>0</v>
      </c>
      <c r="F1582" s="102" t="str">
        <f ca="1">IFERROR(__xludf.DUMMYFUNCTION("IMPORTRANGE(H1582,""IDENTITAS UNIT!D9"")"),"#N/A")</f>
        <v>#N/A</v>
      </c>
      <c r="H1582" s="4" t="str">
        <v>0</v>
      </c>
      <c r="I1582" s="4" t="str">
        <v>0</v>
      </c>
      <c r="J1582" s="4">
        <v>0</v>
      </c>
    </row>
    <row r="1583" spans="1:10" ht="16.5" hidden="1">
      <c r="A1583" s="4" t="str">
        <v xml:space="preserve"> </v>
      </c>
      <c r="B1583" s="4">
        <v>0</v>
      </c>
      <c r="C1583" s="4">
        <v>0</v>
      </c>
      <c r="D1583" s="4">
        <v>0</v>
      </c>
      <c r="E1583" s="4" t="str">
        <v>0</v>
      </c>
      <c r="F1583" s="102" t="str">
        <f ca="1">IFERROR(__xludf.DUMMYFUNCTION("IMPORTRANGE(H1583,""IDENTITAS UNIT!D9"")"),"#N/A")</f>
        <v>#N/A</v>
      </c>
      <c r="H1583" s="4" t="str">
        <v>0</v>
      </c>
      <c r="I1583" s="4" t="str">
        <v>0</v>
      </c>
      <c r="J1583" s="4">
        <v>0</v>
      </c>
    </row>
    <row r="1584" spans="1:10" ht="16.5" hidden="1">
      <c r="A1584" s="4" t="str">
        <v xml:space="preserve"> </v>
      </c>
      <c r="B1584" s="4">
        <v>0</v>
      </c>
      <c r="C1584" s="4">
        <v>0</v>
      </c>
      <c r="D1584" s="4">
        <v>0</v>
      </c>
      <c r="E1584" s="4" t="str">
        <v>0</v>
      </c>
      <c r="F1584" s="102" t="str">
        <f ca="1">IFERROR(__xludf.DUMMYFUNCTION("IMPORTRANGE(H1584,""IDENTITAS UNIT!D9"")"),"#N/A")</f>
        <v>#N/A</v>
      </c>
      <c r="H1584" s="4" t="str">
        <v>0</v>
      </c>
      <c r="I1584" s="4" t="str">
        <v>0</v>
      </c>
      <c r="J1584" s="4">
        <v>0</v>
      </c>
    </row>
    <row r="1585" spans="1:10" ht="16.5" hidden="1">
      <c r="A1585" s="4" t="str">
        <v xml:space="preserve"> </v>
      </c>
      <c r="B1585" s="4">
        <v>0</v>
      </c>
      <c r="C1585" s="4">
        <v>0</v>
      </c>
      <c r="D1585" s="4">
        <v>0</v>
      </c>
      <c r="E1585" s="4" t="str">
        <v>0</v>
      </c>
      <c r="F1585" s="102" t="str">
        <f ca="1">IFERROR(__xludf.DUMMYFUNCTION("IMPORTRANGE(H1585,""IDENTITAS UNIT!D9"")"),"#N/A")</f>
        <v>#N/A</v>
      </c>
      <c r="H1585" s="4" t="str">
        <v>0</v>
      </c>
      <c r="I1585" s="4" t="str">
        <v>0</v>
      </c>
      <c r="J1585" s="4">
        <v>0</v>
      </c>
    </row>
    <row r="1586" spans="1:10" ht="16.5" hidden="1">
      <c r="A1586" s="4" t="str">
        <v xml:space="preserve"> </v>
      </c>
      <c r="B1586" s="4">
        <v>0</v>
      </c>
      <c r="C1586" s="4">
        <v>0</v>
      </c>
      <c r="D1586" s="4">
        <v>0</v>
      </c>
      <c r="E1586" s="4" t="str">
        <v>0</v>
      </c>
      <c r="F1586" s="102" t="str">
        <f ca="1">IFERROR(__xludf.DUMMYFUNCTION("IMPORTRANGE(H1586,""IDENTITAS UNIT!D9"")"),"#N/A")</f>
        <v>#N/A</v>
      </c>
      <c r="H1586" s="4" t="str">
        <v>0</v>
      </c>
      <c r="I1586" s="4" t="str">
        <v>0</v>
      </c>
      <c r="J1586" s="4">
        <v>0</v>
      </c>
    </row>
    <row r="1587" spans="1:10" ht="16.5" hidden="1">
      <c r="A1587" s="4" t="str">
        <v xml:space="preserve"> </v>
      </c>
      <c r="B1587" s="4">
        <v>0</v>
      </c>
      <c r="C1587" s="4">
        <v>0</v>
      </c>
      <c r="D1587" s="4">
        <v>0</v>
      </c>
      <c r="E1587" s="4" t="str">
        <v>0</v>
      </c>
      <c r="F1587" s="102" t="str">
        <f ca="1">IFERROR(__xludf.DUMMYFUNCTION("IMPORTRANGE(H1587,""IDENTITAS UNIT!D9"")"),"#N/A")</f>
        <v>#N/A</v>
      </c>
      <c r="H1587" s="4" t="str">
        <v>0</v>
      </c>
      <c r="I1587" s="4" t="str">
        <v>0</v>
      </c>
      <c r="J1587" s="4">
        <v>0</v>
      </c>
    </row>
    <row r="1588" spans="1:10" ht="16.5" hidden="1">
      <c r="A1588" s="4" t="str">
        <v xml:space="preserve"> </v>
      </c>
      <c r="B1588" s="4">
        <v>0</v>
      </c>
      <c r="C1588" s="4">
        <v>0</v>
      </c>
      <c r="D1588" s="4">
        <v>0</v>
      </c>
      <c r="E1588" s="4" t="str">
        <v>0</v>
      </c>
      <c r="F1588" s="102" t="str">
        <f ca="1">IFERROR(__xludf.DUMMYFUNCTION("IMPORTRANGE(H1588,""IDENTITAS UNIT!D9"")"),"#N/A")</f>
        <v>#N/A</v>
      </c>
      <c r="H1588" s="4" t="str">
        <v>0</v>
      </c>
      <c r="I1588" s="4" t="str">
        <v>0</v>
      </c>
      <c r="J1588" s="4">
        <v>0</v>
      </c>
    </row>
    <row r="1589" spans="1:10" ht="16.5" hidden="1">
      <c r="A1589" s="4" t="str">
        <v xml:space="preserve"> </v>
      </c>
      <c r="B1589" s="4">
        <v>0</v>
      </c>
      <c r="C1589" s="4">
        <v>0</v>
      </c>
      <c r="D1589" s="4">
        <v>0</v>
      </c>
      <c r="E1589" s="4" t="str">
        <v>0</v>
      </c>
      <c r="F1589" s="102" t="str">
        <f ca="1">IFERROR(__xludf.DUMMYFUNCTION("IMPORTRANGE(H1589,""IDENTITAS UNIT!D9"")"),"#N/A")</f>
        <v>#N/A</v>
      </c>
      <c r="H1589" s="4" t="str">
        <v>0</v>
      </c>
      <c r="I1589" s="4" t="str">
        <v>0</v>
      </c>
      <c r="J1589" s="4">
        <v>0</v>
      </c>
    </row>
    <row r="1590" spans="1:10" ht="16.5" hidden="1">
      <c r="A1590" s="4" t="str">
        <v xml:space="preserve"> </v>
      </c>
      <c r="B1590" s="4">
        <v>0</v>
      </c>
      <c r="C1590" s="4">
        <v>0</v>
      </c>
      <c r="D1590" s="4">
        <v>0</v>
      </c>
      <c r="E1590" s="4" t="str">
        <v>0</v>
      </c>
      <c r="F1590" s="102" t="str">
        <f ca="1">IFERROR(__xludf.DUMMYFUNCTION("IMPORTRANGE(H1590,""IDENTITAS UNIT!D9"")"),"#N/A")</f>
        <v>#N/A</v>
      </c>
      <c r="H1590" s="4" t="str">
        <v>0</v>
      </c>
      <c r="I1590" s="4" t="str">
        <v>0</v>
      </c>
      <c r="J1590" s="4">
        <v>0</v>
      </c>
    </row>
    <row r="1591" spans="1:10" ht="16.5" hidden="1">
      <c r="A1591" s="4" t="str">
        <v xml:space="preserve"> </v>
      </c>
      <c r="B1591" s="4">
        <v>0</v>
      </c>
      <c r="C1591" s="4">
        <v>0</v>
      </c>
      <c r="D1591" s="4">
        <v>0</v>
      </c>
      <c r="E1591" s="4" t="str">
        <v>0</v>
      </c>
      <c r="F1591" s="102" t="str">
        <f ca="1">IFERROR(__xludf.DUMMYFUNCTION("IMPORTRANGE(H1591,""IDENTITAS UNIT!D9"")"),"#N/A")</f>
        <v>#N/A</v>
      </c>
      <c r="H1591" s="4" t="str">
        <v>0</v>
      </c>
      <c r="I1591" s="4" t="str">
        <v>0</v>
      </c>
      <c r="J1591" s="4">
        <v>0</v>
      </c>
    </row>
    <row r="1592" spans="1:10" ht="16.5" hidden="1">
      <c r="A1592" s="4" t="str">
        <v xml:space="preserve"> </v>
      </c>
      <c r="B1592" s="4">
        <v>0</v>
      </c>
      <c r="C1592" s="4">
        <v>0</v>
      </c>
      <c r="D1592" s="4">
        <v>0</v>
      </c>
      <c r="E1592" s="4" t="str">
        <v>0</v>
      </c>
      <c r="F1592" s="102" t="str">
        <f ca="1">IFERROR(__xludf.DUMMYFUNCTION("IMPORTRANGE(H1592,""IDENTITAS UNIT!D9"")"),"#N/A")</f>
        <v>#N/A</v>
      </c>
      <c r="H1592" s="4" t="str">
        <v>0</v>
      </c>
      <c r="I1592" s="4" t="str">
        <v>0</v>
      </c>
      <c r="J1592" s="4">
        <v>0</v>
      </c>
    </row>
    <row r="1593" spans="1:10" ht="16.5" hidden="1">
      <c r="A1593" s="4" t="str">
        <v xml:space="preserve"> </v>
      </c>
      <c r="B1593" s="4">
        <v>0</v>
      </c>
      <c r="C1593" s="4">
        <v>0</v>
      </c>
      <c r="D1593" s="4">
        <v>0</v>
      </c>
      <c r="E1593" s="4" t="str">
        <v>0</v>
      </c>
      <c r="F1593" s="102" t="str">
        <f ca="1">IFERROR(__xludf.DUMMYFUNCTION("IMPORTRANGE(H1593,""IDENTITAS UNIT!D9"")"),"#N/A")</f>
        <v>#N/A</v>
      </c>
      <c r="H1593" s="4" t="str">
        <v>0</v>
      </c>
      <c r="I1593" s="4" t="str">
        <v>0</v>
      </c>
      <c r="J1593" s="4">
        <v>0</v>
      </c>
    </row>
    <row r="1594" spans="1:10" ht="16.5" hidden="1">
      <c r="A1594" s="4" t="str">
        <v xml:space="preserve"> </v>
      </c>
      <c r="B1594" s="4">
        <v>0</v>
      </c>
      <c r="C1594" s="4">
        <v>0</v>
      </c>
      <c r="D1594" s="4">
        <v>0</v>
      </c>
      <c r="E1594" s="4" t="str">
        <v>0</v>
      </c>
      <c r="F1594" s="102" t="str">
        <f ca="1">IFERROR(__xludf.DUMMYFUNCTION("IMPORTRANGE(H1594,""IDENTITAS UNIT!D9"")"),"#N/A")</f>
        <v>#N/A</v>
      </c>
      <c r="H1594" s="4" t="str">
        <v>0</v>
      </c>
      <c r="I1594" s="4" t="str">
        <v>0</v>
      </c>
      <c r="J1594" s="4">
        <v>0</v>
      </c>
    </row>
    <row r="1595" spans="1:10" ht="16.5" hidden="1">
      <c r="A1595" s="4" t="str">
        <v xml:space="preserve"> </v>
      </c>
      <c r="B1595" s="4">
        <v>0</v>
      </c>
      <c r="C1595" s="4">
        <v>0</v>
      </c>
      <c r="D1595" s="4">
        <v>0</v>
      </c>
      <c r="E1595" s="4" t="str">
        <v>0</v>
      </c>
      <c r="F1595" s="102" t="str">
        <f ca="1">IFERROR(__xludf.DUMMYFUNCTION("IMPORTRANGE(H1595,""IDENTITAS UNIT!D9"")"),"#N/A")</f>
        <v>#N/A</v>
      </c>
      <c r="H1595" s="4" t="str">
        <v>0</v>
      </c>
      <c r="I1595" s="4" t="str">
        <v>0</v>
      </c>
      <c r="J1595" s="4">
        <v>0</v>
      </c>
    </row>
    <row r="1596" spans="1:10" ht="16.5" hidden="1">
      <c r="A1596" s="4" t="str">
        <v xml:space="preserve"> </v>
      </c>
      <c r="B1596" s="4">
        <v>0</v>
      </c>
      <c r="C1596" s="4">
        <v>0</v>
      </c>
      <c r="D1596" s="4">
        <v>0</v>
      </c>
      <c r="E1596" s="4" t="str">
        <v>0</v>
      </c>
      <c r="F1596" s="102" t="str">
        <f ca="1">IFERROR(__xludf.DUMMYFUNCTION("IMPORTRANGE(H1596,""IDENTITAS UNIT!D9"")"),"#N/A")</f>
        <v>#N/A</v>
      </c>
      <c r="H1596" s="4" t="str">
        <v>0</v>
      </c>
      <c r="I1596" s="4" t="str">
        <v>0</v>
      </c>
      <c r="J1596" s="4">
        <v>0</v>
      </c>
    </row>
    <row r="1597" spans="1:10" ht="16.5" hidden="1">
      <c r="A1597" s="4" t="str">
        <v xml:space="preserve"> </v>
      </c>
      <c r="B1597" s="4">
        <v>0</v>
      </c>
      <c r="C1597" s="4">
        <v>0</v>
      </c>
      <c r="D1597" s="4">
        <v>0</v>
      </c>
      <c r="E1597" s="4" t="str">
        <v>0</v>
      </c>
      <c r="F1597" s="102" t="str">
        <f ca="1">IFERROR(__xludf.DUMMYFUNCTION("IMPORTRANGE(H1597,""IDENTITAS UNIT!D9"")"),"#N/A")</f>
        <v>#N/A</v>
      </c>
      <c r="H1597" s="4" t="str">
        <v>0</v>
      </c>
      <c r="I1597" s="4" t="str">
        <v>0</v>
      </c>
      <c r="J1597" s="4">
        <v>0</v>
      </c>
    </row>
    <row r="1598" spans="1:10" ht="16.5" hidden="1">
      <c r="A1598" s="4" t="str">
        <v xml:space="preserve"> </v>
      </c>
      <c r="B1598" s="4">
        <v>0</v>
      </c>
      <c r="C1598" s="4">
        <v>0</v>
      </c>
      <c r="D1598" s="4">
        <v>0</v>
      </c>
      <c r="E1598" s="4" t="str">
        <v>0</v>
      </c>
      <c r="F1598" s="102" t="str">
        <f ca="1">IFERROR(__xludf.DUMMYFUNCTION("IMPORTRANGE(H1598,""IDENTITAS UNIT!D9"")"),"#N/A")</f>
        <v>#N/A</v>
      </c>
      <c r="H1598" s="4" t="str">
        <v>0</v>
      </c>
      <c r="I1598" s="4" t="str">
        <v>0</v>
      </c>
      <c r="J1598" s="4">
        <v>0</v>
      </c>
    </row>
    <row r="1599" spans="1:10" ht="16.5" hidden="1">
      <c r="A1599" s="4" t="str">
        <v xml:space="preserve"> </v>
      </c>
      <c r="B1599" s="4">
        <v>0</v>
      </c>
      <c r="C1599" s="4">
        <v>0</v>
      </c>
      <c r="D1599" s="4">
        <v>0</v>
      </c>
      <c r="E1599" s="4" t="str">
        <v>0</v>
      </c>
      <c r="F1599" s="102" t="str">
        <f ca="1">IFERROR(__xludf.DUMMYFUNCTION("IMPORTRANGE(H1599,""IDENTITAS UNIT!D9"")"),"#N/A")</f>
        <v>#N/A</v>
      </c>
      <c r="H1599" s="4" t="str">
        <v>0</v>
      </c>
      <c r="I1599" s="4" t="str">
        <v>0</v>
      </c>
      <c r="J1599" s="4">
        <v>0</v>
      </c>
    </row>
    <row r="1600" spans="1:10" ht="16.5" hidden="1">
      <c r="A1600" s="4" t="str">
        <v xml:space="preserve"> </v>
      </c>
      <c r="B1600" s="4">
        <v>0</v>
      </c>
      <c r="C1600" s="4">
        <v>0</v>
      </c>
      <c r="D1600" s="4">
        <v>0</v>
      </c>
      <c r="E1600" s="4" t="str">
        <v>0</v>
      </c>
      <c r="F1600" s="102" t="str">
        <f ca="1">IFERROR(__xludf.DUMMYFUNCTION("IMPORTRANGE(H1600,""IDENTITAS UNIT!D9"")"),"#N/A")</f>
        <v>#N/A</v>
      </c>
      <c r="H1600" s="4" t="str">
        <v>0</v>
      </c>
      <c r="I1600" s="4" t="str">
        <v>0</v>
      </c>
      <c r="J1600" s="4">
        <v>0</v>
      </c>
    </row>
    <row r="1601" spans="1:10" ht="16.5" hidden="1">
      <c r="A1601" s="4" t="str">
        <v xml:space="preserve"> </v>
      </c>
      <c r="B1601" s="4">
        <v>0</v>
      </c>
      <c r="C1601" s="4">
        <v>0</v>
      </c>
      <c r="D1601" s="4">
        <v>0</v>
      </c>
      <c r="E1601" s="4" t="str">
        <v>0</v>
      </c>
      <c r="F1601" s="102" t="str">
        <f ca="1">IFERROR(__xludf.DUMMYFUNCTION("IMPORTRANGE(H1601,""IDENTITAS UNIT!D9"")"),"#N/A")</f>
        <v>#N/A</v>
      </c>
      <c r="H1601" s="4" t="str">
        <v>0</v>
      </c>
      <c r="I1601" s="4" t="str">
        <v>0</v>
      </c>
      <c r="J1601" s="4">
        <v>0</v>
      </c>
    </row>
    <row r="1602" spans="1:10" ht="16.5" hidden="1">
      <c r="A1602" s="4" t="str">
        <v xml:space="preserve"> </v>
      </c>
      <c r="B1602" s="4">
        <v>0</v>
      </c>
      <c r="C1602" s="4">
        <v>0</v>
      </c>
      <c r="D1602" s="4">
        <v>0</v>
      </c>
      <c r="E1602" s="4" t="str">
        <v>0</v>
      </c>
      <c r="F1602" s="102" t="str">
        <f ca="1">IFERROR(__xludf.DUMMYFUNCTION("IMPORTRANGE(H1602,""IDENTITAS UNIT!D9"")"),"#N/A")</f>
        <v>#N/A</v>
      </c>
      <c r="H1602" s="4" t="str">
        <v>0</v>
      </c>
      <c r="I1602" s="4" t="str">
        <v>0</v>
      </c>
      <c r="J1602" s="4">
        <v>0</v>
      </c>
    </row>
    <row r="1603" spans="1:10" ht="16.5" hidden="1">
      <c r="A1603" s="4" t="str">
        <v xml:space="preserve"> </v>
      </c>
      <c r="B1603" s="4">
        <v>0</v>
      </c>
      <c r="C1603" s="4">
        <v>0</v>
      </c>
      <c r="D1603" s="4">
        <v>0</v>
      </c>
      <c r="E1603" s="4" t="str">
        <v>0</v>
      </c>
      <c r="F1603" s="102" t="str">
        <f ca="1">IFERROR(__xludf.DUMMYFUNCTION("IMPORTRANGE(H1603,""IDENTITAS UNIT!D9"")"),"#N/A")</f>
        <v>#N/A</v>
      </c>
      <c r="H1603" s="4" t="str">
        <v>0</v>
      </c>
      <c r="I1603" s="4" t="str">
        <v>0</v>
      </c>
      <c r="J1603" s="4">
        <v>0</v>
      </c>
    </row>
    <row r="1604" spans="1:10" ht="16.5" hidden="1">
      <c r="A1604" s="4" t="str">
        <v xml:space="preserve"> </v>
      </c>
      <c r="B1604" s="4">
        <v>0</v>
      </c>
      <c r="C1604" s="4">
        <v>0</v>
      </c>
      <c r="D1604" s="4">
        <v>0</v>
      </c>
      <c r="E1604" s="4" t="str">
        <v>0</v>
      </c>
      <c r="F1604" s="102" t="str">
        <f ca="1">IFERROR(__xludf.DUMMYFUNCTION("IMPORTRANGE(H1604,""IDENTITAS UNIT!D9"")"),"#N/A")</f>
        <v>#N/A</v>
      </c>
      <c r="H1604" s="4" t="str">
        <v>0</v>
      </c>
      <c r="I1604" s="4" t="str">
        <v>0</v>
      </c>
      <c r="J1604" s="4">
        <v>0</v>
      </c>
    </row>
    <row r="1605" spans="1:10" ht="16.5" hidden="1">
      <c r="A1605" s="4" t="str">
        <v xml:space="preserve"> </v>
      </c>
      <c r="B1605" s="4">
        <v>0</v>
      </c>
      <c r="C1605" s="4">
        <v>0</v>
      </c>
      <c r="D1605" s="4">
        <v>0</v>
      </c>
      <c r="E1605" s="4" t="str">
        <v>0</v>
      </c>
      <c r="F1605" s="102" t="str">
        <f ca="1">IFERROR(__xludf.DUMMYFUNCTION("IMPORTRANGE(H1605,""IDENTITAS UNIT!D9"")"),"#N/A")</f>
        <v>#N/A</v>
      </c>
      <c r="H1605" s="4" t="str">
        <v>0</v>
      </c>
      <c r="I1605" s="4" t="str">
        <v>0</v>
      </c>
      <c r="J1605" s="4">
        <v>0</v>
      </c>
    </row>
    <row r="1606" spans="1:10" ht="16.5" hidden="1">
      <c r="A1606" s="4" t="str">
        <v xml:space="preserve"> </v>
      </c>
      <c r="B1606" s="4">
        <v>0</v>
      </c>
      <c r="C1606" s="4">
        <v>0</v>
      </c>
      <c r="D1606" s="4">
        <v>0</v>
      </c>
      <c r="E1606" s="4" t="str">
        <v>0</v>
      </c>
      <c r="F1606" s="102" t="str">
        <f ca="1">IFERROR(__xludf.DUMMYFUNCTION("IMPORTRANGE(H1606,""IDENTITAS UNIT!D9"")"),"#N/A")</f>
        <v>#N/A</v>
      </c>
      <c r="H1606" s="4" t="str">
        <v>0</v>
      </c>
      <c r="I1606" s="4" t="str">
        <v>0</v>
      </c>
      <c r="J1606" s="4">
        <v>0</v>
      </c>
    </row>
    <row r="1607" spans="1:10" ht="16.5" hidden="1">
      <c r="A1607" s="4" t="str">
        <v xml:space="preserve"> </v>
      </c>
      <c r="B1607" s="4">
        <v>0</v>
      </c>
      <c r="C1607" s="4">
        <v>0</v>
      </c>
      <c r="D1607" s="4">
        <v>0</v>
      </c>
      <c r="E1607" s="4" t="str">
        <v>0</v>
      </c>
      <c r="F1607" s="102" t="str">
        <f ca="1">IFERROR(__xludf.DUMMYFUNCTION("IMPORTRANGE(H1607,""IDENTITAS UNIT!D9"")"),"#N/A")</f>
        <v>#N/A</v>
      </c>
      <c r="H1607" s="4" t="str">
        <v>0</v>
      </c>
      <c r="I1607" s="4" t="str">
        <v>0</v>
      </c>
      <c r="J1607" s="4">
        <v>0</v>
      </c>
    </row>
    <row r="1608" spans="1:10" ht="16.5" hidden="1">
      <c r="A1608" s="4" t="str">
        <v xml:space="preserve"> </v>
      </c>
      <c r="B1608" s="4">
        <v>0</v>
      </c>
      <c r="C1608" s="4">
        <v>0</v>
      </c>
      <c r="D1608" s="4">
        <v>0</v>
      </c>
      <c r="E1608" s="4" t="str">
        <v>0</v>
      </c>
      <c r="F1608" s="102" t="str">
        <f ca="1">IFERROR(__xludf.DUMMYFUNCTION("IMPORTRANGE(H1608,""IDENTITAS UNIT!D9"")"),"#N/A")</f>
        <v>#N/A</v>
      </c>
      <c r="H1608" s="4" t="str">
        <v>0</v>
      </c>
      <c r="I1608" s="4" t="str">
        <v>0</v>
      </c>
      <c r="J1608" s="4">
        <v>0</v>
      </c>
    </row>
    <row r="1609" spans="1:10" ht="16.5" hidden="1">
      <c r="A1609" s="4" t="str">
        <v xml:space="preserve"> </v>
      </c>
      <c r="B1609" s="4">
        <v>0</v>
      </c>
      <c r="C1609" s="4">
        <v>0</v>
      </c>
      <c r="D1609" s="4">
        <v>0</v>
      </c>
      <c r="E1609" s="4" t="str">
        <v>0</v>
      </c>
      <c r="F1609" s="102" t="str">
        <f ca="1">IFERROR(__xludf.DUMMYFUNCTION("IMPORTRANGE(H1609,""IDENTITAS UNIT!D9"")"),"#N/A")</f>
        <v>#N/A</v>
      </c>
      <c r="H1609" s="4" t="str">
        <v>0</v>
      </c>
      <c r="I1609" s="4" t="str">
        <v>0</v>
      </c>
      <c r="J1609" s="4">
        <v>0</v>
      </c>
    </row>
    <row r="1610" spans="1:10" ht="16.5" hidden="1">
      <c r="A1610" s="4" t="str">
        <v xml:space="preserve"> </v>
      </c>
      <c r="B1610" s="4">
        <v>0</v>
      </c>
      <c r="C1610" s="4">
        <v>0</v>
      </c>
      <c r="D1610" s="4">
        <v>0</v>
      </c>
      <c r="E1610" s="4" t="str">
        <v>0</v>
      </c>
      <c r="F1610" s="102" t="str">
        <f ca="1">IFERROR(__xludf.DUMMYFUNCTION("IMPORTRANGE(H1610,""IDENTITAS UNIT!D9"")"),"#N/A")</f>
        <v>#N/A</v>
      </c>
      <c r="H1610" s="4" t="str">
        <v>0</v>
      </c>
      <c r="I1610" s="4" t="str">
        <v>0</v>
      </c>
      <c r="J1610" s="4">
        <v>0</v>
      </c>
    </row>
    <row r="1611" spans="1:10" ht="16.5" hidden="1">
      <c r="A1611" s="4" t="str">
        <v xml:space="preserve"> </v>
      </c>
      <c r="B1611" s="4">
        <v>0</v>
      </c>
      <c r="C1611" s="4">
        <v>0</v>
      </c>
      <c r="D1611" s="4">
        <v>0</v>
      </c>
      <c r="E1611" s="4" t="str">
        <v>0</v>
      </c>
      <c r="F1611" s="102" t="str">
        <f ca="1">IFERROR(__xludf.DUMMYFUNCTION("IMPORTRANGE(H1611,""IDENTITAS UNIT!D9"")"),"#N/A")</f>
        <v>#N/A</v>
      </c>
      <c r="H1611" s="4" t="str">
        <v>0</v>
      </c>
      <c r="I1611" s="4" t="str">
        <v>0</v>
      </c>
      <c r="J1611" s="4">
        <v>0</v>
      </c>
    </row>
    <row r="1612" spans="1:10" ht="16.5" hidden="1">
      <c r="A1612" s="4" t="str">
        <v xml:space="preserve"> </v>
      </c>
      <c r="B1612" s="4">
        <v>0</v>
      </c>
      <c r="C1612" s="4">
        <v>0</v>
      </c>
      <c r="D1612" s="4">
        <v>0</v>
      </c>
      <c r="E1612" s="4" t="str">
        <v>0</v>
      </c>
      <c r="F1612" s="102" t="str">
        <f ca="1">IFERROR(__xludf.DUMMYFUNCTION("IMPORTRANGE(H1612,""IDENTITAS UNIT!D9"")"),"#N/A")</f>
        <v>#N/A</v>
      </c>
      <c r="H1612" s="4" t="str">
        <v>0</v>
      </c>
      <c r="I1612" s="4" t="str">
        <v>0</v>
      </c>
      <c r="J1612" s="4">
        <v>0</v>
      </c>
    </row>
    <row r="1613" spans="1:10" ht="16.5" hidden="1">
      <c r="A1613" s="4" t="str">
        <v xml:space="preserve"> </v>
      </c>
      <c r="B1613" s="4">
        <v>0</v>
      </c>
      <c r="C1613" s="4">
        <v>0</v>
      </c>
      <c r="D1613" s="4">
        <v>0</v>
      </c>
      <c r="E1613" s="4" t="str">
        <v>0</v>
      </c>
      <c r="F1613" s="102" t="str">
        <f ca="1">IFERROR(__xludf.DUMMYFUNCTION("IMPORTRANGE(H1613,""IDENTITAS UNIT!D9"")"),"#N/A")</f>
        <v>#N/A</v>
      </c>
      <c r="H1613" s="4" t="str">
        <v>0</v>
      </c>
      <c r="I1613" s="4" t="str">
        <v>0</v>
      </c>
      <c r="J1613" s="4">
        <v>0</v>
      </c>
    </row>
    <row r="1614" spans="1:10" ht="16.5" hidden="1">
      <c r="A1614" s="4" t="str">
        <v xml:space="preserve"> </v>
      </c>
      <c r="B1614" s="4">
        <v>0</v>
      </c>
      <c r="C1614" s="4">
        <v>0</v>
      </c>
      <c r="D1614" s="4">
        <v>0</v>
      </c>
      <c r="E1614" s="4" t="str">
        <v>0</v>
      </c>
      <c r="F1614" s="102" t="str">
        <f ca="1">IFERROR(__xludf.DUMMYFUNCTION("IMPORTRANGE(H1614,""IDENTITAS UNIT!D9"")"),"#N/A")</f>
        <v>#N/A</v>
      </c>
      <c r="H1614" s="4" t="str">
        <v>0</v>
      </c>
      <c r="I1614" s="4" t="str">
        <v>0</v>
      </c>
      <c r="J1614" s="4">
        <v>0</v>
      </c>
    </row>
    <row r="1615" spans="1:10" ht="16.5" hidden="1">
      <c r="A1615" s="4" t="str">
        <v xml:space="preserve"> </v>
      </c>
      <c r="B1615" s="4">
        <v>0</v>
      </c>
      <c r="C1615" s="4">
        <v>0</v>
      </c>
      <c r="D1615" s="4">
        <v>0</v>
      </c>
      <c r="E1615" s="4" t="str">
        <v>0</v>
      </c>
      <c r="F1615" s="102" t="str">
        <f ca="1">IFERROR(__xludf.DUMMYFUNCTION("IMPORTRANGE(H1615,""IDENTITAS UNIT!D9"")"),"#N/A")</f>
        <v>#N/A</v>
      </c>
      <c r="H1615" s="4" t="str">
        <v>0</v>
      </c>
      <c r="I1615" s="4" t="str">
        <v>0</v>
      </c>
      <c r="J1615" s="4">
        <v>0</v>
      </c>
    </row>
    <row r="1616" spans="1:10" ht="16.5" hidden="1">
      <c r="A1616" s="4" t="str">
        <v xml:space="preserve"> </v>
      </c>
      <c r="B1616" s="4">
        <v>0</v>
      </c>
      <c r="C1616" s="4">
        <v>0</v>
      </c>
      <c r="D1616" s="4">
        <v>0</v>
      </c>
      <c r="E1616" s="4" t="str">
        <v>0</v>
      </c>
      <c r="F1616" s="102" t="str">
        <f ca="1">IFERROR(__xludf.DUMMYFUNCTION("IMPORTRANGE(H1616,""IDENTITAS UNIT!D9"")"),"#N/A")</f>
        <v>#N/A</v>
      </c>
      <c r="H1616" s="4" t="str">
        <v>0</v>
      </c>
      <c r="I1616" s="4" t="str">
        <v>0</v>
      </c>
      <c r="J1616" s="4">
        <v>0</v>
      </c>
    </row>
    <row r="1617" spans="1:10" ht="16.5" hidden="1">
      <c r="A1617" s="4" t="str">
        <v xml:space="preserve"> </v>
      </c>
      <c r="B1617" s="4">
        <v>0</v>
      </c>
      <c r="C1617" s="4">
        <v>0</v>
      </c>
      <c r="D1617" s="4">
        <v>0</v>
      </c>
      <c r="E1617" s="4" t="str">
        <v>0</v>
      </c>
      <c r="F1617" s="102" t="str">
        <f ca="1">IFERROR(__xludf.DUMMYFUNCTION("IMPORTRANGE(H1617,""IDENTITAS UNIT!D9"")"),"#N/A")</f>
        <v>#N/A</v>
      </c>
      <c r="H1617" s="4" t="str">
        <v>0</v>
      </c>
      <c r="I1617" s="4" t="str">
        <v>0</v>
      </c>
      <c r="J1617" s="4">
        <v>0</v>
      </c>
    </row>
    <row r="1618" spans="1:10" ht="16.5" hidden="1">
      <c r="A1618" s="4" t="str">
        <v xml:space="preserve"> </v>
      </c>
      <c r="B1618" s="4">
        <v>0</v>
      </c>
      <c r="C1618" s="4">
        <v>0</v>
      </c>
      <c r="D1618" s="4">
        <v>0</v>
      </c>
      <c r="E1618" s="4" t="str">
        <v>0</v>
      </c>
      <c r="F1618" s="102" t="str">
        <f ca="1">IFERROR(__xludf.DUMMYFUNCTION("IMPORTRANGE(H1618,""IDENTITAS UNIT!D9"")"),"#N/A")</f>
        <v>#N/A</v>
      </c>
      <c r="H1618" s="4" t="str">
        <v>0</v>
      </c>
      <c r="I1618" s="4" t="str">
        <v>0</v>
      </c>
      <c r="J1618" s="4">
        <v>0</v>
      </c>
    </row>
    <row r="1619" spans="1:10" ht="16.5" hidden="1">
      <c r="A1619" s="4" t="str">
        <v xml:space="preserve"> </v>
      </c>
      <c r="B1619" s="4">
        <v>0</v>
      </c>
      <c r="C1619" s="4">
        <v>0</v>
      </c>
      <c r="D1619" s="4">
        <v>0</v>
      </c>
      <c r="E1619" s="4" t="str">
        <v>0</v>
      </c>
      <c r="F1619" s="102" t="str">
        <f ca="1">IFERROR(__xludf.DUMMYFUNCTION("IMPORTRANGE(H1619,""IDENTITAS UNIT!D9"")"),"#N/A")</f>
        <v>#N/A</v>
      </c>
      <c r="H1619" s="4" t="str">
        <v>0</v>
      </c>
      <c r="I1619" s="4" t="str">
        <v>0</v>
      </c>
      <c r="J1619" s="4">
        <v>0</v>
      </c>
    </row>
    <row r="1620" spans="1:10" ht="16.5" hidden="1">
      <c r="A1620" s="4" t="str">
        <v xml:space="preserve"> </v>
      </c>
      <c r="B1620" s="4">
        <v>0</v>
      </c>
      <c r="C1620" s="4">
        <v>0</v>
      </c>
      <c r="D1620" s="4">
        <v>0</v>
      </c>
      <c r="E1620" s="4" t="str">
        <v>0</v>
      </c>
      <c r="F1620" s="102" t="str">
        <f ca="1">IFERROR(__xludf.DUMMYFUNCTION("IMPORTRANGE(H1620,""IDENTITAS UNIT!D9"")"),"#N/A")</f>
        <v>#N/A</v>
      </c>
      <c r="H1620" s="4" t="str">
        <v>0</v>
      </c>
      <c r="I1620" s="4" t="str">
        <v>0</v>
      </c>
      <c r="J1620" s="4">
        <v>0</v>
      </c>
    </row>
    <row r="1621" spans="1:10" ht="16.5" hidden="1">
      <c r="A1621" s="4" t="str">
        <v xml:space="preserve"> </v>
      </c>
      <c r="B1621" s="4">
        <v>0</v>
      </c>
      <c r="C1621" s="4">
        <v>0</v>
      </c>
      <c r="D1621" s="4">
        <v>0</v>
      </c>
      <c r="E1621" s="4" t="str">
        <v>0</v>
      </c>
      <c r="F1621" s="102" t="str">
        <f ca="1">IFERROR(__xludf.DUMMYFUNCTION("IMPORTRANGE(H1621,""IDENTITAS UNIT!D9"")"),"#N/A")</f>
        <v>#N/A</v>
      </c>
      <c r="H1621" s="4" t="str">
        <v>0</v>
      </c>
      <c r="I1621" s="4" t="str">
        <v>0</v>
      </c>
      <c r="J1621" s="4">
        <v>0</v>
      </c>
    </row>
    <row r="1622" spans="1:10" ht="16.5" hidden="1">
      <c r="A1622" s="4" t="str">
        <v xml:space="preserve"> </v>
      </c>
      <c r="B1622" s="4">
        <v>0</v>
      </c>
      <c r="C1622" s="4">
        <v>0</v>
      </c>
      <c r="D1622" s="4">
        <v>0</v>
      </c>
      <c r="E1622" s="4" t="str">
        <v>0</v>
      </c>
      <c r="F1622" s="102" t="str">
        <f ca="1">IFERROR(__xludf.DUMMYFUNCTION("IMPORTRANGE(H1622,""IDENTITAS UNIT!D9"")"),"#N/A")</f>
        <v>#N/A</v>
      </c>
      <c r="H1622" s="4" t="str">
        <v>0</v>
      </c>
      <c r="I1622" s="4" t="str">
        <v>0</v>
      </c>
      <c r="J1622" s="4">
        <v>0</v>
      </c>
    </row>
    <row r="1623" spans="1:10" ht="16.5" hidden="1">
      <c r="A1623" s="4" t="str">
        <v xml:space="preserve"> </v>
      </c>
      <c r="B1623" s="4">
        <v>0</v>
      </c>
      <c r="C1623" s="4">
        <v>0</v>
      </c>
      <c r="D1623" s="4">
        <v>0</v>
      </c>
      <c r="E1623" s="4" t="str">
        <v>0</v>
      </c>
      <c r="F1623" s="102" t="str">
        <f ca="1">IFERROR(__xludf.DUMMYFUNCTION("IMPORTRANGE(H1623,""IDENTITAS UNIT!D9"")"),"#N/A")</f>
        <v>#N/A</v>
      </c>
      <c r="H1623" s="4" t="str">
        <v>0</v>
      </c>
      <c r="I1623" s="4" t="str">
        <v>0</v>
      </c>
      <c r="J1623" s="4">
        <v>0</v>
      </c>
    </row>
    <row r="1624" spans="1:10" ht="16.5" hidden="1">
      <c r="A1624" s="4" t="str">
        <v xml:space="preserve"> </v>
      </c>
      <c r="B1624" s="4">
        <v>0</v>
      </c>
      <c r="C1624" s="4">
        <v>0</v>
      </c>
      <c r="D1624" s="4">
        <v>0</v>
      </c>
      <c r="E1624" s="4" t="str">
        <v>0</v>
      </c>
      <c r="F1624" s="102" t="str">
        <f ca="1">IFERROR(__xludf.DUMMYFUNCTION("IMPORTRANGE(H1624,""IDENTITAS UNIT!D9"")"),"#N/A")</f>
        <v>#N/A</v>
      </c>
      <c r="H1624" s="4" t="str">
        <v>0</v>
      </c>
      <c r="I1624" s="4" t="str">
        <v>0</v>
      </c>
      <c r="J1624" s="4">
        <v>0</v>
      </c>
    </row>
    <row r="1625" spans="1:10" ht="16.5" hidden="1">
      <c r="A1625" s="4" t="str">
        <v xml:space="preserve"> </v>
      </c>
      <c r="B1625" s="4">
        <v>0</v>
      </c>
      <c r="C1625" s="4">
        <v>0</v>
      </c>
      <c r="D1625" s="4">
        <v>0</v>
      </c>
      <c r="E1625" s="4" t="str">
        <v>0</v>
      </c>
      <c r="F1625" s="102" t="str">
        <f ca="1">IFERROR(__xludf.DUMMYFUNCTION("IMPORTRANGE(H1625,""IDENTITAS UNIT!D9"")"),"#N/A")</f>
        <v>#N/A</v>
      </c>
      <c r="H1625" s="4" t="str">
        <v>0</v>
      </c>
      <c r="I1625" s="4" t="str">
        <v>0</v>
      </c>
      <c r="J1625" s="4">
        <v>0</v>
      </c>
    </row>
    <row r="1626" spans="1:10" ht="16.5" hidden="1">
      <c r="A1626" s="4" t="str">
        <v xml:space="preserve"> </v>
      </c>
      <c r="B1626" s="4">
        <v>0</v>
      </c>
      <c r="C1626" s="4">
        <v>0</v>
      </c>
      <c r="D1626" s="4">
        <v>0</v>
      </c>
      <c r="E1626" s="4" t="str">
        <v>0</v>
      </c>
      <c r="F1626" s="102" t="str">
        <f ca="1">IFERROR(__xludf.DUMMYFUNCTION("IMPORTRANGE(H1626,""IDENTITAS UNIT!D9"")"),"#N/A")</f>
        <v>#N/A</v>
      </c>
      <c r="H1626" s="4" t="str">
        <v>0</v>
      </c>
      <c r="I1626" s="4" t="str">
        <v>0</v>
      </c>
      <c r="J1626" s="4">
        <v>0</v>
      </c>
    </row>
    <row r="1627" spans="1:10" ht="16.5" hidden="1">
      <c r="A1627" s="4" t="str">
        <v xml:space="preserve"> </v>
      </c>
      <c r="B1627" s="4">
        <v>0</v>
      </c>
      <c r="C1627" s="4">
        <v>0</v>
      </c>
      <c r="D1627" s="4">
        <v>0</v>
      </c>
      <c r="E1627" s="4" t="str">
        <v>0</v>
      </c>
      <c r="F1627" s="102" t="str">
        <f ca="1">IFERROR(__xludf.DUMMYFUNCTION("IMPORTRANGE(H1627,""IDENTITAS UNIT!D9"")"),"#N/A")</f>
        <v>#N/A</v>
      </c>
      <c r="H1627" s="4" t="str">
        <v>0</v>
      </c>
      <c r="I1627" s="4" t="str">
        <v>0</v>
      </c>
      <c r="J1627" s="4">
        <v>0</v>
      </c>
    </row>
    <row r="1628" spans="1:10" ht="16.5" hidden="1">
      <c r="A1628" s="4" t="str">
        <v xml:space="preserve"> </v>
      </c>
      <c r="B1628" s="4">
        <v>0</v>
      </c>
      <c r="C1628" s="4">
        <v>0</v>
      </c>
      <c r="D1628" s="4">
        <v>0</v>
      </c>
      <c r="E1628" s="4" t="str">
        <v>0</v>
      </c>
      <c r="F1628" s="102" t="str">
        <f ca="1">IFERROR(__xludf.DUMMYFUNCTION("IMPORTRANGE(H1628,""IDENTITAS UNIT!D9"")"),"#N/A")</f>
        <v>#N/A</v>
      </c>
      <c r="H1628" s="4" t="str">
        <v>0</v>
      </c>
      <c r="I1628" s="4" t="str">
        <v>0</v>
      </c>
      <c r="J1628" s="4">
        <v>0</v>
      </c>
    </row>
    <row r="1629" spans="1:10" ht="16.5" hidden="1">
      <c r="A1629" s="4" t="str">
        <v xml:space="preserve"> </v>
      </c>
      <c r="B1629" s="4">
        <v>0</v>
      </c>
      <c r="C1629" s="4">
        <v>0</v>
      </c>
      <c r="D1629" s="4">
        <v>0</v>
      </c>
      <c r="E1629" s="4" t="str">
        <v>0</v>
      </c>
      <c r="F1629" s="102" t="str">
        <f ca="1">IFERROR(__xludf.DUMMYFUNCTION("IMPORTRANGE(H1629,""IDENTITAS UNIT!D9"")"),"#N/A")</f>
        <v>#N/A</v>
      </c>
      <c r="H1629" s="4" t="str">
        <v>0</v>
      </c>
      <c r="I1629" s="4" t="str">
        <v>0</v>
      </c>
      <c r="J1629" s="4">
        <v>0</v>
      </c>
    </row>
    <row r="1630" spans="1:10" ht="16.5" hidden="1">
      <c r="A1630" s="4" t="str">
        <v xml:space="preserve"> </v>
      </c>
      <c r="B1630" s="4">
        <v>0</v>
      </c>
      <c r="C1630" s="4">
        <v>0</v>
      </c>
      <c r="D1630" s="4">
        <v>0</v>
      </c>
      <c r="E1630" s="4" t="str">
        <v>0</v>
      </c>
      <c r="F1630" s="102" t="str">
        <f ca="1">IFERROR(__xludf.DUMMYFUNCTION("IMPORTRANGE(H1630,""IDENTITAS UNIT!D9"")"),"#N/A")</f>
        <v>#N/A</v>
      </c>
      <c r="H1630" s="4" t="str">
        <v>0</v>
      </c>
      <c r="I1630" s="4" t="str">
        <v>0</v>
      </c>
      <c r="J1630" s="4">
        <v>0</v>
      </c>
    </row>
    <row r="1631" spans="1:10" ht="16.5" hidden="1">
      <c r="A1631" s="4" t="str">
        <v xml:space="preserve"> </v>
      </c>
      <c r="B1631" s="4">
        <v>0</v>
      </c>
      <c r="C1631" s="4">
        <v>0</v>
      </c>
      <c r="D1631" s="4">
        <v>0</v>
      </c>
      <c r="E1631" s="4" t="str">
        <v>0</v>
      </c>
      <c r="F1631" s="102" t="str">
        <f ca="1">IFERROR(__xludf.DUMMYFUNCTION("IMPORTRANGE(H1631,""IDENTITAS UNIT!D9"")"),"#N/A")</f>
        <v>#N/A</v>
      </c>
      <c r="H1631" s="4" t="str">
        <v>0</v>
      </c>
      <c r="I1631" s="4" t="str">
        <v>0</v>
      </c>
      <c r="J1631" s="4">
        <v>0</v>
      </c>
    </row>
    <row r="1632" spans="1:10" ht="16.5" hidden="1">
      <c r="A1632" s="4" t="str">
        <v xml:space="preserve"> </v>
      </c>
      <c r="B1632" s="4">
        <v>0</v>
      </c>
      <c r="C1632" s="4">
        <v>0</v>
      </c>
      <c r="D1632" s="4">
        <v>0</v>
      </c>
      <c r="E1632" s="4" t="str">
        <v>0</v>
      </c>
      <c r="F1632" s="102" t="str">
        <f ca="1">IFERROR(__xludf.DUMMYFUNCTION("IMPORTRANGE(H1632,""IDENTITAS UNIT!D9"")"),"#N/A")</f>
        <v>#N/A</v>
      </c>
      <c r="H1632" s="4" t="str">
        <v>0</v>
      </c>
      <c r="I1632" s="4" t="str">
        <v>0</v>
      </c>
      <c r="J1632" s="4">
        <v>0</v>
      </c>
    </row>
    <row r="1633" spans="1:10" ht="16.5" hidden="1">
      <c r="A1633" s="4" t="str">
        <v xml:space="preserve"> </v>
      </c>
      <c r="B1633" s="4">
        <v>0</v>
      </c>
      <c r="C1633" s="4">
        <v>0</v>
      </c>
      <c r="D1633" s="4">
        <v>0</v>
      </c>
      <c r="E1633" s="4" t="str">
        <v>0</v>
      </c>
      <c r="F1633" s="102" t="str">
        <f ca="1">IFERROR(__xludf.DUMMYFUNCTION("IMPORTRANGE(H1633,""IDENTITAS UNIT!D9"")"),"#N/A")</f>
        <v>#N/A</v>
      </c>
      <c r="H1633" s="4" t="str">
        <v>0</v>
      </c>
      <c r="I1633" s="4" t="str">
        <v>0</v>
      </c>
      <c r="J1633" s="4">
        <v>0</v>
      </c>
    </row>
    <row r="1634" spans="1:10" ht="16.5" hidden="1">
      <c r="A1634" s="4" t="str">
        <v xml:space="preserve"> </v>
      </c>
      <c r="B1634" s="4">
        <v>0</v>
      </c>
      <c r="C1634" s="4">
        <v>0</v>
      </c>
      <c r="D1634" s="4">
        <v>0</v>
      </c>
      <c r="E1634" s="4" t="str">
        <v>0</v>
      </c>
      <c r="F1634" s="102" t="str">
        <f ca="1">IFERROR(__xludf.DUMMYFUNCTION("IMPORTRANGE(H1634,""IDENTITAS UNIT!D9"")"),"#N/A")</f>
        <v>#N/A</v>
      </c>
      <c r="H1634" s="4" t="str">
        <v>0</v>
      </c>
      <c r="I1634" s="4" t="str">
        <v>0</v>
      </c>
      <c r="J1634" s="4">
        <v>0</v>
      </c>
    </row>
    <row r="1635" spans="1:10" ht="16.5" hidden="1">
      <c r="A1635" s="4" t="str">
        <v xml:space="preserve"> </v>
      </c>
      <c r="B1635" s="4">
        <v>0</v>
      </c>
      <c r="C1635" s="4">
        <v>0</v>
      </c>
      <c r="D1635" s="4">
        <v>0</v>
      </c>
      <c r="E1635" s="4" t="str">
        <v>0</v>
      </c>
      <c r="F1635" s="102" t="str">
        <f ca="1">IFERROR(__xludf.DUMMYFUNCTION("IMPORTRANGE(H1635,""IDENTITAS UNIT!D9"")"),"#N/A")</f>
        <v>#N/A</v>
      </c>
      <c r="H1635" s="4" t="str">
        <v>0</v>
      </c>
      <c r="I1635" s="4" t="str">
        <v>0</v>
      </c>
      <c r="J1635" s="4">
        <v>0</v>
      </c>
    </row>
    <row r="1636" spans="1:10" ht="16.5" hidden="1">
      <c r="A1636" s="4" t="str">
        <v xml:space="preserve"> </v>
      </c>
      <c r="B1636" s="4">
        <v>0</v>
      </c>
      <c r="C1636" s="4">
        <v>0</v>
      </c>
      <c r="D1636" s="4">
        <v>0</v>
      </c>
      <c r="E1636" s="4" t="str">
        <v>0</v>
      </c>
      <c r="F1636" s="102" t="str">
        <f ca="1">IFERROR(__xludf.DUMMYFUNCTION("IMPORTRANGE(H1636,""IDENTITAS UNIT!D9"")"),"#N/A")</f>
        <v>#N/A</v>
      </c>
      <c r="H1636" s="4" t="str">
        <v>0</v>
      </c>
      <c r="I1636" s="4" t="str">
        <v>0</v>
      </c>
      <c r="J1636" s="4">
        <v>0</v>
      </c>
    </row>
    <row r="1637" spans="1:10" ht="16.5" hidden="1">
      <c r="A1637" s="4" t="str">
        <v xml:space="preserve"> </v>
      </c>
      <c r="B1637" s="4">
        <v>0</v>
      </c>
      <c r="C1637" s="4">
        <v>0</v>
      </c>
      <c r="D1637" s="4">
        <v>0</v>
      </c>
      <c r="E1637" s="4" t="str">
        <v>0</v>
      </c>
      <c r="F1637" s="102" t="str">
        <f ca="1">IFERROR(__xludf.DUMMYFUNCTION("IMPORTRANGE(H1637,""IDENTITAS UNIT!D9"")"),"#N/A")</f>
        <v>#N/A</v>
      </c>
      <c r="H1637" s="4" t="str">
        <v>0</v>
      </c>
      <c r="I1637" s="4" t="str">
        <v>0</v>
      </c>
      <c r="J1637" s="4">
        <v>0</v>
      </c>
    </row>
    <row r="1638" spans="1:10" ht="16.5" hidden="1">
      <c r="A1638" s="4" t="str">
        <v xml:space="preserve"> </v>
      </c>
      <c r="B1638" s="4">
        <v>0</v>
      </c>
      <c r="C1638" s="4">
        <v>0</v>
      </c>
      <c r="D1638" s="4">
        <v>0</v>
      </c>
      <c r="E1638" s="4" t="str">
        <v>0</v>
      </c>
      <c r="F1638" s="102" t="str">
        <f ca="1">IFERROR(__xludf.DUMMYFUNCTION("IMPORTRANGE(H1638,""IDENTITAS UNIT!D9"")"),"#N/A")</f>
        <v>#N/A</v>
      </c>
      <c r="H1638" s="4" t="str">
        <v>0</v>
      </c>
      <c r="I1638" s="4" t="str">
        <v>0</v>
      </c>
      <c r="J1638" s="4">
        <v>0</v>
      </c>
    </row>
    <row r="1639" spans="1:10" ht="16.5" hidden="1">
      <c r="A1639" s="4" t="str">
        <v xml:space="preserve"> </v>
      </c>
      <c r="B1639" s="4">
        <v>0</v>
      </c>
      <c r="C1639" s="4">
        <v>0</v>
      </c>
      <c r="D1639" s="4">
        <v>0</v>
      </c>
      <c r="E1639" s="4" t="str">
        <v>0</v>
      </c>
      <c r="F1639" s="102" t="str">
        <f ca="1">IFERROR(__xludf.DUMMYFUNCTION("IMPORTRANGE(H1639,""IDENTITAS UNIT!D9"")"),"#N/A")</f>
        <v>#N/A</v>
      </c>
      <c r="H1639" s="4" t="str">
        <v>0</v>
      </c>
      <c r="I1639" s="4" t="str">
        <v>0</v>
      </c>
      <c r="J1639" s="4">
        <v>0</v>
      </c>
    </row>
    <row r="1640" spans="1:10" ht="16.5" hidden="1">
      <c r="A1640" s="4" t="str">
        <v xml:space="preserve"> </v>
      </c>
      <c r="B1640" s="4">
        <v>0</v>
      </c>
      <c r="C1640" s="4">
        <v>0</v>
      </c>
      <c r="D1640" s="4">
        <v>0</v>
      </c>
      <c r="E1640" s="4" t="str">
        <v>0</v>
      </c>
      <c r="F1640" s="102" t="str">
        <f ca="1">IFERROR(__xludf.DUMMYFUNCTION("IMPORTRANGE(H1640,""IDENTITAS UNIT!D9"")"),"#N/A")</f>
        <v>#N/A</v>
      </c>
      <c r="H1640" s="4" t="str">
        <v>0</v>
      </c>
      <c r="I1640" s="4" t="str">
        <v>0</v>
      </c>
      <c r="J1640" s="4">
        <v>0</v>
      </c>
    </row>
    <row r="1641" spans="1:10" ht="16.5" hidden="1">
      <c r="A1641" s="4" t="str">
        <v xml:space="preserve"> </v>
      </c>
      <c r="B1641" s="4">
        <v>0</v>
      </c>
      <c r="C1641" s="4">
        <v>0</v>
      </c>
      <c r="D1641" s="4">
        <v>0</v>
      </c>
      <c r="E1641" s="4" t="str">
        <v>0</v>
      </c>
      <c r="F1641" s="102" t="str">
        <f ca="1">IFERROR(__xludf.DUMMYFUNCTION("IMPORTRANGE(H1641,""IDENTITAS UNIT!D9"")"),"#N/A")</f>
        <v>#N/A</v>
      </c>
      <c r="H1641" s="4" t="str">
        <v>0</v>
      </c>
      <c r="I1641" s="4" t="str">
        <v>0</v>
      </c>
      <c r="J1641" s="4">
        <v>0</v>
      </c>
    </row>
    <row r="1642" spans="1:10" ht="16.5" hidden="1">
      <c r="A1642" s="4" t="str">
        <v xml:space="preserve"> </v>
      </c>
      <c r="B1642" s="4">
        <v>0</v>
      </c>
      <c r="C1642" s="4">
        <v>0</v>
      </c>
      <c r="D1642" s="4">
        <v>0</v>
      </c>
      <c r="E1642" s="4" t="str">
        <v>0</v>
      </c>
      <c r="F1642" s="102" t="str">
        <f ca="1">IFERROR(__xludf.DUMMYFUNCTION("IMPORTRANGE(H1642,""IDENTITAS UNIT!D9"")"),"#N/A")</f>
        <v>#N/A</v>
      </c>
      <c r="H1642" s="4" t="str">
        <v>0</v>
      </c>
      <c r="I1642" s="4" t="str">
        <v>0</v>
      </c>
      <c r="J1642" s="4">
        <v>0</v>
      </c>
    </row>
    <row r="1643" spans="1:10" ht="16.5" hidden="1">
      <c r="A1643" s="4" t="str">
        <v xml:space="preserve"> </v>
      </c>
      <c r="B1643" s="4">
        <v>0</v>
      </c>
      <c r="C1643" s="4">
        <v>0</v>
      </c>
      <c r="D1643" s="4">
        <v>0</v>
      </c>
      <c r="E1643" s="4" t="str">
        <v>0</v>
      </c>
      <c r="F1643" s="102" t="str">
        <f ca="1">IFERROR(__xludf.DUMMYFUNCTION("IMPORTRANGE(H1643,""IDENTITAS UNIT!D9"")"),"#N/A")</f>
        <v>#N/A</v>
      </c>
      <c r="H1643" s="4" t="str">
        <v>0</v>
      </c>
      <c r="I1643" s="4" t="str">
        <v>0</v>
      </c>
      <c r="J1643" s="4">
        <v>0</v>
      </c>
    </row>
    <row r="1644" spans="1:10" ht="16.5" hidden="1">
      <c r="A1644" s="4" t="str">
        <v xml:space="preserve"> </v>
      </c>
      <c r="B1644" s="4">
        <v>0</v>
      </c>
      <c r="C1644" s="4">
        <v>0</v>
      </c>
      <c r="D1644" s="4">
        <v>0</v>
      </c>
      <c r="E1644" s="4" t="str">
        <v>0</v>
      </c>
      <c r="F1644" s="102" t="str">
        <f ca="1">IFERROR(__xludf.DUMMYFUNCTION("IMPORTRANGE(H1644,""IDENTITAS UNIT!D9"")"),"#N/A")</f>
        <v>#N/A</v>
      </c>
      <c r="H1644" s="4" t="str">
        <v>0</v>
      </c>
      <c r="I1644" s="4" t="str">
        <v>0</v>
      </c>
      <c r="J1644" s="4">
        <v>0</v>
      </c>
    </row>
    <row r="1645" spans="1:10" ht="16.5" hidden="1">
      <c r="A1645" s="4" t="str">
        <v xml:space="preserve"> </v>
      </c>
      <c r="B1645" s="4">
        <v>0</v>
      </c>
      <c r="C1645" s="4">
        <v>0</v>
      </c>
      <c r="D1645" s="4">
        <v>0</v>
      </c>
      <c r="E1645" s="4" t="str">
        <v>0</v>
      </c>
      <c r="F1645" s="102" t="str">
        <f ca="1">IFERROR(__xludf.DUMMYFUNCTION("IMPORTRANGE(H1645,""IDENTITAS UNIT!D9"")"),"#N/A")</f>
        <v>#N/A</v>
      </c>
      <c r="H1645" s="4" t="str">
        <v>0</v>
      </c>
      <c r="I1645" s="4" t="str">
        <v>0</v>
      </c>
      <c r="J1645" s="4">
        <v>0</v>
      </c>
    </row>
    <row r="1646" spans="1:10" ht="16.5" hidden="1">
      <c r="A1646" s="4" t="str">
        <v xml:space="preserve"> </v>
      </c>
      <c r="B1646" s="4">
        <v>0</v>
      </c>
      <c r="C1646" s="4">
        <v>0</v>
      </c>
      <c r="D1646" s="4">
        <v>0</v>
      </c>
      <c r="E1646" s="4" t="str">
        <v>0</v>
      </c>
      <c r="F1646" s="102" t="str">
        <f ca="1">IFERROR(__xludf.DUMMYFUNCTION("IMPORTRANGE(H1646,""IDENTITAS UNIT!D9"")"),"#N/A")</f>
        <v>#N/A</v>
      </c>
      <c r="H1646" s="4" t="str">
        <v>0</v>
      </c>
      <c r="I1646" s="4" t="str">
        <v>0</v>
      </c>
      <c r="J1646" s="4">
        <v>0</v>
      </c>
    </row>
    <row r="1647" spans="1:10" ht="16.5" hidden="1">
      <c r="A1647" s="4" t="str">
        <v xml:space="preserve"> </v>
      </c>
      <c r="B1647" s="4">
        <v>0</v>
      </c>
      <c r="C1647" s="4">
        <v>0</v>
      </c>
      <c r="D1647" s="4">
        <v>0</v>
      </c>
      <c r="E1647" s="4" t="str">
        <v>0</v>
      </c>
      <c r="F1647" s="102" t="str">
        <f ca="1">IFERROR(__xludf.DUMMYFUNCTION("IMPORTRANGE(H1647,""IDENTITAS UNIT!D9"")"),"#N/A")</f>
        <v>#N/A</v>
      </c>
      <c r="H1647" s="4" t="str">
        <v>0</v>
      </c>
      <c r="I1647" s="4" t="str">
        <v>0</v>
      </c>
      <c r="J1647" s="4">
        <v>0</v>
      </c>
    </row>
    <row r="1648" spans="1:10" ht="16.5" hidden="1">
      <c r="A1648" s="4" t="str">
        <v xml:space="preserve"> </v>
      </c>
      <c r="B1648" s="4">
        <v>0</v>
      </c>
      <c r="C1648" s="4">
        <v>0</v>
      </c>
      <c r="D1648" s="4">
        <v>0</v>
      </c>
      <c r="E1648" s="4" t="str">
        <v>0</v>
      </c>
      <c r="F1648" s="102" t="str">
        <f ca="1">IFERROR(__xludf.DUMMYFUNCTION("IMPORTRANGE(H1648,""IDENTITAS UNIT!D9"")"),"#N/A")</f>
        <v>#N/A</v>
      </c>
      <c r="H1648" s="4" t="str">
        <v>0</v>
      </c>
      <c r="I1648" s="4" t="str">
        <v>0</v>
      </c>
      <c r="J1648" s="4">
        <v>0</v>
      </c>
    </row>
    <row r="1649" spans="1:10" ht="16.5" hidden="1">
      <c r="A1649" s="4" t="str">
        <v xml:space="preserve"> </v>
      </c>
      <c r="B1649" s="4">
        <v>0</v>
      </c>
      <c r="C1649" s="4">
        <v>0</v>
      </c>
      <c r="D1649" s="4">
        <v>0</v>
      </c>
      <c r="E1649" s="4" t="str">
        <v>0</v>
      </c>
      <c r="F1649" s="102" t="str">
        <f ca="1">IFERROR(__xludf.DUMMYFUNCTION("IMPORTRANGE(H1649,""IDENTITAS UNIT!D9"")"),"#N/A")</f>
        <v>#N/A</v>
      </c>
      <c r="H1649" s="4" t="str">
        <v>0</v>
      </c>
      <c r="I1649" s="4" t="str">
        <v>0</v>
      </c>
      <c r="J1649" s="4">
        <v>0</v>
      </c>
    </row>
    <row r="1650" spans="1:10" ht="16.5" hidden="1">
      <c r="A1650" s="4" t="str">
        <v xml:space="preserve"> </v>
      </c>
      <c r="B1650" s="4">
        <v>0</v>
      </c>
      <c r="C1650" s="4">
        <v>0</v>
      </c>
      <c r="D1650" s="4">
        <v>0</v>
      </c>
      <c r="E1650" s="4" t="str">
        <v>0</v>
      </c>
      <c r="F1650" s="102" t="str">
        <f ca="1">IFERROR(__xludf.DUMMYFUNCTION("IMPORTRANGE(H1650,""IDENTITAS UNIT!D9"")"),"#N/A")</f>
        <v>#N/A</v>
      </c>
      <c r="H1650" s="4" t="str">
        <v>0</v>
      </c>
      <c r="I1650" s="4" t="str">
        <v>0</v>
      </c>
      <c r="J1650" s="4">
        <v>0</v>
      </c>
    </row>
    <row r="1651" spans="1:10" ht="16.5" hidden="1">
      <c r="A1651" s="4" t="str">
        <v xml:space="preserve"> </v>
      </c>
      <c r="B1651" s="4">
        <v>0</v>
      </c>
      <c r="C1651" s="4">
        <v>0</v>
      </c>
      <c r="D1651" s="4">
        <v>0</v>
      </c>
      <c r="E1651" s="4" t="str">
        <v>0</v>
      </c>
      <c r="F1651" s="102" t="str">
        <f ca="1">IFERROR(__xludf.DUMMYFUNCTION("IMPORTRANGE(H1651,""IDENTITAS UNIT!D9"")"),"#N/A")</f>
        <v>#N/A</v>
      </c>
      <c r="H1651" s="4" t="str">
        <v>0</v>
      </c>
      <c r="I1651" s="4" t="str">
        <v>0</v>
      </c>
      <c r="J1651" s="4">
        <v>0</v>
      </c>
    </row>
    <row r="1652" spans="1:10" ht="16.5" hidden="1">
      <c r="A1652" s="4" t="str">
        <v xml:space="preserve"> </v>
      </c>
      <c r="B1652" s="4">
        <v>0</v>
      </c>
      <c r="C1652" s="4">
        <v>0</v>
      </c>
      <c r="D1652" s="4">
        <v>0</v>
      </c>
      <c r="E1652" s="4" t="str">
        <v>0</v>
      </c>
      <c r="F1652" s="102" t="str">
        <f ca="1">IFERROR(__xludf.DUMMYFUNCTION("IMPORTRANGE(H1652,""IDENTITAS UNIT!D9"")"),"#N/A")</f>
        <v>#N/A</v>
      </c>
      <c r="H1652" s="4" t="str">
        <v>0</v>
      </c>
      <c r="I1652" s="4" t="str">
        <v>0</v>
      </c>
      <c r="J1652" s="4">
        <v>0</v>
      </c>
    </row>
    <row r="1653" spans="1:10" ht="16.5" hidden="1">
      <c r="A1653" s="4" t="str">
        <v xml:space="preserve"> </v>
      </c>
      <c r="B1653" s="4">
        <v>0</v>
      </c>
      <c r="C1653" s="4">
        <v>0</v>
      </c>
      <c r="D1653" s="4">
        <v>0</v>
      </c>
      <c r="E1653" s="4" t="str">
        <v>0</v>
      </c>
      <c r="F1653" s="102" t="str">
        <f ca="1">IFERROR(__xludf.DUMMYFUNCTION("IMPORTRANGE(H1653,""IDENTITAS UNIT!D9"")"),"#N/A")</f>
        <v>#N/A</v>
      </c>
      <c r="H1653" s="4" t="str">
        <v>0</v>
      </c>
      <c r="I1653" s="4" t="str">
        <v>0</v>
      </c>
      <c r="J1653" s="4">
        <v>0</v>
      </c>
    </row>
    <row r="1654" spans="1:10" ht="16.5" hidden="1">
      <c r="A1654" s="4" t="str">
        <v xml:space="preserve"> </v>
      </c>
      <c r="B1654" s="4">
        <v>0</v>
      </c>
      <c r="C1654" s="4">
        <v>0</v>
      </c>
      <c r="D1654" s="4">
        <v>0</v>
      </c>
      <c r="E1654" s="4" t="str">
        <v>0</v>
      </c>
      <c r="F1654" s="102" t="str">
        <f ca="1">IFERROR(__xludf.DUMMYFUNCTION("IMPORTRANGE(H1654,""IDENTITAS UNIT!D9"")"),"#N/A")</f>
        <v>#N/A</v>
      </c>
      <c r="H1654" s="4" t="str">
        <v>0</v>
      </c>
      <c r="I1654" s="4" t="str">
        <v>0</v>
      </c>
      <c r="J1654" s="4">
        <v>0</v>
      </c>
    </row>
    <row r="1655" spans="1:10" ht="16.5" hidden="1">
      <c r="A1655" s="4" t="str">
        <v xml:space="preserve"> </v>
      </c>
      <c r="B1655" s="4">
        <v>0</v>
      </c>
      <c r="C1655" s="4">
        <v>0</v>
      </c>
      <c r="D1655" s="4">
        <v>0</v>
      </c>
      <c r="E1655" s="4" t="str">
        <v>0</v>
      </c>
      <c r="F1655" s="102" t="str">
        <f ca="1">IFERROR(__xludf.DUMMYFUNCTION("IMPORTRANGE(H1655,""IDENTITAS UNIT!D9"")"),"#N/A")</f>
        <v>#N/A</v>
      </c>
      <c r="H1655" s="4" t="str">
        <v>0</v>
      </c>
      <c r="I1655" s="4" t="str">
        <v>0</v>
      </c>
      <c r="J1655" s="4">
        <v>0</v>
      </c>
    </row>
    <row r="1656" spans="1:10" ht="16.5" hidden="1">
      <c r="A1656" s="4" t="str">
        <v xml:space="preserve"> </v>
      </c>
      <c r="B1656" s="4">
        <v>0</v>
      </c>
      <c r="C1656" s="4">
        <v>0</v>
      </c>
      <c r="D1656" s="4">
        <v>0</v>
      </c>
      <c r="E1656" s="4" t="str">
        <v>0</v>
      </c>
      <c r="F1656" s="102" t="str">
        <f ca="1">IFERROR(__xludf.DUMMYFUNCTION("IMPORTRANGE(H1656,""IDENTITAS UNIT!D9"")"),"#N/A")</f>
        <v>#N/A</v>
      </c>
      <c r="H1656" s="4" t="str">
        <v>0</v>
      </c>
      <c r="I1656" s="4" t="str">
        <v>0</v>
      </c>
      <c r="J1656" s="4">
        <v>0</v>
      </c>
    </row>
    <row r="1657" spans="1:10" ht="16.5" hidden="1">
      <c r="A1657" s="4" t="str">
        <v xml:space="preserve"> </v>
      </c>
      <c r="B1657" s="4">
        <v>0</v>
      </c>
      <c r="C1657" s="4">
        <v>0</v>
      </c>
      <c r="D1657" s="4">
        <v>0</v>
      </c>
      <c r="E1657" s="4" t="str">
        <v>0</v>
      </c>
      <c r="F1657" s="102" t="str">
        <f ca="1">IFERROR(__xludf.DUMMYFUNCTION("IMPORTRANGE(H1657,""IDENTITAS UNIT!D9"")"),"#N/A")</f>
        <v>#N/A</v>
      </c>
      <c r="H1657" s="4" t="str">
        <v>0</v>
      </c>
      <c r="I1657" s="4" t="str">
        <v>0</v>
      </c>
      <c r="J1657" s="4">
        <v>0</v>
      </c>
    </row>
    <row r="1658" spans="1:10" ht="16.5" hidden="1">
      <c r="A1658" s="4" t="str">
        <v xml:space="preserve"> </v>
      </c>
      <c r="B1658" s="4">
        <v>0</v>
      </c>
      <c r="C1658" s="4">
        <v>0</v>
      </c>
      <c r="D1658" s="4">
        <v>0</v>
      </c>
      <c r="E1658" s="4" t="str">
        <v>0</v>
      </c>
      <c r="F1658" s="102" t="str">
        <f ca="1">IFERROR(__xludf.DUMMYFUNCTION("IMPORTRANGE(H1658,""IDENTITAS UNIT!D9"")"),"#N/A")</f>
        <v>#N/A</v>
      </c>
      <c r="H1658" s="4" t="str">
        <v>0</v>
      </c>
      <c r="I1658" s="4" t="str">
        <v>0</v>
      </c>
      <c r="J1658" s="4">
        <v>0</v>
      </c>
    </row>
    <row r="1659" spans="1:10" ht="16.5" hidden="1">
      <c r="A1659" s="4" t="str">
        <v xml:space="preserve"> </v>
      </c>
      <c r="B1659" s="4">
        <v>0</v>
      </c>
      <c r="C1659" s="4">
        <v>0</v>
      </c>
      <c r="D1659" s="4">
        <v>0</v>
      </c>
      <c r="E1659" s="4" t="str">
        <v>0</v>
      </c>
      <c r="F1659" s="102" t="str">
        <f ca="1">IFERROR(__xludf.DUMMYFUNCTION("IMPORTRANGE(H1659,""IDENTITAS UNIT!D9"")"),"#N/A")</f>
        <v>#N/A</v>
      </c>
      <c r="H1659" s="4" t="str">
        <v>0</v>
      </c>
      <c r="I1659" s="4" t="str">
        <v>0</v>
      </c>
      <c r="J1659" s="4">
        <v>0</v>
      </c>
    </row>
    <row r="1660" spans="1:10" ht="16.5" hidden="1">
      <c r="A1660" s="4" t="str">
        <v xml:space="preserve"> </v>
      </c>
      <c r="B1660" s="4">
        <v>0</v>
      </c>
      <c r="C1660" s="4">
        <v>0</v>
      </c>
      <c r="D1660" s="4">
        <v>0</v>
      </c>
      <c r="E1660" s="4" t="str">
        <v>0</v>
      </c>
      <c r="F1660" s="102" t="str">
        <f ca="1">IFERROR(__xludf.DUMMYFUNCTION("IMPORTRANGE(H1660,""IDENTITAS UNIT!D9"")"),"#N/A")</f>
        <v>#N/A</v>
      </c>
      <c r="H1660" s="4" t="str">
        <v>0</v>
      </c>
      <c r="I1660" s="4" t="str">
        <v>0</v>
      </c>
      <c r="J1660" s="4">
        <v>0</v>
      </c>
    </row>
    <row r="1661" spans="1:10" ht="16.5" hidden="1">
      <c r="A1661" s="4" t="str">
        <v xml:space="preserve"> </v>
      </c>
      <c r="B1661" s="4">
        <v>0</v>
      </c>
      <c r="C1661" s="4">
        <v>0</v>
      </c>
      <c r="D1661" s="4">
        <v>0</v>
      </c>
      <c r="E1661" s="4" t="str">
        <v>0</v>
      </c>
      <c r="F1661" s="102" t="str">
        <f ca="1">IFERROR(__xludf.DUMMYFUNCTION("IMPORTRANGE(H1661,""IDENTITAS UNIT!D9"")"),"#N/A")</f>
        <v>#N/A</v>
      </c>
      <c r="H1661" s="4" t="str">
        <v>0</v>
      </c>
      <c r="I1661" s="4" t="str">
        <v>0</v>
      </c>
      <c r="J1661" s="4">
        <v>0</v>
      </c>
    </row>
    <row r="1662" spans="1:10" ht="16.5" hidden="1">
      <c r="A1662" s="4" t="str">
        <v xml:space="preserve"> </v>
      </c>
      <c r="B1662" s="4">
        <v>0</v>
      </c>
      <c r="C1662" s="4">
        <v>0</v>
      </c>
      <c r="D1662" s="4">
        <v>0</v>
      </c>
      <c r="E1662" s="4" t="str">
        <v>0</v>
      </c>
      <c r="F1662" s="102" t="str">
        <f ca="1">IFERROR(__xludf.DUMMYFUNCTION("IMPORTRANGE(H1662,""IDENTITAS UNIT!D9"")"),"#N/A")</f>
        <v>#N/A</v>
      </c>
      <c r="H1662" s="4" t="str">
        <v>0</v>
      </c>
      <c r="I1662" s="4" t="str">
        <v>0</v>
      </c>
      <c r="J1662" s="4">
        <v>0</v>
      </c>
    </row>
    <row r="1663" spans="1:10" ht="16.5" hidden="1">
      <c r="A1663" s="4" t="str">
        <v xml:space="preserve"> </v>
      </c>
      <c r="B1663" s="4">
        <v>0</v>
      </c>
      <c r="C1663" s="4">
        <v>0</v>
      </c>
      <c r="D1663" s="4">
        <v>0</v>
      </c>
      <c r="E1663" s="4" t="str">
        <v>0</v>
      </c>
      <c r="F1663" s="102" t="str">
        <f ca="1">IFERROR(__xludf.DUMMYFUNCTION("IMPORTRANGE(H1663,""IDENTITAS UNIT!D9"")"),"#N/A")</f>
        <v>#N/A</v>
      </c>
      <c r="H1663" s="4" t="str">
        <v>0</v>
      </c>
      <c r="I1663" s="4" t="str">
        <v>0</v>
      </c>
      <c r="J1663" s="4">
        <v>0</v>
      </c>
    </row>
    <row r="1664" spans="1:10" ht="16.5" hidden="1">
      <c r="A1664" s="4" t="str">
        <v xml:space="preserve"> </v>
      </c>
      <c r="B1664" s="4">
        <v>0</v>
      </c>
      <c r="C1664" s="4">
        <v>0</v>
      </c>
      <c r="D1664" s="4">
        <v>0</v>
      </c>
      <c r="E1664" s="4" t="str">
        <v>0</v>
      </c>
      <c r="F1664" s="102" t="str">
        <f ca="1">IFERROR(__xludf.DUMMYFUNCTION("IMPORTRANGE(H1664,""IDENTITAS UNIT!D9"")"),"#N/A")</f>
        <v>#N/A</v>
      </c>
      <c r="H1664" s="4" t="str">
        <v>0</v>
      </c>
      <c r="I1664" s="4" t="str">
        <v>0</v>
      </c>
      <c r="J1664" s="4">
        <v>0</v>
      </c>
    </row>
    <row r="1665" spans="1:10" ht="16.5" hidden="1">
      <c r="A1665" s="4" t="str">
        <v xml:space="preserve"> </v>
      </c>
      <c r="B1665" s="4">
        <v>0</v>
      </c>
      <c r="C1665" s="4">
        <v>0</v>
      </c>
      <c r="D1665" s="4">
        <v>0</v>
      </c>
      <c r="E1665" s="4" t="str">
        <v>0</v>
      </c>
      <c r="F1665" s="102" t="str">
        <f ca="1">IFERROR(__xludf.DUMMYFUNCTION("IMPORTRANGE(H1665,""IDENTITAS UNIT!D9"")"),"#N/A")</f>
        <v>#N/A</v>
      </c>
      <c r="H1665" s="4" t="str">
        <v>0</v>
      </c>
      <c r="I1665" s="4" t="str">
        <v>0</v>
      </c>
      <c r="J1665" s="4">
        <v>0</v>
      </c>
    </row>
    <row r="1666" spans="1:10" ht="16.5" hidden="1">
      <c r="A1666" s="4" t="str">
        <v xml:space="preserve"> </v>
      </c>
      <c r="B1666" s="4">
        <v>0</v>
      </c>
      <c r="C1666" s="4">
        <v>0</v>
      </c>
      <c r="D1666" s="4">
        <v>0</v>
      </c>
      <c r="E1666" s="4" t="str">
        <v>0</v>
      </c>
      <c r="F1666" s="102" t="str">
        <f ca="1">IFERROR(__xludf.DUMMYFUNCTION("IMPORTRANGE(H1666,""IDENTITAS UNIT!D9"")"),"#N/A")</f>
        <v>#N/A</v>
      </c>
      <c r="H1666" s="4" t="str">
        <v>0</v>
      </c>
      <c r="I1666" s="4" t="str">
        <v>0</v>
      </c>
      <c r="J1666" s="4">
        <v>0</v>
      </c>
    </row>
    <row r="1667" spans="1:10" ht="16.5" hidden="1">
      <c r="A1667" s="4" t="str">
        <v xml:space="preserve"> </v>
      </c>
      <c r="B1667" s="4">
        <v>0</v>
      </c>
      <c r="C1667" s="4">
        <v>0</v>
      </c>
      <c r="D1667" s="4">
        <v>0</v>
      </c>
      <c r="E1667" s="4" t="str">
        <v>0</v>
      </c>
      <c r="F1667" s="102" t="str">
        <f ca="1">IFERROR(__xludf.DUMMYFUNCTION("IMPORTRANGE(H1667,""IDENTITAS UNIT!D9"")"),"#N/A")</f>
        <v>#N/A</v>
      </c>
      <c r="H1667" s="4" t="str">
        <v>0</v>
      </c>
      <c r="I1667" s="4" t="str">
        <v>0</v>
      </c>
      <c r="J1667" s="4">
        <v>0</v>
      </c>
    </row>
    <row r="1668" spans="1:10" ht="16.5" hidden="1">
      <c r="A1668" s="4" t="str">
        <v xml:space="preserve"> </v>
      </c>
      <c r="B1668" s="4">
        <v>0</v>
      </c>
      <c r="C1668" s="4">
        <v>0</v>
      </c>
      <c r="D1668" s="4">
        <v>0</v>
      </c>
      <c r="E1668" s="4" t="str">
        <v>0</v>
      </c>
      <c r="F1668" s="102" t="str">
        <f ca="1">IFERROR(__xludf.DUMMYFUNCTION("IMPORTRANGE(H1668,""IDENTITAS UNIT!D9"")"),"#N/A")</f>
        <v>#N/A</v>
      </c>
      <c r="H1668" s="4" t="str">
        <v>0</v>
      </c>
      <c r="I1668" s="4" t="str">
        <v>0</v>
      </c>
      <c r="J1668" s="4">
        <v>0</v>
      </c>
    </row>
    <row r="1669" spans="1:10" ht="16.5" hidden="1">
      <c r="A1669" s="4" t="str">
        <v xml:space="preserve"> </v>
      </c>
      <c r="B1669" s="4">
        <v>0</v>
      </c>
      <c r="C1669" s="4">
        <v>0</v>
      </c>
      <c r="D1669" s="4">
        <v>0</v>
      </c>
      <c r="E1669" s="4" t="str">
        <v>0</v>
      </c>
      <c r="F1669" s="102" t="str">
        <f ca="1">IFERROR(__xludf.DUMMYFUNCTION("IMPORTRANGE(H1669,""IDENTITAS UNIT!D9"")"),"#N/A")</f>
        <v>#N/A</v>
      </c>
      <c r="H1669" s="4" t="str">
        <v>0</v>
      </c>
      <c r="I1669" s="4" t="str">
        <v>0</v>
      </c>
      <c r="J1669" s="4">
        <v>0</v>
      </c>
    </row>
    <row r="1670" spans="1:10" ht="16.5" hidden="1">
      <c r="A1670" s="4" t="str">
        <v xml:space="preserve"> </v>
      </c>
      <c r="B1670" s="4">
        <v>0</v>
      </c>
      <c r="C1670" s="4">
        <v>0</v>
      </c>
      <c r="D1670" s="4">
        <v>0</v>
      </c>
      <c r="E1670" s="4" t="str">
        <v>0</v>
      </c>
      <c r="F1670" s="102" t="str">
        <f ca="1">IFERROR(__xludf.DUMMYFUNCTION("IMPORTRANGE(H1670,""IDENTITAS UNIT!D9"")"),"#N/A")</f>
        <v>#N/A</v>
      </c>
      <c r="H1670" s="4" t="str">
        <v>0</v>
      </c>
      <c r="I1670" s="4" t="str">
        <v>0</v>
      </c>
      <c r="J1670" s="4">
        <v>0</v>
      </c>
    </row>
    <row r="1671" spans="1:10" ht="16.5" hidden="1">
      <c r="A1671" s="4" t="str">
        <v xml:space="preserve"> </v>
      </c>
      <c r="B1671" s="4">
        <v>0</v>
      </c>
      <c r="C1671" s="4">
        <v>0</v>
      </c>
      <c r="D1671" s="4">
        <v>0</v>
      </c>
      <c r="E1671" s="4" t="str">
        <v>0</v>
      </c>
      <c r="F1671" s="102" t="str">
        <f ca="1">IFERROR(__xludf.DUMMYFUNCTION("IMPORTRANGE(H1671,""IDENTITAS UNIT!D9"")"),"#N/A")</f>
        <v>#N/A</v>
      </c>
      <c r="H1671" s="4" t="str">
        <v>0</v>
      </c>
      <c r="I1671" s="4" t="str">
        <v>0</v>
      </c>
      <c r="J1671" s="4">
        <v>0</v>
      </c>
    </row>
    <row r="1672" spans="1:10" ht="16.5" hidden="1">
      <c r="A1672" s="4" t="str">
        <v xml:space="preserve"> </v>
      </c>
      <c r="B1672" s="4">
        <v>0</v>
      </c>
      <c r="C1672" s="4">
        <v>0</v>
      </c>
      <c r="D1672" s="4">
        <v>0</v>
      </c>
      <c r="E1672" s="4" t="str">
        <v>0</v>
      </c>
      <c r="F1672" s="102" t="str">
        <f ca="1">IFERROR(__xludf.DUMMYFUNCTION("IMPORTRANGE(H1672,""IDENTITAS UNIT!D9"")"),"#N/A")</f>
        <v>#N/A</v>
      </c>
      <c r="H1672" s="4" t="str">
        <v>0</v>
      </c>
      <c r="I1672" s="4" t="str">
        <v>0</v>
      </c>
      <c r="J1672" s="4">
        <v>0</v>
      </c>
    </row>
    <row r="1673" spans="1:10" ht="16.5" hidden="1">
      <c r="A1673" s="4" t="str">
        <v xml:space="preserve"> </v>
      </c>
      <c r="B1673" s="4">
        <v>0</v>
      </c>
      <c r="C1673" s="4">
        <v>0</v>
      </c>
      <c r="D1673" s="4">
        <v>0</v>
      </c>
      <c r="E1673" s="4" t="str">
        <v>0</v>
      </c>
      <c r="F1673" s="102" t="str">
        <f ca="1">IFERROR(__xludf.DUMMYFUNCTION("IMPORTRANGE(H1673,""IDENTITAS UNIT!D9"")"),"#N/A")</f>
        <v>#N/A</v>
      </c>
      <c r="H1673" s="4" t="str">
        <v>0</v>
      </c>
      <c r="I1673" s="4" t="str">
        <v>0</v>
      </c>
      <c r="J1673" s="4">
        <v>0</v>
      </c>
    </row>
    <row r="1674" spans="1:10" ht="16.5" hidden="1">
      <c r="A1674" s="4" t="str">
        <v xml:space="preserve"> </v>
      </c>
      <c r="B1674" s="4">
        <v>0</v>
      </c>
      <c r="C1674" s="4">
        <v>0</v>
      </c>
      <c r="D1674" s="4">
        <v>0</v>
      </c>
      <c r="E1674" s="4" t="str">
        <v>0</v>
      </c>
      <c r="F1674" s="102" t="str">
        <f ca="1">IFERROR(__xludf.DUMMYFUNCTION("IMPORTRANGE(H1674,""IDENTITAS UNIT!D9"")"),"#N/A")</f>
        <v>#N/A</v>
      </c>
      <c r="H1674" s="4" t="str">
        <v>0</v>
      </c>
      <c r="I1674" s="4" t="str">
        <v>0</v>
      </c>
      <c r="J1674" s="4">
        <v>0</v>
      </c>
    </row>
    <row r="1675" spans="1:10" ht="16.5" hidden="1">
      <c r="A1675" s="4" t="str">
        <v xml:space="preserve"> </v>
      </c>
      <c r="B1675" s="4">
        <v>0</v>
      </c>
      <c r="C1675" s="4">
        <v>0</v>
      </c>
      <c r="D1675" s="4">
        <v>0</v>
      </c>
      <c r="E1675" s="4" t="str">
        <v>0</v>
      </c>
      <c r="F1675" s="102" t="str">
        <f ca="1">IFERROR(__xludf.DUMMYFUNCTION("IMPORTRANGE(H1675,""IDENTITAS UNIT!D9"")"),"#N/A")</f>
        <v>#N/A</v>
      </c>
      <c r="H1675" s="4" t="str">
        <v>0</v>
      </c>
      <c r="I1675" s="4" t="str">
        <v>0</v>
      </c>
      <c r="J1675" s="4">
        <v>0</v>
      </c>
    </row>
    <row r="1676" spans="1:10" ht="16.5" hidden="1">
      <c r="A1676" s="4" t="str">
        <v xml:space="preserve"> </v>
      </c>
      <c r="B1676" s="4">
        <v>0</v>
      </c>
      <c r="C1676" s="4">
        <v>0</v>
      </c>
      <c r="D1676" s="4">
        <v>0</v>
      </c>
      <c r="E1676" s="4" t="str">
        <v>0</v>
      </c>
      <c r="F1676" s="102" t="str">
        <f ca="1">IFERROR(__xludf.DUMMYFUNCTION("IMPORTRANGE(H1676,""IDENTITAS UNIT!D9"")"),"#N/A")</f>
        <v>#N/A</v>
      </c>
      <c r="H1676" s="4" t="str">
        <v>0</v>
      </c>
      <c r="I1676" s="4" t="str">
        <v>0</v>
      </c>
      <c r="J1676" s="4">
        <v>0</v>
      </c>
    </row>
    <row r="1677" spans="1:10" ht="16.5" hidden="1">
      <c r="A1677" s="4" t="str">
        <v xml:space="preserve"> </v>
      </c>
      <c r="B1677" s="4">
        <v>0</v>
      </c>
      <c r="C1677" s="4">
        <v>0</v>
      </c>
      <c r="D1677" s="4">
        <v>0</v>
      </c>
      <c r="E1677" s="4" t="str">
        <v>0</v>
      </c>
      <c r="F1677" s="102" t="str">
        <f ca="1">IFERROR(__xludf.DUMMYFUNCTION("IMPORTRANGE(H1677,""IDENTITAS UNIT!D9"")"),"#N/A")</f>
        <v>#N/A</v>
      </c>
      <c r="H1677" s="4" t="str">
        <v>0</v>
      </c>
      <c r="I1677" s="4" t="str">
        <v>0</v>
      </c>
      <c r="J1677" s="4">
        <v>0</v>
      </c>
    </row>
    <row r="1678" spans="1:10" ht="16.5" hidden="1">
      <c r="A1678" s="4" t="str">
        <v xml:space="preserve"> </v>
      </c>
      <c r="B1678" s="4">
        <v>0</v>
      </c>
      <c r="C1678" s="4">
        <v>0</v>
      </c>
      <c r="D1678" s="4">
        <v>0</v>
      </c>
      <c r="E1678" s="4" t="str">
        <v>0</v>
      </c>
      <c r="F1678" s="102" t="str">
        <f ca="1">IFERROR(__xludf.DUMMYFUNCTION("IMPORTRANGE(H1678,""IDENTITAS UNIT!D9"")"),"#N/A")</f>
        <v>#N/A</v>
      </c>
      <c r="H1678" s="4" t="str">
        <v>0</v>
      </c>
      <c r="I1678" s="4" t="str">
        <v>0</v>
      </c>
      <c r="J1678" s="4">
        <v>0</v>
      </c>
    </row>
    <row r="1679" spans="1:10" ht="16.5" hidden="1">
      <c r="A1679" s="4" t="str">
        <v xml:space="preserve"> </v>
      </c>
      <c r="B1679" s="4">
        <v>0</v>
      </c>
      <c r="C1679" s="4">
        <v>0</v>
      </c>
      <c r="D1679" s="4">
        <v>0</v>
      </c>
      <c r="E1679" s="4" t="str">
        <v>0</v>
      </c>
      <c r="F1679" s="102" t="str">
        <f ca="1">IFERROR(__xludf.DUMMYFUNCTION("IMPORTRANGE(H1679,""IDENTITAS UNIT!D9"")"),"#N/A")</f>
        <v>#N/A</v>
      </c>
      <c r="H1679" s="4" t="str">
        <v>0</v>
      </c>
      <c r="I1679" s="4" t="str">
        <v>0</v>
      </c>
      <c r="J1679" s="4">
        <v>0</v>
      </c>
    </row>
    <row r="1680" spans="1:10" ht="16.5" hidden="1">
      <c r="A1680" s="4" t="str">
        <v xml:space="preserve"> </v>
      </c>
      <c r="B1680" s="4">
        <v>0</v>
      </c>
      <c r="C1680" s="4">
        <v>0</v>
      </c>
      <c r="D1680" s="4">
        <v>0</v>
      </c>
      <c r="E1680" s="4" t="str">
        <v>0</v>
      </c>
      <c r="F1680" s="102" t="str">
        <f ca="1">IFERROR(__xludf.DUMMYFUNCTION("IMPORTRANGE(H1680,""IDENTITAS UNIT!D9"")"),"#N/A")</f>
        <v>#N/A</v>
      </c>
      <c r="H1680" s="4" t="str">
        <v>0</v>
      </c>
      <c r="I1680" s="4" t="str">
        <v>0</v>
      </c>
      <c r="J1680" s="4">
        <v>0</v>
      </c>
    </row>
    <row r="1681" spans="1:10" ht="16.5" hidden="1">
      <c r="A1681" s="4" t="str">
        <v xml:space="preserve"> </v>
      </c>
      <c r="B1681" s="4">
        <v>0</v>
      </c>
      <c r="C1681" s="4">
        <v>0</v>
      </c>
      <c r="D1681" s="4">
        <v>0</v>
      </c>
      <c r="E1681" s="4" t="str">
        <v>0</v>
      </c>
      <c r="F1681" s="102" t="str">
        <f ca="1">IFERROR(__xludf.DUMMYFUNCTION("IMPORTRANGE(H1681,""IDENTITAS UNIT!D9"")"),"#N/A")</f>
        <v>#N/A</v>
      </c>
      <c r="H1681" s="4" t="str">
        <v>0</v>
      </c>
      <c r="I1681" s="4" t="str">
        <v>0</v>
      </c>
      <c r="J1681" s="4">
        <v>0</v>
      </c>
    </row>
    <row r="1682" spans="1:10" ht="16.5" hidden="1">
      <c r="A1682" s="4" t="str">
        <v xml:space="preserve"> </v>
      </c>
      <c r="B1682" s="4">
        <v>0</v>
      </c>
      <c r="C1682" s="4">
        <v>0</v>
      </c>
      <c r="D1682" s="4">
        <v>0</v>
      </c>
      <c r="E1682" s="4" t="str">
        <v>0</v>
      </c>
      <c r="F1682" s="102" t="str">
        <f ca="1">IFERROR(__xludf.DUMMYFUNCTION("IMPORTRANGE(H1682,""IDENTITAS UNIT!D9"")"),"#N/A")</f>
        <v>#N/A</v>
      </c>
      <c r="H1682" s="4" t="str">
        <v>0</v>
      </c>
      <c r="I1682" s="4" t="str">
        <v>0</v>
      </c>
      <c r="J1682" s="4">
        <v>0</v>
      </c>
    </row>
    <row r="1683" spans="1:10" ht="16.5" hidden="1">
      <c r="A1683" s="4" t="str">
        <v xml:space="preserve"> </v>
      </c>
      <c r="B1683" s="4">
        <v>0</v>
      </c>
      <c r="C1683" s="4">
        <v>0</v>
      </c>
      <c r="D1683" s="4">
        <v>0</v>
      </c>
      <c r="E1683" s="4" t="str">
        <v>0</v>
      </c>
      <c r="F1683" s="102" t="str">
        <f ca="1">IFERROR(__xludf.DUMMYFUNCTION("IMPORTRANGE(H1683,""IDENTITAS UNIT!D9"")"),"#N/A")</f>
        <v>#N/A</v>
      </c>
      <c r="H1683" s="4" t="str">
        <v>0</v>
      </c>
      <c r="I1683" s="4" t="str">
        <v>0</v>
      </c>
      <c r="J1683" s="4">
        <v>0</v>
      </c>
    </row>
    <row r="1684" spans="1:10" ht="16.5" hidden="1">
      <c r="A1684" s="4" t="str">
        <v xml:space="preserve"> </v>
      </c>
      <c r="B1684" s="4">
        <v>0</v>
      </c>
      <c r="C1684" s="4">
        <v>0</v>
      </c>
      <c r="D1684" s="4">
        <v>0</v>
      </c>
      <c r="E1684" s="4" t="str">
        <v>0</v>
      </c>
      <c r="F1684" s="102" t="str">
        <f ca="1">IFERROR(__xludf.DUMMYFUNCTION("IMPORTRANGE(H1684,""IDENTITAS UNIT!D9"")"),"#N/A")</f>
        <v>#N/A</v>
      </c>
      <c r="H1684" s="4" t="str">
        <v>0</v>
      </c>
      <c r="I1684" s="4" t="str">
        <v>0</v>
      </c>
      <c r="J1684" s="4">
        <v>0</v>
      </c>
    </row>
    <row r="1685" spans="1:10" ht="16.5" hidden="1">
      <c r="A1685" s="4" t="str">
        <v xml:space="preserve"> </v>
      </c>
      <c r="B1685" s="4">
        <v>0</v>
      </c>
      <c r="C1685" s="4">
        <v>0</v>
      </c>
      <c r="D1685" s="4">
        <v>0</v>
      </c>
      <c r="E1685" s="4" t="str">
        <v>0</v>
      </c>
      <c r="F1685" s="102" t="str">
        <f ca="1">IFERROR(__xludf.DUMMYFUNCTION("IMPORTRANGE(H1685,""IDENTITAS UNIT!D9"")"),"#N/A")</f>
        <v>#N/A</v>
      </c>
      <c r="H1685" s="4" t="str">
        <v>0</v>
      </c>
      <c r="I1685" s="4" t="str">
        <v>0</v>
      </c>
      <c r="J1685" s="4">
        <v>0</v>
      </c>
    </row>
    <row r="1686" spans="1:10" ht="16.5" hidden="1">
      <c r="A1686" s="4" t="str">
        <v xml:space="preserve"> </v>
      </c>
      <c r="B1686" s="4">
        <v>0</v>
      </c>
      <c r="C1686" s="4">
        <v>0</v>
      </c>
      <c r="D1686" s="4">
        <v>0</v>
      </c>
      <c r="E1686" s="4" t="str">
        <v>0</v>
      </c>
      <c r="F1686" s="102" t="str">
        <f ca="1">IFERROR(__xludf.DUMMYFUNCTION("IMPORTRANGE(H1686,""IDENTITAS UNIT!D9"")"),"#N/A")</f>
        <v>#N/A</v>
      </c>
      <c r="H1686" s="4" t="str">
        <v>0</v>
      </c>
      <c r="I1686" s="4" t="str">
        <v>0</v>
      </c>
      <c r="J1686" s="4">
        <v>0</v>
      </c>
    </row>
    <row r="1687" spans="1:10" ht="16.5" hidden="1">
      <c r="A1687" s="4" t="str">
        <v xml:space="preserve"> </v>
      </c>
      <c r="B1687" s="4">
        <v>0</v>
      </c>
      <c r="C1687" s="4">
        <v>0</v>
      </c>
      <c r="D1687" s="4">
        <v>0</v>
      </c>
      <c r="E1687" s="4" t="str">
        <v>0</v>
      </c>
      <c r="F1687" s="102" t="str">
        <f ca="1">IFERROR(__xludf.DUMMYFUNCTION("IMPORTRANGE(H1687,""IDENTITAS UNIT!D9"")"),"#N/A")</f>
        <v>#N/A</v>
      </c>
      <c r="H1687" s="4" t="str">
        <v>0</v>
      </c>
      <c r="I1687" s="4" t="str">
        <v>0</v>
      </c>
      <c r="J1687" s="4">
        <v>0</v>
      </c>
    </row>
    <row r="1688" spans="1:10" ht="16.5" hidden="1">
      <c r="A1688" s="4" t="str">
        <v xml:space="preserve"> </v>
      </c>
      <c r="B1688" s="4">
        <v>0</v>
      </c>
      <c r="C1688" s="4">
        <v>0</v>
      </c>
      <c r="D1688" s="4">
        <v>0</v>
      </c>
      <c r="E1688" s="4" t="str">
        <v>0</v>
      </c>
      <c r="F1688" s="102" t="str">
        <f ca="1">IFERROR(__xludf.DUMMYFUNCTION("IMPORTRANGE(H1688,""IDENTITAS UNIT!D9"")"),"#N/A")</f>
        <v>#N/A</v>
      </c>
      <c r="H1688" s="4" t="str">
        <v>0</v>
      </c>
      <c r="I1688" s="4" t="str">
        <v>0</v>
      </c>
      <c r="J1688" s="4">
        <v>0</v>
      </c>
    </row>
    <row r="1689" spans="1:10" ht="16.5" hidden="1">
      <c r="A1689" s="4" t="str">
        <v xml:space="preserve"> </v>
      </c>
      <c r="B1689" s="4">
        <v>0</v>
      </c>
      <c r="C1689" s="4">
        <v>0</v>
      </c>
      <c r="D1689" s="4">
        <v>0</v>
      </c>
      <c r="E1689" s="4" t="str">
        <v>0</v>
      </c>
      <c r="F1689" s="102" t="str">
        <f ca="1">IFERROR(__xludf.DUMMYFUNCTION("IMPORTRANGE(H1689,""IDENTITAS UNIT!D9"")"),"#N/A")</f>
        <v>#N/A</v>
      </c>
      <c r="H1689" s="4" t="str">
        <v>0</v>
      </c>
      <c r="I1689" s="4" t="str">
        <v>0</v>
      </c>
      <c r="J1689" s="4">
        <v>0</v>
      </c>
    </row>
    <row r="1690" spans="1:10" ht="16.5" hidden="1">
      <c r="A1690" s="4" t="str">
        <v xml:space="preserve"> </v>
      </c>
      <c r="B1690" s="4">
        <v>0</v>
      </c>
      <c r="C1690" s="4">
        <v>0</v>
      </c>
      <c r="D1690" s="4">
        <v>0</v>
      </c>
      <c r="E1690" s="4" t="str">
        <v>0</v>
      </c>
      <c r="F1690" s="102" t="str">
        <f ca="1">IFERROR(__xludf.DUMMYFUNCTION("IMPORTRANGE(H1690,""IDENTITAS UNIT!D9"")"),"#N/A")</f>
        <v>#N/A</v>
      </c>
      <c r="H1690" s="4" t="str">
        <v>0</v>
      </c>
      <c r="I1690" s="4" t="str">
        <v>0</v>
      </c>
      <c r="J1690" s="4">
        <v>0</v>
      </c>
    </row>
    <row r="1691" spans="1:10" ht="16.5" hidden="1">
      <c r="A1691" s="4" t="str">
        <v xml:space="preserve"> </v>
      </c>
      <c r="B1691" s="4">
        <v>0</v>
      </c>
      <c r="C1691" s="4">
        <v>0</v>
      </c>
      <c r="D1691" s="4">
        <v>0</v>
      </c>
      <c r="E1691" s="4" t="str">
        <v>0</v>
      </c>
      <c r="F1691" s="102" t="str">
        <f ca="1">IFERROR(__xludf.DUMMYFUNCTION("IMPORTRANGE(H1691,""IDENTITAS UNIT!D9"")"),"#N/A")</f>
        <v>#N/A</v>
      </c>
      <c r="H1691" s="4" t="str">
        <v>0</v>
      </c>
      <c r="I1691" s="4" t="str">
        <v>0</v>
      </c>
      <c r="J1691" s="4">
        <v>0</v>
      </c>
    </row>
    <row r="1692" spans="1:10" ht="16.5" hidden="1">
      <c r="A1692" s="4" t="str">
        <v xml:space="preserve"> </v>
      </c>
      <c r="B1692" s="4">
        <v>0</v>
      </c>
      <c r="C1692" s="4">
        <v>0</v>
      </c>
      <c r="D1692" s="4">
        <v>0</v>
      </c>
      <c r="E1692" s="4" t="str">
        <v>0</v>
      </c>
      <c r="F1692" s="102" t="str">
        <f ca="1">IFERROR(__xludf.DUMMYFUNCTION("IMPORTRANGE(H1692,""IDENTITAS UNIT!D9"")"),"#N/A")</f>
        <v>#N/A</v>
      </c>
      <c r="H1692" s="4" t="str">
        <v>0</v>
      </c>
      <c r="I1692" s="4" t="str">
        <v>0</v>
      </c>
      <c r="J1692" s="4">
        <v>0</v>
      </c>
    </row>
    <row r="1693" spans="1:10" ht="16.5" hidden="1">
      <c r="A1693" s="4" t="str">
        <v xml:space="preserve"> </v>
      </c>
      <c r="B1693" s="4">
        <v>0</v>
      </c>
      <c r="C1693" s="4">
        <v>0</v>
      </c>
      <c r="D1693" s="4">
        <v>0</v>
      </c>
      <c r="E1693" s="4" t="str">
        <v>0</v>
      </c>
      <c r="F1693" s="102" t="str">
        <f ca="1">IFERROR(__xludf.DUMMYFUNCTION("IMPORTRANGE(H1693,""IDENTITAS UNIT!D9"")"),"#N/A")</f>
        <v>#N/A</v>
      </c>
      <c r="H1693" s="4" t="str">
        <v>0</v>
      </c>
      <c r="I1693" s="4" t="str">
        <v>0</v>
      </c>
      <c r="J1693" s="4">
        <v>0</v>
      </c>
    </row>
    <row r="1694" spans="1:10" ht="16.5" hidden="1">
      <c r="A1694" s="4" t="str">
        <v xml:space="preserve"> </v>
      </c>
      <c r="B1694" s="4">
        <v>0</v>
      </c>
      <c r="C1694" s="4">
        <v>0</v>
      </c>
      <c r="D1694" s="4">
        <v>0</v>
      </c>
      <c r="E1694" s="4" t="str">
        <v>0</v>
      </c>
      <c r="F1694" s="102" t="str">
        <f ca="1">IFERROR(__xludf.DUMMYFUNCTION("IMPORTRANGE(H1694,""IDENTITAS UNIT!D9"")"),"#N/A")</f>
        <v>#N/A</v>
      </c>
      <c r="H1694" s="4" t="str">
        <v>0</v>
      </c>
      <c r="I1694" s="4" t="str">
        <v>0</v>
      </c>
      <c r="J1694" s="4">
        <v>0</v>
      </c>
    </row>
    <row r="1695" spans="1:10" ht="16.5" hidden="1">
      <c r="A1695" s="4" t="str">
        <v xml:space="preserve"> </v>
      </c>
      <c r="B1695" s="4">
        <v>0</v>
      </c>
      <c r="C1695" s="4">
        <v>0</v>
      </c>
      <c r="D1695" s="4">
        <v>0</v>
      </c>
      <c r="E1695" s="4" t="str">
        <v>0</v>
      </c>
      <c r="F1695" s="102" t="str">
        <f ca="1">IFERROR(__xludf.DUMMYFUNCTION("IMPORTRANGE(H1695,""IDENTITAS UNIT!D9"")"),"#N/A")</f>
        <v>#N/A</v>
      </c>
      <c r="H1695" s="4" t="str">
        <v>0</v>
      </c>
      <c r="I1695" s="4" t="str">
        <v>0</v>
      </c>
      <c r="J1695" s="4">
        <v>0</v>
      </c>
    </row>
    <row r="1696" spans="1:10" ht="16.5" hidden="1">
      <c r="A1696" s="4" t="str">
        <v xml:space="preserve"> </v>
      </c>
      <c r="B1696" s="4">
        <v>0</v>
      </c>
      <c r="C1696" s="4">
        <v>0</v>
      </c>
      <c r="D1696" s="4">
        <v>0</v>
      </c>
      <c r="E1696" s="4" t="str">
        <v>0</v>
      </c>
      <c r="F1696" s="102" t="str">
        <f ca="1">IFERROR(__xludf.DUMMYFUNCTION("IMPORTRANGE(H1696,""IDENTITAS UNIT!D9"")"),"#N/A")</f>
        <v>#N/A</v>
      </c>
      <c r="H1696" s="4" t="str">
        <v>0</v>
      </c>
      <c r="I1696" s="4" t="str">
        <v>0</v>
      </c>
      <c r="J1696" s="4">
        <v>0</v>
      </c>
    </row>
    <row r="1697" spans="1:10" ht="16.5" hidden="1">
      <c r="A1697" s="4" t="str">
        <v xml:space="preserve"> </v>
      </c>
      <c r="B1697" s="4">
        <v>0</v>
      </c>
      <c r="C1697" s="4">
        <v>0</v>
      </c>
      <c r="D1697" s="4">
        <v>0</v>
      </c>
      <c r="E1697" s="4" t="str">
        <v>0</v>
      </c>
      <c r="F1697" s="102" t="str">
        <f ca="1">IFERROR(__xludf.DUMMYFUNCTION("IMPORTRANGE(H1697,""IDENTITAS UNIT!D9"")"),"#N/A")</f>
        <v>#N/A</v>
      </c>
      <c r="H1697" s="4" t="str">
        <v>0</v>
      </c>
      <c r="I1697" s="4" t="str">
        <v>0</v>
      </c>
      <c r="J1697" s="4">
        <v>0</v>
      </c>
    </row>
    <row r="1698" spans="1:10" ht="16.5" hidden="1">
      <c r="A1698" s="4" t="str">
        <v xml:space="preserve"> </v>
      </c>
      <c r="B1698" s="4">
        <v>0</v>
      </c>
      <c r="C1698" s="4">
        <v>0</v>
      </c>
      <c r="D1698" s="4">
        <v>0</v>
      </c>
      <c r="E1698" s="4" t="str">
        <v>0</v>
      </c>
      <c r="F1698" s="102" t="str">
        <f ca="1">IFERROR(__xludf.DUMMYFUNCTION("IMPORTRANGE(H1698,""IDENTITAS UNIT!D9"")"),"#N/A")</f>
        <v>#N/A</v>
      </c>
      <c r="H1698" s="4" t="str">
        <v>0</v>
      </c>
      <c r="I1698" s="4" t="str">
        <v>0</v>
      </c>
      <c r="J1698" s="4">
        <v>0</v>
      </c>
    </row>
    <row r="1699" spans="1:10" ht="16.5" hidden="1">
      <c r="A1699" s="4" t="str">
        <v xml:space="preserve"> </v>
      </c>
      <c r="B1699" s="4">
        <v>0</v>
      </c>
      <c r="C1699" s="4">
        <v>0</v>
      </c>
      <c r="D1699" s="4">
        <v>0</v>
      </c>
      <c r="E1699" s="4" t="str">
        <v>0</v>
      </c>
      <c r="F1699" s="102" t="str">
        <f ca="1">IFERROR(__xludf.DUMMYFUNCTION("IMPORTRANGE(H1699,""IDENTITAS UNIT!D9"")"),"#N/A")</f>
        <v>#N/A</v>
      </c>
      <c r="H1699" s="4" t="str">
        <v>0</v>
      </c>
      <c r="I1699" s="4" t="str">
        <v>0</v>
      </c>
      <c r="J1699" s="4">
        <v>0</v>
      </c>
    </row>
    <row r="1700" spans="1:10" ht="16.5" hidden="1">
      <c r="A1700" s="4" t="str">
        <v xml:space="preserve"> </v>
      </c>
      <c r="B1700" s="4">
        <v>0</v>
      </c>
      <c r="C1700" s="4">
        <v>0</v>
      </c>
      <c r="D1700" s="4">
        <v>0</v>
      </c>
      <c r="E1700" s="4" t="str">
        <v>0</v>
      </c>
      <c r="F1700" s="102" t="str">
        <f ca="1">IFERROR(__xludf.DUMMYFUNCTION("IMPORTRANGE(H1700,""IDENTITAS UNIT!D9"")"),"#N/A")</f>
        <v>#N/A</v>
      </c>
      <c r="H1700" s="4" t="str">
        <v>0</v>
      </c>
      <c r="I1700" s="4" t="str">
        <v>0</v>
      </c>
      <c r="J1700" s="4">
        <v>0</v>
      </c>
    </row>
    <row r="1701" spans="1:10" ht="16.5" hidden="1">
      <c r="A1701" s="4" t="str">
        <v xml:space="preserve"> </v>
      </c>
      <c r="B1701" s="4">
        <v>0</v>
      </c>
      <c r="C1701" s="4">
        <v>0</v>
      </c>
      <c r="D1701" s="4">
        <v>0</v>
      </c>
      <c r="E1701" s="4" t="str">
        <v>0</v>
      </c>
      <c r="F1701" s="102" t="str">
        <f ca="1">IFERROR(__xludf.DUMMYFUNCTION("IMPORTRANGE(H1701,""IDENTITAS UNIT!D9"")"),"#N/A")</f>
        <v>#N/A</v>
      </c>
      <c r="H1701" s="4" t="str">
        <v>0</v>
      </c>
      <c r="I1701" s="4" t="str">
        <v>0</v>
      </c>
      <c r="J1701" s="4">
        <v>0</v>
      </c>
    </row>
    <row r="1702" spans="1:10" ht="16.5" hidden="1">
      <c r="A1702" s="4" t="str">
        <v xml:space="preserve"> </v>
      </c>
      <c r="B1702" s="4">
        <v>0</v>
      </c>
      <c r="C1702" s="4">
        <v>0</v>
      </c>
      <c r="D1702" s="4">
        <v>0</v>
      </c>
      <c r="E1702" s="4" t="str">
        <v>0</v>
      </c>
      <c r="F1702" s="102" t="str">
        <f ca="1">IFERROR(__xludf.DUMMYFUNCTION("IMPORTRANGE(H1702,""IDENTITAS UNIT!D9"")"),"#N/A")</f>
        <v>#N/A</v>
      </c>
      <c r="H1702" s="4" t="str">
        <v>0</v>
      </c>
      <c r="I1702" s="4" t="str">
        <v>0</v>
      </c>
      <c r="J1702" s="4">
        <v>0</v>
      </c>
    </row>
    <row r="1703" spans="1:10" ht="16.5" hidden="1">
      <c r="A1703" s="4" t="str">
        <v xml:space="preserve"> </v>
      </c>
      <c r="B1703" s="4">
        <v>0</v>
      </c>
      <c r="C1703" s="4">
        <v>0</v>
      </c>
      <c r="D1703" s="4">
        <v>0</v>
      </c>
      <c r="E1703" s="4" t="str">
        <v>0</v>
      </c>
      <c r="F1703" s="102" t="str">
        <f ca="1">IFERROR(__xludf.DUMMYFUNCTION("IMPORTRANGE(H1703,""IDENTITAS UNIT!D9"")"),"#N/A")</f>
        <v>#N/A</v>
      </c>
      <c r="H1703" s="4" t="str">
        <v>0</v>
      </c>
      <c r="I1703" s="4" t="str">
        <v>0</v>
      </c>
      <c r="J1703" s="4">
        <v>0</v>
      </c>
    </row>
    <row r="1704" spans="1:10" ht="16.5" hidden="1">
      <c r="A1704" s="4" t="str">
        <v xml:space="preserve"> </v>
      </c>
      <c r="B1704" s="4">
        <v>0</v>
      </c>
      <c r="C1704" s="4">
        <v>0</v>
      </c>
      <c r="D1704" s="4">
        <v>0</v>
      </c>
      <c r="E1704" s="4" t="str">
        <v>0</v>
      </c>
      <c r="F1704" s="102" t="str">
        <f ca="1">IFERROR(__xludf.DUMMYFUNCTION("IMPORTRANGE(H1704,""IDENTITAS UNIT!D9"")"),"#N/A")</f>
        <v>#N/A</v>
      </c>
      <c r="H1704" s="4" t="str">
        <v>0</v>
      </c>
      <c r="I1704" s="4" t="str">
        <v>0</v>
      </c>
      <c r="J1704" s="4">
        <v>0</v>
      </c>
    </row>
    <row r="1705" spans="1:10" ht="16.5" hidden="1">
      <c r="A1705" s="4" t="str">
        <v xml:space="preserve"> </v>
      </c>
      <c r="B1705" s="4">
        <v>0</v>
      </c>
      <c r="C1705" s="4">
        <v>0</v>
      </c>
      <c r="D1705" s="4">
        <v>0</v>
      </c>
      <c r="E1705" s="4" t="str">
        <v>0</v>
      </c>
      <c r="F1705" s="102" t="str">
        <f ca="1">IFERROR(__xludf.DUMMYFUNCTION("IMPORTRANGE(H1705,""IDENTITAS UNIT!D9"")"),"#N/A")</f>
        <v>#N/A</v>
      </c>
      <c r="H1705" s="4" t="str">
        <v>0</v>
      </c>
      <c r="I1705" s="4" t="str">
        <v>0</v>
      </c>
      <c r="J1705" s="4">
        <v>0</v>
      </c>
    </row>
    <row r="1706" spans="1:10" ht="16.5" hidden="1">
      <c r="E1706" s="4" t="str">
        <v/>
      </c>
      <c r="F1706" s="102" t="str">
        <f ca="1">IFERROR(__xludf.DUMMYFUNCTION("IMPORTRANGE(H1706,""IDENTITAS UNIT!D9"")"),"#N/A")</f>
        <v>#N/A</v>
      </c>
      <c r="H1706" s="4" t="str">
        <v/>
      </c>
      <c r="I1706" s="4" t="str">
        <v/>
      </c>
    </row>
    <row r="1707" spans="1:10" ht="16.5" hidden="1">
      <c r="E1707" s="4" t="str">
        <v/>
      </c>
      <c r="F1707" s="102" t="str">
        <f ca="1">IFERROR(__xludf.DUMMYFUNCTION("IMPORTRANGE(H1707,""IDENTITAS UNIT!D9"")"),"#N/A")</f>
        <v>#N/A</v>
      </c>
      <c r="H1707" s="4" t="str">
        <v/>
      </c>
      <c r="I1707" s="4" t="str">
        <v/>
      </c>
    </row>
    <row r="1708" spans="1:10" ht="16.5" hidden="1">
      <c r="E1708" s="4" t="str">
        <v/>
      </c>
      <c r="F1708" s="102" t="str">
        <f ca="1">IFERROR(__xludf.DUMMYFUNCTION("IMPORTRANGE(H1708,""IDENTITAS UNIT!D9"")"),"#N/A")</f>
        <v>#N/A</v>
      </c>
      <c r="H1708" s="4" t="str">
        <v/>
      </c>
      <c r="I1708" s="4" t="str">
        <v/>
      </c>
    </row>
    <row r="1709" spans="1:10" ht="16.5" hidden="1">
      <c r="E1709" s="4" t="str">
        <v/>
      </c>
      <c r="F1709" s="102" t="str">
        <f ca="1">IFERROR(__xludf.DUMMYFUNCTION("IMPORTRANGE(H1709,""IDENTITAS UNIT!D9"")"),"#N/A")</f>
        <v>#N/A</v>
      </c>
      <c r="H1709" s="4" t="str">
        <v/>
      </c>
      <c r="I1709" s="4" t="str">
        <v/>
      </c>
    </row>
    <row r="1710" spans="1:10" ht="16.5" hidden="1">
      <c r="E1710" s="4" t="str">
        <v/>
      </c>
      <c r="F1710" s="102" t="str">
        <f ca="1">IFERROR(__xludf.DUMMYFUNCTION("IMPORTRANGE(H1710,""IDENTITAS UNIT!D9"")"),"#N/A")</f>
        <v>#N/A</v>
      </c>
      <c r="H1710" s="4" t="str">
        <v/>
      </c>
      <c r="I1710" s="4" t="str">
        <v/>
      </c>
    </row>
    <row r="1711" spans="1:10" ht="16.5" hidden="1">
      <c r="E1711" s="4" t="str">
        <v/>
      </c>
      <c r="F1711" s="102" t="str">
        <f ca="1">IFERROR(__xludf.DUMMYFUNCTION("IMPORTRANGE(H1711,""IDENTITAS UNIT!D9"")"),"#N/A")</f>
        <v>#N/A</v>
      </c>
      <c r="H1711" s="4" t="str">
        <v/>
      </c>
      <c r="I1711" s="4" t="str">
        <v/>
      </c>
    </row>
    <row r="1712" spans="1:10" ht="16.5" hidden="1">
      <c r="E1712" s="4" t="str">
        <v/>
      </c>
      <c r="F1712" s="102" t="str">
        <f ca="1">IFERROR(__xludf.DUMMYFUNCTION("IMPORTRANGE(H1712,""IDENTITAS UNIT!D9"")"),"#N/A")</f>
        <v>#N/A</v>
      </c>
      <c r="H1712" s="4" t="str">
        <v/>
      </c>
      <c r="I1712" s="4" t="str">
        <v/>
      </c>
    </row>
    <row r="1713" spans="5:9" ht="16.5" hidden="1">
      <c r="E1713" s="4" t="str">
        <v/>
      </c>
      <c r="F1713" s="102" t="str">
        <f ca="1">IFERROR(__xludf.DUMMYFUNCTION("IMPORTRANGE(H1713,""IDENTITAS UNIT!D9"")"),"#N/A")</f>
        <v>#N/A</v>
      </c>
      <c r="H1713" s="4" t="str">
        <v/>
      </c>
      <c r="I1713" s="4" t="str">
        <v/>
      </c>
    </row>
    <row r="1714" spans="5:9" ht="16.5" hidden="1">
      <c r="E1714" s="4" t="str">
        <v/>
      </c>
      <c r="F1714" s="102" t="str">
        <f ca="1">IFERROR(__xludf.DUMMYFUNCTION("IMPORTRANGE(H1714,""IDENTITAS UNIT!D9"")"),"#N/A")</f>
        <v>#N/A</v>
      </c>
      <c r="H1714" s="4" t="str">
        <v/>
      </c>
      <c r="I1714" s="4" t="str">
        <v/>
      </c>
    </row>
    <row r="1715" spans="5:9" ht="16.5" hidden="1">
      <c r="E1715" s="4" t="str">
        <v/>
      </c>
      <c r="F1715" s="102" t="str">
        <f ca="1">IFERROR(__xludf.DUMMYFUNCTION("IMPORTRANGE(H1715,""IDENTITAS UNIT!D9"")"),"#N/A")</f>
        <v>#N/A</v>
      </c>
      <c r="H1715" s="4" t="str">
        <v/>
      </c>
      <c r="I1715" s="4" t="str">
        <v/>
      </c>
    </row>
    <row r="1716" spans="5:9" ht="16.5" hidden="1">
      <c r="E1716" s="4" t="str">
        <v/>
      </c>
      <c r="F1716" s="102" t="str">
        <f ca="1">IFERROR(__xludf.DUMMYFUNCTION("IMPORTRANGE(H1716,""IDENTITAS UNIT!D9"")"),"#N/A")</f>
        <v>#N/A</v>
      </c>
      <c r="H1716" s="4" t="str">
        <v/>
      </c>
      <c r="I1716" s="4" t="str">
        <v/>
      </c>
    </row>
    <row r="1717" spans="5:9" ht="16.5" hidden="1">
      <c r="E1717" s="4" t="str">
        <v/>
      </c>
      <c r="F1717" s="102" t="str">
        <f ca="1">IFERROR(__xludf.DUMMYFUNCTION("IMPORTRANGE(H1717,""IDENTITAS UNIT!D9"")"),"#N/A")</f>
        <v>#N/A</v>
      </c>
      <c r="H1717" s="4" t="str">
        <v/>
      </c>
      <c r="I1717" s="4" t="str">
        <v/>
      </c>
    </row>
    <row r="1718" spans="5:9" ht="16.5" hidden="1">
      <c r="E1718" s="4" t="str">
        <v/>
      </c>
      <c r="F1718" s="102" t="str">
        <f ca="1">IFERROR(__xludf.DUMMYFUNCTION("IMPORTRANGE(H1718,""IDENTITAS UNIT!D9"")"),"#N/A")</f>
        <v>#N/A</v>
      </c>
      <c r="H1718" s="4" t="str">
        <v/>
      </c>
      <c r="I1718" s="4" t="str">
        <v/>
      </c>
    </row>
    <row r="1719" spans="5:9" ht="16.5" hidden="1">
      <c r="E1719" s="4" t="str">
        <v/>
      </c>
      <c r="F1719" s="102" t="str">
        <f ca="1">IFERROR(__xludf.DUMMYFUNCTION("IMPORTRANGE(H1719,""IDENTITAS UNIT!D9"")"),"#N/A")</f>
        <v>#N/A</v>
      </c>
      <c r="H1719" s="4" t="str">
        <v/>
      </c>
      <c r="I1719" s="4" t="str">
        <v/>
      </c>
    </row>
    <row r="1720" spans="5:9" ht="16.5" hidden="1">
      <c r="E1720" s="4" t="str">
        <v/>
      </c>
      <c r="F1720" s="102" t="str">
        <f ca="1">IFERROR(__xludf.DUMMYFUNCTION("IMPORTRANGE(H1720,""IDENTITAS UNIT!D9"")"),"#N/A")</f>
        <v>#N/A</v>
      </c>
      <c r="H1720" s="4" t="str">
        <v/>
      </c>
      <c r="I1720" s="4" t="str">
        <v/>
      </c>
    </row>
    <row r="1721" spans="5:9" ht="16.5" hidden="1">
      <c r="E1721" s="4" t="str">
        <v/>
      </c>
      <c r="F1721" s="102" t="str">
        <f ca="1">IFERROR(__xludf.DUMMYFUNCTION("IMPORTRANGE(H1721,""IDENTITAS UNIT!D9"")"),"#N/A")</f>
        <v>#N/A</v>
      </c>
      <c r="H1721" s="4" t="str">
        <v/>
      </c>
      <c r="I1721" s="4" t="str">
        <v/>
      </c>
    </row>
    <row r="1722" spans="5:9" ht="16.5" hidden="1">
      <c r="E1722" s="4" t="str">
        <v/>
      </c>
      <c r="F1722" s="102" t="str">
        <f ca="1">IFERROR(__xludf.DUMMYFUNCTION("IMPORTRANGE(H1722,""IDENTITAS UNIT!D9"")"),"#N/A")</f>
        <v>#N/A</v>
      </c>
      <c r="H1722" s="4" t="str">
        <v/>
      </c>
      <c r="I1722" s="4" t="str">
        <v/>
      </c>
    </row>
    <row r="1723" spans="5:9" ht="16.5" hidden="1">
      <c r="E1723" s="4" t="str">
        <v/>
      </c>
      <c r="F1723" s="102" t="str">
        <f ca="1">IFERROR(__xludf.DUMMYFUNCTION("IMPORTRANGE(H1723,""IDENTITAS UNIT!D9"")"),"#N/A")</f>
        <v>#N/A</v>
      </c>
      <c r="H1723" s="4" t="str">
        <v/>
      </c>
      <c r="I1723" s="4" t="str">
        <v/>
      </c>
    </row>
    <row r="1724" spans="5:9" ht="16.5" hidden="1">
      <c r="E1724" s="4" t="str">
        <v/>
      </c>
      <c r="F1724" s="102" t="str">
        <f ca="1">IFERROR(__xludf.DUMMYFUNCTION("IMPORTRANGE(H1724,""IDENTITAS UNIT!D9"")"),"#N/A")</f>
        <v>#N/A</v>
      </c>
      <c r="H1724" s="4" t="str">
        <v/>
      </c>
      <c r="I1724" s="4" t="str">
        <v/>
      </c>
    </row>
    <row r="1725" spans="5:9" ht="16.5" hidden="1">
      <c r="E1725" s="4" t="str">
        <v/>
      </c>
      <c r="F1725" s="102" t="str">
        <f ca="1">IFERROR(__xludf.DUMMYFUNCTION("IMPORTRANGE(H1725,""IDENTITAS UNIT!D9"")"),"#N/A")</f>
        <v>#N/A</v>
      </c>
      <c r="H1725" s="4" t="str">
        <v/>
      </c>
      <c r="I1725" s="4" t="str">
        <v/>
      </c>
    </row>
    <row r="1726" spans="5:9" ht="16.5" hidden="1">
      <c r="E1726" s="4" t="str">
        <v/>
      </c>
      <c r="F1726" s="102" t="str">
        <f ca="1">IFERROR(__xludf.DUMMYFUNCTION("IMPORTRANGE(H1726,""IDENTITAS UNIT!D9"")"),"#N/A")</f>
        <v>#N/A</v>
      </c>
      <c r="H1726" s="4" t="str">
        <v/>
      </c>
      <c r="I1726" s="4" t="str">
        <v/>
      </c>
    </row>
    <row r="1727" spans="5:9" ht="16.5" hidden="1">
      <c r="E1727" s="4" t="str">
        <v/>
      </c>
      <c r="F1727" s="102" t="str">
        <f ca="1">IFERROR(__xludf.DUMMYFUNCTION("IMPORTRANGE(H1727,""IDENTITAS UNIT!D9"")"),"#N/A")</f>
        <v>#N/A</v>
      </c>
      <c r="H1727" s="4" t="str">
        <v/>
      </c>
      <c r="I1727" s="4" t="str">
        <v/>
      </c>
    </row>
    <row r="1728" spans="5:9" ht="16.5" hidden="1">
      <c r="E1728" s="4" t="str">
        <v/>
      </c>
      <c r="F1728" s="102" t="str">
        <f ca="1">IFERROR(__xludf.DUMMYFUNCTION("IMPORTRANGE(H1728,""IDENTITAS UNIT!D9"")"),"#N/A")</f>
        <v>#N/A</v>
      </c>
      <c r="H1728" s="4" t="str">
        <v/>
      </c>
      <c r="I1728" s="4" t="str">
        <v/>
      </c>
    </row>
    <row r="1729" spans="5:9" ht="16.5" hidden="1">
      <c r="E1729" s="4" t="str">
        <v/>
      </c>
      <c r="F1729" s="102" t="str">
        <f ca="1">IFERROR(__xludf.DUMMYFUNCTION("IMPORTRANGE(H1729,""IDENTITAS UNIT!D9"")"),"#N/A")</f>
        <v>#N/A</v>
      </c>
      <c r="H1729" s="4" t="str">
        <v/>
      </c>
      <c r="I1729" s="4" t="str">
        <v/>
      </c>
    </row>
    <row r="1730" spans="5:9" ht="16.5" hidden="1">
      <c r="E1730" s="4" t="str">
        <v/>
      </c>
      <c r="F1730" s="102" t="str">
        <f ca="1">IFERROR(__xludf.DUMMYFUNCTION("IMPORTRANGE(H1730,""IDENTITAS UNIT!D9"")"),"#N/A")</f>
        <v>#N/A</v>
      </c>
      <c r="H1730" s="4" t="str">
        <v/>
      </c>
      <c r="I1730" s="4" t="str">
        <v/>
      </c>
    </row>
    <row r="1731" spans="5:9" ht="16.5" hidden="1">
      <c r="E1731" s="4" t="str">
        <v/>
      </c>
      <c r="F1731" s="102" t="str">
        <f ca="1">IFERROR(__xludf.DUMMYFUNCTION("IMPORTRANGE(H1731,""IDENTITAS UNIT!D9"")"),"#N/A")</f>
        <v>#N/A</v>
      </c>
      <c r="H1731" s="4" t="str">
        <v/>
      </c>
      <c r="I1731" s="4" t="str">
        <v/>
      </c>
    </row>
    <row r="1732" spans="5:9" ht="16.5" hidden="1">
      <c r="E1732" s="4" t="str">
        <v/>
      </c>
      <c r="F1732" s="102" t="str">
        <f ca="1">IFERROR(__xludf.DUMMYFUNCTION("IMPORTRANGE(H1732,""IDENTITAS UNIT!D9"")"),"#N/A")</f>
        <v>#N/A</v>
      </c>
      <c r="H1732" s="4" t="str">
        <v/>
      </c>
      <c r="I1732" s="4" t="str">
        <v/>
      </c>
    </row>
    <row r="1733" spans="5:9" ht="16.5" hidden="1">
      <c r="E1733" s="4" t="str">
        <v/>
      </c>
      <c r="F1733" s="102" t="str">
        <f ca="1">IFERROR(__xludf.DUMMYFUNCTION("IMPORTRANGE(H1733,""IDENTITAS UNIT!D9"")"),"#N/A")</f>
        <v>#N/A</v>
      </c>
      <c r="H1733" s="4" t="str">
        <v/>
      </c>
      <c r="I1733" s="4" t="str">
        <v/>
      </c>
    </row>
    <row r="1734" spans="5:9" ht="16.5" hidden="1">
      <c r="E1734" s="4" t="str">
        <v/>
      </c>
      <c r="F1734" s="102" t="str">
        <f ca="1">IFERROR(__xludf.DUMMYFUNCTION("IMPORTRANGE(H1734,""IDENTITAS UNIT!D9"")"),"#N/A")</f>
        <v>#N/A</v>
      </c>
      <c r="H1734" s="4" t="str">
        <v/>
      </c>
      <c r="I1734" s="4" t="str">
        <v/>
      </c>
    </row>
    <row r="1735" spans="5:9" ht="16.5" hidden="1">
      <c r="E1735" s="4" t="str">
        <v/>
      </c>
      <c r="F1735" s="102" t="str">
        <f ca="1">IFERROR(__xludf.DUMMYFUNCTION("IMPORTRANGE(H1735,""IDENTITAS UNIT!D9"")"),"#N/A")</f>
        <v>#N/A</v>
      </c>
      <c r="H1735" s="4" t="str">
        <v/>
      </c>
      <c r="I1735" s="4" t="str">
        <v/>
      </c>
    </row>
    <row r="1736" spans="5:9" ht="16.5" hidden="1">
      <c r="E1736" s="4" t="str">
        <v/>
      </c>
      <c r="F1736" s="102" t="str">
        <f ca="1">IFERROR(__xludf.DUMMYFUNCTION("IMPORTRANGE(H1736,""IDENTITAS UNIT!D9"")"),"#N/A")</f>
        <v>#N/A</v>
      </c>
      <c r="H1736" s="4" t="str">
        <v/>
      </c>
      <c r="I1736" s="4" t="str">
        <v/>
      </c>
    </row>
    <row r="1737" spans="5:9" ht="16.5" hidden="1">
      <c r="E1737" s="4" t="str">
        <v/>
      </c>
      <c r="F1737" s="102" t="str">
        <f ca="1">IFERROR(__xludf.DUMMYFUNCTION("IMPORTRANGE(H1737,""IDENTITAS UNIT!D9"")"),"#N/A")</f>
        <v>#N/A</v>
      </c>
      <c r="H1737" s="4" t="str">
        <v/>
      </c>
      <c r="I1737" s="4" t="str">
        <v/>
      </c>
    </row>
    <row r="1738" spans="5:9" ht="16.5" hidden="1">
      <c r="E1738" s="4" t="str">
        <v/>
      </c>
      <c r="F1738" s="102" t="str">
        <f ca="1">IFERROR(__xludf.DUMMYFUNCTION("IMPORTRANGE(H1738,""IDENTITAS UNIT!D9"")"),"#N/A")</f>
        <v>#N/A</v>
      </c>
      <c r="H1738" s="4" t="str">
        <v/>
      </c>
      <c r="I1738" s="4" t="str">
        <v/>
      </c>
    </row>
    <row r="1739" spans="5:9" ht="16.5" hidden="1">
      <c r="E1739" s="4" t="str">
        <v/>
      </c>
      <c r="F1739" s="102" t="str">
        <f ca="1">IFERROR(__xludf.DUMMYFUNCTION("IMPORTRANGE(H1739,""IDENTITAS UNIT!D9"")"),"#N/A")</f>
        <v>#N/A</v>
      </c>
      <c r="H1739" s="4" t="str">
        <v/>
      </c>
      <c r="I1739" s="4" t="str">
        <v/>
      </c>
    </row>
    <row r="1740" spans="5:9" ht="16.5" hidden="1">
      <c r="E1740" s="4" t="str">
        <v/>
      </c>
      <c r="F1740" s="102" t="str">
        <f ca="1">IFERROR(__xludf.DUMMYFUNCTION("IMPORTRANGE(H1740,""IDENTITAS UNIT!D9"")"),"#N/A")</f>
        <v>#N/A</v>
      </c>
      <c r="H1740" s="4" t="str">
        <v/>
      </c>
      <c r="I1740" s="4" t="str">
        <v/>
      </c>
    </row>
    <row r="1741" spans="5:9" ht="16.5" hidden="1">
      <c r="E1741" s="4" t="str">
        <v/>
      </c>
      <c r="F1741" s="102" t="str">
        <f ca="1">IFERROR(__xludf.DUMMYFUNCTION("IMPORTRANGE(H1741,""IDENTITAS UNIT!D9"")"),"#N/A")</f>
        <v>#N/A</v>
      </c>
      <c r="H1741" s="4" t="str">
        <v/>
      </c>
      <c r="I1741" s="4" t="str">
        <v/>
      </c>
    </row>
    <row r="1742" spans="5:9" ht="16.5" hidden="1">
      <c r="E1742" s="4" t="str">
        <v/>
      </c>
      <c r="F1742" s="102" t="str">
        <f ca="1">IFERROR(__xludf.DUMMYFUNCTION("IMPORTRANGE(H1742,""IDENTITAS UNIT!D9"")"),"#N/A")</f>
        <v>#N/A</v>
      </c>
      <c r="H1742" s="4" t="str">
        <v/>
      </c>
      <c r="I1742" s="4" t="str">
        <v/>
      </c>
    </row>
    <row r="1743" spans="5:9" ht="16.5" hidden="1">
      <c r="E1743" s="4" t="str">
        <v/>
      </c>
      <c r="F1743" s="102" t="str">
        <f ca="1">IFERROR(__xludf.DUMMYFUNCTION("IMPORTRANGE(H1743,""IDENTITAS UNIT!D9"")"),"#N/A")</f>
        <v>#N/A</v>
      </c>
      <c r="H1743" s="4" t="str">
        <v/>
      </c>
      <c r="I1743" s="4" t="str">
        <v/>
      </c>
    </row>
    <row r="1744" spans="5:9" ht="16.5" hidden="1">
      <c r="E1744" s="4" t="str">
        <v/>
      </c>
      <c r="F1744" s="102" t="str">
        <f ca="1">IFERROR(__xludf.DUMMYFUNCTION("IMPORTRANGE(H1744,""IDENTITAS UNIT!D9"")"),"#N/A")</f>
        <v>#N/A</v>
      </c>
      <c r="H1744" s="4" t="str">
        <v/>
      </c>
      <c r="I1744" s="4" t="str">
        <v/>
      </c>
    </row>
    <row r="1745" spans="5:9" ht="16.5" hidden="1">
      <c r="E1745" s="4" t="str">
        <v/>
      </c>
      <c r="F1745" s="102" t="str">
        <f ca="1">IFERROR(__xludf.DUMMYFUNCTION("IMPORTRANGE(H1745,""IDENTITAS UNIT!D9"")"),"#N/A")</f>
        <v>#N/A</v>
      </c>
      <c r="H1745" s="4" t="str">
        <v/>
      </c>
      <c r="I1745" s="4" t="str">
        <v/>
      </c>
    </row>
    <row r="1746" spans="5:9" ht="16.5" hidden="1">
      <c r="E1746" s="4" t="str">
        <v/>
      </c>
      <c r="F1746" s="102" t="str">
        <f ca="1">IFERROR(__xludf.DUMMYFUNCTION("IMPORTRANGE(H1746,""IDENTITAS UNIT!D9"")"),"#N/A")</f>
        <v>#N/A</v>
      </c>
      <c r="H1746" s="4" t="str">
        <v/>
      </c>
      <c r="I1746" s="4" t="str">
        <v/>
      </c>
    </row>
    <row r="1747" spans="5:9" ht="16.5" hidden="1">
      <c r="E1747" s="4" t="str">
        <v/>
      </c>
      <c r="F1747" s="102" t="str">
        <f ca="1">IFERROR(__xludf.DUMMYFUNCTION("IMPORTRANGE(H1747,""IDENTITAS UNIT!D9"")"),"#N/A")</f>
        <v>#N/A</v>
      </c>
      <c r="H1747" s="4" t="str">
        <v/>
      </c>
      <c r="I1747" s="4" t="str">
        <v/>
      </c>
    </row>
    <row r="1748" spans="5:9" ht="16.5" hidden="1">
      <c r="E1748" s="4" t="str">
        <v/>
      </c>
      <c r="F1748" s="102" t="str">
        <f ca="1">IFERROR(__xludf.DUMMYFUNCTION("IMPORTRANGE(H1748,""IDENTITAS UNIT!D9"")"),"#N/A")</f>
        <v>#N/A</v>
      </c>
      <c r="H1748" s="4" t="str">
        <v/>
      </c>
      <c r="I1748" s="4" t="str">
        <v/>
      </c>
    </row>
    <row r="1749" spans="5:9" ht="16.5" hidden="1">
      <c r="E1749" s="4" t="str">
        <v/>
      </c>
      <c r="F1749" s="102" t="str">
        <f ca="1">IFERROR(__xludf.DUMMYFUNCTION("IMPORTRANGE(H1749,""IDENTITAS UNIT!D9"")"),"#N/A")</f>
        <v>#N/A</v>
      </c>
      <c r="H1749" s="4" t="str">
        <v/>
      </c>
      <c r="I1749" s="4" t="str">
        <v/>
      </c>
    </row>
    <row r="1750" spans="5:9" ht="16.5" hidden="1">
      <c r="E1750" s="4" t="str">
        <v/>
      </c>
      <c r="F1750" s="102" t="str">
        <f ca="1">IFERROR(__xludf.DUMMYFUNCTION("IMPORTRANGE(H1750,""IDENTITAS UNIT!D9"")"),"#N/A")</f>
        <v>#N/A</v>
      </c>
      <c r="H1750" s="4" t="str">
        <v/>
      </c>
      <c r="I1750" s="4" t="str">
        <v/>
      </c>
    </row>
    <row r="1751" spans="5:9" ht="16.5" hidden="1">
      <c r="E1751" s="4" t="str">
        <v/>
      </c>
      <c r="F1751" s="102" t="str">
        <f ca="1">IFERROR(__xludf.DUMMYFUNCTION("IMPORTRANGE(H1751,""IDENTITAS UNIT!D9"")"),"#N/A")</f>
        <v>#N/A</v>
      </c>
      <c r="H1751" s="4" t="str">
        <v/>
      </c>
      <c r="I1751" s="4" t="str">
        <v/>
      </c>
    </row>
    <row r="1752" spans="5:9" ht="16.5" hidden="1">
      <c r="E1752" s="4" t="str">
        <v/>
      </c>
      <c r="F1752" s="102" t="str">
        <f ca="1">IFERROR(__xludf.DUMMYFUNCTION("IMPORTRANGE(H1752,""IDENTITAS UNIT!D9"")"),"#N/A")</f>
        <v>#N/A</v>
      </c>
      <c r="H1752" s="4" t="str">
        <v/>
      </c>
      <c r="I1752" s="4" t="str">
        <v/>
      </c>
    </row>
    <row r="1753" spans="5:9" ht="16.5" hidden="1">
      <c r="E1753" s="4" t="str">
        <v/>
      </c>
      <c r="F1753" s="102" t="str">
        <f ca="1">IFERROR(__xludf.DUMMYFUNCTION("IMPORTRANGE(H1753,""IDENTITAS UNIT!D9"")"),"#N/A")</f>
        <v>#N/A</v>
      </c>
      <c r="H1753" s="4" t="str">
        <v/>
      </c>
      <c r="I1753" s="4" t="str">
        <v/>
      </c>
    </row>
    <row r="1754" spans="5:9" ht="16.5" hidden="1">
      <c r="E1754" s="4" t="str">
        <v/>
      </c>
      <c r="F1754" s="102" t="str">
        <f ca="1">IFERROR(__xludf.DUMMYFUNCTION("IMPORTRANGE(H1754,""IDENTITAS UNIT!D9"")"),"#N/A")</f>
        <v>#N/A</v>
      </c>
      <c r="H1754" s="4" t="str">
        <v/>
      </c>
      <c r="I1754" s="4" t="str">
        <v/>
      </c>
    </row>
    <row r="1755" spans="5:9" ht="16.5" hidden="1">
      <c r="E1755" s="4" t="str">
        <v/>
      </c>
      <c r="F1755" s="102" t="str">
        <f ca="1">IFERROR(__xludf.DUMMYFUNCTION("IMPORTRANGE(H1755,""IDENTITAS UNIT!D9"")"),"#N/A")</f>
        <v>#N/A</v>
      </c>
      <c r="H1755" s="4" t="str">
        <v/>
      </c>
      <c r="I1755" s="4" t="str">
        <v/>
      </c>
    </row>
    <row r="1756" spans="5:9" ht="16.5" hidden="1">
      <c r="E1756" s="4" t="str">
        <v/>
      </c>
      <c r="F1756" s="102" t="str">
        <f ca="1">IFERROR(__xludf.DUMMYFUNCTION("IMPORTRANGE(H1756,""IDENTITAS UNIT!D9"")"),"#N/A")</f>
        <v>#N/A</v>
      </c>
      <c r="H1756" s="4" t="str">
        <v/>
      </c>
      <c r="I1756" s="4" t="str">
        <v/>
      </c>
    </row>
    <row r="1757" spans="5:9" ht="16.5" hidden="1">
      <c r="E1757" s="4" t="str">
        <v/>
      </c>
      <c r="F1757" s="102" t="str">
        <f ca="1">IFERROR(__xludf.DUMMYFUNCTION("IMPORTRANGE(H1757,""IDENTITAS UNIT!D9"")"),"#N/A")</f>
        <v>#N/A</v>
      </c>
      <c r="H1757" s="4" t="str">
        <v/>
      </c>
      <c r="I1757" s="4" t="str">
        <v/>
      </c>
    </row>
    <row r="1758" spans="5:9" ht="16.5" hidden="1">
      <c r="E1758" s="4" t="str">
        <v/>
      </c>
      <c r="F1758" s="102" t="str">
        <f ca="1">IFERROR(__xludf.DUMMYFUNCTION("IMPORTRANGE(H1758,""IDENTITAS UNIT!D9"")"),"#N/A")</f>
        <v>#N/A</v>
      </c>
      <c r="H1758" s="4" t="str">
        <v/>
      </c>
      <c r="I1758" s="4" t="str">
        <v/>
      </c>
    </row>
    <row r="1759" spans="5:9" ht="16.5" hidden="1">
      <c r="E1759" s="4" t="str">
        <v/>
      </c>
      <c r="F1759" s="102" t="str">
        <f ca="1">IFERROR(__xludf.DUMMYFUNCTION("IMPORTRANGE(H1759,""IDENTITAS UNIT!D9"")"),"#N/A")</f>
        <v>#N/A</v>
      </c>
      <c r="H1759" s="4" t="str">
        <v/>
      </c>
      <c r="I1759" s="4" t="str">
        <v/>
      </c>
    </row>
    <row r="1760" spans="5:9" ht="16.5" hidden="1">
      <c r="E1760" s="4" t="str">
        <v/>
      </c>
      <c r="F1760" s="102" t="str">
        <f ca="1">IFERROR(__xludf.DUMMYFUNCTION("IMPORTRANGE(H1760,""IDENTITAS UNIT!D9"")"),"#N/A")</f>
        <v>#N/A</v>
      </c>
      <c r="H1760" s="4" t="str">
        <v/>
      </c>
      <c r="I1760" s="4" t="str">
        <v/>
      </c>
    </row>
    <row r="1761" spans="5:9" ht="16.5" hidden="1">
      <c r="E1761" s="4" t="str">
        <v/>
      </c>
      <c r="F1761" s="102" t="str">
        <f ca="1">IFERROR(__xludf.DUMMYFUNCTION("IMPORTRANGE(H1761,""IDENTITAS UNIT!D9"")"),"#N/A")</f>
        <v>#N/A</v>
      </c>
      <c r="H1761" s="4" t="str">
        <v/>
      </c>
      <c r="I1761" s="4" t="str">
        <v/>
      </c>
    </row>
    <row r="1762" spans="5:9" ht="16.5" hidden="1">
      <c r="E1762" s="4" t="str">
        <v/>
      </c>
      <c r="F1762" s="102" t="str">
        <f ca="1">IFERROR(__xludf.DUMMYFUNCTION("IMPORTRANGE(H1762,""IDENTITAS UNIT!D9"")"),"#N/A")</f>
        <v>#N/A</v>
      </c>
      <c r="H1762" s="4" t="str">
        <v/>
      </c>
      <c r="I1762" s="4" t="str">
        <v/>
      </c>
    </row>
    <row r="1763" spans="5:9" ht="16.5" hidden="1">
      <c r="E1763" s="4" t="str">
        <v/>
      </c>
      <c r="F1763" s="102" t="str">
        <f ca="1">IFERROR(__xludf.DUMMYFUNCTION("IMPORTRANGE(H1763,""IDENTITAS UNIT!D9"")"),"#N/A")</f>
        <v>#N/A</v>
      </c>
      <c r="H1763" s="4" t="str">
        <v/>
      </c>
      <c r="I1763" s="4" t="str">
        <v/>
      </c>
    </row>
    <row r="1764" spans="5:9" ht="16.5" hidden="1">
      <c r="E1764" s="4" t="str">
        <v/>
      </c>
      <c r="F1764" s="102" t="str">
        <f ca="1">IFERROR(__xludf.DUMMYFUNCTION("IMPORTRANGE(H1764,""IDENTITAS UNIT!D9"")"),"#N/A")</f>
        <v>#N/A</v>
      </c>
      <c r="H1764" s="4" t="str">
        <v/>
      </c>
      <c r="I1764" s="4" t="str">
        <v/>
      </c>
    </row>
    <row r="1765" spans="5:9" ht="16.5" hidden="1">
      <c r="E1765" s="4" t="str">
        <v/>
      </c>
      <c r="F1765" s="102" t="str">
        <f ca="1">IFERROR(__xludf.DUMMYFUNCTION("IMPORTRANGE(H1765,""IDENTITAS UNIT!D9"")"),"#N/A")</f>
        <v>#N/A</v>
      </c>
      <c r="H1765" s="4" t="str">
        <v/>
      </c>
      <c r="I1765" s="4" t="str">
        <v/>
      </c>
    </row>
    <row r="1766" spans="5:9" ht="16.5" hidden="1">
      <c r="E1766" s="4" t="str">
        <v/>
      </c>
      <c r="F1766" s="102" t="str">
        <f ca="1">IFERROR(__xludf.DUMMYFUNCTION("IMPORTRANGE(H1766,""IDENTITAS UNIT!D9"")"),"#N/A")</f>
        <v>#N/A</v>
      </c>
      <c r="H1766" s="4" t="str">
        <v/>
      </c>
      <c r="I1766" s="4" t="str">
        <v/>
      </c>
    </row>
    <row r="1767" spans="5:9" ht="16.5" hidden="1">
      <c r="E1767" s="4" t="str">
        <v/>
      </c>
      <c r="F1767" s="102" t="str">
        <f ca="1">IFERROR(__xludf.DUMMYFUNCTION("IMPORTRANGE(H1767,""IDENTITAS UNIT!D9"")"),"#N/A")</f>
        <v>#N/A</v>
      </c>
      <c r="H1767" s="4" t="str">
        <v/>
      </c>
      <c r="I1767" s="4" t="str">
        <v/>
      </c>
    </row>
    <row r="1768" spans="5:9" ht="16.5" hidden="1">
      <c r="E1768" s="4" t="str">
        <v/>
      </c>
      <c r="F1768" s="102" t="str">
        <f ca="1">IFERROR(__xludf.DUMMYFUNCTION("IMPORTRANGE(H1768,""IDENTITAS UNIT!D9"")"),"#N/A")</f>
        <v>#N/A</v>
      </c>
      <c r="H1768" s="4" t="str">
        <v/>
      </c>
      <c r="I1768" s="4" t="str">
        <v/>
      </c>
    </row>
    <row r="1769" spans="5:9" ht="16.5" hidden="1">
      <c r="E1769" s="4" t="str">
        <v/>
      </c>
      <c r="F1769" s="102" t="str">
        <f ca="1">IFERROR(__xludf.DUMMYFUNCTION("IMPORTRANGE(H1769,""IDENTITAS UNIT!D9"")"),"#N/A")</f>
        <v>#N/A</v>
      </c>
      <c r="H1769" s="4" t="str">
        <v/>
      </c>
      <c r="I1769" s="4" t="str">
        <v/>
      </c>
    </row>
    <row r="1770" spans="5:9" ht="16.5" hidden="1">
      <c r="E1770" s="4" t="str">
        <v/>
      </c>
      <c r="F1770" s="102" t="str">
        <f ca="1">IFERROR(__xludf.DUMMYFUNCTION("IMPORTRANGE(H1770,""IDENTITAS UNIT!D9"")"),"#N/A")</f>
        <v>#N/A</v>
      </c>
      <c r="H1770" s="4" t="str">
        <v/>
      </c>
      <c r="I1770" s="4" t="str">
        <v/>
      </c>
    </row>
    <row r="1771" spans="5:9" ht="16.5" hidden="1">
      <c r="E1771" s="4" t="str">
        <v/>
      </c>
      <c r="F1771" s="102" t="str">
        <f ca="1">IFERROR(__xludf.DUMMYFUNCTION("IMPORTRANGE(H1771,""IDENTITAS UNIT!D9"")"),"#N/A")</f>
        <v>#N/A</v>
      </c>
      <c r="H1771" s="4" t="str">
        <v/>
      </c>
      <c r="I1771" s="4" t="str">
        <v/>
      </c>
    </row>
    <row r="1772" spans="5:9" ht="16.5" hidden="1">
      <c r="E1772" s="4" t="str">
        <v/>
      </c>
      <c r="F1772" s="102" t="str">
        <f ca="1">IFERROR(__xludf.DUMMYFUNCTION("IMPORTRANGE(H1772,""IDENTITAS UNIT!D9"")"),"#N/A")</f>
        <v>#N/A</v>
      </c>
      <c r="H1772" s="4" t="str">
        <v/>
      </c>
      <c r="I1772" s="4" t="str">
        <v/>
      </c>
    </row>
    <row r="1773" spans="5:9" ht="16.5" hidden="1">
      <c r="E1773" s="4" t="str">
        <v/>
      </c>
      <c r="F1773" s="102" t="str">
        <f ca="1">IFERROR(__xludf.DUMMYFUNCTION("IMPORTRANGE(H1773,""IDENTITAS UNIT!D9"")"),"#N/A")</f>
        <v>#N/A</v>
      </c>
      <c r="H1773" s="4" t="str">
        <v/>
      </c>
      <c r="I1773" s="4" t="str">
        <v/>
      </c>
    </row>
    <row r="1774" spans="5:9" ht="16.5" hidden="1">
      <c r="E1774" s="4" t="str">
        <v/>
      </c>
      <c r="F1774" s="102" t="str">
        <f ca="1">IFERROR(__xludf.DUMMYFUNCTION("IMPORTRANGE(H1774,""IDENTITAS UNIT!D9"")"),"#N/A")</f>
        <v>#N/A</v>
      </c>
      <c r="H1774" s="4" t="str">
        <v/>
      </c>
      <c r="I1774" s="4" t="str">
        <v/>
      </c>
    </row>
    <row r="1775" spans="5:9" ht="16.5" hidden="1">
      <c r="E1775" s="4" t="str">
        <v/>
      </c>
      <c r="F1775" s="102" t="str">
        <f ca="1">IFERROR(__xludf.DUMMYFUNCTION("IMPORTRANGE(H1775,""IDENTITAS UNIT!D9"")"),"#N/A")</f>
        <v>#N/A</v>
      </c>
      <c r="H1775" s="4" t="str">
        <v/>
      </c>
      <c r="I1775" s="4" t="str">
        <v/>
      </c>
    </row>
    <row r="1776" spans="5:9" ht="16.5" hidden="1">
      <c r="E1776" s="4" t="str">
        <v/>
      </c>
      <c r="F1776" s="102" t="str">
        <f ca="1">IFERROR(__xludf.DUMMYFUNCTION("IMPORTRANGE(H1776,""IDENTITAS UNIT!D9"")"),"#N/A")</f>
        <v>#N/A</v>
      </c>
      <c r="H1776" s="4" t="str">
        <v/>
      </c>
      <c r="I1776" s="4" t="str">
        <v/>
      </c>
    </row>
    <row r="1777" spans="5:9" ht="16.5" hidden="1">
      <c r="E1777" s="4" t="str">
        <v/>
      </c>
      <c r="F1777" s="102" t="str">
        <f ca="1">IFERROR(__xludf.DUMMYFUNCTION("IMPORTRANGE(H1777,""IDENTITAS UNIT!D9"")"),"#N/A")</f>
        <v>#N/A</v>
      </c>
      <c r="H1777" s="4" t="str">
        <v/>
      </c>
      <c r="I1777" s="4" t="str">
        <v/>
      </c>
    </row>
    <row r="1778" spans="5:9" ht="16.5" hidden="1">
      <c r="E1778" s="4" t="str">
        <v/>
      </c>
      <c r="F1778" s="102" t="str">
        <f ca="1">IFERROR(__xludf.DUMMYFUNCTION("IMPORTRANGE(H1778,""IDENTITAS UNIT!D9"")"),"#N/A")</f>
        <v>#N/A</v>
      </c>
      <c r="H1778" s="4" t="str">
        <v/>
      </c>
      <c r="I1778" s="4" t="str">
        <v/>
      </c>
    </row>
    <row r="1779" spans="5:9" ht="16.5" hidden="1">
      <c r="E1779" s="4" t="str">
        <v/>
      </c>
      <c r="F1779" s="102" t="str">
        <f ca="1">IFERROR(__xludf.DUMMYFUNCTION("IMPORTRANGE(H1779,""IDENTITAS UNIT!D9"")"),"#N/A")</f>
        <v>#N/A</v>
      </c>
      <c r="H1779" s="4" t="str">
        <v/>
      </c>
      <c r="I1779" s="4" t="str">
        <v/>
      </c>
    </row>
    <row r="1780" spans="5:9" ht="16.5" hidden="1">
      <c r="E1780" s="4" t="str">
        <v/>
      </c>
      <c r="F1780" s="102" t="str">
        <f ca="1">IFERROR(__xludf.DUMMYFUNCTION("IMPORTRANGE(H1780,""IDENTITAS UNIT!D9"")"),"#N/A")</f>
        <v>#N/A</v>
      </c>
      <c r="H1780" s="4" t="str">
        <v/>
      </c>
      <c r="I1780" s="4" t="str">
        <v/>
      </c>
    </row>
    <row r="1781" spans="5:9" ht="16.5" hidden="1">
      <c r="E1781" s="4" t="str">
        <v/>
      </c>
      <c r="F1781" s="102" t="str">
        <f ca="1">IFERROR(__xludf.DUMMYFUNCTION("IMPORTRANGE(H1781,""IDENTITAS UNIT!D9"")"),"#N/A")</f>
        <v>#N/A</v>
      </c>
      <c r="H1781" s="4" t="str">
        <v/>
      </c>
      <c r="I1781" s="4" t="str">
        <v/>
      </c>
    </row>
    <row r="1782" spans="5:9" ht="16.5" hidden="1">
      <c r="E1782" s="4" t="str">
        <v/>
      </c>
      <c r="F1782" s="102" t="str">
        <f ca="1">IFERROR(__xludf.DUMMYFUNCTION("IMPORTRANGE(H1782,""IDENTITAS UNIT!D9"")"),"#N/A")</f>
        <v>#N/A</v>
      </c>
      <c r="H1782" s="4" t="str">
        <v/>
      </c>
      <c r="I1782" s="4" t="str">
        <v/>
      </c>
    </row>
    <row r="1783" spans="5:9" ht="16.5" hidden="1">
      <c r="E1783" s="4" t="str">
        <v/>
      </c>
      <c r="F1783" s="102" t="str">
        <f ca="1">IFERROR(__xludf.DUMMYFUNCTION("IMPORTRANGE(H1783,""IDENTITAS UNIT!D9"")"),"#N/A")</f>
        <v>#N/A</v>
      </c>
      <c r="H1783" s="4" t="str">
        <v/>
      </c>
      <c r="I1783" s="4" t="str">
        <v/>
      </c>
    </row>
    <row r="1784" spans="5:9" ht="16.5" hidden="1">
      <c r="E1784" s="4" t="str">
        <v/>
      </c>
      <c r="F1784" s="102" t="str">
        <f ca="1">IFERROR(__xludf.DUMMYFUNCTION("IMPORTRANGE(H1784,""IDENTITAS UNIT!D9"")"),"#N/A")</f>
        <v>#N/A</v>
      </c>
      <c r="H1784" s="4" t="str">
        <v/>
      </c>
      <c r="I1784" s="4" t="str">
        <v/>
      </c>
    </row>
    <row r="1785" spans="5:9" ht="16.5" hidden="1">
      <c r="E1785" s="4" t="str">
        <v/>
      </c>
      <c r="F1785" s="102" t="str">
        <f ca="1">IFERROR(__xludf.DUMMYFUNCTION("IMPORTRANGE(H1785,""IDENTITAS UNIT!D9"")"),"#N/A")</f>
        <v>#N/A</v>
      </c>
      <c r="H1785" s="4" t="str">
        <v/>
      </c>
      <c r="I1785" s="4" t="str">
        <v/>
      </c>
    </row>
    <row r="1786" spans="5:9" ht="16.5" hidden="1">
      <c r="E1786" s="4" t="str">
        <v/>
      </c>
      <c r="F1786" s="102" t="str">
        <f ca="1">IFERROR(__xludf.DUMMYFUNCTION("IMPORTRANGE(H1786,""IDENTITAS UNIT!D9"")"),"#N/A")</f>
        <v>#N/A</v>
      </c>
      <c r="H1786" s="4" t="str">
        <v/>
      </c>
      <c r="I1786" s="4" t="str">
        <v/>
      </c>
    </row>
    <row r="1787" spans="5:9" ht="16.5" hidden="1">
      <c r="E1787" s="4" t="str">
        <v/>
      </c>
      <c r="F1787" s="102" t="str">
        <f ca="1">IFERROR(__xludf.DUMMYFUNCTION("IMPORTRANGE(H1787,""IDENTITAS UNIT!D9"")"),"#N/A")</f>
        <v>#N/A</v>
      </c>
      <c r="H1787" s="4" t="str">
        <v/>
      </c>
      <c r="I1787" s="4" t="str">
        <v/>
      </c>
    </row>
    <row r="1788" spans="5:9" ht="16.5" hidden="1">
      <c r="E1788" s="4" t="str">
        <v/>
      </c>
      <c r="F1788" s="102" t="str">
        <f ca="1">IFERROR(__xludf.DUMMYFUNCTION("IMPORTRANGE(H1788,""IDENTITAS UNIT!D9"")"),"#N/A")</f>
        <v>#N/A</v>
      </c>
      <c r="H1788" s="4" t="str">
        <v/>
      </c>
      <c r="I1788" s="4" t="str">
        <v/>
      </c>
    </row>
    <row r="1789" spans="5:9" ht="16.5" hidden="1">
      <c r="E1789" s="4" t="str">
        <v/>
      </c>
      <c r="F1789" s="102" t="str">
        <f ca="1">IFERROR(__xludf.DUMMYFUNCTION("IMPORTRANGE(H1789,""IDENTITAS UNIT!D9"")"),"#N/A")</f>
        <v>#N/A</v>
      </c>
      <c r="H1789" s="4" t="str">
        <v/>
      </c>
      <c r="I1789" s="4" t="str">
        <v/>
      </c>
    </row>
    <row r="1790" spans="5:9" ht="16.5" hidden="1">
      <c r="E1790" s="4" t="str">
        <v/>
      </c>
      <c r="F1790" s="102" t="str">
        <f ca="1">IFERROR(__xludf.DUMMYFUNCTION("IMPORTRANGE(H1790,""IDENTITAS UNIT!D9"")"),"#N/A")</f>
        <v>#N/A</v>
      </c>
      <c r="H1790" s="4" t="str">
        <v/>
      </c>
      <c r="I1790" s="4" t="str">
        <v/>
      </c>
    </row>
    <row r="1791" spans="5:9" ht="16.5" hidden="1">
      <c r="E1791" s="4" t="str">
        <v/>
      </c>
      <c r="F1791" s="102" t="str">
        <f ca="1">IFERROR(__xludf.DUMMYFUNCTION("IMPORTRANGE(H1791,""IDENTITAS UNIT!D9"")"),"#N/A")</f>
        <v>#N/A</v>
      </c>
      <c r="H1791" s="4" t="str">
        <v/>
      </c>
      <c r="I1791" s="4" t="str">
        <v/>
      </c>
    </row>
    <row r="1792" spans="5:9" ht="16.5" hidden="1">
      <c r="E1792" s="4" t="str">
        <v/>
      </c>
      <c r="F1792" s="102" t="str">
        <f ca="1">IFERROR(__xludf.DUMMYFUNCTION("IMPORTRANGE(H1792,""IDENTITAS UNIT!D9"")"),"#N/A")</f>
        <v>#N/A</v>
      </c>
      <c r="H1792" s="4" t="str">
        <v/>
      </c>
      <c r="I1792" s="4" t="str">
        <v/>
      </c>
    </row>
    <row r="1793" spans="5:9" ht="16.5" hidden="1">
      <c r="E1793" s="4" t="str">
        <v/>
      </c>
      <c r="F1793" s="102" t="str">
        <f ca="1">IFERROR(__xludf.DUMMYFUNCTION("IMPORTRANGE(H1793,""IDENTITAS UNIT!D9"")"),"#N/A")</f>
        <v>#N/A</v>
      </c>
      <c r="H1793" s="4" t="str">
        <v/>
      </c>
      <c r="I1793" s="4" t="str">
        <v/>
      </c>
    </row>
    <row r="1794" spans="5:9" ht="16.5" hidden="1">
      <c r="E1794" s="4" t="str">
        <v/>
      </c>
      <c r="F1794" s="102" t="str">
        <f ca="1">IFERROR(__xludf.DUMMYFUNCTION("IMPORTRANGE(H1794,""IDENTITAS UNIT!D9"")"),"#N/A")</f>
        <v>#N/A</v>
      </c>
      <c r="H1794" s="4" t="str">
        <v/>
      </c>
      <c r="I1794" s="4" t="str">
        <v/>
      </c>
    </row>
    <row r="1795" spans="5:9" ht="16.5" hidden="1">
      <c r="E1795" s="4" t="str">
        <v/>
      </c>
      <c r="F1795" s="102" t="str">
        <f ca="1">IFERROR(__xludf.DUMMYFUNCTION("IMPORTRANGE(H1795,""IDENTITAS UNIT!D9"")"),"#N/A")</f>
        <v>#N/A</v>
      </c>
      <c r="H1795" s="4" t="str">
        <v/>
      </c>
      <c r="I1795" s="4" t="str">
        <v/>
      </c>
    </row>
    <row r="1796" spans="5:9" ht="16.5" hidden="1">
      <c r="E1796" s="4" t="str">
        <v/>
      </c>
      <c r="F1796" s="102" t="str">
        <f ca="1">IFERROR(__xludf.DUMMYFUNCTION("IMPORTRANGE(H1796,""IDENTITAS UNIT!D9"")"),"#N/A")</f>
        <v>#N/A</v>
      </c>
      <c r="H1796" s="4" t="str">
        <v/>
      </c>
      <c r="I1796" s="4" t="str">
        <v/>
      </c>
    </row>
    <row r="1797" spans="5:9" ht="16.5" hidden="1">
      <c r="E1797" s="4" t="str">
        <v/>
      </c>
      <c r="F1797" s="102" t="str">
        <f ca="1">IFERROR(__xludf.DUMMYFUNCTION("IMPORTRANGE(H1797,""IDENTITAS UNIT!D9"")"),"#N/A")</f>
        <v>#N/A</v>
      </c>
      <c r="H1797" s="4" t="str">
        <v/>
      </c>
      <c r="I1797" s="4" t="str">
        <v/>
      </c>
    </row>
    <row r="1798" spans="5:9" ht="16.5" hidden="1">
      <c r="E1798" s="4" t="str">
        <v/>
      </c>
      <c r="F1798" s="102" t="str">
        <f ca="1">IFERROR(__xludf.DUMMYFUNCTION("IMPORTRANGE(H1798,""IDENTITAS UNIT!D9"")"),"#N/A")</f>
        <v>#N/A</v>
      </c>
      <c r="H1798" s="4" t="str">
        <v/>
      </c>
      <c r="I1798" s="4" t="str">
        <v/>
      </c>
    </row>
    <row r="1799" spans="5:9" ht="16.5" hidden="1">
      <c r="E1799" s="4" t="str">
        <v/>
      </c>
      <c r="F1799" s="102" t="str">
        <f ca="1">IFERROR(__xludf.DUMMYFUNCTION("IMPORTRANGE(H1799,""IDENTITAS UNIT!D9"")"),"#N/A")</f>
        <v>#N/A</v>
      </c>
      <c r="H1799" s="4" t="str">
        <v/>
      </c>
      <c r="I1799" s="4" t="str">
        <v/>
      </c>
    </row>
    <row r="1800" spans="5:9" ht="16.5" hidden="1">
      <c r="E1800" s="4" t="str">
        <v/>
      </c>
      <c r="F1800" s="102" t="str">
        <f ca="1">IFERROR(__xludf.DUMMYFUNCTION("IMPORTRANGE(H1800,""IDENTITAS UNIT!D9"")"),"#N/A")</f>
        <v>#N/A</v>
      </c>
      <c r="H1800" s="4" t="str">
        <v/>
      </c>
      <c r="I1800" s="4" t="str">
        <v/>
      </c>
    </row>
    <row r="1801" spans="5:9" ht="16.5" hidden="1">
      <c r="E1801" s="4" t="str">
        <v/>
      </c>
      <c r="F1801" s="102" t="str">
        <f ca="1">IFERROR(__xludf.DUMMYFUNCTION("IMPORTRANGE(H1801,""IDENTITAS UNIT!D9"")"),"#N/A")</f>
        <v>#N/A</v>
      </c>
      <c r="H1801" s="4" t="str">
        <v/>
      </c>
      <c r="I1801" s="4" t="str">
        <v/>
      </c>
    </row>
    <row r="1802" spans="5:9" ht="16.5" hidden="1">
      <c r="E1802" s="4" t="str">
        <v/>
      </c>
      <c r="F1802" s="102" t="str">
        <f ca="1">IFERROR(__xludf.DUMMYFUNCTION("IMPORTRANGE(H1802,""IDENTITAS UNIT!D9"")"),"#N/A")</f>
        <v>#N/A</v>
      </c>
      <c r="H1802" s="4" t="str">
        <v/>
      </c>
      <c r="I1802" s="4" t="str">
        <v/>
      </c>
    </row>
    <row r="1803" spans="5:9" ht="16.5" hidden="1">
      <c r="E1803" s="4" t="str">
        <v/>
      </c>
      <c r="F1803" s="102" t="str">
        <f ca="1">IFERROR(__xludf.DUMMYFUNCTION("IMPORTRANGE(H1803,""IDENTITAS UNIT!D9"")"),"#N/A")</f>
        <v>#N/A</v>
      </c>
      <c r="H1803" s="4" t="str">
        <v/>
      </c>
      <c r="I1803" s="4" t="str">
        <v/>
      </c>
    </row>
    <row r="1804" spans="5:9" ht="16.5" hidden="1">
      <c r="E1804" s="4" t="str">
        <v/>
      </c>
      <c r="F1804" s="102" t="str">
        <f ca="1">IFERROR(__xludf.DUMMYFUNCTION("IMPORTRANGE(H1804,""IDENTITAS UNIT!D9"")"),"#N/A")</f>
        <v>#N/A</v>
      </c>
      <c r="H1804" s="4" t="str">
        <v/>
      </c>
      <c r="I1804" s="4" t="str">
        <v/>
      </c>
    </row>
    <row r="1805" spans="5:9" ht="16.5" hidden="1">
      <c r="E1805" s="4" t="str">
        <v/>
      </c>
      <c r="F1805" s="102" t="str">
        <f ca="1">IFERROR(__xludf.DUMMYFUNCTION("IMPORTRANGE(H1805,""IDENTITAS UNIT!D9"")"),"#N/A")</f>
        <v>#N/A</v>
      </c>
      <c r="H1805" s="4" t="str">
        <v/>
      </c>
      <c r="I1805" s="4" t="str">
        <v/>
      </c>
    </row>
    <row r="1806" spans="5:9" ht="16.5" hidden="1">
      <c r="E1806" s="4" t="str">
        <v/>
      </c>
      <c r="F1806" s="102" t="str">
        <f ca="1">IFERROR(__xludf.DUMMYFUNCTION("IMPORTRANGE(H1806,""IDENTITAS UNIT!D9"")"),"#N/A")</f>
        <v>#N/A</v>
      </c>
      <c r="H1806" s="4" t="str">
        <v/>
      </c>
      <c r="I1806" s="4" t="str">
        <v/>
      </c>
    </row>
    <row r="1807" spans="5:9" ht="16.5" hidden="1">
      <c r="E1807" s="4" t="str">
        <v/>
      </c>
      <c r="F1807" s="102" t="str">
        <f ca="1">IFERROR(__xludf.DUMMYFUNCTION("IMPORTRANGE(H1807,""IDENTITAS UNIT!D9"")"),"#N/A")</f>
        <v>#N/A</v>
      </c>
      <c r="H1807" s="4" t="str">
        <v/>
      </c>
      <c r="I1807" s="4" t="str">
        <v/>
      </c>
    </row>
    <row r="1808" spans="5:9" ht="16.5" hidden="1">
      <c r="E1808" s="4" t="str">
        <v/>
      </c>
      <c r="F1808" s="102" t="str">
        <f ca="1">IFERROR(__xludf.DUMMYFUNCTION("IMPORTRANGE(H1808,""IDENTITAS UNIT!D9"")"),"#N/A")</f>
        <v>#N/A</v>
      </c>
      <c r="H1808" s="4" t="str">
        <v/>
      </c>
      <c r="I1808" s="4" t="str">
        <v/>
      </c>
    </row>
    <row r="1809" spans="5:9" ht="16.5" hidden="1">
      <c r="E1809" s="4" t="str">
        <v/>
      </c>
      <c r="F1809" s="102" t="str">
        <f ca="1">IFERROR(__xludf.DUMMYFUNCTION("IMPORTRANGE(H1809,""IDENTITAS UNIT!D9"")"),"#N/A")</f>
        <v>#N/A</v>
      </c>
      <c r="H1809" s="4" t="str">
        <v/>
      </c>
      <c r="I1809" s="4" t="str">
        <v/>
      </c>
    </row>
    <row r="1810" spans="5:9" ht="16.5" hidden="1">
      <c r="E1810" s="4" t="str">
        <v/>
      </c>
      <c r="F1810" s="102" t="str">
        <f ca="1">IFERROR(__xludf.DUMMYFUNCTION("IMPORTRANGE(H1810,""IDENTITAS UNIT!D9"")"),"#N/A")</f>
        <v>#N/A</v>
      </c>
      <c r="H1810" s="4" t="str">
        <v/>
      </c>
      <c r="I1810" s="4" t="str">
        <v/>
      </c>
    </row>
    <row r="1811" spans="5:9" ht="16.5" hidden="1">
      <c r="E1811" s="4" t="str">
        <v/>
      </c>
      <c r="F1811" s="102" t="str">
        <f ca="1">IFERROR(__xludf.DUMMYFUNCTION("IMPORTRANGE(H1811,""IDENTITAS UNIT!D9"")"),"#N/A")</f>
        <v>#N/A</v>
      </c>
      <c r="H1811" s="4" t="str">
        <v/>
      </c>
      <c r="I1811" s="4" t="str">
        <v/>
      </c>
    </row>
    <row r="1812" spans="5:9" ht="16.5" hidden="1">
      <c r="E1812" s="4" t="str">
        <v/>
      </c>
      <c r="F1812" s="102" t="str">
        <f ca="1">IFERROR(__xludf.DUMMYFUNCTION("IMPORTRANGE(H1812,""IDENTITAS UNIT!D9"")"),"#N/A")</f>
        <v>#N/A</v>
      </c>
      <c r="H1812" s="4" t="str">
        <v/>
      </c>
      <c r="I1812" s="4" t="str">
        <v/>
      </c>
    </row>
    <row r="1813" spans="5:9" ht="16.5" hidden="1">
      <c r="E1813" s="4" t="str">
        <v/>
      </c>
      <c r="F1813" s="102" t="str">
        <f ca="1">IFERROR(__xludf.DUMMYFUNCTION("IMPORTRANGE(H1813,""IDENTITAS UNIT!D9"")"),"#N/A")</f>
        <v>#N/A</v>
      </c>
      <c r="H1813" s="4" t="str">
        <v/>
      </c>
      <c r="I1813" s="4" t="str">
        <v/>
      </c>
    </row>
    <row r="1814" spans="5:9" ht="16.5" hidden="1">
      <c r="E1814" s="4" t="str">
        <v/>
      </c>
      <c r="F1814" s="102" t="str">
        <f ca="1">IFERROR(__xludf.DUMMYFUNCTION("IMPORTRANGE(H1814,""IDENTITAS UNIT!D9"")"),"#N/A")</f>
        <v>#N/A</v>
      </c>
      <c r="H1814" s="4" t="str">
        <v/>
      </c>
      <c r="I1814" s="4" t="str">
        <v/>
      </c>
    </row>
    <row r="1815" spans="5:9" ht="16.5" hidden="1">
      <c r="E1815" s="4" t="str">
        <v/>
      </c>
      <c r="F1815" s="102" t="str">
        <f ca="1">IFERROR(__xludf.DUMMYFUNCTION("IMPORTRANGE(H1815,""IDENTITAS UNIT!D9"")"),"#N/A")</f>
        <v>#N/A</v>
      </c>
      <c r="H1815" s="4" t="str">
        <v/>
      </c>
      <c r="I1815" s="4" t="str">
        <v/>
      </c>
    </row>
    <row r="1816" spans="5:9" ht="16.5" hidden="1">
      <c r="E1816" s="4" t="str">
        <v/>
      </c>
      <c r="F1816" s="102" t="str">
        <f ca="1">IFERROR(__xludf.DUMMYFUNCTION("IMPORTRANGE(H1816,""IDENTITAS UNIT!D9"")"),"#N/A")</f>
        <v>#N/A</v>
      </c>
      <c r="H1816" s="4" t="str">
        <v/>
      </c>
      <c r="I1816" s="4" t="str">
        <v/>
      </c>
    </row>
    <row r="1817" spans="5:9" ht="16.5" hidden="1">
      <c r="E1817" s="4" t="str">
        <v/>
      </c>
      <c r="F1817" s="102" t="str">
        <f ca="1">IFERROR(__xludf.DUMMYFUNCTION("IMPORTRANGE(H1817,""IDENTITAS UNIT!D9"")"),"#N/A")</f>
        <v>#N/A</v>
      </c>
      <c r="H1817" s="4" t="str">
        <v/>
      </c>
      <c r="I1817" s="4" t="str">
        <v/>
      </c>
    </row>
    <row r="1818" spans="5:9" ht="16.5" hidden="1">
      <c r="E1818" s="4" t="str">
        <v/>
      </c>
      <c r="F1818" s="102" t="str">
        <f ca="1">IFERROR(__xludf.DUMMYFUNCTION("IMPORTRANGE(H1818,""IDENTITAS UNIT!D9"")"),"#N/A")</f>
        <v>#N/A</v>
      </c>
      <c r="H1818" s="4" t="str">
        <v/>
      </c>
      <c r="I1818" s="4" t="str">
        <v/>
      </c>
    </row>
    <row r="1819" spans="5:9" ht="16.5" hidden="1">
      <c r="E1819" s="4" t="str">
        <v/>
      </c>
      <c r="F1819" s="102" t="str">
        <f ca="1">IFERROR(__xludf.DUMMYFUNCTION("IMPORTRANGE(H1819,""IDENTITAS UNIT!D9"")"),"#N/A")</f>
        <v>#N/A</v>
      </c>
      <c r="H1819" s="4" t="str">
        <v/>
      </c>
      <c r="I1819" s="4" t="str">
        <v/>
      </c>
    </row>
    <row r="1820" spans="5:9" ht="16.5" hidden="1">
      <c r="E1820" s="4" t="str">
        <v/>
      </c>
      <c r="F1820" s="102" t="str">
        <f ca="1">IFERROR(__xludf.DUMMYFUNCTION("IMPORTRANGE(H1820,""IDENTITAS UNIT!D9"")"),"#N/A")</f>
        <v>#N/A</v>
      </c>
      <c r="H1820" s="4" t="str">
        <v/>
      </c>
      <c r="I1820" s="4" t="str">
        <v/>
      </c>
    </row>
    <row r="1821" spans="5:9" ht="16.5" hidden="1">
      <c r="E1821" s="4" t="str">
        <v/>
      </c>
      <c r="F1821" s="102" t="str">
        <f ca="1">IFERROR(__xludf.DUMMYFUNCTION("IMPORTRANGE(H1821,""IDENTITAS UNIT!D9"")"),"#N/A")</f>
        <v>#N/A</v>
      </c>
      <c r="H1821" s="4" t="str">
        <v/>
      </c>
      <c r="I1821" s="4" t="str">
        <v/>
      </c>
    </row>
    <row r="1822" spans="5:9" ht="16.5" hidden="1">
      <c r="E1822" s="4" t="str">
        <v/>
      </c>
      <c r="F1822" s="102" t="str">
        <f ca="1">IFERROR(__xludf.DUMMYFUNCTION("IMPORTRANGE(H1822,""IDENTITAS UNIT!D9"")"),"#N/A")</f>
        <v>#N/A</v>
      </c>
      <c r="H1822" s="4" t="str">
        <v/>
      </c>
      <c r="I1822" s="4" t="str">
        <v/>
      </c>
    </row>
    <row r="1823" spans="5:9" ht="16.5" hidden="1">
      <c r="E1823" s="4" t="str">
        <v/>
      </c>
      <c r="F1823" s="102" t="str">
        <f ca="1">IFERROR(__xludf.DUMMYFUNCTION("IMPORTRANGE(H1823,""IDENTITAS UNIT!D9"")"),"#N/A")</f>
        <v>#N/A</v>
      </c>
      <c r="H1823" s="4" t="str">
        <v/>
      </c>
      <c r="I1823" s="4" t="str">
        <v/>
      </c>
    </row>
    <row r="1824" spans="5:9" ht="16.5" hidden="1">
      <c r="E1824" s="4" t="str">
        <v/>
      </c>
      <c r="F1824" s="102" t="str">
        <f ca="1">IFERROR(__xludf.DUMMYFUNCTION("IMPORTRANGE(H1824,""IDENTITAS UNIT!D9"")"),"#N/A")</f>
        <v>#N/A</v>
      </c>
      <c r="H1824" s="4" t="str">
        <v/>
      </c>
      <c r="I1824" s="4" t="str">
        <v/>
      </c>
    </row>
    <row r="1825" spans="5:9" ht="16.5" hidden="1">
      <c r="E1825" s="4" t="str">
        <v/>
      </c>
      <c r="F1825" s="102" t="str">
        <f ca="1">IFERROR(__xludf.DUMMYFUNCTION("IMPORTRANGE(H1825,""IDENTITAS UNIT!D9"")"),"#N/A")</f>
        <v>#N/A</v>
      </c>
      <c r="H1825" s="4" t="str">
        <v/>
      </c>
      <c r="I1825" s="4" t="str">
        <v/>
      </c>
    </row>
    <row r="1826" spans="5:9" ht="16.5" hidden="1">
      <c r="E1826" s="4" t="str">
        <v/>
      </c>
      <c r="F1826" s="102" t="str">
        <f ca="1">IFERROR(__xludf.DUMMYFUNCTION("IMPORTRANGE(H1826,""IDENTITAS UNIT!D9"")"),"#N/A")</f>
        <v>#N/A</v>
      </c>
      <c r="H1826" s="4" t="str">
        <v/>
      </c>
      <c r="I1826" s="4" t="str">
        <v/>
      </c>
    </row>
    <row r="1827" spans="5:9" ht="16.5" hidden="1">
      <c r="E1827" s="4" t="str">
        <v/>
      </c>
      <c r="F1827" s="102" t="str">
        <f ca="1">IFERROR(__xludf.DUMMYFUNCTION("IMPORTRANGE(H1827,""IDENTITAS UNIT!D9"")"),"#N/A")</f>
        <v>#N/A</v>
      </c>
      <c r="H1827" s="4" t="str">
        <v/>
      </c>
      <c r="I1827" s="4" t="str">
        <v/>
      </c>
    </row>
    <row r="1828" spans="5:9" ht="16.5" hidden="1">
      <c r="E1828" s="4" t="str">
        <v/>
      </c>
      <c r="F1828" s="102" t="str">
        <f ca="1">IFERROR(__xludf.DUMMYFUNCTION("IMPORTRANGE(H1828,""IDENTITAS UNIT!D9"")"),"#N/A")</f>
        <v>#N/A</v>
      </c>
      <c r="H1828" s="4" t="str">
        <v/>
      </c>
      <c r="I1828" s="4" t="str">
        <v/>
      </c>
    </row>
    <row r="1829" spans="5:9" ht="16.5" hidden="1">
      <c r="E1829" s="4" t="str">
        <v/>
      </c>
      <c r="F1829" s="102" t="str">
        <f ca="1">IFERROR(__xludf.DUMMYFUNCTION("IMPORTRANGE(H1829,""IDENTITAS UNIT!D9"")"),"#N/A")</f>
        <v>#N/A</v>
      </c>
      <c r="H1829" s="4" t="str">
        <v/>
      </c>
      <c r="I1829" s="4" t="str">
        <v/>
      </c>
    </row>
    <row r="1830" spans="5:9" ht="16.5" hidden="1">
      <c r="E1830" s="4" t="str">
        <v/>
      </c>
      <c r="F1830" s="102" t="str">
        <f ca="1">IFERROR(__xludf.DUMMYFUNCTION("IMPORTRANGE(H1830,""IDENTITAS UNIT!D9"")"),"#N/A")</f>
        <v>#N/A</v>
      </c>
      <c r="H1830" s="4" t="str">
        <v/>
      </c>
      <c r="I1830" s="4" t="str">
        <v/>
      </c>
    </row>
    <row r="1831" spans="5:9" ht="16.5" hidden="1">
      <c r="E1831" s="4" t="str">
        <v/>
      </c>
      <c r="F1831" s="102" t="str">
        <f ca="1">IFERROR(__xludf.DUMMYFUNCTION("IMPORTRANGE(H1831,""IDENTITAS UNIT!D9"")"),"#N/A")</f>
        <v>#N/A</v>
      </c>
      <c r="H1831" s="4" t="str">
        <v/>
      </c>
      <c r="I1831" s="4" t="str">
        <v/>
      </c>
    </row>
    <row r="1832" spans="5:9" ht="16.5" hidden="1">
      <c r="E1832" s="4" t="str">
        <v/>
      </c>
      <c r="F1832" s="102" t="str">
        <f ca="1">IFERROR(__xludf.DUMMYFUNCTION("IMPORTRANGE(H1832,""IDENTITAS UNIT!D9"")"),"#N/A")</f>
        <v>#N/A</v>
      </c>
      <c r="H1832" s="4" t="str">
        <v/>
      </c>
      <c r="I1832" s="4" t="str">
        <v/>
      </c>
    </row>
    <row r="1833" spans="5:9" ht="16.5" hidden="1">
      <c r="E1833" s="4" t="str">
        <v/>
      </c>
      <c r="F1833" s="102" t="str">
        <f ca="1">IFERROR(__xludf.DUMMYFUNCTION("IMPORTRANGE(H1833,""IDENTITAS UNIT!D9"")"),"#N/A")</f>
        <v>#N/A</v>
      </c>
      <c r="H1833" s="4" t="str">
        <v/>
      </c>
      <c r="I1833" s="4" t="str">
        <v/>
      </c>
    </row>
    <row r="1834" spans="5:9" ht="16.5" hidden="1">
      <c r="E1834" s="4" t="str">
        <v/>
      </c>
      <c r="F1834" s="102" t="str">
        <f ca="1">IFERROR(__xludf.DUMMYFUNCTION("IMPORTRANGE(H1834,""IDENTITAS UNIT!D9"")"),"#N/A")</f>
        <v>#N/A</v>
      </c>
      <c r="H1834" s="4" t="str">
        <v/>
      </c>
      <c r="I1834" s="4" t="str">
        <v/>
      </c>
    </row>
    <row r="1835" spans="5:9" ht="16.5" hidden="1">
      <c r="E1835" s="4" t="str">
        <v/>
      </c>
      <c r="F1835" s="102" t="str">
        <f ca="1">IFERROR(__xludf.DUMMYFUNCTION("IMPORTRANGE(H1835,""IDENTITAS UNIT!D9"")"),"#N/A")</f>
        <v>#N/A</v>
      </c>
      <c r="H1835" s="4" t="str">
        <v/>
      </c>
      <c r="I1835" s="4" t="str">
        <v/>
      </c>
    </row>
    <row r="1836" spans="5:9" ht="16.5" hidden="1">
      <c r="E1836" s="4" t="str">
        <v/>
      </c>
      <c r="F1836" s="102" t="str">
        <f ca="1">IFERROR(__xludf.DUMMYFUNCTION("IMPORTRANGE(H1836,""IDENTITAS UNIT!D9"")"),"#N/A")</f>
        <v>#N/A</v>
      </c>
      <c r="H1836" s="4" t="str">
        <v/>
      </c>
      <c r="I1836" s="4" t="str">
        <v/>
      </c>
    </row>
    <row r="1837" spans="5:9" ht="16.5" hidden="1">
      <c r="E1837" s="4" t="str">
        <v/>
      </c>
      <c r="F1837" s="102" t="str">
        <f ca="1">IFERROR(__xludf.DUMMYFUNCTION("IMPORTRANGE(H1837,""IDENTITAS UNIT!D9"")"),"#N/A")</f>
        <v>#N/A</v>
      </c>
      <c r="H1837" s="4" t="str">
        <v/>
      </c>
      <c r="I1837" s="4" t="str">
        <v/>
      </c>
    </row>
    <row r="1838" spans="5:9" ht="16.5" hidden="1">
      <c r="E1838" s="4" t="str">
        <v/>
      </c>
      <c r="F1838" s="102" t="str">
        <f ca="1">IFERROR(__xludf.DUMMYFUNCTION("IMPORTRANGE(H1838,""IDENTITAS UNIT!D9"")"),"#N/A")</f>
        <v>#N/A</v>
      </c>
      <c r="H1838" s="4" t="str">
        <v/>
      </c>
      <c r="I1838" s="4" t="str">
        <v/>
      </c>
    </row>
    <row r="1839" spans="5:9" ht="16.5" hidden="1">
      <c r="E1839" s="4" t="str">
        <v/>
      </c>
      <c r="F1839" s="102" t="str">
        <f ca="1">IFERROR(__xludf.DUMMYFUNCTION("IMPORTRANGE(H1839,""IDENTITAS UNIT!D9"")"),"#N/A")</f>
        <v>#N/A</v>
      </c>
      <c r="H1839" s="4" t="str">
        <v/>
      </c>
      <c r="I1839" s="4" t="str">
        <v/>
      </c>
    </row>
    <row r="1840" spans="5:9" ht="16.5" hidden="1">
      <c r="E1840" s="4" t="str">
        <v/>
      </c>
      <c r="F1840" s="102" t="str">
        <f ca="1">IFERROR(__xludf.DUMMYFUNCTION("IMPORTRANGE(H1840,""IDENTITAS UNIT!D9"")"),"#N/A")</f>
        <v>#N/A</v>
      </c>
      <c r="H1840" s="4" t="str">
        <v/>
      </c>
      <c r="I1840" s="4" t="str">
        <v/>
      </c>
    </row>
    <row r="1841" spans="5:9" ht="16.5" hidden="1">
      <c r="E1841" s="4" t="str">
        <v/>
      </c>
      <c r="F1841" s="102" t="str">
        <f ca="1">IFERROR(__xludf.DUMMYFUNCTION("IMPORTRANGE(H1841,""IDENTITAS UNIT!D9"")"),"#N/A")</f>
        <v>#N/A</v>
      </c>
      <c r="H1841" s="4" t="str">
        <v/>
      </c>
      <c r="I1841" s="4" t="str">
        <v/>
      </c>
    </row>
    <row r="1842" spans="5:9" ht="16.5" hidden="1">
      <c r="E1842" s="4" t="str">
        <v/>
      </c>
      <c r="F1842" s="102" t="str">
        <f ca="1">IFERROR(__xludf.DUMMYFUNCTION("IMPORTRANGE(H1842,""IDENTITAS UNIT!D9"")"),"#N/A")</f>
        <v>#N/A</v>
      </c>
      <c r="H1842" s="4" t="str">
        <v/>
      </c>
      <c r="I1842" s="4" t="str">
        <v/>
      </c>
    </row>
    <row r="1843" spans="5:9" ht="16.5" hidden="1">
      <c r="E1843" s="4" t="str">
        <v/>
      </c>
      <c r="F1843" s="102" t="str">
        <f ca="1">IFERROR(__xludf.DUMMYFUNCTION("IMPORTRANGE(H1843,""IDENTITAS UNIT!D9"")"),"#N/A")</f>
        <v>#N/A</v>
      </c>
      <c r="H1843" s="4" t="str">
        <v/>
      </c>
      <c r="I1843" s="4" t="str">
        <v/>
      </c>
    </row>
    <row r="1844" spans="5:9" ht="16.5" hidden="1">
      <c r="E1844" s="4" t="str">
        <v/>
      </c>
      <c r="F1844" s="102" t="str">
        <f ca="1">IFERROR(__xludf.DUMMYFUNCTION("IMPORTRANGE(H1844,""IDENTITAS UNIT!D9"")"),"#N/A")</f>
        <v>#N/A</v>
      </c>
      <c r="H1844" s="4" t="str">
        <v/>
      </c>
      <c r="I1844" s="4" t="str">
        <v/>
      </c>
    </row>
    <row r="1845" spans="5:9" ht="16.5" hidden="1">
      <c r="E1845" s="4" t="str">
        <v/>
      </c>
      <c r="F1845" s="102" t="str">
        <f ca="1">IFERROR(__xludf.DUMMYFUNCTION("IMPORTRANGE(H1845,""IDENTITAS UNIT!D9"")"),"#N/A")</f>
        <v>#N/A</v>
      </c>
      <c r="H1845" s="4" t="str">
        <v/>
      </c>
      <c r="I1845" s="4" t="str">
        <v/>
      </c>
    </row>
    <row r="1846" spans="5:9" ht="16.5" hidden="1">
      <c r="E1846" s="4" t="str">
        <v/>
      </c>
      <c r="F1846" s="102" t="str">
        <f ca="1">IFERROR(__xludf.DUMMYFUNCTION("IMPORTRANGE(H1846,""IDENTITAS UNIT!D9"")"),"#N/A")</f>
        <v>#N/A</v>
      </c>
      <c r="H1846" s="4" t="str">
        <v/>
      </c>
      <c r="I1846" s="4" t="str">
        <v/>
      </c>
    </row>
    <row r="1847" spans="5:9" ht="16.5" hidden="1">
      <c r="E1847" s="4" t="str">
        <v/>
      </c>
      <c r="F1847" s="102" t="str">
        <f ca="1">IFERROR(__xludf.DUMMYFUNCTION("IMPORTRANGE(H1847,""IDENTITAS UNIT!D9"")"),"#N/A")</f>
        <v>#N/A</v>
      </c>
      <c r="H1847" s="4" t="str">
        <v/>
      </c>
      <c r="I1847" s="4" t="str">
        <v/>
      </c>
    </row>
    <row r="1848" spans="5:9" ht="16.5" hidden="1">
      <c r="E1848" s="4" t="str">
        <v/>
      </c>
      <c r="F1848" s="102" t="str">
        <f ca="1">IFERROR(__xludf.DUMMYFUNCTION("IMPORTRANGE(H1848,""IDENTITAS UNIT!D9"")"),"#N/A")</f>
        <v>#N/A</v>
      </c>
      <c r="H1848" s="4" t="str">
        <v/>
      </c>
      <c r="I1848" s="4" t="str">
        <v/>
      </c>
    </row>
    <row r="1849" spans="5:9" ht="16.5" hidden="1">
      <c r="E1849" s="4" t="str">
        <v/>
      </c>
      <c r="F1849" s="102" t="str">
        <f ca="1">IFERROR(__xludf.DUMMYFUNCTION("IMPORTRANGE(H1849,""IDENTITAS UNIT!D9"")"),"#N/A")</f>
        <v>#N/A</v>
      </c>
      <c r="H1849" s="4" t="str">
        <v/>
      </c>
      <c r="I1849" s="4" t="str">
        <v/>
      </c>
    </row>
    <row r="1850" spans="5:9" ht="16.5" hidden="1">
      <c r="E1850" s="4" t="str">
        <v/>
      </c>
      <c r="F1850" s="102" t="str">
        <f ca="1">IFERROR(__xludf.DUMMYFUNCTION("IMPORTRANGE(H1850,""IDENTITAS UNIT!D9"")"),"#N/A")</f>
        <v>#N/A</v>
      </c>
      <c r="H1850" s="4" t="str">
        <v/>
      </c>
      <c r="I1850" s="4" t="str">
        <v/>
      </c>
    </row>
    <row r="1851" spans="5:9" ht="16.5" hidden="1">
      <c r="E1851" s="4" t="str">
        <v/>
      </c>
      <c r="F1851" s="102" t="str">
        <f ca="1">IFERROR(__xludf.DUMMYFUNCTION("IMPORTRANGE(H1851,""IDENTITAS UNIT!D9"")"),"#N/A")</f>
        <v>#N/A</v>
      </c>
      <c r="H1851" s="4" t="str">
        <v/>
      </c>
      <c r="I1851" s="4" t="str">
        <v/>
      </c>
    </row>
    <row r="1852" spans="5:9" ht="16.5" hidden="1">
      <c r="E1852" s="4" t="str">
        <v/>
      </c>
      <c r="F1852" s="102" t="str">
        <f ca="1">IFERROR(__xludf.DUMMYFUNCTION("IMPORTRANGE(H1852,""IDENTITAS UNIT!D9"")"),"#N/A")</f>
        <v>#N/A</v>
      </c>
      <c r="H1852" s="4" t="str">
        <v/>
      </c>
      <c r="I1852" s="4" t="str">
        <v/>
      </c>
    </row>
    <row r="1853" spans="5:9" ht="16.5" hidden="1">
      <c r="E1853" s="4" t="str">
        <v/>
      </c>
      <c r="F1853" s="102" t="str">
        <f ca="1">IFERROR(__xludf.DUMMYFUNCTION("IMPORTRANGE(H1853,""IDENTITAS UNIT!D9"")"),"#N/A")</f>
        <v>#N/A</v>
      </c>
      <c r="H1853" s="4" t="str">
        <v/>
      </c>
      <c r="I1853" s="4" t="str">
        <v/>
      </c>
    </row>
    <row r="1854" spans="5:9" ht="16.5" hidden="1">
      <c r="E1854" s="4" t="str">
        <v/>
      </c>
      <c r="F1854" s="102" t="str">
        <f ca="1">IFERROR(__xludf.DUMMYFUNCTION("IMPORTRANGE(H1854,""IDENTITAS UNIT!D9"")"),"#N/A")</f>
        <v>#N/A</v>
      </c>
      <c r="H1854" s="4" t="str">
        <v/>
      </c>
      <c r="I1854" s="4" t="str">
        <v/>
      </c>
    </row>
    <row r="1855" spans="5:9" ht="16.5" hidden="1">
      <c r="E1855" s="4" t="str">
        <v/>
      </c>
      <c r="F1855" s="102" t="str">
        <f ca="1">IFERROR(__xludf.DUMMYFUNCTION("IMPORTRANGE(H1855,""IDENTITAS UNIT!D9"")"),"#N/A")</f>
        <v>#N/A</v>
      </c>
      <c r="H1855" s="4" t="str">
        <v/>
      </c>
      <c r="I1855" s="4" t="str">
        <v/>
      </c>
    </row>
    <row r="1856" spans="5:9" ht="16.5" hidden="1">
      <c r="E1856" s="4" t="str">
        <v/>
      </c>
      <c r="F1856" s="102" t="str">
        <f ca="1">IFERROR(__xludf.DUMMYFUNCTION("IMPORTRANGE(H1856,""IDENTITAS UNIT!D9"")"),"#N/A")</f>
        <v>#N/A</v>
      </c>
      <c r="H1856" s="4" t="str">
        <v/>
      </c>
      <c r="I1856" s="4" t="str">
        <v/>
      </c>
    </row>
    <row r="1857" spans="5:9" ht="16.5" hidden="1">
      <c r="E1857" s="4" t="str">
        <v/>
      </c>
      <c r="F1857" s="102" t="str">
        <f ca="1">IFERROR(__xludf.DUMMYFUNCTION("IMPORTRANGE(H1857,""IDENTITAS UNIT!D9"")"),"#N/A")</f>
        <v>#N/A</v>
      </c>
      <c r="H1857" s="4" t="str">
        <v/>
      </c>
      <c r="I1857" s="4" t="str">
        <v/>
      </c>
    </row>
    <row r="1858" spans="5:9" ht="16.5" hidden="1">
      <c r="E1858" s="4" t="str">
        <v/>
      </c>
      <c r="F1858" s="102" t="str">
        <f ca="1">IFERROR(__xludf.DUMMYFUNCTION("IMPORTRANGE(H1858,""IDENTITAS UNIT!D9"")"),"#N/A")</f>
        <v>#N/A</v>
      </c>
      <c r="H1858" s="4" t="str">
        <v/>
      </c>
      <c r="I1858" s="4" t="str">
        <v/>
      </c>
    </row>
    <row r="1859" spans="5:9" ht="16.5" hidden="1">
      <c r="E1859" s="4" t="str">
        <v/>
      </c>
      <c r="F1859" s="102" t="str">
        <f ca="1">IFERROR(__xludf.DUMMYFUNCTION("IMPORTRANGE(H1859,""IDENTITAS UNIT!D9"")"),"#N/A")</f>
        <v>#N/A</v>
      </c>
      <c r="H1859" s="4" t="str">
        <v/>
      </c>
      <c r="I1859" s="4" t="str">
        <v/>
      </c>
    </row>
    <row r="1860" spans="5:9" ht="16.5" hidden="1">
      <c r="E1860" s="4" t="str">
        <v/>
      </c>
      <c r="F1860" s="102" t="str">
        <f ca="1">IFERROR(__xludf.DUMMYFUNCTION("IMPORTRANGE(H1860,""IDENTITAS UNIT!D9"")"),"#N/A")</f>
        <v>#N/A</v>
      </c>
      <c r="H1860" s="4" t="str">
        <v/>
      </c>
      <c r="I1860" s="4" t="str">
        <v/>
      </c>
    </row>
    <row r="1861" spans="5:9" ht="16.5" hidden="1">
      <c r="E1861" s="4" t="str">
        <v/>
      </c>
      <c r="F1861" s="102" t="str">
        <f ca="1">IFERROR(__xludf.DUMMYFUNCTION("IMPORTRANGE(H1861,""IDENTITAS UNIT!D9"")"),"#N/A")</f>
        <v>#N/A</v>
      </c>
      <c r="H1861" s="4" t="str">
        <v/>
      </c>
      <c r="I1861" s="4" t="str">
        <v/>
      </c>
    </row>
    <row r="1862" spans="5:9" ht="16.5" hidden="1">
      <c r="E1862" s="4" t="str">
        <v/>
      </c>
      <c r="F1862" s="102" t="str">
        <f ca="1">IFERROR(__xludf.DUMMYFUNCTION("IMPORTRANGE(H1862,""IDENTITAS UNIT!D9"")"),"#N/A")</f>
        <v>#N/A</v>
      </c>
      <c r="H1862" s="4" t="str">
        <v/>
      </c>
      <c r="I1862" s="4" t="str">
        <v/>
      </c>
    </row>
    <row r="1863" spans="5:9" ht="16.5" hidden="1">
      <c r="E1863" s="4" t="str">
        <v/>
      </c>
      <c r="F1863" s="102" t="str">
        <f ca="1">IFERROR(__xludf.DUMMYFUNCTION("IMPORTRANGE(H1863,""IDENTITAS UNIT!D9"")"),"#N/A")</f>
        <v>#N/A</v>
      </c>
      <c r="H1863" s="4" t="str">
        <v/>
      </c>
      <c r="I1863" s="4" t="str">
        <v/>
      </c>
    </row>
    <row r="1864" spans="5:9" ht="16.5" hidden="1">
      <c r="E1864" s="4" t="str">
        <v/>
      </c>
      <c r="F1864" s="102" t="str">
        <f ca="1">IFERROR(__xludf.DUMMYFUNCTION("IMPORTRANGE(H1864,""IDENTITAS UNIT!D9"")"),"#N/A")</f>
        <v>#N/A</v>
      </c>
      <c r="H1864" s="4" t="str">
        <v/>
      </c>
      <c r="I1864" s="4" t="str">
        <v/>
      </c>
    </row>
    <row r="1865" spans="5:9" ht="16.5" hidden="1">
      <c r="E1865" s="4" t="str">
        <v/>
      </c>
      <c r="F1865" s="102" t="str">
        <f ca="1">IFERROR(__xludf.DUMMYFUNCTION("IMPORTRANGE(H1865,""IDENTITAS UNIT!D9"")"),"#N/A")</f>
        <v>#N/A</v>
      </c>
      <c r="H1865" s="4" t="str">
        <v/>
      </c>
      <c r="I1865" s="4" t="str">
        <v/>
      </c>
    </row>
    <row r="1866" spans="5:9" ht="16.5" hidden="1">
      <c r="E1866" s="4" t="str">
        <v/>
      </c>
      <c r="F1866" s="102" t="str">
        <f ca="1">IFERROR(__xludf.DUMMYFUNCTION("IMPORTRANGE(H1866,""IDENTITAS UNIT!D9"")"),"#N/A")</f>
        <v>#N/A</v>
      </c>
      <c r="H1866" s="4" t="str">
        <v/>
      </c>
      <c r="I1866" s="4" t="str">
        <v/>
      </c>
    </row>
    <row r="1867" spans="5:9" ht="16.5" hidden="1">
      <c r="E1867" s="4" t="str">
        <v/>
      </c>
      <c r="F1867" s="102" t="str">
        <f ca="1">IFERROR(__xludf.DUMMYFUNCTION("IMPORTRANGE(H1867,""IDENTITAS UNIT!D9"")"),"#N/A")</f>
        <v>#N/A</v>
      </c>
      <c r="H1867" s="4" t="str">
        <v/>
      </c>
      <c r="I1867" s="4" t="str">
        <v/>
      </c>
    </row>
    <row r="1868" spans="5:9" ht="16.5" hidden="1">
      <c r="E1868" s="4" t="str">
        <v/>
      </c>
      <c r="F1868" s="102" t="str">
        <f ca="1">IFERROR(__xludf.DUMMYFUNCTION("IMPORTRANGE(H1868,""IDENTITAS UNIT!D9"")"),"#N/A")</f>
        <v>#N/A</v>
      </c>
      <c r="H1868" s="4" t="str">
        <v/>
      </c>
      <c r="I1868" s="4" t="str">
        <v/>
      </c>
    </row>
    <row r="1869" spans="5:9" ht="16.5" hidden="1">
      <c r="E1869" s="4" t="str">
        <v/>
      </c>
      <c r="F1869" s="102" t="str">
        <f ca="1">IFERROR(__xludf.DUMMYFUNCTION("IMPORTRANGE(H1869,""IDENTITAS UNIT!D9"")"),"#N/A")</f>
        <v>#N/A</v>
      </c>
      <c r="H1869" s="4" t="str">
        <v/>
      </c>
      <c r="I1869" s="4" t="str">
        <v/>
      </c>
    </row>
    <row r="1870" spans="5:9" ht="16.5" hidden="1">
      <c r="E1870" s="4" t="str">
        <v/>
      </c>
      <c r="F1870" s="102" t="str">
        <f ca="1">IFERROR(__xludf.DUMMYFUNCTION("IMPORTRANGE(H1870,""IDENTITAS UNIT!D9"")"),"#N/A")</f>
        <v>#N/A</v>
      </c>
      <c r="H1870" s="4" t="str">
        <v/>
      </c>
      <c r="I1870" s="4" t="str">
        <v/>
      </c>
    </row>
    <row r="1871" spans="5:9" ht="16.5" hidden="1">
      <c r="E1871" s="4" t="str">
        <v/>
      </c>
      <c r="F1871" s="102" t="str">
        <f ca="1">IFERROR(__xludf.DUMMYFUNCTION("IMPORTRANGE(H1871,""IDENTITAS UNIT!D9"")"),"#N/A")</f>
        <v>#N/A</v>
      </c>
      <c r="H1871" s="4" t="str">
        <v/>
      </c>
      <c r="I1871" s="4" t="str">
        <v/>
      </c>
    </row>
    <row r="1872" spans="5:9" ht="16.5" hidden="1">
      <c r="E1872" s="4" t="str">
        <v/>
      </c>
      <c r="F1872" s="102" t="str">
        <f ca="1">IFERROR(__xludf.DUMMYFUNCTION("IMPORTRANGE(H1872,""IDENTITAS UNIT!D9"")"),"#N/A")</f>
        <v>#N/A</v>
      </c>
      <c r="H1872" s="4" t="str">
        <v/>
      </c>
      <c r="I1872" s="4" t="str">
        <v/>
      </c>
    </row>
    <row r="1873" spans="5:9" ht="16.5" hidden="1">
      <c r="E1873" s="4" t="str">
        <v/>
      </c>
      <c r="F1873" s="102" t="str">
        <f ca="1">IFERROR(__xludf.DUMMYFUNCTION("IMPORTRANGE(H1873,""IDENTITAS UNIT!D9"")"),"#N/A")</f>
        <v>#N/A</v>
      </c>
      <c r="H1873" s="4" t="str">
        <v/>
      </c>
      <c r="I1873" s="4" t="str">
        <v/>
      </c>
    </row>
    <row r="1874" spans="5:9" ht="16.5" hidden="1">
      <c r="E1874" s="4" t="str">
        <v/>
      </c>
      <c r="F1874" s="102" t="str">
        <f ca="1">IFERROR(__xludf.DUMMYFUNCTION("IMPORTRANGE(H1874,""IDENTITAS UNIT!D9"")"),"#N/A")</f>
        <v>#N/A</v>
      </c>
      <c r="H1874" s="4" t="str">
        <v/>
      </c>
      <c r="I1874" s="4" t="str">
        <v/>
      </c>
    </row>
    <row r="1875" spans="5:9" ht="16.5" hidden="1">
      <c r="E1875" s="4" t="str">
        <v/>
      </c>
      <c r="F1875" s="102" t="str">
        <f ca="1">IFERROR(__xludf.DUMMYFUNCTION("IMPORTRANGE(H1875,""IDENTITAS UNIT!D9"")"),"#N/A")</f>
        <v>#N/A</v>
      </c>
      <c r="H1875" s="4" t="str">
        <v/>
      </c>
      <c r="I1875" s="4" t="str">
        <v/>
      </c>
    </row>
    <row r="1876" spans="5:9" ht="16.5" hidden="1">
      <c r="E1876" s="4" t="str">
        <v/>
      </c>
      <c r="F1876" s="102" t="str">
        <f ca="1">IFERROR(__xludf.DUMMYFUNCTION("IMPORTRANGE(H1876,""IDENTITAS UNIT!D9"")"),"#N/A")</f>
        <v>#N/A</v>
      </c>
      <c r="H1876" s="4" t="str">
        <v/>
      </c>
      <c r="I1876" s="4" t="str">
        <v/>
      </c>
    </row>
    <row r="1877" spans="5:9" ht="16.5" hidden="1">
      <c r="E1877" s="4" t="str">
        <v/>
      </c>
      <c r="F1877" s="102" t="str">
        <f ca="1">IFERROR(__xludf.DUMMYFUNCTION("IMPORTRANGE(H1877,""IDENTITAS UNIT!D9"")"),"#N/A")</f>
        <v>#N/A</v>
      </c>
      <c r="H1877" s="4" t="str">
        <v/>
      </c>
      <c r="I1877" s="4" t="str">
        <v/>
      </c>
    </row>
    <row r="1878" spans="5:9" ht="16.5" hidden="1">
      <c r="E1878" s="4" t="str">
        <v/>
      </c>
      <c r="F1878" s="102" t="str">
        <f ca="1">IFERROR(__xludf.DUMMYFUNCTION("IMPORTRANGE(H1878,""IDENTITAS UNIT!D9"")"),"#N/A")</f>
        <v>#N/A</v>
      </c>
      <c r="H1878" s="4" t="str">
        <v/>
      </c>
      <c r="I1878" s="4" t="str">
        <v/>
      </c>
    </row>
    <row r="1879" spans="5:9" ht="16.5" hidden="1">
      <c r="E1879" s="4" t="str">
        <v/>
      </c>
      <c r="F1879" s="102" t="str">
        <f ca="1">IFERROR(__xludf.DUMMYFUNCTION("IMPORTRANGE(H1879,""IDENTITAS UNIT!D9"")"),"#N/A")</f>
        <v>#N/A</v>
      </c>
      <c r="H1879" s="4" t="str">
        <v/>
      </c>
      <c r="I1879" s="4" t="str">
        <v/>
      </c>
    </row>
    <row r="1880" spans="5:9" ht="16.5" hidden="1">
      <c r="E1880" s="4" t="str">
        <v/>
      </c>
      <c r="F1880" s="102" t="str">
        <f ca="1">IFERROR(__xludf.DUMMYFUNCTION("IMPORTRANGE(H1880,""IDENTITAS UNIT!D9"")"),"#N/A")</f>
        <v>#N/A</v>
      </c>
      <c r="H1880" s="4" t="str">
        <v/>
      </c>
      <c r="I1880" s="4" t="str">
        <v/>
      </c>
    </row>
    <row r="1881" spans="5:9" ht="16.5" hidden="1">
      <c r="E1881" s="4" t="str">
        <v/>
      </c>
      <c r="F1881" s="102" t="str">
        <f ca="1">IFERROR(__xludf.DUMMYFUNCTION("IMPORTRANGE(H1881,""IDENTITAS UNIT!D9"")"),"#N/A")</f>
        <v>#N/A</v>
      </c>
      <c r="H1881" s="4" t="str">
        <v/>
      </c>
      <c r="I1881" s="4" t="str">
        <v/>
      </c>
    </row>
    <row r="1882" spans="5:9" ht="16.5" hidden="1">
      <c r="E1882" s="4" t="str">
        <v/>
      </c>
      <c r="F1882" s="102" t="str">
        <f ca="1">IFERROR(__xludf.DUMMYFUNCTION("IMPORTRANGE(H1882,""IDENTITAS UNIT!D9"")"),"#N/A")</f>
        <v>#N/A</v>
      </c>
      <c r="H1882" s="4" t="str">
        <v/>
      </c>
      <c r="I1882" s="4" t="str">
        <v/>
      </c>
    </row>
    <row r="1883" spans="5:9" ht="16.5" hidden="1">
      <c r="E1883" s="4" t="str">
        <v/>
      </c>
      <c r="F1883" s="102" t="str">
        <f ca="1">IFERROR(__xludf.DUMMYFUNCTION("IMPORTRANGE(H1883,""IDENTITAS UNIT!D9"")"),"#N/A")</f>
        <v>#N/A</v>
      </c>
      <c r="H1883" s="4" t="str">
        <v/>
      </c>
      <c r="I1883" s="4" t="str">
        <v/>
      </c>
    </row>
    <row r="1884" spans="5:9" ht="16.5" hidden="1">
      <c r="E1884" s="4" t="str">
        <v/>
      </c>
      <c r="F1884" s="102" t="str">
        <f ca="1">IFERROR(__xludf.DUMMYFUNCTION("IMPORTRANGE(H1884,""IDENTITAS UNIT!D9"")"),"#N/A")</f>
        <v>#N/A</v>
      </c>
      <c r="H1884" s="4" t="str">
        <v/>
      </c>
      <c r="I1884" s="4" t="str">
        <v/>
      </c>
    </row>
    <row r="1885" spans="5:9" ht="16.5" hidden="1">
      <c r="E1885" s="4" t="str">
        <v/>
      </c>
      <c r="F1885" s="102" t="str">
        <f ca="1">IFERROR(__xludf.DUMMYFUNCTION("IMPORTRANGE(H1885,""IDENTITAS UNIT!D9"")"),"#N/A")</f>
        <v>#N/A</v>
      </c>
      <c r="H1885" s="4" t="str">
        <v/>
      </c>
      <c r="I1885" s="4" t="str">
        <v/>
      </c>
    </row>
    <row r="1886" spans="5:9" ht="16.5" hidden="1">
      <c r="E1886" s="4" t="str">
        <v/>
      </c>
      <c r="F1886" s="102" t="str">
        <f ca="1">IFERROR(__xludf.DUMMYFUNCTION("IMPORTRANGE(H1886,""IDENTITAS UNIT!D9"")"),"#N/A")</f>
        <v>#N/A</v>
      </c>
      <c r="H1886" s="4" t="str">
        <v/>
      </c>
      <c r="I1886" s="4" t="str">
        <v/>
      </c>
    </row>
    <row r="1887" spans="5:9" ht="16.5" hidden="1">
      <c r="E1887" s="4" t="str">
        <v/>
      </c>
      <c r="F1887" s="102" t="str">
        <f ca="1">IFERROR(__xludf.DUMMYFUNCTION("IMPORTRANGE(H1887,""IDENTITAS UNIT!D9"")"),"#N/A")</f>
        <v>#N/A</v>
      </c>
      <c r="H1887" s="4" t="str">
        <v/>
      </c>
      <c r="I1887" s="4" t="str">
        <v/>
      </c>
    </row>
    <row r="1888" spans="5:9" ht="16.5" hidden="1">
      <c r="E1888" s="4" t="str">
        <v/>
      </c>
      <c r="F1888" s="102" t="str">
        <f ca="1">IFERROR(__xludf.DUMMYFUNCTION("IMPORTRANGE(H1888,""IDENTITAS UNIT!D9"")"),"#N/A")</f>
        <v>#N/A</v>
      </c>
      <c r="H1888" s="4" t="str">
        <v/>
      </c>
      <c r="I1888" s="4" t="str">
        <v/>
      </c>
    </row>
    <row r="1889" spans="5:9" ht="16.5" hidden="1">
      <c r="E1889" s="4" t="str">
        <v/>
      </c>
      <c r="F1889" s="102" t="str">
        <f ca="1">IFERROR(__xludf.DUMMYFUNCTION("IMPORTRANGE(H1889,""IDENTITAS UNIT!D9"")"),"#N/A")</f>
        <v>#N/A</v>
      </c>
      <c r="H1889" s="4" t="str">
        <v/>
      </c>
      <c r="I1889" s="4" t="str">
        <v/>
      </c>
    </row>
    <row r="1890" spans="5:9" ht="16.5" hidden="1">
      <c r="E1890" s="4" t="str">
        <v/>
      </c>
      <c r="F1890" s="102" t="str">
        <f ca="1">IFERROR(__xludf.DUMMYFUNCTION("IMPORTRANGE(H1890,""IDENTITAS UNIT!D9"")"),"#N/A")</f>
        <v>#N/A</v>
      </c>
      <c r="H1890" s="4" t="str">
        <v/>
      </c>
      <c r="I1890" s="4" t="str">
        <v/>
      </c>
    </row>
    <row r="1891" spans="5:9" ht="16.5" hidden="1">
      <c r="E1891" s="4" t="str">
        <v/>
      </c>
      <c r="F1891" s="102" t="str">
        <f ca="1">IFERROR(__xludf.DUMMYFUNCTION("IMPORTRANGE(H1891,""IDENTITAS UNIT!D9"")"),"#N/A")</f>
        <v>#N/A</v>
      </c>
      <c r="H1891" s="4" t="str">
        <v/>
      </c>
      <c r="I1891" s="4" t="str">
        <v/>
      </c>
    </row>
    <row r="1892" spans="5:9" ht="16.5" hidden="1">
      <c r="E1892" s="4" t="str">
        <v/>
      </c>
      <c r="F1892" s="102" t="str">
        <f ca="1">IFERROR(__xludf.DUMMYFUNCTION("IMPORTRANGE(H1892,""IDENTITAS UNIT!D9"")"),"#N/A")</f>
        <v>#N/A</v>
      </c>
      <c r="H1892" s="4" t="str">
        <v/>
      </c>
      <c r="I1892" s="4" t="str">
        <v/>
      </c>
    </row>
    <row r="1893" spans="5:9" ht="16.5" hidden="1">
      <c r="E1893" s="4" t="str">
        <v/>
      </c>
      <c r="F1893" s="102" t="str">
        <f ca="1">IFERROR(__xludf.DUMMYFUNCTION("IMPORTRANGE(H1893,""IDENTITAS UNIT!D9"")"),"#N/A")</f>
        <v>#N/A</v>
      </c>
      <c r="H1893" s="4" t="str">
        <v/>
      </c>
      <c r="I1893" s="4" t="str">
        <v/>
      </c>
    </row>
    <row r="1894" spans="5:9" ht="16.5" hidden="1">
      <c r="E1894" s="4" t="str">
        <v/>
      </c>
      <c r="F1894" s="102" t="str">
        <f ca="1">IFERROR(__xludf.DUMMYFUNCTION("IMPORTRANGE(H1894,""IDENTITAS UNIT!D9"")"),"#N/A")</f>
        <v>#N/A</v>
      </c>
      <c r="H1894" s="4" t="str">
        <v/>
      </c>
      <c r="I1894" s="4" t="str">
        <v/>
      </c>
    </row>
    <row r="1895" spans="5:9" ht="16.5" hidden="1">
      <c r="E1895" s="4" t="str">
        <v/>
      </c>
      <c r="F1895" s="102" t="str">
        <f ca="1">IFERROR(__xludf.DUMMYFUNCTION("IMPORTRANGE(H1895,""IDENTITAS UNIT!D9"")"),"#N/A")</f>
        <v>#N/A</v>
      </c>
      <c r="H1895" s="4" t="str">
        <v/>
      </c>
      <c r="I1895" s="4" t="str">
        <v/>
      </c>
    </row>
    <row r="1896" spans="5:9" ht="16.5" hidden="1">
      <c r="E1896" s="4" t="str">
        <v/>
      </c>
      <c r="F1896" s="102" t="str">
        <f ca="1">IFERROR(__xludf.DUMMYFUNCTION("IMPORTRANGE(H1896,""IDENTITAS UNIT!D9"")"),"#N/A")</f>
        <v>#N/A</v>
      </c>
      <c r="H1896" s="4" t="str">
        <v/>
      </c>
      <c r="I1896" s="4" t="str">
        <v/>
      </c>
    </row>
    <row r="1897" spans="5:9" ht="16.5" hidden="1">
      <c r="E1897" s="4" t="str">
        <v/>
      </c>
      <c r="F1897" s="102" t="str">
        <f ca="1">IFERROR(__xludf.DUMMYFUNCTION("IMPORTRANGE(H1897,""IDENTITAS UNIT!D9"")"),"#N/A")</f>
        <v>#N/A</v>
      </c>
      <c r="H1897" s="4" t="str">
        <v/>
      </c>
      <c r="I1897" s="4" t="str">
        <v/>
      </c>
    </row>
    <row r="1898" spans="5:9" ht="16.5" hidden="1">
      <c r="E1898" s="4" t="str">
        <v/>
      </c>
      <c r="F1898" s="102" t="str">
        <f ca="1">IFERROR(__xludf.DUMMYFUNCTION("IMPORTRANGE(H1898,""IDENTITAS UNIT!D9"")"),"#N/A")</f>
        <v>#N/A</v>
      </c>
      <c r="H1898" s="4" t="str">
        <v/>
      </c>
      <c r="I1898" s="4" t="str">
        <v/>
      </c>
    </row>
    <row r="1899" spans="5:9" ht="16.5" hidden="1">
      <c r="E1899" s="4" t="str">
        <v/>
      </c>
      <c r="F1899" s="102" t="str">
        <f ca="1">IFERROR(__xludf.DUMMYFUNCTION("IMPORTRANGE(H1899,""IDENTITAS UNIT!D9"")"),"#N/A")</f>
        <v>#N/A</v>
      </c>
      <c r="H1899" s="4" t="str">
        <v/>
      </c>
      <c r="I1899" s="4" t="str">
        <v/>
      </c>
    </row>
    <row r="1900" spans="5:9" ht="16.5" hidden="1">
      <c r="E1900" s="4" t="str">
        <v/>
      </c>
      <c r="F1900" s="102" t="str">
        <f ca="1">IFERROR(__xludf.DUMMYFUNCTION("IMPORTRANGE(H1900,""IDENTITAS UNIT!D9"")"),"#N/A")</f>
        <v>#N/A</v>
      </c>
      <c r="H1900" s="4" t="str">
        <v/>
      </c>
      <c r="I1900" s="4" t="str">
        <v/>
      </c>
    </row>
    <row r="1901" spans="5:9" ht="16.5" hidden="1">
      <c r="E1901" s="4" t="str">
        <v/>
      </c>
      <c r="F1901" s="102" t="str">
        <f ca="1">IFERROR(__xludf.DUMMYFUNCTION("IMPORTRANGE(H1901,""IDENTITAS UNIT!D9"")"),"#N/A")</f>
        <v>#N/A</v>
      </c>
      <c r="H1901" s="4" t="str">
        <v/>
      </c>
      <c r="I1901" s="4" t="str">
        <v/>
      </c>
    </row>
    <row r="1902" spans="5:9" ht="16.5" hidden="1">
      <c r="E1902" s="4" t="str">
        <v/>
      </c>
      <c r="F1902" s="102" t="str">
        <f ca="1">IFERROR(__xludf.DUMMYFUNCTION("IMPORTRANGE(H1902,""IDENTITAS UNIT!D9"")"),"#N/A")</f>
        <v>#N/A</v>
      </c>
      <c r="H1902" s="4" t="str">
        <v/>
      </c>
      <c r="I1902" s="4" t="str">
        <v/>
      </c>
    </row>
    <row r="1903" spans="5:9" ht="16.5" hidden="1">
      <c r="E1903" s="4" t="str">
        <v/>
      </c>
      <c r="F1903" s="102" t="str">
        <f ca="1">IFERROR(__xludf.DUMMYFUNCTION("IMPORTRANGE(H1903,""IDENTITAS UNIT!D9"")"),"#N/A")</f>
        <v>#N/A</v>
      </c>
      <c r="H1903" s="4" t="str">
        <v/>
      </c>
      <c r="I1903" s="4" t="str">
        <v/>
      </c>
    </row>
    <row r="1904" spans="5:9" ht="16.5" hidden="1">
      <c r="E1904" s="4" t="str">
        <v/>
      </c>
      <c r="F1904" s="102" t="str">
        <f ca="1">IFERROR(__xludf.DUMMYFUNCTION("IMPORTRANGE(H1904,""IDENTITAS UNIT!D9"")"),"#N/A")</f>
        <v>#N/A</v>
      </c>
      <c r="H1904" s="4" t="str">
        <v/>
      </c>
      <c r="I1904" s="4" t="str">
        <v/>
      </c>
    </row>
    <row r="1905" spans="5:9" ht="16.5" hidden="1">
      <c r="E1905" s="4" t="str">
        <v/>
      </c>
      <c r="F1905" s="102" t="str">
        <f ca="1">IFERROR(__xludf.DUMMYFUNCTION("IMPORTRANGE(H1905,""IDENTITAS UNIT!D9"")"),"#N/A")</f>
        <v>#N/A</v>
      </c>
      <c r="H1905" s="4" t="str">
        <v/>
      </c>
      <c r="I1905" s="4" t="str">
        <v/>
      </c>
    </row>
    <row r="1906" spans="5:9" ht="16.5" hidden="1">
      <c r="E1906" s="4" t="str">
        <v/>
      </c>
      <c r="F1906" s="102" t="str">
        <f ca="1">IFERROR(__xludf.DUMMYFUNCTION("IMPORTRANGE(H1906,""IDENTITAS UNIT!D9"")"),"#N/A")</f>
        <v>#N/A</v>
      </c>
      <c r="H1906" s="4" t="str">
        <v/>
      </c>
      <c r="I1906" s="4" t="str">
        <v/>
      </c>
    </row>
    <row r="1907" spans="5:9" ht="16.5" hidden="1">
      <c r="E1907" s="4" t="str">
        <v/>
      </c>
      <c r="F1907" s="102" t="str">
        <f ca="1">IFERROR(__xludf.DUMMYFUNCTION("IMPORTRANGE(H1907,""IDENTITAS UNIT!D9"")"),"#N/A")</f>
        <v>#N/A</v>
      </c>
      <c r="H1907" s="4" t="str">
        <v/>
      </c>
      <c r="I1907" s="4" t="str">
        <v/>
      </c>
    </row>
    <row r="1908" spans="5:9" ht="16.5" hidden="1">
      <c r="E1908" s="4" t="str">
        <v/>
      </c>
      <c r="F1908" s="102" t="str">
        <f ca="1">IFERROR(__xludf.DUMMYFUNCTION("IMPORTRANGE(H1908,""IDENTITAS UNIT!D9"")"),"#N/A")</f>
        <v>#N/A</v>
      </c>
      <c r="H1908" s="4" t="str">
        <v/>
      </c>
      <c r="I1908" s="4" t="str">
        <v/>
      </c>
    </row>
    <row r="1909" spans="5:9" ht="16.5" hidden="1">
      <c r="E1909" s="4" t="str">
        <v/>
      </c>
      <c r="F1909" s="102" t="str">
        <f ca="1">IFERROR(__xludf.DUMMYFUNCTION("IMPORTRANGE(H1909,""IDENTITAS UNIT!D9"")"),"#N/A")</f>
        <v>#N/A</v>
      </c>
      <c r="H1909" s="4" t="str">
        <v/>
      </c>
      <c r="I1909" s="4" t="str">
        <v/>
      </c>
    </row>
    <row r="1910" spans="5:9" ht="16.5" hidden="1">
      <c r="E1910" s="4" t="str">
        <v/>
      </c>
      <c r="F1910" s="102" t="str">
        <f ca="1">IFERROR(__xludf.DUMMYFUNCTION("IMPORTRANGE(H1910,""IDENTITAS UNIT!D9"")"),"#N/A")</f>
        <v>#N/A</v>
      </c>
      <c r="H1910" s="4" t="str">
        <v/>
      </c>
      <c r="I1910" s="4" t="str">
        <v/>
      </c>
    </row>
    <row r="1911" spans="5:9" ht="16.5" hidden="1">
      <c r="E1911" s="4" t="str">
        <v/>
      </c>
      <c r="F1911" s="102" t="str">
        <f ca="1">IFERROR(__xludf.DUMMYFUNCTION("IMPORTRANGE(H1911,""IDENTITAS UNIT!D9"")"),"#N/A")</f>
        <v>#N/A</v>
      </c>
      <c r="H1911" s="4" t="str">
        <v/>
      </c>
      <c r="I1911" s="4" t="str">
        <v/>
      </c>
    </row>
    <row r="1912" spans="5:9" ht="16.5" hidden="1">
      <c r="E1912" s="4" t="str">
        <v/>
      </c>
      <c r="F1912" s="102" t="str">
        <f ca="1">IFERROR(__xludf.DUMMYFUNCTION("IMPORTRANGE(H1912,""IDENTITAS UNIT!D9"")"),"#N/A")</f>
        <v>#N/A</v>
      </c>
      <c r="H1912" s="4" t="str">
        <v/>
      </c>
      <c r="I1912" s="4" t="str">
        <v/>
      </c>
    </row>
    <row r="1913" spans="5:9" ht="16.5" hidden="1">
      <c r="E1913" s="4" t="str">
        <v/>
      </c>
      <c r="F1913" s="102" t="str">
        <f ca="1">IFERROR(__xludf.DUMMYFUNCTION("IMPORTRANGE(H1913,""IDENTITAS UNIT!D9"")"),"#N/A")</f>
        <v>#N/A</v>
      </c>
      <c r="H1913" s="4" t="str">
        <v/>
      </c>
      <c r="I1913" s="4" t="str">
        <v/>
      </c>
    </row>
    <row r="1914" spans="5:9" ht="16.5" hidden="1">
      <c r="E1914" s="4" t="str">
        <v/>
      </c>
      <c r="F1914" s="102" t="str">
        <f ca="1">IFERROR(__xludf.DUMMYFUNCTION("IMPORTRANGE(H1914,""IDENTITAS UNIT!D9"")"),"#N/A")</f>
        <v>#N/A</v>
      </c>
      <c r="H1914" s="4" t="str">
        <v/>
      </c>
      <c r="I1914" s="4" t="str">
        <v/>
      </c>
    </row>
    <row r="1915" spans="5:9" ht="16.5" hidden="1">
      <c r="E1915" s="4" t="str">
        <v/>
      </c>
      <c r="F1915" s="102" t="str">
        <f ca="1">IFERROR(__xludf.DUMMYFUNCTION("IMPORTRANGE(H1915,""IDENTITAS UNIT!D9"")"),"#N/A")</f>
        <v>#N/A</v>
      </c>
      <c r="H1915" s="4" t="str">
        <v/>
      </c>
      <c r="I1915" s="4" t="str">
        <v/>
      </c>
    </row>
    <row r="1916" spans="5:9" ht="16.5" hidden="1">
      <c r="E1916" s="4" t="str">
        <v/>
      </c>
      <c r="F1916" s="102" t="str">
        <f ca="1">IFERROR(__xludf.DUMMYFUNCTION("IMPORTRANGE(H1916,""IDENTITAS UNIT!D9"")"),"#N/A")</f>
        <v>#N/A</v>
      </c>
      <c r="H1916" s="4" t="str">
        <v/>
      </c>
      <c r="I1916" s="4" t="str">
        <v/>
      </c>
    </row>
    <row r="1917" spans="5:9" ht="16.5" hidden="1">
      <c r="E1917" s="4" t="str">
        <v/>
      </c>
      <c r="F1917" s="102" t="str">
        <f ca="1">IFERROR(__xludf.DUMMYFUNCTION("IMPORTRANGE(H1917,""IDENTITAS UNIT!D9"")"),"#N/A")</f>
        <v>#N/A</v>
      </c>
      <c r="H1917" s="4" t="str">
        <v/>
      </c>
      <c r="I1917" s="4" t="str">
        <v/>
      </c>
    </row>
    <row r="1918" spans="5:9" ht="16.5" hidden="1">
      <c r="E1918" s="4" t="str">
        <v/>
      </c>
      <c r="F1918" s="102" t="str">
        <f ca="1">IFERROR(__xludf.DUMMYFUNCTION("IMPORTRANGE(H1918,""IDENTITAS UNIT!D9"")"),"#N/A")</f>
        <v>#N/A</v>
      </c>
      <c r="H1918" s="4" t="str">
        <v/>
      </c>
      <c r="I1918" s="4" t="str">
        <v/>
      </c>
    </row>
    <row r="1919" spans="5:9" ht="16.5" hidden="1">
      <c r="E1919" s="4" t="str">
        <v/>
      </c>
      <c r="F1919" s="102" t="str">
        <f ca="1">IFERROR(__xludf.DUMMYFUNCTION("IMPORTRANGE(H1919,""IDENTITAS UNIT!D9"")"),"#N/A")</f>
        <v>#N/A</v>
      </c>
      <c r="H1919" s="4" t="str">
        <v/>
      </c>
      <c r="I1919" s="4" t="str">
        <v/>
      </c>
    </row>
    <row r="1920" spans="5:9" ht="16.5" hidden="1">
      <c r="E1920" s="4" t="str">
        <v/>
      </c>
      <c r="F1920" s="102" t="str">
        <f ca="1">IFERROR(__xludf.DUMMYFUNCTION("IMPORTRANGE(H1920,""IDENTITAS UNIT!D9"")"),"#N/A")</f>
        <v>#N/A</v>
      </c>
      <c r="H1920" s="4" t="str">
        <v/>
      </c>
      <c r="I1920" s="4" t="str">
        <v/>
      </c>
    </row>
    <row r="1921" spans="5:9" ht="16.5" hidden="1">
      <c r="E1921" s="4" t="str">
        <v/>
      </c>
      <c r="F1921" s="102" t="str">
        <f ca="1">IFERROR(__xludf.DUMMYFUNCTION("IMPORTRANGE(H1921,""IDENTITAS UNIT!D9"")"),"#N/A")</f>
        <v>#N/A</v>
      </c>
      <c r="H1921" s="4" t="str">
        <v/>
      </c>
      <c r="I1921" s="4" t="str">
        <v/>
      </c>
    </row>
    <row r="1922" spans="5:9" ht="16.5" hidden="1">
      <c r="E1922" s="4" t="str">
        <v/>
      </c>
      <c r="F1922" s="102" t="str">
        <f ca="1">IFERROR(__xludf.DUMMYFUNCTION("IMPORTRANGE(H1922,""IDENTITAS UNIT!D9"")"),"#N/A")</f>
        <v>#N/A</v>
      </c>
      <c r="H1922" s="4" t="str">
        <v/>
      </c>
      <c r="I1922" s="4" t="str">
        <v/>
      </c>
    </row>
    <row r="1923" spans="5:9" ht="16.5" hidden="1">
      <c r="E1923" s="4" t="str">
        <v/>
      </c>
      <c r="F1923" s="102" t="str">
        <f ca="1">IFERROR(__xludf.DUMMYFUNCTION("IMPORTRANGE(H1923,""IDENTITAS UNIT!D9"")"),"#N/A")</f>
        <v>#N/A</v>
      </c>
      <c r="H1923" s="4" t="str">
        <v/>
      </c>
      <c r="I1923" s="4" t="str">
        <v/>
      </c>
    </row>
    <row r="1924" spans="5:9" ht="16.5" hidden="1">
      <c r="E1924" s="4" t="str">
        <v/>
      </c>
      <c r="F1924" s="102" t="str">
        <f ca="1">IFERROR(__xludf.DUMMYFUNCTION("IMPORTRANGE(H1924,""IDENTITAS UNIT!D9"")"),"#N/A")</f>
        <v>#N/A</v>
      </c>
      <c r="H1924" s="4" t="str">
        <v/>
      </c>
      <c r="I1924" s="4" t="str">
        <v/>
      </c>
    </row>
    <row r="1925" spans="5:9" ht="16.5" hidden="1">
      <c r="E1925" s="4" t="str">
        <v/>
      </c>
      <c r="F1925" s="102" t="str">
        <f ca="1">IFERROR(__xludf.DUMMYFUNCTION("IMPORTRANGE(H1925,""IDENTITAS UNIT!D9"")"),"#N/A")</f>
        <v>#N/A</v>
      </c>
      <c r="H1925" s="4" t="str">
        <v/>
      </c>
      <c r="I1925" s="4" t="str">
        <v/>
      </c>
    </row>
    <row r="1926" spans="5:9" ht="16.5" hidden="1">
      <c r="E1926" s="4" t="str">
        <v/>
      </c>
      <c r="F1926" s="102" t="str">
        <f ca="1">IFERROR(__xludf.DUMMYFUNCTION("IMPORTRANGE(H1926,""IDENTITAS UNIT!D9"")"),"#N/A")</f>
        <v>#N/A</v>
      </c>
      <c r="H1926" s="4" t="str">
        <v/>
      </c>
      <c r="I1926" s="4" t="str">
        <v/>
      </c>
    </row>
    <row r="1927" spans="5:9" ht="16.5" hidden="1">
      <c r="E1927" s="4" t="str">
        <v/>
      </c>
      <c r="F1927" s="102" t="str">
        <f ca="1">IFERROR(__xludf.DUMMYFUNCTION("IMPORTRANGE(H1927,""IDENTITAS UNIT!D9"")"),"#N/A")</f>
        <v>#N/A</v>
      </c>
      <c r="H1927" s="4" t="str">
        <v/>
      </c>
      <c r="I1927" s="4" t="str">
        <v/>
      </c>
    </row>
    <row r="1928" spans="5:9" ht="16.5" hidden="1">
      <c r="E1928" s="4" t="str">
        <v/>
      </c>
      <c r="F1928" s="102" t="str">
        <f ca="1">IFERROR(__xludf.DUMMYFUNCTION("IMPORTRANGE(H1928,""IDENTITAS UNIT!D9"")"),"#N/A")</f>
        <v>#N/A</v>
      </c>
      <c r="H1928" s="4" t="str">
        <v/>
      </c>
      <c r="I1928" s="4" t="str">
        <v/>
      </c>
    </row>
    <row r="1929" spans="5:9" ht="16.5" hidden="1">
      <c r="E1929" s="4" t="str">
        <v/>
      </c>
      <c r="F1929" s="102" t="str">
        <f ca="1">IFERROR(__xludf.DUMMYFUNCTION("IMPORTRANGE(H1929,""IDENTITAS UNIT!D9"")"),"#N/A")</f>
        <v>#N/A</v>
      </c>
      <c r="H1929" s="4" t="str">
        <v/>
      </c>
      <c r="I1929" s="4" t="str">
        <v/>
      </c>
    </row>
    <row r="1930" spans="5:9" ht="16.5" hidden="1">
      <c r="E1930" s="4" t="str">
        <v/>
      </c>
      <c r="F1930" s="102" t="str">
        <f ca="1">IFERROR(__xludf.DUMMYFUNCTION("IMPORTRANGE(H1930,""IDENTITAS UNIT!D9"")"),"#N/A")</f>
        <v>#N/A</v>
      </c>
      <c r="H1930" s="4" t="str">
        <v/>
      </c>
      <c r="I1930" s="4" t="str">
        <v/>
      </c>
    </row>
    <row r="1931" spans="5:9" ht="16.5" hidden="1">
      <c r="E1931" s="4" t="str">
        <v/>
      </c>
      <c r="F1931" s="102" t="str">
        <f ca="1">IFERROR(__xludf.DUMMYFUNCTION("IMPORTRANGE(H1931,""IDENTITAS UNIT!D9"")"),"#N/A")</f>
        <v>#N/A</v>
      </c>
      <c r="H1931" s="4" t="str">
        <v/>
      </c>
      <c r="I1931" s="4" t="str">
        <v/>
      </c>
    </row>
    <row r="1932" spans="5:9" ht="16.5" hidden="1">
      <c r="E1932" s="4" t="str">
        <v/>
      </c>
      <c r="F1932" s="102" t="str">
        <f ca="1">IFERROR(__xludf.DUMMYFUNCTION("IMPORTRANGE(H1932,""IDENTITAS UNIT!D9"")"),"#N/A")</f>
        <v>#N/A</v>
      </c>
      <c r="H1932" s="4" t="str">
        <v/>
      </c>
      <c r="I1932" s="4" t="str">
        <v/>
      </c>
    </row>
    <row r="1933" spans="5:9" ht="16.5" hidden="1">
      <c r="E1933" s="4" t="str">
        <v/>
      </c>
      <c r="F1933" s="102" t="str">
        <f ca="1">IFERROR(__xludf.DUMMYFUNCTION("IMPORTRANGE(H1933,""IDENTITAS UNIT!D9"")"),"#N/A")</f>
        <v>#N/A</v>
      </c>
      <c r="H1933" s="4" t="str">
        <v/>
      </c>
      <c r="I1933" s="4" t="str">
        <v/>
      </c>
    </row>
    <row r="1934" spans="5:9" ht="16.5" hidden="1">
      <c r="E1934" s="4" t="str">
        <v/>
      </c>
      <c r="F1934" s="102" t="str">
        <f ca="1">IFERROR(__xludf.DUMMYFUNCTION("IMPORTRANGE(H1934,""IDENTITAS UNIT!D9"")"),"#N/A")</f>
        <v>#N/A</v>
      </c>
      <c r="H1934" s="4" t="str">
        <v/>
      </c>
      <c r="I1934" s="4" t="str">
        <v/>
      </c>
    </row>
    <row r="1935" spans="5:9" ht="16.5" hidden="1">
      <c r="E1935" s="4" t="str">
        <v/>
      </c>
      <c r="F1935" s="102" t="str">
        <f ca="1">IFERROR(__xludf.DUMMYFUNCTION("IMPORTRANGE(H1935,""IDENTITAS UNIT!D9"")"),"#N/A")</f>
        <v>#N/A</v>
      </c>
      <c r="H1935" s="4" t="str">
        <v/>
      </c>
      <c r="I1935" s="4" t="str">
        <v/>
      </c>
    </row>
    <row r="1936" spans="5:9" ht="16.5" hidden="1">
      <c r="E1936" s="4" t="str">
        <v/>
      </c>
      <c r="F1936" s="102" t="str">
        <f ca="1">IFERROR(__xludf.DUMMYFUNCTION("IMPORTRANGE(H1936,""IDENTITAS UNIT!D9"")"),"#N/A")</f>
        <v>#N/A</v>
      </c>
      <c r="H1936" s="4" t="str">
        <v/>
      </c>
      <c r="I1936" s="4" t="str">
        <v/>
      </c>
    </row>
    <row r="1937" spans="5:9" ht="16.5" hidden="1">
      <c r="E1937" s="4" t="str">
        <v/>
      </c>
      <c r="F1937" s="102" t="str">
        <f ca="1">IFERROR(__xludf.DUMMYFUNCTION("IMPORTRANGE(H1937,""IDENTITAS UNIT!D9"")"),"#N/A")</f>
        <v>#N/A</v>
      </c>
      <c r="H1937" s="4" t="str">
        <v/>
      </c>
      <c r="I1937" s="4" t="str">
        <v/>
      </c>
    </row>
    <row r="1938" spans="5:9" ht="16.5" hidden="1">
      <c r="E1938" s="4" t="str">
        <v/>
      </c>
      <c r="F1938" s="102" t="str">
        <f ca="1">IFERROR(__xludf.DUMMYFUNCTION("IMPORTRANGE(H1938,""IDENTITAS UNIT!D9"")"),"#N/A")</f>
        <v>#N/A</v>
      </c>
      <c r="H1938" s="4" t="str">
        <v/>
      </c>
      <c r="I1938" s="4" t="str">
        <v/>
      </c>
    </row>
    <row r="1939" spans="5:9" ht="16.5" hidden="1">
      <c r="E1939" s="4" t="str">
        <v/>
      </c>
      <c r="F1939" s="102" t="str">
        <f ca="1">IFERROR(__xludf.DUMMYFUNCTION("IMPORTRANGE(H1939,""IDENTITAS UNIT!D9"")"),"#N/A")</f>
        <v>#N/A</v>
      </c>
      <c r="H1939" s="4" t="str">
        <v/>
      </c>
      <c r="I1939" s="4" t="str">
        <v/>
      </c>
    </row>
    <row r="1940" spans="5:9" ht="16.5" hidden="1">
      <c r="E1940" s="4" t="str">
        <v/>
      </c>
      <c r="F1940" s="102" t="str">
        <f ca="1">IFERROR(__xludf.DUMMYFUNCTION("IMPORTRANGE(H1940,""IDENTITAS UNIT!D9"")"),"#N/A")</f>
        <v>#N/A</v>
      </c>
      <c r="H1940" s="4" t="str">
        <v/>
      </c>
      <c r="I1940" s="4" t="str">
        <v/>
      </c>
    </row>
    <row r="1941" spans="5:9" ht="16.5" hidden="1">
      <c r="E1941" s="4" t="str">
        <v/>
      </c>
      <c r="F1941" s="102" t="str">
        <f ca="1">IFERROR(__xludf.DUMMYFUNCTION("IMPORTRANGE(H1941,""IDENTITAS UNIT!D9"")"),"#N/A")</f>
        <v>#N/A</v>
      </c>
      <c r="H1941" s="4" t="str">
        <v/>
      </c>
      <c r="I1941" s="4" t="str">
        <v/>
      </c>
    </row>
    <row r="1942" spans="5:9" ht="16.5" hidden="1">
      <c r="E1942" s="4" t="str">
        <v/>
      </c>
      <c r="F1942" s="102" t="str">
        <f ca="1">IFERROR(__xludf.DUMMYFUNCTION("IMPORTRANGE(H1942,""IDENTITAS UNIT!D9"")"),"#N/A")</f>
        <v>#N/A</v>
      </c>
      <c r="H1942" s="4" t="str">
        <v/>
      </c>
      <c r="I1942" s="4" t="str">
        <v/>
      </c>
    </row>
    <row r="1943" spans="5:9" ht="16.5" hidden="1">
      <c r="E1943" s="4" t="str">
        <v/>
      </c>
      <c r="F1943" s="102" t="str">
        <f ca="1">IFERROR(__xludf.DUMMYFUNCTION("IMPORTRANGE(H1943,""IDENTITAS UNIT!D9"")"),"#N/A")</f>
        <v>#N/A</v>
      </c>
      <c r="H1943" s="4" t="str">
        <v/>
      </c>
      <c r="I1943" s="4" t="str">
        <v/>
      </c>
    </row>
    <row r="1944" spans="5:9" ht="16.5" hidden="1">
      <c r="E1944" s="4" t="str">
        <v/>
      </c>
      <c r="F1944" s="102" t="str">
        <f ca="1">IFERROR(__xludf.DUMMYFUNCTION("IMPORTRANGE(H1944,""IDENTITAS UNIT!D9"")"),"#N/A")</f>
        <v>#N/A</v>
      </c>
      <c r="H1944" s="4" t="str">
        <v/>
      </c>
      <c r="I1944" s="4" t="str">
        <v/>
      </c>
    </row>
    <row r="1945" spans="5:9" ht="16.5" hidden="1">
      <c r="E1945" s="4" t="str">
        <v/>
      </c>
      <c r="F1945" s="102" t="str">
        <f ca="1">IFERROR(__xludf.DUMMYFUNCTION("IMPORTRANGE(H1945,""IDENTITAS UNIT!D9"")"),"#N/A")</f>
        <v>#N/A</v>
      </c>
      <c r="H1945" s="4" t="str">
        <v/>
      </c>
      <c r="I1945" s="4" t="str">
        <v/>
      </c>
    </row>
    <row r="1946" spans="5:9" ht="16.5" hidden="1">
      <c r="E1946" s="4" t="str">
        <v/>
      </c>
      <c r="F1946" s="102" t="str">
        <f ca="1">IFERROR(__xludf.DUMMYFUNCTION("IMPORTRANGE(H1946,""IDENTITAS UNIT!D9"")"),"#N/A")</f>
        <v>#N/A</v>
      </c>
      <c r="H1946" s="4" t="str">
        <v/>
      </c>
      <c r="I1946" s="4" t="str">
        <v/>
      </c>
    </row>
    <row r="1947" spans="5:9" ht="16.5" hidden="1">
      <c r="E1947" s="4" t="str">
        <v/>
      </c>
      <c r="F1947" s="102" t="str">
        <f ca="1">IFERROR(__xludf.DUMMYFUNCTION("IMPORTRANGE(H1947,""IDENTITAS UNIT!D9"")"),"#N/A")</f>
        <v>#N/A</v>
      </c>
      <c r="H1947" s="4" t="str">
        <v/>
      </c>
      <c r="I1947" s="4" t="str">
        <v/>
      </c>
    </row>
    <row r="1948" spans="5:9" ht="16.5" hidden="1">
      <c r="E1948" s="4" t="str">
        <v/>
      </c>
      <c r="F1948" s="102" t="str">
        <f ca="1">IFERROR(__xludf.DUMMYFUNCTION("IMPORTRANGE(H1948,""IDENTITAS UNIT!D9"")"),"#N/A")</f>
        <v>#N/A</v>
      </c>
      <c r="H1948" s="4" t="str">
        <v/>
      </c>
      <c r="I1948" s="4" t="str">
        <v/>
      </c>
    </row>
    <row r="1949" spans="5:9" ht="16.5" hidden="1">
      <c r="E1949" s="4" t="str">
        <v/>
      </c>
      <c r="F1949" s="102" t="str">
        <f ca="1">IFERROR(__xludf.DUMMYFUNCTION("IMPORTRANGE(H1949,""IDENTITAS UNIT!D9"")"),"#N/A")</f>
        <v>#N/A</v>
      </c>
      <c r="H1949" s="4" t="str">
        <v/>
      </c>
      <c r="I1949" s="4" t="str">
        <v/>
      </c>
    </row>
    <row r="1950" spans="5:9" ht="16.5" hidden="1">
      <c r="E1950" s="4" t="str">
        <v/>
      </c>
      <c r="F1950" s="102" t="str">
        <f ca="1">IFERROR(__xludf.DUMMYFUNCTION("IMPORTRANGE(H1950,""IDENTITAS UNIT!D9"")"),"#N/A")</f>
        <v>#N/A</v>
      </c>
      <c r="H1950" s="4" t="str">
        <v/>
      </c>
      <c r="I1950" s="4" t="str">
        <v/>
      </c>
    </row>
    <row r="1951" spans="5:9" ht="16.5" hidden="1">
      <c r="E1951" s="4" t="str">
        <v/>
      </c>
      <c r="F1951" s="102" t="str">
        <f ca="1">IFERROR(__xludf.DUMMYFUNCTION("IMPORTRANGE(H1951,""IDENTITAS UNIT!D9"")"),"#N/A")</f>
        <v>#N/A</v>
      </c>
      <c r="H1951" s="4" t="str">
        <v/>
      </c>
      <c r="I1951" s="4" t="str">
        <v/>
      </c>
    </row>
    <row r="1952" spans="5:9" ht="16.5" hidden="1">
      <c r="E1952" s="4" t="str">
        <v/>
      </c>
      <c r="F1952" s="102" t="str">
        <f ca="1">IFERROR(__xludf.DUMMYFUNCTION("IMPORTRANGE(H1952,""IDENTITAS UNIT!D9"")"),"#N/A")</f>
        <v>#N/A</v>
      </c>
      <c r="H1952" s="4" t="str">
        <v/>
      </c>
      <c r="I1952" s="4" t="str">
        <v/>
      </c>
    </row>
    <row r="1953" spans="5:9" ht="16.5" hidden="1">
      <c r="E1953" s="4" t="str">
        <v/>
      </c>
      <c r="F1953" s="102" t="str">
        <f ca="1">IFERROR(__xludf.DUMMYFUNCTION("IMPORTRANGE(H1953,""IDENTITAS UNIT!D9"")"),"#N/A")</f>
        <v>#N/A</v>
      </c>
      <c r="H1953" s="4" t="str">
        <v/>
      </c>
      <c r="I1953" s="4" t="str">
        <v/>
      </c>
    </row>
    <row r="1954" spans="5:9" ht="16.5" hidden="1">
      <c r="E1954" s="4" t="str">
        <v/>
      </c>
      <c r="F1954" s="102" t="str">
        <f ca="1">IFERROR(__xludf.DUMMYFUNCTION("IMPORTRANGE(H1954,""IDENTITAS UNIT!D9"")"),"#N/A")</f>
        <v>#N/A</v>
      </c>
      <c r="H1954" s="4" t="str">
        <v/>
      </c>
      <c r="I1954" s="4" t="str">
        <v/>
      </c>
    </row>
    <row r="1955" spans="5:9" ht="16.5" hidden="1">
      <c r="E1955" s="4" t="str">
        <v/>
      </c>
      <c r="F1955" s="102" t="str">
        <f ca="1">IFERROR(__xludf.DUMMYFUNCTION("IMPORTRANGE(H1955,""IDENTITAS UNIT!D9"")"),"#N/A")</f>
        <v>#N/A</v>
      </c>
      <c r="H1955" s="4" t="str">
        <v/>
      </c>
      <c r="I1955" s="4" t="str">
        <v/>
      </c>
    </row>
    <row r="1956" spans="5:9" ht="16.5" hidden="1">
      <c r="E1956" s="4" t="str">
        <v/>
      </c>
      <c r="F1956" s="102" t="str">
        <f ca="1">IFERROR(__xludf.DUMMYFUNCTION("IMPORTRANGE(H1956,""IDENTITAS UNIT!D9"")"),"#N/A")</f>
        <v>#N/A</v>
      </c>
      <c r="H1956" s="4" t="str">
        <v/>
      </c>
      <c r="I1956" s="4" t="str">
        <v/>
      </c>
    </row>
    <row r="1957" spans="5:9" ht="16.5" hidden="1">
      <c r="E1957" s="4" t="str">
        <v/>
      </c>
      <c r="F1957" s="102" t="str">
        <f ca="1">IFERROR(__xludf.DUMMYFUNCTION("IMPORTRANGE(H1957,""IDENTITAS UNIT!D9"")"),"#N/A")</f>
        <v>#N/A</v>
      </c>
      <c r="H1957" s="4" t="str">
        <v/>
      </c>
      <c r="I1957" s="4" t="str">
        <v/>
      </c>
    </row>
    <row r="1958" spans="5:9" ht="16.5" hidden="1">
      <c r="E1958" s="4" t="str">
        <v/>
      </c>
      <c r="F1958" s="102" t="str">
        <f ca="1">IFERROR(__xludf.DUMMYFUNCTION("IMPORTRANGE(H1958,""IDENTITAS UNIT!D9"")"),"#N/A")</f>
        <v>#N/A</v>
      </c>
      <c r="H1958" s="4" t="str">
        <v/>
      </c>
      <c r="I1958" s="4" t="str">
        <v/>
      </c>
    </row>
    <row r="1959" spans="5:9" ht="16.5" hidden="1">
      <c r="E1959" s="4" t="str">
        <v/>
      </c>
      <c r="F1959" s="102" t="str">
        <f ca="1">IFERROR(__xludf.DUMMYFUNCTION("IMPORTRANGE(H1959,""IDENTITAS UNIT!D9"")"),"#N/A")</f>
        <v>#N/A</v>
      </c>
      <c r="H1959" s="4" t="str">
        <v/>
      </c>
      <c r="I1959" s="4" t="str">
        <v/>
      </c>
    </row>
    <row r="1960" spans="5:9" ht="16.5" hidden="1">
      <c r="E1960" s="4" t="str">
        <v/>
      </c>
      <c r="F1960" s="102" t="str">
        <f ca="1">IFERROR(__xludf.DUMMYFUNCTION("IMPORTRANGE(H1960,""IDENTITAS UNIT!D9"")"),"#N/A")</f>
        <v>#N/A</v>
      </c>
      <c r="H1960" s="4" t="str">
        <v/>
      </c>
      <c r="I1960" s="4" t="str">
        <v/>
      </c>
    </row>
    <row r="1961" spans="5:9" ht="16.5" hidden="1">
      <c r="E1961" s="4" t="str">
        <v/>
      </c>
      <c r="F1961" s="102" t="str">
        <f ca="1">IFERROR(__xludf.DUMMYFUNCTION("IMPORTRANGE(H1961,""IDENTITAS UNIT!D9"")"),"#N/A")</f>
        <v>#N/A</v>
      </c>
      <c r="H1961" s="4" t="str">
        <v/>
      </c>
      <c r="I1961" s="4" t="str">
        <v/>
      </c>
    </row>
    <row r="1962" spans="5:9" ht="16.5" hidden="1">
      <c r="E1962" s="4" t="str">
        <v/>
      </c>
      <c r="F1962" s="102" t="str">
        <f ca="1">IFERROR(__xludf.DUMMYFUNCTION("IMPORTRANGE(H1962,""IDENTITAS UNIT!D9"")"),"#N/A")</f>
        <v>#N/A</v>
      </c>
      <c r="H1962" s="4" t="str">
        <v/>
      </c>
      <c r="I1962" s="4" t="str">
        <v/>
      </c>
    </row>
    <row r="1963" spans="5:9" ht="16.5" hidden="1">
      <c r="E1963" s="4" t="str">
        <v/>
      </c>
      <c r="F1963" s="102" t="str">
        <f ca="1">IFERROR(__xludf.DUMMYFUNCTION("IMPORTRANGE(H1963,""IDENTITAS UNIT!D9"")"),"#N/A")</f>
        <v>#N/A</v>
      </c>
      <c r="H1963" s="4" t="str">
        <v/>
      </c>
      <c r="I1963" s="4" t="str">
        <v/>
      </c>
    </row>
    <row r="1964" spans="5:9" ht="16.5" hidden="1">
      <c r="E1964" s="4" t="str">
        <v/>
      </c>
      <c r="F1964" s="102" t="str">
        <f ca="1">IFERROR(__xludf.DUMMYFUNCTION("IMPORTRANGE(H1964,""IDENTITAS UNIT!D9"")"),"#N/A")</f>
        <v>#N/A</v>
      </c>
      <c r="H1964" s="4" t="str">
        <v/>
      </c>
      <c r="I1964" s="4" t="str">
        <v/>
      </c>
    </row>
    <row r="1965" spans="5:9" ht="16.5" hidden="1">
      <c r="E1965" s="4" t="str">
        <v/>
      </c>
      <c r="F1965" s="102" t="str">
        <f ca="1">IFERROR(__xludf.DUMMYFUNCTION("IMPORTRANGE(H1965,""IDENTITAS UNIT!D9"")"),"#N/A")</f>
        <v>#N/A</v>
      </c>
      <c r="H1965" s="4" t="str">
        <v/>
      </c>
      <c r="I1965" s="4" t="str">
        <v/>
      </c>
    </row>
    <row r="1966" spans="5:9" ht="16.5" hidden="1">
      <c r="E1966" s="4" t="str">
        <v/>
      </c>
      <c r="F1966" s="102" t="str">
        <f ca="1">IFERROR(__xludf.DUMMYFUNCTION("IMPORTRANGE(H1966,""IDENTITAS UNIT!D9"")"),"#N/A")</f>
        <v>#N/A</v>
      </c>
      <c r="H1966" s="4" t="str">
        <v/>
      </c>
      <c r="I1966" s="4" t="str">
        <v/>
      </c>
    </row>
    <row r="1967" spans="5:9" ht="16.5" hidden="1">
      <c r="E1967" s="4" t="str">
        <v/>
      </c>
      <c r="F1967" s="102" t="str">
        <f ca="1">IFERROR(__xludf.DUMMYFUNCTION("IMPORTRANGE(H1967,""IDENTITAS UNIT!D9"")"),"#N/A")</f>
        <v>#N/A</v>
      </c>
      <c r="H1967" s="4" t="str">
        <v/>
      </c>
      <c r="I1967" s="4" t="str">
        <v/>
      </c>
    </row>
    <row r="1968" spans="5:9" ht="16.5" hidden="1">
      <c r="E1968" s="4" t="str">
        <v/>
      </c>
      <c r="F1968" s="102" t="str">
        <f ca="1">IFERROR(__xludf.DUMMYFUNCTION("IMPORTRANGE(H1968,""IDENTITAS UNIT!D9"")"),"#N/A")</f>
        <v>#N/A</v>
      </c>
      <c r="H1968" s="4" t="str">
        <v/>
      </c>
      <c r="I1968" s="4" t="str">
        <v/>
      </c>
    </row>
    <row r="1969" spans="5:9" ht="16.5" hidden="1">
      <c r="E1969" s="4" t="str">
        <v/>
      </c>
      <c r="F1969" s="102" t="str">
        <f ca="1">IFERROR(__xludf.DUMMYFUNCTION("IMPORTRANGE(H1969,""IDENTITAS UNIT!D9"")"),"#N/A")</f>
        <v>#N/A</v>
      </c>
      <c r="H1969" s="4" t="str">
        <v/>
      </c>
      <c r="I1969" s="4" t="str">
        <v/>
      </c>
    </row>
    <row r="1970" spans="5:9" ht="16.5" hidden="1">
      <c r="E1970" s="4" t="str">
        <v/>
      </c>
      <c r="F1970" s="102" t="str">
        <f ca="1">IFERROR(__xludf.DUMMYFUNCTION("IMPORTRANGE(H1970,""IDENTITAS UNIT!D9"")"),"#N/A")</f>
        <v>#N/A</v>
      </c>
      <c r="H1970" s="4" t="str">
        <v/>
      </c>
      <c r="I1970" s="4" t="str">
        <v/>
      </c>
    </row>
    <row r="1971" spans="5:9" ht="16.5" hidden="1">
      <c r="E1971" s="4" t="str">
        <v/>
      </c>
      <c r="F1971" s="102" t="str">
        <f ca="1">IFERROR(__xludf.DUMMYFUNCTION("IMPORTRANGE(H1971,""IDENTITAS UNIT!D9"")"),"#N/A")</f>
        <v>#N/A</v>
      </c>
      <c r="H1971" s="4" t="str">
        <v/>
      </c>
      <c r="I1971" s="4" t="str">
        <v/>
      </c>
    </row>
    <row r="1972" spans="5:9" ht="16.5" hidden="1">
      <c r="E1972" s="4" t="str">
        <v/>
      </c>
      <c r="F1972" s="102" t="str">
        <f ca="1">IFERROR(__xludf.DUMMYFUNCTION("IMPORTRANGE(H1972,""IDENTITAS UNIT!D9"")"),"#N/A")</f>
        <v>#N/A</v>
      </c>
      <c r="H1972" s="4" t="str">
        <v/>
      </c>
      <c r="I1972" s="4" t="str">
        <v/>
      </c>
    </row>
    <row r="1973" spans="5:9" ht="16.5" hidden="1">
      <c r="E1973" s="4" t="str">
        <v/>
      </c>
      <c r="F1973" s="102" t="str">
        <f ca="1">IFERROR(__xludf.DUMMYFUNCTION("IMPORTRANGE(H1973,""IDENTITAS UNIT!D9"")"),"#N/A")</f>
        <v>#N/A</v>
      </c>
      <c r="H1973" s="4" t="str">
        <v/>
      </c>
      <c r="I1973" s="4" t="str">
        <v/>
      </c>
    </row>
    <row r="1974" spans="5:9" ht="16.5" hidden="1">
      <c r="E1974" s="4" t="str">
        <v/>
      </c>
      <c r="F1974" s="102" t="str">
        <f ca="1">IFERROR(__xludf.DUMMYFUNCTION("IMPORTRANGE(H1974,""IDENTITAS UNIT!D9"")"),"#N/A")</f>
        <v>#N/A</v>
      </c>
      <c r="H1974" s="4" t="str">
        <v/>
      </c>
      <c r="I1974" s="4" t="str">
        <v/>
      </c>
    </row>
    <row r="1975" spans="5:9" ht="16.5" hidden="1">
      <c r="E1975" s="4" t="str">
        <v/>
      </c>
      <c r="F1975" s="102" t="str">
        <f ca="1">IFERROR(__xludf.DUMMYFUNCTION("IMPORTRANGE(H1975,""IDENTITAS UNIT!D9"")"),"#N/A")</f>
        <v>#N/A</v>
      </c>
      <c r="H1975" s="4" t="str">
        <v/>
      </c>
      <c r="I1975" s="4" t="str">
        <v/>
      </c>
    </row>
    <row r="1976" spans="5:9" ht="16.5" hidden="1">
      <c r="E1976" s="4" t="str">
        <v/>
      </c>
      <c r="F1976" s="102" t="str">
        <f ca="1">IFERROR(__xludf.DUMMYFUNCTION("IMPORTRANGE(H1976,""IDENTITAS UNIT!D9"")"),"#N/A")</f>
        <v>#N/A</v>
      </c>
      <c r="H1976" s="4" t="str">
        <v/>
      </c>
      <c r="I1976" s="4" t="str">
        <v/>
      </c>
    </row>
    <row r="1977" spans="5:9" ht="16.5" hidden="1">
      <c r="E1977" s="4" t="str">
        <v/>
      </c>
      <c r="F1977" s="102" t="str">
        <f ca="1">IFERROR(__xludf.DUMMYFUNCTION("IMPORTRANGE(H1977,""IDENTITAS UNIT!D9"")"),"#N/A")</f>
        <v>#N/A</v>
      </c>
      <c r="H1977" s="4" t="str">
        <v/>
      </c>
      <c r="I1977" s="4" t="str">
        <v/>
      </c>
    </row>
    <row r="1978" spans="5:9" ht="16.5" hidden="1">
      <c r="E1978" s="4" t="str">
        <v/>
      </c>
      <c r="F1978" s="102" t="str">
        <f ca="1">IFERROR(__xludf.DUMMYFUNCTION("IMPORTRANGE(H1978,""IDENTITAS UNIT!D9"")"),"#N/A")</f>
        <v>#N/A</v>
      </c>
      <c r="H1978" s="4" t="str">
        <v/>
      </c>
      <c r="I1978" s="4" t="str">
        <v/>
      </c>
    </row>
    <row r="1979" spans="5:9" ht="16.5" hidden="1">
      <c r="E1979" s="4" t="str">
        <v/>
      </c>
      <c r="F1979" s="102" t="str">
        <f ca="1">IFERROR(__xludf.DUMMYFUNCTION("IMPORTRANGE(H1979,""IDENTITAS UNIT!D9"")"),"#N/A")</f>
        <v>#N/A</v>
      </c>
      <c r="H1979" s="4" t="str">
        <v/>
      </c>
      <c r="I1979" s="4" t="str">
        <v/>
      </c>
    </row>
    <row r="1980" spans="5:9" ht="16.5" hidden="1">
      <c r="E1980" s="4" t="str">
        <v/>
      </c>
      <c r="F1980" s="102" t="str">
        <f ca="1">IFERROR(__xludf.DUMMYFUNCTION("IMPORTRANGE(H1980,""IDENTITAS UNIT!D9"")"),"#N/A")</f>
        <v>#N/A</v>
      </c>
      <c r="H1980" s="4" t="str">
        <v/>
      </c>
      <c r="I1980" s="4" t="str">
        <v/>
      </c>
    </row>
    <row r="1981" spans="5:9" ht="16.5" hidden="1">
      <c r="E1981" s="4" t="str">
        <v/>
      </c>
      <c r="F1981" s="102" t="str">
        <f ca="1">IFERROR(__xludf.DUMMYFUNCTION("IMPORTRANGE(H1981,""IDENTITAS UNIT!D9"")"),"#N/A")</f>
        <v>#N/A</v>
      </c>
      <c r="H1981" s="4" t="str">
        <v/>
      </c>
      <c r="I1981" s="4" t="str">
        <v/>
      </c>
    </row>
    <row r="1982" spans="5:9" ht="16.5" hidden="1">
      <c r="E1982" s="4" t="str">
        <v/>
      </c>
      <c r="F1982" s="102" t="str">
        <f ca="1">IFERROR(__xludf.DUMMYFUNCTION("IMPORTRANGE(H1982,""IDENTITAS UNIT!D9"")"),"#N/A")</f>
        <v>#N/A</v>
      </c>
      <c r="H1982" s="4" t="str">
        <v/>
      </c>
      <c r="I1982" s="4" t="str">
        <v/>
      </c>
    </row>
    <row r="1983" spans="5:9" ht="16.5" hidden="1">
      <c r="E1983" s="4" t="str">
        <v/>
      </c>
      <c r="F1983" s="102" t="str">
        <f ca="1">IFERROR(__xludf.DUMMYFUNCTION("IMPORTRANGE(H1983,""IDENTITAS UNIT!D9"")"),"#N/A")</f>
        <v>#N/A</v>
      </c>
      <c r="H1983" s="4" t="str">
        <v/>
      </c>
      <c r="I1983" s="4" t="str">
        <v/>
      </c>
    </row>
    <row r="1984" spans="5:9" ht="16.5" hidden="1">
      <c r="E1984" s="4" t="str">
        <v/>
      </c>
      <c r="F1984" s="102" t="str">
        <f ca="1">IFERROR(__xludf.DUMMYFUNCTION("IMPORTRANGE(H1984,""IDENTITAS UNIT!D9"")"),"#N/A")</f>
        <v>#N/A</v>
      </c>
      <c r="H1984" s="4" t="str">
        <v/>
      </c>
      <c r="I1984" s="4" t="str">
        <v/>
      </c>
    </row>
    <row r="1985" spans="5:9" ht="16.5" hidden="1">
      <c r="E1985" s="4" t="str">
        <v/>
      </c>
      <c r="F1985" s="102" t="str">
        <f ca="1">IFERROR(__xludf.DUMMYFUNCTION("IMPORTRANGE(H1985,""IDENTITAS UNIT!D9"")"),"#N/A")</f>
        <v>#N/A</v>
      </c>
      <c r="H1985" s="4" t="str">
        <v/>
      </c>
      <c r="I1985" s="4" t="str">
        <v/>
      </c>
    </row>
    <row r="1986" spans="5:9" ht="16.5" hidden="1">
      <c r="E1986" s="4" t="str">
        <v/>
      </c>
      <c r="F1986" s="102" t="str">
        <f ca="1">IFERROR(__xludf.DUMMYFUNCTION("IMPORTRANGE(H1986,""IDENTITAS UNIT!D9"")"),"#N/A")</f>
        <v>#N/A</v>
      </c>
      <c r="H1986" s="4" t="str">
        <v/>
      </c>
      <c r="I1986" s="4" t="str">
        <v/>
      </c>
    </row>
    <row r="1987" spans="5:9" ht="16.5" hidden="1">
      <c r="E1987" s="4" t="str">
        <v/>
      </c>
      <c r="F1987" s="102" t="str">
        <f ca="1">IFERROR(__xludf.DUMMYFUNCTION("IMPORTRANGE(H1987,""IDENTITAS UNIT!D9"")"),"#N/A")</f>
        <v>#N/A</v>
      </c>
      <c r="H1987" s="4" t="str">
        <v/>
      </c>
      <c r="I1987" s="4" t="str">
        <v/>
      </c>
    </row>
    <row r="1988" spans="5:9" ht="16.5" hidden="1">
      <c r="E1988" s="4" t="str">
        <v/>
      </c>
      <c r="F1988" s="102" t="str">
        <f ca="1">IFERROR(__xludf.DUMMYFUNCTION("IMPORTRANGE(H1988,""IDENTITAS UNIT!D9"")"),"#N/A")</f>
        <v>#N/A</v>
      </c>
      <c r="H1988" s="4" t="str">
        <v/>
      </c>
      <c r="I1988" s="4" t="str">
        <v/>
      </c>
    </row>
    <row r="1989" spans="5:9" ht="16.5" hidden="1">
      <c r="E1989" s="4" t="str">
        <v/>
      </c>
      <c r="F1989" s="102" t="str">
        <f ca="1">IFERROR(__xludf.DUMMYFUNCTION("IMPORTRANGE(H1989,""IDENTITAS UNIT!D9"")"),"#N/A")</f>
        <v>#N/A</v>
      </c>
      <c r="H1989" s="4" t="str">
        <v/>
      </c>
      <c r="I1989" s="4" t="str">
        <v/>
      </c>
    </row>
    <row r="1990" spans="5:9" ht="16.5" hidden="1">
      <c r="E1990" s="4" t="str">
        <v/>
      </c>
      <c r="F1990" s="102" t="str">
        <f ca="1">IFERROR(__xludf.DUMMYFUNCTION("IMPORTRANGE(H1990,""IDENTITAS UNIT!D9"")"),"#N/A")</f>
        <v>#N/A</v>
      </c>
      <c r="H1990" s="4" t="str">
        <v/>
      </c>
      <c r="I1990" s="4" t="str">
        <v/>
      </c>
    </row>
    <row r="1991" spans="5:9" ht="16.5" hidden="1">
      <c r="E1991" s="4" t="str">
        <v/>
      </c>
      <c r="F1991" s="102" t="str">
        <f ca="1">IFERROR(__xludf.DUMMYFUNCTION("IMPORTRANGE(H1991,""IDENTITAS UNIT!D9"")"),"#N/A")</f>
        <v>#N/A</v>
      </c>
      <c r="H1991" s="4" t="str">
        <v/>
      </c>
      <c r="I1991" s="4" t="str">
        <v/>
      </c>
    </row>
    <row r="1992" spans="5:9" ht="16.5" hidden="1">
      <c r="E1992" s="4" t="str">
        <v/>
      </c>
      <c r="F1992" s="102" t="str">
        <f ca="1">IFERROR(__xludf.DUMMYFUNCTION("IMPORTRANGE(H1992,""IDENTITAS UNIT!D9"")"),"#N/A")</f>
        <v>#N/A</v>
      </c>
      <c r="H1992" s="4" t="str">
        <v/>
      </c>
      <c r="I1992" s="4" t="str">
        <v/>
      </c>
    </row>
    <row r="1993" spans="5:9" ht="16.5" hidden="1">
      <c r="E1993" s="4" t="str">
        <v/>
      </c>
      <c r="F1993" s="102" t="str">
        <f ca="1">IFERROR(__xludf.DUMMYFUNCTION("IMPORTRANGE(H1993,""IDENTITAS UNIT!D9"")"),"#N/A")</f>
        <v>#N/A</v>
      </c>
      <c r="H1993" s="4" t="str">
        <v/>
      </c>
      <c r="I1993" s="4" t="str">
        <v/>
      </c>
    </row>
    <row r="1994" spans="5:9" ht="16.5" hidden="1">
      <c r="E1994" s="4" t="str">
        <v/>
      </c>
      <c r="F1994" s="102" t="str">
        <f ca="1">IFERROR(__xludf.DUMMYFUNCTION("IMPORTRANGE(H1994,""IDENTITAS UNIT!D9"")"),"#N/A")</f>
        <v>#N/A</v>
      </c>
      <c r="H1994" s="4" t="str">
        <v/>
      </c>
      <c r="I1994" s="4" t="str">
        <v/>
      </c>
    </row>
    <row r="1995" spans="5:9" ht="16.5" hidden="1">
      <c r="E1995" s="4" t="str">
        <v/>
      </c>
      <c r="F1995" s="102" t="str">
        <f ca="1">IFERROR(__xludf.DUMMYFUNCTION("IMPORTRANGE(H1995,""IDENTITAS UNIT!D9"")"),"#N/A")</f>
        <v>#N/A</v>
      </c>
      <c r="H1995" s="4" t="str">
        <v/>
      </c>
      <c r="I1995" s="4" t="str">
        <v/>
      </c>
    </row>
    <row r="1996" spans="5:9" ht="16.5" hidden="1">
      <c r="E1996" s="4" t="str">
        <v/>
      </c>
      <c r="F1996" s="102" t="str">
        <f ca="1">IFERROR(__xludf.DUMMYFUNCTION("IMPORTRANGE(H1996,""IDENTITAS UNIT!D9"")"),"#N/A")</f>
        <v>#N/A</v>
      </c>
      <c r="H1996" s="4" t="str">
        <v/>
      </c>
      <c r="I1996" s="4" t="str">
        <v/>
      </c>
    </row>
    <row r="1997" spans="5:9" ht="16.5" hidden="1">
      <c r="E1997" s="4" t="str">
        <v/>
      </c>
      <c r="F1997" s="102" t="str">
        <f ca="1">IFERROR(__xludf.DUMMYFUNCTION("IMPORTRANGE(H1997,""IDENTITAS UNIT!D9"")"),"#N/A")</f>
        <v>#N/A</v>
      </c>
      <c r="H1997" s="4" t="str">
        <v/>
      </c>
      <c r="I1997" s="4" t="str">
        <v/>
      </c>
    </row>
    <row r="1998" spans="5:9" ht="16.5" hidden="1">
      <c r="E1998" s="4" t="str">
        <v/>
      </c>
      <c r="F1998" s="102" t="str">
        <f ca="1">IFERROR(__xludf.DUMMYFUNCTION("IMPORTRANGE(H1998,""IDENTITAS UNIT!D9"")"),"#N/A")</f>
        <v>#N/A</v>
      </c>
      <c r="H1998" s="4" t="str">
        <v/>
      </c>
      <c r="I1998" s="4" t="str">
        <v/>
      </c>
    </row>
    <row r="1999" spans="5:9" ht="16.5" hidden="1">
      <c r="E1999" s="4" t="str">
        <v/>
      </c>
      <c r="F1999" s="102" t="str">
        <f ca="1">IFERROR(__xludf.DUMMYFUNCTION("IMPORTRANGE(H1999,""IDENTITAS UNIT!D9"")"),"#N/A")</f>
        <v>#N/A</v>
      </c>
      <c r="H1999" s="4" t="str">
        <v/>
      </c>
      <c r="I1999" s="4" t="str">
        <v/>
      </c>
    </row>
    <row r="2000" spans="5:9" ht="16.5" hidden="1">
      <c r="E2000" s="4" t="str">
        <v/>
      </c>
      <c r="F2000" s="102" t="str">
        <f ca="1">IFERROR(__xludf.DUMMYFUNCTION("IMPORTRANGE(H2000,""IDENTITAS UNIT!D9"")"),"#N/A")</f>
        <v>#N/A</v>
      </c>
      <c r="H2000" s="4" t="str">
        <v/>
      </c>
      <c r="I2000" s="4" t="str">
        <v/>
      </c>
    </row>
    <row r="2001" spans="5:9" ht="16.5" hidden="1">
      <c r="E2001" s="4" t="str">
        <v/>
      </c>
      <c r="F2001" s="102" t="str">
        <f ca="1">IFERROR(__xludf.DUMMYFUNCTION("IMPORTRANGE(H2001,""IDENTITAS UNIT!D9"")"),"#N/A")</f>
        <v>#N/A</v>
      </c>
      <c r="H2001" s="4" t="str">
        <v/>
      </c>
      <c r="I2001" s="4" t="str">
        <v/>
      </c>
    </row>
    <row r="2002" spans="5:9" ht="16.5" hidden="1">
      <c r="E2002" s="4" t="str">
        <v/>
      </c>
      <c r="F2002" s="102" t="str">
        <f ca="1">IFERROR(__xludf.DUMMYFUNCTION("IMPORTRANGE(H2002,""IDENTITAS UNIT!D9"")"),"#N/A")</f>
        <v>#N/A</v>
      </c>
      <c r="H2002" s="4" t="str">
        <v/>
      </c>
      <c r="I2002" s="4" t="str">
        <v/>
      </c>
    </row>
    <row r="2003" spans="5:9" ht="16.5" hidden="1">
      <c r="E2003" s="4" t="str">
        <v/>
      </c>
      <c r="F2003" s="102" t="str">
        <f ca="1">IFERROR(__xludf.DUMMYFUNCTION("IMPORTRANGE(H2003,""IDENTITAS UNIT!D9"")"),"#N/A")</f>
        <v>#N/A</v>
      </c>
      <c r="H2003" s="4" t="str">
        <v/>
      </c>
      <c r="I2003" s="4" t="str">
        <v/>
      </c>
    </row>
    <row r="2004" spans="5:9" ht="16.5" hidden="1">
      <c r="E2004" s="4" t="str">
        <v/>
      </c>
      <c r="F2004" s="102" t="str">
        <f ca="1">IFERROR(__xludf.DUMMYFUNCTION("IMPORTRANGE(H2004,""IDENTITAS UNIT!D9"")"),"#N/A")</f>
        <v>#N/A</v>
      </c>
      <c r="H2004" s="4" t="str">
        <v/>
      </c>
      <c r="I2004" s="4" t="str">
        <v/>
      </c>
    </row>
    <row r="2005" spans="5:9" ht="16.5" hidden="1">
      <c r="E2005" s="4" t="str">
        <v/>
      </c>
      <c r="F2005" s="102" t="str">
        <f ca="1">IFERROR(__xludf.DUMMYFUNCTION("IMPORTRANGE(H2005,""IDENTITAS UNIT!D9"")"),"#N/A")</f>
        <v>#N/A</v>
      </c>
      <c r="H2005" s="4" t="str">
        <v/>
      </c>
      <c r="I2005" s="4" t="str">
        <v/>
      </c>
    </row>
    <row r="2006" spans="5:9" ht="16.5" hidden="1">
      <c r="E2006" s="4" t="str">
        <v/>
      </c>
      <c r="F2006" s="102" t="str">
        <f ca="1">IFERROR(__xludf.DUMMYFUNCTION("IMPORTRANGE(H2006,""IDENTITAS UNIT!D9"")"),"#N/A")</f>
        <v>#N/A</v>
      </c>
      <c r="H2006" s="4" t="str">
        <v/>
      </c>
      <c r="I2006" s="4" t="str">
        <v/>
      </c>
    </row>
    <row r="2007" spans="5:9" ht="16.5" hidden="1">
      <c r="E2007" s="4" t="str">
        <v/>
      </c>
      <c r="F2007" s="102" t="str">
        <f ca="1">IFERROR(__xludf.DUMMYFUNCTION("IMPORTRANGE(H2007,""IDENTITAS UNIT!D9"")"),"#N/A")</f>
        <v>#N/A</v>
      </c>
      <c r="H2007" s="4" t="str">
        <v/>
      </c>
      <c r="I2007" s="4" t="str">
        <v/>
      </c>
    </row>
    <row r="2008" spans="5:9" ht="16.5" hidden="1">
      <c r="E2008" s="4" t="str">
        <v/>
      </c>
      <c r="F2008" s="102" t="str">
        <f ca="1">IFERROR(__xludf.DUMMYFUNCTION("IMPORTRANGE(H2008,""IDENTITAS UNIT!D9"")"),"#N/A")</f>
        <v>#N/A</v>
      </c>
      <c r="H2008" s="4" t="str">
        <v/>
      </c>
      <c r="I2008" s="4" t="str">
        <v/>
      </c>
    </row>
    <row r="2009" spans="5:9" ht="16.5" hidden="1">
      <c r="E2009" s="4" t="str">
        <v/>
      </c>
      <c r="F2009" s="102" t="str">
        <f ca="1">IFERROR(__xludf.DUMMYFUNCTION("IMPORTRANGE(H2009,""IDENTITAS UNIT!D9"")"),"#N/A")</f>
        <v>#N/A</v>
      </c>
      <c r="H2009" s="4" t="str">
        <v/>
      </c>
      <c r="I2009" s="4" t="str">
        <v/>
      </c>
    </row>
    <row r="2010" spans="5:9" ht="16.5" hidden="1">
      <c r="E2010" s="4" t="str">
        <v/>
      </c>
      <c r="F2010" s="102" t="str">
        <f ca="1">IFERROR(__xludf.DUMMYFUNCTION("IMPORTRANGE(H2010,""IDENTITAS UNIT!D9"")"),"#N/A")</f>
        <v>#N/A</v>
      </c>
      <c r="H2010" s="4" t="str">
        <v/>
      </c>
      <c r="I2010" s="4" t="str">
        <v/>
      </c>
    </row>
    <row r="2011" spans="5:9" ht="16.5" hidden="1">
      <c r="E2011" s="4" t="str">
        <v/>
      </c>
      <c r="F2011" s="102" t="str">
        <f ca="1">IFERROR(__xludf.DUMMYFUNCTION("IMPORTRANGE(H2011,""IDENTITAS UNIT!D9"")"),"#N/A")</f>
        <v>#N/A</v>
      </c>
      <c r="H2011" s="4" t="str">
        <v/>
      </c>
      <c r="I2011" s="4" t="str">
        <v/>
      </c>
    </row>
    <row r="2012" spans="5:9" ht="16.5" hidden="1">
      <c r="E2012" s="4" t="str">
        <v/>
      </c>
      <c r="F2012" s="102" t="str">
        <f ca="1">IFERROR(__xludf.DUMMYFUNCTION("IMPORTRANGE(H2012,""IDENTITAS UNIT!D9"")"),"#N/A")</f>
        <v>#N/A</v>
      </c>
      <c r="H2012" s="4" t="str">
        <v/>
      </c>
      <c r="I2012" s="4" t="str">
        <v/>
      </c>
    </row>
    <row r="2013" spans="5:9" ht="16.5" hidden="1">
      <c r="E2013" s="4" t="str">
        <v/>
      </c>
      <c r="F2013" s="102" t="str">
        <f ca="1">IFERROR(__xludf.DUMMYFUNCTION("IMPORTRANGE(H2013,""IDENTITAS UNIT!D9"")"),"#N/A")</f>
        <v>#N/A</v>
      </c>
      <c r="H2013" s="4" t="str">
        <v/>
      </c>
      <c r="I2013" s="4" t="str">
        <v/>
      </c>
    </row>
    <row r="2014" spans="5:9" ht="16.5" hidden="1">
      <c r="E2014" s="4" t="str">
        <v/>
      </c>
      <c r="F2014" s="102" t="str">
        <f ca="1">IFERROR(__xludf.DUMMYFUNCTION("IMPORTRANGE(H2014,""IDENTITAS UNIT!D9"")"),"#N/A")</f>
        <v>#N/A</v>
      </c>
      <c r="H2014" s="4" t="str">
        <v/>
      </c>
      <c r="I2014" s="4" t="str">
        <v/>
      </c>
    </row>
    <row r="2015" spans="5:9" ht="16.5" hidden="1">
      <c r="E2015" s="4" t="str">
        <v/>
      </c>
      <c r="F2015" s="102" t="str">
        <f ca="1">IFERROR(__xludf.DUMMYFUNCTION("IMPORTRANGE(H2015,""IDENTITAS UNIT!D9"")"),"#N/A")</f>
        <v>#N/A</v>
      </c>
      <c r="H2015" s="4" t="str">
        <v/>
      </c>
      <c r="I2015" s="4" t="str">
        <v/>
      </c>
    </row>
    <row r="2016" spans="5:9" ht="16.5" hidden="1">
      <c r="E2016" s="4" t="str">
        <v/>
      </c>
      <c r="F2016" s="102" t="str">
        <f ca="1">IFERROR(__xludf.DUMMYFUNCTION("IMPORTRANGE(H2016,""IDENTITAS UNIT!D9"")"),"#N/A")</f>
        <v>#N/A</v>
      </c>
      <c r="H2016" s="4" t="str">
        <v/>
      </c>
      <c r="I2016" s="4" t="str">
        <v/>
      </c>
    </row>
    <row r="2017" spans="5:9" ht="16.5" hidden="1">
      <c r="E2017" s="4" t="str">
        <v/>
      </c>
      <c r="F2017" s="102" t="str">
        <f ca="1">IFERROR(__xludf.DUMMYFUNCTION("IMPORTRANGE(H2017,""IDENTITAS UNIT!D9"")"),"#N/A")</f>
        <v>#N/A</v>
      </c>
      <c r="H2017" s="4" t="str">
        <v/>
      </c>
      <c r="I2017" s="4" t="str">
        <v/>
      </c>
    </row>
    <row r="2018" spans="5:9" ht="16.5" hidden="1">
      <c r="E2018" s="4" t="str">
        <v/>
      </c>
      <c r="F2018" s="102" t="str">
        <f ca="1">IFERROR(__xludf.DUMMYFUNCTION("IMPORTRANGE(H2018,""IDENTITAS UNIT!D9"")"),"#N/A")</f>
        <v>#N/A</v>
      </c>
      <c r="H2018" s="4" t="str">
        <v/>
      </c>
      <c r="I2018" s="4" t="str">
        <v/>
      </c>
    </row>
    <row r="2019" spans="5:9" ht="16.5" hidden="1">
      <c r="E2019" s="4" t="str">
        <v/>
      </c>
      <c r="F2019" s="102" t="str">
        <f ca="1">IFERROR(__xludf.DUMMYFUNCTION("IMPORTRANGE(H2019,""IDENTITAS UNIT!D9"")"),"#N/A")</f>
        <v>#N/A</v>
      </c>
      <c r="H2019" s="4" t="str">
        <v/>
      </c>
      <c r="I2019" s="4" t="str">
        <v/>
      </c>
    </row>
    <row r="2020" spans="5:9" ht="16.5" hidden="1">
      <c r="E2020" s="4" t="str">
        <v/>
      </c>
      <c r="F2020" s="102" t="str">
        <f ca="1">IFERROR(__xludf.DUMMYFUNCTION("IMPORTRANGE(H2020,""IDENTITAS UNIT!D9"")"),"#N/A")</f>
        <v>#N/A</v>
      </c>
      <c r="H2020" s="4" t="str">
        <v/>
      </c>
      <c r="I2020" s="4" t="str">
        <v/>
      </c>
    </row>
    <row r="2021" spans="5:9" ht="16.5" hidden="1">
      <c r="E2021" s="4" t="str">
        <v/>
      </c>
      <c r="F2021" s="102" t="str">
        <f ca="1">IFERROR(__xludf.DUMMYFUNCTION("IMPORTRANGE(H2021,""IDENTITAS UNIT!D9"")"),"#N/A")</f>
        <v>#N/A</v>
      </c>
      <c r="H2021" s="4" t="str">
        <v/>
      </c>
      <c r="I2021" s="4" t="str">
        <v/>
      </c>
    </row>
    <row r="2022" spans="5:9" ht="16.5" hidden="1">
      <c r="E2022" s="4" t="str">
        <v/>
      </c>
      <c r="F2022" s="102" t="str">
        <f ca="1">IFERROR(__xludf.DUMMYFUNCTION("IMPORTRANGE(H2022,""IDENTITAS UNIT!D9"")"),"#N/A")</f>
        <v>#N/A</v>
      </c>
      <c r="H2022" s="4" t="str">
        <v/>
      </c>
      <c r="I2022" s="4" t="str">
        <v/>
      </c>
    </row>
    <row r="2023" spans="5:9" ht="16.5" hidden="1">
      <c r="E2023" s="4" t="str">
        <v/>
      </c>
      <c r="F2023" s="102" t="str">
        <f ca="1">IFERROR(__xludf.DUMMYFUNCTION("IMPORTRANGE(H2023,""IDENTITAS UNIT!D9"")"),"#N/A")</f>
        <v>#N/A</v>
      </c>
      <c r="H2023" s="4" t="str">
        <v/>
      </c>
      <c r="I2023" s="4" t="str">
        <v/>
      </c>
    </row>
    <row r="2024" spans="5:9" ht="16.5" hidden="1">
      <c r="E2024" s="4" t="str">
        <v/>
      </c>
      <c r="F2024" s="102" t="str">
        <f ca="1">IFERROR(__xludf.DUMMYFUNCTION("IMPORTRANGE(H2024,""IDENTITAS UNIT!D9"")"),"#N/A")</f>
        <v>#N/A</v>
      </c>
      <c r="H2024" s="4" t="str">
        <v/>
      </c>
      <c r="I2024" s="4" t="str">
        <v/>
      </c>
    </row>
    <row r="2025" spans="5:9" ht="16.5" hidden="1">
      <c r="E2025" s="4" t="str">
        <v/>
      </c>
      <c r="F2025" s="102" t="str">
        <f ca="1">IFERROR(__xludf.DUMMYFUNCTION("IMPORTRANGE(H2025,""IDENTITAS UNIT!D9"")"),"#N/A")</f>
        <v>#N/A</v>
      </c>
      <c r="H2025" s="4" t="str">
        <v/>
      </c>
      <c r="I2025" s="4" t="str">
        <v/>
      </c>
    </row>
    <row r="2026" spans="5:9" ht="16.5" hidden="1">
      <c r="E2026" s="4" t="str">
        <v/>
      </c>
      <c r="F2026" s="102" t="str">
        <f ca="1">IFERROR(__xludf.DUMMYFUNCTION("IMPORTRANGE(H2026,""IDENTITAS UNIT!D9"")"),"#N/A")</f>
        <v>#N/A</v>
      </c>
      <c r="H2026" s="4" t="str">
        <v/>
      </c>
      <c r="I2026" s="4" t="str">
        <v/>
      </c>
    </row>
    <row r="2027" spans="5:9" ht="16.5" hidden="1">
      <c r="E2027" s="4" t="str">
        <v/>
      </c>
      <c r="F2027" s="102" t="str">
        <f ca="1">IFERROR(__xludf.DUMMYFUNCTION("IMPORTRANGE(H2027,""IDENTITAS UNIT!D9"")"),"#N/A")</f>
        <v>#N/A</v>
      </c>
      <c r="H2027" s="4" t="str">
        <v/>
      </c>
      <c r="I2027" s="4" t="str">
        <v/>
      </c>
    </row>
    <row r="2028" spans="5:9" ht="16.5" hidden="1">
      <c r="E2028" s="4" t="str">
        <v/>
      </c>
      <c r="F2028" s="102" t="str">
        <f ca="1">IFERROR(__xludf.DUMMYFUNCTION("IMPORTRANGE(H2028,""IDENTITAS UNIT!D9"")"),"#N/A")</f>
        <v>#N/A</v>
      </c>
      <c r="H2028" s="4" t="str">
        <v/>
      </c>
      <c r="I2028" s="4" t="str">
        <v/>
      </c>
    </row>
    <row r="2029" spans="5:9" ht="16.5" hidden="1">
      <c r="E2029" s="4" t="str">
        <v/>
      </c>
      <c r="F2029" s="102" t="str">
        <f ca="1">IFERROR(__xludf.DUMMYFUNCTION("IMPORTRANGE(H2029,""IDENTITAS UNIT!D9"")"),"#N/A")</f>
        <v>#N/A</v>
      </c>
      <c r="H2029" s="4" t="str">
        <v/>
      </c>
      <c r="I2029" s="4" t="str">
        <v/>
      </c>
    </row>
    <row r="2030" spans="5:9" ht="16.5" hidden="1">
      <c r="E2030" s="4" t="str">
        <v/>
      </c>
      <c r="F2030" s="102" t="str">
        <f ca="1">IFERROR(__xludf.DUMMYFUNCTION("IMPORTRANGE(H2030,""IDENTITAS UNIT!D9"")"),"#N/A")</f>
        <v>#N/A</v>
      </c>
      <c r="H2030" s="4" t="str">
        <v/>
      </c>
      <c r="I2030" s="4" t="str">
        <v/>
      </c>
    </row>
    <row r="2031" spans="5:9" ht="16.5" hidden="1">
      <c r="E2031" s="4" t="str">
        <v/>
      </c>
      <c r="F2031" s="102" t="str">
        <f ca="1">IFERROR(__xludf.DUMMYFUNCTION("IMPORTRANGE(H2031,""IDENTITAS UNIT!D9"")"),"#N/A")</f>
        <v>#N/A</v>
      </c>
      <c r="H2031" s="4" t="str">
        <v/>
      </c>
      <c r="I2031" s="4" t="str">
        <v/>
      </c>
    </row>
    <row r="2032" spans="5:9" ht="16.5" hidden="1">
      <c r="E2032" s="4" t="str">
        <v/>
      </c>
      <c r="F2032" s="102" t="str">
        <f ca="1">IFERROR(__xludf.DUMMYFUNCTION("IMPORTRANGE(H2032,""IDENTITAS UNIT!D9"")"),"#N/A")</f>
        <v>#N/A</v>
      </c>
      <c r="H2032" s="4" t="str">
        <v/>
      </c>
      <c r="I2032" s="4" t="str">
        <v/>
      </c>
    </row>
    <row r="2033" spans="5:9" ht="16.5" hidden="1">
      <c r="E2033" s="4" t="str">
        <v/>
      </c>
      <c r="F2033" s="102" t="str">
        <f ca="1">IFERROR(__xludf.DUMMYFUNCTION("IMPORTRANGE(H2033,""IDENTITAS UNIT!D9"")"),"#N/A")</f>
        <v>#N/A</v>
      </c>
      <c r="H2033" s="4" t="str">
        <v/>
      </c>
      <c r="I2033" s="4" t="str">
        <v/>
      </c>
    </row>
    <row r="2034" spans="5:9" ht="16.5" hidden="1">
      <c r="E2034" s="4" t="str">
        <v/>
      </c>
      <c r="F2034" s="102" t="str">
        <f ca="1">IFERROR(__xludf.DUMMYFUNCTION("IMPORTRANGE(H2034,""IDENTITAS UNIT!D9"")"),"#N/A")</f>
        <v>#N/A</v>
      </c>
      <c r="H2034" s="4" t="str">
        <v/>
      </c>
      <c r="I2034" s="4" t="str">
        <v/>
      </c>
    </row>
    <row r="2035" spans="5:9" ht="16.5" hidden="1">
      <c r="E2035" s="4" t="str">
        <v/>
      </c>
      <c r="F2035" s="102" t="str">
        <f ca="1">IFERROR(__xludf.DUMMYFUNCTION("IMPORTRANGE(H2035,""IDENTITAS UNIT!D9"")"),"#N/A")</f>
        <v>#N/A</v>
      </c>
      <c r="H2035" s="4" t="str">
        <v/>
      </c>
      <c r="I2035" s="4" t="str">
        <v/>
      </c>
    </row>
    <row r="2036" spans="5:9" ht="16.5" hidden="1">
      <c r="E2036" s="4" t="str">
        <v/>
      </c>
      <c r="F2036" s="102" t="str">
        <f ca="1">IFERROR(__xludf.DUMMYFUNCTION("IMPORTRANGE(H2036,""IDENTITAS UNIT!D9"")"),"#N/A")</f>
        <v>#N/A</v>
      </c>
      <c r="H2036" s="4" t="str">
        <v/>
      </c>
      <c r="I2036" s="4" t="str">
        <v/>
      </c>
    </row>
    <row r="2037" spans="5:9" ht="16.5" hidden="1">
      <c r="E2037" s="4" t="str">
        <v/>
      </c>
      <c r="F2037" s="102" t="str">
        <f ca="1">IFERROR(__xludf.DUMMYFUNCTION("IMPORTRANGE(H2037,""IDENTITAS UNIT!D9"")"),"#N/A")</f>
        <v>#N/A</v>
      </c>
      <c r="H2037" s="4" t="str">
        <v/>
      </c>
      <c r="I2037" s="4" t="str">
        <v/>
      </c>
    </row>
    <row r="2038" spans="5:9" ht="16.5" hidden="1">
      <c r="E2038" s="4" t="str">
        <v/>
      </c>
      <c r="F2038" s="102" t="str">
        <f ca="1">IFERROR(__xludf.DUMMYFUNCTION("IMPORTRANGE(H2038,""IDENTITAS UNIT!D9"")"),"#N/A")</f>
        <v>#N/A</v>
      </c>
      <c r="H2038" s="4" t="str">
        <v/>
      </c>
      <c r="I2038" s="4" t="str">
        <v/>
      </c>
    </row>
    <row r="2039" spans="5:9" ht="16.5" hidden="1">
      <c r="E2039" s="4" t="str">
        <v/>
      </c>
      <c r="F2039" s="102" t="str">
        <f ca="1">IFERROR(__xludf.DUMMYFUNCTION("IMPORTRANGE(H2039,""IDENTITAS UNIT!D9"")"),"#N/A")</f>
        <v>#N/A</v>
      </c>
      <c r="H2039" s="4" t="str">
        <v/>
      </c>
      <c r="I2039" s="4" t="str">
        <v/>
      </c>
    </row>
    <row r="2040" spans="5:9" ht="16.5" hidden="1">
      <c r="E2040" s="4" t="str">
        <v/>
      </c>
      <c r="F2040" s="102" t="str">
        <f ca="1">IFERROR(__xludf.DUMMYFUNCTION("IMPORTRANGE(H2040,""IDENTITAS UNIT!D9"")"),"#N/A")</f>
        <v>#N/A</v>
      </c>
      <c r="H2040" s="4" t="str">
        <v/>
      </c>
      <c r="I2040" s="4" t="str">
        <v/>
      </c>
    </row>
    <row r="2041" spans="5:9" ht="16.5" hidden="1">
      <c r="E2041" s="4" t="str">
        <v/>
      </c>
      <c r="F2041" s="102" t="str">
        <f ca="1">IFERROR(__xludf.DUMMYFUNCTION("IMPORTRANGE(H2041,""IDENTITAS UNIT!D9"")"),"#N/A")</f>
        <v>#N/A</v>
      </c>
      <c r="H2041" s="4" t="str">
        <v/>
      </c>
      <c r="I2041" s="4" t="str">
        <v/>
      </c>
    </row>
    <row r="2042" spans="5:9" ht="16.5" hidden="1">
      <c r="E2042" s="4" t="str">
        <v/>
      </c>
      <c r="F2042" s="102" t="str">
        <f ca="1">IFERROR(__xludf.DUMMYFUNCTION("IMPORTRANGE(H2042,""IDENTITAS UNIT!D9"")"),"#N/A")</f>
        <v>#N/A</v>
      </c>
      <c r="H2042" s="4" t="str">
        <v/>
      </c>
      <c r="I2042" s="4" t="str">
        <v/>
      </c>
    </row>
    <row r="2043" spans="5:9" ht="16.5" hidden="1">
      <c r="E2043" s="4" t="str">
        <v/>
      </c>
      <c r="F2043" s="102" t="str">
        <f ca="1">IFERROR(__xludf.DUMMYFUNCTION("IMPORTRANGE(H2043,""IDENTITAS UNIT!D9"")"),"#N/A")</f>
        <v>#N/A</v>
      </c>
      <c r="H2043" s="4" t="str">
        <v/>
      </c>
      <c r="I2043" s="4" t="str">
        <v/>
      </c>
    </row>
    <row r="2044" spans="5:9" ht="16.5" hidden="1">
      <c r="E2044" s="4" t="str">
        <v/>
      </c>
      <c r="F2044" s="102" t="str">
        <f ca="1">IFERROR(__xludf.DUMMYFUNCTION("IMPORTRANGE(H2044,""IDENTITAS UNIT!D9"")"),"#N/A")</f>
        <v>#N/A</v>
      </c>
      <c r="H2044" s="4" t="str">
        <v/>
      </c>
      <c r="I2044" s="4" t="str">
        <v/>
      </c>
    </row>
    <row r="2045" spans="5:9" ht="16.5" hidden="1">
      <c r="E2045" s="4" t="str">
        <v/>
      </c>
      <c r="F2045" s="102" t="str">
        <f ca="1">IFERROR(__xludf.DUMMYFUNCTION("IMPORTRANGE(H2045,""IDENTITAS UNIT!D9"")"),"#N/A")</f>
        <v>#N/A</v>
      </c>
      <c r="H2045" s="4" t="str">
        <v/>
      </c>
      <c r="I2045" s="4" t="str">
        <v/>
      </c>
    </row>
    <row r="2046" spans="5:9" ht="16.5" hidden="1">
      <c r="E2046" s="4" t="str">
        <v/>
      </c>
      <c r="F2046" s="102" t="str">
        <f ca="1">IFERROR(__xludf.DUMMYFUNCTION("IMPORTRANGE(H2046,""IDENTITAS UNIT!D9"")"),"#N/A")</f>
        <v>#N/A</v>
      </c>
      <c r="H2046" s="4" t="str">
        <v/>
      </c>
      <c r="I2046" s="4" t="str">
        <v/>
      </c>
    </row>
    <row r="2047" spans="5:9" ht="16.5" hidden="1">
      <c r="E2047" s="4" t="str">
        <v/>
      </c>
      <c r="F2047" s="102" t="str">
        <f ca="1">IFERROR(__xludf.DUMMYFUNCTION("IMPORTRANGE(H2047,""IDENTITAS UNIT!D9"")"),"#N/A")</f>
        <v>#N/A</v>
      </c>
      <c r="H2047" s="4" t="str">
        <v/>
      </c>
      <c r="I2047" s="4" t="str">
        <v/>
      </c>
    </row>
    <row r="2048" spans="5:9" ht="16.5" hidden="1">
      <c r="E2048" s="4" t="str">
        <v/>
      </c>
      <c r="F2048" s="102" t="str">
        <f ca="1">IFERROR(__xludf.DUMMYFUNCTION("IMPORTRANGE(H2048,""IDENTITAS UNIT!D9"")"),"#N/A")</f>
        <v>#N/A</v>
      </c>
      <c r="H2048" s="4" t="str">
        <v/>
      </c>
      <c r="I2048" s="4" t="str">
        <v/>
      </c>
    </row>
    <row r="2049" spans="5:9" ht="16.5" hidden="1">
      <c r="E2049" s="4" t="str">
        <v/>
      </c>
      <c r="F2049" s="102" t="str">
        <f ca="1">IFERROR(__xludf.DUMMYFUNCTION("IMPORTRANGE(H2049,""IDENTITAS UNIT!D9"")"),"#N/A")</f>
        <v>#N/A</v>
      </c>
      <c r="H2049" s="4" t="str">
        <v/>
      </c>
      <c r="I2049" s="4" t="str">
        <v/>
      </c>
    </row>
    <row r="2050" spans="5:9" ht="16.5" hidden="1">
      <c r="E2050" s="4" t="str">
        <v/>
      </c>
      <c r="F2050" s="102" t="str">
        <f ca="1">IFERROR(__xludf.DUMMYFUNCTION("IMPORTRANGE(H2050,""IDENTITAS UNIT!D9"")"),"#N/A")</f>
        <v>#N/A</v>
      </c>
      <c r="H2050" s="4" t="str">
        <v/>
      </c>
      <c r="I2050" s="4" t="str">
        <v/>
      </c>
    </row>
    <row r="2051" spans="5:9" ht="16.5" hidden="1">
      <c r="E2051" s="4" t="str">
        <v/>
      </c>
      <c r="F2051" s="102" t="str">
        <f ca="1">IFERROR(__xludf.DUMMYFUNCTION("IMPORTRANGE(H2051,""IDENTITAS UNIT!D9"")"),"#N/A")</f>
        <v>#N/A</v>
      </c>
      <c r="H2051" s="4" t="str">
        <v/>
      </c>
      <c r="I2051" s="4" t="str">
        <v/>
      </c>
    </row>
    <row r="2052" spans="5:9" ht="16.5" hidden="1">
      <c r="E2052" s="4" t="str">
        <v/>
      </c>
      <c r="F2052" s="102" t="str">
        <f ca="1">IFERROR(__xludf.DUMMYFUNCTION("IMPORTRANGE(H2052,""IDENTITAS UNIT!D9"")"),"#N/A")</f>
        <v>#N/A</v>
      </c>
      <c r="H2052" s="4" t="str">
        <v/>
      </c>
      <c r="I2052" s="4" t="str">
        <v/>
      </c>
    </row>
    <row r="2053" spans="5:9" ht="16.5" hidden="1">
      <c r="E2053" s="4" t="str">
        <v/>
      </c>
      <c r="F2053" s="102" t="str">
        <f ca="1">IFERROR(__xludf.DUMMYFUNCTION("IMPORTRANGE(H2053,""IDENTITAS UNIT!D9"")"),"#N/A")</f>
        <v>#N/A</v>
      </c>
      <c r="H2053" s="4" t="str">
        <v/>
      </c>
      <c r="I2053" s="4" t="str">
        <v/>
      </c>
    </row>
    <row r="2054" spans="5:9" ht="16.5" hidden="1">
      <c r="E2054" s="4" t="str">
        <v/>
      </c>
      <c r="F2054" s="102" t="str">
        <f ca="1">IFERROR(__xludf.DUMMYFUNCTION("IMPORTRANGE(H2054,""IDENTITAS UNIT!D9"")"),"#N/A")</f>
        <v>#N/A</v>
      </c>
      <c r="H2054" s="4" t="str">
        <v/>
      </c>
      <c r="I2054" s="4" t="str">
        <v/>
      </c>
    </row>
    <row r="2055" spans="5:9" ht="16.5" hidden="1">
      <c r="E2055" s="4" t="str">
        <v/>
      </c>
      <c r="F2055" s="102" t="str">
        <f ca="1">IFERROR(__xludf.DUMMYFUNCTION("IMPORTRANGE(H2055,""IDENTITAS UNIT!D9"")"),"#N/A")</f>
        <v>#N/A</v>
      </c>
      <c r="H2055" s="4" t="str">
        <v/>
      </c>
      <c r="I2055" s="4" t="str">
        <v/>
      </c>
    </row>
    <row r="2056" spans="5:9" ht="16.5" hidden="1">
      <c r="E2056" s="4" t="str">
        <v/>
      </c>
      <c r="F2056" s="102" t="str">
        <f ca="1">IFERROR(__xludf.DUMMYFUNCTION("IMPORTRANGE(H2056,""IDENTITAS UNIT!D9"")"),"#N/A")</f>
        <v>#N/A</v>
      </c>
      <c r="H2056" s="4" t="str">
        <v/>
      </c>
      <c r="I2056" s="4" t="str">
        <v/>
      </c>
    </row>
    <row r="2057" spans="5:9" ht="16.5" hidden="1">
      <c r="E2057" s="4" t="str">
        <v/>
      </c>
      <c r="F2057" s="102" t="str">
        <f ca="1">IFERROR(__xludf.DUMMYFUNCTION("IMPORTRANGE(H2057,""IDENTITAS UNIT!D9"")"),"#N/A")</f>
        <v>#N/A</v>
      </c>
      <c r="H2057" s="4" t="str">
        <v/>
      </c>
      <c r="I2057" s="4" t="str">
        <v/>
      </c>
    </row>
    <row r="2058" spans="5:9" ht="16.5" hidden="1">
      <c r="E2058" s="4" t="str">
        <v/>
      </c>
      <c r="F2058" s="102" t="str">
        <f ca="1">IFERROR(__xludf.DUMMYFUNCTION("IMPORTRANGE(H2058,""IDENTITAS UNIT!D9"")"),"#N/A")</f>
        <v>#N/A</v>
      </c>
      <c r="H2058" s="4" t="str">
        <v/>
      </c>
      <c r="I2058" s="4" t="str">
        <v/>
      </c>
    </row>
    <row r="2059" spans="5:9" ht="16.5" hidden="1">
      <c r="E2059" s="4" t="str">
        <v/>
      </c>
      <c r="F2059" s="102" t="str">
        <f ca="1">IFERROR(__xludf.DUMMYFUNCTION("IMPORTRANGE(H2059,""IDENTITAS UNIT!D9"")"),"#N/A")</f>
        <v>#N/A</v>
      </c>
      <c r="H2059" s="4" t="str">
        <v/>
      </c>
      <c r="I2059" s="4" t="str">
        <v/>
      </c>
    </row>
    <row r="2060" spans="5:9" ht="16.5" hidden="1">
      <c r="E2060" s="4" t="str">
        <v/>
      </c>
      <c r="F2060" s="102" t="str">
        <f ca="1">IFERROR(__xludf.DUMMYFUNCTION("IMPORTRANGE(H2060,""IDENTITAS UNIT!D9"")"),"#N/A")</f>
        <v>#N/A</v>
      </c>
      <c r="H2060" s="4" t="str">
        <v/>
      </c>
      <c r="I2060" s="4" t="str">
        <v/>
      </c>
    </row>
    <row r="2061" spans="5:9" ht="16.5" hidden="1">
      <c r="E2061" s="4" t="str">
        <v/>
      </c>
      <c r="F2061" s="102" t="str">
        <f ca="1">IFERROR(__xludf.DUMMYFUNCTION("IMPORTRANGE(H2061,""IDENTITAS UNIT!D9"")"),"#N/A")</f>
        <v>#N/A</v>
      </c>
      <c r="H2061" s="4" t="str">
        <v/>
      </c>
      <c r="I2061" s="4" t="str">
        <v/>
      </c>
    </row>
    <row r="2062" spans="5:9" ht="16.5" hidden="1">
      <c r="E2062" s="4" t="str">
        <v/>
      </c>
      <c r="F2062" s="102" t="str">
        <f ca="1">IFERROR(__xludf.DUMMYFUNCTION("IMPORTRANGE(H2062,""IDENTITAS UNIT!D9"")"),"#N/A")</f>
        <v>#N/A</v>
      </c>
      <c r="H2062" s="4" t="str">
        <v/>
      </c>
      <c r="I2062" s="4" t="str">
        <v/>
      </c>
    </row>
    <row r="2063" spans="5:9" ht="16.5" hidden="1">
      <c r="E2063" s="4" t="str">
        <v/>
      </c>
      <c r="F2063" s="102" t="str">
        <f ca="1">IFERROR(__xludf.DUMMYFUNCTION("IMPORTRANGE(H2063,""IDENTITAS UNIT!D9"")"),"#N/A")</f>
        <v>#N/A</v>
      </c>
      <c r="H2063" s="4" t="str">
        <v/>
      </c>
      <c r="I2063" s="4" t="str">
        <v/>
      </c>
    </row>
    <row r="2064" spans="5:9" ht="16.5" hidden="1">
      <c r="E2064" s="4" t="str">
        <v/>
      </c>
      <c r="F2064" s="102" t="str">
        <f ca="1">IFERROR(__xludf.DUMMYFUNCTION("IMPORTRANGE(H2064,""IDENTITAS UNIT!D9"")"),"#N/A")</f>
        <v>#N/A</v>
      </c>
      <c r="H2064" s="4" t="str">
        <v/>
      </c>
      <c r="I2064" s="4" t="str">
        <v/>
      </c>
    </row>
    <row r="2065" spans="5:9" ht="16.5" hidden="1">
      <c r="E2065" s="4" t="str">
        <v/>
      </c>
      <c r="F2065" s="102" t="str">
        <f ca="1">IFERROR(__xludf.DUMMYFUNCTION("IMPORTRANGE(H2065,""IDENTITAS UNIT!D9"")"),"#N/A")</f>
        <v>#N/A</v>
      </c>
      <c r="H2065" s="4" t="str">
        <v/>
      </c>
      <c r="I2065" s="4" t="str">
        <v/>
      </c>
    </row>
    <row r="2066" spans="5:9" ht="16.5" hidden="1">
      <c r="E2066" s="4" t="str">
        <v/>
      </c>
      <c r="F2066" s="102" t="str">
        <f ca="1">IFERROR(__xludf.DUMMYFUNCTION("IMPORTRANGE(H2066,""IDENTITAS UNIT!D9"")"),"#N/A")</f>
        <v>#N/A</v>
      </c>
      <c r="H2066" s="4" t="str">
        <v/>
      </c>
      <c r="I2066" s="4" t="str">
        <v/>
      </c>
    </row>
    <row r="2067" spans="5:9" ht="16.5" hidden="1">
      <c r="E2067" s="4" t="str">
        <v/>
      </c>
      <c r="F2067" s="102" t="str">
        <f ca="1">IFERROR(__xludf.DUMMYFUNCTION("IMPORTRANGE(H2067,""IDENTITAS UNIT!D9"")"),"#N/A")</f>
        <v>#N/A</v>
      </c>
      <c r="H2067" s="4" t="str">
        <v/>
      </c>
      <c r="I2067" s="4" t="str">
        <v/>
      </c>
    </row>
    <row r="2068" spans="5:9" ht="16.5" hidden="1">
      <c r="E2068" s="4" t="str">
        <v/>
      </c>
      <c r="F2068" s="102" t="str">
        <f ca="1">IFERROR(__xludf.DUMMYFUNCTION("IMPORTRANGE(H2068,""IDENTITAS UNIT!D9"")"),"#N/A")</f>
        <v>#N/A</v>
      </c>
      <c r="H2068" s="4" t="str">
        <v/>
      </c>
      <c r="I2068" s="4" t="str">
        <v/>
      </c>
    </row>
    <row r="2069" spans="5:9" ht="16.5" hidden="1">
      <c r="E2069" s="4" t="str">
        <v/>
      </c>
      <c r="F2069" s="102" t="str">
        <f ca="1">IFERROR(__xludf.DUMMYFUNCTION("IMPORTRANGE(H2069,""IDENTITAS UNIT!D9"")"),"#N/A")</f>
        <v>#N/A</v>
      </c>
      <c r="H2069" s="4" t="str">
        <v/>
      </c>
      <c r="I2069" s="4" t="str">
        <v/>
      </c>
    </row>
    <row r="2070" spans="5:9" ht="16.5" hidden="1">
      <c r="E2070" s="4" t="str">
        <v/>
      </c>
      <c r="F2070" s="102" t="str">
        <f ca="1">IFERROR(__xludf.DUMMYFUNCTION("IMPORTRANGE(H2070,""IDENTITAS UNIT!D9"")"),"#N/A")</f>
        <v>#N/A</v>
      </c>
      <c r="H2070" s="4" t="str">
        <v/>
      </c>
      <c r="I2070" s="4" t="str">
        <v/>
      </c>
    </row>
    <row r="2071" spans="5:9" ht="16.5" hidden="1">
      <c r="E2071" s="4" t="str">
        <v/>
      </c>
      <c r="F2071" s="102" t="str">
        <f ca="1">IFERROR(__xludf.DUMMYFUNCTION("IMPORTRANGE(H2071,""IDENTITAS UNIT!D9"")"),"#N/A")</f>
        <v>#N/A</v>
      </c>
      <c r="H2071" s="4" t="str">
        <v/>
      </c>
      <c r="I2071" s="4" t="str">
        <v/>
      </c>
    </row>
    <row r="2072" spans="5:9" ht="16.5" hidden="1">
      <c r="E2072" s="4" t="str">
        <v/>
      </c>
      <c r="F2072" s="102" t="str">
        <f ca="1">IFERROR(__xludf.DUMMYFUNCTION("IMPORTRANGE(H2072,""IDENTITAS UNIT!D9"")"),"#N/A")</f>
        <v>#N/A</v>
      </c>
      <c r="H2072" s="4" t="str">
        <v/>
      </c>
      <c r="I2072" s="4" t="str">
        <v/>
      </c>
    </row>
    <row r="2073" spans="5:9" ht="16.5" hidden="1">
      <c r="E2073" s="4" t="str">
        <v/>
      </c>
      <c r="F2073" s="102" t="str">
        <f ca="1">IFERROR(__xludf.DUMMYFUNCTION("IMPORTRANGE(H2073,""IDENTITAS UNIT!D9"")"),"#N/A")</f>
        <v>#N/A</v>
      </c>
      <c r="H2073" s="4" t="str">
        <v/>
      </c>
      <c r="I2073" s="4" t="str">
        <v/>
      </c>
    </row>
    <row r="2074" spans="5:9" ht="16.5" hidden="1">
      <c r="E2074" s="4" t="str">
        <v/>
      </c>
      <c r="F2074" s="102" t="str">
        <f ca="1">IFERROR(__xludf.DUMMYFUNCTION("IMPORTRANGE(H2074,""IDENTITAS UNIT!D9"")"),"#N/A")</f>
        <v>#N/A</v>
      </c>
      <c r="H2074" s="4" t="str">
        <v/>
      </c>
      <c r="I2074" s="4" t="str">
        <v/>
      </c>
    </row>
    <row r="2075" spans="5:9" ht="16.5" hidden="1">
      <c r="E2075" s="4" t="str">
        <v/>
      </c>
      <c r="F2075" s="102" t="str">
        <f ca="1">IFERROR(__xludf.DUMMYFUNCTION("IMPORTRANGE(H2075,""IDENTITAS UNIT!D9"")"),"#N/A")</f>
        <v>#N/A</v>
      </c>
      <c r="H2075" s="4" t="str">
        <v/>
      </c>
      <c r="I2075" s="4" t="str">
        <v/>
      </c>
    </row>
    <row r="2076" spans="5:9" ht="16.5" hidden="1">
      <c r="E2076" s="4" t="str">
        <v/>
      </c>
      <c r="F2076" s="102" t="str">
        <f ca="1">IFERROR(__xludf.DUMMYFUNCTION("IMPORTRANGE(H2076,""IDENTITAS UNIT!D9"")"),"#N/A")</f>
        <v>#N/A</v>
      </c>
      <c r="H2076" s="4" t="str">
        <v/>
      </c>
      <c r="I2076" s="4" t="str">
        <v/>
      </c>
    </row>
    <row r="2077" spans="5:9" ht="16.5" hidden="1">
      <c r="E2077" s="4" t="str">
        <v/>
      </c>
      <c r="F2077" s="102" t="str">
        <f ca="1">IFERROR(__xludf.DUMMYFUNCTION("IMPORTRANGE(H2077,""IDENTITAS UNIT!D9"")"),"#N/A")</f>
        <v>#N/A</v>
      </c>
      <c r="H2077" s="4" t="str">
        <v/>
      </c>
      <c r="I2077" s="4" t="str">
        <v/>
      </c>
    </row>
    <row r="2078" spans="5:9" ht="16.5" hidden="1">
      <c r="E2078" s="4" t="str">
        <v/>
      </c>
      <c r="F2078" s="102" t="str">
        <f ca="1">IFERROR(__xludf.DUMMYFUNCTION("IMPORTRANGE(H2078,""IDENTITAS UNIT!D9"")"),"#N/A")</f>
        <v>#N/A</v>
      </c>
      <c r="H2078" s="4" t="str">
        <v/>
      </c>
      <c r="I2078" s="4" t="str">
        <v/>
      </c>
    </row>
    <row r="2079" spans="5:9" ht="16.5" hidden="1">
      <c r="E2079" s="4" t="str">
        <v/>
      </c>
      <c r="F2079" s="102" t="str">
        <f ca="1">IFERROR(__xludf.DUMMYFUNCTION("IMPORTRANGE(H2079,""IDENTITAS UNIT!D9"")"),"#N/A")</f>
        <v>#N/A</v>
      </c>
      <c r="H2079" s="4" t="str">
        <v/>
      </c>
      <c r="I2079" s="4" t="str">
        <v/>
      </c>
    </row>
    <row r="2080" spans="5:9" ht="16.5" hidden="1">
      <c r="E2080" s="4" t="str">
        <v/>
      </c>
      <c r="F2080" s="102" t="str">
        <f ca="1">IFERROR(__xludf.DUMMYFUNCTION("IMPORTRANGE(H2080,""IDENTITAS UNIT!D9"")"),"#N/A")</f>
        <v>#N/A</v>
      </c>
      <c r="H2080" s="4" t="str">
        <v/>
      </c>
      <c r="I2080" s="4" t="str">
        <v/>
      </c>
    </row>
    <row r="2081" spans="5:9" ht="16.5" hidden="1">
      <c r="E2081" s="4" t="str">
        <v/>
      </c>
      <c r="F2081" s="102" t="str">
        <f ca="1">IFERROR(__xludf.DUMMYFUNCTION("IMPORTRANGE(H2081,""IDENTITAS UNIT!D9"")"),"#N/A")</f>
        <v>#N/A</v>
      </c>
      <c r="H2081" s="4" t="str">
        <v/>
      </c>
      <c r="I2081" s="4" t="str">
        <v/>
      </c>
    </row>
    <row r="2082" spans="5:9" ht="16.5" hidden="1">
      <c r="E2082" s="4" t="str">
        <v/>
      </c>
      <c r="F2082" s="102" t="str">
        <f ca="1">IFERROR(__xludf.DUMMYFUNCTION("IMPORTRANGE(H2082,""IDENTITAS UNIT!D9"")"),"#N/A")</f>
        <v>#N/A</v>
      </c>
      <c r="H2082" s="4" t="str">
        <v/>
      </c>
      <c r="I2082" s="4" t="str">
        <v/>
      </c>
    </row>
    <row r="2083" spans="5:9" ht="16.5" hidden="1">
      <c r="E2083" s="4" t="str">
        <v/>
      </c>
      <c r="F2083" s="102" t="str">
        <f ca="1">IFERROR(__xludf.DUMMYFUNCTION("IMPORTRANGE(H2083,""IDENTITAS UNIT!D9"")"),"#N/A")</f>
        <v>#N/A</v>
      </c>
      <c r="H2083" s="4" t="str">
        <v/>
      </c>
      <c r="I2083" s="4" t="str">
        <v/>
      </c>
    </row>
    <row r="2084" spans="5:9" ht="16.5" hidden="1">
      <c r="E2084" s="4" t="str">
        <v/>
      </c>
      <c r="F2084" s="102" t="str">
        <f ca="1">IFERROR(__xludf.DUMMYFUNCTION("IMPORTRANGE(H2084,""IDENTITAS UNIT!D9"")"),"#N/A")</f>
        <v>#N/A</v>
      </c>
      <c r="H2084" s="4" t="str">
        <v/>
      </c>
      <c r="I2084" s="4" t="str">
        <v/>
      </c>
    </row>
    <row r="2085" spans="5:9" ht="16.5" hidden="1">
      <c r="E2085" s="4" t="str">
        <v/>
      </c>
      <c r="F2085" s="102" t="str">
        <f ca="1">IFERROR(__xludf.DUMMYFUNCTION("IMPORTRANGE(H2085,""IDENTITAS UNIT!D9"")"),"#N/A")</f>
        <v>#N/A</v>
      </c>
      <c r="H2085" s="4" t="str">
        <v/>
      </c>
      <c r="I2085" s="4" t="str">
        <v/>
      </c>
    </row>
    <row r="2086" spans="5:9" ht="16.5" hidden="1">
      <c r="E2086" s="4" t="str">
        <v/>
      </c>
      <c r="F2086" s="102" t="str">
        <f ca="1">IFERROR(__xludf.DUMMYFUNCTION("IMPORTRANGE(H2086,""IDENTITAS UNIT!D9"")"),"#N/A")</f>
        <v>#N/A</v>
      </c>
      <c r="H2086" s="4" t="str">
        <v/>
      </c>
      <c r="I2086" s="4" t="str">
        <v/>
      </c>
    </row>
    <row r="2087" spans="5:9" ht="16.5" hidden="1">
      <c r="E2087" s="4" t="str">
        <v/>
      </c>
      <c r="F2087" s="102" t="str">
        <f ca="1">IFERROR(__xludf.DUMMYFUNCTION("IMPORTRANGE(H2087,""IDENTITAS UNIT!D9"")"),"#N/A")</f>
        <v>#N/A</v>
      </c>
      <c r="H2087" s="4" t="str">
        <v/>
      </c>
      <c r="I2087" s="4" t="str">
        <v/>
      </c>
    </row>
    <row r="2088" spans="5:9" ht="16.5" hidden="1">
      <c r="E2088" s="4" t="str">
        <v/>
      </c>
      <c r="F2088" s="102" t="str">
        <f ca="1">IFERROR(__xludf.DUMMYFUNCTION("IMPORTRANGE(H2088,""IDENTITAS UNIT!D9"")"),"#N/A")</f>
        <v>#N/A</v>
      </c>
      <c r="H2088" s="4" t="str">
        <v/>
      </c>
      <c r="I2088" s="4" t="str">
        <v/>
      </c>
    </row>
    <row r="2089" spans="5:9" ht="16.5" hidden="1">
      <c r="E2089" s="4" t="str">
        <v/>
      </c>
      <c r="F2089" s="102" t="str">
        <f ca="1">IFERROR(__xludf.DUMMYFUNCTION("IMPORTRANGE(H2089,""IDENTITAS UNIT!D9"")"),"#N/A")</f>
        <v>#N/A</v>
      </c>
      <c r="H2089" s="4" t="str">
        <v/>
      </c>
      <c r="I2089" s="4" t="str">
        <v/>
      </c>
    </row>
    <row r="2090" spans="5:9" ht="16.5" hidden="1">
      <c r="E2090" s="4" t="str">
        <v/>
      </c>
      <c r="F2090" s="102" t="str">
        <f ca="1">IFERROR(__xludf.DUMMYFUNCTION("IMPORTRANGE(H2090,""IDENTITAS UNIT!D9"")"),"#N/A")</f>
        <v>#N/A</v>
      </c>
      <c r="H2090" s="4" t="str">
        <v/>
      </c>
      <c r="I2090" s="4" t="str">
        <v/>
      </c>
    </row>
    <row r="2091" spans="5:9" ht="16.5" hidden="1">
      <c r="E2091" s="4" t="str">
        <v/>
      </c>
      <c r="F2091" s="102" t="str">
        <f ca="1">IFERROR(__xludf.DUMMYFUNCTION("IMPORTRANGE(H2091,""IDENTITAS UNIT!D9"")"),"#N/A")</f>
        <v>#N/A</v>
      </c>
      <c r="H2091" s="4" t="str">
        <v/>
      </c>
      <c r="I2091" s="4" t="str">
        <v/>
      </c>
    </row>
    <row r="2092" spans="5:9" ht="16.5" hidden="1">
      <c r="E2092" s="4" t="str">
        <v/>
      </c>
      <c r="F2092" s="102" t="str">
        <f ca="1">IFERROR(__xludf.DUMMYFUNCTION("IMPORTRANGE(H2092,""IDENTITAS UNIT!D9"")"),"#N/A")</f>
        <v>#N/A</v>
      </c>
      <c r="H2092" s="4" t="str">
        <v/>
      </c>
      <c r="I2092" s="4" t="str">
        <v/>
      </c>
    </row>
    <row r="2093" spans="5:9" ht="16.5" hidden="1">
      <c r="E2093" s="4" t="str">
        <v/>
      </c>
      <c r="F2093" s="102" t="str">
        <f ca="1">IFERROR(__xludf.DUMMYFUNCTION("IMPORTRANGE(H2093,""IDENTITAS UNIT!D9"")"),"#N/A")</f>
        <v>#N/A</v>
      </c>
      <c r="H2093" s="4" t="str">
        <v/>
      </c>
      <c r="I2093" s="4" t="str">
        <v/>
      </c>
    </row>
    <row r="2094" spans="5:9" ht="16.5" hidden="1">
      <c r="E2094" s="4" t="str">
        <v/>
      </c>
      <c r="F2094" s="102" t="str">
        <f ca="1">IFERROR(__xludf.DUMMYFUNCTION("IMPORTRANGE(H2094,""IDENTITAS UNIT!D9"")"),"#N/A")</f>
        <v>#N/A</v>
      </c>
      <c r="H2094" s="4" t="str">
        <v/>
      </c>
      <c r="I2094" s="4" t="str">
        <v/>
      </c>
    </row>
    <row r="2095" spans="5:9" ht="16.5" hidden="1">
      <c r="E2095" s="4" t="str">
        <v/>
      </c>
      <c r="F2095" s="102" t="str">
        <f ca="1">IFERROR(__xludf.DUMMYFUNCTION("IMPORTRANGE(H2095,""IDENTITAS UNIT!D9"")"),"#N/A")</f>
        <v>#N/A</v>
      </c>
      <c r="H2095" s="4" t="str">
        <v/>
      </c>
      <c r="I2095" s="4" t="str">
        <v/>
      </c>
    </row>
    <row r="2096" spans="5:9" ht="16.5" hidden="1">
      <c r="E2096" s="4" t="str">
        <v/>
      </c>
      <c r="F2096" s="102" t="str">
        <f ca="1">IFERROR(__xludf.DUMMYFUNCTION("IMPORTRANGE(H2096,""IDENTITAS UNIT!D9"")"),"#N/A")</f>
        <v>#N/A</v>
      </c>
      <c r="H2096" s="4" t="str">
        <v/>
      </c>
      <c r="I2096" s="4" t="str">
        <v/>
      </c>
    </row>
    <row r="2097" spans="5:9" ht="16.5" hidden="1">
      <c r="E2097" s="4" t="str">
        <v/>
      </c>
      <c r="F2097" s="102" t="str">
        <f ca="1">IFERROR(__xludf.DUMMYFUNCTION("IMPORTRANGE(H2097,""IDENTITAS UNIT!D9"")"),"#N/A")</f>
        <v>#N/A</v>
      </c>
      <c r="H2097" s="4" t="str">
        <v/>
      </c>
      <c r="I2097" s="4" t="str">
        <v/>
      </c>
    </row>
    <row r="2098" spans="5:9" ht="16.5" hidden="1">
      <c r="E2098" s="4" t="str">
        <v/>
      </c>
      <c r="F2098" s="102" t="str">
        <f ca="1">IFERROR(__xludf.DUMMYFUNCTION("IMPORTRANGE(H2098,""IDENTITAS UNIT!D9"")"),"#N/A")</f>
        <v>#N/A</v>
      </c>
      <c r="H2098" s="4" t="str">
        <v/>
      </c>
      <c r="I2098" s="4" t="str">
        <v/>
      </c>
    </row>
    <row r="2099" spans="5:9" ht="16.5" hidden="1">
      <c r="E2099" s="4" t="str">
        <v/>
      </c>
      <c r="F2099" s="102" t="str">
        <f ca="1">IFERROR(__xludf.DUMMYFUNCTION("IMPORTRANGE(H2099,""IDENTITAS UNIT!D9"")"),"#N/A")</f>
        <v>#N/A</v>
      </c>
      <c r="H2099" s="4" t="str">
        <v/>
      </c>
      <c r="I2099" s="4" t="str">
        <v/>
      </c>
    </row>
    <row r="2100" spans="5:9" ht="16.5" hidden="1">
      <c r="E2100" s="4" t="str">
        <v/>
      </c>
      <c r="F2100" s="102" t="str">
        <f ca="1">IFERROR(__xludf.DUMMYFUNCTION("IMPORTRANGE(H2100,""IDENTITAS UNIT!D9"")"),"#N/A")</f>
        <v>#N/A</v>
      </c>
      <c r="H2100" s="4" t="str">
        <v/>
      </c>
      <c r="I2100" s="4" t="str">
        <v/>
      </c>
    </row>
    <row r="2101" spans="5:9" ht="16.5" hidden="1">
      <c r="E2101" s="4" t="str">
        <v/>
      </c>
      <c r="F2101" s="102" t="str">
        <f ca="1">IFERROR(__xludf.DUMMYFUNCTION("IMPORTRANGE(H2101,""IDENTITAS UNIT!D9"")"),"#N/A")</f>
        <v>#N/A</v>
      </c>
      <c r="H2101" s="4" t="str">
        <v/>
      </c>
      <c r="I2101" s="4" t="str">
        <v/>
      </c>
    </row>
    <row r="2102" spans="5:9" ht="16.5" hidden="1">
      <c r="E2102" s="4" t="str">
        <v/>
      </c>
      <c r="F2102" s="102" t="str">
        <f ca="1">IFERROR(__xludf.DUMMYFUNCTION("IMPORTRANGE(H2102,""IDENTITAS UNIT!D9"")"),"#N/A")</f>
        <v>#N/A</v>
      </c>
      <c r="H2102" s="4" t="str">
        <v/>
      </c>
      <c r="I2102" s="4" t="str">
        <v/>
      </c>
    </row>
    <row r="2103" spans="5:9" ht="16.5" hidden="1">
      <c r="E2103" s="4" t="str">
        <v/>
      </c>
      <c r="F2103" s="102" t="str">
        <f ca="1">IFERROR(__xludf.DUMMYFUNCTION("IMPORTRANGE(H2103,""IDENTITAS UNIT!D9"")"),"#N/A")</f>
        <v>#N/A</v>
      </c>
      <c r="H2103" s="4" t="str">
        <v/>
      </c>
      <c r="I2103" s="4" t="str">
        <v/>
      </c>
    </row>
    <row r="2104" spans="5:9" ht="16.5" hidden="1">
      <c r="E2104" s="4" t="str">
        <v/>
      </c>
      <c r="F2104" s="102" t="str">
        <f ca="1">IFERROR(__xludf.DUMMYFUNCTION("IMPORTRANGE(H2104,""IDENTITAS UNIT!D9"")"),"#N/A")</f>
        <v>#N/A</v>
      </c>
      <c r="H2104" s="4" t="str">
        <v/>
      </c>
      <c r="I2104" s="4" t="str">
        <v/>
      </c>
    </row>
    <row r="2105" spans="5:9" ht="16.5" hidden="1">
      <c r="E2105" s="4" t="str">
        <v/>
      </c>
      <c r="F2105" s="102" t="str">
        <f ca="1">IFERROR(__xludf.DUMMYFUNCTION("IMPORTRANGE(H2105,""IDENTITAS UNIT!D9"")"),"#N/A")</f>
        <v>#N/A</v>
      </c>
      <c r="H2105" s="4" t="str">
        <v/>
      </c>
      <c r="I2105" s="4" t="str">
        <v/>
      </c>
    </row>
    <row r="2106" spans="5:9" ht="16.5" hidden="1">
      <c r="E2106" s="4" t="str">
        <v/>
      </c>
      <c r="F2106" s="102" t="str">
        <f ca="1">IFERROR(__xludf.DUMMYFUNCTION("IMPORTRANGE(H2106,""IDENTITAS UNIT!D9"")"),"#N/A")</f>
        <v>#N/A</v>
      </c>
      <c r="H2106" s="4" t="str">
        <v/>
      </c>
      <c r="I2106" s="4" t="str">
        <v/>
      </c>
    </row>
    <row r="2107" spans="5:9" ht="16.5" hidden="1">
      <c r="E2107" s="4" t="str">
        <v/>
      </c>
      <c r="F2107" s="102" t="str">
        <f ca="1">IFERROR(__xludf.DUMMYFUNCTION("IMPORTRANGE(H2107,""IDENTITAS UNIT!D9"")"),"#N/A")</f>
        <v>#N/A</v>
      </c>
      <c r="H2107" s="4" t="str">
        <v/>
      </c>
      <c r="I2107" s="4" t="str">
        <v/>
      </c>
    </row>
    <row r="2108" spans="5:9" ht="16.5" hidden="1">
      <c r="E2108" s="4" t="str">
        <v/>
      </c>
      <c r="F2108" s="102" t="str">
        <f ca="1">IFERROR(__xludf.DUMMYFUNCTION("IMPORTRANGE(H2108,""IDENTITAS UNIT!D9"")"),"#N/A")</f>
        <v>#N/A</v>
      </c>
      <c r="H2108" s="4" t="str">
        <v/>
      </c>
      <c r="I2108" s="4" t="str">
        <v/>
      </c>
    </row>
    <row r="2109" spans="5:9" ht="16.5" hidden="1">
      <c r="E2109" s="4" t="str">
        <v/>
      </c>
      <c r="F2109" s="102" t="str">
        <f ca="1">IFERROR(__xludf.DUMMYFUNCTION("IMPORTRANGE(H2109,""IDENTITAS UNIT!D9"")"),"#N/A")</f>
        <v>#N/A</v>
      </c>
      <c r="H2109" s="4" t="str">
        <v/>
      </c>
      <c r="I2109" s="4" t="str">
        <v/>
      </c>
    </row>
    <row r="2110" spans="5:9" ht="16.5" hidden="1">
      <c r="E2110" s="4" t="str">
        <v/>
      </c>
      <c r="F2110" s="102" t="str">
        <f ca="1">IFERROR(__xludf.DUMMYFUNCTION("IMPORTRANGE(H2110,""IDENTITAS UNIT!D9"")"),"#N/A")</f>
        <v>#N/A</v>
      </c>
      <c r="H2110" s="4" t="str">
        <v/>
      </c>
      <c r="I2110" s="4" t="str">
        <v/>
      </c>
    </row>
    <row r="2111" spans="5:9" ht="16.5" hidden="1">
      <c r="E2111" s="4" t="str">
        <v/>
      </c>
      <c r="F2111" s="102" t="str">
        <f ca="1">IFERROR(__xludf.DUMMYFUNCTION("IMPORTRANGE(H2111,""IDENTITAS UNIT!D9"")"),"#N/A")</f>
        <v>#N/A</v>
      </c>
      <c r="H2111" s="4" t="str">
        <v/>
      </c>
      <c r="I2111" s="4" t="str">
        <v/>
      </c>
    </row>
    <row r="2112" spans="5:9" ht="16.5" hidden="1">
      <c r="E2112" s="4" t="str">
        <v/>
      </c>
      <c r="F2112" s="102" t="str">
        <f ca="1">IFERROR(__xludf.DUMMYFUNCTION("IMPORTRANGE(H2112,""IDENTITAS UNIT!D9"")"),"#N/A")</f>
        <v>#N/A</v>
      </c>
      <c r="H2112" s="4" t="str">
        <v/>
      </c>
      <c r="I2112" s="4" t="str">
        <v/>
      </c>
    </row>
    <row r="2113" spans="5:9" ht="16.5" hidden="1">
      <c r="E2113" s="4" t="str">
        <v/>
      </c>
      <c r="F2113" s="102" t="str">
        <f ca="1">IFERROR(__xludf.DUMMYFUNCTION("IMPORTRANGE(H2113,""IDENTITAS UNIT!D9"")"),"#N/A")</f>
        <v>#N/A</v>
      </c>
      <c r="H2113" s="4" t="str">
        <v/>
      </c>
      <c r="I2113" s="4" t="str">
        <v/>
      </c>
    </row>
    <row r="2114" spans="5:9" ht="16.5" hidden="1">
      <c r="E2114" s="4" t="str">
        <v/>
      </c>
      <c r="F2114" s="102" t="str">
        <f ca="1">IFERROR(__xludf.DUMMYFUNCTION("IMPORTRANGE(H2114,""IDENTITAS UNIT!D9"")"),"#N/A")</f>
        <v>#N/A</v>
      </c>
      <c r="H2114" s="4" t="str">
        <v/>
      </c>
      <c r="I2114" s="4" t="str">
        <v/>
      </c>
    </row>
    <row r="2115" spans="5:9" ht="16.5" hidden="1">
      <c r="E2115" s="4" t="str">
        <v/>
      </c>
      <c r="F2115" s="102" t="str">
        <f ca="1">IFERROR(__xludf.DUMMYFUNCTION("IMPORTRANGE(H2115,""IDENTITAS UNIT!D9"")"),"#N/A")</f>
        <v>#N/A</v>
      </c>
      <c r="H2115" s="4" t="str">
        <v/>
      </c>
      <c r="I2115" s="4" t="str">
        <v/>
      </c>
    </row>
    <row r="2116" spans="5:9" ht="16.5" hidden="1">
      <c r="E2116" s="4" t="str">
        <v/>
      </c>
      <c r="F2116" s="102" t="str">
        <f ca="1">IFERROR(__xludf.DUMMYFUNCTION("IMPORTRANGE(H2116,""IDENTITAS UNIT!D9"")"),"#N/A")</f>
        <v>#N/A</v>
      </c>
      <c r="H2116" s="4" t="str">
        <v/>
      </c>
      <c r="I2116" s="4" t="str">
        <v/>
      </c>
    </row>
    <row r="2117" spans="5:9" ht="16.5" hidden="1">
      <c r="E2117" s="4" t="str">
        <v/>
      </c>
      <c r="F2117" s="102" t="str">
        <f ca="1">IFERROR(__xludf.DUMMYFUNCTION("IMPORTRANGE(H2117,""IDENTITAS UNIT!D9"")"),"#N/A")</f>
        <v>#N/A</v>
      </c>
      <c r="H2117" s="4" t="str">
        <v/>
      </c>
      <c r="I2117" s="4" t="str">
        <v/>
      </c>
    </row>
    <row r="2118" spans="5:9" ht="16.5" hidden="1">
      <c r="E2118" s="4" t="str">
        <v/>
      </c>
      <c r="F2118" s="102" t="str">
        <f ca="1">IFERROR(__xludf.DUMMYFUNCTION("IMPORTRANGE(H2118,""IDENTITAS UNIT!D9"")"),"#N/A")</f>
        <v>#N/A</v>
      </c>
      <c r="H2118" s="4" t="str">
        <v/>
      </c>
      <c r="I2118" s="4" t="str">
        <v/>
      </c>
    </row>
    <row r="2119" spans="5:9" ht="16.5" hidden="1">
      <c r="E2119" s="4" t="str">
        <v/>
      </c>
      <c r="F2119" s="102" t="str">
        <f ca="1">IFERROR(__xludf.DUMMYFUNCTION("IMPORTRANGE(H2119,""IDENTITAS UNIT!D9"")"),"#N/A")</f>
        <v>#N/A</v>
      </c>
      <c r="H2119" s="4" t="str">
        <v/>
      </c>
      <c r="I2119" s="4" t="str">
        <v/>
      </c>
    </row>
    <row r="2120" spans="5:9" ht="16.5" hidden="1">
      <c r="E2120" s="4" t="str">
        <v/>
      </c>
      <c r="F2120" s="102" t="str">
        <f ca="1">IFERROR(__xludf.DUMMYFUNCTION("IMPORTRANGE(H2120,""IDENTITAS UNIT!D9"")"),"#N/A")</f>
        <v>#N/A</v>
      </c>
      <c r="H2120" s="4" t="str">
        <v/>
      </c>
      <c r="I2120" s="4" t="str">
        <v/>
      </c>
    </row>
    <row r="2121" spans="5:9" ht="16.5" hidden="1">
      <c r="E2121" s="4" t="str">
        <v/>
      </c>
      <c r="F2121" s="102" t="str">
        <f ca="1">IFERROR(__xludf.DUMMYFUNCTION("IMPORTRANGE(H2121,""IDENTITAS UNIT!D9"")"),"#N/A")</f>
        <v>#N/A</v>
      </c>
      <c r="H2121" s="4" t="str">
        <v/>
      </c>
      <c r="I2121" s="4" t="str">
        <v/>
      </c>
    </row>
    <row r="2122" spans="5:9" ht="16.5" hidden="1">
      <c r="E2122" s="4" t="str">
        <v/>
      </c>
      <c r="F2122" s="102" t="str">
        <f ca="1">IFERROR(__xludf.DUMMYFUNCTION("IMPORTRANGE(H2122,""IDENTITAS UNIT!D9"")"),"#N/A")</f>
        <v>#N/A</v>
      </c>
      <c r="H2122" s="4" t="str">
        <v/>
      </c>
      <c r="I2122" s="4" t="str">
        <v/>
      </c>
    </row>
    <row r="2123" spans="5:9" ht="16.5" hidden="1">
      <c r="E2123" s="4" t="str">
        <v/>
      </c>
      <c r="F2123" s="102" t="str">
        <f ca="1">IFERROR(__xludf.DUMMYFUNCTION("IMPORTRANGE(H2123,""IDENTITAS UNIT!D9"")"),"#N/A")</f>
        <v>#N/A</v>
      </c>
      <c r="H2123" s="4" t="str">
        <v/>
      </c>
      <c r="I2123" s="4" t="str">
        <v/>
      </c>
    </row>
    <row r="2124" spans="5:9" ht="16.5" hidden="1">
      <c r="E2124" s="4" t="str">
        <v/>
      </c>
      <c r="F2124" s="102" t="str">
        <f ca="1">IFERROR(__xludf.DUMMYFUNCTION("IMPORTRANGE(H2124,""IDENTITAS UNIT!D9"")"),"#N/A")</f>
        <v>#N/A</v>
      </c>
      <c r="H2124" s="4" t="str">
        <v/>
      </c>
      <c r="I2124" s="4" t="str">
        <v/>
      </c>
    </row>
    <row r="2125" spans="5:9" ht="16.5" hidden="1">
      <c r="E2125" s="4" t="str">
        <v/>
      </c>
      <c r="F2125" s="102" t="str">
        <f ca="1">IFERROR(__xludf.DUMMYFUNCTION("IMPORTRANGE(H2125,""IDENTITAS UNIT!D9"")"),"#N/A")</f>
        <v>#N/A</v>
      </c>
      <c r="H2125" s="4" t="str">
        <v/>
      </c>
      <c r="I2125" s="4" t="str">
        <v/>
      </c>
    </row>
    <row r="2126" spans="5:9" ht="16.5" hidden="1">
      <c r="E2126" s="4" t="str">
        <v/>
      </c>
      <c r="F2126" s="102" t="str">
        <f ca="1">IFERROR(__xludf.DUMMYFUNCTION("IMPORTRANGE(H2126,""IDENTITAS UNIT!D9"")"),"#N/A")</f>
        <v>#N/A</v>
      </c>
      <c r="H2126" s="4" t="str">
        <v/>
      </c>
      <c r="I2126" s="4" t="str">
        <v/>
      </c>
    </row>
    <row r="2127" spans="5:9" ht="16.5" hidden="1">
      <c r="E2127" s="4" t="str">
        <v/>
      </c>
      <c r="F2127" s="102" t="str">
        <f ca="1">IFERROR(__xludf.DUMMYFUNCTION("IMPORTRANGE(H2127,""IDENTITAS UNIT!D9"")"),"#N/A")</f>
        <v>#N/A</v>
      </c>
      <c r="H2127" s="4" t="str">
        <v/>
      </c>
      <c r="I2127" s="4" t="str">
        <v/>
      </c>
    </row>
    <row r="2128" spans="5:9" ht="16.5" hidden="1">
      <c r="E2128" s="4" t="str">
        <v/>
      </c>
      <c r="F2128" s="102" t="str">
        <f ca="1">IFERROR(__xludf.DUMMYFUNCTION("IMPORTRANGE(H2128,""IDENTITAS UNIT!D9"")"),"#N/A")</f>
        <v>#N/A</v>
      </c>
      <c r="H2128" s="4" t="str">
        <v/>
      </c>
      <c r="I2128" s="4" t="str">
        <v/>
      </c>
    </row>
    <row r="2129" spans="5:9" ht="16.5" hidden="1">
      <c r="E2129" s="4" t="str">
        <v/>
      </c>
      <c r="F2129" s="102" t="str">
        <f ca="1">IFERROR(__xludf.DUMMYFUNCTION("IMPORTRANGE(H2129,""IDENTITAS UNIT!D9"")"),"#N/A")</f>
        <v>#N/A</v>
      </c>
      <c r="H2129" s="4" t="str">
        <v/>
      </c>
      <c r="I2129" s="4" t="str">
        <v/>
      </c>
    </row>
    <row r="2130" spans="5:9" ht="16.5" hidden="1">
      <c r="E2130" s="4" t="str">
        <v/>
      </c>
      <c r="F2130" s="102" t="str">
        <f ca="1">IFERROR(__xludf.DUMMYFUNCTION("IMPORTRANGE(H2130,""IDENTITAS UNIT!D9"")"),"#N/A")</f>
        <v>#N/A</v>
      </c>
      <c r="H2130" s="4" t="str">
        <v/>
      </c>
      <c r="I2130" s="4" t="str">
        <v/>
      </c>
    </row>
    <row r="2131" spans="5:9" ht="16.5" hidden="1">
      <c r="E2131" s="4" t="str">
        <v/>
      </c>
      <c r="F2131" s="102" t="str">
        <f ca="1">IFERROR(__xludf.DUMMYFUNCTION("IMPORTRANGE(H2131,""IDENTITAS UNIT!D9"")"),"#N/A")</f>
        <v>#N/A</v>
      </c>
      <c r="H2131" s="4" t="str">
        <v/>
      </c>
      <c r="I2131" s="4" t="str">
        <v/>
      </c>
    </row>
    <row r="2132" spans="5:9" ht="16.5" hidden="1">
      <c r="E2132" s="4" t="str">
        <v/>
      </c>
      <c r="F2132" s="102" t="str">
        <f ca="1">IFERROR(__xludf.DUMMYFUNCTION("IMPORTRANGE(H2132,""IDENTITAS UNIT!D9"")"),"#N/A")</f>
        <v>#N/A</v>
      </c>
      <c r="H2132" s="4" t="str">
        <v/>
      </c>
      <c r="I2132" s="4" t="str">
        <v/>
      </c>
    </row>
    <row r="2133" spans="5:9" ht="16.5" hidden="1">
      <c r="E2133" s="4" t="str">
        <v/>
      </c>
      <c r="F2133" s="102" t="str">
        <f ca="1">IFERROR(__xludf.DUMMYFUNCTION("IMPORTRANGE(H2133,""IDENTITAS UNIT!D9"")"),"#N/A")</f>
        <v>#N/A</v>
      </c>
      <c r="H2133" s="4" t="str">
        <v/>
      </c>
      <c r="I2133" s="4" t="str">
        <v/>
      </c>
    </row>
    <row r="2134" spans="5:9" ht="16.5" hidden="1">
      <c r="E2134" s="4" t="str">
        <v/>
      </c>
      <c r="F2134" s="102" t="str">
        <f ca="1">IFERROR(__xludf.DUMMYFUNCTION("IMPORTRANGE(H2134,""IDENTITAS UNIT!D9"")"),"#N/A")</f>
        <v>#N/A</v>
      </c>
      <c r="H2134" s="4" t="str">
        <v/>
      </c>
      <c r="I2134" s="4" t="str">
        <v/>
      </c>
    </row>
    <row r="2135" spans="5:9" ht="16.5" hidden="1">
      <c r="E2135" s="4" t="str">
        <v/>
      </c>
      <c r="F2135" s="102" t="str">
        <f ca="1">IFERROR(__xludf.DUMMYFUNCTION("IMPORTRANGE(H2135,""IDENTITAS UNIT!D9"")"),"#N/A")</f>
        <v>#N/A</v>
      </c>
      <c r="H2135" s="4" t="str">
        <v/>
      </c>
      <c r="I2135" s="4" t="str">
        <v/>
      </c>
    </row>
    <row r="2136" spans="5:9" ht="16.5" hidden="1">
      <c r="E2136" s="4" t="str">
        <v/>
      </c>
      <c r="F2136" s="102" t="str">
        <f ca="1">IFERROR(__xludf.DUMMYFUNCTION("IMPORTRANGE(H2136,""IDENTITAS UNIT!D9"")"),"#N/A")</f>
        <v>#N/A</v>
      </c>
      <c r="H2136" s="4" t="str">
        <v/>
      </c>
      <c r="I2136" s="4" t="str">
        <v/>
      </c>
    </row>
    <row r="2137" spans="5:9" ht="16.5" hidden="1">
      <c r="E2137" s="4" t="str">
        <v/>
      </c>
      <c r="F2137" s="102" t="str">
        <f ca="1">IFERROR(__xludf.DUMMYFUNCTION("IMPORTRANGE(H2137,""IDENTITAS UNIT!D9"")"),"#N/A")</f>
        <v>#N/A</v>
      </c>
      <c r="H2137" s="4" t="str">
        <v/>
      </c>
      <c r="I2137" s="4" t="str">
        <v/>
      </c>
    </row>
    <row r="2138" spans="5:9" ht="16.5" hidden="1">
      <c r="E2138" s="4" t="str">
        <v/>
      </c>
      <c r="F2138" s="102" t="str">
        <f ca="1">IFERROR(__xludf.DUMMYFUNCTION("IMPORTRANGE(H2138,""IDENTITAS UNIT!D9"")"),"#N/A")</f>
        <v>#N/A</v>
      </c>
      <c r="H2138" s="4" t="str">
        <v/>
      </c>
      <c r="I2138" s="4" t="str">
        <v/>
      </c>
    </row>
    <row r="2139" spans="5:9" ht="16.5" hidden="1">
      <c r="E2139" s="4" t="str">
        <v/>
      </c>
      <c r="F2139" s="102" t="str">
        <f ca="1">IFERROR(__xludf.DUMMYFUNCTION("IMPORTRANGE(H2139,""IDENTITAS UNIT!D9"")"),"#N/A")</f>
        <v>#N/A</v>
      </c>
      <c r="H2139" s="4" t="str">
        <v/>
      </c>
      <c r="I2139" s="4" t="str">
        <v/>
      </c>
    </row>
    <row r="2140" spans="5:9" ht="16.5" hidden="1">
      <c r="E2140" s="4" t="str">
        <v/>
      </c>
      <c r="F2140" s="102" t="str">
        <f ca="1">IFERROR(__xludf.DUMMYFUNCTION("IMPORTRANGE(H2140,""IDENTITAS UNIT!D9"")"),"#N/A")</f>
        <v>#N/A</v>
      </c>
      <c r="H2140" s="4" t="str">
        <v/>
      </c>
      <c r="I2140" s="4" t="str">
        <v/>
      </c>
    </row>
    <row r="2141" spans="5:9" ht="16.5" hidden="1">
      <c r="E2141" s="4" t="str">
        <v/>
      </c>
      <c r="F2141" s="102" t="str">
        <f ca="1">IFERROR(__xludf.DUMMYFUNCTION("IMPORTRANGE(H2141,""IDENTITAS UNIT!D9"")"),"#N/A")</f>
        <v>#N/A</v>
      </c>
      <c r="H2141" s="4" t="str">
        <v/>
      </c>
      <c r="I2141" s="4" t="str">
        <v/>
      </c>
    </row>
    <row r="2142" spans="5:9" ht="16.5" hidden="1">
      <c r="E2142" s="4" t="str">
        <v/>
      </c>
      <c r="F2142" s="102" t="str">
        <f ca="1">IFERROR(__xludf.DUMMYFUNCTION("IMPORTRANGE(H2142,""IDENTITAS UNIT!D9"")"),"#N/A")</f>
        <v>#N/A</v>
      </c>
      <c r="H2142" s="4" t="str">
        <v/>
      </c>
      <c r="I2142" s="4" t="str">
        <v/>
      </c>
    </row>
    <row r="2143" spans="5:9" ht="16.5" hidden="1">
      <c r="E2143" s="4" t="str">
        <v/>
      </c>
      <c r="F2143" s="102" t="str">
        <f ca="1">IFERROR(__xludf.DUMMYFUNCTION("IMPORTRANGE(H2143,""IDENTITAS UNIT!D9"")"),"#N/A")</f>
        <v>#N/A</v>
      </c>
      <c r="H2143" s="4" t="str">
        <v/>
      </c>
      <c r="I2143" s="4" t="str">
        <v/>
      </c>
    </row>
    <row r="2144" spans="5:9" ht="16.5" hidden="1">
      <c r="E2144" s="4" t="str">
        <v/>
      </c>
      <c r="F2144" s="102" t="str">
        <f ca="1">IFERROR(__xludf.DUMMYFUNCTION("IMPORTRANGE(H2144,""IDENTITAS UNIT!D9"")"),"#N/A")</f>
        <v>#N/A</v>
      </c>
      <c r="H2144" s="4" t="str">
        <v/>
      </c>
      <c r="I2144" s="4" t="str">
        <v/>
      </c>
    </row>
    <row r="2145" spans="5:9" ht="16.5" hidden="1">
      <c r="E2145" s="4" t="str">
        <v/>
      </c>
      <c r="F2145" s="102" t="str">
        <f ca="1">IFERROR(__xludf.DUMMYFUNCTION("IMPORTRANGE(H2145,""IDENTITAS UNIT!D9"")"),"#N/A")</f>
        <v>#N/A</v>
      </c>
      <c r="H2145" s="4" t="str">
        <v/>
      </c>
      <c r="I2145" s="4" t="str">
        <v/>
      </c>
    </row>
    <row r="2146" spans="5:9" ht="16.5" hidden="1">
      <c r="E2146" s="4" t="str">
        <v/>
      </c>
      <c r="F2146" s="102" t="str">
        <f ca="1">IFERROR(__xludf.DUMMYFUNCTION("IMPORTRANGE(H2146,""IDENTITAS UNIT!D9"")"),"#N/A")</f>
        <v>#N/A</v>
      </c>
      <c r="H2146" s="4" t="str">
        <v/>
      </c>
      <c r="I2146" s="4" t="str">
        <v/>
      </c>
    </row>
    <row r="2147" spans="5:9" ht="16.5" hidden="1">
      <c r="E2147" s="4" t="str">
        <v/>
      </c>
      <c r="F2147" s="102" t="str">
        <f ca="1">IFERROR(__xludf.DUMMYFUNCTION("IMPORTRANGE(H2147,""IDENTITAS UNIT!D9"")"),"#N/A")</f>
        <v>#N/A</v>
      </c>
      <c r="H2147" s="4" t="str">
        <v/>
      </c>
      <c r="I2147" s="4" t="str">
        <v/>
      </c>
    </row>
    <row r="2148" spans="5:9" ht="16.5" hidden="1">
      <c r="E2148" s="4" t="str">
        <v/>
      </c>
      <c r="F2148" s="102" t="str">
        <f ca="1">IFERROR(__xludf.DUMMYFUNCTION("IMPORTRANGE(H2148,""IDENTITAS UNIT!D9"")"),"#N/A")</f>
        <v>#N/A</v>
      </c>
      <c r="H2148" s="4" t="str">
        <v/>
      </c>
      <c r="I2148" s="4" t="str">
        <v/>
      </c>
    </row>
    <row r="2149" spans="5:9" ht="16.5" hidden="1">
      <c r="E2149" s="4" t="str">
        <v/>
      </c>
      <c r="F2149" s="102" t="str">
        <f ca="1">IFERROR(__xludf.DUMMYFUNCTION("IMPORTRANGE(H2149,""IDENTITAS UNIT!D9"")"),"#N/A")</f>
        <v>#N/A</v>
      </c>
      <c r="H2149" s="4" t="str">
        <v/>
      </c>
      <c r="I2149" s="4" t="str">
        <v/>
      </c>
    </row>
    <row r="2150" spans="5:9" ht="16.5" hidden="1">
      <c r="E2150" s="4" t="str">
        <v/>
      </c>
      <c r="F2150" s="102" t="str">
        <f ca="1">IFERROR(__xludf.DUMMYFUNCTION("IMPORTRANGE(H2150,""IDENTITAS UNIT!D9"")"),"#N/A")</f>
        <v>#N/A</v>
      </c>
      <c r="H2150" s="4" t="str">
        <v/>
      </c>
      <c r="I2150" s="4" t="str">
        <v/>
      </c>
    </row>
    <row r="2151" spans="5:9" ht="16.5" hidden="1">
      <c r="E2151" s="4" t="str">
        <v/>
      </c>
      <c r="F2151" s="102" t="str">
        <f ca="1">IFERROR(__xludf.DUMMYFUNCTION("IMPORTRANGE(H2151,""IDENTITAS UNIT!D9"")"),"#N/A")</f>
        <v>#N/A</v>
      </c>
      <c r="H2151" s="4" t="str">
        <v/>
      </c>
      <c r="I2151" s="4" t="str">
        <v/>
      </c>
    </row>
    <row r="2152" spans="5:9" ht="16.5" hidden="1">
      <c r="E2152" s="4" t="str">
        <v/>
      </c>
      <c r="F2152" s="102" t="str">
        <f ca="1">IFERROR(__xludf.DUMMYFUNCTION("IMPORTRANGE(H2152,""IDENTITAS UNIT!D9"")"),"#N/A")</f>
        <v>#N/A</v>
      </c>
      <c r="H2152" s="4" t="str">
        <v/>
      </c>
      <c r="I2152" s="4" t="str">
        <v/>
      </c>
    </row>
    <row r="2153" spans="5:9" ht="16.5" hidden="1">
      <c r="E2153" s="4" t="str">
        <v/>
      </c>
      <c r="F2153" s="102" t="str">
        <f ca="1">IFERROR(__xludf.DUMMYFUNCTION("IMPORTRANGE(H2153,""IDENTITAS UNIT!D9"")"),"#N/A")</f>
        <v>#N/A</v>
      </c>
      <c r="H2153" s="4" t="str">
        <v/>
      </c>
      <c r="I2153" s="4" t="str">
        <v/>
      </c>
    </row>
    <row r="2154" spans="5:9" ht="16.5" hidden="1">
      <c r="E2154" s="4" t="str">
        <v/>
      </c>
      <c r="F2154" s="102" t="str">
        <f ca="1">IFERROR(__xludf.DUMMYFUNCTION("IMPORTRANGE(H2154,""IDENTITAS UNIT!D9"")"),"#N/A")</f>
        <v>#N/A</v>
      </c>
      <c r="H2154" s="4" t="str">
        <v/>
      </c>
      <c r="I2154" s="4" t="str">
        <v/>
      </c>
    </row>
    <row r="2155" spans="5:9" ht="16.5" hidden="1">
      <c r="E2155" s="4" t="str">
        <v/>
      </c>
      <c r="F2155" s="102" t="str">
        <f ca="1">IFERROR(__xludf.DUMMYFUNCTION("IMPORTRANGE(H2155,""IDENTITAS UNIT!D9"")"),"#N/A")</f>
        <v>#N/A</v>
      </c>
      <c r="H2155" s="4" t="str">
        <v/>
      </c>
      <c r="I2155" s="4" t="str">
        <v/>
      </c>
    </row>
    <row r="2156" spans="5:9" ht="16.5" hidden="1">
      <c r="E2156" s="4" t="str">
        <v/>
      </c>
      <c r="F2156" s="102" t="str">
        <f ca="1">IFERROR(__xludf.DUMMYFUNCTION("IMPORTRANGE(H2156,""IDENTITAS UNIT!D9"")"),"#N/A")</f>
        <v>#N/A</v>
      </c>
      <c r="H2156" s="4" t="str">
        <v/>
      </c>
      <c r="I2156" s="4" t="str">
        <v/>
      </c>
    </row>
    <row r="2157" spans="5:9" ht="16.5" hidden="1">
      <c r="E2157" s="4" t="str">
        <v/>
      </c>
      <c r="F2157" s="102" t="str">
        <f ca="1">IFERROR(__xludf.DUMMYFUNCTION("IMPORTRANGE(H2157,""IDENTITAS UNIT!D9"")"),"#N/A")</f>
        <v>#N/A</v>
      </c>
      <c r="H2157" s="4" t="str">
        <v/>
      </c>
      <c r="I2157" s="4" t="str">
        <v/>
      </c>
    </row>
    <row r="2158" spans="5:9" ht="16.5" hidden="1">
      <c r="E2158" s="4" t="str">
        <v/>
      </c>
      <c r="F2158" s="102" t="str">
        <f ca="1">IFERROR(__xludf.DUMMYFUNCTION("IMPORTRANGE(H2158,""IDENTITAS UNIT!D9"")"),"#N/A")</f>
        <v>#N/A</v>
      </c>
      <c r="H2158" s="4" t="str">
        <v/>
      </c>
      <c r="I2158" s="4" t="str">
        <v/>
      </c>
    </row>
    <row r="2159" spans="5:9" ht="16.5" hidden="1">
      <c r="E2159" s="4" t="str">
        <v/>
      </c>
      <c r="F2159" s="102" t="str">
        <f ca="1">IFERROR(__xludf.DUMMYFUNCTION("IMPORTRANGE(H2159,""IDENTITAS UNIT!D9"")"),"#N/A")</f>
        <v>#N/A</v>
      </c>
      <c r="H2159" s="4" t="str">
        <v/>
      </c>
      <c r="I2159" s="4" t="str">
        <v/>
      </c>
    </row>
    <row r="2160" spans="5:9" ht="16.5" hidden="1">
      <c r="E2160" s="4" t="str">
        <v/>
      </c>
      <c r="F2160" s="102" t="str">
        <f ca="1">IFERROR(__xludf.DUMMYFUNCTION("IMPORTRANGE(H2160,""IDENTITAS UNIT!D9"")"),"#N/A")</f>
        <v>#N/A</v>
      </c>
      <c r="H2160" s="4" t="str">
        <v/>
      </c>
      <c r="I2160" s="4" t="str">
        <v/>
      </c>
    </row>
    <row r="2161" spans="5:9" ht="16.5" hidden="1">
      <c r="E2161" s="4" t="str">
        <v/>
      </c>
      <c r="F2161" s="102" t="str">
        <f ca="1">IFERROR(__xludf.DUMMYFUNCTION("IMPORTRANGE(H2161,""IDENTITAS UNIT!D9"")"),"#N/A")</f>
        <v>#N/A</v>
      </c>
      <c r="H2161" s="4" t="str">
        <v/>
      </c>
      <c r="I2161" s="4" t="str">
        <v/>
      </c>
    </row>
    <row r="2162" spans="5:9" ht="16.5" hidden="1">
      <c r="E2162" s="4" t="str">
        <v/>
      </c>
      <c r="F2162" s="102" t="str">
        <f ca="1">IFERROR(__xludf.DUMMYFUNCTION("IMPORTRANGE(H2162,""IDENTITAS UNIT!D9"")"),"#N/A")</f>
        <v>#N/A</v>
      </c>
      <c r="H2162" s="4" t="str">
        <v/>
      </c>
      <c r="I2162" s="4" t="str">
        <v/>
      </c>
    </row>
    <row r="2163" spans="5:9" ht="16.5" hidden="1">
      <c r="E2163" s="4" t="str">
        <v/>
      </c>
      <c r="F2163" s="102" t="str">
        <f ca="1">IFERROR(__xludf.DUMMYFUNCTION("IMPORTRANGE(H2163,""IDENTITAS UNIT!D9"")"),"#N/A")</f>
        <v>#N/A</v>
      </c>
      <c r="H2163" s="4" t="str">
        <v/>
      </c>
      <c r="I2163" s="4" t="str">
        <v/>
      </c>
    </row>
    <row r="2164" spans="5:9" ht="16.5" hidden="1">
      <c r="E2164" s="4" t="str">
        <v/>
      </c>
      <c r="F2164" s="102" t="str">
        <f ca="1">IFERROR(__xludf.DUMMYFUNCTION("IMPORTRANGE(H2164,""IDENTITAS UNIT!D9"")"),"#N/A")</f>
        <v>#N/A</v>
      </c>
      <c r="H2164" s="4" t="str">
        <v/>
      </c>
      <c r="I2164" s="4" t="str">
        <v/>
      </c>
    </row>
    <row r="2165" spans="5:9" ht="16.5" hidden="1">
      <c r="E2165" s="4" t="str">
        <v/>
      </c>
      <c r="F2165" s="102" t="str">
        <f ca="1">IFERROR(__xludf.DUMMYFUNCTION("IMPORTRANGE(H2165,""IDENTITAS UNIT!D9"")"),"#N/A")</f>
        <v>#N/A</v>
      </c>
      <c r="H2165" s="4" t="str">
        <v/>
      </c>
      <c r="I2165" s="4" t="str">
        <v/>
      </c>
    </row>
    <row r="2166" spans="5:9" ht="16.5" hidden="1">
      <c r="E2166" s="4" t="str">
        <v/>
      </c>
      <c r="F2166" s="102" t="str">
        <f ca="1">IFERROR(__xludf.DUMMYFUNCTION("IMPORTRANGE(H2166,""IDENTITAS UNIT!D9"")"),"#N/A")</f>
        <v>#N/A</v>
      </c>
      <c r="H2166" s="4" t="str">
        <v/>
      </c>
      <c r="I2166" s="4" t="str">
        <v/>
      </c>
    </row>
    <row r="2167" spans="5:9" ht="16.5" hidden="1">
      <c r="E2167" s="4" t="str">
        <v/>
      </c>
      <c r="F2167" s="102" t="str">
        <f ca="1">IFERROR(__xludf.DUMMYFUNCTION("IMPORTRANGE(H2167,""IDENTITAS UNIT!D9"")"),"#N/A")</f>
        <v>#N/A</v>
      </c>
      <c r="H2167" s="4" t="str">
        <v/>
      </c>
      <c r="I2167" s="4" t="str">
        <v/>
      </c>
    </row>
    <row r="2168" spans="5:9" ht="16.5" hidden="1">
      <c r="E2168" s="4" t="str">
        <v/>
      </c>
      <c r="F2168" s="102" t="str">
        <f ca="1">IFERROR(__xludf.DUMMYFUNCTION("IMPORTRANGE(H2168,""IDENTITAS UNIT!D9"")"),"#N/A")</f>
        <v>#N/A</v>
      </c>
      <c r="H2168" s="4" t="str">
        <v/>
      </c>
      <c r="I2168" s="4" t="str">
        <v/>
      </c>
    </row>
    <row r="2169" spans="5:9" ht="16.5" hidden="1">
      <c r="E2169" s="4" t="str">
        <v/>
      </c>
      <c r="F2169" s="102" t="str">
        <f ca="1">IFERROR(__xludf.DUMMYFUNCTION("IMPORTRANGE(H2169,""IDENTITAS UNIT!D9"")"),"#N/A")</f>
        <v>#N/A</v>
      </c>
      <c r="H2169" s="4" t="str">
        <v/>
      </c>
      <c r="I2169" s="4" t="str">
        <v/>
      </c>
    </row>
    <row r="2170" spans="5:9" ht="16.5" hidden="1">
      <c r="E2170" s="4" t="str">
        <v/>
      </c>
      <c r="F2170" s="102" t="str">
        <f ca="1">IFERROR(__xludf.DUMMYFUNCTION("IMPORTRANGE(H2170,""IDENTITAS UNIT!D9"")"),"#N/A")</f>
        <v>#N/A</v>
      </c>
      <c r="H2170" s="4" t="str">
        <v/>
      </c>
      <c r="I2170" s="4" t="str">
        <v/>
      </c>
    </row>
    <row r="2171" spans="5:9" ht="16.5" hidden="1">
      <c r="E2171" s="4" t="str">
        <v/>
      </c>
      <c r="F2171" s="102" t="str">
        <f ca="1">IFERROR(__xludf.DUMMYFUNCTION("IMPORTRANGE(H2171,""IDENTITAS UNIT!D9"")"),"#N/A")</f>
        <v>#N/A</v>
      </c>
      <c r="H2171" s="4" t="str">
        <v/>
      </c>
      <c r="I2171" s="4" t="str">
        <v/>
      </c>
    </row>
    <row r="2172" spans="5:9" ht="16.5" hidden="1">
      <c r="E2172" s="4" t="str">
        <v/>
      </c>
      <c r="F2172" s="102" t="str">
        <f ca="1">IFERROR(__xludf.DUMMYFUNCTION("IMPORTRANGE(H2172,""IDENTITAS UNIT!D9"")"),"#N/A")</f>
        <v>#N/A</v>
      </c>
      <c r="H2172" s="4" t="str">
        <v/>
      </c>
      <c r="I2172" s="4" t="str">
        <v/>
      </c>
    </row>
    <row r="2173" spans="5:9" ht="16.5" hidden="1">
      <c r="E2173" s="4" t="str">
        <v/>
      </c>
      <c r="F2173" s="102" t="str">
        <f ca="1">IFERROR(__xludf.DUMMYFUNCTION("IMPORTRANGE(H2173,""IDENTITAS UNIT!D9"")"),"#N/A")</f>
        <v>#N/A</v>
      </c>
      <c r="H2173" s="4" t="str">
        <v/>
      </c>
      <c r="I2173" s="4" t="str">
        <v/>
      </c>
    </row>
    <row r="2174" spans="5:9" ht="16.5" hidden="1">
      <c r="E2174" s="4" t="str">
        <v/>
      </c>
      <c r="F2174" s="102" t="str">
        <f ca="1">IFERROR(__xludf.DUMMYFUNCTION("IMPORTRANGE(H2174,""IDENTITAS UNIT!D9"")"),"#N/A")</f>
        <v>#N/A</v>
      </c>
      <c r="H2174" s="4" t="str">
        <v/>
      </c>
      <c r="I2174" s="4" t="str">
        <v/>
      </c>
    </row>
    <row r="2175" spans="5:9" ht="16.5" hidden="1">
      <c r="E2175" s="4" t="str">
        <v/>
      </c>
      <c r="F2175" s="102" t="str">
        <f ca="1">IFERROR(__xludf.DUMMYFUNCTION("IMPORTRANGE(H2175,""IDENTITAS UNIT!D9"")"),"#N/A")</f>
        <v>#N/A</v>
      </c>
      <c r="H2175" s="4" t="str">
        <v/>
      </c>
      <c r="I2175" s="4" t="str">
        <v/>
      </c>
    </row>
    <row r="2176" spans="5:9" ht="16.5" hidden="1">
      <c r="E2176" s="4" t="str">
        <v/>
      </c>
      <c r="F2176" s="102" t="str">
        <f ca="1">IFERROR(__xludf.DUMMYFUNCTION("IMPORTRANGE(H2176,""IDENTITAS UNIT!D9"")"),"#N/A")</f>
        <v>#N/A</v>
      </c>
      <c r="H2176" s="4" t="str">
        <v/>
      </c>
      <c r="I2176" s="4" t="str">
        <v/>
      </c>
    </row>
    <row r="2177" spans="5:9" ht="16.5" hidden="1">
      <c r="E2177" s="4" t="str">
        <v/>
      </c>
      <c r="F2177" s="102" t="str">
        <f ca="1">IFERROR(__xludf.DUMMYFUNCTION("IMPORTRANGE(H2177,""IDENTITAS UNIT!D9"")"),"#N/A")</f>
        <v>#N/A</v>
      </c>
      <c r="H2177" s="4" t="str">
        <v/>
      </c>
      <c r="I2177" s="4" t="str">
        <v/>
      </c>
    </row>
    <row r="2178" spans="5:9" ht="16.5" hidden="1">
      <c r="E2178" s="4" t="str">
        <v/>
      </c>
      <c r="F2178" s="102" t="str">
        <f ca="1">IFERROR(__xludf.DUMMYFUNCTION("IMPORTRANGE(H2178,""IDENTITAS UNIT!D9"")"),"#N/A")</f>
        <v>#N/A</v>
      </c>
      <c r="H2178" s="4" t="str">
        <v/>
      </c>
      <c r="I2178" s="4" t="str">
        <v/>
      </c>
    </row>
    <row r="2179" spans="5:9" ht="16.5" hidden="1">
      <c r="E2179" s="4" t="str">
        <v/>
      </c>
      <c r="F2179" s="102" t="str">
        <f ca="1">IFERROR(__xludf.DUMMYFUNCTION("IMPORTRANGE(H2179,""IDENTITAS UNIT!D9"")"),"#N/A")</f>
        <v>#N/A</v>
      </c>
      <c r="H2179" s="4" t="str">
        <v/>
      </c>
      <c r="I2179" s="4" t="str">
        <v/>
      </c>
    </row>
    <row r="2180" spans="5:9" ht="16.5" hidden="1">
      <c r="E2180" s="4" t="str">
        <v/>
      </c>
      <c r="F2180" s="102" t="str">
        <f ca="1">IFERROR(__xludf.DUMMYFUNCTION("IMPORTRANGE(H2180,""IDENTITAS UNIT!D9"")"),"#N/A")</f>
        <v>#N/A</v>
      </c>
      <c r="H2180" s="4" t="str">
        <v/>
      </c>
      <c r="I2180" s="4" t="str">
        <v/>
      </c>
    </row>
    <row r="2181" spans="5:9" ht="16.5" hidden="1">
      <c r="E2181" s="4" t="str">
        <v/>
      </c>
      <c r="F2181" s="102" t="str">
        <f ca="1">IFERROR(__xludf.DUMMYFUNCTION("IMPORTRANGE(H2181,""IDENTITAS UNIT!D9"")"),"#N/A")</f>
        <v>#N/A</v>
      </c>
      <c r="H2181" s="4" t="str">
        <v/>
      </c>
      <c r="I2181" s="4" t="str">
        <v/>
      </c>
    </row>
    <row r="2182" spans="5:9" ht="16.5" hidden="1">
      <c r="E2182" s="4" t="str">
        <v/>
      </c>
      <c r="F2182" s="102" t="str">
        <f ca="1">IFERROR(__xludf.DUMMYFUNCTION("IMPORTRANGE(H2182,""IDENTITAS UNIT!D9"")"),"#N/A")</f>
        <v>#N/A</v>
      </c>
      <c r="H2182" s="4" t="str">
        <v/>
      </c>
      <c r="I2182" s="4" t="str">
        <v/>
      </c>
    </row>
    <row r="2183" spans="5:9" ht="16.5" hidden="1">
      <c r="E2183" s="4" t="str">
        <v/>
      </c>
      <c r="F2183" s="102" t="str">
        <f ca="1">IFERROR(__xludf.DUMMYFUNCTION("IMPORTRANGE(H2183,""IDENTITAS UNIT!D9"")"),"#N/A")</f>
        <v>#N/A</v>
      </c>
      <c r="H2183" s="4" t="str">
        <v/>
      </c>
      <c r="I2183" s="4" t="str">
        <v/>
      </c>
    </row>
    <row r="2184" spans="5:9" ht="16.5" hidden="1">
      <c r="E2184" s="4" t="str">
        <v/>
      </c>
      <c r="F2184" s="102" t="str">
        <f ca="1">IFERROR(__xludf.DUMMYFUNCTION("IMPORTRANGE(H2184,""IDENTITAS UNIT!D9"")"),"#N/A")</f>
        <v>#N/A</v>
      </c>
      <c r="H2184" s="4" t="str">
        <v/>
      </c>
      <c r="I2184" s="4" t="str">
        <v/>
      </c>
    </row>
    <row r="2185" spans="5:9" ht="16.5" hidden="1">
      <c r="E2185" s="4" t="str">
        <v/>
      </c>
      <c r="F2185" s="102" t="str">
        <f ca="1">IFERROR(__xludf.DUMMYFUNCTION("IMPORTRANGE(H2185,""IDENTITAS UNIT!D9"")"),"#N/A")</f>
        <v>#N/A</v>
      </c>
      <c r="H2185" s="4" t="str">
        <v/>
      </c>
      <c r="I2185" s="4" t="str">
        <v/>
      </c>
    </row>
    <row r="2186" spans="5:9" ht="16.5" hidden="1">
      <c r="E2186" s="4" t="str">
        <v/>
      </c>
      <c r="F2186" s="102" t="str">
        <f ca="1">IFERROR(__xludf.DUMMYFUNCTION("IMPORTRANGE(H2186,""IDENTITAS UNIT!D9"")"),"#N/A")</f>
        <v>#N/A</v>
      </c>
      <c r="H2186" s="4" t="str">
        <v/>
      </c>
      <c r="I2186" s="4" t="str">
        <v/>
      </c>
    </row>
    <row r="2187" spans="5:9" ht="16.5" hidden="1">
      <c r="E2187" s="4" t="str">
        <v/>
      </c>
      <c r="F2187" s="102" t="str">
        <f ca="1">IFERROR(__xludf.DUMMYFUNCTION("IMPORTRANGE(H2187,""IDENTITAS UNIT!D9"")"),"#N/A")</f>
        <v>#N/A</v>
      </c>
      <c r="H2187" s="4" t="str">
        <v/>
      </c>
      <c r="I2187" s="4" t="str">
        <v/>
      </c>
    </row>
    <row r="2188" spans="5:9" ht="16.5" hidden="1">
      <c r="E2188" s="4" t="str">
        <v/>
      </c>
      <c r="F2188" s="102" t="str">
        <f ca="1">IFERROR(__xludf.DUMMYFUNCTION("IMPORTRANGE(H2188,""IDENTITAS UNIT!D9"")"),"#N/A")</f>
        <v>#N/A</v>
      </c>
      <c r="H2188" s="4" t="str">
        <v/>
      </c>
      <c r="I2188" s="4" t="str">
        <v/>
      </c>
    </row>
    <row r="2189" spans="5:9" ht="16.5" hidden="1">
      <c r="E2189" s="4" t="str">
        <v/>
      </c>
      <c r="F2189" s="102" t="str">
        <f ca="1">IFERROR(__xludf.DUMMYFUNCTION("IMPORTRANGE(H2189,""IDENTITAS UNIT!D9"")"),"#N/A")</f>
        <v>#N/A</v>
      </c>
      <c r="H2189" s="4" t="str">
        <v/>
      </c>
      <c r="I2189" s="4" t="str">
        <v/>
      </c>
    </row>
    <row r="2190" spans="5:9" ht="16.5" hidden="1">
      <c r="E2190" s="4" t="str">
        <v/>
      </c>
      <c r="F2190" s="102" t="str">
        <f ca="1">IFERROR(__xludf.DUMMYFUNCTION("IMPORTRANGE(H2190,""IDENTITAS UNIT!D9"")"),"#N/A")</f>
        <v>#N/A</v>
      </c>
      <c r="H2190" s="4" t="str">
        <v/>
      </c>
      <c r="I2190" s="4" t="str">
        <v/>
      </c>
    </row>
    <row r="2191" spans="5:9" ht="16.5" hidden="1">
      <c r="E2191" s="4" t="str">
        <v/>
      </c>
      <c r="F2191" s="102" t="str">
        <f ca="1">IFERROR(__xludf.DUMMYFUNCTION("IMPORTRANGE(H2191,""IDENTITAS UNIT!D9"")"),"#N/A")</f>
        <v>#N/A</v>
      </c>
      <c r="H2191" s="4" t="str">
        <v/>
      </c>
      <c r="I2191" s="4" t="str">
        <v/>
      </c>
    </row>
    <row r="2192" spans="5:9" ht="16.5" hidden="1">
      <c r="E2192" s="4" t="str">
        <v/>
      </c>
      <c r="F2192" s="102" t="str">
        <f ca="1">IFERROR(__xludf.DUMMYFUNCTION("IMPORTRANGE(H2192,""IDENTITAS UNIT!D9"")"),"#N/A")</f>
        <v>#N/A</v>
      </c>
      <c r="H2192" s="4" t="str">
        <v/>
      </c>
      <c r="I2192" s="4" t="str">
        <v/>
      </c>
    </row>
    <row r="2193" spans="5:9" ht="16.5" hidden="1">
      <c r="E2193" s="4" t="str">
        <v/>
      </c>
      <c r="F2193" s="102" t="str">
        <f ca="1">IFERROR(__xludf.DUMMYFUNCTION("IMPORTRANGE(H2193,""IDENTITAS UNIT!D9"")"),"#N/A")</f>
        <v>#N/A</v>
      </c>
      <c r="H2193" s="4" t="str">
        <v/>
      </c>
      <c r="I2193" s="4" t="str">
        <v/>
      </c>
    </row>
    <row r="2194" spans="5:9" ht="16.5" hidden="1">
      <c r="E2194" s="4" t="str">
        <v/>
      </c>
      <c r="F2194" s="102" t="str">
        <f ca="1">IFERROR(__xludf.DUMMYFUNCTION("IMPORTRANGE(H2194,""IDENTITAS UNIT!D9"")"),"#N/A")</f>
        <v>#N/A</v>
      </c>
      <c r="H2194" s="4" t="str">
        <v/>
      </c>
      <c r="I2194" s="4" t="str">
        <v/>
      </c>
    </row>
    <row r="2195" spans="5:9" ht="16.5" hidden="1">
      <c r="E2195" s="4" t="str">
        <v/>
      </c>
      <c r="F2195" s="102" t="str">
        <f ca="1">IFERROR(__xludf.DUMMYFUNCTION("IMPORTRANGE(H2195,""IDENTITAS UNIT!D9"")"),"#N/A")</f>
        <v>#N/A</v>
      </c>
      <c r="H2195" s="4" t="str">
        <v/>
      </c>
      <c r="I2195" s="4" t="str">
        <v/>
      </c>
    </row>
    <row r="2196" spans="5:9" ht="16.5" hidden="1">
      <c r="E2196" s="4" t="str">
        <v/>
      </c>
      <c r="F2196" s="102" t="str">
        <f ca="1">IFERROR(__xludf.DUMMYFUNCTION("IMPORTRANGE(H2196,""IDENTITAS UNIT!D9"")"),"#N/A")</f>
        <v>#N/A</v>
      </c>
      <c r="H2196" s="4" t="str">
        <v/>
      </c>
      <c r="I2196" s="4" t="str">
        <v/>
      </c>
    </row>
    <row r="2197" spans="5:9" ht="16.5" hidden="1">
      <c r="E2197" s="4" t="str">
        <v/>
      </c>
      <c r="F2197" s="102" t="str">
        <f ca="1">IFERROR(__xludf.DUMMYFUNCTION("IMPORTRANGE(H2197,""IDENTITAS UNIT!D9"")"),"#N/A")</f>
        <v>#N/A</v>
      </c>
      <c r="H2197" s="4" t="str">
        <v/>
      </c>
      <c r="I2197" s="4" t="str">
        <v/>
      </c>
    </row>
    <row r="2198" spans="5:9" ht="16.5" hidden="1">
      <c r="E2198" s="4" t="str">
        <v/>
      </c>
      <c r="F2198" s="102" t="str">
        <f ca="1">IFERROR(__xludf.DUMMYFUNCTION("IMPORTRANGE(H2198,""IDENTITAS UNIT!D9"")"),"#N/A")</f>
        <v>#N/A</v>
      </c>
      <c r="H2198" s="4" t="str">
        <v/>
      </c>
      <c r="I2198" s="4" t="str">
        <v/>
      </c>
    </row>
    <row r="2199" spans="5:9" ht="16.5" hidden="1">
      <c r="E2199" s="4" t="str">
        <v/>
      </c>
      <c r="F2199" s="102" t="str">
        <f ca="1">IFERROR(__xludf.DUMMYFUNCTION("IMPORTRANGE(H2199,""IDENTITAS UNIT!D9"")"),"#N/A")</f>
        <v>#N/A</v>
      </c>
      <c r="H2199" s="4" t="str">
        <v/>
      </c>
      <c r="I2199" s="4" t="str">
        <v/>
      </c>
    </row>
    <row r="2200" spans="5:9" ht="16.5" hidden="1">
      <c r="E2200" s="4" t="str">
        <v/>
      </c>
      <c r="F2200" s="102" t="str">
        <f ca="1">IFERROR(__xludf.DUMMYFUNCTION("IMPORTRANGE(H2200,""IDENTITAS UNIT!D9"")"),"#N/A")</f>
        <v>#N/A</v>
      </c>
      <c r="H2200" s="4" t="str">
        <v/>
      </c>
      <c r="I2200" s="4" t="str">
        <v/>
      </c>
    </row>
    <row r="2201" spans="5:9" ht="16.5" hidden="1">
      <c r="E2201" s="4" t="str">
        <v/>
      </c>
      <c r="F2201" s="102" t="str">
        <f ca="1">IFERROR(__xludf.DUMMYFUNCTION("IMPORTRANGE(H2201,""IDENTITAS UNIT!D9"")"),"#N/A")</f>
        <v>#N/A</v>
      </c>
      <c r="H2201" s="4" t="str">
        <v/>
      </c>
      <c r="I2201" s="4" t="str">
        <v/>
      </c>
    </row>
    <row r="2202" spans="5:9" ht="16.5" hidden="1">
      <c r="E2202" s="4" t="str">
        <v/>
      </c>
      <c r="F2202" s="102" t="str">
        <f ca="1">IFERROR(__xludf.DUMMYFUNCTION("IMPORTRANGE(H2202,""IDENTITAS UNIT!D9"")"),"#N/A")</f>
        <v>#N/A</v>
      </c>
      <c r="H2202" s="4" t="str">
        <v/>
      </c>
      <c r="I2202" s="4" t="str">
        <v/>
      </c>
    </row>
    <row r="2203" spans="5:9" ht="16.5" hidden="1">
      <c r="E2203" s="4" t="str">
        <v/>
      </c>
      <c r="F2203" s="102" t="str">
        <f ca="1">IFERROR(__xludf.DUMMYFUNCTION("IMPORTRANGE(H2203,""IDENTITAS UNIT!D9"")"),"#N/A")</f>
        <v>#N/A</v>
      </c>
      <c r="H2203" s="4" t="str">
        <v/>
      </c>
      <c r="I2203" s="4" t="str">
        <v/>
      </c>
    </row>
    <row r="2204" spans="5:9" ht="16.5" hidden="1">
      <c r="E2204" s="4" t="str">
        <v/>
      </c>
      <c r="F2204" s="102" t="str">
        <f ca="1">IFERROR(__xludf.DUMMYFUNCTION("IMPORTRANGE(H2204,""IDENTITAS UNIT!D9"")"),"#N/A")</f>
        <v>#N/A</v>
      </c>
      <c r="H2204" s="4" t="str">
        <v/>
      </c>
      <c r="I2204" s="4" t="str">
        <v/>
      </c>
    </row>
    <row r="2205" spans="5:9" ht="16.5" hidden="1">
      <c r="E2205" s="4" t="str">
        <v/>
      </c>
      <c r="F2205" s="102" t="str">
        <f ca="1">IFERROR(__xludf.DUMMYFUNCTION("IMPORTRANGE(H2205,""IDENTITAS UNIT!D9"")"),"#N/A")</f>
        <v>#N/A</v>
      </c>
      <c r="H2205" s="4" t="str">
        <v/>
      </c>
      <c r="I2205" s="4" t="str">
        <v/>
      </c>
    </row>
    <row r="2206" spans="5:9" ht="16.5" hidden="1">
      <c r="E2206" s="4" t="str">
        <v/>
      </c>
      <c r="F2206" s="102" t="str">
        <f ca="1">IFERROR(__xludf.DUMMYFUNCTION("IMPORTRANGE(H2206,""IDENTITAS UNIT!D9"")"),"#N/A")</f>
        <v>#N/A</v>
      </c>
      <c r="H2206" s="4" t="str">
        <v/>
      </c>
      <c r="I2206" s="4" t="str">
        <v/>
      </c>
    </row>
    <row r="2207" spans="5:9" ht="16.5" hidden="1">
      <c r="E2207" s="4" t="str">
        <v/>
      </c>
      <c r="F2207" s="102" t="str">
        <f ca="1">IFERROR(__xludf.DUMMYFUNCTION("IMPORTRANGE(H2207,""IDENTITAS UNIT!D9"")"),"#N/A")</f>
        <v>#N/A</v>
      </c>
      <c r="H2207" s="4" t="str">
        <v/>
      </c>
      <c r="I2207" s="4" t="str">
        <v/>
      </c>
    </row>
    <row r="2208" spans="5:9" ht="16.5" hidden="1">
      <c r="E2208" s="4" t="str">
        <v/>
      </c>
      <c r="F2208" s="102" t="str">
        <f ca="1">IFERROR(__xludf.DUMMYFUNCTION("IMPORTRANGE(H2208,""IDENTITAS UNIT!D9"")"),"#N/A")</f>
        <v>#N/A</v>
      </c>
      <c r="H2208" s="4" t="str">
        <v/>
      </c>
      <c r="I2208" s="4" t="str">
        <v/>
      </c>
    </row>
    <row r="2209" spans="5:9" ht="16.5" hidden="1">
      <c r="E2209" s="4" t="str">
        <v/>
      </c>
      <c r="F2209" s="102" t="str">
        <f ca="1">IFERROR(__xludf.DUMMYFUNCTION("IMPORTRANGE(H2209,""IDENTITAS UNIT!D9"")"),"#N/A")</f>
        <v>#N/A</v>
      </c>
      <c r="H2209" s="4" t="str">
        <v/>
      </c>
      <c r="I2209" s="4" t="str">
        <v/>
      </c>
    </row>
    <row r="2210" spans="5:9" ht="16.5" hidden="1">
      <c r="E2210" s="4" t="str">
        <v/>
      </c>
      <c r="F2210" s="102" t="str">
        <f ca="1">IFERROR(__xludf.DUMMYFUNCTION("IMPORTRANGE(H2210,""IDENTITAS UNIT!D9"")"),"#N/A")</f>
        <v>#N/A</v>
      </c>
      <c r="H2210" s="4" t="str">
        <v/>
      </c>
      <c r="I2210" s="4" t="str">
        <v/>
      </c>
    </row>
    <row r="2211" spans="5:9" ht="16.5" hidden="1">
      <c r="E2211" s="4" t="str">
        <v/>
      </c>
      <c r="F2211" s="102" t="str">
        <f ca="1">IFERROR(__xludf.DUMMYFUNCTION("IMPORTRANGE(H2211,""IDENTITAS UNIT!D9"")"),"#N/A")</f>
        <v>#N/A</v>
      </c>
      <c r="H2211" s="4" t="str">
        <v/>
      </c>
      <c r="I2211" s="4" t="str">
        <v/>
      </c>
    </row>
    <row r="2212" spans="5:9" ht="16.5" hidden="1">
      <c r="E2212" s="4" t="str">
        <v/>
      </c>
      <c r="F2212" s="102" t="str">
        <f ca="1">IFERROR(__xludf.DUMMYFUNCTION("IMPORTRANGE(H2212,""IDENTITAS UNIT!D9"")"),"#N/A")</f>
        <v>#N/A</v>
      </c>
      <c r="H2212" s="4" t="str">
        <v/>
      </c>
      <c r="I2212" s="4" t="str">
        <v/>
      </c>
    </row>
    <row r="2213" spans="5:9" ht="16.5" hidden="1">
      <c r="E2213" s="4" t="str">
        <v/>
      </c>
      <c r="F2213" s="102" t="str">
        <f ca="1">IFERROR(__xludf.DUMMYFUNCTION("IMPORTRANGE(H2213,""IDENTITAS UNIT!D9"")"),"#N/A")</f>
        <v>#N/A</v>
      </c>
      <c r="H2213" s="4" t="str">
        <v/>
      </c>
      <c r="I2213" s="4" t="str">
        <v/>
      </c>
    </row>
    <row r="2214" spans="5:9" ht="16.5" hidden="1">
      <c r="E2214" s="4" t="str">
        <v/>
      </c>
      <c r="F2214" s="102" t="str">
        <f ca="1">IFERROR(__xludf.DUMMYFUNCTION("IMPORTRANGE(H2214,""IDENTITAS UNIT!D9"")"),"#N/A")</f>
        <v>#N/A</v>
      </c>
      <c r="H2214" s="4" t="str">
        <v/>
      </c>
      <c r="I2214" s="4" t="str">
        <v/>
      </c>
    </row>
    <row r="2215" spans="5:9" ht="16.5" hidden="1">
      <c r="E2215" s="4" t="str">
        <v/>
      </c>
      <c r="F2215" s="102" t="str">
        <f ca="1">IFERROR(__xludf.DUMMYFUNCTION("IMPORTRANGE(H2215,""IDENTITAS UNIT!D9"")"),"#N/A")</f>
        <v>#N/A</v>
      </c>
      <c r="H2215" s="4" t="str">
        <v/>
      </c>
      <c r="I2215" s="4" t="str">
        <v/>
      </c>
    </row>
    <row r="2216" spans="5:9" ht="16.5" hidden="1">
      <c r="E2216" s="4" t="str">
        <v/>
      </c>
      <c r="F2216" s="102" t="str">
        <f ca="1">IFERROR(__xludf.DUMMYFUNCTION("IMPORTRANGE(H2216,""IDENTITAS UNIT!D9"")"),"#N/A")</f>
        <v>#N/A</v>
      </c>
      <c r="H2216" s="4" t="str">
        <v/>
      </c>
      <c r="I2216" s="4" t="str">
        <v/>
      </c>
    </row>
    <row r="2217" spans="5:9" ht="16.5" hidden="1">
      <c r="E2217" s="4" t="str">
        <v/>
      </c>
      <c r="F2217" s="102" t="str">
        <f ca="1">IFERROR(__xludf.DUMMYFUNCTION("IMPORTRANGE(H2217,""IDENTITAS UNIT!D9"")"),"#N/A")</f>
        <v>#N/A</v>
      </c>
      <c r="H2217" s="4" t="str">
        <v/>
      </c>
      <c r="I2217" s="4" t="str">
        <v/>
      </c>
    </row>
    <row r="2218" spans="5:9" ht="16.5" hidden="1">
      <c r="E2218" s="4" t="str">
        <v/>
      </c>
      <c r="F2218" s="102" t="str">
        <f ca="1">IFERROR(__xludf.DUMMYFUNCTION("IMPORTRANGE(H2218,""IDENTITAS UNIT!D9"")"),"#N/A")</f>
        <v>#N/A</v>
      </c>
      <c r="H2218" s="4" t="str">
        <v/>
      </c>
      <c r="I2218" s="4" t="str">
        <v/>
      </c>
    </row>
    <row r="2219" spans="5:9" ht="16.5" hidden="1">
      <c r="E2219" s="4" t="str">
        <v/>
      </c>
      <c r="F2219" s="102" t="str">
        <f ca="1">IFERROR(__xludf.DUMMYFUNCTION("IMPORTRANGE(H2219,""IDENTITAS UNIT!D9"")"),"#N/A")</f>
        <v>#N/A</v>
      </c>
      <c r="H2219" s="4" t="str">
        <v/>
      </c>
      <c r="I2219" s="4" t="str">
        <v/>
      </c>
    </row>
    <row r="2220" spans="5:9" ht="16.5" hidden="1">
      <c r="E2220" s="4" t="str">
        <v/>
      </c>
      <c r="F2220" s="102" t="str">
        <f ca="1">IFERROR(__xludf.DUMMYFUNCTION("IMPORTRANGE(H2220,""IDENTITAS UNIT!D9"")"),"#N/A")</f>
        <v>#N/A</v>
      </c>
      <c r="H2220" s="4" t="str">
        <v/>
      </c>
      <c r="I2220" s="4" t="str">
        <v/>
      </c>
    </row>
    <row r="2221" spans="5:9" ht="16.5" hidden="1">
      <c r="E2221" s="4" t="str">
        <v/>
      </c>
      <c r="F2221" s="102" t="str">
        <f ca="1">IFERROR(__xludf.DUMMYFUNCTION("IMPORTRANGE(H2221,""IDENTITAS UNIT!D9"")"),"#N/A")</f>
        <v>#N/A</v>
      </c>
      <c r="H2221" s="4" t="str">
        <v/>
      </c>
      <c r="I2221" s="4" t="str">
        <v/>
      </c>
    </row>
    <row r="2222" spans="5:9" ht="16.5" hidden="1">
      <c r="E2222" s="4" t="str">
        <v/>
      </c>
      <c r="F2222" s="102" t="str">
        <f ca="1">IFERROR(__xludf.DUMMYFUNCTION("IMPORTRANGE(H2222,""IDENTITAS UNIT!D9"")"),"#N/A")</f>
        <v>#N/A</v>
      </c>
      <c r="H2222" s="4" t="str">
        <v/>
      </c>
      <c r="I2222" s="4" t="str">
        <v/>
      </c>
    </row>
    <row r="2223" spans="5:9" ht="16.5" hidden="1">
      <c r="E2223" s="4" t="str">
        <v/>
      </c>
      <c r="F2223" s="102" t="str">
        <f ca="1">IFERROR(__xludf.DUMMYFUNCTION("IMPORTRANGE(H2223,""IDENTITAS UNIT!D9"")"),"#N/A")</f>
        <v>#N/A</v>
      </c>
      <c r="H2223" s="4" t="str">
        <v/>
      </c>
      <c r="I2223" s="4" t="str">
        <v/>
      </c>
    </row>
    <row r="2224" spans="5:9" ht="16.5" hidden="1">
      <c r="E2224" s="4" t="str">
        <v/>
      </c>
      <c r="F2224" s="102" t="str">
        <f ca="1">IFERROR(__xludf.DUMMYFUNCTION("IMPORTRANGE(H2224,""IDENTITAS UNIT!D9"")"),"#N/A")</f>
        <v>#N/A</v>
      </c>
      <c r="H2224" s="4" t="str">
        <v/>
      </c>
      <c r="I2224" s="4" t="str">
        <v/>
      </c>
    </row>
    <row r="2225" spans="5:9" ht="16.5" hidden="1">
      <c r="E2225" s="4" t="str">
        <v/>
      </c>
      <c r="F2225" s="102" t="str">
        <f ca="1">IFERROR(__xludf.DUMMYFUNCTION("IMPORTRANGE(H2225,""IDENTITAS UNIT!D9"")"),"#N/A")</f>
        <v>#N/A</v>
      </c>
      <c r="H2225" s="4" t="str">
        <v/>
      </c>
      <c r="I2225" s="4" t="str">
        <v/>
      </c>
    </row>
    <row r="2226" spans="5:9" ht="16.5" hidden="1">
      <c r="E2226" s="4" t="str">
        <v/>
      </c>
      <c r="F2226" s="102" t="str">
        <f ca="1">IFERROR(__xludf.DUMMYFUNCTION("IMPORTRANGE(H2226,""IDENTITAS UNIT!D9"")"),"#N/A")</f>
        <v>#N/A</v>
      </c>
      <c r="H2226" s="4" t="str">
        <v/>
      </c>
      <c r="I2226" s="4" t="str">
        <v/>
      </c>
    </row>
    <row r="2227" spans="5:9" ht="16.5" hidden="1">
      <c r="E2227" s="4" t="str">
        <v/>
      </c>
      <c r="F2227" s="102" t="str">
        <f ca="1">IFERROR(__xludf.DUMMYFUNCTION("IMPORTRANGE(H2227,""IDENTITAS UNIT!D9"")"),"#N/A")</f>
        <v>#N/A</v>
      </c>
      <c r="H2227" s="4" t="str">
        <v/>
      </c>
      <c r="I2227" s="4" t="str">
        <v/>
      </c>
    </row>
    <row r="2228" spans="5:9" ht="16.5" hidden="1">
      <c r="E2228" s="4" t="str">
        <v/>
      </c>
      <c r="F2228" s="102" t="str">
        <f ca="1">IFERROR(__xludf.DUMMYFUNCTION("IMPORTRANGE(H2228,""IDENTITAS UNIT!D9"")"),"#N/A")</f>
        <v>#N/A</v>
      </c>
      <c r="H2228" s="4" t="str">
        <v/>
      </c>
      <c r="I2228" s="4" t="str">
        <v/>
      </c>
    </row>
    <row r="2229" spans="5:9" ht="16.5" hidden="1">
      <c r="E2229" s="4" t="str">
        <v/>
      </c>
      <c r="F2229" s="102" t="str">
        <f ca="1">IFERROR(__xludf.DUMMYFUNCTION("IMPORTRANGE(H2229,""IDENTITAS UNIT!D9"")"),"#N/A")</f>
        <v>#N/A</v>
      </c>
      <c r="H2229" s="4" t="str">
        <v/>
      </c>
      <c r="I2229" s="4" t="str">
        <v/>
      </c>
    </row>
    <row r="2230" spans="5:9" ht="16.5" hidden="1">
      <c r="E2230" s="4" t="str">
        <v/>
      </c>
      <c r="F2230" s="102" t="str">
        <f ca="1">IFERROR(__xludf.DUMMYFUNCTION("IMPORTRANGE(H2230,""IDENTITAS UNIT!D9"")"),"#N/A")</f>
        <v>#N/A</v>
      </c>
      <c r="H2230" s="4" t="str">
        <v/>
      </c>
      <c r="I2230" s="4" t="str">
        <v/>
      </c>
    </row>
    <row r="2231" spans="5:9" ht="16.5" hidden="1">
      <c r="E2231" s="4" t="str">
        <v/>
      </c>
      <c r="F2231" s="102" t="str">
        <f ca="1">IFERROR(__xludf.DUMMYFUNCTION("IMPORTRANGE(H2231,""IDENTITAS UNIT!D9"")"),"#N/A")</f>
        <v>#N/A</v>
      </c>
      <c r="H2231" s="4" t="str">
        <v/>
      </c>
      <c r="I2231" s="4" t="str">
        <v/>
      </c>
    </row>
    <row r="2232" spans="5:9" ht="16.5" hidden="1">
      <c r="E2232" s="4" t="str">
        <v/>
      </c>
      <c r="F2232" s="102" t="str">
        <f ca="1">IFERROR(__xludf.DUMMYFUNCTION("IMPORTRANGE(H2232,""IDENTITAS UNIT!D9"")"),"#N/A")</f>
        <v>#N/A</v>
      </c>
      <c r="H2232" s="4" t="str">
        <v/>
      </c>
      <c r="I2232" s="4" t="str">
        <v/>
      </c>
    </row>
    <row r="2233" spans="5:9" ht="16.5" hidden="1">
      <c r="E2233" s="4" t="str">
        <v/>
      </c>
      <c r="F2233" s="102" t="str">
        <f ca="1">IFERROR(__xludf.DUMMYFUNCTION("IMPORTRANGE(H2233,""IDENTITAS UNIT!D9"")"),"#N/A")</f>
        <v>#N/A</v>
      </c>
      <c r="H2233" s="4" t="str">
        <v/>
      </c>
      <c r="I2233" s="4" t="str">
        <v/>
      </c>
    </row>
    <row r="2234" spans="5:9" ht="16.5" hidden="1">
      <c r="E2234" s="4" t="str">
        <v/>
      </c>
      <c r="F2234" s="102" t="str">
        <f ca="1">IFERROR(__xludf.DUMMYFUNCTION("IMPORTRANGE(H2234,""IDENTITAS UNIT!D9"")"),"#N/A")</f>
        <v>#N/A</v>
      </c>
      <c r="H2234" s="4" t="str">
        <v/>
      </c>
      <c r="I2234" s="4" t="str">
        <v/>
      </c>
    </row>
    <row r="2235" spans="5:9" ht="16.5" hidden="1">
      <c r="E2235" s="4" t="str">
        <v/>
      </c>
      <c r="F2235" s="102" t="str">
        <f ca="1">IFERROR(__xludf.DUMMYFUNCTION("IMPORTRANGE(H2235,""IDENTITAS UNIT!D9"")"),"#N/A")</f>
        <v>#N/A</v>
      </c>
      <c r="H2235" s="4" t="str">
        <v/>
      </c>
      <c r="I2235" s="4" t="str">
        <v/>
      </c>
    </row>
    <row r="2236" spans="5:9" ht="16.5" hidden="1">
      <c r="E2236" s="4" t="str">
        <v/>
      </c>
      <c r="F2236" s="102" t="str">
        <f ca="1">IFERROR(__xludf.DUMMYFUNCTION("IMPORTRANGE(H2236,""IDENTITAS UNIT!D9"")"),"#N/A")</f>
        <v>#N/A</v>
      </c>
      <c r="H2236" s="4" t="str">
        <v/>
      </c>
      <c r="I2236" s="4" t="str">
        <v/>
      </c>
    </row>
    <row r="2237" spans="5:9" ht="16.5" hidden="1">
      <c r="E2237" s="4" t="str">
        <v/>
      </c>
      <c r="F2237" s="102" t="str">
        <f ca="1">IFERROR(__xludf.DUMMYFUNCTION("IMPORTRANGE(H2237,""IDENTITAS UNIT!D9"")"),"#N/A")</f>
        <v>#N/A</v>
      </c>
      <c r="H2237" s="4" t="str">
        <v/>
      </c>
      <c r="I2237" s="4" t="str">
        <v/>
      </c>
    </row>
    <row r="2238" spans="5:9" ht="16.5" hidden="1">
      <c r="E2238" s="4" t="str">
        <v/>
      </c>
      <c r="F2238" s="102" t="str">
        <f ca="1">IFERROR(__xludf.DUMMYFUNCTION("IMPORTRANGE(H2238,""IDENTITAS UNIT!D9"")"),"#N/A")</f>
        <v>#N/A</v>
      </c>
      <c r="H2238" s="4" t="str">
        <v/>
      </c>
      <c r="I2238" s="4" t="str">
        <v/>
      </c>
    </row>
    <row r="2239" spans="5:9" ht="16.5" hidden="1">
      <c r="E2239" s="4" t="str">
        <v/>
      </c>
      <c r="F2239" s="102" t="str">
        <f ca="1">IFERROR(__xludf.DUMMYFUNCTION("IMPORTRANGE(H2239,""IDENTITAS UNIT!D9"")"),"#N/A")</f>
        <v>#N/A</v>
      </c>
      <c r="H2239" s="4" t="str">
        <v/>
      </c>
      <c r="I2239" s="4" t="str">
        <v/>
      </c>
    </row>
    <row r="2240" spans="5:9" ht="16.5" hidden="1">
      <c r="E2240" s="4" t="str">
        <v/>
      </c>
      <c r="F2240" s="102" t="str">
        <f ca="1">IFERROR(__xludf.DUMMYFUNCTION("IMPORTRANGE(H2240,""IDENTITAS UNIT!D9"")"),"#N/A")</f>
        <v>#N/A</v>
      </c>
      <c r="H2240" s="4" t="str">
        <v/>
      </c>
      <c r="I2240" s="4" t="str">
        <v/>
      </c>
    </row>
    <row r="2241" spans="5:9" ht="16.5" hidden="1">
      <c r="E2241" s="4" t="str">
        <v/>
      </c>
      <c r="F2241" s="102" t="str">
        <f ca="1">IFERROR(__xludf.DUMMYFUNCTION("IMPORTRANGE(H2241,""IDENTITAS UNIT!D9"")"),"#N/A")</f>
        <v>#N/A</v>
      </c>
      <c r="H2241" s="4" t="str">
        <v/>
      </c>
      <c r="I2241" s="4" t="str">
        <v/>
      </c>
    </row>
    <row r="2242" spans="5:9" ht="16.5" hidden="1">
      <c r="E2242" s="4" t="str">
        <v/>
      </c>
      <c r="F2242" s="102" t="str">
        <f ca="1">IFERROR(__xludf.DUMMYFUNCTION("IMPORTRANGE(H2242,""IDENTITAS UNIT!D9"")"),"#N/A")</f>
        <v>#N/A</v>
      </c>
      <c r="H2242" s="4" t="str">
        <v/>
      </c>
      <c r="I2242" s="4" t="str">
        <v/>
      </c>
    </row>
    <row r="2243" spans="5:9" ht="16.5" hidden="1">
      <c r="E2243" s="4" t="str">
        <v/>
      </c>
      <c r="F2243" s="102" t="str">
        <f ca="1">IFERROR(__xludf.DUMMYFUNCTION("IMPORTRANGE(H2243,""IDENTITAS UNIT!D9"")"),"#N/A")</f>
        <v>#N/A</v>
      </c>
      <c r="H2243" s="4" t="str">
        <v/>
      </c>
      <c r="I2243" s="4" t="str">
        <v/>
      </c>
    </row>
    <row r="2244" spans="5:9" ht="16.5" hidden="1">
      <c r="E2244" s="4" t="str">
        <v/>
      </c>
      <c r="F2244" s="102" t="str">
        <f ca="1">IFERROR(__xludf.DUMMYFUNCTION("IMPORTRANGE(H2244,""IDENTITAS UNIT!D9"")"),"#N/A")</f>
        <v>#N/A</v>
      </c>
      <c r="H2244" s="4" t="str">
        <v/>
      </c>
      <c r="I2244" s="4" t="str">
        <v/>
      </c>
    </row>
    <row r="2245" spans="5:9" ht="16.5" hidden="1">
      <c r="E2245" s="4" t="str">
        <v/>
      </c>
      <c r="F2245" s="102" t="str">
        <f ca="1">IFERROR(__xludf.DUMMYFUNCTION("IMPORTRANGE(H2245,""IDENTITAS UNIT!D9"")"),"#N/A")</f>
        <v>#N/A</v>
      </c>
      <c r="H2245" s="4" t="str">
        <v/>
      </c>
      <c r="I2245" s="4" t="str">
        <v/>
      </c>
    </row>
    <row r="2246" spans="5:9" ht="16.5" hidden="1">
      <c r="E2246" s="4" t="str">
        <v/>
      </c>
      <c r="F2246" s="102" t="str">
        <f ca="1">IFERROR(__xludf.DUMMYFUNCTION("IMPORTRANGE(H2246,""IDENTITAS UNIT!D9"")"),"#N/A")</f>
        <v>#N/A</v>
      </c>
      <c r="H2246" s="4" t="str">
        <v/>
      </c>
      <c r="I2246" s="4" t="str">
        <v/>
      </c>
    </row>
    <row r="2247" spans="5:9" ht="16.5" hidden="1">
      <c r="E2247" s="4" t="str">
        <v/>
      </c>
      <c r="F2247" s="102" t="str">
        <f ca="1">IFERROR(__xludf.DUMMYFUNCTION("IMPORTRANGE(H2247,""IDENTITAS UNIT!D9"")"),"#N/A")</f>
        <v>#N/A</v>
      </c>
      <c r="H2247" s="4" t="str">
        <v/>
      </c>
      <c r="I2247" s="4" t="str">
        <v/>
      </c>
    </row>
    <row r="2248" spans="5:9" ht="16.5" hidden="1">
      <c r="E2248" s="4" t="str">
        <v/>
      </c>
      <c r="F2248" s="102" t="str">
        <f ca="1">IFERROR(__xludf.DUMMYFUNCTION("IMPORTRANGE(H2248,""IDENTITAS UNIT!D9"")"),"#N/A")</f>
        <v>#N/A</v>
      </c>
      <c r="H2248" s="4" t="str">
        <v/>
      </c>
      <c r="I2248" s="4" t="str">
        <v/>
      </c>
    </row>
    <row r="2249" spans="5:9" ht="16.5" hidden="1">
      <c r="E2249" s="4" t="str">
        <v/>
      </c>
      <c r="F2249" s="102" t="str">
        <f ca="1">IFERROR(__xludf.DUMMYFUNCTION("IMPORTRANGE(H2249,""IDENTITAS UNIT!D9"")"),"#N/A")</f>
        <v>#N/A</v>
      </c>
      <c r="H2249" s="4" t="str">
        <v/>
      </c>
      <c r="I2249" s="4" t="str">
        <v/>
      </c>
    </row>
    <row r="2250" spans="5:9" ht="16.5" hidden="1">
      <c r="E2250" s="4" t="str">
        <v/>
      </c>
      <c r="F2250" s="102" t="str">
        <f ca="1">IFERROR(__xludf.DUMMYFUNCTION("IMPORTRANGE(H2250,""IDENTITAS UNIT!D9"")"),"#N/A")</f>
        <v>#N/A</v>
      </c>
      <c r="H2250" s="4" t="str">
        <v/>
      </c>
      <c r="I2250" s="4" t="str">
        <v/>
      </c>
    </row>
    <row r="2251" spans="5:9" ht="16.5" hidden="1">
      <c r="E2251" s="4" t="str">
        <v/>
      </c>
      <c r="F2251" s="102" t="str">
        <f ca="1">IFERROR(__xludf.DUMMYFUNCTION("IMPORTRANGE(H2251,""IDENTITAS UNIT!D9"")"),"#N/A")</f>
        <v>#N/A</v>
      </c>
      <c r="H2251" s="4" t="str">
        <v/>
      </c>
      <c r="I2251" s="4" t="str">
        <v/>
      </c>
    </row>
    <row r="2252" spans="5:9" ht="16.5" hidden="1">
      <c r="E2252" s="4" t="str">
        <v/>
      </c>
      <c r="F2252" s="102" t="str">
        <f ca="1">IFERROR(__xludf.DUMMYFUNCTION("IMPORTRANGE(H2252,""IDENTITAS UNIT!D9"")"),"#N/A")</f>
        <v>#N/A</v>
      </c>
      <c r="H2252" s="4" t="str">
        <v/>
      </c>
      <c r="I2252" s="4" t="str">
        <v/>
      </c>
    </row>
    <row r="2253" spans="5:9" ht="16.5" hidden="1">
      <c r="E2253" s="4" t="str">
        <v/>
      </c>
      <c r="F2253" s="102" t="str">
        <f ca="1">IFERROR(__xludf.DUMMYFUNCTION("IMPORTRANGE(H2253,""IDENTITAS UNIT!D9"")"),"#N/A")</f>
        <v>#N/A</v>
      </c>
      <c r="H2253" s="4" t="str">
        <v/>
      </c>
      <c r="I2253" s="4" t="str">
        <v/>
      </c>
    </row>
    <row r="2254" spans="5:9" ht="16.5" hidden="1">
      <c r="E2254" s="4" t="str">
        <v/>
      </c>
      <c r="F2254" s="102" t="str">
        <f ca="1">IFERROR(__xludf.DUMMYFUNCTION("IMPORTRANGE(H2254,""IDENTITAS UNIT!D9"")"),"#N/A")</f>
        <v>#N/A</v>
      </c>
      <c r="H2254" s="4" t="str">
        <v/>
      </c>
      <c r="I2254" s="4" t="str">
        <v/>
      </c>
    </row>
    <row r="2255" spans="5:9" ht="16.5" hidden="1">
      <c r="E2255" s="4" t="str">
        <v/>
      </c>
      <c r="F2255" s="102" t="str">
        <f ca="1">IFERROR(__xludf.DUMMYFUNCTION("IMPORTRANGE(H2255,""IDENTITAS UNIT!D9"")"),"#N/A")</f>
        <v>#N/A</v>
      </c>
      <c r="H2255" s="4" t="str">
        <v/>
      </c>
      <c r="I2255" s="4" t="str">
        <v/>
      </c>
    </row>
    <row r="2256" spans="5:9" ht="16.5" hidden="1">
      <c r="E2256" s="4" t="str">
        <v/>
      </c>
      <c r="F2256" s="102" t="str">
        <f ca="1">IFERROR(__xludf.DUMMYFUNCTION("IMPORTRANGE(H2256,""IDENTITAS UNIT!D9"")"),"#N/A")</f>
        <v>#N/A</v>
      </c>
      <c r="H2256" s="4" t="str">
        <v/>
      </c>
      <c r="I2256" s="4" t="str">
        <v/>
      </c>
    </row>
    <row r="2257" spans="5:9" ht="16.5" hidden="1">
      <c r="E2257" s="4" t="str">
        <v/>
      </c>
      <c r="F2257" s="102" t="str">
        <f ca="1">IFERROR(__xludf.DUMMYFUNCTION("IMPORTRANGE(H2257,""IDENTITAS UNIT!D9"")"),"#N/A")</f>
        <v>#N/A</v>
      </c>
      <c r="H2257" s="4" t="str">
        <v/>
      </c>
      <c r="I2257" s="4" t="str">
        <v/>
      </c>
    </row>
    <row r="2258" spans="5:9" ht="16.5" hidden="1">
      <c r="E2258" s="4" t="str">
        <v/>
      </c>
      <c r="F2258" s="102" t="str">
        <f ca="1">IFERROR(__xludf.DUMMYFUNCTION("IMPORTRANGE(H2258,""IDENTITAS UNIT!D9"")"),"#N/A")</f>
        <v>#N/A</v>
      </c>
      <c r="H2258" s="4" t="str">
        <v/>
      </c>
      <c r="I2258" s="4" t="str">
        <v/>
      </c>
    </row>
    <row r="2259" spans="5:9" ht="16.5" hidden="1">
      <c r="E2259" s="4" t="str">
        <v/>
      </c>
      <c r="F2259" s="102" t="str">
        <f ca="1">IFERROR(__xludf.DUMMYFUNCTION("IMPORTRANGE(H2259,""IDENTITAS UNIT!D9"")"),"#N/A")</f>
        <v>#N/A</v>
      </c>
      <c r="H2259" s="4" t="str">
        <v/>
      </c>
      <c r="I2259" s="4" t="str">
        <v/>
      </c>
    </row>
    <row r="2260" spans="5:9" ht="16.5" hidden="1">
      <c r="E2260" s="4" t="str">
        <v/>
      </c>
      <c r="F2260" s="102" t="str">
        <f ca="1">IFERROR(__xludf.DUMMYFUNCTION("IMPORTRANGE(H2260,""IDENTITAS UNIT!D9"")"),"#N/A")</f>
        <v>#N/A</v>
      </c>
      <c r="H2260" s="4" t="str">
        <v/>
      </c>
      <c r="I2260" s="4" t="str">
        <v/>
      </c>
    </row>
    <row r="2261" spans="5:9" ht="16.5" hidden="1">
      <c r="E2261" s="4" t="str">
        <v/>
      </c>
      <c r="F2261" s="102" t="str">
        <f ca="1">IFERROR(__xludf.DUMMYFUNCTION("IMPORTRANGE(H2261,""IDENTITAS UNIT!D9"")"),"#N/A")</f>
        <v>#N/A</v>
      </c>
      <c r="H2261" s="4" t="str">
        <v/>
      </c>
      <c r="I2261" s="4" t="str">
        <v/>
      </c>
    </row>
    <row r="2262" spans="5:9" ht="16.5" hidden="1">
      <c r="E2262" s="4" t="str">
        <v/>
      </c>
      <c r="F2262" s="102" t="str">
        <f ca="1">IFERROR(__xludf.DUMMYFUNCTION("IMPORTRANGE(H2262,""IDENTITAS UNIT!D9"")"),"#N/A")</f>
        <v>#N/A</v>
      </c>
      <c r="H2262" s="4" t="str">
        <v/>
      </c>
      <c r="I2262" s="4" t="str">
        <v/>
      </c>
    </row>
    <row r="2263" spans="5:9" ht="16.5" hidden="1">
      <c r="E2263" s="4" t="str">
        <v/>
      </c>
      <c r="F2263" s="102" t="str">
        <f ca="1">IFERROR(__xludf.DUMMYFUNCTION("IMPORTRANGE(H2263,""IDENTITAS UNIT!D9"")"),"#N/A")</f>
        <v>#N/A</v>
      </c>
      <c r="H2263" s="4" t="str">
        <v/>
      </c>
      <c r="I2263" s="4" t="str">
        <v/>
      </c>
    </row>
    <row r="2264" spans="5:9" ht="16.5" hidden="1">
      <c r="E2264" s="4" t="str">
        <v/>
      </c>
      <c r="F2264" s="102" t="str">
        <f ca="1">IFERROR(__xludf.DUMMYFUNCTION("IMPORTRANGE(H2264,""IDENTITAS UNIT!D9"")"),"#N/A")</f>
        <v>#N/A</v>
      </c>
      <c r="H2264" s="4" t="str">
        <v/>
      </c>
      <c r="I2264" s="4" t="str">
        <v/>
      </c>
    </row>
    <row r="2265" spans="5:9" ht="16.5" hidden="1">
      <c r="E2265" s="4" t="str">
        <v/>
      </c>
      <c r="F2265" s="102" t="str">
        <f ca="1">IFERROR(__xludf.DUMMYFUNCTION("IMPORTRANGE(H2265,""IDENTITAS UNIT!D9"")"),"#N/A")</f>
        <v>#N/A</v>
      </c>
      <c r="H2265" s="4" t="str">
        <v/>
      </c>
      <c r="I2265" s="4" t="str">
        <v/>
      </c>
    </row>
    <row r="2266" spans="5:9" ht="16.5" hidden="1">
      <c r="E2266" s="4" t="str">
        <v/>
      </c>
      <c r="F2266" s="102" t="str">
        <f ca="1">IFERROR(__xludf.DUMMYFUNCTION("IMPORTRANGE(H2266,""IDENTITAS UNIT!D9"")"),"#N/A")</f>
        <v>#N/A</v>
      </c>
      <c r="H2266" s="4" t="str">
        <v/>
      </c>
      <c r="I2266" s="4" t="str">
        <v/>
      </c>
    </row>
    <row r="2267" spans="5:9" ht="16.5" hidden="1">
      <c r="E2267" s="4" t="str">
        <v/>
      </c>
      <c r="F2267" s="102" t="str">
        <f ca="1">IFERROR(__xludf.DUMMYFUNCTION("IMPORTRANGE(H2267,""IDENTITAS UNIT!D9"")"),"#N/A")</f>
        <v>#N/A</v>
      </c>
      <c r="H2267" s="4" t="str">
        <v/>
      </c>
      <c r="I2267" s="4" t="str">
        <v/>
      </c>
    </row>
    <row r="2268" spans="5:9" ht="16.5" hidden="1">
      <c r="E2268" s="4" t="str">
        <v/>
      </c>
      <c r="F2268" s="102" t="str">
        <f ca="1">IFERROR(__xludf.DUMMYFUNCTION("IMPORTRANGE(H2268,""IDENTITAS UNIT!D9"")"),"#N/A")</f>
        <v>#N/A</v>
      </c>
      <c r="H2268" s="4" t="str">
        <v/>
      </c>
      <c r="I2268" s="4" t="str">
        <v/>
      </c>
    </row>
    <row r="2269" spans="5:9" ht="16.5" hidden="1">
      <c r="E2269" s="4" t="str">
        <v/>
      </c>
      <c r="F2269" s="102" t="str">
        <f ca="1">IFERROR(__xludf.DUMMYFUNCTION("IMPORTRANGE(H2269,""IDENTITAS UNIT!D9"")"),"#N/A")</f>
        <v>#N/A</v>
      </c>
      <c r="H2269" s="4" t="str">
        <v/>
      </c>
      <c r="I2269" s="4" t="str">
        <v/>
      </c>
    </row>
    <row r="2270" spans="5:9" ht="16.5" hidden="1">
      <c r="E2270" s="4" t="str">
        <v/>
      </c>
      <c r="F2270" s="102" t="str">
        <f ca="1">IFERROR(__xludf.DUMMYFUNCTION("IMPORTRANGE(H2270,""IDENTITAS UNIT!D9"")"),"#N/A")</f>
        <v>#N/A</v>
      </c>
      <c r="H2270" s="4" t="str">
        <v/>
      </c>
      <c r="I2270" s="4" t="str">
        <v/>
      </c>
    </row>
    <row r="2271" spans="5:9" ht="16.5" hidden="1">
      <c r="E2271" s="4" t="str">
        <v/>
      </c>
      <c r="F2271" s="102" t="str">
        <f ca="1">IFERROR(__xludf.DUMMYFUNCTION("IMPORTRANGE(H2271,""IDENTITAS UNIT!D9"")"),"#N/A")</f>
        <v>#N/A</v>
      </c>
      <c r="H2271" s="4" t="str">
        <v/>
      </c>
      <c r="I2271" s="4" t="str">
        <v/>
      </c>
    </row>
    <row r="2272" spans="5:9" ht="16.5" hidden="1">
      <c r="E2272" s="4" t="str">
        <v/>
      </c>
      <c r="F2272" s="102" t="str">
        <f ca="1">IFERROR(__xludf.DUMMYFUNCTION("IMPORTRANGE(H2272,""IDENTITAS UNIT!D9"")"),"#N/A")</f>
        <v>#N/A</v>
      </c>
      <c r="H2272" s="4" t="str">
        <v/>
      </c>
      <c r="I2272" s="4" t="str">
        <v/>
      </c>
    </row>
    <row r="2273" spans="5:9" ht="16.5" hidden="1">
      <c r="E2273" s="4" t="str">
        <v/>
      </c>
      <c r="F2273" s="102" t="str">
        <f ca="1">IFERROR(__xludf.DUMMYFUNCTION("IMPORTRANGE(H2273,""IDENTITAS UNIT!D9"")"),"#N/A")</f>
        <v>#N/A</v>
      </c>
      <c r="H2273" s="4" t="str">
        <v/>
      </c>
      <c r="I2273" s="4" t="str">
        <v/>
      </c>
    </row>
    <row r="2274" spans="5:9" ht="16.5" hidden="1">
      <c r="E2274" s="4" t="str">
        <v/>
      </c>
      <c r="F2274" s="102" t="str">
        <f ca="1">IFERROR(__xludf.DUMMYFUNCTION("IMPORTRANGE(H2274,""IDENTITAS UNIT!D9"")"),"#N/A")</f>
        <v>#N/A</v>
      </c>
      <c r="H2274" s="4" t="str">
        <v/>
      </c>
      <c r="I2274" s="4" t="str">
        <v/>
      </c>
    </row>
    <row r="2275" spans="5:9" ht="16.5" hidden="1">
      <c r="E2275" s="4" t="str">
        <v/>
      </c>
      <c r="F2275" s="102" t="str">
        <f ca="1">IFERROR(__xludf.DUMMYFUNCTION("IMPORTRANGE(H2275,""IDENTITAS UNIT!D9"")"),"#N/A")</f>
        <v>#N/A</v>
      </c>
      <c r="H2275" s="4" t="str">
        <v/>
      </c>
      <c r="I2275" s="4" t="str">
        <v/>
      </c>
    </row>
    <row r="2276" spans="5:9" ht="16.5" hidden="1">
      <c r="E2276" s="4" t="str">
        <v/>
      </c>
      <c r="F2276" s="102" t="str">
        <f ca="1">IFERROR(__xludf.DUMMYFUNCTION("IMPORTRANGE(H2276,""IDENTITAS UNIT!D9"")"),"#N/A")</f>
        <v>#N/A</v>
      </c>
      <c r="H2276" s="4" t="str">
        <v/>
      </c>
      <c r="I2276" s="4" t="str">
        <v/>
      </c>
    </row>
    <row r="2277" spans="5:9" ht="16.5" hidden="1">
      <c r="E2277" s="4" t="str">
        <v/>
      </c>
      <c r="F2277" s="102" t="str">
        <f ca="1">IFERROR(__xludf.DUMMYFUNCTION("IMPORTRANGE(H2277,""IDENTITAS UNIT!D9"")"),"#N/A")</f>
        <v>#N/A</v>
      </c>
      <c r="H2277" s="4" t="str">
        <v/>
      </c>
      <c r="I2277" s="4" t="str">
        <v/>
      </c>
    </row>
    <row r="2278" spans="5:9" ht="16.5" hidden="1">
      <c r="E2278" s="4" t="str">
        <v/>
      </c>
      <c r="F2278" s="102" t="str">
        <f ca="1">IFERROR(__xludf.DUMMYFUNCTION("IMPORTRANGE(H2278,""IDENTITAS UNIT!D9"")"),"#N/A")</f>
        <v>#N/A</v>
      </c>
      <c r="H2278" s="4" t="str">
        <v/>
      </c>
      <c r="I2278" s="4" t="str">
        <v/>
      </c>
    </row>
    <row r="2279" spans="5:9" ht="16.5" hidden="1">
      <c r="E2279" s="4" t="str">
        <v/>
      </c>
      <c r="F2279" s="102" t="str">
        <f ca="1">IFERROR(__xludf.DUMMYFUNCTION("IMPORTRANGE(H2279,""IDENTITAS UNIT!D9"")"),"#N/A")</f>
        <v>#N/A</v>
      </c>
      <c r="H2279" s="4" t="str">
        <v/>
      </c>
      <c r="I2279" s="4" t="str">
        <v/>
      </c>
    </row>
    <row r="2280" spans="5:9" ht="16.5" hidden="1">
      <c r="E2280" s="4" t="str">
        <v/>
      </c>
      <c r="F2280" s="102" t="str">
        <f ca="1">IFERROR(__xludf.DUMMYFUNCTION("IMPORTRANGE(H2280,""IDENTITAS UNIT!D9"")"),"#N/A")</f>
        <v>#N/A</v>
      </c>
      <c r="H2280" s="4" t="str">
        <v/>
      </c>
      <c r="I2280" s="4" t="str">
        <v/>
      </c>
    </row>
    <row r="2281" spans="5:9" ht="16.5" hidden="1">
      <c r="E2281" s="4" t="str">
        <v/>
      </c>
      <c r="F2281" s="102" t="str">
        <f ca="1">IFERROR(__xludf.DUMMYFUNCTION("IMPORTRANGE(H2281,""IDENTITAS UNIT!D9"")"),"#N/A")</f>
        <v>#N/A</v>
      </c>
      <c r="H2281" s="4" t="str">
        <v/>
      </c>
      <c r="I2281" s="4" t="str">
        <v/>
      </c>
    </row>
    <row r="2282" spans="5:9" ht="16.5" hidden="1">
      <c r="E2282" s="4" t="str">
        <v/>
      </c>
      <c r="F2282" s="102" t="str">
        <f ca="1">IFERROR(__xludf.DUMMYFUNCTION("IMPORTRANGE(H2282,""IDENTITAS UNIT!D9"")"),"#N/A")</f>
        <v>#N/A</v>
      </c>
      <c r="H2282" s="4" t="str">
        <v/>
      </c>
      <c r="I2282" s="4" t="str">
        <v/>
      </c>
    </row>
    <row r="2283" spans="5:9" ht="16.5" hidden="1">
      <c r="E2283" s="4" t="str">
        <v/>
      </c>
      <c r="F2283" s="102" t="str">
        <f ca="1">IFERROR(__xludf.DUMMYFUNCTION("IMPORTRANGE(H2283,""IDENTITAS UNIT!D9"")"),"#N/A")</f>
        <v>#N/A</v>
      </c>
      <c r="H2283" s="4" t="str">
        <v/>
      </c>
      <c r="I2283" s="4" t="str">
        <v/>
      </c>
    </row>
    <row r="2284" spans="5:9" ht="16.5" hidden="1">
      <c r="E2284" s="4" t="str">
        <v/>
      </c>
      <c r="F2284" s="102" t="str">
        <f ca="1">IFERROR(__xludf.DUMMYFUNCTION("IMPORTRANGE(H2284,""IDENTITAS UNIT!D9"")"),"#N/A")</f>
        <v>#N/A</v>
      </c>
      <c r="H2284" s="4" t="str">
        <v/>
      </c>
      <c r="I2284" s="4" t="str">
        <v/>
      </c>
    </row>
    <row r="2285" spans="5:9" ht="16.5" hidden="1">
      <c r="E2285" s="4" t="str">
        <v/>
      </c>
      <c r="F2285" s="102" t="str">
        <f ca="1">IFERROR(__xludf.DUMMYFUNCTION("IMPORTRANGE(H2285,""IDENTITAS UNIT!D9"")"),"#N/A")</f>
        <v>#N/A</v>
      </c>
      <c r="H2285" s="4" t="str">
        <v/>
      </c>
      <c r="I2285" s="4" t="str">
        <v/>
      </c>
    </row>
    <row r="2286" spans="5:9" ht="16.5" hidden="1">
      <c r="E2286" s="4" t="str">
        <v/>
      </c>
      <c r="F2286" s="102" t="str">
        <f ca="1">IFERROR(__xludf.DUMMYFUNCTION("IMPORTRANGE(H2286,""IDENTITAS UNIT!D9"")"),"#N/A")</f>
        <v>#N/A</v>
      </c>
      <c r="H2286" s="4" t="str">
        <v/>
      </c>
      <c r="I2286" s="4" t="str">
        <v/>
      </c>
    </row>
    <row r="2287" spans="5:9" ht="16.5" hidden="1">
      <c r="E2287" s="4" t="str">
        <v/>
      </c>
      <c r="F2287" s="102" t="str">
        <f ca="1">IFERROR(__xludf.DUMMYFUNCTION("IMPORTRANGE(H2287,""IDENTITAS UNIT!D9"")"),"#N/A")</f>
        <v>#N/A</v>
      </c>
      <c r="H2287" s="4" t="str">
        <v/>
      </c>
      <c r="I2287" s="4" t="str">
        <v/>
      </c>
    </row>
    <row r="2288" spans="5:9" ht="16.5" hidden="1">
      <c r="E2288" s="4" t="str">
        <v/>
      </c>
      <c r="F2288" s="102" t="str">
        <f ca="1">IFERROR(__xludf.DUMMYFUNCTION("IMPORTRANGE(H2288,""IDENTITAS UNIT!D9"")"),"#N/A")</f>
        <v>#N/A</v>
      </c>
      <c r="H2288" s="4" t="str">
        <v/>
      </c>
      <c r="I2288" s="4" t="str">
        <v/>
      </c>
    </row>
    <row r="2289" spans="5:9" ht="16.5" hidden="1">
      <c r="E2289" s="4" t="str">
        <v/>
      </c>
      <c r="F2289" s="102" t="str">
        <f ca="1">IFERROR(__xludf.DUMMYFUNCTION("IMPORTRANGE(H2289,""IDENTITAS UNIT!D9"")"),"#N/A")</f>
        <v>#N/A</v>
      </c>
      <c r="H2289" s="4" t="str">
        <v/>
      </c>
      <c r="I2289" s="4" t="str">
        <v/>
      </c>
    </row>
    <row r="2290" spans="5:9" ht="16.5" hidden="1">
      <c r="E2290" s="4" t="str">
        <v/>
      </c>
      <c r="F2290" s="102" t="str">
        <f ca="1">IFERROR(__xludf.DUMMYFUNCTION("IMPORTRANGE(H2290,""IDENTITAS UNIT!D9"")"),"#N/A")</f>
        <v>#N/A</v>
      </c>
      <c r="H2290" s="4" t="str">
        <v/>
      </c>
      <c r="I2290" s="4" t="str">
        <v/>
      </c>
    </row>
    <row r="2291" spans="5:9" ht="16.5" hidden="1">
      <c r="E2291" s="4" t="str">
        <v/>
      </c>
      <c r="F2291" s="102" t="str">
        <f ca="1">IFERROR(__xludf.DUMMYFUNCTION("IMPORTRANGE(H2291,""IDENTITAS UNIT!D9"")"),"#N/A")</f>
        <v>#N/A</v>
      </c>
      <c r="H2291" s="4" t="str">
        <v/>
      </c>
      <c r="I2291" s="4" t="str">
        <v/>
      </c>
    </row>
    <row r="2292" spans="5:9" ht="16.5" hidden="1">
      <c r="E2292" s="4" t="str">
        <v/>
      </c>
      <c r="F2292" s="102" t="str">
        <f ca="1">IFERROR(__xludf.DUMMYFUNCTION("IMPORTRANGE(H2292,""IDENTITAS UNIT!D9"")"),"#N/A")</f>
        <v>#N/A</v>
      </c>
      <c r="H2292" s="4" t="str">
        <v/>
      </c>
      <c r="I2292" s="4" t="str">
        <v/>
      </c>
    </row>
    <row r="2293" spans="5:9" ht="16.5" hidden="1">
      <c r="E2293" s="4" t="str">
        <v/>
      </c>
      <c r="F2293" s="102" t="str">
        <f ca="1">IFERROR(__xludf.DUMMYFUNCTION("IMPORTRANGE(H2293,""IDENTITAS UNIT!D9"")"),"#N/A")</f>
        <v>#N/A</v>
      </c>
      <c r="H2293" s="4" t="str">
        <v/>
      </c>
      <c r="I2293" s="4" t="str">
        <v/>
      </c>
    </row>
    <row r="2294" spans="5:9" ht="16.5" hidden="1">
      <c r="E2294" s="4" t="str">
        <v/>
      </c>
      <c r="F2294" s="102" t="str">
        <f ca="1">IFERROR(__xludf.DUMMYFUNCTION("IMPORTRANGE(H2294,""IDENTITAS UNIT!D9"")"),"#N/A")</f>
        <v>#N/A</v>
      </c>
      <c r="H2294" s="4" t="str">
        <v/>
      </c>
      <c r="I2294" s="4" t="str">
        <v/>
      </c>
    </row>
    <row r="2295" spans="5:9" ht="16.5" hidden="1">
      <c r="E2295" s="4" t="str">
        <v/>
      </c>
      <c r="F2295" s="102" t="str">
        <f ca="1">IFERROR(__xludf.DUMMYFUNCTION("IMPORTRANGE(H2295,""IDENTITAS UNIT!D9"")"),"#N/A")</f>
        <v>#N/A</v>
      </c>
      <c r="H2295" s="4" t="str">
        <v/>
      </c>
      <c r="I2295" s="4" t="str">
        <v/>
      </c>
    </row>
    <row r="2296" spans="5:9" ht="16.5" hidden="1">
      <c r="E2296" s="4" t="str">
        <v/>
      </c>
      <c r="F2296" s="102" t="str">
        <f ca="1">IFERROR(__xludf.DUMMYFUNCTION("IMPORTRANGE(H2296,""IDENTITAS UNIT!D9"")"),"#N/A")</f>
        <v>#N/A</v>
      </c>
      <c r="H2296" s="4" t="str">
        <v/>
      </c>
      <c r="I2296" s="4" t="str">
        <v/>
      </c>
    </row>
    <row r="2297" spans="5:9" ht="16.5" hidden="1">
      <c r="E2297" s="4" t="str">
        <v/>
      </c>
      <c r="F2297" s="102" t="str">
        <f ca="1">IFERROR(__xludf.DUMMYFUNCTION("IMPORTRANGE(H2297,""IDENTITAS UNIT!D9"")"),"#N/A")</f>
        <v>#N/A</v>
      </c>
      <c r="H2297" s="4" t="str">
        <v/>
      </c>
      <c r="I2297" s="4" t="str">
        <v/>
      </c>
    </row>
    <row r="2298" spans="5:9" ht="16.5" hidden="1">
      <c r="E2298" s="4" t="str">
        <v/>
      </c>
      <c r="F2298" s="102" t="str">
        <f ca="1">IFERROR(__xludf.DUMMYFUNCTION("IMPORTRANGE(H2298,""IDENTITAS UNIT!D9"")"),"#N/A")</f>
        <v>#N/A</v>
      </c>
      <c r="H2298" s="4" t="str">
        <v/>
      </c>
      <c r="I2298" s="4" t="str">
        <v/>
      </c>
    </row>
    <row r="2299" spans="5:9" ht="16.5" hidden="1">
      <c r="E2299" s="4" t="str">
        <v/>
      </c>
      <c r="F2299" s="102" t="str">
        <f ca="1">IFERROR(__xludf.DUMMYFUNCTION("IMPORTRANGE(H2299,""IDENTITAS UNIT!D9"")"),"#N/A")</f>
        <v>#N/A</v>
      </c>
      <c r="H2299" s="4" t="str">
        <v/>
      </c>
      <c r="I2299" s="4" t="str">
        <v/>
      </c>
    </row>
    <row r="2300" spans="5:9" ht="16.5" hidden="1">
      <c r="E2300" s="4" t="str">
        <v/>
      </c>
      <c r="F2300" s="102" t="str">
        <f ca="1">IFERROR(__xludf.DUMMYFUNCTION("IMPORTRANGE(H2300,""IDENTITAS UNIT!D9"")"),"#N/A")</f>
        <v>#N/A</v>
      </c>
      <c r="H2300" s="4" t="str">
        <v/>
      </c>
      <c r="I2300" s="4" t="str">
        <v/>
      </c>
    </row>
    <row r="2301" spans="5:9" ht="16.5" hidden="1">
      <c r="E2301" s="4" t="str">
        <v/>
      </c>
      <c r="F2301" s="102" t="str">
        <f ca="1">IFERROR(__xludf.DUMMYFUNCTION("IMPORTRANGE(H2301,""IDENTITAS UNIT!D9"")"),"#N/A")</f>
        <v>#N/A</v>
      </c>
      <c r="H2301" s="4" t="str">
        <v/>
      </c>
      <c r="I2301" s="4" t="str">
        <v/>
      </c>
    </row>
    <row r="2302" spans="5:9" ht="16.5" hidden="1">
      <c r="E2302" s="4" t="str">
        <v/>
      </c>
      <c r="F2302" s="102" t="str">
        <f ca="1">IFERROR(__xludf.DUMMYFUNCTION("IMPORTRANGE(H2302,""IDENTITAS UNIT!D9"")"),"#N/A")</f>
        <v>#N/A</v>
      </c>
      <c r="H2302" s="4" t="str">
        <v/>
      </c>
      <c r="I2302" s="4" t="str">
        <v/>
      </c>
    </row>
    <row r="2303" spans="5:9" ht="16.5" hidden="1">
      <c r="E2303" s="4" t="str">
        <v/>
      </c>
      <c r="F2303" s="102" t="str">
        <f ca="1">IFERROR(__xludf.DUMMYFUNCTION("IMPORTRANGE(H2303,""IDENTITAS UNIT!D9"")"),"#N/A")</f>
        <v>#N/A</v>
      </c>
      <c r="H2303" s="4" t="str">
        <v/>
      </c>
      <c r="I2303" s="4" t="str">
        <v/>
      </c>
    </row>
    <row r="2304" spans="5:9" ht="16.5" hidden="1">
      <c r="E2304" s="4" t="str">
        <v/>
      </c>
      <c r="F2304" s="102" t="str">
        <f ca="1">IFERROR(__xludf.DUMMYFUNCTION("IMPORTRANGE(H2304,""IDENTITAS UNIT!D9"")"),"#N/A")</f>
        <v>#N/A</v>
      </c>
      <c r="H2304" s="4" t="str">
        <v/>
      </c>
      <c r="I2304" s="4" t="str">
        <v/>
      </c>
    </row>
    <row r="2305" spans="5:9" ht="16.5" hidden="1">
      <c r="E2305" s="4" t="str">
        <v/>
      </c>
      <c r="F2305" s="102" t="str">
        <f ca="1">IFERROR(__xludf.DUMMYFUNCTION("IMPORTRANGE(H2305,""IDENTITAS UNIT!D9"")"),"#N/A")</f>
        <v>#N/A</v>
      </c>
      <c r="H2305" s="4" t="str">
        <v/>
      </c>
      <c r="I2305" s="4" t="str">
        <v/>
      </c>
    </row>
    <row r="2306" spans="5:9" ht="16.5" hidden="1">
      <c r="E2306" s="4" t="str">
        <v/>
      </c>
      <c r="F2306" s="102" t="str">
        <f ca="1">IFERROR(__xludf.DUMMYFUNCTION("IMPORTRANGE(H2306,""IDENTITAS UNIT!D9"")"),"#N/A")</f>
        <v>#N/A</v>
      </c>
      <c r="H2306" s="4" t="str">
        <v/>
      </c>
      <c r="I2306" s="4" t="str">
        <v/>
      </c>
    </row>
    <row r="2307" spans="5:9" ht="16.5" hidden="1">
      <c r="E2307" s="4" t="str">
        <v/>
      </c>
      <c r="F2307" s="102" t="str">
        <f ca="1">IFERROR(__xludf.DUMMYFUNCTION("IMPORTRANGE(H2307,""IDENTITAS UNIT!D9"")"),"#N/A")</f>
        <v>#N/A</v>
      </c>
      <c r="H2307" s="4" t="str">
        <v/>
      </c>
      <c r="I2307" s="4" t="str">
        <v/>
      </c>
    </row>
    <row r="2308" spans="5:9" ht="16.5" hidden="1">
      <c r="E2308" s="4" t="str">
        <v/>
      </c>
      <c r="F2308" s="102" t="str">
        <f ca="1">IFERROR(__xludf.DUMMYFUNCTION("IMPORTRANGE(H2308,""IDENTITAS UNIT!D9"")"),"#N/A")</f>
        <v>#N/A</v>
      </c>
      <c r="H2308" s="4" t="str">
        <v/>
      </c>
      <c r="I2308" s="4" t="str">
        <v/>
      </c>
    </row>
    <row r="2309" spans="5:9" ht="16.5" hidden="1">
      <c r="E2309" s="4" t="str">
        <v/>
      </c>
      <c r="F2309" s="102" t="str">
        <f ca="1">IFERROR(__xludf.DUMMYFUNCTION("IMPORTRANGE(H2309,""IDENTITAS UNIT!D9"")"),"#N/A")</f>
        <v>#N/A</v>
      </c>
      <c r="H2309" s="4" t="str">
        <v/>
      </c>
      <c r="I2309" s="4" t="str">
        <v/>
      </c>
    </row>
    <row r="2310" spans="5:9" ht="16.5" hidden="1">
      <c r="E2310" s="4" t="str">
        <v/>
      </c>
      <c r="F2310" s="102" t="str">
        <f ca="1">IFERROR(__xludf.DUMMYFUNCTION("IMPORTRANGE(H2310,""IDENTITAS UNIT!D9"")"),"#N/A")</f>
        <v>#N/A</v>
      </c>
      <c r="H2310" s="4" t="str">
        <v/>
      </c>
      <c r="I2310" s="4" t="str">
        <v/>
      </c>
    </row>
    <row r="2311" spans="5:9" ht="16.5" hidden="1">
      <c r="E2311" s="4" t="str">
        <v/>
      </c>
      <c r="F2311" s="102" t="str">
        <f ca="1">IFERROR(__xludf.DUMMYFUNCTION("IMPORTRANGE(H2311,""IDENTITAS UNIT!D9"")"),"#N/A")</f>
        <v>#N/A</v>
      </c>
      <c r="H2311" s="4" t="str">
        <v/>
      </c>
      <c r="I2311" s="4" t="str">
        <v/>
      </c>
    </row>
    <row r="2312" spans="5:9" ht="16.5" hidden="1">
      <c r="E2312" s="4" t="str">
        <v/>
      </c>
      <c r="F2312" s="102" t="str">
        <f ca="1">IFERROR(__xludf.DUMMYFUNCTION("IMPORTRANGE(H2312,""IDENTITAS UNIT!D9"")"),"#N/A")</f>
        <v>#N/A</v>
      </c>
      <c r="H2312" s="4" t="str">
        <v/>
      </c>
      <c r="I2312" s="4" t="str">
        <v/>
      </c>
    </row>
    <row r="2313" spans="5:9" ht="16.5" hidden="1">
      <c r="E2313" s="4" t="str">
        <v/>
      </c>
      <c r="F2313" s="102" t="str">
        <f ca="1">IFERROR(__xludf.DUMMYFUNCTION("IMPORTRANGE(H2313,""IDENTITAS UNIT!D9"")"),"#N/A")</f>
        <v>#N/A</v>
      </c>
      <c r="H2313" s="4" t="str">
        <v/>
      </c>
      <c r="I2313" s="4" t="str">
        <v/>
      </c>
    </row>
    <row r="2314" spans="5:9" ht="16.5" hidden="1">
      <c r="E2314" s="4" t="str">
        <v/>
      </c>
      <c r="F2314" s="102" t="str">
        <f ca="1">IFERROR(__xludf.DUMMYFUNCTION("IMPORTRANGE(H2314,""IDENTITAS UNIT!D9"")"),"#N/A")</f>
        <v>#N/A</v>
      </c>
      <c r="H2314" s="4" t="str">
        <v/>
      </c>
      <c r="I2314" s="4" t="str">
        <v/>
      </c>
    </row>
    <row r="2315" spans="5:9" ht="16.5" hidden="1">
      <c r="E2315" s="4" t="str">
        <v/>
      </c>
      <c r="F2315" s="102" t="str">
        <f ca="1">IFERROR(__xludf.DUMMYFUNCTION("IMPORTRANGE(H2315,""IDENTITAS UNIT!D9"")"),"#N/A")</f>
        <v>#N/A</v>
      </c>
      <c r="H2315" s="4" t="str">
        <v/>
      </c>
      <c r="I2315" s="4" t="str">
        <v/>
      </c>
    </row>
    <row r="2316" spans="5:9" ht="16.5" hidden="1">
      <c r="E2316" s="4" t="str">
        <v/>
      </c>
      <c r="F2316" s="102" t="str">
        <f ca="1">IFERROR(__xludf.DUMMYFUNCTION("IMPORTRANGE(H2316,""IDENTITAS UNIT!D9"")"),"#N/A")</f>
        <v>#N/A</v>
      </c>
      <c r="H2316" s="4" t="str">
        <v/>
      </c>
      <c r="I2316" s="4" t="str">
        <v/>
      </c>
    </row>
    <row r="2317" spans="5:9" ht="16.5" hidden="1">
      <c r="E2317" s="4" t="str">
        <v/>
      </c>
      <c r="F2317" s="102" t="str">
        <f ca="1">IFERROR(__xludf.DUMMYFUNCTION("IMPORTRANGE(H2317,""IDENTITAS UNIT!D9"")"),"#N/A")</f>
        <v>#N/A</v>
      </c>
      <c r="H2317" s="4" t="str">
        <v/>
      </c>
      <c r="I2317" s="4" t="str">
        <v/>
      </c>
    </row>
    <row r="2318" spans="5:9" ht="16.5" hidden="1">
      <c r="E2318" s="4" t="str">
        <v/>
      </c>
      <c r="F2318" s="102" t="str">
        <f ca="1">IFERROR(__xludf.DUMMYFUNCTION("IMPORTRANGE(H2318,""IDENTITAS UNIT!D9"")"),"#N/A")</f>
        <v>#N/A</v>
      </c>
      <c r="H2318" s="4" t="str">
        <v/>
      </c>
      <c r="I2318" s="4" t="str">
        <v/>
      </c>
    </row>
    <row r="2319" spans="5:9" ht="16.5" hidden="1">
      <c r="E2319" s="4" t="str">
        <v/>
      </c>
      <c r="F2319" s="102" t="str">
        <f ca="1">IFERROR(__xludf.DUMMYFUNCTION("IMPORTRANGE(H2319,""IDENTITAS UNIT!D9"")"),"#N/A")</f>
        <v>#N/A</v>
      </c>
      <c r="H2319" s="4" t="str">
        <v/>
      </c>
      <c r="I2319" s="4" t="str">
        <v/>
      </c>
    </row>
    <row r="2320" spans="5:9" ht="16.5" hidden="1">
      <c r="E2320" s="4" t="str">
        <v/>
      </c>
      <c r="F2320" s="102" t="str">
        <f ca="1">IFERROR(__xludf.DUMMYFUNCTION("IMPORTRANGE(H2320,""IDENTITAS UNIT!D9"")"),"#N/A")</f>
        <v>#N/A</v>
      </c>
      <c r="H2320" s="4" t="str">
        <v/>
      </c>
      <c r="I2320" s="4" t="str">
        <v/>
      </c>
    </row>
    <row r="2321" spans="5:9" ht="16.5" hidden="1">
      <c r="E2321" s="4" t="str">
        <v/>
      </c>
      <c r="F2321" s="102" t="str">
        <f ca="1">IFERROR(__xludf.DUMMYFUNCTION("IMPORTRANGE(H2321,""IDENTITAS UNIT!D9"")"),"#N/A")</f>
        <v>#N/A</v>
      </c>
      <c r="H2321" s="4" t="str">
        <v/>
      </c>
      <c r="I2321" s="4" t="str">
        <v/>
      </c>
    </row>
    <row r="2322" spans="5:9" ht="16.5" hidden="1">
      <c r="E2322" s="4" t="str">
        <v/>
      </c>
      <c r="F2322" s="102" t="str">
        <f ca="1">IFERROR(__xludf.DUMMYFUNCTION("IMPORTRANGE(H2322,""IDENTITAS UNIT!D9"")"),"#N/A")</f>
        <v>#N/A</v>
      </c>
      <c r="H2322" s="4" t="str">
        <v/>
      </c>
      <c r="I2322" s="4" t="str">
        <v/>
      </c>
    </row>
    <row r="2323" spans="5:9" ht="16.5" hidden="1">
      <c r="E2323" s="4" t="str">
        <v/>
      </c>
      <c r="F2323" s="102" t="str">
        <f ca="1">IFERROR(__xludf.DUMMYFUNCTION("IMPORTRANGE(H2323,""IDENTITAS UNIT!D9"")"),"#N/A")</f>
        <v>#N/A</v>
      </c>
      <c r="H2323" s="4" t="str">
        <v/>
      </c>
      <c r="I2323" s="4" t="str">
        <v/>
      </c>
    </row>
    <row r="2324" spans="5:9" ht="16.5" hidden="1">
      <c r="E2324" s="4" t="str">
        <v/>
      </c>
      <c r="F2324" s="102" t="str">
        <f ca="1">IFERROR(__xludf.DUMMYFUNCTION("IMPORTRANGE(H2324,""IDENTITAS UNIT!D9"")"),"#N/A")</f>
        <v>#N/A</v>
      </c>
      <c r="H2324" s="4" t="str">
        <v/>
      </c>
      <c r="I2324" s="4" t="str">
        <v/>
      </c>
    </row>
    <row r="2325" spans="5:9" ht="16.5" hidden="1">
      <c r="E2325" s="4" t="str">
        <v/>
      </c>
      <c r="F2325" s="102" t="str">
        <f ca="1">IFERROR(__xludf.DUMMYFUNCTION("IMPORTRANGE(H2325,""IDENTITAS UNIT!D9"")"),"#N/A")</f>
        <v>#N/A</v>
      </c>
      <c r="H2325" s="4" t="str">
        <v/>
      </c>
      <c r="I2325" s="4" t="str">
        <v/>
      </c>
    </row>
    <row r="2326" spans="5:9" ht="16.5" hidden="1">
      <c r="E2326" s="4" t="str">
        <v/>
      </c>
      <c r="F2326" s="102" t="str">
        <f ca="1">IFERROR(__xludf.DUMMYFUNCTION("IMPORTRANGE(H2326,""IDENTITAS UNIT!D9"")"),"#N/A")</f>
        <v>#N/A</v>
      </c>
      <c r="H2326" s="4" t="str">
        <v/>
      </c>
      <c r="I2326" s="4" t="str">
        <v/>
      </c>
    </row>
    <row r="2327" spans="5:9" ht="16.5" hidden="1">
      <c r="E2327" s="4" t="str">
        <v/>
      </c>
      <c r="F2327" s="102" t="str">
        <f ca="1">IFERROR(__xludf.DUMMYFUNCTION("IMPORTRANGE(H2327,""IDENTITAS UNIT!D9"")"),"#N/A")</f>
        <v>#N/A</v>
      </c>
      <c r="H2327" s="4" t="str">
        <v/>
      </c>
      <c r="I2327" s="4" t="str">
        <v/>
      </c>
    </row>
    <row r="2328" spans="5:9" ht="16.5" hidden="1">
      <c r="E2328" s="4" t="str">
        <v/>
      </c>
      <c r="F2328" s="102" t="str">
        <f ca="1">IFERROR(__xludf.DUMMYFUNCTION("IMPORTRANGE(H2328,""IDENTITAS UNIT!D9"")"),"#N/A")</f>
        <v>#N/A</v>
      </c>
      <c r="H2328" s="4" t="str">
        <v/>
      </c>
      <c r="I2328" s="4" t="str">
        <v/>
      </c>
    </row>
    <row r="2329" spans="5:9" ht="16.5" hidden="1">
      <c r="E2329" s="4" t="str">
        <v/>
      </c>
      <c r="F2329" s="102" t="str">
        <f ca="1">IFERROR(__xludf.DUMMYFUNCTION("IMPORTRANGE(H2329,""IDENTITAS UNIT!D9"")"),"#N/A")</f>
        <v>#N/A</v>
      </c>
      <c r="H2329" s="4" t="str">
        <v/>
      </c>
      <c r="I2329" s="4" t="str">
        <v/>
      </c>
    </row>
    <row r="2330" spans="5:9" ht="16.5" hidden="1">
      <c r="E2330" s="4" t="str">
        <v/>
      </c>
      <c r="F2330" s="102" t="str">
        <f ca="1">IFERROR(__xludf.DUMMYFUNCTION("IMPORTRANGE(H2330,""IDENTITAS UNIT!D9"")"),"#N/A")</f>
        <v>#N/A</v>
      </c>
      <c r="H2330" s="4" t="str">
        <v/>
      </c>
      <c r="I2330" s="4" t="str">
        <v/>
      </c>
    </row>
    <row r="2331" spans="5:9" ht="16.5" hidden="1">
      <c r="E2331" s="4" t="str">
        <v/>
      </c>
      <c r="F2331" s="102" t="str">
        <f ca="1">IFERROR(__xludf.DUMMYFUNCTION("IMPORTRANGE(H2331,""IDENTITAS UNIT!D9"")"),"#N/A")</f>
        <v>#N/A</v>
      </c>
      <c r="H2331" s="4" t="str">
        <v/>
      </c>
      <c r="I2331" s="4" t="str">
        <v/>
      </c>
    </row>
    <row r="2332" spans="5:9" ht="16.5" hidden="1">
      <c r="E2332" s="4" t="str">
        <v/>
      </c>
      <c r="F2332" s="102" t="str">
        <f ca="1">IFERROR(__xludf.DUMMYFUNCTION("IMPORTRANGE(H2332,""IDENTITAS UNIT!D9"")"),"#N/A")</f>
        <v>#N/A</v>
      </c>
      <c r="H2332" s="4" t="str">
        <v/>
      </c>
      <c r="I2332" s="4" t="str">
        <v/>
      </c>
    </row>
    <row r="2333" spans="5:9" ht="16.5" hidden="1">
      <c r="E2333" s="4" t="str">
        <v/>
      </c>
      <c r="F2333" s="102" t="str">
        <f ca="1">IFERROR(__xludf.DUMMYFUNCTION("IMPORTRANGE(H2333,""IDENTITAS UNIT!D9"")"),"#N/A")</f>
        <v>#N/A</v>
      </c>
      <c r="H2333" s="4" t="str">
        <v/>
      </c>
      <c r="I2333" s="4" t="str">
        <v/>
      </c>
    </row>
    <row r="2334" spans="5:9" ht="16.5" hidden="1">
      <c r="E2334" s="4" t="str">
        <v/>
      </c>
      <c r="F2334" s="102" t="str">
        <f ca="1">IFERROR(__xludf.DUMMYFUNCTION("IMPORTRANGE(H2334,""IDENTITAS UNIT!D9"")"),"#N/A")</f>
        <v>#N/A</v>
      </c>
      <c r="H2334" s="4" t="str">
        <v/>
      </c>
      <c r="I2334" s="4" t="str">
        <v/>
      </c>
    </row>
    <row r="2335" spans="5:9" ht="16.5" hidden="1">
      <c r="E2335" s="4" t="str">
        <v/>
      </c>
      <c r="F2335" s="102" t="str">
        <f ca="1">IFERROR(__xludf.DUMMYFUNCTION("IMPORTRANGE(H2335,""IDENTITAS UNIT!D9"")"),"#N/A")</f>
        <v>#N/A</v>
      </c>
      <c r="H2335" s="4" t="str">
        <v/>
      </c>
      <c r="I2335" s="4" t="str">
        <v/>
      </c>
    </row>
    <row r="2336" spans="5:9" ht="16.5" hidden="1">
      <c r="E2336" s="4" t="str">
        <v/>
      </c>
      <c r="F2336" s="102" t="str">
        <f ca="1">IFERROR(__xludf.DUMMYFUNCTION("IMPORTRANGE(H2336,""IDENTITAS UNIT!D9"")"),"#N/A")</f>
        <v>#N/A</v>
      </c>
      <c r="H2336" s="4" t="str">
        <v/>
      </c>
      <c r="I2336" s="4" t="str">
        <v/>
      </c>
    </row>
    <row r="2337" spans="5:9" ht="16.5" hidden="1">
      <c r="E2337" s="4" t="str">
        <v/>
      </c>
      <c r="F2337" s="102" t="str">
        <f ca="1">IFERROR(__xludf.DUMMYFUNCTION("IMPORTRANGE(H2337,""IDENTITAS UNIT!D9"")"),"#N/A")</f>
        <v>#N/A</v>
      </c>
      <c r="H2337" s="4" t="str">
        <v/>
      </c>
      <c r="I2337" s="4" t="str">
        <v/>
      </c>
    </row>
    <row r="2338" spans="5:9" ht="16.5" hidden="1">
      <c r="E2338" s="4" t="str">
        <v/>
      </c>
      <c r="F2338" s="102" t="str">
        <f ca="1">IFERROR(__xludf.DUMMYFUNCTION("IMPORTRANGE(H2338,""IDENTITAS UNIT!D9"")"),"#N/A")</f>
        <v>#N/A</v>
      </c>
      <c r="H2338" s="4" t="str">
        <v/>
      </c>
      <c r="I2338" s="4" t="str">
        <v/>
      </c>
    </row>
    <row r="2339" spans="5:9" ht="16.5" hidden="1">
      <c r="E2339" s="4" t="str">
        <v/>
      </c>
      <c r="F2339" s="102" t="str">
        <f ca="1">IFERROR(__xludf.DUMMYFUNCTION("IMPORTRANGE(H2339,""IDENTITAS UNIT!D9"")"),"#N/A")</f>
        <v>#N/A</v>
      </c>
      <c r="H2339" s="4" t="str">
        <v/>
      </c>
      <c r="I2339" s="4" t="str">
        <v/>
      </c>
    </row>
    <row r="2340" spans="5:9" ht="16.5" hidden="1">
      <c r="E2340" s="4" t="str">
        <v/>
      </c>
      <c r="F2340" s="102" t="str">
        <f ca="1">IFERROR(__xludf.DUMMYFUNCTION("IMPORTRANGE(H2340,""IDENTITAS UNIT!D9"")"),"#N/A")</f>
        <v>#N/A</v>
      </c>
      <c r="H2340" s="4" t="str">
        <v/>
      </c>
      <c r="I2340" s="4" t="str">
        <v/>
      </c>
    </row>
    <row r="2341" spans="5:9" ht="16.5" hidden="1">
      <c r="E2341" s="4" t="str">
        <v/>
      </c>
      <c r="F2341" s="102" t="str">
        <f ca="1">IFERROR(__xludf.DUMMYFUNCTION("IMPORTRANGE(H2341,""IDENTITAS UNIT!D9"")"),"#N/A")</f>
        <v>#N/A</v>
      </c>
      <c r="H2341" s="4" t="str">
        <v/>
      </c>
      <c r="I2341" s="4" t="str">
        <v/>
      </c>
    </row>
    <row r="2342" spans="5:9" ht="16.5" hidden="1">
      <c r="E2342" s="4" t="str">
        <v/>
      </c>
      <c r="F2342" s="102" t="str">
        <f ca="1">IFERROR(__xludf.DUMMYFUNCTION("IMPORTRANGE(H2342,""IDENTITAS UNIT!D9"")"),"#N/A")</f>
        <v>#N/A</v>
      </c>
      <c r="H2342" s="4" t="str">
        <v/>
      </c>
      <c r="I2342" s="4" t="str">
        <v/>
      </c>
    </row>
    <row r="2343" spans="5:9" ht="16.5" hidden="1">
      <c r="E2343" s="4" t="str">
        <v/>
      </c>
      <c r="F2343" s="102" t="str">
        <f ca="1">IFERROR(__xludf.DUMMYFUNCTION("IMPORTRANGE(H2343,""IDENTITAS UNIT!D9"")"),"#N/A")</f>
        <v>#N/A</v>
      </c>
      <c r="H2343" s="4" t="str">
        <v/>
      </c>
      <c r="I2343" s="4" t="str">
        <v/>
      </c>
    </row>
    <row r="2344" spans="5:9" ht="16.5" hidden="1">
      <c r="E2344" s="4" t="str">
        <v/>
      </c>
      <c r="F2344" s="102" t="str">
        <f ca="1">IFERROR(__xludf.DUMMYFUNCTION("IMPORTRANGE(H2344,""IDENTITAS UNIT!D9"")"),"#N/A")</f>
        <v>#N/A</v>
      </c>
      <c r="H2344" s="4" t="str">
        <v/>
      </c>
      <c r="I2344" s="4" t="str">
        <v/>
      </c>
    </row>
    <row r="2345" spans="5:9" ht="16.5" hidden="1">
      <c r="E2345" s="4" t="str">
        <v/>
      </c>
      <c r="F2345" s="102" t="str">
        <f ca="1">IFERROR(__xludf.DUMMYFUNCTION("IMPORTRANGE(H2345,""IDENTITAS UNIT!D9"")"),"#N/A")</f>
        <v>#N/A</v>
      </c>
      <c r="H2345" s="4" t="str">
        <v/>
      </c>
      <c r="I2345" s="4" t="str">
        <v/>
      </c>
    </row>
    <row r="2346" spans="5:9" ht="16.5" hidden="1">
      <c r="E2346" s="4" t="str">
        <v/>
      </c>
      <c r="F2346" s="102" t="str">
        <f ca="1">IFERROR(__xludf.DUMMYFUNCTION("IMPORTRANGE(H2346,""IDENTITAS UNIT!D9"")"),"#N/A")</f>
        <v>#N/A</v>
      </c>
      <c r="H2346" s="4" t="str">
        <v/>
      </c>
      <c r="I2346" s="4" t="str">
        <v/>
      </c>
    </row>
    <row r="2347" spans="5:9" ht="16.5" hidden="1">
      <c r="E2347" s="4" t="str">
        <v/>
      </c>
      <c r="F2347" s="102" t="str">
        <f ca="1">IFERROR(__xludf.DUMMYFUNCTION("IMPORTRANGE(H2347,""IDENTITAS UNIT!D9"")"),"#N/A")</f>
        <v>#N/A</v>
      </c>
      <c r="H2347" s="4" t="str">
        <v/>
      </c>
      <c r="I2347" s="4" t="str">
        <v/>
      </c>
    </row>
    <row r="2348" spans="5:9" ht="16.5" hidden="1">
      <c r="E2348" s="4" t="str">
        <v/>
      </c>
      <c r="F2348" s="102" t="str">
        <f ca="1">IFERROR(__xludf.DUMMYFUNCTION("IMPORTRANGE(H2348,""IDENTITAS UNIT!D9"")"),"#N/A")</f>
        <v>#N/A</v>
      </c>
      <c r="H2348" s="4" t="str">
        <v/>
      </c>
      <c r="I2348" s="4" t="str">
        <v/>
      </c>
    </row>
    <row r="2349" spans="5:9" ht="16.5" hidden="1">
      <c r="E2349" s="4" t="str">
        <v/>
      </c>
      <c r="F2349" s="102" t="str">
        <f ca="1">IFERROR(__xludf.DUMMYFUNCTION("IMPORTRANGE(H2349,""IDENTITAS UNIT!D9"")"),"#N/A")</f>
        <v>#N/A</v>
      </c>
      <c r="H2349" s="4" t="str">
        <v/>
      </c>
      <c r="I2349" s="4" t="str">
        <v/>
      </c>
    </row>
    <row r="2350" spans="5:9" ht="16.5" hidden="1">
      <c r="E2350" s="4" t="str">
        <v/>
      </c>
      <c r="F2350" s="102" t="str">
        <f ca="1">IFERROR(__xludf.DUMMYFUNCTION("IMPORTRANGE(H2350,""IDENTITAS UNIT!D9"")"),"#N/A")</f>
        <v>#N/A</v>
      </c>
      <c r="H2350" s="4" t="str">
        <v/>
      </c>
      <c r="I2350" s="4" t="str">
        <v/>
      </c>
    </row>
    <row r="2351" spans="5:9" ht="16.5" hidden="1">
      <c r="E2351" s="4" t="str">
        <v/>
      </c>
      <c r="F2351" s="102" t="str">
        <f ca="1">IFERROR(__xludf.DUMMYFUNCTION("IMPORTRANGE(H2351,""IDENTITAS UNIT!D9"")"),"#N/A")</f>
        <v>#N/A</v>
      </c>
      <c r="H2351" s="4" t="str">
        <v/>
      </c>
      <c r="I2351" s="4" t="str">
        <v/>
      </c>
    </row>
    <row r="2352" spans="5:9" ht="16.5" hidden="1">
      <c r="E2352" s="4" t="str">
        <v/>
      </c>
      <c r="F2352" s="102" t="str">
        <f ca="1">IFERROR(__xludf.DUMMYFUNCTION("IMPORTRANGE(H2352,""IDENTITAS UNIT!D9"")"),"#N/A")</f>
        <v>#N/A</v>
      </c>
      <c r="H2352" s="4" t="str">
        <v/>
      </c>
      <c r="I2352" s="4" t="str">
        <v/>
      </c>
    </row>
    <row r="2353" spans="5:9" ht="16.5" hidden="1">
      <c r="E2353" s="4" t="str">
        <v/>
      </c>
      <c r="F2353" s="102" t="str">
        <f ca="1">IFERROR(__xludf.DUMMYFUNCTION("IMPORTRANGE(H2353,""IDENTITAS UNIT!D9"")"),"#N/A")</f>
        <v>#N/A</v>
      </c>
      <c r="H2353" s="4" t="str">
        <v/>
      </c>
      <c r="I2353" s="4" t="str">
        <v/>
      </c>
    </row>
    <row r="2354" spans="5:9" ht="16.5" hidden="1">
      <c r="E2354" s="4" t="str">
        <v/>
      </c>
      <c r="F2354" s="102" t="str">
        <f ca="1">IFERROR(__xludf.DUMMYFUNCTION("IMPORTRANGE(H2354,""IDENTITAS UNIT!D9"")"),"#N/A")</f>
        <v>#N/A</v>
      </c>
      <c r="H2354" s="4" t="str">
        <v/>
      </c>
      <c r="I2354" s="4" t="str">
        <v/>
      </c>
    </row>
    <row r="2355" spans="5:9" ht="16.5" hidden="1">
      <c r="E2355" s="4" t="str">
        <v/>
      </c>
      <c r="F2355" s="102" t="str">
        <f ca="1">IFERROR(__xludf.DUMMYFUNCTION("IMPORTRANGE(H2355,""IDENTITAS UNIT!D9"")"),"#N/A")</f>
        <v>#N/A</v>
      </c>
      <c r="H2355" s="4" t="str">
        <v/>
      </c>
      <c r="I2355" s="4" t="str">
        <v/>
      </c>
    </row>
    <row r="2356" spans="5:9" ht="16.5" hidden="1">
      <c r="E2356" s="4" t="str">
        <v/>
      </c>
      <c r="F2356" s="102" t="str">
        <f ca="1">IFERROR(__xludf.DUMMYFUNCTION("IMPORTRANGE(H2356,""IDENTITAS UNIT!D9"")"),"#N/A")</f>
        <v>#N/A</v>
      </c>
      <c r="H2356" s="4" t="str">
        <v/>
      </c>
      <c r="I2356" s="4" t="str">
        <v/>
      </c>
    </row>
    <row r="2357" spans="5:9" ht="16.5" hidden="1">
      <c r="E2357" s="4" t="str">
        <v/>
      </c>
      <c r="F2357" s="102" t="str">
        <f ca="1">IFERROR(__xludf.DUMMYFUNCTION("IMPORTRANGE(H2357,""IDENTITAS UNIT!D9"")"),"#N/A")</f>
        <v>#N/A</v>
      </c>
      <c r="H2357" s="4" t="str">
        <v/>
      </c>
      <c r="I2357" s="4" t="str">
        <v/>
      </c>
    </row>
    <row r="2358" spans="5:9" ht="16.5" hidden="1">
      <c r="E2358" s="4" t="str">
        <v/>
      </c>
      <c r="F2358" s="102" t="str">
        <f ca="1">IFERROR(__xludf.DUMMYFUNCTION("IMPORTRANGE(H2358,""IDENTITAS UNIT!D9"")"),"#N/A")</f>
        <v>#N/A</v>
      </c>
      <c r="H2358" s="4" t="str">
        <v/>
      </c>
      <c r="I2358" s="4" t="str">
        <v/>
      </c>
    </row>
    <row r="2359" spans="5:9" ht="16.5" hidden="1">
      <c r="E2359" s="4" t="str">
        <v/>
      </c>
      <c r="F2359" s="102" t="str">
        <f ca="1">IFERROR(__xludf.DUMMYFUNCTION("IMPORTRANGE(H2359,""IDENTITAS UNIT!D9"")"),"#N/A")</f>
        <v>#N/A</v>
      </c>
      <c r="H2359" s="4" t="str">
        <v/>
      </c>
      <c r="I2359" s="4" t="str">
        <v/>
      </c>
    </row>
    <row r="2360" spans="5:9" ht="16.5" hidden="1">
      <c r="E2360" s="4" t="str">
        <v/>
      </c>
      <c r="F2360" s="102" t="str">
        <f ca="1">IFERROR(__xludf.DUMMYFUNCTION("IMPORTRANGE(H2360,""IDENTITAS UNIT!D9"")"),"#N/A")</f>
        <v>#N/A</v>
      </c>
      <c r="H2360" s="4" t="str">
        <v/>
      </c>
      <c r="I2360" s="4" t="str">
        <v/>
      </c>
    </row>
    <row r="2361" spans="5:9" ht="16.5" hidden="1">
      <c r="E2361" s="4" t="str">
        <v/>
      </c>
      <c r="F2361" s="102" t="str">
        <f ca="1">IFERROR(__xludf.DUMMYFUNCTION("IMPORTRANGE(H2361,""IDENTITAS UNIT!D9"")"),"#N/A")</f>
        <v>#N/A</v>
      </c>
      <c r="H2361" s="4" t="str">
        <v/>
      </c>
      <c r="I2361" s="4" t="str">
        <v/>
      </c>
    </row>
    <row r="2362" spans="5:9" ht="16.5" hidden="1">
      <c r="E2362" s="4" t="str">
        <v/>
      </c>
      <c r="F2362" s="102" t="str">
        <f ca="1">IFERROR(__xludf.DUMMYFUNCTION("IMPORTRANGE(H2362,""IDENTITAS UNIT!D9"")"),"#N/A")</f>
        <v>#N/A</v>
      </c>
      <c r="H2362" s="4" t="str">
        <v/>
      </c>
      <c r="I2362" s="4" t="str">
        <v/>
      </c>
    </row>
    <row r="2363" spans="5:9" ht="16.5" hidden="1">
      <c r="E2363" s="4" t="str">
        <v/>
      </c>
      <c r="F2363" s="102" t="str">
        <f ca="1">IFERROR(__xludf.DUMMYFUNCTION("IMPORTRANGE(H2363,""IDENTITAS UNIT!D9"")"),"#N/A")</f>
        <v>#N/A</v>
      </c>
      <c r="H2363" s="4" t="str">
        <v/>
      </c>
      <c r="I2363" s="4" t="str">
        <v/>
      </c>
    </row>
    <row r="2364" spans="5:9" ht="16.5" hidden="1">
      <c r="E2364" s="4" t="str">
        <v/>
      </c>
      <c r="F2364" s="102" t="str">
        <f ca="1">IFERROR(__xludf.DUMMYFUNCTION("IMPORTRANGE(H2364,""IDENTITAS UNIT!D9"")"),"#N/A")</f>
        <v>#N/A</v>
      </c>
      <c r="H2364" s="4" t="str">
        <v/>
      </c>
      <c r="I2364" s="4" t="str">
        <v/>
      </c>
    </row>
    <row r="2365" spans="5:9" ht="16.5" hidden="1">
      <c r="E2365" s="4" t="str">
        <v/>
      </c>
      <c r="F2365" s="102" t="str">
        <f ca="1">IFERROR(__xludf.DUMMYFUNCTION("IMPORTRANGE(H2365,""IDENTITAS UNIT!D9"")"),"#N/A")</f>
        <v>#N/A</v>
      </c>
      <c r="H2365" s="4" t="str">
        <v/>
      </c>
      <c r="I2365" s="4" t="str">
        <v/>
      </c>
    </row>
    <row r="2366" spans="5:9" ht="16.5" hidden="1">
      <c r="E2366" s="4" t="str">
        <v/>
      </c>
      <c r="F2366" s="102" t="str">
        <f ca="1">IFERROR(__xludf.DUMMYFUNCTION("IMPORTRANGE(H2366,""IDENTITAS UNIT!D9"")"),"#N/A")</f>
        <v>#N/A</v>
      </c>
      <c r="H2366" s="4" t="str">
        <v/>
      </c>
      <c r="I2366" s="4" t="str">
        <v/>
      </c>
    </row>
    <row r="2367" spans="5:9" ht="16.5" hidden="1">
      <c r="E2367" s="4" t="str">
        <v/>
      </c>
      <c r="F2367" s="102" t="str">
        <f ca="1">IFERROR(__xludf.DUMMYFUNCTION("IMPORTRANGE(H2367,""IDENTITAS UNIT!D9"")"),"#N/A")</f>
        <v>#N/A</v>
      </c>
      <c r="H2367" s="4" t="str">
        <v/>
      </c>
      <c r="I2367" s="4" t="str">
        <v/>
      </c>
    </row>
    <row r="2368" spans="5:9" ht="16.5" hidden="1">
      <c r="E2368" s="4" t="str">
        <v/>
      </c>
      <c r="F2368" s="102" t="str">
        <f ca="1">IFERROR(__xludf.DUMMYFUNCTION("IMPORTRANGE(H2368,""IDENTITAS UNIT!D9"")"),"#N/A")</f>
        <v>#N/A</v>
      </c>
      <c r="H2368" s="4" t="str">
        <v/>
      </c>
      <c r="I2368" s="4" t="str">
        <v/>
      </c>
    </row>
    <row r="2369" spans="5:9" ht="16.5" hidden="1">
      <c r="E2369" s="4" t="str">
        <v/>
      </c>
      <c r="F2369" s="102" t="str">
        <f ca="1">IFERROR(__xludf.DUMMYFUNCTION("IMPORTRANGE(H2369,""IDENTITAS UNIT!D9"")"),"#N/A")</f>
        <v>#N/A</v>
      </c>
      <c r="H2369" s="4" t="str">
        <v/>
      </c>
      <c r="I2369" s="4" t="str">
        <v/>
      </c>
    </row>
    <row r="2370" spans="5:9" ht="16.5" hidden="1">
      <c r="E2370" s="4" t="str">
        <v/>
      </c>
      <c r="F2370" s="102" t="str">
        <f ca="1">IFERROR(__xludf.DUMMYFUNCTION("IMPORTRANGE(H2370,""IDENTITAS UNIT!D9"")"),"#N/A")</f>
        <v>#N/A</v>
      </c>
      <c r="H2370" s="4" t="str">
        <v/>
      </c>
      <c r="I2370" s="4" t="str">
        <v/>
      </c>
    </row>
    <row r="2371" spans="5:9" ht="16.5" hidden="1">
      <c r="E2371" s="4" t="str">
        <v/>
      </c>
      <c r="F2371" s="102" t="str">
        <f ca="1">IFERROR(__xludf.DUMMYFUNCTION("IMPORTRANGE(H2371,""IDENTITAS UNIT!D9"")"),"#N/A")</f>
        <v>#N/A</v>
      </c>
      <c r="H2371" s="4" t="str">
        <v/>
      </c>
      <c r="I2371" s="4" t="str">
        <v/>
      </c>
    </row>
    <row r="2372" spans="5:9" ht="16.5" hidden="1">
      <c r="E2372" s="4" t="str">
        <v/>
      </c>
      <c r="F2372" s="102" t="str">
        <f ca="1">IFERROR(__xludf.DUMMYFUNCTION("IMPORTRANGE(H2372,""IDENTITAS UNIT!D9"")"),"#N/A")</f>
        <v>#N/A</v>
      </c>
      <c r="H2372" s="4" t="str">
        <v/>
      </c>
      <c r="I2372" s="4" t="str">
        <v/>
      </c>
    </row>
    <row r="2373" spans="5:9" ht="16.5" hidden="1">
      <c r="E2373" s="4" t="str">
        <v/>
      </c>
      <c r="F2373" s="102" t="str">
        <f ca="1">IFERROR(__xludf.DUMMYFUNCTION("IMPORTRANGE(H2373,""IDENTITAS UNIT!D9"")"),"#N/A")</f>
        <v>#N/A</v>
      </c>
      <c r="H2373" s="4" t="str">
        <v/>
      </c>
      <c r="I2373" s="4" t="str">
        <v/>
      </c>
    </row>
    <row r="2374" spans="5:9" ht="16.5" hidden="1">
      <c r="E2374" s="4" t="str">
        <v/>
      </c>
      <c r="F2374" s="102" t="str">
        <f ca="1">IFERROR(__xludf.DUMMYFUNCTION("IMPORTRANGE(H2374,""IDENTITAS UNIT!D9"")"),"#N/A")</f>
        <v>#N/A</v>
      </c>
      <c r="H2374" s="4" t="str">
        <v/>
      </c>
      <c r="I2374" s="4" t="str">
        <v/>
      </c>
    </row>
    <row r="2375" spans="5:9" ht="16.5" hidden="1">
      <c r="E2375" s="4" t="str">
        <v/>
      </c>
      <c r="F2375" s="102" t="str">
        <f ca="1">IFERROR(__xludf.DUMMYFUNCTION("IMPORTRANGE(H2375,""IDENTITAS UNIT!D9"")"),"#N/A")</f>
        <v>#N/A</v>
      </c>
      <c r="H2375" s="4" t="str">
        <v/>
      </c>
      <c r="I2375" s="4" t="str">
        <v/>
      </c>
    </row>
    <row r="2376" spans="5:9" ht="16.5" hidden="1">
      <c r="E2376" s="4" t="str">
        <v/>
      </c>
      <c r="F2376" s="102" t="str">
        <f ca="1">IFERROR(__xludf.DUMMYFUNCTION("IMPORTRANGE(H2376,""IDENTITAS UNIT!D9"")"),"#N/A")</f>
        <v>#N/A</v>
      </c>
      <c r="H2376" s="4" t="str">
        <v/>
      </c>
      <c r="I2376" s="4" t="str">
        <v/>
      </c>
    </row>
    <row r="2377" spans="5:9" ht="16.5" hidden="1">
      <c r="E2377" s="4" t="str">
        <v/>
      </c>
      <c r="F2377" s="102" t="str">
        <f ca="1">IFERROR(__xludf.DUMMYFUNCTION("IMPORTRANGE(H2377,""IDENTITAS UNIT!D9"")"),"#N/A")</f>
        <v>#N/A</v>
      </c>
      <c r="H2377" s="4" t="str">
        <v/>
      </c>
      <c r="I2377" s="4" t="str">
        <v/>
      </c>
    </row>
    <row r="2378" spans="5:9" ht="16.5" hidden="1">
      <c r="E2378" s="4" t="str">
        <v/>
      </c>
      <c r="F2378" s="102" t="str">
        <f ca="1">IFERROR(__xludf.DUMMYFUNCTION("IMPORTRANGE(H2378,""IDENTITAS UNIT!D9"")"),"#N/A")</f>
        <v>#N/A</v>
      </c>
      <c r="H2378" s="4" t="str">
        <v/>
      </c>
      <c r="I2378" s="4" t="str">
        <v/>
      </c>
    </row>
    <row r="2379" spans="5:9" ht="16.5" hidden="1">
      <c r="E2379" s="4" t="str">
        <v/>
      </c>
      <c r="F2379" s="102" t="str">
        <f ca="1">IFERROR(__xludf.DUMMYFUNCTION("IMPORTRANGE(H2379,""IDENTITAS UNIT!D9"")"),"#N/A")</f>
        <v>#N/A</v>
      </c>
      <c r="H2379" s="4" t="str">
        <v/>
      </c>
      <c r="I2379" s="4" t="str">
        <v/>
      </c>
    </row>
    <row r="2380" spans="5:9" ht="16.5" hidden="1">
      <c r="E2380" s="4" t="str">
        <v/>
      </c>
      <c r="F2380" s="102" t="str">
        <f ca="1">IFERROR(__xludf.DUMMYFUNCTION("IMPORTRANGE(H2380,""IDENTITAS UNIT!D9"")"),"#N/A")</f>
        <v>#N/A</v>
      </c>
      <c r="H2380" s="4" t="str">
        <v/>
      </c>
      <c r="I2380" s="4" t="str">
        <v/>
      </c>
    </row>
    <row r="2381" spans="5:9" ht="16.5" hidden="1">
      <c r="E2381" s="4" t="str">
        <v/>
      </c>
      <c r="F2381" s="102" t="str">
        <f ca="1">IFERROR(__xludf.DUMMYFUNCTION("IMPORTRANGE(H2381,""IDENTITAS UNIT!D9"")"),"#N/A")</f>
        <v>#N/A</v>
      </c>
      <c r="H2381" s="4" t="str">
        <v/>
      </c>
      <c r="I2381" s="4" t="str">
        <v/>
      </c>
    </row>
    <row r="2382" spans="5:9" ht="16.5" hidden="1">
      <c r="E2382" s="4" t="str">
        <v/>
      </c>
      <c r="F2382" s="102" t="str">
        <f ca="1">IFERROR(__xludf.DUMMYFUNCTION("IMPORTRANGE(H2382,""IDENTITAS UNIT!D9"")"),"#N/A")</f>
        <v>#N/A</v>
      </c>
      <c r="H2382" s="4" t="str">
        <v/>
      </c>
      <c r="I2382" s="4" t="str">
        <v/>
      </c>
    </row>
    <row r="2383" spans="5:9" ht="16.5" hidden="1">
      <c r="E2383" s="4" t="str">
        <v/>
      </c>
      <c r="F2383" s="102" t="str">
        <f ca="1">IFERROR(__xludf.DUMMYFUNCTION("IMPORTRANGE(H2383,""IDENTITAS UNIT!D9"")"),"#N/A")</f>
        <v>#N/A</v>
      </c>
      <c r="H2383" s="4" t="str">
        <v/>
      </c>
      <c r="I2383" s="4" t="str">
        <v/>
      </c>
    </row>
    <row r="2384" spans="5:9" ht="16.5" hidden="1">
      <c r="E2384" s="4" t="str">
        <v/>
      </c>
      <c r="F2384" s="102" t="str">
        <f ca="1">IFERROR(__xludf.DUMMYFUNCTION("IMPORTRANGE(H2384,""IDENTITAS UNIT!D9"")"),"#N/A")</f>
        <v>#N/A</v>
      </c>
      <c r="H2384" s="4" t="str">
        <v/>
      </c>
      <c r="I2384" s="4" t="str">
        <v/>
      </c>
    </row>
    <row r="2385" spans="5:9" ht="16.5" hidden="1">
      <c r="E2385" s="4" t="str">
        <v/>
      </c>
      <c r="F2385" s="102" t="str">
        <f ca="1">IFERROR(__xludf.DUMMYFUNCTION("IMPORTRANGE(H2385,""IDENTITAS UNIT!D9"")"),"#N/A")</f>
        <v>#N/A</v>
      </c>
      <c r="H2385" s="4" t="str">
        <v/>
      </c>
      <c r="I2385" s="4" t="str">
        <v/>
      </c>
    </row>
    <row r="2386" spans="5:9" ht="16.5" hidden="1">
      <c r="E2386" s="4" t="str">
        <v/>
      </c>
      <c r="F2386" s="102" t="str">
        <f ca="1">IFERROR(__xludf.DUMMYFUNCTION("IMPORTRANGE(H2386,""IDENTITAS UNIT!D9"")"),"#N/A")</f>
        <v>#N/A</v>
      </c>
      <c r="H2386" s="4" t="str">
        <v/>
      </c>
      <c r="I2386" s="4" t="str">
        <v/>
      </c>
    </row>
    <row r="2387" spans="5:9" ht="16.5" hidden="1">
      <c r="E2387" s="4" t="str">
        <v/>
      </c>
      <c r="F2387" s="102" t="str">
        <f ca="1">IFERROR(__xludf.DUMMYFUNCTION("IMPORTRANGE(H2387,""IDENTITAS UNIT!D9"")"),"#N/A")</f>
        <v>#N/A</v>
      </c>
      <c r="H2387" s="4" t="str">
        <v/>
      </c>
      <c r="I2387" s="4" t="str">
        <v/>
      </c>
    </row>
    <row r="2388" spans="5:9" ht="16.5" hidden="1">
      <c r="E2388" s="4" t="str">
        <v/>
      </c>
      <c r="F2388" s="102" t="str">
        <f ca="1">IFERROR(__xludf.DUMMYFUNCTION("IMPORTRANGE(H2388,""IDENTITAS UNIT!D9"")"),"#N/A")</f>
        <v>#N/A</v>
      </c>
      <c r="H2388" s="4" t="str">
        <v/>
      </c>
      <c r="I2388" s="4" t="str">
        <v/>
      </c>
    </row>
    <row r="2389" spans="5:9" ht="16.5" hidden="1">
      <c r="E2389" s="4" t="str">
        <v/>
      </c>
      <c r="F2389" s="102" t="str">
        <f ca="1">IFERROR(__xludf.DUMMYFUNCTION("IMPORTRANGE(H2389,""IDENTITAS UNIT!D9"")"),"#N/A")</f>
        <v>#N/A</v>
      </c>
      <c r="H2389" s="4" t="str">
        <v/>
      </c>
      <c r="I2389" s="4" t="str">
        <v/>
      </c>
    </row>
    <row r="2390" spans="5:9" ht="16.5" hidden="1">
      <c r="E2390" s="4" t="str">
        <v/>
      </c>
      <c r="F2390" s="102" t="str">
        <f ca="1">IFERROR(__xludf.DUMMYFUNCTION("IMPORTRANGE(H2390,""IDENTITAS UNIT!D9"")"),"#N/A")</f>
        <v>#N/A</v>
      </c>
      <c r="H2390" s="4" t="str">
        <v/>
      </c>
      <c r="I2390" s="4" t="str">
        <v/>
      </c>
    </row>
    <row r="2391" spans="5:9" ht="16.5" hidden="1">
      <c r="E2391" s="4" t="str">
        <v/>
      </c>
      <c r="F2391" s="102" t="str">
        <f ca="1">IFERROR(__xludf.DUMMYFUNCTION("IMPORTRANGE(H2391,""IDENTITAS UNIT!D9"")"),"#N/A")</f>
        <v>#N/A</v>
      </c>
      <c r="H2391" s="4" t="str">
        <v/>
      </c>
      <c r="I2391" s="4" t="str">
        <v/>
      </c>
    </row>
    <row r="2392" spans="5:9" ht="16.5" hidden="1">
      <c r="E2392" s="4" t="str">
        <v/>
      </c>
      <c r="F2392" s="102" t="str">
        <f ca="1">IFERROR(__xludf.DUMMYFUNCTION("IMPORTRANGE(H2392,""IDENTITAS UNIT!D9"")"),"#N/A")</f>
        <v>#N/A</v>
      </c>
      <c r="H2392" s="4" t="str">
        <v/>
      </c>
      <c r="I2392" s="4" t="str">
        <v/>
      </c>
    </row>
    <row r="2393" spans="5:9" ht="16.5" hidden="1">
      <c r="E2393" s="4" t="str">
        <v/>
      </c>
      <c r="F2393" s="102" t="str">
        <f ca="1">IFERROR(__xludf.DUMMYFUNCTION("IMPORTRANGE(H2393,""IDENTITAS UNIT!D9"")"),"#N/A")</f>
        <v>#N/A</v>
      </c>
      <c r="H2393" s="4" t="str">
        <v/>
      </c>
      <c r="I2393" s="4" t="str">
        <v/>
      </c>
    </row>
    <row r="2394" spans="5:9" ht="16.5" hidden="1">
      <c r="E2394" s="4" t="str">
        <v/>
      </c>
      <c r="F2394" s="102" t="str">
        <f ca="1">IFERROR(__xludf.DUMMYFUNCTION("IMPORTRANGE(H2394,""IDENTITAS UNIT!D9"")"),"#N/A")</f>
        <v>#N/A</v>
      </c>
      <c r="H2394" s="4" t="str">
        <v/>
      </c>
      <c r="I2394" s="4" t="str">
        <v/>
      </c>
    </row>
    <row r="2395" spans="5:9" ht="16.5" hidden="1">
      <c r="E2395" s="4" t="str">
        <v/>
      </c>
      <c r="F2395" s="102" t="str">
        <f ca="1">IFERROR(__xludf.DUMMYFUNCTION("IMPORTRANGE(H2395,""IDENTITAS UNIT!D9"")"),"#N/A")</f>
        <v>#N/A</v>
      </c>
      <c r="H2395" s="4" t="str">
        <v/>
      </c>
      <c r="I2395" s="4" t="str">
        <v/>
      </c>
    </row>
    <row r="2396" spans="5:9" ht="16.5" hidden="1">
      <c r="E2396" s="4" t="str">
        <v/>
      </c>
      <c r="F2396" s="102" t="str">
        <f ca="1">IFERROR(__xludf.DUMMYFUNCTION("IMPORTRANGE(H2396,""IDENTITAS UNIT!D9"")"),"#N/A")</f>
        <v>#N/A</v>
      </c>
      <c r="H2396" s="4" t="str">
        <v/>
      </c>
      <c r="I2396" s="4" t="str">
        <v/>
      </c>
    </row>
    <row r="2397" spans="5:9" ht="16.5" hidden="1">
      <c r="E2397" s="4" t="str">
        <v/>
      </c>
      <c r="F2397" s="102" t="str">
        <f ca="1">IFERROR(__xludf.DUMMYFUNCTION("IMPORTRANGE(H2397,""IDENTITAS UNIT!D9"")"),"#N/A")</f>
        <v>#N/A</v>
      </c>
      <c r="H2397" s="4" t="str">
        <v/>
      </c>
      <c r="I2397" s="4" t="str">
        <v/>
      </c>
    </row>
    <row r="2398" spans="5:9" ht="16.5" hidden="1">
      <c r="E2398" s="4" t="str">
        <v/>
      </c>
      <c r="F2398" s="102" t="str">
        <f ca="1">IFERROR(__xludf.DUMMYFUNCTION("IMPORTRANGE(H2398,""IDENTITAS UNIT!D9"")"),"#N/A")</f>
        <v>#N/A</v>
      </c>
      <c r="H2398" s="4" t="str">
        <v/>
      </c>
      <c r="I2398" s="4" t="str">
        <v/>
      </c>
    </row>
    <row r="2399" spans="5:9" ht="16.5" hidden="1">
      <c r="E2399" s="4" t="str">
        <v/>
      </c>
      <c r="F2399" s="102" t="str">
        <f ca="1">IFERROR(__xludf.DUMMYFUNCTION("IMPORTRANGE(H2399,""IDENTITAS UNIT!D9"")"),"#N/A")</f>
        <v>#N/A</v>
      </c>
      <c r="H2399" s="4" t="str">
        <v/>
      </c>
      <c r="I2399" s="4" t="str">
        <v/>
      </c>
    </row>
    <row r="2400" spans="5:9" ht="16.5" hidden="1">
      <c r="E2400" s="4" t="str">
        <v/>
      </c>
      <c r="F2400" s="102" t="str">
        <f ca="1">IFERROR(__xludf.DUMMYFUNCTION("IMPORTRANGE(H2400,""IDENTITAS UNIT!D9"")"),"#N/A")</f>
        <v>#N/A</v>
      </c>
      <c r="H2400" s="4" t="str">
        <v/>
      </c>
      <c r="I2400" s="4" t="str">
        <v/>
      </c>
    </row>
    <row r="2401" spans="5:9" ht="16.5" hidden="1">
      <c r="E2401" s="4" t="str">
        <v/>
      </c>
      <c r="F2401" s="102" t="str">
        <f ca="1">IFERROR(__xludf.DUMMYFUNCTION("IMPORTRANGE(H2401,""IDENTITAS UNIT!D9"")"),"#N/A")</f>
        <v>#N/A</v>
      </c>
      <c r="H2401" s="4" t="str">
        <v/>
      </c>
      <c r="I2401" s="4" t="str">
        <v/>
      </c>
    </row>
    <row r="2402" spans="5:9" ht="16.5" hidden="1">
      <c r="E2402" s="4" t="str">
        <v/>
      </c>
      <c r="F2402" s="102" t="str">
        <f ca="1">IFERROR(__xludf.DUMMYFUNCTION("IMPORTRANGE(H2402,""IDENTITAS UNIT!D9"")"),"#N/A")</f>
        <v>#N/A</v>
      </c>
      <c r="H2402" s="4" t="str">
        <v/>
      </c>
      <c r="I2402" s="4" t="str">
        <v/>
      </c>
    </row>
    <row r="2403" spans="5:9" ht="16.5" hidden="1">
      <c r="E2403" s="4" t="str">
        <v/>
      </c>
      <c r="F2403" s="102" t="str">
        <f ca="1">IFERROR(__xludf.DUMMYFUNCTION("IMPORTRANGE(H2403,""IDENTITAS UNIT!D9"")"),"#N/A")</f>
        <v>#N/A</v>
      </c>
      <c r="H2403" s="4" t="str">
        <v/>
      </c>
      <c r="I2403" s="4" t="str">
        <v/>
      </c>
    </row>
    <row r="2404" spans="5:9" ht="16.5" hidden="1">
      <c r="E2404" s="4" t="str">
        <v/>
      </c>
      <c r="F2404" s="102" t="str">
        <f ca="1">IFERROR(__xludf.DUMMYFUNCTION("IMPORTRANGE(H2404,""IDENTITAS UNIT!D9"")"),"#N/A")</f>
        <v>#N/A</v>
      </c>
      <c r="H2404" s="4" t="str">
        <v/>
      </c>
      <c r="I2404" s="4" t="str">
        <v/>
      </c>
    </row>
    <row r="2405" spans="5:9" ht="16.5" hidden="1">
      <c r="E2405" s="4" t="str">
        <v/>
      </c>
      <c r="F2405" s="102" t="str">
        <f ca="1">IFERROR(__xludf.DUMMYFUNCTION("IMPORTRANGE(H2405,""IDENTITAS UNIT!D9"")"),"#N/A")</f>
        <v>#N/A</v>
      </c>
      <c r="H2405" s="4" t="str">
        <v/>
      </c>
      <c r="I2405" s="4" t="str">
        <v/>
      </c>
    </row>
    <row r="2406" spans="5:9" ht="16.5" hidden="1">
      <c r="E2406" s="4" t="str">
        <v/>
      </c>
      <c r="F2406" s="102" t="str">
        <f ca="1">IFERROR(__xludf.DUMMYFUNCTION("IMPORTRANGE(H2406,""IDENTITAS UNIT!D9"")"),"#N/A")</f>
        <v>#N/A</v>
      </c>
      <c r="H2406" s="4" t="str">
        <v/>
      </c>
      <c r="I2406" s="4" t="str">
        <v/>
      </c>
    </row>
    <row r="2407" spans="5:9" ht="16.5" hidden="1">
      <c r="E2407" s="4" t="str">
        <v/>
      </c>
      <c r="F2407" s="102" t="str">
        <f ca="1">IFERROR(__xludf.DUMMYFUNCTION("IMPORTRANGE(H2407,""IDENTITAS UNIT!D9"")"),"#N/A")</f>
        <v>#N/A</v>
      </c>
      <c r="H2407" s="4" t="str">
        <v/>
      </c>
      <c r="I2407" s="4" t="str">
        <v/>
      </c>
    </row>
    <row r="2408" spans="5:9" ht="16.5" hidden="1">
      <c r="E2408" s="4" t="str">
        <v/>
      </c>
      <c r="F2408" s="102" t="str">
        <f ca="1">IFERROR(__xludf.DUMMYFUNCTION("IMPORTRANGE(H2408,""IDENTITAS UNIT!D9"")"),"#N/A")</f>
        <v>#N/A</v>
      </c>
      <c r="H2408" s="4" t="str">
        <v/>
      </c>
      <c r="I2408" s="4" t="str">
        <v/>
      </c>
    </row>
    <row r="2409" spans="5:9" ht="16.5" hidden="1">
      <c r="E2409" s="4" t="str">
        <v/>
      </c>
      <c r="F2409" s="102" t="str">
        <f ca="1">IFERROR(__xludf.DUMMYFUNCTION("IMPORTRANGE(H2409,""IDENTITAS UNIT!D9"")"),"#N/A")</f>
        <v>#N/A</v>
      </c>
      <c r="H2409" s="4" t="str">
        <v/>
      </c>
      <c r="I2409" s="4" t="str">
        <v/>
      </c>
    </row>
    <row r="2410" spans="5:9" ht="16.5" hidden="1">
      <c r="E2410" s="4" t="str">
        <v/>
      </c>
      <c r="F2410" s="102" t="str">
        <f ca="1">IFERROR(__xludf.DUMMYFUNCTION("IMPORTRANGE(H2410,""IDENTITAS UNIT!D9"")"),"#N/A")</f>
        <v>#N/A</v>
      </c>
      <c r="H2410" s="4" t="str">
        <v/>
      </c>
      <c r="I2410" s="4" t="str">
        <v/>
      </c>
    </row>
    <row r="2411" spans="5:9" ht="16.5" hidden="1">
      <c r="E2411" s="4" t="str">
        <v/>
      </c>
      <c r="F2411" s="102" t="str">
        <f ca="1">IFERROR(__xludf.DUMMYFUNCTION("IMPORTRANGE(H2411,""IDENTITAS UNIT!D9"")"),"#N/A")</f>
        <v>#N/A</v>
      </c>
      <c r="H2411" s="4" t="str">
        <v/>
      </c>
      <c r="I2411" s="4" t="str">
        <v/>
      </c>
    </row>
    <row r="2412" spans="5:9" ht="16.5" hidden="1">
      <c r="E2412" s="4" t="str">
        <v/>
      </c>
      <c r="F2412" s="102" t="str">
        <f ca="1">IFERROR(__xludf.DUMMYFUNCTION("IMPORTRANGE(H2412,""IDENTITAS UNIT!D9"")"),"#N/A")</f>
        <v>#N/A</v>
      </c>
      <c r="H2412" s="4" t="str">
        <v/>
      </c>
      <c r="I2412" s="4" t="str">
        <v/>
      </c>
    </row>
    <row r="2413" spans="5:9" ht="16.5" hidden="1">
      <c r="E2413" s="4" t="str">
        <v/>
      </c>
      <c r="F2413" s="102" t="str">
        <f ca="1">IFERROR(__xludf.DUMMYFUNCTION("IMPORTRANGE(H2413,""IDENTITAS UNIT!D9"")"),"#N/A")</f>
        <v>#N/A</v>
      </c>
      <c r="H2413" s="4" t="str">
        <v/>
      </c>
      <c r="I2413" s="4" t="str">
        <v/>
      </c>
    </row>
    <row r="2414" spans="5:9" ht="16.5" hidden="1">
      <c r="E2414" s="4" t="str">
        <v/>
      </c>
      <c r="F2414" s="102" t="str">
        <f ca="1">IFERROR(__xludf.DUMMYFUNCTION("IMPORTRANGE(H2414,""IDENTITAS UNIT!D9"")"),"#N/A")</f>
        <v>#N/A</v>
      </c>
      <c r="H2414" s="4" t="str">
        <v/>
      </c>
      <c r="I2414" s="4" t="str">
        <v/>
      </c>
    </row>
    <row r="2415" spans="5:9" ht="16.5" hidden="1">
      <c r="E2415" s="4" t="str">
        <v/>
      </c>
      <c r="F2415" s="102" t="str">
        <f ca="1">IFERROR(__xludf.DUMMYFUNCTION("IMPORTRANGE(H2415,""IDENTITAS UNIT!D9"")"),"#N/A")</f>
        <v>#N/A</v>
      </c>
      <c r="H2415" s="4" t="str">
        <v/>
      </c>
      <c r="I2415" s="4" t="str">
        <v/>
      </c>
    </row>
    <row r="2416" spans="5:9" ht="16.5" hidden="1">
      <c r="E2416" s="4" t="str">
        <v/>
      </c>
      <c r="F2416" s="102" t="str">
        <f ca="1">IFERROR(__xludf.DUMMYFUNCTION("IMPORTRANGE(H2416,""IDENTITAS UNIT!D9"")"),"#N/A")</f>
        <v>#N/A</v>
      </c>
      <c r="H2416" s="4" t="str">
        <v/>
      </c>
      <c r="I2416" s="4" t="str">
        <v/>
      </c>
    </row>
    <row r="2417" spans="5:9" ht="16.5" hidden="1">
      <c r="E2417" s="4" t="str">
        <v/>
      </c>
      <c r="F2417" s="102" t="str">
        <f ca="1">IFERROR(__xludf.DUMMYFUNCTION("IMPORTRANGE(H2417,""IDENTITAS UNIT!D9"")"),"#N/A")</f>
        <v>#N/A</v>
      </c>
      <c r="H2417" s="4" t="str">
        <v/>
      </c>
      <c r="I2417" s="4" t="str">
        <v/>
      </c>
    </row>
    <row r="2418" spans="5:9" ht="16.5" hidden="1">
      <c r="E2418" s="4" t="str">
        <v/>
      </c>
      <c r="F2418" s="102" t="str">
        <f ca="1">IFERROR(__xludf.DUMMYFUNCTION("IMPORTRANGE(H2418,""IDENTITAS UNIT!D9"")"),"#N/A")</f>
        <v>#N/A</v>
      </c>
      <c r="H2418" s="4" t="str">
        <v/>
      </c>
      <c r="I2418" s="4" t="str">
        <v/>
      </c>
    </row>
    <row r="2419" spans="5:9" ht="16.5" hidden="1">
      <c r="E2419" s="4" t="str">
        <v/>
      </c>
      <c r="F2419" s="102" t="str">
        <f ca="1">IFERROR(__xludf.DUMMYFUNCTION("IMPORTRANGE(H2419,""IDENTITAS UNIT!D9"")"),"#N/A")</f>
        <v>#N/A</v>
      </c>
      <c r="H2419" s="4" t="str">
        <v/>
      </c>
      <c r="I2419" s="4" t="str">
        <v/>
      </c>
    </row>
    <row r="2420" spans="5:9" ht="16.5" hidden="1">
      <c r="E2420" s="4" t="str">
        <v/>
      </c>
      <c r="F2420" s="102" t="str">
        <f ca="1">IFERROR(__xludf.DUMMYFUNCTION("IMPORTRANGE(H2420,""IDENTITAS UNIT!D9"")"),"#N/A")</f>
        <v>#N/A</v>
      </c>
      <c r="H2420" s="4" t="str">
        <v/>
      </c>
      <c r="I2420" s="4" t="str">
        <v/>
      </c>
    </row>
    <row r="2421" spans="5:9" ht="16.5" hidden="1">
      <c r="E2421" s="4" t="str">
        <v/>
      </c>
      <c r="F2421" s="102" t="str">
        <f ca="1">IFERROR(__xludf.DUMMYFUNCTION("IMPORTRANGE(H2421,""IDENTITAS UNIT!D9"")"),"#N/A")</f>
        <v>#N/A</v>
      </c>
      <c r="H2421" s="4" t="str">
        <v/>
      </c>
      <c r="I2421" s="4" t="str">
        <v/>
      </c>
    </row>
    <row r="2422" spans="5:9" ht="16.5" hidden="1">
      <c r="E2422" s="4" t="str">
        <v/>
      </c>
      <c r="F2422" s="102" t="str">
        <f ca="1">IFERROR(__xludf.DUMMYFUNCTION("IMPORTRANGE(H2422,""IDENTITAS UNIT!D9"")"),"#N/A")</f>
        <v>#N/A</v>
      </c>
      <c r="H2422" s="4" t="str">
        <v/>
      </c>
      <c r="I2422" s="4" t="str">
        <v/>
      </c>
    </row>
    <row r="2423" spans="5:9" ht="16.5" hidden="1">
      <c r="E2423" s="4" t="str">
        <v/>
      </c>
      <c r="F2423" s="102" t="str">
        <f ca="1">IFERROR(__xludf.DUMMYFUNCTION("IMPORTRANGE(H2423,""IDENTITAS UNIT!D9"")"),"#N/A")</f>
        <v>#N/A</v>
      </c>
      <c r="H2423" s="4" t="str">
        <v/>
      </c>
      <c r="I2423" s="4" t="str">
        <v/>
      </c>
    </row>
    <row r="2424" spans="5:9" ht="16.5" hidden="1">
      <c r="E2424" s="4" t="str">
        <v/>
      </c>
      <c r="F2424" s="102" t="str">
        <f ca="1">IFERROR(__xludf.DUMMYFUNCTION("IMPORTRANGE(H2424,""IDENTITAS UNIT!D9"")"),"#N/A")</f>
        <v>#N/A</v>
      </c>
      <c r="H2424" s="4" t="str">
        <v/>
      </c>
      <c r="I2424" s="4" t="str">
        <v/>
      </c>
    </row>
    <row r="2425" spans="5:9" ht="16.5" hidden="1">
      <c r="E2425" s="4" t="str">
        <v/>
      </c>
      <c r="F2425" s="102" t="str">
        <f ca="1">IFERROR(__xludf.DUMMYFUNCTION("IMPORTRANGE(H2425,""IDENTITAS UNIT!D9"")"),"#N/A")</f>
        <v>#N/A</v>
      </c>
      <c r="H2425" s="4" t="str">
        <v/>
      </c>
      <c r="I2425" s="4" t="str">
        <v/>
      </c>
    </row>
    <row r="2426" spans="5:9" ht="16.5" hidden="1">
      <c r="E2426" s="4" t="str">
        <v/>
      </c>
      <c r="F2426" s="102" t="str">
        <f ca="1">IFERROR(__xludf.DUMMYFUNCTION("IMPORTRANGE(H2426,""IDENTITAS UNIT!D9"")"),"#N/A")</f>
        <v>#N/A</v>
      </c>
      <c r="H2426" s="4" t="str">
        <v/>
      </c>
      <c r="I2426" s="4" t="str">
        <v/>
      </c>
    </row>
    <row r="2427" spans="5:9" ht="16.5" hidden="1">
      <c r="E2427" s="4" t="str">
        <v/>
      </c>
      <c r="F2427" s="102" t="str">
        <f ca="1">IFERROR(__xludf.DUMMYFUNCTION("IMPORTRANGE(H2427,""IDENTITAS UNIT!D9"")"),"#N/A")</f>
        <v>#N/A</v>
      </c>
      <c r="H2427" s="4" t="str">
        <v/>
      </c>
      <c r="I2427" s="4" t="str">
        <v/>
      </c>
    </row>
    <row r="2428" spans="5:9" ht="16.5" hidden="1">
      <c r="E2428" s="4" t="str">
        <v/>
      </c>
      <c r="F2428" s="102" t="str">
        <f ca="1">IFERROR(__xludf.DUMMYFUNCTION("IMPORTRANGE(H2428,""IDENTITAS UNIT!D9"")"),"#N/A")</f>
        <v>#N/A</v>
      </c>
      <c r="H2428" s="4" t="str">
        <v/>
      </c>
      <c r="I2428" s="4" t="str">
        <v/>
      </c>
    </row>
    <row r="2429" spans="5:9" ht="16.5" hidden="1">
      <c r="E2429" s="4" t="str">
        <v/>
      </c>
      <c r="F2429" s="102" t="str">
        <f ca="1">IFERROR(__xludf.DUMMYFUNCTION("IMPORTRANGE(H2429,""IDENTITAS UNIT!D9"")"),"#N/A")</f>
        <v>#N/A</v>
      </c>
      <c r="H2429" s="4" t="str">
        <v/>
      </c>
      <c r="I2429" s="4" t="str">
        <v/>
      </c>
    </row>
    <row r="2430" spans="5:9" ht="16.5" hidden="1">
      <c r="E2430" s="4" t="str">
        <v/>
      </c>
      <c r="F2430" s="102" t="str">
        <f ca="1">IFERROR(__xludf.DUMMYFUNCTION("IMPORTRANGE(H2430,""IDENTITAS UNIT!D9"")"),"#N/A")</f>
        <v>#N/A</v>
      </c>
      <c r="H2430" s="4" t="str">
        <v/>
      </c>
      <c r="I2430" s="4" t="str">
        <v/>
      </c>
    </row>
    <row r="2431" spans="5:9" ht="16.5" hidden="1">
      <c r="E2431" s="4" t="str">
        <v/>
      </c>
      <c r="F2431" s="102" t="str">
        <f ca="1">IFERROR(__xludf.DUMMYFUNCTION("IMPORTRANGE(H2431,""IDENTITAS UNIT!D9"")"),"#N/A")</f>
        <v>#N/A</v>
      </c>
      <c r="H2431" s="4" t="str">
        <v/>
      </c>
      <c r="I2431" s="4" t="str">
        <v/>
      </c>
    </row>
    <row r="2432" spans="5:9" ht="16.5" hidden="1">
      <c r="E2432" s="4" t="str">
        <v/>
      </c>
      <c r="F2432" s="102" t="str">
        <f ca="1">IFERROR(__xludf.DUMMYFUNCTION("IMPORTRANGE(H2432,""IDENTITAS UNIT!D9"")"),"#N/A")</f>
        <v>#N/A</v>
      </c>
      <c r="H2432" s="4" t="str">
        <v/>
      </c>
      <c r="I2432" s="4" t="str">
        <v/>
      </c>
    </row>
    <row r="2433" spans="5:9" ht="16.5" hidden="1">
      <c r="E2433" s="4" t="str">
        <v/>
      </c>
      <c r="F2433" s="102" t="str">
        <f ca="1">IFERROR(__xludf.DUMMYFUNCTION("IMPORTRANGE(H2433,""IDENTITAS UNIT!D9"")"),"#N/A")</f>
        <v>#N/A</v>
      </c>
      <c r="H2433" s="4" t="str">
        <v/>
      </c>
      <c r="I2433" s="4" t="str">
        <v/>
      </c>
    </row>
    <row r="2434" spans="5:9" ht="16.5" hidden="1">
      <c r="E2434" s="4" t="str">
        <v/>
      </c>
      <c r="F2434" s="102" t="str">
        <f ca="1">IFERROR(__xludf.DUMMYFUNCTION("IMPORTRANGE(H2434,""IDENTITAS UNIT!D9"")"),"#N/A")</f>
        <v>#N/A</v>
      </c>
      <c r="H2434" s="4" t="str">
        <v/>
      </c>
      <c r="I2434" s="4" t="str">
        <v/>
      </c>
    </row>
    <row r="2435" spans="5:9" ht="16.5" hidden="1">
      <c r="E2435" s="4" t="str">
        <v/>
      </c>
      <c r="F2435" s="102" t="str">
        <f ca="1">IFERROR(__xludf.DUMMYFUNCTION("IMPORTRANGE(H2435,""IDENTITAS UNIT!D9"")"),"#N/A")</f>
        <v>#N/A</v>
      </c>
      <c r="H2435" s="4" t="str">
        <v/>
      </c>
      <c r="I2435" s="4" t="str">
        <v/>
      </c>
    </row>
    <row r="2436" spans="5:9" ht="16.5" hidden="1">
      <c r="E2436" s="4" t="str">
        <v/>
      </c>
      <c r="F2436" s="102" t="str">
        <f ca="1">IFERROR(__xludf.DUMMYFUNCTION("IMPORTRANGE(H2436,""IDENTITAS UNIT!D9"")"),"#N/A")</f>
        <v>#N/A</v>
      </c>
      <c r="H2436" s="4" t="str">
        <v/>
      </c>
      <c r="I2436" s="4" t="str">
        <v/>
      </c>
    </row>
    <row r="2437" spans="5:9" ht="16.5" hidden="1">
      <c r="E2437" s="4" t="str">
        <v/>
      </c>
      <c r="F2437" s="102" t="str">
        <f ca="1">IFERROR(__xludf.DUMMYFUNCTION("IMPORTRANGE(H2437,""IDENTITAS UNIT!D9"")"),"#N/A")</f>
        <v>#N/A</v>
      </c>
      <c r="H2437" s="4" t="str">
        <v/>
      </c>
      <c r="I2437" s="4" t="str">
        <v/>
      </c>
    </row>
    <row r="2438" spans="5:9" ht="16.5" hidden="1">
      <c r="E2438" s="4" t="str">
        <v/>
      </c>
      <c r="F2438" s="102" t="str">
        <f ca="1">IFERROR(__xludf.DUMMYFUNCTION("IMPORTRANGE(H2438,""IDENTITAS UNIT!D9"")"),"#N/A")</f>
        <v>#N/A</v>
      </c>
      <c r="H2438" s="4" t="str">
        <v/>
      </c>
      <c r="I2438" s="4" t="str">
        <v/>
      </c>
    </row>
    <row r="2439" spans="5:9" ht="16.5" hidden="1">
      <c r="E2439" s="4" t="str">
        <v/>
      </c>
      <c r="F2439" s="102" t="str">
        <f ca="1">IFERROR(__xludf.DUMMYFUNCTION("IMPORTRANGE(H2439,""IDENTITAS UNIT!D9"")"),"#N/A")</f>
        <v>#N/A</v>
      </c>
      <c r="H2439" s="4" t="str">
        <v/>
      </c>
      <c r="I2439" s="4" t="str">
        <v/>
      </c>
    </row>
    <row r="2440" spans="5:9" ht="16.5" hidden="1">
      <c r="E2440" s="4" t="str">
        <v/>
      </c>
      <c r="F2440" s="102" t="str">
        <f ca="1">IFERROR(__xludf.DUMMYFUNCTION("IMPORTRANGE(H2440,""IDENTITAS UNIT!D9"")"),"#N/A")</f>
        <v>#N/A</v>
      </c>
      <c r="H2440" s="4" t="str">
        <v/>
      </c>
      <c r="I2440" s="4" t="str">
        <v/>
      </c>
    </row>
    <row r="2441" spans="5:9" ht="16.5" hidden="1">
      <c r="E2441" s="4" t="str">
        <v/>
      </c>
      <c r="F2441" s="102" t="str">
        <f ca="1">IFERROR(__xludf.DUMMYFUNCTION("IMPORTRANGE(H2441,""IDENTITAS UNIT!D9"")"),"#N/A")</f>
        <v>#N/A</v>
      </c>
      <c r="H2441" s="4" t="str">
        <v/>
      </c>
      <c r="I2441" s="4" t="str">
        <v/>
      </c>
    </row>
    <row r="2442" spans="5:9" ht="16.5" hidden="1">
      <c r="E2442" s="4" t="str">
        <v/>
      </c>
      <c r="F2442" s="102" t="str">
        <f ca="1">IFERROR(__xludf.DUMMYFUNCTION("IMPORTRANGE(H2442,""IDENTITAS UNIT!D9"")"),"#N/A")</f>
        <v>#N/A</v>
      </c>
      <c r="H2442" s="4" t="str">
        <v/>
      </c>
      <c r="I2442" s="4" t="str">
        <v/>
      </c>
    </row>
    <row r="2443" spans="5:9" ht="16.5" hidden="1">
      <c r="E2443" s="4" t="str">
        <v/>
      </c>
      <c r="F2443" s="102" t="str">
        <f ca="1">IFERROR(__xludf.DUMMYFUNCTION("IMPORTRANGE(H2443,""IDENTITAS UNIT!D9"")"),"#N/A")</f>
        <v>#N/A</v>
      </c>
      <c r="H2443" s="4" t="str">
        <v/>
      </c>
      <c r="I2443" s="4" t="str">
        <v/>
      </c>
    </row>
    <row r="2444" spans="5:9" ht="16.5" hidden="1">
      <c r="E2444" s="4" t="str">
        <v/>
      </c>
      <c r="F2444" s="102" t="str">
        <f ca="1">IFERROR(__xludf.DUMMYFUNCTION("IMPORTRANGE(H2444,""IDENTITAS UNIT!D9"")"),"#N/A")</f>
        <v>#N/A</v>
      </c>
      <c r="H2444" s="4" t="str">
        <v/>
      </c>
      <c r="I2444" s="4" t="str">
        <v/>
      </c>
    </row>
    <row r="2445" spans="5:9" ht="16.5" hidden="1">
      <c r="E2445" s="4" t="str">
        <v/>
      </c>
      <c r="F2445" s="102" t="str">
        <f ca="1">IFERROR(__xludf.DUMMYFUNCTION("IMPORTRANGE(H2445,""IDENTITAS UNIT!D9"")"),"#N/A")</f>
        <v>#N/A</v>
      </c>
      <c r="H2445" s="4" t="str">
        <v/>
      </c>
      <c r="I2445" s="4" t="str">
        <v/>
      </c>
    </row>
    <row r="2446" spans="5:9" ht="16.5" hidden="1">
      <c r="E2446" s="4" t="str">
        <v/>
      </c>
      <c r="F2446" s="102" t="str">
        <f ca="1">IFERROR(__xludf.DUMMYFUNCTION("IMPORTRANGE(H2446,""IDENTITAS UNIT!D9"")"),"#N/A")</f>
        <v>#N/A</v>
      </c>
      <c r="H2446" s="4" t="str">
        <v/>
      </c>
      <c r="I2446" s="4" t="str">
        <v/>
      </c>
    </row>
    <row r="2447" spans="5:9" ht="16.5" hidden="1">
      <c r="E2447" s="4" t="str">
        <v/>
      </c>
      <c r="F2447" s="102" t="str">
        <f ca="1">IFERROR(__xludf.DUMMYFUNCTION("IMPORTRANGE(H2447,""IDENTITAS UNIT!D9"")"),"#N/A")</f>
        <v>#N/A</v>
      </c>
      <c r="H2447" s="4" t="str">
        <v/>
      </c>
      <c r="I2447" s="4" t="str">
        <v/>
      </c>
    </row>
    <row r="2448" spans="5:9" ht="16.5" hidden="1">
      <c r="E2448" s="4" t="str">
        <v/>
      </c>
      <c r="F2448" s="102" t="str">
        <f ca="1">IFERROR(__xludf.DUMMYFUNCTION("IMPORTRANGE(H2448,""IDENTITAS UNIT!D9"")"),"#N/A")</f>
        <v>#N/A</v>
      </c>
      <c r="H2448" s="4" t="str">
        <v/>
      </c>
      <c r="I2448" s="4" t="str">
        <v/>
      </c>
    </row>
    <row r="2449" spans="5:9" ht="16.5" hidden="1">
      <c r="E2449" s="4" t="str">
        <v/>
      </c>
      <c r="F2449" s="102" t="str">
        <f ca="1">IFERROR(__xludf.DUMMYFUNCTION("IMPORTRANGE(H2449,""IDENTITAS UNIT!D9"")"),"#N/A")</f>
        <v>#N/A</v>
      </c>
      <c r="H2449" s="4" t="str">
        <v/>
      </c>
      <c r="I2449" s="4" t="str">
        <v/>
      </c>
    </row>
    <row r="2450" spans="5:9" ht="16.5" hidden="1">
      <c r="E2450" s="4" t="str">
        <v/>
      </c>
      <c r="F2450" s="102" t="str">
        <f ca="1">IFERROR(__xludf.DUMMYFUNCTION("IMPORTRANGE(H2450,""IDENTITAS UNIT!D9"")"),"#N/A")</f>
        <v>#N/A</v>
      </c>
      <c r="H2450" s="4" t="str">
        <v/>
      </c>
      <c r="I2450" s="4" t="str">
        <v/>
      </c>
    </row>
    <row r="2451" spans="5:9" ht="16.5" hidden="1">
      <c r="E2451" s="4" t="str">
        <v/>
      </c>
      <c r="F2451" s="102" t="str">
        <f ca="1">IFERROR(__xludf.DUMMYFUNCTION("IMPORTRANGE(H2451,""IDENTITAS UNIT!D9"")"),"#N/A")</f>
        <v>#N/A</v>
      </c>
      <c r="H2451" s="4" t="str">
        <v/>
      </c>
      <c r="I2451" s="4" t="str">
        <v/>
      </c>
    </row>
    <row r="2452" spans="5:9" ht="16.5" hidden="1">
      <c r="E2452" s="4" t="str">
        <v/>
      </c>
      <c r="F2452" s="102" t="str">
        <f ca="1">IFERROR(__xludf.DUMMYFUNCTION("IMPORTRANGE(H2452,""IDENTITAS UNIT!D9"")"),"#N/A")</f>
        <v>#N/A</v>
      </c>
      <c r="H2452" s="4" t="str">
        <v/>
      </c>
      <c r="I2452" s="4" t="str">
        <v/>
      </c>
    </row>
    <row r="2453" spans="5:9" ht="16.5" hidden="1">
      <c r="E2453" s="4" t="str">
        <v/>
      </c>
      <c r="F2453" s="102" t="str">
        <f ca="1">IFERROR(__xludf.DUMMYFUNCTION("IMPORTRANGE(H2453,""IDENTITAS UNIT!D9"")"),"#N/A")</f>
        <v>#N/A</v>
      </c>
      <c r="H2453" s="4" t="str">
        <v/>
      </c>
      <c r="I2453" s="4" t="str">
        <v/>
      </c>
    </row>
    <row r="2454" spans="5:9" ht="16.5" hidden="1">
      <c r="E2454" s="4" t="str">
        <v/>
      </c>
      <c r="F2454" s="102" t="str">
        <f ca="1">IFERROR(__xludf.DUMMYFUNCTION("IMPORTRANGE(H2454,""IDENTITAS UNIT!D9"")"),"#N/A")</f>
        <v>#N/A</v>
      </c>
      <c r="H2454" s="4" t="str">
        <v/>
      </c>
      <c r="I2454" s="4" t="str">
        <v/>
      </c>
    </row>
    <row r="2455" spans="5:9" ht="16.5" hidden="1">
      <c r="E2455" s="4" t="str">
        <v/>
      </c>
      <c r="F2455" s="102" t="str">
        <f ca="1">IFERROR(__xludf.DUMMYFUNCTION("IMPORTRANGE(H2455,""IDENTITAS UNIT!D9"")"),"#N/A")</f>
        <v>#N/A</v>
      </c>
      <c r="H2455" s="4" t="str">
        <v/>
      </c>
      <c r="I2455" s="4" t="str">
        <v/>
      </c>
    </row>
    <row r="2456" spans="5:9" ht="16.5" hidden="1">
      <c r="E2456" s="4" t="str">
        <v/>
      </c>
      <c r="F2456" s="102" t="str">
        <f ca="1">IFERROR(__xludf.DUMMYFUNCTION("IMPORTRANGE(H2456,""IDENTITAS UNIT!D9"")"),"#N/A")</f>
        <v>#N/A</v>
      </c>
      <c r="H2456" s="4" t="str">
        <v/>
      </c>
      <c r="I2456" s="4" t="str">
        <v/>
      </c>
    </row>
    <row r="2457" spans="5:9" ht="16.5" hidden="1">
      <c r="E2457" s="4" t="str">
        <v/>
      </c>
      <c r="F2457" s="102" t="str">
        <f ca="1">IFERROR(__xludf.DUMMYFUNCTION("IMPORTRANGE(H2457,""IDENTITAS UNIT!D9"")"),"#N/A")</f>
        <v>#N/A</v>
      </c>
      <c r="H2457" s="4" t="str">
        <v/>
      </c>
      <c r="I2457" s="4" t="str">
        <v/>
      </c>
    </row>
    <row r="2458" spans="5:9" ht="16.5" hidden="1">
      <c r="E2458" s="4" t="str">
        <v/>
      </c>
      <c r="F2458" s="102" t="str">
        <f ca="1">IFERROR(__xludf.DUMMYFUNCTION("IMPORTRANGE(H2458,""IDENTITAS UNIT!D9"")"),"#N/A")</f>
        <v>#N/A</v>
      </c>
      <c r="H2458" s="4" t="str">
        <v/>
      </c>
      <c r="I2458" s="4" t="str">
        <v/>
      </c>
    </row>
    <row r="2459" spans="5:9" ht="16.5" hidden="1">
      <c r="E2459" s="4" t="str">
        <v/>
      </c>
      <c r="F2459" s="102" t="str">
        <f ca="1">IFERROR(__xludf.DUMMYFUNCTION("IMPORTRANGE(H2459,""IDENTITAS UNIT!D9"")"),"#N/A")</f>
        <v>#N/A</v>
      </c>
      <c r="H2459" s="4" t="str">
        <v/>
      </c>
      <c r="I2459" s="4" t="str">
        <v/>
      </c>
    </row>
    <row r="2460" spans="5:9" ht="16.5" hidden="1">
      <c r="E2460" s="4" t="str">
        <v/>
      </c>
      <c r="F2460" s="102" t="str">
        <f ca="1">IFERROR(__xludf.DUMMYFUNCTION("IMPORTRANGE(H2460,""IDENTITAS UNIT!D9"")"),"#N/A")</f>
        <v>#N/A</v>
      </c>
      <c r="H2460" s="4" t="str">
        <v/>
      </c>
      <c r="I2460" s="4" t="str">
        <v/>
      </c>
    </row>
    <row r="2461" spans="5:9" ht="16.5" hidden="1">
      <c r="E2461" s="4" t="str">
        <v/>
      </c>
      <c r="F2461" s="102" t="str">
        <f ca="1">IFERROR(__xludf.DUMMYFUNCTION("IMPORTRANGE(H2461,""IDENTITAS UNIT!D9"")"),"#N/A")</f>
        <v>#N/A</v>
      </c>
      <c r="H2461" s="4" t="str">
        <v/>
      </c>
      <c r="I2461" s="4" t="str">
        <v/>
      </c>
    </row>
    <row r="2462" spans="5:9" ht="16.5" hidden="1">
      <c r="E2462" s="4" t="str">
        <v/>
      </c>
      <c r="F2462" s="102" t="str">
        <f ca="1">IFERROR(__xludf.DUMMYFUNCTION("IMPORTRANGE(H2462,""IDENTITAS UNIT!D9"")"),"#N/A")</f>
        <v>#N/A</v>
      </c>
      <c r="H2462" s="4" t="str">
        <v/>
      </c>
      <c r="I2462" s="4" t="str">
        <v/>
      </c>
    </row>
    <row r="2463" spans="5:9" ht="16.5" hidden="1">
      <c r="E2463" s="4" t="str">
        <v/>
      </c>
      <c r="F2463" s="102" t="str">
        <f ca="1">IFERROR(__xludf.DUMMYFUNCTION("IMPORTRANGE(H2463,""IDENTITAS UNIT!D9"")"),"#N/A")</f>
        <v>#N/A</v>
      </c>
      <c r="H2463" s="4" t="str">
        <v/>
      </c>
      <c r="I2463" s="4" t="str">
        <v/>
      </c>
    </row>
    <row r="2464" spans="5:9" ht="16.5" hidden="1">
      <c r="E2464" s="4" t="str">
        <v/>
      </c>
      <c r="F2464" s="102" t="str">
        <f ca="1">IFERROR(__xludf.DUMMYFUNCTION("IMPORTRANGE(H2464,""IDENTITAS UNIT!D9"")"),"#N/A")</f>
        <v>#N/A</v>
      </c>
      <c r="H2464" s="4" t="str">
        <v/>
      </c>
      <c r="I2464" s="4" t="str">
        <v/>
      </c>
    </row>
    <row r="2465" spans="5:9" ht="16.5" hidden="1">
      <c r="E2465" s="4" t="str">
        <v/>
      </c>
      <c r="F2465" s="102" t="str">
        <f ca="1">IFERROR(__xludf.DUMMYFUNCTION("IMPORTRANGE(H2465,""IDENTITAS UNIT!D9"")"),"#N/A")</f>
        <v>#N/A</v>
      </c>
      <c r="H2465" s="4" t="str">
        <v/>
      </c>
      <c r="I2465" s="4" t="str">
        <v/>
      </c>
    </row>
    <row r="2466" spans="5:9" ht="16.5" hidden="1">
      <c r="E2466" s="4" t="str">
        <v/>
      </c>
      <c r="F2466" s="102" t="str">
        <f ca="1">IFERROR(__xludf.DUMMYFUNCTION("IMPORTRANGE(H2466,""IDENTITAS UNIT!D9"")"),"#N/A")</f>
        <v>#N/A</v>
      </c>
      <c r="H2466" s="4" t="str">
        <v/>
      </c>
      <c r="I2466" s="4" t="str">
        <v/>
      </c>
    </row>
    <row r="2467" spans="5:9" ht="16.5" hidden="1">
      <c r="E2467" s="4" t="str">
        <v/>
      </c>
      <c r="F2467" s="102" t="str">
        <f ca="1">IFERROR(__xludf.DUMMYFUNCTION("IMPORTRANGE(H2467,""IDENTITAS UNIT!D9"")"),"#N/A")</f>
        <v>#N/A</v>
      </c>
      <c r="H2467" s="4" t="str">
        <v/>
      </c>
      <c r="I2467" s="4" t="str">
        <v/>
      </c>
    </row>
    <row r="2468" spans="5:9" ht="16.5" hidden="1">
      <c r="E2468" s="4" t="str">
        <v/>
      </c>
      <c r="F2468" s="102" t="str">
        <f ca="1">IFERROR(__xludf.DUMMYFUNCTION("IMPORTRANGE(H2468,""IDENTITAS UNIT!D9"")"),"#N/A")</f>
        <v>#N/A</v>
      </c>
      <c r="H2468" s="4" t="str">
        <v/>
      </c>
      <c r="I2468" s="4" t="str">
        <v/>
      </c>
    </row>
    <row r="2469" spans="5:9" ht="16.5" hidden="1">
      <c r="E2469" s="4" t="str">
        <v/>
      </c>
      <c r="F2469" s="102" t="str">
        <f ca="1">IFERROR(__xludf.DUMMYFUNCTION("IMPORTRANGE(H2469,""IDENTITAS UNIT!D9"")"),"#N/A")</f>
        <v>#N/A</v>
      </c>
      <c r="H2469" s="4" t="str">
        <v/>
      </c>
      <c r="I2469" s="4" t="str">
        <v/>
      </c>
    </row>
    <row r="2470" spans="5:9" ht="16.5" hidden="1">
      <c r="E2470" s="4" t="str">
        <v/>
      </c>
      <c r="F2470" s="102" t="str">
        <f ca="1">IFERROR(__xludf.DUMMYFUNCTION("IMPORTRANGE(H2470,""IDENTITAS UNIT!D9"")"),"#N/A")</f>
        <v>#N/A</v>
      </c>
      <c r="H2470" s="4" t="str">
        <v/>
      </c>
      <c r="I2470" s="4" t="str">
        <v/>
      </c>
    </row>
    <row r="2471" spans="5:9" ht="16.5" hidden="1">
      <c r="E2471" s="4" t="str">
        <v/>
      </c>
      <c r="F2471" s="102" t="str">
        <f ca="1">IFERROR(__xludf.DUMMYFUNCTION("IMPORTRANGE(H2471,""IDENTITAS UNIT!D9"")"),"#N/A")</f>
        <v>#N/A</v>
      </c>
      <c r="H2471" s="4" t="str">
        <v/>
      </c>
      <c r="I2471" s="4" t="str">
        <v/>
      </c>
    </row>
    <row r="2472" spans="5:9" ht="16.5" hidden="1">
      <c r="E2472" s="4" t="str">
        <v/>
      </c>
      <c r="F2472" s="102" t="str">
        <f ca="1">IFERROR(__xludf.DUMMYFUNCTION("IMPORTRANGE(H2472,""IDENTITAS UNIT!D9"")"),"#N/A")</f>
        <v>#N/A</v>
      </c>
      <c r="H2472" s="4" t="str">
        <v/>
      </c>
      <c r="I2472" s="4" t="str">
        <v/>
      </c>
    </row>
    <row r="2473" spans="5:9" ht="16.5" hidden="1">
      <c r="E2473" s="4" t="str">
        <v/>
      </c>
      <c r="F2473" s="102" t="str">
        <f ca="1">IFERROR(__xludf.DUMMYFUNCTION("IMPORTRANGE(H2473,""IDENTITAS UNIT!D9"")"),"#N/A")</f>
        <v>#N/A</v>
      </c>
      <c r="H2473" s="4" t="str">
        <v/>
      </c>
      <c r="I2473" s="4" t="str">
        <v/>
      </c>
    </row>
    <row r="2474" spans="5:9" ht="16.5" hidden="1">
      <c r="E2474" s="4" t="str">
        <v/>
      </c>
      <c r="F2474" s="102" t="str">
        <f ca="1">IFERROR(__xludf.DUMMYFUNCTION("IMPORTRANGE(H2474,""IDENTITAS UNIT!D9"")"),"#N/A")</f>
        <v>#N/A</v>
      </c>
      <c r="H2474" s="4" t="str">
        <v/>
      </c>
      <c r="I2474" s="4" t="str">
        <v/>
      </c>
    </row>
    <row r="2475" spans="5:9" ht="16.5" hidden="1">
      <c r="E2475" s="4" t="str">
        <v/>
      </c>
      <c r="F2475" s="102" t="str">
        <f ca="1">IFERROR(__xludf.DUMMYFUNCTION("IMPORTRANGE(H2475,""IDENTITAS UNIT!D9"")"),"#N/A")</f>
        <v>#N/A</v>
      </c>
      <c r="H2475" s="4" t="str">
        <v/>
      </c>
      <c r="I2475" s="4" t="str">
        <v/>
      </c>
    </row>
    <row r="2476" spans="5:9" ht="16.5" hidden="1">
      <c r="E2476" s="4" t="str">
        <v/>
      </c>
      <c r="F2476" s="102" t="str">
        <f ca="1">IFERROR(__xludf.DUMMYFUNCTION("IMPORTRANGE(H2476,""IDENTITAS UNIT!D9"")"),"#N/A")</f>
        <v>#N/A</v>
      </c>
      <c r="H2476" s="4" t="str">
        <v/>
      </c>
      <c r="I2476" s="4" t="str">
        <v/>
      </c>
    </row>
    <row r="2477" spans="5:9" ht="16.5" hidden="1">
      <c r="E2477" s="4" t="str">
        <v/>
      </c>
      <c r="F2477" s="102" t="str">
        <f ca="1">IFERROR(__xludf.DUMMYFUNCTION("IMPORTRANGE(H2477,""IDENTITAS UNIT!D9"")"),"#N/A")</f>
        <v>#N/A</v>
      </c>
      <c r="H2477" s="4" t="str">
        <v/>
      </c>
      <c r="I2477" s="4" t="str">
        <v/>
      </c>
    </row>
    <row r="2478" spans="5:9" ht="16.5" hidden="1">
      <c r="E2478" s="4" t="str">
        <v/>
      </c>
      <c r="F2478" s="102" t="str">
        <f ca="1">IFERROR(__xludf.DUMMYFUNCTION("IMPORTRANGE(H2478,""IDENTITAS UNIT!D9"")"),"#N/A")</f>
        <v>#N/A</v>
      </c>
      <c r="H2478" s="4" t="str">
        <v/>
      </c>
      <c r="I2478" s="4" t="str">
        <v/>
      </c>
    </row>
    <row r="2479" spans="5:9" ht="16.5" hidden="1">
      <c r="E2479" s="4" t="str">
        <v/>
      </c>
      <c r="F2479" s="102" t="str">
        <f ca="1">IFERROR(__xludf.DUMMYFUNCTION("IMPORTRANGE(H2479,""IDENTITAS UNIT!D9"")"),"#N/A")</f>
        <v>#N/A</v>
      </c>
      <c r="H2479" s="4" t="str">
        <v/>
      </c>
      <c r="I2479" s="4" t="str">
        <v/>
      </c>
    </row>
    <row r="2480" spans="5:9" ht="16.5" hidden="1">
      <c r="E2480" s="4" t="str">
        <v/>
      </c>
      <c r="F2480" s="102" t="str">
        <f ca="1">IFERROR(__xludf.DUMMYFUNCTION("IMPORTRANGE(H2480,""IDENTITAS UNIT!D9"")"),"#N/A")</f>
        <v>#N/A</v>
      </c>
      <c r="H2480" s="4" t="str">
        <v/>
      </c>
      <c r="I2480" s="4" t="str">
        <v/>
      </c>
    </row>
    <row r="2481" spans="5:9" ht="16.5" hidden="1">
      <c r="E2481" s="4" t="str">
        <v/>
      </c>
      <c r="F2481" s="102" t="str">
        <f ca="1">IFERROR(__xludf.DUMMYFUNCTION("IMPORTRANGE(H2481,""IDENTITAS UNIT!D9"")"),"#N/A")</f>
        <v>#N/A</v>
      </c>
      <c r="H2481" s="4" t="str">
        <v/>
      </c>
      <c r="I2481" s="4" t="str">
        <v/>
      </c>
    </row>
    <row r="2482" spans="5:9" ht="16.5" hidden="1">
      <c r="E2482" s="4" t="str">
        <v/>
      </c>
      <c r="F2482" s="102" t="str">
        <f ca="1">IFERROR(__xludf.DUMMYFUNCTION("IMPORTRANGE(H2482,""IDENTITAS UNIT!D9"")"),"#N/A")</f>
        <v>#N/A</v>
      </c>
      <c r="H2482" s="4" t="str">
        <v/>
      </c>
      <c r="I2482" s="4" t="str">
        <v/>
      </c>
    </row>
    <row r="2483" spans="5:9" ht="16.5" hidden="1">
      <c r="E2483" s="4" t="str">
        <v/>
      </c>
      <c r="F2483" s="102" t="str">
        <f ca="1">IFERROR(__xludf.DUMMYFUNCTION("IMPORTRANGE(H2483,""IDENTITAS UNIT!D9"")"),"#N/A")</f>
        <v>#N/A</v>
      </c>
      <c r="H2483" s="4" t="str">
        <v/>
      </c>
      <c r="I2483" s="4" t="str">
        <v/>
      </c>
    </row>
    <row r="2484" spans="5:9" ht="16.5" hidden="1">
      <c r="E2484" s="4" t="str">
        <v/>
      </c>
      <c r="F2484" s="102" t="str">
        <f ca="1">IFERROR(__xludf.DUMMYFUNCTION("IMPORTRANGE(H2484,""IDENTITAS UNIT!D9"")"),"#N/A")</f>
        <v>#N/A</v>
      </c>
      <c r="H2484" s="4" t="str">
        <v/>
      </c>
      <c r="I2484" s="4" t="str">
        <v/>
      </c>
    </row>
    <row r="2485" spans="5:9" ht="16.5" hidden="1">
      <c r="E2485" s="4" t="str">
        <v/>
      </c>
      <c r="F2485" s="102" t="str">
        <f ca="1">IFERROR(__xludf.DUMMYFUNCTION("IMPORTRANGE(H2485,""IDENTITAS UNIT!D9"")"),"#N/A")</f>
        <v>#N/A</v>
      </c>
      <c r="H2485" s="4" t="str">
        <v/>
      </c>
      <c r="I2485" s="4" t="str">
        <v/>
      </c>
    </row>
    <row r="2486" spans="5:9" ht="16.5" hidden="1">
      <c r="E2486" s="4" t="str">
        <v/>
      </c>
      <c r="F2486" s="102" t="str">
        <f ca="1">IFERROR(__xludf.DUMMYFUNCTION("IMPORTRANGE(H2486,""IDENTITAS UNIT!D9"")"),"#N/A")</f>
        <v>#N/A</v>
      </c>
      <c r="H2486" s="4" t="str">
        <v/>
      </c>
      <c r="I2486" s="4" t="str">
        <v/>
      </c>
    </row>
    <row r="2487" spans="5:9" ht="16.5" hidden="1">
      <c r="E2487" s="4" t="str">
        <v/>
      </c>
      <c r="F2487" s="102" t="str">
        <f ca="1">IFERROR(__xludf.DUMMYFUNCTION("IMPORTRANGE(H2487,""IDENTITAS UNIT!D9"")"),"#N/A")</f>
        <v>#N/A</v>
      </c>
      <c r="H2487" s="4" t="str">
        <v/>
      </c>
      <c r="I2487" s="4" t="str">
        <v/>
      </c>
    </row>
    <row r="2488" spans="5:9" ht="16.5" hidden="1">
      <c r="E2488" s="4" t="str">
        <v/>
      </c>
      <c r="F2488" s="102" t="str">
        <f ca="1">IFERROR(__xludf.DUMMYFUNCTION("IMPORTRANGE(H2488,""IDENTITAS UNIT!D9"")"),"#N/A")</f>
        <v>#N/A</v>
      </c>
      <c r="H2488" s="4" t="str">
        <v/>
      </c>
      <c r="I2488" s="4" t="str">
        <v/>
      </c>
    </row>
    <row r="2489" spans="5:9" ht="16.5" hidden="1">
      <c r="E2489" s="4" t="str">
        <v/>
      </c>
      <c r="F2489" s="102" t="str">
        <f ca="1">IFERROR(__xludf.DUMMYFUNCTION("IMPORTRANGE(H2489,""IDENTITAS UNIT!D9"")"),"#N/A")</f>
        <v>#N/A</v>
      </c>
      <c r="H2489" s="4" t="str">
        <v/>
      </c>
      <c r="I2489" s="4" t="str">
        <v/>
      </c>
    </row>
    <row r="2490" spans="5:9" ht="16.5" hidden="1">
      <c r="E2490" s="4" t="str">
        <v/>
      </c>
      <c r="F2490" s="102" t="str">
        <f ca="1">IFERROR(__xludf.DUMMYFUNCTION("IMPORTRANGE(H2490,""IDENTITAS UNIT!D9"")"),"#N/A")</f>
        <v>#N/A</v>
      </c>
      <c r="H2490" s="4" t="str">
        <v/>
      </c>
      <c r="I2490" s="4" t="str">
        <v/>
      </c>
    </row>
    <row r="2491" spans="5:9" ht="16.5" hidden="1">
      <c r="E2491" s="4" t="str">
        <v/>
      </c>
      <c r="F2491" s="102" t="str">
        <f ca="1">IFERROR(__xludf.DUMMYFUNCTION("IMPORTRANGE(H2491,""IDENTITAS UNIT!D9"")"),"#N/A")</f>
        <v>#N/A</v>
      </c>
      <c r="H2491" s="4" t="str">
        <v/>
      </c>
      <c r="I2491" s="4" t="str">
        <v/>
      </c>
    </row>
    <row r="2492" spans="5:9" ht="16.5" hidden="1">
      <c r="E2492" s="4" t="str">
        <v/>
      </c>
      <c r="F2492" s="102" t="str">
        <f ca="1">IFERROR(__xludf.DUMMYFUNCTION("IMPORTRANGE(H2492,""IDENTITAS UNIT!D9"")"),"#N/A")</f>
        <v>#N/A</v>
      </c>
      <c r="H2492" s="4" t="str">
        <v/>
      </c>
      <c r="I2492" s="4" t="str">
        <v/>
      </c>
    </row>
    <row r="2493" spans="5:9" ht="16.5" hidden="1">
      <c r="E2493" s="4" t="str">
        <v/>
      </c>
      <c r="F2493" s="102" t="str">
        <f ca="1">IFERROR(__xludf.DUMMYFUNCTION("IMPORTRANGE(H2493,""IDENTITAS UNIT!D9"")"),"#N/A")</f>
        <v>#N/A</v>
      </c>
      <c r="H2493" s="4" t="str">
        <v/>
      </c>
      <c r="I2493" s="4" t="str">
        <v/>
      </c>
    </row>
    <row r="2494" spans="5:9" ht="16.5" hidden="1">
      <c r="E2494" s="4" t="str">
        <v/>
      </c>
      <c r="F2494" s="102" t="str">
        <f ca="1">IFERROR(__xludf.DUMMYFUNCTION("IMPORTRANGE(H2494,""IDENTITAS UNIT!D9"")"),"#N/A")</f>
        <v>#N/A</v>
      </c>
      <c r="H2494" s="4" t="str">
        <v/>
      </c>
      <c r="I2494" s="4" t="str">
        <v/>
      </c>
    </row>
    <row r="2495" spans="5:9" ht="16.5" hidden="1">
      <c r="E2495" s="4" t="str">
        <v/>
      </c>
      <c r="F2495" s="102" t="str">
        <f ca="1">IFERROR(__xludf.DUMMYFUNCTION("IMPORTRANGE(H2495,""IDENTITAS UNIT!D9"")"),"#N/A")</f>
        <v>#N/A</v>
      </c>
      <c r="H2495" s="4" t="str">
        <v/>
      </c>
      <c r="I2495" s="4" t="str">
        <v/>
      </c>
    </row>
    <row r="2496" spans="5:9" ht="16.5" hidden="1">
      <c r="E2496" s="4" t="str">
        <v/>
      </c>
      <c r="F2496" s="102" t="str">
        <f ca="1">IFERROR(__xludf.DUMMYFUNCTION("IMPORTRANGE(H2496,""IDENTITAS UNIT!D9"")"),"#N/A")</f>
        <v>#N/A</v>
      </c>
      <c r="H2496" s="4" t="str">
        <v/>
      </c>
      <c r="I2496" s="4" t="str">
        <v/>
      </c>
    </row>
    <row r="2497" spans="5:9" ht="16.5" hidden="1">
      <c r="E2497" s="4" t="str">
        <v/>
      </c>
      <c r="F2497" s="102" t="str">
        <f ca="1">IFERROR(__xludf.DUMMYFUNCTION("IMPORTRANGE(H2497,""IDENTITAS UNIT!D9"")"),"#N/A")</f>
        <v>#N/A</v>
      </c>
      <c r="H2497" s="4" t="str">
        <v/>
      </c>
      <c r="I2497" s="4" t="str">
        <v/>
      </c>
    </row>
    <row r="2498" spans="5:9" ht="16.5" hidden="1">
      <c r="E2498" s="4" t="str">
        <v/>
      </c>
      <c r="F2498" s="102" t="str">
        <f ca="1">IFERROR(__xludf.DUMMYFUNCTION("IMPORTRANGE(H2498,""IDENTITAS UNIT!D9"")"),"#N/A")</f>
        <v>#N/A</v>
      </c>
      <c r="H2498" s="4" t="str">
        <v/>
      </c>
      <c r="I2498" s="4" t="str">
        <v/>
      </c>
    </row>
    <row r="2499" spans="5:9" ht="16.5" hidden="1">
      <c r="E2499" s="4" t="str">
        <v/>
      </c>
      <c r="F2499" s="102" t="str">
        <f ca="1">IFERROR(__xludf.DUMMYFUNCTION("IMPORTRANGE(H2499,""IDENTITAS UNIT!D9"")"),"#N/A")</f>
        <v>#N/A</v>
      </c>
      <c r="H2499" s="4" t="str">
        <v/>
      </c>
      <c r="I2499" s="4" t="str">
        <v/>
      </c>
    </row>
    <row r="2500" spans="5:9" ht="16.5" hidden="1">
      <c r="E2500" s="4" t="str">
        <v/>
      </c>
      <c r="F2500" s="102" t="str">
        <f ca="1">IFERROR(__xludf.DUMMYFUNCTION("IMPORTRANGE(H2500,""IDENTITAS UNIT!D9"")"),"#N/A")</f>
        <v>#N/A</v>
      </c>
      <c r="H2500" s="4" t="str">
        <v/>
      </c>
      <c r="I2500" s="4" t="str">
        <v/>
      </c>
    </row>
    <row r="2501" spans="5:9" ht="16.5" hidden="1">
      <c r="E2501" s="4" t="str">
        <v/>
      </c>
      <c r="F2501" s="102" t="str">
        <f ca="1">IFERROR(__xludf.DUMMYFUNCTION("IMPORTRANGE(H2501,""IDENTITAS UNIT!D9"")"),"#N/A")</f>
        <v>#N/A</v>
      </c>
      <c r="H2501" s="4" t="str">
        <v/>
      </c>
      <c r="I2501" s="4" t="str">
        <v/>
      </c>
    </row>
    <row r="2502" spans="5:9" ht="16.5" hidden="1">
      <c r="E2502" s="4" t="str">
        <v/>
      </c>
      <c r="F2502" s="102" t="str">
        <f ca="1">IFERROR(__xludf.DUMMYFUNCTION("IMPORTRANGE(H2502,""IDENTITAS UNIT!D9"")"),"#N/A")</f>
        <v>#N/A</v>
      </c>
      <c r="H2502" s="4" t="str">
        <v/>
      </c>
      <c r="I2502" s="4" t="str">
        <v/>
      </c>
    </row>
    <row r="2503" spans="5:9" ht="16.5" hidden="1">
      <c r="E2503" s="4" t="str">
        <v/>
      </c>
      <c r="F2503" s="102" t="str">
        <f ca="1">IFERROR(__xludf.DUMMYFUNCTION("IMPORTRANGE(H2503,""IDENTITAS UNIT!D9"")"),"#N/A")</f>
        <v>#N/A</v>
      </c>
      <c r="H2503" s="4" t="str">
        <v/>
      </c>
      <c r="I2503" s="4" t="str">
        <v/>
      </c>
    </row>
    <row r="2504" spans="5:9" ht="16.5" hidden="1">
      <c r="E2504" s="4" t="str">
        <v/>
      </c>
      <c r="F2504" s="102" t="str">
        <f ca="1">IFERROR(__xludf.DUMMYFUNCTION("IMPORTRANGE(H2504,""IDENTITAS UNIT!D9"")"),"#N/A")</f>
        <v>#N/A</v>
      </c>
      <c r="H2504" s="4" t="str">
        <v/>
      </c>
      <c r="I2504" s="4" t="str">
        <v/>
      </c>
    </row>
    <row r="2505" spans="5:9" ht="16.5" hidden="1">
      <c r="E2505" s="4" t="str">
        <v/>
      </c>
      <c r="F2505" s="102" t="str">
        <f ca="1">IFERROR(__xludf.DUMMYFUNCTION("IMPORTRANGE(H2505,""IDENTITAS UNIT!D9"")"),"#N/A")</f>
        <v>#N/A</v>
      </c>
      <c r="H2505" s="4" t="str">
        <v/>
      </c>
      <c r="I2505" s="4" t="str">
        <v/>
      </c>
    </row>
    <row r="2506" spans="5:9" ht="16.5" hidden="1">
      <c r="E2506" s="4" t="str">
        <v/>
      </c>
      <c r="F2506" s="102" t="str">
        <f ca="1">IFERROR(__xludf.DUMMYFUNCTION("IMPORTRANGE(H2506,""IDENTITAS UNIT!D9"")"),"#N/A")</f>
        <v>#N/A</v>
      </c>
      <c r="H2506" s="4" t="str">
        <v/>
      </c>
      <c r="I2506" s="4" t="str">
        <v/>
      </c>
    </row>
    <row r="2507" spans="5:9" ht="16.5" hidden="1">
      <c r="E2507" s="4" t="str">
        <v/>
      </c>
      <c r="F2507" s="102" t="str">
        <f ca="1">IFERROR(__xludf.DUMMYFUNCTION("IMPORTRANGE(H2507,""IDENTITAS UNIT!D9"")"),"#N/A")</f>
        <v>#N/A</v>
      </c>
      <c r="H2507" s="4" t="str">
        <v/>
      </c>
      <c r="I2507" s="4" t="str">
        <v/>
      </c>
    </row>
    <row r="2508" spans="5:9" ht="16.5" hidden="1">
      <c r="E2508" s="4" t="str">
        <v/>
      </c>
      <c r="F2508" s="102" t="str">
        <f ca="1">IFERROR(__xludf.DUMMYFUNCTION("IMPORTRANGE(H2508,""IDENTITAS UNIT!D9"")"),"#N/A")</f>
        <v>#N/A</v>
      </c>
      <c r="H2508" s="4" t="str">
        <v/>
      </c>
      <c r="I2508" s="4" t="str">
        <v/>
      </c>
    </row>
    <row r="2509" spans="5:9" ht="16.5" hidden="1">
      <c r="E2509" s="4" t="str">
        <v/>
      </c>
      <c r="F2509" s="102" t="str">
        <f ca="1">IFERROR(__xludf.DUMMYFUNCTION("IMPORTRANGE(H2509,""IDENTITAS UNIT!D9"")"),"#N/A")</f>
        <v>#N/A</v>
      </c>
      <c r="H2509" s="4" t="str">
        <v/>
      </c>
      <c r="I2509" s="4" t="str">
        <v/>
      </c>
    </row>
    <row r="2510" spans="5:9" ht="16.5" hidden="1">
      <c r="E2510" s="4" t="str">
        <v/>
      </c>
      <c r="F2510" s="102" t="str">
        <f ca="1">IFERROR(__xludf.DUMMYFUNCTION("IMPORTRANGE(H2510,""IDENTITAS UNIT!D9"")"),"#N/A")</f>
        <v>#N/A</v>
      </c>
      <c r="H2510" s="4" t="str">
        <v/>
      </c>
      <c r="I2510" s="4" t="str">
        <v/>
      </c>
    </row>
    <row r="2511" spans="5:9" ht="16.5" hidden="1">
      <c r="E2511" s="4" t="str">
        <v/>
      </c>
      <c r="F2511" s="102" t="str">
        <f ca="1">IFERROR(__xludf.DUMMYFUNCTION("IMPORTRANGE(H2511,""IDENTITAS UNIT!D9"")"),"#N/A")</f>
        <v>#N/A</v>
      </c>
      <c r="H2511" s="4" t="str">
        <v/>
      </c>
      <c r="I2511" s="4" t="str">
        <v/>
      </c>
    </row>
    <row r="2512" spans="5:9" ht="16.5" hidden="1">
      <c r="E2512" s="4" t="str">
        <v/>
      </c>
      <c r="F2512" s="102" t="str">
        <f ca="1">IFERROR(__xludf.DUMMYFUNCTION("IMPORTRANGE(H2512,""IDENTITAS UNIT!D9"")"),"#N/A")</f>
        <v>#N/A</v>
      </c>
      <c r="H2512" s="4" t="str">
        <v/>
      </c>
      <c r="I2512" s="4" t="str">
        <v/>
      </c>
    </row>
    <row r="2513" spans="5:9" ht="16.5" hidden="1">
      <c r="E2513" s="4" t="str">
        <v/>
      </c>
      <c r="F2513" s="102" t="str">
        <f ca="1">IFERROR(__xludf.DUMMYFUNCTION("IMPORTRANGE(H2513,""IDENTITAS UNIT!D9"")"),"#N/A")</f>
        <v>#N/A</v>
      </c>
      <c r="H2513" s="4" t="str">
        <v/>
      </c>
      <c r="I2513" s="4" t="str">
        <v/>
      </c>
    </row>
    <row r="2514" spans="5:9" ht="16.5" hidden="1">
      <c r="E2514" s="4" t="str">
        <v/>
      </c>
      <c r="F2514" s="102" t="str">
        <f ca="1">IFERROR(__xludf.DUMMYFUNCTION("IMPORTRANGE(H2514,""IDENTITAS UNIT!D9"")"),"#N/A")</f>
        <v>#N/A</v>
      </c>
      <c r="H2514" s="4" t="str">
        <v/>
      </c>
      <c r="I2514" s="4" t="str">
        <v/>
      </c>
    </row>
    <row r="2515" spans="5:9" ht="16.5" hidden="1">
      <c r="E2515" s="4" t="str">
        <v/>
      </c>
      <c r="F2515" s="102" t="str">
        <f ca="1">IFERROR(__xludf.DUMMYFUNCTION("IMPORTRANGE(H2515,""IDENTITAS UNIT!D9"")"),"#N/A")</f>
        <v>#N/A</v>
      </c>
      <c r="H2515" s="4" t="str">
        <v/>
      </c>
      <c r="I2515" s="4" t="str">
        <v/>
      </c>
    </row>
    <row r="2516" spans="5:9" ht="16.5" hidden="1">
      <c r="E2516" s="4" t="str">
        <v/>
      </c>
      <c r="F2516" s="102" t="str">
        <f ca="1">IFERROR(__xludf.DUMMYFUNCTION("IMPORTRANGE(H2516,""IDENTITAS UNIT!D9"")"),"#N/A")</f>
        <v>#N/A</v>
      </c>
      <c r="H2516" s="4" t="str">
        <v/>
      </c>
      <c r="I2516" s="4" t="str">
        <v/>
      </c>
    </row>
    <row r="2517" spans="5:9" ht="16.5" hidden="1">
      <c r="E2517" s="4" t="str">
        <v/>
      </c>
      <c r="F2517" s="102" t="str">
        <f ca="1">IFERROR(__xludf.DUMMYFUNCTION("IMPORTRANGE(H2517,""IDENTITAS UNIT!D9"")"),"#N/A")</f>
        <v>#N/A</v>
      </c>
      <c r="H2517" s="4" t="str">
        <v/>
      </c>
      <c r="I2517" s="4" t="str">
        <v/>
      </c>
    </row>
    <row r="2518" spans="5:9" ht="16.5" hidden="1">
      <c r="E2518" s="4" t="str">
        <v/>
      </c>
      <c r="F2518" s="102" t="str">
        <f ca="1">IFERROR(__xludf.DUMMYFUNCTION("IMPORTRANGE(H2518,""IDENTITAS UNIT!D9"")"),"#N/A")</f>
        <v>#N/A</v>
      </c>
      <c r="H2518" s="4" t="str">
        <v/>
      </c>
      <c r="I2518" s="4" t="str">
        <v/>
      </c>
    </row>
    <row r="2519" spans="5:9" ht="16.5" hidden="1">
      <c r="E2519" s="4" t="str">
        <v/>
      </c>
      <c r="F2519" s="102" t="str">
        <f ca="1">IFERROR(__xludf.DUMMYFUNCTION("IMPORTRANGE(H2519,""IDENTITAS UNIT!D9"")"),"#N/A")</f>
        <v>#N/A</v>
      </c>
      <c r="H2519" s="4" t="str">
        <v/>
      </c>
      <c r="I2519" s="4" t="str">
        <v/>
      </c>
    </row>
    <row r="2520" spans="5:9" ht="16.5" hidden="1">
      <c r="E2520" s="4" t="str">
        <v/>
      </c>
      <c r="F2520" s="102" t="str">
        <f ca="1">IFERROR(__xludf.DUMMYFUNCTION("IMPORTRANGE(H2520,""IDENTITAS UNIT!D9"")"),"#N/A")</f>
        <v>#N/A</v>
      </c>
      <c r="H2520" s="4" t="str">
        <v/>
      </c>
      <c r="I2520" s="4" t="str">
        <v/>
      </c>
    </row>
    <row r="2521" spans="5:9" ht="16.5" hidden="1">
      <c r="E2521" s="4" t="str">
        <v/>
      </c>
      <c r="F2521" s="102" t="str">
        <f ca="1">IFERROR(__xludf.DUMMYFUNCTION("IMPORTRANGE(H2521,""IDENTITAS UNIT!D9"")"),"#N/A")</f>
        <v>#N/A</v>
      </c>
      <c r="H2521" s="4" t="str">
        <v/>
      </c>
      <c r="I2521" s="4" t="str">
        <v/>
      </c>
    </row>
    <row r="2522" spans="5:9" ht="16.5" hidden="1">
      <c r="E2522" s="4" t="str">
        <v/>
      </c>
      <c r="F2522" s="102" t="str">
        <f ca="1">IFERROR(__xludf.DUMMYFUNCTION("IMPORTRANGE(H2522,""IDENTITAS UNIT!D9"")"),"#N/A")</f>
        <v>#N/A</v>
      </c>
      <c r="H2522" s="4" t="str">
        <v/>
      </c>
      <c r="I2522" s="4" t="str">
        <v/>
      </c>
    </row>
    <row r="2523" spans="5:9" ht="16.5" hidden="1">
      <c r="E2523" s="4" t="str">
        <v/>
      </c>
      <c r="F2523" s="102" t="str">
        <f ca="1">IFERROR(__xludf.DUMMYFUNCTION("IMPORTRANGE(H2523,""IDENTITAS UNIT!D9"")"),"#N/A")</f>
        <v>#N/A</v>
      </c>
      <c r="H2523" s="4" t="str">
        <v/>
      </c>
      <c r="I2523" s="4" t="str">
        <v/>
      </c>
    </row>
    <row r="2524" spans="5:9" ht="16.5" hidden="1">
      <c r="E2524" s="4" t="str">
        <v/>
      </c>
      <c r="F2524" s="102" t="str">
        <f ca="1">IFERROR(__xludf.DUMMYFUNCTION("IMPORTRANGE(H2524,""IDENTITAS UNIT!D9"")"),"#N/A")</f>
        <v>#N/A</v>
      </c>
      <c r="H2524" s="4" t="str">
        <v/>
      </c>
      <c r="I2524" s="4" t="str">
        <v/>
      </c>
    </row>
    <row r="2525" spans="5:9" ht="16.5" hidden="1">
      <c r="E2525" s="4" t="str">
        <v/>
      </c>
      <c r="F2525" s="102" t="str">
        <f ca="1">IFERROR(__xludf.DUMMYFUNCTION("IMPORTRANGE(H2525,""IDENTITAS UNIT!D9"")"),"#N/A")</f>
        <v>#N/A</v>
      </c>
      <c r="H2525" s="4" t="str">
        <v/>
      </c>
      <c r="I2525" s="4" t="str">
        <v/>
      </c>
    </row>
    <row r="2526" spans="5:9" ht="16.5" hidden="1">
      <c r="E2526" s="4" t="str">
        <v/>
      </c>
      <c r="F2526" s="102" t="str">
        <f ca="1">IFERROR(__xludf.DUMMYFUNCTION("IMPORTRANGE(H2526,""IDENTITAS UNIT!D9"")"),"#N/A")</f>
        <v>#N/A</v>
      </c>
      <c r="H2526" s="4" t="str">
        <v/>
      </c>
      <c r="I2526" s="4" t="str">
        <v/>
      </c>
    </row>
    <row r="2527" spans="5:9" ht="16.5" hidden="1">
      <c r="E2527" s="4" t="str">
        <v/>
      </c>
      <c r="F2527" s="102" t="str">
        <f ca="1">IFERROR(__xludf.DUMMYFUNCTION("IMPORTRANGE(H2527,""IDENTITAS UNIT!D9"")"),"#N/A")</f>
        <v>#N/A</v>
      </c>
      <c r="H2527" s="4" t="str">
        <v/>
      </c>
      <c r="I2527" s="4" t="str">
        <v/>
      </c>
    </row>
    <row r="2528" spans="5:9" ht="16.5" hidden="1">
      <c r="E2528" s="4" t="str">
        <v/>
      </c>
      <c r="F2528" s="102" t="str">
        <f ca="1">IFERROR(__xludf.DUMMYFUNCTION("IMPORTRANGE(H2528,""IDENTITAS UNIT!D9"")"),"#N/A")</f>
        <v>#N/A</v>
      </c>
      <c r="H2528" s="4" t="str">
        <v/>
      </c>
      <c r="I2528" s="4" t="str">
        <v/>
      </c>
    </row>
    <row r="2529" spans="5:9" ht="16.5" hidden="1">
      <c r="E2529" s="4" t="str">
        <v/>
      </c>
      <c r="F2529" s="102" t="str">
        <f ca="1">IFERROR(__xludf.DUMMYFUNCTION("IMPORTRANGE(H2529,""IDENTITAS UNIT!D9"")"),"#N/A")</f>
        <v>#N/A</v>
      </c>
      <c r="H2529" s="4" t="str">
        <v/>
      </c>
      <c r="I2529" s="4" t="str">
        <v/>
      </c>
    </row>
    <row r="2530" spans="5:9" ht="16.5" hidden="1">
      <c r="E2530" s="4" t="str">
        <v/>
      </c>
      <c r="F2530" s="102" t="str">
        <f ca="1">IFERROR(__xludf.DUMMYFUNCTION("IMPORTRANGE(H2530,""IDENTITAS UNIT!D9"")"),"#N/A")</f>
        <v>#N/A</v>
      </c>
      <c r="H2530" s="4" t="str">
        <v/>
      </c>
      <c r="I2530" s="4" t="str">
        <v/>
      </c>
    </row>
    <row r="2531" spans="5:9" ht="16.5" hidden="1">
      <c r="E2531" s="4" t="str">
        <v/>
      </c>
      <c r="F2531" s="102" t="str">
        <f ca="1">IFERROR(__xludf.DUMMYFUNCTION("IMPORTRANGE(H2531,""IDENTITAS UNIT!D9"")"),"#N/A")</f>
        <v>#N/A</v>
      </c>
      <c r="H2531" s="4" t="str">
        <v/>
      </c>
      <c r="I2531" s="4" t="str">
        <v/>
      </c>
    </row>
    <row r="2532" spans="5:9" ht="16.5" hidden="1">
      <c r="E2532" s="4" t="str">
        <v/>
      </c>
      <c r="F2532" s="102" t="str">
        <f ca="1">IFERROR(__xludf.DUMMYFUNCTION("IMPORTRANGE(H2532,""IDENTITAS UNIT!D9"")"),"#N/A")</f>
        <v>#N/A</v>
      </c>
      <c r="H2532" s="4" t="str">
        <v/>
      </c>
      <c r="I2532" s="4" t="str">
        <v/>
      </c>
    </row>
    <row r="2533" spans="5:9" ht="16.5" hidden="1">
      <c r="E2533" s="4" t="str">
        <v/>
      </c>
      <c r="F2533" s="102" t="str">
        <f ca="1">IFERROR(__xludf.DUMMYFUNCTION("IMPORTRANGE(H2533,""IDENTITAS UNIT!D9"")"),"#N/A")</f>
        <v>#N/A</v>
      </c>
      <c r="H2533" s="4" t="str">
        <v/>
      </c>
      <c r="I2533" s="4" t="str">
        <v/>
      </c>
    </row>
    <row r="2534" spans="5:9" ht="16.5" hidden="1">
      <c r="E2534" s="4" t="str">
        <v/>
      </c>
      <c r="F2534" s="102" t="str">
        <f ca="1">IFERROR(__xludf.DUMMYFUNCTION("IMPORTRANGE(H2534,""IDENTITAS UNIT!D9"")"),"#N/A")</f>
        <v>#N/A</v>
      </c>
      <c r="H2534" s="4" t="str">
        <v/>
      </c>
      <c r="I2534" s="4" t="str">
        <v/>
      </c>
    </row>
    <row r="2535" spans="5:9" ht="16.5" hidden="1">
      <c r="E2535" s="4" t="str">
        <v/>
      </c>
      <c r="F2535" s="102" t="str">
        <f ca="1">IFERROR(__xludf.DUMMYFUNCTION("IMPORTRANGE(H2535,""IDENTITAS UNIT!D9"")"),"#N/A")</f>
        <v>#N/A</v>
      </c>
      <c r="H2535" s="4" t="str">
        <v/>
      </c>
      <c r="I2535" s="4" t="str">
        <v/>
      </c>
    </row>
    <row r="2536" spans="5:9" ht="16.5" hidden="1">
      <c r="E2536" s="4" t="str">
        <v/>
      </c>
      <c r="F2536" s="102" t="str">
        <f ca="1">IFERROR(__xludf.DUMMYFUNCTION("IMPORTRANGE(H2536,""IDENTITAS UNIT!D9"")"),"#N/A")</f>
        <v>#N/A</v>
      </c>
      <c r="H2536" s="4" t="str">
        <v/>
      </c>
      <c r="I2536" s="4" t="str">
        <v/>
      </c>
    </row>
    <row r="2537" spans="5:9" ht="16.5" hidden="1">
      <c r="E2537" s="4" t="str">
        <v/>
      </c>
      <c r="F2537" s="102" t="str">
        <f ca="1">IFERROR(__xludf.DUMMYFUNCTION("IMPORTRANGE(H2537,""IDENTITAS UNIT!D9"")"),"#N/A")</f>
        <v>#N/A</v>
      </c>
      <c r="H2537" s="4" t="str">
        <v/>
      </c>
      <c r="I2537" s="4" t="str">
        <v/>
      </c>
    </row>
    <row r="2538" spans="5:9" ht="16.5" hidden="1">
      <c r="E2538" s="4" t="str">
        <v/>
      </c>
      <c r="F2538" s="102" t="str">
        <f ca="1">IFERROR(__xludf.DUMMYFUNCTION("IMPORTRANGE(H2538,""IDENTITAS UNIT!D9"")"),"#N/A")</f>
        <v>#N/A</v>
      </c>
      <c r="H2538" s="4" t="str">
        <v/>
      </c>
      <c r="I2538" s="4" t="str">
        <v/>
      </c>
    </row>
    <row r="2539" spans="5:9" ht="16.5" hidden="1">
      <c r="E2539" s="4" t="str">
        <v/>
      </c>
      <c r="F2539" s="102" t="str">
        <f ca="1">IFERROR(__xludf.DUMMYFUNCTION("IMPORTRANGE(H2539,""IDENTITAS UNIT!D9"")"),"#N/A")</f>
        <v>#N/A</v>
      </c>
      <c r="H2539" s="4" t="str">
        <v/>
      </c>
      <c r="I2539" s="4" t="str">
        <v/>
      </c>
    </row>
    <row r="2540" spans="5:9" ht="16.5" hidden="1">
      <c r="E2540" s="4" t="str">
        <v/>
      </c>
      <c r="F2540" s="102" t="str">
        <f ca="1">IFERROR(__xludf.DUMMYFUNCTION("IMPORTRANGE(H2540,""IDENTITAS UNIT!D9"")"),"#N/A")</f>
        <v>#N/A</v>
      </c>
      <c r="H2540" s="4" t="str">
        <v/>
      </c>
      <c r="I2540" s="4" t="str">
        <v/>
      </c>
    </row>
    <row r="2541" spans="5:9" ht="16.5" hidden="1">
      <c r="E2541" s="4" t="str">
        <v/>
      </c>
      <c r="F2541" s="102" t="str">
        <f ca="1">IFERROR(__xludf.DUMMYFUNCTION("IMPORTRANGE(H2541,""IDENTITAS UNIT!D9"")"),"#N/A")</f>
        <v>#N/A</v>
      </c>
      <c r="H2541" s="4" t="str">
        <v/>
      </c>
      <c r="I2541" s="4" t="str">
        <v/>
      </c>
    </row>
    <row r="2542" spans="5:9" ht="16.5" hidden="1">
      <c r="E2542" s="4" t="str">
        <v/>
      </c>
      <c r="F2542" s="102" t="str">
        <f ca="1">IFERROR(__xludf.DUMMYFUNCTION("IMPORTRANGE(H2542,""IDENTITAS UNIT!D9"")"),"#N/A")</f>
        <v>#N/A</v>
      </c>
      <c r="H2542" s="4" t="str">
        <v/>
      </c>
      <c r="I2542" s="4" t="str">
        <v/>
      </c>
    </row>
    <row r="2543" spans="5:9" ht="16.5" hidden="1">
      <c r="E2543" s="4" t="str">
        <v/>
      </c>
      <c r="F2543" s="102" t="str">
        <f ca="1">IFERROR(__xludf.DUMMYFUNCTION("IMPORTRANGE(H2543,""IDENTITAS UNIT!D9"")"),"#N/A")</f>
        <v>#N/A</v>
      </c>
      <c r="H2543" s="4" t="str">
        <v/>
      </c>
      <c r="I2543" s="4" t="str">
        <v/>
      </c>
    </row>
    <row r="2544" spans="5:9" ht="16.5" hidden="1">
      <c r="E2544" s="4" t="str">
        <v/>
      </c>
      <c r="F2544" s="102" t="str">
        <f ca="1">IFERROR(__xludf.DUMMYFUNCTION("IMPORTRANGE(H2544,""IDENTITAS UNIT!D9"")"),"#N/A")</f>
        <v>#N/A</v>
      </c>
      <c r="H2544" s="4" t="str">
        <v/>
      </c>
      <c r="I2544" s="4" t="str">
        <v/>
      </c>
    </row>
    <row r="2545" spans="5:9" ht="16.5" hidden="1">
      <c r="E2545" s="4" t="str">
        <v/>
      </c>
      <c r="F2545" s="102" t="str">
        <f ca="1">IFERROR(__xludf.DUMMYFUNCTION("IMPORTRANGE(H2545,""IDENTITAS UNIT!D9"")"),"#N/A")</f>
        <v>#N/A</v>
      </c>
      <c r="H2545" s="4" t="str">
        <v/>
      </c>
      <c r="I2545" s="4" t="str">
        <v/>
      </c>
    </row>
    <row r="2546" spans="5:9" ht="16.5" hidden="1">
      <c r="E2546" s="4" t="str">
        <v/>
      </c>
      <c r="F2546" s="102" t="str">
        <f ca="1">IFERROR(__xludf.DUMMYFUNCTION("IMPORTRANGE(H2546,""IDENTITAS UNIT!D9"")"),"#N/A")</f>
        <v>#N/A</v>
      </c>
      <c r="H2546" s="4" t="str">
        <v/>
      </c>
      <c r="I2546" s="4" t="str">
        <v/>
      </c>
    </row>
    <row r="2547" spans="5:9" ht="16.5" hidden="1">
      <c r="E2547" s="4" t="str">
        <v/>
      </c>
      <c r="F2547" s="102" t="str">
        <f ca="1">IFERROR(__xludf.DUMMYFUNCTION("IMPORTRANGE(H2547,""IDENTITAS UNIT!D9"")"),"#N/A")</f>
        <v>#N/A</v>
      </c>
      <c r="H2547" s="4" t="str">
        <v/>
      </c>
      <c r="I2547" s="4" t="str">
        <v/>
      </c>
    </row>
    <row r="2548" spans="5:9" ht="16.5" hidden="1">
      <c r="E2548" s="4" t="str">
        <v/>
      </c>
      <c r="F2548" s="102" t="str">
        <f ca="1">IFERROR(__xludf.DUMMYFUNCTION("IMPORTRANGE(H2548,""IDENTITAS UNIT!D9"")"),"#N/A")</f>
        <v>#N/A</v>
      </c>
      <c r="H2548" s="4" t="str">
        <v/>
      </c>
      <c r="I2548" s="4" t="str">
        <v/>
      </c>
    </row>
    <row r="2549" spans="5:9" ht="16.5" hidden="1">
      <c r="E2549" s="4" t="str">
        <v/>
      </c>
      <c r="F2549" s="102" t="str">
        <f ca="1">IFERROR(__xludf.DUMMYFUNCTION("IMPORTRANGE(H2549,""IDENTITAS UNIT!D9"")"),"#N/A")</f>
        <v>#N/A</v>
      </c>
      <c r="H2549" s="4" t="str">
        <v/>
      </c>
      <c r="I2549" s="4" t="str">
        <v/>
      </c>
    </row>
    <row r="2550" spans="5:9" ht="16.5" hidden="1">
      <c r="E2550" s="4" t="str">
        <v/>
      </c>
      <c r="F2550" s="102" t="str">
        <f ca="1">IFERROR(__xludf.DUMMYFUNCTION("IMPORTRANGE(H2550,""IDENTITAS UNIT!D9"")"),"#N/A")</f>
        <v>#N/A</v>
      </c>
      <c r="H2550" s="4" t="str">
        <v/>
      </c>
      <c r="I2550" s="4" t="str">
        <v/>
      </c>
    </row>
    <row r="2551" spans="5:9" ht="16.5" hidden="1">
      <c r="E2551" s="4" t="str">
        <v/>
      </c>
      <c r="F2551" s="102" t="str">
        <f ca="1">IFERROR(__xludf.DUMMYFUNCTION("IMPORTRANGE(H2551,""IDENTITAS UNIT!D9"")"),"#N/A")</f>
        <v>#N/A</v>
      </c>
      <c r="H2551" s="4" t="str">
        <v/>
      </c>
      <c r="I2551" s="4" t="str">
        <v/>
      </c>
    </row>
    <row r="2552" spans="5:9" ht="16.5" hidden="1">
      <c r="E2552" s="4" t="str">
        <v/>
      </c>
      <c r="F2552" s="102" t="str">
        <f ca="1">IFERROR(__xludf.DUMMYFUNCTION("IMPORTRANGE(H2552,""IDENTITAS UNIT!D9"")"),"#N/A")</f>
        <v>#N/A</v>
      </c>
      <c r="H2552" s="4" t="str">
        <v/>
      </c>
      <c r="I2552" s="4" t="str">
        <v/>
      </c>
    </row>
    <row r="2553" spans="5:9" ht="16.5" hidden="1">
      <c r="E2553" s="4" t="str">
        <v/>
      </c>
      <c r="F2553" s="102" t="str">
        <f ca="1">IFERROR(__xludf.DUMMYFUNCTION("IMPORTRANGE(H2553,""IDENTITAS UNIT!D9"")"),"#N/A")</f>
        <v>#N/A</v>
      </c>
      <c r="H2553" s="4" t="str">
        <v/>
      </c>
      <c r="I2553" s="4" t="str">
        <v/>
      </c>
    </row>
    <row r="2554" spans="5:9" ht="16.5" hidden="1">
      <c r="E2554" s="4" t="str">
        <v/>
      </c>
      <c r="F2554" s="102" t="str">
        <f ca="1">IFERROR(__xludf.DUMMYFUNCTION("IMPORTRANGE(H2554,""IDENTITAS UNIT!D9"")"),"#N/A")</f>
        <v>#N/A</v>
      </c>
      <c r="H2554" s="4" t="str">
        <v/>
      </c>
      <c r="I2554" s="4" t="str">
        <v/>
      </c>
    </row>
    <row r="2555" spans="5:9" ht="16.5" hidden="1">
      <c r="E2555" s="4" t="str">
        <v/>
      </c>
      <c r="F2555" s="102" t="str">
        <f ca="1">IFERROR(__xludf.DUMMYFUNCTION("IMPORTRANGE(H2555,""IDENTITAS UNIT!D9"")"),"#N/A")</f>
        <v>#N/A</v>
      </c>
      <c r="H2555" s="4" t="str">
        <v/>
      </c>
      <c r="I2555" s="4" t="str">
        <v/>
      </c>
    </row>
    <row r="2556" spans="5:9" ht="16.5" hidden="1">
      <c r="E2556" s="4" t="str">
        <v/>
      </c>
      <c r="F2556" s="102" t="str">
        <f ca="1">IFERROR(__xludf.DUMMYFUNCTION("IMPORTRANGE(H2556,""IDENTITAS UNIT!D9"")"),"#N/A")</f>
        <v>#N/A</v>
      </c>
      <c r="H2556" s="4" t="str">
        <v/>
      </c>
      <c r="I2556" s="4" t="str">
        <v/>
      </c>
    </row>
    <row r="2557" spans="5:9" ht="16.5" hidden="1">
      <c r="E2557" s="4" t="str">
        <v/>
      </c>
      <c r="F2557" s="102" t="str">
        <f ca="1">IFERROR(__xludf.DUMMYFUNCTION("IMPORTRANGE(H2557,""IDENTITAS UNIT!D9"")"),"#N/A")</f>
        <v>#N/A</v>
      </c>
      <c r="H2557" s="4" t="str">
        <v/>
      </c>
      <c r="I2557" s="4" t="str">
        <v/>
      </c>
    </row>
    <row r="2558" spans="5:9" ht="16.5" hidden="1">
      <c r="E2558" s="4" t="str">
        <v/>
      </c>
      <c r="F2558" s="102" t="str">
        <f ca="1">IFERROR(__xludf.DUMMYFUNCTION("IMPORTRANGE(H2558,""IDENTITAS UNIT!D9"")"),"#N/A")</f>
        <v>#N/A</v>
      </c>
      <c r="H2558" s="4" t="str">
        <v/>
      </c>
      <c r="I2558" s="4" t="str">
        <v/>
      </c>
    </row>
    <row r="2559" spans="5:9" ht="16.5" hidden="1">
      <c r="E2559" s="4" t="str">
        <v/>
      </c>
      <c r="F2559" s="102" t="str">
        <f ca="1">IFERROR(__xludf.DUMMYFUNCTION("IMPORTRANGE(H2559,""IDENTITAS UNIT!D9"")"),"#N/A")</f>
        <v>#N/A</v>
      </c>
      <c r="H2559" s="4" t="str">
        <v/>
      </c>
      <c r="I2559" s="4" t="str">
        <v/>
      </c>
    </row>
    <row r="2560" spans="5:9" ht="16.5" hidden="1">
      <c r="E2560" s="4" t="str">
        <v/>
      </c>
      <c r="F2560" s="102" t="str">
        <f ca="1">IFERROR(__xludf.DUMMYFUNCTION("IMPORTRANGE(H2560,""IDENTITAS UNIT!D9"")"),"#N/A")</f>
        <v>#N/A</v>
      </c>
      <c r="H2560" s="4" t="str">
        <v/>
      </c>
      <c r="I2560" s="4" t="str">
        <v/>
      </c>
    </row>
    <row r="2561" spans="5:9" ht="16.5" hidden="1">
      <c r="E2561" s="4" t="str">
        <v/>
      </c>
      <c r="F2561" s="102" t="str">
        <f ca="1">IFERROR(__xludf.DUMMYFUNCTION("IMPORTRANGE(H2561,""IDENTITAS UNIT!D9"")"),"#N/A")</f>
        <v>#N/A</v>
      </c>
      <c r="H2561" s="4" t="str">
        <v/>
      </c>
      <c r="I2561" s="4" t="str">
        <v/>
      </c>
    </row>
    <row r="2562" spans="5:9" ht="16.5" hidden="1">
      <c r="E2562" s="4" t="str">
        <v/>
      </c>
      <c r="F2562" s="102" t="str">
        <f ca="1">IFERROR(__xludf.DUMMYFUNCTION("IMPORTRANGE(H2562,""IDENTITAS UNIT!D9"")"),"#N/A")</f>
        <v>#N/A</v>
      </c>
      <c r="H2562" s="4" t="str">
        <v/>
      </c>
      <c r="I2562" s="4" t="str">
        <v/>
      </c>
    </row>
    <row r="2563" spans="5:9" ht="16.5" hidden="1">
      <c r="E2563" s="4" t="str">
        <v/>
      </c>
      <c r="F2563" s="102" t="str">
        <f ca="1">IFERROR(__xludf.DUMMYFUNCTION("IMPORTRANGE(H2563,""IDENTITAS UNIT!D9"")"),"#N/A")</f>
        <v>#N/A</v>
      </c>
      <c r="H2563" s="4" t="str">
        <v/>
      </c>
      <c r="I2563" s="4" t="str">
        <v/>
      </c>
    </row>
    <row r="2564" spans="5:9" ht="16.5" hidden="1">
      <c r="E2564" s="4" t="str">
        <v/>
      </c>
      <c r="F2564" s="102" t="str">
        <f ca="1">IFERROR(__xludf.DUMMYFUNCTION("IMPORTRANGE(H2564,""IDENTITAS UNIT!D9"")"),"#N/A")</f>
        <v>#N/A</v>
      </c>
      <c r="H2564" s="4" t="str">
        <v/>
      </c>
      <c r="I2564" s="4" t="str">
        <v/>
      </c>
    </row>
    <row r="2565" spans="5:9" ht="16.5" hidden="1">
      <c r="E2565" s="4" t="str">
        <v/>
      </c>
      <c r="F2565" s="102" t="str">
        <f ca="1">IFERROR(__xludf.DUMMYFUNCTION("IMPORTRANGE(H2565,""IDENTITAS UNIT!D9"")"),"#N/A")</f>
        <v>#N/A</v>
      </c>
      <c r="H2565" s="4" t="str">
        <v/>
      </c>
      <c r="I2565" s="4" t="str">
        <v/>
      </c>
    </row>
    <row r="2566" spans="5:9" ht="16.5" hidden="1">
      <c r="E2566" s="4" t="str">
        <v/>
      </c>
      <c r="F2566" s="102" t="str">
        <f ca="1">IFERROR(__xludf.DUMMYFUNCTION("IMPORTRANGE(H2566,""IDENTITAS UNIT!D9"")"),"#N/A")</f>
        <v>#N/A</v>
      </c>
      <c r="H2566" s="4" t="str">
        <v/>
      </c>
      <c r="I2566" s="4" t="str">
        <v/>
      </c>
    </row>
    <row r="2567" spans="5:9" ht="16.5" hidden="1">
      <c r="E2567" s="4" t="str">
        <v/>
      </c>
      <c r="F2567" s="102" t="str">
        <f ca="1">IFERROR(__xludf.DUMMYFUNCTION("IMPORTRANGE(H2567,""IDENTITAS UNIT!D9"")"),"#N/A")</f>
        <v>#N/A</v>
      </c>
      <c r="H2567" s="4" t="str">
        <v/>
      </c>
      <c r="I2567" s="4" t="str">
        <v/>
      </c>
    </row>
    <row r="2568" spans="5:9" ht="16.5" hidden="1">
      <c r="E2568" s="4" t="str">
        <v/>
      </c>
      <c r="F2568" s="102" t="str">
        <f ca="1">IFERROR(__xludf.DUMMYFUNCTION("IMPORTRANGE(H2568,""IDENTITAS UNIT!D9"")"),"#N/A")</f>
        <v>#N/A</v>
      </c>
      <c r="H2568" s="4" t="str">
        <v/>
      </c>
      <c r="I2568" s="4" t="str">
        <v/>
      </c>
    </row>
    <row r="2569" spans="5:9" ht="16.5" hidden="1">
      <c r="E2569" s="4" t="str">
        <v/>
      </c>
      <c r="F2569" s="102" t="str">
        <f ca="1">IFERROR(__xludf.DUMMYFUNCTION("IMPORTRANGE(H2569,""IDENTITAS UNIT!D9"")"),"#N/A")</f>
        <v>#N/A</v>
      </c>
      <c r="H2569" s="4" t="str">
        <v/>
      </c>
      <c r="I2569" s="4" t="str">
        <v/>
      </c>
    </row>
    <row r="2570" spans="5:9" ht="16.5" hidden="1">
      <c r="E2570" s="4" t="str">
        <v/>
      </c>
      <c r="F2570" s="102" t="str">
        <f ca="1">IFERROR(__xludf.DUMMYFUNCTION("IMPORTRANGE(H2570,""IDENTITAS UNIT!D9"")"),"#N/A")</f>
        <v>#N/A</v>
      </c>
      <c r="H2570" s="4" t="str">
        <v/>
      </c>
      <c r="I2570" s="4" t="str">
        <v/>
      </c>
    </row>
    <row r="2571" spans="5:9" ht="16.5" hidden="1">
      <c r="E2571" s="4" t="str">
        <v/>
      </c>
      <c r="F2571" s="102" t="str">
        <f ca="1">IFERROR(__xludf.DUMMYFUNCTION("IMPORTRANGE(H2571,""IDENTITAS UNIT!D9"")"),"#N/A")</f>
        <v>#N/A</v>
      </c>
      <c r="H2571" s="4" t="str">
        <v/>
      </c>
      <c r="I2571" s="4" t="str">
        <v/>
      </c>
    </row>
    <row r="2572" spans="5:9" ht="16.5" hidden="1">
      <c r="E2572" s="4" t="str">
        <v/>
      </c>
      <c r="F2572" s="102" t="str">
        <f ca="1">IFERROR(__xludf.DUMMYFUNCTION("IMPORTRANGE(H2572,""IDENTITAS UNIT!D9"")"),"#N/A")</f>
        <v>#N/A</v>
      </c>
      <c r="H2572" s="4" t="str">
        <v/>
      </c>
      <c r="I2572" s="4" t="str">
        <v/>
      </c>
    </row>
    <row r="2573" spans="5:9" ht="16.5" hidden="1">
      <c r="E2573" s="4" t="str">
        <v/>
      </c>
      <c r="F2573" s="102" t="str">
        <f ca="1">IFERROR(__xludf.DUMMYFUNCTION("IMPORTRANGE(H2573,""IDENTITAS UNIT!D9"")"),"#N/A")</f>
        <v>#N/A</v>
      </c>
      <c r="H2573" s="4" t="str">
        <v/>
      </c>
      <c r="I2573" s="4" t="str">
        <v/>
      </c>
    </row>
    <row r="2574" spans="5:9" ht="16.5" hidden="1">
      <c r="E2574" s="4" t="str">
        <v/>
      </c>
      <c r="F2574" s="102" t="str">
        <f ca="1">IFERROR(__xludf.DUMMYFUNCTION("IMPORTRANGE(H2574,""IDENTITAS UNIT!D9"")"),"#N/A")</f>
        <v>#N/A</v>
      </c>
      <c r="H2574" s="4" t="str">
        <v/>
      </c>
      <c r="I2574" s="4" t="str">
        <v/>
      </c>
    </row>
    <row r="2575" spans="5:9" ht="16.5" hidden="1">
      <c r="E2575" s="4" t="str">
        <v/>
      </c>
      <c r="F2575" s="102" t="str">
        <f ca="1">IFERROR(__xludf.DUMMYFUNCTION("IMPORTRANGE(H2575,""IDENTITAS UNIT!D9"")"),"#N/A")</f>
        <v>#N/A</v>
      </c>
      <c r="H2575" s="4" t="str">
        <v/>
      </c>
      <c r="I2575" s="4" t="str">
        <v/>
      </c>
    </row>
    <row r="2576" spans="5:9" ht="16.5" hidden="1">
      <c r="E2576" s="4" t="str">
        <v/>
      </c>
      <c r="F2576" s="102" t="str">
        <f ca="1">IFERROR(__xludf.DUMMYFUNCTION("IMPORTRANGE(H2576,""IDENTITAS UNIT!D9"")"),"#N/A")</f>
        <v>#N/A</v>
      </c>
      <c r="H2576" s="4" t="str">
        <v/>
      </c>
      <c r="I2576" s="4" t="str">
        <v/>
      </c>
    </row>
    <row r="2577" spans="5:9" ht="16.5" hidden="1">
      <c r="E2577" s="4" t="str">
        <v/>
      </c>
      <c r="F2577" s="102" t="str">
        <f ca="1">IFERROR(__xludf.DUMMYFUNCTION("IMPORTRANGE(H2577,""IDENTITAS UNIT!D9"")"),"#N/A")</f>
        <v>#N/A</v>
      </c>
      <c r="H2577" s="4" t="str">
        <v/>
      </c>
      <c r="I2577" s="4" t="str">
        <v/>
      </c>
    </row>
    <row r="2578" spans="5:9" ht="16.5" hidden="1">
      <c r="E2578" s="4" t="str">
        <v/>
      </c>
      <c r="F2578" s="102" t="str">
        <f ca="1">IFERROR(__xludf.DUMMYFUNCTION("IMPORTRANGE(H2578,""IDENTITAS UNIT!D9"")"),"#N/A")</f>
        <v>#N/A</v>
      </c>
      <c r="H2578" s="4" t="str">
        <v/>
      </c>
      <c r="I2578" s="4" t="str">
        <v/>
      </c>
    </row>
    <row r="2579" spans="5:9" ht="16.5" hidden="1">
      <c r="E2579" s="4" t="str">
        <v/>
      </c>
      <c r="F2579" s="102" t="str">
        <f ca="1">IFERROR(__xludf.DUMMYFUNCTION("IMPORTRANGE(H2579,""IDENTITAS UNIT!D9"")"),"#N/A")</f>
        <v>#N/A</v>
      </c>
      <c r="H2579" s="4" t="str">
        <v/>
      </c>
      <c r="I2579" s="4" t="str">
        <v/>
      </c>
    </row>
    <row r="2580" spans="5:9" ht="16.5" hidden="1">
      <c r="E2580" s="4" t="str">
        <v/>
      </c>
      <c r="F2580" s="102" t="str">
        <f ca="1">IFERROR(__xludf.DUMMYFUNCTION("IMPORTRANGE(H2580,""IDENTITAS UNIT!D9"")"),"#N/A")</f>
        <v>#N/A</v>
      </c>
      <c r="H2580" s="4" t="str">
        <v/>
      </c>
      <c r="I2580" s="4" t="str">
        <v/>
      </c>
    </row>
    <row r="2581" spans="5:9" ht="16.5" hidden="1">
      <c r="E2581" s="4" t="str">
        <v/>
      </c>
      <c r="F2581" s="102" t="str">
        <f ca="1">IFERROR(__xludf.DUMMYFUNCTION("IMPORTRANGE(H2581,""IDENTITAS UNIT!D9"")"),"#N/A")</f>
        <v>#N/A</v>
      </c>
      <c r="H2581" s="4" t="str">
        <v/>
      </c>
      <c r="I2581" s="4" t="str">
        <v/>
      </c>
    </row>
    <row r="2582" spans="5:9" ht="16.5" hidden="1">
      <c r="E2582" s="4" t="str">
        <v/>
      </c>
      <c r="F2582" s="102" t="str">
        <f ca="1">IFERROR(__xludf.DUMMYFUNCTION("IMPORTRANGE(H2582,""IDENTITAS UNIT!D9"")"),"#N/A")</f>
        <v>#N/A</v>
      </c>
      <c r="H2582" s="4" t="str">
        <v/>
      </c>
      <c r="I2582" s="4" t="str">
        <v/>
      </c>
    </row>
    <row r="2583" spans="5:9" ht="16.5" hidden="1">
      <c r="E2583" s="4" t="str">
        <v/>
      </c>
      <c r="F2583" s="102" t="str">
        <f ca="1">IFERROR(__xludf.DUMMYFUNCTION("IMPORTRANGE(H2583,""IDENTITAS UNIT!D9"")"),"#N/A")</f>
        <v>#N/A</v>
      </c>
      <c r="H2583" s="4" t="str">
        <v/>
      </c>
      <c r="I2583" s="4" t="str">
        <v/>
      </c>
    </row>
    <row r="2584" spans="5:9" ht="16.5" hidden="1">
      <c r="E2584" s="4" t="str">
        <v/>
      </c>
      <c r="F2584" s="102" t="str">
        <f ca="1">IFERROR(__xludf.DUMMYFUNCTION("IMPORTRANGE(H2584,""IDENTITAS UNIT!D9"")"),"#N/A")</f>
        <v>#N/A</v>
      </c>
      <c r="H2584" s="4" t="str">
        <v/>
      </c>
      <c r="I2584" s="4" t="str">
        <v/>
      </c>
    </row>
    <row r="2585" spans="5:9" ht="16.5" hidden="1">
      <c r="E2585" s="4" t="str">
        <v/>
      </c>
      <c r="F2585" s="102" t="str">
        <f ca="1">IFERROR(__xludf.DUMMYFUNCTION("IMPORTRANGE(H2585,""IDENTITAS UNIT!D9"")"),"#N/A")</f>
        <v>#N/A</v>
      </c>
      <c r="H2585" s="4" t="str">
        <v/>
      </c>
      <c r="I2585" s="4" t="str">
        <v/>
      </c>
    </row>
    <row r="2586" spans="5:9" ht="16.5" hidden="1">
      <c r="E2586" s="4" t="str">
        <v/>
      </c>
      <c r="F2586" s="102" t="str">
        <f ca="1">IFERROR(__xludf.DUMMYFUNCTION("IMPORTRANGE(H2586,""IDENTITAS UNIT!D9"")"),"#N/A")</f>
        <v>#N/A</v>
      </c>
      <c r="H2586" s="4" t="str">
        <v/>
      </c>
      <c r="I2586" s="4" t="str">
        <v/>
      </c>
    </row>
    <row r="2587" spans="5:9" ht="16.5" hidden="1">
      <c r="E2587" s="4" t="str">
        <v/>
      </c>
      <c r="F2587" s="102" t="str">
        <f ca="1">IFERROR(__xludf.DUMMYFUNCTION("IMPORTRANGE(H2587,""IDENTITAS UNIT!D9"")"),"#N/A")</f>
        <v>#N/A</v>
      </c>
      <c r="H2587" s="4" t="str">
        <v/>
      </c>
      <c r="I2587" s="4" t="str">
        <v/>
      </c>
    </row>
    <row r="2588" spans="5:9" ht="16.5" hidden="1">
      <c r="E2588" s="4" t="str">
        <v/>
      </c>
      <c r="F2588" s="102" t="str">
        <f ca="1">IFERROR(__xludf.DUMMYFUNCTION("IMPORTRANGE(H2588,""IDENTITAS UNIT!D9"")"),"#N/A")</f>
        <v>#N/A</v>
      </c>
      <c r="H2588" s="4" t="str">
        <v/>
      </c>
      <c r="I2588" s="4" t="str">
        <v/>
      </c>
    </row>
    <row r="2589" spans="5:9" ht="16.5" hidden="1">
      <c r="E2589" s="4" t="str">
        <v/>
      </c>
      <c r="F2589" s="102" t="str">
        <f ca="1">IFERROR(__xludf.DUMMYFUNCTION("IMPORTRANGE(H2589,""IDENTITAS UNIT!D9"")"),"#N/A")</f>
        <v>#N/A</v>
      </c>
      <c r="H2589" s="4" t="str">
        <v/>
      </c>
      <c r="I2589" s="4" t="str">
        <v/>
      </c>
    </row>
    <row r="2590" spans="5:9" ht="16.5" hidden="1">
      <c r="E2590" s="4" t="str">
        <v/>
      </c>
      <c r="F2590" s="102" t="str">
        <f ca="1">IFERROR(__xludf.DUMMYFUNCTION("IMPORTRANGE(H2590,""IDENTITAS UNIT!D9"")"),"#N/A")</f>
        <v>#N/A</v>
      </c>
      <c r="H2590" s="4" t="str">
        <v/>
      </c>
      <c r="I2590" s="4" t="str">
        <v/>
      </c>
    </row>
    <row r="2591" spans="5:9" ht="16.5" hidden="1">
      <c r="E2591" s="4" t="str">
        <v/>
      </c>
      <c r="F2591" s="102" t="str">
        <f ca="1">IFERROR(__xludf.DUMMYFUNCTION("IMPORTRANGE(H2591,""IDENTITAS UNIT!D9"")"),"#N/A")</f>
        <v>#N/A</v>
      </c>
      <c r="H2591" s="4" t="str">
        <v/>
      </c>
      <c r="I2591" s="4" t="str">
        <v/>
      </c>
    </row>
    <row r="2592" spans="5:9" ht="16.5" hidden="1">
      <c r="E2592" s="4" t="str">
        <v/>
      </c>
      <c r="F2592" s="102" t="str">
        <f ca="1">IFERROR(__xludf.DUMMYFUNCTION("IMPORTRANGE(H2592,""IDENTITAS UNIT!D9"")"),"#N/A")</f>
        <v>#N/A</v>
      </c>
      <c r="H2592" s="4" t="str">
        <v/>
      </c>
      <c r="I2592" s="4" t="str">
        <v/>
      </c>
    </row>
    <row r="2593" spans="5:9" ht="16.5" hidden="1">
      <c r="E2593" s="4" t="str">
        <v/>
      </c>
      <c r="F2593" s="102" t="str">
        <f ca="1">IFERROR(__xludf.DUMMYFUNCTION("IMPORTRANGE(H2593,""IDENTITAS UNIT!D9"")"),"#N/A")</f>
        <v>#N/A</v>
      </c>
      <c r="H2593" s="4" t="str">
        <v/>
      </c>
      <c r="I2593" s="4" t="str">
        <v/>
      </c>
    </row>
    <row r="2594" spans="5:9" ht="16.5" hidden="1">
      <c r="E2594" s="4" t="str">
        <v/>
      </c>
      <c r="F2594" s="102" t="str">
        <f ca="1">IFERROR(__xludf.DUMMYFUNCTION("IMPORTRANGE(H2594,""IDENTITAS UNIT!D9"")"),"#N/A")</f>
        <v>#N/A</v>
      </c>
      <c r="H2594" s="4" t="str">
        <v/>
      </c>
      <c r="I2594" s="4" t="str">
        <v/>
      </c>
    </row>
    <row r="2595" spans="5:9" ht="16.5" hidden="1">
      <c r="E2595" s="4" t="str">
        <v/>
      </c>
      <c r="F2595" s="102" t="str">
        <f ca="1">IFERROR(__xludf.DUMMYFUNCTION("IMPORTRANGE(H2595,""IDENTITAS UNIT!D9"")"),"#N/A")</f>
        <v>#N/A</v>
      </c>
      <c r="H2595" s="4" t="str">
        <v/>
      </c>
      <c r="I2595" s="4" t="str">
        <v/>
      </c>
    </row>
    <row r="2596" spans="5:9" ht="16.5" hidden="1">
      <c r="E2596" s="4" t="str">
        <v/>
      </c>
      <c r="F2596" s="102" t="str">
        <f ca="1">IFERROR(__xludf.DUMMYFUNCTION("IMPORTRANGE(H2596,""IDENTITAS UNIT!D9"")"),"#N/A")</f>
        <v>#N/A</v>
      </c>
      <c r="H2596" s="4" t="str">
        <v/>
      </c>
      <c r="I2596" s="4" t="str">
        <v/>
      </c>
    </row>
    <row r="2597" spans="5:9" ht="16.5" hidden="1">
      <c r="E2597" s="4" t="str">
        <v/>
      </c>
      <c r="F2597" s="102" t="str">
        <f ca="1">IFERROR(__xludf.DUMMYFUNCTION("IMPORTRANGE(H2597,""IDENTITAS UNIT!D9"")"),"#N/A")</f>
        <v>#N/A</v>
      </c>
      <c r="H2597" s="4" t="str">
        <v/>
      </c>
      <c r="I2597" s="4" t="str">
        <v/>
      </c>
    </row>
    <row r="2598" spans="5:9" ht="16.5" hidden="1">
      <c r="E2598" s="4" t="str">
        <v/>
      </c>
      <c r="F2598" s="102" t="str">
        <f ca="1">IFERROR(__xludf.DUMMYFUNCTION("IMPORTRANGE(H2598,""IDENTITAS UNIT!D9"")"),"#N/A")</f>
        <v>#N/A</v>
      </c>
      <c r="H2598" s="4" t="str">
        <v/>
      </c>
      <c r="I2598" s="4" t="str">
        <v/>
      </c>
    </row>
    <row r="2599" spans="5:9" ht="16.5" hidden="1">
      <c r="E2599" s="4" t="str">
        <v/>
      </c>
      <c r="F2599" s="102" t="str">
        <f ca="1">IFERROR(__xludf.DUMMYFUNCTION("IMPORTRANGE(H2599,""IDENTITAS UNIT!D9"")"),"#N/A")</f>
        <v>#N/A</v>
      </c>
      <c r="H2599" s="4" t="str">
        <v/>
      </c>
      <c r="I2599" s="4" t="str">
        <v/>
      </c>
    </row>
    <row r="2600" spans="5:9" ht="16.5" hidden="1">
      <c r="E2600" s="4" t="str">
        <v/>
      </c>
      <c r="F2600" s="102" t="str">
        <f ca="1">IFERROR(__xludf.DUMMYFUNCTION("IMPORTRANGE(H2600,""IDENTITAS UNIT!D9"")"),"#N/A")</f>
        <v>#N/A</v>
      </c>
      <c r="H2600" s="4" t="str">
        <v/>
      </c>
      <c r="I2600" s="4" t="str">
        <v/>
      </c>
    </row>
    <row r="2601" spans="5:9" ht="16.5" hidden="1">
      <c r="E2601" s="4" t="str">
        <v/>
      </c>
      <c r="F2601" s="102" t="str">
        <f ca="1">IFERROR(__xludf.DUMMYFUNCTION("IMPORTRANGE(H2601,""IDENTITAS UNIT!D9"")"),"#N/A")</f>
        <v>#N/A</v>
      </c>
      <c r="H2601" s="4" t="str">
        <v/>
      </c>
      <c r="I2601" s="4" t="str">
        <v/>
      </c>
    </row>
    <row r="2602" spans="5:9" ht="16.5" hidden="1">
      <c r="E2602" s="4" t="str">
        <v/>
      </c>
      <c r="F2602" s="102" t="str">
        <f ca="1">IFERROR(__xludf.DUMMYFUNCTION("IMPORTRANGE(H2602,""IDENTITAS UNIT!D9"")"),"#N/A")</f>
        <v>#N/A</v>
      </c>
      <c r="H2602" s="4" t="str">
        <v/>
      </c>
      <c r="I2602" s="4" t="str">
        <v/>
      </c>
    </row>
    <row r="2603" spans="5:9" ht="16.5" hidden="1">
      <c r="E2603" s="4" t="str">
        <v/>
      </c>
      <c r="F2603" s="102" t="str">
        <f ca="1">IFERROR(__xludf.DUMMYFUNCTION("IMPORTRANGE(H2603,""IDENTITAS UNIT!D9"")"),"#N/A")</f>
        <v>#N/A</v>
      </c>
      <c r="H2603" s="4" t="str">
        <v/>
      </c>
      <c r="I2603" s="4" t="str">
        <v/>
      </c>
    </row>
    <row r="2604" spans="5:9" ht="16.5" hidden="1">
      <c r="E2604" s="4" t="str">
        <v/>
      </c>
      <c r="F2604" s="102" t="str">
        <f ca="1">IFERROR(__xludf.DUMMYFUNCTION("IMPORTRANGE(H2604,""IDENTITAS UNIT!D9"")"),"#N/A")</f>
        <v>#N/A</v>
      </c>
      <c r="H2604" s="4" t="str">
        <v/>
      </c>
      <c r="I2604" s="4" t="str">
        <v/>
      </c>
    </row>
    <row r="2605" spans="5:9" ht="16.5" hidden="1">
      <c r="E2605" s="4" t="str">
        <v/>
      </c>
      <c r="F2605" s="102" t="str">
        <f ca="1">IFERROR(__xludf.DUMMYFUNCTION("IMPORTRANGE(H2605,""IDENTITAS UNIT!D9"")"),"#N/A")</f>
        <v>#N/A</v>
      </c>
      <c r="H2605" s="4" t="str">
        <v/>
      </c>
      <c r="I2605" s="4" t="str">
        <v/>
      </c>
    </row>
    <row r="2606" spans="5:9" ht="16.5" hidden="1">
      <c r="E2606" s="4" t="str">
        <v/>
      </c>
      <c r="F2606" s="102" t="str">
        <f ca="1">IFERROR(__xludf.DUMMYFUNCTION("IMPORTRANGE(H2606,""IDENTITAS UNIT!D9"")"),"#N/A")</f>
        <v>#N/A</v>
      </c>
      <c r="H2606" s="4" t="str">
        <v/>
      </c>
      <c r="I2606" s="4" t="str">
        <v/>
      </c>
    </row>
    <row r="2607" spans="5:9" ht="16.5" hidden="1">
      <c r="E2607" s="4" t="str">
        <v/>
      </c>
      <c r="F2607" s="102" t="str">
        <f ca="1">IFERROR(__xludf.DUMMYFUNCTION("IMPORTRANGE(H2607,""IDENTITAS UNIT!D9"")"),"#N/A")</f>
        <v>#N/A</v>
      </c>
      <c r="H2607" s="4" t="str">
        <v/>
      </c>
      <c r="I2607" s="4" t="str">
        <v/>
      </c>
    </row>
    <row r="2608" spans="5:9" ht="16.5" hidden="1">
      <c r="E2608" s="4" t="str">
        <v/>
      </c>
      <c r="F2608" s="102" t="str">
        <f ca="1">IFERROR(__xludf.DUMMYFUNCTION("IMPORTRANGE(H2608,""IDENTITAS UNIT!D9"")"),"#N/A")</f>
        <v>#N/A</v>
      </c>
      <c r="H2608" s="4" t="str">
        <v/>
      </c>
      <c r="I2608" s="4" t="str">
        <v/>
      </c>
    </row>
    <row r="2609" spans="5:9" ht="16.5" hidden="1">
      <c r="E2609" s="4" t="str">
        <v/>
      </c>
      <c r="F2609" s="102" t="str">
        <f ca="1">IFERROR(__xludf.DUMMYFUNCTION("IMPORTRANGE(H2609,""IDENTITAS UNIT!D9"")"),"#N/A")</f>
        <v>#N/A</v>
      </c>
      <c r="H2609" s="4" t="str">
        <v/>
      </c>
      <c r="I2609" s="4" t="str">
        <v/>
      </c>
    </row>
    <row r="2610" spans="5:9" ht="16.5" hidden="1">
      <c r="E2610" s="4" t="str">
        <v/>
      </c>
      <c r="F2610" s="102" t="str">
        <f ca="1">IFERROR(__xludf.DUMMYFUNCTION("IMPORTRANGE(H2610,""IDENTITAS UNIT!D9"")"),"#N/A")</f>
        <v>#N/A</v>
      </c>
      <c r="H2610" s="4" t="str">
        <v/>
      </c>
      <c r="I2610" s="4" t="str">
        <v/>
      </c>
    </row>
    <row r="2611" spans="5:9" ht="16.5" hidden="1">
      <c r="E2611" s="4" t="str">
        <v/>
      </c>
      <c r="F2611" s="102" t="str">
        <f ca="1">IFERROR(__xludf.DUMMYFUNCTION("IMPORTRANGE(H2611,""IDENTITAS UNIT!D9"")"),"#N/A")</f>
        <v>#N/A</v>
      </c>
      <c r="H2611" s="4" t="str">
        <v/>
      </c>
      <c r="I2611" s="4" t="str">
        <v/>
      </c>
    </row>
    <row r="2612" spans="5:9" ht="16.5" hidden="1">
      <c r="E2612" s="4" t="str">
        <v/>
      </c>
      <c r="F2612" s="102" t="str">
        <f ca="1">IFERROR(__xludf.DUMMYFUNCTION("IMPORTRANGE(H2612,""IDENTITAS UNIT!D9"")"),"#N/A")</f>
        <v>#N/A</v>
      </c>
      <c r="H2612" s="4" t="str">
        <v/>
      </c>
      <c r="I2612" s="4" t="str">
        <v/>
      </c>
    </row>
    <row r="2613" spans="5:9" ht="16.5" hidden="1">
      <c r="E2613" s="4" t="str">
        <v/>
      </c>
      <c r="F2613" s="102" t="str">
        <f ca="1">IFERROR(__xludf.DUMMYFUNCTION("IMPORTRANGE(H2613,""IDENTITAS UNIT!D9"")"),"#N/A")</f>
        <v>#N/A</v>
      </c>
      <c r="H2613" s="4" t="str">
        <v/>
      </c>
      <c r="I2613" s="4" t="str">
        <v/>
      </c>
    </row>
    <row r="2614" spans="5:9" ht="16.5" hidden="1">
      <c r="E2614" s="4" t="str">
        <v/>
      </c>
      <c r="F2614" s="102" t="str">
        <f ca="1">IFERROR(__xludf.DUMMYFUNCTION("IMPORTRANGE(H2614,""IDENTITAS UNIT!D9"")"),"#N/A")</f>
        <v>#N/A</v>
      </c>
      <c r="H2614" s="4" t="str">
        <v/>
      </c>
      <c r="I2614" s="4" t="str">
        <v/>
      </c>
    </row>
    <row r="2615" spans="5:9" ht="16.5" hidden="1">
      <c r="E2615" s="4" t="str">
        <v/>
      </c>
      <c r="F2615" s="102" t="str">
        <f ca="1">IFERROR(__xludf.DUMMYFUNCTION("IMPORTRANGE(H2615,""IDENTITAS UNIT!D9"")"),"#N/A")</f>
        <v>#N/A</v>
      </c>
      <c r="H2615" s="4" t="str">
        <v/>
      </c>
      <c r="I2615" s="4" t="str">
        <v/>
      </c>
    </row>
    <row r="2616" spans="5:9" ht="16.5" hidden="1">
      <c r="E2616" s="4" t="str">
        <v/>
      </c>
      <c r="F2616" s="102" t="str">
        <f ca="1">IFERROR(__xludf.DUMMYFUNCTION("IMPORTRANGE(H2616,""IDENTITAS UNIT!D9"")"),"#N/A")</f>
        <v>#N/A</v>
      </c>
      <c r="H2616" s="4" t="str">
        <v/>
      </c>
      <c r="I2616" s="4" t="str">
        <v/>
      </c>
    </row>
    <row r="2617" spans="5:9" ht="16.5" hidden="1">
      <c r="E2617" s="4" t="str">
        <v/>
      </c>
      <c r="F2617" s="102" t="str">
        <f ca="1">IFERROR(__xludf.DUMMYFUNCTION("IMPORTRANGE(H2617,""IDENTITAS UNIT!D9"")"),"#N/A")</f>
        <v>#N/A</v>
      </c>
      <c r="H2617" s="4" t="str">
        <v/>
      </c>
      <c r="I2617" s="4" t="str">
        <v/>
      </c>
    </row>
    <row r="2618" spans="5:9" ht="16.5" hidden="1">
      <c r="E2618" s="4" t="str">
        <v/>
      </c>
      <c r="F2618" s="102" t="str">
        <f ca="1">IFERROR(__xludf.DUMMYFUNCTION("IMPORTRANGE(H2618,""IDENTITAS UNIT!D9"")"),"#N/A")</f>
        <v>#N/A</v>
      </c>
      <c r="H2618" s="4" t="str">
        <v/>
      </c>
      <c r="I2618" s="4" t="str">
        <v/>
      </c>
    </row>
    <row r="2619" spans="5:9" ht="16.5" hidden="1">
      <c r="E2619" s="4" t="str">
        <v/>
      </c>
      <c r="F2619" s="102" t="str">
        <f ca="1">IFERROR(__xludf.DUMMYFUNCTION("IMPORTRANGE(H2619,""IDENTITAS UNIT!D9"")"),"#N/A")</f>
        <v>#N/A</v>
      </c>
      <c r="H2619" s="4" t="str">
        <v/>
      </c>
      <c r="I2619" s="4" t="str">
        <v/>
      </c>
    </row>
    <row r="2620" spans="5:9" ht="16.5" hidden="1">
      <c r="E2620" s="4" t="str">
        <v/>
      </c>
      <c r="F2620" s="102" t="str">
        <f ca="1">IFERROR(__xludf.DUMMYFUNCTION("IMPORTRANGE(H2620,""IDENTITAS UNIT!D9"")"),"#N/A")</f>
        <v>#N/A</v>
      </c>
      <c r="H2620" s="4" t="str">
        <v/>
      </c>
      <c r="I2620" s="4" t="str">
        <v/>
      </c>
    </row>
    <row r="2621" spans="5:9" ht="16.5" hidden="1">
      <c r="E2621" s="4" t="str">
        <v/>
      </c>
      <c r="F2621" s="102" t="str">
        <f ca="1">IFERROR(__xludf.DUMMYFUNCTION("IMPORTRANGE(H2621,""IDENTITAS UNIT!D9"")"),"#N/A")</f>
        <v>#N/A</v>
      </c>
      <c r="H2621" s="4" t="str">
        <v/>
      </c>
      <c r="I2621" s="4" t="str">
        <v/>
      </c>
    </row>
    <row r="2622" spans="5:9" ht="16.5" hidden="1">
      <c r="E2622" s="4" t="str">
        <v/>
      </c>
      <c r="F2622" s="102" t="str">
        <f ca="1">IFERROR(__xludf.DUMMYFUNCTION("IMPORTRANGE(H2622,""IDENTITAS UNIT!D9"")"),"#N/A")</f>
        <v>#N/A</v>
      </c>
      <c r="H2622" s="4" t="str">
        <v/>
      </c>
      <c r="I2622" s="4" t="str">
        <v/>
      </c>
    </row>
    <row r="2623" spans="5:9" ht="16.5" hidden="1">
      <c r="E2623" s="4" t="str">
        <v/>
      </c>
      <c r="F2623" s="102" t="str">
        <f ca="1">IFERROR(__xludf.DUMMYFUNCTION("IMPORTRANGE(H2623,""IDENTITAS UNIT!D9"")"),"#N/A")</f>
        <v>#N/A</v>
      </c>
      <c r="H2623" s="4" t="str">
        <v/>
      </c>
      <c r="I2623" s="4" t="str">
        <v/>
      </c>
    </row>
    <row r="2624" spans="5:9" ht="16.5" hidden="1">
      <c r="E2624" s="4" t="str">
        <v/>
      </c>
      <c r="F2624" s="102" t="str">
        <f ca="1">IFERROR(__xludf.DUMMYFUNCTION("IMPORTRANGE(H2624,""IDENTITAS UNIT!D9"")"),"#N/A")</f>
        <v>#N/A</v>
      </c>
      <c r="H2624" s="4" t="str">
        <v/>
      </c>
      <c r="I2624" s="4" t="str">
        <v/>
      </c>
    </row>
    <row r="2625" spans="5:9" ht="16.5" hidden="1">
      <c r="E2625" s="4" t="str">
        <v/>
      </c>
      <c r="F2625" s="102" t="str">
        <f ca="1">IFERROR(__xludf.DUMMYFUNCTION("IMPORTRANGE(H2625,""IDENTITAS UNIT!D9"")"),"#N/A")</f>
        <v>#N/A</v>
      </c>
      <c r="H2625" s="4" t="str">
        <v/>
      </c>
      <c r="I2625" s="4" t="str">
        <v/>
      </c>
    </row>
    <row r="2626" spans="5:9" ht="16.5" hidden="1">
      <c r="E2626" s="4" t="str">
        <v/>
      </c>
      <c r="F2626" s="102" t="str">
        <f ca="1">IFERROR(__xludf.DUMMYFUNCTION("IMPORTRANGE(H2626,""IDENTITAS UNIT!D9"")"),"#N/A")</f>
        <v>#N/A</v>
      </c>
      <c r="H2626" s="4" t="str">
        <v/>
      </c>
      <c r="I2626" s="4" t="str">
        <v/>
      </c>
    </row>
    <row r="2627" spans="5:9" ht="16.5" hidden="1">
      <c r="E2627" s="4" t="str">
        <v/>
      </c>
      <c r="F2627" s="102" t="str">
        <f ca="1">IFERROR(__xludf.DUMMYFUNCTION("IMPORTRANGE(H2627,""IDENTITAS UNIT!D9"")"),"#N/A")</f>
        <v>#N/A</v>
      </c>
      <c r="H2627" s="4" t="str">
        <v/>
      </c>
      <c r="I2627" s="4" t="str">
        <v/>
      </c>
    </row>
    <row r="2628" spans="5:9" ht="16.5" hidden="1">
      <c r="E2628" s="4" t="str">
        <v/>
      </c>
      <c r="F2628" s="102" t="str">
        <f ca="1">IFERROR(__xludf.DUMMYFUNCTION("IMPORTRANGE(H2628,""IDENTITAS UNIT!D9"")"),"#N/A")</f>
        <v>#N/A</v>
      </c>
      <c r="H2628" s="4" t="str">
        <v/>
      </c>
      <c r="I2628" s="4" t="str">
        <v/>
      </c>
    </row>
    <row r="2629" spans="5:9" ht="16.5" hidden="1">
      <c r="E2629" s="4" t="str">
        <v/>
      </c>
      <c r="F2629" s="102" t="str">
        <f ca="1">IFERROR(__xludf.DUMMYFUNCTION("IMPORTRANGE(H2629,""IDENTITAS UNIT!D9"")"),"#N/A")</f>
        <v>#N/A</v>
      </c>
      <c r="H2629" s="4" t="str">
        <v/>
      </c>
      <c r="I2629" s="4" t="str">
        <v/>
      </c>
    </row>
    <row r="2630" spans="5:9" ht="16.5" hidden="1">
      <c r="E2630" s="4" t="str">
        <v/>
      </c>
      <c r="F2630" s="102" t="str">
        <f ca="1">IFERROR(__xludf.DUMMYFUNCTION("IMPORTRANGE(H2630,""IDENTITAS UNIT!D9"")"),"#N/A")</f>
        <v>#N/A</v>
      </c>
      <c r="H2630" s="4" t="str">
        <v/>
      </c>
      <c r="I2630" s="4" t="str">
        <v/>
      </c>
    </row>
    <row r="2631" spans="5:9" ht="16.5" hidden="1">
      <c r="E2631" s="4" t="str">
        <v/>
      </c>
      <c r="F2631" s="102" t="str">
        <f ca="1">IFERROR(__xludf.DUMMYFUNCTION("IMPORTRANGE(H2631,""IDENTITAS UNIT!D9"")"),"#N/A")</f>
        <v>#N/A</v>
      </c>
      <c r="H2631" s="4" t="str">
        <v/>
      </c>
      <c r="I2631" s="4" t="str">
        <v/>
      </c>
    </row>
    <row r="2632" spans="5:9" ht="16.5" hidden="1">
      <c r="E2632" s="4" t="str">
        <v/>
      </c>
      <c r="F2632" s="102" t="str">
        <f ca="1">IFERROR(__xludf.DUMMYFUNCTION("IMPORTRANGE(H2632,""IDENTITAS UNIT!D9"")"),"#N/A")</f>
        <v>#N/A</v>
      </c>
      <c r="H2632" s="4" t="str">
        <v/>
      </c>
      <c r="I2632" s="4" t="str">
        <v/>
      </c>
    </row>
    <row r="2633" spans="5:9" ht="16.5" hidden="1">
      <c r="E2633" s="4" t="str">
        <v/>
      </c>
      <c r="F2633" s="102" t="str">
        <f ca="1">IFERROR(__xludf.DUMMYFUNCTION("IMPORTRANGE(H2633,""IDENTITAS UNIT!D9"")"),"#N/A")</f>
        <v>#N/A</v>
      </c>
      <c r="H2633" s="4" t="str">
        <v/>
      </c>
      <c r="I2633" s="4" t="str">
        <v/>
      </c>
    </row>
    <row r="2634" spans="5:9" ht="16.5" hidden="1">
      <c r="E2634" s="4" t="str">
        <v/>
      </c>
      <c r="F2634" s="102" t="str">
        <f ca="1">IFERROR(__xludf.DUMMYFUNCTION("IMPORTRANGE(H2634,""IDENTITAS UNIT!D9"")"),"#N/A")</f>
        <v>#N/A</v>
      </c>
      <c r="H2634" s="4" t="str">
        <v/>
      </c>
      <c r="I2634" s="4" t="str">
        <v/>
      </c>
    </row>
    <row r="2635" spans="5:9" ht="16.5" hidden="1">
      <c r="E2635" s="4" t="str">
        <v/>
      </c>
      <c r="F2635" s="102" t="str">
        <f ca="1">IFERROR(__xludf.DUMMYFUNCTION("IMPORTRANGE(H2635,""IDENTITAS UNIT!D9"")"),"#N/A")</f>
        <v>#N/A</v>
      </c>
      <c r="H2635" s="4" t="str">
        <v/>
      </c>
      <c r="I2635" s="4" t="str">
        <v/>
      </c>
    </row>
    <row r="2636" spans="5:9" ht="16.5" hidden="1">
      <c r="E2636" s="4" t="str">
        <v/>
      </c>
      <c r="F2636" s="102" t="str">
        <f ca="1">IFERROR(__xludf.DUMMYFUNCTION("IMPORTRANGE(H2636,""IDENTITAS UNIT!D9"")"),"#N/A")</f>
        <v>#N/A</v>
      </c>
      <c r="H2636" s="4" t="str">
        <v/>
      </c>
      <c r="I2636" s="4" t="str">
        <v/>
      </c>
    </row>
    <row r="2637" spans="5:9" ht="16.5" hidden="1">
      <c r="E2637" s="4" t="str">
        <v/>
      </c>
      <c r="F2637" s="102" t="str">
        <f ca="1">IFERROR(__xludf.DUMMYFUNCTION("IMPORTRANGE(H2637,""IDENTITAS UNIT!D9"")"),"#N/A")</f>
        <v>#N/A</v>
      </c>
      <c r="H2637" s="4" t="str">
        <v/>
      </c>
      <c r="I2637" s="4" t="str">
        <v/>
      </c>
    </row>
    <row r="2638" spans="5:9" ht="16.5" hidden="1">
      <c r="E2638" s="4" t="str">
        <v/>
      </c>
      <c r="F2638" s="102" t="str">
        <f ca="1">IFERROR(__xludf.DUMMYFUNCTION("IMPORTRANGE(H2638,""IDENTITAS UNIT!D9"")"),"#N/A")</f>
        <v>#N/A</v>
      </c>
      <c r="H2638" s="4" t="str">
        <v/>
      </c>
      <c r="I2638" s="4" t="str">
        <v/>
      </c>
    </row>
    <row r="2639" spans="5:9" ht="16.5" hidden="1">
      <c r="E2639" s="4" t="str">
        <v/>
      </c>
      <c r="F2639" s="102" t="str">
        <f ca="1">IFERROR(__xludf.DUMMYFUNCTION("IMPORTRANGE(H2639,""IDENTITAS UNIT!D9"")"),"#N/A")</f>
        <v>#N/A</v>
      </c>
      <c r="H2639" s="4" t="str">
        <v/>
      </c>
      <c r="I2639" s="4" t="str">
        <v/>
      </c>
    </row>
    <row r="2640" spans="5:9" ht="16.5" hidden="1">
      <c r="E2640" s="4" t="str">
        <v/>
      </c>
      <c r="F2640" s="102" t="str">
        <f ca="1">IFERROR(__xludf.DUMMYFUNCTION("IMPORTRANGE(H2640,""IDENTITAS UNIT!D9"")"),"#N/A")</f>
        <v>#N/A</v>
      </c>
      <c r="H2640" s="4" t="str">
        <v/>
      </c>
      <c r="I2640" s="4" t="str">
        <v/>
      </c>
    </row>
    <row r="2641" spans="5:9" ht="16.5" hidden="1">
      <c r="E2641" s="4" t="str">
        <v/>
      </c>
      <c r="F2641" s="102" t="str">
        <f ca="1">IFERROR(__xludf.DUMMYFUNCTION("IMPORTRANGE(H2641,""IDENTITAS UNIT!D9"")"),"#N/A")</f>
        <v>#N/A</v>
      </c>
      <c r="H2641" s="4" t="str">
        <v/>
      </c>
      <c r="I2641" s="4" t="str">
        <v/>
      </c>
    </row>
    <row r="2642" spans="5:9" ht="16.5" hidden="1">
      <c r="E2642" s="4" t="str">
        <v/>
      </c>
      <c r="F2642" s="102" t="str">
        <f ca="1">IFERROR(__xludf.DUMMYFUNCTION("IMPORTRANGE(H2642,""IDENTITAS UNIT!D9"")"),"#N/A")</f>
        <v>#N/A</v>
      </c>
      <c r="H2642" s="4" t="str">
        <v/>
      </c>
      <c r="I2642" s="4" t="str">
        <v/>
      </c>
    </row>
    <row r="2643" spans="5:9" ht="16.5" hidden="1">
      <c r="E2643" s="4" t="str">
        <v/>
      </c>
      <c r="F2643" s="102" t="str">
        <f ca="1">IFERROR(__xludf.DUMMYFUNCTION("IMPORTRANGE(H2643,""IDENTITAS UNIT!D9"")"),"#N/A")</f>
        <v>#N/A</v>
      </c>
      <c r="H2643" s="4" t="str">
        <v/>
      </c>
      <c r="I2643" s="4" t="str">
        <v/>
      </c>
    </row>
    <row r="2644" spans="5:9" ht="16.5" hidden="1">
      <c r="E2644" s="4" t="str">
        <v/>
      </c>
      <c r="F2644" s="102" t="str">
        <f ca="1">IFERROR(__xludf.DUMMYFUNCTION("IMPORTRANGE(H2644,""IDENTITAS UNIT!D9"")"),"#N/A")</f>
        <v>#N/A</v>
      </c>
      <c r="H2644" s="4" t="str">
        <v/>
      </c>
      <c r="I2644" s="4" t="str">
        <v/>
      </c>
    </row>
    <row r="2645" spans="5:9" ht="16.5" hidden="1">
      <c r="E2645" s="4" t="str">
        <v/>
      </c>
      <c r="F2645" s="102" t="str">
        <f ca="1">IFERROR(__xludf.DUMMYFUNCTION("IMPORTRANGE(H2645,""IDENTITAS UNIT!D9"")"),"#N/A")</f>
        <v>#N/A</v>
      </c>
      <c r="H2645" s="4" t="str">
        <v/>
      </c>
      <c r="I2645" s="4" t="str">
        <v/>
      </c>
    </row>
    <row r="2646" spans="5:9" ht="16.5" hidden="1">
      <c r="E2646" s="4" t="str">
        <v/>
      </c>
      <c r="F2646" s="102" t="str">
        <f ca="1">IFERROR(__xludf.DUMMYFUNCTION("IMPORTRANGE(H2646,""IDENTITAS UNIT!D9"")"),"#N/A")</f>
        <v>#N/A</v>
      </c>
      <c r="H2646" s="4" t="str">
        <v/>
      </c>
      <c r="I2646" s="4" t="str">
        <v/>
      </c>
    </row>
    <row r="2647" spans="5:9" ht="16.5" hidden="1">
      <c r="E2647" s="4" t="str">
        <v/>
      </c>
      <c r="F2647" s="102" t="str">
        <f ca="1">IFERROR(__xludf.DUMMYFUNCTION("IMPORTRANGE(H2647,""IDENTITAS UNIT!D9"")"),"#N/A")</f>
        <v>#N/A</v>
      </c>
      <c r="H2647" s="4" t="str">
        <v/>
      </c>
      <c r="I2647" s="4" t="str">
        <v/>
      </c>
    </row>
    <row r="2648" spans="5:9" ht="16.5" hidden="1">
      <c r="E2648" s="4" t="str">
        <v/>
      </c>
      <c r="F2648" s="102" t="str">
        <f ca="1">IFERROR(__xludf.DUMMYFUNCTION("IMPORTRANGE(H2648,""IDENTITAS UNIT!D9"")"),"#N/A")</f>
        <v>#N/A</v>
      </c>
      <c r="H2648" s="4" t="str">
        <v/>
      </c>
      <c r="I2648" s="4" t="str">
        <v/>
      </c>
    </row>
    <row r="2649" spans="5:9" ht="16.5" hidden="1">
      <c r="E2649" s="4" t="str">
        <v/>
      </c>
      <c r="F2649" s="102" t="str">
        <f ca="1">IFERROR(__xludf.DUMMYFUNCTION("IMPORTRANGE(H2649,""IDENTITAS UNIT!D9"")"),"#N/A")</f>
        <v>#N/A</v>
      </c>
      <c r="H2649" s="4" t="str">
        <v/>
      </c>
      <c r="I2649" s="4" t="str">
        <v/>
      </c>
    </row>
    <row r="2650" spans="5:9" ht="16.5" hidden="1">
      <c r="E2650" s="4" t="str">
        <v/>
      </c>
      <c r="F2650" s="102" t="str">
        <f ca="1">IFERROR(__xludf.DUMMYFUNCTION("IMPORTRANGE(H2650,""IDENTITAS UNIT!D9"")"),"#N/A")</f>
        <v>#N/A</v>
      </c>
      <c r="H2650" s="4" t="str">
        <v/>
      </c>
      <c r="I2650" s="4" t="str">
        <v/>
      </c>
    </row>
    <row r="2651" spans="5:9" ht="16.5" hidden="1">
      <c r="E2651" s="4" t="str">
        <v/>
      </c>
      <c r="F2651" s="102" t="str">
        <f ca="1">IFERROR(__xludf.DUMMYFUNCTION("IMPORTRANGE(H2651,""IDENTITAS UNIT!D9"")"),"#N/A")</f>
        <v>#N/A</v>
      </c>
      <c r="H2651" s="4" t="str">
        <v/>
      </c>
      <c r="I2651" s="4" t="str">
        <v/>
      </c>
    </row>
    <row r="2652" spans="5:9" ht="16.5" hidden="1">
      <c r="E2652" s="4" t="str">
        <v/>
      </c>
      <c r="F2652" s="102" t="str">
        <f ca="1">IFERROR(__xludf.DUMMYFUNCTION("IMPORTRANGE(H2652,""IDENTITAS UNIT!D9"")"),"#N/A")</f>
        <v>#N/A</v>
      </c>
      <c r="H2652" s="4" t="str">
        <v/>
      </c>
      <c r="I2652" s="4" t="str">
        <v/>
      </c>
    </row>
    <row r="2653" spans="5:9" ht="16.5" hidden="1">
      <c r="E2653" s="4" t="str">
        <v/>
      </c>
      <c r="F2653" s="102" t="str">
        <f ca="1">IFERROR(__xludf.DUMMYFUNCTION("IMPORTRANGE(H2653,""IDENTITAS UNIT!D9"")"),"#N/A")</f>
        <v>#N/A</v>
      </c>
      <c r="H2653" s="4" t="str">
        <v/>
      </c>
      <c r="I2653" s="4" t="str">
        <v/>
      </c>
    </row>
    <row r="2654" spans="5:9" ht="16.5" hidden="1">
      <c r="E2654" s="4" t="str">
        <v/>
      </c>
      <c r="F2654" s="102" t="str">
        <f ca="1">IFERROR(__xludf.DUMMYFUNCTION("IMPORTRANGE(H2654,""IDENTITAS UNIT!D9"")"),"#N/A")</f>
        <v>#N/A</v>
      </c>
      <c r="H2654" s="4" t="str">
        <v/>
      </c>
      <c r="I2654" s="4" t="str">
        <v/>
      </c>
    </row>
    <row r="2655" spans="5:9" ht="16.5" hidden="1">
      <c r="E2655" s="4" t="str">
        <v/>
      </c>
      <c r="F2655" s="102" t="str">
        <f ca="1">IFERROR(__xludf.DUMMYFUNCTION("IMPORTRANGE(H2655,""IDENTITAS UNIT!D9"")"),"#N/A")</f>
        <v>#N/A</v>
      </c>
      <c r="H2655" s="4" t="str">
        <v/>
      </c>
      <c r="I2655" s="4" t="str">
        <v/>
      </c>
    </row>
    <row r="2656" spans="5:9" ht="16.5" hidden="1">
      <c r="E2656" s="4" t="str">
        <v/>
      </c>
      <c r="F2656" s="102" t="str">
        <f ca="1">IFERROR(__xludf.DUMMYFUNCTION("IMPORTRANGE(H2656,""IDENTITAS UNIT!D9"")"),"#N/A")</f>
        <v>#N/A</v>
      </c>
      <c r="H2656" s="4" t="str">
        <v/>
      </c>
      <c r="I2656" s="4" t="str">
        <v/>
      </c>
    </row>
    <row r="2657" spans="5:9" ht="16.5" hidden="1">
      <c r="E2657" s="4" t="str">
        <v/>
      </c>
      <c r="F2657" s="102" t="str">
        <f ca="1">IFERROR(__xludf.DUMMYFUNCTION("IMPORTRANGE(H2657,""IDENTITAS UNIT!D9"")"),"#N/A")</f>
        <v>#N/A</v>
      </c>
      <c r="H2657" s="4" t="str">
        <v/>
      </c>
      <c r="I2657" s="4" t="str">
        <v/>
      </c>
    </row>
    <row r="2658" spans="5:9" ht="16.5" hidden="1">
      <c r="E2658" s="4" t="str">
        <v/>
      </c>
      <c r="F2658" s="102" t="str">
        <f ca="1">IFERROR(__xludf.DUMMYFUNCTION("IMPORTRANGE(H2658,""IDENTITAS UNIT!D9"")"),"#N/A")</f>
        <v>#N/A</v>
      </c>
      <c r="H2658" s="4" t="str">
        <v/>
      </c>
      <c r="I2658" s="4" t="str">
        <v/>
      </c>
    </row>
    <row r="2659" spans="5:9" ht="16.5" hidden="1">
      <c r="E2659" s="4" t="str">
        <v/>
      </c>
      <c r="F2659" s="102" t="str">
        <f ca="1">IFERROR(__xludf.DUMMYFUNCTION("IMPORTRANGE(H2659,""IDENTITAS UNIT!D9"")"),"#N/A")</f>
        <v>#N/A</v>
      </c>
      <c r="H2659" s="4" t="str">
        <v/>
      </c>
      <c r="I2659" s="4" t="str">
        <v/>
      </c>
    </row>
    <row r="2660" spans="5:9" ht="16.5" hidden="1">
      <c r="E2660" s="4" t="str">
        <v/>
      </c>
      <c r="F2660" s="102" t="str">
        <f ca="1">IFERROR(__xludf.DUMMYFUNCTION("IMPORTRANGE(H2660,""IDENTITAS UNIT!D9"")"),"#N/A")</f>
        <v>#N/A</v>
      </c>
      <c r="H2660" s="4" t="str">
        <v/>
      </c>
      <c r="I2660" s="4" t="str">
        <v/>
      </c>
    </row>
    <row r="2661" spans="5:9" ht="16.5" hidden="1">
      <c r="E2661" s="4" t="str">
        <v/>
      </c>
      <c r="F2661" s="102" t="str">
        <f ca="1">IFERROR(__xludf.DUMMYFUNCTION("IMPORTRANGE(H2661,""IDENTITAS UNIT!D9"")"),"#N/A")</f>
        <v>#N/A</v>
      </c>
      <c r="H2661" s="4" t="str">
        <v/>
      </c>
      <c r="I2661" s="4" t="str">
        <v/>
      </c>
    </row>
    <row r="2662" spans="5:9" ht="16.5" hidden="1">
      <c r="E2662" s="4" t="str">
        <v/>
      </c>
      <c r="F2662" s="102" t="str">
        <f ca="1">IFERROR(__xludf.DUMMYFUNCTION("IMPORTRANGE(H2662,""IDENTITAS UNIT!D9"")"),"#N/A")</f>
        <v>#N/A</v>
      </c>
      <c r="H2662" s="4" t="str">
        <v/>
      </c>
      <c r="I2662" s="4" t="str">
        <v/>
      </c>
    </row>
    <row r="2663" spans="5:9" ht="16.5" hidden="1">
      <c r="E2663" s="4" t="str">
        <v/>
      </c>
      <c r="F2663" s="102" t="str">
        <f ca="1">IFERROR(__xludf.DUMMYFUNCTION("IMPORTRANGE(H2663,""IDENTITAS UNIT!D9"")"),"#N/A")</f>
        <v>#N/A</v>
      </c>
      <c r="H2663" s="4" t="str">
        <v/>
      </c>
      <c r="I2663" s="4" t="str">
        <v/>
      </c>
    </row>
    <row r="2664" spans="5:9" ht="16.5" hidden="1">
      <c r="E2664" s="4" t="str">
        <v/>
      </c>
      <c r="F2664" s="102" t="str">
        <f ca="1">IFERROR(__xludf.DUMMYFUNCTION("IMPORTRANGE(H2664,""IDENTITAS UNIT!D9"")"),"#N/A")</f>
        <v>#N/A</v>
      </c>
      <c r="H2664" s="4" t="str">
        <v/>
      </c>
      <c r="I2664" s="4" t="str">
        <v/>
      </c>
    </row>
    <row r="2665" spans="5:9" ht="16.5" hidden="1">
      <c r="E2665" s="4" t="str">
        <v/>
      </c>
      <c r="F2665" s="102" t="str">
        <f ca="1">IFERROR(__xludf.DUMMYFUNCTION("IMPORTRANGE(H2665,""IDENTITAS UNIT!D9"")"),"#N/A")</f>
        <v>#N/A</v>
      </c>
      <c r="H2665" s="4" t="str">
        <v/>
      </c>
      <c r="I2665" s="4" t="str">
        <v/>
      </c>
    </row>
    <row r="2666" spans="5:9" ht="16.5" hidden="1">
      <c r="E2666" s="4" t="str">
        <v/>
      </c>
      <c r="F2666" s="102" t="str">
        <f ca="1">IFERROR(__xludf.DUMMYFUNCTION("IMPORTRANGE(H2666,""IDENTITAS UNIT!D9"")"),"#N/A")</f>
        <v>#N/A</v>
      </c>
      <c r="H2666" s="4" t="str">
        <v/>
      </c>
      <c r="I2666" s="4" t="str">
        <v/>
      </c>
    </row>
    <row r="2667" spans="5:9" ht="16.5" hidden="1">
      <c r="E2667" s="4" t="str">
        <v/>
      </c>
      <c r="F2667" s="102" t="str">
        <f ca="1">IFERROR(__xludf.DUMMYFUNCTION("IMPORTRANGE(H2667,""IDENTITAS UNIT!D9"")"),"#N/A")</f>
        <v>#N/A</v>
      </c>
      <c r="H2667" s="4" t="str">
        <v/>
      </c>
      <c r="I2667" s="4" t="str">
        <v/>
      </c>
    </row>
    <row r="2668" spans="5:9" ht="16.5" hidden="1">
      <c r="E2668" s="4" t="str">
        <v/>
      </c>
      <c r="F2668" s="102" t="str">
        <f ca="1">IFERROR(__xludf.DUMMYFUNCTION("IMPORTRANGE(H2668,""IDENTITAS UNIT!D9"")"),"#N/A")</f>
        <v>#N/A</v>
      </c>
      <c r="H2668" s="4" t="str">
        <v/>
      </c>
      <c r="I2668" s="4" t="str">
        <v/>
      </c>
    </row>
    <row r="2669" spans="5:9" ht="16.5" hidden="1">
      <c r="E2669" s="4" t="str">
        <v/>
      </c>
      <c r="F2669" s="102" t="str">
        <f ca="1">IFERROR(__xludf.DUMMYFUNCTION("IMPORTRANGE(H2669,""IDENTITAS UNIT!D9"")"),"#N/A")</f>
        <v>#N/A</v>
      </c>
      <c r="H2669" s="4" t="str">
        <v/>
      </c>
      <c r="I2669" s="4" t="str">
        <v/>
      </c>
    </row>
    <row r="2670" spans="5:9" ht="16.5" hidden="1">
      <c r="E2670" s="4" t="str">
        <v/>
      </c>
      <c r="F2670" s="102" t="str">
        <f ca="1">IFERROR(__xludf.DUMMYFUNCTION("IMPORTRANGE(H2670,""IDENTITAS UNIT!D9"")"),"#N/A")</f>
        <v>#N/A</v>
      </c>
      <c r="H2670" s="4" t="str">
        <v/>
      </c>
      <c r="I2670" s="4" t="str">
        <v/>
      </c>
    </row>
    <row r="2671" spans="5:9" ht="16.5" hidden="1">
      <c r="E2671" s="4" t="str">
        <v/>
      </c>
      <c r="F2671" s="102" t="str">
        <f ca="1">IFERROR(__xludf.DUMMYFUNCTION("IMPORTRANGE(H2671,""IDENTITAS UNIT!D9"")"),"#N/A")</f>
        <v>#N/A</v>
      </c>
      <c r="H2671" s="4" t="str">
        <v/>
      </c>
      <c r="I2671" s="4" t="str">
        <v/>
      </c>
    </row>
    <row r="2672" spans="5:9" ht="16.5" hidden="1">
      <c r="E2672" s="4" t="str">
        <v/>
      </c>
      <c r="F2672" s="102" t="str">
        <f ca="1">IFERROR(__xludf.DUMMYFUNCTION("IMPORTRANGE(H2672,""IDENTITAS UNIT!D9"")"),"#N/A")</f>
        <v>#N/A</v>
      </c>
      <c r="H2672" s="4" t="str">
        <v/>
      </c>
      <c r="I2672" s="4" t="str">
        <v/>
      </c>
    </row>
    <row r="2673" spans="5:9" ht="16.5" hidden="1">
      <c r="E2673" s="4" t="str">
        <v/>
      </c>
      <c r="F2673" s="102" t="str">
        <f ca="1">IFERROR(__xludf.DUMMYFUNCTION("IMPORTRANGE(H2673,""IDENTITAS UNIT!D9"")"),"#N/A")</f>
        <v>#N/A</v>
      </c>
      <c r="H2673" s="4" t="str">
        <v/>
      </c>
      <c r="I2673" s="4" t="str">
        <v/>
      </c>
    </row>
    <row r="2674" spans="5:9" ht="16.5" hidden="1">
      <c r="E2674" s="4" t="str">
        <v/>
      </c>
      <c r="F2674" s="102" t="str">
        <f ca="1">IFERROR(__xludf.DUMMYFUNCTION("IMPORTRANGE(H2674,""IDENTITAS UNIT!D9"")"),"#N/A")</f>
        <v>#N/A</v>
      </c>
      <c r="H2674" s="4" t="str">
        <v/>
      </c>
      <c r="I2674" s="4" t="str">
        <v/>
      </c>
    </row>
    <row r="2675" spans="5:9" ht="16.5" hidden="1">
      <c r="E2675" s="4" t="str">
        <v/>
      </c>
      <c r="F2675" s="102" t="str">
        <f ca="1">IFERROR(__xludf.DUMMYFUNCTION("IMPORTRANGE(H2675,""IDENTITAS UNIT!D9"")"),"#N/A")</f>
        <v>#N/A</v>
      </c>
      <c r="H2675" s="4" t="str">
        <v/>
      </c>
      <c r="I2675" s="4" t="str">
        <v/>
      </c>
    </row>
    <row r="2676" spans="5:9" ht="16.5" hidden="1">
      <c r="E2676" s="4" t="str">
        <v/>
      </c>
      <c r="F2676" s="102" t="str">
        <f ca="1">IFERROR(__xludf.DUMMYFUNCTION("IMPORTRANGE(H2676,""IDENTITAS UNIT!D9"")"),"#N/A")</f>
        <v>#N/A</v>
      </c>
      <c r="H2676" s="4" t="str">
        <v/>
      </c>
      <c r="I2676" s="4" t="str">
        <v/>
      </c>
    </row>
    <row r="2677" spans="5:9" ht="16.5" hidden="1">
      <c r="E2677" s="4" t="str">
        <v/>
      </c>
      <c r="F2677" s="102" t="str">
        <f ca="1">IFERROR(__xludf.DUMMYFUNCTION("IMPORTRANGE(H2677,""IDENTITAS UNIT!D9"")"),"#N/A")</f>
        <v>#N/A</v>
      </c>
      <c r="H2677" s="4" t="str">
        <v/>
      </c>
      <c r="I2677" s="4" t="str">
        <v/>
      </c>
    </row>
    <row r="2678" spans="5:9" ht="16.5" hidden="1">
      <c r="E2678" s="4" t="str">
        <v/>
      </c>
      <c r="F2678" s="102" t="str">
        <f ca="1">IFERROR(__xludf.DUMMYFUNCTION("IMPORTRANGE(H2678,""IDENTITAS UNIT!D9"")"),"#N/A")</f>
        <v>#N/A</v>
      </c>
      <c r="H2678" s="4" t="str">
        <v/>
      </c>
      <c r="I2678" s="4" t="str">
        <v/>
      </c>
    </row>
    <row r="2679" spans="5:9" ht="16.5" hidden="1">
      <c r="E2679" s="4" t="str">
        <v/>
      </c>
      <c r="F2679" s="102" t="str">
        <f ca="1">IFERROR(__xludf.DUMMYFUNCTION("IMPORTRANGE(H2679,""IDENTITAS UNIT!D9"")"),"#N/A")</f>
        <v>#N/A</v>
      </c>
      <c r="H2679" s="4" t="str">
        <v/>
      </c>
      <c r="I2679" s="4" t="str">
        <v/>
      </c>
    </row>
    <row r="2680" spans="5:9" ht="16.5" hidden="1">
      <c r="E2680" s="4" t="str">
        <v/>
      </c>
      <c r="F2680" s="102" t="str">
        <f ca="1">IFERROR(__xludf.DUMMYFUNCTION("IMPORTRANGE(H2680,""IDENTITAS UNIT!D9"")"),"#N/A")</f>
        <v>#N/A</v>
      </c>
      <c r="H2680" s="4" t="str">
        <v/>
      </c>
      <c r="I2680" s="4" t="str">
        <v/>
      </c>
    </row>
    <row r="2681" spans="5:9" ht="16.5" hidden="1">
      <c r="E2681" s="4" t="str">
        <v/>
      </c>
      <c r="F2681" s="102" t="str">
        <f ca="1">IFERROR(__xludf.DUMMYFUNCTION("IMPORTRANGE(H2681,""IDENTITAS UNIT!D9"")"),"#N/A")</f>
        <v>#N/A</v>
      </c>
      <c r="H2681" s="4" t="str">
        <v/>
      </c>
      <c r="I2681" s="4" t="str">
        <v/>
      </c>
    </row>
    <row r="2682" spans="5:9" ht="16.5" hidden="1">
      <c r="E2682" s="4" t="str">
        <v/>
      </c>
      <c r="F2682" s="102" t="str">
        <f ca="1">IFERROR(__xludf.DUMMYFUNCTION("IMPORTRANGE(H2682,""IDENTITAS UNIT!D9"")"),"#N/A")</f>
        <v>#N/A</v>
      </c>
      <c r="H2682" s="4" t="str">
        <v/>
      </c>
      <c r="I2682" s="4" t="str">
        <v/>
      </c>
    </row>
    <row r="2683" spans="5:9" ht="16.5" hidden="1">
      <c r="E2683" s="4" t="str">
        <v/>
      </c>
      <c r="F2683" s="102" t="str">
        <f ca="1">IFERROR(__xludf.DUMMYFUNCTION("IMPORTRANGE(H2683,""IDENTITAS UNIT!D9"")"),"#N/A")</f>
        <v>#N/A</v>
      </c>
      <c r="H2683" s="4" t="str">
        <v/>
      </c>
      <c r="I2683" s="4" t="str">
        <v/>
      </c>
    </row>
    <row r="2684" spans="5:9" ht="16.5" hidden="1">
      <c r="E2684" s="4" t="str">
        <v/>
      </c>
      <c r="F2684" s="102" t="str">
        <f ca="1">IFERROR(__xludf.DUMMYFUNCTION("IMPORTRANGE(H2684,""IDENTITAS UNIT!D9"")"),"#N/A")</f>
        <v>#N/A</v>
      </c>
      <c r="H2684" s="4" t="str">
        <v/>
      </c>
      <c r="I2684" s="4" t="str">
        <v/>
      </c>
    </row>
    <row r="2685" spans="5:9" ht="16.5" hidden="1">
      <c r="E2685" s="4" t="str">
        <v/>
      </c>
      <c r="F2685" s="102" t="str">
        <f ca="1">IFERROR(__xludf.DUMMYFUNCTION("IMPORTRANGE(H2685,""IDENTITAS UNIT!D9"")"),"#N/A")</f>
        <v>#N/A</v>
      </c>
      <c r="H2685" s="4" t="str">
        <v/>
      </c>
      <c r="I2685" s="4" t="str">
        <v/>
      </c>
    </row>
    <row r="2686" spans="5:9" ht="16.5" hidden="1">
      <c r="E2686" s="4" t="str">
        <v/>
      </c>
      <c r="F2686" s="102" t="str">
        <f ca="1">IFERROR(__xludf.DUMMYFUNCTION("IMPORTRANGE(H2686,""IDENTITAS UNIT!D9"")"),"#N/A")</f>
        <v>#N/A</v>
      </c>
      <c r="H2686" s="4" t="str">
        <v/>
      </c>
      <c r="I2686" s="4" t="str">
        <v/>
      </c>
    </row>
    <row r="2687" spans="5:9" ht="16.5" hidden="1">
      <c r="E2687" s="4" t="str">
        <v/>
      </c>
      <c r="F2687" s="102" t="str">
        <f ca="1">IFERROR(__xludf.DUMMYFUNCTION("IMPORTRANGE(H2687,""IDENTITAS UNIT!D9"")"),"#N/A")</f>
        <v>#N/A</v>
      </c>
      <c r="H2687" s="4" t="str">
        <v/>
      </c>
      <c r="I2687" s="4" t="str">
        <v/>
      </c>
    </row>
    <row r="2688" spans="5:9" ht="16.5" hidden="1">
      <c r="E2688" s="4" t="str">
        <v/>
      </c>
      <c r="F2688" s="102" t="str">
        <f ca="1">IFERROR(__xludf.DUMMYFUNCTION("IMPORTRANGE(H2688,""IDENTITAS UNIT!D9"")"),"#N/A")</f>
        <v>#N/A</v>
      </c>
      <c r="H2688" s="4" t="str">
        <v/>
      </c>
      <c r="I2688" s="4" t="str">
        <v/>
      </c>
    </row>
    <row r="2689" spans="5:9" ht="16.5" hidden="1">
      <c r="E2689" s="4" t="str">
        <v/>
      </c>
      <c r="F2689" s="102" t="str">
        <f ca="1">IFERROR(__xludf.DUMMYFUNCTION("IMPORTRANGE(H2689,""IDENTITAS UNIT!D9"")"),"#N/A")</f>
        <v>#N/A</v>
      </c>
      <c r="H2689" s="4" t="str">
        <v/>
      </c>
      <c r="I2689" s="4" t="str">
        <v/>
      </c>
    </row>
    <row r="2690" spans="5:9" ht="16.5" hidden="1">
      <c r="E2690" s="4" t="str">
        <v/>
      </c>
      <c r="F2690" s="102" t="str">
        <f ca="1">IFERROR(__xludf.DUMMYFUNCTION("IMPORTRANGE(H2690,""IDENTITAS UNIT!D9"")"),"#N/A")</f>
        <v>#N/A</v>
      </c>
      <c r="H2690" s="4" t="str">
        <v/>
      </c>
      <c r="I2690" s="4" t="str">
        <v/>
      </c>
    </row>
    <row r="2691" spans="5:9" ht="16.5" hidden="1">
      <c r="E2691" s="4" t="str">
        <v/>
      </c>
      <c r="F2691" s="102" t="str">
        <f ca="1">IFERROR(__xludf.DUMMYFUNCTION("IMPORTRANGE(H2691,""IDENTITAS UNIT!D9"")"),"#N/A")</f>
        <v>#N/A</v>
      </c>
      <c r="H2691" s="4" t="str">
        <v/>
      </c>
      <c r="I2691" s="4" t="str">
        <v/>
      </c>
    </row>
    <row r="2692" spans="5:9" ht="16.5" hidden="1">
      <c r="E2692" s="4" t="str">
        <v/>
      </c>
      <c r="F2692" s="102" t="str">
        <f ca="1">IFERROR(__xludf.DUMMYFUNCTION("IMPORTRANGE(H2692,""IDENTITAS UNIT!D9"")"),"#N/A")</f>
        <v>#N/A</v>
      </c>
      <c r="H2692" s="4" t="str">
        <v/>
      </c>
      <c r="I2692" s="4" t="str">
        <v/>
      </c>
    </row>
    <row r="2693" spans="5:9" ht="16.5" hidden="1">
      <c r="E2693" s="4" t="str">
        <v/>
      </c>
      <c r="F2693" s="102" t="str">
        <f ca="1">IFERROR(__xludf.DUMMYFUNCTION("IMPORTRANGE(H2693,""IDENTITAS UNIT!D9"")"),"#N/A")</f>
        <v>#N/A</v>
      </c>
      <c r="H2693" s="4" t="str">
        <v/>
      </c>
      <c r="I2693" s="4" t="str">
        <v/>
      </c>
    </row>
    <row r="2694" spans="5:9" ht="16.5" hidden="1">
      <c r="E2694" s="4" t="str">
        <v/>
      </c>
      <c r="F2694" s="102" t="str">
        <f ca="1">IFERROR(__xludf.DUMMYFUNCTION("IMPORTRANGE(H2694,""IDENTITAS UNIT!D9"")"),"#N/A")</f>
        <v>#N/A</v>
      </c>
      <c r="H2694" s="4" t="str">
        <v/>
      </c>
      <c r="I2694" s="4" t="str">
        <v/>
      </c>
    </row>
    <row r="2695" spans="5:9" ht="16.5" hidden="1">
      <c r="E2695" s="4" t="str">
        <v/>
      </c>
      <c r="F2695" s="102" t="str">
        <f ca="1">IFERROR(__xludf.DUMMYFUNCTION("IMPORTRANGE(H2695,""IDENTITAS UNIT!D9"")"),"#N/A")</f>
        <v>#N/A</v>
      </c>
      <c r="H2695" s="4" t="str">
        <v/>
      </c>
      <c r="I2695" s="4" t="str">
        <v/>
      </c>
    </row>
    <row r="2696" spans="5:9" ht="16.5" hidden="1">
      <c r="E2696" s="4" t="str">
        <v/>
      </c>
      <c r="F2696" s="102" t="str">
        <f ca="1">IFERROR(__xludf.DUMMYFUNCTION("IMPORTRANGE(H2696,""IDENTITAS UNIT!D9"")"),"#N/A")</f>
        <v>#N/A</v>
      </c>
      <c r="H2696" s="4" t="str">
        <v/>
      </c>
      <c r="I2696" s="4" t="str">
        <v/>
      </c>
    </row>
    <row r="2697" spans="5:9" ht="16.5" hidden="1">
      <c r="E2697" s="4" t="str">
        <v/>
      </c>
      <c r="F2697" s="102" t="str">
        <f ca="1">IFERROR(__xludf.DUMMYFUNCTION("IMPORTRANGE(H2697,""IDENTITAS UNIT!D9"")"),"#N/A")</f>
        <v>#N/A</v>
      </c>
      <c r="H2697" s="4" t="str">
        <v/>
      </c>
      <c r="I2697" s="4" t="str">
        <v/>
      </c>
    </row>
    <row r="2698" spans="5:9" ht="16.5" hidden="1">
      <c r="E2698" s="4" t="str">
        <v/>
      </c>
      <c r="F2698" s="102" t="str">
        <f ca="1">IFERROR(__xludf.DUMMYFUNCTION("IMPORTRANGE(H2698,""IDENTITAS UNIT!D9"")"),"#N/A")</f>
        <v>#N/A</v>
      </c>
      <c r="H2698" s="4" t="str">
        <v/>
      </c>
      <c r="I2698" s="4" t="str">
        <v/>
      </c>
    </row>
    <row r="2699" spans="5:9" ht="16.5" hidden="1">
      <c r="E2699" s="4" t="str">
        <v/>
      </c>
      <c r="F2699" s="102" t="str">
        <f ca="1">IFERROR(__xludf.DUMMYFUNCTION("IMPORTRANGE(H2699,""IDENTITAS UNIT!D9"")"),"#N/A")</f>
        <v>#N/A</v>
      </c>
      <c r="H2699" s="4" t="str">
        <v/>
      </c>
      <c r="I2699" s="4" t="str">
        <v/>
      </c>
    </row>
    <row r="2700" spans="5:9" ht="16.5" hidden="1">
      <c r="E2700" s="4" t="str">
        <v/>
      </c>
      <c r="F2700" s="102" t="str">
        <f ca="1">IFERROR(__xludf.DUMMYFUNCTION("IMPORTRANGE(H2700,""IDENTITAS UNIT!D9"")"),"#N/A")</f>
        <v>#N/A</v>
      </c>
      <c r="H2700" s="4" t="str">
        <v/>
      </c>
      <c r="I2700" s="4" t="str">
        <v/>
      </c>
    </row>
    <row r="2701" spans="5:9" ht="16.5" hidden="1">
      <c r="E2701" s="4" t="str">
        <v/>
      </c>
      <c r="F2701" s="102" t="str">
        <f ca="1">IFERROR(__xludf.DUMMYFUNCTION("IMPORTRANGE(H2701,""IDENTITAS UNIT!D9"")"),"#N/A")</f>
        <v>#N/A</v>
      </c>
      <c r="H2701" s="4" t="str">
        <v/>
      </c>
      <c r="I2701" s="4" t="str">
        <v/>
      </c>
    </row>
    <row r="2702" spans="5:9" ht="16.5" hidden="1">
      <c r="E2702" s="4" t="str">
        <v/>
      </c>
      <c r="F2702" s="102" t="str">
        <f ca="1">IFERROR(__xludf.DUMMYFUNCTION("IMPORTRANGE(H2702,""IDENTITAS UNIT!D9"")"),"#N/A")</f>
        <v>#N/A</v>
      </c>
      <c r="H2702" s="4" t="str">
        <v/>
      </c>
      <c r="I2702" s="4" t="str">
        <v/>
      </c>
    </row>
    <row r="2703" spans="5:9" ht="16.5" hidden="1">
      <c r="E2703" s="4" t="str">
        <v/>
      </c>
      <c r="F2703" s="102" t="str">
        <f ca="1">IFERROR(__xludf.DUMMYFUNCTION("IMPORTRANGE(H2703,""IDENTITAS UNIT!D9"")"),"#N/A")</f>
        <v>#N/A</v>
      </c>
      <c r="H2703" s="4" t="str">
        <v/>
      </c>
      <c r="I2703" s="4" t="str">
        <v/>
      </c>
    </row>
    <row r="2704" spans="5:9" ht="16.5" hidden="1">
      <c r="E2704" s="4" t="str">
        <v/>
      </c>
      <c r="F2704" s="102" t="str">
        <f ca="1">IFERROR(__xludf.DUMMYFUNCTION("IMPORTRANGE(H2704,""IDENTITAS UNIT!D9"")"),"#N/A")</f>
        <v>#N/A</v>
      </c>
      <c r="H2704" s="4" t="str">
        <v/>
      </c>
      <c r="I2704" s="4" t="str">
        <v/>
      </c>
    </row>
    <row r="2705" spans="5:9" ht="16.5" hidden="1">
      <c r="E2705" s="4" t="str">
        <v/>
      </c>
      <c r="F2705" s="102" t="str">
        <f ca="1">IFERROR(__xludf.DUMMYFUNCTION("IMPORTRANGE(H2705,""IDENTITAS UNIT!D9"")"),"#N/A")</f>
        <v>#N/A</v>
      </c>
      <c r="H2705" s="4" t="str">
        <v/>
      </c>
      <c r="I2705" s="4" t="str">
        <v/>
      </c>
    </row>
    <row r="2706" spans="5:9" ht="16.5" hidden="1">
      <c r="E2706" s="4" t="str">
        <v/>
      </c>
      <c r="F2706" s="102" t="str">
        <f ca="1">IFERROR(__xludf.DUMMYFUNCTION("IMPORTRANGE(H2706,""IDENTITAS UNIT!D9"")"),"#N/A")</f>
        <v>#N/A</v>
      </c>
      <c r="H2706" s="4" t="str">
        <v/>
      </c>
      <c r="I2706" s="4" t="str">
        <v/>
      </c>
    </row>
    <row r="2707" spans="5:9" ht="16.5" hidden="1">
      <c r="E2707" s="4" t="str">
        <v/>
      </c>
      <c r="F2707" s="102" t="str">
        <f ca="1">IFERROR(__xludf.DUMMYFUNCTION("IMPORTRANGE(H2707,""IDENTITAS UNIT!D9"")"),"#N/A")</f>
        <v>#N/A</v>
      </c>
      <c r="H2707" s="4" t="str">
        <v/>
      </c>
      <c r="I2707" s="4" t="str">
        <v/>
      </c>
    </row>
    <row r="2708" spans="5:9" ht="16.5" hidden="1">
      <c r="E2708" s="4" t="str">
        <v/>
      </c>
      <c r="F2708" s="102" t="str">
        <f ca="1">IFERROR(__xludf.DUMMYFUNCTION("IMPORTRANGE(H2708,""IDENTITAS UNIT!D9"")"),"#N/A")</f>
        <v>#N/A</v>
      </c>
      <c r="H2708" s="4" t="str">
        <v/>
      </c>
      <c r="I2708" s="4" t="str">
        <v/>
      </c>
    </row>
    <row r="2709" spans="5:9" ht="16.5" hidden="1">
      <c r="E2709" s="4" t="str">
        <v/>
      </c>
      <c r="F2709" s="102" t="str">
        <f ca="1">IFERROR(__xludf.DUMMYFUNCTION("IMPORTRANGE(H2709,""IDENTITAS UNIT!D9"")"),"#N/A")</f>
        <v>#N/A</v>
      </c>
      <c r="H2709" s="4" t="str">
        <v/>
      </c>
      <c r="I2709" s="4" t="str">
        <v/>
      </c>
    </row>
    <row r="2710" spans="5:9" ht="16.5" hidden="1">
      <c r="E2710" s="4" t="str">
        <v/>
      </c>
      <c r="F2710" s="102" t="str">
        <f ca="1">IFERROR(__xludf.DUMMYFUNCTION("IMPORTRANGE(H2710,""IDENTITAS UNIT!D9"")"),"#N/A")</f>
        <v>#N/A</v>
      </c>
      <c r="H2710" s="4" t="str">
        <v/>
      </c>
      <c r="I2710" s="4" t="str">
        <v/>
      </c>
    </row>
    <row r="2711" spans="5:9" ht="16.5" hidden="1">
      <c r="E2711" s="4" t="str">
        <v/>
      </c>
      <c r="F2711" s="102" t="str">
        <f ca="1">IFERROR(__xludf.DUMMYFUNCTION("IMPORTRANGE(H2711,""IDENTITAS UNIT!D9"")"),"#N/A")</f>
        <v>#N/A</v>
      </c>
      <c r="H2711" s="4" t="str">
        <v/>
      </c>
      <c r="I2711" s="4" t="str">
        <v/>
      </c>
    </row>
    <row r="2712" spans="5:9" ht="16.5" hidden="1">
      <c r="E2712" s="4" t="str">
        <v/>
      </c>
      <c r="F2712" s="102" t="str">
        <f ca="1">IFERROR(__xludf.DUMMYFUNCTION("IMPORTRANGE(H2712,""IDENTITAS UNIT!D9"")"),"#N/A")</f>
        <v>#N/A</v>
      </c>
      <c r="H2712" s="4" t="str">
        <v/>
      </c>
      <c r="I2712" s="4" t="str">
        <v/>
      </c>
    </row>
    <row r="2713" spans="5:9" ht="16.5" hidden="1">
      <c r="E2713" s="4" t="str">
        <v/>
      </c>
      <c r="F2713" s="102" t="str">
        <f ca="1">IFERROR(__xludf.DUMMYFUNCTION("IMPORTRANGE(H2713,""IDENTITAS UNIT!D9"")"),"#N/A")</f>
        <v>#N/A</v>
      </c>
      <c r="H2713" s="4" t="str">
        <v/>
      </c>
      <c r="I2713" s="4" t="str">
        <v/>
      </c>
    </row>
    <row r="2714" spans="5:9" ht="16.5" hidden="1">
      <c r="E2714" s="4" t="str">
        <v/>
      </c>
      <c r="F2714" s="102" t="str">
        <f ca="1">IFERROR(__xludf.DUMMYFUNCTION("IMPORTRANGE(H2714,""IDENTITAS UNIT!D9"")"),"#N/A")</f>
        <v>#N/A</v>
      </c>
      <c r="H2714" s="4" t="str">
        <v/>
      </c>
      <c r="I2714" s="4" t="str">
        <v/>
      </c>
    </row>
    <row r="2715" spans="5:9" ht="16.5" hidden="1">
      <c r="E2715" s="4" t="str">
        <v/>
      </c>
      <c r="F2715" s="102" t="str">
        <f ca="1">IFERROR(__xludf.DUMMYFUNCTION("IMPORTRANGE(H2715,""IDENTITAS UNIT!D9"")"),"#N/A")</f>
        <v>#N/A</v>
      </c>
      <c r="H2715" s="4" t="str">
        <v/>
      </c>
      <c r="I2715" s="4" t="str">
        <v/>
      </c>
    </row>
    <row r="2716" spans="5:9" ht="16.5" hidden="1">
      <c r="E2716" s="4" t="str">
        <v/>
      </c>
      <c r="F2716" s="102" t="str">
        <f ca="1">IFERROR(__xludf.DUMMYFUNCTION("IMPORTRANGE(H2716,""IDENTITAS UNIT!D9"")"),"#N/A")</f>
        <v>#N/A</v>
      </c>
      <c r="H2716" s="4" t="str">
        <v/>
      </c>
      <c r="I2716" s="4" t="str">
        <v/>
      </c>
    </row>
    <row r="2717" spans="5:9" ht="16.5" hidden="1">
      <c r="E2717" s="4" t="str">
        <v/>
      </c>
      <c r="F2717" s="102" t="str">
        <f ca="1">IFERROR(__xludf.DUMMYFUNCTION("IMPORTRANGE(H2717,""IDENTITAS UNIT!D9"")"),"#N/A")</f>
        <v>#N/A</v>
      </c>
      <c r="H2717" s="4" t="str">
        <v/>
      </c>
      <c r="I2717" s="4" t="str">
        <v/>
      </c>
    </row>
    <row r="2718" spans="5:9" ht="16.5" hidden="1">
      <c r="E2718" s="4" t="str">
        <v/>
      </c>
      <c r="F2718" s="102" t="str">
        <f ca="1">IFERROR(__xludf.DUMMYFUNCTION("IMPORTRANGE(H2718,""IDENTITAS UNIT!D9"")"),"#N/A")</f>
        <v>#N/A</v>
      </c>
      <c r="H2718" s="4" t="str">
        <v/>
      </c>
      <c r="I2718" s="4" t="str">
        <v/>
      </c>
    </row>
    <row r="2719" spans="5:9" ht="16.5" hidden="1">
      <c r="E2719" s="4" t="str">
        <v/>
      </c>
      <c r="F2719" s="102" t="str">
        <f ca="1">IFERROR(__xludf.DUMMYFUNCTION("IMPORTRANGE(H2719,""IDENTITAS UNIT!D9"")"),"#N/A")</f>
        <v>#N/A</v>
      </c>
      <c r="H2719" s="4" t="str">
        <v/>
      </c>
      <c r="I2719" s="4" t="str">
        <v/>
      </c>
    </row>
    <row r="2720" spans="5:9" ht="16.5" hidden="1">
      <c r="E2720" s="4" t="str">
        <v/>
      </c>
      <c r="F2720" s="102" t="str">
        <f ca="1">IFERROR(__xludf.DUMMYFUNCTION("IMPORTRANGE(H2720,""IDENTITAS UNIT!D9"")"),"#N/A")</f>
        <v>#N/A</v>
      </c>
      <c r="H2720" s="4" t="str">
        <v/>
      </c>
      <c r="I2720" s="4" t="str">
        <v/>
      </c>
    </row>
    <row r="2721" spans="5:9" ht="16.5" hidden="1">
      <c r="E2721" s="4" t="str">
        <v/>
      </c>
      <c r="F2721" s="102" t="str">
        <f ca="1">IFERROR(__xludf.DUMMYFUNCTION("IMPORTRANGE(H2721,""IDENTITAS UNIT!D9"")"),"#N/A")</f>
        <v>#N/A</v>
      </c>
      <c r="H2721" s="4" t="str">
        <v/>
      </c>
      <c r="I2721" s="4" t="str">
        <v/>
      </c>
    </row>
    <row r="2722" spans="5:9" ht="16.5" hidden="1">
      <c r="E2722" s="4" t="str">
        <v/>
      </c>
      <c r="F2722" s="102" t="str">
        <f ca="1">IFERROR(__xludf.DUMMYFUNCTION("IMPORTRANGE(H2722,""IDENTITAS UNIT!D9"")"),"#N/A")</f>
        <v>#N/A</v>
      </c>
      <c r="H2722" s="4" t="str">
        <v/>
      </c>
      <c r="I2722" s="4" t="str">
        <v/>
      </c>
    </row>
    <row r="2723" spans="5:9" ht="16.5" hidden="1">
      <c r="E2723" s="4" t="str">
        <v/>
      </c>
      <c r="F2723" s="102" t="str">
        <f ca="1">IFERROR(__xludf.DUMMYFUNCTION("IMPORTRANGE(H2723,""IDENTITAS UNIT!D9"")"),"#N/A")</f>
        <v>#N/A</v>
      </c>
      <c r="H2723" s="4" t="str">
        <v/>
      </c>
      <c r="I2723" s="4" t="str">
        <v/>
      </c>
    </row>
    <row r="2724" spans="5:9" ht="16.5" hidden="1">
      <c r="E2724" s="4" t="str">
        <v/>
      </c>
      <c r="F2724" s="102" t="str">
        <f ca="1">IFERROR(__xludf.DUMMYFUNCTION("IMPORTRANGE(H2724,""IDENTITAS UNIT!D9"")"),"#N/A")</f>
        <v>#N/A</v>
      </c>
      <c r="H2724" s="4" t="str">
        <v/>
      </c>
      <c r="I2724" s="4" t="str">
        <v/>
      </c>
    </row>
    <row r="2725" spans="5:9" ht="16.5" hidden="1">
      <c r="E2725" s="4" t="str">
        <v/>
      </c>
      <c r="F2725" s="102" t="str">
        <f ca="1">IFERROR(__xludf.DUMMYFUNCTION("IMPORTRANGE(H2725,""IDENTITAS UNIT!D9"")"),"#N/A")</f>
        <v>#N/A</v>
      </c>
      <c r="H2725" s="4" t="str">
        <v/>
      </c>
      <c r="I2725" s="4" t="str">
        <v/>
      </c>
    </row>
    <row r="2726" spans="5:9" ht="16.5" hidden="1">
      <c r="E2726" s="4" t="str">
        <v/>
      </c>
      <c r="F2726" s="102" t="str">
        <f ca="1">IFERROR(__xludf.DUMMYFUNCTION("IMPORTRANGE(H2726,""IDENTITAS UNIT!D9"")"),"#N/A")</f>
        <v>#N/A</v>
      </c>
      <c r="H2726" s="4" t="str">
        <v/>
      </c>
      <c r="I2726" s="4" t="str">
        <v/>
      </c>
    </row>
    <row r="2727" spans="5:9" ht="16.5" hidden="1">
      <c r="E2727" s="4" t="str">
        <v/>
      </c>
      <c r="F2727" s="102" t="str">
        <f ca="1">IFERROR(__xludf.DUMMYFUNCTION("IMPORTRANGE(H2727,""IDENTITAS UNIT!D9"")"),"#N/A")</f>
        <v>#N/A</v>
      </c>
      <c r="H2727" s="4" t="str">
        <v/>
      </c>
      <c r="I2727" s="4" t="str">
        <v/>
      </c>
    </row>
    <row r="2728" spans="5:9" ht="16.5" hidden="1">
      <c r="E2728" s="4" t="str">
        <v/>
      </c>
      <c r="F2728" s="102" t="str">
        <f ca="1">IFERROR(__xludf.DUMMYFUNCTION("IMPORTRANGE(H2728,""IDENTITAS UNIT!D9"")"),"#N/A")</f>
        <v>#N/A</v>
      </c>
      <c r="H2728" s="4" t="str">
        <v/>
      </c>
      <c r="I2728" s="4" t="str">
        <v/>
      </c>
    </row>
    <row r="2729" spans="5:9" ht="16.5" hidden="1">
      <c r="E2729" s="4" t="str">
        <v/>
      </c>
      <c r="F2729" s="102" t="str">
        <f ca="1">IFERROR(__xludf.DUMMYFUNCTION("IMPORTRANGE(H2729,""IDENTITAS UNIT!D9"")"),"#N/A")</f>
        <v>#N/A</v>
      </c>
      <c r="H2729" s="4" t="str">
        <v/>
      </c>
      <c r="I2729" s="4" t="str">
        <v/>
      </c>
    </row>
    <row r="2730" spans="5:9" ht="16.5" hidden="1">
      <c r="E2730" s="4" t="str">
        <v/>
      </c>
      <c r="F2730" s="102" t="str">
        <f ca="1">IFERROR(__xludf.DUMMYFUNCTION("IMPORTRANGE(H2730,""IDENTITAS UNIT!D9"")"),"#N/A")</f>
        <v>#N/A</v>
      </c>
      <c r="H2730" s="4" t="str">
        <v/>
      </c>
      <c r="I2730" s="4" t="str">
        <v/>
      </c>
    </row>
    <row r="2731" spans="5:9" ht="16.5" hidden="1">
      <c r="E2731" s="4" t="str">
        <v/>
      </c>
      <c r="F2731" s="102" t="str">
        <f ca="1">IFERROR(__xludf.DUMMYFUNCTION("IMPORTRANGE(H2731,""IDENTITAS UNIT!D9"")"),"#N/A")</f>
        <v>#N/A</v>
      </c>
      <c r="H2731" s="4" t="str">
        <v/>
      </c>
      <c r="I2731" s="4" t="str">
        <v/>
      </c>
    </row>
    <row r="2732" spans="5:9" ht="16.5" hidden="1">
      <c r="E2732" s="4" t="str">
        <v/>
      </c>
      <c r="F2732" s="102" t="str">
        <f ca="1">IFERROR(__xludf.DUMMYFUNCTION("IMPORTRANGE(H2732,""IDENTITAS UNIT!D9"")"),"#N/A")</f>
        <v>#N/A</v>
      </c>
      <c r="H2732" s="4" t="str">
        <v/>
      </c>
      <c r="I2732" s="4" t="str">
        <v/>
      </c>
    </row>
    <row r="2733" spans="5:9" ht="16.5" hidden="1">
      <c r="E2733" s="4" t="str">
        <v/>
      </c>
      <c r="F2733" s="102" t="str">
        <f ca="1">IFERROR(__xludf.DUMMYFUNCTION("IMPORTRANGE(H2733,""IDENTITAS UNIT!D9"")"),"#N/A")</f>
        <v>#N/A</v>
      </c>
      <c r="H2733" s="4" t="str">
        <v/>
      </c>
      <c r="I2733" s="4" t="str">
        <v/>
      </c>
    </row>
    <row r="2734" spans="5:9" ht="16.5" hidden="1">
      <c r="E2734" s="4" t="str">
        <v/>
      </c>
      <c r="F2734" s="102" t="str">
        <f ca="1">IFERROR(__xludf.DUMMYFUNCTION("IMPORTRANGE(H2734,""IDENTITAS UNIT!D9"")"),"#N/A")</f>
        <v>#N/A</v>
      </c>
      <c r="H2734" s="4" t="str">
        <v/>
      </c>
      <c r="I2734" s="4" t="str">
        <v/>
      </c>
    </row>
    <row r="2735" spans="5:9" ht="16.5" hidden="1">
      <c r="E2735" s="4" t="str">
        <v/>
      </c>
      <c r="F2735" s="102" t="str">
        <f ca="1">IFERROR(__xludf.DUMMYFUNCTION("IMPORTRANGE(H2735,""IDENTITAS UNIT!D9"")"),"#N/A")</f>
        <v>#N/A</v>
      </c>
      <c r="H2735" s="4" t="str">
        <v/>
      </c>
      <c r="I2735" s="4" t="str">
        <v/>
      </c>
    </row>
    <row r="2736" spans="5:9" ht="16.5" hidden="1">
      <c r="E2736" s="4" t="str">
        <v/>
      </c>
      <c r="F2736" s="102" t="str">
        <f ca="1">IFERROR(__xludf.DUMMYFUNCTION("IMPORTRANGE(H2736,""IDENTITAS UNIT!D9"")"),"#N/A")</f>
        <v>#N/A</v>
      </c>
      <c r="H2736" s="4" t="str">
        <v/>
      </c>
      <c r="I2736" s="4" t="str">
        <v/>
      </c>
    </row>
    <row r="2737" spans="5:9" ht="16.5" hidden="1">
      <c r="E2737" s="4" t="str">
        <v/>
      </c>
      <c r="F2737" s="102" t="str">
        <f ca="1">IFERROR(__xludf.DUMMYFUNCTION("IMPORTRANGE(H2737,""IDENTITAS UNIT!D9"")"),"#N/A")</f>
        <v>#N/A</v>
      </c>
      <c r="H2737" s="4" t="str">
        <v/>
      </c>
      <c r="I2737" s="4" t="str">
        <v/>
      </c>
    </row>
    <row r="2738" spans="5:9" ht="16.5" hidden="1">
      <c r="E2738" s="4" t="str">
        <v/>
      </c>
      <c r="F2738" s="102" t="str">
        <f ca="1">IFERROR(__xludf.DUMMYFUNCTION("IMPORTRANGE(H2738,""IDENTITAS UNIT!D9"")"),"#N/A")</f>
        <v>#N/A</v>
      </c>
      <c r="H2738" s="4" t="str">
        <v/>
      </c>
      <c r="I2738" s="4" t="str">
        <v/>
      </c>
    </row>
    <row r="2739" spans="5:9" ht="16.5" hidden="1">
      <c r="E2739" s="4" t="str">
        <v/>
      </c>
      <c r="F2739" s="102" t="str">
        <f ca="1">IFERROR(__xludf.DUMMYFUNCTION("IMPORTRANGE(H2739,""IDENTITAS UNIT!D9"")"),"#N/A")</f>
        <v>#N/A</v>
      </c>
      <c r="H2739" s="4" t="str">
        <v/>
      </c>
      <c r="I2739" s="4" t="str">
        <v/>
      </c>
    </row>
    <row r="2740" spans="5:9" ht="16.5" hidden="1">
      <c r="E2740" s="4" t="str">
        <v/>
      </c>
      <c r="F2740" s="102" t="str">
        <f ca="1">IFERROR(__xludf.DUMMYFUNCTION("IMPORTRANGE(H2740,""IDENTITAS UNIT!D9"")"),"#N/A")</f>
        <v>#N/A</v>
      </c>
      <c r="H2740" s="4" t="str">
        <v/>
      </c>
      <c r="I2740" s="4" t="str">
        <v/>
      </c>
    </row>
    <row r="2741" spans="5:9" ht="16.5" hidden="1">
      <c r="E2741" s="4" t="str">
        <v/>
      </c>
      <c r="F2741" s="102" t="str">
        <f ca="1">IFERROR(__xludf.DUMMYFUNCTION("IMPORTRANGE(H2741,""IDENTITAS UNIT!D9"")"),"#N/A")</f>
        <v>#N/A</v>
      </c>
      <c r="H2741" s="4" t="str">
        <v/>
      </c>
      <c r="I2741" s="4" t="str">
        <v/>
      </c>
    </row>
    <row r="2742" spans="5:9" ht="16.5" hidden="1">
      <c r="E2742" s="4" t="str">
        <v/>
      </c>
      <c r="F2742" s="102" t="str">
        <f ca="1">IFERROR(__xludf.DUMMYFUNCTION("IMPORTRANGE(H2742,""IDENTITAS UNIT!D9"")"),"#N/A")</f>
        <v>#N/A</v>
      </c>
      <c r="H2742" s="4" t="str">
        <v/>
      </c>
      <c r="I2742" s="4" t="str">
        <v/>
      </c>
    </row>
    <row r="2743" spans="5:9" ht="16.5" hidden="1">
      <c r="E2743" s="4" t="str">
        <v/>
      </c>
      <c r="F2743" s="102" t="str">
        <f ca="1">IFERROR(__xludf.DUMMYFUNCTION("IMPORTRANGE(H2743,""IDENTITAS UNIT!D9"")"),"#N/A")</f>
        <v>#N/A</v>
      </c>
      <c r="H2743" s="4" t="str">
        <v/>
      </c>
      <c r="I2743" s="4" t="str">
        <v/>
      </c>
    </row>
    <row r="2744" spans="5:9" ht="16.5" hidden="1">
      <c r="E2744" s="4" t="str">
        <v/>
      </c>
      <c r="F2744" s="102" t="str">
        <f ca="1">IFERROR(__xludf.DUMMYFUNCTION("IMPORTRANGE(H2744,""IDENTITAS UNIT!D9"")"),"#N/A")</f>
        <v>#N/A</v>
      </c>
      <c r="H2744" s="4" t="str">
        <v/>
      </c>
      <c r="I2744" s="4" t="str">
        <v/>
      </c>
    </row>
    <row r="2745" spans="5:9" ht="16.5" hidden="1">
      <c r="E2745" s="4" t="str">
        <v/>
      </c>
      <c r="F2745" s="102" t="str">
        <f ca="1">IFERROR(__xludf.DUMMYFUNCTION("IMPORTRANGE(H2745,""IDENTITAS UNIT!D9"")"),"#N/A")</f>
        <v>#N/A</v>
      </c>
      <c r="H2745" s="4" t="str">
        <v/>
      </c>
      <c r="I2745" s="4" t="str">
        <v/>
      </c>
    </row>
    <row r="2746" spans="5:9" ht="16.5" hidden="1">
      <c r="E2746" s="4" t="str">
        <v/>
      </c>
      <c r="F2746" s="102" t="str">
        <f ca="1">IFERROR(__xludf.DUMMYFUNCTION("IMPORTRANGE(H2746,""IDENTITAS UNIT!D9"")"),"#N/A")</f>
        <v>#N/A</v>
      </c>
      <c r="H2746" s="4" t="str">
        <v/>
      </c>
      <c r="I2746" s="4" t="str">
        <v/>
      </c>
    </row>
    <row r="2747" spans="5:9" ht="16.5" hidden="1">
      <c r="E2747" s="4" t="str">
        <v/>
      </c>
      <c r="F2747" s="102" t="str">
        <f ca="1">IFERROR(__xludf.DUMMYFUNCTION("IMPORTRANGE(H2747,""IDENTITAS UNIT!D9"")"),"#N/A")</f>
        <v>#N/A</v>
      </c>
      <c r="H2747" s="4" t="str">
        <v/>
      </c>
      <c r="I2747" s="4" t="str">
        <v/>
      </c>
    </row>
    <row r="2748" spans="5:9" ht="16.5" hidden="1">
      <c r="E2748" s="4" t="str">
        <v/>
      </c>
      <c r="F2748" s="102" t="str">
        <f ca="1">IFERROR(__xludf.DUMMYFUNCTION("IMPORTRANGE(H2748,""IDENTITAS UNIT!D9"")"),"#N/A")</f>
        <v>#N/A</v>
      </c>
      <c r="H2748" s="4" t="str">
        <v/>
      </c>
      <c r="I2748" s="4" t="str">
        <v/>
      </c>
    </row>
    <row r="2749" spans="5:9" ht="16.5" hidden="1">
      <c r="E2749" s="4" t="str">
        <v/>
      </c>
      <c r="F2749" s="102" t="str">
        <f ca="1">IFERROR(__xludf.DUMMYFUNCTION("IMPORTRANGE(H2749,""IDENTITAS UNIT!D9"")"),"#N/A")</f>
        <v>#N/A</v>
      </c>
      <c r="H2749" s="4" t="str">
        <v/>
      </c>
      <c r="I2749" s="4" t="str">
        <v/>
      </c>
    </row>
    <row r="2750" spans="5:9" ht="16.5" hidden="1">
      <c r="E2750" s="4" t="str">
        <v/>
      </c>
      <c r="F2750" s="102" t="str">
        <f ca="1">IFERROR(__xludf.DUMMYFUNCTION("IMPORTRANGE(H2750,""IDENTITAS UNIT!D9"")"),"#N/A")</f>
        <v>#N/A</v>
      </c>
      <c r="H2750" s="4" t="str">
        <v/>
      </c>
      <c r="I2750" s="4" t="str">
        <v/>
      </c>
    </row>
    <row r="2751" spans="5:9" ht="16.5" hidden="1">
      <c r="E2751" s="4" t="str">
        <v/>
      </c>
      <c r="F2751" s="102" t="str">
        <f ca="1">IFERROR(__xludf.DUMMYFUNCTION("IMPORTRANGE(H2751,""IDENTITAS UNIT!D9"")"),"#N/A")</f>
        <v>#N/A</v>
      </c>
      <c r="H2751" s="4" t="str">
        <v/>
      </c>
      <c r="I2751" s="4" t="str">
        <v/>
      </c>
    </row>
    <row r="2752" spans="5:9" ht="16.5" hidden="1">
      <c r="E2752" s="4" t="str">
        <v/>
      </c>
      <c r="F2752" s="102" t="str">
        <f ca="1">IFERROR(__xludf.DUMMYFUNCTION("IMPORTRANGE(H2752,""IDENTITAS UNIT!D9"")"),"#N/A")</f>
        <v>#N/A</v>
      </c>
      <c r="H2752" s="4" t="str">
        <v/>
      </c>
      <c r="I2752" s="4" t="str">
        <v/>
      </c>
    </row>
    <row r="2753" spans="5:9" ht="16.5" hidden="1">
      <c r="E2753" s="4" t="str">
        <v/>
      </c>
      <c r="F2753" s="102" t="str">
        <f ca="1">IFERROR(__xludf.DUMMYFUNCTION("IMPORTRANGE(H2753,""IDENTITAS UNIT!D9"")"),"#N/A")</f>
        <v>#N/A</v>
      </c>
      <c r="H2753" s="4" t="str">
        <v/>
      </c>
      <c r="I2753" s="4" t="str">
        <v/>
      </c>
    </row>
    <row r="2754" spans="5:9" ht="16.5" hidden="1">
      <c r="E2754" s="4" t="str">
        <v/>
      </c>
      <c r="F2754" s="102" t="str">
        <f ca="1">IFERROR(__xludf.DUMMYFUNCTION("IMPORTRANGE(H2754,""IDENTITAS UNIT!D9"")"),"#N/A")</f>
        <v>#N/A</v>
      </c>
      <c r="H2754" s="4" t="str">
        <v/>
      </c>
      <c r="I2754" s="4" t="str">
        <v/>
      </c>
    </row>
    <row r="2755" spans="5:9" ht="16.5" hidden="1">
      <c r="E2755" s="4" t="str">
        <v/>
      </c>
      <c r="F2755" s="102" t="str">
        <f ca="1">IFERROR(__xludf.DUMMYFUNCTION("IMPORTRANGE(H2755,""IDENTITAS UNIT!D9"")"),"#N/A")</f>
        <v>#N/A</v>
      </c>
      <c r="H2755" s="4" t="str">
        <v/>
      </c>
      <c r="I2755" s="4" t="str">
        <v/>
      </c>
    </row>
    <row r="2756" spans="5:9" ht="16.5" hidden="1">
      <c r="E2756" s="4" t="str">
        <v/>
      </c>
      <c r="F2756" s="102" t="str">
        <f ca="1">IFERROR(__xludf.DUMMYFUNCTION("IMPORTRANGE(H2756,""IDENTITAS UNIT!D9"")"),"#N/A")</f>
        <v>#N/A</v>
      </c>
      <c r="H2756" s="4" t="str">
        <v/>
      </c>
      <c r="I2756" s="4" t="str">
        <v/>
      </c>
    </row>
    <row r="2757" spans="5:9" ht="16.5" hidden="1">
      <c r="E2757" s="4" t="str">
        <v/>
      </c>
      <c r="F2757" s="102" t="str">
        <f ca="1">IFERROR(__xludf.DUMMYFUNCTION("IMPORTRANGE(H2757,""IDENTITAS UNIT!D9"")"),"#N/A")</f>
        <v>#N/A</v>
      </c>
      <c r="H2757" s="4" t="str">
        <v/>
      </c>
      <c r="I2757" s="4" t="str">
        <v/>
      </c>
    </row>
    <row r="2758" spans="5:9" ht="16.5" hidden="1">
      <c r="E2758" s="4" t="str">
        <v/>
      </c>
      <c r="F2758" s="102" t="str">
        <f ca="1">IFERROR(__xludf.DUMMYFUNCTION("IMPORTRANGE(H2758,""IDENTITAS UNIT!D9"")"),"#N/A")</f>
        <v>#N/A</v>
      </c>
      <c r="H2758" s="4" t="str">
        <v/>
      </c>
      <c r="I2758" s="4" t="str">
        <v/>
      </c>
    </row>
    <row r="2759" spans="5:9" ht="16.5" hidden="1">
      <c r="E2759" s="4" t="str">
        <v/>
      </c>
      <c r="F2759" s="102" t="str">
        <f ca="1">IFERROR(__xludf.DUMMYFUNCTION("IMPORTRANGE(H2759,""IDENTITAS UNIT!D9"")"),"#N/A")</f>
        <v>#N/A</v>
      </c>
      <c r="H2759" s="4" t="str">
        <v/>
      </c>
      <c r="I2759" s="4" t="str">
        <v/>
      </c>
    </row>
    <row r="2760" spans="5:9" ht="16.5" hidden="1">
      <c r="E2760" s="4" t="str">
        <v/>
      </c>
      <c r="F2760" s="102" t="str">
        <f ca="1">IFERROR(__xludf.DUMMYFUNCTION("IMPORTRANGE(H2760,""IDENTITAS UNIT!D9"")"),"#N/A")</f>
        <v>#N/A</v>
      </c>
      <c r="H2760" s="4" t="str">
        <v/>
      </c>
      <c r="I2760" s="4" t="str">
        <v/>
      </c>
    </row>
    <row r="2761" spans="5:9" ht="16.5" hidden="1">
      <c r="E2761" s="4" t="str">
        <v/>
      </c>
      <c r="F2761" s="102" t="str">
        <f ca="1">IFERROR(__xludf.DUMMYFUNCTION("IMPORTRANGE(H2761,""IDENTITAS UNIT!D9"")"),"#N/A")</f>
        <v>#N/A</v>
      </c>
      <c r="H2761" s="4" t="str">
        <v/>
      </c>
      <c r="I2761" s="4" t="str">
        <v/>
      </c>
    </row>
    <row r="2762" spans="5:9" ht="16.5" hidden="1">
      <c r="E2762" s="4" t="str">
        <v/>
      </c>
      <c r="F2762" s="102" t="str">
        <f ca="1">IFERROR(__xludf.DUMMYFUNCTION("IMPORTRANGE(H2762,""IDENTITAS UNIT!D9"")"),"#N/A")</f>
        <v>#N/A</v>
      </c>
      <c r="H2762" s="4" t="str">
        <v/>
      </c>
      <c r="I2762" s="4" t="str">
        <v/>
      </c>
    </row>
    <row r="2763" spans="5:9" ht="16.5" hidden="1">
      <c r="E2763" s="4" t="str">
        <v/>
      </c>
      <c r="F2763" s="102" t="str">
        <f ca="1">IFERROR(__xludf.DUMMYFUNCTION("IMPORTRANGE(H2763,""IDENTITAS UNIT!D9"")"),"#N/A")</f>
        <v>#N/A</v>
      </c>
      <c r="H2763" s="4" t="str">
        <v/>
      </c>
      <c r="I2763" s="4" t="str">
        <v/>
      </c>
    </row>
    <row r="2764" spans="5:9" ht="16.5" hidden="1">
      <c r="E2764" s="4" t="str">
        <v/>
      </c>
      <c r="F2764" s="102" t="str">
        <f ca="1">IFERROR(__xludf.DUMMYFUNCTION("IMPORTRANGE(H2764,""IDENTITAS UNIT!D9"")"),"#N/A")</f>
        <v>#N/A</v>
      </c>
      <c r="H2764" s="4" t="str">
        <v/>
      </c>
      <c r="I2764" s="4" t="str">
        <v/>
      </c>
    </row>
    <row r="2765" spans="5:9" ht="16.5" hidden="1">
      <c r="E2765" s="4" t="str">
        <v/>
      </c>
      <c r="F2765" s="102" t="str">
        <f ca="1">IFERROR(__xludf.DUMMYFUNCTION("IMPORTRANGE(H2765,""IDENTITAS UNIT!D9"")"),"#N/A")</f>
        <v>#N/A</v>
      </c>
      <c r="H2765" s="4" t="str">
        <v/>
      </c>
      <c r="I2765" s="4" t="str">
        <v/>
      </c>
    </row>
    <row r="2766" spans="5:9" ht="16.5" hidden="1">
      <c r="E2766" s="4" t="str">
        <v/>
      </c>
      <c r="F2766" s="102" t="str">
        <f ca="1">IFERROR(__xludf.DUMMYFUNCTION("IMPORTRANGE(H2766,""IDENTITAS UNIT!D9"")"),"#N/A")</f>
        <v>#N/A</v>
      </c>
      <c r="H2766" s="4" t="str">
        <v/>
      </c>
      <c r="I2766" s="4" t="str">
        <v/>
      </c>
    </row>
    <row r="2767" spans="5:9" ht="16.5" hidden="1">
      <c r="E2767" s="4" t="str">
        <v/>
      </c>
      <c r="F2767" s="102" t="str">
        <f ca="1">IFERROR(__xludf.DUMMYFUNCTION("IMPORTRANGE(H2767,""IDENTITAS UNIT!D9"")"),"#N/A")</f>
        <v>#N/A</v>
      </c>
      <c r="H2767" s="4" t="str">
        <v/>
      </c>
      <c r="I2767" s="4" t="str">
        <v/>
      </c>
    </row>
    <row r="2768" spans="5:9" ht="16.5" hidden="1">
      <c r="E2768" s="4" t="str">
        <v/>
      </c>
      <c r="F2768" s="102" t="str">
        <f ca="1">IFERROR(__xludf.DUMMYFUNCTION("IMPORTRANGE(H2768,""IDENTITAS UNIT!D9"")"),"#N/A")</f>
        <v>#N/A</v>
      </c>
      <c r="H2768" s="4" t="str">
        <v/>
      </c>
      <c r="I2768" s="4" t="str">
        <v/>
      </c>
    </row>
    <row r="2769" spans="5:9" ht="16.5" hidden="1">
      <c r="E2769" s="4" t="str">
        <v/>
      </c>
      <c r="F2769" s="102" t="str">
        <f ca="1">IFERROR(__xludf.DUMMYFUNCTION("IMPORTRANGE(H2769,""IDENTITAS UNIT!D9"")"),"#N/A")</f>
        <v>#N/A</v>
      </c>
      <c r="H2769" s="4" t="str">
        <v/>
      </c>
      <c r="I2769" s="4" t="str">
        <v/>
      </c>
    </row>
    <row r="2770" spans="5:9" ht="16.5" hidden="1">
      <c r="E2770" s="4" t="str">
        <v/>
      </c>
      <c r="F2770" s="102" t="str">
        <f ca="1">IFERROR(__xludf.DUMMYFUNCTION("IMPORTRANGE(H2770,""IDENTITAS UNIT!D9"")"),"#N/A")</f>
        <v>#N/A</v>
      </c>
      <c r="H2770" s="4" t="str">
        <v/>
      </c>
      <c r="I2770" s="4" t="str">
        <v/>
      </c>
    </row>
    <row r="2771" spans="5:9" ht="16.5" hidden="1">
      <c r="E2771" s="4" t="str">
        <v/>
      </c>
      <c r="F2771" s="102" t="str">
        <f ca="1">IFERROR(__xludf.DUMMYFUNCTION("IMPORTRANGE(H2771,""IDENTITAS UNIT!D9"")"),"#N/A")</f>
        <v>#N/A</v>
      </c>
      <c r="H2771" s="4" t="str">
        <v/>
      </c>
      <c r="I2771" s="4" t="str">
        <v/>
      </c>
    </row>
    <row r="2772" spans="5:9" ht="16.5" hidden="1">
      <c r="E2772" s="4" t="str">
        <v/>
      </c>
      <c r="F2772" s="102" t="str">
        <f ca="1">IFERROR(__xludf.DUMMYFUNCTION("IMPORTRANGE(H2772,""IDENTITAS UNIT!D9"")"),"#N/A")</f>
        <v>#N/A</v>
      </c>
      <c r="H2772" s="4" t="str">
        <v/>
      </c>
      <c r="I2772" s="4" t="str">
        <v/>
      </c>
    </row>
    <row r="2773" spans="5:9" ht="16.5" hidden="1">
      <c r="E2773" s="4" t="str">
        <v/>
      </c>
      <c r="F2773" s="102" t="str">
        <f ca="1">IFERROR(__xludf.DUMMYFUNCTION("IMPORTRANGE(H2773,""IDENTITAS UNIT!D9"")"),"#N/A")</f>
        <v>#N/A</v>
      </c>
      <c r="H2773" s="4" t="str">
        <v/>
      </c>
      <c r="I2773" s="4" t="str">
        <v/>
      </c>
    </row>
    <row r="2774" spans="5:9" ht="16.5" hidden="1">
      <c r="E2774" s="4" t="str">
        <v/>
      </c>
      <c r="F2774" s="102" t="str">
        <f ca="1">IFERROR(__xludf.DUMMYFUNCTION("IMPORTRANGE(H2774,""IDENTITAS UNIT!D9"")"),"#N/A")</f>
        <v>#N/A</v>
      </c>
      <c r="H2774" s="4" t="str">
        <v/>
      </c>
      <c r="I2774" s="4" t="str">
        <v/>
      </c>
    </row>
    <row r="2775" spans="5:9" ht="16.5" hidden="1">
      <c r="E2775" s="4" t="str">
        <v/>
      </c>
      <c r="F2775" s="102" t="str">
        <f ca="1">IFERROR(__xludf.DUMMYFUNCTION("IMPORTRANGE(H2775,""IDENTITAS UNIT!D9"")"),"#N/A")</f>
        <v>#N/A</v>
      </c>
      <c r="H2775" s="4" t="str">
        <v/>
      </c>
      <c r="I2775" s="4" t="str">
        <v/>
      </c>
    </row>
    <row r="2776" spans="5:9" ht="16.5" hidden="1">
      <c r="E2776" s="4" t="str">
        <v/>
      </c>
      <c r="F2776" s="102" t="str">
        <f ca="1">IFERROR(__xludf.DUMMYFUNCTION("IMPORTRANGE(H2776,""IDENTITAS UNIT!D9"")"),"#N/A")</f>
        <v>#N/A</v>
      </c>
      <c r="H2776" s="4" t="str">
        <v/>
      </c>
      <c r="I2776" s="4" t="str">
        <v/>
      </c>
    </row>
    <row r="2777" spans="5:9" ht="16.5" hidden="1">
      <c r="E2777" s="4" t="str">
        <v/>
      </c>
      <c r="F2777" s="102" t="str">
        <f ca="1">IFERROR(__xludf.DUMMYFUNCTION("IMPORTRANGE(H2777,""IDENTITAS UNIT!D9"")"),"#N/A")</f>
        <v>#N/A</v>
      </c>
      <c r="H2777" s="4" t="str">
        <v/>
      </c>
      <c r="I2777" s="4" t="str">
        <v/>
      </c>
    </row>
    <row r="2778" spans="5:9" ht="16.5" hidden="1">
      <c r="E2778" s="4" t="str">
        <v/>
      </c>
      <c r="F2778" s="102" t="str">
        <f ca="1">IFERROR(__xludf.DUMMYFUNCTION("IMPORTRANGE(H2778,""IDENTITAS UNIT!D9"")"),"#N/A")</f>
        <v>#N/A</v>
      </c>
      <c r="H2778" s="4" t="str">
        <v/>
      </c>
      <c r="I2778" s="4" t="str">
        <v/>
      </c>
    </row>
    <row r="2779" spans="5:9" ht="16.5" hidden="1">
      <c r="E2779" s="4" t="str">
        <v/>
      </c>
      <c r="F2779" s="102" t="str">
        <f ca="1">IFERROR(__xludf.DUMMYFUNCTION("IMPORTRANGE(H2779,""IDENTITAS UNIT!D9"")"),"#N/A")</f>
        <v>#N/A</v>
      </c>
      <c r="H2779" s="4" t="str">
        <v/>
      </c>
      <c r="I2779" s="4" t="str">
        <v/>
      </c>
    </row>
    <row r="2780" spans="5:9" ht="16.5" hidden="1">
      <c r="E2780" s="4" t="str">
        <v/>
      </c>
      <c r="F2780" s="102" t="str">
        <f ca="1">IFERROR(__xludf.DUMMYFUNCTION("IMPORTRANGE(H2780,""IDENTITAS UNIT!D9"")"),"#N/A")</f>
        <v>#N/A</v>
      </c>
      <c r="H2780" s="4" t="str">
        <v/>
      </c>
      <c r="I2780" s="4" t="str">
        <v/>
      </c>
    </row>
    <row r="2781" spans="5:9" ht="16.5" hidden="1">
      <c r="E2781" s="4" t="str">
        <v/>
      </c>
      <c r="F2781" s="102" t="str">
        <f ca="1">IFERROR(__xludf.DUMMYFUNCTION("IMPORTRANGE(H2781,""IDENTITAS UNIT!D9"")"),"#N/A")</f>
        <v>#N/A</v>
      </c>
      <c r="H2781" s="4" t="str">
        <v/>
      </c>
      <c r="I2781" s="4" t="str">
        <v/>
      </c>
    </row>
    <row r="2782" spans="5:9" ht="16.5" hidden="1">
      <c r="E2782" s="4" t="str">
        <v/>
      </c>
      <c r="F2782" s="102" t="str">
        <f ca="1">IFERROR(__xludf.DUMMYFUNCTION("IMPORTRANGE(H2782,""IDENTITAS UNIT!D9"")"),"#N/A")</f>
        <v>#N/A</v>
      </c>
      <c r="H2782" s="4" t="str">
        <v/>
      </c>
      <c r="I2782" s="4" t="str">
        <v/>
      </c>
    </row>
    <row r="2783" spans="5:9" ht="16.5" hidden="1">
      <c r="E2783" s="4" t="str">
        <v/>
      </c>
      <c r="F2783" s="102" t="str">
        <f ca="1">IFERROR(__xludf.DUMMYFUNCTION("IMPORTRANGE(H2783,""IDENTITAS UNIT!D9"")"),"#N/A")</f>
        <v>#N/A</v>
      </c>
      <c r="H2783" s="4" t="str">
        <v/>
      </c>
      <c r="I2783" s="4" t="str">
        <v/>
      </c>
    </row>
    <row r="2784" spans="5:9" ht="16.5" hidden="1">
      <c r="E2784" s="4" t="str">
        <v/>
      </c>
      <c r="F2784" s="102" t="str">
        <f ca="1">IFERROR(__xludf.DUMMYFUNCTION("IMPORTRANGE(H2784,""IDENTITAS UNIT!D9"")"),"#N/A")</f>
        <v>#N/A</v>
      </c>
      <c r="H2784" s="4" t="str">
        <v/>
      </c>
      <c r="I2784" s="4" t="str">
        <v/>
      </c>
    </row>
    <row r="2785" spans="5:9" ht="16.5" hidden="1">
      <c r="E2785" s="4" t="str">
        <v/>
      </c>
      <c r="F2785" s="102" t="str">
        <f ca="1">IFERROR(__xludf.DUMMYFUNCTION("IMPORTRANGE(H2785,""IDENTITAS UNIT!D9"")"),"#N/A")</f>
        <v>#N/A</v>
      </c>
      <c r="H2785" s="4" t="str">
        <v/>
      </c>
      <c r="I2785" s="4" t="str">
        <v/>
      </c>
    </row>
    <row r="2786" spans="5:9" ht="16.5" hidden="1">
      <c r="E2786" s="4" t="str">
        <v/>
      </c>
      <c r="F2786" s="102" t="str">
        <f ca="1">IFERROR(__xludf.DUMMYFUNCTION("IMPORTRANGE(H2786,""IDENTITAS UNIT!D9"")"),"#N/A")</f>
        <v>#N/A</v>
      </c>
      <c r="H2786" s="4" t="str">
        <v/>
      </c>
      <c r="I2786" s="4" t="str">
        <v/>
      </c>
    </row>
    <row r="2787" spans="5:9" ht="16.5" hidden="1">
      <c r="E2787" s="4" t="str">
        <v/>
      </c>
      <c r="F2787" s="102" t="str">
        <f ca="1">IFERROR(__xludf.DUMMYFUNCTION("IMPORTRANGE(H2787,""IDENTITAS UNIT!D9"")"),"#N/A")</f>
        <v>#N/A</v>
      </c>
      <c r="H2787" s="4" t="str">
        <v/>
      </c>
      <c r="I2787" s="4" t="str">
        <v/>
      </c>
    </row>
    <row r="2788" spans="5:9" ht="16.5" hidden="1">
      <c r="E2788" s="4" t="str">
        <v/>
      </c>
      <c r="F2788" s="102" t="str">
        <f ca="1">IFERROR(__xludf.DUMMYFUNCTION("IMPORTRANGE(H2788,""IDENTITAS UNIT!D9"")"),"#N/A")</f>
        <v>#N/A</v>
      </c>
      <c r="H2788" s="4" t="str">
        <v/>
      </c>
      <c r="I2788" s="4" t="str">
        <v/>
      </c>
    </row>
    <row r="2789" spans="5:9" ht="16.5" hidden="1">
      <c r="E2789" s="4" t="str">
        <v/>
      </c>
      <c r="F2789" s="102" t="str">
        <f ca="1">IFERROR(__xludf.DUMMYFUNCTION("IMPORTRANGE(H2789,""IDENTITAS UNIT!D9"")"),"#N/A")</f>
        <v>#N/A</v>
      </c>
      <c r="H2789" s="4" t="str">
        <v/>
      </c>
      <c r="I2789" s="4" t="str">
        <v/>
      </c>
    </row>
    <row r="2790" spans="5:9" ht="16.5" hidden="1">
      <c r="E2790" s="4" t="str">
        <v/>
      </c>
      <c r="F2790" s="102" t="str">
        <f ca="1">IFERROR(__xludf.DUMMYFUNCTION("IMPORTRANGE(H2790,""IDENTITAS UNIT!D9"")"),"#N/A")</f>
        <v>#N/A</v>
      </c>
      <c r="H2790" s="4" t="str">
        <v/>
      </c>
      <c r="I2790" s="4" t="str">
        <v/>
      </c>
    </row>
    <row r="2791" spans="5:9" ht="16.5" hidden="1">
      <c r="E2791" s="4" t="str">
        <v/>
      </c>
      <c r="F2791" s="102" t="str">
        <f ca="1">IFERROR(__xludf.DUMMYFUNCTION("IMPORTRANGE(H2791,""IDENTITAS UNIT!D9"")"),"#N/A")</f>
        <v>#N/A</v>
      </c>
      <c r="H2791" s="4" t="str">
        <v/>
      </c>
      <c r="I2791" s="4" t="str">
        <v/>
      </c>
    </row>
    <row r="2792" spans="5:9" ht="16.5" hidden="1">
      <c r="E2792" s="4" t="str">
        <v/>
      </c>
      <c r="F2792" s="102" t="str">
        <f ca="1">IFERROR(__xludf.DUMMYFUNCTION("IMPORTRANGE(H2792,""IDENTITAS UNIT!D9"")"),"#N/A")</f>
        <v>#N/A</v>
      </c>
      <c r="H2792" s="4" t="str">
        <v/>
      </c>
      <c r="I2792" s="4" t="str">
        <v/>
      </c>
    </row>
    <row r="2793" spans="5:9" ht="16.5" hidden="1">
      <c r="E2793" s="4" t="str">
        <v/>
      </c>
      <c r="F2793" s="102" t="str">
        <f ca="1">IFERROR(__xludf.DUMMYFUNCTION("IMPORTRANGE(H2793,""IDENTITAS UNIT!D9"")"),"#N/A")</f>
        <v>#N/A</v>
      </c>
      <c r="H2793" s="4" t="str">
        <v/>
      </c>
      <c r="I2793" s="4" t="str">
        <v/>
      </c>
    </row>
    <row r="2794" spans="5:9" ht="16.5" hidden="1">
      <c r="E2794" s="4" t="str">
        <v/>
      </c>
      <c r="F2794" s="102" t="str">
        <f ca="1">IFERROR(__xludf.DUMMYFUNCTION("IMPORTRANGE(H2794,""IDENTITAS UNIT!D9"")"),"#N/A")</f>
        <v>#N/A</v>
      </c>
      <c r="H2794" s="4" t="str">
        <v/>
      </c>
      <c r="I2794" s="4" t="str">
        <v/>
      </c>
    </row>
    <row r="2795" spans="5:9" ht="16.5" hidden="1">
      <c r="E2795" s="4" t="str">
        <v/>
      </c>
      <c r="F2795" s="102" t="str">
        <f ca="1">IFERROR(__xludf.DUMMYFUNCTION("IMPORTRANGE(H2795,""IDENTITAS UNIT!D9"")"),"#N/A")</f>
        <v>#N/A</v>
      </c>
      <c r="H2795" s="4" t="str">
        <v/>
      </c>
      <c r="I2795" s="4" t="str">
        <v/>
      </c>
    </row>
    <row r="2796" spans="5:9" ht="16.5" hidden="1">
      <c r="E2796" s="4" t="str">
        <v/>
      </c>
      <c r="F2796" s="102" t="str">
        <f ca="1">IFERROR(__xludf.DUMMYFUNCTION("IMPORTRANGE(H2796,""IDENTITAS UNIT!D9"")"),"#N/A")</f>
        <v>#N/A</v>
      </c>
      <c r="H2796" s="4" t="str">
        <v/>
      </c>
      <c r="I2796" s="4" t="str">
        <v/>
      </c>
    </row>
    <row r="2797" spans="5:9" ht="16.5" hidden="1">
      <c r="E2797" s="4" t="str">
        <v/>
      </c>
      <c r="F2797" s="102" t="str">
        <f ca="1">IFERROR(__xludf.DUMMYFUNCTION("IMPORTRANGE(H2797,""IDENTITAS UNIT!D9"")"),"#N/A")</f>
        <v>#N/A</v>
      </c>
      <c r="H2797" s="4" t="str">
        <v/>
      </c>
      <c r="I2797" s="4" t="str">
        <v/>
      </c>
    </row>
    <row r="2798" spans="5:9" ht="16.5" hidden="1">
      <c r="E2798" s="4" t="str">
        <v/>
      </c>
      <c r="F2798" s="102" t="str">
        <f ca="1">IFERROR(__xludf.DUMMYFUNCTION("IMPORTRANGE(H2798,""IDENTITAS UNIT!D9"")"),"#N/A")</f>
        <v>#N/A</v>
      </c>
      <c r="H2798" s="4" t="str">
        <v/>
      </c>
      <c r="I2798" s="4" t="str">
        <v/>
      </c>
    </row>
    <row r="2799" spans="5:9" ht="16.5" hidden="1">
      <c r="E2799" s="4" t="str">
        <v/>
      </c>
      <c r="F2799" s="102" t="str">
        <f ca="1">IFERROR(__xludf.DUMMYFUNCTION("IMPORTRANGE(H2799,""IDENTITAS UNIT!D9"")"),"#N/A")</f>
        <v>#N/A</v>
      </c>
      <c r="H2799" s="4" t="str">
        <v/>
      </c>
      <c r="I2799" s="4" t="str">
        <v/>
      </c>
    </row>
    <row r="2800" spans="5:9" ht="16.5" hidden="1">
      <c r="E2800" s="4" t="str">
        <v/>
      </c>
      <c r="F2800" s="102" t="str">
        <f ca="1">IFERROR(__xludf.DUMMYFUNCTION("IMPORTRANGE(H2800,""IDENTITAS UNIT!D9"")"),"#N/A")</f>
        <v>#N/A</v>
      </c>
      <c r="H2800" s="4" t="str">
        <v/>
      </c>
      <c r="I2800" s="4" t="str">
        <v/>
      </c>
    </row>
    <row r="2801" spans="5:9" ht="16.5" hidden="1">
      <c r="E2801" s="4" t="str">
        <v/>
      </c>
      <c r="F2801" s="102" t="str">
        <f ca="1">IFERROR(__xludf.DUMMYFUNCTION("IMPORTRANGE(H2801,""IDENTITAS UNIT!D9"")"),"#N/A")</f>
        <v>#N/A</v>
      </c>
      <c r="H2801" s="4" t="str">
        <v/>
      </c>
      <c r="I2801" s="4" t="str">
        <v/>
      </c>
    </row>
    <row r="2802" spans="5:9" ht="16.5" hidden="1">
      <c r="E2802" s="4" t="str">
        <v/>
      </c>
      <c r="F2802" s="102" t="str">
        <f ca="1">IFERROR(__xludf.DUMMYFUNCTION("IMPORTRANGE(H2802,""IDENTITAS UNIT!D9"")"),"#N/A")</f>
        <v>#N/A</v>
      </c>
      <c r="H2802" s="4" t="str">
        <v/>
      </c>
      <c r="I2802" s="4" t="str">
        <v/>
      </c>
    </row>
    <row r="2803" spans="5:9" ht="16.5" hidden="1">
      <c r="E2803" s="4" t="str">
        <v/>
      </c>
      <c r="F2803" s="102" t="str">
        <f ca="1">IFERROR(__xludf.DUMMYFUNCTION("IMPORTRANGE(H2803,""IDENTITAS UNIT!D9"")"),"#N/A")</f>
        <v>#N/A</v>
      </c>
      <c r="H2803" s="4" t="str">
        <v/>
      </c>
      <c r="I2803" s="4" t="str">
        <v/>
      </c>
    </row>
    <row r="2804" spans="5:9" ht="16.5" hidden="1">
      <c r="E2804" s="4" t="str">
        <v/>
      </c>
      <c r="F2804" s="102" t="str">
        <f ca="1">IFERROR(__xludf.DUMMYFUNCTION("IMPORTRANGE(H2804,""IDENTITAS UNIT!D9"")"),"#N/A")</f>
        <v>#N/A</v>
      </c>
      <c r="H2804" s="4" t="str">
        <v/>
      </c>
      <c r="I2804" s="4" t="str">
        <v/>
      </c>
    </row>
    <row r="2805" spans="5:9" ht="16.5" hidden="1">
      <c r="E2805" s="4" t="str">
        <v/>
      </c>
      <c r="F2805" s="102" t="str">
        <f ca="1">IFERROR(__xludf.DUMMYFUNCTION("IMPORTRANGE(H2805,""IDENTITAS UNIT!D9"")"),"#N/A")</f>
        <v>#N/A</v>
      </c>
      <c r="H2805" s="4" t="str">
        <v/>
      </c>
      <c r="I2805" s="4" t="str">
        <v/>
      </c>
    </row>
    <row r="2806" spans="5:9" ht="16.5" hidden="1">
      <c r="E2806" s="4" t="str">
        <v/>
      </c>
      <c r="F2806" s="102" t="str">
        <f ca="1">IFERROR(__xludf.DUMMYFUNCTION("IMPORTRANGE(H2806,""IDENTITAS UNIT!D9"")"),"#N/A")</f>
        <v>#N/A</v>
      </c>
      <c r="H2806" s="4" t="str">
        <v/>
      </c>
      <c r="I2806" s="4" t="str">
        <v/>
      </c>
    </row>
    <row r="2807" spans="5:9" ht="16.5" hidden="1">
      <c r="E2807" s="4" t="str">
        <v/>
      </c>
      <c r="F2807" s="102" t="str">
        <f ca="1">IFERROR(__xludf.DUMMYFUNCTION("IMPORTRANGE(H2807,""IDENTITAS UNIT!D9"")"),"#N/A")</f>
        <v>#N/A</v>
      </c>
      <c r="H2807" s="4" t="str">
        <v/>
      </c>
      <c r="I2807" s="4" t="str">
        <v/>
      </c>
    </row>
    <row r="2808" spans="5:9" ht="16.5" hidden="1">
      <c r="E2808" s="4" t="str">
        <v/>
      </c>
      <c r="F2808" s="102" t="str">
        <f ca="1">IFERROR(__xludf.DUMMYFUNCTION("IMPORTRANGE(H2808,""IDENTITAS UNIT!D9"")"),"#N/A")</f>
        <v>#N/A</v>
      </c>
      <c r="H2808" s="4" t="str">
        <v/>
      </c>
      <c r="I2808" s="4" t="str">
        <v/>
      </c>
    </row>
    <row r="2809" spans="5:9" ht="16.5" hidden="1">
      <c r="E2809" s="4" t="str">
        <v/>
      </c>
      <c r="F2809" s="102" t="str">
        <f ca="1">IFERROR(__xludf.DUMMYFUNCTION("IMPORTRANGE(H2809,""IDENTITAS UNIT!D9"")"),"#N/A")</f>
        <v>#N/A</v>
      </c>
      <c r="H2809" s="4" t="str">
        <v/>
      </c>
      <c r="I2809" s="4" t="str">
        <v/>
      </c>
    </row>
    <row r="2810" spans="5:9" ht="16.5" hidden="1">
      <c r="E2810" s="4" t="str">
        <v/>
      </c>
      <c r="F2810" s="102" t="str">
        <f ca="1">IFERROR(__xludf.DUMMYFUNCTION("IMPORTRANGE(H2810,""IDENTITAS UNIT!D9"")"),"#N/A")</f>
        <v>#N/A</v>
      </c>
      <c r="H2810" s="4" t="str">
        <v/>
      </c>
      <c r="I2810" s="4" t="str">
        <v/>
      </c>
    </row>
    <row r="2811" spans="5:9" ht="16.5" hidden="1">
      <c r="E2811" s="4" t="str">
        <v/>
      </c>
      <c r="F2811" s="102" t="str">
        <f ca="1">IFERROR(__xludf.DUMMYFUNCTION("IMPORTRANGE(H2811,""IDENTITAS UNIT!D9"")"),"#N/A")</f>
        <v>#N/A</v>
      </c>
      <c r="H2811" s="4" t="str">
        <v/>
      </c>
      <c r="I2811" s="4" t="str">
        <v/>
      </c>
    </row>
    <row r="2812" spans="5:9" ht="16.5" hidden="1">
      <c r="E2812" s="4" t="str">
        <v/>
      </c>
      <c r="F2812" s="102" t="str">
        <f ca="1">IFERROR(__xludf.DUMMYFUNCTION("IMPORTRANGE(H2812,""IDENTITAS UNIT!D9"")"),"#N/A")</f>
        <v>#N/A</v>
      </c>
      <c r="H2812" s="4" t="str">
        <v/>
      </c>
      <c r="I2812" s="4" t="str">
        <v/>
      </c>
    </row>
    <row r="2813" spans="5:9" ht="16.5" hidden="1">
      <c r="E2813" s="4" t="str">
        <v/>
      </c>
      <c r="F2813" s="102" t="str">
        <f ca="1">IFERROR(__xludf.DUMMYFUNCTION("IMPORTRANGE(H2813,""IDENTITAS UNIT!D9"")"),"#N/A")</f>
        <v>#N/A</v>
      </c>
      <c r="H2813" s="4" t="str">
        <v/>
      </c>
      <c r="I2813" s="4" t="str">
        <v/>
      </c>
    </row>
    <row r="2814" spans="5:9" ht="16.5" hidden="1">
      <c r="E2814" s="4" t="str">
        <v/>
      </c>
      <c r="F2814" s="102" t="str">
        <f ca="1">IFERROR(__xludf.DUMMYFUNCTION("IMPORTRANGE(H2814,""IDENTITAS UNIT!D9"")"),"#N/A")</f>
        <v>#N/A</v>
      </c>
      <c r="H2814" s="4" t="str">
        <v/>
      </c>
      <c r="I2814" s="4" t="str">
        <v/>
      </c>
    </row>
    <row r="2815" spans="5:9" ht="16.5" hidden="1">
      <c r="E2815" s="4" t="str">
        <v/>
      </c>
      <c r="F2815" s="102" t="str">
        <f ca="1">IFERROR(__xludf.DUMMYFUNCTION("IMPORTRANGE(H2815,""IDENTITAS UNIT!D9"")"),"#N/A")</f>
        <v>#N/A</v>
      </c>
      <c r="H2815" s="4" t="str">
        <v/>
      </c>
      <c r="I2815" s="4" t="str">
        <v/>
      </c>
    </row>
    <row r="2816" spans="5:9" ht="16.5" hidden="1">
      <c r="E2816" s="4" t="str">
        <v/>
      </c>
      <c r="F2816" s="102" t="str">
        <f ca="1">IFERROR(__xludf.DUMMYFUNCTION("IMPORTRANGE(H2816,""IDENTITAS UNIT!D9"")"),"#N/A")</f>
        <v>#N/A</v>
      </c>
      <c r="H2816" s="4" t="str">
        <v/>
      </c>
      <c r="I2816" s="4" t="str">
        <v/>
      </c>
    </row>
    <row r="2817" spans="5:9" ht="16.5" hidden="1">
      <c r="E2817" s="4" t="str">
        <v/>
      </c>
      <c r="F2817" s="102" t="str">
        <f ca="1">IFERROR(__xludf.DUMMYFUNCTION("IMPORTRANGE(H2817,""IDENTITAS UNIT!D9"")"),"#N/A")</f>
        <v>#N/A</v>
      </c>
      <c r="H2817" s="4" t="str">
        <v/>
      </c>
      <c r="I2817" s="4" t="str">
        <v/>
      </c>
    </row>
    <row r="2818" spans="5:9" ht="16.5" hidden="1">
      <c r="E2818" s="4" t="str">
        <v/>
      </c>
      <c r="F2818" s="102" t="str">
        <f ca="1">IFERROR(__xludf.DUMMYFUNCTION("IMPORTRANGE(H2818,""IDENTITAS UNIT!D9"")"),"#N/A")</f>
        <v>#N/A</v>
      </c>
      <c r="H2818" s="4" t="str">
        <v/>
      </c>
      <c r="I2818" s="4" t="str">
        <v/>
      </c>
    </row>
    <row r="2819" spans="5:9" ht="16.5" hidden="1">
      <c r="E2819" s="4" t="str">
        <v/>
      </c>
      <c r="F2819" s="102" t="str">
        <f ca="1">IFERROR(__xludf.DUMMYFUNCTION("IMPORTRANGE(H2819,""IDENTITAS UNIT!D9"")"),"#N/A")</f>
        <v>#N/A</v>
      </c>
      <c r="H2819" s="4" t="str">
        <v/>
      </c>
      <c r="I2819" s="4" t="str">
        <v/>
      </c>
    </row>
    <row r="2820" spans="5:9" ht="16.5" hidden="1">
      <c r="E2820" s="4" t="str">
        <v/>
      </c>
      <c r="F2820" s="102" t="str">
        <f ca="1">IFERROR(__xludf.DUMMYFUNCTION("IMPORTRANGE(H2820,""IDENTITAS UNIT!D9"")"),"#N/A")</f>
        <v>#N/A</v>
      </c>
      <c r="H2820" s="4" t="str">
        <v/>
      </c>
      <c r="I2820" s="4" t="str">
        <v/>
      </c>
    </row>
    <row r="2821" spans="5:9" ht="16.5" hidden="1">
      <c r="E2821" s="4" t="str">
        <v/>
      </c>
      <c r="F2821" s="102" t="str">
        <f ca="1">IFERROR(__xludf.DUMMYFUNCTION("IMPORTRANGE(H2821,""IDENTITAS UNIT!D9"")"),"#N/A")</f>
        <v>#N/A</v>
      </c>
      <c r="H2821" s="4" t="str">
        <v/>
      </c>
      <c r="I2821" s="4" t="str">
        <v/>
      </c>
    </row>
    <row r="2822" spans="5:9" ht="16.5" hidden="1">
      <c r="E2822" s="4" t="str">
        <v/>
      </c>
      <c r="F2822" s="102" t="str">
        <f ca="1">IFERROR(__xludf.DUMMYFUNCTION("IMPORTRANGE(H2822,""IDENTITAS UNIT!D9"")"),"#N/A")</f>
        <v>#N/A</v>
      </c>
      <c r="H2822" s="4" t="str">
        <v/>
      </c>
      <c r="I2822" s="4" t="str">
        <v/>
      </c>
    </row>
    <row r="2823" spans="5:9" ht="16.5" hidden="1">
      <c r="E2823" s="4" t="str">
        <v/>
      </c>
      <c r="F2823" s="102" t="str">
        <f ca="1">IFERROR(__xludf.DUMMYFUNCTION("IMPORTRANGE(H2823,""IDENTITAS UNIT!D9"")"),"#N/A")</f>
        <v>#N/A</v>
      </c>
      <c r="H2823" s="4" t="str">
        <v/>
      </c>
      <c r="I2823" s="4" t="str">
        <v/>
      </c>
    </row>
    <row r="2824" spans="5:9" ht="16.5" hidden="1">
      <c r="E2824" s="4" t="str">
        <v/>
      </c>
      <c r="F2824" s="102" t="str">
        <f ca="1">IFERROR(__xludf.DUMMYFUNCTION("IMPORTRANGE(H2824,""IDENTITAS UNIT!D9"")"),"#N/A")</f>
        <v>#N/A</v>
      </c>
      <c r="H2824" s="4" t="str">
        <v/>
      </c>
      <c r="I2824" s="4" t="str">
        <v/>
      </c>
    </row>
    <row r="2825" spans="5:9" ht="16.5" hidden="1">
      <c r="E2825" s="4" t="str">
        <v/>
      </c>
      <c r="F2825" s="102" t="str">
        <f ca="1">IFERROR(__xludf.DUMMYFUNCTION("IMPORTRANGE(H2825,""IDENTITAS UNIT!D9"")"),"#N/A")</f>
        <v>#N/A</v>
      </c>
      <c r="H2825" s="4" t="str">
        <v/>
      </c>
      <c r="I2825" s="4" t="str">
        <v/>
      </c>
    </row>
    <row r="2826" spans="5:9" ht="16.5" hidden="1">
      <c r="E2826" s="4" t="str">
        <v/>
      </c>
      <c r="F2826" s="102" t="str">
        <f ca="1">IFERROR(__xludf.DUMMYFUNCTION("IMPORTRANGE(H2826,""IDENTITAS UNIT!D9"")"),"#N/A")</f>
        <v>#N/A</v>
      </c>
      <c r="H2826" s="4" t="str">
        <v/>
      </c>
      <c r="I2826" s="4" t="str">
        <v/>
      </c>
    </row>
    <row r="2827" spans="5:9" ht="16.5" hidden="1">
      <c r="E2827" s="4" t="str">
        <v/>
      </c>
      <c r="F2827" s="102" t="str">
        <f ca="1">IFERROR(__xludf.DUMMYFUNCTION("IMPORTRANGE(H2827,""IDENTITAS UNIT!D9"")"),"#N/A")</f>
        <v>#N/A</v>
      </c>
      <c r="H2827" s="4" t="str">
        <v/>
      </c>
      <c r="I2827" s="4" t="str">
        <v/>
      </c>
    </row>
    <row r="2828" spans="5:9" ht="16.5" hidden="1">
      <c r="E2828" s="4" t="str">
        <v/>
      </c>
      <c r="F2828" s="102" t="str">
        <f ca="1">IFERROR(__xludf.DUMMYFUNCTION("IMPORTRANGE(H2828,""IDENTITAS UNIT!D9"")"),"#N/A")</f>
        <v>#N/A</v>
      </c>
      <c r="H2828" s="4" t="str">
        <v/>
      </c>
      <c r="I2828" s="4" t="str">
        <v/>
      </c>
    </row>
    <row r="2829" spans="5:9" ht="16.5" hidden="1">
      <c r="E2829" s="4" t="str">
        <v/>
      </c>
      <c r="F2829" s="102" t="str">
        <f ca="1">IFERROR(__xludf.DUMMYFUNCTION("IMPORTRANGE(H2829,""IDENTITAS UNIT!D9"")"),"#N/A")</f>
        <v>#N/A</v>
      </c>
      <c r="H2829" s="4" t="str">
        <v/>
      </c>
      <c r="I2829" s="4" t="str">
        <v/>
      </c>
    </row>
    <row r="2830" spans="5:9" ht="16.5" hidden="1">
      <c r="E2830" s="4" t="str">
        <v/>
      </c>
      <c r="F2830" s="102" t="str">
        <f ca="1">IFERROR(__xludf.DUMMYFUNCTION("IMPORTRANGE(H2830,""IDENTITAS UNIT!D9"")"),"#N/A")</f>
        <v>#N/A</v>
      </c>
      <c r="H2830" s="4" t="str">
        <v/>
      </c>
      <c r="I2830" s="4" t="str">
        <v/>
      </c>
    </row>
    <row r="2831" spans="5:9" ht="16.5" hidden="1">
      <c r="E2831" s="4" t="str">
        <v/>
      </c>
      <c r="F2831" s="102" t="str">
        <f ca="1">IFERROR(__xludf.DUMMYFUNCTION("IMPORTRANGE(H2831,""IDENTITAS UNIT!D9"")"),"#N/A")</f>
        <v>#N/A</v>
      </c>
      <c r="H2831" s="4" t="str">
        <v/>
      </c>
      <c r="I2831" s="4" t="str">
        <v/>
      </c>
    </row>
    <row r="2832" spans="5:9" ht="16.5" hidden="1">
      <c r="E2832" s="4" t="str">
        <v/>
      </c>
      <c r="F2832" s="102" t="str">
        <f ca="1">IFERROR(__xludf.DUMMYFUNCTION("IMPORTRANGE(H2832,""IDENTITAS UNIT!D9"")"),"#N/A")</f>
        <v>#N/A</v>
      </c>
      <c r="H2832" s="4" t="str">
        <v/>
      </c>
      <c r="I2832" s="4" t="str">
        <v/>
      </c>
    </row>
    <row r="2833" spans="5:9" ht="16.5" hidden="1">
      <c r="E2833" s="4" t="str">
        <v/>
      </c>
      <c r="F2833" s="102" t="str">
        <f ca="1">IFERROR(__xludf.DUMMYFUNCTION("IMPORTRANGE(H2833,""IDENTITAS UNIT!D9"")"),"#N/A")</f>
        <v>#N/A</v>
      </c>
      <c r="H2833" s="4" t="str">
        <v/>
      </c>
      <c r="I2833" s="4" t="str">
        <v/>
      </c>
    </row>
    <row r="2834" spans="5:9" ht="16.5" hidden="1">
      <c r="E2834" s="4" t="str">
        <v/>
      </c>
      <c r="F2834" s="102" t="str">
        <f ca="1">IFERROR(__xludf.DUMMYFUNCTION("IMPORTRANGE(H2834,""IDENTITAS UNIT!D9"")"),"#N/A")</f>
        <v>#N/A</v>
      </c>
      <c r="H2834" s="4" t="str">
        <v/>
      </c>
      <c r="I2834" s="4" t="str">
        <v/>
      </c>
    </row>
    <row r="2835" spans="5:9" ht="16.5" hidden="1">
      <c r="E2835" s="4" t="str">
        <v/>
      </c>
      <c r="F2835" s="102" t="str">
        <f ca="1">IFERROR(__xludf.DUMMYFUNCTION("IMPORTRANGE(H2835,""IDENTITAS UNIT!D9"")"),"#N/A")</f>
        <v>#N/A</v>
      </c>
      <c r="H2835" s="4" t="str">
        <v/>
      </c>
      <c r="I2835" s="4" t="str">
        <v/>
      </c>
    </row>
    <row r="2836" spans="5:9" ht="16.5" hidden="1">
      <c r="E2836" s="4" t="str">
        <v/>
      </c>
      <c r="F2836" s="102" t="str">
        <f ca="1">IFERROR(__xludf.DUMMYFUNCTION("IMPORTRANGE(H2836,""IDENTITAS UNIT!D9"")"),"#N/A")</f>
        <v>#N/A</v>
      </c>
      <c r="H2836" s="4" t="str">
        <v/>
      </c>
      <c r="I2836" s="4" t="str">
        <v/>
      </c>
    </row>
    <row r="2837" spans="5:9" ht="16.5" hidden="1">
      <c r="E2837" s="4" t="str">
        <v/>
      </c>
      <c r="F2837" s="102" t="str">
        <f ca="1">IFERROR(__xludf.DUMMYFUNCTION("IMPORTRANGE(H2837,""IDENTITAS UNIT!D9"")"),"#N/A")</f>
        <v>#N/A</v>
      </c>
      <c r="H2837" s="4" t="str">
        <v/>
      </c>
      <c r="I2837" s="4" t="str">
        <v/>
      </c>
    </row>
    <row r="2838" spans="5:9" ht="16.5" hidden="1">
      <c r="E2838" s="4" t="str">
        <v/>
      </c>
      <c r="F2838" s="102" t="str">
        <f ca="1">IFERROR(__xludf.DUMMYFUNCTION("IMPORTRANGE(H2838,""IDENTITAS UNIT!D9"")"),"#N/A")</f>
        <v>#N/A</v>
      </c>
      <c r="H2838" s="4" t="str">
        <v/>
      </c>
      <c r="I2838" s="4" t="str">
        <v/>
      </c>
    </row>
    <row r="2839" spans="5:9" ht="16.5" hidden="1">
      <c r="E2839" s="4" t="str">
        <v/>
      </c>
      <c r="F2839" s="102" t="str">
        <f ca="1">IFERROR(__xludf.DUMMYFUNCTION("IMPORTRANGE(H2839,""IDENTITAS UNIT!D9"")"),"#N/A")</f>
        <v>#N/A</v>
      </c>
      <c r="H2839" s="4" t="str">
        <v/>
      </c>
      <c r="I2839" s="4" t="str">
        <v/>
      </c>
    </row>
    <row r="2840" spans="5:9" ht="16.5" hidden="1">
      <c r="E2840" s="4" t="str">
        <v/>
      </c>
      <c r="F2840" s="102" t="str">
        <f ca="1">IFERROR(__xludf.DUMMYFUNCTION("IMPORTRANGE(H2840,""IDENTITAS UNIT!D9"")"),"#N/A")</f>
        <v>#N/A</v>
      </c>
      <c r="H2840" s="4" t="str">
        <v/>
      </c>
      <c r="I2840" s="4" t="str">
        <v/>
      </c>
    </row>
    <row r="2841" spans="5:9" ht="16.5" hidden="1">
      <c r="E2841" s="4" t="str">
        <v/>
      </c>
      <c r="F2841" s="102" t="str">
        <f ca="1">IFERROR(__xludf.DUMMYFUNCTION("IMPORTRANGE(H2841,""IDENTITAS UNIT!D9"")"),"#N/A")</f>
        <v>#N/A</v>
      </c>
      <c r="H2841" s="4" t="str">
        <v/>
      </c>
      <c r="I2841" s="4" t="str">
        <v/>
      </c>
    </row>
    <row r="2842" spans="5:9" ht="16.5" hidden="1">
      <c r="E2842" s="4" t="str">
        <v/>
      </c>
      <c r="F2842" s="102" t="str">
        <f ca="1">IFERROR(__xludf.DUMMYFUNCTION("IMPORTRANGE(H2842,""IDENTITAS UNIT!D9"")"),"#N/A")</f>
        <v>#N/A</v>
      </c>
      <c r="H2842" s="4" t="str">
        <v/>
      </c>
      <c r="I2842" s="4" t="str">
        <v/>
      </c>
    </row>
    <row r="2843" spans="5:9" ht="16.5" hidden="1">
      <c r="E2843" s="4" t="str">
        <v/>
      </c>
      <c r="F2843" s="102" t="str">
        <f ca="1">IFERROR(__xludf.DUMMYFUNCTION("IMPORTRANGE(H2843,""IDENTITAS UNIT!D9"")"),"#N/A")</f>
        <v>#N/A</v>
      </c>
      <c r="H2843" s="4" t="str">
        <v/>
      </c>
      <c r="I2843" s="4" t="str">
        <v/>
      </c>
    </row>
    <row r="2844" spans="5:9" ht="16.5" hidden="1">
      <c r="E2844" s="4" t="str">
        <v/>
      </c>
      <c r="F2844" s="102" t="str">
        <f ca="1">IFERROR(__xludf.DUMMYFUNCTION("IMPORTRANGE(H2844,""IDENTITAS UNIT!D9"")"),"#N/A")</f>
        <v>#N/A</v>
      </c>
      <c r="H2844" s="4" t="str">
        <v/>
      </c>
      <c r="I2844" s="4" t="str">
        <v/>
      </c>
    </row>
    <row r="2845" spans="5:9" ht="16.5" hidden="1">
      <c r="E2845" s="4" t="str">
        <v/>
      </c>
      <c r="F2845" s="102" t="str">
        <f ca="1">IFERROR(__xludf.DUMMYFUNCTION("IMPORTRANGE(H2845,""IDENTITAS UNIT!D9"")"),"#N/A")</f>
        <v>#N/A</v>
      </c>
      <c r="H2845" s="4" t="str">
        <v/>
      </c>
      <c r="I2845" s="4" t="str">
        <v/>
      </c>
    </row>
    <row r="2846" spans="5:9" ht="16.5" hidden="1">
      <c r="E2846" s="4" t="str">
        <v/>
      </c>
      <c r="F2846" s="102" t="str">
        <f ca="1">IFERROR(__xludf.DUMMYFUNCTION("IMPORTRANGE(H2846,""IDENTITAS UNIT!D9"")"),"#N/A")</f>
        <v>#N/A</v>
      </c>
      <c r="H2846" s="4" t="str">
        <v/>
      </c>
      <c r="I2846" s="4" t="str">
        <v/>
      </c>
    </row>
    <row r="2847" spans="5:9" ht="16.5" hidden="1">
      <c r="E2847" s="4" t="str">
        <v/>
      </c>
      <c r="F2847" s="102" t="str">
        <f ca="1">IFERROR(__xludf.DUMMYFUNCTION("IMPORTRANGE(H2847,""IDENTITAS UNIT!D9"")"),"#N/A")</f>
        <v>#N/A</v>
      </c>
      <c r="H2847" s="4" t="str">
        <v/>
      </c>
      <c r="I2847" s="4" t="str">
        <v/>
      </c>
    </row>
    <row r="2848" spans="5:9" ht="16.5" hidden="1">
      <c r="E2848" s="4" t="str">
        <v/>
      </c>
      <c r="F2848" s="102" t="str">
        <f ca="1">IFERROR(__xludf.DUMMYFUNCTION("IMPORTRANGE(H2848,""IDENTITAS UNIT!D9"")"),"#N/A")</f>
        <v>#N/A</v>
      </c>
      <c r="H2848" s="4" t="str">
        <v/>
      </c>
      <c r="I2848" s="4" t="str">
        <v/>
      </c>
    </row>
    <row r="2849" spans="5:9" ht="16.5" hidden="1">
      <c r="E2849" s="4" t="str">
        <v/>
      </c>
      <c r="F2849" s="102" t="str">
        <f ca="1">IFERROR(__xludf.DUMMYFUNCTION("IMPORTRANGE(H2849,""IDENTITAS UNIT!D9"")"),"#N/A")</f>
        <v>#N/A</v>
      </c>
      <c r="H2849" s="4" t="str">
        <v/>
      </c>
      <c r="I2849" s="4" t="str">
        <v/>
      </c>
    </row>
    <row r="2850" spans="5:9" ht="16.5" hidden="1">
      <c r="E2850" s="4" t="str">
        <v/>
      </c>
      <c r="F2850" s="102" t="str">
        <f ca="1">IFERROR(__xludf.DUMMYFUNCTION("IMPORTRANGE(H2850,""IDENTITAS UNIT!D9"")"),"#N/A")</f>
        <v>#N/A</v>
      </c>
      <c r="H2850" s="4" t="str">
        <v/>
      </c>
      <c r="I2850" s="4" t="str">
        <v/>
      </c>
    </row>
    <row r="2851" spans="5:9" ht="16.5" hidden="1">
      <c r="E2851" s="4" t="str">
        <v/>
      </c>
      <c r="F2851" s="102" t="str">
        <f ca="1">IFERROR(__xludf.DUMMYFUNCTION("IMPORTRANGE(H2851,""IDENTITAS UNIT!D9"")"),"#N/A")</f>
        <v>#N/A</v>
      </c>
      <c r="H2851" s="4" t="str">
        <v/>
      </c>
      <c r="I2851" s="4" t="str">
        <v/>
      </c>
    </row>
    <row r="2852" spans="5:9" ht="16.5" hidden="1">
      <c r="E2852" s="4" t="str">
        <v/>
      </c>
      <c r="F2852" s="102" t="str">
        <f ca="1">IFERROR(__xludf.DUMMYFUNCTION("IMPORTRANGE(H2852,""IDENTITAS UNIT!D9"")"),"#N/A")</f>
        <v>#N/A</v>
      </c>
      <c r="H2852" s="4" t="str">
        <v/>
      </c>
      <c r="I2852" s="4" t="str">
        <v/>
      </c>
    </row>
    <row r="2853" spans="5:9" ht="16.5" hidden="1">
      <c r="E2853" s="4" t="str">
        <v/>
      </c>
      <c r="F2853" s="102" t="str">
        <f ca="1">IFERROR(__xludf.DUMMYFUNCTION("IMPORTRANGE(H2853,""IDENTITAS UNIT!D9"")"),"#N/A")</f>
        <v>#N/A</v>
      </c>
      <c r="H2853" s="4" t="str">
        <v/>
      </c>
      <c r="I2853" s="4" t="str">
        <v/>
      </c>
    </row>
    <row r="2854" spans="5:9" ht="16.5" hidden="1">
      <c r="E2854" s="4" t="str">
        <v/>
      </c>
      <c r="F2854" s="102" t="str">
        <f ca="1">IFERROR(__xludf.DUMMYFUNCTION("IMPORTRANGE(H2854,""IDENTITAS UNIT!D9"")"),"#N/A")</f>
        <v>#N/A</v>
      </c>
      <c r="H2854" s="4" t="str">
        <v/>
      </c>
      <c r="I2854" s="4" t="str">
        <v/>
      </c>
    </row>
    <row r="2855" spans="5:9" ht="16.5" hidden="1">
      <c r="E2855" s="4" t="str">
        <v/>
      </c>
      <c r="F2855" s="102" t="str">
        <f ca="1">IFERROR(__xludf.DUMMYFUNCTION("IMPORTRANGE(H2855,""IDENTITAS UNIT!D9"")"),"#N/A")</f>
        <v>#N/A</v>
      </c>
      <c r="H2855" s="4" t="str">
        <v/>
      </c>
      <c r="I2855" s="4" t="str">
        <v/>
      </c>
    </row>
    <row r="2856" spans="5:9" ht="16.5" hidden="1">
      <c r="E2856" s="4" t="str">
        <v/>
      </c>
      <c r="F2856" s="102" t="str">
        <f ca="1">IFERROR(__xludf.DUMMYFUNCTION("IMPORTRANGE(H2856,""IDENTITAS UNIT!D9"")"),"#N/A")</f>
        <v>#N/A</v>
      </c>
      <c r="H2856" s="4" t="str">
        <v/>
      </c>
      <c r="I2856" s="4" t="str">
        <v/>
      </c>
    </row>
    <row r="2857" spans="5:9" ht="16.5" hidden="1">
      <c r="E2857" s="4" t="str">
        <v/>
      </c>
      <c r="F2857" s="102" t="str">
        <f ca="1">IFERROR(__xludf.DUMMYFUNCTION("IMPORTRANGE(H2857,""IDENTITAS UNIT!D9"")"),"#N/A")</f>
        <v>#N/A</v>
      </c>
      <c r="H2857" s="4" t="str">
        <v/>
      </c>
      <c r="I2857" s="4" t="str">
        <v/>
      </c>
    </row>
    <row r="2858" spans="5:9" ht="16.5" hidden="1">
      <c r="E2858" s="4" t="str">
        <v/>
      </c>
      <c r="F2858" s="102" t="str">
        <f ca="1">IFERROR(__xludf.DUMMYFUNCTION("IMPORTRANGE(H2858,""IDENTITAS UNIT!D9"")"),"#N/A")</f>
        <v>#N/A</v>
      </c>
      <c r="H2858" s="4" t="str">
        <v/>
      </c>
      <c r="I2858" s="4" t="str">
        <v/>
      </c>
    </row>
    <row r="2859" spans="5:9" ht="16.5" hidden="1">
      <c r="E2859" s="4" t="str">
        <v/>
      </c>
      <c r="F2859" s="102" t="str">
        <f ca="1">IFERROR(__xludf.DUMMYFUNCTION("IMPORTRANGE(H2859,""IDENTITAS UNIT!D9"")"),"#N/A")</f>
        <v>#N/A</v>
      </c>
      <c r="H2859" s="4" t="str">
        <v/>
      </c>
      <c r="I2859" s="4" t="str">
        <v/>
      </c>
    </row>
    <row r="2860" spans="5:9" ht="16.5" hidden="1">
      <c r="E2860" s="4" t="str">
        <v/>
      </c>
      <c r="F2860" s="102" t="str">
        <f ca="1">IFERROR(__xludf.DUMMYFUNCTION("IMPORTRANGE(H2860,""IDENTITAS UNIT!D9"")"),"#N/A")</f>
        <v>#N/A</v>
      </c>
      <c r="H2860" s="4" t="str">
        <v/>
      </c>
      <c r="I2860" s="4" t="str">
        <v/>
      </c>
    </row>
    <row r="2861" spans="5:9" ht="16.5" hidden="1">
      <c r="E2861" s="4" t="str">
        <v/>
      </c>
      <c r="F2861" s="102" t="str">
        <f ca="1">IFERROR(__xludf.DUMMYFUNCTION("IMPORTRANGE(H2861,""IDENTITAS UNIT!D9"")"),"#N/A")</f>
        <v>#N/A</v>
      </c>
      <c r="H2861" s="4" t="str">
        <v/>
      </c>
      <c r="I2861" s="4" t="str">
        <v/>
      </c>
    </row>
    <row r="2862" spans="5:9" ht="16.5" hidden="1">
      <c r="E2862" s="4" t="str">
        <v/>
      </c>
      <c r="F2862" s="102" t="str">
        <f ca="1">IFERROR(__xludf.DUMMYFUNCTION("IMPORTRANGE(H2862,""IDENTITAS UNIT!D9"")"),"#N/A")</f>
        <v>#N/A</v>
      </c>
      <c r="H2862" s="4" t="str">
        <v/>
      </c>
      <c r="I2862" s="4" t="str">
        <v/>
      </c>
    </row>
    <row r="2863" spans="5:9" ht="16.5" hidden="1">
      <c r="E2863" s="4" t="str">
        <v/>
      </c>
      <c r="F2863" s="102" t="str">
        <f ca="1">IFERROR(__xludf.DUMMYFUNCTION("IMPORTRANGE(H2863,""IDENTITAS UNIT!D9"")"),"#N/A")</f>
        <v>#N/A</v>
      </c>
      <c r="H2863" s="4" t="str">
        <v/>
      </c>
      <c r="I2863" s="4" t="str">
        <v/>
      </c>
    </row>
    <row r="2864" spans="5:9" ht="16.5" hidden="1">
      <c r="E2864" s="4" t="str">
        <v/>
      </c>
      <c r="F2864" s="102" t="str">
        <f ca="1">IFERROR(__xludf.DUMMYFUNCTION("IMPORTRANGE(H2864,""IDENTITAS UNIT!D9"")"),"#N/A")</f>
        <v>#N/A</v>
      </c>
      <c r="H2864" s="4" t="str">
        <v/>
      </c>
      <c r="I2864" s="4" t="str">
        <v/>
      </c>
    </row>
    <row r="2865" spans="5:9" ht="16.5" hidden="1">
      <c r="E2865" s="4" t="str">
        <v/>
      </c>
      <c r="F2865" s="102" t="str">
        <f ca="1">IFERROR(__xludf.DUMMYFUNCTION("IMPORTRANGE(H2865,""IDENTITAS UNIT!D9"")"),"#N/A")</f>
        <v>#N/A</v>
      </c>
      <c r="H2865" s="4" t="str">
        <v/>
      </c>
      <c r="I2865" s="4" t="str">
        <v/>
      </c>
    </row>
    <row r="2866" spans="5:9" ht="16.5" hidden="1">
      <c r="E2866" s="4" t="str">
        <v/>
      </c>
      <c r="F2866" s="102" t="str">
        <f ca="1">IFERROR(__xludf.DUMMYFUNCTION("IMPORTRANGE(H2866,""IDENTITAS UNIT!D9"")"),"#N/A")</f>
        <v>#N/A</v>
      </c>
      <c r="H2866" s="4" t="str">
        <v/>
      </c>
      <c r="I2866" s="4" t="str">
        <v/>
      </c>
    </row>
    <row r="2867" spans="5:9" ht="16.5" hidden="1">
      <c r="E2867" s="4" t="str">
        <v/>
      </c>
      <c r="F2867" s="102" t="str">
        <f ca="1">IFERROR(__xludf.DUMMYFUNCTION("IMPORTRANGE(H2867,""IDENTITAS UNIT!D9"")"),"#N/A")</f>
        <v>#N/A</v>
      </c>
      <c r="H2867" s="4" t="str">
        <v/>
      </c>
      <c r="I2867" s="4" t="str">
        <v/>
      </c>
    </row>
    <row r="2868" spans="5:9" ht="16.5" hidden="1">
      <c r="E2868" s="4" t="str">
        <v/>
      </c>
      <c r="F2868" s="102" t="str">
        <f ca="1">IFERROR(__xludf.DUMMYFUNCTION("IMPORTRANGE(H2868,""IDENTITAS UNIT!D9"")"),"#N/A")</f>
        <v>#N/A</v>
      </c>
      <c r="H2868" s="4" t="str">
        <v/>
      </c>
      <c r="I2868" s="4" t="str">
        <v/>
      </c>
    </row>
    <row r="2869" spans="5:9" ht="16.5" hidden="1">
      <c r="E2869" s="4" t="str">
        <v/>
      </c>
      <c r="F2869" s="102" t="str">
        <f ca="1">IFERROR(__xludf.DUMMYFUNCTION("IMPORTRANGE(H2869,""IDENTITAS UNIT!D9"")"),"#N/A")</f>
        <v>#N/A</v>
      </c>
      <c r="H2869" s="4" t="str">
        <v/>
      </c>
      <c r="I2869" s="4" t="str">
        <v/>
      </c>
    </row>
    <row r="2870" spans="5:9" ht="16.5" hidden="1">
      <c r="E2870" s="4" t="str">
        <v/>
      </c>
      <c r="F2870" s="102" t="str">
        <f ca="1">IFERROR(__xludf.DUMMYFUNCTION("IMPORTRANGE(H2870,""IDENTITAS UNIT!D9"")"),"#N/A")</f>
        <v>#N/A</v>
      </c>
      <c r="H2870" s="4" t="str">
        <v/>
      </c>
      <c r="I2870" s="4" t="str">
        <v/>
      </c>
    </row>
    <row r="2871" spans="5:9" ht="16.5" hidden="1">
      <c r="E2871" s="4" t="str">
        <v/>
      </c>
      <c r="F2871" s="102" t="str">
        <f ca="1">IFERROR(__xludf.DUMMYFUNCTION("IMPORTRANGE(H2871,""IDENTITAS UNIT!D9"")"),"#N/A")</f>
        <v>#N/A</v>
      </c>
      <c r="H2871" s="4" t="str">
        <v/>
      </c>
      <c r="I2871" s="4" t="str">
        <v/>
      </c>
    </row>
    <row r="2872" spans="5:9" ht="16.5" hidden="1">
      <c r="E2872" s="4" t="str">
        <v/>
      </c>
      <c r="F2872" s="102" t="str">
        <f ca="1">IFERROR(__xludf.DUMMYFUNCTION("IMPORTRANGE(H2872,""IDENTITAS UNIT!D9"")"),"#N/A")</f>
        <v>#N/A</v>
      </c>
      <c r="H2872" s="4" t="str">
        <v/>
      </c>
      <c r="I2872" s="4" t="str">
        <v/>
      </c>
    </row>
    <row r="2873" spans="5:9" ht="16.5" hidden="1">
      <c r="E2873" s="4" t="str">
        <v/>
      </c>
      <c r="F2873" s="102" t="str">
        <f ca="1">IFERROR(__xludf.DUMMYFUNCTION("IMPORTRANGE(H2873,""IDENTITAS UNIT!D9"")"),"#N/A")</f>
        <v>#N/A</v>
      </c>
      <c r="H2873" s="4" t="str">
        <v/>
      </c>
      <c r="I2873" s="4" t="str">
        <v/>
      </c>
    </row>
    <row r="2874" spans="5:9" ht="16.5" hidden="1">
      <c r="E2874" s="4" t="str">
        <v/>
      </c>
      <c r="F2874" s="102" t="str">
        <f ca="1">IFERROR(__xludf.DUMMYFUNCTION("IMPORTRANGE(H2874,""IDENTITAS UNIT!D9"")"),"#N/A")</f>
        <v>#N/A</v>
      </c>
      <c r="H2874" s="4" t="str">
        <v/>
      </c>
      <c r="I2874" s="4" t="str">
        <v/>
      </c>
    </row>
    <row r="2875" spans="5:9" ht="16.5" hidden="1">
      <c r="E2875" s="4" t="str">
        <v/>
      </c>
      <c r="F2875" s="102" t="str">
        <f ca="1">IFERROR(__xludf.DUMMYFUNCTION("IMPORTRANGE(H2875,""IDENTITAS UNIT!D9"")"),"#N/A")</f>
        <v>#N/A</v>
      </c>
      <c r="H2875" s="4" t="str">
        <v/>
      </c>
      <c r="I2875" s="4" t="str">
        <v/>
      </c>
    </row>
    <row r="2876" spans="5:9" ht="16.5" hidden="1">
      <c r="E2876" s="4" t="str">
        <v/>
      </c>
      <c r="F2876" s="102" t="str">
        <f ca="1">IFERROR(__xludf.DUMMYFUNCTION("IMPORTRANGE(H2876,""IDENTITAS UNIT!D9"")"),"#N/A")</f>
        <v>#N/A</v>
      </c>
      <c r="H2876" s="4" t="str">
        <v/>
      </c>
      <c r="I2876" s="4" t="str">
        <v/>
      </c>
    </row>
    <row r="2877" spans="5:9" ht="16.5" hidden="1">
      <c r="E2877" s="4" t="str">
        <v/>
      </c>
      <c r="F2877" s="102" t="str">
        <f ca="1">IFERROR(__xludf.DUMMYFUNCTION("IMPORTRANGE(H2877,""IDENTITAS UNIT!D9"")"),"#N/A")</f>
        <v>#N/A</v>
      </c>
      <c r="H2877" s="4" t="str">
        <v/>
      </c>
      <c r="I2877" s="4" t="str">
        <v/>
      </c>
    </row>
    <row r="2878" spans="5:9" ht="16.5" hidden="1">
      <c r="E2878" s="4" t="str">
        <v/>
      </c>
      <c r="F2878" s="102" t="str">
        <f ca="1">IFERROR(__xludf.DUMMYFUNCTION("IMPORTRANGE(H2878,""IDENTITAS UNIT!D9"")"),"#N/A")</f>
        <v>#N/A</v>
      </c>
      <c r="H2878" s="4" t="str">
        <v/>
      </c>
      <c r="I2878" s="4" t="str">
        <v/>
      </c>
    </row>
    <row r="2879" spans="5:9" ht="16.5" hidden="1">
      <c r="E2879" s="4" t="str">
        <v/>
      </c>
      <c r="F2879" s="102" t="str">
        <f ca="1">IFERROR(__xludf.DUMMYFUNCTION("IMPORTRANGE(H2879,""IDENTITAS UNIT!D9"")"),"#N/A")</f>
        <v>#N/A</v>
      </c>
      <c r="H2879" s="4" t="str">
        <v/>
      </c>
      <c r="I2879" s="4" t="str">
        <v/>
      </c>
    </row>
    <row r="2880" spans="5:9" ht="16.5" hidden="1">
      <c r="E2880" s="4" t="str">
        <v/>
      </c>
      <c r="F2880" s="102" t="str">
        <f ca="1">IFERROR(__xludf.DUMMYFUNCTION("IMPORTRANGE(H2880,""IDENTITAS UNIT!D9"")"),"#N/A")</f>
        <v>#N/A</v>
      </c>
      <c r="H2880" s="4" t="str">
        <v/>
      </c>
      <c r="I2880" s="4" t="str">
        <v/>
      </c>
    </row>
    <row r="2881" spans="5:9" ht="16.5" hidden="1">
      <c r="E2881" s="4" t="str">
        <v/>
      </c>
      <c r="F2881" s="102" t="str">
        <f ca="1">IFERROR(__xludf.DUMMYFUNCTION("IMPORTRANGE(H2881,""IDENTITAS UNIT!D9"")"),"#N/A")</f>
        <v>#N/A</v>
      </c>
      <c r="H2881" s="4" t="str">
        <v/>
      </c>
      <c r="I2881" s="4" t="str">
        <v/>
      </c>
    </row>
    <row r="2882" spans="5:9" ht="16.5" hidden="1">
      <c r="E2882" s="4" t="str">
        <v/>
      </c>
      <c r="F2882" s="102" t="str">
        <f ca="1">IFERROR(__xludf.DUMMYFUNCTION("IMPORTRANGE(H2882,""IDENTITAS UNIT!D9"")"),"#N/A")</f>
        <v>#N/A</v>
      </c>
      <c r="H2882" s="4" t="str">
        <v/>
      </c>
      <c r="I2882" s="4" t="str">
        <v/>
      </c>
    </row>
    <row r="2883" spans="5:9" ht="16.5" hidden="1">
      <c r="E2883" s="4" t="str">
        <v/>
      </c>
      <c r="F2883" s="102" t="str">
        <f ca="1">IFERROR(__xludf.DUMMYFUNCTION("IMPORTRANGE(H2883,""IDENTITAS UNIT!D9"")"),"#N/A")</f>
        <v>#N/A</v>
      </c>
      <c r="H2883" s="4" t="str">
        <v/>
      </c>
      <c r="I2883" s="4" t="str">
        <v/>
      </c>
    </row>
    <row r="2884" spans="5:9" ht="16.5" hidden="1">
      <c r="E2884" s="4" t="str">
        <v/>
      </c>
      <c r="F2884" s="102" t="str">
        <f ca="1">IFERROR(__xludf.DUMMYFUNCTION("IMPORTRANGE(H2884,""IDENTITAS UNIT!D9"")"),"#N/A")</f>
        <v>#N/A</v>
      </c>
      <c r="H2884" s="4" t="str">
        <v/>
      </c>
      <c r="I2884" s="4" t="str">
        <v/>
      </c>
    </row>
    <row r="2885" spans="5:9" ht="16.5" hidden="1">
      <c r="E2885" s="4" t="str">
        <v/>
      </c>
      <c r="F2885" s="102" t="str">
        <f ca="1">IFERROR(__xludf.DUMMYFUNCTION("IMPORTRANGE(H2885,""IDENTITAS UNIT!D9"")"),"#N/A")</f>
        <v>#N/A</v>
      </c>
      <c r="H2885" s="4" t="str">
        <v/>
      </c>
      <c r="I2885" s="4" t="str">
        <v/>
      </c>
    </row>
    <row r="2886" spans="5:9" ht="16.5" hidden="1">
      <c r="E2886" s="4" t="str">
        <v/>
      </c>
      <c r="F2886" s="102" t="str">
        <f ca="1">IFERROR(__xludf.DUMMYFUNCTION("IMPORTRANGE(H2886,""IDENTITAS UNIT!D9"")"),"#N/A")</f>
        <v>#N/A</v>
      </c>
      <c r="H2886" s="4" t="str">
        <v/>
      </c>
      <c r="I2886" s="4" t="str">
        <v/>
      </c>
    </row>
    <row r="2887" spans="5:9" ht="16.5" hidden="1">
      <c r="E2887" s="4" t="str">
        <v/>
      </c>
      <c r="F2887" s="102" t="str">
        <f ca="1">IFERROR(__xludf.DUMMYFUNCTION("IMPORTRANGE(H2887,""IDENTITAS UNIT!D9"")"),"#N/A")</f>
        <v>#N/A</v>
      </c>
      <c r="H2887" s="4" t="str">
        <v/>
      </c>
      <c r="I2887" s="4" t="str">
        <v/>
      </c>
    </row>
    <row r="2888" spans="5:9" ht="16.5" hidden="1">
      <c r="E2888" s="4" t="str">
        <v/>
      </c>
      <c r="F2888" s="102" t="str">
        <f ca="1">IFERROR(__xludf.DUMMYFUNCTION("IMPORTRANGE(H2888,""IDENTITAS UNIT!D9"")"),"#N/A")</f>
        <v>#N/A</v>
      </c>
      <c r="H2888" s="4" t="str">
        <v/>
      </c>
      <c r="I2888" s="4" t="str">
        <v/>
      </c>
    </row>
    <row r="2889" spans="5:9" ht="16.5" hidden="1">
      <c r="E2889" s="4" t="str">
        <v/>
      </c>
      <c r="F2889" s="102" t="str">
        <f ca="1">IFERROR(__xludf.DUMMYFUNCTION("IMPORTRANGE(H2889,""IDENTITAS UNIT!D9"")"),"#N/A")</f>
        <v>#N/A</v>
      </c>
      <c r="H2889" s="4" t="str">
        <v/>
      </c>
      <c r="I2889" s="4" t="str">
        <v/>
      </c>
    </row>
    <row r="2890" spans="5:9" ht="16.5" hidden="1">
      <c r="E2890" s="4" t="str">
        <v/>
      </c>
      <c r="F2890" s="102" t="str">
        <f ca="1">IFERROR(__xludf.DUMMYFUNCTION("IMPORTRANGE(H2890,""IDENTITAS UNIT!D9"")"),"#N/A")</f>
        <v>#N/A</v>
      </c>
      <c r="H2890" s="4" t="str">
        <v/>
      </c>
      <c r="I2890" s="4" t="str">
        <v/>
      </c>
    </row>
    <row r="2891" spans="5:9" ht="16.5" hidden="1">
      <c r="E2891" s="4" t="str">
        <v/>
      </c>
      <c r="F2891" s="102" t="str">
        <f ca="1">IFERROR(__xludf.DUMMYFUNCTION("IMPORTRANGE(H2891,""IDENTITAS UNIT!D9"")"),"#N/A")</f>
        <v>#N/A</v>
      </c>
      <c r="H2891" s="4" t="str">
        <v/>
      </c>
      <c r="I2891" s="4" t="str">
        <v/>
      </c>
    </row>
    <row r="2892" spans="5:9" ht="16.5" hidden="1">
      <c r="E2892" s="4" t="str">
        <v/>
      </c>
      <c r="F2892" s="102" t="str">
        <f ca="1">IFERROR(__xludf.DUMMYFUNCTION("IMPORTRANGE(H2892,""IDENTITAS UNIT!D9"")"),"#N/A")</f>
        <v>#N/A</v>
      </c>
      <c r="H2892" s="4" t="str">
        <v/>
      </c>
      <c r="I2892" s="4" t="str">
        <v/>
      </c>
    </row>
    <row r="2893" spans="5:9" ht="16.5" hidden="1">
      <c r="E2893" s="4" t="str">
        <v/>
      </c>
      <c r="F2893" s="102" t="str">
        <f ca="1">IFERROR(__xludf.DUMMYFUNCTION("IMPORTRANGE(H2893,""IDENTITAS UNIT!D9"")"),"#N/A")</f>
        <v>#N/A</v>
      </c>
      <c r="H2893" s="4" t="str">
        <v/>
      </c>
      <c r="I2893" s="4" t="str">
        <v/>
      </c>
    </row>
    <row r="2894" spans="5:9" ht="16.5" hidden="1">
      <c r="E2894" s="4" t="str">
        <v/>
      </c>
      <c r="F2894" s="102" t="str">
        <f ca="1">IFERROR(__xludf.DUMMYFUNCTION("IMPORTRANGE(H2894,""IDENTITAS UNIT!D9"")"),"#N/A")</f>
        <v>#N/A</v>
      </c>
      <c r="H2894" s="4" t="str">
        <v/>
      </c>
      <c r="I2894" s="4" t="str">
        <v/>
      </c>
    </row>
    <row r="2895" spans="5:9" ht="16.5" hidden="1">
      <c r="E2895" s="4" t="str">
        <v/>
      </c>
      <c r="F2895" s="102" t="str">
        <f ca="1">IFERROR(__xludf.DUMMYFUNCTION("IMPORTRANGE(H2895,""IDENTITAS UNIT!D9"")"),"#N/A")</f>
        <v>#N/A</v>
      </c>
      <c r="H2895" s="4" t="str">
        <v/>
      </c>
      <c r="I2895" s="4" t="str">
        <v/>
      </c>
    </row>
    <row r="2896" spans="5:9" ht="16.5" hidden="1">
      <c r="E2896" s="4" t="str">
        <v/>
      </c>
      <c r="F2896" s="102" t="str">
        <f ca="1">IFERROR(__xludf.DUMMYFUNCTION("IMPORTRANGE(H2896,""IDENTITAS UNIT!D9"")"),"#N/A")</f>
        <v>#N/A</v>
      </c>
      <c r="H2896" s="4" t="str">
        <v/>
      </c>
      <c r="I2896" s="4" t="str">
        <v/>
      </c>
    </row>
    <row r="2897" spans="5:9" ht="16.5" hidden="1">
      <c r="E2897" s="4" t="str">
        <v/>
      </c>
      <c r="F2897" s="102" t="str">
        <f ca="1">IFERROR(__xludf.DUMMYFUNCTION("IMPORTRANGE(H2897,""IDENTITAS UNIT!D9"")"),"#N/A")</f>
        <v>#N/A</v>
      </c>
      <c r="H2897" s="4" t="str">
        <v/>
      </c>
      <c r="I2897" s="4" t="str">
        <v/>
      </c>
    </row>
    <row r="2898" spans="5:9" ht="16.5" hidden="1">
      <c r="E2898" s="4" t="str">
        <v/>
      </c>
      <c r="F2898" s="102" t="str">
        <f ca="1">IFERROR(__xludf.DUMMYFUNCTION("IMPORTRANGE(H2898,""IDENTITAS UNIT!D9"")"),"#N/A")</f>
        <v>#N/A</v>
      </c>
      <c r="H2898" s="4" t="str">
        <v/>
      </c>
      <c r="I2898" s="4" t="str">
        <v/>
      </c>
    </row>
    <row r="2899" spans="5:9" ht="16.5" hidden="1">
      <c r="E2899" s="4" t="str">
        <v/>
      </c>
      <c r="F2899" s="102" t="str">
        <f ca="1">IFERROR(__xludf.DUMMYFUNCTION("IMPORTRANGE(H2899,""IDENTITAS UNIT!D9"")"),"#N/A")</f>
        <v>#N/A</v>
      </c>
      <c r="H2899" s="4" t="str">
        <v/>
      </c>
      <c r="I2899" s="4" t="str">
        <v/>
      </c>
    </row>
    <row r="2900" spans="5:9" ht="16.5" hidden="1">
      <c r="E2900" s="4" t="str">
        <v/>
      </c>
      <c r="F2900" s="102" t="str">
        <f ca="1">IFERROR(__xludf.DUMMYFUNCTION("IMPORTRANGE(H2900,""IDENTITAS UNIT!D9"")"),"#N/A")</f>
        <v>#N/A</v>
      </c>
      <c r="H2900" s="4" t="str">
        <v/>
      </c>
      <c r="I2900" s="4" t="str">
        <v/>
      </c>
    </row>
    <row r="2901" spans="5:9" ht="16.5" hidden="1">
      <c r="E2901" s="4" t="str">
        <v/>
      </c>
      <c r="F2901" s="102" t="str">
        <f ca="1">IFERROR(__xludf.DUMMYFUNCTION("IMPORTRANGE(H2901,""IDENTITAS UNIT!D9"")"),"#N/A")</f>
        <v>#N/A</v>
      </c>
      <c r="H2901" s="4" t="str">
        <v/>
      </c>
      <c r="I2901" s="4" t="str">
        <v/>
      </c>
    </row>
    <row r="2902" spans="5:9" ht="16.5" hidden="1">
      <c r="E2902" s="4" t="str">
        <v/>
      </c>
      <c r="F2902" s="102" t="str">
        <f ca="1">IFERROR(__xludf.DUMMYFUNCTION("IMPORTRANGE(H2902,""IDENTITAS UNIT!D9"")"),"#N/A")</f>
        <v>#N/A</v>
      </c>
      <c r="H2902" s="4" t="str">
        <v/>
      </c>
      <c r="I2902" s="4" t="str">
        <v/>
      </c>
    </row>
    <row r="2903" spans="5:9" ht="16.5" hidden="1">
      <c r="E2903" s="4" t="str">
        <v/>
      </c>
      <c r="F2903" s="102" t="str">
        <f ca="1">IFERROR(__xludf.DUMMYFUNCTION("IMPORTRANGE(H2903,""IDENTITAS UNIT!D9"")"),"#N/A")</f>
        <v>#N/A</v>
      </c>
      <c r="H2903" s="4" t="str">
        <v/>
      </c>
      <c r="I2903" s="4" t="str">
        <v/>
      </c>
    </row>
    <row r="2904" spans="5:9" ht="16.5" hidden="1">
      <c r="E2904" s="4" t="str">
        <v/>
      </c>
      <c r="F2904" s="102" t="str">
        <f ca="1">IFERROR(__xludf.DUMMYFUNCTION("IMPORTRANGE(H2904,""IDENTITAS UNIT!D9"")"),"#N/A")</f>
        <v>#N/A</v>
      </c>
      <c r="H2904" s="4" t="str">
        <v/>
      </c>
      <c r="I2904" s="4" t="str">
        <v/>
      </c>
    </row>
    <row r="2905" spans="5:9" ht="16.5" hidden="1">
      <c r="E2905" s="4" t="str">
        <v/>
      </c>
      <c r="F2905" s="102" t="str">
        <f ca="1">IFERROR(__xludf.DUMMYFUNCTION("IMPORTRANGE(H2905,""IDENTITAS UNIT!D9"")"),"#N/A")</f>
        <v>#N/A</v>
      </c>
      <c r="H2905" s="4" t="str">
        <v/>
      </c>
      <c r="I2905" s="4" t="str">
        <v/>
      </c>
    </row>
    <row r="2906" spans="5:9" ht="16.5" hidden="1">
      <c r="E2906" s="4" t="str">
        <v/>
      </c>
      <c r="F2906" s="102" t="str">
        <f ca="1">IFERROR(__xludf.DUMMYFUNCTION("IMPORTRANGE(H2906,""IDENTITAS UNIT!D9"")"),"#N/A")</f>
        <v>#N/A</v>
      </c>
      <c r="H2906" s="4" t="str">
        <v/>
      </c>
      <c r="I2906" s="4" t="str">
        <v/>
      </c>
    </row>
    <row r="2907" spans="5:9" ht="16.5" hidden="1">
      <c r="E2907" s="4" t="str">
        <v/>
      </c>
      <c r="F2907" s="102" t="str">
        <f ca="1">IFERROR(__xludf.DUMMYFUNCTION("IMPORTRANGE(H2907,""IDENTITAS UNIT!D9"")"),"#N/A")</f>
        <v>#N/A</v>
      </c>
      <c r="H2907" s="4" t="str">
        <v/>
      </c>
      <c r="I2907" s="4" t="str">
        <v/>
      </c>
    </row>
    <row r="2908" spans="5:9" ht="16.5" hidden="1">
      <c r="E2908" s="4" t="str">
        <v/>
      </c>
      <c r="F2908" s="102" t="str">
        <f ca="1">IFERROR(__xludf.DUMMYFUNCTION("IMPORTRANGE(H2908,""IDENTITAS UNIT!D9"")"),"#N/A")</f>
        <v>#N/A</v>
      </c>
      <c r="H2908" s="4" t="str">
        <v/>
      </c>
      <c r="I2908" s="4" t="str">
        <v/>
      </c>
    </row>
    <row r="2909" spans="5:9" ht="16.5" hidden="1">
      <c r="E2909" s="4" t="str">
        <v/>
      </c>
      <c r="F2909" s="102" t="str">
        <f ca="1">IFERROR(__xludf.DUMMYFUNCTION("IMPORTRANGE(H2909,""IDENTITAS UNIT!D9"")"),"#N/A")</f>
        <v>#N/A</v>
      </c>
      <c r="H2909" s="4" t="str">
        <v/>
      </c>
      <c r="I2909" s="4" t="str">
        <v/>
      </c>
    </row>
    <row r="2910" spans="5:9" ht="16.5" hidden="1">
      <c r="E2910" s="4" t="str">
        <v/>
      </c>
      <c r="F2910" s="102" t="str">
        <f ca="1">IFERROR(__xludf.DUMMYFUNCTION("IMPORTRANGE(H2910,""IDENTITAS UNIT!D9"")"),"#N/A")</f>
        <v>#N/A</v>
      </c>
      <c r="H2910" s="4" t="str">
        <v/>
      </c>
      <c r="I2910" s="4" t="str">
        <v/>
      </c>
    </row>
    <row r="2911" spans="5:9" ht="16.5" hidden="1">
      <c r="E2911" s="4" t="str">
        <v/>
      </c>
      <c r="F2911" s="102" t="str">
        <f ca="1">IFERROR(__xludf.DUMMYFUNCTION("IMPORTRANGE(H2911,""IDENTITAS UNIT!D9"")"),"#N/A")</f>
        <v>#N/A</v>
      </c>
      <c r="H2911" s="4" t="str">
        <v/>
      </c>
      <c r="I2911" s="4" t="str">
        <v/>
      </c>
    </row>
    <row r="2912" spans="5:9" ht="16.5" hidden="1">
      <c r="E2912" s="4" t="str">
        <v/>
      </c>
      <c r="F2912" s="102" t="str">
        <f ca="1">IFERROR(__xludf.DUMMYFUNCTION("IMPORTRANGE(H2912,""IDENTITAS UNIT!D9"")"),"#N/A")</f>
        <v>#N/A</v>
      </c>
      <c r="H2912" s="4" t="str">
        <v/>
      </c>
      <c r="I2912" s="4" t="str">
        <v/>
      </c>
    </row>
    <row r="2913" spans="5:9" ht="16.5" hidden="1">
      <c r="E2913" s="4" t="str">
        <v/>
      </c>
      <c r="F2913" s="102" t="str">
        <f ca="1">IFERROR(__xludf.DUMMYFUNCTION("IMPORTRANGE(H2913,""IDENTITAS UNIT!D9"")"),"#N/A")</f>
        <v>#N/A</v>
      </c>
      <c r="H2913" s="4" t="str">
        <v/>
      </c>
      <c r="I2913" s="4" t="str">
        <v/>
      </c>
    </row>
    <row r="2914" spans="5:9" ht="16.5" hidden="1">
      <c r="E2914" s="4" t="str">
        <v/>
      </c>
      <c r="F2914" s="102" t="str">
        <f ca="1">IFERROR(__xludf.DUMMYFUNCTION("IMPORTRANGE(H2914,""IDENTITAS UNIT!D9"")"),"#N/A")</f>
        <v>#N/A</v>
      </c>
      <c r="H2914" s="4" t="str">
        <v/>
      </c>
      <c r="I2914" s="4" t="str">
        <v/>
      </c>
    </row>
    <row r="2915" spans="5:9" ht="16.5" hidden="1">
      <c r="E2915" s="4" t="str">
        <v/>
      </c>
      <c r="F2915" s="102" t="str">
        <f ca="1">IFERROR(__xludf.DUMMYFUNCTION("IMPORTRANGE(H2915,""IDENTITAS UNIT!D9"")"),"#N/A")</f>
        <v>#N/A</v>
      </c>
      <c r="H2915" s="4" t="str">
        <v/>
      </c>
      <c r="I2915" s="4" t="str">
        <v/>
      </c>
    </row>
    <row r="2916" spans="5:9" ht="16.5" hidden="1">
      <c r="E2916" s="4" t="str">
        <v/>
      </c>
      <c r="F2916" s="102" t="str">
        <f ca="1">IFERROR(__xludf.DUMMYFUNCTION("IMPORTRANGE(H2916,""IDENTITAS UNIT!D9"")"),"#N/A")</f>
        <v>#N/A</v>
      </c>
      <c r="H2916" s="4" t="str">
        <v/>
      </c>
      <c r="I2916" s="4" t="str">
        <v/>
      </c>
    </row>
    <row r="2917" spans="5:9" ht="16.5" hidden="1">
      <c r="E2917" s="4" t="str">
        <v/>
      </c>
      <c r="F2917" s="102" t="str">
        <f ca="1">IFERROR(__xludf.DUMMYFUNCTION("IMPORTRANGE(H2917,""IDENTITAS UNIT!D9"")"),"#N/A")</f>
        <v>#N/A</v>
      </c>
      <c r="H2917" s="4" t="str">
        <v/>
      </c>
      <c r="I2917" s="4" t="str">
        <v/>
      </c>
    </row>
    <row r="2918" spans="5:9" ht="16.5" hidden="1">
      <c r="E2918" s="4" t="str">
        <v/>
      </c>
      <c r="F2918" s="102" t="str">
        <f ca="1">IFERROR(__xludf.DUMMYFUNCTION("IMPORTRANGE(H2918,""IDENTITAS UNIT!D9"")"),"#N/A")</f>
        <v>#N/A</v>
      </c>
      <c r="H2918" s="4" t="str">
        <v/>
      </c>
      <c r="I2918" s="4" t="str">
        <v/>
      </c>
    </row>
    <row r="2919" spans="5:9" ht="16.5" hidden="1">
      <c r="E2919" s="4" t="str">
        <v/>
      </c>
      <c r="F2919" s="102" t="str">
        <f ca="1">IFERROR(__xludf.DUMMYFUNCTION("IMPORTRANGE(H2919,""IDENTITAS UNIT!D9"")"),"#N/A")</f>
        <v>#N/A</v>
      </c>
      <c r="H2919" s="4" t="str">
        <v/>
      </c>
      <c r="I2919" s="4" t="str">
        <v/>
      </c>
    </row>
    <row r="2920" spans="5:9" ht="16.5" hidden="1">
      <c r="E2920" s="4" t="str">
        <v/>
      </c>
      <c r="F2920" s="102" t="str">
        <f ca="1">IFERROR(__xludf.DUMMYFUNCTION("IMPORTRANGE(H2920,""IDENTITAS UNIT!D9"")"),"#N/A")</f>
        <v>#N/A</v>
      </c>
      <c r="H2920" s="4" t="str">
        <v/>
      </c>
      <c r="I2920" s="4" t="str">
        <v/>
      </c>
    </row>
    <row r="2921" spans="5:9" ht="16.5" hidden="1">
      <c r="E2921" s="4" t="str">
        <v/>
      </c>
      <c r="F2921" s="102" t="str">
        <f ca="1">IFERROR(__xludf.DUMMYFUNCTION("IMPORTRANGE(H2921,""IDENTITAS UNIT!D9"")"),"#N/A")</f>
        <v>#N/A</v>
      </c>
      <c r="H2921" s="4" t="str">
        <v/>
      </c>
      <c r="I2921" s="4" t="str">
        <v/>
      </c>
    </row>
    <row r="2922" spans="5:9" ht="16.5" hidden="1">
      <c r="E2922" s="4" t="str">
        <v/>
      </c>
      <c r="F2922" s="102" t="str">
        <f ca="1">IFERROR(__xludf.DUMMYFUNCTION("IMPORTRANGE(H2922,""IDENTITAS UNIT!D9"")"),"#N/A")</f>
        <v>#N/A</v>
      </c>
      <c r="H2922" s="4" t="str">
        <v/>
      </c>
      <c r="I2922" s="4" t="str">
        <v/>
      </c>
    </row>
    <row r="2923" spans="5:9" ht="16.5" hidden="1">
      <c r="E2923" s="4" t="str">
        <v/>
      </c>
      <c r="F2923" s="102" t="str">
        <f ca="1">IFERROR(__xludf.DUMMYFUNCTION("IMPORTRANGE(H2923,""IDENTITAS UNIT!D9"")"),"#N/A")</f>
        <v>#N/A</v>
      </c>
      <c r="H2923" s="4" t="str">
        <v/>
      </c>
      <c r="I2923" s="4" t="str">
        <v/>
      </c>
    </row>
    <row r="2924" spans="5:9" ht="16.5" hidden="1">
      <c r="E2924" s="4" t="str">
        <v/>
      </c>
      <c r="F2924" s="102" t="str">
        <f ca="1">IFERROR(__xludf.DUMMYFUNCTION("IMPORTRANGE(H2924,""IDENTITAS UNIT!D9"")"),"#N/A")</f>
        <v>#N/A</v>
      </c>
      <c r="H2924" s="4" t="str">
        <v/>
      </c>
      <c r="I2924" s="4" t="str">
        <v/>
      </c>
    </row>
    <row r="2925" spans="5:9" ht="16.5" hidden="1">
      <c r="E2925" s="4" t="str">
        <v/>
      </c>
      <c r="F2925" s="102" t="str">
        <f ca="1">IFERROR(__xludf.DUMMYFUNCTION("IMPORTRANGE(H2925,""IDENTITAS UNIT!D9"")"),"#N/A")</f>
        <v>#N/A</v>
      </c>
      <c r="H2925" s="4" t="str">
        <v/>
      </c>
      <c r="I2925" s="4" t="str">
        <v/>
      </c>
    </row>
    <row r="2926" spans="5:9" ht="16.5" hidden="1">
      <c r="E2926" s="4" t="str">
        <v/>
      </c>
      <c r="F2926" s="102" t="str">
        <f ca="1">IFERROR(__xludf.DUMMYFUNCTION("IMPORTRANGE(H2926,""IDENTITAS UNIT!D9"")"),"#N/A")</f>
        <v>#N/A</v>
      </c>
      <c r="H2926" s="4" t="str">
        <v/>
      </c>
      <c r="I2926" s="4" t="str">
        <v/>
      </c>
    </row>
    <row r="2927" spans="5:9" ht="16.5" hidden="1">
      <c r="E2927" s="4" t="str">
        <v/>
      </c>
      <c r="F2927" s="102" t="str">
        <f ca="1">IFERROR(__xludf.DUMMYFUNCTION("IMPORTRANGE(H2927,""IDENTITAS UNIT!D9"")"),"#N/A")</f>
        <v>#N/A</v>
      </c>
      <c r="H2927" s="4" t="str">
        <v/>
      </c>
      <c r="I2927" s="4" t="str">
        <v/>
      </c>
    </row>
    <row r="2928" spans="5:9" ht="16.5" hidden="1">
      <c r="E2928" s="4" t="str">
        <v/>
      </c>
      <c r="F2928" s="102" t="str">
        <f ca="1">IFERROR(__xludf.DUMMYFUNCTION("IMPORTRANGE(H2928,""IDENTITAS UNIT!D9"")"),"#N/A")</f>
        <v>#N/A</v>
      </c>
      <c r="H2928" s="4" t="str">
        <v/>
      </c>
      <c r="I2928" s="4" t="str">
        <v/>
      </c>
    </row>
    <row r="2929" spans="5:9" ht="16.5" hidden="1">
      <c r="E2929" s="4" t="str">
        <v/>
      </c>
      <c r="F2929" s="102" t="str">
        <f ca="1">IFERROR(__xludf.DUMMYFUNCTION("IMPORTRANGE(H2929,""IDENTITAS UNIT!D9"")"),"#N/A")</f>
        <v>#N/A</v>
      </c>
      <c r="H2929" s="4" t="str">
        <v/>
      </c>
      <c r="I2929" s="4" t="str">
        <v/>
      </c>
    </row>
    <row r="2930" spans="5:9" ht="16.5" hidden="1">
      <c r="E2930" s="4" t="str">
        <v/>
      </c>
      <c r="F2930" s="102" t="str">
        <f ca="1">IFERROR(__xludf.DUMMYFUNCTION("IMPORTRANGE(H2930,""IDENTITAS UNIT!D9"")"),"#N/A")</f>
        <v>#N/A</v>
      </c>
      <c r="H2930" s="4" t="str">
        <v/>
      </c>
      <c r="I2930" s="4" t="str">
        <v/>
      </c>
    </row>
    <row r="2931" spans="5:9" ht="16.5" hidden="1">
      <c r="E2931" s="4" t="str">
        <v/>
      </c>
      <c r="F2931" s="102" t="str">
        <f ca="1">IFERROR(__xludf.DUMMYFUNCTION("IMPORTRANGE(H2931,""IDENTITAS UNIT!D9"")"),"#N/A")</f>
        <v>#N/A</v>
      </c>
      <c r="H2931" s="4" t="str">
        <v/>
      </c>
      <c r="I2931" s="4" t="str">
        <v/>
      </c>
    </row>
    <row r="2932" spans="5:9" ht="16.5" hidden="1">
      <c r="E2932" s="4" t="str">
        <v/>
      </c>
      <c r="F2932" s="102" t="str">
        <f ca="1">IFERROR(__xludf.DUMMYFUNCTION("IMPORTRANGE(H2932,""IDENTITAS UNIT!D9"")"),"#N/A")</f>
        <v>#N/A</v>
      </c>
      <c r="H2932" s="4" t="str">
        <v/>
      </c>
      <c r="I2932" s="4" t="str">
        <v/>
      </c>
    </row>
    <row r="2933" spans="5:9" ht="16.5" hidden="1">
      <c r="E2933" s="4" t="str">
        <v/>
      </c>
      <c r="F2933" s="102" t="str">
        <f ca="1">IFERROR(__xludf.DUMMYFUNCTION("IMPORTRANGE(H2933,""IDENTITAS UNIT!D9"")"),"#N/A")</f>
        <v>#N/A</v>
      </c>
      <c r="H2933" s="4" t="str">
        <v/>
      </c>
      <c r="I2933" s="4" t="str">
        <v/>
      </c>
    </row>
    <row r="2934" spans="5:9" ht="16.5" hidden="1">
      <c r="E2934" s="4" t="str">
        <v/>
      </c>
      <c r="F2934" s="102" t="str">
        <f ca="1">IFERROR(__xludf.DUMMYFUNCTION("IMPORTRANGE(H2934,""IDENTITAS UNIT!D9"")"),"#N/A")</f>
        <v>#N/A</v>
      </c>
      <c r="H2934" s="4" t="str">
        <v/>
      </c>
      <c r="I2934" s="4" t="str">
        <v/>
      </c>
    </row>
    <row r="2935" spans="5:9" ht="16.5" hidden="1">
      <c r="E2935" s="4" t="str">
        <v/>
      </c>
      <c r="F2935" s="102" t="str">
        <f ca="1">IFERROR(__xludf.DUMMYFUNCTION("IMPORTRANGE(H2935,""IDENTITAS UNIT!D9"")"),"#N/A")</f>
        <v>#N/A</v>
      </c>
      <c r="H2935" s="4" t="str">
        <v/>
      </c>
      <c r="I2935" s="4" t="str">
        <v/>
      </c>
    </row>
    <row r="2936" spans="5:9" ht="16.5" hidden="1">
      <c r="E2936" s="4" t="str">
        <v/>
      </c>
      <c r="F2936" s="102" t="str">
        <f ca="1">IFERROR(__xludf.DUMMYFUNCTION("IMPORTRANGE(H2936,""IDENTITAS UNIT!D9"")"),"#N/A")</f>
        <v>#N/A</v>
      </c>
      <c r="H2936" s="4" t="str">
        <v/>
      </c>
      <c r="I2936" s="4" t="str">
        <v/>
      </c>
    </row>
    <row r="2937" spans="5:9" ht="16.5" hidden="1">
      <c r="E2937" s="4" t="str">
        <v/>
      </c>
      <c r="F2937" s="102" t="str">
        <f ca="1">IFERROR(__xludf.DUMMYFUNCTION("IMPORTRANGE(H2937,""IDENTITAS UNIT!D9"")"),"#N/A")</f>
        <v>#N/A</v>
      </c>
      <c r="H2937" s="4" t="str">
        <v/>
      </c>
      <c r="I2937" s="4" t="str">
        <v/>
      </c>
    </row>
    <row r="2938" spans="5:9" ht="16.5" hidden="1">
      <c r="E2938" s="4" t="str">
        <v/>
      </c>
      <c r="F2938" s="102" t="str">
        <f ca="1">IFERROR(__xludf.DUMMYFUNCTION("IMPORTRANGE(H2938,""IDENTITAS UNIT!D9"")"),"#N/A")</f>
        <v>#N/A</v>
      </c>
      <c r="H2938" s="4" t="str">
        <v/>
      </c>
      <c r="I2938" s="4" t="str">
        <v/>
      </c>
    </row>
    <row r="2939" spans="5:9" ht="16.5" hidden="1">
      <c r="E2939" s="4" t="str">
        <v/>
      </c>
      <c r="F2939" s="102" t="str">
        <f ca="1">IFERROR(__xludf.DUMMYFUNCTION("IMPORTRANGE(H2939,""IDENTITAS UNIT!D9"")"),"#N/A")</f>
        <v>#N/A</v>
      </c>
      <c r="H2939" s="4" t="str">
        <v/>
      </c>
      <c r="I2939" s="4" t="str">
        <v/>
      </c>
    </row>
    <row r="2940" spans="5:9" ht="16.5" hidden="1">
      <c r="E2940" s="4" t="str">
        <v/>
      </c>
      <c r="F2940" s="102" t="str">
        <f ca="1">IFERROR(__xludf.DUMMYFUNCTION("IMPORTRANGE(H2940,""IDENTITAS UNIT!D9"")"),"#N/A")</f>
        <v>#N/A</v>
      </c>
      <c r="H2940" s="4" t="str">
        <v/>
      </c>
      <c r="I2940" s="4" t="str">
        <v/>
      </c>
    </row>
    <row r="2941" spans="5:9" ht="16.5" hidden="1">
      <c r="E2941" s="4" t="str">
        <v/>
      </c>
      <c r="F2941" s="102" t="str">
        <f ca="1">IFERROR(__xludf.DUMMYFUNCTION("IMPORTRANGE(H2941,""IDENTITAS UNIT!D9"")"),"#N/A")</f>
        <v>#N/A</v>
      </c>
      <c r="H2941" s="4" t="str">
        <v/>
      </c>
      <c r="I2941" s="4" t="str">
        <v/>
      </c>
    </row>
    <row r="2942" spans="5:9" ht="16.5" hidden="1">
      <c r="E2942" s="4" t="str">
        <v/>
      </c>
      <c r="F2942" s="102" t="str">
        <f ca="1">IFERROR(__xludf.DUMMYFUNCTION("IMPORTRANGE(H2942,""IDENTITAS UNIT!D9"")"),"#N/A")</f>
        <v>#N/A</v>
      </c>
      <c r="H2942" s="4" t="str">
        <v/>
      </c>
      <c r="I2942" s="4" t="str">
        <v/>
      </c>
    </row>
    <row r="2943" spans="5:9" ht="16.5" hidden="1">
      <c r="E2943" s="4" t="str">
        <v/>
      </c>
      <c r="F2943" s="102" t="str">
        <f ca="1">IFERROR(__xludf.DUMMYFUNCTION("IMPORTRANGE(H2943,""IDENTITAS UNIT!D9"")"),"#N/A")</f>
        <v>#N/A</v>
      </c>
      <c r="H2943" s="4" t="str">
        <v/>
      </c>
      <c r="I2943" s="4" t="str">
        <v/>
      </c>
    </row>
    <row r="2944" spans="5:9" ht="16.5" hidden="1">
      <c r="E2944" s="4" t="str">
        <v/>
      </c>
      <c r="F2944" s="102" t="str">
        <f ca="1">IFERROR(__xludf.DUMMYFUNCTION("IMPORTRANGE(H2944,""IDENTITAS UNIT!D9"")"),"#N/A")</f>
        <v>#N/A</v>
      </c>
      <c r="H2944" s="4" t="str">
        <v/>
      </c>
      <c r="I2944" s="4" t="str">
        <v/>
      </c>
    </row>
    <row r="2945" spans="5:9" ht="16.5" hidden="1">
      <c r="E2945" s="4" t="str">
        <v/>
      </c>
      <c r="F2945" s="102" t="str">
        <f ca="1">IFERROR(__xludf.DUMMYFUNCTION("IMPORTRANGE(H2945,""IDENTITAS UNIT!D9"")"),"#N/A")</f>
        <v>#N/A</v>
      </c>
      <c r="H2945" s="4" t="str">
        <v/>
      </c>
      <c r="I2945" s="4" t="str">
        <v/>
      </c>
    </row>
    <row r="2946" spans="5:9" ht="16.5" hidden="1">
      <c r="E2946" s="4" t="str">
        <v/>
      </c>
      <c r="F2946" s="102" t="str">
        <f ca="1">IFERROR(__xludf.DUMMYFUNCTION("IMPORTRANGE(H2946,""IDENTITAS UNIT!D9"")"),"#N/A")</f>
        <v>#N/A</v>
      </c>
      <c r="H2946" s="4" t="str">
        <v/>
      </c>
      <c r="I2946" s="4" t="str">
        <v/>
      </c>
    </row>
    <row r="2947" spans="5:9" ht="16.5" hidden="1">
      <c r="E2947" s="4" t="str">
        <v/>
      </c>
      <c r="F2947" s="102" t="str">
        <f ca="1">IFERROR(__xludf.DUMMYFUNCTION("IMPORTRANGE(H2947,""IDENTITAS UNIT!D9"")"),"#N/A")</f>
        <v>#N/A</v>
      </c>
      <c r="H2947" s="4" t="str">
        <v/>
      </c>
      <c r="I2947" s="4" t="str">
        <v/>
      </c>
    </row>
    <row r="2948" spans="5:9" ht="16.5" hidden="1">
      <c r="E2948" s="4" t="str">
        <v/>
      </c>
      <c r="F2948" s="102" t="str">
        <f ca="1">IFERROR(__xludf.DUMMYFUNCTION("IMPORTRANGE(H2948,""IDENTITAS UNIT!D9"")"),"#N/A")</f>
        <v>#N/A</v>
      </c>
      <c r="H2948" s="4" t="str">
        <v/>
      </c>
      <c r="I2948" s="4" t="str">
        <v/>
      </c>
    </row>
    <row r="2949" spans="5:9" ht="16.5" hidden="1">
      <c r="E2949" s="4" t="str">
        <v/>
      </c>
      <c r="F2949" s="102" t="str">
        <f ca="1">IFERROR(__xludf.DUMMYFUNCTION("IMPORTRANGE(H2949,""IDENTITAS UNIT!D9"")"),"#N/A")</f>
        <v>#N/A</v>
      </c>
      <c r="H2949" s="4" t="str">
        <v/>
      </c>
      <c r="I2949" s="4" t="str">
        <v/>
      </c>
    </row>
    <row r="2950" spans="5:9" ht="16.5" hidden="1">
      <c r="E2950" s="4" t="str">
        <v/>
      </c>
      <c r="F2950" s="102" t="str">
        <f ca="1">IFERROR(__xludf.DUMMYFUNCTION("IMPORTRANGE(H2950,""IDENTITAS UNIT!D9"")"),"#N/A")</f>
        <v>#N/A</v>
      </c>
      <c r="H2950" s="4" t="str">
        <v/>
      </c>
      <c r="I2950" s="4" t="str">
        <v/>
      </c>
    </row>
    <row r="2951" spans="5:9" ht="16.5" hidden="1">
      <c r="E2951" s="4" t="str">
        <v/>
      </c>
      <c r="F2951" s="102" t="str">
        <f ca="1">IFERROR(__xludf.DUMMYFUNCTION("IMPORTRANGE(H2951,""IDENTITAS UNIT!D9"")"),"#N/A")</f>
        <v>#N/A</v>
      </c>
      <c r="H2951" s="4" t="str">
        <v/>
      </c>
      <c r="I2951" s="4" t="str">
        <v/>
      </c>
    </row>
    <row r="2952" spans="5:9" ht="16.5" hidden="1">
      <c r="E2952" s="4" t="str">
        <v/>
      </c>
      <c r="F2952" s="102" t="str">
        <f ca="1">IFERROR(__xludf.DUMMYFUNCTION("IMPORTRANGE(H2952,""IDENTITAS UNIT!D9"")"),"#N/A")</f>
        <v>#N/A</v>
      </c>
      <c r="H2952" s="4" t="str">
        <v/>
      </c>
      <c r="I2952" s="4" t="str">
        <v/>
      </c>
    </row>
    <row r="2953" spans="5:9" ht="16.5" hidden="1">
      <c r="E2953" s="4" t="str">
        <v/>
      </c>
      <c r="F2953" s="102" t="str">
        <f ca="1">IFERROR(__xludf.DUMMYFUNCTION("IMPORTRANGE(H2953,""IDENTITAS UNIT!D9"")"),"#N/A")</f>
        <v>#N/A</v>
      </c>
      <c r="H2953" s="4" t="str">
        <v/>
      </c>
      <c r="I2953" s="4" t="str">
        <v/>
      </c>
    </row>
    <row r="2954" spans="5:9" ht="16.5" hidden="1">
      <c r="E2954" s="4" t="str">
        <v/>
      </c>
      <c r="F2954" s="102" t="str">
        <f ca="1">IFERROR(__xludf.DUMMYFUNCTION("IMPORTRANGE(H2954,""IDENTITAS UNIT!D9"")"),"#N/A")</f>
        <v>#N/A</v>
      </c>
      <c r="H2954" s="4" t="str">
        <v/>
      </c>
      <c r="I2954" s="4" t="str">
        <v/>
      </c>
    </row>
    <row r="2955" spans="5:9" ht="16.5" hidden="1">
      <c r="E2955" s="4" t="str">
        <v/>
      </c>
      <c r="F2955" s="102" t="str">
        <f ca="1">IFERROR(__xludf.DUMMYFUNCTION("IMPORTRANGE(H2955,""IDENTITAS UNIT!D9"")"),"#N/A")</f>
        <v>#N/A</v>
      </c>
      <c r="H2955" s="4" t="str">
        <v/>
      </c>
      <c r="I2955" s="4" t="str">
        <v/>
      </c>
    </row>
    <row r="2956" spans="5:9" ht="16.5" hidden="1">
      <c r="E2956" s="4" t="str">
        <v/>
      </c>
      <c r="F2956" s="102" t="str">
        <f ca="1">IFERROR(__xludf.DUMMYFUNCTION("IMPORTRANGE(H2956,""IDENTITAS UNIT!D9"")"),"#N/A")</f>
        <v>#N/A</v>
      </c>
      <c r="H2956" s="4" t="str">
        <v/>
      </c>
      <c r="I2956" s="4" t="str">
        <v/>
      </c>
    </row>
    <row r="2957" spans="5:9" ht="16.5" hidden="1">
      <c r="E2957" s="4" t="str">
        <v/>
      </c>
      <c r="F2957" s="102" t="str">
        <f ca="1">IFERROR(__xludf.DUMMYFUNCTION("IMPORTRANGE(H2957,""IDENTITAS UNIT!D9"")"),"#N/A")</f>
        <v>#N/A</v>
      </c>
      <c r="H2957" s="4" t="str">
        <v/>
      </c>
      <c r="I2957" s="4" t="str">
        <v/>
      </c>
    </row>
    <row r="2958" spans="5:9" ht="16.5" hidden="1">
      <c r="E2958" s="4" t="str">
        <v/>
      </c>
      <c r="F2958" s="102" t="str">
        <f ca="1">IFERROR(__xludf.DUMMYFUNCTION("IMPORTRANGE(H2958,""IDENTITAS UNIT!D9"")"),"#N/A")</f>
        <v>#N/A</v>
      </c>
      <c r="H2958" s="4" t="str">
        <v/>
      </c>
      <c r="I2958" s="4" t="str">
        <v/>
      </c>
    </row>
    <row r="2959" spans="5:9" ht="16.5" hidden="1">
      <c r="E2959" s="4" t="str">
        <v/>
      </c>
      <c r="F2959" s="102" t="str">
        <f ca="1">IFERROR(__xludf.DUMMYFUNCTION("IMPORTRANGE(H2959,""IDENTITAS UNIT!D9"")"),"#N/A")</f>
        <v>#N/A</v>
      </c>
      <c r="H2959" s="4" t="str">
        <v/>
      </c>
      <c r="I2959" s="4" t="str">
        <v/>
      </c>
    </row>
    <row r="2960" spans="5:9" ht="16.5" hidden="1">
      <c r="E2960" s="4" t="str">
        <v/>
      </c>
      <c r="F2960" s="102" t="str">
        <f ca="1">IFERROR(__xludf.DUMMYFUNCTION("IMPORTRANGE(H2960,""IDENTITAS UNIT!D9"")"),"#N/A")</f>
        <v>#N/A</v>
      </c>
      <c r="H2960" s="4" t="str">
        <v/>
      </c>
      <c r="I2960" s="4" t="str">
        <v/>
      </c>
    </row>
    <row r="2961" spans="5:9" ht="16.5" hidden="1">
      <c r="E2961" s="4" t="str">
        <v/>
      </c>
      <c r="F2961" s="102" t="str">
        <f ca="1">IFERROR(__xludf.DUMMYFUNCTION("IMPORTRANGE(H2961,""IDENTITAS UNIT!D9"")"),"#N/A")</f>
        <v>#N/A</v>
      </c>
      <c r="H2961" s="4" t="str">
        <v/>
      </c>
      <c r="I2961" s="4" t="str">
        <v/>
      </c>
    </row>
    <row r="2962" spans="5:9" ht="16.5" hidden="1">
      <c r="E2962" s="4" t="str">
        <v/>
      </c>
      <c r="F2962" s="102" t="str">
        <f ca="1">IFERROR(__xludf.DUMMYFUNCTION("IMPORTRANGE(H2962,""IDENTITAS UNIT!D9"")"),"#N/A")</f>
        <v>#N/A</v>
      </c>
      <c r="H2962" s="4" t="str">
        <v/>
      </c>
      <c r="I2962" s="4" t="str">
        <v/>
      </c>
    </row>
    <row r="2963" spans="5:9" ht="16.5" hidden="1">
      <c r="E2963" s="4" t="str">
        <v/>
      </c>
      <c r="F2963" s="102" t="str">
        <f ca="1">IFERROR(__xludf.DUMMYFUNCTION("IMPORTRANGE(H2963,""IDENTITAS UNIT!D9"")"),"#N/A")</f>
        <v>#N/A</v>
      </c>
      <c r="H2963" s="4" t="str">
        <v/>
      </c>
      <c r="I2963" s="4" t="str">
        <v/>
      </c>
    </row>
    <row r="2964" spans="5:9" ht="16.5" hidden="1">
      <c r="E2964" s="4" t="str">
        <v/>
      </c>
      <c r="F2964" s="102" t="str">
        <f ca="1">IFERROR(__xludf.DUMMYFUNCTION("IMPORTRANGE(H2964,""IDENTITAS UNIT!D9"")"),"#N/A")</f>
        <v>#N/A</v>
      </c>
      <c r="H2964" s="4" t="str">
        <v/>
      </c>
      <c r="I2964" s="4" t="str">
        <v/>
      </c>
    </row>
    <row r="2965" spans="5:9" ht="16.5" hidden="1">
      <c r="E2965" s="4" t="str">
        <v/>
      </c>
      <c r="F2965" s="102" t="str">
        <f ca="1">IFERROR(__xludf.DUMMYFUNCTION("IMPORTRANGE(H2965,""IDENTITAS UNIT!D9"")"),"#N/A")</f>
        <v>#N/A</v>
      </c>
      <c r="H2965" s="4" t="str">
        <v/>
      </c>
      <c r="I2965" s="4" t="str">
        <v/>
      </c>
    </row>
    <row r="2966" spans="5:9" ht="16.5" hidden="1">
      <c r="E2966" s="4" t="str">
        <v/>
      </c>
      <c r="F2966" s="102" t="str">
        <f ca="1">IFERROR(__xludf.DUMMYFUNCTION("IMPORTRANGE(H2966,""IDENTITAS UNIT!D9"")"),"#N/A")</f>
        <v>#N/A</v>
      </c>
      <c r="H2966" s="4" t="str">
        <v/>
      </c>
      <c r="I2966" s="4" t="str">
        <v/>
      </c>
    </row>
    <row r="2967" spans="5:9" ht="16.5" hidden="1">
      <c r="E2967" s="4" t="str">
        <v/>
      </c>
      <c r="F2967" s="102" t="str">
        <f ca="1">IFERROR(__xludf.DUMMYFUNCTION("IMPORTRANGE(H2967,""IDENTITAS UNIT!D9"")"),"#N/A")</f>
        <v>#N/A</v>
      </c>
      <c r="H2967" s="4" t="str">
        <v/>
      </c>
      <c r="I2967" s="4" t="str">
        <v/>
      </c>
    </row>
    <row r="2968" spans="5:9" ht="16.5" hidden="1">
      <c r="E2968" s="4" t="str">
        <v/>
      </c>
      <c r="F2968" s="102" t="str">
        <f ca="1">IFERROR(__xludf.DUMMYFUNCTION("IMPORTRANGE(H2968,""IDENTITAS UNIT!D9"")"),"#N/A")</f>
        <v>#N/A</v>
      </c>
      <c r="H2968" s="4" t="str">
        <v/>
      </c>
      <c r="I2968" s="4" t="str">
        <v/>
      </c>
    </row>
    <row r="2969" spans="5:9" ht="16.5" hidden="1">
      <c r="E2969" s="4" t="str">
        <v/>
      </c>
      <c r="F2969" s="102" t="str">
        <f ca="1">IFERROR(__xludf.DUMMYFUNCTION("IMPORTRANGE(H2969,""IDENTITAS UNIT!D9"")"),"#N/A")</f>
        <v>#N/A</v>
      </c>
      <c r="H2969" s="4" t="str">
        <v/>
      </c>
      <c r="I2969" s="4" t="str">
        <v/>
      </c>
    </row>
    <row r="2970" spans="5:9" ht="16.5" hidden="1">
      <c r="E2970" s="4" t="str">
        <v/>
      </c>
      <c r="F2970" s="102" t="str">
        <f ca="1">IFERROR(__xludf.DUMMYFUNCTION("IMPORTRANGE(H2970,""IDENTITAS UNIT!D9"")"),"#N/A")</f>
        <v>#N/A</v>
      </c>
      <c r="H2970" s="4" t="str">
        <v/>
      </c>
      <c r="I2970" s="4" t="str">
        <v/>
      </c>
    </row>
    <row r="2971" spans="5:9" ht="16.5" hidden="1">
      <c r="E2971" s="4" t="str">
        <v/>
      </c>
      <c r="F2971" s="102" t="str">
        <f ca="1">IFERROR(__xludf.DUMMYFUNCTION("IMPORTRANGE(H2971,""IDENTITAS UNIT!D9"")"),"#N/A")</f>
        <v>#N/A</v>
      </c>
      <c r="H2971" s="4" t="str">
        <v/>
      </c>
      <c r="I2971" s="4" t="str">
        <v/>
      </c>
    </row>
    <row r="2972" spans="5:9" ht="16.5" hidden="1">
      <c r="E2972" s="4" t="str">
        <v/>
      </c>
      <c r="F2972" s="102" t="str">
        <f ca="1">IFERROR(__xludf.DUMMYFUNCTION("IMPORTRANGE(H2972,""IDENTITAS UNIT!D9"")"),"#N/A")</f>
        <v>#N/A</v>
      </c>
      <c r="H2972" s="4" t="str">
        <v/>
      </c>
      <c r="I2972" s="4" t="str">
        <v/>
      </c>
    </row>
    <row r="2973" spans="5:9" ht="16.5" hidden="1">
      <c r="E2973" s="4" t="str">
        <v/>
      </c>
      <c r="F2973" s="102" t="str">
        <f ca="1">IFERROR(__xludf.DUMMYFUNCTION("IMPORTRANGE(H2973,""IDENTITAS UNIT!D9"")"),"#N/A")</f>
        <v>#N/A</v>
      </c>
      <c r="H2973" s="4" t="str">
        <v/>
      </c>
      <c r="I2973" s="4" t="str">
        <v/>
      </c>
    </row>
    <row r="2974" spans="5:9" ht="16.5" hidden="1">
      <c r="E2974" s="4" t="str">
        <v/>
      </c>
      <c r="F2974" s="102" t="str">
        <f ca="1">IFERROR(__xludf.DUMMYFUNCTION("IMPORTRANGE(H2974,""IDENTITAS UNIT!D9"")"),"#N/A")</f>
        <v>#N/A</v>
      </c>
      <c r="H2974" s="4" t="str">
        <v/>
      </c>
      <c r="I2974" s="4" t="str">
        <v/>
      </c>
    </row>
    <row r="2975" spans="5:9" ht="16.5" hidden="1">
      <c r="E2975" s="4" t="str">
        <v/>
      </c>
      <c r="F2975" s="102" t="str">
        <f ca="1">IFERROR(__xludf.DUMMYFUNCTION("IMPORTRANGE(H2975,""IDENTITAS UNIT!D9"")"),"#N/A")</f>
        <v>#N/A</v>
      </c>
      <c r="H2975" s="4" t="str">
        <v/>
      </c>
      <c r="I2975" s="4" t="str">
        <v/>
      </c>
    </row>
    <row r="2976" spans="5:9" ht="16.5" hidden="1">
      <c r="E2976" s="4" t="str">
        <v/>
      </c>
      <c r="F2976" s="102" t="str">
        <f ca="1">IFERROR(__xludf.DUMMYFUNCTION("IMPORTRANGE(H2976,""IDENTITAS UNIT!D9"")"),"#N/A")</f>
        <v>#N/A</v>
      </c>
      <c r="H2976" s="4" t="str">
        <v/>
      </c>
      <c r="I2976" s="4" t="str">
        <v/>
      </c>
    </row>
    <row r="2977" spans="5:9" ht="16.5" hidden="1">
      <c r="E2977" s="4" t="str">
        <v/>
      </c>
      <c r="F2977" s="102" t="str">
        <f ca="1">IFERROR(__xludf.DUMMYFUNCTION("IMPORTRANGE(H2977,""IDENTITAS UNIT!D9"")"),"#N/A")</f>
        <v>#N/A</v>
      </c>
      <c r="H2977" s="4" t="str">
        <v/>
      </c>
      <c r="I2977" s="4" t="str">
        <v/>
      </c>
    </row>
    <row r="2978" spans="5:9" ht="16.5" hidden="1">
      <c r="E2978" s="4" t="str">
        <v/>
      </c>
      <c r="F2978" s="102" t="str">
        <f ca="1">IFERROR(__xludf.DUMMYFUNCTION("IMPORTRANGE(H2978,""IDENTITAS UNIT!D9"")"),"#N/A")</f>
        <v>#N/A</v>
      </c>
      <c r="H2978" s="4" t="str">
        <v/>
      </c>
      <c r="I2978" s="4" t="str">
        <v/>
      </c>
    </row>
    <row r="2979" spans="5:9" ht="16.5" hidden="1">
      <c r="E2979" s="4" t="str">
        <v/>
      </c>
      <c r="F2979" s="102" t="str">
        <f ca="1">IFERROR(__xludf.DUMMYFUNCTION("IMPORTRANGE(H2979,""IDENTITAS UNIT!D9"")"),"#N/A")</f>
        <v>#N/A</v>
      </c>
      <c r="H2979" s="4" t="str">
        <v/>
      </c>
      <c r="I2979" s="4" t="str">
        <v/>
      </c>
    </row>
    <row r="2980" spans="5:9" ht="16.5" hidden="1">
      <c r="E2980" s="4" t="str">
        <v/>
      </c>
      <c r="F2980" s="102" t="str">
        <f ca="1">IFERROR(__xludf.DUMMYFUNCTION("IMPORTRANGE(H2980,""IDENTITAS UNIT!D9"")"),"#N/A")</f>
        <v>#N/A</v>
      </c>
      <c r="H2980" s="4" t="str">
        <v/>
      </c>
      <c r="I2980" s="4" t="str">
        <v/>
      </c>
    </row>
    <row r="2981" spans="5:9" ht="16.5" hidden="1">
      <c r="E2981" s="4" t="str">
        <v/>
      </c>
      <c r="F2981" s="102" t="str">
        <f ca="1">IFERROR(__xludf.DUMMYFUNCTION("IMPORTRANGE(H2981,""IDENTITAS UNIT!D9"")"),"#N/A")</f>
        <v>#N/A</v>
      </c>
      <c r="H2981" s="4" t="str">
        <v/>
      </c>
      <c r="I2981" s="4" t="str">
        <v/>
      </c>
    </row>
    <row r="2982" spans="5:9" ht="16.5" hidden="1">
      <c r="E2982" s="4" t="str">
        <v/>
      </c>
      <c r="F2982" s="102" t="str">
        <f ca="1">IFERROR(__xludf.DUMMYFUNCTION("IMPORTRANGE(H2982,""IDENTITAS UNIT!D9"")"),"#N/A")</f>
        <v>#N/A</v>
      </c>
      <c r="H2982" s="4" t="str">
        <v/>
      </c>
      <c r="I2982" s="4" t="str">
        <v/>
      </c>
    </row>
    <row r="2983" spans="5:9" ht="16.5" hidden="1">
      <c r="E2983" s="4" t="str">
        <v/>
      </c>
      <c r="F2983" s="102" t="str">
        <f ca="1">IFERROR(__xludf.DUMMYFUNCTION("IMPORTRANGE(H2983,""IDENTITAS UNIT!D9"")"),"#N/A")</f>
        <v>#N/A</v>
      </c>
      <c r="H2983" s="4" t="str">
        <v/>
      </c>
      <c r="I2983" s="4" t="str">
        <v/>
      </c>
    </row>
    <row r="2984" spans="5:9" ht="16.5" hidden="1">
      <c r="E2984" s="4" t="str">
        <v/>
      </c>
      <c r="F2984" s="102" t="str">
        <f ca="1">IFERROR(__xludf.DUMMYFUNCTION("IMPORTRANGE(H2984,""IDENTITAS UNIT!D9"")"),"#N/A")</f>
        <v>#N/A</v>
      </c>
      <c r="H2984" s="4" t="str">
        <v/>
      </c>
      <c r="I2984" s="4" t="str">
        <v/>
      </c>
    </row>
    <row r="2985" spans="5:9" ht="16.5" hidden="1">
      <c r="E2985" s="4" t="str">
        <v/>
      </c>
      <c r="F2985" s="102" t="str">
        <f ca="1">IFERROR(__xludf.DUMMYFUNCTION("IMPORTRANGE(H2985,""IDENTITAS UNIT!D9"")"),"#N/A")</f>
        <v>#N/A</v>
      </c>
      <c r="H2985" s="4" t="str">
        <v/>
      </c>
      <c r="I2985" s="4" t="str">
        <v/>
      </c>
    </row>
    <row r="2986" spans="5:9" ht="16.5" hidden="1">
      <c r="E2986" s="4" t="str">
        <v/>
      </c>
      <c r="F2986" s="102" t="str">
        <f ca="1">IFERROR(__xludf.DUMMYFUNCTION("IMPORTRANGE(H2986,""IDENTITAS UNIT!D9"")"),"#N/A")</f>
        <v>#N/A</v>
      </c>
      <c r="H2986" s="4" t="str">
        <v/>
      </c>
      <c r="I2986" s="4" t="str">
        <v/>
      </c>
    </row>
    <row r="2987" spans="5:9" ht="16.5" hidden="1">
      <c r="E2987" s="4" t="str">
        <v/>
      </c>
      <c r="F2987" s="102" t="str">
        <f ca="1">IFERROR(__xludf.DUMMYFUNCTION("IMPORTRANGE(H2987,""IDENTITAS UNIT!D9"")"),"#N/A")</f>
        <v>#N/A</v>
      </c>
      <c r="H2987" s="4" t="str">
        <v/>
      </c>
      <c r="I2987" s="4" t="str">
        <v/>
      </c>
    </row>
    <row r="2988" spans="5:9" ht="16.5" hidden="1">
      <c r="E2988" s="4" t="str">
        <v/>
      </c>
      <c r="F2988" s="102" t="str">
        <f ca="1">IFERROR(__xludf.DUMMYFUNCTION("IMPORTRANGE(H2988,""IDENTITAS UNIT!D9"")"),"#N/A")</f>
        <v>#N/A</v>
      </c>
      <c r="H2988" s="4" t="str">
        <v/>
      </c>
      <c r="I2988" s="4" t="str">
        <v/>
      </c>
    </row>
    <row r="2989" spans="5:9" ht="16.5" hidden="1">
      <c r="E2989" s="4" t="str">
        <v/>
      </c>
      <c r="F2989" s="102" t="str">
        <f ca="1">IFERROR(__xludf.DUMMYFUNCTION("IMPORTRANGE(H2989,""IDENTITAS UNIT!D9"")"),"#N/A")</f>
        <v>#N/A</v>
      </c>
      <c r="H2989" s="4" t="str">
        <v/>
      </c>
      <c r="I2989" s="4" t="str">
        <v/>
      </c>
    </row>
    <row r="2990" spans="5:9" ht="16.5" hidden="1">
      <c r="E2990" s="4" t="str">
        <v/>
      </c>
      <c r="F2990" s="102" t="str">
        <f ca="1">IFERROR(__xludf.DUMMYFUNCTION("IMPORTRANGE(H2990,""IDENTITAS UNIT!D9"")"),"#N/A")</f>
        <v>#N/A</v>
      </c>
      <c r="H2990" s="4" t="str">
        <v/>
      </c>
      <c r="I2990" s="4" t="str">
        <v/>
      </c>
    </row>
    <row r="2991" spans="5:9" ht="16.5" hidden="1">
      <c r="E2991" s="4" t="str">
        <v/>
      </c>
      <c r="F2991" s="102" t="str">
        <f ca="1">IFERROR(__xludf.DUMMYFUNCTION("IMPORTRANGE(H2991,""IDENTITAS UNIT!D9"")"),"#N/A")</f>
        <v>#N/A</v>
      </c>
      <c r="H2991" s="4" t="str">
        <v/>
      </c>
      <c r="I2991" s="4" t="str">
        <v/>
      </c>
    </row>
    <row r="2992" spans="5:9" ht="16.5" hidden="1">
      <c r="E2992" s="4" t="str">
        <v/>
      </c>
      <c r="F2992" s="102" t="str">
        <f ca="1">IFERROR(__xludf.DUMMYFUNCTION("IMPORTRANGE(H2992,""IDENTITAS UNIT!D9"")"),"#N/A")</f>
        <v>#N/A</v>
      </c>
      <c r="H2992" s="4" t="str">
        <v/>
      </c>
      <c r="I2992" s="4" t="str">
        <v/>
      </c>
    </row>
    <row r="2993" spans="5:9" ht="16.5" hidden="1">
      <c r="E2993" s="4" t="str">
        <v/>
      </c>
      <c r="F2993" s="102" t="str">
        <f ca="1">IFERROR(__xludf.DUMMYFUNCTION("IMPORTRANGE(H2993,""IDENTITAS UNIT!D9"")"),"#N/A")</f>
        <v>#N/A</v>
      </c>
      <c r="H2993" s="4" t="str">
        <v/>
      </c>
      <c r="I2993" s="4" t="str">
        <v/>
      </c>
    </row>
    <row r="2994" spans="5:9" ht="16.5" hidden="1">
      <c r="E2994" s="4" t="str">
        <v/>
      </c>
      <c r="F2994" s="102" t="str">
        <f ca="1">IFERROR(__xludf.DUMMYFUNCTION("IMPORTRANGE(H2994,""IDENTITAS UNIT!D9"")"),"#N/A")</f>
        <v>#N/A</v>
      </c>
      <c r="H2994" s="4" t="str">
        <v/>
      </c>
      <c r="I2994" s="4" t="str">
        <v/>
      </c>
    </row>
    <row r="2995" spans="5:9" ht="16.5" hidden="1">
      <c r="E2995" s="4" t="str">
        <v/>
      </c>
      <c r="F2995" s="102" t="str">
        <f ca="1">IFERROR(__xludf.DUMMYFUNCTION("IMPORTRANGE(H2995,""IDENTITAS UNIT!D9"")"),"#N/A")</f>
        <v>#N/A</v>
      </c>
      <c r="H2995" s="4" t="str">
        <v/>
      </c>
      <c r="I2995" s="4" t="str">
        <v/>
      </c>
    </row>
    <row r="2996" spans="5:9" ht="16.5" hidden="1">
      <c r="E2996" s="4" t="str">
        <v/>
      </c>
      <c r="F2996" s="102" t="str">
        <f ca="1">IFERROR(__xludf.DUMMYFUNCTION("IMPORTRANGE(H2996,""IDENTITAS UNIT!D9"")"),"#N/A")</f>
        <v>#N/A</v>
      </c>
      <c r="H2996" s="4" t="str">
        <v/>
      </c>
      <c r="I2996" s="4" t="str">
        <v/>
      </c>
    </row>
    <row r="2997" spans="5:9" ht="16.5" hidden="1">
      <c r="E2997" s="4" t="str">
        <v/>
      </c>
      <c r="F2997" s="102" t="str">
        <f ca="1">IFERROR(__xludf.DUMMYFUNCTION("IMPORTRANGE(H2997,""IDENTITAS UNIT!D9"")"),"#N/A")</f>
        <v>#N/A</v>
      </c>
      <c r="H2997" s="4" t="str">
        <v/>
      </c>
      <c r="I2997" s="4" t="str">
        <v/>
      </c>
    </row>
    <row r="2998" spans="5:9" ht="16.5" hidden="1">
      <c r="E2998" s="4" t="str">
        <v/>
      </c>
      <c r="F2998" s="102" t="str">
        <f ca="1">IFERROR(__xludf.DUMMYFUNCTION("IMPORTRANGE(H2998,""IDENTITAS UNIT!D9"")"),"#N/A")</f>
        <v>#N/A</v>
      </c>
      <c r="H2998" s="4" t="str">
        <v/>
      </c>
      <c r="I2998" s="4" t="str">
        <v/>
      </c>
    </row>
    <row r="2999" spans="5:9" ht="16.5" hidden="1">
      <c r="E2999" s="4" t="str">
        <v/>
      </c>
      <c r="F2999" s="102" t="str">
        <f ca="1">IFERROR(__xludf.DUMMYFUNCTION("IMPORTRANGE(H2999,""IDENTITAS UNIT!D9"")"),"#N/A")</f>
        <v>#N/A</v>
      </c>
      <c r="H2999" s="4" t="str">
        <v/>
      </c>
      <c r="I2999" s="4" t="str">
        <v/>
      </c>
    </row>
    <row r="3000" spans="5:9" ht="16.5" hidden="1">
      <c r="E3000" s="4" t="str">
        <v/>
      </c>
      <c r="F3000" s="102" t="str">
        <f ca="1">IFERROR(__xludf.DUMMYFUNCTION("IMPORTRANGE(H3000,""IDENTITAS UNIT!D9"")"),"#N/A")</f>
        <v>#N/A</v>
      </c>
      <c r="H3000" s="4" t="str">
        <v/>
      </c>
      <c r="I3000" s="4" t="str">
        <v/>
      </c>
    </row>
    <row r="3001" spans="5:9" ht="16.5" hidden="1">
      <c r="E3001" s="4" t="str">
        <v/>
      </c>
      <c r="F3001" s="102" t="str">
        <f ca="1">IFERROR(__xludf.DUMMYFUNCTION("IMPORTRANGE(H3001,""IDENTITAS UNIT!D9"")"),"#N/A")</f>
        <v>#N/A</v>
      </c>
      <c r="H3001" s="4" t="str">
        <v/>
      </c>
      <c r="I3001" s="4" t="str">
        <v/>
      </c>
    </row>
    <row r="3002" spans="5:9" ht="16.5" hidden="1">
      <c r="E3002" s="4" t="str">
        <v/>
      </c>
      <c r="F3002" s="102" t="str">
        <f ca="1">IFERROR(__xludf.DUMMYFUNCTION("IMPORTRANGE(H3002,""IDENTITAS UNIT!D9"")"),"#N/A")</f>
        <v>#N/A</v>
      </c>
      <c r="H3002" s="4" t="str">
        <v/>
      </c>
      <c r="I3002" s="4" t="str">
        <v/>
      </c>
    </row>
    <row r="3003" spans="5:9" ht="16.5" hidden="1">
      <c r="E3003" s="4" t="str">
        <v/>
      </c>
      <c r="F3003" s="102" t="str">
        <f ca="1">IFERROR(__xludf.DUMMYFUNCTION("IMPORTRANGE(H3003,""IDENTITAS UNIT!D9"")"),"#N/A")</f>
        <v>#N/A</v>
      </c>
      <c r="H3003" s="4" t="str">
        <v/>
      </c>
      <c r="I3003" s="4" t="str">
        <v/>
      </c>
    </row>
    <row r="3004" spans="5:9" ht="16.5" hidden="1">
      <c r="E3004" s="4" t="str">
        <v/>
      </c>
      <c r="F3004" s="102" t="str">
        <f ca="1">IFERROR(__xludf.DUMMYFUNCTION("IMPORTRANGE(H3004,""IDENTITAS UNIT!D9"")"),"#N/A")</f>
        <v>#N/A</v>
      </c>
      <c r="H3004" s="4" t="str">
        <v/>
      </c>
      <c r="I3004" s="4" t="str">
        <v/>
      </c>
    </row>
    <row r="3005" spans="5:9" ht="16.5" hidden="1">
      <c r="E3005" s="4" t="str">
        <v/>
      </c>
      <c r="F3005" s="102" t="str">
        <f ca="1">IFERROR(__xludf.DUMMYFUNCTION("IMPORTRANGE(H3005,""IDENTITAS UNIT!D9"")"),"#N/A")</f>
        <v>#N/A</v>
      </c>
      <c r="H3005" s="4" t="str">
        <v/>
      </c>
      <c r="I3005" s="4" t="str">
        <v/>
      </c>
    </row>
    <row r="3006" spans="5:9" ht="16.5" hidden="1">
      <c r="E3006" s="4" t="str">
        <v/>
      </c>
      <c r="F3006" s="102" t="str">
        <f ca="1">IFERROR(__xludf.DUMMYFUNCTION("IMPORTRANGE(H3006,""IDENTITAS UNIT!D9"")"),"#N/A")</f>
        <v>#N/A</v>
      </c>
      <c r="H3006" s="4" t="str">
        <v/>
      </c>
      <c r="I3006" s="4" t="str">
        <v/>
      </c>
    </row>
    <row r="3007" spans="5:9" ht="16.5" hidden="1">
      <c r="E3007" s="4" t="str">
        <v/>
      </c>
      <c r="F3007" s="102" t="str">
        <f ca="1">IFERROR(__xludf.DUMMYFUNCTION("IMPORTRANGE(H3007,""IDENTITAS UNIT!D9"")"),"#N/A")</f>
        <v>#N/A</v>
      </c>
      <c r="H3007" s="4" t="str">
        <v/>
      </c>
      <c r="I3007" s="4" t="str">
        <v/>
      </c>
    </row>
    <row r="3008" spans="5:9" ht="16.5" hidden="1">
      <c r="E3008" s="4" t="str">
        <v/>
      </c>
      <c r="F3008" s="102" t="str">
        <f ca="1">IFERROR(__xludf.DUMMYFUNCTION("IMPORTRANGE(H3008,""IDENTITAS UNIT!D9"")"),"#N/A")</f>
        <v>#N/A</v>
      </c>
      <c r="H3008" s="4" t="str">
        <v/>
      </c>
      <c r="I3008" s="4" t="str">
        <v/>
      </c>
    </row>
    <row r="3009" spans="5:9" ht="16.5" hidden="1">
      <c r="E3009" s="4" t="str">
        <v/>
      </c>
      <c r="F3009" s="102" t="str">
        <f ca="1">IFERROR(__xludf.DUMMYFUNCTION("IMPORTRANGE(H3009,""IDENTITAS UNIT!D9"")"),"#N/A")</f>
        <v>#N/A</v>
      </c>
      <c r="H3009" s="4" t="str">
        <v/>
      </c>
      <c r="I3009" s="4" t="str">
        <v/>
      </c>
    </row>
    <row r="3010" spans="5:9" ht="16.5" hidden="1">
      <c r="E3010" s="4" t="str">
        <v/>
      </c>
      <c r="F3010" s="102" t="str">
        <f ca="1">IFERROR(__xludf.DUMMYFUNCTION("IMPORTRANGE(H3010,""IDENTITAS UNIT!D9"")"),"#N/A")</f>
        <v>#N/A</v>
      </c>
      <c r="H3010" s="4" t="str">
        <v/>
      </c>
      <c r="I3010" s="4" t="str">
        <v/>
      </c>
    </row>
    <row r="3011" spans="5:9" ht="16.5" hidden="1">
      <c r="E3011" s="4" t="str">
        <v/>
      </c>
      <c r="F3011" s="102" t="str">
        <f ca="1">IFERROR(__xludf.DUMMYFUNCTION("IMPORTRANGE(H3011,""IDENTITAS UNIT!D9"")"),"#N/A")</f>
        <v>#N/A</v>
      </c>
      <c r="H3011" s="4" t="str">
        <v/>
      </c>
      <c r="I3011" s="4" t="str">
        <v/>
      </c>
    </row>
    <row r="3012" spans="5:9" ht="16.5" hidden="1">
      <c r="E3012" s="4" t="str">
        <v/>
      </c>
      <c r="F3012" s="102" t="str">
        <f ca="1">IFERROR(__xludf.DUMMYFUNCTION("IMPORTRANGE(H3012,""IDENTITAS UNIT!D9"")"),"#N/A")</f>
        <v>#N/A</v>
      </c>
      <c r="H3012" s="4" t="str">
        <v/>
      </c>
      <c r="I3012" s="4" t="str">
        <v/>
      </c>
    </row>
    <row r="3013" spans="5:9" ht="16.5" hidden="1">
      <c r="E3013" s="4" t="str">
        <v/>
      </c>
      <c r="F3013" s="102" t="str">
        <f ca="1">IFERROR(__xludf.DUMMYFUNCTION("IMPORTRANGE(H3013,""IDENTITAS UNIT!D9"")"),"#N/A")</f>
        <v>#N/A</v>
      </c>
      <c r="H3013" s="4" t="str">
        <v/>
      </c>
      <c r="I3013" s="4" t="str">
        <v/>
      </c>
    </row>
    <row r="3014" spans="5:9" ht="16.5" hidden="1">
      <c r="E3014" s="4" t="str">
        <v/>
      </c>
      <c r="F3014" s="102" t="str">
        <f ca="1">IFERROR(__xludf.DUMMYFUNCTION("IMPORTRANGE(H3014,""IDENTITAS UNIT!D9"")"),"#N/A")</f>
        <v>#N/A</v>
      </c>
      <c r="H3014" s="4" t="str">
        <v/>
      </c>
      <c r="I3014" s="4" t="str">
        <v/>
      </c>
    </row>
    <row r="3015" spans="5:9" ht="16.5" hidden="1">
      <c r="E3015" s="4" t="str">
        <v/>
      </c>
      <c r="F3015" s="102" t="str">
        <f ca="1">IFERROR(__xludf.DUMMYFUNCTION("IMPORTRANGE(H3015,""IDENTITAS UNIT!D9"")"),"#N/A")</f>
        <v>#N/A</v>
      </c>
      <c r="H3015" s="4" t="str">
        <v/>
      </c>
      <c r="I3015" s="4" t="str">
        <v/>
      </c>
    </row>
    <row r="3016" spans="5:9" ht="16.5" hidden="1">
      <c r="E3016" s="4" t="str">
        <v/>
      </c>
      <c r="F3016" s="102" t="str">
        <f ca="1">IFERROR(__xludf.DUMMYFUNCTION("IMPORTRANGE(H3016,""IDENTITAS UNIT!D9"")"),"#N/A")</f>
        <v>#N/A</v>
      </c>
      <c r="H3016" s="4" t="str">
        <v/>
      </c>
      <c r="I3016" s="4" t="str">
        <v/>
      </c>
    </row>
    <row r="3017" spans="5:9" ht="16.5" hidden="1">
      <c r="E3017" s="4" t="str">
        <v/>
      </c>
      <c r="F3017" s="102" t="str">
        <f ca="1">IFERROR(__xludf.DUMMYFUNCTION("IMPORTRANGE(H3017,""IDENTITAS UNIT!D9"")"),"#N/A")</f>
        <v>#N/A</v>
      </c>
      <c r="H3017" s="4" t="str">
        <v/>
      </c>
      <c r="I3017" s="4" t="str">
        <v/>
      </c>
    </row>
    <row r="3018" spans="5:9" ht="16.5" hidden="1">
      <c r="E3018" s="4" t="str">
        <v/>
      </c>
      <c r="F3018" s="102" t="str">
        <f ca="1">IFERROR(__xludf.DUMMYFUNCTION("IMPORTRANGE(H3018,""IDENTITAS UNIT!D9"")"),"#N/A")</f>
        <v>#N/A</v>
      </c>
      <c r="H3018" s="4" t="str">
        <v/>
      </c>
      <c r="I3018" s="4" t="str">
        <v/>
      </c>
    </row>
    <row r="3019" spans="5:9" ht="16.5" hidden="1">
      <c r="E3019" s="4" t="str">
        <v/>
      </c>
      <c r="F3019" s="102" t="str">
        <f ca="1">IFERROR(__xludf.DUMMYFUNCTION("IMPORTRANGE(H3019,""IDENTITAS UNIT!D9"")"),"#N/A")</f>
        <v>#N/A</v>
      </c>
      <c r="H3019" s="4" t="str">
        <v/>
      </c>
      <c r="I3019" s="4" t="str">
        <v/>
      </c>
    </row>
    <row r="3020" spans="5:9" ht="16.5" hidden="1">
      <c r="E3020" s="4" t="str">
        <v/>
      </c>
      <c r="F3020" s="102" t="str">
        <f ca="1">IFERROR(__xludf.DUMMYFUNCTION("IMPORTRANGE(H3020,""IDENTITAS UNIT!D9"")"),"#N/A")</f>
        <v>#N/A</v>
      </c>
      <c r="H3020" s="4" t="str">
        <v/>
      </c>
      <c r="I3020" s="4" t="str">
        <v/>
      </c>
    </row>
    <row r="3021" spans="5:9" ht="16.5" hidden="1">
      <c r="E3021" s="4" t="str">
        <v/>
      </c>
      <c r="F3021" s="102" t="str">
        <f ca="1">IFERROR(__xludf.DUMMYFUNCTION("IMPORTRANGE(H3021,""IDENTITAS UNIT!D9"")"),"#N/A")</f>
        <v>#N/A</v>
      </c>
      <c r="H3021" s="4" t="str">
        <v/>
      </c>
      <c r="I3021" s="4" t="str">
        <v/>
      </c>
    </row>
    <row r="3022" spans="5:9" ht="16.5" hidden="1">
      <c r="E3022" s="4" t="str">
        <v/>
      </c>
      <c r="F3022" s="102" t="str">
        <f ca="1">IFERROR(__xludf.DUMMYFUNCTION("IMPORTRANGE(H3022,""IDENTITAS UNIT!D9"")"),"#N/A")</f>
        <v>#N/A</v>
      </c>
      <c r="H3022" s="4" t="str">
        <v/>
      </c>
      <c r="I3022" s="4" t="str">
        <v/>
      </c>
    </row>
    <row r="3023" spans="5:9" ht="16.5" hidden="1">
      <c r="E3023" s="4" t="str">
        <v/>
      </c>
      <c r="F3023" s="102" t="str">
        <f ca="1">IFERROR(__xludf.DUMMYFUNCTION("IMPORTRANGE(H3023,""IDENTITAS UNIT!D9"")"),"#N/A")</f>
        <v>#N/A</v>
      </c>
      <c r="H3023" s="4" t="str">
        <v/>
      </c>
      <c r="I3023" s="4" t="str">
        <v/>
      </c>
    </row>
    <row r="3024" spans="5:9" ht="16.5" hidden="1">
      <c r="E3024" s="4" t="str">
        <v/>
      </c>
      <c r="F3024" s="102" t="str">
        <f ca="1">IFERROR(__xludf.DUMMYFUNCTION("IMPORTRANGE(H3024,""IDENTITAS UNIT!D9"")"),"#N/A")</f>
        <v>#N/A</v>
      </c>
      <c r="H3024" s="4" t="str">
        <v/>
      </c>
      <c r="I3024" s="4" t="str">
        <v/>
      </c>
    </row>
    <row r="3025" spans="5:9" ht="16.5" hidden="1">
      <c r="E3025" s="4" t="str">
        <v/>
      </c>
      <c r="F3025" s="102" t="str">
        <f ca="1">IFERROR(__xludf.DUMMYFUNCTION("IMPORTRANGE(H3025,""IDENTITAS UNIT!D9"")"),"#N/A")</f>
        <v>#N/A</v>
      </c>
      <c r="H3025" s="4" t="str">
        <v/>
      </c>
      <c r="I3025" s="4" t="str">
        <v/>
      </c>
    </row>
    <row r="3026" spans="5:9" ht="16.5" hidden="1">
      <c r="E3026" s="4" t="str">
        <v/>
      </c>
      <c r="F3026" s="102" t="str">
        <f ca="1">IFERROR(__xludf.DUMMYFUNCTION("IMPORTRANGE(H3026,""IDENTITAS UNIT!D9"")"),"#N/A")</f>
        <v>#N/A</v>
      </c>
      <c r="H3026" s="4" t="str">
        <v/>
      </c>
      <c r="I3026" s="4" t="str">
        <v/>
      </c>
    </row>
    <row r="3027" spans="5:9" ht="16.5" hidden="1">
      <c r="E3027" s="4" t="str">
        <v/>
      </c>
      <c r="F3027" s="102" t="str">
        <f ca="1">IFERROR(__xludf.DUMMYFUNCTION("IMPORTRANGE(H3027,""IDENTITAS UNIT!D9"")"),"#N/A")</f>
        <v>#N/A</v>
      </c>
      <c r="H3027" s="4" t="str">
        <v/>
      </c>
      <c r="I3027" s="4" t="str">
        <v/>
      </c>
    </row>
    <row r="3028" spans="5:9" ht="16.5" hidden="1">
      <c r="E3028" s="4" t="str">
        <v/>
      </c>
      <c r="F3028" s="102" t="str">
        <f ca="1">IFERROR(__xludf.DUMMYFUNCTION("IMPORTRANGE(H3028,""IDENTITAS UNIT!D9"")"),"#N/A")</f>
        <v>#N/A</v>
      </c>
      <c r="H3028" s="4" t="str">
        <v/>
      </c>
      <c r="I3028" s="4" t="str">
        <v/>
      </c>
    </row>
    <row r="3029" spans="5:9" ht="16.5" hidden="1">
      <c r="E3029" s="4" t="str">
        <v/>
      </c>
      <c r="F3029" s="102" t="str">
        <f ca="1">IFERROR(__xludf.DUMMYFUNCTION("IMPORTRANGE(H3029,""IDENTITAS UNIT!D9"")"),"#N/A")</f>
        <v>#N/A</v>
      </c>
      <c r="H3029" s="4" t="str">
        <v/>
      </c>
      <c r="I3029" s="4" t="str">
        <v/>
      </c>
    </row>
    <row r="3030" spans="5:9" ht="16.5" hidden="1">
      <c r="E3030" s="4" t="str">
        <v/>
      </c>
      <c r="F3030" s="102" t="str">
        <f ca="1">IFERROR(__xludf.DUMMYFUNCTION("IMPORTRANGE(H3030,""IDENTITAS UNIT!D9"")"),"#N/A")</f>
        <v>#N/A</v>
      </c>
      <c r="H3030" s="4" t="str">
        <v/>
      </c>
      <c r="I3030" s="4" t="str">
        <v/>
      </c>
    </row>
    <row r="3031" spans="5:9" ht="16.5" hidden="1">
      <c r="E3031" s="4" t="str">
        <v/>
      </c>
      <c r="F3031" s="102" t="str">
        <f ca="1">IFERROR(__xludf.DUMMYFUNCTION("IMPORTRANGE(H3031,""IDENTITAS UNIT!D9"")"),"#N/A")</f>
        <v>#N/A</v>
      </c>
      <c r="H3031" s="4" t="str">
        <v/>
      </c>
      <c r="I3031" s="4" t="str">
        <v/>
      </c>
    </row>
    <row r="3032" spans="5:9" ht="16.5" hidden="1">
      <c r="E3032" s="4" t="str">
        <v/>
      </c>
      <c r="F3032" s="102" t="str">
        <f ca="1">IFERROR(__xludf.DUMMYFUNCTION("IMPORTRANGE(H3032,""IDENTITAS UNIT!D9"")"),"#N/A")</f>
        <v>#N/A</v>
      </c>
      <c r="H3032" s="4" t="str">
        <v/>
      </c>
      <c r="I3032" s="4" t="str">
        <v/>
      </c>
    </row>
    <row r="3033" spans="5:9" ht="16.5" hidden="1">
      <c r="E3033" s="4" t="str">
        <v/>
      </c>
      <c r="F3033" s="102" t="str">
        <f ca="1">IFERROR(__xludf.DUMMYFUNCTION("IMPORTRANGE(H3033,""IDENTITAS UNIT!D9"")"),"#N/A")</f>
        <v>#N/A</v>
      </c>
      <c r="H3033" s="4" t="str">
        <v/>
      </c>
      <c r="I3033" s="4" t="str">
        <v/>
      </c>
    </row>
    <row r="3034" spans="5:9" ht="16.5" hidden="1">
      <c r="E3034" s="4" t="str">
        <v/>
      </c>
      <c r="F3034" s="102" t="str">
        <f ca="1">IFERROR(__xludf.DUMMYFUNCTION("IMPORTRANGE(H3034,""IDENTITAS UNIT!D9"")"),"#N/A")</f>
        <v>#N/A</v>
      </c>
      <c r="H3034" s="4" t="str">
        <v/>
      </c>
      <c r="I3034" s="4" t="str">
        <v/>
      </c>
    </row>
    <row r="3035" spans="5:9" ht="16.5" hidden="1">
      <c r="E3035" s="4" t="str">
        <v/>
      </c>
      <c r="F3035" s="102" t="str">
        <f ca="1">IFERROR(__xludf.DUMMYFUNCTION("IMPORTRANGE(H3035,""IDENTITAS UNIT!D9"")"),"#N/A")</f>
        <v>#N/A</v>
      </c>
      <c r="H3035" s="4" t="str">
        <v/>
      </c>
      <c r="I3035" s="4" t="str">
        <v/>
      </c>
    </row>
    <row r="3036" spans="5:9" ht="16.5" hidden="1">
      <c r="E3036" s="4" t="str">
        <v/>
      </c>
      <c r="F3036" s="102" t="str">
        <f ca="1">IFERROR(__xludf.DUMMYFUNCTION("IMPORTRANGE(H3036,""IDENTITAS UNIT!D9"")"),"#N/A")</f>
        <v>#N/A</v>
      </c>
      <c r="H3036" s="4" t="str">
        <v/>
      </c>
      <c r="I3036" s="4" t="str">
        <v/>
      </c>
    </row>
    <row r="3037" spans="5:9" ht="16.5" hidden="1">
      <c r="E3037" s="4" t="str">
        <v/>
      </c>
      <c r="F3037" s="102" t="str">
        <f ca="1">IFERROR(__xludf.DUMMYFUNCTION("IMPORTRANGE(H3037,""IDENTITAS UNIT!D9"")"),"#N/A")</f>
        <v>#N/A</v>
      </c>
      <c r="H3037" s="4" t="str">
        <v/>
      </c>
      <c r="I3037" s="4" t="str">
        <v/>
      </c>
    </row>
    <row r="3038" spans="5:9" ht="16.5" hidden="1">
      <c r="E3038" s="4" t="str">
        <v/>
      </c>
      <c r="F3038" s="102" t="str">
        <f ca="1">IFERROR(__xludf.DUMMYFUNCTION("IMPORTRANGE(H3038,""IDENTITAS UNIT!D9"")"),"#N/A")</f>
        <v>#N/A</v>
      </c>
      <c r="H3038" s="4" t="str">
        <v/>
      </c>
      <c r="I3038" s="4" t="str">
        <v/>
      </c>
    </row>
    <row r="3039" spans="5:9" ht="16.5" hidden="1">
      <c r="E3039" s="4" t="str">
        <v/>
      </c>
      <c r="F3039" s="102" t="str">
        <f ca="1">IFERROR(__xludf.DUMMYFUNCTION("IMPORTRANGE(H3039,""IDENTITAS UNIT!D9"")"),"#N/A")</f>
        <v>#N/A</v>
      </c>
      <c r="H3039" s="4" t="str">
        <v/>
      </c>
      <c r="I3039" s="4" t="str">
        <v/>
      </c>
    </row>
    <row r="3040" spans="5:9" ht="16.5" hidden="1">
      <c r="E3040" s="4" t="str">
        <v/>
      </c>
      <c r="F3040" s="102" t="str">
        <f ca="1">IFERROR(__xludf.DUMMYFUNCTION("IMPORTRANGE(H3040,""IDENTITAS UNIT!D9"")"),"#N/A")</f>
        <v>#N/A</v>
      </c>
      <c r="H3040" s="4" t="str">
        <v/>
      </c>
      <c r="I3040" s="4" t="str">
        <v/>
      </c>
    </row>
    <row r="3041" spans="5:9" ht="16.5" hidden="1">
      <c r="E3041" s="4" t="str">
        <v/>
      </c>
      <c r="F3041" s="102" t="str">
        <f ca="1">IFERROR(__xludf.DUMMYFUNCTION("IMPORTRANGE(H3041,""IDENTITAS UNIT!D9"")"),"#N/A")</f>
        <v>#N/A</v>
      </c>
      <c r="H3041" s="4" t="str">
        <v/>
      </c>
      <c r="I3041" s="4" t="str">
        <v/>
      </c>
    </row>
    <row r="3042" spans="5:9" ht="16.5" hidden="1">
      <c r="E3042" s="4" t="str">
        <v/>
      </c>
      <c r="F3042" s="102" t="str">
        <f ca="1">IFERROR(__xludf.DUMMYFUNCTION("IMPORTRANGE(H3042,""IDENTITAS UNIT!D9"")"),"#N/A")</f>
        <v>#N/A</v>
      </c>
      <c r="H3042" s="4" t="str">
        <v/>
      </c>
      <c r="I3042" s="4" t="str">
        <v/>
      </c>
    </row>
    <row r="3043" spans="5:9" ht="16.5" hidden="1">
      <c r="E3043" s="4" t="str">
        <v/>
      </c>
      <c r="F3043" s="102" t="str">
        <f ca="1">IFERROR(__xludf.DUMMYFUNCTION("IMPORTRANGE(H3043,""IDENTITAS UNIT!D9"")"),"#N/A")</f>
        <v>#N/A</v>
      </c>
      <c r="H3043" s="4" t="str">
        <v/>
      </c>
      <c r="I3043" s="4" t="str">
        <v/>
      </c>
    </row>
    <row r="3044" spans="5:9" ht="16.5" hidden="1">
      <c r="E3044" s="4" t="str">
        <v/>
      </c>
      <c r="F3044" s="102" t="str">
        <f ca="1">IFERROR(__xludf.DUMMYFUNCTION("IMPORTRANGE(H3044,""IDENTITAS UNIT!D9"")"),"#N/A")</f>
        <v>#N/A</v>
      </c>
      <c r="H3044" s="4" t="str">
        <v/>
      </c>
      <c r="I3044" s="4" t="str">
        <v/>
      </c>
    </row>
    <row r="3045" spans="5:9" ht="16.5" hidden="1">
      <c r="E3045" s="4" t="str">
        <v/>
      </c>
      <c r="F3045" s="102" t="str">
        <f ca="1">IFERROR(__xludf.DUMMYFUNCTION("IMPORTRANGE(H3045,""IDENTITAS UNIT!D9"")"),"#N/A")</f>
        <v>#N/A</v>
      </c>
      <c r="H3045" s="4" t="str">
        <v/>
      </c>
      <c r="I3045" s="4" t="str">
        <v/>
      </c>
    </row>
    <row r="3046" spans="5:9" ht="16.5" hidden="1">
      <c r="E3046" s="4" t="str">
        <v/>
      </c>
      <c r="F3046" s="102" t="str">
        <f ca="1">IFERROR(__xludf.DUMMYFUNCTION("IMPORTRANGE(H3046,""IDENTITAS UNIT!D9"")"),"#N/A")</f>
        <v>#N/A</v>
      </c>
      <c r="H3046" s="4" t="str">
        <v/>
      </c>
      <c r="I3046" s="4" t="str">
        <v/>
      </c>
    </row>
    <row r="3047" spans="5:9" ht="16.5" hidden="1">
      <c r="E3047" s="4" t="str">
        <v/>
      </c>
      <c r="F3047" s="102" t="str">
        <f ca="1">IFERROR(__xludf.DUMMYFUNCTION("IMPORTRANGE(H3047,""IDENTITAS UNIT!D9"")"),"#N/A")</f>
        <v>#N/A</v>
      </c>
      <c r="H3047" s="4" t="str">
        <v/>
      </c>
      <c r="I3047" s="4" t="str">
        <v/>
      </c>
    </row>
    <row r="3048" spans="5:9" ht="16.5" hidden="1">
      <c r="E3048" s="4" t="str">
        <v/>
      </c>
      <c r="F3048" s="102" t="str">
        <f ca="1">IFERROR(__xludf.DUMMYFUNCTION("IMPORTRANGE(H3048,""IDENTITAS UNIT!D9"")"),"#N/A")</f>
        <v>#N/A</v>
      </c>
      <c r="H3048" s="4" t="str">
        <v/>
      </c>
      <c r="I3048" s="4" t="str">
        <v/>
      </c>
    </row>
    <row r="3049" spans="5:9" ht="16.5" hidden="1">
      <c r="E3049" s="4" t="str">
        <v/>
      </c>
      <c r="F3049" s="102" t="str">
        <f ca="1">IFERROR(__xludf.DUMMYFUNCTION("IMPORTRANGE(H3049,""IDENTITAS UNIT!D9"")"),"#N/A")</f>
        <v>#N/A</v>
      </c>
      <c r="H3049" s="4" t="str">
        <v/>
      </c>
      <c r="I3049" s="4" t="str">
        <v/>
      </c>
    </row>
    <row r="3050" spans="5:9" ht="16.5" hidden="1">
      <c r="E3050" s="4" t="str">
        <v/>
      </c>
      <c r="F3050" s="102" t="str">
        <f ca="1">IFERROR(__xludf.DUMMYFUNCTION("IMPORTRANGE(H3050,""IDENTITAS UNIT!D9"")"),"#N/A")</f>
        <v>#N/A</v>
      </c>
      <c r="H3050" s="4" t="str">
        <v/>
      </c>
      <c r="I3050" s="4" t="str">
        <v/>
      </c>
    </row>
    <row r="3051" spans="5:9" ht="16.5" hidden="1">
      <c r="E3051" s="4" t="str">
        <v/>
      </c>
      <c r="F3051" s="102" t="str">
        <f ca="1">IFERROR(__xludf.DUMMYFUNCTION("IMPORTRANGE(H3051,""IDENTITAS UNIT!D9"")"),"#N/A")</f>
        <v>#N/A</v>
      </c>
      <c r="H3051" s="4" t="str">
        <v/>
      </c>
      <c r="I3051" s="4" t="str">
        <v/>
      </c>
    </row>
    <row r="3052" spans="5:9" ht="16.5" hidden="1">
      <c r="E3052" s="4" t="str">
        <v/>
      </c>
      <c r="F3052" s="102" t="str">
        <f ca="1">IFERROR(__xludf.DUMMYFUNCTION("IMPORTRANGE(H3052,""IDENTITAS UNIT!D9"")"),"#N/A")</f>
        <v>#N/A</v>
      </c>
      <c r="H3052" s="4" t="str">
        <v/>
      </c>
      <c r="I3052" s="4" t="str">
        <v/>
      </c>
    </row>
    <row r="3053" spans="5:9" ht="16.5" hidden="1">
      <c r="E3053" s="4" t="str">
        <v/>
      </c>
      <c r="F3053" s="102" t="str">
        <f ca="1">IFERROR(__xludf.DUMMYFUNCTION("IMPORTRANGE(H3053,""IDENTITAS UNIT!D9"")"),"#N/A")</f>
        <v>#N/A</v>
      </c>
      <c r="H3053" s="4" t="str">
        <v/>
      </c>
      <c r="I3053" s="4" t="str">
        <v/>
      </c>
    </row>
    <row r="3054" spans="5:9" ht="16.5" hidden="1">
      <c r="E3054" s="4" t="str">
        <v/>
      </c>
      <c r="F3054" s="102" t="str">
        <f ca="1">IFERROR(__xludf.DUMMYFUNCTION("IMPORTRANGE(H3054,""IDENTITAS UNIT!D9"")"),"#N/A")</f>
        <v>#N/A</v>
      </c>
      <c r="H3054" s="4" t="str">
        <v/>
      </c>
      <c r="I3054" s="4" t="str">
        <v/>
      </c>
    </row>
    <row r="3055" spans="5:9" ht="16.5" hidden="1">
      <c r="E3055" s="4" t="str">
        <v/>
      </c>
      <c r="F3055" s="102" t="str">
        <f ca="1">IFERROR(__xludf.DUMMYFUNCTION("IMPORTRANGE(H3055,""IDENTITAS UNIT!D9"")"),"#N/A")</f>
        <v>#N/A</v>
      </c>
      <c r="H3055" s="4" t="str">
        <v/>
      </c>
      <c r="I3055" s="4" t="str">
        <v/>
      </c>
    </row>
    <row r="3056" spans="5:9" ht="16.5" hidden="1">
      <c r="E3056" s="4" t="str">
        <v/>
      </c>
      <c r="F3056" s="102" t="str">
        <f ca="1">IFERROR(__xludf.DUMMYFUNCTION("IMPORTRANGE(H3056,""IDENTITAS UNIT!D9"")"),"#N/A")</f>
        <v>#N/A</v>
      </c>
      <c r="H3056" s="4" t="str">
        <v/>
      </c>
      <c r="I3056" s="4" t="str">
        <v/>
      </c>
    </row>
    <row r="3057" spans="5:9" ht="16.5" hidden="1">
      <c r="E3057" s="4" t="str">
        <v/>
      </c>
      <c r="F3057" s="102" t="str">
        <f ca="1">IFERROR(__xludf.DUMMYFUNCTION("IMPORTRANGE(H3057,""IDENTITAS UNIT!D9"")"),"#N/A")</f>
        <v>#N/A</v>
      </c>
      <c r="H3057" s="4" t="str">
        <v/>
      </c>
      <c r="I3057" s="4" t="str">
        <v/>
      </c>
    </row>
    <row r="3058" spans="5:9" ht="16.5" hidden="1">
      <c r="E3058" s="4" t="str">
        <v/>
      </c>
      <c r="F3058" s="102" t="str">
        <f ca="1">IFERROR(__xludf.DUMMYFUNCTION("IMPORTRANGE(H3058,""IDENTITAS UNIT!D9"")"),"#N/A")</f>
        <v>#N/A</v>
      </c>
      <c r="H3058" s="4" t="str">
        <v/>
      </c>
      <c r="I3058" s="4" t="str">
        <v/>
      </c>
    </row>
    <row r="3059" spans="5:9" ht="16.5" hidden="1">
      <c r="E3059" s="4" t="str">
        <v/>
      </c>
      <c r="F3059" s="102" t="str">
        <f ca="1">IFERROR(__xludf.DUMMYFUNCTION("IMPORTRANGE(H3059,""IDENTITAS UNIT!D9"")"),"#N/A")</f>
        <v>#N/A</v>
      </c>
      <c r="H3059" s="4" t="str">
        <v/>
      </c>
      <c r="I3059" s="4" t="str">
        <v/>
      </c>
    </row>
    <row r="3060" spans="5:9" ht="16.5" hidden="1">
      <c r="E3060" s="4" t="str">
        <v/>
      </c>
      <c r="F3060" s="102" t="str">
        <f ca="1">IFERROR(__xludf.DUMMYFUNCTION("IMPORTRANGE(H3060,""IDENTITAS UNIT!D9"")"),"#N/A")</f>
        <v>#N/A</v>
      </c>
      <c r="H3060" s="4" t="str">
        <v/>
      </c>
      <c r="I3060" s="4" t="str">
        <v/>
      </c>
    </row>
    <row r="3061" spans="5:9" ht="16.5" hidden="1">
      <c r="E3061" s="4" t="str">
        <v/>
      </c>
      <c r="F3061" s="102" t="str">
        <f ca="1">IFERROR(__xludf.DUMMYFUNCTION("IMPORTRANGE(H3061,""IDENTITAS UNIT!D9"")"),"#N/A")</f>
        <v>#N/A</v>
      </c>
      <c r="H3061" s="4" t="str">
        <v/>
      </c>
      <c r="I3061" s="4" t="str">
        <v/>
      </c>
    </row>
    <row r="3062" spans="5:9" ht="16.5" hidden="1">
      <c r="E3062" s="4" t="str">
        <v/>
      </c>
      <c r="F3062" s="102" t="str">
        <f ca="1">IFERROR(__xludf.DUMMYFUNCTION("IMPORTRANGE(H3062,""IDENTITAS UNIT!D9"")"),"#N/A")</f>
        <v>#N/A</v>
      </c>
      <c r="H3062" s="4" t="str">
        <v/>
      </c>
      <c r="I3062" s="4" t="str">
        <v/>
      </c>
    </row>
    <row r="3063" spans="5:9" ht="16.5" hidden="1">
      <c r="E3063" s="4" t="str">
        <v/>
      </c>
      <c r="F3063" s="102" t="str">
        <f ca="1">IFERROR(__xludf.DUMMYFUNCTION("IMPORTRANGE(H3063,""IDENTITAS UNIT!D9"")"),"#N/A")</f>
        <v>#N/A</v>
      </c>
      <c r="H3063" s="4" t="str">
        <v/>
      </c>
      <c r="I3063" s="4" t="str">
        <v/>
      </c>
    </row>
    <row r="3064" spans="5:9" ht="16.5" hidden="1">
      <c r="E3064" s="4" t="str">
        <v/>
      </c>
      <c r="F3064" s="102" t="str">
        <f ca="1">IFERROR(__xludf.DUMMYFUNCTION("IMPORTRANGE(H3064,""IDENTITAS UNIT!D9"")"),"#N/A")</f>
        <v>#N/A</v>
      </c>
      <c r="H3064" s="4" t="str">
        <v/>
      </c>
      <c r="I3064" s="4" t="str">
        <v/>
      </c>
    </row>
    <row r="3065" spans="5:9" ht="16.5" hidden="1">
      <c r="E3065" s="4" t="str">
        <v/>
      </c>
      <c r="F3065" s="102" t="str">
        <f ca="1">IFERROR(__xludf.DUMMYFUNCTION("IMPORTRANGE(H3065,""IDENTITAS UNIT!D9"")"),"#N/A")</f>
        <v>#N/A</v>
      </c>
      <c r="H3065" s="4" t="str">
        <v/>
      </c>
      <c r="I3065" s="4" t="str">
        <v/>
      </c>
    </row>
    <row r="3066" spans="5:9" ht="16.5" hidden="1">
      <c r="E3066" s="4" t="str">
        <v/>
      </c>
      <c r="F3066" s="102" t="str">
        <f ca="1">IFERROR(__xludf.DUMMYFUNCTION("IMPORTRANGE(H3066,""IDENTITAS UNIT!D9"")"),"#N/A")</f>
        <v>#N/A</v>
      </c>
      <c r="H3066" s="4" t="str">
        <v/>
      </c>
      <c r="I3066" s="4" t="str">
        <v/>
      </c>
    </row>
    <row r="3067" spans="5:9" ht="16.5" hidden="1">
      <c r="E3067" s="4" t="str">
        <v/>
      </c>
      <c r="F3067" s="102" t="str">
        <f ca="1">IFERROR(__xludf.DUMMYFUNCTION("IMPORTRANGE(H3067,""IDENTITAS UNIT!D9"")"),"#N/A")</f>
        <v>#N/A</v>
      </c>
      <c r="H3067" s="4" t="str">
        <v/>
      </c>
      <c r="I3067" s="4" t="str">
        <v/>
      </c>
    </row>
    <row r="3068" spans="5:9" ht="16.5" hidden="1">
      <c r="E3068" s="4" t="str">
        <v/>
      </c>
      <c r="F3068" s="102" t="str">
        <f ca="1">IFERROR(__xludf.DUMMYFUNCTION("IMPORTRANGE(H3068,""IDENTITAS UNIT!D9"")"),"#N/A")</f>
        <v>#N/A</v>
      </c>
      <c r="H3068" s="4" t="str">
        <v/>
      </c>
      <c r="I3068" s="4" t="str">
        <v/>
      </c>
    </row>
    <row r="3069" spans="5:9" ht="16.5" hidden="1">
      <c r="E3069" s="4" t="str">
        <v/>
      </c>
      <c r="F3069" s="102" t="str">
        <f ca="1">IFERROR(__xludf.DUMMYFUNCTION("IMPORTRANGE(H3069,""IDENTITAS UNIT!D9"")"),"#N/A")</f>
        <v>#N/A</v>
      </c>
      <c r="H3069" s="4" t="str">
        <v/>
      </c>
      <c r="I3069" s="4" t="str">
        <v/>
      </c>
    </row>
    <row r="3070" spans="5:9" ht="16.5" hidden="1">
      <c r="E3070" s="4" t="str">
        <v/>
      </c>
      <c r="F3070" s="102" t="str">
        <f ca="1">IFERROR(__xludf.DUMMYFUNCTION("IMPORTRANGE(H3070,""IDENTITAS UNIT!D9"")"),"#N/A")</f>
        <v>#N/A</v>
      </c>
      <c r="H3070" s="4" t="str">
        <v/>
      </c>
      <c r="I3070" s="4" t="str">
        <v/>
      </c>
    </row>
    <row r="3071" spans="5:9" ht="16.5" hidden="1">
      <c r="E3071" s="4" t="str">
        <v/>
      </c>
      <c r="F3071" s="102" t="str">
        <f ca="1">IFERROR(__xludf.DUMMYFUNCTION("IMPORTRANGE(H3071,""IDENTITAS UNIT!D9"")"),"#N/A")</f>
        <v>#N/A</v>
      </c>
      <c r="H3071" s="4" t="str">
        <v/>
      </c>
      <c r="I3071" s="4" t="str">
        <v/>
      </c>
    </row>
    <row r="3072" spans="5:9" ht="16.5" hidden="1">
      <c r="E3072" s="4" t="str">
        <v/>
      </c>
      <c r="F3072" s="102" t="str">
        <f ca="1">IFERROR(__xludf.DUMMYFUNCTION("IMPORTRANGE(H3072,""IDENTITAS UNIT!D9"")"),"#N/A")</f>
        <v>#N/A</v>
      </c>
      <c r="H3072" s="4" t="str">
        <v/>
      </c>
      <c r="I3072" s="4" t="str">
        <v/>
      </c>
    </row>
    <row r="3073" spans="5:9" ht="16.5" hidden="1">
      <c r="E3073" s="4" t="str">
        <v/>
      </c>
      <c r="F3073" s="102" t="str">
        <f ca="1">IFERROR(__xludf.DUMMYFUNCTION("IMPORTRANGE(H3073,""IDENTITAS UNIT!D9"")"),"#N/A")</f>
        <v>#N/A</v>
      </c>
      <c r="H3073" s="4" t="str">
        <v/>
      </c>
      <c r="I3073" s="4" t="str">
        <v/>
      </c>
    </row>
    <row r="3074" spans="5:9" ht="16.5" hidden="1">
      <c r="E3074" s="4" t="str">
        <v/>
      </c>
      <c r="F3074" s="102" t="str">
        <f ca="1">IFERROR(__xludf.DUMMYFUNCTION("IMPORTRANGE(H3074,""IDENTITAS UNIT!D9"")"),"#N/A")</f>
        <v>#N/A</v>
      </c>
      <c r="H3074" s="4" t="str">
        <v/>
      </c>
      <c r="I3074" s="4" t="str">
        <v/>
      </c>
    </row>
    <row r="3075" spans="5:9" ht="16.5" hidden="1">
      <c r="E3075" s="4" t="str">
        <v/>
      </c>
      <c r="F3075" s="102" t="str">
        <f ca="1">IFERROR(__xludf.DUMMYFUNCTION("IMPORTRANGE(H3075,""IDENTITAS UNIT!D9"")"),"#N/A")</f>
        <v>#N/A</v>
      </c>
      <c r="H3075" s="4" t="str">
        <v/>
      </c>
      <c r="I3075" s="4" t="str">
        <v/>
      </c>
    </row>
    <row r="3076" spans="5:9" ht="16.5" hidden="1">
      <c r="E3076" s="4" t="str">
        <v/>
      </c>
      <c r="F3076" s="102" t="str">
        <f ca="1">IFERROR(__xludf.DUMMYFUNCTION("IMPORTRANGE(H3076,""IDENTITAS UNIT!D9"")"),"#N/A")</f>
        <v>#N/A</v>
      </c>
      <c r="H3076" s="4" t="str">
        <v/>
      </c>
      <c r="I3076" s="4" t="str">
        <v/>
      </c>
    </row>
    <row r="3077" spans="5:9" ht="16.5" hidden="1">
      <c r="E3077" s="4" t="str">
        <v/>
      </c>
      <c r="F3077" s="102" t="str">
        <f ca="1">IFERROR(__xludf.DUMMYFUNCTION("IMPORTRANGE(H3077,""IDENTITAS UNIT!D9"")"),"#N/A")</f>
        <v>#N/A</v>
      </c>
      <c r="H3077" s="4" t="str">
        <v/>
      </c>
      <c r="I3077" s="4" t="str">
        <v/>
      </c>
    </row>
    <row r="3078" spans="5:9" ht="16.5" hidden="1">
      <c r="E3078" s="4" t="str">
        <v/>
      </c>
      <c r="F3078" s="102" t="str">
        <f ca="1">IFERROR(__xludf.DUMMYFUNCTION("IMPORTRANGE(H3078,""IDENTITAS UNIT!D9"")"),"#N/A")</f>
        <v>#N/A</v>
      </c>
      <c r="H3078" s="4" t="str">
        <v/>
      </c>
      <c r="I3078" s="4" t="str">
        <v/>
      </c>
    </row>
    <row r="3079" spans="5:9" ht="16.5" hidden="1">
      <c r="E3079" s="4" t="str">
        <v/>
      </c>
      <c r="F3079" s="102" t="str">
        <f ca="1">IFERROR(__xludf.DUMMYFUNCTION("IMPORTRANGE(H3079,""IDENTITAS UNIT!D9"")"),"#N/A")</f>
        <v>#N/A</v>
      </c>
      <c r="H3079" s="4" t="str">
        <v/>
      </c>
      <c r="I3079" s="4" t="str">
        <v/>
      </c>
    </row>
    <row r="3080" spans="5:9" ht="16.5" hidden="1">
      <c r="E3080" s="4" t="str">
        <v/>
      </c>
      <c r="F3080" s="102" t="str">
        <f ca="1">IFERROR(__xludf.DUMMYFUNCTION("IMPORTRANGE(H3080,""IDENTITAS UNIT!D9"")"),"#N/A")</f>
        <v>#N/A</v>
      </c>
      <c r="H3080" s="4" t="str">
        <v/>
      </c>
      <c r="I3080" s="4" t="str">
        <v/>
      </c>
    </row>
    <row r="3081" spans="5:9" ht="16.5" hidden="1">
      <c r="E3081" s="4" t="str">
        <v/>
      </c>
      <c r="F3081" s="102" t="str">
        <f ca="1">IFERROR(__xludf.DUMMYFUNCTION("IMPORTRANGE(H3081,""IDENTITAS UNIT!D9"")"),"#N/A")</f>
        <v>#N/A</v>
      </c>
      <c r="H3081" s="4" t="str">
        <v/>
      </c>
      <c r="I3081" s="4" t="str">
        <v/>
      </c>
    </row>
    <row r="3082" spans="5:9" ht="16.5" hidden="1">
      <c r="E3082" s="4" t="str">
        <v/>
      </c>
      <c r="F3082" s="102" t="str">
        <f ca="1">IFERROR(__xludf.DUMMYFUNCTION("IMPORTRANGE(H3082,""IDENTITAS UNIT!D9"")"),"#N/A")</f>
        <v>#N/A</v>
      </c>
      <c r="H3082" s="4" t="str">
        <v/>
      </c>
      <c r="I3082" s="4" t="str">
        <v/>
      </c>
    </row>
    <row r="3083" spans="5:9" ht="16.5" hidden="1">
      <c r="E3083" s="4" t="str">
        <v/>
      </c>
      <c r="F3083" s="102" t="str">
        <f ca="1">IFERROR(__xludf.DUMMYFUNCTION("IMPORTRANGE(H3083,""IDENTITAS UNIT!D9"")"),"#N/A")</f>
        <v>#N/A</v>
      </c>
      <c r="H3083" s="4" t="str">
        <v/>
      </c>
      <c r="I3083" s="4" t="str">
        <v/>
      </c>
    </row>
    <row r="3084" spans="5:9" ht="16.5" hidden="1">
      <c r="E3084" s="4" t="str">
        <v/>
      </c>
      <c r="F3084" s="102" t="str">
        <f ca="1">IFERROR(__xludf.DUMMYFUNCTION("IMPORTRANGE(H3084,""IDENTITAS UNIT!D9"")"),"#N/A")</f>
        <v>#N/A</v>
      </c>
      <c r="H3084" s="4" t="str">
        <v/>
      </c>
      <c r="I3084" s="4" t="str">
        <v/>
      </c>
    </row>
    <row r="3085" spans="5:9" ht="16.5" hidden="1">
      <c r="E3085" s="4" t="str">
        <v/>
      </c>
      <c r="F3085" s="102" t="str">
        <f ca="1">IFERROR(__xludf.DUMMYFUNCTION("IMPORTRANGE(H3085,""IDENTITAS UNIT!D9"")"),"#N/A")</f>
        <v>#N/A</v>
      </c>
      <c r="H3085" s="4" t="str">
        <v/>
      </c>
      <c r="I3085" s="4" t="str">
        <v/>
      </c>
    </row>
    <row r="3086" spans="5:9" ht="16.5" hidden="1">
      <c r="E3086" s="4" t="str">
        <v/>
      </c>
      <c r="F3086" s="102" t="str">
        <f ca="1">IFERROR(__xludf.DUMMYFUNCTION("IMPORTRANGE(H3086,""IDENTITAS UNIT!D9"")"),"#N/A")</f>
        <v>#N/A</v>
      </c>
      <c r="H3086" s="4" t="str">
        <v/>
      </c>
      <c r="I3086" s="4" t="str">
        <v/>
      </c>
    </row>
    <row r="3087" spans="5:9" ht="16.5" hidden="1">
      <c r="E3087" s="4" t="str">
        <v/>
      </c>
      <c r="F3087" s="102" t="str">
        <f ca="1">IFERROR(__xludf.DUMMYFUNCTION("IMPORTRANGE(H3087,""IDENTITAS UNIT!D9"")"),"#N/A")</f>
        <v>#N/A</v>
      </c>
      <c r="H3087" s="4" t="str">
        <v/>
      </c>
      <c r="I3087" s="4" t="str">
        <v/>
      </c>
    </row>
    <row r="3088" spans="5:9" ht="16.5" hidden="1">
      <c r="E3088" s="4" t="str">
        <v/>
      </c>
      <c r="F3088" s="102" t="str">
        <f ca="1">IFERROR(__xludf.DUMMYFUNCTION("IMPORTRANGE(H3088,""IDENTITAS UNIT!D9"")"),"#N/A")</f>
        <v>#N/A</v>
      </c>
      <c r="H3088" s="4" t="str">
        <v/>
      </c>
      <c r="I3088" s="4" t="str">
        <v/>
      </c>
    </row>
    <row r="3089" spans="5:9" ht="16.5" hidden="1">
      <c r="E3089" s="4" t="str">
        <v/>
      </c>
      <c r="F3089" s="102" t="str">
        <f ca="1">IFERROR(__xludf.DUMMYFUNCTION("IMPORTRANGE(H3089,""IDENTITAS UNIT!D9"")"),"#N/A")</f>
        <v>#N/A</v>
      </c>
      <c r="H3089" s="4" t="str">
        <v/>
      </c>
      <c r="I3089" s="4" t="str">
        <v/>
      </c>
    </row>
    <row r="3090" spans="5:9" ht="16.5" hidden="1">
      <c r="E3090" s="4" t="str">
        <v/>
      </c>
      <c r="F3090" s="102" t="str">
        <f ca="1">IFERROR(__xludf.DUMMYFUNCTION("IMPORTRANGE(H3090,""IDENTITAS UNIT!D9"")"),"#N/A")</f>
        <v>#N/A</v>
      </c>
      <c r="H3090" s="4" t="str">
        <v/>
      </c>
      <c r="I3090" s="4" t="str">
        <v/>
      </c>
    </row>
    <row r="3091" spans="5:9" ht="16.5" hidden="1">
      <c r="E3091" s="4" t="str">
        <v/>
      </c>
      <c r="F3091" s="102" t="str">
        <f ca="1">IFERROR(__xludf.DUMMYFUNCTION("IMPORTRANGE(H3091,""IDENTITAS UNIT!D9"")"),"#N/A")</f>
        <v>#N/A</v>
      </c>
      <c r="H3091" s="4" t="str">
        <v/>
      </c>
      <c r="I3091" s="4" t="str">
        <v/>
      </c>
    </row>
    <row r="3092" spans="5:9" ht="16.5" hidden="1">
      <c r="E3092" s="4" t="str">
        <v/>
      </c>
      <c r="F3092" s="102" t="str">
        <f ca="1">IFERROR(__xludf.DUMMYFUNCTION("IMPORTRANGE(H3092,""IDENTITAS UNIT!D9"")"),"#N/A")</f>
        <v>#N/A</v>
      </c>
      <c r="H3092" s="4" t="str">
        <v/>
      </c>
      <c r="I3092" s="4" t="str">
        <v/>
      </c>
    </row>
    <row r="3093" spans="5:9" ht="16.5" hidden="1">
      <c r="E3093" s="4" t="str">
        <v/>
      </c>
      <c r="F3093" s="102" t="str">
        <f ca="1">IFERROR(__xludf.DUMMYFUNCTION("IMPORTRANGE(H3093,""IDENTITAS UNIT!D9"")"),"#N/A")</f>
        <v>#N/A</v>
      </c>
      <c r="H3093" s="4" t="str">
        <v/>
      </c>
      <c r="I3093" s="4" t="str">
        <v/>
      </c>
    </row>
    <row r="3094" spans="5:9" ht="16.5" hidden="1">
      <c r="E3094" s="4" t="str">
        <v/>
      </c>
      <c r="F3094" s="102" t="str">
        <f ca="1">IFERROR(__xludf.DUMMYFUNCTION("IMPORTRANGE(H3094,""IDENTITAS UNIT!D9"")"),"#N/A")</f>
        <v>#N/A</v>
      </c>
      <c r="H3094" s="4" t="str">
        <v/>
      </c>
      <c r="I3094" s="4" t="str">
        <v/>
      </c>
    </row>
    <row r="3095" spans="5:9" ht="16.5" hidden="1">
      <c r="E3095" s="4" t="str">
        <v/>
      </c>
      <c r="F3095" s="102" t="str">
        <f ca="1">IFERROR(__xludf.DUMMYFUNCTION("IMPORTRANGE(H3095,""IDENTITAS UNIT!D9"")"),"#N/A")</f>
        <v>#N/A</v>
      </c>
      <c r="H3095" s="4" t="str">
        <v/>
      </c>
      <c r="I3095" s="4" t="str">
        <v/>
      </c>
    </row>
    <row r="3096" spans="5:9" ht="16.5" hidden="1">
      <c r="E3096" s="4" t="str">
        <v/>
      </c>
      <c r="F3096" s="102" t="str">
        <f ca="1">IFERROR(__xludf.DUMMYFUNCTION("IMPORTRANGE(H3096,""IDENTITAS UNIT!D9"")"),"#N/A")</f>
        <v>#N/A</v>
      </c>
      <c r="H3096" s="4" t="str">
        <v/>
      </c>
      <c r="I3096" s="4" t="str">
        <v/>
      </c>
    </row>
    <row r="3097" spans="5:9" ht="16.5" hidden="1">
      <c r="E3097" s="4" t="str">
        <v/>
      </c>
      <c r="F3097" s="102" t="str">
        <f ca="1">IFERROR(__xludf.DUMMYFUNCTION("IMPORTRANGE(H3097,""IDENTITAS UNIT!D9"")"),"#N/A")</f>
        <v>#N/A</v>
      </c>
      <c r="H3097" s="4" t="str">
        <v/>
      </c>
      <c r="I3097" s="4" t="str">
        <v/>
      </c>
    </row>
    <row r="3098" spans="5:9" ht="16.5" hidden="1">
      <c r="E3098" s="4" t="str">
        <v/>
      </c>
      <c r="F3098" s="102" t="str">
        <f ca="1">IFERROR(__xludf.DUMMYFUNCTION("IMPORTRANGE(H3098,""IDENTITAS UNIT!D9"")"),"#N/A")</f>
        <v>#N/A</v>
      </c>
      <c r="H3098" s="4" t="str">
        <v/>
      </c>
      <c r="I3098" s="4" t="str">
        <v/>
      </c>
    </row>
    <row r="3099" spans="5:9" ht="16.5" hidden="1">
      <c r="E3099" s="4" t="str">
        <v/>
      </c>
      <c r="F3099" s="102" t="str">
        <f ca="1">IFERROR(__xludf.DUMMYFUNCTION("IMPORTRANGE(H3099,""IDENTITAS UNIT!D9"")"),"#N/A")</f>
        <v>#N/A</v>
      </c>
      <c r="H3099" s="4" t="str">
        <v/>
      </c>
      <c r="I3099" s="4" t="str">
        <v/>
      </c>
    </row>
    <row r="3100" spans="5:9" ht="16.5" hidden="1">
      <c r="E3100" s="4" t="str">
        <v/>
      </c>
      <c r="F3100" s="102" t="str">
        <f ca="1">IFERROR(__xludf.DUMMYFUNCTION("IMPORTRANGE(H3100,""IDENTITAS UNIT!D9"")"),"#N/A")</f>
        <v>#N/A</v>
      </c>
      <c r="H3100" s="4" t="str">
        <v/>
      </c>
      <c r="I3100" s="4" t="str">
        <v/>
      </c>
    </row>
    <row r="3101" spans="5:9" ht="16.5" hidden="1">
      <c r="E3101" s="4" t="str">
        <v/>
      </c>
      <c r="F3101" s="102" t="str">
        <f ca="1">IFERROR(__xludf.DUMMYFUNCTION("IMPORTRANGE(H3101,""IDENTITAS UNIT!D9"")"),"#N/A")</f>
        <v>#N/A</v>
      </c>
      <c r="H3101" s="4" t="str">
        <v/>
      </c>
      <c r="I3101" s="4" t="str">
        <v/>
      </c>
    </row>
    <row r="3102" spans="5:9" ht="16.5" hidden="1">
      <c r="E3102" s="4" t="str">
        <v/>
      </c>
      <c r="F3102" s="102" t="str">
        <f ca="1">IFERROR(__xludf.DUMMYFUNCTION("IMPORTRANGE(H3102,""IDENTITAS UNIT!D9"")"),"#N/A")</f>
        <v>#N/A</v>
      </c>
      <c r="H3102" s="4" t="str">
        <v/>
      </c>
      <c r="I3102" s="4" t="str">
        <v/>
      </c>
    </row>
    <row r="3103" spans="5:9" ht="16.5" hidden="1">
      <c r="E3103" s="4" t="str">
        <v/>
      </c>
      <c r="F3103" s="102" t="str">
        <f ca="1">IFERROR(__xludf.DUMMYFUNCTION("IMPORTRANGE(H3103,""IDENTITAS UNIT!D9"")"),"#N/A")</f>
        <v>#N/A</v>
      </c>
      <c r="H3103" s="4" t="str">
        <v/>
      </c>
      <c r="I3103" s="4" t="str">
        <v/>
      </c>
    </row>
    <row r="3104" spans="5:9" ht="16.5" hidden="1">
      <c r="E3104" s="4" t="str">
        <v/>
      </c>
      <c r="F3104" s="102" t="str">
        <f ca="1">IFERROR(__xludf.DUMMYFUNCTION("IMPORTRANGE(H3104,""IDENTITAS UNIT!D9"")"),"#N/A")</f>
        <v>#N/A</v>
      </c>
      <c r="H3104" s="4" t="str">
        <v/>
      </c>
      <c r="I3104" s="4" t="str">
        <v/>
      </c>
    </row>
    <row r="3105" spans="5:9" ht="16.5" hidden="1">
      <c r="E3105" s="4" t="str">
        <v/>
      </c>
      <c r="F3105" s="102" t="str">
        <f ca="1">IFERROR(__xludf.DUMMYFUNCTION("IMPORTRANGE(H3105,""IDENTITAS UNIT!D9"")"),"#N/A")</f>
        <v>#N/A</v>
      </c>
      <c r="H3105" s="4" t="str">
        <v/>
      </c>
      <c r="I3105" s="4" t="str">
        <v/>
      </c>
    </row>
    <row r="3106" spans="5:9" ht="16.5" hidden="1">
      <c r="E3106" s="4" t="str">
        <v/>
      </c>
      <c r="F3106" s="102" t="str">
        <f ca="1">IFERROR(__xludf.DUMMYFUNCTION("IMPORTRANGE(H3106,""IDENTITAS UNIT!D9"")"),"#N/A")</f>
        <v>#N/A</v>
      </c>
      <c r="H3106" s="4" t="str">
        <v/>
      </c>
      <c r="I3106" s="4" t="str">
        <v/>
      </c>
    </row>
    <row r="3107" spans="5:9" ht="16.5" hidden="1">
      <c r="E3107" s="4" t="str">
        <v/>
      </c>
      <c r="F3107" s="102" t="str">
        <f ca="1">IFERROR(__xludf.DUMMYFUNCTION("IMPORTRANGE(H3107,""IDENTITAS UNIT!D9"")"),"#N/A")</f>
        <v>#N/A</v>
      </c>
      <c r="H3107" s="4" t="str">
        <v/>
      </c>
      <c r="I3107" s="4" t="str">
        <v/>
      </c>
    </row>
    <row r="3108" spans="5:9" ht="16.5" hidden="1">
      <c r="E3108" s="4" t="str">
        <v/>
      </c>
      <c r="F3108" s="102" t="str">
        <f ca="1">IFERROR(__xludf.DUMMYFUNCTION("IMPORTRANGE(H3108,""IDENTITAS UNIT!D9"")"),"#N/A")</f>
        <v>#N/A</v>
      </c>
      <c r="H3108" s="4" t="str">
        <v/>
      </c>
      <c r="I3108" s="4" t="str">
        <v/>
      </c>
    </row>
    <row r="3109" spans="5:9" ht="16.5" hidden="1">
      <c r="E3109" s="4" t="str">
        <v/>
      </c>
      <c r="F3109" s="102" t="str">
        <f ca="1">IFERROR(__xludf.DUMMYFUNCTION("IMPORTRANGE(H3109,""IDENTITAS UNIT!D9"")"),"#N/A")</f>
        <v>#N/A</v>
      </c>
      <c r="H3109" s="4" t="str">
        <v/>
      </c>
      <c r="I3109" s="4" t="str">
        <v/>
      </c>
    </row>
    <row r="3110" spans="5:9" ht="16.5" hidden="1">
      <c r="E3110" s="4" t="str">
        <v/>
      </c>
      <c r="F3110" s="102" t="str">
        <f ca="1">IFERROR(__xludf.DUMMYFUNCTION("IMPORTRANGE(H3110,""IDENTITAS UNIT!D9"")"),"#N/A")</f>
        <v>#N/A</v>
      </c>
      <c r="H3110" s="4" t="str">
        <v/>
      </c>
      <c r="I3110" s="4" t="str">
        <v/>
      </c>
    </row>
    <row r="3111" spans="5:9" ht="16.5" hidden="1">
      <c r="E3111" s="4" t="str">
        <v/>
      </c>
      <c r="F3111" s="102" t="str">
        <f ca="1">IFERROR(__xludf.DUMMYFUNCTION("IMPORTRANGE(H3111,""IDENTITAS UNIT!D9"")"),"#N/A")</f>
        <v>#N/A</v>
      </c>
      <c r="H3111" s="4" t="str">
        <v/>
      </c>
      <c r="I3111" s="4" t="str">
        <v/>
      </c>
    </row>
    <row r="3112" spans="5:9" ht="16.5" hidden="1">
      <c r="E3112" s="4" t="str">
        <v/>
      </c>
      <c r="F3112" s="102" t="str">
        <f ca="1">IFERROR(__xludf.DUMMYFUNCTION("IMPORTRANGE(H3112,""IDENTITAS UNIT!D9"")"),"#N/A")</f>
        <v>#N/A</v>
      </c>
      <c r="H3112" s="4" t="str">
        <v/>
      </c>
      <c r="I3112" s="4" t="str">
        <v/>
      </c>
    </row>
    <row r="3113" spans="5:9" ht="16.5" hidden="1">
      <c r="E3113" s="4" t="str">
        <v/>
      </c>
      <c r="F3113" s="102" t="str">
        <f ca="1">IFERROR(__xludf.DUMMYFUNCTION("IMPORTRANGE(H3113,""IDENTITAS UNIT!D9"")"),"#N/A")</f>
        <v>#N/A</v>
      </c>
      <c r="H3113" s="4" t="str">
        <v/>
      </c>
      <c r="I3113" s="4" t="str">
        <v/>
      </c>
    </row>
    <row r="3114" spans="5:9" ht="16.5" hidden="1">
      <c r="E3114" s="4" t="str">
        <v/>
      </c>
      <c r="F3114" s="102" t="str">
        <f ca="1">IFERROR(__xludf.DUMMYFUNCTION("IMPORTRANGE(H3114,""IDENTITAS UNIT!D9"")"),"#N/A")</f>
        <v>#N/A</v>
      </c>
      <c r="H3114" s="4" t="str">
        <v/>
      </c>
      <c r="I3114" s="4" t="str">
        <v/>
      </c>
    </row>
    <row r="3115" spans="5:9" ht="16.5" hidden="1">
      <c r="E3115" s="4" t="str">
        <v/>
      </c>
      <c r="F3115" s="102" t="str">
        <f ca="1">IFERROR(__xludf.DUMMYFUNCTION("IMPORTRANGE(H3115,""IDENTITAS UNIT!D9"")"),"#N/A")</f>
        <v>#N/A</v>
      </c>
      <c r="H3115" s="4" t="str">
        <v/>
      </c>
      <c r="I3115" s="4" t="str">
        <v/>
      </c>
    </row>
    <row r="3116" spans="5:9" ht="16.5" hidden="1">
      <c r="E3116" s="4" t="str">
        <v/>
      </c>
      <c r="F3116" s="102" t="str">
        <f ca="1">IFERROR(__xludf.DUMMYFUNCTION("IMPORTRANGE(H3116,""IDENTITAS UNIT!D9"")"),"#N/A")</f>
        <v>#N/A</v>
      </c>
      <c r="H3116" s="4" t="str">
        <v/>
      </c>
      <c r="I3116" s="4" t="str">
        <v/>
      </c>
    </row>
    <row r="3117" spans="5:9" ht="16.5" hidden="1">
      <c r="E3117" s="4" t="str">
        <v/>
      </c>
      <c r="F3117" s="102" t="str">
        <f ca="1">IFERROR(__xludf.DUMMYFUNCTION("IMPORTRANGE(H3117,""IDENTITAS UNIT!D9"")"),"#N/A")</f>
        <v>#N/A</v>
      </c>
      <c r="H3117" s="4" t="str">
        <v/>
      </c>
      <c r="I3117" s="4" t="str">
        <v/>
      </c>
    </row>
    <row r="3118" spans="5:9" ht="16.5" hidden="1">
      <c r="E3118" s="4" t="str">
        <v/>
      </c>
      <c r="F3118" s="102" t="str">
        <f ca="1">IFERROR(__xludf.DUMMYFUNCTION("IMPORTRANGE(H3118,""IDENTITAS UNIT!D9"")"),"#N/A")</f>
        <v>#N/A</v>
      </c>
      <c r="H3118" s="4" t="str">
        <v/>
      </c>
      <c r="I3118" s="4" t="str">
        <v/>
      </c>
    </row>
    <row r="3119" spans="5:9" ht="16.5" hidden="1">
      <c r="E3119" s="4" t="str">
        <v/>
      </c>
      <c r="F3119" s="102" t="str">
        <f ca="1">IFERROR(__xludf.DUMMYFUNCTION("IMPORTRANGE(H3119,""IDENTITAS UNIT!D9"")"),"#N/A")</f>
        <v>#N/A</v>
      </c>
      <c r="H3119" s="4" t="str">
        <v/>
      </c>
      <c r="I3119" s="4" t="str">
        <v/>
      </c>
    </row>
    <row r="3120" spans="5:9" ht="16.5" hidden="1">
      <c r="E3120" s="4" t="str">
        <v/>
      </c>
      <c r="F3120" s="102" t="str">
        <f ca="1">IFERROR(__xludf.DUMMYFUNCTION("IMPORTRANGE(H3120,""IDENTITAS UNIT!D9"")"),"#N/A")</f>
        <v>#N/A</v>
      </c>
      <c r="H3120" s="4" t="str">
        <v/>
      </c>
      <c r="I3120" s="4" t="str">
        <v/>
      </c>
    </row>
    <row r="3121" spans="5:9" ht="16.5" hidden="1">
      <c r="E3121" s="4" t="str">
        <v/>
      </c>
      <c r="F3121" s="102" t="str">
        <f ca="1">IFERROR(__xludf.DUMMYFUNCTION("IMPORTRANGE(H3121,""IDENTITAS UNIT!D9"")"),"#N/A")</f>
        <v>#N/A</v>
      </c>
      <c r="H3121" s="4" t="str">
        <v/>
      </c>
      <c r="I3121" s="4" t="str">
        <v/>
      </c>
    </row>
    <row r="3122" spans="5:9" ht="16.5" hidden="1">
      <c r="E3122" s="4" t="str">
        <v/>
      </c>
      <c r="F3122" s="102" t="str">
        <f ca="1">IFERROR(__xludf.DUMMYFUNCTION("IMPORTRANGE(H3122,""IDENTITAS UNIT!D9"")"),"#N/A")</f>
        <v>#N/A</v>
      </c>
      <c r="H3122" s="4" t="str">
        <v/>
      </c>
      <c r="I3122" s="4" t="str">
        <v/>
      </c>
    </row>
    <row r="3123" spans="5:9" ht="16.5" hidden="1">
      <c r="E3123" s="4" t="str">
        <v/>
      </c>
      <c r="F3123" s="102" t="str">
        <f ca="1">IFERROR(__xludf.DUMMYFUNCTION("IMPORTRANGE(H3123,""IDENTITAS UNIT!D9"")"),"#N/A")</f>
        <v>#N/A</v>
      </c>
      <c r="H3123" s="4" t="str">
        <v/>
      </c>
      <c r="I3123" s="4" t="str">
        <v/>
      </c>
    </row>
    <row r="3124" spans="5:9" ht="16.5" hidden="1">
      <c r="E3124" s="4" t="str">
        <v/>
      </c>
      <c r="F3124" s="102" t="str">
        <f ca="1">IFERROR(__xludf.DUMMYFUNCTION("IMPORTRANGE(H3124,""IDENTITAS UNIT!D9"")"),"#N/A")</f>
        <v>#N/A</v>
      </c>
      <c r="H3124" s="4" t="str">
        <v/>
      </c>
      <c r="I3124" s="4" t="str">
        <v/>
      </c>
    </row>
    <row r="3125" spans="5:9" ht="16.5" hidden="1">
      <c r="E3125" s="4" t="str">
        <v/>
      </c>
      <c r="F3125" s="102" t="str">
        <f ca="1">IFERROR(__xludf.DUMMYFUNCTION("IMPORTRANGE(H3125,""IDENTITAS UNIT!D9"")"),"#N/A")</f>
        <v>#N/A</v>
      </c>
      <c r="H3125" s="4" t="str">
        <v/>
      </c>
      <c r="I3125" s="4" t="str">
        <v/>
      </c>
    </row>
    <row r="3126" spans="5:9" ht="16.5" hidden="1">
      <c r="E3126" s="4" t="str">
        <v/>
      </c>
      <c r="F3126" s="102" t="str">
        <f ca="1">IFERROR(__xludf.DUMMYFUNCTION("IMPORTRANGE(H3126,""IDENTITAS UNIT!D9"")"),"#N/A")</f>
        <v>#N/A</v>
      </c>
      <c r="H3126" s="4" t="str">
        <v/>
      </c>
      <c r="I3126" s="4" t="str">
        <v/>
      </c>
    </row>
    <row r="3127" spans="5:9" ht="16.5" hidden="1">
      <c r="E3127" s="4" t="str">
        <v/>
      </c>
      <c r="F3127" s="102" t="str">
        <f ca="1">IFERROR(__xludf.DUMMYFUNCTION("IMPORTRANGE(H3127,""IDENTITAS UNIT!D9"")"),"#N/A")</f>
        <v>#N/A</v>
      </c>
      <c r="H3127" s="4" t="str">
        <v/>
      </c>
      <c r="I3127" s="4" t="str">
        <v/>
      </c>
    </row>
    <row r="3128" spans="5:9" ht="16.5" hidden="1">
      <c r="E3128" s="4" t="str">
        <v/>
      </c>
      <c r="F3128" s="102" t="str">
        <f ca="1">IFERROR(__xludf.DUMMYFUNCTION("IMPORTRANGE(H3128,""IDENTITAS UNIT!D9"")"),"#N/A")</f>
        <v>#N/A</v>
      </c>
      <c r="H3128" s="4" t="str">
        <v/>
      </c>
      <c r="I3128" s="4" t="str">
        <v/>
      </c>
    </row>
    <row r="3129" spans="5:9" ht="16.5" hidden="1">
      <c r="E3129" s="4" t="str">
        <v/>
      </c>
      <c r="F3129" s="102" t="str">
        <f ca="1">IFERROR(__xludf.DUMMYFUNCTION("IMPORTRANGE(H3129,""IDENTITAS UNIT!D9"")"),"#N/A")</f>
        <v>#N/A</v>
      </c>
      <c r="H3129" s="4" t="str">
        <v/>
      </c>
      <c r="I3129" s="4" t="str">
        <v/>
      </c>
    </row>
    <row r="3130" spans="5:9" ht="16.5" hidden="1">
      <c r="E3130" s="4" t="str">
        <v/>
      </c>
      <c r="F3130" s="102" t="str">
        <f ca="1">IFERROR(__xludf.DUMMYFUNCTION("IMPORTRANGE(H3130,""IDENTITAS UNIT!D9"")"),"#N/A")</f>
        <v>#N/A</v>
      </c>
      <c r="H3130" s="4" t="str">
        <v/>
      </c>
      <c r="I3130" s="4" t="str">
        <v/>
      </c>
    </row>
    <row r="3131" spans="5:9" ht="16.5" hidden="1">
      <c r="E3131" s="4" t="str">
        <v/>
      </c>
      <c r="F3131" s="102" t="str">
        <f ca="1">IFERROR(__xludf.DUMMYFUNCTION("IMPORTRANGE(H3131,""IDENTITAS UNIT!D9"")"),"#N/A")</f>
        <v>#N/A</v>
      </c>
      <c r="H3131" s="4" t="str">
        <v/>
      </c>
      <c r="I3131" s="4" t="str">
        <v/>
      </c>
    </row>
    <row r="3132" spans="5:9" ht="16.5" hidden="1">
      <c r="E3132" s="4" t="str">
        <v/>
      </c>
      <c r="F3132" s="102" t="str">
        <f ca="1">IFERROR(__xludf.DUMMYFUNCTION("IMPORTRANGE(H3132,""IDENTITAS UNIT!D9"")"),"#N/A")</f>
        <v>#N/A</v>
      </c>
      <c r="H3132" s="4" t="str">
        <v/>
      </c>
      <c r="I3132" s="4" t="str">
        <v/>
      </c>
    </row>
    <row r="3133" spans="5:9" ht="16.5" hidden="1">
      <c r="E3133" s="4" t="str">
        <v/>
      </c>
      <c r="F3133" s="102" t="str">
        <f ca="1">IFERROR(__xludf.DUMMYFUNCTION("IMPORTRANGE(H3133,""IDENTITAS UNIT!D9"")"),"#N/A")</f>
        <v>#N/A</v>
      </c>
      <c r="H3133" s="4" t="str">
        <v/>
      </c>
      <c r="I3133" s="4" t="str">
        <v/>
      </c>
    </row>
    <row r="3134" spans="5:9" ht="16.5" hidden="1">
      <c r="E3134" s="4" t="str">
        <v/>
      </c>
      <c r="F3134" s="102" t="str">
        <f ca="1">IFERROR(__xludf.DUMMYFUNCTION("IMPORTRANGE(H3134,""IDENTITAS UNIT!D9"")"),"#N/A")</f>
        <v>#N/A</v>
      </c>
      <c r="H3134" s="4" t="str">
        <v/>
      </c>
      <c r="I3134" s="4" t="str">
        <v/>
      </c>
    </row>
    <row r="3135" spans="5:9" ht="16.5" hidden="1">
      <c r="E3135" s="4" t="str">
        <v/>
      </c>
      <c r="F3135" s="102" t="str">
        <f ca="1">IFERROR(__xludf.DUMMYFUNCTION("IMPORTRANGE(H3135,""IDENTITAS UNIT!D9"")"),"#N/A")</f>
        <v>#N/A</v>
      </c>
      <c r="H3135" s="4" t="str">
        <v/>
      </c>
      <c r="I3135" s="4" t="str">
        <v/>
      </c>
    </row>
    <row r="3136" spans="5:9" ht="16.5" hidden="1">
      <c r="E3136" s="4" t="str">
        <v/>
      </c>
      <c r="F3136" s="102" t="str">
        <f ca="1">IFERROR(__xludf.DUMMYFUNCTION("IMPORTRANGE(H3136,""IDENTITAS UNIT!D9"")"),"#N/A")</f>
        <v>#N/A</v>
      </c>
      <c r="H3136" s="4" t="str">
        <v/>
      </c>
      <c r="I3136" s="4" t="str">
        <v/>
      </c>
    </row>
    <row r="3137" spans="5:9" ht="16.5" hidden="1">
      <c r="E3137" s="4" t="str">
        <v/>
      </c>
      <c r="F3137" s="102" t="str">
        <f ca="1">IFERROR(__xludf.DUMMYFUNCTION("IMPORTRANGE(H3137,""IDENTITAS UNIT!D9"")"),"#N/A")</f>
        <v>#N/A</v>
      </c>
      <c r="H3137" s="4" t="str">
        <v/>
      </c>
      <c r="I3137" s="4" t="str">
        <v/>
      </c>
    </row>
    <row r="3138" spans="5:9" ht="16.5" hidden="1">
      <c r="E3138" s="4" t="str">
        <v/>
      </c>
      <c r="F3138" s="102" t="str">
        <f ca="1">IFERROR(__xludf.DUMMYFUNCTION("IMPORTRANGE(H3138,""IDENTITAS UNIT!D9"")"),"#N/A")</f>
        <v>#N/A</v>
      </c>
      <c r="H3138" s="4" t="str">
        <v/>
      </c>
      <c r="I3138" s="4" t="str">
        <v/>
      </c>
    </row>
    <row r="3139" spans="5:9" ht="16.5" hidden="1">
      <c r="E3139" s="4" t="str">
        <v/>
      </c>
      <c r="F3139" s="102" t="str">
        <f ca="1">IFERROR(__xludf.DUMMYFUNCTION("IMPORTRANGE(H3139,""IDENTITAS UNIT!D9"")"),"#N/A")</f>
        <v>#N/A</v>
      </c>
      <c r="H3139" s="4" t="str">
        <v/>
      </c>
      <c r="I3139" s="4" t="str">
        <v/>
      </c>
    </row>
    <row r="3140" spans="5:9" ht="16.5" hidden="1">
      <c r="E3140" s="4" t="str">
        <v/>
      </c>
      <c r="F3140" s="102" t="str">
        <f ca="1">IFERROR(__xludf.DUMMYFUNCTION("IMPORTRANGE(H3140,""IDENTITAS UNIT!D9"")"),"#N/A")</f>
        <v>#N/A</v>
      </c>
      <c r="H3140" s="4" t="str">
        <v/>
      </c>
      <c r="I3140" s="4" t="str">
        <v/>
      </c>
    </row>
    <row r="3141" spans="5:9" ht="16.5" hidden="1">
      <c r="E3141" s="4" t="str">
        <v/>
      </c>
      <c r="F3141" s="102" t="str">
        <f ca="1">IFERROR(__xludf.DUMMYFUNCTION("IMPORTRANGE(H3141,""IDENTITAS UNIT!D9"")"),"#N/A")</f>
        <v>#N/A</v>
      </c>
      <c r="H3141" s="4" t="str">
        <v/>
      </c>
      <c r="I3141" s="4" t="str">
        <v/>
      </c>
    </row>
    <row r="3142" spans="5:9" ht="16.5" hidden="1">
      <c r="E3142" s="4" t="str">
        <v/>
      </c>
      <c r="F3142" s="102" t="str">
        <f ca="1">IFERROR(__xludf.DUMMYFUNCTION("IMPORTRANGE(H3142,""IDENTITAS UNIT!D9"")"),"#N/A")</f>
        <v>#N/A</v>
      </c>
      <c r="H3142" s="4" t="str">
        <v/>
      </c>
      <c r="I3142" s="4" t="str">
        <v/>
      </c>
    </row>
    <row r="3143" spans="5:9" ht="16.5" hidden="1">
      <c r="E3143" s="4" t="str">
        <v/>
      </c>
      <c r="F3143" s="102" t="str">
        <f ca="1">IFERROR(__xludf.DUMMYFUNCTION("IMPORTRANGE(H3143,""IDENTITAS UNIT!D9"")"),"#N/A")</f>
        <v>#N/A</v>
      </c>
      <c r="H3143" s="4" t="str">
        <v/>
      </c>
      <c r="I3143" s="4" t="str">
        <v/>
      </c>
    </row>
    <row r="3144" spans="5:9" ht="16.5" hidden="1">
      <c r="E3144" s="4" t="str">
        <v/>
      </c>
      <c r="F3144" s="102" t="str">
        <f ca="1">IFERROR(__xludf.DUMMYFUNCTION("IMPORTRANGE(H3144,""IDENTITAS UNIT!D9"")"),"#N/A")</f>
        <v>#N/A</v>
      </c>
      <c r="H3144" s="4" t="str">
        <v/>
      </c>
      <c r="I3144" s="4" t="str">
        <v/>
      </c>
    </row>
    <row r="3145" spans="5:9" ht="16.5" hidden="1">
      <c r="E3145" s="4" t="str">
        <v/>
      </c>
      <c r="F3145" s="102" t="str">
        <f ca="1">IFERROR(__xludf.DUMMYFUNCTION("IMPORTRANGE(H3145,""IDENTITAS UNIT!D9"")"),"#N/A")</f>
        <v>#N/A</v>
      </c>
      <c r="H3145" s="4" t="str">
        <v/>
      </c>
      <c r="I3145" s="4" t="str">
        <v/>
      </c>
    </row>
    <row r="3146" spans="5:9" ht="16.5" hidden="1">
      <c r="E3146" s="4" t="str">
        <v/>
      </c>
      <c r="F3146" s="102" t="str">
        <f ca="1">IFERROR(__xludf.DUMMYFUNCTION("IMPORTRANGE(H3146,""IDENTITAS UNIT!D9"")"),"#N/A")</f>
        <v>#N/A</v>
      </c>
      <c r="H3146" s="4" t="str">
        <v/>
      </c>
      <c r="I3146" s="4" t="str">
        <v/>
      </c>
    </row>
    <row r="3147" spans="5:9" ht="16.5" hidden="1">
      <c r="E3147" s="4" t="str">
        <v/>
      </c>
      <c r="F3147" s="102" t="str">
        <f ca="1">IFERROR(__xludf.DUMMYFUNCTION("IMPORTRANGE(H3147,""IDENTITAS UNIT!D9"")"),"#N/A")</f>
        <v>#N/A</v>
      </c>
      <c r="H3147" s="4" t="str">
        <v/>
      </c>
      <c r="I3147" s="4" t="str">
        <v/>
      </c>
    </row>
    <row r="3148" spans="5:9" ht="16.5" hidden="1">
      <c r="E3148" s="4" t="str">
        <v/>
      </c>
      <c r="F3148" s="102" t="str">
        <f ca="1">IFERROR(__xludf.DUMMYFUNCTION("IMPORTRANGE(H3148,""IDENTITAS UNIT!D9"")"),"#N/A")</f>
        <v>#N/A</v>
      </c>
      <c r="H3148" s="4" t="str">
        <v/>
      </c>
      <c r="I3148" s="4" t="str">
        <v/>
      </c>
    </row>
    <row r="3149" spans="5:9" ht="16.5" hidden="1">
      <c r="E3149" s="4" t="str">
        <v/>
      </c>
      <c r="F3149" s="102" t="str">
        <f ca="1">IFERROR(__xludf.DUMMYFUNCTION("IMPORTRANGE(H3149,""IDENTITAS UNIT!D9"")"),"#N/A")</f>
        <v>#N/A</v>
      </c>
      <c r="H3149" s="4" t="str">
        <v/>
      </c>
      <c r="I3149" s="4" t="str">
        <v/>
      </c>
    </row>
    <row r="3150" spans="5:9" ht="16.5" hidden="1">
      <c r="E3150" s="4" t="str">
        <v/>
      </c>
      <c r="F3150" s="102" t="str">
        <f ca="1">IFERROR(__xludf.DUMMYFUNCTION("IMPORTRANGE(H3150,""IDENTITAS UNIT!D9"")"),"#N/A")</f>
        <v>#N/A</v>
      </c>
      <c r="H3150" s="4" t="str">
        <v/>
      </c>
      <c r="I3150" s="4" t="str">
        <v/>
      </c>
    </row>
    <row r="3151" spans="5:9" ht="16.5" hidden="1">
      <c r="E3151" s="4" t="str">
        <v/>
      </c>
      <c r="F3151" s="102" t="str">
        <f ca="1">IFERROR(__xludf.DUMMYFUNCTION("IMPORTRANGE(H3151,""IDENTITAS UNIT!D9"")"),"#N/A")</f>
        <v>#N/A</v>
      </c>
      <c r="H3151" s="4" t="str">
        <v/>
      </c>
      <c r="I3151" s="4" t="str">
        <v/>
      </c>
    </row>
    <row r="3152" spans="5:9" ht="16.5" hidden="1">
      <c r="E3152" s="4" t="str">
        <v/>
      </c>
      <c r="F3152" s="102" t="str">
        <f ca="1">IFERROR(__xludf.DUMMYFUNCTION("IMPORTRANGE(H3152,""IDENTITAS UNIT!D9"")"),"#N/A")</f>
        <v>#N/A</v>
      </c>
      <c r="H3152" s="4" t="str">
        <v/>
      </c>
      <c r="I3152" s="4" t="str">
        <v/>
      </c>
    </row>
    <row r="3153" spans="5:9" ht="16.5" hidden="1">
      <c r="E3153" s="4" t="str">
        <v/>
      </c>
      <c r="F3153" s="102" t="str">
        <f ca="1">IFERROR(__xludf.DUMMYFUNCTION("IMPORTRANGE(H3153,""IDENTITAS UNIT!D9"")"),"#N/A")</f>
        <v>#N/A</v>
      </c>
      <c r="H3153" s="4" t="str">
        <v/>
      </c>
      <c r="I3153" s="4" t="str">
        <v/>
      </c>
    </row>
    <row r="3154" spans="5:9" ht="16.5" hidden="1">
      <c r="E3154" s="4" t="str">
        <v/>
      </c>
      <c r="F3154" s="102" t="str">
        <f ca="1">IFERROR(__xludf.DUMMYFUNCTION("IMPORTRANGE(H3154,""IDENTITAS UNIT!D9"")"),"#N/A")</f>
        <v>#N/A</v>
      </c>
      <c r="H3154" s="4" t="str">
        <v/>
      </c>
      <c r="I3154" s="4" t="str">
        <v/>
      </c>
    </row>
    <row r="3155" spans="5:9" ht="16.5" hidden="1">
      <c r="E3155" s="4" t="str">
        <v/>
      </c>
      <c r="F3155" s="102" t="str">
        <f ca="1">IFERROR(__xludf.DUMMYFUNCTION("IMPORTRANGE(H3155,""IDENTITAS UNIT!D9"")"),"#N/A")</f>
        <v>#N/A</v>
      </c>
      <c r="H3155" s="4" t="str">
        <v/>
      </c>
      <c r="I3155" s="4" t="str">
        <v/>
      </c>
    </row>
    <row r="3156" spans="5:9" ht="16.5" hidden="1">
      <c r="E3156" s="4" t="str">
        <v/>
      </c>
      <c r="F3156" s="102" t="str">
        <f ca="1">IFERROR(__xludf.DUMMYFUNCTION("IMPORTRANGE(H3156,""IDENTITAS UNIT!D9"")"),"#N/A")</f>
        <v>#N/A</v>
      </c>
      <c r="H3156" s="4" t="str">
        <v/>
      </c>
      <c r="I3156" s="4" t="str">
        <v/>
      </c>
    </row>
    <row r="3157" spans="5:9" ht="16.5" hidden="1">
      <c r="E3157" s="4" t="str">
        <v/>
      </c>
      <c r="F3157" s="102" t="str">
        <f ca="1">IFERROR(__xludf.DUMMYFUNCTION("IMPORTRANGE(H3157,""IDENTITAS UNIT!D9"")"),"#N/A")</f>
        <v>#N/A</v>
      </c>
      <c r="H3157" s="4" t="str">
        <v/>
      </c>
      <c r="I3157" s="4" t="str">
        <v/>
      </c>
    </row>
    <row r="3158" spans="5:9" ht="16.5" hidden="1">
      <c r="E3158" s="4" t="str">
        <v/>
      </c>
      <c r="F3158" s="102" t="str">
        <f ca="1">IFERROR(__xludf.DUMMYFUNCTION("IMPORTRANGE(H3158,""IDENTITAS UNIT!D9"")"),"#N/A")</f>
        <v>#N/A</v>
      </c>
      <c r="H3158" s="4" t="str">
        <v/>
      </c>
      <c r="I3158" s="4" t="str">
        <v/>
      </c>
    </row>
    <row r="3159" spans="5:9" ht="16.5" hidden="1">
      <c r="E3159" s="4" t="str">
        <v/>
      </c>
      <c r="F3159" s="102" t="str">
        <f ca="1">IFERROR(__xludf.DUMMYFUNCTION("IMPORTRANGE(H3159,""IDENTITAS UNIT!D9"")"),"#N/A")</f>
        <v>#N/A</v>
      </c>
      <c r="H3159" s="4" t="str">
        <v/>
      </c>
      <c r="I3159" s="4" t="str">
        <v/>
      </c>
    </row>
    <row r="3160" spans="5:9" ht="16.5" hidden="1">
      <c r="E3160" s="4" t="str">
        <v/>
      </c>
      <c r="F3160" s="102" t="str">
        <f ca="1">IFERROR(__xludf.DUMMYFUNCTION("IMPORTRANGE(H3160,""IDENTITAS UNIT!D9"")"),"#N/A")</f>
        <v>#N/A</v>
      </c>
      <c r="H3160" s="4" t="str">
        <v/>
      </c>
      <c r="I3160" s="4" t="str">
        <v/>
      </c>
    </row>
    <row r="3161" spans="5:9" ht="16.5" hidden="1">
      <c r="E3161" s="4" t="str">
        <v/>
      </c>
      <c r="F3161" s="102" t="str">
        <f ca="1">IFERROR(__xludf.DUMMYFUNCTION("IMPORTRANGE(H3161,""IDENTITAS UNIT!D9"")"),"#N/A")</f>
        <v>#N/A</v>
      </c>
      <c r="H3161" s="4" t="str">
        <v/>
      </c>
      <c r="I3161" s="4" t="str">
        <v/>
      </c>
    </row>
    <row r="3162" spans="5:9" ht="16.5" hidden="1">
      <c r="E3162" s="4" t="str">
        <v/>
      </c>
      <c r="F3162" s="102" t="str">
        <f ca="1">IFERROR(__xludf.DUMMYFUNCTION("IMPORTRANGE(H3162,""IDENTITAS UNIT!D9"")"),"#N/A")</f>
        <v>#N/A</v>
      </c>
      <c r="H3162" s="4" t="str">
        <v/>
      </c>
      <c r="I3162" s="4" t="str">
        <v/>
      </c>
    </row>
    <row r="3163" spans="5:9" ht="16.5" hidden="1">
      <c r="E3163" s="4" t="str">
        <v/>
      </c>
      <c r="F3163" s="102" t="str">
        <f ca="1">IFERROR(__xludf.DUMMYFUNCTION("IMPORTRANGE(H3163,""IDENTITAS UNIT!D9"")"),"#N/A")</f>
        <v>#N/A</v>
      </c>
      <c r="H3163" s="4" t="str">
        <v/>
      </c>
      <c r="I3163" s="4" t="str">
        <v/>
      </c>
    </row>
    <row r="3164" spans="5:9" ht="16.5" hidden="1">
      <c r="E3164" s="4" t="str">
        <v/>
      </c>
      <c r="F3164" s="102" t="str">
        <f ca="1">IFERROR(__xludf.DUMMYFUNCTION("IMPORTRANGE(H3164,""IDENTITAS UNIT!D9"")"),"#N/A")</f>
        <v>#N/A</v>
      </c>
      <c r="H3164" s="4" t="str">
        <v/>
      </c>
      <c r="I3164" s="4" t="str">
        <v/>
      </c>
    </row>
    <row r="3165" spans="5:9" ht="16.5" hidden="1">
      <c r="E3165" s="4" t="str">
        <v/>
      </c>
      <c r="F3165" s="102" t="str">
        <f ca="1">IFERROR(__xludf.DUMMYFUNCTION("IMPORTRANGE(H3165,""IDENTITAS UNIT!D9"")"),"#N/A")</f>
        <v>#N/A</v>
      </c>
      <c r="H3165" s="4" t="str">
        <v/>
      </c>
      <c r="I3165" s="4" t="str">
        <v/>
      </c>
    </row>
    <row r="3166" spans="5:9" ht="16.5" hidden="1">
      <c r="E3166" s="4" t="str">
        <v/>
      </c>
      <c r="F3166" s="102" t="str">
        <f ca="1">IFERROR(__xludf.DUMMYFUNCTION("IMPORTRANGE(H3166,""IDENTITAS UNIT!D9"")"),"#N/A")</f>
        <v>#N/A</v>
      </c>
      <c r="H3166" s="4" t="str">
        <v/>
      </c>
      <c r="I3166" s="4" t="str">
        <v/>
      </c>
    </row>
    <row r="3167" spans="5:9" ht="16.5" hidden="1">
      <c r="E3167" s="4" t="str">
        <v/>
      </c>
      <c r="F3167" s="102" t="str">
        <f ca="1">IFERROR(__xludf.DUMMYFUNCTION("IMPORTRANGE(H3167,""IDENTITAS UNIT!D9"")"),"#N/A")</f>
        <v>#N/A</v>
      </c>
      <c r="H3167" s="4" t="str">
        <v/>
      </c>
      <c r="I3167" s="4" t="str">
        <v/>
      </c>
    </row>
    <row r="3168" spans="5:9" ht="16.5" hidden="1">
      <c r="E3168" s="4" t="str">
        <v/>
      </c>
      <c r="F3168" s="102" t="str">
        <f ca="1">IFERROR(__xludf.DUMMYFUNCTION("IMPORTRANGE(H3168,""IDENTITAS UNIT!D9"")"),"#N/A")</f>
        <v>#N/A</v>
      </c>
      <c r="H3168" s="4" t="str">
        <v/>
      </c>
      <c r="I3168" s="4" t="str">
        <v/>
      </c>
    </row>
    <row r="3169" spans="5:9" ht="16.5" hidden="1">
      <c r="E3169" s="4" t="str">
        <v/>
      </c>
      <c r="F3169" s="102" t="str">
        <f ca="1">IFERROR(__xludf.DUMMYFUNCTION("IMPORTRANGE(H3169,""IDENTITAS UNIT!D9"")"),"#N/A")</f>
        <v>#N/A</v>
      </c>
      <c r="H3169" s="4" t="str">
        <v/>
      </c>
      <c r="I3169" s="4" t="str">
        <v/>
      </c>
    </row>
    <row r="3170" spans="5:9" ht="16.5" hidden="1">
      <c r="E3170" s="4" t="str">
        <v/>
      </c>
      <c r="F3170" s="102" t="str">
        <f ca="1">IFERROR(__xludf.DUMMYFUNCTION("IMPORTRANGE(H3170,""IDENTITAS UNIT!D9"")"),"#N/A")</f>
        <v>#N/A</v>
      </c>
      <c r="H3170" s="4" t="str">
        <v/>
      </c>
      <c r="I3170" s="4" t="str">
        <v/>
      </c>
    </row>
    <row r="3171" spans="5:9" ht="16.5" hidden="1">
      <c r="E3171" s="4" t="str">
        <v/>
      </c>
      <c r="F3171" s="102" t="str">
        <f ca="1">IFERROR(__xludf.DUMMYFUNCTION("IMPORTRANGE(H3171,""IDENTITAS UNIT!D9"")"),"#N/A")</f>
        <v>#N/A</v>
      </c>
      <c r="H3171" s="4" t="str">
        <v/>
      </c>
      <c r="I3171" s="4" t="str">
        <v/>
      </c>
    </row>
    <row r="3172" spans="5:9" ht="16.5" hidden="1">
      <c r="E3172" s="4" t="str">
        <v/>
      </c>
      <c r="F3172" s="102" t="str">
        <f ca="1">IFERROR(__xludf.DUMMYFUNCTION("IMPORTRANGE(H3172,""IDENTITAS UNIT!D9"")"),"#N/A")</f>
        <v>#N/A</v>
      </c>
      <c r="H3172" s="4" t="str">
        <v/>
      </c>
      <c r="I3172" s="4" t="str">
        <v/>
      </c>
    </row>
    <row r="3173" spans="5:9" ht="16.5" hidden="1">
      <c r="E3173" s="4" t="str">
        <v/>
      </c>
      <c r="F3173" s="102" t="str">
        <f ca="1">IFERROR(__xludf.DUMMYFUNCTION("IMPORTRANGE(H3173,""IDENTITAS UNIT!D9"")"),"#N/A")</f>
        <v>#N/A</v>
      </c>
      <c r="H3173" s="4" t="str">
        <v/>
      </c>
      <c r="I3173" s="4" t="str">
        <v/>
      </c>
    </row>
    <row r="3174" spans="5:9" ht="16.5" hidden="1">
      <c r="E3174" s="4" t="str">
        <v/>
      </c>
      <c r="F3174" s="102" t="str">
        <f ca="1">IFERROR(__xludf.DUMMYFUNCTION("IMPORTRANGE(H3174,""IDENTITAS UNIT!D9"")"),"#N/A")</f>
        <v>#N/A</v>
      </c>
      <c r="H3174" s="4" t="str">
        <v/>
      </c>
      <c r="I3174" s="4" t="str">
        <v/>
      </c>
    </row>
    <row r="3175" spans="5:9" ht="16.5" hidden="1">
      <c r="E3175" s="4" t="str">
        <v/>
      </c>
      <c r="F3175" s="102" t="str">
        <f ca="1">IFERROR(__xludf.DUMMYFUNCTION("IMPORTRANGE(H3175,""IDENTITAS UNIT!D9"")"),"#N/A")</f>
        <v>#N/A</v>
      </c>
      <c r="H3175" s="4" t="str">
        <v/>
      </c>
      <c r="I3175" s="4" t="str">
        <v/>
      </c>
    </row>
    <row r="3176" spans="5:9" ht="16.5" hidden="1">
      <c r="E3176" s="4" t="str">
        <v/>
      </c>
      <c r="F3176" s="102" t="str">
        <f ca="1">IFERROR(__xludf.DUMMYFUNCTION("IMPORTRANGE(H3176,""IDENTITAS UNIT!D9"")"),"#N/A")</f>
        <v>#N/A</v>
      </c>
      <c r="H3176" s="4" t="str">
        <v/>
      </c>
      <c r="I3176" s="4" t="str">
        <v/>
      </c>
    </row>
    <row r="3177" spans="5:9" ht="16.5" hidden="1">
      <c r="E3177" s="4" t="str">
        <v/>
      </c>
      <c r="F3177" s="102" t="str">
        <f ca="1">IFERROR(__xludf.DUMMYFUNCTION("IMPORTRANGE(H3177,""IDENTITAS UNIT!D9"")"),"#N/A")</f>
        <v>#N/A</v>
      </c>
      <c r="H3177" s="4" t="str">
        <v/>
      </c>
      <c r="I3177" s="4" t="str">
        <v/>
      </c>
    </row>
    <row r="3178" spans="5:9" ht="16.5" hidden="1">
      <c r="E3178" s="4" t="str">
        <v/>
      </c>
      <c r="F3178" s="102" t="str">
        <f ca="1">IFERROR(__xludf.DUMMYFUNCTION("IMPORTRANGE(H3178,""IDENTITAS UNIT!D9"")"),"#N/A")</f>
        <v>#N/A</v>
      </c>
      <c r="H3178" s="4" t="str">
        <v/>
      </c>
      <c r="I3178" s="4" t="str">
        <v/>
      </c>
    </row>
    <row r="3179" spans="5:9" ht="16.5" hidden="1">
      <c r="E3179" s="4" t="str">
        <v/>
      </c>
      <c r="F3179" s="102" t="str">
        <f ca="1">IFERROR(__xludf.DUMMYFUNCTION("IMPORTRANGE(H3179,""IDENTITAS UNIT!D9"")"),"#N/A")</f>
        <v>#N/A</v>
      </c>
      <c r="H3179" s="4" t="str">
        <v/>
      </c>
      <c r="I3179" s="4" t="str">
        <v/>
      </c>
    </row>
    <row r="3180" spans="5:9" ht="16.5" hidden="1">
      <c r="E3180" s="4" t="str">
        <v/>
      </c>
      <c r="F3180" s="102" t="str">
        <f ca="1">IFERROR(__xludf.DUMMYFUNCTION("IMPORTRANGE(H3180,""IDENTITAS UNIT!D9"")"),"#N/A")</f>
        <v>#N/A</v>
      </c>
      <c r="H3180" s="4" t="str">
        <v/>
      </c>
      <c r="I3180" s="4" t="str">
        <v/>
      </c>
    </row>
    <row r="3181" spans="5:9" ht="16.5" hidden="1">
      <c r="E3181" s="4" t="str">
        <v/>
      </c>
      <c r="F3181" s="102" t="str">
        <f ca="1">IFERROR(__xludf.DUMMYFUNCTION("IMPORTRANGE(H3181,""IDENTITAS UNIT!D9"")"),"#N/A")</f>
        <v>#N/A</v>
      </c>
      <c r="H3181" s="4" t="str">
        <v/>
      </c>
      <c r="I3181" s="4" t="str">
        <v/>
      </c>
    </row>
    <row r="3182" spans="5:9" ht="16.5" hidden="1">
      <c r="E3182" s="4" t="str">
        <v/>
      </c>
      <c r="F3182" s="102" t="str">
        <f ca="1">IFERROR(__xludf.DUMMYFUNCTION("IMPORTRANGE(H3182,""IDENTITAS UNIT!D9"")"),"#N/A")</f>
        <v>#N/A</v>
      </c>
      <c r="H3182" s="4" t="str">
        <v/>
      </c>
      <c r="I3182" s="4" t="str">
        <v/>
      </c>
    </row>
    <row r="3183" spans="5:9" ht="16.5" hidden="1">
      <c r="E3183" s="4" t="str">
        <v/>
      </c>
      <c r="F3183" s="102" t="str">
        <f ca="1">IFERROR(__xludf.DUMMYFUNCTION("IMPORTRANGE(H3183,""IDENTITAS UNIT!D9"")"),"#N/A")</f>
        <v>#N/A</v>
      </c>
      <c r="H3183" s="4" t="str">
        <v/>
      </c>
      <c r="I3183" s="4" t="str">
        <v/>
      </c>
    </row>
    <row r="3184" spans="5:9" ht="16.5" hidden="1">
      <c r="E3184" s="4" t="str">
        <v/>
      </c>
      <c r="F3184" s="102" t="str">
        <f ca="1">IFERROR(__xludf.DUMMYFUNCTION("IMPORTRANGE(H3184,""IDENTITAS UNIT!D9"")"),"#N/A")</f>
        <v>#N/A</v>
      </c>
      <c r="H3184" s="4" t="str">
        <v/>
      </c>
      <c r="I3184" s="4" t="str">
        <v/>
      </c>
    </row>
    <row r="3185" spans="5:9" ht="16.5" hidden="1">
      <c r="E3185" s="4" t="str">
        <v/>
      </c>
      <c r="F3185" s="102" t="str">
        <f ca="1">IFERROR(__xludf.DUMMYFUNCTION("IMPORTRANGE(H3185,""IDENTITAS UNIT!D9"")"),"#N/A")</f>
        <v>#N/A</v>
      </c>
      <c r="H3185" s="4" t="str">
        <v/>
      </c>
      <c r="I3185" s="4" t="str">
        <v/>
      </c>
    </row>
    <row r="3186" spans="5:9" ht="16.5" hidden="1">
      <c r="E3186" s="4" t="str">
        <v/>
      </c>
      <c r="F3186" s="102" t="str">
        <f ca="1">IFERROR(__xludf.DUMMYFUNCTION("IMPORTRANGE(H3186,""IDENTITAS UNIT!D9"")"),"#N/A")</f>
        <v>#N/A</v>
      </c>
      <c r="H3186" s="4" t="str">
        <v/>
      </c>
      <c r="I3186" s="4" t="str">
        <v/>
      </c>
    </row>
    <row r="3187" spans="5:9" ht="16.5" hidden="1">
      <c r="E3187" s="4" t="str">
        <v/>
      </c>
      <c r="F3187" s="102" t="str">
        <f ca="1">IFERROR(__xludf.DUMMYFUNCTION("IMPORTRANGE(H3187,""IDENTITAS UNIT!D9"")"),"#N/A")</f>
        <v>#N/A</v>
      </c>
      <c r="H3187" s="4" t="str">
        <v/>
      </c>
      <c r="I3187" s="4" t="str">
        <v/>
      </c>
    </row>
    <row r="3188" spans="5:9" ht="16.5" hidden="1">
      <c r="E3188" s="4" t="str">
        <v/>
      </c>
      <c r="F3188" s="102" t="str">
        <f ca="1">IFERROR(__xludf.DUMMYFUNCTION("IMPORTRANGE(H3188,""IDENTITAS UNIT!D9"")"),"#N/A")</f>
        <v>#N/A</v>
      </c>
      <c r="H3188" s="4" t="str">
        <v/>
      </c>
      <c r="I3188" s="4" t="str">
        <v/>
      </c>
    </row>
    <row r="3189" spans="5:9" ht="16.5" hidden="1">
      <c r="E3189" s="4" t="str">
        <v/>
      </c>
      <c r="F3189" s="102" t="str">
        <f ca="1">IFERROR(__xludf.DUMMYFUNCTION("IMPORTRANGE(H3189,""IDENTITAS UNIT!D9"")"),"#N/A")</f>
        <v>#N/A</v>
      </c>
      <c r="H3189" s="4" t="str">
        <v/>
      </c>
      <c r="I3189" s="4" t="str">
        <v/>
      </c>
    </row>
    <row r="3190" spans="5:9" ht="16.5" hidden="1">
      <c r="E3190" s="4" t="str">
        <v/>
      </c>
      <c r="F3190" s="102" t="str">
        <f ca="1">IFERROR(__xludf.DUMMYFUNCTION("IMPORTRANGE(H3190,""IDENTITAS UNIT!D9"")"),"#N/A")</f>
        <v>#N/A</v>
      </c>
      <c r="H3190" s="4" t="str">
        <v/>
      </c>
      <c r="I3190" s="4" t="str">
        <v/>
      </c>
    </row>
    <row r="3191" spans="5:9" ht="16.5" hidden="1">
      <c r="E3191" s="4" t="str">
        <v/>
      </c>
      <c r="F3191" s="102" t="str">
        <f ca="1">IFERROR(__xludf.DUMMYFUNCTION("IMPORTRANGE(H3191,""IDENTITAS UNIT!D9"")"),"#N/A")</f>
        <v>#N/A</v>
      </c>
      <c r="H3191" s="4" t="str">
        <v/>
      </c>
      <c r="I3191" s="4" t="str">
        <v/>
      </c>
    </row>
    <row r="3192" spans="5:9" ht="16.5" hidden="1">
      <c r="E3192" s="4" t="str">
        <v/>
      </c>
      <c r="F3192" s="102" t="str">
        <f ca="1">IFERROR(__xludf.DUMMYFUNCTION("IMPORTRANGE(H3192,""IDENTITAS UNIT!D9"")"),"#N/A")</f>
        <v>#N/A</v>
      </c>
      <c r="H3192" s="4" t="str">
        <v/>
      </c>
      <c r="I3192" s="4" t="str">
        <v/>
      </c>
    </row>
    <row r="3193" spans="5:9" ht="16.5" hidden="1">
      <c r="E3193" s="4" t="str">
        <v/>
      </c>
      <c r="F3193" s="102" t="str">
        <f ca="1">IFERROR(__xludf.DUMMYFUNCTION("IMPORTRANGE(H3193,""IDENTITAS UNIT!D9"")"),"#N/A")</f>
        <v>#N/A</v>
      </c>
      <c r="H3193" s="4" t="str">
        <v/>
      </c>
      <c r="I3193" s="4" t="str">
        <v/>
      </c>
    </row>
    <row r="3194" spans="5:9" ht="16.5" hidden="1">
      <c r="E3194" s="4" t="str">
        <v/>
      </c>
      <c r="F3194" s="102" t="str">
        <f ca="1">IFERROR(__xludf.DUMMYFUNCTION("IMPORTRANGE(H3194,""IDENTITAS UNIT!D9"")"),"#N/A")</f>
        <v>#N/A</v>
      </c>
      <c r="H3194" s="4" t="str">
        <v/>
      </c>
      <c r="I3194" s="4" t="str">
        <v/>
      </c>
    </row>
    <row r="3195" spans="5:9" ht="16.5" hidden="1">
      <c r="E3195" s="4" t="str">
        <v/>
      </c>
      <c r="F3195" s="102" t="str">
        <f ca="1">IFERROR(__xludf.DUMMYFUNCTION("IMPORTRANGE(H3195,""IDENTITAS UNIT!D9"")"),"#N/A")</f>
        <v>#N/A</v>
      </c>
      <c r="H3195" s="4" t="str">
        <v/>
      </c>
      <c r="I3195" s="4" t="str">
        <v/>
      </c>
    </row>
    <row r="3196" spans="5:9" ht="16.5" hidden="1">
      <c r="E3196" s="4" t="str">
        <v/>
      </c>
      <c r="F3196" s="102" t="str">
        <f ca="1">IFERROR(__xludf.DUMMYFUNCTION("IMPORTRANGE(H3196,""IDENTITAS UNIT!D9"")"),"#N/A")</f>
        <v>#N/A</v>
      </c>
      <c r="H3196" s="4" t="str">
        <v/>
      </c>
      <c r="I3196" s="4" t="str">
        <v/>
      </c>
    </row>
    <row r="3197" spans="5:9" ht="16.5" hidden="1">
      <c r="E3197" s="4" t="str">
        <v/>
      </c>
      <c r="F3197" s="102" t="str">
        <f ca="1">IFERROR(__xludf.DUMMYFUNCTION("IMPORTRANGE(H3197,""IDENTITAS UNIT!D9"")"),"#N/A")</f>
        <v>#N/A</v>
      </c>
      <c r="H3197" s="4" t="str">
        <v/>
      </c>
      <c r="I3197" s="4" t="str">
        <v/>
      </c>
    </row>
    <row r="3198" spans="5:9" ht="16.5" hidden="1">
      <c r="E3198" s="4" t="str">
        <v/>
      </c>
      <c r="F3198" s="102" t="str">
        <f ca="1">IFERROR(__xludf.DUMMYFUNCTION("IMPORTRANGE(H3198,""IDENTITAS UNIT!D9"")"),"#N/A")</f>
        <v>#N/A</v>
      </c>
      <c r="H3198" s="4" t="str">
        <v/>
      </c>
      <c r="I3198" s="4" t="str">
        <v/>
      </c>
    </row>
    <row r="3199" spans="5:9" ht="16.5" hidden="1">
      <c r="E3199" s="4" t="str">
        <v/>
      </c>
      <c r="F3199" s="102" t="str">
        <f ca="1">IFERROR(__xludf.DUMMYFUNCTION("IMPORTRANGE(H3199,""IDENTITAS UNIT!D9"")"),"#N/A")</f>
        <v>#N/A</v>
      </c>
      <c r="H3199" s="4" t="str">
        <v/>
      </c>
      <c r="I3199" s="4" t="str">
        <v/>
      </c>
    </row>
    <row r="3200" spans="5:9" ht="16.5" hidden="1">
      <c r="E3200" s="4" t="str">
        <v/>
      </c>
      <c r="F3200" s="102" t="str">
        <f ca="1">IFERROR(__xludf.DUMMYFUNCTION("IMPORTRANGE(H3200,""IDENTITAS UNIT!D9"")"),"#N/A")</f>
        <v>#N/A</v>
      </c>
      <c r="H3200" s="4" t="str">
        <v/>
      </c>
      <c r="I3200" s="4" t="str">
        <v/>
      </c>
    </row>
    <row r="3201" spans="5:9" ht="16.5" hidden="1">
      <c r="E3201" s="4" t="str">
        <v/>
      </c>
      <c r="F3201" s="102" t="str">
        <f ca="1">IFERROR(__xludf.DUMMYFUNCTION("IMPORTRANGE(H3201,""IDENTITAS UNIT!D9"")"),"#N/A")</f>
        <v>#N/A</v>
      </c>
      <c r="H3201" s="4" t="str">
        <v/>
      </c>
      <c r="I3201" s="4" t="str">
        <v/>
      </c>
    </row>
    <row r="3202" spans="5:9" ht="16.5" hidden="1">
      <c r="E3202" s="4" t="str">
        <v/>
      </c>
      <c r="F3202" s="102" t="str">
        <f ca="1">IFERROR(__xludf.DUMMYFUNCTION("IMPORTRANGE(H3202,""IDENTITAS UNIT!D9"")"),"#N/A")</f>
        <v>#N/A</v>
      </c>
      <c r="H3202" s="4" t="str">
        <v/>
      </c>
      <c r="I3202" s="4" t="str">
        <v/>
      </c>
    </row>
    <row r="3203" spans="5:9" ht="16.5" hidden="1">
      <c r="E3203" s="4" t="str">
        <v/>
      </c>
      <c r="F3203" s="102" t="str">
        <f ca="1">IFERROR(__xludf.DUMMYFUNCTION("IMPORTRANGE(H3203,""IDENTITAS UNIT!D9"")"),"#N/A")</f>
        <v>#N/A</v>
      </c>
      <c r="H3203" s="4" t="str">
        <v/>
      </c>
      <c r="I3203" s="4" t="str">
        <v/>
      </c>
    </row>
    <row r="3204" spans="5:9" ht="16.5" hidden="1">
      <c r="E3204" s="4" t="str">
        <v/>
      </c>
      <c r="F3204" s="102" t="str">
        <f ca="1">IFERROR(__xludf.DUMMYFUNCTION("IMPORTRANGE(H3204,""IDENTITAS UNIT!D9"")"),"#N/A")</f>
        <v>#N/A</v>
      </c>
      <c r="H3204" s="4" t="str">
        <v/>
      </c>
      <c r="I3204" s="4" t="str">
        <v/>
      </c>
    </row>
    <row r="3205" spans="5:9" ht="16.5" hidden="1">
      <c r="E3205" s="4" t="str">
        <v/>
      </c>
      <c r="F3205" s="102" t="str">
        <f ca="1">IFERROR(__xludf.DUMMYFUNCTION("IMPORTRANGE(H3205,""IDENTITAS UNIT!D9"")"),"#N/A")</f>
        <v>#N/A</v>
      </c>
      <c r="H3205" s="4" t="str">
        <v/>
      </c>
      <c r="I3205" s="4" t="str">
        <v/>
      </c>
    </row>
    <row r="3206" spans="5:9" ht="16.5" hidden="1">
      <c r="E3206" s="4" t="str">
        <v/>
      </c>
      <c r="F3206" s="102" t="str">
        <f ca="1">IFERROR(__xludf.DUMMYFUNCTION("IMPORTRANGE(H3206,""IDENTITAS UNIT!D9"")"),"#N/A")</f>
        <v>#N/A</v>
      </c>
      <c r="H3206" s="4" t="str">
        <v/>
      </c>
      <c r="I3206" s="4" t="str">
        <v/>
      </c>
    </row>
    <row r="3207" spans="5:9" ht="16.5" hidden="1">
      <c r="E3207" s="4" t="str">
        <v/>
      </c>
      <c r="F3207" s="102" t="str">
        <f ca="1">IFERROR(__xludf.DUMMYFUNCTION("IMPORTRANGE(H3207,""IDENTITAS UNIT!D9"")"),"#N/A")</f>
        <v>#N/A</v>
      </c>
      <c r="H3207" s="4" t="str">
        <v/>
      </c>
      <c r="I3207" s="4" t="str">
        <v/>
      </c>
    </row>
    <row r="3208" spans="5:9" ht="16.5" hidden="1">
      <c r="E3208" s="4" t="str">
        <v/>
      </c>
      <c r="F3208" s="102" t="str">
        <f ca="1">IFERROR(__xludf.DUMMYFUNCTION("IMPORTRANGE(H3208,""IDENTITAS UNIT!D9"")"),"#N/A")</f>
        <v>#N/A</v>
      </c>
      <c r="H3208" s="4" t="str">
        <v/>
      </c>
      <c r="I3208" s="4" t="str">
        <v/>
      </c>
    </row>
    <row r="3209" spans="5:9" ht="16.5" hidden="1">
      <c r="E3209" s="4" t="str">
        <v/>
      </c>
      <c r="F3209" s="102" t="str">
        <f ca="1">IFERROR(__xludf.DUMMYFUNCTION("IMPORTRANGE(H3209,""IDENTITAS UNIT!D9"")"),"#N/A")</f>
        <v>#N/A</v>
      </c>
      <c r="H3209" s="4" t="str">
        <v/>
      </c>
      <c r="I3209" s="4" t="str">
        <v/>
      </c>
    </row>
    <row r="3210" spans="5:9" ht="16.5" hidden="1">
      <c r="E3210" s="4" t="str">
        <v/>
      </c>
      <c r="F3210" s="102" t="str">
        <f ca="1">IFERROR(__xludf.DUMMYFUNCTION("IMPORTRANGE(H3210,""IDENTITAS UNIT!D9"")"),"#N/A")</f>
        <v>#N/A</v>
      </c>
      <c r="H3210" s="4" t="str">
        <v/>
      </c>
      <c r="I3210" s="4" t="str">
        <v/>
      </c>
    </row>
    <row r="3211" spans="5:9" ht="16.5" hidden="1">
      <c r="E3211" s="4" t="str">
        <v/>
      </c>
      <c r="F3211" s="102" t="str">
        <f ca="1">IFERROR(__xludf.DUMMYFUNCTION("IMPORTRANGE(H3211,""IDENTITAS UNIT!D9"")"),"#N/A")</f>
        <v>#N/A</v>
      </c>
      <c r="H3211" s="4" t="str">
        <v/>
      </c>
      <c r="I3211" s="4" t="str">
        <v/>
      </c>
    </row>
    <row r="3212" spans="5:9" ht="16.5" hidden="1">
      <c r="E3212" s="4" t="str">
        <v/>
      </c>
      <c r="F3212" s="102" t="str">
        <f ca="1">IFERROR(__xludf.DUMMYFUNCTION("IMPORTRANGE(H3212,""IDENTITAS UNIT!D9"")"),"#N/A")</f>
        <v>#N/A</v>
      </c>
      <c r="H3212" s="4" t="str">
        <v/>
      </c>
      <c r="I3212" s="4" t="str">
        <v/>
      </c>
    </row>
    <row r="3213" spans="5:9" ht="16.5" hidden="1">
      <c r="E3213" s="4" t="str">
        <v/>
      </c>
      <c r="F3213" s="102" t="str">
        <f ca="1">IFERROR(__xludf.DUMMYFUNCTION("IMPORTRANGE(H3213,""IDENTITAS UNIT!D9"")"),"#N/A")</f>
        <v>#N/A</v>
      </c>
      <c r="H3213" s="4" t="str">
        <v/>
      </c>
      <c r="I3213" s="4" t="str">
        <v/>
      </c>
    </row>
    <row r="3214" spans="5:9" ht="16.5" hidden="1">
      <c r="E3214" s="4" t="str">
        <v/>
      </c>
      <c r="F3214" s="102" t="str">
        <f ca="1">IFERROR(__xludf.DUMMYFUNCTION("IMPORTRANGE(H3214,""IDENTITAS UNIT!D9"")"),"#N/A")</f>
        <v>#N/A</v>
      </c>
      <c r="H3214" s="4" t="str">
        <v/>
      </c>
      <c r="I3214" s="4" t="str">
        <v/>
      </c>
    </row>
    <row r="3215" spans="5:9" ht="16.5" hidden="1">
      <c r="E3215" s="4" t="str">
        <v/>
      </c>
      <c r="F3215" s="102" t="str">
        <f ca="1">IFERROR(__xludf.DUMMYFUNCTION("IMPORTRANGE(H3215,""IDENTITAS UNIT!D9"")"),"#N/A")</f>
        <v>#N/A</v>
      </c>
      <c r="H3215" s="4" t="str">
        <v/>
      </c>
      <c r="I3215" s="4" t="str">
        <v/>
      </c>
    </row>
    <row r="3216" spans="5:9" ht="16.5" hidden="1">
      <c r="E3216" s="4" t="str">
        <v/>
      </c>
      <c r="F3216" s="102" t="str">
        <f ca="1">IFERROR(__xludf.DUMMYFUNCTION("IMPORTRANGE(H3216,""IDENTITAS UNIT!D9"")"),"#N/A")</f>
        <v>#N/A</v>
      </c>
      <c r="H3216" s="4" t="str">
        <v/>
      </c>
      <c r="I3216" s="4" t="str">
        <v/>
      </c>
    </row>
    <row r="3217" spans="5:9" ht="16.5" hidden="1">
      <c r="E3217" s="4" t="str">
        <v/>
      </c>
      <c r="F3217" s="102" t="str">
        <f ca="1">IFERROR(__xludf.DUMMYFUNCTION("IMPORTRANGE(H3217,""IDENTITAS UNIT!D9"")"),"#N/A")</f>
        <v>#N/A</v>
      </c>
      <c r="H3217" s="4" t="str">
        <v/>
      </c>
      <c r="I3217" s="4" t="str">
        <v/>
      </c>
    </row>
    <row r="3218" spans="5:9" ht="16.5" hidden="1">
      <c r="E3218" s="4" t="str">
        <v/>
      </c>
      <c r="F3218" s="102" t="str">
        <f ca="1">IFERROR(__xludf.DUMMYFUNCTION("IMPORTRANGE(H3218,""IDENTITAS UNIT!D9"")"),"#N/A")</f>
        <v>#N/A</v>
      </c>
      <c r="H3218" s="4" t="str">
        <v/>
      </c>
      <c r="I3218" s="4" t="str">
        <v/>
      </c>
    </row>
    <row r="3219" spans="5:9" ht="16.5" hidden="1">
      <c r="E3219" s="4" t="str">
        <v/>
      </c>
      <c r="F3219" s="102" t="str">
        <f ca="1">IFERROR(__xludf.DUMMYFUNCTION("IMPORTRANGE(H3219,""IDENTITAS UNIT!D9"")"),"#N/A")</f>
        <v>#N/A</v>
      </c>
      <c r="H3219" s="4" t="str">
        <v/>
      </c>
      <c r="I3219" s="4" t="str">
        <v/>
      </c>
    </row>
    <row r="3220" spans="5:9" ht="16.5" hidden="1">
      <c r="E3220" s="4" t="str">
        <v/>
      </c>
      <c r="F3220" s="102" t="str">
        <f ca="1">IFERROR(__xludf.DUMMYFUNCTION("IMPORTRANGE(H3220,""IDENTITAS UNIT!D9"")"),"#N/A")</f>
        <v>#N/A</v>
      </c>
      <c r="H3220" s="4" t="str">
        <v/>
      </c>
      <c r="I3220" s="4" t="str">
        <v/>
      </c>
    </row>
    <row r="3221" spans="5:9" ht="16.5" hidden="1">
      <c r="E3221" s="4" t="str">
        <v/>
      </c>
      <c r="F3221" s="102" t="str">
        <f ca="1">IFERROR(__xludf.DUMMYFUNCTION("IMPORTRANGE(H3221,""IDENTITAS UNIT!D9"")"),"#N/A")</f>
        <v>#N/A</v>
      </c>
      <c r="H3221" s="4" t="str">
        <v/>
      </c>
      <c r="I3221" s="4" t="str">
        <v/>
      </c>
    </row>
    <row r="3222" spans="5:9" ht="16.5" hidden="1">
      <c r="E3222" s="4" t="str">
        <v/>
      </c>
      <c r="F3222" s="102" t="str">
        <f ca="1">IFERROR(__xludf.DUMMYFUNCTION("IMPORTRANGE(H3222,""IDENTITAS UNIT!D9"")"),"#N/A")</f>
        <v>#N/A</v>
      </c>
      <c r="H3222" s="4" t="str">
        <v/>
      </c>
      <c r="I3222" s="4" t="str">
        <v/>
      </c>
    </row>
    <row r="3223" spans="5:9" ht="16.5" hidden="1">
      <c r="E3223" s="4" t="str">
        <v/>
      </c>
      <c r="F3223" s="102" t="str">
        <f ca="1">IFERROR(__xludf.DUMMYFUNCTION("IMPORTRANGE(H3223,""IDENTITAS UNIT!D9"")"),"#N/A")</f>
        <v>#N/A</v>
      </c>
      <c r="H3223" s="4" t="str">
        <v/>
      </c>
      <c r="I3223" s="4" t="str">
        <v/>
      </c>
    </row>
    <row r="3224" spans="5:9" ht="16.5" hidden="1">
      <c r="E3224" s="4" t="str">
        <v/>
      </c>
      <c r="F3224" s="102" t="str">
        <f ca="1">IFERROR(__xludf.DUMMYFUNCTION("IMPORTRANGE(H3224,""IDENTITAS UNIT!D9"")"),"#N/A")</f>
        <v>#N/A</v>
      </c>
      <c r="H3224" s="4" t="str">
        <v/>
      </c>
      <c r="I3224" s="4" t="str">
        <v/>
      </c>
    </row>
    <row r="3225" spans="5:9" ht="16.5" hidden="1">
      <c r="E3225" s="4" t="str">
        <v/>
      </c>
      <c r="F3225" s="102" t="str">
        <f ca="1">IFERROR(__xludf.DUMMYFUNCTION("IMPORTRANGE(H3225,""IDENTITAS UNIT!D9"")"),"#N/A")</f>
        <v>#N/A</v>
      </c>
      <c r="H3225" s="4" t="str">
        <v/>
      </c>
      <c r="I3225" s="4" t="str">
        <v/>
      </c>
    </row>
    <row r="3226" spans="5:9" ht="16.5" hidden="1">
      <c r="E3226" s="4" t="str">
        <v/>
      </c>
      <c r="F3226" s="102" t="str">
        <f ca="1">IFERROR(__xludf.DUMMYFUNCTION("IMPORTRANGE(H3226,""IDENTITAS UNIT!D9"")"),"#N/A")</f>
        <v>#N/A</v>
      </c>
      <c r="H3226" s="4" t="str">
        <v/>
      </c>
      <c r="I3226" s="4" t="str">
        <v/>
      </c>
    </row>
    <row r="3227" spans="5:9" ht="16.5" hidden="1">
      <c r="E3227" s="4" t="str">
        <v/>
      </c>
      <c r="F3227" s="102" t="str">
        <f ca="1">IFERROR(__xludf.DUMMYFUNCTION("IMPORTRANGE(H3227,""IDENTITAS UNIT!D9"")"),"#N/A")</f>
        <v>#N/A</v>
      </c>
      <c r="H3227" s="4" t="str">
        <v/>
      </c>
      <c r="I3227" s="4" t="str">
        <v/>
      </c>
    </row>
    <row r="3228" spans="5:9" ht="16.5" hidden="1">
      <c r="E3228" s="4" t="str">
        <v/>
      </c>
      <c r="F3228" s="102" t="str">
        <f ca="1">IFERROR(__xludf.DUMMYFUNCTION("IMPORTRANGE(H3228,""IDENTITAS UNIT!D9"")"),"#N/A")</f>
        <v>#N/A</v>
      </c>
      <c r="H3228" s="4" t="str">
        <v/>
      </c>
      <c r="I3228" s="4" t="str">
        <v/>
      </c>
    </row>
    <row r="3229" spans="5:9" ht="16.5" hidden="1">
      <c r="E3229" s="4" t="str">
        <v/>
      </c>
      <c r="F3229" s="102" t="str">
        <f ca="1">IFERROR(__xludf.DUMMYFUNCTION("IMPORTRANGE(H3229,""IDENTITAS UNIT!D9"")"),"#N/A")</f>
        <v>#N/A</v>
      </c>
      <c r="H3229" s="4" t="str">
        <v/>
      </c>
      <c r="I3229" s="4" t="str">
        <v/>
      </c>
    </row>
    <row r="3230" spans="5:9" ht="16.5" hidden="1">
      <c r="E3230" s="4" t="str">
        <v/>
      </c>
      <c r="F3230" s="102" t="str">
        <f ca="1">IFERROR(__xludf.DUMMYFUNCTION("IMPORTRANGE(H3230,""IDENTITAS UNIT!D9"")"),"#N/A")</f>
        <v>#N/A</v>
      </c>
      <c r="H3230" s="4" t="str">
        <v/>
      </c>
      <c r="I3230" s="4" t="str">
        <v/>
      </c>
    </row>
    <row r="3231" spans="5:9" ht="16.5" hidden="1">
      <c r="E3231" s="4" t="str">
        <v/>
      </c>
      <c r="F3231" s="102" t="str">
        <f ca="1">IFERROR(__xludf.DUMMYFUNCTION("IMPORTRANGE(H3231,""IDENTITAS UNIT!D9"")"),"#N/A")</f>
        <v>#N/A</v>
      </c>
      <c r="H3231" s="4" t="str">
        <v/>
      </c>
      <c r="I3231" s="4" t="str">
        <v/>
      </c>
    </row>
    <row r="3232" spans="5:9" ht="16.5" hidden="1">
      <c r="E3232" s="4" t="str">
        <v/>
      </c>
      <c r="F3232" s="102" t="str">
        <f ca="1">IFERROR(__xludf.DUMMYFUNCTION("IMPORTRANGE(H3232,""IDENTITAS UNIT!D9"")"),"#N/A")</f>
        <v>#N/A</v>
      </c>
      <c r="H3232" s="4" t="str">
        <v/>
      </c>
      <c r="I3232" s="4" t="str">
        <v/>
      </c>
    </row>
    <row r="3233" spans="5:9" ht="16.5" hidden="1">
      <c r="E3233" s="4" t="str">
        <v/>
      </c>
      <c r="F3233" s="102" t="str">
        <f ca="1">IFERROR(__xludf.DUMMYFUNCTION("IMPORTRANGE(H3233,""IDENTITAS UNIT!D9"")"),"#N/A")</f>
        <v>#N/A</v>
      </c>
      <c r="H3233" s="4" t="str">
        <v/>
      </c>
      <c r="I3233" s="4" t="str">
        <v/>
      </c>
    </row>
    <row r="3234" spans="5:9" ht="16.5" hidden="1">
      <c r="E3234" s="4" t="str">
        <v/>
      </c>
      <c r="F3234" s="102" t="str">
        <f ca="1">IFERROR(__xludf.DUMMYFUNCTION("IMPORTRANGE(H3234,""IDENTITAS UNIT!D9"")"),"#N/A")</f>
        <v>#N/A</v>
      </c>
      <c r="H3234" s="4" t="str">
        <v/>
      </c>
      <c r="I3234" s="4" t="str">
        <v/>
      </c>
    </row>
    <row r="3235" spans="5:9" ht="16.5" hidden="1">
      <c r="E3235" s="4" t="str">
        <v/>
      </c>
      <c r="F3235" s="102" t="str">
        <f ca="1">IFERROR(__xludf.DUMMYFUNCTION("IMPORTRANGE(H3235,""IDENTITAS UNIT!D9"")"),"#N/A")</f>
        <v>#N/A</v>
      </c>
      <c r="H3235" s="4" t="str">
        <v/>
      </c>
      <c r="I3235" s="4" t="str">
        <v/>
      </c>
    </row>
    <row r="3236" spans="5:9" ht="16.5" hidden="1">
      <c r="E3236" s="4" t="str">
        <v/>
      </c>
      <c r="F3236" s="102" t="str">
        <f ca="1">IFERROR(__xludf.DUMMYFUNCTION("IMPORTRANGE(H3236,""IDENTITAS UNIT!D9"")"),"#N/A")</f>
        <v>#N/A</v>
      </c>
      <c r="H3236" s="4" t="str">
        <v/>
      </c>
      <c r="I3236" s="4" t="str">
        <v/>
      </c>
    </row>
    <row r="3237" spans="5:9" ht="16.5" hidden="1">
      <c r="E3237" s="4" t="str">
        <v/>
      </c>
      <c r="F3237" s="102" t="str">
        <f ca="1">IFERROR(__xludf.DUMMYFUNCTION("IMPORTRANGE(H3237,""IDENTITAS UNIT!D9"")"),"#N/A")</f>
        <v>#N/A</v>
      </c>
      <c r="H3237" s="4" t="str">
        <v/>
      </c>
      <c r="I3237" s="4" t="str">
        <v/>
      </c>
    </row>
    <row r="3238" spans="5:9" ht="16.5" hidden="1">
      <c r="E3238" s="4" t="str">
        <v/>
      </c>
      <c r="F3238" s="102" t="str">
        <f ca="1">IFERROR(__xludf.DUMMYFUNCTION("IMPORTRANGE(H3238,""IDENTITAS UNIT!D9"")"),"#N/A")</f>
        <v>#N/A</v>
      </c>
      <c r="H3238" s="4" t="str">
        <v/>
      </c>
      <c r="I3238" s="4" t="str">
        <v/>
      </c>
    </row>
    <row r="3239" spans="5:9" ht="16.5" hidden="1">
      <c r="E3239" s="4" t="str">
        <v/>
      </c>
      <c r="F3239" s="102" t="str">
        <f ca="1">IFERROR(__xludf.DUMMYFUNCTION("IMPORTRANGE(H3239,""IDENTITAS UNIT!D9"")"),"#N/A")</f>
        <v>#N/A</v>
      </c>
      <c r="H3239" s="4" t="str">
        <v/>
      </c>
      <c r="I3239" s="4" t="str">
        <v/>
      </c>
    </row>
    <row r="3240" spans="5:9" ht="16.5" hidden="1">
      <c r="E3240" s="4" t="str">
        <v/>
      </c>
      <c r="F3240" s="102" t="str">
        <f ca="1">IFERROR(__xludf.DUMMYFUNCTION("IMPORTRANGE(H3240,""IDENTITAS UNIT!D9"")"),"#N/A")</f>
        <v>#N/A</v>
      </c>
      <c r="H3240" s="4" t="str">
        <v/>
      </c>
      <c r="I3240" s="4" t="str">
        <v/>
      </c>
    </row>
    <row r="3241" spans="5:9" ht="16.5" hidden="1">
      <c r="E3241" s="4" t="str">
        <v/>
      </c>
      <c r="F3241" s="102" t="str">
        <f ca="1">IFERROR(__xludf.DUMMYFUNCTION("IMPORTRANGE(H3241,""IDENTITAS UNIT!D9"")"),"#N/A")</f>
        <v>#N/A</v>
      </c>
      <c r="H3241" s="4" t="str">
        <v/>
      </c>
      <c r="I3241" s="4" t="str">
        <v/>
      </c>
    </row>
    <row r="3242" spans="5:9" ht="16.5" hidden="1">
      <c r="E3242" s="4" t="str">
        <v/>
      </c>
      <c r="F3242" s="102" t="str">
        <f ca="1">IFERROR(__xludf.DUMMYFUNCTION("IMPORTRANGE(H3242,""IDENTITAS UNIT!D9"")"),"#N/A")</f>
        <v>#N/A</v>
      </c>
      <c r="H3242" s="4" t="str">
        <v/>
      </c>
      <c r="I3242" s="4" t="str">
        <v/>
      </c>
    </row>
    <row r="3243" spans="5:9" ht="16.5" hidden="1">
      <c r="E3243" s="4" t="str">
        <v/>
      </c>
      <c r="F3243" s="102" t="str">
        <f ca="1">IFERROR(__xludf.DUMMYFUNCTION("IMPORTRANGE(H3243,""IDENTITAS UNIT!D9"")"),"#N/A")</f>
        <v>#N/A</v>
      </c>
      <c r="H3243" s="4" t="str">
        <v/>
      </c>
      <c r="I3243" s="4" t="str">
        <v/>
      </c>
    </row>
    <row r="3244" spans="5:9" ht="16.5" hidden="1">
      <c r="E3244" s="4" t="str">
        <v/>
      </c>
      <c r="F3244" s="102" t="str">
        <f ca="1">IFERROR(__xludf.DUMMYFUNCTION("IMPORTRANGE(H3244,""IDENTITAS UNIT!D9"")"),"#N/A")</f>
        <v>#N/A</v>
      </c>
      <c r="H3244" s="4" t="str">
        <v/>
      </c>
      <c r="I3244" s="4" t="str">
        <v/>
      </c>
    </row>
    <row r="3245" spans="5:9" ht="16.5" hidden="1">
      <c r="E3245" s="4" t="str">
        <v/>
      </c>
      <c r="F3245" s="102" t="str">
        <f ca="1">IFERROR(__xludf.DUMMYFUNCTION("IMPORTRANGE(H3245,""IDENTITAS UNIT!D9"")"),"#N/A")</f>
        <v>#N/A</v>
      </c>
      <c r="H3245" s="4" t="str">
        <v/>
      </c>
      <c r="I3245" s="4" t="str">
        <v/>
      </c>
    </row>
    <row r="3246" spans="5:9" ht="16.5" hidden="1">
      <c r="E3246" s="4" t="str">
        <v/>
      </c>
      <c r="F3246" s="102" t="str">
        <f ca="1">IFERROR(__xludf.DUMMYFUNCTION("IMPORTRANGE(H3246,""IDENTITAS UNIT!D9"")"),"#N/A")</f>
        <v>#N/A</v>
      </c>
      <c r="H3246" s="4" t="str">
        <v/>
      </c>
      <c r="I3246" s="4" t="str">
        <v/>
      </c>
    </row>
    <row r="3247" spans="5:9" ht="16.5" hidden="1">
      <c r="E3247" s="4" t="str">
        <v/>
      </c>
      <c r="F3247" s="102" t="str">
        <f ca="1">IFERROR(__xludf.DUMMYFUNCTION("IMPORTRANGE(H3247,""IDENTITAS UNIT!D9"")"),"#N/A")</f>
        <v>#N/A</v>
      </c>
      <c r="H3247" s="4" t="str">
        <v/>
      </c>
      <c r="I3247" s="4" t="str">
        <v/>
      </c>
    </row>
    <row r="3248" spans="5:9" ht="16.5" hidden="1">
      <c r="E3248" s="4" t="str">
        <v/>
      </c>
      <c r="F3248" s="102" t="str">
        <f ca="1">IFERROR(__xludf.DUMMYFUNCTION("IMPORTRANGE(H3248,""IDENTITAS UNIT!D9"")"),"#N/A")</f>
        <v>#N/A</v>
      </c>
      <c r="H3248" s="4" t="str">
        <v/>
      </c>
      <c r="I3248" s="4" t="str">
        <v/>
      </c>
    </row>
    <row r="3249" spans="5:9" ht="16.5" hidden="1">
      <c r="E3249" s="4" t="str">
        <v/>
      </c>
      <c r="F3249" s="102" t="str">
        <f ca="1">IFERROR(__xludf.DUMMYFUNCTION("IMPORTRANGE(H3249,""IDENTITAS UNIT!D9"")"),"#N/A")</f>
        <v>#N/A</v>
      </c>
      <c r="H3249" s="4" t="str">
        <v/>
      </c>
      <c r="I3249" s="4" t="str">
        <v/>
      </c>
    </row>
    <row r="3250" spans="5:9" ht="16.5" hidden="1">
      <c r="E3250" s="4" t="str">
        <v/>
      </c>
      <c r="F3250" s="102" t="str">
        <f ca="1">IFERROR(__xludf.DUMMYFUNCTION("IMPORTRANGE(H3250,""IDENTITAS UNIT!D9"")"),"#N/A")</f>
        <v>#N/A</v>
      </c>
      <c r="H3250" s="4" t="str">
        <v/>
      </c>
      <c r="I3250" s="4" t="str">
        <v/>
      </c>
    </row>
    <row r="3251" spans="5:9" ht="16.5" hidden="1">
      <c r="E3251" s="4" t="str">
        <v/>
      </c>
      <c r="F3251" s="102" t="str">
        <f ca="1">IFERROR(__xludf.DUMMYFUNCTION("IMPORTRANGE(H3251,""IDENTITAS UNIT!D9"")"),"#N/A")</f>
        <v>#N/A</v>
      </c>
      <c r="H3251" s="4" t="str">
        <v/>
      </c>
      <c r="I3251" s="4" t="str">
        <v/>
      </c>
    </row>
    <row r="3252" spans="5:9" ht="16.5" hidden="1">
      <c r="E3252" s="4" t="str">
        <v/>
      </c>
      <c r="F3252" s="102" t="str">
        <f ca="1">IFERROR(__xludf.DUMMYFUNCTION("IMPORTRANGE(H3252,""IDENTITAS UNIT!D9"")"),"#N/A")</f>
        <v>#N/A</v>
      </c>
      <c r="H3252" s="4" t="str">
        <v/>
      </c>
      <c r="I3252" s="4" t="str">
        <v/>
      </c>
    </row>
    <row r="3253" spans="5:9" ht="16.5" hidden="1">
      <c r="E3253" s="4" t="str">
        <v/>
      </c>
      <c r="F3253" s="102" t="str">
        <f ca="1">IFERROR(__xludf.DUMMYFUNCTION("IMPORTRANGE(H3253,""IDENTITAS UNIT!D9"")"),"#N/A")</f>
        <v>#N/A</v>
      </c>
      <c r="H3253" s="4" t="str">
        <v/>
      </c>
      <c r="I3253" s="4" t="str">
        <v/>
      </c>
    </row>
    <row r="3254" spans="5:9" ht="16.5" hidden="1">
      <c r="E3254" s="4" t="str">
        <v/>
      </c>
      <c r="F3254" s="102" t="str">
        <f ca="1">IFERROR(__xludf.DUMMYFUNCTION("IMPORTRANGE(H3254,""IDENTITAS UNIT!D9"")"),"#N/A")</f>
        <v>#N/A</v>
      </c>
      <c r="H3254" s="4" t="str">
        <v/>
      </c>
      <c r="I3254" s="4" t="str">
        <v/>
      </c>
    </row>
    <row r="3255" spans="5:9" ht="16.5" hidden="1">
      <c r="E3255" s="4" t="str">
        <v/>
      </c>
      <c r="F3255" s="102" t="str">
        <f ca="1">IFERROR(__xludf.DUMMYFUNCTION("IMPORTRANGE(H3255,""IDENTITAS UNIT!D9"")"),"#N/A")</f>
        <v>#N/A</v>
      </c>
      <c r="H3255" s="4" t="str">
        <v/>
      </c>
      <c r="I3255" s="4" t="str">
        <v/>
      </c>
    </row>
    <row r="3256" spans="5:9" ht="16.5" hidden="1">
      <c r="E3256" s="4" t="str">
        <v/>
      </c>
      <c r="F3256" s="102" t="str">
        <f ca="1">IFERROR(__xludf.DUMMYFUNCTION("IMPORTRANGE(H3256,""IDENTITAS UNIT!D9"")"),"#N/A")</f>
        <v>#N/A</v>
      </c>
      <c r="H3256" s="4" t="str">
        <v/>
      </c>
      <c r="I3256" s="4" t="str">
        <v/>
      </c>
    </row>
    <row r="3257" spans="5:9" ht="16.5" hidden="1">
      <c r="E3257" s="4" t="str">
        <v/>
      </c>
      <c r="F3257" s="102" t="str">
        <f ca="1">IFERROR(__xludf.DUMMYFUNCTION("IMPORTRANGE(H3257,""IDENTITAS UNIT!D9"")"),"#N/A")</f>
        <v>#N/A</v>
      </c>
      <c r="H3257" s="4" t="str">
        <v/>
      </c>
      <c r="I3257" s="4" t="str">
        <v/>
      </c>
    </row>
    <row r="3258" spans="5:9" ht="16.5" hidden="1">
      <c r="E3258" s="4" t="str">
        <v/>
      </c>
      <c r="F3258" s="102" t="str">
        <f ca="1">IFERROR(__xludf.DUMMYFUNCTION("IMPORTRANGE(H3258,""IDENTITAS UNIT!D9"")"),"#N/A")</f>
        <v>#N/A</v>
      </c>
      <c r="H3258" s="4" t="str">
        <v/>
      </c>
      <c r="I3258" s="4" t="str">
        <v/>
      </c>
    </row>
    <row r="3259" spans="5:9" ht="16.5" hidden="1">
      <c r="E3259" s="4" t="str">
        <v/>
      </c>
      <c r="F3259" s="102" t="str">
        <f ca="1">IFERROR(__xludf.DUMMYFUNCTION("IMPORTRANGE(H3259,""IDENTITAS UNIT!D9"")"),"#N/A")</f>
        <v>#N/A</v>
      </c>
      <c r="H3259" s="4" t="str">
        <v/>
      </c>
      <c r="I3259" s="4" t="str">
        <v/>
      </c>
    </row>
    <row r="3260" spans="5:9" ht="16.5" hidden="1">
      <c r="E3260" s="4" t="str">
        <v/>
      </c>
      <c r="F3260" s="102" t="str">
        <f ca="1">IFERROR(__xludf.DUMMYFUNCTION("IMPORTRANGE(H3260,""IDENTITAS UNIT!D9"")"),"#N/A")</f>
        <v>#N/A</v>
      </c>
      <c r="H3260" s="4" t="str">
        <v/>
      </c>
      <c r="I3260" s="4" t="str">
        <v/>
      </c>
    </row>
    <row r="3261" spans="5:9" ht="16.5" hidden="1">
      <c r="E3261" s="4" t="str">
        <v/>
      </c>
      <c r="F3261" s="102" t="str">
        <f ca="1">IFERROR(__xludf.DUMMYFUNCTION("IMPORTRANGE(H3261,""IDENTITAS UNIT!D9"")"),"#N/A")</f>
        <v>#N/A</v>
      </c>
      <c r="H3261" s="4" t="str">
        <v/>
      </c>
      <c r="I3261" s="4" t="str">
        <v/>
      </c>
    </row>
    <row r="3262" spans="5:9" ht="16.5" hidden="1">
      <c r="E3262" s="4" t="str">
        <v/>
      </c>
      <c r="F3262" s="102" t="str">
        <f ca="1">IFERROR(__xludf.DUMMYFUNCTION("IMPORTRANGE(H3262,""IDENTITAS UNIT!D9"")"),"#N/A")</f>
        <v>#N/A</v>
      </c>
      <c r="H3262" s="4" t="str">
        <v/>
      </c>
      <c r="I3262" s="4" t="str">
        <v/>
      </c>
    </row>
    <row r="3263" spans="5:9" ht="16.5" hidden="1">
      <c r="E3263" s="4" t="str">
        <v/>
      </c>
      <c r="F3263" s="102" t="str">
        <f ca="1">IFERROR(__xludf.DUMMYFUNCTION("IMPORTRANGE(H3263,""IDENTITAS UNIT!D9"")"),"#N/A")</f>
        <v>#N/A</v>
      </c>
      <c r="H3263" s="4" t="str">
        <v/>
      </c>
      <c r="I3263" s="4" t="str">
        <v/>
      </c>
    </row>
    <row r="3264" spans="5:9" ht="16.5" hidden="1">
      <c r="E3264" s="4" t="str">
        <v/>
      </c>
      <c r="F3264" s="102" t="str">
        <f ca="1">IFERROR(__xludf.DUMMYFUNCTION("IMPORTRANGE(H3264,""IDENTITAS UNIT!D9"")"),"#N/A")</f>
        <v>#N/A</v>
      </c>
      <c r="H3264" s="4" t="str">
        <v/>
      </c>
      <c r="I3264" s="4" t="str">
        <v/>
      </c>
    </row>
    <row r="3265" spans="5:9" ht="16.5" hidden="1">
      <c r="E3265" s="4" t="str">
        <v/>
      </c>
      <c r="F3265" s="102" t="str">
        <f ca="1">IFERROR(__xludf.DUMMYFUNCTION("IMPORTRANGE(H3265,""IDENTITAS UNIT!D9"")"),"#N/A")</f>
        <v>#N/A</v>
      </c>
      <c r="H3265" s="4" t="str">
        <v/>
      </c>
      <c r="I3265" s="4" t="str">
        <v/>
      </c>
    </row>
    <row r="3266" spans="5:9" ht="16.5" hidden="1">
      <c r="E3266" s="4" t="str">
        <v/>
      </c>
      <c r="F3266" s="102" t="str">
        <f ca="1">IFERROR(__xludf.DUMMYFUNCTION("IMPORTRANGE(H3266,""IDENTITAS UNIT!D9"")"),"#N/A")</f>
        <v>#N/A</v>
      </c>
      <c r="H3266" s="4" t="str">
        <v/>
      </c>
      <c r="I3266" s="4" t="str">
        <v/>
      </c>
    </row>
    <row r="3267" spans="5:9" ht="16.5" hidden="1">
      <c r="E3267" s="4" t="str">
        <v/>
      </c>
      <c r="F3267" s="102" t="str">
        <f ca="1">IFERROR(__xludf.DUMMYFUNCTION("IMPORTRANGE(H3267,""IDENTITAS UNIT!D9"")"),"#N/A")</f>
        <v>#N/A</v>
      </c>
      <c r="H3267" s="4" t="str">
        <v/>
      </c>
      <c r="I3267" s="4" t="str">
        <v/>
      </c>
    </row>
    <row r="3268" spans="5:9" ht="16.5" hidden="1">
      <c r="E3268" s="4" t="str">
        <v/>
      </c>
      <c r="F3268" s="102" t="str">
        <f ca="1">IFERROR(__xludf.DUMMYFUNCTION("IMPORTRANGE(H3268,""IDENTITAS UNIT!D9"")"),"#N/A")</f>
        <v>#N/A</v>
      </c>
      <c r="H3268" s="4" t="str">
        <v/>
      </c>
      <c r="I3268" s="4" t="str">
        <v/>
      </c>
    </row>
    <row r="3269" spans="5:9" ht="16.5" hidden="1">
      <c r="E3269" s="4" t="str">
        <v/>
      </c>
      <c r="F3269" s="102" t="str">
        <f ca="1">IFERROR(__xludf.DUMMYFUNCTION("IMPORTRANGE(H3269,""IDENTITAS UNIT!D9"")"),"#N/A")</f>
        <v>#N/A</v>
      </c>
      <c r="H3269" s="4" t="str">
        <v/>
      </c>
      <c r="I3269" s="4" t="str">
        <v/>
      </c>
    </row>
    <row r="3270" spans="5:9" ht="16.5" hidden="1">
      <c r="E3270" s="4" t="str">
        <v/>
      </c>
      <c r="F3270" s="102" t="str">
        <f ca="1">IFERROR(__xludf.DUMMYFUNCTION("IMPORTRANGE(H3270,""IDENTITAS UNIT!D9"")"),"#N/A")</f>
        <v>#N/A</v>
      </c>
      <c r="H3270" s="4" t="str">
        <v/>
      </c>
      <c r="I3270" s="4" t="str">
        <v/>
      </c>
    </row>
    <row r="3271" spans="5:9" ht="16.5" hidden="1">
      <c r="E3271" s="4" t="str">
        <v/>
      </c>
      <c r="F3271" s="102" t="str">
        <f ca="1">IFERROR(__xludf.DUMMYFUNCTION("IMPORTRANGE(H3271,""IDENTITAS UNIT!D9"")"),"#N/A")</f>
        <v>#N/A</v>
      </c>
      <c r="H3271" s="4" t="str">
        <v/>
      </c>
      <c r="I3271" s="4" t="str">
        <v/>
      </c>
    </row>
    <row r="3272" spans="5:9" ht="16.5" hidden="1">
      <c r="E3272" s="4" t="str">
        <v/>
      </c>
      <c r="F3272" s="102" t="str">
        <f ca="1">IFERROR(__xludf.DUMMYFUNCTION("IMPORTRANGE(H3272,""IDENTITAS UNIT!D9"")"),"#N/A")</f>
        <v>#N/A</v>
      </c>
      <c r="H3272" s="4" t="str">
        <v/>
      </c>
      <c r="I3272" s="4" t="str">
        <v/>
      </c>
    </row>
    <row r="3273" spans="5:9" ht="16.5" hidden="1">
      <c r="E3273" s="4" t="str">
        <v/>
      </c>
      <c r="F3273" s="102" t="str">
        <f ca="1">IFERROR(__xludf.DUMMYFUNCTION("IMPORTRANGE(H3273,""IDENTITAS UNIT!D9"")"),"#N/A")</f>
        <v>#N/A</v>
      </c>
      <c r="H3273" s="4" t="str">
        <v/>
      </c>
      <c r="I3273" s="4" t="str">
        <v/>
      </c>
    </row>
    <row r="3274" spans="5:9" ht="16.5" hidden="1">
      <c r="E3274" s="4" t="str">
        <v/>
      </c>
      <c r="F3274" s="102" t="str">
        <f ca="1">IFERROR(__xludf.DUMMYFUNCTION("IMPORTRANGE(H3274,""IDENTITAS UNIT!D9"")"),"#N/A")</f>
        <v>#N/A</v>
      </c>
      <c r="H3274" s="4" t="str">
        <v/>
      </c>
      <c r="I3274" s="4" t="str">
        <v/>
      </c>
    </row>
    <row r="3275" spans="5:9" ht="16.5" hidden="1">
      <c r="E3275" s="4" t="str">
        <v/>
      </c>
      <c r="F3275" s="102" t="str">
        <f ca="1">IFERROR(__xludf.DUMMYFUNCTION("IMPORTRANGE(H3275,""IDENTITAS UNIT!D9"")"),"#N/A")</f>
        <v>#N/A</v>
      </c>
      <c r="H3275" s="4" t="str">
        <v/>
      </c>
      <c r="I3275" s="4" t="str">
        <v/>
      </c>
    </row>
    <row r="3276" spans="5:9" ht="16.5" hidden="1">
      <c r="E3276" s="4" t="str">
        <v/>
      </c>
      <c r="F3276" s="102" t="str">
        <f ca="1">IFERROR(__xludf.DUMMYFUNCTION("IMPORTRANGE(H3276,""IDENTITAS UNIT!D9"")"),"#N/A")</f>
        <v>#N/A</v>
      </c>
      <c r="H3276" s="4" t="str">
        <v/>
      </c>
      <c r="I3276" s="4" t="str">
        <v/>
      </c>
    </row>
    <row r="3277" spans="5:9" ht="16.5" hidden="1">
      <c r="E3277" s="4" t="str">
        <v/>
      </c>
      <c r="F3277" s="102" t="str">
        <f ca="1">IFERROR(__xludf.DUMMYFUNCTION("IMPORTRANGE(H3277,""IDENTITAS UNIT!D9"")"),"#N/A")</f>
        <v>#N/A</v>
      </c>
      <c r="H3277" s="4" t="str">
        <v/>
      </c>
      <c r="I3277" s="4" t="str">
        <v/>
      </c>
    </row>
    <row r="3278" spans="5:9" ht="16.5" hidden="1">
      <c r="E3278" s="4" t="str">
        <v/>
      </c>
      <c r="F3278" s="102" t="str">
        <f ca="1">IFERROR(__xludf.DUMMYFUNCTION("IMPORTRANGE(H3278,""IDENTITAS UNIT!D9"")"),"#N/A")</f>
        <v>#N/A</v>
      </c>
      <c r="H3278" s="4" t="str">
        <v/>
      </c>
      <c r="I3278" s="4" t="str">
        <v/>
      </c>
    </row>
    <row r="3279" spans="5:9" ht="16.5" hidden="1">
      <c r="E3279" s="4" t="str">
        <v/>
      </c>
      <c r="F3279" s="102" t="str">
        <f ca="1">IFERROR(__xludf.DUMMYFUNCTION("IMPORTRANGE(H3279,""IDENTITAS UNIT!D9"")"),"#N/A")</f>
        <v>#N/A</v>
      </c>
      <c r="H3279" s="4" t="str">
        <v/>
      </c>
      <c r="I3279" s="4" t="str">
        <v/>
      </c>
    </row>
    <row r="3280" spans="5:9" ht="16.5" hidden="1">
      <c r="E3280" s="4" t="str">
        <v/>
      </c>
      <c r="F3280" s="102" t="str">
        <f ca="1">IFERROR(__xludf.DUMMYFUNCTION("IMPORTRANGE(H3280,""IDENTITAS UNIT!D9"")"),"#N/A")</f>
        <v>#N/A</v>
      </c>
      <c r="H3280" s="4" t="str">
        <v/>
      </c>
      <c r="I3280" s="4" t="str">
        <v/>
      </c>
    </row>
    <row r="3281" spans="5:9" ht="16.5" hidden="1">
      <c r="E3281" s="4" t="str">
        <v/>
      </c>
      <c r="F3281" s="102" t="str">
        <f ca="1">IFERROR(__xludf.DUMMYFUNCTION("IMPORTRANGE(H3281,""IDENTITAS UNIT!D9"")"),"#N/A")</f>
        <v>#N/A</v>
      </c>
      <c r="H3281" s="4" t="str">
        <v/>
      </c>
      <c r="I3281" s="4" t="str">
        <v/>
      </c>
    </row>
    <row r="3282" spans="5:9" ht="16.5" hidden="1">
      <c r="E3282" s="4" t="str">
        <v/>
      </c>
      <c r="F3282" s="102" t="str">
        <f ca="1">IFERROR(__xludf.DUMMYFUNCTION("IMPORTRANGE(H3282,""IDENTITAS UNIT!D9"")"),"#N/A")</f>
        <v>#N/A</v>
      </c>
      <c r="H3282" s="4" t="str">
        <v/>
      </c>
      <c r="I3282" s="4" t="str">
        <v/>
      </c>
    </row>
    <row r="3283" spans="5:9" ht="16.5" hidden="1">
      <c r="E3283" s="4" t="str">
        <v/>
      </c>
      <c r="F3283" s="102" t="str">
        <f ca="1">IFERROR(__xludf.DUMMYFUNCTION("IMPORTRANGE(H3283,""IDENTITAS UNIT!D9"")"),"#N/A")</f>
        <v>#N/A</v>
      </c>
      <c r="H3283" s="4" t="str">
        <v/>
      </c>
      <c r="I3283" s="4" t="str">
        <v/>
      </c>
    </row>
    <row r="3284" spans="5:9" ht="16.5" hidden="1">
      <c r="E3284" s="4" t="str">
        <v/>
      </c>
      <c r="F3284" s="102" t="str">
        <f ca="1">IFERROR(__xludf.DUMMYFUNCTION("IMPORTRANGE(H3284,""IDENTITAS UNIT!D9"")"),"#N/A")</f>
        <v>#N/A</v>
      </c>
      <c r="H3284" s="4" t="str">
        <v/>
      </c>
      <c r="I3284" s="4" t="str">
        <v/>
      </c>
    </row>
    <row r="3285" spans="5:9" ht="16.5" hidden="1">
      <c r="E3285" s="4" t="str">
        <v/>
      </c>
      <c r="F3285" s="102" t="str">
        <f ca="1">IFERROR(__xludf.DUMMYFUNCTION("IMPORTRANGE(H3285,""IDENTITAS UNIT!D9"")"),"#N/A")</f>
        <v>#N/A</v>
      </c>
      <c r="H3285" s="4" t="str">
        <v/>
      </c>
      <c r="I3285" s="4" t="str">
        <v/>
      </c>
    </row>
    <row r="3286" spans="5:9" ht="16.5" hidden="1">
      <c r="E3286" s="4" t="str">
        <v/>
      </c>
      <c r="F3286" s="102" t="str">
        <f ca="1">IFERROR(__xludf.DUMMYFUNCTION("IMPORTRANGE(H3286,""IDENTITAS UNIT!D9"")"),"#N/A")</f>
        <v>#N/A</v>
      </c>
      <c r="H3286" s="4" t="str">
        <v/>
      </c>
      <c r="I3286" s="4" t="str">
        <v/>
      </c>
    </row>
    <row r="3287" spans="5:9" ht="16.5" hidden="1">
      <c r="E3287" s="4" t="str">
        <v/>
      </c>
      <c r="F3287" s="102" t="str">
        <f ca="1">IFERROR(__xludf.DUMMYFUNCTION("IMPORTRANGE(H3287,""IDENTITAS UNIT!D9"")"),"#N/A")</f>
        <v>#N/A</v>
      </c>
      <c r="H3287" s="4" t="str">
        <v/>
      </c>
      <c r="I3287" s="4" t="str">
        <v/>
      </c>
    </row>
    <row r="3288" spans="5:9" ht="16.5" hidden="1">
      <c r="E3288" s="4" t="str">
        <v/>
      </c>
      <c r="F3288" s="102" t="str">
        <f ca="1">IFERROR(__xludf.DUMMYFUNCTION("IMPORTRANGE(H3288,""IDENTITAS UNIT!D9"")"),"#N/A")</f>
        <v>#N/A</v>
      </c>
      <c r="H3288" s="4" t="str">
        <v/>
      </c>
      <c r="I3288" s="4" t="str">
        <v/>
      </c>
    </row>
    <row r="3289" spans="5:9" ht="16.5" hidden="1">
      <c r="E3289" s="4" t="str">
        <v/>
      </c>
      <c r="F3289" s="102" t="str">
        <f ca="1">IFERROR(__xludf.DUMMYFUNCTION("IMPORTRANGE(H3289,""IDENTITAS UNIT!D9"")"),"#N/A")</f>
        <v>#N/A</v>
      </c>
      <c r="H3289" s="4" t="str">
        <v/>
      </c>
      <c r="I3289" s="4" t="str">
        <v/>
      </c>
    </row>
    <row r="3290" spans="5:9" ht="16.5" hidden="1">
      <c r="E3290" s="4" t="str">
        <v/>
      </c>
      <c r="F3290" s="102" t="str">
        <f ca="1">IFERROR(__xludf.DUMMYFUNCTION("IMPORTRANGE(H3290,""IDENTITAS UNIT!D9"")"),"#N/A")</f>
        <v>#N/A</v>
      </c>
      <c r="H3290" s="4" t="str">
        <v/>
      </c>
      <c r="I3290" s="4" t="str">
        <v/>
      </c>
    </row>
    <row r="3291" spans="5:9" ht="16.5" hidden="1">
      <c r="E3291" s="4" t="str">
        <v/>
      </c>
      <c r="F3291" s="102" t="str">
        <f ca="1">IFERROR(__xludf.DUMMYFUNCTION("IMPORTRANGE(H3291,""IDENTITAS UNIT!D9"")"),"#N/A")</f>
        <v>#N/A</v>
      </c>
      <c r="H3291" s="4" t="str">
        <v/>
      </c>
      <c r="I3291" s="4" t="str">
        <v/>
      </c>
    </row>
    <row r="3292" spans="5:9" ht="16.5" hidden="1">
      <c r="E3292" s="4" t="str">
        <v/>
      </c>
      <c r="F3292" s="102" t="str">
        <f ca="1">IFERROR(__xludf.DUMMYFUNCTION("IMPORTRANGE(H3292,""IDENTITAS UNIT!D9"")"),"#N/A")</f>
        <v>#N/A</v>
      </c>
      <c r="H3292" s="4" t="str">
        <v/>
      </c>
      <c r="I3292" s="4" t="str">
        <v/>
      </c>
    </row>
    <row r="3293" spans="5:9" ht="16.5" hidden="1">
      <c r="E3293" s="4" t="str">
        <v/>
      </c>
      <c r="F3293" s="102" t="str">
        <f ca="1">IFERROR(__xludf.DUMMYFUNCTION("IMPORTRANGE(H3293,""IDENTITAS UNIT!D9"")"),"#N/A")</f>
        <v>#N/A</v>
      </c>
      <c r="H3293" s="4" t="str">
        <v/>
      </c>
      <c r="I3293" s="4" t="str">
        <v/>
      </c>
    </row>
    <row r="3294" spans="5:9" ht="16.5" hidden="1">
      <c r="E3294" s="4" t="str">
        <v/>
      </c>
      <c r="F3294" s="102" t="str">
        <f ca="1">IFERROR(__xludf.DUMMYFUNCTION("IMPORTRANGE(H3294,""IDENTITAS UNIT!D9"")"),"#N/A")</f>
        <v>#N/A</v>
      </c>
      <c r="H3294" s="4" t="str">
        <v/>
      </c>
      <c r="I3294" s="4" t="str">
        <v/>
      </c>
    </row>
    <row r="3295" spans="5:9" ht="16.5" hidden="1">
      <c r="E3295" s="4" t="str">
        <v/>
      </c>
      <c r="F3295" s="102" t="str">
        <f ca="1">IFERROR(__xludf.DUMMYFUNCTION("IMPORTRANGE(H3295,""IDENTITAS UNIT!D9"")"),"#N/A")</f>
        <v>#N/A</v>
      </c>
      <c r="H3295" s="4" t="str">
        <v/>
      </c>
      <c r="I3295" s="4" t="str">
        <v/>
      </c>
    </row>
    <row r="3296" spans="5:9" ht="16.5" hidden="1">
      <c r="E3296" s="4" t="str">
        <v/>
      </c>
      <c r="F3296" s="102" t="str">
        <f ca="1">IFERROR(__xludf.DUMMYFUNCTION("IMPORTRANGE(H3296,""IDENTITAS UNIT!D9"")"),"#N/A")</f>
        <v>#N/A</v>
      </c>
      <c r="H3296" s="4" t="str">
        <v/>
      </c>
      <c r="I3296" s="4" t="str">
        <v/>
      </c>
    </row>
    <row r="3297" spans="5:9" ht="16.5" hidden="1">
      <c r="E3297" s="4" t="str">
        <v/>
      </c>
      <c r="F3297" s="102" t="str">
        <f ca="1">IFERROR(__xludf.DUMMYFUNCTION("IMPORTRANGE(H3297,""IDENTITAS UNIT!D9"")"),"#N/A")</f>
        <v>#N/A</v>
      </c>
      <c r="H3297" s="4" t="str">
        <v/>
      </c>
      <c r="I3297" s="4" t="str">
        <v/>
      </c>
    </row>
    <row r="3298" spans="5:9" ht="16.5" hidden="1">
      <c r="E3298" s="4" t="str">
        <v/>
      </c>
      <c r="F3298" s="102" t="str">
        <f ca="1">IFERROR(__xludf.DUMMYFUNCTION("IMPORTRANGE(H3298,""IDENTITAS UNIT!D9"")"),"#N/A")</f>
        <v>#N/A</v>
      </c>
      <c r="H3298" s="4" t="str">
        <v/>
      </c>
      <c r="I3298" s="4" t="str">
        <v/>
      </c>
    </row>
    <row r="3299" spans="5:9" ht="16.5" hidden="1">
      <c r="E3299" s="4" t="str">
        <v/>
      </c>
      <c r="F3299" s="102" t="str">
        <f ca="1">IFERROR(__xludf.DUMMYFUNCTION("IMPORTRANGE(H3299,""IDENTITAS UNIT!D9"")"),"#N/A")</f>
        <v>#N/A</v>
      </c>
      <c r="H3299" s="4" t="str">
        <v/>
      </c>
      <c r="I3299" s="4" t="str">
        <v/>
      </c>
    </row>
    <row r="3300" spans="5:9" ht="16.5" hidden="1">
      <c r="E3300" s="4" t="str">
        <v/>
      </c>
      <c r="F3300" s="102" t="str">
        <f ca="1">IFERROR(__xludf.DUMMYFUNCTION("IMPORTRANGE(H3300,""IDENTITAS UNIT!D9"")"),"#N/A")</f>
        <v>#N/A</v>
      </c>
      <c r="H3300" s="4" t="str">
        <v/>
      </c>
      <c r="I3300" s="4" t="str">
        <v/>
      </c>
    </row>
    <row r="3301" spans="5:9" ht="16.5" hidden="1">
      <c r="E3301" s="4" t="str">
        <v/>
      </c>
      <c r="F3301" s="102" t="str">
        <f ca="1">IFERROR(__xludf.DUMMYFUNCTION("IMPORTRANGE(H3301,""IDENTITAS UNIT!D9"")"),"#N/A")</f>
        <v>#N/A</v>
      </c>
      <c r="H3301" s="4" t="str">
        <v/>
      </c>
      <c r="I3301" s="4" t="str">
        <v/>
      </c>
    </row>
    <row r="3302" spans="5:9" ht="16.5" hidden="1">
      <c r="E3302" s="4" t="str">
        <v/>
      </c>
      <c r="F3302" s="102" t="str">
        <f ca="1">IFERROR(__xludf.DUMMYFUNCTION("IMPORTRANGE(H3302,""IDENTITAS UNIT!D9"")"),"#N/A")</f>
        <v>#N/A</v>
      </c>
      <c r="H3302" s="4" t="str">
        <v/>
      </c>
      <c r="I3302" s="4" t="str">
        <v/>
      </c>
    </row>
    <row r="3303" spans="5:9" ht="16.5" hidden="1">
      <c r="E3303" s="4" t="str">
        <v/>
      </c>
      <c r="F3303" s="102" t="str">
        <f ca="1">IFERROR(__xludf.DUMMYFUNCTION("IMPORTRANGE(H3303,""IDENTITAS UNIT!D9"")"),"#N/A")</f>
        <v>#N/A</v>
      </c>
      <c r="H3303" s="4" t="str">
        <v/>
      </c>
      <c r="I3303" s="4" t="str">
        <v/>
      </c>
    </row>
    <row r="3304" spans="5:9" ht="16.5" hidden="1">
      <c r="E3304" s="4" t="str">
        <v/>
      </c>
      <c r="F3304" s="102" t="str">
        <f ca="1">IFERROR(__xludf.DUMMYFUNCTION("IMPORTRANGE(H3304,""IDENTITAS UNIT!D9"")"),"#N/A")</f>
        <v>#N/A</v>
      </c>
      <c r="H3304" s="4" t="str">
        <v/>
      </c>
      <c r="I3304" s="4" t="str">
        <v/>
      </c>
    </row>
    <row r="3305" spans="5:9" ht="16.5" hidden="1">
      <c r="E3305" s="4" t="str">
        <v/>
      </c>
      <c r="F3305" s="102" t="str">
        <f ca="1">IFERROR(__xludf.DUMMYFUNCTION("IMPORTRANGE(H3305,""IDENTITAS UNIT!D9"")"),"#N/A")</f>
        <v>#N/A</v>
      </c>
      <c r="H3305" s="4" t="str">
        <v/>
      </c>
      <c r="I3305" s="4" t="str">
        <v/>
      </c>
    </row>
    <row r="3306" spans="5:9" ht="16.5" hidden="1">
      <c r="E3306" s="4" t="str">
        <v/>
      </c>
      <c r="F3306" s="102" t="str">
        <f ca="1">IFERROR(__xludf.DUMMYFUNCTION("IMPORTRANGE(H3306,""IDENTITAS UNIT!D9"")"),"#N/A")</f>
        <v>#N/A</v>
      </c>
      <c r="H3306" s="4" t="str">
        <v/>
      </c>
      <c r="I3306" s="4" t="str">
        <v/>
      </c>
    </row>
    <row r="3307" spans="5:9" ht="16.5" hidden="1">
      <c r="E3307" s="4" t="str">
        <v/>
      </c>
      <c r="F3307" s="102" t="str">
        <f ca="1">IFERROR(__xludf.DUMMYFUNCTION("IMPORTRANGE(H3307,""IDENTITAS UNIT!D9"")"),"#N/A")</f>
        <v>#N/A</v>
      </c>
      <c r="H3307" s="4" t="str">
        <v/>
      </c>
      <c r="I3307" s="4" t="str">
        <v/>
      </c>
    </row>
    <row r="3308" spans="5:9" ht="16.5" hidden="1">
      <c r="E3308" s="4" t="str">
        <v/>
      </c>
      <c r="F3308" s="102" t="str">
        <f ca="1">IFERROR(__xludf.DUMMYFUNCTION("IMPORTRANGE(H3308,""IDENTITAS UNIT!D9"")"),"#N/A")</f>
        <v>#N/A</v>
      </c>
      <c r="H3308" s="4" t="str">
        <v/>
      </c>
      <c r="I3308" s="4" t="str">
        <v/>
      </c>
    </row>
    <row r="3309" spans="5:9" ht="16.5" hidden="1">
      <c r="E3309" s="4" t="str">
        <v/>
      </c>
      <c r="F3309" s="102" t="str">
        <f ca="1">IFERROR(__xludf.DUMMYFUNCTION("IMPORTRANGE(H3309,""IDENTITAS UNIT!D9"")"),"#N/A")</f>
        <v>#N/A</v>
      </c>
      <c r="H3309" s="4" t="str">
        <v/>
      </c>
      <c r="I3309" s="4" t="str">
        <v/>
      </c>
    </row>
    <row r="3310" spans="5:9" ht="16.5" hidden="1">
      <c r="E3310" s="4" t="str">
        <v/>
      </c>
      <c r="F3310" s="102" t="str">
        <f ca="1">IFERROR(__xludf.DUMMYFUNCTION("IMPORTRANGE(H3310,""IDENTITAS UNIT!D9"")"),"#N/A")</f>
        <v>#N/A</v>
      </c>
      <c r="H3310" s="4" t="str">
        <v/>
      </c>
      <c r="I3310" s="4" t="str">
        <v/>
      </c>
    </row>
    <row r="3311" spans="5:9" ht="16.5" hidden="1">
      <c r="E3311" s="4" t="str">
        <v/>
      </c>
      <c r="F3311" s="102" t="str">
        <f ca="1">IFERROR(__xludf.DUMMYFUNCTION("IMPORTRANGE(H3311,""IDENTITAS UNIT!D9"")"),"#N/A")</f>
        <v>#N/A</v>
      </c>
      <c r="H3311" s="4" t="str">
        <v/>
      </c>
      <c r="I3311" s="4" t="str">
        <v/>
      </c>
    </row>
    <row r="3312" spans="5:9" ht="16.5" hidden="1">
      <c r="E3312" s="4" t="str">
        <v/>
      </c>
      <c r="F3312" s="102" t="str">
        <f ca="1">IFERROR(__xludf.DUMMYFUNCTION("IMPORTRANGE(H3312,""IDENTITAS UNIT!D9"")"),"#N/A")</f>
        <v>#N/A</v>
      </c>
      <c r="H3312" s="4" t="str">
        <v/>
      </c>
      <c r="I3312" s="4" t="str">
        <v/>
      </c>
    </row>
    <row r="3313" spans="5:9" ht="16.5" hidden="1">
      <c r="E3313" s="4" t="str">
        <v/>
      </c>
      <c r="F3313" s="102" t="str">
        <f ca="1">IFERROR(__xludf.DUMMYFUNCTION("IMPORTRANGE(H3313,""IDENTITAS UNIT!D9"")"),"#N/A")</f>
        <v>#N/A</v>
      </c>
      <c r="H3313" s="4" t="str">
        <v/>
      </c>
      <c r="I3313" s="4" t="str">
        <v/>
      </c>
    </row>
    <row r="3314" spans="5:9" ht="16.5" hidden="1">
      <c r="E3314" s="4" t="str">
        <v/>
      </c>
      <c r="F3314" s="102" t="str">
        <f ca="1">IFERROR(__xludf.DUMMYFUNCTION("IMPORTRANGE(H3314,""IDENTITAS UNIT!D9"")"),"#N/A")</f>
        <v>#N/A</v>
      </c>
      <c r="H3314" s="4" t="str">
        <v/>
      </c>
      <c r="I3314" s="4" t="str">
        <v/>
      </c>
    </row>
    <row r="3315" spans="5:9" ht="16.5" hidden="1">
      <c r="E3315" s="4" t="str">
        <v/>
      </c>
      <c r="F3315" s="102" t="str">
        <f ca="1">IFERROR(__xludf.DUMMYFUNCTION("IMPORTRANGE(H3315,""IDENTITAS UNIT!D9"")"),"#N/A")</f>
        <v>#N/A</v>
      </c>
      <c r="H3315" s="4" t="str">
        <v/>
      </c>
      <c r="I3315" s="4" t="str">
        <v/>
      </c>
    </row>
    <row r="3316" spans="5:9" ht="16.5" hidden="1">
      <c r="E3316" s="4" t="str">
        <v/>
      </c>
      <c r="F3316" s="102" t="str">
        <f ca="1">IFERROR(__xludf.DUMMYFUNCTION("IMPORTRANGE(H3316,""IDENTITAS UNIT!D9"")"),"#N/A")</f>
        <v>#N/A</v>
      </c>
      <c r="H3316" s="4" t="str">
        <v/>
      </c>
      <c r="I3316" s="4" t="str">
        <v/>
      </c>
    </row>
    <row r="3317" spans="5:9" ht="16.5" hidden="1">
      <c r="E3317" s="4" t="str">
        <v/>
      </c>
      <c r="F3317" s="102" t="str">
        <f ca="1">IFERROR(__xludf.DUMMYFUNCTION("IMPORTRANGE(H3317,""IDENTITAS UNIT!D9"")"),"#N/A")</f>
        <v>#N/A</v>
      </c>
      <c r="H3317" s="4" t="str">
        <v/>
      </c>
      <c r="I3317" s="4" t="str">
        <v/>
      </c>
    </row>
    <row r="3318" spans="5:9" ht="16.5" hidden="1">
      <c r="E3318" s="4" t="str">
        <v/>
      </c>
      <c r="F3318" s="102" t="str">
        <f ca="1">IFERROR(__xludf.DUMMYFUNCTION("IMPORTRANGE(H3318,""IDENTITAS UNIT!D9"")"),"#N/A")</f>
        <v>#N/A</v>
      </c>
      <c r="H3318" s="4" t="str">
        <v/>
      </c>
      <c r="I3318" s="4" t="str">
        <v/>
      </c>
    </row>
    <row r="3319" spans="5:9" ht="16.5" hidden="1">
      <c r="E3319" s="4" t="str">
        <v/>
      </c>
      <c r="F3319" s="102" t="str">
        <f ca="1">IFERROR(__xludf.DUMMYFUNCTION("IMPORTRANGE(H3319,""IDENTITAS UNIT!D9"")"),"#N/A")</f>
        <v>#N/A</v>
      </c>
      <c r="H3319" s="4" t="str">
        <v/>
      </c>
      <c r="I3319" s="4" t="str">
        <v/>
      </c>
    </row>
    <row r="3320" spans="5:9" ht="16.5" hidden="1">
      <c r="E3320" s="4" t="str">
        <v/>
      </c>
      <c r="F3320" s="102" t="str">
        <f ca="1">IFERROR(__xludf.DUMMYFUNCTION("IMPORTRANGE(H3320,""IDENTITAS UNIT!D9"")"),"#N/A")</f>
        <v>#N/A</v>
      </c>
      <c r="H3320" s="4" t="str">
        <v/>
      </c>
      <c r="I3320" s="4" t="str">
        <v/>
      </c>
    </row>
    <row r="3321" spans="5:9" ht="16.5" hidden="1">
      <c r="E3321" s="4" t="str">
        <v/>
      </c>
      <c r="F3321" s="102" t="str">
        <f ca="1">IFERROR(__xludf.DUMMYFUNCTION("IMPORTRANGE(H3321,""IDENTITAS UNIT!D9"")"),"#N/A")</f>
        <v>#N/A</v>
      </c>
      <c r="H3321" s="4" t="str">
        <v/>
      </c>
      <c r="I3321" s="4" t="str">
        <v/>
      </c>
    </row>
    <row r="3322" spans="5:9" ht="16.5" hidden="1">
      <c r="E3322" s="4" t="str">
        <v/>
      </c>
      <c r="F3322" s="102" t="str">
        <f ca="1">IFERROR(__xludf.DUMMYFUNCTION("IMPORTRANGE(H3322,""IDENTITAS UNIT!D9"")"),"#N/A")</f>
        <v>#N/A</v>
      </c>
      <c r="H3322" s="4" t="str">
        <v/>
      </c>
      <c r="I3322" s="4" t="str">
        <v/>
      </c>
    </row>
    <row r="3323" spans="5:9" ht="16.5" hidden="1">
      <c r="E3323" s="4" t="str">
        <v/>
      </c>
      <c r="F3323" s="102" t="str">
        <f ca="1">IFERROR(__xludf.DUMMYFUNCTION("IMPORTRANGE(H3323,""IDENTITAS UNIT!D9"")"),"#N/A")</f>
        <v>#N/A</v>
      </c>
      <c r="H3323" s="4" t="str">
        <v/>
      </c>
      <c r="I3323" s="4" t="str">
        <v/>
      </c>
    </row>
    <row r="3324" spans="5:9" ht="16.5" hidden="1">
      <c r="E3324" s="4" t="str">
        <v/>
      </c>
      <c r="F3324" s="102" t="str">
        <f ca="1">IFERROR(__xludf.DUMMYFUNCTION("IMPORTRANGE(H3324,""IDENTITAS UNIT!D9"")"),"#N/A")</f>
        <v>#N/A</v>
      </c>
      <c r="H3324" s="4" t="str">
        <v/>
      </c>
      <c r="I3324" s="4" t="str">
        <v/>
      </c>
    </row>
    <row r="3325" spans="5:9" ht="16.5" hidden="1">
      <c r="E3325" s="4" t="str">
        <v/>
      </c>
      <c r="F3325" s="102" t="str">
        <f ca="1">IFERROR(__xludf.DUMMYFUNCTION("IMPORTRANGE(H3325,""IDENTITAS UNIT!D9"")"),"#N/A")</f>
        <v>#N/A</v>
      </c>
      <c r="H3325" s="4" t="str">
        <v/>
      </c>
      <c r="I3325" s="4" t="str">
        <v/>
      </c>
    </row>
    <row r="3326" spans="5:9" ht="16.5" hidden="1">
      <c r="E3326" s="4" t="str">
        <v/>
      </c>
      <c r="F3326" s="102" t="str">
        <f ca="1">IFERROR(__xludf.DUMMYFUNCTION("IMPORTRANGE(H3326,""IDENTITAS UNIT!D9"")"),"#N/A")</f>
        <v>#N/A</v>
      </c>
      <c r="H3326" s="4" t="str">
        <v/>
      </c>
      <c r="I3326" s="4" t="str">
        <v/>
      </c>
    </row>
    <row r="3327" spans="5:9" ht="16.5" hidden="1">
      <c r="E3327" s="4" t="str">
        <v/>
      </c>
      <c r="F3327" s="102" t="str">
        <f ca="1">IFERROR(__xludf.DUMMYFUNCTION("IMPORTRANGE(H3327,""IDENTITAS UNIT!D9"")"),"#N/A")</f>
        <v>#N/A</v>
      </c>
      <c r="H3327" s="4" t="str">
        <v/>
      </c>
      <c r="I3327" s="4" t="str">
        <v/>
      </c>
    </row>
    <row r="3328" spans="5:9" ht="16.5" hidden="1">
      <c r="E3328" s="4" t="str">
        <v/>
      </c>
      <c r="F3328" s="102" t="str">
        <f ca="1">IFERROR(__xludf.DUMMYFUNCTION("IMPORTRANGE(H3328,""IDENTITAS UNIT!D9"")"),"#N/A")</f>
        <v>#N/A</v>
      </c>
      <c r="H3328" s="4" t="str">
        <v/>
      </c>
      <c r="I3328" s="4" t="str">
        <v/>
      </c>
    </row>
    <row r="3329" spans="5:9" ht="16.5" hidden="1">
      <c r="E3329" s="4" t="str">
        <v/>
      </c>
      <c r="F3329" s="102" t="str">
        <f ca="1">IFERROR(__xludf.DUMMYFUNCTION("IMPORTRANGE(H3329,""IDENTITAS UNIT!D9"")"),"#N/A")</f>
        <v>#N/A</v>
      </c>
      <c r="H3329" s="4" t="str">
        <v/>
      </c>
      <c r="I3329" s="4" t="str">
        <v/>
      </c>
    </row>
    <row r="3330" spans="5:9" ht="16.5" hidden="1">
      <c r="E3330" s="4" t="str">
        <v/>
      </c>
      <c r="F3330" s="102" t="str">
        <f ca="1">IFERROR(__xludf.DUMMYFUNCTION("IMPORTRANGE(H3330,""IDENTITAS UNIT!D9"")"),"#N/A")</f>
        <v>#N/A</v>
      </c>
      <c r="H3330" s="4" t="str">
        <v/>
      </c>
      <c r="I3330" s="4" t="str">
        <v/>
      </c>
    </row>
    <row r="3331" spans="5:9" ht="16.5" hidden="1">
      <c r="E3331" s="4" t="str">
        <v/>
      </c>
      <c r="F3331" s="102" t="str">
        <f ca="1">IFERROR(__xludf.DUMMYFUNCTION("IMPORTRANGE(H3331,""IDENTITAS UNIT!D9"")"),"#N/A")</f>
        <v>#N/A</v>
      </c>
      <c r="H3331" s="4" t="str">
        <v/>
      </c>
      <c r="I3331" s="4" t="str">
        <v/>
      </c>
    </row>
    <row r="3332" spans="5:9" ht="16.5" hidden="1">
      <c r="E3332" s="4" t="str">
        <v/>
      </c>
      <c r="F3332" s="102" t="str">
        <f ca="1">IFERROR(__xludf.DUMMYFUNCTION("IMPORTRANGE(H3332,""IDENTITAS UNIT!D9"")"),"#N/A")</f>
        <v>#N/A</v>
      </c>
      <c r="H3332" s="4" t="str">
        <v/>
      </c>
      <c r="I3332" s="4" t="str">
        <v/>
      </c>
    </row>
    <row r="3333" spans="5:9" ht="16.5" hidden="1">
      <c r="E3333" s="4" t="str">
        <v/>
      </c>
      <c r="F3333" s="102" t="str">
        <f ca="1">IFERROR(__xludf.DUMMYFUNCTION("IMPORTRANGE(H3333,""IDENTITAS UNIT!D9"")"),"#N/A")</f>
        <v>#N/A</v>
      </c>
      <c r="H3333" s="4" t="str">
        <v/>
      </c>
      <c r="I3333" s="4" t="str">
        <v/>
      </c>
    </row>
    <row r="3334" spans="5:9" ht="16.5" hidden="1">
      <c r="E3334" s="4" t="str">
        <v/>
      </c>
      <c r="F3334" s="102" t="str">
        <f ca="1">IFERROR(__xludf.DUMMYFUNCTION("IMPORTRANGE(H3334,""IDENTITAS UNIT!D9"")"),"#N/A")</f>
        <v>#N/A</v>
      </c>
      <c r="H3334" s="4" t="str">
        <v/>
      </c>
      <c r="I3334" s="4" t="str">
        <v/>
      </c>
    </row>
    <row r="3335" spans="5:9" ht="16.5" hidden="1">
      <c r="E3335" s="4" t="str">
        <v/>
      </c>
      <c r="F3335" s="102" t="str">
        <f ca="1">IFERROR(__xludf.DUMMYFUNCTION("IMPORTRANGE(H3335,""IDENTITAS UNIT!D9"")"),"#N/A")</f>
        <v>#N/A</v>
      </c>
      <c r="H3335" s="4" t="str">
        <v/>
      </c>
      <c r="I3335" s="4" t="str">
        <v/>
      </c>
    </row>
    <row r="3336" spans="5:9" ht="16.5" hidden="1">
      <c r="E3336" s="4" t="str">
        <v/>
      </c>
      <c r="F3336" s="102" t="str">
        <f ca="1">IFERROR(__xludf.DUMMYFUNCTION("IMPORTRANGE(H3336,""IDENTITAS UNIT!D9"")"),"#N/A")</f>
        <v>#N/A</v>
      </c>
      <c r="H3336" s="4" t="str">
        <v/>
      </c>
      <c r="I3336" s="4" t="str">
        <v/>
      </c>
    </row>
    <row r="3337" spans="5:9" ht="16.5" hidden="1">
      <c r="E3337" s="4" t="str">
        <v/>
      </c>
      <c r="F3337" s="102" t="str">
        <f ca="1">IFERROR(__xludf.DUMMYFUNCTION("IMPORTRANGE(H3337,""IDENTITAS UNIT!D9"")"),"#N/A")</f>
        <v>#N/A</v>
      </c>
      <c r="H3337" s="4" t="str">
        <v/>
      </c>
      <c r="I3337" s="4" t="str">
        <v/>
      </c>
    </row>
    <row r="3338" spans="5:9" ht="16.5" hidden="1">
      <c r="E3338" s="4" t="str">
        <v/>
      </c>
      <c r="F3338" s="102" t="str">
        <f ca="1">IFERROR(__xludf.DUMMYFUNCTION("IMPORTRANGE(H3338,""IDENTITAS UNIT!D9"")"),"#N/A")</f>
        <v>#N/A</v>
      </c>
      <c r="H3338" s="4" t="str">
        <v/>
      </c>
      <c r="I3338" s="4" t="str">
        <v/>
      </c>
    </row>
    <row r="3339" spans="5:9" ht="16.5" hidden="1">
      <c r="E3339" s="4" t="str">
        <v/>
      </c>
      <c r="F3339" s="102" t="str">
        <f ca="1">IFERROR(__xludf.DUMMYFUNCTION("IMPORTRANGE(H3339,""IDENTITAS UNIT!D9"")"),"#N/A")</f>
        <v>#N/A</v>
      </c>
      <c r="H3339" s="4" t="str">
        <v/>
      </c>
      <c r="I3339" s="4" t="str">
        <v/>
      </c>
    </row>
    <row r="3340" spans="5:9" ht="16.5" hidden="1">
      <c r="E3340" s="4" t="str">
        <v/>
      </c>
      <c r="F3340" s="102" t="str">
        <f ca="1">IFERROR(__xludf.DUMMYFUNCTION("IMPORTRANGE(H3340,""IDENTITAS UNIT!D9"")"),"#N/A")</f>
        <v>#N/A</v>
      </c>
      <c r="H3340" s="4" t="str">
        <v/>
      </c>
      <c r="I3340" s="4" t="str">
        <v/>
      </c>
    </row>
    <row r="3341" spans="5:9" ht="16.5" hidden="1">
      <c r="E3341" s="4" t="str">
        <v/>
      </c>
      <c r="F3341" s="102" t="str">
        <f ca="1">IFERROR(__xludf.DUMMYFUNCTION("IMPORTRANGE(H3341,""IDENTITAS UNIT!D9"")"),"#N/A")</f>
        <v>#N/A</v>
      </c>
      <c r="H3341" s="4" t="str">
        <v/>
      </c>
      <c r="I3341" s="4" t="str">
        <v/>
      </c>
    </row>
    <row r="3342" spans="5:9" ht="16.5" hidden="1">
      <c r="E3342" s="4" t="str">
        <v/>
      </c>
      <c r="F3342" s="102" t="str">
        <f ca="1">IFERROR(__xludf.DUMMYFUNCTION("IMPORTRANGE(H3342,""IDENTITAS UNIT!D9"")"),"#N/A")</f>
        <v>#N/A</v>
      </c>
      <c r="H3342" s="4" t="str">
        <v/>
      </c>
      <c r="I3342" s="4" t="str">
        <v/>
      </c>
    </row>
    <row r="3343" spans="5:9" ht="16.5" hidden="1">
      <c r="E3343" s="4" t="str">
        <v/>
      </c>
      <c r="F3343" s="102" t="str">
        <f ca="1">IFERROR(__xludf.DUMMYFUNCTION("IMPORTRANGE(H3343,""IDENTITAS UNIT!D9"")"),"#N/A")</f>
        <v>#N/A</v>
      </c>
      <c r="H3343" s="4" t="str">
        <v/>
      </c>
      <c r="I3343" s="4" t="str">
        <v/>
      </c>
    </row>
    <row r="3344" spans="5:9" ht="16.5" hidden="1">
      <c r="E3344" s="4" t="str">
        <v/>
      </c>
      <c r="F3344" s="102" t="str">
        <f ca="1">IFERROR(__xludf.DUMMYFUNCTION("IMPORTRANGE(H3344,""IDENTITAS UNIT!D9"")"),"#N/A")</f>
        <v>#N/A</v>
      </c>
      <c r="H3344" s="4" t="str">
        <v/>
      </c>
      <c r="I3344" s="4" t="str">
        <v/>
      </c>
    </row>
    <row r="3345" spans="5:9" ht="16.5" hidden="1">
      <c r="E3345" s="4" t="str">
        <v/>
      </c>
      <c r="F3345" s="102" t="str">
        <f ca="1">IFERROR(__xludf.DUMMYFUNCTION("IMPORTRANGE(H3345,""IDENTITAS UNIT!D9"")"),"#N/A")</f>
        <v>#N/A</v>
      </c>
      <c r="H3345" s="4" t="str">
        <v/>
      </c>
      <c r="I3345" s="4" t="str">
        <v/>
      </c>
    </row>
    <row r="3346" spans="5:9" ht="16.5" hidden="1">
      <c r="E3346" s="4" t="str">
        <v/>
      </c>
      <c r="F3346" s="102" t="str">
        <f ca="1">IFERROR(__xludf.DUMMYFUNCTION("IMPORTRANGE(H3346,""IDENTITAS UNIT!D9"")"),"#N/A")</f>
        <v>#N/A</v>
      </c>
      <c r="H3346" s="4" t="str">
        <v/>
      </c>
      <c r="I3346" s="4" t="str">
        <v/>
      </c>
    </row>
    <row r="3347" spans="5:9" ht="16.5" hidden="1">
      <c r="E3347" s="4" t="str">
        <v/>
      </c>
      <c r="F3347" s="102" t="str">
        <f ca="1">IFERROR(__xludf.DUMMYFUNCTION("IMPORTRANGE(H3347,""IDENTITAS UNIT!D9"")"),"#N/A")</f>
        <v>#N/A</v>
      </c>
      <c r="H3347" s="4" t="str">
        <v/>
      </c>
      <c r="I3347" s="4" t="str">
        <v/>
      </c>
    </row>
    <row r="3348" spans="5:9" ht="16.5" hidden="1">
      <c r="E3348" s="4" t="str">
        <v/>
      </c>
      <c r="F3348" s="102" t="str">
        <f ca="1">IFERROR(__xludf.DUMMYFUNCTION("IMPORTRANGE(H3348,""IDENTITAS UNIT!D9"")"),"#N/A")</f>
        <v>#N/A</v>
      </c>
      <c r="H3348" s="4" t="str">
        <v/>
      </c>
      <c r="I3348" s="4" t="str">
        <v/>
      </c>
    </row>
    <row r="3349" spans="5:9" ht="16.5" hidden="1">
      <c r="E3349" s="4" t="str">
        <v/>
      </c>
      <c r="F3349" s="102" t="str">
        <f ca="1">IFERROR(__xludf.DUMMYFUNCTION("IMPORTRANGE(H3349,""IDENTITAS UNIT!D9"")"),"#N/A")</f>
        <v>#N/A</v>
      </c>
      <c r="H3349" s="4" t="str">
        <v/>
      </c>
      <c r="I3349" s="4" t="str">
        <v/>
      </c>
    </row>
    <row r="3350" spans="5:9" ht="16.5" hidden="1">
      <c r="E3350" s="4" t="str">
        <v/>
      </c>
      <c r="F3350" s="102" t="str">
        <f ca="1">IFERROR(__xludf.DUMMYFUNCTION("IMPORTRANGE(H3350,""IDENTITAS UNIT!D9"")"),"#N/A")</f>
        <v>#N/A</v>
      </c>
      <c r="H3350" s="4" t="str">
        <v/>
      </c>
      <c r="I3350" s="4" t="str">
        <v/>
      </c>
    </row>
    <row r="3351" spans="5:9" ht="16.5" hidden="1">
      <c r="E3351" s="4" t="str">
        <v/>
      </c>
      <c r="F3351" s="102" t="str">
        <f ca="1">IFERROR(__xludf.DUMMYFUNCTION("IMPORTRANGE(H3351,""IDENTITAS UNIT!D9"")"),"#N/A")</f>
        <v>#N/A</v>
      </c>
      <c r="H3351" s="4" t="str">
        <v/>
      </c>
      <c r="I3351" s="4" t="str">
        <v/>
      </c>
    </row>
    <row r="3352" spans="5:9" ht="16.5" hidden="1">
      <c r="E3352" s="4" t="str">
        <v/>
      </c>
      <c r="F3352" s="102" t="str">
        <f ca="1">IFERROR(__xludf.DUMMYFUNCTION("IMPORTRANGE(H3352,""IDENTITAS UNIT!D9"")"),"#N/A")</f>
        <v>#N/A</v>
      </c>
      <c r="H3352" s="4" t="str">
        <v/>
      </c>
      <c r="I3352" s="4" t="str">
        <v/>
      </c>
    </row>
    <row r="3353" spans="5:9" ht="16.5" hidden="1">
      <c r="E3353" s="4" t="str">
        <v/>
      </c>
      <c r="F3353" s="102" t="str">
        <f ca="1">IFERROR(__xludf.DUMMYFUNCTION("IMPORTRANGE(H3353,""IDENTITAS UNIT!D9"")"),"#N/A")</f>
        <v>#N/A</v>
      </c>
      <c r="H3353" s="4" t="str">
        <v/>
      </c>
      <c r="I3353" s="4" t="str">
        <v/>
      </c>
    </row>
    <row r="3354" spans="5:9" ht="16.5" hidden="1">
      <c r="E3354" s="4" t="str">
        <v/>
      </c>
      <c r="F3354" s="102" t="str">
        <f ca="1">IFERROR(__xludf.DUMMYFUNCTION("IMPORTRANGE(H3354,""IDENTITAS UNIT!D9"")"),"#N/A")</f>
        <v>#N/A</v>
      </c>
      <c r="H3354" s="4" t="str">
        <v/>
      </c>
      <c r="I3354" s="4" t="str">
        <v/>
      </c>
    </row>
    <row r="3355" spans="5:9" ht="16.5" hidden="1">
      <c r="E3355" s="4" t="str">
        <v/>
      </c>
      <c r="F3355" s="102" t="str">
        <f ca="1">IFERROR(__xludf.DUMMYFUNCTION("IMPORTRANGE(H3355,""IDENTITAS UNIT!D9"")"),"#N/A")</f>
        <v>#N/A</v>
      </c>
      <c r="H3355" s="4" t="str">
        <v/>
      </c>
      <c r="I3355" s="4" t="str">
        <v/>
      </c>
    </row>
    <row r="3356" spans="5:9" ht="16.5" hidden="1">
      <c r="E3356" s="4" t="str">
        <v/>
      </c>
      <c r="F3356" s="102" t="str">
        <f ca="1">IFERROR(__xludf.DUMMYFUNCTION("IMPORTRANGE(H3356,""IDENTITAS UNIT!D9"")"),"#N/A")</f>
        <v>#N/A</v>
      </c>
      <c r="H3356" s="4" t="str">
        <v/>
      </c>
      <c r="I3356" s="4" t="str">
        <v/>
      </c>
    </row>
    <row r="3357" spans="5:9" ht="16.5" hidden="1">
      <c r="E3357" s="4" t="str">
        <v/>
      </c>
      <c r="F3357" s="102" t="str">
        <f ca="1">IFERROR(__xludf.DUMMYFUNCTION("IMPORTRANGE(H3357,""IDENTITAS UNIT!D9"")"),"#N/A")</f>
        <v>#N/A</v>
      </c>
      <c r="H3357" s="4" t="str">
        <v/>
      </c>
      <c r="I3357" s="4" t="str">
        <v/>
      </c>
    </row>
    <row r="3358" spans="5:9" ht="16.5" hidden="1">
      <c r="E3358" s="4" t="str">
        <v/>
      </c>
      <c r="F3358" s="102" t="str">
        <f ca="1">IFERROR(__xludf.DUMMYFUNCTION("IMPORTRANGE(H3358,""IDENTITAS UNIT!D9"")"),"#N/A")</f>
        <v>#N/A</v>
      </c>
      <c r="H3358" s="4" t="str">
        <v/>
      </c>
      <c r="I3358" s="4" t="str">
        <v/>
      </c>
    </row>
    <row r="3359" spans="5:9" ht="16.5" hidden="1">
      <c r="E3359" s="4" t="str">
        <v/>
      </c>
      <c r="F3359" s="102" t="str">
        <f ca="1">IFERROR(__xludf.DUMMYFUNCTION("IMPORTRANGE(H3359,""IDENTITAS UNIT!D9"")"),"#N/A")</f>
        <v>#N/A</v>
      </c>
      <c r="H3359" s="4" t="str">
        <v/>
      </c>
      <c r="I3359" s="4" t="str">
        <v/>
      </c>
    </row>
    <row r="3360" spans="5:9" ht="16.5" hidden="1">
      <c r="E3360" s="4" t="str">
        <v/>
      </c>
      <c r="F3360" s="102" t="str">
        <f ca="1">IFERROR(__xludf.DUMMYFUNCTION("IMPORTRANGE(H3360,""IDENTITAS UNIT!D9"")"),"#N/A")</f>
        <v>#N/A</v>
      </c>
      <c r="H3360" s="4" t="str">
        <v/>
      </c>
      <c r="I3360" s="4" t="str">
        <v/>
      </c>
    </row>
    <row r="3361" spans="5:9" ht="16.5" hidden="1">
      <c r="E3361" s="4" t="str">
        <v/>
      </c>
      <c r="F3361" s="102" t="str">
        <f ca="1">IFERROR(__xludf.DUMMYFUNCTION("IMPORTRANGE(H3361,""IDENTITAS UNIT!D9"")"),"#N/A")</f>
        <v>#N/A</v>
      </c>
      <c r="H3361" s="4" t="str">
        <v/>
      </c>
      <c r="I3361" s="4" t="str">
        <v/>
      </c>
    </row>
    <row r="3362" spans="5:9" ht="16.5" hidden="1">
      <c r="E3362" s="4" t="str">
        <v/>
      </c>
      <c r="F3362" s="102" t="str">
        <f ca="1">IFERROR(__xludf.DUMMYFUNCTION("IMPORTRANGE(H3362,""IDENTITAS UNIT!D9"")"),"#N/A")</f>
        <v>#N/A</v>
      </c>
      <c r="H3362" s="4" t="str">
        <v/>
      </c>
      <c r="I3362" s="4" t="str">
        <v/>
      </c>
    </row>
    <row r="3363" spans="5:9" ht="16.5" hidden="1">
      <c r="E3363" s="4" t="str">
        <v/>
      </c>
      <c r="F3363" s="102" t="str">
        <f ca="1">IFERROR(__xludf.DUMMYFUNCTION("IMPORTRANGE(H3363,""IDENTITAS UNIT!D9"")"),"#N/A")</f>
        <v>#N/A</v>
      </c>
      <c r="H3363" s="4" t="str">
        <v/>
      </c>
      <c r="I3363" s="4" t="str">
        <v/>
      </c>
    </row>
    <row r="3364" spans="5:9" ht="16.5" hidden="1">
      <c r="E3364" s="4" t="str">
        <v/>
      </c>
      <c r="F3364" s="102" t="str">
        <f ca="1">IFERROR(__xludf.DUMMYFUNCTION("IMPORTRANGE(H3364,""IDENTITAS UNIT!D9"")"),"#N/A")</f>
        <v>#N/A</v>
      </c>
      <c r="H3364" s="4" t="str">
        <v/>
      </c>
      <c r="I3364" s="4" t="str">
        <v/>
      </c>
    </row>
    <row r="3365" spans="5:9" ht="16.5" hidden="1">
      <c r="E3365" s="4" t="str">
        <v/>
      </c>
      <c r="F3365" s="102" t="str">
        <f ca="1">IFERROR(__xludf.DUMMYFUNCTION("IMPORTRANGE(H3365,""IDENTITAS UNIT!D9"")"),"#N/A")</f>
        <v>#N/A</v>
      </c>
      <c r="H3365" s="4" t="str">
        <v/>
      </c>
      <c r="I3365" s="4" t="str">
        <v/>
      </c>
    </row>
    <row r="3366" spans="5:9" ht="16.5" hidden="1">
      <c r="E3366" s="4" t="str">
        <v/>
      </c>
      <c r="F3366" s="102" t="str">
        <f ca="1">IFERROR(__xludf.DUMMYFUNCTION("IMPORTRANGE(H3366,""IDENTITAS UNIT!D9"")"),"#N/A")</f>
        <v>#N/A</v>
      </c>
      <c r="H3366" s="4" t="str">
        <v/>
      </c>
      <c r="I3366" s="4" t="str">
        <v/>
      </c>
    </row>
    <row r="3367" spans="5:9" ht="16.5" hidden="1">
      <c r="E3367" s="4" t="str">
        <v/>
      </c>
      <c r="F3367" s="102" t="str">
        <f ca="1">IFERROR(__xludf.DUMMYFUNCTION("IMPORTRANGE(H3367,""IDENTITAS UNIT!D9"")"),"#N/A")</f>
        <v>#N/A</v>
      </c>
      <c r="H3367" s="4" t="str">
        <v/>
      </c>
      <c r="I3367" s="4" t="str">
        <v/>
      </c>
    </row>
    <row r="3368" spans="5:9" ht="16.5" hidden="1">
      <c r="E3368" s="4" t="str">
        <v/>
      </c>
      <c r="F3368" s="102" t="str">
        <f ca="1">IFERROR(__xludf.DUMMYFUNCTION("IMPORTRANGE(H3368,""IDENTITAS UNIT!D9"")"),"#N/A")</f>
        <v>#N/A</v>
      </c>
      <c r="H3368" s="4" t="str">
        <v/>
      </c>
      <c r="I3368" s="4" t="str">
        <v/>
      </c>
    </row>
    <row r="3369" spans="5:9" ht="16.5" hidden="1">
      <c r="E3369" s="4" t="str">
        <v/>
      </c>
      <c r="F3369" s="102" t="str">
        <f ca="1">IFERROR(__xludf.DUMMYFUNCTION("IMPORTRANGE(H3369,""IDENTITAS UNIT!D9"")"),"#N/A")</f>
        <v>#N/A</v>
      </c>
      <c r="H3369" s="4" t="str">
        <v/>
      </c>
      <c r="I3369" s="4" t="str">
        <v/>
      </c>
    </row>
    <row r="3370" spans="5:9" ht="16.5" hidden="1">
      <c r="E3370" s="4" t="str">
        <v/>
      </c>
      <c r="F3370" s="102" t="str">
        <f ca="1">IFERROR(__xludf.DUMMYFUNCTION("IMPORTRANGE(H3370,""IDENTITAS UNIT!D9"")"),"#N/A")</f>
        <v>#N/A</v>
      </c>
      <c r="H3370" s="4" t="str">
        <v/>
      </c>
      <c r="I3370" s="4" t="str">
        <v/>
      </c>
    </row>
    <row r="3371" spans="5:9" ht="16.5" hidden="1">
      <c r="E3371" s="4" t="str">
        <v/>
      </c>
      <c r="F3371" s="102" t="str">
        <f ca="1">IFERROR(__xludf.DUMMYFUNCTION("IMPORTRANGE(H3371,""IDENTITAS UNIT!D9"")"),"#N/A")</f>
        <v>#N/A</v>
      </c>
      <c r="H3371" s="4" t="str">
        <v/>
      </c>
      <c r="I3371" s="4" t="str">
        <v/>
      </c>
    </row>
    <row r="3372" spans="5:9" ht="16.5" hidden="1">
      <c r="E3372" s="4" t="str">
        <v/>
      </c>
      <c r="F3372" s="102" t="str">
        <f ca="1">IFERROR(__xludf.DUMMYFUNCTION("IMPORTRANGE(H3372,""IDENTITAS UNIT!D9"")"),"#N/A")</f>
        <v>#N/A</v>
      </c>
      <c r="H3372" s="4" t="str">
        <v/>
      </c>
      <c r="I3372" s="4" t="str">
        <v/>
      </c>
    </row>
    <row r="3373" spans="5:9" ht="16.5" hidden="1">
      <c r="E3373" s="4" t="str">
        <v/>
      </c>
      <c r="F3373" s="102" t="str">
        <f ca="1">IFERROR(__xludf.DUMMYFUNCTION("IMPORTRANGE(H3373,""IDENTITAS UNIT!D9"")"),"#N/A")</f>
        <v>#N/A</v>
      </c>
      <c r="H3373" s="4" t="str">
        <v/>
      </c>
      <c r="I3373" s="4" t="str">
        <v/>
      </c>
    </row>
    <row r="3374" spans="5:9" ht="16.5" hidden="1">
      <c r="E3374" s="4" t="str">
        <v/>
      </c>
      <c r="F3374" s="102" t="str">
        <f ca="1">IFERROR(__xludf.DUMMYFUNCTION("IMPORTRANGE(H3374,""IDENTITAS UNIT!D9"")"),"#N/A")</f>
        <v>#N/A</v>
      </c>
      <c r="H3374" s="4" t="str">
        <v/>
      </c>
      <c r="I3374" s="4" t="str">
        <v/>
      </c>
    </row>
    <row r="3375" spans="5:9" ht="16.5" hidden="1">
      <c r="E3375" s="4" t="str">
        <v/>
      </c>
      <c r="F3375" s="102" t="str">
        <f ca="1">IFERROR(__xludf.DUMMYFUNCTION("IMPORTRANGE(H3375,""IDENTITAS UNIT!D9"")"),"#N/A")</f>
        <v>#N/A</v>
      </c>
      <c r="H3375" s="4" t="str">
        <v/>
      </c>
      <c r="I3375" s="4" t="str">
        <v/>
      </c>
    </row>
    <row r="3376" spans="5:9" ht="16.5" hidden="1">
      <c r="E3376" s="4" t="str">
        <v/>
      </c>
      <c r="F3376" s="102" t="str">
        <f ca="1">IFERROR(__xludf.DUMMYFUNCTION("IMPORTRANGE(H3376,""IDENTITAS UNIT!D9"")"),"#N/A")</f>
        <v>#N/A</v>
      </c>
      <c r="H3376" s="4" t="str">
        <v/>
      </c>
      <c r="I3376" s="4" t="str">
        <v/>
      </c>
    </row>
    <row r="3377" spans="5:9" ht="16.5" hidden="1">
      <c r="E3377" s="4" t="str">
        <v/>
      </c>
      <c r="F3377" s="102" t="str">
        <f ca="1">IFERROR(__xludf.DUMMYFUNCTION("IMPORTRANGE(H3377,""IDENTITAS UNIT!D9"")"),"#N/A")</f>
        <v>#N/A</v>
      </c>
      <c r="H3377" s="4" t="str">
        <v/>
      </c>
      <c r="I3377" s="4" t="str">
        <v/>
      </c>
    </row>
    <row r="3378" spans="5:9" ht="16.5" hidden="1">
      <c r="E3378" s="4" t="str">
        <v/>
      </c>
      <c r="F3378" s="102" t="str">
        <f ca="1">IFERROR(__xludf.DUMMYFUNCTION("IMPORTRANGE(H3378,""IDENTITAS UNIT!D9"")"),"#N/A")</f>
        <v>#N/A</v>
      </c>
      <c r="H3378" s="4" t="str">
        <v/>
      </c>
      <c r="I3378" s="4" t="str">
        <v/>
      </c>
    </row>
    <row r="3379" spans="5:9" ht="16.5" hidden="1">
      <c r="E3379" s="4" t="str">
        <v/>
      </c>
      <c r="F3379" s="102" t="str">
        <f ca="1">IFERROR(__xludf.DUMMYFUNCTION("IMPORTRANGE(H3379,""IDENTITAS UNIT!D9"")"),"#N/A")</f>
        <v>#N/A</v>
      </c>
      <c r="H3379" s="4" t="str">
        <v/>
      </c>
      <c r="I3379" s="4" t="str">
        <v/>
      </c>
    </row>
    <row r="3380" spans="5:9" ht="16.5" hidden="1">
      <c r="E3380" s="4" t="str">
        <v/>
      </c>
      <c r="F3380" s="102" t="str">
        <f ca="1">IFERROR(__xludf.DUMMYFUNCTION("IMPORTRANGE(H3380,""IDENTITAS UNIT!D9"")"),"#N/A")</f>
        <v>#N/A</v>
      </c>
      <c r="H3380" s="4" t="str">
        <v/>
      </c>
      <c r="I3380" s="4" t="str">
        <v/>
      </c>
    </row>
    <row r="3381" spans="5:9" ht="16.5" hidden="1">
      <c r="E3381" s="4" t="str">
        <v/>
      </c>
      <c r="F3381" s="102" t="str">
        <f ca="1">IFERROR(__xludf.DUMMYFUNCTION("IMPORTRANGE(H3381,""IDENTITAS UNIT!D9"")"),"#N/A")</f>
        <v>#N/A</v>
      </c>
      <c r="H3381" s="4" t="str">
        <v/>
      </c>
      <c r="I3381" s="4" t="str">
        <v/>
      </c>
    </row>
    <row r="3382" spans="5:9" ht="16.5" hidden="1">
      <c r="E3382" s="4" t="str">
        <v/>
      </c>
      <c r="F3382" s="102" t="str">
        <f ca="1">IFERROR(__xludf.DUMMYFUNCTION("IMPORTRANGE(H3382,""IDENTITAS UNIT!D9"")"),"#N/A")</f>
        <v>#N/A</v>
      </c>
      <c r="H3382" s="4" t="str">
        <v/>
      </c>
      <c r="I3382" s="4" t="str">
        <v/>
      </c>
    </row>
    <row r="3383" spans="5:9" ht="16.5" hidden="1">
      <c r="E3383" s="4" t="str">
        <v/>
      </c>
      <c r="F3383" s="102" t="str">
        <f ca="1">IFERROR(__xludf.DUMMYFUNCTION("IMPORTRANGE(H3383,""IDENTITAS UNIT!D9"")"),"#N/A")</f>
        <v>#N/A</v>
      </c>
      <c r="H3383" s="4" t="str">
        <v/>
      </c>
      <c r="I3383" s="4" t="str">
        <v/>
      </c>
    </row>
    <row r="3384" spans="5:9" ht="16.5" hidden="1">
      <c r="E3384" s="4" t="str">
        <v/>
      </c>
      <c r="F3384" s="102" t="str">
        <f ca="1">IFERROR(__xludf.DUMMYFUNCTION("IMPORTRANGE(H3384,""IDENTITAS UNIT!D9"")"),"#N/A")</f>
        <v>#N/A</v>
      </c>
      <c r="H3384" s="4" t="str">
        <v/>
      </c>
      <c r="I3384" s="4" t="str">
        <v/>
      </c>
    </row>
    <row r="3385" spans="5:9" ht="16.5" hidden="1">
      <c r="E3385" s="4" t="str">
        <v/>
      </c>
      <c r="F3385" s="102" t="str">
        <f ca="1">IFERROR(__xludf.DUMMYFUNCTION("IMPORTRANGE(H3385,""IDENTITAS UNIT!D9"")"),"#N/A")</f>
        <v>#N/A</v>
      </c>
      <c r="H3385" s="4" t="str">
        <v/>
      </c>
      <c r="I3385" s="4" t="str">
        <v/>
      </c>
    </row>
    <row r="3386" spans="5:9" ht="16.5" hidden="1">
      <c r="E3386" s="4" t="str">
        <v/>
      </c>
      <c r="F3386" s="102" t="str">
        <f ca="1">IFERROR(__xludf.DUMMYFUNCTION("IMPORTRANGE(H3386,""IDENTITAS UNIT!D9"")"),"#N/A")</f>
        <v>#N/A</v>
      </c>
      <c r="H3386" s="4" t="str">
        <v/>
      </c>
      <c r="I3386" s="4" t="str">
        <v/>
      </c>
    </row>
    <row r="3387" spans="5:9" ht="16.5" hidden="1">
      <c r="E3387" s="4" t="str">
        <v/>
      </c>
      <c r="F3387" s="102" t="str">
        <f ca="1">IFERROR(__xludf.DUMMYFUNCTION("IMPORTRANGE(H3387,""IDENTITAS UNIT!D9"")"),"#N/A")</f>
        <v>#N/A</v>
      </c>
      <c r="H3387" s="4" t="str">
        <v/>
      </c>
      <c r="I3387" s="4" t="str">
        <v/>
      </c>
    </row>
    <row r="3388" spans="5:9" ht="16.5" hidden="1">
      <c r="E3388" s="4" t="str">
        <v/>
      </c>
      <c r="F3388" s="102" t="str">
        <f ca="1">IFERROR(__xludf.DUMMYFUNCTION("IMPORTRANGE(H3388,""IDENTITAS UNIT!D9"")"),"#N/A")</f>
        <v>#N/A</v>
      </c>
      <c r="H3388" s="4" t="str">
        <v/>
      </c>
      <c r="I3388" s="4" t="str">
        <v/>
      </c>
    </row>
    <row r="3389" spans="5:9" ht="16.5" hidden="1">
      <c r="E3389" s="4" t="str">
        <v/>
      </c>
      <c r="F3389" s="102" t="str">
        <f ca="1">IFERROR(__xludf.DUMMYFUNCTION("IMPORTRANGE(H3389,""IDENTITAS UNIT!D9"")"),"#N/A")</f>
        <v>#N/A</v>
      </c>
      <c r="H3389" s="4" t="str">
        <v/>
      </c>
      <c r="I3389" s="4" t="str">
        <v/>
      </c>
    </row>
    <row r="3390" spans="5:9" ht="16.5" hidden="1">
      <c r="E3390" s="4" t="str">
        <v/>
      </c>
      <c r="F3390" s="102" t="str">
        <f ca="1">IFERROR(__xludf.DUMMYFUNCTION("IMPORTRANGE(H3390,""IDENTITAS UNIT!D9"")"),"#N/A")</f>
        <v>#N/A</v>
      </c>
      <c r="H3390" s="4" t="str">
        <v/>
      </c>
      <c r="I3390" s="4" t="str">
        <v/>
      </c>
    </row>
    <row r="3391" spans="5:9" ht="16.5" hidden="1">
      <c r="E3391" s="4" t="str">
        <v/>
      </c>
      <c r="F3391" s="102" t="str">
        <f ca="1">IFERROR(__xludf.DUMMYFUNCTION("IMPORTRANGE(H3391,""IDENTITAS UNIT!D9"")"),"#N/A")</f>
        <v>#N/A</v>
      </c>
      <c r="H3391" s="4" t="str">
        <v/>
      </c>
      <c r="I3391" s="4" t="str">
        <v/>
      </c>
    </row>
    <row r="3392" spans="5:9" ht="16.5" hidden="1">
      <c r="E3392" s="4" t="str">
        <v/>
      </c>
      <c r="F3392" s="102" t="str">
        <f ca="1">IFERROR(__xludf.DUMMYFUNCTION("IMPORTRANGE(H3392,""IDENTITAS UNIT!D9"")"),"#N/A")</f>
        <v>#N/A</v>
      </c>
      <c r="H3392" s="4" t="str">
        <v/>
      </c>
      <c r="I3392" s="4" t="str">
        <v/>
      </c>
    </row>
    <row r="3393" spans="5:9" ht="16.5" hidden="1">
      <c r="E3393" s="4" t="str">
        <v/>
      </c>
      <c r="F3393" s="102" t="str">
        <f ca="1">IFERROR(__xludf.DUMMYFUNCTION("IMPORTRANGE(H3393,""IDENTITAS UNIT!D9"")"),"#N/A")</f>
        <v>#N/A</v>
      </c>
      <c r="H3393" s="4" t="str">
        <v/>
      </c>
      <c r="I3393" s="4" t="str">
        <v/>
      </c>
    </row>
    <row r="3394" spans="5:9" ht="16.5" hidden="1">
      <c r="E3394" s="4" t="str">
        <v/>
      </c>
      <c r="F3394" s="102" t="str">
        <f ca="1">IFERROR(__xludf.DUMMYFUNCTION("IMPORTRANGE(H3394,""IDENTITAS UNIT!D9"")"),"#N/A")</f>
        <v>#N/A</v>
      </c>
      <c r="H3394" s="4" t="str">
        <v/>
      </c>
      <c r="I3394" s="4" t="str">
        <v/>
      </c>
    </row>
    <row r="3395" spans="5:9" ht="16.5" hidden="1">
      <c r="E3395" s="4" t="str">
        <v/>
      </c>
      <c r="F3395" s="102" t="str">
        <f ca="1">IFERROR(__xludf.DUMMYFUNCTION("IMPORTRANGE(H3395,""IDENTITAS UNIT!D9"")"),"#N/A")</f>
        <v>#N/A</v>
      </c>
      <c r="H3395" s="4" t="str">
        <v/>
      </c>
      <c r="I3395" s="4" t="str">
        <v/>
      </c>
    </row>
    <row r="3396" spans="5:9" ht="16.5" hidden="1">
      <c r="E3396" s="4" t="str">
        <v/>
      </c>
      <c r="F3396" s="102" t="str">
        <f ca="1">IFERROR(__xludf.DUMMYFUNCTION("IMPORTRANGE(H3396,""IDENTITAS UNIT!D9"")"),"#N/A")</f>
        <v>#N/A</v>
      </c>
      <c r="H3396" s="4" t="str">
        <v/>
      </c>
      <c r="I3396" s="4" t="str">
        <v/>
      </c>
    </row>
    <row r="3397" spans="5:9" ht="16.5" hidden="1">
      <c r="E3397" s="4" t="str">
        <v/>
      </c>
      <c r="F3397" s="102" t="str">
        <f ca="1">IFERROR(__xludf.DUMMYFUNCTION("IMPORTRANGE(H3397,""IDENTITAS UNIT!D9"")"),"#N/A")</f>
        <v>#N/A</v>
      </c>
      <c r="H3397" s="4" t="str">
        <v/>
      </c>
      <c r="I3397" s="4" t="str">
        <v/>
      </c>
    </row>
    <row r="3398" spans="5:9" ht="16.5" hidden="1">
      <c r="E3398" s="4" t="str">
        <v/>
      </c>
      <c r="F3398" s="102" t="str">
        <f ca="1">IFERROR(__xludf.DUMMYFUNCTION("IMPORTRANGE(H3398,""IDENTITAS UNIT!D9"")"),"#N/A")</f>
        <v>#N/A</v>
      </c>
      <c r="H3398" s="4" t="str">
        <v/>
      </c>
      <c r="I3398" s="4" t="str">
        <v/>
      </c>
    </row>
    <row r="3399" spans="5:9" ht="16.5" hidden="1">
      <c r="E3399" s="4" t="str">
        <v/>
      </c>
      <c r="F3399" s="102" t="str">
        <f ca="1">IFERROR(__xludf.DUMMYFUNCTION("IMPORTRANGE(H3399,""IDENTITAS UNIT!D9"")"),"#N/A")</f>
        <v>#N/A</v>
      </c>
      <c r="H3399" s="4" t="str">
        <v/>
      </c>
      <c r="I3399" s="4" t="str">
        <v/>
      </c>
    </row>
    <row r="3400" spans="5:9" ht="16.5" hidden="1">
      <c r="E3400" s="4" t="str">
        <v/>
      </c>
      <c r="F3400" s="102" t="str">
        <f ca="1">IFERROR(__xludf.DUMMYFUNCTION("IMPORTRANGE(H3400,""IDENTITAS UNIT!D9"")"),"#N/A")</f>
        <v>#N/A</v>
      </c>
      <c r="H3400" s="4" t="str">
        <v/>
      </c>
      <c r="I3400" s="4" t="str">
        <v/>
      </c>
    </row>
    <row r="3401" spans="5:9" ht="16.5" hidden="1">
      <c r="E3401" s="4" t="str">
        <v/>
      </c>
      <c r="F3401" s="102" t="str">
        <f ca="1">IFERROR(__xludf.DUMMYFUNCTION("IMPORTRANGE(H3401,""IDENTITAS UNIT!D9"")"),"#N/A")</f>
        <v>#N/A</v>
      </c>
      <c r="H3401" s="4" t="str">
        <v/>
      </c>
      <c r="I3401" s="4" t="str">
        <v/>
      </c>
    </row>
    <row r="3402" spans="5:9" ht="16.5" hidden="1">
      <c r="E3402" s="4" t="str">
        <v/>
      </c>
      <c r="F3402" s="102" t="str">
        <f ca="1">IFERROR(__xludf.DUMMYFUNCTION("IMPORTRANGE(H3402,""IDENTITAS UNIT!D9"")"),"#N/A")</f>
        <v>#N/A</v>
      </c>
      <c r="H3402" s="4" t="str">
        <v/>
      </c>
      <c r="I3402" s="4" t="str">
        <v/>
      </c>
    </row>
    <row r="3403" spans="5:9" ht="16.5" hidden="1">
      <c r="E3403" s="4" t="str">
        <v/>
      </c>
      <c r="F3403" s="102" t="str">
        <f ca="1">IFERROR(__xludf.DUMMYFUNCTION("IMPORTRANGE(H3403,""IDENTITAS UNIT!D9"")"),"#N/A")</f>
        <v>#N/A</v>
      </c>
      <c r="H3403" s="4" t="str">
        <v/>
      </c>
      <c r="I3403" s="4" t="str">
        <v/>
      </c>
    </row>
    <row r="3404" spans="5:9" ht="16.5" hidden="1">
      <c r="E3404" s="4" t="str">
        <v/>
      </c>
      <c r="F3404" s="102" t="str">
        <f ca="1">IFERROR(__xludf.DUMMYFUNCTION("IMPORTRANGE(H3404,""IDENTITAS UNIT!D9"")"),"#N/A")</f>
        <v>#N/A</v>
      </c>
      <c r="H3404" s="4" t="str">
        <v/>
      </c>
      <c r="I3404" s="4" t="str">
        <v/>
      </c>
    </row>
    <row r="3405" spans="5:9" ht="16.5" hidden="1">
      <c r="E3405" s="4" t="str">
        <v/>
      </c>
      <c r="F3405" s="102" t="str">
        <f ca="1">IFERROR(__xludf.DUMMYFUNCTION("IMPORTRANGE(H3405,""IDENTITAS UNIT!D9"")"),"#N/A")</f>
        <v>#N/A</v>
      </c>
      <c r="H3405" s="4" t="str">
        <v/>
      </c>
      <c r="I3405" s="4" t="str">
        <v/>
      </c>
    </row>
    <row r="3406" spans="5:9" ht="16.5" hidden="1">
      <c r="E3406" s="4" t="str">
        <v/>
      </c>
      <c r="F3406" s="102" t="str">
        <f ca="1">IFERROR(__xludf.DUMMYFUNCTION("IMPORTRANGE(H3406,""IDENTITAS UNIT!D9"")"),"#N/A")</f>
        <v>#N/A</v>
      </c>
      <c r="H3406" s="4" t="str">
        <v/>
      </c>
      <c r="I3406" s="4" t="str">
        <v/>
      </c>
    </row>
    <row r="3407" spans="5:9" ht="16.5" hidden="1">
      <c r="E3407" s="4" t="str">
        <v/>
      </c>
      <c r="F3407" s="102" t="str">
        <f ca="1">IFERROR(__xludf.DUMMYFUNCTION("IMPORTRANGE(H3407,""IDENTITAS UNIT!D9"")"),"#N/A")</f>
        <v>#N/A</v>
      </c>
      <c r="H3407" s="4" t="str">
        <v/>
      </c>
      <c r="I3407" s="4" t="str">
        <v/>
      </c>
    </row>
    <row r="3408" spans="5:9" ht="16.5" hidden="1">
      <c r="E3408" s="4" t="str">
        <v/>
      </c>
      <c r="F3408" s="102" t="str">
        <f ca="1">IFERROR(__xludf.DUMMYFUNCTION("IMPORTRANGE(H3408,""IDENTITAS UNIT!D9"")"),"#N/A")</f>
        <v>#N/A</v>
      </c>
      <c r="H3408" s="4" t="str">
        <v/>
      </c>
      <c r="I3408" s="4" t="str">
        <v/>
      </c>
    </row>
    <row r="3409" spans="5:9" ht="16.5" hidden="1">
      <c r="E3409" s="4" t="str">
        <v/>
      </c>
      <c r="F3409" s="102" t="str">
        <f ca="1">IFERROR(__xludf.DUMMYFUNCTION("IMPORTRANGE(H3409,""IDENTITAS UNIT!D9"")"),"#N/A")</f>
        <v>#N/A</v>
      </c>
      <c r="H3409" s="4" t="str">
        <v/>
      </c>
      <c r="I3409" s="4" t="str">
        <v/>
      </c>
    </row>
    <row r="3410" spans="5:9" ht="16.5" hidden="1">
      <c r="E3410" s="4" t="str">
        <v/>
      </c>
      <c r="F3410" s="102" t="str">
        <f ca="1">IFERROR(__xludf.DUMMYFUNCTION("IMPORTRANGE(H3410,""IDENTITAS UNIT!D9"")"),"#N/A")</f>
        <v>#N/A</v>
      </c>
      <c r="H3410" s="4" t="str">
        <v/>
      </c>
      <c r="I3410" s="4" t="str">
        <v/>
      </c>
    </row>
    <row r="3411" spans="5:9" ht="16.5" hidden="1">
      <c r="E3411" s="4" t="str">
        <v/>
      </c>
      <c r="F3411" s="102" t="str">
        <f ca="1">IFERROR(__xludf.DUMMYFUNCTION("IMPORTRANGE(H3411,""IDENTITAS UNIT!D9"")"),"#N/A")</f>
        <v>#N/A</v>
      </c>
      <c r="H3411" s="4" t="str">
        <v/>
      </c>
      <c r="I3411" s="4" t="str">
        <v/>
      </c>
    </row>
    <row r="3412" spans="5:9" ht="16.5" hidden="1">
      <c r="E3412" s="4" t="str">
        <v/>
      </c>
      <c r="F3412" s="102" t="str">
        <f ca="1">IFERROR(__xludf.DUMMYFUNCTION("IMPORTRANGE(H3412,""IDENTITAS UNIT!D9"")"),"#N/A")</f>
        <v>#N/A</v>
      </c>
      <c r="H3412" s="4" t="str">
        <v/>
      </c>
      <c r="I3412" s="4" t="str">
        <v/>
      </c>
    </row>
    <row r="3413" spans="5:9" ht="16.5" hidden="1">
      <c r="E3413" s="4" t="str">
        <v/>
      </c>
      <c r="F3413" s="102" t="str">
        <f ca="1">IFERROR(__xludf.DUMMYFUNCTION("IMPORTRANGE(H3413,""IDENTITAS UNIT!D9"")"),"#N/A")</f>
        <v>#N/A</v>
      </c>
      <c r="H3413" s="4" t="str">
        <v/>
      </c>
      <c r="I3413" s="4" t="str">
        <v/>
      </c>
    </row>
    <row r="3414" spans="5:9" ht="16.5" hidden="1">
      <c r="E3414" s="4" t="str">
        <v/>
      </c>
      <c r="F3414" s="102" t="str">
        <f ca="1">IFERROR(__xludf.DUMMYFUNCTION("IMPORTRANGE(H3414,""IDENTITAS UNIT!D9"")"),"#N/A")</f>
        <v>#N/A</v>
      </c>
      <c r="H3414" s="4" t="str">
        <v/>
      </c>
      <c r="I3414" s="4" t="str">
        <v/>
      </c>
    </row>
    <row r="3415" spans="5:9" ht="16.5" hidden="1">
      <c r="E3415" s="4" t="str">
        <v/>
      </c>
      <c r="F3415" s="102" t="str">
        <f ca="1">IFERROR(__xludf.DUMMYFUNCTION("IMPORTRANGE(H3415,""IDENTITAS UNIT!D9"")"),"#N/A")</f>
        <v>#N/A</v>
      </c>
      <c r="H3415" s="4" t="str">
        <v/>
      </c>
      <c r="I3415" s="4" t="str">
        <v/>
      </c>
    </row>
    <row r="3416" spans="5:9" ht="16.5" hidden="1">
      <c r="E3416" s="4" t="str">
        <v/>
      </c>
      <c r="F3416" s="102" t="str">
        <f ca="1">IFERROR(__xludf.DUMMYFUNCTION("IMPORTRANGE(H3416,""IDENTITAS UNIT!D9"")"),"#N/A")</f>
        <v>#N/A</v>
      </c>
      <c r="H3416" s="4" t="str">
        <v/>
      </c>
      <c r="I3416" s="4" t="str">
        <v/>
      </c>
    </row>
    <row r="3417" spans="5:9" ht="16.5" hidden="1">
      <c r="E3417" s="4" t="str">
        <v/>
      </c>
      <c r="F3417" s="102" t="str">
        <f ca="1">IFERROR(__xludf.DUMMYFUNCTION("IMPORTRANGE(H3417,""IDENTITAS UNIT!D9"")"),"#N/A")</f>
        <v>#N/A</v>
      </c>
      <c r="H3417" s="4" t="str">
        <v/>
      </c>
      <c r="I3417" s="4" t="str">
        <v/>
      </c>
    </row>
    <row r="3418" spans="5:9" ht="16.5" hidden="1">
      <c r="E3418" s="4" t="str">
        <v/>
      </c>
      <c r="F3418" s="102" t="str">
        <f ca="1">IFERROR(__xludf.DUMMYFUNCTION("IMPORTRANGE(H3418,""IDENTITAS UNIT!D9"")"),"#N/A")</f>
        <v>#N/A</v>
      </c>
      <c r="H3418" s="4" t="str">
        <v/>
      </c>
      <c r="I3418" s="4" t="str">
        <v/>
      </c>
    </row>
    <row r="3419" spans="5:9" ht="16.5" hidden="1">
      <c r="E3419" s="4" t="str">
        <v/>
      </c>
      <c r="F3419" s="102" t="str">
        <f ca="1">IFERROR(__xludf.DUMMYFUNCTION("IMPORTRANGE(H3419,""IDENTITAS UNIT!D9"")"),"#N/A")</f>
        <v>#N/A</v>
      </c>
      <c r="H3419" s="4" t="str">
        <v/>
      </c>
      <c r="I3419" s="4" t="str">
        <v/>
      </c>
    </row>
    <row r="3420" spans="5:9" ht="16.5" hidden="1">
      <c r="E3420" s="4" t="str">
        <v/>
      </c>
      <c r="F3420" s="102" t="str">
        <f ca="1">IFERROR(__xludf.DUMMYFUNCTION("IMPORTRANGE(H3420,""IDENTITAS UNIT!D9"")"),"#N/A")</f>
        <v>#N/A</v>
      </c>
      <c r="H3420" s="4" t="str">
        <v/>
      </c>
      <c r="I3420" s="4" t="str">
        <v/>
      </c>
    </row>
    <row r="3421" spans="5:9" ht="16.5" hidden="1">
      <c r="E3421" s="4" t="str">
        <v/>
      </c>
      <c r="F3421" s="102" t="str">
        <f ca="1">IFERROR(__xludf.DUMMYFUNCTION("IMPORTRANGE(H3421,""IDENTITAS UNIT!D9"")"),"#N/A")</f>
        <v>#N/A</v>
      </c>
      <c r="H3421" s="4" t="str">
        <v/>
      </c>
      <c r="I3421" s="4" t="str">
        <v/>
      </c>
    </row>
    <row r="3422" spans="5:9" ht="16.5" hidden="1">
      <c r="E3422" s="4" t="str">
        <v/>
      </c>
      <c r="F3422" s="102" t="str">
        <f ca="1">IFERROR(__xludf.DUMMYFUNCTION("IMPORTRANGE(H3422,""IDENTITAS UNIT!D9"")"),"#N/A")</f>
        <v>#N/A</v>
      </c>
      <c r="H3422" s="4" t="str">
        <v/>
      </c>
      <c r="I3422" s="4" t="str">
        <v/>
      </c>
    </row>
    <row r="3423" spans="5:9" ht="16.5" hidden="1">
      <c r="E3423" s="4" t="str">
        <v/>
      </c>
      <c r="F3423" s="102" t="str">
        <f ca="1">IFERROR(__xludf.DUMMYFUNCTION("IMPORTRANGE(H3423,""IDENTITAS UNIT!D9"")"),"#N/A")</f>
        <v>#N/A</v>
      </c>
      <c r="H3423" s="4" t="str">
        <v/>
      </c>
      <c r="I3423" s="4" t="str">
        <v/>
      </c>
    </row>
    <row r="3424" spans="5:9" ht="16.5" hidden="1">
      <c r="E3424" s="4" t="str">
        <v/>
      </c>
      <c r="F3424" s="102" t="str">
        <f ca="1">IFERROR(__xludf.DUMMYFUNCTION("IMPORTRANGE(H3424,""IDENTITAS UNIT!D9"")"),"#N/A")</f>
        <v>#N/A</v>
      </c>
      <c r="H3424" s="4" t="str">
        <v/>
      </c>
      <c r="I3424" s="4" t="str">
        <v/>
      </c>
    </row>
    <row r="3425" spans="5:9" ht="16.5" hidden="1">
      <c r="E3425" s="4" t="str">
        <v/>
      </c>
      <c r="F3425" s="102" t="str">
        <f ca="1">IFERROR(__xludf.DUMMYFUNCTION("IMPORTRANGE(H3425,""IDENTITAS UNIT!D9"")"),"#N/A")</f>
        <v>#N/A</v>
      </c>
      <c r="H3425" s="4" t="str">
        <v/>
      </c>
      <c r="I3425" s="4" t="str">
        <v/>
      </c>
    </row>
    <row r="3426" spans="5:9" ht="16.5" hidden="1">
      <c r="E3426" s="4" t="str">
        <v/>
      </c>
      <c r="F3426" s="102" t="str">
        <f ca="1">IFERROR(__xludf.DUMMYFUNCTION("IMPORTRANGE(H3426,""IDENTITAS UNIT!D9"")"),"#N/A")</f>
        <v>#N/A</v>
      </c>
      <c r="H3426" s="4" t="str">
        <v/>
      </c>
      <c r="I3426" s="4" t="str">
        <v/>
      </c>
    </row>
    <row r="3427" spans="5:9" ht="16.5" hidden="1">
      <c r="E3427" s="4" t="str">
        <v/>
      </c>
      <c r="F3427" s="102" t="str">
        <f ca="1">IFERROR(__xludf.DUMMYFUNCTION("IMPORTRANGE(H3427,""IDENTITAS UNIT!D9"")"),"#N/A")</f>
        <v>#N/A</v>
      </c>
      <c r="H3427" s="4" t="str">
        <v/>
      </c>
      <c r="I3427" s="4" t="str">
        <v/>
      </c>
    </row>
    <row r="3428" spans="5:9" ht="16.5" hidden="1">
      <c r="E3428" s="4" t="str">
        <v/>
      </c>
      <c r="F3428" s="102" t="str">
        <f ca="1">IFERROR(__xludf.DUMMYFUNCTION("IMPORTRANGE(H3428,""IDENTITAS UNIT!D9"")"),"#N/A")</f>
        <v>#N/A</v>
      </c>
      <c r="H3428" s="4" t="str">
        <v/>
      </c>
      <c r="I3428" s="4" t="str">
        <v/>
      </c>
    </row>
    <row r="3429" spans="5:9" ht="16.5" hidden="1">
      <c r="E3429" s="4" t="str">
        <v/>
      </c>
      <c r="F3429" s="102" t="str">
        <f ca="1">IFERROR(__xludf.DUMMYFUNCTION("IMPORTRANGE(H3429,""IDENTITAS UNIT!D9"")"),"#N/A")</f>
        <v>#N/A</v>
      </c>
      <c r="H3429" s="4" t="str">
        <v/>
      </c>
      <c r="I3429" s="4" t="str">
        <v/>
      </c>
    </row>
    <row r="3430" spans="5:9" ht="16.5" hidden="1">
      <c r="E3430" s="4" t="str">
        <v/>
      </c>
      <c r="F3430" s="102" t="str">
        <f ca="1">IFERROR(__xludf.DUMMYFUNCTION("IMPORTRANGE(H3430,""IDENTITAS UNIT!D9"")"),"#N/A")</f>
        <v>#N/A</v>
      </c>
      <c r="H3430" s="4" t="str">
        <v/>
      </c>
      <c r="I3430" s="4" t="str">
        <v/>
      </c>
    </row>
    <row r="3431" spans="5:9" ht="16.5" hidden="1">
      <c r="E3431" s="4" t="str">
        <v/>
      </c>
      <c r="F3431" s="102" t="str">
        <f ca="1">IFERROR(__xludf.DUMMYFUNCTION("IMPORTRANGE(H3431,""IDENTITAS UNIT!D9"")"),"#N/A")</f>
        <v>#N/A</v>
      </c>
      <c r="H3431" s="4" t="str">
        <v/>
      </c>
      <c r="I3431" s="4" t="str">
        <v/>
      </c>
    </row>
    <row r="3432" spans="5:9" ht="16.5" hidden="1">
      <c r="E3432" s="4" t="str">
        <v/>
      </c>
      <c r="F3432" s="102" t="str">
        <f ca="1">IFERROR(__xludf.DUMMYFUNCTION("IMPORTRANGE(H3432,""IDENTITAS UNIT!D9"")"),"#N/A")</f>
        <v>#N/A</v>
      </c>
      <c r="H3432" s="4" t="str">
        <v/>
      </c>
      <c r="I3432" s="4" t="str">
        <v/>
      </c>
    </row>
    <row r="3433" spans="5:9" ht="16.5" hidden="1">
      <c r="E3433" s="4" t="str">
        <v/>
      </c>
      <c r="F3433" s="102" t="str">
        <f ca="1">IFERROR(__xludf.DUMMYFUNCTION("IMPORTRANGE(H3433,""IDENTITAS UNIT!D9"")"),"#N/A")</f>
        <v>#N/A</v>
      </c>
      <c r="H3433" s="4" t="str">
        <v/>
      </c>
      <c r="I3433" s="4" t="str">
        <v/>
      </c>
    </row>
    <row r="3434" spans="5:9" ht="16.5" hidden="1">
      <c r="E3434" s="4" t="str">
        <v/>
      </c>
      <c r="F3434" s="102" t="str">
        <f ca="1">IFERROR(__xludf.DUMMYFUNCTION("IMPORTRANGE(H3434,""IDENTITAS UNIT!D9"")"),"#N/A")</f>
        <v>#N/A</v>
      </c>
      <c r="H3434" s="4" t="str">
        <v/>
      </c>
      <c r="I3434" s="4" t="str">
        <v/>
      </c>
    </row>
    <row r="3435" spans="5:9" ht="16.5" hidden="1">
      <c r="E3435" s="4" t="str">
        <v/>
      </c>
      <c r="F3435" s="102" t="str">
        <f ca="1">IFERROR(__xludf.DUMMYFUNCTION("IMPORTRANGE(H3435,""IDENTITAS UNIT!D9"")"),"#N/A")</f>
        <v>#N/A</v>
      </c>
      <c r="H3435" s="4" t="str">
        <v/>
      </c>
      <c r="I3435" s="4" t="str">
        <v/>
      </c>
    </row>
    <row r="3436" spans="5:9" ht="16.5" hidden="1">
      <c r="E3436" s="4" t="str">
        <v/>
      </c>
      <c r="F3436" s="102" t="str">
        <f ca="1">IFERROR(__xludf.DUMMYFUNCTION("IMPORTRANGE(H3436,""IDENTITAS UNIT!D9"")"),"#N/A")</f>
        <v>#N/A</v>
      </c>
      <c r="H3436" s="4" t="str">
        <v/>
      </c>
      <c r="I3436" s="4" t="str">
        <v/>
      </c>
    </row>
    <row r="3437" spans="5:9" ht="16.5" hidden="1">
      <c r="E3437" s="4" t="str">
        <v/>
      </c>
      <c r="F3437" s="102" t="str">
        <f ca="1">IFERROR(__xludf.DUMMYFUNCTION("IMPORTRANGE(H3437,""IDENTITAS UNIT!D9"")"),"#N/A")</f>
        <v>#N/A</v>
      </c>
      <c r="H3437" s="4" t="str">
        <v/>
      </c>
      <c r="I3437" s="4" t="str">
        <v/>
      </c>
    </row>
    <row r="3438" spans="5:9" ht="16.5" hidden="1">
      <c r="E3438" s="4" t="str">
        <v/>
      </c>
      <c r="F3438" s="102" t="str">
        <f ca="1">IFERROR(__xludf.DUMMYFUNCTION("IMPORTRANGE(H3438,""IDENTITAS UNIT!D9"")"),"#N/A")</f>
        <v>#N/A</v>
      </c>
      <c r="H3438" s="4" t="str">
        <v/>
      </c>
      <c r="I3438" s="4" t="str">
        <v/>
      </c>
    </row>
    <row r="3439" spans="5:9" ht="16.5" hidden="1">
      <c r="E3439" s="4" t="str">
        <v/>
      </c>
      <c r="F3439" s="102" t="str">
        <f ca="1">IFERROR(__xludf.DUMMYFUNCTION("IMPORTRANGE(H3439,""IDENTITAS UNIT!D9"")"),"#N/A")</f>
        <v>#N/A</v>
      </c>
      <c r="H3439" s="4" t="str">
        <v/>
      </c>
      <c r="I3439" s="4" t="str">
        <v/>
      </c>
    </row>
    <row r="3440" spans="5:9" ht="16.5" hidden="1">
      <c r="E3440" s="4" t="str">
        <v/>
      </c>
      <c r="F3440" s="102" t="str">
        <f ca="1">IFERROR(__xludf.DUMMYFUNCTION("IMPORTRANGE(H3440,""IDENTITAS UNIT!D9"")"),"#N/A")</f>
        <v>#N/A</v>
      </c>
      <c r="H3440" s="4" t="str">
        <v/>
      </c>
      <c r="I3440" s="4" t="str">
        <v/>
      </c>
    </row>
    <row r="3441" spans="5:9" ht="16.5" hidden="1">
      <c r="E3441" s="4" t="str">
        <v/>
      </c>
      <c r="F3441" s="102" t="str">
        <f ca="1">IFERROR(__xludf.DUMMYFUNCTION("IMPORTRANGE(H3441,""IDENTITAS UNIT!D9"")"),"#N/A")</f>
        <v>#N/A</v>
      </c>
      <c r="H3441" s="4" t="str">
        <v/>
      </c>
      <c r="I3441" s="4" t="str">
        <v/>
      </c>
    </row>
    <row r="3442" spans="5:9" ht="16.5" hidden="1">
      <c r="E3442" s="4" t="str">
        <v/>
      </c>
      <c r="F3442" s="102" t="str">
        <f ca="1">IFERROR(__xludf.DUMMYFUNCTION("IMPORTRANGE(H3442,""IDENTITAS UNIT!D9"")"),"#N/A")</f>
        <v>#N/A</v>
      </c>
      <c r="H3442" s="4" t="str">
        <v/>
      </c>
      <c r="I3442" s="4" t="str">
        <v/>
      </c>
    </row>
    <row r="3443" spans="5:9" ht="16.5" hidden="1">
      <c r="E3443" s="4" t="str">
        <v/>
      </c>
      <c r="F3443" s="102" t="str">
        <f ca="1">IFERROR(__xludf.DUMMYFUNCTION("IMPORTRANGE(H3443,""IDENTITAS UNIT!D9"")"),"#N/A")</f>
        <v>#N/A</v>
      </c>
      <c r="H3443" s="4" t="str">
        <v/>
      </c>
      <c r="I3443" s="4" t="str">
        <v/>
      </c>
    </row>
    <row r="3444" spans="5:9" ht="16.5" hidden="1">
      <c r="E3444" s="4" t="str">
        <v/>
      </c>
      <c r="F3444" s="102" t="str">
        <f ca="1">IFERROR(__xludf.DUMMYFUNCTION("IMPORTRANGE(H3444,""IDENTITAS UNIT!D9"")"),"#N/A")</f>
        <v>#N/A</v>
      </c>
      <c r="H3444" s="4" t="str">
        <v/>
      </c>
      <c r="I3444" s="4" t="str">
        <v/>
      </c>
    </row>
    <row r="3445" spans="5:9" ht="16.5" hidden="1">
      <c r="E3445" s="4" t="str">
        <v/>
      </c>
      <c r="F3445" s="102" t="str">
        <f ca="1">IFERROR(__xludf.DUMMYFUNCTION("IMPORTRANGE(H3445,""IDENTITAS UNIT!D9"")"),"#N/A")</f>
        <v>#N/A</v>
      </c>
      <c r="H3445" s="4" t="str">
        <v/>
      </c>
      <c r="I3445" s="4" t="str">
        <v/>
      </c>
    </row>
    <row r="3446" spans="5:9" ht="16.5" hidden="1">
      <c r="E3446" s="4" t="str">
        <v/>
      </c>
      <c r="F3446" s="102" t="str">
        <f ca="1">IFERROR(__xludf.DUMMYFUNCTION("IMPORTRANGE(H3446,""IDENTITAS UNIT!D9"")"),"#N/A")</f>
        <v>#N/A</v>
      </c>
      <c r="H3446" s="4" t="str">
        <v/>
      </c>
      <c r="I3446" s="4" t="str">
        <v/>
      </c>
    </row>
    <row r="3447" spans="5:9" ht="16.5" hidden="1">
      <c r="E3447" s="4" t="str">
        <v/>
      </c>
      <c r="F3447" s="102" t="str">
        <f ca="1">IFERROR(__xludf.DUMMYFUNCTION("IMPORTRANGE(H3447,""IDENTITAS UNIT!D9"")"),"#N/A")</f>
        <v>#N/A</v>
      </c>
      <c r="H3447" s="4" t="str">
        <v/>
      </c>
      <c r="I3447" s="4" t="str">
        <v/>
      </c>
    </row>
    <row r="3448" spans="5:9" ht="16.5" hidden="1">
      <c r="E3448" s="4" t="str">
        <v/>
      </c>
      <c r="F3448" s="102" t="str">
        <f ca="1">IFERROR(__xludf.DUMMYFUNCTION("IMPORTRANGE(H3448,""IDENTITAS UNIT!D9"")"),"#N/A")</f>
        <v>#N/A</v>
      </c>
      <c r="H3448" s="4" t="str">
        <v/>
      </c>
      <c r="I3448" s="4" t="str">
        <v/>
      </c>
    </row>
    <row r="3449" spans="5:9" ht="16.5" hidden="1">
      <c r="E3449" s="4" t="str">
        <v/>
      </c>
      <c r="F3449" s="102" t="str">
        <f ca="1">IFERROR(__xludf.DUMMYFUNCTION("IMPORTRANGE(H3449,""IDENTITAS UNIT!D9"")"),"#N/A")</f>
        <v>#N/A</v>
      </c>
      <c r="H3449" s="4" t="str">
        <v/>
      </c>
      <c r="I3449" s="4" t="str">
        <v/>
      </c>
    </row>
    <row r="3450" spans="5:9" ht="16.5" hidden="1">
      <c r="E3450" s="4" t="str">
        <v/>
      </c>
      <c r="F3450" s="102" t="str">
        <f ca="1">IFERROR(__xludf.DUMMYFUNCTION("IMPORTRANGE(H3450,""IDENTITAS UNIT!D9"")"),"#N/A")</f>
        <v>#N/A</v>
      </c>
      <c r="H3450" s="4" t="str">
        <v/>
      </c>
      <c r="I3450" s="4" t="str">
        <v/>
      </c>
    </row>
    <row r="3451" spans="5:9" ht="16.5" hidden="1">
      <c r="E3451" s="4" t="str">
        <v/>
      </c>
      <c r="F3451" s="102" t="str">
        <f ca="1">IFERROR(__xludf.DUMMYFUNCTION("IMPORTRANGE(H3451,""IDENTITAS UNIT!D9"")"),"#N/A")</f>
        <v>#N/A</v>
      </c>
      <c r="H3451" s="4" t="str">
        <v/>
      </c>
      <c r="I3451" s="4" t="str">
        <v/>
      </c>
    </row>
    <row r="3452" spans="5:9" ht="16.5" hidden="1">
      <c r="E3452" s="4" t="str">
        <v/>
      </c>
      <c r="F3452" s="102" t="str">
        <f ca="1">IFERROR(__xludf.DUMMYFUNCTION("IMPORTRANGE(H3452,""IDENTITAS UNIT!D9"")"),"#N/A")</f>
        <v>#N/A</v>
      </c>
      <c r="H3452" s="4" t="str">
        <v/>
      </c>
      <c r="I3452" s="4" t="str">
        <v/>
      </c>
    </row>
    <row r="3453" spans="5:9" ht="16.5" hidden="1">
      <c r="E3453" s="4" t="str">
        <v/>
      </c>
      <c r="F3453" s="102" t="str">
        <f ca="1">IFERROR(__xludf.DUMMYFUNCTION("IMPORTRANGE(H3453,""IDENTITAS UNIT!D9"")"),"#N/A")</f>
        <v>#N/A</v>
      </c>
      <c r="H3453" s="4" t="str">
        <v/>
      </c>
      <c r="I3453" s="4" t="str">
        <v/>
      </c>
    </row>
    <row r="3454" spans="5:9" ht="16.5" hidden="1">
      <c r="E3454" s="4" t="str">
        <v/>
      </c>
      <c r="F3454" s="102" t="str">
        <f ca="1">IFERROR(__xludf.DUMMYFUNCTION("IMPORTRANGE(H3454,""IDENTITAS UNIT!D9"")"),"#N/A")</f>
        <v>#N/A</v>
      </c>
      <c r="H3454" s="4" t="str">
        <v/>
      </c>
      <c r="I3454" s="4" t="str">
        <v/>
      </c>
    </row>
    <row r="3455" spans="5:9" ht="16.5" hidden="1">
      <c r="E3455" s="4" t="str">
        <v/>
      </c>
      <c r="F3455" s="102" t="str">
        <f ca="1">IFERROR(__xludf.DUMMYFUNCTION("IMPORTRANGE(H3455,""IDENTITAS UNIT!D9"")"),"#N/A")</f>
        <v>#N/A</v>
      </c>
      <c r="H3455" s="4" t="str">
        <v/>
      </c>
      <c r="I3455" s="4" t="str">
        <v/>
      </c>
    </row>
    <row r="3456" spans="5:9" ht="16.5" hidden="1">
      <c r="E3456" s="4" t="str">
        <v/>
      </c>
      <c r="F3456" s="102" t="str">
        <f ca="1">IFERROR(__xludf.DUMMYFUNCTION("IMPORTRANGE(H3456,""IDENTITAS UNIT!D9"")"),"#N/A")</f>
        <v>#N/A</v>
      </c>
      <c r="H3456" s="4" t="str">
        <v/>
      </c>
      <c r="I3456" s="4" t="str">
        <v/>
      </c>
    </row>
    <row r="3457" spans="5:9" ht="16.5" hidden="1">
      <c r="E3457" s="4" t="str">
        <v/>
      </c>
      <c r="F3457" s="102" t="str">
        <f ca="1">IFERROR(__xludf.DUMMYFUNCTION("IMPORTRANGE(H3457,""IDENTITAS UNIT!D9"")"),"#N/A")</f>
        <v>#N/A</v>
      </c>
      <c r="H3457" s="4" t="str">
        <v/>
      </c>
      <c r="I3457" s="4" t="str">
        <v/>
      </c>
    </row>
    <row r="3458" spans="5:9" ht="16.5" hidden="1">
      <c r="E3458" s="4" t="str">
        <v/>
      </c>
      <c r="F3458" s="102" t="str">
        <f ca="1">IFERROR(__xludf.DUMMYFUNCTION("IMPORTRANGE(H3458,""IDENTITAS UNIT!D9"")"),"#N/A")</f>
        <v>#N/A</v>
      </c>
      <c r="H3458" s="4" t="str">
        <v/>
      </c>
      <c r="I3458" s="4" t="str">
        <v/>
      </c>
    </row>
    <row r="3459" spans="5:9" ht="16.5" hidden="1">
      <c r="E3459" s="4" t="str">
        <v/>
      </c>
      <c r="F3459" s="102" t="str">
        <f ca="1">IFERROR(__xludf.DUMMYFUNCTION("IMPORTRANGE(H3459,""IDENTITAS UNIT!D9"")"),"#N/A")</f>
        <v>#N/A</v>
      </c>
      <c r="H3459" s="4" t="str">
        <v/>
      </c>
      <c r="I3459" s="4" t="str">
        <v/>
      </c>
    </row>
    <row r="3460" spans="5:9" ht="16.5" hidden="1">
      <c r="E3460" s="4" t="str">
        <v/>
      </c>
      <c r="F3460" s="102" t="str">
        <f ca="1">IFERROR(__xludf.DUMMYFUNCTION("IMPORTRANGE(H3460,""IDENTITAS UNIT!D9"")"),"#N/A")</f>
        <v>#N/A</v>
      </c>
      <c r="H3460" s="4" t="str">
        <v/>
      </c>
      <c r="I3460" s="4" t="str">
        <v/>
      </c>
    </row>
    <row r="3461" spans="5:9" ht="16.5" hidden="1">
      <c r="E3461" s="4" t="str">
        <v/>
      </c>
      <c r="F3461" s="102" t="str">
        <f ca="1">IFERROR(__xludf.DUMMYFUNCTION("IMPORTRANGE(H3461,""IDENTITAS UNIT!D9"")"),"#N/A")</f>
        <v>#N/A</v>
      </c>
      <c r="H3461" s="4" t="str">
        <v/>
      </c>
      <c r="I3461" s="4" t="str">
        <v/>
      </c>
    </row>
    <row r="3462" spans="5:9" ht="16.5" hidden="1">
      <c r="E3462" s="4" t="str">
        <v/>
      </c>
      <c r="F3462" s="102" t="str">
        <f ca="1">IFERROR(__xludf.DUMMYFUNCTION("IMPORTRANGE(H3462,""IDENTITAS UNIT!D9"")"),"#N/A")</f>
        <v>#N/A</v>
      </c>
      <c r="H3462" s="4" t="str">
        <v/>
      </c>
      <c r="I3462" s="4" t="str">
        <v/>
      </c>
    </row>
    <row r="3463" spans="5:9" ht="16.5" hidden="1">
      <c r="E3463" s="4" t="str">
        <v/>
      </c>
      <c r="F3463" s="102" t="str">
        <f ca="1">IFERROR(__xludf.DUMMYFUNCTION("IMPORTRANGE(H3463,""IDENTITAS UNIT!D9"")"),"#N/A")</f>
        <v>#N/A</v>
      </c>
      <c r="H3463" s="4" t="str">
        <v/>
      </c>
      <c r="I3463" s="4" t="str">
        <v/>
      </c>
    </row>
    <row r="3464" spans="5:9" ht="16.5" hidden="1">
      <c r="E3464" s="4" t="str">
        <v/>
      </c>
      <c r="F3464" s="102" t="str">
        <f ca="1">IFERROR(__xludf.DUMMYFUNCTION("IMPORTRANGE(H3464,""IDENTITAS UNIT!D9"")"),"#N/A")</f>
        <v>#N/A</v>
      </c>
      <c r="H3464" s="4" t="str">
        <v/>
      </c>
      <c r="I3464" s="4" t="str">
        <v/>
      </c>
    </row>
    <row r="3465" spans="5:9" ht="16.5" hidden="1">
      <c r="E3465" s="4" t="str">
        <v/>
      </c>
      <c r="F3465" s="102" t="str">
        <f ca="1">IFERROR(__xludf.DUMMYFUNCTION("IMPORTRANGE(H3465,""IDENTITAS UNIT!D9"")"),"#N/A")</f>
        <v>#N/A</v>
      </c>
      <c r="H3465" s="4" t="str">
        <v/>
      </c>
      <c r="I3465" s="4" t="str">
        <v/>
      </c>
    </row>
    <row r="3466" spans="5:9" ht="16.5" hidden="1">
      <c r="E3466" s="4" t="str">
        <v/>
      </c>
      <c r="F3466" s="102" t="str">
        <f ca="1">IFERROR(__xludf.DUMMYFUNCTION("IMPORTRANGE(H3466,""IDENTITAS UNIT!D9"")"),"#N/A")</f>
        <v>#N/A</v>
      </c>
      <c r="H3466" s="4" t="str">
        <v/>
      </c>
      <c r="I3466" s="4" t="str">
        <v/>
      </c>
    </row>
    <row r="3467" spans="5:9" ht="16.5" hidden="1">
      <c r="E3467" s="4" t="str">
        <v/>
      </c>
      <c r="F3467" s="102" t="str">
        <f ca="1">IFERROR(__xludf.DUMMYFUNCTION("IMPORTRANGE(H3467,""IDENTITAS UNIT!D9"")"),"#N/A")</f>
        <v>#N/A</v>
      </c>
      <c r="H3467" s="4" t="str">
        <v/>
      </c>
      <c r="I3467" s="4" t="str">
        <v/>
      </c>
    </row>
    <row r="3468" spans="5:9" ht="16.5" hidden="1">
      <c r="E3468" s="4" t="str">
        <v/>
      </c>
      <c r="F3468" s="102" t="str">
        <f ca="1">IFERROR(__xludf.DUMMYFUNCTION("IMPORTRANGE(H3468,""IDENTITAS UNIT!D9"")"),"#N/A")</f>
        <v>#N/A</v>
      </c>
      <c r="H3468" s="4" t="str">
        <v/>
      </c>
      <c r="I3468" s="4" t="str">
        <v/>
      </c>
    </row>
    <row r="3469" spans="5:9" ht="16.5" hidden="1">
      <c r="E3469" s="4" t="str">
        <v/>
      </c>
      <c r="F3469" s="102" t="str">
        <f ca="1">IFERROR(__xludf.DUMMYFUNCTION("IMPORTRANGE(H3469,""IDENTITAS UNIT!D9"")"),"#N/A")</f>
        <v>#N/A</v>
      </c>
      <c r="H3469" s="4" t="str">
        <v/>
      </c>
      <c r="I3469" s="4" t="str">
        <v/>
      </c>
    </row>
    <row r="3470" spans="5:9" ht="16.5" hidden="1">
      <c r="E3470" s="4" t="str">
        <v/>
      </c>
      <c r="F3470" s="102" t="str">
        <f ca="1">IFERROR(__xludf.DUMMYFUNCTION("IMPORTRANGE(H3470,""IDENTITAS UNIT!D9"")"),"#N/A")</f>
        <v>#N/A</v>
      </c>
      <c r="H3470" s="4" t="str">
        <v/>
      </c>
      <c r="I3470" s="4" t="str">
        <v/>
      </c>
    </row>
    <row r="3471" spans="5:9" ht="16.5" hidden="1">
      <c r="E3471" s="4" t="str">
        <v/>
      </c>
      <c r="F3471" s="102" t="str">
        <f ca="1">IFERROR(__xludf.DUMMYFUNCTION("IMPORTRANGE(H3471,""IDENTITAS UNIT!D9"")"),"#N/A")</f>
        <v>#N/A</v>
      </c>
      <c r="H3471" s="4" t="str">
        <v/>
      </c>
      <c r="I3471" s="4" t="str">
        <v/>
      </c>
    </row>
    <row r="3472" spans="5:9" ht="16.5" hidden="1">
      <c r="E3472" s="4" t="str">
        <v/>
      </c>
      <c r="F3472" s="102" t="str">
        <f ca="1">IFERROR(__xludf.DUMMYFUNCTION("IMPORTRANGE(H3472,""IDENTITAS UNIT!D9"")"),"#N/A")</f>
        <v>#N/A</v>
      </c>
      <c r="H3472" s="4" t="str">
        <v/>
      </c>
      <c r="I3472" s="4" t="str">
        <v/>
      </c>
    </row>
    <row r="3473" spans="5:9" ht="16.5" hidden="1">
      <c r="E3473" s="4" t="str">
        <v/>
      </c>
      <c r="F3473" s="102" t="str">
        <f ca="1">IFERROR(__xludf.DUMMYFUNCTION("IMPORTRANGE(H3473,""IDENTITAS UNIT!D9"")"),"#N/A")</f>
        <v>#N/A</v>
      </c>
      <c r="H3473" s="4" t="str">
        <v/>
      </c>
      <c r="I3473" s="4" t="str">
        <v/>
      </c>
    </row>
    <row r="3474" spans="5:9" ht="16.5" hidden="1">
      <c r="E3474" s="4" t="str">
        <v/>
      </c>
      <c r="F3474" s="102" t="str">
        <f ca="1">IFERROR(__xludf.DUMMYFUNCTION("IMPORTRANGE(H3474,""IDENTITAS UNIT!D9"")"),"#N/A")</f>
        <v>#N/A</v>
      </c>
      <c r="H3474" s="4" t="str">
        <v/>
      </c>
      <c r="I3474" s="4" t="str">
        <v/>
      </c>
    </row>
    <row r="3475" spans="5:9" ht="16.5" hidden="1">
      <c r="E3475" s="4" t="str">
        <v/>
      </c>
      <c r="F3475" s="102" t="str">
        <f ca="1">IFERROR(__xludf.DUMMYFUNCTION("IMPORTRANGE(H3475,""IDENTITAS UNIT!D9"")"),"#N/A")</f>
        <v>#N/A</v>
      </c>
      <c r="H3475" s="4" t="str">
        <v/>
      </c>
      <c r="I3475" s="4" t="str">
        <v/>
      </c>
    </row>
    <row r="3476" spans="5:9" ht="16.5" hidden="1">
      <c r="E3476" s="4" t="str">
        <v/>
      </c>
      <c r="F3476" s="102" t="str">
        <f ca="1">IFERROR(__xludf.DUMMYFUNCTION("IMPORTRANGE(H3476,""IDENTITAS UNIT!D9"")"),"#N/A")</f>
        <v>#N/A</v>
      </c>
      <c r="H3476" s="4" t="str">
        <v/>
      </c>
      <c r="I3476" s="4" t="str">
        <v/>
      </c>
    </row>
    <row r="3477" spans="5:9" ht="16.5" hidden="1">
      <c r="E3477" s="4" t="str">
        <v/>
      </c>
      <c r="F3477" s="102" t="str">
        <f ca="1">IFERROR(__xludf.DUMMYFUNCTION("IMPORTRANGE(H3477,""IDENTITAS UNIT!D9"")"),"#N/A")</f>
        <v>#N/A</v>
      </c>
      <c r="H3477" s="4" t="str">
        <v/>
      </c>
      <c r="I3477" s="4" t="str">
        <v/>
      </c>
    </row>
    <row r="3478" spans="5:9" ht="16.5" hidden="1">
      <c r="E3478" s="4" t="str">
        <v/>
      </c>
      <c r="F3478" s="102" t="str">
        <f ca="1">IFERROR(__xludf.DUMMYFUNCTION("IMPORTRANGE(H3478,""IDENTITAS UNIT!D9"")"),"#N/A")</f>
        <v>#N/A</v>
      </c>
      <c r="H3478" s="4" t="str">
        <v/>
      </c>
      <c r="I3478" s="4" t="str">
        <v/>
      </c>
    </row>
    <row r="3479" spans="5:9" ht="16.5" hidden="1">
      <c r="E3479" s="4" t="str">
        <v/>
      </c>
      <c r="F3479" s="102" t="str">
        <f ca="1">IFERROR(__xludf.DUMMYFUNCTION("IMPORTRANGE(H3479,""IDENTITAS UNIT!D9"")"),"#N/A")</f>
        <v>#N/A</v>
      </c>
      <c r="H3479" s="4" t="str">
        <v/>
      </c>
      <c r="I3479" s="4" t="str">
        <v/>
      </c>
    </row>
    <row r="3480" spans="5:9" ht="16.5" hidden="1">
      <c r="E3480" s="4" t="str">
        <v/>
      </c>
      <c r="F3480" s="102" t="str">
        <f ca="1">IFERROR(__xludf.DUMMYFUNCTION("IMPORTRANGE(H3480,""IDENTITAS UNIT!D9"")"),"#N/A")</f>
        <v>#N/A</v>
      </c>
      <c r="H3480" s="4" t="str">
        <v/>
      </c>
      <c r="I3480" s="4" t="str">
        <v/>
      </c>
    </row>
    <row r="3481" spans="5:9" ht="16.5" hidden="1">
      <c r="E3481" s="4" t="str">
        <v/>
      </c>
      <c r="F3481" s="102" t="str">
        <f ca="1">IFERROR(__xludf.DUMMYFUNCTION("IMPORTRANGE(H3481,""IDENTITAS UNIT!D9"")"),"#N/A")</f>
        <v>#N/A</v>
      </c>
      <c r="H3481" s="4" t="str">
        <v/>
      </c>
      <c r="I3481" s="4" t="str">
        <v/>
      </c>
    </row>
    <row r="3482" spans="5:9" ht="16.5" hidden="1">
      <c r="E3482" s="4" t="str">
        <v/>
      </c>
      <c r="F3482" s="102" t="str">
        <f ca="1">IFERROR(__xludf.DUMMYFUNCTION("IMPORTRANGE(H3482,""IDENTITAS UNIT!D9"")"),"#N/A")</f>
        <v>#N/A</v>
      </c>
      <c r="H3482" s="4" t="str">
        <v/>
      </c>
      <c r="I3482" s="4" t="str">
        <v/>
      </c>
    </row>
    <row r="3483" spans="5:9" ht="16.5" hidden="1">
      <c r="E3483" s="4" t="str">
        <v/>
      </c>
      <c r="F3483" s="102" t="str">
        <f ca="1">IFERROR(__xludf.DUMMYFUNCTION("IMPORTRANGE(H3483,""IDENTITAS UNIT!D9"")"),"#N/A")</f>
        <v>#N/A</v>
      </c>
      <c r="H3483" s="4" t="str">
        <v/>
      </c>
      <c r="I3483" s="4" t="str">
        <v/>
      </c>
    </row>
    <row r="3484" spans="5:9" ht="16.5" hidden="1">
      <c r="E3484" s="4" t="str">
        <v/>
      </c>
      <c r="F3484" s="102" t="str">
        <f ca="1">IFERROR(__xludf.DUMMYFUNCTION("IMPORTRANGE(H3484,""IDENTITAS UNIT!D9"")"),"#N/A")</f>
        <v>#N/A</v>
      </c>
      <c r="H3484" s="4" t="str">
        <v/>
      </c>
      <c r="I3484" s="4" t="str">
        <v/>
      </c>
    </row>
    <row r="3485" spans="5:9" ht="16.5" hidden="1">
      <c r="E3485" s="4" t="str">
        <v/>
      </c>
      <c r="F3485" s="102" t="str">
        <f ca="1">IFERROR(__xludf.DUMMYFUNCTION("IMPORTRANGE(H3485,""IDENTITAS UNIT!D9"")"),"#N/A")</f>
        <v>#N/A</v>
      </c>
      <c r="H3485" s="4" t="str">
        <v/>
      </c>
      <c r="I3485" s="4" t="str">
        <v/>
      </c>
    </row>
    <row r="3486" spans="5:9" ht="16.5" hidden="1">
      <c r="E3486" s="4" t="str">
        <v/>
      </c>
      <c r="F3486" s="102" t="str">
        <f ca="1">IFERROR(__xludf.DUMMYFUNCTION("IMPORTRANGE(H3486,""IDENTITAS UNIT!D9"")"),"#N/A")</f>
        <v>#N/A</v>
      </c>
      <c r="H3486" s="4" t="str">
        <v/>
      </c>
      <c r="I3486" s="4" t="str">
        <v/>
      </c>
    </row>
    <row r="3487" spans="5:9" ht="16.5" hidden="1">
      <c r="E3487" s="4" t="str">
        <v/>
      </c>
      <c r="F3487" s="102" t="str">
        <f ca="1">IFERROR(__xludf.DUMMYFUNCTION("IMPORTRANGE(H3487,""IDENTITAS UNIT!D9"")"),"#N/A")</f>
        <v>#N/A</v>
      </c>
      <c r="H3487" s="4" t="str">
        <v/>
      </c>
      <c r="I3487" s="4" t="str">
        <v/>
      </c>
    </row>
    <row r="3488" spans="5:9" ht="16.5" hidden="1">
      <c r="E3488" s="4" t="str">
        <v/>
      </c>
      <c r="F3488" s="102" t="str">
        <f ca="1">IFERROR(__xludf.DUMMYFUNCTION("IMPORTRANGE(H3488,""IDENTITAS UNIT!D9"")"),"#N/A")</f>
        <v>#N/A</v>
      </c>
      <c r="H3488" s="4" t="str">
        <v/>
      </c>
      <c r="I3488" s="4" t="str">
        <v/>
      </c>
    </row>
    <row r="3489" spans="5:9" ht="16.5" hidden="1">
      <c r="E3489" s="4" t="str">
        <v/>
      </c>
      <c r="F3489" s="102" t="str">
        <f ca="1">IFERROR(__xludf.DUMMYFUNCTION("IMPORTRANGE(H3489,""IDENTITAS UNIT!D9"")"),"#N/A")</f>
        <v>#N/A</v>
      </c>
      <c r="H3489" s="4" t="str">
        <v/>
      </c>
      <c r="I3489" s="4" t="str">
        <v/>
      </c>
    </row>
    <row r="3490" spans="5:9" ht="16.5" hidden="1">
      <c r="E3490" s="4" t="str">
        <v/>
      </c>
      <c r="F3490" s="102" t="str">
        <f ca="1">IFERROR(__xludf.DUMMYFUNCTION("IMPORTRANGE(H3490,""IDENTITAS UNIT!D9"")"),"#N/A")</f>
        <v>#N/A</v>
      </c>
      <c r="H3490" s="4" t="str">
        <v/>
      </c>
      <c r="I3490" s="4" t="str">
        <v/>
      </c>
    </row>
    <row r="3491" spans="5:9" ht="16.5" hidden="1">
      <c r="E3491" s="4" t="str">
        <v/>
      </c>
      <c r="F3491" s="102" t="str">
        <f ca="1">IFERROR(__xludf.DUMMYFUNCTION("IMPORTRANGE(H3491,""IDENTITAS UNIT!D9"")"),"#N/A")</f>
        <v>#N/A</v>
      </c>
      <c r="H3491" s="4" t="str">
        <v/>
      </c>
      <c r="I3491" s="4" t="str">
        <v/>
      </c>
    </row>
    <row r="3492" spans="5:9" ht="16.5" hidden="1">
      <c r="E3492" s="4" t="str">
        <v/>
      </c>
      <c r="F3492" s="102" t="str">
        <f ca="1">IFERROR(__xludf.DUMMYFUNCTION("IMPORTRANGE(H3492,""IDENTITAS UNIT!D9"")"),"#N/A")</f>
        <v>#N/A</v>
      </c>
      <c r="H3492" s="4" t="str">
        <v/>
      </c>
      <c r="I3492" s="4" t="str">
        <v/>
      </c>
    </row>
    <row r="3493" spans="5:9" ht="16.5" hidden="1">
      <c r="E3493" s="4" t="str">
        <v/>
      </c>
      <c r="F3493" s="102" t="str">
        <f ca="1">IFERROR(__xludf.DUMMYFUNCTION("IMPORTRANGE(H3493,""IDENTITAS UNIT!D9"")"),"#N/A")</f>
        <v>#N/A</v>
      </c>
      <c r="H3493" s="4" t="str">
        <v/>
      </c>
      <c r="I3493" s="4" t="str">
        <v/>
      </c>
    </row>
    <row r="3494" spans="5:9" ht="16.5" hidden="1">
      <c r="E3494" s="4" t="str">
        <v/>
      </c>
      <c r="F3494" s="102" t="str">
        <f ca="1">IFERROR(__xludf.DUMMYFUNCTION("IMPORTRANGE(H3494,""IDENTITAS UNIT!D9"")"),"#N/A")</f>
        <v>#N/A</v>
      </c>
      <c r="H3494" s="4" t="str">
        <v/>
      </c>
      <c r="I3494" s="4" t="str">
        <v/>
      </c>
    </row>
    <row r="3495" spans="5:9" ht="16.5" hidden="1">
      <c r="E3495" s="4" t="str">
        <v/>
      </c>
      <c r="F3495" s="102" t="str">
        <f ca="1">IFERROR(__xludf.DUMMYFUNCTION("IMPORTRANGE(H3495,""IDENTITAS UNIT!D9"")"),"#N/A")</f>
        <v>#N/A</v>
      </c>
      <c r="H3495" s="4" t="str">
        <v/>
      </c>
      <c r="I3495" s="4" t="str">
        <v/>
      </c>
    </row>
    <row r="3496" spans="5:9" ht="16.5" hidden="1">
      <c r="E3496" s="4" t="str">
        <v/>
      </c>
      <c r="F3496" s="102" t="str">
        <f ca="1">IFERROR(__xludf.DUMMYFUNCTION("IMPORTRANGE(H3496,""IDENTITAS UNIT!D9"")"),"#N/A")</f>
        <v>#N/A</v>
      </c>
      <c r="H3496" s="4" t="str">
        <v/>
      </c>
      <c r="I3496" s="4" t="str">
        <v/>
      </c>
    </row>
    <row r="3497" spans="5:9" ht="16.5" hidden="1">
      <c r="E3497" s="4" t="str">
        <v/>
      </c>
      <c r="F3497" s="102" t="str">
        <f ca="1">IFERROR(__xludf.DUMMYFUNCTION("IMPORTRANGE(H3497,""IDENTITAS UNIT!D9"")"),"#N/A")</f>
        <v>#N/A</v>
      </c>
      <c r="H3497" s="4" t="str">
        <v/>
      </c>
      <c r="I3497" s="4" t="str">
        <v/>
      </c>
    </row>
    <row r="3498" spans="5:9" ht="16.5" hidden="1">
      <c r="E3498" s="4" t="str">
        <v/>
      </c>
      <c r="F3498" s="102" t="str">
        <f ca="1">IFERROR(__xludf.DUMMYFUNCTION("IMPORTRANGE(H3498,""IDENTITAS UNIT!D9"")"),"#N/A")</f>
        <v>#N/A</v>
      </c>
      <c r="H3498" s="4" t="str">
        <v/>
      </c>
      <c r="I3498" s="4" t="str">
        <v/>
      </c>
    </row>
    <row r="3499" spans="5:9" ht="16.5" hidden="1">
      <c r="E3499" s="4" t="str">
        <v/>
      </c>
      <c r="F3499" s="102" t="str">
        <f ca="1">IFERROR(__xludf.DUMMYFUNCTION("IMPORTRANGE(H3499,""IDENTITAS UNIT!D9"")"),"#N/A")</f>
        <v>#N/A</v>
      </c>
      <c r="H3499" s="4" t="str">
        <v/>
      </c>
      <c r="I3499" s="4" t="str">
        <v/>
      </c>
    </row>
    <row r="3500" spans="5:9" ht="16.5" hidden="1">
      <c r="E3500" s="4" t="str">
        <v/>
      </c>
      <c r="F3500" s="102" t="str">
        <f ca="1">IFERROR(__xludf.DUMMYFUNCTION("IMPORTRANGE(H3500,""IDENTITAS UNIT!D9"")"),"#N/A")</f>
        <v>#N/A</v>
      </c>
      <c r="H3500" s="4" t="str">
        <v/>
      </c>
      <c r="I3500" s="4" t="str">
        <v/>
      </c>
    </row>
    <row r="3501" spans="5:9" ht="16.5" hidden="1">
      <c r="E3501" s="4" t="str">
        <v/>
      </c>
      <c r="F3501" s="102" t="str">
        <f ca="1">IFERROR(__xludf.DUMMYFUNCTION("IMPORTRANGE(H3501,""IDENTITAS UNIT!D9"")"),"#N/A")</f>
        <v>#N/A</v>
      </c>
      <c r="H3501" s="4" t="str">
        <v/>
      </c>
      <c r="I3501" s="4" t="str">
        <v/>
      </c>
    </row>
    <row r="3502" spans="5:9" ht="16.5" hidden="1">
      <c r="E3502" s="4" t="str">
        <v/>
      </c>
      <c r="F3502" s="102" t="str">
        <f ca="1">IFERROR(__xludf.DUMMYFUNCTION("IMPORTRANGE(H3502,""IDENTITAS UNIT!D9"")"),"#N/A")</f>
        <v>#N/A</v>
      </c>
      <c r="H3502" s="4" t="str">
        <v/>
      </c>
      <c r="I3502" s="4" t="str">
        <v/>
      </c>
    </row>
    <row r="3503" spans="5:9" ht="16.5" hidden="1">
      <c r="E3503" s="4" t="str">
        <v/>
      </c>
      <c r="F3503" s="102" t="str">
        <f ca="1">IFERROR(__xludf.DUMMYFUNCTION("IMPORTRANGE(H3503,""IDENTITAS UNIT!D9"")"),"#N/A")</f>
        <v>#N/A</v>
      </c>
      <c r="H3503" s="4" t="str">
        <v/>
      </c>
      <c r="I3503" s="4" t="str">
        <v/>
      </c>
    </row>
    <row r="3504" spans="5:9" ht="16.5" hidden="1">
      <c r="E3504" s="4" t="str">
        <v/>
      </c>
      <c r="F3504" s="102" t="str">
        <f ca="1">IFERROR(__xludf.DUMMYFUNCTION("IMPORTRANGE(H3504,""IDENTITAS UNIT!D9"")"),"#N/A")</f>
        <v>#N/A</v>
      </c>
      <c r="H3504" s="4" t="str">
        <v/>
      </c>
      <c r="I3504" s="4" t="str">
        <v/>
      </c>
    </row>
    <row r="3505" spans="5:9" ht="16.5" hidden="1">
      <c r="E3505" s="4" t="str">
        <v/>
      </c>
      <c r="F3505" s="102" t="str">
        <f ca="1">IFERROR(__xludf.DUMMYFUNCTION("IMPORTRANGE(H3505,""IDENTITAS UNIT!D9"")"),"#N/A")</f>
        <v>#N/A</v>
      </c>
      <c r="H3505" s="4" t="str">
        <v/>
      </c>
      <c r="I3505" s="4" t="str">
        <v/>
      </c>
    </row>
    <row r="3506" spans="5:9" ht="16.5" hidden="1">
      <c r="E3506" s="4" t="str">
        <v/>
      </c>
      <c r="F3506" s="102" t="str">
        <f ca="1">IFERROR(__xludf.DUMMYFUNCTION("IMPORTRANGE(H3506,""IDENTITAS UNIT!D9"")"),"#N/A")</f>
        <v>#N/A</v>
      </c>
      <c r="H3506" s="4" t="str">
        <v/>
      </c>
      <c r="I3506" s="4" t="str">
        <v/>
      </c>
    </row>
    <row r="3507" spans="5:9" ht="16.5" hidden="1">
      <c r="E3507" s="4" t="str">
        <v/>
      </c>
      <c r="F3507" s="102" t="str">
        <f ca="1">IFERROR(__xludf.DUMMYFUNCTION("IMPORTRANGE(H3507,""IDENTITAS UNIT!D9"")"),"#N/A")</f>
        <v>#N/A</v>
      </c>
      <c r="H3507" s="4" t="str">
        <v/>
      </c>
      <c r="I3507" s="4" t="str">
        <v/>
      </c>
    </row>
    <row r="3508" spans="5:9" ht="16.5" hidden="1">
      <c r="E3508" s="4" t="str">
        <v/>
      </c>
      <c r="F3508" s="102" t="str">
        <f ca="1">IFERROR(__xludf.DUMMYFUNCTION("IMPORTRANGE(H3508,""IDENTITAS UNIT!D9"")"),"#N/A")</f>
        <v>#N/A</v>
      </c>
      <c r="H3508" s="4" t="str">
        <v/>
      </c>
      <c r="I3508" s="4" t="str">
        <v/>
      </c>
    </row>
    <row r="3509" spans="5:9" ht="16.5" hidden="1">
      <c r="E3509" s="4" t="str">
        <v/>
      </c>
      <c r="F3509" s="102" t="str">
        <f ca="1">IFERROR(__xludf.DUMMYFUNCTION("IMPORTRANGE(H3509,""IDENTITAS UNIT!D9"")"),"#N/A")</f>
        <v>#N/A</v>
      </c>
      <c r="H3509" s="4" t="str">
        <v/>
      </c>
      <c r="I3509" s="4" t="str">
        <v/>
      </c>
    </row>
    <row r="3510" spans="5:9" ht="16.5" hidden="1">
      <c r="E3510" s="4" t="str">
        <v/>
      </c>
      <c r="F3510" s="102" t="str">
        <f ca="1">IFERROR(__xludf.DUMMYFUNCTION("IMPORTRANGE(H3510,""IDENTITAS UNIT!D9"")"),"#N/A")</f>
        <v>#N/A</v>
      </c>
      <c r="H3510" s="4" t="str">
        <v/>
      </c>
      <c r="I3510" s="4" t="str">
        <v/>
      </c>
    </row>
    <row r="3511" spans="5:9" ht="16.5" hidden="1">
      <c r="E3511" s="4" t="str">
        <v/>
      </c>
      <c r="F3511" s="102" t="str">
        <f ca="1">IFERROR(__xludf.DUMMYFUNCTION("IMPORTRANGE(H3511,""IDENTITAS UNIT!D9"")"),"#N/A")</f>
        <v>#N/A</v>
      </c>
      <c r="H3511" s="4" t="str">
        <v/>
      </c>
      <c r="I3511" s="4" t="str">
        <v/>
      </c>
    </row>
    <row r="3512" spans="5:9" ht="16.5" hidden="1">
      <c r="E3512" s="4" t="str">
        <v/>
      </c>
      <c r="F3512" s="102" t="str">
        <f ca="1">IFERROR(__xludf.DUMMYFUNCTION("IMPORTRANGE(H3512,""IDENTITAS UNIT!D9"")"),"#N/A")</f>
        <v>#N/A</v>
      </c>
      <c r="H3512" s="4" t="str">
        <v/>
      </c>
      <c r="I3512" s="4" t="str">
        <v/>
      </c>
    </row>
    <row r="3513" spans="5:9" ht="16.5" hidden="1">
      <c r="E3513" s="4" t="str">
        <v/>
      </c>
      <c r="F3513" s="102" t="str">
        <f ca="1">IFERROR(__xludf.DUMMYFUNCTION("IMPORTRANGE(H3513,""IDENTITAS UNIT!D9"")"),"#N/A")</f>
        <v>#N/A</v>
      </c>
      <c r="H3513" s="4" t="str">
        <v/>
      </c>
      <c r="I3513" s="4" t="str">
        <v/>
      </c>
    </row>
    <row r="3514" spans="5:9" ht="16.5" hidden="1">
      <c r="E3514" s="4" t="str">
        <v/>
      </c>
      <c r="F3514" s="102" t="str">
        <f ca="1">IFERROR(__xludf.DUMMYFUNCTION("IMPORTRANGE(H3514,""IDENTITAS UNIT!D9"")"),"#N/A")</f>
        <v>#N/A</v>
      </c>
      <c r="H3514" s="4" t="str">
        <v/>
      </c>
      <c r="I3514" s="4" t="str">
        <v/>
      </c>
    </row>
    <row r="3515" spans="5:9" ht="16.5" hidden="1">
      <c r="E3515" s="4" t="str">
        <v/>
      </c>
      <c r="F3515" s="102" t="str">
        <f ca="1">IFERROR(__xludf.DUMMYFUNCTION("IMPORTRANGE(H3515,""IDENTITAS UNIT!D9"")"),"#N/A")</f>
        <v>#N/A</v>
      </c>
      <c r="H3515" s="4" t="str">
        <v/>
      </c>
      <c r="I3515" s="4" t="str">
        <v/>
      </c>
    </row>
    <row r="3516" spans="5:9" ht="16.5" hidden="1">
      <c r="E3516" s="4" t="str">
        <v/>
      </c>
      <c r="F3516" s="102" t="str">
        <f ca="1">IFERROR(__xludf.DUMMYFUNCTION("IMPORTRANGE(H3516,""IDENTITAS UNIT!D9"")"),"#N/A")</f>
        <v>#N/A</v>
      </c>
      <c r="H3516" s="4" t="str">
        <v/>
      </c>
      <c r="I3516" s="4" t="str">
        <v/>
      </c>
    </row>
    <row r="3517" spans="5:9" ht="16.5" hidden="1">
      <c r="E3517" s="4" t="str">
        <v/>
      </c>
      <c r="F3517" s="102" t="str">
        <f ca="1">IFERROR(__xludf.DUMMYFUNCTION("IMPORTRANGE(H3517,""IDENTITAS UNIT!D9"")"),"#N/A")</f>
        <v>#N/A</v>
      </c>
      <c r="H3517" s="4" t="str">
        <v/>
      </c>
      <c r="I3517" s="4" t="str">
        <v/>
      </c>
    </row>
    <row r="3518" spans="5:9" ht="16.5" hidden="1">
      <c r="E3518" s="4" t="str">
        <v/>
      </c>
      <c r="F3518" s="102" t="str">
        <f ca="1">IFERROR(__xludf.DUMMYFUNCTION("IMPORTRANGE(H3518,""IDENTITAS UNIT!D9"")"),"#N/A")</f>
        <v>#N/A</v>
      </c>
      <c r="H3518" s="4" t="str">
        <v/>
      </c>
      <c r="I3518" s="4" t="str">
        <v/>
      </c>
    </row>
    <row r="3519" spans="5:9" ht="16.5" hidden="1">
      <c r="E3519" s="4" t="str">
        <v/>
      </c>
      <c r="F3519" s="102" t="str">
        <f ca="1">IFERROR(__xludf.DUMMYFUNCTION("IMPORTRANGE(H3519,""IDENTITAS UNIT!D9"")"),"#N/A")</f>
        <v>#N/A</v>
      </c>
      <c r="H3519" s="4" t="str">
        <v/>
      </c>
      <c r="I3519" s="4" t="str">
        <v/>
      </c>
    </row>
    <row r="3520" spans="5:9" ht="16.5" hidden="1">
      <c r="E3520" s="4" t="str">
        <v/>
      </c>
      <c r="F3520" s="102" t="str">
        <f ca="1">IFERROR(__xludf.DUMMYFUNCTION("IMPORTRANGE(H3520,""IDENTITAS UNIT!D9"")"),"#N/A")</f>
        <v>#N/A</v>
      </c>
      <c r="H3520" s="4" t="str">
        <v/>
      </c>
      <c r="I3520" s="4" t="str">
        <v/>
      </c>
    </row>
    <row r="3521" spans="5:9" ht="16.5" hidden="1">
      <c r="E3521" s="4" t="str">
        <v/>
      </c>
      <c r="F3521" s="102" t="str">
        <f ca="1">IFERROR(__xludf.DUMMYFUNCTION("IMPORTRANGE(H3521,""IDENTITAS UNIT!D9"")"),"#N/A")</f>
        <v>#N/A</v>
      </c>
      <c r="H3521" s="4" t="str">
        <v/>
      </c>
      <c r="I3521" s="4" t="str">
        <v/>
      </c>
    </row>
    <row r="3522" spans="5:9" ht="16.5" hidden="1">
      <c r="E3522" s="4" t="str">
        <v/>
      </c>
      <c r="F3522" s="102" t="str">
        <f ca="1">IFERROR(__xludf.DUMMYFUNCTION("IMPORTRANGE(H3522,""IDENTITAS UNIT!D9"")"),"#N/A")</f>
        <v>#N/A</v>
      </c>
      <c r="H3522" s="4" t="str">
        <v/>
      </c>
      <c r="I3522" s="4" t="str">
        <v/>
      </c>
    </row>
    <row r="3523" spans="5:9" ht="16.5" hidden="1">
      <c r="E3523" s="4" t="str">
        <v/>
      </c>
      <c r="F3523" s="102" t="str">
        <f ca="1">IFERROR(__xludf.DUMMYFUNCTION("IMPORTRANGE(H3523,""IDENTITAS UNIT!D9"")"),"#N/A")</f>
        <v>#N/A</v>
      </c>
      <c r="H3523" s="4" t="str">
        <v/>
      </c>
      <c r="I3523" s="4" t="str">
        <v/>
      </c>
    </row>
    <row r="3524" spans="5:9" ht="16.5" hidden="1">
      <c r="E3524" s="4" t="str">
        <v/>
      </c>
      <c r="F3524" s="102" t="str">
        <f ca="1">IFERROR(__xludf.DUMMYFUNCTION("IMPORTRANGE(H3524,""IDENTITAS UNIT!D9"")"),"#N/A")</f>
        <v>#N/A</v>
      </c>
      <c r="H3524" s="4" t="str">
        <v/>
      </c>
      <c r="I3524" s="4" t="str">
        <v/>
      </c>
    </row>
    <row r="3525" spans="5:9" ht="16.5" hidden="1">
      <c r="E3525" s="4" t="str">
        <v/>
      </c>
      <c r="F3525" s="102" t="str">
        <f ca="1">IFERROR(__xludf.DUMMYFUNCTION("IMPORTRANGE(H3525,""IDENTITAS UNIT!D9"")"),"#N/A")</f>
        <v>#N/A</v>
      </c>
      <c r="H3525" s="4" t="str">
        <v/>
      </c>
      <c r="I3525" s="4" t="str">
        <v/>
      </c>
    </row>
    <row r="3526" spans="5:9" ht="16.5" hidden="1">
      <c r="E3526" s="4" t="str">
        <v/>
      </c>
      <c r="F3526" s="102" t="str">
        <f ca="1">IFERROR(__xludf.DUMMYFUNCTION("IMPORTRANGE(H3526,""IDENTITAS UNIT!D9"")"),"#N/A")</f>
        <v>#N/A</v>
      </c>
      <c r="H3526" s="4" t="str">
        <v/>
      </c>
      <c r="I3526" s="4" t="str">
        <v/>
      </c>
    </row>
    <row r="3527" spans="5:9" ht="16.5" hidden="1">
      <c r="E3527" s="4" t="str">
        <v/>
      </c>
      <c r="F3527" s="102" t="str">
        <f ca="1">IFERROR(__xludf.DUMMYFUNCTION("IMPORTRANGE(H3527,""IDENTITAS UNIT!D9"")"),"#N/A")</f>
        <v>#N/A</v>
      </c>
      <c r="H3527" s="4" t="str">
        <v/>
      </c>
      <c r="I3527" s="4" t="str">
        <v/>
      </c>
    </row>
    <row r="3528" spans="5:9" ht="16.5" hidden="1">
      <c r="E3528" s="4" t="str">
        <v/>
      </c>
      <c r="F3528" s="102" t="str">
        <f ca="1">IFERROR(__xludf.DUMMYFUNCTION("IMPORTRANGE(H3528,""IDENTITAS UNIT!D9"")"),"#N/A")</f>
        <v>#N/A</v>
      </c>
      <c r="H3528" s="4" t="str">
        <v/>
      </c>
      <c r="I3528" s="4" t="str">
        <v/>
      </c>
    </row>
    <row r="3529" spans="5:9" ht="16.5" hidden="1">
      <c r="E3529" s="4" t="str">
        <v/>
      </c>
      <c r="F3529" s="102" t="str">
        <f ca="1">IFERROR(__xludf.DUMMYFUNCTION("IMPORTRANGE(H3529,""IDENTITAS UNIT!D9"")"),"#N/A")</f>
        <v>#N/A</v>
      </c>
      <c r="H3529" s="4" t="str">
        <v/>
      </c>
      <c r="I3529" s="4" t="str">
        <v/>
      </c>
    </row>
    <row r="3530" spans="5:9" ht="16.5" hidden="1">
      <c r="E3530" s="4" t="str">
        <v/>
      </c>
      <c r="F3530" s="102" t="str">
        <f ca="1">IFERROR(__xludf.DUMMYFUNCTION("IMPORTRANGE(H3530,""IDENTITAS UNIT!D9"")"),"#N/A")</f>
        <v>#N/A</v>
      </c>
      <c r="H3530" s="4" t="str">
        <v/>
      </c>
      <c r="I3530" s="4" t="str">
        <v/>
      </c>
    </row>
    <row r="3531" spans="5:9" ht="16.5" hidden="1">
      <c r="E3531" s="4" t="str">
        <v/>
      </c>
      <c r="F3531" s="102" t="str">
        <f ca="1">IFERROR(__xludf.DUMMYFUNCTION("IMPORTRANGE(H3531,""IDENTITAS UNIT!D9"")"),"#N/A")</f>
        <v>#N/A</v>
      </c>
      <c r="H3531" s="4" t="str">
        <v/>
      </c>
      <c r="I3531" s="4" t="str">
        <v/>
      </c>
    </row>
    <row r="3532" spans="5:9" ht="16.5" hidden="1">
      <c r="E3532" s="4" t="str">
        <v/>
      </c>
      <c r="F3532" s="102" t="str">
        <f ca="1">IFERROR(__xludf.DUMMYFUNCTION("IMPORTRANGE(H3532,""IDENTITAS UNIT!D9"")"),"#N/A")</f>
        <v>#N/A</v>
      </c>
      <c r="H3532" s="4" t="str">
        <v/>
      </c>
      <c r="I3532" s="4" t="str">
        <v/>
      </c>
    </row>
    <row r="3533" spans="5:9" ht="16.5" hidden="1">
      <c r="E3533" s="4" t="str">
        <v/>
      </c>
      <c r="F3533" s="102" t="str">
        <f ca="1">IFERROR(__xludf.DUMMYFUNCTION("IMPORTRANGE(H3533,""IDENTITAS UNIT!D9"")"),"#N/A")</f>
        <v>#N/A</v>
      </c>
      <c r="H3533" s="4" t="str">
        <v/>
      </c>
      <c r="I3533" s="4" t="str">
        <v/>
      </c>
    </row>
    <row r="3534" spans="5:9" ht="16.5" hidden="1">
      <c r="E3534" s="4" t="str">
        <v/>
      </c>
      <c r="F3534" s="102" t="str">
        <f ca="1">IFERROR(__xludf.DUMMYFUNCTION("IMPORTRANGE(H3534,""IDENTITAS UNIT!D9"")"),"#N/A")</f>
        <v>#N/A</v>
      </c>
      <c r="H3534" s="4" t="str">
        <v/>
      </c>
      <c r="I3534" s="4" t="str">
        <v/>
      </c>
    </row>
    <row r="3535" spans="5:9" ht="16.5" hidden="1">
      <c r="E3535" s="4" t="str">
        <v/>
      </c>
      <c r="F3535" s="102" t="str">
        <f ca="1">IFERROR(__xludf.DUMMYFUNCTION("IMPORTRANGE(H3535,""IDENTITAS UNIT!D9"")"),"#N/A")</f>
        <v>#N/A</v>
      </c>
      <c r="H3535" s="4" t="str">
        <v/>
      </c>
      <c r="I3535" s="4" t="str">
        <v/>
      </c>
    </row>
    <row r="3536" spans="5:9" ht="16.5" hidden="1">
      <c r="E3536" s="4" t="str">
        <v/>
      </c>
      <c r="F3536" s="102" t="str">
        <f ca="1">IFERROR(__xludf.DUMMYFUNCTION("IMPORTRANGE(H3536,""IDENTITAS UNIT!D9"")"),"#N/A")</f>
        <v>#N/A</v>
      </c>
      <c r="H3536" s="4" t="str">
        <v/>
      </c>
      <c r="I3536" s="4" t="str">
        <v/>
      </c>
    </row>
    <row r="3537" spans="5:9" ht="16.5" hidden="1">
      <c r="E3537" s="4" t="str">
        <v/>
      </c>
      <c r="F3537" s="102" t="str">
        <f ca="1">IFERROR(__xludf.DUMMYFUNCTION("IMPORTRANGE(H3537,""IDENTITAS UNIT!D9"")"),"#N/A")</f>
        <v>#N/A</v>
      </c>
      <c r="H3537" s="4" t="str">
        <v/>
      </c>
      <c r="I3537" s="4" t="str">
        <v/>
      </c>
    </row>
    <row r="3538" spans="5:9" ht="16.5" hidden="1">
      <c r="E3538" s="4" t="str">
        <v/>
      </c>
      <c r="F3538" s="102" t="str">
        <f ca="1">IFERROR(__xludf.DUMMYFUNCTION("IMPORTRANGE(H3538,""IDENTITAS UNIT!D9"")"),"#N/A")</f>
        <v>#N/A</v>
      </c>
      <c r="H3538" s="4" t="str">
        <v/>
      </c>
      <c r="I3538" s="4" t="str">
        <v/>
      </c>
    </row>
    <row r="3539" spans="5:9" ht="16.5" hidden="1">
      <c r="E3539" s="4" t="str">
        <v/>
      </c>
      <c r="F3539" s="102" t="str">
        <f ca="1">IFERROR(__xludf.DUMMYFUNCTION("IMPORTRANGE(H3539,""IDENTITAS UNIT!D9"")"),"#N/A")</f>
        <v>#N/A</v>
      </c>
      <c r="H3539" s="4" t="str">
        <v/>
      </c>
      <c r="I3539" s="4" t="str">
        <v/>
      </c>
    </row>
    <row r="3540" spans="5:9" ht="16.5" hidden="1">
      <c r="E3540" s="4" t="str">
        <v/>
      </c>
      <c r="F3540" s="102" t="str">
        <f ca="1">IFERROR(__xludf.DUMMYFUNCTION("IMPORTRANGE(H3540,""IDENTITAS UNIT!D9"")"),"#N/A")</f>
        <v>#N/A</v>
      </c>
      <c r="H3540" s="4" t="str">
        <v/>
      </c>
      <c r="I3540" s="4" t="str">
        <v/>
      </c>
    </row>
    <row r="3541" spans="5:9" ht="16.5" hidden="1">
      <c r="E3541" s="4" t="str">
        <v/>
      </c>
      <c r="F3541" s="102" t="str">
        <f ca="1">IFERROR(__xludf.DUMMYFUNCTION("IMPORTRANGE(H3541,""IDENTITAS UNIT!D9"")"),"#N/A")</f>
        <v>#N/A</v>
      </c>
      <c r="H3541" s="4" t="str">
        <v/>
      </c>
      <c r="I3541" s="4" t="str">
        <v/>
      </c>
    </row>
    <row r="3542" spans="5:9" ht="16.5" hidden="1">
      <c r="E3542" s="4" t="str">
        <v/>
      </c>
      <c r="F3542" s="102" t="str">
        <f ca="1">IFERROR(__xludf.DUMMYFUNCTION("IMPORTRANGE(H3542,""IDENTITAS UNIT!D9"")"),"#N/A")</f>
        <v>#N/A</v>
      </c>
      <c r="H3542" s="4" t="str">
        <v/>
      </c>
      <c r="I3542" s="4" t="str">
        <v/>
      </c>
    </row>
    <row r="3543" spans="5:9" ht="16.5" hidden="1">
      <c r="E3543" s="4" t="str">
        <v/>
      </c>
      <c r="F3543" s="102" t="str">
        <f ca="1">IFERROR(__xludf.DUMMYFUNCTION("IMPORTRANGE(H3543,""IDENTITAS UNIT!D9"")"),"#N/A")</f>
        <v>#N/A</v>
      </c>
      <c r="H3543" s="4" t="str">
        <v/>
      </c>
      <c r="I3543" s="4" t="str">
        <v/>
      </c>
    </row>
    <row r="3544" spans="5:9" ht="16.5" hidden="1">
      <c r="E3544" s="4" t="str">
        <v/>
      </c>
      <c r="F3544" s="102" t="str">
        <f ca="1">IFERROR(__xludf.DUMMYFUNCTION("IMPORTRANGE(H3544,""IDENTITAS UNIT!D9"")"),"#N/A")</f>
        <v>#N/A</v>
      </c>
      <c r="H3544" s="4" t="str">
        <v/>
      </c>
      <c r="I3544" s="4" t="str">
        <v/>
      </c>
    </row>
    <row r="3545" spans="5:9" ht="16.5" hidden="1">
      <c r="E3545" s="4" t="str">
        <v/>
      </c>
      <c r="F3545" s="102" t="str">
        <f ca="1">IFERROR(__xludf.DUMMYFUNCTION("IMPORTRANGE(H3545,""IDENTITAS UNIT!D9"")"),"#N/A")</f>
        <v>#N/A</v>
      </c>
      <c r="H3545" s="4" t="str">
        <v/>
      </c>
      <c r="I3545" s="4" t="str">
        <v/>
      </c>
    </row>
    <row r="3546" spans="5:9" ht="16.5" hidden="1">
      <c r="E3546" s="4" t="str">
        <v/>
      </c>
      <c r="F3546" s="102" t="str">
        <f ca="1">IFERROR(__xludf.DUMMYFUNCTION("IMPORTRANGE(H3546,""IDENTITAS UNIT!D9"")"),"#N/A")</f>
        <v>#N/A</v>
      </c>
      <c r="H3546" s="4" t="str">
        <v/>
      </c>
      <c r="I3546" s="4" t="str">
        <v/>
      </c>
    </row>
    <row r="3547" spans="5:9" ht="16.5" hidden="1">
      <c r="E3547" s="4" t="str">
        <v/>
      </c>
      <c r="F3547" s="102" t="str">
        <f ca="1">IFERROR(__xludf.DUMMYFUNCTION("IMPORTRANGE(H3547,""IDENTITAS UNIT!D9"")"),"#N/A")</f>
        <v>#N/A</v>
      </c>
      <c r="H3547" s="4" t="str">
        <v/>
      </c>
      <c r="I3547" s="4" t="str">
        <v/>
      </c>
    </row>
    <row r="3548" spans="5:9" ht="16.5" hidden="1">
      <c r="E3548" s="4" t="str">
        <v/>
      </c>
      <c r="F3548" s="102" t="str">
        <f ca="1">IFERROR(__xludf.DUMMYFUNCTION("IMPORTRANGE(H3548,""IDENTITAS UNIT!D9"")"),"#N/A")</f>
        <v>#N/A</v>
      </c>
      <c r="H3548" s="4" t="str">
        <v/>
      </c>
      <c r="I3548" s="4" t="str">
        <v/>
      </c>
    </row>
    <row r="3549" spans="5:9" ht="16.5" hidden="1">
      <c r="E3549" s="4" t="str">
        <v/>
      </c>
      <c r="F3549" s="102" t="str">
        <f ca="1">IFERROR(__xludf.DUMMYFUNCTION("IMPORTRANGE(H3549,""IDENTITAS UNIT!D9"")"),"#N/A")</f>
        <v>#N/A</v>
      </c>
      <c r="H3549" s="4" t="str">
        <v/>
      </c>
      <c r="I3549" s="4" t="str">
        <v/>
      </c>
    </row>
    <row r="3550" spans="5:9" ht="16.5" hidden="1">
      <c r="E3550" s="4" t="str">
        <v/>
      </c>
      <c r="F3550" s="102" t="str">
        <f ca="1">IFERROR(__xludf.DUMMYFUNCTION("IMPORTRANGE(H3550,""IDENTITAS UNIT!D9"")"),"#N/A")</f>
        <v>#N/A</v>
      </c>
      <c r="H3550" s="4" t="str">
        <v/>
      </c>
      <c r="I3550" s="4" t="str">
        <v/>
      </c>
    </row>
    <row r="3551" spans="5:9" ht="16.5" hidden="1">
      <c r="E3551" s="4" t="str">
        <v/>
      </c>
      <c r="F3551" s="102" t="str">
        <f ca="1">IFERROR(__xludf.DUMMYFUNCTION("IMPORTRANGE(H3551,""IDENTITAS UNIT!D9"")"),"#N/A")</f>
        <v>#N/A</v>
      </c>
      <c r="H3551" s="4" t="str">
        <v/>
      </c>
      <c r="I3551" s="4" t="str">
        <v/>
      </c>
    </row>
    <row r="3552" spans="5:9" ht="16.5" hidden="1">
      <c r="E3552" s="4" t="str">
        <v/>
      </c>
      <c r="F3552" s="102" t="str">
        <f ca="1">IFERROR(__xludf.DUMMYFUNCTION("IMPORTRANGE(H3552,""IDENTITAS UNIT!D9"")"),"#N/A")</f>
        <v>#N/A</v>
      </c>
      <c r="H3552" s="4" t="str">
        <v/>
      </c>
      <c r="I3552" s="4" t="str">
        <v/>
      </c>
    </row>
    <row r="3553" spans="5:9" ht="16.5" hidden="1">
      <c r="E3553" s="4" t="str">
        <v/>
      </c>
      <c r="F3553" s="102" t="str">
        <f ca="1">IFERROR(__xludf.DUMMYFUNCTION("IMPORTRANGE(H3553,""IDENTITAS UNIT!D9"")"),"#N/A")</f>
        <v>#N/A</v>
      </c>
      <c r="H3553" s="4" t="str">
        <v/>
      </c>
      <c r="I3553" s="4" t="str">
        <v/>
      </c>
    </row>
    <row r="3554" spans="5:9" ht="16.5" hidden="1">
      <c r="E3554" s="4" t="str">
        <v/>
      </c>
      <c r="F3554" s="102" t="str">
        <f ca="1">IFERROR(__xludf.DUMMYFUNCTION("IMPORTRANGE(H3554,""IDENTITAS UNIT!D9"")"),"#N/A")</f>
        <v>#N/A</v>
      </c>
      <c r="H3554" s="4" t="str">
        <v/>
      </c>
      <c r="I3554" s="4" t="str">
        <v/>
      </c>
    </row>
    <row r="3555" spans="5:9" ht="16.5" hidden="1">
      <c r="E3555" s="4" t="str">
        <v/>
      </c>
      <c r="F3555" s="102" t="str">
        <f ca="1">IFERROR(__xludf.DUMMYFUNCTION("IMPORTRANGE(H3555,""IDENTITAS UNIT!D9"")"),"#N/A")</f>
        <v>#N/A</v>
      </c>
      <c r="H3555" s="4" t="str">
        <v/>
      </c>
      <c r="I3555" s="4" t="str">
        <v/>
      </c>
    </row>
    <row r="3556" spans="5:9" ht="16.5" hidden="1">
      <c r="E3556" s="4" t="str">
        <v/>
      </c>
      <c r="F3556" s="102" t="str">
        <f ca="1">IFERROR(__xludf.DUMMYFUNCTION("IMPORTRANGE(H3556,""IDENTITAS UNIT!D9"")"),"#N/A")</f>
        <v>#N/A</v>
      </c>
      <c r="H3556" s="4" t="str">
        <v/>
      </c>
      <c r="I3556" s="4" t="str">
        <v/>
      </c>
    </row>
    <row r="3557" spans="5:9" ht="16.5" hidden="1">
      <c r="E3557" s="4" t="str">
        <v/>
      </c>
      <c r="F3557" s="102" t="str">
        <f ca="1">IFERROR(__xludf.DUMMYFUNCTION("IMPORTRANGE(H3557,""IDENTITAS UNIT!D9"")"),"#N/A")</f>
        <v>#N/A</v>
      </c>
      <c r="H3557" s="4" t="str">
        <v/>
      </c>
      <c r="I3557" s="4" t="str">
        <v/>
      </c>
    </row>
    <row r="3558" spans="5:9" ht="16.5" hidden="1">
      <c r="E3558" s="4" t="str">
        <v/>
      </c>
      <c r="F3558" s="102" t="str">
        <f ca="1">IFERROR(__xludf.DUMMYFUNCTION("IMPORTRANGE(H3558,""IDENTITAS UNIT!D9"")"),"#N/A")</f>
        <v>#N/A</v>
      </c>
      <c r="H3558" s="4" t="str">
        <v/>
      </c>
      <c r="I3558" s="4" t="str">
        <v/>
      </c>
    </row>
    <row r="3559" spans="5:9" ht="16.5" hidden="1">
      <c r="E3559" s="4" t="str">
        <v/>
      </c>
      <c r="F3559" s="102" t="str">
        <f ca="1">IFERROR(__xludf.DUMMYFUNCTION("IMPORTRANGE(H3559,""IDENTITAS UNIT!D9"")"),"#N/A")</f>
        <v>#N/A</v>
      </c>
      <c r="H3559" s="4" t="str">
        <v/>
      </c>
      <c r="I3559" s="4" t="str">
        <v/>
      </c>
    </row>
    <row r="3560" spans="5:9" ht="16.5" hidden="1">
      <c r="E3560" s="4" t="str">
        <v/>
      </c>
      <c r="F3560" s="102" t="str">
        <f ca="1">IFERROR(__xludf.DUMMYFUNCTION("IMPORTRANGE(H3560,""IDENTITAS UNIT!D9"")"),"#N/A")</f>
        <v>#N/A</v>
      </c>
      <c r="H3560" s="4" t="str">
        <v/>
      </c>
      <c r="I3560" s="4" t="str">
        <v/>
      </c>
    </row>
    <row r="3561" spans="5:9" ht="16.5" hidden="1">
      <c r="E3561" s="4" t="str">
        <v/>
      </c>
      <c r="F3561" s="102" t="str">
        <f ca="1">IFERROR(__xludf.DUMMYFUNCTION("IMPORTRANGE(H3561,""IDENTITAS UNIT!D9"")"),"#N/A")</f>
        <v>#N/A</v>
      </c>
      <c r="H3561" s="4" t="str">
        <v/>
      </c>
      <c r="I3561" s="4" t="str">
        <v/>
      </c>
    </row>
    <row r="3562" spans="5:9" ht="16.5" hidden="1">
      <c r="E3562" s="4" t="str">
        <v/>
      </c>
      <c r="F3562" s="102" t="str">
        <f ca="1">IFERROR(__xludf.DUMMYFUNCTION("IMPORTRANGE(H3562,""IDENTITAS UNIT!D9"")"),"#N/A")</f>
        <v>#N/A</v>
      </c>
      <c r="H3562" s="4" t="str">
        <v/>
      </c>
      <c r="I3562" s="4" t="str">
        <v/>
      </c>
    </row>
    <row r="3563" spans="5:9" ht="16.5" hidden="1">
      <c r="E3563" s="4" t="str">
        <v/>
      </c>
      <c r="F3563" s="102" t="str">
        <f ca="1">IFERROR(__xludf.DUMMYFUNCTION("IMPORTRANGE(H3563,""IDENTITAS UNIT!D9"")"),"#N/A")</f>
        <v>#N/A</v>
      </c>
      <c r="H3563" s="4" t="str">
        <v/>
      </c>
      <c r="I3563" s="4" t="str">
        <v/>
      </c>
    </row>
    <row r="3564" spans="5:9" ht="16.5" hidden="1">
      <c r="E3564" s="4" t="str">
        <v/>
      </c>
      <c r="F3564" s="102" t="str">
        <f ca="1">IFERROR(__xludf.DUMMYFUNCTION("IMPORTRANGE(H3564,""IDENTITAS UNIT!D9"")"),"#N/A")</f>
        <v>#N/A</v>
      </c>
      <c r="H3564" s="4" t="str">
        <v/>
      </c>
      <c r="I3564" s="4" t="str">
        <v/>
      </c>
    </row>
    <row r="3565" spans="5:9" ht="16.5" hidden="1">
      <c r="E3565" s="4" t="str">
        <v/>
      </c>
      <c r="F3565" s="102" t="str">
        <f ca="1">IFERROR(__xludf.DUMMYFUNCTION("IMPORTRANGE(H3565,""IDENTITAS UNIT!D9"")"),"#N/A")</f>
        <v>#N/A</v>
      </c>
      <c r="H3565" s="4" t="str">
        <v/>
      </c>
      <c r="I3565" s="4" t="str">
        <v/>
      </c>
    </row>
    <row r="3566" spans="5:9" ht="16.5" hidden="1">
      <c r="E3566" s="4" t="str">
        <v/>
      </c>
      <c r="F3566" s="102" t="str">
        <f ca="1">IFERROR(__xludf.DUMMYFUNCTION("IMPORTRANGE(H3566,""IDENTITAS UNIT!D9"")"),"#N/A")</f>
        <v>#N/A</v>
      </c>
      <c r="H3566" s="4" t="str">
        <v/>
      </c>
      <c r="I3566" s="4" t="str">
        <v/>
      </c>
    </row>
    <row r="3567" spans="5:9" ht="16.5" hidden="1">
      <c r="E3567" s="4" t="str">
        <v/>
      </c>
      <c r="F3567" s="102" t="str">
        <f ca="1">IFERROR(__xludf.DUMMYFUNCTION("IMPORTRANGE(H3567,""IDENTITAS UNIT!D9"")"),"#N/A")</f>
        <v>#N/A</v>
      </c>
      <c r="H3567" s="4" t="str">
        <v/>
      </c>
      <c r="I3567" s="4" t="str">
        <v/>
      </c>
    </row>
    <row r="3568" spans="5:9" ht="16.5" hidden="1">
      <c r="E3568" s="4" t="str">
        <v/>
      </c>
      <c r="F3568" s="102" t="str">
        <f ca="1">IFERROR(__xludf.DUMMYFUNCTION("IMPORTRANGE(H3568,""IDENTITAS UNIT!D9"")"),"#N/A")</f>
        <v>#N/A</v>
      </c>
      <c r="H3568" s="4" t="str">
        <v/>
      </c>
      <c r="I3568" s="4" t="str">
        <v/>
      </c>
    </row>
    <row r="3569" spans="5:9" ht="16.5" hidden="1">
      <c r="E3569" s="4" t="str">
        <v/>
      </c>
      <c r="F3569" s="102" t="str">
        <f ca="1">IFERROR(__xludf.DUMMYFUNCTION("IMPORTRANGE(H3569,""IDENTITAS UNIT!D9"")"),"#N/A")</f>
        <v>#N/A</v>
      </c>
      <c r="H3569" s="4" t="str">
        <v/>
      </c>
      <c r="I3569" s="4" t="str">
        <v/>
      </c>
    </row>
    <row r="3570" spans="5:9" ht="16.5" hidden="1">
      <c r="E3570" s="4" t="str">
        <v/>
      </c>
      <c r="F3570" s="102" t="str">
        <f ca="1">IFERROR(__xludf.DUMMYFUNCTION("IMPORTRANGE(H3570,""IDENTITAS UNIT!D9"")"),"#N/A")</f>
        <v>#N/A</v>
      </c>
      <c r="H3570" s="4" t="str">
        <v/>
      </c>
      <c r="I3570" s="4" t="str">
        <v/>
      </c>
    </row>
    <row r="3571" spans="5:9" ht="16.5" hidden="1">
      <c r="E3571" s="4" t="str">
        <v/>
      </c>
      <c r="F3571" s="102" t="str">
        <f ca="1">IFERROR(__xludf.DUMMYFUNCTION("IMPORTRANGE(H3571,""IDENTITAS UNIT!D9"")"),"#N/A")</f>
        <v>#N/A</v>
      </c>
      <c r="H3571" s="4" t="str">
        <v/>
      </c>
      <c r="I3571" s="4" t="str">
        <v/>
      </c>
    </row>
    <row r="3572" spans="5:9" ht="16.5" hidden="1">
      <c r="E3572" s="4" t="str">
        <v/>
      </c>
      <c r="F3572" s="102" t="str">
        <f ca="1">IFERROR(__xludf.DUMMYFUNCTION("IMPORTRANGE(H3572,""IDENTITAS UNIT!D9"")"),"#N/A")</f>
        <v>#N/A</v>
      </c>
      <c r="H3572" s="4" t="str">
        <v/>
      </c>
      <c r="I3572" s="4" t="str">
        <v/>
      </c>
    </row>
    <row r="3573" spans="5:9" ht="16.5" hidden="1">
      <c r="E3573" s="4" t="str">
        <v/>
      </c>
      <c r="F3573" s="102" t="str">
        <f ca="1">IFERROR(__xludf.DUMMYFUNCTION("IMPORTRANGE(H3573,""IDENTITAS UNIT!D9"")"),"#N/A")</f>
        <v>#N/A</v>
      </c>
      <c r="H3573" s="4" t="str">
        <v/>
      </c>
      <c r="I3573" s="4" t="str">
        <v/>
      </c>
    </row>
    <row r="3574" spans="5:9" ht="16.5" hidden="1">
      <c r="E3574" s="4" t="str">
        <v/>
      </c>
      <c r="F3574" s="102" t="str">
        <f ca="1">IFERROR(__xludf.DUMMYFUNCTION("IMPORTRANGE(H3574,""IDENTITAS UNIT!D9"")"),"#N/A")</f>
        <v>#N/A</v>
      </c>
      <c r="H3574" s="4" t="str">
        <v/>
      </c>
      <c r="I3574" s="4" t="str">
        <v/>
      </c>
    </row>
    <row r="3575" spans="5:9" ht="16.5" hidden="1">
      <c r="E3575" s="4" t="str">
        <v/>
      </c>
      <c r="F3575" s="102" t="str">
        <f ca="1">IFERROR(__xludf.DUMMYFUNCTION("IMPORTRANGE(H3575,""IDENTITAS UNIT!D9"")"),"#N/A")</f>
        <v>#N/A</v>
      </c>
      <c r="H3575" s="4" t="str">
        <v/>
      </c>
      <c r="I3575" s="4" t="str">
        <v/>
      </c>
    </row>
    <row r="3576" spans="5:9" ht="16.5" hidden="1">
      <c r="E3576" s="4" t="str">
        <v/>
      </c>
      <c r="F3576" s="102" t="str">
        <f ca="1">IFERROR(__xludf.DUMMYFUNCTION("IMPORTRANGE(H3576,""IDENTITAS UNIT!D9"")"),"#N/A")</f>
        <v>#N/A</v>
      </c>
      <c r="H3576" s="4" t="str">
        <v/>
      </c>
      <c r="I3576" s="4" t="str">
        <v/>
      </c>
    </row>
    <row r="3577" spans="5:9" ht="16.5" hidden="1">
      <c r="E3577" s="4" t="str">
        <v/>
      </c>
      <c r="F3577" s="102" t="str">
        <f ca="1">IFERROR(__xludf.DUMMYFUNCTION("IMPORTRANGE(H3577,""IDENTITAS UNIT!D9"")"),"#N/A")</f>
        <v>#N/A</v>
      </c>
      <c r="H3577" s="4" t="str">
        <v/>
      </c>
      <c r="I3577" s="4" t="str">
        <v/>
      </c>
    </row>
    <row r="3578" spans="5:9" ht="16.5" hidden="1">
      <c r="E3578" s="4" t="str">
        <v/>
      </c>
      <c r="F3578" s="102" t="str">
        <f ca="1">IFERROR(__xludf.DUMMYFUNCTION("IMPORTRANGE(H3578,""IDENTITAS UNIT!D9"")"),"#N/A")</f>
        <v>#N/A</v>
      </c>
      <c r="H3578" s="4" t="str">
        <v/>
      </c>
      <c r="I3578" s="4" t="str">
        <v/>
      </c>
    </row>
    <row r="3579" spans="5:9" ht="16.5" hidden="1">
      <c r="E3579" s="4" t="str">
        <v/>
      </c>
      <c r="F3579" s="102" t="str">
        <f ca="1">IFERROR(__xludf.DUMMYFUNCTION("IMPORTRANGE(H3579,""IDENTITAS UNIT!D9"")"),"#N/A")</f>
        <v>#N/A</v>
      </c>
      <c r="H3579" s="4" t="str">
        <v/>
      </c>
      <c r="I3579" s="4" t="str">
        <v/>
      </c>
    </row>
    <row r="3580" spans="5:9" ht="16.5" hidden="1">
      <c r="E3580" s="4" t="str">
        <v/>
      </c>
      <c r="F3580" s="102" t="str">
        <f ca="1">IFERROR(__xludf.DUMMYFUNCTION("IMPORTRANGE(H3580,""IDENTITAS UNIT!D9"")"),"#N/A")</f>
        <v>#N/A</v>
      </c>
      <c r="H3580" s="4" t="str">
        <v/>
      </c>
      <c r="I3580" s="4" t="str">
        <v/>
      </c>
    </row>
    <row r="3581" spans="5:9" ht="16.5" hidden="1">
      <c r="E3581" s="4" t="str">
        <v/>
      </c>
      <c r="F3581" s="102" t="str">
        <f ca="1">IFERROR(__xludf.DUMMYFUNCTION("IMPORTRANGE(H3581,""IDENTITAS UNIT!D9"")"),"#N/A")</f>
        <v>#N/A</v>
      </c>
      <c r="H3581" s="4" t="str">
        <v/>
      </c>
      <c r="I3581" s="4" t="str">
        <v/>
      </c>
    </row>
    <row r="3582" spans="5:9" ht="16.5" hidden="1">
      <c r="E3582" s="4" t="str">
        <v/>
      </c>
      <c r="F3582" s="102" t="str">
        <f ca="1">IFERROR(__xludf.DUMMYFUNCTION("IMPORTRANGE(H3582,""IDENTITAS UNIT!D9"")"),"#N/A")</f>
        <v>#N/A</v>
      </c>
      <c r="H3582" s="4" t="str">
        <v/>
      </c>
      <c r="I3582" s="4" t="str">
        <v/>
      </c>
    </row>
    <row r="3583" spans="5:9" ht="16.5" hidden="1">
      <c r="E3583" s="4" t="str">
        <v/>
      </c>
      <c r="F3583" s="102" t="str">
        <f ca="1">IFERROR(__xludf.DUMMYFUNCTION("IMPORTRANGE(H3583,""IDENTITAS UNIT!D9"")"),"#N/A")</f>
        <v>#N/A</v>
      </c>
      <c r="H3583" s="4" t="str">
        <v/>
      </c>
      <c r="I3583" s="4" t="str">
        <v/>
      </c>
    </row>
    <row r="3584" spans="5:9" ht="16.5" hidden="1">
      <c r="E3584" s="4" t="str">
        <v/>
      </c>
      <c r="F3584" s="102" t="str">
        <f ca="1">IFERROR(__xludf.DUMMYFUNCTION("IMPORTRANGE(H3584,""IDENTITAS UNIT!D9"")"),"#N/A")</f>
        <v>#N/A</v>
      </c>
      <c r="H3584" s="4" t="str">
        <v/>
      </c>
      <c r="I3584" s="4" t="str">
        <v/>
      </c>
    </row>
    <row r="3585" spans="5:9" ht="16.5" hidden="1">
      <c r="E3585" s="4" t="str">
        <v/>
      </c>
      <c r="F3585" s="102" t="str">
        <f ca="1">IFERROR(__xludf.DUMMYFUNCTION("IMPORTRANGE(H3585,""IDENTITAS UNIT!D9"")"),"#N/A")</f>
        <v>#N/A</v>
      </c>
      <c r="H3585" s="4" t="str">
        <v/>
      </c>
      <c r="I3585" s="4" t="str">
        <v/>
      </c>
    </row>
    <row r="3586" spans="5:9" ht="16.5" hidden="1">
      <c r="E3586" s="4" t="str">
        <v/>
      </c>
      <c r="F3586" s="102" t="str">
        <f ca="1">IFERROR(__xludf.DUMMYFUNCTION("IMPORTRANGE(H3586,""IDENTITAS UNIT!D9"")"),"#N/A")</f>
        <v>#N/A</v>
      </c>
      <c r="H3586" s="4" t="str">
        <v/>
      </c>
      <c r="I3586" s="4" t="str">
        <v/>
      </c>
    </row>
    <row r="3587" spans="5:9" ht="16.5" hidden="1">
      <c r="E3587" s="4" t="str">
        <v/>
      </c>
      <c r="F3587" s="102" t="str">
        <f ca="1">IFERROR(__xludf.DUMMYFUNCTION("IMPORTRANGE(H3587,""IDENTITAS UNIT!D9"")"),"#N/A")</f>
        <v>#N/A</v>
      </c>
      <c r="H3587" s="4" t="str">
        <v/>
      </c>
      <c r="I3587" s="4" t="str">
        <v/>
      </c>
    </row>
    <row r="3588" spans="5:9" ht="16.5" hidden="1">
      <c r="E3588" s="4" t="str">
        <v/>
      </c>
      <c r="F3588" s="102" t="str">
        <f ca="1">IFERROR(__xludf.DUMMYFUNCTION("IMPORTRANGE(H3588,""IDENTITAS UNIT!D9"")"),"#N/A")</f>
        <v>#N/A</v>
      </c>
      <c r="H3588" s="4" t="str">
        <v/>
      </c>
      <c r="I3588" s="4" t="str">
        <v/>
      </c>
    </row>
    <row r="3589" spans="5:9" ht="16.5" hidden="1">
      <c r="E3589" s="4" t="str">
        <v/>
      </c>
      <c r="F3589" s="102" t="str">
        <f ca="1">IFERROR(__xludf.DUMMYFUNCTION("IMPORTRANGE(H3589,""IDENTITAS UNIT!D9"")"),"#N/A")</f>
        <v>#N/A</v>
      </c>
      <c r="H3589" s="4" t="str">
        <v/>
      </c>
      <c r="I3589" s="4" t="str">
        <v/>
      </c>
    </row>
    <row r="3590" spans="5:9" ht="16.5" hidden="1">
      <c r="E3590" s="4" t="str">
        <v/>
      </c>
      <c r="F3590" s="102" t="str">
        <f ca="1">IFERROR(__xludf.DUMMYFUNCTION("IMPORTRANGE(H3590,""IDENTITAS UNIT!D9"")"),"#N/A")</f>
        <v>#N/A</v>
      </c>
      <c r="H3590" s="4" t="str">
        <v/>
      </c>
      <c r="I3590" s="4" t="str">
        <v/>
      </c>
    </row>
    <row r="3591" spans="5:9" ht="16.5" hidden="1">
      <c r="E3591" s="4" t="str">
        <v/>
      </c>
      <c r="F3591" s="102" t="str">
        <f ca="1">IFERROR(__xludf.DUMMYFUNCTION("IMPORTRANGE(H3591,""IDENTITAS UNIT!D9"")"),"#N/A")</f>
        <v>#N/A</v>
      </c>
      <c r="H3591" s="4" t="str">
        <v/>
      </c>
      <c r="I3591" s="4" t="str">
        <v/>
      </c>
    </row>
    <row r="3592" spans="5:9" ht="16.5" hidden="1">
      <c r="E3592" s="4" t="str">
        <v/>
      </c>
      <c r="F3592" s="102" t="str">
        <f ca="1">IFERROR(__xludf.DUMMYFUNCTION("IMPORTRANGE(H3592,""IDENTITAS UNIT!D9"")"),"#N/A")</f>
        <v>#N/A</v>
      </c>
      <c r="H3592" s="4" t="str">
        <v/>
      </c>
      <c r="I3592" s="4" t="str">
        <v/>
      </c>
    </row>
    <row r="3593" spans="5:9" ht="16.5" hidden="1">
      <c r="E3593" s="4" t="str">
        <v/>
      </c>
      <c r="F3593" s="102" t="str">
        <f ca="1">IFERROR(__xludf.DUMMYFUNCTION("IMPORTRANGE(H3593,""IDENTITAS UNIT!D9"")"),"#N/A")</f>
        <v>#N/A</v>
      </c>
      <c r="H3593" s="4" t="str">
        <v/>
      </c>
      <c r="I3593" s="4" t="str">
        <v/>
      </c>
    </row>
    <row r="3594" spans="5:9" ht="16.5" hidden="1">
      <c r="E3594" s="4" t="str">
        <v/>
      </c>
      <c r="F3594" s="102" t="str">
        <f ca="1">IFERROR(__xludf.DUMMYFUNCTION("IMPORTRANGE(H3594,""IDENTITAS UNIT!D9"")"),"#N/A")</f>
        <v>#N/A</v>
      </c>
      <c r="H3594" s="4" t="str">
        <v/>
      </c>
      <c r="I3594" s="4" t="str">
        <v/>
      </c>
    </row>
    <row r="3595" spans="5:9" ht="16.5" hidden="1">
      <c r="E3595" s="4" t="str">
        <v/>
      </c>
      <c r="F3595" s="102" t="str">
        <f ca="1">IFERROR(__xludf.DUMMYFUNCTION("IMPORTRANGE(H3595,""IDENTITAS UNIT!D9"")"),"#N/A")</f>
        <v>#N/A</v>
      </c>
      <c r="H3595" s="4" t="str">
        <v/>
      </c>
      <c r="I3595" s="4" t="str">
        <v/>
      </c>
    </row>
    <row r="3596" spans="5:9" ht="16.5" hidden="1">
      <c r="E3596" s="4" t="str">
        <v/>
      </c>
      <c r="F3596" s="102" t="str">
        <f ca="1">IFERROR(__xludf.DUMMYFUNCTION("IMPORTRANGE(H3596,""IDENTITAS UNIT!D9"")"),"#N/A")</f>
        <v>#N/A</v>
      </c>
      <c r="H3596" s="4" t="str">
        <v/>
      </c>
      <c r="I3596" s="4" t="str">
        <v/>
      </c>
    </row>
    <row r="3597" spans="5:9" ht="16.5" hidden="1">
      <c r="E3597" s="4" t="str">
        <v/>
      </c>
      <c r="F3597" s="102" t="str">
        <f ca="1">IFERROR(__xludf.DUMMYFUNCTION("IMPORTRANGE(H3597,""IDENTITAS UNIT!D9"")"),"#N/A")</f>
        <v>#N/A</v>
      </c>
      <c r="H3597" s="4" t="str">
        <v/>
      </c>
      <c r="I3597" s="4" t="str">
        <v/>
      </c>
    </row>
    <row r="3598" spans="5:9" ht="16.5" hidden="1">
      <c r="E3598" s="4" t="str">
        <v/>
      </c>
      <c r="F3598" s="102" t="str">
        <f ca="1">IFERROR(__xludf.DUMMYFUNCTION("IMPORTRANGE(H3598,""IDENTITAS UNIT!D9"")"),"#N/A")</f>
        <v>#N/A</v>
      </c>
      <c r="H3598" s="4" t="str">
        <v/>
      </c>
      <c r="I3598" s="4" t="str">
        <v/>
      </c>
    </row>
    <row r="3599" spans="5:9" ht="16.5" hidden="1">
      <c r="E3599" s="4" t="str">
        <v/>
      </c>
      <c r="F3599" s="102" t="str">
        <f ca="1">IFERROR(__xludf.DUMMYFUNCTION("IMPORTRANGE(H3599,""IDENTITAS UNIT!D9"")"),"#N/A")</f>
        <v>#N/A</v>
      </c>
      <c r="H3599" s="4" t="str">
        <v/>
      </c>
      <c r="I3599" s="4" t="str">
        <v/>
      </c>
    </row>
    <row r="3600" spans="5:9" ht="16.5" hidden="1">
      <c r="E3600" s="4" t="str">
        <v/>
      </c>
      <c r="F3600" s="102" t="str">
        <f ca="1">IFERROR(__xludf.DUMMYFUNCTION("IMPORTRANGE(H3600,""IDENTITAS UNIT!D9"")"),"#N/A")</f>
        <v>#N/A</v>
      </c>
      <c r="H3600" s="4" t="str">
        <v/>
      </c>
      <c r="I3600" s="4" t="str">
        <v/>
      </c>
    </row>
    <row r="3601" spans="5:9" ht="16.5" hidden="1">
      <c r="E3601" s="4" t="str">
        <v/>
      </c>
      <c r="F3601" s="102" t="str">
        <f ca="1">IFERROR(__xludf.DUMMYFUNCTION("IMPORTRANGE(H3601,""IDENTITAS UNIT!D9"")"),"#N/A")</f>
        <v>#N/A</v>
      </c>
      <c r="H3601" s="4" t="str">
        <v/>
      </c>
      <c r="I3601" s="4" t="str">
        <v/>
      </c>
    </row>
    <row r="3602" spans="5:9" ht="16.5" hidden="1">
      <c r="E3602" s="4" t="str">
        <v/>
      </c>
      <c r="F3602" s="102" t="str">
        <f ca="1">IFERROR(__xludf.DUMMYFUNCTION("IMPORTRANGE(H3602,""IDENTITAS UNIT!D9"")"),"#N/A")</f>
        <v>#N/A</v>
      </c>
      <c r="H3602" s="4" t="str">
        <v/>
      </c>
      <c r="I3602" s="4" t="str">
        <v/>
      </c>
    </row>
    <row r="3603" spans="5:9" ht="16.5" hidden="1">
      <c r="E3603" s="4" t="str">
        <v/>
      </c>
      <c r="F3603" s="102" t="str">
        <f ca="1">IFERROR(__xludf.DUMMYFUNCTION("IMPORTRANGE(H3603,""IDENTITAS UNIT!D9"")"),"#N/A")</f>
        <v>#N/A</v>
      </c>
      <c r="H3603" s="4" t="str">
        <v/>
      </c>
      <c r="I3603" s="4" t="str">
        <v/>
      </c>
    </row>
    <row r="3604" spans="5:9" ht="16.5" hidden="1">
      <c r="E3604" s="4" t="str">
        <v/>
      </c>
      <c r="F3604" s="102" t="str">
        <f ca="1">IFERROR(__xludf.DUMMYFUNCTION("IMPORTRANGE(H3604,""IDENTITAS UNIT!D9"")"),"#N/A")</f>
        <v>#N/A</v>
      </c>
      <c r="H3604" s="4" t="str">
        <v/>
      </c>
      <c r="I3604" s="4" t="str">
        <v/>
      </c>
    </row>
    <row r="3605" spans="5:9" ht="16.5" hidden="1">
      <c r="E3605" s="4" t="str">
        <v/>
      </c>
      <c r="F3605" s="102" t="str">
        <f ca="1">IFERROR(__xludf.DUMMYFUNCTION("IMPORTRANGE(H3605,""IDENTITAS UNIT!D9"")"),"#N/A")</f>
        <v>#N/A</v>
      </c>
      <c r="H3605" s="4" t="str">
        <v/>
      </c>
      <c r="I3605" s="4" t="str">
        <v/>
      </c>
    </row>
    <row r="3606" spans="5:9" ht="16.5" hidden="1">
      <c r="E3606" s="4" t="str">
        <v/>
      </c>
      <c r="F3606" s="102" t="str">
        <f ca="1">IFERROR(__xludf.DUMMYFUNCTION("IMPORTRANGE(H3606,""IDENTITAS UNIT!D9"")"),"#N/A")</f>
        <v>#N/A</v>
      </c>
      <c r="H3606" s="4" t="str">
        <v/>
      </c>
      <c r="I3606" s="4" t="str">
        <v/>
      </c>
    </row>
    <row r="3607" spans="5:9" ht="16.5" hidden="1">
      <c r="E3607" s="4" t="str">
        <v/>
      </c>
      <c r="F3607" s="102" t="str">
        <f ca="1">IFERROR(__xludf.DUMMYFUNCTION("IMPORTRANGE(H3607,""IDENTITAS UNIT!D9"")"),"#N/A")</f>
        <v>#N/A</v>
      </c>
      <c r="H3607" s="4" t="str">
        <v/>
      </c>
      <c r="I3607" s="4" t="str">
        <v/>
      </c>
    </row>
    <row r="3608" spans="5:9" ht="16.5" hidden="1">
      <c r="E3608" s="4" t="str">
        <v/>
      </c>
      <c r="F3608" s="102" t="str">
        <f ca="1">IFERROR(__xludf.DUMMYFUNCTION("IMPORTRANGE(H3608,""IDENTITAS UNIT!D9"")"),"#N/A")</f>
        <v>#N/A</v>
      </c>
      <c r="H3608" s="4" t="str">
        <v/>
      </c>
      <c r="I3608" s="4" t="str">
        <v/>
      </c>
    </row>
    <row r="3609" spans="5:9" ht="16.5" hidden="1">
      <c r="E3609" s="4" t="str">
        <v/>
      </c>
      <c r="F3609" s="102" t="str">
        <f ca="1">IFERROR(__xludf.DUMMYFUNCTION("IMPORTRANGE(H3609,""IDENTITAS UNIT!D9"")"),"#N/A")</f>
        <v>#N/A</v>
      </c>
      <c r="H3609" s="4" t="str">
        <v/>
      </c>
      <c r="I3609" s="4" t="str">
        <v/>
      </c>
    </row>
    <row r="3610" spans="5:9" ht="16.5" hidden="1">
      <c r="E3610" s="4" t="str">
        <v/>
      </c>
      <c r="F3610" s="102" t="str">
        <f ca="1">IFERROR(__xludf.DUMMYFUNCTION("IMPORTRANGE(H3610,""IDENTITAS UNIT!D9"")"),"#N/A")</f>
        <v>#N/A</v>
      </c>
      <c r="H3610" s="4" t="str">
        <v/>
      </c>
      <c r="I3610" s="4" t="str">
        <v/>
      </c>
    </row>
    <row r="3611" spans="5:9" ht="16.5" hidden="1">
      <c r="E3611" s="4" t="str">
        <v/>
      </c>
      <c r="F3611" s="102" t="str">
        <f ca="1">IFERROR(__xludf.DUMMYFUNCTION("IMPORTRANGE(H3611,""IDENTITAS UNIT!D9"")"),"#N/A")</f>
        <v>#N/A</v>
      </c>
      <c r="H3611" s="4" t="str">
        <v/>
      </c>
      <c r="I3611" s="4" t="str">
        <v/>
      </c>
    </row>
    <row r="3612" spans="5:9" ht="16.5" hidden="1">
      <c r="E3612" s="4" t="str">
        <v/>
      </c>
      <c r="F3612" s="102" t="str">
        <f ca="1">IFERROR(__xludf.DUMMYFUNCTION("IMPORTRANGE(H3612,""IDENTITAS UNIT!D9"")"),"#N/A")</f>
        <v>#N/A</v>
      </c>
      <c r="H3612" s="4" t="str">
        <v/>
      </c>
      <c r="I3612" s="4" t="str">
        <v/>
      </c>
    </row>
    <row r="3613" spans="5:9" ht="16.5" hidden="1">
      <c r="E3613" s="4" t="str">
        <v/>
      </c>
      <c r="F3613" s="102" t="str">
        <f ca="1">IFERROR(__xludf.DUMMYFUNCTION("IMPORTRANGE(H3613,""IDENTITAS UNIT!D9"")"),"#N/A")</f>
        <v>#N/A</v>
      </c>
      <c r="H3613" s="4" t="str">
        <v/>
      </c>
      <c r="I3613" s="4" t="str">
        <v/>
      </c>
    </row>
    <row r="3614" spans="5:9" ht="16.5" hidden="1">
      <c r="E3614" s="4" t="str">
        <v/>
      </c>
      <c r="F3614" s="102" t="str">
        <f ca="1">IFERROR(__xludf.DUMMYFUNCTION("IMPORTRANGE(H3614,""IDENTITAS UNIT!D9"")"),"#N/A")</f>
        <v>#N/A</v>
      </c>
      <c r="H3614" s="4" t="str">
        <v/>
      </c>
      <c r="I3614" s="4" t="str">
        <v/>
      </c>
    </row>
    <row r="3615" spans="5:9" ht="16.5" hidden="1">
      <c r="E3615" s="4" t="str">
        <v/>
      </c>
      <c r="F3615" s="102" t="str">
        <f ca="1">IFERROR(__xludf.DUMMYFUNCTION("IMPORTRANGE(H3615,""IDENTITAS UNIT!D9"")"),"#N/A")</f>
        <v>#N/A</v>
      </c>
      <c r="H3615" s="4" t="str">
        <v/>
      </c>
      <c r="I3615" s="4" t="str">
        <v/>
      </c>
    </row>
    <row r="3616" spans="5:9" ht="16.5" hidden="1">
      <c r="E3616" s="4" t="str">
        <v/>
      </c>
      <c r="F3616" s="102" t="str">
        <f ca="1">IFERROR(__xludf.DUMMYFUNCTION("IMPORTRANGE(H3616,""IDENTITAS UNIT!D9"")"),"#N/A")</f>
        <v>#N/A</v>
      </c>
      <c r="H3616" s="4" t="str">
        <v/>
      </c>
      <c r="I3616" s="4" t="str">
        <v/>
      </c>
    </row>
    <row r="3617" spans="5:9" ht="16.5" hidden="1">
      <c r="E3617" s="4" t="str">
        <v/>
      </c>
      <c r="F3617" s="102" t="str">
        <f ca="1">IFERROR(__xludf.DUMMYFUNCTION("IMPORTRANGE(H3617,""IDENTITAS UNIT!D9"")"),"#N/A")</f>
        <v>#N/A</v>
      </c>
      <c r="H3617" s="4" t="str">
        <v/>
      </c>
      <c r="I3617" s="4" t="str">
        <v/>
      </c>
    </row>
    <row r="3618" spans="5:9" ht="16.5" hidden="1">
      <c r="E3618" s="4" t="str">
        <v/>
      </c>
      <c r="F3618" s="102" t="str">
        <f ca="1">IFERROR(__xludf.DUMMYFUNCTION("IMPORTRANGE(H3618,""IDENTITAS UNIT!D9"")"),"#N/A")</f>
        <v>#N/A</v>
      </c>
      <c r="H3618" s="4" t="str">
        <v/>
      </c>
      <c r="I3618" s="4" t="str">
        <v/>
      </c>
    </row>
    <row r="3619" spans="5:9" ht="16.5" hidden="1">
      <c r="E3619" s="4" t="str">
        <v/>
      </c>
      <c r="F3619" s="102" t="str">
        <f ca="1">IFERROR(__xludf.DUMMYFUNCTION("IMPORTRANGE(H3619,""IDENTITAS UNIT!D9"")"),"#N/A")</f>
        <v>#N/A</v>
      </c>
      <c r="H3619" s="4" t="str">
        <v/>
      </c>
      <c r="I3619" s="4" t="str">
        <v/>
      </c>
    </row>
    <row r="3620" spans="5:9" ht="16.5" hidden="1">
      <c r="E3620" s="4" t="str">
        <v/>
      </c>
      <c r="F3620" s="102" t="str">
        <f ca="1">IFERROR(__xludf.DUMMYFUNCTION("IMPORTRANGE(H3620,""IDENTITAS UNIT!D9"")"),"#N/A")</f>
        <v>#N/A</v>
      </c>
      <c r="H3620" s="4" t="str">
        <v/>
      </c>
      <c r="I3620" s="4" t="str">
        <v/>
      </c>
    </row>
    <row r="3621" spans="5:9" ht="16.5" hidden="1">
      <c r="E3621" s="4" t="str">
        <v/>
      </c>
      <c r="F3621" s="102" t="str">
        <f ca="1">IFERROR(__xludf.DUMMYFUNCTION("IMPORTRANGE(H3621,""IDENTITAS UNIT!D9"")"),"#N/A")</f>
        <v>#N/A</v>
      </c>
      <c r="H3621" s="4" t="str">
        <v/>
      </c>
      <c r="I3621" s="4" t="str">
        <v/>
      </c>
    </row>
    <row r="3622" spans="5:9" ht="16.5" hidden="1">
      <c r="E3622" s="4" t="str">
        <v/>
      </c>
      <c r="F3622" s="102" t="str">
        <f ca="1">IFERROR(__xludf.DUMMYFUNCTION("IMPORTRANGE(H3622,""IDENTITAS UNIT!D9"")"),"#N/A")</f>
        <v>#N/A</v>
      </c>
      <c r="H3622" s="4" t="str">
        <v/>
      </c>
      <c r="I3622" s="4" t="str">
        <v/>
      </c>
    </row>
    <row r="3623" spans="5:9" ht="16.5" hidden="1">
      <c r="E3623" s="4" t="str">
        <v/>
      </c>
      <c r="F3623" s="102" t="str">
        <f ca="1">IFERROR(__xludf.DUMMYFUNCTION("IMPORTRANGE(H3623,""IDENTITAS UNIT!D9"")"),"#N/A")</f>
        <v>#N/A</v>
      </c>
      <c r="H3623" s="4" t="str">
        <v/>
      </c>
      <c r="I3623" s="4" t="str">
        <v/>
      </c>
    </row>
    <row r="3624" spans="5:9" ht="16.5" hidden="1">
      <c r="E3624" s="4" t="str">
        <v/>
      </c>
      <c r="F3624" s="102" t="str">
        <f ca="1">IFERROR(__xludf.DUMMYFUNCTION("IMPORTRANGE(H3624,""IDENTITAS UNIT!D9"")"),"#N/A")</f>
        <v>#N/A</v>
      </c>
      <c r="H3624" s="4" t="str">
        <v/>
      </c>
      <c r="I3624" s="4" t="str">
        <v/>
      </c>
    </row>
    <row r="3625" spans="5:9" ht="16.5" hidden="1">
      <c r="E3625" s="4" t="str">
        <v/>
      </c>
      <c r="F3625" s="102" t="str">
        <f ca="1">IFERROR(__xludf.DUMMYFUNCTION("IMPORTRANGE(H3625,""IDENTITAS UNIT!D9"")"),"#N/A")</f>
        <v>#N/A</v>
      </c>
      <c r="H3625" s="4" t="str">
        <v/>
      </c>
      <c r="I3625" s="4" t="str">
        <v/>
      </c>
    </row>
    <row r="3626" spans="5:9" ht="16.5" hidden="1">
      <c r="E3626" s="4" t="str">
        <v/>
      </c>
      <c r="F3626" s="102" t="str">
        <f ca="1">IFERROR(__xludf.DUMMYFUNCTION("IMPORTRANGE(H3626,""IDENTITAS UNIT!D9"")"),"#N/A")</f>
        <v>#N/A</v>
      </c>
      <c r="H3626" s="4" t="str">
        <v/>
      </c>
      <c r="I3626" s="4" t="str">
        <v/>
      </c>
    </row>
    <row r="3627" spans="5:9" ht="16.5" hidden="1">
      <c r="E3627" s="4" t="str">
        <v/>
      </c>
      <c r="F3627" s="102" t="str">
        <f ca="1">IFERROR(__xludf.DUMMYFUNCTION("IMPORTRANGE(H3627,""IDENTITAS UNIT!D9"")"),"#N/A")</f>
        <v>#N/A</v>
      </c>
      <c r="H3627" s="4" t="str">
        <v/>
      </c>
      <c r="I3627" s="4" t="str">
        <v/>
      </c>
    </row>
    <row r="3628" spans="5:9" ht="16.5" hidden="1">
      <c r="E3628" s="4" t="str">
        <v/>
      </c>
      <c r="F3628" s="102" t="str">
        <f ca="1">IFERROR(__xludf.DUMMYFUNCTION("IMPORTRANGE(H3628,""IDENTITAS UNIT!D9"")"),"#N/A")</f>
        <v>#N/A</v>
      </c>
      <c r="H3628" s="4" t="str">
        <v/>
      </c>
      <c r="I3628" s="4" t="str">
        <v/>
      </c>
    </row>
    <row r="3629" spans="5:9" ht="16.5" hidden="1">
      <c r="E3629" s="4" t="str">
        <v/>
      </c>
      <c r="F3629" s="102" t="str">
        <f ca="1">IFERROR(__xludf.DUMMYFUNCTION("IMPORTRANGE(H3629,""IDENTITAS UNIT!D9"")"),"#N/A")</f>
        <v>#N/A</v>
      </c>
      <c r="H3629" s="4" t="str">
        <v/>
      </c>
      <c r="I3629" s="4" t="str">
        <v/>
      </c>
    </row>
    <row r="3630" spans="5:9" ht="16.5" hidden="1">
      <c r="E3630" s="4" t="str">
        <v/>
      </c>
      <c r="F3630" s="102" t="str">
        <f ca="1">IFERROR(__xludf.DUMMYFUNCTION("IMPORTRANGE(H3630,""IDENTITAS UNIT!D9"")"),"#N/A")</f>
        <v>#N/A</v>
      </c>
      <c r="H3630" s="4" t="str">
        <v/>
      </c>
      <c r="I3630" s="4" t="str">
        <v/>
      </c>
    </row>
    <row r="3631" spans="5:9" ht="16.5" hidden="1">
      <c r="E3631" s="4" t="str">
        <v/>
      </c>
      <c r="F3631" s="102" t="str">
        <f ca="1">IFERROR(__xludf.DUMMYFUNCTION("IMPORTRANGE(H3631,""IDENTITAS UNIT!D9"")"),"#N/A")</f>
        <v>#N/A</v>
      </c>
      <c r="H3631" s="4" t="str">
        <v/>
      </c>
      <c r="I3631" s="4" t="str">
        <v/>
      </c>
    </row>
    <row r="3632" spans="5:9" ht="16.5" hidden="1">
      <c r="E3632" s="4" t="str">
        <v/>
      </c>
      <c r="F3632" s="102" t="str">
        <f ca="1">IFERROR(__xludf.DUMMYFUNCTION("IMPORTRANGE(H3632,""IDENTITAS UNIT!D9"")"),"#N/A")</f>
        <v>#N/A</v>
      </c>
      <c r="H3632" s="4" t="str">
        <v/>
      </c>
      <c r="I3632" s="4" t="str">
        <v/>
      </c>
    </row>
    <row r="3633" spans="5:9" ht="16.5" hidden="1">
      <c r="E3633" s="4" t="str">
        <v/>
      </c>
      <c r="F3633" s="102" t="str">
        <f ca="1">IFERROR(__xludf.DUMMYFUNCTION("IMPORTRANGE(H3633,""IDENTITAS UNIT!D9"")"),"#N/A")</f>
        <v>#N/A</v>
      </c>
      <c r="H3633" s="4" t="str">
        <v/>
      </c>
      <c r="I3633" s="4" t="str">
        <v/>
      </c>
    </row>
    <row r="3634" spans="5:9" ht="16.5" hidden="1">
      <c r="E3634" s="4" t="str">
        <v/>
      </c>
      <c r="F3634" s="102" t="str">
        <f ca="1">IFERROR(__xludf.DUMMYFUNCTION("IMPORTRANGE(H3634,""IDENTITAS UNIT!D9"")"),"#N/A")</f>
        <v>#N/A</v>
      </c>
      <c r="H3634" s="4" t="str">
        <v/>
      </c>
      <c r="I3634" s="4" t="str">
        <v/>
      </c>
    </row>
    <row r="3635" spans="5:9" ht="16.5" hidden="1">
      <c r="E3635" s="4" t="str">
        <v/>
      </c>
      <c r="F3635" s="102" t="str">
        <f ca="1">IFERROR(__xludf.DUMMYFUNCTION("IMPORTRANGE(H3635,""IDENTITAS UNIT!D9"")"),"#N/A")</f>
        <v>#N/A</v>
      </c>
      <c r="H3635" s="4" t="str">
        <v/>
      </c>
      <c r="I3635" s="4" t="str">
        <v/>
      </c>
    </row>
    <row r="3636" spans="5:9" ht="16.5" hidden="1">
      <c r="E3636" s="4" t="str">
        <v/>
      </c>
      <c r="F3636" s="102" t="str">
        <f ca="1">IFERROR(__xludf.DUMMYFUNCTION("IMPORTRANGE(H3636,""IDENTITAS UNIT!D9"")"),"#N/A")</f>
        <v>#N/A</v>
      </c>
      <c r="H3636" s="4" t="str">
        <v/>
      </c>
      <c r="I3636" s="4" t="str">
        <v/>
      </c>
    </row>
    <row r="3637" spans="5:9" ht="16.5" hidden="1">
      <c r="E3637" s="4" t="str">
        <v/>
      </c>
      <c r="F3637" s="102" t="str">
        <f ca="1">IFERROR(__xludf.DUMMYFUNCTION("IMPORTRANGE(H3637,""IDENTITAS UNIT!D9"")"),"#N/A")</f>
        <v>#N/A</v>
      </c>
      <c r="H3637" s="4" t="str">
        <v/>
      </c>
      <c r="I3637" s="4" t="str">
        <v/>
      </c>
    </row>
    <row r="3638" spans="5:9" ht="16.5" hidden="1">
      <c r="E3638" s="4" t="str">
        <v/>
      </c>
      <c r="F3638" s="102" t="str">
        <f ca="1">IFERROR(__xludf.DUMMYFUNCTION("IMPORTRANGE(H3638,""IDENTITAS UNIT!D9"")"),"#N/A")</f>
        <v>#N/A</v>
      </c>
      <c r="H3638" s="4" t="str">
        <v/>
      </c>
      <c r="I3638" s="4" t="str">
        <v/>
      </c>
    </row>
    <row r="3639" spans="5:9" ht="16.5" hidden="1">
      <c r="E3639" s="4" t="str">
        <v/>
      </c>
      <c r="F3639" s="102" t="str">
        <f ca="1">IFERROR(__xludf.DUMMYFUNCTION("IMPORTRANGE(H3639,""IDENTITAS UNIT!D9"")"),"#N/A")</f>
        <v>#N/A</v>
      </c>
      <c r="H3639" s="4" t="str">
        <v/>
      </c>
      <c r="I3639" s="4" t="str">
        <v/>
      </c>
    </row>
    <row r="3640" spans="5:9" ht="16.5" hidden="1">
      <c r="E3640" s="4" t="str">
        <v/>
      </c>
      <c r="F3640" s="102" t="str">
        <f ca="1">IFERROR(__xludf.DUMMYFUNCTION("IMPORTRANGE(H3640,""IDENTITAS UNIT!D9"")"),"#N/A")</f>
        <v>#N/A</v>
      </c>
      <c r="H3640" s="4" t="str">
        <v/>
      </c>
      <c r="I3640" s="4" t="str">
        <v/>
      </c>
    </row>
    <row r="3641" spans="5:9" ht="16.5" hidden="1">
      <c r="E3641" s="4" t="str">
        <v/>
      </c>
      <c r="F3641" s="102" t="str">
        <f ca="1">IFERROR(__xludf.DUMMYFUNCTION("IMPORTRANGE(H3641,""IDENTITAS UNIT!D9"")"),"#N/A")</f>
        <v>#N/A</v>
      </c>
      <c r="H3641" s="4" t="str">
        <v/>
      </c>
      <c r="I3641" s="4" t="str">
        <v/>
      </c>
    </row>
    <row r="3642" spans="5:9" ht="16.5" hidden="1">
      <c r="E3642" s="4" t="str">
        <v/>
      </c>
      <c r="F3642" s="102" t="str">
        <f ca="1">IFERROR(__xludf.DUMMYFUNCTION("IMPORTRANGE(H3642,""IDENTITAS UNIT!D9"")"),"#N/A")</f>
        <v>#N/A</v>
      </c>
      <c r="H3642" s="4" t="str">
        <v/>
      </c>
      <c r="I3642" s="4" t="str">
        <v/>
      </c>
    </row>
    <row r="3643" spans="5:9" ht="16.5" hidden="1">
      <c r="E3643" s="4" t="str">
        <v/>
      </c>
      <c r="F3643" s="102" t="str">
        <f ca="1">IFERROR(__xludf.DUMMYFUNCTION("IMPORTRANGE(H3643,""IDENTITAS UNIT!D9"")"),"#N/A")</f>
        <v>#N/A</v>
      </c>
      <c r="H3643" s="4" t="str">
        <v/>
      </c>
      <c r="I3643" s="4" t="str">
        <v/>
      </c>
    </row>
    <row r="3644" spans="5:9" ht="16.5" hidden="1">
      <c r="E3644" s="4" t="str">
        <v/>
      </c>
      <c r="F3644" s="102" t="str">
        <f ca="1">IFERROR(__xludf.DUMMYFUNCTION("IMPORTRANGE(H3644,""IDENTITAS UNIT!D9"")"),"#N/A")</f>
        <v>#N/A</v>
      </c>
      <c r="H3644" s="4" t="str">
        <v/>
      </c>
      <c r="I3644" s="4" t="str">
        <v/>
      </c>
    </row>
    <row r="3645" spans="5:9" ht="16.5" hidden="1">
      <c r="E3645" s="4" t="str">
        <v/>
      </c>
      <c r="F3645" s="102" t="str">
        <f ca="1">IFERROR(__xludf.DUMMYFUNCTION("IMPORTRANGE(H3645,""IDENTITAS UNIT!D9"")"),"#N/A")</f>
        <v>#N/A</v>
      </c>
      <c r="H3645" s="4" t="str">
        <v/>
      </c>
      <c r="I3645" s="4" t="str">
        <v/>
      </c>
    </row>
    <row r="3646" spans="5:9" ht="16.5" hidden="1">
      <c r="E3646" s="4" t="str">
        <v/>
      </c>
      <c r="F3646" s="102" t="str">
        <f ca="1">IFERROR(__xludf.DUMMYFUNCTION("IMPORTRANGE(H3646,""IDENTITAS UNIT!D9"")"),"#N/A")</f>
        <v>#N/A</v>
      </c>
      <c r="H3646" s="4" t="str">
        <v/>
      </c>
      <c r="I3646" s="4" t="str">
        <v/>
      </c>
    </row>
    <row r="3647" spans="5:9" ht="16.5" hidden="1">
      <c r="E3647" s="4" t="str">
        <v/>
      </c>
      <c r="F3647" s="102" t="str">
        <f ca="1">IFERROR(__xludf.DUMMYFUNCTION("IMPORTRANGE(H3647,""IDENTITAS UNIT!D9"")"),"#N/A")</f>
        <v>#N/A</v>
      </c>
      <c r="H3647" s="4" t="str">
        <v/>
      </c>
      <c r="I3647" s="4" t="str">
        <v/>
      </c>
    </row>
    <row r="3648" spans="5:9" ht="16.5" hidden="1">
      <c r="E3648" s="4" t="str">
        <v/>
      </c>
      <c r="F3648" s="102" t="str">
        <f ca="1">IFERROR(__xludf.DUMMYFUNCTION("IMPORTRANGE(H3648,""IDENTITAS UNIT!D9"")"),"#N/A")</f>
        <v>#N/A</v>
      </c>
      <c r="H3648" s="4" t="str">
        <v/>
      </c>
      <c r="I3648" s="4" t="str">
        <v/>
      </c>
    </row>
    <row r="3649" spans="5:9" ht="16.5" hidden="1">
      <c r="E3649" s="4" t="str">
        <v/>
      </c>
      <c r="F3649" s="102" t="str">
        <f ca="1">IFERROR(__xludf.DUMMYFUNCTION("IMPORTRANGE(H3649,""IDENTITAS UNIT!D9"")"),"#N/A")</f>
        <v>#N/A</v>
      </c>
      <c r="H3649" s="4" t="str">
        <v/>
      </c>
      <c r="I3649" s="4" t="str">
        <v/>
      </c>
    </row>
    <row r="3650" spans="5:9" ht="16.5" hidden="1">
      <c r="E3650" s="4" t="str">
        <v/>
      </c>
      <c r="F3650" s="102" t="str">
        <f ca="1">IFERROR(__xludf.DUMMYFUNCTION("IMPORTRANGE(H3650,""IDENTITAS UNIT!D9"")"),"#N/A")</f>
        <v>#N/A</v>
      </c>
      <c r="H3650" s="4" t="str">
        <v/>
      </c>
      <c r="I3650" s="4" t="str">
        <v/>
      </c>
    </row>
    <row r="3651" spans="5:9" ht="16.5" hidden="1">
      <c r="E3651" s="4" t="str">
        <v/>
      </c>
      <c r="F3651" s="102" t="str">
        <f ca="1">IFERROR(__xludf.DUMMYFUNCTION("IMPORTRANGE(H3651,""IDENTITAS UNIT!D9"")"),"#N/A")</f>
        <v>#N/A</v>
      </c>
      <c r="H3651" s="4" t="str">
        <v/>
      </c>
      <c r="I3651" s="4" t="str">
        <v/>
      </c>
    </row>
    <row r="3652" spans="5:9" ht="16.5" hidden="1">
      <c r="E3652" s="4" t="str">
        <v/>
      </c>
      <c r="F3652" s="102" t="str">
        <f ca="1">IFERROR(__xludf.DUMMYFUNCTION("IMPORTRANGE(H3652,""IDENTITAS UNIT!D9"")"),"#N/A")</f>
        <v>#N/A</v>
      </c>
      <c r="H3652" s="4" t="str">
        <v/>
      </c>
      <c r="I3652" s="4" t="str">
        <v/>
      </c>
    </row>
    <row r="3653" spans="5:9" ht="16.5" hidden="1">
      <c r="E3653" s="4" t="str">
        <v/>
      </c>
      <c r="F3653" s="102" t="str">
        <f ca="1">IFERROR(__xludf.DUMMYFUNCTION("IMPORTRANGE(H3653,""IDENTITAS UNIT!D9"")"),"#N/A")</f>
        <v>#N/A</v>
      </c>
      <c r="H3653" s="4" t="str">
        <v/>
      </c>
      <c r="I3653" s="4" t="str">
        <v/>
      </c>
    </row>
    <row r="3654" spans="5:9" ht="16.5" hidden="1">
      <c r="E3654" s="4" t="str">
        <v/>
      </c>
      <c r="F3654" s="102" t="str">
        <f ca="1">IFERROR(__xludf.DUMMYFUNCTION("IMPORTRANGE(H3654,""IDENTITAS UNIT!D9"")"),"#N/A")</f>
        <v>#N/A</v>
      </c>
      <c r="H3654" s="4" t="str">
        <v/>
      </c>
      <c r="I3654" s="4" t="str">
        <v/>
      </c>
    </row>
    <row r="3655" spans="5:9" ht="16.5" hidden="1">
      <c r="E3655" s="4" t="str">
        <v/>
      </c>
      <c r="F3655" s="102" t="str">
        <f ca="1">IFERROR(__xludf.DUMMYFUNCTION("IMPORTRANGE(H3655,""IDENTITAS UNIT!D9"")"),"#N/A")</f>
        <v>#N/A</v>
      </c>
      <c r="H3655" s="4" t="str">
        <v/>
      </c>
      <c r="I3655" s="4" t="str">
        <v/>
      </c>
    </row>
    <row r="3656" spans="5:9" ht="16.5" hidden="1">
      <c r="E3656" s="4" t="str">
        <v/>
      </c>
      <c r="F3656" s="102" t="str">
        <f ca="1">IFERROR(__xludf.DUMMYFUNCTION("IMPORTRANGE(H3656,""IDENTITAS UNIT!D9"")"),"#N/A")</f>
        <v>#N/A</v>
      </c>
      <c r="H3656" s="4" t="str">
        <v/>
      </c>
      <c r="I3656" s="4" t="str">
        <v/>
      </c>
    </row>
    <row r="3657" spans="5:9" ht="16.5" hidden="1">
      <c r="E3657" s="4" t="str">
        <v/>
      </c>
      <c r="F3657" s="102" t="str">
        <f ca="1">IFERROR(__xludf.DUMMYFUNCTION("IMPORTRANGE(H3657,""IDENTITAS UNIT!D9"")"),"#N/A")</f>
        <v>#N/A</v>
      </c>
      <c r="H3657" s="4" t="str">
        <v/>
      </c>
      <c r="I3657" s="4" t="str">
        <v/>
      </c>
    </row>
    <row r="3658" spans="5:9" ht="16.5" hidden="1">
      <c r="E3658" s="4" t="str">
        <v/>
      </c>
      <c r="F3658" s="102" t="str">
        <f ca="1">IFERROR(__xludf.DUMMYFUNCTION("IMPORTRANGE(H3658,""IDENTITAS UNIT!D9"")"),"#N/A")</f>
        <v>#N/A</v>
      </c>
      <c r="H3658" s="4" t="str">
        <v/>
      </c>
      <c r="I3658" s="4" t="str">
        <v/>
      </c>
    </row>
    <row r="3659" spans="5:9" ht="16.5" hidden="1">
      <c r="E3659" s="4" t="str">
        <v/>
      </c>
      <c r="F3659" s="102" t="str">
        <f ca="1">IFERROR(__xludf.DUMMYFUNCTION("IMPORTRANGE(H3659,""IDENTITAS UNIT!D9"")"),"#N/A")</f>
        <v>#N/A</v>
      </c>
      <c r="H3659" s="4" t="str">
        <v/>
      </c>
      <c r="I3659" s="4" t="str">
        <v/>
      </c>
    </row>
    <row r="3660" spans="5:9" ht="16.5" hidden="1">
      <c r="E3660" s="4" t="str">
        <v/>
      </c>
      <c r="F3660" s="102" t="str">
        <f ca="1">IFERROR(__xludf.DUMMYFUNCTION("IMPORTRANGE(H3660,""IDENTITAS UNIT!D9"")"),"#N/A")</f>
        <v>#N/A</v>
      </c>
      <c r="H3660" s="4" t="str">
        <v/>
      </c>
      <c r="I3660" s="4" t="str">
        <v/>
      </c>
    </row>
    <row r="3661" spans="5:9" ht="16.5" hidden="1">
      <c r="E3661" s="4" t="str">
        <v/>
      </c>
      <c r="F3661" s="102" t="str">
        <f ca="1">IFERROR(__xludf.DUMMYFUNCTION("IMPORTRANGE(H3661,""IDENTITAS UNIT!D9"")"),"#N/A")</f>
        <v>#N/A</v>
      </c>
      <c r="H3661" s="4" t="str">
        <v/>
      </c>
      <c r="I3661" s="4" t="str">
        <v/>
      </c>
    </row>
    <row r="3662" spans="5:9" ht="16.5" hidden="1">
      <c r="E3662" s="4" t="str">
        <v/>
      </c>
      <c r="F3662" s="102" t="str">
        <f ca="1">IFERROR(__xludf.DUMMYFUNCTION("IMPORTRANGE(H3662,""IDENTITAS UNIT!D9"")"),"#N/A")</f>
        <v>#N/A</v>
      </c>
      <c r="H3662" s="4" t="str">
        <v/>
      </c>
      <c r="I3662" s="4" t="str">
        <v/>
      </c>
    </row>
    <row r="3663" spans="5:9" ht="16.5" hidden="1">
      <c r="E3663" s="4" t="str">
        <v/>
      </c>
      <c r="F3663" s="102" t="str">
        <f ca="1">IFERROR(__xludf.DUMMYFUNCTION("IMPORTRANGE(H3663,""IDENTITAS UNIT!D9"")"),"#N/A")</f>
        <v>#N/A</v>
      </c>
      <c r="H3663" s="4" t="str">
        <v/>
      </c>
      <c r="I3663" s="4" t="str">
        <v/>
      </c>
    </row>
    <row r="3664" spans="5:9" ht="16.5" hidden="1">
      <c r="E3664" s="4" t="str">
        <v/>
      </c>
      <c r="F3664" s="102" t="str">
        <f ca="1">IFERROR(__xludf.DUMMYFUNCTION("IMPORTRANGE(H3664,""IDENTITAS UNIT!D9"")"),"#N/A")</f>
        <v>#N/A</v>
      </c>
      <c r="H3664" s="4" t="str">
        <v/>
      </c>
      <c r="I3664" s="4" t="str">
        <v/>
      </c>
    </row>
    <row r="3665" spans="5:9" ht="16.5" hidden="1">
      <c r="E3665" s="4" t="str">
        <v/>
      </c>
      <c r="F3665" s="102" t="str">
        <f ca="1">IFERROR(__xludf.DUMMYFUNCTION("IMPORTRANGE(H3665,""IDENTITAS UNIT!D9"")"),"#N/A")</f>
        <v>#N/A</v>
      </c>
      <c r="H3665" s="4" t="str">
        <v/>
      </c>
      <c r="I3665" s="4" t="str">
        <v/>
      </c>
    </row>
    <row r="3666" spans="5:9" ht="16.5" hidden="1">
      <c r="E3666" s="4" t="str">
        <v/>
      </c>
      <c r="F3666" s="102" t="str">
        <f ca="1">IFERROR(__xludf.DUMMYFUNCTION("IMPORTRANGE(H3666,""IDENTITAS UNIT!D9"")"),"#N/A")</f>
        <v>#N/A</v>
      </c>
      <c r="H3666" s="4" t="str">
        <v/>
      </c>
      <c r="I3666" s="4" t="str">
        <v/>
      </c>
    </row>
    <row r="3667" spans="5:9" ht="16.5" hidden="1">
      <c r="E3667" s="4" t="str">
        <v/>
      </c>
      <c r="F3667" s="102" t="str">
        <f ca="1">IFERROR(__xludf.DUMMYFUNCTION("IMPORTRANGE(H3667,""IDENTITAS UNIT!D9"")"),"#N/A")</f>
        <v>#N/A</v>
      </c>
      <c r="H3667" s="4" t="str">
        <v/>
      </c>
      <c r="I3667" s="4" t="str">
        <v/>
      </c>
    </row>
    <row r="3668" spans="5:9" ht="16.5" hidden="1">
      <c r="E3668" s="4" t="str">
        <v/>
      </c>
      <c r="F3668" s="102" t="str">
        <f ca="1">IFERROR(__xludf.DUMMYFUNCTION("IMPORTRANGE(H3668,""IDENTITAS UNIT!D9"")"),"#N/A")</f>
        <v>#N/A</v>
      </c>
      <c r="H3668" s="4" t="str">
        <v/>
      </c>
      <c r="I3668" s="4" t="str">
        <v/>
      </c>
    </row>
    <row r="3669" spans="5:9" ht="16.5" hidden="1">
      <c r="E3669" s="4" t="str">
        <v/>
      </c>
      <c r="F3669" s="102" t="str">
        <f ca="1">IFERROR(__xludf.DUMMYFUNCTION("IMPORTRANGE(H3669,""IDENTITAS UNIT!D9"")"),"#N/A")</f>
        <v>#N/A</v>
      </c>
      <c r="H3669" s="4" t="str">
        <v/>
      </c>
      <c r="I3669" s="4" t="str">
        <v/>
      </c>
    </row>
    <row r="3670" spans="5:9" ht="16.5" hidden="1">
      <c r="E3670" s="4" t="str">
        <v/>
      </c>
      <c r="F3670" s="102" t="str">
        <f ca="1">IFERROR(__xludf.DUMMYFUNCTION("IMPORTRANGE(H3670,""IDENTITAS UNIT!D9"")"),"#N/A")</f>
        <v>#N/A</v>
      </c>
      <c r="H3670" s="4" t="str">
        <v/>
      </c>
      <c r="I3670" s="4" t="str">
        <v/>
      </c>
    </row>
    <row r="3671" spans="5:9" ht="16.5" hidden="1">
      <c r="E3671" s="4" t="str">
        <v/>
      </c>
      <c r="F3671" s="102" t="str">
        <f ca="1">IFERROR(__xludf.DUMMYFUNCTION("IMPORTRANGE(H3671,""IDENTITAS UNIT!D9"")"),"#N/A")</f>
        <v>#N/A</v>
      </c>
      <c r="H3671" s="4" t="str">
        <v/>
      </c>
      <c r="I3671" s="4" t="str">
        <v/>
      </c>
    </row>
    <row r="3672" spans="5:9" ht="16.5" hidden="1">
      <c r="E3672" s="4" t="str">
        <v/>
      </c>
      <c r="F3672" s="102" t="str">
        <f ca="1">IFERROR(__xludf.DUMMYFUNCTION("IMPORTRANGE(H3672,""IDENTITAS UNIT!D9"")"),"#N/A")</f>
        <v>#N/A</v>
      </c>
      <c r="H3672" s="4" t="str">
        <v/>
      </c>
      <c r="I3672" s="4" t="str">
        <v/>
      </c>
    </row>
    <row r="3673" spans="5:9" ht="16.5" hidden="1">
      <c r="E3673" s="4" t="str">
        <v/>
      </c>
      <c r="F3673" s="102" t="str">
        <f ca="1">IFERROR(__xludf.DUMMYFUNCTION("IMPORTRANGE(H3673,""IDENTITAS UNIT!D9"")"),"#N/A")</f>
        <v>#N/A</v>
      </c>
      <c r="H3673" s="4" t="str">
        <v/>
      </c>
      <c r="I3673" s="4" t="str">
        <v/>
      </c>
    </row>
    <row r="3674" spans="5:9" ht="16.5" hidden="1">
      <c r="E3674" s="4" t="str">
        <v/>
      </c>
      <c r="F3674" s="102" t="str">
        <f ca="1">IFERROR(__xludf.DUMMYFUNCTION("IMPORTRANGE(H3674,""IDENTITAS UNIT!D9"")"),"#N/A")</f>
        <v>#N/A</v>
      </c>
      <c r="H3674" s="4" t="str">
        <v/>
      </c>
      <c r="I3674" s="4" t="str">
        <v/>
      </c>
    </row>
    <row r="3675" spans="5:9" ht="16.5" hidden="1">
      <c r="E3675" s="4" t="str">
        <v/>
      </c>
      <c r="F3675" s="102" t="str">
        <f ca="1">IFERROR(__xludf.DUMMYFUNCTION("IMPORTRANGE(H3675,""IDENTITAS UNIT!D9"")"),"#N/A")</f>
        <v>#N/A</v>
      </c>
      <c r="H3675" s="4" t="str">
        <v/>
      </c>
      <c r="I3675" s="4" t="str">
        <v/>
      </c>
    </row>
    <row r="3676" spans="5:9" ht="16.5" hidden="1">
      <c r="E3676" s="4" t="str">
        <v/>
      </c>
      <c r="F3676" s="102" t="str">
        <f ca="1">IFERROR(__xludf.DUMMYFUNCTION("IMPORTRANGE(H3676,""IDENTITAS UNIT!D9"")"),"#N/A")</f>
        <v>#N/A</v>
      </c>
      <c r="H3676" s="4" t="str">
        <v/>
      </c>
      <c r="I3676" s="4" t="str">
        <v/>
      </c>
    </row>
    <row r="3677" spans="5:9" ht="16.5" hidden="1">
      <c r="E3677" s="4" t="str">
        <v/>
      </c>
      <c r="F3677" s="102" t="str">
        <f ca="1">IFERROR(__xludf.DUMMYFUNCTION("IMPORTRANGE(H3677,""IDENTITAS UNIT!D9"")"),"#N/A")</f>
        <v>#N/A</v>
      </c>
      <c r="H3677" s="4" t="str">
        <v/>
      </c>
      <c r="I3677" s="4" t="str">
        <v/>
      </c>
    </row>
    <row r="3678" spans="5:9" ht="16.5" hidden="1">
      <c r="E3678" s="4" t="str">
        <v/>
      </c>
      <c r="F3678" s="102" t="str">
        <f ca="1">IFERROR(__xludf.DUMMYFUNCTION("IMPORTRANGE(H3678,""IDENTITAS UNIT!D9"")"),"#N/A")</f>
        <v>#N/A</v>
      </c>
      <c r="H3678" s="4" t="str">
        <v/>
      </c>
      <c r="I3678" s="4" t="str">
        <v/>
      </c>
    </row>
    <row r="3679" spans="5:9" ht="16.5" hidden="1">
      <c r="E3679" s="4" t="str">
        <v/>
      </c>
      <c r="F3679" s="102" t="str">
        <f ca="1">IFERROR(__xludf.DUMMYFUNCTION("IMPORTRANGE(H3679,""IDENTITAS UNIT!D9"")"),"#N/A")</f>
        <v>#N/A</v>
      </c>
      <c r="H3679" s="4" t="str">
        <v/>
      </c>
      <c r="I3679" s="4" t="str">
        <v/>
      </c>
    </row>
    <row r="3680" spans="5:9" ht="16.5" hidden="1">
      <c r="E3680" s="4" t="str">
        <v/>
      </c>
      <c r="F3680" s="102" t="str">
        <f ca="1">IFERROR(__xludf.DUMMYFUNCTION("IMPORTRANGE(H3680,""IDENTITAS UNIT!D9"")"),"#N/A")</f>
        <v>#N/A</v>
      </c>
      <c r="H3680" s="4" t="str">
        <v/>
      </c>
      <c r="I3680" s="4" t="str">
        <v/>
      </c>
    </row>
    <row r="3681" spans="5:9" ht="16.5" hidden="1">
      <c r="E3681" s="4" t="str">
        <v/>
      </c>
      <c r="F3681" s="102" t="str">
        <f ca="1">IFERROR(__xludf.DUMMYFUNCTION("IMPORTRANGE(H3681,""IDENTITAS UNIT!D9"")"),"#N/A")</f>
        <v>#N/A</v>
      </c>
      <c r="H3681" s="4" t="str">
        <v/>
      </c>
      <c r="I3681" s="4" t="str">
        <v/>
      </c>
    </row>
    <row r="3682" spans="5:9" ht="16.5" hidden="1">
      <c r="E3682" s="4" t="str">
        <v/>
      </c>
      <c r="F3682" s="102" t="str">
        <f ca="1">IFERROR(__xludf.DUMMYFUNCTION("IMPORTRANGE(H3682,""IDENTITAS UNIT!D9"")"),"#N/A")</f>
        <v>#N/A</v>
      </c>
      <c r="H3682" s="4" t="str">
        <v/>
      </c>
      <c r="I3682" s="4" t="str">
        <v/>
      </c>
    </row>
    <row r="3683" spans="5:9" ht="16.5" hidden="1">
      <c r="E3683" s="4" t="str">
        <v/>
      </c>
      <c r="F3683" s="102" t="str">
        <f ca="1">IFERROR(__xludf.DUMMYFUNCTION("IMPORTRANGE(H3683,""IDENTITAS UNIT!D9"")"),"#N/A")</f>
        <v>#N/A</v>
      </c>
      <c r="H3683" s="4" t="str">
        <v/>
      </c>
      <c r="I3683" s="4" t="str">
        <v/>
      </c>
    </row>
    <row r="3684" spans="5:9" ht="16.5" hidden="1">
      <c r="E3684" s="4" t="str">
        <v/>
      </c>
      <c r="F3684" s="102" t="str">
        <f ca="1">IFERROR(__xludf.DUMMYFUNCTION("IMPORTRANGE(H3684,""IDENTITAS UNIT!D9"")"),"#N/A")</f>
        <v>#N/A</v>
      </c>
      <c r="H3684" s="4" t="str">
        <v/>
      </c>
      <c r="I3684" s="4" t="str">
        <v/>
      </c>
    </row>
    <row r="3685" spans="5:9" ht="16.5" hidden="1">
      <c r="E3685" s="4" t="str">
        <v/>
      </c>
      <c r="F3685" s="102" t="str">
        <f ca="1">IFERROR(__xludf.DUMMYFUNCTION("IMPORTRANGE(H3685,""IDENTITAS UNIT!D9"")"),"#N/A")</f>
        <v>#N/A</v>
      </c>
      <c r="H3685" s="4" t="str">
        <v/>
      </c>
      <c r="I3685" s="4" t="str">
        <v/>
      </c>
    </row>
    <row r="3686" spans="5:9" ht="16.5" hidden="1">
      <c r="E3686" s="4" t="str">
        <v/>
      </c>
      <c r="F3686" s="102" t="str">
        <f ca="1">IFERROR(__xludf.DUMMYFUNCTION("IMPORTRANGE(H3686,""IDENTITAS UNIT!D9"")"),"#N/A")</f>
        <v>#N/A</v>
      </c>
      <c r="H3686" s="4" t="str">
        <v/>
      </c>
      <c r="I3686" s="4" t="str">
        <v/>
      </c>
    </row>
    <row r="3687" spans="5:9" ht="16.5" hidden="1">
      <c r="E3687" s="4" t="str">
        <v/>
      </c>
      <c r="F3687" s="102" t="str">
        <f ca="1">IFERROR(__xludf.DUMMYFUNCTION("IMPORTRANGE(H3687,""IDENTITAS UNIT!D9"")"),"#N/A")</f>
        <v>#N/A</v>
      </c>
      <c r="H3687" s="4" t="str">
        <v/>
      </c>
      <c r="I3687" s="4" t="str">
        <v/>
      </c>
    </row>
    <row r="3688" spans="5:9" ht="16.5" hidden="1">
      <c r="E3688" s="4" t="str">
        <v/>
      </c>
      <c r="F3688" s="102" t="str">
        <f ca="1">IFERROR(__xludf.DUMMYFUNCTION("IMPORTRANGE(H3688,""IDENTITAS UNIT!D9"")"),"#N/A")</f>
        <v>#N/A</v>
      </c>
      <c r="H3688" s="4" t="str">
        <v/>
      </c>
      <c r="I3688" s="4" t="str">
        <v/>
      </c>
    </row>
    <row r="3689" spans="5:9" ht="16.5" hidden="1">
      <c r="E3689" s="4" t="str">
        <v/>
      </c>
      <c r="F3689" s="102" t="str">
        <f ca="1">IFERROR(__xludf.DUMMYFUNCTION("IMPORTRANGE(H3689,""IDENTITAS UNIT!D9"")"),"#N/A")</f>
        <v>#N/A</v>
      </c>
      <c r="H3689" s="4" t="str">
        <v/>
      </c>
      <c r="I3689" s="4" t="str">
        <v/>
      </c>
    </row>
    <row r="3690" spans="5:9" ht="16.5" hidden="1">
      <c r="E3690" s="4" t="str">
        <v/>
      </c>
      <c r="F3690" s="102" t="str">
        <f ca="1">IFERROR(__xludf.DUMMYFUNCTION("IMPORTRANGE(H3690,""IDENTITAS UNIT!D9"")"),"#N/A")</f>
        <v>#N/A</v>
      </c>
      <c r="H3690" s="4" t="str">
        <v/>
      </c>
      <c r="I3690" s="4" t="str">
        <v/>
      </c>
    </row>
    <row r="3691" spans="5:9" ht="16.5" hidden="1">
      <c r="E3691" s="4" t="str">
        <v/>
      </c>
      <c r="F3691" s="102" t="str">
        <f ca="1">IFERROR(__xludf.DUMMYFUNCTION("IMPORTRANGE(H3691,""IDENTITAS UNIT!D9"")"),"#N/A")</f>
        <v>#N/A</v>
      </c>
      <c r="H3691" s="4" t="str">
        <v/>
      </c>
      <c r="I3691" s="4" t="str">
        <v/>
      </c>
    </row>
    <row r="3692" spans="5:9" ht="16.5" hidden="1">
      <c r="E3692" s="4" t="str">
        <v/>
      </c>
      <c r="F3692" s="102" t="str">
        <f ca="1">IFERROR(__xludf.DUMMYFUNCTION("IMPORTRANGE(H3692,""IDENTITAS UNIT!D9"")"),"#N/A")</f>
        <v>#N/A</v>
      </c>
      <c r="H3692" s="4" t="str">
        <v/>
      </c>
      <c r="I3692" s="4" t="str">
        <v/>
      </c>
    </row>
    <row r="3693" spans="5:9" ht="16.5" hidden="1">
      <c r="E3693" s="4" t="str">
        <v/>
      </c>
      <c r="F3693" s="102" t="str">
        <f ca="1">IFERROR(__xludf.DUMMYFUNCTION("IMPORTRANGE(H3693,""IDENTITAS UNIT!D9"")"),"#N/A")</f>
        <v>#N/A</v>
      </c>
      <c r="H3693" s="4" t="str">
        <v/>
      </c>
      <c r="I3693" s="4" t="str">
        <v/>
      </c>
    </row>
    <row r="3694" spans="5:9" ht="16.5" hidden="1">
      <c r="E3694" s="4" t="str">
        <v/>
      </c>
      <c r="F3694" s="102" t="str">
        <f ca="1">IFERROR(__xludf.DUMMYFUNCTION("IMPORTRANGE(H3694,""IDENTITAS UNIT!D9"")"),"#N/A")</f>
        <v>#N/A</v>
      </c>
      <c r="H3694" s="4" t="str">
        <v/>
      </c>
      <c r="I3694" s="4" t="str">
        <v/>
      </c>
    </row>
    <row r="3695" spans="5:9" ht="16.5" hidden="1">
      <c r="E3695" s="4" t="str">
        <v/>
      </c>
      <c r="F3695" s="102" t="str">
        <f ca="1">IFERROR(__xludf.DUMMYFUNCTION("IMPORTRANGE(H3695,""IDENTITAS UNIT!D9"")"),"#N/A")</f>
        <v>#N/A</v>
      </c>
      <c r="H3695" s="4" t="str">
        <v/>
      </c>
      <c r="I3695" s="4" t="str">
        <v/>
      </c>
    </row>
    <row r="3696" spans="5:9" ht="16.5" hidden="1">
      <c r="E3696" s="4" t="str">
        <v/>
      </c>
      <c r="F3696" s="102" t="str">
        <f ca="1">IFERROR(__xludf.DUMMYFUNCTION("IMPORTRANGE(H3696,""IDENTITAS UNIT!D9"")"),"#N/A")</f>
        <v>#N/A</v>
      </c>
      <c r="H3696" s="4" t="str">
        <v/>
      </c>
      <c r="I3696" s="4" t="str">
        <v/>
      </c>
    </row>
    <row r="3697" spans="5:9" ht="16.5" hidden="1">
      <c r="E3697" s="4" t="str">
        <v/>
      </c>
      <c r="F3697" s="102" t="str">
        <f ca="1">IFERROR(__xludf.DUMMYFUNCTION("IMPORTRANGE(H3697,""IDENTITAS UNIT!D9"")"),"#N/A")</f>
        <v>#N/A</v>
      </c>
      <c r="H3697" s="4" t="str">
        <v/>
      </c>
      <c r="I3697" s="4" t="str">
        <v/>
      </c>
    </row>
    <row r="3698" spans="5:9" ht="16.5" hidden="1">
      <c r="E3698" s="4" t="str">
        <v/>
      </c>
      <c r="F3698" s="102" t="str">
        <f ca="1">IFERROR(__xludf.DUMMYFUNCTION("IMPORTRANGE(H3698,""IDENTITAS UNIT!D9"")"),"#N/A")</f>
        <v>#N/A</v>
      </c>
      <c r="H3698" s="4" t="str">
        <v/>
      </c>
      <c r="I3698" s="4" t="str">
        <v/>
      </c>
    </row>
    <row r="3699" spans="5:9" ht="16.5" hidden="1">
      <c r="E3699" s="4" t="str">
        <v/>
      </c>
      <c r="F3699" s="102" t="str">
        <f ca="1">IFERROR(__xludf.DUMMYFUNCTION("IMPORTRANGE(H3699,""IDENTITAS UNIT!D9"")"),"#N/A")</f>
        <v>#N/A</v>
      </c>
      <c r="H3699" s="4" t="str">
        <v/>
      </c>
      <c r="I3699" s="4" t="str">
        <v/>
      </c>
    </row>
    <row r="3700" spans="5:9" ht="16.5" hidden="1">
      <c r="E3700" s="4" t="str">
        <v/>
      </c>
      <c r="F3700" s="102" t="str">
        <f ca="1">IFERROR(__xludf.DUMMYFUNCTION("IMPORTRANGE(H3700,""IDENTITAS UNIT!D9"")"),"#N/A")</f>
        <v>#N/A</v>
      </c>
      <c r="H3700" s="4" t="str">
        <v/>
      </c>
      <c r="I3700" s="4" t="str">
        <v/>
      </c>
    </row>
    <row r="3701" spans="5:9" ht="16.5" hidden="1">
      <c r="E3701" s="4" t="str">
        <v/>
      </c>
      <c r="F3701" s="102" t="str">
        <f ca="1">IFERROR(__xludf.DUMMYFUNCTION("IMPORTRANGE(H3701,""IDENTITAS UNIT!D9"")"),"#N/A")</f>
        <v>#N/A</v>
      </c>
      <c r="H3701" s="4" t="str">
        <v/>
      </c>
      <c r="I3701" s="4" t="str">
        <v/>
      </c>
    </row>
    <row r="3702" spans="5:9" ht="16.5" hidden="1">
      <c r="E3702" s="4" t="str">
        <v/>
      </c>
      <c r="F3702" s="102" t="str">
        <f ca="1">IFERROR(__xludf.DUMMYFUNCTION("IMPORTRANGE(H3702,""IDENTITAS UNIT!D9"")"),"#N/A")</f>
        <v>#N/A</v>
      </c>
      <c r="H3702" s="4" t="str">
        <v/>
      </c>
      <c r="I3702" s="4" t="str">
        <v/>
      </c>
    </row>
    <row r="3703" spans="5:9" ht="16.5" hidden="1">
      <c r="E3703" s="4" t="str">
        <v/>
      </c>
      <c r="F3703" s="102" t="str">
        <f ca="1">IFERROR(__xludf.DUMMYFUNCTION("IMPORTRANGE(H3703,""IDENTITAS UNIT!D9"")"),"#N/A")</f>
        <v>#N/A</v>
      </c>
      <c r="H3703" s="4" t="str">
        <v/>
      </c>
      <c r="I3703" s="4" t="str">
        <v/>
      </c>
    </row>
    <row r="3704" spans="5:9" ht="16.5" hidden="1">
      <c r="E3704" s="4" t="str">
        <v/>
      </c>
      <c r="F3704" s="102" t="str">
        <f ca="1">IFERROR(__xludf.DUMMYFUNCTION("IMPORTRANGE(H3704,""IDENTITAS UNIT!D9"")"),"#N/A")</f>
        <v>#N/A</v>
      </c>
      <c r="H3704" s="4" t="str">
        <v/>
      </c>
      <c r="I3704" s="4" t="str">
        <v/>
      </c>
    </row>
    <row r="3705" spans="5:9" ht="16.5" hidden="1">
      <c r="E3705" s="4" t="str">
        <v/>
      </c>
      <c r="F3705" s="102" t="str">
        <f ca="1">IFERROR(__xludf.DUMMYFUNCTION("IMPORTRANGE(H3705,""IDENTITAS UNIT!D9"")"),"#N/A")</f>
        <v>#N/A</v>
      </c>
      <c r="H3705" s="4" t="str">
        <v/>
      </c>
      <c r="I3705" s="4" t="str">
        <v/>
      </c>
    </row>
    <row r="3706" spans="5:9" ht="16.5" hidden="1">
      <c r="E3706" s="4" t="str">
        <v/>
      </c>
      <c r="F3706" s="102" t="str">
        <f ca="1">IFERROR(__xludf.DUMMYFUNCTION("IMPORTRANGE(H3706,""IDENTITAS UNIT!D9"")"),"#N/A")</f>
        <v>#N/A</v>
      </c>
      <c r="H3706" s="4" t="str">
        <v/>
      </c>
      <c r="I3706" s="4" t="str">
        <v/>
      </c>
    </row>
    <row r="3707" spans="5:9" ht="16.5" hidden="1">
      <c r="E3707" s="4" t="str">
        <v/>
      </c>
      <c r="F3707" s="102" t="str">
        <f ca="1">IFERROR(__xludf.DUMMYFUNCTION("IMPORTRANGE(H3707,""IDENTITAS UNIT!D9"")"),"#N/A")</f>
        <v>#N/A</v>
      </c>
      <c r="H3707" s="4" t="str">
        <v/>
      </c>
      <c r="I3707" s="4" t="str">
        <v/>
      </c>
    </row>
    <row r="3708" spans="5:9" ht="16.5" hidden="1">
      <c r="E3708" s="4" t="str">
        <v/>
      </c>
      <c r="F3708" s="102" t="str">
        <f ca="1">IFERROR(__xludf.DUMMYFUNCTION("IMPORTRANGE(H3708,""IDENTITAS UNIT!D9"")"),"#N/A")</f>
        <v>#N/A</v>
      </c>
      <c r="H3708" s="4" t="str">
        <v/>
      </c>
      <c r="I3708" s="4" t="str">
        <v/>
      </c>
    </row>
    <row r="3709" spans="5:9" ht="16.5" hidden="1">
      <c r="E3709" s="4" t="str">
        <v/>
      </c>
      <c r="F3709" s="102" t="str">
        <f ca="1">IFERROR(__xludf.DUMMYFUNCTION("IMPORTRANGE(H3709,""IDENTITAS UNIT!D9"")"),"#N/A")</f>
        <v>#N/A</v>
      </c>
      <c r="H3709" s="4" t="str">
        <v/>
      </c>
      <c r="I3709" s="4" t="str">
        <v/>
      </c>
    </row>
    <row r="3710" spans="5:9" ht="16.5" hidden="1">
      <c r="E3710" s="4" t="str">
        <v/>
      </c>
      <c r="F3710" s="102" t="str">
        <f ca="1">IFERROR(__xludf.DUMMYFUNCTION("IMPORTRANGE(H3710,""IDENTITAS UNIT!D9"")"),"#N/A")</f>
        <v>#N/A</v>
      </c>
      <c r="H3710" s="4" t="str">
        <v/>
      </c>
      <c r="I3710" s="4" t="str">
        <v/>
      </c>
    </row>
    <row r="3711" spans="5:9" ht="16.5" hidden="1">
      <c r="E3711" s="4" t="str">
        <v/>
      </c>
      <c r="F3711" s="102" t="str">
        <f ca="1">IFERROR(__xludf.DUMMYFUNCTION("IMPORTRANGE(H3711,""IDENTITAS UNIT!D9"")"),"#N/A")</f>
        <v>#N/A</v>
      </c>
      <c r="H3711" s="4" t="str">
        <v/>
      </c>
      <c r="I3711" s="4" t="str">
        <v/>
      </c>
    </row>
    <row r="3712" spans="5:9" ht="16.5" hidden="1">
      <c r="E3712" s="4" t="str">
        <v/>
      </c>
      <c r="F3712" s="102" t="str">
        <f ca="1">IFERROR(__xludf.DUMMYFUNCTION("IMPORTRANGE(H3712,""IDENTITAS UNIT!D9"")"),"#N/A")</f>
        <v>#N/A</v>
      </c>
      <c r="H3712" s="4" t="str">
        <v/>
      </c>
      <c r="I3712" s="4" t="str">
        <v/>
      </c>
    </row>
    <row r="3713" spans="5:9" ht="16.5" hidden="1">
      <c r="E3713" s="4" t="str">
        <v/>
      </c>
      <c r="F3713" s="102" t="str">
        <f ca="1">IFERROR(__xludf.DUMMYFUNCTION("IMPORTRANGE(H3713,""IDENTITAS UNIT!D9"")"),"#N/A")</f>
        <v>#N/A</v>
      </c>
      <c r="H3713" s="4" t="str">
        <v/>
      </c>
      <c r="I3713" s="4" t="str">
        <v/>
      </c>
    </row>
    <row r="3714" spans="5:9" ht="16.5" hidden="1">
      <c r="E3714" s="4" t="str">
        <v/>
      </c>
      <c r="F3714" s="102" t="str">
        <f ca="1">IFERROR(__xludf.DUMMYFUNCTION("IMPORTRANGE(H3714,""IDENTITAS UNIT!D9"")"),"#N/A")</f>
        <v>#N/A</v>
      </c>
      <c r="H3714" s="4" t="str">
        <v/>
      </c>
      <c r="I3714" s="4" t="str">
        <v/>
      </c>
    </row>
    <row r="3715" spans="5:9" ht="16.5" hidden="1">
      <c r="E3715" s="4" t="str">
        <v/>
      </c>
      <c r="F3715" s="102" t="str">
        <f ca="1">IFERROR(__xludf.DUMMYFUNCTION("IMPORTRANGE(H3715,""IDENTITAS UNIT!D9"")"),"#N/A")</f>
        <v>#N/A</v>
      </c>
      <c r="H3715" s="4" t="str">
        <v/>
      </c>
      <c r="I3715" s="4" t="str">
        <v/>
      </c>
    </row>
    <row r="3716" spans="5:9" ht="16.5" hidden="1">
      <c r="E3716" s="4" t="str">
        <v/>
      </c>
      <c r="F3716" s="102" t="str">
        <f ca="1">IFERROR(__xludf.DUMMYFUNCTION("IMPORTRANGE(H3716,""IDENTITAS UNIT!D9"")"),"#N/A")</f>
        <v>#N/A</v>
      </c>
      <c r="H3716" s="4" t="str">
        <v/>
      </c>
      <c r="I3716" s="4" t="str">
        <v/>
      </c>
    </row>
    <row r="3717" spans="5:9" ht="16.5" hidden="1">
      <c r="E3717" s="4" t="str">
        <v/>
      </c>
      <c r="F3717" s="102" t="str">
        <f ca="1">IFERROR(__xludf.DUMMYFUNCTION("IMPORTRANGE(H3717,""IDENTITAS UNIT!D9"")"),"#N/A")</f>
        <v>#N/A</v>
      </c>
      <c r="H3717" s="4" t="str">
        <v/>
      </c>
      <c r="I3717" s="4" t="str">
        <v/>
      </c>
    </row>
    <row r="3718" spans="5:9" ht="16.5" hidden="1">
      <c r="E3718" s="4" t="str">
        <v/>
      </c>
      <c r="F3718" s="102" t="str">
        <f ca="1">IFERROR(__xludf.DUMMYFUNCTION("IMPORTRANGE(H3718,""IDENTITAS UNIT!D9"")"),"#N/A")</f>
        <v>#N/A</v>
      </c>
      <c r="H3718" s="4" t="str">
        <v/>
      </c>
      <c r="I3718" s="4" t="str">
        <v/>
      </c>
    </row>
    <row r="3719" spans="5:9" ht="16.5" hidden="1">
      <c r="E3719" s="4" t="str">
        <v/>
      </c>
      <c r="F3719" s="102" t="str">
        <f ca="1">IFERROR(__xludf.DUMMYFUNCTION("IMPORTRANGE(H3719,""IDENTITAS UNIT!D9"")"),"#N/A")</f>
        <v>#N/A</v>
      </c>
      <c r="H3719" s="4" t="str">
        <v/>
      </c>
      <c r="I3719" s="4" t="str">
        <v/>
      </c>
    </row>
    <row r="3720" spans="5:9" ht="16.5" hidden="1">
      <c r="E3720" s="4" t="str">
        <v/>
      </c>
      <c r="F3720" s="102" t="str">
        <f ca="1">IFERROR(__xludf.DUMMYFUNCTION("IMPORTRANGE(H3720,""IDENTITAS UNIT!D9"")"),"#N/A")</f>
        <v>#N/A</v>
      </c>
      <c r="H3720" s="4" t="str">
        <v/>
      </c>
      <c r="I3720" s="4" t="str">
        <v/>
      </c>
    </row>
    <row r="3721" spans="5:9" ht="16.5" hidden="1">
      <c r="E3721" s="4" t="str">
        <v/>
      </c>
      <c r="F3721" s="102" t="str">
        <f ca="1">IFERROR(__xludf.DUMMYFUNCTION("IMPORTRANGE(H3721,""IDENTITAS UNIT!D9"")"),"#N/A")</f>
        <v>#N/A</v>
      </c>
      <c r="H3721" s="4" t="str">
        <v/>
      </c>
      <c r="I3721" s="4" t="str">
        <v/>
      </c>
    </row>
    <row r="3722" spans="5:9" ht="16.5" hidden="1">
      <c r="E3722" s="4" t="str">
        <v/>
      </c>
      <c r="F3722" s="102" t="str">
        <f ca="1">IFERROR(__xludf.DUMMYFUNCTION("IMPORTRANGE(H3722,""IDENTITAS UNIT!D9"")"),"#N/A")</f>
        <v>#N/A</v>
      </c>
      <c r="H3722" s="4" t="str">
        <v/>
      </c>
      <c r="I3722" s="4" t="str">
        <v/>
      </c>
    </row>
    <row r="3723" spans="5:9" ht="16.5" hidden="1">
      <c r="E3723" s="4" t="str">
        <v/>
      </c>
      <c r="F3723" s="102" t="str">
        <f ca="1">IFERROR(__xludf.DUMMYFUNCTION("IMPORTRANGE(H3723,""IDENTITAS UNIT!D9"")"),"#N/A")</f>
        <v>#N/A</v>
      </c>
      <c r="H3723" s="4" t="str">
        <v/>
      </c>
      <c r="I3723" s="4" t="str">
        <v/>
      </c>
    </row>
    <row r="3724" spans="5:9" ht="16.5" hidden="1">
      <c r="E3724" s="4" t="str">
        <v/>
      </c>
      <c r="F3724" s="102" t="str">
        <f ca="1">IFERROR(__xludf.DUMMYFUNCTION("IMPORTRANGE(H3724,""IDENTITAS UNIT!D9"")"),"#N/A")</f>
        <v>#N/A</v>
      </c>
      <c r="H3724" s="4" t="str">
        <v/>
      </c>
      <c r="I3724" s="4" t="str">
        <v/>
      </c>
    </row>
    <row r="3725" spans="5:9" ht="16.5" hidden="1">
      <c r="E3725" s="4" t="str">
        <v/>
      </c>
      <c r="F3725" s="102" t="str">
        <f ca="1">IFERROR(__xludf.DUMMYFUNCTION("IMPORTRANGE(H3725,""IDENTITAS UNIT!D9"")"),"#N/A")</f>
        <v>#N/A</v>
      </c>
      <c r="H3725" s="4" t="str">
        <v/>
      </c>
      <c r="I3725" s="4" t="str">
        <v/>
      </c>
    </row>
    <row r="3726" spans="5:9" ht="16.5" hidden="1">
      <c r="E3726" s="4" t="str">
        <v/>
      </c>
      <c r="F3726" s="102" t="str">
        <f ca="1">IFERROR(__xludf.DUMMYFUNCTION("IMPORTRANGE(H3726,""IDENTITAS UNIT!D9"")"),"#N/A")</f>
        <v>#N/A</v>
      </c>
      <c r="H3726" s="4" t="str">
        <v/>
      </c>
      <c r="I3726" s="4" t="str">
        <v/>
      </c>
    </row>
    <row r="3727" spans="5:9" ht="16.5" hidden="1">
      <c r="E3727" s="4" t="str">
        <v/>
      </c>
      <c r="F3727" s="102" t="str">
        <f ca="1">IFERROR(__xludf.DUMMYFUNCTION("IMPORTRANGE(H3727,""IDENTITAS UNIT!D9"")"),"#N/A")</f>
        <v>#N/A</v>
      </c>
      <c r="H3727" s="4" t="str">
        <v/>
      </c>
      <c r="I3727" s="4" t="str">
        <v/>
      </c>
    </row>
    <row r="3728" spans="5:9" ht="16.5" hidden="1">
      <c r="E3728" s="4" t="str">
        <v/>
      </c>
      <c r="F3728" s="102" t="str">
        <f ca="1">IFERROR(__xludf.DUMMYFUNCTION("IMPORTRANGE(H3728,""IDENTITAS UNIT!D9"")"),"#N/A")</f>
        <v>#N/A</v>
      </c>
      <c r="H3728" s="4" t="str">
        <v/>
      </c>
      <c r="I3728" s="4" t="str">
        <v/>
      </c>
    </row>
    <row r="3729" spans="5:9" ht="16.5" hidden="1">
      <c r="E3729" s="4" t="str">
        <v/>
      </c>
      <c r="F3729" s="102" t="str">
        <f ca="1">IFERROR(__xludf.DUMMYFUNCTION("IMPORTRANGE(H3729,""IDENTITAS UNIT!D9"")"),"#N/A")</f>
        <v>#N/A</v>
      </c>
      <c r="H3729" s="4" t="str">
        <v/>
      </c>
      <c r="I3729" s="4" t="str">
        <v/>
      </c>
    </row>
    <row r="3730" spans="5:9" ht="16.5" hidden="1">
      <c r="E3730" s="4" t="str">
        <v/>
      </c>
      <c r="F3730" s="102" t="str">
        <f ca="1">IFERROR(__xludf.DUMMYFUNCTION("IMPORTRANGE(H3730,""IDENTITAS UNIT!D9"")"),"#N/A")</f>
        <v>#N/A</v>
      </c>
      <c r="H3730" s="4" t="str">
        <v/>
      </c>
      <c r="I3730" s="4" t="str">
        <v/>
      </c>
    </row>
    <row r="3731" spans="5:9" ht="16.5" hidden="1">
      <c r="E3731" s="4" t="str">
        <v/>
      </c>
      <c r="F3731" s="102" t="str">
        <f ca="1">IFERROR(__xludf.DUMMYFUNCTION("IMPORTRANGE(H3731,""IDENTITAS UNIT!D9"")"),"#N/A")</f>
        <v>#N/A</v>
      </c>
      <c r="H3731" s="4" t="str">
        <v/>
      </c>
      <c r="I3731" s="4" t="str">
        <v/>
      </c>
    </row>
    <row r="3732" spans="5:9" ht="16.5" hidden="1">
      <c r="E3732" s="4" t="str">
        <v/>
      </c>
      <c r="F3732" s="102" t="str">
        <f ca="1">IFERROR(__xludf.DUMMYFUNCTION("IMPORTRANGE(H3732,""IDENTITAS UNIT!D9"")"),"#N/A")</f>
        <v>#N/A</v>
      </c>
      <c r="H3732" s="4" t="str">
        <v/>
      </c>
      <c r="I3732" s="4" t="str">
        <v/>
      </c>
    </row>
    <row r="3733" spans="5:9" ht="16.5" hidden="1">
      <c r="E3733" s="4" t="str">
        <v/>
      </c>
      <c r="F3733" s="102" t="str">
        <f ca="1">IFERROR(__xludf.DUMMYFUNCTION("IMPORTRANGE(H3733,""IDENTITAS UNIT!D9"")"),"#N/A")</f>
        <v>#N/A</v>
      </c>
      <c r="H3733" s="4" t="str">
        <v/>
      </c>
      <c r="I3733" s="4" t="str">
        <v/>
      </c>
    </row>
    <row r="3734" spans="5:9" ht="16.5" hidden="1">
      <c r="E3734" s="4" t="str">
        <v/>
      </c>
      <c r="F3734" s="102" t="str">
        <f ca="1">IFERROR(__xludf.DUMMYFUNCTION("IMPORTRANGE(H3734,""IDENTITAS UNIT!D9"")"),"#N/A")</f>
        <v>#N/A</v>
      </c>
      <c r="H3734" s="4" t="str">
        <v/>
      </c>
      <c r="I3734" s="4" t="str">
        <v/>
      </c>
    </row>
    <row r="3735" spans="5:9" ht="16.5" hidden="1">
      <c r="E3735" s="4" t="str">
        <v/>
      </c>
      <c r="F3735" s="102" t="str">
        <f ca="1">IFERROR(__xludf.DUMMYFUNCTION("IMPORTRANGE(H3735,""IDENTITAS UNIT!D9"")"),"#N/A")</f>
        <v>#N/A</v>
      </c>
      <c r="H3735" s="4" t="str">
        <v/>
      </c>
      <c r="I3735" s="4" t="str">
        <v/>
      </c>
    </row>
    <row r="3736" spans="5:9" ht="16.5" hidden="1">
      <c r="E3736" s="4" t="str">
        <v/>
      </c>
      <c r="F3736" s="102" t="str">
        <f ca="1">IFERROR(__xludf.DUMMYFUNCTION("IMPORTRANGE(H3736,""IDENTITAS UNIT!D9"")"),"#N/A")</f>
        <v>#N/A</v>
      </c>
      <c r="H3736" s="4" t="str">
        <v/>
      </c>
      <c r="I3736" s="4" t="str">
        <v/>
      </c>
    </row>
    <row r="3737" spans="5:9" ht="16.5" hidden="1">
      <c r="E3737" s="4" t="str">
        <v/>
      </c>
      <c r="F3737" s="102" t="str">
        <f ca="1">IFERROR(__xludf.DUMMYFUNCTION("IMPORTRANGE(H3737,""IDENTITAS UNIT!D9"")"),"#N/A")</f>
        <v>#N/A</v>
      </c>
      <c r="H3737" s="4" t="str">
        <v/>
      </c>
      <c r="I3737" s="4" t="str">
        <v/>
      </c>
    </row>
    <row r="3738" spans="5:9" ht="16.5" hidden="1">
      <c r="E3738" s="4" t="str">
        <v/>
      </c>
      <c r="F3738" s="102" t="str">
        <f ca="1">IFERROR(__xludf.DUMMYFUNCTION("IMPORTRANGE(H3738,""IDENTITAS UNIT!D9"")"),"#N/A")</f>
        <v>#N/A</v>
      </c>
      <c r="H3738" s="4" t="str">
        <v/>
      </c>
      <c r="I3738" s="4" t="str">
        <v/>
      </c>
    </row>
    <row r="3739" spans="5:9" ht="16.5" hidden="1">
      <c r="E3739" s="4" t="str">
        <v/>
      </c>
      <c r="F3739" s="102" t="str">
        <f ca="1">IFERROR(__xludf.DUMMYFUNCTION("IMPORTRANGE(H3739,""IDENTITAS UNIT!D9"")"),"#N/A")</f>
        <v>#N/A</v>
      </c>
      <c r="H3739" s="4" t="str">
        <v/>
      </c>
      <c r="I3739" s="4" t="str">
        <v/>
      </c>
    </row>
    <row r="3740" spans="5:9" ht="16.5" hidden="1">
      <c r="E3740" s="4" t="str">
        <v/>
      </c>
      <c r="F3740" s="102" t="str">
        <f ca="1">IFERROR(__xludf.DUMMYFUNCTION("IMPORTRANGE(H3740,""IDENTITAS UNIT!D9"")"),"#N/A")</f>
        <v>#N/A</v>
      </c>
      <c r="H3740" s="4" t="str">
        <v/>
      </c>
      <c r="I3740" s="4" t="str">
        <v/>
      </c>
    </row>
    <row r="3741" spans="5:9" ht="16.5" hidden="1">
      <c r="E3741" s="4" t="str">
        <v/>
      </c>
      <c r="F3741" s="102" t="str">
        <f ca="1">IFERROR(__xludf.DUMMYFUNCTION("IMPORTRANGE(H3741,""IDENTITAS UNIT!D9"")"),"#N/A")</f>
        <v>#N/A</v>
      </c>
      <c r="H3741" s="4" t="str">
        <v/>
      </c>
      <c r="I3741" s="4" t="str">
        <v/>
      </c>
    </row>
    <row r="3742" spans="5:9" ht="16.5" hidden="1">
      <c r="E3742" s="4" t="str">
        <v/>
      </c>
      <c r="F3742" s="102" t="str">
        <f ca="1">IFERROR(__xludf.DUMMYFUNCTION("IMPORTRANGE(H3742,""IDENTITAS UNIT!D9"")"),"#N/A")</f>
        <v>#N/A</v>
      </c>
      <c r="H3742" s="4" t="str">
        <v/>
      </c>
      <c r="I3742" s="4" t="str">
        <v/>
      </c>
    </row>
    <row r="3743" spans="5:9" ht="16.5" hidden="1">
      <c r="E3743" s="4" t="str">
        <v/>
      </c>
      <c r="F3743" s="102" t="str">
        <f ca="1">IFERROR(__xludf.DUMMYFUNCTION("IMPORTRANGE(H3743,""IDENTITAS UNIT!D9"")"),"#N/A")</f>
        <v>#N/A</v>
      </c>
      <c r="H3743" s="4" t="str">
        <v/>
      </c>
      <c r="I3743" s="4" t="str">
        <v/>
      </c>
    </row>
    <row r="3744" spans="5:9" ht="16.5" hidden="1">
      <c r="E3744" s="4" t="str">
        <v/>
      </c>
      <c r="F3744" s="102" t="str">
        <f ca="1">IFERROR(__xludf.DUMMYFUNCTION("IMPORTRANGE(H3744,""IDENTITAS UNIT!D9"")"),"#N/A")</f>
        <v>#N/A</v>
      </c>
      <c r="H3744" s="4" t="str">
        <v/>
      </c>
      <c r="I3744" s="4" t="str">
        <v/>
      </c>
    </row>
    <row r="3745" spans="5:9" ht="16.5" hidden="1">
      <c r="E3745" s="4" t="str">
        <v/>
      </c>
      <c r="F3745" s="102" t="str">
        <f ca="1">IFERROR(__xludf.DUMMYFUNCTION("IMPORTRANGE(H3745,""IDENTITAS UNIT!D9"")"),"#N/A")</f>
        <v>#N/A</v>
      </c>
      <c r="H3745" s="4" t="str">
        <v/>
      </c>
      <c r="I3745" s="4" t="str">
        <v/>
      </c>
    </row>
    <row r="3746" spans="5:9" ht="16.5" hidden="1">
      <c r="E3746" s="4" t="str">
        <v/>
      </c>
      <c r="F3746" s="102" t="str">
        <f ca="1">IFERROR(__xludf.DUMMYFUNCTION("IMPORTRANGE(H3746,""IDENTITAS UNIT!D9"")"),"#N/A")</f>
        <v>#N/A</v>
      </c>
      <c r="H3746" s="4" t="str">
        <v/>
      </c>
      <c r="I3746" s="4" t="str">
        <v/>
      </c>
    </row>
    <row r="3747" spans="5:9" ht="16.5" hidden="1">
      <c r="E3747" s="4" t="str">
        <v/>
      </c>
      <c r="F3747" s="102" t="str">
        <f ca="1">IFERROR(__xludf.DUMMYFUNCTION("IMPORTRANGE(H3747,""IDENTITAS UNIT!D9"")"),"#N/A")</f>
        <v>#N/A</v>
      </c>
      <c r="H3747" s="4" t="str">
        <v/>
      </c>
      <c r="I3747" s="4" t="str">
        <v/>
      </c>
    </row>
    <row r="3748" spans="5:9" ht="16.5" hidden="1">
      <c r="E3748" s="4" t="str">
        <v/>
      </c>
      <c r="F3748" s="102" t="str">
        <f ca="1">IFERROR(__xludf.DUMMYFUNCTION("IMPORTRANGE(H3748,""IDENTITAS UNIT!D9"")"),"#N/A")</f>
        <v>#N/A</v>
      </c>
      <c r="H3748" s="4" t="str">
        <v/>
      </c>
      <c r="I3748" s="4" t="str">
        <v/>
      </c>
    </row>
    <row r="3749" spans="5:9" ht="16.5" hidden="1">
      <c r="E3749" s="4" t="str">
        <v/>
      </c>
      <c r="F3749" s="102" t="str">
        <f ca="1">IFERROR(__xludf.DUMMYFUNCTION("IMPORTRANGE(H3749,""IDENTITAS UNIT!D9"")"),"#N/A")</f>
        <v>#N/A</v>
      </c>
      <c r="H3749" s="4" t="str">
        <v/>
      </c>
      <c r="I3749" s="4" t="str">
        <v/>
      </c>
    </row>
    <row r="3750" spans="5:9" ht="16.5" hidden="1">
      <c r="E3750" s="4" t="str">
        <v/>
      </c>
      <c r="F3750" s="102" t="str">
        <f ca="1">IFERROR(__xludf.DUMMYFUNCTION("IMPORTRANGE(H3750,""IDENTITAS UNIT!D9"")"),"#N/A")</f>
        <v>#N/A</v>
      </c>
      <c r="H3750" s="4" t="str">
        <v/>
      </c>
      <c r="I3750" s="4" t="str">
        <v/>
      </c>
    </row>
    <row r="3751" spans="5:9" ht="16.5" hidden="1">
      <c r="E3751" s="4" t="str">
        <v/>
      </c>
      <c r="F3751" s="102" t="str">
        <f ca="1">IFERROR(__xludf.DUMMYFUNCTION("IMPORTRANGE(H3751,""IDENTITAS UNIT!D9"")"),"#N/A")</f>
        <v>#N/A</v>
      </c>
      <c r="H3751" s="4" t="str">
        <v/>
      </c>
      <c r="I3751" s="4" t="str">
        <v/>
      </c>
    </row>
    <row r="3752" spans="5:9" ht="16.5" hidden="1">
      <c r="E3752" s="4" t="str">
        <v/>
      </c>
      <c r="F3752" s="102" t="str">
        <f ca="1">IFERROR(__xludf.DUMMYFUNCTION("IMPORTRANGE(H3752,""IDENTITAS UNIT!D9"")"),"#N/A")</f>
        <v>#N/A</v>
      </c>
      <c r="H3752" s="4" t="str">
        <v/>
      </c>
      <c r="I3752" s="4" t="str">
        <v/>
      </c>
    </row>
    <row r="3753" spans="5:9" ht="16.5" hidden="1">
      <c r="E3753" s="4" t="str">
        <v/>
      </c>
      <c r="F3753" s="102" t="str">
        <f ca="1">IFERROR(__xludf.DUMMYFUNCTION("IMPORTRANGE(H3753,""IDENTITAS UNIT!D9"")"),"#N/A")</f>
        <v>#N/A</v>
      </c>
      <c r="H3753" s="4" t="str">
        <v/>
      </c>
      <c r="I3753" s="4" t="str">
        <v/>
      </c>
    </row>
    <row r="3754" spans="5:9" ht="16.5" hidden="1">
      <c r="E3754" s="4" t="str">
        <v/>
      </c>
      <c r="F3754" s="102" t="str">
        <f ca="1">IFERROR(__xludf.DUMMYFUNCTION("IMPORTRANGE(H3754,""IDENTITAS UNIT!D9"")"),"#N/A")</f>
        <v>#N/A</v>
      </c>
      <c r="H3754" s="4" t="str">
        <v/>
      </c>
      <c r="I3754" s="4" t="str">
        <v/>
      </c>
    </row>
    <row r="3755" spans="5:9" ht="16.5" hidden="1">
      <c r="E3755" s="4" t="str">
        <v/>
      </c>
      <c r="F3755" s="102" t="str">
        <f ca="1">IFERROR(__xludf.DUMMYFUNCTION("IMPORTRANGE(H3755,""IDENTITAS UNIT!D9"")"),"#N/A")</f>
        <v>#N/A</v>
      </c>
      <c r="H3755" s="4" t="str">
        <v/>
      </c>
      <c r="I3755" s="4" t="str">
        <v/>
      </c>
    </row>
    <row r="3756" spans="5:9" ht="16.5" hidden="1">
      <c r="E3756" s="4" t="str">
        <v/>
      </c>
      <c r="F3756" s="102" t="str">
        <f ca="1">IFERROR(__xludf.DUMMYFUNCTION("IMPORTRANGE(H3756,""IDENTITAS UNIT!D9"")"),"#N/A")</f>
        <v>#N/A</v>
      </c>
      <c r="H3756" s="4" t="str">
        <v/>
      </c>
      <c r="I3756" s="4" t="str">
        <v/>
      </c>
    </row>
    <row r="3757" spans="5:9" ht="16.5" hidden="1">
      <c r="E3757" s="4" t="str">
        <v/>
      </c>
      <c r="F3757" s="102" t="str">
        <f ca="1">IFERROR(__xludf.DUMMYFUNCTION("IMPORTRANGE(H3757,""IDENTITAS UNIT!D9"")"),"#N/A")</f>
        <v>#N/A</v>
      </c>
      <c r="H3757" s="4" t="str">
        <v/>
      </c>
      <c r="I3757" s="4" t="str">
        <v/>
      </c>
    </row>
    <row r="3758" spans="5:9" ht="16.5" hidden="1">
      <c r="E3758" s="4" t="str">
        <v/>
      </c>
      <c r="F3758" s="102" t="str">
        <f ca="1">IFERROR(__xludf.DUMMYFUNCTION("IMPORTRANGE(H3758,""IDENTITAS UNIT!D9"")"),"#N/A")</f>
        <v>#N/A</v>
      </c>
      <c r="H3758" s="4" t="str">
        <v/>
      </c>
      <c r="I3758" s="4" t="str">
        <v/>
      </c>
    </row>
    <row r="3759" spans="5:9" ht="16.5" hidden="1">
      <c r="E3759" s="4" t="str">
        <v/>
      </c>
      <c r="F3759" s="102" t="str">
        <f ca="1">IFERROR(__xludf.DUMMYFUNCTION("IMPORTRANGE(H3759,""IDENTITAS UNIT!D9"")"),"#N/A")</f>
        <v>#N/A</v>
      </c>
      <c r="H3759" s="4" t="str">
        <v/>
      </c>
      <c r="I3759" s="4" t="str">
        <v/>
      </c>
    </row>
    <row r="3760" spans="5:9" ht="16.5" hidden="1">
      <c r="E3760" s="4" t="str">
        <v/>
      </c>
      <c r="F3760" s="102" t="str">
        <f ca="1">IFERROR(__xludf.DUMMYFUNCTION("IMPORTRANGE(H3760,""IDENTITAS UNIT!D9"")"),"#N/A")</f>
        <v>#N/A</v>
      </c>
      <c r="H3760" s="4" t="str">
        <v/>
      </c>
      <c r="I3760" s="4" t="str">
        <v/>
      </c>
    </row>
    <row r="3761" spans="5:9" ht="16.5" hidden="1">
      <c r="E3761" s="4" t="str">
        <v/>
      </c>
      <c r="F3761" s="102" t="str">
        <f ca="1">IFERROR(__xludf.DUMMYFUNCTION("IMPORTRANGE(H3761,""IDENTITAS UNIT!D9"")"),"#N/A")</f>
        <v>#N/A</v>
      </c>
      <c r="H3761" s="4" t="str">
        <v/>
      </c>
      <c r="I3761" s="4" t="str">
        <v/>
      </c>
    </row>
    <row r="3762" spans="5:9" ht="16.5" hidden="1">
      <c r="E3762" s="4" t="str">
        <v/>
      </c>
      <c r="F3762" s="102" t="str">
        <f ca="1">IFERROR(__xludf.DUMMYFUNCTION("IMPORTRANGE(H3762,""IDENTITAS UNIT!D9"")"),"#N/A")</f>
        <v>#N/A</v>
      </c>
      <c r="H3762" s="4" t="str">
        <v/>
      </c>
      <c r="I3762" s="4" t="str">
        <v/>
      </c>
    </row>
    <row r="3763" spans="5:9" ht="16.5" hidden="1">
      <c r="E3763" s="4" t="str">
        <v/>
      </c>
      <c r="F3763" s="102" t="str">
        <f ca="1">IFERROR(__xludf.DUMMYFUNCTION("IMPORTRANGE(H3763,""IDENTITAS UNIT!D9"")"),"#N/A")</f>
        <v>#N/A</v>
      </c>
      <c r="H3763" s="4" t="str">
        <v/>
      </c>
      <c r="I3763" s="4" t="str">
        <v/>
      </c>
    </row>
    <row r="3764" spans="5:9" ht="16.5" hidden="1">
      <c r="E3764" s="4" t="str">
        <v/>
      </c>
      <c r="F3764" s="102" t="str">
        <f ca="1">IFERROR(__xludf.DUMMYFUNCTION("IMPORTRANGE(H3764,""IDENTITAS UNIT!D9"")"),"#N/A")</f>
        <v>#N/A</v>
      </c>
      <c r="H3764" s="4" t="str">
        <v/>
      </c>
      <c r="I3764" s="4" t="str">
        <v/>
      </c>
    </row>
    <row r="3765" spans="5:9" ht="16.5" hidden="1">
      <c r="E3765" s="4" t="str">
        <v/>
      </c>
      <c r="F3765" s="102" t="str">
        <f ca="1">IFERROR(__xludf.DUMMYFUNCTION("IMPORTRANGE(H3765,""IDENTITAS UNIT!D9"")"),"#N/A")</f>
        <v>#N/A</v>
      </c>
      <c r="H3765" s="4" t="str">
        <v/>
      </c>
      <c r="I3765" s="4" t="str">
        <v/>
      </c>
    </row>
    <row r="3766" spans="5:9" ht="16.5" hidden="1">
      <c r="E3766" s="4" t="str">
        <v/>
      </c>
      <c r="F3766" s="102" t="str">
        <f ca="1">IFERROR(__xludf.DUMMYFUNCTION("IMPORTRANGE(H3766,""IDENTITAS UNIT!D9"")"),"#N/A")</f>
        <v>#N/A</v>
      </c>
      <c r="H3766" s="4" t="str">
        <v/>
      </c>
      <c r="I3766" s="4" t="str">
        <v/>
      </c>
    </row>
    <row r="3767" spans="5:9" ht="16.5" hidden="1">
      <c r="E3767" s="4" t="str">
        <v/>
      </c>
      <c r="F3767" s="102" t="str">
        <f ca="1">IFERROR(__xludf.DUMMYFUNCTION("IMPORTRANGE(H3767,""IDENTITAS UNIT!D9"")"),"#N/A")</f>
        <v>#N/A</v>
      </c>
      <c r="H3767" s="4" t="str">
        <v/>
      </c>
      <c r="I3767" s="4" t="str">
        <v/>
      </c>
    </row>
    <row r="3768" spans="5:9" ht="16.5" hidden="1">
      <c r="E3768" s="4" t="str">
        <v/>
      </c>
      <c r="F3768" s="102" t="str">
        <f ca="1">IFERROR(__xludf.DUMMYFUNCTION("IMPORTRANGE(H3768,""IDENTITAS UNIT!D9"")"),"#N/A")</f>
        <v>#N/A</v>
      </c>
      <c r="H3768" s="4" t="str">
        <v/>
      </c>
      <c r="I3768" s="4" t="str">
        <v/>
      </c>
    </row>
    <row r="3769" spans="5:9" ht="16.5" hidden="1">
      <c r="E3769" s="4" t="str">
        <v/>
      </c>
      <c r="F3769" s="102" t="str">
        <f ca="1">IFERROR(__xludf.DUMMYFUNCTION("IMPORTRANGE(H3769,""IDENTITAS UNIT!D9"")"),"#N/A")</f>
        <v>#N/A</v>
      </c>
      <c r="H3769" s="4" t="str">
        <v/>
      </c>
      <c r="I3769" s="4" t="str">
        <v/>
      </c>
    </row>
    <row r="3770" spans="5:9" ht="16.5" hidden="1">
      <c r="E3770" s="4" t="str">
        <v/>
      </c>
      <c r="F3770" s="102" t="str">
        <f ca="1">IFERROR(__xludf.DUMMYFUNCTION("IMPORTRANGE(H3770,""IDENTITAS UNIT!D9"")"),"#N/A")</f>
        <v>#N/A</v>
      </c>
      <c r="H3770" s="4" t="str">
        <v/>
      </c>
      <c r="I3770" s="4" t="str">
        <v/>
      </c>
    </row>
    <row r="3771" spans="5:9" ht="16.5" hidden="1">
      <c r="E3771" s="4" t="str">
        <v/>
      </c>
      <c r="F3771" s="102" t="str">
        <f ca="1">IFERROR(__xludf.DUMMYFUNCTION("IMPORTRANGE(H3771,""IDENTITAS UNIT!D9"")"),"#N/A")</f>
        <v>#N/A</v>
      </c>
      <c r="H3771" s="4" t="str">
        <v/>
      </c>
      <c r="I3771" s="4" t="str">
        <v/>
      </c>
    </row>
    <row r="3772" spans="5:9" ht="16.5" hidden="1">
      <c r="E3772" s="4" t="str">
        <v/>
      </c>
      <c r="F3772" s="102" t="str">
        <f ca="1">IFERROR(__xludf.DUMMYFUNCTION("IMPORTRANGE(H3772,""IDENTITAS UNIT!D9"")"),"#N/A")</f>
        <v>#N/A</v>
      </c>
      <c r="H3772" s="4" t="str">
        <v/>
      </c>
      <c r="I3772" s="4" t="str">
        <v/>
      </c>
    </row>
    <row r="3773" spans="5:9" ht="16.5" hidden="1">
      <c r="E3773" s="4" t="str">
        <v/>
      </c>
      <c r="F3773" s="102" t="str">
        <f ca="1">IFERROR(__xludf.DUMMYFUNCTION("IMPORTRANGE(H3773,""IDENTITAS UNIT!D9"")"),"#N/A")</f>
        <v>#N/A</v>
      </c>
      <c r="H3773" s="4" t="str">
        <v/>
      </c>
      <c r="I3773" s="4" t="str">
        <v/>
      </c>
    </row>
    <row r="3774" spans="5:9" ht="16.5" hidden="1">
      <c r="E3774" s="4" t="str">
        <v/>
      </c>
      <c r="F3774" s="102" t="str">
        <f ca="1">IFERROR(__xludf.DUMMYFUNCTION("IMPORTRANGE(H3774,""IDENTITAS UNIT!D9"")"),"#N/A")</f>
        <v>#N/A</v>
      </c>
      <c r="H3774" s="4" t="str">
        <v/>
      </c>
      <c r="I3774" s="4" t="str">
        <v/>
      </c>
    </row>
    <row r="3775" spans="5:9" ht="16.5" hidden="1">
      <c r="E3775" s="4" t="str">
        <v/>
      </c>
      <c r="F3775" s="102" t="str">
        <f ca="1">IFERROR(__xludf.DUMMYFUNCTION("IMPORTRANGE(H3775,""IDENTITAS UNIT!D9"")"),"#N/A")</f>
        <v>#N/A</v>
      </c>
      <c r="H3775" s="4" t="str">
        <v/>
      </c>
      <c r="I3775" s="4" t="str">
        <v/>
      </c>
    </row>
    <row r="3776" spans="5:9" ht="16.5" hidden="1">
      <c r="E3776" s="4" t="str">
        <v/>
      </c>
      <c r="F3776" s="102" t="str">
        <f ca="1">IFERROR(__xludf.DUMMYFUNCTION("IMPORTRANGE(H3776,""IDENTITAS UNIT!D9"")"),"#N/A")</f>
        <v>#N/A</v>
      </c>
      <c r="H3776" s="4" t="str">
        <v/>
      </c>
      <c r="I3776" s="4" t="str">
        <v/>
      </c>
    </row>
    <row r="3777" spans="5:9" ht="16.5" hidden="1">
      <c r="E3777" s="4" t="str">
        <v/>
      </c>
      <c r="F3777" s="102" t="str">
        <f ca="1">IFERROR(__xludf.DUMMYFUNCTION("IMPORTRANGE(H3777,""IDENTITAS UNIT!D9"")"),"#N/A")</f>
        <v>#N/A</v>
      </c>
      <c r="H3777" s="4" t="str">
        <v/>
      </c>
      <c r="I3777" s="4" t="str">
        <v/>
      </c>
    </row>
    <row r="3778" spans="5:9" ht="16.5" hidden="1">
      <c r="E3778" s="4" t="str">
        <v/>
      </c>
      <c r="F3778" s="102" t="str">
        <f ca="1">IFERROR(__xludf.DUMMYFUNCTION("IMPORTRANGE(H3778,""IDENTITAS UNIT!D9"")"),"#N/A")</f>
        <v>#N/A</v>
      </c>
      <c r="H3778" s="4" t="str">
        <v/>
      </c>
      <c r="I3778" s="4" t="str">
        <v/>
      </c>
    </row>
    <row r="3779" spans="5:9" ht="16.5" hidden="1">
      <c r="E3779" s="4" t="str">
        <v/>
      </c>
      <c r="F3779" s="102" t="str">
        <f ca="1">IFERROR(__xludf.DUMMYFUNCTION("IMPORTRANGE(H3779,""IDENTITAS UNIT!D9"")"),"#N/A")</f>
        <v>#N/A</v>
      </c>
      <c r="H3779" s="4" t="str">
        <v/>
      </c>
      <c r="I3779" s="4" t="str">
        <v/>
      </c>
    </row>
    <row r="3780" spans="5:9" ht="16.5" hidden="1">
      <c r="E3780" s="4" t="str">
        <v/>
      </c>
      <c r="F3780" s="102" t="str">
        <f ca="1">IFERROR(__xludf.DUMMYFUNCTION("IMPORTRANGE(H3780,""IDENTITAS UNIT!D9"")"),"#N/A")</f>
        <v>#N/A</v>
      </c>
      <c r="H3780" s="4" t="str">
        <v/>
      </c>
      <c r="I3780" s="4" t="str">
        <v/>
      </c>
    </row>
    <row r="3781" spans="5:9" ht="16.5" hidden="1">
      <c r="E3781" s="4" t="str">
        <v/>
      </c>
      <c r="F3781" s="102" t="str">
        <f ca="1">IFERROR(__xludf.DUMMYFUNCTION("IMPORTRANGE(H3781,""IDENTITAS UNIT!D9"")"),"#N/A")</f>
        <v>#N/A</v>
      </c>
      <c r="H3781" s="4" t="str">
        <v/>
      </c>
      <c r="I3781" s="4" t="str">
        <v/>
      </c>
    </row>
    <row r="3782" spans="5:9" ht="16.5" hidden="1">
      <c r="E3782" s="4" t="str">
        <v/>
      </c>
      <c r="F3782" s="102" t="str">
        <f ca="1">IFERROR(__xludf.DUMMYFUNCTION("IMPORTRANGE(H3782,""IDENTITAS UNIT!D9"")"),"#N/A")</f>
        <v>#N/A</v>
      </c>
      <c r="H3782" s="4" t="str">
        <v/>
      </c>
      <c r="I3782" s="4" t="str">
        <v/>
      </c>
    </row>
    <row r="3783" spans="5:9" ht="16.5" hidden="1">
      <c r="E3783" s="4" t="str">
        <v/>
      </c>
      <c r="F3783" s="102" t="str">
        <f ca="1">IFERROR(__xludf.DUMMYFUNCTION("IMPORTRANGE(H3783,""IDENTITAS UNIT!D9"")"),"#N/A")</f>
        <v>#N/A</v>
      </c>
      <c r="H3783" s="4" t="str">
        <v/>
      </c>
      <c r="I3783" s="4" t="str">
        <v/>
      </c>
    </row>
    <row r="3784" spans="5:9" ht="16.5" hidden="1">
      <c r="E3784" s="4" t="str">
        <v/>
      </c>
      <c r="F3784" s="102" t="str">
        <f ca="1">IFERROR(__xludf.DUMMYFUNCTION("IMPORTRANGE(H3784,""IDENTITAS UNIT!D9"")"),"#N/A")</f>
        <v>#N/A</v>
      </c>
      <c r="H3784" s="4" t="str">
        <v/>
      </c>
      <c r="I3784" s="4" t="str">
        <v/>
      </c>
    </row>
    <row r="3785" spans="5:9" ht="16.5" hidden="1">
      <c r="E3785" s="4" t="str">
        <v/>
      </c>
      <c r="F3785" s="102" t="str">
        <f ca="1">IFERROR(__xludf.DUMMYFUNCTION("IMPORTRANGE(H3785,""IDENTITAS UNIT!D9"")"),"#N/A")</f>
        <v>#N/A</v>
      </c>
      <c r="H3785" s="4" t="str">
        <v/>
      </c>
      <c r="I3785" s="4" t="str">
        <v/>
      </c>
    </row>
    <row r="3786" spans="5:9" ht="16.5" hidden="1">
      <c r="E3786" s="4" t="str">
        <v/>
      </c>
      <c r="F3786" s="102" t="str">
        <f ca="1">IFERROR(__xludf.DUMMYFUNCTION("IMPORTRANGE(H3786,""IDENTITAS UNIT!D9"")"),"#N/A")</f>
        <v>#N/A</v>
      </c>
      <c r="H3786" s="4" t="str">
        <v/>
      </c>
      <c r="I3786" s="4" t="str">
        <v/>
      </c>
    </row>
    <row r="3787" spans="5:9" ht="16.5" hidden="1">
      <c r="E3787" s="4" t="str">
        <v/>
      </c>
      <c r="F3787" s="102" t="str">
        <f ca="1">IFERROR(__xludf.DUMMYFUNCTION("IMPORTRANGE(H3787,""IDENTITAS UNIT!D9"")"),"#N/A")</f>
        <v>#N/A</v>
      </c>
      <c r="H3787" s="4" t="str">
        <v/>
      </c>
      <c r="I3787" s="4" t="str">
        <v/>
      </c>
    </row>
    <row r="3788" spans="5:9" ht="16.5" hidden="1">
      <c r="E3788" s="4" t="str">
        <v/>
      </c>
      <c r="F3788" s="102" t="str">
        <f ca="1">IFERROR(__xludf.DUMMYFUNCTION("IMPORTRANGE(H3788,""IDENTITAS UNIT!D9"")"),"#N/A")</f>
        <v>#N/A</v>
      </c>
      <c r="H3788" s="4" t="str">
        <v/>
      </c>
      <c r="I3788" s="4" t="str">
        <v/>
      </c>
    </row>
    <row r="3789" spans="5:9" ht="16.5" hidden="1">
      <c r="E3789" s="4" t="str">
        <v/>
      </c>
      <c r="F3789" s="102" t="str">
        <f ca="1">IFERROR(__xludf.DUMMYFUNCTION("IMPORTRANGE(H3789,""IDENTITAS UNIT!D9"")"),"#N/A")</f>
        <v>#N/A</v>
      </c>
      <c r="H3789" s="4" t="str">
        <v/>
      </c>
      <c r="I3789" s="4" t="str">
        <v/>
      </c>
    </row>
    <row r="3790" spans="5:9" ht="16.5" hidden="1">
      <c r="E3790" s="4" t="str">
        <v/>
      </c>
      <c r="F3790" s="102" t="str">
        <f ca="1">IFERROR(__xludf.DUMMYFUNCTION("IMPORTRANGE(H3790,""IDENTITAS UNIT!D9"")"),"#N/A")</f>
        <v>#N/A</v>
      </c>
      <c r="H3790" s="4" t="str">
        <v/>
      </c>
      <c r="I3790" s="4" t="str">
        <v/>
      </c>
    </row>
    <row r="3791" spans="5:9" ht="16.5" hidden="1">
      <c r="E3791" s="4" t="str">
        <v/>
      </c>
      <c r="F3791" s="102" t="str">
        <f ca="1">IFERROR(__xludf.DUMMYFUNCTION("IMPORTRANGE(H3791,""IDENTITAS UNIT!D9"")"),"#N/A")</f>
        <v>#N/A</v>
      </c>
      <c r="H3791" s="4" t="str">
        <v/>
      </c>
      <c r="I3791" s="4" t="str">
        <v/>
      </c>
    </row>
    <row r="3792" spans="5:9" ht="16.5" hidden="1">
      <c r="E3792" s="4" t="str">
        <v/>
      </c>
      <c r="F3792" s="102" t="str">
        <f ca="1">IFERROR(__xludf.DUMMYFUNCTION("IMPORTRANGE(H3792,""IDENTITAS UNIT!D9"")"),"#N/A")</f>
        <v>#N/A</v>
      </c>
      <c r="H3792" s="4" t="str">
        <v/>
      </c>
      <c r="I3792" s="4" t="str">
        <v/>
      </c>
    </row>
    <row r="3793" spans="5:9" ht="16.5" hidden="1">
      <c r="E3793" s="4" t="str">
        <v/>
      </c>
      <c r="F3793" s="102" t="str">
        <f ca="1">IFERROR(__xludf.DUMMYFUNCTION("IMPORTRANGE(H3793,""IDENTITAS UNIT!D9"")"),"#N/A")</f>
        <v>#N/A</v>
      </c>
      <c r="H3793" s="4" t="str">
        <v/>
      </c>
      <c r="I3793" s="4" t="str">
        <v/>
      </c>
    </row>
    <row r="3794" spans="5:9" ht="16.5" hidden="1">
      <c r="E3794" s="4" t="str">
        <v/>
      </c>
      <c r="F3794" s="102" t="str">
        <f ca="1">IFERROR(__xludf.DUMMYFUNCTION("IMPORTRANGE(H3794,""IDENTITAS UNIT!D9"")"),"#N/A")</f>
        <v>#N/A</v>
      </c>
      <c r="H3794" s="4" t="str">
        <v/>
      </c>
      <c r="I3794" s="4" t="str">
        <v/>
      </c>
    </row>
    <row r="3795" spans="5:9" ht="16.5" hidden="1">
      <c r="E3795" s="4" t="str">
        <v/>
      </c>
      <c r="F3795" s="102" t="str">
        <f ca="1">IFERROR(__xludf.DUMMYFUNCTION("IMPORTRANGE(H3795,""IDENTITAS UNIT!D9"")"),"#N/A")</f>
        <v>#N/A</v>
      </c>
      <c r="H3795" s="4" t="str">
        <v/>
      </c>
      <c r="I3795" s="4" t="str">
        <v/>
      </c>
    </row>
    <row r="3796" spans="5:9" ht="16.5" hidden="1">
      <c r="E3796" s="4" t="str">
        <v/>
      </c>
      <c r="F3796" s="102" t="str">
        <f ca="1">IFERROR(__xludf.DUMMYFUNCTION("IMPORTRANGE(H3796,""IDENTITAS UNIT!D9"")"),"#N/A")</f>
        <v>#N/A</v>
      </c>
      <c r="H3796" s="4" t="str">
        <v/>
      </c>
      <c r="I3796" s="4" t="str">
        <v/>
      </c>
    </row>
    <row r="3797" spans="5:9" ht="16.5" hidden="1">
      <c r="E3797" s="4" t="str">
        <v/>
      </c>
      <c r="F3797" s="102" t="str">
        <f ca="1">IFERROR(__xludf.DUMMYFUNCTION("IMPORTRANGE(H3797,""IDENTITAS UNIT!D9"")"),"#N/A")</f>
        <v>#N/A</v>
      </c>
      <c r="H3797" s="4" t="str">
        <v/>
      </c>
      <c r="I3797" s="4" t="str">
        <v/>
      </c>
    </row>
    <row r="3798" spans="5:9" ht="16.5" hidden="1">
      <c r="E3798" s="4" t="str">
        <v/>
      </c>
      <c r="F3798" s="102" t="str">
        <f ca="1">IFERROR(__xludf.DUMMYFUNCTION("IMPORTRANGE(H3798,""IDENTITAS UNIT!D9"")"),"#N/A")</f>
        <v>#N/A</v>
      </c>
      <c r="H3798" s="4" t="str">
        <v/>
      </c>
      <c r="I3798" s="4" t="str">
        <v/>
      </c>
    </row>
    <row r="3799" spans="5:9" ht="16.5" hidden="1">
      <c r="E3799" s="4" t="str">
        <v/>
      </c>
      <c r="F3799" s="102" t="str">
        <f ca="1">IFERROR(__xludf.DUMMYFUNCTION("IMPORTRANGE(H3799,""IDENTITAS UNIT!D9"")"),"#N/A")</f>
        <v>#N/A</v>
      </c>
      <c r="H3799" s="4" t="str">
        <v/>
      </c>
      <c r="I3799" s="4" t="str">
        <v/>
      </c>
    </row>
    <row r="3800" spans="5:9" ht="16.5" hidden="1">
      <c r="E3800" s="4" t="str">
        <v/>
      </c>
      <c r="F3800" s="102" t="str">
        <f ca="1">IFERROR(__xludf.DUMMYFUNCTION("IMPORTRANGE(H3800,""IDENTITAS UNIT!D9"")"),"#N/A")</f>
        <v>#N/A</v>
      </c>
      <c r="H3800" s="4" t="str">
        <v/>
      </c>
      <c r="I3800" s="4" t="str">
        <v/>
      </c>
    </row>
    <row r="3801" spans="5:9" ht="16.5" hidden="1">
      <c r="E3801" s="4" t="str">
        <v/>
      </c>
      <c r="F3801" s="102" t="str">
        <f ca="1">IFERROR(__xludf.DUMMYFUNCTION("IMPORTRANGE(H3801,""IDENTITAS UNIT!D9"")"),"#N/A")</f>
        <v>#N/A</v>
      </c>
      <c r="H3801" s="4" t="str">
        <v/>
      </c>
      <c r="I3801" s="4" t="str">
        <v/>
      </c>
    </row>
    <row r="3802" spans="5:9" ht="16.5" hidden="1">
      <c r="E3802" s="4" t="str">
        <v/>
      </c>
      <c r="F3802" s="102" t="str">
        <f ca="1">IFERROR(__xludf.DUMMYFUNCTION("IMPORTRANGE(H3802,""IDENTITAS UNIT!D9"")"),"#N/A")</f>
        <v>#N/A</v>
      </c>
      <c r="H3802" s="4" t="str">
        <v/>
      </c>
      <c r="I3802" s="4" t="str">
        <v/>
      </c>
    </row>
    <row r="3803" spans="5:9" ht="16.5" hidden="1">
      <c r="E3803" s="4" t="str">
        <v/>
      </c>
      <c r="F3803" s="102" t="str">
        <f ca="1">IFERROR(__xludf.DUMMYFUNCTION("IMPORTRANGE(H3803,""IDENTITAS UNIT!D9"")"),"#N/A")</f>
        <v>#N/A</v>
      </c>
      <c r="H3803" s="4" t="str">
        <v/>
      </c>
      <c r="I3803" s="4" t="str">
        <v/>
      </c>
    </row>
    <row r="3804" spans="5:9" ht="16.5" hidden="1">
      <c r="E3804" s="4" t="str">
        <v/>
      </c>
      <c r="F3804" s="102" t="str">
        <f ca="1">IFERROR(__xludf.DUMMYFUNCTION("IMPORTRANGE(H3804,""IDENTITAS UNIT!D9"")"),"#N/A")</f>
        <v>#N/A</v>
      </c>
      <c r="H3804" s="4" t="str">
        <v/>
      </c>
      <c r="I3804" s="4" t="str">
        <v/>
      </c>
    </row>
    <row r="3805" spans="5:9" ht="16.5" hidden="1">
      <c r="E3805" s="4" t="str">
        <v/>
      </c>
      <c r="F3805" s="102" t="str">
        <f ca="1">IFERROR(__xludf.DUMMYFUNCTION("IMPORTRANGE(H3805,""IDENTITAS UNIT!D9"")"),"#N/A")</f>
        <v>#N/A</v>
      </c>
      <c r="H3805" s="4" t="str">
        <v/>
      </c>
      <c r="I3805" s="4" t="str">
        <v/>
      </c>
    </row>
    <row r="3806" spans="5:9" ht="16.5" hidden="1">
      <c r="E3806" s="4" t="str">
        <v/>
      </c>
      <c r="F3806" s="102" t="str">
        <f ca="1">IFERROR(__xludf.DUMMYFUNCTION("IMPORTRANGE(H3806,""IDENTITAS UNIT!D9"")"),"#N/A")</f>
        <v>#N/A</v>
      </c>
      <c r="H3806" s="4" t="str">
        <v/>
      </c>
      <c r="I3806" s="4" t="str">
        <v/>
      </c>
    </row>
    <row r="3807" spans="5:9" ht="16.5" hidden="1">
      <c r="E3807" s="4" t="str">
        <v/>
      </c>
      <c r="F3807" s="102" t="str">
        <f ca="1">IFERROR(__xludf.DUMMYFUNCTION("IMPORTRANGE(H3807,""IDENTITAS UNIT!D9"")"),"#N/A")</f>
        <v>#N/A</v>
      </c>
      <c r="H3807" s="4" t="str">
        <v/>
      </c>
      <c r="I3807" s="4" t="str">
        <v/>
      </c>
    </row>
    <row r="3808" spans="5:9" ht="16.5" hidden="1">
      <c r="E3808" s="4" t="str">
        <v/>
      </c>
      <c r="F3808" s="102" t="str">
        <f ca="1">IFERROR(__xludf.DUMMYFUNCTION("IMPORTRANGE(H3808,""IDENTITAS UNIT!D9"")"),"#N/A")</f>
        <v>#N/A</v>
      </c>
      <c r="H3808" s="4" t="str">
        <v/>
      </c>
      <c r="I3808" s="4" t="str">
        <v/>
      </c>
    </row>
    <row r="3809" spans="5:9" ht="16.5" hidden="1">
      <c r="E3809" s="4" t="str">
        <v/>
      </c>
      <c r="F3809" s="102" t="str">
        <f ca="1">IFERROR(__xludf.DUMMYFUNCTION("IMPORTRANGE(H3809,""IDENTITAS UNIT!D9"")"),"#N/A")</f>
        <v>#N/A</v>
      </c>
      <c r="H3809" s="4" t="str">
        <v/>
      </c>
      <c r="I3809" s="4" t="str">
        <v/>
      </c>
    </row>
    <row r="3810" spans="5:9" ht="16.5" hidden="1">
      <c r="E3810" s="4" t="str">
        <v/>
      </c>
      <c r="F3810" s="102" t="str">
        <f ca="1">IFERROR(__xludf.DUMMYFUNCTION("IMPORTRANGE(H3810,""IDENTITAS UNIT!D9"")"),"#N/A")</f>
        <v>#N/A</v>
      </c>
      <c r="H3810" s="4" t="str">
        <v/>
      </c>
      <c r="I3810" s="4" t="str">
        <v/>
      </c>
    </row>
    <row r="3811" spans="5:9" ht="16.5" hidden="1">
      <c r="E3811" s="4" t="str">
        <v/>
      </c>
      <c r="F3811" s="102" t="str">
        <f ca="1">IFERROR(__xludf.DUMMYFUNCTION("IMPORTRANGE(H3811,""IDENTITAS UNIT!D9"")"),"#N/A")</f>
        <v>#N/A</v>
      </c>
      <c r="H3811" s="4" t="str">
        <v/>
      </c>
      <c r="I3811" s="4" t="str">
        <v/>
      </c>
    </row>
    <row r="3812" spans="5:9" ht="16.5" hidden="1">
      <c r="E3812" s="4" t="str">
        <v/>
      </c>
      <c r="F3812" s="102" t="str">
        <f ca="1">IFERROR(__xludf.DUMMYFUNCTION("IMPORTRANGE(H3812,""IDENTITAS UNIT!D9"")"),"#N/A")</f>
        <v>#N/A</v>
      </c>
      <c r="H3812" s="4" t="str">
        <v/>
      </c>
      <c r="I3812" s="4" t="str">
        <v/>
      </c>
    </row>
    <row r="3813" spans="5:9" ht="16.5" hidden="1">
      <c r="E3813" s="4" t="str">
        <v/>
      </c>
      <c r="F3813" s="102" t="str">
        <f ca="1">IFERROR(__xludf.DUMMYFUNCTION("IMPORTRANGE(H3813,""IDENTITAS UNIT!D9"")"),"#N/A")</f>
        <v>#N/A</v>
      </c>
      <c r="H3813" s="4" t="str">
        <v/>
      </c>
      <c r="I3813" s="4" t="str">
        <v/>
      </c>
    </row>
    <row r="3814" spans="5:9" ht="16.5" hidden="1">
      <c r="E3814" s="4" t="str">
        <v/>
      </c>
      <c r="F3814" s="102" t="str">
        <f ca="1">IFERROR(__xludf.DUMMYFUNCTION("IMPORTRANGE(H3814,""IDENTITAS UNIT!D9"")"),"#N/A")</f>
        <v>#N/A</v>
      </c>
      <c r="H3814" s="4" t="str">
        <v/>
      </c>
      <c r="I3814" s="4" t="str">
        <v/>
      </c>
    </row>
    <row r="3815" spans="5:9" ht="16.5" hidden="1">
      <c r="E3815" s="4" t="str">
        <v/>
      </c>
      <c r="F3815" s="102" t="str">
        <f ca="1">IFERROR(__xludf.DUMMYFUNCTION("IMPORTRANGE(H3815,""IDENTITAS UNIT!D9"")"),"#N/A")</f>
        <v>#N/A</v>
      </c>
      <c r="H3815" s="4" t="str">
        <v/>
      </c>
      <c r="I3815" s="4" t="str">
        <v/>
      </c>
    </row>
    <row r="3816" spans="5:9" ht="16.5" hidden="1">
      <c r="E3816" s="4" t="str">
        <v/>
      </c>
      <c r="F3816" s="102" t="str">
        <f ca="1">IFERROR(__xludf.DUMMYFUNCTION("IMPORTRANGE(H3816,""IDENTITAS UNIT!D9"")"),"#N/A")</f>
        <v>#N/A</v>
      </c>
      <c r="H3816" s="4" t="str">
        <v/>
      </c>
      <c r="I3816" s="4" t="str">
        <v/>
      </c>
    </row>
    <row r="3817" spans="5:9" ht="16.5" hidden="1">
      <c r="E3817" s="4" t="str">
        <v/>
      </c>
      <c r="F3817" s="102" t="str">
        <f ca="1">IFERROR(__xludf.DUMMYFUNCTION("IMPORTRANGE(H3817,""IDENTITAS UNIT!D9"")"),"#N/A")</f>
        <v>#N/A</v>
      </c>
      <c r="H3817" s="4" t="str">
        <v/>
      </c>
      <c r="I3817" s="4" t="str">
        <v/>
      </c>
    </row>
    <row r="3818" spans="5:9" ht="16.5" hidden="1">
      <c r="E3818" s="4" t="str">
        <v/>
      </c>
      <c r="F3818" s="102" t="str">
        <f ca="1">IFERROR(__xludf.DUMMYFUNCTION("IMPORTRANGE(H3818,""IDENTITAS UNIT!D9"")"),"#N/A")</f>
        <v>#N/A</v>
      </c>
      <c r="H3818" s="4" t="str">
        <v/>
      </c>
      <c r="I3818" s="4" t="str">
        <v/>
      </c>
    </row>
    <row r="3819" spans="5:9" ht="16.5" hidden="1">
      <c r="E3819" s="4" t="str">
        <v/>
      </c>
      <c r="F3819" s="102" t="str">
        <f ca="1">IFERROR(__xludf.DUMMYFUNCTION("IMPORTRANGE(H3819,""IDENTITAS UNIT!D9"")"),"#N/A")</f>
        <v>#N/A</v>
      </c>
      <c r="H3819" s="4" t="str">
        <v/>
      </c>
      <c r="I3819" s="4" t="str">
        <v/>
      </c>
    </row>
    <row r="3820" spans="5:9" ht="16.5" hidden="1">
      <c r="E3820" s="4" t="str">
        <v/>
      </c>
      <c r="F3820" s="102" t="str">
        <f ca="1">IFERROR(__xludf.DUMMYFUNCTION("IMPORTRANGE(H3820,""IDENTITAS UNIT!D9"")"),"#N/A")</f>
        <v>#N/A</v>
      </c>
      <c r="H3820" s="4" t="str">
        <v/>
      </c>
      <c r="I3820" s="4" t="str">
        <v/>
      </c>
    </row>
    <row r="3821" spans="5:9" ht="16.5" hidden="1">
      <c r="E3821" s="4" t="str">
        <v/>
      </c>
      <c r="F3821" s="102" t="str">
        <f ca="1">IFERROR(__xludf.DUMMYFUNCTION("IMPORTRANGE(H3821,""IDENTITAS UNIT!D9"")"),"#N/A")</f>
        <v>#N/A</v>
      </c>
      <c r="H3821" s="4" t="str">
        <v/>
      </c>
      <c r="I3821" s="4" t="str">
        <v/>
      </c>
    </row>
    <row r="3822" spans="5:9" ht="16.5" hidden="1">
      <c r="E3822" s="4" t="str">
        <v/>
      </c>
      <c r="F3822" s="102" t="str">
        <f ca="1">IFERROR(__xludf.DUMMYFUNCTION("IMPORTRANGE(H3822,""IDENTITAS UNIT!D9"")"),"#N/A")</f>
        <v>#N/A</v>
      </c>
      <c r="H3822" s="4" t="str">
        <v/>
      </c>
      <c r="I3822" s="4" t="str">
        <v/>
      </c>
    </row>
    <row r="3823" spans="5:9" ht="16.5" hidden="1">
      <c r="E3823" s="4" t="str">
        <v/>
      </c>
      <c r="F3823" s="102" t="str">
        <f ca="1">IFERROR(__xludf.DUMMYFUNCTION("IMPORTRANGE(H3823,""IDENTITAS UNIT!D9"")"),"#N/A")</f>
        <v>#N/A</v>
      </c>
      <c r="H3823" s="4" t="str">
        <v/>
      </c>
      <c r="I3823" s="4" t="str">
        <v/>
      </c>
    </row>
    <row r="3824" spans="5:9" ht="16.5" hidden="1">
      <c r="E3824" s="4" t="str">
        <v/>
      </c>
      <c r="F3824" s="102" t="str">
        <f ca="1">IFERROR(__xludf.DUMMYFUNCTION("IMPORTRANGE(H3824,""IDENTITAS UNIT!D9"")"),"#N/A")</f>
        <v>#N/A</v>
      </c>
      <c r="H3824" s="4" t="str">
        <v/>
      </c>
      <c r="I3824" s="4" t="str">
        <v/>
      </c>
    </row>
    <row r="3825" spans="5:9" ht="16.5" hidden="1">
      <c r="E3825" s="4" t="str">
        <v/>
      </c>
      <c r="F3825" s="102" t="str">
        <f ca="1">IFERROR(__xludf.DUMMYFUNCTION("IMPORTRANGE(H3825,""IDENTITAS UNIT!D9"")"),"#N/A")</f>
        <v>#N/A</v>
      </c>
      <c r="H3825" s="4" t="str">
        <v/>
      </c>
      <c r="I3825" s="4" t="str">
        <v/>
      </c>
    </row>
    <row r="3826" spans="5:9" ht="16.5" hidden="1">
      <c r="E3826" s="4" t="str">
        <v/>
      </c>
      <c r="F3826" s="102" t="str">
        <f ca="1">IFERROR(__xludf.DUMMYFUNCTION("IMPORTRANGE(H3826,""IDENTITAS UNIT!D9"")"),"#N/A")</f>
        <v>#N/A</v>
      </c>
      <c r="H3826" s="4" t="str">
        <v/>
      </c>
      <c r="I3826" s="4" t="str">
        <v/>
      </c>
    </row>
    <row r="3827" spans="5:9" ht="16.5" hidden="1">
      <c r="E3827" s="4" t="str">
        <v/>
      </c>
      <c r="F3827" s="102" t="str">
        <f ca="1">IFERROR(__xludf.DUMMYFUNCTION("IMPORTRANGE(H3827,""IDENTITAS UNIT!D9"")"),"#N/A")</f>
        <v>#N/A</v>
      </c>
      <c r="H3827" s="4" t="str">
        <v/>
      </c>
      <c r="I3827" s="4" t="str">
        <v/>
      </c>
    </row>
    <row r="3828" spans="5:9" ht="16.5" hidden="1">
      <c r="E3828" s="4" t="str">
        <v/>
      </c>
      <c r="F3828" s="102" t="str">
        <f ca="1">IFERROR(__xludf.DUMMYFUNCTION("IMPORTRANGE(H3828,""IDENTITAS UNIT!D9"")"),"#N/A")</f>
        <v>#N/A</v>
      </c>
      <c r="H3828" s="4" t="str">
        <v/>
      </c>
      <c r="I3828" s="4" t="str">
        <v/>
      </c>
    </row>
    <row r="3829" spans="5:9" ht="16.5" hidden="1">
      <c r="E3829" s="4" t="str">
        <v/>
      </c>
      <c r="F3829" s="102" t="str">
        <f ca="1">IFERROR(__xludf.DUMMYFUNCTION("IMPORTRANGE(H3829,""IDENTITAS UNIT!D9"")"),"#N/A")</f>
        <v>#N/A</v>
      </c>
      <c r="H3829" s="4" t="str">
        <v/>
      </c>
      <c r="I3829" s="4" t="str">
        <v/>
      </c>
    </row>
    <row r="3830" spans="5:9" ht="16.5" hidden="1">
      <c r="E3830" s="4" t="str">
        <v/>
      </c>
      <c r="F3830" s="102" t="str">
        <f ca="1">IFERROR(__xludf.DUMMYFUNCTION("IMPORTRANGE(H3830,""IDENTITAS UNIT!D9"")"),"#N/A")</f>
        <v>#N/A</v>
      </c>
      <c r="H3830" s="4" t="str">
        <v/>
      </c>
      <c r="I3830" s="4" t="str">
        <v/>
      </c>
    </row>
    <row r="3831" spans="5:9" ht="16.5" hidden="1">
      <c r="E3831" s="4" t="str">
        <v/>
      </c>
      <c r="F3831" s="102" t="str">
        <f ca="1">IFERROR(__xludf.DUMMYFUNCTION("IMPORTRANGE(H3831,""IDENTITAS UNIT!D9"")"),"#N/A")</f>
        <v>#N/A</v>
      </c>
      <c r="H3831" s="4" t="str">
        <v/>
      </c>
      <c r="I3831" s="4" t="str">
        <v/>
      </c>
    </row>
    <row r="3832" spans="5:9" ht="16.5" hidden="1">
      <c r="E3832" s="4" t="str">
        <v/>
      </c>
      <c r="F3832" s="102" t="str">
        <f ca="1">IFERROR(__xludf.DUMMYFUNCTION("IMPORTRANGE(H3832,""IDENTITAS UNIT!D9"")"),"#N/A")</f>
        <v>#N/A</v>
      </c>
      <c r="H3832" s="4" t="str">
        <v/>
      </c>
      <c r="I3832" s="4" t="str">
        <v/>
      </c>
    </row>
    <row r="3833" spans="5:9" ht="16.5" hidden="1">
      <c r="E3833" s="4" t="str">
        <v/>
      </c>
      <c r="F3833" s="102" t="str">
        <f ca="1">IFERROR(__xludf.DUMMYFUNCTION("IMPORTRANGE(H3833,""IDENTITAS UNIT!D9"")"),"#N/A")</f>
        <v>#N/A</v>
      </c>
      <c r="H3833" s="4" t="str">
        <v/>
      </c>
      <c r="I3833" s="4" t="str">
        <v/>
      </c>
    </row>
    <row r="3834" spans="5:9" ht="16.5" hidden="1">
      <c r="E3834" s="4" t="str">
        <v/>
      </c>
      <c r="F3834" s="102" t="str">
        <f ca="1">IFERROR(__xludf.DUMMYFUNCTION("IMPORTRANGE(H3834,""IDENTITAS UNIT!D9"")"),"#N/A")</f>
        <v>#N/A</v>
      </c>
      <c r="H3834" s="4" t="str">
        <v/>
      </c>
      <c r="I3834" s="4" t="str">
        <v/>
      </c>
    </row>
    <row r="3835" spans="5:9" ht="16.5" hidden="1">
      <c r="E3835" s="4" t="str">
        <v/>
      </c>
      <c r="F3835" s="102" t="str">
        <f ca="1">IFERROR(__xludf.DUMMYFUNCTION("IMPORTRANGE(H3835,""IDENTITAS UNIT!D9"")"),"#N/A")</f>
        <v>#N/A</v>
      </c>
      <c r="H3835" s="4" t="str">
        <v/>
      </c>
      <c r="I3835" s="4" t="str">
        <v/>
      </c>
    </row>
    <row r="3836" spans="5:9" ht="16.5" hidden="1">
      <c r="E3836" s="4" t="str">
        <v/>
      </c>
      <c r="F3836" s="102" t="str">
        <f ca="1">IFERROR(__xludf.DUMMYFUNCTION("IMPORTRANGE(H3836,""IDENTITAS UNIT!D9"")"),"#N/A")</f>
        <v>#N/A</v>
      </c>
      <c r="H3836" s="4" t="str">
        <v/>
      </c>
      <c r="I3836" s="4" t="str">
        <v/>
      </c>
    </row>
    <row r="3837" spans="5:9" ht="16.5" hidden="1">
      <c r="E3837" s="4" t="str">
        <v/>
      </c>
      <c r="F3837" s="102" t="str">
        <f ca="1">IFERROR(__xludf.DUMMYFUNCTION("IMPORTRANGE(H3837,""IDENTITAS UNIT!D9"")"),"#N/A")</f>
        <v>#N/A</v>
      </c>
      <c r="H3837" s="4" t="str">
        <v/>
      </c>
      <c r="I3837" s="4" t="str">
        <v/>
      </c>
    </row>
    <row r="3838" spans="5:9" ht="16.5" hidden="1">
      <c r="E3838" s="4" t="str">
        <v/>
      </c>
      <c r="F3838" s="102" t="str">
        <f ca="1">IFERROR(__xludf.DUMMYFUNCTION("IMPORTRANGE(H3838,""IDENTITAS UNIT!D9"")"),"#N/A")</f>
        <v>#N/A</v>
      </c>
      <c r="H3838" s="4" t="str">
        <v/>
      </c>
      <c r="I3838" s="4" t="str">
        <v/>
      </c>
    </row>
    <row r="3839" spans="5:9" ht="16.5" hidden="1">
      <c r="E3839" s="4" t="str">
        <v/>
      </c>
      <c r="F3839" s="102" t="str">
        <f ca="1">IFERROR(__xludf.DUMMYFUNCTION("IMPORTRANGE(H3839,""IDENTITAS UNIT!D9"")"),"#N/A")</f>
        <v>#N/A</v>
      </c>
      <c r="H3839" s="4" t="str">
        <v/>
      </c>
      <c r="I3839" s="4" t="str">
        <v/>
      </c>
    </row>
    <row r="3840" spans="5:9" ht="16.5" hidden="1">
      <c r="E3840" s="4" t="str">
        <v/>
      </c>
      <c r="F3840" s="102" t="str">
        <f ca="1">IFERROR(__xludf.DUMMYFUNCTION("IMPORTRANGE(H3840,""IDENTITAS UNIT!D9"")"),"#N/A")</f>
        <v>#N/A</v>
      </c>
      <c r="H3840" s="4" t="str">
        <v/>
      </c>
      <c r="I3840" s="4" t="str">
        <v/>
      </c>
    </row>
    <row r="3841" spans="5:9" ht="16.5" hidden="1">
      <c r="E3841" s="4" t="str">
        <v/>
      </c>
      <c r="F3841" s="102" t="str">
        <f ca="1">IFERROR(__xludf.DUMMYFUNCTION("IMPORTRANGE(H3841,""IDENTITAS UNIT!D9"")"),"#N/A")</f>
        <v>#N/A</v>
      </c>
      <c r="H3841" s="4" t="str">
        <v/>
      </c>
      <c r="I3841" s="4" t="str">
        <v/>
      </c>
    </row>
    <row r="3842" spans="5:9" ht="16.5" hidden="1">
      <c r="E3842" s="4" t="str">
        <v/>
      </c>
      <c r="F3842" s="102" t="str">
        <f ca="1">IFERROR(__xludf.DUMMYFUNCTION("IMPORTRANGE(H3842,""IDENTITAS UNIT!D9"")"),"#N/A")</f>
        <v>#N/A</v>
      </c>
      <c r="H3842" s="4" t="str">
        <v/>
      </c>
      <c r="I3842" s="4" t="str">
        <v/>
      </c>
    </row>
    <row r="3843" spans="5:9" ht="16.5" hidden="1">
      <c r="E3843" s="4" t="str">
        <v/>
      </c>
      <c r="F3843" s="102" t="str">
        <f ca="1">IFERROR(__xludf.DUMMYFUNCTION("IMPORTRANGE(H3843,""IDENTITAS UNIT!D9"")"),"#N/A")</f>
        <v>#N/A</v>
      </c>
      <c r="H3843" s="4" t="str">
        <v/>
      </c>
      <c r="I3843" s="4" t="str">
        <v/>
      </c>
    </row>
    <row r="3844" spans="5:9" ht="16.5" hidden="1">
      <c r="E3844" s="4" t="str">
        <v/>
      </c>
      <c r="F3844" s="102" t="str">
        <f ca="1">IFERROR(__xludf.DUMMYFUNCTION("IMPORTRANGE(H3844,""IDENTITAS UNIT!D9"")"),"#N/A")</f>
        <v>#N/A</v>
      </c>
      <c r="H3844" s="4" t="str">
        <v/>
      </c>
      <c r="I3844" s="4" t="str">
        <v/>
      </c>
    </row>
    <row r="3845" spans="5:9" ht="16.5" hidden="1">
      <c r="E3845" s="4" t="str">
        <v/>
      </c>
      <c r="F3845" s="102" t="str">
        <f ca="1">IFERROR(__xludf.DUMMYFUNCTION("IMPORTRANGE(H3845,""IDENTITAS UNIT!D9"")"),"#N/A")</f>
        <v>#N/A</v>
      </c>
      <c r="H3845" s="4" t="str">
        <v/>
      </c>
      <c r="I3845" s="4" t="str">
        <v/>
      </c>
    </row>
    <row r="3846" spans="5:9" ht="16.5" hidden="1">
      <c r="E3846" s="4" t="str">
        <v/>
      </c>
      <c r="F3846" s="102" t="str">
        <f ca="1">IFERROR(__xludf.DUMMYFUNCTION("IMPORTRANGE(H3846,""IDENTITAS UNIT!D9"")"),"#N/A")</f>
        <v>#N/A</v>
      </c>
      <c r="H3846" s="4" t="str">
        <v/>
      </c>
      <c r="I3846" s="4" t="str">
        <v/>
      </c>
    </row>
    <row r="3847" spans="5:9" ht="16.5" hidden="1">
      <c r="E3847" s="4" t="str">
        <v/>
      </c>
      <c r="F3847" s="102" t="str">
        <f ca="1">IFERROR(__xludf.DUMMYFUNCTION("IMPORTRANGE(H3847,""IDENTITAS UNIT!D9"")"),"#N/A")</f>
        <v>#N/A</v>
      </c>
      <c r="H3847" s="4" t="str">
        <v/>
      </c>
      <c r="I3847" s="4" t="str">
        <v/>
      </c>
    </row>
    <row r="3848" spans="5:9" ht="16.5" hidden="1">
      <c r="E3848" s="4" t="str">
        <v/>
      </c>
      <c r="F3848" s="102" t="str">
        <f ca="1">IFERROR(__xludf.DUMMYFUNCTION("IMPORTRANGE(H3848,""IDENTITAS UNIT!D9"")"),"#N/A")</f>
        <v>#N/A</v>
      </c>
      <c r="H3848" s="4" t="str">
        <v/>
      </c>
      <c r="I3848" s="4" t="str">
        <v/>
      </c>
    </row>
    <row r="3849" spans="5:9" ht="16.5" hidden="1">
      <c r="E3849" s="4" t="str">
        <v/>
      </c>
      <c r="F3849" s="102" t="str">
        <f ca="1">IFERROR(__xludf.DUMMYFUNCTION("IMPORTRANGE(H3849,""IDENTITAS UNIT!D9"")"),"#N/A")</f>
        <v>#N/A</v>
      </c>
      <c r="H3849" s="4" t="str">
        <v/>
      </c>
      <c r="I3849" s="4" t="str">
        <v/>
      </c>
    </row>
    <row r="3850" spans="5:9" ht="16.5" hidden="1">
      <c r="E3850" s="4" t="str">
        <v/>
      </c>
      <c r="F3850" s="102" t="str">
        <f ca="1">IFERROR(__xludf.DUMMYFUNCTION("IMPORTRANGE(H3850,""IDENTITAS UNIT!D9"")"),"#N/A")</f>
        <v>#N/A</v>
      </c>
      <c r="H3850" s="4" t="str">
        <v/>
      </c>
      <c r="I3850" s="4" t="str">
        <v/>
      </c>
    </row>
    <row r="3851" spans="5:9" ht="16.5" hidden="1">
      <c r="E3851" s="4" t="str">
        <v/>
      </c>
      <c r="F3851" s="102" t="str">
        <f ca="1">IFERROR(__xludf.DUMMYFUNCTION("IMPORTRANGE(H3851,""IDENTITAS UNIT!D9"")"),"#N/A")</f>
        <v>#N/A</v>
      </c>
      <c r="H3851" s="4" t="str">
        <v/>
      </c>
      <c r="I3851" s="4" t="str">
        <v/>
      </c>
    </row>
    <row r="3852" spans="5:9" ht="16.5" hidden="1">
      <c r="E3852" s="4" t="str">
        <v/>
      </c>
      <c r="F3852" s="102" t="str">
        <f ca="1">IFERROR(__xludf.DUMMYFUNCTION("IMPORTRANGE(H3852,""IDENTITAS UNIT!D9"")"),"#N/A")</f>
        <v>#N/A</v>
      </c>
      <c r="H3852" s="4" t="str">
        <v/>
      </c>
      <c r="I3852" s="4" t="str">
        <v/>
      </c>
    </row>
    <row r="3853" spans="5:9" ht="16.5" hidden="1">
      <c r="E3853" s="4" t="str">
        <v/>
      </c>
      <c r="F3853" s="102" t="str">
        <f ca="1">IFERROR(__xludf.DUMMYFUNCTION("IMPORTRANGE(H3853,""IDENTITAS UNIT!D9"")"),"#N/A")</f>
        <v>#N/A</v>
      </c>
      <c r="H3853" s="4" t="str">
        <v/>
      </c>
      <c r="I3853" s="4" t="str">
        <v/>
      </c>
    </row>
    <row r="3854" spans="5:9" ht="16.5" hidden="1">
      <c r="E3854" s="4" t="str">
        <v/>
      </c>
      <c r="F3854" s="102" t="str">
        <f ca="1">IFERROR(__xludf.DUMMYFUNCTION("IMPORTRANGE(H3854,""IDENTITAS UNIT!D9"")"),"#N/A")</f>
        <v>#N/A</v>
      </c>
      <c r="H3854" s="4" t="str">
        <v/>
      </c>
      <c r="I3854" s="4" t="str">
        <v/>
      </c>
    </row>
    <row r="3855" spans="5:9" ht="16.5" hidden="1">
      <c r="E3855" s="4" t="str">
        <v/>
      </c>
      <c r="F3855" s="102" t="str">
        <f ca="1">IFERROR(__xludf.DUMMYFUNCTION("IMPORTRANGE(H3855,""IDENTITAS UNIT!D9"")"),"#N/A")</f>
        <v>#N/A</v>
      </c>
      <c r="H3855" s="4" t="str">
        <v/>
      </c>
      <c r="I3855" s="4" t="str">
        <v/>
      </c>
    </row>
    <row r="3856" spans="5:9" ht="16.5" hidden="1">
      <c r="E3856" s="4" t="str">
        <v/>
      </c>
      <c r="F3856" s="102" t="str">
        <f ca="1">IFERROR(__xludf.DUMMYFUNCTION("IMPORTRANGE(H3856,""IDENTITAS UNIT!D9"")"),"#N/A")</f>
        <v>#N/A</v>
      </c>
      <c r="H3856" s="4" t="str">
        <v/>
      </c>
      <c r="I3856" s="4" t="str">
        <v/>
      </c>
    </row>
    <row r="3857" spans="5:9" ht="16.5" hidden="1">
      <c r="E3857" s="4" t="str">
        <v/>
      </c>
      <c r="F3857" s="102" t="str">
        <f ca="1">IFERROR(__xludf.DUMMYFUNCTION("IMPORTRANGE(H3857,""IDENTITAS UNIT!D9"")"),"#N/A")</f>
        <v>#N/A</v>
      </c>
      <c r="H3857" s="4" t="str">
        <v/>
      </c>
      <c r="I3857" s="4" t="str">
        <v/>
      </c>
    </row>
    <row r="3858" spans="5:9" ht="16.5" hidden="1">
      <c r="E3858" s="4" t="str">
        <v/>
      </c>
      <c r="F3858" s="102" t="str">
        <f ca="1">IFERROR(__xludf.DUMMYFUNCTION("IMPORTRANGE(H3858,""IDENTITAS UNIT!D9"")"),"#N/A")</f>
        <v>#N/A</v>
      </c>
      <c r="H3858" s="4" t="str">
        <v/>
      </c>
      <c r="I3858" s="4" t="str">
        <v/>
      </c>
    </row>
    <row r="3859" spans="5:9" ht="16.5" hidden="1">
      <c r="E3859" s="4" t="str">
        <v/>
      </c>
      <c r="F3859" s="102" t="str">
        <f ca="1">IFERROR(__xludf.DUMMYFUNCTION("IMPORTRANGE(H3859,""IDENTITAS UNIT!D9"")"),"#N/A")</f>
        <v>#N/A</v>
      </c>
      <c r="H3859" s="4" t="str">
        <v/>
      </c>
      <c r="I3859" s="4" t="str">
        <v/>
      </c>
    </row>
    <row r="3860" spans="5:9" ht="16.5" hidden="1">
      <c r="E3860" s="4" t="str">
        <v/>
      </c>
      <c r="F3860" s="102" t="str">
        <f ca="1">IFERROR(__xludf.DUMMYFUNCTION("IMPORTRANGE(H3860,""IDENTITAS UNIT!D9"")"),"#N/A")</f>
        <v>#N/A</v>
      </c>
      <c r="H3860" s="4" t="str">
        <v/>
      </c>
      <c r="I3860" s="4" t="str">
        <v/>
      </c>
    </row>
    <row r="3861" spans="5:9" ht="16.5" hidden="1">
      <c r="E3861" s="4" t="str">
        <v/>
      </c>
      <c r="F3861" s="102" t="str">
        <f ca="1">IFERROR(__xludf.DUMMYFUNCTION("IMPORTRANGE(H3861,""IDENTITAS UNIT!D9"")"),"#N/A")</f>
        <v>#N/A</v>
      </c>
      <c r="H3861" s="4" t="str">
        <v/>
      </c>
      <c r="I3861" s="4" t="str">
        <v/>
      </c>
    </row>
    <row r="3862" spans="5:9" ht="16.5" hidden="1">
      <c r="E3862" s="4" t="str">
        <v/>
      </c>
      <c r="F3862" s="102" t="str">
        <f ca="1">IFERROR(__xludf.DUMMYFUNCTION("IMPORTRANGE(H3862,""IDENTITAS UNIT!D9"")"),"#N/A")</f>
        <v>#N/A</v>
      </c>
      <c r="H3862" s="4" t="str">
        <v/>
      </c>
      <c r="I3862" s="4" t="str">
        <v/>
      </c>
    </row>
    <row r="3863" spans="5:9" ht="16.5" hidden="1">
      <c r="E3863" s="4" t="str">
        <v/>
      </c>
      <c r="F3863" s="102" t="str">
        <f ca="1">IFERROR(__xludf.DUMMYFUNCTION("IMPORTRANGE(H3863,""IDENTITAS UNIT!D9"")"),"#N/A")</f>
        <v>#N/A</v>
      </c>
      <c r="H3863" s="4" t="str">
        <v/>
      </c>
      <c r="I3863" s="4" t="str">
        <v/>
      </c>
    </row>
    <row r="3864" spans="5:9" ht="16.5" hidden="1">
      <c r="E3864" s="4" t="str">
        <v/>
      </c>
      <c r="F3864" s="102" t="str">
        <f ca="1">IFERROR(__xludf.DUMMYFUNCTION("IMPORTRANGE(H3864,""IDENTITAS UNIT!D9"")"),"#N/A")</f>
        <v>#N/A</v>
      </c>
      <c r="H3864" s="4" t="str">
        <v/>
      </c>
      <c r="I3864" s="4" t="str">
        <v/>
      </c>
    </row>
    <row r="3865" spans="5:9" ht="16.5" hidden="1">
      <c r="E3865" s="4" t="str">
        <v/>
      </c>
      <c r="F3865" s="102" t="str">
        <f ca="1">IFERROR(__xludf.DUMMYFUNCTION("IMPORTRANGE(H3865,""IDENTITAS UNIT!D9"")"),"#N/A")</f>
        <v>#N/A</v>
      </c>
      <c r="H3865" s="4" t="str">
        <v/>
      </c>
      <c r="I3865" s="4" t="str">
        <v/>
      </c>
    </row>
    <row r="3866" spans="5:9" ht="16.5" hidden="1">
      <c r="E3866" s="4" t="str">
        <v/>
      </c>
      <c r="F3866" s="102" t="str">
        <f ca="1">IFERROR(__xludf.DUMMYFUNCTION("IMPORTRANGE(H3866,""IDENTITAS UNIT!D9"")"),"#N/A")</f>
        <v>#N/A</v>
      </c>
      <c r="H3866" s="4" t="str">
        <v/>
      </c>
      <c r="I3866" s="4" t="str">
        <v/>
      </c>
    </row>
    <row r="3867" spans="5:9" ht="16.5" hidden="1">
      <c r="E3867" s="4" t="str">
        <v/>
      </c>
      <c r="F3867" s="102" t="str">
        <f ca="1">IFERROR(__xludf.DUMMYFUNCTION("IMPORTRANGE(H3867,""IDENTITAS UNIT!D9"")"),"#N/A")</f>
        <v>#N/A</v>
      </c>
      <c r="H3867" s="4" t="str">
        <v/>
      </c>
      <c r="I3867" s="4" t="str">
        <v/>
      </c>
    </row>
    <row r="3868" spans="5:9" ht="16.5" hidden="1">
      <c r="E3868" s="4" t="str">
        <v/>
      </c>
      <c r="F3868" s="102" t="str">
        <f ca="1">IFERROR(__xludf.DUMMYFUNCTION("IMPORTRANGE(H3868,""IDENTITAS UNIT!D9"")"),"#N/A")</f>
        <v>#N/A</v>
      </c>
      <c r="H3868" s="4" t="str">
        <v/>
      </c>
      <c r="I3868" s="4" t="str">
        <v/>
      </c>
    </row>
    <row r="3869" spans="5:9" ht="16.5" hidden="1">
      <c r="E3869" s="4" t="str">
        <v/>
      </c>
      <c r="F3869" s="102" t="str">
        <f ca="1">IFERROR(__xludf.DUMMYFUNCTION("IMPORTRANGE(H3869,""IDENTITAS UNIT!D9"")"),"#N/A")</f>
        <v>#N/A</v>
      </c>
      <c r="H3869" s="4" t="str">
        <v/>
      </c>
      <c r="I3869" s="4" t="str">
        <v/>
      </c>
    </row>
    <row r="3870" spans="5:9" ht="16.5" hidden="1">
      <c r="E3870" s="4" t="str">
        <v/>
      </c>
      <c r="F3870" s="102" t="str">
        <f ca="1">IFERROR(__xludf.DUMMYFUNCTION("IMPORTRANGE(H3870,""IDENTITAS UNIT!D9"")"),"#N/A")</f>
        <v>#N/A</v>
      </c>
      <c r="H3870" s="4" t="str">
        <v/>
      </c>
      <c r="I3870" s="4" t="str">
        <v/>
      </c>
    </row>
    <row r="3871" spans="5:9" ht="16.5" hidden="1">
      <c r="E3871" s="4" t="str">
        <v/>
      </c>
      <c r="F3871" s="102" t="str">
        <f ca="1">IFERROR(__xludf.DUMMYFUNCTION("IMPORTRANGE(H3871,""IDENTITAS UNIT!D9"")"),"#N/A")</f>
        <v>#N/A</v>
      </c>
      <c r="H3871" s="4" t="str">
        <v/>
      </c>
      <c r="I3871" s="4" t="str">
        <v/>
      </c>
    </row>
    <row r="3872" spans="5:9" ht="16.5" hidden="1">
      <c r="E3872" s="4" t="str">
        <v/>
      </c>
      <c r="F3872" s="102" t="str">
        <f ca="1">IFERROR(__xludf.DUMMYFUNCTION("IMPORTRANGE(H3872,""IDENTITAS UNIT!D9"")"),"#N/A")</f>
        <v>#N/A</v>
      </c>
      <c r="H3872" s="4" t="str">
        <v/>
      </c>
      <c r="I3872" s="4" t="str">
        <v/>
      </c>
    </row>
    <row r="3873" spans="5:9" ht="16.5" hidden="1">
      <c r="E3873" s="4" t="str">
        <v/>
      </c>
      <c r="F3873" s="102" t="str">
        <f ca="1">IFERROR(__xludf.DUMMYFUNCTION("IMPORTRANGE(H3873,""IDENTITAS UNIT!D9"")"),"#N/A")</f>
        <v>#N/A</v>
      </c>
      <c r="H3873" s="4" t="str">
        <v/>
      </c>
      <c r="I3873" s="4" t="str">
        <v/>
      </c>
    </row>
    <row r="3874" spans="5:9" ht="16.5" hidden="1">
      <c r="E3874" s="4" t="str">
        <v/>
      </c>
      <c r="F3874" s="102" t="str">
        <f ca="1">IFERROR(__xludf.DUMMYFUNCTION("IMPORTRANGE(H3874,""IDENTITAS UNIT!D9"")"),"#N/A")</f>
        <v>#N/A</v>
      </c>
      <c r="H3874" s="4" t="str">
        <v/>
      </c>
      <c r="I3874" s="4" t="str">
        <v/>
      </c>
    </row>
    <row r="3875" spans="5:9" ht="16.5" hidden="1">
      <c r="E3875" s="4" t="str">
        <v/>
      </c>
      <c r="F3875" s="102" t="str">
        <f ca="1">IFERROR(__xludf.DUMMYFUNCTION("IMPORTRANGE(H3875,""IDENTITAS UNIT!D9"")"),"#N/A")</f>
        <v>#N/A</v>
      </c>
      <c r="H3875" s="4" t="str">
        <v/>
      </c>
      <c r="I3875" s="4" t="str">
        <v/>
      </c>
    </row>
    <row r="3876" spans="5:9" ht="16.5" hidden="1">
      <c r="E3876" s="4" t="str">
        <v/>
      </c>
      <c r="F3876" s="102" t="str">
        <f ca="1">IFERROR(__xludf.DUMMYFUNCTION("IMPORTRANGE(H3876,""IDENTITAS UNIT!D9"")"),"#N/A")</f>
        <v>#N/A</v>
      </c>
      <c r="H3876" s="4" t="str">
        <v/>
      </c>
      <c r="I3876" s="4" t="str">
        <v/>
      </c>
    </row>
    <row r="3877" spans="5:9" ht="16.5" hidden="1">
      <c r="E3877" s="4" t="str">
        <v/>
      </c>
      <c r="F3877" s="102" t="str">
        <f ca="1">IFERROR(__xludf.DUMMYFUNCTION("IMPORTRANGE(H3877,""IDENTITAS UNIT!D9"")"),"#N/A")</f>
        <v>#N/A</v>
      </c>
      <c r="H3877" s="4" t="str">
        <v/>
      </c>
      <c r="I3877" s="4" t="str">
        <v/>
      </c>
    </row>
    <row r="3878" spans="5:9" ht="16.5" hidden="1">
      <c r="E3878" s="4" t="str">
        <v/>
      </c>
      <c r="F3878" s="102" t="str">
        <f ca="1">IFERROR(__xludf.DUMMYFUNCTION("IMPORTRANGE(H3878,""IDENTITAS UNIT!D9"")"),"#N/A")</f>
        <v>#N/A</v>
      </c>
      <c r="H3878" s="4" t="str">
        <v/>
      </c>
      <c r="I3878" s="4" t="str">
        <v/>
      </c>
    </row>
    <row r="3879" spans="5:9" ht="16.5" hidden="1">
      <c r="E3879" s="4" t="str">
        <v/>
      </c>
      <c r="F3879" s="102" t="str">
        <f ca="1">IFERROR(__xludf.DUMMYFUNCTION("IMPORTRANGE(H3879,""IDENTITAS UNIT!D9"")"),"#N/A")</f>
        <v>#N/A</v>
      </c>
      <c r="H3879" s="4" t="str">
        <v/>
      </c>
      <c r="I3879" s="4" t="str">
        <v/>
      </c>
    </row>
    <row r="3880" spans="5:9" ht="16.5" hidden="1">
      <c r="E3880" s="4" t="str">
        <v/>
      </c>
      <c r="F3880" s="102" t="str">
        <f ca="1">IFERROR(__xludf.DUMMYFUNCTION("IMPORTRANGE(H3880,""IDENTITAS UNIT!D9"")"),"#N/A")</f>
        <v>#N/A</v>
      </c>
      <c r="H3880" s="4" t="str">
        <v/>
      </c>
      <c r="I3880" s="4" t="str">
        <v/>
      </c>
    </row>
    <row r="3881" spans="5:9" ht="16.5" hidden="1">
      <c r="E3881" s="4" t="str">
        <v/>
      </c>
      <c r="F3881" s="102" t="str">
        <f ca="1">IFERROR(__xludf.DUMMYFUNCTION("IMPORTRANGE(H3881,""IDENTITAS UNIT!D9"")"),"#N/A")</f>
        <v>#N/A</v>
      </c>
      <c r="H3881" s="4" t="str">
        <v/>
      </c>
      <c r="I3881" s="4" t="str">
        <v/>
      </c>
    </row>
    <row r="3882" spans="5:9" ht="16.5" hidden="1">
      <c r="E3882" s="4" t="str">
        <v/>
      </c>
      <c r="F3882" s="102" t="str">
        <f ca="1">IFERROR(__xludf.DUMMYFUNCTION("IMPORTRANGE(H3882,""IDENTITAS UNIT!D9"")"),"#N/A")</f>
        <v>#N/A</v>
      </c>
      <c r="H3882" s="4" t="str">
        <v/>
      </c>
      <c r="I3882" s="4" t="str">
        <v/>
      </c>
    </row>
    <row r="3883" spans="5:9" ht="16.5" hidden="1">
      <c r="E3883" s="4" t="str">
        <v/>
      </c>
      <c r="F3883" s="102" t="str">
        <f ca="1">IFERROR(__xludf.DUMMYFUNCTION("IMPORTRANGE(H3883,""IDENTITAS UNIT!D9"")"),"#N/A")</f>
        <v>#N/A</v>
      </c>
      <c r="H3883" s="4" t="str">
        <v/>
      </c>
      <c r="I3883" s="4" t="str">
        <v/>
      </c>
    </row>
    <row r="3884" spans="5:9" ht="16.5" hidden="1">
      <c r="E3884" s="4" t="str">
        <v/>
      </c>
      <c r="F3884" s="102" t="str">
        <f ca="1">IFERROR(__xludf.DUMMYFUNCTION("IMPORTRANGE(H3884,""IDENTITAS UNIT!D9"")"),"#N/A")</f>
        <v>#N/A</v>
      </c>
      <c r="H3884" s="4" t="str">
        <v/>
      </c>
      <c r="I3884" s="4" t="str">
        <v/>
      </c>
    </row>
    <row r="3885" spans="5:9" ht="16.5" hidden="1">
      <c r="E3885" s="4" t="str">
        <v/>
      </c>
      <c r="F3885" s="102" t="str">
        <f ca="1">IFERROR(__xludf.DUMMYFUNCTION("IMPORTRANGE(H3885,""IDENTITAS UNIT!D9"")"),"#N/A")</f>
        <v>#N/A</v>
      </c>
      <c r="H3885" s="4" t="str">
        <v/>
      </c>
      <c r="I3885" s="4" t="str">
        <v/>
      </c>
    </row>
    <row r="3886" spans="5:9" ht="16.5" hidden="1">
      <c r="E3886" s="4" t="str">
        <v/>
      </c>
      <c r="F3886" s="102" t="str">
        <f ca="1">IFERROR(__xludf.DUMMYFUNCTION("IMPORTRANGE(H3886,""IDENTITAS UNIT!D9"")"),"#N/A")</f>
        <v>#N/A</v>
      </c>
      <c r="H3886" s="4" t="str">
        <v/>
      </c>
      <c r="I3886" s="4" t="str">
        <v/>
      </c>
    </row>
    <row r="3887" spans="5:9" ht="16.5" hidden="1">
      <c r="E3887" s="4" t="str">
        <v/>
      </c>
      <c r="F3887" s="102" t="str">
        <f ca="1">IFERROR(__xludf.DUMMYFUNCTION("IMPORTRANGE(H3887,""IDENTITAS UNIT!D9"")"),"#N/A")</f>
        <v>#N/A</v>
      </c>
      <c r="H3887" s="4" t="str">
        <v/>
      </c>
      <c r="I3887" s="4" t="str">
        <v/>
      </c>
    </row>
    <row r="3888" spans="5:9" ht="16.5" hidden="1">
      <c r="E3888" s="4" t="str">
        <v/>
      </c>
      <c r="F3888" s="102" t="str">
        <f ca="1">IFERROR(__xludf.DUMMYFUNCTION("IMPORTRANGE(H3888,""IDENTITAS UNIT!D9"")"),"#N/A")</f>
        <v>#N/A</v>
      </c>
      <c r="H3888" s="4" t="str">
        <v/>
      </c>
      <c r="I3888" s="4" t="str">
        <v/>
      </c>
    </row>
    <row r="3889" spans="5:9" ht="16.5" hidden="1">
      <c r="E3889" s="4" t="str">
        <v/>
      </c>
      <c r="F3889" s="102" t="str">
        <f ca="1">IFERROR(__xludf.DUMMYFUNCTION("IMPORTRANGE(H3889,""IDENTITAS UNIT!D9"")"),"#N/A")</f>
        <v>#N/A</v>
      </c>
      <c r="H3889" s="4" t="str">
        <v/>
      </c>
      <c r="I3889" s="4" t="str">
        <v/>
      </c>
    </row>
    <row r="3890" spans="5:9" ht="16.5" hidden="1">
      <c r="E3890" s="4" t="str">
        <v/>
      </c>
      <c r="F3890" s="102" t="str">
        <f ca="1">IFERROR(__xludf.DUMMYFUNCTION("IMPORTRANGE(H3890,""IDENTITAS UNIT!D9"")"),"#N/A")</f>
        <v>#N/A</v>
      </c>
      <c r="H3890" s="4" t="str">
        <v/>
      </c>
      <c r="I3890" s="4" t="str">
        <v/>
      </c>
    </row>
    <row r="3891" spans="5:9" ht="16.5" hidden="1">
      <c r="E3891" s="4" t="str">
        <v/>
      </c>
      <c r="F3891" s="102" t="str">
        <f ca="1">IFERROR(__xludf.DUMMYFUNCTION("IMPORTRANGE(H3891,""IDENTITAS UNIT!D9"")"),"#N/A")</f>
        <v>#N/A</v>
      </c>
      <c r="H3891" s="4" t="str">
        <v/>
      </c>
      <c r="I3891" s="4" t="str">
        <v/>
      </c>
    </row>
    <row r="3892" spans="5:9" ht="16.5" hidden="1">
      <c r="E3892" s="4" t="str">
        <v/>
      </c>
      <c r="F3892" s="102" t="str">
        <f ca="1">IFERROR(__xludf.DUMMYFUNCTION("IMPORTRANGE(H3892,""IDENTITAS UNIT!D9"")"),"#N/A")</f>
        <v>#N/A</v>
      </c>
      <c r="H3892" s="4" t="str">
        <v/>
      </c>
      <c r="I3892" s="4" t="str">
        <v/>
      </c>
    </row>
    <row r="3893" spans="5:9" ht="16.5" hidden="1">
      <c r="E3893" s="4" t="str">
        <v/>
      </c>
      <c r="F3893" s="102" t="str">
        <f ca="1">IFERROR(__xludf.DUMMYFUNCTION("IMPORTRANGE(H3893,""IDENTITAS UNIT!D9"")"),"#N/A")</f>
        <v>#N/A</v>
      </c>
      <c r="H3893" s="4" t="str">
        <v/>
      </c>
      <c r="I3893" s="4" t="str">
        <v/>
      </c>
    </row>
    <row r="3894" spans="5:9" ht="16.5" hidden="1">
      <c r="E3894" s="4" t="str">
        <v/>
      </c>
      <c r="F3894" s="102" t="str">
        <f ca="1">IFERROR(__xludf.DUMMYFUNCTION("IMPORTRANGE(H3894,""IDENTITAS UNIT!D9"")"),"#N/A")</f>
        <v>#N/A</v>
      </c>
      <c r="H3894" s="4" t="str">
        <v/>
      </c>
      <c r="I3894" s="4" t="str">
        <v/>
      </c>
    </row>
    <row r="3895" spans="5:9" ht="16.5" hidden="1">
      <c r="E3895" s="4" t="str">
        <v/>
      </c>
      <c r="F3895" s="102" t="str">
        <f ca="1">IFERROR(__xludf.DUMMYFUNCTION("IMPORTRANGE(H3895,""IDENTITAS UNIT!D9"")"),"#N/A")</f>
        <v>#N/A</v>
      </c>
      <c r="H3895" s="4" t="str">
        <v/>
      </c>
      <c r="I3895" s="4" t="str">
        <v/>
      </c>
    </row>
    <row r="3896" spans="5:9" ht="16.5" hidden="1">
      <c r="E3896" s="4" t="str">
        <v/>
      </c>
      <c r="F3896" s="102" t="str">
        <f ca="1">IFERROR(__xludf.DUMMYFUNCTION("IMPORTRANGE(H3896,""IDENTITAS UNIT!D9"")"),"#N/A")</f>
        <v>#N/A</v>
      </c>
      <c r="H3896" s="4" t="str">
        <v/>
      </c>
      <c r="I3896" s="4" t="str">
        <v/>
      </c>
    </row>
    <row r="3897" spans="5:9" ht="16.5" hidden="1">
      <c r="E3897" s="4" t="str">
        <v/>
      </c>
      <c r="F3897" s="102" t="str">
        <f ca="1">IFERROR(__xludf.DUMMYFUNCTION("IMPORTRANGE(H3897,""IDENTITAS UNIT!D9"")"),"#N/A")</f>
        <v>#N/A</v>
      </c>
      <c r="H3897" s="4" t="str">
        <v/>
      </c>
      <c r="I3897" s="4" t="str">
        <v/>
      </c>
    </row>
    <row r="3898" spans="5:9" ht="16.5" hidden="1">
      <c r="E3898" s="4" t="str">
        <v/>
      </c>
      <c r="F3898" s="102" t="str">
        <f ca="1">IFERROR(__xludf.DUMMYFUNCTION("IMPORTRANGE(H3898,""IDENTITAS UNIT!D9"")"),"#N/A")</f>
        <v>#N/A</v>
      </c>
      <c r="H3898" s="4" t="str">
        <v/>
      </c>
      <c r="I3898" s="4" t="str">
        <v/>
      </c>
    </row>
    <row r="3899" spans="5:9" ht="16.5" hidden="1">
      <c r="E3899" s="4" t="str">
        <v/>
      </c>
      <c r="F3899" s="102" t="str">
        <f ca="1">IFERROR(__xludf.DUMMYFUNCTION("IMPORTRANGE(H3899,""IDENTITAS UNIT!D9"")"),"#N/A")</f>
        <v>#N/A</v>
      </c>
      <c r="H3899" s="4" t="str">
        <v/>
      </c>
      <c r="I3899" s="4" t="str">
        <v/>
      </c>
    </row>
    <row r="3900" spans="5:9" ht="16.5" hidden="1">
      <c r="E3900" s="4" t="str">
        <v/>
      </c>
      <c r="F3900" s="102" t="str">
        <f ca="1">IFERROR(__xludf.DUMMYFUNCTION("IMPORTRANGE(H3900,""IDENTITAS UNIT!D9"")"),"#N/A")</f>
        <v>#N/A</v>
      </c>
      <c r="H3900" s="4" t="str">
        <v/>
      </c>
      <c r="I3900" s="4" t="str">
        <v/>
      </c>
    </row>
    <row r="3901" spans="5:9" ht="16.5" hidden="1">
      <c r="E3901" s="4" t="str">
        <v/>
      </c>
      <c r="F3901" s="102" t="str">
        <f ca="1">IFERROR(__xludf.DUMMYFUNCTION("IMPORTRANGE(H3901,""IDENTITAS UNIT!D9"")"),"#N/A")</f>
        <v>#N/A</v>
      </c>
      <c r="H3901" s="4" t="str">
        <v/>
      </c>
      <c r="I3901" s="4" t="str">
        <v/>
      </c>
    </row>
    <row r="3902" spans="5:9" ht="16.5" hidden="1">
      <c r="E3902" s="4" t="str">
        <v/>
      </c>
      <c r="F3902" s="102" t="str">
        <f ca="1">IFERROR(__xludf.DUMMYFUNCTION("IMPORTRANGE(H3902,""IDENTITAS UNIT!D9"")"),"#N/A")</f>
        <v>#N/A</v>
      </c>
      <c r="H3902" s="4" t="str">
        <v/>
      </c>
      <c r="I3902" s="4" t="str">
        <v/>
      </c>
    </row>
    <row r="3903" spans="5:9" ht="16.5" hidden="1">
      <c r="E3903" s="4" t="str">
        <v/>
      </c>
      <c r="F3903" s="102" t="str">
        <f ca="1">IFERROR(__xludf.DUMMYFUNCTION("IMPORTRANGE(H3903,""IDENTITAS UNIT!D9"")"),"#N/A")</f>
        <v>#N/A</v>
      </c>
      <c r="H3903" s="4" t="str">
        <v/>
      </c>
      <c r="I3903" s="4" t="str">
        <v/>
      </c>
    </row>
    <row r="3904" spans="5:9" ht="16.5" hidden="1">
      <c r="E3904" s="4" t="str">
        <v/>
      </c>
      <c r="F3904" s="102" t="str">
        <f ca="1">IFERROR(__xludf.DUMMYFUNCTION("IMPORTRANGE(H3904,""IDENTITAS UNIT!D9"")"),"#N/A")</f>
        <v>#N/A</v>
      </c>
      <c r="H3904" s="4" t="str">
        <v/>
      </c>
      <c r="I3904" s="4" t="str">
        <v/>
      </c>
    </row>
    <row r="3905" spans="5:9" ht="16.5" hidden="1">
      <c r="E3905" s="4" t="str">
        <v/>
      </c>
      <c r="F3905" s="102" t="str">
        <f ca="1">IFERROR(__xludf.DUMMYFUNCTION("IMPORTRANGE(H3905,""IDENTITAS UNIT!D9"")"),"#N/A")</f>
        <v>#N/A</v>
      </c>
      <c r="H3905" s="4" t="str">
        <v/>
      </c>
      <c r="I3905" s="4" t="str">
        <v/>
      </c>
    </row>
    <row r="3906" spans="5:9" ht="16.5" hidden="1">
      <c r="E3906" s="4" t="str">
        <v/>
      </c>
      <c r="F3906" s="102" t="str">
        <f ca="1">IFERROR(__xludf.DUMMYFUNCTION("IMPORTRANGE(H3906,""IDENTITAS UNIT!D9"")"),"#N/A")</f>
        <v>#N/A</v>
      </c>
      <c r="H3906" s="4" t="str">
        <v/>
      </c>
      <c r="I3906" s="4" t="str">
        <v/>
      </c>
    </row>
    <row r="3907" spans="5:9" ht="16.5" hidden="1">
      <c r="E3907" s="4" t="str">
        <v/>
      </c>
      <c r="F3907" s="102" t="str">
        <f ca="1">IFERROR(__xludf.DUMMYFUNCTION("IMPORTRANGE(H3907,""IDENTITAS UNIT!D9"")"),"#N/A")</f>
        <v>#N/A</v>
      </c>
      <c r="H3907" s="4" t="str">
        <v/>
      </c>
      <c r="I3907" s="4" t="str">
        <v/>
      </c>
    </row>
    <row r="3908" spans="5:9" ht="16.5" hidden="1">
      <c r="E3908" s="4" t="str">
        <v/>
      </c>
      <c r="F3908" s="102" t="str">
        <f ca="1">IFERROR(__xludf.DUMMYFUNCTION("IMPORTRANGE(H3908,""IDENTITAS UNIT!D9"")"),"#N/A")</f>
        <v>#N/A</v>
      </c>
      <c r="H3908" s="4" t="str">
        <v/>
      </c>
      <c r="I3908" s="4" t="str">
        <v/>
      </c>
    </row>
    <row r="3909" spans="5:9" ht="16.5" hidden="1">
      <c r="E3909" s="4" t="str">
        <v/>
      </c>
      <c r="F3909" s="102" t="str">
        <f ca="1">IFERROR(__xludf.DUMMYFUNCTION("IMPORTRANGE(H3909,""IDENTITAS UNIT!D9"")"),"#N/A")</f>
        <v>#N/A</v>
      </c>
      <c r="H3909" s="4" t="str">
        <v/>
      </c>
      <c r="I3909" s="4" t="str">
        <v/>
      </c>
    </row>
    <row r="3910" spans="5:9" ht="16.5" hidden="1">
      <c r="E3910" s="4" t="str">
        <v/>
      </c>
      <c r="F3910" s="102" t="str">
        <f ca="1">IFERROR(__xludf.DUMMYFUNCTION("IMPORTRANGE(H3910,""IDENTITAS UNIT!D9"")"),"#N/A")</f>
        <v>#N/A</v>
      </c>
      <c r="H3910" s="4" t="str">
        <v/>
      </c>
      <c r="I3910" s="4" t="str">
        <v/>
      </c>
    </row>
    <row r="3911" spans="5:9" ht="16.5" hidden="1">
      <c r="E3911" s="4" t="str">
        <v/>
      </c>
      <c r="F3911" s="102" t="str">
        <f ca="1">IFERROR(__xludf.DUMMYFUNCTION("IMPORTRANGE(H3911,""IDENTITAS UNIT!D9"")"),"#N/A")</f>
        <v>#N/A</v>
      </c>
      <c r="H3911" s="4" t="str">
        <v/>
      </c>
      <c r="I3911" s="4" t="str">
        <v/>
      </c>
    </row>
    <row r="3912" spans="5:9" ht="16.5" hidden="1">
      <c r="E3912" s="4" t="str">
        <v/>
      </c>
      <c r="F3912" s="102" t="str">
        <f ca="1">IFERROR(__xludf.DUMMYFUNCTION("IMPORTRANGE(H3912,""IDENTITAS UNIT!D9"")"),"#N/A")</f>
        <v>#N/A</v>
      </c>
      <c r="H3912" s="4" t="str">
        <v/>
      </c>
      <c r="I3912" s="4" t="str">
        <v/>
      </c>
    </row>
    <row r="3913" spans="5:9" ht="16.5" hidden="1">
      <c r="E3913" s="4" t="str">
        <v/>
      </c>
      <c r="F3913" s="102" t="str">
        <f ca="1">IFERROR(__xludf.DUMMYFUNCTION("IMPORTRANGE(H3913,""IDENTITAS UNIT!D9"")"),"#N/A")</f>
        <v>#N/A</v>
      </c>
      <c r="H3913" s="4" t="str">
        <v/>
      </c>
      <c r="I3913" s="4" t="str">
        <v/>
      </c>
    </row>
    <row r="3914" spans="5:9" ht="16.5" hidden="1">
      <c r="E3914" s="4" t="str">
        <v/>
      </c>
      <c r="F3914" s="102" t="str">
        <f ca="1">IFERROR(__xludf.DUMMYFUNCTION("IMPORTRANGE(H3914,""IDENTITAS UNIT!D9"")"),"#N/A")</f>
        <v>#N/A</v>
      </c>
      <c r="H3914" s="4" t="str">
        <v/>
      </c>
      <c r="I3914" s="4" t="str">
        <v/>
      </c>
    </row>
    <row r="3915" spans="5:9" ht="16.5" hidden="1">
      <c r="E3915" s="4" t="str">
        <v/>
      </c>
      <c r="F3915" s="102" t="str">
        <f ca="1">IFERROR(__xludf.DUMMYFUNCTION("IMPORTRANGE(H3915,""IDENTITAS UNIT!D9"")"),"#N/A")</f>
        <v>#N/A</v>
      </c>
      <c r="H3915" s="4" t="str">
        <v/>
      </c>
      <c r="I3915" s="4" t="str">
        <v/>
      </c>
    </row>
    <row r="3916" spans="5:9" ht="16.5" hidden="1">
      <c r="E3916" s="4" t="str">
        <v/>
      </c>
      <c r="F3916" s="102" t="str">
        <f ca="1">IFERROR(__xludf.DUMMYFUNCTION("IMPORTRANGE(H3916,""IDENTITAS UNIT!D9"")"),"#N/A")</f>
        <v>#N/A</v>
      </c>
      <c r="H3916" s="4" t="str">
        <v/>
      </c>
      <c r="I3916" s="4" t="str">
        <v/>
      </c>
    </row>
    <row r="3917" spans="5:9" ht="16.5" hidden="1">
      <c r="E3917" s="4" t="str">
        <v/>
      </c>
      <c r="F3917" s="102" t="str">
        <f ca="1">IFERROR(__xludf.DUMMYFUNCTION("IMPORTRANGE(H3917,""IDENTITAS UNIT!D9"")"),"#N/A")</f>
        <v>#N/A</v>
      </c>
      <c r="H3917" s="4" t="str">
        <v/>
      </c>
      <c r="I3917" s="4" t="str">
        <v/>
      </c>
    </row>
    <row r="3918" spans="5:9" ht="16.5" hidden="1">
      <c r="E3918" s="4" t="str">
        <v/>
      </c>
      <c r="F3918" s="102" t="str">
        <f ca="1">IFERROR(__xludf.DUMMYFUNCTION("IMPORTRANGE(H3918,""IDENTITAS UNIT!D9"")"),"#N/A")</f>
        <v>#N/A</v>
      </c>
      <c r="H3918" s="4" t="str">
        <v/>
      </c>
      <c r="I3918" s="4" t="str">
        <v/>
      </c>
    </row>
    <row r="3919" spans="5:9" ht="16.5" hidden="1">
      <c r="E3919" s="4" t="str">
        <v/>
      </c>
      <c r="F3919" s="102" t="str">
        <f ca="1">IFERROR(__xludf.DUMMYFUNCTION("IMPORTRANGE(H3919,""IDENTITAS UNIT!D9"")"),"#N/A")</f>
        <v>#N/A</v>
      </c>
      <c r="H3919" s="4" t="str">
        <v/>
      </c>
      <c r="I3919" s="4" t="str">
        <v/>
      </c>
    </row>
    <row r="3920" spans="5:9" ht="16.5" hidden="1">
      <c r="E3920" s="4" t="str">
        <v/>
      </c>
      <c r="F3920" s="102" t="str">
        <f ca="1">IFERROR(__xludf.DUMMYFUNCTION("IMPORTRANGE(H3920,""IDENTITAS UNIT!D9"")"),"#N/A")</f>
        <v>#N/A</v>
      </c>
      <c r="H3920" s="4" t="str">
        <v/>
      </c>
      <c r="I3920" s="4" t="str">
        <v/>
      </c>
    </row>
    <row r="3921" spans="5:9" ht="16.5" hidden="1">
      <c r="E3921" s="4" t="str">
        <v/>
      </c>
      <c r="F3921" s="102" t="str">
        <f ca="1">IFERROR(__xludf.DUMMYFUNCTION("IMPORTRANGE(H3921,""IDENTITAS UNIT!D9"")"),"#N/A")</f>
        <v>#N/A</v>
      </c>
      <c r="H3921" s="4" t="str">
        <v/>
      </c>
      <c r="I3921" s="4" t="str">
        <v/>
      </c>
    </row>
    <row r="3922" spans="5:9" ht="16.5" hidden="1">
      <c r="E3922" s="4" t="str">
        <v/>
      </c>
      <c r="F3922" s="102" t="str">
        <f ca="1">IFERROR(__xludf.DUMMYFUNCTION("IMPORTRANGE(H3922,""IDENTITAS UNIT!D9"")"),"#N/A")</f>
        <v>#N/A</v>
      </c>
      <c r="H3922" s="4" t="str">
        <v/>
      </c>
      <c r="I3922" s="4" t="str">
        <v/>
      </c>
    </row>
    <row r="3923" spans="5:9" ht="16.5" hidden="1">
      <c r="E3923" s="4" t="str">
        <v/>
      </c>
      <c r="F3923" s="102" t="str">
        <f ca="1">IFERROR(__xludf.DUMMYFUNCTION("IMPORTRANGE(H3923,""IDENTITAS UNIT!D9"")"),"#N/A")</f>
        <v>#N/A</v>
      </c>
      <c r="H3923" s="4" t="str">
        <v/>
      </c>
      <c r="I3923" s="4" t="str">
        <v/>
      </c>
    </row>
    <row r="3924" spans="5:9" ht="16.5" hidden="1">
      <c r="E3924" s="4" t="str">
        <v/>
      </c>
      <c r="F3924" s="102" t="str">
        <f ca="1">IFERROR(__xludf.DUMMYFUNCTION("IMPORTRANGE(H3924,""IDENTITAS UNIT!D9"")"),"#N/A")</f>
        <v>#N/A</v>
      </c>
      <c r="H3924" s="4" t="str">
        <v/>
      </c>
      <c r="I3924" s="4" t="str">
        <v/>
      </c>
    </row>
    <row r="3925" spans="5:9" ht="16.5" hidden="1">
      <c r="E3925" s="4" t="str">
        <v/>
      </c>
      <c r="F3925" s="102" t="str">
        <f ca="1">IFERROR(__xludf.DUMMYFUNCTION("IMPORTRANGE(H3925,""IDENTITAS UNIT!D9"")"),"#N/A")</f>
        <v>#N/A</v>
      </c>
      <c r="H3925" s="4" t="str">
        <v/>
      </c>
      <c r="I3925" s="4" t="str">
        <v/>
      </c>
    </row>
    <row r="3926" spans="5:9" ht="16.5" hidden="1">
      <c r="E3926" s="4" t="str">
        <v/>
      </c>
      <c r="F3926" s="102" t="str">
        <f ca="1">IFERROR(__xludf.DUMMYFUNCTION("IMPORTRANGE(H3926,""IDENTITAS UNIT!D9"")"),"#N/A")</f>
        <v>#N/A</v>
      </c>
      <c r="H3926" s="4" t="str">
        <v/>
      </c>
      <c r="I3926" s="4" t="str">
        <v/>
      </c>
    </row>
    <row r="3927" spans="5:9" ht="16.5" hidden="1">
      <c r="E3927" s="4" t="str">
        <v/>
      </c>
      <c r="F3927" s="102" t="str">
        <f ca="1">IFERROR(__xludf.DUMMYFUNCTION("IMPORTRANGE(H3927,""IDENTITAS UNIT!D9"")"),"#N/A")</f>
        <v>#N/A</v>
      </c>
      <c r="H3927" s="4" t="str">
        <v/>
      </c>
      <c r="I3927" s="4" t="str">
        <v/>
      </c>
    </row>
    <row r="3928" spans="5:9" ht="16.5" hidden="1">
      <c r="E3928" s="4" t="str">
        <v/>
      </c>
      <c r="F3928" s="102" t="str">
        <f ca="1">IFERROR(__xludf.DUMMYFUNCTION("IMPORTRANGE(H3928,""IDENTITAS UNIT!D9"")"),"#N/A")</f>
        <v>#N/A</v>
      </c>
      <c r="H3928" s="4" t="str">
        <v/>
      </c>
      <c r="I3928" s="4" t="str">
        <v/>
      </c>
    </row>
    <row r="3929" spans="5:9" ht="16.5" hidden="1">
      <c r="E3929" s="4" t="str">
        <v/>
      </c>
      <c r="F3929" s="102" t="str">
        <f ca="1">IFERROR(__xludf.DUMMYFUNCTION("IMPORTRANGE(H3929,""IDENTITAS UNIT!D9"")"),"#N/A")</f>
        <v>#N/A</v>
      </c>
      <c r="H3929" s="4" t="str">
        <v/>
      </c>
      <c r="I3929" s="4" t="str">
        <v/>
      </c>
    </row>
    <row r="3930" spans="5:9" ht="16.5" hidden="1">
      <c r="E3930" s="4" t="str">
        <v/>
      </c>
      <c r="F3930" s="102" t="str">
        <f ca="1">IFERROR(__xludf.DUMMYFUNCTION("IMPORTRANGE(H3930,""IDENTITAS UNIT!D9"")"),"#N/A")</f>
        <v>#N/A</v>
      </c>
      <c r="H3930" s="4" t="str">
        <v/>
      </c>
      <c r="I3930" s="4" t="str">
        <v/>
      </c>
    </row>
    <row r="3931" spans="5:9" ht="16.5" hidden="1">
      <c r="E3931" s="4" t="str">
        <v/>
      </c>
      <c r="F3931" s="102" t="str">
        <f ca="1">IFERROR(__xludf.DUMMYFUNCTION("IMPORTRANGE(H3931,""IDENTITAS UNIT!D9"")"),"#N/A")</f>
        <v>#N/A</v>
      </c>
      <c r="H3931" s="4" t="str">
        <v/>
      </c>
      <c r="I3931" s="4" t="str">
        <v/>
      </c>
    </row>
    <row r="3932" spans="5:9" ht="16.5" hidden="1">
      <c r="E3932" s="4" t="str">
        <v/>
      </c>
      <c r="F3932" s="102" t="str">
        <f ca="1">IFERROR(__xludf.DUMMYFUNCTION("IMPORTRANGE(H3932,""IDENTITAS UNIT!D9"")"),"#N/A")</f>
        <v>#N/A</v>
      </c>
      <c r="H3932" s="4" t="str">
        <v/>
      </c>
      <c r="I3932" s="4" t="str">
        <v/>
      </c>
    </row>
    <row r="3933" spans="5:9" ht="16.5" hidden="1">
      <c r="E3933" s="4" t="str">
        <v/>
      </c>
      <c r="F3933" s="102" t="str">
        <f ca="1">IFERROR(__xludf.DUMMYFUNCTION("IMPORTRANGE(H3933,""IDENTITAS UNIT!D9"")"),"#N/A")</f>
        <v>#N/A</v>
      </c>
      <c r="H3933" s="4" t="str">
        <v/>
      </c>
      <c r="I3933" s="4" t="str">
        <v/>
      </c>
    </row>
    <row r="3934" spans="5:9" ht="16.5" hidden="1">
      <c r="E3934" s="4" t="str">
        <v/>
      </c>
      <c r="F3934" s="102" t="str">
        <f ca="1">IFERROR(__xludf.DUMMYFUNCTION("IMPORTRANGE(H3934,""IDENTITAS UNIT!D9"")"),"#N/A")</f>
        <v>#N/A</v>
      </c>
      <c r="H3934" s="4" t="str">
        <v/>
      </c>
      <c r="I3934" s="4" t="str">
        <v/>
      </c>
    </row>
    <row r="3935" spans="5:9" ht="16.5" hidden="1">
      <c r="E3935" s="4" t="str">
        <v/>
      </c>
      <c r="F3935" s="102" t="str">
        <f ca="1">IFERROR(__xludf.DUMMYFUNCTION("IMPORTRANGE(H3935,""IDENTITAS UNIT!D9"")"),"#N/A")</f>
        <v>#N/A</v>
      </c>
      <c r="H3935" s="4" t="str">
        <v/>
      </c>
      <c r="I3935" s="4" t="str">
        <v/>
      </c>
    </row>
    <row r="3936" spans="5:9" ht="16.5" hidden="1">
      <c r="E3936" s="4" t="str">
        <v/>
      </c>
      <c r="F3936" s="102" t="str">
        <f ca="1">IFERROR(__xludf.DUMMYFUNCTION("IMPORTRANGE(H3936,""IDENTITAS UNIT!D9"")"),"#N/A")</f>
        <v>#N/A</v>
      </c>
      <c r="H3936" s="4" t="str">
        <v/>
      </c>
      <c r="I3936" s="4" t="str">
        <v/>
      </c>
    </row>
    <row r="3937" spans="5:9" ht="16.5" hidden="1">
      <c r="E3937" s="4" t="str">
        <v/>
      </c>
      <c r="F3937" s="102" t="str">
        <f ca="1">IFERROR(__xludf.DUMMYFUNCTION("IMPORTRANGE(H3937,""IDENTITAS UNIT!D9"")"),"#N/A")</f>
        <v>#N/A</v>
      </c>
      <c r="H3937" s="4" t="str">
        <v/>
      </c>
      <c r="I3937" s="4" t="str">
        <v/>
      </c>
    </row>
    <row r="3938" spans="5:9" ht="16.5" hidden="1">
      <c r="E3938" s="4" t="str">
        <v/>
      </c>
      <c r="F3938" s="102" t="str">
        <f ca="1">IFERROR(__xludf.DUMMYFUNCTION("IMPORTRANGE(H3938,""IDENTITAS UNIT!D9"")"),"#N/A")</f>
        <v>#N/A</v>
      </c>
      <c r="H3938" s="4" t="str">
        <v/>
      </c>
      <c r="I3938" s="4" t="str">
        <v/>
      </c>
    </row>
    <row r="3939" spans="5:9" ht="16.5" hidden="1">
      <c r="E3939" s="4" t="str">
        <v/>
      </c>
      <c r="F3939" s="102" t="str">
        <f ca="1">IFERROR(__xludf.DUMMYFUNCTION("IMPORTRANGE(H3939,""IDENTITAS UNIT!D9"")"),"#N/A")</f>
        <v>#N/A</v>
      </c>
      <c r="H3939" s="4" t="str">
        <v/>
      </c>
      <c r="I3939" s="4" t="str">
        <v/>
      </c>
    </row>
    <row r="3940" spans="5:9" ht="16.5" hidden="1">
      <c r="E3940" s="4" t="str">
        <v/>
      </c>
      <c r="F3940" s="102" t="str">
        <f ca="1">IFERROR(__xludf.DUMMYFUNCTION("IMPORTRANGE(H3940,""IDENTITAS UNIT!D9"")"),"#N/A")</f>
        <v>#N/A</v>
      </c>
      <c r="H3940" s="4" t="str">
        <v/>
      </c>
      <c r="I3940" s="4" t="str">
        <v/>
      </c>
    </row>
    <row r="3941" spans="5:9" ht="16.5" hidden="1">
      <c r="E3941" s="4" t="str">
        <v/>
      </c>
      <c r="F3941" s="102" t="str">
        <f ca="1">IFERROR(__xludf.DUMMYFUNCTION("IMPORTRANGE(H3941,""IDENTITAS UNIT!D9"")"),"#N/A")</f>
        <v>#N/A</v>
      </c>
      <c r="H3941" s="4" t="str">
        <v/>
      </c>
      <c r="I3941" s="4" t="str">
        <v/>
      </c>
    </row>
    <row r="3942" spans="5:9" ht="16.5" hidden="1">
      <c r="E3942" s="4" t="str">
        <v/>
      </c>
      <c r="F3942" s="102" t="str">
        <f ca="1">IFERROR(__xludf.DUMMYFUNCTION("IMPORTRANGE(H3942,""IDENTITAS UNIT!D9"")"),"#N/A")</f>
        <v>#N/A</v>
      </c>
      <c r="H3942" s="4" t="str">
        <v/>
      </c>
      <c r="I3942" s="4" t="str">
        <v/>
      </c>
    </row>
    <row r="3943" spans="5:9" ht="16.5" hidden="1">
      <c r="E3943" s="4" t="str">
        <v/>
      </c>
      <c r="F3943" s="102" t="str">
        <f ca="1">IFERROR(__xludf.DUMMYFUNCTION("IMPORTRANGE(H3943,""IDENTITAS UNIT!D9"")"),"#N/A")</f>
        <v>#N/A</v>
      </c>
      <c r="H3943" s="4" t="str">
        <v/>
      </c>
      <c r="I3943" s="4" t="str">
        <v/>
      </c>
    </row>
    <row r="3944" spans="5:9" ht="16.5" hidden="1">
      <c r="E3944" s="4" t="str">
        <v/>
      </c>
      <c r="F3944" s="102" t="str">
        <f ca="1">IFERROR(__xludf.DUMMYFUNCTION("IMPORTRANGE(H3944,""IDENTITAS UNIT!D9"")"),"#N/A")</f>
        <v>#N/A</v>
      </c>
      <c r="H3944" s="4" t="str">
        <v/>
      </c>
      <c r="I3944" s="4" t="str">
        <v/>
      </c>
    </row>
    <row r="3945" spans="5:9" ht="16.5" hidden="1">
      <c r="E3945" s="4" t="str">
        <v/>
      </c>
      <c r="F3945" s="102" t="str">
        <f ca="1">IFERROR(__xludf.DUMMYFUNCTION("IMPORTRANGE(H3945,""IDENTITAS UNIT!D9"")"),"#N/A")</f>
        <v>#N/A</v>
      </c>
      <c r="H3945" s="4" t="str">
        <v/>
      </c>
      <c r="I3945" s="4" t="str">
        <v/>
      </c>
    </row>
    <row r="3946" spans="5:9" ht="16.5" hidden="1">
      <c r="E3946" s="4" t="str">
        <v/>
      </c>
      <c r="F3946" s="102" t="str">
        <f ca="1">IFERROR(__xludf.DUMMYFUNCTION("IMPORTRANGE(H3946,""IDENTITAS UNIT!D9"")"),"#N/A")</f>
        <v>#N/A</v>
      </c>
      <c r="H3946" s="4" t="str">
        <v/>
      </c>
      <c r="I3946" s="4" t="str">
        <v/>
      </c>
    </row>
    <row r="3947" spans="5:9" ht="16.5" hidden="1">
      <c r="E3947" s="4" t="str">
        <v/>
      </c>
      <c r="F3947" s="102" t="str">
        <f ca="1">IFERROR(__xludf.DUMMYFUNCTION("IMPORTRANGE(H3947,""IDENTITAS UNIT!D9"")"),"#N/A")</f>
        <v>#N/A</v>
      </c>
      <c r="H3947" s="4" t="str">
        <v/>
      </c>
      <c r="I3947" s="4" t="str">
        <v/>
      </c>
    </row>
    <row r="3948" spans="5:9" ht="16.5" hidden="1">
      <c r="E3948" s="4" t="str">
        <v/>
      </c>
      <c r="F3948" s="102" t="str">
        <f ca="1">IFERROR(__xludf.DUMMYFUNCTION("IMPORTRANGE(H3948,""IDENTITAS UNIT!D9"")"),"#N/A")</f>
        <v>#N/A</v>
      </c>
      <c r="H3948" s="4" t="str">
        <v/>
      </c>
      <c r="I3948" s="4" t="str">
        <v/>
      </c>
    </row>
    <row r="3949" spans="5:9" ht="16.5" hidden="1">
      <c r="E3949" s="4" t="str">
        <v/>
      </c>
      <c r="F3949" s="102" t="str">
        <f ca="1">IFERROR(__xludf.DUMMYFUNCTION("IMPORTRANGE(H3949,""IDENTITAS UNIT!D9"")"),"#N/A")</f>
        <v>#N/A</v>
      </c>
      <c r="H3949" s="4" t="str">
        <v/>
      </c>
      <c r="I3949" s="4" t="str">
        <v/>
      </c>
    </row>
    <row r="3950" spans="5:9" ht="16.5" hidden="1">
      <c r="E3950" s="4" t="str">
        <v/>
      </c>
      <c r="F3950" s="102" t="str">
        <f ca="1">IFERROR(__xludf.DUMMYFUNCTION("IMPORTRANGE(H3950,""IDENTITAS UNIT!D9"")"),"#N/A")</f>
        <v>#N/A</v>
      </c>
      <c r="H3950" s="4" t="str">
        <v/>
      </c>
      <c r="I3950" s="4" t="str">
        <v/>
      </c>
    </row>
    <row r="3951" spans="5:9" ht="16.5" hidden="1">
      <c r="E3951" s="4" t="str">
        <v/>
      </c>
      <c r="F3951" s="102" t="str">
        <f ca="1">IFERROR(__xludf.DUMMYFUNCTION("IMPORTRANGE(H3951,""IDENTITAS UNIT!D9"")"),"#N/A")</f>
        <v>#N/A</v>
      </c>
      <c r="H3951" s="4" t="str">
        <v/>
      </c>
      <c r="I3951" s="4" t="str">
        <v/>
      </c>
    </row>
    <row r="3952" spans="5:9" ht="16.5" hidden="1">
      <c r="E3952" s="4" t="str">
        <v/>
      </c>
      <c r="F3952" s="102" t="str">
        <f ca="1">IFERROR(__xludf.DUMMYFUNCTION("IMPORTRANGE(H3952,""IDENTITAS UNIT!D9"")"),"#N/A")</f>
        <v>#N/A</v>
      </c>
      <c r="H3952" s="4" t="str">
        <v/>
      </c>
      <c r="I3952" s="4" t="str">
        <v/>
      </c>
    </row>
    <row r="3953" spans="5:9" ht="16.5" hidden="1">
      <c r="E3953" s="4" t="str">
        <v/>
      </c>
      <c r="F3953" s="102" t="str">
        <f ca="1">IFERROR(__xludf.DUMMYFUNCTION("IMPORTRANGE(H3953,""IDENTITAS UNIT!D9"")"),"#N/A")</f>
        <v>#N/A</v>
      </c>
      <c r="H3953" s="4" t="str">
        <v/>
      </c>
      <c r="I3953" s="4" t="str">
        <v/>
      </c>
    </row>
    <row r="3954" spans="5:9" ht="16.5" hidden="1">
      <c r="E3954" s="4" t="str">
        <v/>
      </c>
      <c r="F3954" s="102" t="str">
        <f ca="1">IFERROR(__xludf.DUMMYFUNCTION("IMPORTRANGE(H3954,""IDENTITAS UNIT!D9"")"),"#N/A")</f>
        <v>#N/A</v>
      </c>
      <c r="H3954" s="4" t="str">
        <v/>
      </c>
      <c r="I3954" s="4" t="str">
        <v/>
      </c>
    </row>
    <row r="3955" spans="5:9" ht="16.5" hidden="1">
      <c r="E3955" s="4" t="str">
        <v/>
      </c>
      <c r="F3955" s="102" t="str">
        <f ca="1">IFERROR(__xludf.DUMMYFUNCTION("IMPORTRANGE(H3955,""IDENTITAS UNIT!D9"")"),"#N/A")</f>
        <v>#N/A</v>
      </c>
      <c r="H3955" s="4" t="str">
        <v/>
      </c>
      <c r="I3955" s="4" t="str">
        <v/>
      </c>
    </row>
    <row r="3956" spans="5:9" ht="16.5" hidden="1">
      <c r="E3956" s="4" t="str">
        <v/>
      </c>
      <c r="F3956" s="102" t="str">
        <f ca="1">IFERROR(__xludf.DUMMYFUNCTION("IMPORTRANGE(H3956,""IDENTITAS UNIT!D9"")"),"#N/A")</f>
        <v>#N/A</v>
      </c>
      <c r="H3956" s="4" t="str">
        <v/>
      </c>
      <c r="I3956" s="4" t="str">
        <v/>
      </c>
    </row>
    <row r="3957" spans="5:9" ht="16.5" hidden="1">
      <c r="E3957" s="4" t="str">
        <v/>
      </c>
      <c r="F3957" s="102" t="str">
        <f ca="1">IFERROR(__xludf.DUMMYFUNCTION("IMPORTRANGE(H3957,""IDENTITAS UNIT!D9"")"),"#N/A")</f>
        <v>#N/A</v>
      </c>
      <c r="H3957" s="4" t="str">
        <v/>
      </c>
      <c r="I3957" s="4" t="str">
        <v/>
      </c>
    </row>
    <row r="3958" spans="5:9" ht="16.5" hidden="1">
      <c r="E3958" s="4" t="str">
        <v/>
      </c>
      <c r="F3958" s="102" t="str">
        <f ca="1">IFERROR(__xludf.DUMMYFUNCTION("IMPORTRANGE(H3958,""IDENTITAS UNIT!D9"")"),"#N/A")</f>
        <v>#N/A</v>
      </c>
      <c r="H3958" s="4" t="str">
        <v/>
      </c>
      <c r="I3958" s="4" t="str">
        <v/>
      </c>
    </row>
    <row r="3959" spans="5:9" ht="16.5" hidden="1">
      <c r="E3959" s="4" t="str">
        <v/>
      </c>
      <c r="F3959" s="102" t="str">
        <f ca="1">IFERROR(__xludf.DUMMYFUNCTION("IMPORTRANGE(H3959,""IDENTITAS UNIT!D9"")"),"#N/A")</f>
        <v>#N/A</v>
      </c>
      <c r="H3959" s="4" t="str">
        <v/>
      </c>
      <c r="I3959" s="4" t="str">
        <v/>
      </c>
    </row>
    <row r="3960" spans="5:9" ht="16.5" hidden="1">
      <c r="E3960" s="4" t="str">
        <v/>
      </c>
      <c r="F3960" s="102" t="str">
        <f ca="1">IFERROR(__xludf.DUMMYFUNCTION("IMPORTRANGE(H3960,""IDENTITAS UNIT!D9"")"),"#N/A")</f>
        <v>#N/A</v>
      </c>
      <c r="H3960" s="4" t="str">
        <v/>
      </c>
      <c r="I3960" s="4" t="str">
        <v/>
      </c>
    </row>
    <row r="3961" spans="5:9" ht="16.5" hidden="1">
      <c r="E3961" s="4" t="str">
        <v/>
      </c>
      <c r="F3961" s="102" t="str">
        <f ca="1">IFERROR(__xludf.DUMMYFUNCTION("IMPORTRANGE(H3961,""IDENTITAS UNIT!D9"")"),"#N/A")</f>
        <v>#N/A</v>
      </c>
      <c r="H3961" s="4" t="str">
        <v/>
      </c>
      <c r="I3961" s="4" t="str">
        <v/>
      </c>
    </row>
    <row r="3962" spans="5:9" ht="16.5" hidden="1">
      <c r="E3962" s="4" t="str">
        <v/>
      </c>
      <c r="F3962" s="102" t="str">
        <f ca="1">IFERROR(__xludf.DUMMYFUNCTION("IMPORTRANGE(H3962,""IDENTITAS UNIT!D9"")"),"#N/A")</f>
        <v>#N/A</v>
      </c>
      <c r="H3962" s="4" t="str">
        <v/>
      </c>
      <c r="I3962" s="4" t="str">
        <v/>
      </c>
    </row>
    <row r="3963" spans="5:9" ht="16.5" hidden="1">
      <c r="E3963" s="4" t="str">
        <v/>
      </c>
      <c r="F3963" s="102" t="str">
        <f ca="1">IFERROR(__xludf.DUMMYFUNCTION("IMPORTRANGE(H3963,""IDENTITAS UNIT!D9"")"),"#N/A")</f>
        <v>#N/A</v>
      </c>
      <c r="H3963" s="4" t="str">
        <v/>
      </c>
      <c r="I3963" s="4" t="str">
        <v/>
      </c>
    </row>
    <row r="3964" spans="5:9" ht="16.5" hidden="1">
      <c r="E3964" s="4" t="str">
        <v/>
      </c>
      <c r="F3964" s="102" t="str">
        <f ca="1">IFERROR(__xludf.DUMMYFUNCTION("IMPORTRANGE(H3964,""IDENTITAS UNIT!D9"")"),"#N/A")</f>
        <v>#N/A</v>
      </c>
      <c r="H3964" s="4" t="str">
        <v/>
      </c>
      <c r="I3964" s="4" t="str">
        <v/>
      </c>
    </row>
    <row r="3965" spans="5:9" ht="16.5" hidden="1">
      <c r="E3965" s="4" t="str">
        <v/>
      </c>
      <c r="F3965" s="102" t="str">
        <f ca="1">IFERROR(__xludf.DUMMYFUNCTION("IMPORTRANGE(H3965,""IDENTITAS UNIT!D9"")"),"#N/A")</f>
        <v>#N/A</v>
      </c>
      <c r="H3965" s="4" t="str">
        <v/>
      </c>
      <c r="I3965" s="4" t="str">
        <v/>
      </c>
    </row>
    <row r="3966" spans="5:9" ht="16.5" hidden="1">
      <c r="E3966" s="4" t="str">
        <v/>
      </c>
      <c r="F3966" s="102" t="str">
        <f ca="1">IFERROR(__xludf.DUMMYFUNCTION("IMPORTRANGE(H3966,""IDENTITAS UNIT!D9"")"),"#N/A")</f>
        <v>#N/A</v>
      </c>
      <c r="H3966" s="4" t="str">
        <v/>
      </c>
      <c r="I3966" s="4" t="str">
        <v/>
      </c>
    </row>
    <row r="3967" spans="5:9" ht="16.5" hidden="1">
      <c r="E3967" s="4" t="str">
        <v/>
      </c>
      <c r="F3967" s="102" t="str">
        <f ca="1">IFERROR(__xludf.DUMMYFUNCTION("IMPORTRANGE(H3967,""IDENTITAS UNIT!D9"")"),"#N/A")</f>
        <v>#N/A</v>
      </c>
      <c r="H3967" s="4" t="str">
        <v/>
      </c>
      <c r="I3967" s="4" t="str">
        <v/>
      </c>
    </row>
    <row r="3968" spans="5:9" ht="16.5" hidden="1">
      <c r="E3968" s="4" t="str">
        <v/>
      </c>
      <c r="F3968" s="102" t="str">
        <f ca="1">IFERROR(__xludf.DUMMYFUNCTION("IMPORTRANGE(H3968,""IDENTITAS UNIT!D9"")"),"#N/A")</f>
        <v>#N/A</v>
      </c>
      <c r="H3968" s="4" t="str">
        <v/>
      </c>
      <c r="I3968" s="4" t="str">
        <v/>
      </c>
    </row>
    <row r="3969" spans="5:9" ht="16.5" hidden="1">
      <c r="E3969" s="4" t="str">
        <v/>
      </c>
      <c r="F3969" s="102" t="str">
        <f ca="1">IFERROR(__xludf.DUMMYFUNCTION("IMPORTRANGE(H3969,""IDENTITAS UNIT!D9"")"),"#N/A")</f>
        <v>#N/A</v>
      </c>
      <c r="H3969" s="4" t="str">
        <v/>
      </c>
      <c r="I3969" s="4" t="str">
        <v/>
      </c>
    </row>
    <row r="3970" spans="5:9" ht="16.5" hidden="1">
      <c r="E3970" s="4" t="str">
        <v/>
      </c>
      <c r="F3970" s="102" t="str">
        <f ca="1">IFERROR(__xludf.DUMMYFUNCTION("IMPORTRANGE(H3970,""IDENTITAS UNIT!D9"")"),"#N/A")</f>
        <v>#N/A</v>
      </c>
      <c r="H3970" s="4" t="str">
        <v/>
      </c>
      <c r="I3970" s="4" t="str">
        <v/>
      </c>
    </row>
    <row r="3971" spans="5:9" ht="16.5" hidden="1">
      <c r="E3971" s="4" t="str">
        <v/>
      </c>
      <c r="F3971" s="102" t="str">
        <f ca="1">IFERROR(__xludf.DUMMYFUNCTION("IMPORTRANGE(H3971,""IDENTITAS UNIT!D9"")"),"#N/A")</f>
        <v>#N/A</v>
      </c>
      <c r="H3971" s="4" t="str">
        <v/>
      </c>
      <c r="I3971" s="4" t="str">
        <v/>
      </c>
    </row>
    <row r="3972" spans="5:9" ht="16.5" hidden="1">
      <c r="E3972" s="4" t="str">
        <v/>
      </c>
      <c r="F3972" s="102" t="str">
        <f ca="1">IFERROR(__xludf.DUMMYFUNCTION("IMPORTRANGE(H3972,""IDENTITAS UNIT!D9"")"),"#N/A")</f>
        <v>#N/A</v>
      </c>
      <c r="H3972" s="4" t="str">
        <v/>
      </c>
      <c r="I3972" s="4" t="str">
        <v/>
      </c>
    </row>
    <row r="3973" spans="5:9" ht="16.5" hidden="1">
      <c r="E3973" s="4" t="str">
        <v/>
      </c>
      <c r="F3973" s="102" t="str">
        <f ca="1">IFERROR(__xludf.DUMMYFUNCTION("IMPORTRANGE(H3973,""IDENTITAS UNIT!D9"")"),"#N/A")</f>
        <v>#N/A</v>
      </c>
      <c r="H3973" s="4" t="str">
        <v/>
      </c>
      <c r="I3973" s="4" t="str">
        <v/>
      </c>
    </row>
    <row r="3974" spans="5:9" ht="16.5" hidden="1">
      <c r="E3974" s="4" t="str">
        <v/>
      </c>
      <c r="F3974" s="102" t="str">
        <f ca="1">IFERROR(__xludf.DUMMYFUNCTION("IMPORTRANGE(H3974,""IDENTITAS UNIT!D9"")"),"#N/A")</f>
        <v>#N/A</v>
      </c>
      <c r="H3974" s="4" t="str">
        <v/>
      </c>
      <c r="I3974" s="4" t="str">
        <v/>
      </c>
    </row>
    <row r="3975" spans="5:9" ht="16.5" hidden="1">
      <c r="E3975" s="4" t="str">
        <v/>
      </c>
      <c r="F3975" s="102" t="str">
        <f ca="1">IFERROR(__xludf.DUMMYFUNCTION("IMPORTRANGE(H3975,""IDENTITAS UNIT!D9"")"),"#N/A")</f>
        <v>#N/A</v>
      </c>
      <c r="H3975" s="4" t="str">
        <v/>
      </c>
      <c r="I3975" s="4" t="str">
        <v/>
      </c>
    </row>
    <row r="3976" spans="5:9" ht="16.5" hidden="1">
      <c r="E3976" s="4" t="str">
        <v/>
      </c>
      <c r="F3976" s="102" t="str">
        <f ca="1">IFERROR(__xludf.DUMMYFUNCTION("IMPORTRANGE(H3976,""IDENTITAS UNIT!D9"")"),"#N/A")</f>
        <v>#N/A</v>
      </c>
      <c r="H3976" s="4" t="str">
        <v/>
      </c>
      <c r="I3976" s="4" t="str">
        <v/>
      </c>
    </row>
    <row r="3977" spans="5:9" ht="16.5" hidden="1">
      <c r="E3977" s="4" t="str">
        <v/>
      </c>
      <c r="F3977" s="102" t="str">
        <f ca="1">IFERROR(__xludf.DUMMYFUNCTION("IMPORTRANGE(H3977,""IDENTITAS UNIT!D9"")"),"#N/A")</f>
        <v>#N/A</v>
      </c>
      <c r="H3977" s="4" t="str">
        <v/>
      </c>
      <c r="I3977" s="4" t="str">
        <v/>
      </c>
    </row>
    <row r="3978" spans="5:9" ht="16.5" hidden="1">
      <c r="E3978" s="4" t="str">
        <v/>
      </c>
      <c r="F3978" s="102" t="str">
        <f ca="1">IFERROR(__xludf.DUMMYFUNCTION("IMPORTRANGE(H3978,""IDENTITAS UNIT!D9"")"),"#N/A")</f>
        <v>#N/A</v>
      </c>
      <c r="H3978" s="4" t="str">
        <v/>
      </c>
      <c r="I3978" s="4" t="str">
        <v/>
      </c>
    </row>
    <row r="3979" spans="5:9" ht="16.5" hidden="1">
      <c r="E3979" s="4" t="str">
        <v/>
      </c>
      <c r="F3979" s="102" t="str">
        <f ca="1">IFERROR(__xludf.DUMMYFUNCTION("IMPORTRANGE(H3979,""IDENTITAS UNIT!D9"")"),"#N/A")</f>
        <v>#N/A</v>
      </c>
      <c r="H3979" s="4" t="str">
        <v/>
      </c>
      <c r="I3979" s="4" t="str">
        <v/>
      </c>
    </row>
    <row r="3980" spans="5:9" ht="16.5" hidden="1">
      <c r="E3980" s="4" t="str">
        <v/>
      </c>
      <c r="F3980" s="102" t="str">
        <f ca="1">IFERROR(__xludf.DUMMYFUNCTION("IMPORTRANGE(H3980,""IDENTITAS UNIT!D9"")"),"#N/A")</f>
        <v>#N/A</v>
      </c>
      <c r="H3980" s="4" t="str">
        <v/>
      </c>
      <c r="I3980" s="4" t="str">
        <v/>
      </c>
    </row>
    <row r="3981" spans="5:9" ht="16.5" hidden="1">
      <c r="E3981" s="4" t="str">
        <v/>
      </c>
      <c r="F3981" s="102" t="str">
        <f ca="1">IFERROR(__xludf.DUMMYFUNCTION("IMPORTRANGE(H3981,""IDENTITAS UNIT!D9"")"),"#N/A")</f>
        <v>#N/A</v>
      </c>
      <c r="H3981" s="4" t="str">
        <v/>
      </c>
      <c r="I3981" s="4" t="str">
        <v/>
      </c>
    </row>
    <row r="3982" spans="5:9" ht="16.5" hidden="1">
      <c r="E3982" s="4" t="str">
        <v/>
      </c>
      <c r="F3982" s="102" t="str">
        <f ca="1">IFERROR(__xludf.DUMMYFUNCTION("IMPORTRANGE(H3982,""IDENTITAS UNIT!D9"")"),"#N/A")</f>
        <v>#N/A</v>
      </c>
      <c r="H3982" s="4" t="str">
        <v/>
      </c>
      <c r="I3982" s="4" t="str">
        <v/>
      </c>
    </row>
    <row r="3983" spans="5:9" ht="16.5" hidden="1">
      <c r="E3983" s="4" t="str">
        <v/>
      </c>
      <c r="F3983" s="102" t="str">
        <f ca="1">IFERROR(__xludf.DUMMYFUNCTION("IMPORTRANGE(H3983,""IDENTITAS UNIT!D9"")"),"#N/A")</f>
        <v>#N/A</v>
      </c>
      <c r="H3983" s="4" t="str">
        <v/>
      </c>
      <c r="I3983" s="4" t="str">
        <v/>
      </c>
    </row>
    <row r="3984" spans="5:9" ht="16.5" hidden="1">
      <c r="E3984" s="4" t="str">
        <v/>
      </c>
      <c r="F3984" s="102" t="str">
        <f ca="1">IFERROR(__xludf.DUMMYFUNCTION("IMPORTRANGE(H3984,""IDENTITAS UNIT!D9"")"),"#N/A")</f>
        <v>#N/A</v>
      </c>
      <c r="H3984" s="4" t="str">
        <v/>
      </c>
      <c r="I3984" s="4" t="str">
        <v/>
      </c>
    </row>
    <row r="3985" spans="5:9" ht="16.5" hidden="1">
      <c r="E3985" s="4" t="str">
        <v/>
      </c>
      <c r="F3985" s="102" t="str">
        <f ca="1">IFERROR(__xludf.DUMMYFUNCTION("IMPORTRANGE(H3985,""IDENTITAS UNIT!D9"")"),"#N/A")</f>
        <v>#N/A</v>
      </c>
      <c r="H3985" s="4" t="str">
        <v/>
      </c>
      <c r="I3985" s="4" t="str">
        <v/>
      </c>
    </row>
    <row r="3986" spans="5:9" ht="16.5" hidden="1">
      <c r="E3986" s="4" t="str">
        <v/>
      </c>
      <c r="F3986" s="102" t="str">
        <f ca="1">IFERROR(__xludf.DUMMYFUNCTION("IMPORTRANGE(H3986,""IDENTITAS UNIT!D9"")"),"#N/A")</f>
        <v>#N/A</v>
      </c>
      <c r="H3986" s="4" t="str">
        <v/>
      </c>
      <c r="I3986" s="4" t="str">
        <v/>
      </c>
    </row>
    <row r="3987" spans="5:9" ht="16.5" hidden="1">
      <c r="E3987" s="4" t="str">
        <v/>
      </c>
      <c r="F3987" s="102" t="str">
        <f ca="1">IFERROR(__xludf.DUMMYFUNCTION("IMPORTRANGE(H3987,""IDENTITAS UNIT!D9"")"),"#N/A")</f>
        <v>#N/A</v>
      </c>
      <c r="H3987" s="4" t="str">
        <v/>
      </c>
      <c r="I3987" s="4" t="str">
        <v/>
      </c>
    </row>
    <row r="3988" spans="5:9" ht="16.5" hidden="1">
      <c r="E3988" s="4" t="str">
        <v/>
      </c>
      <c r="F3988" s="102" t="str">
        <f ca="1">IFERROR(__xludf.DUMMYFUNCTION("IMPORTRANGE(H3988,""IDENTITAS UNIT!D9"")"),"#N/A")</f>
        <v>#N/A</v>
      </c>
      <c r="H3988" s="4" t="str">
        <v/>
      </c>
      <c r="I3988" s="4" t="str">
        <v/>
      </c>
    </row>
    <row r="3989" spans="5:9" ht="16.5" hidden="1">
      <c r="E3989" s="4" t="str">
        <v/>
      </c>
      <c r="F3989" s="102" t="str">
        <f ca="1">IFERROR(__xludf.DUMMYFUNCTION("IMPORTRANGE(H3989,""IDENTITAS UNIT!D9"")"),"#N/A")</f>
        <v>#N/A</v>
      </c>
      <c r="H3989" s="4" t="str">
        <v/>
      </c>
      <c r="I3989" s="4" t="str">
        <v/>
      </c>
    </row>
    <row r="3990" spans="5:9" ht="16.5" hidden="1">
      <c r="E3990" s="4" t="str">
        <v/>
      </c>
      <c r="F3990" s="102" t="str">
        <f ca="1">IFERROR(__xludf.DUMMYFUNCTION("IMPORTRANGE(H3990,""IDENTITAS UNIT!D9"")"),"#N/A")</f>
        <v>#N/A</v>
      </c>
      <c r="H3990" s="4" t="str">
        <v/>
      </c>
      <c r="I3990" s="4" t="str">
        <v/>
      </c>
    </row>
    <row r="3991" spans="5:9" ht="16.5" hidden="1">
      <c r="E3991" s="4" t="str">
        <v/>
      </c>
      <c r="F3991" s="102" t="str">
        <f ca="1">IFERROR(__xludf.DUMMYFUNCTION("IMPORTRANGE(H3991,""IDENTITAS UNIT!D9"")"),"#N/A")</f>
        <v>#N/A</v>
      </c>
      <c r="H3991" s="4" t="str">
        <v/>
      </c>
      <c r="I3991" s="4" t="str">
        <v/>
      </c>
    </row>
    <row r="3992" spans="5:9" ht="16.5" hidden="1">
      <c r="E3992" s="4" t="str">
        <v/>
      </c>
      <c r="F3992" s="102" t="str">
        <f ca="1">IFERROR(__xludf.DUMMYFUNCTION("IMPORTRANGE(H3992,""IDENTITAS UNIT!D9"")"),"#N/A")</f>
        <v>#N/A</v>
      </c>
      <c r="H3992" s="4" t="str">
        <v/>
      </c>
      <c r="I3992" s="4" t="str">
        <v/>
      </c>
    </row>
    <row r="3993" spans="5:9" ht="16.5" hidden="1">
      <c r="E3993" s="4" t="str">
        <v/>
      </c>
      <c r="F3993" s="102" t="str">
        <f ca="1">IFERROR(__xludf.DUMMYFUNCTION("IMPORTRANGE(H3993,""IDENTITAS UNIT!D9"")"),"#N/A")</f>
        <v>#N/A</v>
      </c>
      <c r="H3993" s="4" t="str">
        <v/>
      </c>
      <c r="I3993" s="4" t="str">
        <v/>
      </c>
    </row>
    <row r="3994" spans="5:9" ht="16.5" hidden="1">
      <c r="E3994" s="4" t="str">
        <v/>
      </c>
      <c r="F3994" s="102" t="str">
        <f ca="1">IFERROR(__xludf.DUMMYFUNCTION("IMPORTRANGE(H3994,""IDENTITAS UNIT!D9"")"),"#N/A")</f>
        <v>#N/A</v>
      </c>
      <c r="H3994" s="4" t="str">
        <v/>
      </c>
      <c r="I3994" s="4" t="str">
        <v/>
      </c>
    </row>
    <row r="3995" spans="5:9" ht="16.5" hidden="1">
      <c r="E3995" s="4" t="str">
        <v/>
      </c>
      <c r="F3995" s="102" t="str">
        <f ca="1">IFERROR(__xludf.DUMMYFUNCTION("IMPORTRANGE(H3995,""IDENTITAS UNIT!D9"")"),"#N/A")</f>
        <v>#N/A</v>
      </c>
      <c r="H3995" s="4" t="str">
        <v/>
      </c>
      <c r="I3995" s="4" t="str">
        <v/>
      </c>
    </row>
    <row r="3996" spans="5:9" ht="16.5" hidden="1">
      <c r="E3996" s="4" t="str">
        <v/>
      </c>
      <c r="F3996" s="102" t="str">
        <f ca="1">IFERROR(__xludf.DUMMYFUNCTION("IMPORTRANGE(H3996,""IDENTITAS UNIT!D9"")"),"#N/A")</f>
        <v>#N/A</v>
      </c>
      <c r="H3996" s="4" t="str">
        <v/>
      </c>
      <c r="I3996" s="4" t="str">
        <v/>
      </c>
    </row>
    <row r="3997" spans="5:9" ht="16.5" hidden="1">
      <c r="E3997" s="4" t="str">
        <v/>
      </c>
      <c r="F3997" s="102" t="str">
        <f ca="1">IFERROR(__xludf.DUMMYFUNCTION("IMPORTRANGE(H3997,""IDENTITAS UNIT!D9"")"),"#N/A")</f>
        <v>#N/A</v>
      </c>
      <c r="H3997" s="4" t="str">
        <v/>
      </c>
      <c r="I3997" s="4" t="str">
        <v/>
      </c>
    </row>
    <row r="3998" spans="5:9" ht="16.5" hidden="1">
      <c r="E3998" s="4" t="str">
        <v/>
      </c>
      <c r="F3998" s="102" t="str">
        <f ca="1">IFERROR(__xludf.DUMMYFUNCTION("IMPORTRANGE(H3998,""IDENTITAS UNIT!D9"")"),"#N/A")</f>
        <v>#N/A</v>
      </c>
      <c r="H3998" s="4" t="str">
        <v/>
      </c>
      <c r="I3998" s="4" t="str">
        <v/>
      </c>
    </row>
    <row r="3999" spans="5:9" ht="16.5" hidden="1">
      <c r="E3999" s="4" t="str">
        <v/>
      </c>
      <c r="F3999" s="102" t="str">
        <f ca="1">IFERROR(__xludf.DUMMYFUNCTION("IMPORTRANGE(H3999,""IDENTITAS UNIT!D9"")"),"#N/A")</f>
        <v>#N/A</v>
      </c>
      <c r="H3999" s="4" t="str">
        <v/>
      </c>
      <c r="I3999" s="4" t="str">
        <v/>
      </c>
    </row>
    <row r="4000" spans="5:9" ht="16.5" hidden="1">
      <c r="E4000" s="4" t="str">
        <v/>
      </c>
      <c r="F4000" s="102" t="str">
        <f ca="1">IFERROR(__xludf.DUMMYFUNCTION("IMPORTRANGE(H4000,""IDENTITAS UNIT!D9"")"),"#N/A")</f>
        <v>#N/A</v>
      </c>
      <c r="H4000" s="4" t="str">
        <v/>
      </c>
      <c r="I4000" s="4" t="str">
        <v/>
      </c>
    </row>
    <row r="4001" spans="5:9" ht="16.5" hidden="1">
      <c r="E4001" s="4" t="str">
        <v/>
      </c>
      <c r="F4001" s="102" t="str">
        <f ca="1">IFERROR(__xludf.DUMMYFUNCTION("IMPORTRANGE(H4001,""IDENTITAS UNIT!D9"")"),"#N/A")</f>
        <v>#N/A</v>
      </c>
      <c r="H4001" s="4" t="str">
        <v/>
      </c>
      <c r="I4001" s="4" t="str">
        <v/>
      </c>
    </row>
    <row r="4002" spans="5:9" ht="16.5" hidden="1">
      <c r="E4002" s="4" t="str">
        <v/>
      </c>
      <c r="F4002" s="102" t="str">
        <f ca="1">IFERROR(__xludf.DUMMYFUNCTION("IMPORTRANGE(H4002,""IDENTITAS UNIT!D9"")"),"#N/A")</f>
        <v>#N/A</v>
      </c>
      <c r="H4002" s="4" t="str">
        <v/>
      </c>
      <c r="I4002" s="4" t="str">
        <v/>
      </c>
    </row>
    <row r="4003" spans="5:9" ht="16.5" hidden="1">
      <c r="E4003" s="4" t="str">
        <v/>
      </c>
      <c r="F4003" s="102" t="str">
        <f ca="1">IFERROR(__xludf.DUMMYFUNCTION("IMPORTRANGE(H4003,""IDENTITAS UNIT!D9"")"),"#N/A")</f>
        <v>#N/A</v>
      </c>
      <c r="H4003" s="4" t="str">
        <v/>
      </c>
      <c r="I4003" s="4" t="str">
        <v/>
      </c>
    </row>
    <row r="4004" spans="5:9" ht="16.5" hidden="1">
      <c r="E4004" s="4" t="str">
        <v/>
      </c>
      <c r="F4004" s="102" t="str">
        <f ca="1">IFERROR(__xludf.DUMMYFUNCTION("IMPORTRANGE(H4004,""IDENTITAS UNIT!D9"")"),"#N/A")</f>
        <v>#N/A</v>
      </c>
      <c r="H4004" s="4" t="str">
        <v/>
      </c>
      <c r="I4004" s="4" t="str">
        <v/>
      </c>
    </row>
    <row r="4005" spans="5:9" ht="16.5" hidden="1">
      <c r="E4005" s="4" t="str">
        <v/>
      </c>
      <c r="F4005" s="102" t="str">
        <f ca="1">IFERROR(__xludf.DUMMYFUNCTION("IMPORTRANGE(H4005,""IDENTITAS UNIT!D9"")"),"#N/A")</f>
        <v>#N/A</v>
      </c>
      <c r="H4005" s="4" t="str">
        <v/>
      </c>
      <c r="I4005" s="4" t="str">
        <v/>
      </c>
    </row>
    <row r="4006" spans="5:9" ht="16.5" hidden="1">
      <c r="E4006" s="4" t="str">
        <v/>
      </c>
      <c r="F4006" s="102" t="str">
        <f ca="1">IFERROR(__xludf.DUMMYFUNCTION("IMPORTRANGE(H4006,""IDENTITAS UNIT!D9"")"),"#N/A")</f>
        <v>#N/A</v>
      </c>
      <c r="H4006" s="4" t="str">
        <v/>
      </c>
      <c r="I4006" s="4" t="str">
        <v/>
      </c>
    </row>
    <row r="4007" spans="5:9" ht="16.5" hidden="1">
      <c r="E4007" s="4" t="str">
        <v/>
      </c>
      <c r="F4007" s="102" t="str">
        <f ca="1">IFERROR(__xludf.DUMMYFUNCTION("IMPORTRANGE(H4007,""IDENTITAS UNIT!D9"")"),"#N/A")</f>
        <v>#N/A</v>
      </c>
      <c r="H4007" s="4" t="str">
        <v/>
      </c>
      <c r="I4007" s="4" t="str">
        <v/>
      </c>
    </row>
    <row r="4008" spans="5:9" ht="16.5" hidden="1">
      <c r="E4008" s="4" t="str">
        <v/>
      </c>
      <c r="F4008" s="102" t="str">
        <f ca="1">IFERROR(__xludf.DUMMYFUNCTION("IMPORTRANGE(H4008,""IDENTITAS UNIT!D9"")"),"#N/A")</f>
        <v>#N/A</v>
      </c>
      <c r="H4008" s="4" t="str">
        <v/>
      </c>
      <c r="I4008" s="4" t="str">
        <v/>
      </c>
    </row>
    <row r="4009" spans="5:9" ht="16.5" hidden="1">
      <c r="E4009" s="4" t="str">
        <v/>
      </c>
      <c r="F4009" s="102" t="str">
        <f ca="1">IFERROR(__xludf.DUMMYFUNCTION("IMPORTRANGE(H4009,""IDENTITAS UNIT!D9"")"),"#N/A")</f>
        <v>#N/A</v>
      </c>
      <c r="H4009" s="4" t="str">
        <v/>
      </c>
      <c r="I4009" s="4" t="str">
        <v/>
      </c>
    </row>
    <row r="4010" spans="5:9" ht="16.5" hidden="1">
      <c r="E4010" s="4" t="str">
        <v/>
      </c>
      <c r="F4010" s="102" t="str">
        <f ca="1">IFERROR(__xludf.DUMMYFUNCTION("IMPORTRANGE(H4010,""IDENTITAS UNIT!D9"")"),"#N/A")</f>
        <v>#N/A</v>
      </c>
      <c r="H4010" s="4" t="str">
        <v/>
      </c>
      <c r="I4010" s="4" t="str">
        <v/>
      </c>
    </row>
    <row r="4011" spans="5:9" ht="16.5" hidden="1">
      <c r="E4011" s="4" t="str">
        <v/>
      </c>
      <c r="F4011" s="102" t="str">
        <f ca="1">IFERROR(__xludf.DUMMYFUNCTION("IMPORTRANGE(H4011,""IDENTITAS UNIT!D9"")"),"#N/A")</f>
        <v>#N/A</v>
      </c>
      <c r="H4011" s="4" t="str">
        <v/>
      </c>
      <c r="I4011" s="4" t="str">
        <v/>
      </c>
    </row>
    <row r="4012" spans="5:9" ht="16.5" hidden="1">
      <c r="E4012" s="4" t="str">
        <v/>
      </c>
      <c r="F4012" s="102" t="str">
        <f ca="1">IFERROR(__xludf.DUMMYFUNCTION("IMPORTRANGE(H4012,""IDENTITAS UNIT!D9"")"),"#N/A")</f>
        <v>#N/A</v>
      </c>
      <c r="H4012" s="4" t="str">
        <v/>
      </c>
      <c r="I4012" s="4" t="str">
        <v/>
      </c>
    </row>
    <row r="4013" spans="5:9" ht="16.5" hidden="1">
      <c r="E4013" s="4" t="str">
        <v/>
      </c>
      <c r="F4013" s="102" t="str">
        <f ca="1">IFERROR(__xludf.DUMMYFUNCTION("IMPORTRANGE(H4013,""IDENTITAS UNIT!D9"")"),"#N/A")</f>
        <v>#N/A</v>
      </c>
      <c r="H4013" s="4" t="str">
        <v/>
      </c>
      <c r="I4013" s="4" t="str">
        <v/>
      </c>
    </row>
    <row r="4014" spans="5:9" ht="16.5" hidden="1">
      <c r="E4014" s="4" t="str">
        <v/>
      </c>
      <c r="F4014" s="102" t="str">
        <f ca="1">IFERROR(__xludf.DUMMYFUNCTION("IMPORTRANGE(H4014,""IDENTITAS UNIT!D9"")"),"#N/A")</f>
        <v>#N/A</v>
      </c>
      <c r="H4014" s="4" t="str">
        <v/>
      </c>
      <c r="I4014" s="4" t="str">
        <v/>
      </c>
    </row>
    <row r="4015" spans="5:9" ht="16.5" hidden="1">
      <c r="E4015" s="4" t="str">
        <v/>
      </c>
      <c r="F4015" s="102" t="str">
        <f ca="1">IFERROR(__xludf.DUMMYFUNCTION("IMPORTRANGE(H4015,""IDENTITAS UNIT!D9"")"),"#N/A")</f>
        <v>#N/A</v>
      </c>
      <c r="H4015" s="4" t="str">
        <v/>
      </c>
      <c r="I4015" s="4" t="str">
        <v/>
      </c>
    </row>
    <row r="4016" spans="5:9" ht="16.5" hidden="1">
      <c r="E4016" s="4" t="str">
        <v/>
      </c>
      <c r="F4016" s="102" t="str">
        <f ca="1">IFERROR(__xludf.DUMMYFUNCTION("IMPORTRANGE(H4016,""IDENTITAS UNIT!D9"")"),"#N/A")</f>
        <v>#N/A</v>
      </c>
      <c r="H4016" s="4" t="str">
        <v/>
      </c>
      <c r="I4016" s="4" t="str">
        <v/>
      </c>
    </row>
    <row r="4017" spans="5:9" ht="16.5" hidden="1">
      <c r="E4017" s="4" t="str">
        <v/>
      </c>
      <c r="F4017" s="102" t="str">
        <f ca="1">IFERROR(__xludf.DUMMYFUNCTION("IMPORTRANGE(H4017,""IDENTITAS UNIT!D9"")"),"#N/A")</f>
        <v>#N/A</v>
      </c>
      <c r="H4017" s="4" t="str">
        <v/>
      </c>
      <c r="I4017" s="4" t="str">
        <v/>
      </c>
    </row>
    <row r="4018" spans="5:9" ht="16.5" hidden="1">
      <c r="E4018" s="4" t="str">
        <v/>
      </c>
      <c r="F4018" s="102" t="str">
        <f ca="1">IFERROR(__xludf.DUMMYFUNCTION("IMPORTRANGE(H4018,""IDENTITAS UNIT!D9"")"),"#N/A")</f>
        <v>#N/A</v>
      </c>
      <c r="H4018" s="4" t="str">
        <v/>
      </c>
      <c r="I4018" s="4" t="str">
        <v/>
      </c>
    </row>
    <row r="4019" spans="5:9" ht="16.5" hidden="1">
      <c r="E4019" s="4" t="str">
        <v/>
      </c>
      <c r="F4019" s="102" t="str">
        <f ca="1">IFERROR(__xludf.DUMMYFUNCTION("IMPORTRANGE(H4019,""IDENTITAS UNIT!D9"")"),"#N/A")</f>
        <v>#N/A</v>
      </c>
      <c r="H4019" s="4" t="str">
        <v/>
      </c>
      <c r="I4019" s="4" t="str">
        <v/>
      </c>
    </row>
    <row r="4020" spans="5:9" ht="16.5" hidden="1">
      <c r="E4020" s="4" t="str">
        <v/>
      </c>
      <c r="F4020" s="102" t="str">
        <f ca="1">IFERROR(__xludf.DUMMYFUNCTION("IMPORTRANGE(H4020,""IDENTITAS UNIT!D9"")"),"#N/A")</f>
        <v>#N/A</v>
      </c>
      <c r="H4020" s="4" t="str">
        <v/>
      </c>
      <c r="I4020" s="4" t="str">
        <v/>
      </c>
    </row>
    <row r="4021" spans="5:9" ht="16.5" hidden="1">
      <c r="E4021" s="4" t="str">
        <v/>
      </c>
      <c r="F4021" s="102" t="str">
        <f ca="1">IFERROR(__xludf.DUMMYFUNCTION("IMPORTRANGE(H4021,""IDENTITAS UNIT!D9"")"),"#N/A")</f>
        <v>#N/A</v>
      </c>
      <c r="H4021" s="4" t="str">
        <v/>
      </c>
      <c r="I4021" s="4" t="str">
        <v/>
      </c>
    </row>
    <row r="4022" spans="5:9" ht="16.5" hidden="1">
      <c r="E4022" s="4" t="str">
        <v/>
      </c>
      <c r="F4022" s="102" t="str">
        <f ca="1">IFERROR(__xludf.DUMMYFUNCTION("IMPORTRANGE(H4022,""IDENTITAS UNIT!D9"")"),"#N/A")</f>
        <v>#N/A</v>
      </c>
      <c r="H4022" s="4" t="str">
        <v/>
      </c>
      <c r="I4022" s="4" t="str">
        <v/>
      </c>
    </row>
    <row r="4023" spans="5:9" ht="16.5" hidden="1">
      <c r="E4023" s="4" t="str">
        <v/>
      </c>
      <c r="F4023" s="102" t="str">
        <f ca="1">IFERROR(__xludf.DUMMYFUNCTION("IMPORTRANGE(H4023,""IDENTITAS UNIT!D9"")"),"#N/A")</f>
        <v>#N/A</v>
      </c>
      <c r="H4023" s="4" t="str">
        <v/>
      </c>
      <c r="I4023" s="4" t="str">
        <v/>
      </c>
    </row>
    <row r="4024" spans="5:9" ht="16.5" hidden="1">
      <c r="E4024" s="4" t="str">
        <v/>
      </c>
      <c r="F4024" s="102" t="str">
        <f ca="1">IFERROR(__xludf.DUMMYFUNCTION("IMPORTRANGE(H4024,""IDENTITAS UNIT!D9"")"),"#N/A")</f>
        <v>#N/A</v>
      </c>
      <c r="H4024" s="4" t="str">
        <v/>
      </c>
      <c r="I4024" s="4" t="str">
        <v/>
      </c>
    </row>
    <row r="4025" spans="5:9" ht="16.5" hidden="1">
      <c r="E4025" s="4" t="str">
        <v/>
      </c>
      <c r="F4025" s="102" t="str">
        <f ca="1">IFERROR(__xludf.DUMMYFUNCTION("IMPORTRANGE(H4025,""IDENTITAS UNIT!D9"")"),"#N/A")</f>
        <v>#N/A</v>
      </c>
      <c r="H4025" s="4" t="str">
        <v/>
      </c>
      <c r="I4025" s="4" t="str">
        <v/>
      </c>
    </row>
    <row r="4026" spans="5:9" ht="16.5" hidden="1">
      <c r="E4026" s="4" t="str">
        <v/>
      </c>
      <c r="F4026" s="102" t="str">
        <f ca="1">IFERROR(__xludf.DUMMYFUNCTION("IMPORTRANGE(H4026,""IDENTITAS UNIT!D9"")"),"#N/A")</f>
        <v>#N/A</v>
      </c>
      <c r="H4026" s="4" t="str">
        <v/>
      </c>
      <c r="I4026" s="4" t="str">
        <v/>
      </c>
    </row>
    <row r="4027" spans="5:9" ht="16.5" hidden="1">
      <c r="E4027" s="4" t="str">
        <v/>
      </c>
      <c r="F4027" s="102" t="str">
        <f ca="1">IFERROR(__xludf.DUMMYFUNCTION("IMPORTRANGE(H4027,""IDENTITAS UNIT!D9"")"),"#N/A")</f>
        <v>#N/A</v>
      </c>
      <c r="H4027" s="4" t="str">
        <v/>
      </c>
      <c r="I4027" s="4" t="str">
        <v/>
      </c>
    </row>
    <row r="4028" spans="5:9" ht="16.5" hidden="1">
      <c r="E4028" s="4" t="str">
        <v/>
      </c>
      <c r="F4028" s="102" t="str">
        <f ca="1">IFERROR(__xludf.DUMMYFUNCTION("IMPORTRANGE(H4028,""IDENTITAS UNIT!D9"")"),"#N/A")</f>
        <v>#N/A</v>
      </c>
      <c r="H4028" s="4" t="str">
        <v/>
      </c>
      <c r="I4028" s="4" t="str">
        <v/>
      </c>
    </row>
    <row r="4029" spans="5:9" ht="16.5" hidden="1">
      <c r="E4029" s="4" t="str">
        <v/>
      </c>
      <c r="F4029" s="102" t="str">
        <f ca="1">IFERROR(__xludf.DUMMYFUNCTION("IMPORTRANGE(H4029,""IDENTITAS UNIT!D9"")"),"#N/A")</f>
        <v>#N/A</v>
      </c>
      <c r="H4029" s="4" t="str">
        <v/>
      </c>
      <c r="I4029" s="4" t="str">
        <v/>
      </c>
    </row>
    <row r="4030" spans="5:9" ht="16.5" hidden="1">
      <c r="E4030" s="4" t="str">
        <v/>
      </c>
      <c r="F4030" s="102" t="str">
        <f ca="1">IFERROR(__xludf.DUMMYFUNCTION("IMPORTRANGE(H4030,""IDENTITAS UNIT!D9"")"),"#N/A")</f>
        <v>#N/A</v>
      </c>
      <c r="H4030" s="4" t="str">
        <v/>
      </c>
      <c r="I4030" s="4" t="str">
        <v/>
      </c>
    </row>
    <row r="4031" spans="5:9" ht="16.5" hidden="1">
      <c r="E4031" s="4" t="str">
        <v/>
      </c>
      <c r="F4031" s="102" t="str">
        <f ca="1">IFERROR(__xludf.DUMMYFUNCTION("IMPORTRANGE(H4031,""IDENTITAS UNIT!D9"")"),"#N/A")</f>
        <v>#N/A</v>
      </c>
      <c r="H4031" s="4" t="str">
        <v/>
      </c>
      <c r="I4031" s="4" t="str">
        <v/>
      </c>
    </row>
    <row r="4032" spans="5:9" ht="16.5" hidden="1">
      <c r="E4032" s="4" t="str">
        <v/>
      </c>
      <c r="F4032" s="102" t="str">
        <f ca="1">IFERROR(__xludf.DUMMYFUNCTION("IMPORTRANGE(H4032,""IDENTITAS UNIT!D9"")"),"#N/A")</f>
        <v>#N/A</v>
      </c>
      <c r="H4032" s="4" t="str">
        <v/>
      </c>
      <c r="I4032" s="4" t="str">
        <v/>
      </c>
    </row>
    <row r="4033" spans="5:9" ht="16.5" hidden="1">
      <c r="E4033" s="4" t="str">
        <v/>
      </c>
      <c r="F4033" s="102" t="str">
        <f ca="1">IFERROR(__xludf.DUMMYFUNCTION("IMPORTRANGE(H4033,""IDENTITAS UNIT!D9"")"),"#N/A")</f>
        <v>#N/A</v>
      </c>
      <c r="H4033" s="4" t="str">
        <v/>
      </c>
      <c r="I4033" s="4" t="str">
        <v/>
      </c>
    </row>
    <row r="4034" spans="5:9" ht="16.5" hidden="1">
      <c r="E4034" s="4" t="str">
        <v/>
      </c>
      <c r="F4034" s="102" t="str">
        <f ca="1">IFERROR(__xludf.DUMMYFUNCTION("IMPORTRANGE(H4034,""IDENTITAS UNIT!D9"")"),"#N/A")</f>
        <v>#N/A</v>
      </c>
      <c r="H4034" s="4" t="str">
        <v/>
      </c>
      <c r="I4034" s="4" t="str">
        <v/>
      </c>
    </row>
    <row r="4035" spans="5:9" ht="16.5" hidden="1">
      <c r="E4035" s="4" t="str">
        <v/>
      </c>
      <c r="F4035" s="102" t="str">
        <f ca="1">IFERROR(__xludf.DUMMYFUNCTION("IMPORTRANGE(H4035,""IDENTITAS UNIT!D9"")"),"#N/A")</f>
        <v>#N/A</v>
      </c>
      <c r="H4035" s="4" t="str">
        <v/>
      </c>
      <c r="I4035" s="4" t="str">
        <v/>
      </c>
    </row>
    <row r="4036" spans="5:9" ht="16.5" hidden="1">
      <c r="E4036" s="4" t="str">
        <v/>
      </c>
      <c r="F4036" s="102" t="str">
        <f ca="1">IFERROR(__xludf.DUMMYFUNCTION("IMPORTRANGE(H4036,""IDENTITAS UNIT!D9"")"),"#N/A")</f>
        <v>#N/A</v>
      </c>
      <c r="H4036" s="4" t="str">
        <v/>
      </c>
      <c r="I4036" s="4" t="str">
        <v/>
      </c>
    </row>
    <row r="4037" spans="5:9" ht="16.5" hidden="1">
      <c r="E4037" s="4" t="str">
        <v/>
      </c>
      <c r="F4037" s="102" t="str">
        <f ca="1">IFERROR(__xludf.DUMMYFUNCTION("IMPORTRANGE(H4037,""IDENTITAS UNIT!D9"")"),"#N/A")</f>
        <v>#N/A</v>
      </c>
      <c r="H4037" s="4" t="str">
        <v/>
      </c>
      <c r="I4037" s="4" t="str">
        <v/>
      </c>
    </row>
    <row r="4038" spans="5:9" ht="16.5" hidden="1">
      <c r="E4038" s="4" t="str">
        <v/>
      </c>
      <c r="F4038" s="102" t="str">
        <f ca="1">IFERROR(__xludf.DUMMYFUNCTION("IMPORTRANGE(H4038,""IDENTITAS UNIT!D9"")"),"#N/A")</f>
        <v>#N/A</v>
      </c>
      <c r="H4038" s="4" t="str">
        <v/>
      </c>
      <c r="I4038" s="4" t="str">
        <v/>
      </c>
    </row>
    <row r="4039" spans="5:9" ht="16.5" hidden="1">
      <c r="E4039" s="4" t="str">
        <v/>
      </c>
      <c r="F4039" s="102" t="str">
        <f ca="1">IFERROR(__xludf.DUMMYFUNCTION("IMPORTRANGE(H4039,""IDENTITAS UNIT!D9"")"),"#N/A")</f>
        <v>#N/A</v>
      </c>
      <c r="H4039" s="4" t="str">
        <v/>
      </c>
      <c r="I4039" s="4" t="str">
        <v/>
      </c>
    </row>
    <row r="4040" spans="5:9" ht="16.5" hidden="1">
      <c r="E4040" s="4" t="str">
        <v/>
      </c>
      <c r="F4040" s="102" t="str">
        <f ca="1">IFERROR(__xludf.DUMMYFUNCTION("IMPORTRANGE(H4040,""IDENTITAS UNIT!D9"")"),"#N/A")</f>
        <v>#N/A</v>
      </c>
      <c r="H4040" s="4" t="str">
        <v/>
      </c>
      <c r="I4040" s="4" t="str">
        <v/>
      </c>
    </row>
    <row r="4041" spans="5:9" ht="16.5" hidden="1">
      <c r="E4041" s="4" t="str">
        <v/>
      </c>
      <c r="F4041" s="102" t="str">
        <f ca="1">IFERROR(__xludf.DUMMYFUNCTION("IMPORTRANGE(H4041,""IDENTITAS UNIT!D9"")"),"#N/A")</f>
        <v>#N/A</v>
      </c>
      <c r="H4041" s="4" t="str">
        <v/>
      </c>
      <c r="I4041" s="4" t="str">
        <v/>
      </c>
    </row>
    <row r="4042" spans="5:9" ht="16.5" hidden="1">
      <c r="E4042" s="4" t="str">
        <v/>
      </c>
      <c r="F4042" s="102" t="str">
        <f ca="1">IFERROR(__xludf.DUMMYFUNCTION("IMPORTRANGE(H4042,""IDENTITAS UNIT!D9"")"),"#N/A")</f>
        <v>#N/A</v>
      </c>
      <c r="H4042" s="4" t="str">
        <v/>
      </c>
      <c r="I4042" s="4" t="str">
        <v/>
      </c>
    </row>
    <row r="4043" spans="5:9" ht="16.5" hidden="1">
      <c r="E4043" s="4" t="str">
        <v/>
      </c>
      <c r="F4043" s="102" t="str">
        <f ca="1">IFERROR(__xludf.DUMMYFUNCTION("IMPORTRANGE(H4043,""IDENTITAS UNIT!D9"")"),"#N/A")</f>
        <v>#N/A</v>
      </c>
      <c r="H4043" s="4" t="str">
        <v/>
      </c>
      <c r="I4043" s="4" t="str">
        <v/>
      </c>
    </row>
    <row r="4044" spans="5:9" ht="16.5" hidden="1">
      <c r="E4044" s="4" t="str">
        <v/>
      </c>
      <c r="F4044" s="102" t="str">
        <f ca="1">IFERROR(__xludf.DUMMYFUNCTION("IMPORTRANGE(H4044,""IDENTITAS UNIT!D9"")"),"#N/A")</f>
        <v>#N/A</v>
      </c>
      <c r="H4044" s="4" t="str">
        <v/>
      </c>
      <c r="I4044" s="4" t="str">
        <v/>
      </c>
    </row>
    <row r="4045" spans="5:9" ht="16.5" hidden="1">
      <c r="E4045" s="4" t="str">
        <v/>
      </c>
      <c r="F4045" s="102" t="str">
        <f ca="1">IFERROR(__xludf.DUMMYFUNCTION("IMPORTRANGE(H4045,""IDENTITAS UNIT!D9"")"),"#N/A")</f>
        <v>#N/A</v>
      </c>
      <c r="H4045" s="4" t="str">
        <v/>
      </c>
      <c r="I4045" s="4" t="str">
        <v/>
      </c>
    </row>
    <row r="4046" spans="5:9" ht="16.5" hidden="1">
      <c r="E4046" s="4" t="str">
        <v/>
      </c>
      <c r="F4046" s="102" t="str">
        <f ca="1">IFERROR(__xludf.DUMMYFUNCTION("IMPORTRANGE(H4046,""IDENTITAS UNIT!D9"")"),"#N/A")</f>
        <v>#N/A</v>
      </c>
      <c r="H4046" s="4" t="str">
        <v/>
      </c>
      <c r="I4046" s="4" t="str">
        <v/>
      </c>
    </row>
    <row r="4047" spans="5:9" ht="16.5" hidden="1">
      <c r="E4047" s="4" t="str">
        <v/>
      </c>
      <c r="F4047" s="102" t="str">
        <f ca="1">IFERROR(__xludf.DUMMYFUNCTION("IMPORTRANGE(H4047,""IDENTITAS UNIT!D9"")"),"#N/A")</f>
        <v>#N/A</v>
      </c>
      <c r="H4047" s="4" t="str">
        <v/>
      </c>
      <c r="I4047" s="4" t="str">
        <v/>
      </c>
    </row>
    <row r="4048" spans="5:9" ht="16.5" hidden="1">
      <c r="E4048" s="4" t="str">
        <v/>
      </c>
      <c r="F4048" s="102" t="str">
        <f ca="1">IFERROR(__xludf.DUMMYFUNCTION("IMPORTRANGE(H4048,""IDENTITAS UNIT!D9"")"),"#N/A")</f>
        <v>#N/A</v>
      </c>
      <c r="H4048" s="4" t="str">
        <v/>
      </c>
      <c r="I4048" s="4" t="str">
        <v/>
      </c>
    </row>
    <row r="4049" spans="5:9" ht="16.5" hidden="1">
      <c r="E4049" s="4" t="str">
        <v/>
      </c>
      <c r="F4049" s="102" t="str">
        <f ca="1">IFERROR(__xludf.DUMMYFUNCTION("IMPORTRANGE(H4049,""IDENTITAS UNIT!D9"")"),"#N/A")</f>
        <v>#N/A</v>
      </c>
      <c r="H4049" s="4" t="str">
        <v/>
      </c>
      <c r="I4049" s="4" t="str">
        <v/>
      </c>
    </row>
    <row r="4050" spans="5:9" ht="16.5" hidden="1">
      <c r="E4050" s="4" t="str">
        <v/>
      </c>
      <c r="F4050" s="102" t="str">
        <f ca="1">IFERROR(__xludf.DUMMYFUNCTION("IMPORTRANGE(H4050,""IDENTITAS UNIT!D9"")"),"#N/A")</f>
        <v>#N/A</v>
      </c>
      <c r="H4050" s="4" t="str">
        <v/>
      </c>
      <c r="I4050" s="4" t="str">
        <v/>
      </c>
    </row>
    <row r="4051" spans="5:9" ht="16.5" hidden="1">
      <c r="E4051" s="4" t="str">
        <v/>
      </c>
      <c r="F4051" s="102" t="str">
        <f ca="1">IFERROR(__xludf.DUMMYFUNCTION("IMPORTRANGE(H4051,""IDENTITAS UNIT!D9"")"),"#N/A")</f>
        <v>#N/A</v>
      </c>
      <c r="H4051" s="4" t="str">
        <v/>
      </c>
      <c r="I4051" s="4" t="str">
        <v/>
      </c>
    </row>
    <row r="4052" spans="5:9" ht="16.5" hidden="1">
      <c r="E4052" s="4" t="str">
        <v/>
      </c>
      <c r="F4052" s="102" t="str">
        <f ca="1">IFERROR(__xludf.DUMMYFUNCTION("IMPORTRANGE(H4052,""IDENTITAS UNIT!D9"")"),"#N/A")</f>
        <v>#N/A</v>
      </c>
      <c r="H4052" s="4" t="str">
        <v/>
      </c>
      <c r="I4052" s="4" t="str">
        <v/>
      </c>
    </row>
    <row r="4053" spans="5:9" ht="16.5" hidden="1">
      <c r="E4053" s="4" t="str">
        <v/>
      </c>
      <c r="F4053" s="102" t="str">
        <f ca="1">IFERROR(__xludf.DUMMYFUNCTION("IMPORTRANGE(H4053,""IDENTITAS UNIT!D9"")"),"#N/A")</f>
        <v>#N/A</v>
      </c>
      <c r="H4053" s="4" t="str">
        <v/>
      </c>
      <c r="I4053" s="4" t="str">
        <v/>
      </c>
    </row>
    <row r="4054" spans="5:9" ht="16.5" hidden="1">
      <c r="E4054" s="4" t="str">
        <v/>
      </c>
      <c r="F4054" s="102" t="str">
        <f ca="1">IFERROR(__xludf.DUMMYFUNCTION("IMPORTRANGE(H4054,""IDENTITAS UNIT!D9"")"),"#N/A")</f>
        <v>#N/A</v>
      </c>
      <c r="H4054" s="4" t="str">
        <v/>
      </c>
      <c r="I4054" s="4" t="str">
        <v/>
      </c>
    </row>
    <row r="4055" spans="5:9" ht="16.5" hidden="1">
      <c r="E4055" s="4" t="str">
        <v/>
      </c>
      <c r="F4055" s="102" t="str">
        <f ca="1">IFERROR(__xludf.DUMMYFUNCTION("IMPORTRANGE(H4055,""IDENTITAS UNIT!D9"")"),"#N/A")</f>
        <v>#N/A</v>
      </c>
      <c r="H4055" s="4" t="str">
        <v/>
      </c>
      <c r="I4055" s="4" t="str">
        <v/>
      </c>
    </row>
    <row r="4056" spans="5:9" ht="16.5" hidden="1">
      <c r="E4056" s="4" t="str">
        <v/>
      </c>
      <c r="F4056" s="102" t="str">
        <f ca="1">IFERROR(__xludf.DUMMYFUNCTION("IMPORTRANGE(H4056,""IDENTITAS UNIT!D9"")"),"#N/A")</f>
        <v>#N/A</v>
      </c>
      <c r="H4056" s="4" t="str">
        <v/>
      </c>
      <c r="I4056" s="4" t="str">
        <v/>
      </c>
    </row>
    <row r="4057" spans="5:9" ht="16.5" hidden="1">
      <c r="E4057" s="4" t="str">
        <v/>
      </c>
      <c r="F4057" s="102" t="str">
        <f ca="1">IFERROR(__xludf.DUMMYFUNCTION("IMPORTRANGE(H4057,""IDENTITAS UNIT!D9"")"),"#N/A")</f>
        <v>#N/A</v>
      </c>
      <c r="H4057" s="4" t="str">
        <v/>
      </c>
      <c r="I4057" s="4" t="str">
        <v/>
      </c>
    </row>
    <row r="4058" spans="5:9" ht="16.5" hidden="1">
      <c r="E4058" s="4" t="str">
        <v/>
      </c>
      <c r="F4058" s="102" t="str">
        <f ca="1">IFERROR(__xludf.DUMMYFUNCTION("IMPORTRANGE(H4058,""IDENTITAS UNIT!D9"")"),"#N/A")</f>
        <v>#N/A</v>
      </c>
      <c r="H4058" s="4" t="str">
        <v/>
      </c>
      <c r="I4058" s="4" t="str">
        <v/>
      </c>
    </row>
    <row r="4059" spans="5:9" ht="16.5" hidden="1">
      <c r="E4059" s="4" t="str">
        <v/>
      </c>
      <c r="F4059" s="102" t="str">
        <f ca="1">IFERROR(__xludf.DUMMYFUNCTION("IMPORTRANGE(H4059,""IDENTITAS UNIT!D9"")"),"#N/A")</f>
        <v>#N/A</v>
      </c>
      <c r="H4059" s="4" t="str">
        <v/>
      </c>
      <c r="I4059" s="4" t="str">
        <v/>
      </c>
    </row>
    <row r="4060" spans="5:9" ht="16.5" hidden="1">
      <c r="E4060" s="4" t="str">
        <v/>
      </c>
      <c r="F4060" s="102" t="str">
        <f ca="1">IFERROR(__xludf.DUMMYFUNCTION("IMPORTRANGE(H4060,""IDENTITAS UNIT!D9"")"),"#N/A")</f>
        <v>#N/A</v>
      </c>
      <c r="H4060" s="4" t="str">
        <v/>
      </c>
      <c r="I4060" s="4" t="str">
        <v/>
      </c>
    </row>
    <row r="4061" spans="5:9" ht="16.5" hidden="1">
      <c r="E4061" s="4" t="str">
        <v/>
      </c>
      <c r="F4061" s="102" t="str">
        <f ca="1">IFERROR(__xludf.DUMMYFUNCTION("IMPORTRANGE(H4061,""IDENTITAS UNIT!D9"")"),"#N/A")</f>
        <v>#N/A</v>
      </c>
      <c r="H4061" s="4" t="str">
        <v/>
      </c>
      <c r="I4061" s="4" t="str">
        <v/>
      </c>
    </row>
    <row r="4062" spans="5:9" ht="16.5" hidden="1">
      <c r="E4062" s="4" t="str">
        <v/>
      </c>
      <c r="F4062" s="102" t="str">
        <f ca="1">IFERROR(__xludf.DUMMYFUNCTION("IMPORTRANGE(H4062,""IDENTITAS UNIT!D9"")"),"#N/A")</f>
        <v>#N/A</v>
      </c>
      <c r="H4062" s="4" t="str">
        <v/>
      </c>
      <c r="I4062" s="4" t="str">
        <v/>
      </c>
    </row>
    <row r="4063" spans="5:9" ht="16.5" hidden="1">
      <c r="E4063" s="4" t="str">
        <v/>
      </c>
      <c r="F4063" s="102" t="str">
        <f ca="1">IFERROR(__xludf.DUMMYFUNCTION("IMPORTRANGE(H4063,""IDENTITAS UNIT!D9"")"),"#N/A")</f>
        <v>#N/A</v>
      </c>
      <c r="H4063" s="4" t="str">
        <v/>
      </c>
      <c r="I4063" s="4" t="str">
        <v/>
      </c>
    </row>
    <row r="4064" spans="5:9" ht="16.5" hidden="1">
      <c r="E4064" s="4" t="str">
        <v/>
      </c>
      <c r="F4064" s="102" t="str">
        <f ca="1">IFERROR(__xludf.DUMMYFUNCTION("IMPORTRANGE(H4064,""IDENTITAS UNIT!D9"")"),"#N/A")</f>
        <v>#N/A</v>
      </c>
      <c r="H4064" s="4" t="str">
        <v/>
      </c>
      <c r="I4064" s="4" t="str">
        <v/>
      </c>
    </row>
    <row r="4065" spans="5:9" ht="16.5" hidden="1">
      <c r="E4065" s="4" t="str">
        <v/>
      </c>
      <c r="F4065" s="102" t="str">
        <f ca="1">IFERROR(__xludf.DUMMYFUNCTION("IMPORTRANGE(H4065,""IDENTITAS UNIT!D9"")"),"#N/A")</f>
        <v>#N/A</v>
      </c>
      <c r="H4065" s="4" t="str">
        <v/>
      </c>
      <c r="I4065" s="4" t="str">
        <v/>
      </c>
    </row>
    <row r="4066" spans="5:9" ht="16.5" hidden="1">
      <c r="E4066" s="4" t="str">
        <v/>
      </c>
      <c r="F4066" s="102" t="str">
        <f ca="1">IFERROR(__xludf.DUMMYFUNCTION("IMPORTRANGE(H4066,""IDENTITAS UNIT!D9"")"),"#N/A")</f>
        <v>#N/A</v>
      </c>
      <c r="H4066" s="4" t="str">
        <v/>
      </c>
      <c r="I4066" s="4" t="str">
        <v/>
      </c>
    </row>
    <row r="4067" spans="5:9" ht="16.5" hidden="1">
      <c r="E4067" s="4" t="str">
        <v/>
      </c>
      <c r="F4067" s="102" t="str">
        <f ca="1">IFERROR(__xludf.DUMMYFUNCTION("IMPORTRANGE(H4067,""IDENTITAS UNIT!D9"")"),"#N/A")</f>
        <v>#N/A</v>
      </c>
      <c r="H4067" s="4" t="str">
        <v/>
      </c>
      <c r="I4067" s="4" t="str">
        <v/>
      </c>
    </row>
    <row r="4068" spans="5:9" ht="16.5" hidden="1">
      <c r="E4068" s="4" t="str">
        <v/>
      </c>
      <c r="F4068" s="102" t="str">
        <f ca="1">IFERROR(__xludf.DUMMYFUNCTION("IMPORTRANGE(H4068,""IDENTITAS UNIT!D9"")"),"#N/A")</f>
        <v>#N/A</v>
      </c>
      <c r="H4068" s="4" t="str">
        <v/>
      </c>
      <c r="I4068" s="4" t="str">
        <v/>
      </c>
    </row>
    <row r="4069" spans="5:9" ht="16.5" hidden="1">
      <c r="E4069" s="4" t="str">
        <v/>
      </c>
      <c r="F4069" s="102" t="str">
        <f ca="1">IFERROR(__xludf.DUMMYFUNCTION("IMPORTRANGE(H4069,""IDENTITAS UNIT!D9"")"),"#N/A")</f>
        <v>#N/A</v>
      </c>
      <c r="H4069" s="4" t="str">
        <v/>
      </c>
      <c r="I4069" s="4" t="str">
        <v/>
      </c>
    </row>
    <row r="4070" spans="5:9" ht="16.5" hidden="1">
      <c r="E4070" s="4" t="str">
        <v/>
      </c>
      <c r="F4070" s="102" t="str">
        <f ca="1">IFERROR(__xludf.DUMMYFUNCTION("IMPORTRANGE(H4070,""IDENTITAS UNIT!D9"")"),"#N/A")</f>
        <v>#N/A</v>
      </c>
      <c r="H4070" s="4" t="str">
        <v/>
      </c>
      <c r="I4070" s="4" t="str">
        <v/>
      </c>
    </row>
    <row r="4071" spans="5:9" ht="16.5" hidden="1">
      <c r="E4071" s="4" t="str">
        <v/>
      </c>
      <c r="F4071" s="102" t="str">
        <f ca="1">IFERROR(__xludf.DUMMYFUNCTION("IMPORTRANGE(H4071,""IDENTITAS UNIT!D9"")"),"#N/A")</f>
        <v>#N/A</v>
      </c>
      <c r="H4071" s="4" t="str">
        <v/>
      </c>
      <c r="I4071" s="4" t="str">
        <v/>
      </c>
    </row>
    <row r="4072" spans="5:9" ht="16.5" hidden="1">
      <c r="E4072" s="4" t="str">
        <v/>
      </c>
      <c r="F4072" s="102" t="str">
        <f ca="1">IFERROR(__xludf.DUMMYFUNCTION("IMPORTRANGE(H4072,""IDENTITAS UNIT!D9"")"),"#N/A")</f>
        <v>#N/A</v>
      </c>
      <c r="H4072" s="4" t="str">
        <v/>
      </c>
      <c r="I4072" s="4" t="str">
        <v/>
      </c>
    </row>
    <row r="4073" spans="5:9" ht="16.5" hidden="1">
      <c r="E4073" s="4" t="str">
        <v/>
      </c>
      <c r="F4073" s="102" t="str">
        <f ca="1">IFERROR(__xludf.DUMMYFUNCTION("IMPORTRANGE(H4073,""IDENTITAS UNIT!D9"")"),"#N/A")</f>
        <v>#N/A</v>
      </c>
      <c r="H4073" s="4" t="str">
        <v/>
      </c>
      <c r="I4073" s="4" t="str">
        <v/>
      </c>
    </row>
    <row r="4074" spans="5:9" ht="16.5" hidden="1">
      <c r="E4074" s="4" t="str">
        <v/>
      </c>
      <c r="F4074" s="102" t="str">
        <f ca="1">IFERROR(__xludf.DUMMYFUNCTION("IMPORTRANGE(H4074,""IDENTITAS UNIT!D9"")"),"#N/A")</f>
        <v>#N/A</v>
      </c>
      <c r="H4074" s="4" t="str">
        <v/>
      </c>
      <c r="I4074" s="4" t="str">
        <v/>
      </c>
    </row>
    <row r="4075" spans="5:9" ht="16.5" hidden="1">
      <c r="E4075" s="4" t="str">
        <v/>
      </c>
      <c r="F4075" s="102" t="str">
        <f ca="1">IFERROR(__xludf.DUMMYFUNCTION("IMPORTRANGE(H4075,""IDENTITAS UNIT!D9"")"),"#N/A")</f>
        <v>#N/A</v>
      </c>
      <c r="H4075" s="4" t="str">
        <v/>
      </c>
      <c r="I4075" s="4" t="str">
        <v/>
      </c>
    </row>
    <row r="4076" spans="5:9" ht="16.5" hidden="1">
      <c r="E4076" s="4" t="str">
        <v/>
      </c>
      <c r="F4076" s="102" t="str">
        <f ca="1">IFERROR(__xludf.DUMMYFUNCTION("IMPORTRANGE(H4076,""IDENTITAS UNIT!D9"")"),"#N/A")</f>
        <v>#N/A</v>
      </c>
      <c r="H4076" s="4" t="str">
        <v/>
      </c>
      <c r="I4076" s="4" t="str">
        <v/>
      </c>
    </row>
    <row r="4077" spans="5:9" ht="16.5" hidden="1">
      <c r="E4077" s="4" t="str">
        <v/>
      </c>
      <c r="F4077" s="102" t="str">
        <f ca="1">IFERROR(__xludf.DUMMYFUNCTION("IMPORTRANGE(H4077,""IDENTITAS UNIT!D9"")"),"#N/A")</f>
        <v>#N/A</v>
      </c>
      <c r="H4077" s="4" t="str">
        <v/>
      </c>
      <c r="I4077" s="4" t="str">
        <v/>
      </c>
    </row>
    <row r="4078" spans="5:9" ht="16.5" hidden="1">
      <c r="E4078" s="4" t="str">
        <v/>
      </c>
      <c r="F4078" s="102" t="str">
        <f ca="1">IFERROR(__xludf.DUMMYFUNCTION("IMPORTRANGE(H4078,""IDENTITAS UNIT!D9"")"),"#N/A")</f>
        <v>#N/A</v>
      </c>
      <c r="H4078" s="4" t="str">
        <v/>
      </c>
      <c r="I4078" s="4" t="str">
        <v/>
      </c>
    </row>
    <row r="4079" spans="5:9" ht="16.5" hidden="1">
      <c r="E4079" s="4" t="str">
        <v/>
      </c>
      <c r="F4079" s="102" t="str">
        <f ca="1">IFERROR(__xludf.DUMMYFUNCTION("IMPORTRANGE(H4079,""IDENTITAS UNIT!D9"")"),"#N/A")</f>
        <v>#N/A</v>
      </c>
      <c r="H4079" s="4" t="str">
        <v/>
      </c>
      <c r="I4079" s="4" t="str">
        <v/>
      </c>
    </row>
    <row r="4080" spans="5:9" ht="16.5" hidden="1">
      <c r="E4080" s="4" t="str">
        <v/>
      </c>
      <c r="F4080" s="102" t="str">
        <f ca="1">IFERROR(__xludf.DUMMYFUNCTION("IMPORTRANGE(H4080,""IDENTITAS UNIT!D9"")"),"#N/A")</f>
        <v>#N/A</v>
      </c>
      <c r="H4080" s="4" t="str">
        <v/>
      </c>
      <c r="I4080" s="4" t="str">
        <v/>
      </c>
    </row>
    <row r="4081" spans="5:9" ht="16.5" hidden="1">
      <c r="E4081" s="4" t="str">
        <v/>
      </c>
      <c r="F4081" s="102" t="str">
        <f ca="1">IFERROR(__xludf.DUMMYFUNCTION("IMPORTRANGE(H4081,""IDENTITAS UNIT!D9"")"),"#N/A")</f>
        <v>#N/A</v>
      </c>
      <c r="H4081" s="4" t="str">
        <v/>
      </c>
      <c r="I4081" s="4" t="str">
        <v/>
      </c>
    </row>
    <row r="4082" spans="5:9" ht="16.5" hidden="1">
      <c r="E4082" s="4" t="str">
        <v/>
      </c>
      <c r="F4082" s="102" t="str">
        <f ca="1">IFERROR(__xludf.DUMMYFUNCTION("IMPORTRANGE(H4082,""IDENTITAS UNIT!D9"")"),"#N/A")</f>
        <v>#N/A</v>
      </c>
      <c r="H4082" s="4" t="str">
        <v/>
      </c>
      <c r="I4082" s="4" t="str">
        <v/>
      </c>
    </row>
    <row r="4083" spans="5:9" ht="16.5" hidden="1">
      <c r="E4083" s="4" t="str">
        <v/>
      </c>
      <c r="F4083" s="102" t="str">
        <f ca="1">IFERROR(__xludf.DUMMYFUNCTION("IMPORTRANGE(H4083,""IDENTITAS UNIT!D9"")"),"#N/A")</f>
        <v>#N/A</v>
      </c>
      <c r="H4083" s="4" t="str">
        <v/>
      </c>
      <c r="I4083" s="4" t="str">
        <v/>
      </c>
    </row>
    <row r="4084" spans="5:9" ht="16.5" hidden="1">
      <c r="E4084" s="4" t="str">
        <v/>
      </c>
      <c r="F4084" s="102" t="str">
        <f ca="1">IFERROR(__xludf.DUMMYFUNCTION("IMPORTRANGE(H4084,""IDENTITAS UNIT!D9"")"),"#N/A")</f>
        <v>#N/A</v>
      </c>
      <c r="H4084" s="4" t="str">
        <v/>
      </c>
      <c r="I4084" s="4" t="str">
        <v/>
      </c>
    </row>
    <row r="4085" spans="5:9" ht="16.5" hidden="1">
      <c r="E4085" s="4" t="str">
        <v/>
      </c>
      <c r="F4085" s="102" t="str">
        <f ca="1">IFERROR(__xludf.DUMMYFUNCTION("IMPORTRANGE(H4085,""IDENTITAS UNIT!D9"")"),"#N/A")</f>
        <v>#N/A</v>
      </c>
      <c r="H4085" s="4" t="str">
        <v/>
      </c>
      <c r="I4085" s="4" t="str">
        <v/>
      </c>
    </row>
    <row r="4086" spans="5:9" ht="16.5" hidden="1">
      <c r="E4086" s="4" t="str">
        <v/>
      </c>
      <c r="F4086" s="102" t="str">
        <f ca="1">IFERROR(__xludf.DUMMYFUNCTION("IMPORTRANGE(H4086,""IDENTITAS UNIT!D9"")"),"#N/A")</f>
        <v>#N/A</v>
      </c>
      <c r="H4086" s="4" t="str">
        <v/>
      </c>
      <c r="I4086" s="4" t="str">
        <v/>
      </c>
    </row>
    <row r="4087" spans="5:9" ht="16.5" hidden="1">
      <c r="E4087" s="4" t="str">
        <v/>
      </c>
      <c r="F4087" s="102" t="str">
        <f ca="1">IFERROR(__xludf.DUMMYFUNCTION("IMPORTRANGE(H4087,""IDENTITAS UNIT!D9"")"),"#N/A")</f>
        <v>#N/A</v>
      </c>
      <c r="H4087" s="4" t="str">
        <v/>
      </c>
      <c r="I4087" s="4" t="str">
        <v/>
      </c>
    </row>
    <row r="4088" spans="5:9" ht="16.5" hidden="1">
      <c r="E4088" s="4" t="str">
        <v/>
      </c>
      <c r="F4088" s="102" t="str">
        <f ca="1">IFERROR(__xludf.DUMMYFUNCTION("IMPORTRANGE(H4088,""IDENTITAS UNIT!D9"")"),"#N/A")</f>
        <v>#N/A</v>
      </c>
      <c r="H4088" s="4" t="str">
        <v/>
      </c>
      <c r="I4088" s="4" t="str">
        <v/>
      </c>
    </row>
    <row r="4089" spans="5:9" ht="16.5" hidden="1">
      <c r="E4089" s="4" t="str">
        <v/>
      </c>
      <c r="F4089" s="102" t="str">
        <f ca="1">IFERROR(__xludf.DUMMYFUNCTION("IMPORTRANGE(H4089,""IDENTITAS UNIT!D9"")"),"#N/A")</f>
        <v>#N/A</v>
      </c>
      <c r="H4089" s="4" t="str">
        <v/>
      </c>
      <c r="I4089" s="4" t="str">
        <v/>
      </c>
    </row>
    <row r="4090" spans="5:9" ht="16.5" hidden="1">
      <c r="E4090" s="4" t="str">
        <v/>
      </c>
      <c r="F4090" s="102" t="str">
        <f ca="1">IFERROR(__xludf.DUMMYFUNCTION("IMPORTRANGE(H4090,""IDENTITAS UNIT!D9"")"),"#N/A")</f>
        <v>#N/A</v>
      </c>
      <c r="H4090" s="4" t="str">
        <v/>
      </c>
      <c r="I4090" s="4" t="str">
        <v/>
      </c>
    </row>
    <row r="4091" spans="5:9" ht="16.5" hidden="1">
      <c r="E4091" s="4" t="str">
        <v/>
      </c>
      <c r="F4091" s="102" t="str">
        <f ca="1">IFERROR(__xludf.DUMMYFUNCTION("IMPORTRANGE(H4091,""IDENTITAS UNIT!D9"")"),"#N/A")</f>
        <v>#N/A</v>
      </c>
      <c r="H4091" s="4" t="str">
        <v/>
      </c>
      <c r="I4091" s="4" t="str">
        <v/>
      </c>
    </row>
    <row r="4092" spans="5:9" ht="16.5" hidden="1">
      <c r="E4092" s="4" t="str">
        <v/>
      </c>
      <c r="F4092" s="102" t="str">
        <f ca="1">IFERROR(__xludf.DUMMYFUNCTION("IMPORTRANGE(H4092,""IDENTITAS UNIT!D9"")"),"#N/A")</f>
        <v>#N/A</v>
      </c>
      <c r="H4092" s="4" t="str">
        <v/>
      </c>
      <c r="I4092" s="4" t="str">
        <v/>
      </c>
    </row>
    <row r="4093" spans="5:9" ht="16.5" hidden="1">
      <c r="E4093" s="4" t="str">
        <v/>
      </c>
      <c r="F4093" s="102" t="str">
        <f ca="1">IFERROR(__xludf.DUMMYFUNCTION("IMPORTRANGE(H4093,""IDENTITAS UNIT!D9"")"),"#N/A")</f>
        <v>#N/A</v>
      </c>
      <c r="H4093" s="4" t="str">
        <v/>
      </c>
      <c r="I4093" s="4" t="str">
        <v/>
      </c>
    </row>
    <row r="4094" spans="5:9" ht="16.5" hidden="1">
      <c r="E4094" s="4" t="str">
        <v/>
      </c>
      <c r="F4094" s="102" t="str">
        <f ca="1">IFERROR(__xludf.DUMMYFUNCTION("IMPORTRANGE(H4094,""IDENTITAS UNIT!D9"")"),"#N/A")</f>
        <v>#N/A</v>
      </c>
      <c r="H4094" s="4" t="str">
        <v/>
      </c>
      <c r="I4094" s="4" t="str">
        <v/>
      </c>
    </row>
    <row r="4095" spans="5:9" ht="16.5" hidden="1">
      <c r="E4095" s="4" t="str">
        <v/>
      </c>
      <c r="F4095" s="102" t="str">
        <f ca="1">IFERROR(__xludf.DUMMYFUNCTION("IMPORTRANGE(H4095,""IDENTITAS UNIT!D9"")"),"#N/A")</f>
        <v>#N/A</v>
      </c>
      <c r="H4095" s="4" t="str">
        <v/>
      </c>
      <c r="I4095" s="4" t="str">
        <v/>
      </c>
    </row>
    <row r="4096" spans="5:9" ht="16.5" hidden="1">
      <c r="E4096" s="4" t="str">
        <v/>
      </c>
      <c r="F4096" s="102" t="str">
        <f ca="1">IFERROR(__xludf.DUMMYFUNCTION("IMPORTRANGE(H4096,""IDENTITAS UNIT!D9"")"),"#N/A")</f>
        <v>#N/A</v>
      </c>
      <c r="H4096" s="4" t="str">
        <v/>
      </c>
      <c r="I4096" s="4" t="str">
        <v/>
      </c>
    </row>
    <row r="4097" spans="5:9" ht="16.5" hidden="1">
      <c r="E4097" s="4" t="str">
        <v/>
      </c>
      <c r="F4097" s="102" t="str">
        <f ca="1">IFERROR(__xludf.DUMMYFUNCTION("IMPORTRANGE(H4097,""IDENTITAS UNIT!D9"")"),"#N/A")</f>
        <v>#N/A</v>
      </c>
      <c r="H4097" s="4" t="str">
        <v/>
      </c>
      <c r="I4097" s="4" t="str">
        <v/>
      </c>
    </row>
    <row r="4098" spans="5:9" ht="16.5" hidden="1">
      <c r="E4098" s="4" t="str">
        <v/>
      </c>
      <c r="F4098" s="102" t="str">
        <f ca="1">IFERROR(__xludf.DUMMYFUNCTION("IMPORTRANGE(H4098,""IDENTITAS UNIT!D9"")"),"#N/A")</f>
        <v>#N/A</v>
      </c>
      <c r="H4098" s="4" t="str">
        <v/>
      </c>
      <c r="I4098" s="4" t="str">
        <v/>
      </c>
    </row>
    <row r="4099" spans="5:9" ht="16.5" hidden="1">
      <c r="E4099" s="4" t="str">
        <v/>
      </c>
      <c r="F4099" s="102" t="str">
        <f ca="1">IFERROR(__xludf.DUMMYFUNCTION("IMPORTRANGE(H4099,""IDENTITAS UNIT!D9"")"),"#N/A")</f>
        <v>#N/A</v>
      </c>
      <c r="H4099" s="4" t="str">
        <v/>
      </c>
      <c r="I4099" s="4" t="str">
        <v/>
      </c>
    </row>
    <row r="4100" spans="5:9" ht="16.5" hidden="1">
      <c r="E4100" s="4" t="str">
        <v/>
      </c>
      <c r="F4100" s="102" t="str">
        <f ca="1">IFERROR(__xludf.DUMMYFUNCTION("IMPORTRANGE(H4100,""IDENTITAS UNIT!D9"")"),"#N/A")</f>
        <v>#N/A</v>
      </c>
      <c r="H4100" s="4" t="str">
        <v/>
      </c>
      <c r="I4100" s="4" t="str">
        <v/>
      </c>
    </row>
    <row r="4101" spans="5:9" ht="16.5" hidden="1">
      <c r="E4101" s="4" t="str">
        <v/>
      </c>
      <c r="F4101" s="102" t="str">
        <f ca="1">IFERROR(__xludf.DUMMYFUNCTION("IMPORTRANGE(H4101,""IDENTITAS UNIT!D9"")"),"#N/A")</f>
        <v>#N/A</v>
      </c>
      <c r="H4101" s="4" t="str">
        <v/>
      </c>
      <c r="I4101" s="4" t="str">
        <v/>
      </c>
    </row>
    <row r="4102" spans="5:9" ht="16.5" hidden="1">
      <c r="E4102" s="4" t="str">
        <v/>
      </c>
      <c r="F4102" s="102" t="str">
        <f ca="1">IFERROR(__xludf.DUMMYFUNCTION("IMPORTRANGE(H4102,""IDENTITAS UNIT!D9"")"),"#N/A")</f>
        <v>#N/A</v>
      </c>
      <c r="H4102" s="4" t="str">
        <v/>
      </c>
      <c r="I4102" s="4" t="str">
        <v/>
      </c>
    </row>
    <row r="4103" spans="5:9" ht="16.5" hidden="1">
      <c r="E4103" s="4" t="str">
        <v/>
      </c>
      <c r="F4103" s="102" t="str">
        <f ca="1">IFERROR(__xludf.DUMMYFUNCTION("IMPORTRANGE(H4103,""IDENTITAS UNIT!D9"")"),"#N/A")</f>
        <v>#N/A</v>
      </c>
      <c r="H4103" s="4" t="str">
        <v/>
      </c>
      <c r="I4103" s="4" t="str">
        <v/>
      </c>
    </row>
    <row r="4104" spans="5:9" ht="16.5" hidden="1">
      <c r="E4104" s="4" t="str">
        <v/>
      </c>
      <c r="F4104" s="102" t="str">
        <f ca="1">IFERROR(__xludf.DUMMYFUNCTION("IMPORTRANGE(H4104,""IDENTITAS UNIT!D9"")"),"#N/A")</f>
        <v>#N/A</v>
      </c>
      <c r="H4104" s="4" t="str">
        <v/>
      </c>
      <c r="I4104" s="4" t="str">
        <v/>
      </c>
    </row>
    <row r="4105" spans="5:9" ht="16.5" hidden="1">
      <c r="E4105" s="4" t="str">
        <v/>
      </c>
      <c r="F4105" s="102" t="str">
        <f ca="1">IFERROR(__xludf.DUMMYFUNCTION("IMPORTRANGE(H4105,""IDENTITAS UNIT!D9"")"),"#N/A")</f>
        <v>#N/A</v>
      </c>
      <c r="H4105" s="4" t="str">
        <v/>
      </c>
      <c r="I4105" s="4" t="str">
        <v/>
      </c>
    </row>
    <row r="4106" spans="5:9" ht="16.5" hidden="1">
      <c r="E4106" s="4" t="str">
        <v/>
      </c>
      <c r="F4106" s="102" t="str">
        <f ca="1">IFERROR(__xludf.DUMMYFUNCTION("IMPORTRANGE(H4106,""IDENTITAS UNIT!D9"")"),"#N/A")</f>
        <v>#N/A</v>
      </c>
      <c r="H4106" s="4" t="str">
        <v/>
      </c>
      <c r="I4106" s="4" t="str">
        <v/>
      </c>
    </row>
    <row r="4107" spans="5:9" ht="16.5" hidden="1">
      <c r="E4107" s="4" t="str">
        <v/>
      </c>
      <c r="F4107" s="102" t="str">
        <f ca="1">IFERROR(__xludf.DUMMYFUNCTION("IMPORTRANGE(H4107,""IDENTITAS UNIT!D9"")"),"#N/A")</f>
        <v>#N/A</v>
      </c>
      <c r="H4107" s="4" t="str">
        <v/>
      </c>
      <c r="I4107" s="4" t="str">
        <v/>
      </c>
    </row>
    <row r="4108" spans="5:9" ht="16.5" hidden="1">
      <c r="E4108" s="4" t="str">
        <v/>
      </c>
      <c r="F4108" s="102" t="str">
        <f ca="1">IFERROR(__xludf.DUMMYFUNCTION("IMPORTRANGE(H4108,""IDENTITAS UNIT!D9"")"),"#N/A")</f>
        <v>#N/A</v>
      </c>
      <c r="H4108" s="4" t="str">
        <v/>
      </c>
      <c r="I4108" s="4" t="str">
        <v/>
      </c>
    </row>
    <row r="4109" spans="5:9" ht="16.5" hidden="1">
      <c r="E4109" s="4" t="str">
        <v/>
      </c>
      <c r="F4109" s="102" t="str">
        <f ca="1">IFERROR(__xludf.DUMMYFUNCTION("IMPORTRANGE(H4109,""IDENTITAS UNIT!D9"")"),"#N/A")</f>
        <v>#N/A</v>
      </c>
      <c r="H4109" s="4" t="str">
        <v/>
      </c>
      <c r="I4109" s="4" t="str">
        <v/>
      </c>
    </row>
    <row r="4110" spans="5:9" ht="16.5" hidden="1">
      <c r="E4110" s="4" t="str">
        <v/>
      </c>
      <c r="F4110" s="102" t="str">
        <f ca="1">IFERROR(__xludf.DUMMYFUNCTION("IMPORTRANGE(H4110,""IDENTITAS UNIT!D9"")"),"#N/A")</f>
        <v>#N/A</v>
      </c>
      <c r="H4110" s="4" t="str">
        <v/>
      </c>
      <c r="I4110" s="4" t="str">
        <v/>
      </c>
    </row>
    <row r="4111" spans="5:9" ht="16.5" hidden="1">
      <c r="E4111" s="4" t="str">
        <v/>
      </c>
      <c r="F4111" s="102" t="str">
        <f ca="1">IFERROR(__xludf.DUMMYFUNCTION("IMPORTRANGE(H4111,""IDENTITAS UNIT!D9"")"),"#N/A")</f>
        <v>#N/A</v>
      </c>
      <c r="H4111" s="4" t="str">
        <v/>
      </c>
      <c r="I4111" s="4" t="str">
        <v/>
      </c>
    </row>
    <row r="4112" spans="5:9" ht="16.5" hidden="1">
      <c r="E4112" s="4" t="str">
        <v/>
      </c>
      <c r="F4112" s="102" t="str">
        <f ca="1">IFERROR(__xludf.DUMMYFUNCTION("IMPORTRANGE(H4112,""IDENTITAS UNIT!D9"")"),"#N/A")</f>
        <v>#N/A</v>
      </c>
      <c r="H4112" s="4" t="str">
        <v/>
      </c>
      <c r="I4112" s="4" t="str">
        <v/>
      </c>
    </row>
    <row r="4113" spans="5:9" ht="16.5" hidden="1">
      <c r="E4113" s="4" t="str">
        <v/>
      </c>
      <c r="F4113" s="102" t="str">
        <f ca="1">IFERROR(__xludf.DUMMYFUNCTION("IMPORTRANGE(H4113,""IDENTITAS UNIT!D9"")"),"#N/A")</f>
        <v>#N/A</v>
      </c>
      <c r="H4113" s="4" t="str">
        <v/>
      </c>
      <c r="I4113" s="4" t="str">
        <v/>
      </c>
    </row>
    <row r="4114" spans="5:9" ht="16.5" hidden="1">
      <c r="E4114" s="4" t="str">
        <v/>
      </c>
      <c r="F4114" s="102" t="str">
        <f ca="1">IFERROR(__xludf.DUMMYFUNCTION("IMPORTRANGE(H4114,""IDENTITAS UNIT!D9"")"),"#N/A")</f>
        <v>#N/A</v>
      </c>
      <c r="H4114" s="4" t="str">
        <v/>
      </c>
      <c r="I4114" s="4" t="str">
        <v/>
      </c>
    </row>
    <row r="4115" spans="5:9" ht="16.5" hidden="1">
      <c r="E4115" s="4" t="str">
        <v/>
      </c>
      <c r="F4115" s="102" t="str">
        <f ca="1">IFERROR(__xludf.DUMMYFUNCTION("IMPORTRANGE(H4115,""IDENTITAS UNIT!D9"")"),"#N/A")</f>
        <v>#N/A</v>
      </c>
      <c r="H4115" s="4" t="str">
        <v/>
      </c>
      <c r="I4115" s="4" t="str">
        <v/>
      </c>
    </row>
    <row r="4116" spans="5:9" ht="16.5" hidden="1">
      <c r="E4116" s="4" t="str">
        <v/>
      </c>
      <c r="F4116" s="102" t="str">
        <f ca="1">IFERROR(__xludf.DUMMYFUNCTION("IMPORTRANGE(H4116,""IDENTITAS UNIT!D9"")"),"#N/A")</f>
        <v>#N/A</v>
      </c>
      <c r="H4116" s="4" t="str">
        <v/>
      </c>
      <c r="I4116" s="4" t="str">
        <v/>
      </c>
    </row>
    <row r="4117" spans="5:9" ht="16.5" hidden="1">
      <c r="E4117" s="4" t="str">
        <v/>
      </c>
      <c r="F4117" s="102" t="str">
        <f ca="1">IFERROR(__xludf.DUMMYFUNCTION("IMPORTRANGE(H4117,""IDENTITAS UNIT!D9"")"),"#N/A")</f>
        <v>#N/A</v>
      </c>
      <c r="H4117" s="4" t="str">
        <v/>
      </c>
      <c r="I4117" s="4" t="str">
        <v/>
      </c>
    </row>
    <row r="4118" spans="5:9" ht="16.5" hidden="1">
      <c r="E4118" s="4" t="str">
        <v/>
      </c>
      <c r="F4118" s="102" t="str">
        <f ca="1">IFERROR(__xludf.DUMMYFUNCTION("IMPORTRANGE(H4118,""IDENTITAS UNIT!D9"")"),"#N/A")</f>
        <v>#N/A</v>
      </c>
      <c r="H4118" s="4" t="str">
        <v/>
      </c>
      <c r="I4118" s="4" t="str">
        <v/>
      </c>
    </row>
    <row r="4119" spans="5:9" ht="16.5" hidden="1">
      <c r="E4119" s="4" t="str">
        <v/>
      </c>
      <c r="F4119" s="102" t="str">
        <f ca="1">IFERROR(__xludf.DUMMYFUNCTION("IMPORTRANGE(H4119,""IDENTITAS UNIT!D9"")"),"#N/A")</f>
        <v>#N/A</v>
      </c>
      <c r="H4119" s="4" t="str">
        <v/>
      </c>
      <c r="I4119" s="4" t="str">
        <v/>
      </c>
    </row>
    <row r="4120" spans="5:9" ht="16.5" hidden="1">
      <c r="E4120" s="4" t="str">
        <v/>
      </c>
      <c r="F4120" s="102" t="str">
        <f ca="1">IFERROR(__xludf.DUMMYFUNCTION("IMPORTRANGE(H4120,""IDENTITAS UNIT!D9"")"),"#N/A")</f>
        <v>#N/A</v>
      </c>
      <c r="H4120" s="4" t="str">
        <v/>
      </c>
      <c r="I4120" s="4" t="str">
        <v/>
      </c>
    </row>
    <row r="4121" spans="5:9" ht="16.5" hidden="1">
      <c r="E4121" s="4" t="str">
        <v/>
      </c>
      <c r="F4121" s="102" t="str">
        <f ca="1">IFERROR(__xludf.DUMMYFUNCTION("IMPORTRANGE(H4121,""IDENTITAS UNIT!D9"")"),"#N/A")</f>
        <v>#N/A</v>
      </c>
      <c r="H4121" s="4" t="str">
        <v/>
      </c>
      <c r="I4121" s="4" t="str">
        <v/>
      </c>
    </row>
    <row r="4122" spans="5:9" ht="16.5" hidden="1">
      <c r="E4122" s="4" t="str">
        <v/>
      </c>
      <c r="F4122" s="102" t="str">
        <f ca="1">IFERROR(__xludf.DUMMYFUNCTION("IMPORTRANGE(H4122,""IDENTITAS UNIT!D9"")"),"#N/A")</f>
        <v>#N/A</v>
      </c>
      <c r="H4122" s="4" t="str">
        <v/>
      </c>
      <c r="I4122" s="4" t="str">
        <v/>
      </c>
    </row>
    <row r="4123" spans="5:9" ht="16.5" hidden="1">
      <c r="E4123" s="4" t="str">
        <v/>
      </c>
      <c r="F4123" s="102" t="str">
        <f ca="1">IFERROR(__xludf.DUMMYFUNCTION("IMPORTRANGE(H4123,""IDENTITAS UNIT!D9"")"),"#N/A")</f>
        <v>#N/A</v>
      </c>
      <c r="H4123" s="4" t="str">
        <v/>
      </c>
      <c r="I4123" s="4" t="str">
        <v/>
      </c>
    </row>
    <row r="4124" spans="5:9" ht="16.5" hidden="1">
      <c r="E4124" s="4" t="str">
        <v/>
      </c>
      <c r="F4124" s="102" t="str">
        <f ca="1">IFERROR(__xludf.DUMMYFUNCTION("IMPORTRANGE(H4124,""IDENTITAS UNIT!D9"")"),"#N/A")</f>
        <v>#N/A</v>
      </c>
      <c r="H4124" s="4" t="str">
        <v/>
      </c>
      <c r="I4124" s="4" t="str">
        <v/>
      </c>
    </row>
    <row r="4125" spans="5:9" ht="16.5" hidden="1">
      <c r="E4125" s="4" t="str">
        <v/>
      </c>
      <c r="F4125" s="102" t="str">
        <f ca="1">IFERROR(__xludf.DUMMYFUNCTION("IMPORTRANGE(H4125,""IDENTITAS UNIT!D9"")"),"#N/A")</f>
        <v>#N/A</v>
      </c>
      <c r="H4125" s="4" t="str">
        <v/>
      </c>
      <c r="I4125" s="4" t="str">
        <v/>
      </c>
    </row>
    <row r="4126" spans="5:9" ht="16.5" hidden="1">
      <c r="E4126" s="4" t="str">
        <v/>
      </c>
      <c r="F4126" s="102" t="str">
        <f ca="1">IFERROR(__xludf.DUMMYFUNCTION("IMPORTRANGE(H4126,""IDENTITAS UNIT!D9"")"),"#N/A")</f>
        <v>#N/A</v>
      </c>
      <c r="H4126" s="4" t="str">
        <v/>
      </c>
      <c r="I4126" s="4" t="str">
        <v/>
      </c>
    </row>
    <row r="4127" spans="5:9" ht="16.5" hidden="1">
      <c r="E4127" s="4" t="str">
        <v/>
      </c>
      <c r="F4127" s="102" t="str">
        <f ca="1">IFERROR(__xludf.DUMMYFUNCTION("IMPORTRANGE(H4127,""IDENTITAS UNIT!D9"")"),"#N/A")</f>
        <v>#N/A</v>
      </c>
      <c r="H4127" s="4" t="str">
        <v/>
      </c>
      <c r="I4127" s="4" t="str">
        <v/>
      </c>
    </row>
    <row r="4128" spans="5:9" ht="16.5" hidden="1">
      <c r="E4128" s="4" t="str">
        <v/>
      </c>
      <c r="F4128" s="102" t="str">
        <f ca="1">IFERROR(__xludf.DUMMYFUNCTION("IMPORTRANGE(H4128,""IDENTITAS UNIT!D9"")"),"#N/A")</f>
        <v>#N/A</v>
      </c>
      <c r="H4128" s="4" t="str">
        <v/>
      </c>
      <c r="I4128" s="4" t="str">
        <v/>
      </c>
    </row>
    <row r="4129" spans="5:9" ht="16.5" hidden="1">
      <c r="E4129" s="4" t="str">
        <v/>
      </c>
      <c r="F4129" s="102" t="str">
        <f ca="1">IFERROR(__xludf.DUMMYFUNCTION("IMPORTRANGE(H4129,""IDENTITAS UNIT!D9"")"),"#N/A")</f>
        <v>#N/A</v>
      </c>
      <c r="H4129" s="4" t="str">
        <v/>
      </c>
      <c r="I4129" s="4" t="str">
        <v/>
      </c>
    </row>
    <row r="4130" spans="5:9" ht="16.5" hidden="1">
      <c r="E4130" s="4" t="str">
        <v/>
      </c>
      <c r="F4130" s="102" t="str">
        <f ca="1">IFERROR(__xludf.DUMMYFUNCTION("IMPORTRANGE(H4130,""IDENTITAS UNIT!D9"")"),"#N/A")</f>
        <v>#N/A</v>
      </c>
      <c r="H4130" s="4" t="str">
        <v/>
      </c>
      <c r="I4130" s="4" t="str">
        <v/>
      </c>
    </row>
    <row r="4131" spans="5:9" ht="16.5" hidden="1">
      <c r="E4131" s="4" t="str">
        <v/>
      </c>
      <c r="F4131" s="102" t="str">
        <f ca="1">IFERROR(__xludf.DUMMYFUNCTION("IMPORTRANGE(H4131,""IDENTITAS UNIT!D9"")"),"#N/A")</f>
        <v>#N/A</v>
      </c>
      <c r="H4131" s="4" t="str">
        <v/>
      </c>
      <c r="I4131" s="4" t="str">
        <v/>
      </c>
    </row>
    <row r="4132" spans="5:9" ht="16.5" hidden="1">
      <c r="E4132" s="4" t="str">
        <v/>
      </c>
      <c r="F4132" s="102" t="str">
        <f ca="1">IFERROR(__xludf.DUMMYFUNCTION("IMPORTRANGE(H4132,""IDENTITAS UNIT!D9"")"),"#N/A")</f>
        <v>#N/A</v>
      </c>
      <c r="H4132" s="4" t="str">
        <v/>
      </c>
      <c r="I4132" s="4" t="str">
        <v/>
      </c>
    </row>
    <row r="4133" spans="5:9" ht="16.5" hidden="1">
      <c r="E4133" s="4" t="str">
        <v/>
      </c>
      <c r="F4133" s="102" t="str">
        <f ca="1">IFERROR(__xludf.DUMMYFUNCTION("IMPORTRANGE(H4133,""IDENTITAS UNIT!D9"")"),"#N/A")</f>
        <v>#N/A</v>
      </c>
      <c r="H4133" s="4" t="str">
        <v/>
      </c>
      <c r="I4133" s="4" t="str">
        <v/>
      </c>
    </row>
    <row r="4134" spans="5:9" ht="16.5" hidden="1">
      <c r="E4134" s="4" t="str">
        <v/>
      </c>
      <c r="F4134" s="102" t="str">
        <f ca="1">IFERROR(__xludf.DUMMYFUNCTION("IMPORTRANGE(H4134,""IDENTITAS UNIT!D9"")"),"#N/A")</f>
        <v>#N/A</v>
      </c>
      <c r="H4134" s="4" t="str">
        <v/>
      </c>
      <c r="I4134" s="4" t="str">
        <v/>
      </c>
    </row>
    <row r="4135" spans="5:9" ht="16.5" hidden="1">
      <c r="E4135" s="4" t="str">
        <v/>
      </c>
      <c r="F4135" s="102" t="str">
        <f ca="1">IFERROR(__xludf.DUMMYFUNCTION("IMPORTRANGE(H4135,""IDENTITAS UNIT!D9"")"),"#N/A")</f>
        <v>#N/A</v>
      </c>
      <c r="H4135" s="4" t="str">
        <v/>
      </c>
      <c r="I4135" s="4" t="str">
        <v/>
      </c>
    </row>
    <row r="4136" spans="5:9" ht="16.5" hidden="1">
      <c r="E4136" s="4" t="str">
        <v/>
      </c>
      <c r="F4136" s="102" t="str">
        <f ca="1">IFERROR(__xludf.DUMMYFUNCTION("IMPORTRANGE(H4136,""IDENTITAS UNIT!D9"")"),"#N/A")</f>
        <v>#N/A</v>
      </c>
      <c r="H4136" s="4" t="str">
        <v/>
      </c>
      <c r="I4136" s="4" t="str">
        <v/>
      </c>
    </row>
    <row r="4137" spans="5:9" ht="16.5" hidden="1">
      <c r="E4137" s="4" t="str">
        <v/>
      </c>
      <c r="F4137" s="102" t="str">
        <f ca="1">IFERROR(__xludf.DUMMYFUNCTION("IMPORTRANGE(H4137,""IDENTITAS UNIT!D9"")"),"#N/A")</f>
        <v>#N/A</v>
      </c>
      <c r="H4137" s="4" t="str">
        <v/>
      </c>
      <c r="I4137" s="4" t="str">
        <v/>
      </c>
    </row>
    <row r="4138" spans="5:9" ht="16.5" hidden="1">
      <c r="E4138" s="4" t="str">
        <v/>
      </c>
      <c r="F4138" s="102" t="str">
        <f ca="1">IFERROR(__xludf.DUMMYFUNCTION("IMPORTRANGE(H4138,""IDENTITAS UNIT!D9"")"),"#N/A")</f>
        <v>#N/A</v>
      </c>
      <c r="H4138" s="4" t="str">
        <v/>
      </c>
      <c r="I4138" s="4" t="str">
        <v/>
      </c>
    </row>
    <row r="4139" spans="5:9" ht="16.5" hidden="1">
      <c r="E4139" s="4" t="str">
        <v/>
      </c>
      <c r="F4139" s="102" t="str">
        <f ca="1">IFERROR(__xludf.DUMMYFUNCTION("IMPORTRANGE(H4139,""IDENTITAS UNIT!D9"")"),"#N/A")</f>
        <v>#N/A</v>
      </c>
      <c r="H4139" s="4" t="str">
        <v/>
      </c>
      <c r="I4139" s="4" t="str">
        <v/>
      </c>
    </row>
    <row r="4140" spans="5:9" ht="16.5" hidden="1">
      <c r="E4140" s="4" t="str">
        <v/>
      </c>
      <c r="F4140" s="102" t="str">
        <f ca="1">IFERROR(__xludf.DUMMYFUNCTION("IMPORTRANGE(H4140,""IDENTITAS UNIT!D9"")"),"#N/A")</f>
        <v>#N/A</v>
      </c>
      <c r="H4140" s="4" t="str">
        <v/>
      </c>
      <c r="I4140" s="4" t="str">
        <v/>
      </c>
    </row>
    <row r="4141" spans="5:9" ht="16.5" hidden="1">
      <c r="E4141" s="4" t="str">
        <v/>
      </c>
      <c r="F4141" s="102" t="str">
        <f ca="1">IFERROR(__xludf.DUMMYFUNCTION("IMPORTRANGE(H4141,""IDENTITAS UNIT!D9"")"),"#N/A")</f>
        <v>#N/A</v>
      </c>
      <c r="H4141" s="4" t="str">
        <v/>
      </c>
      <c r="I4141" s="4" t="str">
        <v/>
      </c>
    </row>
    <row r="4142" spans="5:9" ht="16.5" hidden="1">
      <c r="E4142" s="4" t="str">
        <v/>
      </c>
      <c r="F4142" s="102" t="str">
        <f ca="1">IFERROR(__xludf.DUMMYFUNCTION("IMPORTRANGE(H4142,""IDENTITAS UNIT!D9"")"),"#N/A")</f>
        <v>#N/A</v>
      </c>
      <c r="H4142" s="4" t="str">
        <v/>
      </c>
      <c r="I4142" s="4" t="str">
        <v/>
      </c>
    </row>
    <row r="4143" spans="5:9" ht="16.5" hidden="1">
      <c r="E4143" s="4" t="str">
        <v/>
      </c>
      <c r="F4143" s="102" t="str">
        <f ca="1">IFERROR(__xludf.DUMMYFUNCTION("IMPORTRANGE(H4143,""IDENTITAS UNIT!D9"")"),"#N/A")</f>
        <v>#N/A</v>
      </c>
      <c r="H4143" s="4" t="str">
        <v/>
      </c>
      <c r="I4143" s="4" t="str">
        <v/>
      </c>
    </row>
    <row r="4144" spans="5:9" ht="16.5" hidden="1">
      <c r="E4144" s="4" t="str">
        <v/>
      </c>
      <c r="F4144" s="102" t="str">
        <f ca="1">IFERROR(__xludf.DUMMYFUNCTION("IMPORTRANGE(H4144,""IDENTITAS UNIT!D9"")"),"#N/A")</f>
        <v>#N/A</v>
      </c>
      <c r="H4144" s="4" t="str">
        <v/>
      </c>
      <c r="I4144" s="4" t="str">
        <v/>
      </c>
    </row>
    <row r="4145" spans="5:9" ht="16.5" hidden="1">
      <c r="E4145" s="4" t="str">
        <v/>
      </c>
      <c r="F4145" s="102" t="str">
        <f ca="1">IFERROR(__xludf.DUMMYFUNCTION("IMPORTRANGE(H4145,""IDENTITAS UNIT!D9"")"),"#N/A")</f>
        <v>#N/A</v>
      </c>
      <c r="H4145" s="4" t="str">
        <v/>
      </c>
      <c r="I4145" s="4" t="str">
        <v/>
      </c>
    </row>
    <row r="4146" spans="5:9" ht="16.5" hidden="1">
      <c r="E4146" s="4" t="str">
        <v/>
      </c>
      <c r="F4146" s="102" t="str">
        <f ca="1">IFERROR(__xludf.DUMMYFUNCTION("IMPORTRANGE(H4146,""IDENTITAS UNIT!D9"")"),"#N/A")</f>
        <v>#N/A</v>
      </c>
      <c r="H4146" s="4" t="str">
        <v/>
      </c>
      <c r="I4146" s="4" t="str">
        <v/>
      </c>
    </row>
    <row r="4147" spans="5:9" ht="16.5" hidden="1">
      <c r="E4147" s="4" t="str">
        <v/>
      </c>
      <c r="F4147" s="102" t="str">
        <f ca="1">IFERROR(__xludf.DUMMYFUNCTION("IMPORTRANGE(H4147,""IDENTITAS UNIT!D9"")"),"#N/A")</f>
        <v>#N/A</v>
      </c>
      <c r="H4147" s="4" t="str">
        <v/>
      </c>
      <c r="I4147" s="4" t="str">
        <v/>
      </c>
    </row>
    <row r="4148" spans="5:9" ht="16.5" hidden="1">
      <c r="E4148" s="4" t="str">
        <v/>
      </c>
      <c r="F4148" s="102" t="str">
        <f ca="1">IFERROR(__xludf.DUMMYFUNCTION("IMPORTRANGE(H4148,""IDENTITAS UNIT!D9"")"),"#N/A")</f>
        <v>#N/A</v>
      </c>
      <c r="H4148" s="4" t="str">
        <v/>
      </c>
      <c r="I4148" s="4" t="str">
        <v/>
      </c>
    </row>
    <row r="4149" spans="5:9" ht="16.5" hidden="1">
      <c r="E4149" s="4" t="str">
        <v/>
      </c>
      <c r="F4149" s="102" t="str">
        <f ca="1">IFERROR(__xludf.DUMMYFUNCTION("IMPORTRANGE(H4149,""IDENTITAS UNIT!D9"")"),"#N/A")</f>
        <v>#N/A</v>
      </c>
      <c r="H4149" s="4" t="str">
        <v/>
      </c>
      <c r="I4149" s="4" t="str">
        <v/>
      </c>
    </row>
    <row r="4150" spans="5:9" ht="16.5" hidden="1">
      <c r="E4150" s="4" t="str">
        <v/>
      </c>
      <c r="F4150" s="102" t="str">
        <f ca="1">IFERROR(__xludf.DUMMYFUNCTION("IMPORTRANGE(H4150,""IDENTITAS UNIT!D9"")"),"#N/A")</f>
        <v>#N/A</v>
      </c>
      <c r="H4150" s="4" t="str">
        <v/>
      </c>
      <c r="I4150" s="4" t="str">
        <v/>
      </c>
    </row>
    <row r="4151" spans="5:9" ht="16.5" hidden="1">
      <c r="E4151" s="4" t="str">
        <v/>
      </c>
      <c r="F4151" s="102" t="str">
        <f ca="1">IFERROR(__xludf.DUMMYFUNCTION("IMPORTRANGE(H4151,""IDENTITAS UNIT!D9"")"),"#N/A")</f>
        <v>#N/A</v>
      </c>
      <c r="H4151" s="4" t="str">
        <v/>
      </c>
      <c r="I4151" s="4" t="str">
        <v/>
      </c>
    </row>
    <row r="4152" spans="5:9" ht="16.5" hidden="1">
      <c r="E4152" s="4" t="str">
        <v/>
      </c>
      <c r="F4152" s="102" t="str">
        <f ca="1">IFERROR(__xludf.DUMMYFUNCTION("IMPORTRANGE(H4152,""IDENTITAS UNIT!D9"")"),"#N/A")</f>
        <v>#N/A</v>
      </c>
      <c r="H4152" s="4" t="str">
        <v/>
      </c>
      <c r="I4152" s="4" t="str">
        <v/>
      </c>
    </row>
    <row r="4153" spans="5:9" ht="16.5" hidden="1">
      <c r="E4153" s="4" t="str">
        <v/>
      </c>
      <c r="F4153" s="102" t="str">
        <f ca="1">IFERROR(__xludf.DUMMYFUNCTION("IMPORTRANGE(H4153,""IDENTITAS UNIT!D9"")"),"#N/A")</f>
        <v>#N/A</v>
      </c>
      <c r="H4153" s="4" t="str">
        <v/>
      </c>
      <c r="I4153" s="4" t="str">
        <v/>
      </c>
    </row>
    <row r="4154" spans="5:9" ht="16.5" hidden="1">
      <c r="E4154" s="4" t="str">
        <v/>
      </c>
      <c r="F4154" s="102" t="str">
        <f ca="1">IFERROR(__xludf.DUMMYFUNCTION("IMPORTRANGE(H4154,""IDENTITAS UNIT!D9"")"),"#N/A")</f>
        <v>#N/A</v>
      </c>
      <c r="H4154" s="4" t="str">
        <v/>
      </c>
      <c r="I4154" s="4" t="str">
        <v/>
      </c>
    </row>
    <row r="4155" spans="5:9" ht="16.5" hidden="1">
      <c r="E4155" s="4" t="str">
        <v/>
      </c>
      <c r="F4155" s="102" t="str">
        <f ca="1">IFERROR(__xludf.DUMMYFUNCTION("IMPORTRANGE(H4155,""IDENTITAS UNIT!D9"")"),"#N/A")</f>
        <v>#N/A</v>
      </c>
      <c r="H4155" s="4" t="str">
        <v/>
      </c>
      <c r="I4155" s="4" t="str">
        <v/>
      </c>
    </row>
    <row r="4156" spans="5:9" ht="16.5" hidden="1">
      <c r="E4156" s="4" t="str">
        <v/>
      </c>
      <c r="F4156" s="102" t="str">
        <f ca="1">IFERROR(__xludf.DUMMYFUNCTION("IMPORTRANGE(H4156,""IDENTITAS UNIT!D9"")"),"#N/A")</f>
        <v>#N/A</v>
      </c>
      <c r="H4156" s="4" t="str">
        <v/>
      </c>
      <c r="I4156" s="4" t="str">
        <v/>
      </c>
    </row>
    <row r="4157" spans="5:9" ht="16.5" hidden="1">
      <c r="E4157" s="4" t="str">
        <v/>
      </c>
      <c r="F4157" s="102" t="str">
        <f ca="1">IFERROR(__xludf.DUMMYFUNCTION("IMPORTRANGE(H4157,""IDENTITAS UNIT!D9"")"),"#N/A")</f>
        <v>#N/A</v>
      </c>
      <c r="H4157" s="4" t="str">
        <v/>
      </c>
      <c r="I4157" s="4" t="str">
        <v/>
      </c>
    </row>
    <row r="4158" spans="5:9" ht="16.5" hidden="1">
      <c r="E4158" s="4" t="str">
        <v/>
      </c>
      <c r="F4158" s="102" t="str">
        <f ca="1">IFERROR(__xludf.DUMMYFUNCTION("IMPORTRANGE(H4158,""IDENTITAS UNIT!D9"")"),"#N/A")</f>
        <v>#N/A</v>
      </c>
      <c r="H4158" s="4" t="str">
        <v/>
      </c>
      <c r="I4158" s="4" t="str">
        <v/>
      </c>
    </row>
    <row r="4159" spans="5:9" ht="16.5" hidden="1">
      <c r="E4159" s="4" t="str">
        <v/>
      </c>
      <c r="F4159" s="102" t="str">
        <f ca="1">IFERROR(__xludf.DUMMYFUNCTION("IMPORTRANGE(H4159,""IDENTITAS UNIT!D9"")"),"#N/A")</f>
        <v>#N/A</v>
      </c>
      <c r="H4159" s="4" t="str">
        <v/>
      </c>
      <c r="I4159" s="4" t="str">
        <v/>
      </c>
    </row>
    <row r="4160" spans="5:9" ht="16.5" hidden="1">
      <c r="E4160" s="4" t="str">
        <v/>
      </c>
      <c r="F4160" s="102" t="str">
        <f ca="1">IFERROR(__xludf.DUMMYFUNCTION("IMPORTRANGE(H4160,""IDENTITAS UNIT!D9"")"),"#N/A")</f>
        <v>#N/A</v>
      </c>
      <c r="H4160" s="4" t="str">
        <v/>
      </c>
      <c r="I4160" s="4" t="str">
        <v/>
      </c>
    </row>
    <row r="4161" spans="5:9" ht="16.5" hidden="1">
      <c r="E4161" s="4" t="str">
        <v/>
      </c>
      <c r="F4161" s="102" t="str">
        <f ca="1">IFERROR(__xludf.DUMMYFUNCTION("IMPORTRANGE(H4161,""IDENTITAS UNIT!D9"")"),"#N/A")</f>
        <v>#N/A</v>
      </c>
      <c r="H4161" s="4" t="str">
        <v/>
      </c>
      <c r="I4161" s="4" t="str">
        <v/>
      </c>
    </row>
    <row r="4162" spans="5:9" ht="16.5" hidden="1">
      <c r="E4162" s="4" t="str">
        <v/>
      </c>
      <c r="F4162" s="102" t="str">
        <f ca="1">IFERROR(__xludf.DUMMYFUNCTION("IMPORTRANGE(H4162,""IDENTITAS UNIT!D9"")"),"#N/A")</f>
        <v>#N/A</v>
      </c>
      <c r="H4162" s="4" t="str">
        <v/>
      </c>
      <c r="I4162" s="4" t="str">
        <v/>
      </c>
    </row>
    <row r="4163" spans="5:9" ht="16.5" hidden="1">
      <c r="E4163" s="4" t="str">
        <v/>
      </c>
      <c r="F4163" s="102" t="str">
        <f ca="1">IFERROR(__xludf.DUMMYFUNCTION("IMPORTRANGE(H4163,""IDENTITAS UNIT!D9"")"),"#N/A")</f>
        <v>#N/A</v>
      </c>
      <c r="H4163" s="4" t="str">
        <v/>
      </c>
      <c r="I4163" s="4" t="str">
        <v/>
      </c>
    </row>
    <row r="4164" spans="5:9" ht="16.5" hidden="1">
      <c r="E4164" s="4" t="str">
        <v/>
      </c>
      <c r="F4164" s="102" t="str">
        <f ca="1">IFERROR(__xludf.DUMMYFUNCTION("IMPORTRANGE(H4164,""IDENTITAS UNIT!D9"")"),"#N/A")</f>
        <v>#N/A</v>
      </c>
      <c r="H4164" s="4" t="str">
        <v/>
      </c>
      <c r="I4164" s="4" t="str">
        <v/>
      </c>
    </row>
    <row r="4165" spans="5:9" ht="16.5" hidden="1">
      <c r="E4165" s="4" t="str">
        <v/>
      </c>
      <c r="F4165" s="102" t="str">
        <f ca="1">IFERROR(__xludf.DUMMYFUNCTION("IMPORTRANGE(H4165,""IDENTITAS UNIT!D9"")"),"#N/A")</f>
        <v>#N/A</v>
      </c>
      <c r="H4165" s="4" t="str">
        <v/>
      </c>
      <c r="I4165" s="4" t="str">
        <v/>
      </c>
    </row>
    <row r="4166" spans="5:9" ht="16.5" hidden="1">
      <c r="E4166" s="4" t="str">
        <v/>
      </c>
      <c r="F4166" s="102" t="str">
        <f ca="1">IFERROR(__xludf.DUMMYFUNCTION("IMPORTRANGE(H4166,""IDENTITAS UNIT!D9"")"),"#N/A")</f>
        <v>#N/A</v>
      </c>
      <c r="H4166" s="4" t="str">
        <v/>
      </c>
      <c r="I4166" s="4" t="str">
        <v/>
      </c>
    </row>
    <row r="4167" spans="5:9" ht="16.5" hidden="1">
      <c r="E4167" s="4" t="str">
        <v/>
      </c>
      <c r="F4167" s="102" t="str">
        <f ca="1">IFERROR(__xludf.DUMMYFUNCTION("IMPORTRANGE(H4167,""IDENTITAS UNIT!D9"")"),"#N/A")</f>
        <v>#N/A</v>
      </c>
      <c r="H4167" s="4" t="str">
        <v/>
      </c>
      <c r="I4167" s="4" t="str">
        <v/>
      </c>
    </row>
    <row r="4168" spans="5:9" ht="16.5" hidden="1">
      <c r="E4168" s="4" t="str">
        <v/>
      </c>
      <c r="F4168" s="102" t="str">
        <f ca="1">IFERROR(__xludf.DUMMYFUNCTION("IMPORTRANGE(H4168,""IDENTITAS UNIT!D9"")"),"#N/A")</f>
        <v>#N/A</v>
      </c>
      <c r="H4168" s="4" t="str">
        <v/>
      </c>
      <c r="I4168" s="4" t="str">
        <v/>
      </c>
    </row>
    <row r="4169" spans="5:9" ht="16.5" hidden="1">
      <c r="E4169" s="4" t="str">
        <v/>
      </c>
      <c r="F4169" s="102" t="str">
        <f ca="1">IFERROR(__xludf.DUMMYFUNCTION("IMPORTRANGE(H4169,""IDENTITAS UNIT!D9"")"),"#N/A")</f>
        <v>#N/A</v>
      </c>
      <c r="H4169" s="4" t="str">
        <v/>
      </c>
      <c r="I4169" s="4" t="str">
        <v/>
      </c>
    </row>
    <row r="4170" spans="5:9" ht="16.5" hidden="1">
      <c r="E4170" s="4" t="str">
        <v/>
      </c>
      <c r="F4170" s="102" t="str">
        <f ca="1">IFERROR(__xludf.DUMMYFUNCTION("IMPORTRANGE(H4170,""IDENTITAS UNIT!D9"")"),"#N/A")</f>
        <v>#N/A</v>
      </c>
      <c r="H4170" s="4" t="str">
        <v/>
      </c>
      <c r="I4170" s="4" t="str">
        <v/>
      </c>
    </row>
    <row r="4171" spans="5:9" ht="16.5" hidden="1">
      <c r="E4171" s="4" t="str">
        <v/>
      </c>
      <c r="F4171" s="102" t="str">
        <f ca="1">IFERROR(__xludf.DUMMYFUNCTION("IMPORTRANGE(H4171,""IDENTITAS UNIT!D9"")"),"#N/A")</f>
        <v>#N/A</v>
      </c>
      <c r="H4171" s="4" t="str">
        <v/>
      </c>
      <c r="I4171" s="4" t="str">
        <v/>
      </c>
    </row>
    <row r="4172" spans="5:9" ht="16.5" hidden="1">
      <c r="E4172" s="4" t="str">
        <v/>
      </c>
      <c r="F4172" s="102" t="str">
        <f ca="1">IFERROR(__xludf.DUMMYFUNCTION("IMPORTRANGE(H4172,""IDENTITAS UNIT!D9"")"),"#N/A")</f>
        <v>#N/A</v>
      </c>
      <c r="H4172" s="4" t="str">
        <v/>
      </c>
      <c r="I4172" s="4" t="str">
        <v/>
      </c>
    </row>
    <row r="4173" spans="5:9" ht="16.5" hidden="1">
      <c r="E4173" s="4" t="str">
        <v/>
      </c>
      <c r="F4173" s="102" t="str">
        <f ca="1">IFERROR(__xludf.DUMMYFUNCTION("IMPORTRANGE(H4173,""IDENTITAS UNIT!D9"")"),"#N/A")</f>
        <v>#N/A</v>
      </c>
      <c r="H4173" s="4" t="str">
        <v/>
      </c>
      <c r="I4173" s="4" t="str">
        <v/>
      </c>
    </row>
    <row r="4174" spans="5:9" ht="16.5" hidden="1">
      <c r="E4174" s="4" t="str">
        <v/>
      </c>
      <c r="F4174" s="102" t="str">
        <f ca="1">IFERROR(__xludf.DUMMYFUNCTION("IMPORTRANGE(H4174,""IDENTITAS UNIT!D9"")"),"#N/A")</f>
        <v>#N/A</v>
      </c>
      <c r="H4174" s="4" t="str">
        <v/>
      </c>
      <c r="I4174" s="4" t="str">
        <v/>
      </c>
    </row>
    <row r="4175" spans="5:9" ht="16.5" hidden="1">
      <c r="E4175" s="4" t="str">
        <v/>
      </c>
      <c r="F4175" s="102" t="str">
        <f ca="1">IFERROR(__xludf.DUMMYFUNCTION("IMPORTRANGE(H4175,""IDENTITAS UNIT!D9"")"),"#N/A")</f>
        <v>#N/A</v>
      </c>
      <c r="H4175" s="4" t="str">
        <v/>
      </c>
      <c r="I4175" s="4" t="str">
        <v/>
      </c>
    </row>
    <row r="4176" spans="5:9" ht="16.5" hidden="1">
      <c r="E4176" s="4" t="str">
        <v/>
      </c>
      <c r="F4176" s="102" t="str">
        <f ca="1">IFERROR(__xludf.DUMMYFUNCTION("IMPORTRANGE(H4176,""IDENTITAS UNIT!D9"")"),"#N/A")</f>
        <v>#N/A</v>
      </c>
      <c r="H4176" s="4" t="str">
        <v/>
      </c>
      <c r="I4176" s="4" t="str">
        <v/>
      </c>
    </row>
    <row r="4177" spans="5:9" ht="16.5" hidden="1">
      <c r="E4177" s="4" t="str">
        <v/>
      </c>
      <c r="F4177" s="102" t="str">
        <f ca="1">IFERROR(__xludf.DUMMYFUNCTION("IMPORTRANGE(H4177,""IDENTITAS UNIT!D9"")"),"#N/A")</f>
        <v>#N/A</v>
      </c>
      <c r="H4177" s="4" t="str">
        <v/>
      </c>
      <c r="I4177" s="4" t="str">
        <v/>
      </c>
    </row>
    <row r="4178" spans="5:9" ht="16.5" hidden="1">
      <c r="E4178" s="4" t="str">
        <v/>
      </c>
      <c r="F4178" s="102" t="str">
        <f ca="1">IFERROR(__xludf.DUMMYFUNCTION("IMPORTRANGE(H4178,""IDENTITAS UNIT!D9"")"),"#N/A")</f>
        <v>#N/A</v>
      </c>
      <c r="H4178" s="4" t="str">
        <v/>
      </c>
      <c r="I4178" s="4" t="str">
        <v/>
      </c>
    </row>
    <row r="4179" spans="5:9" ht="16.5" hidden="1">
      <c r="E4179" s="4" t="str">
        <v/>
      </c>
      <c r="F4179" s="102" t="str">
        <f ca="1">IFERROR(__xludf.DUMMYFUNCTION("IMPORTRANGE(H4179,""IDENTITAS UNIT!D9"")"),"#N/A")</f>
        <v>#N/A</v>
      </c>
      <c r="H4179" s="4" t="str">
        <v/>
      </c>
      <c r="I4179" s="4" t="str">
        <v/>
      </c>
    </row>
    <row r="4180" spans="5:9" ht="16.5" hidden="1">
      <c r="E4180" s="4" t="str">
        <v/>
      </c>
      <c r="F4180" s="102" t="str">
        <f ca="1">IFERROR(__xludf.DUMMYFUNCTION("IMPORTRANGE(H4180,""IDENTITAS UNIT!D9"")"),"#N/A")</f>
        <v>#N/A</v>
      </c>
      <c r="H4180" s="4" t="str">
        <v/>
      </c>
      <c r="I4180" s="4" t="str">
        <v/>
      </c>
    </row>
    <row r="4181" spans="5:9" ht="16.5" hidden="1">
      <c r="E4181" s="4" t="str">
        <v/>
      </c>
      <c r="F4181" s="102" t="str">
        <f ca="1">IFERROR(__xludf.DUMMYFUNCTION("IMPORTRANGE(H4181,""IDENTITAS UNIT!D9"")"),"#N/A")</f>
        <v>#N/A</v>
      </c>
      <c r="H4181" s="4" t="str">
        <v/>
      </c>
      <c r="I4181" s="4" t="str">
        <v/>
      </c>
    </row>
    <row r="4182" spans="5:9" ht="16.5" hidden="1">
      <c r="E4182" s="4" t="str">
        <v/>
      </c>
      <c r="F4182" s="102" t="str">
        <f ca="1">IFERROR(__xludf.DUMMYFUNCTION("IMPORTRANGE(H4182,""IDENTITAS UNIT!D9"")"),"#N/A")</f>
        <v>#N/A</v>
      </c>
      <c r="H4182" s="4" t="str">
        <v/>
      </c>
      <c r="I4182" s="4" t="str">
        <v/>
      </c>
    </row>
    <row r="4183" spans="5:9" ht="16.5" hidden="1">
      <c r="E4183" s="4" t="str">
        <v/>
      </c>
      <c r="F4183" s="102" t="str">
        <f ca="1">IFERROR(__xludf.DUMMYFUNCTION("IMPORTRANGE(H4183,""IDENTITAS UNIT!D9"")"),"#N/A")</f>
        <v>#N/A</v>
      </c>
      <c r="H4183" s="4" t="str">
        <v/>
      </c>
      <c r="I4183" s="4" t="str">
        <v/>
      </c>
    </row>
    <row r="4184" spans="5:9" ht="16.5" hidden="1">
      <c r="E4184" s="4" t="str">
        <v/>
      </c>
      <c r="F4184" s="102" t="str">
        <f ca="1">IFERROR(__xludf.DUMMYFUNCTION("IMPORTRANGE(H4184,""IDENTITAS UNIT!D9"")"),"#N/A")</f>
        <v>#N/A</v>
      </c>
      <c r="H4184" s="4" t="str">
        <v/>
      </c>
      <c r="I4184" s="4" t="str">
        <v/>
      </c>
    </row>
    <row r="4185" spans="5:9" ht="16.5" hidden="1">
      <c r="E4185" s="4" t="str">
        <v/>
      </c>
      <c r="F4185" s="102" t="str">
        <f ca="1">IFERROR(__xludf.DUMMYFUNCTION("IMPORTRANGE(H4185,""IDENTITAS UNIT!D9"")"),"#N/A")</f>
        <v>#N/A</v>
      </c>
      <c r="H4185" s="4" t="str">
        <v/>
      </c>
      <c r="I4185" s="4" t="str">
        <v/>
      </c>
    </row>
    <row r="4186" spans="5:9" ht="16.5" hidden="1">
      <c r="E4186" s="4" t="str">
        <v/>
      </c>
      <c r="F4186" s="102" t="str">
        <f ca="1">IFERROR(__xludf.DUMMYFUNCTION("IMPORTRANGE(H4186,""IDENTITAS UNIT!D9"")"),"#N/A")</f>
        <v>#N/A</v>
      </c>
      <c r="H4186" s="4" t="str">
        <v/>
      </c>
      <c r="I4186" s="4" t="str">
        <v/>
      </c>
    </row>
    <row r="4187" spans="5:9" ht="16.5" hidden="1">
      <c r="E4187" s="4" t="str">
        <v/>
      </c>
      <c r="F4187" s="102" t="str">
        <f ca="1">IFERROR(__xludf.DUMMYFUNCTION("IMPORTRANGE(H4187,""IDENTITAS UNIT!D9"")"),"#N/A")</f>
        <v>#N/A</v>
      </c>
      <c r="H4187" s="4" t="str">
        <v/>
      </c>
      <c r="I4187" s="4" t="str">
        <v/>
      </c>
    </row>
    <row r="4188" spans="5:9" ht="16.5" hidden="1">
      <c r="E4188" s="4" t="str">
        <v/>
      </c>
      <c r="F4188" s="102" t="str">
        <f ca="1">IFERROR(__xludf.DUMMYFUNCTION("IMPORTRANGE(H4188,""IDENTITAS UNIT!D9"")"),"#N/A")</f>
        <v>#N/A</v>
      </c>
      <c r="H4188" s="4" t="str">
        <v/>
      </c>
      <c r="I4188" s="4" t="str">
        <v/>
      </c>
    </row>
    <row r="4189" spans="5:9" ht="16.5" hidden="1">
      <c r="E4189" s="4" t="str">
        <v/>
      </c>
      <c r="F4189" s="102" t="str">
        <f ca="1">IFERROR(__xludf.DUMMYFUNCTION("IMPORTRANGE(H4189,""IDENTITAS UNIT!D9"")"),"#N/A")</f>
        <v>#N/A</v>
      </c>
      <c r="H4189" s="4" t="str">
        <v/>
      </c>
      <c r="I4189" s="4" t="str">
        <v/>
      </c>
    </row>
    <row r="4190" spans="5:9" ht="16.5" hidden="1">
      <c r="E4190" s="4" t="str">
        <v/>
      </c>
      <c r="F4190" s="102" t="str">
        <f ca="1">IFERROR(__xludf.DUMMYFUNCTION("IMPORTRANGE(H4190,""IDENTITAS UNIT!D9"")"),"#N/A")</f>
        <v>#N/A</v>
      </c>
      <c r="H4190" s="4" t="str">
        <v/>
      </c>
      <c r="I4190" s="4" t="str">
        <v/>
      </c>
    </row>
    <row r="4191" spans="5:9" ht="16.5" hidden="1">
      <c r="E4191" s="4" t="str">
        <v/>
      </c>
      <c r="F4191" s="102" t="str">
        <f ca="1">IFERROR(__xludf.DUMMYFUNCTION("IMPORTRANGE(H4191,""IDENTITAS UNIT!D9"")"),"#N/A")</f>
        <v>#N/A</v>
      </c>
      <c r="H4191" s="4" t="str">
        <v/>
      </c>
      <c r="I4191" s="4" t="str">
        <v/>
      </c>
    </row>
    <row r="4192" spans="5:9" ht="16.5" hidden="1">
      <c r="E4192" s="4" t="str">
        <v/>
      </c>
      <c r="F4192" s="102" t="str">
        <f ca="1">IFERROR(__xludf.DUMMYFUNCTION("IMPORTRANGE(H4192,""IDENTITAS UNIT!D9"")"),"#N/A")</f>
        <v>#N/A</v>
      </c>
      <c r="H4192" s="4" t="str">
        <v/>
      </c>
      <c r="I4192" s="4" t="str">
        <v/>
      </c>
    </row>
    <row r="4193" spans="5:9" ht="16.5" hidden="1">
      <c r="E4193" s="4" t="str">
        <v/>
      </c>
      <c r="F4193" s="102" t="str">
        <f ca="1">IFERROR(__xludf.DUMMYFUNCTION("IMPORTRANGE(H4193,""IDENTITAS UNIT!D9"")"),"#N/A")</f>
        <v>#N/A</v>
      </c>
      <c r="H4193" s="4" t="str">
        <v/>
      </c>
      <c r="I4193" s="4" t="str">
        <v/>
      </c>
    </row>
    <row r="4194" spans="5:9" ht="16.5" hidden="1">
      <c r="E4194" s="4" t="str">
        <v/>
      </c>
      <c r="F4194" s="102" t="str">
        <f ca="1">IFERROR(__xludf.DUMMYFUNCTION("IMPORTRANGE(H4194,""IDENTITAS UNIT!D9"")"),"#N/A")</f>
        <v>#N/A</v>
      </c>
      <c r="H4194" s="4" t="str">
        <v/>
      </c>
      <c r="I4194" s="4" t="str">
        <v/>
      </c>
    </row>
    <row r="4195" spans="5:9" ht="16.5" hidden="1">
      <c r="E4195" s="4" t="str">
        <v/>
      </c>
      <c r="F4195" s="102" t="str">
        <f ca="1">IFERROR(__xludf.DUMMYFUNCTION("IMPORTRANGE(H4195,""IDENTITAS UNIT!D9"")"),"#N/A")</f>
        <v>#N/A</v>
      </c>
      <c r="H4195" s="4" t="str">
        <v/>
      </c>
      <c r="I4195" s="4" t="str">
        <v/>
      </c>
    </row>
    <row r="4196" spans="5:9" ht="16.5" hidden="1">
      <c r="E4196" s="4" t="str">
        <v/>
      </c>
      <c r="F4196" s="102" t="str">
        <f ca="1">IFERROR(__xludf.DUMMYFUNCTION("IMPORTRANGE(H4196,""IDENTITAS UNIT!D9"")"),"#N/A")</f>
        <v>#N/A</v>
      </c>
      <c r="H4196" s="4" t="str">
        <v/>
      </c>
      <c r="I4196" s="4" t="str">
        <v/>
      </c>
    </row>
    <row r="4197" spans="5:9" ht="16.5" hidden="1">
      <c r="E4197" s="4" t="str">
        <v/>
      </c>
      <c r="F4197" s="102" t="str">
        <f ca="1">IFERROR(__xludf.DUMMYFUNCTION("IMPORTRANGE(H4197,""IDENTITAS UNIT!D9"")"),"#N/A")</f>
        <v>#N/A</v>
      </c>
      <c r="H4197" s="4" t="str">
        <v/>
      </c>
      <c r="I4197" s="4" t="str">
        <v/>
      </c>
    </row>
    <row r="4198" spans="5:9" ht="16.5" hidden="1">
      <c r="E4198" s="4" t="str">
        <v/>
      </c>
      <c r="F4198" s="102" t="str">
        <f ca="1">IFERROR(__xludf.DUMMYFUNCTION("IMPORTRANGE(H4198,""IDENTITAS UNIT!D9"")"),"#N/A")</f>
        <v>#N/A</v>
      </c>
      <c r="H4198" s="4" t="str">
        <v/>
      </c>
      <c r="I4198" s="4" t="str">
        <v/>
      </c>
    </row>
    <row r="4199" spans="5:9" ht="16.5" hidden="1">
      <c r="E4199" s="4" t="str">
        <v/>
      </c>
      <c r="F4199" s="102" t="str">
        <f ca="1">IFERROR(__xludf.DUMMYFUNCTION("IMPORTRANGE(H4199,""IDENTITAS UNIT!D9"")"),"#N/A")</f>
        <v>#N/A</v>
      </c>
      <c r="H4199" s="4" t="str">
        <v/>
      </c>
      <c r="I4199" s="4" t="str">
        <v/>
      </c>
    </row>
    <row r="4200" spans="5:9" ht="16.5" hidden="1">
      <c r="E4200" s="4" t="str">
        <v/>
      </c>
      <c r="F4200" s="102" t="str">
        <f ca="1">IFERROR(__xludf.DUMMYFUNCTION("IMPORTRANGE(H4200,""IDENTITAS UNIT!D9"")"),"#N/A")</f>
        <v>#N/A</v>
      </c>
      <c r="H4200" s="4" t="str">
        <v/>
      </c>
      <c r="I4200" s="4" t="str">
        <v/>
      </c>
    </row>
    <row r="4201" spans="5:9" ht="16.5" hidden="1">
      <c r="E4201" s="4" t="str">
        <v/>
      </c>
      <c r="F4201" s="102" t="str">
        <f ca="1">IFERROR(__xludf.DUMMYFUNCTION("IMPORTRANGE(H4201,""IDENTITAS UNIT!D9"")"),"#N/A")</f>
        <v>#N/A</v>
      </c>
      <c r="H4201" s="4" t="str">
        <v/>
      </c>
      <c r="I4201" s="4" t="str">
        <v/>
      </c>
    </row>
    <row r="4202" spans="5:9" ht="16.5" hidden="1">
      <c r="E4202" s="4" t="str">
        <v/>
      </c>
      <c r="F4202" s="102" t="str">
        <f ca="1">IFERROR(__xludf.DUMMYFUNCTION("IMPORTRANGE(H4202,""IDENTITAS UNIT!D9"")"),"#N/A")</f>
        <v>#N/A</v>
      </c>
      <c r="H4202" s="4" t="str">
        <v/>
      </c>
      <c r="I4202" s="4" t="str">
        <v/>
      </c>
    </row>
    <row r="4203" spans="5:9" ht="16.5" hidden="1">
      <c r="E4203" s="4" t="str">
        <v/>
      </c>
      <c r="F4203" s="102" t="str">
        <f ca="1">IFERROR(__xludf.DUMMYFUNCTION("IMPORTRANGE(H4203,""IDENTITAS UNIT!D9"")"),"#N/A")</f>
        <v>#N/A</v>
      </c>
      <c r="H4203" s="4" t="str">
        <v/>
      </c>
      <c r="I4203" s="4" t="str">
        <v/>
      </c>
    </row>
    <row r="4204" spans="5:9" ht="16.5" hidden="1">
      <c r="E4204" s="4" t="str">
        <v/>
      </c>
      <c r="F4204" s="102" t="str">
        <f ca="1">IFERROR(__xludf.DUMMYFUNCTION("IMPORTRANGE(H4204,""IDENTITAS UNIT!D9"")"),"#N/A")</f>
        <v>#N/A</v>
      </c>
      <c r="H4204" s="4" t="str">
        <v/>
      </c>
      <c r="I4204" s="4" t="str">
        <v/>
      </c>
    </row>
    <row r="4205" spans="5:9" ht="16.5" hidden="1">
      <c r="E4205" s="4" t="str">
        <v/>
      </c>
      <c r="F4205" s="102" t="str">
        <f ca="1">IFERROR(__xludf.DUMMYFUNCTION("IMPORTRANGE(H4205,""IDENTITAS UNIT!D9"")"),"#N/A")</f>
        <v>#N/A</v>
      </c>
      <c r="H4205" s="4" t="str">
        <v/>
      </c>
      <c r="I4205" s="4" t="str">
        <v/>
      </c>
    </row>
    <row r="4206" spans="5:9" ht="16.5" hidden="1">
      <c r="E4206" s="4" t="str">
        <v/>
      </c>
      <c r="F4206" s="102" t="str">
        <f ca="1">IFERROR(__xludf.DUMMYFUNCTION("IMPORTRANGE(H4206,""IDENTITAS UNIT!D9"")"),"#N/A")</f>
        <v>#N/A</v>
      </c>
      <c r="H4206" s="4" t="str">
        <v/>
      </c>
      <c r="I4206" s="4" t="str">
        <v/>
      </c>
    </row>
    <row r="4207" spans="5:9" ht="16.5" hidden="1">
      <c r="E4207" s="4" t="str">
        <v/>
      </c>
      <c r="F4207" s="102" t="str">
        <f ca="1">IFERROR(__xludf.DUMMYFUNCTION("IMPORTRANGE(H4207,""IDENTITAS UNIT!D9"")"),"#N/A")</f>
        <v>#N/A</v>
      </c>
      <c r="H4207" s="4" t="str">
        <v/>
      </c>
      <c r="I4207" s="4" t="str">
        <v/>
      </c>
    </row>
    <row r="4208" spans="5:9" ht="16.5" hidden="1">
      <c r="E4208" s="4" t="str">
        <v/>
      </c>
      <c r="F4208" s="102" t="str">
        <f ca="1">IFERROR(__xludf.DUMMYFUNCTION("IMPORTRANGE(H4208,""IDENTITAS UNIT!D9"")"),"#N/A")</f>
        <v>#N/A</v>
      </c>
      <c r="H4208" s="4" t="str">
        <v/>
      </c>
      <c r="I4208" s="4" t="str">
        <v/>
      </c>
    </row>
    <row r="4209" spans="5:9" ht="16.5" hidden="1">
      <c r="E4209" s="4" t="str">
        <v/>
      </c>
      <c r="F4209" s="102" t="str">
        <f ca="1">IFERROR(__xludf.DUMMYFUNCTION("IMPORTRANGE(H4209,""IDENTITAS UNIT!D9"")"),"#N/A")</f>
        <v>#N/A</v>
      </c>
      <c r="H4209" s="4" t="str">
        <v/>
      </c>
      <c r="I4209" s="4" t="str">
        <v/>
      </c>
    </row>
    <row r="4210" spans="5:9" ht="16.5" hidden="1">
      <c r="E4210" s="4" t="str">
        <v/>
      </c>
      <c r="F4210" s="102" t="str">
        <f ca="1">IFERROR(__xludf.DUMMYFUNCTION("IMPORTRANGE(H4210,""IDENTITAS UNIT!D9"")"),"#N/A")</f>
        <v>#N/A</v>
      </c>
      <c r="H4210" s="4" t="str">
        <v/>
      </c>
      <c r="I4210" s="4" t="str">
        <v/>
      </c>
    </row>
    <row r="4211" spans="5:9" ht="16.5" hidden="1">
      <c r="E4211" s="4" t="str">
        <v/>
      </c>
      <c r="F4211" s="102" t="str">
        <f ca="1">IFERROR(__xludf.DUMMYFUNCTION("IMPORTRANGE(H4211,""IDENTITAS UNIT!D9"")"),"#N/A")</f>
        <v>#N/A</v>
      </c>
      <c r="H4211" s="4" t="str">
        <v/>
      </c>
      <c r="I4211" s="4" t="str">
        <v/>
      </c>
    </row>
    <row r="4212" spans="5:9" ht="16.5" hidden="1">
      <c r="E4212" s="4" t="str">
        <v/>
      </c>
      <c r="F4212" s="102" t="str">
        <f ca="1">IFERROR(__xludf.DUMMYFUNCTION("IMPORTRANGE(H4212,""IDENTITAS UNIT!D9"")"),"#N/A")</f>
        <v>#N/A</v>
      </c>
      <c r="H4212" s="4" t="str">
        <v/>
      </c>
      <c r="I4212" s="4" t="str">
        <v/>
      </c>
    </row>
    <row r="4213" spans="5:9" ht="16.5" hidden="1">
      <c r="E4213" s="4" t="str">
        <v/>
      </c>
      <c r="F4213" s="102" t="str">
        <f ca="1">IFERROR(__xludf.DUMMYFUNCTION("IMPORTRANGE(H4213,""IDENTITAS UNIT!D9"")"),"#N/A")</f>
        <v>#N/A</v>
      </c>
      <c r="H4213" s="4" t="str">
        <v/>
      </c>
      <c r="I4213" s="4" t="str">
        <v/>
      </c>
    </row>
    <row r="4214" spans="5:9" ht="16.5" hidden="1">
      <c r="E4214" s="4" t="str">
        <v/>
      </c>
      <c r="F4214" s="102" t="str">
        <f ca="1">IFERROR(__xludf.DUMMYFUNCTION("IMPORTRANGE(H4214,""IDENTITAS UNIT!D9"")"),"#N/A")</f>
        <v>#N/A</v>
      </c>
      <c r="H4214" s="4" t="str">
        <v/>
      </c>
      <c r="I4214" s="4" t="str">
        <v/>
      </c>
    </row>
    <row r="4215" spans="5:9" ht="16.5" hidden="1">
      <c r="E4215" s="4" t="str">
        <v/>
      </c>
      <c r="F4215" s="102" t="str">
        <f ca="1">IFERROR(__xludf.DUMMYFUNCTION("IMPORTRANGE(H4215,""IDENTITAS UNIT!D9"")"),"#N/A")</f>
        <v>#N/A</v>
      </c>
      <c r="H4215" s="4" t="str">
        <v/>
      </c>
      <c r="I4215" s="4" t="str">
        <v/>
      </c>
    </row>
    <row r="4216" spans="5:9" ht="16.5" hidden="1">
      <c r="E4216" s="4" t="str">
        <v/>
      </c>
      <c r="F4216" s="102" t="str">
        <f ca="1">IFERROR(__xludf.DUMMYFUNCTION("IMPORTRANGE(H4216,""IDENTITAS UNIT!D9"")"),"#N/A")</f>
        <v>#N/A</v>
      </c>
      <c r="H4216" s="4" t="str">
        <v/>
      </c>
      <c r="I4216" s="4" t="str">
        <v/>
      </c>
    </row>
    <row r="4217" spans="5:9" ht="16.5" hidden="1">
      <c r="E4217" s="4" t="str">
        <v/>
      </c>
      <c r="F4217" s="102" t="str">
        <f ca="1">IFERROR(__xludf.DUMMYFUNCTION("IMPORTRANGE(H4217,""IDENTITAS UNIT!D9"")"),"#N/A")</f>
        <v>#N/A</v>
      </c>
      <c r="H4217" s="4" t="str">
        <v/>
      </c>
      <c r="I4217" s="4" t="str">
        <v/>
      </c>
    </row>
    <row r="4218" spans="5:9" ht="16.5" hidden="1">
      <c r="E4218" s="4" t="str">
        <v/>
      </c>
      <c r="F4218" s="102" t="str">
        <f ca="1">IFERROR(__xludf.DUMMYFUNCTION("IMPORTRANGE(H4218,""IDENTITAS UNIT!D9"")"),"#N/A")</f>
        <v>#N/A</v>
      </c>
      <c r="H4218" s="4" t="str">
        <v/>
      </c>
      <c r="I4218" s="4" t="str">
        <v/>
      </c>
    </row>
    <row r="4219" spans="5:9" ht="16.5" hidden="1">
      <c r="E4219" s="4" t="str">
        <v/>
      </c>
      <c r="F4219" s="102" t="str">
        <f ca="1">IFERROR(__xludf.DUMMYFUNCTION("IMPORTRANGE(H4219,""IDENTITAS UNIT!D9"")"),"#N/A")</f>
        <v>#N/A</v>
      </c>
      <c r="H4219" s="4" t="str">
        <v/>
      </c>
      <c r="I4219" s="4" t="str">
        <v/>
      </c>
    </row>
    <row r="4220" spans="5:9" ht="16.5" hidden="1">
      <c r="E4220" s="4" t="str">
        <v/>
      </c>
      <c r="F4220" s="102" t="str">
        <f ca="1">IFERROR(__xludf.DUMMYFUNCTION("IMPORTRANGE(H4220,""IDENTITAS UNIT!D9"")"),"#N/A")</f>
        <v>#N/A</v>
      </c>
      <c r="H4220" s="4" t="str">
        <v/>
      </c>
      <c r="I4220" s="4" t="str">
        <v/>
      </c>
    </row>
    <row r="4221" spans="5:9" ht="16.5" hidden="1">
      <c r="E4221" s="4" t="str">
        <v/>
      </c>
      <c r="F4221" s="102" t="str">
        <f ca="1">IFERROR(__xludf.DUMMYFUNCTION("IMPORTRANGE(H4221,""IDENTITAS UNIT!D9"")"),"#N/A")</f>
        <v>#N/A</v>
      </c>
      <c r="H4221" s="4" t="str">
        <v/>
      </c>
      <c r="I4221" s="4" t="str">
        <v/>
      </c>
    </row>
    <row r="4222" spans="5:9" ht="16.5" hidden="1">
      <c r="E4222" s="4" t="str">
        <v/>
      </c>
      <c r="F4222" s="102" t="str">
        <f ca="1">IFERROR(__xludf.DUMMYFUNCTION("IMPORTRANGE(H4222,""IDENTITAS UNIT!D9"")"),"#N/A")</f>
        <v>#N/A</v>
      </c>
      <c r="H4222" s="4" t="str">
        <v/>
      </c>
      <c r="I4222" s="4" t="str">
        <v/>
      </c>
    </row>
    <row r="4223" spans="5:9" ht="16.5" hidden="1">
      <c r="E4223" s="4" t="str">
        <v/>
      </c>
      <c r="F4223" s="102" t="str">
        <f ca="1">IFERROR(__xludf.DUMMYFUNCTION("IMPORTRANGE(H4223,""IDENTITAS UNIT!D9"")"),"#N/A")</f>
        <v>#N/A</v>
      </c>
      <c r="H4223" s="4" t="str">
        <v/>
      </c>
      <c r="I4223" s="4" t="str">
        <v/>
      </c>
    </row>
    <row r="4224" spans="5:9" ht="16.5" hidden="1">
      <c r="E4224" s="4" t="str">
        <v/>
      </c>
      <c r="F4224" s="102" t="str">
        <f ca="1">IFERROR(__xludf.DUMMYFUNCTION("IMPORTRANGE(H4224,""IDENTITAS UNIT!D9"")"),"#N/A")</f>
        <v>#N/A</v>
      </c>
      <c r="H4224" s="4" t="str">
        <v/>
      </c>
      <c r="I4224" s="4" t="str">
        <v/>
      </c>
    </row>
    <row r="4225" spans="5:9" ht="16.5" hidden="1">
      <c r="E4225" s="4" t="str">
        <v/>
      </c>
      <c r="F4225" s="102" t="str">
        <f ca="1">IFERROR(__xludf.DUMMYFUNCTION("IMPORTRANGE(H4225,""IDENTITAS UNIT!D9"")"),"#N/A")</f>
        <v>#N/A</v>
      </c>
      <c r="H4225" s="4" t="str">
        <v/>
      </c>
      <c r="I4225" s="4" t="str">
        <v/>
      </c>
    </row>
    <row r="4226" spans="5:9" ht="16.5" hidden="1">
      <c r="E4226" s="4" t="str">
        <v/>
      </c>
      <c r="F4226" s="102" t="str">
        <f ca="1">IFERROR(__xludf.DUMMYFUNCTION("IMPORTRANGE(H4226,""IDENTITAS UNIT!D9"")"),"#N/A")</f>
        <v>#N/A</v>
      </c>
      <c r="H4226" s="4" t="str">
        <v/>
      </c>
      <c r="I4226" s="4" t="str">
        <v/>
      </c>
    </row>
    <row r="4227" spans="5:9" ht="16.5" hidden="1">
      <c r="E4227" s="4" t="str">
        <v/>
      </c>
      <c r="F4227" s="102" t="str">
        <f ca="1">IFERROR(__xludf.DUMMYFUNCTION("IMPORTRANGE(H4227,""IDENTITAS UNIT!D9"")"),"#N/A")</f>
        <v>#N/A</v>
      </c>
      <c r="H4227" s="4" t="str">
        <v/>
      </c>
      <c r="I4227" s="4" t="str">
        <v/>
      </c>
    </row>
    <row r="4228" spans="5:9" ht="16.5" hidden="1">
      <c r="E4228" s="4" t="str">
        <v/>
      </c>
      <c r="F4228" s="102" t="str">
        <f ca="1">IFERROR(__xludf.DUMMYFUNCTION("IMPORTRANGE(H4228,""IDENTITAS UNIT!D9"")"),"#N/A")</f>
        <v>#N/A</v>
      </c>
      <c r="H4228" s="4" t="str">
        <v/>
      </c>
      <c r="I4228" s="4" t="str">
        <v/>
      </c>
    </row>
    <row r="4229" spans="5:9" ht="16.5" hidden="1">
      <c r="E4229" s="4" t="str">
        <v/>
      </c>
      <c r="F4229" s="102" t="str">
        <f ca="1">IFERROR(__xludf.DUMMYFUNCTION("IMPORTRANGE(H4229,""IDENTITAS UNIT!D9"")"),"#N/A")</f>
        <v>#N/A</v>
      </c>
      <c r="H4229" s="4" t="str">
        <v/>
      </c>
      <c r="I4229" s="4" t="str">
        <v/>
      </c>
    </row>
    <row r="4230" spans="5:9" ht="16.5" hidden="1">
      <c r="E4230" s="4" t="str">
        <v/>
      </c>
      <c r="F4230" s="102" t="str">
        <f ca="1">IFERROR(__xludf.DUMMYFUNCTION("IMPORTRANGE(H4230,""IDENTITAS UNIT!D9"")"),"#N/A")</f>
        <v>#N/A</v>
      </c>
      <c r="H4230" s="4" t="str">
        <v/>
      </c>
      <c r="I4230" s="4" t="str">
        <v/>
      </c>
    </row>
    <row r="4231" spans="5:9" ht="16.5" hidden="1">
      <c r="E4231" s="4" t="str">
        <v/>
      </c>
      <c r="F4231" s="102" t="str">
        <f ca="1">IFERROR(__xludf.DUMMYFUNCTION("IMPORTRANGE(H4231,""IDENTITAS UNIT!D9"")"),"#N/A")</f>
        <v>#N/A</v>
      </c>
      <c r="H4231" s="4" t="str">
        <v/>
      </c>
      <c r="I4231" s="4" t="str">
        <v/>
      </c>
    </row>
    <row r="4232" spans="5:9" ht="16.5" hidden="1">
      <c r="E4232" s="4" t="str">
        <v/>
      </c>
      <c r="F4232" s="102" t="str">
        <f ca="1">IFERROR(__xludf.DUMMYFUNCTION("IMPORTRANGE(H4232,""IDENTITAS UNIT!D9"")"),"#N/A")</f>
        <v>#N/A</v>
      </c>
      <c r="H4232" s="4" t="str">
        <v/>
      </c>
      <c r="I4232" s="4" t="str">
        <v/>
      </c>
    </row>
    <row r="4233" spans="5:9" ht="16.5" hidden="1">
      <c r="E4233" s="4" t="str">
        <v/>
      </c>
      <c r="F4233" s="102" t="str">
        <f ca="1">IFERROR(__xludf.DUMMYFUNCTION("IMPORTRANGE(H4233,""IDENTITAS UNIT!D9"")"),"#N/A")</f>
        <v>#N/A</v>
      </c>
      <c r="H4233" s="4" t="str">
        <v/>
      </c>
      <c r="I4233" s="4" t="str">
        <v/>
      </c>
    </row>
    <row r="4234" spans="5:9" ht="16.5" hidden="1">
      <c r="E4234" s="4" t="str">
        <v/>
      </c>
      <c r="F4234" s="102" t="str">
        <f ca="1">IFERROR(__xludf.DUMMYFUNCTION("IMPORTRANGE(H4234,""IDENTITAS UNIT!D9"")"),"#N/A")</f>
        <v>#N/A</v>
      </c>
      <c r="H4234" s="4" t="str">
        <v/>
      </c>
      <c r="I4234" s="4" t="str">
        <v/>
      </c>
    </row>
    <row r="4235" spans="5:9" ht="16.5" hidden="1">
      <c r="E4235" s="4" t="str">
        <v/>
      </c>
      <c r="F4235" s="102" t="str">
        <f ca="1">IFERROR(__xludf.DUMMYFUNCTION("IMPORTRANGE(H4235,""IDENTITAS UNIT!D9"")"),"#N/A")</f>
        <v>#N/A</v>
      </c>
      <c r="H4235" s="4" t="str">
        <v/>
      </c>
      <c r="I4235" s="4" t="str">
        <v/>
      </c>
    </row>
    <row r="4236" spans="5:9" ht="16.5" hidden="1">
      <c r="E4236" s="4" t="str">
        <v/>
      </c>
      <c r="F4236" s="102" t="str">
        <f ca="1">IFERROR(__xludf.DUMMYFUNCTION("IMPORTRANGE(H4236,""IDENTITAS UNIT!D9"")"),"#N/A")</f>
        <v>#N/A</v>
      </c>
      <c r="H4236" s="4" t="str">
        <v/>
      </c>
      <c r="I4236" s="4" t="str">
        <v/>
      </c>
    </row>
    <row r="4237" spans="5:9" ht="16.5" hidden="1">
      <c r="E4237" s="4" t="str">
        <v/>
      </c>
      <c r="F4237" s="102" t="str">
        <f ca="1">IFERROR(__xludf.DUMMYFUNCTION("IMPORTRANGE(H4237,""IDENTITAS UNIT!D9"")"),"#N/A")</f>
        <v>#N/A</v>
      </c>
      <c r="H4237" s="4" t="str">
        <v/>
      </c>
      <c r="I4237" s="4" t="str">
        <v/>
      </c>
    </row>
    <row r="4238" spans="5:9" ht="16.5" hidden="1">
      <c r="E4238" s="4" t="str">
        <v/>
      </c>
      <c r="F4238" s="102" t="str">
        <f ca="1">IFERROR(__xludf.DUMMYFUNCTION("IMPORTRANGE(H4238,""IDENTITAS UNIT!D9"")"),"#N/A")</f>
        <v>#N/A</v>
      </c>
      <c r="H4238" s="4" t="str">
        <v/>
      </c>
      <c r="I4238" s="4" t="str">
        <v/>
      </c>
    </row>
    <row r="4239" spans="5:9" ht="16.5" hidden="1">
      <c r="E4239" s="4" t="str">
        <v/>
      </c>
      <c r="F4239" s="102" t="str">
        <f ca="1">IFERROR(__xludf.DUMMYFUNCTION("IMPORTRANGE(H4239,""IDENTITAS UNIT!D9"")"),"#N/A")</f>
        <v>#N/A</v>
      </c>
      <c r="H4239" s="4" t="str">
        <v/>
      </c>
      <c r="I4239" s="4" t="str">
        <v/>
      </c>
    </row>
    <row r="4240" spans="5:9" ht="16.5" hidden="1">
      <c r="E4240" s="4" t="str">
        <v/>
      </c>
      <c r="F4240" s="102" t="str">
        <f ca="1">IFERROR(__xludf.DUMMYFUNCTION("IMPORTRANGE(H4240,""IDENTITAS UNIT!D9"")"),"#N/A")</f>
        <v>#N/A</v>
      </c>
      <c r="H4240" s="4" t="str">
        <v/>
      </c>
      <c r="I4240" s="4" t="str">
        <v/>
      </c>
    </row>
    <row r="4241" spans="5:9" ht="16.5" hidden="1">
      <c r="E4241" s="4" t="str">
        <v/>
      </c>
      <c r="F4241" s="102" t="str">
        <f ca="1">IFERROR(__xludf.DUMMYFUNCTION("IMPORTRANGE(H4241,""IDENTITAS UNIT!D9"")"),"#N/A")</f>
        <v>#N/A</v>
      </c>
      <c r="H4241" s="4" t="str">
        <v/>
      </c>
      <c r="I4241" s="4" t="str">
        <v/>
      </c>
    </row>
    <row r="4242" spans="5:9" ht="16.5" hidden="1">
      <c r="E4242" s="4" t="str">
        <v/>
      </c>
      <c r="F4242" s="102" t="str">
        <f ca="1">IFERROR(__xludf.DUMMYFUNCTION("IMPORTRANGE(H4242,""IDENTITAS UNIT!D9"")"),"#N/A")</f>
        <v>#N/A</v>
      </c>
      <c r="H4242" s="4" t="str">
        <v/>
      </c>
      <c r="I4242" s="4" t="str">
        <v/>
      </c>
    </row>
    <row r="4243" spans="5:9" ht="16.5" hidden="1">
      <c r="E4243" s="4" t="str">
        <v/>
      </c>
      <c r="F4243" s="102" t="str">
        <f ca="1">IFERROR(__xludf.DUMMYFUNCTION("IMPORTRANGE(H4243,""IDENTITAS UNIT!D9"")"),"#N/A")</f>
        <v>#N/A</v>
      </c>
      <c r="H4243" s="4" t="str">
        <v/>
      </c>
      <c r="I4243" s="4" t="str">
        <v/>
      </c>
    </row>
    <row r="4244" spans="5:9" ht="16.5" hidden="1">
      <c r="E4244" s="4" t="str">
        <v/>
      </c>
      <c r="F4244" s="102" t="str">
        <f ca="1">IFERROR(__xludf.DUMMYFUNCTION("IMPORTRANGE(H4244,""IDENTITAS UNIT!D9"")"),"#N/A")</f>
        <v>#N/A</v>
      </c>
      <c r="H4244" s="4" t="str">
        <v/>
      </c>
      <c r="I4244" s="4" t="str">
        <v/>
      </c>
    </row>
    <row r="4245" spans="5:9" ht="16.5" hidden="1">
      <c r="E4245" s="4" t="str">
        <v/>
      </c>
      <c r="F4245" s="102" t="str">
        <f ca="1">IFERROR(__xludf.DUMMYFUNCTION("IMPORTRANGE(H4245,""IDENTITAS UNIT!D9"")"),"#N/A")</f>
        <v>#N/A</v>
      </c>
      <c r="H4245" s="4" t="str">
        <v/>
      </c>
      <c r="I4245" s="4" t="str">
        <v/>
      </c>
    </row>
    <row r="4246" spans="5:9" ht="16.5" hidden="1">
      <c r="E4246" s="4" t="str">
        <v/>
      </c>
      <c r="F4246" s="102" t="str">
        <f ca="1">IFERROR(__xludf.DUMMYFUNCTION("IMPORTRANGE(H4246,""IDENTITAS UNIT!D9"")"),"#N/A")</f>
        <v>#N/A</v>
      </c>
      <c r="H4246" s="4" t="str">
        <v/>
      </c>
      <c r="I4246" s="4" t="str">
        <v/>
      </c>
    </row>
    <row r="4247" spans="5:9" ht="16.5" hidden="1">
      <c r="E4247" s="4" t="str">
        <v/>
      </c>
      <c r="F4247" s="102" t="str">
        <f ca="1">IFERROR(__xludf.DUMMYFUNCTION("IMPORTRANGE(H4247,""IDENTITAS UNIT!D9"")"),"#N/A")</f>
        <v>#N/A</v>
      </c>
      <c r="H4247" s="4" t="str">
        <v/>
      </c>
      <c r="I4247" s="4" t="str">
        <v/>
      </c>
    </row>
    <row r="4248" spans="5:9" ht="16.5" hidden="1">
      <c r="E4248" s="4" t="str">
        <v/>
      </c>
      <c r="F4248" s="102" t="str">
        <f ca="1">IFERROR(__xludf.DUMMYFUNCTION("IMPORTRANGE(H4248,""IDENTITAS UNIT!D9"")"),"#N/A")</f>
        <v>#N/A</v>
      </c>
      <c r="H4248" s="4" t="str">
        <v/>
      </c>
      <c r="I4248" s="4" t="str">
        <v/>
      </c>
    </row>
    <row r="4249" spans="5:9" ht="16.5" hidden="1">
      <c r="E4249" s="4" t="str">
        <v/>
      </c>
      <c r="F4249" s="102" t="str">
        <f ca="1">IFERROR(__xludf.DUMMYFUNCTION("IMPORTRANGE(H4249,""IDENTITAS UNIT!D9"")"),"#N/A")</f>
        <v>#N/A</v>
      </c>
      <c r="H4249" s="4" t="str">
        <v/>
      </c>
      <c r="I4249" s="4" t="str">
        <v/>
      </c>
    </row>
    <row r="4250" spans="5:9" ht="16.5" hidden="1">
      <c r="E4250" s="4" t="str">
        <v/>
      </c>
      <c r="F4250" s="102" t="str">
        <f ca="1">IFERROR(__xludf.DUMMYFUNCTION("IMPORTRANGE(H4250,""IDENTITAS UNIT!D9"")"),"#N/A")</f>
        <v>#N/A</v>
      </c>
      <c r="H4250" s="4" t="str">
        <v/>
      </c>
      <c r="I4250" s="4" t="str">
        <v/>
      </c>
    </row>
    <row r="4251" spans="5:9" ht="16.5" hidden="1">
      <c r="E4251" s="4" t="str">
        <v/>
      </c>
      <c r="F4251" s="102" t="str">
        <f ca="1">IFERROR(__xludf.DUMMYFUNCTION("IMPORTRANGE(H4251,""IDENTITAS UNIT!D9"")"),"#N/A")</f>
        <v>#N/A</v>
      </c>
      <c r="H4251" s="4" t="str">
        <v/>
      </c>
      <c r="I4251" s="4" t="str">
        <v/>
      </c>
    </row>
    <row r="4252" spans="5:9" ht="16.5" hidden="1">
      <c r="E4252" s="4" t="str">
        <v/>
      </c>
      <c r="F4252" s="102" t="str">
        <f ca="1">IFERROR(__xludf.DUMMYFUNCTION("IMPORTRANGE(H4252,""IDENTITAS UNIT!D9"")"),"#N/A")</f>
        <v>#N/A</v>
      </c>
      <c r="H4252" s="4" t="str">
        <v/>
      </c>
      <c r="I4252" s="4" t="str">
        <v/>
      </c>
    </row>
    <row r="4253" spans="5:9" ht="16.5" hidden="1">
      <c r="E4253" s="4" t="str">
        <v/>
      </c>
      <c r="F4253" s="102" t="str">
        <f ca="1">IFERROR(__xludf.DUMMYFUNCTION("IMPORTRANGE(H4253,""IDENTITAS UNIT!D9"")"),"#N/A")</f>
        <v>#N/A</v>
      </c>
      <c r="H4253" s="4" t="str">
        <v/>
      </c>
      <c r="I4253" s="4" t="str">
        <v/>
      </c>
    </row>
    <row r="4254" spans="5:9" ht="16.5" hidden="1">
      <c r="E4254" s="4" t="str">
        <v/>
      </c>
      <c r="F4254" s="102" t="str">
        <f ca="1">IFERROR(__xludf.DUMMYFUNCTION("IMPORTRANGE(H4254,""IDENTITAS UNIT!D9"")"),"#N/A")</f>
        <v>#N/A</v>
      </c>
      <c r="H4254" s="4" t="str">
        <v/>
      </c>
      <c r="I4254" s="4" t="str">
        <v/>
      </c>
    </row>
    <row r="4255" spans="5:9" ht="16.5" hidden="1">
      <c r="E4255" s="4" t="str">
        <v/>
      </c>
      <c r="F4255" s="102" t="str">
        <f ca="1">IFERROR(__xludf.DUMMYFUNCTION("IMPORTRANGE(H4255,""IDENTITAS UNIT!D9"")"),"#N/A")</f>
        <v>#N/A</v>
      </c>
      <c r="H4255" s="4" t="str">
        <v/>
      </c>
      <c r="I4255" s="4" t="str">
        <v/>
      </c>
    </row>
    <row r="4256" spans="5:9" ht="16.5" hidden="1">
      <c r="E4256" s="4" t="str">
        <v/>
      </c>
      <c r="F4256" s="102" t="str">
        <f ca="1">IFERROR(__xludf.DUMMYFUNCTION("IMPORTRANGE(H4256,""IDENTITAS UNIT!D9"")"),"#N/A")</f>
        <v>#N/A</v>
      </c>
      <c r="H4256" s="4" t="str">
        <v/>
      </c>
      <c r="I4256" s="4" t="str">
        <v/>
      </c>
    </row>
    <row r="4257" spans="5:9" ht="16.5" hidden="1">
      <c r="E4257" s="4" t="str">
        <v/>
      </c>
      <c r="F4257" s="102" t="str">
        <f ca="1">IFERROR(__xludf.DUMMYFUNCTION("IMPORTRANGE(H4257,""IDENTITAS UNIT!D9"")"),"#N/A")</f>
        <v>#N/A</v>
      </c>
      <c r="H4257" s="4" t="str">
        <v/>
      </c>
      <c r="I4257" s="4" t="str">
        <v/>
      </c>
    </row>
    <row r="4258" spans="5:9" ht="16.5" hidden="1">
      <c r="E4258" s="4" t="str">
        <v/>
      </c>
      <c r="F4258" s="102" t="str">
        <f ca="1">IFERROR(__xludf.DUMMYFUNCTION("IMPORTRANGE(H4258,""IDENTITAS UNIT!D9"")"),"#N/A")</f>
        <v>#N/A</v>
      </c>
      <c r="H4258" s="4" t="str">
        <v/>
      </c>
      <c r="I4258" s="4" t="str">
        <v/>
      </c>
    </row>
    <row r="4259" spans="5:9" ht="16.5" hidden="1">
      <c r="E4259" s="4" t="str">
        <v/>
      </c>
      <c r="F4259" s="102" t="str">
        <f ca="1">IFERROR(__xludf.DUMMYFUNCTION("IMPORTRANGE(H4259,""IDENTITAS UNIT!D9"")"),"#N/A")</f>
        <v>#N/A</v>
      </c>
      <c r="H4259" s="4" t="str">
        <v/>
      </c>
      <c r="I4259" s="4" t="str">
        <v/>
      </c>
    </row>
    <row r="4260" spans="5:9" ht="16.5" hidden="1">
      <c r="E4260" s="4" t="str">
        <v/>
      </c>
      <c r="F4260" s="102" t="str">
        <f ca="1">IFERROR(__xludf.DUMMYFUNCTION("IMPORTRANGE(H4260,""IDENTITAS UNIT!D9"")"),"#N/A")</f>
        <v>#N/A</v>
      </c>
      <c r="H4260" s="4" t="str">
        <v/>
      </c>
      <c r="I4260" s="4" t="str">
        <v/>
      </c>
    </row>
    <row r="4261" spans="5:9" ht="16.5" hidden="1">
      <c r="E4261" s="4" t="str">
        <v/>
      </c>
      <c r="F4261" s="102" t="str">
        <f ca="1">IFERROR(__xludf.DUMMYFUNCTION("IMPORTRANGE(H4261,""IDENTITAS UNIT!D9"")"),"#N/A")</f>
        <v>#N/A</v>
      </c>
      <c r="H4261" s="4" t="str">
        <v/>
      </c>
      <c r="I4261" s="4" t="str">
        <v/>
      </c>
    </row>
    <row r="4262" spans="5:9" ht="16.5" hidden="1">
      <c r="E4262" s="4" t="str">
        <v/>
      </c>
      <c r="F4262" s="102" t="str">
        <f ca="1">IFERROR(__xludf.DUMMYFUNCTION("IMPORTRANGE(H4262,""IDENTITAS UNIT!D9"")"),"#N/A")</f>
        <v>#N/A</v>
      </c>
      <c r="H4262" s="4" t="str">
        <v/>
      </c>
      <c r="I4262" s="4" t="str">
        <v/>
      </c>
    </row>
    <row r="4263" spans="5:9" ht="16.5" hidden="1">
      <c r="E4263" s="4" t="str">
        <v/>
      </c>
      <c r="F4263" s="102" t="str">
        <f ca="1">IFERROR(__xludf.DUMMYFUNCTION("IMPORTRANGE(H4263,""IDENTITAS UNIT!D9"")"),"#N/A")</f>
        <v>#N/A</v>
      </c>
      <c r="H4263" s="4" t="str">
        <v/>
      </c>
      <c r="I4263" s="4" t="str">
        <v/>
      </c>
    </row>
    <row r="4264" spans="5:9" ht="16.5" hidden="1">
      <c r="E4264" s="4" t="str">
        <v/>
      </c>
      <c r="F4264" s="102" t="str">
        <f ca="1">IFERROR(__xludf.DUMMYFUNCTION("IMPORTRANGE(H4264,""IDENTITAS UNIT!D9"")"),"#N/A")</f>
        <v>#N/A</v>
      </c>
      <c r="H4264" s="4" t="str">
        <v/>
      </c>
      <c r="I4264" s="4" t="str">
        <v/>
      </c>
    </row>
    <row r="4265" spans="5:9" ht="16.5" hidden="1">
      <c r="E4265" s="4" t="str">
        <v/>
      </c>
      <c r="F4265" s="102" t="str">
        <f ca="1">IFERROR(__xludf.DUMMYFUNCTION("IMPORTRANGE(H4265,""IDENTITAS UNIT!D9"")"),"#N/A")</f>
        <v>#N/A</v>
      </c>
      <c r="H4265" s="4" t="str">
        <v/>
      </c>
      <c r="I4265" s="4" t="str">
        <v/>
      </c>
    </row>
    <row r="4266" spans="5:9" ht="16.5" hidden="1">
      <c r="E4266" s="4" t="str">
        <v/>
      </c>
      <c r="F4266" s="102" t="str">
        <f ca="1">IFERROR(__xludf.DUMMYFUNCTION("IMPORTRANGE(H4266,""IDENTITAS UNIT!D9"")"),"#N/A")</f>
        <v>#N/A</v>
      </c>
      <c r="H4266" s="4" t="str">
        <v/>
      </c>
      <c r="I4266" s="4" t="str">
        <v/>
      </c>
    </row>
    <row r="4267" spans="5:9" ht="16.5" hidden="1">
      <c r="E4267" s="4" t="str">
        <v/>
      </c>
      <c r="F4267" s="102" t="str">
        <f ca="1">IFERROR(__xludf.DUMMYFUNCTION("IMPORTRANGE(H4267,""IDENTITAS UNIT!D9"")"),"#N/A")</f>
        <v>#N/A</v>
      </c>
      <c r="H4267" s="4" t="str">
        <v/>
      </c>
      <c r="I4267" s="4" t="str">
        <v/>
      </c>
    </row>
    <row r="4268" spans="5:9" ht="16.5" hidden="1">
      <c r="E4268" s="4" t="str">
        <v/>
      </c>
      <c r="F4268" s="102" t="str">
        <f ca="1">IFERROR(__xludf.DUMMYFUNCTION("IMPORTRANGE(H4268,""IDENTITAS UNIT!D9"")"),"#N/A")</f>
        <v>#N/A</v>
      </c>
      <c r="H4268" s="4" t="str">
        <v/>
      </c>
      <c r="I4268" s="4" t="str">
        <v/>
      </c>
    </row>
    <row r="4269" spans="5:9" ht="16.5" hidden="1">
      <c r="E4269" s="4" t="str">
        <v/>
      </c>
      <c r="F4269" s="102" t="str">
        <f ca="1">IFERROR(__xludf.DUMMYFUNCTION("IMPORTRANGE(H4269,""IDENTITAS UNIT!D9"")"),"#N/A")</f>
        <v>#N/A</v>
      </c>
      <c r="H4269" s="4" t="str">
        <v/>
      </c>
      <c r="I4269" s="4" t="str">
        <v/>
      </c>
    </row>
    <row r="4270" spans="5:9" ht="16.5" hidden="1">
      <c r="E4270" s="4" t="str">
        <v/>
      </c>
      <c r="F4270" s="102" t="str">
        <f ca="1">IFERROR(__xludf.DUMMYFUNCTION("IMPORTRANGE(H4270,""IDENTITAS UNIT!D9"")"),"#N/A")</f>
        <v>#N/A</v>
      </c>
      <c r="H4270" s="4" t="str">
        <v/>
      </c>
      <c r="I4270" s="4" t="str">
        <v/>
      </c>
    </row>
    <row r="4271" spans="5:9" ht="16.5" hidden="1">
      <c r="E4271" s="4" t="str">
        <v/>
      </c>
      <c r="F4271" s="102" t="str">
        <f ca="1">IFERROR(__xludf.DUMMYFUNCTION("IMPORTRANGE(H4271,""IDENTITAS UNIT!D9"")"),"#N/A")</f>
        <v>#N/A</v>
      </c>
      <c r="H4271" s="4" t="str">
        <v/>
      </c>
      <c r="I4271" s="4" t="str">
        <v/>
      </c>
    </row>
    <row r="4272" spans="5:9" ht="16.5" hidden="1">
      <c r="E4272" s="4" t="str">
        <v/>
      </c>
      <c r="F4272" s="102" t="str">
        <f ca="1">IFERROR(__xludf.DUMMYFUNCTION("IMPORTRANGE(H4272,""IDENTITAS UNIT!D9"")"),"#N/A")</f>
        <v>#N/A</v>
      </c>
      <c r="H4272" s="4" t="str">
        <v/>
      </c>
      <c r="I4272" s="4" t="str">
        <v/>
      </c>
    </row>
    <row r="4273" spans="5:9" ht="16.5" hidden="1">
      <c r="E4273" s="4" t="str">
        <v/>
      </c>
      <c r="F4273" s="102" t="str">
        <f ca="1">IFERROR(__xludf.DUMMYFUNCTION("IMPORTRANGE(H4273,""IDENTITAS UNIT!D9"")"),"#N/A")</f>
        <v>#N/A</v>
      </c>
      <c r="H4273" s="4" t="str">
        <v/>
      </c>
      <c r="I4273" s="4" t="str">
        <v/>
      </c>
    </row>
    <row r="4274" spans="5:9" ht="16.5" hidden="1">
      <c r="E4274" s="4" t="str">
        <v/>
      </c>
      <c r="F4274" s="102" t="str">
        <f ca="1">IFERROR(__xludf.DUMMYFUNCTION("IMPORTRANGE(H4274,""IDENTITAS UNIT!D9"")"),"#N/A")</f>
        <v>#N/A</v>
      </c>
      <c r="H4274" s="4" t="str">
        <v/>
      </c>
      <c r="I4274" s="4" t="str">
        <v/>
      </c>
    </row>
    <row r="4275" spans="5:9" ht="16.5" hidden="1">
      <c r="E4275" s="4" t="str">
        <v/>
      </c>
      <c r="F4275" s="102" t="str">
        <f ca="1">IFERROR(__xludf.DUMMYFUNCTION("IMPORTRANGE(H4275,""IDENTITAS UNIT!D9"")"),"#N/A")</f>
        <v>#N/A</v>
      </c>
      <c r="H4275" s="4" t="str">
        <v/>
      </c>
      <c r="I4275" s="4" t="str">
        <v/>
      </c>
    </row>
    <row r="4276" spans="5:9" ht="16.5" hidden="1">
      <c r="E4276" s="4" t="str">
        <v/>
      </c>
      <c r="F4276" s="102" t="str">
        <f ca="1">IFERROR(__xludf.DUMMYFUNCTION("IMPORTRANGE(H4276,""IDENTITAS UNIT!D9"")"),"#N/A")</f>
        <v>#N/A</v>
      </c>
      <c r="H4276" s="4" t="str">
        <v/>
      </c>
      <c r="I4276" s="4" t="str">
        <v/>
      </c>
    </row>
    <row r="4277" spans="5:9" ht="16.5" hidden="1">
      <c r="E4277" s="4" t="str">
        <v/>
      </c>
      <c r="F4277" s="102" t="str">
        <f ca="1">IFERROR(__xludf.DUMMYFUNCTION("IMPORTRANGE(H4277,""IDENTITAS UNIT!D9"")"),"#N/A")</f>
        <v>#N/A</v>
      </c>
      <c r="H4277" s="4" t="str">
        <v/>
      </c>
      <c r="I4277" s="4" t="str">
        <v/>
      </c>
    </row>
    <row r="4278" spans="5:9" ht="16.5" hidden="1">
      <c r="E4278" s="4" t="str">
        <v/>
      </c>
      <c r="F4278" s="102" t="str">
        <f ca="1">IFERROR(__xludf.DUMMYFUNCTION("IMPORTRANGE(H4278,""IDENTITAS UNIT!D9"")"),"#N/A")</f>
        <v>#N/A</v>
      </c>
      <c r="H4278" s="4" t="str">
        <v/>
      </c>
      <c r="I4278" s="4" t="str">
        <v/>
      </c>
    </row>
    <row r="4279" spans="5:9" ht="16.5" hidden="1">
      <c r="E4279" s="4" t="str">
        <v/>
      </c>
      <c r="F4279" s="102" t="str">
        <f ca="1">IFERROR(__xludf.DUMMYFUNCTION("IMPORTRANGE(H4279,""IDENTITAS UNIT!D9"")"),"#N/A")</f>
        <v>#N/A</v>
      </c>
      <c r="H4279" s="4" t="str">
        <v/>
      </c>
      <c r="I4279" s="4" t="str">
        <v/>
      </c>
    </row>
    <row r="4280" spans="5:9" ht="16.5" hidden="1">
      <c r="E4280" s="4" t="str">
        <v/>
      </c>
      <c r="F4280" s="102" t="str">
        <f ca="1">IFERROR(__xludf.DUMMYFUNCTION("IMPORTRANGE(H4280,""IDENTITAS UNIT!D9"")"),"#N/A")</f>
        <v>#N/A</v>
      </c>
      <c r="H4280" s="4" t="str">
        <v/>
      </c>
      <c r="I4280" s="4" t="str">
        <v/>
      </c>
    </row>
    <row r="4281" spans="5:9" ht="16.5" hidden="1">
      <c r="E4281" s="4" t="str">
        <v/>
      </c>
      <c r="F4281" s="102" t="str">
        <f ca="1">IFERROR(__xludf.DUMMYFUNCTION("IMPORTRANGE(H4281,""IDENTITAS UNIT!D9"")"),"#N/A")</f>
        <v>#N/A</v>
      </c>
      <c r="H4281" s="4" t="str">
        <v/>
      </c>
      <c r="I4281" s="4" t="str">
        <v/>
      </c>
    </row>
    <row r="4282" spans="5:9" ht="16.5" hidden="1">
      <c r="E4282" s="4" t="str">
        <v/>
      </c>
      <c r="F4282" s="102" t="str">
        <f ca="1">IFERROR(__xludf.DUMMYFUNCTION("IMPORTRANGE(H4282,""IDENTITAS UNIT!D9"")"),"#N/A")</f>
        <v>#N/A</v>
      </c>
      <c r="H4282" s="4" t="str">
        <v/>
      </c>
      <c r="I4282" s="4" t="str">
        <v/>
      </c>
    </row>
    <row r="4283" spans="5:9" ht="16.5" hidden="1">
      <c r="E4283" s="4" t="str">
        <v/>
      </c>
      <c r="F4283" s="102" t="str">
        <f ca="1">IFERROR(__xludf.DUMMYFUNCTION("IMPORTRANGE(H4283,""IDENTITAS UNIT!D9"")"),"#N/A")</f>
        <v>#N/A</v>
      </c>
      <c r="H4283" s="4" t="str">
        <v/>
      </c>
      <c r="I4283" s="4" t="str">
        <v/>
      </c>
    </row>
    <row r="4284" spans="5:9" ht="16.5" hidden="1">
      <c r="E4284" s="4" t="str">
        <v/>
      </c>
      <c r="F4284" s="102" t="str">
        <f ca="1">IFERROR(__xludf.DUMMYFUNCTION("IMPORTRANGE(H4284,""IDENTITAS UNIT!D9"")"),"#N/A")</f>
        <v>#N/A</v>
      </c>
      <c r="H4284" s="4" t="str">
        <v/>
      </c>
      <c r="I4284" s="4" t="str">
        <v/>
      </c>
    </row>
    <row r="4285" spans="5:9" ht="16.5" hidden="1">
      <c r="E4285" s="4" t="str">
        <v/>
      </c>
      <c r="F4285" s="102" t="str">
        <f ca="1">IFERROR(__xludf.DUMMYFUNCTION("IMPORTRANGE(H4285,""IDENTITAS UNIT!D9"")"),"#N/A")</f>
        <v>#N/A</v>
      </c>
      <c r="H4285" s="4" t="str">
        <v/>
      </c>
      <c r="I4285" s="4" t="str">
        <v/>
      </c>
    </row>
    <row r="4286" spans="5:9" ht="16.5" hidden="1">
      <c r="E4286" s="4" t="str">
        <v/>
      </c>
      <c r="F4286" s="102" t="str">
        <f ca="1">IFERROR(__xludf.DUMMYFUNCTION("IMPORTRANGE(H4286,""IDENTITAS UNIT!D9"")"),"#N/A")</f>
        <v>#N/A</v>
      </c>
      <c r="H4286" s="4" t="str">
        <v/>
      </c>
      <c r="I4286" s="4" t="str">
        <v/>
      </c>
    </row>
    <row r="4287" spans="5:9" ht="16.5" hidden="1">
      <c r="E4287" s="4" t="str">
        <v/>
      </c>
      <c r="F4287" s="102" t="str">
        <f ca="1">IFERROR(__xludf.DUMMYFUNCTION("IMPORTRANGE(H4287,""IDENTITAS UNIT!D9"")"),"#N/A")</f>
        <v>#N/A</v>
      </c>
      <c r="H4287" s="4" t="str">
        <v/>
      </c>
      <c r="I4287" s="4" t="str">
        <v/>
      </c>
    </row>
    <row r="4288" spans="5:9" ht="16.5" hidden="1">
      <c r="E4288" s="4" t="str">
        <v/>
      </c>
      <c r="F4288" s="102" t="str">
        <f ca="1">IFERROR(__xludf.DUMMYFUNCTION("IMPORTRANGE(H4288,""IDENTITAS UNIT!D9"")"),"#N/A")</f>
        <v>#N/A</v>
      </c>
      <c r="H4288" s="4" t="str">
        <v/>
      </c>
      <c r="I4288" s="4" t="str">
        <v/>
      </c>
    </row>
    <row r="4289" spans="5:9" ht="16.5" hidden="1">
      <c r="E4289" s="4" t="str">
        <v/>
      </c>
      <c r="F4289" s="102" t="str">
        <f ca="1">IFERROR(__xludf.DUMMYFUNCTION("IMPORTRANGE(H4289,""IDENTITAS UNIT!D9"")"),"#N/A")</f>
        <v>#N/A</v>
      </c>
      <c r="H4289" s="4" t="str">
        <v/>
      </c>
      <c r="I4289" s="4" t="str">
        <v/>
      </c>
    </row>
    <row r="4290" spans="5:9" ht="16.5" hidden="1">
      <c r="E4290" s="4" t="str">
        <v/>
      </c>
      <c r="F4290" s="102" t="str">
        <f ca="1">IFERROR(__xludf.DUMMYFUNCTION("IMPORTRANGE(H4290,""IDENTITAS UNIT!D9"")"),"#N/A")</f>
        <v>#N/A</v>
      </c>
      <c r="H4290" s="4" t="str">
        <v/>
      </c>
      <c r="I4290" s="4" t="str">
        <v/>
      </c>
    </row>
    <row r="4291" spans="5:9" ht="16.5" hidden="1">
      <c r="E4291" s="4" t="str">
        <v/>
      </c>
      <c r="F4291" s="102" t="str">
        <f ca="1">IFERROR(__xludf.DUMMYFUNCTION("IMPORTRANGE(H4291,""IDENTITAS UNIT!D9"")"),"#N/A")</f>
        <v>#N/A</v>
      </c>
      <c r="H4291" s="4" t="str">
        <v/>
      </c>
      <c r="I4291" s="4" t="str">
        <v/>
      </c>
    </row>
    <row r="4292" spans="5:9" ht="16.5" hidden="1">
      <c r="E4292" s="4" t="str">
        <v/>
      </c>
      <c r="F4292" s="102" t="str">
        <f ca="1">IFERROR(__xludf.DUMMYFUNCTION("IMPORTRANGE(H4292,""IDENTITAS UNIT!D9"")"),"#N/A")</f>
        <v>#N/A</v>
      </c>
      <c r="H4292" s="4" t="str">
        <v/>
      </c>
      <c r="I4292" s="4" t="str">
        <v/>
      </c>
    </row>
    <row r="4293" spans="5:9" ht="16.5" hidden="1">
      <c r="E4293" s="4" t="str">
        <v/>
      </c>
      <c r="F4293" s="102" t="str">
        <f ca="1">IFERROR(__xludf.DUMMYFUNCTION("IMPORTRANGE(H4293,""IDENTITAS UNIT!D9"")"),"#N/A")</f>
        <v>#N/A</v>
      </c>
      <c r="H4293" s="4" t="str">
        <v/>
      </c>
      <c r="I4293" s="4" t="str">
        <v/>
      </c>
    </row>
    <row r="4294" spans="5:9" ht="16.5" hidden="1">
      <c r="E4294" s="4" t="str">
        <v/>
      </c>
      <c r="F4294" s="102" t="str">
        <f ca="1">IFERROR(__xludf.DUMMYFUNCTION("IMPORTRANGE(H4294,""IDENTITAS UNIT!D9"")"),"#N/A")</f>
        <v>#N/A</v>
      </c>
      <c r="H4294" s="4" t="str">
        <v/>
      </c>
      <c r="I4294" s="4" t="str">
        <v/>
      </c>
    </row>
    <row r="4295" spans="5:9" ht="16.5" hidden="1">
      <c r="E4295" s="4" t="str">
        <v/>
      </c>
      <c r="F4295" s="102" t="str">
        <f ca="1">IFERROR(__xludf.DUMMYFUNCTION("IMPORTRANGE(H4295,""IDENTITAS UNIT!D9"")"),"#N/A")</f>
        <v>#N/A</v>
      </c>
      <c r="H4295" s="4" t="str">
        <v/>
      </c>
      <c r="I4295" s="4" t="str">
        <v/>
      </c>
    </row>
    <row r="4296" spans="5:9" ht="16.5" hidden="1">
      <c r="E4296" s="4" t="str">
        <v/>
      </c>
      <c r="F4296" s="102" t="str">
        <f ca="1">IFERROR(__xludf.DUMMYFUNCTION("IMPORTRANGE(H4296,""IDENTITAS UNIT!D9"")"),"#N/A")</f>
        <v>#N/A</v>
      </c>
      <c r="H4296" s="4" t="str">
        <v/>
      </c>
      <c r="I4296" s="4" t="str">
        <v/>
      </c>
    </row>
    <row r="4297" spans="5:9" ht="16.5" hidden="1">
      <c r="E4297" s="4" t="str">
        <v/>
      </c>
      <c r="F4297" s="102" t="str">
        <f ca="1">IFERROR(__xludf.DUMMYFUNCTION("IMPORTRANGE(H4297,""IDENTITAS UNIT!D9"")"),"#N/A")</f>
        <v>#N/A</v>
      </c>
      <c r="H4297" s="4" t="str">
        <v/>
      </c>
      <c r="I4297" s="4" t="str">
        <v/>
      </c>
    </row>
    <row r="4298" spans="5:9" ht="16.5" hidden="1">
      <c r="E4298" s="4" t="str">
        <v/>
      </c>
      <c r="F4298" s="102" t="str">
        <f ca="1">IFERROR(__xludf.DUMMYFUNCTION("IMPORTRANGE(H4298,""IDENTITAS UNIT!D9"")"),"#N/A")</f>
        <v>#N/A</v>
      </c>
      <c r="H4298" s="4" t="str">
        <v/>
      </c>
      <c r="I4298" s="4" t="str">
        <v/>
      </c>
    </row>
    <row r="4299" spans="5:9" ht="16.5" hidden="1">
      <c r="E4299" s="4" t="str">
        <v/>
      </c>
      <c r="F4299" s="102" t="str">
        <f ca="1">IFERROR(__xludf.DUMMYFUNCTION("IMPORTRANGE(H4299,""IDENTITAS UNIT!D9"")"),"#N/A")</f>
        <v>#N/A</v>
      </c>
      <c r="H4299" s="4" t="str">
        <v/>
      </c>
      <c r="I4299" s="4" t="str">
        <v/>
      </c>
    </row>
    <row r="4300" spans="5:9" ht="16.5" hidden="1">
      <c r="E4300" s="4" t="str">
        <v/>
      </c>
      <c r="F4300" s="102" t="str">
        <f ca="1">IFERROR(__xludf.DUMMYFUNCTION("IMPORTRANGE(H4300,""IDENTITAS UNIT!D9"")"),"#N/A")</f>
        <v>#N/A</v>
      </c>
      <c r="H4300" s="4" t="str">
        <v/>
      </c>
      <c r="I4300" s="4" t="str">
        <v/>
      </c>
    </row>
    <row r="4301" spans="5:9" ht="16.5" hidden="1">
      <c r="E4301" s="4" t="str">
        <v/>
      </c>
      <c r="F4301" s="102" t="str">
        <f ca="1">IFERROR(__xludf.DUMMYFUNCTION("IMPORTRANGE(H4301,""IDENTITAS UNIT!D9"")"),"#N/A")</f>
        <v>#N/A</v>
      </c>
      <c r="H4301" s="4" t="str">
        <v/>
      </c>
      <c r="I4301" s="4" t="str">
        <v/>
      </c>
    </row>
    <row r="4302" spans="5:9" ht="16.5" hidden="1">
      <c r="E4302" s="4" t="str">
        <v/>
      </c>
      <c r="F4302" s="102" t="str">
        <f ca="1">IFERROR(__xludf.DUMMYFUNCTION("IMPORTRANGE(H4302,""IDENTITAS UNIT!D9"")"),"#N/A")</f>
        <v>#N/A</v>
      </c>
      <c r="H4302" s="4" t="str">
        <v/>
      </c>
      <c r="I4302" s="4" t="str">
        <v/>
      </c>
    </row>
    <row r="4303" spans="5:9" ht="16.5" hidden="1">
      <c r="E4303" s="4" t="str">
        <v/>
      </c>
      <c r="F4303" s="102" t="str">
        <f ca="1">IFERROR(__xludf.DUMMYFUNCTION("IMPORTRANGE(H4303,""IDENTITAS UNIT!D9"")"),"#N/A")</f>
        <v>#N/A</v>
      </c>
      <c r="H4303" s="4" t="str">
        <v/>
      </c>
      <c r="I4303" s="4" t="str">
        <v/>
      </c>
    </row>
    <row r="4304" spans="5:9" ht="16.5" hidden="1">
      <c r="E4304" s="4" t="str">
        <v/>
      </c>
      <c r="F4304" s="102" t="str">
        <f ca="1">IFERROR(__xludf.DUMMYFUNCTION("IMPORTRANGE(H4304,""IDENTITAS UNIT!D9"")"),"#N/A")</f>
        <v>#N/A</v>
      </c>
      <c r="H4304" s="4" t="str">
        <v/>
      </c>
      <c r="I4304" s="4" t="str">
        <v/>
      </c>
    </row>
    <row r="4305" spans="5:9" ht="16.5" hidden="1">
      <c r="E4305" s="4" t="str">
        <v/>
      </c>
      <c r="F4305" s="102" t="str">
        <f ca="1">IFERROR(__xludf.DUMMYFUNCTION("IMPORTRANGE(H4305,""IDENTITAS UNIT!D9"")"),"#N/A")</f>
        <v>#N/A</v>
      </c>
      <c r="H4305" s="4" t="str">
        <v/>
      </c>
      <c r="I4305" s="4" t="str">
        <v/>
      </c>
    </row>
    <row r="4306" spans="5:9" ht="16.5" hidden="1">
      <c r="E4306" s="4" t="str">
        <v/>
      </c>
      <c r="F4306" s="102" t="str">
        <f ca="1">IFERROR(__xludf.DUMMYFUNCTION("IMPORTRANGE(H4306,""IDENTITAS UNIT!D9"")"),"#N/A")</f>
        <v>#N/A</v>
      </c>
      <c r="H4306" s="4" t="str">
        <v/>
      </c>
      <c r="I4306" s="4" t="str">
        <v/>
      </c>
    </row>
    <row r="4307" spans="5:9" ht="16.5" hidden="1">
      <c r="E4307" s="4" t="str">
        <v/>
      </c>
      <c r="F4307" s="102" t="str">
        <f ca="1">IFERROR(__xludf.DUMMYFUNCTION("IMPORTRANGE(H4307,""IDENTITAS UNIT!D9"")"),"#N/A")</f>
        <v>#N/A</v>
      </c>
      <c r="H4307" s="4" t="str">
        <v/>
      </c>
      <c r="I4307" s="4" t="str">
        <v/>
      </c>
    </row>
    <row r="4308" spans="5:9" ht="16.5" hidden="1">
      <c r="E4308" s="4" t="str">
        <v/>
      </c>
      <c r="F4308" s="102" t="str">
        <f ca="1">IFERROR(__xludf.DUMMYFUNCTION("IMPORTRANGE(H4308,""IDENTITAS UNIT!D9"")"),"#N/A")</f>
        <v>#N/A</v>
      </c>
      <c r="H4308" s="4" t="str">
        <v/>
      </c>
      <c r="I4308" s="4" t="str">
        <v/>
      </c>
    </row>
    <row r="4309" spans="5:9" ht="16.5" hidden="1">
      <c r="E4309" s="4" t="str">
        <v/>
      </c>
      <c r="F4309" s="102" t="str">
        <f ca="1">IFERROR(__xludf.DUMMYFUNCTION("IMPORTRANGE(H4309,""IDENTITAS UNIT!D9"")"),"#N/A")</f>
        <v>#N/A</v>
      </c>
      <c r="H4309" s="4" t="str">
        <v/>
      </c>
      <c r="I4309" s="4" t="str">
        <v/>
      </c>
    </row>
    <row r="4310" spans="5:9" ht="16.5" hidden="1">
      <c r="E4310" s="4" t="str">
        <v/>
      </c>
      <c r="F4310" s="102" t="str">
        <f ca="1">IFERROR(__xludf.DUMMYFUNCTION("IMPORTRANGE(H4310,""IDENTITAS UNIT!D9"")"),"#N/A")</f>
        <v>#N/A</v>
      </c>
      <c r="H4310" s="4" t="str">
        <v/>
      </c>
      <c r="I4310" s="4" t="str">
        <v/>
      </c>
    </row>
    <row r="4311" spans="5:9" ht="16.5" hidden="1">
      <c r="E4311" s="4" t="str">
        <v/>
      </c>
      <c r="F4311" s="102" t="str">
        <f ca="1">IFERROR(__xludf.DUMMYFUNCTION("IMPORTRANGE(H4311,""IDENTITAS UNIT!D9"")"),"#N/A")</f>
        <v>#N/A</v>
      </c>
      <c r="H4311" s="4" t="str">
        <v/>
      </c>
      <c r="I4311" s="4" t="str">
        <v/>
      </c>
    </row>
    <row r="4312" spans="5:9" ht="16.5" hidden="1">
      <c r="E4312" s="4" t="str">
        <v/>
      </c>
      <c r="F4312" s="102" t="str">
        <f ca="1">IFERROR(__xludf.DUMMYFUNCTION("IMPORTRANGE(H4312,""IDENTITAS UNIT!D9"")"),"#N/A")</f>
        <v>#N/A</v>
      </c>
      <c r="H4312" s="4" t="str">
        <v/>
      </c>
      <c r="I4312" s="4" t="str">
        <v/>
      </c>
    </row>
    <row r="4313" spans="5:9" ht="16.5" hidden="1">
      <c r="E4313" s="4" t="str">
        <v/>
      </c>
      <c r="F4313" s="102" t="str">
        <f ca="1">IFERROR(__xludf.DUMMYFUNCTION("IMPORTRANGE(H4313,""IDENTITAS UNIT!D9"")"),"#N/A")</f>
        <v>#N/A</v>
      </c>
      <c r="H4313" s="4" t="str">
        <v/>
      </c>
      <c r="I4313" s="4" t="str">
        <v/>
      </c>
    </row>
    <row r="4314" spans="5:9" ht="16.5" hidden="1">
      <c r="E4314" s="4" t="str">
        <v/>
      </c>
      <c r="F4314" s="102" t="str">
        <f ca="1">IFERROR(__xludf.DUMMYFUNCTION("IMPORTRANGE(H4314,""IDENTITAS UNIT!D9"")"),"#N/A")</f>
        <v>#N/A</v>
      </c>
      <c r="H4314" s="4" t="str">
        <v/>
      </c>
      <c r="I4314" s="4" t="str">
        <v/>
      </c>
    </row>
    <row r="4315" spans="5:9" ht="16.5" hidden="1">
      <c r="E4315" s="4" t="str">
        <v/>
      </c>
      <c r="F4315" s="102" t="str">
        <f ca="1">IFERROR(__xludf.DUMMYFUNCTION("IMPORTRANGE(H4315,""IDENTITAS UNIT!D9"")"),"#N/A")</f>
        <v>#N/A</v>
      </c>
      <c r="H4315" s="4" t="str">
        <v/>
      </c>
      <c r="I4315" s="4" t="str">
        <v/>
      </c>
    </row>
    <row r="4316" spans="5:9" ht="16.5" hidden="1">
      <c r="E4316" s="4" t="str">
        <v/>
      </c>
      <c r="F4316" s="102" t="str">
        <f ca="1">IFERROR(__xludf.DUMMYFUNCTION("IMPORTRANGE(H4316,""IDENTITAS UNIT!D9"")"),"#N/A")</f>
        <v>#N/A</v>
      </c>
      <c r="H4316" s="4" t="str">
        <v/>
      </c>
      <c r="I4316" s="4" t="str">
        <v/>
      </c>
    </row>
    <row r="4317" spans="5:9" ht="16.5" hidden="1">
      <c r="E4317" s="4" t="str">
        <v/>
      </c>
      <c r="F4317" s="102" t="str">
        <f ca="1">IFERROR(__xludf.DUMMYFUNCTION("IMPORTRANGE(H4317,""IDENTITAS UNIT!D9"")"),"#N/A")</f>
        <v>#N/A</v>
      </c>
      <c r="H4317" s="4" t="str">
        <v/>
      </c>
      <c r="I4317" s="4" t="str">
        <v/>
      </c>
    </row>
    <row r="4318" spans="5:9" ht="16.5" hidden="1">
      <c r="E4318" s="4" t="str">
        <v/>
      </c>
      <c r="F4318" s="102" t="str">
        <f ca="1">IFERROR(__xludf.DUMMYFUNCTION("IMPORTRANGE(H4318,""IDENTITAS UNIT!D9"")"),"#N/A")</f>
        <v>#N/A</v>
      </c>
      <c r="H4318" s="4" t="str">
        <v/>
      </c>
      <c r="I4318" s="4" t="str">
        <v/>
      </c>
    </row>
    <row r="4319" spans="5:9" ht="16.5" hidden="1">
      <c r="E4319" s="4" t="str">
        <v/>
      </c>
      <c r="F4319" s="102" t="str">
        <f ca="1">IFERROR(__xludf.DUMMYFUNCTION("IMPORTRANGE(H4319,""IDENTITAS UNIT!D9"")"),"#N/A")</f>
        <v>#N/A</v>
      </c>
      <c r="H4319" s="4" t="str">
        <v/>
      </c>
      <c r="I4319" s="4" t="str">
        <v/>
      </c>
    </row>
    <row r="4320" spans="5:9" ht="16.5" hidden="1">
      <c r="E4320" s="4" t="str">
        <v/>
      </c>
      <c r="F4320" s="102" t="str">
        <f ca="1">IFERROR(__xludf.DUMMYFUNCTION("IMPORTRANGE(H4320,""IDENTITAS UNIT!D9"")"),"#N/A")</f>
        <v>#N/A</v>
      </c>
      <c r="H4320" s="4" t="str">
        <v/>
      </c>
      <c r="I4320" s="4" t="str">
        <v/>
      </c>
    </row>
    <row r="4321" spans="5:9" ht="16.5" hidden="1">
      <c r="E4321" s="4" t="str">
        <v/>
      </c>
      <c r="F4321" s="102" t="str">
        <f ca="1">IFERROR(__xludf.DUMMYFUNCTION("IMPORTRANGE(H4321,""IDENTITAS UNIT!D9"")"),"#N/A")</f>
        <v>#N/A</v>
      </c>
      <c r="H4321" s="4" t="str">
        <v/>
      </c>
      <c r="I4321" s="4" t="str">
        <v/>
      </c>
    </row>
    <row r="4322" spans="5:9" ht="16.5" hidden="1">
      <c r="E4322" s="4" t="str">
        <v/>
      </c>
      <c r="F4322" s="102" t="str">
        <f ca="1">IFERROR(__xludf.DUMMYFUNCTION("IMPORTRANGE(H4322,""IDENTITAS UNIT!D9"")"),"#N/A")</f>
        <v>#N/A</v>
      </c>
      <c r="H4322" s="4" t="str">
        <v/>
      </c>
      <c r="I4322" s="4" t="str">
        <v/>
      </c>
    </row>
    <row r="4323" spans="5:9" ht="16.5" hidden="1">
      <c r="E4323" s="4" t="str">
        <v/>
      </c>
      <c r="F4323" s="102" t="str">
        <f ca="1">IFERROR(__xludf.DUMMYFUNCTION("IMPORTRANGE(H4323,""IDENTITAS UNIT!D9"")"),"#N/A")</f>
        <v>#N/A</v>
      </c>
      <c r="H4323" s="4" t="str">
        <v/>
      </c>
      <c r="I4323" s="4" t="str">
        <v/>
      </c>
    </row>
    <row r="4324" spans="5:9" ht="16.5" hidden="1">
      <c r="E4324" s="4" t="str">
        <v/>
      </c>
      <c r="F4324" s="102" t="str">
        <f ca="1">IFERROR(__xludf.DUMMYFUNCTION("IMPORTRANGE(H4324,""IDENTITAS UNIT!D9"")"),"#N/A")</f>
        <v>#N/A</v>
      </c>
      <c r="H4324" s="4" t="str">
        <v/>
      </c>
      <c r="I4324" s="4" t="str">
        <v/>
      </c>
    </row>
    <row r="4325" spans="5:9" ht="16.5" hidden="1">
      <c r="E4325" s="4" t="str">
        <v/>
      </c>
      <c r="F4325" s="102" t="str">
        <f ca="1">IFERROR(__xludf.DUMMYFUNCTION("IMPORTRANGE(H4325,""IDENTITAS UNIT!D9"")"),"#N/A")</f>
        <v>#N/A</v>
      </c>
      <c r="H4325" s="4" t="str">
        <v/>
      </c>
      <c r="I4325" s="4" t="str">
        <v/>
      </c>
    </row>
    <row r="4326" spans="5:9" ht="16.5" hidden="1">
      <c r="E4326" s="4" t="str">
        <v/>
      </c>
      <c r="F4326" s="102" t="str">
        <f ca="1">IFERROR(__xludf.DUMMYFUNCTION("IMPORTRANGE(H4326,""IDENTITAS UNIT!D9"")"),"#N/A")</f>
        <v>#N/A</v>
      </c>
      <c r="H4326" s="4" t="str">
        <v/>
      </c>
      <c r="I4326" s="4" t="str">
        <v/>
      </c>
    </row>
    <row r="4327" spans="5:9" ht="16.5" hidden="1">
      <c r="E4327" s="4" t="str">
        <v/>
      </c>
      <c r="F4327" s="102" t="str">
        <f ca="1">IFERROR(__xludf.DUMMYFUNCTION("IMPORTRANGE(H4327,""IDENTITAS UNIT!D9"")"),"#N/A")</f>
        <v>#N/A</v>
      </c>
      <c r="H4327" s="4" t="str">
        <v/>
      </c>
      <c r="I4327" s="4" t="str">
        <v/>
      </c>
    </row>
    <row r="4328" spans="5:9" ht="16.5" hidden="1">
      <c r="E4328" s="4" t="str">
        <v/>
      </c>
      <c r="F4328" s="102" t="str">
        <f ca="1">IFERROR(__xludf.DUMMYFUNCTION("IMPORTRANGE(H4328,""IDENTITAS UNIT!D9"")"),"#N/A")</f>
        <v>#N/A</v>
      </c>
      <c r="H4328" s="4" t="str">
        <v/>
      </c>
      <c r="I4328" s="4" t="str">
        <v/>
      </c>
    </row>
    <row r="4329" spans="5:9" ht="16.5" hidden="1">
      <c r="E4329" s="4" t="str">
        <v/>
      </c>
      <c r="F4329" s="102" t="str">
        <f ca="1">IFERROR(__xludf.DUMMYFUNCTION("IMPORTRANGE(H4329,""IDENTITAS UNIT!D9"")"),"#N/A")</f>
        <v>#N/A</v>
      </c>
      <c r="H4329" s="4" t="str">
        <v/>
      </c>
      <c r="I4329" s="4" t="str">
        <v/>
      </c>
    </row>
    <row r="4330" spans="5:9" ht="16.5" hidden="1">
      <c r="E4330" s="4" t="str">
        <v/>
      </c>
      <c r="F4330" s="102" t="str">
        <f ca="1">IFERROR(__xludf.DUMMYFUNCTION("IMPORTRANGE(H4330,""IDENTITAS UNIT!D9"")"),"#N/A")</f>
        <v>#N/A</v>
      </c>
      <c r="H4330" s="4" t="str">
        <v/>
      </c>
      <c r="I4330" s="4" t="str">
        <v/>
      </c>
    </row>
    <row r="4331" spans="5:9" ht="16.5" hidden="1">
      <c r="E4331" s="4" t="str">
        <v/>
      </c>
      <c r="F4331" s="102" t="str">
        <f ca="1">IFERROR(__xludf.DUMMYFUNCTION("IMPORTRANGE(H4331,""IDENTITAS UNIT!D9"")"),"#N/A")</f>
        <v>#N/A</v>
      </c>
      <c r="H4331" s="4" t="str">
        <v/>
      </c>
      <c r="I4331" s="4" t="str">
        <v/>
      </c>
    </row>
    <row r="4332" spans="5:9" ht="16.5" hidden="1">
      <c r="E4332" s="4" t="str">
        <v/>
      </c>
      <c r="F4332" s="102" t="str">
        <f ca="1">IFERROR(__xludf.DUMMYFUNCTION("IMPORTRANGE(H4332,""IDENTITAS UNIT!D9"")"),"#N/A")</f>
        <v>#N/A</v>
      </c>
      <c r="H4332" s="4" t="str">
        <v/>
      </c>
      <c r="I4332" s="4" t="str">
        <v/>
      </c>
    </row>
    <row r="4333" spans="5:9" ht="16.5" hidden="1">
      <c r="E4333" s="4" t="str">
        <v/>
      </c>
      <c r="F4333" s="102" t="str">
        <f ca="1">IFERROR(__xludf.DUMMYFUNCTION("IMPORTRANGE(H4333,""IDENTITAS UNIT!D9"")"),"#N/A")</f>
        <v>#N/A</v>
      </c>
      <c r="H4333" s="4" t="str">
        <v/>
      </c>
      <c r="I4333" s="4" t="str">
        <v/>
      </c>
    </row>
    <row r="4334" spans="5:9" ht="16.5" hidden="1">
      <c r="E4334" s="4" t="str">
        <v/>
      </c>
      <c r="F4334" s="102" t="str">
        <f ca="1">IFERROR(__xludf.DUMMYFUNCTION("IMPORTRANGE(H4334,""IDENTITAS UNIT!D9"")"),"#N/A")</f>
        <v>#N/A</v>
      </c>
      <c r="H4334" s="4" t="str">
        <v/>
      </c>
      <c r="I4334" s="4" t="str">
        <v/>
      </c>
    </row>
    <row r="4335" spans="5:9" ht="16.5" hidden="1">
      <c r="E4335" s="4" t="str">
        <v/>
      </c>
      <c r="F4335" s="102" t="str">
        <f ca="1">IFERROR(__xludf.DUMMYFUNCTION("IMPORTRANGE(H4335,""IDENTITAS UNIT!D9"")"),"#N/A")</f>
        <v>#N/A</v>
      </c>
      <c r="H4335" s="4" t="str">
        <v/>
      </c>
      <c r="I4335" s="4" t="str">
        <v/>
      </c>
    </row>
    <row r="4336" spans="5:9" ht="16.5" hidden="1">
      <c r="E4336" s="4" t="str">
        <v/>
      </c>
      <c r="F4336" s="102" t="str">
        <f ca="1">IFERROR(__xludf.DUMMYFUNCTION("IMPORTRANGE(H4336,""IDENTITAS UNIT!D9"")"),"#N/A")</f>
        <v>#N/A</v>
      </c>
      <c r="H4336" s="4" t="str">
        <v/>
      </c>
      <c r="I4336" s="4" t="str">
        <v/>
      </c>
    </row>
    <row r="4337" spans="5:9" ht="16.5" hidden="1">
      <c r="E4337" s="4" t="str">
        <v/>
      </c>
      <c r="F4337" s="102" t="str">
        <f ca="1">IFERROR(__xludf.DUMMYFUNCTION("IMPORTRANGE(H4337,""IDENTITAS UNIT!D9"")"),"#N/A")</f>
        <v>#N/A</v>
      </c>
      <c r="H4337" s="4" t="str">
        <v/>
      </c>
      <c r="I4337" s="4" t="str">
        <v/>
      </c>
    </row>
    <row r="4338" spans="5:9" ht="16.5" hidden="1">
      <c r="E4338" s="4" t="str">
        <v/>
      </c>
      <c r="F4338" s="102" t="str">
        <f ca="1">IFERROR(__xludf.DUMMYFUNCTION("IMPORTRANGE(H4338,""IDENTITAS UNIT!D9"")"),"#N/A")</f>
        <v>#N/A</v>
      </c>
      <c r="H4338" s="4" t="str">
        <v/>
      </c>
      <c r="I4338" s="4" t="str">
        <v/>
      </c>
    </row>
    <row r="4339" spans="5:9" ht="16.5" hidden="1">
      <c r="E4339" s="4" t="str">
        <v/>
      </c>
      <c r="F4339" s="102" t="str">
        <f ca="1">IFERROR(__xludf.DUMMYFUNCTION("IMPORTRANGE(H4339,""IDENTITAS UNIT!D9"")"),"#N/A")</f>
        <v>#N/A</v>
      </c>
      <c r="H4339" s="4" t="str">
        <v/>
      </c>
      <c r="I4339" s="4" t="str">
        <v/>
      </c>
    </row>
    <row r="4340" spans="5:9" ht="16.5" hidden="1">
      <c r="E4340" s="4" t="str">
        <v/>
      </c>
      <c r="F4340" s="102" t="str">
        <f ca="1">IFERROR(__xludf.DUMMYFUNCTION("IMPORTRANGE(H4340,""IDENTITAS UNIT!D9"")"),"#N/A")</f>
        <v>#N/A</v>
      </c>
      <c r="H4340" s="4" t="str">
        <v/>
      </c>
      <c r="I4340" s="4" t="str">
        <v/>
      </c>
    </row>
    <row r="4341" spans="5:9" ht="16.5" hidden="1">
      <c r="E4341" s="4" t="str">
        <v/>
      </c>
      <c r="F4341" s="102" t="str">
        <f ca="1">IFERROR(__xludf.DUMMYFUNCTION("IMPORTRANGE(H4341,""IDENTITAS UNIT!D9"")"),"#N/A")</f>
        <v>#N/A</v>
      </c>
      <c r="H4341" s="4" t="str">
        <v/>
      </c>
      <c r="I4341" s="4" t="str">
        <v/>
      </c>
    </row>
    <row r="4342" spans="5:9" ht="16.5" hidden="1">
      <c r="E4342" s="4" t="str">
        <v/>
      </c>
      <c r="F4342" s="102" t="str">
        <f ca="1">IFERROR(__xludf.DUMMYFUNCTION("IMPORTRANGE(H4342,""IDENTITAS UNIT!D9"")"),"#N/A")</f>
        <v>#N/A</v>
      </c>
      <c r="H4342" s="4" t="str">
        <v/>
      </c>
      <c r="I4342" s="4" t="str">
        <v/>
      </c>
    </row>
    <row r="4343" spans="5:9" ht="16.5" hidden="1">
      <c r="E4343" s="4" t="str">
        <v/>
      </c>
      <c r="F4343" s="102" t="str">
        <f ca="1">IFERROR(__xludf.DUMMYFUNCTION("IMPORTRANGE(H4343,""IDENTITAS UNIT!D9"")"),"#N/A")</f>
        <v>#N/A</v>
      </c>
      <c r="H4343" s="4" t="str">
        <v/>
      </c>
      <c r="I4343" s="4" t="str">
        <v/>
      </c>
    </row>
    <row r="4344" spans="5:9" ht="16.5" hidden="1">
      <c r="E4344" s="4" t="str">
        <v/>
      </c>
      <c r="F4344" s="102" t="str">
        <f ca="1">IFERROR(__xludf.DUMMYFUNCTION("IMPORTRANGE(H4344,""IDENTITAS UNIT!D9"")"),"#N/A")</f>
        <v>#N/A</v>
      </c>
      <c r="H4344" s="4" t="str">
        <v/>
      </c>
      <c r="I4344" s="4" t="str">
        <v/>
      </c>
    </row>
    <row r="4345" spans="5:9" ht="16.5" hidden="1">
      <c r="E4345" s="4" t="str">
        <v/>
      </c>
      <c r="F4345" s="102" t="str">
        <f ca="1">IFERROR(__xludf.DUMMYFUNCTION("IMPORTRANGE(H4345,""IDENTITAS UNIT!D9"")"),"#N/A")</f>
        <v>#N/A</v>
      </c>
      <c r="H4345" s="4" t="str">
        <v/>
      </c>
      <c r="I4345" s="4" t="str">
        <v/>
      </c>
    </row>
    <row r="4346" spans="5:9" ht="16.5" hidden="1">
      <c r="E4346" s="4" t="str">
        <v/>
      </c>
      <c r="F4346" s="102" t="str">
        <f ca="1">IFERROR(__xludf.DUMMYFUNCTION("IMPORTRANGE(H4346,""IDENTITAS UNIT!D9"")"),"#N/A")</f>
        <v>#N/A</v>
      </c>
      <c r="H4346" s="4" t="str">
        <v/>
      </c>
      <c r="I4346" s="4" t="str">
        <v/>
      </c>
    </row>
    <row r="4347" spans="5:9" ht="16.5" hidden="1">
      <c r="E4347" s="4" t="str">
        <v/>
      </c>
      <c r="F4347" s="102" t="str">
        <f ca="1">IFERROR(__xludf.DUMMYFUNCTION("IMPORTRANGE(H4347,""IDENTITAS UNIT!D9"")"),"#N/A")</f>
        <v>#N/A</v>
      </c>
      <c r="H4347" s="4" t="str">
        <v/>
      </c>
      <c r="I4347" s="4" t="str">
        <v/>
      </c>
    </row>
    <row r="4348" spans="5:9" ht="16.5" hidden="1">
      <c r="E4348" s="4" t="str">
        <v/>
      </c>
      <c r="F4348" s="102" t="str">
        <f ca="1">IFERROR(__xludf.DUMMYFUNCTION("IMPORTRANGE(H4348,""IDENTITAS UNIT!D9"")"),"#N/A")</f>
        <v>#N/A</v>
      </c>
      <c r="H4348" s="4" t="str">
        <v/>
      </c>
      <c r="I4348" s="4" t="str">
        <v/>
      </c>
    </row>
    <row r="4349" spans="5:9" ht="16.5" hidden="1">
      <c r="E4349" s="4" t="str">
        <v/>
      </c>
      <c r="F4349" s="102" t="str">
        <f ca="1">IFERROR(__xludf.DUMMYFUNCTION("IMPORTRANGE(H4349,""IDENTITAS UNIT!D9"")"),"#N/A")</f>
        <v>#N/A</v>
      </c>
      <c r="H4349" s="4" t="str">
        <v/>
      </c>
      <c r="I4349" s="4" t="str">
        <v/>
      </c>
    </row>
    <row r="4350" spans="5:9" ht="16.5" hidden="1">
      <c r="E4350" s="4" t="str">
        <v/>
      </c>
      <c r="F4350" s="102" t="str">
        <f ca="1">IFERROR(__xludf.DUMMYFUNCTION("IMPORTRANGE(H4350,""IDENTITAS UNIT!D9"")"),"#N/A")</f>
        <v>#N/A</v>
      </c>
      <c r="H4350" s="4" t="str">
        <v/>
      </c>
      <c r="I4350" s="4" t="str">
        <v/>
      </c>
    </row>
    <row r="4351" spans="5:9" ht="16.5" hidden="1">
      <c r="E4351" s="4" t="str">
        <v/>
      </c>
      <c r="F4351" s="102" t="str">
        <f ca="1">IFERROR(__xludf.DUMMYFUNCTION("IMPORTRANGE(H4351,""IDENTITAS UNIT!D9"")"),"#N/A")</f>
        <v>#N/A</v>
      </c>
      <c r="H4351" s="4" t="str">
        <v/>
      </c>
      <c r="I4351" s="4" t="str">
        <v/>
      </c>
    </row>
    <row r="4352" spans="5:9" ht="16.5" hidden="1">
      <c r="E4352" s="4" t="str">
        <v/>
      </c>
      <c r="F4352" s="102" t="str">
        <f ca="1">IFERROR(__xludf.DUMMYFUNCTION("IMPORTRANGE(H4352,""IDENTITAS UNIT!D9"")"),"#N/A")</f>
        <v>#N/A</v>
      </c>
      <c r="H4352" s="4" t="str">
        <v/>
      </c>
      <c r="I4352" s="4" t="str">
        <v/>
      </c>
    </row>
    <row r="4353" spans="5:9" ht="16.5" hidden="1">
      <c r="E4353" s="4" t="str">
        <v/>
      </c>
      <c r="F4353" s="102" t="str">
        <f ca="1">IFERROR(__xludf.DUMMYFUNCTION("IMPORTRANGE(H4353,""IDENTITAS UNIT!D9"")"),"#N/A")</f>
        <v>#N/A</v>
      </c>
      <c r="H4353" s="4" t="str">
        <v/>
      </c>
      <c r="I4353" s="4" t="str">
        <v/>
      </c>
    </row>
    <row r="4354" spans="5:9" ht="16.5" hidden="1">
      <c r="E4354" s="4" t="str">
        <v/>
      </c>
      <c r="F4354" s="102" t="str">
        <f ca="1">IFERROR(__xludf.DUMMYFUNCTION("IMPORTRANGE(H4354,""IDENTITAS UNIT!D9"")"),"#N/A")</f>
        <v>#N/A</v>
      </c>
      <c r="H4354" s="4" t="str">
        <v/>
      </c>
      <c r="I4354" s="4" t="str">
        <v/>
      </c>
    </row>
    <row r="4355" spans="5:9" ht="16.5" hidden="1">
      <c r="E4355" s="4" t="str">
        <v/>
      </c>
      <c r="F4355" s="102" t="str">
        <f ca="1">IFERROR(__xludf.DUMMYFUNCTION("IMPORTRANGE(H4355,""IDENTITAS UNIT!D9"")"),"#N/A")</f>
        <v>#N/A</v>
      </c>
      <c r="H4355" s="4" t="str">
        <v/>
      </c>
      <c r="I4355" s="4" t="str">
        <v/>
      </c>
    </row>
    <row r="4356" spans="5:9" ht="16.5" hidden="1">
      <c r="E4356" s="4" t="str">
        <v/>
      </c>
      <c r="F4356" s="102" t="str">
        <f ca="1">IFERROR(__xludf.DUMMYFUNCTION("IMPORTRANGE(H4356,""IDENTITAS UNIT!D9"")"),"#N/A")</f>
        <v>#N/A</v>
      </c>
      <c r="H4356" s="4" t="str">
        <v/>
      </c>
      <c r="I4356" s="4" t="str">
        <v/>
      </c>
    </row>
    <row r="4357" spans="5:9" ht="16.5" hidden="1">
      <c r="E4357" s="4" t="str">
        <v/>
      </c>
      <c r="F4357" s="102" t="str">
        <f ca="1">IFERROR(__xludf.DUMMYFUNCTION("IMPORTRANGE(H4357,""IDENTITAS UNIT!D9"")"),"#N/A")</f>
        <v>#N/A</v>
      </c>
      <c r="H4357" s="4" t="str">
        <v/>
      </c>
      <c r="I4357" s="4" t="str">
        <v/>
      </c>
    </row>
    <row r="4358" spans="5:9" ht="16.5" hidden="1">
      <c r="E4358" s="4" t="str">
        <v/>
      </c>
      <c r="F4358" s="102" t="str">
        <f ca="1">IFERROR(__xludf.DUMMYFUNCTION("IMPORTRANGE(H4358,""IDENTITAS UNIT!D9"")"),"#N/A")</f>
        <v>#N/A</v>
      </c>
      <c r="H4358" s="4" t="str">
        <v/>
      </c>
      <c r="I4358" s="4" t="str">
        <v/>
      </c>
    </row>
    <row r="4359" spans="5:9" ht="16.5" hidden="1">
      <c r="E4359" s="4" t="str">
        <v/>
      </c>
      <c r="F4359" s="102" t="str">
        <f ca="1">IFERROR(__xludf.DUMMYFUNCTION("IMPORTRANGE(H4359,""IDENTITAS UNIT!D9"")"),"#N/A")</f>
        <v>#N/A</v>
      </c>
      <c r="H4359" s="4" t="str">
        <v/>
      </c>
      <c r="I4359" s="4" t="str">
        <v/>
      </c>
    </row>
    <row r="4360" spans="5:9" ht="16.5" hidden="1">
      <c r="E4360" s="4" t="str">
        <v/>
      </c>
      <c r="F4360" s="102" t="str">
        <f ca="1">IFERROR(__xludf.DUMMYFUNCTION("IMPORTRANGE(H4360,""IDENTITAS UNIT!D9"")"),"#N/A")</f>
        <v>#N/A</v>
      </c>
      <c r="H4360" s="4" t="str">
        <v/>
      </c>
      <c r="I4360" s="4" t="str">
        <v/>
      </c>
    </row>
    <row r="4361" spans="5:9" ht="16.5" hidden="1">
      <c r="E4361" s="4" t="str">
        <v/>
      </c>
      <c r="F4361" s="102" t="str">
        <f ca="1">IFERROR(__xludf.DUMMYFUNCTION("IMPORTRANGE(H4361,""IDENTITAS UNIT!D9"")"),"#N/A")</f>
        <v>#N/A</v>
      </c>
      <c r="H4361" s="4" t="str">
        <v/>
      </c>
      <c r="I4361" s="4" t="str">
        <v/>
      </c>
    </row>
    <row r="4362" spans="5:9" ht="16.5" hidden="1">
      <c r="E4362" s="4" t="str">
        <v/>
      </c>
      <c r="F4362" s="102" t="str">
        <f ca="1">IFERROR(__xludf.DUMMYFUNCTION("IMPORTRANGE(H4362,""IDENTITAS UNIT!D9"")"),"#N/A")</f>
        <v>#N/A</v>
      </c>
      <c r="H4362" s="4" t="str">
        <v/>
      </c>
      <c r="I4362" s="4" t="str">
        <v/>
      </c>
    </row>
    <row r="4363" spans="5:9" ht="16.5" hidden="1">
      <c r="E4363" s="4" t="str">
        <v/>
      </c>
      <c r="F4363" s="102" t="str">
        <f ca="1">IFERROR(__xludf.DUMMYFUNCTION("IMPORTRANGE(H4363,""IDENTITAS UNIT!D9"")"),"#N/A")</f>
        <v>#N/A</v>
      </c>
      <c r="H4363" s="4" t="str">
        <v/>
      </c>
      <c r="I4363" s="4" t="str">
        <v/>
      </c>
    </row>
    <row r="4364" spans="5:9" ht="16.5" hidden="1">
      <c r="E4364" s="4" t="str">
        <v/>
      </c>
      <c r="F4364" s="102" t="str">
        <f ca="1">IFERROR(__xludf.DUMMYFUNCTION("IMPORTRANGE(H4364,""IDENTITAS UNIT!D9"")"),"#N/A")</f>
        <v>#N/A</v>
      </c>
      <c r="H4364" s="4" t="str">
        <v/>
      </c>
      <c r="I4364" s="4" t="str">
        <v/>
      </c>
    </row>
    <row r="4365" spans="5:9" ht="16.5" hidden="1">
      <c r="E4365" s="4" t="str">
        <v/>
      </c>
      <c r="F4365" s="102" t="str">
        <f ca="1">IFERROR(__xludf.DUMMYFUNCTION("IMPORTRANGE(H4365,""IDENTITAS UNIT!D9"")"),"#N/A")</f>
        <v>#N/A</v>
      </c>
      <c r="H4365" s="4" t="str">
        <v/>
      </c>
      <c r="I4365" s="4" t="str">
        <v/>
      </c>
    </row>
    <row r="4366" spans="5:9" ht="16.5" hidden="1">
      <c r="E4366" s="4" t="str">
        <v/>
      </c>
      <c r="F4366" s="102" t="str">
        <f ca="1">IFERROR(__xludf.DUMMYFUNCTION("IMPORTRANGE(H4366,""IDENTITAS UNIT!D9"")"),"#N/A")</f>
        <v>#N/A</v>
      </c>
      <c r="H4366" s="4" t="str">
        <v/>
      </c>
      <c r="I4366" s="4" t="str">
        <v/>
      </c>
    </row>
    <row r="4367" spans="5:9" ht="16.5" hidden="1">
      <c r="E4367" s="4" t="str">
        <v/>
      </c>
      <c r="F4367" s="102" t="str">
        <f ca="1">IFERROR(__xludf.DUMMYFUNCTION("IMPORTRANGE(H4367,""IDENTITAS UNIT!D9"")"),"#N/A")</f>
        <v>#N/A</v>
      </c>
      <c r="H4367" s="4" t="str">
        <v/>
      </c>
      <c r="I4367" s="4" t="str">
        <v/>
      </c>
    </row>
    <row r="4368" spans="5:9" ht="16.5" hidden="1">
      <c r="E4368" s="4" t="str">
        <v/>
      </c>
      <c r="F4368" s="102" t="str">
        <f ca="1">IFERROR(__xludf.DUMMYFUNCTION("IMPORTRANGE(H4368,""IDENTITAS UNIT!D9"")"),"#N/A")</f>
        <v>#N/A</v>
      </c>
      <c r="H4368" s="4" t="str">
        <v/>
      </c>
      <c r="I4368" s="4" t="str">
        <v/>
      </c>
    </row>
    <row r="4369" spans="5:9" ht="16.5" hidden="1">
      <c r="E4369" s="4" t="str">
        <v/>
      </c>
      <c r="F4369" s="102" t="str">
        <f ca="1">IFERROR(__xludf.DUMMYFUNCTION("IMPORTRANGE(H4369,""IDENTITAS UNIT!D9"")"),"#N/A")</f>
        <v>#N/A</v>
      </c>
      <c r="H4369" s="4" t="str">
        <v/>
      </c>
      <c r="I4369" s="4" t="str">
        <v/>
      </c>
    </row>
    <row r="4370" spans="5:9" ht="16.5" hidden="1">
      <c r="E4370" s="4" t="str">
        <v/>
      </c>
      <c r="F4370" s="102" t="str">
        <f ca="1">IFERROR(__xludf.DUMMYFUNCTION("IMPORTRANGE(H4370,""IDENTITAS UNIT!D9"")"),"#N/A")</f>
        <v>#N/A</v>
      </c>
      <c r="H4370" s="4" t="str">
        <v/>
      </c>
      <c r="I4370" s="4" t="str">
        <v/>
      </c>
    </row>
    <row r="4371" spans="5:9" ht="16.5" hidden="1">
      <c r="E4371" s="4" t="str">
        <v/>
      </c>
      <c r="F4371" s="102" t="str">
        <f ca="1">IFERROR(__xludf.DUMMYFUNCTION("IMPORTRANGE(H4371,""IDENTITAS UNIT!D9"")"),"#N/A")</f>
        <v>#N/A</v>
      </c>
      <c r="H4371" s="4" t="str">
        <v/>
      </c>
      <c r="I4371" s="4" t="str">
        <v/>
      </c>
    </row>
    <row r="4372" spans="5:9" ht="16.5" hidden="1">
      <c r="E4372" s="4" t="str">
        <v/>
      </c>
      <c r="F4372" s="102" t="str">
        <f ca="1">IFERROR(__xludf.DUMMYFUNCTION("IMPORTRANGE(H4372,""IDENTITAS UNIT!D9"")"),"#N/A")</f>
        <v>#N/A</v>
      </c>
      <c r="H4372" s="4" t="str">
        <v/>
      </c>
      <c r="I4372" s="4" t="str">
        <v/>
      </c>
    </row>
    <row r="4373" spans="5:9" ht="16.5" hidden="1">
      <c r="E4373" s="4" t="str">
        <v/>
      </c>
      <c r="F4373" s="102" t="str">
        <f ca="1">IFERROR(__xludf.DUMMYFUNCTION("IMPORTRANGE(H4373,""IDENTITAS UNIT!D9"")"),"#N/A")</f>
        <v>#N/A</v>
      </c>
      <c r="H4373" s="4" t="str">
        <v/>
      </c>
      <c r="I4373" s="4" t="str">
        <v/>
      </c>
    </row>
    <row r="4374" spans="5:9" ht="16.5" hidden="1">
      <c r="E4374" s="4" t="str">
        <v/>
      </c>
      <c r="F4374" s="102" t="str">
        <f ca="1">IFERROR(__xludf.DUMMYFUNCTION("IMPORTRANGE(H4374,""IDENTITAS UNIT!D9"")"),"#N/A")</f>
        <v>#N/A</v>
      </c>
      <c r="H4374" s="4" t="str">
        <v/>
      </c>
      <c r="I4374" s="4" t="str">
        <v/>
      </c>
    </row>
    <row r="4375" spans="5:9" ht="16.5" hidden="1">
      <c r="E4375" s="4" t="str">
        <v/>
      </c>
      <c r="F4375" s="102" t="str">
        <f ca="1">IFERROR(__xludf.DUMMYFUNCTION("IMPORTRANGE(H4375,""IDENTITAS UNIT!D9"")"),"#N/A")</f>
        <v>#N/A</v>
      </c>
      <c r="H4375" s="4" t="str">
        <v/>
      </c>
      <c r="I4375" s="4" t="str">
        <v/>
      </c>
    </row>
    <row r="4376" spans="5:9" ht="16.5" hidden="1">
      <c r="E4376" s="4" t="str">
        <v/>
      </c>
      <c r="F4376" s="102" t="str">
        <f ca="1">IFERROR(__xludf.DUMMYFUNCTION("IMPORTRANGE(H4376,""IDENTITAS UNIT!D9"")"),"#N/A")</f>
        <v>#N/A</v>
      </c>
      <c r="H4376" s="4" t="str">
        <v/>
      </c>
      <c r="I4376" s="4" t="str">
        <v/>
      </c>
    </row>
    <row r="4377" spans="5:9" ht="16.5" hidden="1">
      <c r="E4377" s="4" t="str">
        <v/>
      </c>
      <c r="F4377" s="102" t="str">
        <f ca="1">IFERROR(__xludf.DUMMYFUNCTION("IMPORTRANGE(H4377,""IDENTITAS UNIT!D9"")"),"#N/A")</f>
        <v>#N/A</v>
      </c>
      <c r="H4377" s="4" t="str">
        <v/>
      </c>
      <c r="I4377" s="4" t="str">
        <v/>
      </c>
    </row>
    <row r="4378" spans="5:9" ht="16.5" hidden="1">
      <c r="E4378" s="4" t="str">
        <v/>
      </c>
      <c r="F4378" s="102" t="str">
        <f ca="1">IFERROR(__xludf.DUMMYFUNCTION("IMPORTRANGE(H4378,""IDENTITAS UNIT!D9"")"),"#N/A")</f>
        <v>#N/A</v>
      </c>
      <c r="H4378" s="4" t="str">
        <v/>
      </c>
      <c r="I4378" s="4" t="str">
        <v/>
      </c>
    </row>
    <row r="4379" spans="5:9" ht="16.5" hidden="1">
      <c r="E4379" s="4" t="str">
        <v/>
      </c>
      <c r="F4379" s="102" t="str">
        <f ca="1">IFERROR(__xludf.DUMMYFUNCTION("IMPORTRANGE(H4379,""IDENTITAS UNIT!D9"")"),"#N/A")</f>
        <v>#N/A</v>
      </c>
      <c r="H4379" s="4" t="str">
        <v/>
      </c>
      <c r="I4379" s="4" t="str">
        <v/>
      </c>
    </row>
    <row r="4380" spans="5:9" ht="16.5" hidden="1">
      <c r="E4380" s="4" t="str">
        <v/>
      </c>
      <c r="F4380" s="102" t="str">
        <f ca="1">IFERROR(__xludf.DUMMYFUNCTION("IMPORTRANGE(H4380,""IDENTITAS UNIT!D9"")"),"#N/A")</f>
        <v>#N/A</v>
      </c>
      <c r="H4380" s="4" t="str">
        <v/>
      </c>
      <c r="I4380" s="4" t="str">
        <v/>
      </c>
    </row>
    <row r="4381" spans="5:9" ht="16.5" hidden="1">
      <c r="E4381" s="4" t="str">
        <v/>
      </c>
      <c r="F4381" s="102" t="str">
        <f ca="1">IFERROR(__xludf.DUMMYFUNCTION("IMPORTRANGE(H4381,""IDENTITAS UNIT!D9"")"),"#N/A")</f>
        <v>#N/A</v>
      </c>
      <c r="H4381" s="4" t="str">
        <v/>
      </c>
      <c r="I4381" s="4" t="str">
        <v/>
      </c>
    </row>
    <row r="4382" spans="5:9" ht="16.5" hidden="1">
      <c r="E4382" s="4" t="str">
        <v/>
      </c>
      <c r="F4382" s="102" t="str">
        <f ca="1">IFERROR(__xludf.DUMMYFUNCTION("IMPORTRANGE(H4382,""IDENTITAS UNIT!D9"")"),"#N/A")</f>
        <v>#N/A</v>
      </c>
      <c r="H4382" s="4" t="str">
        <v/>
      </c>
      <c r="I4382" s="4" t="str">
        <v/>
      </c>
    </row>
    <row r="4383" spans="5:9" ht="16.5" hidden="1">
      <c r="E4383" s="4" t="str">
        <v/>
      </c>
      <c r="F4383" s="102" t="str">
        <f ca="1">IFERROR(__xludf.DUMMYFUNCTION("IMPORTRANGE(H4383,""IDENTITAS UNIT!D9"")"),"#N/A")</f>
        <v>#N/A</v>
      </c>
      <c r="H4383" s="4" t="str">
        <v/>
      </c>
      <c r="I4383" s="4" t="str">
        <v/>
      </c>
    </row>
    <row r="4384" spans="5:9" ht="16.5" hidden="1">
      <c r="E4384" s="4" t="str">
        <v/>
      </c>
      <c r="F4384" s="102" t="str">
        <f ca="1">IFERROR(__xludf.DUMMYFUNCTION("IMPORTRANGE(H4384,""IDENTITAS UNIT!D9"")"),"#N/A")</f>
        <v>#N/A</v>
      </c>
      <c r="H4384" s="4" t="str">
        <v/>
      </c>
      <c r="I4384" s="4" t="str">
        <v/>
      </c>
    </row>
    <row r="4385" spans="5:9" ht="16.5" hidden="1">
      <c r="E4385" s="4" t="str">
        <v/>
      </c>
      <c r="F4385" s="102" t="str">
        <f ca="1">IFERROR(__xludf.DUMMYFUNCTION("IMPORTRANGE(H4385,""IDENTITAS UNIT!D9"")"),"#N/A")</f>
        <v>#N/A</v>
      </c>
      <c r="H4385" s="4" t="str">
        <v/>
      </c>
      <c r="I4385" s="4" t="str">
        <v/>
      </c>
    </row>
    <row r="4386" spans="5:9" ht="16.5" hidden="1">
      <c r="E4386" s="4" t="str">
        <v/>
      </c>
      <c r="F4386" s="102" t="str">
        <f ca="1">IFERROR(__xludf.DUMMYFUNCTION("IMPORTRANGE(H4386,""IDENTITAS UNIT!D9"")"),"#N/A")</f>
        <v>#N/A</v>
      </c>
      <c r="H4386" s="4" t="str">
        <v/>
      </c>
      <c r="I4386" s="4" t="str">
        <v/>
      </c>
    </row>
    <row r="4387" spans="5:9" ht="16.5" hidden="1">
      <c r="E4387" s="4" t="str">
        <v/>
      </c>
      <c r="F4387" s="102" t="str">
        <f ca="1">IFERROR(__xludf.DUMMYFUNCTION("IMPORTRANGE(H4387,""IDENTITAS UNIT!D9"")"),"#N/A")</f>
        <v>#N/A</v>
      </c>
      <c r="H4387" s="4" t="str">
        <v/>
      </c>
      <c r="I4387" s="4" t="str">
        <v/>
      </c>
    </row>
    <row r="4388" spans="5:9" ht="16.5" hidden="1">
      <c r="E4388" s="4" t="str">
        <v/>
      </c>
      <c r="F4388" s="102" t="str">
        <f ca="1">IFERROR(__xludf.DUMMYFUNCTION("IMPORTRANGE(H4388,""IDENTITAS UNIT!D9"")"),"#N/A")</f>
        <v>#N/A</v>
      </c>
      <c r="H4388" s="4" t="str">
        <v/>
      </c>
      <c r="I4388" s="4" t="str">
        <v/>
      </c>
    </row>
    <row r="4389" spans="5:9" ht="16.5" hidden="1">
      <c r="E4389" s="4" t="str">
        <v/>
      </c>
      <c r="F4389" s="102" t="str">
        <f ca="1">IFERROR(__xludf.DUMMYFUNCTION("IMPORTRANGE(H4389,""IDENTITAS UNIT!D9"")"),"#N/A")</f>
        <v>#N/A</v>
      </c>
      <c r="H4389" s="4" t="str">
        <v/>
      </c>
      <c r="I4389" s="4" t="str">
        <v/>
      </c>
    </row>
    <row r="4390" spans="5:9" ht="16.5" hidden="1">
      <c r="E4390" s="4" t="str">
        <v/>
      </c>
      <c r="F4390" s="102" t="str">
        <f ca="1">IFERROR(__xludf.DUMMYFUNCTION("IMPORTRANGE(H4390,""IDENTITAS UNIT!D9"")"),"#N/A")</f>
        <v>#N/A</v>
      </c>
      <c r="H4390" s="4" t="str">
        <v/>
      </c>
      <c r="I4390" s="4" t="str">
        <v/>
      </c>
    </row>
    <row r="4391" spans="5:9" ht="16.5" hidden="1">
      <c r="E4391" s="4" t="str">
        <v/>
      </c>
      <c r="F4391" s="102" t="str">
        <f ca="1">IFERROR(__xludf.DUMMYFUNCTION("IMPORTRANGE(H4391,""IDENTITAS UNIT!D9"")"),"#N/A")</f>
        <v>#N/A</v>
      </c>
      <c r="H4391" s="4" t="str">
        <v/>
      </c>
      <c r="I4391" s="4" t="str">
        <v/>
      </c>
    </row>
    <row r="4392" spans="5:9" ht="16.5" hidden="1">
      <c r="E4392" s="4" t="str">
        <v/>
      </c>
      <c r="F4392" s="102" t="str">
        <f ca="1">IFERROR(__xludf.DUMMYFUNCTION("IMPORTRANGE(H4392,""IDENTITAS UNIT!D9"")"),"#N/A")</f>
        <v>#N/A</v>
      </c>
      <c r="H4392" s="4" t="str">
        <v/>
      </c>
      <c r="I4392" s="4" t="str">
        <v/>
      </c>
    </row>
    <row r="4393" spans="5:9" ht="16.5" hidden="1">
      <c r="E4393" s="4" t="str">
        <v/>
      </c>
      <c r="F4393" s="102" t="str">
        <f ca="1">IFERROR(__xludf.DUMMYFUNCTION("IMPORTRANGE(H4393,""IDENTITAS UNIT!D9"")"),"#N/A")</f>
        <v>#N/A</v>
      </c>
      <c r="H4393" s="4" t="str">
        <v/>
      </c>
      <c r="I4393" s="4" t="str">
        <v/>
      </c>
    </row>
    <row r="4394" spans="5:9" ht="16.5" hidden="1">
      <c r="E4394" s="4" t="str">
        <v/>
      </c>
      <c r="F4394" s="102" t="str">
        <f ca="1">IFERROR(__xludf.DUMMYFUNCTION("IMPORTRANGE(H4394,""IDENTITAS UNIT!D9"")"),"#N/A")</f>
        <v>#N/A</v>
      </c>
      <c r="H4394" s="4" t="str">
        <v/>
      </c>
      <c r="I4394" s="4" t="str">
        <v/>
      </c>
    </row>
    <row r="4395" spans="5:9" ht="16.5" hidden="1">
      <c r="E4395" s="4" t="str">
        <v/>
      </c>
      <c r="F4395" s="102" t="str">
        <f ca="1">IFERROR(__xludf.DUMMYFUNCTION("IMPORTRANGE(H4395,""IDENTITAS UNIT!D9"")"),"#N/A")</f>
        <v>#N/A</v>
      </c>
      <c r="H4395" s="4" t="str">
        <v/>
      </c>
      <c r="I4395" s="4" t="str">
        <v/>
      </c>
    </row>
    <row r="4396" spans="5:9" ht="16.5" hidden="1">
      <c r="E4396" s="4" t="str">
        <v/>
      </c>
      <c r="F4396" s="102" t="str">
        <f ca="1">IFERROR(__xludf.DUMMYFUNCTION("IMPORTRANGE(H4396,""IDENTITAS UNIT!D9"")"),"#N/A")</f>
        <v>#N/A</v>
      </c>
      <c r="H4396" s="4" t="str">
        <v/>
      </c>
      <c r="I4396" s="4" t="str">
        <v/>
      </c>
    </row>
    <row r="4397" spans="5:9" ht="16.5" hidden="1">
      <c r="E4397" s="4" t="str">
        <v/>
      </c>
      <c r="F4397" s="102" t="str">
        <f ca="1">IFERROR(__xludf.DUMMYFUNCTION("IMPORTRANGE(H4397,""IDENTITAS UNIT!D9"")"),"#N/A")</f>
        <v>#N/A</v>
      </c>
      <c r="H4397" s="4" t="str">
        <v/>
      </c>
      <c r="I4397" s="4" t="str">
        <v/>
      </c>
    </row>
    <row r="4398" spans="5:9" ht="16.5" hidden="1">
      <c r="E4398" s="4" t="str">
        <v/>
      </c>
      <c r="F4398" s="102" t="str">
        <f ca="1">IFERROR(__xludf.DUMMYFUNCTION("IMPORTRANGE(H4398,""IDENTITAS UNIT!D9"")"),"#N/A")</f>
        <v>#N/A</v>
      </c>
      <c r="H4398" s="4" t="str">
        <v/>
      </c>
      <c r="I4398" s="4" t="str">
        <v/>
      </c>
    </row>
    <row r="4399" spans="5:9" ht="16.5" hidden="1">
      <c r="E4399" s="4" t="str">
        <v/>
      </c>
      <c r="F4399" s="102" t="str">
        <f ca="1">IFERROR(__xludf.DUMMYFUNCTION("IMPORTRANGE(H4399,""IDENTITAS UNIT!D9"")"),"#N/A")</f>
        <v>#N/A</v>
      </c>
      <c r="H4399" s="4" t="str">
        <v/>
      </c>
      <c r="I4399" s="4" t="str">
        <v/>
      </c>
    </row>
    <row r="4400" spans="5:9" ht="16.5" hidden="1">
      <c r="E4400" s="4" t="str">
        <v/>
      </c>
      <c r="F4400" s="102" t="str">
        <f ca="1">IFERROR(__xludf.DUMMYFUNCTION("IMPORTRANGE(H4400,""IDENTITAS UNIT!D9"")"),"#N/A")</f>
        <v>#N/A</v>
      </c>
      <c r="H4400" s="4" t="str">
        <v/>
      </c>
      <c r="I4400" s="4" t="str">
        <v/>
      </c>
    </row>
    <row r="4401" spans="5:9" ht="16.5" hidden="1">
      <c r="E4401" s="4" t="str">
        <v/>
      </c>
      <c r="F4401" s="102" t="str">
        <f ca="1">IFERROR(__xludf.DUMMYFUNCTION("IMPORTRANGE(H4401,""IDENTITAS UNIT!D9"")"),"#N/A")</f>
        <v>#N/A</v>
      </c>
      <c r="H4401" s="4" t="str">
        <v/>
      </c>
      <c r="I4401" s="4" t="str">
        <v/>
      </c>
    </row>
    <row r="4402" spans="5:9" ht="16.5" hidden="1">
      <c r="E4402" s="4" t="str">
        <v/>
      </c>
      <c r="F4402" s="102" t="str">
        <f ca="1">IFERROR(__xludf.DUMMYFUNCTION("IMPORTRANGE(H4402,""IDENTITAS UNIT!D9"")"),"#N/A")</f>
        <v>#N/A</v>
      </c>
      <c r="H4402" s="4" t="str">
        <v/>
      </c>
      <c r="I4402" s="4" t="str">
        <v/>
      </c>
    </row>
    <row r="4403" spans="5:9" ht="16.5" hidden="1">
      <c r="E4403" s="4" t="str">
        <v/>
      </c>
      <c r="F4403" s="102" t="str">
        <f ca="1">IFERROR(__xludf.DUMMYFUNCTION("IMPORTRANGE(H4403,""IDENTITAS UNIT!D9"")"),"#N/A")</f>
        <v>#N/A</v>
      </c>
      <c r="H4403" s="4" t="str">
        <v/>
      </c>
      <c r="I4403" s="4" t="str">
        <v/>
      </c>
    </row>
    <row r="4404" spans="5:9" ht="16.5" hidden="1">
      <c r="E4404" s="4" t="str">
        <v/>
      </c>
      <c r="F4404" s="102" t="str">
        <f ca="1">IFERROR(__xludf.DUMMYFUNCTION("IMPORTRANGE(H4404,""IDENTITAS UNIT!D9"")"),"#N/A")</f>
        <v>#N/A</v>
      </c>
      <c r="H4404" s="4" t="str">
        <v/>
      </c>
      <c r="I4404" s="4" t="str">
        <v/>
      </c>
    </row>
    <row r="4405" spans="5:9" ht="16.5" hidden="1">
      <c r="E4405" s="4" t="str">
        <v/>
      </c>
      <c r="F4405" s="102" t="str">
        <f ca="1">IFERROR(__xludf.DUMMYFUNCTION("IMPORTRANGE(H4405,""IDENTITAS UNIT!D9"")"),"#N/A")</f>
        <v>#N/A</v>
      </c>
      <c r="H4405" s="4" t="str">
        <v/>
      </c>
      <c r="I4405" s="4" t="str">
        <v/>
      </c>
    </row>
    <row r="4406" spans="5:9" ht="16.5" hidden="1">
      <c r="E4406" s="4" t="str">
        <v/>
      </c>
      <c r="F4406" s="102" t="str">
        <f ca="1">IFERROR(__xludf.DUMMYFUNCTION("IMPORTRANGE(H4406,""IDENTITAS UNIT!D9"")"),"#N/A")</f>
        <v>#N/A</v>
      </c>
      <c r="H4406" s="4" t="str">
        <v/>
      </c>
      <c r="I4406" s="4" t="str">
        <v/>
      </c>
    </row>
    <row r="4407" spans="5:9" ht="16.5" hidden="1">
      <c r="E4407" s="4" t="str">
        <v/>
      </c>
      <c r="F4407" s="102" t="str">
        <f ca="1">IFERROR(__xludf.DUMMYFUNCTION("IMPORTRANGE(H4407,""IDENTITAS UNIT!D9"")"),"#N/A")</f>
        <v>#N/A</v>
      </c>
      <c r="H4407" s="4" t="str">
        <v/>
      </c>
      <c r="I4407" s="4" t="str">
        <v/>
      </c>
    </row>
    <row r="4408" spans="5:9" ht="16.5" hidden="1">
      <c r="E4408" s="4" t="str">
        <v/>
      </c>
      <c r="F4408" s="102" t="str">
        <f ca="1">IFERROR(__xludf.DUMMYFUNCTION("IMPORTRANGE(H4408,""IDENTITAS UNIT!D9"")"),"#N/A")</f>
        <v>#N/A</v>
      </c>
      <c r="H4408" s="4" t="str">
        <v/>
      </c>
      <c r="I4408" s="4" t="str">
        <v/>
      </c>
    </row>
    <row r="4409" spans="5:9" ht="16.5" hidden="1">
      <c r="E4409" s="4" t="str">
        <v/>
      </c>
      <c r="F4409" s="102" t="str">
        <f ca="1">IFERROR(__xludf.DUMMYFUNCTION("IMPORTRANGE(H4409,""IDENTITAS UNIT!D9"")"),"#N/A")</f>
        <v>#N/A</v>
      </c>
      <c r="H4409" s="4" t="str">
        <v/>
      </c>
      <c r="I4409" s="4" t="str">
        <v/>
      </c>
    </row>
    <row r="4410" spans="5:9" ht="16.5" hidden="1">
      <c r="E4410" s="4" t="str">
        <v/>
      </c>
      <c r="F4410" s="102" t="str">
        <f ca="1">IFERROR(__xludf.DUMMYFUNCTION("IMPORTRANGE(H4410,""IDENTITAS UNIT!D9"")"),"#N/A")</f>
        <v>#N/A</v>
      </c>
      <c r="H4410" s="4" t="str">
        <v/>
      </c>
      <c r="I4410" s="4" t="str">
        <v/>
      </c>
    </row>
    <row r="4411" spans="5:9" ht="16.5" hidden="1">
      <c r="E4411" s="4" t="str">
        <v/>
      </c>
      <c r="F4411" s="102" t="str">
        <f ca="1">IFERROR(__xludf.DUMMYFUNCTION("IMPORTRANGE(H4411,""IDENTITAS UNIT!D9"")"),"#N/A")</f>
        <v>#N/A</v>
      </c>
      <c r="H4411" s="4" t="str">
        <v/>
      </c>
      <c r="I4411" s="4" t="str">
        <v/>
      </c>
    </row>
    <row r="4412" spans="5:9" ht="16.5" hidden="1">
      <c r="E4412" s="4" t="str">
        <v/>
      </c>
      <c r="F4412" s="102" t="str">
        <f ca="1">IFERROR(__xludf.DUMMYFUNCTION("IMPORTRANGE(H4412,""IDENTITAS UNIT!D9"")"),"#N/A")</f>
        <v>#N/A</v>
      </c>
      <c r="H4412" s="4" t="str">
        <v/>
      </c>
      <c r="I4412" s="4" t="str">
        <v/>
      </c>
    </row>
    <row r="4413" spans="5:9" ht="16.5" hidden="1">
      <c r="E4413" s="4" t="str">
        <v/>
      </c>
      <c r="F4413" s="102" t="str">
        <f ca="1">IFERROR(__xludf.DUMMYFUNCTION("IMPORTRANGE(H4413,""IDENTITAS UNIT!D9"")"),"#N/A")</f>
        <v>#N/A</v>
      </c>
      <c r="H4413" s="4" t="str">
        <v/>
      </c>
      <c r="I4413" s="4" t="str">
        <v/>
      </c>
    </row>
    <row r="4414" spans="5:9" ht="16.5" hidden="1">
      <c r="E4414" s="4" t="str">
        <v/>
      </c>
      <c r="F4414" s="102" t="str">
        <f ca="1">IFERROR(__xludf.DUMMYFUNCTION("IMPORTRANGE(H4414,""IDENTITAS UNIT!D9"")"),"#N/A")</f>
        <v>#N/A</v>
      </c>
      <c r="H4414" s="4" t="str">
        <v/>
      </c>
      <c r="I4414" s="4" t="str">
        <v/>
      </c>
    </row>
    <row r="4415" spans="5:9" ht="16.5" hidden="1">
      <c r="E4415" s="4" t="str">
        <v/>
      </c>
      <c r="F4415" s="102" t="str">
        <f ca="1">IFERROR(__xludf.DUMMYFUNCTION("IMPORTRANGE(H4415,""IDENTITAS UNIT!D9"")"),"#N/A")</f>
        <v>#N/A</v>
      </c>
      <c r="H4415" s="4" t="str">
        <v/>
      </c>
      <c r="I4415" s="4" t="str">
        <v/>
      </c>
    </row>
    <row r="4416" spans="5:9" ht="16.5" hidden="1">
      <c r="E4416" s="4" t="str">
        <v/>
      </c>
      <c r="F4416" s="102" t="str">
        <f ca="1">IFERROR(__xludf.DUMMYFUNCTION("IMPORTRANGE(H4416,""IDENTITAS UNIT!D9"")"),"#N/A")</f>
        <v>#N/A</v>
      </c>
      <c r="H4416" s="4" t="str">
        <v/>
      </c>
      <c r="I4416" s="4" t="str">
        <v/>
      </c>
    </row>
    <row r="4417" spans="5:9" ht="16.5" hidden="1">
      <c r="E4417" s="4" t="str">
        <v/>
      </c>
      <c r="F4417" s="102" t="str">
        <f ca="1">IFERROR(__xludf.DUMMYFUNCTION("IMPORTRANGE(H4417,""IDENTITAS UNIT!D9"")"),"#N/A")</f>
        <v>#N/A</v>
      </c>
      <c r="H4417" s="4" t="str">
        <v/>
      </c>
      <c r="I4417" s="4" t="str">
        <v/>
      </c>
    </row>
    <row r="4418" spans="5:9" ht="16.5" hidden="1">
      <c r="E4418" s="4" t="str">
        <v/>
      </c>
      <c r="F4418" s="102" t="str">
        <f ca="1">IFERROR(__xludf.DUMMYFUNCTION("IMPORTRANGE(H4418,""IDENTITAS UNIT!D9"")"),"#N/A")</f>
        <v>#N/A</v>
      </c>
      <c r="H4418" s="4" t="str">
        <v/>
      </c>
      <c r="I4418" s="4" t="str">
        <v/>
      </c>
    </row>
    <row r="4419" spans="5:9" ht="16.5" hidden="1">
      <c r="E4419" s="4" t="str">
        <v/>
      </c>
      <c r="F4419" s="102" t="str">
        <f ca="1">IFERROR(__xludf.DUMMYFUNCTION("IMPORTRANGE(H4419,""IDENTITAS UNIT!D9"")"),"#N/A")</f>
        <v>#N/A</v>
      </c>
      <c r="H4419" s="4" t="str">
        <v/>
      </c>
      <c r="I4419" s="4" t="str">
        <v/>
      </c>
    </row>
    <row r="4420" spans="5:9" ht="16.5" hidden="1">
      <c r="E4420" s="4" t="str">
        <v/>
      </c>
      <c r="F4420" s="102" t="str">
        <f ca="1">IFERROR(__xludf.DUMMYFUNCTION("IMPORTRANGE(H4420,""IDENTITAS UNIT!D9"")"),"#N/A")</f>
        <v>#N/A</v>
      </c>
      <c r="H4420" s="4" t="str">
        <v/>
      </c>
      <c r="I4420" s="4" t="str">
        <v/>
      </c>
    </row>
    <row r="4421" spans="5:9" ht="16.5" hidden="1">
      <c r="E4421" s="4" t="str">
        <v/>
      </c>
      <c r="F4421" s="102" t="str">
        <f ca="1">IFERROR(__xludf.DUMMYFUNCTION("IMPORTRANGE(H4421,""IDENTITAS UNIT!D9"")"),"#N/A")</f>
        <v>#N/A</v>
      </c>
      <c r="H4421" s="4" t="str">
        <v/>
      </c>
      <c r="I4421" s="4" t="str">
        <v/>
      </c>
    </row>
    <row r="4422" spans="5:9" ht="16.5" hidden="1">
      <c r="E4422" s="4" t="str">
        <v/>
      </c>
      <c r="F4422" s="102" t="str">
        <f ca="1">IFERROR(__xludf.DUMMYFUNCTION("IMPORTRANGE(H4422,""IDENTITAS UNIT!D9"")"),"#N/A")</f>
        <v>#N/A</v>
      </c>
      <c r="H4422" s="4" t="str">
        <v/>
      </c>
      <c r="I4422" s="4" t="str">
        <v/>
      </c>
    </row>
    <row r="4423" spans="5:9" ht="16.5" hidden="1">
      <c r="E4423" s="4" t="str">
        <v/>
      </c>
      <c r="F4423" s="102" t="str">
        <f ca="1">IFERROR(__xludf.DUMMYFUNCTION("IMPORTRANGE(H4423,""IDENTITAS UNIT!D9"")"),"#N/A")</f>
        <v>#N/A</v>
      </c>
      <c r="H4423" s="4" t="str">
        <v/>
      </c>
      <c r="I4423" s="4" t="str">
        <v/>
      </c>
    </row>
    <row r="4424" spans="5:9" ht="16.5" hidden="1">
      <c r="E4424" s="4" t="str">
        <v/>
      </c>
      <c r="F4424" s="102" t="str">
        <f ca="1">IFERROR(__xludf.DUMMYFUNCTION("IMPORTRANGE(H4424,""IDENTITAS UNIT!D9"")"),"#N/A")</f>
        <v>#N/A</v>
      </c>
      <c r="H4424" s="4" t="str">
        <v/>
      </c>
      <c r="I4424" s="4" t="str">
        <v/>
      </c>
    </row>
    <row r="4425" spans="5:9" ht="16.5" hidden="1">
      <c r="E4425" s="4" t="str">
        <v/>
      </c>
      <c r="F4425" s="102" t="str">
        <f ca="1">IFERROR(__xludf.DUMMYFUNCTION("IMPORTRANGE(H4425,""IDENTITAS UNIT!D9"")"),"#N/A")</f>
        <v>#N/A</v>
      </c>
      <c r="H4425" s="4" t="str">
        <v/>
      </c>
      <c r="I4425" s="4" t="str">
        <v/>
      </c>
    </row>
    <row r="4426" spans="5:9" ht="16.5" hidden="1">
      <c r="E4426" s="4" t="str">
        <v/>
      </c>
      <c r="F4426" s="102" t="str">
        <f ca="1">IFERROR(__xludf.DUMMYFUNCTION("IMPORTRANGE(H4426,""IDENTITAS UNIT!D9"")"),"#N/A")</f>
        <v>#N/A</v>
      </c>
      <c r="H4426" s="4" t="str">
        <v/>
      </c>
      <c r="I4426" s="4" t="str">
        <v/>
      </c>
    </row>
    <row r="4427" spans="5:9" ht="16.5" hidden="1">
      <c r="E4427" s="4" t="str">
        <v/>
      </c>
      <c r="F4427" s="102" t="str">
        <f ca="1">IFERROR(__xludf.DUMMYFUNCTION("IMPORTRANGE(H4427,""IDENTITAS UNIT!D9"")"),"#N/A")</f>
        <v>#N/A</v>
      </c>
      <c r="H4427" s="4" t="str">
        <v/>
      </c>
      <c r="I4427" s="4" t="str">
        <v/>
      </c>
    </row>
    <row r="4428" spans="5:9" ht="16.5" hidden="1">
      <c r="E4428" s="4" t="str">
        <v/>
      </c>
      <c r="F4428" s="102" t="str">
        <f ca="1">IFERROR(__xludf.DUMMYFUNCTION("IMPORTRANGE(H4428,""IDENTITAS UNIT!D9"")"),"#N/A")</f>
        <v>#N/A</v>
      </c>
      <c r="H4428" s="4" t="str">
        <v/>
      </c>
      <c r="I4428" s="4" t="str">
        <v/>
      </c>
    </row>
    <row r="4429" spans="5:9" ht="16.5" hidden="1">
      <c r="E4429" s="4" t="str">
        <v/>
      </c>
      <c r="F4429" s="102" t="str">
        <f ca="1">IFERROR(__xludf.DUMMYFUNCTION("IMPORTRANGE(H4429,""IDENTITAS UNIT!D9"")"),"#N/A")</f>
        <v>#N/A</v>
      </c>
      <c r="H4429" s="4" t="str">
        <v/>
      </c>
      <c r="I4429" s="4" t="str">
        <v/>
      </c>
    </row>
    <row r="4430" spans="5:9" ht="16.5" hidden="1">
      <c r="E4430" s="4" t="str">
        <v/>
      </c>
      <c r="F4430" s="102" t="str">
        <f ca="1">IFERROR(__xludf.DUMMYFUNCTION("IMPORTRANGE(H4430,""IDENTITAS UNIT!D9"")"),"#N/A")</f>
        <v>#N/A</v>
      </c>
      <c r="H4430" s="4" t="str">
        <v/>
      </c>
      <c r="I4430" s="4" t="str">
        <v/>
      </c>
    </row>
    <row r="4431" spans="5:9" ht="16.5" hidden="1">
      <c r="E4431" s="4" t="str">
        <v/>
      </c>
      <c r="F4431" s="102" t="str">
        <f ca="1">IFERROR(__xludf.DUMMYFUNCTION("IMPORTRANGE(H4431,""IDENTITAS UNIT!D9"")"),"#N/A")</f>
        <v>#N/A</v>
      </c>
      <c r="H4431" s="4" t="str">
        <v/>
      </c>
      <c r="I4431" s="4" t="str">
        <v/>
      </c>
    </row>
    <row r="4432" spans="5:9" ht="16.5" hidden="1">
      <c r="E4432" s="4" t="str">
        <v/>
      </c>
      <c r="F4432" s="102" t="str">
        <f ca="1">IFERROR(__xludf.DUMMYFUNCTION("IMPORTRANGE(H4432,""IDENTITAS UNIT!D9"")"),"#N/A")</f>
        <v>#N/A</v>
      </c>
      <c r="H4432" s="4" t="str">
        <v/>
      </c>
      <c r="I4432" s="4" t="str">
        <v/>
      </c>
    </row>
    <row r="4433" spans="5:9" ht="16.5" hidden="1">
      <c r="E4433" s="4" t="str">
        <v/>
      </c>
      <c r="F4433" s="102" t="str">
        <f ca="1">IFERROR(__xludf.DUMMYFUNCTION("IMPORTRANGE(H4433,""IDENTITAS UNIT!D9"")"),"#N/A")</f>
        <v>#N/A</v>
      </c>
      <c r="H4433" s="4" t="str">
        <v/>
      </c>
      <c r="I4433" s="4" t="str">
        <v/>
      </c>
    </row>
    <row r="4434" spans="5:9" ht="16.5" hidden="1">
      <c r="E4434" s="4" t="str">
        <v/>
      </c>
      <c r="F4434" s="102" t="str">
        <f ca="1">IFERROR(__xludf.DUMMYFUNCTION("IMPORTRANGE(H4434,""IDENTITAS UNIT!D9"")"),"#N/A")</f>
        <v>#N/A</v>
      </c>
      <c r="H4434" s="4" t="str">
        <v/>
      </c>
      <c r="I4434" s="4" t="str">
        <v/>
      </c>
    </row>
    <row r="4435" spans="5:9" ht="16.5" hidden="1">
      <c r="E4435" s="4" t="str">
        <v/>
      </c>
      <c r="F4435" s="102" t="str">
        <f ca="1">IFERROR(__xludf.DUMMYFUNCTION("IMPORTRANGE(H4435,""IDENTITAS UNIT!D9"")"),"#N/A")</f>
        <v>#N/A</v>
      </c>
      <c r="H4435" s="4" t="str">
        <v/>
      </c>
      <c r="I4435" s="4" t="str">
        <v/>
      </c>
    </row>
    <row r="4436" spans="5:9" ht="16.5" hidden="1">
      <c r="E4436" s="4" t="str">
        <v/>
      </c>
      <c r="F4436" s="102" t="str">
        <f ca="1">IFERROR(__xludf.DUMMYFUNCTION("IMPORTRANGE(H4436,""IDENTITAS UNIT!D9"")"),"#N/A")</f>
        <v>#N/A</v>
      </c>
      <c r="H4436" s="4" t="str">
        <v/>
      </c>
      <c r="I4436" s="4" t="str">
        <v/>
      </c>
    </row>
    <row r="4437" spans="5:9" ht="16.5" hidden="1">
      <c r="E4437" s="4" t="str">
        <v/>
      </c>
      <c r="F4437" s="102" t="str">
        <f ca="1">IFERROR(__xludf.DUMMYFUNCTION("IMPORTRANGE(H4437,""IDENTITAS UNIT!D9"")"),"#N/A")</f>
        <v>#N/A</v>
      </c>
      <c r="H4437" s="4" t="str">
        <v/>
      </c>
      <c r="I4437" s="4" t="str">
        <v/>
      </c>
    </row>
    <row r="4438" spans="5:9" ht="16.5" hidden="1">
      <c r="E4438" s="4" t="str">
        <v/>
      </c>
      <c r="F4438" s="102" t="str">
        <f ca="1">IFERROR(__xludf.DUMMYFUNCTION("IMPORTRANGE(H4438,""IDENTITAS UNIT!D9"")"),"#N/A")</f>
        <v>#N/A</v>
      </c>
      <c r="H4438" s="4" t="str">
        <v/>
      </c>
      <c r="I4438" s="4" t="str">
        <v/>
      </c>
    </row>
    <row r="4439" spans="5:9" ht="16.5" hidden="1">
      <c r="E4439" s="4" t="str">
        <v/>
      </c>
      <c r="F4439" s="102" t="str">
        <f ca="1">IFERROR(__xludf.DUMMYFUNCTION("IMPORTRANGE(H4439,""IDENTITAS UNIT!D9"")"),"#N/A")</f>
        <v>#N/A</v>
      </c>
      <c r="H4439" s="4" t="str">
        <v/>
      </c>
      <c r="I4439" s="4" t="str">
        <v/>
      </c>
    </row>
    <row r="4440" spans="5:9" ht="16.5" hidden="1">
      <c r="E4440" s="4" t="str">
        <v/>
      </c>
      <c r="F4440" s="102" t="str">
        <f ca="1">IFERROR(__xludf.DUMMYFUNCTION("IMPORTRANGE(H4440,""IDENTITAS UNIT!D9"")"),"#N/A")</f>
        <v>#N/A</v>
      </c>
      <c r="H4440" s="4" t="str">
        <v/>
      </c>
      <c r="I4440" s="4" t="str">
        <v/>
      </c>
    </row>
    <row r="4441" spans="5:9" ht="16.5" hidden="1">
      <c r="E4441" s="4" t="str">
        <v/>
      </c>
      <c r="F4441" s="102" t="str">
        <f ca="1">IFERROR(__xludf.DUMMYFUNCTION("IMPORTRANGE(H4441,""IDENTITAS UNIT!D9"")"),"#N/A")</f>
        <v>#N/A</v>
      </c>
      <c r="H4441" s="4" t="str">
        <v/>
      </c>
      <c r="I4441" s="4" t="str">
        <v/>
      </c>
    </row>
    <row r="4442" spans="5:9" ht="16.5" hidden="1">
      <c r="E4442" s="4" t="str">
        <v/>
      </c>
      <c r="F4442" s="102" t="str">
        <f ca="1">IFERROR(__xludf.DUMMYFUNCTION("IMPORTRANGE(H4442,""IDENTITAS UNIT!D9"")"),"#N/A")</f>
        <v>#N/A</v>
      </c>
      <c r="H4442" s="4" t="str">
        <v/>
      </c>
      <c r="I4442" s="4" t="str">
        <v/>
      </c>
    </row>
    <row r="4443" spans="5:9" ht="16.5" hidden="1">
      <c r="E4443" s="4" t="str">
        <v/>
      </c>
      <c r="F4443" s="102" t="str">
        <f ca="1">IFERROR(__xludf.DUMMYFUNCTION("IMPORTRANGE(H4443,""IDENTITAS UNIT!D9"")"),"#N/A")</f>
        <v>#N/A</v>
      </c>
      <c r="H4443" s="4" t="str">
        <v/>
      </c>
      <c r="I4443" s="4" t="str">
        <v/>
      </c>
    </row>
    <row r="4444" spans="5:9" ht="16.5" hidden="1">
      <c r="E4444" s="4" t="str">
        <v/>
      </c>
      <c r="F4444" s="102" t="str">
        <f ca="1">IFERROR(__xludf.DUMMYFUNCTION("IMPORTRANGE(H4444,""IDENTITAS UNIT!D9"")"),"#N/A")</f>
        <v>#N/A</v>
      </c>
      <c r="H4444" s="4" t="str">
        <v/>
      </c>
      <c r="I4444" s="4" t="str">
        <v/>
      </c>
    </row>
    <row r="4445" spans="5:9" ht="16.5" hidden="1">
      <c r="E4445" s="4" t="str">
        <v/>
      </c>
      <c r="F4445" s="102" t="str">
        <f ca="1">IFERROR(__xludf.DUMMYFUNCTION("IMPORTRANGE(H4445,""IDENTITAS UNIT!D9"")"),"#N/A")</f>
        <v>#N/A</v>
      </c>
      <c r="H4445" s="4" t="str">
        <v/>
      </c>
      <c r="I4445" s="4" t="str">
        <v/>
      </c>
    </row>
    <row r="4446" spans="5:9" ht="16.5" hidden="1">
      <c r="E4446" s="4" t="str">
        <v/>
      </c>
      <c r="F4446" s="102" t="str">
        <f ca="1">IFERROR(__xludf.DUMMYFUNCTION("IMPORTRANGE(H4446,""IDENTITAS UNIT!D9"")"),"#N/A")</f>
        <v>#N/A</v>
      </c>
      <c r="H4446" s="4" t="str">
        <v/>
      </c>
      <c r="I4446" s="4" t="str">
        <v/>
      </c>
    </row>
    <row r="4447" spans="5:9" ht="16.5" hidden="1">
      <c r="E4447" s="4" t="str">
        <v/>
      </c>
      <c r="F4447" s="102" t="str">
        <f ca="1">IFERROR(__xludf.DUMMYFUNCTION("IMPORTRANGE(H4447,""IDENTITAS UNIT!D9"")"),"#N/A")</f>
        <v>#N/A</v>
      </c>
      <c r="H4447" s="4" t="str">
        <v/>
      </c>
      <c r="I4447" s="4" t="str">
        <v/>
      </c>
    </row>
    <row r="4448" spans="5:9" ht="16.5" hidden="1">
      <c r="E4448" s="4" t="str">
        <v/>
      </c>
      <c r="F4448" s="102" t="str">
        <f ca="1">IFERROR(__xludf.DUMMYFUNCTION("IMPORTRANGE(H4448,""IDENTITAS UNIT!D9"")"),"#N/A")</f>
        <v>#N/A</v>
      </c>
      <c r="H4448" s="4" t="str">
        <v/>
      </c>
      <c r="I4448" s="4" t="str">
        <v/>
      </c>
    </row>
    <row r="4449" spans="5:9" ht="16.5" hidden="1">
      <c r="E4449" s="4" t="str">
        <v/>
      </c>
      <c r="F4449" s="102" t="str">
        <f ca="1">IFERROR(__xludf.DUMMYFUNCTION("IMPORTRANGE(H4449,""IDENTITAS UNIT!D9"")"),"#N/A")</f>
        <v>#N/A</v>
      </c>
      <c r="H4449" s="4" t="str">
        <v/>
      </c>
      <c r="I4449" s="4" t="str">
        <v/>
      </c>
    </row>
    <row r="4450" spans="5:9" ht="16.5" hidden="1">
      <c r="E4450" s="4" t="str">
        <v/>
      </c>
      <c r="F4450" s="102" t="str">
        <f ca="1">IFERROR(__xludf.DUMMYFUNCTION("IMPORTRANGE(H4450,""IDENTITAS UNIT!D9"")"),"#N/A")</f>
        <v>#N/A</v>
      </c>
      <c r="H4450" s="4" t="str">
        <v/>
      </c>
      <c r="I4450" s="4" t="str">
        <v/>
      </c>
    </row>
    <row r="4451" spans="5:9" ht="16.5" hidden="1">
      <c r="E4451" s="4" t="str">
        <v/>
      </c>
      <c r="F4451" s="102" t="str">
        <f ca="1">IFERROR(__xludf.DUMMYFUNCTION("IMPORTRANGE(H4451,""IDENTITAS UNIT!D9"")"),"#N/A")</f>
        <v>#N/A</v>
      </c>
      <c r="H4451" s="4" t="str">
        <v/>
      </c>
      <c r="I4451" s="4" t="str">
        <v/>
      </c>
    </row>
    <row r="4452" spans="5:9" ht="16.5" hidden="1">
      <c r="E4452" s="4" t="str">
        <v/>
      </c>
      <c r="F4452" s="102" t="str">
        <f ca="1">IFERROR(__xludf.DUMMYFUNCTION("IMPORTRANGE(H4452,""IDENTITAS UNIT!D9"")"),"#N/A")</f>
        <v>#N/A</v>
      </c>
      <c r="H4452" s="4" t="str">
        <v/>
      </c>
      <c r="I4452" s="4" t="str">
        <v/>
      </c>
    </row>
    <row r="4453" spans="5:9" ht="16.5" hidden="1">
      <c r="E4453" s="4" t="str">
        <v/>
      </c>
      <c r="F4453" s="102" t="str">
        <f ca="1">IFERROR(__xludf.DUMMYFUNCTION("IMPORTRANGE(H4453,""IDENTITAS UNIT!D9"")"),"#N/A")</f>
        <v>#N/A</v>
      </c>
      <c r="H4453" s="4" t="str">
        <v/>
      </c>
      <c r="I4453" s="4" t="str">
        <v/>
      </c>
    </row>
    <row r="4454" spans="5:9" ht="16.5" hidden="1">
      <c r="E4454" s="4" t="str">
        <v/>
      </c>
      <c r="F4454" s="102" t="str">
        <f ca="1">IFERROR(__xludf.DUMMYFUNCTION("IMPORTRANGE(H4454,""IDENTITAS UNIT!D9"")"),"#N/A")</f>
        <v>#N/A</v>
      </c>
      <c r="H4454" s="4" t="str">
        <v/>
      </c>
      <c r="I4454" s="4" t="str">
        <v/>
      </c>
    </row>
    <row r="4455" spans="5:9" ht="16.5" hidden="1">
      <c r="E4455" s="4" t="str">
        <v/>
      </c>
      <c r="F4455" s="102" t="str">
        <f ca="1">IFERROR(__xludf.DUMMYFUNCTION("IMPORTRANGE(H4455,""IDENTITAS UNIT!D9"")"),"#N/A")</f>
        <v>#N/A</v>
      </c>
      <c r="H4455" s="4" t="str">
        <v/>
      </c>
      <c r="I4455" s="4" t="str">
        <v/>
      </c>
    </row>
    <row r="4456" spans="5:9" ht="16.5" hidden="1">
      <c r="E4456" s="4" t="str">
        <v/>
      </c>
      <c r="F4456" s="102" t="str">
        <f ca="1">IFERROR(__xludf.DUMMYFUNCTION("IMPORTRANGE(H4456,""IDENTITAS UNIT!D9"")"),"#N/A")</f>
        <v>#N/A</v>
      </c>
      <c r="H4456" s="4" t="str">
        <v/>
      </c>
      <c r="I4456" s="4" t="str">
        <v/>
      </c>
    </row>
    <row r="4457" spans="5:9" ht="16.5" hidden="1">
      <c r="E4457" s="4" t="str">
        <v/>
      </c>
      <c r="F4457" s="102" t="str">
        <f ca="1">IFERROR(__xludf.DUMMYFUNCTION("IMPORTRANGE(H4457,""IDENTITAS UNIT!D9"")"),"#N/A")</f>
        <v>#N/A</v>
      </c>
      <c r="H4457" s="4" t="str">
        <v/>
      </c>
      <c r="I4457" s="4" t="str">
        <v/>
      </c>
    </row>
    <row r="4458" spans="5:9" ht="16.5" hidden="1">
      <c r="E4458" s="4" t="str">
        <v/>
      </c>
      <c r="F4458" s="102" t="str">
        <f ca="1">IFERROR(__xludf.DUMMYFUNCTION("IMPORTRANGE(H4458,""IDENTITAS UNIT!D9"")"),"#N/A")</f>
        <v>#N/A</v>
      </c>
      <c r="H4458" s="4" t="str">
        <v/>
      </c>
      <c r="I4458" s="4" t="str">
        <v/>
      </c>
    </row>
    <row r="4459" spans="5:9" ht="16.5" hidden="1">
      <c r="E4459" s="4" t="str">
        <v/>
      </c>
      <c r="F4459" s="102" t="str">
        <f ca="1">IFERROR(__xludf.DUMMYFUNCTION("IMPORTRANGE(H4459,""IDENTITAS UNIT!D9"")"),"#N/A")</f>
        <v>#N/A</v>
      </c>
      <c r="H4459" s="4" t="str">
        <v/>
      </c>
      <c r="I4459" s="4" t="str">
        <v/>
      </c>
    </row>
    <row r="4460" spans="5:9" ht="16.5" hidden="1">
      <c r="E4460" s="4" t="str">
        <v/>
      </c>
      <c r="F4460" s="102" t="str">
        <f ca="1">IFERROR(__xludf.DUMMYFUNCTION("IMPORTRANGE(H4460,""IDENTITAS UNIT!D9"")"),"#N/A")</f>
        <v>#N/A</v>
      </c>
      <c r="H4460" s="4" t="str">
        <v/>
      </c>
      <c r="I4460" s="4" t="str">
        <v/>
      </c>
    </row>
    <row r="4461" spans="5:9" ht="16.5" hidden="1">
      <c r="E4461" s="4" t="str">
        <v/>
      </c>
      <c r="F4461" s="102" t="str">
        <f ca="1">IFERROR(__xludf.DUMMYFUNCTION("IMPORTRANGE(H4461,""IDENTITAS UNIT!D9"")"),"#N/A")</f>
        <v>#N/A</v>
      </c>
      <c r="H4461" s="4" t="str">
        <v/>
      </c>
      <c r="I4461" s="4" t="str">
        <v/>
      </c>
    </row>
    <row r="4462" spans="5:9" ht="16.5" hidden="1">
      <c r="E4462" s="4" t="str">
        <v/>
      </c>
      <c r="F4462" s="102" t="str">
        <f ca="1">IFERROR(__xludf.DUMMYFUNCTION("IMPORTRANGE(H4462,""IDENTITAS UNIT!D9"")"),"#N/A")</f>
        <v>#N/A</v>
      </c>
      <c r="H4462" s="4" t="str">
        <v/>
      </c>
      <c r="I4462" s="4" t="str">
        <v/>
      </c>
    </row>
    <row r="4463" spans="5:9" ht="16.5" hidden="1">
      <c r="E4463" s="4" t="str">
        <v/>
      </c>
      <c r="F4463" s="102" t="str">
        <f ca="1">IFERROR(__xludf.DUMMYFUNCTION("IMPORTRANGE(H4463,""IDENTITAS UNIT!D9"")"),"#N/A")</f>
        <v>#N/A</v>
      </c>
      <c r="H4463" s="4" t="str">
        <v/>
      </c>
      <c r="I4463" s="4" t="str">
        <v/>
      </c>
    </row>
    <row r="4464" spans="5:9" ht="16.5" hidden="1">
      <c r="E4464" s="4" t="str">
        <v/>
      </c>
      <c r="F4464" s="102" t="str">
        <f ca="1">IFERROR(__xludf.DUMMYFUNCTION("IMPORTRANGE(H4464,""IDENTITAS UNIT!D9"")"),"#N/A")</f>
        <v>#N/A</v>
      </c>
      <c r="H4464" s="4" t="str">
        <v/>
      </c>
      <c r="I4464" s="4" t="str">
        <v/>
      </c>
    </row>
    <row r="4465" spans="5:9" ht="16.5" hidden="1">
      <c r="E4465" s="4" t="str">
        <v/>
      </c>
      <c r="F4465" s="102" t="str">
        <f ca="1">IFERROR(__xludf.DUMMYFUNCTION("IMPORTRANGE(H4465,""IDENTITAS UNIT!D9"")"),"#N/A")</f>
        <v>#N/A</v>
      </c>
      <c r="H4465" s="4" t="str">
        <v/>
      </c>
      <c r="I4465" s="4" t="str">
        <v/>
      </c>
    </row>
    <row r="4466" spans="5:9" ht="16.5" hidden="1">
      <c r="E4466" s="4" t="str">
        <v/>
      </c>
      <c r="F4466" s="102" t="str">
        <f ca="1">IFERROR(__xludf.DUMMYFUNCTION("IMPORTRANGE(H4466,""IDENTITAS UNIT!D9"")"),"#N/A")</f>
        <v>#N/A</v>
      </c>
      <c r="H4466" s="4" t="str">
        <v/>
      </c>
      <c r="I4466" s="4" t="str">
        <v/>
      </c>
    </row>
    <row r="4467" spans="5:9" ht="16.5" hidden="1">
      <c r="E4467" s="4" t="str">
        <v/>
      </c>
      <c r="F4467" s="102" t="str">
        <f ca="1">IFERROR(__xludf.DUMMYFUNCTION("IMPORTRANGE(H4467,""IDENTITAS UNIT!D9"")"),"#N/A")</f>
        <v>#N/A</v>
      </c>
      <c r="H4467" s="4" t="str">
        <v/>
      </c>
      <c r="I4467" s="4" t="str">
        <v/>
      </c>
    </row>
    <row r="4468" spans="5:9" ht="16.5" hidden="1">
      <c r="E4468" s="4" t="str">
        <v/>
      </c>
      <c r="F4468" s="102" t="str">
        <f ca="1">IFERROR(__xludf.DUMMYFUNCTION("IMPORTRANGE(H4468,""IDENTITAS UNIT!D9"")"),"#N/A")</f>
        <v>#N/A</v>
      </c>
      <c r="H4468" s="4" t="str">
        <v/>
      </c>
      <c r="I4468" s="4" t="str">
        <v/>
      </c>
    </row>
    <row r="4469" spans="5:9" ht="16.5" hidden="1">
      <c r="E4469" s="4" t="str">
        <v/>
      </c>
      <c r="F4469" s="102" t="str">
        <f ca="1">IFERROR(__xludf.DUMMYFUNCTION("IMPORTRANGE(H4469,""IDENTITAS UNIT!D9"")"),"#N/A")</f>
        <v>#N/A</v>
      </c>
      <c r="H4469" s="4" t="str">
        <v/>
      </c>
      <c r="I4469" s="4" t="str">
        <v/>
      </c>
    </row>
    <row r="4470" spans="5:9" ht="16.5" hidden="1">
      <c r="E4470" s="4" t="str">
        <v/>
      </c>
      <c r="F4470" s="102" t="str">
        <f ca="1">IFERROR(__xludf.DUMMYFUNCTION("IMPORTRANGE(H4470,""IDENTITAS UNIT!D9"")"),"#N/A")</f>
        <v>#N/A</v>
      </c>
      <c r="H4470" s="4" t="str">
        <v/>
      </c>
      <c r="I4470" s="4" t="str">
        <v/>
      </c>
    </row>
    <row r="4471" spans="5:9" ht="16.5" hidden="1">
      <c r="E4471" s="4" t="str">
        <v/>
      </c>
      <c r="F4471" s="102" t="str">
        <f ca="1">IFERROR(__xludf.DUMMYFUNCTION("IMPORTRANGE(H4471,""IDENTITAS UNIT!D9"")"),"#N/A")</f>
        <v>#N/A</v>
      </c>
      <c r="H4471" s="4" t="str">
        <v/>
      </c>
      <c r="I4471" s="4" t="str">
        <v/>
      </c>
    </row>
    <row r="4472" spans="5:9" ht="16.5" hidden="1">
      <c r="E4472" s="4" t="str">
        <v/>
      </c>
      <c r="F4472" s="102" t="str">
        <f ca="1">IFERROR(__xludf.DUMMYFUNCTION("IMPORTRANGE(H4472,""IDENTITAS UNIT!D9"")"),"#N/A")</f>
        <v>#N/A</v>
      </c>
      <c r="H4472" s="4" t="str">
        <v/>
      </c>
      <c r="I4472" s="4" t="str">
        <v/>
      </c>
    </row>
    <row r="4473" spans="5:9" ht="16.5" hidden="1">
      <c r="E4473" s="4" t="str">
        <v/>
      </c>
      <c r="F4473" s="102" t="str">
        <f ca="1">IFERROR(__xludf.DUMMYFUNCTION("IMPORTRANGE(H4473,""IDENTITAS UNIT!D9"")"),"#N/A")</f>
        <v>#N/A</v>
      </c>
      <c r="H4473" s="4" t="str">
        <v/>
      </c>
      <c r="I4473" s="4" t="str">
        <v/>
      </c>
    </row>
    <row r="4474" spans="5:9" ht="16.5" hidden="1">
      <c r="E4474" s="4" t="str">
        <v/>
      </c>
      <c r="F4474" s="102" t="str">
        <f ca="1">IFERROR(__xludf.DUMMYFUNCTION("IMPORTRANGE(H4474,""IDENTITAS UNIT!D9"")"),"#N/A")</f>
        <v>#N/A</v>
      </c>
      <c r="H4474" s="4" t="str">
        <v/>
      </c>
      <c r="I4474" s="4" t="str">
        <v/>
      </c>
    </row>
    <row r="4475" spans="5:9" ht="16.5" hidden="1">
      <c r="E4475" s="4" t="str">
        <v/>
      </c>
      <c r="F4475" s="102" t="str">
        <f ca="1">IFERROR(__xludf.DUMMYFUNCTION("IMPORTRANGE(H4475,""IDENTITAS UNIT!D9"")"),"#N/A")</f>
        <v>#N/A</v>
      </c>
      <c r="H4475" s="4" t="str">
        <v/>
      </c>
      <c r="I4475" s="4" t="str">
        <v/>
      </c>
    </row>
    <row r="4476" spans="5:9" ht="16.5" hidden="1">
      <c r="E4476" s="4" t="str">
        <v/>
      </c>
      <c r="F4476" s="102" t="str">
        <f ca="1">IFERROR(__xludf.DUMMYFUNCTION("IMPORTRANGE(H4476,""IDENTITAS UNIT!D9"")"),"#N/A")</f>
        <v>#N/A</v>
      </c>
      <c r="H4476" s="4" t="str">
        <v/>
      </c>
      <c r="I4476" s="4" t="str">
        <v/>
      </c>
    </row>
    <row r="4477" spans="5:9" ht="16.5" hidden="1">
      <c r="E4477" s="4" t="str">
        <v/>
      </c>
      <c r="F4477" s="102" t="str">
        <f ca="1">IFERROR(__xludf.DUMMYFUNCTION("IMPORTRANGE(H4477,""IDENTITAS UNIT!D9"")"),"#N/A")</f>
        <v>#N/A</v>
      </c>
      <c r="H4477" s="4" t="str">
        <v/>
      </c>
      <c r="I4477" s="4" t="str">
        <v/>
      </c>
    </row>
    <row r="4478" spans="5:9" ht="16.5" hidden="1">
      <c r="E4478" s="4" t="str">
        <v/>
      </c>
      <c r="F4478" s="102" t="str">
        <f ca="1">IFERROR(__xludf.DUMMYFUNCTION("IMPORTRANGE(H4478,""IDENTITAS UNIT!D9"")"),"#N/A")</f>
        <v>#N/A</v>
      </c>
      <c r="H4478" s="4" t="str">
        <v/>
      </c>
      <c r="I4478" s="4" t="str">
        <v/>
      </c>
    </row>
    <row r="4479" spans="5:9" ht="16.5" hidden="1">
      <c r="E4479" s="4" t="str">
        <v/>
      </c>
      <c r="F4479" s="102" t="str">
        <f ca="1">IFERROR(__xludf.DUMMYFUNCTION("IMPORTRANGE(H4479,""IDENTITAS UNIT!D9"")"),"#N/A")</f>
        <v>#N/A</v>
      </c>
      <c r="H4479" s="4" t="str">
        <v/>
      </c>
      <c r="I4479" s="4" t="str">
        <v/>
      </c>
    </row>
    <row r="4480" spans="5:9" ht="16.5" hidden="1">
      <c r="E4480" s="4" t="str">
        <v/>
      </c>
      <c r="F4480" s="102" t="str">
        <f ca="1">IFERROR(__xludf.DUMMYFUNCTION("IMPORTRANGE(H4480,""IDENTITAS UNIT!D9"")"),"#N/A")</f>
        <v>#N/A</v>
      </c>
      <c r="H4480" s="4" t="str">
        <v/>
      </c>
      <c r="I4480" s="4" t="str">
        <v/>
      </c>
    </row>
    <row r="4481" spans="5:9" ht="16.5" hidden="1">
      <c r="E4481" s="4" t="str">
        <v/>
      </c>
      <c r="F4481" s="102" t="str">
        <f ca="1">IFERROR(__xludf.DUMMYFUNCTION("IMPORTRANGE(H4481,""IDENTITAS UNIT!D9"")"),"#N/A")</f>
        <v>#N/A</v>
      </c>
      <c r="H4481" s="4" t="str">
        <v/>
      </c>
      <c r="I4481" s="4" t="str">
        <v/>
      </c>
    </row>
    <row r="4482" spans="5:9" ht="16.5" hidden="1">
      <c r="E4482" s="4" t="str">
        <v/>
      </c>
      <c r="F4482" s="102" t="str">
        <f ca="1">IFERROR(__xludf.DUMMYFUNCTION("IMPORTRANGE(H4482,""IDENTITAS UNIT!D9"")"),"#N/A")</f>
        <v>#N/A</v>
      </c>
      <c r="H4482" s="4" t="str">
        <v/>
      </c>
      <c r="I4482" s="4" t="str">
        <v/>
      </c>
    </row>
    <row r="4483" spans="5:9" ht="16.5" hidden="1">
      <c r="E4483" s="4" t="str">
        <v/>
      </c>
      <c r="F4483" s="102" t="str">
        <f ca="1">IFERROR(__xludf.DUMMYFUNCTION("IMPORTRANGE(H4483,""IDENTITAS UNIT!D9"")"),"#N/A")</f>
        <v>#N/A</v>
      </c>
      <c r="H4483" s="4" t="str">
        <v/>
      </c>
      <c r="I4483" s="4" t="str">
        <v/>
      </c>
    </row>
    <row r="4484" spans="5:9" ht="16.5" hidden="1">
      <c r="E4484" s="4" t="str">
        <v/>
      </c>
      <c r="F4484" s="102" t="str">
        <f ca="1">IFERROR(__xludf.DUMMYFUNCTION("IMPORTRANGE(H4484,""IDENTITAS UNIT!D9"")"),"#N/A")</f>
        <v>#N/A</v>
      </c>
      <c r="H4484" s="4" t="str">
        <v/>
      </c>
      <c r="I4484" s="4" t="str">
        <v/>
      </c>
    </row>
    <row r="4485" spans="5:9" ht="16.5" hidden="1">
      <c r="E4485" s="4" t="str">
        <v/>
      </c>
      <c r="F4485" s="102" t="str">
        <f ca="1">IFERROR(__xludf.DUMMYFUNCTION("IMPORTRANGE(H4485,""IDENTITAS UNIT!D9"")"),"#N/A")</f>
        <v>#N/A</v>
      </c>
      <c r="H4485" s="4" t="str">
        <v/>
      </c>
      <c r="I4485" s="4" t="str">
        <v/>
      </c>
    </row>
    <row r="4486" spans="5:9" ht="16.5" hidden="1">
      <c r="E4486" s="4" t="str">
        <v/>
      </c>
      <c r="F4486" s="102" t="str">
        <f ca="1">IFERROR(__xludf.DUMMYFUNCTION("IMPORTRANGE(H4486,""IDENTITAS UNIT!D9"")"),"#N/A")</f>
        <v>#N/A</v>
      </c>
      <c r="H4486" s="4" t="str">
        <v/>
      </c>
      <c r="I4486" s="4" t="str">
        <v/>
      </c>
    </row>
    <row r="4487" spans="5:9" ht="16.5" hidden="1">
      <c r="E4487" s="4" t="str">
        <v/>
      </c>
      <c r="F4487" s="102" t="str">
        <f ca="1">IFERROR(__xludf.DUMMYFUNCTION("IMPORTRANGE(H4487,""IDENTITAS UNIT!D9"")"),"#N/A")</f>
        <v>#N/A</v>
      </c>
      <c r="H4487" s="4" t="str">
        <v/>
      </c>
      <c r="I4487" s="4" t="str">
        <v/>
      </c>
    </row>
    <row r="4488" spans="5:9" ht="16.5" hidden="1">
      <c r="E4488" s="4" t="str">
        <v/>
      </c>
      <c r="F4488" s="102" t="str">
        <f ca="1">IFERROR(__xludf.DUMMYFUNCTION("IMPORTRANGE(H4488,""IDENTITAS UNIT!D9"")"),"#N/A")</f>
        <v>#N/A</v>
      </c>
      <c r="H4488" s="4" t="str">
        <v/>
      </c>
      <c r="I4488" s="4" t="str">
        <v/>
      </c>
    </row>
    <row r="4489" spans="5:9" ht="16.5" hidden="1">
      <c r="E4489" s="4" t="str">
        <v/>
      </c>
      <c r="F4489" s="102" t="str">
        <f ca="1">IFERROR(__xludf.DUMMYFUNCTION("IMPORTRANGE(H4489,""IDENTITAS UNIT!D9"")"),"#N/A")</f>
        <v>#N/A</v>
      </c>
      <c r="H4489" s="4" t="str">
        <v/>
      </c>
      <c r="I4489" s="4" t="str">
        <v/>
      </c>
    </row>
    <row r="4490" spans="5:9" ht="16.5" hidden="1">
      <c r="E4490" s="4" t="str">
        <v/>
      </c>
      <c r="F4490" s="102" t="str">
        <f ca="1">IFERROR(__xludf.DUMMYFUNCTION("IMPORTRANGE(H4490,""IDENTITAS UNIT!D9"")"),"#N/A")</f>
        <v>#N/A</v>
      </c>
      <c r="H4490" s="4" t="str">
        <v/>
      </c>
      <c r="I4490" s="4" t="str">
        <v/>
      </c>
    </row>
    <row r="4491" spans="5:9" ht="16.5" hidden="1">
      <c r="E4491" s="4" t="str">
        <v/>
      </c>
      <c r="F4491" s="102" t="str">
        <f ca="1">IFERROR(__xludf.DUMMYFUNCTION("IMPORTRANGE(H4491,""IDENTITAS UNIT!D9"")"),"#N/A")</f>
        <v>#N/A</v>
      </c>
      <c r="H4491" s="4" t="str">
        <v/>
      </c>
      <c r="I4491" s="4" t="str">
        <v/>
      </c>
    </row>
    <row r="4492" spans="5:9" ht="16.5" hidden="1">
      <c r="E4492" s="4" t="str">
        <v/>
      </c>
      <c r="F4492" s="102" t="str">
        <f ca="1">IFERROR(__xludf.DUMMYFUNCTION("IMPORTRANGE(H4492,""IDENTITAS UNIT!D9"")"),"#N/A")</f>
        <v>#N/A</v>
      </c>
      <c r="H4492" s="4" t="str">
        <v/>
      </c>
      <c r="I4492" s="4" t="str">
        <v/>
      </c>
    </row>
    <row r="4493" spans="5:9" ht="16.5" hidden="1">
      <c r="E4493" s="4" t="str">
        <v/>
      </c>
      <c r="F4493" s="102" t="str">
        <f ca="1">IFERROR(__xludf.DUMMYFUNCTION("IMPORTRANGE(H4493,""IDENTITAS UNIT!D9"")"),"#N/A")</f>
        <v>#N/A</v>
      </c>
      <c r="H4493" s="4" t="str">
        <v/>
      </c>
      <c r="I4493" s="4" t="str">
        <v/>
      </c>
    </row>
    <row r="4494" spans="5:9" ht="16.5" hidden="1">
      <c r="E4494" s="4" t="str">
        <v/>
      </c>
      <c r="F4494" s="102" t="str">
        <f ca="1">IFERROR(__xludf.DUMMYFUNCTION("IMPORTRANGE(H4494,""IDENTITAS UNIT!D9"")"),"#N/A")</f>
        <v>#N/A</v>
      </c>
      <c r="H4494" s="4" t="str">
        <v/>
      </c>
      <c r="I4494" s="4" t="str">
        <v/>
      </c>
    </row>
    <row r="4495" spans="5:9" ht="16.5" hidden="1">
      <c r="E4495" s="4" t="str">
        <v/>
      </c>
      <c r="F4495" s="102" t="str">
        <f ca="1">IFERROR(__xludf.DUMMYFUNCTION("IMPORTRANGE(H4495,""IDENTITAS UNIT!D9"")"),"#N/A")</f>
        <v>#N/A</v>
      </c>
      <c r="H4495" s="4" t="str">
        <v/>
      </c>
      <c r="I4495" s="4" t="str">
        <v/>
      </c>
    </row>
    <row r="4496" spans="5:9" ht="16.5" hidden="1">
      <c r="E4496" s="4" t="str">
        <v/>
      </c>
      <c r="F4496" s="102" t="str">
        <f ca="1">IFERROR(__xludf.DUMMYFUNCTION("IMPORTRANGE(H4496,""IDENTITAS UNIT!D9"")"),"#N/A")</f>
        <v>#N/A</v>
      </c>
      <c r="H4496" s="4" t="str">
        <v/>
      </c>
      <c r="I4496" s="4" t="str">
        <v/>
      </c>
    </row>
    <row r="4497" spans="5:9" ht="16.5" hidden="1">
      <c r="E4497" s="4" t="str">
        <v/>
      </c>
      <c r="F4497" s="102" t="str">
        <f ca="1">IFERROR(__xludf.DUMMYFUNCTION("IMPORTRANGE(H4497,""IDENTITAS UNIT!D9"")"),"#N/A")</f>
        <v>#N/A</v>
      </c>
      <c r="H4497" s="4" t="str">
        <v/>
      </c>
      <c r="I4497" s="4" t="str">
        <v/>
      </c>
    </row>
    <row r="4498" spans="5:9" ht="16.5" hidden="1">
      <c r="E4498" s="4" t="str">
        <v/>
      </c>
      <c r="F4498" s="102" t="str">
        <f ca="1">IFERROR(__xludf.DUMMYFUNCTION("IMPORTRANGE(H4498,""IDENTITAS UNIT!D9"")"),"#N/A")</f>
        <v>#N/A</v>
      </c>
      <c r="H4498" s="4" t="str">
        <v/>
      </c>
      <c r="I4498" s="4" t="str">
        <v/>
      </c>
    </row>
    <row r="4499" spans="5:9" ht="16.5" hidden="1">
      <c r="E4499" s="4" t="str">
        <v/>
      </c>
      <c r="F4499" s="102" t="str">
        <f ca="1">IFERROR(__xludf.DUMMYFUNCTION("IMPORTRANGE(H4499,""IDENTITAS UNIT!D9"")"),"#N/A")</f>
        <v>#N/A</v>
      </c>
      <c r="H4499" s="4" t="str">
        <v/>
      </c>
      <c r="I4499" s="4" t="str">
        <v/>
      </c>
    </row>
    <row r="4500" spans="5:9" ht="16.5" hidden="1">
      <c r="E4500" s="4" t="str">
        <v/>
      </c>
      <c r="F4500" s="102" t="str">
        <f ca="1">IFERROR(__xludf.DUMMYFUNCTION("IMPORTRANGE(H4500,""IDENTITAS UNIT!D9"")"),"#N/A")</f>
        <v>#N/A</v>
      </c>
      <c r="H4500" s="4" t="str">
        <v/>
      </c>
      <c r="I4500" s="4" t="str">
        <v/>
      </c>
    </row>
    <row r="4501" spans="5:9" ht="16.5" hidden="1">
      <c r="E4501" s="4" t="str">
        <v/>
      </c>
      <c r="F4501" s="102" t="str">
        <f ca="1">IFERROR(__xludf.DUMMYFUNCTION("IMPORTRANGE(H4501,""IDENTITAS UNIT!D9"")"),"#N/A")</f>
        <v>#N/A</v>
      </c>
      <c r="H4501" s="4" t="str">
        <v/>
      </c>
      <c r="I4501" s="4" t="str">
        <v/>
      </c>
    </row>
    <row r="4502" spans="5:9" ht="16.5" hidden="1">
      <c r="E4502" s="4" t="str">
        <v/>
      </c>
      <c r="F4502" s="102" t="str">
        <f ca="1">IFERROR(__xludf.DUMMYFUNCTION("IMPORTRANGE(H4502,""IDENTITAS UNIT!D9"")"),"#N/A")</f>
        <v>#N/A</v>
      </c>
      <c r="H4502" s="4" t="str">
        <v/>
      </c>
      <c r="I4502" s="4" t="str">
        <v/>
      </c>
    </row>
    <row r="4503" spans="5:9" ht="16.5" hidden="1">
      <c r="E4503" s="4" t="str">
        <v/>
      </c>
      <c r="F4503" s="102" t="str">
        <f ca="1">IFERROR(__xludf.DUMMYFUNCTION("IMPORTRANGE(H4503,""IDENTITAS UNIT!D9"")"),"#N/A")</f>
        <v>#N/A</v>
      </c>
      <c r="H4503" s="4" t="str">
        <v/>
      </c>
      <c r="I4503" s="4" t="str">
        <v/>
      </c>
    </row>
    <row r="4504" spans="5:9" ht="16.5" hidden="1">
      <c r="E4504" s="4" t="str">
        <v/>
      </c>
      <c r="F4504" s="102" t="str">
        <f ca="1">IFERROR(__xludf.DUMMYFUNCTION("IMPORTRANGE(H4504,""IDENTITAS UNIT!D9"")"),"#N/A")</f>
        <v>#N/A</v>
      </c>
      <c r="H4504" s="4" t="str">
        <v/>
      </c>
      <c r="I4504" s="4" t="str">
        <v/>
      </c>
    </row>
    <row r="4505" spans="5:9" ht="16.5" hidden="1">
      <c r="E4505" s="4" t="str">
        <v/>
      </c>
      <c r="F4505" s="102" t="str">
        <f ca="1">IFERROR(__xludf.DUMMYFUNCTION("IMPORTRANGE(H4505,""IDENTITAS UNIT!D9"")"),"#N/A")</f>
        <v>#N/A</v>
      </c>
      <c r="H4505" s="4" t="str">
        <v/>
      </c>
      <c r="I4505" s="4" t="str">
        <v/>
      </c>
    </row>
    <row r="4506" spans="5:9" ht="16.5" hidden="1">
      <c r="E4506" s="4" t="str">
        <v/>
      </c>
      <c r="F4506" s="102" t="str">
        <f ca="1">IFERROR(__xludf.DUMMYFUNCTION("IMPORTRANGE(H4506,""IDENTITAS UNIT!D9"")"),"#N/A")</f>
        <v>#N/A</v>
      </c>
      <c r="H4506" s="4" t="str">
        <v/>
      </c>
      <c r="I4506" s="4" t="str">
        <v/>
      </c>
    </row>
    <row r="4507" spans="5:9" ht="16.5" hidden="1">
      <c r="E4507" s="4" t="str">
        <v/>
      </c>
      <c r="F4507" s="102" t="str">
        <f ca="1">IFERROR(__xludf.DUMMYFUNCTION("IMPORTRANGE(H4507,""IDENTITAS UNIT!D9"")"),"#N/A")</f>
        <v>#N/A</v>
      </c>
      <c r="H4507" s="4" t="str">
        <v/>
      </c>
      <c r="I4507" s="4" t="str">
        <v/>
      </c>
    </row>
    <row r="4508" spans="5:9" ht="16.5" hidden="1">
      <c r="E4508" s="4" t="str">
        <v/>
      </c>
      <c r="F4508" s="102" t="str">
        <f ca="1">IFERROR(__xludf.DUMMYFUNCTION("IMPORTRANGE(H4508,""IDENTITAS UNIT!D9"")"),"#N/A")</f>
        <v>#N/A</v>
      </c>
      <c r="H4508" s="4" t="str">
        <v/>
      </c>
      <c r="I4508" s="4" t="str">
        <v/>
      </c>
    </row>
    <row r="4509" spans="5:9" ht="16.5" hidden="1">
      <c r="E4509" s="4" t="str">
        <v/>
      </c>
      <c r="F4509" s="102" t="str">
        <f ca="1">IFERROR(__xludf.DUMMYFUNCTION("IMPORTRANGE(H4509,""IDENTITAS UNIT!D9"")"),"#N/A")</f>
        <v>#N/A</v>
      </c>
      <c r="H4509" s="4" t="str">
        <v/>
      </c>
      <c r="I4509" s="4" t="str">
        <v/>
      </c>
    </row>
    <row r="4510" spans="5:9" ht="16.5" hidden="1">
      <c r="E4510" s="4" t="str">
        <v/>
      </c>
      <c r="F4510" s="102" t="str">
        <f ca="1">IFERROR(__xludf.DUMMYFUNCTION("IMPORTRANGE(H4510,""IDENTITAS UNIT!D9"")"),"#N/A")</f>
        <v>#N/A</v>
      </c>
      <c r="H4510" s="4" t="str">
        <v/>
      </c>
      <c r="I4510" s="4" t="str">
        <v/>
      </c>
    </row>
    <row r="4511" spans="5:9" ht="16.5" hidden="1">
      <c r="E4511" s="4" t="str">
        <v/>
      </c>
      <c r="F4511" s="102" t="str">
        <f ca="1">IFERROR(__xludf.DUMMYFUNCTION("IMPORTRANGE(H4511,""IDENTITAS UNIT!D9"")"),"#N/A")</f>
        <v>#N/A</v>
      </c>
      <c r="H4511" s="4" t="str">
        <v/>
      </c>
      <c r="I4511" s="4" t="str">
        <v/>
      </c>
    </row>
    <row r="4512" spans="5:9" ht="16.5" hidden="1">
      <c r="E4512" s="4" t="str">
        <v/>
      </c>
      <c r="F4512" s="102" t="str">
        <f ca="1">IFERROR(__xludf.DUMMYFUNCTION("IMPORTRANGE(H4512,""IDENTITAS UNIT!D9"")"),"#N/A")</f>
        <v>#N/A</v>
      </c>
      <c r="H4512" s="4" t="str">
        <v/>
      </c>
      <c r="I4512" s="4" t="str">
        <v/>
      </c>
    </row>
    <row r="4513" spans="5:9" ht="16.5" hidden="1">
      <c r="E4513" s="4" t="str">
        <v/>
      </c>
      <c r="F4513" s="102" t="str">
        <f ca="1">IFERROR(__xludf.DUMMYFUNCTION("IMPORTRANGE(H4513,""IDENTITAS UNIT!D9"")"),"#N/A")</f>
        <v>#N/A</v>
      </c>
      <c r="H4513" s="4" t="str">
        <v/>
      </c>
      <c r="I4513" s="4" t="str">
        <v/>
      </c>
    </row>
    <row r="4514" spans="5:9" ht="16.5" hidden="1">
      <c r="E4514" s="4" t="str">
        <v/>
      </c>
      <c r="F4514" s="102" t="str">
        <f ca="1">IFERROR(__xludf.DUMMYFUNCTION("IMPORTRANGE(H4514,""IDENTITAS UNIT!D9"")"),"#N/A")</f>
        <v>#N/A</v>
      </c>
      <c r="H4514" s="4" t="str">
        <v/>
      </c>
      <c r="I4514" s="4" t="str">
        <v/>
      </c>
    </row>
    <row r="4515" spans="5:9" ht="16.5" hidden="1">
      <c r="E4515" s="4" t="str">
        <v/>
      </c>
      <c r="F4515" s="102" t="str">
        <f ca="1">IFERROR(__xludf.DUMMYFUNCTION("IMPORTRANGE(H4515,""IDENTITAS UNIT!D9"")"),"#N/A")</f>
        <v>#N/A</v>
      </c>
      <c r="H4515" s="4" t="str">
        <v/>
      </c>
      <c r="I4515" s="4" t="str">
        <v/>
      </c>
    </row>
    <row r="4516" spans="5:9" ht="16.5" hidden="1">
      <c r="E4516" s="4" t="str">
        <v/>
      </c>
      <c r="F4516" s="102" t="str">
        <f ca="1">IFERROR(__xludf.DUMMYFUNCTION("IMPORTRANGE(H4516,""IDENTITAS UNIT!D9"")"),"#N/A")</f>
        <v>#N/A</v>
      </c>
      <c r="H4516" s="4" t="str">
        <v/>
      </c>
      <c r="I4516" s="4" t="str">
        <v/>
      </c>
    </row>
    <row r="4517" spans="5:9" ht="16.5" hidden="1">
      <c r="E4517" s="4" t="str">
        <v/>
      </c>
      <c r="F4517" s="102" t="str">
        <f ca="1">IFERROR(__xludf.DUMMYFUNCTION("IMPORTRANGE(H4517,""IDENTITAS UNIT!D9"")"),"#N/A")</f>
        <v>#N/A</v>
      </c>
      <c r="H4517" s="4" t="str">
        <v/>
      </c>
      <c r="I4517" s="4" t="str">
        <v/>
      </c>
    </row>
    <row r="4518" spans="5:9" ht="16.5" hidden="1">
      <c r="E4518" s="4" t="str">
        <v/>
      </c>
      <c r="F4518" s="102" t="str">
        <f ca="1">IFERROR(__xludf.DUMMYFUNCTION("IMPORTRANGE(H4518,""IDENTITAS UNIT!D9"")"),"#N/A")</f>
        <v>#N/A</v>
      </c>
      <c r="H4518" s="4" t="str">
        <v/>
      </c>
      <c r="I4518" s="4" t="str">
        <v/>
      </c>
    </row>
    <row r="4519" spans="5:9" ht="16.5" hidden="1">
      <c r="E4519" s="4" t="str">
        <v/>
      </c>
      <c r="F4519" s="102" t="str">
        <f ca="1">IFERROR(__xludf.DUMMYFUNCTION("IMPORTRANGE(H4519,""IDENTITAS UNIT!D9"")"),"#N/A")</f>
        <v>#N/A</v>
      </c>
      <c r="H4519" s="4" t="str">
        <v/>
      </c>
      <c r="I4519" s="4" t="str">
        <v/>
      </c>
    </row>
    <row r="4520" spans="5:9" ht="16.5" hidden="1">
      <c r="E4520" s="4" t="str">
        <v/>
      </c>
      <c r="F4520" s="102" t="str">
        <f ca="1">IFERROR(__xludf.DUMMYFUNCTION("IMPORTRANGE(H4520,""IDENTITAS UNIT!D9"")"),"#N/A")</f>
        <v>#N/A</v>
      </c>
      <c r="H4520" s="4" t="str">
        <v/>
      </c>
      <c r="I4520" s="4" t="str">
        <v/>
      </c>
    </row>
    <row r="4521" spans="5:9" ht="16.5" hidden="1">
      <c r="E4521" s="4" t="str">
        <v/>
      </c>
      <c r="F4521" s="102" t="str">
        <f ca="1">IFERROR(__xludf.DUMMYFUNCTION("IMPORTRANGE(H4521,""IDENTITAS UNIT!D9"")"),"#N/A")</f>
        <v>#N/A</v>
      </c>
      <c r="H4521" s="4" t="str">
        <v/>
      </c>
      <c r="I4521" s="4" t="str">
        <v/>
      </c>
    </row>
    <row r="4522" spans="5:9" ht="16.5" hidden="1">
      <c r="E4522" s="4" t="str">
        <v/>
      </c>
      <c r="F4522" s="102" t="str">
        <f ca="1">IFERROR(__xludf.DUMMYFUNCTION("IMPORTRANGE(H4522,""IDENTITAS UNIT!D9"")"),"#N/A")</f>
        <v>#N/A</v>
      </c>
      <c r="H4522" s="4" t="str">
        <v/>
      </c>
      <c r="I4522" s="4" t="str">
        <v/>
      </c>
    </row>
    <row r="4523" spans="5:9" ht="16.5" hidden="1">
      <c r="E4523" s="4" t="str">
        <v/>
      </c>
      <c r="F4523" s="102" t="str">
        <f ca="1">IFERROR(__xludf.DUMMYFUNCTION("IMPORTRANGE(H4523,""IDENTITAS UNIT!D9"")"),"#N/A")</f>
        <v>#N/A</v>
      </c>
      <c r="H4523" s="4" t="str">
        <v/>
      </c>
      <c r="I4523" s="4" t="str">
        <v/>
      </c>
    </row>
    <row r="4524" spans="5:9" ht="16.5" hidden="1">
      <c r="E4524" s="4" t="str">
        <v/>
      </c>
      <c r="F4524" s="102" t="str">
        <f ca="1">IFERROR(__xludf.DUMMYFUNCTION("IMPORTRANGE(H4524,""IDENTITAS UNIT!D9"")"),"#N/A")</f>
        <v>#N/A</v>
      </c>
      <c r="H4524" s="4" t="str">
        <v/>
      </c>
      <c r="I4524" s="4" t="str">
        <v/>
      </c>
    </row>
    <row r="4525" spans="5:9" ht="16.5" hidden="1">
      <c r="E4525" s="4" t="str">
        <v/>
      </c>
      <c r="F4525" s="102" t="str">
        <f ca="1">IFERROR(__xludf.DUMMYFUNCTION("IMPORTRANGE(H4525,""IDENTITAS UNIT!D9"")"),"#N/A")</f>
        <v>#N/A</v>
      </c>
      <c r="H4525" s="4" t="str">
        <v/>
      </c>
      <c r="I4525" s="4" t="str">
        <v/>
      </c>
    </row>
    <row r="4526" spans="5:9" ht="16.5" hidden="1">
      <c r="E4526" s="4" t="str">
        <v/>
      </c>
      <c r="F4526" s="102" t="str">
        <f ca="1">IFERROR(__xludf.DUMMYFUNCTION("IMPORTRANGE(H4526,""IDENTITAS UNIT!D9"")"),"#N/A")</f>
        <v>#N/A</v>
      </c>
      <c r="H4526" s="4" t="str">
        <v/>
      </c>
      <c r="I4526" s="4" t="str">
        <v/>
      </c>
    </row>
    <row r="4527" spans="5:9" ht="16.5" hidden="1">
      <c r="E4527" s="4" t="str">
        <v/>
      </c>
      <c r="F4527" s="102" t="str">
        <f ca="1">IFERROR(__xludf.DUMMYFUNCTION("IMPORTRANGE(H4527,""IDENTITAS UNIT!D9"")"),"#N/A")</f>
        <v>#N/A</v>
      </c>
      <c r="H4527" s="4" t="str">
        <v/>
      </c>
      <c r="I4527" s="4" t="str">
        <v/>
      </c>
    </row>
    <row r="4528" spans="5:9" ht="16.5" hidden="1">
      <c r="E4528" s="4" t="str">
        <v/>
      </c>
      <c r="F4528" s="102" t="str">
        <f ca="1">IFERROR(__xludf.DUMMYFUNCTION("IMPORTRANGE(H4528,""IDENTITAS UNIT!D9"")"),"#N/A")</f>
        <v>#N/A</v>
      </c>
      <c r="H4528" s="4" t="str">
        <v/>
      </c>
      <c r="I4528" s="4" t="str">
        <v/>
      </c>
    </row>
    <row r="4529" spans="5:9" ht="16.5" hidden="1">
      <c r="E4529" s="4" t="str">
        <v/>
      </c>
      <c r="F4529" s="102" t="str">
        <f ca="1">IFERROR(__xludf.DUMMYFUNCTION("IMPORTRANGE(H4529,""IDENTITAS UNIT!D9"")"),"#N/A")</f>
        <v>#N/A</v>
      </c>
      <c r="H4529" s="4" t="str">
        <v/>
      </c>
      <c r="I4529" s="4" t="str">
        <v/>
      </c>
    </row>
    <row r="4530" spans="5:9" ht="16.5" hidden="1">
      <c r="E4530" s="4" t="str">
        <v/>
      </c>
      <c r="F4530" s="102" t="str">
        <f ca="1">IFERROR(__xludf.DUMMYFUNCTION("IMPORTRANGE(H4530,""IDENTITAS UNIT!D9"")"),"#N/A")</f>
        <v>#N/A</v>
      </c>
      <c r="H4530" s="4" t="str">
        <v/>
      </c>
      <c r="I4530" s="4" t="str">
        <v/>
      </c>
    </row>
    <row r="4531" spans="5:9" ht="16.5" hidden="1">
      <c r="E4531" s="4" t="str">
        <v/>
      </c>
      <c r="F4531" s="102" t="str">
        <f ca="1">IFERROR(__xludf.DUMMYFUNCTION("IMPORTRANGE(H4531,""IDENTITAS UNIT!D9"")"),"#N/A")</f>
        <v>#N/A</v>
      </c>
      <c r="H4531" s="4" t="str">
        <v/>
      </c>
      <c r="I4531" s="4" t="str">
        <v/>
      </c>
    </row>
    <row r="4532" spans="5:9" ht="16.5" hidden="1">
      <c r="E4532" s="4" t="str">
        <v/>
      </c>
      <c r="F4532" s="102" t="str">
        <f ca="1">IFERROR(__xludf.DUMMYFUNCTION("IMPORTRANGE(H4532,""IDENTITAS UNIT!D9"")"),"#N/A")</f>
        <v>#N/A</v>
      </c>
      <c r="H4532" s="4" t="str">
        <v/>
      </c>
      <c r="I4532" s="4" t="str">
        <v/>
      </c>
    </row>
    <row r="4533" spans="5:9" ht="16.5" hidden="1">
      <c r="E4533" s="4" t="str">
        <v/>
      </c>
      <c r="F4533" s="102" t="str">
        <f ca="1">IFERROR(__xludf.DUMMYFUNCTION("IMPORTRANGE(H4533,""IDENTITAS UNIT!D9"")"),"#N/A")</f>
        <v>#N/A</v>
      </c>
      <c r="H4533" s="4" t="str">
        <v/>
      </c>
      <c r="I4533" s="4" t="str">
        <v/>
      </c>
    </row>
    <row r="4534" spans="5:9" ht="16.5" hidden="1">
      <c r="E4534" s="4" t="str">
        <v/>
      </c>
      <c r="F4534" s="102" t="str">
        <f ca="1">IFERROR(__xludf.DUMMYFUNCTION("IMPORTRANGE(H4534,""IDENTITAS UNIT!D9"")"),"#N/A")</f>
        <v>#N/A</v>
      </c>
      <c r="H4534" s="4" t="str">
        <v/>
      </c>
      <c r="I4534" s="4" t="str">
        <v/>
      </c>
    </row>
    <row r="4535" spans="5:9" ht="16.5" hidden="1">
      <c r="E4535" s="4" t="str">
        <v/>
      </c>
      <c r="F4535" s="102" t="str">
        <f ca="1">IFERROR(__xludf.DUMMYFUNCTION("IMPORTRANGE(H4535,""IDENTITAS UNIT!D9"")"),"#N/A")</f>
        <v>#N/A</v>
      </c>
      <c r="H4535" s="4" t="str">
        <v/>
      </c>
      <c r="I4535" s="4" t="str">
        <v/>
      </c>
    </row>
    <row r="4536" spans="5:9" ht="16.5" hidden="1">
      <c r="E4536" s="4" t="str">
        <v/>
      </c>
      <c r="F4536" s="102" t="str">
        <f ca="1">IFERROR(__xludf.DUMMYFUNCTION("IMPORTRANGE(H4536,""IDENTITAS UNIT!D9"")"),"#N/A")</f>
        <v>#N/A</v>
      </c>
      <c r="H4536" s="4" t="str">
        <v/>
      </c>
      <c r="I4536" s="4" t="str">
        <v/>
      </c>
    </row>
    <row r="4537" spans="5:9" ht="16.5" hidden="1">
      <c r="E4537" s="4" t="str">
        <v/>
      </c>
      <c r="F4537" s="102" t="str">
        <f ca="1">IFERROR(__xludf.DUMMYFUNCTION("IMPORTRANGE(H4537,""IDENTITAS UNIT!D9"")"),"#N/A")</f>
        <v>#N/A</v>
      </c>
      <c r="H4537" s="4" t="str">
        <v/>
      </c>
      <c r="I4537" s="4" t="str">
        <v/>
      </c>
    </row>
    <row r="4538" spans="5:9" ht="16.5" hidden="1">
      <c r="E4538" s="4" t="str">
        <v/>
      </c>
      <c r="F4538" s="102" t="str">
        <f ca="1">IFERROR(__xludf.DUMMYFUNCTION("IMPORTRANGE(H4538,""IDENTITAS UNIT!D9"")"),"#N/A")</f>
        <v>#N/A</v>
      </c>
      <c r="H4538" s="4" t="str">
        <v/>
      </c>
      <c r="I4538" s="4" t="str">
        <v/>
      </c>
    </row>
    <row r="4539" spans="5:9" ht="16.5" hidden="1">
      <c r="E4539" s="4" t="str">
        <v/>
      </c>
      <c r="F4539" s="102" t="str">
        <f ca="1">IFERROR(__xludf.DUMMYFUNCTION("IMPORTRANGE(H4539,""IDENTITAS UNIT!D9"")"),"#N/A")</f>
        <v>#N/A</v>
      </c>
      <c r="H4539" s="4" t="str">
        <v/>
      </c>
      <c r="I4539" s="4" t="str">
        <v/>
      </c>
    </row>
    <row r="4540" spans="5:9" ht="16.5" hidden="1">
      <c r="E4540" s="4" t="str">
        <v/>
      </c>
      <c r="F4540" s="102" t="str">
        <f ca="1">IFERROR(__xludf.DUMMYFUNCTION("IMPORTRANGE(H4540,""IDENTITAS UNIT!D9"")"),"#N/A")</f>
        <v>#N/A</v>
      </c>
      <c r="H4540" s="4" t="str">
        <v/>
      </c>
      <c r="I4540" s="4" t="str">
        <v/>
      </c>
    </row>
    <row r="4541" spans="5:9" ht="16.5" hidden="1">
      <c r="E4541" s="4" t="str">
        <v/>
      </c>
      <c r="F4541" s="102" t="str">
        <f ca="1">IFERROR(__xludf.DUMMYFUNCTION("IMPORTRANGE(H4541,""IDENTITAS UNIT!D9"")"),"#N/A")</f>
        <v>#N/A</v>
      </c>
      <c r="H4541" s="4" t="str">
        <v/>
      </c>
      <c r="I4541" s="4" t="str">
        <v/>
      </c>
    </row>
    <row r="4542" spans="5:9" ht="16.5" hidden="1">
      <c r="E4542" s="4" t="str">
        <v/>
      </c>
      <c r="F4542" s="102" t="str">
        <f ca="1">IFERROR(__xludf.DUMMYFUNCTION("IMPORTRANGE(H4542,""IDENTITAS UNIT!D9"")"),"#N/A")</f>
        <v>#N/A</v>
      </c>
      <c r="H4542" s="4" t="str">
        <v/>
      </c>
      <c r="I4542" s="4" t="str">
        <v/>
      </c>
    </row>
    <row r="4543" spans="5:9" ht="16.5" hidden="1">
      <c r="E4543" s="4" t="str">
        <v/>
      </c>
      <c r="F4543" s="102" t="str">
        <f ca="1">IFERROR(__xludf.DUMMYFUNCTION("IMPORTRANGE(H4543,""IDENTITAS UNIT!D9"")"),"#N/A")</f>
        <v>#N/A</v>
      </c>
      <c r="H4543" s="4" t="str">
        <v/>
      </c>
      <c r="I4543" s="4" t="str">
        <v/>
      </c>
    </row>
    <row r="4544" spans="5:9" ht="16.5" hidden="1">
      <c r="E4544" s="4" t="str">
        <v/>
      </c>
      <c r="F4544" s="102" t="str">
        <f ca="1">IFERROR(__xludf.DUMMYFUNCTION("IMPORTRANGE(H4544,""IDENTITAS UNIT!D9"")"),"#N/A")</f>
        <v>#N/A</v>
      </c>
      <c r="H4544" s="4" t="str">
        <v/>
      </c>
      <c r="I4544" s="4" t="str">
        <v/>
      </c>
    </row>
    <row r="4545" spans="5:9" ht="16.5" hidden="1">
      <c r="E4545" s="4" t="str">
        <v/>
      </c>
      <c r="F4545" s="102" t="str">
        <f ca="1">IFERROR(__xludf.DUMMYFUNCTION("IMPORTRANGE(H4545,""IDENTITAS UNIT!D9"")"),"#N/A")</f>
        <v>#N/A</v>
      </c>
      <c r="H4545" s="4" t="str">
        <v/>
      </c>
      <c r="I4545" s="4" t="str">
        <v/>
      </c>
    </row>
    <row r="4546" spans="5:9" ht="16.5" hidden="1">
      <c r="E4546" s="4" t="str">
        <v/>
      </c>
      <c r="F4546" s="102" t="str">
        <f ca="1">IFERROR(__xludf.DUMMYFUNCTION("IMPORTRANGE(H4546,""IDENTITAS UNIT!D9"")"),"#N/A")</f>
        <v>#N/A</v>
      </c>
      <c r="H4546" s="4" t="str">
        <v/>
      </c>
      <c r="I4546" s="4" t="str">
        <v/>
      </c>
    </row>
    <row r="4547" spans="5:9" ht="16.5" hidden="1">
      <c r="E4547" s="4" t="str">
        <v/>
      </c>
      <c r="F4547" s="102" t="str">
        <f ca="1">IFERROR(__xludf.DUMMYFUNCTION("IMPORTRANGE(H4547,""IDENTITAS UNIT!D9"")"),"#N/A")</f>
        <v>#N/A</v>
      </c>
      <c r="H4547" s="4" t="str">
        <v/>
      </c>
      <c r="I4547" s="4" t="str">
        <v/>
      </c>
    </row>
    <row r="4548" spans="5:9" ht="16.5" hidden="1">
      <c r="E4548" s="4" t="str">
        <v/>
      </c>
      <c r="F4548" s="102" t="str">
        <f ca="1">IFERROR(__xludf.DUMMYFUNCTION("IMPORTRANGE(H4548,""IDENTITAS UNIT!D9"")"),"#N/A")</f>
        <v>#N/A</v>
      </c>
      <c r="H4548" s="4" t="str">
        <v/>
      </c>
      <c r="I4548" s="4" t="str">
        <v/>
      </c>
    </row>
    <row r="4549" spans="5:9" ht="16.5" hidden="1">
      <c r="E4549" s="4" t="str">
        <v/>
      </c>
      <c r="F4549" s="102" t="str">
        <f ca="1">IFERROR(__xludf.DUMMYFUNCTION("IMPORTRANGE(H4549,""IDENTITAS UNIT!D9"")"),"#N/A")</f>
        <v>#N/A</v>
      </c>
      <c r="H4549" s="4" t="str">
        <v/>
      </c>
      <c r="I4549" s="4" t="str">
        <v/>
      </c>
    </row>
    <row r="4550" spans="5:9" ht="16.5" hidden="1">
      <c r="E4550" s="4" t="str">
        <v/>
      </c>
      <c r="F4550" s="102" t="str">
        <f ca="1">IFERROR(__xludf.DUMMYFUNCTION("IMPORTRANGE(H4550,""IDENTITAS UNIT!D9"")"),"#N/A")</f>
        <v>#N/A</v>
      </c>
      <c r="H4550" s="4" t="str">
        <v/>
      </c>
      <c r="I4550" s="4" t="str">
        <v/>
      </c>
    </row>
    <row r="4551" spans="5:9" ht="16.5" hidden="1">
      <c r="E4551" s="4" t="str">
        <v/>
      </c>
      <c r="F4551" s="102" t="str">
        <f ca="1">IFERROR(__xludf.DUMMYFUNCTION("IMPORTRANGE(H4551,""IDENTITAS UNIT!D9"")"),"#N/A")</f>
        <v>#N/A</v>
      </c>
      <c r="H4551" s="4" t="str">
        <v/>
      </c>
      <c r="I4551" s="4" t="str">
        <v/>
      </c>
    </row>
    <row r="4552" spans="5:9" ht="16.5" hidden="1">
      <c r="E4552" s="4" t="str">
        <v/>
      </c>
      <c r="F4552" s="102" t="str">
        <f ca="1">IFERROR(__xludf.DUMMYFUNCTION("IMPORTRANGE(H4552,""IDENTITAS UNIT!D9"")"),"#N/A")</f>
        <v>#N/A</v>
      </c>
      <c r="H4552" s="4" t="str">
        <v/>
      </c>
      <c r="I4552" s="4" t="str">
        <v/>
      </c>
    </row>
    <row r="4553" spans="5:9" ht="16.5" hidden="1">
      <c r="E4553" s="4" t="str">
        <v/>
      </c>
      <c r="F4553" s="102" t="str">
        <f ca="1">IFERROR(__xludf.DUMMYFUNCTION("IMPORTRANGE(H4553,""IDENTITAS UNIT!D9"")"),"#N/A")</f>
        <v>#N/A</v>
      </c>
      <c r="H4553" s="4" t="str">
        <v/>
      </c>
      <c r="I4553" s="4" t="str">
        <v/>
      </c>
    </row>
    <row r="4554" spans="5:9" ht="16.5" hidden="1">
      <c r="E4554" s="4" t="str">
        <v/>
      </c>
      <c r="F4554" s="102" t="str">
        <f ca="1">IFERROR(__xludf.DUMMYFUNCTION("IMPORTRANGE(H4554,""IDENTITAS UNIT!D9"")"),"#N/A")</f>
        <v>#N/A</v>
      </c>
      <c r="H4554" s="4" t="str">
        <v/>
      </c>
      <c r="I4554" s="4" t="str">
        <v/>
      </c>
    </row>
    <row r="4555" spans="5:9" ht="16.5" hidden="1">
      <c r="E4555" s="4" t="str">
        <v/>
      </c>
      <c r="F4555" s="102" t="str">
        <f ca="1">IFERROR(__xludf.DUMMYFUNCTION("IMPORTRANGE(H4555,""IDENTITAS UNIT!D9"")"),"#N/A")</f>
        <v>#N/A</v>
      </c>
      <c r="H4555" s="4" t="str">
        <v/>
      </c>
      <c r="I4555" s="4" t="str">
        <v/>
      </c>
    </row>
    <row r="4556" spans="5:9" ht="16.5" hidden="1">
      <c r="E4556" s="4" t="str">
        <v/>
      </c>
      <c r="F4556" s="102" t="str">
        <f ca="1">IFERROR(__xludf.DUMMYFUNCTION("IMPORTRANGE(H4556,""IDENTITAS UNIT!D9"")"),"#N/A")</f>
        <v>#N/A</v>
      </c>
      <c r="H4556" s="4" t="str">
        <v/>
      </c>
      <c r="I4556" s="4" t="str">
        <v/>
      </c>
    </row>
    <row r="4557" spans="5:9" ht="16.5" hidden="1">
      <c r="E4557" s="4" t="str">
        <v/>
      </c>
      <c r="F4557" s="102" t="str">
        <f ca="1">IFERROR(__xludf.DUMMYFUNCTION("IMPORTRANGE(H4557,""IDENTITAS UNIT!D9"")"),"#N/A")</f>
        <v>#N/A</v>
      </c>
      <c r="H4557" s="4" t="str">
        <v/>
      </c>
      <c r="I4557" s="4" t="str">
        <v/>
      </c>
    </row>
    <row r="4558" spans="5:9" ht="16.5" hidden="1">
      <c r="E4558" s="4" t="str">
        <v/>
      </c>
      <c r="F4558" s="102" t="str">
        <f ca="1">IFERROR(__xludf.DUMMYFUNCTION("IMPORTRANGE(H4558,""IDENTITAS UNIT!D9"")"),"#N/A")</f>
        <v>#N/A</v>
      </c>
      <c r="H4558" s="4" t="str">
        <v/>
      </c>
      <c r="I4558" s="4" t="str">
        <v/>
      </c>
    </row>
    <row r="4559" spans="5:9" ht="16.5" hidden="1">
      <c r="E4559" s="4" t="str">
        <v/>
      </c>
      <c r="F4559" s="102" t="str">
        <f ca="1">IFERROR(__xludf.DUMMYFUNCTION("IMPORTRANGE(H4559,""IDENTITAS UNIT!D9"")"),"#N/A")</f>
        <v>#N/A</v>
      </c>
      <c r="H4559" s="4" t="str">
        <v/>
      </c>
      <c r="I4559" s="4" t="str">
        <v/>
      </c>
    </row>
    <row r="4560" spans="5:9" ht="16.5" hidden="1">
      <c r="E4560" s="4" t="str">
        <v/>
      </c>
      <c r="F4560" s="102" t="str">
        <f ca="1">IFERROR(__xludf.DUMMYFUNCTION("IMPORTRANGE(H4560,""IDENTITAS UNIT!D9"")"),"#N/A")</f>
        <v>#N/A</v>
      </c>
      <c r="H4560" s="4" t="str">
        <v/>
      </c>
      <c r="I4560" s="4" t="str">
        <v/>
      </c>
    </row>
    <row r="4561" spans="5:9" ht="16.5" hidden="1">
      <c r="E4561" s="4" t="str">
        <v/>
      </c>
      <c r="F4561" s="102" t="str">
        <f ca="1">IFERROR(__xludf.DUMMYFUNCTION("IMPORTRANGE(H4561,""IDENTITAS UNIT!D9"")"),"#N/A")</f>
        <v>#N/A</v>
      </c>
      <c r="H4561" s="4" t="str">
        <v/>
      </c>
      <c r="I4561" s="4" t="str">
        <v/>
      </c>
    </row>
    <row r="4562" spans="5:9" ht="16.5" hidden="1">
      <c r="E4562" s="4" t="str">
        <v/>
      </c>
      <c r="F4562" s="102" t="str">
        <f ca="1">IFERROR(__xludf.DUMMYFUNCTION("IMPORTRANGE(H4562,""IDENTITAS UNIT!D9"")"),"#N/A")</f>
        <v>#N/A</v>
      </c>
      <c r="H4562" s="4" t="str">
        <v/>
      </c>
      <c r="I4562" s="4" t="str">
        <v/>
      </c>
    </row>
    <row r="4563" spans="5:9" ht="16.5" hidden="1">
      <c r="E4563" s="4" t="str">
        <v/>
      </c>
      <c r="F4563" s="102" t="str">
        <f ca="1">IFERROR(__xludf.DUMMYFUNCTION("IMPORTRANGE(H4563,""IDENTITAS UNIT!D9"")"),"#N/A")</f>
        <v>#N/A</v>
      </c>
      <c r="H4563" s="4" t="str">
        <v/>
      </c>
      <c r="I4563" s="4" t="str">
        <v/>
      </c>
    </row>
    <row r="4564" spans="5:9" ht="16.5" hidden="1">
      <c r="E4564" s="4" t="str">
        <v/>
      </c>
      <c r="F4564" s="102" t="str">
        <f ca="1">IFERROR(__xludf.DUMMYFUNCTION("IMPORTRANGE(H4564,""IDENTITAS UNIT!D9"")"),"#N/A")</f>
        <v>#N/A</v>
      </c>
      <c r="H4564" s="4" t="str">
        <v/>
      </c>
      <c r="I4564" s="4" t="str">
        <v/>
      </c>
    </row>
    <row r="4565" spans="5:9" ht="16.5" hidden="1">
      <c r="E4565" s="4" t="str">
        <v/>
      </c>
      <c r="F4565" s="102" t="str">
        <f ca="1">IFERROR(__xludf.DUMMYFUNCTION("IMPORTRANGE(H4565,""IDENTITAS UNIT!D9"")"),"#N/A")</f>
        <v>#N/A</v>
      </c>
      <c r="H4565" s="4" t="str">
        <v/>
      </c>
      <c r="I4565" s="4" t="str">
        <v/>
      </c>
    </row>
    <row r="4566" spans="5:9" ht="16.5" hidden="1">
      <c r="E4566" s="4" t="str">
        <v/>
      </c>
      <c r="F4566" s="102" t="str">
        <f ca="1">IFERROR(__xludf.DUMMYFUNCTION("IMPORTRANGE(H4566,""IDENTITAS UNIT!D9"")"),"#N/A")</f>
        <v>#N/A</v>
      </c>
      <c r="H4566" s="4" t="str">
        <v/>
      </c>
      <c r="I4566" s="4" t="str">
        <v/>
      </c>
    </row>
    <row r="4567" spans="5:9" ht="16.5" hidden="1">
      <c r="E4567" s="4" t="str">
        <v/>
      </c>
      <c r="F4567" s="102" t="str">
        <f ca="1">IFERROR(__xludf.DUMMYFUNCTION("IMPORTRANGE(H4567,""IDENTITAS UNIT!D9"")"),"#N/A")</f>
        <v>#N/A</v>
      </c>
      <c r="H4567" s="4" t="str">
        <v/>
      </c>
      <c r="I4567" s="4" t="str">
        <v/>
      </c>
    </row>
    <row r="4568" spans="5:9" ht="16.5" hidden="1">
      <c r="E4568" s="4" t="str">
        <v/>
      </c>
      <c r="F4568" s="102" t="str">
        <f ca="1">IFERROR(__xludf.DUMMYFUNCTION("IMPORTRANGE(H4568,""IDENTITAS UNIT!D9"")"),"#N/A")</f>
        <v>#N/A</v>
      </c>
      <c r="H4568" s="4" t="str">
        <v/>
      </c>
      <c r="I4568" s="4" t="str">
        <v/>
      </c>
    </row>
    <row r="4569" spans="5:9" ht="16.5" hidden="1">
      <c r="E4569" s="4" t="str">
        <v/>
      </c>
      <c r="F4569" s="102" t="str">
        <f ca="1">IFERROR(__xludf.DUMMYFUNCTION("IMPORTRANGE(H4569,""IDENTITAS UNIT!D9"")"),"#N/A")</f>
        <v>#N/A</v>
      </c>
      <c r="H4569" s="4" t="str">
        <v/>
      </c>
      <c r="I4569" s="4" t="str">
        <v/>
      </c>
    </row>
    <row r="4570" spans="5:9" ht="16.5" hidden="1">
      <c r="E4570" s="4" t="str">
        <v/>
      </c>
      <c r="F4570" s="102" t="str">
        <f ca="1">IFERROR(__xludf.DUMMYFUNCTION("IMPORTRANGE(H4570,""IDENTITAS UNIT!D9"")"),"#N/A")</f>
        <v>#N/A</v>
      </c>
      <c r="H4570" s="4" t="str">
        <v/>
      </c>
      <c r="I4570" s="4" t="str">
        <v/>
      </c>
    </row>
    <row r="4571" spans="5:9" ht="16.5" hidden="1">
      <c r="E4571" s="4" t="str">
        <v/>
      </c>
      <c r="F4571" s="102" t="str">
        <f ca="1">IFERROR(__xludf.DUMMYFUNCTION("IMPORTRANGE(H4571,""IDENTITAS UNIT!D9"")"),"#N/A")</f>
        <v>#N/A</v>
      </c>
      <c r="H4571" s="4" t="str">
        <v/>
      </c>
      <c r="I4571" s="4" t="str">
        <v/>
      </c>
    </row>
    <row r="4572" spans="5:9" ht="16.5" hidden="1">
      <c r="E4572" s="4" t="str">
        <v/>
      </c>
      <c r="F4572" s="102" t="str">
        <f ca="1">IFERROR(__xludf.DUMMYFUNCTION("IMPORTRANGE(H4572,""IDENTITAS UNIT!D9"")"),"#N/A")</f>
        <v>#N/A</v>
      </c>
      <c r="H4572" s="4" t="str">
        <v/>
      </c>
      <c r="I4572" s="4" t="str">
        <v/>
      </c>
    </row>
    <row r="4573" spans="5:9" ht="16.5" hidden="1">
      <c r="E4573" s="4" t="str">
        <v/>
      </c>
      <c r="F4573" s="102" t="str">
        <f ca="1">IFERROR(__xludf.DUMMYFUNCTION("IMPORTRANGE(H4573,""IDENTITAS UNIT!D9"")"),"#N/A")</f>
        <v>#N/A</v>
      </c>
      <c r="H4573" s="4" t="str">
        <v/>
      </c>
      <c r="I4573" s="4" t="str">
        <v/>
      </c>
    </row>
    <row r="4574" spans="5:9" ht="16.5" hidden="1">
      <c r="E4574" s="4" t="str">
        <v/>
      </c>
      <c r="F4574" s="102" t="str">
        <f ca="1">IFERROR(__xludf.DUMMYFUNCTION("IMPORTRANGE(H4574,""IDENTITAS UNIT!D9"")"),"#N/A")</f>
        <v>#N/A</v>
      </c>
      <c r="H4574" s="4" t="str">
        <v/>
      </c>
      <c r="I4574" s="4" t="str">
        <v/>
      </c>
    </row>
    <row r="4575" spans="5:9" ht="16.5" hidden="1">
      <c r="E4575" s="4" t="str">
        <v/>
      </c>
      <c r="F4575" s="102" t="str">
        <f ca="1">IFERROR(__xludf.DUMMYFUNCTION("IMPORTRANGE(H4575,""IDENTITAS UNIT!D9"")"),"#N/A")</f>
        <v>#N/A</v>
      </c>
      <c r="H4575" s="4" t="str">
        <v/>
      </c>
      <c r="I4575" s="4" t="str">
        <v/>
      </c>
    </row>
    <row r="4576" spans="5:9" ht="16.5" hidden="1">
      <c r="E4576" s="4" t="str">
        <v/>
      </c>
      <c r="F4576" s="102" t="str">
        <f ca="1">IFERROR(__xludf.DUMMYFUNCTION("IMPORTRANGE(H4576,""IDENTITAS UNIT!D9"")"),"#N/A")</f>
        <v>#N/A</v>
      </c>
      <c r="H4576" s="4" t="str">
        <v/>
      </c>
      <c r="I4576" s="4" t="str">
        <v/>
      </c>
    </row>
    <row r="4577" spans="5:9" ht="16.5" hidden="1">
      <c r="E4577" s="4" t="str">
        <v/>
      </c>
      <c r="F4577" s="102" t="str">
        <f ca="1">IFERROR(__xludf.DUMMYFUNCTION("IMPORTRANGE(H4577,""IDENTITAS UNIT!D9"")"),"#N/A")</f>
        <v>#N/A</v>
      </c>
      <c r="H4577" s="4" t="str">
        <v/>
      </c>
      <c r="I4577" s="4" t="str">
        <v/>
      </c>
    </row>
    <row r="4578" spans="5:9" ht="16.5" hidden="1">
      <c r="E4578" s="4" t="str">
        <v/>
      </c>
      <c r="F4578" s="102" t="str">
        <f ca="1">IFERROR(__xludf.DUMMYFUNCTION("IMPORTRANGE(H4578,""IDENTITAS UNIT!D9"")"),"#N/A")</f>
        <v>#N/A</v>
      </c>
      <c r="H4578" s="4" t="str">
        <v/>
      </c>
      <c r="I4578" s="4" t="str">
        <v/>
      </c>
    </row>
    <row r="4579" spans="5:9" ht="16.5" hidden="1">
      <c r="E4579" s="4" t="str">
        <v/>
      </c>
      <c r="F4579" s="102" t="str">
        <f ca="1">IFERROR(__xludf.DUMMYFUNCTION("IMPORTRANGE(H4579,""IDENTITAS UNIT!D9"")"),"#N/A")</f>
        <v>#N/A</v>
      </c>
      <c r="H4579" s="4" t="str">
        <v/>
      </c>
      <c r="I4579" s="4" t="str">
        <v/>
      </c>
    </row>
    <row r="4580" spans="5:9" ht="16.5" hidden="1">
      <c r="E4580" s="4" t="str">
        <v/>
      </c>
      <c r="F4580" s="102" t="str">
        <f ca="1">IFERROR(__xludf.DUMMYFUNCTION("IMPORTRANGE(H4580,""IDENTITAS UNIT!D9"")"),"#N/A")</f>
        <v>#N/A</v>
      </c>
      <c r="H4580" s="4" t="str">
        <v/>
      </c>
      <c r="I4580" s="4" t="str">
        <v/>
      </c>
    </row>
    <row r="4581" spans="5:9" ht="16.5" hidden="1">
      <c r="E4581" s="4" t="str">
        <v/>
      </c>
      <c r="F4581" s="102" t="str">
        <f ca="1">IFERROR(__xludf.DUMMYFUNCTION("IMPORTRANGE(H4581,""IDENTITAS UNIT!D9"")"),"#N/A")</f>
        <v>#N/A</v>
      </c>
      <c r="H4581" s="4" t="str">
        <v/>
      </c>
      <c r="I4581" s="4" t="str">
        <v/>
      </c>
    </row>
    <row r="4582" spans="5:9" ht="16.5" hidden="1">
      <c r="E4582" s="4" t="str">
        <v/>
      </c>
      <c r="F4582" s="102" t="str">
        <f ca="1">IFERROR(__xludf.DUMMYFUNCTION("IMPORTRANGE(H4582,""IDENTITAS UNIT!D9"")"),"#N/A")</f>
        <v>#N/A</v>
      </c>
      <c r="H4582" s="4" t="str">
        <v/>
      </c>
      <c r="I4582" s="4" t="str">
        <v/>
      </c>
    </row>
    <row r="4583" spans="5:9" ht="16.5" hidden="1">
      <c r="E4583" s="4" t="str">
        <v/>
      </c>
      <c r="F4583" s="102" t="str">
        <f ca="1">IFERROR(__xludf.DUMMYFUNCTION("IMPORTRANGE(H4583,""IDENTITAS UNIT!D9"")"),"#N/A")</f>
        <v>#N/A</v>
      </c>
      <c r="H4583" s="4" t="str">
        <v/>
      </c>
      <c r="I4583" s="4" t="str">
        <v/>
      </c>
    </row>
    <row r="4584" spans="5:9" ht="16.5" hidden="1">
      <c r="E4584" s="4" t="str">
        <v/>
      </c>
      <c r="F4584" s="102" t="str">
        <f ca="1">IFERROR(__xludf.DUMMYFUNCTION("IMPORTRANGE(H4584,""IDENTITAS UNIT!D9"")"),"#N/A")</f>
        <v>#N/A</v>
      </c>
      <c r="H4584" s="4" t="str">
        <v/>
      </c>
      <c r="I4584" s="4" t="str">
        <v/>
      </c>
    </row>
    <row r="4585" spans="5:9" ht="16.5" hidden="1">
      <c r="E4585" s="4" t="str">
        <v/>
      </c>
      <c r="F4585" s="102" t="str">
        <f ca="1">IFERROR(__xludf.DUMMYFUNCTION("IMPORTRANGE(H4585,""IDENTITAS UNIT!D9"")"),"#N/A")</f>
        <v>#N/A</v>
      </c>
      <c r="H4585" s="4" t="str">
        <v/>
      </c>
      <c r="I4585" s="4" t="str">
        <v/>
      </c>
    </row>
    <row r="4586" spans="5:9" ht="16.5" hidden="1">
      <c r="E4586" s="4" t="str">
        <v/>
      </c>
      <c r="F4586" s="102" t="str">
        <f ca="1">IFERROR(__xludf.DUMMYFUNCTION("IMPORTRANGE(H4586,""IDENTITAS UNIT!D9"")"),"#N/A")</f>
        <v>#N/A</v>
      </c>
      <c r="H4586" s="4" t="str">
        <v/>
      </c>
      <c r="I4586" s="4" t="str">
        <v/>
      </c>
    </row>
    <row r="4587" spans="5:9" ht="16.5" hidden="1">
      <c r="E4587" s="4" t="str">
        <v/>
      </c>
      <c r="F4587" s="102" t="str">
        <f ca="1">IFERROR(__xludf.DUMMYFUNCTION("IMPORTRANGE(H4587,""IDENTITAS UNIT!D9"")"),"#N/A")</f>
        <v>#N/A</v>
      </c>
      <c r="H4587" s="4" t="str">
        <v/>
      </c>
      <c r="I4587" s="4" t="str">
        <v/>
      </c>
    </row>
    <row r="4588" spans="5:9" ht="16.5" hidden="1">
      <c r="E4588" s="4" t="str">
        <v/>
      </c>
      <c r="F4588" s="102" t="str">
        <f ca="1">IFERROR(__xludf.DUMMYFUNCTION("IMPORTRANGE(H4588,""IDENTITAS UNIT!D9"")"),"#N/A")</f>
        <v>#N/A</v>
      </c>
      <c r="H4588" s="4" t="str">
        <v/>
      </c>
      <c r="I4588" s="4" t="str">
        <v/>
      </c>
    </row>
    <row r="4589" spans="5:9" ht="16.5" hidden="1">
      <c r="E4589" s="4" t="str">
        <v/>
      </c>
      <c r="F4589" s="102" t="str">
        <f ca="1">IFERROR(__xludf.DUMMYFUNCTION("IMPORTRANGE(H4589,""IDENTITAS UNIT!D9"")"),"#N/A")</f>
        <v>#N/A</v>
      </c>
      <c r="H4589" s="4" t="str">
        <v/>
      </c>
      <c r="I4589" s="4" t="str">
        <v/>
      </c>
    </row>
    <row r="4590" spans="5:9" ht="16.5" hidden="1">
      <c r="E4590" s="4" t="str">
        <v/>
      </c>
      <c r="F4590" s="102" t="str">
        <f ca="1">IFERROR(__xludf.DUMMYFUNCTION("IMPORTRANGE(H4590,""IDENTITAS UNIT!D9"")"),"#N/A")</f>
        <v>#N/A</v>
      </c>
      <c r="H4590" s="4" t="str">
        <v/>
      </c>
      <c r="I4590" s="4" t="str">
        <v/>
      </c>
    </row>
    <row r="4591" spans="5:9" ht="16.5" hidden="1">
      <c r="E4591" s="4" t="str">
        <v/>
      </c>
      <c r="F4591" s="102" t="str">
        <f ca="1">IFERROR(__xludf.DUMMYFUNCTION("IMPORTRANGE(H4591,""IDENTITAS UNIT!D9"")"),"#N/A")</f>
        <v>#N/A</v>
      </c>
      <c r="H4591" s="4" t="str">
        <v/>
      </c>
      <c r="I4591" s="4" t="str">
        <v/>
      </c>
    </row>
    <row r="4592" spans="5:9" ht="16.5" hidden="1">
      <c r="E4592" s="4" t="str">
        <v/>
      </c>
      <c r="F4592" s="102" t="str">
        <f ca="1">IFERROR(__xludf.DUMMYFUNCTION("IMPORTRANGE(H4592,""IDENTITAS UNIT!D9"")"),"#N/A")</f>
        <v>#N/A</v>
      </c>
      <c r="H4592" s="4" t="str">
        <v/>
      </c>
      <c r="I4592" s="4" t="str">
        <v/>
      </c>
    </row>
    <row r="4593" spans="5:9" ht="16.5" hidden="1">
      <c r="E4593" s="4" t="str">
        <v/>
      </c>
      <c r="F4593" s="102" t="str">
        <f ca="1">IFERROR(__xludf.DUMMYFUNCTION("IMPORTRANGE(H4593,""IDENTITAS UNIT!D9"")"),"#N/A")</f>
        <v>#N/A</v>
      </c>
      <c r="H4593" s="4" t="str">
        <v/>
      </c>
      <c r="I4593" s="4" t="str">
        <v/>
      </c>
    </row>
    <row r="4594" spans="5:9" ht="16.5" hidden="1">
      <c r="E4594" s="4" t="str">
        <v/>
      </c>
      <c r="F4594" s="102" t="str">
        <f ca="1">IFERROR(__xludf.DUMMYFUNCTION("IMPORTRANGE(H4594,""IDENTITAS UNIT!D9"")"),"#N/A")</f>
        <v>#N/A</v>
      </c>
      <c r="H4594" s="4" t="str">
        <v/>
      </c>
      <c r="I4594" s="4" t="str">
        <v/>
      </c>
    </row>
    <row r="4595" spans="5:9" ht="16.5" hidden="1">
      <c r="E4595" s="4" t="str">
        <v/>
      </c>
      <c r="F4595" s="102" t="str">
        <f ca="1">IFERROR(__xludf.DUMMYFUNCTION("IMPORTRANGE(H4595,""IDENTITAS UNIT!D9"")"),"#N/A")</f>
        <v>#N/A</v>
      </c>
      <c r="H4595" s="4" t="str">
        <v/>
      </c>
      <c r="I4595" s="4" t="str">
        <v/>
      </c>
    </row>
    <row r="4596" spans="5:9" ht="16.5" hidden="1">
      <c r="E4596" s="4" t="str">
        <v/>
      </c>
      <c r="F4596" s="102" t="str">
        <f ca="1">IFERROR(__xludf.DUMMYFUNCTION("IMPORTRANGE(H4596,""IDENTITAS UNIT!D9"")"),"#N/A")</f>
        <v>#N/A</v>
      </c>
      <c r="H4596" s="4" t="str">
        <v/>
      </c>
      <c r="I4596" s="4" t="str">
        <v/>
      </c>
    </row>
    <row r="4597" spans="5:9" ht="16.5" hidden="1">
      <c r="E4597" s="4" t="str">
        <v/>
      </c>
      <c r="F4597" s="102" t="str">
        <f ca="1">IFERROR(__xludf.DUMMYFUNCTION("IMPORTRANGE(H4597,""IDENTITAS UNIT!D9"")"),"#N/A")</f>
        <v>#N/A</v>
      </c>
      <c r="H4597" s="4" t="str">
        <v/>
      </c>
      <c r="I4597" s="4" t="str">
        <v/>
      </c>
    </row>
    <row r="4598" spans="5:9" ht="16.5" hidden="1">
      <c r="E4598" s="4" t="str">
        <v/>
      </c>
      <c r="F4598" s="102" t="str">
        <f ca="1">IFERROR(__xludf.DUMMYFUNCTION("IMPORTRANGE(H4598,""IDENTITAS UNIT!D9"")"),"#N/A")</f>
        <v>#N/A</v>
      </c>
      <c r="H4598" s="4" t="str">
        <v/>
      </c>
      <c r="I4598" s="4" t="str">
        <v/>
      </c>
    </row>
    <row r="4599" spans="5:9" ht="16.5" hidden="1">
      <c r="E4599" s="4" t="str">
        <v/>
      </c>
      <c r="F4599" s="102" t="str">
        <f ca="1">IFERROR(__xludf.DUMMYFUNCTION("IMPORTRANGE(H4599,""IDENTITAS UNIT!D9"")"),"#N/A")</f>
        <v>#N/A</v>
      </c>
      <c r="H4599" s="4" t="str">
        <v/>
      </c>
      <c r="I4599" s="4" t="str">
        <v/>
      </c>
    </row>
    <row r="4600" spans="5:9" ht="16.5" hidden="1">
      <c r="E4600" s="4" t="str">
        <v/>
      </c>
      <c r="F4600" s="102" t="str">
        <f ca="1">IFERROR(__xludf.DUMMYFUNCTION("IMPORTRANGE(H4600,""IDENTITAS UNIT!D9"")"),"#N/A")</f>
        <v>#N/A</v>
      </c>
      <c r="H4600" s="4" t="str">
        <v/>
      </c>
      <c r="I4600" s="4" t="str">
        <v/>
      </c>
    </row>
    <row r="4601" spans="5:9" ht="16.5" hidden="1">
      <c r="E4601" s="4" t="str">
        <v/>
      </c>
      <c r="F4601" s="102" t="str">
        <f ca="1">IFERROR(__xludf.DUMMYFUNCTION("IMPORTRANGE(H4601,""IDENTITAS UNIT!D9"")"),"#N/A")</f>
        <v>#N/A</v>
      </c>
      <c r="H4601" s="4" t="str">
        <v/>
      </c>
      <c r="I4601" s="4" t="str">
        <v/>
      </c>
    </row>
    <row r="4602" spans="5:9" ht="16.5" hidden="1">
      <c r="E4602" s="4" t="str">
        <v/>
      </c>
      <c r="F4602" s="102" t="str">
        <f ca="1">IFERROR(__xludf.DUMMYFUNCTION("IMPORTRANGE(H4602,""IDENTITAS UNIT!D9"")"),"#N/A")</f>
        <v>#N/A</v>
      </c>
      <c r="H4602" s="4" t="str">
        <v/>
      </c>
      <c r="I4602" s="4" t="str">
        <v/>
      </c>
    </row>
    <row r="4603" spans="5:9" ht="16.5" hidden="1">
      <c r="E4603" s="4" t="str">
        <v/>
      </c>
      <c r="F4603" s="102" t="str">
        <f ca="1">IFERROR(__xludf.DUMMYFUNCTION("IMPORTRANGE(H4603,""IDENTITAS UNIT!D9"")"),"#N/A")</f>
        <v>#N/A</v>
      </c>
      <c r="H4603" s="4" t="str">
        <v/>
      </c>
      <c r="I4603" s="4" t="str">
        <v/>
      </c>
    </row>
    <row r="4604" spans="5:9" ht="16.5" hidden="1">
      <c r="E4604" s="4" t="str">
        <v/>
      </c>
      <c r="F4604" s="102" t="str">
        <f ca="1">IFERROR(__xludf.DUMMYFUNCTION("IMPORTRANGE(H4604,""IDENTITAS UNIT!D9"")"),"#N/A")</f>
        <v>#N/A</v>
      </c>
      <c r="H4604" s="4" t="str">
        <v/>
      </c>
      <c r="I4604" s="4" t="str">
        <v/>
      </c>
    </row>
    <row r="4605" spans="5:9" ht="16.5" hidden="1">
      <c r="E4605" s="4" t="str">
        <v/>
      </c>
      <c r="F4605" s="102" t="str">
        <f ca="1">IFERROR(__xludf.DUMMYFUNCTION("IMPORTRANGE(H4605,""IDENTITAS UNIT!D9"")"),"#N/A")</f>
        <v>#N/A</v>
      </c>
      <c r="H4605" s="4" t="str">
        <v/>
      </c>
      <c r="I4605" s="4" t="str">
        <v/>
      </c>
    </row>
    <row r="4606" spans="5:9" ht="16.5" hidden="1">
      <c r="E4606" s="4" t="str">
        <v/>
      </c>
      <c r="F4606" s="102" t="str">
        <f ca="1">IFERROR(__xludf.DUMMYFUNCTION("IMPORTRANGE(H4606,""IDENTITAS UNIT!D9"")"),"#N/A")</f>
        <v>#N/A</v>
      </c>
      <c r="H4606" s="4" t="str">
        <v/>
      </c>
      <c r="I4606" s="4" t="str">
        <v/>
      </c>
    </row>
    <row r="4607" spans="5:9" ht="16.5" hidden="1">
      <c r="E4607" s="4" t="str">
        <v/>
      </c>
      <c r="F4607" s="102" t="str">
        <f ca="1">IFERROR(__xludf.DUMMYFUNCTION("IMPORTRANGE(H4607,""IDENTITAS UNIT!D9"")"),"#N/A")</f>
        <v>#N/A</v>
      </c>
      <c r="H4607" s="4" t="str">
        <v/>
      </c>
      <c r="I4607" s="4" t="str">
        <v/>
      </c>
    </row>
    <row r="4608" spans="5:9" ht="16.5" hidden="1">
      <c r="E4608" s="4" t="str">
        <v/>
      </c>
      <c r="F4608" s="102" t="str">
        <f ca="1">IFERROR(__xludf.DUMMYFUNCTION("IMPORTRANGE(H4608,""IDENTITAS UNIT!D9"")"),"#N/A")</f>
        <v>#N/A</v>
      </c>
      <c r="H4608" s="4" t="str">
        <v/>
      </c>
      <c r="I4608" s="4" t="str">
        <v/>
      </c>
    </row>
    <row r="4609" spans="5:9" ht="16.5" hidden="1">
      <c r="E4609" s="4" t="str">
        <v/>
      </c>
      <c r="F4609" s="102" t="str">
        <f ca="1">IFERROR(__xludf.DUMMYFUNCTION("IMPORTRANGE(H4609,""IDENTITAS UNIT!D9"")"),"#N/A")</f>
        <v>#N/A</v>
      </c>
      <c r="H4609" s="4" t="str">
        <v/>
      </c>
      <c r="I4609" s="4" t="str">
        <v/>
      </c>
    </row>
    <row r="4610" spans="5:9" ht="16.5" hidden="1">
      <c r="E4610" s="4" t="str">
        <v/>
      </c>
      <c r="F4610" s="102" t="str">
        <f ca="1">IFERROR(__xludf.DUMMYFUNCTION("IMPORTRANGE(H4610,""IDENTITAS UNIT!D9"")"),"#N/A")</f>
        <v>#N/A</v>
      </c>
      <c r="H4610" s="4" t="str">
        <v/>
      </c>
      <c r="I4610" s="4" t="str">
        <v/>
      </c>
    </row>
    <row r="4611" spans="5:9" ht="16.5" hidden="1">
      <c r="E4611" s="4" t="str">
        <v/>
      </c>
      <c r="F4611" s="102" t="str">
        <f ca="1">IFERROR(__xludf.DUMMYFUNCTION("IMPORTRANGE(H4611,""IDENTITAS UNIT!D9"")"),"#N/A")</f>
        <v>#N/A</v>
      </c>
      <c r="H4611" s="4" t="str">
        <v/>
      </c>
      <c r="I4611" s="4" t="str">
        <v/>
      </c>
    </row>
    <row r="4612" spans="5:9" ht="16.5" hidden="1">
      <c r="E4612" s="4" t="str">
        <v/>
      </c>
      <c r="F4612" s="102" t="str">
        <f ca="1">IFERROR(__xludf.DUMMYFUNCTION("IMPORTRANGE(H4612,""IDENTITAS UNIT!D9"")"),"#N/A")</f>
        <v>#N/A</v>
      </c>
      <c r="H4612" s="4" t="str">
        <v/>
      </c>
      <c r="I4612" s="4" t="str">
        <v/>
      </c>
    </row>
    <row r="4613" spans="5:9" ht="16.5" hidden="1">
      <c r="E4613" s="4" t="str">
        <v/>
      </c>
      <c r="F4613" s="102" t="str">
        <f ca="1">IFERROR(__xludf.DUMMYFUNCTION("IMPORTRANGE(H4613,""IDENTITAS UNIT!D9"")"),"#N/A")</f>
        <v>#N/A</v>
      </c>
      <c r="H4613" s="4" t="str">
        <v/>
      </c>
      <c r="I4613" s="4" t="str">
        <v/>
      </c>
    </row>
    <row r="4614" spans="5:9" ht="16.5" hidden="1">
      <c r="E4614" s="4" t="str">
        <v/>
      </c>
      <c r="F4614" s="102" t="str">
        <f ca="1">IFERROR(__xludf.DUMMYFUNCTION("IMPORTRANGE(H4614,""IDENTITAS UNIT!D9"")"),"#N/A")</f>
        <v>#N/A</v>
      </c>
      <c r="H4614" s="4" t="str">
        <v/>
      </c>
      <c r="I4614" s="4" t="str">
        <v/>
      </c>
    </row>
    <row r="4615" spans="5:9" ht="16.5" hidden="1">
      <c r="E4615" s="4" t="str">
        <v/>
      </c>
      <c r="F4615" s="102" t="str">
        <f ca="1">IFERROR(__xludf.DUMMYFUNCTION("IMPORTRANGE(H4615,""IDENTITAS UNIT!D9"")"),"#N/A")</f>
        <v>#N/A</v>
      </c>
      <c r="H4615" s="4" t="str">
        <v/>
      </c>
      <c r="I4615" s="4" t="str">
        <v/>
      </c>
    </row>
    <row r="4616" spans="5:9" ht="16.5" hidden="1">
      <c r="E4616" s="4" t="str">
        <v/>
      </c>
      <c r="F4616" s="102" t="str">
        <f ca="1">IFERROR(__xludf.DUMMYFUNCTION("IMPORTRANGE(H4616,""IDENTITAS UNIT!D9"")"),"#N/A")</f>
        <v>#N/A</v>
      </c>
      <c r="H4616" s="4" t="str">
        <v/>
      </c>
      <c r="I4616" s="4" t="str">
        <v/>
      </c>
    </row>
    <row r="4617" spans="5:9" ht="16.5" hidden="1">
      <c r="E4617" s="4" t="str">
        <v/>
      </c>
      <c r="F4617" s="102" t="str">
        <f ca="1">IFERROR(__xludf.DUMMYFUNCTION("IMPORTRANGE(H4617,""IDENTITAS UNIT!D9"")"),"#N/A")</f>
        <v>#N/A</v>
      </c>
      <c r="H4617" s="4" t="str">
        <v/>
      </c>
      <c r="I4617" s="4" t="str">
        <v/>
      </c>
    </row>
    <row r="4618" spans="5:9" ht="16.5" hidden="1">
      <c r="E4618" s="4" t="str">
        <v/>
      </c>
      <c r="F4618" s="102" t="str">
        <f ca="1">IFERROR(__xludf.DUMMYFUNCTION("IMPORTRANGE(H4618,""IDENTITAS UNIT!D9"")"),"#N/A")</f>
        <v>#N/A</v>
      </c>
      <c r="H4618" s="4" t="str">
        <v/>
      </c>
      <c r="I4618" s="4" t="str">
        <v/>
      </c>
    </row>
    <row r="4619" spans="5:9" ht="16.5" hidden="1">
      <c r="E4619" s="4" t="str">
        <v/>
      </c>
      <c r="F4619" s="102" t="str">
        <f ca="1">IFERROR(__xludf.DUMMYFUNCTION("IMPORTRANGE(H4619,""IDENTITAS UNIT!D9"")"),"#N/A")</f>
        <v>#N/A</v>
      </c>
      <c r="H4619" s="4" t="str">
        <v/>
      </c>
      <c r="I4619" s="4" t="str">
        <v/>
      </c>
    </row>
    <row r="4620" spans="5:9" ht="16.5" hidden="1">
      <c r="E4620" s="4" t="str">
        <v/>
      </c>
      <c r="F4620" s="102" t="str">
        <f ca="1">IFERROR(__xludf.DUMMYFUNCTION("IMPORTRANGE(H4620,""IDENTITAS UNIT!D9"")"),"#N/A")</f>
        <v>#N/A</v>
      </c>
      <c r="H4620" s="4" t="str">
        <v/>
      </c>
      <c r="I4620" s="4" t="str">
        <v/>
      </c>
    </row>
    <row r="4621" spans="5:9" ht="16.5" hidden="1">
      <c r="E4621" s="4" t="str">
        <v/>
      </c>
      <c r="F4621" s="102" t="str">
        <f ca="1">IFERROR(__xludf.DUMMYFUNCTION("IMPORTRANGE(H4621,""IDENTITAS UNIT!D9"")"),"#N/A")</f>
        <v>#N/A</v>
      </c>
      <c r="H4621" s="4" t="str">
        <v/>
      </c>
      <c r="I4621" s="4" t="str">
        <v/>
      </c>
    </row>
    <row r="4622" spans="5:9" ht="16.5" hidden="1">
      <c r="E4622" s="4" t="str">
        <v/>
      </c>
      <c r="F4622" s="102" t="str">
        <f ca="1">IFERROR(__xludf.DUMMYFUNCTION("IMPORTRANGE(H4622,""IDENTITAS UNIT!D9"")"),"#N/A")</f>
        <v>#N/A</v>
      </c>
      <c r="H4622" s="4" t="str">
        <v/>
      </c>
      <c r="I4622" s="4" t="str">
        <v/>
      </c>
    </row>
    <row r="4623" spans="5:9" ht="16.5" hidden="1">
      <c r="E4623" s="4" t="str">
        <v/>
      </c>
      <c r="F4623" s="102" t="str">
        <f ca="1">IFERROR(__xludf.DUMMYFUNCTION("IMPORTRANGE(H4623,""IDENTITAS UNIT!D9"")"),"#N/A")</f>
        <v>#N/A</v>
      </c>
      <c r="H4623" s="4" t="str">
        <v/>
      </c>
      <c r="I4623" s="4" t="str">
        <v/>
      </c>
    </row>
    <row r="4624" spans="5:9" ht="16.5" hidden="1">
      <c r="E4624" s="4" t="str">
        <v/>
      </c>
      <c r="F4624" s="102" t="str">
        <f ca="1">IFERROR(__xludf.DUMMYFUNCTION("IMPORTRANGE(H4624,""IDENTITAS UNIT!D9"")"),"#N/A")</f>
        <v>#N/A</v>
      </c>
      <c r="H4624" s="4" t="str">
        <v/>
      </c>
      <c r="I4624" s="4" t="str">
        <v/>
      </c>
    </row>
    <row r="4625" spans="5:9" ht="16.5" hidden="1">
      <c r="E4625" s="4" t="str">
        <v/>
      </c>
      <c r="F4625" s="102" t="str">
        <f ca="1">IFERROR(__xludf.DUMMYFUNCTION("IMPORTRANGE(H4625,""IDENTITAS UNIT!D9"")"),"#N/A")</f>
        <v>#N/A</v>
      </c>
      <c r="H4625" s="4" t="str">
        <v/>
      </c>
      <c r="I4625" s="4" t="str">
        <v/>
      </c>
    </row>
    <row r="4626" spans="5:9" ht="16.5" hidden="1">
      <c r="E4626" s="4" t="str">
        <v/>
      </c>
      <c r="F4626" s="102" t="str">
        <f ca="1">IFERROR(__xludf.DUMMYFUNCTION("IMPORTRANGE(H4626,""IDENTITAS UNIT!D9"")"),"#N/A")</f>
        <v>#N/A</v>
      </c>
      <c r="H4626" s="4" t="str">
        <v/>
      </c>
      <c r="I4626" s="4" t="str">
        <v/>
      </c>
    </row>
    <row r="4627" spans="5:9" ht="16.5" hidden="1">
      <c r="E4627" s="4" t="str">
        <v/>
      </c>
      <c r="F4627" s="102" t="str">
        <f ca="1">IFERROR(__xludf.DUMMYFUNCTION("IMPORTRANGE(H4627,""IDENTITAS UNIT!D9"")"),"#N/A")</f>
        <v>#N/A</v>
      </c>
      <c r="H4627" s="4" t="str">
        <v/>
      </c>
      <c r="I4627" s="4" t="str">
        <v/>
      </c>
    </row>
    <row r="4628" spans="5:9" ht="16.5" hidden="1">
      <c r="E4628" s="4" t="str">
        <v/>
      </c>
      <c r="F4628" s="102" t="str">
        <f ca="1">IFERROR(__xludf.DUMMYFUNCTION("IMPORTRANGE(H4628,""IDENTITAS UNIT!D9"")"),"#N/A")</f>
        <v>#N/A</v>
      </c>
      <c r="H4628" s="4" t="str">
        <v/>
      </c>
      <c r="I4628" s="4" t="str">
        <v/>
      </c>
    </row>
    <row r="4629" spans="5:9" ht="16.5" hidden="1">
      <c r="E4629" s="4" t="str">
        <v/>
      </c>
      <c r="F4629" s="102" t="str">
        <f ca="1">IFERROR(__xludf.DUMMYFUNCTION("IMPORTRANGE(H4629,""IDENTITAS UNIT!D9"")"),"#N/A")</f>
        <v>#N/A</v>
      </c>
      <c r="H4629" s="4" t="str">
        <v/>
      </c>
      <c r="I4629" s="4" t="str">
        <v/>
      </c>
    </row>
    <row r="4630" spans="5:9" ht="16.5" hidden="1">
      <c r="E4630" s="4" t="str">
        <v/>
      </c>
      <c r="F4630" s="102" t="str">
        <f ca="1">IFERROR(__xludf.DUMMYFUNCTION("IMPORTRANGE(H4630,""IDENTITAS UNIT!D9"")"),"#N/A")</f>
        <v>#N/A</v>
      </c>
      <c r="H4630" s="4" t="str">
        <v/>
      </c>
      <c r="I4630" s="4" t="str">
        <v/>
      </c>
    </row>
    <row r="4631" spans="5:9" ht="16.5" hidden="1">
      <c r="E4631" s="4" t="str">
        <v/>
      </c>
      <c r="F4631" s="102" t="str">
        <f ca="1">IFERROR(__xludf.DUMMYFUNCTION("IMPORTRANGE(H4631,""IDENTITAS UNIT!D9"")"),"#N/A")</f>
        <v>#N/A</v>
      </c>
      <c r="H4631" s="4" t="str">
        <v/>
      </c>
      <c r="I4631" s="4" t="str">
        <v/>
      </c>
    </row>
    <row r="4632" spans="5:9" ht="16.5" hidden="1">
      <c r="E4632" s="4" t="str">
        <v/>
      </c>
      <c r="F4632" s="102" t="str">
        <f ca="1">IFERROR(__xludf.DUMMYFUNCTION("IMPORTRANGE(H4632,""IDENTITAS UNIT!D9"")"),"#N/A")</f>
        <v>#N/A</v>
      </c>
      <c r="H4632" s="4" t="str">
        <v/>
      </c>
      <c r="I4632" s="4" t="str">
        <v/>
      </c>
    </row>
    <row r="4633" spans="5:9" ht="16.5" hidden="1">
      <c r="E4633" s="4" t="str">
        <v/>
      </c>
      <c r="F4633" s="102" t="str">
        <f ca="1">IFERROR(__xludf.DUMMYFUNCTION("IMPORTRANGE(H4633,""IDENTITAS UNIT!D9"")"),"#N/A")</f>
        <v>#N/A</v>
      </c>
      <c r="H4633" s="4" t="str">
        <v/>
      </c>
      <c r="I4633" s="4" t="str">
        <v/>
      </c>
    </row>
    <row r="4634" spans="5:9" ht="16.5" hidden="1">
      <c r="E4634" s="4" t="str">
        <v/>
      </c>
      <c r="F4634" s="102" t="str">
        <f ca="1">IFERROR(__xludf.DUMMYFUNCTION("IMPORTRANGE(H4634,""IDENTITAS UNIT!D9"")"),"#N/A")</f>
        <v>#N/A</v>
      </c>
      <c r="H4634" s="4" t="str">
        <v/>
      </c>
      <c r="I4634" s="4" t="str">
        <v/>
      </c>
    </row>
    <row r="4635" spans="5:9" ht="16.5" hidden="1">
      <c r="E4635" s="4" t="str">
        <v/>
      </c>
      <c r="F4635" s="102" t="str">
        <f ca="1">IFERROR(__xludf.DUMMYFUNCTION("IMPORTRANGE(H4635,""IDENTITAS UNIT!D9"")"),"#N/A")</f>
        <v>#N/A</v>
      </c>
      <c r="H4635" s="4" t="str">
        <v/>
      </c>
      <c r="I4635" s="4" t="str">
        <v/>
      </c>
    </row>
    <row r="4636" spans="5:9" ht="16.5" hidden="1">
      <c r="E4636" s="4" t="str">
        <v/>
      </c>
      <c r="F4636" s="102" t="str">
        <f ca="1">IFERROR(__xludf.DUMMYFUNCTION("IMPORTRANGE(H4636,""IDENTITAS UNIT!D9"")"),"#N/A")</f>
        <v>#N/A</v>
      </c>
      <c r="H4636" s="4" t="str">
        <v/>
      </c>
      <c r="I4636" s="4" t="str">
        <v/>
      </c>
    </row>
    <row r="4637" spans="5:9" ht="16.5" hidden="1">
      <c r="E4637" s="4" t="str">
        <v/>
      </c>
      <c r="F4637" s="102" t="str">
        <f ca="1">IFERROR(__xludf.DUMMYFUNCTION("IMPORTRANGE(H4637,""IDENTITAS UNIT!D9"")"),"#N/A")</f>
        <v>#N/A</v>
      </c>
      <c r="H4637" s="4" t="str">
        <v/>
      </c>
      <c r="I4637" s="4" t="str">
        <v/>
      </c>
    </row>
    <row r="4638" spans="5:9" ht="16.5" hidden="1">
      <c r="E4638" s="4" t="str">
        <v/>
      </c>
      <c r="F4638" s="102" t="str">
        <f ca="1">IFERROR(__xludf.DUMMYFUNCTION("IMPORTRANGE(H4638,""IDENTITAS UNIT!D9"")"),"#N/A")</f>
        <v>#N/A</v>
      </c>
      <c r="H4638" s="4" t="str">
        <v/>
      </c>
      <c r="I4638" s="4" t="str">
        <v/>
      </c>
    </row>
    <row r="4639" spans="5:9" ht="16.5" hidden="1">
      <c r="E4639" s="4" t="str">
        <v/>
      </c>
      <c r="F4639" s="102" t="str">
        <f ca="1">IFERROR(__xludf.DUMMYFUNCTION("IMPORTRANGE(H4639,""IDENTITAS UNIT!D9"")"),"#N/A")</f>
        <v>#N/A</v>
      </c>
      <c r="H4639" s="4" t="str">
        <v/>
      </c>
      <c r="I4639" s="4" t="str">
        <v/>
      </c>
    </row>
    <row r="4640" spans="5:9" ht="16.5" hidden="1">
      <c r="E4640" s="4" t="str">
        <v/>
      </c>
      <c r="F4640" s="102" t="str">
        <f ca="1">IFERROR(__xludf.DUMMYFUNCTION("IMPORTRANGE(H4640,""IDENTITAS UNIT!D9"")"),"#N/A")</f>
        <v>#N/A</v>
      </c>
      <c r="H4640" s="4" t="str">
        <v/>
      </c>
      <c r="I4640" s="4" t="str">
        <v/>
      </c>
    </row>
    <row r="4641" spans="5:9" ht="16.5" hidden="1">
      <c r="E4641" s="4" t="str">
        <v/>
      </c>
      <c r="F4641" s="102" t="str">
        <f ca="1">IFERROR(__xludf.DUMMYFUNCTION("IMPORTRANGE(H4641,""IDENTITAS UNIT!D9"")"),"#N/A")</f>
        <v>#N/A</v>
      </c>
      <c r="H4641" s="4" t="str">
        <v/>
      </c>
      <c r="I4641" s="4" t="str">
        <v/>
      </c>
    </row>
    <row r="4642" spans="5:9" ht="16.5" hidden="1">
      <c r="E4642" s="4" t="str">
        <v/>
      </c>
      <c r="F4642" s="102" t="str">
        <f ca="1">IFERROR(__xludf.DUMMYFUNCTION("IMPORTRANGE(H4642,""IDENTITAS UNIT!D9"")"),"#N/A")</f>
        <v>#N/A</v>
      </c>
      <c r="H4642" s="4" t="str">
        <v/>
      </c>
      <c r="I4642" s="4" t="str">
        <v/>
      </c>
    </row>
    <row r="4643" spans="5:9" ht="16.5" hidden="1">
      <c r="E4643" s="4" t="str">
        <v/>
      </c>
      <c r="F4643" s="102" t="str">
        <f ca="1">IFERROR(__xludf.DUMMYFUNCTION("IMPORTRANGE(H4643,""IDENTITAS UNIT!D9"")"),"#N/A")</f>
        <v>#N/A</v>
      </c>
      <c r="H4643" s="4" t="str">
        <v/>
      </c>
      <c r="I4643" s="4" t="str">
        <v/>
      </c>
    </row>
    <row r="4644" spans="5:9" ht="16.5" hidden="1">
      <c r="E4644" s="4" t="str">
        <v/>
      </c>
      <c r="F4644" s="102" t="str">
        <f ca="1">IFERROR(__xludf.DUMMYFUNCTION("IMPORTRANGE(H4644,""IDENTITAS UNIT!D9"")"),"#N/A")</f>
        <v>#N/A</v>
      </c>
      <c r="H4644" s="4" t="str">
        <v/>
      </c>
      <c r="I4644" s="4" t="str">
        <v/>
      </c>
    </row>
    <row r="4645" spans="5:9" ht="16.5" hidden="1">
      <c r="E4645" s="4" t="str">
        <v/>
      </c>
      <c r="F4645" s="102" t="str">
        <f ca="1">IFERROR(__xludf.DUMMYFUNCTION("IMPORTRANGE(H4645,""IDENTITAS UNIT!D9"")"),"#N/A")</f>
        <v>#N/A</v>
      </c>
      <c r="H4645" s="4" t="str">
        <v/>
      </c>
      <c r="I4645" s="4" t="str">
        <v/>
      </c>
    </row>
    <row r="4646" spans="5:9" ht="16.5" hidden="1">
      <c r="E4646" s="4" t="str">
        <v/>
      </c>
      <c r="F4646" s="102" t="str">
        <f ca="1">IFERROR(__xludf.DUMMYFUNCTION("IMPORTRANGE(H4646,""IDENTITAS UNIT!D9"")"),"#N/A")</f>
        <v>#N/A</v>
      </c>
      <c r="H4646" s="4" t="str">
        <v/>
      </c>
      <c r="I4646" s="4" t="str">
        <v/>
      </c>
    </row>
    <row r="4647" spans="5:9" ht="16.5" hidden="1">
      <c r="E4647" s="4" t="str">
        <v/>
      </c>
      <c r="F4647" s="102" t="str">
        <f ca="1">IFERROR(__xludf.DUMMYFUNCTION("IMPORTRANGE(H4647,""IDENTITAS UNIT!D9"")"),"#N/A")</f>
        <v>#N/A</v>
      </c>
      <c r="H4647" s="4" t="str">
        <v/>
      </c>
      <c r="I4647" s="4" t="str">
        <v/>
      </c>
    </row>
    <row r="4648" spans="5:9" ht="16.5" hidden="1">
      <c r="E4648" s="4" t="str">
        <v/>
      </c>
      <c r="F4648" s="102" t="str">
        <f ca="1">IFERROR(__xludf.DUMMYFUNCTION("IMPORTRANGE(H4648,""IDENTITAS UNIT!D9"")"),"#N/A")</f>
        <v>#N/A</v>
      </c>
      <c r="H4648" s="4" t="str">
        <v/>
      </c>
      <c r="I4648" s="4" t="str">
        <v/>
      </c>
    </row>
    <row r="4649" spans="5:9" ht="16.5" hidden="1">
      <c r="E4649" s="4" t="str">
        <v/>
      </c>
      <c r="F4649" s="102" t="str">
        <f ca="1">IFERROR(__xludf.DUMMYFUNCTION("IMPORTRANGE(H4649,""IDENTITAS UNIT!D9"")"),"#N/A")</f>
        <v>#N/A</v>
      </c>
      <c r="H4649" s="4" t="str">
        <v/>
      </c>
      <c r="I4649" s="4" t="str">
        <v/>
      </c>
    </row>
    <row r="4650" spans="5:9" ht="16.5" hidden="1">
      <c r="E4650" s="4" t="str">
        <v/>
      </c>
      <c r="F4650" s="102" t="str">
        <f ca="1">IFERROR(__xludf.DUMMYFUNCTION("IMPORTRANGE(H4650,""IDENTITAS UNIT!D9"")"),"#N/A")</f>
        <v>#N/A</v>
      </c>
      <c r="H4650" s="4" t="str">
        <v/>
      </c>
      <c r="I4650" s="4" t="str">
        <v/>
      </c>
    </row>
    <row r="4651" spans="5:9" ht="16.5" hidden="1">
      <c r="E4651" s="4" t="str">
        <v/>
      </c>
      <c r="F4651" s="102" t="str">
        <f ca="1">IFERROR(__xludf.DUMMYFUNCTION("IMPORTRANGE(H4651,""IDENTITAS UNIT!D9"")"),"#N/A")</f>
        <v>#N/A</v>
      </c>
      <c r="H4651" s="4" t="str">
        <v/>
      </c>
      <c r="I4651" s="4" t="str">
        <v/>
      </c>
    </row>
    <row r="4652" spans="5:9" ht="16.5" hidden="1">
      <c r="E4652" s="4" t="str">
        <v/>
      </c>
      <c r="F4652" s="102" t="str">
        <f ca="1">IFERROR(__xludf.DUMMYFUNCTION("IMPORTRANGE(H4652,""IDENTITAS UNIT!D9"")"),"#N/A")</f>
        <v>#N/A</v>
      </c>
      <c r="H4652" s="4" t="str">
        <v/>
      </c>
      <c r="I4652" s="4" t="str">
        <v/>
      </c>
    </row>
    <row r="4653" spans="5:9" ht="16.5" hidden="1">
      <c r="E4653" s="4" t="str">
        <v/>
      </c>
      <c r="F4653" s="102" t="str">
        <f ca="1">IFERROR(__xludf.DUMMYFUNCTION("IMPORTRANGE(H4653,""IDENTITAS UNIT!D9"")"),"#N/A")</f>
        <v>#N/A</v>
      </c>
      <c r="H4653" s="4" t="str">
        <v/>
      </c>
      <c r="I4653" s="4" t="str">
        <v/>
      </c>
    </row>
    <row r="4654" spans="5:9" ht="16.5" hidden="1">
      <c r="E4654" s="4" t="str">
        <v/>
      </c>
      <c r="F4654" s="102" t="str">
        <f ca="1">IFERROR(__xludf.DUMMYFUNCTION("IMPORTRANGE(H4654,""IDENTITAS UNIT!D9"")"),"#N/A")</f>
        <v>#N/A</v>
      </c>
      <c r="H4654" s="4" t="str">
        <v/>
      </c>
      <c r="I4654" s="4" t="str">
        <v/>
      </c>
    </row>
    <row r="4655" spans="5:9" ht="16.5" hidden="1">
      <c r="E4655" s="4" t="str">
        <v/>
      </c>
      <c r="F4655" s="102" t="str">
        <f ca="1">IFERROR(__xludf.DUMMYFUNCTION("IMPORTRANGE(H4655,""IDENTITAS UNIT!D9"")"),"#N/A")</f>
        <v>#N/A</v>
      </c>
      <c r="H4655" s="4" t="str">
        <v/>
      </c>
      <c r="I4655" s="4" t="str">
        <v/>
      </c>
    </row>
    <row r="4656" spans="5:9" ht="16.5" hidden="1">
      <c r="E4656" s="4" t="str">
        <v/>
      </c>
      <c r="F4656" s="102" t="str">
        <f ca="1">IFERROR(__xludf.DUMMYFUNCTION("IMPORTRANGE(H4656,""IDENTITAS UNIT!D9"")"),"#N/A")</f>
        <v>#N/A</v>
      </c>
      <c r="H4656" s="4" t="str">
        <v/>
      </c>
      <c r="I4656" s="4" t="str">
        <v/>
      </c>
    </row>
    <row r="4657" spans="5:9" ht="16.5" hidden="1">
      <c r="E4657" s="4" t="str">
        <v/>
      </c>
      <c r="F4657" s="102" t="str">
        <f ca="1">IFERROR(__xludf.DUMMYFUNCTION("IMPORTRANGE(H4657,""IDENTITAS UNIT!D9"")"),"#N/A")</f>
        <v>#N/A</v>
      </c>
      <c r="H4657" s="4" t="str">
        <v/>
      </c>
      <c r="I4657" s="4" t="str">
        <v/>
      </c>
    </row>
    <row r="4658" spans="5:9" ht="16.5" hidden="1">
      <c r="E4658" s="4" t="str">
        <v/>
      </c>
      <c r="F4658" s="102" t="str">
        <f ca="1">IFERROR(__xludf.DUMMYFUNCTION("IMPORTRANGE(H4658,""IDENTITAS UNIT!D9"")"),"#N/A")</f>
        <v>#N/A</v>
      </c>
      <c r="H4658" s="4" t="str">
        <v/>
      </c>
      <c r="I4658" s="4" t="str">
        <v/>
      </c>
    </row>
    <row r="4659" spans="5:9" ht="16.5" hidden="1">
      <c r="E4659" s="4" t="str">
        <v/>
      </c>
      <c r="F4659" s="102" t="str">
        <f ca="1">IFERROR(__xludf.DUMMYFUNCTION("IMPORTRANGE(H4659,""IDENTITAS UNIT!D9"")"),"#N/A")</f>
        <v>#N/A</v>
      </c>
      <c r="H4659" s="4" t="str">
        <v/>
      </c>
      <c r="I4659" s="4" t="str">
        <v/>
      </c>
    </row>
    <row r="4660" spans="5:9" ht="16.5" hidden="1">
      <c r="E4660" s="4" t="str">
        <v/>
      </c>
      <c r="F4660" s="102" t="str">
        <f ca="1">IFERROR(__xludf.DUMMYFUNCTION("IMPORTRANGE(H4660,""IDENTITAS UNIT!D9"")"),"#N/A")</f>
        <v>#N/A</v>
      </c>
      <c r="H4660" s="4" t="str">
        <v/>
      </c>
      <c r="I4660" s="4" t="str">
        <v/>
      </c>
    </row>
    <row r="4661" spans="5:9" ht="16.5" hidden="1">
      <c r="E4661" s="4" t="str">
        <v/>
      </c>
      <c r="F4661" s="102" t="str">
        <f ca="1">IFERROR(__xludf.DUMMYFUNCTION("IMPORTRANGE(H4661,""IDENTITAS UNIT!D9"")"),"#N/A")</f>
        <v>#N/A</v>
      </c>
      <c r="H4661" s="4" t="str">
        <v/>
      </c>
      <c r="I4661" s="4" t="str">
        <v/>
      </c>
    </row>
    <row r="4662" spans="5:9" ht="16.5" hidden="1">
      <c r="E4662" s="4" t="str">
        <v/>
      </c>
      <c r="F4662" s="102" t="str">
        <f ca="1">IFERROR(__xludf.DUMMYFUNCTION("IMPORTRANGE(H4662,""IDENTITAS UNIT!D9"")"),"#N/A")</f>
        <v>#N/A</v>
      </c>
      <c r="H4662" s="4" t="str">
        <v/>
      </c>
      <c r="I4662" s="4" t="str">
        <v/>
      </c>
    </row>
    <row r="4663" spans="5:9" ht="16.5" hidden="1">
      <c r="E4663" s="4" t="str">
        <v/>
      </c>
      <c r="F4663" s="102" t="str">
        <f ca="1">IFERROR(__xludf.DUMMYFUNCTION("IMPORTRANGE(H4663,""IDENTITAS UNIT!D9"")"),"#N/A")</f>
        <v>#N/A</v>
      </c>
      <c r="H4663" s="4" t="str">
        <v/>
      </c>
      <c r="I4663" s="4" t="str">
        <v/>
      </c>
    </row>
    <row r="4664" spans="5:9" ht="16.5" hidden="1">
      <c r="E4664" s="4" t="str">
        <v/>
      </c>
      <c r="F4664" s="102" t="str">
        <f ca="1">IFERROR(__xludf.DUMMYFUNCTION("IMPORTRANGE(H4664,""IDENTITAS UNIT!D9"")"),"#N/A")</f>
        <v>#N/A</v>
      </c>
      <c r="H4664" s="4" t="str">
        <v/>
      </c>
      <c r="I4664" s="4" t="str">
        <v/>
      </c>
    </row>
    <row r="4665" spans="5:9" ht="16.5" hidden="1">
      <c r="E4665" s="4" t="str">
        <v/>
      </c>
      <c r="F4665" s="102" t="str">
        <f ca="1">IFERROR(__xludf.DUMMYFUNCTION("IMPORTRANGE(H4665,""IDENTITAS UNIT!D9"")"),"#N/A")</f>
        <v>#N/A</v>
      </c>
      <c r="H4665" s="4" t="str">
        <v/>
      </c>
      <c r="I4665" s="4" t="str">
        <v/>
      </c>
    </row>
    <row r="4666" spans="5:9" ht="16.5" hidden="1">
      <c r="E4666" s="4" t="str">
        <v/>
      </c>
      <c r="F4666" s="102" t="str">
        <f ca="1">IFERROR(__xludf.DUMMYFUNCTION("IMPORTRANGE(H4666,""IDENTITAS UNIT!D9"")"),"#N/A")</f>
        <v>#N/A</v>
      </c>
      <c r="H4666" s="4" t="str">
        <v/>
      </c>
      <c r="I4666" s="4" t="str">
        <v/>
      </c>
    </row>
    <row r="4667" spans="5:9" ht="16.5" hidden="1">
      <c r="E4667" s="4" t="str">
        <v/>
      </c>
      <c r="F4667" s="102" t="str">
        <f ca="1">IFERROR(__xludf.DUMMYFUNCTION("IMPORTRANGE(H4667,""IDENTITAS UNIT!D9"")"),"#N/A")</f>
        <v>#N/A</v>
      </c>
      <c r="H4667" s="4" t="str">
        <v/>
      </c>
      <c r="I4667" s="4" t="str">
        <v/>
      </c>
    </row>
    <row r="4668" spans="5:9" ht="16.5" hidden="1">
      <c r="E4668" s="4" t="str">
        <v/>
      </c>
      <c r="F4668" s="102" t="str">
        <f ca="1">IFERROR(__xludf.DUMMYFUNCTION("IMPORTRANGE(H4668,""IDENTITAS UNIT!D9"")"),"#N/A")</f>
        <v>#N/A</v>
      </c>
      <c r="H4668" s="4" t="str">
        <v/>
      </c>
      <c r="I4668" s="4" t="str">
        <v/>
      </c>
    </row>
    <row r="4669" spans="5:9" ht="16.5" hidden="1">
      <c r="E4669" s="4" t="str">
        <v/>
      </c>
      <c r="F4669" s="102" t="str">
        <f ca="1">IFERROR(__xludf.DUMMYFUNCTION("IMPORTRANGE(H4669,""IDENTITAS UNIT!D9"")"),"#N/A")</f>
        <v>#N/A</v>
      </c>
      <c r="H4669" s="4" t="str">
        <v/>
      </c>
      <c r="I4669" s="4" t="str">
        <v/>
      </c>
    </row>
    <row r="4670" spans="5:9" ht="16.5" hidden="1">
      <c r="E4670" s="4" t="str">
        <v/>
      </c>
      <c r="F4670" s="102" t="str">
        <f ca="1">IFERROR(__xludf.DUMMYFUNCTION("IMPORTRANGE(H4670,""IDENTITAS UNIT!D9"")"),"#N/A")</f>
        <v>#N/A</v>
      </c>
      <c r="H4670" s="4" t="str">
        <v/>
      </c>
      <c r="I4670" s="4" t="str">
        <v/>
      </c>
    </row>
    <row r="4671" spans="5:9" ht="16.5" hidden="1">
      <c r="E4671" s="4" t="str">
        <v/>
      </c>
      <c r="F4671" s="102" t="str">
        <f ca="1">IFERROR(__xludf.DUMMYFUNCTION("IMPORTRANGE(H4671,""IDENTITAS UNIT!D9"")"),"#N/A")</f>
        <v>#N/A</v>
      </c>
      <c r="H4671" s="4" t="str">
        <v/>
      </c>
      <c r="I4671" s="4" t="str">
        <v/>
      </c>
    </row>
    <row r="4672" spans="5:9" ht="16.5" hidden="1">
      <c r="E4672" s="4" t="str">
        <v/>
      </c>
      <c r="F4672" s="102" t="str">
        <f ca="1">IFERROR(__xludf.DUMMYFUNCTION("IMPORTRANGE(H4672,""IDENTITAS UNIT!D9"")"),"#N/A")</f>
        <v>#N/A</v>
      </c>
      <c r="H4672" s="4" t="str">
        <v/>
      </c>
      <c r="I4672" s="4" t="str">
        <v/>
      </c>
    </row>
    <row r="4673" spans="5:9" ht="16.5" hidden="1">
      <c r="E4673" s="4" t="str">
        <v/>
      </c>
      <c r="F4673" s="102" t="str">
        <f ca="1">IFERROR(__xludf.DUMMYFUNCTION("IMPORTRANGE(H4673,""IDENTITAS UNIT!D9"")"),"#N/A")</f>
        <v>#N/A</v>
      </c>
      <c r="H4673" s="4" t="str">
        <v/>
      </c>
      <c r="I4673" s="4" t="str">
        <v/>
      </c>
    </row>
    <row r="4674" spans="5:9" ht="16.5" hidden="1">
      <c r="E4674" s="4" t="str">
        <v/>
      </c>
      <c r="F4674" s="102" t="str">
        <f ca="1">IFERROR(__xludf.DUMMYFUNCTION("IMPORTRANGE(H4674,""IDENTITAS UNIT!D9"")"),"#N/A")</f>
        <v>#N/A</v>
      </c>
      <c r="H4674" s="4" t="str">
        <v/>
      </c>
      <c r="I4674" s="4" t="str">
        <v/>
      </c>
    </row>
    <row r="4675" spans="5:9" ht="16.5" hidden="1">
      <c r="E4675" s="4" t="str">
        <v/>
      </c>
      <c r="F4675" s="102" t="str">
        <f ca="1">IFERROR(__xludf.DUMMYFUNCTION("IMPORTRANGE(H4675,""IDENTITAS UNIT!D9"")"),"#N/A")</f>
        <v>#N/A</v>
      </c>
      <c r="H4675" s="4" t="str">
        <v/>
      </c>
      <c r="I4675" s="4" t="str">
        <v/>
      </c>
    </row>
    <row r="4676" spans="5:9" ht="16.5" hidden="1">
      <c r="E4676" s="4" t="str">
        <v/>
      </c>
      <c r="F4676" s="102" t="str">
        <f ca="1">IFERROR(__xludf.DUMMYFUNCTION("IMPORTRANGE(H4676,""IDENTITAS UNIT!D9"")"),"#N/A")</f>
        <v>#N/A</v>
      </c>
      <c r="H4676" s="4" t="str">
        <v/>
      </c>
      <c r="I4676" s="4" t="str">
        <v/>
      </c>
    </row>
    <row r="4677" spans="5:9" ht="16.5" hidden="1">
      <c r="E4677" s="4" t="str">
        <v/>
      </c>
      <c r="F4677" s="102" t="str">
        <f ca="1">IFERROR(__xludf.DUMMYFUNCTION("IMPORTRANGE(H4677,""IDENTITAS UNIT!D9"")"),"#N/A")</f>
        <v>#N/A</v>
      </c>
      <c r="H4677" s="4" t="str">
        <v/>
      </c>
      <c r="I4677" s="4" t="str">
        <v/>
      </c>
    </row>
    <row r="4678" spans="5:9" ht="16.5" hidden="1">
      <c r="E4678" s="4" t="str">
        <v/>
      </c>
      <c r="F4678" s="102" t="str">
        <f ca="1">IFERROR(__xludf.DUMMYFUNCTION("IMPORTRANGE(H4678,""IDENTITAS UNIT!D9"")"),"#N/A")</f>
        <v>#N/A</v>
      </c>
      <c r="H4678" s="4" t="str">
        <v/>
      </c>
      <c r="I4678" s="4" t="str">
        <v/>
      </c>
    </row>
    <row r="4679" spans="5:9" ht="16.5" hidden="1">
      <c r="E4679" s="4" t="str">
        <v/>
      </c>
      <c r="F4679" s="102" t="str">
        <f ca="1">IFERROR(__xludf.DUMMYFUNCTION("IMPORTRANGE(H4679,""IDENTITAS UNIT!D9"")"),"#N/A")</f>
        <v>#N/A</v>
      </c>
      <c r="H4679" s="4" t="str">
        <v/>
      </c>
      <c r="I4679" s="4" t="str">
        <v/>
      </c>
    </row>
    <row r="4680" spans="5:9" ht="16.5" hidden="1">
      <c r="E4680" s="4" t="str">
        <v/>
      </c>
      <c r="F4680" s="102" t="str">
        <f ca="1">IFERROR(__xludf.DUMMYFUNCTION("IMPORTRANGE(H4680,""IDENTITAS UNIT!D9"")"),"#N/A")</f>
        <v>#N/A</v>
      </c>
      <c r="H4680" s="4" t="str">
        <v/>
      </c>
      <c r="I4680" s="4" t="str">
        <v/>
      </c>
    </row>
    <row r="4681" spans="5:9" ht="16.5" hidden="1">
      <c r="E4681" s="4" t="str">
        <v/>
      </c>
      <c r="F4681" s="102" t="str">
        <f ca="1">IFERROR(__xludf.DUMMYFUNCTION("IMPORTRANGE(H4681,""IDENTITAS UNIT!D9"")"),"#N/A")</f>
        <v>#N/A</v>
      </c>
      <c r="H4681" s="4" t="str">
        <v/>
      </c>
      <c r="I4681" s="4" t="str">
        <v/>
      </c>
    </row>
    <row r="4682" spans="5:9" ht="16.5" hidden="1">
      <c r="E4682" s="4" t="str">
        <v/>
      </c>
      <c r="F4682" s="102" t="str">
        <f ca="1">IFERROR(__xludf.DUMMYFUNCTION("IMPORTRANGE(H4682,""IDENTITAS UNIT!D9"")"),"#N/A")</f>
        <v>#N/A</v>
      </c>
      <c r="H4682" s="4" t="str">
        <v/>
      </c>
      <c r="I4682" s="4" t="str">
        <v/>
      </c>
    </row>
    <row r="4683" spans="5:9" ht="16.5" hidden="1">
      <c r="E4683" s="4" t="str">
        <v/>
      </c>
      <c r="F4683" s="102" t="str">
        <f ca="1">IFERROR(__xludf.DUMMYFUNCTION("IMPORTRANGE(H4683,""IDENTITAS UNIT!D9"")"),"#N/A")</f>
        <v>#N/A</v>
      </c>
      <c r="H4683" s="4" t="str">
        <v/>
      </c>
      <c r="I4683" s="4" t="str">
        <v/>
      </c>
    </row>
    <row r="4684" spans="5:9" ht="16.5" hidden="1">
      <c r="E4684" s="4" t="str">
        <v/>
      </c>
      <c r="F4684" s="102" t="str">
        <f ca="1">IFERROR(__xludf.DUMMYFUNCTION("IMPORTRANGE(H4684,""IDENTITAS UNIT!D9"")"),"#N/A")</f>
        <v>#N/A</v>
      </c>
      <c r="H4684" s="4" t="str">
        <v/>
      </c>
      <c r="I4684" s="4" t="str">
        <v/>
      </c>
    </row>
    <row r="4685" spans="5:9" ht="16.5" hidden="1">
      <c r="E4685" s="4" t="str">
        <v/>
      </c>
      <c r="F4685" s="102" t="str">
        <f ca="1">IFERROR(__xludf.DUMMYFUNCTION("IMPORTRANGE(H4685,""IDENTITAS UNIT!D9"")"),"#N/A")</f>
        <v>#N/A</v>
      </c>
      <c r="H4685" s="4" t="str">
        <v/>
      </c>
      <c r="I4685" s="4" t="str">
        <v/>
      </c>
    </row>
    <row r="4686" spans="5:9" ht="16.5" hidden="1">
      <c r="E4686" s="4" t="str">
        <v/>
      </c>
      <c r="F4686" s="102" t="str">
        <f ca="1">IFERROR(__xludf.DUMMYFUNCTION("IMPORTRANGE(H4686,""IDENTITAS UNIT!D9"")"),"#N/A")</f>
        <v>#N/A</v>
      </c>
      <c r="H4686" s="4" t="str">
        <v/>
      </c>
      <c r="I4686" s="4" t="str">
        <v/>
      </c>
    </row>
    <row r="4687" spans="5:9" ht="16.5" hidden="1">
      <c r="E4687" s="4" t="str">
        <v/>
      </c>
      <c r="F4687" s="102" t="str">
        <f ca="1">IFERROR(__xludf.DUMMYFUNCTION("IMPORTRANGE(H4687,""IDENTITAS UNIT!D9"")"),"#N/A")</f>
        <v>#N/A</v>
      </c>
      <c r="H4687" s="4" t="str">
        <v/>
      </c>
      <c r="I4687" s="4" t="str">
        <v/>
      </c>
    </row>
    <row r="4688" spans="5:9" ht="16.5" hidden="1">
      <c r="E4688" s="4" t="str">
        <v/>
      </c>
      <c r="F4688" s="102" t="str">
        <f ca="1">IFERROR(__xludf.DUMMYFUNCTION("IMPORTRANGE(H4688,""IDENTITAS UNIT!D9"")"),"#N/A")</f>
        <v>#N/A</v>
      </c>
      <c r="H4688" s="4" t="str">
        <v/>
      </c>
      <c r="I4688" s="4" t="str">
        <v/>
      </c>
    </row>
    <row r="4689" spans="5:9" ht="16.5" hidden="1">
      <c r="E4689" s="4" t="str">
        <v/>
      </c>
      <c r="F4689" s="102" t="str">
        <f ca="1">IFERROR(__xludf.DUMMYFUNCTION("IMPORTRANGE(H4689,""IDENTITAS UNIT!D9"")"),"#N/A")</f>
        <v>#N/A</v>
      </c>
      <c r="H4689" s="4" t="str">
        <v/>
      </c>
      <c r="I4689" s="4" t="str">
        <v/>
      </c>
    </row>
    <row r="4690" spans="5:9" ht="16.5" hidden="1">
      <c r="E4690" s="4" t="str">
        <v/>
      </c>
      <c r="F4690" s="102" t="str">
        <f ca="1">IFERROR(__xludf.DUMMYFUNCTION("IMPORTRANGE(H4690,""IDENTITAS UNIT!D9"")"),"#N/A")</f>
        <v>#N/A</v>
      </c>
      <c r="H4690" s="4" t="str">
        <v/>
      </c>
      <c r="I4690" s="4" t="str">
        <v/>
      </c>
    </row>
    <row r="4691" spans="5:9" ht="16.5" hidden="1">
      <c r="E4691" s="4" t="str">
        <v/>
      </c>
      <c r="F4691" s="102" t="str">
        <f ca="1">IFERROR(__xludf.DUMMYFUNCTION("IMPORTRANGE(H4691,""IDENTITAS UNIT!D9"")"),"#N/A")</f>
        <v>#N/A</v>
      </c>
      <c r="H4691" s="4" t="str">
        <v/>
      </c>
      <c r="I4691" s="4" t="str">
        <v/>
      </c>
    </row>
    <row r="4692" spans="5:9" ht="16.5" hidden="1">
      <c r="E4692" s="4" t="str">
        <v/>
      </c>
      <c r="F4692" s="102" t="str">
        <f ca="1">IFERROR(__xludf.DUMMYFUNCTION("IMPORTRANGE(H4692,""IDENTITAS UNIT!D9"")"),"#N/A")</f>
        <v>#N/A</v>
      </c>
      <c r="H4692" s="4" t="str">
        <v/>
      </c>
      <c r="I4692" s="4" t="str">
        <v/>
      </c>
    </row>
    <row r="4693" spans="5:9" ht="16.5" hidden="1">
      <c r="E4693" s="4" t="str">
        <v/>
      </c>
      <c r="F4693" s="102" t="str">
        <f ca="1">IFERROR(__xludf.DUMMYFUNCTION("IMPORTRANGE(H4693,""IDENTITAS UNIT!D9"")"),"#N/A")</f>
        <v>#N/A</v>
      </c>
      <c r="H4693" s="4" t="str">
        <v/>
      </c>
      <c r="I4693" s="4" t="str">
        <v/>
      </c>
    </row>
    <row r="4694" spans="5:9" ht="16.5" hidden="1">
      <c r="E4694" s="4" t="str">
        <v/>
      </c>
      <c r="F4694" s="102" t="str">
        <f ca="1">IFERROR(__xludf.DUMMYFUNCTION("IMPORTRANGE(H4694,""IDENTITAS UNIT!D9"")"),"#N/A")</f>
        <v>#N/A</v>
      </c>
      <c r="H4694" s="4" t="str">
        <v/>
      </c>
      <c r="I4694" s="4" t="str">
        <v/>
      </c>
    </row>
    <row r="4695" spans="5:9" ht="16.5" hidden="1">
      <c r="E4695" s="4" t="str">
        <v/>
      </c>
      <c r="F4695" s="102" t="str">
        <f ca="1">IFERROR(__xludf.DUMMYFUNCTION("IMPORTRANGE(H4695,""IDENTITAS UNIT!D9"")"),"#N/A")</f>
        <v>#N/A</v>
      </c>
      <c r="H4695" s="4" t="str">
        <v/>
      </c>
      <c r="I4695" s="4" t="str">
        <v/>
      </c>
    </row>
    <row r="4696" spans="5:9" ht="16.5" hidden="1">
      <c r="E4696" s="4" t="str">
        <v/>
      </c>
      <c r="F4696" s="102" t="str">
        <f ca="1">IFERROR(__xludf.DUMMYFUNCTION("IMPORTRANGE(H4696,""IDENTITAS UNIT!D9"")"),"#N/A")</f>
        <v>#N/A</v>
      </c>
      <c r="H4696" s="4" t="str">
        <v/>
      </c>
      <c r="I4696" s="4" t="str">
        <v/>
      </c>
    </row>
    <row r="4697" spans="5:9" ht="16.5" hidden="1">
      <c r="E4697" s="4" t="str">
        <v/>
      </c>
      <c r="F4697" s="102" t="str">
        <f ca="1">IFERROR(__xludf.DUMMYFUNCTION("IMPORTRANGE(H4697,""IDENTITAS UNIT!D9"")"),"#N/A")</f>
        <v>#N/A</v>
      </c>
      <c r="H4697" s="4" t="str">
        <v/>
      </c>
      <c r="I4697" s="4" t="str">
        <v/>
      </c>
    </row>
    <row r="4698" spans="5:9" ht="16.5" hidden="1">
      <c r="E4698" s="4" t="str">
        <v/>
      </c>
      <c r="F4698" s="102" t="str">
        <f ca="1">IFERROR(__xludf.DUMMYFUNCTION("IMPORTRANGE(H4698,""IDENTITAS UNIT!D9"")"),"#N/A")</f>
        <v>#N/A</v>
      </c>
      <c r="H4698" s="4" t="str">
        <v/>
      </c>
      <c r="I4698" s="4" t="str">
        <v/>
      </c>
    </row>
    <row r="4699" spans="5:9" ht="16.5" hidden="1">
      <c r="E4699" s="4" t="str">
        <v/>
      </c>
      <c r="F4699" s="102" t="str">
        <f ca="1">IFERROR(__xludf.DUMMYFUNCTION("IMPORTRANGE(H4699,""IDENTITAS UNIT!D9"")"),"#N/A")</f>
        <v>#N/A</v>
      </c>
      <c r="H4699" s="4" t="str">
        <v/>
      </c>
      <c r="I4699" s="4" t="str">
        <v/>
      </c>
    </row>
    <row r="4700" spans="5:9" ht="16.5" hidden="1">
      <c r="E4700" s="4" t="str">
        <v/>
      </c>
      <c r="F4700" s="102" t="str">
        <f ca="1">IFERROR(__xludf.DUMMYFUNCTION("IMPORTRANGE(H4700,""IDENTITAS UNIT!D9"")"),"#N/A")</f>
        <v>#N/A</v>
      </c>
      <c r="H4700" s="4" t="str">
        <v/>
      </c>
      <c r="I4700" s="4" t="str">
        <v/>
      </c>
    </row>
    <row r="4701" spans="5:9" ht="16.5" hidden="1">
      <c r="E4701" s="4" t="str">
        <v/>
      </c>
      <c r="F4701" s="102" t="str">
        <f ca="1">IFERROR(__xludf.DUMMYFUNCTION("IMPORTRANGE(H4701,""IDENTITAS UNIT!D9"")"),"#N/A")</f>
        <v>#N/A</v>
      </c>
      <c r="H4701" s="4" t="str">
        <v/>
      </c>
      <c r="I4701" s="4" t="str">
        <v/>
      </c>
    </row>
    <row r="4702" spans="5:9" ht="16.5" hidden="1">
      <c r="E4702" s="4" t="str">
        <v/>
      </c>
      <c r="F4702" s="102" t="str">
        <f ca="1">IFERROR(__xludf.DUMMYFUNCTION("IMPORTRANGE(H4702,""IDENTITAS UNIT!D9"")"),"#N/A")</f>
        <v>#N/A</v>
      </c>
      <c r="H4702" s="4" t="str">
        <v/>
      </c>
      <c r="I4702" s="4" t="str">
        <v/>
      </c>
    </row>
    <row r="4703" spans="5:9" ht="16.5" hidden="1">
      <c r="E4703" s="4" t="str">
        <v/>
      </c>
      <c r="F4703" s="102" t="str">
        <f ca="1">IFERROR(__xludf.DUMMYFUNCTION("IMPORTRANGE(H4703,""IDENTITAS UNIT!D9"")"),"#N/A")</f>
        <v>#N/A</v>
      </c>
      <c r="H4703" s="4" t="str">
        <v/>
      </c>
      <c r="I4703" s="4" t="str">
        <v/>
      </c>
    </row>
    <row r="4704" spans="5:9" ht="16.5" hidden="1">
      <c r="E4704" s="4" t="str">
        <v/>
      </c>
      <c r="F4704" s="102" t="str">
        <f ca="1">IFERROR(__xludf.DUMMYFUNCTION("IMPORTRANGE(H4704,""IDENTITAS UNIT!D9"")"),"#N/A")</f>
        <v>#N/A</v>
      </c>
      <c r="H4704" s="4" t="str">
        <v/>
      </c>
      <c r="I4704" s="4" t="str">
        <v/>
      </c>
    </row>
    <row r="4705" spans="5:9" ht="16.5" hidden="1">
      <c r="E4705" s="4" t="str">
        <v/>
      </c>
      <c r="F4705" s="102" t="str">
        <f ca="1">IFERROR(__xludf.DUMMYFUNCTION("IMPORTRANGE(H4705,""IDENTITAS UNIT!D9"")"),"#N/A")</f>
        <v>#N/A</v>
      </c>
      <c r="H4705" s="4" t="str">
        <v/>
      </c>
      <c r="I4705" s="4" t="str">
        <v/>
      </c>
    </row>
    <row r="4706" spans="5:9" ht="16.5" hidden="1">
      <c r="E4706" s="4" t="str">
        <v/>
      </c>
      <c r="F4706" s="102" t="str">
        <f ca="1">IFERROR(__xludf.DUMMYFUNCTION("IMPORTRANGE(H4706,""IDENTITAS UNIT!D9"")"),"#N/A")</f>
        <v>#N/A</v>
      </c>
      <c r="H4706" s="4" t="str">
        <v/>
      </c>
      <c r="I4706" s="4" t="str">
        <v/>
      </c>
    </row>
    <row r="4707" spans="5:9" ht="16.5" hidden="1">
      <c r="E4707" s="4" t="str">
        <v/>
      </c>
      <c r="F4707" s="102" t="str">
        <f ca="1">IFERROR(__xludf.DUMMYFUNCTION("IMPORTRANGE(H4707,""IDENTITAS UNIT!D9"")"),"#N/A")</f>
        <v>#N/A</v>
      </c>
      <c r="H4707" s="4" t="str">
        <v/>
      </c>
      <c r="I4707" s="4" t="str">
        <v/>
      </c>
    </row>
    <row r="4708" spans="5:9" ht="16.5" hidden="1">
      <c r="E4708" s="4" t="str">
        <v/>
      </c>
      <c r="F4708" s="102" t="str">
        <f ca="1">IFERROR(__xludf.DUMMYFUNCTION("IMPORTRANGE(H4708,""IDENTITAS UNIT!D9"")"),"#N/A")</f>
        <v>#N/A</v>
      </c>
      <c r="H4708" s="4" t="str">
        <v/>
      </c>
      <c r="I4708" s="4" t="str">
        <v/>
      </c>
    </row>
    <row r="4709" spans="5:9" ht="16.5" hidden="1">
      <c r="E4709" s="4" t="str">
        <v/>
      </c>
      <c r="F4709" s="102" t="str">
        <f ca="1">IFERROR(__xludf.DUMMYFUNCTION("IMPORTRANGE(H4709,""IDENTITAS UNIT!D9"")"),"#N/A")</f>
        <v>#N/A</v>
      </c>
      <c r="H4709" s="4" t="str">
        <v/>
      </c>
      <c r="I4709" s="4" t="str">
        <v/>
      </c>
    </row>
    <row r="4710" spans="5:9" ht="16.5" hidden="1">
      <c r="E4710" s="4" t="str">
        <v/>
      </c>
      <c r="F4710" s="102" t="str">
        <f ca="1">IFERROR(__xludf.DUMMYFUNCTION("IMPORTRANGE(H4710,""IDENTITAS UNIT!D9"")"),"#N/A")</f>
        <v>#N/A</v>
      </c>
      <c r="H4710" s="4" t="str">
        <v/>
      </c>
      <c r="I4710" s="4" t="str">
        <v/>
      </c>
    </row>
    <row r="4711" spans="5:9" ht="16.5" hidden="1">
      <c r="E4711" s="4" t="str">
        <v/>
      </c>
      <c r="F4711" s="102" t="str">
        <f ca="1">IFERROR(__xludf.DUMMYFUNCTION("IMPORTRANGE(H4711,""IDENTITAS UNIT!D9"")"),"#N/A")</f>
        <v>#N/A</v>
      </c>
      <c r="H4711" s="4" t="str">
        <v/>
      </c>
      <c r="I4711" s="4" t="str">
        <v/>
      </c>
    </row>
    <row r="4712" spans="5:9" ht="16.5" hidden="1">
      <c r="E4712" s="4" t="str">
        <v/>
      </c>
      <c r="F4712" s="102" t="str">
        <f ca="1">IFERROR(__xludf.DUMMYFUNCTION("IMPORTRANGE(H4712,""IDENTITAS UNIT!D9"")"),"#N/A")</f>
        <v>#N/A</v>
      </c>
      <c r="H4712" s="4" t="str">
        <v/>
      </c>
      <c r="I4712" s="4" t="str">
        <v/>
      </c>
    </row>
    <row r="4713" spans="5:9" ht="16.5" hidden="1">
      <c r="E4713" s="4" t="str">
        <v/>
      </c>
      <c r="F4713" s="102" t="str">
        <f ca="1">IFERROR(__xludf.DUMMYFUNCTION("IMPORTRANGE(H4713,""IDENTITAS UNIT!D9"")"),"#N/A")</f>
        <v>#N/A</v>
      </c>
      <c r="H4713" s="4" t="str">
        <v/>
      </c>
      <c r="I4713" s="4" t="str">
        <v/>
      </c>
    </row>
    <row r="4714" spans="5:9" ht="16.5" hidden="1">
      <c r="E4714" s="4" t="str">
        <v/>
      </c>
      <c r="F4714" s="102" t="str">
        <f ca="1">IFERROR(__xludf.DUMMYFUNCTION("IMPORTRANGE(H4714,""IDENTITAS UNIT!D9"")"),"#N/A")</f>
        <v>#N/A</v>
      </c>
      <c r="H4714" s="4" t="str">
        <v/>
      </c>
      <c r="I4714" s="4" t="str">
        <v/>
      </c>
    </row>
    <row r="4715" spans="5:9" ht="16.5" hidden="1">
      <c r="E4715" s="4" t="str">
        <v/>
      </c>
      <c r="F4715" s="102" t="str">
        <f ca="1">IFERROR(__xludf.DUMMYFUNCTION("IMPORTRANGE(H4715,""IDENTITAS UNIT!D9"")"),"#N/A")</f>
        <v>#N/A</v>
      </c>
      <c r="H4715" s="4" t="str">
        <v/>
      </c>
      <c r="I4715" s="4" t="str">
        <v/>
      </c>
    </row>
    <row r="4716" spans="5:9" ht="16.5" hidden="1">
      <c r="E4716" s="4" t="str">
        <v/>
      </c>
      <c r="F4716" s="102" t="str">
        <f ca="1">IFERROR(__xludf.DUMMYFUNCTION("IMPORTRANGE(H4716,""IDENTITAS UNIT!D9"")"),"#N/A")</f>
        <v>#N/A</v>
      </c>
      <c r="H4716" s="4" t="str">
        <v/>
      </c>
      <c r="I4716" s="4" t="str">
        <v/>
      </c>
    </row>
    <row r="4717" spans="5:9" ht="16.5" hidden="1">
      <c r="E4717" s="4" t="str">
        <v/>
      </c>
      <c r="F4717" s="102" t="str">
        <f ca="1">IFERROR(__xludf.DUMMYFUNCTION("IMPORTRANGE(H4717,""IDENTITAS UNIT!D9"")"),"#N/A")</f>
        <v>#N/A</v>
      </c>
      <c r="H4717" s="4" t="str">
        <v/>
      </c>
      <c r="I4717" s="4" t="str">
        <v/>
      </c>
    </row>
    <row r="4718" spans="5:9" ht="16.5" hidden="1">
      <c r="E4718" s="4" t="str">
        <v/>
      </c>
      <c r="F4718" s="102" t="str">
        <f ca="1">IFERROR(__xludf.DUMMYFUNCTION("IMPORTRANGE(H4718,""IDENTITAS UNIT!D9"")"),"#N/A")</f>
        <v>#N/A</v>
      </c>
      <c r="H4718" s="4" t="str">
        <v/>
      </c>
      <c r="I4718" s="4" t="str">
        <v/>
      </c>
    </row>
    <row r="4719" spans="5:9" ht="16.5" hidden="1">
      <c r="E4719" s="4" t="str">
        <v/>
      </c>
      <c r="F4719" s="102" t="str">
        <f ca="1">IFERROR(__xludf.DUMMYFUNCTION("IMPORTRANGE(H4719,""IDENTITAS UNIT!D9"")"),"#N/A")</f>
        <v>#N/A</v>
      </c>
      <c r="H4719" s="4" t="str">
        <v/>
      </c>
      <c r="I4719" s="4" t="str">
        <v/>
      </c>
    </row>
    <row r="4720" spans="5:9" ht="16.5" hidden="1">
      <c r="E4720" s="4" t="str">
        <v/>
      </c>
      <c r="F4720" s="102" t="str">
        <f ca="1">IFERROR(__xludf.DUMMYFUNCTION("IMPORTRANGE(H4720,""IDENTITAS UNIT!D9"")"),"#N/A")</f>
        <v>#N/A</v>
      </c>
      <c r="H4720" s="4" t="str">
        <v/>
      </c>
      <c r="I4720" s="4" t="str">
        <v/>
      </c>
    </row>
    <row r="4721" spans="5:9" ht="16.5" hidden="1">
      <c r="E4721" s="4" t="str">
        <v/>
      </c>
      <c r="F4721" s="102" t="str">
        <f ca="1">IFERROR(__xludf.DUMMYFUNCTION("IMPORTRANGE(H4721,""IDENTITAS UNIT!D9"")"),"#N/A")</f>
        <v>#N/A</v>
      </c>
      <c r="H4721" s="4" t="str">
        <v/>
      </c>
      <c r="I4721" s="4" t="str">
        <v/>
      </c>
    </row>
    <row r="4722" spans="5:9" ht="16.5" hidden="1">
      <c r="E4722" s="4" t="str">
        <v/>
      </c>
      <c r="F4722" s="102" t="str">
        <f ca="1">IFERROR(__xludf.DUMMYFUNCTION("IMPORTRANGE(H4722,""IDENTITAS UNIT!D9"")"),"#N/A")</f>
        <v>#N/A</v>
      </c>
      <c r="H4722" s="4" t="str">
        <v/>
      </c>
      <c r="I4722" s="4" t="str">
        <v/>
      </c>
    </row>
    <row r="4723" spans="5:9" ht="16.5" hidden="1">
      <c r="E4723" s="4" t="str">
        <v/>
      </c>
      <c r="F4723" s="102" t="str">
        <f ca="1">IFERROR(__xludf.DUMMYFUNCTION("IMPORTRANGE(H4723,""IDENTITAS UNIT!D9"")"),"#N/A")</f>
        <v>#N/A</v>
      </c>
      <c r="H4723" s="4" t="str">
        <v/>
      </c>
      <c r="I4723" s="4" t="str">
        <v/>
      </c>
    </row>
    <row r="4724" spans="5:9" ht="16.5" hidden="1">
      <c r="E4724" s="4" t="str">
        <v/>
      </c>
      <c r="F4724" s="102" t="str">
        <f ca="1">IFERROR(__xludf.DUMMYFUNCTION("IMPORTRANGE(H4724,""IDENTITAS UNIT!D9"")"),"#N/A")</f>
        <v>#N/A</v>
      </c>
      <c r="H4724" s="4" t="str">
        <v/>
      </c>
      <c r="I4724" s="4" t="str">
        <v/>
      </c>
    </row>
    <row r="4725" spans="5:9" ht="16.5" hidden="1">
      <c r="E4725" s="4" t="str">
        <v/>
      </c>
      <c r="F4725" s="102" t="str">
        <f ca="1">IFERROR(__xludf.DUMMYFUNCTION("IMPORTRANGE(H4725,""IDENTITAS UNIT!D9"")"),"#N/A")</f>
        <v>#N/A</v>
      </c>
      <c r="H4725" s="4" t="str">
        <v/>
      </c>
      <c r="I4725" s="4" t="str">
        <v/>
      </c>
    </row>
    <row r="4726" spans="5:9" ht="16.5" hidden="1">
      <c r="E4726" s="4" t="str">
        <v/>
      </c>
      <c r="F4726" s="102" t="str">
        <f ca="1">IFERROR(__xludf.DUMMYFUNCTION("IMPORTRANGE(H4726,""IDENTITAS UNIT!D9"")"),"#N/A")</f>
        <v>#N/A</v>
      </c>
      <c r="H4726" s="4" t="str">
        <v/>
      </c>
      <c r="I4726" s="4" t="str">
        <v/>
      </c>
    </row>
    <row r="4727" spans="5:9" ht="16.5" hidden="1">
      <c r="E4727" s="4" t="str">
        <v/>
      </c>
      <c r="F4727" s="102" t="str">
        <f ca="1">IFERROR(__xludf.DUMMYFUNCTION("IMPORTRANGE(H4727,""IDENTITAS UNIT!D9"")"),"#N/A")</f>
        <v>#N/A</v>
      </c>
      <c r="H4727" s="4" t="str">
        <v/>
      </c>
      <c r="I4727" s="4" t="str">
        <v/>
      </c>
    </row>
    <row r="4728" spans="5:9" ht="16.5" hidden="1">
      <c r="E4728" s="4" t="str">
        <v/>
      </c>
      <c r="F4728" s="102" t="str">
        <f ca="1">IFERROR(__xludf.DUMMYFUNCTION("IMPORTRANGE(H4728,""IDENTITAS UNIT!D9"")"),"#N/A")</f>
        <v>#N/A</v>
      </c>
      <c r="H4728" s="4" t="str">
        <v/>
      </c>
      <c r="I4728" s="4" t="str">
        <v/>
      </c>
    </row>
    <row r="4729" spans="5:9" ht="16.5" hidden="1">
      <c r="E4729" s="4" t="str">
        <v/>
      </c>
      <c r="F4729" s="102" t="str">
        <f ca="1">IFERROR(__xludf.DUMMYFUNCTION("IMPORTRANGE(H4729,""IDENTITAS UNIT!D9"")"),"#N/A")</f>
        <v>#N/A</v>
      </c>
      <c r="H4729" s="4" t="str">
        <v/>
      </c>
      <c r="I4729" s="4" t="str">
        <v/>
      </c>
    </row>
    <row r="4730" spans="5:9" ht="16.5" hidden="1">
      <c r="E4730" s="4" t="str">
        <v/>
      </c>
      <c r="F4730" s="102" t="str">
        <f ca="1">IFERROR(__xludf.DUMMYFUNCTION("IMPORTRANGE(H4730,""IDENTITAS UNIT!D9"")"),"#N/A")</f>
        <v>#N/A</v>
      </c>
      <c r="H4730" s="4" t="str">
        <v/>
      </c>
      <c r="I4730" s="4" t="str">
        <v/>
      </c>
    </row>
    <row r="4731" spans="5:9" ht="16.5" hidden="1">
      <c r="E4731" s="4" t="str">
        <v/>
      </c>
      <c r="F4731" s="102" t="str">
        <f ca="1">IFERROR(__xludf.DUMMYFUNCTION("IMPORTRANGE(H4731,""IDENTITAS UNIT!D9"")"),"#N/A")</f>
        <v>#N/A</v>
      </c>
      <c r="H4731" s="4" t="str">
        <v/>
      </c>
      <c r="I4731" s="4" t="str">
        <v/>
      </c>
    </row>
    <row r="4732" spans="5:9" ht="16.5" hidden="1">
      <c r="E4732" s="4" t="str">
        <v/>
      </c>
      <c r="F4732" s="102" t="str">
        <f ca="1">IFERROR(__xludf.DUMMYFUNCTION("IMPORTRANGE(H4732,""IDENTITAS UNIT!D9"")"),"#N/A")</f>
        <v>#N/A</v>
      </c>
      <c r="H4732" s="4" t="str">
        <v/>
      </c>
      <c r="I4732" s="4" t="str">
        <v/>
      </c>
    </row>
    <row r="4733" spans="5:9" ht="16.5" hidden="1">
      <c r="E4733" s="4" t="str">
        <v/>
      </c>
      <c r="F4733" s="102" t="str">
        <f ca="1">IFERROR(__xludf.DUMMYFUNCTION("IMPORTRANGE(H4733,""IDENTITAS UNIT!D9"")"),"#N/A")</f>
        <v>#N/A</v>
      </c>
      <c r="H4733" s="4" t="str">
        <v/>
      </c>
      <c r="I4733" s="4" t="str">
        <v/>
      </c>
    </row>
    <row r="4734" spans="5:9" ht="16.5" hidden="1">
      <c r="E4734" s="4" t="str">
        <v/>
      </c>
      <c r="F4734" s="102" t="str">
        <f ca="1">IFERROR(__xludf.DUMMYFUNCTION("IMPORTRANGE(H4734,""IDENTITAS UNIT!D9"")"),"#N/A")</f>
        <v>#N/A</v>
      </c>
      <c r="H4734" s="4" t="str">
        <v/>
      </c>
      <c r="I4734" s="4" t="str">
        <v/>
      </c>
    </row>
    <row r="4735" spans="5:9" ht="16.5" hidden="1">
      <c r="E4735" s="4" t="str">
        <v/>
      </c>
      <c r="F4735" s="102" t="str">
        <f ca="1">IFERROR(__xludf.DUMMYFUNCTION("IMPORTRANGE(H4735,""IDENTITAS UNIT!D9"")"),"#N/A")</f>
        <v>#N/A</v>
      </c>
      <c r="H4735" s="4" t="str">
        <v/>
      </c>
      <c r="I4735" s="4" t="str">
        <v/>
      </c>
    </row>
    <row r="4736" spans="5:9" ht="16.5" hidden="1">
      <c r="E4736" s="4" t="str">
        <v/>
      </c>
      <c r="F4736" s="102" t="str">
        <f ca="1">IFERROR(__xludf.DUMMYFUNCTION("IMPORTRANGE(H4736,""IDENTITAS UNIT!D9"")"),"#N/A")</f>
        <v>#N/A</v>
      </c>
      <c r="H4736" s="4" t="str">
        <v/>
      </c>
      <c r="I4736" s="4" t="str">
        <v/>
      </c>
    </row>
    <row r="4737" spans="5:9" ht="16.5" hidden="1">
      <c r="E4737" s="4" t="str">
        <v/>
      </c>
      <c r="F4737" s="102" t="str">
        <f ca="1">IFERROR(__xludf.DUMMYFUNCTION("IMPORTRANGE(H4737,""IDENTITAS UNIT!D9"")"),"#N/A")</f>
        <v>#N/A</v>
      </c>
      <c r="H4737" s="4" t="str">
        <v/>
      </c>
      <c r="I4737" s="4" t="str">
        <v/>
      </c>
    </row>
    <row r="4738" spans="5:9" ht="16.5" hidden="1">
      <c r="E4738" s="4" t="str">
        <v/>
      </c>
      <c r="F4738" s="102" t="str">
        <f ca="1">IFERROR(__xludf.DUMMYFUNCTION("IMPORTRANGE(H4738,""IDENTITAS UNIT!D9"")"),"#N/A")</f>
        <v>#N/A</v>
      </c>
      <c r="H4738" s="4" t="str">
        <v/>
      </c>
      <c r="I4738" s="4" t="str">
        <v/>
      </c>
    </row>
    <row r="4739" spans="5:9" ht="16.5" hidden="1">
      <c r="E4739" s="4" t="str">
        <v/>
      </c>
      <c r="F4739" s="102" t="str">
        <f ca="1">IFERROR(__xludf.DUMMYFUNCTION("IMPORTRANGE(H4739,""IDENTITAS UNIT!D9"")"),"#N/A")</f>
        <v>#N/A</v>
      </c>
      <c r="H4739" s="4" t="str">
        <v/>
      </c>
      <c r="I4739" s="4" t="str">
        <v/>
      </c>
    </row>
    <row r="4740" spans="5:9" ht="16.5" hidden="1">
      <c r="E4740" s="4" t="str">
        <v/>
      </c>
      <c r="F4740" s="102" t="str">
        <f ca="1">IFERROR(__xludf.DUMMYFUNCTION("IMPORTRANGE(H4740,""IDENTITAS UNIT!D9"")"),"#N/A")</f>
        <v>#N/A</v>
      </c>
      <c r="H4740" s="4" t="str">
        <v/>
      </c>
      <c r="I4740" s="4" t="str">
        <v/>
      </c>
    </row>
    <row r="4741" spans="5:9" ht="16.5" hidden="1">
      <c r="E4741" s="4" t="str">
        <v/>
      </c>
      <c r="F4741" s="102" t="str">
        <f ca="1">IFERROR(__xludf.DUMMYFUNCTION("IMPORTRANGE(H4741,""IDENTITAS UNIT!D9"")"),"#N/A")</f>
        <v>#N/A</v>
      </c>
      <c r="H4741" s="4" t="str">
        <v/>
      </c>
      <c r="I4741" s="4" t="str">
        <v/>
      </c>
    </row>
    <row r="4742" spans="5:9" ht="16.5" hidden="1">
      <c r="E4742" s="4" t="str">
        <v/>
      </c>
      <c r="F4742" s="102" t="str">
        <f ca="1">IFERROR(__xludf.DUMMYFUNCTION("IMPORTRANGE(H4742,""IDENTITAS UNIT!D9"")"),"#N/A")</f>
        <v>#N/A</v>
      </c>
      <c r="H4742" s="4" t="str">
        <v/>
      </c>
      <c r="I4742" s="4" t="str">
        <v/>
      </c>
    </row>
    <row r="4743" spans="5:9" ht="16.5" hidden="1">
      <c r="E4743" s="4" t="str">
        <v/>
      </c>
      <c r="F4743" s="102" t="str">
        <f ca="1">IFERROR(__xludf.DUMMYFUNCTION("IMPORTRANGE(H4743,""IDENTITAS UNIT!D9"")"),"#N/A")</f>
        <v>#N/A</v>
      </c>
      <c r="H4743" s="4" t="str">
        <v/>
      </c>
      <c r="I4743" s="4" t="str">
        <v/>
      </c>
    </row>
    <row r="4744" spans="5:9" ht="16.5" hidden="1">
      <c r="E4744" s="4" t="str">
        <v/>
      </c>
      <c r="F4744" s="102" t="str">
        <f ca="1">IFERROR(__xludf.DUMMYFUNCTION("IMPORTRANGE(H4744,""IDENTITAS UNIT!D9"")"),"#N/A")</f>
        <v>#N/A</v>
      </c>
      <c r="H4744" s="4" t="str">
        <v/>
      </c>
      <c r="I4744" s="4" t="str">
        <v/>
      </c>
    </row>
    <row r="4745" spans="5:9" ht="16.5" hidden="1">
      <c r="E4745" s="4" t="str">
        <v/>
      </c>
      <c r="F4745" s="102" t="str">
        <f ca="1">IFERROR(__xludf.DUMMYFUNCTION("IMPORTRANGE(H4745,""IDENTITAS UNIT!D9"")"),"#N/A")</f>
        <v>#N/A</v>
      </c>
      <c r="H4745" s="4" t="str">
        <v/>
      </c>
      <c r="I4745" s="4" t="str">
        <v/>
      </c>
    </row>
    <row r="4746" spans="5:9" ht="16.5" hidden="1">
      <c r="E4746" s="4" t="str">
        <v/>
      </c>
      <c r="F4746" s="102" t="str">
        <f ca="1">IFERROR(__xludf.DUMMYFUNCTION("IMPORTRANGE(H4746,""IDENTITAS UNIT!D9"")"),"#N/A")</f>
        <v>#N/A</v>
      </c>
      <c r="H4746" s="4" t="str">
        <v/>
      </c>
      <c r="I4746" s="4" t="str">
        <v/>
      </c>
    </row>
    <row r="4747" spans="5:9" ht="16.5" hidden="1">
      <c r="E4747" s="4" t="str">
        <v/>
      </c>
      <c r="F4747" s="102" t="str">
        <f ca="1">IFERROR(__xludf.DUMMYFUNCTION("IMPORTRANGE(H4747,""IDENTITAS UNIT!D9"")"),"#N/A")</f>
        <v>#N/A</v>
      </c>
      <c r="H4747" s="4" t="str">
        <v/>
      </c>
      <c r="I4747" s="4" t="str">
        <v/>
      </c>
    </row>
    <row r="4748" spans="5:9" ht="16.5" hidden="1">
      <c r="E4748" s="4" t="str">
        <v/>
      </c>
      <c r="F4748" s="102" t="str">
        <f ca="1">IFERROR(__xludf.DUMMYFUNCTION("IMPORTRANGE(H4748,""IDENTITAS UNIT!D9"")"),"#N/A")</f>
        <v>#N/A</v>
      </c>
      <c r="H4748" s="4" t="str">
        <v/>
      </c>
      <c r="I4748" s="4" t="str">
        <v/>
      </c>
    </row>
    <row r="4749" spans="5:9" ht="16.5" hidden="1">
      <c r="E4749" s="4" t="str">
        <v/>
      </c>
      <c r="F4749" s="102" t="str">
        <f ca="1">IFERROR(__xludf.DUMMYFUNCTION("IMPORTRANGE(H4749,""IDENTITAS UNIT!D9"")"),"#N/A")</f>
        <v>#N/A</v>
      </c>
      <c r="H4749" s="4" t="str">
        <v/>
      </c>
      <c r="I4749" s="4" t="str">
        <v/>
      </c>
    </row>
    <row r="4750" spans="5:9" ht="16.5" hidden="1">
      <c r="E4750" s="4" t="str">
        <v/>
      </c>
      <c r="F4750" s="102" t="str">
        <f ca="1">IFERROR(__xludf.DUMMYFUNCTION("IMPORTRANGE(H4750,""IDENTITAS UNIT!D9"")"),"#N/A")</f>
        <v>#N/A</v>
      </c>
      <c r="H4750" s="4" t="str">
        <v/>
      </c>
      <c r="I4750" s="4" t="str">
        <v/>
      </c>
    </row>
    <row r="4751" spans="5:9" ht="16.5" hidden="1">
      <c r="E4751" s="4" t="str">
        <v/>
      </c>
      <c r="F4751" s="102" t="str">
        <f ca="1">IFERROR(__xludf.DUMMYFUNCTION("IMPORTRANGE(H4751,""IDENTITAS UNIT!D9"")"),"#N/A")</f>
        <v>#N/A</v>
      </c>
      <c r="H4751" s="4" t="str">
        <v/>
      </c>
      <c r="I4751" s="4" t="str">
        <v/>
      </c>
    </row>
    <row r="4752" spans="5:9" ht="16.5" hidden="1">
      <c r="E4752" s="4" t="str">
        <v/>
      </c>
      <c r="F4752" s="102" t="str">
        <f ca="1">IFERROR(__xludf.DUMMYFUNCTION("IMPORTRANGE(H4752,""IDENTITAS UNIT!D9"")"),"#N/A")</f>
        <v>#N/A</v>
      </c>
      <c r="H4752" s="4" t="str">
        <v/>
      </c>
      <c r="I4752" s="4" t="str">
        <v/>
      </c>
    </row>
    <row r="4753" spans="5:9" ht="16.5" hidden="1">
      <c r="E4753" s="4" t="str">
        <v/>
      </c>
      <c r="F4753" s="102" t="str">
        <f ca="1">IFERROR(__xludf.DUMMYFUNCTION("IMPORTRANGE(H4753,""IDENTITAS UNIT!D9"")"),"#N/A")</f>
        <v>#N/A</v>
      </c>
      <c r="H4753" s="4" t="str">
        <v/>
      </c>
      <c r="I4753" s="4" t="str">
        <v/>
      </c>
    </row>
    <row r="4754" spans="5:9" ht="16.5" hidden="1">
      <c r="E4754" s="4" t="str">
        <v/>
      </c>
      <c r="F4754" s="102" t="str">
        <f ca="1">IFERROR(__xludf.DUMMYFUNCTION("IMPORTRANGE(H4754,""IDENTITAS UNIT!D9"")"),"#N/A")</f>
        <v>#N/A</v>
      </c>
      <c r="H4754" s="4" t="str">
        <v/>
      </c>
      <c r="I4754" s="4" t="str">
        <v/>
      </c>
    </row>
    <row r="4755" spans="5:9" ht="16.5" hidden="1">
      <c r="E4755" s="4" t="str">
        <v/>
      </c>
      <c r="F4755" s="102" t="str">
        <f ca="1">IFERROR(__xludf.DUMMYFUNCTION("IMPORTRANGE(H4755,""IDENTITAS UNIT!D9"")"),"#N/A")</f>
        <v>#N/A</v>
      </c>
      <c r="H4755" s="4" t="str">
        <v/>
      </c>
      <c r="I4755" s="4" t="str">
        <v/>
      </c>
    </row>
    <row r="4756" spans="5:9" ht="16.5" hidden="1">
      <c r="E4756" s="4" t="str">
        <v/>
      </c>
      <c r="F4756" s="102" t="str">
        <f ca="1">IFERROR(__xludf.DUMMYFUNCTION("IMPORTRANGE(H4756,""IDENTITAS UNIT!D9"")"),"#N/A")</f>
        <v>#N/A</v>
      </c>
      <c r="H4756" s="4" t="str">
        <v/>
      </c>
      <c r="I4756" s="4" t="str">
        <v/>
      </c>
    </row>
    <row r="4757" spans="5:9" ht="16.5" hidden="1">
      <c r="E4757" s="4" t="str">
        <v/>
      </c>
      <c r="F4757" s="102" t="str">
        <f ca="1">IFERROR(__xludf.DUMMYFUNCTION("IMPORTRANGE(H4757,""IDENTITAS UNIT!D9"")"),"#N/A")</f>
        <v>#N/A</v>
      </c>
      <c r="H4757" s="4" t="str">
        <v/>
      </c>
      <c r="I4757" s="4" t="str">
        <v/>
      </c>
    </row>
    <row r="4758" spans="5:9" ht="16.5" hidden="1">
      <c r="E4758" s="4" t="str">
        <v/>
      </c>
      <c r="F4758" s="102" t="str">
        <f ca="1">IFERROR(__xludf.DUMMYFUNCTION("IMPORTRANGE(H4758,""IDENTITAS UNIT!D9"")"),"#N/A")</f>
        <v>#N/A</v>
      </c>
      <c r="H4758" s="4" t="str">
        <v/>
      </c>
      <c r="I4758" s="4" t="str">
        <v/>
      </c>
    </row>
    <row r="4759" spans="5:9" ht="16.5" hidden="1">
      <c r="E4759" s="4" t="str">
        <v/>
      </c>
      <c r="F4759" s="102" t="str">
        <f ca="1">IFERROR(__xludf.DUMMYFUNCTION("IMPORTRANGE(H4759,""IDENTITAS UNIT!D9"")"),"#N/A")</f>
        <v>#N/A</v>
      </c>
      <c r="H4759" s="4" t="str">
        <v/>
      </c>
      <c r="I4759" s="4" t="str">
        <v/>
      </c>
    </row>
    <row r="4760" spans="5:9" ht="16.5" hidden="1">
      <c r="E4760" s="4" t="str">
        <v/>
      </c>
      <c r="F4760" s="102" t="str">
        <f ca="1">IFERROR(__xludf.DUMMYFUNCTION("IMPORTRANGE(H4760,""IDENTITAS UNIT!D9"")"),"#N/A")</f>
        <v>#N/A</v>
      </c>
      <c r="H4760" s="4" t="str">
        <v/>
      </c>
      <c r="I4760" s="4" t="str">
        <v/>
      </c>
    </row>
    <row r="4761" spans="5:9" ht="16.5" hidden="1">
      <c r="E4761" s="4" t="str">
        <v/>
      </c>
      <c r="F4761" s="102" t="str">
        <f ca="1">IFERROR(__xludf.DUMMYFUNCTION("IMPORTRANGE(H4761,""IDENTITAS UNIT!D9"")"),"#N/A")</f>
        <v>#N/A</v>
      </c>
      <c r="H4761" s="4" t="str">
        <v/>
      </c>
      <c r="I4761" s="4" t="str">
        <v/>
      </c>
    </row>
    <row r="4762" spans="5:9" ht="16.5" hidden="1">
      <c r="E4762" s="4" t="str">
        <v/>
      </c>
      <c r="F4762" s="102" t="str">
        <f ca="1">IFERROR(__xludf.DUMMYFUNCTION("IMPORTRANGE(H4762,""IDENTITAS UNIT!D9"")"),"#N/A")</f>
        <v>#N/A</v>
      </c>
      <c r="H4762" s="4" t="str">
        <v/>
      </c>
      <c r="I4762" s="4" t="str">
        <v/>
      </c>
    </row>
    <row r="4763" spans="5:9" ht="16.5" hidden="1">
      <c r="E4763" s="4" t="str">
        <v/>
      </c>
      <c r="F4763" s="102" t="str">
        <f ca="1">IFERROR(__xludf.DUMMYFUNCTION("IMPORTRANGE(H4763,""IDENTITAS UNIT!D9"")"),"#N/A")</f>
        <v>#N/A</v>
      </c>
      <c r="H4763" s="4" t="str">
        <v/>
      </c>
      <c r="I4763" s="4" t="str">
        <v/>
      </c>
    </row>
    <row r="4764" spans="5:9" ht="16.5" hidden="1">
      <c r="E4764" s="4" t="str">
        <v/>
      </c>
      <c r="F4764" s="102" t="str">
        <f ca="1">IFERROR(__xludf.DUMMYFUNCTION("IMPORTRANGE(H4764,""IDENTITAS UNIT!D9"")"),"#N/A")</f>
        <v>#N/A</v>
      </c>
      <c r="H4764" s="4" t="str">
        <v/>
      </c>
      <c r="I4764" s="4" t="str">
        <v/>
      </c>
    </row>
    <row r="4765" spans="5:9" ht="16.5" hidden="1">
      <c r="E4765" s="4" t="str">
        <v/>
      </c>
      <c r="F4765" s="102" t="str">
        <f ca="1">IFERROR(__xludf.DUMMYFUNCTION("IMPORTRANGE(H4765,""IDENTITAS UNIT!D9"")"),"#N/A")</f>
        <v>#N/A</v>
      </c>
      <c r="H4765" s="4" t="str">
        <v/>
      </c>
      <c r="I4765" s="4" t="str">
        <v/>
      </c>
    </row>
    <row r="4766" spans="5:9" ht="16.5" hidden="1">
      <c r="E4766" s="4" t="str">
        <v/>
      </c>
      <c r="F4766" s="102" t="str">
        <f ca="1">IFERROR(__xludf.DUMMYFUNCTION("IMPORTRANGE(H4766,""IDENTITAS UNIT!D9"")"),"#N/A")</f>
        <v>#N/A</v>
      </c>
      <c r="H4766" s="4" t="str">
        <v/>
      </c>
      <c r="I4766" s="4" t="str">
        <v/>
      </c>
    </row>
    <row r="4767" spans="5:9" ht="16.5" hidden="1">
      <c r="E4767" s="4" t="str">
        <v/>
      </c>
      <c r="F4767" s="102" t="str">
        <f ca="1">IFERROR(__xludf.DUMMYFUNCTION("IMPORTRANGE(H4767,""IDENTITAS UNIT!D9"")"),"#N/A")</f>
        <v>#N/A</v>
      </c>
      <c r="H4767" s="4" t="str">
        <v/>
      </c>
      <c r="I4767" s="4" t="str">
        <v/>
      </c>
    </row>
    <row r="4768" spans="5:9" ht="16.5" hidden="1">
      <c r="E4768" s="4" t="str">
        <v/>
      </c>
      <c r="F4768" s="102" t="str">
        <f ca="1">IFERROR(__xludf.DUMMYFUNCTION("IMPORTRANGE(H4768,""IDENTITAS UNIT!D9"")"),"#N/A")</f>
        <v>#N/A</v>
      </c>
      <c r="H4768" s="4" t="str">
        <v/>
      </c>
      <c r="I4768" s="4" t="str">
        <v/>
      </c>
    </row>
    <row r="4769" spans="5:9" ht="16.5" hidden="1">
      <c r="E4769" s="4" t="str">
        <v/>
      </c>
      <c r="F4769" s="102" t="str">
        <f ca="1">IFERROR(__xludf.DUMMYFUNCTION("IMPORTRANGE(H4769,""IDENTITAS UNIT!D9"")"),"#N/A")</f>
        <v>#N/A</v>
      </c>
      <c r="H4769" s="4" t="str">
        <v/>
      </c>
      <c r="I4769" s="4" t="str">
        <v/>
      </c>
    </row>
    <row r="4770" spans="5:9" ht="16.5" hidden="1">
      <c r="E4770" s="4" t="str">
        <v/>
      </c>
      <c r="F4770" s="102" t="str">
        <f ca="1">IFERROR(__xludf.DUMMYFUNCTION("IMPORTRANGE(H4770,""IDENTITAS UNIT!D9"")"),"#N/A")</f>
        <v>#N/A</v>
      </c>
      <c r="H4770" s="4" t="str">
        <v/>
      </c>
      <c r="I4770" s="4" t="str">
        <v/>
      </c>
    </row>
    <row r="4771" spans="5:9" ht="16.5" hidden="1">
      <c r="E4771" s="4" t="str">
        <v/>
      </c>
      <c r="F4771" s="102" t="str">
        <f ca="1">IFERROR(__xludf.DUMMYFUNCTION("IMPORTRANGE(H4771,""IDENTITAS UNIT!D9"")"),"#N/A")</f>
        <v>#N/A</v>
      </c>
      <c r="H4771" s="4" t="str">
        <v/>
      </c>
      <c r="I4771" s="4" t="str">
        <v/>
      </c>
    </row>
    <row r="4772" spans="5:9" ht="16.5" hidden="1">
      <c r="E4772" s="4" t="str">
        <v/>
      </c>
      <c r="F4772" s="102" t="str">
        <f ca="1">IFERROR(__xludf.DUMMYFUNCTION("IMPORTRANGE(H4772,""IDENTITAS UNIT!D9"")"),"#N/A")</f>
        <v>#N/A</v>
      </c>
      <c r="H4772" s="4" t="str">
        <v/>
      </c>
      <c r="I4772" s="4" t="str">
        <v/>
      </c>
    </row>
    <row r="4773" spans="5:9" ht="16.5" hidden="1">
      <c r="E4773" s="4" t="str">
        <v/>
      </c>
      <c r="F4773" s="102" t="str">
        <f ca="1">IFERROR(__xludf.DUMMYFUNCTION("IMPORTRANGE(H4773,""IDENTITAS UNIT!D9"")"),"#N/A")</f>
        <v>#N/A</v>
      </c>
      <c r="H4773" s="4" t="str">
        <v/>
      </c>
      <c r="I4773" s="4" t="str">
        <v/>
      </c>
    </row>
    <row r="4774" spans="5:9" ht="16.5" hidden="1">
      <c r="E4774" s="4" t="str">
        <v/>
      </c>
      <c r="F4774" s="102" t="str">
        <f ca="1">IFERROR(__xludf.DUMMYFUNCTION("IMPORTRANGE(H4774,""IDENTITAS UNIT!D9"")"),"#N/A")</f>
        <v>#N/A</v>
      </c>
      <c r="H4774" s="4" t="str">
        <v/>
      </c>
      <c r="I4774" s="4" t="str">
        <v/>
      </c>
    </row>
    <row r="4775" spans="5:9" ht="16.5" hidden="1">
      <c r="E4775" s="4" t="str">
        <v/>
      </c>
      <c r="F4775" s="102" t="str">
        <f ca="1">IFERROR(__xludf.DUMMYFUNCTION("IMPORTRANGE(H4775,""IDENTITAS UNIT!D9"")"),"#N/A")</f>
        <v>#N/A</v>
      </c>
      <c r="H4775" s="4" t="str">
        <v/>
      </c>
      <c r="I4775" s="4" t="str">
        <v/>
      </c>
    </row>
    <row r="4776" spans="5:9" ht="16.5" hidden="1">
      <c r="E4776" s="4" t="str">
        <v/>
      </c>
      <c r="F4776" s="102" t="str">
        <f ca="1">IFERROR(__xludf.DUMMYFUNCTION("IMPORTRANGE(H4776,""IDENTITAS UNIT!D9"")"),"#N/A")</f>
        <v>#N/A</v>
      </c>
      <c r="H4776" s="4" t="str">
        <v/>
      </c>
      <c r="I4776" s="4" t="str">
        <v/>
      </c>
    </row>
    <row r="4777" spans="5:9" ht="16.5" hidden="1">
      <c r="E4777" s="4" t="str">
        <v/>
      </c>
      <c r="F4777" s="102" t="str">
        <f ca="1">IFERROR(__xludf.DUMMYFUNCTION("IMPORTRANGE(H4777,""IDENTITAS UNIT!D9"")"),"#N/A")</f>
        <v>#N/A</v>
      </c>
      <c r="H4777" s="4" t="str">
        <v/>
      </c>
      <c r="I4777" s="4" t="str">
        <v/>
      </c>
    </row>
    <row r="4778" spans="5:9" ht="16.5" hidden="1">
      <c r="E4778" s="4" t="str">
        <v/>
      </c>
      <c r="F4778" s="102" t="str">
        <f ca="1">IFERROR(__xludf.DUMMYFUNCTION("IMPORTRANGE(H4778,""IDENTITAS UNIT!D9"")"),"#N/A")</f>
        <v>#N/A</v>
      </c>
      <c r="H4778" s="4" t="str">
        <v/>
      </c>
      <c r="I4778" s="4" t="str">
        <v/>
      </c>
    </row>
    <row r="4779" spans="5:9" ht="16.5" hidden="1">
      <c r="E4779" s="4" t="str">
        <v/>
      </c>
      <c r="F4779" s="102" t="str">
        <f ca="1">IFERROR(__xludf.DUMMYFUNCTION("IMPORTRANGE(H4779,""IDENTITAS UNIT!D9"")"),"#N/A")</f>
        <v>#N/A</v>
      </c>
      <c r="H4779" s="4" t="str">
        <v/>
      </c>
      <c r="I4779" s="4" t="str">
        <v/>
      </c>
    </row>
    <row r="4780" spans="5:9" ht="16.5" hidden="1">
      <c r="E4780" s="4" t="str">
        <v/>
      </c>
      <c r="F4780" s="102" t="str">
        <f ca="1">IFERROR(__xludf.DUMMYFUNCTION("IMPORTRANGE(H4780,""IDENTITAS UNIT!D9"")"),"#N/A")</f>
        <v>#N/A</v>
      </c>
      <c r="H4780" s="4" t="str">
        <v/>
      </c>
      <c r="I4780" s="4" t="str">
        <v/>
      </c>
    </row>
    <row r="4781" spans="5:9" ht="16.5" hidden="1">
      <c r="E4781" s="4" t="str">
        <v/>
      </c>
      <c r="F4781" s="102" t="str">
        <f ca="1">IFERROR(__xludf.DUMMYFUNCTION("IMPORTRANGE(H4781,""IDENTITAS UNIT!D9"")"),"#N/A")</f>
        <v>#N/A</v>
      </c>
      <c r="H4781" s="4" t="str">
        <v/>
      </c>
      <c r="I4781" s="4" t="str">
        <v/>
      </c>
    </row>
    <row r="4782" spans="5:9" ht="16.5" hidden="1">
      <c r="E4782" s="4" t="str">
        <v/>
      </c>
      <c r="F4782" s="102" t="str">
        <f ca="1">IFERROR(__xludf.DUMMYFUNCTION("IMPORTRANGE(H4782,""IDENTITAS UNIT!D9"")"),"#N/A")</f>
        <v>#N/A</v>
      </c>
      <c r="H4782" s="4" t="str">
        <v/>
      </c>
      <c r="I4782" s="4" t="str">
        <v/>
      </c>
    </row>
    <row r="4783" spans="5:9" ht="16.5" hidden="1">
      <c r="E4783" s="4" t="str">
        <v/>
      </c>
      <c r="F4783" s="102" t="str">
        <f ca="1">IFERROR(__xludf.DUMMYFUNCTION("IMPORTRANGE(H4783,""IDENTITAS UNIT!D9"")"),"#N/A")</f>
        <v>#N/A</v>
      </c>
      <c r="H4783" s="4" t="str">
        <v/>
      </c>
      <c r="I4783" s="4" t="str">
        <v/>
      </c>
    </row>
    <row r="4784" spans="5:9" ht="16.5" hidden="1">
      <c r="E4784" s="4" t="str">
        <v/>
      </c>
      <c r="F4784" s="102" t="str">
        <f ca="1">IFERROR(__xludf.DUMMYFUNCTION("IMPORTRANGE(H4784,""IDENTITAS UNIT!D9"")"),"#N/A")</f>
        <v>#N/A</v>
      </c>
      <c r="H4784" s="4" t="str">
        <v/>
      </c>
      <c r="I4784" s="4" t="str">
        <v/>
      </c>
    </row>
    <row r="4785" spans="5:9" ht="16.5" hidden="1">
      <c r="E4785" s="4" t="str">
        <v/>
      </c>
      <c r="F4785" s="102" t="str">
        <f ca="1">IFERROR(__xludf.DUMMYFUNCTION("IMPORTRANGE(H4785,""IDENTITAS UNIT!D9"")"),"#N/A")</f>
        <v>#N/A</v>
      </c>
      <c r="H4785" s="4" t="str">
        <v/>
      </c>
      <c r="I4785" s="4" t="str">
        <v/>
      </c>
    </row>
    <row r="4786" spans="5:9" ht="16.5" hidden="1">
      <c r="E4786" s="4" t="str">
        <v/>
      </c>
      <c r="F4786" s="102" t="str">
        <f ca="1">IFERROR(__xludf.DUMMYFUNCTION("IMPORTRANGE(H4786,""IDENTITAS UNIT!D9"")"),"#N/A")</f>
        <v>#N/A</v>
      </c>
      <c r="H4786" s="4" t="str">
        <v/>
      </c>
      <c r="I4786" s="4" t="str">
        <v/>
      </c>
    </row>
    <row r="4787" spans="5:9" ht="16.5" hidden="1">
      <c r="E4787" s="4" t="str">
        <v/>
      </c>
      <c r="F4787" s="102" t="str">
        <f ca="1">IFERROR(__xludf.DUMMYFUNCTION("IMPORTRANGE(H4787,""IDENTITAS UNIT!D9"")"),"#N/A")</f>
        <v>#N/A</v>
      </c>
      <c r="H4787" s="4" t="str">
        <v/>
      </c>
      <c r="I4787" s="4" t="str">
        <v/>
      </c>
    </row>
    <row r="4788" spans="5:9" ht="16.5" hidden="1">
      <c r="E4788" s="4" t="str">
        <v/>
      </c>
      <c r="F4788" s="102" t="str">
        <f ca="1">IFERROR(__xludf.DUMMYFUNCTION("IMPORTRANGE(H4788,""IDENTITAS UNIT!D9"")"),"#N/A")</f>
        <v>#N/A</v>
      </c>
      <c r="H4788" s="4" t="str">
        <v/>
      </c>
      <c r="I4788" s="4" t="str">
        <v/>
      </c>
    </row>
    <row r="4789" spans="5:9" ht="16.5" hidden="1">
      <c r="E4789" s="4" t="str">
        <v/>
      </c>
      <c r="F4789" s="102" t="str">
        <f ca="1">IFERROR(__xludf.DUMMYFUNCTION("IMPORTRANGE(H4789,""IDENTITAS UNIT!D9"")"),"#N/A")</f>
        <v>#N/A</v>
      </c>
      <c r="H4789" s="4" t="str">
        <v/>
      </c>
      <c r="I4789" s="4" t="str">
        <v/>
      </c>
    </row>
    <row r="4790" spans="5:9" ht="16.5" hidden="1">
      <c r="E4790" s="4" t="str">
        <v/>
      </c>
      <c r="F4790" s="102" t="str">
        <f ca="1">IFERROR(__xludf.DUMMYFUNCTION("IMPORTRANGE(H4790,""IDENTITAS UNIT!D9"")"),"#N/A")</f>
        <v>#N/A</v>
      </c>
      <c r="H4790" s="4" t="str">
        <v/>
      </c>
      <c r="I4790" s="4" t="str">
        <v/>
      </c>
    </row>
    <row r="4791" spans="5:9" ht="16.5" hidden="1">
      <c r="E4791" s="4" t="str">
        <v/>
      </c>
      <c r="F4791" s="102" t="str">
        <f ca="1">IFERROR(__xludf.DUMMYFUNCTION("IMPORTRANGE(H4791,""IDENTITAS UNIT!D9"")"),"#N/A")</f>
        <v>#N/A</v>
      </c>
      <c r="H4791" s="4" t="str">
        <v/>
      </c>
      <c r="I4791" s="4" t="str">
        <v/>
      </c>
    </row>
    <row r="4792" spans="5:9" ht="16.5" hidden="1">
      <c r="E4792" s="4" t="str">
        <v/>
      </c>
      <c r="F4792" s="102" t="str">
        <f ca="1">IFERROR(__xludf.DUMMYFUNCTION("IMPORTRANGE(H4792,""IDENTITAS UNIT!D9"")"),"#N/A")</f>
        <v>#N/A</v>
      </c>
      <c r="H4792" s="4" t="str">
        <v/>
      </c>
      <c r="I4792" s="4" t="str">
        <v/>
      </c>
    </row>
    <row r="4793" spans="5:9" ht="16.5" hidden="1">
      <c r="E4793" s="4" t="str">
        <v/>
      </c>
      <c r="F4793" s="102" t="str">
        <f ca="1">IFERROR(__xludf.DUMMYFUNCTION("IMPORTRANGE(H4793,""IDENTITAS UNIT!D9"")"),"#N/A")</f>
        <v>#N/A</v>
      </c>
      <c r="H4793" s="4" t="str">
        <v/>
      </c>
      <c r="I4793" s="4" t="str">
        <v/>
      </c>
    </row>
    <row r="4794" spans="5:9" ht="16.5" hidden="1">
      <c r="E4794" s="4" t="str">
        <v/>
      </c>
      <c r="F4794" s="102" t="str">
        <f ca="1">IFERROR(__xludf.DUMMYFUNCTION("IMPORTRANGE(H4794,""IDENTITAS UNIT!D9"")"),"#N/A")</f>
        <v>#N/A</v>
      </c>
      <c r="H4794" s="4" t="str">
        <v/>
      </c>
      <c r="I4794" s="4" t="str">
        <v/>
      </c>
    </row>
    <row r="4795" spans="5:9" ht="16.5" hidden="1">
      <c r="E4795" s="4" t="str">
        <v/>
      </c>
      <c r="F4795" s="102" t="str">
        <f ca="1">IFERROR(__xludf.DUMMYFUNCTION("IMPORTRANGE(H4795,""IDENTITAS UNIT!D9"")"),"#N/A")</f>
        <v>#N/A</v>
      </c>
      <c r="H4795" s="4" t="str">
        <v/>
      </c>
      <c r="I4795" s="4" t="str">
        <v/>
      </c>
    </row>
    <row r="4796" spans="5:9" ht="16.5" hidden="1">
      <c r="E4796" s="4" t="str">
        <v/>
      </c>
      <c r="F4796" s="102" t="str">
        <f ca="1">IFERROR(__xludf.DUMMYFUNCTION("IMPORTRANGE(H4796,""IDENTITAS UNIT!D9"")"),"#N/A")</f>
        <v>#N/A</v>
      </c>
      <c r="H4796" s="4" t="str">
        <v/>
      </c>
      <c r="I4796" s="4" t="str">
        <v/>
      </c>
    </row>
    <row r="4797" spans="5:9" ht="16.5" hidden="1">
      <c r="E4797" s="4" t="str">
        <v/>
      </c>
      <c r="F4797" s="102" t="str">
        <f ca="1">IFERROR(__xludf.DUMMYFUNCTION("IMPORTRANGE(H4797,""IDENTITAS UNIT!D9"")"),"#N/A")</f>
        <v>#N/A</v>
      </c>
      <c r="H4797" s="4" t="str">
        <v/>
      </c>
      <c r="I4797" s="4" t="str">
        <v/>
      </c>
    </row>
    <row r="4798" spans="5:9" ht="16.5" hidden="1">
      <c r="E4798" s="4" t="str">
        <v/>
      </c>
      <c r="F4798" s="102" t="str">
        <f ca="1">IFERROR(__xludf.DUMMYFUNCTION("IMPORTRANGE(H4798,""IDENTITAS UNIT!D9"")"),"#N/A")</f>
        <v>#N/A</v>
      </c>
      <c r="H4798" s="4" t="str">
        <v/>
      </c>
      <c r="I4798" s="4" t="str">
        <v/>
      </c>
    </row>
    <row r="4799" spans="5:9" ht="16.5" hidden="1">
      <c r="E4799" s="4" t="str">
        <v/>
      </c>
      <c r="F4799" s="102" t="str">
        <f ca="1">IFERROR(__xludf.DUMMYFUNCTION("IMPORTRANGE(H4799,""IDENTITAS UNIT!D9"")"),"#N/A")</f>
        <v>#N/A</v>
      </c>
      <c r="H4799" s="4" t="str">
        <v/>
      </c>
      <c r="I4799" s="4" t="str">
        <v/>
      </c>
    </row>
    <row r="4800" spans="5:9" ht="16.5" hidden="1">
      <c r="E4800" s="4" t="str">
        <v/>
      </c>
      <c r="F4800" s="102" t="str">
        <f ca="1">IFERROR(__xludf.DUMMYFUNCTION("IMPORTRANGE(H4800,""IDENTITAS UNIT!D9"")"),"#N/A")</f>
        <v>#N/A</v>
      </c>
      <c r="H4800" s="4" t="str">
        <v/>
      </c>
      <c r="I4800" s="4" t="str">
        <v/>
      </c>
    </row>
    <row r="4801" spans="5:9" ht="16.5" hidden="1">
      <c r="E4801" s="4" t="str">
        <v/>
      </c>
      <c r="F4801" s="102" t="str">
        <f ca="1">IFERROR(__xludf.DUMMYFUNCTION("IMPORTRANGE(H4801,""IDENTITAS UNIT!D9"")"),"#N/A")</f>
        <v>#N/A</v>
      </c>
      <c r="H4801" s="4" t="str">
        <v/>
      </c>
      <c r="I4801" s="4" t="str">
        <v/>
      </c>
    </row>
    <row r="4802" spans="5:9" ht="16.5" hidden="1">
      <c r="E4802" s="4" t="str">
        <v/>
      </c>
      <c r="F4802" s="102" t="str">
        <f ca="1">IFERROR(__xludf.DUMMYFUNCTION("IMPORTRANGE(H4802,""IDENTITAS UNIT!D9"")"),"#N/A")</f>
        <v>#N/A</v>
      </c>
      <c r="H4802" s="4" t="str">
        <v/>
      </c>
      <c r="I4802" s="4" t="str">
        <v/>
      </c>
    </row>
    <row r="4803" spans="5:9" ht="16.5" hidden="1">
      <c r="E4803" s="4" t="str">
        <v/>
      </c>
      <c r="F4803" s="102" t="str">
        <f ca="1">IFERROR(__xludf.DUMMYFUNCTION("IMPORTRANGE(H4803,""IDENTITAS UNIT!D9"")"),"#N/A")</f>
        <v>#N/A</v>
      </c>
      <c r="H4803" s="4" t="str">
        <v/>
      </c>
      <c r="I4803" s="4" t="str">
        <v/>
      </c>
    </row>
    <row r="4804" spans="5:9" ht="16.5" hidden="1">
      <c r="E4804" s="4" t="str">
        <v/>
      </c>
      <c r="F4804" s="102" t="str">
        <f ca="1">IFERROR(__xludf.DUMMYFUNCTION("IMPORTRANGE(H4804,""IDENTITAS UNIT!D9"")"),"#N/A")</f>
        <v>#N/A</v>
      </c>
      <c r="H4804" s="4" t="str">
        <v/>
      </c>
      <c r="I4804" s="4" t="str">
        <v/>
      </c>
    </row>
    <row r="4805" spans="5:9" ht="16.5" hidden="1">
      <c r="E4805" s="4" t="str">
        <v/>
      </c>
      <c r="F4805" s="102" t="str">
        <f ca="1">IFERROR(__xludf.DUMMYFUNCTION("IMPORTRANGE(H4805,""IDENTITAS UNIT!D9"")"),"#N/A")</f>
        <v>#N/A</v>
      </c>
      <c r="H4805" s="4" t="str">
        <v/>
      </c>
      <c r="I4805" s="4" t="str">
        <v/>
      </c>
    </row>
    <row r="4806" spans="5:9" ht="16.5" hidden="1">
      <c r="E4806" s="4" t="str">
        <v/>
      </c>
      <c r="F4806" s="102" t="str">
        <f ca="1">IFERROR(__xludf.DUMMYFUNCTION("IMPORTRANGE(H4806,""IDENTITAS UNIT!D9"")"),"#N/A")</f>
        <v>#N/A</v>
      </c>
      <c r="H4806" s="4" t="str">
        <v/>
      </c>
      <c r="I4806" s="4" t="str">
        <v/>
      </c>
    </row>
    <row r="4807" spans="5:9" ht="16.5" hidden="1">
      <c r="E4807" s="4" t="str">
        <v/>
      </c>
      <c r="F4807" s="102" t="str">
        <f ca="1">IFERROR(__xludf.DUMMYFUNCTION("IMPORTRANGE(H4807,""IDENTITAS UNIT!D9"")"),"#N/A")</f>
        <v>#N/A</v>
      </c>
      <c r="H4807" s="4" t="str">
        <v/>
      </c>
      <c r="I4807" s="4" t="str">
        <v/>
      </c>
    </row>
    <row r="4808" spans="5:9" ht="16.5" hidden="1">
      <c r="E4808" s="4" t="str">
        <v/>
      </c>
      <c r="F4808" s="102" t="str">
        <f ca="1">IFERROR(__xludf.DUMMYFUNCTION("IMPORTRANGE(H4808,""IDENTITAS UNIT!D9"")"),"#N/A")</f>
        <v>#N/A</v>
      </c>
      <c r="H4808" s="4" t="str">
        <v/>
      </c>
      <c r="I4808" s="4" t="str">
        <v/>
      </c>
    </row>
    <row r="4809" spans="5:9" ht="16.5" hidden="1">
      <c r="E4809" s="4" t="str">
        <v/>
      </c>
      <c r="F4809" s="102" t="str">
        <f ca="1">IFERROR(__xludf.DUMMYFUNCTION("IMPORTRANGE(H4809,""IDENTITAS UNIT!D9"")"),"#N/A")</f>
        <v>#N/A</v>
      </c>
      <c r="H4809" s="4" t="str">
        <v/>
      </c>
      <c r="I4809" s="4" t="str">
        <v/>
      </c>
    </row>
    <row r="4810" spans="5:9" ht="16.5" hidden="1">
      <c r="E4810" s="4" t="str">
        <v/>
      </c>
      <c r="F4810" s="102" t="str">
        <f ca="1">IFERROR(__xludf.DUMMYFUNCTION("IMPORTRANGE(H4810,""IDENTITAS UNIT!D9"")"),"#N/A")</f>
        <v>#N/A</v>
      </c>
      <c r="H4810" s="4" t="str">
        <v/>
      </c>
      <c r="I4810" s="4" t="str">
        <v/>
      </c>
    </row>
    <row r="4811" spans="5:9" ht="16.5" hidden="1">
      <c r="E4811" s="4" t="str">
        <v/>
      </c>
      <c r="F4811" s="102" t="str">
        <f ca="1">IFERROR(__xludf.DUMMYFUNCTION("IMPORTRANGE(H4811,""IDENTITAS UNIT!D9"")"),"#N/A")</f>
        <v>#N/A</v>
      </c>
      <c r="H4811" s="4" t="str">
        <v/>
      </c>
      <c r="I4811" s="4" t="str">
        <v/>
      </c>
    </row>
    <row r="4812" spans="5:9" ht="16.5" hidden="1">
      <c r="E4812" s="4" t="str">
        <v/>
      </c>
      <c r="F4812" s="102" t="str">
        <f ca="1">IFERROR(__xludf.DUMMYFUNCTION("IMPORTRANGE(H4812,""IDENTITAS UNIT!D9"")"),"#N/A")</f>
        <v>#N/A</v>
      </c>
      <c r="H4812" s="4" t="str">
        <v/>
      </c>
      <c r="I4812" s="4" t="str">
        <v/>
      </c>
    </row>
    <row r="4813" spans="5:9" ht="16.5" hidden="1">
      <c r="E4813" s="4" t="str">
        <v/>
      </c>
      <c r="F4813" s="102" t="str">
        <f ca="1">IFERROR(__xludf.DUMMYFUNCTION("IMPORTRANGE(H4813,""IDENTITAS UNIT!D9"")"),"#N/A")</f>
        <v>#N/A</v>
      </c>
      <c r="H4813" s="4" t="str">
        <v/>
      </c>
      <c r="I4813" s="4" t="str">
        <v/>
      </c>
    </row>
    <row r="4814" spans="5:9" ht="16.5" hidden="1">
      <c r="E4814" s="4" t="str">
        <v/>
      </c>
      <c r="F4814" s="102" t="str">
        <f ca="1">IFERROR(__xludf.DUMMYFUNCTION("IMPORTRANGE(H4814,""IDENTITAS UNIT!D9"")"),"#N/A")</f>
        <v>#N/A</v>
      </c>
      <c r="H4814" s="4" t="str">
        <v/>
      </c>
      <c r="I4814" s="4" t="str">
        <v/>
      </c>
    </row>
    <row r="4815" spans="5:9" ht="16.5" hidden="1">
      <c r="E4815" s="4" t="str">
        <v/>
      </c>
      <c r="F4815" s="102" t="str">
        <f ca="1">IFERROR(__xludf.DUMMYFUNCTION("IMPORTRANGE(H4815,""IDENTITAS UNIT!D9"")"),"#N/A")</f>
        <v>#N/A</v>
      </c>
      <c r="H4815" s="4" t="str">
        <v/>
      </c>
      <c r="I4815" s="4" t="str">
        <v/>
      </c>
    </row>
    <row r="4816" spans="5:9" ht="16.5" hidden="1">
      <c r="E4816" s="4" t="str">
        <v/>
      </c>
      <c r="F4816" s="102" t="str">
        <f ca="1">IFERROR(__xludf.DUMMYFUNCTION("IMPORTRANGE(H4816,""IDENTITAS UNIT!D9"")"),"#N/A")</f>
        <v>#N/A</v>
      </c>
      <c r="H4816" s="4" t="str">
        <v/>
      </c>
      <c r="I4816" s="4" t="str">
        <v/>
      </c>
    </row>
    <row r="4817" spans="5:9" ht="16.5" hidden="1">
      <c r="E4817" s="4" t="str">
        <v/>
      </c>
      <c r="F4817" s="102" t="str">
        <f ca="1">IFERROR(__xludf.DUMMYFUNCTION("IMPORTRANGE(H4817,""IDENTITAS UNIT!D9"")"),"#N/A")</f>
        <v>#N/A</v>
      </c>
      <c r="H4817" s="4" t="str">
        <v/>
      </c>
      <c r="I4817" s="4" t="str">
        <v/>
      </c>
    </row>
    <row r="4818" spans="5:9" ht="16.5" hidden="1">
      <c r="E4818" s="4" t="str">
        <v/>
      </c>
      <c r="F4818" s="102" t="str">
        <f ca="1">IFERROR(__xludf.DUMMYFUNCTION("IMPORTRANGE(H4818,""IDENTITAS UNIT!D9"")"),"#N/A")</f>
        <v>#N/A</v>
      </c>
      <c r="H4818" s="4" t="str">
        <v/>
      </c>
      <c r="I4818" s="4" t="str">
        <v/>
      </c>
    </row>
    <row r="4819" spans="5:9" ht="16.5" hidden="1">
      <c r="E4819" s="4" t="str">
        <v/>
      </c>
      <c r="F4819" s="102" t="str">
        <f ca="1">IFERROR(__xludf.DUMMYFUNCTION("IMPORTRANGE(H4819,""IDENTITAS UNIT!D9"")"),"#N/A")</f>
        <v>#N/A</v>
      </c>
      <c r="H4819" s="4" t="str">
        <v/>
      </c>
      <c r="I4819" s="4" t="str">
        <v/>
      </c>
    </row>
    <row r="4820" spans="5:9" ht="16.5" hidden="1">
      <c r="E4820" s="4" t="str">
        <v/>
      </c>
      <c r="F4820" s="102" t="str">
        <f ca="1">IFERROR(__xludf.DUMMYFUNCTION("IMPORTRANGE(H4820,""IDENTITAS UNIT!D9"")"),"#N/A")</f>
        <v>#N/A</v>
      </c>
      <c r="H4820" s="4" t="str">
        <v/>
      </c>
      <c r="I4820" s="4" t="str">
        <v/>
      </c>
    </row>
    <row r="4821" spans="5:9" ht="16.5" hidden="1">
      <c r="E4821" s="4" t="str">
        <v/>
      </c>
      <c r="F4821" s="102" t="str">
        <f ca="1">IFERROR(__xludf.DUMMYFUNCTION("IMPORTRANGE(H4821,""IDENTITAS UNIT!D9"")"),"#N/A")</f>
        <v>#N/A</v>
      </c>
      <c r="H4821" s="4" t="str">
        <v/>
      </c>
      <c r="I4821" s="4" t="str">
        <v/>
      </c>
    </row>
    <row r="4822" spans="5:9" ht="16.5" hidden="1">
      <c r="E4822" s="4" t="str">
        <v/>
      </c>
      <c r="F4822" s="102" t="str">
        <f ca="1">IFERROR(__xludf.DUMMYFUNCTION("IMPORTRANGE(H4822,""IDENTITAS UNIT!D9"")"),"#N/A")</f>
        <v>#N/A</v>
      </c>
      <c r="H4822" s="4" t="str">
        <v/>
      </c>
      <c r="I4822" s="4" t="str">
        <v/>
      </c>
    </row>
    <row r="4823" spans="5:9" ht="16.5" hidden="1">
      <c r="E4823" s="4" t="str">
        <v/>
      </c>
      <c r="F4823" s="102" t="str">
        <f ca="1">IFERROR(__xludf.DUMMYFUNCTION("IMPORTRANGE(H4823,""IDENTITAS UNIT!D9"")"),"#N/A")</f>
        <v>#N/A</v>
      </c>
      <c r="H4823" s="4" t="str">
        <v/>
      </c>
      <c r="I4823" s="4" t="str">
        <v/>
      </c>
    </row>
    <row r="4824" spans="5:9" ht="16.5" hidden="1">
      <c r="E4824" s="4" t="str">
        <v/>
      </c>
      <c r="F4824" s="102" t="str">
        <f ca="1">IFERROR(__xludf.DUMMYFUNCTION("IMPORTRANGE(H4824,""IDENTITAS UNIT!D9"")"),"#N/A")</f>
        <v>#N/A</v>
      </c>
      <c r="H4824" s="4" t="str">
        <v/>
      </c>
      <c r="I4824" s="4" t="str">
        <v/>
      </c>
    </row>
    <row r="4825" spans="5:9" ht="16.5" hidden="1">
      <c r="E4825" s="4" t="str">
        <v/>
      </c>
      <c r="F4825" s="102" t="str">
        <f ca="1">IFERROR(__xludf.DUMMYFUNCTION("IMPORTRANGE(H4825,""IDENTITAS UNIT!D9"")"),"#N/A")</f>
        <v>#N/A</v>
      </c>
      <c r="H4825" s="4" t="str">
        <v/>
      </c>
      <c r="I4825" s="4" t="str">
        <v/>
      </c>
    </row>
    <row r="4826" spans="5:9" ht="16.5" hidden="1">
      <c r="E4826" s="4" t="str">
        <v/>
      </c>
      <c r="F4826" s="102" t="str">
        <f ca="1">IFERROR(__xludf.DUMMYFUNCTION("IMPORTRANGE(H4826,""IDENTITAS UNIT!D9"")"),"#N/A")</f>
        <v>#N/A</v>
      </c>
      <c r="H4826" s="4" t="str">
        <v/>
      </c>
      <c r="I4826" s="4" t="str">
        <v/>
      </c>
    </row>
    <row r="4827" spans="5:9" ht="16.5" hidden="1">
      <c r="E4827" s="4" t="str">
        <v/>
      </c>
      <c r="F4827" s="102" t="str">
        <f ca="1">IFERROR(__xludf.DUMMYFUNCTION("IMPORTRANGE(H4827,""IDENTITAS UNIT!D9"")"),"#N/A")</f>
        <v>#N/A</v>
      </c>
      <c r="H4827" s="4" t="str">
        <v/>
      </c>
      <c r="I4827" s="4" t="str">
        <v/>
      </c>
    </row>
    <row r="4828" spans="5:9" ht="16.5" hidden="1">
      <c r="E4828" s="4" t="str">
        <v/>
      </c>
      <c r="F4828" s="102" t="str">
        <f ca="1">IFERROR(__xludf.DUMMYFUNCTION("IMPORTRANGE(H4828,""IDENTITAS UNIT!D9"")"),"#N/A")</f>
        <v>#N/A</v>
      </c>
      <c r="H4828" s="4" t="str">
        <v/>
      </c>
      <c r="I4828" s="4" t="str">
        <v/>
      </c>
    </row>
    <row r="4829" spans="5:9" ht="16.5" hidden="1">
      <c r="E4829" s="4" t="str">
        <v/>
      </c>
      <c r="F4829" s="102" t="str">
        <f ca="1">IFERROR(__xludf.DUMMYFUNCTION("IMPORTRANGE(H4829,""IDENTITAS UNIT!D9"")"),"#N/A")</f>
        <v>#N/A</v>
      </c>
      <c r="H4829" s="4" t="str">
        <v/>
      </c>
      <c r="I4829" s="4" t="str">
        <v/>
      </c>
    </row>
    <row r="4830" spans="5:9" ht="16.5" hidden="1">
      <c r="E4830" s="4" t="str">
        <v/>
      </c>
      <c r="F4830" s="102" t="str">
        <f ca="1">IFERROR(__xludf.DUMMYFUNCTION("IMPORTRANGE(H4830,""IDENTITAS UNIT!D9"")"),"#N/A")</f>
        <v>#N/A</v>
      </c>
      <c r="H4830" s="4" t="str">
        <v/>
      </c>
      <c r="I4830" s="4" t="str">
        <v/>
      </c>
    </row>
    <row r="4831" spans="5:9" ht="16.5" hidden="1">
      <c r="E4831" s="4" t="str">
        <v/>
      </c>
      <c r="F4831" s="102" t="str">
        <f ca="1">IFERROR(__xludf.DUMMYFUNCTION("IMPORTRANGE(H4831,""IDENTITAS UNIT!D9"")"),"#N/A")</f>
        <v>#N/A</v>
      </c>
      <c r="H4831" s="4" t="str">
        <v/>
      </c>
      <c r="I4831" s="4" t="str">
        <v/>
      </c>
    </row>
    <row r="4832" spans="5:9" ht="16.5" hidden="1">
      <c r="E4832" s="4" t="str">
        <v/>
      </c>
      <c r="F4832" s="102" t="str">
        <f ca="1">IFERROR(__xludf.DUMMYFUNCTION("IMPORTRANGE(H4832,""IDENTITAS UNIT!D9"")"),"#N/A")</f>
        <v>#N/A</v>
      </c>
      <c r="H4832" s="4" t="str">
        <v/>
      </c>
      <c r="I4832" s="4" t="str">
        <v/>
      </c>
    </row>
    <row r="4833" spans="5:9" ht="16.5" hidden="1">
      <c r="E4833" s="4" t="str">
        <v/>
      </c>
      <c r="F4833" s="102" t="str">
        <f ca="1">IFERROR(__xludf.DUMMYFUNCTION("IMPORTRANGE(H4833,""IDENTITAS UNIT!D9"")"),"#N/A")</f>
        <v>#N/A</v>
      </c>
      <c r="H4833" s="4" t="str">
        <v/>
      </c>
      <c r="I4833" s="4" t="str">
        <v/>
      </c>
    </row>
    <row r="4834" spans="5:9" ht="16.5" hidden="1">
      <c r="E4834" s="4" t="str">
        <v/>
      </c>
      <c r="F4834" s="102" t="str">
        <f ca="1">IFERROR(__xludf.DUMMYFUNCTION("IMPORTRANGE(H4834,""IDENTITAS UNIT!D9"")"),"#N/A")</f>
        <v>#N/A</v>
      </c>
      <c r="H4834" s="4" t="str">
        <v/>
      </c>
      <c r="I4834" s="4" t="str">
        <v/>
      </c>
    </row>
    <row r="4835" spans="5:9" ht="16.5" hidden="1">
      <c r="E4835" s="4" t="str">
        <v/>
      </c>
      <c r="F4835" s="102" t="str">
        <f ca="1">IFERROR(__xludf.DUMMYFUNCTION("IMPORTRANGE(H4835,""IDENTITAS UNIT!D9"")"),"#N/A")</f>
        <v>#N/A</v>
      </c>
      <c r="H4835" s="4" t="str">
        <v/>
      </c>
      <c r="I4835" s="4" t="str">
        <v/>
      </c>
    </row>
    <row r="4836" spans="5:9" ht="16.5" hidden="1">
      <c r="E4836" s="4" t="str">
        <v/>
      </c>
      <c r="F4836" s="102" t="str">
        <f ca="1">IFERROR(__xludf.DUMMYFUNCTION("IMPORTRANGE(H4836,""IDENTITAS UNIT!D9"")"),"#N/A")</f>
        <v>#N/A</v>
      </c>
      <c r="H4836" s="4" t="str">
        <v/>
      </c>
      <c r="I4836" s="4" t="str">
        <v/>
      </c>
    </row>
    <row r="4837" spans="5:9" ht="16.5" hidden="1">
      <c r="E4837" s="4" t="str">
        <v/>
      </c>
      <c r="F4837" s="102" t="str">
        <f ca="1">IFERROR(__xludf.DUMMYFUNCTION("IMPORTRANGE(H4837,""IDENTITAS UNIT!D9"")"),"#N/A")</f>
        <v>#N/A</v>
      </c>
      <c r="H4837" s="4" t="str">
        <v/>
      </c>
      <c r="I4837" s="4" t="str">
        <v/>
      </c>
    </row>
    <row r="4838" spans="5:9" ht="16.5" hidden="1">
      <c r="E4838" s="4" t="str">
        <v/>
      </c>
      <c r="F4838" s="102" t="str">
        <f ca="1">IFERROR(__xludf.DUMMYFUNCTION("IMPORTRANGE(H4838,""IDENTITAS UNIT!D9"")"),"#N/A")</f>
        <v>#N/A</v>
      </c>
      <c r="H4838" s="4" t="str">
        <v/>
      </c>
      <c r="I4838" s="4" t="str">
        <v/>
      </c>
    </row>
    <row r="4839" spans="5:9" ht="16.5" hidden="1">
      <c r="E4839" s="4" t="str">
        <v/>
      </c>
      <c r="F4839" s="102" t="str">
        <f ca="1">IFERROR(__xludf.DUMMYFUNCTION("IMPORTRANGE(H4839,""IDENTITAS UNIT!D9"")"),"#N/A")</f>
        <v>#N/A</v>
      </c>
      <c r="H4839" s="4" t="str">
        <v/>
      </c>
      <c r="I4839" s="4" t="str">
        <v/>
      </c>
    </row>
    <row r="4840" spans="5:9" ht="16.5" hidden="1">
      <c r="E4840" s="4" t="str">
        <v/>
      </c>
      <c r="F4840" s="102" t="str">
        <f ca="1">IFERROR(__xludf.DUMMYFUNCTION("IMPORTRANGE(H4840,""IDENTITAS UNIT!D9"")"),"#N/A")</f>
        <v>#N/A</v>
      </c>
      <c r="H4840" s="4" t="str">
        <v/>
      </c>
      <c r="I4840" s="4" t="str">
        <v/>
      </c>
    </row>
    <row r="4841" spans="5:9" ht="16.5" hidden="1">
      <c r="E4841" s="4" t="str">
        <v/>
      </c>
      <c r="F4841" s="102" t="str">
        <f ca="1">IFERROR(__xludf.DUMMYFUNCTION("IMPORTRANGE(H4841,""IDENTITAS UNIT!D9"")"),"#N/A")</f>
        <v>#N/A</v>
      </c>
      <c r="H4841" s="4" t="str">
        <v/>
      </c>
      <c r="I4841" s="4" t="str">
        <v/>
      </c>
    </row>
    <row r="4842" spans="5:9" ht="16.5" hidden="1">
      <c r="E4842" s="4" t="str">
        <v/>
      </c>
      <c r="F4842" s="102" t="str">
        <f ca="1">IFERROR(__xludf.DUMMYFUNCTION("IMPORTRANGE(H4842,""IDENTITAS UNIT!D9"")"),"#N/A")</f>
        <v>#N/A</v>
      </c>
      <c r="H4842" s="4" t="str">
        <v/>
      </c>
      <c r="I4842" s="4" t="str">
        <v/>
      </c>
    </row>
    <row r="4843" spans="5:9" ht="16.5" hidden="1">
      <c r="E4843" s="4" t="str">
        <v/>
      </c>
      <c r="F4843" s="102" t="str">
        <f ca="1">IFERROR(__xludf.DUMMYFUNCTION("IMPORTRANGE(H4843,""IDENTITAS UNIT!D9"")"),"#N/A")</f>
        <v>#N/A</v>
      </c>
      <c r="H4843" s="4" t="str">
        <v/>
      </c>
      <c r="I4843" s="4" t="str">
        <v/>
      </c>
    </row>
    <row r="4844" spans="5:9" ht="16.5" hidden="1">
      <c r="E4844" s="4" t="str">
        <v/>
      </c>
      <c r="F4844" s="102" t="str">
        <f ca="1">IFERROR(__xludf.DUMMYFUNCTION("IMPORTRANGE(H4844,""IDENTITAS UNIT!D9"")"),"#N/A")</f>
        <v>#N/A</v>
      </c>
      <c r="H4844" s="4" t="str">
        <v/>
      </c>
      <c r="I4844" s="4" t="str">
        <v/>
      </c>
    </row>
    <row r="4845" spans="5:9" ht="16.5" hidden="1">
      <c r="E4845" s="4" t="str">
        <v/>
      </c>
      <c r="F4845" s="102" t="str">
        <f ca="1">IFERROR(__xludf.DUMMYFUNCTION("IMPORTRANGE(H4845,""IDENTITAS UNIT!D9"")"),"#N/A")</f>
        <v>#N/A</v>
      </c>
      <c r="H4845" s="4" t="str">
        <v/>
      </c>
      <c r="I4845" s="4" t="str">
        <v/>
      </c>
    </row>
    <row r="4846" spans="5:9" ht="16.5" hidden="1">
      <c r="E4846" s="4" t="str">
        <v/>
      </c>
      <c r="F4846" s="102" t="str">
        <f ca="1">IFERROR(__xludf.DUMMYFUNCTION("IMPORTRANGE(H4846,""IDENTITAS UNIT!D9"")"),"#N/A")</f>
        <v>#N/A</v>
      </c>
      <c r="H4846" s="4" t="str">
        <v/>
      </c>
      <c r="I4846" s="4" t="str">
        <v/>
      </c>
    </row>
    <row r="4847" spans="5:9" ht="16.5" hidden="1">
      <c r="E4847" s="4" t="str">
        <v/>
      </c>
      <c r="F4847" s="102" t="str">
        <f ca="1">IFERROR(__xludf.DUMMYFUNCTION("IMPORTRANGE(H4847,""IDENTITAS UNIT!D9"")"),"#N/A")</f>
        <v>#N/A</v>
      </c>
      <c r="H4847" s="4" t="str">
        <v/>
      </c>
      <c r="I4847" s="4" t="str">
        <v/>
      </c>
    </row>
    <row r="4848" spans="5:9" ht="16.5" hidden="1">
      <c r="E4848" s="4" t="str">
        <v/>
      </c>
      <c r="F4848" s="102" t="str">
        <f ca="1">IFERROR(__xludf.DUMMYFUNCTION("IMPORTRANGE(H4848,""IDENTITAS UNIT!D9"")"),"#N/A")</f>
        <v>#N/A</v>
      </c>
      <c r="H4848" s="4" t="str">
        <v/>
      </c>
      <c r="I4848" s="4" t="str">
        <v/>
      </c>
    </row>
    <row r="4849" spans="5:9" ht="16.5" hidden="1">
      <c r="E4849" s="4" t="str">
        <v/>
      </c>
      <c r="F4849" s="102" t="str">
        <f ca="1">IFERROR(__xludf.DUMMYFUNCTION("IMPORTRANGE(H4849,""IDENTITAS UNIT!D9"")"),"#N/A")</f>
        <v>#N/A</v>
      </c>
      <c r="H4849" s="4" t="str">
        <v/>
      </c>
      <c r="I4849" s="4" t="str">
        <v/>
      </c>
    </row>
    <row r="4850" spans="5:9" ht="16.5" hidden="1">
      <c r="E4850" s="4" t="str">
        <v/>
      </c>
      <c r="F4850" s="102" t="str">
        <f ca="1">IFERROR(__xludf.DUMMYFUNCTION("IMPORTRANGE(H4850,""IDENTITAS UNIT!D9"")"),"#N/A")</f>
        <v>#N/A</v>
      </c>
      <c r="H4850" s="4" t="str">
        <v/>
      </c>
      <c r="I4850" s="4" t="str">
        <v/>
      </c>
    </row>
    <row r="4851" spans="5:9" ht="16.5" hidden="1">
      <c r="E4851" s="4" t="str">
        <v/>
      </c>
      <c r="F4851" s="102" t="str">
        <f ca="1">IFERROR(__xludf.DUMMYFUNCTION("IMPORTRANGE(H4851,""IDENTITAS UNIT!D9"")"),"#N/A")</f>
        <v>#N/A</v>
      </c>
      <c r="H4851" s="4" t="str">
        <v/>
      </c>
      <c r="I4851" s="4" t="str">
        <v/>
      </c>
    </row>
    <row r="4852" spans="5:9" ht="16.5" hidden="1">
      <c r="E4852" s="4" t="str">
        <v/>
      </c>
      <c r="F4852" s="102" t="str">
        <f ca="1">IFERROR(__xludf.DUMMYFUNCTION("IMPORTRANGE(H4852,""IDENTITAS UNIT!D9"")"),"#N/A")</f>
        <v>#N/A</v>
      </c>
      <c r="H4852" s="4" t="str">
        <v/>
      </c>
      <c r="I4852" s="4" t="str">
        <v/>
      </c>
    </row>
    <row r="4853" spans="5:9" ht="16.5" hidden="1">
      <c r="E4853" s="4" t="str">
        <v/>
      </c>
      <c r="F4853" s="102" t="str">
        <f ca="1">IFERROR(__xludf.DUMMYFUNCTION("IMPORTRANGE(H4853,""IDENTITAS UNIT!D9"")"),"#N/A")</f>
        <v>#N/A</v>
      </c>
      <c r="H4853" s="4" t="str">
        <v/>
      </c>
      <c r="I4853" s="4" t="str">
        <v/>
      </c>
    </row>
    <row r="4854" spans="5:9" ht="16.5" hidden="1">
      <c r="E4854" s="4" t="str">
        <v/>
      </c>
      <c r="F4854" s="102" t="str">
        <f ca="1">IFERROR(__xludf.DUMMYFUNCTION("IMPORTRANGE(H4854,""IDENTITAS UNIT!D9"")"),"#N/A")</f>
        <v>#N/A</v>
      </c>
      <c r="H4854" s="4" t="str">
        <v/>
      </c>
      <c r="I4854" s="4" t="str">
        <v/>
      </c>
    </row>
    <row r="4855" spans="5:9" ht="16.5" hidden="1">
      <c r="E4855" s="4" t="str">
        <v/>
      </c>
      <c r="F4855" s="102" t="str">
        <f ca="1">IFERROR(__xludf.DUMMYFUNCTION("IMPORTRANGE(H4855,""IDENTITAS UNIT!D9"")"),"#N/A")</f>
        <v>#N/A</v>
      </c>
      <c r="H4855" s="4" t="str">
        <v/>
      </c>
      <c r="I4855" s="4" t="str">
        <v/>
      </c>
    </row>
    <row r="4856" spans="5:9" ht="16.5" hidden="1">
      <c r="E4856" s="4" t="str">
        <v/>
      </c>
      <c r="F4856" s="102" t="str">
        <f ca="1">IFERROR(__xludf.DUMMYFUNCTION("IMPORTRANGE(H4856,""IDENTITAS UNIT!D9"")"),"#N/A")</f>
        <v>#N/A</v>
      </c>
      <c r="H4856" s="4" t="str">
        <v/>
      </c>
      <c r="I4856" s="4" t="str">
        <v/>
      </c>
    </row>
    <row r="4857" spans="5:9" ht="16.5" hidden="1">
      <c r="E4857" s="4" t="str">
        <v/>
      </c>
      <c r="F4857" s="102" t="str">
        <f ca="1">IFERROR(__xludf.DUMMYFUNCTION("IMPORTRANGE(H4857,""IDENTITAS UNIT!D9"")"),"#N/A")</f>
        <v>#N/A</v>
      </c>
      <c r="H4857" s="4" t="str">
        <v/>
      </c>
      <c r="I4857" s="4" t="str">
        <v/>
      </c>
    </row>
    <row r="4858" spans="5:9" ht="16.5" hidden="1">
      <c r="E4858" s="4" t="str">
        <v/>
      </c>
      <c r="F4858" s="102" t="str">
        <f ca="1">IFERROR(__xludf.DUMMYFUNCTION("IMPORTRANGE(H4858,""IDENTITAS UNIT!D9"")"),"#N/A")</f>
        <v>#N/A</v>
      </c>
      <c r="H4858" s="4" t="str">
        <v/>
      </c>
      <c r="I4858" s="4" t="str">
        <v/>
      </c>
    </row>
    <row r="4859" spans="5:9" ht="16.5" hidden="1">
      <c r="E4859" s="4" t="str">
        <v/>
      </c>
      <c r="F4859" s="102" t="str">
        <f ca="1">IFERROR(__xludf.DUMMYFUNCTION("IMPORTRANGE(H4859,""IDENTITAS UNIT!D9"")"),"#N/A")</f>
        <v>#N/A</v>
      </c>
      <c r="H4859" s="4" t="str">
        <v/>
      </c>
      <c r="I4859" s="4" t="str">
        <v/>
      </c>
    </row>
    <row r="4860" spans="5:9" ht="16.5" hidden="1">
      <c r="E4860" s="4" t="str">
        <v/>
      </c>
      <c r="F4860" s="102" t="str">
        <f ca="1">IFERROR(__xludf.DUMMYFUNCTION("IMPORTRANGE(H4860,""IDENTITAS UNIT!D9"")"),"#N/A")</f>
        <v>#N/A</v>
      </c>
      <c r="H4860" s="4" t="str">
        <v/>
      </c>
      <c r="I4860" s="4" t="str">
        <v/>
      </c>
    </row>
    <row r="4861" spans="5:9" ht="16.5" hidden="1">
      <c r="E4861" s="4" t="str">
        <v/>
      </c>
      <c r="F4861" s="102" t="str">
        <f ca="1">IFERROR(__xludf.DUMMYFUNCTION("IMPORTRANGE(H4861,""IDENTITAS UNIT!D9"")"),"#N/A")</f>
        <v>#N/A</v>
      </c>
      <c r="H4861" s="4" t="str">
        <v/>
      </c>
      <c r="I4861" s="4" t="str">
        <v/>
      </c>
    </row>
    <row r="4862" spans="5:9" ht="16.5" hidden="1">
      <c r="E4862" s="4" t="str">
        <v/>
      </c>
      <c r="F4862" s="102" t="str">
        <f ca="1">IFERROR(__xludf.DUMMYFUNCTION("IMPORTRANGE(H4862,""IDENTITAS UNIT!D9"")"),"#N/A")</f>
        <v>#N/A</v>
      </c>
      <c r="H4862" s="4" t="str">
        <v/>
      </c>
      <c r="I4862" s="4" t="str">
        <v/>
      </c>
    </row>
    <row r="4863" spans="5:9" ht="16.5" hidden="1">
      <c r="E4863" s="4" t="str">
        <v/>
      </c>
      <c r="F4863" s="102" t="str">
        <f ca="1">IFERROR(__xludf.DUMMYFUNCTION("IMPORTRANGE(H4863,""IDENTITAS UNIT!D9"")"),"#N/A")</f>
        <v>#N/A</v>
      </c>
      <c r="H4863" s="4" t="str">
        <v/>
      </c>
      <c r="I4863" s="4" t="str">
        <v/>
      </c>
    </row>
    <row r="4864" spans="5:9" ht="16.5" hidden="1">
      <c r="E4864" s="4" t="str">
        <v/>
      </c>
      <c r="F4864" s="102" t="str">
        <f ca="1">IFERROR(__xludf.DUMMYFUNCTION("IMPORTRANGE(H4864,""IDENTITAS UNIT!D9"")"),"#N/A")</f>
        <v>#N/A</v>
      </c>
      <c r="H4864" s="4" t="str">
        <v/>
      </c>
      <c r="I4864" s="4" t="str">
        <v/>
      </c>
    </row>
    <row r="4865" spans="5:9" ht="16.5" hidden="1">
      <c r="E4865" s="4" t="str">
        <v/>
      </c>
      <c r="F4865" s="102" t="str">
        <f ca="1">IFERROR(__xludf.DUMMYFUNCTION("IMPORTRANGE(H4865,""IDENTITAS UNIT!D9"")"),"#N/A")</f>
        <v>#N/A</v>
      </c>
      <c r="H4865" s="4" t="str">
        <v/>
      </c>
      <c r="I4865" s="4" t="str">
        <v/>
      </c>
    </row>
    <row r="4866" spans="5:9" ht="16.5" hidden="1">
      <c r="E4866" s="4" t="str">
        <v/>
      </c>
      <c r="F4866" s="102" t="str">
        <f ca="1">IFERROR(__xludf.DUMMYFUNCTION("IMPORTRANGE(H4866,""IDENTITAS UNIT!D9"")"),"#N/A")</f>
        <v>#N/A</v>
      </c>
      <c r="H4866" s="4" t="str">
        <v/>
      </c>
      <c r="I4866" s="4" t="str">
        <v/>
      </c>
    </row>
    <row r="4867" spans="5:9" ht="16.5" hidden="1">
      <c r="E4867" s="4" t="str">
        <v/>
      </c>
      <c r="F4867" s="102" t="str">
        <f ca="1">IFERROR(__xludf.DUMMYFUNCTION("IMPORTRANGE(H4867,""IDENTITAS UNIT!D9"")"),"#N/A")</f>
        <v>#N/A</v>
      </c>
      <c r="H4867" s="4" t="str">
        <v/>
      </c>
      <c r="I4867" s="4" t="str">
        <v/>
      </c>
    </row>
    <row r="4868" spans="5:9" ht="16.5" hidden="1">
      <c r="E4868" s="4" t="str">
        <v/>
      </c>
      <c r="F4868" s="102" t="str">
        <f ca="1">IFERROR(__xludf.DUMMYFUNCTION("IMPORTRANGE(H4868,""IDENTITAS UNIT!D9"")"),"#N/A")</f>
        <v>#N/A</v>
      </c>
      <c r="H4868" s="4" t="str">
        <v/>
      </c>
      <c r="I4868" s="4" t="str">
        <v/>
      </c>
    </row>
    <row r="4869" spans="5:9" ht="16.5" hidden="1">
      <c r="E4869" s="4" t="str">
        <v/>
      </c>
      <c r="F4869" s="102" t="str">
        <f ca="1">IFERROR(__xludf.DUMMYFUNCTION("IMPORTRANGE(H4869,""IDENTITAS UNIT!D9"")"),"#N/A")</f>
        <v>#N/A</v>
      </c>
      <c r="H4869" s="4" t="str">
        <v/>
      </c>
      <c r="I4869" s="4" t="str">
        <v/>
      </c>
    </row>
    <row r="4870" spans="5:9" ht="16.5" hidden="1">
      <c r="E4870" s="4" t="str">
        <v/>
      </c>
      <c r="F4870" s="102" t="str">
        <f ca="1">IFERROR(__xludf.DUMMYFUNCTION("IMPORTRANGE(H4870,""IDENTITAS UNIT!D9"")"),"#N/A")</f>
        <v>#N/A</v>
      </c>
      <c r="H4870" s="4" t="str">
        <v/>
      </c>
      <c r="I4870" s="4" t="str">
        <v/>
      </c>
    </row>
    <row r="4871" spans="5:9" ht="16.5" hidden="1">
      <c r="E4871" s="4" t="str">
        <v/>
      </c>
      <c r="F4871" s="102" t="str">
        <f ca="1">IFERROR(__xludf.DUMMYFUNCTION("IMPORTRANGE(H4871,""IDENTITAS UNIT!D9"")"),"#N/A")</f>
        <v>#N/A</v>
      </c>
      <c r="H4871" s="4" t="str">
        <v/>
      </c>
      <c r="I4871" s="4" t="str">
        <v/>
      </c>
    </row>
    <row r="4872" spans="5:9" ht="16.5" hidden="1">
      <c r="E4872" s="4" t="str">
        <v/>
      </c>
      <c r="F4872" s="102" t="str">
        <f ca="1">IFERROR(__xludf.DUMMYFUNCTION("IMPORTRANGE(H4872,""IDENTITAS UNIT!D9"")"),"#N/A")</f>
        <v>#N/A</v>
      </c>
      <c r="H4872" s="4" t="str">
        <v/>
      </c>
      <c r="I4872" s="4" t="str">
        <v/>
      </c>
    </row>
    <row r="4873" spans="5:9" ht="16.5" hidden="1">
      <c r="E4873" s="4" t="str">
        <v/>
      </c>
      <c r="F4873" s="102" t="str">
        <f ca="1">IFERROR(__xludf.DUMMYFUNCTION("IMPORTRANGE(H4873,""IDENTITAS UNIT!D9"")"),"#N/A")</f>
        <v>#N/A</v>
      </c>
      <c r="H4873" s="4" t="str">
        <v/>
      </c>
      <c r="I4873" s="4" t="str">
        <v/>
      </c>
    </row>
    <row r="4874" spans="5:9" ht="16.5" hidden="1">
      <c r="E4874" s="4" t="str">
        <v/>
      </c>
      <c r="F4874" s="102" t="str">
        <f ca="1">IFERROR(__xludf.DUMMYFUNCTION("IMPORTRANGE(H4874,""IDENTITAS UNIT!D9"")"),"#N/A")</f>
        <v>#N/A</v>
      </c>
      <c r="H4874" s="4" t="str">
        <v/>
      </c>
      <c r="I4874" s="4" t="str">
        <v/>
      </c>
    </row>
    <row r="4875" spans="5:9" ht="16.5" hidden="1">
      <c r="E4875" s="4" t="str">
        <v/>
      </c>
      <c r="F4875" s="102" t="str">
        <f ca="1">IFERROR(__xludf.DUMMYFUNCTION("IMPORTRANGE(H4875,""IDENTITAS UNIT!D9"")"),"#N/A")</f>
        <v>#N/A</v>
      </c>
      <c r="H4875" s="4" t="str">
        <v/>
      </c>
      <c r="I4875" s="4" t="str">
        <v/>
      </c>
    </row>
    <row r="4876" spans="5:9" ht="16.5" hidden="1">
      <c r="E4876" s="4" t="str">
        <v/>
      </c>
      <c r="F4876" s="102" t="str">
        <f ca="1">IFERROR(__xludf.DUMMYFUNCTION("IMPORTRANGE(H4876,""IDENTITAS UNIT!D9"")"),"#N/A")</f>
        <v>#N/A</v>
      </c>
      <c r="H4876" s="4" t="str">
        <v/>
      </c>
      <c r="I4876" s="4" t="str">
        <v/>
      </c>
    </row>
    <row r="4877" spans="5:9" ht="16.5" hidden="1">
      <c r="E4877" s="4" t="str">
        <v/>
      </c>
      <c r="F4877" s="102" t="str">
        <f ca="1">IFERROR(__xludf.DUMMYFUNCTION("IMPORTRANGE(H4877,""IDENTITAS UNIT!D9"")"),"#N/A")</f>
        <v>#N/A</v>
      </c>
      <c r="H4877" s="4" t="str">
        <v/>
      </c>
      <c r="I4877" s="4" t="str">
        <v/>
      </c>
    </row>
    <row r="4878" spans="5:9" ht="16.5" hidden="1">
      <c r="E4878" s="4" t="str">
        <v/>
      </c>
      <c r="F4878" s="102" t="str">
        <f ca="1">IFERROR(__xludf.DUMMYFUNCTION("IMPORTRANGE(H4878,""IDENTITAS UNIT!D9"")"),"#N/A")</f>
        <v>#N/A</v>
      </c>
      <c r="H4878" s="4" t="str">
        <v/>
      </c>
      <c r="I4878" s="4" t="str">
        <v/>
      </c>
    </row>
    <row r="4879" spans="5:9" ht="16.5" hidden="1">
      <c r="E4879" s="4" t="str">
        <v/>
      </c>
      <c r="F4879" s="102" t="str">
        <f ca="1">IFERROR(__xludf.DUMMYFUNCTION("IMPORTRANGE(H4879,""IDENTITAS UNIT!D9"")"),"#N/A")</f>
        <v>#N/A</v>
      </c>
      <c r="H4879" s="4" t="str">
        <v/>
      </c>
      <c r="I4879" s="4" t="str">
        <v/>
      </c>
    </row>
    <row r="4880" spans="5:9" ht="16.5" hidden="1">
      <c r="E4880" s="4" t="str">
        <v/>
      </c>
      <c r="F4880" s="102" t="str">
        <f ca="1">IFERROR(__xludf.DUMMYFUNCTION("IMPORTRANGE(H4880,""IDENTITAS UNIT!D9"")"),"#N/A")</f>
        <v>#N/A</v>
      </c>
      <c r="H4880" s="4" t="str">
        <v/>
      </c>
      <c r="I4880" s="4" t="str">
        <v/>
      </c>
    </row>
    <row r="4881" spans="5:9" ht="16.5" hidden="1">
      <c r="E4881" s="4" t="str">
        <v/>
      </c>
      <c r="F4881" s="102" t="str">
        <f ca="1">IFERROR(__xludf.DUMMYFUNCTION("IMPORTRANGE(H4881,""IDENTITAS UNIT!D9"")"),"#N/A")</f>
        <v>#N/A</v>
      </c>
      <c r="H4881" s="4" t="str">
        <v/>
      </c>
      <c r="I4881" s="4" t="str">
        <v/>
      </c>
    </row>
    <row r="4882" spans="5:9" ht="16.5" hidden="1">
      <c r="E4882" s="4" t="str">
        <v/>
      </c>
      <c r="F4882" s="102" t="str">
        <f ca="1">IFERROR(__xludf.DUMMYFUNCTION("IMPORTRANGE(H4882,""IDENTITAS UNIT!D9"")"),"#N/A")</f>
        <v>#N/A</v>
      </c>
      <c r="H4882" s="4" t="str">
        <v/>
      </c>
      <c r="I4882" s="4" t="str">
        <v/>
      </c>
    </row>
    <row r="4883" spans="5:9" ht="16.5" hidden="1">
      <c r="E4883" s="4" t="str">
        <v/>
      </c>
      <c r="F4883" s="102" t="str">
        <f ca="1">IFERROR(__xludf.DUMMYFUNCTION("IMPORTRANGE(H4883,""IDENTITAS UNIT!D9"")"),"#N/A")</f>
        <v>#N/A</v>
      </c>
      <c r="H4883" s="4" t="str">
        <v/>
      </c>
      <c r="I4883" s="4" t="str">
        <v/>
      </c>
    </row>
    <row r="4884" spans="5:9" ht="16.5" hidden="1">
      <c r="E4884" s="4" t="str">
        <v/>
      </c>
      <c r="F4884" s="102" t="str">
        <f ca="1">IFERROR(__xludf.DUMMYFUNCTION("IMPORTRANGE(H4884,""IDENTITAS UNIT!D9"")"),"#N/A")</f>
        <v>#N/A</v>
      </c>
      <c r="H4884" s="4" t="str">
        <v/>
      </c>
      <c r="I4884" s="4" t="str">
        <v/>
      </c>
    </row>
    <row r="4885" spans="5:9" ht="16.5" hidden="1">
      <c r="E4885" s="4" t="str">
        <v/>
      </c>
      <c r="F4885" s="102" t="str">
        <f ca="1">IFERROR(__xludf.DUMMYFUNCTION("IMPORTRANGE(H4885,""IDENTITAS UNIT!D9"")"),"#N/A")</f>
        <v>#N/A</v>
      </c>
      <c r="H4885" s="4" t="str">
        <v/>
      </c>
      <c r="I4885" s="4" t="str">
        <v/>
      </c>
    </row>
    <row r="4886" spans="5:9" ht="16.5" hidden="1">
      <c r="E4886" s="4" t="str">
        <v/>
      </c>
      <c r="F4886" s="102" t="str">
        <f ca="1">IFERROR(__xludf.DUMMYFUNCTION("IMPORTRANGE(H4886,""IDENTITAS UNIT!D9"")"),"#N/A")</f>
        <v>#N/A</v>
      </c>
      <c r="H4886" s="4" t="str">
        <v/>
      </c>
      <c r="I4886" s="4" t="str">
        <v/>
      </c>
    </row>
    <row r="4887" spans="5:9" ht="16.5" hidden="1">
      <c r="E4887" s="4" t="str">
        <v/>
      </c>
      <c r="F4887" s="102" t="str">
        <f ca="1">IFERROR(__xludf.DUMMYFUNCTION("IMPORTRANGE(H4887,""IDENTITAS UNIT!D9"")"),"#N/A")</f>
        <v>#N/A</v>
      </c>
      <c r="H4887" s="4" t="str">
        <v/>
      </c>
      <c r="I4887" s="4" t="str">
        <v/>
      </c>
    </row>
    <row r="4888" spans="5:9" ht="16.5" hidden="1">
      <c r="E4888" s="4" t="str">
        <v/>
      </c>
      <c r="F4888" s="102" t="str">
        <f ca="1">IFERROR(__xludf.DUMMYFUNCTION("IMPORTRANGE(H4888,""IDENTITAS UNIT!D9"")"),"#N/A")</f>
        <v>#N/A</v>
      </c>
      <c r="H4888" s="4" t="str">
        <v/>
      </c>
      <c r="I4888" s="4" t="str">
        <v/>
      </c>
    </row>
    <row r="4889" spans="5:9" ht="16.5" hidden="1">
      <c r="E4889" s="4" t="str">
        <v/>
      </c>
      <c r="F4889" s="102" t="str">
        <f ca="1">IFERROR(__xludf.DUMMYFUNCTION("IMPORTRANGE(H4889,""IDENTITAS UNIT!D9"")"),"#N/A")</f>
        <v>#N/A</v>
      </c>
      <c r="H4889" s="4" t="str">
        <v/>
      </c>
      <c r="I4889" s="4" t="str">
        <v/>
      </c>
    </row>
    <row r="4890" spans="5:9" ht="16.5" hidden="1">
      <c r="E4890" s="4" t="str">
        <v/>
      </c>
      <c r="F4890" s="102" t="str">
        <f ca="1">IFERROR(__xludf.DUMMYFUNCTION("IMPORTRANGE(H4890,""IDENTITAS UNIT!D9"")"),"#N/A")</f>
        <v>#N/A</v>
      </c>
      <c r="H4890" s="4" t="str">
        <v/>
      </c>
      <c r="I4890" s="4" t="str">
        <v/>
      </c>
    </row>
    <row r="4891" spans="5:9" ht="16.5" hidden="1">
      <c r="E4891" s="4" t="str">
        <v/>
      </c>
      <c r="F4891" s="102" t="str">
        <f ca="1">IFERROR(__xludf.DUMMYFUNCTION("IMPORTRANGE(H4891,""IDENTITAS UNIT!D9"")"),"#N/A")</f>
        <v>#N/A</v>
      </c>
      <c r="H4891" s="4" t="str">
        <v/>
      </c>
      <c r="I4891" s="4" t="str">
        <v/>
      </c>
    </row>
    <row r="4892" spans="5:9" ht="16.5" hidden="1">
      <c r="E4892" s="4" t="str">
        <v/>
      </c>
      <c r="F4892" s="102" t="str">
        <f ca="1">IFERROR(__xludf.DUMMYFUNCTION("IMPORTRANGE(H4892,""IDENTITAS UNIT!D9"")"),"#N/A")</f>
        <v>#N/A</v>
      </c>
      <c r="H4892" s="4" t="str">
        <v/>
      </c>
      <c r="I4892" s="4" t="str">
        <v/>
      </c>
    </row>
    <row r="4893" spans="5:9" ht="16.5" hidden="1">
      <c r="E4893" s="4" t="str">
        <v/>
      </c>
      <c r="F4893" s="102" t="str">
        <f ca="1">IFERROR(__xludf.DUMMYFUNCTION("IMPORTRANGE(H4893,""IDENTITAS UNIT!D9"")"),"#N/A")</f>
        <v>#N/A</v>
      </c>
      <c r="H4893" s="4" t="str">
        <v/>
      </c>
      <c r="I4893" s="4" t="str">
        <v/>
      </c>
    </row>
    <row r="4894" spans="5:9" ht="16.5" hidden="1">
      <c r="E4894" s="4" t="str">
        <v/>
      </c>
      <c r="F4894" s="102" t="str">
        <f ca="1">IFERROR(__xludf.DUMMYFUNCTION("IMPORTRANGE(H4894,""IDENTITAS UNIT!D9"")"),"#N/A")</f>
        <v>#N/A</v>
      </c>
      <c r="H4894" s="4" t="str">
        <v/>
      </c>
      <c r="I4894" s="4" t="str">
        <v/>
      </c>
    </row>
    <row r="4895" spans="5:9" ht="16.5" hidden="1">
      <c r="E4895" s="4" t="str">
        <v/>
      </c>
      <c r="F4895" s="102" t="str">
        <f ca="1">IFERROR(__xludf.DUMMYFUNCTION("IMPORTRANGE(H4895,""IDENTITAS UNIT!D9"")"),"#N/A")</f>
        <v>#N/A</v>
      </c>
      <c r="H4895" s="4" t="str">
        <v/>
      </c>
      <c r="I4895" s="4" t="str">
        <v/>
      </c>
    </row>
    <row r="4896" spans="5:9" ht="16.5" hidden="1">
      <c r="E4896" s="4" t="str">
        <v/>
      </c>
      <c r="F4896" s="102" t="str">
        <f ca="1">IFERROR(__xludf.DUMMYFUNCTION("IMPORTRANGE(H4896,""IDENTITAS UNIT!D9"")"),"#N/A")</f>
        <v>#N/A</v>
      </c>
      <c r="H4896" s="4" t="str">
        <v/>
      </c>
      <c r="I4896" s="4" t="str">
        <v/>
      </c>
    </row>
    <row r="4897" spans="5:9" ht="16.5" hidden="1">
      <c r="E4897" s="4" t="str">
        <v/>
      </c>
      <c r="F4897" s="102" t="str">
        <f ca="1">IFERROR(__xludf.DUMMYFUNCTION("IMPORTRANGE(H4897,""IDENTITAS UNIT!D9"")"),"#N/A")</f>
        <v>#N/A</v>
      </c>
      <c r="H4897" s="4" t="str">
        <v/>
      </c>
      <c r="I4897" s="4" t="str">
        <v/>
      </c>
    </row>
    <row r="4898" spans="5:9" ht="16.5" hidden="1">
      <c r="E4898" s="4" t="str">
        <v/>
      </c>
      <c r="F4898" s="102" t="str">
        <f ca="1">IFERROR(__xludf.DUMMYFUNCTION("IMPORTRANGE(H4898,""IDENTITAS UNIT!D9"")"),"#N/A")</f>
        <v>#N/A</v>
      </c>
      <c r="H4898" s="4" t="str">
        <v/>
      </c>
      <c r="I4898" s="4" t="str">
        <v/>
      </c>
    </row>
    <row r="4899" spans="5:9" ht="16.5" hidden="1">
      <c r="E4899" s="4" t="str">
        <v/>
      </c>
      <c r="F4899" s="102" t="str">
        <f ca="1">IFERROR(__xludf.DUMMYFUNCTION("IMPORTRANGE(H4899,""IDENTITAS UNIT!D9"")"),"#N/A")</f>
        <v>#N/A</v>
      </c>
      <c r="H4899" s="4" t="str">
        <v/>
      </c>
      <c r="I4899" s="4" t="str">
        <v/>
      </c>
    </row>
    <row r="4900" spans="5:9" ht="16.5" hidden="1">
      <c r="E4900" s="4" t="str">
        <v/>
      </c>
      <c r="F4900" s="102" t="str">
        <f ca="1">IFERROR(__xludf.DUMMYFUNCTION("IMPORTRANGE(H4900,""IDENTITAS UNIT!D9"")"),"#N/A")</f>
        <v>#N/A</v>
      </c>
      <c r="H4900" s="4" t="str">
        <v/>
      </c>
      <c r="I4900" s="4" t="str">
        <v/>
      </c>
    </row>
    <row r="4901" spans="5:9" ht="16.5" hidden="1">
      <c r="E4901" s="4" t="str">
        <v/>
      </c>
      <c r="F4901" s="102" t="str">
        <f ca="1">IFERROR(__xludf.DUMMYFUNCTION("IMPORTRANGE(H4901,""IDENTITAS UNIT!D9"")"),"#N/A")</f>
        <v>#N/A</v>
      </c>
      <c r="H4901" s="4" t="str">
        <v/>
      </c>
      <c r="I4901" s="4" t="str">
        <v/>
      </c>
    </row>
    <row r="4902" spans="5:9" ht="16.5" hidden="1">
      <c r="E4902" s="4" t="str">
        <v/>
      </c>
      <c r="F4902" s="102" t="str">
        <f ca="1">IFERROR(__xludf.DUMMYFUNCTION("IMPORTRANGE(H4902,""IDENTITAS UNIT!D9"")"),"#N/A")</f>
        <v>#N/A</v>
      </c>
      <c r="H4902" s="4" t="str">
        <v/>
      </c>
      <c r="I4902" s="4" t="str">
        <v/>
      </c>
    </row>
    <row r="4903" spans="5:9" ht="16.5" hidden="1">
      <c r="E4903" s="4" t="str">
        <v/>
      </c>
      <c r="F4903" s="102" t="str">
        <f ca="1">IFERROR(__xludf.DUMMYFUNCTION("IMPORTRANGE(H4903,""IDENTITAS UNIT!D9"")"),"#N/A")</f>
        <v>#N/A</v>
      </c>
      <c r="H4903" s="4" t="str">
        <v/>
      </c>
      <c r="I4903" s="4" t="str">
        <v/>
      </c>
    </row>
    <row r="4904" spans="5:9" ht="16.5" hidden="1">
      <c r="E4904" s="4" t="str">
        <v/>
      </c>
      <c r="F4904" s="102" t="str">
        <f ca="1">IFERROR(__xludf.DUMMYFUNCTION("IMPORTRANGE(H4904,""IDENTITAS UNIT!D9"")"),"#N/A")</f>
        <v>#N/A</v>
      </c>
      <c r="H4904" s="4" t="str">
        <v/>
      </c>
      <c r="I4904" s="4" t="str">
        <v/>
      </c>
    </row>
    <row r="4905" spans="5:9" ht="16.5" hidden="1">
      <c r="E4905" s="4" t="str">
        <v/>
      </c>
      <c r="F4905" s="102" t="str">
        <f ca="1">IFERROR(__xludf.DUMMYFUNCTION("IMPORTRANGE(H4905,""IDENTITAS UNIT!D9"")"),"#N/A")</f>
        <v>#N/A</v>
      </c>
      <c r="H4905" s="4" t="str">
        <v/>
      </c>
      <c r="I4905" s="4" t="str">
        <v/>
      </c>
    </row>
    <row r="4906" spans="5:9" ht="16.5" hidden="1">
      <c r="E4906" s="4" t="str">
        <v/>
      </c>
      <c r="F4906" s="102" t="str">
        <f ca="1">IFERROR(__xludf.DUMMYFUNCTION("IMPORTRANGE(H4906,""IDENTITAS UNIT!D9"")"),"#N/A")</f>
        <v>#N/A</v>
      </c>
      <c r="H4906" s="4" t="str">
        <v/>
      </c>
      <c r="I4906" s="4" t="str">
        <v/>
      </c>
    </row>
    <row r="4907" spans="5:9" ht="16.5" hidden="1">
      <c r="E4907" s="4" t="str">
        <v/>
      </c>
      <c r="F4907" s="102" t="str">
        <f ca="1">IFERROR(__xludf.DUMMYFUNCTION("IMPORTRANGE(H4907,""IDENTITAS UNIT!D9"")"),"#N/A")</f>
        <v>#N/A</v>
      </c>
      <c r="H4907" s="4" t="str">
        <v/>
      </c>
      <c r="I4907" s="4" t="str">
        <v/>
      </c>
    </row>
    <row r="4908" spans="5:9" ht="16.5" hidden="1">
      <c r="E4908" s="4" t="str">
        <v/>
      </c>
      <c r="F4908" s="102" t="str">
        <f ca="1">IFERROR(__xludf.DUMMYFUNCTION("IMPORTRANGE(H4908,""IDENTITAS UNIT!D9"")"),"#N/A")</f>
        <v>#N/A</v>
      </c>
      <c r="H4908" s="4" t="str">
        <v/>
      </c>
      <c r="I4908" s="4" t="str">
        <v/>
      </c>
    </row>
    <row r="4909" spans="5:9" ht="16.5" hidden="1">
      <c r="E4909" s="4" t="str">
        <v/>
      </c>
      <c r="F4909" s="102" t="str">
        <f ca="1">IFERROR(__xludf.DUMMYFUNCTION("IMPORTRANGE(H4909,""IDENTITAS UNIT!D9"")"),"#N/A")</f>
        <v>#N/A</v>
      </c>
      <c r="H4909" s="4" t="str">
        <v/>
      </c>
      <c r="I4909" s="4" t="str">
        <v/>
      </c>
    </row>
    <row r="4910" spans="5:9" ht="16.5" hidden="1">
      <c r="E4910" s="4" t="str">
        <v/>
      </c>
      <c r="F4910" s="102" t="str">
        <f ca="1">IFERROR(__xludf.DUMMYFUNCTION("IMPORTRANGE(H4910,""IDENTITAS UNIT!D9"")"),"#N/A")</f>
        <v>#N/A</v>
      </c>
      <c r="H4910" s="4" t="str">
        <v/>
      </c>
      <c r="I4910" s="4" t="str">
        <v/>
      </c>
    </row>
    <row r="4911" spans="5:9" ht="16.5" hidden="1">
      <c r="E4911" s="4" t="str">
        <v/>
      </c>
      <c r="F4911" s="102" t="str">
        <f ca="1">IFERROR(__xludf.DUMMYFUNCTION("IMPORTRANGE(H4911,""IDENTITAS UNIT!D9"")"),"#N/A")</f>
        <v>#N/A</v>
      </c>
      <c r="H4911" s="4" t="str">
        <v/>
      </c>
      <c r="I4911" s="4" t="str">
        <v/>
      </c>
    </row>
    <row r="4912" spans="5:9" ht="16.5" hidden="1">
      <c r="E4912" s="4" t="str">
        <v/>
      </c>
      <c r="F4912" s="102" t="str">
        <f ca="1">IFERROR(__xludf.DUMMYFUNCTION("IMPORTRANGE(H4912,""IDENTITAS UNIT!D9"")"),"#N/A")</f>
        <v>#N/A</v>
      </c>
      <c r="H4912" s="4" t="str">
        <v/>
      </c>
      <c r="I4912" s="4" t="str">
        <v/>
      </c>
    </row>
    <row r="4913" spans="5:9" ht="16.5" hidden="1">
      <c r="E4913" s="4" t="str">
        <v/>
      </c>
      <c r="F4913" s="102" t="str">
        <f ca="1">IFERROR(__xludf.DUMMYFUNCTION("IMPORTRANGE(H4913,""IDENTITAS UNIT!D9"")"),"#N/A")</f>
        <v>#N/A</v>
      </c>
      <c r="H4913" s="4" t="str">
        <v/>
      </c>
      <c r="I4913" s="4" t="str">
        <v/>
      </c>
    </row>
    <row r="4914" spans="5:9" ht="16.5" hidden="1">
      <c r="E4914" s="4" t="str">
        <v/>
      </c>
      <c r="F4914" s="102" t="str">
        <f ca="1">IFERROR(__xludf.DUMMYFUNCTION("IMPORTRANGE(H4914,""IDENTITAS UNIT!D9"")"),"#N/A")</f>
        <v>#N/A</v>
      </c>
      <c r="H4914" s="4" t="str">
        <v/>
      </c>
      <c r="I4914" s="4" t="str">
        <v/>
      </c>
    </row>
    <row r="4915" spans="5:9" ht="16.5" hidden="1">
      <c r="E4915" s="4" t="str">
        <v/>
      </c>
      <c r="F4915" s="102" t="str">
        <f ca="1">IFERROR(__xludf.DUMMYFUNCTION("IMPORTRANGE(H4915,""IDENTITAS UNIT!D9"")"),"#N/A")</f>
        <v>#N/A</v>
      </c>
      <c r="H4915" s="4" t="str">
        <v/>
      </c>
      <c r="I4915" s="4" t="str">
        <v/>
      </c>
    </row>
    <row r="4916" spans="5:9" ht="16.5" hidden="1">
      <c r="E4916" s="4" t="str">
        <v/>
      </c>
      <c r="F4916" s="102" t="str">
        <f ca="1">IFERROR(__xludf.DUMMYFUNCTION("IMPORTRANGE(H4916,""IDENTITAS UNIT!D9"")"),"#N/A")</f>
        <v>#N/A</v>
      </c>
      <c r="H4916" s="4" t="str">
        <v/>
      </c>
      <c r="I4916" s="4" t="str">
        <v/>
      </c>
    </row>
    <row r="4917" spans="5:9" ht="16.5" hidden="1">
      <c r="E4917" s="4" t="str">
        <v/>
      </c>
      <c r="F4917" s="102" t="str">
        <f ca="1">IFERROR(__xludf.DUMMYFUNCTION("IMPORTRANGE(H4917,""IDENTITAS UNIT!D9"")"),"#N/A")</f>
        <v>#N/A</v>
      </c>
      <c r="H4917" s="4" t="str">
        <v/>
      </c>
      <c r="I4917" s="4" t="str">
        <v/>
      </c>
    </row>
    <row r="4918" spans="5:9" ht="16.5" hidden="1">
      <c r="E4918" s="4" t="str">
        <v/>
      </c>
      <c r="F4918" s="102" t="str">
        <f ca="1">IFERROR(__xludf.DUMMYFUNCTION("IMPORTRANGE(H4918,""IDENTITAS UNIT!D9"")"),"#N/A")</f>
        <v>#N/A</v>
      </c>
      <c r="H4918" s="4" t="str">
        <v/>
      </c>
      <c r="I4918" s="4" t="str">
        <v/>
      </c>
    </row>
    <row r="4919" spans="5:9" ht="16.5" hidden="1">
      <c r="E4919" s="4" t="str">
        <v/>
      </c>
      <c r="F4919" s="102" t="str">
        <f ca="1">IFERROR(__xludf.DUMMYFUNCTION("IMPORTRANGE(H4919,""IDENTITAS UNIT!D9"")"),"#N/A")</f>
        <v>#N/A</v>
      </c>
      <c r="H4919" s="4" t="str">
        <v/>
      </c>
      <c r="I4919" s="4" t="str">
        <v/>
      </c>
    </row>
    <row r="4920" spans="5:9" ht="16.5" hidden="1">
      <c r="E4920" s="4" t="str">
        <v/>
      </c>
      <c r="F4920" s="102" t="str">
        <f ca="1">IFERROR(__xludf.DUMMYFUNCTION("IMPORTRANGE(H4920,""IDENTITAS UNIT!D9"")"),"#N/A")</f>
        <v>#N/A</v>
      </c>
      <c r="H4920" s="4" t="str">
        <v/>
      </c>
      <c r="I4920" s="4" t="str">
        <v/>
      </c>
    </row>
    <row r="4921" spans="5:9" ht="16.5" hidden="1">
      <c r="E4921" s="4" t="str">
        <v/>
      </c>
      <c r="F4921" s="102" t="str">
        <f ca="1">IFERROR(__xludf.DUMMYFUNCTION("IMPORTRANGE(H4921,""IDENTITAS UNIT!D9"")"),"#N/A")</f>
        <v>#N/A</v>
      </c>
      <c r="H4921" s="4" t="str">
        <v/>
      </c>
      <c r="I4921" s="4" t="str">
        <v/>
      </c>
    </row>
    <row r="4922" spans="5:9" ht="16.5" hidden="1">
      <c r="E4922" s="4" t="str">
        <v/>
      </c>
      <c r="F4922" s="102" t="str">
        <f ca="1">IFERROR(__xludf.DUMMYFUNCTION("IMPORTRANGE(H4922,""IDENTITAS UNIT!D9"")"),"#N/A")</f>
        <v>#N/A</v>
      </c>
      <c r="H4922" s="4" t="str">
        <v/>
      </c>
      <c r="I4922" s="4" t="str">
        <v/>
      </c>
    </row>
    <row r="4923" spans="5:9" ht="16.5" hidden="1">
      <c r="E4923" s="4" t="str">
        <v/>
      </c>
      <c r="F4923" s="102" t="str">
        <f ca="1">IFERROR(__xludf.DUMMYFUNCTION("IMPORTRANGE(H4923,""IDENTITAS UNIT!D9"")"),"#N/A")</f>
        <v>#N/A</v>
      </c>
      <c r="H4923" s="4" t="str">
        <v/>
      </c>
      <c r="I4923" s="4" t="str">
        <v/>
      </c>
    </row>
    <row r="4924" spans="5:9" ht="16.5" hidden="1">
      <c r="E4924" s="4" t="str">
        <v/>
      </c>
      <c r="F4924" s="102" t="str">
        <f ca="1">IFERROR(__xludf.DUMMYFUNCTION("IMPORTRANGE(H4924,""IDENTITAS UNIT!D9"")"),"#N/A")</f>
        <v>#N/A</v>
      </c>
      <c r="H4924" s="4" t="str">
        <v/>
      </c>
      <c r="I4924" s="4" t="str">
        <v/>
      </c>
    </row>
    <row r="4925" spans="5:9" ht="16.5" hidden="1">
      <c r="E4925" s="4" t="str">
        <v/>
      </c>
      <c r="F4925" s="102" t="str">
        <f ca="1">IFERROR(__xludf.DUMMYFUNCTION("IMPORTRANGE(H4925,""IDENTITAS UNIT!D9"")"),"#N/A")</f>
        <v>#N/A</v>
      </c>
      <c r="H4925" s="4" t="str">
        <v/>
      </c>
      <c r="I4925" s="4" t="str">
        <v/>
      </c>
    </row>
    <row r="4926" spans="5:9" ht="16.5" hidden="1">
      <c r="E4926" s="4" t="str">
        <v/>
      </c>
      <c r="F4926" s="102" t="str">
        <f ca="1">IFERROR(__xludf.DUMMYFUNCTION("IMPORTRANGE(H4926,""IDENTITAS UNIT!D9"")"),"#N/A")</f>
        <v>#N/A</v>
      </c>
      <c r="H4926" s="4" t="str">
        <v/>
      </c>
      <c r="I4926" s="4" t="str">
        <v/>
      </c>
    </row>
    <row r="4927" spans="5:9" ht="16.5" hidden="1">
      <c r="E4927" s="4" t="str">
        <v/>
      </c>
      <c r="F4927" s="102" t="str">
        <f ca="1">IFERROR(__xludf.DUMMYFUNCTION("IMPORTRANGE(H4927,""IDENTITAS UNIT!D9"")"),"#N/A")</f>
        <v>#N/A</v>
      </c>
      <c r="H4927" s="4" t="str">
        <v/>
      </c>
      <c r="I4927" s="4" t="str">
        <v/>
      </c>
    </row>
    <row r="4928" spans="5:9" ht="16.5" hidden="1">
      <c r="E4928" s="4" t="str">
        <v/>
      </c>
      <c r="F4928" s="102" t="str">
        <f ca="1">IFERROR(__xludf.DUMMYFUNCTION("IMPORTRANGE(H4928,""IDENTITAS UNIT!D9"")"),"#N/A")</f>
        <v>#N/A</v>
      </c>
      <c r="H4928" s="4" t="str">
        <v/>
      </c>
      <c r="I4928" s="4" t="str">
        <v/>
      </c>
    </row>
    <row r="4929" spans="5:9" ht="16.5" hidden="1">
      <c r="E4929" s="4" t="str">
        <v/>
      </c>
      <c r="F4929" s="102" t="str">
        <f ca="1">IFERROR(__xludf.DUMMYFUNCTION("IMPORTRANGE(H4929,""IDENTITAS UNIT!D9"")"),"#N/A")</f>
        <v>#N/A</v>
      </c>
      <c r="H4929" s="4" t="str">
        <v/>
      </c>
      <c r="I4929" s="4" t="str">
        <v/>
      </c>
    </row>
    <row r="4930" spans="5:9" ht="16.5" hidden="1">
      <c r="E4930" s="4" t="str">
        <v/>
      </c>
      <c r="F4930" s="102" t="str">
        <f ca="1">IFERROR(__xludf.DUMMYFUNCTION("IMPORTRANGE(H4930,""IDENTITAS UNIT!D9"")"),"#N/A")</f>
        <v>#N/A</v>
      </c>
      <c r="H4930" s="4" t="str">
        <v/>
      </c>
      <c r="I4930" s="4" t="str">
        <v/>
      </c>
    </row>
    <row r="4931" spans="5:9" ht="16.5" hidden="1">
      <c r="E4931" s="4" t="str">
        <v/>
      </c>
      <c r="F4931" s="102" t="str">
        <f ca="1">IFERROR(__xludf.DUMMYFUNCTION("IMPORTRANGE(H4931,""IDENTITAS UNIT!D9"")"),"#N/A")</f>
        <v>#N/A</v>
      </c>
      <c r="H4931" s="4" t="str">
        <v/>
      </c>
      <c r="I4931" s="4" t="str">
        <v/>
      </c>
    </row>
    <row r="4932" spans="5:9" ht="16.5" hidden="1">
      <c r="E4932" s="4" t="str">
        <v/>
      </c>
      <c r="F4932" s="102" t="str">
        <f ca="1">IFERROR(__xludf.DUMMYFUNCTION("IMPORTRANGE(H4932,""IDENTITAS UNIT!D9"")"),"#N/A")</f>
        <v>#N/A</v>
      </c>
      <c r="H4932" s="4" t="str">
        <v/>
      </c>
      <c r="I4932" s="4" t="str">
        <v/>
      </c>
    </row>
    <row r="4933" spans="5:9" ht="16.5" hidden="1">
      <c r="E4933" s="4" t="str">
        <v/>
      </c>
      <c r="F4933" s="102" t="str">
        <f ca="1">IFERROR(__xludf.DUMMYFUNCTION("IMPORTRANGE(H4933,""IDENTITAS UNIT!D9"")"),"#N/A")</f>
        <v>#N/A</v>
      </c>
      <c r="H4933" s="4" t="str">
        <v/>
      </c>
      <c r="I4933" s="4" t="str">
        <v/>
      </c>
    </row>
    <row r="4934" spans="5:9" ht="16.5" hidden="1">
      <c r="E4934" s="4" t="str">
        <v/>
      </c>
      <c r="F4934" s="102" t="str">
        <f ca="1">IFERROR(__xludf.DUMMYFUNCTION("IMPORTRANGE(H4934,""IDENTITAS UNIT!D9"")"),"#N/A")</f>
        <v>#N/A</v>
      </c>
      <c r="H4934" s="4" t="str">
        <v/>
      </c>
      <c r="I4934" s="4" t="str">
        <v/>
      </c>
    </row>
    <row r="4935" spans="5:9" ht="16.5" hidden="1">
      <c r="E4935" s="4" t="str">
        <v/>
      </c>
      <c r="F4935" s="102" t="str">
        <f ca="1">IFERROR(__xludf.DUMMYFUNCTION("IMPORTRANGE(H4935,""IDENTITAS UNIT!D9"")"),"#N/A")</f>
        <v>#N/A</v>
      </c>
      <c r="H4935" s="4" t="str">
        <v/>
      </c>
      <c r="I4935" s="4" t="str">
        <v/>
      </c>
    </row>
    <row r="4936" spans="5:9" ht="16.5" hidden="1">
      <c r="E4936" s="4" t="str">
        <v/>
      </c>
      <c r="F4936" s="102" t="str">
        <f ca="1">IFERROR(__xludf.DUMMYFUNCTION("IMPORTRANGE(H4936,""IDENTITAS UNIT!D9"")"),"#N/A")</f>
        <v>#N/A</v>
      </c>
      <c r="H4936" s="4" t="str">
        <v/>
      </c>
      <c r="I4936" s="4" t="str">
        <v/>
      </c>
    </row>
    <row r="4937" spans="5:9" ht="16.5" hidden="1">
      <c r="E4937" s="4" t="str">
        <v/>
      </c>
      <c r="F4937" s="102" t="str">
        <f ca="1">IFERROR(__xludf.DUMMYFUNCTION("IMPORTRANGE(H4937,""IDENTITAS UNIT!D9"")"),"#N/A")</f>
        <v>#N/A</v>
      </c>
      <c r="H4937" s="4" t="str">
        <v/>
      </c>
      <c r="I4937" s="4" t="str">
        <v/>
      </c>
    </row>
    <row r="4938" spans="5:9" ht="16.5" hidden="1">
      <c r="E4938" s="4" t="str">
        <v/>
      </c>
      <c r="F4938" s="102" t="str">
        <f ca="1">IFERROR(__xludf.DUMMYFUNCTION("IMPORTRANGE(H4938,""IDENTITAS UNIT!D9"")"),"#N/A")</f>
        <v>#N/A</v>
      </c>
      <c r="H4938" s="4" t="str">
        <v/>
      </c>
      <c r="I4938" s="4" t="str">
        <v/>
      </c>
    </row>
    <row r="4939" spans="5:9" ht="16.5" hidden="1">
      <c r="E4939" s="4" t="str">
        <v/>
      </c>
      <c r="F4939" s="102" t="str">
        <f ca="1">IFERROR(__xludf.DUMMYFUNCTION("IMPORTRANGE(H4939,""IDENTITAS UNIT!D9"")"),"#N/A")</f>
        <v>#N/A</v>
      </c>
      <c r="H4939" s="4" t="str">
        <v/>
      </c>
      <c r="I4939" s="4" t="str">
        <v/>
      </c>
    </row>
    <row r="4940" spans="5:9" ht="16.5" hidden="1">
      <c r="E4940" s="4" t="str">
        <v/>
      </c>
      <c r="F4940" s="102" t="str">
        <f ca="1">IFERROR(__xludf.DUMMYFUNCTION("IMPORTRANGE(H4940,""IDENTITAS UNIT!D9"")"),"#N/A")</f>
        <v>#N/A</v>
      </c>
      <c r="H4940" s="4" t="str">
        <v/>
      </c>
      <c r="I4940" s="4" t="str">
        <v/>
      </c>
    </row>
    <row r="4941" spans="5:9" ht="16.5" hidden="1">
      <c r="E4941" s="4" t="str">
        <v/>
      </c>
      <c r="F4941" s="102" t="str">
        <f ca="1">IFERROR(__xludf.DUMMYFUNCTION("IMPORTRANGE(H4941,""IDENTITAS UNIT!D9"")"),"#N/A")</f>
        <v>#N/A</v>
      </c>
      <c r="H4941" s="4" t="str">
        <v/>
      </c>
      <c r="I4941" s="4" t="str">
        <v/>
      </c>
    </row>
    <row r="4942" spans="5:9" ht="16.5" hidden="1">
      <c r="E4942" s="4" t="str">
        <v/>
      </c>
      <c r="F4942" s="102" t="str">
        <f ca="1">IFERROR(__xludf.DUMMYFUNCTION("IMPORTRANGE(H4942,""IDENTITAS UNIT!D9"")"),"#N/A")</f>
        <v>#N/A</v>
      </c>
      <c r="H4942" s="4" t="str">
        <v/>
      </c>
      <c r="I4942" s="4" t="str">
        <v/>
      </c>
    </row>
    <row r="4943" spans="5:9" ht="16.5" hidden="1">
      <c r="E4943" s="4" t="str">
        <v/>
      </c>
      <c r="F4943" s="102" t="str">
        <f ca="1">IFERROR(__xludf.DUMMYFUNCTION("IMPORTRANGE(H4943,""IDENTITAS UNIT!D9"")"),"#N/A")</f>
        <v>#N/A</v>
      </c>
      <c r="H4943" s="4" t="str">
        <v/>
      </c>
      <c r="I4943" s="4" t="str">
        <v/>
      </c>
    </row>
    <row r="4944" spans="5:9" ht="16.5" hidden="1">
      <c r="E4944" s="4" t="str">
        <v/>
      </c>
      <c r="F4944" s="102" t="str">
        <f ca="1">IFERROR(__xludf.DUMMYFUNCTION("IMPORTRANGE(H4944,""IDENTITAS UNIT!D9"")"),"#N/A")</f>
        <v>#N/A</v>
      </c>
      <c r="H4944" s="4" t="str">
        <v/>
      </c>
      <c r="I4944" s="4" t="str">
        <v/>
      </c>
    </row>
    <row r="4945" spans="5:9" ht="16.5" hidden="1">
      <c r="E4945" s="4" t="str">
        <v/>
      </c>
      <c r="F4945" s="102" t="str">
        <f ca="1">IFERROR(__xludf.DUMMYFUNCTION("IMPORTRANGE(H4945,""IDENTITAS UNIT!D9"")"),"#N/A")</f>
        <v>#N/A</v>
      </c>
      <c r="H4945" s="4" t="str">
        <v/>
      </c>
      <c r="I4945" s="4" t="str">
        <v/>
      </c>
    </row>
    <row r="4946" spans="5:9" ht="16.5" hidden="1">
      <c r="E4946" s="4" t="str">
        <v/>
      </c>
      <c r="F4946" s="102" t="str">
        <f ca="1">IFERROR(__xludf.DUMMYFUNCTION("IMPORTRANGE(H4946,""IDENTITAS UNIT!D9"")"),"#N/A")</f>
        <v>#N/A</v>
      </c>
      <c r="H4946" s="4" t="str">
        <v/>
      </c>
      <c r="I4946" s="4" t="str">
        <v/>
      </c>
    </row>
    <row r="4947" spans="5:9" ht="16.5" hidden="1">
      <c r="E4947" s="4" t="str">
        <v/>
      </c>
      <c r="F4947" s="102" t="str">
        <f ca="1">IFERROR(__xludf.DUMMYFUNCTION("IMPORTRANGE(H4947,""IDENTITAS UNIT!D9"")"),"#N/A")</f>
        <v>#N/A</v>
      </c>
      <c r="H4947" s="4" t="str">
        <v/>
      </c>
      <c r="I4947" s="4" t="str">
        <v/>
      </c>
    </row>
    <row r="4948" spans="5:9" ht="16.5" hidden="1">
      <c r="E4948" s="4" t="str">
        <v/>
      </c>
      <c r="F4948" s="102" t="str">
        <f ca="1">IFERROR(__xludf.DUMMYFUNCTION("IMPORTRANGE(H4948,""IDENTITAS UNIT!D9"")"),"#N/A")</f>
        <v>#N/A</v>
      </c>
      <c r="H4948" s="4" t="str">
        <v/>
      </c>
      <c r="I4948" s="4" t="str">
        <v/>
      </c>
    </row>
    <row r="4949" spans="5:9" ht="16.5" hidden="1">
      <c r="E4949" s="4" t="str">
        <v/>
      </c>
      <c r="F4949" s="102" t="str">
        <f ca="1">IFERROR(__xludf.DUMMYFUNCTION("IMPORTRANGE(H4949,""IDENTITAS UNIT!D9"")"),"#N/A")</f>
        <v>#N/A</v>
      </c>
      <c r="H4949" s="4" t="str">
        <v/>
      </c>
      <c r="I4949" s="4" t="str">
        <v/>
      </c>
    </row>
    <row r="4950" spans="5:9" ht="16.5" hidden="1">
      <c r="E4950" s="4" t="str">
        <v/>
      </c>
      <c r="F4950" s="102" t="str">
        <f ca="1">IFERROR(__xludf.DUMMYFUNCTION("IMPORTRANGE(H4950,""IDENTITAS UNIT!D9"")"),"#N/A")</f>
        <v>#N/A</v>
      </c>
      <c r="H4950" s="4" t="str">
        <v/>
      </c>
      <c r="I4950" s="4" t="str">
        <v/>
      </c>
    </row>
    <row r="4951" spans="5:9" ht="16.5" hidden="1">
      <c r="E4951" s="4" t="str">
        <v/>
      </c>
      <c r="F4951" s="102" t="str">
        <f ca="1">IFERROR(__xludf.DUMMYFUNCTION("IMPORTRANGE(H4951,""IDENTITAS UNIT!D9"")"),"#N/A")</f>
        <v>#N/A</v>
      </c>
      <c r="H4951" s="4" t="str">
        <v/>
      </c>
      <c r="I4951" s="4" t="str">
        <v/>
      </c>
    </row>
    <row r="4952" spans="5:9" ht="16.5" hidden="1">
      <c r="E4952" s="4" t="str">
        <v/>
      </c>
      <c r="F4952" s="102" t="str">
        <f ca="1">IFERROR(__xludf.DUMMYFUNCTION("IMPORTRANGE(H4952,""IDENTITAS UNIT!D9"")"),"#N/A")</f>
        <v>#N/A</v>
      </c>
      <c r="H4952" s="4" t="str">
        <v/>
      </c>
      <c r="I4952" s="4" t="str">
        <v/>
      </c>
    </row>
    <row r="4953" spans="5:9" ht="16.5" hidden="1">
      <c r="E4953" s="4" t="str">
        <v/>
      </c>
      <c r="F4953" s="102" t="str">
        <f ca="1">IFERROR(__xludf.DUMMYFUNCTION("IMPORTRANGE(H4953,""IDENTITAS UNIT!D9"")"),"#N/A")</f>
        <v>#N/A</v>
      </c>
      <c r="H4953" s="4" t="str">
        <v/>
      </c>
      <c r="I4953" s="4" t="str">
        <v/>
      </c>
    </row>
    <row r="4954" spans="5:9" ht="16.5" hidden="1">
      <c r="E4954" s="4" t="str">
        <v/>
      </c>
      <c r="F4954" s="102" t="str">
        <f ca="1">IFERROR(__xludf.DUMMYFUNCTION("IMPORTRANGE(H4954,""IDENTITAS UNIT!D9"")"),"#N/A")</f>
        <v>#N/A</v>
      </c>
      <c r="H4954" s="4" t="str">
        <v/>
      </c>
      <c r="I4954" s="4" t="str">
        <v/>
      </c>
    </row>
    <row r="4955" spans="5:9" ht="16.5" hidden="1">
      <c r="E4955" s="4" t="str">
        <v/>
      </c>
      <c r="F4955" s="102" t="str">
        <f ca="1">IFERROR(__xludf.DUMMYFUNCTION("IMPORTRANGE(H4955,""IDENTITAS UNIT!D9"")"),"#N/A")</f>
        <v>#N/A</v>
      </c>
      <c r="H4955" s="4" t="str">
        <v/>
      </c>
      <c r="I4955" s="4" t="str">
        <v/>
      </c>
    </row>
    <row r="4956" spans="5:9" ht="16.5" hidden="1">
      <c r="E4956" s="4" t="str">
        <v/>
      </c>
      <c r="F4956" s="102" t="str">
        <f ca="1">IFERROR(__xludf.DUMMYFUNCTION("IMPORTRANGE(H4956,""IDENTITAS UNIT!D9"")"),"#N/A")</f>
        <v>#N/A</v>
      </c>
      <c r="H4956" s="4" t="str">
        <v/>
      </c>
      <c r="I4956" s="4" t="str">
        <v/>
      </c>
    </row>
    <row r="4957" spans="5:9" ht="16.5" hidden="1">
      <c r="E4957" s="4" t="str">
        <v/>
      </c>
      <c r="F4957" s="102" t="str">
        <f ca="1">IFERROR(__xludf.DUMMYFUNCTION("IMPORTRANGE(H4957,""IDENTITAS UNIT!D9"")"),"#N/A")</f>
        <v>#N/A</v>
      </c>
      <c r="H4957" s="4" t="str">
        <v/>
      </c>
      <c r="I4957" s="4" t="str">
        <v/>
      </c>
    </row>
    <row r="4958" spans="5:9" ht="16.5" hidden="1">
      <c r="E4958" s="4" t="str">
        <v/>
      </c>
      <c r="F4958" s="102" t="str">
        <f ca="1">IFERROR(__xludf.DUMMYFUNCTION("IMPORTRANGE(H4958,""IDENTITAS UNIT!D9"")"),"#N/A")</f>
        <v>#N/A</v>
      </c>
      <c r="H4958" s="4" t="str">
        <v/>
      </c>
      <c r="I4958" s="4" t="str">
        <v/>
      </c>
    </row>
    <row r="4959" spans="5:9" ht="16.5" hidden="1">
      <c r="E4959" s="4" t="str">
        <v/>
      </c>
      <c r="F4959" s="102" t="str">
        <f ca="1">IFERROR(__xludf.DUMMYFUNCTION("IMPORTRANGE(H4959,""IDENTITAS UNIT!D9"")"),"#N/A")</f>
        <v>#N/A</v>
      </c>
      <c r="H4959" s="4" t="str">
        <v/>
      </c>
      <c r="I4959" s="4" t="str">
        <v/>
      </c>
    </row>
    <row r="4960" spans="5:9" ht="16.5" hidden="1">
      <c r="E4960" s="4" t="str">
        <v/>
      </c>
      <c r="F4960" s="102" t="str">
        <f ca="1">IFERROR(__xludf.DUMMYFUNCTION("IMPORTRANGE(H4960,""IDENTITAS UNIT!D9"")"),"#N/A")</f>
        <v>#N/A</v>
      </c>
      <c r="H4960" s="4" t="str">
        <v/>
      </c>
      <c r="I4960" s="4" t="str">
        <v/>
      </c>
    </row>
    <row r="4961" spans="5:9" ht="16.5" hidden="1">
      <c r="E4961" s="4" t="str">
        <v/>
      </c>
      <c r="F4961" s="102" t="str">
        <f ca="1">IFERROR(__xludf.DUMMYFUNCTION("IMPORTRANGE(H4961,""IDENTITAS UNIT!D9"")"),"#N/A")</f>
        <v>#N/A</v>
      </c>
      <c r="H4961" s="4" t="str">
        <v/>
      </c>
      <c r="I4961" s="4" t="str">
        <v/>
      </c>
    </row>
    <row r="4962" spans="5:9" ht="16.5" hidden="1">
      <c r="E4962" s="4" t="str">
        <v/>
      </c>
      <c r="F4962" s="102" t="str">
        <f ca="1">IFERROR(__xludf.DUMMYFUNCTION("IMPORTRANGE(H4962,""IDENTITAS UNIT!D9"")"),"#N/A")</f>
        <v>#N/A</v>
      </c>
      <c r="H4962" s="4" t="str">
        <v/>
      </c>
      <c r="I4962" s="4" t="str">
        <v/>
      </c>
    </row>
    <row r="4963" spans="5:9" ht="16.5" hidden="1">
      <c r="E4963" s="4" t="str">
        <v/>
      </c>
      <c r="F4963" s="102" t="str">
        <f ca="1">IFERROR(__xludf.DUMMYFUNCTION("IMPORTRANGE(H4963,""IDENTITAS UNIT!D9"")"),"#N/A")</f>
        <v>#N/A</v>
      </c>
      <c r="H4963" s="4" t="str">
        <v/>
      </c>
      <c r="I4963" s="4" t="str">
        <v/>
      </c>
    </row>
    <row r="4964" spans="5:9" ht="16.5" hidden="1">
      <c r="E4964" s="4" t="str">
        <v/>
      </c>
      <c r="F4964" s="102" t="str">
        <f ca="1">IFERROR(__xludf.DUMMYFUNCTION("IMPORTRANGE(H4964,""IDENTITAS UNIT!D9"")"),"#N/A")</f>
        <v>#N/A</v>
      </c>
      <c r="H4964" s="4" t="str">
        <v/>
      </c>
      <c r="I4964" s="4" t="str">
        <v/>
      </c>
    </row>
    <row r="4965" spans="5:9" ht="16.5" hidden="1">
      <c r="E4965" s="4" t="str">
        <v/>
      </c>
      <c r="F4965" s="102" t="str">
        <f ca="1">IFERROR(__xludf.DUMMYFUNCTION("IMPORTRANGE(H4965,""IDENTITAS UNIT!D9"")"),"#N/A")</f>
        <v>#N/A</v>
      </c>
      <c r="H4965" s="4" t="str">
        <v/>
      </c>
      <c r="I4965" s="4" t="str">
        <v/>
      </c>
    </row>
    <row r="4966" spans="5:9" ht="16.5" hidden="1">
      <c r="E4966" s="4" t="str">
        <v/>
      </c>
      <c r="F4966" s="102" t="str">
        <f ca="1">IFERROR(__xludf.DUMMYFUNCTION("IMPORTRANGE(H4966,""IDENTITAS UNIT!D9"")"),"#N/A")</f>
        <v>#N/A</v>
      </c>
      <c r="H4966" s="4" t="str">
        <v/>
      </c>
      <c r="I4966" s="4" t="str">
        <v/>
      </c>
    </row>
    <row r="4967" spans="5:9" ht="16.5" hidden="1">
      <c r="E4967" s="4" t="str">
        <v/>
      </c>
      <c r="F4967" s="102" t="str">
        <f ca="1">IFERROR(__xludf.DUMMYFUNCTION("IMPORTRANGE(H4967,""IDENTITAS UNIT!D9"")"),"#N/A")</f>
        <v>#N/A</v>
      </c>
      <c r="H4967" s="4" t="str">
        <v/>
      </c>
      <c r="I4967" s="4" t="str">
        <v/>
      </c>
    </row>
    <row r="4968" spans="5:9" ht="16.5" hidden="1">
      <c r="E4968" s="4" t="str">
        <v/>
      </c>
      <c r="F4968" s="102" t="str">
        <f ca="1">IFERROR(__xludf.DUMMYFUNCTION("IMPORTRANGE(H4968,""IDENTITAS UNIT!D9"")"),"#N/A")</f>
        <v>#N/A</v>
      </c>
      <c r="H4968" s="4" t="str">
        <v/>
      </c>
      <c r="I4968" s="4" t="str">
        <v/>
      </c>
    </row>
    <row r="4969" spans="5:9" ht="16.5" hidden="1">
      <c r="E4969" s="4" t="str">
        <v/>
      </c>
      <c r="F4969" s="102" t="str">
        <f ca="1">IFERROR(__xludf.DUMMYFUNCTION("IMPORTRANGE(H4969,""IDENTITAS UNIT!D9"")"),"#N/A")</f>
        <v>#N/A</v>
      </c>
      <c r="H4969" s="4" t="str">
        <v/>
      </c>
      <c r="I4969" s="4" t="str">
        <v/>
      </c>
    </row>
    <row r="4970" spans="5:9" ht="16.5" hidden="1">
      <c r="E4970" s="4" t="str">
        <v/>
      </c>
      <c r="F4970" s="102" t="str">
        <f ca="1">IFERROR(__xludf.DUMMYFUNCTION("IMPORTRANGE(H4970,""IDENTITAS UNIT!D9"")"),"#N/A")</f>
        <v>#N/A</v>
      </c>
      <c r="H4970" s="4" t="str">
        <v/>
      </c>
      <c r="I4970" s="4" t="str">
        <v/>
      </c>
    </row>
    <row r="4971" spans="5:9" ht="16.5" hidden="1">
      <c r="E4971" s="4" t="str">
        <v/>
      </c>
      <c r="F4971" s="102" t="str">
        <f ca="1">IFERROR(__xludf.DUMMYFUNCTION("IMPORTRANGE(H4971,""IDENTITAS UNIT!D9"")"),"#N/A")</f>
        <v>#N/A</v>
      </c>
      <c r="H4971" s="4" t="str">
        <v/>
      </c>
      <c r="I4971" s="4" t="str">
        <v/>
      </c>
    </row>
    <row r="4972" spans="5:9" ht="16.5" hidden="1">
      <c r="E4972" s="4" t="str">
        <v/>
      </c>
      <c r="F4972" s="102" t="str">
        <f ca="1">IFERROR(__xludf.DUMMYFUNCTION("IMPORTRANGE(H4972,""IDENTITAS UNIT!D9"")"),"#N/A")</f>
        <v>#N/A</v>
      </c>
      <c r="H4972" s="4" t="str">
        <v/>
      </c>
      <c r="I4972" s="4" t="str">
        <v/>
      </c>
    </row>
    <row r="4973" spans="5:9" ht="16.5" hidden="1">
      <c r="E4973" s="4" t="str">
        <v/>
      </c>
      <c r="F4973" s="102" t="str">
        <f ca="1">IFERROR(__xludf.DUMMYFUNCTION("IMPORTRANGE(H4973,""IDENTITAS UNIT!D9"")"),"#N/A")</f>
        <v>#N/A</v>
      </c>
      <c r="H4973" s="4" t="str">
        <v/>
      </c>
      <c r="I4973" s="4" t="str">
        <v/>
      </c>
    </row>
    <row r="4974" spans="5:9" ht="16.5" hidden="1">
      <c r="E4974" s="4" t="str">
        <v/>
      </c>
      <c r="F4974" s="102" t="str">
        <f ca="1">IFERROR(__xludf.DUMMYFUNCTION("IMPORTRANGE(H4974,""IDENTITAS UNIT!D9"")"),"#N/A")</f>
        <v>#N/A</v>
      </c>
      <c r="H4974" s="4" t="str">
        <v/>
      </c>
      <c r="I4974" s="4" t="str">
        <v/>
      </c>
    </row>
    <row r="4975" spans="5:9" ht="16.5" hidden="1">
      <c r="E4975" s="4" t="str">
        <v/>
      </c>
      <c r="F4975" s="102" t="str">
        <f ca="1">IFERROR(__xludf.DUMMYFUNCTION("IMPORTRANGE(H4975,""IDENTITAS UNIT!D9"")"),"#N/A")</f>
        <v>#N/A</v>
      </c>
      <c r="H4975" s="4" t="str">
        <v/>
      </c>
      <c r="I4975" s="4" t="str">
        <v/>
      </c>
    </row>
    <row r="4976" spans="5:9" ht="16.5" hidden="1">
      <c r="E4976" s="4" t="str">
        <v/>
      </c>
      <c r="F4976" s="102" t="str">
        <f ca="1">IFERROR(__xludf.DUMMYFUNCTION("IMPORTRANGE(H4976,""IDENTITAS UNIT!D9"")"),"#N/A")</f>
        <v>#N/A</v>
      </c>
      <c r="H4976" s="4" t="str">
        <v/>
      </c>
      <c r="I4976" s="4" t="str">
        <v/>
      </c>
    </row>
    <row r="4977" spans="5:9" ht="16.5" hidden="1">
      <c r="E4977" s="4" t="str">
        <v/>
      </c>
      <c r="F4977" s="102" t="str">
        <f ca="1">IFERROR(__xludf.DUMMYFUNCTION("IMPORTRANGE(H4977,""IDENTITAS UNIT!D9"")"),"#N/A")</f>
        <v>#N/A</v>
      </c>
      <c r="H4977" s="4" t="str">
        <v/>
      </c>
      <c r="I4977" s="4" t="str">
        <v/>
      </c>
    </row>
    <row r="4978" spans="5:9" ht="16.5" hidden="1">
      <c r="E4978" s="4" t="str">
        <v/>
      </c>
      <c r="F4978" s="102" t="str">
        <f ca="1">IFERROR(__xludf.DUMMYFUNCTION("IMPORTRANGE(H4978,""IDENTITAS UNIT!D9"")"),"#N/A")</f>
        <v>#N/A</v>
      </c>
      <c r="H4978" s="4" t="str">
        <v/>
      </c>
      <c r="I4978" s="4" t="str">
        <v/>
      </c>
    </row>
    <row r="4979" spans="5:9" ht="16.5" hidden="1">
      <c r="E4979" s="4" t="str">
        <v/>
      </c>
      <c r="F4979" s="102" t="str">
        <f ca="1">IFERROR(__xludf.DUMMYFUNCTION("IMPORTRANGE(H4979,""IDENTITAS UNIT!D9"")"),"#N/A")</f>
        <v>#N/A</v>
      </c>
      <c r="H4979" s="4" t="str">
        <v/>
      </c>
      <c r="I4979" s="4" t="str">
        <v/>
      </c>
    </row>
    <row r="4980" spans="5:9" ht="16.5" hidden="1">
      <c r="E4980" s="4" t="str">
        <v/>
      </c>
      <c r="F4980" s="102" t="str">
        <f ca="1">IFERROR(__xludf.DUMMYFUNCTION("IMPORTRANGE(H4980,""IDENTITAS UNIT!D9"")"),"#N/A")</f>
        <v>#N/A</v>
      </c>
      <c r="H4980" s="4" t="str">
        <v/>
      </c>
      <c r="I4980" s="4" t="str">
        <v/>
      </c>
    </row>
    <row r="4981" spans="5:9" ht="16.5" hidden="1">
      <c r="E4981" s="4" t="str">
        <v/>
      </c>
      <c r="F4981" s="102" t="str">
        <f ca="1">IFERROR(__xludf.DUMMYFUNCTION("IMPORTRANGE(H4981,""IDENTITAS UNIT!D9"")"),"#N/A")</f>
        <v>#N/A</v>
      </c>
      <c r="H4981" s="4" t="str">
        <v/>
      </c>
      <c r="I4981" s="4" t="str">
        <v/>
      </c>
    </row>
    <row r="4982" spans="5:9" ht="16.5" hidden="1">
      <c r="E4982" s="4" t="str">
        <v/>
      </c>
      <c r="F4982" s="102" t="str">
        <f ca="1">IFERROR(__xludf.DUMMYFUNCTION("IMPORTRANGE(H4982,""IDENTITAS UNIT!D9"")"),"#N/A")</f>
        <v>#N/A</v>
      </c>
      <c r="H4982" s="4" t="str">
        <v/>
      </c>
      <c r="I4982" s="4" t="str">
        <v/>
      </c>
    </row>
    <row r="4983" spans="5:9" ht="16.5" hidden="1">
      <c r="E4983" s="4" t="str">
        <v/>
      </c>
      <c r="F4983" s="102" t="str">
        <f ca="1">IFERROR(__xludf.DUMMYFUNCTION("IMPORTRANGE(H4983,""IDENTITAS UNIT!D9"")"),"#N/A")</f>
        <v>#N/A</v>
      </c>
      <c r="H4983" s="4" t="str">
        <v/>
      </c>
      <c r="I4983" s="4" t="str">
        <v/>
      </c>
    </row>
    <row r="4984" spans="5:9" ht="16.5" hidden="1">
      <c r="E4984" s="4" t="str">
        <v/>
      </c>
      <c r="F4984" s="102" t="str">
        <f ca="1">IFERROR(__xludf.DUMMYFUNCTION("IMPORTRANGE(H4984,""IDENTITAS UNIT!D9"")"),"#N/A")</f>
        <v>#N/A</v>
      </c>
      <c r="H4984" s="4" t="str">
        <v/>
      </c>
      <c r="I4984" s="4" t="str">
        <v/>
      </c>
    </row>
    <row r="4985" spans="5:9" ht="16.5" hidden="1">
      <c r="E4985" s="4" t="str">
        <v/>
      </c>
      <c r="F4985" s="102" t="str">
        <f ca="1">IFERROR(__xludf.DUMMYFUNCTION("IMPORTRANGE(H4985,""IDENTITAS UNIT!D9"")"),"#N/A")</f>
        <v>#N/A</v>
      </c>
      <c r="H4985" s="4" t="str">
        <v/>
      </c>
      <c r="I4985" s="4" t="str">
        <v/>
      </c>
    </row>
    <row r="4986" spans="5:9" ht="16.5" hidden="1">
      <c r="E4986" s="4" t="str">
        <v/>
      </c>
      <c r="F4986" s="102" t="str">
        <f ca="1">IFERROR(__xludf.DUMMYFUNCTION("IMPORTRANGE(H4986,""IDENTITAS UNIT!D9"")"),"#N/A")</f>
        <v>#N/A</v>
      </c>
      <c r="H4986" s="4" t="str">
        <v/>
      </c>
      <c r="I4986" s="4" t="str">
        <v/>
      </c>
    </row>
    <row r="4987" spans="5:9" ht="16.5" hidden="1">
      <c r="E4987" s="4" t="str">
        <v/>
      </c>
      <c r="F4987" s="102" t="str">
        <f ca="1">IFERROR(__xludf.DUMMYFUNCTION("IMPORTRANGE(H4987,""IDENTITAS UNIT!D9"")"),"#N/A")</f>
        <v>#N/A</v>
      </c>
      <c r="H4987" s="4" t="str">
        <v/>
      </c>
      <c r="I4987" s="4" t="str">
        <v/>
      </c>
    </row>
    <row r="4988" spans="5:9" ht="16.5" hidden="1">
      <c r="E4988" s="4" t="str">
        <v/>
      </c>
      <c r="F4988" s="102" t="str">
        <f ca="1">IFERROR(__xludf.DUMMYFUNCTION("IMPORTRANGE(H4988,""IDENTITAS UNIT!D9"")"),"#N/A")</f>
        <v>#N/A</v>
      </c>
      <c r="H4988" s="4" t="str">
        <v/>
      </c>
      <c r="I4988" s="4" t="str">
        <v/>
      </c>
    </row>
    <row r="4989" spans="5:9" ht="16.5" hidden="1">
      <c r="E4989" s="4" t="str">
        <v/>
      </c>
      <c r="F4989" s="102" t="str">
        <f ca="1">IFERROR(__xludf.DUMMYFUNCTION("IMPORTRANGE(H4989,""IDENTITAS UNIT!D9"")"),"#N/A")</f>
        <v>#N/A</v>
      </c>
      <c r="H4989" s="4" t="str">
        <v/>
      </c>
      <c r="I4989" s="4" t="str">
        <v/>
      </c>
    </row>
    <row r="4990" spans="5:9" ht="16.5" hidden="1">
      <c r="E4990" s="4" t="str">
        <v/>
      </c>
      <c r="F4990" s="102" t="str">
        <f ca="1">IFERROR(__xludf.DUMMYFUNCTION("IMPORTRANGE(H4990,""IDENTITAS UNIT!D9"")"),"#N/A")</f>
        <v>#N/A</v>
      </c>
      <c r="H4990" s="4" t="str">
        <v/>
      </c>
      <c r="I4990" s="4" t="str">
        <v/>
      </c>
    </row>
    <row r="4991" spans="5:9" ht="16.5" hidden="1">
      <c r="E4991" s="4" t="str">
        <v/>
      </c>
      <c r="F4991" s="102" t="str">
        <f ca="1">IFERROR(__xludf.DUMMYFUNCTION("IMPORTRANGE(H4991,""IDENTITAS UNIT!D9"")"),"#N/A")</f>
        <v>#N/A</v>
      </c>
      <c r="H4991" s="4" t="str">
        <v/>
      </c>
      <c r="I4991" s="4" t="str">
        <v/>
      </c>
    </row>
    <row r="4992" spans="5:9" ht="16.5" hidden="1">
      <c r="E4992" s="4" t="str">
        <v/>
      </c>
      <c r="F4992" s="102" t="str">
        <f ca="1">IFERROR(__xludf.DUMMYFUNCTION("IMPORTRANGE(H4992,""IDENTITAS UNIT!D9"")"),"#N/A")</f>
        <v>#N/A</v>
      </c>
      <c r="H4992" s="4" t="str">
        <v/>
      </c>
      <c r="I4992" s="4" t="str">
        <v/>
      </c>
    </row>
    <row r="4993" spans="5:9" ht="16.5" hidden="1">
      <c r="E4993" s="4" t="str">
        <v/>
      </c>
      <c r="F4993" s="102" t="str">
        <f ca="1">IFERROR(__xludf.DUMMYFUNCTION("IMPORTRANGE(H4993,""IDENTITAS UNIT!D9"")"),"#N/A")</f>
        <v>#N/A</v>
      </c>
      <c r="H4993" s="4" t="str">
        <v/>
      </c>
      <c r="I4993" s="4" t="str">
        <v/>
      </c>
    </row>
    <row r="4994" spans="5:9" ht="16.5" hidden="1">
      <c r="E4994" s="4" t="str">
        <v/>
      </c>
      <c r="F4994" s="102" t="str">
        <f ca="1">IFERROR(__xludf.DUMMYFUNCTION("IMPORTRANGE(H4994,""IDENTITAS UNIT!D9"")"),"#N/A")</f>
        <v>#N/A</v>
      </c>
      <c r="H4994" s="4" t="str">
        <v/>
      </c>
      <c r="I4994" s="4" t="str">
        <v/>
      </c>
    </row>
    <row r="4995" spans="5:9" ht="16.5" hidden="1">
      <c r="E4995" s="4" t="str">
        <v/>
      </c>
      <c r="F4995" s="102" t="str">
        <f ca="1">IFERROR(__xludf.DUMMYFUNCTION("IMPORTRANGE(H4995,""IDENTITAS UNIT!D9"")"),"#N/A")</f>
        <v>#N/A</v>
      </c>
      <c r="H4995" s="4" t="str">
        <v/>
      </c>
      <c r="I4995" s="4" t="str">
        <v/>
      </c>
    </row>
    <row r="4996" spans="5:9" ht="16.5" hidden="1">
      <c r="E4996" s="4" t="str">
        <v/>
      </c>
      <c r="F4996" s="102" t="str">
        <f ca="1">IFERROR(__xludf.DUMMYFUNCTION("IMPORTRANGE(H4996,""IDENTITAS UNIT!D9"")"),"#N/A")</f>
        <v>#N/A</v>
      </c>
      <c r="H4996" s="4" t="str">
        <v/>
      </c>
      <c r="I4996" s="4" t="str">
        <v/>
      </c>
    </row>
    <row r="4997" spans="5:9" ht="16.5" hidden="1">
      <c r="E4997" s="4" t="str">
        <v/>
      </c>
      <c r="F4997" s="102" t="str">
        <f ca="1">IFERROR(__xludf.DUMMYFUNCTION("IMPORTRANGE(H4997,""IDENTITAS UNIT!D9"")"),"#N/A")</f>
        <v>#N/A</v>
      </c>
      <c r="H4997" s="4" t="str">
        <v/>
      </c>
      <c r="I4997" s="4" t="str">
        <v/>
      </c>
    </row>
    <row r="4998" spans="5:9" ht="16.5" hidden="1">
      <c r="E4998" s="4" t="str">
        <v/>
      </c>
      <c r="F4998" s="102" t="str">
        <f ca="1">IFERROR(__xludf.DUMMYFUNCTION("IMPORTRANGE(H4998,""IDENTITAS UNIT!D9"")"),"#N/A")</f>
        <v>#N/A</v>
      </c>
      <c r="H4998" s="4" t="str">
        <v/>
      </c>
      <c r="I4998" s="4" t="str">
        <v/>
      </c>
    </row>
    <row r="4999" spans="5:9" ht="16.5" hidden="1">
      <c r="E4999" s="4" t="str">
        <v/>
      </c>
      <c r="F4999" s="102" t="str">
        <f ca="1">IFERROR(__xludf.DUMMYFUNCTION("IMPORTRANGE(H4999,""IDENTITAS UNIT!D9"")"),"#N/A")</f>
        <v>#N/A</v>
      </c>
      <c r="H4999" s="4" t="str">
        <v/>
      </c>
      <c r="I4999" s="4" t="str">
        <v/>
      </c>
    </row>
    <row r="5000" spans="5:9" ht="16.5" hidden="1">
      <c r="E5000" s="4" t="str">
        <v/>
      </c>
      <c r="F5000" s="102" t="str">
        <f ca="1">IFERROR(__xludf.DUMMYFUNCTION("IMPORTRANGE(H5000,""IDENTITAS UNIT!D9"")"),"#N/A")</f>
        <v>#N/A</v>
      </c>
      <c r="H5000" s="4" t="str">
        <v/>
      </c>
      <c r="I5000" s="4" t="str">
        <v/>
      </c>
    </row>
    <row r="5001" spans="5:9" ht="16.5" hidden="1">
      <c r="E5001" s="4" t="str">
        <v/>
      </c>
      <c r="F5001" s="102" t="str">
        <f ca="1">IFERROR(__xludf.DUMMYFUNCTION("IMPORTRANGE(H5001,""IDENTITAS UNIT!D9"")"),"#N/A")</f>
        <v>#N/A</v>
      </c>
      <c r="H5001" s="4" t="str">
        <v/>
      </c>
      <c r="I5001" s="4" t="str">
        <v/>
      </c>
    </row>
    <row r="5002" spans="5:9" ht="16.5" hidden="1">
      <c r="E5002" s="4" t="str">
        <v/>
      </c>
      <c r="F5002" s="102" t="str">
        <f ca="1">IFERROR(__xludf.DUMMYFUNCTION("IMPORTRANGE(H5002,""IDENTITAS UNIT!D9"")"),"#N/A")</f>
        <v>#N/A</v>
      </c>
      <c r="H5002" s="4" t="str">
        <v/>
      </c>
      <c r="I5002" s="4" t="str">
        <v/>
      </c>
    </row>
    <row r="5003" spans="5:9" ht="16.5" hidden="1">
      <c r="E5003" s="4" t="str">
        <v/>
      </c>
      <c r="F5003" s="102" t="str">
        <f ca="1">IFERROR(__xludf.DUMMYFUNCTION("IMPORTRANGE(H5003,""IDENTITAS UNIT!D9"")"),"#N/A")</f>
        <v>#N/A</v>
      </c>
      <c r="H5003" s="4" t="str">
        <v/>
      </c>
      <c r="I5003" s="4" t="str">
        <v/>
      </c>
    </row>
    <row r="5004" spans="5:9" ht="16.5" hidden="1">
      <c r="E5004" s="4" t="str">
        <v/>
      </c>
      <c r="F5004" s="102" t="str">
        <f ca="1">IFERROR(__xludf.DUMMYFUNCTION("IMPORTRANGE(H5004,""IDENTITAS UNIT!D9"")"),"#N/A")</f>
        <v>#N/A</v>
      </c>
      <c r="H5004" s="4" t="str">
        <v/>
      </c>
      <c r="I5004" s="4" t="str">
        <v/>
      </c>
    </row>
    <row r="5005" spans="5:9" ht="16.5" hidden="1">
      <c r="E5005" s="4" t="str">
        <v/>
      </c>
      <c r="F5005" s="102" t="str">
        <f ca="1">IFERROR(__xludf.DUMMYFUNCTION("IMPORTRANGE(H5005,""IDENTITAS UNIT!D9"")"),"#N/A")</f>
        <v>#N/A</v>
      </c>
      <c r="H5005" s="4" t="str">
        <v/>
      </c>
      <c r="I5005" s="4" t="str">
        <v/>
      </c>
    </row>
    <row r="5006" spans="5:9" ht="16.5" hidden="1">
      <c r="E5006" s="4" t="str">
        <v/>
      </c>
      <c r="F5006" s="102" t="str">
        <f ca="1">IFERROR(__xludf.DUMMYFUNCTION("IMPORTRANGE(H5006,""IDENTITAS UNIT!D9"")"),"#N/A")</f>
        <v>#N/A</v>
      </c>
      <c r="H5006" s="4" t="str">
        <v/>
      </c>
      <c r="I5006" s="4" t="str">
        <v/>
      </c>
    </row>
    <row r="5007" spans="5:9" ht="16.5" hidden="1">
      <c r="E5007" s="4" t="str">
        <v/>
      </c>
      <c r="F5007" s="102" t="str">
        <f ca="1">IFERROR(__xludf.DUMMYFUNCTION("IMPORTRANGE(H5007,""IDENTITAS UNIT!D9"")"),"#N/A")</f>
        <v>#N/A</v>
      </c>
      <c r="H5007" s="4" t="str">
        <v/>
      </c>
      <c r="I5007" s="4" t="str">
        <v/>
      </c>
    </row>
    <row r="5008" spans="5:9" ht="16.5" hidden="1">
      <c r="E5008" s="4" t="str">
        <v/>
      </c>
      <c r="F5008" s="102" t="str">
        <f ca="1">IFERROR(__xludf.DUMMYFUNCTION("IMPORTRANGE(H5008,""IDENTITAS UNIT!D9"")"),"#N/A")</f>
        <v>#N/A</v>
      </c>
      <c r="H5008" s="4" t="str">
        <v/>
      </c>
      <c r="I5008" s="4" t="str">
        <v/>
      </c>
    </row>
    <row r="5009" spans="5:9" ht="16.5" hidden="1">
      <c r="E5009" s="4" t="str">
        <v/>
      </c>
      <c r="F5009" s="102" t="str">
        <f ca="1">IFERROR(__xludf.DUMMYFUNCTION("IMPORTRANGE(H5009,""IDENTITAS UNIT!D9"")"),"#N/A")</f>
        <v>#N/A</v>
      </c>
      <c r="H5009" s="4" t="str">
        <v/>
      </c>
      <c r="I5009" s="4" t="str">
        <v/>
      </c>
    </row>
    <row r="5010" spans="5:9" ht="16.5" hidden="1">
      <c r="E5010" s="4" t="str">
        <v/>
      </c>
      <c r="F5010" s="102" t="str">
        <f ca="1">IFERROR(__xludf.DUMMYFUNCTION("IMPORTRANGE(H5010,""IDENTITAS UNIT!D9"")"),"#N/A")</f>
        <v>#N/A</v>
      </c>
      <c r="H5010" s="4" t="str">
        <v/>
      </c>
      <c r="I5010" s="4" t="str">
        <v/>
      </c>
    </row>
    <row r="5011" spans="5:9" ht="16.5" hidden="1">
      <c r="E5011" s="4" t="str">
        <v/>
      </c>
      <c r="F5011" s="102" t="str">
        <f ca="1">IFERROR(__xludf.DUMMYFUNCTION("IMPORTRANGE(H5011,""IDENTITAS UNIT!D9"")"),"#N/A")</f>
        <v>#N/A</v>
      </c>
      <c r="H5011" s="4" t="str">
        <v/>
      </c>
      <c r="I5011" s="4" t="str">
        <v/>
      </c>
    </row>
    <row r="5012" spans="5:9" ht="16.5" hidden="1">
      <c r="E5012" s="4" t="str">
        <v/>
      </c>
      <c r="F5012" s="102" t="str">
        <f ca="1">IFERROR(__xludf.DUMMYFUNCTION("IMPORTRANGE(H5012,""IDENTITAS UNIT!D9"")"),"#N/A")</f>
        <v>#N/A</v>
      </c>
      <c r="H5012" s="4" t="str">
        <v/>
      </c>
      <c r="I5012" s="4" t="str">
        <v/>
      </c>
    </row>
    <row r="5013" spans="5:9" ht="16.5" hidden="1">
      <c r="E5013" s="4" t="str">
        <v/>
      </c>
      <c r="F5013" s="102" t="str">
        <f ca="1">IFERROR(__xludf.DUMMYFUNCTION("IMPORTRANGE(H5013,""IDENTITAS UNIT!D9"")"),"#N/A")</f>
        <v>#N/A</v>
      </c>
      <c r="H5013" s="4" t="str">
        <v/>
      </c>
      <c r="I5013" s="4" t="str">
        <v/>
      </c>
    </row>
    <row r="5014" spans="5:9" ht="16.5" hidden="1">
      <c r="E5014" s="4" t="str">
        <v/>
      </c>
      <c r="F5014" s="102" t="str">
        <f ca="1">IFERROR(__xludf.DUMMYFUNCTION("IMPORTRANGE(H5014,""IDENTITAS UNIT!D9"")"),"#N/A")</f>
        <v>#N/A</v>
      </c>
      <c r="H5014" s="4" t="str">
        <v/>
      </c>
      <c r="I5014" s="4" t="str">
        <v/>
      </c>
    </row>
    <row r="5015" spans="5:9" ht="16.5" hidden="1">
      <c r="E5015" s="4" t="str">
        <v/>
      </c>
      <c r="F5015" s="102" t="str">
        <f ca="1">IFERROR(__xludf.DUMMYFUNCTION("IMPORTRANGE(H5015,""IDENTITAS UNIT!D9"")"),"#N/A")</f>
        <v>#N/A</v>
      </c>
      <c r="H5015" s="4" t="str">
        <v/>
      </c>
      <c r="I5015" s="4" t="str">
        <v/>
      </c>
    </row>
    <row r="5016" spans="5:9" ht="16.5" hidden="1">
      <c r="E5016" s="4" t="str">
        <v/>
      </c>
      <c r="F5016" s="102" t="str">
        <f ca="1">IFERROR(__xludf.DUMMYFUNCTION("IMPORTRANGE(H5016,""IDENTITAS UNIT!D9"")"),"#N/A")</f>
        <v>#N/A</v>
      </c>
      <c r="H5016" s="4" t="str">
        <v/>
      </c>
      <c r="I5016" s="4" t="str">
        <v/>
      </c>
    </row>
    <row r="5017" spans="5:9" ht="16.5" hidden="1">
      <c r="E5017" s="4" t="str">
        <v/>
      </c>
      <c r="F5017" s="102" t="str">
        <f ca="1">IFERROR(__xludf.DUMMYFUNCTION("IMPORTRANGE(H5017,""IDENTITAS UNIT!D9"")"),"#N/A")</f>
        <v>#N/A</v>
      </c>
      <c r="H5017" s="4" t="str">
        <v/>
      </c>
      <c r="I5017" s="4" t="str">
        <v/>
      </c>
    </row>
    <row r="5018" spans="5:9" ht="16.5" hidden="1">
      <c r="E5018" s="4" t="str">
        <v/>
      </c>
      <c r="F5018" s="102" t="str">
        <f ca="1">IFERROR(__xludf.DUMMYFUNCTION("IMPORTRANGE(H5018,""IDENTITAS UNIT!D9"")"),"#N/A")</f>
        <v>#N/A</v>
      </c>
      <c r="H5018" s="4" t="str">
        <v/>
      </c>
      <c r="I5018" s="4" t="str">
        <v/>
      </c>
    </row>
    <row r="5019" spans="5:9" ht="16.5" hidden="1">
      <c r="E5019" s="4" t="str">
        <v/>
      </c>
      <c r="F5019" s="102" t="str">
        <f ca="1">IFERROR(__xludf.DUMMYFUNCTION("IMPORTRANGE(H5019,""IDENTITAS UNIT!D9"")"),"#N/A")</f>
        <v>#N/A</v>
      </c>
      <c r="H5019" s="4" t="str">
        <v/>
      </c>
      <c r="I5019" s="4" t="str">
        <v/>
      </c>
    </row>
    <row r="5020" spans="5:9" ht="16.5" hidden="1">
      <c r="E5020" s="4" t="str">
        <v/>
      </c>
      <c r="F5020" s="102" t="str">
        <f ca="1">IFERROR(__xludf.DUMMYFUNCTION("IMPORTRANGE(H5020,""IDENTITAS UNIT!D9"")"),"#N/A")</f>
        <v>#N/A</v>
      </c>
      <c r="H5020" s="4" t="str">
        <v/>
      </c>
      <c r="I5020" s="4" t="str">
        <v/>
      </c>
    </row>
    <row r="5021" spans="5:9" ht="16.5" hidden="1">
      <c r="E5021" s="4" t="str">
        <v/>
      </c>
      <c r="F5021" s="102" t="str">
        <f ca="1">IFERROR(__xludf.DUMMYFUNCTION("IMPORTRANGE(H5021,""IDENTITAS UNIT!D9"")"),"#N/A")</f>
        <v>#N/A</v>
      </c>
      <c r="H5021" s="4" t="str">
        <v/>
      </c>
      <c r="I5021" s="4" t="str">
        <v/>
      </c>
    </row>
    <row r="5022" spans="5:9" ht="16.5" hidden="1">
      <c r="E5022" s="4" t="str">
        <v/>
      </c>
      <c r="F5022" s="102" t="str">
        <f ca="1">IFERROR(__xludf.DUMMYFUNCTION("IMPORTRANGE(H5022,""IDENTITAS UNIT!D9"")"),"#N/A")</f>
        <v>#N/A</v>
      </c>
      <c r="H5022" s="4" t="str">
        <v/>
      </c>
      <c r="I5022" s="4" t="str">
        <v/>
      </c>
    </row>
    <row r="5023" spans="5:9" ht="16.5" hidden="1">
      <c r="E5023" s="4" t="str">
        <v/>
      </c>
      <c r="F5023" s="102" t="str">
        <f ca="1">IFERROR(__xludf.DUMMYFUNCTION("IMPORTRANGE(H5023,""IDENTITAS UNIT!D9"")"),"#N/A")</f>
        <v>#N/A</v>
      </c>
      <c r="H5023" s="4" t="str">
        <v/>
      </c>
      <c r="I5023" s="4" t="str">
        <v/>
      </c>
    </row>
    <row r="5024" spans="5:9" ht="16.5" hidden="1">
      <c r="E5024" s="4" t="str">
        <v/>
      </c>
      <c r="F5024" s="102" t="str">
        <f ca="1">IFERROR(__xludf.DUMMYFUNCTION("IMPORTRANGE(H5024,""IDENTITAS UNIT!D9"")"),"#N/A")</f>
        <v>#N/A</v>
      </c>
      <c r="H5024" s="4" t="str">
        <v/>
      </c>
      <c r="I5024" s="4" t="str">
        <v/>
      </c>
    </row>
    <row r="5025" spans="5:9" ht="16.5" hidden="1">
      <c r="E5025" s="4" t="str">
        <v/>
      </c>
      <c r="F5025" s="102" t="str">
        <f ca="1">IFERROR(__xludf.DUMMYFUNCTION("IMPORTRANGE(H5025,""IDENTITAS UNIT!D9"")"),"#N/A")</f>
        <v>#N/A</v>
      </c>
      <c r="H5025" s="4" t="str">
        <v/>
      </c>
      <c r="I5025" s="4" t="str">
        <v/>
      </c>
    </row>
    <row r="5026" spans="5:9" ht="16.5" hidden="1">
      <c r="E5026" s="4" t="str">
        <v/>
      </c>
      <c r="F5026" s="102" t="str">
        <f ca="1">IFERROR(__xludf.DUMMYFUNCTION("IMPORTRANGE(H5026,""IDENTITAS UNIT!D9"")"),"#N/A")</f>
        <v>#N/A</v>
      </c>
      <c r="H5026" s="4" t="str">
        <v/>
      </c>
      <c r="I5026" s="4" t="str">
        <v/>
      </c>
    </row>
    <row r="5027" spans="5:9" ht="16.5" hidden="1">
      <c r="E5027" s="4" t="str">
        <v/>
      </c>
      <c r="F5027" s="102" t="str">
        <f ca="1">IFERROR(__xludf.DUMMYFUNCTION("IMPORTRANGE(H5027,""IDENTITAS UNIT!D9"")"),"#N/A")</f>
        <v>#N/A</v>
      </c>
      <c r="H5027" s="4" t="str">
        <v/>
      </c>
      <c r="I5027" s="4" t="str">
        <v/>
      </c>
    </row>
    <row r="5028" spans="5:9" ht="16.5" hidden="1">
      <c r="E5028" s="4" t="str">
        <v/>
      </c>
      <c r="F5028" s="102" t="str">
        <f ca="1">IFERROR(__xludf.DUMMYFUNCTION("IMPORTRANGE(H5028,""IDENTITAS UNIT!D9"")"),"#N/A")</f>
        <v>#N/A</v>
      </c>
      <c r="H5028" s="4" t="str">
        <v/>
      </c>
      <c r="I5028" s="4" t="str">
        <v/>
      </c>
    </row>
    <row r="5029" spans="5:9" ht="16.5" hidden="1">
      <c r="E5029" s="4" t="str">
        <v/>
      </c>
      <c r="F5029" s="102" t="str">
        <f ca="1">IFERROR(__xludf.DUMMYFUNCTION("IMPORTRANGE(H5029,""IDENTITAS UNIT!D9"")"),"#N/A")</f>
        <v>#N/A</v>
      </c>
      <c r="H5029" s="4" t="str">
        <v/>
      </c>
      <c r="I5029" s="4" t="str">
        <v/>
      </c>
    </row>
    <row r="5030" spans="5:9" ht="16.5" hidden="1">
      <c r="E5030" s="4" t="str">
        <v/>
      </c>
      <c r="F5030" s="102" t="str">
        <f ca="1">IFERROR(__xludf.DUMMYFUNCTION("IMPORTRANGE(H5030,""IDENTITAS UNIT!D9"")"),"#N/A")</f>
        <v>#N/A</v>
      </c>
      <c r="H5030" s="4" t="str">
        <v/>
      </c>
      <c r="I5030" s="4" t="str">
        <v/>
      </c>
    </row>
    <row r="5031" spans="5:9" ht="16.5" hidden="1">
      <c r="E5031" s="4" t="str">
        <v/>
      </c>
      <c r="F5031" s="102" t="str">
        <f ca="1">IFERROR(__xludf.DUMMYFUNCTION("IMPORTRANGE(H5031,""IDENTITAS UNIT!D9"")"),"#N/A")</f>
        <v>#N/A</v>
      </c>
      <c r="H5031" s="4" t="str">
        <v/>
      </c>
      <c r="I5031" s="4" t="str">
        <v/>
      </c>
    </row>
    <row r="5032" spans="5:9" ht="16.5" hidden="1">
      <c r="E5032" s="4" t="str">
        <v/>
      </c>
      <c r="F5032" s="102" t="str">
        <f ca="1">IFERROR(__xludf.DUMMYFUNCTION("IMPORTRANGE(H5032,""IDENTITAS UNIT!D9"")"),"#N/A")</f>
        <v>#N/A</v>
      </c>
      <c r="H5032" s="4" t="str">
        <v/>
      </c>
      <c r="I5032" s="4" t="str">
        <v/>
      </c>
    </row>
    <row r="5033" spans="5:9" ht="16.5" hidden="1">
      <c r="E5033" s="4" t="str">
        <v/>
      </c>
      <c r="F5033" s="102" t="str">
        <f ca="1">IFERROR(__xludf.DUMMYFUNCTION("IMPORTRANGE(H5033,""IDENTITAS UNIT!D9"")"),"#N/A")</f>
        <v>#N/A</v>
      </c>
      <c r="H5033" s="4" t="str">
        <v/>
      </c>
      <c r="I5033" s="4" t="str">
        <v/>
      </c>
    </row>
    <row r="5034" spans="5:9" ht="16.5" hidden="1">
      <c r="E5034" s="4" t="str">
        <v/>
      </c>
      <c r="F5034" s="102" t="str">
        <f ca="1">IFERROR(__xludf.DUMMYFUNCTION("IMPORTRANGE(H5034,""IDENTITAS UNIT!D9"")"),"#N/A")</f>
        <v>#N/A</v>
      </c>
      <c r="H5034" s="4" t="str">
        <v/>
      </c>
      <c r="I5034" s="4" t="str">
        <v/>
      </c>
    </row>
    <row r="5035" spans="5:9" ht="16.5" hidden="1">
      <c r="E5035" s="4" t="str">
        <v/>
      </c>
      <c r="F5035" s="102" t="str">
        <f ca="1">IFERROR(__xludf.DUMMYFUNCTION("IMPORTRANGE(H5035,""IDENTITAS UNIT!D9"")"),"#N/A")</f>
        <v>#N/A</v>
      </c>
      <c r="H5035" s="4" t="str">
        <v/>
      </c>
      <c r="I5035" s="4" t="str">
        <v/>
      </c>
    </row>
    <row r="5036" spans="5:9" ht="16.5" hidden="1">
      <c r="E5036" s="4" t="str">
        <v/>
      </c>
      <c r="F5036" s="102" t="str">
        <f ca="1">IFERROR(__xludf.DUMMYFUNCTION("IMPORTRANGE(H5036,""IDENTITAS UNIT!D9"")"),"#N/A")</f>
        <v>#N/A</v>
      </c>
      <c r="H5036" s="4" t="str">
        <v/>
      </c>
      <c r="I5036" s="4" t="str">
        <v/>
      </c>
    </row>
    <row r="5037" spans="5:9" ht="16.5" hidden="1">
      <c r="E5037" s="4" t="str">
        <v/>
      </c>
      <c r="F5037" s="102" t="str">
        <f ca="1">IFERROR(__xludf.DUMMYFUNCTION("IMPORTRANGE(H5037,""IDENTITAS UNIT!D9"")"),"#N/A")</f>
        <v>#N/A</v>
      </c>
      <c r="H5037" s="4" t="str">
        <v/>
      </c>
      <c r="I5037" s="4" t="str">
        <v/>
      </c>
    </row>
    <row r="5038" spans="5:9" ht="16.5" hidden="1">
      <c r="E5038" s="4" t="str">
        <v/>
      </c>
      <c r="F5038" s="102" t="str">
        <f ca="1">IFERROR(__xludf.DUMMYFUNCTION("IMPORTRANGE(H5038,""IDENTITAS UNIT!D9"")"),"#N/A")</f>
        <v>#N/A</v>
      </c>
      <c r="H5038" s="4" t="str">
        <v/>
      </c>
      <c r="I5038" s="4" t="str">
        <v/>
      </c>
    </row>
    <row r="5039" spans="5:9" ht="16.5" hidden="1">
      <c r="E5039" s="4" t="str">
        <v/>
      </c>
      <c r="F5039" s="102" t="str">
        <f ca="1">IFERROR(__xludf.DUMMYFUNCTION("IMPORTRANGE(H5039,""IDENTITAS UNIT!D9"")"),"#N/A")</f>
        <v>#N/A</v>
      </c>
      <c r="H5039" s="4" t="str">
        <v/>
      </c>
      <c r="I5039" s="4" t="str">
        <v/>
      </c>
    </row>
    <row r="5040" spans="5:9" ht="16.5" hidden="1">
      <c r="E5040" s="4" t="str">
        <v/>
      </c>
      <c r="F5040" s="102" t="str">
        <f ca="1">IFERROR(__xludf.DUMMYFUNCTION("IMPORTRANGE(H5040,""IDENTITAS UNIT!D9"")"),"#N/A")</f>
        <v>#N/A</v>
      </c>
      <c r="H5040" s="4" t="str">
        <v/>
      </c>
      <c r="I5040" s="4" t="str">
        <v/>
      </c>
    </row>
    <row r="5041" spans="5:9" ht="16.5" hidden="1">
      <c r="E5041" s="4" t="str">
        <v/>
      </c>
      <c r="F5041" s="102" t="str">
        <f ca="1">IFERROR(__xludf.DUMMYFUNCTION("IMPORTRANGE(H5041,""IDENTITAS UNIT!D9"")"),"#N/A")</f>
        <v>#N/A</v>
      </c>
      <c r="H5041" s="4" t="str">
        <v/>
      </c>
      <c r="I5041" s="4" t="str">
        <v/>
      </c>
    </row>
    <row r="5042" spans="5:9" ht="16.5" hidden="1">
      <c r="E5042" s="4" t="str">
        <v/>
      </c>
      <c r="F5042" s="102" t="str">
        <f ca="1">IFERROR(__xludf.DUMMYFUNCTION("IMPORTRANGE(H5042,""IDENTITAS UNIT!D9"")"),"#N/A")</f>
        <v>#N/A</v>
      </c>
      <c r="H5042" s="4" t="str">
        <v/>
      </c>
      <c r="I5042" s="4" t="str">
        <v/>
      </c>
    </row>
    <row r="5043" spans="5:9" ht="16.5" hidden="1">
      <c r="E5043" s="4" t="str">
        <v/>
      </c>
      <c r="F5043" s="102" t="str">
        <f ca="1">IFERROR(__xludf.DUMMYFUNCTION("IMPORTRANGE(H5043,""IDENTITAS UNIT!D9"")"),"#N/A")</f>
        <v>#N/A</v>
      </c>
      <c r="H5043" s="4" t="str">
        <v/>
      </c>
      <c r="I5043" s="4" t="str">
        <v/>
      </c>
    </row>
    <row r="5044" spans="5:9" ht="16.5" hidden="1">
      <c r="E5044" s="4" t="str">
        <v/>
      </c>
      <c r="F5044" s="102" t="str">
        <f ca="1">IFERROR(__xludf.DUMMYFUNCTION("IMPORTRANGE(H5044,""IDENTITAS UNIT!D9"")"),"#N/A")</f>
        <v>#N/A</v>
      </c>
      <c r="H5044" s="4" t="str">
        <v/>
      </c>
      <c r="I5044" s="4" t="str">
        <v/>
      </c>
    </row>
    <row r="5045" spans="5:9" ht="16.5" hidden="1">
      <c r="E5045" s="4" t="str">
        <v/>
      </c>
      <c r="F5045" s="102" t="str">
        <f ca="1">IFERROR(__xludf.DUMMYFUNCTION("IMPORTRANGE(H5045,""IDENTITAS UNIT!D9"")"),"#N/A")</f>
        <v>#N/A</v>
      </c>
      <c r="H5045" s="4" t="str">
        <v/>
      </c>
      <c r="I5045" s="4" t="str">
        <v/>
      </c>
    </row>
    <row r="5046" spans="5:9" ht="16.5" hidden="1">
      <c r="E5046" s="4" t="str">
        <v/>
      </c>
      <c r="F5046" s="102" t="str">
        <f ca="1">IFERROR(__xludf.DUMMYFUNCTION("IMPORTRANGE(H5046,""IDENTITAS UNIT!D9"")"),"#N/A")</f>
        <v>#N/A</v>
      </c>
      <c r="H5046" s="4" t="str">
        <v/>
      </c>
      <c r="I5046" s="4" t="str">
        <v/>
      </c>
    </row>
    <row r="5047" spans="5:9" ht="16.5" hidden="1">
      <c r="E5047" s="4" t="str">
        <v/>
      </c>
      <c r="F5047" s="102" t="str">
        <f ca="1">IFERROR(__xludf.DUMMYFUNCTION("IMPORTRANGE(H5047,""IDENTITAS UNIT!D9"")"),"#N/A")</f>
        <v>#N/A</v>
      </c>
      <c r="H5047" s="4" t="str">
        <v/>
      </c>
      <c r="I5047" s="4" t="str">
        <v/>
      </c>
    </row>
    <row r="5048" spans="5:9" ht="16.5" hidden="1">
      <c r="E5048" s="4" t="str">
        <v/>
      </c>
      <c r="F5048" s="102" t="str">
        <f ca="1">IFERROR(__xludf.DUMMYFUNCTION("IMPORTRANGE(H5048,""IDENTITAS UNIT!D9"")"),"#N/A")</f>
        <v>#N/A</v>
      </c>
      <c r="H5048" s="4" t="str">
        <v/>
      </c>
      <c r="I5048" s="4" t="str">
        <v/>
      </c>
    </row>
    <row r="5049" spans="5:9" ht="16.5" hidden="1">
      <c r="E5049" s="4" t="str">
        <v/>
      </c>
      <c r="F5049" s="102" t="str">
        <f ca="1">IFERROR(__xludf.DUMMYFUNCTION("IMPORTRANGE(H5049,""IDENTITAS UNIT!D9"")"),"#N/A")</f>
        <v>#N/A</v>
      </c>
      <c r="H5049" s="4" t="str">
        <v/>
      </c>
      <c r="I5049" s="4" t="str">
        <v/>
      </c>
    </row>
    <row r="5050" spans="5:9" ht="16.5" hidden="1">
      <c r="E5050" s="4" t="str">
        <v/>
      </c>
      <c r="F5050" s="102" t="str">
        <f ca="1">IFERROR(__xludf.DUMMYFUNCTION("IMPORTRANGE(H5050,""IDENTITAS UNIT!D9"")"),"#N/A")</f>
        <v>#N/A</v>
      </c>
      <c r="H5050" s="4" t="str">
        <v/>
      </c>
      <c r="I5050" s="4" t="str">
        <v/>
      </c>
    </row>
    <row r="5051" spans="5:9" ht="16.5" hidden="1">
      <c r="E5051" s="4" t="str">
        <v/>
      </c>
      <c r="F5051" s="102" t="str">
        <f ca="1">IFERROR(__xludf.DUMMYFUNCTION("IMPORTRANGE(H5051,""IDENTITAS UNIT!D9"")"),"#N/A")</f>
        <v>#N/A</v>
      </c>
      <c r="H5051" s="4" t="str">
        <v/>
      </c>
      <c r="I5051" s="4" t="str">
        <v/>
      </c>
    </row>
    <row r="5052" spans="5:9" ht="16.5" hidden="1">
      <c r="E5052" s="4" t="str">
        <v/>
      </c>
      <c r="F5052" s="102" t="str">
        <f ca="1">IFERROR(__xludf.DUMMYFUNCTION("IMPORTRANGE(H5052,""IDENTITAS UNIT!D9"")"),"#N/A")</f>
        <v>#N/A</v>
      </c>
      <c r="H5052" s="4" t="str">
        <v/>
      </c>
      <c r="I5052" s="4" t="str">
        <v/>
      </c>
    </row>
    <row r="5053" spans="5:9" ht="16.5" hidden="1">
      <c r="E5053" s="4" t="str">
        <v/>
      </c>
      <c r="F5053" s="102" t="str">
        <f ca="1">IFERROR(__xludf.DUMMYFUNCTION("IMPORTRANGE(H5053,""IDENTITAS UNIT!D9"")"),"#N/A")</f>
        <v>#N/A</v>
      </c>
      <c r="H5053" s="4" t="str">
        <v/>
      </c>
      <c r="I5053" s="4" t="str">
        <v/>
      </c>
    </row>
    <row r="5054" spans="5:9" ht="16.5" hidden="1">
      <c r="E5054" s="4" t="str">
        <v/>
      </c>
      <c r="F5054" s="102" t="str">
        <f ca="1">IFERROR(__xludf.DUMMYFUNCTION("IMPORTRANGE(H5054,""IDENTITAS UNIT!D9"")"),"#N/A")</f>
        <v>#N/A</v>
      </c>
      <c r="H5054" s="4" t="str">
        <v/>
      </c>
      <c r="I5054" s="4" t="str">
        <v/>
      </c>
    </row>
    <row r="5055" spans="5:9" ht="16.5" hidden="1">
      <c r="E5055" s="4" t="str">
        <v/>
      </c>
      <c r="F5055" s="102" t="str">
        <f ca="1">IFERROR(__xludf.DUMMYFUNCTION("IMPORTRANGE(H5055,""IDENTITAS UNIT!D9"")"),"#N/A")</f>
        <v>#N/A</v>
      </c>
      <c r="H5055" s="4" t="str">
        <v/>
      </c>
      <c r="I5055" s="4" t="str">
        <v/>
      </c>
    </row>
    <row r="5056" spans="5:9" ht="16.5" hidden="1">
      <c r="E5056" s="4" t="str">
        <v/>
      </c>
      <c r="F5056" s="102" t="str">
        <f ca="1">IFERROR(__xludf.DUMMYFUNCTION("IMPORTRANGE(H5056,""IDENTITAS UNIT!D9"")"),"#N/A")</f>
        <v>#N/A</v>
      </c>
      <c r="H5056" s="4" t="str">
        <v/>
      </c>
      <c r="I5056" s="4" t="str">
        <v/>
      </c>
    </row>
    <row r="5057" spans="5:9" ht="16.5" hidden="1">
      <c r="E5057" s="4" t="str">
        <v/>
      </c>
      <c r="F5057" s="102" t="str">
        <f ca="1">IFERROR(__xludf.DUMMYFUNCTION("IMPORTRANGE(H5057,""IDENTITAS UNIT!D9"")"),"#N/A")</f>
        <v>#N/A</v>
      </c>
      <c r="H5057" s="4" t="str">
        <v/>
      </c>
      <c r="I5057" s="4" t="str">
        <v/>
      </c>
    </row>
    <row r="5058" spans="5:9" ht="16.5" hidden="1">
      <c r="E5058" s="4" t="str">
        <v/>
      </c>
      <c r="F5058" s="102" t="str">
        <f ca="1">IFERROR(__xludf.DUMMYFUNCTION("IMPORTRANGE(H5058,""IDENTITAS UNIT!D9"")"),"#N/A")</f>
        <v>#N/A</v>
      </c>
      <c r="H5058" s="4" t="str">
        <v/>
      </c>
      <c r="I5058" s="4" t="str">
        <v/>
      </c>
    </row>
    <row r="5059" spans="5:9" ht="16.5" hidden="1">
      <c r="E5059" s="4" t="str">
        <v/>
      </c>
      <c r="F5059" s="102" t="str">
        <f ca="1">IFERROR(__xludf.DUMMYFUNCTION("IMPORTRANGE(H5059,""IDENTITAS UNIT!D9"")"),"#N/A")</f>
        <v>#N/A</v>
      </c>
      <c r="H5059" s="4" t="str">
        <v/>
      </c>
      <c r="I5059" s="4" t="str">
        <v/>
      </c>
    </row>
    <row r="5060" spans="5:9" ht="16.5" hidden="1">
      <c r="E5060" s="4" t="str">
        <v/>
      </c>
      <c r="F5060" s="102" t="str">
        <f ca="1">IFERROR(__xludf.DUMMYFUNCTION("IMPORTRANGE(H5060,""IDENTITAS UNIT!D9"")"),"#N/A")</f>
        <v>#N/A</v>
      </c>
      <c r="H5060" s="4" t="str">
        <v/>
      </c>
      <c r="I5060" s="4" t="str">
        <v/>
      </c>
    </row>
    <row r="5061" spans="5:9" ht="16.5" hidden="1">
      <c r="E5061" s="4" t="str">
        <v/>
      </c>
      <c r="F5061" s="102" t="str">
        <f ca="1">IFERROR(__xludf.DUMMYFUNCTION("IMPORTRANGE(H5061,""IDENTITAS UNIT!D9"")"),"#N/A")</f>
        <v>#N/A</v>
      </c>
      <c r="H5061" s="4" t="str">
        <v/>
      </c>
      <c r="I5061" s="4" t="str">
        <v/>
      </c>
    </row>
    <row r="5062" spans="5:9" ht="16.5" hidden="1">
      <c r="E5062" s="4" t="str">
        <v/>
      </c>
      <c r="F5062" s="102" t="str">
        <f ca="1">IFERROR(__xludf.DUMMYFUNCTION("IMPORTRANGE(H5062,""IDENTITAS UNIT!D9"")"),"#N/A")</f>
        <v>#N/A</v>
      </c>
      <c r="H5062" s="4" t="str">
        <v/>
      </c>
      <c r="I5062" s="4" t="str">
        <v/>
      </c>
    </row>
    <row r="5063" spans="5:9" ht="16.5" hidden="1">
      <c r="E5063" s="4" t="str">
        <v/>
      </c>
      <c r="F5063" s="102" t="str">
        <f ca="1">IFERROR(__xludf.DUMMYFUNCTION("IMPORTRANGE(H5063,""IDENTITAS UNIT!D9"")"),"#N/A")</f>
        <v>#N/A</v>
      </c>
      <c r="H5063" s="4" t="str">
        <v/>
      </c>
      <c r="I5063" s="4" t="str">
        <v/>
      </c>
    </row>
    <row r="5064" spans="5:9" ht="16.5" hidden="1">
      <c r="E5064" s="4" t="str">
        <v/>
      </c>
      <c r="F5064" s="102" t="str">
        <f ca="1">IFERROR(__xludf.DUMMYFUNCTION("IMPORTRANGE(H5064,""IDENTITAS UNIT!D9"")"),"#N/A")</f>
        <v>#N/A</v>
      </c>
      <c r="H5064" s="4" t="str">
        <v/>
      </c>
      <c r="I5064" s="4" t="str">
        <v/>
      </c>
    </row>
    <row r="5065" spans="5:9" ht="16.5" hidden="1">
      <c r="E5065" s="4" t="str">
        <v/>
      </c>
      <c r="F5065" s="102" t="str">
        <f ca="1">IFERROR(__xludf.DUMMYFUNCTION("IMPORTRANGE(H5065,""IDENTITAS UNIT!D9"")"),"#N/A")</f>
        <v>#N/A</v>
      </c>
      <c r="H5065" s="4" t="str">
        <v/>
      </c>
      <c r="I5065" s="4" t="str">
        <v/>
      </c>
    </row>
    <row r="5066" spans="5:9" ht="16.5" hidden="1">
      <c r="E5066" s="4" t="str">
        <v/>
      </c>
      <c r="F5066" s="102" t="str">
        <f ca="1">IFERROR(__xludf.DUMMYFUNCTION("IMPORTRANGE(H5066,""IDENTITAS UNIT!D9"")"),"#N/A")</f>
        <v>#N/A</v>
      </c>
      <c r="H5066" s="4" t="str">
        <v/>
      </c>
      <c r="I5066" s="4" t="str">
        <v/>
      </c>
    </row>
    <row r="5067" spans="5:9" ht="16.5" hidden="1">
      <c r="E5067" s="4" t="str">
        <v/>
      </c>
      <c r="F5067" s="102" t="str">
        <f ca="1">IFERROR(__xludf.DUMMYFUNCTION("IMPORTRANGE(H5067,""IDENTITAS UNIT!D9"")"),"#N/A")</f>
        <v>#N/A</v>
      </c>
      <c r="H5067" s="4" t="str">
        <v/>
      </c>
      <c r="I5067" s="4" t="str">
        <v/>
      </c>
    </row>
    <row r="5068" spans="5:9" ht="16.5" hidden="1">
      <c r="E5068" s="4" t="str">
        <v/>
      </c>
      <c r="F5068" s="102" t="str">
        <f ca="1">IFERROR(__xludf.DUMMYFUNCTION("IMPORTRANGE(H5068,""IDENTITAS UNIT!D9"")"),"#N/A")</f>
        <v>#N/A</v>
      </c>
      <c r="H5068" s="4" t="str">
        <v/>
      </c>
      <c r="I5068" s="4" t="str">
        <v/>
      </c>
    </row>
    <row r="5069" spans="5:9" ht="16.5" hidden="1">
      <c r="E5069" s="4" t="str">
        <v/>
      </c>
      <c r="F5069" s="102" t="str">
        <f ca="1">IFERROR(__xludf.DUMMYFUNCTION("IMPORTRANGE(H5069,""IDENTITAS UNIT!D9"")"),"#N/A")</f>
        <v>#N/A</v>
      </c>
      <c r="H5069" s="4" t="str">
        <v/>
      </c>
      <c r="I5069" s="4" t="str">
        <v/>
      </c>
    </row>
    <row r="5070" spans="5:9" ht="16.5" hidden="1">
      <c r="E5070" s="4" t="str">
        <v/>
      </c>
      <c r="F5070" s="102" t="str">
        <f ca="1">IFERROR(__xludf.DUMMYFUNCTION("IMPORTRANGE(H5070,""IDENTITAS UNIT!D9"")"),"#N/A")</f>
        <v>#N/A</v>
      </c>
      <c r="H5070" s="4" t="str">
        <v/>
      </c>
      <c r="I5070" s="4" t="str">
        <v/>
      </c>
    </row>
    <row r="5071" spans="5:9" ht="16.5" hidden="1">
      <c r="E5071" s="4" t="str">
        <v/>
      </c>
      <c r="F5071" s="102" t="str">
        <f ca="1">IFERROR(__xludf.DUMMYFUNCTION("IMPORTRANGE(H5071,""IDENTITAS UNIT!D9"")"),"#N/A")</f>
        <v>#N/A</v>
      </c>
      <c r="H5071" s="4" t="str">
        <v/>
      </c>
      <c r="I5071" s="4" t="str">
        <v/>
      </c>
    </row>
    <row r="5072" spans="5:9" ht="16.5" hidden="1">
      <c r="E5072" s="4" t="str">
        <v/>
      </c>
      <c r="F5072" s="102" t="str">
        <f ca="1">IFERROR(__xludf.DUMMYFUNCTION("IMPORTRANGE(H5072,""IDENTITAS UNIT!D9"")"),"#N/A")</f>
        <v>#N/A</v>
      </c>
      <c r="H5072" s="4" t="str">
        <v/>
      </c>
      <c r="I5072" s="4" t="str">
        <v/>
      </c>
    </row>
    <row r="5073" spans="5:9" ht="16.5" hidden="1">
      <c r="E5073" s="4" t="str">
        <v/>
      </c>
      <c r="F5073" s="102" t="str">
        <f ca="1">IFERROR(__xludf.DUMMYFUNCTION("IMPORTRANGE(H5073,""IDENTITAS UNIT!D9"")"),"#N/A")</f>
        <v>#N/A</v>
      </c>
      <c r="H5073" s="4" t="str">
        <v/>
      </c>
      <c r="I5073" s="4" t="str">
        <v/>
      </c>
    </row>
    <row r="5074" spans="5:9" ht="16.5" hidden="1">
      <c r="E5074" s="4" t="str">
        <v/>
      </c>
      <c r="F5074" s="102" t="str">
        <f ca="1">IFERROR(__xludf.DUMMYFUNCTION("IMPORTRANGE(H5074,""IDENTITAS UNIT!D9"")"),"#N/A")</f>
        <v>#N/A</v>
      </c>
      <c r="H5074" s="4" t="str">
        <v/>
      </c>
      <c r="I5074" s="4" t="str">
        <v/>
      </c>
    </row>
    <row r="5075" spans="5:9" ht="16.5" hidden="1">
      <c r="E5075" s="4" t="str">
        <v/>
      </c>
      <c r="F5075" s="102" t="str">
        <f ca="1">IFERROR(__xludf.DUMMYFUNCTION("IMPORTRANGE(H5075,""IDENTITAS UNIT!D9"")"),"#N/A")</f>
        <v>#N/A</v>
      </c>
      <c r="H5075" s="4" t="str">
        <v/>
      </c>
      <c r="I5075" s="4" t="str">
        <v/>
      </c>
    </row>
    <row r="5076" spans="5:9" ht="16.5" hidden="1">
      <c r="E5076" s="4" t="str">
        <v/>
      </c>
      <c r="F5076" s="102" t="str">
        <f ca="1">IFERROR(__xludf.DUMMYFUNCTION("IMPORTRANGE(H5076,""IDENTITAS UNIT!D9"")"),"#N/A")</f>
        <v>#N/A</v>
      </c>
      <c r="H5076" s="4" t="str">
        <v/>
      </c>
      <c r="I5076" s="4" t="str">
        <v/>
      </c>
    </row>
    <row r="5077" spans="5:9" ht="16.5" hidden="1">
      <c r="E5077" s="4" t="str">
        <v/>
      </c>
      <c r="F5077" s="102" t="str">
        <f ca="1">IFERROR(__xludf.DUMMYFUNCTION("IMPORTRANGE(H5077,""IDENTITAS UNIT!D9"")"),"#N/A")</f>
        <v>#N/A</v>
      </c>
      <c r="H5077" s="4" t="str">
        <v/>
      </c>
      <c r="I5077" s="4" t="str">
        <v/>
      </c>
    </row>
    <row r="5078" spans="5:9" ht="16.5" hidden="1">
      <c r="E5078" s="4" t="str">
        <v/>
      </c>
      <c r="F5078" s="102" t="str">
        <f ca="1">IFERROR(__xludf.DUMMYFUNCTION("IMPORTRANGE(H5078,""IDENTITAS UNIT!D9"")"),"#N/A")</f>
        <v>#N/A</v>
      </c>
      <c r="H5078" s="4" t="str">
        <v/>
      </c>
      <c r="I5078" s="4" t="str">
        <v/>
      </c>
    </row>
    <row r="5079" spans="5:9" ht="16.5" hidden="1">
      <c r="E5079" s="4" t="str">
        <v/>
      </c>
      <c r="F5079" s="102" t="str">
        <f ca="1">IFERROR(__xludf.DUMMYFUNCTION("IMPORTRANGE(H5079,""IDENTITAS UNIT!D9"")"),"#N/A")</f>
        <v>#N/A</v>
      </c>
      <c r="H5079" s="4" t="str">
        <v/>
      </c>
      <c r="I5079" s="4" t="str">
        <v/>
      </c>
    </row>
    <row r="5080" spans="5:9" ht="16.5" hidden="1">
      <c r="E5080" s="4" t="str">
        <v/>
      </c>
      <c r="F5080" s="102" t="str">
        <f ca="1">IFERROR(__xludf.DUMMYFUNCTION("IMPORTRANGE(H5080,""IDENTITAS UNIT!D9"")"),"#N/A")</f>
        <v>#N/A</v>
      </c>
      <c r="H5080" s="4" t="str">
        <v/>
      </c>
      <c r="I5080" s="4" t="str">
        <v/>
      </c>
    </row>
    <row r="5081" spans="5:9" ht="16.5" hidden="1">
      <c r="E5081" s="4" t="str">
        <v/>
      </c>
      <c r="F5081" s="102" t="str">
        <f ca="1">IFERROR(__xludf.DUMMYFUNCTION("IMPORTRANGE(H5081,""IDENTITAS UNIT!D9"")"),"#N/A")</f>
        <v>#N/A</v>
      </c>
      <c r="H5081" s="4" t="str">
        <v/>
      </c>
      <c r="I5081" s="4" t="str">
        <v/>
      </c>
    </row>
    <row r="5082" spans="5:9" ht="16.5" hidden="1">
      <c r="E5082" s="4" t="str">
        <v/>
      </c>
      <c r="F5082" s="102" t="str">
        <f ca="1">IFERROR(__xludf.DUMMYFUNCTION("IMPORTRANGE(H5082,""IDENTITAS UNIT!D9"")"),"#N/A")</f>
        <v>#N/A</v>
      </c>
      <c r="H5082" s="4" t="str">
        <v/>
      </c>
      <c r="I5082" s="4" t="str">
        <v/>
      </c>
    </row>
    <row r="5083" spans="5:9" ht="16.5" hidden="1">
      <c r="E5083" s="4" t="str">
        <v/>
      </c>
      <c r="F5083" s="102" t="str">
        <f ca="1">IFERROR(__xludf.DUMMYFUNCTION("IMPORTRANGE(H5083,""IDENTITAS UNIT!D9"")"),"#N/A")</f>
        <v>#N/A</v>
      </c>
      <c r="H5083" s="4" t="str">
        <v/>
      </c>
      <c r="I5083" s="4" t="str">
        <v/>
      </c>
    </row>
    <row r="5084" spans="5:9" ht="16.5" hidden="1">
      <c r="E5084" s="4" t="str">
        <v/>
      </c>
      <c r="F5084" s="102" t="str">
        <f ca="1">IFERROR(__xludf.DUMMYFUNCTION("IMPORTRANGE(H5084,""IDENTITAS UNIT!D9"")"),"#N/A")</f>
        <v>#N/A</v>
      </c>
      <c r="H5084" s="4" t="str">
        <v/>
      </c>
      <c r="I5084" s="4" t="str">
        <v/>
      </c>
    </row>
    <row r="5085" spans="5:9" ht="16.5" hidden="1">
      <c r="E5085" s="4" t="str">
        <v/>
      </c>
      <c r="F5085" s="102" t="str">
        <f ca="1">IFERROR(__xludf.DUMMYFUNCTION("IMPORTRANGE(H5085,""IDENTITAS UNIT!D9"")"),"#N/A")</f>
        <v>#N/A</v>
      </c>
      <c r="H5085" s="4" t="str">
        <v/>
      </c>
      <c r="I5085" s="4" t="str">
        <v/>
      </c>
    </row>
    <row r="5086" spans="5:9" ht="16.5" hidden="1">
      <c r="E5086" s="4" t="str">
        <v/>
      </c>
      <c r="F5086" s="102" t="str">
        <f ca="1">IFERROR(__xludf.DUMMYFUNCTION("IMPORTRANGE(H5086,""IDENTITAS UNIT!D9"")"),"#N/A")</f>
        <v>#N/A</v>
      </c>
      <c r="H5086" s="4" t="str">
        <v/>
      </c>
      <c r="I5086" s="4" t="str">
        <v/>
      </c>
    </row>
    <row r="5087" spans="5:9" ht="16.5" hidden="1">
      <c r="E5087" s="4" t="str">
        <v/>
      </c>
      <c r="F5087" s="102" t="str">
        <f ca="1">IFERROR(__xludf.DUMMYFUNCTION("IMPORTRANGE(H5087,""IDENTITAS UNIT!D9"")"),"#N/A")</f>
        <v>#N/A</v>
      </c>
      <c r="H5087" s="4" t="str">
        <v/>
      </c>
      <c r="I5087" s="4" t="str">
        <v/>
      </c>
    </row>
    <row r="5088" spans="5:9" ht="16.5" hidden="1">
      <c r="E5088" s="4" t="str">
        <v/>
      </c>
      <c r="F5088" s="102" t="str">
        <f ca="1">IFERROR(__xludf.DUMMYFUNCTION("IMPORTRANGE(H5088,""IDENTITAS UNIT!D9"")"),"#N/A")</f>
        <v>#N/A</v>
      </c>
      <c r="H5088" s="4" t="str">
        <v/>
      </c>
      <c r="I5088" s="4" t="str">
        <v/>
      </c>
    </row>
    <row r="5089" spans="5:9" ht="16.5" hidden="1">
      <c r="E5089" s="4" t="str">
        <v/>
      </c>
      <c r="F5089" s="102" t="str">
        <f ca="1">IFERROR(__xludf.DUMMYFUNCTION("IMPORTRANGE(H5089,""IDENTITAS UNIT!D9"")"),"#N/A")</f>
        <v>#N/A</v>
      </c>
      <c r="H5089" s="4" t="str">
        <v/>
      </c>
      <c r="I5089" s="4" t="str">
        <v/>
      </c>
    </row>
    <row r="5090" spans="5:9" ht="16.5" hidden="1">
      <c r="E5090" s="4" t="str">
        <v/>
      </c>
      <c r="F5090" s="102" t="str">
        <f ca="1">IFERROR(__xludf.DUMMYFUNCTION("IMPORTRANGE(H5090,""IDENTITAS UNIT!D9"")"),"#N/A")</f>
        <v>#N/A</v>
      </c>
      <c r="H5090" s="4" t="str">
        <v/>
      </c>
      <c r="I5090" s="4" t="str">
        <v/>
      </c>
    </row>
    <row r="5091" spans="5:9" ht="16.5" hidden="1">
      <c r="E5091" s="4" t="str">
        <v/>
      </c>
      <c r="F5091" s="102" t="str">
        <f ca="1">IFERROR(__xludf.DUMMYFUNCTION("IMPORTRANGE(H5091,""IDENTITAS UNIT!D9"")"),"#N/A")</f>
        <v>#N/A</v>
      </c>
      <c r="H5091" s="4" t="str">
        <v/>
      </c>
      <c r="I5091" s="4" t="str">
        <v/>
      </c>
    </row>
    <row r="5092" spans="5:9" ht="16.5" hidden="1">
      <c r="E5092" s="4" t="str">
        <v/>
      </c>
      <c r="F5092" s="102" t="str">
        <f ca="1">IFERROR(__xludf.DUMMYFUNCTION("IMPORTRANGE(H5092,""IDENTITAS UNIT!D9"")"),"#N/A")</f>
        <v>#N/A</v>
      </c>
      <c r="H5092" s="4" t="str">
        <v/>
      </c>
      <c r="I5092" s="4" t="str">
        <v/>
      </c>
    </row>
    <row r="5093" spans="5:9" ht="16.5" hidden="1">
      <c r="E5093" s="4" t="str">
        <v/>
      </c>
      <c r="F5093" s="102" t="str">
        <f ca="1">IFERROR(__xludf.DUMMYFUNCTION("IMPORTRANGE(H5093,""IDENTITAS UNIT!D9"")"),"#N/A")</f>
        <v>#N/A</v>
      </c>
      <c r="H5093" s="4" t="str">
        <v/>
      </c>
      <c r="I5093" s="4" t="str">
        <v/>
      </c>
    </row>
    <row r="5094" spans="5:9" ht="16.5" hidden="1">
      <c r="E5094" s="4" t="str">
        <v/>
      </c>
      <c r="F5094" s="102" t="str">
        <f ca="1">IFERROR(__xludf.DUMMYFUNCTION("IMPORTRANGE(H5094,""IDENTITAS UNIT!D9"")"),"#N/A")</f>
        <v>#N/A</v>
      </c>
      <c r="H5094" s="4" t="str">
        <v/>
      </c>
      <c r="I5094" s="4" t="str">
        <v/>
      </c>
    </row>
    <row r="5095" spans="5:9" ht="16.5" hidden="1">
      <c r="E5095" s="4" t="str">
        <v/>
      </c>
      <c r="F5095" s="102" t="str">
        <f ca="1">IFERROR(__xludf.DUMMYFUNCTION("IMPORTRANGE(H5095,""IDENTITAS UNIT!D9"")"),"#N/A")</f>
        <v>#N/A</v>
      </c>
      <c r="H5095" s="4" t="str">
        <v/>
      </c>
      <c r="I5095" s="4" t="str">
        <v/>
      </c>
    </row>
    <row r="5096" spans="5:9" ht="16.5" hidden="1">
      <c r="E5096" s="4" t="str">
        <v/>
      </c>
      <c r="F5096" s="102" t="str">
        <f ca="1">IFERROR(__xludf.DUMMYFUNCTION("IMPORTRANGE(H5096,""IDENTITAS UNIT!D9"")"),"#N/A")</f>
        <v>#N/A</v>
      </c>
      <c r="H5096" s="4" t="str">
        <v/>
      </c>
      <c r="I5096" s="4" t="str">
        <v/>
      </c>
    </row>
    <row r="5097" spans="5:9" ht="16.5" hidden="1">
      <c r="E5097" s="4" t="str">
        <v/>
      </c>
      <c r="F5097" s="102" t="str">
        <f ca="1">IFERROR(__xludf.DUMMYFUNCTION("IMPORTRANGE(H5097,""IDENTITAS UNIT!D9"")"),"#N/A")</f>
        <v>#N/A</v>
      </c>
      <c r="H5097" s="4" t="str">
        <v/>
      </c>
      <c r="I5097" s="4" t="str">
        <v/>
      </c>
    </row>
    <row r="5098" spans="5:9" ht="16.5" hidden="1">
      <c r="E5098" s="4" t="str">
        <v/>
      </c>
      <c r="F5098" s="102" t="str">
        <f ca="1">IFERROR(__xludf.DUMMYFUNCTION("IMPORTRANGE(H5098,""IDENTITAS UNIT!D9"")"),"#N/A")</f>
        <v>#N/A</v>
      </c>
      <c r="H5098" s="4" t="str">
        <v/>
      </c>
      <c r="I5098" s="4" t="str">
        <v/>
      </c>
    </row>
    <row r="5099" spans="5:9" ht="16.5" hidden="1">
      <c r="E5099" s="4" t="str">
        <v/>
      </c>
      <c r="F5099" s="102" t="str">
        <f ca="1">IFERROR(__xludf.DUMMYFUNCTION("IMPORTRANGE(H5099,""IDENTITAS UNIT!D9"")"),"#N/A")</f>
        <v>#N/A</v>
      </c>
      <c r="H5099" s="4" t="str">
        <v/>
      </c>
      <c r="I5099" s="4" t="str">
        <v/>
      </c>
    </row>
    <row r="5100" spans="5:9" ht="16.5" hidden="1">
      <c r="E5100" s="4" t="str">
        <v/>
      </c>
      <c r="F5100" s="102" t="str">
        <f ca="1">IFERROR(__xludf.DUMMYFUNCTION("IMPORTRANGE(H5100,""IDENTITAS UNIT!D9"")"),"#N/A")</f>
        <v>#N/A</v>
      </c>
      <c r="H5100" s="4" t="str">
        <v/>
      </c>
      <c r="I5100" s="4" t="str">
        <v/>
      </c>
    </row>
    <row r="5101" spans="5:9" ht="16.5" hidden="1">
      <c r="E5101" s="4" t="str">
        <v/>
      </c>
      <c r="F5101" s="102" t="str">
        <f ca="1">IFERROR(__xludf.DUMMYFUNCTION("IMPORTRANGE(H5101,""IDENTITAS UNIT!D9"")"),"#N/A")</f>
        <v>#N/A</v>
      </c>
      <c r="H5101" s="4" t="str">
        <v/>
      </c>
      <c r="I5101" s="4" t="str">
        <v/>
      </c>
    </row>
    <row r="5102" spans="5:9" ht="16.5" hidden="1">
      <c r="E5102" s="4" t="str">
        <v/>
      </c>
      <c r="F5102" s="102" t="str">
        <f ca="1">IFERROR(__xludf.DUMMYFUNCTION("IMPORTRANGE(H5102,""IDENTITAS UNIT!D9"")"),"#N/A")</f>
        <v>#N/A</v>
      </c>
      <c r="H5102" s="4" t="str">
        <v/>
      </c>
      <c r="I5102" s="4" t="str">
        <v/>
      </c>
    </row>
    <row r="5103" spans="5:9" ht="16.5" hidden="1">
      <c r="E5103" s="4" t="str">
        <v/>
      </c>
      <c r="F5103" s="102" t="str">
        <f ca="1">IFERROR(__xludf.DUMMYFUNCTION("IMPORTRANGE(H5103,""IDENTITAS UNIT!D9"")"),"#N/A")</f>
        <v>#N/A</v>
      </c>
      <c r="H5103" s="4" t="str">
        <v/>
      </c>
      <c r="I5103" s="4" t="str">
        <v/>
      </c>
    </row>
    <row r="5104" spans="5:9" ht="16.5" hidden="1">
      <c r="E5104" s="4" t="str">
        <v/>
      </c>
      <c r="F5104" s="102" t="str">
        <f ca="1">IFERROR(__xludf.DUMMYFUNCTION("IMPORTRANGE(H5104,""IDENTITAS UNIT!D9"")"),"#N/A")</f>
        <v>#N/A</v>
      </c>
      <c r="H5104" s="4" t="str">
        <v/>
      </c>
      <c r="I5104" s="4" t="str">
        <v/>
      </c>
    </row>
    <row r="5105" spans="5:9" ht="16.5" hidden="1">
      <c r="E5105" s="4" t="str">
        <v/>
      </c>
      <c r="F5105" s="102" t="str">
        <f ca="1">IFERROR(__xludf.DUMMYFUNCTION("IMPORTRANGE(H5105,""IDENTITAS UNIT!D9"")"),"#N/A")</f>
        <v>#N/A</v>
      </c>
      <c r="H5105" s="4" t="str">
        <v/>
      </c>
      <c r="I5105" s="4" t="str">
        <v/>
      </c>
    </row>
    <row r="5106" spans="5:9" ht="16.5" hidden="1">
      <c r="E5106" s="4" t="str">
        <v/>
      </c>
      <c r="F5106" s="102" t="str">
        <f ca="1">IFERROR(__xludf.DUMMYFUNCTION("IMPORTRANGE(H5106,""IDENTITAS UNIT!D9"")"),"#N/A")</f>
        <v>#N/A</v>
      </c>
      <c r="H5106" s="4" t="str">
        <v/>
      </c>
      <c r="I5106" s="4" t="str">
        <v/>
      </c>
    </row>
    <row r="5107" spans="5:9" ht="16.5" hidden="1">
      <c r="E5107" s="4" t="str">
        <v/>
      </c>
      <c r="F5107" s="102" t="str">
        <f ca="1">IFERROR(__xludf.DUMMYFUNCTION("IMPORTRANGE(H5107,""IDENTITAS UNIT!D9"")"),"#N/A")</f>
        <v>#N/A</v>
      </c>
      <c r="H5107" s="4" t="str">
        <v/>
      </c>
      <c r="I5107" s="4" t="str">
        <v/>
      </c>
    </row>
    <row r="5108" spans="5:9" ht="16.5" hidden="1">
      <c r="E5108" s="4" t="str">
        <v/>
      </c>
      <c r="F5108" s="102" t="str">
        <f ca="1">IFERROR(__xludf.DUMMYFUNCTION("IMPORTRANGE(H5108,""IDENTITAS UNIT!D9"")"),"#N/A")</f>
        <v>#N/A</v>
      </c>
      <c r="H5108" s="4" t="str">
        <v/>
      </c>
      <c r="I5108" s="4" t="str">
        <v/>
      </c>
    </row>
    <row r="5109" spans="5:9" ht="16.5" hidden="1">
      <c r="E5109" s="4" t="str">
        <v/>
      </c>
      <c r="F5109" s="102" t="str">
        <f ca="1">IFERROR(__xludf.DUMMYFUNCTION("IMPORTRANGE(H5109,""IDENTITAS UNIT!D9"")"),"#N/A")</f>
        <v>#N/A</v>
      </c>
      <c r="H5109" s="4" t="str">
        <v/>
      </c>
      <c r="I5109" s="4" t="str">
        <v/>
      </c>
    </row>
    <row r="5110" spans="5:9" ht="16.5" hidden="1">
      <c r="E5110" s="4" t="str">
        <v/>
      </c>
      <c r="F5110" s="102" t="str">
        <f ca="1">IFERROR(__xludf.DUMMYFUNCTION("IMPORTRANGE(H5110,""IDENTITAS UNIT!D9"")"),"#N/A")</f>
        <v>#N/A</v>
      </c>
      <c r="H5110" s="4" t="str">
        <v/>
      </c>
      <c r="I5110" s="4" t="str">
        <v/>
      </c>
    </row>
    <row r="5111" spans="5:9" ht="16.5" hidden="1">
      <c r="E5111" s="4" t="str">
        <v/>
      </c>
      <c r="F5111" s="102" t="str">
        <f ca="1">IFERROR(__xludf.DUMMYFUNCTION("IMPORTRANGE(H5111,""IDENTITAS UNIT!D9"")"),"#N/A")</f>
        <v>#N/A</v>
      </c>
      <c r="H5111" s="4" t="str">
        <v/>
      </c>
      <c r="I5111" s="4" t="str">
        <v/>
      </c>
    </row>
    <row r="5112" spans="5:9" ht="16.5" hidden="1">
      <c r="E5112" s="4" t="str">
        <v/>
      </c>
      <c r="F5112" s="102" t="str">
        <f ca="1">IFERROR(__xludf.DUMMYFUNCTION("IMPORTRANGE(H5112,""IDENTITAS UNIT!D9"")"),"#N/A")</f>
        <v>#N/A</v>
      </c>
      <c r="H5112" s="4" t="str">
        <v/>
      </c>
      <c r="I5112" s="4" t="str">
        <v/>
      </c>
    </row>
    <row r="5113" spans="5:9" ht="16.5" hidden="1">
      <c r="E5113" s="4" t="str">
        <v/>
      </c>
      <c r="F5113" s="102" t="str">
        <f ca="1">IFERROR(__xludf.DUMMYFUNCTION("IMPORTRANGE(H5113,""IDENTITAS UNIT!D9"")"),"#N/A")</f>
        <v>#N/A</v>
      </c>
      <c r="H5113" s="4" t="str">
        <v/>
      </c>
      <c r="I5113" s="4" t="str">
        <v/>
      </c>
    </row>
    <row r="5114" spans="5:9" ht="16.5" hidden="1">
      <c r="E5114" s="4" t="str">
        <v/>
      </c>
      <c r="F5114" s="102" t="str">
        <f ca="1">IFERROR(__xludf.DUMMYFUNCTION("IMPORTRANGE(H5114,""IDENTITAS UNIT!D9"")"),"#N/A")</f>
        <v>#N/A</v>
      </c>
      <c r="H5114" s="4" t="str">
        <v/>
      </c>
      <c r="I5114" s="4" t="str">
        <v/>
      </c>
    </row>
    <row r="5115" spans="5:9" ht="16.5" hidden="1">
      <c r="E5115" s="4" t="str">
        <v/>
      </c>
      <c r="F5115" s="102" t="str">
        <f ca="1">IFERROR(__xludf.DUMMYFUNCTION("IMPORTRANGE(H5115,""IDENTITAS UNIT!D9"")"),"#N/A")</f>
        <v>#N/A</v>
      </c>
      <c r="H5115" s="4" t="str">
        <v/>
      </c>
      <c r="I5115" s="4" t="str">
        <v/>
      </c>
    </row>
    <row r="5116" spans="5:9" ht="16.5" hidden="1">
      <c r="E5116" s="4" t="str">
        <v/>
      </c>
      <c r="F5116" s="102" t="str">
        <f ca="1">IFERROR(__xludf.DUMMYFUNCTION("IMPORTRANGE(H5116,""IDENTITAS UNIT!D9"")"),"#N/A")</f>
        <v>#N/A</v>
      </c>
      <c r="H5116" s="4" t="str">
        <v/>
      </c>
      <c r="I5116" s="4" t="str">
        <v/>
      </c>
    </row>
    <row r="5117" spans="5:9" ht="16.5" hidden="1">
      <c r="E5117" s="4" t="str">
        <v/>
      </c>
      <c r="F5117" s="102" t="str">
        <f ca="1">IFERROR(__xludf.DUMMYFUNCTION("IMPORTRANGE(H5117,""IDENTITAS UNIT!D9"")"),"#N/A")</f>
        <v>#N/A</v>
      </c>
      <c r="H5117" s="4" t="str">
        <v/>
      </c>
      <c r="I5117" s="4" t="str">
        <v/>
      </c>
    </row>
    <row r="5118" spans="5:9" ht="16.5" hidden="1">
      <c r="E5118" s="4" t="str">
        <v/>
      </c>
      <c r="F5118" s="102" t="str">
        <f ca="1">IFERROR(__xludf.DUMMYFUNCTION("IMPORTRANGE(H5118,""IDENTITAS UNIT!D9"")"),"#N/A")</f>
        <v>#N/A</v>
      </c>
      <c r="H5118" s="4" t="str">
        <v/>
      </c>
      <c r="I5118" s="4" t="str">
        <v/>
      </c>
    </row>
    <row r="5119" spans="5:9" ht="16.5" hidden="1">
      <c r="E5119" s="4" t="str">
        <v/>
      </c>
      <c r="F5119" s="102" t="str">
        <f ca="1">IFERROR(__xludf.DUMMYFUNCTION("IMPORTRANGE(H5119,""IDENTITAS UNIT!D9"")"),"#N/A")</f>
        <v>#N/A</v>
      </c>
      <c r="H5119" s="4" t="str">
        <v/>
      </c>
      <c r="I5119" s="4" t="str">
        <v/>
      </c>
    </row>
    <row r="5120" spans="5:9" ht="16.5" hidden="1">
      <c r="E5120" s="4" t="str">
        <v/>
      </c>
      <c r="F5120" s="102" t="str">
        <f ca="1">IFERROR(__xludf.DUMMYFUNCTION("IMPORTRANGE(H5120,""IDENTITAS UNIT!D9"")"),"#N/A")</f>
        <v>#N/A</v>
      </c>
      <c r="H5120" s="4" t="str">
        <v/>
      </c>
      <c r="I5120" s="4" t="str">
        <v/>
      </c>
    </row>
    <row r="5121" spans="5:9" ht="16.5" hidden="1">
      <c r="E5121" s="4" t="str">
        <v/>
      </c>
      <c r="F5121" s="102" t="str">
        <f ca="1">IFERROR(__xludf.DUMMYFUNCTION("IMPORTRANGE(H5121,""IDENTITAS UNIT!D9"")"),"#N/A")</f>
        <v>#N/A</v>
      </c>
      <c r="H5121" s="4" t="str">
        <v/>
      </c>
      <c r="I5121" s="4" t="str">
        <v/>
      </c>
    </row>
    <row r="5122" spans="5:9" ht="16.5" hidden="1">
      <c r="E5122" s="4" t="str">
        <v/>
      </c>
      <c r="F5122" s="102" t="str">
        <f ca="1">IFERROR(__xludf.DUMMYFUNCTION("IMPORTRANGE(H5122,""IDENTITAS UNIT!D9"")"),"#N/A")</f>
        <v>#N/A</v>
      </c>
      <c r="H5122" s="4" t="str">
        <v/>
      </c>
      <c r="I5122" s="4" t="str">
        <v/>
      </c>
    </row>
    <row r="5123" spans="5:9" ht="16.5" hidden="1">
      <c r="E5123" s="4" t="str">
        <v/>
      </c>
      <c r="F5123" s="102" t="str">
        <f ca="1">IFERROR(__xludf.DUMMYFUNCTION("IMPORTRANGE(H5123,""IDENTITAS UNIT!D9"")"),"#N/A")</f>
        <v>#N/A</v>
      </c>
      <c r="H5123" s="4" t="str">
        <v/>
      </c>
      <c r="I5123" s="4" t="str">
        <v/>
      </c>
    </row>
    <row r="5124" spans="5:9" ht="16.5" hidden="1">
      <c r="E5124" s="4" t="str">
        <v/>
      </c>
      <c r="F5124" s="102" t="str">
        <f ca="1">IFERROR(__xludf.DUMMYFUNCTION("IMPORTRANGE(H5124,""IDENTITAS UNIT!D9"")"),"#N/A")</f>
        <v>#N/A</v>
      </c>
      <c r="H5124" s="4" t="str">
        <v/>
      </c>
      <c r="I5124" s="4" t="str">
        <v/>
      </c>
    </row>
    <row r="5125" spans="5:9" ht="16.5" hidden="1">
      <c r="E5125" s="4" t="str">
        <v/>
      </c>
      <c r="F5125" s="102" t="str">
        <f ca="1">IFERROR(__xludf.DUMMYFUNCTION("IMPORTRANGE(H5125,""IDENTITAS UNIT!D9"")"),"#N/A")</f>
        <v>#N/A</v>
      </c>
      <c r="H5125" s="4" t="str">
        <v/>
      </c>
      <c r="I5125" s="4" t="str">
        <v/>
      </c>
    </row>
    <row r="5126" spans="5:9" ht="16.5" hidden="1">
      <c r="E5126" s="4" t="str">
        <v/>
      </c>
      <c r="F5126" s="102" t="str">
        <f ca="1">IFERROR(__xludf.DUMMYFUNCTION("IMPORTRANGE(H5126,""IDENTITAS UNIT!D9"")"),"#N/A")</f>
        <v>#N/A</v>
      </c>
      <c r="H5126" s="4" t="str">
        <v/>
      </c>
      <c r="I5126" s="4" t="str">
        <v/>
      </c>
    </row>
    <row r="5127" spans="5:9" ht="16.5" hidden="1">
      <c r="E5127" s="4" t="str">
        <v/>
      </c>
      <c r="F5127" s="102" t="str">
        <f ca="1">IFERROR(__xludf.DUMMYFUNCTION("IMPORTRANGE(H5127,""IDENTITAS UNIT!D9"")"),"#N/A")</f>
        <v>#N/A</v>
      </c>
      <c r="H5127" s="4" t="str">
        <v/>
      </c>
      <c r="I5127" s="4" t="str">
        <v/>
      </c>
    </row>
    <row r="5128" spans="5:9" ht="16.5" hidden="1">
      <c r="E5128" s="4" t="str">
        <v/>
      </c>
      <c r="F5128" s="102" t="str">
        <f ca="1">IFERROR(__xludf.DUMMYFUNCTION("IMPORTRANGE(H5128,""IDENTITAS UNIT!D9"")"),"#N/A")</f>
        <v>#N/A</v>
      </c>
      <c r="H5128" s="4" t="str">
        <v/>
      </c>
      <c r="I5128" s="4" t="str">
        <v/>
      </c>
    </row>
    <row r="5129" spans="5:9" ht="16.5" hidden="1">
      <c r="E5129" s="4" t="str">
        <v/>
      </c>
      <c r="F5129" s="102" t="str">
        <f ca="1">IFERROR(__xludf.DUMMYFUNCTION("IMPORTRANGE(H5129,""IDENTITAS UNIT!D9"")"),"#N/A")</f>
        <v>#N/A</v>
      </c>
      <c r="H5129" s="4" t="str">
        <v/>
      </c>
      <c r="I5129" s="4" t="str">
        <v/>
      </c>
    </row>
    <row r="5130" spans="5:9" ht="16.5" hidden="1">
      <c r="E5130" s="4" t="str">
        <v/>
      </c>
      <c r="F5130" s="102" t="str">
        <f ca="1">IFERROR(__xludf.DUMMYFUNCTION("IMPORTRANGE(H5130,""IDENTITAS UNIT!D9"")"),"#N/A")</f>
        <v>#N/A</v>
      </c>
      <c r="H5130" s="4" t="str">
        <v/>
      </c>
      <c r="I5130" s="4" t="str">
        <v/>
      </c>
    </row>
    <row r="5131" spans="5:9" ht="16.5" hidden="1">
      <c r="E5131" s="4" t="str">
        <v/>
      </c>
      <c r="F5131" s="102" t="str">
        <f ca="1">IFERROR(__xludf.DUMMYFUNCTION("IMPORTRANGE(H5131,""IDENTITAS UNIT!D9"")"),"#N/A")</f>
        <v>#N/A</v>
      </c>
      <c r="H5131" s="4" t="str">
        <v/>
      </c>
      <c r="I5131" s="4" t="str">
        <v/>
      </c>
    </row>
    <row r="5132" spans="5:9" ht="16.5" hidden="1">
      <c r="E5132" s="4" t="str">
        <v/>
      </c>
      <c r="F5132" s="102" t="str">
        <f ca="1">IFERROR(__xludf.DUMMYFUNCTION("IMPORTRANGE(H5132,""IDENTITAS UNIT!D9"")"),"#N/A")</f>
        <v>#N/A</v>
      </c>
      <c r="H5132" s="4" t="str">
        <v/>
      </c>
      <c r="I5132" s="4" t="str">
        <v/>
      </c>
    </row>
    <row r="5133" spans="5:9" ht="16.5" hidden="1">
      <c r="E5133" s="4" t="str">
        <v/>
      </c>
      <c r="F5133" s="102" t="str">
        <f ca="1">IFERROR(__xludf.DUMMYFUNCTION("IMPORTRANGE(H5133,""IDENTITAS UNIT!D9"")"),"#N/A")</f>
        <v>#N/A</v>
      </c>
      <c r="H5133" s="4" t="str">
        <v/>
      </c>
      <c r="I5133" s="4" t="str">
        <v/>
      </c>
    </row>
    <row r="5134" spans="5:9" ht="16.5" hidden="1">
      <c r="E5134" s="4" t="str">
        <v/>
      </c>
      <c r="F5134" s="102" t="str">
        <f ca="1">IFERROR(__xludf.DUMMYFUNCTION("IMPORTRANGE(H5134,""IDENTITAS UNIT!D9"")"),"#N/A")</f>
        <v>#N/A</v>
      </c>
      <c r="H5134" s="4" t="str">
        <v/>
      </c>
      <c r="I5134" s="4" t="str">
        <v/>
      </c>
    </row>
    <row r="5135" spans="5:9" ht="16.5" hidden="1">
      <c r="E5135" s="4" t="str">
        <v/>
      </c>
      <c r="F5135" s="102" t="str">
        <f ca="1">IFERROR(__xludf.DUMMYFUNCTION("IMPORTRANGE(H5135,""IDENTITAS UNIT!D9"")"),"#N/A")</f>
        <v>#N/A</v>
      </c>
      <c r="H5135" s="4" t="str">
        <v/>
      </c>
      <c r="I5135" s="4" t="str">
        <v/>
      </c>
    </row>
    <row r="5136" spans="5:9" ht="16.5" hidden="1">
      <c r="E5136" s="4" t="str">
        <v/>
      </c>
      <c r="F5136" s="102" t="str">
        <f ca="1">IFERROR(__xludf.DUMMYFUNCTION("IMPORTRANGE(H5136,""IDENTITAS UNIT!D9"")"),"#N/A")</f>
        <v>#N/A</v>
      </c>
      <c r="H5136" s="4" t="str">
        <v/>
      </c>
      <c r="I5136" s="4" t="str">
        <v/>
      </c>
    </row>
    <row r="5137" spans="5:9" ht="16.5" hidden="1">
      <c r="E5137" s="4" t="str">
        <v/>
      </c>
      <c r="F5137" s="102" t="str">
        <f ca="1">IFERROR(__xludf.DUMMYFUNCTION("IMPORTRANGE(H5137,""IDENTITAS UNIT!D9"")"),"#N/A")</f>
        <v>#N/A</v>
      </c>
      <c r="H5137" s="4" t="str">
        <v/>
      </c>
      <c r="I5137" s="4" t="str">
        <v/>
      </c>
    </row>
    <row r="5138" spans="5:9" ht="16.5" hidden="1">
      <c r="E5138" s="4" t="str">
        <v/>
      </c>
      <c r="F5138" s="102" t="str">
        <f ca="1">IFERROR(__xludf.DUMMYFUNCTION("IMPORTRANGE(H5138,""IDENTITAS UNIT!D9"")"),"#N/A")</f>
        <v>#N/A</v>
      </c>
      <c r="H5138" s="4" t="str">
        <v/>
      </c>
      <c r="I5138" s="4" t="str">
        <v/>
      </c>
    </row>
    <row r="5139" spans="5:9" ht="16.5" hidden="1">
      <c r="E5139" s="4" t="str">
        <v/>
      </c>
      <c r="F5139" s="102" t="str">
        <f ca="1">IFERROR(__xludf.DUMMYFUNCTION("IMPORTRANGE(H5139,""IDENTITAS UNIT!D9"")"),"#N/A")</f>
        <v>#N/A</v>
      </c>
      <c r="H5139" s="4" t="str">
        <v/>
      </c>
      <c r="I5139" s="4" t="str">
        <v/>
      </c>
    </row>
    <row r="5140" spans="5:9" ht="16.5" hidden="1">
      <c r="E5140" s="4" t="str">
        <v/>
      </c>
      <c r="F5140" s="102" t="str">
        <f ca="1">IFERROR(__xludf.DUMMYFUNCTION("IMPORTRANGE(H5140,""IDENTITAS UNIT!D9"")"),"#N/A")</f>
        <v>#N/A</v>
      </c>
      <c r="H5140" s="4" t="str">
        <v/>
      </c>
      <c r="I5140" s="4" t="str">
        <v/>
      </c>
    </row>
    <row r="5141" spans="5:9" ht="16.5" hidden="1">
      <c r="E5141" s="4" t="str">
        <v/>
      </c>
      <c r="F5141" s="102" t="str">
        <f ca="1">IFERROR(__xludf.DUMMYFUNCTION("IMPORTRANGE(H5141,""IDENTITAS UNIT!D9"")"),"#N/A")</f>
        <v>#N/A</v>
      </c>
      <c r="H5141" s="4" t="str">
        <v/>
      </c>
      <c r="I5141" s="4" t="str">
        <v/>
      </c>
    </row>
    <row r="5142" spans="5:9" ht="16.5" hidden="1">
      <c r="E5142" s="4" t="str">
        <v/>
      </c>
      <c r="F5142" s="102" t="str">
        <f ca="1">IFERROR(__xludf.DUMMYFUNCTION("IMPORTRANGE(H5142,""IDENTITAS UNIT!D9"")"),"#N/A")</f>
        <v>#N/A</v>
      </c>
      <c r="H5142" s="4" t="str">
        <v/>
      </c>
      <c r="I5142" s="4" t="str">
        <v/>
      </c>
    </row>
    <row r="5143" spans="5:9" ht="16.5" hidden="1">
      <c r="E5143" s="4" t="str">
        <v/>
      </c>
      <c r="F5143" s="102" t="str">
        <f ca="1">IFERROR(__xludf.DUMMYFUNCTION("IMPORTRANGE(H5143,""IDENTITAS UNIT!D9"")"),"#N/A")</f>
        <v>#N/A</v>
      </c>
      <c r="H5143" s="4" t="str">
        <v/>
      </c>
      <c r="I5143" s="4" t="str">
        <v/>
      </c>
    </row>
    <row r="5144" spans="5:9" ht="16.5" hidden="1">
      <c r="E5144" s="4" t="str">
        <v/>
      </c>
      <c r="F5144" s="102" t="str">
        <f ca="1">IFERROR(__xludf.DUMMYFUNCTION("IMPORTRANGE(H5144,""IDENTITAS UNIT!D9"")"),"#N/A")</f>
        <v>#N/A</v>
      </c>
      <c r="H5144" s="4" t="str">
        <v/>
      </c>
      <c r="I5144" s="4" t="str">
        <v/>
      </c>
    </row>
    <row r="5145" spans="5:9" ht="16.5" hidden="1">
      <c r="E5145" s="4" t="str">
        <v/>
      </c>
      <c r="F5145" s="102" t="str">
        <f ca="1">IFERROR(__xludf.DUMMYFUNCTION("IMPORTRANGE(H5145,""IDENTITAS UNIT!D9"")"),"#N/A")</f>
        <v>#N/A</v>
      </c>
      <c r="H5145" s="4" t="str">
        <v/>
      </c>
      <c r="I5145" s="4" t="str">
        <v/>
      </c>
    </row>
    <row r="5146" spans="5:9" ht="16.5" hidden="1">
      <c r="E5146" s="4" t="str">
        <v/>
      </c>
      <c r="F5146" s="102" t="str">
        <f ca="1">IFERROR(__xludf.DUMMYFUNCTION("IMPORTRANGE(H5146,""IDENTITAS UNIT!D9"")"),"#N/A")</f>
        <v>#N/A</v>
      </c>
      <c r="H5146" s="4" t="str">
        <v/>
      </c>
      <c r="I5146" s="4" t="str">
        <v/>
      </c>
    </row>
    <row r="5147" spans="5:9" ht="16.5" hidden="1">
      <c r="E5147" s="4" t="str">
        <v/>
      </c>
      <c r="F5147" s="102" t="str">
        <f ca="1">IFERROR(__xludf.DUMMYFUNCTION("IMPORTRANGE(H5147,""IDENTITAS UNIT!D9"")"),"#N/A")</f>
        <v>#N/A</v>
      </c>
      <c r="H5147" s="4" t="str">
        <v/>
      </c>
      <c r="I5147" s="4" t="str">
        <v/>
      </c>
    </row>
    <row r="5148" spans="5:9" ht="16.5" hidden="1">
      <c r="E5148" s="4" t="str">
        <v/>
      </c>
      <c r="F5148" s="102" t="str">
        <f ca="1">IFERROR(__xludf.DUMMYFUNCTION("IMPORTRANGE(H5148,""IDENTITAS UNIT!D9"")"),"#N/A")</f>
        <v>#N/A</v>
      </c>
      <c r="H5148" s="4" t="str">
        <v/>
      </c>
      <c r="I5148" s="4" t="str">
        <v/>
      </c>
    </row>
    <row r="5149" spans="5:9" ht="16.5" hidden="1">
      <c r="E5149" s="4" t="str">
        <v/>
      </c>
      <c r="F5149" s="102" t="str">
        <f ca="1">IFERROR(__xludf.DUMMYFUNCTION("IMPORTRANGE(H5149,""IDENTITAS UNIT!D9"")"),"#N/A")</f>
        <v>#N/A</v>
      </c>
      <c r="H5149" s="4" t="str">
        <v/>
      </c>
      <c r="I5149" s="4" t="str">
        <v/>
      </c>
    </row>
    <row r="5150" spans="5:9" ht="16.5" hidden="1">
      <c r="E5150" s="4" t="str">
        <v/>
      </c>
      <c r="F5150" s="102" t="str">
        <f ca="1">IFERROR(__xludf.DUMMYFUNCTION("IMPORTRANGE(H5150,""IDENTITAS UNIT!D9"")"),"#N/A")</f>
        <v>#N/A</v>
      </c>
      <c r="H5150" s="4" t="str">
        <v/>
      </c>
      <c r="I5150" s="4" t="str">
        <v/>
      </c>
    </row>
    <row r="5151" spans="5:9" ht="16.5" hidden="1">
      <c r="E5151" s="4" t="str">
        <v/>
      </c>
      <c r="F5151" s="102" t="str">
        <f ca="1">IFERROR(__xludf.DUMMYFUNCTION("IMPORTRANGE(H5151,""IDENTITAS UNIT!D9"")"),"#N/A")</f>
        <v>#N/A</v>
      </c>
      <c r="H5151" s="4" t="str">
        <v/>
      </c>
      <c r="I5151" s="4" t="str">
        <v/>
      </c>
    </row>
    <row r="5152" spans="5:9" ht="16.5" hidden="1">
      <c r="E5152" s="4" t="str">
        <v/>
      </c>
      <c r="F5152" s="102" t="str">
        <f ca="1">IFERROR(__xludf.DUMMYFUNCTION("IMPORTRANGE(H5152,""IDENTITAS UNIT!D9"")"),"#N/A")</f>
        <v>#N/A</v>
      </c>
      <c r="H5152" s="4" t="str">
        <v/>
      </c>
      <c r="I5152" s="4" t="str">
        <v/>
      </c>
    </row>
    <row r="5153" spans="5:9" ht="16.5" hidden="1">
      <c r="E5153" s="4" t="str">
        <v/>
      </c>
      <c r="F5153" s="102" t="str">
        <f ca="1">IFERROR(__xludf.DUMMYFUNCTION("IMPORTRANGE(H5153,""IDENTITAS UNIT!D9"")"),"#N/A")</f>
        <v>#N/A</v>
      </c>
      <c r="H5153" s="4" t="str">
        <v/>
      </c>
      <c r="I5153" s="4" t="str">
        <v/>
      </c>
    </row>
    <row r="5154" spans="5:9" ht="16.5" hidden="1">
      <c r="E5154" s="4" t="str">
        <v/>
      </c>
      <c r="F5154" s="102" t="str">
        <f ca="1">IFERROR(__xludf.DUMMYFUNCTION("IMPORTRANGE(H5154,""IDENTITAS UNIT!D9"")"),"#N/A")</f>
        <v>#N/A</v>
      </c>
      <c r="H5154" s="4" t="str">
        <v/>
      </c>
      <c r="I5154" s="4" t="str">
        <v/>
      </c>
    </row>
    <row r="5155" spans="5:9" ht="16.5" hidden="1">
      <c r="E5155" s="4" t="str">
        <v/>
      </c>
      <c r="F5155" s="102" t="str">
        <f ca="1">IFERROR(__xludf.DUMMYFUNCTION("IMPORTRANGE(H5155,""IDENTITAS UNIT!D9"")"),"#N/A")</f>
        <v>#N/A</v>
      </c>
      <c r="H5155" s="4" t="str">
        <v/>
      </c>
      <c r="I5155" s="4" t="str">
        <v/>
      </c>
    </row>
    <row r="5156" spans="5:9" ht="16.5" hidden="1">
      <c r="E5156" s="4" t="str">
        <v/>
      </c>
      <c r="F5156" s="102" t="str">
        <f ca="1">IFERROR(__xludf.DUMMYFUNCTION("IMPORTRANGE(H5156,""IDENTITAS UNIT!D9"")"),"#N/A")</f>
        <v>#N/A</v>
      </c>
      <c r="H5156" s="4" t="str">
        <v/>
      </c>
      <c r="I5156" s="4" t="str">
        <v/>
      </c>
    </row>
    <row r="5157" spans="5:9" ht="16.5" hidden="1">
      <c r="E5157" s="4" t="str">
        <v/>
      </c>
      <c r="F5157" s="102" t="str">
        <f ca="1">IFERROR(__xludf.DUMMYFUNCTION("IMPORTRANGE(H5157,""IDENTITAS UNIT!D9"")"),"#N/A")</f>
        <v>#N/A</v>
      </c>
      <c r="H5157" s="4" t="str">
        <v/>
      </c>
      <c r="I5157" s="4" t="str">
        <v/>
      </c>
    </row>
    <row r="5158" spans="5:9" ht="16.5" hidden="1">
      <c r="E5158" s="4" t="str">
        <v/>
      </c>
      <c r="F5158" s="102" t="str">
        <f ca="1">IFERROR(__xludf.DUMMYFUNCTION("IMPORTRANGE(H5158,""IDENTITAS UNIT!D9"")"),"#N/A")</f>
        <v>#N/A</v>
      </c>
      <c r="H5158" s="4" t="str">
        <v/>
      </c>
      <c r="I5158" s="4" t="str">
        <v/>
      </c>
    </row>
    <row r="5159" spans="5:9" ht="16.5" hidden="1">
      <c r="E5159" s="4" t="str">
        <v/>
      </c>
      <c r="F5159" s="102" t="str">
        <f ca="1">IFERROR(__xludf.DUMMYFUNCTION("IMPORTRANGE(H5159,""IDENTITAS UNIT!D9"")"),"#N/A")</f>
        <v>#N/A</v>
      </c>
      <c r="H5159" s="4" t="str">
        <v/>
      </c>
      <c r="I5159" s="4" t="str">
        <v/>
      </c>
    </row>
    <row r="5160" spans="5:9" ht="16.5" hidden="1">
      <c r="E5160" s="4" t="str">
        <v/>
      </c>
      <c r="F5160" s="102" t="str">
        <f ca="1">IFERROR(__xludf.DUMMYFUNCTION("IMPORTRANGE(H5160,""IDENTITAS UNIT!D9"")"),"#N/A")</f>
        <v>#N/A</v>
      </c>
      <c r="H5160" s="4" t="str">
        <v/>
      </c>
      <c r="I5160" s="4" t="str">
        <v/>
      </c>
    </row>
    <row r="5161" spans="5:9" ht="16.5" hidden="1">
      <c r="E5161" s="4" t="str">
        <v/>
      </c>
      <c r="F5161" s="102" t="str">
        <f ca="1">IFERROR(__xludf.DUMMYFUNCTION("IMPORTRANGE(H5161,""IDENTITAS UNIT!D9"")"),"#N/A")</f>
        <v>#N/A</v>
      </c>
      <c r="H5161" s="4" t="str">
        <v/>
      </c>
      <c r="I5161" s="4" t="str">
        <v/>
      </c>
    </row>
    <row r="5162" spans="5:9" ht="16.5" hidden="1">
      <c r="E5162" s="4" t="str">
        <v/>
      </c>
      <c r="F5162" s="102" t="str">
        <f ca="1">IFERROR(__xludf.DUMMYFUNCTION("IMPORTRANGE(H5162,""IDENTITAS UNIT!D9"")"),"#N/A")</f>
        <v>#N/A</v>
      </c>
      <c r="H5162" s="4" t="str">
        <v/>
      </c>
      <c r="I5162" s="4" t="str">
        <v/>
      </c>
    </row>
    <row r="5163" spans="5:9" ht="16.5" hidden="1">
      <c r="E5163" s="4" t="str">
        <v/>
      </c>
      <c r="F5163" s="102" t="str">
        <f ca="1">IFERROR(__xludf.DUMMYFUNCTION("IMPORTRANGE(H5163,""IDENTITAS UNIT!D9"")"),"#N/A")</f>
        <v>#N/A</v>
      </c>
      <c r="H5163" s="4" t="str">
        <v/>
      </c>
      <c r="I5163" s="4" t="str">
        <v/>
      </c>
    </row>
    <row r="5164" spans="5:9" ht="16.5" hidden="1">
      <c r="E5164" s="4" t="str">
        <v/>
      </c>
      <c r="F5164" s="102" t="str">
        <f ca="1">IFERROR(__xludf.DUMMYFUNCTION("IMPORTRANGE(H5164,""IDENTITAS UNIT!D9"")"),"#N/A")</f>
        <v>#N/A</v>
      </c>
      <c r="H5164" s="4" t="str">
        <v/>
      </c>
      <c r="I5164" s="4" t="str">
        <v/>
      </c>
    </row>
    <row r="5165" spans="5:9" ht="16.5" hidden="1">
      <c r="E5165" s="4" t="str">
        <v/>
      </c>
      <c r="F5165" s="102" t="str">
        <f ca="1">IFERROR(__xludf.DUMMYFUNCTION("IMPORTRANGE(H5165,""IDENTITAS UNIT!D9"")"),"#N/A")</f>
        <v>#N/A</v>
      </c>
      <c r="H5165" s="4" t="str">
        <v/>
      </c>
      <c r="I5165" s="4" t="str">
        <v/>
      </c>
    </row>
    <row r="5166" spans="5:9" ht="16.5" hidden="1">
      <c r="E5166" s="4" t="str">
        <v/>
      </c>
      <c r="F5166" s="102" t="str">
        <f ca="1">IFERROR(__xludf.DUMMYFUNCTION("IMPORTRANGE(H5166,""IDENTITAS UNIT!D9"")"),"#N/A")</f>
        <v>#N/A</v>
      </c>
      <c r="H5166" s="4" t="str">
        <v/>
      </c>
      <c r="I5166" s="4" t="str">
        <v/>
      </c>
    </row>
    <row r="5167" spans="5:9" ht="16.5" hidden="1">
      <c r="E5167" s="4" t="str">
        <v/>
      </c>
      <c r="F5167" s="102" t="str">
        <f ca="1">IFERROR(__xludf.DUMMYFUNCTION("IMPORTRANGE(H5167,""IDENTITAS UNIT!D9"")"),"#N/A")</f>
        <v>#N/A</v>
      </c>
      <c r="H5167" s="4" t="str">
        <v/>
      </c>
      <c r="I5167" s="4" t="str">
        <v/>
      </c>
    </row>
    <row r="5168" spans="5:9" ht="16.5" hidden="1">
      <c r="E5168" s="4" t="str">
        <v/>
      </c>
      <c r="F5168" s="102" t="str">
        <f ca="1">IFERROR(__xludf.DUMMYFUNCTION("IMPORTRANGE(H5168,""IDENTITAS UNIT!D9"")"),"#N/A")</f>
        <v>#N/A</v>
      </c>
      <c r="H5168" s="4" t="str">
        <v/>
      </c>
      <c r="I5168" s="4" t="str">
        <v/>
      </c>
    </row>
    <row r="5169" spans="5:9" ht="16.5" hidden="1">
      <c r="E5169" s="4" t="str">
        <v/>
      </c>
      <c r="F5169" s="102" t="str">
        <f ca="1">IFERROR(__xludf.DUMMYFUNCTION("IMPORTRANGE(H5169,""IDENTITAS UNIT!D9"")"),"#N/A")</f>
        <v>#N/A</v>
      </c>
      <c r="H5169" s="4" t="str">
        <v/>
      </c>
      <c r="I5169" s="4" t="str">
        <v/>
      </c>
    </row>
    <row r="5170" spans="5:9" ht="16.5" hidden="1">
      <c r="E5170" s="4" t="str">
        <v/>
      </c>
      <c r="F5170" s="102" t="str">
        <f ca="1">IFERROR(__xludf.DUMMYFUNCTION("IMPORTRANGE(H5170,""IDENTITAS UNIT!D9"")"),"#N/A")</f>
        <v>#N/A</v>
      </c>
      <c r="H5170" s="4" t="str">
        <v/>
      </c>
      <c r="I5170" s="4" t="str">
        <v/>
      </c>
    </row>
    <row r="5171" spans="5:9" ht="16.5" hidden="1">
      <c r="E5171" s="4" t="str">
        <v/>
      </c>
      <c r="F5171" s="102" t="str">
        <f ca="1">IFERROR(__xludf.DUMMYFUNCTION("IMPORTRANGE(H5171,""IDENTITAS UNIT!D9"")"),"#N/A")</f>
        <v>#N/A</v>
      </c>
      <c r="H5171" s="4" t="str">
        <v/>
      </c>
      <c r="I5171" s="4" t="str">
        <v/>
      </c>
    </row>
    <row r="5172" spans="5:9" ht="16.5" hidden="1">
      <c r="E5172" s="4" t="str">
        <v/>
      </c>
      <c r="F5172" s="102" t="str">
        <f ca="1">IFERROR(__xludf.DUMMYFUNCTION("IMPORTRANGE(H5172,""IDENTITAS UNIT!D9"")"),"#N/A")</f>
        <v>#N/A</v>
      </c>
      <c r="H5172" s="4" t="str">
        <v/>
      </c>
      <c r="I5172" s="4" t="str">
        <v/>
      </c>
    </row>
    <row r="5173" spans="5:9" ht="16.5" hidden="1">
      <c r="E5173" s="4" t="str">
        <v/>
      </c>
      <c r="F5173" s="102" t="str">
        <f ca="1">IFERROR(__xludf.DUMMYFUNCTION("IMPORTRANGE(H5173,""IDENTITAS UNIT!D9"")"),"#N/A")</f>
        <v>#N/A</v>
      </c>
      <c r="H5173" s="4" t="str">
        <v/>
      </c>
      <c r="I5173" s="4" t="str">
        <v/>
      </c>
    </row>
    <row r="5174" spans="5:9" ht="16.5" hidden="1">
      <c r="E5174" s="4" t="str">
        <v/>
      </c>
      <c r="F5174" s="102" t="str">
        <f ca="1">IFERROR(__xludf.DUMMYFUNCTION("IMPORTRANGE(H5174,""IDENTITAS UNIT!D9"")"),"#N/A")</f>
        <v>#N/A</v>
      </c>
      <c r="H5174" s="4" t="str">
        <v/>
      </c>
      <c r="I5174" s="4" t="str">
        <v/>
      </c>
    </row>
    <row r="5175" spans="5:9" ht="16.5" hidden="1">
      <c r="E5175" s="4" t="str">
        <v/>
      </c>
      <c r="F5175" s="102" t="str">
        <f ca="1">IFERROR(__xludf.DUMMYFUNCTION("IMPORTRANGE(H5175,""IDENTITAS UNIT!D9"")"),"#N/A")</f>
        <v>#N/A</v>
      </c>
      <c r="H5175" s="4" t="str">
        <v/>
      </c>
      <c r="I5175" s="4" t="str">
        <v/>
      </c>
    </row>
    <row r="5176" spans="5:9" ht="16.5" hidden="1">
      <c r="E5176" s="4" t="str">
        <v/>
      </c>
      <c r="F5176" s="102" t="str">
        <f ca="1">IFERROR(__xludf.DUMMYFUNCTION("IMPORTRANGE(H5176,""IDENTITAS UNIT!D9"")"),"#N/A")</f>
        <v>#N/A</v>
      </c>
      <c r="H5176" s="4" t="str">
        <v/>
      </c>
      <c r="I5176" s="4" t="str">
        <v/>
      </c>
    </row>
    <row r="5177" spans="5:9" ht="16.5" hidden="1">
      <c r="E5177" s="4" t="str">
        <v/>
      </c>
      <c r="F5177" s="102" t="str">
        <f ca="1">IFERROR(__xludf.DUMMYFUNCTION("IMPORTRANGE(H5177,""IDENTITAS UNIT!D9"")"),"#N/A")</f>
        <v>#N/A</v>
      </c>
      <c r="H5177" s="4" t="str">
        <v/>
      </c>
      <c r="I5177" s="4" t="str">
        <v/>
      </c>
    </row>
    <row r="5178" spans="5:9" ht="16.5" hidden="1">
      <c r="E5178" s="4" t="str">
        <v/>
      </c>
      <c r="F5178" s="102" t="str">
        <f ca="1">IFERROR(__xludf.DUMMYFUNCTION("IMPORTRANGE(H5178,""IDENTITAS UNIT!D9"")"),"#N/A")</f>
        <v>#N/A</v>
      </c>
      <c r="H5178" s="4" t="str">
        <v/>
      </c>
      <c r="I5178" s="4" t="str">
        <v/>
      </c>
    </row>
    <row r="5179" spans="5:9" ht="16.5" hidden="1">
      <c r="E5179" s="4" t="str">
        <v/>
      </c>
      <c r="F5179" s="102" t="str">
        <f ca="1">IFERROR(__xludf.DUMMYFUNCTION("IMPORTRANGE(H5179,""IDENTITAS UNIT!D9"")"),"#N/A")</f>
        <v>#N/A</v>
      </c>
      <c r="H5179" s="4" t="str">
        <v/>
      </c>
      <c r="I5179" s="4" t="str">
        <v/>
      </c>
    </row>
    <row r="5180" spans="5:9" ht="16.5" hidden="1">
      <c r="E5180" s="4" t="str">
        <v/>
      </c>
      <c r="F5180" s="102" t="str">
        <f ca="1">IFERROR(__xludf.DUMMYFUNCTION("IMPORTRANGE(H5180,""IDENTITAS UNIT!D9"")"),"#N/A")</f>
        <v>#N/A</v>
      </c>
      <c r="H5180" s="4" t="str">
        <v/>
      </c>
      <c r="I5180" s="4" t="str">
        <v/>
      </c>
    </row>
    <row r="5181" spans="5:9" ht="16.5" hidden="1">
      <c r="E5181" s="4" t="str">
        <v/>
      </c>
      <c r="F5181" s="102" t="str">
        <f ca="1">IFERROR(__xludf.DUMMYFUNCTION("IMPORTRANGE(H5181,""IDENTITAS UNIT!D9"")"),"#N/A")</f>
        <v>#N/A</v>
      </c>
      <c r="H5181" s="4" t="str">
        <v/>
      </c>
      <c r="I5181" s="4" t="str">
        <v/>
      </c>
    </row>
    <row r="5182" spans="5:9" ht="16.5" hidden="1">
      <c r="E5182" s="4" t="str">
        <v/>
      </c>
      <c r="F5182" s="102" t="str">
        <f ca="1">IFERROR(__xludf.DUMMYFUNCTION("IMPORTRANGE(H5182,""IDENTITAS UNIT!D9"")"),"#N/A")</f>
        <v>#N/A</v>
      </c>
      <c r="H5182" s="4" t="str">
        <v/>
      </c>
      <c r="I5182" s="4" t="str">
        <v/>
      </c>
    </row>
    <row r="5183" spans="5:9" ht="16.5" hidden="1">
      <c r="E5183" s="4" t="str">
        <v/>
      </c>
      <c r="F5183" s="102" t="str">
        <f ca="1">IFERROR(__xludf.DUMMYFUNCTION("IMPORTRANGE(H5183,""IDENTITAS UNIT!D9"")"),"#N/A")</f>
        <v>#N/A</v>
      </c>
      <c r="H5183" s="4" t="str">
        <v/>
      </c>
      <c r="I5183" s="4" t="str">
        <v/>
      </c>
    </row>
    <row r="5184" spans="5:9" ht="16.5" hidden="1">
      <c r="E5184" s="4" t="str">
        <v/>
      </c>
      <c r="F5184" s="102" t="str">
        <f ca="1">IFERROR(__xludf.DUMMYFUNCTION("IMPORTRANGE(H5184,""IDENTITAS UNIT!D9"")"),"#N/A")</f>
        <v>#N/A</v>
      </c>
      <c r="H5184" s="4" t="str">
        <v/>
      </c>
      <c r="I5184" s="4" t="str">
        <v/>
      </c>
    </row>
    <row r="5185" spans="5:9" ht="16.5" hidden="1">
      <c r="E5185" s="4" t="str">
        <v/>
      </c>
      <c r="F5185" s="102" t="str">
        <f ca="1">IFERROR(__xludf.DUMMYFUNCTION("IMPORTRANGE(H5185,""IDENTITAS UNIT!D9"")"),"#N/A")</f>
        <v>#N/A</v>
      </c>
      <c r="H5185" s="4" t="str">
        <v/>
      </c>
      <c r="I5185" s="4" t="str">
        <v/>
      </c>
    </row>
    <row r="5186" spans="5:9" ht="16.5" hidden="1">
      <c r="E5186" s="4" t="str">
        <v/>
      </c>
      <c r="F5186" s="102" t="str">
        <f ca="1">IFERROR(__xludf.DUMMYFUNCTION("IMPORTRANGE(H5186,""IDENTITAS UNIT!D9"")"),"#N/A")</f>
        <v>#N/A</v>
      </c>
      <c r="H5186" s="4" t="str">
        <v/>
      </c>
      <c r="I5186" s="4" t="str">
        <v/>
      </c>
    </row>
    <row r="5187" spans="5:9" ht="16.5" hidden="1">
      <c r="E5187" s="4" t="str">
        <v/>
      </c>
      <c r="F5187" s="102" t="str">
        <f ca="1">IFERROR(__xludf.DUMMYFUNCTION("IMPORTRANGE(H5187,""IDENTITAS UNIT!D9"")"),"#N/A")</f>
        <v>#N/A</v>
      </c>
      <c r="H5187" s="4" t="str">
        <v/>
      </c>
      <c r="I5187" s="4" t="str">
        <v/>
      </c>
    </row>
    <row r="5188" spans="5:9" ht="16.5" hidden="1">
      <c r="E5188" s="4" t="str">
        <v/>
      </c>
      <c r="F5188" s="102" t="str">
        <f ca="1">IFERROR(__xludf.DUMMYFUNCTION("IMPORTRANGE(H5188,""IDENTITAS UNIT!D9"")"),"#N/A")</f>
        <v>#N/A</v>
      </c>
      <c r="H5188" s="4" t="str">
        <v/>
      </c>
      <c r="I5188" s="4" t="str">
        <v/>
      </c>
    </row>
    <row r="5189" spans="5:9" ht="16.5" hidden="1">
      <c r="E5189" s="4" t="str">
        <v/>
      </c>
      <c r="F5189" s="102" t="str">
        <f ca="1">IFERROR(__xludf.DUMMYFUNCTION("IMPORTRANGE(H5189,""IDENTITAS UNIT!D9"")"),"#N/A")</f>
        <v>#N/A</v>
      </c>
      <c r="H5189" s="4" t="str">
        <v/>
      </c>
      <c r="I5189" s="4" t="str">
        <v/>
      </c>
    </row>
    <row r="5190" spans="5:9" ht="16.5" hidden="1">
      <c r="E5190" s="4" t="str">
        <v/>
      </c>
      <c r="F5190" s="102" t="str">
        <f ca="1">IFERROR(__xludf.DUMMYFUNCTION("IMPORTRANGE(H5190,""IDENTITAS UNIT!D9"")"),"#N/A")</f>
        <v>#N/A</v>
      </c>
      <c r="H5190" s="4" t="str">
        <v/>
      </c>
      <c r="I5190" s="4" t="str">
        <v/>
      </c>
    </row>
    <row r="5191" spans="5:9" ht="16.5" hidden="1">
      <c r="E5191" s="4" t="str">
        <v/>
      </c>
      <c r="F5191" s="102" t="str">
        <f ca="1">IFERROR(__xludf.DUMMYFUNCTION("IMPORTRANGE(H5191,""IDENTITAS UNIT!D9"")"),"#N/A")</f>
        <v>#N/A</v>
      </c>
      <c r="H5191" s="4" t="str">
        <v/>
      </c>
      <c r="I5191" s="4" t="str">
        <v/>
      </c>
    </row>
    <row r="5192" spans="5:9" ht="16.5" hidden="1">
      <c r="E5192" s="4" t="str">
        <v/>
      </c>
      <c r="F5192" s="102" t="str">
        <f ca="1">IFERROR(__xludf.DUMMYFUNCTION("IMPORTRANGE(H5192,""IDENTITAS UNIT!D9"")"),"#N/A")</f>
        <v>#N/A</v>
      </c>
      <c r="H5192" s="4" t="str">
        <v/>
      </c>
      <c r="I5192" s="4" t="str">
        <v/>
      </c>
    </row>
    <row r="5193" spans="5:9" ht="16.5" hidden="1">
      <c r="E5193" s="4" t="str">
        <v/>
      </c>
      <c r="F5193" s="102" t="str">
        <f ca="1">IFERROR(__xludf.DUMMYFUNCTION("IMPORTRANGE(H5193,""IDENTITAS UNIT!D9"")"),"#N/A")</f>
        <v>#N/A</v>
      </c>
      <c r="H5193" s="4" t="str">
        <v/>
      </c>
      <c r="I5193" s="4" t="str">
        <v/>
      </c>
    </row>
    <row r="5194" spans="5:9" ht="16.5" hidden="1">
      <c r="E5194" s="4" t="str">
        <v/>
      </c>
      <c r="F5194" s="102" t="str">
        <f ca="1">IFERROR(__xludf.DUMMYFUNCTION("IMPORTRANGE(H5194,""IDENTITAS UNIT!D9"")"),"#N/A")</f>
        <v>#N/A</v>
      </c>
      <c r="H5194" s="4" t="str">
        <v/>
      </c>
      <c r="I5194" s="4" t="str">
        <v/>
      </c>
    </row>
    <row r="5195" spans="5:9" ht="16.5" hidden="1">
      <c r="E5195" s="4" t="str">
        <v/>
      </c>
      <c r="F5195" s="102" t="str">
        <f ca="1">IFERROR(__xludf.DUMMYFUNCTION("IMPORTRANGE(H5195,""IDENTITAS UNIT!D9"")"),"#N/A")</f>
        <v>#N/A</v>
      </c>
      <c r="H5195" s="4" t="str">
        <v/>
      </c>
      <c r="I5195" s="4" t="str">
        <v/>
      </c>
    </row>
    <row r="5196" spans="5:9" ht="16.5" hidden="1">
      <c r="E5196" s="4" t="str">
        <v/>
      </c>
      <c r="F5196" s="102" t="str">
        <f ca="1">IFERROR(__xludf.DUMMYFUNCTION("IMPORTRANGE(H5196,""IDENTITAS UNIT!D9"")"),"#N/A")</f>
        <v>#N/A</v>
      </c>
      <c r="H5196" s="4" t="str">
        <v/>
      </c>
      <c r="I5196" s="4" t="str">
        <v/>
      </c>
    </row>
    <row r="5197" spans="5:9" ht="16.5" hidden="1">
      <c r="E5197" s="4" t="str">
        <v/>
      </c>
      <c r="F5197" s="102" t="str">
        <f ca="1">IFERROR(__xludf.DUMMYFUNCTION("IMPORTRANGE(H5197,""IDENTITAS UNIT!D9"")"),"#N/A")</f>
        <v>#N/A</v>
      </c>
      <c r="H5197" s="4" t="str">
        <v/>
      </c>
      <c r="I5197" s="4" t="str">
        <v/>
      </c>
    </row>
    <row r="5198" spans="5:9" ht="16.5" hidden="1">
      <c r="E5198" s="4" t="str">
        <v/>
      </c>
      <c r="F5198" s="102" t="str">
        <f ca="1">IFERROR(__xludf.DUMMYFUNCTION("IMPORTRANGE(H5198,""IDENTITAS UNIT!D9"")"),"#N/A")</f>
        <v>#N/A</v>
      </c>
      <c r="H5198" s="4" t="str">
        <v/>
      </c>
      <c r="I5198" s="4" t="str">
        <v/>
      </c>
    </row>
    <row r="5199" spans="5:9" ht="16.5" hidden="1">
      <c r="E5199" s="4" t="str">
        <v/>
      </c>
      <c r="F5199" s="102" t="str">
        <f ca="1">IFERROR(__xludf.DUMMYFUNCTION("IMPORTRANGE(H5199,""IDENTITAS UNIT!D9"")"),"#N/A")</f>
        <v>#N/A</v>
      </c>
      <c r="H5199" s="4" t="str">
        <v/>
      </c>
      <c r="I5199" s="4" t="str">
        <v/>
      </c>
    </row>
    <row r="5200" spans="5:9" ht="16.5" hidden="1">
      <c r="E5200" s="4" t="str">
        <v/>
      </c>
      <c r="F5200" s="102" t="str">
        <f ca="1">IFERROR(__xludf.DUMMYFUNCTION("IMPORTRANGE(H5200,""IDENTITAS UNIT!D9"")"),"#N/A")</f>
        <v>#N/A</v>
      </c>
      <c r="H5200" s="4" t="str">
        <v/>
      </c>
      <c r="I5200" s="4" t="str">
        <v/>
      </c>
    </row>
    <row r="5201" spans="5:9" ht="16.5" hidden="1">
      <c r="E5201" s="4" t="str">
        <v/>
      </c>
      <c r="F5201" s="102" t="str">
        <f ca="1">IFERROR(__xludf.DUMMYFUNCTION("IMPORTRANGE(H5201,""IDENTITAS UNIT!D9"")"),"#N/A")</f>
        <v>#N/A</v>
      </c>
      <c r="H5201" s="4" t="str">
        <v/>
      </c>
      <c r="I5201" s="4" t="str">
        <v/>
      </c>
    </row>
    <row r="5202" spans="5:9" ht="16.5" hidden="1">
      <c r="E5202" s="4" t="str">
        <v/>
      </c>
      <c r="F5202" s="102" t="str">
        <f ca="1">IFERROR(__xludf.DUMMYFUNCTION("IMPORTRANGE(H5202,""IDENTITAS UNIT!D9"")"),"#N/A")</f>
        <v>#N/A</v>
      </c>
      <c r="H5202" s="4" t="str">
        <v/>
      </c>
      <c r="I5202" s="4" t="str">
        <v/>
      </c>
    </row>
    <row r="5203" spans="5:9" ht="16.5" hidden="1">
      <c r="E5203" s="4" t="str">
        <v/>
      </c>
      <c r="F5203" s="102" t="str">
        <f ca="1">IFERROR(__xludf.DUMMYFUNCTION("IMPORTRANGE(H5203,""IDENTITAS UNIT!D9"")"),"#N/A")</f>
        <v>#N/A</v>
      </c>
      <c r="H5203" s="4" t="str">
        <v/>
      </c>
      <c r="I5203" s="4" t="str">
        <v/>
      </c>
    </row>
    <row r="5204" spans="5:9" ht="16.5" hidden="1">
      <c r="E5204" s="4" t="str">
        <v/>
      </c>
      <c r="F5204" s="102" t="str">
        <f ca="1">IFERROR(__xludf.DUMMYFUNCTION("IMPORTRANGE(H5204,""IDENTITAS UNIT!D9"")"),"#N/A")</f>
        <v>#N/A</v>
      </c>
      <c r="H5204" s="4" t="str">
        <v/>
      </c>
      <c r="I5204" s="4" t="str">
        <v/>
      </c>
    </row>
    <row r="5205" spans="5:9" ht="16.5" hidden="1">
      <c r="E5205" s="4" t="str">
        <v/>
      </c>
      <c r="F5205" s="102" t="str">
        <f ca="1">IFERROR(__xludf.DUMMYFUNCTION("IMPORTRANGE(H5205,""IDENTITAS UNIT!D9"")"),"#N/A")</f>
        <v>#N/A</v>
      </c>
      <c r="H5205" s="4" t="str">
        <v/>
      </c>
      <c r="I5205" s="4" t="str">
        <v/>
      </c>
    </row>
    <row r="5206" spans="5:9" ht="16.5" hidden="1">
      <c r="E5206" s="4" t="str">
        <v/>
      </c>
      <c r="F5206" s="102" t="str">
        <f ca="1">IFERROR(__xludf.DUMMYFUNCTION("IMPORTRANGE(H5206,""IDENTITAS UNIT!D9"")"),"#N/A")</f>
        <v>#N/A</v>
      </c>
      <c r="H5206" s="4" t="str">
        <v/>
      </c>
      <c r="I5206" s="4" t="str">
        <v/>
      </c>
    </row>
    <row r="5207" spans="5:9" ht="16.5" hidden="1">
      <c r="E5207" s="4" t="str">
        <v/>
      </c>
      <c r="F5207" s="102" t="str">
        <f ca="1">IFERROR(__xludf.DUMMYFUNCTION("IMPORTRANGE(H5207,""IDENTITAS UNIT!D9"")"),"#N/A")</f>
        <v>#N/A</v>
      </c>
      <c r="H5207" s="4" t="str">
        <v/>
      </c>
      <c r="I5207" s="4" t="str">
        <v/>
      </c>
    </row>
    <row r="5208" spans="5:9" ht="16.5" hidden="1">
      <c r="E5208" s="4" t="str">
        <v/>
      </c>
      <c r="F5208" s="102" t="str">
        <f ca="1">IFERROR(__xludf.DUMMYFUNCTION("IMPORTRANGE(H5208,""IDENTITAS UNIT!D9"")"),"#N/A")</f>
        <v>#N/A</v>
      </c>
      <c r="H5208" s="4" t="str">
        <v/>
      </c>
      <c r="I5208" s="4" t="str">
        <v/>
      </c>
    </row>
    <row r="5209" spans="5:9" ht="16.5" hidden="1">
      <c r="E5209" s="4" t="str">
        <v/>
      </c>
      <c r="F5209" s="102" t="str">
        <f ca="1">IFERROR(__xludf.DUMMYFUNCTION("IMPORTRANGE(H5209,""IDENTITAS UNIT!D9"")"),"#N/A")</f>
        <v>#N/A</v>
      </c>
      <c r="H5209" s="4" t="str">
        <v/>
      </c>
      <c r="I5209" s="4" t="str">
        <v/>
      </c>
    </row>
    <row r="5210" spans="5:9" ht="16.5" hidden="1">
      <c r="E5210" s="4" t="str">
        <v/>
      </c>
      <c r="F5210" s="102" t="str">
        <f ca="1">IFERROR(__xludf.DUMMYFUNCTION("IMPORTRANGE(H5210,""IDENTITAS UNIT!D9"")"),"#N/A")</f>
        <v>#N/A</v>
      </c>
      <c r="H5210" s="4" t="str">
        <v/>
      </c>
      <c r="I5210" s="4" t="str">
        <v/>
      </c>
    </row>
    <row r="5211" spans="5:9" ht="16.5" hidden="1">
      <c r="E5211" s="4" t="str">
        <v/>
      </c>
      <c r="F5211" s="102" t="str">
        <f ca="1">IFERROR(__xludf.DUMMYFUNCTION("IMPORTRANGE(H5211,""IDENTITAS UNIT!D9"")"),"#N/A")</f>
        <v>#N/A</v>
      </c>
      <c r="H5211" s="4" t="str">
        <v/>
      </c>
      <c r="I5211" s="4" t="str">
        <v/>
      </c>
    </row>
    <row r="5212" spans="5:9" ht="16.5" hidden="1">
      <c r="E5212" s="4" t="str">
        <v/>
      </c>
      <c r="F5212" s="102" t="str">
        <f ca="1">IFERROR(__xludf.DUMMYFUNCTION("IMPORTRANGE(H5212,""IDENTITAS UNIT!D9"")"),"#N/A")</f>
        <v>#N/A</v>
      </c>
      <c r="H5212" s="4" t="str">
        <v/>
      </c>
      <c r="I5212" s="4" t="str">
        <v/>
      </c>
    </row>
    <row r="5213" spans="5:9" ht="16.5" hidden="1">
      <c r="E5213" s="4" t="str">
        <v/>
      </c>
      <c r="F5213" s="102" t="str">
        <f ca="1">IFERROR(__xludf.DUMMYFUNCTION("IMPORTRANGE(H5213,""IDENTITAS UNIT!D9"")"),"#N/A")</f>
        <v>#N/A</v>
      </c>
      <c r="H5213" s="4" t="str">
        <v/>
      </c>
      <c r="I5213" s="4" t="str">
        <v/>
      </c>
    </row>
    <row r="5214" spans="5:9" ht="16.5" hidden="1">
      <c r="E5214" s="4" t="str">
        <v/>
      </c>
      <c r="F5214" s="102" t="str">
        <f ca="1">IFERROR(__xludf.DUMMYFUNCTION("IMPORTRANGE(H5214,""IDENTITAS UNIT!D9"")"),"#N/A")</f>
        <v>#N/A</v>
      </c>
      <c r="H5214" s="4" t="str">
        <v/>
      </c>
      <c r="I5214" s="4" t="str">
        <v/>
      </c>
    </row>
    <row r="5215" spans="5:9" ht="16.5" hidden="1">
      <c r="E5215" s="4" t="str">
        <v/>
      </c>
      <c r="F5215" s="102" t="str">
        <f ca="1">IFERROR(__xludf.DUMMYFUNCTION("IMPORTRANGE(H5215,""IDENTITAS UNIT!D9"")"),"#N/A")</f>
        <v>#N/A</v>
      </c>
      <c r="H5215" s="4" t="str">
        <v/>
      </c>
      <c r="I5215" s="4" t="str">
        <v/>
      </c>
    </row>
    <row r="5216" spans="5:9" ht="16.5" hidden="1">
      <c r="E5216" s="4" t="str">
        <v/>
      </c>
      <c r="F5216" s="102" t="str">
        <f ca="1">IFERROR(__xludf.DUMMYFUNCTION("IMPORTRANGE(H5216,""IDENTITAS UNIT!D9"")"),"#N/A")</f>
        <v>#N/A</v>
      </c>
      <c r="H5216" s="4" t="str">
        <v/>
      </c>
      <c r="I5216" s="4" t="str">
        <v/>
      </c>
    </row>
    <row r="5217" spans="5:9" ht="16.5" hidden="1">
      <c r="E5217" s="4" t="str">
        <v/>
      </c>
      <c r="F5217" s="102" t="str">
        <f ca="1">IFERROR(__xludf.DUMMYFUNCTION("IMPORTRANGE(H5217,""IDENTITAS UNIT!D9"")"),"#N/A")</f>
        <v>#N/A</v>
      </c>
      <c r="H5217" s="4" t="str">
        <v/>
      </c>
      <c r="I5217" s="4" t="str">
        <v/>
      </c>
    </row>
    <row r="5218" spans="5:9" ht="16.5" hidden="1">
      <c r="E5218" s="4" t="str">
        <v/>
      </c>
      <c r="F5218" s="102" t="str">
        <f ca="1">IFERROR(__xludf.DUMMYFUNCTION("IMPORTRANGE(H5218,""IDENTITAS UNIT!D9"")"),"#N/A")</f>
        <v>#N/A</v>
      </c>
      <c r="H5218" s="4" t="str">
        <v/>
      </c>
      <c r="I5218" s="4" t="str">
        <v/>
      </c>
    </row>
    <row r="5219" spans="5:9" ht="16.5" hidden="1">
      <c r="E5219" s="4" t="str">
        <v/>
      </c>
      <c r="F5219" s="102" t="str">
        <f ca="1">IFERROR(__xludf.DUMMYFUNCTION("IMPORTRANGE(H5219,""IDENTITAS UNIT!D9"")"),"#N/A")</f>
        <v>#N/A</v>
      </c>
      <c r="H5219" s="4" t="str">
        <v/>
      </c>
      <c r="I5219" s="4" t="str">
        <v/>
      </c>
    </row>
    <row r="5220" spans="5:9" ht="16.5" hidden="1">
      <c r="E5220" s="4" t="str">
        <v/>
      </c>
      <c r="F5220" s="102" t="str">
        <f ca="1">IFERROR(__xludf.DUMMYFUNCTION("IMPORTRANGE(H5220,""IDENTITAS UNIT!D9"")"),"#N/A")</f>
        <v>#N/A</v>
      </c>
      <c r="H5220" s="4" t="str">
        <v/>
      </c>
      <c r="I5220" s="4" t="str">
        <v/>
      </c>
    </row>
    <row r="5221" spans="5:9" ht="16.5" hidden="1">
      <c r="E5221" s="4" t="str">
        <v/>
      </c>
      <c r="F5221" s="102" t="str">
        <f ca="1">IFERROR(__xludf.DUMMYFUNCTION("IMPORTRANGE(H5221,""IDENTITAS UNIT!D9"")"),"#N/A")</f>
        <v>#N/A</v>
      </c>
      <c r="H5221" s="4" t="str">
        <v/>
      </c>
      <c r="I5221" s="4" t="str">
        <v/>
      </c>
    </row>
    <row r="5222" spans="5:9" ht="16.5" hidden="1">
      <c r="E5222" s="4" t="str">
        <v/>
      </c>
      <c r="F5222" s="102" t="str">
        <f ca="1">IFERROR(__xludf.DUMMYFUNCTION("IMPORTRANGE(H5222,""IDENTITAS UNIT!D9"")"),"#N/A")</f>
        <v>#N/A</v>
      </c>
      <c r="H5222" s="4" t="str">
        <v/>
      </c>
      <c r="I5222" s="4" t="str">
        <v/>
      </c>
    </row>
    <row r="5223" spans="5:9" ht="16.5" hidden="1">
      <c r="E5223" s="4" t="str">
        <v/>
      </c>
      <c r="F5223" s="102" t="str">
        <f ca="1">IFERROR(__xludf.DUMMYFUNCTION("IMPORTRANGE(H5223,""IDENTITAS UNIT!D9"")"),"#N/A")</f>
        <v>#N/A</v>
      </c>
      <c r="H5223" s="4" t="str">
        <v/>
      </c>
      <c r="I5223" s="4" t="str">
        <v/>
      </c>
    </row>
    <row r="5224" spans="5:9" ht="16.5" hidden="1">
      <c r="E5224" s="4" t="str">
        <v/>
      </c>
      <c r="F5224" s="102" t="str">
        <f ca="1">IFERROR(__xludf.DUMMYFUNCTION("IMPORTRANGE(H5224,""IDENTITAS UNIT!D9"")"),"#N/A")</f>
        <v>#N/A</v>
      </c>
      <c r="H5224" s="4" t="str">
        <v/>
      </c>
      <c r="I5224" s="4" t="str">
        <v/>
      </c>
    </row>
    <row r="5225" spans="5:9" ht="16.5" hidden="1">
      <c r="E5225" s="4" t="str">
        <v/>
      </c>
      <c r="F5225" s="102" t="str">
        <f ca="1">IFERROR(__xludf.DUMMYFUNCTION("IMPORTRANGE(H5225,""IDENTITAS UNIT!D9"")"),"#N/A")</f>
        <v>#N/A</v>
      </c>
      <c r="H5225" s="4" t="str">
        <v/>
      </c>
      <c r="I5225" s="4" t="str">
        <v/>
      </c>
    </row>
    <row r="5226" spans="5:9" ht="16.5" hidden="1">
      <c r="E5226" s="4" t="str">
        <v/>
      </c>
      <c r="F5226" s="102" t="str">
        <f ca="1">IFERROR(__xludf.DUMMYFUNCTION("IMPORTRANGE(H5226,""IDENTITAS UNIT!D9"")"),"#N/A")</f>
        <v>#N/A</v>
      </c>
      <c r="H5226" s="4" t="str">
        <v/>
      </c>
      <c r="I5226" s="4" t="str">
        <v/>
      </c>
    </row>
    <row r="5227" spans="5:9" ht="16.5" hidden="1">
      <c r="E5227" s="4" t="str">
        <v/>
      </c>
      <c r="F5227" s="102" t="str">
        <f ca="1">IFERROR(__xludf.DUMMYFUNCTION("IMPORTRANGE(H5227,""IDENTITAS UNIT!D9"")"),"#N/A")</f>
        <v>#N/A</v>
      </c>
      <c r="H5227" s="4" t="str">
        <v/>
      </c>
      <c r="I5227" s="4" t="str">
        <v/>
      </c>
    </row>
    <row r="5228" spans="5:9" ht="16.5" hidden="1">
      <c r="E5228" s="4" t="str">
        <v/>
      </c>
      <c r="F5228" s="102" t="str">
        <f ca="1">IFERROR(__xludf.DUMMYFUNCTION("IMPORTRANGE(H5228,""IDENTITAS UNIT!D9"")"),"#N/A")</f>
        <v>#N/A</v>
      </c>
      <c r="H5228" s="4" t="str">
        <v/>
      </c>
      <c r="I5228" s="4" t="str">
        <v/>
      </c>
    </row>
    <row r="5229" spans="5:9" ht="16.5" hidden="1">
      <c r="E5229" s="4" t="str">
        <v/>
      </c>
      <c r="F5229" s="102" t="str">
        <f ca="1">IFERROR(__xludf.DUMMYFUNCTION("IMPORTRANGE(H5229,""IDENTITAS UNIT!D9"")"),"#N/A")</f>
        <v>#N/A</v>
      </c>
      <c r="H5229" s="4" t="str">
        <v/>
      </c>
      <c r="I5229" s="4" t="str">
        <v/>
      </c>
    </row>
    <row r="5230" spans="5:9" ht="16.5" hidden="1">
      <c r="E5230" s="4" t="str">
        <v/>
      </c>
      <c r="F5230" s="102" t="str">
        <f ca="1">IFERROR(__xludf.DUMMYFUNCTION("IMPORTRANGE(H5230,""IDENTITAS UNIT!D9"")"),"#N/A")</f>
        <v>#N/A</v>
      </c>
      <c r="H5230" s="4" t="str">
        <v/>
      </c>
      <c r="I5230" s="4" t="str">
        <v/>
      </c>
    </row>
    <row r="5231" spans="5:9" ht="16.5" hidden="1">
      <c r="E5231" s="4" t="str">
        <v/>
      </c>
      <c r="F5231" s="102" t="str">
        <f ca="1">IFERROR(__xludf.DUMMYFUNCTION("IMPORTRANGE(H5231,""IDENTITAS UNIT!D9"")"),"#N/A")</f>
        <v>#N/A</v>
      </c>
      <c r="H5231" s="4" t="str">
        <v/>
      </c>
      <c r="I5231" s="4" t="str">
        <v/>
      </c>
    </row>
    <row r="5232" spans="5:9" ht="16.5" hidden="1">
      <c r="E5232" s="4" t="str">
        <v/>
      </c>
      <c r="F5232" s="102" t="str">
        <f ca="1">IFERROR(__xludf.DUMMYFUNCTION("IMPORTRANGE(H5232,""IDENTITAS UNIT!D9"")"),"#N/A")</f>
        <v>#N/A</v>
      </c>
      <c r="H5232" s="4" t="str">
        <v/>
      </c>
      <c r="I5232" s="4" t="str">
        <v/>
      </c>
    </row>
    <row r="5233" spans="5:9" ht="16.5" hidden="1">
      <c r="E5233" s="4" t="str">
        <v/>
      </c>
      <c r="F5233" s="102" t="str">
        <f ca="1">IFERROR(__xludf.DUMMYFUNCTION("IMPORTRANGE(H5233,""IDENTITAS UNIT!D9"")"),"#N/A")</f>
        <v>#N/A</v>
      </c>
      <c r="H5233" s="4" t="str">
        <v/>
      </c>
      <c r="I5233" s="4" t="str">
        <v/>
      </c>
    </row>
    <row r="5234" spans="5:9" ht="16.5" hidden="1">
      <c r="E5234" s="4" t="str">
        <v/>
      </c>
      <c r="F5234" s="102" t="str">
        <f ca="1">IFERROR(__xludf.DUMMYFUNCTION("IMPORTRANGE(H5234,""IDENTITAS UNIT!D9"")"),"#N/A")</f>
        <v>#N/A</v>
      </c>
      <c r="H5234" s="4" t="str">
        <v/>
      </c>
      <c r="I5234" s="4" t="str">
        <v/>
      </c>
    </row>
    <row r="5235" spans="5:9" ht="16.5" hidden="1">
      <c r="E5235" s="4" t="str">
        <v/>
      </c>
      <c r="F5235" s="102" t="str">
        <f ca="1">IFERROR(__xludf.DUMMYFUNCTION("IMPORTRANGE(H5235,""IDENTITAS UNIT!D9"")"),"#N/A")</f>
        <v>#N/A</v>
      </c>
      <c r="H5235" s="4" t="str">
        <v/>
      </c>
      <c r="I5235" s="4" t="str">
        <v/>
      </c>
    </row>
    <row r="5236" spans="5:9" ht="16.5" hidden="1">
      <c r="E5236" s="4" t="str">
        <v/>
      </c>
      <c r="F5236" s="102" t="str">
        <f ca="1">IFERROR(__xludf.DUMMYFUNCTION("IMPORTRANGE(H5236,""IDENTITAS UNIT!D9"")"),"#N/A")</f>
        <v>#N/A</v>
      </c>
      <c r="H5236" s="4" t="str">
        <v/>
      </c>
      <c r="I5236" s="4" t="str">
        <v/>
      </c>
    </row>
    <row r="5237" spans="5:9" ht="16.5" hidden="1">
      <c r="E5237" s="4" t="str">
        <v/>
      </c>
      <c r="F5237" s="102" t="str">
        <f ca="1">IFERROR(__xludf.DUMMYFUNCTION("IMPORTRANGE(H5237,""IDENTITAS UNIT!D9"")"),"#N/A")</f>
        <v>#N/A</v>
      </c>
      <c r="H5237" s="4" t="str">
        <v/>
      </c>
      <c r="I5237" s="4" t="str">
        <v/>
      </c>
    </row>
    <row r="5238" spans="5:9" ht="16.5" hidden="1">
      <c r="E5238" s="4" t="str">
        <v/>
      </c>
      <c r="F5238" s="102" t="str">
        <f ca="1">IFERROR(__xludf.DUMMYFUNCTION("IMPORTRANGE(H5238,""IDENTITAS UNIT!D9"")"),"#N/A")</f>
        <v>#N/A</v>
      </c>
      <c r="H5238" s="4" t="str">
        <v/>
      </c>
      <c r="I5238" s="4" t="str">
        <v/>
      </c>
    </row>
    <row r="5239" spans="5:9" ht="16.5" hidden="1">
      <c r="E5239" s="4" t="str">
        <v/>
      </c>
      <c r="F5239" s="102" t="str">
        <f ca="1">IFERROR(__xludf.DUMMYFUNCTION("IMPORTRANGE(H5239,""IDENTITAS UNIT!D9"")"),"#N/A")</f>
        <v>#N/A</v>
      </c>
      <c r="H5239" s="4" t="str">
        <v/>
      </c>
      <c r="I5239" s="4" t="str">
        <v/>
      </c>
    </row>
    <row r="5240" spans="5:9" ht="16.5" hidden="1">
      <c r="E5240" s="4" t="str">
        <v/>
      </c>
      <c r="F5240" s="102" t="str">
        <f ca="1">IFERROR(__xludf.DUMMYFUNCTION("IMPORTRANGE(H5240,""IDENTITAS UNIT!D9"")"),"#N/A")</f>
        <v>#N/A</v>
      </c>
      <c r="H5240" s="4" t="str">
        <v/>
      </c>
      <c r="I5240" s="4" t="str">
        <v/>
      </c>
    </row>
    <row r="5241" spans="5:9" ht="16.5" hidden="1">
      <c r="E5241" s="4" t="str">
        <v/>
      </c>
      <c r="F5241" s="102" t="str">
        <f ca="1">IFERROR(__xludf.DUMMYFUNCTION("IMPORTRANGE(H5241,""IDENTITAS UNIT!D9"")"),"#N/A")</f>
        <v>#N/A</v>
      </c>
      <c r="H5241" s="4" t="str">
        <v/>
      </c>
      <c r="I5241" s="4" t="str">
        <v/>
      </c>
    </row>
    <row r="5242" spans="5:9" ht="16.5" hidden="1">
      <c r="E5242" s="4" t="str">
        <v/>
      </c>
      <c r="F5242" s="102" t="str">
        <f ca="1">IFERROR(__xludf.DUMMYFUNCTION("IMPORTRANGE(H5242,""IDENTITAS UNIT!D9"")"),"#N/A")</f>
        <v>#N/A</v>
      </c>
      <c r="H5242" s="4" t="str">
        <v/>
      </c>
      <c r="I5242" s="4" t="str">
        <v/>
      </c>
    </row>
    <row r="5243" spans="5:9" ht="16.5" hidden="1">
      <c r="E5243" s="4" t="str">
        <v/>
      </c>
      <c r="F5243" s="102" t="str">
        <f ca="1">IFERROR(__xludf.DUMMYFUNCTION("IMPORTRANGE(H5243,""IDENTITAS UNIT!D9"")"),"#N/A")</f>
        <v>#N/A</v>
      </c>
      <c r="H5243" s="4" t="str">
        <v/>
      </c>
      <c r="I5243" s="4" t="str">
        <v/>
      </c>
    </row>
    <row r="5244" spans="5:9" ht="16.5" hidden="1">
      <c r="E5244" s="4" t="str">
        <v/>
      </c>
      <c r="F5244" s="102" t="str">
        <f ca="1">IFERROR(__xludf.DUMMYFUNCTION("IMPORTRANGE(H5244,""IDENTITAS UNIT!D9"")"),"#N/A")</f>
        <v>#N/A</v>
      </c>
      <c r="H5244" s="4" t="str">
        <v/>
      </c>
      <c r="I5244" s="4" t="str">
        <v/>
      </c>
    </row>
    <row r="5245" spans="5:9" ht="16.5" hidden="1">
      <c r="E5245" s="4" t="str">
        <v/>
      </c>
      <c r="F5245" s="102" t="str">
        <f ca="1">IFERROR(__xludf.DUMMYFUNCTION("IMPORTRANGE(H5245,""IDENTITAS UNIT!D9"")"),"#N/A")</f>
        <v>#N/A</v>
      </c>
      <c r="H5245" s="4" t="str">
        <v/>
      </c>
      <c r="I5245" s="4" t="str">
        <v/>
      </c>
    </row>
    <row r="5246" spans="5:9" ht="16.5" hidden="1">
      <c r="E5246" s="4" t="str">
        <v/>
      </c>
      <c r="F5246" s="102" t="str">
        <f ca="1">IFERROR(__xludf.DUMMYFUNCTION("IMPORTRANGE(H5246,""IDENTITAS UNIT!D9"")"),"#N/A")</f>
        <v>#N/A</v>
      </c>
      <c r="H5246" s="4" t="str">
        <v/>
      </c>
      <c r="I5246" s="4" t="str">
        <v/>
      </c>
    </row>
    <row r="5247" spans="5:9" ht="16.5" hidden="1">
      <c r="E5247" s="4" t="str">
        <v/>
      </c>
      <c r="F5247" s="102" t="str">
        <f ca="1">IFERROR(__xludf.DUMMYFUNCTION("IMPORTRANGE(H5247,""IDENTITAS UNIT!D9"")"),"#N/A")</f>
        <v>#N/A</v>
      </c>
      <c r="H5247" s="4" t="str">
        <v/>
      </c>
      <c r="I5247" s="4" t="str">
        <v/>
      </c>
    </row>
    <row r="5248" spans="5:9" ht="16.5" hidden="1">
      <c r="E5248" s="4" t="str">
        <v/>
      </c>
      <c r="F5248" s="102" t="str">
        <f ca="1">IFERROR(__xludf.DUMMYFUNCTION("IMPORTRANGE(H5248,""IDENTITAS UNIT!D9"")"),"#N/A")</f>
        <v>#N/A</v>
      </c>
      <c r="H5248" s="4" t="str">
        <v/>
      </c>
      <c r="I5248" s="4" t="str">
        <v/>
      </c>
    </row>
    <row r="5249" spans="5:9" ht="16.5" hidden="1">
      <c r="E5249" s="4" t="str">
        <v/>
      </c>
      <c r="F5249" s="102" t="str">
        <f ca="1">IFERROR(__xludf.DUMMYFUNCTION("IMPORTRANGE(H5249,""IDENTITAS UNIT!D9"")"),"#N/A")</f>
        <v>#N/A</v>
      </c>
      <c r="H5249" s="4" t="str">
        <v/>
      </c>
      <c r="I5249" s="4" t="str">
        <v/>
      </c>
    </row>
    <row r="5250" spans="5:9" ht="16.5" hidden="1">
      <c r="E5250" s="4" t="str">
        <v/>
      </c>
      <c r="F5250" s="102" t="str">
        <f ca="1">IFERROR(__xludf.DUMMYFUNCTION("IMPORTRANGE(H5250,""IDENTITAS UNIT!D9"")"),"#N/A")</f>
        <v>#N/A</v>
      </c>
      <c r="H5250" s="4" t="str">
        <v/>
      </c>
      <c r="I5250" s="4" t="str">
        <v/>
      </c>
    </row>
    <row r="5251" spans="5:9" ht="16.5" hidden="1">
      <c r="E5251" s="4" t="str">
        <v/>
      </c>
      <c r="F5251" s="102" t="str">
        <f ca="1">IFERROR(__xludf.DUMMYFUNCTION("IMPORTRANGE(H5251,""IDENTITAS UNIT!D9"")"),"#N/A")</f>
        <v>#N/A</v>
      </c>
      <c r="H5251" s="4" t="str">
        <v/>
      </c>
      <c r="I5251" s="4" t="str">
        <v/>
      </c>
    </row>
    <row r="5252" spans="5:9" ht="16.5" hidden="1">
      <c r="E5252" s="4" t="str">
        <v/>
      </c>
      <c r="F5252" s="102" t="str">
        <f ca="1">IFERROR(__xludf.DUMMYFUNCTION("IMPORTRANGE(H5252,""IDENTITAS UNIT!D9"")"),"#N/A")</f>
        <v>#N/A</v>
      </c>
      <c r="H5252" s="4" t="str">
        <v/>
      </c>
      <c r="I5252" s="4" t="str">
        <v/>
      </c>
    </row>
    <row r="5253" spans="5:9" ht="16.5" hidden="1">
      <c r="E5253" s="4" t="str">
        <v/>
      </c>
      <c r="F5253" s="102" t="str">
        <f ca="1">IFERROR(__xludf.DUMMYFUNCTION("IMPORTRANGE(H5253,""IDENTITAS UNIT!D9"")"),"#N/A")</f>
        <v>#N/A</v>
      </c>
      <c r="H5253" s="4" t="str">
        <v/>
      </c>
      <c r="I5253" s="4" t="str">
        <v/>
      </c>
    </row>
    <row r="5254" spans="5:9" ht="16.5" hidden="1">
      <c r="E5254" s="4" t="str">
        <v/>
      </c>
      <c r="F5254" s="102" t="str">
        <f ca="1">IFERROR(__xludf.DUMMYFUNCTION("IMPORTRANGE(H5254,""IDENTITAS UNIT!D9"")"),"#N/A")</f>
        <v>#N/A</v>
      </c>
      <c r="H5254" s="4" t="str">
        <v/>
      </c>
      <c r="I5254" s="4" t="str">
        <v/>
      </c>
    </row>
    <row r="5255" spans="5:9" ht="16.5" hidden="1">
      <c r="E5255" s="4" t="str">
        <v/>
      </c>
      <c r="F5255" s="102" t="str">
        <f ca="1">IFERROR(__xludf.DUMMYFUNCTION("IMPORTRANGE(H5255,""IDENTITAS UNIT!D9"")"),"#N/A")</f>
        <v>#N/A</v>
      </c>
      <c r="H5255" s="4" t="str">
        <v/>
      </c>
      <c r="I5255" s="4" t="str">
        <v/>
      </c>
    </row>
    <row r="5256" spans="5:9" ht="16.5" hidden="1">
      <c r="E5256" s="4" t="str">
        <v/>
      </c>
      <c r="F5256" s="102" t="str">
        <f ca="1">IFERROR(__xludf.DUMMYFUNCTION("IMPORTRANGE(H5256,""IDENTITAS UNIT!D9"")"),"#N/A")</f>
        <v>#N/A</v>
      </c>
      <c r="H5256" s="4" t="str">
        <v/>
      </c>
      <c r="I5256" s="4" t="str">
        <v/>
      </c>
    </row>
    <row r="5257" spans="5:9" ht="16.5" hidden="1">
      <c r="E5257" s="4" t="str">
        <v/>
      </c>
      <c r="F5257" s="102" t="str">
        <f ca="1">IFERROR(__xludf.DUMMYFUNCTION("IMPORTRANGE(H5257,""IDENTITAS UNIT!D9"")"),"#N/A")</f>
        <v>#N/A</v>
      </c>
      <c r="H5257" s="4" t="str">
        <v/>
      </c>
      <c r="I5257" s="4" t="str">
        <v/>
      </c>
    </row>
    <row r="5258" spans="5:9" ht="16.5" hidden="1">
      <c r="E5258" s="4" t="str">
        <v/>
      </c>
      <c r="F5258" s="102" t="str">
        <f ca="1">IFERROR(__xludf.DUMMYFUNCTION("IMPORTRANGE(H5258,""IDENTITAS UNIT!D9"")"),"#N/A")</f>
        <v>#N/A</v>
      </c>
      <c r="H5258" s="4" t="str">
        <v/>
      </c>
      <c r="I5258" s="4" t="str">
        <v/>
      </c>
    </row>
    <row r="5259" spans="5:9" ht="16.5" hidden="1">
      <c r="E5259" s="4" t="str">
        <v/>
      </c>
      <c r="F5259" s="102" t="str">
        <f ca="1">IFERROR(__xludf.DUMMYFUNCTION("IMPORTRANGE(H5259,""IDENTITAS UNIT!D9"")"),"#N/A")</f>
        <v>#N/A</v>
      </c>
      <c r="H5259" s="4" t="str">
        <v/>
      </c>
      <c r="I5259" s="4" t="str">
        <v/>
      </c>
    </row>
    <row r="5260" spans="5:9" ht="16.5" hidden="1">
      <c r="E5260" s="4" t="str">
        <v/>
      </c>
      <c r="F5260" s="102" t="str">
        <f ca="1">IFERROR(__xludf.DUMMYFUNCTION("IMPORTRANGE(H5260,""IDENTITAS UNIT!D9"")"),"#N/A")</f>
        <v>#N/A</v>
      </c>
      <c r="H5260" s="4" t="str">
        <v/>
      </c>
      <c r="I5260" s="4" t="str">
        <v/>
      </c>
    </row>
    <row r="5261" spans="5:9" ht="16.5" hidden="1">
      <c r="E5261" s="4" t="str">
        <v/>
      </c>
      <c r="F5261" s="102" t="str">
        <f ca="1">IFERROR(__xludf.DUMMYFUNCTION("IMPORTRANGE(H5261,""IDENTITAS UNIT!D9"")"),"#N/A")</f>
        <v>#N/A</v>
      </c>
      <c r="H5261" s="4" t="str">
        <v/>
      </c>
      <c r="I5261" s="4" t="str">
        <v/>
      </c>
    </row>
    <row r="5262" spans="5:9" ht="16.5" hidden="1">
      <c r="E5262" s="4" t="str">
        <v/>
      </c>
      <c r="F5262" s="102" t="str">
        <f ca="1">IFERROR(__xludf.DUMMYFUNCTION("IMPORTRANGE(H5262,""IDENTITAS UNIT!D9"")"),"#N/A")</f>
        <v>#N/A</v>
      </c>
      <c r="H5262" s="4" t="str">
        <v/>
      </c>
      <c r="I5262" s="4" t="str">
        <v/>
      </c>
    </row>
    <row r="5263" spans="5:9" ht="16.5" hidden="1">
      <c r="E5263" s="4" t="str">
        <v/>
      </c>
      <c r="F5263" s="102" t="str">
        <f ca="1">IFERROR(__xludf.DUMMYFUNCTION("IMPORTRANGE(H5263,""IDENTITAS UNIT!D9"")"),"#N/A")</f>
        <v>#N/A</v>
      </c>
      <c r="H5263" s="4" t="str">
        <v/>
      </c>
      <c r="I5263" s="4" t="str">
        <v/>
      </c>
    </row>
    <row r="5264" spans="5:9" ht="16.5" hidden="1">
      <c r="E5264" s="4" t="str">
        <v/>
      </c>
      <c r="F5264" s="102" t="str">
        <f ca="1">IFERROR(__xludf.DUMMYFUNCTION("IMPORTRANGE(H5264,""IDENTITAS UNIT!D9"")"),"#N/A")</f>
        <v>#N/A</v>
      </c>
      <c r="H5264" s="4" t="str">
        <v/>
      </c>
      <c r="I5264" s="4" t="str">
        <v/>
      </c>
    </row>
    <row r="5265" spans="5:9" ht="16.5" hidden="1">
      <c r="E5265" s="4" t="str">
        <v/>
      </c>
      <c r="F5265" s="102" t="str">
        <f ca="1">IFERROR(__xludf.DUMMYFUNCTION("IMPORTRANGE(H5265,""IDENTITAS UNIT!D9"")"),"#N/A")</f>
        <v>#N/A</v>
      </c>
      <c r="H5265" s="4" t="str">
        <v/>
      </c>
      <c r="I5265" s="4" t="str">
        <v/>
      </c>
    </row>
    <row r="5266" spans="5:9" ht="16.5" hidden="1">
      <c r="E5266" s="4" t="str">
        <v/>
      </c>
      <c r="F5266" s="102" t="str">
        <f ca="1">IFERROR(__xludf.DUMMYFUNCTION("IMPORTRANGE(H5266,""IDENTITAS UNIT!D9"")"),"#N/A")</f>
        <v>#N/A</v>
      </c>
      <c r="H5266" s="4" t="str">
        <v/>
      </c>
      <c r="I5266" s="4" t="str">
        <v/>
      </c>
    </row>
    <row r="5267" spans="5:9" ht="16.5" hidden="1">
      <c r="E5267" s="4" t="str">
        <v/>
      </c>
      <c r="F5267" s="102" t="str">
        <f ca="1">IFERROR(__xludf.DUMMYFUNCTION("IMPORTRANGE(H5267,""IDENTITAS UNIT!D9"")"),"#N/A")</f>
        <v>#N/A</v>
      </c>
      <c r="H5267" s="4" t="str">
        <v/>
      </c>
      <c r="I5267" s="4" t="str">
        <v/>
      </c>
    </row>
    <row r="5268" spans="5:9" ht="16.5" hidden="1">
      <c r="E5268" s="4" t="str">
        <v/>
      </c>
      <c r="F5268" s="102" t="str">
        <f ca="1">IFERROR(__xludf.DUMMYFUNCTION("IMPORTRANGE(H5268,""IDENTITAS UNIT!D9"")"),"#N/A")</f>
        <v>#N/A</v>
      </c>
      <c r="H5268" s="4" t="str">
        <v/>
      </c>
      <c r="I5268" s="4" t="str">
        <v/>
      </c>
    </row>
    <row r="5269" spans="5:9" ht="16.5" hidden="1">
      <c r="E5269" s="4" t="str">
        <v/>
      </c>
      <c r="F5269" s="102" t="str">
        <f ca="1">IFERROR(__xludf.DUMMYFUNCTION("IMPORTRANGE(H5269,""IDENTITAS UNIT!D9"")"),"#N/A")</f>
        <v>#N/A</v>
      </c>
      <c r="H5269" s="4" t="str">
        <v/>
      </c>
      <c r="I5269" s="4" t="str">
        <v/>
      </c>
    </row>
    <row r="5270" spans="5:9" ht="16.5" hidden="1">
      <c r="E5270" s="4" t="str">
        <v/>
      </c>
      <c r="F5270" s="102" t="str">
        <f ca="1">IFERROR(__xludf.DUMMYFUNCTION("IMPORTRANGE(H5270,""IDENTITAS UNIT!D9"")"),"#N/A")</f>
        <v>#N/A</v>
      </c>
      <c r="H5270" s="4" t="str">
        <v/>
      </c>
      <c r="I5270" s="4" t="str">
        <v/>
      </c>
    </row>
    <row r="5271" spans="5:9" ht="16.5" hidden="1">
      <c r="E5271" s="4" t="str">
        <v/>
      </c>
      <c r="F5271" s="102" t="str">
        <f ca="1">IFERROR(__xludf.DUMMYFUNCTION("IMPORTRANGE(H5271,""IDENTITAS UNIT!D9"")"),"#N/A")</f>
        <v>#N/A</v>
      </c>
      <c r="H5271" s="4" t="str">
        <v/>
      </c>
      <c r="I5271" s="4" t="str">
        <v/>
      </c>
    </row>
    <row r="5272" spans="5:9" ht="16.5" hidden="1">
      <c r="E5272" s="4" t="str">
        <v/>
      </c>
      <c r="F5272" s="102" t="str">
        <f ca="1">IFERROR(__xludf.DUMMYFUNCTION("IMPORTRANGE(H5272,""IDENTITAS UNIT!D9"")"),"#N/A")</f>
        <v>#N/A</v>
      </c>
      <c r="H5272" s="4" t="str">
        <v/>
      </c>
      <c r="I5272" s="4" t="str">
        <v/>
      </c>
    </row>
    <row r="5273" spans="5:9" ht="16.5" hidden="1">
      <c r="E5273" s="4" t="str">
        <v/>
      </c>
      <c r="F5273" s="102" t="str">
        <f ca="1">IFERROR(__xludf.DUMMYFUNCTION("IMPORTRANGE(H5273,""IDENTITAS UNIT!D9"")"),"#N/A")</f>
        <v>#N/A</v>
      </c>
      <c r="H5273" s="4" t="str">
        <v/>
      </c>
      <c r="I5273" s="4" t="str">
        <v/>
      </c>
    </row>
    <row r="5274" spans="5:9" ht="16.5" hidden="1">
      <c r="E5274" s="4" t="str">
        <v/>
      </c>
      <c r="F5274" s="102" t="str">
        <f ca="1">IFERROR(__xludf.DUMMYFUNCTION("IMPORTRANGE(H5274,""IDENTITAS UNIT!D9"")"),"#N/A")</f>
        <v>#N/A</v>
      </c>
      <c r="H5274" s="4" t="str">
        <v/>
      </c>
      <c r="I5274" s="4" t="str">
        <v/>
      </c>
    </row>
    <row r="5275" spans="5:9" ht="16.5" hidden="1">
      <c r="E5275" s="4" t="str">
        <v/>
      </c>
      <c r="F5275" s="102" t="str">
        <f ca="1">IFERROR(__xludf.DUMMYFUNCTION("IMPORTRANGE(H5275,""IDENTITAS UNIT!D9"")"),"#N/A")</f>
        <v>#N/A</v>
      </c>
      <c r="H5275" s="4" t="str">
        <v/>
      </c>
      <c r="I5275" s="4" t="str">
        <v/>
      </c>
    </row>
    <row r="5276" spans="5:9" ht="16.5" hidden="1">
      <c r="E5276" s="4" t="str">
        <v/>
      </c>
      <c r="F5276" s="102" t="str">
        <f ca="1">IFERROR(__xludf.DUMMYFUNCTION("IMPORTRANGE(H5276,""IDENTITAS UNIT!D9"")"),"#N/A")</f>
        <v>#N/A</v>
      </c>
      <c r="H5276" s="4" t="str">
        <v/>
      </c>
      <c r="I5276" s="4" t="str">
        <v/>
      </c>
    </row>
    <row r="5277" spans="5:9" ht="16.5" hidden="1">
      <c r="E5277" s="4" t="str">
        <v/>
      </c>
      <c r="F5277" s="102" t="str">
        <f ca="1">IFERROR(__xludf.DUMMYFUNCTION("IMPORTRANGE(H5277,""IDENTITAS UNIT!D9"")"),"#N/A")</f>
        <v>#N/A</v>
      </c>
      <c r="H5277" s="4" t="str">
        <v/>
      </c>
      <c r="I5277" s="4" t="str">
        <v/>
      </c>
    </row>
    <row r="5278" spans="5:9" ht="16.5" hidden="1">
      <c r="E5278" s="4" t="str">
        <v/>
      </c>
      <c r="F5278" s="102" t="str">
        <f ca="1">IFERROR(__xludf.DUMMYFUNCTION("IMPORTRANGE(H5278,""IDENTITAS UNIT!D9"")"),"#N/A")</f>
        <v>#N/A</v>
      </c>
      <c r="H5278" s="4" t="str">
        <v/>
      </c>
      <c r="I5278" s="4" t="str">
        <v/>
      </c>
    </row>
    <row r="5279" spans="5:9" ht="16.5" hidden="1">
      <c r="E5279" s="4" t="str">
        <v/>
      </c>
      <c r="F5279" s="102" t="str">
        <f ca="1">IFERROR(__xludf.DUMMYFUNCTION("IMPORTRANGE(H5279,""IDENTITAS UNIT!D9"")"),"#N/A")</f>
        <v>#N/A</v>
      </c>
      <c r="H5279" s="4" t="str">
        <v/>
      </c>
      <c r="I5279" s="4" t="str">
        <v/>
      </c>
    </row>
    <row r="5280" spans="5:9" ht="16.5" hidden="1">
      <c r="E5280" s="4" t="str">
        <v/>
      </c>
      <c r="F5280" s="102" t="str">
        <f ca="1">IFERROR(__xludf.DUMMYFUNCTION("IMPORTRANGE(H5280,""IDENTITAS UNIT!D9"")"),"#N/A")</f>
        <v>#N/A</v>
      </c>
      <c r="H5280" s="4" t="str">
        <v/>
      </c>
      <c r="I5280" s="4" t="str">
        <v/>
      </c>
    </row>
    <row r="5281" spans="5:9" ht="16.5" hidden="1">
      <c r="E5281" s="4" t="str">
        <v/>
      </c>
      <c r="F5281" s="102" t="str">
        <f ca="1">IFERROR(__xludf.DUMMYFUNCTION("IMPORTRANGE(H5281,""IDENTITAS UNIT!D9"")"),"#N/A")</f>
        <v>#N/A</v>
      </c>
      <c r="H5281" s="4" t="str">
        <v/>
      </c>
      <c r="I5281" s="4" t="str">
        <v/>
      </c>
    </row>
    <row r="5282" spans="5:9" ht="16.5" hidden="1">
      <c r="E5282" s="4" t="str">
        <v/>
      </c>
      <c r="F5282" s="102" t="str">
        <f ca="1">IFERROR(__xludf.DUMMYFUNCTION("IMPORTRANGE(H5282,""IDENTITAS UNIT!D9"")"),"#N/A")</f>
        <v>#N/A</v>
      </c>
      <c r="H5282" s="4" t="str">
        <v/>
      </c>
      <c r="I5282" s="4" t="str">
        <v/>
      </c>
    </row>
    <row r="5283" spans="5:9" ht="16.5" hidden="1">
      <c r="E5283" s="4" t="str">
        <v/>
      </c>
      <c r="F5283" s="102" t="str">
        <f ca="1">IFERROR(__xludf.DUMMYFUNCTION("IMPORTRANGE(H5283,""IDENTITAS UNIT!D9"")"),"#N/A")</f>
        <v>#N/A</v>
      </c>
      <c r="H5283" s="4" t="str">
        <v/>
      </c>
      <c r="I5283" s="4" t="str">
        <v/>
      </c>
    </row>
    <row r="5284" spans="5:9" ht="16.5" hidden="1">
      <c r="E5284" s="4" t="str">
        <v/>
      </c>
      <c r="F5284" s="102" t="str">
        <f ca="1">IFERROR(__xludf.DUMMYFUNCTION("IMPORTRANGE(H5284,""IDENTITAS UNIT!D9"")"),"#N/A")</f>
        <v>#N/A</v>
      </c>
      <c r="H5284" s="4" t="str">
        <v/>
      </c>
      <c r="I5284" s="4" t="str">
        <v/>
      </c>
    </row>
    <row r="5285" spans="5:9" ht="16.5" hidden="1">
      <c r="E5285" s="4" t="str">
        <v/>
      </c>
      <c r="F5285" s="102" t="str">
        <f ca="1">IFERROR(__xludf.DUMMYFUNCTION("IMPORTRANGE(H5285,""IDENTITAS UNIT!D9"")"),"#N/A")</f>
        <v>#N/A</v>
      </c>
      <c r="H5285" s="4" t="str">
        <v/>
      </c>
      <c r="I5285" s="4" t="str">
        <v/>
      </c>
    </row>
    <row r="5286" spans="5:9" ht="16.5" hidden="1">
      <c r="E5286" s="4" t="str">
        <v/>
      </c>
      <c r="F5286" s="102" t="str">
        <f ca="1">IFERROR(__xludf.DUMMYFUNCTION("IMPORTRANGE(H5286,""IDENTITAS UNIT!D9"")"),"#N/A")</f>
        <v>#N/A</v>
      </c>
      <c r="H5286" s="4" t="str">
        <v/>
      </c>
      <c r="I5286" s="4" t="str">
        <v/>
      </c>
    </row>
    <row r="5287" spans="5:9" ht="16.5" hidden="1">
      <c r="E5287" s="4" t="str">
        <v/>
      </c>
      <c r="F5287" s="102" t="str">
        <f ca="1">IFERROR(__xludf.DUMMYFUNCTION("IMPORTRANGE(H5287,""IDENTITAS UNIT!D9"")"),"#N/A")</f>
        <v>#N/A</v>
      </c>
      <c r="H5287" s="4" t="str">
        <v/>
      </c>
      <c r="I5287" s="4" t="str">
        <v/>
      </c>
    </row>
    <row r="5288" spans="5:9" ht="16.5" hidden="1">
      <c r="E5288" s="4" t="str">
        <v/>
      </c>
      <c r="F5288" s="102" t="str">
        <f ca="1">IFERROR(__xludf.DUMMYFUNCTION("IMPORTRANGE(H5288,""IDENTITAS UNIT!D9"")"),"#N/A")</f>
        <v>#N/A</v>
      </c>
      <c r="H5288" s="4" t="str">
        <v/>
      </c>
      <c r="I5288" s="4" t="str">
        <v/>
      </c>
    </row>
    <row r="5289" spans="5:9" ht="16.5" hidden="1">
      <c r="E5289" s="4" t="str">
        <v/>
      </c>
      <c r="F5289" s="102" t="str">
        <f ca="1">IFERROR(__xludf.DUMMYFUNCTION("IMPORTRANGE(H5289,""IDENTITAS UNIT!D9"")"),"#N/A")</f>
        <v>#N/A</v>
      </c>
      <c r="H5289" s="4" t="str">
        <v/>
      </c>
      <c r="I5289" s="4" t="str">
        <v/>
      </c>
    </row>
    <row r="5290" spans="5:9" ht="16.5" hidden="1">
      <c r="E5290" s="4" t="str">
        <v/>
      </c>
      <c r="F5290" s="102" t="str">
        <f ca="1">IFERROR(__xludf.DUMMYFUNCTION("IMPORTRANGE(H5290,""IDENTITAS UNIT!D9"")"),"#N/A")</f>
        <v>#N/A</v>
      </c>
      <c r="H5290" s="4" t="str">
        <v/>
      </c>
      <c r="I5290" s="4" t="str">
        <v/>
      </c>
    </row>
    <row r="5291" spans="5:9" ht="16.5" hidden="1">
      <c r="E5291" s="4" t="str">
        <v/>
      </c>
      <c r="F5291" s="102" t="str">
        <f ca="1">IFERROR(__xludf.DUMMYFUNCTION("IMPORTRANGE(H5291,""IDENTITAS UNIT!D9"")"),"#N/A")</f>
        <v>#N/A</v>
      </c>
      <c r="H5291" s="4" t="str">
        <v/>
      </c>
      <c r="I5291" s="4" t="str">
        <v/>
      </c>
    </row>
    <row r="5292" spans="5:9" ht="16.5" hidden="1">
      <c r="E5292" s="4" t="str">
        <v/>
      </c>
      <c r="F5292" s="102" t="str">
        <f ca="1">IFERROR(__xludf.DUMMYFUNCTION("IMPORTRANGE(H5292,""IDENTITAS UNIT!D9"")"),"#N/A")</f>
        <v>#N/A</v>
      </c>
      <c r="H5292" s="4" t="str">
        <v/>
      </c>
      <c r="I5292" s="4" t="str">
        <v/>
      </c>
    </row>
    <row r="5293" spans="5:9" ht="16.5" hidden="1">
      <c r="E5293" s="4" t="str">
        <v/>
      </c>
      <c r="F5293" s="102" t="str">
        <f ca="1">IFERROR(__xludf.DUMMYFUNCTION("IMPORTRANGE(H5293,""IDENTITAS UNIT!D9"")"),"#N/A")</f>
        <v>#N/A</v>
      </c>
      <c r="H5293" s="4" t="str">
        <v/>
      </c>
      <c r="I5293" s="4" t="str">
        <v/>
      </c>
    </row>
    <row r="5294" spans="5:9" ht="16.5" hidden="1">
      <c r="E5294" s="4" t="str">
        <v/>
      </c>
      <c r="F5294" s="102" t="str">
        <f ca="1">IFERROR(__xludf.DUMMYFUNCTION("IMPORTRANGE(H5294,""IDENTITAS UNIT!D9"")"),"#N/A")</f>
        <v>#N/A</v>
      </c>
      <c r="H5294" s="4" t="str">
        <v/>
      </c>
      <c r="I5294" s="4" t="str">
        <v/>
      </c>
    </row>
    <row r="5295" spans="5:9" ht="16.5" hidden="1">
      <c r="E5295" s="4" t="str">
        <v/>
      </c>
      <c r="F5295" s="102" t="str">
        <f ca="1">IFERROR(__xludf.DUMMYFUNCTION("IMPORTRANGE(H5295,""IDENTITAS UNIT!D9"")"),"#N/A")</f>
        <v>#N/A</v>
      </c>
      <c r="H5295" s="4" t="str">
        <v/>
      </c>
      <c r="I5295" s="4" t="str">
        <v/>
      </c>
    </row>
    <row r="5296" spans="5:9" ht="16.5" hidden="1">
      <c r="E5296" s="4" t="str">
        <v/>
      </c>
      <c r="F5296" s="102" t="str">
        <f ca="1">IFERROR(__xludf.DUMMYFUNCTION("IMPORTRANGE(H5296,""IDENTITAS UNIT!D9"")"),"#N/A")</f>
        <v>#N/A</v>
      </c>
      <c r="H5296" s="4" t="str">
        <v/>
      </c>
      <c r="I5296" s="4" t="str">
        <v/>
      </c>
    </row>
    <row r="5297" spans="5:9" ht="16.5" hidden="1">
      <c r="E5297" s="4" t="str">
        <v/>
      </c>
      <c r="F5297" s="102" t="str">
        <f ca="1">IFERROR(__xludf.DUMMYFUNCTION("IMPORTRANGE(H5297,""IDENTITAS UNIT!D9"")"),"#N/A")</f>
        <v>#N/A</v>
      </c>
      <c r="H5297" s="4" t="str">
        <v/>
      </c>
      <c r="I5297" s="4" t="str">
        <v/>
      </c>
    </row>
    <row r="5298" spans="5:9" ht="16.5" hidden="1">
      <c r="E5298" s="4" t="str">
        <v/>
      </c>
      <c r="F5298" s="102" t="str">
        <f ca="1">IFERROR(__xludf.DUMMYFUNCTION("IMPORTRANGE(H5298,""IDENTITAS UNIT!D9"")"),"#N/A")</f>
        <v>#N/A</v>
      </c>
      <c r="H5298" s="4" t="str">
        <v/>
      </c>
      <c r="I5298" s="4" t="str">
        <v/>
      </c>
    </row>
    <row r="5299" spans="5:9" ht="16.5" hidden="1">
      <c r="E5299" s="4" t="str">
        <v/>
      </c>
      <c r="F5299" s="102" t="str">
        <f ca="1">IFERROR(__xludf.DUMMYFUNCTION("IMPORTRANGE(H5299,""IDENTITAS UNIT!D9"")"),"#N/A")</f>
        <v>#N/A</v>
      </c>
      <c r="H5299" s="4" t="str">
        <v/>
      </c>
      <c r="I5299" s="4" t="str">
        <v/>
      </c>
    </row>
    <row r="5300" spans="5:9" ht="16.5" hidden="1">
      <c r="E5300" s="4" t="str">
        <v/>
      </c>
      <c r="F5300" s="102" t="str">
        <f ca="1">IFERROR(__xludf.DUMMYFUNCTION("IMPORTRANGE(H5300,""IDENTITAS UNIT!D9"")"),"#N/A")</f>
        <v>#N/A</v>
      </c>
      <c r="H5300" s="4" t="str">
        <v/>
      </c>
      <c r="I5300" s="4" t="str">
        <v/>
      </c>
    </row>
    <row r="5301" spans="5:9" ht="16.5" hidden="1">
      <c r="E5301" s="4" t="str">
        <v/>
      </c>
      <c r="F5301" s="102" t="str">
        <f ca="1">IFERROR(__xludf.DUMMYFUNCTION("IMPORTRANGE(H5301,""IDENTITAS UNIT!D9"")"),"#N/A")</f>
        <v>#N/A</v>
      </c>
      <c r="H5301" s="4" t="str">
        <v/>
      </c>
      <c r="I5301" s="4" t="str">
        <v/>
      </c>
    </row>
    <row r="5302" spans="5:9" ht="16.5" hidden="1">
      <c r="E5302" s="4" t="str">
        <v/>
      </c>
      <c r="F5302" s="102" t="str">
        <f ca="1">IFERROR(__xludf.DUMMYFUNCTION("IMPORTRANGE(H5302,""IDENTITAS UNIT!D9"")"),"#N/A")</f>
        <v>#N/A</v>
      </c>
      <c r="H5302" s="4" t="str">
        <v/>
      </c>
      <c r="I5302" s="4" t="str">
        <v/>
      </c>
    </row>
    <row r="5303" spans="5:9" ht="16.5" hidden="1">
      <c r="E5303" s="4" t="str">
        <v/>
      </c>
      <c r="F5303" s="102" t="str">
        <f ca="1">IFERROR(__xludf.DUMMYFUNCTION("IMPORTRANGE(H5303,""IDENTITAS UNIT!D9"")"),"#N/A")</f>
        <v>#N/A</v>
      </c>
      <c r="H5303" s="4" t="str">
        <v/>
      </c>
      <c r="I5303" s="4" t="str">
        <v/>
      </c>
    </row>
    <row r="5304" spans="5:9" ht="16.5" hidden="1">
      <c r="E5304" s="4" t="str">
        <v/>
      </c>
      <c r="F5304" s="102" t="str">
        <f ca="1">IFERROR(__xludf.DUMMYFUNCTION("IMPORTRANGE(H5304,""IDENTITAS UNIT!D9"")"),"#N/A")</f>
        <v>#N/A</v>
      </c>
      <c r="H5304" s="4" t="str">
        <v/>
      </c>
      <c r="I5304" s="4" t="str">
        <v/>
      </c>
    </row>
    <row r="5305" spans="5:9" ht="16.5" hidden="1">
      <c r="E5305" s="4" t="str">
        <v/>
      </c>
      <c r="F5305" s="102" t="str">
        <f ca="1">IFERROR(__xludf.DUMMYFUNCTION("IMPORTRANGE(H5305,""IDENTITAS UNIT!D9"")"),"#N/A")</f>
        <v>#N/A</v>
      </c>
      <c r="H5305" s="4" t="str">
        <v/>
      </c>
      <c r="I5305" s="4" t="str">
        <v/>
      </c>
    </row>
    <row r="5306" spans="5:9" ht="16.5" hidden="1">
      <c r="E5306" s="4" t="str">
        <v/>
      </c>
      <c r="F5306" s="102" t="str">
        <f ca="1">IFERROR(__xludf.DUMMYFUNCTION("IMPORTRANGE(H5306,""IDENTITAS UNIT!D9"")"),"#N/A")</f>
        <v>#N/A</v>
      </c>
      <c r="H5306" s="4" t="str">
        <v/>
      </c>
      <c r="I5306" s="4" t="str">
        <v/>
      </c>
    </row>
    <row r="5307" spans="5:9" ht="16.5" hidden="1">
      <c r="E5307" s="4" t="str">
        <v/>
      </c>
      <c r="F5307" s="102" t="str">
        <f ca="1">IFERROR(__xludf.DUMMYFUNCTION("IMPORTRANGE(H5307,""IDENTITAS UNIT!D9"")"),"#N/A")</f>
        <v>#N/A</v>
      </c>
      <c r="H5307" s="4" t="str">
        <v/>
      </c>
      <c r="I5307" s="4" t="str">
        <v/>
      </c>
    </row>
    <row r="5308" spans="5:9" ht="16.5" hidden="1">
      <c r="E5308" s="4" t="str">
        <v/>
      </c>
      <c r="F5308" s="102" t="str">
        <f ca="1">IFERROR(__xludf.DUMMYFUNCTION("IMPORTRANGE(H5308,""IDENTITAS UNIT!D9"")"),"#N/A")</f>
        <v>#N/A</v>
      </c>
      <c r="H5308" s="4" t="str">
        <v/>
      </c>
      <c r="I5308" s="4" t="str">
        <v/>
      </c>
    </row>
    <row r="5309" spans="5:9" ht="16.5" hidden="1">
      <c r="E5309" s="4" t="str">
        <v/>
      </c>
      <c r="F5309" s="102" t="str">
        <f ca="1">IFERROR(__xludf.DUMMYFUNCTION("IMPORTRANGE(H5309,""IDENTITAS UNIT!D9"")"),"#N/A")</f>
        <v>#N/A</v>
      </c>
      <c r="H5309" s="4" t="str">
        <v/>
      </c>
      <c r="I5309" s="4" t="str">
        <v/>
      </c>
    </row>
    <row r="5310" spans="5:9" ht="16.5" hidden="1">
      <c r="E5310" s="4" t="str">
        <v/>
      </c>
      <c r="F5310" s="102" t="str">
        <f ca="1">IFERROR(__xludf.DUMMYFUNCTION("IMPORTRANGE(H5310,""IDENTITAS UNIT!D9"")"),"#N/A")</f>
        <v>#N/A</v>
      </c>
      <c r="H5310" s="4" t="str">
        <v/>
      </c>
      <c r="I5310" s="4" t="str">
        <v/>
      </c>
    </row>
    <row r="5311" spans="5:9" ht="16.5" hidden="1">
      <c r="E5311" s="4" t="str">
        <v/>
      </c>
      <c r="F5311" s="102" t="str">
        <f ca="1">IFERROR(__xludf.DUMMYFUNCTION("IMPORTRANGE(H5311,""IDENTITAS UNIT!D9"")"),"#N/A")</f>
        <v>#N/A</v>
      </c>
      <c r="H5311" s="4" t="str">
        <v/>
      </c>
      <c r="I5311" s="4" t="str">
        <v/>
      </c>
    </row>
    <row r="5312" spans="5:9" ht="16.5" hidden="1">
      <c r="E5312" s="4" t="str">
        <v/>
      </c>
      <c r="F5312" s="102" t="str">
        <f ca="1">IFERROR(__xludf.DUMMYFUNCTION("IMPORTRANGE(H5312,""IDENTITAS UNIT!D9"")"),"#N/A")</f>
        <v>#N/A</v>
      </c>
      <c r="H5312" s="4" t="str">
        <v/>
      </c>
      <c r="I5312" s="4" t="str">
        <v/>
      </c>
    </row>
    <row r="5313" spans="5:9" ht="16.5" hidden="1">
      <c r="E5313" s="4" t="str">
        <v/>
      </c>
      <c r="F5313" s="102" t="str">
        <f ca="1">IFERROR(__xludf.DUMMYFUNCTION("IMPORTRANGE(H5313,""IDENTITAS UNIT!D9"")"),"#N/A")</f>
        <v>#N/A</v>
      </c>
      <c r="H5313" s="4" t="str">
        <v/>
      </c>
      <c r="I5313" s="4" t="str">
        <v/>
      </c>
    </row>
    <row r="5314" spans="5:9" ht="16.5" hidden="1">
      <c r="E5314" s="4" t="str">
        <v/>
      </c>
      <c r="F5314" s="102" t="str">
        <f ca="1">IFERROR(__xludf.DUMMYFUNCTION("IMPORTRANGE(H5314,""IDENTITAS UNIT!D9"")"),"#N/A")</f>
        <v>#N/A</v>
      </c>
      <c r="H5314" s="4" t="str">
        <v/>
      </c>
      <c r="I5314" s="4" t="str">
        <v/>
      </c>
    </row>
    <row r="5315" spans="5:9" ht="16.5" hidden="1">
      <c r="E5315" s="4" t="str">
        <v/>
      </c>
      <c r="F5315" s="102" t="str">
        <f ca="1">IFERROR(__xludf.DUMMYFUNCTION("IMPORTRANGE(H5315,""IDENTITAS UNIT!D9"")"),"#N/A")</f>
        <v>#N/A</v>
      </c>
      <c r="H5315" s="4" t="str">
        <v/>
      </c>
      <c r="I5315" s="4" t="str">
        <v/>
      </c>
    </row>
    <row r="5316" spans="5:9" ht="16.5" hidden="1">
      <c r="E5316" s="4" t="str">
        <v/>
      </c>
      <c r="F5316" s="102" t="str">
        <f ca="1">IFERROR(__xludf.DUMMYFUNCTION("IMPORTRANGE(H5316,""IDENTITAS UNIT!D9"")"),"#N/A")</f>
        <v>#N/A</v>
      </c>
      <c r="H5316" s="4" t="str">
        <v/>
      </c>
      <c r="I5316" s="4" t="str">
        <v/>
      </c>
    </row>
    <row r="5317" spans="5:9" ht="16.5" hidden="1">
      <c r="E5317" s="4" t="str">
        <v/>
      </c>
      <c r="F5317" s="102" t="str">
        <f ca="1">IFERROR(__xludf.DUMMYFUNCTION("IMPORTRANGE(H5317,""IDENTITAS UNIT!D9"")"),"#N/A")</f>
        <v>#N/A</v>
      </c>
      <c r="H5317" s="4" t="str">
        <v/>
      </c>
      <c r="I5317" s="4" t="str">
        <v/>
      </c>
    </row>
    <row r="5318" spans="5:9" ht="16.5" hidden="1">
      <c r="E5318" s="4" t="str">
        <v/>
      </c>
      <c r="F5318" s="102" t="str">
        <f ca="1">IFERROR(__xludf.DUMMYFUNCTION("IMPORTRANGE(H5318,""IDENTITAS UNIT!D9"")"),"#N/A")</f>
        <v>#N/A</v>
      </c>
      <c r="H5318" s="4" t="str">
        <v/>
      </c>
      <c r="I5318" s="4" t="str">
        <v/>
      </c>
    </row>
    <row r="5319" spans="5:9" ht="16.5" hidden="1">
      <c r="E5319" s="4" t="str">
        <v/>
      </c>
      <c r="F5319" s="102" t="str">
        <f ca="1">IFERROR(__xludf.DUMMYFUNCTION("IMPORTRANGE(H5319,""IDENTITAS UNIT!D9"")"),"#N/A")</f>
        <v>#N/A</v>
      </c>
      <c r="H5319" s="4" t="str">
        <v/>
      </c>
      <c r="I5319" s="4" t="str">
        <v/>
      </c>
    </row>
    <row r="5320" spans="5:9" ht="16.5" hidden="1">
      <c r="E5320" s="4" t="str">
        <v/>
      </c>
      <c r="F5320" s="102" t="str">
        <f ca="1">IFERROR(__xludf.DUMMYFUNCTION("IMPORTRANGE(H5320,""IDENTITAS UNIT!D9"")"),"#N/A")</f>
        <v>#N/A</v>
      </c>
      <c r="H5320" s="4" t="str">
        <v/>
      </c>
      <c r="I5320" s="4" t="str">
        <v/>
      </c>
    </row>
    <row r="5321" spans="5:9" ht="16.5" hidden="1">
      <c r="E5321" s="4" t="str">
        <v/>
      </c>
      <c r="F5321" s="102" t="str">
        <f ca="1">IFERROR(__xludf.DUMMYFUNCTION("IMPORTRANGE(H5321,""IDENTITAS UNIT!D9"")"),"#N/A")</f>
        <v>#N/A</v>
      </c>
      <c r="H5321" s="4" t="str">
        <v/>
      </c>
      <c r="I5321" s="4" t="str">
        <v/>
      </c>
    </row>
    <row r="5322" spans="5:9" ht="16.5" hidden="1">
      <c r="E5322" s="4" t="str">
        <v/>
      </c>
      <c r="F5322" s="102" t="str">
        <f ca="1">IFERROR(__xludf.DUMMYFUNCTION("IMPORTRANGE(H5322,""IDENTITAS UNIT!D9"")"),"#N/A")</f>
        <v>#N/A</v>
      </c>
      <c r="H5322" s="4" t="str">
        <v/>
      </c>
      <c r="I5322" s="4" t="str">
        <v/>
      </c>
    </row>
    <row r="5323" spans="5:9" ht="16.5" hidden="1">
      <c r="E5323" s="4" t="str">
        <v/>
      </c>
      <c r="F5323" s="102" t="str">
        <f ca="1">IFERROR(__xludf.DUMMYFUNCTION("IMPORTRANGE(H5323,""IDENTITAS UNIT!D9"")"),"#N/A")</f>
        <v>#N/A</v>
      </c>
      <c r="H5323" s="4" t="str">
        <v/>
      </c>
      <c r="I5323" s="4" t="str">
        <v/>
      </c>
    </row>
    <row r="5324" spans="5:9" ht="16.5" hidden="1">
      <c r="E5324" s="4" t="str">
        <v/>
      </c>
      <c r="F5324" s="102" t="str">
        <f ca="1">IFERROR(__xludf.DUMMYFUNCTION("IMPORTRANGE(H5324,""IDENTITAS UNIT!D9"")"),"#N/A")</f>
        <v>#N/A</v>
      </c>
      <c r="H5324" s="4" t="str">
        <v/>
      </c>
      <c r="I5324" s="4" t="str">
        <v/>
      </c>
    </row>
    <row r="5325" spans="5:9" ht="16.5" hidden="1">
      <c r="E5325" s="4" t="str">
        <v/>
      </c>
      <c r="F5325" s="102" t="str">
        <f ca="1">IFERROR(__xludf.DUMMYFUNCTION("IMPORTRANGE(H5325,""IDENTITAS UNIT!D9"")"),"#N/A")</f>
        <v>#N/A</v>
      </c>
      <c r="H5325" s="4" t="str">
        <v/>
      </c>
      <c r="I5325" s="4" t="str">
        <v/>
      </c>
    </row>
    <row r="5326" spans="5:9" ht="16.5" hidden="1">
      <c r="E5326" s="4" t="str">
        <v/>
      </c>
      <c r="F5326" s="102" t="str">
        <f ca="1">IFERROR(__xludf.DUMMYFUNCTION("IMPORTRANGE(H5326,""IDENTITAS UNIT!D9"")"),"#N/A")</f>
        <v>#N/A</v>
      </c>
      <c r="H5326" s="4" t="str">
        <v/>
      </c>
      <c r="I5326" s="4" t="str">
        <v/>
      </c>
    </row>
    <row r="5327" spans="5:9" ht="16.5" hidden="1">
      <c r="E5327" s="4" t="str">
        <v/>
      </c>
      <c r="F5327" s="102" t="str">
        <f ca="1">IFERROR(__xludf.DUMMYFUNCTION("IMPORTRANGE(H5327,""IDENTITAS UNIT!D9"")"),"#N/A")</f>
        <v>#N/A</v>
      </c>
      <c r="H5327" s="4" t="str">
        <v/>
      </c>
      <c r="I5327" s="4" t="str">
        <v/>
      </c>
    </row>
    <row r="5328" spans="5:9" ht="16.5" hidden="1">
      <c r="E5328" s="4" t="str">
        <v/>
      </c>
      <c r="F5328" s="102" t="str">
        <f ca="1">IFERROR(__xludf.DUMMYFUNCTION("IMPORTRANGE(H5328,""IDENTITAS UNIT!D9"")"),"#N/A")</f>
        <v>#N/A</v>
      </c>
      <c r="H5328" s="4" t="str">
        <v/>
      </c>
      <c r="I5328" s="4" t="str">
        <v/>
      </c>
    </row>
    <row r="5329" spans="5:9" ht="16.5" hidden="1">
      <c r="E5329" s="4" t="str">
        <v/>
      </c>
      <c r="F5329" s="102" t="str">
        <f ca="1">IFERROR(__xludf.DUMMYFUNCTION("IMPORTRANGE(H5329,""IDENTITAS UNIT!D9"")"),"#N/A")</f>
        <v>#N/A</v>
      </c>
      <c r="H5329" s="4" t="str">
        <v/>
      </c>
      <c r="I5329" s="4" t="str">
        <v/>
      </c>
    </row>
    <row r="5330" spans="5:9" ht="16.5" hidden="1">
      <c r="E5330" s="4" t="str">
        <v/>
      </c>
      <c r="F5330" s="102" t="str">
        <f ca="1">IFERROR(__xludf.DUMMYFUNCTION("IMPORTRANGE(H5330,""IDENTITAS UNIT!D9"")"),"#N/A")</f>
        <v>#N/A</v>
      </c>
      <c r="H5330" s="4" t="str">
        <v/>
      </c>
      <c r="I5330" s="4" t="str">
        <v/>
      </c>
    </row>
    <row r="5331" spans="5:9" ht="16.5" hidden="1">
      <c r="E5331" s="4" t="str">
        <v/>
      </c>
      <c r="F5331" s="102" t="str">
        <f ca="1">IFERROR(__xludf.DUMMYFUNCTION("IMPORTRANGE(H5331,""IDENTITAS UNIT!D9"")"),"#N/A")</f>
        <v>#N/A</v>
      </c>
      <c r="H5331" s="4" t="str">
        <v/>
      </c>
      <c r="I5331" s="4" t="str">
        <v/>
      </c>
    </row>
    <row r="5332" spans="5:9" ht="16.5" hidden="1">
      <c r="E5332" s="4" t="str">
        <v/>
      </c>
      <c r="F5332" s="102" t="str">
        <f ca="1">IFERROR(__xludf.DUMMYFUNCTION("IMPORTRANGE(H5332,""IDENTITAS UNIT!D9"")"),"#N/A")</f>
        <v>#N/A</v>
      </c>
      <c r="H5332" s="4" t="str">
        <v/>
      </c>
      <c r="I5332" s="4" t="str">
        <v/>
      </c>
    </row>
    <row r="5333" spans="5:9" ht="16.5" hidden="1">
      <c r="E5333" s="4" t="str">
        <v/>
      </c>
      <c r="F5333" s="102" t="str">
        <f ca="1">IFERROR(__xludf.DUMMYFUNCTION("IMPORTRANGE(H5333,""IDENTITAS UNIT!D9"")"),"#N/A")</f>
        <v>#N/A</v>
      </c>
      <c r="H5333" s="4" t="str">
        <v/>
      </c>
      <c r="I5333" s="4" t="str">
        <v/>
      </c>
    </row>
    <row r="5334" spans="5:9" ht="16.5" hidden="1">
      <c r="E5334" s="4" t="str">
        <v/>
      </c>
      <c r="F5334" s="102" t="str">
        <f ca="1">IFERROR(__xludf.DUMMYFUNCTION("IMPORTRANGE(H5334,""IDENTITAS UNIT!D9"")"),"#N/A")</f>
        <v>#N/A</v>
      </c>
      <c r="H5334" s="4" t="str">
        <v/>
      </c>
      <c r="I5334" s="4" t="str">
        <v/>
      </c>
    </row>
    <row r="5335" spans="5:9" ht="16.5" hidden="1">
      <c r="E5335" s="4" t="str">
        <v/>
      </c>
      <c r="F5335" s="102" t="str">
        <f ca="1">IFERROR(__xludf.DUMMYFUNCTION("IMPORTRANGE(H5335,""IDENTITAS UNIT!D9"")"),"#N/A")</f>
        <v>#N/A</v>
      </c>
      <c r="H5335" s="4" t="str">
        <v/>
      </c>
      <c r="I5335" s="4" t="str">
        <v/>
      </c>
    </row>
    <row r="5336" spans="5:9" ht="16.5" hidden="1">
      <c r="E5336" s="4" t="str">
        <v/>
      </c>
      <c r="F5336" s="102" t="str">
        <f ca="1">IFERROR(__xludf.DUMMYFUNCTION("IMPORTRANGE(H5336,""IDENTITAS UNIT!D9"")"),"#N/A")</f>
        <v>#N/A</v>
      </c>
      <c r="H5336" s="4" t="str">
        <v/>
      </c>
      <c r="I5336" s="4" t="str">
        <v/>
      </c>
    </row>
    <row r="5337" spans="5:9" ht="16.5" hidden="1">
      <c r="E5337" s="4" t="str">
        <v/>
      </c>
      <c r="F5337" s="102" t="str">
        <f ca="1">IFERROR(__xludf.DUMMYFUNCTION("IMPORTRANGE(H5337,""IDENTITAS UNIT!D9"")"),"#N/A")</f>
        <v>#N/A</v>
      </c>
      <c r="H5337" s="4" t="str">
        <v/>
      </c>
      <c r="I5337" s="4" t="str">
        <v/>
      </c>
    </row>
    <row r="5338" spans="5:9" ht="16.5" hidden="1">
      <c r="E5338" s="4" t="str">
        <v/>
      </c>
      <c r="F5338" s="102" t="str">
        <f ca="1">IFERROR(__xludf.DUMMYFUNCTION("IMPORTRANGE(H5338,""IDENTITAS UNIT!D9"")"),"#N/A")</f>
        <v>#N/A</v>
      </c>
      <c r="H5338" s="4" t="str">
        <v/>
      </c>
      <c r="I5338" s="4" t="str">
        <v/>
      </c>
    </row>
    <row r="5339" spans="5:9" ht="16.5" hidden="1">
      <c r="E5339" s="4" t="str">
        <v/>
      </c>
      <c r="F5339" s="102" t="str">
        <f ca="1">IFERROR(__xludf.DUMMYFUNCTION("IMPORTRANGE(H5339,""IDENTITAS UNIT!D9"")"),"#N/A")</f>
        <v>#N/A</v>
      </c>
      <c r="H5339" s="4" t="str">
        <v/>
      </c>
      <c r="I5339" s="4" t="str">
        <v/>
      </c>
    </row>
    <row r="5340" spans="5:9" ht="16.5" hidden="1">
      <c r="E5340" s="4" t="str">
        <v/>
      </c>
      <c r="F5340" s="102" t="str">
        <f ca="1">IFERROR(__xludf.DUMMYFUNCTION("IMPORTRANGE(H5340,""IDENTITAS UNIT!D9"")"),"#N/A")</f>
        <v>#N/A</v>
      </c>
      <c r="H5340" s="4" t="str">
        <v/>
      </c>
      <c r="I5340" s="4" t="str">
        <v/>
      </c>
    </row>
    <row r="5341" spans="5:9" ht="16.5" hidden="1">
      <c r="E5341" s="4" t="str">
        <v/>
      </c>
      <c r="F5341" s="102" t="str">
        <f ca="1">IFERROR(__xludf.DUMMYFUNCTION("IMPORTRANGE(H5341,""IDENTITAS UNIT!D9"")"),"#N/A")</f>
        <v>#N/A</v>
      </c>
      <c r="H5341" s="4" t="str">
        <v/>
      </c>
      <c r="I5341" s="4" t="str">
        <v/>
      </c>
    </row>
    <row r="5342" spans="5:9" ht="16.5" hidden="1">
      <c r="E5342" s="4" t="str">
        <v/>
      </c>
      <c r="F5342" s="102" t="str">
        <f ca="1">IFERROR(__xludf.DUMMYFUNCTION("IMPORTRANGE(H5342,""IDENTITAS UNIT!D9"")"),"#N/A")</f>
        <v>#N/A</v>
      </c>
      <c r="H5342" s="4" t="str">
        <v/>
      </c>
      <c r="I5342" s="4" t="str">
        <v/>
      </c>
    </row>
    <row r="5343" spans="5:9" ht="16.5" hidden="1">
      <c r="E5343" s="4" t="str">
        <v/>
      </c>
      <c r="F5343" s="102" t="str">
        <f ca="1">IFERROR(__xludf.DUMMYFUNCTION("IMPORTRANGE(H5343,""IDENTITAS UNIT!D9"")"),"#N/A")</f>
        <v>#N/A</v>
      </c>
      <c r="H5343" s="4" t="str">
        <v/>
      </c>
      <c r="I5343" s="4" t="str">
        <v/>
      </c>
    </row>
    <row r="5344" spans="5:9" ht="16.5" hidden="1">
      <c r="E5344" s="4" t="str">
        <v/>
      </c>
      <c r="F5344" s="102" t="str">
        <f ca="1">IFERROR(__xludf.DUMMYFUNCTION("IMPORTRANGE(H5344,""IDENTITAS UNIT!D9"")"),"#N/A")</f>
        <v>#N/A</v>
      </c>
      <c r="H5344" s="4" t="str">
        <v/>
      </c>
      <c r="I5344" s="4" t="str">
        <v/>
      </c>
    </row>
    <row r="5345" spans="5:9" ht="16.5" hidden="1">
      <c r="E5345" s="4" t="str">
        <v/>
      </c>
      <c r="F5345" s="102" t="str">
        <f ca="1">IFERROR(__xludf.DUMMYFUNCTION("IMPORTRANGE(H5345,""IDENTITAS UNIT!D9"")"),"#N/A")</f>
        <v>#N/A</v>
      </c>
      <c r="H5345" s="4" t="str">
        <v/>
      </c>
      <c r="I5345" s="4" t="str">
        <v/>
      </c>
    </row>
    <row r="5346" spans="5:9" ht="16.5" hidden="1">
      <c r="E5346" s="4" t="str">
        <v/>
      </c>
      <c r="F5346" s="102" t="str">
        <f ca="1">IFERROR(__xludf.DUMMYFUNCTION("IMPORTRANGE(H5346,""IDENTITAS UNIT!D9"")"),"#N/A")</f>
        <v>#N/A</v>
      </c>
      <c r="H5346" s="4" t="str">
        <v/>
      </c>
      <c r="I5346" s="4" t="str">
        <v/>
      </c>
    </row>
    <row r="5347" spans="5:9" ht="16.5" hidden="1">
      <c r="E5347" s="4" t="str">
        <v/>
      </c>
      <c r="F5347" s="102" t="str">
        <f ca="1">IFERROR(__xludf.DUMMYFUNCTION("IMPORTRANGE(H5347,""IDENTITAS UNIT!D9"")"),"#N/A")</f>
        <v>#N/A</v>
      </c>
      <c r="H5347" s="4" t="str">
        <v/>
      </c>
      <c r="I5347" s="4" t="str">
        <v/>
      </c>
    </row>
    <row r="5348" spans="5:9" ht="16.5" hidden="1">
      <c r="E5348" s="4" t="str">
        <v/>
      </c>
      <c r="F5348" s="102" t="str">
        <f ca="1">IFERROR(__xludf.DUMMYFUNCTION("IMPORTRANGE(H5348,""IDENTITAS UNIT!D9"")"),"#N/A")</f>
        <v>#N/A</v>
      </c>
      <c r="H5348" s="4" t="str">
        <v/>
      </c>
      <c r="I5348" s="4" t="str">
        <v/>
      </c>
    </row>
    <row r="5349" spans="5:9" ht="16.5" hidden="1">
      <c r="E5349" s="4" t="str">
        <v/>
      </c>
      <c r="F5349" s="102" t="str">
        <f ca="1">IFERROR(__xludf.DUMMYFUNCTION("IMPORTRANGE(H5349,""IDENTITAS UNIT!D9"")"),"#N/A")</f>
        <v>#N/A</v>
      </c>
      <c r="H5349" s="4" t="str">
        <v/>
      </c>
      <c r="I5349" s="4" t="str">
        <v/>
      </c>
    </row>
    <row r="5350" spans="5:9" ht="16.5" hidden="1">
      <c r="E5350" s="4" t="str">
        <v/>
      </c>
      <c r="F5350" s="102" t="str">
        <f ca="1">IFERROR(__xludf.DUMMYFUNCTION("IMPORTRANGE(H5350,""IDENTITAS UNIT!D9"")"),"#N/A")</f>
        <v>#N/A</v>
      </c>
      <c r="H5350" s="4" t="str">
        <v/>
      </c>
      <c r="I5350" s="4" t="str">
        <v/>
      </c>
    </row>
    <row r="5351" spans="5:9" ht="16.5" hidden="1">
      <c r="E5351" s="4" t="str">
        <v/>
      </c>
      <c r="F5351" s="102" t="str">
        <f ca="1">IFERROR(__xludf.DUMMYFUNCTION("IMPORTRANGE(H5351,""IDENTITAS UNIT!D9"")"),"#N/A")</f>
        <v>#N/A</v>
      </c>
      <c r="H5351" s="4" t="str">
        <v/>
      </c>
      <c r="I5351" s="4" t="str">
        <v/>
      </c>
    </row>
    <row r="5352" spans="5:9" ht="16.5" hidden="1">
      <c r="E5352" s="4" t="str">
        <v/>
      </c>
      <c r="F5352" s="102" t="str">
        <f ca="1">IFERROR(__xludf.DUMMYFUNCTION("IMPORTRANGE(H5352,""IDENTITAS UNIT!D9"")"),"#N/A")</f>
        <v>#N/A</v>
      </c>
      <c r="H5352" s="4" t="str">
        <v/>
      </c>
      <c r="I5352" s="4" t="str">
        <v/>
      </c>
    </row>
    <row r="5353" spans="5:9" ht="16.5" hidden="1">
      <c r="E5353" s="4" t="str">
        <v/>
      </c>
      <c r="F5353" s="102" t="str">
        <f ca="1">IFERROR(__xludf.DUMMYFUNCTION("IMPORTRANGE(H5353,""IDENTITAS UNIT!D9"")"),"#N/A")</f>
        <v>#N/A</v>
      </c>
      <c r="H5353" s="4" t="str">
        <v/>
      </c>
      <c r="I5353" s="4" t="str">
        <v/>
      </c>
    </row>
    <row r="5354" spans="5:9" ht="16.5" hidden="1">
      <c r="E5354" s="4" t="str">
        <v/>
      </c>
      <c r="F5354" s="102" t="str">
        <f ca="1">IFERROR(__xludf.DUMMYFUNCTION("IMPORTRANGE(H5354,""IDENTITAS UNIT!D9"")"),"#N/A")</f>
        <v>#N/A</v>
      </c>
      <c r="H5354" s="4" t="str">
        <v/>
      </c>
      <c r="I5354" s="4" t="str">
        <v/>
      </c>
    </row>
    <row r="5355" spans="5:9" ht="16.5" hidden="1">
      <c r="E5355" s="4" t="str">
        <v/>
      </c>
      <c r="F5355" s="102" t="str">
        <f ca="1">IFERROR(__xludf.DUMMYFUNCTION("IMPORTRANGE(H5355,""IDENTITAS UNIT!D9"")"),"#N/A")</f>
        <v>#N/A</v>
      </c>
      <c r="H5355" s="4" t="str">
        <v/>
      </c>
      <c r="I5355" s="4" t="str">
        <v/>
      </c>
    </row>
    <row r="5356" spans="5:9" ht="16.5" hidden="1">
      <c r="E5356" s="4" t="str">
        <v/>
      </c>
      <c r="F5356" s="102" t="str">
        <f ca="1">IFERROR(__xludf.DUMMYFUNCTION("IMPORTRANGE(H5356,""IDENTITAS UNIT!D9"")"),"#N/A")</f>
        <v>#N/A</v>
      </c>
      <c r="H5356" s="4" t="str">
        <v/>
      </c>
      <c r="I5356" s="4" t="str">
        <v/>
      </c>
    </row>
    <row r="5357" spans="5:9" ht="16.5" hidden="1">
      <c r="E5357" s="4" t="str">
        <v/>
      </c>
      <c r="F5357" s="102" t="str">
        <f ca="1">IFERROR(__xludf.DUMMYFUNCTION("IMPORTRANGE(H5357,""IDENTITAS UNIT!D9"")"),"#N/A")</f>
        <v>#N/A</v>
      </c>
      <c r="H5357" s="4" t="str">
        <v/>
      </c>
      <c r="I5357" s="4" t="str">
        <v/>
      </c>
    </row>
    <row r="5358" spans="5:9" ht="16.5" hidden="1">
      <c r="E5358" s="4" t="str">
        <v/>
      </c>
      <c r="F5358" s="102" t="str">
        <f ca="1">IFERROR(__xludf.DUMMYFUNCTION("IMPORTRANGE(H5358,""IDENTITAS UNIT!D9"")"),"#N/A")</f>
        <v>#N/A</v>
      </c>
      <c r="H5358" s="4" t="str">
        <v/>
      </c>
      <c r="I5358" s="4" t="str">
        <v/>
      </c>
    </row>
    <row r="5359" spans="5:9" ht="16.5" hidden="1">
      <c r="E5359" s="4" t="str">
        <v/>
      </c>
      <c r="F5359" s="102" t="str">
        <f ca="1">IFERROR(__xludf.DUMMYFUNCTION("IMPORTRANGE(H5359,""IDENTITAS UNIT!D9"")"),"#N/A")</f>
        <v>#N/A</v>
      </c>
      <c r="H5359" s="4" t="str">
        <v/>
      </c>
      <c r="I5359" s="4" t="str">
        <v/>
      </c>
    </row>
    <row r="5360" spans="5:9" ht="16.5" hidden="1">
      <c r="E5360" s="4" t="str">
        <v/>
      </c>
      <c r="F5360" s="102" t="str">
        <f ca="1">IFERROR(__xludf.DUMMYFUNCTION("IMPORTRANGE(H5360,""IDENTITAS UNIT!D9"")"),"#N/A")</f>
        <v>#N/A</v>
      </c>
      <c r="H5360" s="4" t="str">
        <v/>
      </c>
      <c r="I5360" s="4" t="str">
        <v/>
      </c>
    </row>
    <row r="5361" spans="5:9" ht="16.5" hidden="1">
      <c r="E5361" s="4" t="str">
        <v/>
      </c>
      <c r="F5361" s="102" t="str">
        <f ca="1">IFERROR(__xludf.DUMMYFUNCTION("IMPORTRANGE(H5361,""IDENTITAS UNIT!D9"")"),"#N/A")</f>
        <v>#N/A</v>
      </c>
      <c r="H5361" s="4" t="str">
        <v/>
      </c>
      <c r="I5361" s="4" t="str">
        <v/>
      </c>
    </row>
    <row r="5362" spans="5:9" ht="16.5" hidden="1">
      <c r="E5362" s="4" t="str">
        <v/>
      </c>
      <c r="F5362" s="102" t="str">
        <f ca="1">IFERROR(__xludf.DUMMYFUNCTION("IMPORTRANGE(H5362,""IDENTITAS UNIT!D9"")"),"#N/A")</f>
        <v>#N/A</v>
      </c>
      <c r="H5362" s="4" t="str">
        <v/>
      </c>
      <c r="I5362" s="4" t="str">
        <v/>
      </c>
    </row>
    <row r="5363" spans="5:9" ht="16.5" hidden="1">
      <c r="E5363" s="4" t="str">
        <v/>
      </c>
      <c r="F5363" s="102" t="str">
        <f ca="1">IFERROR(__xludf.DUMMYFUNCTION("IMPORTRANGE(H5363,""IDENTITAS UNIT!D9"")"),"#N/A")</f>
        <v>#N/A</v>
      </c>
      <c r="H5363" s="4" t="str">
        <v/>
      </c>
      <c r="I5363" s="4" t="str">
        <v/>
      </c>
    </row>
    <row r="5364" spans="5:9" ht="16.5" hidden="1">
      <c r="E5364" s="4" t="str">
        <v/>
      </c>
      <c r="F5364" s="102" t="str">
        <f ca="1">IFERROR(__xludf.DUMMYFUNCTION("IMPORTRANGE(H5364,""IDENTITAS UNIT!D9"")"),"#N/A")</f>
        <v>#N/A</v>
      </c>
      <c r="H5364" s="4" t="str">
        <v/>
      </c>
      <c r="I5364" s="4" t="str">
        <v/>
      </c>
    </row>
    <row r="5365" spans="5:9" ht="16.5" hidden="1">
      <c r="E5365" s="4" t="str">
        <v/>
      </c>
      <c r="F5365" s="102" t="str">
        <f ca="1">IFERROR(__xludf.DUMMYFUNCTION("IMPORTRANGE(H5365,""IDENTITAS UNIT!D9"")"),"#N/A")</f>
        <v>#N/A</v>
      </c>
      <c r="H5365" s="4" t="str">
        <v/>
      </c>
      <c r="I5365" s="4" t="str">
        <v/>
      </c>
    </row>
    <row r="5366" spans="5:9" ht="16.5" hidden="1">
      <c r="E5366" s="4" t="str">
        <v/>
      </c>
      <c r="F5366" s="102" t="str">
        <f ca="1">IFERROR(__xludf.DUMMYFUNCTION("IMPORTRANGE(H5366,""IDENTITAS UNIT!D9"")"),"#N/A")</f>
        <v>#N/A</v>
      </c>
      <c r="H5366" s="4" t="str">
        <v/>
      </c>
      <c r="I5366" s="4" t="str">
        <v/>
      </c>
    </row>
    <row r="5367" spans="5:9" ht="16.5" hidden="1">
      <c r="E5367" s="4" t="str">
        <v/>
      </c>
      <c r="F5367" s="102" t="str">
        <f ca="1">IFERROR(__xludf.DUMMYFUNCTION("IMPORTRANGE(H5367,""IDENTITAS UNIT!D9"")"),"#N/A")</f>
        <v>#N/A</v>
      </c>
      <c r="H5367" s="4" t="str">
        <v/>
      </c>
      <c r="I5367" s="4" t="str">
        <v/>
      </c>
    </row>
    <row r="5368" spans="5:9" ht="16.5" hidden="1">
      <c r="E5368" s="4" t="str">
        <v/>
      </c>
      <c r="F5368" s="102" t="str">
        <f ca="1">IFERROR(__xludf.DUMMYFUNCTION("IMPORTRANGE(H5368,""IDENTITAS UNIT!D9"")"),"#N/A")</f>
        <v>#N/A</v>
      </c>
      <c r="H5368" s="4" t="str">
        <v/>
      </c>
      <c r="I5368" s="4" t="str">
        <v/>
      </c>
    </row>
    <row r="5369" spans="5:9" ht="16.5" hidden="1">
      <c r="E5369" s="4" t="str">
        <v/>
      </c>
      <c r="F5369" s="102" t="str">
        <f ca="1">IFERROR(__xludf.DUMMYFUNCTION("IMPORTRANGE(H5369,""IDENTITAS UNIT!D9"")"),"#N/A")</f>
        <v>#N/A</v>
      </c>
      <c r="H5369" s="4" t="str">
        <v/>
      </c>
      <c r="I5369" s="4" t="str">
        <v/>
      </c>
    </row>
    <row r="5370" spans="5:9" ht="16.5" hidden="1">
      <c r="E5370" s="4" t="str">
        <v/>
      </c>
      <c r="F5370" s="102" t="str">
        <f ca="1">IFERROR(__xludf.DUMMYFUNCTION("IMPORTRANGE(H5370,""IDENTITAS UNIT!D9"")"),"#N/A")</f>
        <v>#N/A</v>
      </c>
      <c r="H5370" s="4" t="str">
        <v/>
      </c>
      <c r="I5370" s="4" t="str">
        <v/>
      </c>
    </row>
    <row r="5371" spans="5:9" ht="16.5" hidden="1">
      <c r="E5371" s="4" t="str">
        <v/>
      </c>
      <c r="F5371" s="102" t="str">
        <f ca="1">IFERROR(__xludf.DUMMYFUNCTION("IMPORTRANGE(H5371,""IDENTITAS UNIT!D9"")"),"#N/A")</f>
        <v>#N/A</v>
      </c>
      <c r="H5371" s="4" t="str">
        <v/>
      </c>
      <c r="I5371" s="4" t="str">
        <v/>
      </c>
    </row>
    <row r="5372" spans="5:9" ht="16.5" hidden="1">
      <c r="E5372" s="4" t="str">
        <v/>
      </c>
      <c r="F5372" s="102" t="str">
        <f ca="1">IFERROR(__xludf.DUMMYFUNCTION("IMPORTRANGE(H5372,""IDENTITAS UNIT!D9"")"),"#N/A")</f>
        <v>#N/A</v>
      </c>
      <c r="H5372" s="4" t="str">
        <v/>
      </c>
      <c r="I5372" s="4" t="str">
        <v/>
      </c>
    </row>
    <row r="5373" spans="5:9" ht="16.5" hidden="1">
      <c r="E5373" s="4" t="str">
        <v/>
      </c>
      <c r="F5373" s="102" t="str">
        <f ca="1">IFERROR(__xludf.DUMMYFUNCTION("IMPORTRANGE(H5373,""IDENTITAS UNIT!D9"")"),"#N/A")</f>
        <v>#N/A</v>
      </c>
      <c r="H5373" s="4" t="str">
        <v/>
      </c>
      <c r="I5373" s="4" t="str">
        <v/>
      </c>
    </row>
    <row r="5374" spans="5:9" ht="16.5" hidden="1">
      <c r="E5374" s="4" t="str">
        <v/>
      </c>
      <c r="F5374" s="102" t="str">
        <f ca="1">IFERROR(__xludf.DUMMYFUNCTION("IMPORTRANGE(H5374,""IDENTITAS UNIT!D9"")"),"#N/A")</f>
        <v>#N/A</v>
      </c>
      <c r="H5374" s="4" t="str">
        <v/>
      </c>
      <c r="I5374" s="4" t="str">
        <v/>
      </c>
    </row>
    <row r="5375" spans="5:9" ht="16.5" hidden="1">
      <c r="E5375" s="4" t="str">
        <v/>
      </c>
      <c r="F5375" s="102" t="str">
        <f ca="1">IFERROR(__xludf.DUMMYFUNCTION("IMPORTRANGE(H5375,""IDENTITAS UNIT!D9"")"),"#N/A")</f>
        <v>#N/A</v>
      </c>
      <c r="H5375" s="4" t="str">
        <v/>
      </c>
      <c r="I5375" s="4" t="str">
        <v/>
      </c>
    </row>
    <row r="5376" spans="5:9" ht="16.5" hidden="1">
      <c r="E5376" s="4" t="str">
        <v/>
      </c>
      <c r="F5376" s="102" t="str">
        <f ca="1">IFERROR(__xludf.DUMMYFUNCTION("IMPORTRANGE(H5376,""IDENTITAS UNIT!D9"")"),"#N/A")</f>
        <v>#N/A</v>
      </c>
      <c r="H5376" s="4" t="str">
        <v/>
      </c>
      <c r="I5376" s="4" t="str">
        <v/>
      </c>
    </row>
    <row r="5377" spans="5:9" ht="16.5" hidden="1">
      <c r="E5377" s="4" t="str">
        <v/>
      </c>
      <c r="F5377" s="102" t="str">
        <f ca="1">IFERROR(__xludf.DUMMYFUNCTION("IMPORTRANGE(H5377,""IDENTITAS UNIT!D9"")"),"#N/A")</f>
        <v>#N/A</v>
      </c>
      <c r="H5377" s="4" t="str">
        <v/>
      </c>
      <c r="I5377" s="4" t="str">
        <v/>
      </c>
    </row>
    <row r="5378" spans="5:9" ht="16.5" hidden="1">
      <c r="E5378" s="4" t="str">
        <v/>
      </c>
      <c r="F5378" s="102" t="str">
        <f ca="1">IFERROR(__xludf.DUMMYFUNCTION("IMPORTRANGE(H5378,""IDENTITAS UNIT!D9"")"),"#N/A")</f>
        <v>#N/A</v>
      </c>
      <c r="H5378" s="4" t="str">
        <v/>
      </c>
      <c r="I5378" s="4" t="str">
        <v/>
      </c>
    </row>
    <row r="5379" spans="5:9" ht="16.5" hidden="1">
      <c r="E5379" s="4" t="str">
        <v/>
      </c>
      <c r="F5379" s="102" t="str">
        <f ca="1">IFERROR(__xludf.DUMMYFUNCTION("IMPORTRANGE(H5379,""IDENTITAS UNIT!D9"")"),"#N/A")</f>
        <v>#N/A</v>
      </c>
      <c r="H5379" s="4" t="str">
        <v/>
      </c>
      <c r="I5379" s="4" t="str">
        <v/>
      </c>
    </row>
    <row r="5380" spans="5:9" ht="16.5" hidden="1">
      <c r="E5380" s="4" t="str">
        <v/>
      </c>
      <c r="F5380" s="102" t="str">
        <f ca="1">IFERROR(__xludf.DUMMYFUNCTION("IMPORTRANGE(H5380,""IDENTITAS UNIT!D9"")"),"#N/A")</f>
        <v>#N/A</v>
      </c>
      <c r="H5380" s="4" t="str">
        <v/>
      </c>
      <c r="I5380" s="4" t="str">
        <v/>
      </c>
    </row>
    <row r="5381" spans="5:9" ht="16.5" hidden="1">
      <c r="E5381" s="4" t="str">
        <v/>
      </c>
      <c r="F5381" s="102" t="str">
        <f ca="1">IFERROR(__xludf.DUMMYFUNCTION("IMPORTRANGE(H5381,""IDENTITAS UNIT!D9"")"),"#N/A")</f>
        <v>#N/A</v>
      </c>
      <c r="H5381" s="4" t="str">
        <v/>
      </c>
      <c r="I5381" s="4" t="str">
        <v/>
      </c>
    </row>
    <row r="5382" spans="5:9" ht="16.5" hidden="1">
      <c r="E5382" s="4" t="str">
        <v/>
      </c>
      <c r="F5382" s="102" t="str">
        <f ca="1">IFERROR(__xludf.DUMMYFUNCTION("IMPORTRANGE(H5382,""IDENTITAS UNIT!D9"")"),"#N/A")</f>
        <v>#N/A</v>
      </c>
      <c r="H5382" s="4" t="str">
        <v/>
      </c>
      <c r="I5382" s="4" t="str">
        <v/>
      </c>
    </row>
    <row r="5383" spans="5:9" ht="16.5" hidden="1">
      <c r="E5383" s="4" t="str">
        <v/>
      </c>
      <c r="F5383" s="102" t="str">
        <f ca="1">IFERROR(__xludf.DUMMYFUNCTION("IMPORTRANGE(H5383,""IDENTITAS UNIT!D9"")"),"#N/A")</f>
        <v>#N/A</v>
      </c>
      <c r="H5383" s="4" t="str">
        <v/>
      </c>
      <c r="I5383" s="4" t="str">
        <v/>
      </c>
    </row>
    <row r="5384" spans="5:9" ht="16.5" hidden="1">
      <c r="E5384" s="4" t="str">
        <v/>
      </c>
      <c r="F5384" s="102" t="str">
        <f ca="1">IFERROR(__xludf.DUMMYFUNCTION("IMPORTRANGE(H5384,""IDENTITAS UNIT!D9"")"),"#N/A")</f>
        <v>#N/A</v>
      </c>
      <c r="H5384" s="4" t="str">
        <v/>
      </c>
      <c r="I5384" s="4" t="str">
        <v/>
      </c>
    </row>
    <row r="5385" spans="5:9" ht="16.5" hidden="1">
      <c r="E5385" s="4" t="str">
        <v/>
      </c>
      <c r="F5385" s="102" t="str">
        <f ca="1">IFERROR(__xludf.DUMMYFUNCTION("IMPORTRANGE(H5385,""IDENTITAS UNIT!D9"")"),"#N/A")</f>
        <v>#N/A</v>
      </c>
      <c r="H5385" s="4" t="str">
        <v/>
      </c>
      <c r="I5385" s="4" t="str">
        <v/>
      </c>
    </row>
    <row r="5386" spans="5:9" ht="16.5" hidden="1">
      <c r="E5386" s="4" t="str">
        <v/>
      </c>
      <c r="F5386" s="102" t="str">
        <f ca="1">IFERROR(__xludf.DUMMYFUNCTION("IMPORTRANGE(H5386,""IDENTITAS UNIT!D9"")"),"#N/A")</f>
        <v>#N/A</v>
      </c>
      <c r="H5386" s="4" t="str">
        <v/>
      </c>
      <c r="I5386" s="4" t="str">
        <v/>
      </c>
    </row>
    <row r="5387" spans="5:9" ht="16.5" hidden="1">
      <c r="E5387" s="4" t="str">
        <v/>
      </c>
      <c r="F5387" s="102" t="str">
        <f ca="1">IFERROR(__xludf.DUMMYFUNCTION("IMPORTRANGE(H5387,""IDENTITAS UNIT!D9"")"),"#N/A")</f>
        <v>#N/A</v>
      </c>
      <c r="H5387" s="4" t="str">
        <v/>
      </c>
      <c r="I5387" s="4" t="str">
        <v/>
      </c>
    </row>
    <row r="5388" spans="5:9" ht="16.5" hidden="1">
      <c r="E5388" s="4" t="str">
        <v/>
      </c>
      <c r="F5388" s="102" t="str">
        <f ca="1">IFERROR(__xludf.DUMMYFUNCTION("IMPORTRANGE(H5388,""IDENTITAS UNIT!D9"")"),"#N/A")</f>
        <v>#N/A</v>
      </c>
      <c r="H5388" s="4" t="str">
        <v/>
      </c>
      <c r="I5388" s="4" t="str">
        <v/>
      </c>
    </row>
    <row r="5389" spans="5:9" ht="16.5" hidden="1">
      <c r="E5389" s="4" t="str">
        <v/>
      </c>
      <c r="F5389" s="102" t="str">
        <f ca="1">IFERROR(__xludf.DUMMYFUNCTION("IMPORTRANGE(H5389,""IDENTITAS UNIT!D9"")"),"#N/A")</f>
        <v>#N/A</v>
      </c>
      <c r="H5389" s="4" t="str">
        <v/>
      </c>
      <c r="I5389" s="4" t="str">
        <v/>
      </c>
    </row>
    <row r="5390" spans="5:9" ht="16.5" hidden="1">
      <c r="E5390" s="4" t="str">
        <v/>
      </c>
      <c r="F5390" s="102" t="str">
        <f ca="1">IFERROR(__xludf.DUMMYFUNCTION("IMPORTRANGE(H5390,""IDENTITAS UNIT!D9"")"),"#N/A")</f>
        <v>#N/A</v>
      </c>
      <c r="H5390" s="4" t="str">
        <v/>
      </c>
      <c r="I5390" s="4" t="str">
        <v/>
      </c>
    </row>
    <row r="5391" spans="5:9" ht="16.5" hidden="1">
      <c r="E5391" s="4" t="str">
        <v/>
      </c>
      <c r="F5391" s="102" t="str">
        <f ca="1">IFERROR(__xludf.DUMMYFUNCTION("IMPORTRANGE(H5391,""IDENTITAS UNIT!D9"")"),"#N/A")</f>
        <v>#N/A</v>
      </c>
      <c r="H5391" s="4" t="str">
        <v/>
      </c>
      <c r="I5391" s="4" t="str">
        <v/>
      </c>
    </row>
    <row r="5392" spans="5:9" ht="16.5" hidden="1">
      <c r="E5392" s="4" t="str">
        <v/>
      </c>
      <c r="F5392" s="102" t="str">
        <f ca="1">IFERROR(__xludf.DUMMYFUNCTION("IMPORTRANGE(H5392,""IDENTITAS UNIT!D9"")"),"#N/A")</f>
        <v>#N/A</v>
      </c>
      <c r="H5392" s="4" t="str">
        <v/>
      </c>
      <c r="I5392" s="4" t="str">
        <v/>
      </c>
    </row>
    <row r="5393" spans="5:9" ht="16.5" hidden="1">
      <c r="E5393" s="4" t="str">
        <v/>
      </c>
      <c r="F5393" s="102" t="str">
        <f ca="1">IFERROR(__xludf.DUMMYFUNCTION("IMPORTRANGE(H5393,""IDENTITAS UNIT!D9"")"),"#N/A")</f>
        <v>#N/A</v>
      </c>
      <c r="H5393" s="4" t="str">
        <v/>
      </c>
      <c r="I5393" s="4" t="str">
        <v/>
      </c>
    </row>
    <row r="5394" spans="5:9" ht="16.5" hidden="1">
      <c r="E5394" s="4" t="str">
        <v/>
      </c>
      <c r="F5394" s="102" t="str">
        <f ca="1">IFERROR(__xludf.DUMMYFUNCTION("IMPORTRANGE(H5394,""IDENTITAS UNIT!D9"")"),"#N/A")</f>
        <v>#N/A</v>
      </c>
      <c r="H5394" s="4" t="str">
        <v/>
      </c>
      <c r="I5394" s="4" t="str">
        <v/>
      </c>
    </row>
    <row r="5395" spans="5:9" ht="16.5" hidden="1">
      <c r="E5395" s="4" t="str">
        <v/>
      </c>
      <c r="F5395" s="102" t="str">
        <f ca="1">IFERROR(__xludf.DUMMYFUNCTION("IMPORTRANGE(H5395,""IDENTITAS UNIT!D9"")"),"#N/A")</f>
        <v>#N/A</v>
      </c>
      <c r="H5395" s="4" t="str">
        <v/>
      </c>
      <c r="I5395" s="4" t="str">
        <v/>
      </c>
    </row>
    <row r="5396" spans="5:9" ht="16.5" hidden="1">
      <c r="E5396" s="4" t="str">
        <v/>
      </c>
      <c r="F5396" s="102" t="str">
        <f ca="1">IFERROR(__xludf.DUMMYFUNCTION("IMPORTRANGE(H5396,""IDENTITAS UNIT!D9"")"),"#N/A")</f>
        <v>#N/A</v>
      </c>
      <c r="H5396" s="4" t="str">
        <v/>
      </c>
      <c r="I5396" s="4" t="str">
        <v/>
      </c>
    </row>
    <row r="5397" spans="5:9" ht="16.5" hidden="1">
      <c r="E5397" s="4" t="str">
        <v/>
      </c>
      <c r="F5397" s="102" t="str">
        <f ca="1">IFERROR(__xludf.DUMMYFUNCTION("IMPORTRANGE(H5397,""IDENTITAS UNIT!D9"")"),"#N/A")</f>
        <v>#N/A</v>
      </c>
      <c r="H5397" s="4" t="str">
        <v/>
      </c>
      <c r="I5397" s="4" t="str">
        <v/>
      </c>
    </row>
    <row r="5398" spans="5:9" ht="16.5" hidden="1">
      <c r="E5398" s="4" t="str">
        <v/>
      </c>
      <c r="F5398" s="102" t="str">
        <f ca="1">IFERROR(__xludf.DUMMYFUNCTION("IMPORTRANGE(H5398,""IDENTITAS UNIT!D9"")"),"#N/A")</f>
        <v>#N/A</v>
      </c>
      <c r="H5398" s="4" t="str">
        <v/>
      </c>
      <c r="I5398" s="4" t="str">
        <v/>
      </c>
    </row>
    <row r="5399" spans="5:9" ht="16.5" hidden="1">
      <c r="E5399" s="4" t="str">
        <v/>
      </c>
      <c r="F5399" s="102" t="str">
        <f ca="1">IFERROR(__xludf.DUMMYFUNCTION("IMPORTRANGE(H5399,""IDENTITAS UNIT!D9"")"),"#N/A")</f>
        <v>#N/A</v>
      </c>
      <c r="H5399" s="4" t="str">
        <v/>
      </c>
      <c r="I5399" s="4" t="str">
        <v/>
      </c>
    </row>
    <row r="5400" spans="5:9" ht="16.5" hidden="1">
      <c r="E5400" s="4" t="str">
        <v/>
      </c>
      <c r="F5400" s="102" t="str">
        <f ca="1">IFERROR(__xludf.DUMMYFUNCTION("IMPORTRANGE(H5400,""IDENTITAS UNIT!D9"")"),"#N/A")</f>
        <v>#N/A</v>
      </c>
      <c r="H5400" s="4" t="str">
        <v/>
      </c>
      <c r="I5400" s="4" t="str">
        <v/>
      </c>
    </row>
    <row r="5401" spans="5:9" ht="16.5" hidden="1">
      <c r="E5401" s="4" t="str">
        <v/>
      </c>
      <c r="F5401" s="102" t="str">
        <f ca="1">IFERROR(__xludf.DUMMYFUNCTION("IMPORTRANGE(H5401,""IDENTITAS UNIT!D9"")"),"#N/A")</f>
        <v>#N/A</v>
      </c>
      <c r="H5401" s="4" t="str">
        <v/>
      </c>
      <c r="I5401" s="4" t="str">
        <v/>
      </c>
    </row>
    <row r="5402" spans="5:9" ht="16.5" hidden="1">
      <c r="E5402" s="4" t="str">
        <v/>
      </c>
      <c r="F5402" s="102" t="str">
        <f ca="1">IFERROR(__xludf.DUMMYFUNCTION("IMPORTRANGE(H5402,""IDENTITAS UNIT!D9"")"),"#N/A")</f>
        <v>#N/A</v>
      </c>
      <c r="H5402" s="4" t="str">
        <v/>
      </c>
      <c r="I5402" s="4" t="str">
        <v/>
      </c>
    </row>
    <row r="5403" spans="5:9" ht="16.5" hidden="1">
      <c r="E5403" s="4" t="str">
        <v/>
      </c>
      <c r="F5403" s="102" t="str">
        <f ca="1">IFERROR(__xludf.DUMMYFUNCTION("IMPORTRANGE(H5403,""IDENTITAS UNIT!D9"")"),"#N/A")</f>
        <v>#N/A</v>
      </c>
      <c r="H5403" s="4" t="str">
        <v/>
      </c>
      <c r="I5403" s="4" t="str">
        <v/>
      </c>
    </row>
    <row r="5404" spans="5:9" ht="16.5" hidden="1">
      <c r="E5404" s="4" t="str">
        <v/>
      </c>
      <c r="F5404" s="102" t="str">
        <f ca="1">IFERROR(__xludf.DUMMYFUNCTION("IMPORTRANGE(H5404,""IDENTITAS UNIT!D9"")"),"#N/A")</f>
        <v>#N/A</v>
      </c>
      <c r="H5404" s="4" t="str">
        <v/>
      </c>
      <c r="I5404" s="4" t="str">
        <v/>
      </c>
    </row>
    <row r="5405" spans="5:9" ht="16.5" hidden="1">
      <c r="E5405" s="4" t="str">
        <v/>
      </c>
      <c r="F5405" s="102" t="str">
        <f ca="1">IFERROR(__xludf.DUMMYFUNCTION("IMPORTRANGE(H5405,""IDENTITAS UNIT!D9"")"),"#N/A")</f>
        <v>#N/A</v>
      </c>
      <c r="H5405" s="4" t="str">
        <v/>
      </c>
      <c r="I5405" s="4" t="str">
        <v/>
      </c>
    </row>
    <row r="5406" spans="5:9" ht="16.5" hidden="1">
      <c r="E5406" s="4" t="str">
        <v/>
      </c>
      <c r="F5406" s="102" t="str">
        <f ca="1">IFERROR(__xludf.DUMMYFUNCTION("IMPORTRANGE(H5406,""IDENTITAS UNIT!D9"")"),"#N/A")</f>
        <v>#N/A</v>
      </c>
      <c r="H5406" s="4" t="str">
        <v/>
      </c>
      <c r="I5406" s="4" t="str">
        <v/>
      </c>
    </row>
    <row r="5407" spans="5:9" ht="16.5" hidden="1">
      <c r="E5407" s="4" t="str">
        <v/>
      </c>
      <c r="F5407" s="102" t="str">
        <f ca="1">IFERROR(__xludf.DUMMYFUNCTION("IMPORTRANGE(H5407,""IDENTITAS UNIT!D9"")"),"#N/A")</f>
        <v>#N/A</v>
      </c>
      <c r="H5407" s="4" t="str">
        <v/>
      </c>
      <c r="I5407" s="4" t="str">
        <v/>
      </c>
    </row>
    <row r="5408" spans="5:9" ht="16.5" hidden="1">
      <c r="E5408" s="4" t="str">
        <v/>
      </c>
      <c r="F5408" s="102" t="str">
        <f ca="1">IFERROR(__xludf.DUMMYFUNCTION("IMPORTRANGE(H5408,""IDENTITAS UNIT!D9"")"),"#N/A")</f>
        <v>#N/A</v>
      </c>
      <c r="H5408" s="4" t="str">
        <v/>
      </c>
      <c r="I5408" s="4" t="str">
        <v/>
      </c>
    </row>
    <row r="5409" spans="5:9" ht="16.5" hidden="1">
      <c r="E5409" s="4" t="str">
        <v/>
      </c>
      <c r="F5409" s="102" t="str">
        <f ca="1">IFERROR(__xludf.DUMMYFUNCTION("IMPORTRANGE(H5409,""IDENTITAS UNIT!D9"")"),"#N/A")</f>
        <v>#N/A</v>
      </c>
      <c r="H5409" s="4" t="str">
        <v/>
      </c>
      <c r="I5409" s="4" t="str">
        <v/>
      </c>
    </row>
    <row r="5410" spans="5:9" ht="16.5" hidden="1">
      <c r="E5410" s="4" t="str">
        <v/>
      </c>
      <c r="F5410" s="102" t="str">
        <f ca="1">IFERROR(__xludf.DUMMYFUNCTION("IMPORTRANGE(H5410,""IDENTITAS UNIT!D9"")"),"#N/A")</f>
        <v>#N/A</v>
      </c>
      <c r="H5410" s="4" t="str">
        <v/>
      </c>
      <c r="I5410" s="4" t="str">
        <v/>
      </c>
    </row>
    <row r="5411" spans="5:9" ht="16.5" hidden="1">
      <c r="E5411" s="4" t="str">
        <v/>
      </c>
      <c r="F5411" s="102" t="str">
        <f ca="1">IFERROR(__xludf.DUMMYFUNCTION("IMPORTRANGE(H5411,""IDENTITAS UNIT!D9"")"),"#N/A")</f>
        <v>#N/A</v>
      </c>
      <c r="H5411" s="4" t="str">
        <v/>
      </c>
      <c r="I5411" s="4" t="str">
        <v/>
      </c>
    </row>
    <row r="5412" spans="5:9" ht="16.5" hidden="1">
      <c r="E5412" s="4" t="str">
        <v/>
      </c>
      <c r="F5412" s="102" t="str">
        <f ca="1">IFERROR(__xludf.DUMMYFUNCTION("IMPORTRANGE(H5412,""IDENTITAS UNIT!D9"")"),"#N/A")</f>
        <v>#N/A</v>
      </c>
      <c r="H5412" s="4" t="str">
        <v/>
      </c>
      <c r="I5412" s="4" t="str">
        <v/>
      </c>
    </row>
    <row r="5413" spans="5:9" ht="16.5" hidden="1">
      <c r="E5413" s="4" t="str">
        <v/>
      </c>
      <c r="F5413" s="102" t="str">
        <f ca="1">IFERROR(__xludf.DUMMYFUNCTION("IMPORTRANGE(H5413,""IDENTITAS UNIT!D9"")"),"#N/A")</f>
        <v>#N/A</v>
      </c>
      <c r="H5413" s="4" t="str">
        <v/>
      </c>
      <c r="I5413" s="4" t="str">
        <v/>
      </c>
    </row>
    <row r="5414" spans="5:9" ht="16.5" hidden="1">
      <c r="E5414" s="4" t="str">
        <v/>
      </c>
      <c r="F5414" s="102" t="str">
        <f ca="1">IFERROR(__xludf.DUMMYFUNCTION("IMPORTRANGE(H5414,""IDENTITAS UNIT!D9"")"),"#N/A")</f>
        <v>#N/A</v>
      </c>
      <c r="H5414" s="4" t="str">
        <v/>
      </c>
      <c r="I5414" s="4" t="str">
        <v/>
      </c>
    </row>
    <row r="5415" spans="5:9" ht="16.5" hidden="1">
      <c r="E5415" s="4" t="str">
        <v/>
      </c>
      <c r="F5415" s="102" t="str">
        <f ca="1">IFERROR(__xludf.DUMMYFUNCTION("IMPORTRANGE(H5415,""IDENTITAS UNIT!D9"")"),"#N/A")</f>
        <v>#N/A</v>
      </c>
      <c r="H5415" s="4" t="str">
        <v/>
      </c>
      <c r="I5415" s="4" t="str">
        <v/>
      </c>
    </row>
    <row r="5416" spans="5:9" ht="16.5" hidden="1">
      <c r="E5416" s="4" t="str">
        <v/>
      </c>
      <c r="F5416" s="102" t="str">
        <f ca="1">IFERROR(__xludf.DUMMYFUNCTION("IMPORTRANGE(H5416,""IDENTITAS UNIT!D9"")"),"#N/A")</f>
        <v>#N/A</v>
      </c>
      <c r="H5416" s="4" t="str">
        <v/>
      </c>
      <c r="I5416" s="4" t="str">
        <v/>
      </c>
    </row>
    <row r="5417" spans="5:9" ht="16.5" hidden="1">
      <c r="E5417" s="4" t="str">
        <v/>
      </c>
      <c r="F5417" s="102" t="str">
        <f ca="1">IFERROR(__xludf.DUMMYFUNCTION("IMPORTRANGE(H5417,""IDENTITAS UNIT!D9"")"),"#N/A")</f>
        <v>#N/A</v>
      </c>
      <c r="H5417" s="4" t="str">
        <v/>
      </c>
      <c r="I5417" s="4" t="str">
        <v/>
      </c>
    </row>
    <row r="5418" spans="5:9" ht="16.5" hidden="1">
      <c r="E5418" s="4" t="str">
        <v/>
      </c>
      <c r="F5418" s="102" t="str">
        <f ca="1">IFERROR(__xludf.DUMMYFUNCTION("IMPORTRANGE(H5418,""IDENTITAS UNIT!D9"")"),"#N/A")</f>
        <v>#N/A</v>
      </c>
      <c r="H5418" s="4" t="str">
        <v/>
      </c>
      <c r="I5418" s="4" t="str">
        <v/>
      </c>
    </row>
    <row r="5419" spans="5:9" ht="16.5" hidden="1">
      <c r="E5419" s="4" t="str">
        <v/>
      </c>
      <c r="F5419" s="102" t="str">
        <f ca="1">IFERROR(__xludf.DUMMYFUNCTION("IMPORTRANGE(H5419,""IDENTITAS UNIT!D9"")"),"#N/A")</f>
        <v>#N/A</v>
      </c>
      <c r="H5419" s="4" t="str">
        <v/>
      </c>
      <c r="I5419" s="4" t="str">
        <v/>
      </c>
    </row>
    <row r="5420" spans="5:9" ht="16.5" hidden="1">
      <c r="E5420" s="4" t="str">
        <v/>
      </c>
      <c r="F5420" s="102" t="str">
        <f ca="1">IFERROR(__xludf.DUMMYFUNCTION("IMPORTRANGE(H5420,""IDENTITAS UNIT!D9"")"),"#N/A")</f>
        <v>#N/A</v>
      </c>
      <c r="H5420" s="4" t="str">
        <v/>
      </c>
      <c r="I5420" s="4" t="str">
        <v/>
      </c>
    </row>
    <row r="5421" spans="5:9" ht="16.5" hidden="1">
      <c r="E5421" s="4" t="str">
        <v/>
      </c>
      <c r="F5421" s="102" t="str">
        <f ca="1">IFERROR(__xludf.DUMMYFUNCTION("IMPORTRANGE(H5421,""IDENTITAS UNIT!D9"")"),"#N/A")</f>
        <v>#N/A</v>
      </c>
      <c r="H5421" s="4" t="str">
        <v/>
      </c>
      <c r="I5421" s="4" t="str">
        <v/>
      </c>
    </row>
    <row r="5422" spans="5:9" ht="16.5" hidden="1">
      <c r="E5422" s="4" t="str">
        <v/>
      </c>
      <c r="F5422" s="102" t="str">
        <f ca="1">IFERROR(__xludf.DUMMYFUNCTION("IMPORTRANGE(H5422,""IDENTITAS UNIT!D9"")"),"#N/A")</f>
        <v>#N/A</v>
      </c>
      <c r="H5422" s="4" t="str">
        <v/>
      </c>
      <c r="I5422" s="4" t="str">
        <v/>
      </c>
    </row>
    <row r="5423" spans="5:9" ht="16.5" hidden="1">
      <c r="E5423" s="4" t="str">
        <v/>
      </c>
      <c r="F5423" s="102" t="str">
        <f ca="1">IFERROR(__xludf.DUMMYFUNCTION("IMPORTRANGE(H5423,""IDENTITAS UNIT!D9"")"),"#N/A")</f>
        <v>#N/A</v>
      </c>
      <c r="H5423" s="4" t="str">
        <v/>
      </c>
      <c r="I5423" s="4" t="str">
        <v/>
      </c>
    </row>
    <row r="5424" spans="5:9" ht="16.5" hidden="1">
      <c r="E5424" s="4" t="str">
        <v/>
      </c>
      <c r="F5424" s="102" t="str">
        <f ca="1">IFERROR(__xludf.DUMMYFUNCTION("IMPORTRANGE(H5424,""IDENTITAS UNIT!D9"")"),"#N/A")</f>
        <v>#N/A</v>
      </c>
      <c r="H5424" s="4" t="str">
        <v/>
      </c>
      <c r="I5424" s="4" t="str">
        <v/>
      </c>
    </row>
    <row r="5425" spans="5:9" ht="16.5" hidden="1">
      <c r="E5425" s="4" t="str">
        <v/>
      </c>
      <c r="F5425" s="102" t="str">
        <f ca="1">IFERROR(__xludf.DUMMYFUNCTION("IMPORTRANGE(H5425,""IDENTITAS UNIT!D9"")"),"#N/A")</f>
        <v>#N/A</v>
      </c>
      <c r="H5425" s="4" t="str">
        <v/>
      </c>
      <c r="I5425" s="4" t="str">
        <v/>
      </c>
    </row>
    <row r="5426" spans="5:9" ht="16.5" hidden="1">
      <c r="E5426" s="4" t="str">
        <v/>
      </c>
      <c r="F5426" s="102" t="str">
        <f ca="1">IFERROR(__xludf.DUMMYFUNCTION("IMPORTRANGE(H5426,""IDENTITAS UNIT!D9"")"),"#N/A")</f>
        <v>#N/A</v>
      </c>
      <c r="H5426" s="4" t="str">
        <v/>
      </c>
      <c r="I5426" s="4" t="str">
        <v/>
      </c>
    </row>
    <row r="5427" spans="5:9" ht="16.5" hidden="1">
      <c r="E5427" s="4" t="str">
        <v/>
      </c>
      <c r="F5427" s="102" t="str">
        <f ca="1">IFERROR(__xludf.DUMMYFUNCTION("IMPORTRANGE(H5427,""IDENTITAS UNIT!D9"")"),"#N/A")</f>
        <v>#N/A</v>
      </c>
      <c r="H5427" s="4" t="str">
        <v/>
      </c>
      <c r="I5427" s="4" t="str">
        <v/>
      </c>
    </row>
    <row r="5428" spans="5:9" ht="16.5" hidden="1">
      <c r="E5428" s="4" t="str">
        <v/>
      </c>
      <c r="F5428" s="102" t="str">
        <f ca="1">IFERROR(__xludf.DUMMYFUNCTION("IMPORTRANGE(H5428,""IDENTITAS UNIT!D9"")"),"#N/A")</f>
        <v>#N/A</v>
      </c>
      <c r="H5428" s="4" t="str">
        <v/>
      </c>
      <c r="I5428" s="4" t="str">
        <v/>
      </c>
    </row>
    <row r="5429" spans="5:9" ht="16.5" hidden="1">
      <c r="E5429" s="4" t="str">
        <v/>
      </c>
      <c r="F5429" s="102" t="str">
        <f ca="1">IFERROR(__xludf.DUMMYFUNCTION("IMPORTRANGE(H5429,""IDENTITAS UNIT!D9"")"),"#N/A")</f>
        <v>#N/A</v>
      </c>
      <c r="H5429" s="4" t="str">
        <v/>
      </c>
      <c r="I5429" s="4" t="str">
        <v/>
      </c>
    </row>
    <row r="5430" spans="5:9" ht="16.5" hidden="1">
      <c r="E5430" s="4" t="str">
        <v/>
      </c>
      <c r="F5430" s="102" t="str">
        <f ca="1">IFERROR(__xludf.DUMMYFUNCTION("IMPORTRANGE(H5430,""IDENTITAS UNIT!D9"")"),"#N/A")</f>
        <v>#N/A</v>
      </c>
      <c r="H5430" s="4" t="str">
        <v/>
      </c>
      <c r="I5430" s="4" t="str">
        <v/>
      </c>
    </row>
    <row r="5431" spans="5:9" ht="16.5" hidden="1">
      <c r="E5431" s="4" t="str">
        <v/>
      </c>
      <c r="F5431" s="102" t="str">
        <f ca="1">IFERROR(__xludf.DUMMYFUNCTION("IMPORTRANGE(H5431,""IDENTITAS UNIT!D9"")"),"#N/A")</f>
        <v>#N/A</v>
      </c>
      <c r="H5431" s="4" t="str">
        <v/>
      </c>
      <c r="I5431" s="4" t="str">
        <v/>
      </c>
    </row>
    <row r="5432" spans="5:9" ht="16.5" hidden="1">
      <c r="E5432" s="4" t="str">
        <v/>
      </c>
      <c r="F5432" s="102" t="str">
        <f ca="1">IFERROR(__xludf.DUMMYFUNCTION("IMPORTRANGE(H5432,""IDENTITAS UNIT!D9"")"),"#N/A")</f>
        <v>#N/A</v>
      </c>
      <c r="H5432" s="4" t="str">
        <v/>
      </c>
      <c r="I5432" s="4" t="str">
        <v/>
      </c>
    </row>
    <row r="5433" spans="5:9" ht="16.5" hidden="1">
      <c r="E5433" s="4" t="str">
        <v/>
      </c>
      <c r="F5433" s="102" t="str">
        <f ca="1">IFERROR(__xludf.DUMMYFUNCTION("IMPORTRANGE(H5433,""IDENTITAS UNIT!D9"")"),"#N/A")</f>
        <v>#N/A</v>
      </c>
      <c r="H5433" s="4" t="str">
        <v/>
      </c>
      <c r="I5433" s="4" t="str">
        <v/>
      </c>
    </row>
    <row r="5434" spans="5:9" ht="16.5" hidden="1">
      <c r="E5434" s="4" t="str">
        <v/>
      </c>
      <c r="F5434" s="102" t="str">
        <f ca="1">IFERROR(__xludf.DUMMYFUNCTION("IMPORTRANGE(H5434,""IDENTITAS UNIT!D9"")"),"#N/A")</f>
        <v>#N/A</v>
      </c>
      <c r="H5434" s="4" t="str">
        <v/>
      </c>
      <c r="I5434" s="4" t="str">
        <v/>
      </c>
    </row>
    <row r="5435" spans="5:9" ht="16.5" hidden="1">
      <c r="E5435" s="4" t="str">
        <v/>
      </c>
      <c r="F5435" s="102" t="str">
        <f ca="1">IFERROR(__xludf.DUMMYFUNCTION("IMPORTRANGE(H5435,""IDENTITAS UNIT!D9"")"),"#N/A")</f>
        <v>#N/A</v>
      </c>
      <c r="H5435" s="4" t="str">
        <v/>
      </c>
      <c r="I5435" s="4" t="str">
        <v/>
      </c>
    </row>
    <row r="5436" spans="5:9" ht="16.5" hidden="1">
      <c r="E5436" s="4" t="str">
        <v/>
      </c>
      <c r="F5436" s="102" t="str">
        <f ca="1">IFERROR(__xludf.DUMMYFUNCTION("IMPORTRANGE(H5436,""IDENTITAS UNIT!D9"")"),"#N/A")</f>
        <v>#N/A</v>
      </c>
      <c r="H5436" s="4" t="str">
        <v/>
      </c>
      <c r="I5436" s="4" t="str">
        <v/>
      </c>
    </row>
    <row r="5437" spans="5:9" ht="16.5" hidden="1">
      <c r="E5437" s="4" t="str">
        <v/>
      </c>
      <c r="F5437" s="102" t="str">
        <f ca="1">IFERROR(__xludf.DUMMYFUNCTION("IMPORTRANGE(H5437,""IDENTITAS UNIT!D9"")"),"#N/A")</f>
        <v>#N/A</v>
      </c>
      <c r="H5437" s="4" t="str">
        <v/>
      </c>
      <c r="I5437" s="4" t="str">
        <v/>
      </c>
    </row>
    <row r="5438" spans="5:9" ht="16.5" hidden="1">
      <c r="E5438" s="4" t="str">
        <v/>
      </c>
      <c r="F5438" s="102" t="str">
        <f ca="1">IFERROR(__xludf.DUMMYFUNCTION("IMPORTRANGE(H5438,""IDENTITAS UNIT!D9"")"),"#N/A")</f>
        <v>#N/A</v>
      </c>
      <c r="H5438" s="4" t="str">
        <v/>
      </c>
      <c r="I5438" s="4" t="str">
        <v/>
      </c>
    </row>
    <row r="5439" spans="5:9" ht="16.5" hidden="1">
      <c r="E5439" s="4" t="str">
        <v/>
      </c>
      <c r="F5439" s="102" t="str">
        <f ca="1">IFERROR(__xludf.DUMMYFUNCTION("IMPORTRANGE(H5439,""IDENTITAS UNIT!D9"")"),"#N/A")</f>
        <v>#N/A</v>
      </c>
      <c r="H5439" s="4" t="str">
        <v/>
      </c>
      <c r="I5439" s="4" t="str">
        <v/>
      </c>
    </row>
    <row r="5440" spans="5:9" ht="16.5" hidden="1">
      <c r="E5440" s="4" t="str">
        <v/>
      </c>
      <c r="F5440" s="102" t="str">
        <f ca="1">IFERROR(__xludf.DUMMYFUNCTION("IMPORTRANGE(H5440,""IDENTITAS UNIT!D9"")"),"#N/A")</f>
        <v>#N/A</v>
      </c>
      <c r="H5440" s="4" t="str">
        <v/>
      </c>
      <c r="I5440" s="4" t="str">
        <v/>
      </c>
    </row>
    <row r="5441" spans="5:9" ht="16.5" hidden="1">
      <c r="E5441" s="4" t="str">
        <v/>
      </c>
      <c r="F5441" s="102" t="str">
        <f ca="1">IFERROR(__xludf.DUMMYFUNCTION("IMPORTRANGE(H5441,""IDENTITAS UNIT!D9"")"),"#N/A")</f>
        <v>#N/A</v>
      </c>
      <c r="H5441" s="4" t="str">
        <v/>
      </c>
      <c r="I5441" s="4" t="str">
        <v/>
      </c>
    </row>
    <row r="5442" spans="5:9" ht="16.5" hidden="1">
      <c r="E5442" s="4" t="str">
        <v/>
      </c>
      <c r="F5442" s="102" t="str">
        <f ca="1">IFERROR(__xludf.DUMMYFUNCTION("IMPORTRANGE(H5442,""IDENTITAS UNIT!D9"")"),"#N/A")</f>
        <v>#N/A</v>
      </c>
      <c r="H5442" s="4" t="str">
        <v/>
      </c>
      <c r="I5442" s="4" t="str">
        <v/>
      </c>
    </row>
    <row r="5443" spans="5:9" ht="16.5" hidden="1">
      <c r="E5443" s="4" t="str">
        <v/>
      </c>
      <c r="F5443" s="102" t="str">
        <f ca="1">IFERROR(__xludf.DUMMYFUNCTION("IMPORTRANGE(H5443,""IDENTITAS UNIT!D9"")"),"#N/A")</f>
        <v>#N/A</v>
      </c>
      <c r="H5443" s="4" t="str">
        <v/>
      </c>
      <c r="I5443" s="4" t="str">
        <v/>
      </c>
    </row>
    <row r="5444" spans="5:9" ht="16.5" hidden="1">
      <c r="E5444" s="4" t="str">
        <v/>
      </c>
      <c r="F5444" s="102" t="str">
        <f ca="1">IFERROR(__xludf.DUMMYFUNCTION("IMPORTRANGE(H5444,""IDENTITAS UNIT!D9"")"),"#N/A")</f>
        <v>#N/A</v>
      </c>
      <c r="H5444" s="4" t="str">
        <v/>
      </c>
      <c r="I5444" s="4" t="str">
        <v/>
      </c>
    </row>
    <row r="5445" spans="5:9" ht="16.5" hidden="1">
      <c r="E5445" s="4" t="str">
        <v/>
      </c>
      <c r="F5445" s="102" t="str">
        <f ca="1">IFERROR(__xludf.DUMMYFUNCTION("IMPORTRANGE(H5445,""IDENTITAS UNIT!D9"")"),"#N/A")</f>
        <v>#N/A</v>
      </c>
      <c r="H5445" s="4" t="str">
        <v/>
      </c>
      <c r="I5445" s="4" t="str">
        <v/>
      </c>
    </row>
    <row r="5446" spans="5:9" ht="16.5" hidden="1">
      <c r="E5446" s="4" t="str">
        <v/>
      </c>
      <c r="F5446" s="102" t="str">
        <f ca="1">IFERROR(__xludf.DUMMYFUNCTION("IMPORTRANGE(H5446,""IDENTITAS UNIT!D9"")"),"#N/A")</f>
        <v>#N/A</v>
      </c>
      <c r="H5446" s="4" t="str">
        <v/>
      </c>
      <c r="I5446" s="4" t="str">
        <v/>
      </c>
    </row>
    <row r="5447" spans="5:9" ht="16.5" hidden="1">
      <c r="E5447" s="4" t="str">
        <v/>
      </c>
      <c r="F5447" s="102" t="str">
        <f ca="1">IFERROR(__xludf.DUMMYFUNCTION("IMPORTRANGE(H5447,""IDENTITAS UNIT!D9"")"),"#N/A")</f>
        <v>#N/A</v>
      </c>
      <c r="H5447" s="4" t="str">
        <v/>
      </c>
      <c r="I5447" s="4" t="str">
        <v/>
      </c>
    </row>
    <row r="5448" spans="5:9" ht="16.5" hidden="1">
      <c r="E5448" s="4" t="str">
        <v/>
      </c>
      <c r="F5448" s="102" t="str">
        <f ca="1">IFERROR(__xludf.DUMMYFUNCTION("IMPORTRANGE(H5448,""IDENTITAS UNIT!D9"")"),"#N/A")</f>
        <v>#N/A</v>
      </c>
      <c r="H5448" s="4" t="str">
        <v/>
      </c>
      <c r="I5448" s="4" t="str">
        <v/>
      </c>
    </row>
    <row r="5449" spans="5:9" ht="16.5" hidden="1">
      <c r="E5449" s="4" t="str">
        <v/>
      </c>
      <c r="F5449" s="102" t="str">
        <f ca="1">IFERROR(__xludf.DUMMYFUNCTION("IMPORTRANGE(H5449,""IDENTITAS UNIT!D9"")"),"#N/A")</f>
        <v>#N/A</v>
      </c>
      <c r="H5449" s="4" t="str">
        <v/>
      </c>
      <c r="I5449" s="4" t="str">
        <v/>
      </c>
    </row>
    <row r="5450" spans="5:9" ht="16.5" hidden="1">
      <c r="E5450" s="4" t="str">
        <v/>
      </c>
      <c r="F5450" s="102" t="str">
        <f ca="1">IFERROR(__xludf.DUMMYFUNCTION("IMPORTRANGE(H5450,""IDENTITAS UNIT!D9"")"),"#N/A")</f>
        <v>#N/A</v>
      </c>
      <c r="H5450" s="4" t="str">
        <v/>
      </c>
      <c r="I5450" s="4" t="str">
        <v/>
      </c>
    </row>
    <row r="5451" spans="5:9" ht="16.5" hidden="1">
      <c r="E5451" s="4" t="str">
        <v/>
      </c>
      <c r="F5451" s="102" t="str">
        <f ca="1">IFERROR(__xludf.DUMMYFUNCTION("IMPORTRANGE(H5451,""IDENTITAS UNIT!D9"")"),"#N/A")</f>
        <v>#N/A</v>
      </c>
      <c r="H5451" s="4" t="str">
        <v/>
      </c>
      <c r="I5451" s="4" t="str">
        <v/>
      </c>
    </row>
    <row r="5452" spans="5:9" ht="16.5" hidden="1">
      <c r="E5452" s="4" t="str">
        <v/>
      </c>
      <c r="F5452" s="102" t="str">
        <f ca="1">IFERROR(__xludf.DUMMYFUNCTION("IMPORTRANGE(H5452,""IDENTITAS UNIT!D9"")"),"#N/A")</f>
        <v>#N/A</v>
      </c>
      <c r="H5452" s="4" t="str">
        <v/>
      </c>
      <c r="I5452" s="4" t="str">
        <v/>
      </c>
    </row>
    <row r="5453" spans="5:9" ht="16.5" hidden="1">
      <c r="E5453" s="4" t="str">
        <v/>
      </c>
      <c r="F5453" s="102" t="str">
        <f ca="1">IFERROR(__xludf.DUMMYFUNCTION("IMPORTRANGE(H5453,""IDENTITAS UNIT!D9"")"),"#N/A")</f>
        <v>#N/A</v>
      </c>
      <c r="H5453" s="4" t="str">
        <v/>
      </c>
      <c r="I5453" s="4" t="str">
        <v/>
      </c>
    </row>
    <row r="5454" spans="5:9" ht="16.5" hidden="1">
      <c r="E5454" s="4" t="str">
        <v/>
      </c>
      <c r="F5454" s="102" t="str">
        <f ca="1">IFERROR(__xludf.DUMMYFUNCTION("IMPORTRANGE(H5454,""IDENTITAS UNIT!D9"")"),"#N/A")</f>
        <v>#N/A</v>
      </c>
      <c r="H5454" s="4" t="str">
        <v/>
      </c>
      <c r="I5454" s="4" t="str">
        <v/>
      </c>
    </row>
    <row r="5455" spans="5:9" ht="16.5" hidden="1">
      <c r="E5455" s="4" t="str">
        <v/>
      </c>
      <c r="F5455" s="102" t="str">
        <f ca="1">IFERROR(__xludf.DUMMYFUNCTION("IMPORTRANGE(H5455,""IDENTITAS UNIT!D9"")"),"#N/A")</f>
        <v>#N/A</v>
      </c>
      <c r="H5455" s="4" t="str">
        <v/>
      </c>
      <c r="I5455" s="4" t="str">
        <v/>
      </c>
    </row>
    <row r="5456" spans="5:9" ht="16.5" hidden="1">
      <c r="E5456" s="4" t="str">
        <v/>
      </c>
      <c r="F5456" s="102" t="str">
        <f ca="1">IFERROR(__xludf.DUMMYFUNCTION("IMPORTRANGE(H5456,""IDENTITAS UNIT!D9"")"),"#N/A")</f>
        <v>#N/A</v>
      </c>
      <c r="H5456" s="4" t="str">
        <v/>
      </c>
      <c r="I5456" s="4" t="str">
        <v/>
      </c>
    </row>
    <row r="5457" spans="5:9" ht="16.5" hidden="1">
      <c r="E5457" s="4" t="str">
        <v/>
      </c>
      <c r="F5457" s="102" t="str">
        <f ca="1">IFERROR(__xludf.DUMMYFUNCTION("IMPORTRANGE(H5457,""IDENTITAS UNIT!D9"")"),"#N/A")</f>
        <v>#N/A</v>
      </c>
      <c r="H5457" s="4" t="str">
        <v/>
      </c>
      <c r="I5457" s="4" t="str">
        <v/>
      </c>
    </row>
    <row r="5458" spans="5:9" ht="16.5" hidden="1">
      <c r="E5458" s="4" t="str">
        <v/>
      </c>
      <c r="F5458" s="102" t="str">
        <f ca="1">IFERROR(__xludf.DUMMYFUNCTION("IMPORTRANGE(H5458,""IDENTITAS UNIT!D9"")"),"#N/A")</f>
        <v>#N/A</v>
      </c>
      <c r="H5458" s="4" t="str">
        <v/>
      </c>
      <c r="I5458" s="4" t="str">
        <v/>
      </c>
    </row>
    <row r="5459" spans="5:9" ht="16.5" hidden="1">
      <c r="E5459" s="4" t="str">
        <v/>
      </c>
      <c r="F5459" s="102" t="str">
        <f ca="1">IFERROR(__xludf.DUMMYFUNCTION("IMPORTRANGE(H5459,""IDENTITAS UNIT!D9"")"),"#N/A")</f>
        <v>#N/A</v>
      </c>
      <c r="H5459" s="4" t="str">
        <v/>
      </c>
      <c r="I5459" s="4" t="str">
        <v/>
      </c>
    </row>
    <row r="5460" spans="5:9" ht="16.5" hidden="1">
      <c r="E5460" s="4" t="str">
        <v/>
      </c>
      <c r="F5460" s="102" t="str">
        <f ca="1">IFERROR(__xludf.DUMMYFUNCTION("IMPORTRANGE(H5460,""IDENTITAS UNIT!D9"")"),"#N/A")</f>
        <v>#N/A</v>
      </c>
      <c r="H5460" s="4" t="str">
        <v/>
      </c>
      <c r="I5460" s="4" t="str">
        <v/>
      </c>
    </row>
    <row r="5461" spans="5:9" ht="16.5" hidden="1">
      <c r="E5461" s="4" t="str">
        <v/>
      </c>
      <c r="F5461" s="102" t="str">
        <f ca="1">IFERROR(__xludf.DUMMYFUNCTION("IMPORTRANGE(H5461,""IDENTITAS UNIT!D9"")"),"#N/A")</f>
        <v>#N/A</v>
      </c>
      <c r="H5461" s="4" t="str">
        <v/>
      </c>
      <c r="I5461" s="4" t="str">
        <v/>
      </c>
    </row>
    <row r="5462" spans="5:9" ht="16.5" hidden="1">
      <c r="E5462" s="4" t="str">
        <v/>
      </c>
      <c r="F5462" s="102" t="str">
        <f ca="1">IFERROR(__xludf.DUMMYFUNCTION("IMPORTRANGE(H5462,""IDENTITAS UNIT!D9"")"),"#N/A")</f>
        <v>#N/A</v>
      </c>
      <c r="H5462" s="4" t="str">
        <v/>
      </c>
      <c r="I5462" s="4" t="str">
        <v/>
      </c>
    </row>
    <row r="5463" spans="5:9" ht="16.5" hidden="1">
      <c r="E5463" s="4" t="str">
        <v/>
      </c>
      <c r="F5463" s="102" t="str">
        <f ca="1">IFERROR(__xludf.DUMMYFUNCTION("IMPORTRANGE(H5463,""IDENTITAS UNIT!D9"")"),"#N/A")</f>
        <v>#N/A</v>
      </c>
      <c r="H5463" s="4" t="str">
        <v/>
      </c>
      <c r="I5463" s="4" t="str">
        <v/>
      </c>
    </row>
    <row r="5464" spans="5:9" ht="16.5" hidden="1">
      <c r="E5464" s="4" t="str">
        <v/>
      </c>
      <c r="F5464" s="102" t="str">
        <f ca="1">IFERROR(__xludf.DUMMYFUNCTION("IMPORTRANGE(H5464,""IDENTITAS UNIT!D9"")"),"#N/A")</f>
        <v>#N/A</v>
      </c>
      <c r="H5464" s="4" t="str">
        <v/>
      </c>
      <c r="I5464" s="4" t="str">
        <v/>
      </c>
    </row>
    <row r="5465" spans="5:9" ht="16.5" hidden="1">
      <c r="E5465" s="4" t="str">
        <v/>
      </c>
      <c r="F5465" s="102" t="str">
        <f ca="1">IFERROR(__xludf.DUMMYFUNCTION("IMPORTRANGE(H5465,""IDENTITAS UNIT!D9"")"),"#N/A")</f>
        <v>#N/A</v>
      </c>
      <c r="H5465" s="4" t="str">
        <v/>
      </c>
      <c r="I5465" s="4" t="str">
        <v/>
      </c>
    </row>
    <row r="5466" spans="5:9" ht="16.5" hidden="1">
      <c r="E5466" s="4" t="str">
        <v/>
      </c>
      <c r="F5466" s="102" t="str">
        <f ca="1">IFERROR(__xludf.DUMMYFUNCTION("IMPORTRANGE(H5466,""IDENTITAS UNIT!D9"")"),"#N/A")</f>
        <v>#N/A</v>
      </c>
      <c r="H5466" s="4" t="str">
        <v/>
      </c>
      <c r="I5466" s="4" t="str">
        <v/>
      </c>
    </row>
    <row r="5467" spans="5:9" ht="16.5" hidden="1">
      <c r="E5467" s="4" t="str">
        <v/>
      </c>
      <c r="F5467" s="102" t="str">
        <f ca="1">IFERROR(__xludf.DUMMYFUNCTION("IMPORTRANGE(H5467,""IDENTITAS UNIT!D9"")"),"#N/A")</f>
        <v>#N/A</v>
      </c>
      <c r="H5467" s="4" t="str">
        <v/>
      </c>
      <c r="I5467" s="4" t="str">
        <v/>
      </c>
    </row>
    <row r="5468" spans="5:9" ht="16.5" hidden="1">
      <c r="E5468" s="4" t="str">
        <v/>
      </c>
      <c r="F5468" s="102" t="str">
        <f ca="1">IFERROR(__xludf.DUMMYFUNCTION("IMPORTRANGE(H5468,""IDENTITAS UNIT!D9"")"),"#N/A")</f>
        <v>#N/A</v>
      </c>
      <c r="H5468" s="4" t="str">
        <v/>
      </c>
      <c r="I5468" s="4" t="str">
        <v/>
      </c>
    </row>
    <row r="5469" spans="5:9" ht="16.5" hidden="1">
      <c r="E5469" s="4" t="str">
        <v/>
      </c>
      <c r="F5469" s="102" t="str">
        <f ca="1">IFERROR(__xludf.DUMMYFUNCTION("IMPORTRANGE(H5469,""IDENTITAS UNIT!D9"")"),"#N/A")</f>
        <v>#N/A</v>
      </c>
      <c r="H5469" s="4" t="str">
        <v/>
      </c>
      <c r="I5469" s="4" t="str">
        <v/>
      </c>
    </row>
    <row r="5470" spans="5:9" ht="16.5" hidden="1">
      <c r="E5470" s="4" t="str">
        <v/>
      </c>
      <c r="F5470" s="102" t="str">
        <f ca="1">IFERROR(__xludf.DUMMYFUNCTION("IMPORTRANGE(H5470,""IDENTITAS UNIT!D9"")"),"#N/A")</f>
        <v>#N/A</v>
      </c>
      <c r="H5470" s="4" t="str">
        <v/>
      </c>
      <c r="I5470" s="4" t="str">
        <v/>
      </c>
    </row>
    <row r="5471" spans="5:9" ht="16.5" hidden="1">
      <c r="E5471" s="4" t="str">
        <v/>
      </c>
      <c r="F5471" s="102" t="str">
        <f ca="1">IFERROR(__xludf.DUMMYFUNCTION("IMPORTRANGE(H5471,""IDENTITAS UNIT!D9"")"),"#N/A")</f>
        <v>#N/A</v>
      </c>
      <c r="H5471" s="4" t="str">
        <v/>
      </c>
      <c r="I5471" s="4" t="str">
        <v/>
      </c>
    </row>
    <row r="5472" spans="5:9" ht="16.5" hidden="1">
      <c r="E5472" s="4" t="str">
        <v/>
      </c>
      <c r="F5472" s="102" t="str">
        <f ca="1">IFERROR(__xludf.DUMMYFUNCTION("IMPORTRANGE(H5472,""IDENTITAS UNIT!D9"")"),"#N/A")</f>
        <v>#N/A</v>
      </c>
      <c r="H5472" s="4" t="str">
        <v/>
      </c>
      <c r="I5472" s="4" t="str">
        <v/>
      </c>
    </row>
    <row r="5473" spans="5:9" ht="16.5" hidden="1">
      <c r="E5473" s="4" t="str">
        <v/>
      </c>
      <c r="F5473" s="102" t="str">
        <f ca="1">IFERROR(__xludf.DUMMYFUNCTION("IMPORTRANGE(H5473,""IDENTITAS UNIT!D9"")"),"#N/A")</f>
        <v>#N/A</v>
      </c>
      <c r="H5473" s="4" t="str">
        <v/>
      </c>
      <c r="I5473" s="4" t="str">
        <v/>
      </c>
    </row>
    <row r="5474" spans="5:9" ht="16.5" hidden="1">
      <c r="E5474" s="4" t="str">
        <v/>
      </c>
      <c r="F5474" s="102" t="str">
        <f ca="1">IFERROR(__xludf.DUMMYFUNCTION("IMPORTRANGE(H5474,""IDENTITAS UNIT!D9"")"),"#N/A")</f>
        <v>#N/A</v>
      </c>
      <c r="H5474" s="4" t="str">
        <v/>
      </c>
      <c r="I5474" s="4" t="str">
        <v/>
      </c>
    </row>
    <row r="5475" spans="5:9" ht="16.5" hidden="1">
      <c r="E5475" s="4" t="str">
        <v/>
      </c>
      <c r="F5475" s="102" t="str">
        <f ca="1">IFERROR(__xludf.DUMMYFUNCTION("IMPORTRANGE(H5475,""IDENTITAS UNIT!D9"")"),"#N/A")</f>
        <v>#N/A</v>
      </c>
      <c r="H5475" s="4" t="str">
        <v/>
      </c>
      <c r="I5475" s="4" t="str">
        <v/>
      </c>
    </row>
    <row r="5476" spans="5:9" ht="16.5" hidden="1">
      <c r="E5476" s="4" t="str">
        <v/>
      </c>
      <c r="F5476" s="102" t="str">
        <f ca="1">IFERROR(__xludf.DUMMYFUNCTION("IMPORTRANGE(H5476,""IDENTITAS UNIT!D9"")"),"#N/A")</f>
        <v>#N/A</v>
      </c>
      <c r="H5476" s="4" t="str">
        <v/>
      </c>
      <c r="I5476" s="4" t="str">
        <v/>
      </c>
    </row>
    <row r="5477" spans="5:9" ht="16.5" hidden="1">
      <c r="E5477" s="4" t="str">
        <v/>
      </c>
      <c r="F5477" s="102" t="str">
        <f ca="1">IFERROR(__xludf.DUMMYFUNCTION("IMPORTRANGE(H5477,""IDENTITAS UNIT!D9"")"),"#N/A")</f>
        <v>#N/A</v>
      </c>
      <c r="H5477" s="4" t="str">
        <v/>
      </c>
      <c r="I5477" s="4" t="str">
        <v/>
      </c>
    </row>
    <row r="5478" spans="5:9" ht="16.5" hidden="1">
      <c r="E5478" s="4" t="str">
        <v/>
      </c>
      <c r="F5478" s="102" t="str">
        <f ca="1">IFERROR(__xludf.DUMMYFUNCTION("IMPORTRANGE(H5478,""IDENTITAS UNIT!D9"")"),"#N/A")</f>
        <v>#N/A</v>
      </c>
      <c r="H5478" s="4" t="str">
        <v/>
      </c>
      <c r="I5478" s="4" t="str">
        <v/>
      </c>
    </row>
    <row r="5479" spans="5:9" ht="16.5" hidden="1">
      <c r="E5479" s="4" t="str">
        <v/>
      </c>
      <c r="F5479" s="102" t="str">
        <f ca="1">IFERROR(__xludf.DUMMYFUNCTION("IMPORTRANGE(H5479,""IDENTITAS UNIT!D9"")"),"#N/A")</f>
        <v>#N/A</v>
      </c>
      <c r="H5479" s="4" t="str">
        <v/>
      </c>
      <c r="I5479" s="4" t="str">
        <v/>
      </c>
    </row>
    <row r="5480" spans="5:9" ht="16.5" hidden="1">
      <c r="E5480" s="4" t="str">
        <v/>
      </c>
      <c r="F5480" s="102" t="str">
        <f ca="1">IFERROR(__xludf.DUMMYFUNCTION("IMPORTRANGE(H5480,""IDENTITAS UNIT!D9"")"),"#N/A")</f>
        <v>#N/A</v>
      </c>
      <c r="H5480" s="4" t="str">
        <v/>
      </c>
      <c r="I5480" s="4" t="str">
        <v/>
      </c>
    </row>
    <row r="5481" spans="5:9" ht="16.5" hidden="1">
      <c r="E5481" s="4" t="str">
        <v/>
      </c>
      <c r="F5481" s="102" t="str">
        <f ca="1">IFERROR(__xludf.DUMMYFUNCTION("IMPORTRANGE(H5481,""IDENTITAS UNIT!D9"")"),"#N/A")</f>
        <v>#N/A</v>
      </c>
      <c r="H5481" s="4" t="str">
        <v/>
      </c>
      <c r="I5481" s="4" t="str">
        <v/>
      </c>
    </row>
    <row r="5482" spans="5:9" ht="16.5" hidden="1">
      <c r="E5482" s="4" t="str">
        <v/>
      </c>
      <c r="F5482" s="102" t="str">
        <f ca="1">IFERROR(__xludf.DUMMYFUNCTION("IMPORTRANGE(H5482,""IDENTITAS UNIT!D9"")"),"#N/A")</f>
        <v>#N/A</v>
      </c>
      <c r="H5482" s="4" t="str">
        <v/>
      </c>
      <c r="I5482" s="4" t="str">
        <v/>
      </c>
    </row>
    <row r="5483" spans="5:9" ht="16.5" hidden="1">
      <c r="E5483" s="4" t="str">
        <v/>
      </c>
      <c r="F5483" s="102" t="str">
        <f ca="1">IFERROR(__xludf.DUMMYFUNCTION("IMPORTRANGE(H5483,""IDENTITAS UNIT!D9"")"),"#N/A")</f>
        <v>#N/A</v>
      </c>
      <c r="H5483" s="4" t="str">
        <v/>
      </c>
      <c r="I5483" s="4" t="str">
        <v/>
      </c>
    </row>
    <row r="5484" spans="5:9" ht="16.5" hidden="1">
      <c r="E5484" s="4" t="str">
        <v/>
      </c>
      <c r="F5484" s="102" t="str">
        <f ca="1">IFERROR(__xludf.DUMMYFUNCTION("IMPORTRANGE(H5484,""IDENTITAS UNIT!D9"")"),"#N/A")</f>
        <v>#N/A</v>
      </c>
      <c r="H5484" s="4" t="str">
        <v/>
      </c>
      <c r="I5484" s="4" t="str">
        <v/>
      </c>
    </row>
    <row r="5485" spans="5:9" ht="16.5" hidden="1">
      <c r="E5485" s="4" t="str">
        <v/>
      </c>
      <c r="F5485" s="102" t="str">
        <f ca="1">IFERROR(__xludf.DUMMYFUNCTION("IMPORTRANGE(H5485,""IDENTITAS UNIT!D9"")"),"#N/A")</f>
        <v>#N/A</v>
      </c>
      <c r="H5485" s="4" t="str">
        <v/>
      </c>
      <c r="I5485" s="4" t="str">
        <v/>
      </c>
    </row>
    <row r="5486" spans="5:9" ht="16.5" hidden="1">
      <c r="E5486" s="4" t="str">
        <v/>
      </c>
      <c r="F5486" s="102" t="str">
        <f ca="1">IFERROR(__xludf.DUMMYFUNCTION("IMPORTRANGE(H5486,""IDENTITAS UNIT!D9"")"),"#N/A")</f>
        <v>#N/A</v>
      </c>
      <c r="H5486" s="4" t="str">
        <v/>
      </c>
      <c r="I5486" s="4" t="str">
        <v/>
      </c>
    </row>
    <row r="5487" spans="5:9" ht="16.5" hidden="1">
      <c r="E5487" s="4" t="str">
        <v/>
      </c>
      <c r="F5487" s="102" t="str">
        <f ca="1">IFERROR(__xludf.DUMMYFUNCTION("IMPORTRANGE(H5487,""IDENTITAS UNIT!D9"")"),"#N/A")</f>
        <v>#N/A</v>
      </c>
      <c r="H5487" s="4" t="str">
        <v/>
      </c>
      <c r="I5487" s="4" t="str">
        <v/>
      </c>
    </row>
    <row r="5488" spans="5:9" ht="16.5" hidden="1">
      <c r="E5488" s="4" t="str">
        <v/>
      </c>
      <c r="F5488" s="102" t="str">
        <f ca="1">IFERROR(__xludf.DUMMYFUNCTION("IMPORTRANGE(H5488,""IDENTITAS UNIT!D9"")"),"#N/A")</f>
        <v>#N/A</v>
      </c>
      <c r="H5488" s="4" t="str">
        <v/>
      </c>
      <c r="I5488" s="4" t="str">
        <v/>
      </c>
    </row>
    <row r="5489" spans="5:9" ht="16.5" hidden="1">
      <c r="E5489" s="4" t="str">
        <v/>
      </c>
      <c r="F5489" s="102" t="str">
        <f ca="1">IFERROR(__xludf.DUMMYFUNCTION("IMPORTRANGE(H5489,""IDENTITAS UNIT!D9"")"),"#N/A")</f>
        <v>#N/A</v>
      </c>
      <c r="H5489" s="4" t="str">
        <v/>
      </c>
      <c r="I5489" s="4" t="str">
        <v/>
      </c>
    </row>
    <row r="5490" spans="5:9" ht="16.5" hidden="1">
      <c r="E5490" s="4" t="str">
        <v/>
      </c>
      <c r="F5490" s="102" t="str">
        <f ca="1">IFERROR(__xludf.DUMMYFUNCTION("IMPORTRANGE(H5490,""IDENTITAS UNIT!D9"")"),"#N/A")</f>
        <v>#N/A</v>
      </c>
      <c r="H5490" s="4" t="str">
        <v/>
      </c>
      <c r="I5490" s="4" t="str">
        <v/>
      </c>
    </row>
    <row r="5491" spans="5:9" ht="16.5" hidden="1">
      <c r="E5491" s="4" t="str">
        <v/>
      </c>
      <c r="F5491" s="102" t="str">
        <f ca="1">IFERROR(__xludf.DUMMYFUNCTION("IMPORTRANGE(H5491,""IDENTITAS UNIT!D9"")"),"#N/A")</f>
        <v>#N/A</v>
      </c>
      <c r="H5491" s="4" t="str">
        <v/>
      </c>
      <c r="I5491" s="4" t="str">
        <v/>
      </c>
    </row>
    <row r="5492" spans="5:9" ht="16.5" hidden="1">
      <c r="E5492" s="4" t="str">
        <v/>
      </c>
      <c r="F5492" s="102" t="str">
        <f ca="1">IFERROR(__xludf.DUMMYFUNCTION("IMPORTRANGE(H5492,""IDENTITAS UNIT!D9"")"),"#N/A")</f>
        <v>#N/A</v>
      </c>
      <c r="H5492" s="4" t="str">
        <v/>
      </c>
      <c r="I5492" s="4" t="str">
        <v/>
      </c>
    </row>
    <row r="5493" spans="5:9" ht="16.5" hidden="1">
      <c r="E5493" s="4" t="str">
        <v/>
      </c>
      <c r="F5493" s="102" t="str">
        <f ca="1">IFERROR(__xludf.DUMMYFUNCTION("IMPORTRANGE(H5493,""IDENTITAS UNIT!D9"")"),"#N/A")</f>
        <v>#N/A</v>
      </c>
      <c r="H5493" s="4" t="str">
        <v/>
      </c>
      <c r="I5493" s="4" t="str">
        <v/>
      </c>
    </row>
    <row r="5494" spans="5:9" ht="16.5" hidden="1">
      <c r="E5494" s="4" t="str">
        <v/>
      </c>
      <c r="F5494" s="102" t="str">
        <f ca="1">IFERROR(__xludf.DUMMYFUNCTION("IMPORTRANGE(H5494,""IDENTITAS UNIT!D9"")"),"#N/A")</f>
        <v>#N/A</v>
      </c>
      <c r="H5494" s="4" t="str">
        <v/>
      </c>
      <c r="I5494" s="4" t="str">
        <v/>
      </c>
    </row>
    <row r="5495" spans="5:9" ht="16.5" hidden="1">
      <c r="E5495" s="4" t="str">
        <v/>
      </c>
      <c r="F5495" s="102" t="str">
        <f ca="1">IFERROR(__xludf.DUMMYFUNCTION("IMPORTRANGE(H5495,""IDENTITAS UNIT!D9"")"),"#N/A")</f>
        <v>#N/A</v>
      </c>
      <c r="H5495" s="4" t="str">
        <v/>
      </c>
      <c r="I5495" s="4" t="str">
        <v/>
      </c>
    </row>
    <row r="5496" spans="5:9" ht="16.5" hidden="1">
      <c r="E5496" s="4" t="str">
        <v/>
      </c>
      <c r="F5496" s="102" t="str">
        <f ca="1">IFERROR(__xludf.DUMMYFUNCTION("IMPORTRANGE(H5496,""IDENTITAS UNIT!D9"")"),"#N/A")</f>
        <v>#N/A</v>
      </c>
      <c r="H5496" s="4" t="str">
        <v/>
      </c>
      <c r="I5496" s="4" t="str">
        <v/>
      </c>
    </row>
    <row r="5497" spans="5:9" ht="16.5" hidden="1">
      <c r="E5497" s="4" t="str">
        <v/>
      </c>
      <c r="F5497" s="102" t="str">
        <f ca="1">IFERROR(__xludf.DUMMYFUNCTION("IMPORTRANGE(H5497,""IDENTITAS UNIT!D9"")"),"#N/A")</f>
        <v>#N/A</v>
      </c>
      <c r="H5497" s="4" t="str">
        <v/>
      </c>
      <c r="I5497" s="4" t="str">
        <v/>
      </c>
    </row>
    <row r="5498" spans="5:9" ht="16.5" hidden="1">
      <c r="E5498" s="4" t="str">
        <v/>
      </c>
      <c r="F5498" s="102" t="str">
        <f ca="1">IFERROR(__xludf.DUMMYFUNCTION("IMPORTRANGE(H5498,""IDENTITAS UNIT!D9"")"),"#N/A")</f>
        <v>#N/A</v>
      </c>
      <c r="H5498" s="4" t="str">
        <v/>
      </c>
      <c r="I5498" s="4" t="str">
        <v/>
      </c>
    </row>
    <row r="5499" spans="5:9" ht="16.5" hidden="1">
      <c r="E5499" s="4" t="str">
        <v/>
      </c>
      <c r="F5499" s="102" t="str">
        <f ca="1">IFERROR(__xludf.DUMMYFUNCTION("IMPORTRANGE(H5499,""IDENTITAS UNIT!D9"")"),"#N/A")</f>
        <v>#N/A</v>
      </c>
      <c r="H5499" s="4" t="str">
        <v/>
      </c>
      <c r="I5499" s="4" t="str">
        <v/>
      </c>
    </row>
    <row r="5500" spans="5:9" ht="16.5" hidden="1">
      <c r="E5500" s="4" t="str">
        <v/>
      </c>
      <c r="F5500" s="102" t="str">
        <f ca="1">IFERROR(__xludf.DUMMYFUNCTION("IMPORTRANGE(H5500,""IDENTITAS UNIT!D9"")"),"#N/A")</f>
        <v>#N/A</v>
      </c>
      <c r="H5500" s="4" t="str">
        <v/>
      </c>
      <c r="I5500" s="4" t="str">
        <v/>
      </c>
    </row>
    <row r="5501" spans="5:9" ht="16.5" hidden="1">
      <c r="E5501" s="4" t="str">
        <v/>
      </c>
      <c r="F5501" s="102" t="str">
        <f ca="1">IFERROR(__xludf.DUMMYFUNCTION("IMPORTRANGE(H5501,""IDENTITAS UNIT!D9"")"),"#N/A")</f>
        <v>#N/A</v>
      </c>
      <c r="H5501" s="4" t="str">
        <v/>
      </c>
      <c r="I5501" s="4" t="str">
        <v/>
      </c>
    </row>
    <row r="5502" spans="5:9" ht="16.5" hidden="1">
      <c r="E5502" s="4" t="str">
        <v/>
      </c>
      <c r="F5502" s="102" t="str">
        <f ca="1">IFERROR(__xludf.DUMMYFUNCTION("IMPORTRANGE(H5502,""IDENTITAS UNIT!D9"")"),"#N/A")</f>
        <v>#N/A</v>
      </c>
      <c r="H5502" s="4" t="str">
        <v/>
      </c>
      <c r="I5502" s="4" t="str">
        <v/>
      </c>
    </row>
    <row r="5503" spans="5:9" ht="16.5" hidden="1">
      <c r="E5503" s="4" t="str">
        <v/>
      </c>
      <c r="F5503" s="102" t="str">
        <f ca="1">IFERROR(__xludf.DUMMYFUNCTION("IMPORTRANGE(H5503,""IDENTITAS UNIT!D9"")"),"#N/A")</f>
        <v>#N/A</v>
      </c>
      <c r="H5503" s="4" t="str">
        <v/>
      </c>
      <c r="I5503" s="4" t="str">
        <v/>
      </c>
    </row>
    <row r="5504" spans="5:9" ht="16.5" hidden="1">
      <c r="E5504" s="4" t="str">
        <v/>
      </c>
      <c r="F5504" s="102" t="str">
        <f ca="1">IFERROR(__xludf.DUMMYFUNCTION("IMPORTRANGE(H5504,""IDENTITAS UNIT!D9"")"),"#N/A")</f>
        <v>#N/A</v>
      </c>
      <c r="H5504" s="4" t="str">
        <v/>
      </c>
      <c r="I5504" s="4" t="str">
        <v/>
      </c>
    </row>
    <row r="5505" spans="5:9" ht="16.5" hidden="1">
      <c r="E5505" s="4" t="str">
        <v/>
      </c>
      <c r="F5505" s="102" t="str">
        <f ca="1">IFERROR(__xludf.DUMMYFUNCTION("IMPORTRANGE(H5505,""IDENTITAS UNIT!D9"")"),"#N/A")</f>
        <v>#N/A</v>
      </c>
      <c r="H5505" s="4" t="str">
        <v/>
      </c>
      <c r="I5505" s="4" t="str">
        <v/>
      </c>
    </row>
    <row r="5506" spans="5:9" ht="16.5" hidden="1">
      <c r="E5506" s="4" t="str">
        <v/>
      </c>
      <c r="F5506" s="102" t="str">
        <f ca="1">IFERROR(__xludf.DUMMYFUNCTION("IMPORTRANGE(H5506,""IDENTITAS UNIT!D9"")"),"#N/A")</f>
        <v>#N/A</v>
      </c>
      <c r="H5506" s="4" t="str">
        <v/>
      </c>
      <c r="I5506" s="4" t="str">
        <v/>
      </c>
    </row>
    <row r="5507" spans="5:9" ht="16.5" hidden="1">
      <c r="E5507" s="4" t="str">
        <v/>
      </c>
      <c r="F5507" s="102" t="str">
        <f ca="1">IFERROR(__xludf.DUMMYFUNCTION("IMPORTRANGE(H5507,""IDENTITAS UNIT!D9"")"),"#N/A")</f>
        <v>#N/A</v>
      </c>
      <c r="H5507" s="4" t="str">
        <v/>
      </c>
      <c r="I5507" s="4" t="str">
        <v/>
      </c>
    </row>
    <row r="5508" spans="5:9" ht="16.5" hidden="1">
      <c r="E5508" s="4" t="str">
        <v/>
      </c>
      <c r="F5508" s="102" t="str">
        <f ca="1">IFERROR(__xludf.DUMMYFUNCTION("IMPORTRANGE(H5508,""IDENTITAS UNIT!D9"")"),"#N/A")</f>
        <v>#N/A</v>
      </c>
      <c r="H5508" s="4" t="str">
        <v/>
      </c>
      <c r="I5508" s="4" t="str">
        <v/>
      </c>
    </row>
    <row r="5509" spans="5:9" ht="16.5" hidden="1">
      <c r="E5509" s="4" t="str">
        <v/>
      </c>
      <c r="F5509" s="102" t="str">
        <f ca="1">IFERROR(__xludf.DUMMYFUNCTION("IMPORTRANGE(H5509,""IDENTITAS UNIT!D9"")"),"#N/A")</f>
        <v>#N/A</v>
      </c>
      <c r="H5509" s="4" t="str">
        <v/>
      </c>
      <c r="I5509" s="4" t="str">
        <v/>
      </c>
    </row>
    <row r="5510" spans="5:9" ht="16.5" hidden="1">
      <c r="E5510" s="4" t="str">
        <v/>
      </c>
      <c r="F5510" s="102" t="str">
        <f ca="1">IFERROR(__xludf.DUMMYFUNCTION("IMPORTRANGE(H5510,""IDENTITAS UNIT!D9"")"),"#N/A")</f>
        <v>#N/A</v>
      </c>
      <c r="H5510" s="4" t="str">
        <v/>
      </c>
      <c r="I5510" s="4" t="str">
        <v/>
      </c>
    </row>
    <row r="5511" spans="5:9" ht="16.5" hidden="1">
      <c r="E5511" s="4" t="str">
        <v/>
      </c>
      <c r="F5511" s="102" t="str">
        <f ca="1">IFERROR(__xludf.DUMMYFUNCTION("IMPORTRANGE(H5511,""IDENTITAS UNIT!D9"")"),"#N/A")</f>
        <v>#N/A</v>
      </c>
      <c r="H5511" s="4" t="str">
        <v/>
      </c>
      <c r="I5511" s="4" t="str">
        <v/>
      </c>
    </row>
    <row r="5512" spans="5:9" ht="16.5" hidden="1">
      <c r="E5512" s="4" t="str">
        <v/>
      </c>
      <c r="F5512" s="102" t="str">
        <f ca="1">IFERROR(__xludf.DUMMYFUNCTION("IMPORTRANGE(H5512,""IDENTITAS UNIT!D9"")"),"#N/A")</f>
        <v>#N/A</v>
      </c>
      <c r="H5512" s="4" t="str">
        <v/>
      </c>
      <c r="I5512" s="4" t="str">
        <v/>
      </c>
    </row>
    <row r="5513" spans="5:9" ht="16.5" hidden="1">
      <c r="E5513" s="4" t="str">
        <v/>
      </c>
      <c r="F5513" s="102" t="str">
        <f ca="1">IFERROR(__xludf.DUMMYFUNCTION("IMPORTRANGE(H5513,""IDENTITAS UNIT!D9"")"),"#N/A")</f>
        <v>#N/A</v>
      </c>
      <c r="H5513" s="4" t="str">
        <v/>
      </c>
      <c r="I5513" s="4" t="str">
        <v/>
      </c>
    </row>
    <row r="5514" spans="5:9" ht="16.5" hidden="1">
      <c r="E5514" s="4" t="str">
        <v/>
      </c>
      <c r="F5514" s="102" t="str">
        <f ca="1">IFERROR(__xludf.DUMMYFUNCTION("IMPORTRANGE(H5514,""IDENTITAS UNIT!D9"")"),"#N/A")</f>
        <v>#N/A</v>
      </c>
      <c r="H5514" s="4" t="str">
        <v/>
      </c>
      <c r="I5514" s="4" t="str">
        <v/>
      </c>
    </row>
    <row r="5515" spans="5:9" ht="16.5" hidden="1">
      <c r="E5515" s="4" t="str">
        <v/>
      </c>
      <c r="F5515" s="102" t="str">
        <f ca="1">IFERROR(__xludf.DUMMYFUNCTION("IMPORTRANGE(H5515,""IDENTITAS UNIT!D9"")"),"#N/A")</f>
        <v>#N/A</v>
      </c>
      <c r="H5515" s="4" t="str">
        <v/>
      </c>
      <c r="I5515" s="4" t="str">
        <v/>
      </c>
    </row>
    <row r="5516" spans="5:9" ht="16.5" hidden="1">
      <c r="E5516" s="4" t="str">
        <v/>
      </c>
      <c r="F5516" s="102" t="str">
        <f ca="1">IFERROR(__xludf.DUMMYFUNCTION("IMPORTRANGE(H5516,""IDENTITAS UNIT!D9"")"),"#N/A")</f>
        <v>#N/A</v>
      </c>
      <c r="H5516" s="4" t="str">
        <v/>
      </c>
      <c r="I5516" s="4" t="str">
        <v/>
      </c>
    </row>
    <row r="5517" spans="5:9" ht="16.5" hidden="1">
      <c r="E5517" s="4" t="str">
        <v/>
      </c>
      <c r="F5517" s="102" t="str">
        <f ca="1">IFERROR(__xludf.DUMMYFUNCTION("IMPORTRANGE(H5517,""IDENTITAS UNIT!D9"")"),"#N/A")</f>
        <v>#N/A</v>
      </c>
      <c r="H5517" s="4" t="str">
        <v/>
      </c>
      <c r="I5517" s="4" t="str">
        <v/>
      </c>
    </row>
    <row r="5518" spans="5:9" ht="16.5" hidden="1">
      <c r="E5518" s="4" t="str">
        <v/>
      </c>
      <c r="F5518" s="102" t="str">
        <f ca="1">IFERROR(__xludf.DUMMYFUNCTION("IMPORTRANGE(H5518,""IDENTITAS UNIT!D9"")"),"#N/A")</f>
        <v>#N/A</v>
      </c>
      <c r="H5518" s="4" t="str">
        <v/>
      </c>
      <c r="I5518" s="4" t="str">
        <v/>
      </c>
    </row>
    <row r="5519" spans="5:9" ht="16.5" hidden="1">
      <c r="E5519" s="4" t="str">
        <v/>
      </c>
      <c r="F5519" s="102" t="str">
        <f ca="1">IFERROR(__xludf.DUMMYFUNCTION("IMPORTRANGE(H5519,""IDENTITAS UNIT!D9"")"),"#N/A")</f>
        <v>#N/A</v>
      </c>
      <c r="H5519" s="4" t="str">
        <v/>
      </c>
      <c r="I5519" s="4" t="str">
        <v/>
      </c>
    </row>
    <row r="5520" spans="5:9" ht="16.5" hidden="1">
      <c r="E5520" s="4" t="str">
        <v/>
      </c>
      <c r="F5520" s="102" t="str">
        <f ca="1">IFERROR(__xludf.DUMMYFUNCTION("IMPORTRANGE(H5520,""IDENTITAS UNIT!D9"")"),"#N/A")</f>
        <v>#N/A</v>
      </c>
      <c r="H5520" s="4" t="str">
        <v/>
      </c>
      <c r="I5520" s="4" t="str">
        <v/>
      </c>
    </row>
    <row r="5521" spans="5:9" ht="16.5" hidden="1">
      <c r="E5521" s="4" t="str">
        <v/>
      </c>
      <c r="F5521" s="102" t="str">
        <f ca="1">IFERROR(__xludf.DUMMYFUNCTION("IMPORTRANGE(H5521,""IDENTITAS UNIT!D9"")"),"#N/A")</f>
        <v>#N/A</v>
      </c>
      <c r="H5521" s="4" t="str">
        <v/>
      </c>
      <c r="I5521" s="4" t="str">
        <v/>
      </c>
    </row>
    <row r="5522" spans="5:9" ht="16.5" hidden="1">
      <c r="E5522" s="4" t="str">
        <v/>
      </c>
      <c r="F5522" s="102" t="str">
        <f ca="1">IFERROR(__xludf.DUMMYFUNCTION("IMPORTRANGE(H5522,""IDENTITAS UNIT!D9"")"),"#N/A")</f>
        <v>#N/A</v>
      </c>
      <c r="H5522" s="4" t="str">
        <v/>
      </c>
      <c r="I5522" s="4" t="str">
        <v/>
      </c>
    </row>
    <row r="5523" spans="5:9" ht="16.5" hidden="1">
      <c r="E5523" s="4" t="str">
        <v/>
      </c>
      <c r="F5523" s="102" t="str">
        <f ca="1">IFERROR(__xludf.DUMMYFUNCTION("IMPORTRANGE(H5523,""IDENTITAS UNIT!D9"")"),"#N/A")</f>
        <v>#N/A</v>
      </c>
      <c r="H5523" s="4" t="str">
        <v/>
      </c>
      <c r="I5523" s="4" t="str">
        <v/>
      </c>
    </row>
    <row r="5524" spans="5:9" ht="16.5" hidden="1">
      <c r="E5524" s="4" t="str">
        <v/>
      </c>
      <c r="F5524" s="102" t="str">
        <f ca="1">IFERROR(__xludf.DUMMYFUNCTION("IMPORTRANGE(H5524,""IDENTITAS UNIT!D9"")"),"#N/A")</f>
        <v>#N/A</v>
      </c>
      <c r="H5524" s="4" t="str">
        <v/>
      </c>
      <c r="I5524" s="4" t="str">
        <v/>
      </c>
    </row>
    <row r="5525" spans="5:9" ht="16.5" hidden="1">
      <c r="E5525" s="4" t="str">
        <v/>
      </c>
      <c r="F5525" s="102" t="str">
        <f ca="1">IFERROR(__xludf.DUMMYFUNCTION("IMPORTRANGE(H5525,""IDENTITAS UNIT!D9"")"),"#N/A")</f>
        <v>#N/A</v>
      </c>
      <c r="H5525" s="4" t="str">
        <v/>
      </c>
      <c r="I5525" s="4" t="str">
        <v/>
      </c>
    </row>
    <row r="5526" spans="5:9" ht="16.5" hidden="1">
      <c r="E5526" s="4" t="str">
        <v/>
      </c>
      <c r="F5526" s="102" t="str">
        <f ca="1">IFERROR(__xludf.DUMMYFUNCTION("IMPORTRANGE(H5526,""IDENTITAS UNIT!D9"")"),"#N/A")</f>
        <v>#N/A</v>
      </c>
      <c r="H5526" s="4" t="str">
        <v/>
      </c>
      <c r="I5526" s="4" t="str">
        <v/>
      </c>
    </row>
    <row r="5527" spans="5:9" ht="16.5" hidden="1">
      <c r="E5527" s="4" t="str">
        <v/>
      </c>
      <c r="F5527" s="102" t="str">
        <f ca="1">IFERROR(__xludf.DUMMYFUNCTION("IMPORTRANGE(H5527,""IDENTITAS UNIT!D9"")"),"#N/A")</f>
        <v>#N/A</v>
      </c>
      <c r="H5527" s="4" t="str">
        <v/>
      </c>
      <c r="I5527" s="4" t="str">
        <v/>
      </c>
    </row>
    <row r="5528" spans="5:9" ht="16.5" hidden="1">
      <c r="E5528" s="4" t="str">
        <v/>
      </c>
      <c r="F5528" s="102" t="str">
        <f ca="1">IFERROR(__xludf.DUMMYFUNCTION("IMPORTRANGE(H5528,""IDENTITAS UNIT!D9"")"),"#N/A")</f>
        <v>#N/A</v>
      </c>
      <c r="H5528" s="4" t="str">
        <v/>
      </c>
      <c r="I5528" s="4" t="str">
        <v/>
      </c>
    </row>
    <row r="5529" spans="5:9" ht="16.5" hidden="1">
      <c r="E5529" s="4" t="str">
        <v/>
      </c>
      <c r="F5529" s="102" t="str">
        <f ca="1">IFERROR(__xludf.DUMMYFUNCTION("IMPORTRANGE(H5529,""IDENTITAS UNIT!D9"")"),"#N/A")</f>
        <v>#N/A</v>
      </c>
      <c r="H5529" s="4" t="str">
        <v/>
      </c>
      <c r="I5529" s="4" t="str">
        <v/>
      </c>
    </row>
    <row r="5530" spans="5:9" ht="16.5" hidden="1">
      <c r="E5530" s="4" t="str">
        <v/>
      </c>
      <c r="F5530" s="102" t="str">
        <f ca="1">IFERROR(__xludf.DUMMYFUNCTION("IMPORTRANGE(H5530,""IDENTITAS UNIT!D9"")"),"#N/A")</f>
        <v>#N/A</v>
      </c>
      <c r="H5530" s="4" t="str">
        <v/>
      </c>
      <c r="I5530" s="4" t="str">
        <v/>
      </c>
    </row>
    <row r="5531" spans="5:9" ht="16.5" hidden="1">
      <c r="E5531" s="4" t="str">
        <v/>
      </c>
      <c r="F5531" s="102" t="str">
        <f ca="1">IFERROR(__xludf.DUMMYFUNCTION("IMPORTRANGE(H5531,""IDENTITAS UNIT!D9"")"),"#N/A")</f>
        <v>#N/A</v>
      </c>
      <c r="H5531" s="4" t="str">
        <v/>
      </c>
      <c r="I5531" s="4" t="str">
        <v/>
      </c>
    </row>
    <row r="5532" spans="5:9" ht="16.5" hidden="1">
      <c r="E5532" s="4" t="str">
        <v/>
      </c>
      <c r="F5532" s="102" t="str">
        <f ca="1">IFERROR(__xludf.DUMMYFUNCTION("IMPORTRANGE(H5532,""IDENTITAS UNIT!D9"")"),"#N/A")</f>
        <v>#N/A</v>
      </c>
      <c r="H5532" s="4" t="str">
        <v/>
      </c>
      <c r="I5532" s="4" t="str">
        <v/>
      </c>
    </row>
    <row r="5533" spans="5:9" ht="16.5" hidden="1">
      <c r="E5533" s="4" t="str">
        <v/>
      </c>
      <c r="F5533" s="102" t="str">
        <f ca="1">IFERROR(__xludf.DUMMYFUNCTION("IMPORTRANGE(H5533,""IDENTITAS UNIT!D9"")"),"#N/A")</f>
        <v>#N/A</v>
      </c>
      <c r="H5533" s="4" t="str">
        <v/>
      </c>
      <c r="I5533" s="4" t="str">
        <v/>
      </c>
    </row>
    <row r="5534" spans="5:9" ht="16.5" hidden="1">
      <c r="E5534" s="4" t="str">
        <v/>
      </c>
      <c r="F5534" s="102" t="str">
        <f ca="1">IFERROR(__xludf.DUMMYFUNCTION("IMPORTRANGE(H5534,""IDENTITAS UNIT!D9"")"),"#N/A")</f>
        <v>#N/A</v>
      </c>
      <c r="H5534" s="4" t="str">
        <v/>
      </c>
      <c r="I5534" s="4" t="str">
        <v/>
      </c>
    </row>
    <row r="5535" spans="5:9" ht="16.5" hidden="1">
      <c r="E5535" s="4" t="str">
        <v/>
      </c>
      <c r="F5535" s="102" t="str">
        <f ca="1">IFERROR(__xludf.DUMMYFUNCTION("IMPORTRANGE(H5535,""IDENTITAS UNIT!D9"")"),"#N/A")</f>
        <v>#N/A</v>
      </c>
      <c r="H5535" s="4" t="str">
        <v/>
      </c>
      <c r="I5535" s="4" t="str">
        <v/>
      </c>
    </row>
    <row r="5536" spans="5:9" ht="16.5" hidden="1">
      <c r="E5536" s="4" t="str">
        <v/>
      </c>
      <c r="F5536" s="102" t="str">
        <f ca="1">IFERROR(__xludf.DUMMYFUNCTION("IMPORTRANGE(H5536,""IDENTITAS UNIT!D9"")"),"#N/A")</f>
        <v>#N/A</v>
      </c>
      <c r="H5536" s="4" t="str">
        <v/>
      </c>
      <c r="I5536" s="4" t="str">
        <v/>
      </c>
    </row>
    <row r="5537" spans="5:9" ht="16.5" hidden="1">
      <c r="E5537" s="4" t="str">
        <v/>
      </c>
      <c r="F5537" s="102" t="str">
        <f ca="1">IFERROR(__xludf.DUMMYFUNCTION("IMPORTRANGE(H5537,""IDENTITAS UNIT!D9"")"),"#N/A")</f>
        <v>#N/A</v>
      </c>
      <c r="H5537" s="4" t="str">
        <v/>
      </c>
      <c r="I5537" s="4" t="str">
        <v/>
      </c>
    </row>
    <row r="5538" spans="5:9" ht="16.5" hidden="1">
      <c r="E5538" s="4" t="str">
        <v/>
      </c>
      <c r="F5538" s="102" t="str">
        <f ca="1">IFERROR(__xludf.DUMMYFUNCTION("IMPORTRANGE(H5538,""IDENTITAS UNIT!D9"")"),"#N/A")</f>
        <v>#N/A</v>
      </c>
      <c r="H5538" s="4" t="str">
        <v/>
      </c>
      <c r="I5538" s="4" t="str">
        <v/>
      </c>
    </row>
    <row r="5539" spans="5:9" ht="16.5" hidden="1">
      <c r="E5539" s="4" t="str">
        <v/>
      </c>
      <c r="F5539" s="102" t="str">
        <f ca="1">IFERROR(__xludf.DUMMYFUNCTION("IMPORTRANGE(H5539,""IDENTITAS UNIT!D9"")"),"#N/A")</f>
        <v>#N/A</v>
      </c>
      <c r="H5539" s="4" t="str">
        <v/>
      </c>
      <c r="I5539" s="4" t="str">
        <v/>
      </c>
    </row>
    <row r="5540" spans="5:9" ht="16.5" hidden="1">
      <c r="E5540" s="4" t="str">
        <v/>
      </c>
      <c r="F5540" s="102" t="str">
        <f ca="1">IFERROR(__xludf.DUMMYFUNCTION("IMPORTRANGE(H5540,""IDENTITAS UNIT!D9"")"),"#N/A")</f>
        <v>#N/A</v>
      </c>
      <c r="H5540" s="4" t="str">
        <v/>
      </c>
      <c r="I5540" s="4" t="str">
        <v/>
      </c>
    </row>
    <row r="5541" spans="5:9" ht="16.5" hidden="1">
      <c r="E5541" s="4" t="str">
        <v/>
      </c>
      <c r="F5541" s="102" t="str">
        <f ca="1">IFERROR(__xludf.DUMMYFUNCTION("IMPORTRANGE(H5541,""IDENTITAS UNIT!D9"")"),"#N/A")</f>
        <v>#N/A</v>
      </c>
      <c r="H5541" s="4" t="str">
        <v/>
      </c>
      <c r="I5541" s="4" t="str">
        <v/>
      </c>
    </row>
    <row r="5542" spans="5:9" ht="16.5" hidden="1">
      <c r="E5542" s="4" t="str">
        <v/>
      </c>
      <c r="F5542" s="102" t="str">
        <f ca="1">IFERROR(__xludf.DUMMYFUNCTION("IMPORTRANGE(H5542,""IDENTITAS UNIT!D9"")"),"#N/A")</f>
        <v>#N/A</v>
      </c>
      <c r="H5542" s="4" t="str">
        <v/>
      </c>
      <c r="I5542" s="4" t="str">
        <v/>
      </c>
    </row>
    <row r="5543" spans="5:9" ht="16.5" hidden="1">
      <c r="E5543" s="4" t="str">
        <v/>
      </c>
      <c r="F5543" s="102" t="str">
        <f ca="1">IFERROR(__xludf.DUMMYFUNCTION("IMPORTRANGE(H5543,""IDENTITAS UNIT!D9"")"),"#N/A")</f>
        <v>#N/A</v>
      </c>
      <c r="H5543" s="4" t="str">
        <v/>
      </c>
      <c r="I5543" s="4" t="str">
        <v/>
      </c>
    </row>
    <row r="5544" spans="5:9" ht="16.5" hidden="1">
      <c r="E5544" s="4" t="str">
        <v/>
      </c>
      <c r="F5544" s="102" t="str">
        <f ca="1">IFERROR(__xludf.DUMMYFUNCTION("IMPORTRANGE(H5544,""IDENTITAS UNIT!D9"")"),"#N/A")</f>
        <v>#N/A</v>
      </c>
      <c r="H5544" s="4" t="str">
        <v/>
      </c>
      <c r="I5544" s="4" t="str">
        <v/>
      </c>
    </row>
    <row r="5545" spans="5:9" ht="16.5" hidden="1">
      <c r="E5545" s="4" t="str">
        <v/>
      </c>
      <c r="F5545" s="102" t="str">
        <f ca="1">IFERROR(__xludf.DUMMYFUNCTION("IMPORTRANGE(H5545,""IDENTITAS UNIT!D9"")"),"#N/A")</f>
        <v>#N/A</v>
      </c>
      <c r="H5545" s="4" t="str">
        <v/>
      </c>
      <c r="I5545" s="4" t="str">
        <v/>
      </c>
    </row>
    <row r="5546" spans="5:9" ht="16.5" hidden="1">
      <c r="E5546" s="4" t="str">
        <v/>
      </c>
      <c r="F5546" s="102" t="str">
        <f ca="1">IFERROR(__xludf.DUMMYFUNCTION("IMPORTRANGE(H5546,""IDENTITAS UNIT!D9"")"),"#N/A")</f>
        <v>#N/A</v>
      </c>
      <c r="H5546" s="4" t="str">
        <v/>
      </c>
      <c r="I5546" s="4" t="str">
        <v/>
      </c>
    </row>
    <row r="5547" spans="5:9" ht="16.5" hidden="1">
      <c r="E5547" s="4" t="str">
        <v/>
      </c>
      <c r="F5547" s="102" t="str">
        <f ca="1">IFERROR(__xludf.DUMMYFUNCTION("IMPORTRANGE(H5547,""IDENTITAS UNIT!D9"")"),"#N/A")</f>
        <v>#N/A</v>
      </c>
      <c r="H5547" s="4" t="str">
        <v/>
      </c>
      <c r="I5547" s="4" t="str">
        <v/>
      </c>
    </row>
    <row r="5548" spans="5:9" ht="16.5" hidden="1">
      <c r="E5548" s="4" t="str">
        <v/>
      </c>
      <c r="F5548" s="102" t="str">
        <f ca="1">IFERROR(__xludf.DUMMYFUNCTION("IMPORTRANGE(H5548,""IDENTITAS UNIT!D9"")"),"#N/A")</f>
        <v>#N/A</v>
      </c>
      <c r="H5548" s="4" t="str">
        <v/>
      </c>
      <c r="I5548" s="4" t="str">
        <v/>
      </c>
    </row>
    <row r="5549" spans="5:9" ht="16.5" hidden="1">
      <c r="E5549" s="4" t="str">
        <v/>
      </c>
      <c r="F5549" s="102" t="str">
        <f ca="1">IFERROR(__xludf.DUMMYFUNCTION("IMPORTRANGE(H5549,""IDENTITAS UNIT!D9"")"),"#N/A")</f>
        <v>#N/A</v>
      </c>
      <c r="H5549" s="4" t="str">
        <v/>
      </c>
      <c r="I5549" s="4" t="str">
        <v/>
      </c>
    </row>
    <row r="5550" spans="5:9" ht="16.5" hidden="1">
      <c r="E5550" s="4" t="str">
        <v/>
      </c>
      <c r="F5550" s="102" t="str">
        <f ca="1">IFERROR(__xludf.DUMMYFUNCTION("IMPORTRANGE(H5550,""IDENTITAS UNIT!D9"")"),"#N/A")</f>
        <v>#N/A</v>
      </c>
      <c r="H5550" s="4" t="str">
        <v/>
      </c>
      <c r="I5550" s="4" t="str">
        <v/>
      </c>
    </row>
    <row r="5551" spans="5:9" ht="16.5" hidden="1">
      <c r="E5551" s="4" t="str">
        <v/>
      </c>
      <c r="F5551" s="102" t="str">
        <f ca="1">IFERROR(__xludf.DUMMYFUNCTION("IMPORTRANGE(H5551,""IDENTITAS UNIT!D9"")"),"#N/A")</f>
        <v>#N/A</v>
      </c>
      <c r="H5551" s="4" t="str">
        <v/>
      </c>
      <c r="I5551" s="4" t="str">
        <v/>
      </c>
    </row>
    <row r="5552" spans="5:9" ht="16.5" hidden="1">
      <c r="E5552" s="4" t="str">
        <v/>
      </c>
      <c r="F5552" s="102" t="str">
        <f ca="1">IFERROR(__xludf.DUMMYFUNCTION("IMPORTRANGE(H5552,""IDENTITAS UNIT!D9"")"),"#N/A")</f>
        <v>#N/A</v>
      </c>
      <c r="H5552" s="4" t="str">
        <v/>
      </c>
      <c r="I5552" s="4" t="str">
        <v/>
      </c>
    </row>
    <row r="5553" spans="5:9" ht="16.5" hidden="1">
      <c r="E5553" s="4" t="str">
        <v/>
      </c>
      <c r="F5553" s="102" t="str">
        <f ca="1">IFERROR(__xludf.DUMMYFUNCTION("IMPORTRANGE(H5553,""IDENTITAS UNIT!D9"")"),"#N/A")</f>
        <v>#N/A</v>
      </c>
      <c r="H5553" s="4" t="str">
        <v/>
      </c>
      <c r="I5553" s="4" t="str">
        <v/>
      </c>
    </row>
    <row r="5554" spans="5:9" ht="16.5" hidden="1">
      <c r="E5554" s="4" t="str">
        <v/>
      </c>
      <c r="F5554" s="102" t="str">
        <f ca="1">IFERROR(__xludf.DUMMYFUNCTION("IMPORTRANGE(H5554,""IDENTITAS UNIT!D9"")"),"#N/A")</f>
        <v>#N/A</v>
      </c>
      <c r="H5554" s="4" t="str">
        <v/>
      </c>
      <c r="I5554" s="4" t="str">
        <v/>
      </c>
    </row>
    <row r="5555" spans="5:9" ht="16.5" hidden="1">
      <c r="E5555" s="4" t="str">
        <v/>
      </c>
      <c r="F5555" s="102" t="str">
        <f ca="1">IFERROR(__xludf.DUMMYFUNCTION("IMPORTRANGE(H5555,""IDENTITAS UNIT!D9"")"),"#N/A")</f>
        <v>#N/A</v>
      </c>
      <c r="H5555" s="4" t="str">
        <v/>
      </c>
      <c r="I5555" s="4" t="str">
        <v/>
      </c>
    </row>
    <row r="5556" spans="5:9" ht="16.5" hidden="1">
      <c r="E5556" s="4" t="str">
        <v/>
      </c>
      <c r="F5556" s="102" t="str">
        <f ca="1">IFERROR(__xludf.DUMMYFUNCTION("IMPORTRANGE(H5556,""IDENTITAS UNIT!D9"")"),"#N/A")</f>
        <v>#N/A</v>
      </c>
      <c r="H5556" s="4" t="str">
        <v/>
      </c>
      <c r="I5556" s="4" t="str">
        <v/>
      </c>
    </row>
    <row r="5557" spans="5:9" ht="16.5" hidden="1">
      <c r="E5557" s="4" t="str">
        <v/>
      </c>
      <c r="F5557" s="102" t="str">
        <f ca="1">IFERROR(__xludf.DUMMYFUNCTION("IMPORTRANGE(H5557,""IDENTITAS UNIT!D9"")"),"#N/A")</f>
        <v>#N/A</v>
      </c>
      <c r="H5557" s="4" t="str">
        <v/>
      </c>
      <c r="I5557" s="4" t="str">
        <v/>
      </c>
    </row>
    <row r="5558" spans="5:9" ht="16.5" hidden="1">
      <c r="E5558" s="4" t="str">
        <v/>
      </c>
      <c r="F5558" s="102" t="str">
        <f ca="1">IFERROR(__xludf.DUMMYFUNCTION("IMPORTRANGE(H5558,""IDENTITAS UNIT!D9"")"),"#N/A")</f>
        <v>#N/A</v>
      </c>
      <c r="H5558" s="4" t="str">
        <v/>
      </c>
      <c r="I5558" s="4" t="str">
        <v/>
      </c>
    </row>
    <row r="5559" spans="5:9" ht="16.5" hidden="1">
      <c r="E5559" s="4" t="str">
        <v/>
      </c>
      <c r="F5559" s="102" t="str">
        <f ca="1">IFERROR(__xludf.DUMMYFUNCTION("IMPORTRANGE(H5559,""IDENTITAS UNIT!D9"")"),"#N/A")</f>
        <v>#N/A</v>
      </c>
      <c r="H5559" s="4" t="str">
        <v/>
      </c>
      <c r="I5559" s="4" t="str">
        <v/>
      </c>
    </row>
    <row r="5560" spans="5:9" ht="16.5" hidden="1">
      <c r="E5560" s="4" t="str">
        <v/>
      </c>
      <c r="F5560" s="102" t="str">
        <f ca="1">IFERROR(__xludf.DUMMYFUNCTION("IMPORTRANGE(H5560,""IDENTITAS UNIT!D9"")"),"#N/A")</f>
        <v>#N/A</v>
      </c>
      <c r="H5560" s="4" t="str">
        <v/>
      </c>
      <c r="I5560" s="4" t="str">
        <v/>
      </c>
    </row>
    <row r="5561" spans="5:9" ht="16.5" hidden="1">
      <c r="E5561" s="4" t="str">
        <v/>
      </c>
      <c r="F5561" s="102" t="str">
        <f ca="1">IFERROR(__xludf.DUMMYFUNCTION("IMPORTRANGE(H5561,""IDENTITAS UNIT!D9"")"),"#N/A")</f>
        <v>#N/A</v>
      </c>
      <c r="H5561" s="4" t="str">
        <v/>
      </c>
      <c r="I5561" s="4" t="str">
        <v/>
      </c>
    </row>
    <row r="5562" spans="5:9" ht="16.5" hidden="1">
      <c r="E5562" s="4" t="str">
        <v/>
      </c>
      <c r="F5562" s="102" t="str">
        <f ca="1">IFERROR(__xludf.DUMMYFUNCTION("IMPORTRANGE(H5562,""IDENTITAS UNIT!D9"")"),"#N/A")</f>
        <v>#N/A</v>
      </c>
      <c r="H5562" s="4" t="str">
        <v/>
      </c>
      <c r="I5562" s="4" t="str">
        <v/>
      </c>
    </row>
    <row r="5563" spans="5:9" ht="16.5" hidden="1">
      <c r="E5563" s="4" t="str">
        <v/>
      </c>
      <c r="F5563" s="102" t="str">
        <f ca="1">IFERROR(__xludf.DUMMYFUNCTION("IMPORTRANGE(H5563,""IDENTITAS UNIT!D9"")"),"#N/A")</f>
        <v>#N/A</v>
      </c>
      <c r="H5563" s="4" t="str">
        <v/>
      </c>
      <c r="I5563" s="4" t="str">
        <v/>
      </c>
    </row>
    <row r="5564" spans="5:9" ht="16.5" hidden="1">
      <c r="E5564" s="4" t="str">
        <v/>
      </c>
      <c r="F5564" s="102" t="str">
        <f ca="1">IFERROR(__xludf.DUMMYFUNCTION("IMPORTRANGE(H5564,""IDENTITAS UNIT!D9"")"),"#N/A")</f>
        <v>#N/A</v>
      </c>
      <c r="H5564" s="4" t="str">
        <v/>
      </c>
      <c r="I5564" s="4" t="str">
        <v/>
      </c>
    </row>
    <row r="5565" spans="5:9" ht="16.5" hidden="1">
      <c r="E5565" s="4" t="str">
        <v/>
      </c>
      <c r="F5565" s="102" t="str">
        <f ca="1">IFERROR(__xludf.DUMMYFUNCTION("IMPORTRANGE(H5565,""IDENTITAS UNIT!D9"")"),"#N/A")</f>
        <v>#N/A</v>
      </c>
      <c r="H5565" s="4" t="str">
        <v/>
      </c>
      <c r="I5565" s="4" t="str">
        <v/>
      </c>
    </row>
    <row r="5566" spans="5:9" ht="16.5" hidden="1">
      <c r="E5566" s="4" t="str">
        <v/>
      </c>
      <c r="F5566" s="102" t="str">
        <f ca="1">IFERROR(__xludf.DUMMYFUNCTION("IMPORTRANGE(H5566,""IDENTITAS UNIT!D9"")"),"#N/A")</f>
        <v>#N/A</v>
      </c>
      <c r="H5566" s="4" t="str">
        <v/>
      </c>
      <c r="I5566" s="4" t="str">
        <v/>
      </c>
    </row>
    <row r="5567" spans="5:9" ht="16.5" hidden="1">
      <c r="E5567" s="4" t="str">
        <v/>
      </c>
      <c r="F5567" s="102" t="str">
        <f ca="1">IFERROR(__xludf.DUMMYFUNCTION("IMPORTRANGE(H5567,""IDENTITAS UNIT!D9"")"),"#N/A")</f>
        <v>#N/A</v>
      </c>
      <c r="H5567" s="4" t="str">
        <v/>
      </c>
      <c r="I5567" s="4" t="str">
        <v/>
      </c>
    </row>
    <row r="5568" spans="5:9" ht="16.5" hidden="1">
      <c r="E5568" s="4" t="str">
        <v/>
      </c>
      <c r="F5568" s="102" t="str">
        <f ca="1">IFERROR(__xludf.DUMMYFUNCTION("IMPORTRANGE(H5568,""IDENTITAS UNIT!D9"")"),"#N/A")</f>
        <v>#N/A</v>
      </c>
      <c r="H5568" s="4" t="str">
        <v/>
      </c>
      <c r="I5568" s="4" t="str">
        <v/>
      </c>
    </row>
    <row r="5569" spans="5:9" ht="16.5" hidden="1">
      <c r="E5569" s="4" t="str">
        <v/>
      </c>
      <c r="F5569" s="102" t="str">
        <f ca="1">IFERROR(__xludf.DUMMYFUNCTION("IMPORTRANGE(H5569,""IDENTITAS UNIT!D9"")"),"#N/A")</f>
        <v>#N/A</v>
      </c>
      <c r="H5569" s="4" t="str">
        <v/>
      </c>
      <c r="I5569" s="4" t="str">
        <v/>
      </c>
    </row>
    <row r="5570" spans="5:9" ht="16.5" hidden="1">
      <c r="E5570" s="4" t="str">
        <v/>
      </c>
      <c r="F5570" s="102" t="str">
        <f ca="1">IFERROR(__xludf.DUMMYFUNCTION("IMPORTRANGE(H5570,""IDENTITAS UNIT!D9"")"),"#N/A")</f>
        <v>#N/A</v>
      </c>
      <c r="H5570" s="4" t="str">
        <v/>
      </c>
      <c r="I5570" s="4" t="str">
        <v/>
      </c>
    </row>
    <row r="5571" spans="5:9" ht="16.5" hidden="1">
      <c r="E5571" s="4" t="str">
        <v/>
      </c>
      <c r="F5571" s="102" t="str">
        <f ca="1">IFERROR(__xludf.DUMMYFUNCTION("IMPORTRANGE(H5571,""IDENTITAS UNIT!D9"")"),"#N/A")</f>
        <v>#N/A</v>
      </c>
      <c r="H5571" s="4" t="str">
        <v/>
      </c>
      <c r="I5571" s="4" t="str">
        <v/>
      </c>
    </row>
    <row r="5572" spans="5:9" ht="16.5" hidden="1">
      <c r="E5572" s="4" t="str">
        <v/>
      </c>
      <c r="F5572" s="102" t="str">
        <f ca="1">IFERROR(__xludf.DUMMYFUNCTION("IMPORTRANGE(H5572,""IDENTITAS UNIT!D9"")"),"#N/A")</f>
        <v>#N/A</v>
      </c>
      <c r="H5572" s="4" t="str">
        <v/>
      </c>
      <c r="I5572" s="4" t="str">
        <v/>
      </c>
    </row>
    <row r="5573" spans="5:9" ht="16.5" hidden="1">
      <c r="E5573" s="4" t="str">
        <v/>
      </c>
      <c r="F5573" s="102" t="str">
        <f ca="1">IFERROR(__xludf.DUMMYFUNCTION("IMPORTRANGE(H5573,""IDENTITAS UNIT!D9"")"),"#N/A")</f>
        <v>#N/A</v>
      </c>
      <c r="H5573" s="4" t="str">
        <v/>
      </c>
      <c r="I5573" s="4" t="str">
        <v/>
      </c>
    </row>
    <row r="5574" spans="5:9" ht="16.5" hidden="1">
      <c r="E5574" s="4" t="str">
        <v/>
      </c>
      <c r="F5574" s="102" t="str">
        <f ca="1">IFERROR(__xludf.DUMMYFUNCTION("IMPORTRANGE(H5574,""IDENTITAS UNIT!D9"")"),"#N/A")</f>
        <v>#N/A</v>
      </c>
      <c r="H5574" s="4" t="str">
        <v/>
      </c>
      <c r="I5574" s="4" t="str">
        <v/>
      </c>
    </row>
    <row r="5575" spans="5:9" ht="16.5" hidden="1">
      <c r="E5575" s="4" t="str">
        <v/>
      </c>
      <c r="F5575" s="102" t="str">
        <f ca="1">IFERROR(__xludf.DUMMYFUNCTION("IMPORTRANGE(H5575,""IDENTITAS UNIT!D9"")"),"#N/A")</f>
        <v>#N/A</v>
      </c>
      <c r="H5575" s="4" t="str">
        <v/>
      </c>
      <c r="I5575" s="4" t="str">
        <v/>
      </c>
    </row>
    <row r="5576" spans="5:9" ht="16.5" hidden="1">
      <c r="E5576" s="4" t="str">
        <v/>
      </c>
      <c r="F5576" s="102" t="str">
        <f ca="1">IFERROR(__xludf.DUMMYFUNCTION("IMPORTRANGE(H5576,""IDENTITAS UNIT!D9"")"),"#N/A")</f>
        <v>#N/A</v>
      </c>
      <c r="H5576" s="4" t="str">
        <v/>
      </c>
      <c r="I5576" s="4" t="str">
        <v/>
      </c>
    </row>
    <row r="5577" spans="5:9" ht="16.5" hidden="1">
      <c r="E5577" s="4" t="str">
        <v/>
      </c>
      <c r="F5577" s="102" t="str">
        <f ca="1">IFERROR(__xludf.DUMMYFUNCTION("IMPORTRANGE(H5577,""IDENTITAS UNIT!D9"")"),"#N/A")</f>
        <v>#N/A</v>
      </c>
      <c r="H5577" s="4" t="str">
        <v/>
      </c>
      <c r="I5577" s="4" t="str">
        <v/>
      </c>
    </row>
    <row r="5578" spans="5:9" ht="16.5" hidden="1">
      <c r="E5578" s="4" t="str">
        <v/>
      </c>
      <c r="F5578" s="102" t="str">
        <f ca="1">IFERROR(__xludf.DUMMYFUNCTION("IMPORTRANGE(H5578,""IDENTITAS UNIT!D9"")"),"#N/A")</f>
        <v>#N/A</v>
      </c>
      <c r="H5578" s="4" t="str">
        <v/>
      </c>
      <c r="I5578" s="4" t="str">
        <v/>
      </c>
    </row>
    <row r="5579" spans="5:9" ht="16.5" hidden="1">
      <c r="E5579" s="4" t="str">
        <v/>
      </c>
      <c r="F5579" s="102" t="str">
        <f ca="1">IFERROR(__xludf.DUMMYFUNCTION("IMPORTRANGE(H5579,""IDENTITAS UNIT!D9"")"),"#N/A")</f>
        <v>#N/A</v>
      </c>
      <c r="H5579" s="4" t="str">
        <v/>
      </c>
      <c r="I5579" s="4" t="str">
        <v/>
      </c>
    </row>
    <row r="5580" spans="5:9" ht="16.5" hidden="1">
      <c r="E5580" s="4" t="str">
        <v/>
      </c>
      <c r="F5580" s="102" t="str">
        <f ca="1">IFERROR(__xludf.DUMMYFUNCTION("IMPORTRANGE(H5580,""IDENTITAS UNIT!D9"")"),"#N/A")</f>
        <v>#N/A</v>
      </c>
      <c r="H5580" s="4" t="str">
        <v/>
      </c>
      <c r="I5580" s="4" t="str">
        <v/>
      </c>
    </row>
    <row r="5581" spans="5:9" ht="16.5" hidden="1">
      <c r="E5581" s="4" t="str">
        <v/>
      </c>
      <c r="F5581" s="102" t="str">
        <f ca="1">IFERROR(__xludf.DUMMYFUNCTION("IMPORTRANGE(H5581,""IDENTITAS UNIT!D9"")"),"#N/A")</f>
        <v>#N/A</v>
      </c>
      <c r="H5581" s="4" t="str">
        <v/>
      </c>
      <c r="I5581" s="4" t="str">
        <v/>
      </c>
    </row>
    <row r="5582" spans="5:9" ht="16.5" hidden="1">
      <c r="E5582" s="4" t="str">
        <v/>
      </c>
      <c r="F5582" s="102" t="str">
        <f ca="1">IFERROR(__xludf.DUMMYFUNCTION("IMPORTRANGE(H5582,""IDENTITAS UNIT!D9"")"),"#N/A")</f>
        <v>#N/A</v>
      </c>
      <c r="H5582" s="4" t="str">
        <v/>
      </c>
      <c r="I5582" s="4" t="str">
        <v/>
      </c>
    </row>
    <row r="5583" spans="5:9" ht="16.5" hidden="1">
      <c r="E5583" s="4" t="str">
        <v/>
      </c>
      <c r="F5583" s="102" t="str">
        <f ca="1">IFERROR(__xludf.DUMMYFUNCTION("IMPORTRANGE(H5583,""IDENTITAS UNIT!D9"")"),"#N/A")</f>
        <v>#N/A</v>
      </c>
      <c r="H5583" s="4" t="str">
        <v/>
      </c>
      <c r="I5583" s="4" t="str">
        <v/>
      </c>
    </row>
    <row r="5584" spans="5:9" ht="16.5" hidden="1">
      <c r="E5584" s="4" t="str">
        <v/>
      </c>
      <c r="F5584" s="102" t="str">
        <f ca="1">IFERROR(__xludf.DUMMYFUNCTION("IMPORTRANGE(H5584,""IDENTITAS UNIT!D9"")"),"#N/A")</f>
        <v>#N/A</v>
      </c>
      <c r="H5584" s="4" t="str">
        <v/>
      </c>
      <c r="I5584" s="4" t="str">
        <v/>
      </c>
    </row>
    <row r="5585" spans="5:9" ht="16.5" hidden="1">
      <c r="E5585" s="4" t="str">
        <v/>
      </c>
      <c r="F5585" s="102" t="str">
        <f ca="1">IFERROR(__xludf.DUMMYFUNCTION("IMPORTRANGE(H5585,""IDENTITAS UNIT!D9"")"),"#N/A")</f>
        <v>#N/A</v>
      </c>
      <c r="H5585" s="4" t="str">
        <v/>
      </c>
      <c r="I5585" s="4" t="str">
        <v/>
      </c>
    </row>
    <row r="5586" spans="5:9" ht="16.5" hidden="1">
      <c r="E5586" s="4" t="str">
        <v/>
      </c>
      <c r="F5586" s="102" t="str">
        <f ca="1">IFERROR(__xludf.DUMMYFUNCTION("IMPORTRANGE(H5586,""IDENTITAS UNIT!D9"")"),"#N/A")</f>
        <v>#N/A</v>
      </c>
      <c r="H5586" s="4" t="str">
        <v/>
      </c>
      <c r="I5586" s="4" t="str">
        <v/>
      </c>
    </row>
    <row r="5587" spans="5:9" ht="16.5" hidden="1">
      <c r="E5587" s="4" t="str">
        <v/>
      </c>
      <c r="F5587" s="102" t="str">
        <f ca="1">IFERROR(__xludf.DUMMYFUNCTION("IMPORTRANGE(H5587,""IDENTITAS UNIT!D9"")"),"#N/A")</f>
        <v>#N/A</v>
      </c>
      <c r="H5587" s="4" t="str">
        <v/>
      </c>
      <c r="I5587" s="4" t="str">
        <v/>
      </c>
    </row>
    <row r="5588" spans="5:9" ht="16.5" hidden="1">
      <c r="E5588" s="4" t="str">
        <v/>
      </c>
      <c r="F5588" s="102" t="str">
        <f ca="1">IFERROR(__xludf.DUMMYFUNCTION("IMPORTRANGE(H5588,""IDENTITAS UNIT!D9"")"),"#N/A")</f>
        <v>#N/A</v>
      </c>
      <c r="H5588" s="4" t="str">
        <v/>
      </c>
      <c r="I5588" s="4" t="str">
        <v/>
      </c>
    </row>
    <row r="5589" spans="5:9" ht="16.5" hidden="1">
      <c r="E5589" s="4" t="str">
        <v/>
      </c>
      <c r="F5589" s="102" t="str">
        <f ca="1">IFERROR(__xludf.DUMMYFUNCTION("IMPORTRANGE(H5589,""IDENTITAS UNIT!D9"")"),"#N/A")</f>
        <v>#N/A</v>
      </c>
      <c r="H5589" s="4" t="str">
        <v/>
      </c>
      <c r="I5589" s="4" t="str">
        <v/>
      </c>
    </row>
    <row r="5590" spans="5:9" ht="16.5" hidden="1">
      <c r="E5590" s="4" t="str">
        <v/>
      </c>
      <c r="F5590" s="102" t="str">
        <f ca="1">IFERROR(__xludf.DUMMYFUNCTION("IMPORTRANGE(H5590,""IDENTITAS UNIT!D9"")"),"#N/A")</f>
        <v>#N/A</v>
      </c>
      <c r="H5590" s="4" t="str">
        <v/>
      </c>
      <c r="I5590" s="4" t="str">
        <v/>
      </c>
    </row>
    <row r="5591" spans="5:9" ht="16.5" hidden="1">
      <c r="E5591" s="4" t="str">
        <v/>
      </c>
      <c r="F5591" s="102" t="str">
        <f ca="1">IFERROR(__xludf.DUMMYFUNCTION("IMPORTRANGE(H5591,""IDENTITAS UNIT!D9"")"),"#N/A")</f>
        <v>#N/A</v>
      </c>
      <c r="H5591" s="4" t="str">
        <v/>
      </c>
      <c r="I5591" s="4" t="str">
        <v/>
      </c>
    </row>
    <row r="5592" spans="5:9" ht="16.5" hidden="1">
      <c r="E5592" s="4" t="str">
        <v/>
      </c>
      <c r="F5592" s="102" t="str">
        <f ca="1">IFERROR(__xludf.DUMMYFUNCTION("IMPORTRANGE(H5592,""IDENTITAS UNIT!D9"")"),"#N/A")</f>
        <v>#N/A</v>
      </c>
      <c r="H5592" s="4" t="str">
        <v/>
      </c>
      <c r="I5592" s="4" t="str">
        <v/>
      </c>
    </row>
    <row r="5593" spans="5:9" ht="16.5" hidden="1">
      <c r="E5593" s="4" t="str">
        <v/>
      </c>
      <c r="F5593" s="102" t="str">
        <f ca="1">IFERROR(__xludf.DUMMYFUNCTION("IMPORTRANGE(H5593,""IDENTITAS UNIT!D9"")"),"#N/A")</f>
        <v>#N/A</v>
      </c>
      <c r="H5593" s="4" t="str">
        <v/>
      </c>
      <c r="I5593" s="4" t="str">
        <v/>
      </c>
    </row>
    <row r="5594" spans="5:9" ht="16.5" hidden="1">
      <c r="E5594" s="4" t="str">
        <v/>
      </c>
      <c r="F5594" s="102" t="str">
        <f ca="1">IFERROR(__xludf.DUMMYFUNCTION("IMPORTRANGE(H5594,""IDENTITAS UNIT!D9"")"),"#N/A")</f>
        <v>#N/A</v>
      </c>
      <c r="H5594" s="4" t="str">
        <v/>
      </c>
      <c r="I5594" s="4" t="str">
        <v/>
      </c>
    </row>
    <row r="5595" spans="5:9" ht="16.5" hidden="1">
      <c r="E5595" s="4" t="str">
        <v/>
      </c>
      <c r="F5595" s="102" t="str">
        <f ca="1">IFERROR(__xludf.DUMMYFUNCTION("IMPORTRANGE(H5595,""IDENTITAS UNIT!D9"")"),"#N/A")</f>
        <v>#N/A</v>
      </c>
      <c r="H5595" s="4" t="str">
        <v/>
      </c>
      <c r="I5595" s="4" t="str">
        <v/>
      </c>
    </row>
    <row r="5596" spans="5:9" ht="16.5" hidden="1">
      <c r="E5596" s="4" t="str">
        <v/>
      </c>
      <c r="F5596" s="102" t="str">
        <f ca="1">IFERROR(__xludf.DUMMYFUNCTION("IMPORTRANGE(H5596,""IDENTITAS UNIT!D9"")"),"#N/A")</f>
        <v>#N/A</v>
      </c>
      <c r="H5596" s="4" t="str">
        <v/>
      </c>
      <c r="I5596" s="4" t="str">
        <v/>
      </c>
    </row>
    <row r="5597" spans="5:9" ht="16.5" hidden="1">
      <c r="E5597" s="4" t="str">
        <v/>
      </c>
      <c r="F5597" s="102" t="str">
        <f ca="1">IFERROR(__xludf.DUMMYFUNCTION("IMPORTRANGE(H5597,""IDENTITAS UNIT!D9"")"),"#N/A")</f>
        <v>#N/A</v>
      </c>
      <c r="H5597" s="4" t="str">
        <v/>
      </c>
      <c r="I5597" s="4" t="str">
        <v/>
      </c>
    </row>
    <row r="5598" spans="5:9" ht="16.5" hidden="1">
      <c r="E5598" s="4" t="str">
        <v/>
      </c>
      <c r="F5598" s="102" t="str">
        <f ca="1">IFERROR(__xludf.DUMMYFUNCTION("IMPORTRANGE(H5598,""IDENTITAS UNIT!D9"")"),"#N/A")</f>
        <v>#N/A</v>
      </c>
      <c r="H5598" s="4" t="str">
        <v/>
      </c>
      <c r="I5598" s="4" t="str">
        <v/>
      </c>
    </row>
    <row r="5599" spans="5:9" ht="16.5" hidden="1">
      <c r="E5599" s="4" t="str">
        <v/>
      </c>
      <c r="F5599" s="102" t="str">
        <f ca="1">IFERROR(__xludf.DUMMYFUNCTION("IMPORTRANGE(H5599,""IDENTITAS UNIT!D9"")"),"#N/A")</f>
        <v>#N/A</v>
      </c>
      <c r="H5599" s="4" t="str">
        <v/>
      </c>
      <c r="I5599" s="4" t="str">
        <v/>
      </c>
    </row>
    <row r="5600" spans="5:9" ht="16.5" hidden="1">
      <c r="E5600" s="4" t="str">
        <v/>
      </c>
      <c r="F5600" s="102" t="str">
        <f ca="1">IFERROR(__xludf.DUMMYFUNCTION("IMPORTRANGE(H5600,""IDENTITAS UNIT!D9"")"),"#N/A")</f>
        <v>#N/A</v>
      </c>
      <c r="H5600" s="4" t="str">
        <v/>
      </c>
      <c r="I5600" s="4" t="str">
        <v/>
      </c>
    </row>
    <row r="5601" spans="5:9" ht="16.5" hidden="1">
      <c r="E5601" s="4" t="str">
        <v/>
      </c>
      <c r="F5601" s="102" t="str">
        <f ca="1">IFERROR(__xludf.DUMMYFUNCTION("IMPORTRANGE(H5601,""IDENTITAS UNIT!D9"")"),"#N/A")</f>
        <v>#N/A</v>
      </c>
      <c r="H5601" s="4" t="str">
        <v/>
      </c>
      <c r="I5601" s="4" t="str">
        <v/>
      </c>
    </row>
    <row r="5602" spans="5:9" ht="16.5" hidden="1">
      <c r="E5602" s="4" t="str">
        <v/>
      </c>
      <c r="F5602" s="102" t="str">
        <f ca="1">IFERROR(__xludf.DUMMYFUNCTION("IMPORTRANGE(H5602,""IDENTITAS UNIT!D9"")"),"#N/A")</f>
        <v>#N/A</v>
      </c>
      <c r="H5602" s="4" t="str">
        <v/>
      </c>
      <c r="I5602" s="4" t="str">
        <v/>
      </c>
    </row>
    <row r="5603" spans="5:9" ht="16.5" hidden="1">
      <c r="E5603" s="4" t="str">
        <v/>
      </c>
      <c r="F5603" s="102" t="str">
        <f ca="1">IFERROR(__xludf.DUMMYFUNCTION("IMPORTRANGE(H5603,""IDENTITAS UNIT!D9"")"),"#N/A")</f>
        <v>#N/A</v>
      </c>
      <c r="H5603" s="4" t="str">
        <v/>
      </c>
      <c r="I5603" s="4" t="str">
        <v/>
      </c>
    </row>
    <row r="5604" spans="5:9" ht="16.5" hidden="1">
      <c r="E5604" s="4" t="str">
        <v/>
      </c>
      <c r="F5604" s="102" t="str">
        <f ca="1">IFERROR(__xludf.DUMMYFUNCTION("IMPORTRANGE(H5604,""IDENTITAS UNIT!D9"")"),"#N/A")</f>
        <v>#N/A</v>
      </c>
      <c r="H5604" s="4" t="str">
        <v/>
      </c>
      <c r="I5604" s="4" t="str">
        <v/>
      </c>
    </row>
    <row r="5605" spans="5:9" ht="16.5" hidden="1">
      <c r="E5605" s="4" t="str">
        <v/>
      </c>
      <c r="F5605" s="102" t="str">
        <f ca="1">IFERROR(__xludf.DUMMYFUNCTION("IMPORTRANGE(H5605,""IDENTITAS UNIT!D9"")"),"#N/A")</f>
        <v>#N/A</v>
      </c>
      <c r="H5605" s="4" t="str">
        <v/>
      </c>
      <c r="I5605" s="4" t="str">
        <v/>
      </c>
    </row>
    <row r="5606" spans="5:9" ht="16.5" hidden="1">
      <c r="E5606" s="4" t="str">
        <v/>
      </c>
      <c r="F5606" s="102" t="str">
        <f ca="1">IFERROR(__xludf.DUMMYFUNCTION("IMPORTRANGE(H5606,""IDENTITAS UNIT!D9"")"),"#N/A")</f>
        <v>#N/A</v>
      </c>
      <c r="H5606" s="4" t="str">
        <v/>
      </c>
      <c r="I5606" s="4" t="str">
        <v/>
      </c>
    </row>
    <row r="5607" spans="5:9" ht="16.5" hidden="1">
      <c r="E5607" s="4" t="str">
        <v/>
      </c>
      <c r="F5607" s="102" t="str">
        <f ca="1">IFERROR(__xludf.DUMMYFUNCTION("IMPORTRANGE(H5607,""IDENTITAS UNIT!D9"")"),"#N/A")</f>
        <v>#N/A</v>
      </c>
      <c r="H5607" s="4" t="str">
        <v/>
      </c>
      <c r="I5607" s="4" t="str">
        <v/>
      </c>
    </row>
    <row r="5608" spans="5:9" ht="16.5" hidden="1">
      <c r="E5608" s="4" t="str">
        <v/>
      </c>
      <c r="F5608" s="102" t="str">
        <f ca="1">IFERROR(__xludf.DUMMYFUNCTION("IMPORTRANGE(H5608,""IDENTITAS UNIT!D9"")"),"#N/A")</f>
        <v>#N/A</v>
      </c>
      <c r="H5608" s="4" t="str">
        <v/>
      </c>
      <c r="I5608" s="4" t="str">
        <v/>
      </c>
    </row>
    <row r="5609" spans="5:9" ht="16.5" hidden="1">
      <c r="E5609" s="4" t="str">
        <v/>
      </c>
      <c r="F5609" s="102" t="str">
        <f ca="1">IFERROR(__xludf.DUMMYFUNCTION("IMPORTRANGE(H5609,""IDENTITAS UNIT!D9"")"),"#N/A")</f>
        <v>#N/A</v>
      </c>
      <c r="H5609" s="4" t="str">
        <v/>
      </c>
      <c r="I5609" s="4" t="str">
        <v/>
      </c>
    </row>
    <row r="5610" spans="5:9" ht="16.5" hidden="1">
      <c r="E5610" s="4" t="str">
        <v/>
      </c>
      <c r="F5610" s="102" t="str">
        <f ca="1">IFERROR(__xludf.DUMMYFUNCTION("IMPORTRANGE(H5610,""IDENTITAS UNIT!D9"")"),"#N/A")</f>
        <v>#N/A</v>
      </c>
      <c r="H5610" s="4" t="str">
        <v/>
      </c>
      <c r="I5610" s="4" t="str">
        <v/>
      </c>
    </row>
    <row r="5611" spans="5:9" ht="16.5" hidden="1">
      <c r="E5611" s="4" t="str">
        <v/>
      </c>
      <c r="F5611" s="102" t="str">
        <f ca="1">IFERROR(__xludf.DUMMYFUNCTION("IMPORTRANGE(H5611,""IDENTITAS UNIT!D9"")"),"#N/A")</f>
        <v>#N/A</v>
      </c>
      <c r="H5611" s="4" t="str">
        <v/>
      </c>
      <c r="I5611" s="4" t="str">
        <v/>
      </c>
    </row>
    <row r="5612" spans="5:9" ht="16.5" hidden="1">
      <c r="E5612" s="4" t="str">
        <v/>
      </c>
      <c r="F5612" s="102" t="str">
        <f ca="1">IFERROR(__xludf.DUMMYFUNCTION("IMPORTRANGE(H5612,""IDENTITAS UNIT!D9"")"),"#N/A")</f>
        <v>#N/A</v>
      </c>
      <c r="H5612" s="4" t="str">
        <v/>
      </c>
      <c r="I5612" s="4" t="str">
        <v/>
      </c>
    </row>
    <row r="5613" spans="5:9" ht="16.5" hidden="1">
      <c r="E5613" s="4" t="str">
        <v/>
      </c>
      <c r="F5613" s="102" t="str">
        <f ca="1">IFERROR(__xludf.DUMMYFUNCTION("IMPORTRANGE(H5613,""IDENTITAS UNIT!D9"")"),"#N/A")</f>
        <v>#N/A</v>
      </c>
      <c r="H5613" s="4" t="str">
        <v/>
      </c>
      <c r="I5613" s="4" t="str">
        <v/>
      </c>
    </row>
    <row r="5614" spans="5:9" ht="16.5" hidden="1">
      <c r="E5614" s="4" t="str">
        <v/>
      </c>
      <c r="F5614" s="102" t="str">
        <f ca="1">IFERROR(__xludf.DUMMYFUNCTION("IMPORTRANGE(H5614,""IDENTITAS UNIT!D9"")"),"#N/A")</f>
        <v>#N/A</v>
      </c>
      <c r="H5614" s="4" t="str">
        <v/>
      </c>
      <c r="I5614" s="4" t="str">
        <v/>
      </c>
    </row>
    <row r="5615" spans="5:9" ht="16.5" hidden="1">
      <c r="E5615" s="4" t="str">
        <v/>
      </c>
      <c r="F5615" s="102" t="str">
        <f ca="1">IFERROR(__xludf.DUMMYFUNCTION("IMPORTRANGE(H5615,""IDENTITAS UNIT!D9"")"),"#N/A")</f>
        <v>#N/A</v>
      </c>
      <c r="H5615" s="4" t="str">
        <v/>
      </c>
      <c r="I5615" s="4" t="str">
        <v/>
      </c>
    </row>
    <row r="5616" spans="5:9" ht="16.5" hidden="1">
      <c r="E5616" s="4" t="str">
        <v/>
      </c>
      <c r="F5616" s="102" t="str">
        <f ca="1">IFERROR(__xludf.DUMMYFUNCTION("IMPORTRANGE(H5616,""IDENTITAS UNIT!D9"")"),"#N/A")</f>
        <v>#N/A</v>
      </c>
      <c r="H5616" s="4" t="str">
        <v/>
      </c>
      <c r="I5616" s="4" t="str">
        <v/>
      </c>
    </row>
    <row r="5617" spans="5:9" ht="16.5" hidden="1">
      <c r="E5617" s="4" t="str">
        <v/>
      </c>
      <c r="F5617" s="102" t="str">
        <f ca="1">IFERROR(__xludf.DUMMYFUNCTION("IMPORTRANGE(H5617,""IDENTITAS UNIT!D9"")"),"#N/A")</f>
        <v>#N/A</v>
      </c>
      <c r="H5617" s="4" t="str">
        <v/>
      </c>
      <c r="I5617" s="4" t="str">
        <v/>
      </c>
    </row>
    <row r="5618" spans="5:9" ht="16.5" hidden="1">
      <c r="E5618" s="4" t="str">
        <v/>
      </c>
      <c r="F5618" s="102" t="str">
        <f ca="1">IFERROR(__xludf.DUMMYFUNCTION("IMPORTRANGE(H5618,""IDENTITAS UNIT!D9"")"),"#N/A")</f>
        <v>#N/A</v>
      </c>
      <c r="H5618" s="4" t="str">
        <v/>
      </c>
      <c r="I5618" s="4" t="str">
        <v/>
      </c>
    </row>
    <row r="5619" spans="5:9" ht="16.5" hidden="1">
      <c r="E5619" s="4" t="str">
        <v/>
      </c>
      <c r="F5619" s="102" t="str">
        <f ca="1">IFERROR(__xludf.DUMMYFUNCTION("IMPORTRANGE(H5619,""IDENTITAS UNIT!D9"")"),"#N/A")</f>
        <v>#N/A</v>
      </c>
      <c r="H5619" s="4" t="str">
        <v/>
      </c>
      <c r="I5619" s="4" t="str">
        <v/>
      </c>
    </row>
    <row r="5620" spans="5:9" ht="16.5" hidden="1">
      <c r="E5620" s="4" t="str">
        <v/>
      </c>
      <c r="F5620" s="102" t="str">
        <f ca="1">IFERROR(__xludf.DUMMYFUNCTION("IMPORTRANGE(H5620,""IDENTITAS UNIT!D9"")"),"#N/A")</f>
        <v>#N/A</v>
      </c>
      <c r="H5620" s="4" t="str">
        <v/>
      </c>
      <c r="I5620" s="4" t="str">
        <v/>
      </c>
    </row>
    <row r="5621" spans="5:9" ht="16.5" hidden="1">
      <c r="E5621" s="4" t="str">
        <v/>
      </c>
      <c r="F5621" s="102" t="str">
        <f ca="1">IFERROR(__xludf.DUMMYFUNCTION("IMPORTRANGE(H5621,""IDENTITAS UNIT!D9"")"),"#N/A")</f>
        <v>#N/A</v>
      </c>
      <c r="H5621" s="4" t="str">
        <v/>
      </c>
      <c r="I5621" s="4" t="str">
        <v/>
      </c>
    </row>
    <row r="5622" spans="5:9" ht="16.5" hidden="1">
      <c r="E5622" s="4" t="str">
        <v/>
      </c>
      <c r="F5622" s="102" t="str">
        <f ca="1">IFERROR(__xludf.DUMMYFUNCTION("IMPORTRANGE(H5622,""IDENTITAS UNIT!D9"")"),"#N/A")</f>
        <v>#N/A</v>
      </c>
      <c r="H5622" s="4" t="str">
        <v/>
      </c>
      <c r="I5622" s="4" t="str">
        <v/>
      </c>
    </row>
    <row r="5623" spans="5:9" ht="16.5" hidden="1">
      <c r="E5623" s="4" t="str">
        <v/>
      </c>
      <c r="F5623" s="102" t="str">
        <f ca="1">IFERROR(__xludf.DUMMYFUNCTION("IMPORTRANGE(H5623,""IDENTITAS UNIT!D9"")"),"#N/A")</f>
        <v>#N/A</v>
      </c>
      <c r="H5623" s="4" t="str">
        <v/>
      </c>
      <c r="I5623" s="4" t="str">
        <v/>
      </c>
    </row>
    <row r="5624" spans="5:9" ht="16.5" hidden="1">
      <c r="E5624" s="4" t="str">
        <v/>
      </c>
      <c r="F5624" s="102" t="str">
        <f ca="1">IFERROR(__xludf.DUMMYFUNCTION("IMPORTRANGE(H5624,""IDENTITAS UNIT!D9"")"),"#N/A")</f>
        <v>#N/A</v>
      </c>
      <c r="H5624" s="4" t="str">
        <v/>
      </c>
      <c r="I5624" s="4" t="str">
        <v/>
      </c>
    </row>
    <row r="5625" spans="5:9" ht="16.5" hidden="1">
      <c r="E5625" s="4" t="str">
        <v/>
      </c>
      <c r="F5625" s="102" t="str">
        <f ca="1">IFERROR(__xludf.DUMMYFUNCTION("IMPORTRANGE(H5625,""IDENTITAS UNIT!D9"")"),"#N/A")</f>
        <v>#N/A</v>
      </c>
      <c r="H5625" s="4" t="str">
        <v/>
      </c>
      <c r="I5625" s="4" t="str">
        <v/>
      </c>
    </row>
    <row r="5626" spans="5:9" ht="16.5" hidden="1">
      <c r="E5626" s="4" t="str">
        <v/>
      </c>
      <c r="F5626" s="102" t="str">
        <f ca="1">IFERROR(__xludf.DUMMYFUNCTION("IMPORTRANGE(H5626,""IDENTITAS UNIT!D9"")"),"#N/A")</f>
        <v>#N/A</v>
      </c>
      <c r="H5626" s="4" t="str">
        <v/>
      </c>
      <c r="I5626" s="4" t="str">
        <v/>
      </c>
    </row>
    <row r="5627" spans="5:9" ht="16.5" hidden="1">
      <c r="E5627" s="4" t="str">
        <v/>
      </c>
      <c r="F5627" s="102" t="str">
        <f ca="1">IFERROR(__xludf.DUMMYFUNCTION("IMPORTRANGE(H5627,""IDENTITAS UNIT!D9"")"),"#N/A")</f>
        <v>#N/A</v>
      </c>
      <c r="H5627" s="4" t="str">
        <v/>
      </c>
      <c r="I5627" s="4" t="str">
        <v/>
      </c>
    </row>
    <row r="5628" spans="5:9" ht="16.5" hidden="1">
      <c r="E5628" s="4" t="str">
        <v/>
      </c>
      <c r="F5628" s="102" t="str">
        <f ca="1">IFERROR(__xludf.DUMMYFUNCTION("IMPORTRANGE(H5628,""IDENTITAS UNIT!D9"")"),"#N/A")</f>
        <v>#N/A</v>
      </c>
      <c r="H5628" s="4" t="str">
        <v/>
      </c>
      <c r="I5628" s="4" t="str">
        <v/>
      </c>
    </row>
    <row r="5629" spans="5:9" ht="16.5" hidden="1">
      <c r="E5629" s="4" t="str">
        <v/>
      </c>
      <c r="F5629" s="102" t="str">
        <f ca="1">IFERROR(__xludf.DUMMYFUNCTION("IMPORTRANGE(H5629,""IDENTITAS UNIT!D9"")"),"#N/A")</f>
        <v>#N/A</v>
      </c>
      <c r="H5629" s="4" t="str">
        <v/>
      </c>
      <c r="I5629" s="4" t="str">
        <v/>
      </c>
    </row>
    <row r="5630" spans="5:9" ht="16.5" hidden="1">
      <c r="E5630" s="4" t="str">
        <v/>
      </c>
      <c r="F5630" s="102" t="str">
        <f ca="1">IFERROR(__xludf.DUMMYFUNCTION("IMPORTRANGE(H5630,""IDENTITAS UNIT!D9"")"),"#N/A")</f>
        <v>#N/A</v>
      </c>
      <c r="H5630" s="4" t="str">
        <v/>
      </c>
      <c r="I5630" s="4" t="str">
        <v/>
      </c>
    </row>
    <row r="5631" spans="5:9" ht="16.5" hidden="1">
      <c r="E5631" s="4" t="str">
        <v/>
      </c>
      <c r="F5631" s="102" t="str">
        <f ca="1">IFERROR(__xludf.DUMMYFUNCTION("IMPORTRANGE(H5631,""IDENTITAS UNIT!D9"")"),"#N/A")</f>
        <v>#N/A</v>
      </c>
      <c r="H5631" s="4" t="str">
        <v/>
      </c>
      <c r="I5631" s="4" t="str">
        <v/>
      </c>
    </row>
    <row r="5632" spans="5:9" ht="16.5" hidden="1">
      <c r="E5632" s="4" t="str">
        <v/>
      </c>
      <c r="F5632" s="102" t="str">
        <f ca="1">IFERROR(__xludf.DUMMYFUNCTION("IMPORTRANGE(H5632,""IDENTITAS UNIT!D9"")"),"#N/A")</f>
        <v>#N/A</v>
      </c>
      <c r="H5632" s="4" t="str">
        <v/>
      </c>
      <c r="I5632" s="4" t="str">
        <v/>
      </c>
    </row>
    <row r="5633" spans="5:9" ht="16.5" hidden="1">
      <c r="E5633" s="4" t="str">
        <v/>
      </c>
      <c r="F5633" s="102" t="str">
        <f ca="1">IFERROR(__xludf.DUMMYFUNCTION("IMPORTRANGE(H5633,""IDENTITAS UNIT!D9"")"),"#N/A")</f>
        <v>#N/A</v>
      </c>
      <c r="H5633" s="4" t="str">
        <v/>
      </c>
      <c r="I5633" s="4" t="str">
        <v/>
      </c>
    </row>
    <row r="5634" spans="5:9" ht="16.5" hidden="1">
      <c r="E5634" s="4" t="str">
        <v/>
      </c>
      <c r="F5634" s="102" t="str">
        <f ca="1">IFERROR(__xludf.DUMMYFUNCTION("IMPORTRANGE(H5634,""IDENTITAS UNIT!D9"")"),"#N/A")</f>
        <v>#N/A</v>
      </c>
      <c r="H5634" s="4" t="str">
        <v/>
      </c>
      <c r="I5634" s="4" t="str">
        <v/>
      </c>
    </row>
    <row r="5635" spans="5:9" ht="16.5" hidden="1">
      <c r="E5635" s="4" t="str">
        <v/>
      </c>
      <c r="F5635" s="102" t="str">
        <f ca="1">IFERROR(__xludf.DUMMYFUNCTION("IMPORTRANGE(H5635,""IDENTITAS UNIT!D9"")"),"#N/A")</f>
        <v>#N/A</v>
      </c>
      <c r="H5635" s="4" t="str">
        <v/>
      </c>
      <c r="I5635" s="4" t="str">
        <v/>
      </c>
    </row>
    <row r="5636" spans="5:9" ht="16.5" hidden="1">
      <c r="E5636" s="4" t="str">
        <v/>
      </c>
      <c r="F5636" s="102" t="str">
        <f ca="1">IFERROR(__xludf.DUMMYFUNCTION("IMPORTRANGE(H5636,""IDENTITAS UNIT!D9"")"),"#N/A")</f>
        <v>#N/A</v>
      </c>
      <c r="H5636" s="4" t="str">
        <v/>
      </c>
      <c r="I5636" s="4" t="str">
        <v/>
      </c>
    </row>
    <row r="5637" spans="5:9" ht="16.5" hidden="1">
      <c r="E5637" s="4" t="str">
        <v/>
      </c>
      <c r="F5637" s="102" t="str">
        <f ca="1">IFERROR(__xludf.DUMMYFUNCTION("IMPORTRANGE(H5637,""IDENTITAS UNIT!D9"")"),"#N/A")</f>
        <v>#N/A</v>
      </c>
      <c r="H5637" s="4" t="str">
        <v/>
      </c>
      <c r="I5637" s="4" t="str">
        <v/>
      </c>
    </row>
    <row r="5638" spans="5:9" ht="16.5" hidden="1">
      <c r="E5638" s="4" t="str">
        <v/>
      </c>
      <c r="F5638" s="102" t="str">
        <f ca="1">IFERROR(__xludf.DUMMYFUNCTION("IMPORTRANGE(H5638,""IDENTITAS UNIT!D9"")"),"#N/A")</f>
        <v>#N/A</v>
      </c>
      <c r="H5638" s="4" t="str">
        <v/>
      </c>
      <c r="I5638" s="4" t="str">
        <v/>
      </c>
    </row>
    <row r="5639" spans="5:9" ht="16.5" hidden="1">
      <c r="E5639" s="4" t="str">
        <v/>
      </c>
      <c r="F5639" s="102" t="str">
        <f ca="1">IFERROR(__xludf.DUMMYFUNCTION("IMPORTRANGE(H5639,""IDENTITAS UNIT!D9"")"),"#N/A")</f>
        <v>#N/A</v>
      </c>
      <c r="H5639" s="4" t="str">
        <v/>
      </c>
      <c r="I5639" s="4" t="str">
        <v/>
      </c>
    </row>
    <row r="5640" spans="5:9" ht="16.5" hidden="1">
      <c r="E5640" s="4" t="str">
        <v/>
      </c>
      <c r="F5640" s="102" t="str">
        <f ca="1">IFERROR(__xludf.DUMMYFUNCTION("IMPORTRANGE(H5640,""IDENTITAS UNIT!D9"")"),"#N/A")</f>
        <v>#N/A</v>
      </c>
      <c r="H5640" s="4" t="str">
        <v/>
      </c>
      <c r="I5640" s="4" t="str">
        <v/>
      </c>
    </row>
    <row r="5641" spans="5:9" ht="16.5" hidden="1">
      <c r="E5641" s="4" t="str">
        <v/>
      </c>
      <c r="F5641" s="102" t="str">
        <f ca="1">IFERROR(__xludf.DUMMYFUNCTION("IMPORTRANGE(H5641,""IDENTITAS UNIT!D9"")"),"#N/A")</f>
        <v>#N/A</v>
      </c>
      <c r="H5641" s="4" t="str">
        <v/>
      </c>
      <c r="I5641" s="4" t="str">
        <v/>
      </c>
    </row>
    <row r="5642" spans="5:9" ht="16.5" hidden="1">
      <c r="E5642" s="4" t="str">
        <v/>
      </c>
      <c r="F5642" s="102" t="str">
        <f ca="1">IFERROR(__xludf.DUMMYFUNCTION("IMPORTRANGE(H5642,""IDENTITAS UNIT!D9"")"),"#N/A")</f>
        <v>#N/A</v>
      </c>
      <c r="H5642" s="4" t="str">
        <v/>
      </c>
      <c r="I5642" s="4" t="str">
        <v/>
      </c>
    </row>
    <row r="5643" spans="5:9" ht="16.5" hidden="1">
      <c r="E5643" s="4" t="str">
        <v/>
      </c>
      <c r="F5643" s="102" t="str">
        <f ca="1">IFERROR(__xludf.DUMMYFUNCTION("IMPORTRANGE(H5643,""IDENTITAS UNIT!D9"")"),"#N/A")</f>
        <v>#N/A</v>
      </c>
      <c r="H5643" s="4" t="str">
        <v/>
      </c>
      <c r="I5643" s="4" t="str">
        <v/>
      </c>
    </row>
    <row r="5644" spans="5:9" ht="16.5" hidden="1">
      <c r="E5644" s="4" t="str">
        <v/>
      </c>
      <c r="F5644" s="102" t="str">
        <f ca="1">IFERROR(__xludf.DUMMYFUNCTION("IMPORTRANGE(H5644,""IDENTITAS UNIT!D9"")"),"#N/A")</f>
        <v>#N/A</v>
      </c>
      <c r="H5644" s="4" t="str">
        <v/>
      </c>
      <c r="I5644" s="4" t="str">
        <v/>
      </c>
    </row>
    <row r="5645" spans="5:9" ht="16.5" hidden="1">
      <c r="E5645" s="4" t="str">
        <v/>
      </c>
      <c r="F5645" s="102" t="str">
        <f ca="1">IFERROR(__xludf.DUMMYFUNCTION("IMPORTRANGE(H5645,""IDENTITAS UNIT!D9"")"),"#N/A")</f>
        <v>#N/A</v>
      </c>
      <c r="H5645" s="4" t="str">
        <v/>
      </c>
      <c r="I5645" s="4" t="str">
        <v/>
      </c>
    </row>
    <row r="5646" spans="5:9" ht="16.5" hidden="1">
      <c r="E5646" s="4" t="str">
        <v/>
      </c>
      <c r="F5646" s="102" t="str">
        <f ca="1">IFERROR(__xludf.DUMMYFUNCTION("IMPORTRANGE(H5646,""IDENTITAS UNIT!D9"")"),"#N/A")</f>
        <v>#N/A</v>
      </c>
      <c r="H5646" s="4" t="str">
        <v/>
      </c>
      <c r="I5646" s="4" t="str">
        <v/>
      </c>
    </row>
    <row r="5647" spans="5:9" ht="16.5" hidden="1">
      <c r="E5647" s="4" t="str">
        <v/>
      </c>
      <c r="F5647" s="102" t="str">
        <f ca="1">IFERROR(__xludf.DUMMYFUNCTION("IMPORTRANGE(H5647,""IDENTITAS UNIT!D9"")"),"#N/A")</f>
        <v>#N/A</v>
      </c>
      <c r="H5647" s="4" t="str">
        <v/>
      </c>
      <c r="I5647" s="4" t="str">
        <v/>
      </c>
    </row>
    <row r="5648" spans="5:9" ht="16.5" hidden="1">
      <c r="E5648" s="4" t="str">
        <v/>
      </c>
      <c r="F5648" s="102" t="str">
        <f ca="1">IFERROR(__xludf.DUMMYFUNCTION("IMPORTRANGE(H5648,""IDENTITAS UNIT!D9"")"),"#N/A")</f>
        <v>#N/A</v>
      </c>
      <c r="H5648" s="4" t="str">
        <v/>
      </c>
      <c r="I5648" s="4" t="str">
        <v/>
      </c>
    </row>
    <row r="5649" spans="5:9" ht="16.5" hidden="1">
      <c r="E5649" s="4" t="str">
        <v/>
      </c>
      <c r="F5649" s="102" t="str">
        <f ca="1">IFERROR(__xludf.DUMMYFUNCTION("IMPORTRANGE(H5649,""IDENTITAS UNIT!D9"")"),"#N/A")</f>
        <v>#N/A</v>
      </c>
      <c r="H5649" s="4" t="str">
        <v/>
      </c>
      <c r="I5649" s="4" t="str">
        <v/>
      </c>
    </row>
    <row r="5650" spans="5:9" ht="16.5" hidden="1">
      <c r="E5650" s="4" t="str">
        <v/>
      </c>
      <c r="F5650" s="102" t="str">
        <f ca="1">IFERROR(__xludf.DUMMYFUNCTION("IMPORTRANGE(H5650,""IDENTITAS UNIT!D9"")"),"#N/A")</f>
        <v>#N/A</v>
      </c>
      <c r="H5650" s="4" t="str">
        <v/>
      </c>
      <c r="I5650" s="4" t="str">
        <v/>
      </c>
    </row>
    <row r="5651" spans="5:9" ht="16.5" hidden="1">
      <c r="E5651" s="4" t="str">
        <v/>
      </c>
      <c r="F5651" s="102" t="str">
        <f ca="1">IFERROR(__xludf.DUMMYFUNCTION("IMPORTRANGE(H5651,""IDENTITAS UNIT!D9"")"),"#N/A")</f>
        <v>#N/A</v>
      </c>
      <c r="H5651" s="4" t="str">
        <v/>
      </c>
      <c r="I5651" s="4" t="str">
        <v/>
      </c>
    </row>
    <row r="5652" spans="5:9" ht="16.5" hidden="1">
      <c r="E5652" s="4" t="str">
        <v/>
      </c>
      <c r="F5652" s="102" t="str">
        <f ca="1">IFERROR(__xludf.DUMMYFUNCTION("IMPORTRANGE(H5652,""IDENTITAS UNIT!D9"")"),"#N/A")</f>
        <v>#N/A</v>
      </c>
      <c r="H5652" s="4" t="str">
        <v/>
      </c>
      <c r="I5652" s="4" t="str">
        <v/>
      </c>
    </row>
    <row r="5653" spans="5:9" ht="16.5" hidden="1">
      <c r="E5653" s="4" t="str">
        <v/>
      </c>
      <c r="F5653" s="102" t="str">
        <f ca="1">IFERROR(__xludf.DUMMYFUNCTION("IMPORTRANGE(H5653,""IDENTITAS UNIT!D9"")"),"#N/A")</f>
        <v>#N/A</v>
      </c>
      <c r="H5653" s="4" t="str">
        <v/>
      </c>
      <c r="I5653" s="4" t="str">
        <v/>
      </c>
    </row>
    <row r="5654" spans="5:9" ht="16.5" hidden="1">
      <c r="E5654" s="4" t="str">
        <v/>
      </c>
      <c r="F5654" s="102" t="str">
        <f ca="1">IFERROR(__xludf.DUMMYFUNCTION("IMPORTRANGE(H5654,""IDENTITAS UNIT!D9"")"),"#N/A")</f>
        <v>#N/A</v>
      </c>
      <c r="H5654" s="4" t="str">
        <v/>
      </c>
      <c r="I5654" s="4" t="str">
        <v/>
      </c>
    </row>
    <row r="5655" spans="5:9" ht="16.5" hidden="1">
      <c r="E5655" s="4" t="str">
        <v/>
      </c>
      <c r="F5655" s="102" t="str">
        <f ca="1">IFERROR(__xludf.DUMMYFUNCTION("IMPORTRANGE(H5655,""IDENTITAS UNIT!D9"")"),"#N/A")</f>
        <v>#N/A</v>
      </c>
      <c r="H5655" s="4" t="str">
        <v/>
      </c>
      <c r="I5655" s="4" t="str">
        <v/>
      </c>
    </row>
    <row r="5656" spans="5:9" ht="16.5" hidden="1">
      <c r="E5656" s="4" t="str">
        <v/>
      </c>
      <c r="F5656" s="102" t="str">
        <f ca="1">IFERROR(__xludf.DUMMYFUNCTION("IMPORTRANGE(H5656,""IDENTITAS UNIT!D9"")"),"#N/A")</f>
        <v>#N/A</v>
      </c>
      <c r="H5656" s="4" t="str">
        <v/>
      </c>
      <c r="I5656" s="4" t="str">
        <v/>
      </c>
    </row>
    <row r="5657" spans="5:9" ht="16.5" hidden="1">
      <c r="E5657" s="4" t="str">
        <v/>
      </c>
      <c r="F5657" s="102" t="str">
        <f ca="1">IFERROR(__xludf.DUMMYFUNCTION("IMPORTRANGE(H5657,""IDENTITAS UNIT!D9"")"),"#N/A")</f>
        <v>#N/A</v>
      </c>
      <c r="H5657" s="4" t="str">
        <v/>
      </c>
      <c r="I5657" s="4" t="str">
        <v/>
      </c>
    </row>
    <row r="5658" spans="5:9" ht="16.5" hidden="1">
      <c r="E5658" s="4" t="str">
        <v/>
      </c>
      <c r="F5658" s="102" t="str">
        <f ca="1">IFERROR(__xludf.DUMMYFUNCTION("IMPORTRANGE(H5658,""IDENTITAS UNIT!D9"")"),"#N/A")</f>
        <v>#N/A</v>
      </c>
      <c r="H5658" s="4" t="str">
        <v/>
      </c>
      <c r="I5658" s="4" t="str">
        <v/>
      </c>
    </row>
    <row r="5659" spans="5:9" ht="16.5" hidden="1">
      <c r="E5659" s="4" t="str">
        <v/>
      </c>
      <c r="F5659" s="102" t="str">
        <f ca="1">IFERROR(__xludf.DUMMYFUNCTION("IMPORTRANGE(H5659,""IDENTITAS UNIT!D9"")"),"#N/A")</f>
        <v>#N/A</v>
      </c>
      <c r="H5659" s="4" t="str">
        <v/>
      </c>
      <c r="I5659" s="4" t="str">
        <v/>
      </c>
    </row>
    <row r="5660" spans="5:9" ht="16.5" hidden="1">
      <c r="E5660" s="4" t="str">
        <v/>
      </c>
      <c r="F5660" s="102" t="str">
        <f ca="1">IFERROR(__xludf.DUMMYFUNCTION("IMPORTRANGE(H5660,""IDENTITAS UNIT!D9"")"),"#N/A")</f>
        <v>#N/A</v>
      </c>
      <c r="H5660" s="4" t="str">
        <v/>
      </c>
      <c r="I5660" s="4" t="str">
        <v/>
      </c>
    </row>
    <row r="5661" spans="5:9" ht="16.5" hidden="1">
      <c r="E5661" s="4" t="str">
        <v/>
      </c>
      <c r="F5661" s="102" t="str">
        <f ca="1">IFERROR(__xludf.DUMMYFUNCTION("IMPORTRANGE(H5661,""IDENTITAS UNIT!D9"")"),"#N/A")</f>
        <v>#N/A</v>
      </c>
      <c r="H5661" s="4" t="str">
        <v/>
      </c>
      <c r="I5661" s="4" t="str">
        <v/>
      </c>
    </row>
    <row r="5662" spans="5:9" ht="16.5" hidden="1">
      <c r="E5662" s="4" t="str">
        <v/>
      </c>
      <c r="F5662" s="102" t="str">
        <f ca="1">IFERROR(__xludf.DUMMYFUNCTION("IMPORTRANGE(H5662,""IDENTITAS UNIT!D9"")"),"#N/A")</f>
        <v>#N/A</v>
      </c>
      <c r="H5662" s="4" t="str">
        <v/>
      </c>
      <c r="I5662" s="4" t="str">
        <v/>
      </c>
    </row>
    <row r="5663" spans="5:9" ht="16.5" hidden="1">
      <c r="E5663" s="4" t="str">
        <v/>
      </c>
      <c r="F5663" s="102" t="str">
        <f ca="1">IFERROR(__xludf.DUMMYFUNCTION("IMPORTRANGE(H5663,""IDENTITAS UNIT!D9"")"),"#N/A")</f>
        <v>#N/A</v>
      </c>
      <c r="H5663" s="4" t="str">
        <v/>
      </c>
      <c r="I5663" s="4" t="str">
        <v/>
      </c>
    </row>
    <row r="5664" spans="5:9" ht="16.5" hidden="1">
      <c r="E5664" s="4" t="str">
        <v/>
      </c>
      <c r="F5664" s="102" t="str">
        <f ca="1">IFERROR(__xludf.DUMMYFUNCTION("IMPORTRANGE(H5664,""IDENTITAS UNIT!D9"")"),"#N/A")</f>
        <v>#N/A</v>
      </c>
      <c r="H5664" s="4" t="str">
        <v/>
      </c>
      <c r="I5664" s="4" t="str">
        <v/>
      </c>
    </row>
    <row r="5665" spans="5:9" ht="16.5" hidden="1">
      <c r="E5665" s="4" t="str">
        <v/>
      </c>
      <c r="F5665" s="102" t="str">
        <f ca="1">IFERROR(__xludf.DUMMYFUNCTION("IMPORTRANGE(H5665,""IDENTITAS UNIT!D9"")"),"#N/A")</f>
        <v>#N/A</v>
      </c>
      <c r="H5665" s="4" t="str">
        <v/>
      </c>
      <c r="I5665" s="4" t="str">
        <v/>
      </c>
    </row>
    <row r="5666" spans="5:9" ht="16.5" hidden="1">
      <c r="E5666" s="4" t="str">
        <v/>
      </c>
      <c r="F5666" s="102" t="str">
        <f ca="1">IFERROR(__xludf.DUMMYFUNCTION("IMPORTRANGE(H5666,""IDENTITAS UNIT!D9"")"),"#N/A")</f>
        <v>#N/A</v>
      </c>
      <c r="H5666" s="4" t="str">
        <v/>
      </c>
      <c r="I5666" s="4" t="str">
        <v/>
      </c>
    </row>
    <row r="5667" spans="5:9" ht="16.5" hidden="1">
      <c r="E5667" s="4" t="str">
        <v/>
      </c>
      <c r="F5667" s="102" t="str">
        <f ca="1">IFERROR(__xludf.DUMMYFUNCTION("IMPORTRANGE(H5667,""IDENTITAS UNIT!D9"")"),"#N/A")</f>
        <v>#N/A</v>
      </c>
      <c r="H5667" s="4" t="str">
        <v/>
      </c>
      <c r="I5667" s="4" t="str">
        <v/>
      </c>
    </row>
    <row r="5668" spans="5:9" ht="16.5" hidden="1">
      <c r="E5668" s="4" t="str">
        <v/>
      </c>
      <c r="F5668" s="102" t="str">
        <f ca="1">IFERROR(__xludf.DUMMYFUNCTION("IMPORTRANGE(H5668,""IDENTITAS UNIT!D9"")"),"#N/A")</f>
        <v>#N/A</v>
      </c>
      <c r="H5668" s="4" t="str">
        <v/>
      </c>
      <c r="I5668" s="4" t="str">
        <v/>
      </c>
    </row>
    <row r="5669" spans="5:9" ht="16.5" hidden="1">
      <c r="E5669" s="4" t="str">
        <v/>
      </c>
      <c r="F5669" s="102" t="str">
        <f ca="1">IFERROR(__xludf.DUMMYFUNCTION("IMPORTRANGE(H5669,""IDENTITAS UNIT!D9"")"),"#N/A")</f>
        <v>#N/A</v>
      </c>
      <c r="H5669" s="4" t="str">
        <v/>
      </c>
      <c r="I5669" s="4" t="str">
        <v/>
      </c>
    </row>
    <row r="5670" spans="5:9" ht="16.5" hidden="1">
      <c r="E5670" s="4" t="str">
        <v/>
      </c>
      <c r="F5670" s="102" t="str">
        <f ca="1">IFERROR(__xludf.DUMMYFUNCTION("IMPORTRANGE(H5670,""IDENTITAS UNIT!D9"")"),"#N/A")</f>
        <v>#N/A</v>
      </c>
      <c r="H5670" s="4" t="str">
        <v/>
      </c>
      <c r="I5670" s="4" t="str">
        <v/>
      </c>
    </row>
    <row r="5671" spans="5:9" ht="16.5" hidden="1">
      <c r="E5671" s="4" t="str">
        <v/>
      </c>
      <c r="F5671" s="102" t="str">
        <f ca="1">IFERROR(__xludf.DUMMYFUNCTION("IMPORTRANGE(H5671,""IDENTITAS UNIT!D9"")"),"#N/A")</f>
        <v>#N/A</v>
      </c>
      <c r="H5671" s="4" t="str">
        <v/>
      </c>
      <c r="I5671" s="4" t="str">
        <v/>
      </c>
    </row>
    <row r="5672" spans="5:9" ht="16.5" hidden="1">
      <c r="E5672" s="4" t="str">
        <v/>
      </c>
      <c r="F5672" s="102" t="str">
        <f ca="1">IFERROR(__xludf.DUMMYFUNCTION("IMPORTRANGE(H5672,""IDENTITAS UNIT!D9"")"),"#N/A")</f>
        <v>#N/A</v>
      </c>
      <c r="H5672" s="4" t="str">
        <v/>
      </c>
      <c r="I5672" s="4" t="str">
        <v/>
      </c>
    </row>
    <row r="5673" spans="5:9" ht="16.5" hidden="1">
      <c r="E5673" s="4" t="str">
        <v/>
      </c>
      <c r="F5673" s="102" t="str">
        <f ca="1">IFERROR(__xludf.DUMMYFUNCTION("IMPORTRANGE(H5673,""IDENTITAS UNIT!D9"")"),"#N/A")</f>
        <v>#N/A</v>
      </c>
      <c r="H5673" s="4" t="str">
        <v/>
      </c>
      <c r="I5673" s="4" t="str">
        <v/>
      </c>
    </row>
    <row r="5674" spans="5:9" ht="16.5" hidden="1">
      <c r="E5674" s="4" t="str">
        <v/>
      </c>
      <c r="F5674" s="102" t="str">
        <f ca="1">IFERROR(__xludf.DUMMYFUNCTION("IMPORTRANGE(H5674,""IDENTITAS UNIT!D9"")"),"#N/A")</f>
        <v>#N/A</v>
      </c>
      <c r="H5674" s="4" t="str">
        <v/>
      </c>
      <c r="I5674" s="4" t="str">
        <v/>
      </c>
    </row>
    <row r="5675" spans="5:9" ht="16.5" hidden="1">
      <c r="E5675" s="4" t="str">
        <v/>
      </c>
      <c r="F5675" s="102" t="str">
        <f ca="1">IFERROR(__xludf.DUMMYFUNCTION("IMPORTRANGE(H5675,""IDENTITAS UNIT!D9"")"),"#N/A")</f>
        <v>#N/A</v>
      </c>
      <c r="H5675" s="4" t="str">
        <v/>
      </c>
      <c r="I5675" s="4" t="str">
        <v/>
      </c>
    </row>
    <row r="5676" spans="5:9" ht="16.5" hidden="1">
      <c r="E5676" s="4" t="str">
        <v/>
      </c>
      <c r="F5676" s="102" t="str">
        <f ca="1">IFERROR(__xludf.DUMMYFUNCTION("IMPORTRANGE(H5676,""IDENTITAS UNIT!D9"")"),"#N/A")</f>
        <v>#N/A</v>
      </c>
      <c r="H5676" s="4" t="str">
        <v/>
      </c>
      <c r="I5676" s="4" t="str">
        <v/>
      </c>
    </row>
    <row r="5677" spans="5:9" ht="16.5" hidden="1">
      <c r="E5677" s="4" t="str">
        <v/>
      </c>
      <c r="F5677" s="102" t="str">
        <f ca="1">IFERROR(__xludf.DUMMYFUNCTION("IMPORTRANGE(H5677,""IDENTITAS UNIT!D9"")"),"#N/A")</f>
        <v>#N/A</v>
      </c>
      <c r="H5677" s="4" t="str">
        <v/>
      </c>
      <c r="I5677" s="4" t="str">
        <v/>
      </c>
    </row>
    <row r="5678" spans="5:9" ht="16.5" hidden="1">
      <c r="E5678" s="4" t="str">
        <v/>
      </c>
      <c r="F5678" s="102" t="str">
        <f ca="1">IFERROR(__xludf.DUMMYFUNCTION("IMPORTRANGE(H5678,""IDENTITAS UNIT!D9"")"),"#N/A")</f>
        <v>#N/A</v>
      </c>
      <c r="H5678" s="4" t="str">
        <v/>
      </c>
      <c r="I5678" s="4" t="str">
        <v/>
      </c>
    </row>
    <row r="5679" spans="5:9" ht="16.5" hidden="1">
      <c r="E5679" s="4" t="str">
        <v/>
      </c>
      <c r="F5679" s="102" t="str">
        <f ca="1">IFERROR(__xludf.DUMMYFUNCTION("IMPORTRANGE(H5679,""IDENTITAS UNIT!D9"")"),"#N/A")</f>
        <v>#N/A</v>
      </c>
      <c r="H5679" s="4" t="str">
        <v/>
      </c>
      <c r="I5679" s="4" t="str">
        <v/>
      </c>
    </row>
    <row r="5680" spans="5:9" ht="16.5" hidden="1">
      <c r="E5680" s="4" t="str">
        <v/>
      </c>
      <c r="F5680" s="102" t="str">
        <f ca="1">IFERROR(__xludf.DUMMYFUNCTION("IMPORTRANGE(H5680,""IDENTITAS UNIT!D9"")"),"#N/A")</f>
        <v>#N/A</v>
      </c>
      <c r="H5680" s="4" t="str">
        <v/>
      </c>
      <c r="I5680" s="4" t="str">
        <v/>
      </c>
    </row>
    <row r="5681" spans="5:9" ht="16.5" hidden="1">
      <c r="E5681" s="4" t="str">
        <v/>
      </c>
      <c r="F5681" s="102" t="str">
        <f ca="1">IFERROR(__xludf.DUMMYFUNCTION("IMPORTRANGE(H5681,""IDENTITAS UNIT!D9"")"),"#N/A")</f>
        <v>#N/A</v>
      </c>
      <c r="H5681" s="4" t="str">
        <v/>
      </c>
      <c r="I5681" s="4" t="str">
        <v/>
      </c>
    </row>
    <row r="5682" spans="5:9" ht="16.5" hidden="1">
      <c r="E5682" s="4" t="str">
        <v/>
      </c>
      <c r="F5682" s="102" t="str">
        <f ca="1">IFERROR(__xludf.DUMMYFUNCTION("IMPORTRANGE(H5682,""IDENTITAS UNIT!D9"")"),"#N/A")</f>
        <v>#N/A</v>
      </c>
      <c r="H5682" s="4" t="str">
        <v/>
      </c>
      <c r="I5682" s="4" t="str">
        <v/>
      </c>
    </row>
    <row r="5683" spans="5:9" ht="16.5" hidden="1">
      <c r="E5683" s="4" t="str">
        <v/>
      </c>
      <c r="F5683" s="102" t="str">
        <f ca="1">IFERROR(__xludf.DUMMYFUNCTION("IMPORTRANGE(H5683,""IDENTITAS UNIT!D9"")"),"#N/A")</f>
        <v>#N/A</v>
      </c>
      <c r="H5683" s="4" t="str">
        <v/>
      </c>
      <c r="I5683" s="4" t="str">
        <v/>
      </c>
    </row>
    <row r="5684" spans="5:9" ht="16.5" hidden="1">
      <c r="E5684" s="4" t="str">
        <v/>
      </c>
      <c r="F5684" s="102" t="str">
        <f ca="1">IFERROR(__xludf.DUMMYFUNCTION("IMPORTRANGE(H5684,""IDENTITAS UNIT!D9"")"),"#N/A")</f>
        <v>#N/A</v>
      </c>
      <c r="H5684" s="4" t="str">
        <v/>
      </c>
      <c r="I5684" s="4" t="str">
        <v/>
      </c>
    </row>
    <row r="5685" spans="5:9" ht="16.5" hidden="1">
      <c r="E5685" s="4" t="str">
        <v/>
      </c>
      <c r="F5685" s="102" t="str">
        <f ca="1">IFERROR(__xludf.DUMMYFUNCTION("IMPORTRANGE(H5685,""IDENTITAS UNIT!D9"")"),"#N/A")</f>
        <v>#N/A</v>
      </c>
      <c r="H5685" s="4" t="str">
        <v/>
      </c>
      <c r="I5685" s="4" t="str">
        <v/>
      </c>
    </row>
    <row r="5686" spans="5:9" ht="16.5" hidden="1">
      <c r="E5686" s="4" t="str">
        <v/>
      </c>
      <c r="F5686" s="102" t="str">
        <f ca="1">IFERROR(__xludf.DUMMYFUNCTION("IMPORTRANGE(H5686,""IDENTITAS UNIT!D9"")"),"#N/A")</f>
        <v>#N/A</v>
      </c>
      <c r="H5686" s="4" t="str">
        <v/>
      </c>
      <c r="I5686" s="4" t="str">
        <v/>
      </c>
    </row>
    <row r="5687" spans="5:9" ht="16.5" hidden="1">
      <c r="E5687" s="4" t="str">
        <v/>
      </c>
      <c r="F5687" s="102" t="str">
        <f ca="1">IFERROR(__xludf.DUMMYFUNCTION("IMPORTRANGE(H5687,""IDENTITAS UNIT!D9"")"),"#N/A")</f>
        <v>#N/A</v>
      </c>
      <c r="H5687" s="4" t="str">
        <v/>
      </c>
      <c r="I5687" s="4" t="str">
        <v/>
      </c>
    </row>
    <row r="5688" spans="5:9" ht="16.5" hidden="1">
      <c r="E5688" s="4" t="str">
        <v/>
      </c>
      <c r="F5688" s="102" t="str">
        <f ca="1">IFERROR(__xludf.DUMMYFUNCTION("IMPORTRANGE(H5688,""IDENTITAS UNIT!D9"")"),"#N/A")</f>
        <v>#N/A</v>
      </c>
      <c r="H5688" s="4" t="str">
        <v/>
      </c>
      <c r="I5688" s="4" t="str">
        <v/>
      </c>
    </row>
    <row r="5689" spans="5:9" ht="16.5" hidden="1">
      <c r="E5689" s="4" t="str">
        <v/>
      </c>
      <c r="F5689" s="102" t="str">
        <f ca="1">IFERROR(__xludf.DUMMYFUNCTION("IMPORTRANGE(H5689,""IDENTITAS UNIT!D9"")"),"#N/A")</f>
        <v>#N/A</v>
      </c>
      <c r="H5689" s="4" t="str">
        <v/>
      </c>
      <c r="I5689" s="4" t="str">
        <v/>
      </c>
    </row>
    <row r="5690" spans="5:9" ht="16.5" hidden="1">
      <c r="E5690" s="4" t="str">
        <v/>
      </c>
      <c r="F5690" s="102" t="str">
        <f ca="1">IFERROR(__xludf.DUMMYFUNCTION("IMPORTRANGE(H5690,""IDENTITAS UNIT!D9"")"),"#N/A")</f>
        <v>#N/A</v>
      </c>
      <c r="H5690" s="4" t="str">
        <v/>
      </c>
      <c r="I5690" s="4" t="str">
        <v/>
      </c>
    </row>
    <row r="5691" spans="5:9" ht="16.5" hidden="1">
      <c r="E5691" s="4" t="str">
        <v/>
      </c>
      <c r="F5691" s="102" t="str">
        <f ca="1">IFERROR(__xludf.DUMMYFUNCTION("IMPORTRANGE(H5691,""IDENTITAS UNIT!D9"")"),"#N/A")</f>
        <v>#N/A</v>
      </c>
      <c r="H5691" s="4" t="str">
        <v/>
      </c>
      <c r="I5691" s="4" t="str">
        <v/>
      </c>
    </row>
    <row r="5692" spans="5:9" ht="16.5" hidden="1">
      <c r="E5692" s="4" t="str">
        <v/>
      </c>
      <c r="F5692" s="102" t="str">
        <f ca="1">IFERROR(__xludf.DUMMYFUNCTION("IMPORTRANGE(H5692,""IDENTITAS UNIT!D9"")"),"#N/A")</f>
        <v>#N/A</v>
      </c>
      <c r="H5692" s="4" t="str">
        <v/>
      </c>
      <c r="I5692" s="4" t="str">
        <v/>
      </c>
    </row>
    <row r="5693" spans="5:9" ht="16.5" hidden="1">
      <c r="E5693" s="4" t="str">
        <v/>
      </c>
      <c r="F5693" s="102" t="str">
        <f ca="1">IFERROR(__xludf.DUMMYFUNCTION("IMPORTRANGE(H5693,""IDENTITAS UNIT!D9"")"),"#N/A")</f>
        <v>#N/A</v>
      </c>
      <c r="H5693" s="4" t="str">
        <v/>
      </c>
      <c r="I5693" s="4" t="str">
        <v/>
      </c>
    </row>
    <row r="5694" spans="5:9" ht="16.5" hidden="1">
      <c r="E5694" s="4" t="str">
        <v/>
      </c>
      <c r="F5694" s="102" t="str">
        <f ca="1">IFERROR(__xludf.DUMMYFUNCTION("IMPORTRANGE(H5694,""IDENTITAS UNIT!D9"")"),"#N/A")</f>
        <v>#N/A</v>
      </c>
      <c r="H5694" s="4" t="str">
        <v/>
      </c>
      <c r="I5694" s="4" t="str">
        <v/>
      </c>
    </row>
    <row r="5695" spans="5:9" ht="16.5" hidden="1">
      <c r="E5695" s="4" t="str">
        <v/>
      </c>
      <c r="F5695" s="102" t="str">
        <f ca="1">IFERROR(__xludf.DUMMYFUNCTION("IMPORTRANGE(H5695,""IDENTITAS UNIT!D9"")"),"#N/A")</f>
        <v>#N/A</v>
      </c>
      <c r="H5695" s="4" t="str">
        <v/>
      </c>
      <c r="I5695" s="4" t="str">
        <v/>
      </c>
    </row>
    <row r="5696" spans="5:9" ht="16.5" hidden="1">
      <c r="E5696" s="4" t="str">
        <v/>
      </c>
      <c r="F5696" s="102" t="str">
        <f ca="1">IFERROR(__xludf.DUMMYFUNCTION("IMPORTRANGE(H5696,""IDENTITAS UNIT!D9"")"),"#N/A")</f>
        <v>#N/A</v>
      </c>
      <c r="H5696" s="4" t="str">
        <v/>
      </c>
      <c r="I5696" s="4" t="str">
        <v/>
      </c>
    </row>
    <row r="5697" spans="5:9" ht="16.5" hidden="1">
      <c r="E5697" s="4" t="str">
        <v/>
      </c>
      <c r="F5697" s="102" t="str">
        <f ca="1">IFERROR(__xludf.DUMMYFUNCTION("IMPORTRANGE(H5697,""IDENTITAS UNIT!D9"")"),"#N/A")</f>
        <v>#N/A</v>
      </c>
      <c r="H5697" s="4" t="str">
        <v/>
      </c>
      <c r="I5697" s="4" t="str">
        <v/>
      </c>
    </row>
    <row r="5698" spans="5:9" ht="16.5" hidden="1">
      <c r="E5698" s="4" t="str">
        <v/>
      </c>
      <c r="F5698" s="102" t="str">
        <f ca="1">IFERROR(__xludf.DUMMYFUNCTION("IMPORTRANGE(H5698,""IDENTITAS UNIT!D9"")"),"#N/A")</f>
        <v>#N/A</v>
      </c>
      <c r="H5698" s="4" t="str">
        <v/>
      </c>
      <c r="I5698" s="4" t="str">
        <v/>
      </c>
    </row>
    <row r="5699" spans="5:9" ht="16.5" hidden="1">
      <c r="E5699" s="4" t="str">
        <v/>
      </c>
      <c r="F5699" s="102" t="str">
        <f ca="1">IFERROR(__xludf.DUMMYFUNCTION("IMPORTRANGE(H5699,""IDENTITAS UNIT!D9"")"),"#N/A")</f>
        <v>#N/A</v>
      </c>
      <c r="H5699" s="4" t="str">
        <v/>
      </c>
      <c r="I5699" s="4" t="str">
        <v/>
      </c>
    </row>
    <row r="5700" spans="5:9" ht="16.5" hidden="1">
      <c r="E5700" s="4" t="str">
        <v/>
      </c>
      <c r="F5700" s="102" t="str">
        <f ca="1">IFERROR(__xludf.DUMMYFUNCTION("IMPORTRANGE(H5700,""IDENTITAS UNIT!D9"")"),"#N/A")</f>
        <v>#N/A</v>
      </c>
      <c r="H5700" s="4" t="str">
        <v/>
      </c>
      <c r="I5700" s="4" t="str">
        <v/>
      </c>
    </row>
    <row r="5701" spans="5:9" ht="16.5" hidden="1">
      <c r="E5701" s="4" t="str">
        <v/>
      </c>
      <c r="F5701" s="102" t="str">
        <f ca="1">IFERROR(__xludf.DUMMYFUNCTION("IMPORTRANGE(H5701,""IDENTITAS UNIT!D9"")"),"#N/A")</f>
        <v>#N/A</v>
      </c>
      <c r="H5701" s="4" t="str">
        <v/>
      </c>
      <c r="I5701" s="4" t="str">
        <v/>
      </c>
    </row>
    <row r="5702" spans="5:9" ht="16.5" hidden="1">
      <c r="E5702" s="4" t="str">
        <v/>
      </c>
      <c r="F5702" s="102" t="str">
        <f ca="1">IFERROR(__xludf.DUMMYFUNCTION("IMPORTRANGE(H5702,""IDENTITAS UNIT!D9"")"),"#N/A")</f>
        <v>#N/A</v>
      </c>
      <c r="H5702" s="4" t="str">
        <v/>
      </c>
      <c r="I5702" s="4" t="str">
        <v/>
      </c>
    </row>
    <row r="5703" spans="5:9" ht="16.5" hidden="1">
      <c r="E5703" s="4" t="str">
        <v/>
      </c>
      <c r="F5703" s="102" t="str">
        <f ca="1">IFERROR(__xludf.DUMMYFUNCTION("IMPORTRANGE(H5703,""IDENTITAS UNIT!D9"")"),"#N/A")</f>
        <v>#N/A</v>
      </c>
      <c r="H5703" s="4" t="str">
        <v/>
      </c>
      <c r="I5703" s="4" t="str">
        <v/>
      </c>
    </row>
    <row r="5704" spans="5:9" ht="16.5" hidden="1">
      <c r="E5704" s="4" t="str">
        <v/>
      </c>
      <c r="F5704" s="102" t="str">
        <f ca="1">IFERROR(__xludf.DUMMYFUNCTION("IMPORTRANGE(H5704,""IDENTITAS UNIT!D9"")"),"#N/A")</f>
        <v>#N/A</v>
      </c>
      <c r="H5704" s="4" t="str">
        <v/>
      </c>
      <c r="I5704" s="4" t="str">
        <v/>
      </c>
    </row>
    <row r="5705" spans="5:9" ht="16.5" hidden="1">
      <c r="E5705" s="4" t="str">
        <v/>
      </c>
      <c r="F5705" s="102" t="str">
        <f ca="1">IFERROR(__xludf.DUMMYFUNCTION("IMPORTRANGE(H5705,""IDENTITAS UNIT!D9"")"),"#N/A")</f>
        <v>#N/A</v>
      </c>
      <c r="H5705" s="4" t="str">
        <v/>
      </c>
      <c r="I5705" s="4" t="str">
        <v/>
      </c>
    </row>
    <row r="5706" spans="5:9" ht="16.5" hidden="1">
      <c r="E5706" s="4" t="str">
        <v/>
      </c>
      <c r="F5706" s="102" t="str">
        <f ca="1">IFERROR(__xludf.DUMMYFUNCTION("IMPORTRANGE(H5706,""IDENTITAS UNIT!D9"")"),"#N/A")</f>
        <v>#N/A</v>
      </c>
      <c r="H5706" s="4" t="str">
        <v/>
      </c>
      <c r="I5706" s="4" t="str">
        <v/>
      </c>
    </row>
    <row r="5707" spans="5:9" ht="16.5" hidden="1">
      <c r="E5707" s="4" t="str">
        <v/>
      </c>
      <c r="F5707" s="102" t="str">
        <f ca="1">IFERROR(__xludf.DUMMYFUNCTION("IMPORTRANGE(H5707,""IDENTITAS UNIT!D9"")"),"#N/A")</f>
        <v>#N/A</v>
      </c>
      <c r="H5707" s="4" t="str">
        <v/>
      </c>
      <c r="I5707" s="4" t="str">
        <v/>
      </c>
    </row>
    <row r="5708" spans="5:9" ht="16.5" hidden="1">
      <c r="E5708" s="4" t="str">
        <v/>
      </c>
      <c r="F5708" s="102" t="str">
        <f ca="1">IFERROR(__xludf.DUMMYFUNCTION("IMPORTRANGE(H5708,""IDENTITAS UNIT!D9"")"),"#N/A")</f>
        <v>#N/A</v>
      </c>
      <c r="H5708" s="4" t="str">
        <v/>
      </c>
      <c r="I5708" s="4" t="str">
        <v/>
      </c>
    </row>
    <row r="5709" spans="5:9" ht="16.5" hidden="1">
      <c r="E5709" s="4" t="str">
        <v/>
      </c>
      <c r="F5709" s="102" t="str">
        <f ca="1">IFERROR(__xludf.DUMMYFUNCTION("IMPORTRANGE(H5709,""IDENTITAS UNIT!D9"")"),"#N/A")</f>
        <v>#N/A</v>
      </c>
      <c r="H5709" s="4" t="str">
        <v/>
      </c>
      <c r="I5709" s="4" t="str">
        <v/>
      </c>
    </row>
    <row r="5710" spans="5:9" ht="16.5" hidden="1">
      <c r="E5710" s="4" t="str">
        <v/>
      </c>
      <c r="F5710" s="102" t="str">
        <f ca="1">IFERROR(__xludf.DUMMYFUNCTION("IMPORTRANGE(H5710,""IDENTITAS UNIT!D9"")"),"#N/A")</f>
        <v>#N/A</v>
      </c>
      <c r="H5710" s="4" t="str">
        <v/>
      </c>
      <c r="I5710" s="4" t="str">
        <v/>
      </c>
    </row>
    <row r="5711" spans="5:9" ht="16.5" hidden="1">
      <c r="E5711" s="4" t="str">
        <v/>
      </c>
      <c r="F5711" s="102" t="str">
        <f ca="1">IFERROR(__xludf.DUMMYFUNCTION("IMPORTRANGE(H5711,""IDENTITAS UNIT!D9"")"),"#N/A")</f>
        <v>#N/A</v>
      </c>
      <c r="H5711" s="4" t="str">
        <v/>
      </c>
      <c r="I5711" s="4" t="str">
        <v/>
      </c>
    </row>
    <row r="5712" spans="5:9" ht="16.5" hidden="1">
      <c r="E5712" s="4" t="str">
        <v/>
      </c>
      <c r="F5712" s="102" t="str">
        <f ca="1">IFERROR(__xludf.DUMMYFUNCTION("IMPORTRANGE(H5712,""IDENTITAS UNIT!D9"")"),"#N/A")</f>
        <v>#N/A</v>
      </c>
      <c r="H5712" s="4" t="str">
        <v/>
      </c>
      <c r="I5712" s="4" t="str">
        <v/>
      </c>
    </row>
    <row r="5713" spans="5:9" ht="16.5" hidden="1">
      <c r="E5713" s="4" t="str">
        <v/>
      </c>
      <c r="F5713" s="102" t="str">
        <f ca="1">IFERROR(__xludf.DUMMYFUNCTION("IMPORTRANGE(H5713,""IDENTITAS UNIT!D9"")"),"#N/A")</f>
        <v>#N/A</v>
      </c>
      <c r="H5713" s="4" t="str">
        <v/>
      </c>
      <c r="I5713" s="4" t="str">
        <v/>
      </c>
    </row>
    <row r="5714" spans="5:9" ht="16.5" hidden="1">
      <c r="E5714" s="4" t="str">
        <v/>
      </c>
      <c r="F5714" s="102" t="str">
        <f ca="1">IFERROR(__xludf.DUMMYFUNCTION("IMPORTRANGE(H5714,""IDENTITAS UNIT!D9"")"),"#N/A")</f>
        <v>#N/A</v>
      </c>
      <c r="H5714" s="4" t="str">
        <v/>
      </c>
      <c r="I5714" s="4" t="str">
        <v/>
      </c>
    </row>
    <row r="5715" spans="5:9" ht="16.5" hidden="1">
      <c r="E5715" s="4" t="str">
        <v/>
      </c>
      <c r="F5715" s="102" t="str">
        <f ca="1">IFERROR(__xludf.DUMMYFUNCTION("IMPORTRANGE(H5715,""IDENTITAS UNIT!D9"")"),"#N/A")</f>
        <v>#N/A</v>
      </c>
      <c r="H5715" s="4" t="str">
        <v/>
      </c>
      <c r="I5715" s="4" t="str">
        <v/>
      </c>
    </row>
    <row r="5716" spans="5:9" ht="16.5" hidden="1">
      <c r="E5716" s="4" t="str">
        <v/>
      </c>
      <c r="F5716" s="102" t="str">
        <f ca="1">IFERROR(__xludf.DUMMYFUNCTION("IMPORTRANGE(H5716,""IDENTITAS UNIT!D9"")"),"#N/A")</f>
        <v>#N/A</v>
      </c>
      <c r="H5716" s="4" t="str">
        <v/>
      </c>
      <c r="I5716" s="4" t="str">
        <v/>
      </c>
    </row>
    <row r="5717" spans="5:9" ht="16.5" hidden="1">
      <c r="E5717" s="4" t="str">
        <v/>
      </c>
      <c r="F5717" s="102" t="str">
        <f ca="1">IFERROR(__xludf.DUMMYFUNCTION("IMPORTRANGE(H5717,""IDENTITAS UNIT!D9"")"),"#N/A")</f>
        <v>#N/A</v>
      </c>
      <c r="H5717" s="4" t="str">
        <v/>
      </c>
      <c r="I5717" s="4" t="str">
        <v/>
      </c>
    </row>
    <row r="5718" spans="5:9" ht="16.5" hidden="1">
      <c r="E5718" s="4" t="str">
        <v/>
      </c>
      <c r="F5718" s="102" t="str">
        <f ca="1">IFERROR(__xludf.DUMMYFUNCTION("IMPORTRANGE(H5718,""IDENTITAS UNIT!D9"")"),"#N/A")</f>
        <v>#N/A</v>
      </c>
      <c r="H5718" s="4" t="str">
        <v/>
      </c>
      <c r="I5718" s="4" t="str">
        <v/>
      </c>
    </row>
    <row r="5719" spans="5:9" ht="16.5" hidden="1">
      <c r="E5719" s="4" t="str">
        <v/>
      </c>
      <c r="F5719" s="102" t="str">
        <f ca="1">IFERROR(__xludf.DUMMYFUNCTION("IMPORTRANGE(H5719,""IDENTITAS UNIT!D9"")"),"#N/A")</f>
        <v>#N/A</v>
      </c>
      <c r="H5719" s="4" t="str">
        <v/>
      </c>
      <c r="I5719" s="4" t="str">
        <v/>
      </c>
    </row>
    <row r="5720" spans="5:9" ht="16.5" hidden="1">
      <c r="E5720" s="4" t="str">
        <v/>
      </c>
      <c r="F5720" s="102" t="str">
        <f ca="1">IFERROR(__xludf.DUMMYFUNCTION("IMPORTRANGE(H5720,""IDENTITAS UNIT!D9"")"),"#N/A")</f>
        <v>#N/A</v>
      </c>
      <c r="H5720" s="4" t="str">
        <v/>
      </c>
      <c r="I5720" s="4" t="str">
        <v/>
      </c>
    </row>
    <row r="5721" spans="5:9" ht="16.5" hidden="1">
      <c r="E5721" s="4" t="str">
        <v/>
      </c>
      <c r="F5721" s="102" t="str">
        <f ca="1">IFERROR(__xludf.DUMMYFUNCTION("IMPORTRANGE(H5721,""IDENTITAS UNIT!D9"")"),"#N/A")</f>
        <v>#N/A</v>
      </c>
      <c r="H5721" s="4" t="str">
        <v/>
      </c>
      <c r="I5721" s="4" t="str">
        <v/>
      </c>
    </row>
    <row r="5722" spans="5:9" ht="16.5" hidden="1">
      <c r="E5722" s="4" t="str">
        <v/>
      </c>
      <c r="F5722" s="102" t="str">
        <f ca="1">IFERROR(__xludf.DUMMYFUNCTION("IMPORTRANGE(H5722,""IDENTITAS UNIT!D9"")"),"#N/A")</f>
        <v>#N/A</v>
      </c>
      <c r="H5722" s="4" t="str">
        <v/>
      </c>
      <c r="I5722" s="4" t="str">
        <v/>
      </c>
    </row>
    <row r="5723" spans="5:9" ht="16.5" hidden="1">
      <c r="E5723" s="4" t="str">
        <v/>
      </c>
      <c r="F5723" s="102" t="str">
        <f ca="1">IFERROR(__xludf.DUMMYFUNCTION("IMPORTRANGE(H5723,""IDENTITAS UNIT!D9"")"),"#N/A")</f>
        <v>#N/A</v>
      </c>
      <c r="H5723" s="4" t="str">
        <v/>
      </c>
      <c r="I5723" s="4" t="str">
        <v/>
      </c>
    </row>
    <row r="5724" spans="5:9" ht="16.5" hidden="1">
      <c r="E5724" s="4" t="str">
        <v/>
      </c>
      <c r="F5724" s="102" t="str">
        <f ca="1">IFERROR(__xludf.DUMMYFUNCTION("IMPORTRANGE(H5724,""IDENTITAS UNIT!D9"")"),"#N/A")</f>
        <v>#N/A</v>
      </c>
      <c r="H5724" s="4" t="str">
        <v/>
      </c>
      <c r="I5724" s="4" t="str">
        <v/>
      </c>
    </row>
    <row r="5725" spans="5:9" ht="16.5" hidden="1">
      <c r="E5725" s="4" t="str">
        <v/>
      </c>
      <c r="F5725" s="102" t="str">
        <f ca="1">IFERROR(__xludf.DUMMYFUNCTION("IMPORTRANGE(H5725,""IDENTITAS UNIT!D9"")"),"#N/A")</f>
        <v>#N/A</v>
      </c>
      <c r="H5725" s="4" t="str">
        <v/>
      </c>
      <c r="I5725" s="4" t="str">
        <v/>
      </c>
    </row>
    <row r="5726" spans="5:9" ht="16.5" hidden="1">
      <c r="E5726" s="4" t="str">
        <v/>
      </c>
      <c r="F5726" s="102" t="str">
        <f ca="1">IFERROR(__xludf.DUMMYFUNCTION("IMPORTRANGE(H5726,""IDENTITAS UNIT!D9"")"),"#N/A")</f>
        <v>#N/A</v>
      </c>
      <c r="H5726" s="4" t="str">
        <v/>
      </c>
      <c r="I5726" s="4" t="str">
        <v/>
      </c>
    </row>
    <row r="5727" spans="5:9" ht="16.5" hidden="1">
      <c r="E5727" s="4" t="str">
        <v/>
      </c>
      <c r="F5727" s="102" t="str">
        <f ca="1">IFERROR(__xludf.DUMMYFUNCTION("IMPORTRANGE(H5727,""IDENTITAS UNIT!D9"")"),"#N/A")</f>
        <v>#N/A</v>
      </c>
      <c r="H5727" s="4" t="str">
        <v/>
      </c>
      <c r="I5727" s="4" t="str">
        <v/>
      </c>
    </row>
    <row r="5728" spans="5:9" ht="16.5" hidden="1">
      <c r="E5728" s="4" t="str">
        <v/>
      </c>
      <c r="F5728" s="102" t="str">
        <f ca="1">IFERROR(__xludf.DUMMYFUNCTION("IMPORTRANGE(H5728,""IDENTITAS UNIT!D9"")"),"#N/A")</f>
        <v>#N/A</v>
      </c>
      <c r="H5728" s="4" t="str">
        <v/>
      </c>
      <c r="I5728" s="4" t="str">
        <v/>
      </c>
    </row>
    <row r="5729" spans="5:9" ht="16.5" hidden="1">
      <c r="E5729" s="4" t="str">
        <v/>
      </c>
      <c r="F5729" s="102" t="str">
        <f ca="1">IFERROR(__xludf.DUMMYFUNCTION("IMPORTRANGE(H5729,""IDENTITAS UNIT!D9"")"),"#N/A")</f>
        <v>#N/A</v>
      </c>
      <c r="H5729" s="4" t="str">
        <v/>
      </c>
      <c r="I5729" s="4" t="str">
        <v/>
      </c>
    </row>
    <row r="5730" spans="5:9" ht="16.5" hidden="1">
      <c r="E5730" s="4" t="str">
        <v/>
      </c>
      <c r="F5730" s="102" t="str">
        <f ca="1">IFERROR(__xludf.DUMMYFUNCTION("IMPORTRANGE(H5730,""IDENTITAS UNIT!D9"")"),"#N/A")</f>
        <v>#N/A</v>
      </c>
      <c r="H5730" s="4" t="str">
        <v/>
      </c>
      <c r="I5730" s="4" t="str">
        <v/>
      </c>
    </row>
    <row r="5731" spans="5:9" ht="16.5" hidden="1">
      <c r="E5731" s="4" t="str">
        <v/>
      </c>
      <c r="F5731" s="102" t="str">
        <f ca="1">IFERROR(__xludf.DUMMYFUNCTION("IMPORTRANGE(H5731,""IDENTITAS UNIT!D9"")"),"#N/A")</f>
        <v>#N/A</v>
      </c>
      <c r="H5731" s="4" t="str">
        <v/>
      </c>
      <c r="I5731" s="4" t="str">
        <v/>
      </c>
    </row>
    <row r="5732" spans="5:9" ht="16.5" hidden="1">
      <c r="E5732" s="4" t="str">
        <v/>
      </c>
      <c r="F5732" s="102" t="str">
        <f ca="1">IFERROR(__xludf.DUMMYFUNCTION("IMPORTRANGE(H5732,""IDENTITAS UNIT!D9"")"),"#N/A")</f>
        <v>#N/A</v>
      </c>
      <c r="H5732" s="4" t="str">
        <v/>
      </c>
      <c r="I5732" s="4" t="str">
        <v/>
      </c>
    </row>
    <row r="5733" spans="5:9" ht="16.5" hidden="1">
      <c r="E5733" s="4" t="str">
        <v/>
      </c>
      <c r="F5733" s="102" t="str">
        <f ca="1">IFERROR(__xludf.DUMMYFUNCTION("IMPORTRANGE(H5733,""IDENTITAS UNIT!D9"")"),"#N/A")</f>
        <v>#N/A</v>
      </c>
      <c r="H5733" s="4" t="str">
        <v/>
      </c>
      <c r="I5733" s="4" t="str">
        <v/>
      </c>
    </row>
    <row r="5734" spans="5:9" ht="16.5" hidden="1">
      <c r="E5734" s="4" t="str">
        <v/>
      </c>
      <c r="F5734" s="102" t="str">
        <f ca="1">IFERROR(__xludf.DUMMYFUNCTION("IMPORTRANGE(H5734,""IDENTITAS UNIT!D9"")"),"#N/A")</f>
        <v>#N/A</v>
      </c>
      <c r="H5734" s="4" t="str">
        <v/>
      </c>
      <c r="I5734" s="4" t="str">
        <v/>
      </c>
    </row>
    <row r="5735" spans="5:9" ht="16.5" hidden="1">
      <c r="E5735" s="4" t="str">
        <v/>
      </c>
      <c r="F5735" s="102" t="str">
        <f ca="1">IFERROR(__xludf.DUMMYFUNCTION("IMPORTRANGE(H5735,""IDENTITAS UNIT!D9"")"),"#N/A")</f>
        <v>#N/A</v>
      </c>
      <c r="H5735" s="4" t="str">
        <v/>
      </c>
      <c r="I5735" s="4" t="str">
        <v/>
      </c>
    </row>
    <row r="5736" spans="5:9" ht="16.5" hidden="1">
      <c r="E5736" s="4" t="str">
        <v/>
      </c>
      <c r="F5736" s="102" t="str">
        <f ca="1">IFERROR(__xludf.DUMMYFUNCTION("IMPORTRANGE(H5736,""IDENTITAS UNIT!D9"")"),"#N/A")</f>
        <v>#N/A</v>
      </c>
      <c r="H5736" s="4" t="str">
        <v/>
      </c>
      <c r="I5736" s="4" t="str">
        <v/>
      </c>
    </row>
    <row r="5737" spans="5:9" ht="16.5" hidden="1">
      <c r="E5737" s="4" t="str">
        <v/>
      </c>
      <c r="F5737" s="102" t="str">
        <f ca="1">IFERROR(__xludf.DUMMYFUNCTION("IMPORTRANGE(H5737,""IDENTITAS UNIT!D9"")"),"#N/A")</f>
        <v>#N/A</v>
      </c>
      <c r="H5737" s="4" t="str">
        <v/>
      </c>
      <c r="I5737" s="4" t="str">
        <v/>
      </c>
    </row>
    <row r="5738" spans="5:9" ht="16.5" hidden="1">
      <c r="E5738" s="4" t="str">
        <v/>
      </c>
      <c r="F5738" s="102" t="str">
        <f ca="1">IFERROR(__xludf.DUMMYFUNCTION("IMPORTRANGE(H5738,""IDENTITAS UNIT!D9"")"),"#N/A")</f>
        <v>#N/A</v>
      </c>
      <c r="H5738" s="4" t="str">
        <v/>
      </c>
      <c r="I5738" s="4" t="str">
        <v/>
      </c>
    </row>
    <row r="5739" spans="5:9" ht="16.5" hidden="1">
      <c r="E5739" s="4" t="str">
        <v/>
      </c>
      <c r="F5739" s="102" t="str">
        <f ca="1">IFERROR(__xludf.DUMMYFUNCTION("IMPORTRANGE(H5739,""IDENTITAS UNIT!D9"")"),"#N/A")</f>
        <v>#N/A</v>
      </c>
      <c r="H5739" s="4" t="str">
        <v/>
      </c>
      <c r="I5739" s="4" t="str">
        <v/>
      </c>
    </row>
    <row r="5740" spans="5:9" ht="16.5" hidden="1">
      <c r="E5740" s="4" t="str">
        <v/>
      </c>
      <c r="F5740" s="102" t="str">
        <f ca="1">IFERROR(__xludf.DUMMYFUNCTION("IMPORTRANGE(H5740,""IDENTITAS UNIT!D9"")"),"#N/A")</f>
        <v>#N/A</v>
      </c>
      <c r="H5740" s="4" t="str">
        <v/>
      </c>
      <c r="I5740" s="4" t="str">
        <v/>
      </c>
    </row>
    <row r="5741" spans="5:9" ht="16.5" hidden="1">
      <c r="E5741" s="4" t="str">
        <v/>
      </c>
      <c r="F5741" s="102" t="str">
        <f ca="1">IFERROR(__xludf.DUMMYFUNCTION("IMPORTRANGE(H5741,""IDENTITAS UNIT!D9"")"),"#N/A")</f>
        <v>#N/A</v>
      </c>
      <c r="H5741" s="4" t="str">
        <v/>
      </c>
      <c r="I5741" s="4" t="str">
        <v/>
      </c>
    </row>
    <row r="5742" spans="5:9" ht="16.5" hidden="1">
      <c r="E5742" s="4" t="str">
        <v/>
      </c>
      <c r="F5742" s="102" t="str">
        <f ca="1">IFERROR(__xludf.DUMMYFUNCTION("IMPORTRANGE(H5742,""IDENTITAS UNIT!D9"")"),"#N/A")</f>
        <v>#N/A</v>
      </c>
      <c r="H5742" s="4" t="str">
        <v/>
      </c>
      <c r="I5742" s="4" t="str">
        <v/>
      </c>
    </row>
    <row r="5743" spans="5:9" ht="16.5" hidden="1">
      <c r="E5743" s="4" t="str">
        <v/>
      </c>
      <c r="F5743" s="102" t="str">
        <f ca="1">IFERROR(__xludf.DUMMYFUNCTION("IMPORTRANGE(H5743,""IDENTITAS UNIT!D9"")"),"#N/A")</f>
        <v>#N/A</v>
      </c>
      <c r="H5743" s="4" t="str">
        <v/>
      </c>
      <c r="I5743" s="4" t="str">
        <v/>
      </c>
    </row>
    <row r="5744" spans="5:9" ht="16.5" hidden="1">
      <c r="E5744" s="4" t="str">
        <v/>
      </c>
      <c r="F5744" s="102" t="str">
        <f ca="1">IFERROR(__xludf.DUMMYFUNCTION("IMPORTRANGE(H5744,""IDENTITAS UNIT!D9"")"),"#N/A")</f>
        <v>#N/A</v>
      </c>
      <c r="H5744" s="4" t="str">
        <v/>
      </c>
      <c r="I5744" s="4" t="str">
        <v/>
      </c>
    </row>
    <row r="5745" spans="5:9" ht="16.5" hidden="1">
      <c r="E5745" s="4" t="str">
        <v/>
      </c>
      <c r="F5745" s="102" t="str">
        <f ca="1">IFERROR(__xludf.DUMMYFUNCTION("IMPORTRANGE(H5745,""IDENTITAS UNIT!D9"")"),"#N/A")</f>
        <v>#N/A</v>
      </c>
      <c r="H5745" s="4" t="str">
        <v/>
      </c>
      <c r="I5745" s="4" t="str">
        <v/>
      </c>
    </row>
    <row r="5746" spans="5:9" ht="16.5" hidden="1">
      <c r="E5746" s="4" t="str">
        <v/>
      </c>
      <c r="F5746" s="102" t="str">
        <f ca="1">IFERROR(__xludf.DUMMYFUNCTION("IMPORTRANGE(H5746,""IDENTITAS UNIT!D9"")"),"#N/A")</f>
        <v>#N/A</v>
      </c>
      <c r="H5746" s="4" t="str">
        <v/>
      </c>
      <c r="I5746" s="4" t="str">
        <v/>
      </c>
    </row>
    <row r="5747" spans="5:9" ht="16.5" hidden="1">
      <c r="E5747" s="4" t="str">
        <v/>
      </c>
      <c r="F5747" s="102" t="str">
        <f ca="1">IFERROR(__xludf.DUMMYFUNCTION("IMPORTRANGE(H5747,""IDENTITAS UNIT!D9"")"),"#N/A")</f>
        <v>#N/A</v>
      </c>
      <c r="H5747" s="4" t="str">
        <v/>
      </c>
      <c r="I5747" s="4" t="str">
        <v/>
      </c>
    </row>
    <row r="5748" spans="5:9" ht="16.5" hidden="1">
      <c r="E5748" s="4" t="str">
        <v/>
      </c>
      <c r="F5748" s="102" t="str">
        <f ca="1">IFERROR(__xludf.DUMMYFUNCTION("IMPORTRANGE(H5748,""IDENTITAS UNIT!D9"")"),"#N/A")</f>
        <v>#N/A</v>
      </c>
      <c r="H5748" s="4" t="str">
        <v/>
      </c>
      <c r="I5748" s="4" t="str">
        <v/>
      </c>
    </row>
    <row r="5749" spans="5:9" ht="16.5" hidden="1">
      <c r="E5749" s="4" t="str">
        <v/>
      </c>
      <c r="F5749" s="102" t="str">
        <f ca="1">IFERROR(__xludf.DUMMYFUNCTION("IMPORTRANGE(H5749,""IDENTITAS UNIT!D9"")"),"#N/A")</f>
        <v>#N/A</v>
      </c>
      <c r="H5749" s="4" t="str">
        <v/>
      </c>
      <c r="I5749" s="4" t="str">
        <v/>
      </c>
    </row>
    <row r="5750" spans="5:9" ht="16.5" hidden="1">
      <c r="E5750" s="4" t="str">
        <v/>
      </c>
      <c r="F5750" s="102" t="str">
        <f ca="1">IFERROR(__xludf.DUMMYFUNCTION("IMPORTRANGE(H5750,""IDENTITAS UNIT!D9"")"),"#N/A")</f>
        <v>#N/A</v>
      </c>
      <c r="H5750" s="4" t="str">
        <v/>
      </c>
      <c r="I5750" s="4" t="str">
        <v/>
      </c>
    </row>
    <row r="5751" spans="5:9" ht="16.5" hidden="1">
      <c r="E5751" s="4" t="str">
        <v/>
      </c>
      <c r="F5751" s="102" t="str">
        <f ca="1">IFERROR(__xludf.DUMMYFUNCTION("IMPORTRANGE(H5751,""IDENTITAS UNIT!D9"")"),"#N/A")</f>
        <v>#N/A</v>
      </c>
      <c r="H5751" s="4" t="str">
        <v/>
      </c>
      <c r="I5751" s="4" t="str">
        <v/>
      </c>
    </row>
    <row r="5752" spans="5:9" ht="16.5" hidden="1">
      <c r="E5752" s="4" t="str">
        <v/>
      </c>
      <c r="F5752" s="102" t="str">
        <f ca="1">IFERROR(__xludf.DUMMYFUNCTION("IMPORTRANGE(H5752,""IDENTITAS UNIT!D9"")"),"#N/A")</f>
        <v>#N/A</v>
      </c>
      <c r="H5752" s="4" t="str">
        <v/>
      </c>
      <c r="I5752" s="4" t="str">
        <v/>
      </c>
    </row>
    <row r="5753" spans="5:9" ht="16.5" hidden="1">
      <c r="E5753" s="4" t="str">
        <v/>
      </c>
      <c r="F5753" s="102" t="str">
        <f ca="1">IFERROR(__xludf.DUMMYFUNCTION("IMPORTRANGE(H5753,""IDENTITAS UNIT!D9"")"),"#N/A")</f>
        <v>#N/A</v>
      </c>
      <c r="H5753" s="4" t="str">
        <v/>
      </c>
      <c r="I5753" s="4" t="str">
        <v/>
      </c>
    </row>
    <row r="5754" spans="5:9" ht="16.5" hidden="1">
      <c r="E5754" s="4" t="str">
        <v/>
      </c>
      <c r="F5754" s="102" t="str">
        <f ca="1">IFERROR(__xludf.DUMMYFUNCTION("IMPORTRANGE(H5754,""IDENTITAS UNIT!D9"")"),"#N/A")</f>
        <v>#N/A</v>
      </c>
      <c r="H5754" s="4" t="str">
        <v/>
      </c>
      <c r="I5754" s="4" t="str">
        <v/>
      </c>
    </row>
    <row r="5755" spans="5:9" ht="16.5" hidden="1">
      <c r="E5755" s="4" t="str">
        <v/>
      </c>
      <c r="F5755" s="102" t="str">
        <f ca="1">IFERROR(__xludf.DUMMYFUNCTION("IMPORTRANGE(H5755,""IDENTITAS UNIT!D9"")"),"#N/A")</f>
        <v>#N/A</v>
      </c>
      <c r="H5755" s="4" t="str">
        <v/>
      </c>
      <c r="I5755" s="4" t="str">
        <v/>
      </c>
    </row>
    <row r="5756" spans="5:9" ht="16.5" hidden="1">
      <c r="E5756" s="4" t="str">
        <v/>
      </c>
      <c r="F5756" s="102" t="str">
        <f ca="1">IFERROR(__xludf.DUMMYFUNCTION("IMPORTRANGE(H5756,""IDENTITAS UNIT!D9"")"),"#N/A")</f>
        <v>#N/A</v>
      </c>
      <c r="H5756" s="4" t="str">
        <v/>
      </c>
      <c r="I5756" s="4" t="str">
        <v/>
      </c>
    </row>
    <row r="5757" spans="5:9" ht="16.5" hidden="1">
      <c r="E5757" s="4" t="str">
        <v/>
      </c>
      <c r="F5757" s="102" t="str">
        <f ca="1">IFERROR(__xludf.DUMMYFUNCTION("IMPORTRANGE(H5757,""IDENTITAS UNIT!D9"")"),"#N/A")</f>
        <v>#N/A</v>
      </c>
      <c r="H5757" s="4" t="str">
        <v/>
      </c>
      <c r="I5757" s="4" t="str">
        <v/>
      </c>
    </row>
    <row r="5758" spans="5:9" ht="16.5" hidden="1">
      <c r="E5758" s="4" t="str">
        <v/>
      </c>
      <c r="F5758" s="102" t="str">
        <f ca="1">IFERROR(__xludf.DUMMYFUNCTION("IMPORTRANGE(H5758,""IDENTITAS UNIT!D9"")"),"#N/A")</f>
        <v>#N/A</v>
      </c>
      <c r="H5758" s="4" t="str">
        <v/>
      </c>
      <c r="I5758" s="4" t="str">
        <v/>
      </c>
    </row>
    <row r="5759" spans="5:9" ht="16.5" hidden="1">
      <c r="E5759" s="4" t="str">
        <v/>
      </c>
      <c r="F5759" s="102" t="str">
        <f ca="1">IFERROR(__xludf.DUMMYFUNCTION("IMPORTRANGE(H5759,""IDENTITAS UNIT!D9"")"),"#N/A")</f>
        <v>#N/A</v>
      </c>
      <c r="H5759" s="4" t="str">
        <v/>
      </c>
      <c r="I5759" s="4" t="str">
        <v/>
      </c>
    </row>
    <row r="5760" spans="5:9" ht="16.5" hidden="1">
      <c r="E5760" s="4" t="str">
        <v/>
      </c>
      <c r="F5760" s="102" t="str">
        <f ca="1">IFERROR(__xludf.DUMMYFUNCTION("IMPORTRANGE(H5760,""IDENTITAS UNIT!D9"")"),"#N/A")</f>
        <v>#N/A</v>
      </c>
      <c r="H5760" s="4" t="str">
        <v/>
      </c>
      <c r="I5760" s="4" t="str">
        <v/>
      </c>
    </row>
    <row r="5761" spans="5:9" ht="16.5" hidden="1">
      <c r="E5761" s="4" t="str">
        <v/>
      </c>
      <c r="F5761" s="102" t="str">
        <f ca="1">IFERROR(__xludf.DUMMYFUNCTION("IMPORTRANGE(H5761,""IDENTITAS UNIT!D9"")"),"#N/A")</f>
        <v>#N/A</v>
      </c>
      <c r="H5761" s="4" t="str">
        <v/>
      </c>
      <c r="I5761" s="4" t="str">
        <v/>
      </c>
    </row>
    <row r="5762" spans="5:9" ht="16.5" hidden="1">
      <c r="E5762" s="4" t="str">
        <v/>
      </c>
      <c r="F5762" s="102" t="str">
        <f ca="1">IFERROR(__xludf.DUMMYFUNCTION("IMPORTRANGE(H5762,""IDENTITAS UNIT!D9"")"),"#N/A")</f>
        <v>#N/A</v>
      </c>
      <c r="H5762" s="4" t="str">
        <v/>
      </c>
      <c r="I5762" s="4" t="str">
        <v/>
      </c>
    </row>
    <row r="5763" spans="5:9" ht="16.5" hidden="1">
      <c r="E5763" s="4" t="str">
        <v/>
      </c>
      <c r="F5763" s="102" t="str">
        <f ca="1">IFERROR(__xludf.DUMMYFUNCTION("IMPORTRANGE(H5763,""IDENTITAS UNIT!D9"")"),"#N/A")</f>
        <v>#N/A</v>
      </c>
      <c r="H5763" s="4" t="str">
        <v/>
      </c>
      <c r="I5763" s="4" t="str">
        <v/>
      </c>
    </row>
    <row r="5764" spans="5:9" ht="16.5" hidden="1">
      <c r="E5764" s="4" t="str">
        <v/>
      </c>
      <c r="F5764" s="102" t="str">
        <f ca="1">IFERROR(__xludf.DUMMYFUNCTION("IMPORTRANGE(H5764,""IDENTITAS UNIT!D9"")"),"#N/A")</f>
        <v>#N/A</v>
      </c>
      <c r="H5764" s="4" t="str">
        <v/>
      </c>
      <c r="I5764" s="4" t="str">
        <v/>
      </c>
    </row>
    <row r="5765" spans="5:9" ht="16.5" hidden="1">
      <c r="E5765" s="4" t="str">
        <v/>
      </c>
      <c r="F5765" s="102" t="str">
        <f ca="1">IFERROR(__xludf.DUMMYFUNCTION("IMPORTRANGE(H5765,""IDENTITAS UNIT!D9"")"),"#N/A")</f>
        <v>#N/A</v>
      </c>
      <c r="H5765" s="4" t="str">
        <v/>
      </c>
      <c r="I5765" s="4" t="str">
        <v/>
      </c>
    </row>
    <row r="5766" spans="5:9" ht="16.5" hidden="1">
      <c r="E5766" s="4" t="str">
        <v/>
      </c>
      <c r="F5766" s="102" t="str">
        <f ca="1">IFERROR(__xludf.DUMMYFUNCTION("IMPORTRANGE(H5766,""IDENTITAS UNIT!D9"")"),"#N/A")</f>
        <v>#N/A</v>
      </c>
      <c r="H5766" s="4" t="str">
        <v/>
      </c>
      <c r="I5766" s="4" t="str">
        <v/>
      </c>
    </row>
    <row r="5767" spans="5:9" ht="16.5" hidden="1">
      <c r="E5767" s="4" t="str">
        <v/>
      </c>
      <c r="F5767" s="102" t="str">
        <f ca="1">IFERROR(__xludf.DUMMYFUNCTION("IMPORTRANGE(H5767,""IDENTITAS UNIT!D9"")"),"#N/A")</f>
        <v>#N/A</v>
      </c>
      <c r="H5767" s="4" t="str">
        <v/>
      </c>
      <c r="I5767" s="4" t="str">
        <v/>
      </c>
    </row>
    <row r="5768" spans="5:9" ht="16.5" hidden="1">
      <c r="E5768" s="4" t="str">
        <v/>
      </c>
      <c r="F5768" s="102" t="str">
        <f ca="1">IFERROR(__xludf.DUMMYFUNCTION("IMPORTRANGE(H5768,""IDENTITAS UNIT!D9"")"),"#N/A")</f>
        <v>#N/A</v>
      </c>
      <c r="H5768" s="4" t="str">
        <v/>
      </c>
      <c r="I5768" s="4" t="str">
        <v/>
      </c>
    </row>
    <row r="5769" spans="5:9" ht="16.5" hidden="1">
      <c r="E5769" s="4" t="str">
        <v/>
      </c>
      <c r="F5769" s="102" t="str">
        <f ca="1">IFERROR(__xludf.DUMMYFUNCTION("IMPORTRANGE(H5769,""IDENTITAS UNIT!D9"")"),"#N/A")</f>
        <v>#N/A</v>
      </c>
      <c r="H5769" s="4" t="str">
        <v/>
      </c>
      <c r="I5769" s="4" t="str">
        <v/>
      </c>
    </row>
    <row r="5770" spans="5:9" ht="16.5" hidden="1">
      <c r="E5770" s="4" t="str">
        <v/>
      </c>
      <c r="F5770" s="102" t="str">
        <f ca="1">IFERROR(__xludf.DUMMYFUNCTION("IMPORTRANGE(H5770,""IDENTITAS UNIT!D9"")"),"#N/A")</f>
        <v>#N/A</v>
      </c>
      <c r="H5770" s="4" t="str">
        <v/>
      </c>
      <c r="I5770" s="4" t="str">
        <v/>
      </c>
    </row>
    <row r="5771" spans="5:9" ht="16.5" hidden="1">
      <c r="E5771" s="4" t="str">
        <v/>
      </c>
      <c r="F5771" s="102" t="str">
        <f ca="1">IFERROR(__xludf.DUMMYFUNCTION("IMPORTRANGE(H5771,""IDENTITAS UNIT!D9"")"),"#N/A")</f>
        <v>#N/A</v>
      </c>
      <c r="H5771" s="4" t="str">
        <v/>
      </c>
      <c r="I5771" s="4" t="str">
        <v/>
      </c>
    </row>
    <row r="5772" spans="5:9" ht="16.5" hidden="1">
      <c r="E5772" s="4" t="str">
        <v/>
      </c>
      <c r="F5772" s="102" t="str">
        <f ca="1">IFERROR(__xludf.DUMMYFUNCTION("IMPORTRANGE(H5772,""IDENTITAS UNIT!D9"")"),"#N/A")</f>
        <v>#N/A</v>
      </c>
      <c r="H5772" s="4" t="str">
        <v/>
      </c>
      <c r="I5772" s="4" t="str">
        <v/>
      </c>
    </row>
    <row r="5773" spans="5:9" ht="16.5" hidden="1">
      <c r="E5773" s="4" t="str">
        <v/>
      </c>
      <c r="F5773" s="102" t="str">
        <f ca="1">IFERROR(__xludf.DUMMYFUNCTION("IMPORTRANGE(H5773,""IDENTITAS UNIT!D9"")"),"#N/A")</f>
        <v>#N/A</v>
      </c>
      <c r="H5773" s="4" t="str">
        <v/>
      </c>
      <c r="I5773" s="4" t="str">
        <v/>
      </c>
    </row>
    <row r="5774" spans="5:9" ht="16.5" hidden="1">
      <c r="E5774" s="4" t="str">
        <v/>
      </c>
      <c r="F5774" s="102" t="str">
        <f ca="1">IFERROR(__xludf.DUMMYFUNCTION("IMPORTRANGE(H5774,""IDENTITAS UNIT!D9"")"),"#N/A")</f>
        <v>#N/A</v>
      </c>
      <c r="H5774" s="4" t="str">
        <v/>
      </c>
      <c r="I5774" s="4" t="str">
        <v/>
      </c>
    </row>
    <row r="5775" spans="5:9" ht="16.5" hidden="1">
      <c r="E5775" s="4" t="str">
        <v/>
      </c>
      <c r="F5775" s="102" t="str">
        <f ca="1">IFERROR(__xludf.DUMMYFUNCTION("IMPORTRANGE(H5775,""IDENTITAS UNIT!D9"")"),"#N/A")</f>
        <v>#N/A</v>
      </c>
      <c r="H5775" s="4" t="str">
        <v/>
      </c>
      <c r="I5775" s="4" t="str">
        <v/>
      </c>
    </row>
    <row r="5776" spans="5:9" ht="16.5" hidden="1">
      <c r="E5776" s="4" t="str">
        <v/>
      </c>
      <c r="F5776" s="102" t="str">
        <f ca="1">IFERROR(__xludf.DUMMYFUNCTION("IMPORTRANGE(H5776,""IDENTITAS UNIT!D9"")"),"#N/A")</f>
        <v>#N/A</v>
      </c>
      <c r="H5776" s="4" t="str">
        <v/>
      </c>
      <c r="I5776" s="4" t="str">
        <v/>
      </c>
    </row>
    <row r="5777" spans="5:9" ht="16.5" hidden="1">
      <c r="E5777" s="4" t="str">
        <v/>
      </c>
      <c r="F5777" s="102" t="str">
        <f ca="1">IFERROR(__xludf.DUMMYFUNCTION("IMPORTRANGE(H5777,""IDENTITAS UNIT!D9"")"),"#N/A")</f>
        <v>#N/A</v>
      </c>
      <c r="H5777" s="4" t="str">
        <v/>
      </c>
      <c r="I5777" s="4" t="str">
        <v/>
      </c>
    </row>
    <row r="5778" spans="5:9" ht="16.5" hidden="1">
      <c r="E5778" s="4" t="str">
        <v/>
      </c>
      <c r="F5778" s="102" t="str">
        <f ca="1">IFERROR(__xludf.DUMMYFUNCTION("IMPORTRANGE(H5778,""IDENTITAS UNIT!D9"")"),"#N/A")</f>
        <v>#N/A</v>
      </c>
      <c r="H5778" s="4" t="str">
        <v/>
      </c>
      <c r="I5778" s="4" t="str">
        <v/>
      </c>
    </row>
    <row r="5779" spans="5:9" ht="16.5" hidden="1">
      <c r="E5779" s="4" t="str">
        <v/>
      </c>
      <c r="F5779" s="102" t="str">
        <f ca="1">IFERROR(__xludf.DUMMYFUNCTION("IMPORTRANGE(H5779,""IDENTITAS UNIT!D9"")"),"#N/A")</f>
        <v>#N/A</v>
      </c>
      <c r="H5779" s="4" t="str">
        <v/>
      </c>
      <c r="I5779" s="4" t="str">
        <v/>
      </c>
    </row>
    <row r="5780" spans="5:9" ht="16.5" hidden="1">
      <c r="E5780" s="4" t="str">
        <v/>
      </c>
      <c r="F5780" s="102" t="str">
        <f ca="1">IFERROR(__xludf.DUMMYFUNCTION("IMPORTRANGE(H5780,""IDENTITAS UNIT!D9"")"),"#N/A")</f>
        <v>#N/A</v>
      </c>
      <c r="H5780" s="4" t="str">
        <v/>
      </c>
      <c r="I5780" s="4" t="str">
        <v/>
      </c>
    </row>
    <row r="5781" spans="5:9" ht="16.5" hidden="1">
      <c r="E5781" s="4" t="str">
        <v/>
      </c>
      <c r="F5781" s="102" t="str">
        <f ca="1">IFERROR(__xludf.DUMMYFUNCTION("IMPORTRANGE(H5781,""IDENTITAS UNIT!D9"")"),"#N/A")</f>
        <v>#N/A</v>
      </c>
      <c r="H5781" s="4" t="str">
        <v/>
      </c>
      <c r="I5781" s="4" t="str">
        <v/>
      </c>
    </row>
    <row r="5782" spans="5:9" ht="16.5" hidden="1">
      <c r="E5782" s="4" t="str">
        <v/>
      </c>
      <c r="F5782" s="102" t="str">
        <f ca="1">IFERROR(__xludf.DUMMYFUNCTION("IMPORTRANGE(H5782,""IDENTITAS UNIT!D9"")"),"#N/A")</f>
        <v>#N/A</v>
      </c>
      <c r="H5782" s="4" t="str">
        <v/>
      </c>
      <c r="I5782" s="4" t="str">
        <v/>
      </c>
    </row>
    <row r="5783" spans="5:9" ht="16.5" hidden="1">
      <c r="E5783" s="4" t="str">
        <v/>
      </c>
      <c r="F5783" s="102" t="str">
        <f ca="1">IFERROR(__xludf.DUMMYFUNCTION("IMPORTRANGE(H5783,""IDENTITAS UNIT!D9"")"),"#N/A")</f>
        <v>#N/A</v>
      </c>
      <c r="H5783" s="4" t="str">
        <v/>
      </c>
      <c r="I5783" s="4" t="str">
        <v/>
      </c>
    </row>
    <row r="5784" spans="5:9" ht="16.5" hidden="1">
      <c r="E5784" s="4" t="str">
        <v/>
      </c>
      <c r="F5784" s="102" t="str">
        <f ca="1">IFERROR(__xludf.DUMMYFUNCTION("IMPORTRANGE(H5784,""IDENTITAS UNIT!D9"")"),"#N/A")</f>
        <v>#N/A</v>
      </c>
      <c r="H5784" s="4" t="str">
        <v/>
      </c>
      <c r="I5784" s="4" t="str">
        <v/>
      </c>
    </row>
    <row r="5785" spans="5:9" ht="16.5" hidden="1">
      <c r="E5785" s="4" t="str">
        <v/>
      </c>
      <c r="F5785" s="102" t="str">
        <f ca="1">IFERROR(__xludf.DUMMYFUNCTION("IMPORTRANGE(H5785,""IDENTITAS UNIT!D9"")"),"#N/A")</f>
        <v>#N/A</v>
      </c>
      <c r="H5785" s="4" t="str">
        <v/>
      </c>
      <c r="I5785" s="4" t="str">
        <v/>
      </c>
    </row>
    <row r="5786" spans="5:9" ht="16.5" hidden="1">
      <c r="E5786" s="4" t="str">
        <v/>
      </c>
      <c r="F5786" s="102" t="str">
        <f ca="1">IFERROR(__xludf.DUMMYFUNCTION("IMPORTRANGE(H5786,""IDENTITAS UNIT!D9"")"),"#N/A")</f>
        <v>#N/A</v>
      </c>
      <c r="H5786" s="4" t="str">
        <v/>
      </c>
      <c r="I5786" s="4" t="str">
        <v/>
      </c>
    </row>
    <row r="5787" spans="5:9" ht="16.5" hidden="1">
      <c r="E5787" s="4" t="str">
        <v/>
      </c>
      <c r="F5787" s="102" t="str">
        <f ca="1">IFERROR(__xludf.DUMMYFUNCTION("IMPORTRANGE(H5787,""IDENTITAS UNIT!D9"")"),"#N/A")</f>
        <v>#N/A</v>
      </c>
      <c r="H5787" s="4" t="str">
        <v/>
      </c>
      <c r="I5787" s="4" t="str">
        <v/>
      </c>
    </row>
    <row r="5788" spans="5:9" ht="16.5" hidden="1">
      <c r="E5788" s="4" t="str">
        <v/>
      </c>
      <c r="F5788" s="102" t="str">
        <f ca="1">IFERROR(__xludf.DUMMYFUNCTION("IMPORTRANGE(H5788,""IDENTITAS UNIT!D9"")"),"#N/A")</f>
        <v>#N/A</v>
      </c>
      <c r="H5788" s="4" t="str">
        <v/>
      </c>
      <c r="I5788" s="4" t="str">
        <v/>
      </c>
    </row>
    <row r="5789" spans="5:9" ht="16.5" hidden="1">
      <c r="E5789" s="4" t="str">
        <v/>
      </c>
      <c r="F5789" s="102" t="str">
        <f ca="1">IFERROR(__xludf.DUMMYFUNCTION("IMPORTRANGE(H5789,""IDENTITAS UNIT!D9"")"),"#N/A")</f>
        <v>#N/A</v>
      </c>
      <c r="H5789" s="4" t="str">
        <v/>
      </c>
      <c r="I5789" s="4" t="str">
        <v/>
      </c>
    </row>
    <row r="5790" spans="5:9" ht="16.5" hidden="1">
      <c r="E5790" s="4" t="str">
        <v/>
      </c>
      <c r="F5790" s="102" t="str">
        <f ca="1">IFERROR(__xludf.DUMMYFUNCTION("IMPORTRANGE(H5790,""IDENTITAS UNIT!D9"")"),"#N/A")</f>
        <v>#N/A</v>
      </c>
      <c r="H5790" s="4" t="str">
        <v/>
      </c>
      <c r="I5790" s="4" t="str">
        <v/>
      </c>
    </row>
    <row r="5791" spans="5:9" ht="16.5" hidden="1">
      <c r="E5791" s="4" t="str">
        <v/>
      </c>
      <c r="F5791" s="102" t="str">
        <f ca="1">IFERROR(__xludf.DUMMYFUNCTION("IMPORTRANGE(H5791,""IDENTITAS UNIT!D9"")"),"#N/A")</f>
        <v>#N/A</v>
      </c>
      <c r="H5791" s="4" t="str">
        <v/>
      </c>
      <c r="I5791" s="4" t="str">
        <v/>
      </c>
    </row>
    <row r="5792" spans="5:9" ht="16.5" hidden="1">
      <c r="E5792" s="4" t="str">
        <v/>
      </c>
      <c r="F5792" s="102" t="str">
        <f ca="1">IFERROR(__xludf.DUMMYFUNCTION("IMPORTRANGE(H5792,""IDENTITAS UNIT!D9"")"),"#N/A")</f>
        <v>#N/A</v>
      </c>
      <c r="H5792" s="4" t="str">
        <v/>
      </c>
      <c r="I5792" s="4" t="str">
        <v/>
      </c>
    </row>
    <row r="5793" spans="5:9" ht="16.5" hidden="1">
      <c r="E5793" s="4" t="str">
        <v/>
      </c>
      <c r="F5793" s="102" t="str">
        <f ca="1">IFERROR(__xludf.DUMMYFUNCTION("IMPORTRANGE(H5793,""IDENTITAS UNIT!D9"")"),"#N/A")</f>
        <v>#N/A</v>
      </c>
      <c r="H5793" s="4" t="str">
        <v/>
      </c>
      <c r="I5793" s="4" t="str">
        <v/>
      </c>
    </row>
    <row r="5794" spans="5:9" ht="16.5" hidden="1">
      <c r="E5794" s="4" t="str">
        <v/>
      </c>
      <c r="F5794" s="102" t="str">
        <f ca="1">IFERROR(__xludf.DUMMYFUNCTION("IMPORTRANGE(H5794,""IDENTITAS UNIT!D9"")"),"#N/A")</f>
        <v>#N/A</v>
      </c>
      <c r="H5794" s="4" t="str">
        <v/>
      </c>
      <c r="I5794" s="4" t="str">
        <v/>
      </c>
    </row>
    <row r="5795" spans="5:9" ht="16.5" hidden="1">
      <c r="E5795" s="4" t="str">
        <v/>
      </c>
      <c r="F5795" s="102" t="str">
        <f ca="1">IFERROR(__xludf.DUMMYFUNCTION("IMPORTRANGE(H5795,""IDENTITAS UNIT!D9"")"),"#N/A")</f>
        <v>#N/A</v>
      </c>
      <c r="H5795" s="4" t="str">
        <v/>
      </c>
      <c r="I5795" s="4" t="str">
        <v/>
      </c>
    </row>
    <row r="5796" spans="5:9" ht="16.5" hidden="1">
      <c r="E5796" s="4" t="str">
        <v/>
      </c>
      <c r="F5796" s="102" t="str">
        <f ca="1">IFERROR(__xludf.DUMMYFUNCTION("IMPORTRANGE(H5796,""IDENTITAS UNIT!D9"")"),"#N/A")</f>
        <v>#N/A</v>
      </c>
      <c r="H5796" s="4" t="str">
        <v/>
      </c>
      <c r="I5796" s="4" t="str">
        <v/>
      </c>
    </row>
    <row r="5797" spans="5:9" ht="16.5" hidden="1">
      <c r="E5797" s="4" t="str">
        <v/>
      </c>
      <c r="F5797" s="102" t="str">
        <f ca="1">IFERROR(__xludf.DUMMYFUNCTION("IMPORTRANGE(H5797,""IDENTITAS UNIT!D9"")"),"#N/A")</f>
        <v>#N/A</v>
      </c>
      <c r="H5797" s="4" t="str">
        <v/>
      </c>
      <c r="I5797" s="4" t="str">
        <v/>
      </c>
    </row>
    <row r="5798" spans="5:9" ht="16.5" hidden="1">
      <c r="E5798" s="4" t="str">
        <v/>
      </c>
      <c r="F5798" s="102" t="str">
        <f ca="1">IFERROR(__xludf.DUMMYFUNCTION("IMPORTRANGE(H5798,""IDENTITAS UNIT!D9"")"),"#N/A")</f>
        <v>#N/A</v>
      </c>
      <c r="H5798" s="4" t="str">
        <v/>
      </c>
      <c r="I5798" s="4" t="str">
        <v/>
      </c>
    </row>
    <row r="5799" spans="5:9" ht="16.5" hidden="1">
      <c r="E5799" s="4" t="str">
        <v/>
      </c>
      <c r="F5799" s="102" t="str">
        <f ca="1">IFERROR(__xludf.DUMMYFUNCTION("IMPORTRANGE(H5799,""IDENTITAS UNIT!D9"")"),"#N/A")</f>
        <v>#N/A</v>
      </c>
      <c r="H5799" s="4" t="str">
        <v/>
      </c>
      <c r="I5799" s="4" t="str">
        <v/>
      </c>
    </row>
    <row r="5800" spans="5:9" ht="16.5" hidden="1">
      <c r="E5800" s="4" t="str">
        <v/>
      </c>
      <c r="F5800" s="102" t="str">
        <f ca="1">IFERROR(__xludf.DUMMYFUNCTION("IMPORTRANGE(H5800,""IDENTITAS UNIT!D9"")"),"#N/A")</f>
        <v>#N/A</v>
      </c>
      <c r="H5800" s="4" t="str">
        <v/>
      </c>
      <c r="I5800" s="4" t="str">
        <v/>
      </c>
    </row>
    <row r="5801" spans="5:9" ht="16.5" hidden="1">
      <c r="E5801" s="4" t="str">
        <v/>
      </c>
      <c r="F5801" s="102" t="str">
        <f ca="1">IFERROR(__xludf.DUMMYFUNCTION("IMPORTRANGE(H5801,""IDENTITAS UNIT!D9"")"),"#N/A")</f>
        <v>#N/A</v>
      </c>
      <c r="H5801" s="4" t="str">
        <v/>
      </c>
      <c r="I5801" s="4" t="str">
        <v/>
      </c>
    </row>
    <row r="5802" spans="5:9" ht="16.5" hidden="1">
      <c r="E5802" s="4" t="str">
        <v/>
      </c>
      <c r="F5802" s="102" t="str">
        <f ca="1">IFERROR(__xludf.DUMMYFUNCTION("IMPORTRANGE(H5802,""IDENTITAS UNIT!D9"")"),"#N/A")</f>
        <v>#N/A</v>
      </c>
      <c r="H5802" s="4" t="str">
        <v/>
      </c>
      <c r="I5802" s="4" t="str">
        <v/>
      </c>
    </row>
    <row r="5803" spans="5:9" ht="16.5" hidden="1">
      <c r="E5803" s="4" t="str">
        <v/>
      </c>
      <c r="F5803" s="102" t="str">
        <f ca="1">IFERROR(__xludf.DUMMYFUNCTION("IMPORTRANGE(H5803,""IDENTITAS UNIT!D9"")"),"#N/A")</f>
        <v>#N/A</v>
      </c>
      <c r="H5803" s="4" t="str">
        <v/>
      </c>
      <c r="I5803" s="4" t="str">
        <v/>
      </c>
    </row>
    <row r="5804" spans="5:9" ht="16.5" hidden="1">
      <c r="E5804" s="4" t="str">
        <v/>
      </c>
      <c r="F5804" s="102" t="str">
        <f ca="1">IFERROR(__xludf.DUMMYFUNCTION("IMPORTRANGE(H5804,""IDENTITAS UNIT!D9"")"),"#N/A")</f>
        <v>#N/A</v>
      </c>
      <c r="H5804" s="4" t="str">
        <v/>
      </c>
      <c r="I5804" s="4" t="str">
        <v/>
      </c>
    </row>
    <row r="5805" spans="5:9" ht="16.5" hidden="1">
      <c r="E5805" s="4" t="str">
        <v/>
      </c>
      <c r="F5805" s="102" t="str">
        <f ca="1">IFERROR(__xludf.DUMMYFUNCTION("IMPORTRANGE(H5805,""IDENTITAS UNIT!D9"")"),"#N/A")</f>
        <v>#N/A</v>
      </c>
      <c r="H5805" s="4" t="str">
        <v/>
      </c>
      <c r="I5805" s="4" t="str">
        <v/>
      </c>
    </row>
    <row r="5806" spans="5:9" ht="16.5" hidden="1">
      <c r="E5806" s="4" t="str">
        <v/>
      </c>
      <c r="F5806" s="102" t="str">
        <f ca="1">IFERROR(__xludf.DUMMYFUNCTION("IMPORTRANGE(H5806,""IDENTITAS UNIT!D9"")"),"#N/A")</f>
        <v>#N/A</v>
      </c>
      <c r="H5806" s="4" t="str">
        <v/>
      </c>
      <c r="I5806" s="4" t="str">
        <v/>
      </c>
    </row>
    <row r="5807" spans="5:9" ht="16.5" hidden="1">
      <c r="E5807" s="4" t="str">
        <v/>
      </c>
      <c r="F5807" s="102" t="str">
        <f ca="1">IFERROR(__xludf.DUMMYFUNCTION("IMPORTRANGE(H5807,""IDENTITAS UNIT!D9"")"),"#N/A")</f>
        <v>#N/A</v>
      </c>
      <c r="H5807" s="4" t="str">
        <v/>
      </c>
      <c r="I5807" s="4" t="str">
        <v/>
      </c>
    </row>
    <row r="5808" spans="5:9" ht="16.5" hidden="1">
      <c r="E5808" s="4" t="str">
        <v/>
      </c>
      <c r="F5808" s="102" t="str">
        <f ca="1">IFERROR(__xludf.DUMMYFUNCTION("IMPORTRANGE(H5808,""IDENTITAS UNIT!D9"")"),"#N/A")</f>
        <v>#N/A</v>
      </c>
      <c r="H5808" s="4" t="str">
        <v/>
      </c>
      <c r="I5808" s="4" t="str">
        <v/>
      </c>
    </row>
    <row r="5809" spans="5:9" ht="16.5" hidden="1">
      <c r="E5809" s="4" t="str">
        <v/>
      </c>
      <c r="F5809" s="102" t="str">
        <f ca="1">IFERROR(__xludf.DUMMYFUNCTION("IMPORTRANGE(H5809,""IDENTITAS UNIT!D9"")"),"#N/A")</f>
        <v>#N/A</v>
      </c>
      <c r="H5809" s="4" t="str">
        <v/>
      </c>
      <c r="I5809" s="4" t="str">
        <v/>
      </c>
    </row>
    <row r="5810" spans="5:9" ht="16.5" hidden="1">
      <c r="E5810" s="4" t="str">
        <v/>
      </c>
      <c r="F5810" s="102" t="str">
        <f ca="1">IFERROR(__xludf.DUMMYFUNCTION("IMPORTRANGE(H5810,""IDENTITAS UNIT!D9"")"),"#N/A")</f>
        <v>#N/A</v>
      </c>
      <c r="H5810" s="4" t="str">
        <v/>
      </c>
      <c r="I5810" s="4" t="str">
        <v/>
      </c>
    </row>
    <row r="5811" spans="5:9" ht="16.5" hidden="1">
      <c r="E5811" s="4" t="str">
        <v/>
      </c>
      <c r="F5811" s="102" t="str">
        <f ca="1">IFERROR(__xludf.DUMMYFUNCTION("IMPORTRANGE(H5811,""IDENTITAS UNIT!D9"")"),"#N/A")</f>
        <v>#N/A</v>
      </c>
      <c r="H5811" s="4" t="str">
        <v/>
      </c>
      <c r="I5811" s="4" t="str">
        <v/>
      </c>
    </row>
    <row r="5812" spans="5:9" ht="16.5" hidden="1">
      <c r="E5812" s="4" t="str">
        <v/>
      </c>
      <c r="F5812" s="102" t="str">
        <f ca="1">IFERROR(__xludf.DUMMYFUNCTION("IMPORTRANGE(H5812,""IDENTITAS UNIT!D9"")"),"#N/A")</f>
        <v>#N/A</v>
      </c>
      <c r="H5812" s="4" t="str">
        <v/>
      </c>
      <c r="I5812" s="4" t="str">
        <v/>
      </c>
    </row>
    <row r="5813" spans="5:9" ht="16.5" hidden="1">
      <c r="E5813" s="4" t="str">
        <v/>
      </c>
      <c r="F5813" s="102" t="str">
        <f ca="1">IFERROR(__xludf.DUMMYFUNCTION("IMPORTRANGE(H5813,""IDENTITAS UNIT!D9"")"),"#N/A")</f>
        <v>#N/A</v>
      </c>
      <c r="H5813" s="4" t="str">
        <v/>
      </c>
      <c r="I5813" s="4" t="str">
        <v/>
      </c>
    </row>
    <row r="5814" spans="5:9" ht="16.5" hidden="1">
      <c r="E5814" s="4" t="str">
        <v/>
      </c>
      <c r="F5814" s="102" t="str">
        <f ca="1">IFERROR(__xludf.DUMMYFUNCTION("IMPORTRANGE(H5814,""IDENTITAS UNIT!D9"")"),"#N/A")</f>
        <v>#N/A</v>
      </c>
      <c r="H5814" s="4" t="str">
        <v/>
      </c>
      <c r="I5814" s="4" t="str">
        <v/>
      </c>
    </row>
    <row r="5815" spans="5:9" ht="16.5" hidden="1">
      <c r="E5815" s="4" t="str">
        <v/>
      </c>
      <c r="F5815" s="102" t="str">
        <f ca="1">IFERROR(__xludf.DUMMYFUNCTION("IMPORTRANGE(H5815,""IDENTITAS UNIT!D9"")"),"#N/A")</f>
        <v>#N/A</v>
      </c>
      <c r="H5815" s="4" t="str">
        <v/>
      </c>
      <c r="I5815" s="4" t="str">
        <v/>
      </c>
    </row>
    <row r="5816" spans="5:9" ht="16.5" hidden="1">
      <c r="E5816" s="4" t="str">
        <v/>
      </c>
      <c r="F5816" s="102" t="str">
        <f ca="1">IFERROR(__xludf.DUMMYFUNCTION("IMPORTRANGE(H5816,""IDENTITAS UNIT!D9"")"),"#N/A")</f>
        <v>#N/A</v>
      </c>
      <c r="H5816" s="4" t="str">
        <v/>
      </c>
      <c r="I5816" s="4" t="str">
        <v/>
      </c>
    </row>
    <row r="5817" spans="5:9" ht="16.5" hidden="1">
      <c r="E5817" s="4" t="str">
        <v/>
      </c>
      <c r="F5817" s="102" t="str">
        <f ca="1">IFERROR(__xludf.DUMMYFUNCTION("IMPORTRANGE(H5817,""IDENTITAS UNIT!D9"")"),"#N/A")</f>
        <v>#N/A</v>
      </c>
      <c r="H5817" s="4" t="str">
        <v/>
      </c>
      <c r="I5817" s="4" t="str">
        <v/>
      </c>
    </row>
    <row r="5818" spans="5:9" ht="16.5" hidden="1">
      <c r="E5818" s="4" t="str">
        <v/>
      </c>
      <c r="F5818" s="102" t="str">
        <f ca="1">IFERROR(__xludf.DUMMYFUNCTION("IMPORTRANGE(H5818,""IDENTITAS UNIT!D9"")"),"#N/A")</f>
        <v>#N/A</v>
      </c>
      <c r="H5818" s="4" t="str">
        <v/>
      </c>
      <c r="I5818" s="4" t="str">
        <v/>
      </c>
    </row>
    <row r="5819" spans="5:9" ht="16.5" hidden="1">
      <c r="E5819" s="4" t="str">
        <v/>
      </c>
      <c r="F5819" s="102" t="str">
        <f ca="1">IFERROR(__xludf.DUMMYFUNCTION("IMPORTRANGE(H5819,""IDENTITAS UNIT!D9"")"),"#N/A")</f>
        <v>#N/A</v>
      </c>
      <c r="H5819" s="4" t="str">
        <v/>
      </c>
      <c r="I5819" s="4" t="str">
        <v/>
      </c>
    </row>
    <row r="5820" spans="5:9" ht="16.5" hidden="1">
      <c r="E5820" s="4" t="str">
        <v/>
      </c>
      <c r="F5820" s="102" t="str">
        <f ca="1">IFERROR(__xludf.DUMMYFUNCTION("IMPORTRANGE(H5820,""IDENTITAS UNIT!D9"")"),"#N/A")</f>
        <v>#N/A</v>
      </c>
      <c r="H5820" s="4" t="str">
        <v/>
      </c>
      <c r="I5820" s="4" t="str">
        <v/>
      </c>
    </row>
    <row r="5821" spans="5:9" ht="16.5" hidden="1">
      <c r="E5821" s="4" t="str">
        <v/>
      </c>
      <c r="F5821" s="102" t="str">
        <f ca="1">IFERROR(__xludf.DUMMYFUNCTION("IMPORTRANGE(H5821,""IDENTITAS UNIT!D9"")"),"#N/A")</f>
        <v>#N/A</v>
      </c>
      <c r="H5821" s="4" t="str">
        <v/>
      </c>
      <c r="I5821" s="4" t="str">
        <v/>
      </c>
    </row>
    <row r="5822" spans="5:9" ht="16.5" hidden="1">
      <c r="E5822" s="4" t="str">
        <v/>
      </c>
      <c r="F5822" s="102" t="str">
        <f ca="1">IFERROR(__xludf.DUMMYFUNCTION("IMPORTRANGE(H5822,""IDENTITAS UNIT!D9"")"),"#N/A")</f>
        <v>#N/A</v>
      </c>
      <c r="H5822" s="4" t="str">
        <v/>
      </c>
      <c r="I5822" s="4" t="str">
        <v/>
      </c>
    </row>
    <row r="5823" spans="5:9" ht="16.5" hidden="1">
      <c r="E5823" s="4" t="str">
        <v/>
      </c>
      <c r="F5823" s="102" t="str">
        <f ca="1">IFERROR(__xludf.DUMMYFUNCTION("IMPORTRANGE(H5823,""IDENTITAS UNIT!D9"")"),"#N/A")</f>
        <v>#N/A</v>
      </c>
      <c r="H5823" s="4" t="str">
        <v/>
      </c>
      <c r="I5823" s="4" t="str">
        <v/>
      </c>
    </row>
    <row r="5824" spans="5:9" ht="16.5" hidden="1">
      <c r="E5824" s="4" t="str">
        <v/>
      </c>
      <c r="F5824" s="102" t="str">
        <f ca="1">IFERROR(__xludf.DUMMYFUNCTION("IMPORTRANGE(H5824,""IDENTITAS UNIT!D9"")"),"#N/A")</f>
        <v>#N/A</v>
      </c>
      <c r="H5824" s="4" t="str">
        <v/>
      </c>
      <c r="I5824" s="4" t="str">
        <v/>
      </c>
    </row>
    <row r="5825" spans="5:9" ht="16.5" hidden="1">
      <c r="E5825" s="4" t="str">
        <v/>
      </c>
      <c r="F5825" s="102" t="str">
        <f ca="1">IFERROR(__xludf.DUMMYFUNCTION("IMPORTRANGE(H5825,""IDENTITAS UNIT!D9"")"),"#N/A")</f>
        <v>#N/A</v>
      </c>
      <c r="H5825" s="4" t="str">
        <v/>
      </c>
      <c r="I5825" s="4" t="str">
        <v/>
      </c>
    </row>
    <row r="5826" spans="5:9" ht="16.5" hidden="1">
      <c r="E5826" s="4" t="str">
        <v/>
      </c>
      <c r="F5826" s="102" t="str">
        <f ca="1">IFERROR(__xludf.DUMMYFUNCTION("IMPORTRANGE(H5826,""IDENTITAS UNIT!D9"")"),"#N/A")</f>
        <v>#N/A</v>
      </c>
      <c r="H5826" s="4" t="str">
        <v/>
      </c>
      <c r="I5826" s="4" t="str">
        <v/>
      </c>
    </row>
    <row r="5827" spans="5:9" ht="16.5" hidden="1">
      <c r="E5827" s="4" t="str">
        <v/>
      </c>
      <c r="F5827" s="102" t="str">
        <f ca="1">IFERROR(__xludf.DUMMYFUNCTION("IMPORTRANGE(H5827,""IDENTITAS UNIT!D9"")"),"#N/A")</f>
        <v>#N/A</v>
      </c>
      <c r="H5827" s="4" t="str">
        <v/>
      </c>
      <c r="I5827" s="4" t="str">
        <v/>
      </c>
    </row>
    <row r="5828" spans="5:9" ht="16.5" hidden="1">
      <c r="E5828" s="4" t="str">
        <v/>
      </c>
      <c r="F5828" s="102" t="str">
        <f ca="1">IFERROR(__xludf.DUMMYFUNCTION("IMPORTRANGE(H5828,""IDENTITAS UNIT!D9"")"),"#N/A")</f>
        <v>#N/A</v>
      </c>
      <c r="H5828" s="4" t="str">
        <v/>
      </c>
      <c r="I5828" s="4" t="str">
        <v/>
      </c>
    </row>
    <row r="5829" spans="5:9" ht="16.5" hidden="1">
      <c r="E5829" s="4" t="str">
        <v/>
      </c>
      <c r="F5829" s="102" t="str">
        <f ca="1">IFERROR(__xludf.DUMMYFUNCTION("IMPORTRANGE(H5829,""IDENTITAS UNIT!D9"")"),"#N/A")</f>
        <v>#N/A</v>
      </c>
      <c r="H5829" s="4" t="str">
        <v/>
      </c>
      <c r="I5829" s="4" t="str">
        <v/>
      </c>
    </row>
    <row r="5830" spans="5:9" ht="16.5" hidden="1">
      <c r="E5830" s="4" t="str">
        <v/>
      </c>
      <c r="F5830" s="102" t="str">
        <f ca="1">IFERROR(__xludf.DUMMYFUNCTION("IMPORTRANGE(H5830,""IDENTITAS UNIT!D9"")"),"#N/A")</f>
        <v>#N/A</v>
      </c>
      <c r="H5830" s="4" t="str">
        <v/>
      </c>
      <c r="I5830" s="4" t="str">
        <v/>
      </c>
    </row>
    <row r="5831" spans="5:9" ht="16.5" hidden="1">
      <c r="E5831" s="4" t="str">
        <v/>
      </c>
      <c r="F5831" s="102" t="str">
        <f ca="1">IFERROR(__xludf.DUMMYFUNCTION("IMPORTRANGE(H5831,""IDENTITAS UNIT!D9"")"),"#N/A")</f>
        <v>#N/A</v>
      </c>
      <c r="H5831" s="4" t="str">
        <v/>
      </c>
      <c r="I5831" s="4" t="str">
        <v/>
      </c>
    </row>
    <row r="5832" spans="5:9" ht="16.5" hidden="1">
      <c r="E5832" s="4" t="str">
        <v/>
      </c>
      <c r="F5832" s="102" t="str">
        <f ca="1">IFERROR(__xludf.DUMMYFUNCTION("IMPORTRANGE(H5832,""IDENTITAS UNIT!D9"")"),"#N/A")</f>
        <v>#N/A</v>
      </c>
      <c r="H5832" s="4" t="str">
        <v/>
      </c>
      <c r="I5832" s="4" t="str">
        <v/>
      </c>
    </row>
    <row r="5833" spans="5:9" ht="16.5" hidden="1">
      <c r="E5833" s="4" t="str">
        <v/>
      </c>
      <c r="F5833" s="102" t="str">
        <f ca="1">IFERROR(__xludf.DUMMYFUNCTION("IMPORTRANGE(H5833,""IDENTITAS UNIT!D9"")"),"#N/A")</f>
        <v>#N/A</v>
      </c>
      <c r="H5833" s="4" t="str">
        <v/>
      </c>
      <c r="I5833" s="4" t="str">
        <v/>
      </c>
    </row>
    <row r="5834" spans="5:9" ht="16.5" hidden="1">
      <c r="E5834" s="4" t="str">
        <v/>
      </c>
      <c r="F5834" s="102" t="str">
        <f ca="1">IFERROR(__xludf.DUMMYFUNCTION("IMPORTRANGE(H5834,""IDENTITAS UNIT!D9"")"),"#N/A")</f>
        <v>#N/A</v>
      </c>
      <c r="H5834" s="4" t="str">
        <v/>
      </c>
      <c r="I5834" s="4" t="str">
        <v/>
      </c>
    </row>
    <row r="5835" spans="5:9" ht="16.5" hidden="1">
      <c r="E5835" s="4" t="str">
        <v/>
      </c>
      <c r="F5835" s="102" t="str">
        <f ca="1">IFERROR(__xludf.DUMMYFUNCTION("IMPORTRANGE(H5835,""IDENTITAS UNIT!D9"")"),"#N/A")</f>
        <v>#N/A</v>
      </c>
      <c r="H5835" s="4" t="str">
        <v/>
      </c>
      <c r="I5835" s="4" t="str">
        <v/>
      </c>
    </row>
    <row r="5836" spans="5:9" ht="16.5" hidden="1">
      <c r="E5836" s="4" t="str">
        <v/>
      </c>
      <c r="F5836" s="102" t="str">
        <f ca="1">IFERROR(__xludf.DUMMYFUNCTION("IMPORTRANGE(H5836,""IDENTITAS UNIT!D9"")"),"#N/A")</f>
        <v>#N/A</v>
      </c>
      <c r="H5836" s="4" t="str">
        <v/>
      </c>
      <c r="I5836" s="4" t="str">
        <v/>
      </c>
    </row>
    <row r="5837" spans="5:9" ht="16.5" hidden="1">
      <c r="E5837" s="4" t="str">
        <v/>
      </c>
      <c r="F5837" s="102" t="str">
        <f ca="1">IFERROR(__xludf.DUMMYFUNCTION("IMPORTRANGE(H5837,""IDENTITAS UNIT!D9"")"),"#N/A")</f>
        <v>#N/A</v>
      </c>
      <c r="H5837" s="4" t="str">
        <v/>
      </c>
      <c r="I5837" s="4" t="str">
        <v/>
      </c>
    </row>
    <row r="5838" spans="5:9" ht="16.5" hidden="1">
      <c r="E5838" s="4" t="str">
        <v/>
      </c>
      <c r="F5838" s="102" t="str">
        <f ca="1">IFERROR(__xludf.DUMMYFUNCTION("IMPORTRANGE(H5838,""IDENTITAS UNIT!D9"")"),"#N/A")</f>
        <v>#N/A</v>
      </c>
      <c r="H5838" s="4" t="str">
        <v/>
      </c>
      <c r="I5838" s="4" t="str">
        <v/>
      </c>
    </row>
    <row r="5839" spans="5:9" ht="16.5" hidden="1">
      <c r="E5839" s="4" t="str">
        <v/>
      </c>
      <c r="F5839" s="102" t="str">
        <f ca="1">IFERROR(__xludf.DUMMYFUNCTION("IMPORTRANGE(H5839,""IDENTITAS UNIT!D9"")"),"#N/A")</f>
        <v>#N/A</v>
      </c>
      <c r="H5839" s="4" t="str">
        <v/>
      </c>
      <c r="I5839" s="4" t="str">
        <v/>
      </c>
    </row>
    <row r="5840" spans="5:9" ht="16.5" hidden="1">
      <c r="E5840" s="4" t="str">
        <v/>
      </c>
      <c r="F5840" s="102" t="str">
        <f ca="1">IFERROR(__xludf.DUMMYFUNCTION("IMPORTRANGE(H5840,""IDENTITAS UNIT!D9"")"),"#N/A")</f>
        <v>#N/A</v>
      </c>
      <c r="H5840" s="4" t="str">
        <v/>
      </c>
      <c r="I5840" s="4" t="str">
        <v/>
      </c>
    </row>
    <row r="5841" spans="5:9" ht="16.5" hidden="1">
      <c r="E5841" s="4" t="str">
        <v/>
      </c>
      <c r="F5841" s="102" t="str">
        <f ca="1">IFERROR(__xludf.DUMMYFUNCTION("IMPORTRANGE(H5841,""IDENTITAS UNIT!D9"")"),"#N/A")</f>
        <v>#N/A</v>
      </c>
      <c r="H5841" s="4" t="str">
        <v/>
      </c>
      <c r="I5841" s="4" t="str">
        <v/>
      </c>
    </row>
    <row r="5842" spans="5:9" ht="16.5" hidden="1">
      <c r="E5842" s="4" t="str">
        <v/>
      </c>
      <c r="F5842" s="102" t="str">
        <f ca="1">IFERROR(__xludf.DUMMYFUNCTION("IMPORTRANGE(H5842,""IDENTITAS UNIT!D9"")"),"#N/A")</f>
        <v>#N/A</v>
      </c>
      <c r="H5842" s="4" t="str">
        <v/>
      </c>
      <c r="I5842" s="4" t="str">
        <v/>
      </c>
    </row>
    <row r="5843" spans="5:9" ht="16.5" hidden="1">
      <c r="E5843" s="4" t="str">
        <v/>
      </c>
      <c r="F5843" s="102" t="str">
        <f ca="1">IFERROR(__xludf.DUMMYFUNCTION("IMPORTRANGE(H5843,""IDENTITAS UNIT!D9"")"),"#N/A")</f>
        <v>#N/A</v>
      </c>
      <c r="H5843" s="4" t="str">
        <v/>
      </c>
      <c r="I5843" s="4" t="str">
        <v/>
      </c>
    </row>
    <row r="5844" spans="5:9" ht="16.5" hidden="1">
      <c r="E5844" s="4" t="str">
        <v/>
      </c>
      <c r="F5844" s="102" t="str">
        <f ca="1">IFERROR(__xludf.DUMMYFUNCTION("IMPORTRANGE(H5844,""IDENTITAS UNIT!D9"")"),"#N/A")</f>
        <v>#N/A</v>
      </c>
      <c r="H5844" s="4" t="str">
        <v/>
      </c>
      <c r="I5844" s="4" t="str">
        <v/>
      </c>
    </row>
    <row r="5845" spans="5:9" ht="16.5" hidden="1">
      <c r="E5845" s="4" t="str">
        <v/>
      </c>
      <c r="F5845" s="102" t="str">
        <f ca="1">IFERROR(__xludf.DUMMYFUNCTION("IMPORTRANGE(H5845,""IDENTITAS UNIT!D9"")"),"#N/A")</f>
        <v>#N/A</v>
      </c>
      <c r="H5845" s="4" t="str">
        <v/>
      </c>
      <c r="I5845" s="4" t="str">
        <v/>
      </c>
    </row>
    <row r="5846" spans="5:9" ht="16.5" hidden="1">
      <c r="E5846" s="4" t="str">
        <v/>
      </c>
      <c r="F5846" s="102" t="str">
        <f ca="1">IFERROR(__xludf.DUMMYFUNCTION("IMPORTRANGE(H5846,""IDENTITAS UNIT!D9"")"),"#N/A")</f>
        <v>#N/A</v>
      </c>
      <c r="H5846" s="4" t="str">
        <v/>
      </c>
      <c r="I5846" s="4" t="str">
        <v/>
      </c>
    </row>
    <row r="5847" spans="5:9" ht="16.5" hidden="1">
      <c r="E5847" s="4" t="str">
        <v/>
      </c>
      <c r="F5847" s="102" t="str">
        <f ca="1">IFERROR(__xludf.DUMMYFUNCTION("IMPORTRANGE(H5847,""IDENTITAS UNIT!D9"")"),"#N/A")</f>
        <v>#N/A</v>
      </c>
      <c r="H5847" s="4" t="str">
        <v/>
      </c>
      <c r="I5847" s="4" t="str">
        <v/>
      </c>
    </row>
    <row r="5848" spans="5:9" ht="16.5" hidden="1">
      <c r="E5848" s="4" t="str">
        <v/>
      </c>
      <c r="F5848" s="102" t="str">
        <f ca="1">IFERROR(__xludf.DUMMYFUNCTION("IMPORTRANGE(H5848,""IDENTITAS UNIT!D9"")"),"#N/A")</f>
        <v>#N/A</v>
      </c>
      <c r="H5848" s="4" t="str">
        <v/>
      </c>
      <c r="I5848" s="4" t="str">
        <v/>
      </c>
    </row>
    <row r="5849" spans="5:9" ht="16.5" hidden="1">
      <c r="E5849" s="4" t="str">
        <v/>
      </c>
      <c r="F5849" s="102" t="str">
        <f ca="1">IFERROR(__xludf.DUMMYFUNCTION("IMPORTRANGE(H5849,""IDENTITAS UNIT!D9"")"),"#N/A")</f>
        <v>#N/A</v>
      </c>
      <c r="H5849" s="4" t="str">
        <v/>
      </c>
      <c r="I5849" s="4" t="str">
        <v/>
      </c>
    </row>
    <row r="5850" spans="5:9" ht="16.5" hidden="1">
      <c r="E5850" s="4" t="str">
        <v/>
      </c>
      <c r="F5850" s="102" t="str">
        <f ca="1">IFERROR(__xludf.DUMMYFUNCTION("IMPORTRANGE(H5850,""IDENTITAS UNIT!D9"")"),"#N/A")</f>
        <v>#N/A</v>
      </c>
      <c r="H5850" s="4" t="str">
        <v/>
      </c>
      <c r="I5850" s="4" t="str">
        <v/>
      </c>
    </row>
    <row r="5851" spans="5:9" ht="16.5" hidden="1">
      <c r="E5851" s="4" t="str">
        <v/>
      </c>
      <c r="F5851" s="102" t="str">
        <f ca="1">IFERROR(__xludf.DUMMYFUNCTION("IMPORTRANGE(H5851,""IDENTITAS UNIT!D9"")"),"#N/A")</f>
        <v>#N/A</v>
      </c>
      <c r="H5851" s="4" t="str">
        <v/>
      </c>
      <c r="I5851" s="4" t="str">
        <v/>
      </c>
    </row>
    <row r="5852" spans="5:9" ht="16.5" hidden="1">
      <c r="E5852" s="4" t="str">
        <v/>
      </c>
      <c r="F5852" s="102" t="str">
        <f ca="1">IFERROR(__xludf.DUMMYFUNCTION("IMPORTRANGE(H5852,""IDENTITAS UNIT!D9"")"),"#N/A")</f>
        <v>#N/A</v>
      </c>
      <c r="H5852" s="4" t="str">
        <v/>
      </c>
      <c r="I5852" s="4" t="str">
        <v/>
      </c>
    </row>
    <row r="5853" spans="5:9" ht="16.5" hidden="1">
      <c r="E5853" s="4" t="str">
        <v/>
      </c>
      <c r="F5853" s="102" t="str">
        <f ca="1">IFERROR(__xludf.DUMMYFUNCTION("IMPORTRANGE(H5853,""IDENTITAS UNIT!D9"")"),"#N/A")</f>
        <v>#N/A</v>
      </c>
      <c r="H5853" s="4" t="str">
        <v/>
      </c>
      <c r="I5853" s="4" t="str">
        <v/>
      </c>
    </row>
    <row r="5854" spans="5:9" ht="16.5" hidden="1">
      <c r="E5854" s="4" t="str">
        <v/>
      </c>
      <c r="F5854" s="102" t="str">
        <f ca="1">IFERROR(__xludf.DUMMYFUNCTION("IMPORTRANGE(H5854,""IDENTITAS UNIT!D9"")"),"#N/A")</f>
        <v>#N/A</v>
      </c>
      <c r="H5854" s="4" t="str">
        <v/>
      </c>
      <c r="I5854" s="4" t="str">
        <v/>
      </c>
    </row>
    <row r="5855" spans="5:9" ht="16.5" hidden="1">
      <c r="E5855" s="4" t="str">
        <v/>
      </c>
      <c r="F5855" s="102" t="str">
        <f ca="1">IFERROR(__xludf.DUMMYFUNCTION("IMPORTRANGE(H5855,""IDENTITAS UNIT!D9"")"),"#N/A")</f>
        <v>#N/A</v>
      </c>
      <c r="H5855" s="4" t="str">
        <v/>
      </c>
      <c r="I5855" s="4" t="str">
        <v/>
      </c>
    </row>
    <row r="5856" spans="5:9" ht="16.5" hidden="1">
      <c r="E5856" s="4" t="str">
        <v/>
      </c>
      <c r="F5856" s="102" t="str">
        <f ca="1">IFERROR(__xludf.DUMMYFUNCTION("IMPORTRANGE(H5856,""IDENTITAS UNIT!D9"")"),"#N/A")</f>
        <v>#N/A</v>
      </c>
      <c r="H5856" s="4" t="str">
        <v/>
      </c>
      <c r="I5856" s="4" t="str">
        <v/>
      </c>
    </row>
    <row r="5857" spans="5:9" ht="16.5" hidden="1">
      <c r="E5857" s="4" t="str">
        <v/>
      </c>
      <c r="F5857" s="102" t="str">
        <f ca="1">IFERROR(__xludf.DUMMYFUNCTION("IMPORTRANGE(H5857,""IDENTITAS UNIT!D9"")"),"#N/A")</f>
        <v>#N/A</v>
      </c>
      <c r="H5857" s="4" t="str">
        <v/>
      </c>
      <c r="I5857" s="4" t="str">
        <v/>
      </c>
    </row>
    <row r="5858" spans="5:9" ht="16.5" hidden="1">
      <c r="E5858" s="4" t="str">
        <v/>
      </c>
      <c r="F5858" s="102" t="str">
        <f ca="1">IFERROR(__xludf.DUMMYFUNCTION("IMPORTRANGE(H5858,""IDENTITAS UNIT!D9"")"),"#N/A")</f>
        <v>#N/A</v>
      </c>
      <c r="H5858" s="4" t="str">
        <v/>
      </c>
      <c r="I5858" s="4" t="str">
        <v/>
      </c>
    </row>
    <row r="5859" spans="5:9" ht="16.5" hidden="1">
      <c r="E5859" s="4" t="str">
        <v/>
      </c>
      <c r="F5859" s="102" t="str">
        <f ca="1">IFERROR(__xludf.DUMMYFUNCTION("IMPORTRANGE(H5859,""IDENTITAS UNIT!D9"")"),"#N/A")</f>
        <v>#N/A</v>
      </c>
      <c r="H5859" s="4" t="str">
        <v/>
      </c>
      <c r="I5859" s="4" t="str">
        <v/>
      </c>
    </row>
    <row r="5860" spans="5:9" ht="16.5" hidden="1">
      <c r="E5860" s="4" t="str">
        <v/>
      </c>
      <c r="F5860" s="102" t="str">
        <f ca="1">IFERROR(__xludf.DUMMYFUNCTION("IMPORTRANGE(H5860,""IDENTITAS UNIT!D9"")"),"#N/A")</f>
        <v>#N/A</v>
      </c>
      <c r="H5860" s="4" t="str">
        <v/>
      </c>
      <c r="I5860" s="4" t="str">
        <v/>
      </c>
    </row>
    <row r="5861" spans="5:9" ht="16.5" hidden="1">
      <c r="E5861" s="4" t="str">
        <v/>
      </c>
      <c r="F5861" s="102" t="str">
        <f ca="1">IFERROR(__xludf.DUMMYFUNCTION("IMPORTRANGE(H5861,""IDENTITAS UNIT!D9"")"),"#N/A")</f>
        <v>#N/A</v>
      </c>
      <c r="H5861" s="4" t="str">
        <v/>
      </c>
      <c r="I5861" s="4" t="str">
        <v/>
      </c>
    </row>
    <row r="5862" spans="5:9" ht="16.5" hidden="1">
      <c r="E5862" s="4" t="str">
        <v/>
      </c>
      <c r="F5862" s="102" t="str">
        <f ca="1">IFERROR(__xludf.DUMMYFUNCTION("IMPORTRANGE(H5862,""IDENTITAS UNIT!D9"")"),"#N/A")</f>
        <v>#N/A</v>
      </c>
      <c r="H5862" s="4" t="str">
        <v/>
      </c>
      <c r="I5862" s="4" t="str">
        <v/>
      </c>
    </row>
    <row r="5863" spans="5:9" ht="16.5" hidden="1">
      <c r="E5863" s="4" t="str">
        <v/>
      </c>
      <c r="F5863" s="102" t="str">
        <f ca="1">IFERROR(__xludf.DUMMYFUNCTION("IMPORTRANGE(H5863,""IDENTITAS UNIT!D9"")"),"#N/A")</f>
        <v>#N/A</v>
      </c>
      <c r="H5863" s="4" t="str">
        <v/>
      </c>
      <c r="I5863" s="4" t="str">
        <v/>
      </c>
    </row>
    <row r="5864" spans="5:9" ht="16.5" hidden="1">
      <c r="E5864" s="4" t="str">
        <v/>
      </c>
      <c r="F5864" s="102" t="str">
        <f ca="1">IFERROR(__xludf.DUMMYFUNCTION("IMPORTRANGE(H5864,""IDENTITAS UNIT!D9"")"),"#N/A")</f>
        <v>#N/A</v>
      </c>
      <c r="H5864" s="4" t="str">
        <v/>
      </c>
      <c r="I5864" s="4" t="str">
        <v/>
      </c>
    </row>
    <row r="5865" spans="5:9" ht="16.5" hidden="1">
      <c r="E5865" s="4" t="str">
        <v/>
      </c>
      <c r="F5865" s="102" t="str">
        <f ca="1">IFERROR(__xludf.DUMMYFUNCTION("IMPORTRANGE(H5865,""IDENTITAS UNIT!D9"")"),"#N/A")</f>
        <v>#N/A</v>
      </c>
      <c r="H5865" s="4" t="str">
        <v/>
      </c>
      <c r="I5865" s="4" t="str">
        <v/>
      </c>
    </row>
    <row r="5866" spans="5:9" ht="16.5" hidden="1">
      <c r="E5866" s="4" t="str">
        <v/>
      </c>
      <c r="F5866" s="102" t="str">
        <f ca="1">IFERROR(__xludf.DUMMYFUNCTION("IMPORTRANGE(H5866,""IDENTITAS UNIT!D9"")"),"#N/A")</f>
        <v>#N/A</v>
      </c>
      <c r="H5866" s="4" t="str">
        <v/>
      </c>
      <c r="I5866" s="4" t="str">
        <v/>
      </c>
    </row>
    <row r="5867" spans="5:9" ht="16.5" hidden="1">
      <c r="E5867" s="4" t="str">
        <v/>
      </c>
      <c r="F5867" s="102" t="str">
        <f ca="1">IFERROR(__xludf.DUMMYFUNCTION("IMPORTRANGE(H5867,""IDENTITAS UNIT!D9"")"),"#N/A")</f>
        <v>#N/A</v>
      </c>
      <c r="H5867" s="4" t="str">
        <v/>
      </c>
      <c r="I5867" s="4" t="str">
        <v/>
      </c>
    </row>
    <row r="5868" spans="5:9" ht="16.5" hidden="1">
      <c r="E5868" s="4" t="str">
        <v/>
      </c>
      <c r="F5868" s="102" t="str">
        <f ca="1">IFERROR(__xludf.DUMMYFUNCTION("IMPORTRANGE(H5868,""IDENTITAS UNIT!D9"")"),"#N/A")</f>
        <v>#N/A</v>
      </c>
      <c r="H5868" s="4" t="str">
        <v/>
      </c>
      <c r="I5868" s="4" t="str">
        <v/>
      </c>
    </row>
    <row r="5869" spans="5:9" ht="16.5" hidden="1">
      <c r="E5869" s="4" t="str">
        <v/>
      </c>
      <c r="F5869" s="102" t="str">
        <f ca="1">IFERROR(__xludf.DUMMYFUNCTION("IMPORTRANGE(H5869,""IDENTITAS UNIT!D9"")"),"#N/A")</f>
        <v>#N/A</v>
      </c>
      <c r="H5869" s="4" t="str">
        <v/>
      </c>
      <c r="I5869" s="4" t="str">
        <v/>
      </c>
    </row>
    <row r="5870" spans="5:9" ht="16.5" hidden="1">
      <c r="E5870" s="4" t="str">
        <v/>
      </c>
      <c r="F5870" s="102" t="str">
        <f ca="1">IFERROR(__xludf.DUMMYFUNCTION("IMPORTRANGE(H5870,""IDENTITAS UNIT!D9"")"),"#N/A")</f>
        <v>#N/A</v>
      </c>
      <c r="H5870" s="4" t="str">
        <v/>
      </c>
      <c r="I5870" s="4" t="str">
        <v/>
      </c>
    </row>
    <row r="5871" spans="5:9" ht="16.5" hidden="1">
      <c r="E5871" s="4" t="str">
        <v/>
      </c>
      <c r="F5871" s="102" t="str">
        <f ca="1">IFERROR(__xludf.DUMMYFUNCTION("IMPORTRANGE(H5871,""IDENTITAS UNIT!D9"")"),"#N/A")</f>
        <v>#N/A</v>
      </c>
      <c r="H5871" s="4" t="str">
        <v/>
      </c>
      <c r="I5871" s="4" t="str">
        <v/>
      </c>
    </row>
    <row r="5872" spans="5:9" ht="16.5" hidden="1">
      <c r="E5872" s="4" t="str">
        <v/>
      </c>
      <c r="F5872" s="102" t="str">
        <f ca="1">IFERROR(__xludf.DUMMYFUNCTION("IMPORTRANGE(H5872,""IDENTITAS UNIT!D9"")"),"#N/A")</f>
        <v>#N/A</v>
      </c>
      <c r="H5872" s="4" t="str">
        <v/>
      </c>
      <c r="I5872" s="4" t="str">
        <v/>
      </c>
    </row>
    <row r="5873" spans="5:9" ht="16.5" hidden="1">
      <c r="E5873" s="4" t="str">
        <v/>
      </c>
      <c r="F5873" s="102" t="str">
        <f ca="1">IFERROR(__xludf.DUMMYFUNCTION("IMPORTRANGE(H5873,""IDENTITAS UNIT!D9"")"),"#N/A")</f>
        <v>#N/A</v>
      </c>
      <c r="H5873" s="4" t="str">
        <v/>
      </c>
      <c r="I5873" s="4" t="str">
        <v/>
      </c>
    </row>
    <row r="5874" spans="5:9" ht="16.5" hidden="1">
      <c r="E5874" s="4" t="str">
        <v/>
      </c>
      <c r="F5874" s="102" t="str">
        <f ca="1">IFERROR(__xludf.DUMMYFUNCTION("IMPORTRANGE(H5874,""IDENTITAS UNIT!D9"")"),"#N/A")</f>
        <v>#N/A</v>
      </c>
      <c r="H5874" s="4" t="str">
        <v/>
      </c>
      <c r="I5874" s="4" t="str">
        <v/>
      </c>
    </row>
    <row r="5875" spans="5:9" ht="16.5" hidden="1">
      <c r="E5875" s="4" t="str">
        <v/>
      </c>
      <c r="F5875" s="102" t="str">
        <f ca="1">IFERROR(__xludf.DUMMYFUNCTION("IMPORTRANGE(H5875,""IDENTITAS UNIT!D9"")"),"#N/A")</f>
        <v>#N/A</v>
      </c>
      <c r="H5875" s="4" t="str">
        <v/>
      </c>
      <c r="I5875" s="4" t="str">
        <v/>
      </c>
    </row>
    <row r="5876" spans="5:9" ht="16.5" hidden="1">
      <c r="E5876" s="4" t="str">
        <v/>
      </c>
      <c r="F5876" s="102" t="str">
        <f ca="1">IFERROR(__xludf.DUMMYFUNCTION("IMPORTRANGE(H5876,""IDENTITAS UNIT!D9"")"),"#N/A")</f>
        <v>#N/A</v>
      </c>
      <c r="H5876" s="4" t="str">
        <v/>
      </c>
      <c r="I5876" s="4" t="str">
        <v/>
      </c>
    </row>
    <row r="5877" spans="5:9" ht="16.5" hidden="1">
      <c r="E5877" s="4" t="str">
        <v/>
      </c>
      <c r="F5877" s="102" t="str">
        <f ca="1">IFERROR(__xludf.DUMMYFUNCTION("IMPORTRANGE(H5877,""IDENTITAS UNIT!D9"")"),"#N/A")</f>
        <v>#N/A</v>
      </c>
      <c r="H5877" s="4" t="str">
        <v/>
      </c>
      <c r="I5877" s="4" t="str">
        <v/>
      </c>
    </row>
    <row r="5878" spans="5:9" ht="16.5" hidden="1">
      <c r="E5878" s="4" t="str">
        <v/>
      </c>
      <c r="F5878" s="102" t="str">
        <f ca="1">IFERROR(__xludf.DUMMYFUNCTION("IMPORTRANGE(H5878,""IDENTITAS UNIT!D9"")"),"#N/A")</f>
        <v>#N/A</v>
      </c>
      <c r="H5878" s="4" t="str">
        <v/>
      </c>
      <c r="I5878" s="4" t="str">
        <v/>
      </c>
    </row>
    <row r="5879" spans="5:9" ht="16.5" hidden="1">
      <c r="E5879" s="4" t="str">
        <v/>
      </c>
      <c r="F5879" s="102" t="str">
        <f ca="1">IFERROR(__xludf.DUMMYFUNCTION("IMPORTRANGE(H5879,""IDENTITAS UNIT!D9"")"),"#N/A")</f>
        <v>#N/A</v>
      </c>
      <c r="H5879" s="4" t="str">
        <v/>
      </c>
      <c r="I5879" s="4" t="str">
        <v/>
      </c>
    </row>
    <row r="5880" spans="5:9" ht="16.5" hidden="1">
      <c r="E5880" s="4" t="str">
        <v/>
      </c>
      <c r="F5880" s="102" t="str">
        <f ca="1">IFERROR(__xludf.DUMMYFUNCTION("IMPORTRANGE(H5880,""IDENTITAS UNIT!D9"")"),"#N/A")</f>
        <v>#N/A</v>
      </c>
      <c r="H5880" s="4" t="str">
        <v/>
      </c>
      <c r="I5880" s="4" t="str">
        <v/>
      </c>
    </row>
    <row r="5881" spans="5:9" ht="16.5" hidden="1">
      <c r="E5881" s="4" t="str">
        <v/>
      </c>
      <c r="F5881" s="102" t="str">
        <f ca="1">IFERROR(__xludf.DUMMYFUNCTION("IMPORTRANGE(H5881,""IDENTITAS UNIT!D9"")"),"#N/A")</f>
        <v>#N/A</v>
      </c>
      <c r="H5881" s="4" t="str">
        <v/>
      </c>
      <c r="I5881" s="4" t="str">
        <v/>
      </c>
    </row>
    <row r="5882" spans="5:9" ht="16.5" hidden="1">
      <c r="E5882" s="4" t="str">
        <v/>
      </c>
      <c r="F5882" s="102" t="str">
        <f ca="1">IFERROR(__xludf.DUMMYFUNCTION("IMPORTRANGE(H5882,""IDENTITAS UNIT!D9"")"),"#N/A")</f>
        <v>#N/A</v>
      </c>
      <c r="H5882" s="4" t="str">
        <v/>
      </c>
      <c r="I5882" s="4" t="str">
        <v/>
      </c>
    </row>
    <row r="5883" spans="5:9" ht="16.5" hidden="1">
      <c r="E5883" s="4" t="str">
        <v/>
      </c>
      <c r="F5883" s="102" t="str">
        <f ca="1">IFERROR(__xludf.DUMMYFUNCTION("IMPORTRANGE(H5883,""IDENTITAS UNIT!D9"")"),"#N/A")</f>
        <v>#N/A</v>
      </c>
      <c r="H5883" s="4" t="str">
        <v/>
      </c>
      <c r="I5883" s="4" t="str">
        <v/>
      </c>
    </row>
    <row r="5884" spans="5:9" ht="16.5" hidden="1">
      <c r="E5884" s="4" t="str">
        <v/>
      </c>
      <c r="F5884" s="102" t="str">
        <f ca="1">IFERROR(__xludf.DUMMYFUNCTION("IMPORTRANGE(H5884,""IDENTITAS UNIT!D9"")"),"#N/A")</f>
        <v>#N/A</v>
      </c>
      <c r="H5884" s="4" t="str">
        <v/>
      </c>
      <c r="I5884" s="4" t="str">
        <v/>
      </c>
    </row>
    <row r="5885" spans="5:9" ht="16.5" hidden="1">
      <c r="E5885" s="4" t="str">
        <v/>
      </c>
      <c r="F5885" s="102" t="str">
        <f ca="1">IFERROR(__xludf.DUMMYFUNCTION("IMPORTRANGE(H5885,""IDENTITAS UNIT!D9"")"),"#N/A")</f>
        <v>#N/A</v>
      </c>
      <c r="H5885" s="4" t="str">
        <v/>
      </c>
      <c r="I5885" s="4" t="str">
        <v/>
      </c>
    </row>
    <row r="5886" spans="5:9" ht="16.5" hidden="1">
      <c r="E5886" s="4" t="str">
        <v/>
      </c>
      <c r="F5886" s="102" t="str">
        <f ca="1">IFERROR(__xludf.DUMMYFUNCTION("IMPORTRANGE(H5886,""IDENTITAS UNIT!D9"")"),"#N/A")</f>
        <v>#N/A</v>
      </c>
      <c r="H5886" s="4" t="str">
        <v/>
      </c>
      <c r="I5886" s="4" t="str">
        <v/>
      </c>
    </row>
    <row r="5887" spans="5:9" ht="16.5" hidden="1">
      <c r="E5887" s="4" t="str">
        <v/>
      </c>
      <c r="F5887" s="102" t="str">
        <f ca="1">IFERROR(__xludf.DUMMYFUNCTION("IMPORTRANGE(H5887,""IDENTITAS UNIT!D9"")"),"#N/A")</f>
        <v>#N/A</v>
      </c>
      <c r="H5887" s="4" t="str">
        <v/>
      </c>
      <c r="I5887" s="4" t="str">
        <v/>
      </c>
    </row>
    <row r="5888" spans="5:9" ht="16.5" hidden="1">
      <c r="E5888" s="4" t="str">
        <v/>
      </c>
      <c r="F5888" s="102" t="str">
        <f ca="1">IFERROR(__xludf.DUMMYFUNCTION("IMPORTRANGE(H5888,""IDENTITAS UNIT!D9"")"),"#N/A")</f>
        <v>#N/A</v>
      </c>
      <c r="H5888" s="4" t="str">
        <v/>
      </c>
      <c r="I5888" s="4" t="str">
        <v/>
      </c>
    </row>
    <row r="5889" spans="5:9" ht="16.5" hidden="1">
      <c r="E5889" s="4" t="str">
        <v/>
      </c>
      <c r="F5889" s="102" t="str">
        <f ca="1">IFERROR(__xludf.DUMMYFUNCTION("IMPORTRANGE(H5889,""IDENTITAS UNIT!D9"")"),"#N/A")</f>
        <v>#N/A</v>
      </c>
      <c r="H5889" s="4" t="str">
        <v/>
      </c>
      <c r="I5889" s="4" t="str">
        <v/>
      </c>
    </row>
    <row r="5890" spans="5:9" ht="16.5" hidden="1">
      <c r="E5890" s="4" t="str">
        <v/>
      </c>
      <c r="F5890" s="102" t="str">
        <f ca="1">IFERROR(__xludf.DUMMYFUNCTION("IMPORTRANGE(H5890,""IDENTITAS UNIT!D9"")"),"#N/A")</f>
        <v>#N/A</v>
      </c>
      <c r="H5890" s="4" t="str">
        <v/>
      </c>
      <c r="I5890" s="4" t="str">
        <v/>
      </c>
    </row>
    <row r="5891" spans="5:9" ht="16.5" hidden="1">
      <c r="E5891" s="4" t="str">
        <v/>
      </c>
      <c r="F5891" s="102" t="str">
        <f ca="1">IFERROR(__xludf.DUMMYFUNCTION("IMPORTRANGE(H5891,""IDENTITAS UNIT!D9"")"),"#N/A")</f>
        <v>#N/A</v>
      </c>
      <c r="H5891" s="4" t="str">
        <v/>
      </c>
      <c r="I5891" s="4" t="str">
        <v/>
      </c>
    </row>
    <row r="5892" spans="5:9" ht="16.5" hidden="1">
      <c r="E5892" s="4" t="str">
        <v/>
      </c>
      <c r="F5892" s="102" t="str">
        <f ca="1">IFERROR(__xludf.DUMMYFUNCTION("IMPORTRANGE(H5892,""IDENTITAS UNIT!D9"")"),"#N/A")</f>
        <v>#N/A</v>
      </c>
      <c r="H5892" s="4" t="str">
        <v/>
      </c>
      <c r="I5892" s="4" t="str">
        <v/>
      </c>
    </row>
    <row r="5893" spans="5:9" ht="16.5" hidden="1">
      <c r="E5893" s="4" t="str">
        <v/>
      </c>
      <c r="F5893" s="102" t="str">
        <f ca="1">IFERROR(__xludf.DUMMYFUNCTION("IMPORTRANGE(H5893,""IDENTITAS UNIT!D9"")"),"#N/A")</f>
        <v>#N/A</v>
      </c>
      <c r="H5893" s="4" t="str">
        <v/>
      </c>
      <c r="I5893" s="4" t="str">
        <v/>
      </c>
    </row>
    <row r="5894" spans="5:9" ht="16.5" hidden="1">
      <c r="E5894" s="4" t="str">
        <v/>
      </c>
      <c r="F5894" s="102" t="str">
        <f ca="1">IFERROR(__xludf.DUMMYFUNCTION("IMPORTRANGE(H5894,""IDENTITAS UNIT!D9"")"),"#N/A")</f>
        <v>#N/A</v>
      </c>
      <c r="H5894" s="4" t="str">
        <v/>
      </c>
      <c r="I5894" s="4" t="str">
        <v/>
      </c>
    </row>
    <row r="5895" spans="5:9" ht="16.5" hidden="1">
      <c r="E5895" s="4" t="str">
        <v/>
      </c>
      <c r="F5895" s="102" t="str">
        <f ca="1">IFERROR(__xludf.DUMMYFUNCTION("IMPORTRANGE(H5895,""IDENTITAS UNIT!D9"")"),"#N/A")</f>
        <v>#N/A</v>
      </c>
      <c r="H5895" s="4" t="str">
        <v/>
      </c>
      <c r="I5895" s="4" t="str">
        <v/>
      </c>
    </row>
    <row r="5896" spans="5:9" ht="16.5" hidden="1">
      <c r="E5896" s="4" t="str">
        <v/>
      </c>
      <c r="F5896" s="102" t="str">
        <f ca="1">IFERROR(__xludf.DUMMYFUNCTION("IMPORTRANGE(H5896,""IDENTITAS UNIT!D9"")"),"#N/A")</f>
        <v>#N/A</v>
      </c>
      <c r="H5896" s="4" t="str">
        <v/>
      </c>
      <c r="I5896" s="4" t="str">
        <v/>
      </c>
    </row>
    <row r="5897" spans="5:9" ht="16.5" hidden="1">
      <c r="E5897" s="4" t="str">
        <v/>
      </c>
      <c r="F5897" s="102" t="str">
        <f ca="1">IFERROR(__xludf.DUMMYFUNCTION("IMPORTRANGE(H5897,""IDENTITAS UNIT!D9"")"),"#N/A")</f>
        <v>#N/A</v>
      </c>
      <c r="H5897" s="4" t="str">
        <v/>
      </c>
      <c r="I5897" s="4" t="str">
        <v/>
      </c>
    </row>
    <row r="5898" spans="5:9" ht="16.5" hidden="1">
      <c r="E5898" s="4" t="str">
        <v/>
      </c>
      <c r="F5898" s="102" t="str">
        <f ca="1">IFERROR(__xludf.DUMMYFUNCTION("IMPORTRANGE(H5898,""IDENTITAS UNIT!D9"")"),"#N/A")</f>
        <v>#N/A</v>
      </c>
      <c r="H5898" s="4" t="str">
        <v/>
      </c>
      <c r="I5898" s="4" t="str">
        <v/>
      </c>
    </row>
    <row r="5899" spans="5:9" ht="16.5" hidden="1">
      <c r="E5899" s="4" t="str">
        <v/>
      </c>
      <c r="F5899" s="102" t="str">
        <f ca="1">IFERROR(__xludf.DUMMYFUNCTION("IMPORTRANGE(H5899,""IDENTITAS UNIT!D9"")"),"#N/A")</f>
        <v>#N/A</v>
      </c>
      <c r="H5899" s="4" t="str">
        <v/>
      </c>
      <c r="I5899" s="4" t="str">
        <v/>
      </c>
    </row>
    <row r="5900" spans="5:9" ht="16.5" hidden="1">
      <c r="E5900" s="4" t="str">
        <v/>
      </c>
      <c r="F5900" s="102" t="str">
        <f ca="1">IFERROR(__xludf.DUMMYFUNCTION("IMPORTRANGE(H5900,""IDENTITAS UNIT!D9"")"),"#N/A")</f>
        <v>#N/A</v>
      </c>
      <c r="H5900" s="4" t="str">
        <v/>
      </c>
      <c r="I5900" s="4" t="str">
        <v/>
      </c>
    </row>
    <row r="5901" spans="5:9" ht="16.5" hidden="1">
      <c r="E5901" s="4" t="str">
        <v/>
      </c>
      <c r="F5901" s="102" t="str">
        <f ca="1">IFERROR(__xludf.DUMMYFUNCTION("IMPORTRANGE(H5901,""IDENTITAS UNIT!D9"")"),"#N/A")</f>
        <v>#N/A</v>
      </c>
      <c r="H5901" s="4" t="str">
        <v/>
      </c>
      <c r="I5901" s="4" t="str">
        <v/>
      </c>
    </row>
    <row r="5902" spans="5:9" ht="16.5" hidden="1">
      <c r="E5902" s="4" t="str">
        <v/>
      </c>
      <c r="F5902" s="102" t="str">
        <f ca="1">IFERROR(__xludf.DUMMYFUNCTION("IMPORTRANGE(H5902,""IDENTITAS UNIT!D9"")"),"#N/A")</f>
        <v>#N/A</v>
      </c>
      <c r="H5902" s="4" t="str">
        <v/>
      </c>
      <c r="I5902" s="4" t="str">
        <v/>
      </c>
    </row>
    <row r="5903" spans="5:9" ht="16.5" hidden="1">
      <c r="E5903" s="4" t="str">
        <v/>
      </c>
      <c r="F5903" s="102" t="str">
        <f ca="1">IFERROR(__xludf.DUMMYFUNCTION("IMPORTRANGE(H5903,""IDENTITAS UNIT!D9"")"),"#N/A")</f>
        <v>#N/A</v>
      </c>
      <c r="H5903" s="4" t="str">
        <v/>
      </c>
      <c r="I5903" s="4" t="str">
        <v/>
      </c>
    </row>
    <row r="5904" spans="5:9" ht="16.5" hidden="1">
      <c r="E5904" s="4" t="str">
        <v/>
      </c>
      <c r="F5904" s="102" t="str">
        <f ca="1">IFERROR(__xludf.DUMMYFUNCTION("IMPORTRANGE(H5904,""IDENTITAS UNIT!D9"")"),"#N/A")</f>
        <v>#N/A</v>
      </c>
      <c r="H5904" s="4" t="str">
        <v/>
      </c>
      <c r="I5904" s="4" t="str">
        <v/>
      </c>
    </row>
    <row r="5905" spans="5:9" ht="16.5" hidden="1">
      <c r="E5905" s="4" t="str">
        <v/>
      </c>
      <c r="F5905" s="102" t="str">
        <f ca="1">IFERROR(__xludf.DUMMYFUNCTION("IMPORTRANGE(H5905,""IDENTITAS UNIT!D9"")"),"#N/A")</f>
        <v>#N/A</v>
      </c>
      <c r="H5905" s="4" t="str">
        <v/>
      </c>
      <c r="I5905" s="4" t="str">
        <v/>
      </c>
    </row>
    <row r="5906" spans="5:9" ht="16.5" hidden="1">
      <c r="E5906" s="4" t="str">
        <v/>
      </c>
      <c r="F5906" s="102" t="str">
        <f ca="1">IFERROR(__xludf.DUMMYFUNCTION("IMPORTRANGE(H5906,""IDENTITAS UNIT!D9"")"),"#N/A")</f>
        <v>#N/A</v>
      </c>
      <c r="H5906" s="4" t="str">
        <v/>
      </c>
      <c r="I5906" s="4" t="str">
        <v/>
      </c>
    </row>
    <row r="5907" spans="5:9" ht="16.5" hidden="1">
      <c r="E5907" s="4" t="str">
        <v/>
      </c>
      <c r="F5907" s="102" t="str">
        <f ca="1">IFERROR(__xludf.DUMMYFUNCTION("IMPORTRANGE(H5907,""IDENTITAS UNIT!D9"")"),"#N/A")</f>
        <v>#N/A</v>
      </c>
      <c r="H5907" s="4" t="str">
        <v/>
      </c>
      <c r="I5907" s="4" t="str">
        <v/>
      </c>
    </row>
    <row r="5908" spans="5:9" ht="16.5" hidden="1">
      <c r="E5908" s="4" t="str">
        <v/>
      </c>
      <c r="F5908" s="102" t="str">
        <f ca="1">IFERROR(__xludf.DUMMYFUNCTION("IMPORTRANGE(H5908,""IDENTITAS UNIT!D9"")"),"#N/A")</f>
        <v>#N/A</v>
      </c>
      <c r="H5908" s="4" t="str">
        <v/>
      </c>
      <c r="I5908" s="4" t="str">
        <v/>
      </c>
    </row>
    <row r="5909" spans="5:9" ht="16.5" hidden="1">
      <c r="E5909" s="4" t="str">
        <v/>
      </c>
      <c r="F5909" s="102" t="str">
        <f ca="1">IFERROR(__xludf.DUMMYFUNCTION("IMPORTRANGE(H5909,""IDENTITAS UNIT!D9"")"),"#N/A")</f>
        <v>#N/A</v>
      </c>
      <c r="H5909" s="4" t="str">
        <v/>
      </c>
      <c r="I5909" s="4" t="str">
        <v/>
      </c>
    </row>
    <row r="5910" spans="5:9" ht="16.5" hidden="1">
      <c r="E5910" s="4" t="str">
        <v/>
      </c>
      <c r="F5910" s="102" t="str">
        <f ca="1">IFERROR(__xludf.DUMMYFUNCTION("IMPORTRANGE(H5910,""IDENTITAS UNIT!D9"")"),"#N/A")</f>
        <v>#N/A</v>
      </c>
      <c r="H5910" s="4" t="str">
        <v/>
      </c>
      <c r="I5910" s="4" t="str">
        <v/>
      </c>
    </row>
    <row r="5911" spans="5:9" ht="16.5" hidden="1">
      <c r="E5911" s="4" t="str">
        <v/>
      </c>
      <c r="F5911" s="102" t="str">
        <f ca="1">IFERROR(__xludf.DUMMYFUNCTION("IMPORTRANGE(H5911,""IDENTITAS UNIT!D9"")"),"#N/A")</f>
        <v>#N/A</v>
      </c>
      <c r="H5911" s="4" t="str">
        <v/>
      </c>
      <c r="I5911" s="4" t="str">
        <v/>
      </c>
    </row>
    <row r="5912" spans="5:9" ht="16.5" hidden="1">
      <c r="E5912" s="4" t="str">
        <v/>
      </c>
      <c r="F5912" s="102" t="str">
        <f ca="1">IFERROR(__xludf.DUMMYFUNCTION("IMPORTRANGE(H5912,""IDENTITAS UNIT!D9"")"),"#N/A")</f>
        <v>#N/A</v>
      </c>
      <c r="H5912" s="4" t="str">
        <v/>
      </c>
      <c r="I5912" s="4" t="str">
        <v/>
      </c>
    </row>
    <row r="5913" spans="5:9" ht="16.5" hidden="1">
      <c r="E5913" s="4" t="str">
        <v/>
      </c>
      <c r="F5913" s="102" t="str">
        <f ca="1">IFERROR(__xludf.DUMMYFUNCTION("IMPORTRANGE(H5913,""IDENTITAS UNIT!D9"")"),"#N/A")</f>
        <v>#N/A</v>
      </c>
      <c r="H5913" s="4" t="str">
        <v/>
      </c>
      <c r="I5913" s="4" t="str">
        <v/>
      </c>
    </row>
    <row r="5914" spans="5:9" ht="16.5" hidden="1">
      <c r="E5914" s="4" t="str">
        <v/>
      </c>
      <c r="F5914" s="102" t="str">
        <f ca="1">IFERROR(__xludf.DUMMYFUNCTION("IMPORTRANGE(H5914,""IDENTITAS UNIT!D9"")"),"#N/A")</f>
        <v>#N/A</v>
      </c>
      <c r="H5914" s="4" t="str">
        <v/>
      </c>
      <c r="I5914" s="4" t="str">
        <v/>
      </c>
    </row>
    <row r="5915" spans="5:9" ht="16.5" hidden="1">
      <c r="E5915" s="4" t="str">
        <v/>
      </c>
      <c r="F5915" s="102" t="str">
        <f ca="1">IFERROR(__xludf.DUMMYFUNCTION("IMPORTRANGE(H5915,""IDENTITAS UNIT!D9"")"),"#N/A")</f>
        <v>#N/A</v>
      </c>
      <c r="H5915" s="4" t="str">
        <v/>
      </c>
      <c r="I5915" s="4" t="str">
        <v/>
      </c>
    </row>
    <row r="5916" spans="5:9" ht="16.5" hidden="1">
      <c r="E5916" s="4" t="str">
        <v/>
      </c>
      <c r="F5916" s="102" t="str">
        <f ca="1">IFERROR(__xludf.DUMMYFUNCTION("IMPORTRANGE(H5916,""IDENTITAS UNIT!D9"")"),"#N/A")</f>
        <v>#N/A</v>
      </c>
      <c r="H5916" s="4" t="str">
        <v/>
      </c>
      <c r="I5916" s="4" t="str">
        <v/>
      </c>
    </row>
    <row r="5917" spans="5:9" ht="16.5" hidden="1">
      <c r="E5917" s="4" t="str">
        <v/>
      </c>
      <c r="F5917" s="102" t="str">
        <f ca="1">IFERROR(__xludf.DUMMYFUNCTION("IMPORTRANGE(H5917,""IDENTITAS UNIT!D9"")"),"#N/A")</f>
        <v>#N/A</v>
      </c>
      <c r="H5917" s="4" t="str">
        <v/>
      </c>
      <c r="I5917" s="4" t="str">
        <v/>
      </c>
    </row>
    <row r="5918" spans="5:9" ht="16.5" hidden="1">
      <c r="E5918" s="4" t="str">
        <v/>
      </c>
      <c r="F5918" s="102" t="str">
        <f ca="1">IFERROR(__xludf.DUMMYFUNCTION("IMPORTRANGE(H5918,""IDENTITAS UNIT!D9"")"),"#N/A")</f>
        <v>#N/A</v>
      </c>
      <c r="H5918" s="4" t="str">
        <v/>
      </c>
      <c r="I5918" s="4" t="str">
        <v/>
      </c>
    </row>
    <row r="5919" spans="5:9" ht="16.5" hidden="1">
      <c r="E5919" s="4" t="str">
        <v/>
      </c>
      <c r="F5919" s="102" t="str">
        <f ca="1">IFERROR(__xludf.DUMMYFUNCTION("IMPORTRANGE(H5919,""IDENTITAS UNIT!D9"")"),"#N/A")</f>
        <v>#N/A</v>
      </c>
      <c r="H5919" s="4" t="str">
        <v/>
      </c>
      <c r="I5919" s="4" t="str">
        <v/>
      </c>
    </row>
    <row r="5920" spans="5:9" ht="16.5" hidden="1">
      <c r="E5920" s="4" t="str">
        <v/>
      </c>
      <c r="F5920" s="102" t="str">
        <f ca="1">IFERROR(__xludf.DUMMYFUNCTION("IMPORTRANGE(H5920,""IDENTITAS UNIT!D9"")"),"#N/A")</f>
        <v>#N/A</v>
      </c>
      <c r="H5920" s="4" t="str">
        <v/>
      </c>
      <c r="I5920" s="4" t="str">
        <v/>
      </c>
    </row>
    <row r="5921" spans="5:9" ht="16.5" hidden="1">
      <c r="E5921" s="4" t="str">
        <v/>
      </c>
      <c r="F5921" s="102" t="str">
        <f ca="1">IFERROR(__xludf.DUMMYFUNCTION("IMPORTRANGE(H5921,""IDENTITAS UNIT!D9"")"),"#N/A")</f>
        <v>#N/A</v>
      </c>
      <c r="H5921" s="4" t="str">
        <v/>
      </c>
      <c r="I5921" s="4" t="str">
        <v/>
      </c>
    </row>
    <row r="5922" spans="5:9" ht="16.5" hidden="1">
      <c r="E5922" s="4" t="str">
        <v/>
      </c>
      <c r="F5922" s="102" t="str">
        <f ca="1">IFERROR(__xludf.DUMMYFUNCTION("IMPORTRANGE(H5922,""IDENTITAS UNIT!D9"")"),"#N/A")</f>
        <v>#N/A</v>
      </c>
      <c r="H5922" s="4" t="str">
        <v/>
      </c>
      <c r="I5922" s="4" t="str">
        <v/>
      </c>
    </row>
    <row r="5923" spans="5:9" ht="16.5" hidden="1">
      <c r="E5923" s="4" t="str">
        <v/>
      </c>
      <c r="F5923" s="102" t="str">
        <f ca="1">IFERROR(__xludf.DUMMYFUNCTION("IMPORTRANGE(H5923,""IDENTITAS UNIT!D9"")"),"#N/A")</f>
        <v>#N/A</v>
      </c>
      <c r="H5923" s="4" t="str">
        <v/>
      </c>
      <c r="I5923" s="4" t="str">
        <v/>
      </c>
    </row>
    <row r="5924" spans="5:9" ht="16.5" hidden="1">
      <c r="E5924" s="4" t="str">
        <v/>
      </c>
      <c r="F5924" s="102" t="str">
        <f ca="1">IFERROR(__xludf.DUMMYFUNCTION("IMPORTRANGE(H5924,""IDENTITAS UNIT!D9"")"),"#N/A")</f>
        <v>#N/A</v>
      </c>
      <c r="H5924" s="4" t="str">
        <v/>
      </c>
      <c r="I5924" s="4" t="str">
        <v/>
      </c>
    </row>
    <row r="5925" spans="5:9" ht="16.5" hidden="1">
      <c r="E5925" s="4" t="str">
        <v/>
      </c>
      <c r="F5925" s="102" t="str">
        <f ca="1">IFERROR(__xludf.DUMMYFUNCTION("IMPORTRANGE(H5925,""IDENTITAS UNIT!D9"")"),"#N/A")</f>
        <v>#N/A</v>
      </c>
      <c r="H5925" s="4" t="str">
        <v/>
      </c>
      <c r="I5925" s="4" t="str">
        <v/>
      </c>
    </row>
    <row r="5926" spans="5:9" ht="16.5" hidden="1">
      <c r="E5926" s="4" t="str">
        <v/>
      </c>
      <c r="F5926" s="102" t="str">
        <f ca="1">IFERROR(__xludf.DUMMYFUNCTION("IMPORTRANGE(H5926,""IDENTITAS UNIT!D9"")"),"#N/A")</f>
        <v>#N/A</v>
      </c>
      <c r="H5926" s="4" t="str">
        <v/>
      </c>
      <c r="I5926" s="4" t="str">
        <v/>
      </c>
    </row>
    <row r="5927" spans="5:9" ht="16.5" hidden="1">
      <c r="E5927" s="4" t="str">
        <v/>
      </c>
      <c r="F5927" s="102" t="str">
        <f ca="1">IFERROR(__xludf.DUMMYFUNCTION("IMPORTRANGE(H5927,""IDENTITAS UNIT!D9"")"),"#N/A")</f>
        <v>#N/A</v>
      </c>
      <c r="H5927" s="4" t="str">
        <v/>
      </c>
      <c r="I5927" s="4" t="str">
        <v/>
      </c>
    </row>
    <row r="5928" spans="5:9" ht="16.5" hidden="1">
      <c r="E5928" s="4" t="str">
        <v/>
      </c>
      <c r="F5928" s="102" t="str">
        <f ca="1">IFERROR(__xludf.DUMMYFUNCTION("IMPORTRANGE(H5928,""IDENTITAS UNIT!D9"")"),"#N/A")</f>
        <v>#N/A</v>
      </c>
      <c r="H5928" s="4" t="str">
        <v/>
      </c>
      <c r="I5928" s="4" t="str">
        <v/>
      </c>
    </row>
    <row r="5929" spans="5:9" ht="16.5" hidden="1">
      <c r="E5929" s="4" t="str">
        <v/>
      </c>
      <c r="F5929" s="102" t="str">
        <f ca="1">IFERROR(__xludf.DUMMYFUNCTION("IMPORTRANGE(H5929,""IDENTITAS UNIT!D9"")"),"#N/A")</f>
        <v>#N/A</v>
      </c>
      <c r="H5929" s="4" t="str">
        <v/>
      </c>
      <c r="I5929" s="4" t="str">
        <v/>
      </c>
    </row>
    <row r="5930" spans="5:9" ht="16.5" hidden="1">
      <c r="E5930" s="4" t="str">
        <v/>
      </c>
      <c r="F5930" s="102" t="str">
        <f ca="1">IFERROR(__xludf.DUMMYFUNCTION("IMPORTRANGE(H5930,""IDENTITAS UNIT!D9"")"),"#N/A")</f>
        <v>#N/A</v>
      </c>
      <c r="H5930" s="4" t="str">
        <v/>
      </c>
      <c r="I5930" s="4" t="str">
        <v/>
      </c>
    </row>
    <row r="5931" spans="5:9" ht="16.5" hidden="1">
      <c r="E5931" s="4" t="str">
        <v/>
      </c>
      <c r="F5931" s="102" t="str">
        <f ca="1">IFERROR(__xludf.DUMMYFUNCTION("IMPORTRANGE(H5931,""IDENTITAS UNIT!D9"")"),"#N/A")</f>
        <v>#N/A</v>
      </c>
      <c r="H5931" s="4" t="str">
        <v/>
      </c>
      <c r="I5931" s="4" t="str">
        <v/>
      </c>
    </row>
    <row r="5932" spans="5:9" ht="16.5" hidden="1">
      <c r="E5932" s="4" t="str">
        <v/>
      </c>
      <c r="F5932" s="102" t="str">
        <f ca="1">IFERROR(__xludf.DUMMYFUNCTION("IMPORTRANGE(H5932,""IDENTITAS UNIT!D9"")"),"#N/A")</f>
        <v>#N/A</v>
      </c>
      <c r="H5932" s="4" t="str">
        <v/>
      </c>
      <c r="I5932" s="4" t="str">
        <v/>
      </c>
    </row>
    <row r="5933" spans="5:9" ht="16.5" hidden="1">
      <c r="E5933" s="4" t="str">
        <v/>
      </c>
      <c r="F5933" s="102" t="str">
        <f ca="1">IFERROR(__xludf.DUMMYFUNCTION("IMPORTRANGE(H5933,""IDENTITAS UNIT!D9"")"),"#N/A")</f>
        <v>#N/A</v>
      </c>
      <c r="H5933" s="4" t="str">
        <v/>
      </c>
      <c r="I5933" s="4" t="str">
        <v/>
      </c>
    </row>
    <row r="5934" spans="5:9" ht="16.5" hidden="1">
      <c r="E5934" s="4" t="str">
        <v/>
      </c>
      <c r="F5934" s="102" t="str">
        <f ca="1">IFERROR(__xludf.DUMMYFUNCTION("IMPORTRANGE(H5934,""IDENTITAS UNIT!D9"")"),"#N/A")</f>
        <v>#N/A</v>
      </c>
      <c r="H5934" s="4" t="str">
        <v/>
      </c>
      <c r="I5934" s="4" t="str">
        <v/>
      </c>
    </row>
    <row r="5935" spans="5:9" ht="16.5" hidden="1">
      <c r="E5935" s="4" t="str">
        <v/>
      </c>
      <c r="F5935" s="102" t="str">
        <f ca="1">IFERROR(__xludf.DUMMYFUNCTION("IMPORTRANGE(H5935,""IDENTITAS UNIT!D9"")"),"#N/A")</f>
        <v>#N/A</v>
      </c>
      <c r="H5935" s="4" t="str">
        <v/>
      </c>
      <c r="I5935" s="4" t="str">
        <v/>
      </c>
    </row>
    <row r="5936" spans="5:9" ht="16.5" hidden="1">
      <c r="E5936" s="4" t="str">
        <v/>
      </c>
      <c r="F5936" s="102" t="str">
        <f ca="1">IFERROR(__xludf.DUMMYFUNCTION("IMPORTRANGE(H5936,""IDENTITAS UNIT!D9"")"),"#N/A")</f>
        <v>#N/A</v>
      </c>
      <c r="H5936" s="4" t="str">
        <v/>
      </c>
      <c r="I5936" s="4" t="str">
        <v/>
      </c>
    </row>
    <row r="5937" spans="5:9" ht="16.5" hidden="1">
      <c r="E5937" s="4" t="str">
        <v/>
      </c>
      <c r="F5937" s="102" t="str">
        <f ca="1">IFERROR(__xludf.DUMMYFUNCTION("IMPORTRANGE(H5937,""IDENTITAS UNIT!D9"")"),"#N/A")</f>
        <v>#N/A</v>
      </c>
      <c r="H5937" s="4" t="str">
        <v/>
      </c>
      <c r="I5937" s="4" t="str">
        <v/>
      </c>
    </row>
    <row r="5938" spans="5:9" ht="16.5" hidden="1">
      <c r="E5938" s="4" t="str">
        <v/>
      </c>
      <c r="F5938" s="102" t="str">
        <f ca="1">IFERROR(__xludf.DUMMYFUNCTION("IMPORTRANGE(H5938,""IDENTITAS UNIT!D9"")"),"#N/A")</f>
        <v>#N/A</v>
      </c>
      <c r="H5938" s="4" t="str">
        <v/>
      </c>
      <c r="I5938" s="4" t="str">
        <v/>
      </c>
    </row>
    <row r="5939" spans="5:9" ht="16.5" hidden="1">
      <c r="E5939" s="4" t="str">
        <v/>
      </c>
      <c r="F5939" s="102" t="str">
        <f ca="1">IFERROR(__xludf.DUMMYFUNCTION("IMPORTRANGE(H5939,""IDENTITAS UNIT!D9"")"),"#N/A")</f>
        <v>#N/A</v>
      </c>
      <c r="H5939" s="4" t="str">
        <v/>
      </c>
      <c r="I5939" s="4" t="str">
        <v/>
      </c>
    </row>
    <row r="5940" spans="5:9" ht="16.5" hidden="1">
      <c r="E5940" s="4" t="str">
        <v/>
      </c>
      <c r="F5940" s="102" t="str">
        <f ca="1">IFERROR(__xludf.DUMMYFUNCTION("IMPORTRANGE(H5940,""IDENTITAS UNIT!D9"")"),"#N/A")</f>
        <v>#N/A</v>
      </c>
      <c r="H5940" s="4" t="str">
        <v/>
      </c>
      <c r="I5940" s="4" t="str">
        <v/>
      </c>
    </row>
    <row r="5941" spans="5:9" ht="16.5" hidden="1">
      <c r="E5941" s="4" t="str">
        <v/>
      </c>
      <c r="F5941" s="102" t="str">
        <f ca="1">IFERROR(__xludf.DUMMYFUNCTION("IMPORTRANGE(H5941,""IDENTITAS UNIT!D9"")"),"#N/A")</f>
        <v>#N/A</v>
      </c>
      <c r="H5941" s="4" t="str">
        <v/>
      </c>
      <c r="I5941" s="4" t="str">
        <v/>
      </c>
    </row>
    <row r="5942" spans="5:9" ht="16.5" hidden="1">
      <c r="E5942" s="4" t="str">
        <v/>
      </c>
      <c r="F5942" s="102" t="str">
        <f ca="1">IFERROR(__xludf.DUMMYFUNCTION("IMPORTRANGE(H5942,""IDENTITAS UNIT!D9"")"),"#N/A")</f>
        <v>#N/A</v>
      </c>
      <c r="H5942" s="4" t="str">
        <v/>
      </c>
      <c r="I5942" s="4" t="str">
        <v/>
      </c>
    </row>
    <row r="5943" spans="5:9" ht="16.5" hidden="1">
      <c r="E5943" s="4" t="str">
        <v/>
      </c>
      <c r="F5943" s="102" t="str">
        <f ca="1">IFERROR(__xludf.DUMMYFUNCTION("IMPORTRANGE(H5943,""IDENTITAS UNIT!D9"")"),"#N/A")</f>
        <v>#N/A</v>
      </c>
      <c r="H5943" s="4" t="str">
        <v/>
      </c>
      <c r="I5943" s="4" t="str">
        <v/>
      </c>
    </row>
    <row r="5944" spans="5:9" ht="16.5" hidden="1">
      <c r="E5944" s="4" t="str">
        <v/>
      </c>
      <c r="F5944" s="102" t="str">
        <f ca="1">IFERROR(__xludf.DUMMYFUNCTION("IMPORTRANGE(H5944,""IDENTITAS UNIT!D9"")"),"#N/A")</f>
        <v>#N/A</v>
      </c>
      <c r="H5944" s="4" t="str">
        <v/>
      </c>
      <c r="I5944" s="4" t="str">
        <v/>
      </c>
    </row>
    <row r="5945" spans="5:9" ht="16.5" hidden="1">
      <c r="E5945" s="4" t="str">
        <v/>
      </c>
      <c r="F5945" s="102" t="str">
        <f ca="1">IFERROR(__xludf.DUMMYFUNCTION("IMPORTRANGE(H5945,""IDENTITAS UNIT!D9"")"),"#N/A")</f>
        <v>#N/A</v>
      </c>
      <c r="H5945" s="4" t="str">
        <v/>
      </c>
      <c r="I5945" s="4" t="str">
        <v/>
      </c>
    </row>
    <row r="5946" spans="5:9" ht="16.5" hidden="1">
      <c r="E5946" s="4" t="str">
        <v/>
      </c>
      <c r="F5946" s="102" t="str">
        <f ca="1">IFERROR(__xludf.DUMMYFUNCTION("IMPORTRANGE(H5946,""IDENTITAS UNIT!D9"")"),"#N/A")</f>
        <v>#N/A</v>
      </c>
      <c r="H5946" s="4" t="str">
        <v/>
      </c>
      <c r="I5946" s="4" t="str">
        <v/>
      </c>
    </row>
    <row r="5947" spans="5:9" ht="16.5" hidden="1">
      <c r="E5947" s="4" t="str">
        <v/>
      </c>
      <c r="F5947" s="102" t="str">
        <f ca="1">IFERROR(__xludf.DUMMYFUNCTION("IMPORTRANGE(H5947,""IDENTITAS UNIT!D9"")"),"#N/A")</f>
        <v>#N/A</v>
      </c>
      <c r="H5947" s="4" t="str">
        <v/>
      </c>
      <c r="I5947" s="4" t="str">
        <v/>
      </c>
    </row>
    <row r="5948" spans="5:9" ht="16.5" hidden="1">
      <c r="E5948" s="4" t="str">
        <v/>
      </c>
      <c r="F5948" s="102" t="str">
        <f ca="1">IFERROR(__xludf.DUMMYFUNCTION("IMPORTRANGE(H5948,""IDENTITAS UNIT!D9"")"),"#N/A")</f>
        <v>#N/A</v>
      </c>
      <c r="H5948" s="4" t="str">
        <v/>
      </c>
      <c r="I5948" s="4" t="str">
        <v/>
      </c>
    </row>
    <row r="5949" spans="5:9" ht="16.5" hidden="1">
      <c r="E5949" s="4" t="str">
        <v/>
      </c>
      <c r="F5949" s="102" t="str">
        <f ca="1">IFERROR(__xludf.DUMMYFUNCTION("IMPORTRANGE(H5949,""IDENTITAS UNIT!D9"")"),"#N/A")</f>
        <v>#N/A</v>
      </c>
      <c r="H5949" s="4" t="str">
        <v/>
      </c>
      <c r="I5949" s="4" t="str">
        <v/>
      </c>
    </row>
    <row r="5950" spans="5:9" ht="16.5" hidden="1">
      <c r="E5950" s="4" t="str">
        <v/>
      </c>
      <c r="F5950" s="102" t="str">
        <f ca="1">IFERROR(__xludf.DUMMYFUNCTION("IMPORTRANGE(H5950,""IDENTITAS UNIT!D9"")"),"#N/A")</f>
        <v>#N/A</v>
      </c>
      <c r="H5950" s="4" t="str">
        <v/>
      </c>
      <c r="I5950" s="4" t="str">
        <v/>
      </c>
    </row>
    <row r="5951" spans="5:9" ht="16.5" hidden="1">
      <c r="E5951" s="4" t="str">
        <v/>
      </c>
      <c r="F5951" s="102" t="str">
        <f ca="1">IFERROR(__xludf.DUMMYFUNCTION("IMPORTRANGE(H5951,""IDENTITAS UNIT!D9"")"),"#N/A")</f>
        <v>#N/A</v>
      </c>
      <c r="H5951" s="4" t="str">
        <v/>
      </c>
      <c r="I5951" s="4" t="str">
        <v/>
      </c>
    </row>
    <row r="5952" spans="5:9" ht="16.5" hidden="1">
      <c r="E5952" s="4" t="str">
        <v/>
      </c>
      <c r="F5952" s="102" t="str">
        <f ca="1">IFERROR(__xludf.DUMMYFUNCTION("IMPORTRANGE(H5952,""IDENTITAS UNIT!D9"")"),"#N/A")</f>
        <v>#N/A</v>
      </c>
      <c r="H5952" s="4" t="str">
        <v/>
      </c>
      <c r="I5952" s="4" t="str">
        <v/>
      </c>
    </row>
    <row r="5953" spans="5:9" ht="16.5" hidden="1">
      <c r="E5953" s="4" t="str">
        <v/>
      </c>
      <c r="F5953" s="102" t="str">
        <f ca="1">IFERROR(__xludf.DUMMYFUNCTION("IMPORTRANGE(H5953,""IDENTITAS UNIT!D9"")"),"#N/A")</f>
        <v>#N/A</v>
      </c>
      <c r="H5953" s="4" t="str">
        <v/>
      </c>
      <c r="I5953" s="4" t="str">
        <v/>
      </c>
    </row>
    <row r="5954" spans="5:9" ht="16.5" hidden="1">
      <c r="E5954" s="4" t="str">
        <v/>
      </c>
      <c r="F5954" s="102" t="str">
        <f ca="1">IFERROR(__xludf.DUMMYFUNCTION("IMPORTRANGE(H5954,""IDENTITAS UNIT!D9"")"),"#N/A")</f>
        <v>#N/A</v>
      </c>
      <c r="H5954" s="4" t="str">
        <v/>
      </c>
      <c r="I5954" s="4" t="str">
        <v/>
      </c>
    </row>
    <row r="5955" spans="5:9" ht="16.5" hidden="1">
      <c r="E5955" s="4" t="str">
        <v/>
      </c>
      <c r="F5955" s="102" t="str">
        <f ca="1">IFERROR(__xludf.DUMMYFUNCTION("IMPORTRANGE(H5955,""IDENTITAS UNIT!D9"")"),"#N/A")</f>
        <v>#N/A</v>
      </c>
      <c r="H5955" s="4" t="str">
        <v/>
      </c>
      <c r="I5955" s="4" t="str">
        <v/>
      </c>
    </row>
    <row r="5956" spans="5:9" ht="16.5" hidden="1">
      <c r="E5956" s="4" t="str">
        <v/>
      </c>
      <c r="F5956" s="102" t="str">
        <f ca="1">IFERROR(__xludf.DUMMYFUNCTION("IMPORTRANGE(H5956,""IDENTITAS UNIT!D9"")"),"#N/A")</f>
        <v>#N/A</v>
      </c>
      <c r="H5956" s="4" t="str">
        <v/>
      </c>
      <c r="I5956" s="4" t="str">
        <v/>
      </c>
    </row>
    <row r="5957" spans="5:9" ht="16.5" hidden="1">
      <c r="E5957" s="4" t="str">
        <v/>
      </c>
      <c r="F5957" s="102" t="str">
        <f ca="1">IFERROR(__xludf.DUMMYFUNCTION("IMPORTRANGE(H5957,""IDENTITAS UNIT!D9"")"),"#N/A")</f>
        <v>#N/A</v>
      </c>
      <c r="H5957" s="4" t="str">
        <v/>
      </c>
      <c r="I5957" s="4" t="str">
        <v/>
      </c>
    </row>
    <row r="5958" spans="5:9" ht="16.5" hidden="1">
      <c r="E5958" s="4" t="str">
        <v/>
      </c>
      <c r="F5958" s="102" t="str">
        <f ca="1">IFERROR(__xludf.DUMMYFUNCTION("IMPORTRANGE(H5958,""IDENTITAS UNIT!D9"")"),"#N/A")</f>
        <v>#N/A</v>
      </c>
      <c r="H5958" s="4" t="str">
        <v/>
      </c>
      <c r="I5958" s="4" t="str">
        <v/>
      </c>
    </row>
    <row r="5959" spans="5:9" ht="16.5" hidden="1">
      <c r="E5959" s="4" t="str">
        <v/>
      </c>
      <c r="F5959" s="102" t="str">
        <f ca="1">IFERROR(__xludf.DUMMYFUNCTION("IMPORTRANGE(H5959,""IDENTITAS UNIT!D9"")"),"#N/A")</f>
        <v>#N/A</v>
      </c>
      <c r="H5959" s="4" t="str">
        <v/>
      </c>
      <c r="I5959" s="4" t="str">
        <v/>
      </c>
    </row>
    <row r="5960" spans="5:9" ht="16.5" hidden="1">
      <c r="E5960" s="4" t="str">
        <v/>
      </c>
      <c r="F5960" s="102" t="str">
        <f ca="1">IFERROR(__xludf.DUMMYFUNCTION("IMPORTRANGE(H5960,""IDENTITAS UNIT!D9"")"),"#N/A")</f>
        <v>#N/A</v>
      </c>
      <c r="H5960" s="4" t="str">
        <v/>
      </c>
      <c r="I5960" s="4" t="str">
        <v/>
      </c>
    </row>
    <row r="5961" spans="5:9" ht="16.5" hidden="1">
      <c r="E5961" s="4" t="str">
        <v/>
      </c>
      <c r="F5961" s="102" t="str">
        <f ca="1">IFERROR(__xludf.DUMMYFUNCTION("IMPORTRANGE(H5961,""IDENTITAS UNIT!D9"")"),"#N/A")</f>
        <v>#N/A</v>
      </c>
      <c r="H5961" s="4" t="str">
        <v/>
      </c>
      <c r="I5961" s="4" t="str">
        <v/>
      </c>
    </row>
    <row r="5962" spans="5:9" ht="16.5" hidden="1">
      <c r="E5962" s="4" t="str">
        <v/>
      </c>
      <c r="F5962" s="102" t="str">
        <f ca="1">IFERROR(__xludf.DUMMYFUNCTION("IMPORTRANGE(H5962,""IDENTITAS UNIT!D9"")"),"#N/A")</f>
        <v>#N/A</v>
      </c>
      <c r="H5962" s="4" t="str">
        <v/>
      </c>
      <c r="I5962" s="4" t="str">
        <v/>
      </c>
    </row>
    <row r="5963" spans="5:9" ht="16.5" hidden="1">
      <c r="E5963" s="4" t="str">
        <v/>
      </c>
      <c r="F5963" s="102" t="str">
        <f ca="1">IFERROR(__xludf.DUMMYFUNCTION("IMPORTRANGE(H5963,""IDENTITAS UNIT!D9"")"),"#N/A")</f>
        <v>#N/A</v>
      </c>
      <c r="H5963" s="4" t="str">
        <v/>
      </c>
      <c r="I5963" s="4" t="str">
        <v/>
      </c>
    </row>
    <row r="5964" spans="5:9" ht="16.5" hidden="1">
      <c r="E5964" s="4" t="str">
        <v/>
      </c>
      <c r="F5964" s="102" t="str">
        <f ca="1">IFERROR(__xludf.DUMMYFUNCTION("IMPORTRANGE(H5964,""IDENTITAS UNIT!D9"")"),"#N/A")</f>
        <v>#N/A</v>
      </c>
      <c r="H5964" s="4" t="str">
        <v/>
      </c>
      <c r="I5964" s="4" t="str">
        <v/>
      </c>
    </row>
    <row r="5965" spans="5:9" ht="16.5" hidden="1">
      <c r="E5965" s="4" t="str">
        <v/>
      </c>
      <c r="F5965" s="102" t="str">
        <f ca="1">IFERROR(__xludf.DUMMYFUNCTION("IMPORTRANGE(H5965,""IDENTITAS UNIT!D9"")"),"#N/A")</f>
        <v>#N/A</v>
      </c>
      <c r="H5965" s="4" t="str">
        <v/>
      </c>
      <c r="I5965" s="4" t="str">
        <v/>
      </c>
    </row>
    <row r="5966" spans="5:9" ht="16.5" hidden="1">
      <c r="E5966" s="4" t="str">
        <v/>
      </c>
      <c r="F5966" s="102" t="str">
        <f ca="1">IFERROR(__xludf.DUMMYFUNCTION("IMPORTRANGE(H5966,""IDENTITAS UNIT!D9"")"),"#N/A")</f>
        <v>#N/A</v>
      </c>
      <c r="H5966" s="4" t="str">
        <v/>
      </c>
      <c r="I5966" s="4" t="str">
        <v/>
      </c>
    </row>
    <row r="5967" spans="5:9" ht="16.5" hidden="1">
      <c r="E5967" s="4" t="str">
        <v/>
      </c>
      <c r="F5967" s="102" t="str">
        <f ca="1">IFERROR(__xludf.DUMMYFUNCTION("IMPORTRANGE(H5967,""IDENTITAS UNIT!D9"")"),"#N/A")</f>
        <v>#N/A</v>
      </c>
      <c r="H5967" s="4" t="str">
        <v/>
      </c>
      <c r="I5967" s="4" t="str">
        <v/>
      </c>
    </row>
    <row r="5968" spans="5:9" ht="16.5" hidden="1">
      <c r="E5968" s="4" t="str">
        <v/>
      </c>
      <c r="F5968" s="102" t="str">
        <f ca="1">IFERROR(__xludf.DUMMYFUNCTION("IMPORTRANGE(H5968,""IDENTITAS UNIT!D9"")"),"#N/A")</f>
        <v>#N/A</v>
      </c>
      <c r="H5968" s="4" t="str">
        <v/>
      </c>
      <c r="I5968" s="4" t="str">
        <v/>
      </c>
    </row>
    <row r="5969" spans="5:9" ht="16.5" hidden="1">
      <c r="E5969" s="4" t="str">
        <v/>
      </c>
      <c r="F5969" s="102" t="str">
        <f ca="1">IFERROR(__xludf.DUMMYFUNCTION("IMPORTRANGE(H5969,""IDENTITAS UNIT!D9"")"),"#N/A")</f>
        <v>#N/A</v>
      </c>
      <c r="H5969" s="4" t="str">
        <v/>
      </c>
      <c r="I5969" s="4" t="str">
        <v/>
      </c>
    </row>
    <row r="5970" spans="5:9" ht="16.5" hidden="1">
      <c r="E5970" s="4" t="str">
        <v/>
      </c>
      <c r="F5970" s="102" t="str">
        <f ca="1">IFERROR(__xludf.DUMMYFUNCTION("IMPORTRANGE(H5970,""IDENTITAS UNIT!D9"")"),"#N/A")</f>
        <v>#N/A</v>
      </c>
      <c r="H5970" s="4" t="str">
        <v/>
      </c>
      <c r="I5970" s="4" t="str">
        <v/>
      </c>
    </row>
    <row r="5971" spans="5:9" ht="16.5" hidden="1">
      <c r="E5971" s="4" t="str">
        <v/>
      </c>
      <c r="F5971" s="102" t="str">
        <f ca="1">IFERROR(__xludf.DUMMYFUNCTION("IMPORTRANGE(H5971,""IDENTITAS UNIT!D9"")"),"#N/A")</f>
        <v>#N/A</v>
      </c>
      <c r="H5971" s="4" t="str">
        <v/>
      </c>
      <c r="I5971" s="4" t="str">
        <v/>
      </c>
    </row>
    <row r="5972" spans="5:9" ht="16.5" hidden="1">
      <c r="E5972" s="4" t="str">
        <v/>
      </c>
      <c r="F5972" s="102" t="str">
        <f ca="1">IFERROR(__xludf.DUMMYFUNCTION("IMPORTRANGE(H5972,""IDENTITAS UNIT!D9"")"),"#N/A")</f>
        <v>#N/A</v>
      </c>
      <c r="H5972" s="4" t="str">
        <v/>
      </c>
      <c r="I5972" s="4" t="str">
        <v/>
      </c>
    </row>
    <row r="5973" spans="5:9" ht="16.5" hidden="1">
      <c r="E5973" s="4" t="str">
        <v/>
      </c>
      <c r="F5973" s="102" t="str">
        <f ca="1">IFERROR(__xludf.DUMMYFUNCTION("IMPORTRANGE(H5973,""IDENTITAS UNIT!D9"")"),"#N/A")</f>
        <v>#N/A</v>
      </c>
      <c r="H5973" s="4" t="str">
        <v/>
      </c>
      <c r="I5973" s="4" t="str">
        <v/>
      </c>
    </row>
    <row r="5974" spans="5:9" ht="16.5" hidden="1">
      <c r="E5974" s="4" t="str">
        <v/>
      </c>
      <c r="F5974" s="102" t="str">
        <f ca="1">IFERROR(__xludf.DUMMYFUNCTION("IMPORTRANGE(H5974,""IDENTITAS UNIT!D9"")"),"#N/A")</f>
        <v>#N/A</v>
      </c>
      <c r="H5974" s="4" t="str">
        <v/>
      </c>
      <c r="I5974" s="4" t="str">
        <v/>
      </c>
    </row>
    <row r="5975" spans="5:9" ht="16.5" hidden="1">
      <c r="E5975" s="4" t="str">
        <v/>
      </c>
      <c r="F5975" s="102" t="str">
        <f ca="1">IFERROR(__xludf.DUMMYFUNCTION("IMPORTRANGE(H5975,""IDENTITAS UNIT!D9"")"),"#N/A")</f>
        <v>#N/A</v>
      </c>
      <c r="H5975" s="4" t="str">
        <v/>
      </c>
      <c r="I5975" s="4" t="str">
        <v/>
      </c>
    </row>
    <row r="5976" spans="5:9" ht="16.5" hidden="1">
      <c r="E5976" s="4" t="str">
        <v/>
      </c>
      <c r="F5976" s="102" t="str">
        <f ca="1">IFERROR(__xludf.DUMMYFUNCTION("IMPORTRANGE(H5976,""IDENTITAS UNIT!D9"")"),"#N/A")</f>
        <v>#N/A</v>
      </c>
      <c r="H5976" s="4" t="str">
        <v/>
      </c>
      <c r="I5976" s="4" t="str">
        <v/>
      </c>
    </row>
    <row r="5977" spans="5:9" ht="16.5" hidden="1">
      <c r="E5977" s="4" t="str">
        <v/>
      </c>
      <c r="F5977" s="102" t="str">
        <f ca="1">IFERROR(__xludf.DUMMYFUNCTION("IMPORTRANGE(H5977,""IDENTITAS UNIT!D9"")"),"#N/A")</f>
        <v>#N/A</v>
      </c>
      <c r="H5977" s="4" t="str">
        <v/>
      </c>
      <c r="I5977" s="4" t="str">
        <v/>
      </c>
    </row>
    <row r="5978" spans="5:9" ht="16.5" hidden="1">
      <c r="E5978" s="4" t="str">
        <v/>
      </c>
      <c r="F5978" s="102" t="str">
        <f ca="1">IFERROR(__xludf.DUMMYFUNCTION("IMPORTRANGE(H5978,""IDENTITAS UNIT!D9"")"),"#N/A")</f>
        <v>#N/A</v>
      </c>
      <c r="H5978" s="4" t="str">
        <v/>
      </c>
      <c r="I5978" s="4" t="str">
        <v/>
      </c>
    </row>
    <row r="5979" spans="5:9" ht="16.5" hidden="1">
      <c r="E5979" s="4" t="str">
        <v/>
      </c>
      <c r="F5979" s="102" t="str">
        <f ca="1">IFERROR(__xludf.DUMMYFUNCTION("IMPORTRANGE(H5979,""IDENTITAS UNIT!D9"")"),"#N/A")</f>
        <v>#N/A</v>
      </c>
      <c r="H5979" s="4" t="str">
        <v/>
      </c>
      <c r="I5979" s="4" t="str">
        <v/>
      </c>
    </row>
    <row r="5980" spans="5:9" ht="16.5" hidden="1">
      <c r="E5980" s="4" t="str">
        <v/>
      </c>
      <c r="F5980" s="102" t="str">
        <f ca="1">IFERROR(__xludf.DUMMYFUNCTION("IMPORTRANGE(H5980,""IDENTITAS UNIT!D9"")"),"#N/A")</f>
        <v>#N/A</v>
      </c>
      <c r="H5980" s="4" t="str">
        <v/>
      </c>
      <c r="I5980" s="4" t="str">
        <v/>
      </c>
    </row>
    <row r="5981" spans="5:9" ht="16.5" hidden="1">
      <c r="E5981" s="4" t="str">
        <v/>
      </c>
      <c r="F5981" s="102" t="str">
        <f ca="1">IFERROR(__xludf.DUMMYFUNCTION("IMPORTRANGE(H5981,""IDENTITAS UNIT!D9"")"),"#N/A")</f>
        <v>#N/A</v>
      </c>
      <c r="H5981" s="4" t="str">
        <v/>
      </c>
      <c r="I5981" s="4" t="str">
        <v/>
      </c>
    </row>
    <row r="5982" spans="5:9" ht="16.5" hidden="1">
      <c r="E5982" s="4" t="str">
        <v/>
      </c>
      <c r="F5982" s="102" t="str">
        <f ca="1">IFERROR(__xludf.DUMMYFUNCTION("IMPORTRANGE(H5982,""IDENTITAS UNIT!D9"")"),"#N/A")</f>
        <v>#N/A</v>
      </c>
      <c r="H5982" s="4" t="str">
        <v/>
      </c>
      <c r="I5982" s="4" t="str">
        <v/>
      </c>
    </row>
    <row r="5983" spans="5:9" ht="16.5" hidden="1">
      <c r="E5983" s="4" t="str">
        <v/>
      </c>
      <c r="F5983" s="102" t="str">
        <f ca="1">IFERROR(__xludf.DUMMYFUNCTION("IMPORTRANGE(H5983,""IDENTITAS UNIT!D9"")"),"#N/A")</f>
        <v>#N/A</v>
      </c>
      <c r="H5983" s="4" t="str">
        <v/>
      </c>
      <c r="I5983" s="4" t="str">
        <v/>
      </c>
    </row>
    <row r="5984" spans="5:9" ht="16.5" hidden="1">
      <c r="E5984" s="4" t="str">
        <v/>
      </c>
      <c r="F5984" s="102" t="str">
        <f ca="1">IFERROR(__xludf.DUMMYFUNCTION("IMPORTRANGE(H5984,""IDENTITAS UNIT!D9"")"),"#N/A")</f>
        <v>#N/A</v>
      </c>
      <c r="H5984" s="4" t="str">
        <v/>
      </c>
      <c r="I5984" s="4" t="str">
        <v/>
      </c>
    </row>
    <row r="5985" spans="5:9" ht="16.5" hidden="1">
      <c r="E5985" s="4" t="str">
        <v/>
      </c>
      <c r="F5985" s="102" t="str">
        <f ca="1">IFERROR(__xludf.DUMMYFUNCTION("IMPORTRANGE(H5985,""IDENTITAS UNIT!D9"")"),"#N/A")</f>
        <v>#N/A</v>
      </c>
      <c r="H5985" s="4" t="str">
        <v/>
      </c>
      <c r="I5985" s="4" t="str">
        <v/>
      </c>
    </row>
    <row r="5986" spans="5:9" ht="16.5" hidden="1">
      <c r="E5986" s="4" t="str">
        <v/>
      </c>
      <c r="F5986" s="102" t="str">
        <f ca="1">IFERROR(__xludf.DUMMYFUNCTION("IMPORTRANGE(H5986,""IDENTITAS UNIT!D9"")"),"#N/A")</f>
        <v>#N/A</v>
      </c>
      <c r="H5986" s="4" t="str">
        <v/>
      </c>
      <c r="I5986" s="4" t="str">
        <v/>
      </c>
    </row>
    <row r="5987" spans="5:9" ht="16.5" hidden="1">
      <c r="E5987" s="4" t="str">
        <v/>
      </c>
      <c r="F5987" s="102" t="str">
        <f ca="1">IFERROR(__xludf.DUMMYFUNCTION("IMPORTRANGE(H5987,""IDENTITAS UNIT!D9"")"),"#N/A")</f>
        <v>#N/A</v>
      </c>
      <c r="H5987" s="4" t="str">
        <v/>
      </c>
      <c r="I5987" s="4" t="str">
        <v/>
      </c>
    </row>
    <row r="5988" spans="5:9" ht="16.5" hidden="1">
      <c r="E5988" s="4" t="str">
        <v/>
      </c>
      <c r="F5988" s="102" t="str">
        <f ca="1">IFERROR(__xludf.DUMMYFUNCTION("IMPORTRANGE(H5988,""IDENTITAS UNIT!D9"")"),"#N/A")</f>
        <v>#N/A</v>
      </c>
      <c r="H5988" s="4" t="str">
        <v/>
      </c>
      <c r="I5988" s="4" t="str">
        <v/>
      </c>
    </row>
    <row r="5989" spans="5:9" ht="16.5" hidden="1">
      <c r="E5989" s="4" t="str">
        <v/>
      </c>
      <c r="F5989" s="102" t="str">
        <f ca="1">IFERROR(__xludf.DUMMYFUNCTION("IMPORTRANGE(H5989,""IDENTITAS UNIT!D9"")"),"#N/A")</f>
        <v>#N/A</v>
      </c>
      <c r="H5989" s="4" t="str">
        <v/>
      </c>
      <c r="I5989" s="4" t="str">
        <v/>
      </c>
    </row>
    <row r="5990" spans="5:9" ht="16.5" hidden="1">
      <c r="E5990" s="4" t="str">
        <v/>
      </c>
      <c r="F5990" s="102" t="str">
        <f ca="1">IFERROR(__xludf.DUMMYFUNCTION("IMPORTRANGE(H5990,""IDENTITAS UNIT!D9"")"),"#N/A")</f>
        <v>#N/A</v>
      </c>
      <c r="H5990" s="4" t="str">
        <v/>
      </c>
      <c r="I5990" s="4" t="str">
        <v/>
      </c>
    </row>
    <row r="5991" spans="5:9" ht="16.5" hidden="1">
      <c r="E5991" s="4" t="str">
        <v/>
      </c>
      <c r="F5991" s="102" t="str">
        <f ca="1">IFERROR(__xludf.DUMMYFUNCTION("IMPORTRANGE(H5991,""IDENTITAS UNIT!D9"")"),"#N/A")</f>
        <v>#N/A</v>
      </c>
      <c r="H5991" s="4" t="str">
        <v/>
      </c>
      <c r="I5991" s="4" t="str">
        <v/>
      </c>
    </row>
    <row r="5992" spans="5:9" ht="16.5" hidden="1">
      <c r="E5992" s="4" t="str">
        <v/>
      </c>
      <c r="F5992" s="102" t="str">
        <f ca="1">IFERROR(__xludf.DUMMYFUNCTION("IMPORTRANGE(H5992,""IDENTITAS UNIT!D9"")"),"#N/A")</f>
        <v>#N/A</v>
      </c>
      <c r="H5992" s="4" t="str">
        <v/>
      </c>
      <c r="I5992" s="4" t="str">
        <v/>
      </c>
    </row>
    <row r="5993" spans="5:9" ht="16.5" hidden="1">
      <c r="E5993" s="4" t="str">
        <v/>
      </c>
      <c r="F5993" s="102" t="str">
        <f ca="1">IFERROR(__xludf.DUMMYFUNCTION("IMPORTRANGE(H5993,""IDENTITAS UNIT!D9"")"),"#N/A")</f>
        <v>#N/A</v>
      </c>
      <c r="H5993" s="4" t="str">
        <v/>
      </c>
      <c r="I5993" s="4" t="str">
        <v/>
      </c>
    </row>
    <row r="5994" spans="5:9" ht="16.5" hidden="1">
      <c r="E5994" s="4" t="str">
        <v/>
      </c>
      <c r="F5994" s="102" t="str">
        <f ca="1">IFERROR(__xludf.DUMMYFUNCTION("IMPORTRANGE(H5994,""IDENTITAS UNIT!D9"")"),"#N/A")</f>
        <v>#N/A</v>
      </c>
      <c r="H5994" s="4" t="str">
        <v/>
      </c>
      <c r="I5994" s="4" t="str">
        <v/>
      </c>
    </row>
    <row r="5995" spans="5:9" ht="16.5" hidden="1">
      <c r="E5995" s="4" t="str">
        <v/>
      </c>
      <c r="F5995" s="102" t="str">
        <f ca="1">IFERROR(__xludf.DUMMYFUNCTION("IMPORTRANGE(H5995,""IDENTITAS UNIT!D9"")"),"#N/A")</f>
        <v>#N/A</v>
      </c>
      <c r="H5995" s="4" t="str">
        <v/>
      </c>
      <c r="I5995" s="4" t="str">
        <v/>
      </c>
    </row>
    <row r="5996" spans="5:9" ht="16.5" hidden="1">
      <c r="E5996" s="4" t="str">
        <v/>
      </c>
      <c r="F5996" s="102" t="str">
        <f ca="1">IFERROR(__xludf.DUMMYFUNCTION("IMPORTRANGE(H5996,""IDENTITAS UNIT!D9"")"),"#N/A")</f>
        <v>#N/A</v>
      </c>
      <c r="H5996" s="4" t="str">
        <v/>
      </c>
      <c r="I5996" s="4" t="str">
        <v/>
      </c>
    </row>
    <row r="5997" spans="5:9" ht="16.5" hidden="1">
      <c r="E5997" s="4" t="str">
        <v/>
      </c>
      <c r="F5997" s="102" t="str">
        <f ca="1">IFERROR(__xludf.DUMMYFUNCTION("IMPORTRANGE(H5997,""IDENTITAS UNIT!D9"")"),"#N/A")</f>
        <v>#N/A</v>
      </c>
      <c r="H5997" s="4" t="str">
        <v/>
      </c>
      <c r="I5997" s="4" t="str">
        <v/>
      </c>
    </row>
    <row r="5998" spans="5:9" ht="16.5" hidden="1">
      <c r="E5998" s="4" t="str">
        <v/>
      </c>
      <c r="F5998" s="102" t="str">
        <f ca="1">IFERROR(__xludf.DUMMYFUNCTION("IMPORTRANGE(H5998,""IDENTITAS UNIT!D9"")"),"#N/A")</f>
        <v>#N/A</v>
      </c>
      <c r="H5998" s="4" t="str">
        <v/>
      </c>
      <c r="I5998" s="4" t="str">
        <v/>
      </c>
    </row>
    <row r="5999" spans="5:9" ht="16.5" hidden="1">
      <c r="E5999" s="4" t="str">
        <v/>
      </c>
      <c r="F5999" s="102" t="str">
        <f ca="1">IFERROR(__xludf.DUMMYFUNCTION("IMPORTRANGE(H5999,""IDENTITAS UNIT!D9"")"),"#N/A")</f>
        <v>#N/A</v>
      </c>
      <c r="H5999" s="4" t="str">
        <v/>
      </c>
      <c r="I5999" s="4" t="str">
        <v/>
      </c>
    </row>
    <row r="6000" spans="5:9" ht="16.5" hidden="1">
      <c r="E6000" s="4" t="str">
        <v/>
      </c>
      <c r="F6000" s="102" t="str">
        <f ca="1">IFERROR(__xludf.DUMMYFUNCTION("IMPORTRANGE(H6000,""IDENTITAS UNIT!D9"")"),"#N/A")</f>
        <v>#N/A</v>
      </c>
      <c r="H6000" s="4" t="str">
        <v/>
      </c>
      <c r="I6000" s="4" t="str">
        <v/>
      </c>
    </row>
    <row r="6001" spans="5:9" ht="16.5" hidden="1">
      <c r="E6001" s="4" t="str">
        <v/>
      </c>
      <c r="F6001" s="102" t="str">
        <f ca="1">IFERROR(__xludf.DUMMYFUNCTION("IMPORTRANGE(H6001,""IDENTITAS UNIT!D9"")"),"#N/A")</f>
        <v>#N/A</v>
      </c>
      <c r="H6001" s="4" t="str">
        <v/>
      </c>
      <c r="I6001" s="4" t="str">
        <v/>
      </c>
    </row>
    <row r="6002" spans="5:9" ht="16.5" hidden="1">
      <c r="E6002" s="4" t="str">
        <v/>
      </c>
      <c r="F6002" s="102" t="str">
        <f ca="1">IFERROR(__xludf.DUMMYFUNCTION("IMPORTRANGE(H6002,""IDENTITAS UNIT!D9"")"),"#N/A")</f>
        <v>#N/A</v>
      </c>
      <c r="H6002" s="4" t="str">
        <v/>
      </c>
      <c r="I6002" s="4" t="str">
        <v/>
      </c>
    </row>
    <row r="6003" spans="5:9" ht="16.5" hidden="1">
      <c r="E6003" s="4" t="str">
        <v/>
      </c>
      <c r="F6003" s="102" t="str">
        <f ca="1">IFERROR(__xludf.DUMMYFUNCTION("IMPORTRANGE(H6003,""IDENTITAS UNIT!D9"")"),"#N/A")</f>
        <v>#N/A</v>
      </c>
      <c r="H6003" s="4" t="str">
        <v/>
      </c>
      <c r="I6003" s="4" t="str">
        <v/>
      </c>
    </row>
    <row r="6004" spans="5:9" ht="16.5" hidden="1">
      <c r="E6004" s="4" t="str">
        <v/>
      </c>
      <c r="F6004" s="102" t="str">
        <f ca="1">IFERROR(__xludf.DUMMYFUNCTION("IMPORTRANGE(H6004,""IDENTITAS UNIT!D9"")"),"#N/A")</f>
        <v>#N/A</v>
      </c>
      <c r="H6004" s="4" t="str">
        <v/>
      </c>
      <c r="I6004" s="4" t="str">
        <v/>
      </c>
    </row>
    <row r="6005" spans="5:9" ht="16.5" hidden="1">
      <c r="E6005" s="4" t="str">
        <v/>
      </c>
      <c r="F6005" s="102" t="str">
        <f ca="1">IFERROR(__xludf.DUMMYFUNCTION("IMPORTRANGE(H6005,""IDENTITAS UNIT!D9"")"),"#N/A")</f>
        <v>#N/A</v>
      </c>
      <c r="H6005" s="4" t="str">
        <v/>
      </c>
      <c r="I6005" s="4" t="str">
        <v/>
      </c>
    </row>
    <row r="6006" spans="5:9" ht="16.5" hidden="1">
      <c r="E6006" s="4" t="str">
        <v/>
      </c>
      <c r="F6006" s="102" t="str">
        <f ca="1">IFERROR(__xludf.DUMMYFUNCTION("IMPORTRANGE(H6006,""IDENTITAS UNIT!D9"")"),"#N/A")</f>
        <v>#N/A</v>
      </c>
      <c r="H6006" s="4" t="str">
        <v/>
      </c>
      <c r="I6006" s="4" t="str">
        <v/>
      </c>
    </row>
    <row r="6007" spans="5:9" ht="16.5" hidden="1">
      <c r="E6007" s="4" t="str">
        <v/>
      </c>
      <c r="F6007" s="102" t="str">
        <f ca="1">IFERROR(__xludf.DUMMYFUNCTION("IMPORTRANGE(H6007,""IDENTITAS UNIT!D9"")"),"#N/A")</f>
        <v>#N/A</v>
      </c>
      <c r="H6007" s="4" t="str">
        <v/>
      </c>
      <c r="I6007" s="4" t="str">
        <v/>
      </c>
    </row>
    <row r="6008" spans="5:9" ht="16.5" hidden="1">
      <c r="E6008" s="4" t="str">
        <v/>
      </c>
      <c r="F6008" s="102" t="str">
        <f ca="1">IFERROR(__xludf.DUMMYFUNCTION("IMPORTRANGE(H6008,""IDENTITAS UNIT!D9"")"),"#N/A")</f>
        <v>#N/A</v>
      </c>
      <c r="H6008" s="4" t="str">
        <v/>
      </c>
      <c r="I6008" s="4" t="str">
        <v/>
      </c>
    </row>
    <row r="6009" spans="5:9" ht="16.5" hidden="1">
      <c r="E6009" s="4" t="str">
        <v/>
      </c>
      <c r="F6009" s="102" t="str">
        <f ca="1">IFERROR(__xludf.DUMMYFUNCTION("IMPORTRANGE(H6009,""IDENTITAS UNIT!D9"")"),"#N/A")</f>
        <v>#N/A</v>
      </c>
      <c r="H6009" s="4" t="str">
        <v/>
      </c>
      <c r="I6009" s="4" t="str">
        <v/>
      </c>
    </row>
    <row r="6010" spans="5:9" ht="16.5" hidden="1">
      <c r="E6010" s="4" t="str">
        <v/>
      </c>
      <c r="F6010" s="102" t="str">
        <f ca="1">IFERROR(__xludf.DUMMYFUNCTION("IMPORTRANGE(H6010,""IDENTITAS UNIT!D9"")"),"#N/A")</f>
        <v>#N/A</v>
      </c>
      <c r="H6010" s="4" t="str">
        <v/>
      </c>
      <c r="I6010" s="4" t="str">
        <v/>
      </c>
    </row>
    <row r="6011" spans="5:9" ht="16.5" hidden="1">
      <c r="E6011" s="4" t="str">
        <v/>
      </c>
      <c r="F6011" s="102" t="str">
        <f ca="1">IFERROR(__xludf.DUMMYFUNCTION("IMPORTRANGE(H6011,""IDENTITAS UNIT!D9"")"),"#N/A")</f>
        <v>#N/A</v>
      </c>
      <c r="H6011" s="4" t="str">
        <v/>
      </c>
      <c r="I6011" s="4" t="str">
        <v/>
      </c>
    </row>
    <row r="6012" spans="5:9" ht="16.5" hidden="1">
      <c r="E6012" s="4" t="str">
        <v/>
      </c>
      <c r="F6012" s="102" t="str">
        <f ca="1">IFERROR(__xludf.DUMMYFUNCTION("IMPORTRANGE(H6012,""IDENTITAS UNIT!D9"")"),"#N/A")</f>
        <v>#N/A</v>
      </c>
      <c r="H6012" s="4" t="str">
        <v/>
      </c>
      <c r="I6012" s="4" t="str">
        <v/>
      </c>
    </row>
    <row r="6013" spans="5:9" ht="16.5" hidden="1">
      <c r="E6013" s="4" t="str">
        <v/>
      </c>
      <c r="F6013" s="102" t="str">
        <f ca="1">IFERROR(__xludf.DUMMYFUNCTION("IMPORTRANGE(H6013,""IDENTITAS UNIT!D9"")"),"#N/A")</f>
        <v>#N/A</v>
      </c>
      <c r="H6013" s="4" t="str">
        <v/>
      </c>
      <c r="I6013" s="4" t="str">
        <v/>
      </c>
    </row>
    <row r="6014" spans="5:9" ht="16.5" hidden="1">
      <c r="E6014" s="4" t="str">
        <v/>
      </c>
      <c r="F6014" s="102" t="str">
        <f ca="1">IFERROR(__xludf.DUMMYFUNCTION("IMPORTRANGE(H6014,""IDENTITAS UNIT!D9"")"),"#N/A")</f>
        <v>#N/A</v>
      </c>
      <c r="H6014" s="4" t="str">
        <v/>
      </c>
      <c r="I6014" s="4" t="str">
        <v/>
      </c>
    </row>
    <row r="6015" spans="5:9" ht="16.5" hidden="1">
      <c r="E6015" s="4" t="str">
        <v/>
      </c>
      <c r="F6015" s="102" t="str">
        <f ca="1">IFERROR(__xludf.DUMMYFUNCTION("IMPORTRANGE(H6015,""IDENTITAS UNIT!D9"")"),"#N/A")</f>
        <v>#N/A</v>
      </c>
      <c r="H6015" s="4" t="str">
        <v/>
      </c>
      <c r="I6015" s="4" t="str">
        <v/>
      </c>
    </row>
    <row r="6016" spans="5:9" ht="16.5" hidden="1">
      <c r="E6016" s="4" t="str">
        <v/>
      </c>
      <c r="F6016" s="102" t="str">
        <f ca="1">IFERROR(__xludf.DUMMYFUNCTION("IMPORTRANGE(H6016,""IDENTITAS UNIT!D9"")"),"#N/A")</f>
        <v>#N/A</v>
      </c>
      <c r="H6016" s="4" t="str">
        <v/>
      </c>
      <c r="I6016" s="4" t="str">
        <v/>
      </c>
    </row>
    <row r="6017" spans="5:9" ht="16.5" hidden="1">
      <c r="E6017" s="4" t="str">
        <v/>
      </c>
      <c r="F6017" s="102" t="str">
        <f ca="1">IFERROR(__xludf.DUMMYFUNCTION("IMPORTRANGE(H6017,""IDENTITAS UNIT!D9"")"),"#N/A")</f>
        <v>#N/A</v>
      </c>
      <c r="H6017" s="4" t="str">
        <v/>
      </c>
      <c r="I6017" s="4" t="str">
        <v/>
      </c>
    </row>
    <row r="6018" spans="5:9" ht="16.5" hidden="1">
      <c r="E6018" s="4" t="str">
        <v/>
      </c>
      <c r="F6018" s="102" t="str">
        <f ca="1">IFERROR(__xludf.DUMMYFUNCTION("IMPORTRANGE(H6018,""IDENTITAS UNIT!D9"")"),"#N/A")</f>
        <v>#N/A</v>
      </c>
      <c r="H6018" s="4" t="str">
        <v/>
      </c>
      <c r="I6018" s="4" t="str">
        <v/>
      </c>
    </row>
    <row r="6019" spans="5:9" ht="16.5" hidden="1">
      <c r="E6019" s="4" t="str">
        <v/>
      </c>
      <c r="F6019" s="102" t="str">
        <f ca="1">IFERROR(__xludf.DUMMYFUNCTION("IMPORTRANGE(H6019,""IDENTITAS UNIT!D9"")"),"#N/A")</f>
        <v>#N/A</v>
      </c>
      <c r="H6019" s="4" t="str">
        <v/>
      </c>
      <c r="I6019" s="4" t="str">
        <v/>
      </c>
    </row>
    <row r="6020" spans="5:9" ht="16.5" hidden="1">
      <c r="E6020" s="4" t="str">
        <v/>
      </c>
      <c r="F6020" s="102" t="str">
        <f ca="1">IFERROR(__xludf.DUMMYFUNCTION("IMPORTRANGE(H6020,""IDENTITAS UNIT!D9"")"),"#N/A")</f>
        <v>#N/A</v>
      </c>
      <c r="H6020" s="4" t="str">
        <v/>
      </c>
      <c r="I6020" s="4" t="str">
        <v/>
      </c>
    </row>
    <row r="6021" spans="5:9" ht="16.5" hidden="1">
      <c r="E6021" s="4" t="str">
        <v/>
      </c>
      <c r="F6021" s="102" t="str">
        <f ca="1">IFERROR(__xludf.DUMMYFUNCTION("IMPORTRANGE(H6021,""IDENTITAS UNIT!D9"")"),"#N/A")</f>
        <v>#N/A</v>
      </c>
      <c r="H6021" s="4" t="str">
        <v/>
      </c>
      <c r="I6021" s="4" t="str">
        <v/>
      </c>
    </row>
    <row r="6022" spans="5:9" ht="16.5" hidden="1">
      <c r="E6022" s="4" t="str">
        <v/>
      </c>
      <c r="F6022" s="102" t="str">
        <f ca="1">IFERROR(__xludf.DUMMYFUNCTION("IMPORTRANGE(H6022,""IDENTITAS UNIT!D9"")"),"#N/A")</f>
        <v>#N/A</v>
      </c>
      <c r="H6022" s="4" t="str">
        <v/>
      </c>
      <c r="I6022" s="4" t="str">
        <v/>
      </c>
    </row>
    <row r="6023" spans="5:9" ht="16.5" hidden="1">
      <c r="E6023" s="4" t="str">
        <v/>
      </c>
      <c r="F6023" s="102" t="str">
        <f ca="1">IFERROR(__xludf.DUMMYFUNCTION("IMPORTRANGE(H6023,""IDENTITAS UNIT!D9"")"),"#N/A")</f>
        <v>#N/A</v>
      </c>
      <c r="H6023" s="4" t="str">
        <v/>
      </c>
      <c r="I6023" s="4" t="str">
        <v/>
      </c>
    </row>
    <row r="6024" spans="5:9" ht="16.5" hidden="1">
      <c r="E6024" s="4" t="str">
        <v/>
      </c>
      <c r="F6024" s="102" t="str">
        <f ca="1">IFERROR(__xludf.DUMMYFUNCTION("IMPORTRANGE(H6024,""IDENTITAS UNIT!D9"")"),"#N/A")</f>
        <v>#N/A</v>
      </c>
      <c r="H6024" s="4" t="str">
        <v/>
      </c>
      <c r="I6024" s="4" t="str">
        <v/>
      </c>
    </row>
    <row r="6025" spans="5:9" ht="16.5" hidden="1">
      <c r="E6025" s="4" t="str">
        <v/>
      </c>
      <c r="F6025" s="102" t="str">
        <f ca="1">IFERROR(__xludf.DUMMYFUNCTION("IMPORTRANGE(H6025,""IDENTITAS UNIT!D9"")"),"#N/A")</f>
        <v>#N/A</v>
      </c>
      <c r="H6025" s="4" t="str">
        <v/>
      </c>
      <c r="I6025" s="4" t="str">
        <v/>
      </c>
    </row>
    <row r="6026" spans="5:9" ht="16.5" hidden="1">
      <c r="E6026" s="4" t="str">
        <v/>
      </c>
      <c r="F6026" s="102" t="str">
        <f ca="1">IFERROR(__xludf.DUMMYFUNCTION("IMPORTRANGE(H6026,""IDENTITAS UNIT!D9"")"),"#N/A")</f>
        <v>#N/A</v>
      </c>
      <c r="H6026" s="4" t="str">
        <v/>
      </c>
      <c r="I6026" s="4" t="str">
        <v/>
      </c>
    </row>
    <row r="6027" spans="5:9" ht="16.5" hidden="1">
      <c r="E6027" s="4" t="str">
        <v/>
      </c>
      <c r="F6027" s="102" t="str">
        <f ca="1">IFERROR(__xludf.DUMMYFUNCTION("IMPORTRANGE(H6027,""IDENTITAS UNIT!D9"")"),"#N/A")</f>
        <v>#N/A</v>
      </c>
      <c r="H6027" s="4" t="str">
        <v/>
      </c>
      <c r="I6027" s="4" t="str">
        <v/>
      </c>
    </row>
    <row r="6028" spans="5:9" ht="16.5" hidden="1">
      <c r="E6028" s="4" t="str">
        <v/>
      </c>
      <c r="F6028" s="102" t="str">
        <f ca="1">IFERROR(__xludf.DUMMYFUNCTION("IMPORTRANGE(H6028,""IDENTITAS UNIT!D9"")"),"#N/A")</f>
        <v>#N/A</v>
      </c>
      <c r="H6028" s="4" t="str">
        <v/>
      </c>
      <c r="I6028" s="4" t="str">
        <v/>
      </c>
    </row>
    <row r="6029" spans="5:9" ht="16.5" hidden="1">
      <c r="E6029" s="4" t="str">
        <v/>
      </c>
      <c r="F6029" s="102" t="str">
        <f ca="1">IFERROR(__xludf.DUMMYFUNCTION("IMPORTRANGE(H6029,""IDENTITAS UNIT!D9"")"),"#N/A")</f>
        <v>#N/A</v>
      </c>
      <c r="H6029" s="4" t="str">
        <v/>
      </c>
      <c r="I6029" s="4" t="str">
        <v/>
      </c>
    </row>
    <row r="6030" spans="5:9" ht="16.5" hidden="1">
      <c r="E6030" s="4" t="str">
        <v/>
      </c>
      <c r="F6030" s="102" t="str">
        <f ca="1">IFERROR(__xludf.DUMMYFUNCTION("IMPORTRANGE(H6030,""IDENTITAS UNIT!D9"")"),"#N/A")</f>
        <v>#N/A</v>
      </c>
      <c r="H6030" s="4" t="str">
        <v/>
      </c>
      <c r="I6030" s="4" t="str">
        <v/>
      </c>
    </row>
    <row r="6031" spans="5:9" ht="16.5" hidden="1">
      <c r="E6031" s="4" t="str">
        <v/>
      </c>
      <c r="F6031" s="102" t="str">
        <f ca="1">IFERROR(__xludf.DUMMYFUNCTION("IMPORTRANGE(H6031,""IDENTITAS UNIT!D9"")"),"#N/A")</f>
        <v>#N/A</v>
      </c>
      <c r="H6031" s="4" t="str">
        <v/>
      </c>
      <c r="I6031" s="4" t="str">
        <v/>
      </c>
    </row>
    <row r="6032" spans="5:9" ht="16.5" hidden="1">
      <c r="E6032" s="4" t="str">
        <v/>
      </c>
      <c r="F6032" s="102" t="str">
        <f ca="1">IFERROR(__xludf.DUMMYFUNCTION("IMPORTRANGE(H6032,""IDENTITAS UNIT!D9"")"),"#N/A")</f>
        <v>#N/A</v>
      </c>
      <c r="H6032" s="4" t="str">
        <v/>
      </c>
      <c r="I6032" s="4" t="str">
        <v/>
      </c>
    </row>
    <row r="6033" spans="5:9" ht="16.5" hidden="1">
      <c r="E6033" s="4" t="str">
        <v/>
      </c>
      <c r="F6033" s="102" t="str">
        <f ca="1">IFERROR(__xludf.DUMMYFUNCTION("IMPORTRANGE(H6033,""IDENTITAS UNIT!D9"")"),"#N/A")</f>
        <v>#N/A</v>
      </c>
      <c r="H6033" s="4" t="str">
        <v/>
      </c>
      <c r="I6033" s="4" t="str">
        <v/>
      </c>
    </row>
    <row r="6034" spans="5:9" ht="16.5" hidden="1">
      <c r="E6034" s="4" t="str">
        <v/>
      </c>
      <c r="F6034" s="102" t="str">
        <f ca="1">IFERROR(__xludf.DUMMYFUNCTION("IMPORTRANGE(H6034,""IDENTITAS UNIT!D9"")"),"#N/A")</f>
        <v>#N/A</v>
      </c>
      <c r="H6034" s="4" t="str">
        <v/>
      </c>
      <c r="I6034" s="4" t="str">
        <v/>
      </c>
    </row>
    <row r="6035" spans="5:9" ht="16.5" hidden="1">
      <c r="E6035" s="4" t="str">
        <v/>
      </c>
      <c r="F6035" s="102" t="str">
        <f ca="1">IFERROR(__xludf.DUMMYFUNCTION("IMPORTRANGE(H6035,""IDENTITAS UNIT!D9"")"),"#N/A")</f>
        <v>#N/A</v>
      </c>
      <c r="H6035" s="4" t="str">
        <v/>
      </c>
      <c r="I6035" s="4" t="str">
        <v/>
      </c>
    </row>
    <row r="6036" spans="5:9" ht="16.5" hidden="1">
      <c r="E6036" s="4" t="str">
        <v/>
      </c>
      <c r="F6036" s="102" t="str">
        <f ca="1">IFERROR(__xludf.DUMMYFUNCTION("IMPORTRANGE(H6036,""IDENTITAS UNIT!D9"")"),"#N/A")</f>
        <v>#N/A</v>
      </c>
      <c r="H6036" s="4" t="str">
        <v/>
      </c>
      <c r="I6036" s="4" t="str">
        <v/>
      </c>
    </row>
    <row r="6037" spans="5:9" ht="16.5" hidden="1">
      <c r="E6037" s="4" t="str">
        <v/>
      </c>
      <c r="F6037" s="102" t="str">
        <f ca="1">IFERROR(__xludf.DUMMYFUNCTION("IMPORTRANGE(H6037,""IDENTITAS UNIT!D9"")"),"#N/A")</f>
        <v>#N/A</v>
      </c>
      <c r="H6037" s="4" t="str">
        <v/>
      </c>
      <c r="I6037" s="4" t="str">
        <v/>
      </c>
    </row>
    <row r="6038" spans="5:9" ht="16.5" hidden="1">
      <c r="E6038" s="4" t="str">
        <v/>
      </c>
      <c r="F6038" s="102" t="str">
        <f ca="1">IFERROR(__xludf.DUMMYFUNCTION("IMPORTRANGE(H6038,""IDENTITAS UNIT!D9"")"),"#N/A")</f>
        <v>#N/A</v>
      </c>
      <c r="H6038" s="4" t="str">
        <v/>
      </c>
      <c r="I6038" s="4" t="str">
        <v/>
      </c>
    </row>
    <row r="6039" spans="5:9" ht="16.5" hidden="1">
      <c r="E6039" s="4" t="str">
        <v/>
      </c>
      <c r="F6039" s="102" t="str">
        <f ca="1">IFERROR(__xludf.DUMMYFUNCTION("IMPORTRANGE(H6039,""IDENTITAS UNIT!D9"")"),"#N/A")</f>
        <v>#N/A</v>
      </c>
      <c r="H6039" s="4" t="str">
        <v/>
      </c>
      <c r="I6039" s="4" t="str">
        <v/>
      </c>
    </row>
    <row r="6040" spans="5:9" ht="16.5" hidden="1">
      <c r="E6040" s="4" t="str">
        <v/>
      </c>
      <c r="F6040" s="102" t="str">
        <f ca="1">IFERROR(__xludf.DUMMYFUNCTION("IMPORTRANGE(H6040,""IDENTITAS UNIT!D9"")"),"#N/A")</f>
        <v>#N/A</v>
      </c>
      <c r="H6040" s="4" t="str">
        <v/>
      </c>
      <c r="I6040" s="4" t="str">
        <v/>
      </c>
    </row>
    <row r="6041" spans="5:9" ht="16.5" hidden="1">
      <c r="E6041" s="4" t="str">
        <v/>
      </c>
      <c r="F6041" s="102" t="str">
        <f ca="1">IFERROR(__xludf.DUMMYFUNCTION("IMPORTRANGE(H6041,""IDENTITAS UNIT!D9"")"),"#N/A")</f>
        <v>#N/A</v>
      </c>
      <c r="H6041" s="4" t="str">
        <v/>
      </c>
      <c r="I6041" s="4" t="str">
        <v/>
      </c>
    </row>
    <row r="6042" spans="5:9" ht="16.5" hidden="1">
      <c r="E6042" s="4" t="str">
        <v/>
      </c>
      <c r="F6042" s="102" t="str">
        <f ca="1">IFERROR(__xludf.DUMMYFUNCTION("IMPORTRANGE(H6042,""IDENTITAS UNIT!D9"")"),"#N/A")</f>
        <v>#N/A</v>
      </c>
      <c r="H6042" s="4" t="str">
        <v/>
      </c>
      <c r="I6042" s="4" t="str">
        <v/>
      </c>
    </row>
    <row r="6043" spans="5:9" ht="16.5" hidden="1">
      <c r="E6043" s="4" t="str">
        <v/>
      </c>
      <c r="F6043" s="102" t="str">
        <f ca="1">IFERROR(__xludf.DUMMYFUNCTION("IMPORTRANGE(H6043,""IDENTITAS UNIT!D9"")"),"#N/A")</f>
        <v>#N/A</v>
      </c>
      <c r="H6043" s="4" t="str">
        <v/>
      </c>
      <c r="I6043" s="4" t="str">
        <v/>
      </c>
    </row>
    <row r="6044" spans="5:9" ht="16.5" hidden="1">
      <c r="E6044" s="4" t="str">
        <v/>
      </c>
      <c r="F6044" s="102" t="str">
        <f ca="1">IFERROR(__xludf.DUMMYFUNCTION("IMPORTRANGE(H6044,""IDENTITAS UNIT!D9"")"),"#N/A")</f>
        <v>#N/A</v>
      </c>
      <c r="H6044" s="4" t="str">
        <v/>
      </c>
      <c r="I6044" s="4" t="str">
        <v/>
      </c>
    </row>
    <row r="6045" spans="5:9" ht="16.5" hidden="1">
      <c r="E6045" s="4" t="str">
        <v/>
      </c>
      <c r="F6045" s="102" t="str">
        <f ca="1">IFERROR(__xludf.DUMMYFUNCTION("IMPORTRANGE(H6045,""IDENTITAS UNIT!D9"")"),"#N/A")</f>
        <v>#N/A</v>
      </c>
      <c r="H6045" s="4" t="str">
        <v/>
      </c>
      <c r="I6045" s="4" t="str">
        <v/>
      </c>
    </row>
    <row r="6046" spans="5:9" ht="16.5" hidden="1">
      <c r="E6046" s="4" t="str">
        <v/>
      </c>
      <c r="F6046" s="102" t="str">
        <f ca="1">IFERROR(__xludf.DUMMYFUNCTION("IMPORTRANGE(H6046,""IDENTITAS UNIT!D9"")"),"#N/A")</f>
        <v>#N/A</v>
      </c>
      <c r="H6046" s="4" t="str">
        <v/>
      </c>
      <c r="I6046" s="4" t="str">
        <v/>
      </c>
    </row>
    <row r="6047" spans="5:9" ht="16.5" hidden="1">
      <c r="E6047" s="4" t="str">
        <v/>
      </c>
      <c r="F6047" s="102" t="str">
        <f ca="1">IFERROR(__xludf.DUMMYFUNCTION("IMPORTRANGE(H6047,""IDENTITAS UNIT!D9"")"),"#N/A")</f>
        <v>#N/A</v>
      </c>
      <c r="H6047" s="4" t="str">
        <v/>
      </c>
      <c r="I6047" s="4" t="str">
        <v/>
      </c>
    </row>
    <row r="6048" spans="5:9" ht="16.5" hidden="1">
      <c r="E6048" s="4" t="str">
        <v/>
      </c>
      <c r="F6048" s="102" t="str">
        <f ca="1">IFERROR(__xludf.DUMMYFUNCTION("IMPORTRANGE(H6048,""IDENTITAS UNIT!D9"")"),"#N/A")</f>
        <v>#N/A</v>
      </c>
      <c r="H6048" s="4" t="str">
        <v/>
      </c>
      <c r="I6048" s="4" t="str">
        <v/>
      </c>
    </row>
    <row r="6049" spans="5:9" ht="16.5" hidden="1">
      <c r="E6049" s="4" t="str">
        <v/>
      </c>
      <c r="F6049" s="102" t="str">
        <f ca="1">IFERROR(__xludf.DUMMYFUNCTION("IMPORTRANGE(H6049,""IDENTITAS UNIT!D9"")"),"#N/A")</f>
        <v>#N/A</v>
      </c>
      <c r="H6049" s="4" t="str">
        <v/>
      </c>
      <c r="I6049" s="4" t="str">
        <v/>
      </c>
    </row>
    <row r="6050" spans="5:9" ht="16.5" hidden="1">
      <c r="E6050" s="4" t="str">
        <v/>
      </c>
      <c r="F6050" s="102" t="str">
        <f ca="1">IFERROR(__xludf.DUMMYFUNCTION("IMPORTRANGE(H6050,""IDENTITAS UNIT!D9"")"),"#N/A")</f>
        <v>#N/A</v>
      </c>
      <c r="H6050" s="4" t="str">
        <v/>
      </c>
      <c r="I6050" s="4" t="str">
        <v/>
      </c>
    </row>
    <row r="6051" spans="5:9" ht="16.5" hidden="1">
      <c r="E6051" s="4" t="str">
        <v/>
      </c>
      <c r="F6051" s="102" t="str">
        <f ca="1">IFERROR(__xludf.DUMMYFUNCTION("IMPORTRANGE(H6051,""IDENTITAS UNIT!D9"")"),"#N/A")</f>
        <v>#N/A</v>
      </c>
      <c r="H6051" s="4" t="str">
        <v/>
      </c>
      <c r="I6051" s="4" t="str">
        <v/>
      </c>
    </row>
    <row r="6052" spans="5:9" ht="16.5" hidden="1">
      <c r="E6052" s="4" t="str">
        <v/>
      </c>
      <c r="F6052" s="102" t="str">
        <f ca="1">IFERROR(__xludf.DUMMYFUNCTION("IMPORTRANGE(H6052,""IDENTITAS UNIT!D9"")"),"#N/A")</f>
        <v>#N/A</v>
      </c>
      <c r="H6052" s="4" t="str">
        <v/>
      </c>
      <c r="I6052" s="4" t="str">
        <v/>
      </c>
    </row>
    <row r="6053" spans="5:9" ht="16.5" hidden="1">
      <c r="E6053" s="4" t="str">
        <v/>
      </c>
      <c r="F6053" s="102" t="str">
        <f ca="1">IFERROR(__xludf.DUMMYFUNCTION("IMPORTRANGE(H6053,""IDENTITAS UNIT!D9"")"),"#N/A")</f>
        <v>#N/A</v>
      </c>
      <c r="H6053" s="4" t="str">
        <v/>
      </c>
      <c r="I6053" s="4" t="str">
        <v/>
      </c>
    </row>
    <row r="6054" spans="5:9" ht="16.5" hidden="1">
      <c r="E6054" s="4" t="str">
        <v/>
      </c>
      <c r="F6054" s="102" t="str">
        <f ca="1">IFERROR(__xludf.DUMMYFUNCTION("IMPORTRANGE(H6054,""IDENTITAS UNIT!D9"")"),"#N/A")</f>
        <v>#N/A</v>
      </c>
      <c r="H6054" s="4" t="str">
        <v/>
      </c>
      <c r="I6054" s="4" t="str">
        <v/>
      </c>
    </row>
    <row r="6055" spans="5:9" ht="16.5" hidden="1">
      <c r="E6055" s="4" t="str">
        <v/>
      </c>
      <c r="F6055" s="102" t="str">
        <f ca="1">IFERROR(__xludf.DUMMYFUNCTION("IMPORTRANGE(H6055,""IDENTITAS UNIT!D9"")"),"#N/A")</f>
        <v>#N/A</v>
      </c>
      <c r="H6055" s="4" t="str">
        <v/>
      </c>
      <c r="I6055" s="4" t="str">
        <v/>
      </c>
    </row>
    <row r="6056" spans="5:9" ht="16.5" hidden="1">
      <c r="E6056" s="4" t="str">
        <v/>
      </c>
      <c r="F6056" s="102" t="str">
        <f ca="1">IFERROR(__xludf.DUMMYFUNCTION("IMPORTRANGE(H6056,""IDENTITAS UNIT!D9"")"),"#N/A")</f>
        <v>#N/A</v>
      </c>
      <c r="H6056" s="4" t="str">
        <v/>
      </c>
      <c r="I6056" s="4" t="str">
        <v/>
      </c>
    </row>
    <row r="6057" spans="5:9" ht="16.5" hidden="1">
      <c r="E6057" s="4" t="str">
        <v/>
      </c>
      <c r="F6057" s="102" t="str">
        <f ca="1">IFERROR(__xludf.DUMMYFUNCTION("IMPORTRANGE(H6057,""IDENTITAS UNIT!D9"")"),"#N/A")</f>
        <v>#N/A</v>
      </c>
      <c r="H6057" s="4" t="str">
        <v/>
      </c>
      <c r="I6057" s="4" t="str">
        <v/>
      </c>
    </row>
    <row r="6058" spans="5:9" ht="16.5" hidden="1">
      <c r="E6058" s="4" t="str">
        <v/>
      </c>
      <c r="F6058" s="102" t="str">
        <f ca="1">IFERROR(__xludf.DUMMYFUNCTION("IMPORTRANGE(H6058,""IDENTITAS UNIT!D9"")"),"#N/A")</f>
        <v>#N/A</v>
      </c>
      <c r="H6058" s="4" t="str">
        <v/>
      </c>
      <c r="I6058" s="4" t="str">
        <v/>
      </c>
    </row>
    <row r="6059" spans="5:9" ht="16.5" hidden="1">
      <c r="E6059" s="4" t="str">
        <v/>
      </c>
      <c r="F6059" s="102" t="str">
        <f ca="1">IFERROR(__xludf.DUMMYFUNCTION("IMPORTRANGE(H6059,""IDENTITAS UNIT!D9"")"),"#N/A")</f>
        <v>#N/A</v>
      </c>
      <c r="H6059" s="4" t="str">
        <v/>
      </c>
      <c r="I6059" s="4" t="str">
        <v/>
      </c>
    </row>
    <row r="6060" spans="5:9" ht="16.5" hidden="1">
      <c r="E6060" s="4" t="str">
        <v/>
      </c>
      <c r="F6060" s="102" t="str">
        <f ca="1">IFERROR(__xludf.DUMMYFUNCTION("IMPORTRANGE(H6060,""IDENTITAS UNIT!D9"")"),"#N/A")</f>
        <v>#N/A</v>
      </c>
      <c r="H6060" s="4" t="str">
        <v/>
      </c>
      <c r="I6060" s="4" t="str">
        <v/>
      </c>
    </row>
    <row r="6061" spans="5:9" ht="16.5" hidden="1">
      <c r="E6061" s="4" t="str">
        <v/>
      </c>
      <c r="F6061" s="102" t="str">
        <f ca="1">IFERROR(__xludf.DUMMYFUNCTION("IMPORTRANGE(H6061,""IDENTITAS UNIT!D9"")"),"#N/A")</f>
        <v>#N/A</v>
      </c>
      <c r="H6061" s="4" t="str">
        <v/>
      </c>
      <c r="I6061" s="4" t="str">
        <v/>
      </c>
    </row>
    <row r="6062" spans="5:9" ht="16.5" hidden="1">
      <c r="E6062" s="4" t="str">
        <v/>
      </c>
      <c r="F6062" s="102" t="str">
        <f ca="1">IFERROR(__xludf.DUMMYFUNCTION("IMPORTRANGE(H6062,""IDENTITAS UNIT!D9"")"),"#N/A")</f>
        <v>#N/A</v>
      </c>
      <c r="H6062" s="4" t="str">
        <v/>
      </c>
      <c r="I6062" s="4" t="str">
        <v/>
      </c>
    </row>
    <row r="6063" spans="5:9" ht="16.5" hidden="1">
      <c r="E6063" s="4" t="str">
        <v/>
      </c>
      <c r="F6063" s="102" t="str">
        <f ca="1">IFERROR(__xludf.DUMMYFUNCTION("IMPORTRANGE(H6063,""IDENTITAS UNIT!D9"")"),"#N/A")</f>
        <v>#N/A</v>
      </c>
      <c r="H6063" s="4" t="str">
        <v/>
      </c>
      <c r="I6063" s="4" t="str">
        <v/>
      </c>
    </row>
    <row r="6064" spans="5:9" ht="16.5" hidden="1">
      <c r="E6064" s="4" t="str">
        <v/>
      </c>
      <c r="F6064" s="102" t="str">
        <f ca="1">IFERROR(__xludf.DUMMYFUNCTION("IMPORTRANGE(H6064,""IDENTITAS UNIT!D9"")"),"#N/A")</f>
        <v>#N/A</v>
      </c>
      <c r="H6064" s="4" t="str">
        <v/>
      </c>
      <c r="I6064" s="4" t="str">
        <v/>
      </c>
    </row>
    <row r="6065" spans="5:9" ht="16.5" hidden="1">
      <c r="E6065" s="4" t="str">
        <v/>
      </c>
      <c r="F6065" s="102" t="str">
        <f ca="1">IFERROR(__xludf.DUMMYFUNCTION("IMPORTRANGE(H6065,""IDENTITAS UNIT!D9"")"),"#N/A")</f>
        <v>#N/A</v>
      </c>
      <c r="H6065" s="4" t="str">
        <v/>
      </c>
      <c r="I6065" s="4" t="str">
        <v/>
      </c>
    </row>
    <row r="6066" spans="5:9" ht="16.5" hidden="1">
      <c r="E6066" s="4" t="str">
        <v/>
      </c>
      <c r="F6066" s="102" t="str">
        <f ca="1">IFERROR(__xludf.DUMMYFUNCTION("IMPORTRANGE(H6066,""IDENTITAS UNIT!D9"")"),"#N/A")</f>
        <v>#N/A</v>
      </c>
      <c r="H6066" s="4" t="str">
        <v/>
      </c>
      <c r="I6066" s="4" t="str">
        <v/>
      </c>
    </row>
    <row r="6067" spans="5:9" ht="16.5" hidden="1">
      <c r="E6067" s="4" t="str">
        <v/>
      </c>
      <c r="F6067" s="102" t="str">
        <f ca="1">IFERROR(__xludf.DUMMYFUNCTION("IMPORTRANGE(H6067,""IDENTITAS UNIT!D9"")"),"#N/A")</f>
        <v>#N/A</v>
      </c>
      <c r="H6067" s="4" t="str">
        <v/>
      </c>
      <c r="I6067" s="4" t="str">
        <v/>
      </c>
    </row>
    <row r="6068" spans="5:9" ht="16.5" hidden="1">
      <c r="E6068" s="4" t="str">
        <v/>
      </c>
      <c r="F6068" s="102" t="str">
        <f ca="1">IFERROR(__xludf.DUMMYFUNCTION("IMPORTRANGE(H6068,""IDENTITAS UNIT!D9"")"),"#N/A")</f>
        <v>#N/A</v>
      </c>
      <c r="H6068" s="4" t="str">
        <v/>
      </c>
      <c r="I6068" s="4" t="str">
        <v/>
      </c>
    </row>
    <row r="6069" spans="5:9" ht="16.5" hidden="1">
      <c r="E6069" s="4" t="str">
        <v/>
      </c>
      <c r="F6069" s="102" t="str">
        <f ca="1">IFERROR(__xludf.DUMMYFUNCTION("IMPORTRANGE(H6069,""IDENTITAS UNIT!D9"")"),"#N/A")</f>
        <v>#N/A</v>
      </c>
      <c r="H6069" s="4" t="str">
        <v/>
      </c>
      <c r="I6069" s="4" t="str">
        <v/>
      </c>
    </row>
    <row r="6070" spans="5:9" ht="16.5" hidden="1">
      <c r="E6070" s="4" t="str">
        <v/>
      </c>
      <c r="F6070" s="102" t="str">
        <f ca="1">IFERROR(__xludf.DUMMYFUNCTION("IMPORTRANGE(H6070,""IDENTITAS UNIT!D9"")"),"#N/A")</f>
        <v>#N/A</v>
      </c>
      <c r="H6070" s="4" t="str">
        <v/>
      </c>
      <c r="I6070" s="4" t="str">
        <v/>
      </c>
    </row>
    <row r="6071" spans="5:9" ht="16.5" hidden="1">
      <c r="E6071" s="4" t="str">
        <v/>
      </c>
      <c r="F6071" s="102" t="str">
        <f ca="1">IFERROR(__xludf.DUMMYFUNCTION("IMPORTRANGE(H6071,""IDENTITAS UNIT!D9"")"),"#N/A")</f>
        <v>#N/A</v>
      </c>
      <c r="H6071" s="4" t="str">
        <v/>
      </c>
      <c r="I6071" s="4" t="str">
        <v/>
      </c>
    </row>
    <row r="6072" spans="5:9" ht="16.5" hidden="1">
      <c r="E6072" s="4" t="str">
        <v/>
      </c>
      <c r="F6072" s="102" t="str">
        <f ca="1">IFERROR(__xludf.DUMMYFUNCTION("IMPORTRANGE(H6072,""IDENTITAS UNIT!D9"")"),"#N/A")</f>
        <v>#N/A</v>
      </c>
      <c r="H6072" s="4" t="str">
        <v/>
      </c>
      <c r="I6072" s="4" t="str">
        <v/>
      </c>
    </row>
    <row r="6073" spans="5:9" ht="16.5" hidden="1">
      <c r="E6073" s="4" t="str">
        <v/>
      </c>
      <c r="F6073" s="102" t="str">
        <f ca="1">IFERROR(__xludf.DUMMYFUNCTION("IMPORTRANGE(H6073,""IDENTITAS UNIT!D9"")"),"#N/A")</f>
        <v>#N/A</v>
      </c>
      <c r="H6073" s="4" t="str">
        <v/>
      </c>
      <c r="I6073" s="4" t="str">
        <v/>
      </c>
    </row>
    <row r="6074" spans="5:9" ht="16.5" hidden="1">
      <c r="E6074" s="4" t="str">
        <v/>
      </c>
      <c r="F6074" s="102" t="str">
        <f ca="1">IFERROR(__xludf.DUMMYFUNCTION("IMPORTRANGE(H6074,""IDENTITAS UNIT!D9"")"),"#N/A")</f>
        <v>#N/A</v>
      </c>
      <c r="H6074" s="4" t="str">
        <v/>
      </c>
      <c r="I6074" s="4" t="str">
        <v/>
      </c>
    </row>
    <row r="6075" spans="5:9" ht="16.5" hidden="1">
      <c r="E6075" s="4" t="str">
        <v/>
      </c>
      <c r="F6075" s="102" t="str">
        <f ca="1">IFERROR(__xludf.DUMMYFUNCTION("IMPORTRANGE(H6075,""IDENTITAS UNIT!D9"")"),"#N/A")</f>
        <v>#N/A</v>
      </c>
      <c r="H6075" s="4" t="str">
        <v/>
      </c>
      <c r="I6075" s="4" t="str">
        <v/>
      </c>
    </row>
    <row r="6076" spans="5:9" ht="16.5" hidden="1">
      <c r="E6076" s="4" t="str">
        <v/>
      </c>
      <c r="F6076" s="102" t="str">
        <f ca="1">IFERROR(__xludf.DUMMYFUNCTION("IMPORTRANGE(H6076,""IDENTITAS UNIT!D9"")"),"#N/A")</f>
        <v>#N/A</v>
      </c>
      <c r="H6076" s="4" t="str">
        <v/>
      </c>
      <c r="I6076" s="4" t="str">
        <v/>
      </c>
    </row>
    <row r="6077" spans="5:9" ht="16.5" hidden="1">
      <c r="E6077" s="4" t="str">
        <v/>
      </c>
      <c r="F6077" s="102" t="str">
        <f ca="1">IFERROR(__xludf.DUMMYFUNCTION("IMPORTRANGE(H6077,""IDENTITAS UNIT!D9"")"),"#N/A")</f>
        <v>#N/A</v>
      </c>
      <c r="H6077" s="4" t="str">
        <v/>
      </c>
      <c r="I6077" s="4" t="str">
        <v/>
      </c>
    </row>
    <row r="6078" spans="5:9" ht="16.5" hidden="1">
      <c r="E6078" s="4" t="str">
        <v/>
      </c>
      <c r="F6078" s="102" t="str">
        <f ca="1">IFERROR(__xludf.DUMMYFUNCTION("IMPORTRANGE(H6078,""IDENTITAS UNIT!D9"")"),"#N/A")</f>
        <v>#N/A</v>
      </c>
      <c r="H6078" s="4" t="str">
        <v/>
      </c>
      <c r="I6078" s="4" t="str">
        <v/>
      </c>
    </row>
    <row r="6079" spans="5:9" ht="16.5" hidden="1">
      <c r="E6079" s="4" t="str">
        <v/>
      </c>
      <c r="F6079" s="102" t="str">
        <f ca="1">IFERROR(__xludf.DUMMYFUNCTION("IMPORTRANGE(H6079,""IDENTITAS UNIT!D9"")"),"#N/A")</f>
        <v>#N/A</v>
      </c>
      <c r="H6079" s="4" t="str">
        <v/>
      </c>
      <c r="I6079" s="4" t="str">
        <v/>
      </c>
    </row>
    <row r="6080" spans="5:9" ht="16.5" hidden="1">
      <c r="E6080" s="4" t="str">
        <v/>
      </c>
      <c r="F6080" s="102" t="str">
        <f ca="1">IFERROR(__xludf.DUMMYFUNCTION("IMPORTRANGE(H6080,""IDENTITAS UNIT!D9"")"),"#N/A")</f>
        <v>#N/A</v>
      </c>
      <c r="H6080" s="4" t="str">
        <v/>
      </c>
      <c r="I6080" s="4" t="str">
        <v/>
      </c>
    </row>
    <row r="6081" spans="5:9" ht="16.5" hidden="1">
      <c r="E6081" s="4" t="str">
        <v/>
      </c>
      <c r="F6081" s="102" t="str">
        <f ca="1">IFERROR(__xludf.DUMMYFUNCTION("IMPORTRANGE(H6081,""IDENTITAS UNIT!D9"")"),"#N/A")</f>
        <v>#N/A</v>
      </c>
      <c r="H6081" s="4" t="str">
        <v/>
      </c>
      <c r="I6081" s="4" t="str">
        <v/>
      </c>
    </row>
    <row r="6082" spans="5:9" ht="16.5" hidden="1">
      <c r="E6082" s="4" t="str">
        <v/>
      </c>
      <c r="F6082" s="102" t="str">
        <f ca="1">IFERROR(__xludf.DUMMYFUNCTION("IMPORTRANGE(H6082,""IDENTITAS UNIT!D9"")"),"#N/A")</f>
        <v>#N/A</v>
      </c>
      <c r="H6082" s="4" t="str">
        <v/>
      </c>
      <c r="I6082" s="4" t="str">
        <v/>
      </c>
    </row>
    <row r="6083" spans="5:9" ht="16.5" hidden="1">
      <c r="E6083" s="4" t="str">
        <v/>
      </c>
      <c r="F6083" s="102" t="str">
        <f ca="1">IFERROR(__xludf.DUMMYFUNCTION("IMPORTRANGE(H6083,""IDENTITAS UNIT!D9"")"),"#N/A")</f>
        <v>#N/A</v>
      </c>
      <c r="H6083" s="4" t="str">
        <v/>
      </c>
      <c r="I6083" s="4" t="str">
        <v/>
      </c>
    </row>
    <row r="6084" spans="5:9" ht="16.5" hidden="1">
      <c r="E6084" s="4" t="str">
        <v/>
      </c>
      <c r="F6084" s="102" t="str">
        <f ca="1">IFERROR(__xludf.DUMMYFUNCTION("IMPORTRANGE(H6084,""IDENTITAS UNIT!D9"")"),"#N/A")</f>
        <v>#N/A</v>
      </c>
      <c r="H6084" s="4" t="str">
        <v/>
      </c>
      <c r="I6084" s="4" t="str">
        <v/>
      </c>
    </row>
    <row r="6085" spans="5:9" ht="16.5" hidden="1">
      <c r="E6085" s="4" t="str">
        <v/>
      </c>
      <c r="F6085" s="102" t="str">
        <f ca="1">IFERROR(__xludf.DUMMYFUNCTION("IMPORTRANGE(H6085,""IDENTITAS UNIT!D9"")"),"#N/A")</f>
        <v>#N/A</v>
      </c>
      <c r="H6085" s="4" t="str">
        <v/>
      </c>
      <c r="I6085" s="4" t="str">
        <v/>
      </c>
    </row>
    <row r="6086" spans="5:9" ht="16.5" hidden="1">
      <c r="E6086" s="4" t="str">
        <v/>
      </c>
      <c r="F6086" s="102" t="str">
        <f ca="1">IFERROR(__xludf.DUMMYFUNCTION("IMPORTRANGE(H6086,""IDENTITAS UNIT!D9"")"),"#N/A")</f>
        <v>#N/A</v>
      </c>
      <c r="H6086" s="4" t="str">
        <v/>
      </c>
      <c r="I6086" s="4" t="str">
        <v/>
      </c>
    </row>
    <row r="6087" spans="5:9" ht="16.5" hidden="1">
      <c r="E6087" s="4" t="str">
        <v/>
      </c>
      <c r="F6087" s="102" t="str">
        <f ca="1">IFERROR(__xludf.DUMMYFUNCTION("IMPORTRANGE(H6087,""IDENTITAS UNIT!D9"")"),"#N/A")</f>
        <v>#N/A</v>
      </c>
      <c r="H6087" s="4" t="str">
        <v/>
      </c>
      <c r="I6087" s="4" t="str">
        <v/>
      </c>
    </row>
    <row r="6088" spans="5:9" ht="16.5" hidden="1">
      <c r="E6088" s="4" t="str">
        <v/>
      </c>
      <c r="F6088" s="102" t="str">
        <f ca="1">IFERROR(__xludf.DUMMYFUNCTION("IMPORTRANGE(H6088,""IDENTITAS UNIT!D9"")"),"#N/A")</f>
        <v>#N/A</v>
      </c>
      <c r="H6088" s="4" t="str">
        <v/>
      </c>
      <c r="I6088" s="4" t="str">
        <v/>
      </c>
    </row>
    <row r="6089" spans="5:9" ht="16.5" hidden="1">
      <c r="E6089" s="4" t="str">
        <v/>
      </c>
      <c r="F6089" s="102" t="str">
        <f ca="1">IFERROR(__xludf.DUMMYFUNCTION("IMPORTRANGE(H6089,""IDENTITAS UNIT!D9"")"),"#N/A")</f>
        <v>#N/A</v>
      </c>
      <c r="H6089" s="4" t="str">
        <v/>
      </c>
      <c r="I6089" s="4" t="str">
        <v/>
      </c>
    </row>
    <row r="6090" spans="5:9" ht="16.5" hidden="1">
      <c r="E6090" s="4" t="str">
        <v/>
      </c>
      <c r="F6090" s="102" t="str">
        <f ca="1">IFERROR(__xludf.DUMMYFUNCTION("IMPORTRANGE(H6090,""IDENTITAS UNIT!D9"")"),"#N/A")</f>
        <v>#N/A</v>
      </c>
      <c r="H6090" s="4" t="str">
        <v/>
      </c>
      <c r="I6090" s="4" t="str">
        <v/>
      </c>
    </row>
    <row r="6091" spans="5:9" ht="16.5" hidden="1">
      <c r="E6091" s="4" t="str">
        <v/>
      </c>
      <c r="F6091" s="102" t="str">
        <f ca="1">IFERROR(__xludf.DUMMYFUNCTION("IMPORTRANGE(H6091,""IDENTITAS UNIT!D9"")"),"#N/A")</f>
        <v>#N/A</v>
      </c>
      <c r="H6091" s="4" t="str">
        <v/>
      </c>
      <c r="I6091" s="4" t="str">
        <v/>
      </c>
    </row>
    <row r="6092" spans="5:9" ht="16.5" hidden="1">
      <c r="E6092" s="4" t="str">
        <v/>
      </c>
      <c r="F6092" s="102" t="str">
        <f ca="1">IFERROR(__xludf.DUMMYFUNCTION("IMPORTRANGE(H6092,""IDENTITAS UNIT!D9"")"),"#N/A")</f>
        <v>#N/A</v>
      </c>
      <c r="H6092" s="4" t="str">
        <v/>
      </c>
      <c r="I6092" s="4" t="str">
        <v/>
      </c>
    </row>
    <row r="6093" spans="5:9" ht="16.5" hidden="1">
      <c r="E6093" s="4" t="str">
        <v/>
      </c>
      <c r="F6093" s="102" t="str">
        <f ca="1">IFERROR(__xludf.DUMMYFUNCTION("IMPORTRANGE(H6093,""IDENTITAS UNIT!D9"")"),"#N/A")</f>
        <v>#N/A</v>
      </c>
      <c r="H6093" s="4" t="str">
        <v/>
      </c>
      <c r="I6093" s="4" t="str">
        <v/>
      </c>
    </row>
    <row r="6094" spans="5:9" ht="16.5" hidden="1">
      <c r="E6094" s="4" t="str">
        <v/>
      </c>
      <c r="F6094" s="102" t="str">
        <f ca="1">IFERROR(__xludf.DUMMYFUNCTION("IMPORTRANGE(H6094,""IDENTITAS UNIT!D9"")"),"#N/A")</f>
        <v>#N/A</v>
      </c>
      <c r="H6094" s="4" t="str">
        <v/>
      </c>
      <c r="I6094" s="4" t="str">
        <v/>
      </c>
    </row>
    <row r="6095" spans="5:9" ht="16.5" hidden="1">
      <c r="E6095" s="4" t="str">
        <v/>
      </c>
      <c r="F6095" s="102" t="str">
        <f ca="1">IFERROR(__xludf.DUMMYFUNCTION("IMPORTRANGE(H6095,""IDENTITAS UNIT!D9"")"),"#N/A")</f>
        <v>#N/A</v>
      </c>
      <c r="H6095" s="4" t="str">
        <v/>
      </c>
      <c r="I6095" s="4" t="str">
        <v/>
      </c>
    </row>
    <row r="6096" spans="5:9" ht="16.5" hidden="1">
      <c r="E6096" s="4" t="str">
        <v/>
      </c>
      <c r="F6096" s="102" t="str">
        <f ca="1">IFERROR(__xludf.DUMMYFUNCTION("IMPORTRANGE(H6096,""IDENTITAS UNIT!D9"")"),"#N/A")</f>
        <v>#N/A</v>
      </c>
      <c r="H6096" s="4" t="str">
        <v/>
      </c>
      <c r="I6096" s="4" t="str">
        <v/>
      </c>
    </row>
    <row r="6097" spans="5:9" ht="16.5" hidden="1">
      <c r="E6097" s="4" t="str">
        <v/>
      </c>
      <c r="F6097" s="102" t="str">
        <f ca="1">IFERROR(__xludf.DUMMYFUNCTION("IMPORTRANGE(H6097,""IDENTITAS UNIT!D9"")"),"#N/A")</f>
        <v>#N/A</v>
      </c>
      <c r="H6097" s="4" t="str">
        <v/>
      </c>
      <c r="I6097" s="4" t="str">
        <v/>
      </c>
    </row>
    <row r="6098" spans="5:9" ht="16.5" hidden="1">
      <c r="E6098" s="4" t="str">
        <v/>
      </c>
      <c r="F6098" s="102" t="str">
        <f ca="1">IFERROR(__xludf.DUMMYFUNCTION("IMPORTRANGE(H6098,""IDENTITAS UNIT!D9"")"),"#N/A")</f>
        <v>#N/A</v>
      </c>
      <c r="H6098" s="4" t="str">
        <v/>
      </c>
      <c r="I6098" s="4" t="str">
        <v/>
      </c>
    </row>
    <row r="6099" spans="5:9" ht="16.5" hidden="1">
      <c r="E6099" s="4" t="str">
        <v/>
      </c>
      <c r="F6099" s="102" t="str">
        <f ca="1">IFERROR(__xludf.DUMMYFUNCTION("IMPORTRANGE(H6099,""IDENTITAS UNIT!D9"")"),"#N/A")</f>
        <v>#N/A</v>
      </c>
      <c r="H6099" s="4" t="str">
        <v/>
      </c>
      <c r="I6099" s="4" t="str">
        <v/>
      </c>
    </row>
    <row r="6100" spans="5:9" ht="16.5" hidden="1">
      <c r="E6100" s="4" t="str">
        <v/>
      </c>
      <c r="F6100" s="102" t="str">
        <f ca="1">IFERROR(__xludf.DUMMYFUNCTION("IMPORTRANGE(H6100,""IDENTITAS UNIT!D9"")"),"#N/A")</f>
        <v>#N/A</v>
      </c>
      <c r="H6100" s="4" t="str">
        <v/>
      </c>
      <c r="I6100" s="4" t="str">
        <v/>
      </c>
    </row>
    <row r="6101" spans="5:9" ht="16.5" hidden="1">
      <c r="E6101" s="4" t="str">
        <v/>
      </c>
      <c r="F6101" s="102" t="str">
        <f ca="1">IFERROR(__xludf.DUMMYFUNCTION("IMPORTRANGE(H6101,""IDENTITAS UNIT!D9"")"),"#N/A")</f>
        <v>#N/A</v>
      </c>
      <c r="H6101" s="4" t="str">
        <v/>
      </c>
      <c r="I6101" s="4" t="str">
        <v/>
      </c>
    </row>
    <row r="6102" spans="5:9" ht="16.5" hidden="1">
      <c r="E6102" s="4" t="str">
        <v/>
      </c>
      <c r="F6102" s="102" t="str">
        <f ca="1">IFERROR(__xludf.DUMMYFUNCTION("IMPORTRANGE(H6102,""IDENTITAS UNIT!D9"")"),"#N/A")</f>
        <v>#N/A</v>
      </c>
      <c r="H6102" s="4" t="str">
        <v/>
      </c>
      <c r="I6102" s="4" t="str">
        <v/>
      </c>
    </row>
    <row r="6103" spans="5:9" ht="16.5" hidden="1">
      <c r="E6103" s="4" t="str">
        <v/>
      </c>
      <c r="F6103" s="102" t="str">
        <f ca="1">IFERROR(__xludf.DUMMYFUNCTION("IMPORTRANGE(H6103,""IDENTITAS UNIT!D9"")"),"#N/A")</f>
        <v>#N/A</v>
      </c>
      <c r="H6103" s="4" t="str">
        <v/>
      </c>
      <c r="I6103" s="4" t="str">
        <v/>
      </c>
    </row>
    <row r="6104" spans="5:9" ht="16.5" hidden="1">
      <c r="E6104" s="4" t="str">
        <v/>
      </c>
      <c r="F6104" s="102" t="str">
        <f ca="1">IFERROR(__xludf.DUMMYFUNCTION("IMPORTRANGE(H6104,""IDENTITAS UNIT!D9"")"),"#N/A")</f>
        <v>#N/A</v>
      </c>
      <c r="H6104" s="4" t="str">
        <v/>
      </c>
      <c r="I6104" s="4" t="str">
        <v/>
      </c>
    </row>
    <row r="6105" spans="5:9" ht="16.5" hidden="1">
      <c r="E6105" s="4" t="str">
        <v/>
      </c>
      <c r="F6105" s="102" t="str">
        <f ca="1">IFERROR(__xludf.DUMMYFUNCTION("IMPORTRANGE(H6105,""IDENTITAS UNIT!D9"")"),"#N/A")</f>
        <v>#N/A</v>
      </c>
      <c r="H6105" s="4" t="str">
        <v/>
      </c>
      <c r="I6105" s="4" t="str">
        <v/>
      </c>
    </row>
    <row r="6106" spans="5:9" ht="16.5" hidden="1">
      <c r="E6106" s="4" t="str">
        <v/>
      </c>
      <c r="F6106" s="102" t="str">
        <f ca="1">IFERROR(__xludf.DUMMYFUNCTION("IMPORTRANGE(H6106,""IDENTITAS UNIT!D9"")"),"#N/A")</f>
        <v>#N/A</v>
      </c>
      <c r="H6106" s="4" t="str">
        <v/>
      </c>
      <c r="I6106" s="4" t="str">
        <v/>
      </c>
    </row>
    <row r="6107" spans="5:9" ht="16.5" hidden="1">
      <c r="E6107" s="4" t="str">
        <v/>
      </c>
      <c r="F6107" s="102" t="str">
        <f ca="1">IFERROR(__xludf.DUMMYFUNCTION("IMPORTRANGE(H6107,""IDENTITAS UNIT!D9"")"),"#N/A")</f>
        <v>#N/A</v>
      </c>
      <c r="H6107" s="4" t="str">
        <v/>
      </c>
      <c r="I6107" s="4" t="str">
        <v/>
      </c>
    </row>
    <row r="6108" spans="5:9" ht="16.5" hidden="1">
      <c r="E6108" s="4" t="str">
        <v/>
      </c>
      <c r="F6108" s="102" t="str">
        <f ca="1">IFERROR(__xludf.DUMMYFUNCTION("IMPORTRANGE(H6108,""IDENTITAS UNIT!D9"")"),"#N/A")</f>
        <v>#N/A</v>
      </c>
      <c r="H6108" s="4" t="str">
        <v/>
      </c>
      <c r="I6108" s="4" t="str">
        <v/>
      </c>
    </row>
    <row r="6109" spans="5:9" ht="16.5" hidden="1">
      <c r="E6109" s="4" t="str">
        <v/>
      </c>
      <c r="F6109" s="102" t="str">
        <f ca="1">IFERROR(__xludf.DUMMYFUNCTION("IMPORTRANGE(H6109,""IDENTITAS UNIT!D9"")"),"#N/A")</f>
        <v>#N/A</v>
      </c>
      <c r="H6109" s="4" t="str">
        <v/>
      </c>
      <c r="I6109" s="4" t="str">
        <v/>
      </c>
    </row>
    <row r="6110" spans="5:9" ht="16.5" hidden="1">
      <c r="E6110" s="4" t="str">
        <v/>
      </c>
      <c r="F6110" s="102" t="str">
        <f ca="1">IFERROR(__xludf.DUMMYFUNCTION("IMPORTRANGE(H6110,""IDENTITAS UNIT!D9"")"),"#N/A")</f>
        <v>#N/A</v>
      </c>
      <c r="H6110" s="4" t="str">
        <v/>
      </c>
      <c r="I6110" s="4" t="str">
        <v/>
      </c>
    </row>
    <row r="6111" spans="5:9" ht="16.5" hidden="1">
      <c r="E6111" s="4" t="str">
        <v/>
      </c>
      <c r="F6111" s="102" t="str">
        <f ca="1">IFERROR(__xludf.DUMMYFUNCTION("IMPORTRANGE(H6111,""IDENTITAS UNIT!D9"")"),"#N/A")</f>
        <v>#N/A</v>
      </c>
      <c r="H6111" s="4" t="str">
        <v/>
      </c>
      <c r="I6111" s="4" t="str">
        <v/>
      </c>
    </row>
    <row r="6112" spans="5:9" ht="16.5" hidden="1">
      <c r="E6112" s="4" t="str">
        <v/>
      </c>
      <c r="F6112" s="102" t="str">
        <f ca="1">IFERROR(__xludf.DUMMYFUNCTION("IMPORTRANGE(H6112,""IDENTITAS UNIT!D9"")"),"#N/A")</f>
        <v>#N/A</v>
      </c>
      <c r="H6112" s="4" t="str">
        <v/>
      </c>
      <c r="I6112" s="4" t="str">
        <v/>
      </c>
    </row>
    <row r="6113" spans="5:9" ht="16.5" hidden="1">
      <c r="E6113" s="4" t="str">
        <v/>
      </c>
      <c r="F6113" s="102" t="str">
        <f ca="1">IFERROR(__xludf.DUMMYFUNCTION("IMPORTRANGE(H6113,""IDENTITAS UNIT!D9"")"),"#N/A")</f>
        <v>#N/A</v>
      </c>
      <c r="H6113" s="4" t="str">
        <v/>
      </c>
      <c r="I6113" s="4" t="str">
        <v/>
      </c>
    </row>
    <row r="6114" spans="5:9" ht="16.5" hidden="1">
      <c r="E6114" s="4" t="str">
        <v/>
      </c>
      <c r="F6114" s="102" t="str">
        <f ca="1">IFERROR(__xludf.DUMMYFUNCTION("IMPORTRANGE(H6114,""IDENTITAS UNIT!D9"")"),"#N/A")</f>
        <v>#N/A</v>
      </c>
      <c r="H6114" s="4" t="str">
        <v/>
      </c>
      <c r="I6114" s="4" t="str">
        <v/>
      </c>
    </row>
    <row r="6115" spans="5:9" ht="16.5" hidden="1">
      <c r="E6115" s="4" t="str">
        <v/>
      </c>
      <c r="F6115" s="102" t="str">
        <f ca="1">IFERROR(__xludf.DUMMYFUNCTION("IMPORTRANGE(H6115,""IDENTITAS UNIT!D9"")"),"#N/A")</f>
        <v>#N/A</v>
      </c>
      <c r="H6115" s="4" t="str">
        <v/>
      </c>
      <c r="I6115" s="4" t="str">
        <v/>
      </c>
    </row>
    <row r="6116" spans="5:9" ht="16.5" hidden="1">
      <c r="E6116" s="4" t="str">
        <v/>
      </c>
      <c r="F6116" s="102" t="str">
        <f ca="1">IFERROR(__xludf.DUMMYFUNCTION("IMPORTRANGE(H6116,""IDENTITAS UNIT!D9"")"),"#N/A")</f>
        <v>#N/A</v>
      </c>
      <c r="H6116" s="4" t="str">
        <v/>
      </c>
      <c r="I6116" s="4" t="str">
        <v/>
      </c>
    </row>
    <row r="6117" spans="5:9" ht="16.5" hidden="1">
      <c r="E6117" s="4" t="str">
        <v/>
      </c>
      <c r="F6117" s="102" t="str">
        <f ca="1">IFERROR(__xludf.DUMMYFUNCTION("IMPORTRANGE(H6117,""IDENTITAS UNIT!D9"")"),"#N/A")</f>
        <v>#N/A</v>
      </c>
      <c r="H6117" s="4" t="str">
        <v/>
      </c>
      <c r="I6117" s="4" t="str">
        <v/>
      </c>
    </row>
    <row r="6118" spans="5:9" ht="16.5" hidden="1">
      <c r="E6118" s="4" t="str">
        <v/>
      </c>
      <c r="F6118" s="102" t="str">
        <f ca="1">IFERROR(__xludf.DUMMYFUNCTION("IMPORTRANGE(H6118,""IDENTITAS UNIT!D9"")"),"#N/A")</f>
        <v>#N/A</v>
      </c>
      <c r="H6118" s="4" t="str">
        <v/>
      </c>
      <c r="I6118" s="4" t="str">
        <v/>
      </c>
    </row>
    <row r="6119" spans="5:9" ht="16.5" hidden="1">
      <c r="E6119" s="4" t="str">
        <v/>
      </c>
      <c r="F6119" s="102" t="str">
        <f ca="1">IFERROR(__xludf.DUMMYFUNCTION("IMPORTRANGE(H6119,""IDENTITAS UNIT!D9"")"),"#N/A")</f>
        <v>#N/A</v>
      </c>
      <c r="H6119" s="4" t="str">
        <v/>
      </c>
      <c r="I6119" s="4" t="str">
        <v/>
      </c>
    </row>
    <row r="6120" spans="5:9" ht="16.5" hidden="1">
      <c r="E6120" s="4" t="str">
        <v/>
      </c>
      <c r="F6120" s="102" t="str">
        <f ca="1">IFERROR(__xludf.DUMMYFUNCTION("IMPORTRANGE(H6120,""IDENTITAS UNIT!D9"")"),"#N/A")</f>
        <v>#N/A</v>
      </c>
      <c r="H6120" s="4" t="str">
        <v/>
      </c>
      <c r="I6120" s="4" t="str">
        <v/>
      </c>
    </row>
    <row r="6121" spans="5:9" ht="16.5" hidden="1">
      <c r="E6121" s="4" t="str">
        <v/>
      </c>
      <c r="F6121" s="102" t="str">
        <f ca="1">IFERROR(__xludf.DUMMYFUNCTION("IMPORTRANGE(H6121,""IDENTITAS UNIT!D9"")"),"#N/A")</f>
        <v>#N/A</v>
      </c>
      <c r="H6121" s="4" t="str">
        <v/>
      </c>
      <c r="I6121" s="4" t="str">
        <v/>
      </c>
    </row>
    <row r="6122" spans="5:9" ht="16.5" hidden="1">
      <c r="E6122" s="4" t="str">
        <v/>
      </c>
      <c r="F6122" s="102" t="str">
        <f ca="1">IFERROR(__xludf.DUMMYFUNCTION("IMPORTRANGE(H6122,""IDENTITAS UNIT!D9"")"),"#N/A")</f>
        <v>#N/A</v>
      </c>
      <c r="H6122" s="4" t="str">
        <v/>
      </c>
      <c r="I6122" s="4" t="str">
        <v/>
      </c>
    </row>
    <row r="6123" spans="5:9" ht="16.5" hidden="1">
      <c r="E6123" s="4" t="str">
        <v/>
      </c>
      <c r="F6123" s="102" t="str">
        <f ca="1">IFERROR(__xludf.DUMMYFUNCTION("IMPORTRANGE(H6123,""IDENTITAS UNIT!D9"")"),"#N/A")</f>
        <v>#N/A</v>
      </c>
      <c r="H6123" s="4" t="str">
        <v/>
      </c>
      <c r="I6123" s="4" t="str">
        <v/>
      </c>
    </row>
    <row r="6124" spans="5:9" ht="16.5" hidden="1">
      <c r="E6124" s="4" t="str">
        <v/>
      </c>
      <c r="F6124" s="102" t="str">
        <f ca="1">IFERROR(__xludf.DUMMYFUNCTION("IMPORTRANGE(H6124,""IDENTITAS UNIT!D9"")"),"#N/A")</f>
        <v>#N/A</v>
      </c>
      <c r="H6124" s="4" t="str">
        <v/>
      </c>
      <c r="I6124" s="4" t="str">
        <v/>
      </c>
    </row>
    <row r="6125" spans="5:9" ht="16.5" hidden="1">
      <c r="E6125" s="4" t="str">
        <v/>
      </c>
      <c r="F6125" s="102" t="str">
        <f ca="1">IFERROR(__xludf.DUMMYFUNCTION("IMPORTRANGE(H6125,""IDENTITAS UNIT!D9"")"),"#N/A")</f>
        <v>#N/A</v>
      </c>
      <c r="H6125" s="4" t="str">
        <v/>
      </c>
      <c r="I6125" s="4" t="str">
        <v/>
      </c>
    </row>
    <row r="6126" spans="5:9" ht="16.5" hidden="1">
      <c r="E6126" s="4" t="str">
        <v/>
      </c>
      <c r="F6126" s="102" t="str">
        <f ca="1">IFERROR(__xludf.DUMMYFUNCTION("IMPORTRANGE(H6126,""IDENTITAS UNIT!D9"")"),"#N/A")</f>
        <v>#N/A</v>
      </c>
      <c r="H6126" s="4" t="str">
        <v/>
      </c>
      <c r="I6126" s="4" t="str">
        <v/>
      </c>
    </row>
    <row r="6127" spans="5:9" ht="16.5" hidden="1">
      <c r="E6127" s="4" t="str">
        <v/>
      </c>
      <c r="F6127" s="102" t="str">
        <f ca="1">IFERROR(__xludf.DUMMYFUNCTION("IMPORTRANGE(H6127,""IDENTITAS UNIT!D9"")"),"#N/A")</f>
        <v>#N/A</v>
      </c>
      <c r="H6127" s="4" t="str">
        <v/>
      </c>
      <c r="I6127" s="4" t="str">
        <v/>
      </c>
    </row>
    <row r="6128" spans="5:9" ht="16.5" hidden="1">
      <c r="E6128" s="4" t="str">
        <v/>
      </c>
      <c r="F6128" s="102" t="str">
        <f ca="1">IFERROR(__xludf.DUMMYFUNCTION("IMPORTRANGE(H6128,""IDENTITAS UNIT!D9"")"),"#N/A")</f>
        <v>#N/A</v>
      </c>
      <c r="H6128" s="4" t="str">
        <v/>
      </c>
      <c r="I6128" s="4" t="str">
        <v/>
      </c>
    </row>
    <row r="6129" spans="5:9" ht="16.5" hidden="1">
      <c r="E6129" s="4" t="str">
        <v/>
      </c>
      <c r="F6129" s="102" t="str">
        <f ca="1">IFERROR(__xludf.DUMMYFUNCTION("IMPORTRANGE(H6129,""IDENTITAS UNIT!D9"")"),"#N/A")</f>
        <v>#N/A</v>
      </c>
      <c r="H6129" s="4" t="str">
        <v/>
      </c>
      <c r="I6129" s="4" t="str">
        <v/>
      </c>
    </row>
    <row r="6130" spans="5:9" ht="16.5" hidden="1">
      <c r="E6130" s="4" t="str">
        <v/>
      </c>
      <c r="F6130" s="102" t="str">
        <f ca="1">IFERROR(__xludf.DUMMYFUNCTION("IMPORTRANGE(H6130,""IDENTITAS UNIT!D9"")"),"#N/A")</f>
        <v>#N/A</v>
      </c>
      <c r="H6130" s="4" t="str">
        <v/>
      </c>
      <c r="I6130" s="4" t="str">
        <v/>
      </c>
    </row>
    <row r="6131" spans="5:9" ht="16.5" hidden="1">
      <c r="E6131" s="4" t="str">
        <v/>
      </c>
      <c r="F6131" s="102" t="str">
        <f ca="1">IFERROR(__xludf.DUMMYFUNCTION("IMPORTRANGE(H6131,""IDENTITAS UNIT!D9"")"),"#N/A")</f>
        <v>#N/A</v>
      </c>
      <c r="H6131" s="4" t="str">
        <v/>
      </c>
      <c r="I6131" s="4" t="str">
        <v/>
      </c>
    </row>
    <row r="6132" spans="5:9" ht="16.5" hidden="1">
      <c r="E6132" s="4" t="str">
        <v/>
      </c>
      <c r="F6132" s="102" t="str">
        <f ca="1">IFERROR(__xludf.DUMMYFUNCTION("IMPORTRANGE(H6132,""IDENTITAS UNIT!D9"")"),"#N/A")</f>
        <v>#N/A</v>
      </c>
      <c r="H6132" s="4" t="str">
        <v/>
      </c>
      <c r="I6132" s="4" t="str">
        <v/>
      </c>
    </row>
    <row r="6133" spans="5:9" ht="16.5" hidden="1">
      <c r="E6133" s="4" t="str">
        <v/>
      </c>
      <c r="F6133" s="102" t="str">
        <f ca="1">IFERROR(__xludf.DUMMYFUNCTION("IMPORTRANGE(H6133,""IDENTITAS UNIT!D9"")"),"#N/A")</f>
        <v>#N/A</v>
      </c>
      <c r="H6133" s="4" t="str">
        <v/>
      </c>
      <c r="I6133" s="4" t="str">
        <v/>
      </c>
    </row>
    <row r="6134" spans="5:9" ht="16.5" hidden="1">
      <c r="E6134" s="4" t="str">
        <v/>
      </c>
      <c r="F6134" s="102" t="str">
        <f ca="1">IFERROR(__xludf.DUMMYFUNCTION("IMPORTRANGE(H6134,""IDENTITAS UNIT!D9"")"),"#N/A")</f>
        <v>#N/A</v>
      </c>
      <c r="H6134" s="4" t="str">
        <v/>
      </c>
      <c r="I6134" s="4" t="str">
        <v/>
      </c>
    </row>
    <row r="6135" spans="5:9" ht="16.5" hidden="1">
      <c r="E6135" s="4" t="str">
        <v/>
      </c>
      <c r="F6135" s="102" t="str">
        <f ca="1">IFERROR(__xludf.DUMMYFUNCTION("IMPORTRANGE(H6135,""IDENTITAS UNIT!D9"")"),"#N/A")</f>
        <v>#N/A</v>
      </c>
      <c r="H6135" s="4" t="str">
        <v/>
      </c>
      <c r="I6135" s="4" t="str">
        <v/>
      </c>
    </row>
    <row r="6136" spans="5:9" ht="16.5" hidden="1">
      <c r="E6136" s="4" t="str">
        <v/>
      </c>
      <c r="F6136" s="102" t="str">
        <f ca="1">IFERROR(__xludf.DUMMYFUNCTION("IMPORTRANGE(H6136,""IDENTITAS UNIT!D9"")"),"#N/A")</f>
        <v>#N/A</v>
      </c>
      <c r="H6136" s="4" t="str">
        <v/>
      </c>
      <c r="I6136" s="4" t="str">
        <v/>
      </c>
    </row>
    <row r="6137" spans="5:9" ht="16.5" hidden="1">
      <c r="E6137" s="4" t="str">
        <v/>
      </c>
      <c r="F6137" s="102" t="str">
        <f ca="1">IFERROR(__xludf.DUMMYFUNCTION("IMPORTRANGE(H6137,""IDENTITAS UNIT!D9"")"),"#N/A")</f>
        <v>#N/A</v>
      </c>
      <c r="H6137" s="4" t="str">
        <v/>
      </c>
      <c r="I6137" s="4" t="str">
        <v/>
      </c>
    </row>
    <row r="6138" spans="5:9" ht="16.5" hidden="1">
      <c r="E6138" s="4" t="str">
        <v/>
      </c>
      <c r="F6138" s="102" t="str">
        <f ca="1">IFERROR(__xludf.DUMMYFUNCTION("IMPORTRANGE(H6138,""IDENTITAS UNIT!D9"")"),"#N/A")</f>
        <v>#N/A</v>
      </c>
      <c r="H6138" s="4" t="str">
        <v/>
      </c>
      <c r="I6138" s="4" t="str">
        <v/>
      </c>
    </row>
    <row r="6139" spans="5:9" ht="16.5" hidden="1">
      <c r="E6139" s="4" t="str">
        <v/>
      </c>
      <c r="F6139" s="102" t="str">
        <f ca="1">IFERROR(__xludf.DUMMYFUNCTION("IMPORTRANGE(H6139,""IDENTITAS UNIT!D9"")"),"#N/A")</f>
        <v>#N/A</v>
      </c>
      <c r="H6139" s="4" t="str">
        <v/>
      </c>
      <c r="I6139" s="4" t="str">
        <v/>
      </c>
    </row>
    <row r="6140" spans="5:9" ht="16.5" hidden="1">
      <c r="E6140" s="4" t="str">
        <v/>
      </c>
      <c r="F6140" s="102" t="str">
        <f ca="1">IFERROR(__xludf.DUMMYFUNCTION("IMPORTRANGE(H6140,""IDENTITAS UNIT!D9"")"),"#N/A")</f>
        <v>#N/A</v>
      </c>
      <c r="H6140" s="4" t="str">
        <v/>
      </c>
      <c r="I6140" s="4" t="str">
        <v/>
      </c>
    </row>
    <row r="6141" spans="5:9" ht="16.5" hidden="1">
      <c r="E6141" s="4" t="str">
        <v/>
      </c>
      <c r="F6141" s="102" t="str">
        <f ca="1">IFERROR(__xludf.DUMMYFUNCTION("IMPORTRANGE(H6141,""IDENTITAS UNIT!D9"")"),"#N/A")</f>
        <v>#N/A</v>
      </c>
      <c r="H6141" s="4" t="str">
        <v/>
      </c>
      <c r="I6141" s="4" t="str">
        <v/>
      </c>
    </row>
    <row r="6142" spans="5:9" ht="16.5" hidden="1">
      <c r="E6142" s="4" t="str">
        <v/>
      </c>
      <c r="F6142" s="102" t="str">
        <f ca="1">IFERROR(__xludf.DUMMYFUNCTION("IMPORTRANGE(H6142,""IDENTITAS UNIT!D9"")"),"#N/A")</f>
        <v>#N/A</v>
      </c>
      <c r="H6142" s="4" t="str">
        <v/>
      </c>
      <c r="I6142" s="4" t="str">
        <v/>
      </c>
    </row>
    <row r="6143" spans="5:9" ht="16.5" hidden="1">
      <c r="E6143" s="4" t="str">
        <v/>
      </c>
      <c r="F6143" s="102" t="str">
        <f ca="1">IFERROR(__xludf.DUMMYFUNCTION("IMPORTRANGE(H6143,""IDENTITAS UNIT!D9"")"),"#N/A")</f>
        <v>#N/A</v>
      </c>
      <c r="H6143" s="4" t="str">
        <v/>
      </c>
      <c r="I6143" s="4" t="str">
        <v/>
      </c>
    </row>
    <row r="6144" spans="5:9" ht="16.5" hidden="1">
      <c r="E6144" s="4" t="str">
        <v/>
      </c>
      <c r="F6144" s="102" t="str">
        <f ca="1">IFERROR(__xludf.DUMMYFUNCTION("IMPORTRANGE(H6144,""IDENTITAS UNIT!D9"")"),"#N/A")</f>
        <v>#N/A</v>
      </c>
      <c r="H6144" s="4" t="str">
        <v/>
      </c>
      <c r="I6144" s="4" t="str">
        <v/>
      </c>
    </row>
    <row r="6145" spans="5:9" ht="16.5" hidden="1">
      <c r="E6145" s="4" t="str">
        <v/>
      </c>
      <c r="F6145" s="102" t="str">
        <f ca="1">IFERROR(__xludf.DUMMYFUNCTION("IMPORTRANGE(H6145,""IDENTITAS UNIT!D9"")"),"#N/A")</f>
        <v>#N/A</v>
      </c>
      <c r="H6145" s="4" t="str">
        <v/>
      </c>
      <c r="I6145" s="4" t="str">
        <v/>
      </c>
    </row>
    <row r="6146" spans="5:9" ht="16.5" hidden="1">
      <c r="E6146" s="4" t="str">
        <v/>
      </c>
      <c r="F6146" s="102" t="str">
        <f ca="1">IFERROR(__xludf.DUMMYFUNCTION("IMPORTRANGE(H6146,""IDENTITAS UNIT!D9"")"),"#N/A")</f>
        <v>#N/A</v>
      </c>
      <c r="H6146" s="4" t="str">
        <v/>
      </c>
      <c r="I6146" s="4" t="str">
        <v/>
      </c>
    </row>
    <row r="6147" spans="5:9" ht="16.5" hidden="1">
      <c r="E6147" s="4" t="str">
        <v/>
      </c>
      <c r="F6147" s="102" t="str">
        <f ca="1">IFERROR(__xludf.DUMMYFUNCTION("IMPORTRANGE(H6147,""IDENTITAS UNIT!D9"")"),"#N/A")</f>
        <v>#N/A</v>
      </c>
      <c r="H6147" s="4" t="str">
        <v/>
      </c>
      <c r="I6147" s="4" t="str">
        <v/>
      </c>
    </row>
    <row r="6148" spans="5:9" ht="16.5" hidden="1">
      <c r="E6148" s="4" t="str">
        <v/>
      </c>
      <c r="F6148" s="102" t="str">
        <f ca="1">IFERROR(__xludf.DUMMYFUNCTION("IMPORTRANGE(H6148,""IDENTITAS UNIT!D9"")"),"#N/A")</f>
        <v>#N/A</v>
      </c>
      <c r="H6148" s="4" t="str">
        <v/>
      </c>
      <c r="I6148" s="4" t="str">
        <v/>
      </c>
    </row>
    <row r="6149" spans="5:9" ht="16.5" hidden="1">
      <c r="E6149" s="4" t="str">
        <v/>
      </c>
      <c r="F6149" s="102" t="str">
        <f ca="1">IFERROR(__xludf.DUMMYFUNCTION("IMPORTRANGE(H6149,""IDENTITAS UNIT!D9"")"),"#N/A")</f>
        <v>#N/A</v>
      </c>
      <c r="H6149" s="4" t="str">
        <v/>
      </c>
      <c r="I6149" s="4" t="str">
        <v/>
      </c>
    </row>
    <row r="6150" spans="5:9" ht="16.5" hidden="1">
      <c r="E6150" s="4" t="str">
        <v/>
      </c>
      <c r="F6150" s="102" t="str">
        <f ca="1">IFERROR(__xludf.DUMMYFUNCTION("IMPORTRANGE(H6150,""IDENTITAS UNIT!D9"")"),"#N/A")</f>
        <v>#N/A</v>
      </c>
      <c r="H6150" s="4" t="str">
        <v/>
      </c>
      <c r="I6150" s="4" t="str">
        <v/>
      </c>
    </row>
    <row r="6151" spans="5:9" ht="16.5" hidden="1">
      <c r="E6151" s="4" t="str">
        <v/>
      </c>
      <c r="F6151" s="102" t="str">
        <f ca="1">IFERROR(__xludf.DUMMYFUNCTION("IMPORTRANGE(H6151,""IDENTITAS UNIT!D9"")"),"#N/A")</f>
        <v>#N/A</v>
      </c>
      <c r="H6151" s="4" t="str">
        <v/>
      </c>
      <c r="I6151" s="4" t="str">
        <v/>
      </c>
    </row>
    <row r="6152" spans="5:9" ht="16.5" hidden="1">
      <c r="E6152" s="4" t="str">
        <v/>
      </c>
      <c r="F6152" s="102" t="str">
        <f ca="1">IFERROR(__xludf.DUMMYFUNCTION("IMPORTRANGE(H6152,""IDENTITAS UNIT!D9"")"),"#N/A")</f>
        <v>#N/A</v>
      </c>
      <c r="H6152" s="4" t="str">
        <v/>
      </c>
      <c r="I6152" s="4" t="str">
        <v/>
      </c>
    </row>
    <row r="6153" spans="5:9" ht="16.5" hidden="1">
      <c r="E6153" s="4" t="str">
        <v/>
      </c>
      <c r="F6153" s="102" t="str">
        <f ca="1">IFERROR(__xludf.DUMMYFUNCTION("IMPORTRANGE(H6153,""IDENTITAS UNIT!D9"")"),"#N/A")</f>
        <v>#N/A</v>
      </c>
      <c r="H6153" s="4" t="str">
        <v/>
      </c>
      <c r="I6153" s="4" t="str">
        <v/>
      </c>
    </row>
    <row r="6154" spans="5:9" ht="16.5" hidden="1">
      <c r="E6154" s="4" t="str">
        <v/>
      </c>
      <c r="F6154" s="102" t="str">
        <f ca="1">IFERROR(__xludf.DUMMYFUNCTION("IMPORTRANGE(H6154,""IDENTITAS UNIT!D9"")"),"#N/A")</f>
        <v>#N/A</v>
      </c>
      <c r="H6154" s="4" t="str">
        <v/>
      </c>
      <c r="I6154" s="4" t="str">
        <v/>
      </c>
    </row>
    <row r="6155" spans="5:9" ht="16.5" hidden="1">
      <c r="E6155" s="4" t="str">
        <v/>
      </c>
      <c r="F6155" s="102" t="str">
        <f ca="1">IFERROR(__xludf.DUMMYFUNCTION("IMPORTRANGE(H6155,""IDENTITAS UNIT!D9"")"),"#N/A")</f>
        <v>#N/A</v>
      </c>
      <c r="H6155" s="4" t="str">
        <v/>
      </c>
      <c r="I6155" s="4" t="str">
        <v/>
      </c>
    </row>
    <row r="6156" spans="5:9" ht="16.5" hidden="1">
      <c r="E6156" s="4" t="str">
        <v/>
      </c>
      <c r="F6156" s="102" t="str">
        <f ca="1">IFERROR(__xludf.DUMMYFUNCTION("IMPORTRANGE(H6156,""IDENTITAS UNIT!D9"")"),"#N/A")</f>
        <v>#N/A</v>
      </c>
      <c r="H6156" s="4" t="str">
        <v/>
      </c>
      <c r="I6156" s="4" t="str">
        <v/>
      </c>
    </row>
    <row r="6157" spans="5:9" ht="16.5" hidden="1">
      <c r="E6157" s="4" t="str">
        <v/>
      </c>
      <c r="F6157" s="102" t="str">
        <f ca="1">IFERROR(__xludf.DUMMYFUNCTION("IMPORTRANGE(H6157,""IDENTITAS UNIT!D9"")"),"#N/A")</f>
        <v>#N/A</v>
      </c>
      <c r="H6157" s="4" t="str">
        <v/>
      </c>
      <c r="I6157" s="4" t="str">
        <v/>
      </c>
    </row>
    <row r="6158" spans="5:9" ht="16.5" hidden="1">
      <c r="E6158" s="4" t="str">
        <v/>
      </c>
      <c r="F6158" s="102" t="str">
        <f ca="1">IFERROR(__xludf.DUMMYFUNCTION("IMPORTRANGE(H6158,""IDENTITAS UNIT!D9"")"),"#N/A")</f>
        <v>#N/A</v>
      </c>
      <c r="H6158" s="4" t="str">
        <v/>
      </c>
      <c r="I6158" s="4" t="str">
        <v/>
      </c>
    </row>
    <row r="6159" spans="5:9" ht="16.5" hidden="1">
      <c r="E6159" s="4" t="str">
        <v/>
      </c>
      <c r="F6159" s="102" t="str">
        <f ca="1">IFERROR(__xludf.DUMMYFUNCTION("IMPORTRANGE(H6159,""IDENTITAS UNIT!D9"")"),"#N/A")</f>
        <v>#N/A</v>
      </c>
      <c r="H6159" s="4" t="str">
        <v/>
      </c>
      <c r="I6159" s="4" t="str">
        <v/>
      </c>
    </row>
    <row r="6160" spans="5:9" ht="16.5" hidden="1">
      <c r="E6160" s="4" t="str">
        <v/>
      </c>
      <c r="F6160" s="102" t="str">
        <f ca="1">IFERROR(__xludf.DUMMYFUNCTION("IMPORTRANGE(H6160,""IDENTITAS UNIT!D9"")"),"#N/A")</f>
        <v>#N/A</v>
      </c>
      <c r="H6160" s="4" t="str">
        <v/>
      </c>
      <c r="I6160" s="4" t="str">
        <v/>
      </c>
    </row>
    <row r="6161" spans="5:9" ht="16.5" hidden="1">
      <c r="E6161" s="4" t="str">
        <v/>
      </c>
      <c r="F6161" s="102" t="str">
        <f ca="1">IFERROR(__xludf.DUMMYFUNCTION("IMPORTRANGE(H6161,""IDENTITAS UNIT!D9"")"),"#N/A")</f>
        <v>#N/A</v>
      </c>
      <c r="H6161" s="4" t="str">
        <v/>
      </c>
      <c r="I6161" s="4" t="str">
        <v/>
      </c>
    </row>
    <row r="6162" spans="5:9" ht="16.5" hidden="1">
      <c r="E6162" s="4" t="str">
        <v/>
      </c>
      <c r="F6162" s="102" t="str">
        <f ca="1">IFERROR(__xludf.DUMMYFUNCTION("IMPORTRANGE(H6162,""IDENTITAS UNIT!D9"")"),"#N/A")</f>
        <v>#N/A</v>
      </c>
      <c r="H6162" s="4" t="str">
        <v/>
      </c>
      <c r="I6162" s="4" t="str">
        <v/>
      </c>
    </row>
    <row r="6163" spans="5:9" ht="16.5" hidden="1">
      <c r="E6163" s="4" t="str">
        <v/>
      </c>
      <c r="F6163" s="102" t="str">
        <f ca="1">IFERROR(__xludf.DUMMYFUNCTION("IMPORTRANGE(H6163,""IDENTITAS UNIT!D9"")"),"#N/A")</f>
        <v>#N/A</v>
      </c>
      <c r="H6163" s="4" t="str">
        <v/>
      </c>
      <c r="I6163" s="4" t="str">
        <v/>
      </c>
    </row>
    <row r="6164" spans="5:9" ht="16.5" hidden="1">
      <c r="E6164" s="4" t="str">
        <v/>
      </c>
      <c r="F6164" s="102" t="str">
        <f ca="1">IFERROR(__xludf.DUMMYFUNCTION("IMPORTRANGE(H6164,""IDENTITAS UNIT!D9"")"),"#N/A")</f>
        <v>#N/A</v>
      </c>
      <c r="H6164" s="4" t="str">
        <v/>
      </c>
      <c r="I6164" s="4" t="str">
        <v/>
      </c>
    </row>
    <row r="6165" spans="5:9" ht="16.5" hidden="1">
      <c r="E6165" s="4" t="str">
        <v/>
      </c>
      <c r="F6165" s="102" t="str">
        <f ca="1">IFERROR(__xludf.DUMMYFUNCTION("IMPORTRANGE(H6165,""IDENTITAS UNIT!D9"")"),"#N/A")</f>
        <v>#N/A</v>
      </c>
      <c r="H6165" s="4" t="str">
        <v/>
      </c>
      <c r="I6165" s="4" t="str">
        <v/>
      </c>
    </row>
    <row r="6166" spans="5:9" ht="16.5" hidden="1">
      <c r="E6166" s="4" t="str">
        <v/>
      </c>
      <c r="F6166" s="102" t="str">
        <f ca="1">IFERROR(__xludf.DUMMYFUNCTION("IMPORTRANGE(H6166,""IDENTITAS UNIT!D9"")"),"#N/A")</f>
        <v>#N/A</v>
      </c>
      <c r="H6166" s="4" t="str">
        <v/>
      </c>
      <c r="I6166" s="4" t="str">
        <v/>
      </c>
    </row>
    <row r="6167" spans="5:9" ht="16.5" hidden="1">
      <c r="E6167" s="4" t="str">
        <v/>
      </c>
      <c r="F6167" s="102" t="str">
        <f ca="1">IFERROR(__xludf.DUMMYFUNCTION("IMPORTRANGE(H6167,""IDENTITAS UNIT!D9"")"),"#N/A")</f>
        <v>#N/A</v>
      </c>
      <c r="H6167" s="4" t="str">
        <v/>
      </c>
      <c r="I6167" s="4" t="str">
        <v/>
      </c>
    </row>
    <row r="6168" spans="5:9" ht="16.5" hidden="1">
      <c r="E6168" s="4" t="str">
        <v/>
      </c>
      <c r="F6168" s="102" t="str">
        <f ca="1">IFERROR(__xludf.DUMMYFUNCTION("IMPORTRANGE(H6168,""IDENTITAS UNIT!D9"")"),"#N/A")</f>
        <v>#N/A</v>
      </c>
      <c r="H6168" s="4" t="str">
        <v/>
      </c>
      <c r="I6168" s="4" t="str">
        <v/>
      </c>
    </row>
    <row r="6169" spans="5:9" ht="16.5" hidden="1">
      <c r="E6169" s="4" t="str">
        <v/>
      </c>
      <c r="F6169" s="102" t="str">
        <f ca="1">IFERROR(__xludf.DUMMYFUNCTION("IMPORTRANGE(H6169,""IDENTITAS UNIT!D9"")"),"#N/A")</f>
        <v>#N/A</v>
      </c>
      <c r="H6169" s="4" t="str">
        <v/>
      </c>
      <c r="I6169" s="4" t="str">
        <v/>
      </c>
    </row>
    <row r="6170" spans="5:9" ht="16.5" hidden="1">
      <c r="E6170" s="4" t="str">
        <v/>
      </c>
      <c r="F6170" s="102" t="str">
        <f ca="1">IFERROR(__xludf.DUMMYFUNCTION("IMPORTRANGE(H6170,""IDENTITAS UNIT!D9"")"),"#N/A")</f>
        <v>#N/A</v>
      </c>
      <c r="H6170" s="4" t="str">
        <v/>
      </c>
      <c r="I6170" s="4" t="str">
        <v/>
      </c>
    </row>
    <row r="6171" spans="5:9" ht="16.5" hidden="1">
      <c r="E6171" s="4" t="str">
        <v/>
      </c>
      <c r="F6171" s="102" t="str">
        <f ca="1">IFERROR(__xludf.DUMMYFUNCTION("IMPORTRANGE(H6171,""IDENTITAS UNIT!D9"")"),"#N/A")</f>
        <v>#N/A</v>
      </c>
      <c r="H6171" s="4" t="str">
        <v/>
      </c>
      <c r="I6171" s="4" t="str">
        <v/>
      </c>
    </row>
    <row r="6172" spans="5:9" ht="16.5" hidden="1">
      <c r="E6172" s="4" t="str">
        <v/>
      </c>
      <c r="F6172" s="102" t="str">
        <f ca="1">IFERROR(__xludf.DUMMYFUNCTION("IMPORTRANGE(H6172,""IDENTITAS UNIT!D9"")"),"#N/A")</f>
        <v>#N/A</v>
      </c>
      <c r="H6172" s="4" t="str">
        <v/>
      </c>
      <c r="I6172" s="4" t="str">
        <v/>
      </c>
    </row>
    <row r="6173" spans="5:9" ht="16.5" hidden="1">
      <c r="E6173" s="4" t="str">
        <v/>
      </c>
      <c r="F6173" s="102" t="str">
        <f ca="1">IFERROR(__xludf.DUMMYFUNCTION("IMPORTRANGE(H6173,""IDENTITAS UNIT!D9"")"),"#N/A")</f>
        <v>#N/A</v>
      </c>
      <c r="H6173" s="4" t="str">
        <v/>
      </c>
      <c r="I6173" s="4" t="str">
        <v/>
      </c>
    </row>
    <row r="6174" spans="5:9" ht="16.5" hidden="1">
      <c r="E6174" s="4" t="str">
        <v/>
      </c>
      <c r="F6174" s="102" t="str">
        <f ca="1">IFERROR(__xludf.DUMMYFUNCTION("IMPORTRANGE(H6174,""IDENTITAS UNIT!D9"")"),"#N/A")</f>
        <v>#N/A</v>
      </c>
      <c r="H6174" s="4" t="str">
        <v/>
      </c>
      <c r="I6174" s="4" t="str">
        <v/>
      </c>
    </row>
    <row r="6175" spans="5:9" ht="16.5" hidden="1">
      <c r="E6175" s="4" t="str">
        <v/>
      </c>
      <c r="F6175" s="102" t="str">
        <f ca="1">IFERROR(__xludf.DUMMYFUNCTION("IMPORTRANGE(H6175,""IDENTITAS UNIT!D9"")"),"#N/A")</f>
        <v>#N/A</v>
      </c>
      <c r="H6175" s="4" t="str">
        <v/>
      </c>
      <c r="I6175" s="4" t="str">
        <v/>
      </c>
    </row>
    <row r="6176" spans="5:9" ht="16.5" hidden="1">
      <c r="E6176" s="4" t="str">
        <v/>
      </c>
      <c r="F6176" s="102" t="str">
        <f ca="1">IFERROR(__xludf.DUMMYFUNCTION("IMPORTRANGE(H6176,""IDENTITAS UNIT!D9"")"),"#N/A")</f>
        <v>#N/A</v>
      </c>
      <c r="H6176" s="4" t="str">
        <v/>
      </c>
      <c r="I6176" s="4" t="str">
        <v/>
      </c>
    </row>
    <row r="6177" spans="5:9" ht="16.5" hidden="1">
      <c r="E6177" s="4" t="str">
        <v/>
      </c>
      <c r="F6177" s="102" t="str">
        <f ca="1">IFERROR(__xludf.DUMMYFUNCTION("IMPORTRANGE(H6177,""IDENTITAS UNIT!D9"")"),"#N/A")</f>
        <v>#N/A</v>
      </c>
      <c r="H6177" s="4" t="str">
        <v/>
      </c>
      <c r="I6177" s="4" t="str">
        <v/>
      </c>
    </row>
    <row r="6178" spans="5:9" ht="16.5" hidden="1">
      <c r="E6178" s="4" t="str">
        <v/>
      </c>
      <c r="F6178" s="102" t="str">
        <f ca="1">IFERROR(__xludf.DUMMYFUNCTION("IMPORTRANGE(H6178,""IDENTITAS UNIT!D9"")"),"#N/A")</f>
        <v>#N/A</v>
      </c>
      <c r="H6178" s="4" t="str">
        <v/>
      </c>
      <c r="I6178" s="4" t="str">
        <v/>
      </c>
    </row>
    <row r="6179" spans="5:9" ht="16.5" hidden="1">
      <c r="E6179" s="4" t="str">
        <v/>
      </c>
      <c r="F6179" s="102" t="str">
        <f ca="1">IFERROR(__xludf.DUMMYFUNCTION("IMPORTRANGE(H6179,""IDENTITAS UNIT!D9"")"),"#N/A")</f>
        <v>#N/A</v>
      </c>
      <c r="H6179" s="4" t="str">
        <v/>
      </c>
      <c r="I6179" s="4" t="str">
        <v/>
      </c>
    </row>
    <row r="6180" spans="5:9" ht="16.5" hidden="1">
      <c r="E6180" s="4" t="str">
        <v/>
      </c>
      <c r="F6180" s="102" t="str">
        <f ca="1">IFERROR(__xludf.DUMMYFUNCTION("IMPORTRANGE(H6180,""IDENTITAS UNIT!D9"")"),"#N/A")</f>
        <v>#N/A</v>
      </c>
      <c r="H6180" s="4" t="str">
        <v/>
      </c>
      <c r="I6180" s="4" t="str">
        <v/>
      </c>
    </row>
    <row r="6181" spans="5:9" ht="16.5" hidden="1">
      <c r="E6181" s="4" t="str">
        <v/>
      </c>
      <c r="F6181" s="102" t="str">
        <f ca="1">IFERROR(__xludf.DUMMYFUNCTION("IMPORTRANGE(H6181,""IDENTITAS UNIT!D9"")"),"#N/A")</f>
        <v>#N/A</v>
      </c>
      <c r="H6181" s="4" t="str">
        <v/>
      </c>
      <c r="I6181" s="4" t="str">
        <v/>
      </c>
    </row>
    <row r="6182" spans="5:9" ht="16.5" hidden="1">
      <c r="E6182" s="4" t="str">
        <v/>
      </c>
      <c r="F6182" s="102" t="str">
        <f ca="1">IFERROR(__xludf.DUMMYFUNCTION("IMPORTRANGE(H6182,""IDENTITAS UNIT!D9"")"),"#N/A")</f>
        <v>#N/A</v>
      </c>
      <c r="H6182" s="4" t="str">
        <v/>
      </c>
      <c r="I6182" s="4" t="str">
        <v/>
      </c>
    </row>
    <row r="6183" spans="5:9" ht="16.5" hidden="1">
      <c r="E6183" s="4" t="str">
        <v/>
      </c>
      <c r="F6183" s="102" t="str">
        <f ca="1">IFERROR(__xludf.DUMMYFUNCTION("IMPORTRANGE(H6183,""IDENTITAS UNIT!D9"")"),"#N/A")</f>
        <v>#N/A</v>
      </c>
      <c r="H6183" s="4" t="str">
        <v/>
      </c>
      <c r="I6183" s="4" t="str">
        <v/>
      </c>
    </row>
    <row r="6184" spans="5:9" ht="16.5" hidden="1">
      <c r="E6184" s="4" t="str">
        <v/>
      </c>
      <c r="F6184" s="102" t="str">
        <f ca="1">IFERROR(__xludf.DUMMYFUNCTION("IMPORTRANGE(H6184,""IDENTITAS UNIT!D9"")"),"#N/A")</f>
        <v>#N/A</v>
      </c>
      <c r="H6184" s="4" t="str">
        <v/>
      </c>
      <c r="I6184" s="4" t="str">
        <v/>
      </c>
    </row>
    <row r="6185" spans="5:9" ht="16.5" hidden="1">
      <c r="E6185" s="4" t="str">
        <v/>
      </c>
      <c r="F6185" s="102" t="str">
        <f ca="1">IFERROR(__xludf.DUMMYFUNCTION("IMPORTRANGE(H6185,""IDENTITAS UNIT!D9"")"),"#N/A")</f>
        <v>#N/A</v>
      </c>
      <c r="H6185" s="4" t="str">
        <v/>
      </c>
      <c r="I6185" s="4" t="str">
        <v/>
      </c>
    </row>
    <row r="6186" spans="5:9" ht="16.5" hidden="1">
      <c r="E6186" s="4" t="str">
        <v/>
      </c>
      <c r="F6186" s="102" t="str">
        <f ca="1">IFERROR(__xludf.DUMMYFUNCTION("IMPORTRANGE(H6186,""IDENTITAS UNIT!D9"")"),"#N/A")</f>
        <v>#N/A</v>
      </c>
      <c r="H6186" s="4" t="str">
        <v/>
      </c>
      <c r="I6186" s="4" t="str">
        <v/>
      </c>
    </row>
    <row r="6187" spans="5:9" ht="16.5" hidden="1">
      <c r="E6187" s="4" t="str">
        <v/>
      </c>
      <c r="F6187" s="102" t="str">
        <f ca="1">IFERROR(__xludf.DUMMYFUNCTION("IMPORTRANGE(H6187,""IDENTITAS UNIT!D9"")"),"#N/A")</f>
        <v>#N/A</v>
      </c>
      <c r="H6187" s="4" t="str">
        <v/>
      </c>
      <c r="I6187" s="4" t="str">
        <v/>
      </c>
    </row>
    <row r="6188" spans="5:9" ht="16.5" hidden="1">
      <c r="E6188" s="4" t="str">
        <v/>
      </c>
      <c r="F6188" s="102" t="str">
        <f ca="1">IFERROR(__xludf.DUMMYFUNCTION("IMPORTRANGE(H6188,""IDENTITAS UNIT!D9"")"),"#N/A")</f>
        <v>#N/A</v>
      </c>
      <c r="H6188" s="4" t="str">
        <v/>
      </c>
      <c r="I6188" s="4" t="str">
        <v/>
      </c>
    </row>
    <row r="6189" spans="5:9" ht="16.5" hidden="1">
      <c r="E6189" s="4" t="str">
        <v/>
      </c>
      <c r="F6189" s="102" t="str">
        <f ca="1">IFERROR(__xludf.DUMMYFUNCTION("IMPORTRANGE(H6189,""IDENTITAS UNIT!D9"")"),"#N/A")</f>
        <v>#N/A</v>
      </c>
      <c r="H6189" s="4" t="str">
        <v/>
      </c>
      <c r="I6189" s="4" t="str">
        <v/>
      </c>
    </row>
    <row r="6190" spans="5:9" ht="16.5" hidden="1">
      <c r="E6190" s="4" t="str">
        <v/>
      </c>
      <c r="F6190" s="102" t="str">
        <f ca="1">IFERROR(__xludf.DUMMYFUNCTION("IMPORTRANGE(H6190,""IDENTITAS UNIT!D9"")"),"#N/A")</f>
        <v>#N/A</v>
      </c>
      <c r="H6190" s="4" t="str">
        <v/>
      </c>
      <c r="I6190" s="4" t="str">
        <v/>
      </c>
    </row>
    <row r="6191" spans="5:9" ht="16.5" hidden="1">
      <c r="E6191" s="4" t="str">
        <v/>
      </c>
      <c r="F6191" s="102" t="str">
        <f ca="1">IFERROR(__xludf.DUMMYFUNCTION("IMPORTRANGE(H6191,""IDENTITAS UNIT!D9"")"),"#N/A")</f>
        <v>#N/A</v>
      </c>
      <c r="H6191" s="4" t="str">
        <v/>
      </c>
      <c r="I6191" s="4" t="str">
        <v/>
      </c>
    </row>
    <row r="6192" spans="5:9" ht="16.5" hidden="1">
      <c r="E6192" s="4" t="str">
        <v/>
      </c>
      <c r="F6192" s="102" t="str">
        <f ca="1">IFERROR(__xludf.DUMMYFUNCTION("IMPORTRANGE(H6192,""IDENTITAS UNIT!D9"")"),"#N/A")</f>
        <v>#N/A</v>
      </c>
      <c r="H6192" s="4" t="str">
        <v/>
      </c>
      <c r="I6192" s="4" t="str">
        <v/>
      </c>
    </row>
    <row r="6193" spans="5:9" ht="16.5" hidden="1">
      <c r="E6193" s="4" t="str">
        <v/>
      </c>
      <c r="F6193" s="102" t="str">
        <f ca="1">IFERROR(__xludf.DUMMYFUNCTION("IMPORTRANGE(H6193,""IDENTITAS UNIT!D9"")"),"#N/A")</f>
        <v>#N/A</v>
      </c>
      <c r="H6193" s="4" t="str">
        <v/>
      </c>
      <c r="I6193" s="4" t="str">
        <v/>
      </c>
    </row>
    <row r="6194" spans="5:9" ht="16.5" hidden="1">
      <c r="E6194" s="4" t="str">
        <v/>
      </c>
      <c r="F6194" s="102" t="str">
        <f ca="1">IFERROR(__xludf.DUMMYFUNCTION("IMPORTRANGE(H6194,""IDENTITAS UNIT!D9"")"),"#N/A")</f>
        <v>#N/A</v>
      </c>
      <c r="H6194" s="4" t="str">
        <v/>
      </c>
      <c r="I6194" s="4" t="str">
        <v/>
      </c>
    </row>
    <row r="6195" spans="5:9" ht="16.5" hidden="1">
      <c r="E6195" s="4" t="str">
        <v/>
      </c>
      <c r="F6195" s="102" t="str">
        <f ca="1">IFERROR(__xludf.DUMMYFUNCTION("IMPORTRANGE(H6195,""IDENTITAS UNIT!D9"")"),"#N/A")</f>
        <v>#N/A</v>
      </c>
      <c r="H6195" s="4" t="str">
        <v/>
      </c>
      <c r="I6195" s="4" t="str">
        <v/>
      </c>
    </row>
    <row r="6196" spans="5:9" ht="16.5" hidden="1">
      <c r="E6196" s="4" t="str">
        <v/>
      </c>
      <c r="F6196" s="102" t="str">
        <f ca="1">IFERROR(__xludf.DUMMYFUNCTION("IMPORTRANGE(H6196,""IDENTITAS UNIT!D9"")"),"#N/A")</f>
        <v>#N/A</v>
      </c>
      <c r="H6196" s="4" t="str">
        <v/>
      </c>
      <c r="I6196" s="4" t="str">
        <v/>
      </c>
    </row>
    <row r="6197" spans="5:9" ht="16.5" hidden="1">
      <c r="E6197" s="4" t="str">
        <v/>
      </c>
      <c r="F6197" s="102" t="str">
        <f ca="1">IFERROR(__xludf.DUMMYFUNCTION("IMPORTRANGE(H6197,""IDENTITAS UNIT!D9"")"),"#N/A")</f>
        <v>#N/A</v>
      </c>
      <c r="H6197" s="4" t="str">
        <v/>
      </c>
      <c r="I6197" s="4" t="str">
        <v/>
      </c>
    </row>
    <row r="6198" spans="5:9" ht="16.5" hidden="1">
      <c r="E6198" s="4" t="str">
        <v/>
      </c>
      <c r="F6198" s="102" t="str">
        <f ca="1">IFERROR(__xludf.DUMMYFUNCTION("IMPORTRANGE(H6198,""IDENTITAS UNIT!D9"")"),"#N/A")</f>
        <v>#N/A</v>
      </c>
      <c r="H6198" s="4" t="str">
        <v/>
      </c>
      <c r="I6198" s="4" t="str">
        <v/>
      </c>
    </row>
    <row r="6199" spans="5:9" ht="16.5" hidden="1">
      <c r="E6199" s="4" t="str">
        <v/>
      </c>
      <c r="F6199" s="102" t="str">
        <f ca="1">IFERROR(__xludf.DUMMYFUNCTION("IMPORTRANGE(H6199,""IDENTITAS UNIT!D9"")"),"#N/A")</f>
        <v>#N/A</v>
      </c>
      <c r="H6199" s="4" t="str">
        <v/>
      </c>
      <c r="I6199" s="4" t="str">
        <v/>
      </c>
    </row>
    <row r="6200" spans="5:9" ht="16.5" hidden="1">
      <c r="E6200" s="4" t="str">
        <v/>
      </c>
      <c r="F6200" s="102" t="str">
        <f ca="1">IFERROR(__xludf.DUMMYFUNCTION("IMPORTRANGE(H6200,""IDENTITAS UNIT!D9"")"),"#N/A")</f>
        <v>#N/A</v>
      </c>
      <c r="H6200" s="4" t="str">
        <v/>
      </c>
      <c r="I6200" s="4" t="str">
        <v/>
      </c>
    </row>
    <row r="6201" spans="5:9" ht="16.5" hidden="1">
      <c r="E6201" s="4" t="str">
        <v/>
      </c>
      <c r="F6201" s="102" t="str">
        <f ca="1">IFERROR(__xludf.DUMMYFUNCTION("IMPORTRANGE(H6201,""IDENTITAS UNIT!D9"")"),"#N/A")</f>
        <v>#N/A</v>
      </c>
      <c r="H6201" s="4" t="str">
        <v/>
      </c>
      <c r="I6201" s="4" t="str">
        <v/>
      </c>
    </row>
    <row r="6202" spans="5:9" ht="16.5" hidden="1">
      <c r="E6202" s="4" t="str">
        <v/>
      </c>
      <c r="F6202" s="102" t="str">
        <f ca="1">IFERROR(__xludf.DUMMYFUNCTION("IMPORTRANGE(H6202,""IDENTITAS UNIT!D9"")"),"#N/A")</f>
        <v>#N/A</v>
      </c>
      <c r="H6202" s="4" t="str">
        <v/>
      </c>
      <c r="I6202" s="4" t="str">
        <v/>
      </c>
    </row>
    <row r="6203" spans="5:9" ht="16.5" hidden="1">
      <c r="E6203" s="4" t="str">
        <v/>
      </c>
      <c r="F6203" s="102" t="str">
        <f ca="1">IFERROR(__xludf.DUMMYFUNCTION("IMPORTRANGE(H6203,""IDENTITAS UNIT!D9"")"),"#N/A")</f>
        <v>#N/A</v>
      </c>
      <c r="H6203" s="4" t="str">
        <v/>
      </c>
      <c r="I6203" s="4" t="str">
        <v/>
      </c>
    </row>
    <row r="6204" spans="5:9" ht="16.5" hidden="1">
      <c r="E6204" s="4" t="str">
        <v/>
      </c>
      <c r="F6204" s="102" t="str">
        <f ca="1">IFERROR(__xludf.DUMMYFUNCTION("IMPORTRANGE(H6204,""IDENTITAS UNIT!D9"")"),"#N/A")</f>
        <v>#N/A</v>
      </c>
      <c r="H6204" s="4" t="str">
        <v/>
      </c>
      <c r="I6204" s="4" t="str">
        <v/>
      </c>
    </row>
    <row r="6205" spans="5:9" ht="16.5" hidden="1">
      <c r="E6205" s="4" t="str">
        <v/>
      </c>
      <c r="F6205" s="102" t="str">
        <f ca="1">IFERROR(__xludf.DUMMYFUNCTION("IMPORTRANGE(H6205,""IDENTITAS UNIT!D9"")"),"#N/A")</f>
        <v>#N/A</v>
      </c>
      <c r="H6205" s="4" t="str">
        <v/>
      </c>
      <c r="I6205" s="4" t="str">
        <v/>
      </c>
    </row>
    <row r="6206" spans="5:9" ht="16.5" hidden="1">
      <c r="E6206" s="4" t="str">
        <v/>
      </c>
      <c r="F6206" s="102" t="str">
        <f ca="1">IFERROR(__xludf.DUMMYFUNCTION("IMPORTRANGE(H6206,""IDENTITAS UNIT!D9"")"),"#N/A")</f>
        <v>#N/A</v>
      </c>
      <c r="H6206" s="4" t="str">
        <v/>
      </c>
      <c r="I6206" s="4" t="str">
        <v/>
      </c>
    </row>
    <row r="6207" spans="5:9" ht="16.5" hidden="1">
      <c r="E6207" s="4" t="str">
        <v/>
      </c>
      <c r="F6207" s="102" t="str">
        <f ca="1">IFERROR(__xludf.DUMMYFUNCTION("IMPORTRANGE(H6207,""IDENTITAS UNIT!D9"")"),"#N/A")</f>
        <v>#N/A</v>
      </c>
      <c r="H6207" s="4" t="str">
        <v/>
      </c>
      <c r="I6207" s="4" t="str">
        <v/>
      </c>
    </row>
    <row r="6208" spans="5:9" ht="16.5" hidden="1">
      <c r="E6208" s="4" t="str">
        <v/>
      </c>
      <c r="F6208" s="102" t="str">
        <f ca="1">IFERROR(__xludf.DUMMYFUNCTION("IMPORTRANGE(H6208,""IDENTITAS UNIT!D9"")"),"#N/A")</f>
        <v>#N/A</v>
      </c>
      <c r="H6208" s="4" t="str">
        <v/>
      </c>
      <c r="I6208" s="4" t="str">
        <v/>
      </c>
    </row>
    <row r="6209" spans="5:9" ht="16.5" hidden="1">
      <c r="E6209" s="4" t="str">
        <v/>
      </c>
      <c r="F6209" s="102" t="str">
        <f ca="1">IFERROR(__xludf.DUMMYFUNCTION("IMPORTRANGE(H6209,""IDENTITAS UNIT!D9"")"),"#N/A")</f>
        <v>#N/A</v>
      </c>
      <c r="H6209" s="4" t="str">
        <v/>
      </c>
      <c r="I6209" s="4" t="str">
        <v/>
      </c>
    </row>
    <row r="6210" spans="5:9" ht="16.5" hidden="1">
      <c r="E6210" s="4" t="str">
        <v/>
      </c>
      <c r="F6210" s="102" t="str">
        <f ca="1">IFERROR(__xludf.DUMMYFUNCTION("IMPORTRANGE(H6210,""IDENTITAS UNIT!D9"")"),"#N/A")</f>
        <v>#N/A</v>
      </c>
      <c r="H6210" s="4" t="str">
        <v/>
      </c>
      <c r="I6210" s="4" t="str">
        <v/>
      </c>
    </row>
    <row r="6211" spans="5:9" ht="16.5" hidden="1">
      <c r="E6211" s="4" t="str">
        <v/>
      </c>
      <c r="F6211" s="102" t="str">
        <f ca="1">IFERROR(__xludf.DUMMYFUNCTION("IMPORTRANGE(H6211,""IDENTITAS UNIT!D9"")"),"#N/A")</f>
        <v>#N/A</v>
      </c>
      <c r="H6211" s="4" t="str">
        <v/>
      </c>
      <c r="I6211" s="4" t="str">
        <v/>
      </c>
    </row>
    <row r="6212" spans="5:9" ht="16.5" hidden="1">
      <c r="E6212" s="4" t="str">
        <v/>
      </c>
      <c r="F6212" s="102" t="str">
        <f ca="1">IFERROR(__xludf.DUMMYFUNCTION("IMPORTRANGE(H6212,""IDENTITAS UNIT!D9"")"),"#N/A")</f>
        <v>#N/A</v>
      </c>
      <c r="H6212" s="4" t="str">
        <v/>
      </c>
      <c r="I6212" s="4" t="str">
        <v/>
      </c>
    </row>
    <row r="6213" spans="5:9" ht="16.5" hidden="1">
      <c r="E6213" s="4" t="str">
        <v/>
      </c>
      <c r="F6213" s="102" t="str">
        <f ca="1">IFERROR(__xludf.DUMMYFUNCTION("IMPORTRANGE(H6213,""IDENTITAS UNIT!D9"")"),"#N/A")</f>
        <v>#N/A</v>
      </c>
      <c r="H6213" s="4" t="str">
        <v/>
      </c>
      <c r="I6213" s="4" t="str">
        <v/>
      </c>
    </row>
    <row r="6214" spans="5:9" ht="16.5" hidden="1">
      <c r="E6214" s="4" t="str">
        <v/>
      </c>
      <c r="F6214" s="102" t="str">
        <f ca="1">IFERROR(__xludf.DUMMYFUNCTION("IMPORTRANGE(H6214,""IDENTITAS UNIT!D9"")"),"#N/A")</f>
        <v>#N/A</v>
      </c>
      <c r="H6214" s="4" t="str">
        <v/>
      </c>
      <c r="I6214" s="4" t="str">
        <v/>
      </c>
    </row>
    <row r="6215" spans="5:9" ht="16.5" hidden="1">
      <c r="E6215" s="4" t="str">
        <v/>
      </c>
      <c r="F6215" s="102" t="str">
        <f ca="1">IFERROR(__xludf.DUMMYFUNCTION("IMPORTRANGE(H6215,""IDENTITAS UNIT!D9"")"),"#N/A")</f>
        <v>#N/A</v>
      </c>
      <c r="H6215" s="4" t="str">
        <v/>
      </c>
      <c r="I6215" s="4" t="str">
        <v/>
      </c>
    </row>
    <row r="6216" spans="5:9" ht="16.5" hidden="1">
      <c r="E6216" s="4" t="str">
        <v/>
      </c>
      <c r="F6216" s="102" t="str">
        <f ca="1">IFERROR(__xludf.DUMMYFUNCTION("IMPORTRANGE(H6216,""IDENTITAS UNIT!D9"")"),"#N/A")</f>
        <v>#N/A</v>
      </c>
      <c r="H6216" s="4" t="str">
        <v/>
      </c>
      <c r="I6216" s="4" t="str">
        <v/>
      </c>
    </row>
    <row r="6217" spans="5:9" ht="16.5" hidden="1">
      <c r="E6217" s="4" t="str">
        <v/>
      </c>
      <c r="F6217" s="102" t="str">
        <f ca="1">IFERROR(__xludf.DUMMYFUNCTION("IMPORTRANGE(H6217,""IDENTITAS UNIT!D9"")"),"#N/A")</f>
        <v>#N/A</v>
      </c>
      <c r="H6217" s="4" t="str">
        <v/>
      </c>
      <c r="I6217" s="4" t="str">
        <v/>
      </c>
    </row>
    <row r="6218" spans="5:9" ht="16.5" hidden="1">
      <c r="E6218" s="4" t="str">
        <v/>
      </c>
      <c r="F6218" s="102" t="str">
        <f ca="1">IFERROR(__xludf.DUMMYFUNCTION("IMPORTRANGE(H6218,""IDENTITAS UNIT!D9"")"),"#N/A")</f>
        <v>#N/A</v>
      </c>
      <c r="H6218" s="4" t="str">
        <v/>
      </c>
      <c r="I6218" s="4" t="str">
        <v/>
      </c>
    </row>
    <row r="6219" spans="5:9" ht="16.5" hidden="1">
      <c r="E6219" s="4" t="str">
        <v/>
      </c>
      <c r="F6219" s="102" t="str">
        <f ca="1">IFERROR(__xludf.DUMMYFUNCTION("IMPORTRANGE(H6219,""IDENTITAS UNIT!D9"")"),"#N/A")</f>
        <v>#N/A</v>
      </c>
      <c r="H6219" s="4" t="str">
        <v/>
      </c>
      <c r="I6219" s="4" t="str">
        <v/>
      </c>
    </row>
    <row r="6220" spans="5:9" ht="16.5" hidden="1">
      <c r="E6220" s="4" t="str">
        <v/>
      </c>
      <c r="F6220" s="102" t="str">
        <f ca="1">IFERROR(__xludf.DUMMYFUNCTION("IMPORTRANGE(H6220,""IDENTITAS UNIT!D9"")"),"#N/A")</f>
        <v>#N/A</v>
      </c>
      <c r="H6220" s="4" t="str">
        <v/>
      </c>
      <c r="I6220" s="4" t="str">
        <v/>
      </c>
    </row>
    <row r="6221" spans="5:9" ht="16.5" hidden="1">
      <c r="E6221" s="4" t="str">
        <v/>
      </c>
      <c r="F6221" s="102" t="str">
        <f ca="1">IFERROR(__xludf.DUMMYFUNCTION("IMPORTRANGE(H6221,""IDENTITAS UNIT!D9"")"),"#N/A")</f>
        <v>#N/A</v>
      </c>
      <c r="H6221" s="4" t="str">
        <v/>
      </c>
      <c r="I6221" s="4" t="str">
        <v/>
      </c>
    </row>
    <row r="6222" spans="5:9" ht="16.5" hidden="1">
      <c r="E6222" s="4" t="str">
        <v/>
      </c>
      <c r="F6222" s="102" t="str">
        <f ca="1">IFERROR(__xludf.DUMMYFUNCTION("IMPORTRANGE(H6222,""IDENTITAS UNIT!D9"")"),"#N/A")</f>
        <v>#N/A</v>
      </c>
      <c r="H6222" s="4" t="str">
        <v/>
      </c>
      <c r="I6222" s="4" t="str">
        <v/>
      </c>
    </row>
    <row r="6223" spans="5:9" ht="16.5" hidden="1">
      <c r="E6223" s="4" t="str">
        <v/>
      </c>
      <c r="F6223" s="102" t="str">
        <f ca="1">IFERROR(__xludf.DUMMYFUNCTION("IMPORTRANGE(H6223,""IDENTITAS UNIT!D9"")"),"#N/A")</f>
        <v>#N/A</v>
      </c>
      <c r="H6223" s="4" t="str">
        <v/>
      </c>
      <c r="I6223" s="4" t="str">
        <v/>
      </c>
    </row>
    <row r="6224" spans="5:9" ht="16.5" hidden="1">
      <c r="E6224" s="4" t="str">
        <v/>
      </c>
      <c r="F6224" s="102" t="str">
        <f ca="1">IFERROR(__xludf.DUMMYFUNCTION("IMPORTRANGE(H6224,""IDENTITAS UNIT!D9"")"),"#N/A")</f>
        <v>#N/A</v>
      </c>
      <c r="H6224" s="4" t="str">
        <v/>
      </c>
      <c r="I6224" s="4" t="str">
        <v/>
      </c>
    </row>
    <row r="6225" spans="5:9" ht="16.5" hidden="1">
      <c r="E6225" s="4" t="str">
        <v/>
      </c>
      <c r="F6225" s="102" t="str">
        <f ca="1">IFERROR(__xludf.DUMMYFUNCTION("IMPORTRANGE(H6225,""IDENTITAS UNIT!D9"")"),"#N/A")</f>
        <v>#N/A</v>
      </c>
      <c r="H6225" s="4" t="str">
        <v/>
      </c>
      <c r="I6225" s="4" t="str">
        <v/>
      </c>
    </row>
    <row r="6226" spans="5:9" ht="16.5" hidden="1">
      <c r="E6226" s="4" t="str">
        <v/>
      </c>
      <c r="F6226" s="102" t="str">
        <f ca="1">IFERROR(__xludf.DUMMYFUNCTION("IMPORTRANGE(H6226,""IDENTITAS UNIT!D9"")"),"#N/A")</f>
        <v>#N/A</v>
      </c>
      <c r="H6226" s="4" t="str">
        <v/>
      </c>
      <c r="I6226" s="4" t="str">
        <v/>
      </c>
    </row>
    <row r="6227" spans="5:9" ht="16.5" hidden="1">
      <c r="E6227" s="4" t="str">
        <v/>
      </c>
      <c r="F6227" s="102" t="str">
        <f ca="1">IFERROR(__xludf.DUMMYFUNCTION("IMPORTRANGE(H6227,""IDENTITAS UNIT!D9"")"),"#N/A")</f>
        <v>#N/A</v>
      </c>
      <c r="H6227" s="4" t="str">
        <v/>
      </c>
      <c r="I6227" s="4" t="str">
        <v/>
      </c>
    </row>
    <row r="6228" spans="5:9" ht="16.5" hidden="1">
      <c r="E6228" s="4" t="str">
        <v/>
      </c>
      <c r="F6228" s="102" t="str">
        <f ca="1">IFERROR(__xludf.DUMMYFUNCTION("IMPORTRANGE(H6228,""IDENTITAS UNIT!D9"")"),"#N/A")</f>
        <v>#N/A</v>
      </c>
      <c r="H6228" s="4" t="str">
        <v/>
      </c>
      <c r="I6228" s="4" t="str">
        <v/>
      </c>
    </row>
    <row r="6229" spans="5:9" ht="16.5" hidden="1">
      <c r="E6229" s="4" t="str">
        <v/>
      </c>
      <c r="F6229" s="102" t="str">
        <f ca="1">IFERROR(__xludf.DUMMYFUNCTION("IMPORTRANGE(H6229,""IDENTITAS UNIT!D9"")"),"#N/A")</f>
        <v>#N/A</v>
      </c>
      <c r="H6229" s="4" t="str">
        <v/>
      </c>
      <c r="I6229" s="4" t="str">
        <v/>
      </c>
    </row>
    <row r="6230" spans="5:9" ht="16.5" hidden="1">
      <c r="E6230" s="4" t="str">
        <v/>
      </c>
      <c r="F6230" s="102" t="str">
        <f ca="1">IFERROR(__xludf.DUMMYFUNCTION("IMPORTRANGE(H6230,""IDENTITAS UNIT!D9"")"),"#N/A")</f>
        <v>#N/A</v>
      </c>
      <c r="H6230" s="4" t="str">
        <v/>
      </c>
      <c r="I6230" s="4" t="str">
        <v/>
      </c>
    </row>
    <row r="6231" spans="5:9" ht="16.5" hidden="1">
      <c r="E6231" s="4" t="str">
        <v/>
      </c>
      <c r="F6231" s="102" t="str">
        <f ca="1">IFERROR(__xludf.DUMMYFUNCTION("IMPORTRANGE(H6231,""IDENTITAS UNIT!D9"")"),"#N/A")</f>
        <v>#N/A</v>
      </c>
      <c r="H6231" s="4" t="str">
        <v/>
      </c>
      <c r="I6231" s="4" t="str">
        <v/>
      </c>
    </row>
    <row r="6232" spans="5:9" ht="16.5" hidden="1">
      <c r="E6232" s="4" t="str">
        <v/>
      </c>
      <c r="F6232" s="102" t="str">
        <f ca="1">IFERROR(__xludf.DUMMYFUNCTION("IMPORTRANGE(H6232,""IDENTITAS UNIT!D9"")"),"#N/A")</f>
        <v>#N/A</v>
      </c>
      <c r="H6232" s="4" t="str">
        <v/>
      </c>
      <c r="I6232" s="4" t="str">
        <v/>
      </c>
    </row>
    <row r="6233" spans="5:9" ht="16.5" hidden="1">
      <c r="E6233" s="4" t="str">
        <v/>
      </c>
      <c r="F6233" s="102" t="str">
        <f ca="1">IFERROR(__xludf.DUMMYFUNCTION("IMPORTRANGE(H6233,""IDENTITAS UNIT!D9"")"),"#N/A")</f>
        <v>#N/A</v>
      </c>
      <c r="H6233" s="4" t="str">
        <v/>
      </c>
      <c r="I6233" s="4" t="str">
        <v/>
      </c>
    </row>
    <row r="6234" spans="5:9" ht="16.5" hidden="1">
      <c r="E6234" s="4" t="str">
        <v/>
      </c>
      <c r="F6234" s="102" t="str">
        <f ca="1">IFERROR(__xludf.DUMMYFUNCTION("IMPORTRANGE(H6234,""IDENTITAS UNIT!D9"")"),"#N/A")</f>
        <v>#N/A</v>
      </c>
      <c r="H6234" s="4" t="str">
        <v/>
      </c>
      <c r="I6234" s="4" t="str">
        <v/>
      </c>
    </row>
    <row r="6235" spans="5:9" ht="16.5" hidden="1">
      <c r="E6235" s="4" t="str">
        <v/>
      </c>
      <c r="F6235" s="102" t="str">
        <f ca="1">IFERROR(__xludf.DUMMYFUNCTION("IMPORTRANGE(H6235,""IDENTITAS UNIT!D9"")"),"#N/A")</f>
        <v>#N/A</v>
      </c>
      <c r="H6235" s="4" t="str">
        <v/>
      </c>
      <c r="I6235" s="4" t="str">
        <v/>
      </c>
    </row>
    <row r="6236" spans="5:9" ht="16.5" hidden="1">
      <c r="E6236" s="4" t="str">
        <v/>
      </c>
      <c r="F6236" s="102" t="str">
        <f ca="1">IFERROR(__xludf.DUMMYFUNCTION("IMPORTRANGE(H6236,""IDENTITAS UNIT!D9"")"),"#N/A")</f>
        <v>#N/A</v>
      </c>
      <c r="H6236" s="4" t="str">
        <v/>
      </c>
      <c r="I6236" s="4" t="str">
        <v/>
      </c>
    </row>
    <row r="6237" spans="5:9" ht="16.5" hidden="1">
      <c r="E6237" s="4" t="str">
        <v/>
      </c>
      <c r="F6237" s="102" t="str">
        <f ca="1">IFERROR(__xludf.DUMMYFUNCTION("IMPORTRANGE(H6237,""IDENTITAS UNIT!D9"")"),"#N/A")</f>
        <v>#N/A</v>
      </c>
      <c r="H6237" s="4" t="str">
        <v/>
      </c>
      <c r="I6237" s="4" t="str">
        <v/>
      </c>
    </row>
    <row r="6238" spans="5:9" ht="16.5" hidden="1">
      <c r="E6238" s="4" t="str">
        <v/>
      </c>
      <c r="F6238" s="102" t="str">
        <f ca="1">IFERROR(__xludf.DUMMYFUNCTION("IMPORTRANGE(H6238,""IDENTITAS UNIT!D9"")"),"#N/A")</f>
        <v>#N/A</v>
      </c>
      <c r="H6238" s="4" t="str">
        <v/>
      </c>
      <c r="I6238" s="4" t="str">
        <v/>
      </c>
    </row>
    <row r="6239" spans="5:9" ht="16.5" hidden="1">
      <c r="E6239" s="4" t="str">
        <v/>
      </c>
      <c r="F6239" s="102" t="str">
        <f ca="1">IFERROR(__xludf.DUMMYFUNCTION("IMPORTRANGE(H6239,""IDENTITAS UNIT!D9"")"),"#N/A")</f>
        <v>#N/A</v>
      </c>
      <c r="H6239" s="4" t="str">
        <v/>
      </c>
      <c r="I6239" s="4" t="str">
        <v/>
      </c>
    </row>
    <row r="6240" spans="5:9" ht="16.5" hidden="1">
      <c r="E6240" s="4" t="str">
        <v/>
      </c>
      <c r="F6240" s="102" t="str">
        <f ca="1">IFERROR(__xludf.DUMMYFUNCTION("IMPORTRANGE(H6240,""IDENTITAS UNIT!D9"")"),"#N/A")</f>
        <v>#N/A</v>
      </c>
      <c r="H6240" s="4" t="str">
        <v/>
      </c>
      <c r="I6240" s="4" t="str">
        <v/>
      </c>
    </row>
    <row r="6241" spans="5:9" ht="16.5" hidden="1">
      <c r="E6241" s="4" t="str">
        <v/>
      </c>
      <c r="F6241" s="102" t="str">
        <f ca="1">IFERROR(__xludf.DUMMYFUNCTION("IMPORTRANGE(H6241,""IDENTITAS UNIT!D9"")"),"#N/A")</f>
        <v>#N/A</v>
      </c>
      <c r="H6241" s="4" t="str">
        <v/>
      </c>
      <c r="I6241" s="4" t="str">
        <v/>
      </c>
    </row>
    <row r="6242" spans="5:9" ht="16.5" hidden="1">
      <c r="E6242" s="4" t="str">
        <v/>
      </c>
      <c r="F6242" s="102" t="str">
        <f ca="1">IFERROR(__xludf.DUMMYFUNCTION("IMPORTRANGE(H6242,""IDENTITAS UNIT!D9"")"),"#N/A")</f>
        <v>#N/A</v>
      </c>
      <c r="H6242" s="4" t="str">
        <v/>
      </c>
      <c r="I6242" s="4" t="str">
        <v/>
      </c>
    </row>
    <row r="6243" spans="5:9" ht="16.5" hidden="1">
      <c r="E6243" s="4" t="str">
        <v/>
      </c>
      <c r="F6243" s="102" t="str">
        <f ca="1">IFERROR(__xludf.DUMMYFUNCTION("IMPORTRANGE(H6243,""IDENTITAS UNIT!D9"")"),"#N/A")</f>
        <v>#N/A</v>
      </c>
      <c r="H6243" s="4" t="str">
        <v/>
      </c>
      <c r="I6243" s="4" t="str">
        <v/>
      </c>
    </row>
    <row r="6244" spans="5:9" ht="16.5" hidden="1">
      <c r="E6244" s="4" t="str">
        <v/>
      </c>
      <c r="F6244" s="102" t="str">
        <f ca="1">IFERROR(__xludf.DUMMYFUNCTION("IMPORTRANGE(H6244,""IDENTITAS UNIT!D9"")"),"#N/A")</f>
        <v>#N/A</v>
      </c>
      <c r="H6244" s="4" t="str">
        <v/>
      </c>
      <c r="I6244" s="4" t="str">
        <v/>
      </c>
    </row>
    <row r="6245" spans="5:9" ht="16.5" hidden="1">
      <c r="E6245" s="4" t="str">
        <v/>
      </c>
      <c r="F6245" s="102" t="str">
        <f ca="1">IFERROR(__xludf.DUMMYFUNCTION("IMPORTRANGE(H6245,""IDENTITAS UNIT!D9"")"),"#N/A")</f>
        <v>#N/A</v>
      </c>
      <c r="H6245" s="4" t="str">
        <v/>
      </c>
      <c r="I6245" s="4" t="str">
        <v/>
      </c>
    </row>
    <row r="6246" spans="5:9" ht="16.5" hidden="1">
      <c r="E6246" s="4" t="str">
        <v/>
      </c>
      <c r="F6246" s="102" t="str">
        <f ca="1">IFERROR(__xludf.DUMMYFUNCTION("IMPORTRANGE(H6246,""IDENTITAS UNIT!D9"")"),"#N/A")</f>
        <v>#N/A</v>
      </c>
      <c r="H6246" s="4" t="str">
        <v/>
      </c>
      <c r="I6246" s="4" t="str">
        <v/>
      </c>
    </row>
    <row r="6247" spans="5:9" ht="16.5" hidden="1">
      <c r="E6247" s="4" t="str">
        <v/>
      </c>
      <c r="F6247" s="102" t="str">
        <f ca="1">IFERROR(__xludf.DUMMYFUNCTION("IMPORTRANGE(H6247,""IDENTITAS UNIT!D9"")"),"#N/A")</f>
        <v>#N/A</v>
      </c>
      <c r="H6247" s="4" t="str">
        <v/>
      </c>
      <c r="I6247" s="4" t="str">
        <v/>
      </c>
    </row>
    <row r="6248" spans="5:9" ht="16.5" hidden="1">
      <c r="E6248" s="4" t="str">
        <v/>
      </c>
      <c r="F6248" s="102" t="str">
        <f ca="1">IFERROR(__xludf.DUMMYFUNCTION("IMPORTRANGE(H6248,""IDENTITAS UNIT!D9"")"),"#N/A")</f>
        <v>#N/A</v>
      </c>
      <c r="H6248" s="4" t="str">
        <v/>
      </c>
      <c r="I6248" s="4" t="str">
        <v/>
      </c>
    </row>
    <row r="6249" spans="5:9" ht="16.5" hidden="1">
      <c r="E6249" s="4" t="str">
        <v/>
      </c>
      <c r="F6249" s="102" t="str">
        <f ca="1">IFERROR(__xludf.DUMMYFUNCTION("IMPORTRANGE(H6249,""IDENTITAS UNIT!D9"")"),"#N/A")</f>
        <v>#N/A</v>
      </c>
      <c r="H6249" s="4" t="str">
        <v/>
      </c>
      <c r="I6249" s="4" t="str">
        <v/>
      </c>
    </row>
    <row r="6250" spans="5:9" ht="16.5" hidden="1">
      <c r="E6250" s="4" t="str">
        <v/>
      </c>
      <c r="F6250" s="102" t="str">
        <f ca="1">IFERROR(__xludf.DUMMYFUNCTION("IMPORTRANGE(H6250,""IDENTITAS UNIT!D9"")"),"#N/A")</f>
        <v>#N/A</v>
      </c>
      <c r="H6250" s="4" t="str">
        <v/>
      </c>
      <c r="I6250" s="4" t="str">
        <v/>
      </c>
    </row>
    <row r="6251" spans="5:9" ht="16.5" hidden="1">
      <c r="E6251" s="4" t="str">
        <v/>
      </c>
      <c r="F6251" s="102" t="str">
        <f ca="1">IFERROR(__xludf.DUMMYFUNCTION("IMPORTRANGE(H6251,""IDENTITAS UNIT!D9"")"),"#N/A")</f>
        <v>#N/A</v>
      </c>
      <c r="H6251" s="4" t="str">
        <v/>
      </c>
      <c r="I6251" s="4" t="str">
        <v/>
      </c>
    </row>
    <row r="6252" spans="5:9" ht="16.5" hidden="1">
      <c r="E6252" s="4" t="str">
        <v/>
      </c>
      <c r="F6252" s="102" t="str">
        <f ca="1">IFERROR(__xludf.DUMMYFUNCTION("IMPORTRANGE(H6252,""IDENTITAS UNIT!D9"")"),"#N/A")</f>
        <v>#N/A</v>
      </c>
      <c r="H6252" s="4" t="str">
        <v/>
      </c>
      <c r="I6252" s="4" t="str">
        <v/>
      </c>
    </row>
    <row r="6253" spans="5:9" ht="16.5" hidden="1">
      <c r="E6253" s="4" t="str">
        <v/>
      </c>
      <c r="F6253" s="102" t="str">
        <f ca="1">IFERROR(__xludf.DUMMYFUNCTION("IMPORTRANGE(H6253,""IDENTITAS UNIT!D9"")"),"#N/A")</f>
        <v>#N/A</v>
      </c>
      <c r="H6253" s="4" t="str">
        <v/>
      </c>
      <c r="I6253" s="4" t="str">
        <v/>
      </c>
    </row>
    <row r="6254" spans="5:9" ht="16.5" hidden="1">
      <c r="E6254" s="4" t="str">
        <v/>
      </c>
      <c r="F6254" s="102" t="str">
        <f ca="1">IFERROR(__xludf.DUMMYFUNCTION("IMPORTRANGE(H6254,""IDENTITAS UNIT!D9"")"),"#N/A")</f>
        <v>#N/A</v>
      </c>
      <c r="H6254" s="4" t="str">
        <v/>
      </c>
      <c r="I6254" s="4" t="str">
        <v/>
      </c>
    </row>
    <row r="6255" spans="5:9" ht="16.5" hidden="1">
      <c r="E6255" s="4" t="str">
        <v/>
      </c>
      <c r="F6255" s="102" t="str">
        <f ca="1">IFERROR(__xludf.DUMMYFUNCTION("IMPORTRANGE(H6255,""IDENTITAS UNIT!D9"")"),"#N/A")</f>
        <v>#N/A</v>
      </c>
      <c r="H6255" s="4" t="str">
        <v/>
      </c>
      <c r="I6255" s="4" t="str">
        <v/>
      </c>
    </row>
    <row r="6256" spans="5:9" ht="16.5" hidden="1">
      <c r="E6256" s="4" t="str">
        <v/>
      </c>
      <c r="F6256" s="102" t="str">
        <f ca="1">IFERROR(__xludf.DUMMYFUNCTION("IMPORTRANGE(H6256,""IDENTITAS UNIT!D9"")"),"#N/A")</f>
        <v>#N/A</v>
      </c>
      <c r="H6256" s="4" t="str">
        <v/>
      </c>
      <c r="I6256" s="4" t="str">
        <v/>
      </c>
    </row>
    <row r="6257" spans="5:9" ht="16.5" hidden="1">
      <c r="E6257" s="4" t="str">
        <v/>
      </c>
      <c r="F6257" s="102" t="str">
        <f ca="1">IFERROR(__xludf.DUMMYFUNCTION("IMPORTRANGE(H6257,""IDENTITAS UNIT!D9"")"),"#N/A")</f>
        <v>#N/A</v>
      </c>
      <c r="H6257" s="4" t="str">
        <v/>
      </c>
      <c r="I6257" s="4" t="str">
        <v/>
      </c>
    </row>
    <row r="6258" spans="5:9" ht="16.5" hidden="1">
      <c r="E6258" s="4" t="str">
        <v/>
      </c>
      <c r="F6258" s="102" t="str">
        <f ca="1">IFERROR(__xludf.DUMMYFUNCTION("IMPORTRANGE(H6258,""IDENTITAS UNIT!D9"")"),"#N/A")</f>
        <v>#N/A</v>
      </c>
      <c r="H6258" s="4" t="str">
        <v/>
      </c>
      <c r="I6258" s="4" t="str">
        <v/>
      </c>
    </row>
    <row r="6259" spans="5:9" ht="16.5" hidden="1">
      <c r="E6259" s="4" t="str">
        <v/>
      </c>
      <c r="F6259" s="102" t="str">
        <f ca="1">IFERROR(__xludf.DUMMYFUNCTION("IMPORTRANGE(H6259,""IDENTITAS UNIT!D9"")"),"#N/A")</f>
        <v>#N/A</v>
      </c>
      <c r="H6259" s="4" t="str">
        <v/>
      </c>
      <c r="I6259" s="4" t="str">
        <v/>
      </c>
    </row>
    <row r="6260" spans="5:9" ht="16.5" hidden="1">
      <c r="E6260" s="4" t="str">
        <v/>
      </c>
      <c r="F6260" s="102" t="str">
        <f ca="1">IFERROR(__xludf.DUMMYFUNCTION("IMPORTRANGE(H6260,""IDENTITAS UNIT!D9"")"),"#N/A")</f>
        <v>#N/A</v>
      </c>
      <c r="H6260" s="4" t="str">
        <v/>
      </c>
      <c r="I6260" s="4" t="str">
        <v/>
      </c>
    </row>
    <row r="6261" spans="5:9" ht="16.5" hidden="1">
      <c r="E6261" s="4" t="str">
        <v/>
      </c>
      <c r="F6261" s="102" t="str">
        <f ca="1">IFERROR(__xludf.DUMMYFUNCTION("IMPORTRANGE(H6261,""IDENTITAS UNIT!D9"")"),"#N/A")</f>
        <v>#N/A</v>
      </c>
      <c r="H6261" s="4" t="str">
        <v/>
      </c>
      <c r="I6261" s="4" t="str">
        <v/>
      </c>
    </row>
    <row r="6262" spans="5:9" ht="16.5" hidden="1">
      <c r="E6262" s="4" t="str">
        <v/>
      </c>
      <c r="F6262" s="102" t="str">
        <f ca="1">IFERROR(__xludf.DUMMYFUNCTION("IMPORTRANGE(H6262,""IDENTITAS UNIT!D9"")"),"#N/A")</f>
        <v>#N/A</v>
      </c>
      <c r="H6262" s="4" t="str">
        <v/>
      </c>
      <c r="I6262" s="4" t="str">
        <v/>
      </c>
    </row>
    <row r="6263" spans="5:9" ht="16.5" hidden="1">
      <c r="E6263" s="4" t="str">
        <v/>
      </c>
      <c r="F6263" s="102" t="str">
        <f ca="1">IFERROR(__xludf.DUMMYFUNCTION("IMPORTRANGE(H6263,""IDENTITAS UNIT!D9"")"),"#N/A")</f>
        <v>#N/A</v>
      </c>
      <c r="H6263" s="4" t="str">
        <v/>
      </c>
      <c r="I6263" s="4" t="str">
        <v/>
      </c>
    </row>
    <row r="6264" spans="5:9" ht="16.5" hidden="1">
      <c r="E6264" s="4" t="str">
        <v/>
      </c>
      <c r="F6264" s="102" t="str">
        <f ca="1">IFERROR(__xludf.DUMMYFUNCTION("IMPORTRANGE(H6264,""IDENTITAS UNIT!D9"")"),"#N/A")</f>
        <v>#N/A</v>
      </c>
      <c r="H6264" s="4" t="str">
        <v/>
      </c>
      <c r="I6264" s="4" t="str">
        <v/>
      </c>
    </row>
    <row r="6265" spans="5:9" ht="16.5" hidden="1">
      <c r="E6265" s="4" t="str">
        <v/>
      </c>
      <c r="F6265" s="102" t="str">
        <f ca="1">IFERROR(__xludf.DUMMYFUNCTION("IMPORTRANGE(H6265,""IDENTITAS UNIT!D9"")"),"#N/A")</f>
        <v>#N/A</v>
      </c>
      <c r="H6265" s="4" t="str">
        <v/>
      </c>
      <c r="I6265" s="4" t="str">
        <v/>
      </c>
    </row>
    <row r="6266" spans="5:9" ht="16.5" hidden="1">
      <c r="E6266" s="4" t="str">
        <v/>
      </c>
      <c r="F6266" s="102" t="str">
        <f ca="1">IFERROR(__xludf.DUMMYFUNCTION("IMPORTRANGE(H6266,""IDENTITAS UNIT!D9"")"),"#N/A")</f>
        <v>#N/A</v>
      </c>
      <c r="H6266" s="4" t="str">
        <v/>
      </c>
      <c r="I6266" s="4" t="str">
        <v/>
      </c>
    </row>
    <row r="6267" spans="5:9" ht="16.5" hidden="1">
      <c r="E6267" s="4" t="str">
        <v/>
      </c>
      <c r="F6267" s="102" t="str">
        <f ca="1">IFERROR(__xludf.DUMMYFUNCTION("IMPORTRANGE(H6267,""IDENTITAS UNIT!D9"")"),"#N/A")</f>
        <v>#N/A</v>
      </c>
      <c r="H6267" s="4" t="str">
        <v/>
      </c>
      <c r="I6267" s="4" t="str">
        <v/>
      </c>
    </row>
    <row r="6268" spans="5:9" ht="16.5" hidden="1">
      <c r="E6268" s="4" t="str">
        <v/>
      </c>
      <c r="F6268" s="102" t="str">
        <f ca="1">IFERROR(__xludf.DUMMYFUNCTION("IMPORTRANGE(H6268,""IDENTITAS UNIT!D9"")"),"#N/A")</f>
        <v>#N/A</v>
      </c>
      <c r="H6268" s="4" t="str">
        <v/>
      </c>
      <c r="I6268" s="4" t="str">
        <v/>
      </c>
    </row>
    <row r="6269" spans="5:9" ht="16.5" hidden="1">
      <c r="E6269" s="4" t="str">
        <v/>
      </c>
      <c r="F6269" s="102" t="str">
        <f ca="1">IFERROR(__xludf.DUMMYFUNCTION("IMPORTRANGE(H6269,""IDENTITAS UNIT!D9"")"),"#N/A")</f>
        <v>#N/A</v>
      </c>
      <c r="H6269" s="4" t="str">
        <v/>
      </c>
      <c r="I6269" s="4" t="str">
        <v/>
      </c>
    </row>
    <row r="6270" spans="5:9" ht="16.5" hidden="1">
      <c r="E6270" s="4" t="str">
        <v/>
      </c>
      <c r="F6270" s="102" t="str">
        <f ca="1">IFERROR(__xludf.DUMMYFUNCTION("IMPORTRANGE(H6270,""IDENTITAS UNIT!D9"")"),"#N/A")</f>
        <v>#N/A</v>
      </c>
      <c r="H6270" s="4" t="str">
        <v/>
      </c>
      <c r="I6270" s="4" t="str">
        <v/>
      </c>
    </row>
    <row r="6271" spans="5:9" ht="16.5" hidden="1">
      <c r="E6271" s="4" t="str">
        <v/>
      </c>
      <c r="F6271" s="102" t="str">
        <f ca="1">IFERROR(__xludf.DUMMYFUNCTION("IMPORTRANGE(H6271,""IDENTITAS UNIT!D9"")"),"#N/A")</f>
        <v>#N/A</v>
      </c>
      <c r="H6271" s="4" t="str">
        <v/>
      </c>
      <c r="I6271" s="4" t="str">
        <v/>
      </c>
    </row>
    <row r="6272" spans="5:9" ht="16.5" hidden="1">
      <c r="E6272" s="4" t="str">
        <v/>
      </c>
      <c r="F6272" s="102" t="str">
        <f ca="1">IFERROR(__xludf.DUMMYFUNCTION("IMPORTRANGE(H6272,""IDENTITAS UNIT!D9"")"),"#N/A")</f>
        <v>#N/A</v>
      </c>
      <c r="H6272" s="4" t="str">
        <v/>
      </c>
      <c r="I6272" s="4" t="str">
        <v/>
      </c>
    </row>
    <row r="6273" spans="5:9" ht="16.5" hidden="1">
      <c r="E6273" s="4" t="str">
        <v/>
      </c>
      <c r="F6273" s="102" t="str">
        <f ca="1">IFERROR(__xludf.DUMMYFUNCTION("IMPORTRANGE(H6273,""IDENTITAS UNIT!D9"")"),"#N/A")</f>
        <v>#N/A</v>
      </c>
      <c r="H6273" s="4" t="str">
        <v/>
      </c>
      <c r="I6273" s="4" t="str">
        <v/>
      </c>
    </row>
    <row r="6274" spans="5:9" ht="16.5" hidden="1">
      <c r="E6274" s="4" t="str">
        <v/>
      </c>
      <c r="F6274" s="102" t="str">
        <f ca="1">IFERROR(__xludf.DUMMYFUNCTION("IMPORTRANGE(H6274,""IDENTITAS UNIT!D9"")"),"#N/A")</f>
        <v>#N/A</v>
      </c>
      <c r="H6274" s="4" t="str">
        <v/>
      </c>
      <c r="I6274" s="4" t="str">
        <v/>
      </c>
    </row>
    <row r="6275" spans="5:9" ht="16.5" hidden="1">
      <c r="E6275" s="4" t="str">
        <v/>
      </c>
      <c r="F6275" s="102" t="str">
        <f ca="1">IFERROR(__xludf.DUMMYFUNCTION("IMPORTRANGE(H6275,""IDENTITAS UNIT!D9"")"),"#N/A")</f>
        <v>#N/A</v>
      </c>
      <c r="H6275" s="4" t="str">
        <v/>
      </c>
      <c r="I6275" s="4" t="str">
        <v/>
      </c>
    </row>
    <row r="6276" spans="5:9" ht="16.5" hidden="1">
      <c r="E6276" s="4" t="str">
        <v/>
      </c>
      <c r="F6276" s="102" t="str">
        <f ca="1">IFERROR(__xludf.DUMMYFUNCTION("IMPORTRANGE(H6276,""IDENTITAS UNIT!D9"")"),"#N/A")</f>
        <v>#N/A</v>
      </c>
      <c r="H6276" s="4" t="str">
        <v/>
      </c>
      <c r="I6276" s="4" t="str">
        <v/>
      </c>
    </row>
    <row r="6277" spans="5:9" ht="16.5" hidden="1">
      <c r="E6277" s="4" t="str">
        <v/>
      </c>
      <c r="F6277" s="102" t="str">
        <f ca="1">IFERROR(__xludf.DUMMYFUNCTION("IMPORTRANGE(H6277,""IDENTITAS UNIT!D9"")"),"#N/A")</f>
        <v>#N/A</v>
      </c>
      <c r="H6277" s="4" t="str">
        <v/>
      </c>
      <c r="I6277" s="4" t="str">
        <v/>
      </c>
    </row>
    <row r="6278" spans="5:9" ht="16.5" hidden="1">
      <c r="E6278" s="4" t="str">
        <v/>
      </c>
      <c r="F6278" s="102" t="str">
        <f ca="1">IFERROR(__xludf.DUMMYFUNCTION("IMPORTRANGE(H6278,""IDENTITAS UNIT!D9"")"),"#N/A")</f>
        <v>#N/A</v>
      </c>
      <c r="H6278" s="4" t="str">
        <v/>
      </c>
      <c r="I6278" s="4" t="str">
        <v/>
      </c>
    </row>
    <row r="6279" spans="5:9" ht="16.5" hidden="1">
      <c r="E6279" s="4" t="str">
        <v/>
      </c>
      <c r="F6279" s="102" t="str">
        <f ca="1">IFERROR(__xludf.DUMMYFUNCTION("IMPORTRANGE(H6279,""IDENTITAS UNIT!D9"")"),"#N/A")</f>
        <v>#N/A</v>
      </c>
      <c r="H6279" s="4" t="str">
        <v/>
      </c>
      <c r="I6279" s="4" t="str">
        <v/>
      </c>
    </row>
    <row r="6280" spans="5:9" ht="16.5" hidden="1">
      <c r="E6280" s="4" t="str">
        <v/>
      </c>
      <c r="F6280" s="102" t="str">
        <f ca="1">IFERROR(__xludf.DUMMYFUNCTION("IMPORTRANGE(H6280,""IDENTITAS UNIT!D9"")"),"#N/A")</f>
        <v>#N/A</v>
      </c>
      <c r="H6280" s="4" t="str">
        <v/>
      </c>
      <c r="I6280" s="4" t="str">
        <v/>
      </c>
    </row>
    <row r="6281" spans="5:9" ht="16.5" hidden="1">
      <c r="E6281" s="4" t="str">
        <v/>
      </c>
      <c r="F6281" s="102" t="str">
        <f ca="1">IFERROR(__xludf.DUMMYFUNCTION("IMPORTRANGE(H6281,""IDENTITAS UNIT!D9"")"),"#N/A")</f>
        <v>#N/A</v>
      </c>
      <c r="H6281" s="4" t="str">
        <v/>
      </c>
      <c r="I6281" s="4" t="str">
        <v/>
      </c>
    </row>
    <row r="6282" spans="5:9" ht="16.5" hidden="1">
      <c r="E6282" s="4" t="str">
        <v/>
      </c>
      <c r="F6282" s="102" t="str">
        <f ca="1">IFERROR(__xludf.DUMMYFUNCTION("IMPORTRANGE(H6282,""IDENTITAS UNIT!D9"")"),"#N/A")</f>
        <v>#N/A</v>
      </c>
      <c r="H6282" s="4" t="str">
        <v/>
      </c>
      <c r="I6282" s="4" t="str">
        <v/>
      </c>
    </row>
    <row r="6283" spans="5:9" ht="16.5" hidden="1">
      <c r="E6283" s="4" t="str">
        <v/>
      </c>
      <c r="F6283" s="102" t="str">
        <f ca="1">IFERROR(__xludf.DUMMYFUNCTION("IMPORTRANGE(H6283,""IDENTITAS UNIT!D9"")"),"#N/A")</f>
        <v>#N/A</v>
      </c>
      <c r="H6283" s="4" t="str">
        <v/>
      </c>
      <c r="I6283" s="4" t="str">
        <v/>
      </c>
    </row>
    <row r="6284" spans="5:9" ht="16.5" hidden="1">
      <c r="E6284" s="4" t="str">
        <v/>
      </c>
      <c r="F6284" s="102" t="str">
        <f ca="1">IFERROR(__xludf.DUMMYFUNCTION("IMPORTRANGE(H6284,""IDENTITAS UNIT!D9"")"),"#N/A")</f>
        <v>#N/A</v>
      </c>
      <c r="H6284" s="4" t="str">
        <v/>
      </c>
      <c r="I6284" s="4" t="str">
        <v/>
      </c>
    </row>
    <row r="6285" spans="5:9" ht="16.5" hidden="1">
      <c r="E6285" s="4" t="str">
        <v/>
      </c>
      <c r="F6285" s="102" t="str">
        <f ca="1">IFERROR(__xludf.DUMMYFUNCTION("IMPORTRANGE(H6285,""IDENTITAS UNIT!D9"")"),"#N/A")</f>
        <v>#N/A</v>
      </c>
      <c r="H6285" s="4" t="str">
        <v/>
      </c>
      <c r="I6285" s="4" t="str">
        <v/>
      </c>
    </row>
    <row r="6286" spans="5:9" ht="16.5" hidden="1">
      <c r="E6286" s="4" t="str">
        <v/>
      </c>
      <c r="F6286" s="102" t="str">
        <f ca="1">IFERROR(__xludf.DUMMYFUNCTION("IMPORTRANGE(H6286,""IDENTITAS UNIT!D9"")"),"#N/A")</f>
        <v>#N/A</v>
      </c>
      <c r="H6286" s="4" t="str">
        <v/>
      </c>
      <c r="I6286" s="4" t="str">
        <v/>
      </c>
    </row>
    <row r="6287" spans="5:9" ht="16.5" hidden="1">
      <c r="E6287" s="4" t="str">
        <v/>
      </c>
      <c r="F6287" s="102" t="str">
        <f ca="1">IFERROR(__xludf.DUMMYFUNCTION("IMPORTRANGE(H6287,""IDENTITAS UNIT!D9"")"),"#N/A")</f>
        <v>#N/A</v>
      </c>
      <c r="H6287" s="4" t="str">
        <v/>
      </c>
      <c r="I6287" s="4" t="str">
        <v/>
      </c>
    </row>
    <row r="6288" spans="5:9" ht="16.5" hidden="1">
      <c r="E6288" s="4" t="str">
        <v/>
      </c>
      <c r="F6288" s="102" t="str">
        <f ca="1">IFERROR(__xludf.DUMMYFUNCTION("IMPORTRANGE(H6288,""IDENTITAS UNIT!D9"")"),"#N/A")</f>
        <v>#N/A</v>
      </c>
      <c r="H6288" s="4" t="str">
        <v/>
      </c>
      <c r="I6288" s="4" t="str">
        <v/>
      </c>
    </row>
    <row r="6289" spans="5:9" ht="16.5" hidden="1">
      <c r="E6289" s="4" t="str">
        <v/>
      </c>
      <c r="F6289" s="102" t="str">
        <f ca="1">IFERROR(__xludf.DUMMYFUNCTION("IMPORTRANGE(H6289,""IDENTITAS UNIT!D9"")"),"#N/A")</f>
        <v>#N/A</v>
      </c>
      <c r="H6289" s="4" t="str">
        <v/>
      </c>
      <c r="I6289" s="4" t="str">
        <v/>
      </c>
    </row>
    <row r="6290" spans="5:9" ht="16.5" hidden="1">
      <c r="E6290" s="4" t="str">
        <v/>
      </c>
      <c r="F6290" s="102" t="str">
        <f ca="1">IFERROR(__xludf.DUMMYFUNCTION("IMPORTRANGE(H6290,""IDENTITAS UNIT!D9"")"),"#N/A")</f>
        <v>#N/A</v>
      </c>
      <c r="H6290" s="4" t="str">
        <v/>
      </c>
      <c r="I6290" s="4" t="str">
        <v/>
      </c>
    </row>
    <row r="6291" spans="5:9" ht="16.5" hidden="1">
      <c r="E6291" s="4" t="str">
        <v/>
      </c>
      <c r="F6291" s="102" t="str">
        <f ca="1">IFERROR(__xludf.DUMMYFUNCTION("IMPORTRANGE(H6291,""IDENTITAS UNIT!D9"")"),"#N/A")</f>
        <v>#N/A</v>
      </c>
      <c r="H6291" s="4" t="str">
        <v/>
      </c>
      <c r="I6291" s="4" t="str">
        <v/>
      </c>
    </row>
    <row r="6292" spans="5:9" ht="16.5" hidden="1">
      <c r="E6292" s="4" t="str">
        <v/>
      </c>
      <c r="F6292" s="102" t="str">
        <f ca="1">IFERROR(__xludf.DUMMYFUNCTION("IMPORTRANGE(H6292,""IDENTITAS UNIT!D9"")"),"#N/A")</f>
        <v>#N/A</v>
      </c>
      <c r="H6292" s="4" t="str">
        <v/>
      </c>
      <c r="I6292" s="4" t="str">
        <v/>
      </c>
    </row>
    <row r="6293" spans="5:9" ht="16.5" hidden="1">
      <c r="E6293" s="4" t="str">
        <v/>
      </c>
      <c r="F6293" s="102" t="str">
        <f ca="1">IFERROR(__xludf.DUMMYFUNCTION("IMPORTRANGE(H6293,""IDENTITAS UNIT!D9"")"),"#N/A")</f>
        <v>#N/A</v>
      </c>
      <c r="H6293" s="4" t="str">
        <v/>
      </c>
      <c r="I6293" s="4" t="str">
        <v/>
      </c>
    </row>
    <row r="6294" spans="5:9" ht="16.5" hidden="1">
      <c r="E6294" s="4" t="str">
        <v/>
      </c>
      <c r="F6294" s="102" t="str">
        <f ca="1">IFERROR(__xludf.DUMMYFUNCTION("IMPORTRANGE(H6294,""IDENTITAS UNIT!D9"")"),"#N/A")</f>
        <v>#N/A</v>
      </c>
      <c r="H6294" s="4" t="str">
        <v/>
      </c>
      <c r="I6294" s="4" t="str">
        <v/>
      </c>
    </row>
    <row r="6295" spans="5:9" ht="16.5" hidden="1">
      <c r="E6295" s="4" t="str">
        <v/>
      </c>
      <c r="F6295" s="102" t="str">
        <f ca="1">IFERROR(__xludf.DUMMYFUNCTION("IMPORTRANGE(H6295,""IDENTITAS UNIT!D9"")"),"#N/A")</f>
        <v>#N/A</v>
      </c>
      <c r="H6295" s="4" t="str">
        <v/>
      </c>
      <c r="I6295" s="4" t="str">
        <v/>
      </c>
    </row>
    <row r="6296" spans="5:9" ht="16.5" hidden="1">
      <c r="E6296" s="4" t="str">
        <v/>
      </c>
      <c r="F6296" s="102" t="str">
        <f ca="1">IFERROR(__xludf.DUMMYFUNCTION("IMPORTRANGE(H6296,""IDENTITAS UNIT!D9"")"),"#N/A")</f>
        <v>#N/A</v>
      </c>
      <c r="H6296" s="4" t="str">
        <v/>
      </c>
      <c r="I6296" s="4" t="str">
        <v/>
      </c>
    </row>
    <row r="6297" spans="5:9" ht="16.5" hidden="1">
      <c r="E6297" s="4" t="str">
        <v/>
      </c>
      <c r="F6297" s="102" t="str">
        <f ca="1">IFERROR(__xludf.DUMMYFUNCTION("IMPORTRANGE(H6297,""IDENTITAS UNIT!D9"")"),"#N/A")</f>
        <v>#N/A</v>
      </c>
      <c r="H6297" s="4" t="str">
        <v/>
      </c>
      <c r="I6297" s="4" t="str">
        <v/>
      </c>
    </row>
    <row r="6298" spans="5:9" ht="16.5" hidden="1">
      <c r="E6298" s="4" t="str">
        <v/>
      </c>
      <c r="F6298" s="102" t="str">
        <f ca="1">IFERROR(__xludf.DUMMYFUNCTION("IMPORTRANGE(H6298,""IDENTITAS UNIT!D9"")"),"#N/A")</f>
        <v>#N/A</v>
      </c>
      <c r="H6298" s="4" t="str">
        <v/>
      </c>
      <c r="I6298" s="4" t="str">
        <v/>
      </c>
    </row>
    <row r="6299" spans="5:9" ht="16.5" hidden="1">
      <c r="E6299" s="4" t="str">
        <v/>
      </c>
      <c r="F6299" s="102" t="str">
        <f ca="1">IFERROR(__xludf.DUMMYFUNCTION("IMPORTRANGE(H6299,""IDENTITAS UNIT!D9"")"),"#N/A")</f>
        <v>#N/A</v>
      </c>
      <c r="H6299" s="4" t="str">
        <v/>
      </c>
      <c r="I6299" s="4" t="str">
        <v/>
      </c>
    </row>
    <row r="6300" spans="5:9" ht="16.5" hidden="1">
      <c r="E6300" s="4" t="str">
        <v/>
      </c>
      <c r="F6300" s="102" t="str">
        <f ca="1">IFERROR(__xludf.DUMMYFUNCTION("IMPORTRANGE(H6300,""IDENTITAS UNIT!D9"")"),"#N/A")</f>
        <v>#N/A</v>
      </c>
      <c r="H6300" s="4" t="str">
        <v/>
      </c>
      <c r="I6300" s="4" t="str">
        <v/>
      </c>
    </row>
    <row r="6301" spans="5:9" ht="16.5" hidden="1">
      <c r="E6301" s="4" t="str">
        <v/>
      </c>
      <c r="F6301" s="102" t="str">
        <f ca="1">IFERROR(__xludf.DUMMYFUNCTION("IMPORTRANGE(H6301,""IDENTITAS UNIT!D9"")"),"#N/A")</f>
        <v>#N/A</v>
      </c>
      <c r="H6301" s="4" t="str">
        <v/>
      </c>
      <c r="I6301" s="4" t="str">
        <v/>
      </c>
    </row>
    <row r="6302" spans="5:9" ht="16.5" hidden="1">
      <c r="E6302" s="4" t="str">
        <v/>
      </c>
      <c r="F6302" s="102" t="str">
        <f ca="1">IFERROR(__xludf.DUMMYFUNCTION("IMPORTRANGE(H6302,""IDENTITAS UNIT!D9"")"),"#N/A")</f>
        <v>#N/A</v>
      </c>
      <c r="H6302" s="4" t="str">
        <v/>
      </c>
      <c r="I6302" s="4" t="str">
        <v/>
      </c>
    </row>
    <row r="6303" spans="5:9" ht="16.5" hidden="1">
      <c r="E6303" s="4" t="str">
        <v/>
      </c>
      <c r="F6303" s="102" t="str">
        <f ca="1">IFERROR(__xludf.DUMMYFUNCTION("IMPORTRANGE(H6303,""IDENTITAS UNIT!D9"")"),"#N/A")</f>
        <v>#N/A</v>
      </c>
      <c r="H6303" s="4" t="str">
        <v/>
      </c>
      <c r="I6303" s="4" t="str">
        <v/>
      </c>
    </row>
    <row r="6304" spans="5:9" ht="16.5" hidden="1">
      <c r="E6304" s="4" t="str">
        <v/>
      </c>
      <c r="F6304" s="102" t="str">
        <f ca="1">IFERROR(__xludf.DUMMYFUNCTION("IMPORTRANGE(H6304,""IDENTITAS UNIT!D9"")"),"#N/A")</f>
        <v>#N/A</v>
      </c>
      <c r="H6304" s="4" t="str">
        <v/>
      </c>
      <c r="I6304" s="4" t="str">
        <v/>
      </c>
    </row>
    <row r="6305" spans="5:9" ht="16.5" hidden="1">
      <c r="E6305" s="4" t="str">
        <v/>
      </c>
      <c r="F6305" s="102" t="str">
        <f ca="1">IFERROR(__xludf.DUMMYFUNCTION("IMPORTRANGE(H6305,""IDENTITAS UNIT!D9"")"),"#N/A")</f>
        <v>#N/A</v>
      </c>
      <c r="H6305" s="4" t="str">
        <v/>
      </c>
      <c r="I6305" s="4" t="str">
        <v/>
      </c>
    </row>
    <row r="6306" spans="5:9" ht="16.5" hidden="1">
      <c r="E6306" s="4" t="str">
        <v/>
      </c>
      <c r="F6306" s="102" t="str">
        <f ca="1">IFERROR(__xludf.DUMMYFUNCTION("IMPORTRANGE(H6306,""IDENTITAS UNIT!D9"")"),"#N/A")</f>
        <v>#N/A</v>
      </c>
      <c r="H6306" s="4" t="str">
        <v/>
      </c>
      <c r="I6306" s="4" t="str">
        <v/>
      </c>
    </row>
    <row r="6307" spans="5:9" ht="16.5" hidden="1">
      <c r="E6307" s="4" t="str">
        <v/>
      </c>
      <c r="F6307" s="102" t="str">
        <f ca="1">IFERROR(__xludf.DUMMYFUNCTION("IMPORTRANGE(H6307,""IDENTITAS UNIT!D9"")"),"#N/A")</f>
        <v>#N/A</v>
      </c>
      <c r="H6307" s="4" t="str">
        <v/>
      </c>
      <c r="I6307" s="4" t="str">
        <v/>
      </c>
    </row>
    <row r="6308" spans="5:9" ht="16.5" hidden="1">
      <c r="E6308" s="4" t="str">
        <v/>
      </c>
      <c r="F6308" s="102" t="str">
        <f ca="1">IFERROR(__xludf.DUMMYFUNCTION("IMPORTRANGE(H6308,""IDENTITAS UNIT!D9"")"),"#N/A")</f>
        <v>#N/A</v>
      </c>
      <c r="H6308" s="4" t="str">
        <v/>
      </c>
      <c r="I6308" s="4" t="str">
        <v/>
      </c>
    </row>
    <row r="6309" spans="5:9" ht="16.5" hidden="1">
      <c r="E6309" s="4" t="str">
        <v/>
      </c>
      <c r="F6309" s="102" t="str">
        <f ca="1">IFERROR(__xludf.DUMMYFUNCTION("IMPORTRANGE(H6309,""IDENTITAS UNIT!D9"")"),"#N/A")</f>
        <v>#N/A</v>
      </c>
      <c r="H6309" s="4" t="str">
        <v/>
      </c>
      <c r="I6309" s="4" t="str">
        <v/>
      </c>
    </row>
    <row r="6310" spans="5:9" ht="16.5" hidden="1">
      <c r="E6310" s="4" t="str">
        <v/>
      </c>
      <c r="F6310" s="102" t="str">
        <f ca="1">IFERROR(__xludf.DUMMYFUNCTION("IMPORTRANGE(H6310,""IDENTITAS UNIT!D9"")"),"#N/A")</f>
        <v>#N/A</v>
      </c>
      <c r="H6310" s="4" t="str">
        <v/>
      </c>
      <c r="I6310" s="4" t="str">
        <v/>
      </c>
    </row>
    <row r="6311" spans="5:9" ht="16.5" hidden="1">
      <c r="E6311" s="4" t="str">
        <v/>
      </c>
      <c r="F6311" s="102" t="str">
        <f ca="1">IFERROR(__xludf.DUMMYFUNCTION("IMPORTRANGE(H6311,""IDENTITAS UNIT!D9"")"),"#N/A")</f>
        <v>#N/A</v>
      </c>
      <c r="H6311" s="4" t="str">
        <v/>
      </c>
      <c r="I6311" s="4" t="str">
        <v/>
      </c>
    </row>
    <row r="6312" spans="5:9" ht="16.5" hidden="1">
      <c r="E6312" s="4" t="str">
        <v/>
      </c>
      <c r="F6312" s="102" t="str">
        <f ca="1">IFERROR(__xludf.DUMMYFUNCTION("IMPORTRANGE(H6312,""IDENTITAS UNIT!D9"")"),"#N/A")</f>
        <v>#N/A</v>
      </c>
      <c r="H6312" s="4" t="str">
        <v/>
      </c>
      <c r="I6312" s="4" t="str">
        <v/>
      </c>
    </row>
    <row r="6313" spans="5:9" ht="16.5" hidden="1">
      <c r="E6313" s="4" t="str">
        <v/>
      </c>
      <c r="F6313" s="102" t="str">
        <f ca="1">IFERROR(__xludf.DUMMYFUNCTION("IMPORTRANGE(H6313,""IDENTITAS UNIT!D9"")"),"#N/A")</f>
        <v>#N/A</v>
      </c>
      <c r="H6313" s="4" t="str">
        <v/>
      </c>
      <c r="I6313" s="4" t="str">
        <v/>
      </c>
    </row>
    <row r="6314" spans="5:9" ht="16.5" hidden="1">
      <c r="E6314" s="4" t="str">
        <v/>
      </c>
      <c r="F6314" s="102" t="str">
        <f ca="1">IFERROR(__xludf.DUMMYFUNCTION("IMPORTRANGE(H6314,""IDENTITAS UNIT!D9"")"),"#N/A")</f>
        <v>#N/A</v>
      </c>
      <c r="H6314" s="4" t="str">
        <v/>
      </c>
      <c r="I6314" s="4" t="str">
        <v/>
      </c>
    </row>
    <row r="6315" spans="5:9" ht="16.5" hidden="1">
      <c r="E6315" s="4" t="str">
        <v/>
      </c>
      <c r="F6315" s="102" t="str">
        <f ca="1">IFERROR(__xludf.DUMMYFUNCTION("IMPORTRANGE(H6315,""IDENTITAS UNIT!D9"")"),"#N/A")</f>
        <v>#N/A</v>
      </c>
      <c r="H6315" s="4" t="str">
        <v/>
      </c>
      <c r="I6315" s="4" t="str">
        <v/>
      </c>
    </row>
    <row r="6316" spans="5:9" ht="16.5" hidden="1">
      <c r="E6316" s="4" t="str">
        <v/>
      </c>
      <c r="F6316" s="102" t="str">
        <f ca="1">IFERROR(__xludf.DUMMYFUNCTION("IMPORTRANGE(H6316,""IDENTITAS UNIT!D9"")"),"#N/A")</f>
        <v>#N/A</v>
      </c>
      <c r="H6316" s="4" t="str">
        <v/>
      </c>
      <c r="I6316" s="4" t="str">
        <v/>
      </c>
    </row>
    <row r="6317" spans="5:9" ht="16.5" hidden="1">
      <c r="E6317" s="4" t="str">
        <v/>
      </c>
      <c r="F6317" s="102" t="str">
        <f ca="1">IFERROR(__xludf.DUMMYFUNCTION("IMPORTRANGE(H6317,""IDENTITAS UNIT!D9"")"),"#N/A")</f>
        <v>#N/A</v>
      </c>
      <c r="H6317" s="4" t="str">
        <v/>
      </c>
      <c r="I6317" s="4" t="str">
        <v/>
      </c>
    </row>
    <row r="6318" spans="5:9" ht="16.5" hidden="1">
      <c r="E6318" s="4" t="str">
        <v/>
      </c>
      <c r="F6318" s="102" t="str">
        <f ca="1">IFERROR(__xludf.DUMMYFUNCTION("IMPORTRANGE(H6318,""IDENTITAS UNIT!D9"")"),"#N/A")</f>
        <v>#N/A</v>
      </c>
      <c r="H6318" s="4" t="str">
        <v/>
      </c>
      <c r="I6318" s="4" t="str">
        <v/>
      </c>
    </row>
    <row r="6319" spans="5:9" ht="16.5" hidden="1">
      <c r="E6319" s="4" t="str">
        <v/>
      </c>
      <c r="F6319" s="102" t="str">
        <f ca="1">IFERROR(__xludf.DUMMYFUNCTION("IMPORTRANGE(H6319,""IDENTITAS UNIT!D9"")"),"#N/A")</f>
        <v>#N/A</v>
      </c>
      <c r="H6319" s="4" t="str">
        <v/>
      </c>
      <c r="I6319" s="4" t="str">
        <v/>
      </c>
    </row>
    <row r="6320" spans="5:9" ht="16.5" hidden="1">
      <c r="E6320" s="4" t="str">
        <v/>
      </c>
      <c r="F6320" s="102" t="str">
        <f ca="1">IFERROR(__xludf.DUMMYFUNCTION("IMPORTRANGE(H6320,""IDENTITAS UNIT!D9"")"),"#N/A")</f>
        <v>#N/A</v>
      </c>
      <c r="H6320" s="4" t="str">
        <v/>
      </c>
      <c r="I6320" s="4" t="str">
        <v/>
      </c>
    </row>
    <row r="6321" spans="5:9" ht="16.5" hidden="1">
      <c r="E6321" s="4" t="str">
        <v/>
      </c>
      <c r="F6321" s="102" t="str">
        <f ca="1">IFERROR(__xludf.DUMMYFUNCTION("IMPORTRANGE(H6321,""IDENTITAS UNIT!D9"")"),"#N/A")</f>
        <v>#N/A</v>
      </c>
      <c r="H6321" s="4" t="str">
        <v/>
      </c>
      <c r="I6321" s="4" t="str">
        <v/>
      </c>
    </row>
    <row r="6322" spans="5:9" ht="16.5" hidden="1">
      <c r="E6322" s="4" t="str">
        <v/>
      </c>
      <c r="F6322" s="102" t="str">
        <f ca="1">IFERROR(__xludf.DUMMYFUNCTION("IMPORTRANGE(H6322,""IDENTITAS UNIT!D9"")"),"#N/A")</f>
        <v>#N/A</v>
      </c>
      <c r="H6322" s="4" t="str">
        <v/>
      </c>
      <c r="I6322" s="4" t="str">
        <v/>
      </c>
    </row>
    <row r="6323" spans="5:9" ht="16.5" hidden="1">
      <c r="E6323" s="4" t="str">
        <v/>
      </c>
      <c r="F6323" s="102" t="str">
        <f ca="1">IFERROR(__xludf.DUMMYFUNCTION("IMPORTRANGE(H6323,""IDENTITAS UNIT!D9"")"),"#N/A")</f>
        <v>#N/A</v>
      </c>
      <c r="H6323" s="4" t="str">
        <v/>
      </c>
      <c r="I6323" s="4" t="str">
        <v/>
      </c>
    </row>
    <row r="6324" spans="5:9" ht="16.5" hidden="1">
      <c r="E6324" s="4" t="str">
        <v/>
      </c>
      <c r="F6324" s="102" t="str">
        <f ca="1">IFERROR(__xludf.DUMMYFUNCTION("IMPORTRANGE(H6324,""IDENTITAS UNIT!D9"")"),"#N/A")</f>
        <v>#N/A</v>
      </c>
      <c r="H6324" s="4" t="str">
        <v/>
      </c>
      <c r="I6324" s="4" t="str">
        <v/>
      </c>
    </row>
    <row r="6325" spans="5:9" ht="16.5" hidden="1">
      <c r="E6325" s="4" t="str">
        <v/>
      </c>
      <c r="F6325" s="102" t="str">
        <f ca="1">IFERROR(__xludf.DUMMYFUNCTION("IMPORTRANGE(H6325,""IDENTITAS UNIT!D9"")"),"#N/A")</f>
        <v>#N/A</v>
      </c>
      <c r="H6325" s="4" t="str">
        <v/>
      </c>
      <c r="I6325" s="4" t="str">
        <v/>
      </c>
    </row>
    <row r="6326" spans="5:9" ht="16.5" hidden="1">
      <c r="E6326" s="4" t="str">
        <v/>
      </c>
      <c r="F6326" s="102" t="str">
        <f ca="1">IFERROR(__xludf.DUMMYFUNCTION("IMPORTRANGE(H6326,""IDENTITAS UNIT!D9"")"),"#N/A")</f>
        <v>#N/A</v>
      </c>
      <c r="H6326" s="4" t="str">
        <v/>
      </c>
      <c r="I6326" s="4" t="str">
        <v/>
      </c>
    </row>
    <row r="6327" spans="5:9" ht="16.5" hidden="1">
      <c r="E6327" s="4" t="str">
        <v/>
      </c>
      <c r="F6327" s="102" t="str">
        <f ca="1">IFERROR(__xludf.DUMMYFUNCTION("IMPORTRANGE(H6327,""IDENTITAS UNIT!D9"")"),"#N/A")</f>
        <v>#N/A</v>
      </c>
      <c r="H6327" s="4" t="str">
        <v/>
      </c>
      <c r="I6327" s="4" t="str">
        <v/>
      </c>
    </row>
    <row r="6328" spans="5:9" ht="16.5" hidden="1">
      <c r="E6328" s="4" t="str">
        <v/>
      </c>
      <c r="F6328" s="102" t="str">
        <f ca="1">IFERROR(__xludf.DUMMYFUNCTION("IMPORTRANGE(H6328,""IDENTITAS UNIT!D9"")"),"#N/A")</f>
        <v>#N/A</v>
      </c>
      <c r="H6328" s="4" t="str">
        <v/>
      </c>
      <c r="I6328" s="4" t="str">
        <v/>
      </c>
    </row>
    <row r="6329" spans="5:9" ht="16.5" hidden="1">
      <c r="E6329" s="4" t="str">
        <v/>
      </c>
      <c r="F6329" s="102" t="str">
        <f ca="1">IFERROR(__xludf.DUMMYFUNCTION("IMPORTRANGE(H6329,""IDENTITAS UNIT!D9"")"),"#N/A")</f>
        <v>#N/A</v>
      </c>
      <c r="H6329" s="4" t="str">
        <v/>
      </c>
      <c r="I6329" s="4" t="str">
        <v/>
      </c>
    </row>
    <row r="6330" spans="5:9" ht="16.5" hidden="1">
      <c r="E6330" s="4" t="str">
        <v/>
      </c>
      <c r="F6330" s="102" t="str">
        <f ca="1">IFERROR(__xludf.DUMMYFUNCTION("IMPORTRANGE(H6330,""IDENTITAS UNIT!D9"")"),"#N/A")</f>
        <v>#N/A</v>
      </c>
      <c r="H6330" s="4" t="str">
        <v/>
      </c>
      <c r="I6330" s="4" t="str">
        <v/>
      </c>
    </row>
    <row r="6331" spans="5:9" ht="16.5" hidden="1">
      <c r="E6331" s="4" t="str">
        <v/>
      </c>
      <c r="F6331" s="102" t="str">
        <f ca="1">IFERROR(__xludf.DUMMYFUNCTION("IMPORTRANGE(H6331,""IDENTITAS UNIT!D9"")"),"#N/A")</f>
        <v>#N/A</v>
      </c>
      <c r="H6331" s="4" t="str">
        <v/>
      </c>
      <c r="I6331" s="4" t="str">
        <v/>
      </c>
    </row>
    <row r="6332" spans="5:9" ht="16.5" hidden="1">
      <c r="E6332" s="4" t="str">
        <v/>
      </c>
      <c r="F6332" s="102" t="str">
        <f ca="1">IFERROR(__xludf.DUMMYFUNCTION("IMPORTRANGE(H6332,""IDENTITAS UNIT!D9"")"),"#N/A")</f>
        <v>#N/A</v>
      </c>
      <c r="H6332" s="4" t="str">
        <v/>
      </c>
      <c r="I6332" s="4" t="str">
        <v/>
      </c>
    </row>
    <row r="6333" spans="5:9" ht="16.5" hidden="1">
      <c r="E6333" s="4" t="str">
        <v/>
      </c>
      <c r="F6333" s="102" t="str">
        <f ca="1">IFERROR(__xludf.DUMMYFUNCTION("IMPORTRANGE(H6333,""IDENTITAS UNIT!D9"")"),"#N/A")</f>
        <v>#N/A</v>
      </c>
      <c r="H6333" s="4" t="str">
        <v/>
      </c>
      <c r="I6333" s="4" t="str">
        <v/>
      </c>
    </row>
    <row r="6334" spans="5:9" ht="16.5" hidden="1">
      <c r="E6334" s="4" t="str">
        <v/>
      </c>
      <c r="F6334" s="102" t="str">
        <f ca="1">IFERROR(__xludf.DUMMYFUNCTION("IMPORTRANGE(H6334,""IDENTITAS UNIT!D9"")"),"#N/A")</f>
        <v>#N/A</v>
      </c>
      <c r="H6334" s="4" t="str">
        <v/>
      </c>
      <c r="I6334" s="4" t="str">
        <v/>
      </c>
    </row>
    <row r="6335" spans="5:9" ht="16.5" hidden="1">
      <c r="E6335" s="4" t="str">
        <v/>
      </c>
      <c r="F6335" s="102" t="str">
        <f ca="1">IFERROR(__xludf.DUMMYFUNCTION("IMPORTRANGE(H6335,""IDENTITAS UNIT!D9"")"),"#N/A")</f>
        <v>#N/A</v>
      </c>
      <c r="H6335" s="4" t="str">
        <v/>
      </c>
      <c r="I6335" s="4" t="str">
        <v/>
      </c>
    </row>
    <row r="6336" spans="5:9" ht="16.5" hidden="1">
      <c r="E6336" s="4" t="str">
        <v/>
      </c>
      <c r="F6336" s="102" t="str">
        <f ca="1">IFERROR(__xludf.DUMMYFUNCTION("IMPORTRANGE(H6336,""IDENTITAS UNIT!D9"")"),"#N/A")</f>
        <v>#N/A</v>
      </c>
      <c r="H6336" s="4" t="str">
        <v/>
      </c>
      <c r="I6336" s="4" t="str">
        <v/>
      </c>
    </row>
    <row r="6337" spans="5:9" ht="16.5" hidden="1">
      <c r="E6337" s="4" t="str">
        <v/>
      </c>
      <c r="F6337" s="102" t="str">
        <f ca="1">IFERROR(__xludf.DUMMYFUNCTION("IMPORTRANGE(H6337,""IDENTITAS UNIT!D9"")"),"#N/A")</f>
        <v>#N/A</v>
      </c>
      <c r="H6337" s="4" t="str">
        <v/>
      </c>
      <c r="I6337" s="4" t="str">
        <v/>
      </c>
    </row>
    <row r="6338" spans="5:9" ht="16.5" hidden="1">
      <c r="E6338" s="4" t="str">
        <v/>
      </c>
      <c r="F6338" s="102" t="str">
        <f ca="1">IFERROR(__xludf.DUMMYFUNCTION("IMPORTRANGE(H6338,""IDENTITAS UNIT!D9"")"),"#N/A")</f>
        <v>#N/A</v>
      </c>
      <c r="H6338" s="4" t="str">
        <v/>
      </c>
      <c r="I6338" s="4" t="str">
        <v/>
      </c>
    </row>
    <row r="6339" spans="5:9" ht="16.5" hidden="1">
      <c r="E6339" s="4" t="str">
        <v/>
      </c>
      <c r="F6339" s="102" t="str">
        <f ca="1">IFERROR(__xludf.DUMMYFUNCTION("IMPORTRANGE(H6339,""IDENTITAS UNIT!D9"")"),"#N/A")</f>
        <v>#N/A</v>
      </c>
      <c r="H6339" s="4" t="str">
        <v/>
      </c>
      <c r="I6339" s="4" t="str">
        <v/>
      </c>
    </row>
    <row r="6340" spans="5:9" ht="16.5" hidden="1">
      <c r="E6340" s="4" t="str">
        <v/>
      </c>
      <c r="F6340" s="102" t="str">
        <f ca="1">IFERROR(__xludf.DUMMYFUNCTION("IMPORTRANGE(H6340,""IDENTITAS UNIT!D9"")"),"#N/A")</f>
        <v>#N/A</v>
      </c>
      <c r="H6340" s="4" t="str">
        <v/>
      </c>
      <c r="I6340" s="4" t="str">
        <v/>
      </c>
    </row>
    <row r="6341" spans="5:9" ht="16.5" hidden="1">
      <c r="E6341" s="4" t="str">
        <v/>
      </c>
      <c r="F6341" s="102" t="str">
        <f ca="1">IFERROR(__xludf.DUMMYFUNCTION("IMPORTRANGE(H6341,""IDENTITAS UNIT!D9"")"),"#N/A")</f>
        <v>#N/A</v>
      </c>
      <c r="H6341" s="4" t="str">
        <v/>
      </c>
      <c r="I6341" s="4" t="str">
        <v/>
      </c>
    </row>
    <row r="6342" spans="5:9" ht="16.5" hidden="1">
      <c r="E6342" s="4" t="str">
        <v/>
      </c>
      <c r="F6342" s="102" t="str">
        <f ca="1">IFERROR(__xludf.DUMMYFUNCTION("IMPORTRANGE(H6342,""IDENTITAS UNIT!D9"")"),"#N/A")</f>
        <v>#N/A</v>
      </c>
      <c r="H6342" s="4" t="str">
        <v/>
      </c>
      <c r="I6342" s="4" t="str">
        <v/>
      </c>
    </row>
    <row r="6343" spans="5:9" ht="16.5" hidden="1">
      <c r="E6343" s="4" t="str">
        <v/>
      </c>
      <c r="F6343" s="102" t="str">
        <f ca="1">IFERROR(__xludf.DUMMYFUNCTION("IMPORTRANGE(H6343,""IDENTITAS UNIT!D9"")"),"#N/A")</f>
        <v>#N/A</v>
      </c>
      <c r="H6343" s="4" t="str">
        <v/>
      </c>
      <c r="I6343" s="4" t="str">
        <v/>
      </c>
    </row>
    <row r="6344" spans="5:9" ht="16.5" hidden="1">
      <c r="E6344" s="4" t="str">
        <v/>
      </c>
      <c r="F6344" s="102" t="str">
        <f ca="1">IFERROR(__xludf.DUMMYFUNCTION("IMPORTRANGE(H6344,""IDENTITAS UNIT!D9"")"),"#N/A")</f>
        <v>#N/A</v>
      </c>
      <c r="H6344" s="4" t="str">
        <v/>
      </c>
      <c r="I6344" s="4" t="str">
        <v/>
      </c>
    </row>
    <row r="6345" spans="5:9" ht="16.5" hidden="1">
      <c r="E6345" s="4" t="str">
        <v/>
      </c>
      <c r="F6345" s="102" t="str">
        <f ca="1">IFERROR(__xludf.DUMMYFUNCTION("IMPORTRANGE(H6345,""IDENTITAS UNIT!D9"")"),"#N/A")</f>
        <v>#N/A</v>
      </c>
      <c r="H6345" s="4" t="str">
        <v/>
      </c>
      <c r="I6345" s="4" t="str">
        <v/>
      </c>
    </row>
    <row r="6346" spans="5:9" ht="16.5" hidden="1">
      <c r="E6346" s="4" t="str">
        <v/>
      </c>
      <c r="F6346" s="102" t="str">
        <f ca="1">IFERROR(__xludf.DUMMYFUNCTION("IMPORTRANGE(H6346,""IDENTITAS UNIT!D9"")"),"#N/A")</f>
        <v>#N/A</v>
      </c>
      <c r="H6346" s="4" t="str">
        <v/>
      </c>
      <c r="I6346" s="4" t="str">
        <v/>
      </c>
    </row>
    <row r="6347" spans="5:9" ht="16.5" hidden="1">
      <c r="E6347" s="4" t="str">
        <v/>
      </c>
      <c r="F6347" s="102" t="str">
        <f ca="1">IFERROR(__xludf.DUMMYFUNCTION("IMPORTRANGE(H6347,""IDENTITAS UNIT!D9"")"),"#N/A")</f>
        <v>#N/A</v>
      </c>
      <c r="H6347" s="4" t="str">
        <v/>
      </c>
      <c r="I6347" s="4" t="str">
        <v/>
      </c>
    </row>
    <row r="6348" spans="5:9" ht="16.5" hidden="1">
      <c r="E6348" s="4" t="str">
        <v/>
      </c>
      <c r="F6348" s="102" t="str">
        <f ca="1">IFERROR(__xludf.DUMMYFUNCTION("IMPORTRANGE(H6348,""IDENTITAS UNIT!D9"")"),"#N/A")</f>
        <v>#N/A</v>
      </c>
      <c r="H6348" s="4" t="str">
        <v/>
      </c>
      <c r="I6348" s="4" t="str">
        <v/>
      </c>
    </row>
    <row r="6349" spans="5:9" ht="16.5" hidden="1">
      <c r="E6349" s="4" t="str">
        <v/>
      </c>
      <c r="F6349" s="102" t="str">
        <f ca="1">IFERROR(__xludf.DUMMYFUNCTION("IMPORTRANGE(H6349,""IDENTITAS UNIT!D9"")"),"#N/A")</f>
        <v>#N/A</v>
      </c>
      <c r="H6349" s="4" t="str">
        <v/>
      </c>
      <c r="I6349" s="4" t="str">
        <v/>
      </c>
    </row>
    <row r="6350" spans="5:9" ht="16.5" hidden="1">
      <c r="E6350" s="4" t="str">
        <v/>
      </c>
      <c r="F6350" s="102" t="str">
        <f ca="1">IFERROR(__xludf.DUMMYFUNCTION("IMPORTRANGE(H6350,""IDENTITAS UNIT!D9"")"),"#N/A")</f>
        <v>#N/A</v>
      </c>
      <c r="H6350" s="4" t="str">
        <v/>
      </c>
      <c r="I6350" s="4" t="str">
        <v/>
      </c>
    </row>
    <row r="6351" spans="5:9" ht="16.5" hidden="1">
      <c r="E6351" s="4" t="str">
        <v/>
      </c>
      <c r="F6351" s="102" t="str">
        <f ca="1">IFERROR(__xludf.DUMMYFUNCTION("IMPORTRANGE(H6351,""IDENTITAS UNIT!D9"")"),"#N/A")</f>
        <v>#N/A</v>
      </c>
      <c r="H6351" s="4" t="str">
        <v/>
      </c>
      <c r="I6351" s="4" t="str">
        <v/>
      </c>
    </row>
    <row r="6352" spans="5:9" ht="16.5" hidden="1">
      <c r="E6352" s="4" t="str">
        <v/>
      </c>
      <c r="F6352" s="102" t="str">
        <f ca="1">IFERROR(__xludf.DUMMYFUNCTION("IMPORTRANGE(H6352,""IDENTITAS UNIT!D9"")"),"#N/A")</f>
        <v>#N/A</v>
      </c>
      <c r="H6352" s="4" t="str">
        <v/>
      </c>
      <c r="I6352" s="4" t="str">
        <v/>
      </c>
    </row>
    <row r="6353" spans="5:9" ht="16.5" hidden="1">
      <c r="E6353" s="4" t="str">
        <v/>
      </c>
      <c r="F6353" s="102" t="str">
        <f ca="1">IFERROR(__xludf.DUMMYFUNCTION("IMPORTRANGE(H6353,""IDENTITAS UNIT!D9"")"),"#N/A")</f>
        <v>#N/A</v>
      </c>
      <c r="H6353" s="4" t="str">
        <v/>
      </c>
      <c r="I6353" s="4" t="str">
        <v/>
      </c>
    </row>
    <row r="6354" spans="5:9" ht="16.5" hidden="1">
      <c r="E6354" s="4" t="str">
        <v/>
      </c>
      <c r="F6354" s="102" t="str">
        <f ca="1">IFERROR(__xludf.DUMMYFUNCTION("IMPORTRANGE(H6354,""IDENTITAS UNIT!D9"")"),"#N/A")</f>
        <v>#N/A</v>
      </c>
      <c r="H6354" s="4" t="str">
        <v/>
      </c>
      <c r="I6354" s="4" t="str">
        <v/>
      </c>
    </row>
    <row r="6355" spans="5:9" ht="16.5" hidden="1">
      <c r="E6355" s="4" t="str">
        <v/>
      </c>
      <c r="F6355" s="102" t="str">
        <f ca="1">IFERROR(__xludf.DUMMYFUNCTION("IMPORTRANGE(H6355,""IDENTITAS UNIT!D9"")"),"#N/A")</f>
        <v>#N/A</v>
      </c>
      <c r="H6355" s="4" t="str">
        <v/>
      </c>
      <c r="I6355" s="4" t="str">
        <v/>
      </c>
    </row>
    <row r="6356" spans="5:9" ht="16.5" hidden="1">
      <c r="E6356" s="4" t="str">
        <v/>
      </c>
      <c r="F6356" s="102" t="str">
        <f ca="1">IFERROR(__xludf.DUMMYFUNCTION("IMPORTRANGE(H6356,""IDENTITAS UNIT!D9"")"),"#N/A")</f>
        <v>#N/A</v>
      </c>
      <c r="H6356" s="4" t="str">
        <v/>
      </c>
      <c r="I6356" s="4" t="str">
        <v/>
      </c>
    </row>
    <row r="6357" spans="5:9" ht="16.5" hidden="1">
      <c r="E6357" s="4" t="str">
        <v/>
      </c>
      <c r="F6357" s="102" t="str">
        <f ca="1">IFERROR(__xludf.DUMMYFUNCTION("IMPORTRANGE(H6357,""IDENTITAS UNIT!D9"")"),"#N/A")</f>
        <v>#N/A</v>
      </c>
      <c r="H6357" s="4" t="str">
        <v/>
      </c>
      <c r="I6357" s="4" t="str">
        <v/>
      </c>
    </row>
    <row r="6358" spans="5:9" ht="16.5" hidden="1">
      <c r="E6358" s="4" t="str">
        <v/>
      </c>
      <c r="F6358" s="102" t="str">
        <f ca="1">IFERROR(__xludf.DUMMYFUNCTION("IMPORTRANGE(H6358,""IDENTITAS UNIT!D9"")"),"#N/A")</f>
        <v>#N/A</v>
      </c>
      <c r="H6358" s="4" t="str">
        <v/>
      </c>
      <c r="I6358" s="4" t="str">
        <v/>
      </c>
    </row>
    <row r="6359" spans="5:9" ht="16.5" hidden="1">
      <c r="E6359" s="4" t="str">
        <v/>
      </c>
      <c r="F6359" s="102" t="str">
        <f ca="1">IFERROR(__xludf.DUMMYFUNCTION("IMPORTRANGE(H6359,""IDENTITAS UNIT!D9"")"),"#N/A")</f>
        <v>#N/A</v>
      </c>
      <c r="H6359" s="4" t="str">
        <v/>
      </c>
      <c r="I6359" s="4" t="str">
        <v/>
      </c>
    </row>
    <row r="6360" spans="5:9" ht="16.5" hidden="1">
      <c r="E6360" s="4" t="str">
        <v/>
      </c>
      <c r="F6360" s="102" t="str">
        <f ca="1">IFERROR(__xludf.DUMMYFUNCTION("IMPORTRANGE(H6360,""IDENTITAS UNIT!D9"")"),"#N/A")</f>
        <v>#N/A</v>
      </c>
      <c r="H6360" s="4" t="str">
        <v/>
      </c>
      <c r="I6360" s="4" t="str">
        <v/>
      </c>
    </row>
    <row r="6361" spans="5:9" ht="16.5" hidden="1">
      <c r="E6361" s="4" t="str">
        <v/>
      </c>
      <c r="F6361" s="102" t="str">
        <f ca="1">IFERROR(__xludf.DUMMYFUNCTION("IMPORTRANGE(H6361,""IDENTITAS UNIT!D9"")"),"#N/A")</f>
        <v>#N/A</v>
      </c>
      <c r="H6361" s="4" t="str">
        <v/>
      </c>
      <c r="I6361" s="4" t="str">
        <v/>
      </c>
    </row>
    <row r="6362" spans="5:9" ht="16.5" hidden="1">
      <c r="E6362" s="4" t="str">
        <v/>
      </c>
      <c r="F6362" s="102" t="str">
        <f ca="1">IFERROR(__xludf.DUMMYFUNCTION("IMPORTRANGE(H6362,""IDENTITAS UNIT!D9"")"),"#N/A")</f>
        <v>#N/A</v>
      </c>
      <c r="H6362" s="4" t="str">
        <v/>
      </c>
      <c r="I6362" s="4" t="str">
        <v/>
      </c>
    </row>
    <row r="6363" spans="5:9" ht="16.5" hidden="1">
      <c r="E6363" s="4" t="str">
        <v/>
      </c>
      <c r="F6363" s="102" t="str">
        <f ca="1">IFERROR(__xludf.DUMMYFUNCTION("IMPORTRANGE(H6363,""IDENTITAS UNIT!D9"")"),"#N/A")</f>
        <v>#N/A</v>
      </c>
      <c r="H6363" s="4" t="str">
        <v/>
      </c>
      <c r="I6363" s="4" t="str">
        <v/>
      </c>
    </row>
    <row r="6364" spans="5:9" ht="16.5" hidden="1">
      <c r="E6364" s="4" t="str">
        <v/>
      </c>
      <c r="F6364" s="102" t="str">
        <f ca="1">IFERROR(__xludf.DUMMYFUNCTION("IMPORTRANGE(H6364,""IDENTITAS UNIT!D9"")"),"#N/A")</f>
        <v>#N/A</v>
      </c>
      <c r="H6364" s="4" t="str">
        <v/>
      </c>
      <c r="I6364" s="4" t="str">
        <v/>
      </c>
    </row>
    <row r="6365" spans="5:9" ht="16.5" hidden="1">
      <c r="E6365" s="4" t="str">
        <v/>
      </c>
      <c r="F6365" s="102" t="str">
        <f ca="1">IFERROR(__xludf.DUMMYFUNCTION("IMPORTRANGE(H6365,""IDENTITAS UNIT!D9"")"),"#N/A")</f>
        <v>#N/A</v>
      </c>
      <c r="H6365" s="4" t="str">
        <v/>
      </c>
      <c r="I6365" s="4" t="str">
        <v/>
      </c>
    </row>
    <row r="6366" spans="5:9" ht="16.5" hidden="1">
      <c r="E6366" s="4" t="str">
        <v/>
      </c>
      <c r="F6366" s="102" t="str">
        <f ca="1">IFERROR(__xludf.DUMMYFUNCTION("IMPORTRANGE(H6366,""IDENTITAS UNIT!D9"")"),"#N/A")</f>
        <v>#N/A</v>
      </c>
      <c r="H6366" s="4" t="str">
        <v/>
      </c>
      <c r="I6366" s="4" t="str">
        <v/>
      </c>
    </row>
    <row r="6367" spans="5:9" ht="16.5" hidden="1">
      <c r="E6367" s="4" t="str">
        <v/>
      </c>
      <c r="F6367" s="102" t="str">
        <f ca="1">IFERROR(__xludf.DUMMYFUNCTION("IMPORTRANGE(H6367,""IDENTITAS UNIT!D9"")"),"#N/A")</f>
        <v>#N/A</v>
      </c>
      <c r="H6367" s="4" t="str">
        <v/>
      </c>
      <c r="I6367" s="4" t="str">
        <v/>
      </c>
    </row>
    <row r="6368" spans="5:9" ht="16.5" hidden="1">
      <c r="E6368" s="4" t="str">
        <v/>
      </c>
      <c r="F6368" s="102" t="str">
        <f ca="1">IFERROR(__xludf.DUMMYFUNCTION("IMPORTRANGE(H6368,""IDENTITAS UNIT!D9"")"),"#N/A")</f>
        <v>#N/A</v>
      </c>
      <c r="H6368" s="4" t="str">
        <v/>
      </c>
      <c r="I6368" s="4" t="str">
        <v/>
      </c>
    </row>
    <row r="6369" spans="5:9" ht="16.5" hidden="1">
      <c r="E6369" s="4" t="str">
        <v/>
      </c>
      <c r="F6369" s="102" t="str">
        <f ca="1">IFERROR(__xludf.DUMMYFUNCTION("IMPORTRANGE(H6369,""IDENTITAS UNIT!D9"")"),"#N/A")</f>
        <v>#N/A</v>
      </c>
      <c r="H6369" s="4" t="str">
        <v/>
      </c>
      <c r="I6369" s="4" t="str">
        <v/>
      </c>
    </row>
    <row r="6370" spans="5:9" ht="16.5" hidden="1">
      <c r="E6370" s="4" t="str">
        <v/>
      </c>
      <c r="F6370" s="102" t="str">
        <f ca="1">IFERROR(__xludf.DUMMYFUNCTION("IMPORTRANGE(H6370,""IDENTITAS UNIT!D9"")"),"#N/A")</f>
        <v>#N/A</v>
      </c>
      <c r="H6370" s="4" t="str">
        <v/>
      </c>
      <c r="I6370" s="4" t="str">
        <v/>
      </c>
    </row>
    <row r="6371" spans="5:9" ht="16.5" hidden="1">
      <c r="E6371" s="4" t="str">
        <v/>
      </c>
      <c r="F6371" s="102" t="str">
        <f ca="1">IFERROR(__xludf.DUMMYFUNCTION("IMPORTRANGE(H6371,""IDENTITAS UNIT!D9"")"),"#N/A")</f>
        <v>#N/A</v>
      </c>
      <c r="H6371" s="4" t="str">
        <v/>
      </c>
      <c r="I6371" s="4" t="str">
        <v/>
      </c>
    </row>
    <row r="6372" spans="5:9" ht="16.5" hidden="1">
      <c r="E6372" s="4" t="str">
        <v/>
      </c>
      <c r="F6372" s="102" t="str">
        <f ca="1">IFERROR(__xludf.DUMMYFUNCTION("IMPORTRANGE(H6372,""IDENTITAS UNIT!D9"")"),"#N/A")</f>
        <v>#N/A</v>
      </c>
      <c r="H6372" s="4" t="str">
        <v/>
      </c>
      <c r="I6372" s="4" t="str">
        <v/>
      </c>
    </row>
    <row r="6373" spans="5:9" ht="16.5" hidden="1">
      <c r="E6373" s="4" t="str">
        <v/>
      </c>
      <c r="F6373" s="102" t="str">
        <f ca="1">IFERROR(__xludf.DUMMYFUNCTION("IMPORTRANGE(H6373,""IDENTITAS UNIT!D9"")"),"#N/A")</f>
        <v>#N/A</v>
      </c>
      <c r="H6373" s="4" t="str">
        <v/>
      </c>
      <c r="I6373" s="4" t="str">
        <v/>
      </c>
    </row>
    <row r="6374" spans="5:9" ht="16.5" hidden="1">
      <c r="E6374" s="4" t="str">
        <v/>
      </c>
      <c r="F6374" s="102" t="str">
        <f ca="1">IFERROR(__xludf.DUMMYFUNCTION("IMPORTRANGE(H6374,""IDENTITAS UNIT!D9"")"),"#N/A")</f>
        <v>#N/A</v>
      </c>
      <c r="H6374" s="4" t="str">
        <v/>
      </c>
      <c r="I6374" s="4" t="str">
        <v/>
      </c>
    </row>
    <row r="6375" spans="5:9" ht="16.5" hidden="1">
      <c r="E6375" s="4" t="str">
        <v/>
      </c>
      <c r="F6375" s="102" t="str">
        <f ca="1">IFERROR(__xludf.DUMMYFUNCTION("IMPORTRANGE(H6375,""IDENTITAS UNIT!D9"")"),"#N/A")</f>
        <v>#N/A</v>
      </c>
      <c r="H6375" s="4" t="str">
        <v/>
      </c>
      <c r="I6375" s="4" t="str">
        <v/>
      </c>
    </row>
    <row r="6376" spans="5:9" ht="16.5" hidden="1">
      <c r="E6376" s="4" t="str">
        <v/>
      </c>
      <c r="F6376" s="102" t="str">
        <f ca="1">IFERROR(__xludf.DUMMYFUNCTION("IMPORTRANGE(H6376,""IDENTITAS UNIT!D9"")"),"#N/A")</f>
        <v>#N/A</v>
      </c>
      <c r="H6376" s="4" t="str">
        <v/>
      </c>
      <c r="I6376" s="4" t="str">
        <v/>
      </c>
    </row>
    <row r="6377" spans="5:9" ht="16.5" hidden="1">
      <c r="E6377" s="4" t="str">
        <v/>
      </c>
      <c r="F6377" s="102" t="str">
        <f ca="1">IFERROR(__xludf.DUMMYFUNCTION("IMPORTRANGE(H6377,""IDENTITAS UNIT!D9"")"),"#N/A")</f>
        <v>#N/A</v>
      </c>
      <c r="H6377" s="4" t="str">
        <v/>
      </c>
      <c r="I6377" s="4" t="str">
        <v/>
      </c>
    </row>
    <row r="6378" spans="5:9" ht="16.5" hidden="1">
      <c r="E6378" s="4" t="str">
        <v/>
      </c>
      <c r="F6378" s="102" t="str">
        <f ca="1">IFERROR(__xludf.DUMMYFUNCTION("IMPORTRANGE(H6378,""IDENTITAS UNIT!D9"")"),"#N/A")</f>
        <v>#N/A</v>
      </c>
      <c r="H6378" s="4" t="str">
        <v/>
      </c>
      <c r="I6378" s="4" t="str">
        <v/>
      </c>
    </row>
    <row r="6379" spans="5:9" ht="16.5" hidden="1">
      <c r="E6379" s="4" t="str">
        <v/>
      </c>
      <c r="F6379" s="102" t="str">
        <f ca="1">IFERROR(__xludf.DUMMYFUNCTION("IMPORTRANGE(H6379,""IDENTITAS UNIT!D9"")"),"#N/A")</f>
        <v>#N/A</v>
      </c>
      <c r="H6379" s="4" t="str">
        <v/>
      </c>
      <c r="I6379" s="4" t="str">
        <v/>
      </c>
    </row>
    <row r="6380" spans="5:9" ht="16.5" hidden="1">
      <c r="E6380" s="4" t="str">
        <v/>
      </c>
      <c r="F6380" s="102" t="str">
        <f ca="1">IFERROR(__xludf.DUMMYFUNCTION("IMPORTRANGE(H6380,""IDENTITAS UNIT!D9"")"),"#N/A")</f>
        <v>#N/A</v>
      </c>
      <c r="H6380" s="4" t="str">
        <v/>
      </c>
      <c r="I6380" s="4" t="str">
        <v/>
      </c>
    </row>
    <row r="6381" spans="5:9" ht="16.5" hidden="1">
      <c r="E6381" s="4" t="str">
        <v/>
      </c>
      <c r="F6381" s="102" t="str">
        <f ca="1">IFERROR(__xludf.DUMMYFUNCTION("IMPORTRANGE(H6381,""IDENTITAS UNIT!D9"")"),"#N/A")</f>
        <v>#N/A</v>
      </c>
      <c r="H6381" s="4" t="str">
        <v/>
      </c>
      <c r="I6381" s="4" t="str">
        <v/>
      </c>
    </row>
    <row r="6382" spans="5:9" ht="16.5" hidden="1">
      <c r="E6382" s="4" t="str">
        <v/>
      </c>
      <c r="F6382" s="102" t="str">
        <f ca="1">IFERROR(__xludf.DUMMYFUNCTION("IMPORTRANGE(H6382,""IDENTITAS UNIT!D9"")"),"#N/A")</f>
        <v>#N/A</v>
      </c>
      <c r="H6382" s="4" t="str">
        <v/>
      </c>
      <c r="I6382" s="4" t="str">
        <v/>
      </c>
    </row>
    <row r="6383" spans="5:9" ht="16.5" hidden="1">
      <c r="E6383" s="4" t="str">
        <v/>
      </c>
      <c r="F6383" s="102" t="str">
        <f ca="1">IFERROR(__xludf.DUMMYFUNCTION("IMPORTRANGE(H6383,""IDENTITAS UNIT!D9"")"),"#N/A")</f>
        <v>#N/A</v>
      </c>
      <c r="H6383" s="4" t="str">
        <v/>
      </c>
      <c r="I6383" s="4" t="str">
        <v/>
      </c>
    </row>
    <row r="6384" spans="5:9" ht="16.5" hidden="1">
      <c r="E6384" s="4" t="str">
        <v/>
      </c>
      <c r="F6384" s="102" t="str">
        <f ca="1">IFERROR(__xludf.DUMMYFUNCTION("IMPORTRANGE(H6384,""IDENTITAS UNIT!D9"")"),"#N/A")</f>
        <v>#N/A</v>
      </c>
      <c r="H6384" s="4" t="str">
        <v/>
      </c>
      <c r="I6384" s="4" t="str">
        <v/>
      </c>
    </row>
    <row r="6385" spans="5:9" ht="16.5" hidden="1">
      <c r="E6385" s="4" t="str">
        <v/>
      </c>
      <c r="F6385" s="102" t="str">
        <f ca="1">IFERROR(__xludf.DUMMYFUNCTION("IMPORTRANGE(H6385,""IDENTITAS UNIT!D9"")"),"#N/A")</f>
        <v>#N/A</v>
      </c>
      <c r="H6385" s="4" t="str">
        <v/>
      </c>
      <c r="I6385" s="4" t="str">
        <v/>
      </c>
    </row>
    <row r="6386" spans="5:9" ht="16.5" hidden="1">
      <c r="E6386" s="4" t="str">
        <v/>
      </c>
      <c r="F6386" s="102" t="str">
        <f ca="1">IFERROR(__xludf.DUMMYFUNCTION("IMPORTRANGE(H6386,""IDENTITAS UNIT!D9"")"),"#N/A")</f>
        <v>#N/A</v>
      </c>
      <c r="H6386" s="4" t="str">
        <v/>
      </c>
      <c r="I6386" s="4" t="str">
        <v/>
      </c>
    </row>
    <row r="6387" spans="5:9" ht="16.5" hidden="1">
      <c r="E6387" s="4" t="str">
        <v/>
      </c>
      <c r="F6387" s="102" t="str">
        <f ca="1">IFERROR(__xludf.DUMMYFUNCTION("IMPORTRANGE(H6387,""IDENTITAS UNIT!D9"")"),"#N/A")</f>
        <v>#N/A</v>
      </c>
      <c r="H6387" s="4" t="str">
        <v/>
      </c>
      <c r="I6387" s="4" t="str">
        <v/>
      </c>
    </row>
    <row r="6388" spans="5:9" ht="16.5" hidden="1">
      <c r="E6388" s="4" t="str">
        <v/>
      </c>
      <c r="F6388" s="102" t="str">
        <f ca="1">IFERROR(__xludf.DUMMYFUNCTION("IMPORTRANGE(H6388,""IDENTITAS UNIT!D9"")"),"#N/A")</f>
        <v>#N/A</v>
      </c>
      <c r="H6388" s="4" t="str">
        <v/>
      </c>
      <c r="I6388" s="4" t="str">
        <v/>
      </c>
    </row>
    <row r="6389" spans="5:9" ht="16.5" hidden="1">
      <c r="E6389" s="4" t="str">
        <v/>
      </c>
      <c r="F6389" s="102" t="str">
        <f ca="1">IFERROR(__xludf.DUMMYFUNCTION("IMPORTRANGE(H6389,""IDENTITAS UNIT!D9"")"),"#N/A")</f>
        <v>#N/A</v>
      </c>
      <c r="H6389" s="4" t="str">
        <v/>
      </c>
      <c r="I6389" s="4" t="str">
        <v/>
      </c>
    </row>
    <row r="6390" spans="5:9" ht="16.5" hidden="1">
      <c r="E6390" s="4" t="str">
        <v/>
      </c>
      <c r="F6390" s="102" t="str">
        <f ca="1">IFERROR(__xludf.DUMMYFUNCTION("IMPORTRANGE(H6390,""IDENTITAS UNIT!D9"")"),"#N/A")</f>
        <v>#N/A</v>
      </c>
      <c r="H6390" s="4" t="str">
        <v/>
      </c>
      <c r="I6390" s="4" t="str">
        <v/>
      </c>
    </row>
    <row r="6391" spans="5:9" ht="16.5" hidden="1">
      <c r="E6391" s="4" t="str">
        <v/>
      </c>
      <c r="F6391" s="102" t="str">
        <f ca="1">IFERROR(__xludf.DUMMYFUNCTION("IMPORTRANGE(H6391,""IDENTITAS UNIT!D9"")"),"#N/A")</f>
        <v>#N/A</v>
      </c>
      <c r="H6391" s="4" t="str">
        <v/>
      </c>
      <c r="I6391" s="4" t="str">
        <v/>
      </c>
    </row>
    <row r="6392" spans="5:9" ht="16.5" hidden="1">
      <c r="E6392" s="4" t="str">
        <v/>
      </c>
      <c r="F6392" s="102" t="str">
        <f ca="1">IFERROR(__xludf.DUMMYFUNCTION("IMPORTRANGE(H6392,""IDENTITAS UNIT!D9"")"),"#N/A")</f>
        <v>#N/A</v>
      </c>
      <c r="H6392" s="4" t="str">
        <v/>
      </c>
      <c r="I6392" s="4" t="str">
        <v/>
      </c>
    </row>
    <row r="6393" spans="5:9" ht="16.5" hidden="1">
      <c r="E6393" s="4" t="str">
        <v/>
      </c>
      <c r="F6393" s="102" t="str">
        <f ca="1">IFERROR(__xludf.DUMMYFUNCTION("IMPORTRANGE(H6393,""IDENTITAS UNIT!D9"")"),"#N/A")</f>
        <v>#N/A</v>
      </c>
      <c r="H6393" s="4" t="str">
        <v/>
      </c>
      <c r="I6393" s="4" t="str">
        <v/>
      </c>
    </row>
    <row r="6394" spans="5:9" ht="16.5" hidden="1">
      <c r="E6394" s="4" t="str">
        <v/>
      </c>
      <c r="F6394" s="102" t="str">
        <f ca="1">IFERROR(__xludf.DUMMYFUNCTION("IMPORTRANGE(H6394,""IDENTITAS UNIT!D9"")"),"#N/A")</f>
        <v>#N/A</v>
      </c>
      <c r="H6394" s="4" t="str">
        <v/>
      </c>
      <c r="I6394" s="4" t="str">
        <v/>
      </c>
    </row>
    <row r="6395" spans="5:9" ht="16.5" hidden="1">
      <c r="E6395" s="4" t="str">
        <v/>
      </c>
      <c r="F6395" s="102" t="str">
        <f ca="1">IFERROR(__xludf.DUMMYFUNCTION("IMPORTRANGE(H6395,""IDENTITAS UNIT!D9"")"),"#N/A")</f>
        <v>#N/A</v>
      </c>
      <c r="H6395" s="4" t="str">
        <v/>
      </c>
      <c r="I6395" s="4" t="str">
        <v/>
      </c>
    </row>
    <row r="6396" spans="5:9" ht="16.5" hidden="1">
      <c r="E6396" s="4" t="str">
        <v/>
      </c>
      <c r="F6396" s="102" t="str">
        <f ca="1">IFERROR(__xludf.DUMMYFUNCTION("IMPORTRANGE(H6396,""IDENTITAS UNIT!D9"")"),"#N/A")</f>
        <v>#N/A</v>
      </c>
      <c r="H6396" s="4" t="str">
        <v/>
      </c>
      <c r="I6396" s="4" t="str">
        <v/>
      </c>
    </row>
    <row r="6397" spans="5:9" ht="16.5" hidden="1">
      <c r="E6397" s="4" t="str">
        <v/>
      </c>
      <c r="F6397" s="102" t="str">
        <f ca="1">IFERROR(__xludf.DUMMYFUNCTION("IMPORTRANGE(H6397,""IDENTITAS UNIT!D9"")"),"#N/A")</f>
        <v>#N/A</v>
      </c>
      <c r="H6397" s="4" t="str">
        <v/>
      </c>
      <c r="I6397" s="4" t="str">
        <v/>
      </c>
    </row>
    <row r="6398" spans="5:9" ht="16.5" hidden="1">
      <c r="E6398" s="4" t="str">
        <v/>
      </c>
      <c r="F6398" s="102" t="str">
        <f ca="1">IFERROR(__xludf.DUMMYFUNCTION("IMPORTRANGE(H6398,""IDENTITAS UNIT!D9"")"),"#N/A")</f>
        <v>#N/A</v>
      </c>
      <c r="H6398" s="4" t="str">
        <v/>
      </c>
      <c r="I6398" s="4" t="str">
        <v/>
      </c>
    </row>
    <row r="6399" spans="5:9" ht="16.5" hidden="1">
      <c r="E6399" s="4" t="str">
        <v/>
      </c>
      <c r="F6399" s="102" t="str">
        <f ca="1">IFERROR(__xludf.DUMMYFUNCTION("IMPORTRANGE(H6399,""IDENTITAS UNIT!D9"")"),"#N/A")</f>
        <v>#N/A</v>
      </c>
      <c r="H6399" s="4" t="str">
        <v/>
      </c>
      <c r="I6399" s="4" t="str">
        <v/>
      </c>
    </row>
    <row r="6400" spans="5:9" ht="16.5" hidden="1">
      <c r="E6400" s="4" t="str">
        <v/>
      </c>
      <c r="F6400" s="102" t="str">
        <f ca="1">IFERROR(__xludf.DUMMYFUNCTION("IMPORTRANGE(H6400,""IDENTITAS UNIT!D9"")"),"#N/A")</f>
        <v>#N/A</v>
      </c>
      <c r="H6400" s="4" t="str">
        <v/>
      </c>
      <c r="I6400" s="4" t="str">
        <v/>
      </c>
    </row>
    <row r="6401" spans="5:9" ht="16.5" hidden="1">
      <c r="E6401" s="4" t="str">
        <v/>
      </c>
      <c r="F6401" s="102" t="str">
        <f ca="1">IFERROR(__xludf.DUMMYFUNCTION("IMPORTRANGE(H6401,""IDENTITAS UNIT!D9"")"),"#N/A")</f>
        <v>#N/A</v>
      </c>
      <c r="H6401" s="4" t="str">
        <v/>
      </c>
      <c r="I6401" s="4" t="str">
        <v/>
      </c>
    </row>
    <row r="6402" spans="5:9" ht="16.5" hidden="1">
      <c r="E6402" s="4" t="str">
        <v/>
      </c>
      <c r="F6402" s="102" t="str">
        <f ca="1">IFERROR(__xludf.DUMMYFUNCTION("IMPORTRANGE(H6402,""IDENTITAS UNIT!D9"")"),"#N/A")</f>
        <v>#N/A</v>
      </c>
      <c r="H6402" s="4" t="str">
        <v/>
      </c>
      <c r="I6402" s="4" t="str">
        <v/>
      </c>
    </row>
    <row r="6403" spans="5:9" ht="16.5" hidden="1">
      <c r="E6403" s="4" t="str">
        <v/>
      </c>
      <c r="F6403" s="102" t="str">
        <f ca="1">IFERROR(__xludf.DUMMYFUNCTION("IMPORTRANGE(H6403,""IDENTITAS UNIT!D9"")"),"#N/A")</f>
        <v>#N/A</v>
      </c>
      <c r="H6403" s="4" t="str">
        <v/>
      </c>
      <c r="I6403" s="4" t="str">
        <v/>
      </c>
    </row>
    <row r="6404" spans="5:9" ht="16.5" hidden="1">
      <c r="E6404" s="4" t="str">
        <v/>
      </c>
      <c r="F6404" s="102" t="str">
        <f ca="1">IFERROR(__xludf.DUMMYFUNCTION("IMPORTRANGE(H6404,""IDENTITAS UNIT!D9"")"),"#N/A")</f>
        <v>#N/A</v>
      </c>
      <c r="H6404" s="4" t="str">
        <v/>
      </c>
      <c r="I6404" s="4" t="str">
        <v/>
      </c>
    </row>
    <row r="6405" spans="5:9" ht="16.5" hidden="1">
      <c r="E6405" s="4" t="str">
        <v/>
      </c>
      <c r="F6405" s="102" t="str">
        <f ca="1">IFERROR(__xludf.DUMMYFUNCTION("IMPORTRANGE(H6405,""IDENTITAS UNIT!D9"")"),"#N/A")</f>
        <v>#N/A</v>
      </c>
      <c r="H6405" s="4" t="str">
        <v/>
      </c>
      <c r="I6405" s="4" t="str">
        <v/>
      </c>
    </row>
    <row r="6406" spans="5:9" ht="16.5" hidden="1">
      <c r="E6406" s="4" t="str">
        <v/>
      </c>
      <c r="F6406" s="102" t="str">
        <f ca="1">IFERROR(__xludf.DUMMYFUNCTION("IMPORTRANGE(H6406,""IDENTITAS UNIT!D9"")"),"#N/A")</f>
        <v>#N/A</v>
      </c>
      <c r="H6406" s="4" t="str">
        <v/>
      </c>
      <c r="I6406" s="4" t="str">
        <v/>
      </c>
    </row>
    <row r="6407" spans="5:9" ht="16.5" hidden="1">
      <c r="E6407" s="4" t="str">
        <v/>
      </c>
      <c r="F6407" s="102" t="str">
        <f ca="1">IFERROR(__xludf.DUMMYFUNCTION("IMPORTRANGE(H6407,""IDENTITAS UNIT!D9"")"),"#N/A")</f>
        <v>#N/A</v>
      </c>
      <c r="H6407" s="4" t="str">
        <v/>
      </c>
      <c r="I6407" s="4" t="str">
        <v/>
      </c>
    </row>
    <row r="6408" spans="5:9" ht="16.5" hidden="1">
      <c r="E6408" s="4" t="str">
        <v/>
      </c>
      <c r="F6408" s="102" t="str">
        <f ca="1">IFERROR(__xludf.DUMMYFUNCTION("IMPORTRANGE(H6408,""IDENTITAS UNIT!D9"")"),"#N/A")</f>
        <v>#N/A</v>
      </c>
      <c r="H6408" s="4" t="str">
        <v/>
      </c>
      <c r="I6408" s="4" t="str">
        <v/>
      </c>
    </row>
    <row r="6409" spans="5:9" ht="16.5" hidden="1">
      <c r="E6409" s="4" t="str">
        <v/>
      </c>
      <c r="F6409" s="102" t="str">
        <f ca="1">IFERROR(__xludf.DUMMYFUNCTION("IMPORTRANGE(H6409,""IDENTITAS UNIT!D9"")"),"#N/A")</f>
        <v>#N/A</v>
      </c>
      <c r="H6409" s="4" t="str">
        <v/>
      </c>
      <c r="I6409" s="4" t="str">
        <v/>
      </c>
    </row>
    <row r="6410" spans="5:9" ht="16.5" hidden="1">
      <c r="E6410" s="4" t="str">
        <v/>
      </c>
      <c r="F6410" s="102" t="str">
        <f ca="1">IFERROR(__xludf.DUMMYFUNCTION("IMPORTRANGE(H6410,""IDENTITAS UNIT!D9"")"),"#N/A")</f>
        <v>#N/A</v>
      </c>
      <c r="H6410" s="4" t="str">
        <v/>
      </c>
      <c r="I6410" s="4" t="str">
        <v/>
      </c>
    </row>
    <row r="6411" spans="5:9" ht="16.5" hidden="1">
      <c r="E6411" s="4" t="str">
        <v/>
      </c>
      <c r="F6411" s="102" t="str">
        <f ca="1">IFERROR(__xludf.DUMMYFUNCTION("IMPORTRANGE(H6411,""IDENTITAS UNIT!D9"")"),"#N/A")</f>
        <v>#N/A</v>
      </c>
      <c r="H6411" s="4" t="str">
        <v/>
      </c>
      <c r="I6411" s="4" t="str">
        <v/>
      </c>
    </row>
    <row r="6412" spans="5:9" ht="16.5" hidden="1">
      <c r="E6412" s="4" t="str">
        <v/>
      </c>
      <c r="F6412" s="102" t="str">
        <f ca="1">IFERROR(__xludf.DUMMYFUNCTION("IMPORTRANGE(H6412,""IDENTITAS UNIT!D9"")"),"#N/A")</f>
        <v>#N/A</v>
      </c>
      <c r="H6412" s="4" t="str">
        <v/>
      </c>
      <c r="I6412" s="4" t="str">
        <v/>
      </c>
    </row>
    <row r="6413" spans="5:9" ht="16.5" hidden="1">
      <c r="E6413" s="4" t="str">
        <v/>
      </c>
      <c r="F6413" s="102" t="str">
        <f ca="1">IFERROR(__xludf.DUMMYFUNCTION("IMPORTRANGE(H6413,""IDENTITAS UNIT!D9"")"),"#N/A")</f>
        <v>#N/A</v>
      </c>
      <c r="H6413" s="4" t="str">
        <v/>
      </c>
      <c r="I6413" s="4" t="str">
        <v/>
      </c>
    </row>
    <row r="6414" spans="5:9" ht="16.5" hidden="1">
      <c r="E6414" s="4" t="str">
        <v/>
      </c>
      <c r="F6414" s="102" t="str">
        <f ca="1">IFERROR(__xludf.DUMMYFUNCTION("IMPORTRANGE(H6414,""IDENTITAS UNIT!D9"")"),"#N/A")</f>
        <v>#N/A</v>
      </c>
      <c r="H6414" s="4" t="str">
        <v/>
      </c>
      <c r="I6414" s="4" t="str">
        <v/>
      </c>
    </row>
    <row r="6415" spans="5:9" ht="16.5" hidden="1">
      <c r="E6415" s="4" t="str">
        <v/>
      </c>
      <c r="F6415" s="102" t="str">
        <f ca="1">IFERROR(__xludf.DUMMYFUNCTION("IMPORTRANGE(H6415,""IDENTITAS UNIT!D9"")"),"#N/A")</f>
        <v>#N/A</v>
      </c>
      <c r="H6415" s="4" t="str">
        <v/>
      </c>
      <c r="I6415" s="4" t="str">
        <v/>
      </c>
    </row>
    <row r="6416" spans="5:9" ht="16.5" hidden="1">
      <c r="E6416" s="4" t="str">
        <v/>
      </c>
      <c r="F6416" s="102" t="str">
        <f ca="1">IFERROR(__xludf.DUMMYFUNCTION("IMPORTRANGE(H6416,""IDENTITAS UNIT!D9"")"),"#N/A")</f>
        <v>#N/A</v>
      </c>
      <c r="H6416" s="4" t="str">
        <v/>
      </c>
      <c r="I6416" s="4" t="str">
        <v/>
      </c>
    </row>
    <row r="6417" spans="5:9" ht="16.5" hidden="1">
      <c r="E6417" s="4" t="str">
        <v/>
      </c>
      <c r="F6417" s="102" t="str">
        <f ca="1">IFERROR(__xludf.DUMMYFUNCTION("IMPORTRANGE(H6417,""IDENTITAS UNIT!D9"")"),"#N/A")</f>
        <v>#N/A</v>
      </c>
      <c r="H6417" s="4" t="str">
        <v/>
      </c>
      <c r="I6417" s="4" t="str">
        <v/>
      </c>
    </row>
    <row r="6418" spans="5:9" ht="16.5" hidden="1">
      <c r="E6418" s="4" t="str">
        <v/>
      </c>
      <c r="F6418" s="102" t="str">
        <f ca="1">IFERROR(__xludf.DUMMYFUNCTION("IMPORTRANGE(H6418,""IDENTITAS UNIT!D9"")"),"#N/A")</f>
        <v>#N/A</v>
      </c>
      <c r="H6418" s="4" t="str">
        <v/>
      </c>
      <c r="I6418" s="4" t="str">
        <v/>
      </c>
    </row>
    <row r="6419" spans="5:9" ht="16.5" hidden="1">
      <c r="E6419" s="4" t="str">
        <v/>
      </c>
      <c r="F6419" s="102" t="str">
        <f ca="1">IFERROR(__xludf.DUMMYFUNCTION("IMPORTRANGE(H6419,""IDENTITAS UNIT!D9"")"),"#N/A")</f>
        <v>#N/A</v>
      </c>
      <c r="H6419" s="4" t="str">
        <v/>
      </c>
      <c r="I6419" s="4" t="str">
        <v/>
      </c>
    </row>
    <row r="6420" spans="5:9" ht="16.5" hidden="1">
      <c r="E6420" s="4" t="str">
        <v/>
      </c>
      <c r="F6420" s="102" t="str">
        <f ca="1">IFERROR(__xludf.DUMMYFUNCTION("IMPORTRANGE(H6420,""IDENTITAS UNIT!D9"")"),"#N/A")</f>
        <v>#N/A</v>
      </c>
      <c r="H6420" s="4" t="str">
        <v/>
      </c>
      <c r="I6420" s="4" t="str">
        <v/>
      </c>
    </row>
    <row r="6421" spans="5:9" ht="16.5" hidden="1">
      <c r="E6421" s="4" t="str">
        <v/>
      </c>
      <c r="F6421" s="102" t="str">
        <f ca="1">IFERROR(__xludf.DUMMYFUNCTION("IMPORTRANGE(H6421,""IDENTITAS UNIT!D9"")"),"#N/A")</f>
        <v>#N/A</v>
      </c>
      <c r="H6421" s="4" t="str">
        <v/>
      </c>
      <c r="I6421" s="4" t="str">
        <v/>
      </c>
    </row>
    <row r="6422" spans="5:9" ht="16.5" hidden="1">
      <c r="E6422" s="4" t="str">
        <v/>
      </c>
      <c r="F6422" s="102" t="str">
        <f ca="1">IFERROR(__xludf.DUMMYFUNCTION("IMPORTRANGE(H6422,""IDENTITAS UNIT!D9"")"),"#N/A")</f>
        <v>#N/A</v>
      </c>
      <c r="H6422" s="4" t="str">
        <v/>
      </c>
      <c r="I6422" s="4" t="str">
        <v/>
      </c>
    </row>
    <row r="6423" spans="5:9" ht="16.5" hidden="1">
      <c r="E6423" s="4" t="str">
        <v/>
      </c>
      <c r="F6423" s="102" t="str">
        <f ca="1">IFERROR(__xludf.DUMMYFUNCTION("IMPORTRANGE(H6423,""IDENTITAS UNIT!D9"")"),"#N/A")</f>
        <v>#N/A</v>
      </c>
      <c r="H6423" s="4" t="str">
        <v/>
      </c>
      <c r="I6423" s="4" t="str">
        <v/>
      </c>
    </row>
    <row r="6424" spans="5:9" ht="16.5" hidden="1">
      <c r="E6424" s="4" t="str">
        <v/>
      </c>
      <c r="F6424" s="102" t="str">
        <f ca="1">IFERROR(__xludf.DUMMYFUNCTION("IMPORTRANGE(H6424,""IDENTITAS UNIT!D9"")"),"#N/A")</f>
        <v>#N/A</v>
      </c>
      <c r="H6424" s="4" t="str">
        <v/>
      </c>
      <c r="I6424" s="4" t="str">
        <v/>
      </c>
    </row>
    <row r="6425" spans="5:9" ht="16.5" hidden="1">
      <c r="E6425" s="4" t="str">
        <v/>
      </c>
      <c r="F6425" s="102" t="str">
        <f ca="1">IFERROR(__xludf.DUMMYFUNCTION("IMPORTRANGE(H6425,""IDENTITAS UNIT!D9"")"),"#N/A")</f>
        <v>#N/A</v>
      </c>
      <c r="H6425" s="4" t="str">
        <v/>
      </c>
      <c r="I6425" s="4" t="str">
        <v/>
      </c>
    </row>
    <row r="6426" spans="5:9" ht="16.5" hidden="1">
      <c r="E6426" s="4" t="str">
        <v/>
      </c>
      <c r="F6426" s="102" t="str">
        <f ca="1">IFERROR(__xludf.DUMMYFUNCTION("IMPORTRANGE(H6426,""IDENTITAS UNIT!D9"")"),"#N/A")</f>
        <v>#N/A</v>
      </c>
      <c r="H6426" s="4" t="str">
        <v/>
      </c>
      <c r="I6426" s="4" t="str">
        <v/>
      </c>
    </row>
    <row r="6427" spans="5:9" ht="16.5" hidden="1">
      <c r="E6427" s="4" t="str">
        <v/>
      </c>
      <c r="F6427" s="102" t="str">
        <f ca="1">IFERROR(__xludf.DUMMYFUNCTION("IMPORTRANGE(H6427,""IDENTITAS UNIT!D9"")"),"#N/A")</f>
        <v>#N/A</v>
      </c>
      <c r="H6427" s="4" t="str">
        <v/>
      </c>
      <c r="I6427" s="4" t="str">
        <v/>
      </c>
    </row>
    <row r="6428" spans="5:9" ht="16.5" hidden="1">
      <c r="E6428" s="4" t="str">
        <v/>
      </c>
      <c r="F6428" s="102" t="str">
        <f ca="1">IFERROR(__xludf.DUMMYFUNCTION("IMPORTRANGE(H6428,""IDENTITAS UNIT!D9"")"),"#N/A")</f>
        <v>#N/A</v>
      </c>
      <c r="H6428" s="4" t="str">
        <v/>
      </c>
      <c r="I6428" s="4" t="str">
        <v/>
      </c>
    </row>
    <row r="6429" spans="5:9" ht="16.5" hidden="1">
      <c r="E6429" s="4" t="str">
        <v/>
      </c>
      <c r="F6429" s="102" t="str">
        <f ca="1">IFERROR(__xludf.DUMMYFUNCTION("IMPORTRANGE(H6429,""IDENTITAS UNIT!D9"")"),"#N/A")</f>
        <v>#N/A</v>
      </c>
      <c r="H6429" s="4" t="str">
        <v/>
      </c>
      <c r="I6429" s="4" t="str">
        <v/>
      </c>
    </row>
    <row r="6430" spans="5:9" ht="16.5" hidden="1">
      <c r="E6430" s="4" t="str">
        <v/>
      </c>
      <c r="F6430" s="102" t="str">
        <f ca="1">IFERROR(__xludf.DUMMYFUNCTION("IMPORTRANGE(H6430,""IDENTITAS UNIT!D9"")"),"#N/A")</f>
        <v>#N/A</v>
      </c>
      <c r="H6430" s="4" t="str">
        <v/>
      </c>
      <c r="I6430" s="4" t="str">
        <v/>
      </c>
    </row>
    <row r="6431" spans="5:9" ht="16.5" hidden="1">
      <c r="E6431" s="4" t="str">
        <v/>
      </c>
      <c r="F6431" s="102" t="str">
        <f ca="1">IFERROR(__xludf.DUMMYFUNCTION("IMPORTRANGE(H6431,""IDENTITAS UNIT!D9"")"),"#N/A")</f>
        <v>#N/A</v>
      </c>
      <c r="H6431" s="4" t="str">
        <v/>
      </c>
      <c r="I6431" s="4" t="str">
        <v/>
      </c>
    </row>
    <row r="6432" spans="5:9" ht="16.5" hidden="1">
      <c r="E6432" s="4" t="str">
        <v/>
      </c>
      <c r="F6432" s="102" t="str">
        <f ca="1">IFERROR(__xludf.DUMMYFUNCTION("IMPORTRANGE(H6432,""IDENTITAS UNIT!D9"")"),"#N/A")</f>
        <v>#N/A</v>
      </c>
      <c r="H6432" s="4" t="str">
        <v/>
      </c>
      <c r="I6432" s="4" t="str">
        <v/>
      </c>
    </row>
    <row r="6433" spans="5:9" ht="16.5" hidden="1">
      <c r="E6433" s="4" t="str">
        <v/>
      </c>
      <c r="F6433" s="102" t="str">
        <f ca="1">IFERROR(__xludf.DUMMYFUNCTION("IMPORTRANGE(H6433,""IDENTITAS UNIT!D9"")"),"#N/A")</f>
        <v>#N/A</v>
      </c>
      <c r="H6433" s="4" t="str">
        <v/>
      </c>
      <c r="I6433" s="4" t="str">
        <v/>
      </c>
    </row>
    <row r="6434" spans="5:9" ht="16.5" hidden="1">
      <c r="E6434" s="4" t="str">
        <v/>
      </c>
      <c r="F6434" s="102" t="str">
        <f ca="1">IFERROR(__xludf.DUMMYFUNCTION("IMPORTRANGE(H6434,""IDENTITAS UNIT!D9"")"),"#N/A")</f>
        <v>#N/A</v>
      </c>
      <c r="H6434" s="4" t="str">
        <v/>
      </c>
      <c r="I6434" s="4" t="str">
        <v/>
      </c>
    </row>
    <row r="6435" spans="5:9" ht="16.5" hidden="1">
      <c r="E6435" s="4" t="str">
        <v/>
      </c>
      <c r="F6435" s="102" t="str">
        <f ca="1">IFERROR(__xludf.DUMMYFUNCTION("IMPORTRANGE(H6435,""IDENTITAS UNIT!D9"")"),"#N/A")</f>
        <v>#N/A</v>
      </c>
      <c r="H6435" s="4" t="str">
        <v/>
      </c>
      <c r="I6435" s="4" t="str">
        <v/>
      </c>
    </row>
    <row r="6436" spans="5:9" ht="16.5" hidden="1">
      <c r="E6436" s="4" t="str">
        <v/>
      </c>
      <c r="F6436" s="102" t="str">
        <f ca="1">IFERROR(__xludf.DUMMYFUNCTION("IMPORTRANGE(H6436,""IDENTITAS UNIT!D9"")"),"#N/A")</f>
        <v>#N/A</v>
      </c>
      <c r="H6436" s="4" t="str">
        <v/>
      </c>
      <c r="I6436" s="4" t="str">
        <v/>
      </c>
    </row>
    <row r="6437" spans="5:9" ht="16.5" hidden="1">
      <c r="E6437" s="4" t="str">
        <v/>
      </c>
      <c r="F6437" s="102" t="str">
        <f ca="1">IFERROR(__xludf.DUMMYFUNCTION("IMPORTRANGE(H6437,""IDENTITAS UNIT!D9"")"),"#N/A")</f>
        <v>#N/A</v>
      </c>
      <c r="H6437" s="4" t="str">
        <v/>
      </c>
      <c r="I6437" s="4" t="str">
        <v/>
      </c>
    </row>
    <row r="6438" spans="5:9" ht="16.5" hidden="1">
      <c r="E6438" s="4" t="str">
        <v/>
      </c>
      <c r="F6438" s="102" t="str">
        <f ca="1">IFERROR(__xludf.DUMMYFUNCTION("IMPORTRANGE(H6438,""IDENTITAS UNIT!D9"")"),"#N/A")</f>
        <v>#N/A</v>
      </c>
      <c r="H6438" s="4" t="str">
        <v/>
      </c>
      <c r="I6438" s="4" t="str">
        <v/>
      </c>
    </row>
    <row r="6439" spans="5:9" ht="16.5" hidden="1">
      <c r="E6439" s="4" t="str">
        <v/>
      </c>
      <c r="F6439" s="102" t="str">
        <f ca="1">IFERROR(__xludf.DUMMYFUNCTION("IMPORTRANGE(H6439,""IDENTITAS UNIT!D9"")"),"#N/A")</f>
        <v>#N/A</v>
      </c>
      <c r="H6439" s="4" t="str">
        <v/>
      </c>
      <c r="I6439" s="4" t="str">
        <v/>
      </c>
    </row>
    <row r="6440" spans="5:9" ht="16.5" hidden="1">
      <c r="E6440" s="4" t="str">
        <v/>
      </c>
      <c r="F6440" s="102" t="str">
        <f ca="1">IFERROR(__xludf.DUMMYFUNCTION("IMPORTRANGE(H6440,""IDENTITAS UNIT!D9"")"),"#N/A")</f>
        <v>#N/A</v>
      </c>
      <c r="H6440" s="4" t="str">
        <v/>
      </c>
      <c r="I6440" s="4" t="str">
        <v/>
      </c>
    </row>
    <row r="6441" spans="5:9" ht="16.5" hidden="1">
      <c r="E6441" s="4" t="str">
        <v/>
      </c>
      <c r="F6441" s="102" t="str">
        <f ca="1">IFERROR(__xludf.DUMMYFUNCTION("IMPORTRANGE(H6441,""IDENTITAS UNIT!D9"")"),"#N/A")</f>
        <v>#N/A</v>
      </c>
      <c r="H6441" s="4" t="str">
        <v/>
      </c>
      <c r="I6441" s="4" t="str">
        <v/>
      </c>
    </row>
    <row r="6442" spans="5:9" ht="16.5" hidden="1">
      <c r="E6442" s="4" t="str">
        <v/>
      </c>
      <c r="F6442" s="102" t="str">
        <f ca="1">IFERROR(__xludf.DUMMYFUNCTION("IMPORTRANGE(H6442,""IDENTITAS UNIT!D9"")"),"#N/A")</f>
        <v>#N/A</v>
      </c>
      <c r="H6442" s="4" t="str">
        <v/>
      </c>
      <c r="I6442" s="4" t="str">
        <v/>
      </c>
    </row>
    <row r="6443" spans="5:9" ht="16.5" hidden="1">
      <c r="E6443" s="4" t="str">
        <v/>
      </c>
      <c r="F6443" s="102" t="str">
        <f ca="1">IFERROR(__xludf.DUMMYFUNCTION("IMPORTRANGE(H6443,""IDENTITAS UNIT!D9"")"),"#N/A")</f>
        <v>#N/A</v>
      </c>
      <c r="H6443" s="4" t="str">
        <v/>
      </c>
      <c r="I6443" s="4" t="str">
        <v/>
      </c>
    </row>
    <row r="6444" spans="5:9" ht="16.5" hidden="1">
      <c r="E6444" s="4" t="str">
        <v/>
      </c>
      <c r="F6444" s="102" t="str">
        <f ca="1">IFERROR(__xludf.DUMMYFUNCTION("IMPORTRANGE(H6444,""IDENTITAS UNIT!D9"")"),"#N/A")</f>
        <v>#N/A</v>
      </c>
      <c r="H6444" s="4" t="str">
        <v/>
      </c>
      <c r="I6444" s="4" t="str">
        <v/>
      </c>
    </row>
    <row r="6445" spans="5:9" ht="16.5" hidden="1">
      <c r="E6445" s="4" t="str">
        <v/>
      </c>
      <c r="F6445" s="102" t="str">
        <f ca="1">IFERROR(__xludf.DUMMYFUNCTION("IMPORTRANGE(H6445,""IDENTITAS UNIT!D9"")"),"#N/A")</f>
        <v>#N/A</v>
      </c>
      <c r="H6445" s="4" t="str">
        <v/>
      </c>
      <c r="I6445" s="4" t="str">
        <v/>
      </c>
    </row>
    <row r="6446" spans="5:9" ht="16.5" hidden="1">
      <c r="E6446" s="4" t="str">
        <v/>
      </c>
      <c r="F6446" s="102" t="str">
        <f ca="1">IFERROR(__xludf.DUMMYFUNCTION("IMPORTRANGE(H6446,""IDENTITAS UNIT!D9"")"),"#N/A")</f>
        <v>#N/A</v>
      </c>
      <c r="H6446" s="4" t="str">
        <v/>
      </c>
      <c r="I6446" s="4" t="str">
        <v/>
      </c>
    </row>
    <row r="6447" spans="5:9" ht="16.5" hidden="1">
      <c r="E6447" s="4" t="str">
        <v/>
      </c>
      <c r="F6447" s="102" t="str">
        <f ca="1">IFERROR(__xludf.DUMMYFUNCTION("IMPORTRANGE(H6447,""IDENTITAS UNIT!D9"")"),"#N/A")</f>
        <v>#N/A</v>
      </c>
      <c r="H6447" s="4" t="str">
        <v/>
      </c>
      <c r="I6447" s="4" t="str">
        <v/>
      </c>
    </row>
    <row r="6448" spans="5:9" ht="16.5" hidden="1">
      <c r="E6448" s="4" t="str">
        <v/>
      </c>
      <c r="F6448" s="102" t="str">
        <f ca="1">IFERROR(__xludf.DUMMYFUNCTION("IMPORTRANGE(H6448,""IDENTITAS UNIT!D9"")"),"#N/A")</f>
        <v>#N/A</v>
      </c>
      <c r="H6448" s="4" t="str">
        <v/>
      </c>
      <c r="I6448" s="4" t="str">
        <v/>
      </c>
    </row>
    <row r="6449" spans="5:9" ht="16.5" hidden="1">
      <c r="E6449" s="4" t="str">
        <v/>
      </c>
      <c r="F6449" s="102" t="str">
        <f ca="1">IFERROR(__xludf.DUMMYFUNCTION("IMPORTRANGE(H6449,""IDENTITAS UNIT!D9"")"),"#N/A")</f>
        <v>#N/A</v>
      </c>
      <c r="H6449" s="4" t="str">
        <v/>
      </c>
      <c r="I6449" s="4" t="str">
        <v/>
      </c>
    </row>
    <row r="6450" spans="5:9" ht="16.5" hidden="1">
      <c r="E6450" s="4" t="str">
        <v/>
      </c>
      <c r="F6450" s="102" t="str">
        <f ca="1">IFERROR(__xludf.DUMMYFUNCTION("IMPORTRANGE(H6450,""IDENTITAS UNIT!D9"")"),"#N/A")</f>
        <v>#N/A</v>
      </c>
      <c r="H6450" s="4" t="str">
        <v/>
      </c>
      <c r="I6450" s="4" t="str">
        <v/>
      </c>
    </row>
    <row r="6451" spans="5:9" ht="16.5" hidden="1">
      <c r="E6451" s="4" t="str">
        <v/>
      </c>
      <c r="F6451" s="102" t="str">
        <f ca="1">IFERROR(__xludf.DUMMYFUNCTION("IMPORTRANGE(H6451,""IDENTITAS UNIT!D9"")"),"#N/A")</f>
        <v>#N/A</v>
      </c>
      <c r="H6451" s="4" t="str">
        <v/>
      </c>
      <c r="I6451" s="4" t="str">
        <v/>
      </c>
    </row>
    <row r="6452" spans="5:9" ht="16.5" hidden="1">
      <c r="E6452" s="4" t="str">
        <v/>
      </c>
      <c r="F6452" s="102" t="str">
        <f ca="1">IFERROR(__xludf.DUMMYFUNCTION("IMPORTRANGE(H6452,""IDENTITAS UNIT!D9"")"),"#N/A")</f>
        <v>#N/A</v>
      </c>
      <c r="H6452" s="4" t="str">
        <v/>
      </c>
      <c r="I6452" s="4" t="str">
        <v/>
      </c>
    </row>
    <row r="6453" spans="5:9" ht="16.5" hidden="1">
      <c r="E6453" s="4" t="str">
        <v/>
      </c>
      <c r="F6453" s="102" t="str">
        <f ca="1">IFERROR(__xludf.DUMMYFUNCTION("IMPORTRANGE(H6453,""IDENTITAS UNIT!D9"")"),"#N/A")</f>
        <v>#N/A</v>
      </c>
      <c r="H6453" s="4" t="str">
        <v/>
      </c>
      <c r="I6453" s="4" t="str">
        <v/>
      </c>
    </row>
    <row r="6454" spans="5:9" ht="16.5" hidden="1">
      <c r="E6454" s="4" t="str">
        <v/>
      </c>
      <c r="F6454" s="102" t="str">
        <f ca="1">IFERROR(__xludf.DUMMYFUNCTION("IMPORTRANGE(H6454,""IDENTITAS UNIT!D9"")"),"#N/A")</f>
        <v>#N/A</v>
      </c>
      <c r="H6454" s="4" t="str">
        <v/>
      </c>
      <c r="I6454" s="4" t="str">
        <v/>
      </c>
    </row>
    <row r="6455" spans="5:9" ht="16.5" hidden="1">
      <c r="E6455" s="4" t="str">
        <v/>
      </c>
      <c r="F6455" s="102" t="str">
        <f ca="1">IFERROR(__xludf.DUMMYFUNCTION("IMPORTRANGE(H6455,""IDENTITAS UNIT!D9"")"),"#N/A")</f>
        <v>#N/A</v>
      </c>
      <c r="H6455" s="4" t="str">
        <v/>
      </c>
      <c r="I6455" s="4" t="str">
        <v/>
      </c>
    </row>
    <row r="6456" spans="5:9" ht="16.5" hidden="1">
      <c r="E6456" s="4" t="str">
        <v/>
      </c>
      <c r="F6456" s="102" t="str">
        <f ca="1">IFERROR(__xludf.DUMMYFUNCTION("IMPORTRANGE(H6456,""IDENTITAS UNIT!D9"")"),"#N/A")</f>
        <v>#N/A</v>
      </c>
      <c r="H6456" s="4" t="str">
        <v/>
      </c>
      <c r="I6456" s="4" t="str">
        <v/>
      </c>
    </row>
    <row r="6457" spans="5:9" ht="16.5" hidden="1">
      <c r="E6457" s="4" t="str">
        <v/>
      </c>
      <c r="F6457" s="102" t="str">
        <f ca="1">IFERROR(__xludf.DUMMYFUNCTION("IMPORTRANGE(H6457,""IDENTITAS UNIT!D9"")"),"#N/A")</f>
        <v>#N/A</v>
      </c>
      <c r="H6457" s="4" t="str">
        <v/>
      </c>
      <c r="I6457" s="4" t="str">
        <v/>
      </c>
    </row>
    <row r="6458" spans="5:9" ht="16.5" hidden="1">
      <c r="E6458" s="4" t="str">
        <v/>
      </c>
      <c r="F6458" s="102" t="str">
        <f ca="1">IFERROR(__xludf.DUMMYFUNCTION("IMPORTRANGE(H6458,""IDENTITAS UNIT!D9"")"),"#N/A")</f>
        <v>#N/A</v>
      </c>
      <c r="H6458" s="4" t="str">
        <v/>
      </c>
      <c r="I6458" s="4" t="str">
        <v/>
      </c>
    </row>
    <row r="6459" spans="5:9" ht="16.5" hidden="1">
      <c r="E6459" s="4" t="str">
        <v/>
      </c>
      <c r="F6459" s="102" t="str">
        <f ca="1">IFERROR(__xludf.DUMMYFUNCTION("IMPORTRANGE(H6459,""IDENTITAS UNIT!D9"")"),"#N/A")</f>
        <v>#N/A</v>
      </c>
      <c r="H6459" s="4" t="str">
        <v/>
      </c>
      <c r="I6459" s="4" t="str">
        <v/>
      </c>
    </row>
    <row r="6460" spans="5:9" ht="16.5" hidden="1">
      <c r="E6460" s="4" t="str">
        <v/>
      </c>
      <c r="F6460" s="102" t="str">
        <f ca="1">IFERROR(__xludf.DUMMYFUNCTION("IMPORTRANGE(H6460,""IDENTITAS UNIT!D9"")"),"#N/A")</f>
        <v>#N/A</v>
      </c>
      <c r="H6460" s="4" t="str">
        <v/>
      </c>
      <c r="I6460" s="4" t="str">
        <v/>
      </c>
    </row>
    <row r="6461" spans="5:9" ht="16.5" hidden="1">
      <c r="E6461" s="4" t="str">
        <v/>
      </c>
      <c r="F6461" s="102" t="str">
        <f ca="1">IFERROR(__xludf.DUMMYFUNCTION("IMPORTRANGE(H6461,""IDENTITAS UNIT!D9"")"),"#N/A")</f>
        <v>#N/A</v>
      </c>
      <c r="H6461" s="4" t="str">
        <v/>
      </c>
      <c r="I6461" s="4" t="str">
        <v/>
      </c>
    </row>
    <row r="6462" spans="5:9" ht="16.5" hidden="1">
      <c r="E6462" s="4" t="str">
        <v/>
      </c>
      <c r="F6462" s="102" t="str">
        <f ca="1">IFERROR(__xludf.DUMMYFUNCTION("IMPORTRANGE(H6462,""IDENTITAS UNIT!D9"")"),"#N/A")</f>
        <v>#N/A</v>
      </c>
      <c r="H6462" s="4" t="str">
        <v/>
      </c>
      <c r="I6462" s="4" t="str">
        <v/>
      </c>
    </row>
    <row r="6463" spans="5:9" ht="16.5" hidden="1">
      <c r="E6463" s="4" t="str">
        <v/>
      </c>
      <c r="F6463" s="102" t="str">
        <f ca="1">IFERROR(__xludf.DUMMYFUNCTION("IMPORTRANGE(H6463,""IDENTITAS UNIT!D9"")"),"#N/A")</f>
        <v>#N/A</v>
      </c>
      <c r="H6463" s="4" t="str">
        <v/>
      </c>
      <c r="I6463" s="4" t="str">
        <v/>
      </c>
    </row>
    <row r="6464" spans="5:9" ht="16.5" hidden="1">
      <c r="E6464" s="4" t="str">
        <v/>
      </c>
      <c r="F6464" s="102" t="str">
        <f ca="1">IFERROR(__xludf.DUMMYFUNCTION("IMPORTRANGE(H6464,""IDENTITAS UNIT!D9"")"),"#N/A")</f>
        <v>#N/A</v>
      </c>
      <c r="H6464" s="4" t="str">
        <v/>
      </c>
      <c r="I6464" s="4" t="str">
        <v/>
      </c>
    </row>
    <row r="6465" spans="5:9" ht="16.5" hidden="1">
      <c r="E6465" s="4" t="str">
        <v/>
      </c>
      <c r="F6465" s="102" t="str">
        <f ca="1">IFERROR(__xludf.DUMMYFUNCTION("IMPORTRANGE(H6465,""IDENTITAS UNIT!D9"")"),"#N/A")</f>
        <v>#N/A</v>
      </c>
      <c r="H6465" s="4" t="str">
        <v/>
      </c>
      <c r="I6465" s="4" t="str">
        <v/>
      </c>
    </row>
    <row r="6466" spans="5:9" ht="16.5" hidden="1">
      <c r="E6466" s="4" t="str">
        <v/>
      </c>
      <c r="F6466" s="102" t="str">
        <f ca="1">IFERROR(__xludf.DUMMYFUNCTION("IMPORTRANGE(H6466,""IDENTITAS UNIT!D9"")"),"#N/A")</f>
        <v>#N/A</v>
      </c>
      <c r="H6466" s="4" t="str">
        <v/>
      </c>
      <c r="I6466" s="4" t="str">
        <v/>
      </c>
    </row>
    <row r="6467" spans="5:9" ht="16.5" hidden="1">
      <c r="E6467" s="4" t="str">
        <v/>
      </c>
      <c r="F6467" s="102" t="str">
        <f ca="1">IFERROR(__xludf.DUMMYFUNCTION("IMPORTRANGE(H6467,""IDENTITAS UNIT!D9"")"),"#N/A")</f>
        <v>#N/A</v>
      </c>
      <c r="H6467" s="4" t="str">
        <v/>
      </c>
      <c r="I6467" s="4" t="str">
        <v/>
      </c>
    </row>
    <row r="6468" spans="5:9" ht="16.5" hidden="1">
      <c r="E6468" s="4" t="str">
        <v/>
      </c>
      <c r="F6468" s="102" t="str">
        <f ca="1">IFERROR(__xludf.DUMMYFUNCTION("IMPORTRANGE(H6468,""IDENTITAS UNIT!D9"")"),"#N/A")</f>
        <v>#N/A</v>
      </c>
      <c r="H6468" s="4" t="str">
        <v/>
      </c>
      <c r="I6468" s="4" t="str">
        <v/>
      </c>
    </row>
    <row r="6469" spans="5:9" ht="16.5" hidden="1">
      <c r="E6469" s="4" t="str">
        <v/>
      </c>
      <c r="F6469" s="102" t="str">
        <f ca="1">IFERROR(__xludf.DUMMYFUNCTION("IMPORTRANGE(H6469,""IDENTITAS UNIT!D9"")"),"#N/A")</f>
        <v>#N/A</v>
      </c>
      <c r="H6469" s="4" t="str">
        <v/>
      </c>
      <c r="I6469" s="4" t="str">
        <v/>
      </c>
    </row>
    <row r="6470" spans="5:9" ht="16.5" hidden="1">
      <c r="E6470" s="4" t="str">
        <v/>
      </c>
      <c r="F6470" s="102" t="str">
        <f ca="1">IFERROR(__xludf.DUMMYFUNCTION("IMPORTRANGE(H6470,""IDENTITAS UNIT!D9"")"),"#N/A")</f>
        <v>#N/A</v>
      </c>
      <c r="H6470" s="4" t="str">
        <v/>
      </c>
      <c r="I6470" s="4" t="str">
        <v/>
      </c>
    </row>
    <row r="6471" spans="5:9" ht="16.5" hidden="1">
      <c r="E6471" s="4" t="str">
        <v/>
      </c>
      <c r="F6471" s="102" t="str">
        <f ca="1">IFERROR(__xludf.DUMMYFUNCTION("IMPORTRANGE(H6471,""IDENTITAS UNIT!D9"")"),"#N/A")</f>
        <v>#N/A</v>
      </c>
      <c r="H6471" s="4" t="str">
        <v/>
      </c>
      <c r="I6471" s="4" t="str">
        <v/>
      </c>
    </row>
    <row r="6472" spans="5:9" ht="16.5" hidden="1">
      <c r="E6472" s="4" t="str">
        <v/>
      </c>
      <c r="F6472" s="102" t="str">
        <f ca="1">IFERROR(__xludf.DUMMYFUNCTION("IMPORTRANGE(H6472,""IDENTITAS UNIT!D9"")"),"#N/A")</f>
        <v>#N/A</v>
      </c>
      <c r="H6472" s="4" t="str">
        <v/>
      </c>
      <c r="I6472" s="4" t="str">
        <v/>
      </c>
    </row>
    <row r="6473" spans="5:9" ht="16.5" hidden="1">
      <c r="E6473" s="4" t="str">
        <v/>
      </c>
      <c r="F6473" s="102" t="str">
        <f ca="1">IFERROR(__xludf.DUMMYFUNCTION("IMPORTRANGE(H6473,""IDENTITAS UNIT!D9"")"),"#N/A")</f>
        <v>#N/A</v>
      </c>
      <c r="H6473" s="4" t="str">
        <v/>
      </c>
      <c r="I6473" s="4" t="str">
        <v/>
      </c>
    </row>
    <row r="6474" spans="5:9" ht="16.5" hidden="1">
      <c r="E6474" s="4" t="str">
        <v/>
      </c>
      <c r="F6474" s="102" t="str">
        <f ca="1">IFERROR(__xludf.DUMMYFUNCTION("IMPORTRANGE(H6474,""IDENTITAS UNIT!D9"")"),"#N/A")</f>
        <v>#N/A</v>
      </c>
      <c r="H6474" s="4" t="str">
        <v/>
      </c>
      <c r="I6474" s="4" t="str">
        <v/>
      </c>
    </row>
    <row r="6475" spans="5:9" ht="16.5" hidden="1">
      <c r="E6475" s="4" t="str">
        <v/>
      </c>
      <c r="F6475" s="102" t="str">
        <f ca="1">IFERROR(__xludf.DUMMYFUNCTION("IMPORTRANGE(H6475,""IDENTITAS UNIT!D9"")"),"#N/A")</f>
        <v>#N/A</v>
      </c>
      <c r="H6475" s="4" t="str">
        <v/>
      </c>
      <c r="I6475" s="4" t="str">
        <v/>
      </c>
    </row>
    <row r="6476" spans="5:9" ht="16.5" hidden="1">
      <c r="E6476" s="4" t="str">
        <v/>
      </c>
      <c r="F6476" s="102" t="str">
        <f ca="1">IFERROR(__xludf.DUMMYFUNCTION("IMPORTRANGE(H6476,""IDENTITAS UNIT!D9"")"),"#N/A")</f>
        <v>#N/A</v>
      </c>
      <c r="H6476" s="4" t="str">
        <v/>
      </c>
      <c r="I6476" s="4" t="str">
        <v/>
      </c>
    </row>
    <row r="6477" spans="5:9" ht="16.5" hidden="1">
      <c r="E6477" s="4" t="str">
        <v/>
      </c>
      <c r="F6477" s="102" t="str">
        <f ca="1">IFERROR(__xludf.DUMMYFUNCTION("IMPORTRANGE(H6477,""IDENTITAS UNIT!D9"")"),"#N/A")</f>
        <v>#N/A</v>
      </c>
      <c r="H6477" s="4" t="str">
        <v/>
      </c>
      <c r="I6477" s="4" t="str">
        <v/>
      </c>
    </row>
    <row r="6478" spans="5:9" ht="16.5" hidden="1">
      <c r="E6478" s="4" t="str">
        <v/>
      </c>
      <c r="F6478" s="102" t="str">
        <f ca="1">IFERROR(__xludf.DUMMYFUNCTION("IMPORTRANGE(H6478,""IDENTITAS UNIT!D9"")"),"#N/A")</f>
        <v>#N/A</v>
      </c>
      <c r="H6478" s="4" t="str">
        <v/>
      </c>
      <c r="I6478" s="4" t="str">
        <v/>
      </c>
    </row>
    <row r="6479" spans="5:9" ht="16.5" hidden="1">
      <c r="E6479" s="4" t="str">
        <v/>
      </c>
      <c r="F6479" s="102" t="str">
        <f ca="1">IFERROR(__xludf.DUMMYFUNCTION("IMPORTRANGE(H6479,""IDENTITAS UNIT!D9"")"),"#N/A")</f>
        <v>#N/A</v>
      </c>
      <c r="H6479" s="4" t="str">
        <v/>
      </c>
      <c r="I6479" s="4" t="str">
        <v/>
      </c>
    </row>
    <row r="6480" spans="5:9" ht="16.5" hidden="1">
      <c r="E6480" s="4" t="str">
        <v/>
      </c>
      <c r="F6480" s="102" t="str">
        <f ca="1">IFERROR(__xludf.DUMMYFUNCTION("IMPORTRANGE(H6480,""IDENTITAS UNIT!D9"")"),"#N/A")</f>
        <v>#N/A</v>
      </c>
      <c r="H6480" s="4" t="str">
        <v/>
      </c>
      <c r="I6480" s="4" t="str">
        <v/>
      </c>
    </row>
    <row r="6481" spans="5:9" ht="16.5" hidden="1">
      <c r="E6481" s="4" t="str">
        <v/>
      </c>
      <c r="F6481" s="102" t="str">
        <f ca="1">IFERROR(__xludf.DUMMYFUNCTION("IMPORTRANGE(H6481,""IDENTITAS UNIT!D9"")"),"#N/A")</f>
        <v>#N/A</v>
      </c>
      <c r="H6481" s="4" t="str">
        <v/>
      </c>
      <c r="I6481" s="4" t="str">
        <v/>
      </c>
    </row>
    <row r="6482" spans="5:9" ht="16.5" hidden="1">
      <c r="E6482" s="4" t="str">
        <v/>
      </c>
      <c r="F6482" s="102" t="str">
        <f ca="1">IFERROR(__xludf.DUMMYFUNCTION("IMPORTRANGE(H6482,""IDENTITAS UNIT!D9"")"),"#N/A")</f>
        <v>#N/A</v>
      </c>
      <c r="H6482" s="4" t="str">
        <v/>
      </c>
      <c r="I6482" s="4" t="str">
        <v/>
      </c>
    </row>
    <row r="6483" spans="5:9" ht="16.5" hidden="1">
      <c r="E6483" s="4" t="str">
        <v/>
      </c>
      <c r="F6483" s="102" t="str">
        <f ca="1">IFERROR(__xludf.DUMMYFUNCTION("IMPORTRANGE(H6483,""IDENTITAS UNIT!D9"")"),"#N/A")</f>
        <v>#N/A</v>
      </c>
      <c r="H6483" s="4" t="str">
        <v/>
      </c>
      <c r="I6483" s="4" t="str">
        <v/>
      </c>
    </row>
    <row r="6484" spans="5:9" ht="16.5" hidden="1">
      <c r="E6484" s="4" t="str">
        <v/>
      </c>
      <c r="F6484" s="102" t="str">
        <f ca="1">IFERROR(__xludf.DUMMYFUNCTION("IMPORTRANGE(H6484,""IDENTITAS UNIT!D9"")"),"#N/A")</f>
        <v>#N/A</v>
      </c>
      <c r="H6484" s="4" t="str">
        <v/>
      </c>
      <c r="I6484" s="4" t="str">
        <v/>
      </c>
    </row>
    <row r="6485" spans="5:9" ht="16.5" hidden="1">
      <c r="E6485" s="4" t="str">
        <v/>
      </c>
      <c r="F6485" s="102" t="str">
        <f ca="1">IFERROR(__xludf.DUMMYFUNCTION("IMPORTRANGE(H6485,""IDENTITAS UNIT!D9"")"),"#N/A")</f>
        <v>#N/A</v>
      </c>
      <c r="H6485" s="4" t="str">
        <v/>
      </c>
      <c r="I6485" s="4" t="str">
        <v/>
      </c>
    </row>
    <row r="6486" spans="5:9" ht="16.5" hidden="1">
      <c r="E6486" s="4" t="str">
        <v/>
      </c>
      <c r="F6486" s="102" t="str">
        <f ca="1">IFERROR(__xludf.DUMMYFUNCTION("IMPORTRANGE(H6486,""IDENTITAS UNIT!D9"")"),"#N/A")</f>
        <v>#N/A</v>
      </c>
      <c r="H6486" s="4" t="str">
        <v/>
      </c>
      <c r="I6486" s="4" t="str">
        <v/>
      </c>
    </row>
    <row r="6487" spans="5:9" ht="16.5" hidden="1">
      <c r="E6487" s="4" t="str">
        <v/>
      </c>
      <c r="F6487" s="102" t="str">
        <f ca="1">IFERROR(__xludf.DUMMYFUNCTION("IMPORTRANGE(H6487,""IDENTITAS UNIT!D9"")"),"#N/A")</f>
        <v>#N/A</v>
      </c>
      <c r="H6487" s="4" t="str">
        <v/>
      </c>
      <c r="I6487" s="4" t="str">
        <v/>
      </c>
    </row>
    <row r="6488" spans="5:9" ht="16.5" hidden="1">
      <c r="E6488" s="4" t="str">
        <v/>
      </c>
      <c r="F6488" s="102" t="str">
        <f ca="1">IFERROR(__xludf.DUMMYFUNCTION("IMPORTRANGE(H6488,""IDENTITAS UNIT!D9"")"),"#N/A")</f>
        <v>#N/A</v>
      </c>
      <c r="H6488" s="4" t="str">
        <v/>
      </c>
      <c r="I6488" s="4" t="str">
        <v/>
      </c>
    </row>
    <row r="6489" spans="5:9" ht="16.5" hidden="1">
      <c r="E6489" s="4" t="str">
        <v/>
      </c>
      <c r="F6489" s="102" t="str">
        <f ca="1">IFERROR(__xludf.DUMMYFUNCTION("IMPORTRANGE(H6489,""IDENTITAS UNIT!D9"")"),"#N/A")</f>
        <v>#N/A</v>
      </c>
      <c r="H6489" s="4" t="str">
        <v/>
      </c>
      <c r="I6489" s="4" t="str">
        <v/>
      </c>
    </row>
    <row r="6490" spans="5:9" ht="16.5" hidden="1">
      <c r="E6490" s="4" t="str">
        <v/>
      </c>
      <c r="F6490" s="102" t="str">
        <f ca="1">IFERROR(__xludf.DUMMYFUNCTION("IMPORTRANGE(H6490,""IDENTITAS UNIT!D9"")"),"#N/A")</f>
        <v>#N/A</v>
      </c>
      <c r="H6490" s="4" t="str">
        <v/>
      </c>
      <c r="I6490" s="4" t="str">
        <v/>
      </c>
    </row>
    <row r="6491" spans="5:9" ht="16.5" hidden="1">
      <c r="E6491" s="4" t="str">
        <v/>
      </c>
      <c r="F6491" s="102" t="str">
        <f ca="1">IFERROR(__xludf.DUMMYFUNCTION("IMPORTRANGE(H6491,""IDENTITAS UNIT!D9"")"),"#N/A")</f>
        <v>#N/A</v>
      </c>
      <c r="H6491" s="4" t="str">
        <v/>
      </c>
      <c r="I6491" s="4" t="str">
        <v/>
      </c>
    </row>
    <row r="6492" spans="5:9" ht="16.5" hidden="1">
      <c r="E6492" s="4" t="str">
        <v/>
      </c>
      <c r="F6492" s="102" t="str">
        <f ca="1">IFERROR(__xludf.DUMMYFUNCTION("IMPORTRANGE(H6492,""IDENTITAS UNIT!D9"")"),"#N/A")</f>
        <v>#N/A</v>
      </c>
      <c r="H6492" s="4" t="str">
        <v/>
      </c>
      <c r="I6492" s="4" t="str">
        <v/>
      </c>
    </row>
    <row r="6493" spans="5:9" ht="16.5" hidden="1">
      <c r="E6493" s="4" t="str">
        <v/>
      </c>
      <c r="F6493" s="102" t="str">
        <f ca="1">IFERROR(__xludf.DUMMYFUNCTION("IMPORTRANGE(H6493,""IDENTITAS UNIT!D9"")"),"#N/A")</f>
        <v>#N/A</v>
      </c>
      <c r="H6493" s="4" t="str">
        <v/>
      </c>
      <c r="I6493" s="4" t="str">
        <v/>
      </c>
    </row>
    <row r="6494" spans="5:9" ht="16.5" hidden="1">
      <c r="E6494" s="4" t="str">
        <v/>
      </c>
      <c r="F6494" s="102" t="str">
        <f ca="1">IFERROR(__xludf.DUMMYFUNCTION("IMPORTRANGE(H6494,""IDENTITAS UNIT!D9"")"),"#N/A")</f>
        <v>#N/A</v>
      </c>
      <c r="H6494" s="4" t="str">
        <v/>
      </c>
      <c r="I6494" s="4" t="str">
        <v/>
      </c>
    </row>
    <row r="6495" spans="5:9" ht="16.5" hidden="1">
      <c r="E6495" s="4" t="str">
        <v/>
      </c>
      <c r="F6495" s="102" t="str">
        <f ca="1">IFERROR(__xludf.DUMMYFUNCTION("IMPORTRANGE(H6495,""IDENTITAS UNIT!D9"")"),"#N/A")</f>
        <v>#N/A</v>
      </c>
      <c r="H6495" s="4" t="str">
        <v/>
      </c>
      <c r="I6495" s="4" t="str">
        <v/>
      </c>
    </row>
    <row r="6496" spans="5:9" ht="16.5" hidden="1">
      <c r="E6496" s="4" t="str">
        <v/>
      </c>
      <c r="F6496" s="102" t="str">
        <f ca="1">IFERROR(__xludf.DUMMYFUNCTION("IMPORTRANGE(H6496,""IDENTITAS UNIT!D9"")"),"#N/A")</f>
        <v>#N/A</v>
      </c>
      <c r="H6496" s="4" t="str">
        <v/>
      </c>
      <c r="I6496" s="4" t="str">
        <v/>
      </c>
    </row>
    <row r="6497" spans="5:9" ht="16.5" hidden="1">
      <c r="E6497" s="4" t="str">
        <v/>
      </c>
      <c r="F6497" s="102" t="str">
        <f ca="1">IFERROR(__xludf.DUMMYFUNCTION("IMPORTRANGE(H6497,""IDENTITAS UNIT!D9"")"),"#N/A")</f>
        <v>#N/A</v>
      </c>
      <c r="H6497" s="4" t="str">
        <v/>
      </c>
      <c r="I6497" s="4" t="str">
        <v/>
      </c>
    </row>
    <row r="6498" spans="5:9" ht="16.5" hidden="1">
      <c r="E6498" s="4" t="str">
        <v/>
      </c>
      <c r="F6498" s="102" t="str">
        <f ca="1">IFERROR(__xludf.DUMMYFUNCTION("IMPORTRANGE(H6498,""IDENTITAS UNIT!D9"")"),"#N/A")</f>
        <v>#N/A</v>
      </c>
      <c r="H6498" s="4" t="str">
        <v/>
      </c>
      <c r="I6498" s="4" t="str">
        <v/>
      </c>
    </row>
    <row r="6499" spans="5:9" ht="16.5" hidden="1">
      <c r="E6499" s="4" t="str">
        <v/>
      </c>
      <c r="F6499" s="102" t="str">
        <f ca="1">IFERROR(__xludf.DUMMYFUNCTION("IMPORTRANGE(H6499,""IDENTITAS UNIT!D9"")"),"#N/A")</f>
        <v>#N/A</v>
      </c>
      <c r="H6499" s="4" t="str">
        <v/>
      </c>
      <c r="I6499" s="4" t="str">
        <v/>
      </c>
    </row>
    <row r="6500" spans="5:9" ht="16.5" hidden="1">
      <c r="E6500" s="4" t="str">
        <v/>
      </c>
      <c r="F6500" s="102" t="str">
        <f ca="1">IFERROR(__xludf.DUMMYFUNCTION("IMPORTRANGE(H6500,""IDENTITAS UNIT!D9"")"),"#N/A")</f>
        <v>#N/A</v>
      </c>
      <c r="H6500" s="4" t="str">
        <v/>
      </c>
      <c r="I6500" s="4" t="str">
        <v/>
      </c>
    </row>
    <row r="6501" spans="5:9" ht="16.5" hidden="1">
      <c r="E6501" s="4" t="str">
        <v/>
      </c>
      <c r="F6501" s="102" t="str">
        <f ca="1">IFERROR(__xludf.DUMMYFUNCTION("IMPORTRANGE(H6501,""IDENTITAS UNIT!D9"")"),"#N/A")</f>
        <v>#N/A</v>
      </c>
      <c r="H6501" s="4" t="str">
        <v/>
      </c>
      <c r="I6501" s="4" t="str">
        <v/>
      </c>
    </row>
    <row r="6502" spans="5:9" ht="16.5" hidden="1">
      <c r="E6502" s="4" t="str">
        <v/>
      </c>
      <c r="F6502" s="102" t="str">
        <f ca="1">IFERROR(__xludf.DUMMYFUNCTION("IMPORTRANGE(H6502,""IDENTITAS UNIT!D9"")"),"#N/A")</f>
        <v>#N/A</v>
      </c>
      <c r="H6502" s="4" t="str">
        <v/>
      </c>
      <c r="I6502" s="4" t="str">
        <v/>
      </c>
    </row>
    <row r="6503" spans="5:9" ht="16.5" hidden="1">
      <c r="E6503" s="4" t="str">
        <v/>
      </c>
      <c r="F6503" s="102" t="str">
        <f ca="1">IFERROR(__xludf.DUMMYFUNCTION("IMPORTRANGE(H6503,""IDENTITAS UNIT!D9"")"),"#N/A")</f>
        <v>#N/A</v>
      </c>
      <c r="H6503" s="4" t="str">
        <v/>
      </c>
      <c r="I6503" s="4" t="str">
        <v/>
      </c>
    </row>
    <row r="6504" spans="5:9" ht="16.5" hidden="1">
      <c r="E6504" s="4" t="str">
        <v/>
      </c>
      <c r="F6504" s="102" t="str">
        <f ca="1">IFERROR(__xludf.DUMMYFUNCTION("IMPORTRANGE(H6504,""IDENTITAS UNIT!D9"")"),"#N/A")</f>
        <v>#N/A</v>
      </c>
      <c r="H6504" s="4" t="str">
        <v/>
      </c>
      <c r="I6504" s="4" t="str">
        <v/>
      </c>
    </row>
    <row r="6505" spans="5:9" ht="16.5" hidden="1">
      <c r="E6505" s="4" t="str">
        <v/>
      </c>
      <c r="F6505" s="102" t="str">
        <f ca="1">IFERROR(__xludf.DUMMYFUNCTION("IMPORTRANGE(H6505,""IDENTITAS UNIT!D9"")"),"#N/A")</f>
        <v>#N/A</v>
      </c>
      <c r="H6505" s="4" t="str">
        <v/>
      </c>
      <c r="I6505" s="4" t="str">
        <v/>
      </c>
    </row>
    <row r="6506" spans="5:9" ht="16.5" hidden="1">
      <c r="E6506" s="4" t="str">
        <v/>
      </c>
      <c r="F6506" s="102" t="str">
        <f ca="1">IFERROR(__xludf.DUMMYFUNCTION("IMPORTRANGE(H6506,""IDENTITAS UNIT!D9"")"),"#N/A")</f>
        <v>#N/A</v>
      </c>
      <c r="H6506" s="4" t="str">
        <v/>
      </c>
      <c r="I6506" s="4" t="str">
        <v/>
      </c>
    </row>
    <row r="6507" spans="5:9" ht="16.5" hidden="1">
      <c r="E6507" s="4" t="str">
        <v/>
      </c>
      <c r="F6507" s="102" t="str">
        <f ca="1">IFERROR(__xludf.DUMMYFUNCTION("IMPORTRANGE(H6507,""IDENTITAS UNIT!D9"")"),"#N/A")</f>
        <v>#N/A</v>
      </c>
      <c r="H6507" s="4" t="str">
        <v/>
      </c>
      <c r="I6507" s="4" t="str">
        <v/>
      </c>
    </row>
    <row r="6508" spans="5:9" ht="16.5" hidden="1">
      <c r="E6508" s="4" t="str">
        <v/>
      </c>
      <c r="F6508" s="102" t="str">
        <f ca="1">IFERROR(__xludf.DUMMYFUNCTION("IMPORTRANGE(H6508,""IDENTITAS UNIT!D9"")"),"#N/A")</f>
        <v>#N/A</v>
      </c>
      <c r="H6508" s="4" t="str">
        <v/>
      </c>
      <c r="I6508" s="4" t="str">
        <v/>
      </c>
    </row>
    <row r="6509" spans="5:9" ht="16.5" hidden="1">
      <c r="E6509" s="4" t="str">
        <v/>
      </c>
      <c r="F6509" s="102" t="str">
        <f ca="1">IFERROR(__xludf.DUMMYFUNCTION("IMPORTRANGE(H6509,""IDENTITAS UNIT!D9"")"),"#N/A")</f>
        <v>#N/A</v>
      </c>
      <c r="H6509" s="4" t="str">
        <v/>
      </c>
      <c r="I6509" s="4" t="str">
        <v/>
      </c>
    </row>
    <row r="6510" spans="5:9" ht="16.5" hidden="1">
      <c r="E6510" s="4" t="str">
        <v/>
      </c>
      <c r="F6510" s="102" t="str">
        <f ca="1">IFERROR(__xludf.DUMMYFUNCTION("IMPORTRANGE(H6510,""IDENTITAS UNIT!D9"")"),"#N/A")</f>
        <v>#N/A</v>
      </c>
      <c r="H6510" s="4" t="str">
        <v/>
      </c>
      <c r="I6510" s="4" t="str">
        <v/>
      </c>
    </row>
    <row r="6511" spans="5:9" ht="16.5" hidden="1">
      <c r="E6511" s="4" t="str">
        <v/>
      </c>
      <c r="F6511" s="102" t="str">
        <f ca="1">IFERROR(__xludf.DUMMYFUNCTION("IMPORTRANGE(H6511,""IDENTITAS UNIT!D9"")"),"#N/A")</f>
        <v>#N/A</v>
      </c>
      <c r="H6511" s="4" t="str">
        <v/>
      </c>
      <c r="I6511" s="4" t="str">
        <v/>
      </c>
    </row>
    <row r="6512" spans="5:9" ht="16.5" hidden="1">
      <c r="E6512" s="4" t="str">
        <v/>
      </c>
      <c r="F6512" s="102" t="str">
        <f ca="1">IFERROR(__xludf.DUMMYFUNCTION("IMPORTRANGE(H6512,""IDENTITAS UNIT!D9"")"),"#N/A")</f>
        <v>#N/A</v>
      </c>
      <c r="H6512" s="4" t="str">
        <v/>
      </c>
      <c r="I6512" s="4" t="str">
        <v/>
      </c>
    </row>
    <row r="6513" spans="5:9" ht="16.5" hidden="1">
      <c r="E6513" s="4" t="str">
        <v/>
      </c>
      <c r="F6513" s="102" t="str">
        <f ca="1">IFERROR(__xludf.DUMMYFUNCTION("IMPORTRANGE(H6513,""IDENTITAS UNIT!D9"")"),"#N/A")</f>
        <v>#N/A</v>
      </c>
      <c r="H6513" s="4" t="str">
        <v/>
      </c>
      <c r="I6513" s="4" t="str">
        <v/>
      </c>
    </row>
    <row r="6514" spans="5:9" ht="16.5" hidden="1">
      <c r="E6514" s="4" t="str">
        <v/>
      </c>
      <c r="F6514" s="102" t="str">
        <f ca="1">IFERROR(__xludf.DUMMYFUNCTION("IMPORTRANGE(H6514,""IDENTITAS UNIT!D9"")"),"#N/A")</f>
        <v>#N/A</v>
      </c>
      <c r="H6514" s="4" t="str">
        <v/>
      </c>
      <c r="I6514" s="4" t="str">
        <v/>
      </c>
    </row>
    <row r="6515" spans="5:9" ht="16.5" hidden="1">
      <c r="E6515" s="4" t="str">
        <v/>
      </c>
      <c r="F6515" s="102" t="str">
        <f ca="1">IFERROR(__xludf.DUMMYFUNCTION("IMPORTRANGE(H6515,""IDENTITAS UNIT!D9"")"),"#N/A")</f>
        <v>#N/A</v>
      </c>
      <c r="H6515" s="4" t="str">
        <v/>
      </c>
      <c r="I6515" s="4" t="str">
        <v/>
      </c>
    </row>
    <row r="6516" spans="5:9" ht="16.5" hidden="1">
      <c r="E6516" s="4" t="str">
        <v/>
      </c>
      <c r="F6516" s="102" t="str">
        <f ca="1">IFERROR(__xludf.DUMMYFUNCTION("IMPORTRANGE(H6516,""IDENTITAS UNIT!D9"")"),"#N/A")</f>
        <v>#N/A</v>
      </c>
      <c r="H6516" s="4" t="str">
        <v/>
      </c>
      <c r="I6516" s="4" t="str">
        <v/>
      </c>
    </row>
    <row r="6517" spans="5:9" ht="16.5" hidden="1">
      <c r="E6517" s="4" t="str">
        <v/>
      </c>
      <c r="F6517" s="102" t="str">
        <f ca="1">IFERROR(__xludf.DUMMYFUNCTION("IMPORTRANGE(H6517,""IDENTITAS UNIT!D9"")"),"#N/A")</f>
        <v>#N/A</v>
      </c>
      <c r="H6517" s="4" t="str">
        <v/>
      </c>
      <c r="I6517" s="4" t="str">
        <v/>
      </c>
    </row>
    <row r="6518" spans="5:9" ht="16.5" hidden="1">
      <c r="E6518" s="4" t="str">
        <v/>
      </c>
      <c r="F6518" s="102" t="str">
        <f ca="1">IFERROR(__xludf.DUMMYFUNCTION("IMPORTRANGE(H6518,""IDENTITAS UNIT!D9"")"),"#N/A")</f>
        <v>#N/A</v>
      </c>
      <c r="H6518" s="4" t="str">
        <v/>
      </c>
      <c r="I6518" s="4" t="str">
        <v/>
      </c>
    </row>
    <row r="6519" spans="5:9" ht="16.5" hidden="1">
      <c r="E6519" s="4" t="str">
        <v/>
      </c>
      <c r="F6519" s="102" t="str">
        <f ca="1">IFERROR(__xludf.DUMMYFUNCTION("IMPORTRANGE(H6519,""IDENTITAS UNIT!D9"")"),"#N/A")</f>
        <v>#N/A</v>
      </c>
      <c r="H6519" s="4" t="str">
        <v/>
      </c>
      <c r="I6519" s="4" t="str">
        <v/>
      </c>
    </row>
    <row r="6520" spans="5:9" ht="16.5" hidden="1">
      <c r="E6520" s="4" t="str">
        <v/>
      </c>
      <c r="F6520" s="102" t="str">
        <f ca="1">IFERROR(__xludf.DUMMYFUNCTION("IMPORTRANGE(H6520,""IDENTITAS UNIT!D9"")"),"#N/A")</f>
        <v>#N/A</v>
      </c>
      <c r="H6520" s="4" t="str">
        <v/>
      </c>
      <c r="I6520" s="4" t="str">
        <v/>
      </c>
    </row>
    <row r="6521" spans="5:9" ht="16.5" hidden="1">
      <c r="E6521" s="4" t="str">
        <v/>
      </c>
      <c r="F6521" s="102" t="str">
        <f ca="1">IFERROR(__xludf.DUMMYFUNCTION("IMPORTRANGE(H6521,""IDENTITAS UNIT!D9"")"),"#N/A")</f>
        <v>#N/A</v>
      </c>
      <c r="H6521" s="4" t="str">
        <v/>
      </c>
      <c r="I6521" s="4" t="str">
        <v/>
      </c>
    </row>
    <row r="6522" spans="5:9" ht="16.5" hidden="1">
      <c r="E6522" s="4" t="str">
        <v/>
      </c>
      <c r="F6522" s="102" t="str">
        <f ca="1">IFERROR(__xludf.DUMMYFUNCTION("IMPORTRANGE(H6522,""IDENTITAS UNIT!D9"")"),"#N/A")</f>
        <v>#N/A</v>
      </c>
      <c r="H6522" s="4" t="str">
        <v/>
      </c>
      <c r="I6522" s="4" t="str">
        <v/>
      </c>
    </row>
    <row r="6523" spans="5:9" ht="16.5" hidden="1">
      <c r="E6523" s="4" t="str">
        <v/>
      </c>
      <c r="F6523" s="102" t="str">
        <f ca="1">IFERROR(__xludf.DUMMYFUNCTION("IMPORTRANGE(H6523,""IDENTITAS UNIT!D9"")"),"#N/A")</f>
        <v>#N/A</v>
      </c>
      <c r="H6523" s="4" t="str">
        <v/>
      </c>
      <c r="I6523" s="4" t="str">
        <v/>
      </c>
    </row>
    <row r="6524" spans="5:9" ht="16.5" hidden="1">
      <c r="E6524" s="4" t="str">
        <v/>
      </c>
      <c r="F6524" s="102" t="str">
        <f ca="1">IFERROR(__xludf.DUMMYFUNCTION("IMPORTRANGE(H6524,""IDENTITAS UNIT!D9"")"),"#N/A")</f>
        <v>#N/A</v>
      </c>
      <c r="H6524" s="4" t="str">
        <v/>
      </c>
      <c r="I6524" s="4" t="str">
        <v/>
      </c>
    </row>
    <row r="6525" spans="5:9" ht="16.5" hidden="1">
      <c r="E6525" s="4" t="str">
        <v/>
      </c>
      <c r="F6525" s="102" t="str">
        <f ca="1">IFERROR(__xludf.DUMMYFUNCTION("IMPORTRANGE(H6525,""IDENTITAS UNIT!D9"")"),"#N/A")</f>
        <v>#N/A</v>
      </c>
      <c r="H6525" s="4" t="str">
        <v/>
      </c>
      <c r="I6525" s="4" t="str">
        <v/>
      </c>
    </row>
    <row r="6526" spans="5:9" ht="16.5" hidden="1">
      <c r="E6526" s="4" t="str">
        <v/>
      </c>
      <c r="F6526" s="102" t="str">
        <f ca="1">IFERROR(__xludf.DUMMYFUNCTION("IMPORTRANGE(H6526,""IDENTITAS UNIT!D9"")"),"#N/A")</f>
        <v>#N/A</v>
      </c>
      <c r="H6526" s="4" t="str">
        <v/>
      </c>
      <c r="I6526" s="4" t="str">
        <v/>
      </c>
    </row>
    <row r="6527" spans="5:9" ht="16.5" hidden="1">
      <c r="E6527" s="4" t="str">
        <v/>
      </c>
      <c r="F6527" s="102" t="str">
        <f ca="1">IFERROR(__xludf.DUMMYFUNCTION("IMPORTRANGE(H6527,""IDENTITAS UNIT!D9"")"),"#N/A")</f>
        <v>#N/A</v>
      </c>
      <c r="H6527" s="4" t="str">
        <v/>
      </c>
      <c r="I6527" s="4" t="str">
        <v/>
      </c>
    </row>
    <row r="6528" spans="5:9" ht="16.5" hidden="1">
      <c r="E6528" s="4" t="str">
        <v/>
      </c>
      <c r="F6528" s="102" t="str">
        <f ca="1">IFERROR(__xludf.DUMMYFUNCTION("IMPORTRANGE(H6528,""IDENTITAS UNIT!D9"")"),"#N/A")</f>
        <v>#N/A</v>
      </c>
      <c r="H6528" s="4" t="str">
        <v/>
      </c>
      <c r="I6528" s="4" t="str">
        <v/>
      </c>
    </row>
    <row r="6529" spans="5:9" ht="16.5" hidden="1">
      <c r="E6529" s="4" t="str">
        <v/>
      </c>
      <c r="F6529" s="102" t="str">
        <f ca="1">IFERROR(__xludf.DUMMYFUNCTION("IMPORTRANGE(H6529,""IDENTITAS UNIT!D9"")"),"#N/A")</f>
        <v>#N/A</v>
      </c>
      <c r="H6529" s="4" t="str">
        <v/>
      </c>
      <c r="I6529" s="4" t="str">
        <v/>
      </c>
    </row>
    <row r="6530" spans="5:9" ht="16.5" hidden="1">
      <c r="E6530" s="4" t="str">
        <v/>
      </c>
      <c r="F6530" s="102" t="str">
        <f ca="1">IFERROR(__xludf.DUMMYFUNCTION("IMPORTRANGE(H6530,""IDENTITAS UNIT!D9"")"),"#N/A")</f>
        <v>#N/A</v>
      </c>
      <c r="H6530" s="4" t="str">
        <v/>
      </c>
      <c r="I6530" s="4" t="str">
        <v/>
      </c>
    </row>
    <row r="6531" spans="5:9" ht="16.5" hidden="1">
      <c r="E6531" s="4" t="str">
        <v/>
      </c>
      <c r="F6531" s="102" t="str">
        <f ca="1">IFERROR(__xludf.DUMMYFUNCTION("IMPORTRANGE(H6531,""IDENTITAS UNIT!D9"")"),"#N/A")</f>
        <v>#N/A</v>
      </c>
      <c r="H6531" s="4" t="str">
        <v/>
      </c>
      <c r="I6531" s="4" t="str">
        <v/>
      </c>
    </row>
    <row r="6532" spans="5:9" ht="16.5" hidden="1">
      <c r="E6532" s="4" t="str">
        <v/>
      </c>
      <c r="F6532" s="102" t="str">
        <f ca="1">IFERROR(__xludf.DUMMYFUNCTION("IMPORTRANGE(H6532,""IDENTITAS UNIT!D9"")"),"#N/A")</f>
        <v>#N/A</v>
      </c>
      <c r="H6532" s="4" t="str">
        <v/>
      </c>
      <c r="I6532" s="4" t="str">
        <v/>
      </c>
    </row>
    <row r="6533" spans="5:9" ht="16.5" hidden="1">
      <c r="E6533" s="4" t="str">
        <v/>
      </c>
      <c r="F6533" s="102" t="str">
        <f ca="1">IFERROR(__xludf.DUMMYFUNCTION("IMPORTRANGE(H6533,""IDENTITAS UNIT!D9"")"),"#N/A")</f>
        <v>#N/A</v>
      </c>
      <c r="H6533" s="4" t="str">
        <v/>
      </c>
      <c r="I6533" s="4" t="str">
        <v/>
      </c>
    </row>
    <row r="6534" spans="5:9" ht="16.5" hidden="1">
      <c r="E6534" s="4" t="str">
        <v/>
      </c>
      <c r="F6534" s="102" t="str">
        <f ca="1">IFERROR(__xludf.DUMMYFUNCTION("IMPORTRANGE(H6534,""IDENTITAS UNIT!D9"")"),"#N/A")</f>
        <v>#N/A</v>
      </c>
      <c r="H6534" s="4" t="str">
        <v/>
      </c>
      <c r="I6534" s="4" t="str">
        <v/>
      </c>
    </row>
    <row r="6535" spans="5:9" ht="16.5" hidden="1">
      <c r="E6535" s="4" t="str">
        <v/>
      </c>
      <c r="F6535" s="102" t="str">
        <f ca="1">IFERROR(__xludf.DUMMYFUNCTION("IMPORTRANGE(H6535,""IDENTITAS UNIT!D9"")"),"#N/A")</f>
        <v>#N/A</v>
      </c>
      <c r="H6535" s="4" t="str">
        <v/>
      </c>
      <c r="I6535" s="4" t="str">
        <v/>
      </c>
    </row>
    <row r="6536" spans="5:9" ht="16.5" hidden="1">
      <c r="E6536" s="4" t="str">
        <v/>
      </c>
      <c r="F6536" s="102" t="str">
        <f ca="1">IFERROR(__xludf.DUMMYFUNCTION("IMPORTRANGE(H6536,""IDENTITAS UNIT!D9"")"),"#N/A")</f>
        <v>#N/A</v>
      </c>
      <c r="H6536" s="4" t="str">
        <v/>
      </c>
      <c r="I6536" s="4" t="str">
        <v/>
      </c>
    </row>
    <row r="6537" spans="5:9" ht="16.5" hidden="1">
      <c r="E6537" s="4" t="str">
        <v/>
      </c>
      <c r="F6537" s="102" t="str">
        <f ca="1">IFERROR(__xludf.DUMMYFUNCTION("IMPORTRANGE(H6537,""IDENTITAS UNIT!D9"")"),"#N/A")</f>
        <v>#N/A</v>
      </c>
      <c r="H6537" s="4" t="str">
        <v/>
      </c>
      <c r="I6537" s="4" t="str">
        <v/>
      </c>
    </row>
    <row r="6538" spans="5:9" ht="16.5" hidden="1">
      <c r="E6538" s="4" t="str">
        <v/>
      </c>
      <c r="F6538" s="102" t="str">
        <f ca="1">IFERROR(__xludf.DUMMYFUNCTION("IMPORTRANGE(H6538,""IDENTITAS UNIT!D9"")"),"#N/A")</f>
        <v>#N/A</v>
      </c>
      <c r="H6538" s="4" t="str">
        <v/>
      </c>
      <c r="I6538" s="4" t="str">
        <v/>
      </c>
    </row>
    <row r="6539" spans="5:9" ht="16.5" hidden="1">
      <c r="E6539" s="4" t="str">
        <v/>
      </c>
      <c r="F6539" s="102" t="str">
        <f ca="1">IFERROR(__xludf.DUMMYFUNCTION("IMPORTRANGE(H6539,""IDENTITAS UNIT!D9"")"),"#N/A")</f>
        <v>#N/A</v>
      </c>
      <c r="H6539" s="4" t="str">
        <v/>
      </c>
      <c r="I6539" s="4" t="str">
        <v/>
      </c>
    </row>
    <row r="6540" spans="5:9" ht="16.5" hidden="1">
      <c r="E6540" s="4" t="str">
        <v/>
      </c>
      <c r="F6540" s="102" t="str">
        <f ca="1">IFERROR(__xludf.DUMMYFUNCTION("IMPORTRANGE(H6540,""IDENTITAS UNIT!D9"")"),"#N/A")</f>
        <v>#N/A</v>
      </c>
      <c r="H6540" s="4" t="str">
        <v/>
      </c>
      <c r="I6540" s="4" t="str">
        <v/>
      </c>
    </row>
    <row r="6541" spans="5:9" ht="16.5" hidden="1">
      <c r="E6541" s="4" t="str">
        <v/>
      </c>
      <c r="F6541" s="102" t="str">
        <f ca="1">IFERROR(__xludf.DUMMYFUNCTION("IMPORTRANGE(H6541,""IDENTITAS UNIT!D9"")"),"#N/A")</f>
        <v>#N/A</v>
      </c>
      <c r="H6541" s="4" t="str">
        <v/>
      </c>
      <c r="I6541" s="4" t="str">
        <v/>
      </c>
    </row>
    <row r="6542" spans="5:9" ht="16.5" hidden="1">
      <c r="E6542" s="4" t="str">
        <v/>
      </c>
      <c r="F6542" s="102" t="str">
        <f ca="1">IFERROR(__xludf.DUMMYFUNCTION("IMPORTRANGE(H6542,""IDENTITAS UNIT!D9"")"),"#N/A")</f>
        <v>#N/A</v>
      </c>
      <c r="H6542" s="4" t="str">
        <v/>
      </c>
      <c r="I6542" s="4" t="str">
        <v/>
      </c>
    </row>
    <row r="6543" spans="5:9" ht="16.5" hidden="1">
      <c r="E6543" s="4" t="str">
        <v/>
      </c>
      <c r="F6543" s="102" t="str">
        <f ca="1">IFERROR(__xludf.DUMMYFUNCTION("IMPORTRANGE(H6543,""IDENTITAS UNIT!D9"")"),"#N/A")</f>
        <v>#N/A</v>
      </c>
      <c r="H6543" s="4" t="str">
        <v/>
      </c>
      <c r="I6543" s="4" t="str">
        <v/>
      </c>
    </row>
    <row r="6544" spans="5:9" ht="16.5" hidden="1">
      <c r="E6544" s="4" t="str">
        <v/>
      </c>
      <c r="F6544" s="102" t="str">
        <f ca="1">IFERROR(__xludf.DUMMYFUNCTION("IMPORTRANGE(H6544,""IDENTITAS UNIT!D9"")"),"#N/A")</f>
        <v>#N/A</v>
      </c>
      <c r="H6544" s="4" t="str">
        <v/>
      </c>
      <c r="I6544" s="4" t="str">
        <v/>
      </c>
    </row>
    <row r="6545" spans="5:9" ht="16.5" hidden="1">
      <c r="E6545" s="4" t="str">
        <v/>
      </c>
      <c r="F6545" s="102" t="str">
        <f ca="1">IFERROR(__xludf.DUMMYFUNCTION("IMPORTRANGE(H6545,""IDENTITAS UNIT!D9"")"),"#N/A")</f>
        <v>#N/A</v>
      </c>
      <c r="H6545" s="4" t="str">
        <v/>
      </c>
      <c r="I6545" s="4" t="str">
        <v/>
      </c>
    </row>
    <row r="6546" spans="5:9" ht="16.5" hidden="1">
      <c r="E6546" s="4" t="str">
        <v/>
      </c>
      <c r="F6546" s="102" t="str">
        <f ca="1">IFERROR(__xludf.DUMMYFUNCTION("IMPORTRANGE(H6546,""IDENTITAS UNIT!D9"")"),"#N/A")</f>
        <v>#N/A</v>
      </c>
      <c r="H6546" s="4" t="str">
        <v/>
      </c>
      <c r="I6546" s="4" t="str">
        <v/>
      </c>
    </row>
    <row r="6547" spans="5:9" ht="16.5" hidden="1">
      <c r="E6547" s="4" t="str">
        <v/>
      </c>
      <c r="F6547" s="102" t="str">
        <f ca="1">IFERROR(__xludf.DUMMYFUNCTION("IMPORTRANGE(H6547,""IDENTITAS UNIT!D9"")"),"#N/A")</f>
        <v>#N/A</v>
      </c>
      <c r="H6547" s="4" t="str">
        <v/>
      </c>
      <c r="I6547" s="4" t="str">
        <v/>
      </c>
    </row>
    <row r="6548" spans="5:9" ht="16.5" hidden="1">
      <c r="E6548" s="4" t="str">
        <v/>
      </c>
      <c r="F6548" s="102" t="str">
        <f ca="1">IFERROR(__xludf.DUMMYFUNCTION("IMPORTRANGE(H6548,""IDENTITAS UNIT!D9"")"),"#N/A")</f>
        <v>#N/A</v>
      </c>
      <c r="H6548" s="4" t="str">
        <v/>
      </c>
      <c r="I6548" s="4" t="str">
        <v/>
      </c>
    </row>
    <row r="6549" spans="5:9" ht="16.5" hidden="1">
      <c r="E6549" s="4" t="str">
        <v/>
      </c>
      <c r="F6549" s="102" t="str">
        <f ca="1">IFERROR(__xludf.DUMMYFUNCTION("IMPORTRANGE(H6549,""IDENTITAS UNIT!D9"")"),"#N/A")</f>
        <v>#N/A</v>
      </c>
      <c r="H6549" s="4" t="str">
        <v/>
      </c>
      <c r="I6549" s="4" t="str">
        <v/>
      </c>
    </row>
    <row r="6550" spans="5:9" ht="16.5" hidden="1">
      <c r="E6550" s="4" t="str">
        <v/>
      </c>
      <c r="F6550" s="102" t="str">
        <f ca="1">IFERROR(__xludf.DUMMYFUNCTION("IMPORTRANGE(H6550,""IDENTITAS UNIT!D9"")"),"#N/A")</f>
        <v>#N/A</v>
      </c>
      <c r="H6550" s="4" t="str">
        <v/>
      </c>
      <c r="I6550" s="4" t="str">
        <v/>
      </c>
    </row>
    <row r="6551" spans="5:9" ht="16.5" hidden="1">
      <c r="E6551" s="4" t="str">
        <v/>
      </c>
      <c r="F6551" s="102" t="str">
        <f ca="1">IFERROR(__xludf.DUMMYFUNCTION("IMPORTRANGE(H6551,""IDENTITAS UNIT!D9"")"),"#N/A")</f>
        <v>#N/A</v>
      </c>
      <c r="H6551" s="4" t="str">
        <v/>
      </c>
      <c r="I6551" s="4" t="str">
        <v/>
      </c>
    </row>
    <row r="6552" spans="5:9" ht="16.5" hidden="1">
      <c r="E6552" s="4" t="str">
        <v/>
      </c>
      <c r="F6552" s="102" t="str">
        <f ca="1">IFERROR(__xludf.DUMMYFUNCTION("IMPORTRANGE(H6552,""IDENTITAS UNIT!D9"")"),"#N/A")</f>
        <v>#N/A</v>
      </c>
      <c r="H6552" s="4" t="str">
        <v/>
      </c>
      <c r="I6552" s="4" t="str">
        <v/>
      </c>
    </row>
    <row r="6553" spans="5:9" ht="16.5" hidden="1">
      <c r="E6553" s="4" t="str">
        <v/>
      </c>
      <c r="F6553" s="102" t="str">
        <f ca="1">IFERROR(__xludf.DUMMYFUNCTION("IMPORTRANGE(H6553,""IDENTITAS UNIT!D9"")"),"#N/A")</f>
        <v>#N/A</v>
      </c>
      <c r="H6553" s="4" t="str">
        <v/>
      </c>
      <c r="I6553" s="4" t="str">
        <v/>
      </c>
    </row>
    <row r="6554" spans="5:9" ht="16.5" hidden="1">
      <c r="E6554" s="4" t="str">
        <v/>
      </c>
      <c r="F6554" s="102" t="str">
        <f ca="1">IFERROR(__xludf.DUMMYFUNCTION("IMPORTRANGE(H6554,""IDENTITAS UNIT!D9"")"),"#N/A")</f>
        <v>#N/A</v>
      </c>
      <c r="H6554" s="4" t="str">
        <v/>
      </c>
      <c r="I6554" s="4" t="str">
        <v/>
      </c>
    </row>
    <row r="6555" spans="5:9" ht="16.5" hidden="1">
      <c r="E6555" s="4" t="str">
        <v/>
      </c>
      <c r="F6555" s="102" t="str">
        <f ca="1">IFERROR(__xludf.DUMMYFUNCTION("IMPORTRANGE(H6555,""IDENTITAS UNIT!D9"")"),"#N/A")</f>
        <v>#N/A</v>
      </c>
      <c r="H6555" s="4" t="str">
        <v/>
      </c>
      <c r="I6555" s="4" t="str">
        <v/>
      </c>
    </row>
    <row r="6556" spans="5:9" ht="16.5" hidden="1">
      <c r="E6556" s="4" t="str">
        <v/>
      </c>
      <c r="F6556" s="102" t="str">
        <f ca="1">IFERROR(__xludf.DUMMYFUNCTION("IMPORTRANGE(H6556,""IDENTITAS UNIT!D9"")"),"#N/A")</f>
        <v>#N/A</v>
      </c>
      <c r="H6556" s="4" t="str">
        <v/>
      </c>
      <c r="I6556" s="4" t="str">
        <v/>
      </c>
    </row>
    <row r="6557" spans="5:9" ht="16.5" hidden="1">
      <c r="E6557" s="4" t="str">
        <v/>
      </c>
      <c r="F6557" s="102" t="str">
        <f ca="1">IFERROR(__xludf.DUMMYFUNCTION("IMPORTRANGE(H6557,""IDENTITAS UNIT!D9"")"),"#N/A")</f>
        <v>#N/A</v>
      </c>
      <c r="H6557" s="4" t="str">
        <v/>
      </c>
      <c r="I6557" s="4" t="str">
        <v/>
      </c>
    </row>
    <row r="6558" spans="5:9" ht="16.5" hidden="1">
      <c r="E6558" s="4" t="str">
        <v/>
      </c>
      <c r="F6558" s="102" t="str">
        <f ca="1">IFERROR(__xludf.DUMMYFUNCTION("IMPORTRANGE(H6558,""IDENTITAS UNIT!D9"")"),"#N/A")</f>
        <v>#N/A</v>
      </c>
      <c r="H6558" s="4" t="str">
        <v/>
      </c>
      <c r="I6558" s="4" t="str">
        <v/>
      </c>
    </row>
    <row r="6559" spans="5:9" ht="16.5" hidden="1">
      <c r="E6559" s="4" t="str">
        <v/>
      </c>
      <c r="F6559" s="102" t="str">
        <f ca="1">IFERROR(__xludf.DUMMYFUNCTION("IMPORTRANGE(H6559,""IDENTITAS UNIT!D9"")"),"#N/A")</f>
        <v>#N/A</v>
      </c>
      <c r="H6559" s="4" t="str">
        <v/>
      </c>
      <c r="I6559" s="4" t="str">
        <v/>
      </c>
    </row>
    <row r="6560" spans="5:9" ht="16.5" hidden="1">
      <c r="E6560" s="4" t="str">
        <v/>
      </c>
      <c r="F6560" s="102" t="str">
        <f ca="1">IFERROR(__xludf.DUMMYFUNCTION("IMPORTRANGE(H6560,""IDENTITAS UNIT!D9"")"),"#N/A")</f>
        <v>#N/A</v>
      </c>
      <c r="H6560" s="4" t="str">
        <v/>
      </c>
      <c r="I6560" s="4" t="str">
        <v/>
      </c>
    </row>
    <row r="6561" spans="5:9" ht="16.5" hidden="1">
      <c r="E6561" s="4" t="str">
        <v/>
      </c>
      <c r="F6561" s="102" t="str">
        <f ca="1">IFERROR(__xludf.DUMMYFUNCTION("IMPORTRANGE(H6561,""IDENTITAS UNIT!D9"")"),"#N/A")</f>
        <v>#N/A</v>
      </c>
      <c r="H6561" s="4" t="str">
        <v/>
      </c>
      <c r="I6561" s="4" t="str">
        <v/>
      </c>
    </row>
    <row r="6562" spans="5:9" ht="16.5" hidden="1">
      <c r="E6562" s="4" t="str">
        <v/>
      </c>
      <c r="F6562" s="102" t="str">
        <f ca="1">IFERROR(__xludf.DUMMYFUNCTION("IMPORTRANGE(H6562,""IDENTITAS UNIT!D9"")"),"#N/A")</f>
        <v>#N/A</v>
      </c>
      <c r="H6562" s="4" t="str">
        <v/>
      </c>
      <c r="I6562" s="4" t="str">
        <v/>
      </c>
    </row>
    <row r="6563" spans="5:9" ht="16.5" hidden="1">
      <c r="E6563" s="4" t="str">
        <v/>
      </c>
      <c r="F6563" s="102" t="str">
        <f ca="1">IFERROR(__xludf.DUMMYFUNCTION("IMPORTRANGE(H6563,""IDENTITAS UNIT!D9"")"),"#N/A")</f>
        <v>#N/A</v>
      </c>
      <c r="H6563" s="4" t="str">
        <v/>
      </c>
      <c r="I6563" s="4" t="str">
        <v/>
      </c>
    </row>
    <row r="6564" spans="5:9" ht="16.5" hidden="1">
      <c r="E6564" s="4" t="str">
        <v/>
      </c>
      <c r="F6564" s="102" t="str">
        <f ca="1">IFERROR(__xludf.DUMMYFUNCTION("IMPORTRANGE(H6564,""IDENTITAS UNIT!D9"")"),"#N/A")</f>
        <v>#N/A</v>
      </c>
      <c r="H6564" s="4" t="str">
        <v/>
      </c>
      <c r="I6564" s="4" t="str">
        <v/>
      </c>
    </row>
    <row r="6565" spans="5:9" ht="16.5" hidden="1">
      <c r="E6565" s="4" t="str">
        <v/>
      </c>
      <c r="F6565" s="102" t="str">
        <f ca="1">IFERROR(__xludf.DUMMYFUNCTION("IMPORTRANGE(H6565,""IDENTITAS UNIT!D9"")"),"#N/A")</f>
        <v>#N/A</v>
      </c>
      <c r="H6565" s="4" t="str">
        <v/>
      </c>
      <c r="I6565" s="4" t="str">
        <v/>
      </c>
    </row>
    <row r="6566" spans="5:9" ht="16.5" hidden="1">
      <c r="E6566" s="4" t="str">
        <v/>
      </c>
      <c r="F6566" s="102" t="str">
        <f ca="1">IFERROR(__xludf.DUMMYFUNCTION("IMPORTRANGE(H6566,""IDENTITAS UNIT!D9"")"),"#N/A")</f>
        <v>#N/A</v>
      </c>
      <c r="H6566" s="4" t="str">
        <v/>
      </c>
      <c r="I6566" s="4" t="str">
        <v/>
      </c>
    </row>
    <row r="6567" spans="5:9" ht="16.5" hidden="1">
      <c r="E6567" s="4" t="str">
        <v/>
      </c>
      <c r="F6567" s="102" t="str">
        <f ca="1">IFERROR(__xludf.DUMMYFUNCTION("IMPORTRANGE(H6567,""IDENTITAS UNIT!D9"")"),"#N/A")</f>
        <v>#N/A</v>
      </c>
      <c r="H6567" s="4" t="str">
        <v/>
      </c>
      <c r="I6567" s="4" t="str">
        <v/>
      </c>
    </row>
    <row r="6568" spans="5:9" ht="16.5" hidden="1">
      <c r="E6568" s="4" t="str">
        <v/>
      </c>
      <c r="F6568" s="102" t="str">
        <f ca="1">IFERROR(__xludf.DUMMYFUNCTION("IMPORTRANGE(H6568,""IDENTITAS UNIT!D9"")"),"#N/A")</f>
        <v>#N/A</v>
      </c>
      <c r="H6568" s="4" t="str">
        <v/>
      </c>
      <c r="I6568" s="4" t="str">
        <v/>
      </c>
    </row>
    <row r="6569" spans="5:9" ht="16.5" hidden="1">
      <c r="E6569" s="4" t="str">
        <v/>
      </c>
      <c r="F6569" s="102" t="str">
        <f ca="1">IFERROR(__xludf.DUMMYFUNCTION("IMPORTRANGE(H6569,""IDENTITAS UNIT!D9"")"),"#N/A")</f>
        <v>#N/A</v>
      </c>
      <c r="H6569" s="4" t="str">
        <v/>
      </c>
      <c r="I6569" s="4" t="str">
        <v/>
      </c>
    </row>
    <row r="6570" spans="5:9" ht="16.5" hidden="1">
      <c r="E6570" s="4" t="str">
        <v/>
      </c>
      <c r="F6570" s="102" t="str">
        <f ca="1">IFERROR(__xludf.DUMMYFUNCTION("IMPORTRANGE(H6570,""IDENTITAS UNIT!D9"")"),"#N/A")</f>
        <v>#N/A</v>
      </c>
      <c r="H6570" s="4" t="str">
        <v/>
      </c>
      <c r="I6570" s="4" t="str">
        <v/>
      </c>
    </row>
    <row r="6571" spans="5:9" ht="16.5" hidden="1">
      <c r="E6571" s="4" t="str">
        <v/>
      </c>
      <c r="F6571" s="102" t="str">
        <f ca="1">IFERROR(__xludf.DUMMYFUNCTION("IMPORTRANGE(H6571,""IDENTITAS UNIT!D9"")"),"#N/A")</f>
        <v>#N/A</v>
      </c>
      <c r="H6571" s="4" t="str">
        <v/>
      </c>
      <c r="I6571" s="4" t="str">
        <v/>
      </c>
    </row>
    <row r="6572" spans="5:9" ht="16.5" hidden="1">
      <c r="E6572" s="4" t="str">
        <v/>
      </c>
      <c r="F6572" s="102" t="str">
        <f ca="1">IFERROR(__xludf.DUMMYFUNCTION("IMPORTRANGE(H6572,""IDENTITAS UNIT!D9"")"),"#N/A")</f>
        <v>#N/A</v>
      </c>
      <c r="H6572" s="4" t="str">
        <v/>
      </c>
      <c r="I6572" s="4" t="str">
        <v/>
      </c>
    </row>
    <row r="6573" spans="5:9" ht="16.5" hidden="1">
      <c r="E6573" s="4" t="str">
        <v/>
      </c>
      <c r="F6573" s="102" t="str">
        <f ca="1">IFERROR(__xludf.DUMMYFUNCTION("IMPORTRANGE(H6573,""IDENTITAS UNIT!D9"")"),"#N/A")</f>
        <v>#N/A</v>
      </c>
      <c r="H6573" s="4" t="str">
        <v/>
      </c>
      <c r="I6573" s="4" t="str">
        <v/>
      </c>
    </row>
    <row r="6574" spans="5:9" ht="16.5" hidden="1">
      <c r="E6574" s="4" t="str">
        <v/>
      </c>
      <c r="F6574" s="102" t="str">
        <f ca="1">IFERROR(__xludf.DUMMYFUNCTION("IMPORTRANGE(H6574,""IDENTITAS UNIT!D9"")"),"#N/A")</f>
        <v>#N/A</v>
      </c>
      <c r="H6574" s="4" t="str">
        <v/>
      </c>
      <c r="I6574" s="4" t="str">
        <v/>
      </c>
    </row>
    <row r="6575" spans="5:9" ht="16.5" hidden="1">
      <c r="E6575" s="4" t="str">
        <v/>
      </c>
      <c r="F6575" s="102" t="str">
        <f ca="1">IFERROR(__xludf.DUMMYFUNCTION("IMPORTRANGE(H6575,""IDENTITAS UNIT!D9"")"),"#N/A")</f>
        <v>#N/A</v>
      </c>
      <c r="H6575" s="4" t="str">
        <v/>
      </c>
      <c r="I6575" s="4" t="str">
        <v/>
      </c>
    </row>
    <row r="6576" spans="5:9" ht="16.5" hidden="1">
      <c r="E6576" s="4" t="str">
        <v/>
      </c>
      <c r="F6576" s="102" t="str">
        <f ca="1">IFERROR(__xludf.DUMMYFUNCTION("IMPORTRANGE(H6576,""IDENTITAS UNIT!D9"")"),"#N/A")</f>
        <v>#N/A</v>
      </c>
      <c r="H6576" s="4" t="str">
        <v/>
      </c>
      <c r="I6576" s="4" t="str">
        <v/>
      </c>
    </row>
    <row r="6577" spans="5:9" ht="16.5" hidden="1">
      <c r="E6577" s="4" t="str">
        <v/>
      </c>
      <c r="F6577" s="102" t="str">
        <f ca="1">IFERROR(__xludf.DUMMYFUNCTION("IMPORTRANGE(H6577,""IDENTITAS UNIT!D9"")"),"#N/A")</f>
        <v>#N/A</v>
      </c>
      <c r="H6577" s="4" t="str">
        <v/>
      </c>
      <c r="I6577" s="4" t="str">
        <v/>
      </c>
    </row>
    <row r="6578" spans="5:9" ht="16.5" hidden="1">
      <c r="E6578" s="4" t="str">
        <v/>
      </c>
      <c r="F6578" s="102" t="str">
        <f ca="1">IFERROR(__xludf.DUMMYFUNCTION("IMPORTRANGE(H6578,""IDENTITAS UNIT!D9"")"),"#N/A")</f>
        <v>#N/A</v>
      </c>
      <c r="H6578" s="4" t="str">
        <v/>
      </c>
      <c r="I6578" s="4" t="str">
        <v/>
      </c>
    </row>
    <row r="6579" spans="5:9" ht="16.5" hidden="1">
      <c r="E6579" s="4" t="str">
        <v/>
      </c>
      <c r="F6579" s="102" t="str">
        <f ca="1">IFERROR(__xludf.DUMMYFUNCTION("IMPORTRANGE(H6579,""IDENTITAS UNIT!D9"")"),"#N/A")</f>
        <v>#N/A</v>
      </c>
      <c r="H6579" s="4" t="str">
        <v/>
      </c>
      <c r="I6579" s="4" t="str">
        <v/>
      </c>
    </row>
    <row r="6580" spans="5:9" ht="16.5" hidden="1">
      <c r="E6580" s="4" t="str">
        <v/>
      </c>
      <c r="F6580" s="102" t="str">
        <f ca="1">IFERROR(__xludf.DUMMYFUNCTION("IMPORTRANGE(H6580,""IDENTITAS UNIT!D9"")"),"#N/A")</f>
        <v>#N/A</v>
      </c>
      <c r="H6580" s="4" t="str">
        <v/>
      </c>
      <c r="I6580" s="4" t="str">
        <v/>
      </c>
    </row>
    <row r="6581" spans="5:9" ht="16.5" hidden="1">
      <c r="E6581" s="4" t="str">
        <v/>
      </c>
      <c r="F6581" s="102" t="str">
        <f ca="1">IFERROR(__xludf.DUMMYFUNCTION("IMPORTRANGE(H6581,""IDENTITAS UNIT!D9"")"),"#N/A")</f>
        <v>#N/A</v>
      </c>
      <c r="H6581" s="4" t="str">
        <v/>
      </c>
      <c r="I6581" s="4" t="str">
        <v/>
      </c>
    </row>
    <row r="6582" spans="5:9" ht="16.5" hidden="1">
      <c r="E6582" s="4" t="str">
        <v/>
      </c>
      <c r="F6582" s="102" t="str">
        <f ca="1">IFERROR(__xludf.DUMMYFUNCTION("IMPORTRANGE(H6582,""IDENTITAS UNIT!D9"")"),"#N/A")</f>
        <v>#N/A</v>
      </c>
      <c r="H6582" s="4" t="str">
        <v/>
      </c>
      <c r="I6582" s="4" t="str">
        <v/>
      </c>
    </row>
    <row r="6583" spans="5:9" ht="16.5" hidden="1">
      <c r="E6583" s="4" t="str">
        <v/>
      </c>
      <c r="F6583" s="102" t="str">
        <f ca="1">IFERROR(__xludf.DUMMYFUNCTION("IMPORTRANGE(H6583,""IDENTITAS UNIT!D9"")"),"#N/A")</f>
        <v>#N/A</v>
      </c>
      <c r="H6583" s="4" t="str">
        <v/>
      </c>
      <c r="I6583" s="4" t="str">
        <v/>
      </c>
    </row>
    <row r="6584" spans="5:9" ht="16.5" hidden="1">
      <c r="E6584" s="4" t="str">
        <v/>
      </c>
      <c r="F6584" s="102" t="str">
        <f ca="1">IFERROR(__xludf.DUMMYFUNCTION("IMPORTRANGE(H6584,""IDENTITAS UNIT!D9"")"),"#N/A")</f>
        <v>#N/A</v>
      </c>
      <c r="H6584" s="4" t="str">
        <v/>
      </c>
      <c r="I6584" s="4" t="str">
        <v/>
      </c>
    </row>
    <row r="6585" spans="5:9" ht="16.5" hidden="1">
      <c r="E6585" s="4" t="str">
        <v/>
      </c>
      <c r="F6585" s="102" t="str">
        <f ca="1">IFERROR(__xludf.DUMMYFUNCTION("IMPORTRANGE(H6585,""IDENTITAS UNIT!D9"")"),"#N/A")</f>
        <v>#N/A</v>
      </c>
      <c r="H6585" s="4" t="str">
        <v/>
      </c>
      <c r="I6585" s="4" t="str">
        <v/>
      </c>
    </row>
    <row r="6586" spans="5:9" ht="16.5" hidden="1">
      <c r="E6586" s="4" t="str">
        <v/>
      </c>
      <c r="F6586" s="102" t="str">
        <f ca="1">IFERROR(__xludf.DUMMYFUNCTION("IMPORTRANGE(H6586,""IDENTITAS UNIT!D9"")"),"#N/A")</f>
        <v>#N/A</v>
      </c>
      <c r="H6586" s="4" t="str">
        <v/>
      </c>
      <c r="I6586" s="4" t="str">
        <v/>
      </c>
    </row>
    <row r="6587" spans="5:9" ht="16.5" hidden="1">
      <c r="E6587" s="4" t="str">
        <v/>
      </c>
      <c r="F6587" s="102" t="str">
        <f ca="1">IFERROR(__xludf.DUMMYFUNCTION("IMPORTRANGE(H6587,""IDENTITAS UNIT!D9"")"),"#N/A")</f>
        <v>#N/A</v>
      </c>
      <c r="H6587" s="4" t="str">
        <v/>
      </c>
      <c r="I6587" s="4" t="str">
        <v/>
      </c>
    </row>
    <row r="6588" spans="5:9" ht="16.5" hidden="1">
      <c r="E6588" s="4" t="str">
        <v/>
      </c>
      <c r="F6588" s="102" t="str">
        <f ca="1">IFERROR(__xludf.DUMMYFUNCTION("IMPORTRANGE(H6588,""IDENTITAS UNIT!D9"")"),"#N/A")</f>
        <v>#N/A</v>
      </c>
      <c r="H6588" s="4" t="str">
        <v/>
      </c>
      <c r="I6588" s="4" t="str">
        <v/>
      </c>
    </row>
    <row r="6589" spans="5:9" ht="16.5" hidden="1">
      <c r="E6589" s="4" t="str">
        <v/>
      </c>
      <c r="F6589" s="102" t="str">
        <f ca="1">IFERROR(__xludf.DUMMYFUNCTION("IMPORTRANGE(H6589,""IDENTITAS UNIT!D9"")"),"#N/A")</f>
        <v>#N/A</v>
      </c>
      <c r="H6589" s="4" t="str">
        <v/>
      </c>
      <c r="I6589" s="4" t="str">
        <v/>
      </c>
    </row>
    <row r="6590" spans="5:9" ht="16.5" hidden="1">
      <c r="E6590" s="4" t="str">
        <v/>
      </c>
      <c r="F6590" s="102" t="str">
        <f ca="1">IFERROR(__xludf.DUMMYFUNCTION("IMPORTRANGE(H6590,""IDENTITAS UNIT!D9"")"),"#N/A")</f>
        <v>#N/A</v>
      </c>
      <c r="H6590" s="4" t="str">
        <v/>
      </c>
      <c r="I6590" s="4" t="str">
        <v/>
      </c>
    </row>
    <row r="6591" spans="5:9" ht="16.5" hidden="1">
      <c r="E6591" s="4" t="str">
        <v/>
      </c>
      <c r="F6591" s="102" t="str">
        <f ca="1">IFERROR(__xludf.DUMMYFUNCTION("IMPORTRANGE(H6591,""IDENTITAS UNIT!D9"")"),"#N/A")</f>
        <v>#N/A</v>
      </c>
      <c r="H6591" s="4" t="str">
        <v/>
      </c>
      <c r="I6591" s="4" t="str">
        <v/>
      </c>
    </row>
    <row r="6592" spans="5:9" ht="16.5" hidden="1">
      <c r="E6592" s="4" t="str">
        <v/>
      </c>
      <c r="F6592" s="102" t="str">
        <f ca="1">IFERROR(__xludf.DUMMYFUNCTION("IMPORTRANGE(H6592,""IDENTITAS UNIT!D9"")"),"#N/A")</f>
        <v>#N/A</v>
      </c>
      <c r="H6592" s="4" t="str">
        <v/>
      </c>
      <c r="I6592" s="4" t="str">
        <v/>
      </c>
    </row>
    <row r="6593" spans="5:9" ht="16.5" hidden="1">
      <c r="E6593" s="4" t="str">
        <v/>
      </c>
      <c r="F6593" s="102" t="str">
        <f ca="1">IFERROR(__xludf.DUMMYFUNCTION("IMPORTRANGE(H6593,""IDENTITAS UNIT!D9"")"),"#N/A")</f>
        <v>#N/A</v>
      </c>
      <c r="H6593" s="4" t="str">
        <v/>
      </c>
      <c r="I6593" s="4" t="str">
        <v/>
      </c>
    </row>
    <row r="6594" spans="5:9" ht="16.5" hidden="1">
      <c r="E6594" s="4" t="str">
        <v/>
      </c>
      <c r="F6594" s="102" t="str">
        <f ca="1">IFERROR(__xludf.DUMMYFUNCTION("IMPORTRANGE(H6594,""IDENTITAS UNIT!D9"")"),"#N/A")</f>
        <v>#N/A</v>
      </c>
      <c r="H6594" s="4" t="str">
        <v/>
      </c>
      <c r="I6594" s="4" t="str">
        <v/>
      </c>
    </row>
    <row r="6595" spans="5:9" ht="16.5" hidden="1">
      <c r="E6595" s="4" t="str">
        <v/>
      </c>
      <c r="F6595" s="102" t="str">
        <f ca="1">IFERROR(__xludf.DUMMYFUNCTION("IMPORTRANGE(H6595,""IDENTITAS UNIT!D9"")"),"#N/A")</f>
        <v>#N/A</v>
      </c>
      <c r="H6595" s="4" t="str">
        <v/>
      </c>
      <c r="I6595" s="4" t="str">
        <v/>
      </c>
    </row>
    <row r="6596" spans="5:9" ht="16.5" hidden="1">
      <c r="E6596" s="4" t="str">
        <v/>
      </c>
      <c r="F6596" s="102" t="str">
        <f ca="1">IFERROR(__xludf.DUMMYFUNCTION("IMPORTRANGE(H6596,""IDENTITAS UNIT!D9"")"),"#N/A")</f>
        <v>#N/A</v>
      </c>
      <c r="H6596" s="4" t="str">
        <v/>
      </c>
      <c r="I6596" s="4" t="str">
        <v/>
      </c>
    </row>
    <row r="6597" spans="5:9" ht="16.5" hidden="1">
      <c r="E6597" s="4" t="str">
        <v/>
      </c>
      <c r="F6597" s="102" t="str">
        <f ca="1">IFERROR(__xludf.DUMMYFUNCTION("IMPORTRANGE(H6597,""IDENTITAS UNIT!D9"")"),"#N/A")</f>
        <v>#N/A</v>
      </c>
      <c r="H6597" s="4" t="str">
        <v/>
      </c>
      <c r="I6597" s="4" t="str">
        <v/>
      </c>
    </row>
    <row r="6598" spans="5:9" ht="16.5" hidden="1">
      <c r="E6598" s="4" t="str">
        <v/>
      </c>
      <c r="F6598" s="102" t="str">
        <f ca="1">IFERROR(__xludf.DUMMYFUNCTION("IMPORTRANGE(H6598,""IDENTITAS UNIT!D9"")"),"#N/A")</f>
        <v>#N/A</v>
      </c>
      <c r="H6598" s="4" t="str">
        <v/>
      </c>
      <c r="I6598" s="4" t="str">
        <v/>
      </c>
    </row>
    <row r="6599" spans="5:9" ht="16.5" hidden="1">
      <c r="E6599" s="4" t="str">
        <v/>
      </c>
      <c r="F6599" s="102" t="str">
        <f ca="1">IFERROR(__xludf.DUMMYFUNCTION("IMPORTRANGE(H6599,""IDENTITAS UNIT!D9"")"),"#N/A")</f>
        <v>#N/A</v>
      </c>
      <c r="H6599" s="4" t="str">
        <v/>
      </c>
      <c r="I6599" s="4" t="str">
        <v/>
      </c>
    </row>
    <row r="6600" spans="5:9" ht="16.5" hidden="1">
      <c r="E6600" s="4" t="str">
        <v/>
      </c>
      <c r="F6600" s="102" t="str">
        <f ca="1">IFERROR(__xludf.DUMMYFUNCTION("IMPORTRANGE(H6600,""IDENTITAS UNIT!D9"")"),"#N/A")</f>
        <v>#N/A</v>
      </c>
      <c r="H6600" s="4" t="str">
        <v/>
      </c>
      <c r="I6600" s="4" t="str">
        <v/>
      </c>
    </row>
    <row r="6601" spans="5:9" ht="16.5" hidden="1">
      <c r="E6601" s="4" t="str">
        <v/>
      </c>
      <c r="F6601" s="102" t="str">
        <f ca="1">IFERROR(__xludf.DUMMYFUNCTION("IMPORTRANGE(H6601,""IDENTITAS UNIT!D9"")"),"#N/A")</f>
        <v>#N/A</v>
      </c>
      <c r="H6601" s="4" t="str">
        <v/>
      </c>
      <c r="I6601" s="4" t="str">
        <v/>
      </c>
    </row>
    <row r="6602" spans="5:9" ht="16.5" hidden="1">
      <c r="E6602" s="4" t="str">
        <v/>
      </c>
      <c r="F6602" s="102" t="str">
        <f ca="1">IFERROR(__xludf.DUMMYFUNCTION("IMPORTRANGE(H6602,""IDENTITAS UNIT!D9"")"),"#N/A")</f>
        <v>#N/A</v>
      </c>
      <c r="H6602" s="4" t="str">
        <v/>
      </c>
      <c r="I6602" s="4" t="str">
        <v/>
      </c>
    </row>
    <row r="6603" spans="5:9" ht="16.5" hidden="1">
      <c r="E6603" s="4" t="str">
        <v/>
      </c>
      <c r="F6603" s="102" t="str">
        <f ca="1">IFERROR(__xludf.DUMMYFUNCTION("IMPORTRANGE(H6603,""IDENTITAS UNIT!D9"")"),"#N/A")</f>
        <v>#N/A</v>
      </c>
      <c r="H6603" s="4" t="str">
        <v/>
      </c>
      <c r="I6603" s="4" t="str">
        <v/>
      </c>
    </row>
    <row r="6604" spans="5:9" ht="16.5" hidden="1">
      <c r="E6604" s="4" t="str">
        <v/>
      </c>
      <c r="F6604" s="102" t="str">
        <f ca="1">IFERROR(__xludf.DUMMYFUNCTION("IMPORTRANGE(H6604,""IDENTITAS UNIT!D9"")"),"#N/A")</f>
        <v>#N/A</v>
      </c>
      <c r="H6604" s="4" t="str">
        <v/>
      </c>
      <c r="I6604" s="4" t="str">
        <v/>
      </c>
    </row>
    <row r="6605" spans="5:9" ht="16.5" hidden="1">
      <c r="E6605" s="4" t="str">
        <v/>
      </c>
      <c r="F6605" s="102" t="str">
        <f ca="1">IFERROR(__xludf.DUMMYFUNCTION("IMPORTRANGE(H6605,""IDENTITAS UNIT!D9"")"),"#N/A")</f>
        <v>#N/A</v>
      </c>
      <c r="H6605" s="4" t="str">
        <v/>
      </c>
      <c r="I6605" s="4" t="str">
        <v/>
      </c>
    </row>
    <row r="6606" spans="5:9" ht="16.5" hidden="1">
      <c r="E6606" s="4" t="str">
        <v/>
      </c>
      <c r="F6606" s="102" t="str">
        <f ca="1">IFERROR(__xludf.DUMMYFUNCTION("IMPORTRANGE(H6606,""IDENTITAS UNIT!D9"")"),"#N/A")</f>
        <v>#N/A</v>
      </c>
      <c r="H6606" s="4" t="str">
        <v/>
      </c>
      <c r="I6606" s="4" t="str">
        <v/>
      </c>
    </row>
    <row r="6607" spans="5:9" ht="16.5" hidden="1">
      <c r="E6607" s="4" t="str">
        <v/>
      </c>
      <c r="F6607" s="102" t="str">
        <f ca="1">IFERROR(__xludf.DUMMYFUNCTION("IMPORTRANGE(H6607,""IDENTITAS UNIT!D9"")"),"#N/A")</f>
        <v>#N/A</v>
      </c>
      <c r="H6607" s="4" t="str">
        <v/>
      </c>
      <c r="I6607" s="4" t="str">
        <v/>
      </c>
    </row>
    <row r="6608" spans="5:9" ht="16.5" hidden="1">
      <c r="E6608" s="4" t="str">
        <v/>
      </c>
      <c r="F6608" s="102" t="str">
        <f ca="1">IFERROR(__xludf.DUMMYFUNCTION("IMPORTRANGE(H6608,""IDENTITAS UNIT!D9"")"),"#N/A")</f>
        <v>#N/A</v>
      </c>
      <c r="H6608" s="4" t="str">
        <v/>
      </c>
      <c r="I6608" s="4" t="str">
        <v/>
      </c>
    </row>
    <row r="6609" spans="5:9" ht="16.5" hidden="1">
      <c r="E6609" s="4" t="str">
        <v/>
      </c>
      <c r="F6609" s="102" t="str">
        <f ca="1">IFERROR(__xludf.DUMMYFUNCTION("IMPORTRANGE(H6609,""IDENTITAS UNIT!D9"")"),"#N/A")</f>
        <v>#N/A</v>
      </c>
      <c r="H6609" s="4" t="str">
        <v/>
      </c>
      <c r="I6609" s="4" t="str">
        <v/>
      </c>
    </row>
    <row r="6610" spans="5:9" ht="16.5" hidden="1">
      <c r="E6610" s="4" t="str">
        <v/>
      </c>
      <c r="F6610" s="102" t="str">
        <f ca="1">IFERROR(__xludf.DUMMYFUNCTION("IMPORTRANGE(H6610,""IDENTITAS UNIT!D9"")"),"#N/A")</f>
        <v>#N/A</v>
      </c>
      <c r="H6610" s="4" t="str">
        <v/>
      </c>
      <c r="I6610" s="4" t="str">
        <v/>
      </c>
    </row>
    <row r="6611" spans="5:9" ht="16.5" hidden="1">
      <c r="E6611" s="4" t="str">
        <v/>
      </c>
      <c r="F6611" s="102" t="str">
        <f ca="1">IFERROR(__xludf.DUMMYFUNCTION("IMPORTRANGE(H6611,""IDENTITAS UNIT!D9"")"),"#N/A")</f>
        <v>#N/A</v>
      </c>
      <c r="H6611" s="4" t="str">
        <v/>
      </c>
      <c r="I6611" s="4" t="str">
        <v/>
      </c>
    </row>
    <row r="6612" spans="5:9" ht="16.5" hidden="1">
      <c r="E6612" s="4" t="str">
        <v/>
      </c>
      <c r="F6612" s="102" t="str">
        <f ca="1">IFERROR(__xludf.DUMMYFUNCTION("IMPORTRANGE(H6612,""IDENTITAS UNIT!D9"")"),"#N/A")</f>
        <v>#N/A</v>
      </c>
      <c r="H6612" s="4" t="str">
        <v/>
      </c>
      <c r="I6612" s="4" t="str">
        <v/>
      </c>
    </row>
    <row r="6613" spans="5:9" ht="16.5" hidden="1">
      <c r="E6613" s="4" t="str">
        <v/>
      </c>
      <c r="F6613" s="102" t="str">
        <f ca="1">IFERROR(__xludf.DUMMYFUNCTION("IMPORTRANGE(H6613,""IDENTITAS UNIT!D9"")"),"#N/A")</f>
        <v>#N/A</v>
      </c>
      <c r="H6613" s="4" t="str">
        <v/>
      </c>
      <c r="I6613" s="4" t="str">
        <v/>
      </c>
    </row>
    <row r="6614" spans="5:9" ht="16.5" hidden="1">
      <c r="E6614" s="4" t="str">
        <v/>
      </c>
      <c r="F6614" s="102" t="str">
        <f ca="1">IFERROR(__xludf.DUMMYFUNCTION("IMPORTRANGE(H6614,""IDENTITAS UNIT!D9"")"),"#N/A")</f>
        <v>#N/A</v>
      </c>
      <c r="H6614" s="4" t="str">
        <v/>
      </c>
      <c r="I6614" s="4" t="str">
        <v/>
      </c>
    </row>
    <row r="6615" spans="5:9" ht="16.5" hidden="1">
      <c r="E6615" s="4" t="str">
        <v/>
      </c>
      <c r="F6615" s="102" t="str">
        <f ca="1">IFERROR(__xludf.DUMMYFUNCTION("IMPORTRANGE(H6615,""IDENTITAS UNIT!D9"")"),"#N/A")</f>
        <v>#N/A</v>
      </c>
      <c r="H6615" s="4" t="str">
        <v/>
      </c>
      <c r="I6615" s="4" t="str">
        <v/>
      </c>
    </row>
    <row r="6616" spans="5:9" ht="16.5" hidden="1">
      <c r="E6616" s="4" t="str">
        <v/>
      </c>
      <c r="F6616" s="102" t="str">
        <f ca="1">IFERROR(__xludf.DUMMYFUNCTION("IMPORTRANGE(H6616,""IDENTITAS UNIT!D9"")"),"#N/A")</f>
        <v>#N/A</v>
      </c>
      <c r="H6616" s="4" t="str">
        <v/>
      </c>
      <c r="I6616" s="4" t="str">
        <v/>
      </c>
    </row>
    <row r="6617" spans="5:9" ht="16.5" hidden="1">
      <c r="E6617" s="4" t="str">
        <v/>
      </c>
      <c r="F6617" s="102" t="str">
        <f ca="1">IFERROR(__xludf.DUMMYFUNCTION("IMPORTRANGE(H6617,""IDENTITAS UNIT!D9"")"),"#N/A")</f>
        <v>#N/A</v>
      </c>
      <c r="H6617" s="4" t="str">
        <v/>
      </c>
      <c r="I6617" s="4" t="str">
        <v/>
      </c>
    </row>
    <row r="6618" spans="5:9" ht="16.5" hidden="1">
      <c r="E6618" s="4" t="str">
        <v/>
      </c>
      <c r="F6618" s="102" t="str">
        <f ca="1">IFERROR(__xludf.DUMMYFUNCTION("IMPORTRANGE(H6618,""IDENTITAS UNIT!D9"")"),"#N/A")</f>
        <v>#N/A</v>
      </c>
      <c r="H6618" s="4" t="str">
        <v/>
      </c>
      <c r="I6618" s="4" t="str">
        <v/>
      </c>
    </row>
    <row r="6619" spans="5:9" ht="16.5" hidden="1">
      <c r="E6619" s="4" t="str">
        <v/>
      </c>
      <c r="F6619" s="102" t="str">
        <f ca="1">IFERROR(__xludf.DUMMYFUNCTION("IMPORTRANGE(H6619,""IDENTITAS UNIT!D9"")"),"#N/A")</f>
        <v>#N/A</v>
      </c>
      <c r="H6619" s="4" t="str">
        <v/>
      </c>
      <c r="I6619" s="4" t="str">
        <v/>
      </c>
    </row>
    <row r="6620" spans="5:9" ht="16.5" hidden="1">
      <c r="E6620" s="4" t="str">
        <v/>
      </c>
      <c r="F6620" s="102" t="str">
        <f ca="1">IFERROR(__xludf.DUMMYFUNCTION("IMPORTRANGE(H6620,""IDENTITAS UNIT!D9"")"),"#N/A")</f>
        <v>#N/A</v>
      </c>
      <c r="H6620" s="4" t="str">
        <v/>
      </c>
      <c r="I6620" s="4" t="str">
        <v/>
      </c>
    </row>
    <row r="6621" spans="5:9" ht="16.5" hidden="1">
      <c r="E6621" s="4" t="str">
        <v/>
      </c>
      <c r="F6621" s="102" t="str">
        <f ca="1">IFERROR(__xludf.DUMMYFUNCTION("IMPORTRANGE(H6621,""IDENTITAS UNIT!D9"")"),"#N/A")</f>
        <v>#N/A</v>
      </c>
      <c r="H6621" s="4" t="str">
        <v/>
      </c>
      <c r="I6621" s="4" t="str">
        <v/>
      </c>
    </row>
    <row r="6622" spans="5:9" ht="16.5" hidden="1">
      <c r="E6622" s="4" t="str">
        <v/>
      </c>
      <c r="F6622" s="102" t="str">
        <f ca="1">IFERROR(__xludf.DUMMYFUNCTION("IMPORTRANGE(H6622,""IDENTITAS UNIT!D9"")"),"#N/A")</f>
        <v>#N/A</v>
      </c>
      <c r="H6622" s="4" t="str">
        <v/>
      </c>
      <c r="I6622" s="4" t="str">
        <v/>
      </c>
    </row>
    <row r="6623" spans="5:9" ht="16.5" hidden="1">
      <c r="E6623" s="4" t="str">
        <v/>
      </c>
      <c r="F6623" s="102" t="str">
        <f ca="1">IFERROR(__xludf.DUMMYFUNCTION("IMPORTRANGE(H6623,""IDENTITAS UNIT!D9"")"),"#N/A")</f>
        <v>#N/A</v>
      </c>
      <c r="H6623" s="4" t="str">
        <v/>
      </c>
      <c r="I6623" s="4" t="str">
        <v/>
      </c>
    </row>
    <row r="6624" spans="5:9" ht="16.5" hidden="1">
      <c r="E6624" s="4" t="str">
        <v/>
      </c>
      <c r="F6624" s="102" t="str">
        <f ca="1">IFERROR(__xludf.DUMMYFUNCTION("IMPORTRANGE(H6624,""IDENTITAS UNIT!D9"")"),"#N/A")</f>
        <v>#N/A</v>
      </c>
      <c r="H6624" s="4" t="str">
        <v/>
      </c>
      <c r="I6624" s="4" t="str">
        <v/>
      </c>
    </row>
    <row r="6625" spans="5:9" ht="16.5" hidden="1">
      <c r="E6625" s="4" t="str">
        <v/>
      </c>
      <c r="F6625" s="102" t="str">
        <f ca="1">IFERROR(__xludf.DUMMYFUNCTION("IMPORTRANGE(H6625,""IDENTITAS UNIT!D9"")"),"#N/A")</f>
        <v>#N/A</v>
      </c>
      <c r="H6625" s="4" t="str">
        <v/>
      </c>
      <c r="I6625" s="4" t="str">
        <v/>
      </c>
    </row>
    <row r="6626" spans="5:9" ht="16.5" hidden="1">
      <c r="E6626" s="4" t="str">
        <v/>
      </c>
      <c r="F6626" s="102" t="str">
        <f ca="1">IFERROR(__xludf.DUMMYFUNCTION("IMPORTRANGE(H6626,""IDENTITAS UNIT!D9"")"),"#N/A")</f>
        <v>#N/A</v>
      </c>
      <c r="H6626" s="4" t="str">
        <v/>
      </c>
      <c r="I6626" s="4" t="str">
        <v/>
      </c>
    </row>
    <row r="6627" spans="5:9" ht="16.5" hidden="1">
      <c r="E6627" s="4" t="str">
        <v/>
      </c>
      <c r="F6627" s="102" t="str">
        <f ca="1">IFERROR(__xludf.DUMMYFUNCTION("IMPORTRANGE(H6627,""IDENTITAS UNIT!D9"")"),"#N/A")</f>
        <v>#N/A</v>
      </c>
      <c r="H6627" s="4" t="str">
        <v/>
      </c>
      <c r="I6627" s="4" t="str">
        <v/>
      </c>
    </row>
    <row r="6628" spans="5:9" ht="16.5" hidden="1">
      <c r="E6628" s="4" t="str">
        <v/>
      </c>
      <c r="F6628" s="102" t="str">
        <f ca="1">IFERROR(__xludf.DUMMYFUNCTION("IMPORTRANGE(H6628,""IDENTITAS UNIT!D9"")"),"#N/A")</f>
        <v>#N/A</v>
      </c>
      <c r="H6628" s="4" t="str">
        <v/>
      </c>
      <c r="I6628" s="4" t="str">
        <v/>
      </c>
    </row>
    <row r="6629" spans="5:9" ht="16.5" hidden="1">
      <c r="E6629" s="4" t="str">
        <v/>
      </c>
      <c r="F6629" s="102" t="str">
        <f ca="1">IFERROR(__xludf.DUMMYFUNCTION("IMPORTRANGE(H6629,""IDENTITAS UNIT!D9"")"),"#N/A")</f>
        <v>#N/A</v>
      </c>
      <c r="H6629" s="4" t="str">
        <v/>
      </c>
      <c r="I6629" s="4" t="str">
        <v/>
      </c>
    </row>
    <row r="6630" spans="5:9" ht="16.5" hidden="1">
      <c r="E6630" s="4" t="str">
        <v/>
      </c>
      <c r="F6630" s="102" t="str">
        <f ca="1">IFERROR(__xludf.DUMMYFUNCTION("IMPORTRANGE(H6630,""IDENTITAS UNIT!D9"")"),"#N/A")</f>
        <v>#N/A</v>
      </c>
      <c r="H6630" s="4" t="str">
        <v/>
      </c>
      <c r="I6630" s="4" t="str">
        <v/>
      </c>
    </row>
    <row r="6631" spans="5:9" ht="16.5" hidden="1">
      <c r="E6631" s="4" t="str">
        <v/>
      </c>
      <c r="F6631" s="102" t="str">
        <f ca="1">IFERROR(__xludf.DUMMYFUNCTION("IMPORTRANGE(H6631,""IDENTITAS UNIT!D9"")"),"#N/A")</f>
        <v>#N/A</v>
      </c>
      <c r="H6631" s="4" t="str">
        <v/>
      </c>
      <c r="I6631" s="4" t="str">
        <v/>
      </c>
    </row>
    <row r="6632" spans="5:9" ht="16.5" hidden="1">
      <c r="E6632" s="4" t="str">
        <v/>
      </c>
      <c r="F6632" s="102" t="str">
        <f ca="1">IFERROR(__xludf.DUMMYFUNCTION("IMPORTRANGE(H6632,""IDENTITAS UNIT!D9"")"),"#N/A")</f>
        <v>#N/A</v>
      </c>
      <c r="H6632" s="4" t="str">
        <v/>
      </c>
      <c r="I6632" s="4" t="str">
        <v/>
      </c>
    </row>
    <row r="6633" spans="5:9" ht="16.5" hidden="1">
      <c r="E6633" s="4" t="str">
        <v/>
      </c>
      <c r="F6633" s="102" t="str">
        <f ca="1">IFERROR(__xludf.DUMMYFUNCTION("IMPORTRANGE(H6633,""IDENTITAS UNIT!D9"")"),"#N/A")</f>
        <v>#N/A</v>
      </c>
      <c r="H6633" s="4" t="str">
        <v/>
      </c>
      <c r="I6633" s="4" t="str">
        <v/>
      </c>
    </row>
    <row r="6634" spans="5:9" ht="16.5" hidden="1">
      <c r="E6634" s="4" t="str">
        <v/>
      </c>
      <c r="F6634" s="102" t="str">
        <f ca="1">IFERROR(__xludf.DUMMYFUNCTION("IMPORTRANGE(H6634,""IDENTITAS UNIT!D9"")"),"#N/A")</f>
        <v>#N/A</v>
      </c>
      <c r="H6634" s="4" t="str">
        <v/>
      </c>
      <c r="I6634" s="4" t="str">
        <v/>
      </c>
    </row>
    <row r="6635" spans="5:9" ht="16.5" hidden="1">
      <c r="E6635" s="4" t="str">
        <v/>
      </c>
      <c r="F6635" s="102" t="str">
        <f ca="1">IFERROR(__xludf.DUMMYFUNCTION("IMPORTRANGE(H6635,""IDENTITAS UNIT!D9"")"),"#N/A")</f>
        <v>#N/A</v>
      </c>
      <c r="H6635" s="4" t="str">
        <v/>
      </c>
      <c r="I6635" s="4" t="str">
        <v/>
      </c>
    </row>
    <row r="6636" spans="5:9" ht="16.5" hidden="1">
      <c r="E6636" s="4" t="str">
        <v/>
      </c>
      <c r="F6636" s="102" t="str">
        <f ca="1">IFERROR(__xludf.DUMMYFUNCTION("IMPORTRANGE(H6636,""IDENTITAS UNIT!D9"")"),"#N/A")</f>
        <v>#N/A</v>
      </c>
      <c r="H6636" s="4" t="str">
        <v/>
      </c>
      <c r="I6636" s="4" t="str">
        <v/>
      </c>
    </row>
    <row r="6637" spans="5:9" ht="16.5" hidden="1">
      <c r="E6637" s="4" t="str">
        <v/>
      </c>
      <c r="F6637" s="102" t="str">
        <f ca="1">IFERROR(__xludf.DUMMYFUNCTION("IMPORTRANGE(H6637,""IDENTITAS UNIT!D9"")"),"#N/A")</f>
        <v>#N/A</v>
      </c>
      <c r="H6637" s="4" t="str">
        <v/>
      </c>
      <c r="I6637" s="4" t="str">
        <v/>
      </c>
    </row>
    <row r="6638" spans="5:9" ht="16.5" hidden="1">
      <c r="E6638" s="4" t="str">
        <v/>
      </c>
      <c r="F6638" s="102" t="str">
        <f ca="1">IFERROR(__xludf.DUMMYFUNCTION("IMPORTRANGE(H6638,""IDENTITAS UNIT!D9"")"),"#N/A")</f>
        <v>#N/A</v>
      </c>
      <c r="H6638" s="4" t="str">
        <v/>
      </c>
      <c r="I6638" s="4" t="str">
        <v/>
      </c>
    </row>
    <row r="6639" spans="5:9" ht="16.5" hidden="1">
      <c r="E6639" s="4" t="str">
        <v/>
      </c>
      <c r="F6639" s="102" t="str">
        <f ca="1">IFERROR(__xludf.DUMMYFUNCTION("IMPORTRANGE(H6639,""IDENTITAS UNIT!D9"")"),"#N/A")</f>
        <v>#N/A</v>
      </c>
      <c r="H6639" s="4" t="str">
        <v/>
      </c>
      <c r="I6639" s="4" t="str">
        <v/>
      </c>
    </row>
    <row r="6640" spans="5:9" ht="16.5" hidden="1">
      <c r="E6640" s="4" t="str">
        <v/>
      </c>
      <c r="F6640" s="102" t="str">
        <f ca="1">IFERROR(__xludf.DUMMYFUNCTION("IMPORTRANGE(H6640,""IDENTITAS UNIT!D9"")"),"#N/A")</f>
        <v>#N/A</v>
      </c>
      <c r="H6640" s="4" t="str">
        <v/>
      </c>
      <c r="I6640" s="4" t="str">
        <v/>
      </c>
    </row>
    <row r="6641" spans="5:9" ht="16.5" hidden="1">
      <c r="E6641" s="4" t="str">
        <v/>
      </c>
      <c r="F6641" s="102" t="str">
        <f ca="1">IFERROR(__xludf.DUMMYFUNCTION("IMPORTRANGE(H6641,""IDENTITAS UNIT!D9"")"),"#N/A")</f>
        <v>#N/A</v>
      </c>
      <c r="H6641" s="4" t="str">
        <v/>
      </c>
      <c r="I6641" s="4" t="str">
        <v/>
      </c>
    </row>
    <row r="6642" spans="5:9" ht="16.5" hidden="1">
      <c r="E6642" s="4" t="str">
        <v/>
      </c>
      <c r="F6642" s="102" t="str">
        <f ca="1">IFERROR(__xludf.DUMMYFUNCTION("IMPORTRANGE(H6642,""IDENTITAS UNIT!D9"")"),"#N/A")</f>
        <v>#N/A</v>
      </c>
      <c r="H6642" s="4" t="str">
        <v/>
      </c>
      <c r="I6642" s="4" t="str">
        <v/>
      </c>
    </row>
    <row r="6643" spans="5:9" ht="16.5" hidden="1">
      <c r="E6643" s="4" t="str">
        <v/>
      </c>
      <c r="F6643" s="102" t="str">
        <f ca="1">IFERROR(__xludf.DUMMYFUNCTION("IMPORTRANGE(H6643,""IDENTITAS UNIT!D9"")"),"#N/A")</f>
        <v>#N/A</v>
      </c>
      <c r="H6643" s="4" t="str">
        <v/>
      </c>
      <c r="I6643" s="4" t="str">
        <v/>
      </c>
    </row>
    <row r="6644" spans="5:9" ht="16.5" hidden="1">
      <c r="E6644" s="4" t="str">
        <v/>
      </c>
      <c r="F6644" s="102" t="str">
        <f ca="1">IFERROR(__xludf.DUMMYFUNCTION("IMPORTRANGE(H6644,""IDENTITAS UNIT!D9"")"),"#N/A")</f>
        <v>#N/A</v>
      </c>
      <c r="H6644" s="4" t="str">
        <v/>
      </c>
      <c r="I6644" s="4" t="str">
        <v/>
      </c>
    </row>
    <row r="6645" spans="5:9" ht="16.5" hidden="1">
      <c r="E6645" s="4" t="str">
        <v/>
      </c>
      <c r="F6645" s="102" t="str">
        <f ca="1">IFERROR(__xludf.DUMMYFUNCTION("IMPORTRANGE(H6645,""IDENTITAS UNIT!D9"")"),"#N/A")</f>
        <v>#N/A</v>
      </c>
      <c r="H6645" s="4" t="str">
        <v/>
      </c>
      <c r="I6645" s="4" t="str">
        <v/>
      </c>
    </row>
    <row r="6646" spans="5:9" ht="16.5" hidden="1">
      <c r="E6646" s="4" t="str">
        <v/>
      </c>
      <c r="F6646" s="102" t="str">
        <f ca="1">IFERROR(__xludf.DUMMYFUNCTION("IMPORTRANGE(H6646,""IDENTITAS UNIT!D9"")"),"#N/A")</f>
        <v>#N/A</v>
      </c>
      <c r="H6646" s="4" t="str">
        <v/>
      </c>
      <c r="I6646" s="4" t="str">
        <v/>
      </c>
    </row>
    <row r="6647" spans="5:9" ht="16.5" hidden="1">
      <c r="E6647" s="4" t="str">
        <v/>
      </c>
      <c r="F6647" s="102" t="str">
        <f ca="1">IFERROR(__xludf.DUMMYFUNCTION("IMPORTRANGE(H6647,""IDENTITAS UNIT!D9"")"),"#N/A")</f>
        <v>#N/A</v>
      </c>
      <c r="H6647" s="4" t="str">
        <v/>
      </c>
      <c r="I6647" s="4" t="str">
        <v/>
      </c>
    </row>
    <row r="6648" spans="5:9" ht="16.5" hidden="1">
      <c r="E6648" s="4" t="str">
        <v/>
      </c>
      <c r="F6648" s="102" t="str">
        <f ca="1">IFERROR(__xludf.DUMMYFUNCTION("IMPORTRANGE(H6648,""IDENTITAS UNIT!D9"")"),"#N/A")</f>
        <v>#N/A</v>
      </c>
      <c r="H6648" s="4" t="str">
        <v/>
      </c>
      <c r="I6648" s="4" t="str">
        <v/>
      </c>
    </row>
    <row r="6649" spans="5:9" ht="16.5" hidden="1">
      <c r="E6649" s="4" t="str">
        <v/>
      </c>
      <c r="F6649" s="102" t="str">
        <f ca="1">IFERROR(__xludf.DUMMYFUNCTION("IMPORTRANGE(H6649,""IDENTITAS UNIT!D9"")"),"#N/A")</f>
        <v>#N/A</v>
      </c>
      <c r="H6649" s="4" t="str">
        <v/>
      </c>
      <c r="I6649" s="4" t="str">
        <v/>
      </c>
    </row>
    <row r="6650" spans="5:9" ht="16.5" hidden="1">
      <c r="E6650" s="4" t="str">
        <v/>
      </c>
      <c r="F6650" s="102" t="str">
        <f ca="1">IFERROR(__xludf.DUMMYFUNCTION("IMPORTRANGE(H6650,""IDENTITAS UNIT!D9"")"),"#N/A")</f>
        <v>#N/A</v>
      </c>
      <c r="H6650" s="4" t="str">
        <v/>
      </c>
      <c r="I6650" s="4" t="str">
        <v/>
      </c>
    </row>
    <row r="6651" spans="5:9" ht="16.5" hidden="1">
      <c r="E6651" s="4" t="str">
        <v/>
      </c>
      <c r="F6651" s="102" t="str">
        <f ca="1">IFERROR(__xludf.DUMMYFUNCTION("IMPORTRANGE(H6651,""IDENTITAS UNIT!D9"")"),"#N/A")</f>
        <v>#N/A</v>
      </c>
      <c r="H6651" s="4" t="str">
        <v/>
      </c>
      <c r="I6651" s="4" t="str">
        <v/>
      </c>
    </row>
    <row r="6652" spans="5:9" ht="16.5" hidden="1">
      <c r="E6652" s="4" t="str">
        <v/>
      </c>
      <c r="F6652" s="102" t="str">
        <f ca="1">IFERROR(__xludf.DUMMYFUNCTION("IMPORTRANGE(H6652,""IDENTITAS UNIT!D9"")"),"#N/A")</f>
        <v>#N/A</v>
      </c>
      <c r="H6652" s="4" t="str">
        <v/>
      </c>
      <c r="I6652" s="4" t="str">
        <v/>
      </c>
    </row>
    <row r="6653" spans="5:9" ht="16.5" hidden="1">
      <c r="E6653" s="4" t="str">
        <v/>
      </c>
      <c r="F6653" s="102" t="str">
        <f ca="1">IFERROR(__xludf.DUMMYFUNCTION("IMPORTRANGE(H6653,""IDENTITAS UNIT!D9"")"),"#N/A")</f>
        <v>#N/A</v>
      </c>
      <c r="H6653" s="4" t="str">
        <v/>
      </c>
      <c r="I6653" s="4" t="str">
        <v/>
      </c>
    </row>
    <row r="6654" spans="5:9" ht="16.5" hidden="1">
      <c r="E6654" s="4" t="str">
        <v/>
      </c>
      <c r="F6654" s="102" t="str">
        <f ca="1">IFERROR(__xludf.DUMMYFUNCTION("IMPORTRANGE(H6654,""IDENTITAS UNIT!D9"")"),"#N/A")</f>
        <v>#N/A</v>
      </c>
      <c r="H6654" s="4" t="str">
        <v/>
      </c>
      <c r="I6654" s="4" t="str">
        <v/>
      </c>
    </row>
    <row r="6655" spans="5:9" ht="16.5" hidden="1">
      <c r="E6655" s="4" t="str">
        <v/>
      </c>
      <c r="F6655" s="102" t="str">
        <f ca="1">IFERROR(__xludf.DUMMYFUNCTION("IMPORTRANGE(H6655,""IDENTITAS UNIT!D9"")"),"#N/A")</f>
        <v>#N/A</v>
      </c>
      <c r="H6655" s="4" t="str">
        <v/>
      </c>
      <c r="I6655" s="4" t="str">
        <v/>
      </c>
    </row>
    <row r="6656" spans="5:9" ht="16.5" hidden="1">
      <c r="E6656" s="4" t="str">
        <v/>
      </c>
      <c r="F6656" s="102" t="str">
        <f ca="1">IFERROR(__xludf.DUMMYFUNCTION("IMPORTRANGE(H6656,""IDENTITAS UNIT!D9"")"),"#N/A")</f>
        <v>#N/A</v>
      </c>
      <c r="H6656" s="4" t="str">
        <v/>
      </c>
      <c r="I6656" s="4" t="str">
        <v/>
      </c>
    </row>
    <row r="6657" spans="5:9" ht="16.5" hidden="1">
      <c r="E6657" s="4" t="str">
        <v/>
      </c>
      <c r="F6657" s="102" t="str">
        <f ca="1">IFERROR(__xludf.DUMMYFUNCTION("IMPORTRANGE(H6657,""IDENTITAS UNIT!D9"")"),"#N/A")</f>
        <v>#N/A</v>
      </c>
      <c r="H6657" s="4" t="str">
        <v/>
      </c>
      <c r="I6657" s="4" t="str">
        <v/>
      </c>
    </row>
    <row r="6658" spans="5:9" ht="16.5" hidden="1">
      <c r="E6658" s="4" t="str">
        <v/>
      </c>
      <c r="F6658" s="102" t="str">
        <f ca="1">IFERROR(__xludf.DUMMYFUNCTION("IMPORTRANGE(H6658,""IDENTITAS UNIT!D9"")"),"#N/A")</f>
        <v>#N/A</v>
      </c>
      <c r="H6658" s="4" t="str">
        <v/>
      </c>
      <c r="I6658" s="4" t="str">
        <v/>
      </c>
    </row>
    <row r="6659" spans="5:9" ht="16.5" hidden="1">
      <c r="E6659" s="4" t="str">
        <v/>
      </c>
      <c r="F6659" s="102" t="str">
        <f ca="1">IFERROR(__xludf.DUMMYFUNCTION("IMPORTRANGE(H6659,""IDENTITAS UNIT!D9"")"),"#N/A")</f>
        <v>#N/A</v>
      </c>
      <c r="H6659" s="4" t="str">
        <v/>
      </c>
      <c r="I6659" s="4" t="str">
        <v/>
      </c>
    </row>
    <row r="6660" spans="5:9" ht="16.5" hidden="1">
      <c r="E6660" s="4" t="str">
        <v/>
      </c>
      <c r="F6660" s="102" t="str">
        <f ca="1">IFERROR(__xludf.DUMMYFUNCTION("IMPORTRANGE(H6660,""IDENTITAS UNIT!D9"")"),"#N/A")</f>
        <v>#N/A</v>
      </c>
      <c r="H6660" s="4" t="str">
        <v/>
      </c>
      <c r="I6660" s="4" t="str">
        <v/>
      </c>
    </row>
    <row r="6661" spans="5:9" ht="16.5" hidden="1">
      <c r="E6661" s="4" t="str">
        <v/>
      </c>
      <c r="F6661" s="102" t="str">
        <f ca="1">IFERROR(__xludf.DUMMYFUNCTION("IMPORTRANGE(H6661,""IDENTITAS UNIT!D9"")"),"#N/A")</f>
        <v>#N/A</v>
      </c>
      <c r="H6661" s="4" t="str">
        <v/>
      </c>
      <c r="I6661" s="4" t="str">
        <v/>
      </c>
    </row>
    <row r="6662" spans="5:9" ht="16.5" hidden="1">
      <c r="E6662" s="4" t="str">
        <v/>
      </c>
      <c r="F6662" s="102" t="str">
        <f ca="1">IFERROR(__xludf.DUMMYFUNCTION("IMPORTRANGE(H6662,""IDENTITAS UNIT!D9"")"),"#N/A")</f>
        <v>#N/A</v>
      </c>
      <c r="H6662" s="4" t="str">
        <v/>
      </c>
      <c r="I6662" s="4" t="str">
        <v/>
      </c>
    </row>
    <row r="6663" spans="5:9" ht="16.5" hidden="1">
      <c r="E6663" s="4" t="str">
        <v/>
      </c>
      <c r="F6663" s="102" t="str">
        <f ca="1">IFERROR(__xludf.DUMMYFUNCTION("IMPORTRANGE(H6663,""IDENTITAS UNIT!D9"")"),"#N/A")</f>
        <v>#N/A</v>
      </c>
      <c r="H6663" s="4" t="str">
        <v/>
      </c>
      <c r="I6663" s="4" t="str">
        <v/>
      </c>
    </row>
    <row r="6664" spans="5:9" ht="16.5" hidden="1">
      <c r="E6664" s="4" t="str">
        <v/>
      </c>
      <c r="F6664" s="102" t="str">
        <f ca="1">IFERROR(__xludf.DUMMYFUNCTION("IMPORTRANGE(H6664,""IDENTITAS UNIT!D9"")"),"#N/A")</f>
        <v>#N/A</v>
      </c>
      <c r="H6664" s="4" t="str">
        <v/>
      </c>
      <c r="I6664" s="4" t="str">
        <v/>
      </c>
    </row>
    <row r="6665" spans="5:9" ht="16.5" hidden="1">
      <c r="E6665" s="4" t="str">
        <v/>
      </c>
      <c r="F6665" s="102" t="str">
        <f ca="1">IFERROR(__xludf.DUMMYFUNCTION("IMPORTRANGE(H6665,""IDENTITAS UNIT!D9"")"),"#N/A")</f>
        <v>#N/A</v>
      </c>
      <c r="H6665" s="4" t="str">
        <v/>
      </c>
      <c r="I6665" s="4" t="str">
        <v/>
      </c>
    </row>
    <row r="6666" spans="5:9" ht="16.5" hidden="1">
      <c r="E6666" s="4" t="str">
        <v/>
      </c>
      <c r="F6666" s="102" t="str">
        <f ca="1">IFERROR(__xludf.DUMMYFUNCTION("IMPORTRANGE(H6666,""IDENTITAS UNIT!D9"")"),"#N/A")</f>
        <v>#N/A</v>
      </c>
      <c r="H6666" s="4" t="str">
        <v/>
      </c>
      <c r="I6666" s="4" t="str">
        <v/>
      </c>
    </row>
    <row r="6667" spans="5:9" ht="16.5" hidden="1">
      <c r="E6667" s="4" t="str">
        <v/>
      </c>
      <c r="F6667" s="102" t="str">
        <f ca="1">IFERROR(__xludf.DUMMYFUNCTION("IMPORTRANGE(H6667,""IDENTITAS UNIT!D9"")"),"#N/A")</f>
        <v>#N/A</v>
      </c>
      <c r="H6667" s="4" t="str">
        <v/>
      </c>
      <c r="I6667" s="4" t="str">
        <v/>
      </c>
    </row>
    <row r="6668" spans="5:9" ht="16.5" hidden="1">
      <c r="E6668" s="4" t="str">
        <v/>
      </c>
      <c r="F6668" s="102" t="str">
        <f ca="1">IFERROR(__xludf.DUMMYFUNCTION("IMPORTRANGE(H6668,""IDENTITAS UNIT!D9"")"),"#N/A")</f>
        <v>#N/A</v>
      </c>
      <c r="H6668" s="4" t="str">
        <v/>
      </c>
      <c r="I6668" s="4" t="str">
        <v/>
      </c>
    </row>
    <row r="6669" spans="5:9" ht="16.5" hidden="1">
      <c r="E6669" s="4" t="str">
        <v/>
      </c>
      <c r="F6669" s="102" t="str">
        <f ca="1">IFERROR(__xludf.DUMMYFUNCTION("IMPORTRANGE(H6669,""IDENTITAS UNIT!D9"")"),"#N/A")</f>
        <v>#N/A</v>
      </c>
      <c r="H6669" s="4" t="str">
        <v/>
      </c>
      <c r="I6669" s="4" t="str">
        <v/>
      </c>
    </row>
    <row r="6670" spans="5:9" ht="16.5" hidden="1">
      <c r="E6670" s="4" t="str">
        <v/>
      </c>
      <c r="F6670" s="102" t="str">
        <f ca="1">IFERROR(__xludf.DUMMYFUNCTION("IMPORTRANGE(H6670,""IDENTITAS UNIT!D9"")"),"#N/A")</f>
        <v>#N/A</v>
      </c>
      <c r="H6670" s="4" t="str">
        <v/>
      </c>
      <c r="I6670" s="4" t="str">
        <v/>
      </c>
    </row>
    <row r="6671" spans="5:9" ht="16.5" hidden="1">
      <c r="E6671" s="4" t="str">
        <v/>
      </c>
      <c r="F6671" s="102" t="str">
        <f ca="1">IFERROR(__xludf.DUMMYFUNCTION("IMPORTRANGE(H6671,""IDENTITAS UNIT!D9"")"),"#N/A")</f>
        <v>#N/A</v>
      </c>
      <c r="H6671" s="4" t="str">
        <v/>
      </c>
      <c r="I6671" s="4" t="str">
        <v/>
      </c>
    </row>
    <row r="6672" spans="5:9" ht="16.5" hidden="1">
      <c r="E6672" s="4" t="str">
        <v/>
      </c>
      <c r="F6672" s="102" t="str">
        <f ca="1">IFERROR(__xludf.DUMMYFUNCTION("IMPORTRANGE(H6672,""IDENTITAS UNIT!D9"")"),"#N/A")</f>
        <v>#N/A</v>
      </c>
      <c r="H6672" s="4" t="str">
        <v/>
      </c>
      <c r="I6672" s="4" t="str">
        <v/>
      </c>
    </row>
    <row r="6673" spans="5:9" ht="16.5" hidden="1">
      <c r="E6673" s="4" t="str">
        <v/>
      </c>
      <c r="F6673" s="102" t="str">
        <f ca="1">IFERROR(__xludf.DUMMYFUNCTION("IMPORTRANGE(H6673,""IDENTITAS UNIT!D9"")"),"#N/A")</f>
        <v>#N/A</v>
      </c>
      <c r="H6673" s="4" t="str">
        <v/>
      </c>
      <c r="I6673" s="4" t="str">
        <v/>
      </c>
    </row>
    <row r="6674" spans="5:9" ht="16.5" hidden="1">
      <c r="E6674" s="4" t="str">
        <v/>
      </c>
      <c r="F6674" s="102" t="str">
        <f ca="1">IFERROR(__xludf.DUMMYFUNCTION("IMPORTRANGE(H6674,""IDENTITAS UNIT!D9"")"),"#N/A")</f>
        <v>#N/A</v>
      </c>
      <c r="H6674" s="4" t="str">
        <v/>
      </c>
      <c r="I6674" s="4" t="str">
        <v/>
      </c>
    </row>
    <row r="6675" spans="5:9" ht="16.5" hidden="1">
      <c r="E6675" s="4" t="str">
        <v/>
      </c>
      <c r="F6675" s="102" t="str">
        <f ca="1">IFERROR(__xludf.DUMMYFUNCTION("IMPORTRANGE(H6675,""IDENTITAS UNIT!D9"")"),"#N/A")</f>
        <v>#N/A</v>
      </c>
      <c r="H6675" s="4" t="str">
        <v/>
      </c>
      <c r="I6675" s="4" t="str">
        <v/>
      </c>
    </row>
    <row r="6676" spans="5:9" ht="16.5" hidden="1">
      <c r="E6676" s="4" t="str">
        <v/>
      </c>
      <c r="F6676" s="102" t="str">
        <f ca="1">IFERROR(__xludf.DUMMYFUNCTION("IMPORTRANGE(H6676,""IDENTITAS UNIT!D9"")"),"#N/A")</f>
        <v>#N/A</v>
      </c>
      <c r="H6676" s="4" t="str">
        <v/>
      </c>
      <c r="I6676" s="4" t="str">
        <v/>
      </c>
    </row>
    <row r="6677" spans="5:9" ht="16.5" hidden="1">
      <c r="E6677" s="4" t="str">
        <v/>
      </c>
      <c r="F6677" s="102" t="str">
        <f ca="1">IFERROR(__xludf.DUMMYFUNCTION("IMPORTRANGE(H6677,""IDENTITAS UNIT!D9"")"),"#N/A")</f>
        <v>#N/A</v>
      </c>
      <c r="H6677" s="4" t="str">
        <v/>
      </c>
      <c r="I6677" s="4" t="str">
        <v/>
      </c>
    </row>
    <row r="6678" spans="5:9" ht="16.5" hidden="1">
      <c r="E6678" s="4" t="str">
        <v/>
      </c>
      <c r="F6678" s="102" t="str">
        <f ca="1">IFERROR(__xludf.DUMMYFUNCTION("IMPORTRANGE(H6678,""IDENTITAS UNIT!D9"")"),"#N/A")</f>
        <v>#N/A</v>
      </c>
      <c r="H6678" s="4" t="str">
        <v/>
      </c>
      <c r="I6678" s="4" t="str">
        <v/>
      </c>
    </row>
    <row r="6679" spans="5:9" ht="16.5" hidden="1">
      <c r="E6679" s="4" t="str">
        <v/>
      </c>
      <c r="F6679" s="102" t="str">
        <f ca="1">IFERROR(__xludf.DUMMYFUNCTION("IMPORTRANGE(H6679,""IDENTITAS UNIT!D9"")"),"#N/A")</f>
        <v>#N/A</v>
      </c>
      <c r="H6679" s="4" t="str">
        <v/>
      </c>
      <c r="I6679" s="4" t="str">
        <v/>
      </c>
    </row>
    <row r="6680" spans="5:9" ht="16.5" hidden="1">
      <c r="E6680" s="4" t="str">
        <v/>
      </c>
      <c r="F6680" s="102" t="str">
        <f ca="1">IFERROR(__xludf.DUMMYFUNCTION("IMPORTRANGE(H6680,""IDENTITAS UNIT!D9"")"),"#N/A")</f>
        <v>#N/A</v>
      </c>
      <c r="H6680" s="4" t="str">
        <v/>
      </c>
      <c r="I6680" s="4" t="str">
        <v/>
      </c>
    </row>
    <row r="6681" spans="5:9" ht="16.5" hidden="1">
      <c r="E6681" s="4" t="str">
        <v/>
      </c>
      <c r="F6681" s="102" t="str">
        <f ca="1">IFERROR(__xludf.DUMMYFUNCTION("IMPORTRANGE(H6681,""IDENTITAS UNIT!D9"")"),"#N/A")</f>
        <v>#N/A</v>
      </c>
      <c r="H6681" s="4" t="str">
        <v/>
      </c>
      <c r="I6681" s="4" t="str">
        <v/>
      </c>
    </row>
    <row r="6682" spans="5:9" ht="16.5" hidden="1">
      <c r="E6682" s="4" t="str">
        <v/>
      </c>
      <c r="F6682" s="102" t="str">
        <f ca="1">IFERROR(__xludf.DUMMYFUNCTION("IMPORTRANGE(H6682,""IDENTITAS UNIT!D9"")"),"#N/A")</f>
        <v>#N/A</v>
      </c>
      <c r="H6682" s="4" t="str">
        <v/>
      </c>
      <c r="I6682" s="4" t="str">
        <v/>
      </c>
    </row>
    <row r="6683" spans="5:9" ht="16.5" hidden="1">
      <c r="E6683" s="4" t="str">
        <v/>
      </c>
      <c r="F6683" s="102" t="str">
        <f ca="1">IFERROR(__xludf.DUMMYFUNCTION("IMPORTRANGE(H6683,""IDENTITAS UNIT!D9"")"),"#N/A")</f>
        <v>#N/A</v>
      </c>
      <c r="H6683" s="4" t="str">
        <v/>
      </c>
      <c r="I6683" s="4" t="str">
        <v/>
      </c>
    </row>
    <row r="6684" spans="5:9" ht="16.5" hidden="1">
      <c r="E6684" s="4" t="str">
        <v/>
      </c>
      <c r="F6684" s="102" t="str">
        <f ca="1">IFERROR(__xludf.DUMMYFUNCTION("IMPORTRANGE(H6684,""IDENTITAS UNIT!D9"")"),"#N/A")</f>
        <v>#N/A</v>
      </c>
      <c r="H6684" s="4" t="str">
        <v/>
      </c>
      <c r="I6684" s="4" t="str">
        <v/>
      </c>
    </row>
    <row r="6685" spans="5:9" ht="16.5" hidden="1">
      <c r="E6685" s="4" t="str">
        <v/>
      </c>
      <c r="F6685" s="102" t="str">
        <f ca="1">IFERROR(__xludf.DUMMYFUNCTION("IMPORTRANGE(H6685,""IDENTITAS UNIT!D9"")"),"#N/A")</f>
        <v>#N/A</v>
      </c>
      <c r="H6685" s="4" t="str">
        <v/>
      </c>
      <c r="I6685" s="4" t="str">
        <v/>
      </c>
    </row>
    <row r="6686" spans="5:9" ht="16.5" hidden="1">
      <c r="E6686" s="4" t="str">
        <v/>
      </c>
      <c r="F6686" s="102" t="str">
        <f ca="1">IFERROR(__xludf.DUMMYFUNCTION("IMPORTRANGE(H6686,""IDENTITAS UNIT!D9"")"),"#N/A")</f>
        <v>#N/A</v>
      </c>
      <c r="H6686" s="4" t="str">
        <v/>
      </c>
      <c r="I6686" s="4" t="str">
        <v/>
      </c>
    </row>
    <row r="6687" spans="5:9" ht="16.5" hidden="1">
      <c r="E6687" s="4" t="str">
        <v/>
      </c>
      <c r="F6687" s="102" t="str">
        <f ca="1">IFERROR(__xludf.DUMMYFUNCTION("IMPORTRANGE(H6687,""IDENTITAS UNIT!D9"")"),"#N/A")</f>
        <v>#N/A</v>
      </c>
      <c r="H6687" s="4" t="str">
        <v/>
      </c>
      <c r="I6687" s="4" t="str">
        <v/>
      </c>
    </row>
    <row r="6688" spans="5:9" ht="16.5" hidden="1">
      <c r="E6688" s="4" t="str">
        <v/>
      </c>
      <c r="F6688" s="102" t="str">
        <f ca="1">IFERROR(__xludf.DUMMYFUNCTION("IMPORTRANGE(H6688,""IDENTITAS UNIT!D9"")"),"#N/A")</f>
        <v>#N/A</v>
      </c>
      <c r="H6688" s="4" t="str">
        <v/>
      </c>
      <c r="I6688" s="4" t="str">
        <v/>
      </c>
    </row>
    <row r="6689" spans="5:9" ht="16.5" hidden="1">
      <c r="E6689" s="4" t="str">
        <v/>
      </c>
      <c r="F6689" s="102" t="str">
        <f ca="1">IFERROR(__xludf.DUMMYFUNCTION("IMPORTRANGE(H6689,""IDENTITAS UNIT!D9"")"),"#N/A")</f>
        <v>#N/A</v>
      </c>
      <c r="H6689" s="4" t="str">
        <v/>
      </c>
      <c r="I6689" s="4" t="str">
        <v/>
      </c>
    </row>
    <row r="6690" spans="5:9" ht="16.5" hidden="1">
      <c r="E6690" s="4" t="str">
        <v/>
      </c>
      <c r="F6690" s="102" t="str">
        <f ca="1">IFERROR(__xludf.DUMMYFUNCTION("IMPORTRANGE(H6690,""IDENTITAS UNIT!D9"")"),"#N/A")</f>
        <v>#N/A</v>
      </c>
      <c r="H6690" s="4" t="str">
        <v/>
      </c>
      <c r="I6690" s="4" t="str">
        <v/>
      </c>
    </row>
    <row r="6691" spans="5:9" ht="16.5" hidden="1">
      <c r="E6691" s="4" t="str">
        <v/>
      </c>
      <c r="F6691" s="102" t="str">
        <f ca="1">IFERROR(__xludf.DUMMYFUNCTION("IMPORTRANGE(H6691,""IDENTITAS UNIT!D9"")"),"#N/A")</f>
        <v>#N/A</v>
      </c>
      <c r="H6691" s="4" t="str">
        <v/>
      </c>
      <c r="I6691" s="4" t="str">
        <v/>
      </c>
    </row>
    <row r="6692" spans="5:9" ht="16.5" hidden="1">
      <c r="E6692" s="4" t="str">
        <v/>
      </c>
      <c r="F6692" s="102" t="str">
        <f ca="1">IFERROR(__xludf.DUMMYFUNCTION("IMPORTRANGE(H6692,""IDENTITAS UNIT!D9"")"),"#N/A")</f>
        <v>#N/A</v>
      </c>
      <c r="H6692" s="4" t="str">
        <v/>
      </c>
      <c r="I6692" s="4" t="str">
        <v/>
      </c>
    </row>
    <row r="6693" spans="5:9" ht="16.5" hidden="1">
      <c r="E6693" s="4" t="str">
        <v/>
      </c>
      <c r="F6693" s="102" t="str">
        <f ca="1">IFERROR(__xludf.DUMMYFUNCTION("IMPORTRANGE(H6693,""IDENTITAS UNIT!D9"")"),"#N/A")</f>
        <v>#N/A</v>
      </c>
      <c r="H6693" s="4" t="str">
        <v/>
      </c>
      <c r="I6693" s="4" t="str">
        <v/>
      </c>
    </row>
    <row r="6694" spans="5:9" ht="16.5" hidden="1">
      <c r="E6694" s="4" t="str">
        <v/>
      </c>
      <c r="F6694" s="102" t="str">
        <f ca="1">IFERROR(__xludf.DUMMYFUNCTION("IMPORTRANGE(H6694,""IDENTITAS UNIT!D9"")"),"#N/A")</f>
        <v>#N/A</v>
      </c>
      <c r="H6694" s="4" t="str">
        <v/>
      </c>
      <c r="I6694" s="4" t="str">
        <v/>
      </c>
    </row>
    <row r="6695" spans="5:9" ht="16.5" hidden="1">
      <c r="E6695" s="4" t="str">
        <v/>
      </c>
      <c r="F6695" s="102" t="str">
        <f ca="1">IFERROR(__xludf.DUMMYFUNCTION("IMPORTRANGE(H6695,""IDENTITAS UNIT!D9"")"),"#N/A")</f>
        <v>#N/A</v>
      </c>
      <c r="H6695" s="4" t="str">
        <v/>
      </c>
      <c r="I6695" s="4" t="str">
        <v/>
      </c>
    </row>
    <row r="6696" spans="5:9" ht="16.5" hidden="1">
      <c r="E6696" s="4" t="str">
        <v/>
      </c>
      <c r="F6696" s="102" t="str">
        <f ca="1">IFERROR(__xludf.DUMMYFUNCTION("IMPORTRANGE(H6696,""IDENTITAS UNIT!D9"")"),"#N/A")</f>
        <v>#N/A</v>
      </c>
      <c r="H6696" s="4" t="str">
        <v/>
      </c>
      <c r="I6696" s="4" t="str">
        <v/>
      </c>
    </row>
    <row r="6697" spans="5:9" ht="16.5" hidden="1">
      <c r="E6697" s="4" t="str">
        <v/>
      </c>
      <c r="F6697" s="102" t="str">
        <f ca="1">IFERROR(__xludf.DUMMYFUNCTION("IMPORTRANGE(H6697,""IDENTITAS UNIT!D9"")"),"#N/A")</f>
        <v>#N/A</v>
      </c>
      <c r="H6697" s="4" t="str">
        <v/>
      </c>
      <c r="I6697" s="4" t="str">
        <v/>
      </c>
    </row>
    <row r="6698" spans="5:9" ht="16.5" hidden="1">
      <c r="E6698" s="4" t="str">
        <v/>
      </c>
      <c r="F6698" s="102" t="str">
        <f ca="1">IFERROR(__xludf.DUMMYFUNCTION("IMPORTRANGE(H6698,""IDENTITAS UNIT!D9"")"),"#N/A")</f>
        <v>#N/A</v>
      </c>
      <c r="H6698" s="4" t="str">
        <v/>
      </c>
      <c r="I6698" s="4" t="str">
        <v/>
      </c>
    </row>
    <row r="6699" spans="5:9" ht="16.5" hidden="1">
      <c r="E6699" s="4" t="str">
        <v/>
      </c>
      <c r="F6699" s="102" t="str">
        <f ca="1">IFERROR(__xludf.DUMMYFUNCTION("IMPORTRANGE(H6699,""IDENTITAS UNIT!D9"")"),"#N/A")</f>
        <v>#N/A</v>
      </c>
      <c r="H6699" s="4" t="str">
        <v/>
      </c>
      <c r="I6699" s="4" t="str">
        <v/>
      </c>
    </row>
    <row r="6700" spans="5:9" ht="16.5" hidden="1">
      <c r="E6700" s="4" t="str">
        <v/>
      </c>
      <c r="F6700" s="102" t="str">
        <f ca="1">IFERROR(__xludf.DUMMYFUNCTION("IMPORTRANGE(H6700,""IDENTITAS UNIT!D9"")"),"#N/A")</f>
        <v>#N/A</v>
      </c>
      <c r="H6700" s="4" t="str">
        <v/>
      </c>
      <c r="I6700" s="4" t="str">
        <v/>
      </c>
    </row>
    <row r="6701" spans="5:9" ht="16.5" hidden="1">
      <c r="E6701" s="4" t="str">
        <v/>
      </c>
      <c r="F6701" s="102" t="str">
        <f ca="1">IFERROR(__xludf.DUMMYFUNCTION("IMPORTRANGE(H6701,""IDENTITAS UNIT!D9"")"),"#N/A")</f>
        <v>#N/A</v>
      </c>
      <c r="H6701" s="4" t="str">
        <v/>
      </c>
      <c r="I6701" s="4" t="str">
        <v/>
      </c>
    </row>
    <row r="6702" spans="5:9" ht="16.5" hidden="1">
      <c r="E6702" s="4" t="str">
        <v/>
      </c>
      <c r="F6702" s="102" t="str">
        <f ca="1">IFERROR(__xludf.DUMMYFUNCTION("IMPORTRANGE(H6702,""IDENTITAS UNIT!D9"")"),"#N/A")</f>
        <v>#N/A</v>
      </c>
      <c r="H6702" s="4" t="str">
        <v/>
      </c>
      <c r="I6702" s="4" t="str">
        <v/>
      </c>
    </row>
    <row r="6703" spans="5:9" ht="16.5" hidden="1">
      <c r="E6703" s="4" t="str">
        <v/>
      </c>
      <c r="F6703" s="102" t="str">
        <f ca="1">IFERROR(__xludf.DUMMYFUNCTION("IMPORTRANGE(H6703,""IDENTITAS UNIT!D9"")"),"#N/A")</f>
        <v>#N/A</v>
      </c>
      <c r="H6703" s="4" t="str">
        <v/>
      </c>
      <c r="I6703" s="4" t="str">
        <v/>
      </c>
    </row>
    <row r="6704" spans="5:9" ht="16.5" hidden="1">
      <c r="E6704" s="4" t="str">
        <v/>
      </c>
      <c r="F6704" s="102" t="str">
        <f ca="1">IFERROR(__xludf.DUMMYFUNCTION("IMPORTRANGE(H6704,""IDENTITAS UNIT!D9"")"),"#N/A")</f>
        <v>#N/A</v>
      </c>
      <c r="H6704" s="4" t="str">
        <v/>
      </c>
      <c r="I6704" s="4" t="str">
        <v/>
      </c>
    </row>
    <row r="6705" spans="5:9" ht="16.5" hidden="1">
      <c r="E6705" s="4" t="str">
        <v/>
      </c>
      <c r="F6705" s="102" t="str">
        <f ca="1">IFERROR(__xludf.DUMMYFUNCTION("IMPORTRANGE(H6705,""IDENTITAS UNIT!D9"")"),"#N/A")</f>
        <v>#N/A</v>
      </c>
      <c r="H6705" s="4" t="str">
        <v/>
      </c>
      <c r="I6705" s="4" t="str">
        <v/>
      </c>
    </row>
    <row r="6706" spans="5:9" ht="16.5" hidden="1">
      <c r="E6706" s="4" t="str">
        <v/>
      </c>
      <c r="F6706" s="102" t="str">
        <f ca="1">IFERROR(__xludf.DUMMYFUNCTION("IMPORTRANGE(H6706,""IDENTITAS UNIT!D9"")"),"#N/A")</f>
        <v>#N/A</v>
      </c>
      <c r="H6706" s="4" t="str">
        <v/>
      </c>
      <c r="I6706" s="4" t="str">
        <v/>
      </c>
    </row>
    <row r="6707" spans="5:9" ht="16.5" hidden="1">
      <c r="E6707" s="4" t="str">
        <v/>
      </c>
      <c r="F6707" s="102" t="str">
        <f ca="1">IFERROR(__xludf.DUMMYFUNCTION("IMPORTRANGE(H6707,""IDENTITAS UNIT!D9"")"),"#N/A")</f>
        <v>#N/A</v>
      </c>
      <c r="H6707" s="4" t="str">
        <v/>
      </c>
      <c r="I6707" s="4" t="str">
        <v/>
      </c>
    </row>
    <row r="6708" spans="5:9" ht="16.5" hidden="1">
      <c r="E6708" s="4" t="str">
        <v/>
      </c>
      <c r="F6708" s="102" t="str">
        <f ca="1">IFERROR(__xludf.DUMMYFUNCTION("IMPORTRANGE(H6708,""IDENTITAS UNIT!D9"")"),"#N/A")</f>
        <v>#N/A</v>
      </c>
      <c r="H6708" s="4" t="str">
        <v/>
      </c>
      <c r="I6708" s="4" t="str">
        <v/>
      </c>
    </row>
    <row r="6709" spans="5:9" ht="16.5" hidden="1">
      <c r="E6709" s="4" t="str">
        <v/>
      </c>
      <c r="F6709" s="102" t="str">
        <f ca="1">IFERROR(__xludf.DUMMYFUNCTION("IMPORTRANGE(H6709,""IDENTITAS UNIT!D9"")"),"#N/A")</f>
        <v>#N/A</v>
      </c>
      <c r="H6709" s="4" t="str">
        <v/>
      </c>
      <c r="I6709" s="4" t="str">
        <v/>
      </c>
    </row>
    <row r="6710" spans="5:9" ht="16.5" hidden="1">
      <c r="E6710" s="4" t="str">
        <v/>
      </c>
      <c r="F6710" s="102" t="str">
        <f ca="1">IFERROR(__xludf.DUMMYFUNCTION("IMPORTRANGE(H6710,""IDENTITAS UNIT!D9"")"),"#N/A")</f>
        <v>#N/A</v>
      </c>
      <c r="H6710" s="4" t="str">
        <v/>
      </c>
      <c r="I6710" s="4" t="str">
        <v/>
      </c>
    </row>
    <row r="6711" spans="5:9" ht="16.5" hidden="1">
      <c r="E6711" s="4" t="str">
        <v/>
      </c>
      <c r="F6711" s="102" t="str">
        <f ca="1">IFERROR(__xludf.DUMMYFUNCTION("IMPORTRANGE(H6711,""IDENTITAS UNIT!D9"")"),"#N/A")</f>
        <v>#N/A</v>
      </c>
      <c r="H6711" s="4" t="str">
        <v/>
      </c>
      <c r="I6711" s="4" t="str">
        <v/>
      </c>
    </row>
    <row r="6712" spans="5:9" ht="16.5" hidden="1">
      <c r="E6712" s="4" t="str">
        <v/>
      </c>
      <c r="F6712" s="102" t="str">
        <f ca="1">IFERROR(__xludf.DUMMYFUNCTION("IMPORTRANGE(H6712,""IDENTITAS UNIT!D9"")"),"#N/A")</f>
        <v>#N/A</v>
      </c>
      <c r="H6712" s="4" t="str">
        <v/>
      </c>
      <c r="I6712" s="4" t="str">
        <v/>
      </c>
    </row>
    <row r="6713" spans="5:9" ht="16.5" hidden="1">
      <c r="E6713" s="4" t="str">
        <v/>
      </c>
      <c r="F6713" s="102" t="str">
        <f ca="1">IFERROR(__xludf.DUMMYFUNCTION("IMPORTRANGE(H6713,""IDENTITAS UNIT!D9"")"),"#N/A")</f>
        <v>#N/A</v>
      </c>
      <c r="H6713" s="4" t="str">
        <v/>
      </c>
      <c r="I6713" s="4" t="str">
        <v/>
      </c>
    </row>
    <row r="6714" spans="5:9" ht="16.5" hidden="1">
      <c r="E6714" s="4" t="str">
        <v/>
      </c>
      <c r="F6714" s="102" t="str">
        <f ca="1">IFERROR(__xludf.DUMMYFUNCTION("IMPORTRANGE(H6714,""IDENTITAS UNIT!D9"")"),"#N/A")</f>
        <v>#N/A</v>
      </c>
      <c r="H6714" s="4" t="str">
        <v/>
      </c>
      <c r="I6714" s="4" t="str">
        <v/>
      </c>
    </row>
    <row r="6715" spans="5:9" ht="16.5" hidden="1">
      <c r="E6715" s="4" t="str">
        <v/>
      </c>
      <c r="F6715" s="102" t="str">
        <f ca="1">IFERROR(__xludf.DUMMYFUNCTION("IMPORTRANGE(H6715,""IDENTITAS UNIT!D9"")"),"#N/A")</f>
        <v>#N/A</v>
      </c>
      <c r="H6715" s="4" t="str">
        <v/>
      </c>
      <c r="I6715" s="4" t="str">
        <v/>
      </c>
    </row>
    <row r="6716" spans="5:9" ht="16.5" hidden="1">
      <c r="E6716" s="4" t="str">
        <v/>
      </c>
      <c r="F6716" s="102" t="str">
        <f ca="1">IFERROR(__xludf.DUMMYFUNCTION("IMPORTRANGE(H6716,""IDENTITAS UNIT!D9"")"),"#N/A")</f>
        <v>#N/A</v>
      </c>
      <c r="H6716" s="4" t="str">
        <v/>
      </c>
      <c r="I6716" s="4" t="str">
        <v/>
      </c>
    </row>
    <row r="6717" spans="5:9" ht="16.5" hidden="1">
      <c r="E6717" s="4" t="str">
        <v/>
      </c>
      <c r="F6717" s="102" t="str">
        <f ca="1">IFERROR(__xludf.DUMMYFUNCTION("IMPORTRANGE(H6717,""IDENTITAS UNIT!D9"")"),"#N/A")</f>
        <v>#N/A</v>
      </c>
      <c r="H6717" s="4" t="str">
        <v/>
      </c>
      <c r="I6717" s="4" t="str">
        <v/>
      </c>
    </row>
    <row r="6718" spans="5:9" ht="16.5" hidden="1">
      <c r="E6718" s="4" t="str">
        <v/>
      </c>
      <c r="F6718" s="102" t="str">
        <f ca="1">IFERROR(__xludf.DUMMYFUNCTION("IMPORTRANGE(H6718,""IDENTITAS UNIT!D9"")"),"#N/A")</f>
        <v>#N/A</v>
      </c>
      <c r="H6718" s="4" t="str">
        <v/>
      </c>
      <c r="I6718" s="4" t="str">
        <v/>
      </c>
    </row>
    <row r="6719" spans="5:9" ht="16.5" hidden="1">
      <c r="E6719" s="4" t="str">
        <v/>
      </c>
      <c r="F6719" s="102" t="str">
        <f ca="1">IFERROR(__xludf.DUMMYFUNCTION("IMPORTRANGE(H6719,""IDENTITAS UNIT!D9"")"),"#N/A")</f>
        <v>#N/A</v>
      </c>
      <c r="H6719" s="4" t="str">
        <v/>
      </c>
      <c r="I6719" s="4" t="str">
        <v/>
      </c>
    </row>
    <row r="6720" spans="5:9" ht="16.5" hidden="1">
      <c r="E6720" s="4" t="str">
        <v/>
      </c>
      <c r="F6720" s="102" t="str">
        <f ca="1">IFERROR(__xludf.DUMMYFUNCTION("IMPORTRANGE(H6720,""IDENTITAS UNIT!D9"")"),"#N/A")</f>
        <v>#N/A</v>
      </c>
      <c r="H6720" s="4" t="str">
        <v/>
      </c>
      <c r="I6720" s="4" t="str">
        <v/>
      </c>
    </row>
    <row r="6721" spans="5:9" ht="16.5" hidden="1">
      <c r="E6721" s="4" t="str">
        <v/>
      </c>
      <c r="F6721" s="102" t="str">
        <f ca="1">IFERROR(__xludf.DUMMYFUNCTION("IMPORTRANGE(H6721,""IDENTITAS UNIT!D9"")"),"#N/A")</f>
        <v>#N/A</v>
      </c>
      <c r="H6721" s="4" t="str">
        <v/>
      </c>
      <c r="I6721" s="4" t="str">
        <v/>
      </c>
    </row>
    <row r="6722" spans="5:9" ht="16.5" hidden="1">
      <c r="E6722" s="4" t="str">
        <v/>
      </c>
      <c r="F6722" s="102" t="str">
        <f ca="1">IFERROR(__xludf.DUMMYFUNCTION("IMPORTRANGE(H6722,""IDENTITAS UNIT!D9"")"),"#N/A")</f>
        <v>#N/A</v>
      </c>
      <c r="H6722" s="4" t="str">
        <v/>
      </c>
      <c r="I6722" s="4" t="str">
        <v/>
      </c>
    </row>
    <row r="6723" spans="5:9" ht="16.5" hidden="1">
      <c r="E6723" s="4" t="str">
        <v/>
      </c>
      <c r="F6723" s="102" t="str">
        <f ca="1">IFERROR(__xludf.DUMMYFUNCTION("IMPORTRANGE(H6723,""IDENTITAS UNIT!D9"")"),"#N/A")</f>
        <v>#N/A</v>
      </c>
      <c r="H6723" s="4" t="str">
        <v/>
      </c>
      <c r="I6723" s="4" t="str">
        <v/>
      </c>
    </row>
    <row r="6724" spans="5:9" ht="16.5" hidden="1">
      <c r="E6724" s="4" t="str">
        <v/>
      </c>
      <c r="F6724" s="102" t="str">
        <f ca="1">IFERROR(__xludf.DUMMYFUNCTION("IMPORTRANGE(H6724,""IDENTITAS UNIT!D9"")"),"#N/A")</f>
        <v>#N/A</v>
      </c>
      <c r="H6724" s="4" t="str">
        <v/>
      </c>
      <c r="I6724" s="4" t="str">
        <v/>
      </c>
    </row>
    <row r="6725" spans="5:9" ht="16.5" hidden="1">
      <c r="E6725" s="4" t="str">
        <v/>
      </c>
      <c r="F6725" s="102" t="str">
        <f ca="1">IFERROR(__xludf.DUMMYFUNCTION("IMPORTRANGE(H6725,""IDENTITAS UNIT!D9"")"),"#N/A")</f>
        <v>#N/A</v>
      </c>
      <c r="H6725" s="4" t="str">
        <v/>
      </c>
      <c r="I6725" s="4" t="str">
        <v/>
      </c>
    </row>
    <row r="6726" spans="5:9" ht="16.5" hidden="1">
      <c r="E6726" s="4" t="str">
        <v/>
      </c>
      <c r="F6726" s="102" t="str">
        <f ca="1">IFERROR(__xludf.DUMMYFUNCTION("IMPORTRANGE(H6726,""IDENTITAS UNIT!D9"")"),"#N/A")</f>
        <v>#N/A</v>
      </c>
      <c r="H6726" s="4" t="str">
        <v/>
      </c>
      <c r="I6726" s="4" t="str">
        <v/>
      </c>
    </row>
    <row r="6727" spans="5:9" ht="16.5" hidden="1">
      <c r="E6727" s="4" t="str">
        <v/>
      </c>
      <c r="F6727" s="102" t="str">
        <f ca="1">IFERROR(__xludf.DUMMYFUNCTION("IMPORTRANGE(H6727,""IDENTITAS UNIT!D9"")"),"#N/A")</f>
        <v>#N/A</v>
      </c>
      <c r="H6727" s="4" t="str">
        <v/>
      </c>
      <c r="I6727" s="4" t="str">
        <v/>
      </c>
    </row>
    <row r="6728" spans="5:9" ht="16.5" hidden="1">
      <c r="E6728" s="4" t="str">
        <v/>
      </c>
      <c r="F6728" s="102" t="str">
        <f ca="1">IFERROR(__xludf.DUMMYFUNCTION("IMPORTRANGE(H6728,""IDENTITAS UNIT!D9"")"),"#N/A")</f>
        <v>#N/A</v>
      </c>
      <c r="H6728" s="4" t="str">
        <v/>
      </c>
      <c r="I6728" s="4" t="str">
        <v/>
      </c>
    </row>
    <row r="6729" spans="5:9" ht="16.5" hidden="1">
      <c r="E6729" s="4" t="str">
        <v/>
      </c>
      <c r="F6729" s="102" t="str">
        <f ca="1">IFERROR(__xludf.DUMMYFUNCTION("IMPORTRANGE(H6729,""IDENTITAS UNIT!D9"")"),"#N/A")</f>
        <v>#N/A</v>
      </c>
      <c r="H6729" s="4" t="str">
        <v/>
      </c>
      <c r="I6729" s="4" t="str">
        <v/>
      </c>
    </row>
    <row r="6730" spans="5:9" ht="16.5" hidden="1">
      <c r="E6730" s="4" t="str">
        <v/>
      </c>
      <c r="F6730" s="102" t="str">
        <f ca="1">IFERROR(__xludf.DUMMYFUNCTION("IMPORTRANGE(H6730,""IDENTITAS UNIT!D9"")"),"#N/A")</f>
        <v>#N/A</v>
      </c>
      <c r="H6730" s="4" t="str">
        <v/>
      </c>
      <c r="I6730" s="4" t="str">
        <v/>
      </c>
    </row>
    <row r="6731" spans="5:9" ht="16.5" hidden="1">
      <c r="E6731" s="4" t="str">
        <v/>
      </c>
      <c r="F6731" s="102" t="str">
        <f ca="1">IFERROR(__xludf.DUMMYFUNCTION("IMPORTRANGE(H6731,""IDENTITAS UNIT!D9"")"),"#N/A")</f>
        <v>#N/A</v>
      </c>
      <c r="H6731" s="4" t="str">
        <v/>
      </c>
      <c r="I6731" s="4" t="str">
        <v/>
      </c>
    </row>
    <row r="6732" spans="5:9" ht="16.5" hidden="1">
      <c r="E6732" s="4" t="str">
        <v/>
      </c>
      <c r="F6732" s="102" t="str">
        <f ca="1">IFERROR(__xludf.DUMMYFUNCTION("IMPORTRANGE(H6732,""IDENTITAS UNIT!D9"")"),"#N/A")</f>
        <v>#N/A</v>
      </c>
      <c r="H6732" s="4" t="str">
        <v/>
      </c>
      <c r="I6732" s="4" t="str">
        <v/>
      </c>
    </row>
    <row r="6733" spans="5:9" ht="16.5" hidden="1">
      <c r="E6733" s="4" t="str">
        <v/>
      </c>
      <c r="F6733" s="102" t="str">
        <f ca="1">IFERROR(__xludf.DUMMYFUNCTION("IMPORTRANGE(H6733,""IDENTITAS UNIT!D9"")"),"#N/A")</f>
        <v>#N/A</v>
      </c>
      <c r="H6733" s="4" t="str">
        <v/>
      </c>
      <c r="I6733" s="4" t="str">
        <v/>
      </c>
    </row>
    <row r="6734" spans="5:9" ht="16.5" hidden="1">
      <c r="E6734" s="4" t="str">
        <v/>
      </c>
      <c r="F6734" s="102" t="str">
        <f ca="1">IFERROR(__xludf.DUMMYFUNCTION("IMPORTRANGE(H6734,""IDENTITAS UNIT!D9"")"),"#N/A")</f>
        <v>#N/A</v>
      </c>
      <c r="H6734" s="4" t="str">
        <v/>
      </c>
      <c r="I6734" s="4" t="str">
        <v/>
      </c>
    </row>
    <row r="6735" spans="5:9" ht="16.5" hidden="1">
      <c r="E6735" s="4" t="str">
        <v/>
      </c>
      <c r="F6735" s="102" t="str">
        <f ca="1">IFERROR(__xludf.DUMMYFUNCTION("IMPORTRANGE(H6735,""IDENTITAS UNIT!D9"")"),"#N/A")</f>
        <v>#N/A</v>
      </c>
      <c r="H6735" s="4" t="str">
        <v/>
      </c>
      <c r="I6735" s="4" t="str">
        <v/>
      </c>
    </row>
    <row r="6736" spans="5:9" ht="16.5" hidden="1">
      <c r="E6736" s="4" t="str">
        <v/>
      </c>
      <c r="F6736" s="102" t="str">
        <f ca="1">IFERROR(__xludf.DUMMYFUNCTION("IMPORTRANGE(H6736,""IDENTITAS UNIT!D9"")"),"#N/A")</f>
        <v>#N/A</v>
      </c>
      <c r="H6736" s="4" t="str">
        <v/>
      </c>
      <c r="I6736" s="4" t="str">
        <v/>
      </c>
    </row>
    <row r="6737" spans="5:9" ht="16.5" hidden="1">
      <c r="E6737" s="4" t="str">
        <v/>
      </c>
      <c r="F6737" s="102" t="str">
        <f ca="1">IFERROR(__xludf.DUMMYFUNCTION("IMPORTRANGE(H6737,""IDENTITAS UNIT!D9"")"),"#N/A")</f>
        <v>#N/A</v>
      </c>
      <c r="H6737" s="4" t="str">
        <v/>
      </c>
      <c r="I6737" s="4" t="str">
        <v/>
      </c>
    </row>
    <row r="6738" spans="5:9" ht="16.5" hidden="1">
      <c r="E6738" s="4" t="str">
        <v/>
      </c>
      <c r="F6738" s="102" t="str">
        <f ca="1">IFERROR(__xludf.DUMMYFUNCTION("IMPORTRANGE(H6738,""IDENTITAS UNIT!D9"")"),"#N/A")</f>
        <v>#N/A</v>
      </c>
      <c r="H6738" s="4" t="str">
        <v/>
      </c>
      <c r="I6738" s="4" t="str">
        <v/>
      </c>
    </row>
    <row r="6739" spans="5:9" ht="16.5" hidden="1">
      <c r="E6739" s="4" t="str">
        <v/>
      </c>
      <c r="F6739" s="102" t="str">
        <f ca="1">IFERROR(__xludf.DUMMYFUNCTION("IMPORTRANGE(H6739,""IDENTITAS UNIT!D9"")"),"#N/A")</f>
        <v>#N/A</v>
      </c>
      <c r="H6739" s="4" t="str">
        <v/>
      </c>
      <c r="I6739" s="4" t="str">
        <v/>
      </c>
    </row>
    <row r="6740" spans="5:9" ht="16.5" hidden="1">
      <c r="E6740" s="4" t="str">
        <v/>
      </c>
      <c r="F6740" s="102" t="str">
        <f ca="1">IFERROR(__xludf.DUMMYFUNCTION("IMPORTRANGE(H6740,""IDENTITAS UNIT!D9"")"),"#N/A")</f>
        <v>#N/A</v>
      </c>
      <c r="H6740" s="4" t="str">
        <v/>
      </c>
      <c r="I6740" s="4" t="str">
        <v/>
      </c>
    </row>
    <row r="6741" spans="5:9" ht="16.5" hidden="1">
      <c r="E6741" s="4" t="str">
        <v/>
      </c>
      <c r="F6741" s="102" t="str">
        <f ca="1">IFERROR(__xludf.DUMMYFUNCTION("IMPORTRANGE(H6741,""IDENTITAS UNIT!D9"")"),"#N/A")</f>
        <v>#N/A</v>
      </c>
      <c r="H6741" s="4" t="str">
        <v/>
      </c>
      <c r="I6741" s="4" t="str">
        <v/>
      </c>
    </row>
    <row r="6742" spans="5:9" ht="16.5" hidden="1">
      <c r="E6742" s="4" t="str">
        <v/>
      </c>
      <c r="F6742" s="102" t="str">
        <f ca="1">IFERROR(__xludf.DUMMYFUNCTION("IMPORTRANGE(H6742,""IDENTITAS UNIT!D9"")"),"#N/A")</f>
        <v>#N/A</v>
      </c>
      <c r="H6742" s="4" t="str">
        <v/>
      </c>
      <c r="I6742" s="4" t="str">
        <v/>
      </c>
    </row>
    <row r="6743" spans="5:9" ht="16.5" hidden="1">
      <c r="E6743" s="4" t="str">
        <v/>
      </c>
      <c r="F6743" s="102" t="str">
        <f ca="1">IFERROR(__xludf.DUMMYFUNCTION("IMPORTRANGE(H6743,""IDENTITAS UNIT!D9"")"),"#N/A")</f>
        <v>#N/A</v>
      </c>
      <c r="H6743" s="4" t="str">
        <v/>
      </c>
      <c r="I6743" s="4" t="str">
        <v/>
      </c>
    </row>
    <row r="6744" spans="5:9" ht="16.5" hidden="1">
      <c r="E6744" s="4" t="str">
        <v/>
      </c>
      <c r="F6744" s="102" t="str">
        <f ca="1">IFERROR(__xludf.DUMMYFUNCTION("IMPORTRANGE(H6744,""IDENTITAS UNIT!D9"")"),"#N/A")</f>
        <v>#N/A</v>
      </c>
      <c r="H6744" s="4" t="str">
        <v/>
      </c>
      <c r="I6744" s="4" t="str">
        <v/>
      </c>
    </row>
    <row r="6745" spans="5:9" ht="16.5" hidden="1">
      <c r="E6745" s="4" t="str">
        <v/>
      </c>
      <c r="F6745" s="102" t="str">
        <f ca="1">IFERROR(__xludf.DUMMYFUNCTION("IMPORTRANGE(H6745,""IDENTITAS UNIT!D9"")"),"#N/A")</f>
        <v>#N/A</v>
      </c>
      <c r="H6745" s="4" t="str">
        <v/>
      </c>
      <c r="I6745" s="4" t="str">
        <v/>
      </c>
    </row>
    <row r="6746" spans="5:9" ht="16.5" hidden="1">
      <c r="E6746" s="4" t="str">
        <v/>
      </c>
      <c r="F6746" s="102" t="str">
        <f ca="1">IFERROR(__xludf.DUMMYFUNCTION("IMPORTRANGE(H6746,""IDENTITAS UNIT!D9"")"),"#N/A")</f>
        <v>#N/A</v>
      </c>
      <c r="H6746" s="4" t="str">
        <v/>
      </c>
      <c r="I6746" s="4" t="str">
        <v/>
      </c>
    </row>
    <row r="6747" spans="5:9" ht="16.5" hidden="1">
      <c r="E6747" s="4" t="str">
        <v/>
      </c>
      <c r="F6747" s="102" t="str">
        <f ca="1">IFERROR(__xludf.DUMMYFUNCTION("IMPORTRANGE(H6747,""IDENTITAS UNIT!D9"")"),"#N/A")</f>
        <v>#N/A</v>
      </c>
      <c r="H6747" s="4" t="str">
        <v/>
      </c>
      <c r="I6747" s="4" t="str">
        <v/>
      </c>
    </row>
    <row r="6748" spans="5:9" ht="16.5" hidden="1">
      <c r="E6748" s="4" t="str">
        <v/>
      </c>
      <c r="F6748" s="102" t="str">
        <f ca="1">IFERROR(__xludf.DUMMYFUNCTION("IMPORTRANGE(H6748,""IDENTITAS UNIT!D9"")"),"#N/A")</f>
        <v>#N/A</v>
      </c>
      <c r="H6748" s="4" t="str">
        <v/>
      </c>
      <c r="I6748" s="4" t="str">
        <v/>
      </c>
    </row>
    <row r="6749" spans="5:9" ht="16.5" hidden="1">
      <c r="E6749" s="4" t="str">
        <v/>
      </c>
      <c r="F6749" s="102" t="str">
        <f ca="1">IFERROR(__xludf.DUMMYFUNCTION("IMPORTRANGE(H6749,""IDENTITAS UNIT!D9"")"),"#N/A")</f>
        <v>#N/A</v>
      </c>
      <c r="H6749" s="4" t="str">
        <v/>
      </c>
      <c r="I6749" s="4" t="str">
        <v/>
      </c>
    </row>
    <row r="6750" spans="5:9" ht="16.5" hidden="1">
      <c r="E6750" s="4" t="str">
        <v/>
      </c>
      <c r="F6750" s="102" t="str">
        <f ca="1">IFERROR(__xludf.DUMMYFUNCTION("IMPORTRANGE(H6750,""IDENTITAS UNIT!D9"")"),"#N/A")</f>
        <v>#N/A</v>
      </c>
      <c r="H6750" s="4" t="str">
        <v/>
      </c>
      <c r="I6750" s="4" t="str">
        <v/>
      </c>
    </row>
    <row r="6751" spans="5:9" ht="16.5" hidden="1">
      <c r="E6751" s="4" t="str">
        <v/>
      </c>
      <c r="F6751" s="102" t="str">
        <f ca="1">IFERROR(__xludf.DUMMYFUNCTION("IMPORTRANGE(H6751,""IDENTITAS UNIT!D9"")"),"#N/A")</f>
        <v>#N/A</v>
      </c>
      <c r="H6751" s="4" t="str">
        <v/>
      </c>
      <c r="I6751" s="4" t="str">
        <v/>
      </c>
    </row>
    <row r="6752" spans="5:9" ht="16.5" hidden="1">
      <c r="E6752" s="4" t="str">
        <v/>
      </c>
      <c r="F6752" s="102" t="str">
        <f ca="1">IFERROR(__xludf.DUMMYFUNCTION("IMPORTRANGE(H6752,""IDENTITAS UNIT!D9"")"),"#N/A")</f>
        <v>#N/A</v>
      </c>
      <c r="H6752" s="4" t="str">
        <v/>
      </c>
      <c r="I6752" s="4" t="str">
        <v/>
      </c>
    </row>
    <row r="6753" spans="5:9" ht="16.5" hidden="1">
      <c r="E6753" s="4" t="str">
        <v/>
      </c>
      <c r="F6753" s="102" t="str">
        <f ca="1">IFERROR(__xludf.DUMMYFUNCTION("IMPORTRANGE(H6753,""IDENTITAS UNIT!D9"")"),"#N/A")</f>
        <v>#N/A</v>
      </c>
      <c r="H6753" s="4" t="str">
        <v/>
      </c>
      <c r="I6753" s="4" t="str">
        <v/>
      </c>
    </row>
    <row r="6754" spans="5:9" ht="16.5" hidden="1">
      <c r="E6754" s="4" t="str">
        <v/>
      </c>
      <c r="F6754" s="102" t="str">
        <f ca="1">IFERROR(__xludf.DUMMYFUNCTION("IMPORTRANGE(H6754,""IDENTITAS UNIT!D9"")"),"#N/A")</f>
        <v>#N/A</v>
      </c>
      <c r="H6754" s="4" t="str">
        <v/>
      </c>
      <c r="I6754" s="4" t="str">
        <v/>
      </c>
    </row>
    <row r="6755" spans="5:9" ht="16.5" hidden="1">
      <c r="E6755" s="4" t="str">
        <v/>
      </c>
      <c r="F6755" s="102" t="str">
        <f ca="1">IFERROR(__xludf.DUMMYFUNCTION("IMPORTRANGE(H6755,""IDENTITAS UNIT!D9"")"),"#N/A")</f>
        <v>#N/A</v>
      </c>
      <c r="H6755" s="4" t="str">
        <v/>
      </c>
      <c r="I6755" s="4" t="str">
        <v/>
      </c>
    </row>
    <row r="6756" spans="5:9" ht="16.5" hidden="1">
      <c r="E6756" s="4" t="str">
        <v/>
      </c>
      <c r="F6756" s="102" t="str">
        <f ca="1">IFERROR(__xludf.DUMMYFUNCTION("IMPORTRANGE(H6756,""IDENTITAS UNIT!D9"")"),"#N/A")</f>
        <v>#N/A</v>
      </c>
      <c r="H6756" s="4" t="str">
        <v/>
      </c>
      <c r="I6756" s="4" t="str">
        <v/>
      </c>
    </row>
    <row r="6757" spans="5:9" ht="16.5" hidden="1">
      <c r="E6757" s="4" t="str">
        <v/>
      </c>
      <c r="F6757" s="102" t="str">
        <f ca="1">IFERROR(__xludf.DUMMYFUNCTION("IMPORTRANGE(H6757,""IDENTITAS UNIT!D9"")"),"#N/A")</f>
        <v>#N/A</v>
      </c>
      <c r="H6757" s="4" t="str">
        <v/>
      </c>
      <c r="I6757" s="4" t="str">
        <v/>
      </c>
    </row>
    <row r="6758" spans="5:9" ht="16.5" hidden="1">
      <c r="E6758" s="4" t="str">
        <v/>
      </c>
      <c r="F6758" s="102" t="str">
        <f ca="1">IFERROR(__xludf.DUMMYFUNCTION("IMPORTRANGE(H6758,""IDENTITAS UNIT!D9"")"),"#N/A")</f>
        <v>#N/A</v>
      </c>
      <c r="H6758" s="4" t="str">
        <v/>
      </c>
      <c r="I6758" s="4" t="str">
        <v/>
      </c>
    </row>
    <row r="6759" spans="5:9" ht="16.5" hidden="1">
      <c r="E6759" s="4" t="str">
        <v/>
      </c>
      <c r="F6759" s="102" t="str">
        <f ca="1">IFERROR(__xludf.DUMMYFUNCTION("IMPORTRANGE(H6759,""IDENTITAS UNIT!D9"")"),"#N/A")</f>
        <v>#N/A</v>
      </c>
      <c r="H6759" s="4" t="str">
        <v/>
      </c>
      <c r="I6759" s="4" t="str">
        <v/>
      </c>
    </row>
    <row r="6760" spans="5:9" ht="16.5" hidden="1">
      <c r="E6760" s="4" t="str">
        <v/>
      </c>
      <c r="F6760" s="102" t="str">
        <f ca="1">IFERROR(__xludf.DUMMYFUNCTION("IMPORTRANGE(H6760,""IDENTITAS UNIT!D9"")"),"#N/A")</f>
        <v>#N/A</v>
      </c>
      <c r="H6760" s="4" t="str">
        <v/>
      </c>
      <c r="I6760" s="4" t="str">
        <v/>
      </c>
    </row>
    <row r="6761" spans="5:9" ht="16.5" hidden="1">
      <c r="E6761" s="4" t="str">
        <v/>
      </c>
      <c r="F6761" s="102" t="str">
        <f ca="1">IFERROR(__xludf.DUMMYFUNCTION("IMPORTRANGE(H6761,""IDENTITAS UNIT!D9"")"),"#N/A")</f>
        <v>#N/A</v>
      </c>
      <c r="H6761" s="4" t="str">
        <v/>
      </c>
      <c r="I6761" s="4" t="str">
        <v/>
      </c>
    </row>
    <row r="6762" spans="5:9" ht="16.5" hidden="1">
      <c r="E6762" s="4" t="str">
        <v/>
      </c>
      <c r="F6762" s="102" t="str">
        <f ca="1">IFERROR(__xludf.DUMMYFUNCTION("IMPORTRANGE(H6762,""IDENTITAS UNIT!D9"")"),"#N/A")</f>
        <v>#N/A</v>
      </c>
      <c r="H6762" s="4" t="str">
        <v/>
      </c>
      <c r="I6762" s="4" t="str">
        <v/>
      </c>
    </row>
    <row r="6763" spans="5:9" ht="16.5" hidden="1">
      <c r="E6763" s="4" t="str">
        <v/>
      </c>
      <c r="F6763" s="102" t="str">
        <f ca="1">IFERROR(__xludf.DUMMYFUNCTION("IMPORTRANGE(H6763,""IDENTITAS UNIT!D9"")"),"#N/A")</f>
        <v>#N/A</v>
      </c>
      <c r="H6763" s="4" t="str">
        <v/>
      </c>
      <c r="I6763" s="4" t="str">
        <v/>
      </c>
    </row>
    <row r="6764" spans="5:9" ht="16.5" hidden="1">
      <c r="E6764" s="4" t="str">
        <v/>
      </c>
      <c r="F6764" s="102" t="str">
        <f ca="1">IFERROR(__xludf.DUMMYFUNCTION("IMPORTRANGE(H6764,""IDENTITAS UNIT!D9"")"),"#N/A")</f>
        <v>#N/A</v>
      </c>
      <c r="H6764" s="4" t="str">
        <v/>
      </c>
      <c r="I6764" s="4" t="str">
        <v/>
      </c>
    </row>
    <row r="6765" spans="5:9" ht="16.5" hidden="1">
      <c r="E6765" s="4" t="str">
        <v/>
      </c>
      <c r="F6765" s="102" t="str">
        <f ca="1">IFERROR(__xludf.DUMMYFUNCTION("IMPORTRANGE(H6765,""IDENTITAS UNIT!D9"")"),"#N/A")</f>
        <v>#N/A</v>
      </c>
      <c r="H6765" s="4" t="str">
        <v/>
      </c>
      <c r="I6765" s="4" t="str">
        <v/>
      </c>
    </row>
    <row r="6766" spans="5:9" ht="16.5" hidden="1">
      <c r="E6766" s="4" t="str">
        <v/>
      </c>
      <c r="F6766" s="102" t="str">
        <f ca="1">IFERROR(__xludf.DUMMYFUNCTION("IMPORTRANGE(H6766,""IDENTITAS UNIT!D9"")"),"#N/A")</f>
        <v>#N/A</v>
      </c>
      <c r="H6766" s="4" t="str">
        <v/>
      </c>
      <c r="I6766" s="4" t="str">
        <v/>
      </c>
    </row>
    <row r="6767" spans="5:9" ht="16.5" hidden="1">
      <c r="E6767" s="4" t="str">
        <v/>
      </c>
      <c r="F6767" s="102" t="str">
        <f ca="1">IFERROR(__xludf.DUMMYFUNCTION("IMPORTRANGE(H6767,""IDENTITAS UNIT!D9"")"),"#N/A")</f>
        <v>#N/A</v>
      </c>
      <c r="H6767" s="4" t="str">
        <v/>
      </c>
      <c r="I6767" s="4" t="str">
        <v/>
      </c>
    </row>
    <row r="6768" spans="5:9" ht="16.5" hidden="1">
      <c r="E6768" s="4" t="str">
        <v/>
      </c>
      <c r="F6768" s="102" t="str">
        <f ca="1">IFERROR(__xludf.DUMMYFUNCTION("IMPORTRANGE(H6768,""IDENTITAS UNIT!D9"")"),"#N/A")</f>
        <v>#N/A</v>
      </c>
      <c r="H6768" s="4" t="str">
        <v/>
      </c>
      <c r="I6768" s="4" t="str">
        <v/>
      </c>
    </row>
    <row r="6769" spans="5:9" ht="16.5" hidden="1">
      <c r="E6769" s="4" t="str">
        <v/>
      </c>
      <c r="F6769" s="102" t="str">
        <f ca="1">IFERROR(__xludf.DUMMYFUNCTION("IMPORTRANGE(H6769,""IDENTITAS UNIT!D9"")"),"#N/A")</f>
        <v>#N/A</v>
      </c>
      <c r="H6769" s="4" t="str">
        <v/>
      </c>
      <c r="I6769" s="4" t="str">
        <v/>
      </c>
    </row>
    <row r="6770" spans="5:9" ht="16.5" hidden="1">
      <c r="E6770" s="4" t="str">
        <v/>
      </c>
      <c r="F6770" s="102" t="str">
        <f ca="1">IFERROR(__xludf.DUMMYFUNCTION("IMPORTRANGE(H6770,""IDENTITAS UNIT!D9"")"),"#N/A")</f>
        <v>#N/A</v>
      </c>
      <c r="H6770" s="4" t="str">
        <v/>
      </c>
      <c r="I6770" s="4" t="str">
        <v/>
      </c>
    </row>
    <row r="6771" spans="5:9" ht="16.5" hidden="1">
      <c r="E6771" s="4" t="str">
        <v/>
      </c>
      <c r="F6771" s="102" t="str">
        <f ca="1">IFERROR(__xludf.DUMMYFUNCTION("IMPORTRANGE(H6771,""IDENTITAS UNIT!D9"")"),"#N/A")</f>
        <v>#N/A</v>
      </c>
      <c r="H6771" s="4" t="str">
        <v/>
      </c>
      <c r="I6771" s="4" t="str">
        <v/>
      </c>
    </row>
    <row r="6772" spans="5:9" ht="16.5" hidden="1">
      <c r="E6772" s="4" t="str">
        <v/>
      </c>
      <c r="F6772" s="102" t="str">
        <f ca="1">IFERROR(__xludf.DUMMYFUNCTION("IMPORTRANGE(H6772,""IDENTITAS UNIT!D9"")"),"#N/A")</f>
        <v>#N/A</v>
      </c>
      <c r="H6772" s="4" t="str">
        <v/>
      </c>
      <c r="I6772" s="4" t="str">
        <v/>
      </c>
    </row>
    <row r="6773" spans="5:9" ht="16.5" hidden="1">
      <c r="E6773" s="4" t="str">
        <v/>
      </c>
      <c r="F6773" s="102" t="str">
        <f ca="1">IFERROR(__xludf.DUMMYFUNCTION("IMPORTRANGE(H6773,""IDENTITAS UNIT!D9"")"),"#N/A")</f>
        <v>#N/A</v>
      </c>
      <c r="H6773" s="4" t="str">
        <v/>
      </c>
      <c r="I6773" s="4" t="str">
        <v/>
      </c>
    </row>
    <row r="6774" spans="5:9" ht="16.5" hidden="1">
      <c r="E6774" s="4" t="str">
        <v/>
      </c>
      <c r="F6774" s="102" t="str">
        <f ca="1">IFERROR(__xludf.DUMMYFUNCTION("IMPORTRANGE(H6774,""IDENTITAS UNIT!D9"")"),"#N/A")</f>
        <v>#N/A</v>
      </c>
      <c r="H6774" s="4" t="str">
        <v/>
      </c>
      <c r="I6774" s="4" t="str">
        <v/>
      </c>
    </row>
    <row r="6775" spans="5:9" ht="16.5" hidden="1">
      <c r="E6775" s="4" t="str">
        <v/>
      </c>
      <c r="F6775" s="102" t="str">
        <f ca="1">IFERROR(__xludf.DUMMYFUNCTION("IMPORTRANGE(H6775,""IDENTITAS UNIT!D9"")"),"#N/A")</f>
        <v>#N/A</v>
      </c>
      <c r="H6775" s="4" t="str">
        <v/>
      </c>
      <c r="I6775" s="4" t="str">
        <v/>
      </c>
    </row>
    <row r="6776" spans="5:9" ht="16.5" hidden="1">
      <c r="E6776" s="4" t="str">
        <v/>
      </c>
      <c r="F6776" s="102" t="str">
        <f ca="1">IFERROR(__xludf.DUMMYFUNCTION("IMPORTRANGE(H6776,""IDENTITAS UNIT!D9"")"),"#N/A")</f>
        <v>#N/A</v>
      </c>
      <c r="H6776" s="4" t="str">
        <v/>
      </c>
      <c r="I6776" s="4" t="str">
        <v/>
      </c>
    </row>
    <row r="6777" spans="5:9" ht="16.5" hidden="1">
      <c r="E6777" s="4" t="str">
        <v/>
      </c>
      <c r="F6777" s="102" t="str">
        <f ca="1">IFERROR(__xludf.DUMMYFUNCTION("IMPORTRANGE(H6777,""IDENTITAS UNIT!D9"")"),"#N/A")</f>
        <v>#N/A</v>
      </c>
      <c r="H6777" s="4" t="str">
        <v/>
      </c>
      <c r="I6777" s="4" t="str">
        <v/>
      </c>
    </row>
    <row r="6778" spans="5:9" ht="16.5" hidden="1">
      <c r="E6778" s="4" t="str">
        <v/>
      </c>
      <c r="F6778" s="102" t="str">
        <f ca="1">IFERROR(__xludf.DUMMYFUNCTION("IMPORTRANGE(H6778,""IDENTITAS UNIT!D9"")"),"#N/A")</f>
        <v>#N/A</v>
      </c>
      <c r="H6778" s="4" t="str">
        <v/>
      </c>
      <c r="I6778" s="4" t="str">
        <v/>
      </c>
    </row>
    <row r="6779" spans="5:9" ht="16.5" hidden="1">
      <c r="E6779" s="4" t="str">
        <v/>
      </c>
      <c r="F6779" s="102" t="str">
        <f ca="1">IFERROR(__xludf.DUMMYFUNCTION("IMPORTRANGE(H6779,""IDENTITAS UNIT!D9"")"),"#N/A")</f>
        <v>#N/A</v>
      </c>
      <c r="H6779" s="4" t="str">
        <v/>
      </c>
      <c r="I6779" s="4" t="str">
        <v/>
      </c>
    </row>
    <row r="6780" spans="5:9" ht="16.5" hidden="1">
      <c r="E6780" s="4" t="str">
        <v/>
      </c>
      <c r="F6780" s="102" t="str">
        <f ca="1">IFERROR(__xludf.DUMMYFUNCTION("IMPORTRANGE(H6780,""IDENTITAS UNIT!D9"")"),"#N/A")</f>
        <v>#N/A</v>
      </c>
      <c r="H6780" s="4" t="str">
        <v/>
      </c>
      <c r="I6780" s="4" t="str">
        <v/>
      </c>
    </row>
    <row r="6781" spans="5:9" ht="16.5" hidden="1">
      <c r="E6781" s="4" t="str">
        <v/>
      </c>
      <c r="F6781" s="102" t="str">
        <f ca="1">IFERROR(__xludf.DUMMYFUNCTION("IMPORTRANGE(H6781,""IDENTITAS UNIT!D9"")"),"#N/A")</f>
        <v>#N/A</v>
      </c>
      <c r="H6781" s="4" t="str">
        <v/>
      </c>
      <c r="I6781" s="4" t="str">
        <v/>
      </c>
    </row>
    <row r="6782" spans="5:9" ht="16.5" hidden="1">
      <c r="E6782" s="4" t="str">
        <v/>
      </c>
      <c r="F6782" s="102" t="str">
        <f ca="1">IFERROR(__xludf.DUMMYFUNCTION("IMPORTRANGE(H6782,""IDENTITAS UNIT!D9"")"),"#N/A")</f>
        <v>#N/A</v>
      </c>
      <c r="H6782" s="4" t="str">
        <v/>
      </c>
      <c r="I6782" s="4" t="str">
        <v/>
      </c>
    </row>
    <row r="6783" spans="5:9" ht="16.5" hidden="1">
      <c r="E6783" s="4" t="str">
        <v/>
      </c>
      <c r="F6783" s="102" t="str">
        <f ca="1">IFERROR(__xludf.DUMMYFUNCTION("IMPORTRANGE(H6783,""IDENTITAS UNIT!D9"")"),"#N/A")</f>
        <v>#N/A</v>
      </c>
      <c r="H6783" s="4" t="str">
        <v/>
      </c>
      <c r="I6783" s="4" t="str">
        <v/>
      </c>
    </row>
    <row r="6784" spans="5:9" ht="16.5" hidden="1">
      <c r="E6784" s="4" t="str">
        <v/>
      </c>
      <c r="F6784" s="102" t="str">
        <f ca="1">IFERROR(__xludf.DUMMYFUNCTION("IMPORTRANGE(H6784,""IDENTITAS UNIT!D9"")"),"#N/A")</f>
        <v>#N/A</v>
      </c>
      <c r="H6784" s="4" t="str">
        <v/>
      </c>
      <c r="I6784" s="4" t="str">
        <v/>
      </c>
    </row>
    <row r="6785" spans="5:9" ht="16.5" hidden="1">
      <c r="E6785" s="4" t="str">
        <v/>
      </c>
      <c r="F6785" s="102" t="str">
        <f ca="1">IFERROR(__xludf.DUMMYFUNCTION("IMPORTRANGE(H6785,""IDENTITAS UNIT!D9"")"),"#N/A")</f>
        <v>#N/A</v>
      </c>
      <c r="H6785" s="4" t="str">
        <v/>
      </c>
      <c r="I6785" s="4" t="str">
        <v/>
      </c>
    </row>
    <row r="6786" spans="5:9" ht="16.5" hidden="1">
      <c r="E6786" s="4" t="str">
        <v/>
      </c>
      <c r="F6786" s="102" t="str">
        <f ca="1">IFERROR(__xludf.DUMMYFUNCTION("IMPORTRANGE(H6786,""IDENTITAS UNIT!D9"")"),"#N/A")</f>
        <v>#N/A</v>
      </c>
      <c r="H6786" s="4" t="str">
        <v/>
      </c>
      <c r="I6786" s="4" t="str">
        <v/>
      </c>
    </row>
    <row r="6787" spans="5:9" ht="16.5" hidden="1">
      <c r="E6787" s="4" t="str">
        <v/>
      </c>
      <c r="F6787" s="102" t="str">
        <f ca="1">IFERROR(__xludf.DUMMYFUNCTION("IMPORTRANGE(H6787,""IDENTITAS UNIT!D9"")"),"#N/A")</f>
        <v>#N/A</v>
      </c>
      <c r="H6787" s="4" t="str">
        <v/>
      </c>
      <c r="I6787" s="4" t="str">
        <v/>
      </c>
    </row>
    <row r="6788" spans="5:9" ht="16.5" hidden="1">
      <c r="E6788" s="4" t="str">
        <v/>
      </c>
      <c r="F6788" s="102" t="str">
        <f ca="1">IFERROR(__xludf.DUMMYFUNCTION("IMPORTRANGE(H6788,""IDENTITAS UNIT!D9"")"),"#N/A")</f>
        <v>#N/A</v>
      </c>
      <c r="H6788" s="4" t="str">
        <v/>
      </c>
      <c r="I6788" s="4" t="str">
        <v/>
      </c>
    </row>
    <row r="6789" spans="5:9" ht="16.5" hidden="1">
      <c r="E6789" s="4" t="str">
        <v/>
      </c>
      <c r="F6789" s="102" t="str">
        <f ca="1">IFERROR(__xludf.DUMMYFUNCTION("IMPORTRANGE(H6789,""IDENTITAS UNIT!D9"")"),"#N/A")</f>
        <v>#N/A</v>
      </c>
      <c r="H6789" s="4" t="str">
        <v/>
      </c>
      <c r="I6789" s="4" t="str">
        <v/>
      </c>
    </row>
    <row r="6790" spans="5:9" ht="16.5" hidden="1">
      <c r="E6790" s="4" t="str">
        <v/>
      </c>
      <c r="F6790" s="102" t="str">
        <f ca="1">IFERROR(__xludf.DUMMYFUNCTION("IMPORTRANGE(H6790,""IDENTITAS UNIT!D9"")"),"#N/A")</f>
        <v>#N/A</v>
      </c>
      <c r="H6790" s="4" t="str">
        <v/>
      </c>
      <c r="I6790" s="4" t="str">
        <v/>
      </c>
    </row>
    <row r="6791" spans="5:9" ht="16.5" hidden="1">
      <c r="E6791" s="4" t="str">
        <v/>
      </c>
      <c r="F6791" s="102" t="str">
        <f ca="1">IFERROR(__xludf.DUMMYFUNCTION("IMPORTRANGE(H6791,""IDENTITAS UNIT!D9"")"),"#N/A")</f>
        <v>#N/A</v>
      </c>
      <c r="H6791" s="4" t="str">
        <v/>
      </c>
      <c r="I6791" s="4" t="str">
        <v/>
      </c>
    </row>
    <row r="6792" spans="5:9" ht="16.5" hidden="1">
      <c r="E6792" s="4" t="str">
        <v/>
      </c>
      <c r="F6792" s="102" t="str">
        <f ca="1">IFERROR(__xludf.DUMMYFUNCTION("IMPORTRANGE(H6792,""IDENTITAS UNIT!D9"")"),"#N/A")</f>
        <v>#N/A</v>
      </c>
      <c r="H6792" s="4" t="str">
        <v/>
      </c>
      <c r="I6792" s="4" t="str">
        <v/>
      </c>
    </row>
    <row r="6793" spans="5:9" ht="16.5" hidden="1">
      <c r="E6793" s="4" t="str">
        <v/>
      </c>
      <c r="F6793" s="102" t="str">
        <f ca="1">IFERROR(__xludf.DUMMYFUNCTION("IMPORTRANGE(H6793,""IDENTITAS UNIT!D9"")"),"#N/A")</f>
        <v>#N/A</v>
      </c>
      <c r="H6793" s="4" t="str">
        <v/>
      </c>
      <c r="I6793" s="4" t="str">
        <v/>
      </c>
    </row>
    <row r="6794" spans="5:9" ht="16.5" hidden="1">
      <c r="E6794" s="4" t="str">
        <v/>
      </c>
      <c r="F6794" s="102" t="str">
        <f ca="1">IFERROR(__xludf.DUMMYFUNCTION("IMPORTRANGE(H6794,""IDENTITAS UNIT!D9"")"),"#N/A")</f>
        <v>#N/A</v>
      </c>
      <c r="H6794" s="4" t="str">
        <v/>
      </c>
      <c r="I6794" s="4" t="str">
        <v/>
      </c>
    </row>
    <row r="6795" spans="5:9" ht="16.5" hidden="1">
      <c r="E6795" s="4" t="str">
        <v/>
      </c>
      <c r="F6795" s="102" t="str">
        <f ca="1">IFERROR(__xludf.DUMMYFUNCTION("IMPORTRANGE(H6795,""IDENTITAS UNIT!D9"")"),"#N/A")</f>
        <v>#N/A</v>
      </c>
      <c r="H6795" s="4" t="str">
        <v/>
      </c>
      <c r="I6795" s="4" t="str">
        <v/>
      </c>
    </row>
    <row r="6796" spans="5:9" ht="16.5" hidden="1">
      <c r="E6796" s="4" t="str">
        <v/>
      </c>
      <c r="F6796" s="102" t="str">
        <f ca="1">IFERROR(__xludf.DUMMYFUNCTION("IMPORTRANGE(H6796,""IDENTITAS UNIT!D9"")"),"#N/A")</f>
        <v>#N/A</v>
      </c>
      <c r="H6796" s="4" t="str">
        <v/>
      </c>
      <c r="I6796" s="4" t="str">
        <v/>
      </c>
    </row>
    <row r="6797" spans="5:9" ht="16.5" hidden="1">
      <c r="E6797" s="4" t="str">
        <v/>
      </c>
      <c r="F6797" s="102" t="str">
        <f ca="1">IFERROR(__xludf.DUMMYFUNCTION("IMPORTRANGE(H6797,""IDENTITAS UNIT!D9"")"),"#N/A")</f>
        <v>#N/A</v>
      </c>
      <c r="H6797" s="4" t="str">
        <v/>
      </c>
      <c r="I6797" s="4" t="str">
        <v/>
      </c>
    </row>
    <row r="6798" spans="5:9" ht="16.5" hidden="1">
      <c r="E6798" s="4" t="str">
        <v/>
      </c>
      <c r="F6798" s="102" t="str">
        <f ca="1">IFERROR(__xludf.DUMMYFUNCTION("IMPORTRANGE(H6798,""IDENTITAS UNIT!D9"")"),"#N/A")</f>
        <v>#N/A</v>
      </c>
      <c r="H6798" s="4" t="str">
        <v/>
      </c>
      <c r="I6798" s="4" t="str">
        <v/>
      </c>
    </row>
    <row r="6799" spans="5:9" ht="16.5" hidden="1">
      <c r="E6799" s="4" t="str">
        <v/>
      </c>
      <c r="F6799" s="102" t="str">
        <f ca="1">IFERROR(__xludf.DUMMYFUNCTION("IMPORTRANGE(H6799,""IDENTITAS UNIT!D9"")"),"#N/A")</f>
        <v>#N/A</v>
      </c>
      <c r="H6799" s="4" t="str">
        <v/>
      </c>
      <c r="I6799" s="4" t="str">
        <v/>
      </c>
    </row>
    <row r="6800" spans="5:9" ht="16.5" hidden="1">
      <c r="E6800" s="4" t="str">
        <v/>
      </c>
      <c r="F6800" s="102" t="str">
        <f ca="1">IFERROR(__xludf.DUMMYFUNCTION("IMPORTRANGE(H6800,""IDENTITAS UNIT!D9"")"),"#N/A")</f>
        <v>#N/A</v>
      </c>
      <c r="H6800" s="4" t="str">
        <v/>
      </c>
      <c r="I6800" s="4" t="str">
        <v/>
      </c>
    </row>
    <row r="6801" spans="5:9" ht="16.5" hidden="1">
      <c r="E6801" s="4" t="str">
        <v/>
      </c>
      <c r="F6801" s="102" t="str">
        <f ca="1">IFERROR(__xludf.DUMMYFUNCTION("IMPORTRANGE(H6801,""IDENTITAS UNIT!D9"")"),"#N/A")</f>
        <v>#N/A</v>
      </c>
      <c r="H6801" s="4" t="str">
        <v/>
      </c>
      <c r="I6801" s="4" t="str">
        <v/>
      </c>
    </row>
    <row r="6802" spans="5:9" ht="16.5" hidden="1">
      <c r="E6802" s="4" t="str">
        <v/>
      </c>
      <c r="F6802" s="102" t="str">
        <f ca="1">IFERROR(__xludf.DUMMYFUNCTION("IMPORTRANGE(H6802,""IDENTITAS UNIT!D9"")"),"#N/A")</f>
        <v>#N/A</v>
      </c>
      <c r="H6802" s="4" t="str">
        <v/>
      </c>
      <c r="I6802" s="4" t="str">
        <v/>
      </c>
    </row>
    <row r="6803" spans="5:9" ht="16.5" hidden="1">
      <c r="E6803" s="4" t="str">
        <v/>
      </c>
      <c r="F6803" s="102" t="str">
        <f ca="1">IFERROR(__xludf.DUMMYFUNCTION("IMPORTRANGE(H6803,""IDENTITAS UNIT!D9"")"),"#N/A")</f>
        <v>#N/A</v>
      </c>
      <c r="H6803" s="4" t="str">
        <v/>
      </c>
      <c r="I6803" s="4" t="str">
        <v/>
      </c>
    </row>
    <row r="6804" spans="5:9" ht="16.5" hidden="1">
      <c r="E6804" s="4" t="str">
        <v/>
      </c>
      <c r="F6804" s="102" t="str">
        <f ca="1">IFERROR(__xludf.DUMMYFUNCTION("IMPORTRANGE(H6804,""IDENTITAS UNIT!D9"")"),"#N/A")</f>
        <v>#N/A</v>
      </c>
      <c r="H6804" s="4" t="str">
        <v/>
      </c>
      <c r="I6804" s="4" t="str">
        <v/>
      </c>
    </row>
    <row r="6805" spans="5:9" ht="16.5" hidden="1">
      <c r="E6805" s="4" t="str">
        <v/>
      </c>
      <c r="F6805" s="102" t="str">
        <f ca="1">IFERROR(__xludf.DUMMYFUNCTION("IMPORTRANGE(H6805,""IDENTITAS UNIT!D9"")"),"#N/A")</f>
        <v>#N/A</v>
      </c>
      <c r="H6805" s="4" t="str">
        <v/>
      </c>
      <c r="I6805" s="4" t="str">
        <v/>
      </c>
    </row>
    <row r="6806" spans="5:9" ht="16.5" hidden="1">
      <c r="E6806" s="4" t="str">
        <v/>
      </c>
      <c r="F6806" s="102" t="str">
        <f ca="1">IFERROR(__xludf.DUMMYFUNCTION("IMPORTRANGE(H6806,""IDENTITAS UNIT!D9"")"),"#N/A")</f>
        <v>#N/A</v>
      </c>
      <c r="H6806" s="4" t="str">
        <v/>
      </c>
      <c r="I6806" s="4" t="str">
        <v/>
      </c>
    </row>
    <row r="6807" spans="5:9" ht="16.5" hidden="1">
      <c r="E6807" s="4" t="str">
        <v/>
      </c>
      <c r="F6807" s="102" t="str">
        <f ca="1">IFERROR(__xludf.DUMMYFUNCTION("IMPORTRANGE(H6807,""IDENTITAS UNIT!D9"")"),"#N/A")</f>
        <v>#N/A</v>
      </c>
      <c r="H6807" s="4" t="str">
        <v/>
      </c>
      <c r="I6807" s="4" t="str">
        <v/>
      </c>
    </row>
    <row r="6808" spans="5:9" ht="16.5" hidden="1">
      <c r="E6808" s="4" t="str">
        <v/>
      </c>
      <c r="F6808" s="102" t="str">
        <f ca="1">IFERROR(__xludf.DUMMYFUNCTION("IMPORTRANGE(H6808,""IDENTITAS UNIT!D9"")"),"#N/A")</f>
        <v>#N/A</v>
      </c>
      <c r="H6808" s="4" t="str">
        <v/>
      </c>
      <c r="I6808" s="4" t="str">
        <v/>
      </c>
    </row>
    <row r="6809" spans="5:9" ht="16.5" hidden="1">
      <c r="E6809" s="4" t="str">
        <v/>
      </c>
      <c r="F6809" s="102" t="str">
        <f ca="1">IFERROR(__xludf.DUMMYFUNCTION("IMPORTRANGE(H6809,""IDENTITAS UNIT!D9"")"),"#N/A")</f>
        <v>#N/A</v>
      </c>
      <c r="H6809" s="4" t="str">
        <v/>
      </c>
      <c r="I6809" s="4" t="str">
        <v/>
      </c>
    </row>
    <row r="6810" spans="5:9" ht="16.5" hidden="1">
      <c r="E6810" s="4" t="str">
        <v/>
      </c>
      <c r="F6810" s="102" t="str">
        <f ca="1">IFERROR(__xludf.DUMMYFUNCTION("IMPORTRANGE(H6810,""IDENTITAS UNIT!D9"")"),"#N/A")</f>
        <v>#N/A</v>
      </c>
      <c r="H6810" s="4" t="str">
        <v/>
      </c>
      <c r="I6810" s="4" t="str">
        <v/>
      </c>
    </row>
    <row r="6811" spans="5:9" ht="16.5" hidden="1">
      <c r="E6811" s="4" t="str">
        <v/>
      </c>
      <c r="F6811" s="102" t="str">
        <f ca="1">IFERROR(__xludf.DUMMYFUNCTION("IMPORTRANGE(H6811,""IDENTITAS UNIT!D9"")"),"#N/A")</f>
        <v>#N/A</v>
      </c>
      <c r="H6811" s="4" t="str">
        <v/>
      </c>
      <c r="I6811" s="4" t="str">
        <v/>
      </c>
    </row>
    <row r="6812" spans="5:9" ht="16.5" hidden="1">
      <c r="E6812" s="4" t="str">
        <v/>
      </c>
      <c r="F6812" s="102" t="str">
        <f ca="1">IFERROR(__xludf.DUMMYFUNCTION("IMPORTRANGE(H6812,""IDENTITAS UNIT!D9"")"),"#N/A")</f>
        <v>#N/A</v>
      </c>
      <c r="H6812" s="4" t="str">
        <v/>
      </c>
      <c r="I6812" s="4" t="str">
        <v/>
      </c>
    </row>
    <row r="6813" spans="5:9" ht="16.5" hidden="1">
      <c r="E6813" s="4" t="str">
        <v/>
      </c>
      <c r="F6813" s="102" t="str">
        <f ca="1">IFERROR(__xludf.DUMMYFUNCTION("IMPORTRANGE(H6813,""IDENTITAS UNIT!D9"")"),"#N/A")</f>
        <v>#N/A</v>
      </c>
      <c r="H6813" s="4" t="str">
        <v/>
      </c>
      <c r="I6813" s="4" t="str">
        <v/>
      </c>
    </row>
    <row r="6814" spans="5:9" ht="16.5" hidden="1">
      <c r="E6814" s="4" t="str">
        <v/>
      </c>
      <c r="F6814" s="102" t="str">
        <f ca="1">IFERROR(__xludf.DUMMYFUNCTION("IMPORTRANGE(H6814,""IDENTITAS UNIT!D9"")"),"#N/A")</f>
        <v>#N/A</v>
      </c>
      <c r="H6814" s="4" t="str">
        <v/>
      </c>
      <c r="I6814" s="4" t="str">
        <v/>
      </c>
    </row>
    <row r="6815" spans="5:9" ht="16.5" hidden="1">
      <c r="E6815" s="4" t="str">
        <v/>
      </c>
      <c r="F6815" s="102" t="str">
        <f ca="1">IFERROR(__xludf.DUMMYFUNCTION("IMPORTRANGE(H6815,""IDENTITAS UNIT!D9"")"),"#N/A")</f>
        <v>#N/A</v>
      </c>
      <c r="H6815" s="4" t="str">
        <v/>
      </c>
      <c r="I6815" s="4" t="str">
        <v/>
      </c>
    </row>
    <row r="6816" spans="5:9" ht="16.5" hidden="1">
      <c r="E6816" s="4" t="str">
        <v/>
      </c>
      <c r="F6816" s="102" t="str">
        <f ca="1">IFERROR(__xludf.DUMMYFUNCTION("IMPORTRANGE(H6816,""IDENTITAS UNIT!D9"")"),"#N/A")</f>
        <v>#N/A</v>
      </c>
      <c r="H6816" s="4" t="str">
        <v/>
      </c>
      <c r="I6816" s="4" t="str">
        <v/>
      </c>
    </row>
    <row r="6817" spans="5:9" ht="16.5" hidden="1">
      <c r="E6817" s="4" t="str">
        <v/>
      </c>
      <c r="F6817" s="102" t="str">
        <f ca="1">IFERROR(__xludf.DUMMYFUNCTION("IMPORTRANGE(H6817,""IDENTITAS UNIT!D9"")"),"#N/A")</f>
        <v>#N/A</v>
      </c>
      <c r="H6817" s="4" t="str">
        <v/>
      </c>
      <c r="I6817" s="4" t="str">
        <v/>
      </c>
    </row>
    <row r="6818" spans="5:9" ht="16.5" hidden="1">
      <c r="E6818" s="4" t="str">
        <v/>
      </c>
      <c r="F6818" s="102" t="str">
        <f ca="1">IFERROR(__xludf.DUMMYFUNCTION("IMPORTRANGE(H6818,""IDENTITAS UNIT!D9"")"),"#N/A")</f>
        <v>#N/A</v>
      </c>
      <c r="H6818" s="4" t="str">
        <v/>
      </c>
      <c r="I6818" s="4" t="str">
        <v/>
      </c>
    </row>
    <row r="6819" spans="5:9" ht="16.5" hidden="1">
      <c r="E6819" s="4" t="str">
        <v/>
      </c>
      <c r="F6819" s="102" t="str">
        <f ca="1">IFERROR(__xludf.DUMMYFUNCTION("IMPORTRANGE(H6819,""IDENTITAS UNIT!D9"")"),"#N/A")</f>
        <v>#N/A</v>
      </c>
      <c r="H6819" s="4" t="str">
        <v/>
      </c>
      <c r="I6819" s="4" t="str">
        <v/>
      </c>
    </row>
    <row r="6820" spans="5:9" ht="16.5" hidden="1">
      <c r="E6820" s="4" t="str">
        <v/>
      </c>
      <c r="F6820" s="102" t="str">
        <f ca="1">IFERROR(__xludf.DUMMYFUNCTION("IMPORTRANGE(H6820,""IDENTITAS UNIT!D9"")"),"#N/A")</f>
        <v>#N/A</v>
      </c>
      <c r="H6820" s="4" t="str">
        <v/>
      </c>
      <c r="I6820" s="4" t="str">
        <v/>
      </c>
    </row>
    <row r="6821" spans="5:9" ht="16.5" hidden="1">
      <c r="E6821" s="4" t="str">
        <v/>
      </c>
      <c r="F6821" s="102" t="str">
        <f ca="1">IFERROR(__xludf.DUMMYFUNCTION("IMPORTRANGE(H6821,""IDENTITAS UNIT!D9"")"),"#N/A")</f>
        <v>#N/A</v>
      </c>
      <c r="H6821" s="4" t="str">
        <v/>
      </c>
      <c r="I6821" s="4" t="str">
        <v/>
      </c>
    </row>
    <row r="6822" spans="5:9" ht="16.5" hidden="1">
      <c r="E6822" s="4" t="str">
        <v/>
      </c>
      <c r="F6822" s="102" t="str">
        <f ca="1">IFERROR(__xludf.DUMMYFUNCTION("IMPORTRANGE(H6822,""IDENTITAS UNIT!D9"")"),"#N/A")</f>
        <v>#N/A</v>
      </c>
      <c r="H6822" s="4" t="str">
        <v/>
      </c>
      <c r="I6822" s="4" t="str">
        <v/>
      </c>
    </row>
    <row r="6823" spans="5:9" ht="16.5" hidden="1">
      <c r="E6823" s="4" t="str">
        <v/>
      </c>
      <c r="F6823" s="102" t="str">
        <f ca="1">IFERROR(__xludf.DUMMYFUNCTION("IMPORTRANGE(H6823,""IDENTITAS UNIT!D9"")"),"#N/A")</f>
        <v>#N/A</v>
      </c>
      <c r="H6823" s="4" t="str">
        <v/>
      </c>
      <c r="I6823" s="4" t="str">
        <v/>
      </c>
    </row>
    <row r="6824" spans="5:9" ht="16.5" hidden="1">
      <c r="E6824" s="4" t="str">
        <v/>
      </c>
      <c r="F6824" s="102" t="str">
        <f ca="1">IFERROR(__xludf.DUMMYFUNCTION("IMPORTRANGE(H6824,""IDENTITAS UNIT!D9"")"),"#N/A")</f>
        <v>#N/A</v>
      </c>
      <c r="H6824" s="4" t="str">
        <v/>
      </c>
      <c r="I6824" s="4" t="str">
        <v/>
      </c>
    </row>
    <row r="6825" spans="5:9" ht="16.5" hidden="1">
      <c r="E6825" s="4" t="str">
        <v/>
      </c>
      <c r="F6825" s="102" t="str">
        <f ca="1">IFERROR(__xludf.DUMMYFUNCTION("IMPORTRANGE(H6825,""IDENTITAS UNIT!D9"")"),"#N/A")</f>
        <v>#N/A</v>
      </c>
      <c r="H6825" s="4" t="str">
        <v/>
      </c>
      <c r="I6825" s="4" t="str">
        <v/>
      </c>
    </row>
    <row r="6826" spans="5:9" ht="16.5" hidden="1">
      <c r="E6826" s="4" t="str">
        <v/>
      </c>
      <c r="F6826" s="102" t="str">
        <f ca="1">IFERROR(__xludf.DUMMYFUNCTION("IMPORTRANGE(H6826,""IDENTITAS UNIT!D9"")"),"#N/A")</f>
        <v>#N/A</v>
      </c>
      <c r="H6826" s="4" t="str">
        <v/>
      </c>
      <c r="I6826" s="4" t="str">
        <v/>
      </c>
    </row>
    <row r="6827" spans="5:9" ht="16.5" hidden="1">
      <c r="E6827" s="4" t="str">
        <v/>
      </c>
      <c r="F6827" s="102" t="str">
        <f ca="1">IFERROR(__xludf.DUMMYFUNCTION("IMPORTRANGE(H6827,""IDENTITAS UNIT!D9"")"),"#N/A")</f>
        <v>#N/A</v>
      </c>
      <c r="H6827" s="4" t="str">
        <v/>
      </c>
      <c r="I6827" s="4" t="str">
        <v/>
      </c>
    </row>
    <row r="6828" spans="5:9" ht="16.5" hidden="1">
      <c r="E6828" s="4" t="str">
        <v/>
      </c>
      <c r="F6828" s="102" t="str">
        <f ca="1">IFERROR(__xludf.DUMMYFUNCTION("IMPORTRANGE(H6828,""IDENTITAS UNIT!D9"")"),"#N/A")</f>
        <v>#N/A</v>
      </c>
      <c r="H6828" s="4" t="str">
        <v/>
      </c>
      <c r="I6828" s="4" t="str">
        <v/>
      </c>
    </row>
    <row r="6829" spans="5:9" ht="16.5" hidden="1">
      <c r="E6829" s="4" t="str">
        <v/>
      </c>
      <c r="F6829" s="102" t="str">
        <f ca="1">IFERROR(__xludf.DUMMYFUNCTION("IMPORTRANGE(H6829,""IDENTITAS UNIT!D9"")"),"#N/A")</f>
        <v>#N/A</v>
      </c>
      <c r="H6829" s="4" t="str">
        <v/>
      </c>
      <c r="I6829" s="4" t="str">
        <v/>
      </c>
    </row>
    <row r="6830" spans="5:9" ht="16.5" hidden="1">
      <c r="E6830" s="4" t="str">
        <v/>
      </c>
      <c r="F6830" s="102" t="str">
        <f ca="1">IFERROR(__xludf.DUMMYFUNCTION("IMPORTRANGE(H6830,""IDENTITAS UNIT!D9"")"),"#N/A")</f>
        <v>#N/A</v>
      </c>
      <c r="H6830" s="4" t="str">
        <v/>
      </c>
      <c r="I6830" s="4" t="str">
        <v/>
      </c>
    </row>
    <row r="6831" spans="5:9" ht="16.5" hidden="1">
      <c r="E6831" s="4" t="str">
        <v/>
      </c>
      <c r="F6831" s="102" t="str">
        <f ca="1">IFERROR(__xludf.DUMMYFUNCTION("IMPORTRANGE(H6831,""IDENTITAS UNIT!D9"")"),"#N/A")</f>
        <v>#N/A</v>
      </c>
      <c r="H6831" s="4" t="str">
        <v/>
      </c>
      <c r="I6831" s="4" t="str">
        <v/>
      </c>
    </row>
    <row r="6832" spans="5:9" ht="16.5" hidden="1">
      <c r="E6832" s="4" t="str">
        <v/>
      </c>
      <c r="F6832" s="102" t="str">
        <f ca="1">IFERROR(__xludf.DUMMYFUNCTION("IMPORTRANGE(H6832,""IDENTITAS UNIT!D9"")"),"#N/A")</f>
        <v>#N/A</v>
      </c>
      <c r="H6832" s="4" t="str">
        <v/>
      </c>
      <c r="I6832" s="4" t="str">
        <v/>
      </c>
    </row>
    <row r="6833" spans="5:9" ht="16.5" hidden="1">
      <c r="E6833" s="4" t="str">
        <v/>
      </c>
      <c r="F6833" s="102" t="str">
        <f ca="1">IFERROR(__xludf.DUMMYFUNCTION("IMPORTRANGE(H6833,""IDENTITAS UNIT!D9"")"),"#N/A")</f>
        <v>#N/A</v>
      </c>
      <c r="H6833" s="4" t="str">
        <v/>
      </c>
      <c r="I6833" s="4" t="str">
        <v/>
      </c>
    </row>
    <row r="6834" spans="5:9" ht="16.5" hidden="1">
      <c r="E6834" s="4" t="str">
        <v/>
      </c>
      <c r="F6834" s="102" t="str">
        <f ca="1">IFERROR(__xludf.DUMMYFUNCTION("IMPORTRANGE(H6834,""IDENTITAS UNIT!D9"")"),"#N/A")</f>
        <v>#N/A</v>
      </c>
      <c r="H6834" s="4" t="str">
        <v/>
      </c>
      <c r="I6834" s="4" t="str">
        <v/>
      </c>
    </row>
    <row r="6835" spans="5:9" ht="16.5" hidden="1">
      <c r="E6835" s="4" t="str">
        <v/>
      </c>
      <c r="F6835" s="102" t="str">
        <f ca="1">IFERROR(__xludf.DUMMYFUNCTION("IMPORTRANGE(H6835,""IDENTITAS UNIT!D9"")"),"#N/A")</f>
        <v>#N/A</v>
      </c>
      <c r="H6835" s="4" t="str">
        <v/>
      </c>
      <c r="I6835" s="4" t="str">
        <v/>
      </c>
    </row>
    <row r="6836" spans="5:9" ht="16.5" hidden="1">
      <c r="E6836" s="4" t="str">
        <v/>
      </c>
      <c r="F6836" s="102" t="str">
        <f ca="1">IFERROR(__xludf.DUMMYFUNCTION("IMPORTRANGE(H6836,""IDENTITAS UNIT!D9"")"),"#N/A")</f>
        <v>#N/A</v>
      </c>
      <c r="H6836" s="4" t="str">
        <v/>
      </c>
      <c r="I6836" s="4" t="str">
        <v/>
      </c>
    </row>
    <row r="6837" spans="5:9" ht="16.5" hidden="1">
      <c r="E6837" s="4" t="str">
        <v/>
      </c>
      <c r="F6837" s="102" t="str">
        <f ca="1">IFERROR(__xludf.DUMMYFUNCTION("IMPORTRANGE(H6837,""IDENTITAS UNIT!D9"")"),"#N/A")</f>
        <v>#N/A</v>
      </c>
      <c r="H6837" s="4" t="str">
        <v/>
      </c>
      <c r="I6837" s="4" t="str">
        <v/>
      </c>
    </row>
    <row r="6838" spans="5:9" ht="16.5" hidden="1">
      <c r="E6838" s="4" t="str">
        <v/>
      </c>
      <c r="F6838" s="102" t="str">
        <f ca="1">IFERROR(__xludf.DUMMYFUNCTION("IMPORTRANGE(H6838,""IDENTITAS UNIT!D9"")"),"#N/A")</f>
        <v>#N/A</v>
      </c>
      <c r="H6838" s="4" t="str">
        <v/>
      </c>
      <c r="I6838" s="4" t="str">
        <v/>
      </c>
    </row>
    <row r="6839" spans="5:9" ht="16.5" hidden="1">
      <c r="E6839" s="4" t="str">
        <v/>
      </c>
      <c r="F6839" s="102" t="str">
        <f ca="1">IFERROR(__xludf.DUMMYFUNCTION("IMPORTRANGE(H6839,""IDENTITAS UNIT!D9"")"),"#N/A")</f>
        <v>#N/A</v>
      </c>
      <c r="H6839" s="4" t="str">
        <v/>
      </c>
      <c r="I6839" s="4" t="str">
        <v/>
      </c>
    </row>
    <row r="6840" spans="5:9" ht="16.5" hidden="1">
      <c r="E6840" s="4" t="str">
        <v/>
      </c>
      <c r="F6840" s="102" t="str">
        <f ca="1">IFERROR(__xludf.DUMMYFUNCTION("IMPORTRANGE(H6840,""IDENTITAS UNIT!D9"")"),"#N/A")</f>
        <v>#N/A</v>
      </c>
      <c r="H6840" s="4" t="str">
        <v/>
      </c>
      <c r="I6840" s="4" t="str">
        <v/>
      </c>
    </row>
    <row r="6841" spans="5:9" ht="16.5" hidden="1">
      <c r="E6841" s="4" t="str">
        <v/>
      </c>
      <c r="F6841" s="102" t="str">
        <f ca="1">IFERROR(__xludf.DUMMYFUNCTION("IMPORTRANGE(H6841,""IDENTITAS UNIT!D9"")"),"#N/A")</f>
        <v>#N/A</v>
      </c>
      <c r="H6841" s="4" t="str">
        <v/>
      </c>
      <c r="I6841" s="4" t="str">
        <v/>
      </c>
    </row>
    <row r="6842" spans="5:9" ht="16.5" hidden="1">
      <c r="E6842" s="4" t="str">
        <v/>
      </c>
      <c r="F6842" s="102" t="str">
        <f ca="1">IFERROR(__xludf.DUMMYFUNCTION("IMPORTRANGE(H6842,""IDENTITAS UNIT!D9"")"),"#N/A")</f>
        <v>#N/A</v>
      </c>
      <c r="H6842" s="4" t="str">
        <v/>
      </c>
      <c r="I6842" s="4" t="str">
        <v/>
      </c>
    </row>
    <row r="6843" spans="5:9" ht="16.5" hidden="1">
      <c r="E6843" s="4" t="str">
        <v/>
      </c>
      <c r="F6843" s="102" t="str">
        <f ca="1">IFERROR(__xludf.DUMMYFUNCTION("IMPORTRANGE(H6843,""IDENTITAS UNIT!D9"")"),"#N/A")</f>
        <v>#N/A</v>
      </c>
      <c r="H6843" s="4" t="str">
        <v/>
      </c>
      <c r="I6843" s="4" t="str">
        <v/>
      </c>
    </row>
    <row r="6844" spans="5:9" ht="16.5" hidden="1">
      <c r="E6844" s="4" t="str">
        <v/>
      </c>
      <c r="F6844" s="102" t="str">
        <f ca="1">IFERROR(__xludf.DUMMYFUNCTION("IMPORTRANGE(H6844,""IDENTITAS UNIT!D9"")"),"#N/A")</f>
        <v>#N/A</v>
      </c>
      <c r="H6844" s="4" t="str">
        <v/>
      </c>
      <c r="I6844" s="4" t="str">
        <v/>
      </c>
    </row>
    <row r="6845" spans="5:9" ht="16.5" hidden="1">
      <c r="E6845" s="4" t="str">
        <v/>
      </c>
      <c r="F6845" s="102" t="str">
        <f ca="1">IFERROR(__xludf.DUMMYFUNCTION("IMPORTRANGE(H6845,""IDENTITAS UNIT!D9"")"),"#N/A")</f>
        <v>#N/A</v>
      </c>
      <c r="H6845" s="4" t="str">
        <v/>
      </c>
      <c r="I6845" s="4" t="str">
        <v/>
      </c>
    </row>
    <row r="6846" spans="5:9" ht="16.5" hidden="1">
      <c r="E6846" s="4" t="str">
        <v/>
      </c>
      <c r="F6846" s="102" t="str">
        <f ca="1">IFERROR(__xludf.DUMMYFUNCTION("IMPORTRANGE(H6846,""IDENTITAS UNIT!D9"")"),"#N/A")</f>
        <v>#N/A</v>
      </c>
      <c r="H6846" s="4" t="str">
        <v/>
      </c>
      <c r="I6846" s="4" t="str">
        <v/>
      </c>
    </row>
    <row r="6847" spans="5:9" ht="16.5" hidden="1">
      <c r="E6847" s="4" t="str">
        <v/>
      </c>
      <c r="F6847" s="102" t="str">
        <f ca="1">IFERROR(__xludf.DUMMYFUNCTION("IMPORTRANGE(H6847,""IDENTITAS UNIT!D9"")"),"#N/A")</f>
        <v>#N/A</v>
      </c>
      <c r="H6847" s="4" t="str">
        <v/>
      </c>
      <c r="I6847" s="4" t="str">
        <v/>
      </c>
    </row>
    <row r="6848" spans="5:9" ht="16.5" hidden="1">
      <c r="E6848" s="4" t="str">
        <v/>
      </c>
      <c r="F6848" s="102" t="str">
        <f ca="1">IFERROR(__xludf.DUMMYFUNCTION("IMPORTRANGE(H6848,""IDENTITAS UNIT!D9"")"),"#N/A")</f>
        <v>#N/A</v>
      </c>
      <c r="H6848" s="4" t="str">
        <v/>
      </c>
      <c r="I6848" s="4" t="str">
        <v/>
      </c>
    </row>
    <row r="6849" spans="5:9" ht="16.5" hidden="1">
      <c r="E6849" s="4" t="str">
        <v/>
      </c>
      <c r="F6849" s="102" t="str">
        <f ca="1">IFERROR(__xludf.DUMMYFUNCTION("IMPORTRANGE(H6849,""IDENTITAS UNIT!D9"")"),"#N/A")</f>
        <v>#N/A</v>
      </c>
      <c r="H6849" s="4" t="str">
        <v/>
      </c>
      <c r="I6849" s="4" t="str">
        <v/>
      </c>
    </row>
    <row r="6850" spans="5:9" ht="16.5" hidden="1">
      <c r="E6850" s="4" t="str">
        <v/>
      </c>
      <c r="F6850" s="102" t="str">
        <f ca="1">IFERROR(__xludf.DUMMYFUNCTION("IMPORTRANGE(H6850,""IDENTITAS UNIT!D9"")"),"#N/A")</f>
        <v>#N/A</v>
      </c>
      <c r="H6850" s="4" t="str">
        <v/>
      </c>
      <c r="I6850" s="4" t="str">
        <v/>
      </c>
    </row>
    <row r="6851" spans="5:9" ht="16.5" hidden="1">
      <c r="E6851" s="4" t="str">
        <v/>
      </c>
      <c r="F6851" s="102" t="str">
        <f ca="1">IFERROR(__xludf.DUMMYFUNCTION("IMPORTRANGE(H6851,""IDENTITAS UNIT!D9"")"),"#N/A")</f>
        <v>#N/A</v>
      </c>
      <c r="H6851" s="4" t="str">
        <v/>
      </c>
      <c r="I6851" s="4" t="str">
        <v/>
      </c>
    </row>
    <row r="6852" spans="5:9" ht="16.5" hidden="1">
      <c r="E6852" s="4" t="str">
        <v/>
      </c>
      <c r="F6852" s="102" t="str">
        <f ca="1">IFERROR(__xludf.DUMMYFUNCTION("IMPORTRANGE(H6852,""IDENTITAS UNIT!D9"")"),"#N/A")</f>
        <v>#N/A</v>
      </c>
      <c r="H6852" s="4" t="str">
        <v/>
      </c>
      <c r="I6852" s="4" t="str">
        <v/>
      </c>
    </row>
    <row r="6853" spans="5:9" ht="16.5" hidden="1">
      <c r="E6853" s="4" t="str">
        <v/>
      </c>
      <c r="F6853" s="102" t="str">
        <f ca="1">IFERROR(__xludf.DUMMYFUNCTION("IMPORTRANGE(H6853,""IDENTITAS UNIT!D9"")"),"#N/A")</f>
        <v>#N/A</v>
      </c>
      <c r="H6853" s="4" t="str">
        <v/>
      </c>
      <c r="I6853" s="4" t="str">
        <v/>
      </c>
    </row>
    <row r="6854" spans="5:9" ht="16.5" hidden="1">
      <c r="E6854" s="4" t="str">
        <v/>
      </c>
      <c r="F6854" s="102" t="str">
        <f ca="1">IFERROR(__xludf.DUMMYFUNCTION("IMPORTRANGE(H6854,""IDENTITAS UNIT!D9"")"),"#N/A")</f>
        <v>#N/A</v>
      </c>
      <c r="H6854" s="4" t="str">
        <v/>
      </c>
      <c r="I6854" s="4" t="str">
        <v/>
      </c>
    </row>
    <row r="6855" spans="5:9" ht="16.5" hidden="1">
      <c r="E6855" s="4" t="str">
        <v/>
      </c>
      <c r="F6855" s="102" t="str">
        <f ca="1">IFERROR(__xludf.DUMMYFUNCTION("IMPORTRANGE(H6855,""IDENTITAS UNIT!D9"")"),"#N/A")</f>
        <v>#N/A</v>
      </c>
      <c r="H6855" s="4" t="str">
        <v/>
      </c>
      <c r="I6855" s="4" t="str">
        <v/>
      </c>
    </row>
    <row r="6856" spans="5:9" ht="16.5" hidden="1">
      <c r="E6856" s="4" t="str">
        <v/>
      </c>
      <c r="F6856" s="102" t="str">
        <f ca="1">IFERROR(__xludf.DUMMYFUNCTION("IMPORTRANGE(H6856,""IDENTITAS UNIT!D9"")"),"#N/A")</f>
        <v>#N/A</v>
      </c>
      <c r="H6856" s="4" t="str">
        <v/>
      </c>
      <c r="I6856" s="4" t="str">
        <v/>
      </c>
    </row>
    <row r="6857" spans="5:9" ht="16.5" hidden="1">
      <c r="E6857" s="4" t="str">
        <v/>
      </c>
      <c r="F6857" s="102" t="str">
        <f ca="1">IFERROR(__xludf.DUMMYFUNCTION("IMPORTRANGE(H6857,""IDENTITAS UNIT!D9"")"),"#N/A")</f>
        <v>#N/A</v>
      </c>
      <c r="H6857" s="4" t="str">
        <v/>
      </c>
      <c r="I6857" s="4" t="str">
        <v/>
      </c>
    </row>
    <row r="6858" spans="5:9" ht="16.5" hidden="1">
      <c r="E6858" s="4" t="str">
        <v/>
      </c>
      <c r="F6858" s="102" t="str">
        <f ca="1">IFERROR(__xludf.DUMMYFUNCTION("IMPORTRANGE(H6858,""IDENTITAS UNIT!D9"")"),"#N/A")</f>
        <v>#N/A</v>
      </c>
      <c r="H6858" s="4" t="str">
        <v/>
      </c>
      <c r="I6858" s="4" t="str">
        <v/>
      </c>
    </row>
    <row r="6859" spans="5:9" ht="16.5" hidden="1">
      <c r="E6859" s="4" t="str">
        <v/>
      </c>
      <c r="F6859" s="102" t="str">
        <f ca="1">IFERROR(__xludf.DUMMYFUNCTION("IMPORTRANGE(H6859,""IDENTITAS UNIT!D9"")"),"#N/A")</f>
        <v>#N/A</v>
      </c>
      <c r="H6859" s="4" t="str">
        <v/>
      </c>
      <c r="I6859" s="4" t="str">
        <v/>
      </c>
    </row>
    <row r="6860" spans="5:9" ht="16.5" hidden="1">
      <c r="E6860" s="4" t="str">
        <v/>
      </c>
      <c r="F6860" s="102" t="str">
        <f ca="1">IFERROR(__xludf.DUMMYFUNCTION("IMPORTRANGE(H6860,""IDENTITAS UNIT!D9"")"),"#N/A")</f>
        <v>#N/A</v>
      </c>
      <c r="H6860" s="4" t="str">
        <v/>
      </c>
      <c r="I6860" s="4" t="str">
        <v/>
      </c>
    </row>
    <row r="6861" spans="5:9" ht="16.5" hidden="1">
      <c r="E6861" s="4" t="str">
        <v/>
      </c>
      <c r="F6861" s="102" t="str">
        <f ca="1">IFERROR(__xludf.DUMMYFUNCTION("IMPORTRANGE(H6861,""IDENTITAS UNIT!D9"")"),"#N/A")</f>
        <v>#N/A</v>
      </c>
      <c r="H6861" s="4" t="str">
        <v/>
      </c>
      <c r="I6861" s="4" t="str">
        <v/>
      </c>
    </row>
    <row r="6862" spans="5:9" ht="16.5" hidden="1">
      <c r="E6862" s="4" t="str">
        <v/>
      </c>
      <c r="F6862" s="102" t="str">
        <f ca="1">IFERROR(__xludf.DUMMYFUNCTION("IMPORTRANGE(H6862,""IDENTITAS UNIT!D9"")"),"#N/A")</f>
        <v>#N/A</v>
      </c>
      <c r="H6862" s="4" t="str">
        <v/>
      </c>
      <c r="I6862" s="4" t="str">
        <v/>
      </c>
    </row>
    <row r="6863" spans="5:9" ht="16.5" hidden="1">
      <c r="E6863" s="4" t="str">
        <v/>
      </c>
      <c r="F6863" s="102" t="str">
        <f ca="1">IFERROR(__xludf.DUMMYFUNCTION("IMPORTRANGE(H6863,""IDENTITAS UNIT!D9"")"),"#N/A")</f>
        <v>#N/A</v>
      </c>
      <c r="H6863" s="4" t="str">
        <v/>
      </c>
      <c r="I6863" s="4" t="str">
        <v/>
      </c>
    </row>
    <row r="6864" spans="5:9" ht="16.5" hidden="1">
      <c r="E6864" s="4" t="str">
        <v/>
      </c>
      <c r="F6864" s="102" t="str">
        <f ca="1">IFERROR(__xludf.DUMMYFUNCTION("IMPORTRANGE(H6864,""IDENTITAS UNIT!D9"")"),"#N/A")</f>
        <v>#N/A</v>
      </c>
      <c r="H6864" s="4" t="str">
        <v/>
      </c>
      <c r="I6864" s="4" t="str">
        <v/>
      </c>
    </row>
    <row r="6865" spans="5:9" ht="16.5" hidden="1">
      <c r="E6865" s="4" t="str">
        <v/>
      </c>
      <c r="F6865" s="102" t="str">
        <f ca="1">IFERROR(__xludf.DUMMYFUNCTION("IMPORTRANGE(H6865,""IDENTITAS UNIT!D9"")"),"#N/A")</f>
        <v>#N/A</v>
      </c>
      <c r="H6865" s="4" t="str">
        <v/>
      </c>
      <c r="I6865" s="4" t="str">
        <v/>
      </c>
    </row>
    <row r="6866" spans="5:9" ht="16.5" hidden="1">
      <c r="E6866" s="4" t="str">
        <v/>
      </c>
      <c r="F6866" s="102" t="str">
        <f ca="1">IFERROR(__xludf.DUMMYFUNCTION("IMPORTRANGE(H6866,""IDENTITAS UNIT!D9"")"),"#N/A")</f>
        <v>#N/A</v>
      </c>
      <c r="H6866" s="4" t="str">
        <v/>
      </c>
      <c r="I6866" s="4" t="str">
        <v/>
      </c>
    </row>
    <row r="6867" spans="5:9" ht="16.5" hidden="1">
      <c r="E6867" s="4" t="str">
        <v/>
      </c>
      <c r="F6867" s="102" t="str">
        <f ca="1">IFERROR(__xludf.DUMMYFUNCTION("IMPORTRANGE(H6867,""IDENTITAS UNIT!D9"")"),"#N/A")</f>
        <v>#N/A</v>
      </c>
      <c r="H6867" s="4" t="str">
        <v/>
      </c>
      <c r="I6867" s="4" t="str">
        <v/>
      </c>
    </row>
    <row r="6868" spans="5:9" ht="16.5" hidden="1">
      <c r="E6868" s="4" t="str">
        <v/>
      </c>
      <c r="F6868" s="102" t="str">
        <f ca="1">IFERROR(__xludf.DUMMYFUNCTION("IMPORTRANGE(H6868,""IDENTITAS UNIT!D9"")"),"#N/A")</f>
        <v>#N/A</v>
      </c>
      <c r="H6868" s="4" t="str">
        <v/>
      </c>
      <c r="I6868" s="4" t="str">
        <v/>
      </c>
    </row>
    <row r="6869" spans="5:9" ht="16.5" hidden="1">
      <c r="E6869" s="4" t="str">
        <v/>
      </c>
      <c r="F6869" s="102" t="str">
        <f ca="1">IFERROR(__xludf.DUMMYFUNCTION("IMPORTRANGE(H6869,""IDENTITAS UNIT!D9"")"),"#N/A")</f>
        <v>#N/A</v>
      </c>
      <c r="H6869" s="4" t="str">
        <v/>
      </c>
      <c r="I6869" s="4" t="str">
        <v/>
      </c>
    </row>
    <row r="6870" spans="5:9" ht="16.5" hidden="1">
      <c r="E6870" s="4" t="str">
        <v/>
      </c>
      <c r="F6870" s="102" t="str">
        <f ca="1">IFERROR(__xludf.DUMMYFUNCTION("IMPORTRANGE(H6870,""IDENTITAS UNIT!D9"")"),"#N/A")</f>
        <v>#N/A</v>
      </c>
      <c r="H6870" s="4" t="str">
        <v/>
      </c>
      <c r="I6870" s="4" t="str">
        <v/>
      </c>
    </row>
    <row r="6871" spans="5:9" ht="16.5" hidden="1">
      <c r="E6871" s="4" t="str">
        <v/>
      </c>
      <c r="F6871" s="102" t="str">
        <f ca="1">IFERROR(__xludf.DUMMYFUNCTION("IMPORTRANGE(H6871,""IDENTITAS UNIT!D9"")"),"#N/A")</f>
        <v>#N/A</v>
      </c>
      <c r="H6871" s="4" t="str">
        <v/>
      </c>
      <c r="I6871" s="4" t="str">
        <v/>
      </c>
    </row>
    <row r="6872" spans="5:9" ht="16.5" hidden="1">
      <c r="E6872" s="4" t="str">
        <v/>
      </c>
      <c r="F6872" s="102" t="str">
        <f ca="1">IFERROR(__xludf.DUMMYFUNCTION("IMPORTRANGE(H6872,""IDENTITAS UNIT!D9"")"),"#N/A")</f>
        <v>#N/A</v>
      </c>
      <c r="H6872" s="4" t="str">
        <v/>
      </c>
      <c r="I6872" s="4" t="str">
        <v/>
      </c>
    </row>
    <row r="6873" spans="5:9" ht="16.5" hidden="1">
      <c r="E6873" s="4" t="str">
        <v/>
      </c>
      <c r="F6873" s="102" t="str">
        <f ca="1">IFERROR(__xludf.DUMMYFUNCTION("IMPORTRANGE(H6873,""IDENTITAS UNIT!D9"")"),"#N/A")</f>
        <v>#N/A</v>
      </c>
      <c r="H6873" s="4" t="str">
        <v/>
      </c>
      <c r="I6873" s="4" t="str">
        <v/>
      </c>
    </row>
    <row r="6874" spans="5:9" ht="16.5" hidden="1">
      <c r="E6874" s="4" t="str">
        <v/>
      </c>
      <c r="F6874" s="102" t="str">
        <f ca="1">IFERROR(__xludf.DUMMYFUNCTION("IMPORTRANGE(H6874,""IDENTITAS UNIT!D9"")"),"#N/A")</f>
        <v>#N/A</v>
      </c>
      <c r="H6874" s="4" t="str">
        <v/>
      </c>
      <c r="I6874" s="4" t="str">
        <v/>
      </c>
    </row>
    <row r="6875" spans="5:9" ht="16.5" hidden="1">
      <c r="E6875" s="4" t="str">
        <v/>
      </c>
      <c r="F6875" s="102" t="str">
        <f ca="1">IFERROR(__xludf.DUMMYFUNCTION("IMPORTRANGE(H6875,""IDENTITAS UNIT!D9"")"),"#N/A")</f>
        <v>#N/A</v>
      </c>
      <c r="H6875" s="4" t="str">
        <v/>
      </c>
      <c r="I6875" s="4" t="str">
        <v/>
      </c>
    </row>
    <row r="6876" spans="5:9" ht="16.5" hidden="1">
      <c r="E6876" s="4" t="str">
        <v/>
      </c>
      <c r="F6876" s="102" t="str">
        <f ca="1">IFERROR(__xludf.DUMMYFUNCTION("IMPORTRANGE(H6876,""IDENTITAS UNIT!D9"")"),"#N/A")</f>
        <v>#N/A</v>
      </c>
      <c r="H6876" s="4" t="str">
        <v/>
      </c>
      <c r="I6876" s="4" t="str">
        <v/>
      </c>
    </row>
    <row r="6877" spans="5:9" ht="16.5" hidden="1">
      <c r="E6877" s="4" t="str">
        <v/>
      </c>
      <c r="F6877" s="102" t="str">
        <f ca="1">IFERROR(__xludf.DUMMYFUNCTION("IMPORTRANGE(H6877,""IDENTITAS UNIT!D9"")"),"#N/A")</f>
        <v>#N/A</v>
      </c>
      <c r="H6877" s="4" t="str">
        <v/>
      </c>
      <c r="I6877" s="4" t="str">
        <v/>
      </c>
    </row>
    <row r="6878" spans="5:9" ht="16.5" hidden="1">
      <c r="E6878" s="4" t="str">
        <v/>
      </c>
      <c r="F6878" s="102" t="str">
        <f ca="1">IFERROR(__xludf.DUMMYFUNCTION("IMPORTRANGE(H6878,""IDENTITAS UNIT!D9"")"),"#N/A")</f>
        <v>#N/A</v>
      </c>
      <c r="H6878" s="4" t="str">
        <v/>
      </c>
      <c r="I6878" s="4" t="str">
        <v/>
      </c>
    </row>
    <row r="6879" spans="5:9" ht="16.5" hidden="1">
      <c r="E6879" s="4" t="str">
        <v/>
      </c>
      <c r="F6879" s="102" t="str">
        <f ca="1">IFERROR(__xludf.DUMMYFUNCTION("IMPORTRANGE(H6879,""IDENTITAS UNIT!D9"")"),"#N/A")</f>
        <v>#N/A</v>
      </c>
      <c r="H6879" s="4" t="str">
        <v/>
      </c>
      <c r="I6879" s="4" t="str">
        <v/>
      </c>
    </row>
    <row r="6880" spans="5:9" ht="16.5" hidden="1">
      <c r="E6880" s="4" t="str">
        <v/>
      </c>
      <c r="F6880" s="102" t="str">
        <f ca="1">IFERROR(__xludf.DUMMYFUNCTION("IMPORTRANGE(H6880,""IDENTITAS UNIT!D9"")"),"#N/A")</f>
        <v>#N/A</v>
      </c>
      <c r="H6880" s="4" t="str">
        <v/>
      </c>
      <c r="I6880" s="4" t="str">
        <v/>
      </c>
    </row>
    <row r="6881" spans="5:9" ht="16.5" hidden="1">
      <c r="E6881" s="4" t="str">
        <v/>
      </c>
      <c r="F6881" s="102" t="str">
        <f ca="1">IFERROR(__xludf.DUMMYFUNCTION("IMPORTRANGE(H6881,""IDENTITAS UNIT!D9"")"),"#N/A")</f>
        <v>#N/A</v>
      </c>
      <c r="H6881" s="4" t="str">
        <v/>
      </c>
      <c r="I6881" s="4" t="str">
        <v/>
      </c>
    </row>
    <row r="6882" spans="5:9" ht="16.5" hidden="1">
      <c r="E6882" s="4" t="str">
        <v/>
      </c>
      <c r="F6882" s="102" t="str">
        <f ca="1">IFERROR(__xludf.DUMMYFUNCTION("IMPORTRANGE(H6882,""IDENTITAS UNIT!D9"")"),"#N/A")</f>
        <v>#N/A</v>
      </c>
      <c r="H6882" s="4" t="str">
        <v/>
      </c>
      <c r="I6882" s="4" t="str">
        <v/>
      </c>
    </row>
    <row r="6883" spans="5:9" ht="16.5" hidden="1">
      <c r="E6883" s="4" t="str">
        <v/>
      </c>
      <c r="F6883" s="102" t="str">
        <f ca="1">IFERROR(__xludf.DUMMYFUNCTION("IMPORTRANGE(H6883,""IDENTITAS UNIT!D9"")"),"#N/A")</f>
        <v>#N/A</v>
      </c>
      <c r="H6883" s="4" t="str">
        <v/>
      </c>
      <c r="I6883" s="4" t="str">
        <v/>
      </c>
    </row>
    <row r="6884" spans="5:9" ht="16.5" hidden="1">
      <c r="E6884" s="4" t="str">
        <v/>
      </c>
      <c r="F6884" s="102" t="str">
        <f ca="1">IFERROR(__xludf.DUMMYFUNCTION("IMPORTRANGE(H6884,""IDENTITAS UNIT!D9"")"),"#N/A")</f>
        <v>#N/A</v>
      </c>
      <c r="H6884" s="4" t="str">
        <v/>
      </c>
      <c r="I6884" s="4" t="str">
        <v/>
      </c>
    </row>
    <row r="6885" spans="5:9" ht="16.5" hidden="1">
      <c r="E6885" s="4" t="str">
        <v/>
      </c>
      <c r="F6885" s="102" t="str">
        <f ca="1">IFERROR(__xludf.DUMMYFUNCTION("IMPORTRANGE(H6885,""IDENTITAS UNIT!D9"")"),"#N/A")</f>
        <v>#N/A</v>
      </c>
      <c r="H6885" s="4" t="str">
        <v/>
      </c>
      <c r="I6885" s="4" t="str">
        <v/>
      </c>
    </row>
    <row r="6886" spans="5:9" ht="16.5" hidden="1">
      <c r="E6886" s="4" t="str">
        <v/>
      </c>
      <c r="F6886" s="102" t="str">
        <f ca="1">IFERROR(__xludf.DUMMYFUNCTION("IMPORTRANGE(H6886,""IDENTITAS UNIT!D9"")"),"#N/A")</f>
        <v>#N/A</v>
      </c>
      <c r="H6886" s="4" t="str">
        <v/>
      </c>
      <c r="I6886" s="4" t="str">
        <v/>
      </c>
    </row>
    <row r="6887" spans="5:9" ht="16.5" hidden="1">
      <c r="E6887" s="4" t="str">
        <v/>
      </c>
      <c r="F6887" s="102" t="str">
        <f ca="1">IFERROR(__xludf.DUMMYFUNCTION("IMPORTRANGE(H6887,""IDENTITAS UNIT!D9"")"),"#N/A")</f>
        <v>#N/A</v>
      </c>
      <c r="H6887" s="4" t="str">
        <v/>
      </c>
      <c r="I6887" s="4" t="str">
        <v/>
      </c>
    </row>
    <row r="6888" spans="5:9" ht="16.5" hidden="1">
      <c r="E6888" s="4" t="str">
        <v/>
      </c>
      <c r="F6888" s="102" t="str">
        <f ca="1">IFERROR(__xludf.DUMMYFUNCTION("IMPORTRANGE(H6888,""IDENTITAS UNIT!D9"")"),"#N/A")</f>
        <v>#N/A</v>
      </c>
      <c r="H6888" s="4" t="str">
        <v/>
      </c>
      <c r="I6888" s="4" t="str">
        <v/>
      </c>
    </row>
    <row r="6889" spans="5:9" ht="16.5" hidden="1">
      <c r="E6889" s="4" t="str">
        <v/>
      </c>
      <c r="F6889" s="102" t="str">
        <f ca="1">IFERROR(__xludf.DUMMYFUNCTION("IMPORTRANGE(H6889,""IDENTITAS UNIT!D9"")"),"#N/A")</f>
        <v>#N/A</v>
      </c>
      <c r="H6889" s="4" t="str">
        <v/>
      </c>
      <c r="I6889" s="4" t="str">
        <v/>
      </c>
    </row>
    <row r="6890" spans="5:9" ht="16.5" hidden="1">
      <c r="E6890" s="4" t="str">
        <v/>
      </c>
      <c r="F6890" s="102" t="str">
        <f ca="1">IFERROR(__xludf.DUMMYFUNCTION("IMPORTRANGE(H6890,""IDENTITAS UNIT!D9"")"),"#N/A")</f>
        <v>#N/A</v>
      </c>
      <c r="H6890" s="4" t="str">
        <v/>
      </c>
      <c r="I6890" s="4" t="str">
        <v/>
      </c>
    </row>
    <row r="6891" spans="5:9" ht="16.5" hidden="1">
      <c r="E6891" s="4" t="str">
        <v/>
      </c>
      <c r="F6891" s="102" t="str">
        <f ca="1">IFERROR(__xludf.DUMMYFUNCTION("IMPORTRANGE(H6891,""IDENTITAS UNIT!D9"")"),"#N/A")</f>
        <v>#N/A</v>
      </c>
      <c r="H6891" s="4" t="str">
        <v/>
      </c>
      <c r="I6891" s="4" t="str">
        <v/>
      </c>
    </row>
    <row r="6892" spans="5:9" ht="16.5" hidden="1">
      <c r="E6892" s="4" t="str">
        <v/>
      </c>
      <c r="F6892" s="102" t="str">
        <f ca="1">IFERROR(__xludf.DUMMYFUNCTION("IMPORTRANGE(H6892,""IDENTITAS UNIT!D9"")"),"#N/A")</f>
        <v>#N/A</v>
      </c>
      <c r="H6892" s="4" t="str">
        <v/>
      </c>
      <c r="I6892" s="4" t="str">
        <v/>
      </c>
    </row>
    <row r="6893" spans="5:9" ht="16.5" hidden="1">
      <c r="E6893" s="4" t="str">
        <v/>
      </c>
      <c r="F6893" s="102" t="str">
        <f ca="1">IFERROR(__xludf.DUMMYFUNCTION("IMPORTRANGE(H6893,""IDENTITAS UNIT!D9"")"),"#N/A")</f>
        <v>#N/A</v>
      </c>
      <c r="H6893" s="4" t="str">
        <v/>
      </c>
      <c r="I6893" s="4" t="str">
        <v/>
      </c>
    </row>
    <row r="6894" spans="5:9" ht="16.5" hidden="1">
      <c r="E6894" s="4" t="str">
        <v/>
      </c>
      <c r="F6894" s="102" t="str">
        <f ca="1">IFERROR(__xludf.DUMMYFUNCTION("IMPORTRANGE(H6894,""IDENTITAS UNIT!D9"")"),"#N/A")</f>
        <v>#N/A</v>
      </c>
      <c r="H6894" s="4" t="str">
        <v/>
      </c>
      <c r="I6894" s="4" t="str">
        <v/>
      </c>
    </row>
    <row r="6895" spans="5:9" ht="16.5" hidden="1">
      <c r="E6895" s="4" t="str">
        <v/>
      </c>
      <c r="F6895" s="102" t="str">
        <f ca="1">IFERROR(__xludf.DUMMYFUNCTION("IMPORTRANGE(H6895,""IDENTITAS UNIT!D9"")"),"#N/A")</f>
        <v>#N/A</v>
      </c>
      <c r="H6895" s="4" t="str">
        <v/>
      </c>
      <c r="I6895" s="4" t="str">
        <v/>
      </c>
    </row>
    <row r="6896" spans="5:9" ht="16.5" hidden="1">
      <c r="E6896" s="4" t="str">
        <v/>
      </c>
      <c r="F6896" s="102" t="str">
        <f ca="1">IFERROR(__xludf.DUMMYFUNCTION("IMPORTRANGE(H6896,""IDENTITAS UNIT!D9"")"),"#N/A")</f>
        <v>#N/A</v>
      </c>
      <c r="H6896" s="4" t="str">
        <v/>
      </c>
      <c r="I6896" s="4" t="str">
        <v/>
      </c>
    </row>
    <row r="6897" spans="5:9" ht="16.5" hidden="1">
      <c r="E6897" s="4" t="str">
        <v/>
      </c>
      <c r="F6897" s="102" t="str">
        <f ca="1">IFERROR(__xludf.DUMMYFUNCTION("IMPORTRANGE(H6897,""IDENTITAS UNIT!D9"")"),"#N/A")</f>
        <v>#N/A</v>
      </c>
      <c r="H6897" s="4" t="str">
        <v/>
      </c>
      <c r="I6897" s="4" t="str">
        <v/>
      </c>
    </row>
    <row r="6898" spans="5:9" ht="16.5" hidden="1">
      <c r="E6898" s="4" t="str">
        <v/>
      </c>
      <c r="F6898" s="102" t="str">
        <f ca="1">IFERROR(__xludf.DUMMYFUNCTION("IMPORTRANGE(H6898,""IDENTITAS UNIT!D9"")"),"#N/A")</f>
        <v>#N/A</v>
      </c>
      <c r="H6898" s="4" t="str">
        <v/>
      </c>
      <c r="I6898" s="4" t="str">
        <v/>
      </c>
    </row>
    <row r="6899" spans="5:9" ht="16.5" hidden="1">
      <c r="E6899" s="4" t="str">
        <v/>
      </c>
      <c r="F6899" s="102" t="str">
        <f ca="1">IFERROR(__xludf.DUMMYFUNCTION("IMPORTRANGE(H6899,""IDENTITAS UNIT!D9"")"),"#N/A")</f>
        <v>#N/A</v>
      </c>
      <c r="H6899" s="4" t="str">
        <v/>
      </c>
      <c r="I6899" s="4" t="str">
        <v/>
      </c>
    </row>
    <row r="6900" spans="5:9" ht="16.5" hidden="1">
      <c r="E6900" s="4" t="str">
        <v/>
      </c>
      <c r="F6900" s="102" t="str">
        <f ca="1">IFERROR(__xludf.DUMMYFUNCTION("IMPORTRANGE(H6900,""IDENTITAS UNIT!D9"")"),"#N/A")</f>
        <v>#N/A</v>
      </c>
      <c r="H6900" s="4" t="str">
        <v/>
      </c>
      <c r="I6900" s="4" t="str">
        <v/>
      </c>
    </row>
    <row r="6901" spans="5:9" ht="16.5" hidden="1">
      <c r="E6901" s="4" t="str">
        <v/>
      </c>
      <c r="F6901" s="102" t="str">
        <f ca="1">IFERROR(__xludf.DUMMYFUNCTION("IMPORTRANGE(H6901,""IDENTITAS UNIT!D9"")"),"#N/A")</f>
        <v>#N/A</v>
      </c>
      <c r="H6901" s="4" t="str">
        <v/>
      </c>
      <c r="I6901" s="4" t="str">
        <v/>
      </c>
    </row>
    <row r="6902" spans="5:9" ht="16.5" hidden="1">
      <c r="E6902" s="4" t="str">
        <v/>
      </c>
      <c r="F6902" s="102" t="str">
        <f ca="1">IFERROR(__xludf.DUMMYFUNCTION("IMPORTRANGE(H6902,""IDENTITAS UNIT!D9"")"),"#N/A")</f>
        <v>#N/A</v>
      </c>
      <c r="H6902" s="4" t="str">
        <v/>
      </c>
      <c r="I6902" s="4" t="str">
        <v/>
      </c>
    </row>
    <row r="6903" spans="5:9" ht="16.5" hidden="1">
      <c r="E6903" s="4" t="str">
        <v/>
      </c>
      <c r="F6903" s="102" t="str">
        <f ca="1">IFERROR(__xludf.DUMMYFUNCTION("IMPORTRANGE(H6903,""IDENTITAS UNIT!D9"")"),"#N/A")</f>
        <v>#N/A</v>
      </c>
      <c r="H6903" s="4" t="str">
        <v/>
      </c>
      <c r="I6903" s="4" t="str">
        <v/>
      </c>
    </row>
    <row r="6904" spans="5:9" ht="16.5" hidden="1">
      <c r="E6904" s="4" t="str">
        <v/>
      </c>
      <c r="F6904" s="102" t="str">
        <f ca="1">IFERROR(__xludf.DUMMYFUNCTION("IMPORTRANGE(H6904,""IDENTITAS UNIT!D9"")"),"#N/A")</f>
        <v>#N/A</v>
      </c>
      <c r="H6904" s="4" t="str">
        <v/>
      </c>
      <c r="I6904" s="4" t="str">
        <v/>
      </c>
    </row>
    <row r="6905" spans="5:9" ht="16.5" hidden="1">
      <c r="E6905" s="4" t="str">
        <v/>
      </c>
      <c r="F6905" s="102" t="str">
        <f ca="1">IFERROR(__xludf.DUMMYFUNCTION("IMPORTRANGE(H6905,""IDENTITAS UNIT!D9"")"),"#N/A")</f>
        <v>#N/A</v>
      </c>
      <c r="H6905" s="4" t="str">
        <v/>
      </c>
      <c r="I6905" s="4" t="str">
        <v/>
      </c>
    </row>
    <row r="6906" spans="5:9" ht="16.5" hidden="1">
      <c r="E6906" s="4" t="str">
        <v/>
      </c>
      <c r="F6906" s="102" t="str">
        <f ca="1">IFERROR(__xludf.DUMMYFUNCTION("IMPORTRANGE(H6906,""IDENTITAS UNIT!D9"")"),"#N/A")</f>
        <v>#N/A</v>
      </c>
      <c r="H6906" s="4" t="str">
        <v/>
      </c>
      <c r="I6906" s="4" t="str">
        <v/>
      </c>
    </row>
    <row r="6907" spans="5:9" ht="16.5" hidden="1">
      <c r="E6907" s="4" t="str">
        <v/>
      </c>
      <c r="F6907" s="102" t="str">
        <f ca="1">IFERROR(__xludf.DUMMYFUNCTION("IMPORTRANGE(H6907,""IDENTITAS UNIT!D9"")"),"#N/A")</f>
        <v>#N/A</v>
      </c>
      <c r="H6907" s="4" t="str">
        <v/>
      </c>
      <c r="I6907" s="4" t="str">
        <v/>
      </c>
    </row>
    <row r="6908" spans="5:9" ht="16.5" hidden="1">
      <c r="E6908" s="4" t="str">
        <v/>
      </c>
      <c r="F6908" s="102" t="str">
        <f ca="1">IFERROR(__xludf.DUMMYFUNCTION("IMPORTRANGE(H6908,""IDENTITAS UNIT!D9"")"),"#N/A")</f>
        <v>#N/A</v>
      </c>
      <c r="H6908" s="4" t="str">
        <v/>
      </c>
      <c r="I6908" s="4" t="str">
        <v/>
      </c>
    </row>
    <row r="6909" spans="5:9" ht="16.5" hidden="1">
      <c r="E6909" s="4" t="str">
        <v/>
      </c>
      <c r="F6909" s="102" t="str">
        <f ca="1">IFERROR(__xludf.DUMMYFUNCTION("IMPORTRANGE(H6909,""IDENTITAS UNIT!D9"")"),"#N/A")</f>
        <v>#N/A</v>
      </c>
      <c r="H6909" s="4" t="str">
        <v/>
      </c>
      <c r="I6909" s="4" t="str">
        <v/>
      </c>
    </row>
    <row r="6910" spans="5:9" ht="16.5" hidden="1">
      <c r="E6910" s="4" t="str">
        <v/>
      </c>
      <c r="F6910" s="102" t="str">
        <f ca="1">IFERROR(__xludf.DUMMYFUNCTION("IMPORTRANGE(H6910,""IDENTITAS UNIT!D9"")"),"#N/A")</f>
        <v>#N/A</v>
      </c>
      <c r="H6910" s="4" t="str">
        <v/>
      </c>
      <c r="I6910" s="4" t="str">
        <v/>
      </c>
    </row>
    <row r="6911" spans="5:9" ht="16.5" hidden="1">
      <c r="E6911" s="4" t="str">
        <v/>
      </c>
      <c r="F6911" s="102" t="str">
        <f ca="1">IFERROR(__xludf.DUMMYFUNCTION("IMPORTRANGE(H6911,""IDENTITAS UNIT!D9"")"),"#N/A")</f>
        <v>#N/A</v>
      </c>
      <c r="H6911" s="4" t="str">
        <v/>
      </c>
      <c r="I6911" s="4" t="str">
        <v/>
      </c>
    </row>
    <row r="6912" spans="5:9" ht="16.5" hidden="1">
      <c r="E6912" s="4" t="str">
        <v/>
      </c>
      <c r="F6912" s="102" t="str">
        <f ca="1">IFERROR(__xludf.DUMMYFUNCTION("IMPORTRANGE(H6912,""IDENTITAS UNIT!D9"")"),"#N/A")</f>
        <v>#N/A</v>
      </c>
      <c r="H6912" s="4" t="str">
        <v/>
      </c>
      <c r="I6912" s="4" t="str">
        <v/>
      </c>
    </row>
    <row r="6913" spans="5:9" ht="16.5" hidden="1">
      <c r="E6913" s="4" t="str">
        <v/>
      </c>
      <c r="F6913" s="102" t="str">
        <f ca="1">IFERROR(__xludf.DUMMYFUNCTION("IMPORTRANGE(H6913,""IDENTITAS UNIT!D9"")"),"#N/A")</f>
        <v>#N/A</v>
      </c>
      <c r="H6913" s="4" t="str">
        <v/>
      </c>
      <c r="I6913" s="4" t="str">
        <v/>
      </c>
    </row>
    <row r="6914" spans="5:9" ht="16.5" hidden="1">
      <c r="E6914" s="4" t="str">
        <v/>
      </c>
      <c r="F6914" s="102" t="str">
        <f ca="1">IFERROR(__xludf.DUMMYFUNCTION("IMPORTRANGE(H6914,""IDENTITAS UNIT!D9"")"),"#N/A")</f>
        <v>#N/A</v>
      </c>
      <c r="H6914" s="4" t="str">
        <v/>
      </c>
      <c r="I6914" s="4" t="str">
        <v/>
      </c>
    </row>
    <row r="6915" spans="5:9" ht="16.5" hidden="1">
      <c r="E6915" s="4" t="str">
        <v/>
      </c>
      <c r="F6915" s="102" t="str">
        <f ca="1">IFERROR(__xludf.DUMMYFUNCTION("IMPORTRANGE(H6915,""IDENTITAS UNIT!D9"")"),"#N/A")</f>
        <v>#N/A</v>
      </c>
      <c r="H6915" s="4" t="str">
        <v/>
      </c>
      <c r="I6915" s="4" t="str">
        <v/>
      </c>
    </row>
    <row r="6916" spans="5:9" ht="16.5" hidden="1">
      <c r="E6916" s="4" t="str">
        <v/>
      </c>
      <c r="F6916" s="102" t="str">
        <f ca="1">IFERROR(__xludf.DUMMYFUNCTION("IMPORTRANGE(H6916,""IDENTITAS UNIT!D9"")"),"#N/A")</f>
        <v>#N/A</v>
      </c>
      <c r="H6916" s="4" t="str">
        <v/>
      </c>
      <c r="I6916" s="4" t="str">
        <v/>
      </c>
    </row>
    <row r="6917" spans="5:9" ht="16.5" hidden="1">
      <c r="E6917" s="4" t="str">
        <v/>
      </c>
      <c r="F6917" s="102" t="str">
        <f ca="1">IFERROR(__xludf.DUMMYFUNCTION("IMPORTRANGE(H6917,""IDENTITAS UNIT!D9"")"),"#N/A")</f>
        <v>#N/A</v>
      </c>
      <c r="H6917" s="4" t="str">
        <v/>
      </c>
      <c r="I6917" s="4" t="str">
        <v/>
      </c>
    </row>
    <row r="6918" spans="5:9" ht="16.5" hidden="1">
      <c r="E6918" s="4" t="str">
        <v/>
      </c>
      <c r="F6918" s="102" t="str">
        <f ca="1">IFERROR(__xludf.DUMMYFUNCTION("IMPORTRANGE(H6918,""IDENTITAS UNIT!D9"")"),"#N/A")</f>
        <v>#N/A</v>
      </c>
      <c r="H6918" s="4" t="str">
        <v/>
      </c>
      <c r="I6918" s="4" t="str">
        <v/>
      </c>
    </row>
    <row r="6919" spans="5:9" ht="16.5" hidden="1">
      <c r="E6919" s="4" t="str">
        <v/>
      </c>
      <c r="F6919" s="102" t="str">
        <f ca="1">IFERROR(__xludf.DUMMYFUNCTION("IMPORTRANGE(H6919,""IDENTITAS UNIT!D9"")"),"#N/A")</f>
        <v>#N/A</v>
      </c>
      <c r="H6919" s="4" t="str">
        <v/>
      </c>
      <c r="I6919" s="4" t="str">
        <v/>
      </c>
    </row>
    <row r="6920" spans="5:9" ht="16.5" hidden="1">
      <c r="E6920" s="4" t="str">
        <v/>
      </c>
      <c r="F6920" s="102" t="str">
        <f ca="1">IFERROR(__xludf.DUMMYFUNCTION("IMPORTRANGE(H6920,""IDENTITAS UNIT!D9"")"),"#N/A")</f>
        <v>#N/A</v>
      </c>
      <c r="H6920" s="4" t="str">
        <v/>
      </c>
      <c r="I6920" s="4" t="str">
        <v/>
      </c>
    </row>
    <row r="6921" spans="5:9" ht="16.5" hidden="1">
      <c r="E6921" s="4" t="str">
        <v/>
      </c>
      <c r="F6921" s="102" t="str">
        <f ca="1">IFERROR(__xludf.DUMMYFUNCTION("IMPORTRANGE(H6921,""IDENTITAS UNIT!D9"")"),"#N/A")</f>
        <v>#N/A</v>
      </c>
      <c r="H6921" s="4" t="str">
        <v/>
      </c>
      <c r="I6921" s="4" t="str">
        <v/>
      </c>
    </row>
    <row r="6922" spans="5:9" ht="16.5" hidden="1">
      <c r="E6922" s="4" t="str">
        <v/>
      </c>
      <c r="F6922" s="102" t="str">
        <f ca="1">IFERROR(__xludf.DUMMYFUNCTION("IMPORTRANGE(H6922,""IDENTITAS UNIT!D9"")"),"#N/A")</f>
        <v>#N/A</v>
      </c>
      <c r="H6922" s="4" t="str">
        <v/>
      </c>
      <c r="I6922" s="4" t="str">
        <v/>
      </c>
    </row>
    <row r="6923" spans="5:9" ht="16.5" hidden="1">
      <c r="E6923" s="4" t="str">
        <v/>
      </c>
      <c r="F6923" s="102" t="str">
        <f ca="1">IFERROR(__xludf.DUMMYFUNCTION("IMPORTRANGE(H6923,""IDENTITAS UNIT!D9"")"),"#N/A")</f>
        <v>#N/A</v>
      </c>
      <c r="H6923" s="4" t="str">
        <v/>
      </c>
      <c r="I6923" s="4" t="str">
        <v/>
      </c>
    </row>
    <row r="6924" spans="5:9" ht="16.5" hidden="1">
      <c r="E6924" s="4" t="str">
        <v/>
      </c>
      <c r="F6924" s="102" t="str">
        <f ca="1">IFERROR(__xludf.DUMMYFUNCTION("IMPORTRANGE(H6924,""IDENTITAS UNIT!D9"")"),"#N/A")</f>
        <v>#N/A</v>
      </c>
      <c r="H6924" s="4" t="str">
        <v/>
      </c>
      <c r="I6924" s="4" t="str">
        <v/>
      </c>
    </row>
    <row r="6925" spans="5:9" ht="16.5" hidden="1">
      <c r="E6925" s="4" t="str">
        <v/>
      </c>
      <c r="F6925" s="102" t="str">
        <f ca="1">IFERROR(__xludf.DUMMYFUNCTION("IMPORTRANGE(H6925,""IDENTITAS UNIT!D9"")"),"#N/A")</f>
        <v>#N/A</v>
      </c>
      <c r="H6925" s="4" t="str">
        <v/>
      </c>
      <c r="I6925" s="4" t="str">
        <v/>
      </c>
    </row>
    <row r="6926" spans="5:9" ht="16.5" hidden="1">
      <c r="E6926" s="4" t="str">
        <v/>
      </c>
      <c r="F6926" s="102" t="str">
        <f ca="1">IFERROR(__xludf.DUMMYFUNCTION("IMPORTRANGE(H6926,""IDENTITAS UNIT!D9"")"),"#N/A")</f>
        <v>#N/A</v>
      </c>
      <c r="H6926" s="4" t="str">
        <v/>
      </c>
      <c r="I6926" s="4" t="str">
        <v/>
      </c>
    </row>
    <row r="6927" spans="5:9" ht="16.5" hidden="1">
      <c r="E6927" s="4" t="str">
        <v/>
      </c>
      <c r="F6927" s="102" t="str">
        <f ca="1">IFERROR(__xludf.DUMMYFUNCTION("IMPORTRANGE(H6927,""IDENTITAS UNIT!D9"")"),"#N/A")</f>
        <v>#N/A</v>
      </c>
      <c r="H6927" s="4" t="str">
        <v/>
      </c>
      <c r="I6927" s="4" t="str">
        <v/>
      </c>
    </row>
    <row r="6928" spans="5:9" ht="16.5" hidden="1">
      <c r="E6928" s="4" t="str">
        <v/>
      </c>
      <c r="F6928" s="102" t="str">
        <f ca="1">IFERROR(__xludf.DUMMYFUNCTION("IMPORTRANGE(H6928,""IDENTITAS UNIT!D9"")"),"#N/A")</f>
        <v>#N/A</v>
      </c>
      <c r="H6928" s="4" t="str">
        <v/>
      </c>
      <c r="I6928" s="4" t="str">
        <v/>
      </c>
    </row>
    <row r="6929" spans="5:9" ht="16.5" hidden="1">
      <c r="E6929" s="4" t="str">
        <v/>
      </c>
      <c r="F6929" s="102" t="str">
        <f ca="1">IFERROR(__xludf.DUMMYFUNCTION("IMPORTRANGE(H6929,""IDENTITAS UNIT!D9"")"),"#N/A")</f>
        <v>#N/A</v>
      </c>
      <c r="H6929" s="4" t="str">
        <v/>
      </c>
      <c r="I6929" s="4" t="str">
        <v/>
      </c>
    </row>
    <row r="6930" spans="5:9" ht="16.5" hidden="1">
      <c r="E6930" s="4" t="str">
        <v/>
      </c>
      <c r="F6930" s="102" t="str">
        <f ca="1">IFERROR(__xludf.DUMMYFUNCTION("IMPORTRANGE(H6930,""IDENTITAS UNIT!D9"")"),"#N/A")</f>
        <v>#N/A</v>
      </c>
      <c r="H6930" s="4" t="str">
        <v/>
      </c>
      <c r="I6930" s="4" t="str">
        <v/>
      </c>
    </row>
    <row r="6931" spans="5:9" ht="16.5" hidden="1">
      <c r="E6931" s="4" t="str">
        <v/>
      </c>
      <c r="F6931" s="102" t="str">
        <f ca="1">IFERROR(__xludf.DUMMYFUNCTION("IMPORTRANGE(H6931,""IDENTITAS UNIT!D9"")"),"#N/A")</f>
        <v>#N/A</v>
      </c>
      <c r="H6931" s="4" t="str">
        <v/>
      </c>
      <c r="I6931" s="4" t="str">
        <v/>
      </c>
    </row>
    <row r="6932" spans="5:9" ht="16.5" hidden="1">
      <c r="E6932" s="4" t="str">
        <v/>
      </c>
      <c r="F6932" s="102" t="str">
        <f ca="1">IFERROR(__xludf.DUMMYFUNCTION("IMPORTRANGE(H6932,""IDENTITAS UNIT!D9"")"),"#N/A")</f>
        <v>#N/A</v>
      </c>
      <c r="H6932" s="4" t="str">
        <v/>
      </c>
      <c r="I6932" s="4" t="str">
        <v/>
      </c>
    </row>
    <row r="6933" spans="5:9" ht="16.5" hidden="1">
      <c r="E6933" s="4" t="str">
        <v/>
      </c>
      <c r="F6933" s="102" t="str">
        <f ca="1">IFERROR(__xludf.DUMMYFUNCTION("IMPORTRANGE(H6933,""IDENTITAS UNIT!D9"")"),"#N/A")</f>
        <v>#N/A</v>
      </c>
      <c r="H6933" s="4" t="str">
        <v/>
      </c>
      <c r="I6933" s="4" t="str">
        <v/>
      </c>
    </row>
    <row r="6934" spans="5:9" ht="16.5" hidden="1">
      <c r="E6934" s="4" t="str">
        <v/>
      </c>
      <c r="F6934" s="102" t="str">
        <f ca="1">IFERROR(__xludf.DUMMYFUNCTION("IMPORTRANGE(H6934,""IDENTITAS UNIT!D9"")"),"#N/A")</f>
        <v>#N/A</v>
      </c>
      <c r="H6934" s="4" t="str">
        <v/>
      </c>
      <c r="I6934" s="4" t="str">
        <v/>
      </c>
    </row>
    <row r="6935" spans="5:9" ht="16.5" hidden="1">
      <c r="E6935" s="4" t="str">
        <v/>
      </c>
      <c r="F6935" s="102" t="str">
        <f ca="1">IFERROR(__xludf.DUMMYFUNCTION("IMPORTRANGE(H6935,""IDENTITAS UNIT!D9"")"),"#N/A")</f>
        <v>#N/A</v>
      </c>
      <c r="H6935" s="4" t="str">
        <v/>
      </c>
      <c r="I6935" s="4" t="str">
        <v/>
      </c>
    </row>
    <row r="6936" spans="5:9" ht="16.5" hidden="1">
      <c r="E6936" s="4" t="str">
        <v/>
      </c>
      <c r="F6936" s="102" t="str">
        <f ca="1">IFERROR(__xludf.DUMMYFUNCTION("IMPORTRANGE(H6936,""IDENTITAS UNIT!D9"")"),"#N/A")</f>
        <v>#N/A</v>
      </c>
      <c r="H6936" s="4" t="str">
        <v/>
      </c>
      <c r="I6936" s="4" t="str">
        <v/>
      </c>
    </row>
    <row r="6937" spans="5:9" ht="16.5" hidden="1">
      <c r="E6937" s="4" t="str">
        <v/>
      </c>
      <c r="F6937" s="102" t="str">
        <f ca="1">IFERROR(__xludf.DUMMYFUNCTION("IMPORTRANGE(H6937,""IDENTITAS UNIT!D9"")"),"#N/A")</f>
        <v>#N/A</v>
      </c>
      <c r="H6937" s="4" t="str">
        <v/>
      </c>
      <c r="I6937" s="4" t="str">
        <v/>
      </c>
    </row>
    <row r="6938" spans="5:9" ht="16.5" hidden="1">
      <c r="E6938" s="4" t="str">
        <v/>
      </c>
      <c r="F6938" s="102" t="str">
        <f ca="1">IFERROR(__xludf.DUMMYFUNCTION("IMPORTRANGE(H6938,""IDENTITAS UNIT!D9"")"),"#N/A")</f>
        <v>#N/A</v>
      </c>
      <c r="H6938" s="4" t="str">
        <v/>
      </c>
      <c r="I6938" s="4" t="str">
        <v/>
      </c>
    </row>
    <row r="6939" spans="5:9" ht="16.5" hidden="1">
      <c r="E6939" s="4" t="str">
        <v/>
      </c>
      <c r="F6939" s="102" t="str">
        <f ca="1">IFERROR(__xludf.DUMMYFUNCTION("IMPORTRANGE(H6939,""IDENTITAS UNIT!D9"")"),"#N/A")</f>
        <v>#N/A</v>
      </c>
      <c r="H6939" s="4" t="str">
        <v/>
      </c>
      <c r="I6939" s="4" t="str">
        <v/>
      </c>
    </row>
    <row r="6940" spans="5:9" ht="16.5" hidden="1">
      <c r="E6940" s="4" t="str">
        <v/>
      </c>
      <c r="F6940" s="102" t="str">
        <f ca="1">IFERROR(__xludf.DUMMYFUNCTION("IMPORTRANGE(H6940,""IDENTITAS UNIT!D9"")"),"#N/A")</f>
        <v>#N/A</v>
      </c>
      <c r="H6940" s="4" t="str">
        <v/>
      </c>
      <c r="I6940" s="4" t="str">
        <v/>
      </c>
    </row>
    <row r="6941" spans="5:9" ht="16.5" hidden="1">
      <c r="E6941" s="4" t="str">
        <v/>
      </c>
      <c r="F6941" s="102" t="str">
        <f ca="1">IFERROR(__xludf.DUMMYFUNCTION("IMPORTRANGE(H6941,""IDENTITAS UNIT!D9"")"),"#N/A")</f>
        <v>#N/A</v>
      </c>
      <c r="H6941" s="4" t="str">
        <v/>
      </c>
      <c r="I6941" s="4" t="str">
        <v/>
      </c>
    </row>
    <row r="6942" spans="5:9" ht="16.5" hidden="1">
      <c r="E6942" s="4" t="str">
        <v/>
      </c>
      <c r="F6942" s="102" t="str">
        <f ca="1">IFERROR(__xludf.DUMMYFUNCTION("IMPORTRANGE(H6942,""IDENTITAS UNIT!D9"")"),"#N/A")</f>
        <v>#N/A</v>
      </c>
      <c r="H6942" s="4" t="str">
        <v/>
      </c>
      <c r="I6942" s="4" t="str">
        <v/>
      </c>
    </row>
    <row r="6943" spans="5:9" ht="16.5" hidden="1">
      <c r="E6943" s="4" t="str">
        <v/>
      </c>
      <c r="F6943" s="102" t="str">
        <f ca="1">IFERROR(__xludf.DUMMYFUNCTION("IMPORTRANGE(H6943,""IDENTITAS UNIT!D9"")"),"#N/A")</f>
        <v>#N/A</v>
      </c>
      <c r="H6943" s="4" t="str">
        <v/>
      </c>
      <c r="I6943" s="4" t="str">
        <v/>
      </c>
    </row>
    <row r="6944" spans="5:9" ht="16.5" hidden="1">
      <c r="E6944" s="4" t="str">
        <v/>
      </c>
      <c r="F6944" s="102" t="str">
        <f ca="1">IFERROR(__xludf.DUMMYFUNCTION("IMPORTRANGE(H6944,""IDENTITAS UNIT!D9"")"),"#N/A")</f>
        <v>#N/A</v>
      </c>
      <c r="H6944" s="4" t="str">
        <v/>
      </c>
      <c r="I6944" s="4" t="str">
        <v/>
      </c>
    </row>
    <row r="6945" spans="5:9" ht="16.5" hidden="1">
      <c r="E6945" s="4" t="str">
        <v/>
      </c>
      <c r="F6945" s="102" t="str">
        <f ca="1">IFERROR(__xludf.DUMMYFUNCTION("IMPORTRANGE(H6945,""IDENTITAS UNIT!D9"")"),"#N/A")</f>
        <v>#N/A</v>
      </c>
      <c r="H6945" s="4" t="str">
        <v/>
      </c>
      <c r="I6945" s="4" t="str">
        <v/>
      </c>
    </row>
    <row r="6946" spans="5:9" ht="16.5" hidden="1">
      <c r="E6946" s="4" t="str">
        <v/>
      </c>
      <c r="F6946" s="102" t="str">
        <f ca="1">IFERROR(__xludf.DUMMYFUNCTION("IMPORTRANGE(H6946,""IDENTITAS UNIT!D9"")"),"#N/A")</f>
        <v>#N/A</v>
      </c>
      <c r="H6946" s="4" t="str">
        <v/>
      </c>
      <c r="I6946" s="4" t="str">
        <v/>
      </c>
    </row>
    <row r="6947" spans="5:9" ht="16.5" hidden="1">
      <c r="E6947" s="4" t="str">
        <v/>
      </c>
      <c r="F6947" s="102" t="str">
        <f ca="1">IFERROR(__xludf.DUMMYFUNCTION("IMPORTRANGE(H6947,""IDENTITAS UNIT!D9"")"),"#N/A")</f>
        <v>#N/A</v>
      </c>
      <c r="H6947" s="4" t="str">
        <v/>
      </c>
      <c r="I6947" s="4" t="str">
        <v/>
      </c>
    </row>
    <row r="6948" spans="5:9" ht="16.5" hidden="1">
      <c r="E6948" s="4" t="str">
        <v/>
      </c>
      <c r="F6948" s="102" t="str">
        <f ca="1">IFERROR(__xludf.DUMMYFUNCTION("IMPORTRANGE(H6948,""IDENTITAS UNIT!D9"")"),"#N/A")</f>
        <v>#N/A</v>
      </c>
      <c r="H6948" s="4" t="str">
        <v/>
      </c>
      <c r="I6948" s="4" t="str">
        <v/>
      </c>
    </row>
    <row r="6949" spans="5:9" ht="16.5" hidden="1">
      <c r="E6949" s="4" t="str">
        <v/>
      </c>
      <c r="F6949" s="102" t="str">
        <f ca="1">IFERROR(__xludf.DUMMYFUNCTION("IMPORTRANGE(H6949,""IDENTITAS UNIT!D9"")"),"#N/A")</f>
        <v>#N/A</v>
      </c>
      <c r="H6949" s="4" t="str">
        <v/>
      </c>
      <c r="I6949" s="4" t="str">
        <v/>
      </c>
    </row>
    <row r="6950" spans="5:9" ht="16.5" hidden="1">
      <c r="E6950" s="4" t="str">
        <v/>
      </c>
      <c r="F6950" s="102" t="str">
        <f ca="1">IFERROR(__xludf.DUMMYFUNCTION("IMPORTRANGE(H6950,""IDENTITAS UNIT!D9"")"),"#N/A")</f>
        <v>#N/A</v>
      </c>
      <c r="H6950" s="4" t="str">
        <v/>
      </c>
      <c r="I6950" s="4" t="str">
        <v/>
      </c>
    </row>
    <row r="6951" spans="5:9" ht="16.5" hidden="1">
      <c r="E6951" s="4" t="str">
        <v/>
      </c>
      <c r="F6951" s="102" t="str">
        <f ca="1">IFERROR(__xludf.DUMMYFUNCTION("IMPORTRANGE(H6951,""IDENTITAS UNIT!D9"")"),"#N/A")</f>
        <v>#N/A</v>
      </c>
      <c r="H6951" s="4" t="str">
        <v/>
      </c>
      <c r="I6951" s="4" t="str">
        <v/>
      </c>
    </row>
    <row r="6952" spans="5:9" ht="16.5" hidden="1">
      <c r="E6952" s="4" t="str">
        <v/>
      </c>
      <c r="F6952" s="102" t="str">
        <f ca="1">IFERROR(__xludf.DUMMYFUNCTION("IMPORTRANGE(H6952,""IDENTITAS UNIT!D9"")"),"#N/A")</f>
        <v>#N/A</v>
      </c>
      <c r="H6952" s="4" t="str">
        <v/>
      </c>
      <c r="I6952" s="4" t="str">
        <v/>
      </c>
    </row>
    <row r="6953" spans="5:9" ht="16.5" hidden="1">
      <c r="E6953" s="4" t="str">
        <v/>
      </c>
      <c r="F6953" s="102" t="str">
        <f ca="1">IFERROR(__xludf.DUMMYFUNCTION("IMPORTRANGE(H6953,""IDENTITAS UNIT!D9"")"),"#N/A")</f>
        <v>#N/A</v>
      </c>
      <c r="H6953" s="4" t="str">
        <v/>
      </c>
      <c r="I6953" s="4" t="str">
        <v/>
      </c>
    </row>
    <row r="6954" spans="5:9" ht="16.5" hidden="1">
      <c r="E6954" s="4" t="str">
        <v/>
      </c>
      <c r="F6954" s="102" t="str">
        <f ca="1">IFERROR(__xludf.DUMMYFUNCTION("IMPORTRANGE(H6954,""IDENTITAS UNIT!D9"")"),"#N/A")</f>
        <v>#N/A</v>
      </c>
      <c r="H6954" s="4" t="str">
        <v/>
      </c>
      <c r="I6954" s="4" t="str">
        <v/>
      </c>
    </row>
    <row r="6955" spans="5:9" ht="16.5" hidden="1">
      <c r="E6955" s="4" t="str">
        <v/>
      </c>
      <c r="F6955" s="102" t="str">
        <f ca="1">IFERROR(__xludf.DUMMYFUNCTION("IMPORTRANGE(H6955,""IDENTITAS UNIT!D9"")"),"#N/A")</f>
        <v>#N/A</v>
      </c>
      <c r="H6955" s="4" t="str">
        <v/>
      </c>
      <c r="I6955" s="4" t="str">
        <v/>
      </c>
    </row>
    <row r="6956" spans="5:9" ht="16.5" hidden="1">
      <c r="E6956" s="4" t="str">
        <v/>
      </c>
      <c r="F6956" s="102" t="str">
        <f ca="1">IFERROR(__xludf.DUMMYFUNCTION("IMPORTRANGE(H6956,""IDENTITAS UNIT!D9"")"),"#N/A")</f>
        <v>#N/A</v>
      </c>
      <c r="H6956" s="4" t="str">
        <v/>
      </c>
      <c r="I6956" s="4" t="str">
        <v/>
      </c>
    </row>
    <row r="6957" spans="5:9" ht="16.5" hidden="1">
      <c r="E6957" s="4" t="str">
        <v/>
      </c>
      <c r="F6957" s="102" t="str">
        <f ca="1">IFERROR(__xludf.DUMMYFUNCTION("IMPORTRANGE(H6957,""IDENTITAS UNIT!D9"")"),"#N/A")</f>
        <v>#N/A</v>
      </c>
      <c r="H6957" s="4" t="str">
        <v/>
      </c>
      <c r="I6957" s="4" t="str">
        <v/>
      </c>
    </row>
    <row r="6958" spans="5:9" ht="16.5" hidden="1">
      <c r="E6958" s="4" t="str">
        <v/>
      </c>
      <c r="F6958" s="102" t="str">
        <f ca="1">IFERROR(__xludf.DUMMYFUNCTION("IMPORTRANGE(H6958,""IDENTITAS UNIT!D9"")"),"#N/A")</f>
        <v>#N/A</v>
      </c>
      <c r="H6958" s="4" t="str">
        <v/>
      </c>
      <c r="I6958" s="4" t="str">
        <v/>
      </c>
    </row>
    <row r="6959" spans="5:9" ht="16.5" hidden="1">
      <c r="E6959" s="4" t="str">
        <v/>
      </c>
      <c r="F6959" s="102" t="str">
        <f ca="1">IFERROR(__xludf.DUMMYFUNCTION("IMPORTRANGE(H6959,""IDENTITAS UNIT!D9"")"),"#N/A")</f>
        <v>#N/A</v>
      </c>
      <c r="H6959" s="4" t="str">
        <v/>
      </c>
      <c r="I6959" s="4" t="str">
        <v/>
      </c>
    </row>
    <row r="6960" spans="5:9" ht="16.5" hidden="1">
      <c r="E6960" s="4" t="str">
        <v/>
      </c>
      <c r="F6960" s="102" t="str">
        <f ca="1">IFERROR(__xludf.DUMMYFUNCTION("IMPORTRANGE(H6960,""IDENTITAS UNIT!D9"")"),"#N/A")</f>
        <v>#N/A</v>
      </c>
      <c r="H6960" s="4" t="str">
        <v/>
      </c>
      <c r="I6960" s="4" t="str">
        <v/>
      </c>
    </row>
    <row r="6961" spans="5:9" ht="16.5" hidden="1">
      <c r="E6961" s="4" t="str">
        <v/>
      </c>
      <c r="F6961" s="102" t="str">
        <f ca="1">IFERROR(__xludf.DUMMYFUNCTION("IMPORTRANGE(H6961,""IDENTITAS UNIT!D9"")"),"#N/A")</f>
        <v>#N/A</v>
      </c>
      <c r="H6961" s="4" t="str">
        <v/>
      </c>
      <c r="I6961" s="4" t="str">
        <v/>
      </c>
    </row>
    <row r="6962" spans="5:9" ht="16.5" hidden="1">
      <c r="E6962" s="4" t="str">
        <v/>
      </c>
      <c r="F6962" s="102" t="str">
        <f ca="1">IFERROR(__xludf.DUMMYFUNCTION("IMPORTRANGE(H6962,""IDENTITAS UNIT!D9"")"),"#N/A")</f>
        <v>#N/A</v>
      </c>
      <c r="H6962" s="4" t="str">
        <v/>
      </c>
      <c r="I6962" s="4" t="str">
        <v/>
      </c>
    </row>
    <row r="6963" spans="5:9" ht="16.5" hidden="1">
      <c r="E6963" s="4" t="str">
        <v/>
      </c>
      <c r="F6963" s="102" t="str">
        <f ca="1">IFERROR(__xludf.DUMMYFUNCTION("IMPORTRANGE(H6963,""IDENTITAS UNIT!D9"")"),"#N/A")</f>
        <v>#N/A</v>
      </c>
      <c r="H6963" s="4" t="str">
        <v/>
      </c>
      <c r="I6963" s="4" t="str">
        <v/>
      </c>
    </row>
    <row r="6964" spans="5:9" ht="16.5" hidden="1">
      <c r="E6964" s="4" t="str">
        <v/>
      </c>
      <c r="F6964" s="102" t="str">
        <f ca="1">IFERROR(__xludf.DUMMYFUNCTION("IMPORTRANGE(H6964,""IDENTITAS UNIT!D9"")"),"#N/A")</f>
        <v>#N/A</v>
      </c>
      <c r="H6964" s="4" t="str">
        <v/>
      </c>
      <c r="I6964" s="4" t="str">
        <v/>
      </c>
    </row>
    <row r="6965" spans="5:9" ht="16.5" hidden="1">
      <c r="E6965" s="4" t="str">
        <v/>
      </c>
      <c r="F6965" s="102" t="str">
        <f ca="1">IFERROR(__xludf.DUMMYFUNCTION("IMPORTRANGE(H6965,""IDENTITAS UNIT!D9"")"),"#N/A")</f>
        <v>#N/A</v>
      </c>
      <c r="H6965" s="4" t="str">
        <v/>
      </c>
      <c r="I6965" s="4" t="str">
        <v/>
      </c>
    </row>
    <row r="6966" spans="5:9" ht="16.5" hidden="1">
      <c r="E6966" s="4" t="str">
        <v/>
      </c>
      <c r="F6966" s="102" t="str">
        <f ca="1">IFERROR(__xludf.DUMMYFUNCTION("IMPORTRANGE(H6966,""IDENTITAS UNIT!D9"")"),"#N/A")</f>
        <v>#N/A</v>
      </c>
      <c r="H6966" s="4" t="str">
        <v/>
      </c>
      <c r="I6966" s="4" t="str">
        <v/>
      </c>
    </row>
    <row r="6967" spans="5:9" ht="16.5" hidden="1">
      <c r="E6967" s="4" t="str">
        <v/>
      </c>
      <c r="F6967" s="102" t="str">
        <f ca="1">IFERROR(__xludf.DUMMYFUNCTION("IMPORTRANGE(H6967,""IDENTITAS UNIT!D9"")"),"#N/A")</f>
        <v>#N/A</v>
      </c>
      <c r="H6967" s="4" t="str">
        <v/>
      </c>
      <c r="I6967" s="4" t="str">
        <v/>
      </c>
    </row>
    <row r="6968" spans="5:9" ht="16.5" hidden="1">
      <c r="E6968" s="4" t="str">
        <v/>
      </c>
      <c r="F6968" s="102" t="str">
        <f ca="1">IFERROR(__xludf.DUMMYFUNCTION("IMPORTRANGE(H6968,""IDENTITAS UNIT!D9"")"),"#N/A")</f>
        <v>#N/A</v>
      </c>
      <c r="H6968" s="4" t="str">
        <v/>
      </c>
      <c r="I6968" s="4" t="str">
        <v/>
      </c>
    </row>
    <row r="6969" spans="5:9" ht="16.5" hidden="1">
      <c r="E6969" s="4" t="str">
        <v/>
      </c>
      <c r="F6969" s="102" t="str">
        <f ca="1">IFERROR(__xludf.DUMMYFUNCTION("IMPORTRANGE(H6969,""IDENTITAS UNIT!D9"")"),"#N/A")</f>
        <v>#N/A</v>
      </c>
      <c r="H6969" s="4" t="str">
        <v/>
      </c>
      <c r="I6969" s="4" t="str">
        <v/>
      </c>
    </row>
    <row r="6970" spans="5:9" ht="16.5" hidden="1">
      <c r="E6970" s="4" t="str">
        <v/>
      </c>
      <c r="F6970" s="102" t="str">
        <f ca="1">IFERROR(__xludf.DUMMYFUNCTION("IMPORTRANGE(H6970,""IDENTITAS UNIT!D9"")"),"#N/A")</f>
        <v>#N/A</v>
      </c>
      <c r="H6970" s="4" t="str">
        <v/>
      </c>
      <c r="I6970" s="4" t="str">
        <v/>
      </c>
    </row>
    <row r="6971" spans="5:9" ht="16.5" hidden="1">
      <c r="E6971" s="4" t="str">
        <v/>
      </c>
      <c r="F6971" s="102" t="str">
        <f ca="1">IFERROR(__xludf.DUMMYFUNCTION("IMPORTRANGE(H6971,""IDENTITAS UNIT!D9"")"),"#N/A")</f>
        <v>#N/A</v>
      </c>
      <c r="H6971" s="4" t="str">
        <v/>
      </c>
      <c r="I6971" s="4" t="str">
        <v/>
      </c>
    </row>
    <row r="6972" spans="5:9" ht="16.5" hidden="1">
      <c r="E6972" s="4" t="str">
        <v/>
      </c>
      <c r="F6972" s="102" t="str">
        <f ca="1">IFERROR(__xludf.DUMMYFUNCTION("IMPORTRANGE(H6972,""IDENTITAS UNIT!D9"")"),"#N/A")</f>
        <v>#N/A</v>
      </c>
      <c r="H6972" s="4" t="str">
        <v/>
      </c>
      <c r="I6972" s="4" t="str">
        <v/>
      </c>
    </row>
    <row r="6973" spans="5:9" ht="16.5" hidden="1">
      <c r="E6973" s="4" t="str">
        <v/>
      </c>
      <c r="F6973" s="102" t="str">
        <f ca="1">IFERROR(__xludf.DUMMYFUNCTION("IMPORTRANGE(H6973,""IDENTITAS UNIT!D9"")"),"#N/A")</f>
        <v>#N/A</v>
      </c>
      <c r="H6973" s="4" t="str">
        <v/>
      </c>
      <c r="I6973" s="4" t="str">
        <v/>
      </c>
    </row>
    <row r="6974" spans="5:9" ht="16.5" hidden="1">
      <c r="E6974" s="4" t="str">
        <v/>
      </c>
      <c r="F6974" s="102" t="str">
        <f ca="1">IFERROR(__xludf.DUMMYFUNCTION("IMPORTRANGE(H6974,""IDENTITAS UNIT!D9"")"),"#N/A")</f>
        <v>#N/A</v>
      </c>
      <c r="H6974" s="4" t="str">
        <v/>
      </c>
      <c r="I6974" s="4" t="str">
        <v/>
      </c>
    </row>
    <row r="6975" spans="5:9" ht="16.5" hidden="1">
      <c r="E6975" s="4" t="str">
        <v/>
      </c>
      <c r="F6975" s="102" t="str">
        <f ca="1">IFERROR(__xludf.DUMMYFUNCTION("IMPORTRANGE(H6975,""IDENTITAS UNIT!D9"")"),"#N/A")</f>
        <v>#N/A</v>
      </c>
      <c r="H6975" s="4" t="str">
        <v/>
      </c>
      <c r="I6975" s="4" t="str">
        <v/>
      </c>
    </row>
    <row r="6976" spans="5:9" ht="16.5" hidden="1">
      <c r="E6976" s="4" t="str">
        <v/>
      </c>
      <c r="F6976" s="102" t="str">
        <f ca="1">IFERROR(__xludf.DUMMYFUNCTION("IMPORTRANGE(H6976,""IDENTITAS UNIT!D9"")"),"#N/A")</f>
        <v>#N/A</v>
      </c>
      <c r="H6976" s="4" t="str">
        <v/>
      </c>
      <c r="I6976" s="4" t="str">
        <v/>
      </c>
    </row>
    <row r="6977" spans="5:9" ht="16.5" hidden="1">
      <c r="E6977" s="4" t="str">
        <v/>
      </c>
      <c r="F6977" s="102" t="str">
        <f ca="1">IFERROR(__xludf.DUMMYFUNCTION("IMPORTRANGE(H6977,""IDENTITAS UNIT!D9"")"),"#N/A")</f>
        <v>#N/A</v>
      </c>
      <c r="H6977" s="4" t="str">
        <v/>
      </c>
      <c r="I6977" s="4" t="str">
        <v/>
      </c>
    </row>
    <row r="6978" spans="5:9" ht="16.5" hidden="1">
      <c r="E6978" s="4" t="str">
        <v/>
      </c>
      <c r="F6978" s="102" t="str">
        <f ca="1">IFERROR(__xludf.DUMMYFUNCTION("IMPORTRANGE(H6978,""IDENTITAS UNIT!D9"")"),"#N/A")</f>
        <v>#N/A</v>
      </c>
      <c r="H6978" s="4" t="str">
        <v/>
      </c>
      <c r="I6978" s="4" t="str">
        <v/>
      </c>
    </row>
    <row r="6979" spans="5:9" ht="16.5" hidden="1">
      <c r="E6979" s="4" t="str">
        <v/>
      </c>
      <c r="F6979" s="102" t="str">
        <f ca="1">IFERROR(__xludf.DUMMYFUNCTION("IMPORTRANGE(H6979,""IDENTITAS UNIT!D9"")"),"#N/A")</f>
        <v>#N/A</v>
      </c>
      <c r="H6979" s="4" t="str">
        <v/>
      </c>
      <c r="I6979" s="4" t="str">
        <v/>
      </c>
    </row>
    <row r="6980" spans="5:9" ht="16.5" hidden="1">
      <c r="E6980" s="4" t="str">
        <v/>
      </c>
      <c r="F6980" s="102" t="str">
        <f ca="1">IFERROR(__xludf.DUMMYFUNCTION("IMPORTRANGE(H6980,""IDENTITAS UNIT!D9"")"),"#N/A")</f>
        <v>#N/A</v>
      </c>
      <c r="H6980" s="4" t="str">
        <v/>
      </c>
      <c r="I6980" s="4" t="str">
        <v/>
      </c>
    </row>
    <row r="6981" spans="5:9" ht="16.5" hidden="1">
      <c r="E6981" s="4" t="str">
        <v/>
      </c>
      <c r="F6981" s="102" t="str">
        <f ca="1">IFERROR(__xludf.DUMMYFUNCTION("IMPORTRANGE(H6981,""IDENTITAS UNIT!D9"")"),"#N/A")</f>
        <v>#N/A</v>
      </c>
      <c r="H6981" s="4" t="str">
        <v/>
      </c>
      <c r="I6981" s="4" t="str">
        <v/>
      </c>
    </row>
    <row r="6982" spans="5:9" ht="16.5" hidden="1">
      <c r="E6982" s="4" t="str">
        <v/>
      </c>
      <c r="F6982" s="102" t="str">
        <f ca="1">IFERROR(__xludf.DUMMYFUNCTION("IMPORTRANGE(H6982,""IDENTITAS UNIT!D9"")"),"#N/A")</f>
        <v>#N/A</v>
      </c>
      <c r="H6982" s="4" t="str">
        <v/>
      </c>
      <c r="I6982" s="4" t="str">
        <v/>
      </c>
    </row>
    <row r="6983" spans="5:9" ht="16.5" hidden="1">
      <c r="E6983" s="4" t="str">
        <v/>
      </c>
      <c r="F6983" s="102" t="str">
        <f ca="1">IFERROR(__xludf.DUMMYFUNCTION("IMPORTRANGE(H6983,""IDENTITAS UNIT!D9"")"),"#N/A")</f>
        <v>#N/A</v>
      </c>
      <c r="H6983" s="4" t="str">
        <v/>
      </c>
      <c r="I6983" s="4" t="str">
        <v/>
      </c>
    </row>
    <row r="6984" spans="5:9" ht="16.5" hidden="1">
      <c r="E6984" s="4" t="str">
        <v/>
      </c>
      <c r="F6984" s="102" t="str">
        <f ca="1">IFERROR(__xludf.DUMMYFUNCTION("IMPORTRANGE(H6984,""IDENTITAS UNIT!D9"")"),"#N/A")</f>
        <v>#N/A</v>
      </c>
      <c r="H6984" s="4" t="str">
        <v/>
      </c>
      <c r="I6984" s="4" t="str">
        <v/>
      </c>
    </row>
    <row r="6985" spans="5:9" ht="16.5" hidden="1">
      <c r="E6985" s="4" t="str">
        <v/>
      </c>
      <c r="F6985" s="102" t="str">
        <f ca="1">IFERROR(__xludf.DUMMYFUNCTION("IMPORTRANGE(H6985,""IDENTITAS UNIT!D9"")"),"#N/A")</f>
        <v>#N/A</v>
      </c>
      <c r="H6985" s="4" t="str">
        <v/>
      </c>
      <c r="I6985" s="4" t="str">
        <v/>
      </c>
    </row>
    <row r="6986" spans="5:9" ht="16.5" hidden="1">
      <c r="E6986" s="4" t="str">
        <v/>
      </c>
      <c r="F6986" s="102" t="str">
        <f ca="1">IFERROR(__xludf.DUMMYFUNCTION("IMPORTRANGE(H6986,""IDENTITAS UNIT!D9"")"),"#N/A")</f>
        <v>#N/A</v>
      </c>
      <c r="H6986" s="4" t="str">
        <v/>
      </c>
      <c r="I6986" s="4" t="str">
        <v/>
      </c>
    </row>
    <row r="6987" spans="5:9" ht="16.5" hidden="1">
      <c r="E6987" s="4" t="str">
        <v/>
      </c>
      <c r="F6987" s="102" t="str">
        <f ca="1">IFERROR(__xludf.DUMMYFUNCTION("IMPORTRANGE(H6987,""IDENTITAS UNIT!D9"")"),"#N/A")</f>
        <v>#N/A</v>
      </c>
      <c r="H6987" s="4" t="str">
        <v/>
      </c>
      <c r="I6987" s="4" t="str">
        <v/>
      </c>
    </row>
    <row r="6988" spans="5:9" ht="16.5" hidden="1">
      <c r="E6988" s="4" t="str">
        <v/>
      </c>
      <c r="F6988" s="102" t="str">
        <f ca="1">IFERROR(__xludf.DUMMYFUNCTION("IMPORTRANGE(H6988,""IDENTITAS UNIT!D9"")"),"#N/A")</f>
        <v>#N/A</v>
      </c>
      <c r="H6988" s="4" t="str">
        <v/>
      </c>
      <c r="I6988" s="4" t="str">
        <v/>
      </c>
    </row>
    <row r="6989" spans="5:9" ht="16.5" hidden="1">
      <c r="E6989" s="4" t="str">
        <v/>
      </c>
      <c r="F6989" s="102" t="str">
        <f ca="1">IFERROR(__xludf.DUMMYFUNCTION("IMPORTRANGE(H6989,""IDENTITAS UNIT!D9"")"),"#N/A")</f>
        <v>#N/A</v>
      </c>
      <c r="H6989" s="4" t="str">
        <v/>
      </c>
      <c r="I6989" s="4" t="str">
        <v/>
      </c>
    </row>
    <row r="6990" spans="5:9" ht="16.5" hidden="1">
      <c r="E6990" s="4" t="str">
        <v/>
      </c>
      <c r="F6990" s="102" t="str">
        <f ca="1">IFERROR(__xludf.DUMMYFUNCTION("IMPORTRANGE(H6990,""IDENTITAS UNIT!D9"")"),"#N/A")</f>
        <v>#N/A</v>
      </c>
      <c r="H6990" s="4" t="str">
        <v/>
      </c>
      <c r="I6990" s="4" t="str">
        <v/>
      </c>
    </row>
    <row r="6991" spans="5:9" ht="16.5" hidden="1">
      <c r="E6991" s="4" t="str">
        <v/>
      </c>
      <c r="F6991" s="102" t="str">
        <f ca="1">IFERROR(__xludf.DUMMYFUNCTION("IMPORTRANGE(H6991,""IDENTITAS UNIT!D9"")"),"#N/A")</f>
        <v>#N/A</v>
      </c>
      <c r="H6991" s="4" t="str">
        <v/>
      </c>
      <c r="I6991" s="4" t="str">
        <v/>
      </c>
    </row>
    <row r="6992" spans="5:9" ht="16.5" hidden="1">
      <c r="E6992" s="4" t="str">
        <v/>
      </c>
      <c r="F6992" s="102" t="str">
        <f ca="1">IFERROR(__xludf.DUMMYFUNCTION("IMPORTRANGE(H6992,""IDENTITAS UNIT!D9"")"),"#N/A")</f>
        <v>#N/A</v>
      </c>
      <c r="H6992" s="4" t="str">
        <v/>
      </c>
      <c r="I6992" s="4" t="str">
        <v/>
      </c>
    </row>
    <row r="6993" spans="5:9" ht="16.5" hidden="1">
      <c r="E6993" s="4" t="str">
        <v/>
      </c>
      <c r="F6993" s="102" t="str">
        <f ca="1">IFERROR(__xludf.DUMMYFUNCTION("IMPORTRANGE(H6993,""IDENTITAS UNIT!D9"")"),"#N/A")</f>
        <v>#N/A</v>
      </c>
      <c r="H6993" s="4" t="str">
        <v/>
      </c>
      <c r="I6993" s="4" t="str">
        <v/>
      </c>
    </row>
    <row r="6994" spans="5:9" ht="16.5" hidden="1">
      <c r="E6994" s="4" t="str">
        <v/>
      </c>
      <c r="F6994" s="102" t="str">
        <f ca="1">IFERROR(__xludf.DUMMYFUNCTION("IMPORTRANGE(H6994,""IDENTITAS UNIT!D9"")"),"#N/A")</f>
        <v>#N/A</v>
      </c>
      <c r="H6994" s="4" t="str">
        <v/>
      </c>
      <c r="I6994" s="4" t="str">
        <v/>
      </c>
    </row>
    <row r="6995" spans="5:9" ht="16.5" hidden="1">
      <c r="E6995" s="4" t="str">
        <v/>
      </c>
      <c r="F6995" s="102" t="str">
        <f ca="1">IFERROR(__xludf.DUMMYFUNCTION("IMPORTRANGE(H6995,""IDENTITAS UNIT!D9"")"),"#N/A")</f>
        <v>#N/A</v>
      </c>
      <c r="H6995" s="4" t="str">
        <v/>
      </c>
      <c r="I6995" s="4" t="str">
        <v/>
      </c>
    </row>
    <row r="6996" spans="5:9" ht="16.5" hidden="1">
      <c r="E6996" s="4" t="str">
        <v/>
      </c>
      <c r="F6996" s="102" t="str">
        <f ca="1">IFERROR(__xludf.DUMMYFUNCTION("IMPORTRANGE(H6996,""IDENTITAS UNIT!D9"")"),"#N/A")</f>
        <v>#N/A</v>
      </c>
      <c r="H6996" s="4" t="str">
        <v/>
      </c>
      <c r="I6996" s="4" t="str">
        <v/>
      </c>
    </row>
    <row r="6997" spans="5:9" ht="16.5" hidden="1">
      <c r="E6997" s="4" t="str">
        <v/>
      </c>
      <c r="F6997" s="102" t="str">
        <f ca="1">IFERROR(__xludf.DUMMYFUNCTION("IMPORTRANGE(H6997,""IDENTITAS UNIT!D9"")"),"#N/A")</f>
        <v>#N/A</v>
      </c>
      <c r="H6997" s="4" t="str">
        <v/>
      </c>
      <c r="I6997" s="4" t="str">
        <v/>
      </c>
    </row>
    <row r="6998" spans="5:9" ht="16.5" hidden="1">
      <c r="E6998" s="4" t="str">
        <v/>
      </c>
      <c r="F6998" s="102" t="str">
        <f ca="1">IFERROR(__xludf.DUMMYFUNCTION("IMPORTRANGE(H6998,""IDENTITAS UNIT!D9"")"),"#N/A")</f>
        <v>#N/A</v>
      </c>
      <c r="H6998" s="4" t="str">
        <v/>
      </c>
      <c r="I6998" s="4" t="str">
        <v/>
      </c>
    </row>
    <row r="6999" spans="5:9" ht="16.5" hidden="1">
      <c r="E6999" s="4" t="str">
        <v/>
      </c>
      <c r="F6999" s="102" t="str">
        <f ca="1">IFERROR(__xludf.DUMMYFUNCTION("IMPORTRANGE(H6999,""IDENTITAS UNIT!D9"")"),"#N/A")</f>
        <v>#N/A</v>
      </c>
      <c r="H6999" s="4" t="str">
        <v/>
      </c>
      <c r="I6999" s="4" t="str">
        <v/>
      </c>
    </row>
    <row r="7000" spans="5:9" ht="16.5" hidden="1">
      <c r="E7000" s="4" t="str">
        <v/>
      </c>
      <c r="F7000" s="102" t="str">
        <f ca="1">IFERROR(__xludf.DUMMYFUNCTION("IMPORTRANGE(H7000,""IDENTITAS UNIT!D9"")"),"#N/A")</f>
        <v>#N/A</v>
      </c>
      <c r="H7000" s="4" t="str">
        <v/>
      </c>
      <c r="I7000" s="4" t="str">
        <v/>
      </c>
    </row>
    <row r="7001" spans="5:9" ht="16.5" hidden="1">
      <c r="E7001" s="4" t="str">
        <v/>
      </c>
      <c r="F7001" s="102" t="str">
        <f ca="1">IFERROR(__xludf.DUMMYFUNCTION("IMPORTRANGE(H7001,""IDENTITAS UNIT!D9"")"),"#N/A")</f>
        <v>#N/A</v>
      </c>
      <c r="H7001" s="4" t="str">
        <v/>
      </c>
      <c r="I7001" s="4" t="str">
        <v/>
      </c>
    </row>
    <row r="7002" spans="5:9" ht="16.5" hidden="1">
      <c r="E7002" s="4" t="str">
        <v/>
      </c>
      <c r="F7002" s="102" t="str">
        <f ca="1">IFERROR(__xludf.DUMMYFUNCTION("IMPORTRANGE(H7002,""IDENTITAS UNIT!D9"")"),"#N/A")</f>
        <v>#N/A</v>
      </c>
      <c r="H7002" s="4" t="str">
        <v/>
      </c>
      <c r="I7002" s="4" t="str">
        <v/>
      </c>
    </row>
    <row r="7003" spans="5:9" ht="16.5" hidden="1">
      <c r="E7003" s="4" t="str">
        <v/>
      </c>
      <c r="F7003" s="102" t="str">
        <f ca="1">IFERROR(__xludf.DUMMYFUNCTION("IMPORTRANGE(H7003,""IDENTITAS UNIT!D9"")"),"#N/A")</f>
        <v>#N/A</v>
      </c>
      <c r="H7003" s="4" t="str">
        <v/>
      </c>
      <c r="I7003" s="4" t="str">
        <v/>
      </c>
    </row>
    <row r="7004" spans="5:9" ht="16.5" hidden="1">
      <c r="E7004" s="4" t="str">
        <v/>
      </c>
      <c r="F7004" s="102" t="str">
        <f ca="1">IFERROR(__xludf.DUMMYFUNCTION("IMPORTRANGE(H7004,""IDENTITAS UNIT!D9"")"),"#N/A")</f>
        <v>#N/A</v>
      </c>
      <c r="H7004" s="4" t="str">
        <v/>
      </c>
      <c r="I7004" s="4" t="str">
        <v/>
      </c>
    </row>
    <row r="7005" spans="5:9" ht="16.5" hidden="1">
      <c r="E7005" s="4" t="str">
        <v/>
      </c>
      <c r="F7005" s="102" t="str">
        <f ca="1">IFERROR(__xludf.DUMMYFUNCTION("IMPORTRANGE(H7005,""IDENTITAS UNIT!D9"")"),"#N/A")</f>
        <v>#N/A</v>
      </c>
      <c r="H7005" s="4" t="str">
        <v/>
      </c>
      <c r="I7005" s="4" t="str">
        <v/>
      </c>
    </row>
    <row r="7006" spans="5:9" ht="16.5" hidden="1">
      <c r="E7006" s="4" t="str">
        <v/>
      </c>
      <c r="F7006" s="102" t="str">
        <f ca="1">IFERROR(__xludf.DUMMYFUNCTION("IMPORTRANGE(H7006,""IDENTITAS UNIT!D9"")"),"#N/A")</f>
        <v>#N/A</v>
      </c>
      <c r="H7006" s="4" t="str">
        <v/>
      </c>
      <c r="I7006" s="4" t="str">
        <v/>
      </c>
    </row>
    <row r="7007" spans="5:9" ht="16.5" hidden="1">
      <c r="E7007" s="4" t="str">
        <v/>
      </c>
      <c r="F7007" s="102" t="str">
        <f ca="1">IFERROR(__xludf.DUMMYFUNCTION("IMPORTRANGE(H7007,""IDENTITAS UNIT!D9"")"),"#N/A")</f>
        <v>#N/A</v>
      </c>
      <c r="H7007" s="4" t="str">
        <v/>
      </c>
      <c r="I7007" s="4" t="str">
        <v/>
      </c>
    </row>
    <row r="7008" spans="5:9" ht="16.5" hidden="1">
      <c r="E7008" s="4" t="str">
        <v/>
      </c>
      <c r="F7008" s="102" t="str">
        <f ca="1">IFERROR(__xludf.DUMMYFUNCTION("IMPORTRANGE(H7008,""IDENTITAS UNIT!D9"")"),"#N/A")</f>
        <v>#N/A</v>
      </c>
      <c r="H7008" s="4" t="str">
        <v/>
      </c>
      <c r="I7008" s="4" t="str">
        <v/>
      </c>
    </row>
    <row r="7009" spans="5:9" ht="16.5" hidden="1">
      <c r="E7009" s="4" t="str">
        <v/>
      </c>
      <c r="F7009" s="102" t="str">
        <f ca="1">IFERROR(__xludf.DUMMYFUNCTION("IMPORTRANGE(H7009,""IDENTITAS UNIT!D9"")"),"#N/A")</f>
        <v>#N/A</v>
      </c>
      <c r="H7009" s="4" t="str">
        <v/>
      </c>
      <c r="I7009" s="4" t="str">
        <v/>
      </c>
    </row>
    <row r="7010" spans="5:9" ht="16.5" hidden="1">
      <c r="E7010" s="4" t="str">
        <v/>
      </c>
      <c r="F7010" s="102" t="str">
        <f ca="1">IFERROR(__xludf.DUMMYFUNCTION("IMPORTRANGE(H7010,""IDENTITAS UNIT!D9"")"),"#N/A")</f>
        <v>#N/A</v>
      </c>
      <c r="H7010" s="4" t="str">
        <v/>
      </c>
      <c r="I7010" s="4" t="str">
        <v/>
      </c>
    </row>
    <row r="7011" spans="5:9" ht="16.5" hidden="1">
      <c r="E7011" s="4" t="str">
        <v/>
      </c>
      <c r="F7011" s="102" t="str">
        <f ca="1">IFERROR(__xludf.DUMMYFUNCTION("IMPORTRANGE(H7011,""IDENTITAS UNIT!D9"")"),"#N/A")</f>
        <v>#N/A</v>
      </c>
      <c r="H7011" s="4" t="str">
        <v/>
      </c>
      <c r="I7011" s="4" t="str">
        <v/>
      </c>
    </row>
    <row r="7012" spans="5:9" ht="16.5" hidden="1">
      <c r="E7012" s="4" t="str">
        <v/>
      </c>
      <c r="F7012" s="102" t="str">
        <f ca="1">IFERROR(__xludf.DUMMYFUNCTION("IMPORTRANGE(H7012,""IDENTITAS UNIT!D9"")"),"#N/A")</f>
        <v>#N/A</v>
      </c>
      <c r="H7012" s="4" t="str">
        <v/>
      </c>
      <c r="I7012" s="4" t="str">
        <v/>
      </c>
    </row>
    <row r="7013" spans="5:9" ht="16.5" hidden="1">
      <c r="E7013" s="4" t="str">
        <v/>
      </c>
      <c r="F7013" s="102" t="str">
        <f ca="1">IFERROR(__xludf.DUMMYFUNCTION("IMPORTRANGE(H7013,""IDENTITAS UNIT!D9"")"),"#N/A")</f>
        <v>#N/A</v>
      </c>
      <c r="H7013" s="4" t="str">
        <v/>
      </c>
      <c r="I7013" s="4" t="str">
        <v/>
      </c>
    </row>
    <row r="7014" spans="5:9" ht="16.5" hidden="1">
      <c r="E7014" s="4" t="str">
        <v/>
      </c>
      <c r="F7014" s="102" t="str">
        <f ca="1">IFERROR(__xludf.DUMMYFUNCTION("IMPORTRANGE(H7014,""IDENTITAS UNIT!D9"")"),"#N/A")</f>
        <v>#N/A</v>
      </c>
      <c r="H7014" s="4" t="str">
        <v/>
      </c>
      <c r="I7014" s="4" t="str">
        <v/>
      </c>
    </row>
    <row r="7015" spans="5:9" ht="16.5" hidden="1">
      <c r="E7015" s="4" t="str">
        <v/>
      </c>
      <c r="F7015" s="102" t="str">
        <f ca="1">IFERROR(__xludf.DUMMYFUNCTION("IMPORTRANGE(H7015,""IDENTITAS UNIT!D9"")"),"#N/A")</f>
        <v>#N/A</v>
      </c>
      <c r="H7015" s="4" t="str">
        <v/>
      </c>
      <c r="I7015" s="4" t="str">
        <v/>
      </c>
    </row>
    <row r="7016" spans="5:9" ht="16.5" hidden="1">
      <c r="E7016" s="4" t="str">
        <v/>
      </c>
      <c r="F7016" s="102" t="str">
        <f ca="1">IFERROR(__xludf.DUMMYFUNCTION("IMPORTRANGE(H7016,""IDENTITAS UNIT!D9"")"),"#N/A")</f>
        <v>#N/A</v>
      </c>
      <c r="H7016" s="4" t="str">
        <v/>
      </c>
      <c r="I7016" s="4" t="str">
        <v/>
      </c>
    </row>
    <row r="7017" spans="5:9" ht="16.5" hidden="1">
      <c r="E7017" s="4" t="str">
        <v/>
      </c>
      <c r="F7017" s="102" t="str">
        <f ca="1">IFERROR(__xludf.DUMMYFUNCTION("IMPORTRANGE(H7017,""IDENTITAS UNIT!D9"")"),"#N/A")</f>
        <v>#N/A</v>
      </c>
      <c r="H7017" s="4" t="str">
        <v/>
      </c>
      <c r="I7017" s="4" t="str">
        <v/>
      </c>
    </row>
    <row r="7018" spans="5:9" ht="16.5" hidden="1">
      <c r="E7018" s="4" t="str">
        <v/>
      </c>
      <c r="F7018" s="102" t="str">
        <f ca="1">IFERROR(__xludf.DUMMYFUNCTION("IMPORTRANGE(H7018,""IDENTITAS UNIT!D9"")"),"#N/A")</f>
        <v>#N/A</v>
      </c>
      <c r="H7018" s="4" t="str">
        <v/>
      </c>
      <c r="I7018" s="4" t="str">
        <v/>
      </c>
    </row>
    <row r="7019" spans="5:9" ht="16.5" hidden="1">
      <c r="E7019" s="4" t="str">
        <v/>
      </c>
      <c r="F7019" s="102" t="str">
        <f ca="1">IFERROR(__xludf.DUMMYFUNCTION("IMPORTRANGE(H7019,""IDENTITAS UNIT!D9"")"),"#N/A")</f>
        <v>#N/A</v>
      </c>
      <c r="H7019" s="4" t="str">
        <v/>
      </c>
      <c r="I7019" s="4" t="str">
        <v/>
      </c>
    </row>
    <row r="7020" spans="5:9" ht="16.5" hidden="1">
      <c r="E7020" s="4" t="str">
        <v/>
      </c>
      <c r="F7020" s="102" t="str">
        <f ca="1">IFERROR(__xludf.DUMMYFUNCTION("IMPORTRANGE(H7020,""IDENTITAS UNIT!D9"")"),"#N/A")</f>
        <v>#N/A</v>
      </c>
      <c r="H7020" s="4" t="str">
        <v/>
      </c>
      <c r="I7020" s="4" t="str">
        <v/>
      </c>
    </row>
    <row r="7021" spans="5:9" ht="16.5" hidden="1">
      <c r="E7021" s="4" t="str">
        <v/>
      </c>
      <c r="F7021" s="102" t="str">
        <f ca="1">IFERROR(__xludf.DUMMYFUNCTION("IMPORTRANGE(H7021,""IDENTITAS UNIT!D9"")"),"#N/A")</f>
        <v>#N/A</v>
      </c>
      <c r="H7021" s="4" t="str">
        <v/>
      </c>
      <c r="I7021" s="4" t="str">
        <v/>
      </c>
    </row>
    <row r="7022" spans="5:9" ht="16.5" hidden="1">
      <c r="E7022" s="4" t="str">
        <v/>
      </c>
      <c r="F7022" s="102" t="str">
        <f ca="1">IFERROR(__xludf.DUMMYFUNCTION("IMPORTRANGE(H7022,""IDENTITAS UNIT!D9"")"),"#N/A")</f>
        <v>#N/A</v>
      </c>
      <c r="H7022" s="4" t="str">
        <v/>
      </c>
      <c r="I7022" s="4" t="str">
        <v/>
      </c>
    </row>
    <row r="7023" spans="5:9" ht="16.5" hidden="1">
      <c r="E7023" s="4" t="str">
        <v/>
      </c>
      <c r="F7023" s="102" t="str">
        <f ca="1">IFERROR(__xludf.DUMMYFUNCTION("IMPORTRANGE(H7023,""IDENTITAS UNIT!D9"")"),"#N/A")</f>
        <v>#N/A</v>
      </c>
      <c r="H7023" s="4" t="str">
        <v/>
      </c>
      <c r="I7023" s="4" t="str">
        <v/>
      </c>
    </row>
    <row r="7024" spans="5:9" ht="16.5" hidden="1">
      <c r="E7024" s="4" t="str">
        <v/>
      </c>
      <c r="F7024" s="102" t="str">
        <f ca="1">IFERROR(__xludf.DUMMYFUNCTION("IMPORTRANGE(H7024,""IDENTITAS UNIT!D9"")"),"#N/A")</f>
        <v>#N/A</v>
      </c>
      <c r="H7024" s="4" t="str">
        <v/>
      </c>
      <c r="I7024" s="4" t="str">
        <v/>
      </c>
    </row>
    <row r="7025" spans="5:9" ht="16.5" hidden="1">
      <c r="E7025" s="4" t="str">
        <v/>
      </c>
      <c r="F7025" s="102" t="str">
        <f ca="1">IFERROR(__xludf.DUMMYFUNCTION("IMPORTRANGE(H7025,""IDENTITAS UNIT!D9"")"),"#N/A")</f>
        <v>#N/A</v>
      </c>
      <c r="H7025" s="4" t="str">
        <v/>
      </c>
      <c r="I7025" s="4" t="str">
        <v/>
      </c>
    </row>
    <row r="7026" spans="5:9" ht="16.5" hidden="1">
      <c r="E7026" s="4" t="str">
        <v/>
      </c>
      <c r="F7026" s="102" t="str">
        <f ca="1">IFERROR(__xludf.DUMMYFUNCTION("IMPORTRANGE(H7026,""IDENTITAS UNIT!D9"")"),"#N/A")</f>
        <v>#N/A</v>
      </c>
      <c r="H7026" s="4" t="str">
        <v/>
      </c>
      <c r="I7026" s="4" t="str">
        <v/>
      </c>
    </row>
    <row r="7027" spans="5:9" ht="16.5" hidden="1">
      <c r="E7027" s="4" t="str">
        <v/>
      </c>
      <c r="F7027" s="102" t="str">
        <f ca="1">IFERROR(__xludf.DUMMYFUNCTION("IMPORTRANGE(H7027,""IDENTITAS UNIT!D9"")"),"#N/A")</f>
        <v>#N/A</v>
      </c>
      <c r="H7027" s="4" t="str">
        <v/>
      </c>
      <c r="I7027" s="4" t="str">
        <v/>
      </c>
    </row>
    <row r="7028" spans="5:9" ht="16.5" hidden="1">
      <c r="E7028" s="4" t="str">
        <v/>
      </c>
      <c r="F7028" s="102" t="str">
        <f ca="1">IFERROR(__xludf.DUMMYFUNCTION("IMPORTRANGE(H7028,""IDENTITAS UNIT!D9"")"),"#N/A")</f>
        <v>#N/A</v>
      </c>
      <c r="H7028" s="4" t="str">
        <v/>
      </c>
      <c r="I7028" s="4" t="str">
        <v/>
      </c>
    </row>
    <row r="7029" spans="5:9" ht="16.5" hidden="1">
      <c r="E7029" s="4" t="str">
        <v/>
      </c>
      <c r="F7029" s="102" t="str">
        <f ca="1">IFERROR(__xludf.DUMMYFUNCTION("IMPORTRANGE(H7029,""IDENTITAS UNIT!D9"")"),"#N/A")</f>
        <v>#N/A</v>
      </c>
      <c r="H7029" s="4" t="str">
        <v/>
      </c>
      <c r="I7029" s="4" t="str">
        <v/>
      </c>
    </row>
    <row r="7030" spans="5:9" ht="16.5" hidden="1">
      <c r="E7030" s="4" t="str">
        <v/>
      </c>
      <c r="F7030" s="102" t="str">
        <f ca="1">IFERROR(__xludf.DUMMYFUNCTION("IMPORTRANGE(H7030,""IDENTITAS UNIT!D9"")"),"#N/A")</f>
        <v>#N/A</v>
      </c>
      <c r="H7030" s="4" t="str">
        <v/>
      </c>
      <c r="I7030" s="4" t="str">
        <v/>
      </c>
    </row>
    <row r="7031" spans="5:9" ht="16.5" hidden="1">
      <c r="E7031" s="4" t="str">
        <v/>
      </c>
      <c r="F7031" s="102" t="str">
        <f ca="1">IFERROR(__xludf.DUMMYFUNCTION("IMPORTRANGE(H7031,""IDENTITAS UNIT!D9"")"),"#N/A")</f>
        <v>#N/A</v>
      </c>
      <c r="H7031" s="4" t="str">
        <v/>
      </c>
      <c r="I7031" s="4" t="str">
        <v/>
      </c>
    </row>
    <row r="7032" spans="5:9" ht="16.5" hidden="1">
      <c r="E7032" s="4" t="str">
        <v/>
      </c>
      <c r="F7032" s="102" t="str">
        <f ca="1">IFERROR(__xludf.DUMMYFUNCTION("IMPORTRANGE(H7032,""IDENTITAS UNIT!D9"")"),"#N/A")</f>
        <v>#N/A</v>
      </c>
      <c r="H7032" s="4" t="str">
        <v/>
      </c>
      <c r="I7032" s="4" t="str">
        <v/>
      </c>
    </row>
    <row r="7033" spans="5:9" ht="16.5" hidden="1">
      <c r="E7033" s="4" t="str">
        <v/>
      </c>
      <c r="F7033" s="102" t="str">
        <f ca="1">IFERROR(__xludf.DUMMYFUNCTION("IMPORTRANGE(H7033,""IDENTITAS UNIT!D9"")"),"#N/A")</f>
        <v>#N/A</v>
      </c>
      <c r="H7033" s="4" t="str">
        <v/>
      </c>
      <c r="I7033" s="4" t="str">
        <v/>
      </c>
    </row>
    <row r="7034" spans="5:9" ht="16.5" hidden="1">
      <c r="E7034" s="4" t="str">
        <v/>
      </c>
      <c r="F7034" s="102" t="str">
        <f ca="1">IFERROR(__xludf.DUMMYFUNCTION("IMPORTRANGE(H7034,""IDENTITAS UNIT!D9"")"),"#N/A")</f>
        <v>#N/A</v>
      </c>
      <c r="H7034" s="4" t="str">
        <v/>
      </c>
      <c r="I7034" s="4" t="str">
        <v/>
      </c>
    </row>
    <row r="7035" spans="5:9" ht="16.5" hidden="1">
      <c r="E7035" s="4" t="str">
        <v/>
      </c>
      <c r="F7035" s="102" t="str">
        <f ca="1">IFERROR(__xludf.DUMMYFUNCTION("IMPORTRANGE(H7035,""IDENTITAS UNIT!D9"")"),"#N/A")</f>
        <v>#N/A</v>
      </c>
      <c r="H7035" s="4" t="str">
        <v/>
      </c>
      <c r="I7035" s="4" t="str">
        <v/>
      </c>
    </row>
    <row r="7036" spans="5:9" ht="16.5" hidden="1">
      <c r="E7036" s="4" t="str">
        <v/>
      </c>
      <c r="F7036" s="102" t="str">
        <f ca="1">IFERROR(__xludf.DUMMYFUNCTION("IMPORTRANGE(H7036,""IDENTITAS UNIT!D9"")"),"#N/A")</f>
        <v>#N/A</v>
      </c>
      <c r="H7036" s="4" t="str">
        <v/>
      </c>
      <c r="I7036" s="4" t="str">
        <v/>
      </c>
    </row>
    <row r="7037" spans="5:9" ht="16.5" hidden="1">
      <c r="E7037" s="4" t="str">
        <v/>
      </c>
      <c r="F7037" s="102" t="str">
        <f ca="1">IFERROR(__xludf.DUMMYFUNCTION("IMPORTRANGE(H7037,""IDENTITAS UNIT!D9"")"),"#N/A")</f>
        <v>#N/A</v>
      </c>
      <c r="H7037" s="4" t="str">
        <v/>
      </c>
      <c r="I7037" s="4" t="str">
        <v/>
      </c>
    </row>
    <row r="7038" spans="5:9" ht="16.5" hidden="1">
      <c r="E7038" s="4" t="str">
        <v/>
      </c>
      <c r="F7038" s="102" t="str">
        <f ca="1">IFERROR(__xludf.DUMMYFUNCTION("IMPORTRANGE(H7038,""IDENTITAS UNIT!D9"")"),"#N/A")</f>
        <v>#N/A</v>
      </c>
      <c r="H7038" s="4" t="str">
        <v/>
      </c>
      <c r="I7038" s="4" t="str">
        <v/>
      </c>
    </row>
    <row r="7039" spans="5:9" ht="16.5" hidden="1">
      <c r="E7039" s="4" t="str">
        <v/>
      </c>
      <c r="F7039" s="102" t="str">
        <f ca="1">IFERROR(__xludf.DUMMYFUNCTION("IMPORTRANGE(H7039,""IDENTITAS UNIT!D9"")"),"#N/A")</f>
        <v>#N/A</v>
      </c>
      <c r="H7039" s="4" t="str">
        <v/>
      </c>
      <c r="I7039" s="4" t="str">
        <v/>
      </c>
    </row>
    <row r="7040" spans="5:9" ht="16.5" hidden="1">
      <c r="E7040" s="4" t="str">
        <v/>
      </c>
      <c r="F7040" s="102" t="str">
        <f ca="1">IFERROR(__xludf.DUMMYFUNCTION("IMPORTRANGE(H7040,""IDENTITAS UNIT!D9"")"),"#N/A")</f>
        <v>#N/A</v>
      </c>
      <c r="H7040" s="4" t="str">
        <v/>
      </c>
      <c r="I7040" s="4" t="str">
        <v/>
      </c>
    </row>
    <row r="7041" spans="5:9" ht="16.5" hidden="1">
      <c r="E7041" s="4" t="str">
        <v/>
      </c>
      <c r="F7041" s="102" t="str">
        <f ca="1">IFERROR(__xludf.DUMMYFUNCTION("IMPORTRANGE(H7041,""IDENTITAS UNIT!D9"")"),"#N/A")</f>
        <v>#N/A</v>
      </c>
      <c r="H7041" s="4" t="str">
        <v/>
      </c>
      <c r="I7041" s="4" t="str">
        <v/>
      </c>
    </row>
    <row r="7042" spans="5:9" ht="16.5" hidden="1">
      <c r="E7042" s="4" t="str">
        <v/>
      </c>
      <c r="F7042" s="102" t="str">
        <f ca="1">IFERROR(__xludf.DUMMYFUNCTION("IMPORTRANGE(H7042,""IDENTITAS UNIT!D9"")"),"#N/A")</f>
        <v>#N/A</v>
      </c>
      <c r="H7042" s="4" t="str">
        <v/>
      </c>
      <c r="I7042" s="4" t="str">
        <v/>
      </c>
    </row>
    <row r="7043" spans="5:9" ht="16.5" hidden="1">
      <c r="E7043" s="4" t="str">
        <v/>
      </c>
      <c r="F7043" s="102" t="str">
        <f ca="1">IFERROR(__xludf.DUMMYFUNCTION("IMPORTRANGE(H7043,""IDENTITAS UNIT!D9"")"),"#N/A")</f>
        <v>#N/A</v>
      </c>
      <c r="H7043" s="4" t="str">
        <v/>
      </c>
      <c r="I7043" s="4" t="str">
        <v/>
      </c>
    </row>
    <row r="7044" spans="5:9" ht="16.5" hidden="1">
      <c r="E7044" s="4" t="str">
        <v/>
      </c>
      <c r="F7044" s="102" t="str">
        <f ca="1">IFERROR(__xludf.DUMMYFUNCTION("IMPORTRANGE(H7044,""IDENTITAS UNIT!D9"")"),"#N/A")</f>
        <v>#N/A</v>
      </c>
      <c r="H7044" s="4" t="str">
        <v/>
      </c>
      <c r="I7044" s="4" t="str">
        <v/>
      </c>
    </row>
    <row r="7045" spans="5:9" ht="16.5" hidden="1">
      <c r="E7045" s="4" t="str">
        <v/>
      </c>
      <c r="F7045" s="102" t="str">
        <f ca="1">IFERROR(__xludf.DUMMYFUNCTION("IMPORTRANGE(H7045,""IDENTITAS UNIT!D9"")"),"#N/A")</f>
        <v>#N/A</v>
      </c>
      <c r="H7045" s="4" t="str">
        <v/>
      </c>
      <c r="I7045" s="4" t="str">
        <v/>
      </c>
    </row>
    <row r="7046" spans="5:9" ht="16.5" hidden="1">
      <c r="E7046" s="4" t="str">
        <v/>
      </c>
      <c r="F7046" s="102" t="str">
        <f ca="1">IFERROR(__xludf.DUMMYFUNCTION("IMPORTRANGE(H7046,""IDENTITAS UNIT!D9"")"),"#N/A")</f>
        <v>#N/A</v>
      </c>
      <c r="H7046" s="4" t="str">
        <v/>
      </c>
      <c r="I7046" s="4" t="str">
        <v/>
      </c>
    </row>
    <row r="7047" spans="5:9" ht="16.5" hidden="1">
      <c r="E7047" s="4" t="str">
        <v/>
      </c>
      <c r="F7047" s="102" t="str">
        <f ca="1">IFERROR(__xludf.DUMMYFUNCTION("IMPORTRANGE(H7047,""IDENTITAS UNIT!D9"")"),"#N/A")</f>
        <v>#N/A</v>
      </c>
      <c r="H7047" s="4" t="str">
        <v/>
      </c>
      <c r="I7047" s="4" t="str">
        <v/>
      </c>
    </row>
    <row r="7048" spans="5:9" ht="16.5" hidden="1">
      <c r="E7048" s="4" t="str">
        <v/>
      </c>
      <c r="F7048" s="102" t="str">
        <f ca="1">IFERROR(__xludf.DUMMYFUNCTION("IMPORTRANGE(H7048,""IDENTITAS UNIT!D9"")"),"#N/A")</f>
        <v>#N/A</v>
      </c>
      <c r="H7048" s="4" t="str">
        <v/>
      </c>
      <c r="I7048" s="4" t="str">
        <v/>
      </c>
    </row>
    <row r="7049" spans="5:9" ht="16.5" hidden="1">
      <c r="E7049" s="4" t="str">
        <v/>
      </c>
      <c r="F7049" s="102" t="str">
        <f ca="1">IFERROR(__xludf.DUMMYFUNCTION("IMPORTRANGE(H7049,""IDENTITAS UNIT!D9"")"),"#N/A")</f>
        <v>#N/A</v>
      </c>
      <c r="H7049" s="4" t="str">
        <v/>
      </c>
      <c r="I7049" s="4" t="str">
        <v/>
      </c>
    </row>
    <row r="7050" spans="5:9" ht="16.5" hidden="1">
      <c r="E7050" s="4" t="str">
        <v/>
      </c>
      <c r="F7050" s="102" t="str">
        <f ca="1">IFERROR(__xludf.DUMMYFUNCTION("IMPORTRANGE(H7050,""IDENTITAS UNIT!D9"")"),"#N/A")</f>
        <v>#N/A</v>
      </c>
      <c r="H7050" s="4" t="str">
        <v/>
      </c>
      <c r="I7050" s="4" t="str">
        <v/>
      </c>
    </row>
    <row r="7051" spans="5:9" ht="16.5" hidden="1">
      <c r="E7051" s="4" t="str">
        <v/>
      </c>
      <c r="F7051" s="102" t="str">
        <f ca="1">IFERROR(__xludf.DUMMYFUNCTION("IMPORTRANGE(H7051,""IDENTITAS UNIT!D9"")"),"#N/A")</f>
        <v>#N/A</v>
      </c>
      <c r="H7051" s="4" t="str">
        <v/>
      </c>
      <c r="I7051" s="4" t="str">
        <v/>
      </c>
    </row>
    <row r="7052" spans="5:9" ht="16.5" hidden="1">
      <c r="E7052" s="4" t="str">
        <v/>
      </c>
      <c r="F7052" s="102" t="str">
        <f ca="1">IFERROR(__xludf.DUMMYFUNCTION("IMPORTRANGE(H7052,""IDENTITAS UNIT!D9"")"),"#N/A")</f>
        <v>#N/A</v>
      </c>
      <c r="H7052" s="4" t="str">
        <v/>
      </c>
      <c r="I7052" s="4" t="str">
        <v/>
      </c>
    </row>
    <row r="7053" spans="5:9" ht="16.5" hidden="1">
      <c r="E7053" s="4" t="str">
        <v/>
      </c>
      <c r="F7053" s="102" t="str">
        <f ca="1">IFERROR(__xludf.DUMMYFUNCTION("IMPORTRANGE(H7053,""IDENTITAS UNIT!D9"")"),"#N/A")</f>
        <v>#N/A</v>
      </c>
      <c r="H7053" s="4" t="str">
        <v/>
      </c>
      <c r="I7053" s="4" t="str">
        <v/>
      </c>
    </row>
    <row r="7054" spans="5:9" ht="16.5" hidden="1">
      <c r="E7054" s="4" t="str">
        <v/>
      </c>
      <c r="F7054" s="102" t="str">
        <f ca="1">IFERROR(__xludf.DUMMYFUNCTION("IMPORTRANGE(H7054,""IDENTITAS UNIT!D9"")"),"#N/A")</f>
        <v>#N/A</v>
      </c>
      <c r="H7054" s="4" t="str">
        <v/>
      </c>
      <c r="I7054" s="4" t="str">
        <v/>
      </c>
    </row>
    <row r="7055" spans="5:9" ht="16.5" hidden="1">
      <c r="E7055" s="4" t="str">
        <v/>
      </c>
      <c r="F7055" s="102" t="str">
        <f ca="1">IFERROR(__xludf.DUMMYFUNCTION("IMPORTRANGE(H7055,""IDENTITAS UNIT!D9"")"),"#N/A")</f>
        <v>#N/A</v>
      </c>
      <c r="H7055" s="4" t="str">
        <v/>
      </c>
      <c r="I7055" s="4" t="str">
        <v/>
      </c>
    </row>
    <row r="7056" spans="5:9" ht="16.5" hidden="1">
      <c r="E7056" s="4" t="str">
        <v/>
      </c>
      <c r="F7056" s="102" t="str">
        <f ca="1">IFERROR(__xludf.DUMMYFUNCTION("IMPORTRANGE(H7056,""IDENTITAS UNIT!D9"")"),"#N/A")</f>
        <v>#N/A</v>
      </c>
      <c r="H7056" s="4" t="str">
        <v/>
      </c>
      <c r="I7056" s="4" t="str">
        <v/>
      </c>
    </row>
    <row r="7057" spans="5:9" ht="16.5" hidden="1">
      <c r="E7057" s="4" t="str">
        <v/>
      </c>
      <c r="F7057" s="102" t="str">
        <f ca="1">IFERROR(__xludf.DUMMYFUNCTION("IMPORTRANGE(H7057,""IDENTITAS UNIT!D9"")"),"#N/A")</f>
        <v>#N/A</v>
      </c>
      <c r="H7057" s="4" t="str">
        <v/>
      </c>
      <c r="I7057" s="4" t="str">
        <v/>
      </c>
    </row>
    <row r="7058" spans="5:9" ht="16.5" hidden="1">
      <c r="E7058" s="4" t="str">
        <v/>
      </c>
      <c r="F7058" s="102" t="str">
        <f ca="1">IFERROR(__xludf.DUMMYFUNCTION("IMPORTRANGE(H7058,""IDENTITAS UNIT!D9"")"),"#N/A")</f>
        <v>#N/A</v>
      </c>
      <c r="H7058" s="4" t="str">
        <v/>
      </c>
      <c r="I7058" s="4" t="str">
        <v/>
      </c>
    </row>
    <row r="7059" spans="5:9" ht="16.5" hidden="1">
      <c r="E7059" s="4" t="str">
        <v/>
      </c>
      <c r="F7059" s="102" t="str">
        <f ca="1">IFERROR(__xludf.DUMMYFUNCTION("IMPORTRANGE(H7059,""IDENTITAS UNIT!D9"")"),"#N/A")</f>
        <v>#N/A</v>
      </c>
      <c r="H7059" s="4" t="str">
        <v/>
      </c>
      <c r="I7059" s="4" t="str">
        <v/>
      </c>
    </row>
    <row r="7060" spans="5:9" ht="16.5" hidden="1">
      <c r="E7060" s="4" t="str">
        <v/>
      </c>
      <c r="F7060" s="102" t="str">
        <f ca="1">IFERROR(__xludf.DUMMYFUNCTION("IMPORTRANGE(H7060,""IDENTITAS UNIT!D9"")"),"#N/A")</f>
        <v>#N/A</v>
      </c>
      <c r="H7060" s="4" t="str">
        <v/>
      </c>
      <c r="I7060" s="4" t="str">
        <v/>
      </c>
    </row>
    <row r="7061" spans="5:9" ht="16.5" hidden="1">
      <c r="E7061" s="4" t="str">
        <v/>
      </c>
      <c r="F7061" s="102" t="str">
        <f ca="1">IFERROR(__xludf.DUMMYFUNCTION("IMPORTRANGE(H7061,""IDENTITAS UNIT!D9"")"),"#N/A")</f>
        <v>#N/A</v>
      </c>
      <c r="H7061" s="4" t="str">
        <v/>
      </c>
      <c r="I7061" s="4" t="str">
        <v/>
      </c>
    </row>
    <row r="7062" spans="5:9" ht="16.5" hidden="1">
      <c r="E7062" s="4" t="str">
        <v/>
      </c>
      <c r="F7062" s="102" t="str">
        <f ca="1">IFERROR(__xludf.DUMMYFUNCTION("IMPORTRANGE(H7062,""IDENTITAS UNIT!D9"")"),"#N/A")</f>
        <v>#N/A</v>
      </c>
      <c r="H7062" s="4" t="str">
        <v/>
      </c>
      <c r="I7062" s="4" t="str">
        <v/>
      </c>
    </row>
    <row r="7063" spans="5:9" ht="16.5" hidden="1">
      <c r="E7063" s="4" t="str">
        <v/>
      </c>
      <c r="F7063" s="102" t="str">
        <f ca="1">IFERROR(__xludf.DUMMYFUNCTION("IMPORTRANGE(H7063,""IDENTITAS UNIT!D9"")"),"#N/A")</f>
        <v>#N/A</v>
      </c>
      <c r="H7063" s="4" t="str">
        <v/>
      </c>
      <c r="I7063" s="4" t="str">
        <v/>
      </c>
    </row>
    <row r="7064" spans="5:9" ht="16.5" hidden="1">
      <c r="E7064" s="4" t="str">
        <v/>
      </c>
      <c r="F7064" s="102" t="str">
        <f ca="1">IFERROR(__xludf.DUMMYFUNCTION("IMPORTRANGE(H7064,""IDENTITAS UNIT!D9"")"),"#N/A")</f>
        <v>#N/A</v>
      </c>
      <c r="H7064" s="4" t="str">
        <v/>
      </c>
      <c r="I7064" s="4" t="str">
        <v/>
      </c>
    </row>
    <row r="7065" spans="5:9" ht="16.5" hidden="1">
      <c r="E7065" s="4" t="str">
        <v/>
      </c>
      <c r="F7065" s="102" t="str">
        <f ca="1">IFERROR(__xludf.DUMMYFUNCTION("IMPORTRANGE(H7065,""IDENTITAS UNIT!D9"")"),"#N/A")</f>
        <v>#N/A</v>
      </c>
      <c r="H7065" s="4" t="str">
        <v/>
      </c>
      <c r="I7065" s="4" t="str">
        <v/>
      </c>
    </row>
    <row r="7066" spans="5:9" ht="16.5" hidden="1">
      <c r="E7066" s="4" t="str">
        <v/>
      </c>
      <c r="F7066" s="102" t="str">
        <f ca="1">IFERROR(__xludf.DUMMYFUNCTION("IMPORTRANGE(H7066,""IDENTITAS UNIT!D9"")"),"#N/A")</f>
        <v>#N/A</v>
      </c>
      <c r="H7066" s="4" t="str">
        <v/>
      </c>
      <c r="I7066" s="4" t="str">
        <v/>
      </c>
    </row>
    <row r="7067" spans="5:9" ht="16.5" hidden="1">
      <c r="E7067" s="4" t="str">
        <v/>
      </c>
      <c r="F7067" s="102" t="str">
        <f ca="1">IFERROR(__xludf.DUMMYFUNCTION("IMPORTRANGE(H7067,""IDENTITAS UNIT!D9"")"),"#N/A")</f>
        <v>#N/A</v>
      </c>
      <c r="H7067" s="4" t="str">
        <v/>
      </c>
      <c r="I7067" s="4" t="str">
        <v/>
      </c>
    </row>
    <row r="7068" spans="5:9" ht="16.5" hidden="1">
      <c r="E7068" s="4" t="str">
        <v/>
      </c>
      <c r="F7068" s="102" t="str">
        <f ca="1">IFERROR(__xludf.DUMMYFUNCTION("IMPORTRANGE(H7068,""IDENTITAS UNIT!D9"")"),"#N/A")</f>
        <v>#N/A</v>
      </c>
      <c r="H7068" s="4" t="str">
        <v/>
      </c>
      <c r="I7068" s="4" t="str">
        <v/>
      </c>
    </row>
    <row r="7069" spans="5:9" ht="16.5" hidden="1">
      <c r="E7069" s="4" t="str">
        <v/>
      </c>
      <c r="F7069" s="102" t="str">
        <f ca="1">IFERROR(__xludf.DUMMYFUNCTION("IMPORTRANGE(H7069,""IDENTITAS UNIT!D9"")"),"#N/A")</f>
        <v>#N/A</v>
      </c>
      <c r="H7069" s="4" t="str">
        <v/>
      </c>
      <c r="I7069" s="4" t="str">
        <v/>
      </c>
    </row>
    <row r="7070" spans="5:9" ht="16.5" hidden="1">
      <c r="E7070" s="4" t="str">
        <v/>
      </c>
      <c r="F7070" s="102" t="str">
        <f ca="1">IFERROR(__xludf.DUMMYFUNCTION("IMPORTRANGE(H7070,""IDENTITAS UNIT!D9"")"),"#N/A")</f>
        <v>#N/A</v>
      </c>
      <c r="H7070" s="4" t="str">
        <v/>
      </c>
      <c r="I7070" s="4" t="str">
        <v/>
      </c>
    </row>
    <row r="7071" spans="5:9" ht="16.5" hidden="1">
      <c r="E7071" s="4" t="str">
        <v/>
      </c>
      <c r="F7071" s="102" t="str">
        <f ca="1">IFERROR(__xludf.DUMMYFUNCTION("IMPORTRANGE(H7071,""IDENTITAS UNIT!D9"")"),"#N/A")</f>
        <v>#N/A</v>
      </c>
      <c r="H7071" s="4" t="str">
        <v/>
      </c>
      <c r="I7071" s="4" t="str">
        <v/>
      </c>
    </row>
    <row r="7072" spans="5:9" ht="16.5" hidden="1">
      <c r="E7072" s="4" t="str">
        <v/>
      </c>
      <c r="F7072" s="102" t="str">
        <f ca="1">IFERROR(__xludf.DUMMYFUNCTION("IMPORTRANGE(H7072,""IDENTITAS UNIT!D9"")"),"#N/A")</f>
        <v>#N/A</v>
      </c>
      <c r="H7072" s="4" t="str">
        <v/>
      </c>
      <c r="I7072" s="4" t="str">
        <v/>
      </c>
    </row>
    <row r="7073" spans="5:9" ht="16.5" hidden="1">
      <c r="E7073" s="4" t="str">
        <v/>
      </c>
      <c r="F7073" s="102" t="str">
        <f ca="1">IFERROR(__xludf.DUMMYFUNCTION("IMPORTRANGE(H7073,""IDENTITAS UNIT!D9"")"),"#N/A")</f>
        <v>#N/A</v>
      </c>
      <c r="H7073" s="4" t="str">
        <v/>
      </c>
      <c r="I7073" s="4" t="str">
        <v/>
      </c>
    </row>
    <row r="7074" spans="5:9" ht="16.5" hidden="1">
      <c r="E7074" s="4" t="str">
        <v/>
      </c>
      <c r="F7074" s="102" t="str">
        <f ca="1">IFERROR(__xludf.DUMMYFUNCTION("IMPORTRANGE(H7074,""IDENTITAS UNIT!D9"")"),"#N/A")</f>
        <v>#N/A</v>
      </c>
      <c r="H7074" s="4" t="str">
        <v/>
      </c>
      <c r="I7074" s="4" t="str">
        <v/>
      </c>
    </row>
    <row r="7075" spans="5:9" ht="16.5" hidden="1">
      <c r="E7075" s="4" t="str">
        <v/>
      </c>
      <c r="F7075" s="102" t="str">
        <f ca="1">IFERROR(__xludf.DUMMYFUNCTION("IMPORTRANGE(H7075,""IDENTITAS UNIT!D9"")"),"#N/A")</f>
        <v>#N/A</v>
      </c>
      <c r="H7075" s="4" t="str">
        <v/>
      </c>
      <c r="I7075" s="4" t="str">
        <v/>
      </c>
    </row>
    <row r="7076" spans="5:9" ht="16.5" hidden="1">
      <c r="E7076" s="4" t="str">
        <v/>
      </c>
      <c r="F7076" s="102" t="str">
        <f ca="1">IFERROR(__xludf.DUMMYFUNCTION("IMPORTRANGE(H7076,""IDENTITAS UNIT!D9"")"),"#N/A")</f>
        <v>#N/A</v>
      </c>
      <c r="H7076" s="4" t="str">
        <v/>
      </c>
      <c r="I7076" s="4" t="str">
        <v/>
      </c>
    </row>
    <row r="7077" spans="5:9" ht="16.5" hidden="1">
      <c r="E7077" s="4" t="str">
        <v/>
      </c>
      <c r="F7077" s="102" t="str">
        <f ca="1">IFERROR(__xludf.DUMMYFUNCTION("IMPORTRANGE(H7077,""IDENTITAS UNIT!D9"")"),"#N/A")</f>
        <v>#N/A</v>
      </c>
      <c r="H7077" s="4" t="str">
        <v/>
      </c>
      <c r="I7077" s="4" t="str">
        <v/>
      </c>
    </row>
    <row r="7078" spans="5:9" ht="16.5" hidden="1">
      <c r="E7078" s="4" t="str">
        <v/>
      </c>
      <c r="F7078" s="102" t="str">
        <f ca="1">IFERROR(__xludf.DUMMYFUNCTION("IMPORTRANGE(H7078,""IDENTITAS UNIT!D9"")"),"#N/A")</f>
        <v>#N/A</v>
      </c>
      <c r="H7078" s="4" t="str">
        <v/>
      </c>
      <c r="I7078" s="4" t="str">
        <v/>
      </c>
    </row>
    <row r="7079" spans="5:9" ht="16.5" hidden="1">
      <c r="E7079" s="4" t="str">
        <v/>
      </c>
      <c r="F7079" s="102" t="str">
        <f ca="1">IFERROR(__xludf.DUMMYFUNCTION("IMPORTRANGE(H7079,""IDENTITAS UNIT!D9"")"),"#N/A")</f>
        <v>#N/A</v>
      </c>
      <c r="H7079" s="4" t="str">
        <v/>
      </c>
      <c r="I7079" s="4" t="str">
        <v/>
      </c>
    </row>
    <row r="7080" spans="5:9" ht="16.5" hidden="1">
      <c r="E7080" s="4" t="str">
        <v/>
      </c>
      <c r="F7080" s="102" t="str">
        <f ca="1">IFERROR(__xludf.DUMMYFUNCTION("IMPORTRANGE(H7080,""IDENTITAS UNIT!D9"")"),"#N/A")</f>
        <v>#N/A</v>
      </c>
      <c r="H7080" s="4" t="str">
        <v/>
      </c>
      <c r="I7080" s="4" t="str">
        <v/>
      </c>
    </row>
    <row r="7081" spans="5:9" ht="16.5" hidden="1">
      <c r="E7081" s="4" t="str">
        <v/>
      </c>
      <c r="F7081" s="102" t="str">
        <f ca="1">IFERROR(__xludf.DUMMYFUNCTION("IMPORTRANGE(H7081,""IDENTITAS UNIT!D9"")"),"#N/A")</f>
        <v>#N/A</v>
      </c>
      <c r="H7081" s="4" t="str">
        <v/>
      </c>
      <c r="I7081" s="4" t="str">
        <v/>
      </c>
    </row>
    <row r="7082" spans="5:9" ht="16.5" hidden="1">
      <c r="E7082" s="4" t="str">
        <v/>
      </c>
      <c r="F7082" s="102" t="str">
        <f ca="1">IFERROR(__xludf.DUMMYFUNCTION("IMPORTRANGE(H7082,""IDENTITAS UNIT!D9"")"),"#N/A")</f>
        <v>#N/A</v>
      </c>
      <c r="H7082" s="4" t="str">
        <v/>
      </c>
      <c r="I7082" s="4" t="str">
        <v/>
      </c>
    </row>
    <row r="7083" spans="5:9" ht="16.5" hidden="1">
      <c r="E7083" s="4" t="str">
        <v/>
      </c>
      <c r="F7083" s="102" t="str">
        <f ca="1">IFERROR(__xludf.DUMMYFUNCTION("IMPORTRANGE(H7083,""IDENTITAS UNIT!D9"")"),"#N/A")</f>
        <v>#N/A</v>
      </c>
      <c r="H7083" s="4" t="str">
        <v/>
      </c>
      <c r="I7083" s="4" t="str">
        <v/>
      </c>
    </row>
    <row r="7084" spans="5:9" ht="16.5" hidden="1">
      <c r="E7084" s="4" t="str">
        <v/>
      </c>
      <c r="F7084" s="102" t="str">
        <f ca="1">IFERROR(__xludf.DUMMYFUNCTION("IMPORTRANGE(H7084,""IDENTITAS UNIT!D9"")"),"#N/A")</f>
        <v>#N/A</v>
      </c>
      <c r="H7084" s="4" t="str">
        <v/>
      </c>
      <c r="I7084" s="4" t="str">
        <v/>
      </c>
    </row>
    <row r="7085" spans="5:9" ht="16.5" hidden="1">
      <c r="E7085" s="4" t="str">
        <v/>
      </c>
      <c r="F7085" s="102" t="str">
        <f ca="1">IFERROR(__xludf.DUMMYFUNCTION("IMPORTRANGE(H7085,""IDENTITAS UNIT!D9"")"),"#N/A")</f>
        <v>#N/A</v>
      </c>
      <c r="H7085" s="4" t="str">
        <v/>
      </c>
      <c r="I7085" s="4" t="str">
        <v/>
      </c>
    </row>
    <row r="7086" spans="5:9" ht="16.5" hidden="1">
      <c r="E7086" s="4" t="str">
        <v/>
      </c>
      <c r="F7086" s="102" t="str">
        <f ca="1">IFERROR(__xludf.DUMMYFUNCTION("IMPORTRANGE(H7086,""IDENTITAS UNIT!D9"")"),"#N/A")</f>
        <v>#N/A</v>
      </c>
      <c r="H7086" s="4" t="str">
        <v/>
      </c>
      <c r="I7086" s="4" t="str">
        <v/>
      </c>
    </row>
    <row r="7087" spans="5:9" ht="16.5" hidden="1">
      <c r="E7087" s="4" t="str">
        <v/>
      </c>
      <c r="F7087" s="102" t="str">
        <f ca="1">IFERROR(__xludf.DUMMYFUNCTION("IMPORTRANGE(H7087,""IDENTITAS UNIT!D9"")"),"#N/A")</f>
        <v>#N/A</v>
      </c>
      <c r="H7087" s="4" t="str">
        <v/>
      </c>
      <c r="I7087" s="4" t="str">
        <v/>
      </c>
    </row>
    <row r="7088" spans="5:9" ht="16.5" hidden="1">
      <c r="E7088" s="4" t="str">
        <v/>
      </c>
      <c r="F7088" s="102" t="str">
        <f ca="1">IFERROR(__xludf.DUMMYFUNCTION("IMPORTRANGE(H7088,""IDENTITAS UNIT!D9"")"),"#N/A")</f>
        <v>#N/A</v>
      </c>
      <c r="H7088" s="4" t="str">
        <v/>
      </c>
      <c r="I7088" s="4" t="str">
        <v/>
      </c>
    </row>
    <row r="7089" spans="5:9" ht="16.5" hidden="1">
      <c r="E7089" s="4" t="str">
        <v/>
      </c>
      <c r="F7089" s="102" t="str">
        <f ca="1">IFERROR(__xludf.DUMMYFUNCTION("IMPORTRANGE(H7089,""IDENTITAS UNIT!D9"")"),"#N/A")</f>
        <v>#N/A</v>
      </c>
      <c r="H7089" s="4" t="str">
        <v/>
      </c>
      <c r="I7089" s="4" t="str">
        <v/>
      </c>
    </row>
    <row r="7090" spans="5:9" ht="16.5" hidden="1">
      <c r="E7090" s="4" t="str">
        <v/>
      </c>
      <c r="F7090" s="102" t="str">
        <f ca="1">IFERROR(__xludf.DUMMYFUNCTION("IMPORTRANGE(H7090,""IDENTITAS UNIT!D9"")"),"#N/A")</f>
        <v>#N/A</v>
      </c>
      <c r="H7090" s="4" t="str">
        <v/>
      </c>
      <c r="I7090" s="4" t="str">
        <v/>
      </c>
    </row>
    <row r="7091" spans="5:9" ht="16.5" hidden="1">
      <c r="E7091" s="4" t="str">
        <v/>
      </c>
      <c r="F7091" s="102" t="str">
        <f ca="1">IFERROR(__xludf.DUMMYFUNCTION("IMPORTRANGE(H7091,""IDENTITAS UNIT!D9"")"),"#N/A")</f>
        <v>#N/A</v>
      </c>
      <c r="H7091" s="4" t="str">
        <v/>
      </c>
      <c r="I7091" s="4" t="str">
        <v/>
      </c>
    </row>
    <row r="7092" spans="5:9" ht="16.5" hidden="1">
      <c r="E7092" s="4" t="str">
        <v/>
      </c>
      <c r="F7092" s="102" t="str">
        <f ca="1">IFERROR(__xludf.DUMMYFUNCTION("IMPORTRANGE(H7092,""IDENTITAS UNIT!D9"")"),"#N/A")</f>
        <v>#N/A</v>
      </c>
      <c r="H7092" s="4" t="str">
        <v/>
      </c>
      <c r="I7092" s="4" t="str">
        <v/>
      </c>
    </row>
    <row r="7093" spans="5:9" ht="16.5" hidden="1">
      <c r="E7093" s="4" t="str">
        <v/>
      </c>
      <c r="F7093" s="102" t="str">
        <f ca="1">IFERROR(__xludf.DUMMYFUNCTION("IMPORTRANGE(H7093,""IDENTITAS UNIT!D9"")"),"#N/A")</f>
        <v>#N/A</v>
      </c>
      <c r="H7093" s="4" t="str">
        <v/>
      </c>
      <c r="I7093" s="4" t="str">
        <v/>
      </c>
    </row>
    <row r="7094" spans="5:9" ht="16.5" hidden="1">
      <c r="E7094" s="4" t="str">
        <v/>
      </c>
      <c r="F7094" s="102" t="str">
        <f ca="1">IFERROR(__xludf.DUMMYFUNCTION("IMPORTRANGE(H7094,""IDENTITAS UNIT!D9"")"),"#N/A")</f>
        <v>#N/A</v>
      </c>
      <c r="H7094" s="4" t="str">
        <v/>
      </c>
      <c r="I7094" s="4" t="str">
        <v/>
      </c>
    </row>
    <row r="7095" spans="5:9" ht="16.5" hidden="1">
      <c r="E7095" s="4" t="str">
        <v/>
      </c>
      <c r="F7095" s="102" t="str">
        <f ca="1">IFERROR(__xludf.DUMMYFUNCTION("IMPORTRANGE(H7095,""IDENTITAS UNIT!D9"")"),"#N/A")</f>
        <v>#N/A</v>
      </c>
      <c r="H7095" s="4" t="str">
        <v/>
      </c>
      <c r="I7095" s="4" t="str">
        <v/>
      </c>
    </row>
    <row r="7096" spans="5:9" ht="16.5" hidden="1">
      <c r="E7096" s="4" t="str">
        <v/>
      </c>
      <c r="F7096" s="102" t="str">
        <f ca="1">IFERROR(__xludf.DUMMYFUNCTION("IMPORTRANGE(H7096,""IDENTITAS UNIT!D9"")"),"#N/A")</f>
        <v>#N/A</v>
      </c>
      <c r="H7096" s="4" t="str">
        <v/>
      </c>
      <c r="I7096" s="4" t="str">
        <v/>
      </c>
    </row>
    <row r="7097" spans="5:9" ht="16.5" hidden="1">
      <c r="E7097" s="4" t="str">
        <v/>
      </c>
      <c r="F7097" s="102" t="str">
        <f ca="1">IFERROR(__xludf.DUMMYFUNCTION("IMPORTRANGE(H7097,""IDENTITAS UNIT!D9"")"),"#N/A")</f>
        <v>#N/A</v>
      </c>
      <c r="H7097" s="4" t="str">
        <v/>
      </c>
      <c r="I7097" s="4" t="str">
        <v/>
      </c>
    </row>
    <row r="7098" spans="5:9" ht="16.5" hidden="1">
      <c r="E7098" s="4" t="str">
        <v/>
      </c>
      <c r="F7098" s="102" t="str">
        <f ca="1">IFERROR(__xludf.DUMMYFUNCTION("IMPORTRANGE(H7098,""IDENTITAS UNIT!D9"")"),"#N/A")</f>
        <v>#N/A</v>
      </c>
      <c r="H7098" s="4" t="str">
        <v/>
      </c>
      <c r="I7098" s="4" t="str">
        <v/>
      </c>
    </row>
    <row r="7099" spans="5:9" ht="16.5" hidden="1">
      <c r="E7099" s="4" t="str">
        <v/>
      </c>
      <c r="F7099" s="102" t="str">
        <f ca="1">IFERROR(__xludf.DUMMYFUNCTION("IMPORTRANGE(H7099,""IDENTITAS UNIT!D9"")"),"#N/A")</f>
        <v>#N/A</v>
      </c>
      <c r="H7099" s="4" t="str">
        <v/>
      </c>
      <c r="I7099" s="4" t="str">
        <v/>
      </c>
    </row>
    <row r="7100" spans="5:9" ht="16.5" hidden="1">
      <c r="E7100" s="4" t="str">
        <v/>
      </c>
      <c r="F7100" s="102" t="str">
        <f ca="1">IFERROR(__xludf.DUMMYFUNCTION("IMPORTRANGE(H7100,""IDENTITAS UNIT!D9"")"),"#N/A")</f>
        <v>#N/A</v>
      </c>
      <c r="H7100" s="4" t="str">
        <v/>
      </c>
      <c r="I7100" s="4" t="str">
        <v/>
      </c>
    </row>
    <row r="7101" spans="5:9" ht="16.5" hidden="1">
      <c r="E7101" s="4" t="str">
        <v/>
      </c>
      <c r="F7101" s="102" t="str">
        <f ca="1">IFERROR(__xludf.DUMMYFUNCTION("IMPORTRANGE(H7101,""IDENTITAS UNIT!D9"")"),"#N/A")</f>
        <v>#N/A</v>
      </c>
      <c r="H7101" s="4" t="str">
        <v/>
      </c>
      <c r="I7101" s="4" t="str">
        <v/>
      </c>
    </row>
    <row r="7102" spans="5:9" ht="16.5" hidden="1">
      <c r="E7102" s="4" t="str">
        <v/>
      </c>
      <c r="F7102" s="102" t="str">
        <f ca="1">IFERROR(__xludf.DUMMYFUNCTION("IMPORTRANGE(H7102,""IDENTITAS UNIT!D9"")"),"#N/A")</f>
        <v>#N/A</v>
      </c>
      <c r="H7102" s="4" t="str">
        <v/>
      </c>
      <c r="I7102" s="4" t="str">
        <v/>
      </c>
    </row>
    <row r="7103" spans="5:9" ht="16.5" hidden="1">
      <c r="E7103" s="4" t="str">
        <v/>
      </c>
      <c r="F7103" s="102" t="str">
        <f ca="1">IFERROR(__xludf.DUMMYFUNCTION("IMPORTRANGE(H7103,""IDENTITAS UNIT!D9"")"),"#N/A")</f>
        <v>#N/A</v>
      </c>
      <c r="H7103" s="4" t="str">
        <v/>
      </c>
      <c r="I7103" s="4" t="str">
        <v/>
      </c>
    </row>
    <row r="7104" spans="5:9" ht="16.5" hidden="1">
      <c r="E7104" s="4" t="str">
        <v/>
      </c>
      <c r="F7104" s="102" t="str">
        <f ca="1">IFERROR(__xludf.DUMMYFUNCTION("IMPORTRANGE(H7104,""IDENTITAS UNIT!D9"")"),"#N/A")</f>
        <v>#N/A</v>
      </c>
      <c r="H7104" s="4" t="str">
        <v/>
      </c>
      <c r="I7104" s="4" t="str">
        <v/>
      </c>
    </row>
    <row r="7105" spans="5:9" ht="16.5" hidden="1">
      <c r="E7105" s="4" t="str">
        <v/>
      </c>
      <c r="F7105" s="102" t="str">
        <f ca="1">IFERROR(__xludf.DUMMYFUNCTION("IMPORTRANGE(H7105,""IDENTITAS UNIT!D9"")"),"#N/A")</f>
        <v>#N/A</v>
      </c>
      <c r="H7105" s="4" t="str">
        <v/>
      </c>
      <c r="I7105" s="4" t="str">
        <v/>
      </c>
    </row>
    <row r="7106" spans="5:9" ht="16.5" hidden="1">
      <c r="E7106" s="4" t="str">
        <v/>
      </c>
      <c r="F7106" s="102" t="str">
        <f ca="1">IFERROR(__xludf.DUMMYFUNCTION("IMPORTRANGE(H7106,""IDENTITAS UNIT!D9"")"),"#N/A")</f>
        <v>#N/A</v>
      </c>
      <c r="H7106" s="4" t="str">
        <v/>
      </c>
      <c r="I7106" s="4" t="str">
        <v/>
      </c>
    </row>
    <row r="7107" spans="5:9" ht="16.5" hidden="1">
      <c r="E7107" s="4" t="str">
        <v/>
      </c>
      <c r="F7107" s="102" t="str">
        <f ca="1">IFERROR(__xludf.DUMMYFUNCTION("IMPORTRANGE(H7107,""IDENTITAS UNIT!D9"")"),"#N/A")</f>
        <v>#N/A</v>
      </c>
      <c r="H7107" s="4" t="str">
        <v/>
      </c>
      <c r="I7107" s="4" t="str">
        <v/>
      </c>
    </row>
    <row r="7108" spans="5:9" ht="16.5" hidden="1">
      <c r="E7108" s="4" t="str">
        <v/>
      </c>
      <c r="F7108" s="102" t="str">
        <f ca="1">IFERROR(__xludf.DUMMYFUNCTION("IMPORTRANGE(H7108,""IDENTITAS UNIT!D9"")"),"#N/A")</f>
        <v>#N/A</v>
      </c>
      <c r="H7108" s="4" t="str">
        <v/>
      </c>
      <c r="I7108" s="4" t="str">
        <v/>
      </c>
    </row>
    <row r="7109" spans="5:9" ht="16.5" hidden="1">
      <c r="E7109" s="4" t="str">
        <v/>
      </c>
      <c r="F7109" s="102" t="str">
        <f ca="1">IFERROR(__xludf.DUMMYFUNCTION("IMPORTRANGE(H7109,""IDENTITAS UNIT!D9"")"),"#N/A")</f>
        <v>#N/A</v>
      </c>
      <c r="H7109" s="4" t="str">
        <v/>
      </c>
      <c r="I7109" s="4" t="str">
        <v/>
      </c>
    </row>
    <row r="7110" spans="5:9" ht="16.5" hidden="1">
      <c r="E7110" s="4" t="str">
        <v/>
      </c>
      <c r="F7110" s="102" t="str">
        <f ca="1">IFERROR(__xludf.DUMMYFUNCTION("IMPORTRANGE(H7110,""IDENTITAS UNIT!D9"")"),"#N/A")</f>
        <v>#N/A</v>
      </c>
      <c r="H7110" s="4" t="str">
        <v/>
      </c>
      <c r="I7110" s="4" t="str">
        <v/>
      </c>
    </row>
    <row r="7111" spans="5:9" ht="16.5" hidden="1">
      <c r="E7111" s="4" t="str">
        <v/>
      </c>
      <c r="F7111" s="102" t="str">
        <f ca="1">IFERROR(__xludf.DUMMYFUNCTION("IMPORTRANGE(H7111,""IDENTITAS UNIT!D9"")"),"#N/A")</f>
        <v>#N/A</v>
      </c>
      <c r="H7111" s="4" t="str">
        <v/>
      </c>
      <c r="I7111" s="4" t="str">
        <v/>
      </c>
    </row>
    <row r="7112" spans="5:9" ht="16.5" hidden="1">
      <c r="E7112" s="4" t="str">
        <v/>
      </c>
      <c r="F7112" s="102" t="str">
        <f ca="1">IFERROR(__xludf.DUMMYFUNCTION("IMPORTRANGE(H7112,""IDENTITAS UNIT!D9"")"),"#N/A")</f>
        <v>#N/A</v>
      </c>
      <c r="H7112" s="4" t="str">
        <v/>
      </c>
      <c r="I7112" s="4" t="str">
        <v/>
      </c>
    </row>
    <row r="7113" spans="5:9" ht="16.5" hidden="1">
      <c r="E7113" s="4" t="str">
        <v/>
      </c>
      <c r="F7113" s="102" t="str">
        <f ca="1">IFERROR(__xludf.DUMMYFUNCTION("IMPORTRANGE(H7113,""IDENTITAS UNIT!D9"")"),"#N/A")</f>
        <v>#N/A</v>
      </c>
      <c r="H7113" s="4" t="str">
        <v/>
      </c>
      <c r="I7113" s="4" t="str">
        <v/>
      </c>
    </row>
    <row r="7114" spans="5:9" ht="16.5" hidden="1">
      <c r="E7114" s="4" t="str">
        <v/>
      </c>
      <c r="F7114" s="102" t="str">
        <f ca="1">IFERROR(__xludf.DUMMYFUNCTION("IMPORTRANGE(H7114,""IDENTITAS UNIT!D9"")"),"#N/A")</f>
        <v>#N/A</v>
      </c>
      <c r="H7114" s="4" t="str">
        <v/>
      </c>
      <c r="I7114" s="4" t="str">
        <v/>
      </c>
    </row>
    <row r="7115" spans="5:9" ht="16.5" hidden="1">
      <c r="E7115" s="4" t="str">
        <v/>
      </c>
      <c r="F7115" s="102" t="str">
        <f ca="1">IFERROR(__xludf.DUMMYFUNCTION("IMPORTRANGE(H7115,""IDENTITAS UNIT!D9"")"),"#N/A")</f>
        <v>#N/A</v>
      </c>
      <c r="H7115" s="4" t="str">
        <v/>
      </c>
      <c r="I7115" s="4" t="str">
        <v/>
      </c>
    </row>
    <row r="7116" spans="5:9" ht="16.5" hidden="1">
      <c r="E7116" s="4" t="str">
        <v/>
      </c>
      <c r="F7116" s="102" t="str">
        <f ca="1">IFERROR(__xludf.DUMMYFUNCTION("IMPORTRANGE(H7116,""IDENTITAS UNIT!D9"")"),"#N/A")</f>
        <v>#N/A</v>
      </c>
      <c r="H7116" s="4" t="str">
        <v/>
      </c>
      <c r="I7116" s="4" t="str">
        <v/>
      </c>
    </row>
    <row r="7117" spans="5:9" ht="16.5" hidden="1">
      <c r="E7117" s="4" t="str">
        <v/>
      </c>
      <c r="F7117" s="102" t="str">
        <f ca="1">IFERROR(__xludf.DUMMYFUNCTION("IMPORTRANGE(H7117,""IDENTITAS UNIT!D9"")"),"#N/A")</f>
        <v>#N/A</v>
      </c>
      <c r="H7117" s="4" t="str">
        <v/>
      </c>
      <c r="I7117" s="4" t="str">
        <v/>
      </c>
    </row>
    <row r="7118" spans="5:9" ht="16.5" hidden="1">
      <c r="E7118" s="4" t="str">
        <v/>
      </c>
      <c r="F7118" s="102" t="str">
        <f ca="1">IFERROR(__xludf.DUMMYFUNCTION("IMPORTRANGE(H7118,""IDENTITAS UNIT!D9"")"),"#N/A")</f>
        <v>#N/A</v>
      </c>
      <c r="H7118" s="4" t="str">
        <v/>
      </c>
      <c r="I7118" s="4" t="str">
        <v/>
      </c>
    </row>
    <row r="7119" spans="5:9" ht="16.5" hidden="1">
      <c r="E7119" s="4" t="str">
        <v/>
      </c>
      <c r="F7119" s="102" t="str">
        <f ca="1">IFERROR(__xludf.DUMMYFUNCTION("IMPORTRANGE(H7119,""IDENTITAS UNIT!D9"")"),"#N/A")</f>
        <v>#N/A</v>
      </c>
      <c r="H7119" s="4" t="str">
        <v/>
      </c>
      <c r="I7119" s="4" t="str">
        <v/>
      </c>
    </row>
    <row r="7120" spans="5:9" ht="16.5" hidden="1">
      <c r="E7120" s="4" t="str">
        <v/>
      </c>
      <c r="F7120" s="102" t="str">
        <f ca="1">IFERROR(__xludf.DUMMYFUNCTION("IMPORTRANGE(H7120,""IDENTITAS UNIT!D9"")"),"#N/A")</f>
        <v>#N/A</v>
      </c>
      <c r="H7120" s="4" t="str">
        <v/>
      </c>
      <c r="I7120" s="4" t="str">
        <v/>
      </c>
    </row>
    <row r="7121" spans="5:9" ht="16.5" hidden="1">
      <c r="E7121" s="4" t="str">
        <v/>
      </c>
      <c r="F7121" s="102" t="str">
        <f ca="1">IFERROR(__xludf.DUMMYFUNCTION("IMPORTRANGE(H7121,""IDENTITAS UNIT!D9"")"),"#N/A")</f>
        <v>#N/A</v>
      </c>
      <c r="H7121" s="4" t="str">
        <v/>
      </c>
      <c r="I7121" s="4" t="str">
        <v/>
      </c>
    </row>
    <row r="7122" spans="5:9" ht="16.5" hidden="1">
      <c r="E7122" s="4" t="str">
        <v/>
      </c>
      <c r="F7122" s="102" t="str">
        <f ca="1">IFERROR(__xludf.DUMMYFUNCTION("IMPORTRANGE(H7122,""IDENTITAS UNIT!D9"")"),"#N/A")</f>
        <v>#N/A</v>
      </c>
      <c r="H7122" s="4" t="str">
        <v/>
      </c>
      <c r="I7122" s="4" t="str">
        <v/>
      </c>
    </row>
    <row r="7123" spans="5:9" ht="16.5" hidden="1">
      <c r="E7123" s="4" t="str">
        <v/>
      </c>
      <c r="F7123" s="102" t="str">
        <f ca="1">IFERROR(__xludf.DUMMYFUNCTION("IMPORTRANGE(H7123,""IDENTITAS UNIT!D9"")"),"#N/A")</f>
        <v>#N/A</v>
      </c>
      <c r="H7123" s="4" t="str">
        <v/>
      </c>
      <c r="I7123" s="4" t="str">
        <v/>
      </c>
    </row>
    <row r="7124" spans="5:9" ht="16.5" hidden="1">
      <c r="E7124" s="4" t="str">
        <v/>
      </c>
      <c r="F7124" s="102" t="str">
        <f ca="1">IFERROR(__xludf.DUMMYFUNCTION("IMPORTRANGE(H7124,""IDENTITAS UNIT!D9"")"),"#N/A")</f>
        <v>#N/A</v>
      </c>
      <c r="H7124" s="4" t="str">
        <v/>
      </c>
      <c r="I7124" s="4" t="str">
        <v/>
      </c>
    </row>
    <row r="7125" spans="5:9" ht="16.5" hidden="1">
      <c r="E7125" s="4" t="str">
        <v/>
      </c>
      <c r="F7125" s="102" t="str">
        <f ca="1">IFERROR(__xludf.DUMMYFUNCTION("IMPORTRANGE(H7125,""IDENTITAS UNIT!D9"")"),"#N/A")</f>
        <v>#N/A</v>
      </c>
      <c r="H7125" s="4" t="str">
        <v/>
      </c>
      <c r="I7125" s="4" t="str">
        <v/>
      </c>
    </row>
    <row r="7126" spans="5:9" ht="16.5" hidden="1">
      <c r="E7126" s="4" t="str">
        <v/>
      </c>
      <c r="F7126" s="102" t="str">
        <f ca="1">IFERROR(__xludf.DUMMYFUNCTION("IMPORTRANGE(H7126,""IDENTITAS UNIT!D9"")"),"#N/A")</f>
        <v>#N/A</v>
      </c>
      <c r="H7126" s="4" t="str">
        <v/>
      </c>
      <c r="I7126" s="4" t="str">
        <v/>
      </c>
    </row>
    <row r="7127" spans="5:9" ht="16.5" hidden="1">
      <c r="E7127" s="4" t="str">
        <v/>
      </c>
      <c r="F7127" s="102" t="str">
        <f ca="1">IFERROR(__xludf.DUMMYFUNCTION("IMPORTRANGE(H7127,""IDENTITAS UNIT!D9"")"),"#N/A")</f>
        <v>#N/A</v>
      </c>
      <c r="H7127" s="4" t="str">
        <v/>
      </c>
      <c r="I7127" s="4" t="str">
        <v/>
      </c>
    </row>
    <row r="7128" spans="5:9" ht="16.5" hidden="1">
      <c r="E7128" s="4" t="str">
        <v/>
      </c>
      <c r="F7128" s="102" t="str">
        <f ca="1">IFERROR(__xludf.DUMMYFUNCTION("IMPORTRANGE(H7128,""IDENTITAS UNIT!D9"")"),"#N/A")</f>
        <v>#N/A</v>
      </c>
      <c r="H7128" s="4" t="str">
        <v/>
      </c>
      <c r="I7128" s="4" t="str">
        <v/>
      </c>
    </row>
    <row r="7129" spans="5:9" ht="16.5" hidden="1">
      <c r="E7129" s="4" t="str">
        <v/>
      </c>
      <c r="F7129" s="102" t="str">
        <f ca="1">IFERROR(__xludf.DUMMYFUNCTION("IMPORTRANGE(H7129,""IDENTITAS UNIT!D9"")"),"#N/A")</f>
        <v>#N/A</v>
      </c>
      <c r="H7129" s="4" t="str">
        <v/>
      </c>
      <c r="I7129" s="4" t="str">
        <v/>
      </c>
    </row>
    <row r="7130" spans="5:9" ht="16.5" hidden="1">
      <c r="E7130" s="4" t="str">
        <v/>
      </c>
      <c r="F7130" s="102" t="str">
        <f ca="1">IFERROR(__xludf.DUMMYFUNCTION("IMPORTRANGE(H7130,""IDENTITAS UNIT!D9"")"),"#N/A")</f>
        <v>#N/A</v>
      </c>
      <c r="H7130" s="4" t="str">
        <v/>
      </c>
      <c r="I7130" s="4" t="str">
        <v/>
      </c>
    </row>
    <row r="7131" spans="5:9" ht="16.5" hidden="1">
      <c r="E7131" s="4" t="str">
        <v/>
      </c>
      <c r="F7131" s="102" t="str">
        <f ca="1">IFERROR(__xludf.DUMMYFUNCTION("IMPORTRANGE(H7131,""IDENTITAS UNIT!D9"")"),"#N/A")</f>
        <v>#N/A</v>
      </c>
      <c r="H7131" s="4" t="str">
        <v/>
      </c>
      <c r="I7131" s="4" t="str">
        <v/>
      </c>
    </row>
    <row r="7132" spans="5:9" ht="16.5" hidden="1">
      <c r="E7132" s="4" t="str">
        <v/>
      </c>
      <c r="F7132" s="102" t="str">
        <f ca="1">IFERROR(__xludf.DUMMYFUNCTION("IMPORTRANGE(H7132,""IDENTITAS UNIT!D9"")"),"#N/A")</f>
        <v>#N/A</v>
      </c>
      <c r="H7132" s="4" t="str">
        <v/>
      </c>
      <c r="I7132" s="4" t="str">
        <v/>
      </c>
    </row>
    <row r="7133" spans="5:9" ht="16.5" hidden="1">
      <c r="E7133" s="4" t="str">
        <v/>
      </c>
      <c r="F7133" s="102" t="str">
        <f ca="1">IFERROR(__xludf.DUMMYFUNCTION("IMPORTRANGE(H7133,""IDENTITAS UNIT!D9"")"),"#N/A")</f>
        <v>#N/A</v>
      </c>
      <c r="H7133" s="4" t="str">
        <v/>
      </c>
      <c r="I7133" s="4" t="str">
        <v/>
      </c>
    </row>
    <row r="7134" spans="5:9" ht="16.5" hidden="1">
      <c r="E7134" s="4" t="str">
        <v/>
      </c>
      <c r="F7134" s="102" t="str">
        <f ca="1">IFERROR(__xludf.DUMMYFUNCTION("IMPORTRANGE(H7134,""IDENTITAS UNIT!D9"")"),"#N/A")</f>
        <v>#N/A</v>
      </c>
      <c r="H7134" s="4" t="str">
        <v/>
      </c>
      <c r="I7134" s="4" t="str">
        <v/>
      </c>
    </row>
    <row r="7135" spans="5:9" ht="16.5" hidden="1">
      <c r="E7135" s="4" t="str">
        <v/>
      </c>
      <c r="F7135" s="102" t="str">
        <f ca="1">IFERROR(__xludf.DUMMYFUNCTION("IMPORTRANGE(H7135,""IDENTITAS UNIT!D9"")"),"#N/A")</f>
        <v>#N/A</v>
      </c>
      <c r="H7135" s="4" t="str">
        <v/>
      </c>
      <c r="I7135" s="4" t="str">
        <v/>
      </c>
    </row>
    <row r="7136" spans="5:9" ht="16.5" hidden="1">
      <c r="E7136" s="4" t="str">
        <v/>
      </c>
      <c r="F7136" s="102" t="str">
        <f ca="1">IFERROR(__xludf.DUMMYFUNCTION("IMPORTRANGE(H7136,""IDENTITAS UNIT!D9"")"),"#N/A")</f>
        <v>#N/A</v>
      </c>
      <c r="H7136" s="4" t="str">
        <v/>
      </c>
      <c r="I7136" s="4" t="str">
        <v/>
      </c>
    </row>
    <row r="7137" spans="5:9" ht="16.5" hidden="1">
      <c r="E7137" s="4" t="str">
        <v/>
      </c>
      <c r="F7137" s="102" t="str">
        <f ca="1">IFERROR(__xludf.DUMMYFUNCTION("IMPORTRANGE(H7137,""IDENTITAS UNIT!D9"")"),"#N/A")</f>
        <v>#N/A</v>
      </c>
      <c r="H7137" s="4" t="str">
        <v/>
      </c>
      <c r="I7137" s="4" t="str">
        <v/>
      </c>
    </row>
    <row r="7138" spans="5:9" ht="16.5" hidden="1">
      <c r="E7138" s="4" t="str">
        <v/>
      </c>
      <c r="F7138" s="102" t="str">
        <f ca="1">IFERROR(__xludf.DUMMYFUNCTION("IMPORTRANGE(H7138,""IDENTITAS UNIT!D9"")"),"#N/A")</f>
        <v>#N/A</v>
      </c>
      <c r="H7138" s="4" t="str">
        <v/>
      </c>
      <c r="I7138" s="4" t="str">
        <v/>
      </c>
    </row>
    <row r="7139" spans="5:9" ht="16.5" hidden="1">
      <c r="E7139" s="4" t="str">
        <v/>
      </c>
      <c r="F7139" s="102" t="str">
        <f ca="1">IFERROR(__xludf.DUMMYFUNCTION("IMPORTRANGE(H7139,""IDENTITAS UNIT!D9"")"),"#N/A")</f>
        <v>#N/A</v>
      </c>
      <c r="H7139" s="4" t="str">
        <v/>
      </c>
      <c r="I7139" s="4" t="str">
        <v/>
      </c>
    </row>
    <row r="7140" spans="5:9" ht="16.5" hidden="1">
      <c r="E7140" s="4" t="str">
        <v/>
      </c>
      <c r="F7140" s="102" t="str">
        <f ca="1">IFERROR(__xludf.DUMMYFUNCTION("IMPORTRANGE(H7140,""IDENTITAS UNIT!D9"")"),"#N/A")</f>
        <v>#N/A</v>
      </c>
      <c r="H7140" s="4" t="str">
        <v/>
      </c>
      <c r="I7140" s="4" t="str">
        <v/>
      </c>
    </row>
    <row r="7141" spans="5:9" ht="16.5" hidden="1">
      <c r="E7141" s="4" t="str">
        <v/>
      </c>
      <c r="F7141" s="102" t="str">
        <f ca="1">IFERROR(__xludf.DUMMYFUNCTION("IMPORTRANGE(H7141,""IDENTITAS UNIT!D9"")"),"#N/A")</f>
        <v>#N/A</v>
      </c>
      <c r="H7141" s="4" t="str">
        <v/>
      </c>
      <c r="I7141" s="4" t="str">
        <v/>
      </c>
    </row>
    <row r="7142" spans="5:9" ht="16.5" hidden="1">
      <c r="E7142" s="4" t="str">
        <v/>
      </c>
      <c r="F7142" s="102" t="str">
        <f ca="1">IFERROR(__xludf.DUMMYFUNCTION("IMPORTRANGE(H7142,""IDENTITAS UNIT!D9"")"),"#N/A")</f>
        <v>#N/A</v>
      </c>
      <c r="H7142" s="4" t="str">
        <v/>
      </c>
      <c r="I7142" s="4" t="str">
        <v/>
      </c>
    </row>
    <row r="7143" spans="5:9" ht="16.5" hidden="1">
      <c r="E7143" s="4" t="str">
        <v/>
      </c>
      <c r="F7143" s="102" t="str">
        <f ca="1">IFERROR(__xludf.DUMMYFUNCTION("IMPORTRANGE(H7143,""IDENTITAS UNIT!D9"")"),"#N/A")</f>
        <v>#N/A</v>
      </c>
      <c r="H7143" s="4" t="str">
        <v/>
      </c>
      <c r="I7143" s="4" t="str">
        <v/>
      </c>
    </row>
    <row r="7144" spans="5:9" ht="16.5" hidden="1">
      <c r="E7144" s="4" t="str">
        <v/>
      </c>
      <c r="F7144" s="102" t="str">
        <f ca="1">IFERROR(__xludf.DUMMYFUNCTION("IMPORTRANGE(H7144,""IDENTITAS UNIT!D9"")"),"#N/A")</f>
        <v>#N/A</v>
      </c>
      <c r="H7144" s="4" t="str">
        <v/>
      </c>
      <c r="I7144" s="4" t="str">
        <v/>
      </c>
    </row>
    <row r="7145" spans="5:9" ht="16.5" hidden="1">
      <c r="E7145" s="4" t="str">
        <v/>
      </c>
      <c r="F7145" s="102" t="str">
        <f ca="1">IFERROR(__xludf.DUMMYFUNCTION("IMPORTRANGE(H7145,""IDENTITAS UNIT!D9"")"),"#N/A")</f>
        <v>#N/A</v>
      </c>
      <c r="H7145" s="4" t="str">
        <v/>
      </c>
      <c r="I7145" s="4" t="str">
        <v/>
      </c>
    </row>
    <row r="7146" spans="5:9" ht="16.5" hidden="1">
      <c r="E7146" s="4" t="str">
        <v/>
      </c>
      <c r="F7146" s="102" t="str">
        <f ca="1">IFERROR(__xludf.DUMMYFUNCTION("IMPORTRANGE(H7146,""IDENTITAS UNIT!D9"")"),"#N/A")</f>
        <v>#N/A</v>
      </c>
      <c r="H7146" s="4" t="str">
        <v/>
      </c>
      <c r="I7146" s="4" t="str">
        <v/>
      </c>
    </row>
    <row r="7147" spans="5:9" ht="16.5" hidden="1">
      <c r="E7147" s="4" t="str">
        <v/>
      </c>
      <c r="F7147" s="102" t="str">
        <f ca="1">IFERROR(__xludf.DUMMYFUNCTION("IMPORTRANGE(H7147,""IDENTITAS UNIT!D9"")"),"#N/A")</f>
        <v>#N/A</v>
      </c>
      <c r="H7147" s="4" t="str">
        <v/>
      </c>
      <c r="I7147" s="4" t="str">
        <v/>
      </c>
    </row>
    <row r="7148" spans="5:9" ht="16.5" hidden="1">
      <c r="E7148" s="4" t="str">
        <v/>
      </c>
      <c r="F7148" s="102" t="str">
        <f ca="1">IFERROR(__xludf.DUMMYFUNCTION("IMPORTRANGE(H7148,""IDENTITAS UNIT!D9"")"),"#N/A")</f>
        <v>#N/A</v>
      </c>
      <c r="H7148" s="4" t="str">
        <v/>
      </c>
      <c r="I7148" s="4" t="str">
        <v/>
      </c>
    </row>
    <row r="7149" spans="5:9" ht="16.5" hidden="1">
      <c r="E7149" s="4" t="str">
        <v/>
      </c>
      <c r="F7149" s="102" t="str">
        <f ca="1">IFERROR(__xludf.DUMMYFUNCTION("IMPORTRANGE(H7149,""IDENTITAS UNIT!D9"")"),"#N/A")</f>
        <v>#N/A</v>
      </c>
      <c r="H7149" s="4" t="str">
        <v/>
      </c>
      <c r="I7149" s="4" t="str">
        <v/>
      </c>
    </row>
    <row r="7150" spans="5:9" ht="16.5" hidden="1">
      <c r="E7150" s="4" t="str">
        <v/>
      </c>
      <c r="F7150" s="102" t="str">
        <f ca="1">IFERROR(__xludf.DUMMYFUNCTION("IMPORTRANGE(H7150,""IDENTITAS UNIT!D9"")"),"#N/A")</f>
        <v>#N/A</v>
      </c>
      <c r="H7150" s="4" t="str">
        <v/>
      </c>
      <c r="I7150" s="4" t="str">
        <v/>
      </c>
    </row>
    <row r="7151" spans="5:9" ht="16.5" hidden="1">
      <c r="E7151" s="4" t="str">
        <v/>
      </c>
      <c r="F7151" s="102" t="str">
        <f ca="1">IFERROR(__xludf.DUMMYFUNCTION("IMPORTRANGE(H7151,""IDENTITAS UNIT!D9"")"),"#N/A")</f>
        <v>#N/A</v>
      </c>
      <c r="H7151" s="4" t="str">
        <v/>
      </c>
      <c r="I7151" s="4" t="str">
        <v/>
      </c>
    </row>
    <row r="7152" spans="5:9" ht="16.5" hidden="1">
      <c r="E7152" s="4" t="str">
        <v/>
      </c>
      <c r="F7152" s="102" t="str">
        <f ca="1">IFERROR(__xludf.DUMMYFUNCTION("IMPORTRANGE(H7152,""IDENTITAS UNIT!D9"")"),"#N/A")</f>
        <v>#N/A</v>
      </c>
      <c r="H7152" s="4" t="str">
        <v/>
      </c>
      <c r="I7152" s="4" t="str">
        <v/>
      </c>
    </row>
    <row r="7153" spans="5:9" ht="16.5" hidden="1">
      <c r="E7153" s="4" t="str">
        <v/>
      </c>
      <c r="F7153" s="102" t="str">
        <f ca="1">IFERROR(__xludf.DUMMYFUNCTION("IMPORTRANGE(H7153,""IDENTITAS UNIT!D9"")"),"#N/A")</f>
        <v>#N/A</v>
      </c>
      <c r="H7153" s="4" t="str">
        <v/>
      </c>
      <c r="I7153" s="4" t="str">
        <v/>
      </c>
    </row>
    <row r="7154" spans="5:9" ht="16.5" hidden="1">
      <c r="E7154" s="4" t="str">
        <v/>
      </c>
      <c r="F7154" s="102" t="str">
        <f ca="1">IFERROR(__xludf.DUMMYFUNCTION("IMPORTRANGE(H7154,""IDENTITAS UNIT!D9"")"),"#N/A")</f>
        <v>#N/A</v>
      </c>
      <c r="H7154" s="4" t="str">
        <v/>
      </c>
      <c r="I7154" s="4" t="str">
        <v/>
      </c>
    </row>
    <row r="7155" spans="5:9" ht="16.5" hidden="1">
      <c r="E7155" s="4" t="str">
        <v/>
      </c>
      <c r="F7155" s="102" t="str">
        <f ca="1">IFERROR(__xludf.DUMMYFUNCTION("IMPORTRANGE(H7155,""IDENTITAS UNIT!D9"")"),"#N/A")</f>
        <v>#N/A</v>
      </c>
      <c r="H7155" s="4" t="str">
        <v/>
      </c>
      <c r="I7155" s="4" t="str">
        <v/>
      </c>
    </row>
    <row r="7156" spans="5:9" ht="16.5" hidden="1">
      <c r="E7156" s="4" t="str">
        <v/>
      </c>
      <c r="F7156" s="102" t="str">
        <f ca="1">IFERROR(__xludf.DUMMYFUNCTION("IMPORTRANGE(H7156,""IDENTITAS UNIT!D9"")"),"#N/A")</f>
        <v>#N/A</v>
      </c>
      <c r="H7156" s="4" t="str">
        <v/>
      </c>
      <c r="I7156" s="4" t="str">
        <v/>
      </c>
    </row>
    <row r="7157" spans="5:9" ht="16.5" hidden="1">
      <c r="E7157" s="4" t="str">
        <v/>
      </c>
      <c r="F7157" s="102" t="str">
        <f ca="1">IFERROR(__xludf.DUMMYFUNCTION("IMPORTRANGE(H7157,""IDENTITAS UNIT!D9"")"),"#N/A")</f>
        <v>#N/A</v>
      </c>
      <c r="H7157" s="4" t="str">
        <v/>
      </c>
      <c r="I7157" s="4" t="str">
        <v/>
      </c>
    </row>
    <row r="7158" spans="5:9" ht="16.5" hidden="1">
      <c r="E7158" s="4" t="str">
        <v/>
      </c>
      <c r="F7158" s="102" t="str">
        <f ca="1">IFERROR(__xludf.DUMMYFUNCTION("IMPORTRANGE(H7158,""IDENTITAS UNIT!D9"")"),"#N/A")</f>
        <v>#N/A</v>
      </c>
      <c r="H7158" s="4" t="str">
        <v/>
      </c>
      <c r="I7158" s="4" t="str">
        <v/>
      </c>
    </row>
    <row r="7159" spans="5:9" ht="16.5" hidden="1">
      <c r="E7159" s="4" t="str">
        <v/>
      </c>
      <c r="F7159" s="102" t="str">
        <f ca="1">IFERROR(__xludf.DUMMYFUNCTION("IMPORTRANGE(H7159,""IDENTITAS UNIT!D9"")"),"#N/A")</f>
        <v>#N/A</v>
      </c>
      <c r="H7159" s="4" t="str">
        <v/>
      </c>
      <c r="I7159" s="4" t="str">
        <v/>
      </c>
    </row>
    <row r="7160" spans="5:9" ht="16.5" hidden="1">
      <c r="E7160" s="4" t="str">
        <v/>
      </c>
      <c r="F7160" s="102" t="str">
        <f ca="1">IFERROR(__xludf.DUMMYFUNCTION("IMPORTRANGE(H7160,""IDENTITAS UNIT!D9"")"),"#N/A")</f>
        <v>#N/A</v>
      </c>
      <c r="H7160" s="4" t="str">
        <v/>
      </c>
      <c r="I7160" s="4" t="str">
        <v/>
      </c>
    </row>
    <row r="7161" spans="5:9" ht="16.5" hidden="1">
      <c r="E7161" s="4" t="str">
        <v/>
      </c>
      <c r="F7161" s="102" t="str">
        <f ca="1">IFERROR(__xludf.DUMMYFUNCTION("IMPORTRANGE(H7161,""IDENTITAS UNIT!D9"")"),"#N/A")</f>
        <v>#N/A</v>
      </c>
      <c r="H7161" s="4" t="str">
        <v/>
      </c>
      <c r="I7161" s="4" t="str">
        <v/>
      </c>
    </row>
    <row r="7162" spans="5:9" ht="16.5" hidden="1">
      <c r="E7162" s="4" t="str">
        <v/>
      </c>
      <c r="F7162" s="102" t="str">
        <f ca="1">IFERROR(__xludf.DUMMYFUNCTION("IMPORTRANGE(H7162,""IDENTITAS UNIT!D9"")"),"#N/A")</f>
        <v>#N/A</v>
      </c>
      <c r="H7162" s="4" t="str">
        <v/>
      </c>
      <c r="I7162" s="4" t="str">
        <v/>
      </c>
    </row>
    <row r="7163" spans="5:9" ht="16.5" hidden="1">
      <c r="E7163" s="4" t="str">
        <v/>
      </c>
      <c r="F7163" s="102" t="str">
        <f ca="1">IFERROR(__xludf.DUMMYFUNCTION("IMPORTRANGE(H7163,""IDENTITAS UNIT!D9"")"),"#N/A")</f>
        <v>#N/A</v>
      </c>
      <c r="H7163" s="4" t="str">
        <v/>
      </c>
      <c r="I7163" s="4" t="str">
        <v/>
      </c>
    </row>
    <row r="7164" spans="5:9" ht="16.5" hidden="1">
      <c r="E7164" s="4" t="str">
        <v/>
      </c>
      <c r="F7164" s="102" t="str">
        <f ca="1">IFERROR(__xludf.DUMMYFUNCTION("IMPORTRANGE(H7164,""IDENTITAS UNIT!D9"")"),"#N/A")</f>
        <v>#N/A</v>
      </c>
      <c r="H7164" s="4" t="str">
        <v/>
      </c>
      <c r="I7164" s="4" t="str">
        <v/>
      </c>
    </row>
    <row r="7165" spans="5:9" ht="16.5" hidden="1">
      <c r="E7165" s="4" t="str">
        <v/>
      </c>
      <c r="F7165" s="102" t="str">
        <f ca="1">IFERROR(__xludf.DUMMYFUNCTION("IMPORTRANGE(H7165,""IDENTITAS UNIT!D9"")"),"#N/A")</f>
        <v>#N/A</v>
      </c>
      <c r="H7165" s="4" t="str">
        <v/>
      </c>
      <c r="I7165" s="4" t="str">
        <v/>
      </c>
    </row>
    <row r="7166" spans="5:9" ht="16.5" hidden="1">
      <c r="E7166" s="4" t="str">
        <v/>
      </c>
      <c r="F7166" s="102" t="str">
        <f ca="1">IFERROR(__xludf.DUMMYFUNCTION("IMPORTRANGE(H7166,""IDENTITAS UNIT!D9"")"),"#N/A")</f>
        <v>#N/A</v>
      </c>
      <c r="H7166" s="4" t="str">
        <v/>
      </c>
      <c r="I7166" s="4" t="str">
        <v/>
      </c>
    </row>
    <row r="7167" spans="5:9" ht="16.5" hidden="1">
      <c r="E7167" s="4" t="str">
        <v/>
      </c>
      <c r="F7167" s="102" t="str">
        <f ca="1">IFERROR(__xludf.DUMMYFUNCTION("IMPORTRANGE(H7167,""IDENTITAS UNIT!D9"")"),"#N/A")</f>
        <v>#N/A</v>
      </c>
      <c r="H7167" s="4" t="str">
        <v/>
      </c>
      <c r="I7167" s="4" t="str">
        <v/>
      </c>
    </row>
    <row r="7168" spans="5:9" ht="16.5" hidden="1">
      <c r="E7168" s="4" t="str">
        <v/>
      </c>
      <c r="F7168" s="102" t="str">
        <f ca="1">IFERROR(__xludf.DUMMYFUNCTION("IMPORTRANGE(H7168,""IDENTITAS UNIT!D9"")"),"#N/A")</f>
        <v>#N/A</v>
      </c>
      <c r="H7168" s="4" t="str">
        <v/>
      </c>
      <c r="I7168" s="4" t="str">
        <v/>
      </c>
    </row>
    <row r="7169" spans="5:9" ht="16.5" hidden="1">
      <c r="E7169" s="4" t="str">
        <v/>
      </c>
      <c r="F7169" s="102" t="str">
        <f ca="1">IFERROR(__xludf.DUMMYFUNCTION("IMPORTRANGE(H7169,""IDENTITAS UNIT!D9"")"),"#N/A")</f>
        <v>#N/A</v>
      </c>
      <c r="H7169" s="4" t="str">
        <v/>
      </c>
      <c r="I7169" s="4" t="str">
        <v/>
      </c>
    </row>
    <row r="7170" spans="5:9" ht="16.5" hidden="1">
      <c r="E7170" s="4" t="str">
        <v/>
      </c>
      <c r="F7170" s="102" t="str">
        <f ca="1">IFERROR(__xludf.DUMMYFUNCTION("IMPORTRANGE(H7170,""IDENTITAS UNIT!D9"")"),"#N/A")</f>
        <v>#N/A</v>
      </c>
      <c r="H7170" s="4" t="str">
        <v/>
      </c>
      <c r="I7170" s="4" t="str">
        <v/>
      </c>
    </row>
    <row r="7171" spans="5:9" ht="16.5" hidden="1">
      <c r="E7171" s="4" t="str">
        <v/>
      </c>
      <c r="F7171" s="102" t="str">
        <f ca="1">IFERROR(__xludf.DUMMYFUNCTION("IMPORTRANGE(H7171,""IDENTITAS UNIT!D9"")"),"#N/A")</f>
        <v>#N/A</v>
      </c>
      <c r="H7171" s="4" t="str">
        <v/>
      </c>
      <c r="I7171" s="4" t="str">
        <v/>
      </c>
    </row>
    <row r="7172" spans="5:9" ht="16.5" hidden="1">
      <c r="E7172" s="4" t="str">
        <v/>
      </c>
      <c r="F7172" s="102" t="str">
        <f ca="1">IFERROR(__xludf.DUMMYFUNCTION("IMPORTRANGE(H7172,""IDENTITAS UNIT!D9"")"),"#N/A")</f>
        <v>#N/A</v>
      </c>
      <c r="H7172" s="4" t="str">
        <v/>
      </c>
      <c r="I7172" s="4" t="str">
        <v/>
      </c>
    </row>
    <row r="7173" spans="5:9" ht="16.5" hidden="1">
      <c r="E7173" s="4" t="str">
        <v/>
      </c>
      <c r="F7173" s="102" t="str">
        <f ca="1">IFERROR(__xludf.DUMMYFUNCTION("IMPORTRANGE(H7173,""IDENTITAS UNIT!D9"")"),"#N/A")</f>
        <v>#N/A</v>
      </c>
      <c r="H7173" s="4" t="str">
        <v/>
      </c>
      <c r="I7173" s="4" t="str">
        <v/>
      </c>
    </row>
    <row r="7174" spans="5:9" ht="16.5" hidden="1">
      <c r="E7174" s="4" t="str">
        <v/>
      </c>
      <c r="F7174" s="102" t="str">
        <f ca="1">IFERROR(__xludf.DUMMYFUNCTION("IMPORTRANGE(H7174,""IDENTITAS UNIT!D9"")"),"#N/A")</f>
        <v>#N/A</v>
      </c>
      <c r="H7174" s="4" t="str">
        <v/>
      </c>
      <c r="I7174" s="4" t="str">
        <v/>
      </c>
    </row>
    <row r="7175" spans="5:9" ht="16.5" hidden="1">
      <c r="E7175" s="4" t="str">
        <v/>
      </c>
      <c r="F7175" s="102" t="str">
        <f ca="1">IFERROR(__xludf.DUMMYFUNCTION("IMPORTRANGE(H7175,""IDENTITAS UNIT!D9"")"),"#N/A")</f>
        <v>#N/A</v>
      </c>
      <c r="H7175" s="4" t="str">
        <v/>
      </c>
      <c r="I7175" s="4" t="str">
        <v/>
      </c>
    </row>
    <row r="7176" spans="5:9" ht="16.5" hidden="1">
      <c r="E7176" s="4" t="str">
        <v/>
      </c>
      <c r="F7176" s="102" t="str">
        <f ca="1">IFERROR(__xludf.DUMMYFUNCTION("IMPORTRANGE(H7176,""IDENTITAS UNIT!D9"")"),"#N/A")</f>
        <v>#N/A</v>
      </c>
      <c r="H7176" s="4" t="str">
        <v/>
      </c>
      <c r="I7176" s="4" t="str">
        <v/>
      </c>
    </row>
    <row r="7177" spans="5:9" ht="16.5" hidden="1">
      <c r="E7177" s="4" t="str">
        <v/>
      </c>
      <c r="F7177" s="102" t="str">
        <f ca="1">IFERROR(__xludf.DUMMYFUNCTION("IMPORTRANGE(H7177,""IDENTITAS UNIT!D9"")"),"#N/A")</f>
        <v>#N/A</v>
      </c>
      <c r="H7177" s="4" t="str">
        <v/>
      </c>
      <c r="I7177" s="4" t="str">
        <v/>
      </c>
    </row>
    <row r="7178" spans="5:9" ht="16.5" hidden="1">
      <c r="E7178" s="4" t="str">
        <v/>
      </c>
      <c r="F7178" s="102" t="str">
        <f ca="1">IFERROR(__xludf.DUMMYFUNCTION("IMPORTRANGE(H7178,""IDENTITAS UNIT!D9"")"),"#N/A")</f>
        <v>#N/A</v>
      </c>
      <c r="H7178" s="4" t="str">
        <v/>
      </c>
      <c r="I7178" s="4" t="str">
        <v/>
      </c>
    </row>
    <row r="7179" spans="5:9" ht="16.5" hidden="1">
      <c r="E7179" s="4" t="str">
        <v/>
      </c>
      <c r="F7179" s="102" t="str">
        <f ca="1">IFERROR(__xludf.DUMMYFUNCTION("IMPORTRANGE(H7179,""IDENTITAS UNIT!D9"")"),"#N/A")</f>
        <v>#N/A</v>
      </c>
      <c r="H7179" s="4" t="str">
        <v/>
      </c>
      <c r="I7179" s="4" t="str">
        <v/>
      </c>
    </row>
    <row r="7180" spans="5:9" ht="16.5" hidden="1">
      <c r="E7180" s="4" t="str">
        <v/>
      </c>
      <c r="F7180" s="102" t="str">
        <f ca="1">IFERROR(__xludf.DUMMYFUNCTION("IMPORTRANGE(H7180,""IDENTITAS UNIT!D9"")"),"#N/A")</f>
        <v>#N/A</v>
      </c>
      <c r="H7180" s="4" t="str">
        <v/>
      </c>
      <c r="I7180" s="4" t="str">
        <v/>
      </c>
    </row>
    <row r="7181" spans="5:9" ht="16.5" hidden="1">
      <c r="E7181" s="4" t="str">
        <v/>
      </c>
      <c r="F7181" s="102" t="str">
        <f ca="1">IFERROR(__xludf.DUMMYFUNCTION("IMPORTRANGE(H7181,""IDENTITAS UNIT!D9"")"),"#N/A")</f>
        <v>#N/A</v>
      </c>
      <c r="H7181" s="4" t="str">
        <v/>
      </c>
      <c r="I7181" s="4" t="str">
        <v/>
      </c>
    </row>
    <row r="7182" spans="5:9" ht="16.5" hidden="1">
      <c r="E7182" s="4" t="str">
        <v/>
      </c>
      <c r="F7182" s="102" t="str">
        <f ca="1">IFERROR(__xludf.DUMMYFUNCTION("IMPORTRANGE(H7182,""IDENTITAS UNIT!D9"")"),"#N/A")</f>
        <v>#N/A</v>
      </c>
      <c r="H7182" s="4" t="str">
        <v/>
      </c>
      <c r="I7182" s="4" t="str">
        <v/>
      </c>
    </row>
    <row r="7183" spans="5:9" ht="16.5" hidden="1">
      <c r="E7183" s="4" t="str">
        <v/>
      </c>
      <c r="F7183" s="102" t="str">
        <f ca="1">IFERROR(__xludf.DUMMYFUNCTION("IMPORTRANGE(H7183,""IDENTITAS UNIT!D9"")"),"#N/A")</f>
        <v>#N/A</v>
      </c>
      <c r="H7183" s="4" t="str">
        <v/>
      </c>
      <c r="I7183" s="4" t="str">
        <v/>
      </c>
    </row>
    <row r="7184" spans="5:9" ht="16.5" hidden="1">
      <c r="E7184" s="4" t="str">
        <v/>
      </c>
      <c r="F7184" s="102" t="str">
        <f ca="1">IFERROR(__xludf.DUMMYFUNCTION("IMPORTRANGE(H7184,""IDENTITAS UNIT!D9"")"),"#N/A")</f>
        <v>#N/A</v>
      </c>
      <c r="H7184" s="4" t="str">
        <v/>
      </c>
      <c r="I7184" s="4" t="str">
        <v/>
      </c>
    </row>
    <row r="7185" spans="5:9" ht="16.5" hidden="1">
      <c r="E7185" s="4" t="str">
        <v/>
      </c>
      <c r="F7185" s="102" t="str">
        <f ca="1">IFERROR(__xludf.DUMMYFUNCTION("IMPORTRANGE(H7185,""IDENTITAS UNIT!D9"")"),"#N/A")</f>
        <v>#N/A</v>
      </c>
      <c r="H7185" s="4" t="str">
        <v/>
      </c>
      <c r="I7185" s="4" t="str">
        <v/>
      </c>
    </row>
    <row r="7186" spans="5:9" ht="16.5" hidden="1">
      <c r="E7186" s="4" t="str">
        <v/>
      </c>
      <c r="F7186" s="102" t="str">
        <f ca="1">IFERROR(__xludf.DUMMYFUNCTION("IMPORTRANGE(H7186,""IDENTITAS UNIT!D9"")"),"#N/A")</f>
        <v>#N/A</v>
      </c>
      <c r="H7186" s="4" t="str">
        <v/>
      </c>
      <c r="I7186" s="4" t="str">
        <v/>
      </c>
    </row>
    <row r="7187" spans="5:9" ht="16.5" hidden="1">
      <c r="E7187" s="4" t="str">
        <v/>
      </c>
      <c r="F7187" s="102" t="str">
        <f ca="1">IFERROR(__xludf.DUMMYFUNCTION("IMPORTRANGE(H7187,""IDENTITAS UNIT!D9"")"),"#N/A")</f>
        <v>#N/A</v>
      </c>
      <c r="H7187" s="4" t="str">
        <v/>
      </c>
      <c r="I7187" s="4" t="str">
        <v/>
      </c>
    </row>
    <row r="7188" spans="5:9" ht="16.5" hidden="1">
      <c r="E7188" s="4" t="str">
        <v/>
      </c>
      <c r="F7188" s="102" t="str">
        <f ca="1">IFERROR(__xludf.DUMMYFUNCTION("IMPORTRANGE(H7188,""IDENTITAS UNIT!D9"")"),"#N/A")</f>
        <v>#N/A</v>
      </c>
      <c r="H7188" s="4" t="str">
        <v/>
      </c>
      <c r="I7188" s="4" t="str">
        <v/>
      </c>
    </row>
    <row r="7189" spans="5:9" ht="16.5" hidden="1">
      <c r="E7189" s="4" t="str">
        <v/>
      </c>
      <c r="F7189" s="102" t="str">
        <f ca="1">IFERROR(__xludf.DUMMYFUNCTION("IMPORTRANGE(H7189,""IDENTITAS UNIT!D9"")"),"#N/A")</f>
        <v>#N/A</v>
      </c>
      <c r="H7189" s="4" t="str">
        <v/>
      </c>
      <c r="I7189" s="4" t="str">
        <v/>
      </c>
    </row>
    <row r="7190" spans="5:9" ht="16.5" hidden="1">
      <c r="E7190" s="4" t="str">
        <v/>
      </c>
      <c r="F7190" s="102" t="str">
        <f ca="1">IFERROR(__xludf.DUMMYFUNCTION("IMPORTRANGE(H7190,""IDENTITAS UNIT!D9"")"),"#N/A")</f>
        <v>#N/A</v>
      </c>
      <c r="H7190" s="4" t="str">
        <v/>
      </c>
      <c r="I7190" s="4" t="str">
        <v/>
      </c>
    </row>
    <row r="7191" spans="5:9" ht="16.5" hidden="1">
      <c r="E7191" s="4" t="str">
        <v/>
      </c>
      <c r="F7191" s="102" t="str">
        <f ca="1">IFERROR(__xludf.DUMMYFUNCTION("IMPORTRANGE(H7191,""IDENTITAS UNIT!D9"")"),"#N/A")</f>
        <v>#N/A</v>
      </c>
      <c r="H7191" s="4" t="str">
        <v/>
      </c>
      <c r="I7191" s="4" t="str">
        <v/>
      </c>
    </row>
    <row r="7192" spans="5:9" ht="16.5" hidden="1">
      <c r="E7192" s="4" t="str">
        <v/>
      </c>
      <c r="F7192" s="102" t="str">
        <f ca="1">IFERROR(__xludf.DUMMYFUNCTION("IMPORTRANGE(H7192,""IDENTITAS UNIT!D9"")"),"#N/A")</f>
        <v>#N/A</v>
      </c>
      <c r="H7192" s="4" t="str">
        <v/>
      </c>
      <c r="I7192" s="4" t="str">
        <v/>
      </c>
    </row>
    <row r="7193" spans="5:9" ht="16.5" hidden="1">
      <c r="E7193" s="4" t="str">
        <v/>
      </c>
      <c r="F7193" s="102" t="str">
        <f ca="1">IFERROR(__xludf.DUMMYFUNCTION("IMPORTRANGE(H7193,""IDENTITAS UNIT!D9"")"),"#N/A")</f>
        <v>#N/A</v>
      </c>
      <c r="H7193" s="4" t="str">
        <v/>
      </c>
      <c r="I7193" s="4" t="str">
        <v/>
      </c>
    </row>
    <row r="7194" spans="5:9" ht="16.5" hidden="1">
      <c r="E7194" s="4" t="str">
        <v/>
      </c>
      <c r="F7194" s="102" t="str">
        <f ca="1">IFERROR(__xludf.DUMMYFUNCTION("IMPORTRANGE(H7194,""IDENTITAS UNIT!D9"")"),"#N/A")</f>
        <v>#N/A</v>
      </c>
      <c r="H7194" s="4" t="str">
        <v/>
      </c>
      <c r="I7194" s="4" t="str">
        <v/>
      </c>
    </row>
    <row r="7195" spans="5:9" ht="16.5" hidden="1">
      <c r="E7195" s="4" t="str">
        <v/>
      </c>
      <c r="F7195" s="102" t="str">
        <f ca="1">IFERROR(__xludf.DUMMYFUNCTION("IMPORTRANGE(H7195,""IDENTITAS UNIT!D9"")"),"#N/A")</f>
        <v>#N/A</v>
      </c>
      <c r="H7195" s="4" t="str">
        <v/>
      </c>
      <c r="I7195" s="4" t="str">
        <v/>
      </c>
    </row>
    <row r="7196" spans="5:9" ht="16.5" hidden="1">
      <c r="E7196" s="4" t="str">
        <v/>
      </c>
      <c r="F7196" s="102" t="str">
        <f ca="1">IFERROR(__xludf.DUMMYFUNCTION("IMPORTRANGE(H7196,""IDENTITAS UNIT!D9"")"),"#N/A")</f>
        <v>#N/A</v>
      </c>
      <c r="H7196" s="4" t="str">
        <v/>
      </c>
      <c r="I7196" s="4" t="str">
        <v/>
      </c>
    </row>
    <row r="7197" spans="5:9" ht="16.5" hidden="1">
      <c r="E7197" s="4" t="str">
        <v/>
      </c>
      <c r="F7197" s="102" t="str">
        <f ca="1">IFERROR(__xludf.DUMMYFUNCTION("IMPORTRANGE(H7197,""IDENTITAS UNIT!D9"")"),"#N/A")</f>
        <v>#N/A</v>
      </c>
      <c r="H7197" s="4" t="str">
        <v/>
      </c>
      <c r="I7197" s="4" t="str">
        <v/>
      </c>
    </row>
    <row r="7198" spans="5:9" ht="16.5" hidden="1">
      <c r="E7198" s="4" t="str">
        <v/>
      </c>
      <c r="F7198" s="102" t="str">
        <f ca="1">IFERROR(__xludf.DUMMYFUNCTION("IMPORTRANGE(H7198,""IDENTITAS UNIT!D9"")"),"#N/A")</f>
        <v>#N/A</v>
      </c>
      <c r="H7198" s="4" t="str">
        <v/>
      </c>
      <c r="I7198" s="4" t="str">
        <v/>
      </c>
    </row>
    <row r="7199" spans="5:9" ht="16.5" hidden="1">
      <c r="E7199" s="4" t="str">
        <v/>
      </c>
      <c r="F7199" s="102" t="str">
        <f ca="1">IFERROR(__xludf.DUMMYFUNCTION("IMPORTRANGE(H7199,""IDENTITAS UNIT!D9"")"),"#N/A")</f>
        <v>#N/A</v>
      </c>
      <c r="H7199" s="4" t="str">
        <v/>
      </c>
      <c r="I7199" s="4" t="str">
        <v/>
      </c>
    </row>
    <row r="7200" spans="5:9" ht="16.5" hidden="1">
      <c r="E7200" s="4" t="str">
        <v/>
      </c>
      <c r="F7200" s="102" t="str">
        <f ca="1">IFERROR(__xludf.DUMMYFUNCTION("IMPORTRANGE(H7200,""IDENTITAS UNIT!D9"")"),"#N/A")</f>
        <v>#N/A</v>
      </c>
      <c r="H7200" s="4" t="str">
        <v/>
      </c>
      <c r="I7200" s="4" t="str">
        <v/>
      </c>
    </row>
    <row r="7201" spans="5:9" ht="16.5" hidden="1">
      <c r="E7201" s="4" t="str">
        <v/>
      </c>
      <c r="F7201" s="102" t="str">
        <f ca="1">IFERROR(__xludf.DUMMYFUNCTION("IMPORTRANGE(H7201,""IDENTITAS UNIT!D9"")"),"#N/A")</f>
        <v>#N/A</v>
      </c>
      <c r="H7201" s="4" t="str">
        <v/>
      </c>
      <c r="I7201" s="4" t="str">
        <v/>
      </c>
    </row>
    <row r="7202" spans="5:9" ht="16.5" hidden="1">
      <c r="E7202" s="4" t="str">
        <v/>
      </c>
      <c r="F7202" s="102" t="str">
        <f ca="1">IFERROR(__xludf.DUMMYFUNCTION("IMPORTRANGE(H7202,""IDENTITAS UNIT!D9"")"),"#N/A")</f>
        <v>#N/A</v>
      </c>
      <c r="H7202" s="4" t="str">
        <v/>
      </c>
      <c r="I7202" s="4" t="str">
        <v/>
      </c>
    </row>
    <row r="7203" spans="5:9" ht="16.5" hidden="1">
      <c r="E7203" s="4" t="str">
        <v/>
      </c>
      <c r="F7203" s="102" t="str">
        <f ca="1">IFERROR(__xludf.DUMMYFUNCTION("IMPORTRANGE(H7203,""IDENTITAS UNIT!D9"")"),"#N/A")</f>
        <v>#N/A</v>
      </c>
      <c r="H7203" s="4" t="str">
        <v/>
      </c>
      <c r="I7203" s="4" t="str">
        <v/>
      </c>
    </row>
    <row r="7204" spans="5:9" ht="16.5" hidden="1">
      <c r="E7204" s="4" t="str">
        <v/>
      </c>
      <c r="F7204" s="102" t="str">
        <f ca="1">IFERROR(__xludf.DUMMYFUNCTION("IMPORTRANGE(H7204,""IDENTITAS UNIT!D9"")"),"#N/A")</f>
        <v>#N/A</v>
      </c>
      <c r="H7204" s="4" t="str">
        <v/>
      </c>
      <c r="I7204" s="4" t="str">
        <v/>
      </c>
    </row>
    <row r="7205" spans="5:9" ht="16.5" hidden="1">
      <c r="E7205" s="4" t="str">
        <v/>
      </c>
      <c r="F7205" s="102" t="str">
        <f ca="1">IFERROR(__xludf.DUMMYFUNCTION("IMPORTRANGE(H7205,""IDENTITAS UNIT!D9"")"),"#N/A")</f>
        <v>#N/A</v>
      </c>
      <c r="H7205" s="4" t="str">
        <v/>
      </c>
      <c r="I7205" s="4" t="str">
        <v/>
      </c>
    </row>
    <row r="7206" spans="5:9" ht="16.5" hidden="1">
      <c r="E7206" s="4" t="str">
        <v/>
      </c>
      <c r="F7206" s="102" t="str">
        <f ca="1">IFERROR(__xludf.DUMMYFUNCTION("IMPORTRANGE(H7206,""IDENTITAS UNIT!D9"")"),"#N/A")</f>
        <v>#N/A</v>
      </c>
      <c r="H7206" s="4" t="str">
        <v/>
      </c>
      <c r="I7206" s="4" t="str">
        <v/>
      </c>
    </row>
    <row r="7207" spans="5:9" ht="16.5" hidden="1">
      <c r="E7207" s="4" t="str">
        <v/>
      </c>
      <c r="F7207" s="102" t="str">
        <f ca="1">IFERROR(__xludf.DUMMYFUNCTION("IMPORTRANGE(H7207,""IDENTITAS UNIT!D9"")"),"#N/A")</f>
        <v>#N/A</v>
      </c>
      <c r="H7207" s="4" t="str">
        <v/>
      </c>
      <c r="I7207" s="4" t="str">
        <v/>
      </c>
    </row>
    <row r="7208" spans="5:9" ht="16.5" hidden="1">
      <c r="E7208" s="4" t="str">
        <v/>
      </c>
      <c r="F7208" s="102" t="str">
        <f ca="1">IFERROR(__xludf.DUMMYFUNCTION("IMPORTRANGE(H7208,""IDENTITAS UNIT!D9"")"),"#N/A")</f>
        <v>#N/A</v>
      </c>
      <c r="H7208" s="4" t="str">
        <v/>
      </c>
      <c r="I7208" s="4" t="str">
        <v/>
      </c>
    </row>
    <row r="7209" spans="5:9" ht="16.5" hidden="1">
      <c r="E7209" s="4" t="str">
        <v/>
      </c>
      <c r="F7209" s="102" t="str">
        <f ca="1">IFERROR(__xludf.DUMMYFUNCTION("IMPORTRANGE(H7209,""IDENTITAS UNIT!D9"")"),"#N/A")</f>
        <v>#N/A</v>
      </c>
      <c r="H7209" s="4" t="str">
        <v/>
      </c>
      <c r="I7209" s="4" t="str">
        <v/>
      </c>
    </row>
    <row r="7210" spans="5:9" ht="16.5" hidden="1">
      <c r="E7210" s="4" t="str">
        <v/>
      </c>
      <c r="F7210" s="102" t="str">
        <f ca="1">IFERROR(__xludf.DUMMYFUNCTION("IMPORTRANGE(H7210,""IDENTITAS UNIT!D9"")"),"#N/A")</f>
        <v>#N/A</v>
      </c>
      <c r="H7210" s="4" t="str">
        <v/>
      </c>
      <c r="I7210" s="4" t="str">
        <v/>
      </c>
    </row>
    <row r="7211" spans="5:9" ht="16.5" hidden="1">
      <c r="E7211" s="4" t="str">
        <v/>
      </c>
      <c r="F7211" s="102" t="str">
        <f ca="1">IFERROR(__xludf.DUMMYFUNCTION("IMPORTRANGE(H7211,""IDENTITAS UNIT!D9"")"),"#N/A")</f>
        <v>#N/A</v>
      </c>
      <c r="H7211" s="4" t="str">
        <v/>
      </c>
      <c r="I7211" s="4" t="str">
        <v/>
      </c>
    </row>
    <row r="7212" spans="5:9" ht="16.5" hidden="1">
      <c r="E7212" s="4" t="str">
        <v/>
      </c>
      <c r="F7212" s="102" t="str">
        <f ca="1">IFERROR(__xludf.DUMMYFUNCTION("IMPORTRANGE(H7212,""IDENTITAS UNIT!D9"")"),"#N/A")</f>
        <v>#N/A</v>
      </c>
      <c r="H7212" s="4" t="str">
        <v/>
      </c>
      <c r="I7212" s="4" t="str">
        <v/>
      </c>
    </row>
    <row r="7213" spans="5:9" ht="16.5" hidden="1">
      <c r="E7213" s="4" t="str">
        <v/>
      </c>
      <c r="F7213" s="102" t="str">
        <f ca="1">IFERROR(__xludf.DUMMYFUNCTION("IMPORTRANGE(H7213,""IDENTITAS UNIT!D9"")"),"#N/A")</f>
        <v>#N/A</v>
      </c>
      <c r="H7213" s="4" t="str">
        <v/>
      </c>
      <c r="I7213" s="4" t="str">
        <v/>
      </c>
    </row>
    <row r="7214" spans="5:9" ht="16.5" hidden="1">
      <c r="E7214" s="4" t="str">
        <v/>
      </c>
      <c r="F7214" s="102" t="str">
        <f ca="1">IFERROR(__xludf.DUMMYFUNCTION("IMPORTRANGE(H7214,""IDENTITAS UNIT!D9"")"),"#N/A")</f>
        <v>#N/A</v>
      </c>
      <c r="H7214" s="4" t="str">
        <v/>
      </c>
      <c r="I7214" s="4" t="str">
        <v/>
      </c>
    </row>
    <row r="7215" spans="5:9" ht="16.5" hidden="1">
      <c r="E7215" s="4" t="str">
        <v/>
      </c>
      <c r="F7215" s="102" t="str">
        <f ca="1">IFERROR(__xludf.DUMMYFUNCTION("IMPORTRANGE(H7215,""IDENTITAS UNIT!D9"")"),"#N/A")</f>
        <v>#N/A</v>
      </c>
      <c r="H7215" s="4" t="str">
        <v/>
      </c>
      <c r="I7215" s="4" t="str">
        <v/>
      </c>
    </row>
    <row r="7216" spans="5:9" ht="16.5" hidden="1">
      <c r="E7216" s="4" t="str">
        <v/>
      </c>
      <c r="F7216" s="102" t="str">
        <f ca="1">IFERROR(__xludf.DUMMYFUNCTION("IMPORTRANGE(H7216,""IDENTITAS UNIT!D9"")"),"#N/A")</f>
        <v>#N/A</v>
      </c>
      <c r="H7216" s="4" t="str">
        <v/>
      </c>
      <c r="I7216" s="4" t="str">
        <v/>
      </c>
    </row>
    <row r="7217" spans="5:9" ht="16.5" hidden="1">
      <c r="E7217" s="4" t="str">
        <v/>
      </c>
      <c r="F7217" s="102" t="str">
        <f ca="1">IFERROR(__xludf.DUMMYFUNCTION("IMPORTRANGE(H7217,""IDENTITAS UNIT!D9"")"),"#N/A")</f>
        <v>#N/A</v>
      </c>
      <c r="H7217" s="4" t="str">
        <v/>
      </c>
      <c r="I7217" s="4" t="str">
        <v/>
      </c>
    </row>
    <row r="7218" spans="5:9" ht="16.5" hidden="1">
      <c r="E7218" s="4" t="str">
        <v/>
      </c>
      <c r="F7218" s="102" t="str">
        <f ca="1">IFERROR(__xludf.DUMMYFUNCTION("IMPORTRANGE(H7218,""IDENTITAS UNIT!D9"")"),"#N/A")</f>
        <v>#N/A</v>
      </c>
      <c r="H7218" s="4" t="str">
        <v/>
      </c>
      <c r="I7218" s="4" t="str">
        <v/>
      </c>
    </row>
    <row r="7219" spans="5:9" ht="16.5" hidden="1">
      <c r="E7219" s="4" t="str">
        <v/>
      </c>
      <c r="F7219" s="102" t="str">
        <f ca="1">IFERROR(__xludf.DUMMYFUNCTION("IMPORTRANGE(H7219,""IDENTITAS UNIT!D9"")"),"#N/A")</f>
        <v>#N/A</v>
      </c>
      <c r="H7219" s="4" t="str">
        <v/>
      </c>
      <c r="I7219" s="4" t="str">
        <v/>
      </c>
    </row>
    <row r="7220" spans="5:9" ht="16.5" hidden="1">
      <c r="E7220" s="4" t="str">
        <v/>
      </c>
      <c r="F7220" s="102" t="str">
        <f ca="1">IFERROR(__xludf.DUMMYFUNCTION("IMPORTRANGE(H7220,""IDENTITAS UNIT!D9"")"),"#N/A")</f>
        <v>#N/A</v>
      </c>
      <c r="H7220" s="4" t="str">
        <v/>
      </c>
      <c r="I7220" s="4" t="str">
        <v/>
      </c>
    </row>
    <row r="7221" spans="5:9" ht="16.5" hidden="1">
      <c r="E7221" s="4" t="str">
        <v/>
      </c>
      <c r="F7221" s="102" t="str">
        <f ca="1">IFERROR(__xludf.DUMMYFUNCTION("IMPORTRANGE(H7221,""IDENTITAS UNIT!D9"")"),"#N/A")</f>
        <v>#N/A</v>
      </c>
      <c r="H7221" s="4" t="str">
        <v/>
      </c>
      <c r="I7221" s="4" t="str">
        <v/>
      </c>
    </row>
    <row r="7222" spans="5:9" ht="16.5" hidden="1">
      <c r="E7222" s="4" t="str">
        <v/>
      </c>
      <c r="F7222" s="102" t="str">
        <f ca="1">IFERROR(__xludf.DUMMYFUNCTION("IMPORTRANGE(H7222,""IDENTITAS UNIT!D9"")"),"#N/A")</f>
        <v>#N/A</v>
      </c>
      <c r="H7222" s="4" t="str">
        <v/>
      </c>
      <c r="I7222" s="4" t="str">
        <v/>
      </c>
    </row>
    <row r="7223" spans="5:9" ht="16.5" hidden="1">
      <c r="E7223" s="4" t="str">
        <v/>
      </c>
      <c r="F7223" s="102" t="str">
        <f ca="1">IFERROR(__xludf.DUMMYFUNCTION("IMPORTRANGE(H7223,""IDENTITAS UNIT!D9"")"),"#N/A")</f>
        <v>#N/A</v>
      </c>
      <c r="H7223" s="4" t="str">
        <v/>
      </c>
      <c r="I7223" s="4" t="str">
        <v/>
      </c>
    </row>
    <row r="7224" spans="5:9" ht="16.5" hidden="1">
      <c r="E7224" s="4" t="str">
        <v/>
      </c>
      <c r="F7224" s="102" t="str">
        <f ca="1">IFERROR(__xludf.DUMMYFUNCTION("IMPORTRANGE(H7224,""IDENTITAS UNIT!D9"")"),"#N/A")</f>
        <v>#N/A</v>
      </c>
      <c r="H7224" s="4" t="str">
        <v/>
      </c>
      <c r="I7224" s="4" t="str">
        <v/>
      </c>
    </row>
    <row r="7225" spans="5:9" ht="16.5" hidden="1">
      <c r="E7225" s="4" t="str">
        <v/>
      </c>
      <c r="F7225" s="102" t="str">
        <f ca="1">IFERROR(__xludf.DUMMYFUNCTION("IMPORTRANGE(H7225,""IDENTITAS UNIT!D9"")"),"#N/A")</f>
        <v>#N/A</v>
      </c>
      <c r="H7225" s="4" t="str">
        <v/>
      </c>
      <c r="I7225" s="4" t="str">
        <v/>
      </c>
    </row>
    <row r="7226" spans="5:9" ht="16.5" hidden="1">
      <c r="E7226" s="4" t="str">
        <v/>
      </c>
      <c r="F7226" s="102" t="str">
        <f ca="1">IFERROR(__xludf.DUMMYFUNCTION("IMPORTRANGE(H7226,""IDENTITAS UNIT!D9"")"),"#N/A")</f>
        <v>#N/A</v>
      </c>
      <c r="H7226" s="4" t="str">
        <v/>
      </c>
      <c r="I7226" s="4" t="str">
        <v/>
      </c>
    </row>
    <row r="7227" spans="5:9" ht="16.5" hidden="1">
      <c r="E7227" s="4" t="str">
        <v/>
      </c>
      <c r="F7227" s="102" t="str">
        <f ca="1">IFERROR(__xludf.DUMMYFUNCTION("IMPORTRANGE(H7227,""IDENTITAS UNIT!D9"")"),"#N/A")</f>
        <v>#N/A</v>
      </c>
      <c r="H7227" s="4" t="str">
        <v/>
      </c>
      <c r="I7227" s="4" t="str">
        <v/>
      </c>
    </row>
    <row r="7228" spans="5:9" ht="16.5" hidden="1">
      <c r="E7228" s="4" t="str">
        <v/>
      </c>
      <c r="F7228" s="102" t="str">
        <f ca="1">IFERROR(__xludf.DUMMYFUNCTION("IMPORTRANGE(H7228,""IDENTITAS UNIT!D9"")"),"#N/A")</f>
        <v>#N/A</v>
      </c>
      <c r="H7228" s="4" t="str">
        <v/>
      </c>
      <c r="I7228" s="4" t="str">
        <v/>
      </c>
    </row>
    <row r="7229" spans="5:9" ht="16.5" hidden="1">
      <c r="E7229" s="4" t="str">
        <v/>
      </c>
      <c r="F7229" s="102" t="str">
        <f ca="1">IFERROR(__xludf.DUMMYFUNCTION("IMPORTRANGE(H7229,""IDENTITAS UNIT!D9"")"),"#N/A")</f>
        <v>#N/A</v>
      </c>
      <c r="H7229" s="4" t="str">
        <v/>
      </c>
      <c r="I7229" s="4" t="str">
        <v/>
      </c>
    </row>
    <row r="7230" spans="5:9" ht="16.5" hidden="1">
      <c r="E7230" s="4" t="str">
        <v/>
      </c>
      <c r="F7230" s="102" t="str">
        <f ca="1">IFERROR(__xludf.DUMMYFUNCTION("IMPORTRANGE(H7230,""IDENTITAS UNIT!D9"")"),"#N/A")</f>
        <v>#N/A</v>
      </c>
      <c r="H7230" s="4" t="str">
        <v/>
      </c>
      <c r="I7230" s="4" t="str">
        <v/>
      </c>
    </row>
    <row r="7231" spans="5:9" ht="16.5" hidden="1">
      <c r="E7231" s="4" t="str">
        <v/>
      </c>
      <c r="F7231" s="102" t="str">
        <f ca="1">IFERROR(__xludf.DUMMYFUNCTION("IMPORTRANGE(H7231,""IDENTITAS UNIT!D9"")"),"#N/A")</f>
        <v>#N/A</v>
      </c>
      <c r="H7231" s="4" t="str">
        <v/>
      </c>
      <c r="I7231" s="4" t="str">
        <v/>
      </c>
    </row>
    <row r="7232" spans="5:9" ht="16.5" hidden="1">
      <c r="E7232" s="4" t="str">
        <v/>
      </c>
      <c r="F7232" s="102" t="str">
        <f ca="1">IFERROR(__xludf.DUMMYFUNCTION("IMPORTRANGE(H7232,""IDENTITAS UNIT!D9"")"),"#N/A")</f>
        <v>#N/A</v>
      </c>
      <c r="H7232" s="4" t="str">
        <v/>
      </c>
      <c r="I7232" s="4" t="str">
        <v/>
      </c>
    </row>
    <row r="7233" spans="5:9" ht="16.5" hidden="1">
      <c r="E7233" s="4" t="str">
        <v/>
      </c>
      <c r="F7233" s="102" t="str">
        <f ca="1">IFERROR(__xludf.DUMMYFUNCTION("IMPORTRANGE(H7233,""IDENTITAS UNIT!D9"")"),"#N/A")</f>
        <v>#N/A</v>
      </c>
      <c r="H7233" s="4" t="str">
        <v/>
      </c>
      <c r="I7233" s="4" t="str">
        <v/>
      </c>
    </row>
    <row r="7234" spans="5:9" ht="16.5" hidden="1">
      <c r="E7234" s="4" t="str">
        <v/>
      </c>
      <c r="F7234" s="102" t="str">
        <f ca="1">IFERROR(__xludf.DUMMYFUNCTION("IMPORTRANGE(H7234,""IDENTITAS UNIT!D9"")"),"#N/A")</f>
        <v>#N/A</v>
      </c>
      <c r="H7234" s="4" t="str">
        <v/>
      </c>
      <c r="I7234" s="4" t="str">
        <v/>
      </c>
    </row>
    <row r="7235" spans="5:9" ht="16.5" hidden="1">
      <c r="E7235" s="4" t="str">
        <v/>
      </c>
      <c r="F7235" s="102" t="str">
        <f ca="1">IFERROR(__xludf.DUMMYFUNCTION("IMPORTRANGE(H7235,""IDENTITAS UNIT!D9"")"),"#N/A")</f>
        <v>#N/A</v>
      </c>
      <c r="H7235" s="4" t="str">
        <v/>
      </c>
      <c r="I7235" s="4" t="str">
        <v/>
      </c>
    </row>
    <row r="7236" spans="5:9" ht="16.5" hidden="1">
      <c r="E7236" s="4" t="str">
        <v/>
      </c>
      <c r="F7236" s="102" t="str">
        <f ca="1">IFERROR(__xludf.DUMMYFUNCTION("IMPORTRANGE(H7236,""IDENTITAS UNIT!D9"")"),"#N/A")</f>
        <v>#N/A</v>
      </c>
      <c r="H7236" s="4" t="str">
        <v/>
      </c>
      <c r="I7236" s="4" t="str">
        <v/>
      </c>
    </row>
    <row r="7237" spans="5:9" ht="16.5" hidden="1">
      <c r="E7237" s="4" t="str">
        <v/>
      </c>
      <c r="F7237" s="102" t="str">
        <f ca="1">IFERROR(__xludf.DUMMYFUNCTION("IMPORTRANGE(H7237,""IDENTITAS UNIT!D9"")"),"#N/A")</f>
        <v>#N/A</v>
      </c>
      <c r="H7237" s="4" t="str">
        <v/>
      </c>
      <c r="I7237" s="4" t="str">
        <v/>
      </c>
    </row>
    <row r="7238" spans="5:9" ht="16.5" hidden="1">
      <c r="E7238" s="4" t="str">
        <v/>
      </c>
      <c r="F7238" s="102" t="str">
        <f ca="1">IFERROR(__xludf.DUMMYFUNCTION("IMPORTRANGE(H7238,""IDENTITAS UNIT!D9"")"),"#N/A")</f>
        <v>#N/A</v>
      </c>
      <c r="H7238" s="4" t="str">
        <v/>
      </c>
      <c r="I7238" s="4" t="str">
        <v/>
      </c>
    </row>
    <row r="7239" spans="5:9" ht="16.5" hidden="1">
      <c r="E7239" s="4" t="str">
        <v/>
      </c>
      <c r="F7239" s="102" t="str">
        <f ca="1">IFERROR(__xludf.DUMMYFUNCTION("IMPORTRANGE(H7239,""IDENTITAS UNIT!D9"")"),"#N/A")</f>
        <v>#N/A</v>
      </c>
      <c r="H7239" s="4" t="str">
        <v/>
      </c>
      <c r="I7239" s="4" t="str">
        <v/>
      </c>
    </row>
    <row r="7240" spans="5:9" ht="16.5" hidden="1">
      <c r="E7240" s="4" t="str">
        <v/>
      </c>
      <c r="F7240" s="102" t="str">
        <f ca="1">IFERROR(__xludf.DUMMYFUNCTION("IMPORTRANGE(H7240,""IDENTITAS UNIT!D9"")"),"#N/A")</f>
        <v>#N/A</v>
      </c>
      <c r="H7240" s="4" t="str">
        <v/>
      </c>
      <c r="I7240" s="4" t="str">
        <v/>
      </c>
    </row>
    <row r="7241" spans="5:9" ht="16.5" hidden="1">
      <c r="E7241" s="4" t="str">
        <v/>
      </c>
      <c r="F7241" s="102" t="str">
        <f ca="1">IFERROR(__xludf.DUMMYFUNCTION("IMPORTRANGE(H7241,""IDENTITAS UNIT!D9"")"),"#N/A")</f>
        <v>#N/A</v>
      </c>
      <c r="H7241" s="4" t="str">
        <v/>
      </c>
      <c r="I7241" s="4" t="str">
        <v/>
      </c>
    </row>
    <row r="7242" spans="5:9" ht="16.5" hidden="1">
      <c r="E7242" s="4" t="str">
        <v/>
      </c>
      <c r="F7242" s="102" t="str">
        <f ca="1">IFERROR(__xludf.DUMMYFUNCTION("IMPORTRANGE(H7242,""IDENTITAS UNIT!D9"")"),"#N/A")</f>
        <v>#N/A</v>
      </c>
      <c r="H7242" s="4" t="str">
        <v/>
      </c>
      <c r="I7242" s="4" t="str">
        <v/>
      </c>
    </row>
    <row r="7243" spans="5:9" ht="16.5" hidden="1">
      <c r="E7243" s="4" t="str">
        <v/>
      </c>
      <c r="F7243" s="102" t="str">
        <f ca="1">IFERROR(__xludf.DUMMYFUNCTION("IMPORTRANGE(H7243,""IDENTITAS UNIT!D9"")"),"#N/A")</f>
        <v>#N/A</v>
      </c>
      <c r="H7243" s="4" t="str">
        <v/>
      </c>
      <c r="I7243" s="4" t="str">
        <v/>
      </c>
    </row>
    <row r="7244" spans="5:9" ht="16.5" hidden="1">
      <c r="E7244" s="4" t="str">
        <v/>
      </c>
      <c r="F7244" s="102" t="str">
        <f ca="1">IFERROR(__xludf.DUMMYFUNCTION("IMPORTRANGE(H7244,""IDENTITAS UNIT!D9"")"),"#N/A")</f>
        <v>#N/A</v>
      </c>
      <c r="H7244" s="4" t="str">
        <v/>
      </c>
      <c r="I7244" s="4" t="str">
        <v/>
      </c>
    </row>
    <row r="7245" spans="5:9" ht="16.5" hidden="1">
      <c r="E7245" s="4" t="str">
        <v/>
      </c>
      <c r="F7245" s="102" t="str">
        <f ca="1">IFERROR(__xludf.DUMMYFUNCTION("IMPORTRANGE(H7245,""IDENTITAS UNIT!D9"")"),"#N/A")</f>
        <v>#N/A</v>
      </c>
      <c r="H7245" s="4" t="str">
        <v/>
      </c>
      <c r="I7245" s="4" t="str">
        <v/>
      </c>
    </row>
    <row r="7246" spans="5:9" ht="16.5" hidden="1">
      <c r="E7246" s="4" t="str">
        <v/>
      </c>
      <c r="F7246" s="102" t="str">
        <f ca="1">IFERROR(__xludf.DUMMYFUNCTION("IMPORTRANGE(H7246,""IDENTITAS UNIT!D9"")"),"#N/A")</f>
        <v>#N/A</v>
      </c>
      <c r="H7246" s="4" t="str">
        <v/>
      </c>
      <c r="I7246" s="4" t="str">
        <v/>
      </c>
    </row>
    <row r="7247" spans="5:9" ht="16.5" hidden="1">
      <c r="E7247" s="4" t="str">
        <v/>
      </c>
      <c r="F7247" s="102" t="str">
        <f ca="1">IFERROR(__xludf.DUMMYFUNCTION("IMPORTRANGE(H7247,""IDENTITAS UNIT!D9"")"),"#N/A")</f>
        <v>#N/A</v>
      </c>
      <c r="H7247" s="4" t="str">
        <v/>
      </c>
      <c r="I7247" s="4" t="str">
        <v/>
      </c>
    </row>
    <row r="7248" spans="5:9" ht="16.5" hidden="1">
      <c r="E7248" s="4" t="str">
        <v/>
      </c>
      <c r="F7248" s="102" t="str">
        <f ca="1">IFERROR(__xludf.DUMMYFUNCTION("IMPORTRANGE(H7248,""IDENTITAS UNIT!D9"")"),"#N/A")</f>
        <v>#N/A</v>
      </c>
      <c r="H7248" s="4" t="str">
        <v/>
      </c>
      <c r="I7248" s="4" t="str">
        <v/>
      </c>
    </row>
    <row r="7249" spans="5:9" ht="16.5" hidden="1">
      <c r="E7249" s="4" t="str">
        <v/>
      </c>
      <c r="F7249" s="102" t="str">
        <f ca="1">IFERROR(__xludf.DUMMYFUNCTION("IMPORTRANGE(H7249,""IDENTITAS UNIT!D9"")"),"#N/A")</f>
        <v>#N/A</v>
      </c>
      <c r="H7249" s="4" t="str">
        <v/>
      </c>
      <c r="I7249" s="4" t="str">
        <v/>
      </c>
    </row>
    <row r="7250" spans="5:9" ht="16.5" hidden="1">
      <c r="E7250" s="4" t="str">
        <v/>
      </c>
      <c r="F7250" s="102" t="str">
        <f ca="1">IFERROR(__xludf.DUMMYFUNCTION("IMPORTRANGE(H7250,""IDENTITAS UNIT!D9"")"),"#N/A")</f>
        <v>#N/A</v>
      </c>
      <c r="H7250" s="4" t="str">
        <v/>
      </c>
      <c r="I7250" s="4" t="str">
        <v/>
      </c>
    </row>
    <row r="7251" spans="5:9" ht="16.5" hidden="1">
      <c r="E7251" s="4" t="str">
        <v/>
      </c>
      <c r="F7251" s="102" t="str">
        <f ca="1">IFERROR(__xludf.DUMMYFUNCTION("IMPORTRANGE(H7251,""IDENTITAS UNIT!D9"")"),"#N/A")</f>
        <v>#N/A</v>
      </c>
      <c r="H7251" s="4" t="str">
        <v/>
      </c>
      <c r="I7251" s="4" t="str">
        <v/>
      </c>
    </row>
    <row r="7252" spans="5:9" ht="16.5" hidden="1">
      <c r="E7252" s="4" t="str">
        <v/>
      </c>
      <c r="F7252" s="102" t="str">
        <f ca="1">IFERROR(__xludf.DUMMYFUNCTION("IMPORTRANGE(H7252,""IDENTITAS UNIT!D9"")"),"#N/A")</f>
        <v>#N/A</v>
      </c>
      <c r="H7252" s="4" t="str">
        <v/>
      </c>
      <c r="I7252" s="4" t="str">
        <v/>
      </c>
    </row>
    <row r="7253" spans="5:9" ht="16.5" hidden="1">
      <c r="E7253" s="4" t="str">
        <v/>
      </c>
      <c r="F7253" s="102" t="str">
        <f ca="1">IFERROR(__xludf.DUMMYFUNCTION("IMPORTRANGE(H7253,""IDENTITAS UNIT!D9"")"),"#N/A")</f>
        <v>#N/A</v>
      </c>
      <c r="H7253" s="4" t="str">
        <v/>
      </c>
      <c r="I7253" s="4" t="str">
        <v/>
      </c>
    </row>
    <row r="7254" spans="5:9" ht="16.5" hidden="1">
      <c r="E7254" s="4" t="str">
        <v/>
      </c>
      <c r="F7254" s="102" t="str">
        <f ca="1">IFERROR(__xludf.DUMMYFUNCTION("IMPORTRANGE(H7254,""IDENTITAS UNIT!D9"")"),"#N/A")</f>
        <v>#N/A</v>
      </c>
      <c r="H7254" s="4" t="str">
        <v/>
      </c>
      <c r="I7254" s="4" t="str">
        <v/>
      </c>
    </row>
    <row r="7255" spans="5:9" ht="16.5" hidden="1">
      <c r="E7255" s="4" t="str">
        <v/>
      </c>
      <c r="F7255" s="102" t="str">
        <f ca="1">IFERROR(__xludf.DUMMYFUNCTION("IMPORTRANGE(H7255,""IDENTITAS UNIT!D9"")"),"#N/A")</f>
        <v>#N/A</v>
      </c>
      <c r="H7255" s="4" t="str">
        <v/>
      </c>
      <c r="I7255" s="4" t="str">
        <v/>
      </c>
    </row>
    <row r="7256" spans="5:9" ht="16.5" hidden="1">
      <c r="E7256" s="4" t="str">
        <v/>
      </c>
      <c r="F7256" s="102" t="str">
        <f ca="1">IFERROR(__xludf.DUMMYFUNCTION("IMPORTRANGE(H7256,""IDENTITAS UNIT!D9"")"),"#N/A")</f>
        <v>#N/A</v>
      </c>
      <c r="H7256" s="4" t="str">
        <v/>
      </c>
      <c r="I7256" s="4" t="str">
        <v/>
      </c>
    </row>
    <row r="7257" spans="5:9" ht="16.5" hidden="1">
      <c r="E7257" s="4" t="str">
        <v/>
      </c>
      <c r="F7257" s="102" t="str">
        <f ca="1">IFERROR(__xludf.DUMMYFUNCTION("IMPORTRANGE(H7257,""IDENTITAS UNIT!D9"")"),"#N/A")</f>
        <v>#N/A</v>
      </c>
      <c r="H7257" s="4" t="str">
        <v/>
      </c>
      <c r="I7257" s="4" t="str">
        <v/>
      </c>
    </row>
    <row r="7258" spans="5:9" ht="16.5" hidden="1">
      <c r="E7258" s="4" t="str">
        <v/>
      </c>
      <c r="F7258" s="102" t="str">
        <f ca="1">IFERROR(__xludf.DUMMYFUNCTION("IMPORTRANGE(H7258,""IDENTITAS UNIT!D9"")"),"#N/A")</f>
        <v>#N/A</v>
      </c>
      <c r="H7258" s="4" t="str">
        <v/>
      </c>
      <c r="I7258" s="4" t="str">
        <v/>
      </c>
    </row>
    <row r="7259" spans="5:9" ht="16.5" hidden="1">
      <c r="E7259" s="4" t="str">
        <v/>
      </c>
      <c r="F7259" s="102" t="str">
        <f ca="1">IFERROR(__xludf.DUMMYFUNCTION("IMPORTRANGE(H7259,""IDENTITAS UNIT!D9"")"),"#N/A")</f>
        <v>#N/A</v>
      </c>
      <c r="H7259" s="4" t="str">
        <v/>
      </c>
      <c r="I7259" s="4" t="str">
        <v/>
      </c>
    </row>
    <row r="7260" spans="5:9" ht="16.5" hidden="1">
      <c r="E7260" s="4" t="str">
        <v/>
      </c>
      <c r="F7260" s="102" t="str">
        <f ca="1">IFERROR(__xludf.DUMMYFUNCTION("IMPORTRANGE(H7260,""IDENTITAS UNIT!D9"")"),"#N/A")</f>
        <v>#N/A</v>
      </c>
      <c r="H7260" s="4" t="str">
        <v/>
      </c>
      <c r="I7260" s="4" t="str">
        <v/>
      </c>
    </row>
    <row r="7261" spans="5:9" ht="16.5" hidden="1">
      <c r="E7261" s="4" t="str">
        <v/>
      </c>
      <c r="F7261" s="102" t="str">
        <f ca="1">IFERROR(__xludf.DUMMYFUNCTION("IMPORTRANGE(H7261,""IDENTITAS UNIT!D9"")"),"#N/A")</f>
        <v>#N/A</v>
      </c>
      <c r="H7261" s="4" t="str">
        <v/>
      </c>
      <c r="I7261" s="4" t="str">
        <v/>
      </c>
    </row>
    <row r="7262" spans="5:9" ht="16.5" hidden="1">
      <c r="E7262" s="4" t="str">
        <v/>
      </c>
      <c r="F7262" s="102" t="str">
        <f ca="1">IFERROR(__xludf.DUMMYFUNCTION("IMPORTRANGE(H7262,""IDENTITAS UNIT!D9"")"),"#N/A")</f>
        <v>#N/A</v>
      </c>
      <c r="H7262" s="4" t="str">
        <v/>
      </c>
      <c r="I7262" s="4" t="str">
        <v/>
      </c>
    </row>
    <row r="7263" spans="5:9" ht="16.5" hidden="1">
      <c r="E7263" s="4" t="str">
        <v/>
      </c>
      <c r="F7263" s="102" t="str">
        <f ca="1">IFERROR(__xludf.DUMMYFUNCTION("IMPORTRANGE(H7263,""IDENTITAS UNIT!D9"")"),"#N/A")</f>
        <v>#N/A</v>
      </c>
      <c r="H7263" s="4" t="str">
        <v/>
      </c>
      <c r="I7263" s="4" t="str">
        <v/>
      </c>
    </row>
    <row r="7264" spans="5:9" ht="16.5" hidden="1">
      <c r="E7264" s="4" t="str">
        <v/>
      </c>
      <c r="F7264" s="102" t="str">
        <f ca="1">IFERROR(__xludf.DUMMYFUNCTION("IMPORTRANGE(H7264,""IDENTITAS UNIT!D9"")"),"#N/A")</f>
        <v>#N/A</v>
      </c>
      <c r="H7264" s="4" t="str">
        <v/>
      </c>
      <c r="I7264" s="4" t="str">
        <v/>
      </c>
    </row>
    <row r="7265" spans="5:9" ht="16.5" hidden="1">
      <c r="E7265" s="4" t="str">
        <v/>
      </c>
      <c r="F7265" s="102" t="str">
        <f ca="1">IFERROR(__xludf.DUMMYFUNCTION("IMPORTRANGE(H7265,""IDENTITAS UNIT!D9"")"),"#N/A")</f>
        <v>#N/A</v>
      </c>
      <c r="H7265" s="4" t="str">
        <v/>
      </c>
      <c r="I7265" s="4" t="str">
        <v/>
      </c>
    </row>
    <row r="7266" spans="5:9" ht="16.5" hidden="1">
      <c r="E7266" s="4" t="str">
        <v/>
      </c>
      <c r="F7266" s="102" t="str">
        <f ca="1">IFERROR(__xludf.DUMMYFUNCTION("IMPORTRANGE(H7266,""IDENTITAS UNIT!D9"")"),"#N/A")</f>
        <v>#N/A</v>
      </c>
      <c r="H7266" s="4" t="str">
        <v/>
      </c>
      <c r="I7266" s="4" t="str">
        <v/>
      </c>
    </row>
    <row r="7267" spans="5:9" ht="16.5" hidden="1">
      <c r="E7267" s="4" t="str">
        <v/>
      </c>
      <c r="F7267" s="102" t="str">
        <f ca="1">IFERROR(__xludf.DUMMYFUNCTION("IMPORTRANGE(H7267,""IDENTITAS UNIT!D9"")"),"#N/A")</f>
        <v>#N/A</v>
      </c>
      <c r="H7267" s="4" t="str">
        <v/>
      </c>
      <c r="I7267" s="4" t="str">
        <v/>
      </c>
    </row>
    <row r="7268" spans="5:9" ht="16.5" hidden="1">
      <c r="E7268" s="4" t="str">
        <v/>
      </c>
      <c r="F7268" s="102" t="str">
        <f ca="1">IFERROR(__xludf.DUMMYFUNCTION("IMPORTRANGE(H7268,""IDENTITAS UNIT!D9"")"),"#N/A")</f>
        <v>#N/A</v>
      </c>
      <c r="H7268" s="4" t="str">
        <v/>
      </c>
      <c r="I7268" s="4" t="str">
        <v/>
      </c>
    </row>
    <row r="7269" spans="5:9" ht="16.5" hidden="1">
      <c r="E7269" s="4" t="str">
        <v/>
      </c>
      <c r="F7269" s="102" t="str">
        <f ca="1">IFERROR(__xludf.DUMMYFUNCTION("IMPORTRANGE(H7269,""IDENTITAS UNIT!D9"")"),"#N/A")</f>
        <v>#N/A</v>
      </c>
      <c r="H7269" s="4" t="str">
        <v/>
      </c>
      <c r="I7269" s="4" t="str">
        <v/>
      </c>
    </row>
    <row r="7270" spans="5:9" ht="16.5" hidden="1">
      <c r="E7270" s="4" t="str">
        <v/>
      </c>
      <c r="F7270" s="102" t="str">
        <f ca="1">IFERROR(__xludf.DUMMYFUNCTION("IMPORTRANGE(H7270,""IDENTITAS UNIT!D9"")"),"#N/A")</f>
        <v>#N/A</v>
      </c>
      <c r="H7270" s="4" t="str">
        <v/>
      </c>
      <c r="I7270" s="4" t="str">
        <v/>
      </c>
    </row>
    <row r="7271" spans="5:9" ht="16.5" hidden="1">
      <c r="E7271" s="4" t="str">
        <v/>
      </c>
      <c r="F7271" s="102" t="str">
        <f ca="1">IFERROR(__xludf.DUMMYFUNCTION("IMPORTRANGE(H7271,""IDENTITAS UNIT!D9"")"),"#N/A")</f>
        <v>#N/A</v>
      </c>
      <c r="H7271" s="4" t="str">
        <v/>
      </c>
      <c r="I7271" s="4" t="str">
        <v/>
      </c>
    </row>
    <row r="7272" spans="5:9" ht="16.5" hidden="1">
      <c r="E7272" s="4" t="str">
        <v/>
      </c>
      <c r="F7272" s="102" t="str">
        <f ca="1">IFERROR(__xludf.DUMMYFUNCTION("IMPORTRANGE(H7272,""IDENTITAS UNIT!D9"")"),"#N/A")</f>
        <v>#N/A</v>
      </c>
      <c r="H7272" s="4" t="str">
        <v/>
      </c>
      <c r="I7272" s="4" t="str">
        <v/>
      </c>
    </row>
    <row r="7273" spans="5:9" ht="16.5" hidden="1">
      <c r="E7273" s="4" t="str">
        <v/>
      </c>
      <c r="F7273" s="102" t="str">
        <f ca="1">IFERROR(__xludf.DUMMYFUNCTION("IMPORTRANGE(H7273,""IDENTITAS UNIT!D9"")"),"#N/A")</f>
        <v>#N/A</v>
      </c>
      <c r="H7273" s="4" t="str">
        <v/>
      </c>
      <c r="I7273" s="4" t="str">
        <v/>
      </c>
    </row>
    <row r="7274" spans="5:9" ht="16.5" hidden="1">
      <c r="E7274" s="4" t="str">
        <v/>
      </c>
      <c r="F7274" s="102" t="str">
        <f ca="1">IFERROR(__xludf.DUMMYFUNCTION("IMPORTRANGE(H7274,""IDENTITAS UNIT!D9"")"),"#N/A")</f>
        <v>#N/A</v>
      </c>
      <c r="H7274" s="4" t="str">
        <v/>
      </c>
      <c r="I7274" s="4" t="str">
        <v/>
      </c>
    </row>
    <row r="7275" spans="5:9" ht="16.5" hidden="1">
      <c r="E7275" s="4" t="str">
        <v/>
      </c>
      <c r="F7275" s="102" t="str">
        <f ca="1">IFERROR(__xludf.DUMMYFUNCTION("IMPORTRANGE(H7275,""IDENTITAS UNIT!D9"")"),"#N/A")</f>
        <v>#N/A</v>
      </c>
      <c r="H7275" s="4" t="str">
        <v/>
      </c>
      <c r="I7275" s="4" t="str">
        <v/>
      </c>
    </row>
    <row r="7276" spans="5:9" ht="16.5" hidden="1">
      <c r="E7276" s="4" t="str">
        <v/>
      </c>
      <c r="F7276" s="102" t="str">
        <f ca="1">IFERROR(__xludf.DUMMYFUNCTION("IMPORTRANGE(H7276,""IDENTITAS UNIT!D9"")"),"#N/A")</f>
        <v>#N/A</v>
      </c>
      <c r="H7276" s="4" t="str">
        <v/>
      </c>
      <c r="I7276" s="4" t="str">
        <v/>
      </c>
    </row>
    <row r="7277" spans="5:9" ht="16.5" hidden="1">
      <c r="E7277" s="4" t="str">
        <v/>
      </c>
      <c r="F7277" s="102" t="str">
        <f ca="1">IFERROR(__xludf.DUMMYFUNCTION("IMPORTRANGE(H7277,""IDENTITAS UNIT!D9"")"),"#N/A")</f>
        <v>#N/A</v>
      </c>
      <c r="H7277" s="4" t="str">
        <v/>
      </c>
      <c r="I7277" s="4" t="str">
        <v/>
      </c>
    </row>
    <row r="7278" spans="5:9" ht="16.5" hidden="1">
      <c r="E7278" s="4" t="str">
        <v/>
      </c>
      <c r="F7278" s="102" t="str">
        <f ca="1">IFERROR(__xludf.DUMMYFUNCTION("IMPORTRANGE(H7278,""IDENTITAS UNIT!D9"")"),"#N/A")</f>
        <v>#N/A</v>
      </c>
      <c r="H7278" s="4" t="str">
        <v/>
      </c>
      <c r="I7278" s="4" t="str">
        <v/>
      </c>
    </row>
    <row r="7279" spans="5:9" ht="16.5" hidden="1">
      <c r="E7279" s="4" t="str">
        <v/>
      </c>
      <c r="F7279" s="102" t="str">
        <f ca="1">IFERROR(__xludf.DUMMYFUNCTION("IMPORTRANGE(H7279,""IDENTITAS UNIT!D9"")"),"#N/A")</f>
        <v>#N/A</v>
      </c>
      <c r="H7279" s="4" t="str">
        <v/>
      </c>
      <c r="I7279" s="4" t="str">
        <v/>
      </c>
    </row>
    <row r="7280" spans="5:9" ht="16.5" hidden="1">
      <c r="E7280" s="4" t="str">
        <v/>
      </c>
      <c r="F7280" s="102" t="str">
        <f ca="1">IFERROR(__xludf.DUMMYFUNCTION("IMPORTRANGE(H7280,""IDENTITAS UNIT!D9"")"),"#N/A")</f>
        <v>#N/A</v>
      </c>
      <c r="H7280" s="4" t="str">
        <v/>
      </c>
      <c r="I7280" s="4" t="str">
        <v/>
      </c>
    </row>
    <row r="7281" spans="5:9" ht="16.5" hidden="1">
      <c r="E7281" s="4" t="str">
        <v/>
      </c>
      <c r="F7281" s="102" t="str">
        <f ca="1">IFERROR(__xludf.DUMMYFUNCTION("IMPORTRANGE(H7281,""IDENTITAS UNIT!D9"")"),"#N/A")</f>
        <v>#N/A</v>
      </c>
      <c r="H7281" s="4" t="str">
        <v/>
      </c>
      <c r="I7281" s="4" t="str">
        <v/>
      </c>
    </row>
    <row r="7282" spans="5:9" ht="16.5" hidden="1">
      <c r="E7282" s="4" t="str">
        <v/>
      </c>
      <c r="F7282" s="102" t="str">
        <f ca="1">IFERROR(__xludf.DUMMYFUNCTION("IMPORTRANGE(H7282,""IDENTITAS UNIT!D9"")"),"#N/A")</f>
        <v>#N/A</v>
      </c>
      <c r="H7282" s="4" t="str">
        <v/>
      </c>
      <c r="I7282" s="4" t="str">
        <v/>
      </c>
    </row>
    <row r="7283" spans="5:9" ht="16.5" hidden="1">
      <c r="E7283" s="4" t="str">
        <v/>
      </c>
      <c r="F7283" s="102" t="str">
        <f ca="1">IFERROR(__xludf.DUMMYFUNCTION("IMPORTRANGE(H7283,""IDENTITAS UNIT!D9"")"),"#N/A")</f>
        <v>#N/A</v>
      </c>
      <c r="H7283" s="4" t="str">
        <v/>
      </c>
      <c r="I7283" s="4" t="str">
        <v/>
      </c>
    </row>
    <row r="7284" spans="5:9" ht="16.5" hidden="1">
      <c r="E7284" s="4" t="str">
        <v/>
      </c>
      <c r="F7284" s="102" t="str">
        <f ca="1">IFERROR(__xludf.DUMMYFUNCTION("IMPORTRANGE(H7284,""IDENTITAS UNIT!D9"")"),"#N/A")</f>
        <v>#N/A</v>
      </c>
      <c r="H7284" s="4" t="str">
        <v/>
      </c>
      <c r="I7284" s="4" t="str">
        <v/>
      </c>
    </row>
    <row r="7285" spans="5:9" ht="16.5" hidden="1">
      <c r="E7285" s="4" t="str">
        <v/>
      </c>
      <c r="F7285" s="102" t="str">
        <f ca="1">IFERROR(__xludf.DUMMYFUNCTION("IMPORTRANGE(H7285,""IDENTITAS UNIT!D9"")"),"#N/A")</f>
        <v>#N/A</v>
      </c>
      <c r="H7285" s="4" t="str">
        <v/>
      </c>
      <c r="I7285" s="4" t="str">
        <v/>
      </c>
    </row>
    <row r="7286" spans="5:9" ht="16.5" hidden="1">
      <c r="E7286" s="4" t="str">
        <v/>
      </c>
      <c r="F7286" s="102" t="str">
        <f ca="1">IFERROR(__xludf.DUMMYFUNCTION("IMPORTRANGE(H7286,""IDENTITAS UNIT!D9"")"),"#N/A")</f>
        <v>#N/A</v>
      </c>
      <c r="H7286" s="4" t="str">
        <v/>
      </c>
      <c r="I7286" s="4" t="str">
        <v/>
      </c>
    </row>
    <row r="7287" spans="5:9" ht="16.5" hidden="1">
      <c r="E7287" s="4" t="str">
        <v/>
      </c>
      <c r="F7287" s="102" t="str">
        <f ca="1">IFERROR(__xludf.DUMMYFUNCTION("IMPORTRANGE(H7287,""IDENTITAS UNIT!D9"")"),"#N/A")</f>
        <v>#N/A</v>
      </c>
      <c r="H7287" s="4" t="str">
        <v/>
      </c>
      <c r="I7287" s="4" t="str">
        <v/>
      </c>
    </row>
    <row r="7288" spans="5:9" ht="16.5" hidden="1">
      <c r="E7288" s="4" t="str">
        <v/>
      </c>
      <c r="F7288" s="102" t="str">
        <f ca="1">IFERROR(__xludf.DUMMYFUNCTION("IMPORTRANGE(H7288,""IDENTITAS UNIT!D9"")"),"#N/A")</f>
        <v>#N/A</v>
      </c>
      <c r="H7288" s="4" t="str">
        <v/>
      </c>
      <c r="I7288" s="4" t="str">
        <v/>
      </c>
    </row>
    <row r="7289" spans="5:9" ht="16.5" hidden="1">
      <c r="E7289" s="4" t="str">
        <v/>
      </c>
      <c r="F7289" s="102" t="str">
        <f ca="1">IFERROR(__xludf.DUMMYFUNCTION("IMPORTRANGE(H7289,""IDENTITAS UNIT!D9"")"),"#N/A")</f>
        <v>#N/A</v>
      </c>
      <c r="H7289" s="4" t="str">
        <v/>
      </c>
      <c r="I7289" s="4" t="str">
        <v/>
      </c>
    </row>
    <row r="7290" spans="5:9" ht="16.5" hidden="1">
      <c r="E7290" s="4" t="str">
        <v/>
      </c>
      <c r="F7290" s="102" t="str">
        <f ca="1">IFERROR(__xludf.DUMMYFUNCTION("IMPORTRANGE(H7290,""IDENTITAS UNIT!D9"")"),"#N/A")</f>
        <v>#N/A</v>
      </c>
      <c r="H7290" s="4" t="str">
        <v/>
      </c>
      <c r="I7290" s="4" t="str">
        <v/>
      </c>
    </row>
    <row r="7291" spans="5:9" ht="16.5" hidden="1">
      <c r="E7291" s="4" t="str">
        <v/>
      </c>
      <c r="F7291" s="102" t="str">
        <f ca="1">IFERROR(__xludf.DUMMYFUNCTION("IMPORTRANGE(H7291,""IDENTITAS UNIT!D9"")"),"#N/A")</f>
        <v>#N/A</v>
      </c>
      <c r="H7291" s="4" t="str">
        <v/>
      </c>
      <c r="I7291" s="4" t="str">
        <v/>
      </c>
    </row>
    <row r="7292" spans="5:9" ht="16.5" hidden="1">
      <c r="E7292" s="4" t="str">
        <v/>
      </c>
      <c r="F7292" s="102" t="str">
        <f ca="1">IFERROR(__xludf.DUMMYFUNCTION("IMPORTRANGE(H7292,""IDENTITAS UNIT!D9"")"),"#N/A")</f>
        <v>#N/A</v>
      </c>
      <c r="H7292" s="4" t="str">
        <v/>
      </c>
      <c r="I7292" s="4" t="str">
        <v/>
      </c>
    </row>
    <row r="7293" spans="5:9" ht="16.5" hidden="1">
      <c r="E7293" s="4" t="str">
        <v/>
      </c>
      <c r="F7293" s="102" t="str">
        <f ca="1">IFERROR(__xludf.DUMMYFUNCTION("IMPORTRANGE(H7293,""IDENTITAS UNIT!D9"")"),"#N/A")</f>
        <v>#N/A</v>
      </c>
      <c r="H7293" s="4" t="str">
        <v/>
      </c>
      <c r="I7293" s="4" t="str">
        <v/>
      </c>
    </row>
    <row r="7294" spans="5:9" ht="16.5" hidden="1">
      <c r="E7294" s="4" t="str">
        <v/>
      </c>
      <c r="F7294" s="102" t="str">
        <f ca="1">IFERROR(__xludf.DUMMYFUNCTION("IMPORTRANGE(H7294,""IDENTITAS UNIT!D9"")"),"#N/A")</f>
        <v>#N/A</v>
      </c>
      <c r="H7294" s="4" t="str">
        <v/>
      </c>
      <c r="I7294" s="4" t="str">
        <v/>
      </c>
    </row>
    <row r="7295" spans="5:9" ht="16.5" hidden="1">
      <c r="E7295" s="4" t="str">
        <v/>
      </c>
      <c r="F7295" s="102" t="str">
        <f ca="1">IFERROR(__xludf.DUMMYFUNCTION("IMPORTRANGE(H7295,""IDENTITAS UNIT!D9"")"),"#N/A")</f>
        <v>#N/A</v>
      </c>
      <c r="H7295" s="4" t="str">
        <v/>
      </c>
      <c r="I7295" s="4" t="str">
        <v/>
      </c>
    </row>
    <row r="7296" spans="5:9" ht="16.5" hidden="1">
      <c r="E7296" s="4" t="str">
        <v/>
      </c>
      <c r="F7296" s="102" t="str">
        <f ca="1">IFERROR(__xludf.DUMMYFUNCTION("IMPORTRANGE(H7296,""IDENTITAS UNIT!D9"")"),"#N/A")</f>
        <v>#N/A</v>
      </c>
      <c r="H7296" s="4" t="str">
        <v/>
      </c>
      <c r="I7296" s="4" t="str">
        <v/>
      </c>
    </row>
    <row r="7297" spans="5:9" ht="16.5" hidden="1">
      <c r="E7297" s="4" t="str">
        <v/>
      </c>
      <c r="F7297" s="102" t="str">
        <f ca="1">IFERROR(__xludf.DUMMYFUNCTION("IMPORTRANGE(H7297,""IDENTITAS UNIT!D9"")"),"#N/A")</f>
        <v>#N/A</v>
      </c>
      <c r="H7297" s="4" t="str">
        <v/>
      </c>
      <c r="I7297" s="4" t="str">
        <v/>
      </c>
    </row>
    <row r="7298" spans="5:9" ht="16.5" hidden="1">
      <c r="E7298" s="4" t="str">
        <v/>
      </c>
      <c r="F7298" s="102" t="str">
        <f ca="1">IFERROR(__xludf.DUMMYFUNCTION("IMPORTRANGE(H7298,""IDENTITAS UNIT!D9"")"),"#N/A")</f>
        <v>#N/A</v>
      </c>
      <c r="H7298" s="4" t="str">
        <v/>
      </c>
      <c r="I7298" s="4" t="str">
        <v/>
      </c>
    </row>
    <row r="7299" spans="5:9" ht="16.5" hidden="1">
      <c r="E7299" s="4" t="str">
        <v/>
      </c>
      <c r="F7299" s="102" t="str">
        <f ca="1">IFERROR(__xludf.DUMMYFUNCTION("IMPORTRANGE(H7299,""IDENTITAS UNIT!D9"")"),"#N/A")</f>
        <v>#N/A</v>
      </c>
      <c r="H7299" s="4" t="str">
        <v/>
      </c>
      <c r="I7299" s="4" t="str">
        <v/>
      </c>
    </row>
    <row r="7300" spans="5:9" ht="16.5" hidden="1">
      <c r="E7300" s="4" t="str">
        <v/>
      </c>
      <c r="F7300" s="102" t="str">
        <f ca="1">IFERROR(__xludf.DUMMYFUNCTION("IMPORTRANGE(H7300,""IDENTITAS UNIT!D9"")"),"#N/A")</f>
        <v>#N/A</v>
      </c>
      <c r="H7300" s="4" t="str">
        <v/>
      </c>
      <c r="I7300" s="4" t="str">
        <v/>
      </c>
    </row>
    <row r="7301" spans="5:9" ht="16.5" hidden="1">
      <c r="E7301" s="4" t="str">
        <v/>
      </c>
      <c r="F7301" s="102" t="str">
        <f ca="1">IFERROR(__xludf.DUMMYFUNCTION("IMPORTRANGE(H7301,""IDENTITAS UNIT!D9"")"),"#N/A")</f>
        <v>#N/A</v>
      </c>
      <c r="H7301" s="4" t="str">
        <v/>
      </c>
      <c r="I7301" s="4" t="str">
        <v/>
      </c>
    </row>
    <row r="7302" spans="5:9" ht="16.5" hidden="1">
      <c r="E7302" s="4" t="str">
        <v/>
      </c>
      <c r="F7302" s="102" t="str">
        <f ca="1">IFERROR(__xludf.DUMMYFUNCTION("IMPORTRANGE(H7302,""IDENTITAS UNIT!D9"")"),"#N/A")</f>
        <v>#N/A</v>
      </c>
      <c r="H7302" s="4" t="str">
        <v/>
      </c>
      <c r="I7302" s="4" t="str">
        <v/>
      </c>
    </row>
    <row r="7303" spans="5:9" ht="16.5" hidden="1">
      <c r="E7303" s="4" t="str">
        <v/>
      </c>
      <c r="F7303" s="102" t="str">
        <f ca="1">IFERROR(__xludf.DUMMYFUNCTION("IMPORTRANGE(H7303,""IDENTITAS UNIT!D9"")"),"#N/A")</f>
        <v>#N/A</v>
      </c>
      <c r="H7303" s="4" t="str">
        <v/>
      </c>
      <c r="I7303" s="4" t="str">
        <v/>
      </c>
    </row>
    <row r="7304" spans="5:9" ht="16.5" hidden="1">
      <c r="E7304" s="4" t="str">
        <v/>
      </c>
      <c r="F7304" s="102" t="str">
        <f ca="1">IFERROR(__xludf.DUMMYFUNCTION("IMPORTRANGE(H7304,""IDENTITAS UNIT!D9"")"),"#N/A")</f>
        <v>#N/A</v>
      </c>
      <c r="H7304" s="4" t="str">
        <v/>
      </c>
      <c r="I7304" s="4" t="str">
        <v/>
      </c>
    </row>
    <row r="7305" spans="5:9" ht="16.5" hidden="1">
      <c r="E7305" s="4" t="str">
        <v/>
      </c>
      <c r="F7305" s="102" t="str">
        <f ca="1">IFERROR(__xludf.DUMMYFUNCTION("IMPORTRANGE(H7305,""IDENTITAS UNIT!D9"")"),"#N/A")</f>
        <v>#N/A</v>
      </c>
      <c r="H7305" s="4" t="str">
        <v/>
      </c>
      <c r="I7305" s="4" t="str">
        <v/>
      </c>
    </row>
    <row r="7306" spans="5:9" ht="16.5" hidden="1">
      <c r="E7306" s="4" t="str">
        <v/>
      </c>
      <c r="F7306" s="102" t="str">
        <f ca="1">IFERROR(__xludf.DUMMYFUNCTION("IMPORTRANGE(H7306,""IDENTITAS UNIT!D9"")"),"#N/A")</f>
        <v>#N/A</v>
      </c>
      <c r="H7306" s="4" t="str">
        <v/>
      </c>
      <c r="I7306" s="4" t="str">
        <v/>
      </c>
    </row>
    <row r="7307" spans="5:9" ht="16.5" hidden="1">
      <c r="E7307" s="4" t="str">
        <v/>
      </c>
      <c r="F7307" s="102" t="str">
        <f ca="1">IFERROR(__xludf.DUMMYFUNCTION("IMPORTRANGE(H7307,""IDENTITAS UNIT!D9"")"),"#N/A")</f>
        <v>#N/A</v>
      </c>
      <c r="H7307" s="4" t="str">
        <v/>
      </c>
      <c r="I7307" s="4" t="str">
        <v/>
      </c>
    </row>
    <row r="7308" spans="5:9" ht="16.5" hidden="1">
      <c r="E7308" s="4" t="str">
        <v/>
      </c>
      <c r="F7308" s="102" t="str">
        <f ca="1">IFERROR(__xludf.DUMMYFUNCTION("IMPORTRANGE(H7308,""IDENTITAS UNIT!D9"")"),"#N/A")</f>
        <v>#N/A</v>
      </c>
      <c r="H7308" s="4" t="str">
        <v/>
      </c>
      <c r="I7308" s="4" t="str">
        <v/>
      </c>
    </row>
    <row r="7309" spans="5:9" ht="16.5" hidden="1">
      <c r="E7309" s="4" t="str">
        <v/>
      </c>
      <c r="F7309" s="102" t="str">
        <f ca="1">IFERROR(__xludf.DUMMYFUNCTION("IMPORTRANGE(H7309,""IDENTITAS UNIT!D9"")"),"#N/A")</f>
        <v>#N/A</v>
      </c>
      <c r="H7309" s="4" t="str">
        <v/>
      </c>
      <c r="I7309" s="4" t="str">
        <v/>
      </c>
    </row>
    <row r="7310" spans="5:9" ht="16.5" hidden="1">
      <c r="E7310" s="4" t="str">
        <v/>
      </c>
      <c r="F7310" s="102" t="str">
        <f ca="1">IFERROR(__xludf.DUMMYFUNCTION("IMPORTRANGE(H7310,""IDENTITAS UNIT!D9"")"),"#N/A")</f>
        <v>#N/A</v>
      </c>
      <c r="H7310" s="4" t="str">
        <v/>
      </c>
      <c r="I7310" s="4" t="str">
        <v/>
      </c>
    </row>
    <row r="7311" spans="5:9" ht="16.5" hidden="1">
      <c r="E7311" s="4" t="str">
        <v/>
      </c>
      <c r="F7311" s="102" t="str">
        <f ca="1">IFERROR(__xludf.DUMMYFUNCTION("IMPORTRANGE(H7311,""IDENTITAS UNIT!D9"")"),"#N/A")</f>
        <v>#N/A</v>
      </c>
      <c r="H7311" s="4" t="str">
        <v/>
      </c>
      <c r="I7311" s="4" t="str">
        <v/>
      </c>
    </row>
    <row r="7312" spans="5:9" ht="16.5" hidden="1">
      <c r="E7312" s="4" t="str">
        <v/>
      </c>
      <c r="F7312" s="102" t="str">
        <f ca="1">IFERROR(__xludf.DUMMYFUNCTION("IMPORTRANGE(H7312,""IDENTITAS UNIT!D9"")"),"#N/A")</f>
        <v>#N/A</v>
      </c>
      <c r="H7312" s="4" t="str">
        <v/>
      </c>
      <c r="I7312" s="4" t="str">
        <v/>
      </c>
    </row>
    <row r="7313" spans="5:9" ht="16.5" hidden="1">
      <c r="E7313" s="4" t="str">
        <v/>
      </c>
      <c r="F7313" s="102" t="str">
        <f ca="1">IFERROR(__xludf.DUMMYFUNCTION("IMPORTRANGE(H7313,""IDENTITAS UNIT!D9"")"),"#N/A")</f>
        <v>#N/A</v>
      </c>
      <c r="H7313" s="4" t="str">
        <v/>
      </c>
      <c r="I7313" s="4" t="str">
        <v/>
      </c>
    </row>
    <row r="7314" spans="5:9" ht="16.5" hidden="1">
      <c r="E7314" s="4" t="str">
        <v/>
      </c>
      <c r="F7314" s="102" t="str">
        <f ca="1">IFERROR(__xludf.DUMMYFUNCTION("IMPORTRANGE(H7314,""IDENTITAS UNIT!D9"")"),"#N/A")</f>
        <v>#N/A</v>
      </c>
      <c r="H7314" s="4" t="str">
        <v/>
      </c>
      <c r="I7314" s="4" t="str">
        <v/>
      </c>
    </row>
    <row r="7315" spans="5:9" ht="16.5" hidden="1">
      <c r="E7315" s="4" t="str">
        <v/>
      </c>
      <c r="F7315" s="102" t="str">
        <f ca="1">IFERROR(__xludf.DUMMYFUNCTION("IMPORTRANGE(H7315,""IDENTITAS UNIT!D9"")"),"#N/A")</f>
        <v>#N/A</v>
      </c>
      <c r="H7315" s="4" t="str">
        <v/>
      </c>
      <c r="I7315" s="4" t="str">
        <v/>
      </c>
    </row>
    <row r="7316" spans="5:9" ht="16.5" hidden="1">
      <c r="E7316" s="4" t="str">
        <v/>
      </c>
      <c r="F7316" s="102" t="str">
        <f ca="1">IFERROR(__xludf.DUMMYFUNCTION("IMPORTRANGE(H7316,""IDENTITAS UNIT!D9"")"),"#N/A")</f>
        <v>#N/A</v>
      </c>
      <c r="H7316" s="4" t="str">
        <v/>
      </c>
      <c r="I7316" s="4" t="str">
        <v/>
      </c>
    </row>
    <row r="7317" spans="5:9" ht="16.5" hidden="1">
      <c r="E7317" s="4" t="str">
        <v/>
      </c>
      <c r="F7317" s="102" t="str">
        <f ca="1">IFERROR(__xludf.DUMMYFUNCTION("IMPORTRANGE(H7317,""IDENTITAS UNIT!D9"")"),"#N/A")</f>
        <v>#N/A</v>
      </c>
      <c r="H7317" s="4" t="str">
        <v/>
      </c>
      <c r="I7317" s="4" t="str">
        <v/>
      </c>
    </row>
    <row r="7318" spans="5:9" ht="16.5" hidden="1">
      <c r="E7318" s="4" t="str">
        <v/>
      </c>
      <c r="F7318" s="102" t="str">
        <f ca="1">IFERROR(__xludf.DUMMYFUNCTION("IMPORTRANGE(H7318,""IDENTITAS UNIT!D9"")"),"#N/A")</f>
        <v>#N/A</v>
      </c>
      <c r="H7318" s="4" t="str">
        <v/>
      </c>
      <c r="I7318" s="4" t="str">
        <v/>
      </c>
    </row>
    <row r="7319" spans="5:9" ht="16.5" hidden="1">
      <c r="E7319" s="4" t="str">
        <v/>
      </c>
      <c r="F7319" s="102" t="str">
        <f ca="1">IFERROR(__xludf.DUMMYFUNCTION("IMPORTRANGE(H7319,""IDENTITAS UNIT!D9"")"),"#N/A")</f>
        <v>#N/A</v>
      </c>
      <c r="H7319" s="4" t="str">
        <v/>
      </c>
      <c r="I7319" s="4" t="str">
        <v/>
      </c>
    </row>
    <row r="7320" spans="5:9" ht="16.5" hidden="1">
      <c r="E7320" s="4" t="str">
        <v/>
      </c>
      <c r="F7320" s="102" t="str">
        <f ca="1">IFERROR(__xludf.DUMMYFUNCTION("IMPORTRANGE(H7320,""IDENTITAS UNIT!D9"")"),"#N/A")</f>
        <v>#N/A</v>
      </c>
      <c r="H7320" s="4" t="str">
        <v/>
      </c>
      <c r="I7320" s="4" t="str">
        <v/>
      </c>
    </row>
    <row r="7321" spans="5:9" ht="16.5" hidden="1">
      <c r="E7321" s="4" t="str">
        <v/>
      </c>
      <c r="F7321" s="102" t="str">
        <f ca="1">IFERROR(__xludf.DUMMYFUNCTION("IMPORTRANGE(H7321,""IDENTITAS UNIT!D9"")"),"#N/A")</f>
        <v>#N/A</v>
      </c>
      <c r="H7321" s="4" t="str">
        <v/>
      </c>
      <c r="I7321" s="4" t="str">
        <v/>
      </c>
    </row>
    <row r="7322" spans="5:9" ht="16.5" hidden="1">
      <c r="E7322" s="4" t="str">
        <v/>
      </c>
      <c r="F7322" s="102" t="str">
        <f ca="1">IFERROR(__xludf.DUMMYFUNCTION("IMPORTRANGE(H7322,""IDENTITAS UNIT!D9"")"),"#N/A")</f>
        <v>#N/A</v>
      </c>
      <c r="H7322" s="4" t="str">
        <v/>
      </c>
      <c r="I7322" s="4" t="str">
        <v/>
      </c>
    </row>
    <row r="7323" spans="5:9" ht="16.5" hidden="1">
      <c r="E7323" s="4" t="str">
        <v/>
      </c>
      <c r="F7323" s="102" t="str">
        <f ca="1">IFERROR(__xludf.DUMMYFUNCTION("IMPORTRANGE(H7323,""IDENTITAS UNIT!D9"")"),"#N/A")</f>
        <v>#N/A</v>
      </c>
      <c r="H7323" s="4" t="str">
        <v/>
      </c>
      <c r="I7323" s="4" t="str">
        <v/>
      </c>
    </row>
    <row r="7324" spans="5:9" ht="16.5" hidden="1">
      <c r="E7324" s="4" t="str">
        <v/>
      </c>
      <c r="F7324" s="102" t="str">
        <f ca="1">IFERROR(__xludf.DUMMYFUNCTION("IMPORTRANGE(H7324,""IDENTITAS UNIT!D9"")"),"#N/A")</f>
        <v>#N/A</v>
      </c>
      <c r="H7324" s="4" t="str">
        <v/>
      </c>
      <c r="I7324" s="4" t="str">
        <v/>
      </c>
    </row>
    <row r="7325" spans="5:9" ht="16.5" hidden="1">
      <c r="E7325" s="4" t="str">
        <v/>
      </c>
      <c r="F7325" s="102" t="str">
        <f ca="1">IFERROR(__xludf.DUMMYFUNCTION("IMPORTRANGE(H7325,""IDENTITAS UNIT!D9"")"),"#N/A")</f>
        <v>#N/A</v>
      </c>
      <c r="H7325" s="4" t="str">
        <v/>
      </c>
      <c r="I7325" s="4" t="str">
        <v/>
      </c>
    </row>
    <row r="7326" spans="5:9" ht="16.5" hidden="1">
      <c r="E7326" s="4" t="str">
        <v/>
      </c>
      <c r="F7326" s="102" t="str">
        <f ca="1">IFERROR(__xludf.DUMMYFUNCTION("IMPORTRANGE(H7326,""IDENTITAS UNIT!D9"")"),"#N/A")</f>
        <v>#N/A</v>
      </c>
      <c r="H7326" s="4" t="str">
        <v/>
      </c>
      <c r="I7326" s="4" t="str">
        <v/>
      </c>
    </row>
    <row r="7327" spans="5:9" ht="16.5" hidden="1">
      <c r="E7327" s="4" t="str">
        <v/>
      </c>
      <c r="F7327" s="102" t="str">
        <f ca="1">IFERROR(__xludf.DUMMYFUNCTION("IMPORTRANGE(H7327,""IDENTITAS UNIT!D9"")"),"#N/A")</f>
        <v>#N/A</v>
      </c>
      <c r="H7327" s="4" t="str">
        <v/>
      </c>
      <c r="I7327" s="4" t="str">
        <v/>
      </c>
    </row>
    <row r="7328" spans="5:9" ht="16.5" hidden="1">
      <c r="E7328" s="4" t="str">
        <v/>
      </c>
      <c r="F7328" s="102" t="str">
        <f ca="1">IFERROR(__xludf.DUMMYFUNCTION("IMPORTRANGE(H7328,""IDENTITAS UNIT!D9"")"),"#N/A")</f>
        <v>#N/A</v>
      </c>
      <c r="H7328" s="4" t="str">
        <v/>
      </c>
      <c r="I7328" s="4" t="str">
        <v/>
      </c>
    </row>
    <row r="7329" spans="5:9" ht="16.5" hidden="1">
      <c r="E7329" s="4" t="str">
        <v/>
      </c>
      <c r="F7329" s="102" t="str">
        <f ca="1">IFERROR(__xludf.DUMMYFUNCTION("IMPORTRANGE(H7329,""IDENTITAS UNIT!D9"")"),"#N/A")</f>
        <v>#N/A</v>
      </c>
      <c r="H7329" s="4" t="str">
        <v/>
      </c>
      <c r="I7329" s="4" t="str">
        <v/>
      </c>
    </row>
    <row r="7330" spans="5:9" ht="16.5" hidden="1">
      <c r="E7330" s="4" t="str">
        <v/>
      </c>
      <c r="F7330" s="102" t="str">
        <f ca="1">IFERROR(__xludf.DUMMYFUNCTION("IMPORTRANGE(H7330,""IDENTITAS UNIT!D9"")"),"#N/A")</f>
        <v>#N/A</v>
      </c>
      <c r="H7330" s="4" t="str">
        <v/>
      </c>
      <c r="I7330" s="4" t="str">
        <v/>
      </c>
    </row>
    <row r="7331" spans="5:9" ht="16.5" hidden="1">
      <c r="E7331" s="4" t="str">
        <v/>
      </c>
      <c r="F7331" s="102" t="str">
        <f ca="1">IFERROR(__xludf.DUMMYFUNCTION("IMPORTRANGE(H7331,""IDENTITAS UNIT!D9"")"),"#N/A")</f>
        <v>#N/A</v>
      </c>
      <c r="H7331" s="4" t="str">
        <v/>
      </c>
      <c r="I7331" s="4" t="str">
        <v/>
      </c>
    </row>
    <row r="7332" spans="5:9" ht="16.5" hidden="1">
      <c r="E7332" s="4" t="str">
        <v/>
      </c>
      <c r="F7332" s="102" t="str">
        <f ca="1">IFERROR(__xludf.DUMMYFUNCTION("IMPORTRANGE(H7332,""IDENTITAS UNIT!D9"")"),"#N/A")</f>
        <v>#N/A</v>
      </c>
      <c r="H7332" s="4" t="str">
        <v/>
      </c>
      <c r="I7332" s="4" t="str">
        <v/>
      </c>
    </row>
    <row r="7333" spans="5:9" ht="16.5" hidden="1">
      <c r="E7333" s="4" t="str">
        <v/>
      </c>
      <c r="F7333" s="102" t="str">
        <f ca="1">IFERROR(__xludf.DUMMYFUNCTION("IMPORTRANGE(H7333,""IDENTITAS UNIT!D9"")"),"#N/A")</f>
        <v>#N/A</v>
      </c>
      <c r="H7333" s="4" t="str">
        <v/>
      </c>
      <c r="I7333" s="4" t="str">
        <v/>
      </c>
    </row>
    <row r="7334" spans="5:9" ht="16.5" hidden="1">
      <c r="E7334" s="4" t="str">
        <v/>
      </c>
      <c r="F7334" s="102" t="str">
        <f ca="1">IFERROR(__xludf.DUMMYFUNCTION("IMPORTRANGE(H7334,""IDENTITAS UNIT!D9"")"),"#N/A")</f>
        <v>#N/A</v>
      </c>
      <c r="H7334" s="4" t="str">
        <v/>
      </c>
      <c r="I7334" s="4" t="str">
        <v/>
      </c>
    </row>
    <row r="7335" spans="5:9" ht="16.5" hidden="1">
      <c r="E7335" s="4" t="str">
        <v/>
      </c>
      <c r="F7335" s="102" t="str">
        <f ca="1">IFERROR(__xludf.DUMMYFUNCTION("IMPORTRANGE(H7335,""IDENTITAS UNIT!D9"")"),"#N/A")</f>
        <v>#N/A</v>
      </c>
      <c r="H7335" s="4" t="str">
        <v/>
      </c>
      <c r="I7335" s="4" t="str">
        <v/>
      </c>
    </row>
    <row r="7336" spans="5:9" ht="16.5" hidden="1">
      <c r="E7336" s="4" t="str">
        <v/>
      </c>
      <c r="F7336" s="102" t="str">
        <f ca="1">IFERROR(__xludf.DUMMYFUNCTION("IMPORTRANGE(H7336,""IDENTITAS UNIT!D9"")"),"#N/A")</f>
        <v>#N/A</v>
      </c>
      <c r="H7336" s="4" t="str">
        <v/>
      </c>
      <c r="I7336" s="4" t="str">
        <v/>
      </c>
    </row>
    <row r="7337" spans="5:9" ht="16.5" hidden="1">
      <c r="E7337" s="4" t="str">
        <v/>
      </c>
      <c r="F7337" s="102" t="str">
        <f ca="1">IFERROR(__xludf.DUMMYFUNCTION("IMPORTRANGE(H7337,""IDENTITAS UNIT!D9"")"),"#N/A")</f>
        <v>#N/A</v>
      </c>
      <c r="H7337" s="4" t="str">
        <v/>
      </c>
      <c r="I7337" s="4" t="str">
        <v/>
      </c>
    </row>
    <row r="7338" spans="5:9" ht="16.5" hidden="1">
      <c r="E7338" s="4" t="str">
        <v/>
      </c>
      <c r="F7338" s="102" t="str">
        <f ca="1">IFERROR(__xludf.DUMMYFUNCTION("IMPORTRANGE(H7338,""IDENTITAS UNIT!D9"")"),"#N/A")</f>
        <v>#N/A</v>
      </c>
      <c r="H7338" s="4" t="str">
        <v/>
      </c>
      <c r="I7338" s="4" t="str">
        <v/>
      </c>
    </row>
    <row r="7339" spans="5:9" ht="16.5" hidden="1">
      <c r="E7339" s="4" t="str">
        <v/>
      </c>
      <c r="F7339" s="102" t="str">
        <f ca="1">IFERROR(__xludf.DUMMYFUNCTION("IMPORTRANGE(H7339,""IDENTITAS UNIT!D9"")"),"#N/A")</f>
        <v>#N/A</v>
      </c>
      <c r="H7339" s="4" t="str">
        <v/>
      </c>
      <c r="I7339" s="4" t="str">
        <v/>
      </c>
    </row>
    <row r="7340" spans="5:9" ht="16.5" hidden="1">
      <c r="E7340" s="4" t="str">
        <v/>
      </c>
      <c r="F7340" s="102" t="str">
        <f ca="1">IFERROR(__xludf.DUMMYFUNCTION("IMPORTRANGE(H7340,""IDENTITAS UNIT!D9"")"),"#N/A")</f>
        <v>#N/A</v>
      </c>
      <c r="H7340" s="4" t="str">
        <v/>
      </c>
      <c r="I7340" s="4" t="str">
        <v/>
      </c>
    </row>
    <row r="7341" spans="5:9" ht="16.5" hidden="1">
      <c r="E7341" s="4" t="str">
        <v/>
      </c>
      <c r="F7341" s="102" t="str">
        <f ca="1">IFERROR(__xludf.DUMMYFUNCTION("IMPORTRANGE(H7341,""IDENTITAS UNIT!D9"")"),"#N/A")</f>
        <v>#N/A</v>
      </c>
      <c r="H7341" s="4" t="str">
        <v/>
      </c>
      <c r="I7341" s="4" t="str">
        <v/>
      </c>
    </row>
    <row r="7342" spans="5:9" ht="16.5" hidden="1">
      <c r="E7342" s="4" t="str">
        <v/>
      </c>
      <c r="F7342" s="102" t="str">
        <f ca="1">IFERROR(__xludf.DUMMYFUNCTION("IMPORTRANGE(H7342,""IDENTITAS UNIT!D9"")"),"#N/A")</f>
        <v>#N/A</v>
      </c>
      <c r="H7342" s="4" t="str">
        <v/>
      </c>
      <c r="I7342" s="4" t="str">
        <v/>
      </c>
    </row>
    <row r="7343" spans="5:9" ht="16.5" hidden="1">
      <c r="E7343" s="4" t="str">
        <v/>
      </c>
      <c r="F7343" s="102" t="str">
        <f ca="1">IFERROR(__xludf.DUMMYFUNCTION("IMPORTRANGE(H7343,""IDENTITAS UNIT!D9"")"),"#N/A")</f>
        <v>#N/A</v>
      </c>
      <c r="H7343" s="4" t="str">
        <v/>
      </c>
      <c r="I7343" s="4" t="str">
        <v/>
      </c>
    </row>
    <row r="7344" spans="5:9" ht="16.5" hidden="1">
      <c r="E7344" s="4" t="str">
        <v/>
      </c>
      <c r="F7344" s="102" t="str">
        <f ca="1">IFERROR(__xludf.DUMMYFUNCTION("IMPORTRANGE(H7344,""IDENTITAS UNIT!D9"")"),"#N/A")</f>
        <v>#N/A</v>
      </c>
      <c r="H7344" s="4" t="str">
        <v/>
      </c>
      <c r="I7344" s="4" t="str">
        <v/>
      </c>
    </row>
    <row r="7345" spans="5:9" ht="16.5" hidden="1">
      <c r="E7345" s="4" t="str">
        <v/>
      </c>
      <c r="F7345" s="102" t="str">
        <f ca="1">IFERROR(__xludf.DUMMYFUNCTION("IMPORTRANGE(H7345,""IDENTITAS UNIT!D9"")"),"#N/A")</f>
        <v>#N/A</v>
      </c>
      <c r="H7345" s="4" t="str">
        <v/>
      </c>
      <c r="I7345" s="4" t="str">
        <v/>
      </c>
    </row>
    <row r="7346" spans="5:9" ht="16.5" hidden="1">
      <c r="E7346" s="4" t="str">
        <v/>
      </c>
      <c r="F7346" s="102" t="str">
        <f ca="1">IFERROR(__xludf.DUMMYFUNCTION("IMPORTRANGE(H7346,""IDENTITAS UNIT!D9"")"),"#N/A")</f>
        <v>#N/A</v>
      </c>
      <c r="H7346" s="4" t="str">
        <v/>
      </c>
      <c r="I7346" s="4" t="str">
        <v/>
      </c>
    </row>
    <row r="7347" spans="5:9" ht="16.5" hidden="1">
      <c r="E7347" s="4" t="str">
        <v/>
      </c>
      <c r="F7347" s="102" t="str">
        <f ca="1">IFERROR(__xludf.DUMMYFUNCTION("IMPORTRANGE(H7347,""IDENTITAS UNIT!D9"")"),"#N/A")</f>
        <v>#N/A</v>
      </c>
      <c r="H7347" s="4" t="str">
        <v/>
      </c>
      <c r="I7347" s="4" t="str">
        <v/>
      </c>
    </row>
    <row r="7348" spans="5:9" ht="16.5" hidden="1">
      <c r="E7348" s="4" t="str">
        <v/>
      </c>
      <c r="F7348" s="102" t="str">
        <f ca="1">IFERROR(__xludf.DUMMYFUNCTION("IMPORTRANGE(H7348,""IDENTITAS UNIT!D9"")"),"#N/A")</f>
        <v>#N/A</v>
      </c>
      <c r="H7348" s="4" t="str">
        <v/>
      </c>
      <c r="I7348" s="4" t="str">
        <v/>
      </c>
    </row>
    <row r="7349" spans="5:9" ht="16.5" hidden="1">
      <c r="E7349" s="4" t="str">
        <v/>
      </c>
      <c r="F7349" s="102" t="str">
        <f ca="1">IFERROR(__xludf.DUMMYFUNCTION("IMPORTRANGE(H7349,""IDENTITAS UNIT!D9"")"),"#N/A")</f>
        <v>#N/A</v>
      </c>
      <c r="H7349" s="4" t="str">
        <v/>
      </c>
      <c r="I7349" s="4" t="str">
        <v/>
      </c>
    </row>
    <row r="7350" spans="5:9" ht="16.5" hidden="1">
      <c r="E7350" s="4" t="str">
        <v/>
      </c>
      <c r="F7350" s="102" t="str">
        <f ca="1">IFERROR(__xludf.DUMMYFUNCTION("IMPORTRANGE(H7350,""IDENTITAS UNIT!D9"")"),"#N/A")</f>
        <v>#N/A</v>
      </c>
      <c r="H7350" s="4" t="str">
        <v/>
      </c>
      <c r="I7350" s="4" t="str">
        <v/>
      </c>
    </row>
    <row r="7351" spans="5:9" ht="16.5" hidden="1">
      <c r="E7351" s="4" t="str">
        <v/>
      </c>
      <c r="F7351" s="102" t="str">
        <f ca="1">IFERROR(__xludf.DUMMYFUNCTION("IMPORTRANGE(H7351,""IDENTITAS UNIT!D9"")"),"#N/A")</f>
        <v>#N/A</v>
      </c>
      <c r="H7351" s="4" t="str">
        <v/>
      </c>
      <c r="I7351" s="4" t="str">
        <v/>
      </c>
    </row>
    <row r="7352" spans="5:9" ht="16.5" hidden="1">
      <c r="E7352" s="4" t="str">
        <v/>
      </c>
      <c r="F7352" s="102" t="str">
        <f ca="1">IFERROR(__xludf.DUMMYFUNCTION("IMPORTRANGE(H7352,""IDENTITAS UNIT!D9"")"),"#N/A")</f>
        <v>#N/A</v>
      </c>
      <c r="H7352" s="4" t="str">
        <v/>
      </c>
      <c r="I7352" s="4" t="str">
        <v/>
      </c>
    </row>
    <row r="7353" spans="5:9" ht="16.5" hidden="1">
      <c r="E7353" s="4" t="str">
        <v/>
      </c>
      <c r="F7353" s="102" t="str">
        <f ca="1">IFERROR(__xludf.DUMMYFUNCTION("IMPORTRANGE(H7353,""IDENTITAS UNIT!D9"")"),"#N/A")</f>
        <v>#N/A</v>
      </c>
      <c r="H7353" s="4" t="str">
        <v/>
      </c>
      <c r="I7353" s="4" t="str">
        <v/>
      </c>
    </row>
    <row r="7354" spans="5:9" ht="16.5" hidden="1">
      <c r="E7354" s="4" t="str">
        <v/>
      </c>
      <c r="F7354" s="102" t="str">
        <f ca="1">IFERROR(__xludf.DUMMYFUNCTION("IMPORTRANGE(H7354,""IDENTITAS UNIT!D9"")"),"#N/A")</f>
        <v>#N/A</v>
      </c>
      <c r="H7354" s="4" t="str">
        <v/>
      </c>
      <c r="I7354" s="4" t="str">
        <v/>
      </c>
    </row>
    <row r="7355" spans="5:9" ht="16.5" hidden="1">
      <c r="E7355" s="4" t="str">
        <v/>
      </c>
      <c r="F7355" s="102" t="str">
        <f ca="1">IFERROR(__xludf.DUMMYFUNCTION("IMPORTRANGE(H7355,""IDENTITAS UNIT!D9"")"),"#N/A")</f>
        <v>#N/A</v>
      </c>
      <c r="H7355" s="4" t="str">
        <v/>
      </c>
      <c r="I7355" s="4" t="str">
        <v/>
      </c>
    </row>
    <row r="7356" spans="5:9" ht="16.5" hidden="1">
      <c r="E7356" s="4" t="str">
        <v/>
      </c>
      <c r="F7356" s="102" t="str">
        <f ca="1">IFERROR(__xludf.DUMMYFUNCTION("IMPORTRANGE(H7356,""IDENTITAS UNIT!D9"")"),"#N/A")</f>
        <v>#N/A</v>
      </c>
      <c r="H7356" s="4" t="str">
        <v/>
      </c>
      <c r="I7356" s="4" t="str">
        <v/>
      </c>
    </row>
    <row r="7357" spans="5:9" ht="16.5" hidden="1">
      <c r="E7357" s="4" t="str">
        <v/>
      </c>
      <c r="F7357" s="102" t="str">
        <f ca="1">IFERROR(__xludf.DUMMYFUNCTION("IMPORTRANGE(H7357,""IDENTITAS UNIT!D9"")"),"#N/A")</f>
        <v>#N/A</v>
      </c>
      <c r="H7357" s="4" t="str">
        <v/>
      </c>
      <c r="I7357" s="4" t="str">
        <v/>
      </c>
    </row>
    <row r="7358" spans="5:9" ht="16.5" hidden="1">
      <c r="E7358" s="4" t="str">
        <v/>
      </c>
      <c r="F7358" s="102" t="str">
        <f ca="1">IFERROR(__xludf.DUMMYFUNCTION("IMPORTRANGE(H7358,""IDENTITAS UNIT!D9"")"),"#N/A")</f>
        <v>#N/A</v>
      </c>
      <c r="H7358" s="4" t="str">
        <v/>
      </c>
      <c r="I7358" s="4" t="str">
        <v/>
      </c>
    </row>
    <row r="7359" spans="5:9" ht="16.5" hidden="1">
      <c r="E7359" s="4" t="str">
        <v/>
      </c>
      <c r="F7359" s="102" t="str">
        <f ca="1">IFERROR(__xludf.DUMMYFUNCTION("IMPORTRANGE(H7359,""IDENTITAS UNIT!D9"")"),"#N/A")</f>
        <v>#N/A</v>
      </c>
      <c r="H7359" s="4" t="str">
        <v/>
      </c>
      <c r="I7359" s="4" t="str">
        <v/>
      </c>
    </row>
    <row r="7360" spans="5:9" ht="16.5" hidden="1">
      <c r="E7360" s="4" t="str">
        <v/>
      </c>
      <c r="F7360" s="102" t="str">
        <f ca="1">IFERROR(__xludf.DUMMYFUNCTION("IMPORTRANGE(H7360,""IDENTITAS UNIT!D9"")"),"#N/A")</f>
        <v>#N/A</v>
      </c>
      <c r="H7360" s="4" t="str">
        <v/>
      </c>
      <c r="I7360" s="4" t="str">
        <v/>
      </c>
    </row>
    <row r="7361" spans="5:9" ht="16.5" hidden="1">
      <c r="E7361" s="4" t="str">
        <v/>
      </c>
      <c r="F7361" s="102" t="str">
        <f ca="1">IFERROR(__xludf.DUMMYFUNCTION("IMPORTRANGE(H7361,""IDENTITAS UNIT!D9"")"),"#N/A")</f>
        <v>#N/A</v>
      </c>
      <c r="H7361" s="4" t="str">
        <v/>
      </c>
      <c r="I7361" s="4" t="str">
        <v/>
      </c>
    </row>
    <row r="7362" spans="5:9" ht="16.5" hidden="1">
      <c r="E7362" s="4" t="str">
        <v/>
      </c>
      <c r="F7362" s="102" t="str">
        <f ca="1">IFERROR(__xludf.DUMMYFUNCTION("IMPORTRANGE(H7362,""IDENTITAS UNIT!D9"")"),"#N/A")</f>
        <v>#N/A</v>
      </c>
      <c r="H7362" s="4" t="str">
        <v/>
      </c>
      <c r="I7362" s="4" t="str">
        <v/>
      </c>
    </row>
    <row r="7363" spans="5:9" ht="16.5" hidden="1">
      <c r="E7363" s="4" t="str">
        <v/>
      </c>
      <c r="F7363" s="102" t="str">
        <f ca="1">IFERROR(__xludf.DUMMYFUNCTION("IMPORTRANGE(H7363,""IDENTITAS UNIT!D9"")"),"#N/A")</f>
        <v>#N/A</v>
      </c>
      <c r="H7363" s="4" t="str">
        <v/>
      </c>
      <c r="I7363" s="4" t="str">
        <v/>
      </c>
    </row>
    <row r="7364" spans="5:9" ht="16.5" hidden="1">
      <c r="E7364" s="4" t="str">
        <v/>
      </c>
      <c r="F7364" s="102" t="str">
        <f ca="1">IFERROR(__xludf.DUMMYFUNCTION("IMPORTRANGE(H7364,""IDENTITAS UNIT!D9"")"),"#N/A")</f>
        <v>#N/A</v>
      </c>
      <c r="H7364" s="4" t="str">
        <v/>
      </c>
      <c r="I7364" s="4" t="str">
        <v/>
      </c>
    </row>
    <row r="7365" spans="5:9" ht="16.5" hidden="1">
      <c r="E7365" s="4" t="str">
        <v/>
      </c>
      <c r="F7365" s="102" t="str">
        <f ca="1">IFERROR(__xludf.DUMMYFUNCTION("IMPORTRANGE(H7365,""IDENTITAS UNIT!D9"")"),"#N/A")</f>
        <v>#N/A</v>
      </c>
      <c r="H7365" s="4" t="str">
        <v/>
      </c>
      <c r="I7365" s="4" t="str">
        <v/>
      </c>
    </row>
    <row r="7366" spans="5:9" ht="16.5" hidden="1">
      <c r="E7366" s="4" t="str">
        <v/>
      </c>
      <c r="F7366" s="102" t="str">
        <f ca="1">IFERROR(__xludf.DUMMYFUNCTION("IMPORTRANGE(H7366,""IDENTITAS UNIT!D9"")"),"#N/A")</f>
        <v>#N/A</v>
      </c>
      <c r="H7366" s="4" t="str">
        <v/>
      </c>
      <c r="I7366" s="4" t="str">
        <v/>
      </c>
    </row>
    <row r="7367" spans="5:9" ht="16.5" hidden="1">
      <c r="E7367" s="4" t="str">
        <v/>
      </c>
      <c r="F7367" s="102" t="str">
        <f ca="1">IFERROR(__xludf.DUMMYFUNCTION("IMPORTRANGE(H7367,""IDENTITAS UNIT!D9"")"),"#N/A")</f>
        <v>#N/A</v>
      </c>
      <c r="H7367" s="4" t="str">
        <v/>
      </c>
      <c r="I7367" s="4" t="str">
        <v/>
      </c>
    </row>
    <row r="7368" spans="5:9" ht="16.5" hidden="1">
      <c r="E7368" s="4" t="str">
        <v/>
      </c>
      <c r="F7368" s="102" t="str">
        <f ca="1">IFERROR(__xludf.DUMMYFUNCTION("IMPORTRANGE(H7368,""IDENTITAS UNIT!D9"")"),"#N/A")</f>
        <v>#N/A</v>
      </c>
      <c r="H7368" s="4" t="str">
        <v/>
      </c>
      <c r="I7368" s="4" t="str">
        <v/>
      </c>
    </row>
    <row r="7369" spans="5:9" ht="16.5" hidden="1">
      <c r="E7369" s="4" t="str">
        <v/>
      </c>
      <c r="F7369" s="102" t="str">
        <f ca="1">IFERROR(__xludf.DUMMYFUNCTION("IMPORTRANGE(H7369,""IDENTITAS UNIT!D9"")"),"#N/A")</f>
        <v>#N/A</v>
      </c>
      <c r="H7369" s="4" t="str">
        <v/>
      </c>
      <c r="I7369" s="4" t="str">
        <v/>
      </c>
    </row>
    <row r="7370" spans="5:9" ht="16.5" hidden="1">
      <c r="E7370" s="4" t="str">
        <v/>
      </c>
      <c r="F7370" s="102" t="str">
        <f ca="1">IFERROR(__xludf.DUMMYFUNCTION("IMPORTRANGE(H7370,""IDENTITAS UNIT!D9"")"),"#N/A")</f>
        <v>#N/A</v>
      </c>
      <c r="H7370" s="4" t="str">
        <v/>
      </c>
      <c r="I7370" s="4" t="str">
        <v/>
      </c>
    </row>
    <row r="7371" spans="5:9" ht="16.5" hidden="1">
      <c r="E7371" s="4" t="str">
        <v/>
      </c>
      <c r="F7371" s="102" t="str">
        <f ca="1">IFERROR(__xludf.DUMMYFUNCTION("IMPORTRANGE(H7371,""IDENTITAS UNIT!D9"")"),"#N/A")</f>
        <v>#N/A</v>
      </c>
      <c r="H7371" s="4" t="str">
        <v/>
      </c>
      <c r="I7371" s="4" t="str">
        <v/>
      </c>
    </row>
    <row r="7372" spans="5:9" ht="16.5" hidden="1">
      <c r="E7372" s="4" t="str">
        <v/>
      </c>
      <c r="F7372" s="102" t="str">
        <f ca="1">IFERROR(__xludf.DUMMYFUNCTION("IMPORTRANGE(H7372,""IDENTITAS UNIT!D9"")"),"#N/A")</f>
        <v>#N/A</v>
      </c>
      <c r="H7372" s="4" t="str">
        <v/>
      </c>
      <c r="I7372" s="4" t="str">
        <v/>
      </c>
    </row>
    <row r="7373" spans="5:9" ht="16.5" hidden="1">
      <c r="E7373" s="4" t="str">
        <v/>
      </c>
      <c r="F7373" s="102" t="str">
        <f ca="1">IFERROR(__xludf.DUMMYFUNCTION("IMPORTRANGE(H7373,""IDENTITAS UNIT!D9"")"),"#N/A")</f>
        <v>#N/A</v>
      </c>
      <c r="H7373" s="4" t="str">
        <v/>
      </c>
      <c r="I7373" s="4" t="str">
        <v/>
      </c>
    </row>
    <row r="7374" spans="5:9" ht="16.5" hidden="1">
      <c r="E7374" s="4" t="str">
        <v/>
      </c>
      <c r="F7374" s="102" t="str">
        <f ca="1">IFERROR(__xludf.DUMMYFUNCTION("IMPORTRANGE(H7374,""IDENTITAS UNIT!D9"")"),"#N/A")</f>
        <v>#N/A</v>
      </c>
      <c r="H7374" s="4" t="str">
        <v/>
      </c>
      <c r="I7374" s="4" t="str">
        <v/>
      </c>
    </row>
    <row r="7375" spans="5:9" ht="16.5" hidden="1">
      <c r="E7375" s="4" t="str">
        <v/>
      </c>
      <c r="F7375" s="102" t="str">
        <f ca="1">IFERROR(__xludf.DUMMYFUNCTION("IMPORTRANGE(H7375,""IDENTITAS UNIT!D9"")"),"#N/A")</f>
        <v>#N/A</v>
      </c>
      <c r="H7375" s="4" t="str">
        <v/>
      </c>
      <c r="I7375" s="4" t="str">
        <v/>
      </c>
    </row>
    <row r="7376" spans="5:9" ht="16.5" hidden="1">
      <c r="E7376" s="4" t="str">
        <v/>
      </c>
      <c r="F7376" s="102" t="str">
        <f ca="1">IFERROR(__xludf.DUMMYFUNCTION("IMPORTRANGE(H7376,""IDENTITAS UNIT!D9"")"),"#N/A")</f>
        <v>#N/A</v>
      </c>
      <c r="H7376" s="4" t="str">
        <v/>
      </c>
      <c r="I7376" s="4" t="str">
        <v/>
      </c>
    </row>
    <row r="7377" spans="5:9" ht="16.5" hidden="1">
      <c r="E7377" s="4" t="str">
        <v/>
      </c>
      <c r="F7377" s="102" t="str">
        <f ca="1">IFERROR(__xludf.DUMMYFUNCTION("IMPORTRANGE(H7377,""IDENTITAS UNIT!D9"")"),"#N/A")</f>
        <v>#N/A</v>
      </c>
      <c r="H7377" s="4" t="str">
        <v/>
      </c>
      <c r="I7377" s="4" t="str">
        <v/>
      </c>
    </row>
    <row r="7378" spans="5:9" ht="16.5" hidden="1">
      <c r="E7378" s="4" t="str">
        <v/>
      </c>
      <c r="F7378" s="102" t="str">
        <f ca="1">IFERROR(__xludf.DUMMYFUNCTION("IMPORTRANGE(H7378,""IDENTITAS UNIT!D9"")"),"#N/A")</f>
        <v>#N/A</v>
      </c>
      <c r="H7378" s="4" t="str">
        <v/>
      </c>
      <c r="I7378" s="4" t="str">
        <v/>
      </c>
    </row>
    <row r="7379" spans="5:9" ht="16.5" hidden="1">
      <c r="E7379" s="4" t="str">
        <v/>
      </c>
      <c r="F7379" s="102" t="str">
        <f ca="1">IFERROR(__xludf.DUMMYFUNCTION("IMPORTRANGE(H7379,""IDENTITAS UNIT!D9"")"),"#N/A")</f>
        <v>#N/A</v>
      </c>
      <c r="H7379" s="4" t="str">
        <v/>
      </c>
      <c r="I7379" s="4" t="str">
        <v/>
      </c>
    </row>
    <row r="7380" spans="5:9" ht="16.5" hidden="1">
      <c r="E7380" s="4" t="str">
        <v/>
      </c>
      <c r="F7380" s="102" t="str">
        <f ca="1">IFERROR(__xludf.DUMMYFUNCTION("IMPORTRANGE(H7380,""IDENTITAS UNIT!D9"")"),"#N/A")</f>
        <v>#N/A</v>
      </c>
      <c r="H7380" s="4" t="str">
        <v/>
      </c>
      <c r="I7380" s="4" t="str">
        <v/>
      </c>
    </row>
    <row r="7381" spans="5:9" ht="16.5" hidden="1">
      <c r="E7381" s="4" t="str">
        <v/>
      </c>
      <c r="F7381" s="102" t="str">
        <f ca="1">IFERROR(__xludf.DUMMYFUNCTION("IMPORTRANGE(H7381,""IDENTITAS UNIT!D9"")"),"#N/A")</f>
        <v>#N/A</v>
      </c>
      <c r="H7381" s="4" t="str">
        <v/>
      </c>
      <c r="I7381" s="4" t="str">
        <v/>
      </c>
    </row>
    <row r="7382" spans="5:9" ht="16.5" hidden="1">
      <c r="E7382" s="4" t="str">
        <v/>
      </c>
      <c r="F7382" s="102" t="str">
        <f ca="1">IFERROR(__xludf.DUMMYFUNCTION("IMPORTRANGE(H7382,""IDENTITAS UNIT!D9"")"),"#N/A")</f>
        <v>#N/A</v>
      </c>
      <c r="H7382" s="4" t="str">
        <v/>
      </c>
      <c r="I7382" s="4" t="str">
        <v/>
      </c>
    </row>
    <row r="7383" spans="5:9" ht="16.5" hidden="1">
      <c r="E7383" s="4" t="str">
        <v/>
      </c>
      <c r="F7383" s="102" t="str">
        <f ca="1">IFERROR(__xludf.DUMMYFUNCTION("IMPORTRANGE(H7383,""IDENTITAS UNIT!D9"")"),"#N/A")</f>
        <v>#N/A</v>
      </c>
      <c r="H7383" s="4" t="str">
        <v/>
      </c>
      <c r="I7383" s="4" t="str">
        <v/>
      </c>
    </row>
    <row r="7384" spans="5:9" ht="16.5" hidden="1">
      <c r="E7384" s="4" t="str">
        <v/>
      </c>
      <c r="F7384" s="102" t="str">
        <f ca="1">IFERROR(__xludf.DUMMYFUNCTION("IMPORTRANGE(H7384,""IDENTITAS UNIT!D9"")"),"#N/A")</f>
        <v>#N/A</v>
      </c>
      <c r="H7384" s="4" t="str">
        <v/>
      </c>
      <c r="I7384" s="4" t="str">
        <v/>
      </c>
    </row>
    <row r="7385" spans="5:9" ht="16.5" hidden="1">
      <c r="E7385" s="4" t="str">
        <v/>
      </c>
      <c r="F7385" s="102" t="str">
        <f ca="1">IFERROR(__xludf.DUMMYFUNCTION("IMPORTRANGE(H7385,""IDENTITAS UNIT!D9"")"),"#N/A")</f>
        <v>#N/A</v>
      </c>
      <c r="H7385" s="4" t="str">
        <v/>
      </c>
      <c r="I7385" s="4" t="str">
        <v/>
      </c>
    </row>
    <row r="7386" spans="5:9" ht="16.5" hidden="1">
      <c r="E7386" s="4" t="str">
        <v/>
      </c>
      <c r="F7386" s="102" t="str">
        <f ca="1">IFERROR(__xludf.DUMMYFUNCTION("IMPORTRANGE(H7386,""IDENTITAS UNIT!D9"")"),"#N/A")</f>
        <v>#N/A</v>
      </c>
      <c r="H7386" s="4" t="str">
        <v/>
      </c>
      <c r="I7386" s="4" t="str">
        <v/>
      </c>
    </row>
    <row r="7387" spans="5:9" ht="16.5" hidden="1">
      <c r="E7387" s="4" t="str">
        <v/>
      </c>
      <c r="F7387" s="102" t="str">
        <f ca="1">IFERROR(__xludf.DUMMYFUNCTION("IMPORTRANGE(H7387,""IDENTITAS UNIT!D9"")"),"#N/A")</f>
        <v>#N/A</v>
      </c>
      <c r="H7387" s="4" t="str">
        <v/>
      </c>
      <c r="I7387" s="4" t="str">
        <v/>
      </c>
    </row>
    <row r="7388" spans="5:9" ht="16.5" hidden="1">
      <c r="E7388" s="4" t="str">
        <v/>
      </c>
      <c r="F7388" s="102" t="str">
        <f ca="1">IFERROR(__xludf.DUMMYFUNCTION("IMPORTRANGE(H7388,""IDENTITAS UNIT!D9"")"),"#N/A")</f>
        <v>#N/A</v>
      </c>
      <c r="H7388" s="4" t="str">
        <v/>
      </c>
      <c r="I7388" s="4" t="str">
        <v/>
      </c>
    </row>
    <row r="7389" spans="5:9" ht="16.5" hidden="1">
      <c r="E7389" s="4" t="str">
        <v/>
      </c>
      <c r="F7389" s="102" t="str">
        <f ca="1">IFERROR(__xludf.DUMMYFUNCTION("IMPORTRANGE(H7389,""IDENTITAS UNIT!D9"")"),"#N/A")</f>
        <v>#N/A</v>
      </c>
      <c r="H7389" s="4" t="str">
        <v/>
      </c>
      <c r="I7389" s="4" t="str">
        <v/>
      </c>
    </row>
    <row r="7390" spans="5:9" ht="16.5" hidden="1">
      <c r="E7390" s="4" t="str">
        <v/>
      </c>
      <c r="F7390" s="102" t="str">
        <f ca="1">IFERROR(__xludf.DUMMYFUNCTION("IMPORTRANGE(H7390,""IDENTITAS UNIT!D9"")"),"#N/A")</f>
        <v>#N/A</v>
      </c>
      <c r="H7390" s="4" t="str">
        <v/>
      </c>
      <c r="I7390" s="4" t="str">
        <v/>
      </c>
    </row>
    <row r="7391" spans="5:9" ht="16.5" hidden="1">
      <c r="E7391" s="4" t="str">
        <v/>
      </c>
      <c r="F7391" s="102" t="str">
        <f ca="1">IFERROR(__xludf.DUMMYFUNCTION("IMPORTRANGE(H7391,""IDENTITAS UNIT!D9"")"),"#N/A")</f>
        <v>#N/A</v>
      </c>
      <c r="H7391" s="4" t="str">
        <v/>
      </c>
      <c r="I7391" s="4" t="str">
        <v/>
      </c>
    </row>
    <row r="7392" spans="5:9" ht="16.5" hidden="1">
      <c r="E7392" s="4" t="str">
        <v/>
      </c>
      <c r="F7392" s="102" t="str">
        <f ca="1">IFERROR(__xludf.DUMMYFUNCTION("IMPORTRANGE(H7392,""IDENTITAS UNIT!D9"")"),"#N/A")</f>
        <v>#N/A</v>
      </c>
      <c r="H7392" s="4" t="str">
        <v/>
      </c>
      <c r="I7392" s="4" t="str">
        <v/>
      </c>
    </row>
    <row r="7393" spans="5:9" ht="16.5" hidden="1">
      <c r="E7393" s="4" t="str">
        <v/>
      </c>
      <c r="F7393" s="102" t="str">
        <f ca="1">IFERROR(__xludf.DUMMYFUNCTION("IMPORTRANGE(H7393,""IDENTITAS UNIT!D9"")"),"#N/A")</f>
        <v>#N/A</v>
      </c>
      <c r="H7393" s="4" t="str">
        <v/>
      </c>
      <c r="I7393" s="4" t="str">
        <v/>
      </c>
    </row>
    <row r="7394" spans="5:9" ht="16.5" hidden="1">
      <c r="E7394" s="4" t="str">
        <v/>
      </c>
      <c r="F7394" s="102" t="str">
        <f ca="1">IFERROR(__xludf.DUMMYFUNCTION("IMPORTRANGE(H7394,""IDENTITAS UNIT!D9"")"),"#N/A")</f>
        <v>#N/A</v>
      </c>
      <c r="H7394" s="4" t="str">
        <v/>
      </c>
      <c r="I7394" s="4" t="str">
        <v/>
      </c>
    </row>
    <row r="7395" spans="5:9" ht="16.5" hidden="1">
      <c r="E7395" s="4" t="str">
        <v/>
      </c>
      <c r="F7395" s="102" t="str">
        <f ca="1">IFERROR(__xludf.DUMMYFUNCTION("IMPORTRANGE(H7395,""IDENTITAS UNIT!D9"")"),"#N/A")</f>
        <v>#N/A</v>
      </c>
      <c r="H7395" s="4" t="str">
        <v/>
      </c>
      <c r="I7395" s="4" t="str">
        <v/>
      </c>
    </row>
    <row r="7396" spans="5:9" ht="16.5" hidden="1">
      <c r="E7396" s="4" t="str">
        <v/>
      </c>
      <c r="F7396" s="102" t="str">
        <f ca="1">IFERROR(__xludf.DUMMYFUNCTION("IMPORTRANGE(H7396,""IDENTITAS UNIT!D9"")"),"#N/A")</f>
        <v>#N/A</v>
      </c>
      <c r="H7396" s="4" t="str">
        <v/>
      </c>
      <c r="I7396" s="4" t="str">
        <v/>
      </c>
    </row>
    <row r="7397" spans="5:9" ht="16.5" hidden="1">
      <c r="E7397" s="4" t="str">
        <v/>
      </c>
      <c r="F7397" s="102" t="str">
        <f ca="1">IFERROR(__xludf.DUMMYFUNCTION("IMPORTRANGE(H7397,""IDENTITAS UNIT!D9"")"),"#N/A")</f>
        <v>#N/A</v>
      </c>
      <c r="H7397" s="4" t="str">
        <v/>
      </c>
      <c r="I7397" s="4" t="str">
        <v/>
      </c>
    </row>
    <row r="7398" spans="5:9" ht="16.5" hidden="1">
      <c r="E7398" s="4" t="str">
        <v/>
      </c>
      <c r="F7398" s="102" t="str">
        <f ca="1">IFERROR(__xludf.DUMMYFUNCTION("IMPORTRANGE(H7398,""IDENTITAS UNIT!D9"")"),"#N/A")</f>
        <v>#N/A</v>
      </c>
      <c r="H7398" s="4" t="str">
        <v/>
      </c>
      <c r="I7398" s="4" t="str">
        <v/>
      </c>
    </row>
    <row r="7399" spans="5:9" ht="16.5" hidden="1">
      <c r="E7399" s="4" t="str">
        <v/>
      </c>
      <c r="F7399" s="102" t="str">
        <f ca="1">IFERROR(__xludf.DUMMYFUNCTION("IMPORTRANGE(H7399,""IDENTITAS UNIT!D9"")"),"#N/A")</f>
        <v>#N/A</v>
      </c>
      <c r="H7399" s="4" t="str">
        <v/>
      </c>
      <c r="I7399" s="4" t="str">
        <v/>
      </c>
    </row>
    <row r="7400" spans="5:9" ht="16.5" hidden="1">
      <c r="E7400" s="4" t="str">
        <v/>
      </c>
      <c r="F7400" s="102" t="str">
        <f ca="1">IFERROR(__xludf.DUMMYFUNCTION("IMPORTRANGE(H7400,""IDENTITAS UNIT!D9"")"),"#N/A")</f>
        <v>#N/A</v>
      </c>
      <c r="H7400" s="4" t="str">
        <v/>
      </c>
      <c r="I7400" s="4" t="str">
        <v/>
      </c>
    </row>
    <row r="7401" spans="5:9" ht="16.5" hidden="1">
      <c r="E7401" s="4" t="str">
        <v/>
      </c>
      <c r="F7401" s="102" t="str">
        <f ca="1">IFERROR(__xludf.DUMMYFUNCTION("IMPORTRANGE(H7401,""IDENTITAS UNIT!D9"")"),"#N/A")</f>
        <v>#N/A</v>
      </c>
      <c r="H7401" s="4" t="str">
        <v/>
      </c>
      <c r="I7401" s="4" t="str">
        <v/>
      </c>
    </row>
    <row r="7402" spans="5:9" ht="16.5" hidden="1">
      <c r="E7402" s="4" t="str">
        <v/>
      </c>
      <c r="F7402" s="102" t="str">
        <f ca="1">IFERROR(__xludf.DUMMYFUNCTION("IMPORTRANGE(H7402,""IDENTITAS UNIT!D9"")"),"#N/A")</f>
        <v>#N/A</v>
      </c>
      <c r="H7402" s="4" t="str">
        <v/>
      </c>
      <c r="I7402" s="4" t="str">
        <v/>
      </c>
    </row>
    <row r="7403" spans="5:9" ht="16.5" hidden="1">
      <c r="E7403" s="4" t="str">
        <v/>
      </c>
      <c r="F7403" s="102" t="str">
        <f ca="1">IFERROR(__xludf.DUMMYFUNCTION("IMPORTRANGE(H7403,""IDENTITAS UNIT!D9"")"),"#N/A")</f>
        <v>#N/A</v>
      </c>
      <c r="H7403" s="4" t="str">
        <v/>
      </c>
      <c r="I7403" s="4" t="str">
        <v/>
      </c>
    </row>
    <row r="7404" spans="5:9" ht="16.5" hidden="1">
      <c r="E7404" s="4" t="str">
        <v/>
      </c>
      <c r="F7404" s="102" t="str">
        <f ca="1">IFERROR(__xludf.DUMMYFUNCTION("IMPORTRANGE(H7404,""IDENTITAS UNIT!D9"")"),"#N/A")</f>
        <v>#N/A</v>
      </c>
      <c r="H7404" s="4" t="str">
        <v/>
      </c>
      <c r="I7404" s="4" t="str">
        <v/>
      </c>
    </row>
    <row r="7405" spans="5:9" ht="16.5" hidden="1">
      <c r="E7405" s="4" t="str">
        <v/>
      </c>
      <c r="F7405" s="102" t="str">
        <f ca="1">IFERROR(__xludf.DUMMYFUNCTION("IMPORTRANGE(H7405,""IDENTITAS UNIT!D9"")"),"#N/A")</f>
        <v>#N/A</v>
      </c>
      <c r="H7405" s="4" t="str">
        <v/>
      </c>
      <c r="I7405" s="4" t="str">
        <v/>
      </c>
    </row>
    <row r="7406" spans="5:9" ht="16.5" hidden="1">
      <c r="E7406" s="4" t="str">
        <v/>
      </c>
      <c r="F7406" s="102" t="str">
        <f ca="1">IFERROR(__xludf.DUMMYFUNCTION("IMPORTRANGE(H7406,""IDENTITAS UNIT!D9"")"),"#N/A")</f>
        <v>#N/A</v>
      </c>
      <c r="H7406" s="4" t="str">
        <v/>
      </c>
      <c r="I7406" s="4" t="str">
        <v/>
      </c>
    </row>
    <row r="7407" spans="5:9" ht="16.5" hidden="1">
      <c r="E7407" s="4" t="str">
        <v/>
      </c>
      <c r="F7407" s="102" t="str">
        <f ca="1">IFERROR(__xludf.DUMMYFUNCTION("IMPORTRANGE(H7407,""IDENTITAS UNIT!D9"")"),"#N/A")</f>
        <v>#N/A</v>
      </c>
      <c r="H7407" s="4" t="str">
        <v/>
      </c>
      <c r="I7407" s="4" t="str">
        <v/>
      </c>
    </row>
    <row r="7408" spans="5:9" ht="16.5" hidden="1">
      <c r="E7408" s="4" t="str">
        <v/>
      </c>
      <c r="F7408" s="102" t="str">
        <f ca="1">IFERROR(__xludf.DUMMYFUNCTION("IMPORTRANGE(H7408,""IDENTITAS UNIT!D9"")"),"#N/A")</f>
        <v>#N/A</v>
      </c>
      <c r="H7408" s="4" t="str">
        <v/>
      </c>
      <c r="I7408" s="4" t="str">
        <v/>
      </c>
    </row>
    <row r="7409" spans="5:9" ht="16.5" hidden="1">
      <c r="E7409" s="4" t="str">
        <v/>
      </c>
      <c r="F7409" s="102" t="str">
        <f ca="1">IFERROR(__xludf.DUMMYFUNCTION("IMPORTRANGE(H7409,""IDENTITAS UNIT!D9"")"),"#N/A")</f>
        <v>#N/A</v>
      </c>
      <c r="H7409" s="4" t="str">
        <v/>
      </c>
      <c r="I7409" s="4" t="str">
        <v/>
      </c>
    </row>
    <row r="7410" spans="5:9" ht="16.5" hidden="1">
      <c r="E7410" s="4" t="str">
        <v/>
      </c>
      <c r="F7410" s="102" t="str">
        <f ca="1">IFERROR(__xludf.DUMMYFUNCTION("IMPORTRANGE(H7410,""IDENTITAS UNIT!D9"")"),"#N/A")</f>
        <v>#N/A</v>
      </c>
      <c r="H7410" s="4" t="str">
        <v/>
      </c>
      <c r="I7410" s="4" t="str">
        <v/>
      </c>
    </row>
    <row r="7411" spans="5:9" ht="16.5" hidden="1">
      <c r="E7411" s="4" t="str">
        <v/>
      </c>
      <c r="F7411" s="102" t="str">
        <f ca="1">IFERROR(__xludf.DUMMYFUNCTION("IMPORTRANGE(H7411,""IDENTITAS UNIT!D9"")"),"#N/A")</f>
        <v>#N/A</v>
      </c>
      <c r="H7411" s="4" t="str">
        <v/>
      </c>
      <c r="I7411" s="4" t="str">
        <v/>
      </c>
    </row>
    <row r="7412" spans="5:9" ht="16.5" hidden="1">
      <c r="E7412" s="4" t="str">
        <v/>
      </c>
      <c r="F7412" s="102" t="str">
        <f ca="1">IFERROR(__xludf.DUMMYFUNCTION("IMPORTRANGE(H7412,""IDENTITAS UNIT!D9"")"),"#N/A")</f>
        <v>#N/A</v>
      </c>
      <c r="H7412" s="4" t="str">
        <v/>
      </c>
      <c r="I7412" s="4" t="str">
        <v/>
      </c>
    </row>
    <row r="7413" spans="5:9" ht="16.5" hidden="1">
      <c r="E7413" s="4" t="str">
        <v/>
      </c>
      <c r="F7413" s="102" t="str">
        <f ca="1">IFERROR(__xludf.DUMMYFUNCTION("IMPORTRANGE(H7413,""IDENTITAS UNIT!D9"")"),"#N/A")</f>
        <v>#N/A</v>
      </c>
      <c r="H7413" s="4" t="str">
        <v/>
      </c>
      <c r="I7413" s="4" t="str">
        <v/>
      </c>
    </row>
    <row r="7414" spans="5:9" ht="16.5" hidden="1">
      <c r="E7414" s="4" t="str">
        <v/>
      </c>
      <c r="F7414" s="102" t="str">
        <f ca="1">IFERROR(__xludf.DUMMYFUNCTION("IMPORTRANGE(H7414,""IDENTITAS UNIT!D9"")"),"#N/A")</f>
        <v>#N/A</v>
      </c>
      <c r="H7414" s="4" t="str">
        <v/>
      </c>
      <c r="I7414" s="4" t="str">
        <v/>
      </c>
    </row>
    <row r="7415" spans="5:9" ht="16.5" hidden="1">
      <c r="E7415" s="4" t="str">
        <v/>
      </c>
      <c r="F7415" s="102" t="str">
        <f ca="1">IFERROR(__xludf.DUMMYFUNCTION("IMPORTRANGE(H7415,""IDENTITAS UNIT!D9"")"),"#N/A")</f>
        <v>#N/A</v>
      </c>
      <c r="H7415" s="4" t="str">
        <v/>
      </c>
      <c r="I7415" s="4" t="str">
        <v/>
      </c>
    </row>
    <row r="7416" spans="5:9" ht="16.5" hidden="1">
      <c r="E7416" s="4" t="str">
        <v/>
      </c>
      <c r="F7416" s="102" t="str">
        <f ca="1">IFERROR(__xludf.DUMMYFUNCTION("IMPORTRANGE(H7416,""IDENTITAS UNIT!D9"")"),"#N/A")</f>
        <v>#N/A</v>
      </c>
      <c r="H7416" s="4" t="str">
        <v/>
      </c>
      <c r="I7416" s="4" t="str">
        <v/>
      </c>
    </row>
    <row r="7417" spans="5:9" ht="16.5" hidden="1">
      <c r="E7417" s="4" t="str">
        <v/>
      </c>
      <c r="F7417" s="102" t="str">
        <f ca="1">IFERROR(__xludf.DUMMYFUNCTION("IMPORTRANGE(H7417,""IDENTITAS UNIT!D9"")"),"#N/A")</f>
        <v>#N/A</v>
      </c>
      <c r="H7417" s="4" t="str">
        <v/>
      </c>
      <c r="I7417" s="4" t="str">
        <v/>
      </c>
    </row>
    <row r="7418" spans="5:9" ht="16.5" hidden="1">
      <c r="E7418" s="4" t="str">
        <v/>
      </c>
      <c r="F7418" s="102" t="str">
        <f ca="1">IFERROR(__xludf.DUMMYFUNCTION("IMPORTRANGE(H7418,""IDENTITAS UNIT!D9"")"),"#N/A")</f>
        <v>#N/A</v>
      </c>
      <c r="H7418" s="4" t="str">
        <v/>
      </c>
      <c r="I7418" s="4" t="str">
        <v/>
      </c>
    </row>
    <row r="7419" spans="5:9" ht="16.5" hidden="1">
      <c r="E7419" s="4" t="str">
        <v/>
      </c>
      <c r="F7419" s="102" t="str">
        <f ca="1">IFERROR(__xludf.DUMMYFUNCTION("IMPORTRANGE(H7419,""IDENTITAS UNIT!D9"")"),"#N/A")</f>
        <v>#N/A</v>
      </c>
      <c r="H7419" s="4" t="str">
        <v/>
      </c>
      <c r="I7419" s="4" t="str">
        <v/>
      </c>
    </row>
    <row r="7420" spans="5:9" ht="16.5" hidden="1">
      <c r="E7420" s="4" t="str">
        <v/>
      </c>
      <c r="F7420" s="102" t="str">
        <f ca="1">IFERROR(__xludf.DUMMYFUNCTION("IMPORTRANGE(H7420,""IDENTITAS UNIT!D9"")"),"#N/A")</f>
        <v>#N/A</v>
      </c>
      <c r="H7420" s="4" t="str">
        <v/>
      </c>
      <c r="I7420" s="4" t="str">
        <v/>
      </c>
    </row>
    <row r="7421" spans="5:9" ht="16.5" hidden="1">
      <c r="E7421" s="4" t="str">
        <v/>
      </c>
      <c r="F7421" s="102" t="str">
        <f ca="1">IFERROR(__xludf.DUMMYFUNCTION("IMPORTRANGE(H7421,""IDENTITAS UNIT!D9"")"),"#N/A")</f>
        <v>#N/A</v>
      </c>
      <c r="H7421" s="4" t="str">
        <v/>
      </c>
      <c r="I7421" s="4" t="str">
        <v/>
      </c>
    </row>
    <row r="7422" spans="5:9" ht="16.5" hidden="1">
      <c r="E7422" s="4" t="str">
        <v/>
      </c>
      <c r="F7422" s="102" t="str">
        <f ca="1">IFERROR(__xludf.DUMMYFUNCTION("IMPORTRANGE(H7422,""IDENTITAS UNIT!D9"")"),"#N/A")</f>
        <v>#N/A</v>
      </c>
      <c r="H7422" s="4" t="str">
        <v/>
      </c>
      <c r="I7422" s="4" t="str">
        <v/>
      </c>
    </row>
    <row r="7423" spans="5:9" ht="16.5" hidden="1">
      <c r="E7423" s="4" t="str">
        <v/>
      </c>
      <c r="F7423" s="102" t="str">
        <f ca="1">IFERROR(__xludf.DUMMYFUNCTION("IMPORTRANGE(H7423,""IDENTITAS UNIT!D9"")"),"#N/A")</f>
        <v>#N/A</v>
      </c>
      <c r="H7423" s="4" t="str">
        <v/>
      </c>
      <c r="I7423" s="4" t="str">
        <v/>
      </c>
    </row>
    <row r="7424" spans="5:9" ht="16.5" hidden="1">
      <c r="E7424" s="4" t="str">
        <v/>
      </c>
      <c r="F7424" s="102" t="str">
        <f ca="1">IFERROR(__xludf.DUMMYFUNCTION("IMPORTRANGE(H7424,""IDENTITAS UNIT!D9"")"),"#N/A")</f>
        <v>#N/A</v>
      </c>
      <c r="H7424" s="4" t="str">
        <v/>
      </c>
      <c r="I7424" s="4" t="str">
        <v/>
      </c>
    </row>
    <row r="7425" spans="5:9" ht="16.5" hidden="1">
      <c r="E7425" s="4" t="str">
        <v/>
      </c>
      <c r="F7425" s="102" t="str">
        <f ca="1">IFERROR(__xludf.DUMMYFUNCTION("IMPORTRANGE(H7425,""IDENTITAS UNIT!D9"")"),"#N/A")</f>
        <v>#N/A</v>
      </c>
      <c r="H7425" s="4" t="str">
        <v/>
      </c>
      <c r="I7425" s="4" t="str">
        <v/>
      </c>
    </row>
    <row r="7426" spans="5:9" ht="16.5" hidden="1">
      <c r="E7426" s="4" t="str">
        <v/>
      </c>
      <c r="F7426" s="102" t="str">
        <f ca="1">IFERROR(__xludf.DUMMYFUNCTION("IMPORTRANGE(H7426,""IDENTITAS UNIT!D9"")"),"#N/A")</f>
        <v>#N/A</v>
      </c>
      <c r="H7426" s="4" t="str">
        <v/>
      </c>
      <c r="I7426" s="4" t="str">
        <v/>
      </c>
    </row>
    <row r="7427" spans="5:9" ht="16.5" hidden="1">
      <c r="E7427" s="4" t="str">
        <v/>
      </c>
      <c r="F7427" s="102" t="str">
        <f ca="1">IFERROR(__xludf.DUMMYFUNCTION("IMPORTRANGE(H7427,""IDENTITAS UNIT!D9"")"),"#N/A")</f>
        <v>#N/A</v>
      </c>
      <c r="H7427" s="4" t="str">
        <v/>
      </c>
      <c r="I7427" s="4" t="str">
        <v/>
      </c>
    </row>
    <row r="7428" spans="5:9" ht="16.5" hidden="1">
      <c r="E7428" s="4" t="str">
        <v/>
      </c>
      <c r="F7428" s="102" t="str">
        <f ca="1">IFERROR(__xludf.DUMMYFUNCTION("IMPORTRANGE(H7428,""IDENTITAS UNIT!D9"")"),"#N/A")</f>
        <v>#N/A</v>
      </c>
      <c r="H7428" s="4" t="str">
        <v/>
      </c>
      <c r="I7428" s="4" t="str">
        <v/>
      </c>
    </row>
    <row r="7429" spans="5:9" ht="16.5" hidden="1">
      <c r="E7429" s="4" t="str">
        <v/>
      </c>
      <c r="F7429" s="102" t="str">
        <f ca="1">IFERROR(__xludf.DUMMYFUNCTION("IMPORTRANGE(H7429,""IDENTITAS UNIT!D9"")"),"#N/A")</f>
        <v>#N/A</v>
      </c>
      <c r="H7429" s="4" t="str">
        <v/>
      </c>
      <c r="I7429" s="4" t="str">
        <v/>
      </c>
    </row>
    <row r="7430" spans="5:9" ht="16.5" hidden="1">
      <c r="E7430" s="4" t="str">
        <v/>
      </c>
      <c r="F7430" s="102" t="str">
        <f ca="1">IFERROR(__xludf.DUMMYFUNCTION("IMPORTRANGE(H7430,""IDENTITAS UNIT!D9"")"),"#N/A")</f>
        <v>#N/A</v>
      </c>
      <c r="H7430" s="4" t="str">
        <v/>
      </c>
      <c r="I7430" s="4" t="str">
        <v/>
      </c>
    </row>
    <row r="7431" spans="5:9" ht="16.5" hidden="1">
      <c r="E7431" s="4" t="str">
        <v/>
      </c>
      <c r="F7431" s="102" t="str">
        <f ca="1">IFERROR(__xludf.DUMMYFUNCTION("IMPORTRANGE(H7431,""IDENTITAS UNIT!D9"")"),"#N/A")</f>
        <v>#N/A</v>
      </c>
      <c r="H7431" s="4" t="str">
        <v/>
      </c>
      <c r="I7431" s="4" t="str">
        <v/>
      </c>
    </row>
    <row r="7432" spans="5:9" ht="16.5" hidden="1">
      <c r="E7432" s="4" t="str">
        <v/>
      </c>
      <c r="F7432" s="102" t="str">
        <f ca="1">IFERROR(__xludf.DUMMYFUNCTION("IMPORTRANGE(H7432,""IDENTITAS UNIT!D9"")"),"#N/A")</f>
        <v>#N/A</v>
      </c>
      <c r="H7432" s="4" t="str">
        <v/>
      </c>
      <c r="I7432" s="4" t="str">
        <v/>
      </c>
    </row>
    <row r="7433" spans="5:9" ht="16.5" hidden="1">
      <c r="E7433" s="4" t="str">
        <v/>
      </c>
      <c r="F7433" s="102" t="str">
        <f ca="1">IFERROR(__xludf.DUMMYFUNCTION("IMPORTRANGE(H7433,""IDENTITAS UNIT!D9"")"),"#N/A")</f>
        <v>#N/A</v>
      </c>
      <c r="H7433" s="4" t="str">
        <v/>
      </c>
      <c r="I7433" s="4" t="str">
        <v/>
      </c>
    </row>
    <row r="7434" spans="5:9" ht="16.5" hidden="1">
      <c r="E7434" s="4" t="str">
        <v/>
      </c>
      <c r="F7434" s="102" t="str">
        <f ca="1">IFERROR(__xludf.DUMMYFUNCTION("IMPORTRANGE(H7434,""IDENTITAS UNIT!D9"")"),"#N/A")</f>
        <v>#N/A</v>
      </c>
      <c r="H7434" s="4" t="str">
        <v/>
      </c>
      <c r="I7434" s="4" t="str">
        <v/>
      </c>
    </row>
    <row r="7435" spans="5:9" ht="16.5" hidden="1">
      <c r="E7435" s="4" t="str">
        <v/>
      </c>
      <c r="F7435" s="102" t="str">
        <f ca="1">IFERROR(__xludf.DUMMYFUNCTION("IMPORTRANGE(H7435,""IDENTITAS UNIT!D9"")"),"#N/A")</f>
        <v>#N/A</v>
      </c>
      <c r="H7435" s="4" t="str">
        <v/>
      </c>
      <c r="I7435" s="4" t="str">
        <v/>
      </c>
    </row>
    <row r="7436" spans="5:9" ht="16.5" hidden="1">
      <c r="E7436" s="4" t="str">
        <v/>
      </c>
      <c r="F7436" s="102" t="str">
        <f ca="1">IFERROR(__xludf.DUMMYFUNCTION("IMPORTRANGE(H7436,""IDENTITAS UNIT!D9"")"),"#N/A")</f>
        <v>#N/A</v>
      </c>
      <c r="H7436" s="4" t="str">
        <v/>
      </c>
      <c r="I7436" s="4" t="str">
        <v/>
      </c>
    </row>
    <row r="7437" spans="5:9" ht="16.5" hidden="1">
      <c r="E7437" s="4" t="str">
        <v/>
      </c>
      <c r="F7437" s="102" t="str">
        <f ca="1">IFERROR(__xludf.DUMMYFUNCTION("IMPORTRANGE(H7437,""IDENTITAS UNIT!D9"")"),"#N/A")</f>
        <v>#N/A</v>
      </c>
      <c r="H7437" s="4" t="str">
        <v/>
      </c>
      <c r="I7437" s="4" t="str">
        <v/>
      </c>
    </row>
    <row r="7438" spans="5:9" ht="16.5" hidden="1">
      <c r="E7438" s="4" t="str">
        <v/>
      </c>
      <c r="F7438" s="102" t="str">
        <f ca="1">IFERROR(__xludf.DUMMYFUNCTION("IMPORTRANGE(H7438,""IDENTITAS UNIT!D9"")"),"#N/A")</f>
        <v>#N/A</v>
      </c>
      <c r="H7438" s="4" t="str">
        <v/>
      </c>
      <c r="I7438" s="4" t="str">
        <v/>
      </c>
    </row>
    <row r="7439" spans="5:9" ht="16.5" hidden="1">
      <c r="E7439" s="4" t="str">
        <v/>
      </c>
      <c r="F7439" s="102" t="str">
        <f ca="1">IFERROR(__xludf.DUMMYFUNCTION("IMPORTRANGE(H7439,""IDENTITAS UNIT!D9"")"),"#N/A")</f>
        <v>#N/A</v>
      </c>
      <c r="H7439" s="4" t="str">
        <v/>
      </c>
      <c r="I7439" s="4" t="str">
        <v/>
      </c>
    </row>
    <row r="7440" spans="5:9" ht="16.5" hidden="1">
      <c r="E7440" s="4" t="str">
        <v/>
      </c>
      <c r="F7440" s="102" t="str">
        <f ca="1">IFERROR(__xludf.DUMMYFUNCTION("IMPORTRANGE(H7440,""IDENTITAS UNIT!D9"")"),"#N/A")</f>
        <v>#N/A</v>
      </c>
      <c r="H7440" s="4" t="str">
        <v/>
      </c>
      <c r="I7440" s="4" t="str">
        <v/>
      </c>
    </row>
    <row r="7441" spans="5:9" ht="16.5" hidden="1">
      <c r="E7441" s="4" t="str">
        <v/>
      </c>
      <c r="F7441" s="102" t="str">
        <f ca="1">IFERROR(__xludf.DUMMYFUNCTION("IMPORTRANGE(H7441,""IDENTITAS UNIT!D9"")"),"#N/A")</f>
        <v>#N/A</v>
      </c>
      <c r="H7441" s="4" t="str">
        <v/>
      </c>
      <c r="I7441" s="4" t="str">
        <v/>
      </c>
    </row>
    <row r="7442" spans="5:9" ht="16.5" hidden="1">
      <c r="E7442" s="4" t="str">
        <v/>
      </c>
      <c r="F7442" s="102" t="str">
        <f ca="1">IFERROR(__xludf.DUMMYFUNCTION("IMPORTRANGE(H7442,""IDENTITAS UNIT!D9"")"),"#N/A")</f>
        <v>#N/A</v>
      </c>
      <c r="H7442" s="4" t="str">
        <v/>
      </c>
      <c r="I7442" s="4" t="str">
        <v/>
      </c>
    </row>
    <row r="7443" spans="5:9" ht="16.5" hidden="1">
      <c r="E7443" s="4" t="str">
        <v/>
      </c>
      <c r="F7443" s="102" t="str">
        <f ca="1">IFERROR(__xludf.DUMMYFUNCTION("IMPORTRANGE(H7443,""IDENTITAS UNIT!D9"")"),"#N/A")</f>
        <v>#N/A</v>
      </c>
      <c r="H7443" s="4" t="str">
        <v/>
      </c>
      <c r="I7443" s="4" t="str">
        <v/>
      </c>
    </row>
    <row r="7444" spans="5:9" ht="16.5" hidden="1">
      <c r="E7444" s="4" t="str">
        <v/>
      </c>
      <c r="F7444" s="102" t="str">
        <f ca="1">IFERROR(__xludf.DUMMYFUNCTION("IMPORTRANGE(H7444,""IDENTITAS UNIT!D9"")"),"#N/A")</f>
        <v>#N/A</v>
      </c>
      <c r="H7444" s="4" t="str">
        <v/>
      </c>
      <c r="I7444" s="4" t="str">
        <v/>
      </c>
    </row>
    <row r="7445" spans="5:9" ht="16.5" hidden="1">
      <c r="E7445" s="4" t="str">
        <v/>
      </c>
      <c r="F7445" s="102" t="str">
        <f ca="1">IFERROR(__xludf.DUMMYFUNCTION("IMPORTRANGE(H7445,""IDENTITAS UNIT!D9"")"),"#N/A")</f>
        <v>#N/A</v>
      </c>
      <c r="H7445" s="4" t="str">
        <v/>
      </c>
      <c r="I7445" s="4" t="str">
        <v/>
      </c>
    </row>
    <row r="7446" spans="5:9" ht="16.5" hidden="1">
      <c r="E7446" s="4" t="str">
        <v/>
      </c>
      <c r="F7446" s="102" t="str">
        <f ca="1">IFERROR(__xludf.DUMMYFUNCTION("IMPORTRANGE(H7446,""IDENTITAS UNIT!D9"")"),"#N/A")</f>
        <v>#N/A</v>
      </c>
      <c r="H7446" s="4" t="str">
        <v/>
      </c>
      <c r="I7446" s="4" t="str">
        <v/>
      </c>
    </row>
    <row r="7447" spans="5:9" ht="16.5" hidden="1">
      <c r="E7447" s="4" t="str">
        <v/>
      </c>
      <c r="F7447" s="102" t="str">
        <f ca="1">IFERROR(__xludf.DUMMYFUNCTION("IMPORTRANGE(H7447,""IDENTITAS UNIT!D9"")"),"#N/A")</f>
        <v>#N/A</v>
      </c>
      <c r="H7447" s="4" t="str">
        <v/>
      </c>
      <c r="I7447" s="4" t="str">
        <v/>
      </c>
    </row>
    <row r="7448" spans="5:9" ht="16.5" hidden="1">
      <c r="E7448" s="4" t="str">
        <v/>
      </c>
      <c r="F7448" s="102" t="str">
        <f ca="1">IFERROR(__xludf.DUMMYFUNCTION("IMPORTRANGE(H7448,""IDENTITAS UNIT!D9"")"),"#N/A")</f>
        <v>#N/A</v>
      </c>
      <c r="H7448" s="4" t="str">
        <v/>
      </c>
      <c r="I7448" s="4" t="str">
        <v/>
      </c>
    </row>
    <row r="7449" spans="5:9" ht="16.5" hidden="1">
      <c r="E7449" s="4" t="str">
        <v/>
      </c>
      <c r="F7449" s="102" t="str">
        <f ca="1">IFERROR(__xludf.DUMMYFUNCTION("IMPORTRANGE(H7449,""IDENTITAS UNIT!D9"")"),"#N/A")</f>
        <v>#N/A</v>
      </c>
      <c r="H7449" s="4" t="str">
        <v/>
      </c>
      <c r="I7449" s="4" t="str">
        <v/>
      </c>
    </row>
    <row r="7450" spans="5:9" ht="16.5" hidden="1">
      <c r="E7450" s="4" t="str">
        <v/>
      </c>
      <c r="F7450" s="102" t="str">
        <f ca="1">IFERROR(__xludf.DUMMYFUNCTION("IMPORTRANGE(H7450,""IDENTITAS UNIT!D9"")"),"#N/A")</f>
        <v>#N/A</v>
      </c>
      <c r="H7450" s="4" t="str">
        <v/>
      </c>
      <c r="I7450" s="4" t="str">
        <v/>
      </c>
    </row>
    <row r="7451" spans="5:9" ht="16.5" hidden="1">
      <c r="E7451" s="4" t="str">
        <v/>
      </c>
      <c r="F7451" s="102" t="str">
        <f ca="1">IFERROR(__xludf.DUMMYFUNCTION("IMPORTRANGE(H7451,""IDENTITAS UNIT!D9"")"),"#N/A")</f>
        <v>#N/A</v>
      </c>
      <c r="H7451" s="4" t="str">
        <v/>
      </c>
      <c r="I7451" s="4" t="str">
        <v/>
      </c>
    </row>
    <row r="7452" spans="5:9" ht="16.5" hidden="1">
      <c r="E7452" s="4" t="str">
        <v/>
      </c>
      <c r="F7452" s="102" t="str">
        <f ca="1">IFERROR(__xludf.DUMMYFUNCTION("IMPORTRANGE(H7452,""IDENTITAS UNIT!D9"")"),"#N/A")</f>
        <v>#N/A</v>
      </c>
      <c r="H7452" s="4" t="str">
        <v/>
      </c>
      <c r="I7452" s="4" t="str">
        <v/>
      </c>
    </row>
    <row r="7453" spans="5:9" ht="16.5" hidden="1">
      <c r="E7453" s="4" t="str">
        <v/>
      </c>
      <c r="F7453" s="102" t="str">
        <f ca="1">IFERROR(__xludf.DUMMYFUNCTION("IMPORTRANGE(H7453,""IDENTITAS UNIT!D9"")"),"#N/A")</f>
        <v>#N/A</v>
      </c>
      <c r="H7453" s="4" t="str">
        <v/>
      </c>
      <c r="I7453" s="4" t="str">
        <v/>
      </c>
    </row>
    <row r="7454" spans="5:9" ht="16.5" hidden="1">
      <c r="E7454" s="4" t="str">
        <v/>
      </c>
      <c r="F7454" s="102" t="str">
        <f ca="1">IFERROR(__xludf.DUMMYFUNCTION("IMPORTRANGE(H7454,""IDENTITAS UNIT!D9"")"),"#N/A")</f>
        <v>#N/A</v>
      </c>
      <c r="H7454" s="4" t="str">
        <v/>
      </c>
      <c r="I7454" s="4" t="str">
        <v/>
      </c>
    </row>
    <row r="7455" spans="5:9" ht="16.5" hidden="1">
      <c r="E7455" s="4" t="str">
        <v/>
      </c>
      <c r="F7455" s="102" t="str">
        <f ca="1">IFERROR(__xludf.DUMMYFUNCTION("IMPORTRANGE(H7455,""IDENTITAS UNIT!D9"")"),"#N/A")</f>
        <v>#N/A</v>
      </c>
      <c r="H7455" s="4" t="str">
        <v/>
      </c>
      <c r="I7455" s="4" t="str">
        <v/>
      </c>
    </row>
    <row r="7456" spans="5:9" ht="16.5" hidden="1">
      <c r="E7456" s="4" t="str">
        <v/>
      </c>
      <c r="F7456" s="102" t="str">
        <f ca="1">IFERROR(__xludf.DUMMYFUNCTION("IMPORTRANGE(H7456,""IDENTITAS UNIT!D9"")"),"#N/A")</f>
        <v>#N/A</v>
      </c>
      <c r="H7456" s="4" t="str">
        <v/>
      </c>
      <c r="I7456" s="4" t="str">
        <v/>
      </c>
    </row>
    <row r="7457" spans="5:9" ht="16.5" hidden="1">
      <c r="E7457" s="4" t="str">
        <v/>
      </c>
      <c r="F7457" s="102" t="str">
        <f ca="1">IFERROR(__xludf.DUMMYFUNCTION("IMPORTRANGE(H7457,""IDENTITAS UNIT!D9"")"),"#N/A")</f>
        <v>#N/A</v>
      </c>
      <c r="H7457" s="4" t="str">
        <v/>
      </c>
      <c r="I7457" s="4" t="str">
        <v/>
      </c>
    </row>
    <row r="7458" spans="5:9" ht="16.5" hidden="1">
      <c r="E7458" s="4" t="str">
        <v/>
      </c>
      <c r="F7458" s="102" t="str">
        <f ca="1">IFERROR(__xludf.DUMMYFUNCTION("IMPORTRANGE(H7458,""IDENTITAS UNIT!D9"")"),"#N/A")</f>
        <v>#N/A</v>
      </c>
      <c r="H7458" s="4" t="str">
        <v/>
      </c>
      <c r="I7458" s="4" t="str">
        <v/>
      </c>
    </row>
    <row r="7459" spans="5:9" ht="16.5" hidden="1">
      <c r="E7459" s="4" t="str">
        <v/>
      </c>
      <c r="F7459" s="102" t="str">
        <f ca="1">IFERROR(__xludf.DUMMYFUNCTION("IMPORTRANGE(H7459,""IDENTITAS UNIT!D9"")"),"#N/A")</f>
        <v>#N/A</v>
      </c>
      <c r="H7459" s="4" t="str">
        <v/>
      </c>
      <c r="I7459" s="4" t="str">
        <v/>
      </c>
    </row>
    <row r="7460" spans="5:9" ht="16.5" hidden="1">
      <c r="E7460" s="4" t="str">
        <v/>
      </c>
      <c r="F7460" s="102" t="str">
        <f ca="1">IFERROR(__xludf.DUMMYFUNCTION("IMPORTRANGE(H7460,""IDENTITAS UNIT!D9"")"),"#N/A")</f>
        <v>#N/A</v>
      </c>
      <c r="H7460" s="4" t="str">
        <v/>
      </c>
      <c r="I7460" s="4" t="str">
        <v/>
      </c>
    </row>
    <row r="7461" spans="5:9" ht="16.5" hidden="1">
      <c r="E7461" s="4" t="str">
        <v/>
      </c>
      <c r="F7461" s="102" t="str">
        <f ca="1">IFERROR(__xludf.DUMMYFUNCTION("IMPORTRANGE(H7461,""IDENTITAS UNIT!D9"")"),"#N/A")</f>
        <v>#N/A</v>
      </c>
      <c r="H7461" s="4" t="str">
        <v/>
      </c>
      <c r="I7461" s="4" t="str">
        <v/>
      </c>
    </row>
    <row r="7462" spans="5:9" ht="16.5" hidden="1">
      <c r="E7462" s="4" t="str">
        <v/>
      </c>
      <c r="F7462" s="102" t="str">
        <f ca="1">IFERROR(__xludf.DUMMYFUNCTION("IMPORTRANGE(H7462,""IDENTITAS UNIT!D9"")"),"#N/A")</f>
        <v>#N/A</v>
      </c>
      <c r="H7462" s="4" t="str">
        <v/>
      </c>
      <c r="I7462" s="4" t="str">
        <v/>
      </c>
    </row>
    <row r="7463" spans="5:9" ht="16.5" hidden="1">
      <c r="E7463" s="4" t="str">
        <v/>
      </c>
      <c r="F7463" s="102" t="str">
        <f ca="1">IFERROR(__xludf.DUMMYFUNCTION("IMPORTRANGE(H7463,""IDENTITAS UNIT!D9"")"),"#N/A")</f>
        <v>#N/A</v>
      </c>
      <c r="H7463" s="4" t="str">
        <v/>
      </c>
      <c r="I7463" s="4" t="str">
        <v/>
      </c>
    </row>
    <row r="7464" spans="5:9" ht="16.5" hidden="1">
      <c r="E7464" s="4" t="str">
        <v/>
      </c>
      <c r="F7464" s="102" t="str">
        <f ca="1">IFERROR(__xludf.DUMMYFUNCTION("IMPORTRANGE(H7464,""IDENTITAS UNIT!D9"")"),"#N/A")</f>
        <v>#N/A</v>
      </c>
      <c r="H7464" s="4" t="str">
        <v/>
      </c>
      <c r="I7464" s="4" t="str">
        <v/>
      </c>
    </row>
    <row r="7465" spans="5:9" ht="16.5" hidden="1">
      <c r="E7465" s="4" t="str">
        <v/>
      </c>
      <c r="F7465" s="102" t="str">
        <f ca="1">IFERROR(__xludf.DUMMYFUNCTION("IMPORTRANGE(H7465,""IDENTITAS UNIT!D9"")"),"#N/A")</f>
        <v>#N/A</v>
      </c>
      <c r="H7465" s="4" t="str">
        <v/>
      </c>
      <c r="I7465" s="4" t="str">
        <v/>
      </c>
    </row>
    <row r="7466" spans="5:9" ht="16.5" hidden="1">
      <c r="E7466" s="4" t="str">
        <v/>
      </c>
      <c r="F7466" s="102" t="str">
        <f ca="1">IFERROR(__xludf.DUMMYFUNCTION("IMPORTRANGE(H7466,""IDENTITAS UNIT!D9"")"),"#N/A")</f>
        <v>#N/A</v>
      </c>
      <c r="H7466" s="4" t="str">
        <v/>
      </c>
      <c r="I7466" s="4" t="str">
        <v/>
      </c>
    </row>
    <row r="7467" spans="5:9" ht="16.5" hidden="1">
      <c r="E7467" s="4" t="str">
        <v/>
      </c>
      <c r="F7467" s="102" t="str">
        <f ca="1">IFERROR(__xludf.DUMMYFUNCTION("IMPORTRANGE(H7467,""IDENTITAS UNIT!D9"")"),"#N/A")</f>
        <v>#N/A</v>
      </c>
      <c r="H7467" s="4" t="str">
        <v/>
      </c>
      <c r="I7467" s="4" t="str">
        <v/>
      </c>
    </row>
    <row r="7468" spans="5:9" ht="16.5" hidden="1">
      <c r="E7468" s="4" t="str">
        <v/>
      </c>
      <c r="F7468" s="102" t="str">
        <f ca="1">IFERROR(__xludf.DUMMYFUNCTION("IMPORTRANGE(H7468,""IDENTITAS UNIT!D9"")"),"#N/A")</f>
        <v>#N/A</v>
      </c>
      <c r="H7468" s="4" t="str">
        <v/>
      </c>
      <c r="I7468" s="4" t="str">
        <v/>
      </c>
    </row>
    <row r="7469" spans="5:9" ht="16.5" hidden="1">
      <c r="E7469" s="4" t="str">
        <v/>
      </c>
      <c r="F7469" s="102" t="str">
        <f ca="1">IFERROR(__xludf.DUMMYFUNCTION("IMPORTRANGE(H7469,""IDENTITAS UNIT!D9"")"),"#N/A")</f>
        <v>#N/A</v>
      </c>
      <c r="H7469" s="4" t="str">
        <v/>
      </c>
      <c r="I7469" s="4" t="str">
        <v/>
      </c>
    </row>
    <row r="7470" spans="5:9" ht="16.5" hidden="1">
      <c r="E7470" s="4" t="str">
        <v/>
      </c>
      <c r="F7470" s="102" t="str">
        <f ca="1">IFERROR(__xludf.DUMMYFUNCTION("IMPORTRANGE(H7470,""IDENTITAS UNIT!D9"")"),"#N/A")</f>
        <v>#N/A</v>
      </c>
      <c r="H7470" s="4" t="str">
        <v/>
      </c>
      <c r="I7470" s="4" t="str">
        <v/>
      </c>
    </row>
    <row r="7471" spans="5:9" ht="16.5" hidden="1">
      <c r="E7471" s="4" t="str">
        <v/>
      </c>
      <c r="F7471" s="102" t="str">
        <f ca="1">IFERROR(__xludf.DUMMYFUNCTION("IMPORTRANGE(H7471,""IDENTITAS UNIT!D9"")"),"#N/A")</f>
        <v>#N/A</v>
      </c>
      <c r="H7471" s="4" t="str">
        <v/>
      </c>
      <c r="I7471" s="4" t="str">
        <v/>
      </c>
    </row>
    <row r="7472" spans="5:9" ht="16.5" hidden="1">
      <c r="E7472" s="4" t="str">
        <v/>
      </c>
      <c r="F7472" s="102" t="str">
        <f ca="1">IFERROR(__xludf.DUMMYFUNCTION("IMPORTRANGE(H7472,""IDENTITAS UNIT!D9"")"),"#N/A")</f>
        <v>#N/A</v>
      </c>
      <c r="H7472" s="4" t="str">
        <v/>
      </c>
      <c r="I7472" s="4" t="str">
        <v/>
      </c>
    </row>
    <row r="7473" spans="5:9" ht="16.5" hidden="1">
      <c r="E7473" s="4" t="str">
        <v/>
      </c>
      <c r="F7473" s="102" t="str">
        <f ca="1">IFERROR(__xludf.DUMMYFUNCTION("IMPORTRANGE(H7473,""IDENTITAS UNIT!D9"")"),"#N/A")</f>
        <v>#N/A</v>
      </c>
      <c r="H7473" s="4" t="str">
        <v/>
      </c>
      <c r="I7473" s="4" t="str">
        <v/>
      </c>
    </row>
    <row r="7474" spans="5:9" ht="16.5" hidden="1">
      <c r="E7474" s="4" t="str">
        <v/>
      </c>
      <c r="F7474" s="102" t="str">
        <f ca="1">IFERROR(__xludf.DUMMYFUNCTION("IMPORTRANGE(H7474,""IDENTITAS UNIT!D9"")"),"#N/A")</f>
        <v>#N/A</v>
      </c>
      <c r="H7474" s="4" t="str">
        <v/>
      </c>
      <c r="I7474" s="4" t="str">
        <v/>
      </c>
    </row>
    <row r="7475" spans="5:9" ht="16.5" hidden="1">
      <c r="E7475" s="4" t="str">
        <v/>
      </c>
      <c r="F7475" s="102" t="str">
        <f ca="1">IFERROR(__xludf.DUMMYFUNCTION("IMPORTRANGE(H7475,""IDENTITAS UNIT!D9"")"),"#N/A")</f>
        <v>#N/A</v>
      </c>
      <c r="H7475" s="4" t="str">
        <v/>
      </c>
      <c r="I7475" s="4" t="str">
        <v/>
      </c>
    </row>
    <row r="7476" spans="5:9" ht="16.5" hidden="1">
      <c r="E7476" s="4" t="str">
        <v/>
      </c>
      <c r="F7476" s="102" t="str">
        <f ca="1">IFERROR(__xludf.DUMMYFUNCTION("IMPORTRANGE(H7476,""IDENTITAS UNIT!D9"")"),"#N/A")</f>
        <v>#N/A</v>
      </c>
      <c r="H7476" s="4" t="str">
        <v/>
      </c>
      <c r="I7476" s="4" t="str">
        <v/>
      </c>
    </row>
    <row r="7477" spans="5:9" ht="16.5" hidden="1">
      <c r="E7477" s="4" t="str">
        <v/>
      </c>
      <c r="F7477" s="102" t="str">
        <f ca="1">IFERROR(__xludf.DUMMYFUNCTION("IMPORTRANGE(H7477,""IDENTITAS UNIT!D9"")"),"#N/A")</f>
        <v>#N/A</v>
      </c>
      <c r="H7477" s="4" t="str">
        <v/>
      </c>
      <c r="I7477" s="4" t="str">
        <v/>
      </c>
    </row>
    <row r="7478" spans="5:9" ht="16.5" hidden="1">
      <c r="E7478" s="4" t="str">
        <v/>
      </c>
      <c r="F7478" s="102" t="str">
        <f ca="1">IFERROR(__xludf.DUMMYFUNCTION("IMPORTRANGE(H7478,""IDENTITAS UNIT!D9"")"),"#N/A")</f>
        <v>#N/A</v>
      </c>
      <c r="H7478" s="4" t="str">
        <v/>
      </c>
      <c r="I7478" s="4" t="str">
        <v/>
      </c>
    </row>
    <row r="7479" spans="5:9" ht="16.5" hidden="1">
      <c r="E7479" s="4" t="str">
        <v/>
      </c>
      <c r="F7479" s="102" t="str">
        <f ca="1">IFERROR(__xludf.DUMMYFUNCTION("IMPORTRANGE(H7479,""IDENTITAS UNIT!D9"")"),"#N/A")</f>
        <v>#N/A</v>
      </c>
      <c r="H7479" s="4" t="str">
        <v/>
      </c>
      <c r="I7479" s="4" t="str">
        <v/>
      </c>
    </row>
    <row r="7480" spans="5:9" ht="16.5" hidden="1">
      <c r="E7480" s="4" t="str">
        <v/>
      </c>
      <c r="F7480" s="102" t="str">
        <f ca="1">IFERROR(__xludf.DUMMYFUNCTION("IMPORTRANGE(H7480,""IDENTITAS UNIT!D9"")"),"#N/A")</f>
        <v>#N/A</v>
      </c>
      <c r="H7480" s="4" t="str">
        <v/>
      </c>
      <c r="I7480" s="4" t="str">
        <v/>
      </c>
    </row>
    <row r="7481" spans="5:9" ht="16.5" hidden="1">
      <c r="E7481" s="4" t="str">
        <v/>
      </c>
      <c r="F7481" s="102" t="str">
        <f ca="1">IFERROR(__xludf.DUMMYFUNCTION("IMPORTRANGE(H7481,""IDENTITAS UNIT!D9"")"),"#N/A")</f>
        <v>#N/A</v>
      </c>
      <c r="H7481" s="4" t="str">
        <v/>
      </c>
      <c r="I7481" s="4" t="str">
        <v/>
      </c>
    </row>
    <row r="7482" spans="5:9" ht="16.5" hidden="1">
      <c r="E7482" s="4" t="str">
        <v/>
      </c>
      <c r="F7482" s="102" t="str">
        <f ca="1">IFERROR(__xludf.DUMMYFUNCTION("IMPORTRANGE(H7482,""IDENTITAS UNIT!D9"")"),"#N/A")</f>
        <v>#N/A</v>
      </c>
      <c r="H7482" s="4" t="str">
        <v/>
      </c>
      <c r="I7482" s="4" t="str">
        <v/>
      </c>
    </row>
    <row r="7483" spans="5:9" ht="16.5" hidden="1">
      <c r="E7483" s="4" t="str">
        <v/>
      </c>
      <c r="F7483" s="102" t="str">
        <f ca="1">IFERROR(__xludf.DUMMYFUNCTION("IMPORTRANGE(H7483,""IDENTITAS UNIT!D9"")"),"#N/A")</f>
        <v>#N/A</v>
      </c>
      <c r="H7483" s="4" t="str">
        <v/>
      </c>
      <c r="I7483" s="4" t="str">
        <v/>
      </c>
    </row>
    <row r="7484" spans="5:9" ht="16.5" hidden="1">
      <c r="E7484" s="4" t="str">
        <v/>
      </c>
      <c r="F7484" s="102" t="str">
        <f ca="1">IFERROR(__xludf.DUMMYFUNCTION("IMPORTRANGE(H7484,""IDENTITAS UNIT!D9"")"),"#N/A")</f>
        <v>#N/A</v>
      </c>
      <c r="H7484" s="4" t="str">
        <v/>
      </c>
      <c r="I7484" s="4" t="str">
        <v/>
      </c>
    </row>
    <row r="7485" spans="5:9" ht="16.5" hidden="1">
      <c r="E7485" s="4" t="str">
        <v/>
      </c>
      <c r="F7485" s="102" t="str">
        <f ca="1">IFERROR(__xludf.DUMMYFUNCTION("IMPORTRANGE(H7485,""IDENTITAS UNIT!D9"")"),"#N/A")</f>
        <v>#N/A</v>
      </c>
      <c r="H7485" s="4" t="str">
        <v/>
      </c>
      <c r="I7485" s="4" t="str">
        <v/>
      </c>
    </row>
    <row r="7486" spans="5:9" ht="16.5" hidden="1">
      <c r="E7486" s="4" t="str">
        <v/>
      </c>
      <c r="F7486" s="102" t="str">
        <f ca="1">IFERROR(__xludf.DUMMYFUNCTION("IMPORTRANGE(H7486,""IDENTITAS UNIT!D9"")"),"#N/A")</f>
        <v>#N/A</v>
      </c>
      <c r="H7486" s="4" t="str">
        <v/>
      </c>
      <c r="I7486" s="4" t="str">
        <v/>
      </c>
    </row>
    <row r="7487" spans="5:9" ht="16.5" hidden="1">
      <c r="E7487" s="4" t="str">
        <v/>
      </c>
      <c r="F7487" s="102" t="str">
        <f ca="1">IFERROR(__xludf.DUMMYFUNCTION("IMPORTRANGE(H7487,""IDENTITAS UNIT!D9"")"),"#N/A")</f>
        <v>#N/A</v>
      </c>
      <c r="H7487" s="4" t="str">
        <v/>
      </c>
      <c r="I7487" s="4" t="str">
        <v/>
      </c>
    </row>
    <row r="7488" spans="5:9" ht="16.5" hidden="1">
      <c r="E7488" s="4" t="str">
        <v/>
      </c>
      <c r="F7488" s="102" t="str">
        <f ca="1">IFERROR(__xludf.DUMMYFUNCTION("IMPORTRANGE(H7488,""IDENTITAS UNIT!D9"")"),"#N/A")</f>
        <v>#N/A</v>
      </c>
      <c r="H7488" s="4" t="str">
        <v/>
      </c>
      <c r="I7488" s="4" t="str">
        <v/>
      </c>
    </row>
    <row r="7489" spans="5:9" ht="16.5" hidden="1">
      <c r="E7489" s="4" t="str">
        <v/>
      </c>
      <c r="F7489" s="102" t="str">
        <f ca="1">IFERROR(__xludf.DUMMYFUNCTION("IMPORTRANGE(H7489,""IDENTITAS UNIT!D9"")"),"#N/A")</f>
        <v>#N/A</v>
      </c>
      <c r="H7489" s="4" t="str">
        <v/>
      </c>
      <c r="I7489" s="4" t="str">
        <v/>
      </c>
    </row>
    <row r="7490" spans="5:9" ht="16.5" hidden="1">
      <c r="E7490" s="4" t="str">
        <v/>
      </c>
      <c r="F7490" s="102" t="str">
        <f ca="1">IFERROR(__xludf.DUMMYFUNCTION("IMPORTRANGE(H7490,""IDENTITAS UNIT!D9"")"),"#N/A")</f>
        <v>#N/A</v>
      </c>
      <c r="H7490" s="4" t="str">
        <v/>
      </c>
      <c r="I7490" s="4" t="str">
        <v/>
      </c>
    </row>
    <row r="7491" spans="5:9" ht="16.5" hidden="1">
      <c r="E7491" s="4" t="str">
        <v/>
      </c>
      <c r="F7491" s="102" t="str">
        <f ca="1">IFERROR(__xludf.DUMMYFUNCTION("IMPORTRANGE(H7491,""IDENTITAS UNIT!D9"")"),"#N/A")</f>
        <v>#N/A</v>
      </c>
      <c r="H7491" s="4" t="str">
        <v/>
      </c>
      <c r="I7491" s="4" t="str">
        <v/>
      </c>
    </row>
    <row r="7492" spans="5:9" ht="16.5" hidden="1">
      <c r="E7492" s="4" t="str">
        <v/>
      </c>
      <c r="F7492" s="102" t="str">
        <f ca="1">IFERROR(__xludf.DUMMYFUNCTION("IMPORTRANGE(H7492,""IDENTITAS UNIT!D9"")"),"#N/A")</f>
        <v>#N/A</v>
      </c>
      <c r="H7492" s="4" t="str">
        <v/>
      </c>
      <c r="I7492" s="4" t="str">
        <v/>
      </c>
    </row>
    <row r="7493" spans="5:9" ht="16.5" hidden="1">
      <c r="E7493" s="4" t="str">
        <v/>
      </c>
      <c r="F7493" s="102" t="str">
        <f ca="1">IFERROR(__xludf.DUMMYFUNCTION("IMPORTRANGE(H7493,""IDENTITAS UNIT!D9"")"),"#N/A")</f>
        <v>#N/A</v>
      </c>
      <c r="H7493" s="4" t="str">
        <v/>
      </c>
      <c r="I7493" s="4" t="str">
        <v/>
      </c>
    </row>
    <row r="7494" spans="5:9" ht="16.5" hidden="1">
      <c r="E7494" s="4" t="str">
        <v/>
      </c>
      <c r="F7494" s="102" t="str">
        <f ca="1">IFERROR(__xludf.DUMMYFUNCTION("IMPORTRANGE(H7494,""IDENTITAS UNIT!D9"")"),"#N/A")</f>
        <v>#N/A</v>
      </c>
      <c r="H7494" s="4" t="str">
        <v/>
      </c>
      <c r="I7494" s="4" t="str">
        <v/>
      </c>
    </row>
    <row r="7495" spans="5:9" ht="16.5" hidden="1">
      <c r="E7495" s="4" t="str">
        <v/>
      </c>
      <c r="F7495" s="102" t="str">
        <f ca="1">IFERROR(__xludf.DUMMYFUNCTION("IMPORTRANGE(H7495,""IDENTITAS UNIT!D9"")"),"#N/A")</f>
        <v>#N/A</v>
      </c>
      <c r="H7495" s="4" t="str">
        <v/>
      </c>
      <c r="I7495" s="4" t="str">
        <v/>
      </c>
    </row>
    <row r="7496" spans="5:9" ht="16.5" hidden="1">
      <c r="E7496" s="4" t="str">
        <v/>
      </c>
      <c r="F7496" s="102" t="str">
        <f ca="1">IFERROR(__xludf.DUMMYFUNCTION("IMPORTRANGE(H7496,""IDENTITAS UNIT!D9"")"),"#N/A")</f>
        <v>#N/A</v>
      </c>
      <c r="H7496" s="4" t="str">
        <v/>
      </c>
      <c r="I7496" s="4" t="str">
        <v/>
      </c>
    </row>
    <row r="7497" spans="5:9" ht="16.5" hidden="1">
      <c r="E7497" s="4" t="str">
        <v/>
      </c>
      <c r="F7497" s="102" t="str">
        <f ca="1">IFERROR(__xludf.DUMMYFUNCTION("IMPORTRANGE(H7497,""IDENTITAS UNIT!D9"")"),"#N/A")</f>
        <v>#N/A</v>
      </c>
      <c r="H7497" s="4" t="str">
        <v/>
      </c>
      <c r="I7497" s="4" t="str">
        <v/>
      </c>
    </row>
    <row r="7498" spans="5:9" ht="16.5" hidden="1">
      <c r="E7498" s="4" t="str">
        <v/>
      </c>
      <c r="F7498" s="102" t="str">
        <f ca="1">IFERROR(__xludf.DUMMYFUNCTION("IMPORTRANGE(H7498,""IDENTITAS UNIT!D9"")"),"#N/A")</f>
        <v>#N/A</v>
      </c>
      <c r="H7498" s="4" t="str">
        <v/>
      </c>
      <c r="I7498" s="4" t="str">
        <v/>
      </c>
    </row>
    <row r="7499" spans="5:9" ht="16.5" hidden="1">
      <c r="E7499" s="4" t="str">
        <v/>
      </c>
      <c r="F7499" s="102" t="str">
        <f ca="1">IFERROR(__xludf.DUMMYFUNCTION("IMPORTRANGE(H7499,""IDENTITAS UNIT!D9"")"),"#N/A")</f>
        <v>#N/A</v>
      </c>
      <c r="H7499" s="4" t="str">
        <v/>
      </c>
      <c r="I7499" s="4" t="str">
        <v/>
      </c>
    </row>
    <row r="7500" spans="5:9" ht="16.5" hidden="1">
      <c r="E7500" s="4" t="str">
        <v/>
      </c>
      <c r="F7500" s="102" t="str">
        <f ca="1">IFERROR(__xludf.DUMMYFUNCTION("IMPORTRANGE(H7500,""IDENTITAS UNIT!D9"")"),"#N/A")</f>
        <v>#N/A</v>
      </c>
      <c r="H7500" s="4" t="str">
        <v/>
      </c>
      <c r="I7500" s="4" t="str">
        <v/>
      </c>
    </row>
    <row r="7501" spans="5:9" ht="16.5" hidden="1">
      <c r="E7501" s="4" t="str">
        <v/>
      </c>
      <c r="F7501" s="102" t="str">
        <f ca="1">IFERROR(__xludf.DUMMYFUNCTION("IMPORTRANGE(H7501,""IDENTITAS UNIT!D9"")"),"#N/A")</f>
        <v>#N/A</v>
      </c>
      <c r="H7501" s="4" t="str">
        <v/>
      </c>
      <c r="I7501" s="4" t="str">
        <v/>
      </c>
    </row>
    <row r="7502" spans="5:9" ht="16.5" hidden="1">
      <c r="E7502" s="4" t="str">
        <v/>
      </c>
      <c r="F7502" s="102" t="str">
        <f ca="1">IFERROR(__xludf.DUMMYFUNCTION("IMPORTRANGE(H7502,""IDENTITAS UNIT!D9"")"),"#N/A")</f>
        <v>#N/A</v>
      </c>
      <c r="H7502" s="4" t="str">
        <v/>
      </c>
      <c r="I7502" s="4" t="str">
        <v/>
      </c>
    </row>
    <row r="7503" spans="5:9" ht="16.5" hidden="1">
      <c r="E7503" s="4" t="str">
        <v/>
      </c>
      <c r="F7503" s="102" t="str">
        <f ca="1">IFERROR(__xludf.DUMMYFUNCTION("IMPORTRANGE(H7503,""IDENTITAS UNIT!D9"")"),"#N/A")</f>
        <v>#N/A</v>
      </c>
      <c r="H7503" s="4" t="str">
        <v/>
      </c>
      <c r="I7503" s="4" t="str">
        <v/>
      </c>
    </row>
    <row r="7504" spans="5:9" ht="16.5" hidden="1">
      <c r="E7504" s="4" t="str">
        <v/>
      </c>
      <c r="F7504" s="102" t="str">
        <f ca="1">IFERROR(__xludf.DUMMYFUNCTION("IMPORTRANGE(H7504,""IDENTITAS UNIT!D9"")"),"#N/A")</f>
        <v>#N/A</v>
      </c>
      <c r="H7504" s="4" t="str">
        <v/>
      </c>
      <c r="I7504" s="4" t="str">
        <v/>
      </c>
    </row>
    <row r="7505" spans="5:9" ht="16.5" hidden="1">
      <c r="E7505" s="4" t="str">
        <v/>
      </c>
      <c r="F7505" s="102" t="str">
        <f ca="1">IFERROR(__xludf.DUMMYFUNCTION("IMPORTRANGE(H7505,""IDENTITAS UNIT!D9"")"),"#N/A")</f>
        <v>#N/A</v>
      </c>
      <c r="H7505" s="4" t="str">
        <v/>
      </c>
      <c r="I7505" s="4" t="str">
        <v/>
      </c>
    </row>
    <row r="7506" spans="5:9" ht="16.5" hidden="1">
      <c r="E7506" s="4" t="str">
        <v/>
      </c>
      <c r="F7506" s="102" t="str">
        <f ca="1">IFERROR(__xludf.DUMMYFUNCTION("IMPORTRANGE(H7506,""IDENTITAS UNIT!D9"")"),"#N/A")</f>
        <v>#N/A</v>
      </c>
      <c r="H7506" s="4" t="str">
        <v/>
      </c>
      <c r="I7506" s="4" t="str">
        <v/>
      </c>
    </row>
    <row r="7507" spans="5:9" ht="16.5" hidden="1">
      <c r="E7507" s="4" t="str">
        <v/>
      </c>
      <c r="F7507" s="102" t="str">
        <f ca="1">IFERROR(__xludf.DUMMYFUNCTION("IMPORTRANGE(H7507,""IDENTITAS UNIT!D9"")"),"#N/A")</f>
        <v>#N/A</v>
      </c>
      <c r="H7507" s="4" t="str">
        <v/>
      </c>
      <c r="I7507" s="4" t="str">
        <v/>
      </c>
    </row>
    <row r="7508" spans="5:9" ht="16.5" hidden="1">
      <c r="E7508" s="4" t="str">
        <v/>
      </c>
      <c r="F7508" s="102" t="str">
        <f ca="1">IFERROR(__xludf.DUMMYFUNCTION("IMPORTRANGE(H7508,""IDENTITAS UNIT!D9"")"),"#N/A")</f>
        <v>#N/A</v>
      </c>
      <c r="H7508" s="4" t="str">
        <v/>
      </c>
      <c r="I7508" s="4" t="str">
        <v/>
      </c>
    </row>
    <row r="7509" spans="5:9" ht="16.5" hidden="1">
      <c r="E7509" s="4" t="str">
        <v/>
      </c>
      <c r="F7509" s="102" t="str">
        <f ca="1">IFERROR(__xludf.DUMMYFUNCTION("IMPORTRANGE(H7509,""IDENTITAS UNIT!D9"")"),"#N/A")</f>
        <v>#N/A</v>
      </c>
      <c r="H7509" s="4" t="str">
        <v/>
      </c>
      <c r="I7509" s="4" t="str">
        <v/>
      </c>
    </row>
    <row r="7510" spans="5:9" ht="16.5" hidden="1">
      <c r="E7510" s="4" t="str">
        <v/>
      </c>
      <c r="F7510" s="102" t="str">
        <f ca="1">IFERROR(__xludf.DUMMYFUNCTION("IMPORTRANGE(H7510,""IDENTITAS UNIT!D9"")"),"#N/A")</f>
        <v>#N/A</v>
      </c>
      <c r="H7510" s="4" t="str">
        <v/>
      </c>
      <c r="I7510" s="4" t="str">
        <v/>
      </c>
    </row>
    <row r="7511" spans="5:9" ht="16.5" hidden="1">
      <c r="E7511" s="4" t="str">
        <v/>
      </c>
      <c r="F7511" s="102" t="str">
        <f ca="1">IFERROR(__xludf.DUMMYFUNCTION("IMPORTRANGE(H7511,""IDENTITAS UNIT!D9"")"),"#N/A")</f>
        <v>#N/A</v>
      </c>
      <c r="H7511" s="4" t="str">
        <v/>
      </c>
      <c r="I7511" s="4" t="str">
        <v/>
      </c>
    </row>
    <row r="7512" spans="5:9" ht="16.5" hidden="1">
      <c r="E7512" s="4" t="str">
        <v/>
      </c>
      <c r="F7512" s="102" t="str">
        <f ca="1">IFERROR(__xludf.DUMMYFUNCTION("IMPORTRANGE(H7512,""IDENTITAS UNIT!D9"")"),"#N/A")</f>
        <v>#N/A</v>
      </c>
      <c r="H7512" s="4" t="str">
        <v/>
      </c>
      <c r="I7512" s="4" t="str">
        <v/>
      </c>
    </row>
    <row r="7513" spans="5:9" ht="16.5" hidden="1">
      <c r="E7513" s="4" t="str">
        <v/>
      </c>
      <c r="F7513" s="102" t="str">
        <f ca="1">IFERROR(__xludf.DUMMYFUNCTION("IMPORTRANGE(H7513,""IDENTITAS UNIT!D9"")"),"#N/A")</f>
        <v>#N/A</v>
      </c>
      <c r="H7513" s="4" t="str">
        <v/>
      </c>
      <c r="I7513" s="4" t="str">
        <v/>
      </c>
    </row>
    <row r="7514" spans="5:9" ht="16.5" hidden="1">
      <c r="E7514" s="4" t="str">
        <v/>
      </c>
      <c r="F7514" s="102" t="str">
        <f ca="1">IFERROR(__xludf.DUMMYFUNCTION("IMPORTRANGE(H7514,""IDENTITAS UNIT!D9"")"),"#N/A")</f>
        <v>#N/A</v>
      </c>
      <c r="H7514" s="4" t="str">
        <v/>
      </c>
      <c r="I7514" s="4" t="str">
        <v/>
      </c>
    </row>
    <row r="7515" spans="5:9" ht="16.5" hidden="1">
      <c r="E7515" s="4" t="str">
        <v/>
      </c>
      <c r="F7515" s="102" t="str">
        <f ca="1">IFERROR(__xludf.DUMMYFUNCTION("IMPORTRANGE(H7515,""IDENTITAS UNIT!D9"")"),"#N/A")</f>
        <v>#N/A</v>
      </c>
      <c r="H7515" s="4" t="str">
        <v/>
      </c>
      <c r="I7515" s="4" t="str">
        <v/>
      </c>
    </row>
    <row r="7516" spans="5:9" ht="16.5" hidden="1">
      <c r="E7516" s="4" t="str">
        <v/>
      </c>
      <c r="F7516" s="102" t="str">
        <f ca="1">IFERROR(__xludf.DUMMYFUNCTION("IMPORTRANGE(H7516,""IDENTITAS UNIT!D9"")"),"#N/A")</f>
        <v>#N/A</v>
      </c>
      <c r="H7516" s="4" t="str">
        <v/>
      </c>
      <c r="I7516" s="4" t="str">
        <v/>
      </c>
    </row>
    <row r="7517" spans="5:9" ht="16.5" hidden="1">
      <c r="E7517" s="4" t="str">
        <v/>
      </c>
      <c r="F7517" s="102" t="str">
        <f ca="1">IFERROR(__xludf.DUMMYFUNCTION("IMPORTRANGE(H7517,""IDENTITAS UNIT!D9"")"),"#N/A")</f>
        <v>#N/A</v>
      </c>
      <c r="H7517" s="4" t="str">
        <v/>
      </c>
      <c r="I7517" s="4" t="str">
        <v/>
      </c>
    </row>
    <row r="7518" spans="5:9" ht="16.5" hidden="1">
      <c r="E7518" s="4" t="str">
        <v/>
      </c>
      <c r="F7518" s="102" t="str">
        <f ca="1">IFERROR(__xludf.DUMMYFUNCTION("IMPORTRANGE(H7518,""IDENTITAS UNIT!D9"")"),"#N/A")</f>
        <v>#N/A</v>
      </c>
      <c r="H7518" s="4" t="str">
        <v/>
      </c>
      <c r="I7518" s="4" t="str">
        <v/>
      </c>
    </row>
    <row r="7519" spans="5:9" ht="16.5" hidden="1">
      <c r="E7519" s="4" t="str">
        <v/>
      </c>
      <c r="F7519" s="102" t="str">
        <f ca="1">IFERROR(__xludf.DUMMYFUNCTION("IMPORTRANGE(H7519,""IDENTITAS UNIT!D9"")"),"#N/A")</f>
        <v>#N/A</v>
      </c>
      <c r="H7519" s="4" t="str">
        <v/>
      </c>
      <c r="I7519" s="4" t="str">
        <v/>
      </c>
    </row>
    <row r="7520" spans="5:9" ht="16.5" hidden="1">
      <c r="E7520" s="4" t="str">
        <v/>
      </c>
      <c r="F7520" s="102" t="str">
        <f ca="1">IFERROR(__xludf.DUMMYFUNCTION("IMPORTRANGE(H7520,""IDENTITAS UNIT!D9"")"),"#N/A")</f>
        <v>#N/A</v>
      </c>
      <c r="H7520" s="4" t="str">
        <v/>
      </c>
      <c r="I7520" s="4" t="str">
        <v/>
      </c>
    </row>
    <row r="7521" spans="5:9" ht="16.5" hidden="1">
      <c r="E7521" s="4" t="str">
        <v/>
      </c>
      <c r="F7521" s="102" t="str">
        <f ca="1">IFERROR(__xludf.DUMMYFUNCTION("IMPORTRANGE(H7521,""IDENTITAS UNIT!D9"")"),"#N/A")</f>
        <v>#N/A</v>
      </c>
      <c r="H7521" s="4" t="str">
        <v/>
      </c>
      <c r="I7521" s="4" t="str">
        <v/>
      </c>
    </row>
    <row r="7522" spans="5:9" ht="16.5" hidden="1">
      <c r="E7522" s="4" t="str">
        <v/>
      </c>
      <c r="F7522" s="102" t="str">
        <f ca="1">IFERROR(__xludf.DUMMYFUNCTION("IMPORTRANGE(H7522,""IDENTITAS UNIT!D9"")"),"#N/A")</f>
        <v>#N/A</v>
      </c>
      <c r="H7522" s="4" t="str">
        <v/>
      </c>
      <c r="I7522" s="4" t="str">
        <v/>
      </c>
    </row>
    <row r="7523" spans="5:9" ht="16.5" hidden="1">
      <c r="E7523" s="4" t="str">
        <v/>
      </c>
      <c r="F7523" s="102" t="str">
        <f ca="1">IFERROR(__xludf.DUMMYFUNCTION("IMPORTRANGE(H7523,""IDENTITAS UNIT!D9"")"),"#N/A")</f>
        <v>#N/A</v>
      </c>
      <c r="H7523" s="4" t="str">
        <v/>
      </c>
      <c r="I7523" s="4" t="str">
        <v/>
      </c>
    </row>
    <row r="7524" spans="5:9" ht="16.5" hidden="1">
      <c r="E7524" s="4" t="str">
        <v/>
      </c>
      <c r="F7524" s="102" t="str">
        <f ca="1">IFERROR(__xludf.DUMMYFUNCTION("IMPORTRANGE(H7524,""IDENTITAS UNIT!D9"")"),"#N/A")</f>
        <v>#N/A</v>
      </c>
      <c r="H7524" s="4" t="str">
        <v/>
      </c>
      <c r="I7524" s="4" t="str">
        <v/>
      </c>
    </row>
    <row r="7525" spans="5:9" ht="16.5" hidden="1">
      <c r="E7525" s="4" t="str">
        <v/>
      </c>
      <c r="F7525" s="102" t="str">
        <f ca="1">IFERROR(__xludf.DUMMYFUNCTION("IMPORTRANGE(H7525,""IDENTITAS UNIT!D9"")"),"#N/A")</f>
        <v>#N/A</v>
      </c>
      <c r="H7525" s="4" t="str">
        <v/>
      </c>
      <c r="I7525" s="4" t="str">
        <v/>
      </c>
    </row>
    <row r="7526" spans="5:9" ht="16.5" hidden="1">
      <c r="E7526" s="4" t="str">
        <v/>
      </c>
      <c r="F7526" s="102" t="str">
        <f ca="1">IFERROR(__xludf.DUMMYFUNCTION("IMPORTRANGE(H7526,""IDENTITAS UNIT!D9"")"),"#N/A")</f>
        <v>#N/A</v>
      </c>
      <c r="H7526" s="4" t="str">
        <v/>
      </c>
      <c r="I7526" s="4" t="str">
        <v/>
      </c>
    </row>
    <row r="7527" spans="5:9" ht="16.5" hidden="1">
      <c r="E7527" s="4" t="str">
        <v/>
      </c>
      <c r="F7527" s="102" t="str">
        <f ca="1">IFERROR(__xludf.DUMMYFUNCTION("IMPORTRANGE(H7527,""IDENTITAS UNIT!D9"")"),"#N/A")</f>
        <v>#N/A</v>
      </c>
      <c r="H7527" s="4" t="str">
        <v/>
      </c>
      <c r="I7527" s="4" t="str">
        <v/>
      </c>
    </row>
    <row r="7528" spans="5:9" ht="16.5" hidden="1">
      <c r="E7528" s="4" t="str">
        <v/>
      </c>
      <c r="F7528" s="102" t="str">
        <f ca="1">IFERROR(__xludf.DUMMYFUNCTION("IMPORTRANGE(H7528,""IDENTITAS UNIT!D9"")"),"#N/A")</f>
        <v>#N/A</v>
      </c>
      <c r="H7528" s="4" t="str">
        <v/>
      </c>
      <c r="I7528" s="4" t="str">
        <v/>
      </c>
    </row>
    <row r="7529" spans="5:9" ht="16.5" hidden="1">
      <c r="E7529" s="4" t="str">
        <v/>
      </c>
      <c r="F7529" s="102" t="str">
        <f ca="1">IFERROR(__xludf.DUMMYFUNCTION("IMPORTRANGE(H7529,""IDENTITAS UNIT!D9"")"),"#N/A")</f>
        <v>#N/A</v>
      </c>
      <c r="H7529" s="4" t="str">
        <v/>
      </c>
      <c r="I7529" s="4" t="str">
        <v/>
      </c>
    </row>
    <row r="7530" spans="5:9" ht="16.5" hidden="1">
      <c r="E7530" s="4" t="str">
        <v/>
      </c>
      <c r="F7530" s="102" t="str">
        <f ca="1">IFERROR(__xludf.DUMMYFUNCTION("IMPORTRANGE(H7530,""IDENTITAS UNIT!D9"")"),"#N/A")</f>
        <v>#N/A</v>
      </c>
      <c r="H7530" s="4" t="str">
        <v/>
      </c>
      <c r="I7530" s="4" t="str">
        <v/>
      </c>
    </row>
    <row r="7531" spans="5:9" ht="16.5" hidden="1">
      <c r="E7531" s="4" t="str">
        <v/>
      </c>
      <c r="F7531" s="102" t="str">
        <f ca="1">IFERROR(__xludf.DUMMYFUNCTION("IMPORTRANGE(H7531,""IDENTITAS UNIT!D9"")"),"#N/A")</f>
        <v>#N/A</v>
      </c>
      <c r="H7531" s="4" t="str">
        <v/>
      </c>
      <c r="I7531" s="4" t="str">
        <v/>
      </c>
    </row>
    <row r="7532" spans="5:9" ht="16.5" hidden="1">
      <c r="E7532" s="4" t="str">
        <v/>
      </c>
      <c r="F7532" s="102" t="str">
        <f ca="1">IFERROR(__xludf.DUMMYFUNCTION("IMPORTRANGE(H7532,""IDENTITAS UNIT!D9"")"),"#N/A")</f>
        <v>#N/A</v>
      </c>
      <c r="H7532" s="4" t="str">
        <v/>
      </c>
      <c r="I7532" s="4" t="str">
        <v/>
      </c>
    </row>
    <row r="7533" spans="5:9" ht="16.5" hidden="1">
      <c r="E7533" s="4" t="str">
        <v/>
      </c>
      <c r="F7533" s="102" t="str">
        <f ca="1">IFERROR(__xludf.DUMMYFUNCTION("IMPORTRANGE(H7533,""IDENTITAS UNIT!D9"")"),"#N/A")</f>
        <v>#N/A</v>
      </c>
      <c r="H7533" s="4" t="str">
        <v/>
      </c>
      <c r="I7533" s="4" t="str">
        <v/>
      </c>
    </row>
    <row r="7534" spans="5:9" ht="16.5" hidden="1">
      <c r="E7534" s="4" t="str">
        <v/>
      </c>
      <c r="F7534" s="102" t="str">
        <f ca="1">IFERROR(__xludf.DUMMYFUNCTION("IMPORTRANGE(H7534,""IDENTITAS UNIT!D9"")"),"#N/A")</f>
        <v>#N/A</v>
      </c>
      <c r="H7534" s="4" t="str">
        <v/>
      </c>
      <c r="I7534" s="4" t="str">
        <v/>
      </c>
    </row>
    <row r="7535" spans="5:9" ht="16.5" hidden="1">
      <c r="E7535" s="4" t="str">
        <v/>
      </c>
      <c r="F7535" s="102" t="str">
        <f ca="1">IFERROR(__xludf.DUMMYFUNCTION("IMPORTRANGE(H7535,""IDENTITAS UNIT!D9"")"),"#N/A")</f>
        <v>#N/A</v>
      </c>
      <c r="H7535" s="4" t="str">
        <v/>
      </c>
      <c r="I7535" s="4" t="str">
        <v/>
      </c>
    </row>
    <row r="7536" spans="5:9" ht="16.5" hidden="1">
      <c r="E7536" s="4" t="str">
        <v/>
      </c>
      <c r="F7536" s="102" t="str">
        <f ca="1">IFERROR(__xludf.DUMMYFUNCTION("IMPORTRANGE(H7536,""IDENTITAS UNIT!D9"")"),"#N/A")</f>
        <v>#N/A</v>
      </c>
      <c r="H7536" s="4" t="str">
        <v/>
      </c>
      <c r="I7536" s="4" t="str">
        <v/>
      </c>
    </row>
    <row r="7537" spans="5:9" ht="16.5" hidden="1">
      <c r="E7537" s="4" t="str">
        <v/>
      </c>
      <c r="F7537" s="102" t="str">
        <f ca="1">IFERROR(__xludf.DUMMYFUNCTION("IMPORTRANGE(H7537,""IDENTITAS UNIT!D9"")"),"#N/A")</f>
        <v>#N/A</v>
      </c>
      <c r="H7537" s="4" t="str">
        <v/>
      </c>
      <c r="I7537" s="4" t="str">
        <v/>
      </c>
    </row>
    <row r="7538" spans="5:9" ht="16.5" hidden="1">
      <c r="E7538" s="4" t="str">
        <v/>
      </c>
      <c r="F7538" s="102" t="str">
        <f ca="1">IFERROR(__xludf.DUMMYFUNCTION("IMPORTRANGE(H7538,""IDENTITAS UNIT!D9"")"),"#N/A")</f>
        <v>#N/A</v>
      </c>
      <c r="H7538" s="4" t="str">
        <v/>
      </c>
      <c r="I7538" s="4" t="str">
        <v/>
      </c>
    </row>
    <row r="7539" spans="5:9" ht="16.5" hidden="1">
      <c r="E7539" s="4" t="str">
        <v/>
      </c>
      <c r="F7539" s="102" t="str">
        <f ca="1">IFERROR(__xludf.DUMMYFUNCTION("IMPORTRANGE(H7539,""IDENTITAS UNIT!D9"")"),"#N/A")</f>
        <v>#N/A</v>
      </c>
      <c r="H7539" s="4" t="str">
        <v/>
      </c>
      <c r="I7539" s="4" t="str">
        <v/>
      </c>
    </row>
    <row r="7540" spans="5:9" ht="16.5" hidden="1">
      <c r="E7540" s="4" t="str">
        <v/>
      </c>
      <c r="F7540" s="102" t="str">
        <f ca="1">IFERROR(__xludf.DUMMYFUNCTION("IMPORTRANGE(H7540,""IDENTITAS UNIT!D9"")"),"#N/A")</f>
        <v>#N/A</v>
      </c>
      <c r="H7540" s="4" t="str">
        <v/>
      </c>
      <c r="I7540" s="4" t="str">
        <v/>
      </c>
    </row>
    <row r="7541" spans="5:9" ht="16.5" hidden="1">
      <c r="E7541" s="4" t="str">
        <v/>
      </c>
      <c r="F7541" s="102" t="str">
        <f ca="1">IFERROR(__xludf.DUMMYFUNCTION("IMPORTRANGE(H7541,""IDENTITAS UNIT!D9"")"),"#N/A")</f>
        <v>#N/A</v>
      </c>
      <c r="H7541" s="4" t="str">
        <v/>
      </c>
      <c r="I7541" s="4" t="str">
        <v/>
      </c>
    </row>
    <row r="7542" spans="5:9" ht="16.5" hidden="1">
      <c r="E7542" s="4" t="str">
        <v/>
      </c>
      <c r="F7542" s="102" t="str">
        <f ca="1">IFERROR(__xludf.DUMMYFUNCTION("IMPORTRANGE(H7542,""IDENTITAS UNIT!D9"")"),"#N/A")</f>
        <v>#N/A</v>
      </c>
      <c r="H7542" s="4" t="str">
        <v/>
      </c>
      <c r="I7542" s="4" t="str">
        <v/>
      </c>
    </row>
    <row r="7543" spans="5:9" ht="16.5" hidden="1">
      <c r="E7543" s="4" t="str">
        <v/>
      </c>
      <c r="F7543" s="102" t="str">
        <f ca="1">IFERROR(__xludf.DUMMYFUNCTION("IMPORTRANGE(H7543,""IDENTITAS UNIT!D9"")"),"#N/A")</f>
        <v>#N/A</v>
      </c>
      <c r="H7543" s="4" t="str">
        <v/>
      </c>
      <c r="I7543" s="4" t="str">
        <v/>
      </c>
    </row>
    <row r="7544" spans="5:9" ht="16.5" hidden="1">
      <c r="E7544" s="4" t="str">
        <v/>
      </c>
      <c r="F7544" s="102" t="str">
        <f ca="1">IFERROR(__xludf.DUMMYFUNCTION("IMPORTRANGE(H7544,""IDENTITAS UNIT!D9"")"),"#N/A")</f>
        <v>#N/A</v>
      </c>
      <c r="H7544" s="4" t="str">
        <v/>
      </c>
      <c r="I7544" s="4" t="str">
        <v/>
      </c>
    </row>
    <row r="7545" spans="5:9" ht="16.5" hidden="1">
      <c r="E7545" s="4" t="str">
        <v/>
      </c>
      <c r="F7545" s="102" t="str">
        <f ca="1">IFERROR(__xludf.DUMMYFUNCTION("IMPORTRANGE(H7545,""IDENTITAS UNIT!D9"")"),"#N/A")</f>
        <v>#N/A</v>
      </c>
      <c r="H7545" s="4" t="str">
        <v/>
      </c>
      <c r="I7545" s="4" t="str">
        <v/>
      </c>
    </row>
    <row r="7546" spans="5:9" ht="16.5" hidden="1">
      <c r="E7546" s="4" t="str">
        <v/>
      </c>
      <c r="F7546" s="102" t="str">
        <f ca="1">IFERROR(__xludf.DUMMYFUNCTION("IMPORTRANGE(H7546,""IDENTITAS UNIT!D9"")"),"#N/A")</f>
        <v>#N/A</v>
      </c>
      <c r="H7546" s="4" t="str">
        <v/>
      </c>
      <c r="I7546" s="4" t="str">
        <v/>
      </c>
    </row>
    <row r="7547" spans="5:9" ht="16.5" hidden="1">
      <c r="E7547" s="4" t="str">
        <v/>
      </c>
      <c r="F7547" s="102" t="str">
        <f ca="1">IFERROR(__xludf.DUMMYFUNCTION("IMPORTRANGE(H7547,""IDENTITAS UNIT!D9"")"),"#N/A")</f>
        <v>#N/A</v>
      </c>
      <c r="H7547" s="4" t="str">
        <v/>
      </c>
      <c r="I7547" s="4" t="str">
        <v/>
      </c>
    </row>
    <row r="7548" spans="5:9" ht="16.5" hidden="1">
      <c r="E7548" s="4" t="str">
        <v/>
      </c>
      <c r="F7548" s="102" t="str">
        <f ca="1">IFERROR(__xludf.DUMMYFUNCTION("IMPORTRANGE(H7548,""IDENTITAS UNIT!D9"")"),"#N/A")</f>
        <v>#N/A</v>
      </c>
      <c r="H7548" s="4" t="str">
        <v/>
      </c>
      <c r="I7548" s="4" t="str">
        <v/>
      </c>
    </row>
    <row r="7549" spans="5:9" ht="16.5" hidden="1">
      <c r="E7549" s="4" t="str">
        <v/>
      </c>
      <c r="F7549" s="102" t="str">
        <f ca="1">IFERROR(__xludf.DUMMYFUNCTION("IMPORTRANGE(H7549,""IDENTITAS UNIT!D9"")"),"#N/A")</f>
        <v>#N/A</v>
      </c>
      <c r="H7549" s="4" t="str">
        <v/>
      </c>
      <c r="I7549" s="4" t="str">
        <v/>
      </c>
    </row>
    <row r="7550" spans="5:9" ht="16.5" hidden="1">
      <c r="E7550" s="4" t="str">
        <v/>
      </c>
      <c r="F7550" s="102" t="str">
        <f ca="1">IFERROR(__xludf.DUMMYFUNCTION("IMPORTRANGE(H7550,""IDENTITAS UNIT!D9"")"),"#N/A")</f>
        <v>#N/A</v>
      </c>
      <c r="H7550" s="4" t="str">
        <v/>
      </c>
      <c r="I7550" s="4" t="str">
        <v/>
      </c>
    </row>
    <row r="7551" spans="5:9" ht="16.5" hidden="1">
      <c r="E7551" s="4" t="str">
        <v/>
      </c>
      <c r="F7551" s="102" t="str">
        <f ca="1">IFERROR(__xludf.DUMMYFUNCTION("IMPORTRANGE(H7551,""IDENTITAS UNIT!D9"")"),"#N/A")</f>
        <v>#N/A</v>
      </c>
      <c r="H7551" s="4" t="str">
        <v/>
      </c>
      <c r="I7551" s="4" t="str">
        <v/>
      </c>
    </row>
    <row r="7552" spans="5:9" ht="16.5" hidden="1">
      <c r="E7552" s="4" t="str">
        <v/>
      </c>
      <c r="F7552" s="102" t="str">
        <f ca="1">IFERROR(__xludf.DUMMYFUNCTION("IMPORTRANGE(H7552,""IDENTITAS UNIT!D9"")"),"#N/A")</f>
        <v>#N/A</v>
      </c>
      <c r="H7552" s="4" t="str">
        <v/>
      </c>
      <c r="I7552" s="4" t="str">
        <v/>
      </c>
    </row>
    <row r="7553" spans="5:9" ht="16.5" hidden="1">
      <c r="E7553" s="4" t="str">
        <v/>
      </c>
      <c r="F7553" s="102" t="str">
        <f ca="1">IFERROR(__xludf.DUMMYFUNCTION("IMPORTRANGE(H7553,""IDENTITAS UNIT!D9"")"),"#N/A")</f>
        <v>#N/A</v>
      </c>
      <c r="H7553" s="4" t="str">
        <v/>
      </c>
      <c r="I7553" s="4" t="str">
        <v/>
      </c>
    </row>
    <row r="7554" spans="5:9" ht="16.5" hidden="1">
      <c r="E7554" s="4" t="str">
        <v/>
      </c>
      <c r="F7554" s="102" t="str">
        <f ca="1">IFERROR(__xludf.DUMMYFUNCTION("IMPORTRANGE(H7554,""IDENTITAS UNIT!D9"")"),"#N/A")</f>
        <v>#N/A</v>
      </c>
      <c r="H7554" s="4" t="str">
        <v/>
      </c>
      <c r="I7554" s="4" t="str">
        <v/>
      </c>
    </row>
    <row r="7555" spans="5:9" ht="16.5" hidden="1">
      <c r="E7555" s="4" t="str">
        <v/>
      </c>
      <c r="F7555" s="102" t="str">
        <f ca="1">IFERROR(__xludf.DUMMYFUNCTION("IMPORTRANGE(H7555,""IDENTITAS UNIT!D9"")"),"#N/A")</f>
        <v>#N/A</v>
      </c>
      <c r="H7555" s="4" t="str">
        <v/>
      </c>
      <c r="I7555" s="4" t="str">
        <v/>
      </c>
    </row>
    <row r="7556" spans="5:9" ht="16.5" hidden="1">
      <c r="E7556" s="4" t="str">
        <v/>
      </c>
      <c r="F7556" s="102" t="str">
        <f ca="1">IFERROR(__xludf.DUMMYFUNCTION("IMPORTRANGE(H7556,""IDENTITAS UNIT!D9"")"),"#N/A")</f>
        <v>#N/A</v>
      </c>
      <c r="H7556" s="4" t="str">
        <v/>
      </c>
      <c r="I7556" s="4" t="str">
        <v/>
      </c>
    </row>
    <row r="7557" spans="5:9" ht="16.5" hidden="1">
      <c r="E7557" s="4" t="str">
        <v/>
      </c>
      <c r="F7557" s="102" t="str">
        <f ca="1">IFERROR(__xludf.DUMMYFUNCTION("IMPORTRANGE(H7557,""IDENTITAS UNIT!D9"")"),"#N/A")</f>
        <v>#N/A</v>
      </c>
      <c r="H7557" s="4" t="str">
        <v/>
      </c>
      <c r="I7557" s="4" t="str">
        <v/>
      </c>
    </row>
    <row r="7558" spans="5:9" ht="16.5" hidden="1">
      <c r="E7558" s="4" t="str">
        <v/>
      </c>
      <c r="F7558" s="102" t="str">
        <f ca="1">IFERROR(__xludf.DUMMYFUNCTION("IMPORTRANGE(H7558,""IDENTITAS UNIT!D9"")"),"#N/A")</f>
        <v>#N/A</v>
      </c>
      <c r="H7558" s="4" t="str">
        <v/>
      </c>
      <c r="I7558" s="4" t="str">
        <v/>
      </c>
    </row>
    <row r="7559" spans="5:9" ht="16.5" hidden="1">
      <c r="E7559" s="4" t="str">
        <v/>
      </c>
      <c r="F7559" s="102" t="str">
        <f ca="1">IFERROR(__xludf.DUMMYFUNCTION("IMPORTRANGE(H7559,""IDENTITAS UNIT!D9"")"),"#N/A")</f>
        <v>#N/A</v>
      </c>
      <c r="H7559" s="4" t="str">
        <v/>
      </c>
      <c r="I7559" s="4" t="str">
        <v/>
      </c>
    </row>
    <row r="7560" spans="5:9" ht="16.5" hidden="1">
      <c r="E7560" s="4" t="str">
        <v/>
      </c>
      <c r="F7560" s="102" t="str">
        <f ca="1">IFERROR(__xludf.DUMMYFUNCTION("IMPORTRANGE(H7560,""IDENTITAS UNIT!D9"")"),"#N/A")</f>
        <v>#N/A</v>
      </c>
      <c r="H7560" s="4" t="str">
        <v/>
      </c>
      <c r="I7560" s="4" t="str">
        <v/>
      </c>
    </row>
    <row r="7561" spans="5:9" ht="16.5" hidden="1">
      <c r="E7561" s="4" t="str">
        <v/>
      </c>
      <c r="F7561" s="102" t="str">
        <f ca="1">IFERROR(__xludf.DUMMYFUNCTION("IMPORTRANGE(H7561,""IDENTITAS UNIT!D9"")"),"#N/A")</f>
        <v>#N/A</v>
      </c>
      <c r="H7561" s="4" t="str">
        <v/>
      </c>
      <c r="I7561" s="4" t="str">
        <v/>
      </c>
    </row>
    <row r="7562" spans="5:9" ht="16.5" hidden="1">
      <c r="E7562" s="4" t="str">
        <v/>
      </c>
      <c r="F7562" s="102" t="str">
        <f ca="1">IFERROR(__xludf.DUMMYFUNCTION("IMPORTRANGE(H7562,""IDENTITAS UNIT!D9"")"),"#N/A")</f>
        <v>#N/A</v>
      </c>
      <c r="H7562" s="4" t="str">
        <v/>
      </c>
      <c r="I7562" s="4" t="str">
        <v/>
      </c>
    </row>
    <row r="7563" spans="5:9" ht="16.5" hidden="1">
      <c r="E7563" s="4" t="str">
        <v/>
      </c>
      <c r="F7563" s="102" t="str">
        <f ca="1">IFERROR(__xludf.DUMMYFUNCTION("IMPORTRANGE(H7563,""IDENTITAS UNIT!D9"")"),"#N/A")</f>
        <v>#N/A</v>
      </c>
      <c r="H7563" s="4" t="str">
        <v/>
      </c>
      <c r="I7563" s="4" t="str">
        <v/>
      </c>
    </row>
    <row r="7564" spans="5:9" ht="16.5" hidden="1">
      <c r="E7564" s="4" t="str">
        <v/>
      </c>
      <c r="F7564" s="102" t="str">
        <f ca="1">IFERROR(__xludf.DUMMYFUNCTION("IMPORTRANGE(H7564,""IDENTITAS UNIT!D9"")"),"#N/A")</f>
        <v>#N/A</v>
      </c>
      <c r="H7564" s="4" t="str">
        <v/>
      </c>
      <c r="I7564" s="4" t="str">
        <v/>
      </c>
    </row>
    <row r="7565" spans="5:9" ht="16.5" hidden="1">
      <c r="E7565" s="4" t="str">
        <v/>
      </c>
      <c r="F7565" s="102" t="str">
        <f ca="1">IFERROR(__xludf.DUMMYFUNCTION("IMPORTRANGE(H7565,""IDENTITAS UNIT!D9"")"),"#N/A")</f>
        <v>#N/A</v>
      </c>
      <c r="H7565" s="4" t="str">
        <v/>
      </c>
      <c r="I7565" s="4" t="str">
        <v/>
      </c>
    </row>
    <row r="7566" spans="5:9" ht="16.5" hidden="1">
      <c r="E7566" s="4" t="str">
        <v/>
      </c>
      <c r="F7566" s="102" t="str">
        <f ca="1">IFERROR(__xludf.DUMMYFUNCTION("IMPORTRANGE(H7566,""IDENTITAS UNIT!D9"")"),"#N/A")</f>
        <v>#N/A</v>
      </c>
      <c r="H7566" s="4" t="str">
        <v/>
      </c>
      <c r="I7566" s="4" t="str">
        <v/>
      </c>
    </row>
    <row r="7567" spans="5:9" ht="16.5" hidden="1">
      <c r="E7567" s="4" t="str">
        <v/>
      </c>
      <c r="F7567" s="102" t="str">
        <f ca="1">IFERROR(__xludf.DUMMYFUNCTION("IMPORTRANGE(H7567,""IDENTITAS UNIT!D9"")"),"#N/A")</f>
        <v>#N/A</v>
      </c>
      <c r="H7567" s="4" t="str">
        <v/>
      </c>
      <c r="I7567" s="4" t="str">
        <v/>
      </c>
    </row>
    <row r="7568" spans="5:9" ht="16.5" hidden="1">
      <c r="E7568" s="4" t="str">
        <v/>
      </c>
      <c r="F7568" s="102" t="str">
        <f ca="1">IFERROR(__xludf.DUMMYFUNCTION("IMPORTRANGE(H7568,""IDENTITAS UNIT!D9"")"),"#N/A")</f>
        <v>#N/A</v>
      </c>
      <c r="H7568" s="4" t="str">
        <v/>
      </c>
      <c r="I7568" s="4" t="str">
        <v/>
      </c>
    </row>
    <row r="7569" spans="5:9" ht="16.5" hidden="1">
      <c r="E7569" s="4" t="str">
        <v/>
      </c>
      <c r="F7569" s="102" t="str">
        <f ca="1">IFERROR(__xludf.DUMMYFUNCTION("IMPORTRANGE(H7569,""IDENTITAS UNIT!D9"")"),"#N/A")</f>
        <v>#N/A</v>
      </c>
      <c r="H7569" s="4" t="str">
        <v/>
      </c>
      <c r="I7569" s="4" t="str">
        <v/>
      </c>
    </row>
    <row r="7570" spans="5:9" ht="16.5" hidden="1">
      <c r="E7570" s="4" t="str">
        <v/>
      </c>
      <c r="F7570" s="102" t="str">
        <f ca="1">IFERROR(__xludf.DUMMYFUNCTION("IMPORTRANGE(H7570,""IDENTITAS UNIT!D9"")"),"#N/A")</f>
        <v>#N/A</v>
      </c>
      <c r="H7570" s="4" t="str">
        <v/>
      </c>
      <c r="I7570" s="4" t="str">
        <v/>
      </c>
    </row>
    <row r="7571" spans="5:9" ht="16.5" hidden="1">
      <c r="E7571" s="4" t="str">
        <v/>
      </c>
      <c r="F7571" s="102" t="str">
        <f ca="1">IFERROR(__xludf.DUMMYFUNCTION("IMPORTRANGE(H7571,""IDENTITAS UNIT!D9"")"),"#N/A")</f>
        <v>#N/A</v>
      </c>
      <c r="H7571" s="4" t="str">
        <v/>
      </c>
      <c r="I7571" s="4" t="str">
        <v/>
      </c>
    </row>
    <row r="7572" spans="5:9" ht="16.5" hidden="1">
      <c r="E7572" s="4" t="str">
        <v/>
      </c>
      <c r="F7572" s="102" t="str">
        <f ca="1">IFERROR(__xludf.DUMMYFUNCTION("IMPORTRANGE(H7572,""IDENTITAS UNIT!D9"")"),"#N/A")</f>
        <v>#N/A</v>
      </c>
      <c r="H7572" s="4" t="str">
        <v/>
      </c>
      <c r="I7572" s="4" t="str">
        <v/>
      </c>
    </row>
    <row r="7573" spans="5:9" ht="16.5" hidden="1">
      <c r="E7573" s="4" t="str">
        <v/>
      </c>
      <c r="F7573" s="102" t="str">
        <f ca="1">IFERROR(__xludf.DUMMYFUNCTION("IMPORTRANGE(H7573,""IDENTITAS UNIT!D9"")"),"#N/A")</f>
        <v>#N/A</v>
      </c>
      <c r="H7573" s="4" t="str">
        <v/>
      </c>
      <c r="I7573" s="4" t="str">
        <v/>
      </c>
    </row>
    <row r="7574" spans="5:9" ht="16.5" hidden="1">
      <c r="E7574" s="4" t="str">
        <v/>
      </c>
      <c r="F7574" s="102" t="str">
        <f ca="1">IFERROR(__xludf.DUMMYFUNCTION("IMPORTRANGE(H7574,""IDENTITAS UNIT!D9"")"),"#N/A")</f>
        <v>#N/A</v>
      </c>
      <c r="H7574" s="4" t="str">
        <v/>
      </c>
      <c r="I7574" s="4" t="str">
        <v/>
      </c>
    </row>
    <row r="7575" spans="5:9" ht="16.5" hidden="1">
      <c r="E7575" s="4" t="str">
        <v/>
      </c>
      <c r="F7575" s="102" t="str">
        <f ca="1">IFERROR(__xludf.DUMMYFUNCTION("IMPORTRANGE(H7575,""IDENTITAS UNIT!D9"")"),"#N/A")</f>
        <v>#N/A</v>
      </c>
      <c r="H7575" s="4" t="str">
        <v/>
      </c>
      <c r="I7575" s="4" t="str">
        <v/>
      </c>
    </row>
    <row r="7576" spans="5:9" ht="16.5" hidden="1">
      <c r="E7576" s="4" t="str">
        <v/>
      </c>
      <c r="F7576" s="102" t="str">
        <f ca="1">IFERROR(__xludf.DUMMYFUNCTION("IMPORTRANGE(H7576,""IDENTITAS UNIT!D9"")"),"#N/A")</f>
        <v>#N/A</v>
      </c>
      <c r="H7576" s="4" t="str">
        <v/>
      </c>
      <c r="I7576" s="4" t="str">
        <v/>
      </c>
    </row>
    <row r="7577" spans="5:9" ht="16.5" hidden="1">
      <c r="E7577" s="4" t="str">
        <v/>
      </c>
      <c r="F7577" s="102" t="str">
        <f ca="1">IFERROR(__xludf.DUMMYFUNCTION("IMPORTRANGE(H7577,""IDENTITAS UNIT!D9"")"),"#N/A")</f>
        <v>#N/A</v>
      </c>
      <c r="H7577" s="4" t="str">
        <v/>
      </c>
      <c r="I7577" s="4" t="str">
        <v/>
      </c>
    </row>
    <row r="7578" spans="5:9" ht="16.5" hidden="1">
      <c r="E7578" s="4" t="str">
        <v/>
      </c>
      <c r="F7578" s="102" t="str">
        <f ca="1">IFERROR(__xludf.DUMMYFUNCTION("IMPORTRANGE(H7578,""IDENTITAS UNIT!D9"")"),"#N/A")</f>
        <v>#N/A</v>
      </c>
      <c r="H7578" s="4" t="str">
        <v/>
      </c>
      <c r="I7578" s="4" t="str">
        <v/>
      </c>
    </row>
    <row r="7579" spans="5:9" ht="16.5" hidden="1">
      <c r="E7579" s="4" t="str">
        <v/>
      </c>
      <c r="F7579" s="102" t="str">
        <f ca="1">IFERROR(__xludf.DUMMYFUNCTION("IMPORTRANGE(H7579,""IDENTITAS UNIT!D9"")"),"#N/A")</f>
        <v>#N/A</v>
      </c>
      <c r="H7579" s="4" t="str">
        <v/>
      </c>
      <c r="I7579" s="4" t="str">
        <v/>
      </c>
    </row>
    <row r="7580" spans="5:9" ht="16.5" hidden="1">
      <c r="E7580" s="4" t="str">
        <v/>
      </c>
      <c r="F7580" s="102" t="str">
        <f ca="1">IFERROR(__xludf.DUMMYFUNCTION("IMPORTRANGE(H7580,""IDENTITAS UNIT!D9"")"),"#N/A")</f>
        <v>#N/A</v>
      </c>
      <c r="H7580" s="4" t="str">
        <v/>
      </c>
      <c r="I7580" s="4" t="str">
        <v/>
      </c>
    </row>
    <row r="7581" spans="5:9" ht="16.5" hidden="1">
      <c r="E7581" s="4" t="str">
        <v/>
      </c>
      <c r="F7581" s="102" t="str">
        <f ca="1">IFERROR(__xludf.DUMMYFUNCTION("IMPORTRANGE(H7581,""IDENTITAS UNIT!D9"")"),"#N/A")</f>
        <v>#N/A</v>
      </c>
      <c r="H7581" s="4" t="str">
        <v/>
      </c>
      <c r="I7581" s="4" t="str">
        <v/>
      </c>
    </row>
    <row r="7582" spans="5:9" ht="16.5" hidden="1">
      <c r="E7582" s="4" t="str">
        <v/>
      </c>
      <c r="F7582" s="102" t="str">
        <f ca="1">IFERROR(__xludf.DUMMYFUNCTION("IMPORTRANGE(H7582,""IDENTITAS UNIT!D9"")"),"#N/A")</f>
        <v>#N/A</v>
      </c>
      <c r="H7582" s="4" t="str">
        <v/>
      </c>
      <c r="I7582" s="4" t="str">
        <v/>
      </c>
    </row>
    <row r="7583" spans="5:9" ht="16.5" hidden="1">
      <c r="E7583" s="4" t="str">
        <v/>
      </c>
      <c r="F7583" s="102" t="str">
        <f ca="1">IFERROR(__xludf.DUMMYFUNCTION("IMPORTRANGE(H7583,""IDENTITAS UNIT!D9"")"),"#N/A")</f>
        <v>#N/A</v>
      </c>
      <c r="H7583" s="4" t="str">
        <v/>
      </c>
      <c r="I7583" s="4" t="str">
        <v/>
      </c>
    </row>
    <row r="7584" spans="5:9" ht="16.5" hidden="1">
      <c r="E7584" s="4" t="str">
        <v/>
      </c>
      <c r="F7584" s="102" t="str">
        <f ca="1">IFERROR(__xludf.DUMMYFUNCTION("IMPORTRANGE(H7584,""IDENTITAS UNIT!D9"")"),"#N/A")</f>
        <v>#N/A</v>
      </c>
      <c r="H7584" s="4" t="str">
        <v/>
      </c>
      <c r="I7584" s="4" t="str">
        <v/>
      </c>
    </row>
    <row r="7585" spans="5:9" ht="16.5" hidden="1">
      <c r="E7585" s="4" t="str">
        <v/>
      </c>
      <c r="F7585" s="102" t="str">
        <f ca="1">IFERROR(__xludf.DUMMYFUNCTION("IMPORTRANGE(H7585,""IDENTITAS UNIT!D9"")"),"#N/A")</f>
        <v>#N/A</v>
      </c>
      <c r="H7585" s="4" t="str">
        <v/>
      </c>
      <c r="I7585" s="4" t="str">
        <v/>
      </c>
    </row>
    <row r="7586" spans="5:9" ht="16.5" hidden="1">
      <c r="E7586" s="4" t="str">
        <v/>
      </c>
      <c r="F7586" s="102" t="str">
        <f ca="1">IFERROR(__xludf.DUMMYFUNCTION("IMPORTRANGE(H7586,""IDENTITAS UNIT!D9"")"),"#N/A")</f>
        <v>#N/A</v>
      </c>
      <c r="H7586" s="4" t="str">
        <v/>
      </c>
      <c r="I7586" s="4" t="str">
        <v/>
      </c>
    </row>
    <row r="7587" spans="5:9" ht="16.5" hidden="1">
      <c r="E7587" s="4" t="str">
        <v/>
      </c>
      <c r="F7587" s="102" t="str">
        <f ca="1">IFERROR(__xludf.DUMMYFUNCTION("IMPORTRANGE(H7587,""IDENTITAS UNIT!D9"")"),"#N/A")</f>
        <v>#N/A</v>
      </c>
      <c r="H7587" s="4" t="str">
        <v/>
      </c>
      <c r="I7587" s="4" t="str">
        <v/>
      </c>
    </row>
    <row r="7588" spans="5:9" ht="16.5" hidden="1">
      <c r="E7588" s="4" t="str">
        <v/>
      </c>
      <c r="F7588" s="102" t="str">
        <f ca="1">IFERROR(__xludf.DUMMYFUNCTION("IMPORTRANGE(H7588,""IDENTITAS UNIT!D9"")"),"#N/A")</f>
        <v>#N/A</v>
      </c>
      <c r="H7588" s="4" t="str">
        <v/>
      </c>
      <c r="I7588" s="4" t="str">
        <v/>
      </c>
    </row>
    <row r="7589" spans="5:9" ht="16.5" hidden="1">
      <c r="E7589" s="4" t="str">
        <v/>
      </c>
      <c r="F7589" s="102" t="str">
        <f ca="1">IFERROR(__xludf.DUMMYFUNCTION("IMPORTRANGE(H7589,""IDENTITAS UNIT!D9"")"),"#N/A")</f>
        <v>#N/A</v>
      </c>
      <c r="H7589" s="4" t="str">
        <v/>
      </c>
      <c r="I7589" s="4" t="str">
        <v/>
      </c>
    </row>
    <row r="7590" spans="5:9" ht="16.5" hidden="1">
      <c r="E7590" s="4" t="str">
        <v/>
      </c>
      <c r="F7590" s="102" t="str">
        <f ca="1">IFERROR(__xludf.DUMMYFUNCTION("IMPORTRANGE(H7590,""IDENTITAS UNIT!D9"")"),"#N/A")</f>
        <v>#N/A</v>
      </c>
      <c r="H7590" s="4" t="str">
        <v/>
      </c>
      <c r="I7590" s="4" t="str">
        <v/>
      </c>
    </row>
    <row r="7591" spans="5:9" ht="16.5" hidden="1">
      <c r="E7591" s="4" t="str">
        <v/>
      </c>
      <c r="F7591" s="102" t="str">
        <f ca="1">IFERROR(__xludf.DUMMYFUNCTION("IMPORTRANGE(H7591,""IDENTITAS UNIT!D9"")"),"#N/A")</f>
        <v>#N/A</v>
      </c>
      <c r="H7591" s="4" t="str">
        <v/>
      </c>
      <c r="I7591" s="4" t="str">
        <v/>
      </c>
    </row>
    <row r="7592" spans="5:9" ht="16.5" hidden="1">
      <c r="E7592" s="4" t="str">
        <v/>
      </c>
      <c r="F7592" s="102" t="str">
        <f ca="1">IFERROR(__xludf.DUMMYFUNCTION("IMPORTRANGE(H7592,""IDENTITAS UNIT!D9"")"),"#N/A")</f>
        <v>#N/A</v>
      </c>
      <c r="H7592" s="4" t="str">
        <v/>
      </c>
      <c r="I7592" s="4" t="str">
        <v/>
      </c>
    </row>
    <row r="7593" spans="5:9" ht="16.5" hidden="1">
      <c r="E7593" s="4" t="str">
        <v/>
      </c>
      <c r="F7593" s="102" t="str">
        <f ca="1">IFERROR(__xludf.DUMMYFUNCTION("IMPORTRANGE(H7593,""IDENTITAS UNIT!D9"")"),"#N/A")</f>
        <v>#N/A</v>
      </c>
      <c r="H7593" s="4" t="str">
        <v/>
      </c>
      <c r="I7593" s="4" t="str">
        <v/>
      </c>
    </row>
    <row r="7594" spans="5:9" ht="16.5" hidden="1">
      <c r="E7594" s="4" t="str">
        <v/>
      </c>
      <c r="F7594" s="102" t="str">
        <f ca="1">IFERROR(__xludf.DUMMYFUNCTION("IMPORTRANGE(H7594,""IDENTITAS UNIT!D9"")"),"#N/A")</f>
        <v>#N/A</v>
      </c>
      <c r="H7594" s="4" t="str">
        <v/>
      </c>
      <c r="I7594" s="4" t="str">
        <v/>
      </c>
    </row>
    <row r="7595" spans="5:9" ht="16.5" hidden="1">
      <c r="E7595" s="4" t="str">
        <v/>
      </c>
      <c r="F7595" s="102" t="str">
        <f ca="1">IFERROR(__xludf.DUMMYFUNCTION("IMPORTRANGE(H7595,""IDENTITAS UNIT!D9"")"),"#N/A")</f>
        <v>#N/A</v>
      </c>
      <c r="H7595" s="4" t="str">
        <v/>
      </c>
      <c r="I7595" s="4" t="str">
        <v/>
      </c>
    </row>
    <row r="7596" spans="5:9" ht="16.5" hidden="1">
      <c r="E7596" s="4" t="str">
        <v/>
      </c>
      <c r="F7596" s="102" t="str">
        <f ca="1">IFERROR(__xludf.DUMMYFUNCTION("IMPORTRANGE(H7596,""IDENTITAS UNIT!D9"")"),"#N/A")</f>
        <v>#N/A</v>
      </c>
      <c r="H7596" s="4" t="str">
        <v/>
      </c>
      <c r="I7596" s="4" t="str">
        <v/>
      </c>
    </row>
    <row r="7597" spans="5:9" ht="16.5" hidden="1">
      <c r="E7597" s="4" t="str">
        <v/>
      </c>
      <c r="F7597" s="102" t="str">
        <f ca="1">IFERROR(__xludf.DUMMYFUNCTION("IMPORTRANGE(H7597,""IDENTITAS UNIT!D9"")"),"#N/A")</f>
        <v>#N/A</v>
      </c>
      <c r="H7597" s="4" t="str">
        <v/>
      </c>
      <c r="I7597" s="4" t="str">
        <v/>
      </c>
    </row>
    <row r="7598" spans="5:9" ht="16.5" hidden="1">
      <c r="E7598" s="4" t="str">
        <v/>
      </c>
      <c r="F7598" s="102" t="str">
        <f ca="1">IFERROR(__xludf.DUMMYFUNCTION("IMPORTRANGE(H7598,""IDENTITAS UNIT!D9"")"),"#N/A")</f>
        <v>#N/A</v>
      </c>
      <c r="H7598" s="4" t="str">
        <v/>
      </c>
      <c r="I7598" s="4" t="str">
        <v/>
      </c>
    </row>
    <row r="7599" spans="5:9" ht="16.5" hidden="1">
      <c r="E7599" s="4" t="str">
        <v/>
      </c>
      <c r="F7599" s="102" t="str">
        <f ca="1">IFERROR(__xludf.DUMMYFUNCTION("IMPORTRANGE(H7599,""IDENTITAS UNIT!D9"")"),"#N/A")</f>
        <v>#N/A</v>
      </c>
      <c r="H7599" s="4" t="str">
        <v/>
      </c>
      <c r="I7599" s="4" t="str">
        <v/>
      </c>
    </row>
    <row r="7600" spans="5:9" ht="16.5" hidden="1">
      <c r="E7600" s="4" t="str">
        <v/>
      </c>
      <c r="F7600" s="102" t="str">
        <f ca="1">IFERROR(__xludf.DUMMYFUNCTION("IMPORTRANGE(H7600,""IDENTITAS UNIT!D9"")"),"#N/A")</f>
        <v>#N/A</v>
      </c>
      <c r="H7600" s="4" t="str">
        <v/>
      </c>
      <c r="I7600" s="4" t="str">
        <v/>
      </c>
    </row>
    <row r="7601" spans="5:9" ht="16.5" hidden="1">
      <c r="E7601" s="4" t="str">
        <v/>
      </c>
      <c r="F7601" s="102" t="str">
        <f ca="1">IFERROR(__xludf.DUMMYFUNCTION("IMPORTRANGE(H7601,""IDENTITAS UNIT!D9"")"),"#N/A")</f>
        <v>#N/A</v>
      </c>
      <c r="H7601" s="4" t="str">
        <v/>
      </c>
      <c r="I7601" s="4" t="str">
        <v/>
      </c>
    </row>
    <row r="7602" spans="5:9" ht="16.5" hidden="1">
      <c r="E7602" s="4" t="str">
        <v/>
      </c>
      <c r="F7602" s="102" t="str">
        <f ca="1">IFERROR(__xludf.DUMMYFUNCTION("IMPORTRANGE(H7602,""IDENTITAS UNIT!D9"")"),"#N/A")</f>
        <v>#N/A</v>
      </c>
      <c r="H7602" s="4" t="str">
        <v/>
      </c>
      <c r="I7602" s="4" t="str">
        <v/>
      </c>
    </row>
    <row r="7603" spans="5:9" ht="16.5" hidden="1">
      <c r="E7603" s="4" t="str">
        <v/>
      </c>
      <c r="F7603" s="102" t="str">
        <f ca="1">IFERROR(__xludf.DUMMYFUNCTION("IMPORTRANGE(H7603,""IDENTITAS UNIT!D9"")"),"#N/A")</f>
        <v>#N/A</v>
      </c>
      <c r="H7603" s="4" t="str">
        <v/>
      </c>
      <c r="I7603" s="4" t="str">
        <v/>
      </c>
    </row>
    <row r="7604" spans="5:9" ht="16.5" hidden="1">
      <c r="E7604" s="4" t="str">
        <v/>
      </c>
      <c r="F7604" s="102" t="str">
        <f ca="1">IFERROR(__xludf.DUMMYFUNCTION("IMPORTRANGE(H7604,""IDENTITAS UNIT!D9"")"),"#N/A")</f>
        <v>#N/A</v>
      </c>
      <c r="H7604" s="4" t="str">
        <v/>
      </c>
      <c r="I7604" s="4" t="str">
        <v/>
      </c>
    </row>
    <row r="7605" spans="5:9" ht="16.5" hidden="1">
      <c r="E7605" s="4" t="str">
        <v/>
      </c>
      <c r="F7605" s="102" t="str">
        <f ca="1">IFERROR(__xludf.DUMMYFUNCTION("IMPORTRANGE(H7605,""IDENTITAS UNIT!D9"")"),"#N/A")</f>
        <v>#N/A</v>
      </c>
      <c r="H7605" s="4" t="str">
        <v/>
      </c>
      <c r="I7605" s="4" t="str">
        <v/>
      </c>
    </row>
    <row r="7606" spans="5:9" ht="16.5" hidden="1">
      <c r="E7606" s="4" t="str">
        <v/>
      </c>
      <c r="F7606" s="102" t="str">
        <f ca="1">IFERROR(__xludf.DUMMYFUNCTION("IMPORTRANGE(H7606,""IDENTITAS UNIT!D9"")"),"#N/A")</f>
        <v>#N/A</v>
      </c>
      <c r="H7606" s="4" t="str">
        <v/>
      </c>
      <c r="I7606" s="4" t="str">
        <v/>
      </c>
    </row>
    <row r="7607" spans="5:9" ht="16.5" hidden="1">
      <c r="E7607" s="4" t="str">
        <v/>
      </c>
      <c r="F7607" s="102" t="str">
        <f ca="1">IFERROR(__xludf.DUMMYFUNCTION("IMPORTRANGE(H7607,""IDENTITAS UNIT!D9"")"),"#N/A")</f>
        <v>#N/A</v>
      </c>
      <c r="H7607" s="4" t="str">
        <v/>
      </c>
      <c r="I7607" s="4" t="str">
        <v/>
      </c>
    </row>
    <row r="7608" spans="5:9" ht="16.5" hidden="1">
      <c r="E7608" s="4" t="str">
        <v/>
      </c>
      <c r="F7608" s="102" t="str">
        <f ca="1">IFERROR(__xludf.DUMMYFUNCTION("IMPORTRANGE(H7608,""IDENTITAS UNIT!D9"")"),"#N/A")</f>
        <v>#N/A</v>
      </c>
      <c r="H7608" s="4" t="str">
        <v/>
      </c>
      <c r="I7608" s="4" t="str">
        <v/>
      </c>
    </row>
    <row r="7609" spans="5:9" ht="16.5" hidden="1">
      <c r="E7609" s="4" t="str">
        <v/>
      </c>
      <c r="F7609" s="102" t="str">
        <f ca="1">IFERROR(__xludf.DUMMYFUNCTION("IMPORTRANGE(H7609,""IDENTITAS UNIT!D9"")"),"#N/A")</f>
        <v>#N/A</v>
      </c>
      <c r="H7609" s="4" t="str">
        <v/>
      </c>
      <c r="I7609" s="4" t="str">
        <v/>
      </c>
    </row>
    <row r="7610" spans="5:9" ht="16.5" hidden="1">
      <c r="E7610" s="4" t="str">
        <v/>
      </c>
      <c r="F7610" s="102" t="str">
        <f ca="1">IFERROR(__xludf.DUMMYFUNCTION("IMPORTRANGE(H7610,""IDENTITAS UNIT!D9"")"),"#N/A")</f>
        <v>#N/A</v>
      </c>
      <c r="H7610" s="4" t="str">
        <v/>
      </c>
      <c r="I7610" s="4" t="str">
        <v/>
      </c>
    </row>
    <row r="7611" spans="5:9" ht="16.5" hidden="1">
      <c r="E7611" s="4" t="str">
        <v/>
      </c>
      <c r="F7611" s="102" t="str">
        <f ca="1">IFERROR(__xludf.DUMMYFUNCTION("IMPORTRANGE(H7611,""IDENTITAS UNIT!D9"")"),"#N/A")</f>
        <v>#N/A</v>
      </c>
      <c r="H7611" s="4" t="str">
        <v/>
      </c>
      <c r="I7611" s="4" t="str">
        <v/>
      </c>
    </row>
    <row r="7612" spans="5:9" ht="16.5" hidden="1">
      <c r="E7612" s="4" t="str">
        <v/>
      </c>
      <c r="F7612" s="102" t="str">
        <f ca="1">IFERROR(__xludf.DUMMYFUNCTION("IMPORTRANGE(H7612,""IDENTITAS UNIT!D9"")"),"#N/A")</f>
        <v>#N/A</v>
      </c>
      <c r="H7612" s="4" t="str">
        <v/>
      </c>
      <c r="I7612" s="4" t="str">
        <v/>
      </c>
    </row>
    <row r="7613" spans="5:9" ht="16.5" hidden="1">
      <c r="E7613" s="4" t="str">
        <v/>
      </c>
      <c r="F7613" s="102" t="str">
        <f ca="1">IFERROR(__xludf.DUMMYFUNCTION("IMPORTRANGE(H7613,""IDENTITAS UNIT!D9"")"),"#N/A")</f>
        <v>#N/A</v>
      </c>
      <c r="H7613" s="4" t="str">
        <v/>
      </c>
      <c r="I7613" s="4" t="str">
        <v/>
      </c>
    </row>
    <row r="7614" spans="5:9" ht="16.5" hidden="1">
      <c r="E7614" s="4" t="str">
        <v/>
      </c>
      <c r="F7614" s="102" t="str">
        <f ca="1">IFERROR(__xludf.DUMMYFUNCTION("IMPORTRANGE(H7614,""IDENTITAS UNIT!D9"")"),"#N/A")</f>
        <v>#N/A</v>
      </c>
      <c r="H7614" s="4" t="str">
        <v/>
      </c>
      <c r="I7614" s="4" t="str">
        <v/>
      </c>
    </row>
    <row r="7615" spans="5:9" ht="16.5" hidden="1">
      <c r="E7615" s="4" t="str">
        <v/>
      </c>
      <c r="F7615" s="102" t="str">
        <f ca="1">IFERROR(__xludf.DUMMYFUNCTION("IMPORTRANGE(H7615,""IDENTITAS UNIT!D9"")"),"#N/A")</f>
        <v>#N/A</v>
      </c>
      <c r="H7615" s="4" t="str">
        <v/>
      </c>
      <c r="I7615" s="4" t="str">
        <v/>
      </c>
    </row>
    <row r="7616" spans="5:9" ht="16.5" hidden="1">
      <c r="E7616" s="4" t="str">
        <v/>
      </c>
      <c r="F7616" s="102" t="str">
        <f ca="1">IFERROR(__xludf.DUMMYFUNCTION("IMPORTRANGE(H7616,""IDENTITAS UNIT!D9"")"),"#N/A")</f>
        <v>#N/A</v>
      </c>
      <c r="H7616" s="4" t="str">
        <v/>
      </c>
      <c r="I7616" s="4" t="str">
        <v/>
      </c>
    </row>
    <row r="7617" spans="5:9" ht="16.5" hidden="1">
      <c r="E7617" s="4" t="str">
        <v/>
      </c>
      <c r="F7617" s="102" t="str">
        <f ca="1">IFERROR(__xludf.DUMMYFUNCTION("IMPORTRANGE(H7617,""IDENTITAS UNIT!D9"")"),"#N/A")</f>
        <v>#N/A</v>
      </c>
      <c r="H7617" s="4" t="str">
        <v/>
      </c>
      <c r="I7617" s="4" t="str">
        <v/>
      </c>
    </row>
    <row r="7618" spans="5:9" ht="16.5" hidden="1">
      <c r="E7618" s="4" t="str">
        <v/>
      </c>
      <c r="F7618" s="102" t="str">
        <f ca="1">IFERROR(__xludf.DUMMYFUNCTION("IMPORTRANGE(H7618,""IDENTITAS UNIT!D9"")"),"#N/A")</f>
        <v>#N/A</v>
      </c>
      <c r="H7618" s="4" t="str">
        <v/>
      </c>
      <c r="I7618" s="4" t="str">
        <v/>
      </c>
    </row>
    <row r="7619" spans="5:9" ht="16.5" hidden="1">
      <c r="E7619" s="4" t="str">
        <v/>
      </c>
      <c r="F7619" s="102" t="str">
        <f ca="1">IFERROR(__xludf.DUMMYFUNCTION("IMPORTRANGE(H7619,""IDENTITAS UNIT!D9"")"),"#N/A")</f>
        <v>#N/A</v>
      </c>
      <c r="H7619" s="4" t="str">
        <v/>
      </c>
      <c r="I7619" s="4" t="str">
        <v/>
      </c>
    </row>
    <row r="7620" spans="5:9" ht="16.5" hidden="1">
      <c r="E7620" s="4" t="str">
        <v/>
      </c>
      <c r="F7620" s="102" t="str">
        <f ca="1">IFERROR(__xludf.DUMMYFUNCTION("IMPORTRANGE(H7620,""IDENTITAS UNIT!D9"")"),"#N/A")</f>
        <v>#N/A</v>
      </c>
      <c r="H7620" s="4" t="str">
        <v/>
      </c>
      <c r="I7620" s="4" t="str">
        <v/>
      </c>
    </row>
    <row r="7621" spans="5:9" ht="16.5" hidden="1">
      <c r="E7621" s="4" t="str">
        <v/>
      </c>
      <c r="F7621" s="102" t="str">
        <f ca="1">IFERROR(__xludf.DUMMYFUNCTION("IMPORTRANGE(H7621,""IDENTITAS UNIT!D9"")"),"#N/A")</f>
        <v>#N/A</v>
      </c>
      <c r="H7621" s="4" t="str">
        <v/>
      </c>
      <c r="I7621" s="4" t="str">
        <v/>
      </c>
    </row>
    <row r="7622" spans="5:9" ht="16.5" hidden="1">
      <c r="E7622" s="4" t="str">
        <v/>
      </c>
      <c r="F7622" s="102" t="str">
        <f ca="1">IFERROR(__xludf.DUMMYFUNCTION("IMPORTRANGE(H7622,""IDENTITAS UNIT!D9"")"),"#N/A")</f>
        <v>#N/A</v>
      </c>
      <c r="H7622" s="4" t="str">
        <v/>
      </c>
      <c r="I7622" s="4" t="str">
        <v/>
      </c>
    </row>
    <row r="7623" spans="5:9" ht="16.5" hidden="1">
      <c r="E7623" s="4" t="str">
        <v/>
      </c>
      <c r="F7623" s="102" t="str">
        <f ca="1">IFERROR(__xludf.DUMMYFUNCTION("IMPORTRANGE(H7623,""IDENTITAS UNIT!D9"")"),"#N/A")</f>
        <v>#N/A</v>
      </c>
      <c r="H7623" s="4" t="str">
        <v/>
      </c>
      <c r="I7623" s="4" t="str">
        <v/>
      </c>
    </row>
    <row r="7624" spans="5:9" ht="16.5" hidden="1">
      <c r="E7624" s="4" t="str">
        <v/>
      </c>
      <c r="F7624" s="102" t="str">
        <f ca="1">IFERROR(__xludf.DUMMYFUNCTION("IMPORTRANGE(H7624,""IDENTITAS UNIT!D9"")"),"#N/A")</f>
        <v>#N/A</v>
      </c>
      <c r="H7624" s="4" t="str">
        <v/>
      </c>
      <c r="I7624" s="4" t="str">
        <v/>
      </c>
    </row>
    <row r="7625" spans="5:9" ht="16.5" hidden="1">
      <c r="E7625" s="4" t="str">
        <v/>
      </c>
      <c r="F7625" s="102" t="str">
        <f ca="1">IFERROR(__xludf.DUMMYFUNCTION("IMPORTRANGE(H7625,""IDENTITAS UNIT!D9"")"),"#N/A")</f>
        <v>#N/A</v>
      </c>
      <c r="H7625" s="4" t="str">
        <v/>
      </c>
      <c r="I7625" s="4" t="str">
        <v/>
      </c>
    </row>
    <row r="7626" spans="5:9" ht="16.5" hidden="1">
      <c r="E7626" s="4" t="str">
        <v/>
      </c>
      <c r="F7626" s="102" t="str">
        <f ca="1">IFERROR(__xludf.DUMMYFUNCTION("IMPORTRANGE(H7626,""IDENTITAS UNIT!D9"")"),"#N/A")</f>
        <v>#N/A</v>
      </c>
      <c r="H7626" s="4" t="str">
        <v/>
      </c>
      <c r="I7626" s="4" t="str">
        <v/>
      </c>
    </row>
    <row r="7627" spans="5:9" ht="16.5" hidden="1">
      <c r="E7627" s="4" t="str">
        <v/>
      </c>
      <c r="F7627" s="102" t="str">
        <f ca="1">IFERROR(__xludf.DUMMYFUNCTION("IMPORTRANGE(H7627,""IDENTITAS UNIT!D9"")"),"#N/A")</f>
        <v>#N/A</v>
      </c>
      <c r="H7627" s="4" t="str">
        <v/>
      </c>
      <c r="I7627" s="4" t="str">
        <v/>
      </c>
    </row>
    <row r="7628" spans="5:9" ht="16.5" hidden="1">
      <c r="E7628" s="4" t="str">
        <v/>
      </c>
      <c r="F7628" s="102" t="str">
        <f ca="1">IFERROR(__xludf.DUMMYFUNCTION("IMPORTRANGE(H7628,""IDENTITAS UNIT!D9"")"),"#N/A")</f>
        <v>#N/A</v>
      </c>
      <c r="H7628" s="4" t="str">
        <v/>
      </c>
      <c r="I7628" s="4" t="str">
        <v/>
      </c>
    </row>
    <row r="7629" spans="5:9" ht="16.5" hidden="1">
      <c r="E7629" s="4" t="str">
        <v/>
      </c>
      <c r="F7629" s="102" t="str">
        <f ca="1">IFERROR(__xludf.DUMMYFUNCTION("IMPORTRANGE(H7629,""IDENTITAS UNIT!D9"")"),"#N/A")</f>
        <v>#N/A</v>
      </c>
      <c r="H7629" s="4" t="str">
        <v/>
      </c>
      <c r="I7629" s="4" t="str">
        <v/>
      </c>
    </row>
    <row r="7630" spans="5:9" ht="16.5" hidden="1">
      <c r="E7630" s="4" t="str">
        <v/>
      </c>
      <c r="F7630" s="102" t="str">
        <f ca="1">IFERROR(__xludf.DUMMYFUNCTION("IMPORTRANGE(H7630,""IDENTITAS UNIT!D9"")"),"#N/A")</f>
        <v>#N/A</v>
      </c>
      <c r="H7630" s="4" t="str">
        <v/>
      </c>
      <c r="I7630" s="4" t="str">
        <v/>
      </c>
    </row>
    <row r="7631" spans="5:9" ht="16.5" hidden="1">
      <c r="E7631" s="4" t="str">
        <v/>
      </c>
      <c r="F7631" s="102" t="str">
        <f ca="1">IFERROR(__xludf.DUMMYFUNCTION("IMPORTRANGE(H7631,""IDENTITAS UNIT!D9"")"),"#N/A")</f>
        <v>#N/A</v>
      </c>
      <c r="H7631" s="4" t="str">
        <v/>
      </c>
      <c r="I7631" s="4" t="str">
        <v/>
      </c>
    </row>
    <row r="7632" spans="5:9" ht="16.5" hidden="1">
      <c r="E7632" s="4" t="str">
        <v/>
      </c>
      <c r="F7632" s="102" t="str">
        <f ca="1">IFERROR(__xludf.DUMMYFUNCTION("IMPORTRANGE(H7632,""IDENTITAS UNIT!D9"")"),"#N/A")</f>
        <v>#N/A</v>
      </c>
      <c r="H7632" s="4" t="str">
        <v/>
      </c>
      <c r="I7632" s="4" t="str">
        <v/>
      </c>
    </row>
    <row r="7633" spans="5:9" ht="16.5" hidden="1">
      <c r="E7633" s="4" t="str">
        <v/>
      </c>
      <c r="F7633" s="102" t="str">
        <f ca="1">IFERROR(__xludf.DUMMYFUNCTION("IMPORTRANGE(H7633,""IDENTITAS UNIT!D9"")"),"#N/A")</f>
        <v>#N/A</v>
      </c>
      <c r="H7633" s="4" t="str">
        <v/>
      </c>
      <c r="I7633" s="4" t="str">
        <v/>
      </c>
    </row>
    <row r="7634" spans="5:9" ht="16.5" hidden="1">
      <c r="E7634" s="4" t="str">
        <v/>
      </c>
      <c r="F7634" s="102" t="str">
        <f ca="1">IFERROR(__xludf.DUMMYFUNCTION("IMPORTRANGE(H7634,""IDENTITAS UNIT!D9"")"),"#N/A")</f>
        <v>#N/A</v>
      </c>
      <c r="H7634" s="4" t="str">
        <v/>
      </c>
      <c r="I7634" s="4" t="str">
        <v/>
      </c>
    </row>
    <row r="7635" spans="5:9" ht="16.5" hidden="1">
      <c r="E7635" s="4" t="str">
        <v/>
      </c>
      <c r="F7635" s="102" t="str">
        <f ca="1">IFERROR(__xludf.DUMMYFUNCTION("IMPORTRANGE(H7635,""IDENTITAS UNIT!D9"")"),"#N/A")</f>
        <v>#N/A</v>
      </c>
      <c r="H7635" s="4" t="str">
        <v/>
      </c>
      <c r="I7635" s="4" t="str">
        <v/>
      </c>
    </row>
    <row r="7636" spans="5:9" ht="16.5" hidden="1">
      <c r="E7636" s="4" t="str">
        <v/>
      </c>
      <c r="F7636" s="102" t="str">
        <f ca="1">IFERROR(__xludf.DUMMYFUNCTION("IMPORTRANGE(H7636,""IDENTITAS UNIT!D9"")"),"#N/A")</f>
        <v>#N/A</v>
      </c>
      <c r="H7636" s="4" t="str">
        <v/>
      </c>
      <c r="I7636" s="4" t="str">
        <v/>
      </c>
    </row>
    <row r="7637" spans="5:9" ht="16.5" hidden="1">
      <c r="E7637" s="4" t="str">
        <v/>
      </c>
      <c r="F7637" s="102" t="str">
        <f ca="1">IFERROR(__xludf.DUMMYFUNCTION("IMPORTRANGE(H7637,""IDENTITAS UNIT!D9"")"),"#N/A")</f>
        <v>#N/A</v>
      </c>
      <c r="H7637" s="4" t="str">
        <v/>
      </c>
      <c r="I7637" s="4" t="str">
        <v/>
      </c>
    </row>
    <row r="7638" spans="5:9" ht="16.5" hidden="1">
      <c r="E7638" s="4" t="str">
        <v/>
      </c>
      <c r="F7638" s="102" t="str">
        <f ca="1">IFERROR(__xludf.DUMMYFUNCTION("IMPORTRANGE(H7638,""IDENTITAS UNIT!D9"")"),"#N/A")</f>
        <v>#N/A</v>
      </c>
      <c r="H7638" s="4" t="str">
        <v/>
      </c>
      <c r="I7638" s="4" t="str">
        <v/>
      </c>
    </row>
    <row r="7639" spans="5:9" ht="16.5" hidden="1">
      <c r="E7639" s="4" t="str">
        <v/>
      </c>
      <c r="F7639" s="102" t="str">
        <f ca="1">IFERROR(__xludf.DUMMYFUNCTION("IMPORTRANGE(H7639,""IDENTITAS UNIT!D9"")"),"#N/A")</f>
        <v>#N/A</v>
      </c>
      <c r="H7639" s="4" t="str">
        <v/>
      </c>
      <c r="I7639" s="4" t="str">
        <v/>
      </c>
    </row>
    <row r="7640" spans="5:9" ht="16.5" hidden="1">
      <c r="E7640" s="4" t="str">
        <v/>
      </c>
      <c r="F7640" s="102" t="str">
        <f ca="1">IFERROR(__xludf.DUMMYFUNCTION("IMPORTRANGE(H7640,""IDENTITAS UNIT!D9"")"),"#N/A")</f>
        <v>#N/A</v>
      </c>
      <c r="H7640" s="4" t="str">
        <v/>
      </c>
      <c r="I7640" s="4" t="str">
        <v/>
      </c>
    </row>
    <row r="7641" spans="5:9" ht="16.5" hidden="1">
      <c r="E7641" s="4" t="str">
        <v/>
      </c>
      <c r="F7641" s="102" t="str">
        <f ca="1">IFERROR(__xludf.DUMMYFUNCTION("IMPORTRANGE(H7641,""IDENTITAS UNIT!D9"")"),"#N/A")</f>
        <v>#N/A</v>
      </c>
      <c r="H7641" s="4" t="str">
        <v/>
      </c>
      <c r="I7641" s="4" t="str">
        <v/>
      </c>
    </row>
    <row r="7642" spans="5:9" ht="16.5" hidden="1">
      <c r="E7642" s="4" t="str">
        <v/>
      </c>
      <c r="F7642" s="102" t="str">
        <f ca="1">IFERROR(__xludf.DUMMYFUNCTION("IMPORTRANGE(H7642,""IDENTITAS UNIT!D9"")"),"#N/A")</f>
        <v>#N/A</v>
      </c>
      <c r="H7642" s="4" t="str">
        <v/>
      </c>
      <c r="I7642" s="4" t="str">
        <v/>
      </c>
    </row>
    <row r="7643" spans="5:9" ht="16.5" hidden="1">
      <c r="E7643" s="4" t="str">
        <v/>
      </c>
      <c r="F7643" s="102" t="str">
        <f ca="1">IFERROR(__xludf.DUMMYFUNCTION("IMPORTRANGE(H7643,""IDENTITAS UNIT!D9"")"),"#N/A")</f>
        <v>#N/A</v>
      </c>
      <c r="H7643" s="4" t="str">
        <v/>
      </c>
      <c r="I7643" s="4" t="str">
        <v/>
      </c>
    </row>
    <row r="7644" spans="5:9" ht="16.5" hidden="1">
      <c r="E7644" s="4" t="str">
        <v/>
      </c>
      <c r="F7644" s="102" t="str">
        <f ca="1">IFERROR(__xludf.DUMMYFUNCTION("IMPORTRANGE(H7644,""IDENTITAS UNIT!D9"")"),"#N/A")</f>
        <v>#N/A</v>
      </c>
      <c r="H7644" s="4" t="str">
        <v/>
      </c>
      <c r="I7644" s="4" t="str">
        <v/>
      </c>
    </row>
    <row r="7645" spans="5:9" ht="16.5" hidden="1">
      <c r="E7645" s="4" t="str">
        <v/>
      </c>
      <c r="F7645" s="102" t="str">
        <f ca="1">IFERROR(__xludf.DUMMYFUNCTION("IMPORTRANGE(H7645,""IDENTITAS UNIT!D9"")"),"#N/A")</f>
        <v>#N/A</v>
      </c>
      <c r="H7645" s="4" t="str">
        <v/>
      </c>
      <c r="I7645" s="4" t="str">
        <v/>
      </c>
    </row>
    <row r="7646" spans="5:9" ht="16.5" hidden="1">
      <c r="E7646" s="4" t="str">
        <v/>
      </c>
      <c r="F7646" s="102" t="str">
        <f ca="1">IFERROR(__xludf.DUMMYFUNCTION("IMPORTRANGE(H7646,""IDENTITAS UNIT!D9"")"),"#N/A")</f>
        <v>#N/A</v>
      </c>
      <c r="H7646" s="4" t="str">
        <v/>
      </c>
      <c r="I7646" s="4" t="str">
        <v/>
      </c>
    </row>
    <row r="7647" spans="5:9" ht="16.5" hidden="1">
      <c r="E7647" s="4" t="str">
        <v/>
      </c>
      <c r="F7647" s="102" t="str">
        <f ca="1">IFERROR(__xludf.DUMMYFUNCTION("IMPORTRANGE(H7647,""IDENTITAS UNIT!D9"")"),"#N/A")</f>
        <v>#N/A</v>
      </c>
      <c r="H7647" s="4" t="str">
        <v/>
      </c>
      <c r="I7647" s="4" t="str">
        <v/>
      </c>
    </row>
    <row r="7648" spans="5:9" ht="16.5" hidden="1">
      <c r="E7648" s="4" t="str">
        <v/>
      </c>
      <c r="F7648" s="102" t="str">
        <f ca="1">IFERROR(__xludf.DUMMYFUNCTION("IMPORTRANGE(H7648,""IDENTITAS UNIT!D9"")"),"#N/A")</f>
        <v>#N/A</v>
      </c>
      <c r="H7648" s="4" t="str">
        <v/>
      </c>
      <c r="I7648" s="4" t="str">
        <v/>
      </c>
    </row>
    <row r="7649" spans="5:9" ht="16.5" hidden="1">
      <c r="E7649" s="4" t="str">
        <v/>
      </c>
      <c r="F7649" s="102" t="str">
        <f ca="1">IFERROR(__xludf.DUMMYFUNCTION("IMPORTRANGE(H7649,""IDENTITAS UNIT!D9"")"),"#N/A")</f>
        <v>#N/A</v>
      </c>
      <c r="H7649" s="4" t="str">
        <v/>
      </c>
      <c r="I7649" s="4" t="str">
        <v/>
      </c>
    </row>
    <row r="7650" spans="5:9" ht="16.5" hidden="1">
      <c r="E7650" s="4" t="str">
        <v/>
      </c>
      <c r="F7650" s="102" t="str">
        <f ca="1">IFERROR(__xludf.DUMMYFUNCTION("IMPORTRANGE(H7650,""IDENTITAS UNIT!D9"")"),"#N/A")</f>
        <v>#N/A</v>
      </c>
      <c r="H7650" s="4" t="str">
        <v/>
      </c>
      <c r="I7650" s="4" t="str">
        <v/>
      </c>
    </row>
    <row r="7651" spans="5:9" ht="16.5" hidden="1">
      <c r="E7651" s="4" t="str">
        <v/>
      </c>
      <c r="F7651" s="102" t="str">
        <f ca="1">IFERROR(__xludf.DUMMYFUNCTION("IMPORTRANGE(H7651,""IDENTITAS UNIT!D9"")"),"#N/A")</f>
        <v>#N/A</v>
      </c>
      <c r="H7651" s="4" t="str">
        <v/>
      </c>
      <c r="I7651" s="4" t="str">
        <v/>
      </c>
    </row>
    <row r="7652" spans="5:9" ht="16.5" hidden="1">
      <c r="E7652" s="4" t="str">
        <v/>
      </c>
      <c r="F7652" s="102" t="str">
        <f ca="1">IFERROR(__xludf.DUMMYFUNCTION("IMPORTRANGE(H7652,""IDENTITAS UNIT!D9"")"),"#N/A")</f>
        <v>#N/A</v>
      </c>
      <c r="H7652" s="4" t="str">
        <v/>
      </c>
      <c r="I7652" s="4" t="str">
        <v/>
      </c>
    </row>
    <row r="7653" spans="5:9" ht="16.5" hidden="1">
      <c r="E7653" s="4" t="str">
        <v/>
      </c>
      <c r="F7653" s="102" t="str">
        <f ca="1">IFERROR(__xludf.DUMMYFUNCTION("IMPORTRANGE(H7653,""IDENTITAS UNIT!D9"")"),"#N/A")</f>
        <v>#N/A</v>
      </c>
      <c r="H7653" s="4" t="str">
        <v/>
      </c>
      <c r="I7653" s="4" t="str">
        <v/>
      </c>
    </row>
    <row r="7654" spans="5:9" ht="16.5" hidden="1">
      <c r="E7654" s="4" t="str">
        <v/>
      </c>
      <c r="F7654" s="102" t="str">
        <f ca="1">IFERROR(__xludf.DUMMYFUNCTION("IMPORTRANGE(H7654,""IDENTITAS UNIT!D9"")"),"#N/A")</f>
        <v>#N/A</v>
      </c>
      <c r="H7654" s="4" t="str">
        <v/>
      </c>
      <c r="I7654" s="4" t="str">
        <v/>
      </c>
    </row>
    <row r="7655" spans="5:9" ht="16.5" hidden="1">
      <c r="E7655" s="4" t="str">
        <v/>
      </c>
      <c r="F7655" s="102" t="str">
        <f ca="1">IFERROR(__xludf.DUMMYFUNCTION("IMPORTRANGE(H7655,""IDENTITAS UNIT!D9"")"),"#N/A")</f>
        <v>#N/A</v>
      </c>
      <c r="H7655" s="4" t="str">
        <v/>
      </c>
      <c r="I7655" s="4" t="str">
        <v/>
      </c>
    </row>
    <row r="7656" spans="5:9" ht="16.5" hidden="1">
      <c r="E7656" s="4" t="str">
        <v/>
      </c>
      <c r="F7656" s="102" t="str">
        <f ca="1">IFERROR(__xludf.DUMMYFUNCTION("IMPORTRANGE(H7656,""IDENTITAS UNIT!D9"")"),"#N/A")</f>
        <v>#N/A</v>
      </c>
      <c r="H7656" s="4" t="str">
        <v/>
      </c>
      <c r="I7656" s="4" t="str">
        <v/>
      </c>
    </row>
    <row r="7657" spans="5:9" ht="16.5" hidden="1">
      <c r="E7657" s="4" t="str">
        <v/>
      </c>
      <c r="F7657" s="102" t="str">
        <f ca="1">IFERROR(__xludf.DUMMYFUNCTION("IMPORTRANGE(H7657,""IDENTITAS UNIT!D9"")"),"#N/A")</f>
        <v>#N/A</v>
      </c>
      <c r="H7657" s="4" t="str">
        <v/>
      </c>
      <c r="I7657" s="4" t="str">
        <v/>
      </c>
    </row>
    <row r="7658" spans="5:9" ht="16.5" hidden="1">
      <c r="E7658" s="4" t="str">
        <v/>
      </c>
      <c r="F7658" s="102" t="str">
        <f ca="1">IFERROR(__xludf.DUMMYFUNCTION("IMPORTRANGE(H7658,""IDENTITAS UNIT!D9"")"),"#N/A")</f>
        <v>#N/A</v>
      </c>
      <c r="H7658" s="4" t="str">
        <v/>
      </c>
      <c r="I7658" s="4" t="str">
        <v/>
      </c>
    </row>
    <row r="7659" spans="5:9" ht="16.5" hidden="1">
      <c r="E7659" s="4" t="str">
        <v/>
      </c>
      <c r="F7659" s="102" t="str">
        <f ca="1">IFERROR(__xludf.DUMMYFUNCTION("IMPORTRANGE(H7659,""IDENTITAS UNIT!D9"")"),"#N/A")</f>
        <v>#N/A</v>
      </c>
      <c r="H7659" s="4" t="str">
        <v/>
      </c>
      <c r="I7659" s="4" t="str">
        <v/>
      </c>
    </row>
    <row r="7660" spans="5:9" ht="16.5" hidden="1">
      <c r="E7660" s="4" t="str">
        <v/>
      </c>
      <c r="F7660" s="102" t="str">
        <f ca="1">IFERROR(__xludf.DUMMYFUNCTION("IMPORTRANGE(H7660,""IDENTITAS UNIT!D9"")"),"#N/A")</f>
        <v>#N/A</v>
      </c>
      <c r="H7660" s="4" t="str">
        <v/>
      </c>
      <c r="I7660" s="4" t="str">
        <v/>
      </c>
    </row>
    <row r="7661" spans="5:9" ht="16.5" hidden="1">
      <c r="E7661" s="4" t="str">
        <v/>
      </c>
      <c r="F7661" s="102" t="str">
        <f ca="1">IFERROR(__xludf.DUMMYFUNCTION("IMPORTRANGE(H7661,""IDENTITAS UNIT!D9"")"),"#N/A")</f>
        <v>#N/A</v>
      </c>
      <c r="H7661" s="4" t="str">
        <v/>
      </c>
      <c r="I7661" s="4" t="str">
        <v/>
      </c>
    </row>
    <row r="7662" spans="5:9" ht="16.5" hidden="1">
      <c r="E7662" s="4" t="str">
        <v/>
      </c>
      <c r="F7662" s="102" t="str">
        <f ca="1">IFERROR(__xludf.DUMMYFUNCTION("IMPORTRANGE(H7662,""IDENTITAS UNIT!D9"")"),"#N/A")</f>
        <v>#N/A</v>
      </c>
      <c r="H7662" s="4" t="str">
        <v/>
      </c>
      <c r="I7662" s="4" t="str">
        <v/>
      </c>
    </row>
    <row r="7663" spans="5:9" ht="16.5" hidden="1">
      <c r="E7663" s="4" t="str">
        <v/>
      </c>
      <c r="F7663" s="102" t="str">
        <f ca="1">IFERROR(__xludf.DUMMYFUNCTION("IMPORTRANGE(H7663,""IDENTITAS UNIT!D9"")"),"#N/A")</f>
        <v>#N/A</v>
      </c>
      <c r="H7663" s="4" t="str">
        <v/>
      </c>
      <c r="I7663" s="4" t="str">
        <v/>
      </c>
    </row>
    <row r="7664" spans="5:9" ht="16.5" hidden="1">
      <c r="E7664" s="4" t="str">
        <v/>
      </c>
      <c r="F7664" s="102" t="str">
        <f ca="1">IFERROR(__xludf.DUMMYFUNCTION("IMPORTRANGE(H7664,""IDENTITAS UNIT!D9"")"),"#N/A")</f>
        <v>#N/A</v>
      </c>
      <c r="H7664" s="4" t="str">
        <v/>
      </c>
      <c r="I7664" s="4" t="str">
        <v/>
      </c>
    </row>
    <row r="7665" spans="5:9" ht="16.5" hidden="1">
      <c r="E7665" s="4" t="str">
        <v/>
      </c>
      <c r="F7665" s="102" t="str">
        <f ca="1">IFERROR(__xludf.DUMMYFUNCTION("IMPORTRANGE(H7665,""IDENTITAS UNIT!D9"")"),"#N/A")</f>
        <v>#N/A</v>
      </c>
      <c r="H7665" s="4" t="str">
        <v/>
      </c>
      <c r="I7665" s="4" t="str">
        <v/>
      </c>
    </row>
    <row r="7666" spans="5:9" ht="16.5" hidden="1">
      <c r="E7666" s="4" t="str">
        <v/>
      </c>
      <c r="F7666" s="102" t="str">
        <f ca="1">IFERROR(__xludf.DUMMYFUNCTION("IMPORTRANGE(H7666,""IDENTITAS UNIT!D9"")"),"#N/A")</f>
        <v>#N/A</v>
      </c>
      <c r="H7666" s="4" t="str">
        <v/>
      </c>
      <c r="I7666" s="4" t="str">
        <v/>
      </c>
    </row>
    <row r="7667" spans="5:9" ht="16.5" hidden="1">
      <c r="E7667" s="4" t="str">
        <v/>
      </c>
      <c r="F7667" s="102" t="str">
        <f ca="1">IFERROR(__xludf.DUMMYFUNCTION("IMPORTRANGE(H7667,""IDENTITAS UNIT!D9"")"),"#N/A")</f>
        <v>#N/A</v>
      </c>
      <c r="H7667" s="4" t="str">
        <v/>
      </c>
      <c r="I7667" s="4" t="str">
        <v/>
      </c>
    </row>
    <row r="7668" spans="5:9" ht="16.5" hidden="1">
      <c r="E7668" s="4" t="str">
        <v/>
      </c>
      <c r="F7668" s="102" t="str">
        <f ca="1">IFERROR(__xludf.DUMMYFUNCTION("IMPORTRANGE(H7668,""IDENTITAS UNIT!D9"")"),"#N/A")</f>
        <v>#N/A</v>
      </c>
      <c r="H7668" s="4" t="str">
        <v/>
      </c>
      <c r="I7668" s="4" t="str">
        <v/>
      </c>
    </row>
    <row r="7669" spans="5:9" ht="16.5" hidden="1">
      <c r="E7669" s="4" t="str">
        <v/>
      </c>
      <c r="F7669" s="102" t="str">
        <f ca="1">IFERROR(__xludf.DUMMYFUNCTION("IMPORTRANGE(H7669,""IDENTITAS UNIT!D9"")"),"#N/A")</f>
        <v>#N/A</v>
      </c>
      <c r="H7669" s="4" t="str">
        <v/>
      </c>
      <c r="I7669" s="4" t="str">
        <v/>
      </c>
    </row>
    <row r="7670" spans="5:9" ht="16.5" hidden="1">
      <c r="E7670" s="4" t="str">
        <v/>
      </c>
      <c r="F7670" s="102" t="str">
        <f ca="1">IFERROR(__xludf.DUMMYFUNCTION("IMPORTRANGE(H7670,""IDENTITAS UNIT!D9"")"),"#N/A")</f>
        <v>#N/A</v>
      </c>
      <c r="H7670" s="4" t="str">
        <v/>
      </c>
      <c r="I7670" s="4" t="str">
        <v/>
      </c>
    </row>
    <row r="7671" spans="5:9" ht="16.5" hidden="1">
      <c r="E7671" s="4" t="str">
        <v/>
      </c>
      <c r="F7671" s="102" t="str">
        <f ca="1">IFERROR(__xludf.DUMMYFUNCTION("IMPORTRANGE(H7671,""IDENTITAS UNIT!D9"")"),"#N/A")</f>
        <v>#N/A</v>
      </c>
      <c r="H7671" s="4" t="str">
        <v/>
      </c>
      <c r="I7671" s="4" t="str">
        <v/>
      </c>
    </row>
    <row r="7672" spans="5:9" ht="16.5" hidden="1">
      <c r="E7672" s="4" t="str">
        <v/>
      </c>
      <c r="F7672" s="102" t="str">
        <f ca="1">IFERROR(__xludf.DUMMYFUNCTION("IMPORTRANGE(H7672,""IDENTITAS UNIT!D9"")"),"#N/A")</f>
        <v>#N/A</v>
      </c>
      <c r="H7672" s="4" t="str">
        <v/>
      </c>
      <c r="I7672" s="4" t="str">
        <v/>
      </c>
    </row>
    <row r="7673" spans="5:9" ht="16.5" hidden="1">
      <c r="E7673" s="4" t="str">
        <v/>
      </c>
      <c r="F7673" s="102" t="str">
        <f ca="1">IFERROR(__xludf.DUMMYFUNCTION("IMPORTRANGE(H7673,""IDENTITAS UNIT!D9"")"),"#N/A")</f>
        <v>#N/A</v>
      </c>
      <c r="H7673" s="4" t="str">
        <v/>
      </c>
      <c r="I7673" s="4" t="str">
        <v/>
      </c>
    </row>
    <row r="7674" spans="5:9" ht="16.5" hidden="1">
      <c r="E7674" s="4" t="str">
        <v/>
      </c>
      <c r="F7674" s="102" t="str">
        <f ca="1">IFERROR(__xludf.DUMMYFUNCTION("IMPORTRANGE(H7674,""IDENTITAS UNIT!D9"")"),"#N/A")</f>
        <v>#N/A</v>
      </c>
      <c r="H7674" s="4" t="str">
        <v/>
      </c>
      <c r="I7674" s="4" t="str">
        <v/>
      </c>
    </row>
    <row r="7675" spans="5:9" ht="16.5" hidden="1">
      <c r="E7675" s="4" t="str">
        <v/>
      </c>
      <c r="F7675" s="102" t="str">
        <f ca="1">IFERROR(__xludf.DUMMYFUNCTION("IMPORTRANGE(H7675,""IDENTITAS UNIT!D9"")"),"#N/A")</f>
        <v>#N/A</v>
      </c>
      <c r="H7675" s="4" t="str">
        <v/>
      </c>
      <c r="I7675" s="4" t="str">
        <v/>
      </c>
    </row>
    <row r="7676" spans="5:9" ht="16.5" hidden="1">
      <c r="E7676" s="4" t="str">
        <v/>
      </c>
      <c r="F7676" s="102" t="str">
        <f ca="1">IFERROR(__xludf.DUMMYFUNCTION("IMPORTRANGE(H7676,""IDENTITAS UNIT!D9"")"),"#N/A")</f>
        <v>#N/A</v>
      </c>
      <c r="H7676" s="4" t="str">
        <v/>
      </c>
      <c r="I7676" s="4" t="str">
        <v/>
      </c>
    </row>
    <row r="7677" spans="5:9" ht="16.5" hidden="1">
      <c r="E7677" s="4" t="str">
        <v/>
      </c>
      <c r="F7677" s="102" t="str">
        <f ca="1">IFERROR(__xludf.DUMMYFUNCTION("IMPORTRANGE(H7677,""IDENTITAS UNIT!D9"")"),"#N/A")</f>
        <v>#N/A</v>
      </c>
      <c r="H7677" s="4" t="str">
        <v/>
      </c>
      <c r="I7677" s="4" t="str">
        <v/>
      </c>
    </row>
    <row r="7678" spans="5:9" ht="16.5" hidden="1">
      <c r="E7678" s="4" t="str">
        <v/>
      </c>
      <c r="F7678" s="102" t="str">
        <f ca="1">IFERROR(__xludf.DUMMYFUNCTION("IMPORTRANGE(H7678,""IDENTITAS UNIT!D9"")"),"#N/A")</f>
        <v>#N/A</v>
      </c>
      <c r="H7678" s="4" t="str">
        <v/>
      </c>
      <c r="I7678" s="4" t="str">
        <v/>
      </c>
    </row>
    <row r="7679" spans="5:9" ht="16.5" hidden="1">
      <c r="E7679" s="4" t="str">
        <v/>
      </c>
      <c r="F7679" s="102" t="str">
        <f ca="1">IFERROR(__xludf.DUMMYFUNCTION("IMPORTRANGE(H7679,""IDENTITAS UNIT!D9"")"),"#N/A")</f>
        <v>#N/A</v>
      </c>
      <c r="H7679" s="4" t="str">
        <v/>
      </c>
      <c r="I7679" s="4" t="str">
        <v/>
      </c>
    </row>
    <row r="7680" spans="5:9" ht="16.5" hidden="1">
      <c r="E7680" s="4" t="str">
        <v/>
      </c>
      <c r="F7680" s="102" t="str">
        <f ca="1">IFERROR(__xludf.DUMMYFUNCTION("IMPORTRANGE(H7680,""IDENTITAS UNIT!D9"")"),"#N/A")</f>
        <v>#N/A</v>
      </c>
      <c r="H7680" s="4" t="str">
        <v/>
      </c>
      <c r="I7680" s="4" t="str">
        <v/>
      </c>
    </row>
    <row r="7681" spans="5:9" ht="16.5" hidden="1">
      <c r="E7681" s="4" t="str">
        <v/>
      </c>
      <c r="F7681" s="102" t="str">
        <f ca="1">IFERROR(__xludf.DUMMYFUNCTION("IMPORTRANGE(H7681,""IDENTITAS UNIT!D9"")"),"#N/A")</f>
        <v>#N/A</v>
      </c>
      <c r="H7681" s="4" t="str">
        <v/>
      </c>
      <c r="I7681" s="4" t="str">
        <v/>
      </c>
    </row>
    <row r="7682" spans="5:9" ht="16.5" hidden="1">
      <c r="E7682" s="4" t="str">
        <v/>
      </c>
      <c r="F7682" s="102" t="str">
        <f ca="1">IFERROR(__xludf.DUMMYFUNCTION("IMPORTRANGE(H7682,""IDENTITAS UNIT!D9"")"),"#N/A")</f>
        <v>#N/A</v>
      </c>
      <c r="H7682" s="4" t="str">
        <v/>
      </c>
      <c r="I7682" s="4" t="str">
        <v/>
      </c>
    </row>
    <row r="7683" spans="5:9" ht="16.5" hidden="1">
      <c r="E7683" s="4" t="str">
        <v/>
      </c>
      <c r="F7683" s="102" t="str">
        <f ca="1">IFERROR(__xludf.DUMMYFUNCTION("IMPORTRANGE(H7683,""IDENTITAS UNIT!D9"")"),"#N/A")</f>
        <v>#N/A</v>
      </c>
      <c r="H7683" s="4" t="str">
        <v/>
      </c>
      <c r="I7683" s="4" t="str">
        <v/>
      </c>
    </row>
    <row r="7684" spans="5:9" ht="16.5" hidden="1">
      <c r="E7684" s="4" t="str">
        <v/>
      </c>
      <c r="F7684" s="102" t="str">
        <f ca="1">IFERROR(__xludf.DUMMYFUNCTION("IMPORTRANGE(H7684,""IDENTITAS UNIT!D9"")"),"#N/A")</f>
        <v>#N/A</v>
      </c>
      <c r="H7684" s="4" t="str">
        <v/>
      </c>
      <c r="I7684" s="4" t="str">
        <v/>
      </c>
    </row>
    <row r="7685" spans="5:9" ht="16.5" hidden="1">
      <c r="E7685" s="4" t="str">
        <v/>
      </c>
      <c r="F7685" s="102" t="str">
        <f ca="1">IFERROR(__xludf.DUMMYFUNCTION("IMPORTRANGE(H7685,""IDENTITAS UNIT!D9"")"),"#N/A")</f>
        <v>#N/A</v>
      </c>
      <c r="H7685" s="4" t="str">
        <v/>
      </c>
      <c r="I7685" s="4" t="str">
        <v/>
      </c>
    </row>
    <row r="7686" spans="5:9" ht="16.5" hidden="1">
      <c r="E7686" s="4" t="str">
        <v/>
      </c>
      <c r="F7686" s="102" t="str">
        <f ca="1">IFERROR(__xludf.DUMMYFUNCTION("IMPORTRANGE(H7686,""IDENTITAS UNIT!D9"")"),"#N/A")</f>
        <v>#N/A</v>
      </c>
      <c r="H7686" s="4" t="str">
        <v/>
      </c>
      <c r="I7686" s="4" t="str">
        <v/>
      </c>
    </row>
    <row r="7687" spans="5:9" ht="16.5" hidden="1">
      <c r="E7687" s="4" t="str">
        <v/>
      </c>
      <c r="F7687" s="102" t="str">
        <f ca="1">IFERROR(__xludf.DUMMYFUNCTION("IMPORTRANGE(H7687,""IDENTITAS UNIT!D9"")"),"#N/A")</f>
        <v>#N/A</v>
      </c>
      <c r="H7687" s="4" t="str">
        <v/>
      </c>
      <c r="I7687" s="4" t="str">
        <v/>
      </c>
    </row>
    <row r="7688" spans="5:9" ht="16.5" hidden="1">
      <c r="E7688" s="4" t="str">
        <v/>
      </c>
      <c r="F7688" s="102" t="str">
        <f ca="1">IFERROR(__xludf.DUMMYFUNCTION("IMPORTRANGE(H7688,""IDENTITAS UNIT!D9"")"),"#N/A")</f>
        <v>#N/A</v>
      </c>
      <c r="H7688" s="4" t="str">
        <v/>
      </c>
      <c r="I7688" s="4" t="str">
        <v/>
      </c>
    </row>
    <row r="7689" spans="5:9" ht="16.5" hidden="1">
      <c r="E7689" s="4" t="str">
        <v/>
      </c>
      <c r="F7689" s="102" t="str">
        <f ca="1">IFERROR(__xludf.DUMMYFUNCTION("IMPORTRANGE(H7689,""IDENTITAS UNIT!D9"")"),"#N/A")</f>
        <v>#N/A</v>
      </c>
      <c r="H7689" s="4" t="str">
        <v/>
      </c>
      <c r="I7689" s="4" t="str">
        <v/>
      </c>
    </row>
    <row r="7690" spans="5:9" ht="16.5" hidden="1">
      <c r="E7690" s="4" t="str">
        <v/>
      </c>
      <c r="F7690" s="102" t="str">
        <f ca="1">IFERROR(__xludf.DUMMYFUNCTION("IMPORTRANGE(H7690,""IDENTITAS UNIT!D9"")"),"#N/A")</f>
        <v>#N/A</v>
      </c>
      <c r="H7690" s="4" t="str">
        <v/>
      </c>
      <c r="I7690" s="4" t="str">
        <v/>
      </c>
    </row>
    <row r="7691" spans="5:9" ht="16.5" hidden="1">
      <c r="E7691" s="4" t="str">
        <v/>
      </c>
      <c r="F7691" s="102" t="str">
        <f ca="1">IFERROR(__xludf.DUMMYFUNCTION("IMPORTRANGE(H7691,""IDENTITAS UNIT!D9"")"),"#N/A")</f>
        <v>#N/A</v>
      </c>
      <c r="H7691" s="4" t="str">
        <v/>
      </c>
      <c r="I7691" s="4" t="str">
        <v/>
      </c>
    </row>
    <row r="7692" spans="5:9" ht="16.5" hidden="1">
      <c r="E7692" s="4" t="str">
        <v/>
      </c>
      <c r="F7692" s="102" t="str">
        <f ca="1">IFERROR(__xludf.DUMMYFUNCTION("IMPORTRANGE(H7692,""IDENTITAS UNIT!D9"")"),"#N/A")</f>
        <v>#N/A</v>
      </c>
      <c r="H7692" s="4" t="str">
        <v/>
      </c>
      <c r="I7692" s="4" t="str">
        <v/>
      </c>
    </row>
    <row r="7693" spans="5:9" ht="16.5" hidden="1">
      <c r="E7693" s="4" t="str">
        <v/>
      </c>
      <c r="F7693" s="102" t="str">
        <f ca="1">IFERROR(__xludf.DUMMYFUNCTION("IMPORTRANGE(H7693,""IDENTITAS UNIT!D9"")"),"#N/A")</f>
        <v>#N/A</v>
      </c>
      <c r="H7693" s="4" t="str">
        <v/>
      </c>
      <c r="I7693" s="4" t="str">
        <v/>
      </c>
    </row>
    <row r="7694" spans="5:9" ht="16.5" hidden="1">
      <c r="E7694" s="4" t="str">
        <v/>
      </c>
      <c r="F7694" s="102" t="str">
        <f ca="1">IFERROR(__xludf.DUMMYFUNCTION("IMPORTRANGE(H7694,""IDENTITAS UNIT!D9"")"),"#N/A")</f>
        <v>#N/A</v>
      </c>
      <c r="H7694" s="4" t="str">
        <v/>
      </c>
      <c r="I7694" s="4" t="str">
        <v/>
      </c>
    </row>
    <row r="7695" spans="5:9" ht="16.5" hidden="1">
      <c r="E7695" s="4" t="str">
        <v/>
      </c>
      <c r="F7695" s="102" t="str">
        <f ca="1">IFERROR(__xludf.DUMMYFUNCTION("IMPORTRANGE(H7695,""IDENTITAS UNIT!D9"")"),"#N/A")</f>
        <v>#N/A</v>
      </c>
      <c r="H7695" s="4" t="str">
        <v/>
      </c>
      <c r="I7695" s="4" t="str">
        <v/>
      </c>
    </row>
    <row r="7696" spans="5:9" ht="16.5" hidden="1">
      <c r="E7696" s="4" t="str">
        <v/>
      </c>
      <c r="F7696" s="102" t="str">
        <f ca="1">IFERROR(__xludf.DUMMYFUNCTION("IMPORTRANGE(H7696,""IDENTITAS UNIT!D9"")"),"#N/A")</f>
        <v>#N/A</v>
      </c>
      <c r="H7696" s="4" t="str">
        <v/>
      </c>
      <c r="I7696" s="4" t="str">
        <v/>
      </c>
    </row>
    <row r="7697" spans="5:9" ht="16.5" hidden="1">
      <c r="E7697" s="4" t="str">
        <v/>
      </c>
      <c r="F7697" s="102" t="str">
        <f ca="1">IFERROR(__xludf.DUMMYFUNCTION("IMPORTRANGE(H7697,""IDENTITAS UNIT!D9"")"),"#N/A")</f>
        <v>#N/A</v>
      </c>
      <c r="H7697" s="4" t="str">
        <v/>
      </c>
      <c r="I7697" s="4" t="str">
        <v/>
      </c>
    </row>
    <row r="7698" spans="5:9" ht="16.5" hidden="1">
      <c r="E7698" s="4" t="str">
        <v/>
      </c>
      <c r="F7698" s="102" t="str">
        <f ca="1">IFERROR(__xludf.DUMMYFUNCTION("IMPORTRANGE(H7698,""IDENTITAS UNIT!D9"")"),"#N/A")</f>
        <v>#N/A</v>
      </c>
      <c r="H7698" s="4" t="str">
        <v/>
      </c>
      <c r="I7698" s="4" t="str">
        <v/>
      </c>
    </row>
    <row r="7699" spans="5:9" ht="16.5" hidden="1">
      <c r="E7699" s="4" t="str">
        <v/>
      </c>
      <c r="F7699" s="102" t="str">
        <f ca="1">IFERROR(__xludf.DUMMYFUNCTION("IMPORTRANGE(H7699,""IDENTITAS UNIT!D9"")"),"#N/A")</f>
        <v>#N/A</v>
      </c>
      <c r="H7699" s="4" t="str">
        <v/>
      </c>
      <c r="I7699" s="4" t="str">
        <v/>
      </c>
    </row>
    <row r="7700" spans="5:9" ht="16.5" hidden="1">
      <c r="E7700" s="4" t="str">
        <v/>
      </c>
      <c r="F7700" s="102" t="str">
        <f ca="1">IFERROR(__xludf.DUMMYFUNCTION("IMPORTRANGE(H7700,""IDENTITAS UNIT!D9"")"),"#N/A")</f>
        <v>#N/A</v>
      </c>
      <c r="H7700" s="4" t="str">
        <v/>
      </c>
      <c r="I7700" s="4" t="str">
        <v/>
      </c>
    </row>
    <row r="7701" spans="5:9" ht="16.5" hidden="1">
      <c r="E7701" s="4" t="str">
        <v/>
      </c>
      <c r="F7701" s="102" t="str">
        <f ca="1">IFERROR(__xludf.DUMMYFUNCTION("IMPORTRANGE(H7701,""IDENTITAS UNIT!D9"")"),"#N/A")</f>
        <v>#N/A</v>
      </c>
      <c r="H7701" s="4" t="str">
        <v/>
      </c>
      <c r="I7701" s="4" t="str">
        <v/>
      </c>
    </row>
    <row r="7702" spans="5:9" ht="16.5" hidden="1">
      <c r="E7702" s="4" t="str">
        <v/>
      </c>
      <c r="F7702" s="102" t="str">
        <f ca="1">IFERROR(__xludf.DUMMYFUNCTION("IMPORTRANGE(H7702,""IDENTITAS UNIT!D9"")"),"#N/A")</f>
        <v>#N/A</v>
      </c>
      <c r="H7702" s="4" t="str">
        <v/>
      </c>
      <c r="I7702" s="4" t="str">
        <v/>
      </c>
    </row>
    <row r="7703" spans="5:9" ht="16.5" hidden="1">
      <c r="E7703" s="4" t="str">
        <v/>
      </c>
      <c r="F7703" s="102" t="str">
        <f ca="1">IFERROR(__xludf.DUMMYFUNCTION("IMPORTRANGE(H7703,""IDENTITAS UNIT!D9"")"),"#N/A")</f>
        <v>#N/A</v>
      </c>
      <c r="H7703" s="4" t="str">
        <v/>
      </c>
      <c r="I7703" s="4" t="str">
        <v/>
      </c>
    </row>
    <row r="7704" spans="5:9" ht="16.5" hidden="1">
      <c r="E7704" s="4" t="str">
        <v/>
      </c>
      <c r="F7704" s="102" t="str">
        <f ca="1">IFERROR(__xludf.DUMMYFUNCTION("IMPORTRANGE(H7704,""IDENTITAS UNIT!D9"")"),"#N/A")</f>
        <v>#N/A</v>
      </c>
      <c r="H7704" s="4" t="str">
        <v/>
      </c>
      <c r="I7704" s="4" t="str">
        <v/>
      </c>
    </row>
    <row r="7705" spans="5:9" ht="16.5" hidden="1">
      <c r="E7705" s="4" t="str">
        <v/>
      </c>
      <c r="F7705" s="102" t="str">
        <f ca="1">IFERROR(__xludf.DUMMYFUNCTION("IMPORTRANGE(H7705,""IDENTITAS UNIT!D9"")"),"#N/A")</f>
        <v>#N/A</v>
      </c>
      <c r="H7705" s="4" t="str">
        <v/>
      </c>
      <c r="I7705" s="4" t="str">
        <v/>
      </c>
    </row>
    <row r="7706" spans="5:9" ht="16.5" hidden="1">
      <c r="E7706" s="4" t="str">
        <v/>
      </c>
      <c r="F7706" s="102" t="str">
        <f ca="1">IFERROR(__xludf.DUMMYFUNCTION("IMPORTRANGE(H7706,""IDENTITAS UNIT!D9"")"),"#N/A")</f>
        <v>#N/A</v>
      </c>
      <c r="H7706" s="4" t="str">
        <v/>
      </c>
      <c r="I7706" s="4" t="str">
        <v/>
      </c>
    </row>
    <row r="7707" spans="5:9" ht="16.5" hidden="1">
      <c r="E7707" s="4" t="str">
        <v/>
      </c>
      <c r="F7707" s="102" t="str">
        <f ca="1">IFERROR(__xludf.DUMMYFUNCTION("IMPORTRANGE(H7707,""IDENTITAS UNIT!D9"")"),"#N/A")</f>
        <v>#N/A</v>
      </c>
      <c r="H7707" s="4" t="str">
        <v/>
      </c>
      <c r="I7707" s="4" t="str">
        <v/>
      </c>
    </row>
    <row r="7708" spans="5:9" ht="16.5" hidden="1">
      <c r="E7708" s="4" t="str">
        <v/>
      </c>
      <c r="F7708" s="102" t="str">
        <f ca="1">IFERROR(__xludf.DUMMYFUNCTION("IMPORTRANGE(H7708,""IDENTITAS UNIT!D9"")"),"#N/A")</f>
        <v>#N/A</v>
      </c>
      <c r="H7708" s="4" t="str">
        <v/>
      </c>
      <c r="I7708" s="4" t="str">
        <v/>
      </c>
    </row>
    <row r="7709" spans="5:9" ht="16.5" hidden="1">
      <c r="E7709" s="4" t="str">
        <v/>
      </c>
      <c r="F7709" s="102" t="str">
        <f ca="1">IFERROR(__xludf.DUMMYFUNCTION("IMPORTRANGE(H7709,""IDENTITAS UNIT!D9"")"),"#N/A")</f>
        <v>#N/A</v>
      </c>
      <c r="H7709" s="4" t="str">
        <v/>
      </c>
      <c r="I7709" s="4" t="str">
        <v/>
      </c>
    </row>
    <row r="7710" spans="5:9" ht="16.5" hidden="1">
      <c r="E7710" s="4" t="str">
        <v/>
      </c>
      <c r="F7710" s="102" t="str">
        <f ca="1">IFERROR(__xludf.DUMMYFUNCTION("IMPORTRANGE(H7710,""IDENTITAS UNIT!D9"")"),"#N/A")</f>
        <v>#N/A</v>
      </c>
      <c r="H7710" s="4" t="str">
        <v/>
      </c>
      <c r="I7710" s="4" t="str">
        <v/>
      </c>
    </row>
    <row r="7711" spans="5:9" ht="16.5" hidden="1">
      <c r="E7711" s="4" t="str">
        <v/>
      </c>
      <c r="F7711" s="102" t="str">
        <f ca="1">IFERROR(__xludf.DUMMYFUNCTION("IMPORTRANGE(H7711,""IDENTITAS UNIT!D9"")"),"#N/A")</f>
        <v>#N/A</v>
      </c>
      <c r="H7711" s="4" t="str">
        <v/>
      </c>
      <c r="I7711" s="4" t="str">
        <v/>
      </c>
    </row>
    <row r="7712" spans="5:9" ht="16.5" hidden="1">
      <c r="E7712" s="4" t="str">
        <v/>
      </c>
      <c r="F7712" s="102" t="str">
        <f ca="1">IFERROR(__xludf.DUMMYFUNCTION("IMPORTRANGE(H7712,""IDENTITAS UNIT!D9"")"),"#N/A")</f>
        <v>#N/A</v>
      </c>
      <c r="H7712" s="4" t="str">
        <v/>
      </c>
      <c r="I7712" s="4" t="str">
        <v/>
      </c>
    </row>
    <row r="7713" spans="5:9" ht="16.5" hidden="1">
      <c r="E7713" s="4" t="str">
        <v/>
      </c>
      <c r="F7713" s="102" t="str">
        <f ca="1">IFERROR(__xludf.DUMMYFUNCTION("IMPORTRANGE(H7713,""IDENTITAS UNIT!D9"")"),"#N/A")</f>
        <v>#N/A</v>
      </c>
      <c r="H7713" s="4" t="str">
        <v/>
      </c>
      <c r="I7713" s="4" t="str">
        <v/>
      </c>
    </row>
    <row r="7714" spans="5:9" ht="16.5" hidden="1">
      <c r="E7714" s="4" t="str">
        <v/>
      </c>
      <c r="F7714" s="102" t="str">
        <f ca="1">IFERROR(__xludf.DUMMYFUNCTION("IMPORTRANGE(H7714,""IDENTITAS UNIT!D9"")"),"#N/A")</f>
        <v>#N/A</v>
      </c>
      <c r="H7714" s="4" t="str">
        <v/>
      </c>
      <c r="I7714" s="4" t="str">
        <v/>
      </c>
    </row>
    <row r="7715" spans="5:9" ht="16.5" hidden="1">
      <c r="E7715" s="4" t="str">
        <v/>
      </c>
      <c r="F7715" s="102" t="str">
        <f ca="1">IFERROR(__xludf.DUMMYFUNCTION("IMPORTRANGE(H7715,""IDENTITAS UNIT!D9"")"),"#N/A")</f>
        <v>#N/A</v>
      </c>
      <c r="H7715" s="4" t="str">
        <v/>
      </c>
      <c r="I7715" s="4" t="str">
        <v/>
      </c>
    </row>
    <row r="7716" spans="5:9" ht="16.5" hidden="1">
      <c r="E7716" s="4" t="str">
        <v/>
      </c>
      <c r="F7716" s="102" t="str">
        <f ca="1">IFERROR(__xludf.DUMMYFUNCTION("IMPORTRANGE(H7716,""IDENTITAS UNIT!D9"")"),"#N/A")</f>
        <v>#N/A</v>
      </c>
      <c r="H7716" s="4" t="str">
        <v/>
      </c>
      <c r="I7716" s="4" t="str">
        <v/>
      </c>
    </row>
    <row r="7717" spans="5:9" ht="16.5" hidden="1">
      <c r="E7717" s="4" t="str">
        <v/>
      </c>
      <c r="F7717" s="102" t="str">
        <f ca="1">IFERROR(__xludf.DUMMYFUNCTION("IMPORTRANGE(H7717,""IDENTITAS UNIT!D9"")"),"#N/A")</f>
        <v>#N/A</v>
      </c>
      <c r="H7717" s="4" t="str">
        <v/>
      </c>
      <c r="I7717" s="4" t="str">
        <v/>
      </c>
    </row>
    <row r="7718" spans="5:9" ht="16.5" hidden="1">
      <c r="E7718" s="4" t="str">
        <v/>
      </c>
      <c r="F7718" s="102" t="str">
        <f ca="1">IFERROR(__xludf.DUMMYFUNCTION("IMPORTRANGE(H7718,""IDENTITAS UNIT!D9"")"),"#N/A")</f>
        <v>#N/A</v>
      </c>
      <c r="H7718" s="4" t="str">
        <v/>
      </c>
      <c r="I7718" s="4" t="str">
        <v/>
      </c>
    </row>
    <row r="7719" spans="5:9" ht="16.5" hidden="1">
      <c r="E7719" s="4" t="str">
        <v/>
      </c>
      <c r="F7719" s="102" t="str">
        <f ca="1">IFERROR(__xludf.DUMMYFUNCTION("IMPORTRANGE(H7719,""IDENTITAS UNIT!D9"")"),"#N/A")</f>
        <v>#N/A</v>
      </c>
      <c r="H7719" s="4" t="str">
        <v/>
      </c>
      <c r="I7719" s="4" t="str">
        <v/>
      </c>
    </row>
    <row r="7720" spans="5:9" ht="16.5" hidden="1">
      <c r="E7720" s="4" t="str">
        <v/>
      </c>
      <c r="F7720" s="102" t="str">
        <f ca="1">IFERROR(__xludf.DUMMYFUNCTION("IMPORTRANGE(H7720,""IDENTITAS UNIT!D9"")"),"#N/A")</f>
        <v>#N/A</v>
      </c>
      <c r="H7720" s="4" t="str">
        <v/>
      </c>
      <c r="I7720" s="4" t="str">
        <v/>
      </c>
    </row>
    <row r="7721" spans="5:9" ht="16.5" hidden="1">
      <c r="E7721" s="4" t="str">
        <v/>
      </c>
      <c r="F7721" s="102" t="str">
        <f ca="1">IFERROR(__xludf.DUMMYFUNCTION("IMPORTRANGE(H7721,""IDENTITAS UNIT!D9"")"),"#N/A")</f>
        <v>#N/A</v>
      </c>
      <c r="H7721" s="4" t="str">
        <v/>
      </c>
      <c r="I7721" s="4" t="str">
        <v/>
      </c>
    </row>
    <row r="7722" spans="5:9" ht="16.5" hidden="1">
      <c r="E7722" s="4" t="str">
        <v/>
      </c>
      <c r="F7722" s="102" t="str">
        <f ca="1">IFERROR(__xludf.DUMMYFUNCTION("IMPORTRANGE(H7722,""IDENTITAS UNIT!D9"")"),"#N/A")</f>
        <v>#N/A</v>
      </c>
      <c r="H7722" s="4" t="str">
        <v/>
      </c>
      <c r="I7722" s="4" t="str">
        <v/>
      </c>
    </row>
    <row r="7723" spans="5:9" ht="16.5" hidden="1">
      <c r="E7723" s="4" t="str">
        <v/>
      </c>
      <c r="F7723" s="102" t="str">
        <f ca="1">IFERROR(__xludf.DUMMYFUNCTION("IMPORTRANGE(H7723,""IDENTITAS UNIT!D9"")"),"#N/A")</f>
        <v>#N/A</v>
      </c>
      <c r="H7723" s="4" t="str">
        <v/>
      </c>
      <c r="I7723" s="4" t="str">
        <v/>
      </c>
    </row>
    <row r="7724" spans="5:9" ht="16.5" hidden="1">
      <c r="E7724" s="4" t="str">
        <v/>
      </c>
      <c r="F7724" s="102" t="str">
        <f ca="1">IFERROR(__xludf.DUMMYFUNCTION("IMPORTRANGE(H7724,""IDENTITAS UNIT!D9"")"),"#N/A")</f>
        <v>#N/A</v>
      </c>
      <c r="H7724" s="4" t="str">
        <v/>
      </c>
      <c r="I7724" s="4" t="str">
        <v/>
      </c>
    </row>
    <row r="7725" spans="5:9" ht="16.5" hidden="1">
      <c r="E7725" s="4" t="str">
        <v/>
      </c>
      <c r="F7725" s="102" t="str">
        <f ca="1">IFERROR(__xludf.DUMMYFUNCTION("IMPORTRANGE(H7725,""IDENTITAS UNIT!D9"")"),"#N/A")</f>
        <v>#N/A</v>
      </c>
      <c r="H7725" s="4" t="str">
        <v/>
      </c>
      <c r="I7725" s="4" t="str">
        <v/>
      </c>
    </row>
    <row r="7726" spans="5:9" ht="16.5" hidden="1">
      <c r="E7726" s="4" t="str">
        <v/>
      </c>
      <c r="F7726" s="102" t="str">
        <f ca="1">IFERROR(__xludf.DUMMYFUNCTION("IMPORTRANGE(H7726,""IDENTITAS UNIT!D9"")"),"#N/A")</f>
        <v>#N/A</v>
      </c>
      <c r="H7726" s="4" t="str">
        <v/>
      </c>
      <c r="I7726" s="4" t="str">
        <v/>
      </c>
    </row>
    <row r="7727" spans="5:9" ht="16.5" hidden="1">
      <c r="E7727" s="4" t="str">
        <v/>
      </c>
      <c r="F7727" s="102" t="str">
        <f ca="1">IFERROR(__xludf.DUMMYFUNCTION("IMPORTRANGE(H7727,""IDENTITAS UNIT!D9"")"),"#N/A")</f>
        <v>#N/A</v>
      </c>
      <c r="H7727" s="4" t="str">
        <v/>
      </c>
      <c r="I7727" s="4" t="str">
        <v/>
      </c>
    </row>
    <row r="7728" spans="5:9" ht="16.5" hidden="1">
      <c r="E7728" s="4" t="str">
        <v/>
      </c>
      <c r="F7728" s="102" t="str">
        <f ca="1">IFERROR(__xludf.DUMMYFUNCTION("IMPORTRANGE(H7728,""IDENTITAS UNIT!D9"")"),"#N/A")</f>
        <v>#N/A</v>
      </c>
      <c r="H7728" s="4" t="str">
        <v/>
      </c>
      <c r="I7728" s="4" t="str">
        <v/>
      </c>
    </row>
    <row r="7729" spans="5:9" ht="16.5" hidden="1">
      <c r="E7729" s="4" t="str">
        <v/>
      </c>
      <c r="F7729" s="102" t="str">
        <f ca="1">IFERROR(__xludf.DUMMYFUNCTION("IMPORTRANGE(H7729,""IDENTITAS UNIT!D9"")"),"#N/A")</f>
        <v>#N/A</v>
      </c>
      <c r="H7729" s="4" t="str">
        <v/>
      </c>
      <c r="I7729" s="4" t="str">
        <v/>
      </c>
    </row>
    <row r="7730" spans="5:9" ht="16.5" hidden="1">
      <c r="E7730" s="4" t="str">
        <v/>
      </c>
      <c r="F7730" s="102" t="str">
        <f ca="1">IFERROR(__xludf.DUMMYFUNCTION("IMPORTRANGE(H7730,""IDENTITAS UNIT!D9"")"),"#N/A")</f>
        <v>#N/A</v>
      </c>
      <c r="H7730" s="4" t="str">
        <v/>
      </c>
      <c r="I7730" s="4" t="str">
        <v/>
      </c>
    </row>
    <row r="7731" spans="5:9" ht="16.5" hidden="1">
      <c r="E7731" s="4" t="str">
        <v/>
      </c>
      <c r="F7731" s="102" t="str">
        <f ca="1">IFERROR(__xludf.DUMMYFUNCTION("IMPORTRANGE(H7731,""IDENTITAS UNIT!D9"")"),"#N/A")</f>
        <v>#N/A</v>
      </c>
      <c r="H7731" s="4" t="str">
        <v/>
      </c>
      <c r="I7731" s="4" t="str">
        <v/>
      </c>
    </row>
    <row r="7732" spans="5:9" ht="16.5" hidden="1">
      <c r="E7732" s="4" t="str">
        <v/>
      </c>
      <c r="F7732" s="102" t="str">
        <f ca="1">IFERROR(__xludf.DUMMYFUNCTION("IMPORTRANGE(H7732,""IDENTITAS UNIT!D9"")"),"#N/A")</f>
        <v>#N/A</v>
      </c>
      <c r="H7732" s="4" t="str">
        <v/>
      </c>
      <c r="I7732" s="4" t="str">
        <v/>
      </c>
    </row>
    <row r="7733" spans="5:9" ht="16.5" hidden="1">
      <c r="E7733" s="4" t="str">
        <v/>
      </c>
      <c r="F7733" s="102" t="str">
        <f ca="1">IFERROR(__xludf.DUMMYFUNCTION("IMPORTRANGE(H7733,""IDENTITAS UNIT!D9"")"),"#N/A")</f>
        <v>#N/A</v>
      </c>
      <c r="H7733" s="4" t="str">
        <v/>
      </c>
      <c r="I7733" s="4" t="str">
        <v/>
      </c>
    </row>
    <row r="7734" spans="5:9" ht="16.5" hidden="1">
      <c r="E7734" s="4" t="str">
        <v/>
      </c>
      <c r="F7734" s="102" t="str">
        <f ca="1">IFERROR(__xludf.DUMMYFUNCTION("IMPORTRANGE(H7734,""IDENTITAS UNIT!D9"")"),"#N/A")</f>
        <v>#N/A</v>
      </c>
      <c r="H7734" s="4" t="str">
        <v/>
      </c>
      <c r="I7734" s="4" t="str">
        <v/>
      </c>
    </row>
    <row r="7735" spans="5:9" ht="16.5" hidden="1">
      <c r="E7735" s="4" t="str">
        <v/>
      </c>
      <c r="F7735" s="102" t="str">
        <f ca="1">IFERROR(__xludf.DUMMYFUNCTION("IMPORTRANGE(H7735,""IDENTITAS UNIT!D9"")"),"#N/A")</f>
        <v>#N/A</v>
      </c>
      <c r="H7735" s="4" t="str">
        <v/>
      </c>
      <c r="I7735" s="4" t="str">
        <v/>
      </c>
    </row>
    <row r="7736" spans="5:9" ht="16.5" hidden="1">
      <c r="E7736" s="4" t="str">
        <v/>
      </c>
      <c r="F7736" s="102" t="str">
        <f ca="1">IFERROR(__xludf.DUMMYFUNCTION("IMPORTRANGE(H7736,""IDENTITAS UNIT!D9"")"),"#N/A")</f>
        <v>#N/A</v>
      </c>
      <c r="H7736" s="4" t="str">
        <v/>
      </c>
      <c r="I7736" s="4" t="str">
        <v/>
      </c>
    </row>
    <row r="7737" spans="5:9" ht="16.5" hidden="1">
      <c r="E7737" s="4" t="str">
        <v/>
      </c>
      <c r="F7737" s="102" t="str">
        <f ca="1">IFERROR(__xludf.DUMMYFUNCTION("IMPORTRANGE(H7737,""IDENTITAS UNIT!D9"")"),"#N/A")</f>
        <v>#N/A</v>
      </c>
      <c r="H7737" s="4" t="str">
        <v/>
      </c>
      <c r="I7737" s="4" t="str">
        <v/>
      </c>
    </row>
    <row r="7738" spans="5:9" ht="16.5" hidden="1">
      <c r="E7738" s="4" t="str">
        <v/>
      </c>
      <c r="F7738" s="102" t="str">
        <f ca="1">IFERROR(__xludf.DUMMYFUNCTION("IMPORTRANGE(H7738,""IDENTITAS UNIT!D9"")"),"#N/A")</f>
        <v>#N/A</v>
      </c>
      <c r="H7738" s="4" t="str">
        <v/>
      </c>
      <c r="I7738" s="4" t="str">
        <v/>
      </c>
    </row>
    <row r="7739" spans="5:9" ht="16.5" hidden="1">
      <c r="E7739" s="4" t="str">
        <v/>
      </c>
      <c r="F7739" s="102" t="str">
        <f ca="1">IFERROR(__xludf.DUMMYFUNCTION("IMPORTRANGE(H7739,""IDENTITAS UNIT!D9"")"),"#N/A")</f>
        <v>#N/A</v>
      </c>
      <c r="H7739" s="4" t="str">
        <v/>
      </c>
      <c r="I7739" s="4" t="str">
        <v/>
      </c>
    </row>
    <row r="7740" spans="5:9" ht="16.5" hidden="1">
      <c r="E7740" s="4" t="str">
        <v/>
      </c>
      <c r="F7740" s="102" t="str">
        <f ca="1">IFERROR(__xludf.DUMMYFUNCTION("IMPORTRANGE(H7740,""IDENTITAS UNIT!D9"")"),"#N/A")</f>
        <v>#N/A</v>
      </c>
      <c r="H7740" s="4" t="str">
        <v/>
      </c>
      <c r="I7740" s="4" t="str">
        <v/>
      </c>
    </row>
    <row r="7741" spans="5:9" ht="16.5" hidden="1">
      <c r="E7741" s="4" t="str">
        <v/>
      </c>
      <c r="F7741" s="102" t="str">
        <f ca="1">IFERROR(__xludf.DUMMYFUNCTION("IMPORTRANGE(H7741,""IDENTITAS UNIT!D9"")"),"#N/A")</f>
        <v>#N/A</v>
      </c>
      <c r="H7741" s="4" t="str">
        <v/>
      </c>
      <c r="I7741" s="4" t="str">
        <v/>
      </c>
    </row>
    <row r="7742" spans="5:9" ht="16.5" hidden="1">
      <c r="E7742" s="4" t="str">
        <v/>
      </c>
      <c r="F7742" s="102" t="str">
        <f ca="1">IFERROR(__xludf.DUMMYFUNCTION("IMPORTRANGE(H7742,""IDENTITAS UNIT!D9"")"),"#N/A")</f>
        <v>#N/A</v>
      </c>
      <c r="H7742" s="4" t="str">
        <v/>
      </c>
      <c r="I7742" s="4" t="str">
        <v/>
      </c>
    </row>
    <row r="7743" spans="5:9" ht="16.5" hidden="1">
      <c r="E7743" s="4" t="str">
        <v/>
      </c>
      <c r="F7743" s="102" t="str">
        <f ca="1">IFERROR(__xludf.DUMMYFUNCTION("IMPORTRANGE(H7743,""IDENTITAS UNIT!D9"")"),"#N/A")</f>
        <v>#N/A</v>
      </c>
      <c r="H7743" s="4" t="str">
        <v/>
      </c>
      <c r="I7743" s="4" t="str">
        <v/>
      </c>
    </row>
    <row r="7744" spans="5:9" ht="16.5" hidden="1">
      <c r="E7744" s="4" t="str">
        <v/>
      </c>
      <c r="F7744" s="102" t="str">
        <f ca="1">IFERROR(__xludf.DUMMYFUNCTION("IMPORTRANGE(H7744,""IDENTITAS UNIT!D9"")"),"#N/A")</f>
        <v>#N/A</v>
      </c>
      <c r="H7744" s="4" t="str">
        <v/>
      </c>
      <c r="I7744" s="4" t="str">
        <v/>
      </c>
    </row>
    <row r="7745" spans="5:9" ht="16.5" hidden="1">
      <c r="E7745" s="4" t="str">
        <v/>
      </c>
      <c r="F7745" s="102" t="str">
        <f ca="1">IFERROR(__xludf.DUMMYFUNCTION("IMPORTRANGE(H7745,""IDENTITAS UNIT!D9"")"),"#N/A")</f>
        <v>#N/A</v>
      </c>
      <c r="H7745" s="4" t="str">
        <v/>
      </c>
      <c r="I7745" s="4" t="str">
        <v/>
      </c>
    </row>
    <row r="7746" spans="5:9" ht="16.5" hidden="1">
      <c r="E7746" s="4" t="str">
        <v/>
      </c>
      <c r="F7746" s="102" t="str">
        <f ca="1">IFERROR(__xludf.DUMMYFUNCTION("IMPORTRANGE(H7746,""IDENTITAS UNIT!D9"")"),"#N/A")</f>
        <v>#N/A</v>
      </c>
      <c r="H7746" s="4" t="str">
        <v/>
      </c>
      <c r="I7746" s="4" t="str">
        <v/>
      </c>
    </row>
    <row r="7747" spans="5:9" ht="16.5" hidden="1">
      <c r="E7747" s="4" t="str">
        <v/>
      </c>
      <c r="F7747" s="102" t="str">
        <f ca="1">IFERROR(__xludf.DUMMYFUNCTION("IMPORTRANGE(H7747,""IDENTITAS UNIT!D9"")"),"#N/A")</f>
        <v>#N/A</v>
      </c>
      <c r="H7747" s="4" t="str">
        <v/>
      </c>
      <c r="I7747" s="4" t="str">
        <v/>
      </c>
    </row>
    <row r="7748" spans="5:9" ht="16.5" hidden="1">
      <c r="E7748" s="4" t="str">
        <v/>
      </c>
      <c r="F7748" s="102" t="str">
        <f ca="1">IFERROR(__xludf.DUMMYFUNCTION("IMPORTRANGE(H7748,""IDENTITAS UNIT!D9"")"),"#N/A")</f>
        <v>#N/A</v>
      </c>
      <c r="H7748" s="4" t="str">
        <v/>
      </c>
      <c r="I7748" s="4" t="str">
        <v/>
      </c>
    </row>
    <row r="7749" spans="5:9" ht="16.5" hidden="1">
      <c r="E7749" s="4" t="str">
        <v/>
      </c>
      <c r="F7749" s="102" t="str">
        <f ca="1">IFERROR(__xludf.DUMMYFUNCTION("IMPORTRANGE(H7749,""IDENTITAS UNIT!D9"")"),"#N/A")</f>
        <v>#N/A</v>
      </c>
      <c r="H7749" s="4" t="str">
        <v/>
      </c>
      <c r="I7749" s="4" t="str">
        <v/>
      </c>
    </row>
    <row r="7750" spans="5:9" ht="16.5" hidden="1">
      <c r="E7750" s="4" t="str">
        <v/>
      </c>
      <c r="F7750" s="102" t="str">
        <f ca="1">IFERROR(__xludf.DUMMYFUNCTION("IMPORTRANGE(H7750,""IDENTITAS UNIT!D9"")"),"#N/A")</f>
        <v>#N/A</v>
      </c>
      <c r="H7750" s="4" t="str">
        <v/>
      </c>
      <c r="I7750" s="4" t="str">
        <v/>
      </c>
    </row>
    <row r="7751" spans="5:9" ht="16.5" hidden="1">
      <c r="E7751" s="4" t="str">
        <v/>
      </c>
      <c r="F7751" s="102" t="str">
        <f ca="1">IFERROR(__xludf.DUMMYFUNCTION("IMPORTRANGE(H7751,""IDENTITAS UNIT!D9"")"),"#N/A")</f>
        <v>#N/A</v>
      </c>
      <c r="H7751" s="4" t="str">
        <v/>
      </c>
      <c r="I7751" s="4" t="str">
        <v/>
      </c>
    </row>
    <row r="7752" spans="5:9" ht="16.5" hidden="1">
      <c r="E7752" s="4" t="str">
        <v/>
      </c>
      <c r="F7752" s="102" t="str">
        <f ca="1">IFERROR(__xludf.DUMMYFUNCTION("IMPORTRANGE(H7752,""IDENTITAS UNIT!D9"")"),"#N/A")</f>
        <v>#N/A</v>
      </c>
      <c r="H7752" s="4" t="str">
        <v/>
      </c>
      <c r="I7752" s="4" t="str">
        <v/>
      </c>
    </row>
    <row r="7753" spans="5:9" ht="16.5" hidden="1">
      <c r="E7753" s="4" t="str">
        <v/>
      </c>
      <c r="F7753" s="102" t="str">
        <f ca="1">IFERROR(__xludf.DUMMYFUNCTION("IMPORTRANGE(H7753,""IDENTITAS UNIT!D9"")"),"#N/A")</f>
        <v>#N/A</v>
      </c>
      <c r="H7753" s="4" t="str">
        <v/>
      </c>
      <c r="I7753" s="4" t="str">
        <v/>
      </c>
    </row>
    <row r="7754" spans="5:9" ht="16.5" hidden="1">
      <c r="E7754" s="4" t="str">
        <v/>
      </c>
      <c r="F7754" s="102" t="str">
        <f ca="1">IFERROR(__xludf.DUMMYFUNCTION("IMPORTRANGE(H7754,""IDENTITAS UNIT!D9"")"),"#N/A")</f>
        <v>#N/A</v>
      </c>
      <c r="H7754" s="4" t="str">
        <v/>
      </c>
      <c r="I7754" s="4" t="str">
        <v/>
      </c>
    </row>
    <row r="7755" spans="5:9" ht="16.5" hidden="1">
      <c r="E7755" s="4" t="str">
        <v/>
      </c>
      <c r="F7755" s="102" t="str">
        <f ca="1">IFERROR(__xludf.DUMMYFUNCTION("IMPORTRANGE(H7755,""IDENTITAS UNIT!D9"")"),"#N/A")</f>
        <v>#N/A</v>
      </c>
      <c r="H7755" s="4" t="str">
        <v/>
      </c>
      <c r="I7755" s="4" t="str">
        <v/>
      </c>
    </row>
    <row r="7756" spans="5:9" ht="16.5" hidden="1">
      <c r="E7756" s="4" t="str">
        <v/>
      </c>
      <c r="F7756" s="102" t="str">
        <f ca="1">IFERROR(__xludf.DUMMYFUNCTION("IMPORTRANGE(H7756,""IDENTITAS UNIT!D9"")"),"#N/A")</f>
        <v>#N/A</v>
      </c>
      <c r="H7756" s="4" t="str">
        <v/>
      </c>
      <c r="I7756" s="4" t="str">
        <v/>
      </c>
    </row>
    <row r="7757" spans="5:9" ht="16.5" hidden="1">
      <c r="E7757" s="4" t="str">
        <v/>
      </c>
      <c r="F7757" s="102" t="str">
        <f ca="1">IFERROR(__xludf.DUMMYFUNCTION("IMPORTRANGE(H7757,""IDENTITAS UNIT!D9"")"),"#N/A")</f>
        <v>#N/A</v>
      </c>
      <c r="H7757" s="4" t="str">
        <v/>
      </c>
      <c r="I7757" s="4" t="str">
        <v/>
      </c>
    </row>
    <row r="7758" spans="5:9" ht="16.5" hidden="1">
      <c r="E7758" s="4" t="str">
        <v/>
      </c>
      <c r="F7758" s="102" t="str">
        <f ca="1">IFERROR(__xludf.DUMMYFUNCTION("IMPORTRANGE(H7758,""IDENTITAS UNIT!D9"")"),"#N/A")</f>
        <v>#N/A</v>
      </c>
      <c r="H7758" s="4" t="str">
        <v/>
      </c>
      <c r="I7758" s="4" t="str">
        <v/>
      </c>
    </row>
    <row r="7759" spans="5:9" ht="16.5" hidden="1">
      <c r="E7759" s="4" t="str">
        <v/>
      </c>
      <c r="F7759" s="102" t="str">
        <f ca="1">IFERROR(__xludf.DUMMYFUNCTION("IMPORTRANGE(H7759,""IDENTITAS UNIT!D9"")"),"#N/A")</f>
        <v>#N/A</v>
      </c>
      <c r="H7759" s="4" t="str">
        <v/>
      </c>
      <c r="I7759" s="4" t="str">
        <v/>
      </c>
    </row>
    <row r="7760" spans="5:9" ht="16.5" hidden="1">
      <c r="E7760" s="4" t="str">
        <v/>
      </c>
      <c r="F7760" s="102" t="str">
        <f ca="1">IFERROR(__xludf.DUMMYFUNCTION("IMPORTRANGE(H7760,""IDENTITAS UNIT!D9"")"),"#N/A")</f>
        <v>#N/A</v>
      </c>
      <c r="H7760" s="4" t="str">
        <v/>
      </c>
      <c r="I7760" s="4" t="str">
        <v/>
      </c>
    </row>
    <row r="7761" spans="5:9" ht="16.5" hidden="1">
      <c r="E7761" s="4" t="str">
        <v/>
      </c>
      <c r="F7761" s="102" t="str">
        <f ca="1">IFERROR(__xludf.DUMMYFUNCTION("IMPORTRANGE(H7761,""IDENTITAS UNIT!D9"")"),"#N/A")</f>
        <v>#N/A</v>
      </c>
      <c r="H7761" s="4" t="str">
        <v/>
      </c>
      <c r="I7761" s="4" t="str">
        <v/>
      </c>
    </row>
    <row r="7762" spans="5:9" ht="16.5" hidden="1">
      <c r="E7762" s="4" t="str">
        <v/>
      </c>
      <c r="F7762" s="102" t="str">
        <f ca="1">IFERROR(__xludf.DUMMYFUNCTION("IMPORTRANGE(H7762,""IDENTITAS UNIT!D9"")"),"#N/A")</f>
        <v>#N/A</v>
      </c>
      <c r="H7762" s="4" t="str">
        <v/>
      </c>
      <c r="I7762" s="4" t="str">
        <v/>
      </c>
    </row>
    <row r="7763" spans="5:9" ht="16.5" hidden="1">
      <c r="E7763" s="4" t="str">
        <v/>
      </c>
      <c r="F7763" s="102" t="str">
        <f ca="1">IFERROR(__xludf.DUMMYFUNCTION("IMPORTRANGE(H7763,""IDENTITAS UNIT!D9"")"),"#N/A")</f>
        <v>#N/A</v>
      </c>
      <c r="H7763" s="4" t="str">
        <v/>
      </c>
      <c r="I7763" s="4" t="str">
        <v/>
      </c>
    </row>
    <row r="7764" spans="5:9" ht="16.5" hidden="1">
      <c r="E7764" s="4" t="str">
        <v/>
      </c>
      <c r="F7764" s="102" t="str">
        <f ca="1">IFERROR(__xludf.DUMMYFUNCTION("IMPORTRANGE(H7764,""IDENTITAS UNIT!D9"")"),"#N/A")</f>
        <v>#N/A</v>
      </c>
      <c r="H7764" s="4" t="str">
        <v/>
      </c>
      <c r="I7764" s="4" t="str">
        <v/>
      </c>
    </row>
    <row r="7765" spans="5:9" ht="16.5" hidden="1">
      <c r="E7765" s="4" t="str">
        <v/>
      </c>
      <c r="F7765" s="102" t="str">
        <f ca="1">IFERROR(__xludf.DUMMYFUNCTION("IMPORTRANGE(H7765,""IDENTITAS UNIT!D9"")"),"#N/A")</f>
        <v>#N/A</v>
      </c>
      <c r="H7765" s="4" t="str">
        <v/>
      </c>
      <c r="I7765" s="4" t="str">
        <v/>
      </c>
    </row>
    <row r="7766" spans="5:9" ht="16.5" hidden="1">
      <c r="E7766" s="4" t="str">
        <v/>
      </c>
      <c r="F7766" s="102" t="str">
        <f ca="1">IFERROR(__xludf.DUMMYFUNCTION("IMPORTRANGE(H7766,""IDENTITAS UNIT!D9"")"),"#N/A")</f>
        <v>#N/A</v>
      </c>
      <c r="H7766" s="4" t="str">
        <v/>
      </c>
      <c r="I7766" s="4" t="str">
        <v/>
      </c>
    </row>
    <row r="7767" spans="5:9" ht="16.5" hidden="1">
      <c r="E7767" s="4" t="str">
        <v/>
      </c>
      <c r="F7767" s="102" t="str">
        <f ca="1">IFERROR(__xludf.DUMMYFUNCTION("IMPORTRANGE(H7767,""IDENTITAS UNIT!D9"")"),"#N/A")</f>
        <v>#N/A</v>
      </c>
      <c r="H7767" s="4" t="str">
        <v/>
      </c>
      <c r="I7767" s="4" t="str">
        <v/>
      </c>
    </row>
    <row r="7768" spans="5:9" ht="16.5" hidden="1">
      <c r="E7768" s="4" t="str">
        <v/>
      </c>
      <c r="F7768" s="102" t="str">
        <f ca="1">IFERROR(__xludf.DUMMYFUNCTION("IMPORTRANGE(H7768,""IDENTITAS UNIT!D9"")"),"#N/A")</f>
        <v>#N/A</v>
      </c>
      <c r="H7768" s="4" t="str">
        <v/>
      </c>
      <c r="I7768" s="4" t="str">
        <v/>
      </c>
    </row>
    <row r="7769" spans="5:9" ht="16.5" hidden="1">
      <c r="E7769" s="4" t="str">
        <v/>
      </c>
      <c r="F7769" s="102" t="str">
        <f ca="1">IFERROR(__xludf.DUMMYFUNCTION("IMPORTRANGE(H7769,""IDENTITAS UNIT!D9"")"),"#N/A")</f>
        <v>#N/A</v>
      </c>
      <c r="H7769" s="4" t="str">
        <v/>
      </c>
      <c r="I7769" s="4" t="str">
        <v/>
      </c>
    </row>
    <row r="7770" spans="5:9" ht="16.5" hidden="1">
      <c r="E7770" s="4" t="str">
        <v/>
      </c>
      <c r="F7770" s="102" t="str">
        <f ca="1">IFERROR(__xludf.DUMMYFUNCTION("IMPORTRANGE(H7770,""IDENTITAS UNIT!D9"")"),"#N/A")</f>
        <v>#N/A</v>
      </c>
      <c r="H7770" s="4" t="str">
        <v/>
      </c>
      <c r="I7770" s="4" t="str">
        <v/>
      </c>
    </row>
    <row r="7771" spans="5:9" ht="16.5" hidden="1">
      <c r="E7771" s="4" t="str">
        <v/>
      </c>
      <c r="F7771" s="102" t="str">
        <f ca="1">IFERROR(__xludf.DUMMYFUNCTION("IMPORTRANGE(H7771,""IDENTITAS UNIT!D9"")"),"#N/A")</f>
        <v>#N/A</v>
      </c>
      <c r="H7771" s="4" t="str">
        <v/>
      </c>
      <c r="I7771" s="4" t="str">
        <v/>
      </c>
    </row>
    <row r="7772" spans="5:9" ht="16.5" hidden="1">
      <c r="E7772" s="4" t="str">
        <v/>
      </c>
      <c r="F7772" s="102" t="str">
        <f ca="1">IFERROR(__xludf.DUMMYFUNCTION("IMPORTRANGE(H7772,""IDENTITAS UNIT!D9"")"),"#N/A")</f>
        <v>#N/A</v>
      </c>
      <c r="H7772" s="4" t="str">
        <v/>
      </c>
      <c r="I7772" s="4" t="str">
        <v/>
      </c>
    </row>
    <row r="7773" spans="5:9" ht="16.5" hidden="1">
      <c r="E7773" s="4" t="str">
        <v/>
      </c>
      <c r="F7773" s="102" t="str">
        <f ca="1">IFERROR(__xludf.DUMMYFUNCTION("IMPORTRANGE(H7773,""IDENTITAS UNIT!D9"")"),"#N/A")</f>
        <v>#N/A</v>
      </c>
      <c r="H7773" s="4" t="str">
        <v/>
      </c>
      <c r="I7773" s="4" t="str">
        <v/>
      </c>
    </row>
    <row r="7774" spans="5:9" ht="16.5" hidden="1">
      <c r="E7774" s="4" t="str">
        <v/>
      </c>
      <c r="F7774" s="102" t="str">
        <f ca="1">IFERROR(__xludf.DUMMYFUNCTION("IMPORTRANGE(H7774,""IDENTITAS UNIT!D9"")"),"#N/A")</f>
        <v>#N/A</v>
      </c>
      <c r="H7774" s="4" t="str">
        <v/>
      </c>
      <c r="I7774" s="4" t="str">
        <v/>
      </c>
    </row>
    <row r="7775" spans="5:9" ht="16.5" hidden="1">
      <c r="E7775" s="4" t="str">
        <v/>
      </c>
      <c r="F7775" s="102" t="str">
        <f ca="1">IFERROR(__xludf.DUMMYFUNCTION("IMPORTRANGE(H7775,""IDENTITAS UNIT!D9"")"),"#N/A")</f>
        <v>#N/A</v>
      </c>
      <c r="H7775" s="4" t="str">
        <v/>
      </c>
      <c r="I7775" s="4" t="str">
        <v/>
      </c>
    </row>
    <row r="7776" spans="5:9" ht="16.5" hidden="1">
      <c r="E7776" s="4" t="str">
        <v/>
      </c>
      <c r="F7776" s="102" t="str">
        <f ca="1">IFERROR(__xludf.DUMMYFUNCTION("IMPORTRANGE(H7776,""IDENTITAS UNIT!D9"")"),"#N/A")</f>
        <v>#N/A</v>
      </c>
      <c r="H7776" s="4" t="str">
        <v/>
      </c>
      <c r="I7776" s="4" t="str">
        <v/>
      </c>
    </row>
    <row r="7777" spans="5:9" ht="16.5" hidden="1">
      <c r="E7777" s="4" t="str">
        <v/>
      </c>
      <c r="F7777" s="102" t="str">
        <f ca="1">IFERROR(__xludf.DUMMYFUNCTION("IMPORTRANGE(H7777,""IDENTITAS UNIT!D9"")"),"#N/A")</f>
        <v>#N/A</v>
      </c>
      <c r="H7777" s="4" t="str">
        <v/>
      </c>
      <c r="I7777" s="4" t="str">
        <v/>
      </c>
    </row>
    <row r="7778" spans="5:9" ht="16.5" hidden="1">
      <c r="E7778" s="4" t="str">
        <v/>
      </c>
      <c r="F7778" s="102" t="str">
        <f ca="1">IFERROR(__xludf.DUMMYFUNCTION("IMPORTRANGE(H7778,""IDENTITAS UNIT!D9"")"),"#N/A")</f>
        <v>#N/A</v>
      </c>
      <c r="H7778" s="4" t="str">
        <v/>
      </c>
      <c r="I7778" s="4" t="str">
        <v/>
      </c>
    </row>
    <row r="7779" spans="5:9" ht="16.5" hidden="1">
      <c r="E7779" s="4" t="str">
        <v/>
      </c>
      <c r="F7779" s="102" t="str">
        <f ca="1">IFERROR(__xludf.DUMMYFUNCTION("IMPORTRANGE(H7779,""IDENTITAS UNIT!D9"")"),"#N/A")</f>
        <v>#N/A</v>
      </c>
      <c r="H7779" s="4" t="str">
        <v/>
      </c>
      <c r="I7779" s="4" t="str">
        <v/>
      </c>
    </row>
    <row r="7780" spans="5:9" ht="16.5" hidden="1">
      <c r="E7780" s="4" t="str">
        <v/>
      </c>
      <c r="F7780" s="102" t="str">
        <f ca="1">IFERROR(__xludf.DUMMYFUNCTION("IMPORTRANGE(H7780,""IDENTITAS UNIT!D9"")"),"#N/A")</f>
        <v>#N/A</v>
      </c>
      <c r="H7780" s="4" t="str">
        <v/>
      </c>
      <c r="I7780" s="4" t="str">
        <v/>
      </c>
    </row>
    <row r="7781" spans="5:9" ht="16.5" hidden="1">
      <c r="E7781" s="4" t="str">
        <v/>
      </c>
      <c r="F7781" s="102" t="str">
        <f ca="1">IFERROR(__xludf.DUMMYFUNCTION("IMPORTRANGE(H7781,""IDENTITAS UNIT!D9"")"),"#N/A")</f>
        <v>#N/A</v>
      </c>
      <c r="H7781" s="4" t="str">
        <v/>
      </c>
      <c r="I7781" s="4" t="str">
        <v/>
      </c>
    </row>
    <row r="7782" spans="5:9" ht="16.5" hidden="1">
      <c r="E7782" s="4" t="str">
        <v/>
      </c>
      <c r="F7782" s="102" t="str">
        <f ca="1">IFERROR(__xludf.DUMMYFUNCTION("IMPORTRANGE(H7782,""IDENTITAS UNIT!D9"")"),"#N/A")</f>
        <v>#N/A</v>
      </c>
      <c r="H7782" s="4" t="str">
        <v/>
      </c>
      <c r="I7782" s="4" t="str">
        <v/>
      </c>
    </row>
    <row r="7783" spans="5:9" ht="16.5" hidden="1">
      <c r="E7783" s="4" t="str">
        <v/>
      </c>
      <c r="F7783" s="102" t="str">
        <f ca="1">IFERROR(__xludf.DUMMYFUNCTION("IMPORTRANGE(H7783,""IDENTITAS UNIT!D9"")"),"#N/A")</f>
        <v>#N/A</v>
      </c>
      <c r="H7783" s="4" t="str">
        <v/>
      </c>
      <c r="I7783" s="4" t="str">
        <v/>
      </c>
    </row>
    <row r="7784" spans="5:9" ht="16.5" hidden="1">
      <c r="E7784" s="4" t="str">
        <v/>
      </c>
      <c r="F7784" s="102" t="str">
        <f ca="1">IFERROR(__xludf.DUMMYFUNCTION("IMPORTRANGE(H7784,""IDENTITAS UNIT!D9"")"),"#N/A")</f>
        <v>#N/A</v>
      </c>
      <c r="H7784" s="4" t="str">
        <v/>
      </c>
      <c r="I7784" s="4" t="str">
        <v/>
      </c>
    </row>
    <row r="7785" spans="5:9" ht="16.5" hidden="1">
      <c r="E7785" s="4" t="str">
        <v/>
      </c>
      <c r="F7785" s="102" t="str">
        <f ca="1">IFERROR(__xludf.DUMMYFUNCTION("IMPORTRANGE(H7785,""IDENTITAS UNIT!D9"")"),"#N/A")</f>
        <v>#N/A</v>
      </c>
      <c r="H7785" s="4" t="str">
        <v/>
      </c>
      <c r="I7785" s="4" t="str">
        <v/>
      </c>
    </row>
    <row r="7786" spans="5:9" ht="16.5" hidden="1">
      <c r="E7786" s="4" t="str">
        <v/>
      </c>
      <c r="F7786" s="102" t="str">
        <f ca="1">IFERROR(__xludf.DUMMYFUNCTION("IMPORTRANGE(H7786,""IDENTITAS UNIT!D9"")"),"#N/A")</f>
        <v>#N/A</v>
      </c>
      <c r="H7786" s="4" t="str">
        <v/>
      </c>
      <c r="I7786" s="4" t="str">
        <v/>
      </c>
    </row>
    <row r="7787" spans="5:9" ht="16.5" hidden="1">
      <c r="E7787" s="4" t="str">
        <v/>
      </c>
      <c r="F7787" s="102" t="str">
        <f ca="1">IFERROR(__xludf.DUMMYFUNCTION("IMPORTRANGE(H7787,""IDENTITAS UNIT!D9"")"),"#N/A")</f>
        <v>#N/A</v>
      </c>
      <c r="H7787" s="4" t="str">
        <v/>
      </c>
      <c r="I7787" s="4" t="str">
        <v/>
      </c>
    </row>
    <row r="7788" spans="5:9" ht="16.5" hidden="1">
      <c r="E7788" s="4" t="str">
        <v/>
      </c>
      <c r="F7788" s="102" t="str">
        <f ca="1">IFERROR(__xludf.DUMMYFUNCTION("IMPORTRANGE(H7788,""IDENTITAS UNIT!D9"")"),"#N/A")</f>
        <v>#N/A</v>
      </c>
      <c r="H7788" s="4" t="str">
        <v/>
      </c>
      <c r="I7788" s="4" t="str">
        <v/>
      </c>
    </row>
    <row r="7789" spans="5:9" ht="16.5" hidden="1">
      <c r="E7789" s="4" t="str">
        <v/>
      </c>
      <c r="F7789" s="102" t="str">
        <f ca="1">IFERROR(__xludf.DUMMYFUNCTION("IMPORTRANGE(H7789,""IDENTITAS UNIT!D9"")"),"#N/A")</f>
        <v>#N/A</v>
      </c>
      <c r="H7789" s="4" t="str">
        <v/>
      </c>
      <c r="I7789" s="4" t="str">
        <v/>
      </c>
    </row>
    <row r="7790" spans="5:9" ht="16.5" hidden="1">
      <c r="E7790" s="4" t="str">
        <v/>
      </c>
      <c r="F7790" s="102" t="str">
        <f ca="1">IFERROR(__xludf.DUMMYFUNCTION("IMPORTRANGE(H7790,""IDENTITAS UNIT!D9"")"),"#N/A")</f>
        <v>#N/A</v>
      </c>
      <c r="H7790" s="4" t="str">
        <v/>
      </c>
      <c r="I7790" s="4" t="str">
        <v/>
      </c>
    </row>
    <row r="7791" spans="5:9" ht="16.5" hidden="1">
      <c r="E7791" s="4" t="str">
        <v/>
      </c>
      <c r="F7791" s="102" t="str">
        <f ca="1">IFERROR(__xludf.DUMMYFUNCTION("IMPORTRANGE(H7791,""IDENTITAS UNIT!D9"")"),"#N/A")</f>
        <v>#N/A</v>
      </c>
      <c r="H7791" s="4" t="str">
        <v/>
      </c>
      <c r="I7791" s="4" t="str">
        <v/>
      </c>
    </row>
    <row r="7792" spans="5:9" ht="16.5" hidden="1">
      <c r="E7792" s="4" t="str">
        <v/>
      </c>
      <c r="F7792" s="102" t="str">
        <f ca="1">IFERROR(__xludf.DUMMYFUNCTION("IMPORTRANGE(H7792,""IDENTITAS UNIT!D9"")"),"#N/A")</f>
        <v>#N/A</v>
      </c>
      <c r="H7792" s="4" t="str">
        <v/>
      </c>
      <c r="I7792" s="4" t="str">
        <v/>
      </c>
    </row>
    <row r="7793" spans="5:9" ht="16.5" hidden="1">
      <c r="E7793" s="4" t="str">
        <v/>
      </c>
      <c r="F7793" s="102" t="str">
        <f ca="1">IFERROR(__xludf.DUMMYFUNCTION("IMPORTRANGE(H7793,""IDENTITAS UNIT!D9"")"),"#N/A")</f>
        <v>#N/A</v>
      </c>
      <c r="H7793" s="4" t="str">
        <v/>
      </c>
      <c r="I7793" s="4" t="str">
        <v/>
      </c>
    </row>
    <row r="7794" spans="5:9" ht="16.5" hidden="1">
      <c r="E7794" s="4" t="str">
        <v/>
      </c>
      <c r="F7794" s="102" t="str">
        <f ca="1">IFERROR(__xludf.DUMMYFUNCTION("IMPORTRANGE(H7794,""IDENTITAS UNIT!D9"")"),"#N/A")</f>
        <v>#N/A</v>
      </c>
      <c r="H7794" s="4" t="str">
        <v/>
      </c>
      <c r="I7794" s="4" t="str">
        <v/>
      </c>
    </row>
    <row r="7795" spans="5:9" ht="16.5" hidden="1">
      <c r="E7795" s="4" t="str">
        <v/>
      </c>
      <c r="F7795" s="102" t="str">
        <f ca="1">IFERROR(__xludf.DUMMYFUNCTION("IMPORTRANGE(H7795,""IDENTITAS UNIT!D9"")"),"#N/A")</f>
        <v>#N/A</v>
      </c>
      <c r="H7795" s="4" t="str">
        <v/>
      </c>
      <c r="I7795" s="4" t="str">
        <v/>
      </c>
    </row>
    <row r="7796" spans="5:9" ht="16.5" hidden="1">
      <c r="E7796" s="4" t="str">
        <v/>
      </c>
      <c r="F7796" s="102" t="str">
        <f ca="1">IFERROR(__xludf.DUMMYFUNCTION("IMPORTRANGE(H7796,""IDENTITAS UNIT!D9"")"),"#N/A")</f>
        <v>#N/A</v>
      </c>
      <c r="H7796" s="4" t="str">
        <v/>
      </c>
      <c r="I7796" s="4" t="str">
        <v/>
      </c>
    </row>
    <row r="7797" spans="5:9" ht="16.5" hidden="1">
      <c r="E7797" s="4" t="str">
        <v/>
      </c>
      <c r="F7797" s="102" t="str">
        <f ca="1">IFERROR(__xludf.DUMMYFUNCTION("IMPORTRANGE(H7797,""IDENTITAS UNIT!D9"")"),"#N/A")</f>
        <v>#N/A</v>
      </c>
      <c r="H7797" s="4" t="str">
        <v/>
      </c>
      <c r="I7797" s="4" t="str">
        <v/>
      </c>
    </row>
    <row r="7798" spans="5:9" ht="16.5" hidden="1">
      <c r="E7798" s="4" t="str">
        <v/>
      </c>
      <c r="F7798" s="102" t="str">
        <f ca="1">IFERROR(__xludf.DUMMYFUNCTION("IMPORTRANGE(H7798,""IDENTITAS UNIT!D9"")"),"#N/A")</f>
        <v>#N/A</v>
      </c>
      <c r="H7798" s="4" t="str">
        <v/>
      </c>
      <c r="I7798" s="4" t="str">
        <v/>
      </c>
    </row>
    <row r="7799" spans="5:9" ht="16.5" hidden="1">
      <c r="E7799" s="4" t="str">
        <v/>
      </c>
      <c r="F7799" s="102" t="str">
        <f ca="1">IFERROR(__xludf.DUMMYFUNCTION("IMPORTRANGE(H7799,""IDENTITAS UNIT!D9"")"),"#N/A")</f>
        <v>#N/A</v>
      </c>
      <c r="H7799" s="4" t="str">
        <v/>
      </c>
      <c r="I7799" s="4" t="str">
        <v/>
      </c>
    </row>
    <row r="7800" spans="5:9" ht="16.5" hidden="1">
      <c r="E7800" s="4" t="str">
        <v/>
      </c>
      <c r="F7800" s="102" t="str">
        <f ca="1">IFERROR(__xludf.DUMMYFUNCTION("IMPORTRANGE(H7800,""IDENTITAS UNIT!D9"")"),"#N/A")</f>
        <v>#N/A</v>
      </c>
      <c r="H7800" s="4" t="str">
        <v/>
      </c>
      <c r="I7800" s="4" t="str">
        <v/>
      </c>
    </row>
    <row r="7801" spans="5:9" ht="16.5" hidden="1">
      <c r="E7801" s="4" t="str">
        <v/>
      </c>
      <c r="F7801" s="102" t="str">
        <f ca="1">IFERROR(__xludf.DUMMYFUNCTION("IMPORTRANGE(H7801,""IDENTITAS UNIT!D9"")"),"#N/A")</f>
        <v>#N/A</v>
      </c>
      <c r="H7801" s="4" t="str">
        <v/>
      </c>
      <c r="I7801" s="4" t="str">
        <v/>
      </c>
    </row>
    <row r="7802" spans="5:9" ht="16.5" hidden="1">
      <c r="E7802" s="4" t="str">
        <v/>
      </c>
      <c r="F7802" s="102" t="str">
        <f ca="1">IFERROR(__xludf.DUMMYFUNCTION("IMPORTRANGE(H7802,""IDENTITAS UNIT!D9"")"),"#N/A")</f>
        <v>#N/A</v>
      </c>
      <c r="H7802" s="4" t="str">
        <v/>
      </c>
      <c r="I7802" s="4" t="str">
        <v/>
      </c>
    </row>
    <row r="7803" spans="5:9" ht="16.5" hidden="1">
      <c r="E7803" s="4" t="str">
        <v/>
      </c>
      <c r="F7803" s="102" t="str">
        <f ca="1">IFERROR(__xludf.DUMMYFUNCTION("IMPORTRANGE(H7803,""IDENTITAS UNIT!D9"")"),"#N/A")</f>
        <v>#N/A</v>
      </c>
      <c r="H7803" s="4" t="str">
        <v/>
      </c>
      <c r="I7803" s="4" t="str">
        <v/>
      </c>
    </row>
    <row r="7804" spans="5:9" ht="16.5" hidden="1">
      <c r="E7804" s="4" t="str">
        <v/>
      </c>
      <c r="F7804" s="102" t="str">
        <f ca="1">IFERROR(__xludf.DUMMYFUNCTION("IMPORTRANGE(H7804,""IDENTITAS UNIT!D9"")"),"#N/A")</f>
        <v>#N/A</v>
      </c>
      <c r="H7804" s="4" t="str">
        <v/>
      </c>
      <c r="I7804" s="4" t="str">
        <v/>
      </c>
    </row>
    <row r="7805" spans="5:9" ht="16.5" hidden="1">
      <c r="E7805" s="4" t="str">
        <v/>
      </c>
      <c r="F7805" s="102" t="str">
        <f ca="1">IFERROR(__xludf.DUMMYFUNCTION("IMPORTRANGE(H7805,""IDENTITAS UNIT!D9"")"),"#N/A")</f>
        <v>#N/A</v>
      </c>
      <c r="H7805" s="4" t="str">
        <v/>
      </c>
      <c r="I7805" s="4" t="str">
        <v/>
      </c>
    </row>
    <row r="7806" spans="5:9" ht="16.5" hidden="1">
      <c r="E7806" s="4" t="str">
        <v/>
      </c>
      <c r="F7806" s="102" t="str">
        <f ca="1">IFERROR(__xludf.DUMMYFUNCTION("IMPORTRANGE(H7806,""IDENTITAS UNIT!D9"")"),"#N/A")</f>
        <v>#N/A</v>
      </c>
      <c r="H7806" s="4" t="str">
        <v/>
      </c>
      <c r="I7806" s="4" t="str">
        <v/>
      </c>
    </row>
    <row r="7807" spans="5:9" ht="16.5" hidden="1">
      <c r="E7807" s="4" t="str">
        <v/>
      </c>
      <c r="F7807" s="102" t="str">
        <f ca="1">IFERROR(__xludf.DUMMYFUNCTION("IMPORTRANGE(H7807,""IDENTITAS UNIT!D9"")"),"#N/A")</f>
        <v>#N/A</v>
      </c>
      <c r="H7807" s="4" t="str">
        <v/>
      </c>
      <c r="I7807" s="4" t="str">
        <v/>
      </c>
    </row>
    <row r="7808" spans="5:9" ht="16.5" hidden="1">
      <c r="E7808" s="4" t="str">
        <v/>
      </c>
      <c r="F7808" s="102" t="str">
        <f ca="1">IFERROR(__xludf.DUMMYFUNCTION("IMPORTRANGE(H7808,""IDENTITAS UNIT!D9"")"),"#N/A")</f>
        <v>#N/A</v>
      </c>
      <c r="H7808" s="4" t="str">
        <v/>
      </c>
      <c r="I7808" s="4" t="str">
        <v/>
      </c>
    </row>
    <row r="7809" spans="5:9" ht="16.5" hidden="1">
      <c r="E7809" s="4" t="str">
        <v/>
      </c>
      <c r="F7809" s="102" t="str">
        <f ca="1">IFERROR(__xludf.DUMMYFUNCTION("IMPORTRANGE(H7809,""IDENTITAS UNIT!D9"")"),"#N/A")</f>
        <v>#N/A</v>
      </c>
      <c r="H7809" s="4" t="str">
        <v/>
      </c>
      <c r="I7809" s="4" t="str">
        <v/>
      </c>
    </row>
    <row r="7810" spans="5:9" ht="16.5" hidden="1">
      <c r="E7810" s="4" t="str">
        <v/>
      </c>
      <c r="F7810" s="102" t="str">
        <f ca="1">IFERROR(__xludf.DUMMYFUNCTION("IMPORTRANGE(H7810,""IDENTITAS UNIT!D9"")"),"#N/A")</f>
        <v>#N/A</v>
      </c>
      <c r="H7810" s="4" t="str">
        <v/>
      </c>
      <c r="I7810" s="4" t="str">
        <v/>
      </c>
    </row>
    <row r="7811" spans="5:9" ht="16.5" hidden="1">
      <c r="E7811" s="4" t="str">
        <v/>
      </c>
      <c r="F7811" s="102" t="str">
        <f ca="1">IFERROR(__xludf.DUMMYFUNCTION("IMPORTRANGE(H7811,""IDENTITAS UNIT!D9"")"),"#N/A")</f>
        <v>#N/A</v>
      </c>
      <c r="H7811" s="4" t="str">
        <v/>
      </c>
      <c r="I7811" s="4" t="str">
        <v/>
      </c>
    </row>
    <row r="7812" spans="5:9" ht="16.5" hidden="1">
      <c r="E7812" s="4" t="str">
        <v/>
      </c>
      <c r="F7812" s="102" t="str">
        <f ca="1">IFERROR(__xludf.DUMMYFUNCTION("IMPORTRANGE(H7812,""IDENTITAS UNIT!D9"")"),"#N/A")</f>
        <v>#N/A</v>
      </c>
      <c r="H7812" s="4" t="str">
        <v/>
      </c>
      <c r="I7812" s="4" t="str">
        <v/>
      </c>
    </row>
    <row r="7813" spans="5:9" ht="16.5" hidden="1">
      <c r="E7813" s="4" t="str">
        <v/>
      </c>
      <c r="F7813" s="102" t="str">
        <f ca="1">IFERROR(__xludf.DUMMYFUNCTION("IMPORTRANGE(H7813,""IDENTITAS UNIT!D9"")"),"#N/A")</f>
        <v>#N/A</v>
      </c>
      <c r="H7813" s="4" t="str">
        <v/>
      </c>
      <c r="I7813" s="4" t="str">
        <v/>
      </c>
    </row>
    <row r="7814" spans="5:9" ht="16.5" hidden="1">
      <c r="E7814" s="4" t="str">
        <v/>
      </c>
      <c r="F7814" s="102" t="str">
        <f ca="1">IFERROR(__xludf.DUMMYFUNCTION("IMPORTRANGE(H7814,""IDENTITAS UNIT!D9"")"),"#N/A")</f>
        <v>#N/A</v>
      </c>
      <c r="H7814" s="4" t="str">
        <v/>
      </c>
      <c r="I7814" s="4" t="str">
        <v/>
      </c>
    </row>
    <row r="7815" spans="5:9" ht="16.5" hidden="1">
      <c r="E7815" s="4" t="str">
        <v/>
      </c>
      <c r="F7815" s="102" t="str">
        <f ca="1">IFERROR(__xludf.DUMMYFUNCTION("IMPORTRANGE(H7815,""IDENTITAS UNIT!D9"")"),"#N/A")</f>
        <v>#N/A</v>
      </c>
      <c r="H7815" s="4" t="str">
        <v/>
      </c>
      <c r="I7815" s="4" t="str">
        <v/>
      </c>
    </row>
    <row r="7816" spans="5:9" ht="16.5" hidden="1">
      <c r="E7816" s="4" t="str">
        <v/>
      </c>
      <c r="F7816" s="102" t="str">
        <f ca="1">IFERROR(__xludf.DUMMYFUNCTION("IMPORTRANGE(H7816,""IDENTITAS UNIT!D9"")"),"#N/A")</f>
        <v>#N/A</v>
      </c>
      <c r="H7816" s="4" t="str">
        <v/>
      </c>
      <c r="I7816" s="4" t="str">
        <v/>
      </c>
    </row>
    <row r="7817" spans="5:9" ht="16.5" hidden="1">
      <c r="E7817" s="4" t="str">
        <v/>
      </c>
      <c r="F7817" s="102" t="str">
        <f ca="1">IFERROR(__xludf.DUMMYFUNCTION("IMPORTRANGE(H7817,""IDENTITAS UNIT!D9"")"),"#N/A")</f>
        <v>#N/A</v>
      </c>
      <c r="H7817" s="4" t="str">
        <v/>
      </c>
      <c r="I7817" s="4" t="str">
        <v/>
      </c>
    </row>
    <row r="7818" spans="5:9" ht="16.5" hidden="1">
      <c r="E7818" s="4" t="str">
        <v/>
      </c>
      <c r="F7818" s="102" t="str">
        <f ca="1">IFERROR(__xludf.DUMMYFUNCTION("IMPORTRANGE(H7818,""IDENTITAS UNIT!D9"")"),"#N/A")</f>
        <v>#N/A</v>
      </c>
      <c r="H7818" s="4" t="str">
        <v/>
      </c>
      <c r="I7818" s="4" t="str">
        <v/>
      </c>
    </row>
    <row r="7819" spans="5:9" ht="16.5" hidden="1">
      <c r="E7819" s="4" t="str">
        <v/>
      </c>
      <c r="F7819" s="102" t="str">
        <f ca="1">IFERROR(__xludf.DUMMYFUNCTION("IMPORTRANGE(H7819,""IDENTITAS UNIT!D9"")"),"#N/A")</f>
        <v>#N/A</v>
      </c>
      <c r="H7819" s="4" t="str">
        <v/>
      </c>
      <c r="I7819" s="4" t="str">
        <v/>
      </c>
    </row>
    <row r="7820" spans="5:9" ht="16.5" hidden="1">
      <c r="E7820" s="4" t="str">
        <v/>
      </c>
      <c r="F7820" s="102" t="str">
        <f ca="1">IFERROR(__xludf.DUMMYFUNCTION("IMPORTRANGE(H7820,""IDENTITAS UNIT!D9"")"),"#N/A")</f>
        <v>#N/A</v>
      </c>
      <c r="H7820" s="4" t="str">
        <v/>
      </c>
      <c r="I7820" s="4" t="str">
        <v/>
      </c>
    </row>
    <row r="7821" spans="5:9" ht="16.5" hidden="1">
      <c r="E7821" s="4" t="str">
        <v/>
      </c>
      <c r="F7821" s="102" t="str">
        <f ca="1">IFERROR(__xludf.DUMMYFUNCTION("IMPORTRANGE(H7821,""IDENTITAS UNIT!D9"")"),"#N/A")</f>
        <v>#N/A</v>
      </c>
      <c r="H7821" s="4" t="str">
        <v/>
      </c>
      <c r="I7821" s="4" t="str">
        <v/>
      </c>
    </row>
    <row r="7822" spans="5:9" ht="16.5" hidden="1">
      <c r="E7822" s="4" t="str">
        <v/>
      </c>
      <c r="F7822" s="102" t="str">
        <f ca="1">IFERROR(__xludf.DUMMYFUNCTION("IMPORTRANGE(H7822,""IDENTITAS UNIT!D9"")"),"#N/A")</f>
        <v>#N/A</v>
      </c>
      <c r="H7822" s="4" t="str">
        <v/>
      </c>
      <c r="I7822" s="4" t="str">
        <v/>
      </c>
    </row>
    <row r="7823" spans="5:9" ht="16.5" hidden="1">
      <c r="E7823" s="4" t="str">
        <v/>
      </c>
      <c r="F7823" s="102" t="str">
        <f ca="1">IFERROR(__xludf.DUMMYFUNCTION("IMPORTRANGE(H7823,""IDENTITAS UNIT!D9"")"),"#N/A")</f>
        <v>#N/A</v>
      </c>
      <c r="H7823" s="4" t="str">
        <v/>
      </c>
      <c r="I7823" s="4" t="str">
        <v/>
      </c>
    </row>
    <row r="7824" spans="5:9" ht="16.5" hidden="1">
      <c r="E7824" s="4" t="str">
        <v/>
      </c>
      <c r="F7824" s="102" t="str">
        <f ca="1">IFERROR(__xludf.DUMMYFUNCTION("IMPORTRANGE(H7824,""IDENTITAS UNIT!D9"")"),"#N/A")</f>
        <v>#N/A</v>
      </c>
      <c r="H7824" s="4" t="str">
        <v/>
      </c>
      <c r="I7824" s="4" t="str">
        <v/>
      </c>
    </row>
    <row r="7825" spans="5:9" ht="16.5" hidden="1">
      <c r="E7825" s="4" t="str">
        <v/>
      </c>
      <c r="F7825" s="102" t="str">
        <f ca="1">IFERROR(__xludf.DUMMYFUNCTION("IMPORTRANGE(H7825,""IDENTITAS UNIT!D9"")"),"#N/A")</f>
        <v>#N/A</v>
      </c>
      <c r="H7825" s="4" t="str">
        <v/>
      </c>
      <c r="I7825" s="4" t="str">
        <v/>
      </c>
    </row>
    <row r="7826" spans="5:9" ht="16.5" hidden="1">
      <c r="E7826" s="4" t="str">
        <v/>
      </c>
      <c r="F7826" s="102" t="str">
        <f ca="1">IFERROR(__xludf.DUMMYFUNCTION("IMPORTRANGE(H7826,""IDENTITAS UNIT!D9"")"),"#N/A")</f>
        <v>#N/A</v>
      </c>
      <c r="H7826" s="4" t="str">
        <v/>
      </c>
      <c r="I7826" s="4" t="str">
        <v/>
      </c>
    </row>
    <row r="7827" spans="5:9" ht="16.5" hidden="1">
      <c r="E7827" s="4" t="str">
        <v/>
      </c>
      <c r="F7827" s="102" t="str">
        <f ca="1">IFERROR(__xludf.DUMMYFUNCTION("IMPORTRANGE(H7827,""IDENTITAS UNIT!D9"")"),"#N/A")</f>
        <v>#N/A</v>
      </c>
      <c r="H7827" s="4" t="str">
        <v/>
      </c>
      <c r="I7827" s="4" t="str">
        <v/>
      </c>
    </row>
    <row r="7828" spans="5:9" ht="16.5" hidden="1">
      <c r="E7828" s="4" t="str">
        <v/>
      </c>
      <c r="F7828" s="102" t="str">
        <f ca="1">IFERROR(__xludf.DUMMYFUNCTION("IMPORTRANGE(H7828,""IDENTITAS UNIT!D9"")"),"#N/A")</f>
        <v>#N/A</v>
      </c>
      <c r="H7828" s="4" t="str">
        <v/>
      </c>
      <c r="I7828" s="4" t="str">
        <v/>
      </c>
    </row>
    <row r="7829" spans="5:9" ht="16.5" hidden="1">
      <c r="E7829" s="4" t="str">
        <v/>
      </c>
      <c r="F7829" s="102" t="str">
        <f ca="1">IFERROR(__xludf.DUMMYFUNCTION("IMPORTRANGE(H7829,""IDENTITAS UNIT!D9"")"),"#N/A")</f>
        <v>#N/A</v>
      </c>
      <c r="H7829" s="4" t="str">
        <v/>
      </c>
      <c r="I7829" s="4" t="str">
        <v/>
      </c>
    </row>
    <row r="7830" spans="5:9" ht="16.5" hidden="1">
      <c r="E7830" s="4" t="str">
        <v/>
      </c>
      <c r="F7830" s="102" t="str">
        <f ca="1">IFERROR(__xludf.DUMMYFUNCTION("IMPORTRANGE(H7830,""IDENTITAS UNIT!D9"")"),"#N/A")</f>
        <v>#N/A</v>
      </c>
      <c r="H7830" s="4" t="str">
        <v/>
      </c>
      <c r="I7830" s="4" t="str">
        <v/>
      </c>
    </row>
    <row r="7831" spans="5:9" ht="16.5" hidden="1">
      <c r="E7831" s="4" t="str">
        <v/>
      </c>
      <c r="F7831" s="102" t="str">
        <f ca="1">IFERROR(__xludf.DUMMYFUNCTION("IMPORTRANGE(H7831,""IDENTITAS UNIT!D9"")"),"#N/A")</f>
        <v>#N/A</v>
      </c>
      <c r="H7831" s="4" t="str">
        <v/>
      </c>
      <c r="I7831" s="4" t="str">
        <v/>
      </c>
    </row>
    <row r="7832" spans="5:9" ht="16.5" hidden="1">
      <c r="E7832" s="4" t="str">
        <v/>
      </c>
      <c r="F7832" s="102" t="str">
        <f ca="1">IFERROR(__xludf.DUMMYFUNCTION("IMPORTRANGE(H7832,""IDENTITAS UNIT!D9"")"),"#N/A")</f>
        <v>#N/A</v>
      </c>
      <c r="H7832" s="4" t="str">
        <v/>
      </c>
      <c r="I7832" s="4" t="str">
        <v/>
      </c>
    </row>
    <row r="7833" spans="5:9" ht="16.5" hidden="1">
      <c r="E7833" s="4" t="str">
        <v/>
      </c>
      <c r="F7833" s="102" t="str">
        <f ca="1">IFERROR(__xludf.DUMMYFUNCTION("IMPORTRANGE(H7833,""IDENTITAS UNIT!D9"")"),"#N/A")</f>
        <v>#N/A</v>
      </c>
      <c r="H7833" s="4" t="str">
        <v/>
      </c>
      <c r="I7833" s="4" t="str">
        <v/>
      </c>
    </row>
    <row r="7834" spans="5:9" ht="16.5" hidden="1">
      <c r="E7834" s="4" t="str">
        <v/>
      </c>
      <c r="F7834" s="102" t="str">
        <f ca="1">IFERROR(__xludf.DUMMYFUNCTION("IMPORTRANGE(H7834,""IDENTITAS UNIT!D9"")"),"#N/A")</f>
        <v>#N/A</v>
      </c>
      <c r="H7834" s="4" t="str">
        <v/>
      </c>
      <c r="I7834" s="4" t="str">
        <v/>
      </c>
    </row>
    <row r="7835" spans="5:9" ht="16.5" hidden="1">
      <c r="E7835" s="4" t="str">
        <v/>
      </c>
      <c r="F7835" s="102" t="str">
        <f ca="1">IFERROR(__xludf.DUMMYFUNCTION("IMPORTRANGE(H7835,""IDENTITAS UNIT!D9"")"),"#N/A")</f>
        <v>#N/A</v>
      </c>
      <c r="H7835" s="4" t="str">
        <v/>
      </c>
      <c r="I7835" s="4" t="str">
        <v/>
      </c>
    </row>
    <row r="7836" spans="5:9" ht="16.5" hidden="1">
      <c r="E7836" s="4" t="str">
        <v/>
      </c>
      <c r="F7836" s="102" t="str">
        <f ca="1">IFERROR(__xludf.DUMMYFUNCTION("IMPORTRANGE(H7836,""IDENTITAS UNIT!D9"")"),"#N/A")</f>
        <v>#N/A</v>
      </c>
      <c r="H7836" s="4" t="str">
        <v/>
      </c>
      <c r="I7836" s="4" t="str">
        <v/>
      </c>
    </row>
    <row r="7837" spans="5:9" ht="16.5" hidden="1">
      <c r="E7837" s="4" t="str">
        <v/>
      </c>
      <c r="F7837" s="102" t="str">
        <f ca="1">IFERROR(__xludf.DUMMYFUNCTION("IMPORTRANGE(H7837,""IDENTITAS UNIT!D9"")"),"#N/A")</f>
        <v>#N/A</v>
      </c>
      <c r="H7837" s="4" t="str">
        <v/>
      </c>
      <c r="I7837" s="4" t="str">
        <v/>
      </c>
    </row>
    <row r="7838" spans="5:9" ht="16.5" hidden="1">
      <c r="E7838" s="4" t="str">
        <v/>
      </c>
      <c r="F7838" s="102" t="str">
        <f ca="1">IFERROR(__xludf.DUMMYFUNCTION("IMPORTRANGE(H7838,""IDENTITAS UNIT!D9"")"),"#N/A")</f>
        <v>#N/A</v>
      </c>
      <c r="H7838" s="4" t="str">
        <v/>
      </c>
      <c r="I7838" s="4" t="str">
        <v/>
      </c>
    </row>
    <row r="7839" spans="5:9" ht="16.5" hidden="1">
      <c r="E7839" s="4" t="str">
        <v/>
      </c>
      <c r="F7839" s="102" t="str">
        <f ca="1">IFERROR(__xludf.DUMMYFUNCTION("IMPORTRANGE(H7839,""IDENTITAS UNIT!D9"")"),"#N/A")</f>
        <v>#N/A</v>
      </c>
      <c r="H7839" s="4" t="str">
        <v/>
      </c>
      <c r="I7839" s="4" t="str">
        <v/>
      </c>
    </row>
    <row r="7840" spans="5:9" ht="16.5" hidden="1">
      <c r="E7840" s="4" t="str">
        <v/>
      </c>
      <c r="F7840" s="102" t="str">
        <f ca="1">IFERROR(__xludf.DUMMYFUNCTION("IMPORTRANGE(H7840,""IDENTITAS UNIT!D9"")"),"#N/A")</f>
        <v>#N/A</v>
      </c>
      <c r="H7840" s="4" t="str">
        <v/>
      </c>
      <c r="I7840" s="4" t="str">
        <v/>
      </c>
    </row>
    <row r="7841" spans="5:9" ht="16.5" hidden="1">
      <c r="E7841" s="4" t="str">
        <v/>
      </c>
      <c r="F7841" s="102" t="str">
        <f ca="1">IFERROR(__xludf.DUMMYFUNCTION("IMPORTRANGE(H7841,""IDENTITAS UNIT!D9"")"),"#N/A")</f>
        <v>#N/A</v>
      </c>
      <c r="H7841" s="4" t="str">
        <v/>
      </c>
      <c r="I7841" s="4" t="str">
        <v/>
      </c>
    </row>
    <row r="7842" spans="5:9" ht="16.5" hidden="1">
      <c r="E7842" s="4" t="str">
        <v/>
      </c>
      <c r="F7842" s="102" t="str">
        <f ca="1">IFERROR(__xludf.DUMMYFUNCTION("IMPORTRANGE(H7842,""IDENTITAS UNIT!D9"")"),"#N/A")</f>
        <v>#N/A</v>
      </c>
      <c r="H7842" s="4" t="str">
        <v/>
      </c>
      <c r="I7842" s="4" t="str">
        <v/>
      </c>
    </row>
    <row r="7843" spans="5:9" ht="16.5" hidden="1">
      <c r="E7843" s="4" t="str">
        <v/>
      </c>
      <c r="F7843" s="102" t="str">
        <f ca="1">IFERROR(__xludf.DUMMYFUNCTION("IMPORTRANGE(H7843,""IDENTITAS UNIT!D9"")"),"#N/A")</f>
        <v>#N/A</v>
      </c>
      <c r="H7843" s="4" t="str">
        <v/>
      </c>
      <c r="I7843" s="4" t="str">
        <v/>
      </c>
    </row>
    <row r="7844" spans="5:9" ht="16.5" hidden="1">
      <c r="E7844" s="4" t="str">
        <v/>
      </c>
      <c r="F7844" s="102" t="str">
        <f ca="1">IFERROR(__xludf.DUMMYFUNCTION("IMPORTRANGE(H7844,""IDENTITAS UNIT!D9"")"),"#N/A")</f>
        <v>#N/A</v>
      </c>
      <c r="H7844" s="4" t="str">
        <v/>
      </c>
      <c r="I7844" s="4" t="str">
        <v/>
      </c>
    </row>
    <row r="7845" spans="5:9" ht="16.5" hidden="1">
      <c r="E7845" s="4" t="str">
        <v/>
      </c>
      <c r="F7845" s="102" t="str">
        <f ca="1">IFERROR(__xludf.DUMMYFUNCTION("IMPORTRANGE(H7845,""IDENTITAS UNIT!D9"")"),"#N/A")</f>
        <v>#N/A</v>
      </c>
      <c r="H7845" s="4" t="str">
        <v/>
      </c>
      <c r="I7845" s="4" t="str">
        <v/>
      </c>
    </row>
    <row r="7846" spans="5:9" ht="16.5" hidden="1">
      <c r="E7846" s="4" t="str">
        <v/>
      </c>
      <c r="F7846" s="102" t="str">
        <f ca="1">IFERROR(__xludf.DUMMYFUNCTION("IMPORTRANGE(H7846,""IDENTITAS UNIT!D9"")"),"#N/A")</f>
        <v>#N/A</v>
      </c>
      <c r="H7846" s="4" t="str">
        <v/>
      </c>
      <c r="I7846" s="4" t="str">
        <v/>
      </c>
    </row>
    <row r="7847" spans="5:9" ht="16.5" hidden="1">
      <c r="E7847" s="4" t="str">
        <v/>
      </c>
      <c r="F7847" s="102" t="str">
        <f ca="1">IFERROR(__xludf.DUMMYFUNCTION("IMPORTRANGE(H7847,""IDENTITAS UNIT!D9"")"),"#N/A")</f>
        <v>#N/A</v>
      </c>
      <c r="H7847" s="4" t="str">
        <v/>
      </c>
      <c r="I7847" s="4" t="str">
        <v/>
      </c>
    </row>
    <row r="7848" spans="5:9" ht="16.5" hidden="1">
      <c r="E7848" s="4" t="str">
        <v/>
      </c>
      <c r="F7848" s="102" t="str">
        <f ca="1">IFERROR(__xludf.DUMMYFUNCTION("IMPORTRANGE(H7848,""IDENTITAS UNIT!D9"")"),"#N/A")</f>
        <v>#N/A</v>
      </c>
      <c r="H7848" s="4" t="str">
        <v/>
      </c>
      <c r="I7848" s="4" t="str">
        <v/>
      </c>
    </row>
    <row r="7849" spans="5:9" ht="16.5" hidden="1">
      <c r="E7849" s="4" t="str">
        <v/>
      </c>
      <c r="F7849" s="102" t="str">
        <f ca="1">IFERROR(__xludf.DUMMYFUNCTION("IMPORTRANGE(H7849,""IDENTITAS UNIT!D9"")"),"#N/A")</f>
        <v>#N/A</v>
      </c>
      <c r="H7849" s="4" t="str">
        <v/>
      </c>
      <c r="I7849" s="4" t="str">
        <v/>
      </c>
    </row>
    <row r="7850" spans="5:9" ht="16.5" hidden="1">
      <c r="E7850" s="4" t="str">
        <v/>
      </c>
      <c r="F7850" s="102" t="str">
        <f ca="1">IFERROR(__xludf.DUMMYFUNCTION("IMPORTRANGE(H7850,""IDENTITAS UNIT!D9"")"),"#N/A")</f>
        <v>#N/A</v>
      </c>
      <c r="H7850" s="4" t="str">
        <v/>
      </c>
      <c r="I7850" s="4" t="str">
        <v/>
      </c>
    </row>
    <row r="7851" spans="5:9" ht="16.5" hidden="1">
      <c r="E7851" s="4" t="str">
        <v/>
      </c>
      <c r="F7851" s="102" t="str">
        <f ca="1">IFERROR(__xludf.DUMMYFUNCTION("IMPORTRANGE(H7851,""IDENTITAS UNIT!D9"")"),"#N/A")</f>
        <v>#N/A</v>
      </c>
      <c r="H7851" s="4" t="str">
        <v/>
      </c>
      <c r="I7851" s="4" t="str">
        <v/>
      </c>
    </row>
    <row r="7852" spans="5:9" ht="16.5" hidden="1">
      <c r="E7852" s="4" t="str">
        <v/>
      </c>
      <c r="F7852" s="102" t="str">
        <f ca="1">IFERROR(__xludf.DUMMYFUNCTION("IMPORTRANGE(H7852,""IDENTITAS UNIT!D9"")"),"#N/A")</f>
        <v>#N/A</v>
      </c>
      <c r="H7852" s="4" t="str">
        <v/>
      </c>
      <c r="I7852" s="4" t="str">
        <v/>
      </c>
    </row>
    <row r="7853" spans="5:9" ht="16.5" hidden="1">
      <c r="E7853" s="4" t="str">
        <v/>
      </c>
      <c r="F7853" s="102" t="str">
        <f ca="1">IFERROR(__xludf.DUMMYFUNCTION("IMPORTRANGE(H7853,""IDENTITAS UNIT!D9"")"),"#N/A")</f>
        <v>#N/A</v>
      </c>
      <c r="H7853" s="4" t="str">
        <v/>
      </c>
      <c r="I7853" s="4" t="str">
        <v/>
      </c>
    </row>
    <row r="7854" spans="5:9" ht="16.5" hidden="1">
      <c r="E7854" s="4" t="str">
        <v/>
      </c>
      <c r="F7854" s="102" t="str">
        <f ca="1">IFERROR(__xludf.DUMMYFUNCTION("IMPORTRANGE(H7854,""IDENTITAS UNIT!D9"")"),"#N/A")</f>
        <v>#N/A</v>
      </c>
      <c r="H7854" s="4" t="str">
        <v/>
      </c>
      <c r="I7854" s="4" t="str">
        <v/>
      </c>
    </row>
    <row r="7855" spans="5:9" ht="16.5" hidden="1">
      <c r="E7855" s="4" t="str">
        <v/>
      </c>
      <c r="F7855" s="102" t="str">
        <f ca="1">IFERROR(__xludf.DUMMYFUNCTION("IMPORTRANGE(H7855,""IDENTITAS UNIT!D9"")"),"#N/A")</f>
        <v>#N/A</v>
      </c>
      <c r="H7855" s="4" t="str">
        <v/>
      </c>
      <c r="I7855" s="4" t="str">
        <v/>
      </c>
    </row>
    <row r="7856" spans="5:9" ht="16.5" hidden="1">
      <c r="E7856" s="4" t="str">
        <v/>
      </c>
      <c r="F7856" s="102" t="str">
        <f ca="1">IFERROR(__xludf.DUMMYFUNCTION("IMPORTRANGE(H7856,""IDENTITAS UNIT!D9"")"),"#N/A")</f>
        <v>#N/A</v>
      </c>
      <c r="H7856" s="4" t="str">
        <v/>
      </c>
      <c r="I7856" s="4" t="str">
        <v/>
      </c>
    </row>
    <row r="7857" spans="5:9" ht="16.5" hidden="1">
      <c r="E7857" s="4" t="str">
        <v/>
      </c>
      <c r="F7857" s="102" t="str">
        <f ca="1">IFERROR(__xludf.DUMMYFUNCTION("IMPORTRANGE(H7857,""IDENTITAS UNIT!D9"")"),"#N/A")</f>
        <v>#N/A</v>
      </c>
      <c r="H7857" s="4" t="str">
        <v/>
      </c>
      <c r="I7857" s="4" t="str">
        <v/>
      </c>
    </row>
    <row r="7858" spans="5:9" ht="16.5" hidden="1">
      <c r="E7858" s="4" t="str">
        <v/>
      </c>
      <c r="F7858" s="102" t="str">
        <f ca="1">IFERROR(__xludf.DUMMYFUNCTION("IMPORTRANGE(H7858,""IDENTITAS UNIT!D9"")"),"#N/A")</f>
        <v>#N/A</v>
      </c>
      <c r="H7858" s="4" t="str">
        <v/>
      </c>
      <c r="I7858" s="4" t="str">
        <v/>
      </c>
    </row>
    <row r="7859" spans="5:9" ht="16.5" hidden="1">
      <c r="E7859" s="4" t="str">
        <v/>
      </c>
      <c r="F7859" s="102" t="str">
        <f ca="1">IFERROR(__xludf.DUMMYFUNCTION("IMPORTRANGE(H7859,""IDENTITAS UNIT!D9"")"),"#N/A")</f>
        <v>#N/A</v>
      </c>
      <c r="H7859" s="4" t="str">
        <v/>
      </c>
      <c r="I7859" s="4" t="str">
        <v/>
      </c>
    </row>
    <row r="7860" spans="5:9" ht="16.5" hidden="1">
      <c r="E7860" s="4" t="str">
        <v/>
      </c>
      <c r="F7860" s="102" t="str">
        <f ca="1">IFERROR(__xludf.DUMMYFUNCTION("IMPORTRANGE(H7860,""IDENTITAS UNIT!D9"")"),"#N/A")</f>
        <v>#N/A</v>
      </c>
      <c r="H7860" s="4" t="str">
        <v/>
      </c>
      <c r="I7860" s="4" t="str">
        <v/>
      </c>
    </row>
    <row r="7861" spans="5:9" ht="16.5" hidden="1">
      <c r="E7861" s="4" t="str">
        <v/>
      </c>
      <c r="F7861" s="102" t="str">
        <f ca="1">IFERROR(__xludf.DUMMYFUNCTION("IMPORTRANGE(H7861,""IDENTITAS UNIT!D9"")"),"#N/A")</f>
        <v>#N/A</v>
      </c>
      <c r="H7861" s="4" t="str">
        <v/>
      </c>
      <c r="I7861" s="4" t="str">
        <v/>
      </c>
    </row>
    <row r="7862" spans="5:9" ht="16.5" hidden="1">
      <c r="E7862" s="4" t="str">
        <v/>
      </c>
      <c r="F7862" s="102" t="str">
        <f ca="1">IFERROR(__xludf.DUMMYFUNCTION("IMPORTRANGE(H7862,""IDENTITAS UNIT!D9"")"),"#N/A")</f>
        <v>#N/A</v>
      </c>
      <c r="H7862" s="4" t="str">
        <v/>
      </c>
      <c r="I7862" s="4" t="str">
        <v/>
      </c>
    </row>
    <row r="7863" spans="5:9" ht="16.5" hidden="1">
      <c r="E7863" s="4" t="str">
        <v/>
      </c>
      <c r="F7863" s="102" t="str">
        <f ca="1">IFERROR(__xludf.DUMMYFUNCTION("IMPORTRANGE(H7863,""IDENTITAS UNIT!D9"")"),"#N/A")</f>
        <v>#N/A</v>
      </c>
      <c r="H7863" s="4" t="str">
        <v/>
      </c>
      <c r="I7863" s="4" t="str">
        <v/>
      </c>
    </row>
    <row r="7864" spans="5:9" ht="16.5" hidden="1">
      <c r="E7864" s="4" t="str">
        <v/>
      </c>
      <c r="F7864" s="102" t="str">
        <f ca="1">IFERROR(__xludf.DUMMYFUNCTION("IMPORTRANGE(H7864,""IDENTITAS UNIT!D9"")"),"#N/A")</f>
        <v>#N/A</v>
      </c>
      <c r="H7864" s="4" t="str">
        <v/>
      </c>
      <c r="I7864" s="4" t="str">
        <v/>
      </c>
    </row>
    <row r="7865" spans="5:9" ht="16.5" hidden="1">
      <c r="E7865" s="4" t="str">
        <v/>
      </c>
      <c r="F7865" s="102" t="str">
        <f ca="1">IFERROR(__xludf.DUMMYFUNCTION("IMPORTRANGE(H7865,""IDENTITAS UNIT!D9"")"),"#N/A")</f>
        <v>#N/A</v>
      </c>
      <c r="H7865" s="4" t="str">
        <v/>
      </c>
      <c r="I7865" s="4" t="str">
        <v/>
      </c>
    </row>
    <row r="7866" spans="5:9" ht="16.5" hidden="1">
      <c r="E7866" s="4" t="str">
        <v/>
      </c>
      <c r="F7866" s="102" t="str">
        <f ca="1">IFERROR(__xludf.DUMMYFUNCTION("IMPORTRANGE(H7866,""IDENTITAS UNIT!D9"")"),"#N/A")</f>
        <v>#N/A</v>
      </c>
      <c r="H7866" s="4" t="str">
        <v/>
      </c>
      <c r="I7866" s="4" t="str">
        <v/>
      </c>
    </row>
    <row r="7867" spans="5:9" ht="16.5" hidden="1">
      <c r="E7867" s="4" t="str">
        <v/>
      </c>
      <c r="F7867" s="102" t="str">
        <f ca="1">IFERROR(__xludf.DUMMYFUNCTION("IMPORTRANGE(H7867,""IDENTITAS UNIT!D9"")"),"#N/A")</f>
        <v>#N/A</v>
      </c>
      <c r="H7867" s="4" t="str">
        <v/>
      </c>
      <c r="I7867" s="4" t="str">
        <v/>
      </c>
    </row>
    <row r="7868" spans="5:9" ht="16.5" hidden="1">
      <c r="E7868" s="4" t="str">
        <v/>
      </c>
      <c r="F7868" s="102" t="str">
        <f ca="1">IFERROR(__xludf.DUMMYFUNCTION("IMPORTRANGE(H7868,""IDENTITAS UNIT!D9"")"),"#N/A")</f>
        <v>#N/A</v>
      </c>
      <c r="H7868" s="4" t="str">
        <v/>
      </c>
      <c r="I7868" s="4" t="str">
        <v/>
      </c>
    </row>
    <row r="7869" spans="5:9" ht="16.5" hidden="1">
      <c r="E7869" s="4" t="str">
        <v/>
      </c>
      <c r="F7869" s="102" t="str">
        <f ca="1">IFERROR(__xludf.DUMMYFUNCTION("IMPORTRANGE(H7869,""IDENTITAS UNIT!D9"")"),"#N/A")</f>
        <v>#N/A</v>
      </c>
      <c r="H7869" s="4" t="str">
        <v/>
      </c>
      <c r="I7869" s="4" t="str">
        <v/>
      </c>
    </row>
    <row r="7870" spans="5:9" ht="16.5" hidden="1">
      <c r="E7870" s="4" t="str">
        <v/>
      </c>
      <c r="F7870" s="102" t="str">
        <f ca="1">IFERROR(__xludf.DUMMYFUNCTION("IMPORTRANGE(H7870,""IDENTITAS UNIT!D9"")"),"#N/A")</f>
        <v>#N/A</v>
      </c>
      <c r="H7870" s="4" t="str">
        <v/>
      </c>
      <c r="I7870" s="4" t="str">
        <v/>
      </c>
    </row>
    <row r="7871" spans="5:9" ht="16.5" hidden="1">
      <c r="E7871" s="4" t="str">
        <v/>
      </c>
      <c r="F7871" s="102" t="str">
        <f ca="1">IFERROR(__xludf.DUMMYFUNCTION("IMPORTRANGE(H7871,""IDENTITAS UNIT!D9"")"),"#N/A")</f>
        <v>#N/A</v>
      </c>
      <c r="H7871" s="4" t="str">
        <v/>
      </c>
      <c r="I7871" s="4" t="str">
        <v/>
      </c>
    </row>
    <row r="7872" spans="5:9" ht="16.5" hidden="1">
      <c r="E7872" s="4" t="str">
        <v/>
      </c>
      <c r="F7872" s="102" t="str">
        <f ca="1">IFERROR(__xludf.DUMMYFUNCTION("IMPORTRANGE(H7872,""IDENTITAS UNIT!D9"")"),"#N/A")</f>
        <v>#N/A</v>
      </c>
      <c r="H7872" s="4" t="str">
        <v/>
      </c>
      <c r="I7872" s="4" t="str">
        <v/>
      </c>
    </row>
    <row r="7873" spans="5:9" ht="16.5" hidden="1">
      <c r="E7873" s="4" t="str">
        <v/>
      </c>
      <c r="F7873" s="102" t="str">
        <f ca="1">IFERROR(__xludf.DUMMYFUNCTION("IMPORTRANGE(H7873,""IDENTITAS UNIT!D9"")"),"#N/A")</f>
        <v>#N/A</v>
      </c>
      <c r="H7873" s="4" t="str">
        <v/>
      </c>
      <c r="I7873" s="4" t="str">
        <v/>
      </c>
    </row>
    <row r="7874" spans="5:9" ht="16.5" hidden="1">
      <c r="E7874" s="4" t="str">
        <v/>
      </c>
      <c r="F7874" s="102" t="str">
        <f ca="1">IFERROR(__xludf.DUMMYFUNCTION("IMPORTRANGE(H7874,""IDENTITAS UNIT!D9"")"),"#N/A")</f>
        <v>#N/A</v>
      </c>
      <c r="H7874" s="4" t="str">
        <v/>
      </c>
      <c r="I7874" s="4" t="str">
        <v/>
      </c>
    </row>
    <row r="7875" spans="5:9" ht="16.5" hidden="1">
      <c r="E7875" s="4" t="str">
        <v/>
      </c>
      <c r="F7875" s="102" t="str">
        <f ca="1">IFERROR(__xludf.DUMMYFUNCTION("IMPORTRANGE(H7875,""IDENTITAS UNIT!D9"")"),"#N/A")</f>
        <v>#N/A</v>
      </c>
      <c r="H7875" s="4" t="str">
        <v/>
      </c>
      <c r="I7875" s="4" t="str">
        <v/>
      </c>
    </row>
    <row r="7876" spans="5:9" ht="16.5" hidden="1">
      <c r="E7876" s="4" t="str">
        <v/>
      </c>
      <c r="F7876" s="102" t="str">
        <f ca="1">IFERROR(__xludf.DUMMYFUNCTION("IMPORTRANGE(H7876,""IDENTITAS UNIT!D9"")"),"#N/A")</f>
        <v>#N/A</v>
      </c>
      <c r="H7876" s="4" t="str">
        <v/>
      </c>
      <c r="I7876" s="4" t="str">
        <v/>
      </c>
    </row>
    <row r="7877" spans="5:9" ht="16.5" hidden="1">
      <c r="E7877" s="4" t="str">
        <v/>
      </c>
      <c r="F7877" s="102" t="str">
        <f ca="1">IFERROR(__xludf.DUMMYFUNCTION("IMPORTRANGE(H7877,""IDENTITAS UNIT!D9"")"),"#N/A")</f>
        <v>#N/A</v>
      </c>
      <c r="H7877" s="4" t="str">
        <v/>
      </c>
      <c r="I7877" s="4" t="str">
        <v/>
      </c>
    </row>
    <row r="7878" spans="5:9" ht="16.5" hidden="1">
      <c r="E7878" s="4" t="str">
        <v/>
      </c>
      <c r="F7878" s="102" t="str">
        <f ca="1">IFERROR(__xludf.DUMMYFUNCTION("IMPORTRANGE(H7878,""IDENTITAS UNIT!D9"")"),"#N/A")</f>
        <v>#N/A</v>
      </c>
      <c r="H7878" s="4" t="str">
        <v/>
      </c>
      <c r="I7878" s="4" t="str">
        <v/>
      </c>
    </row>
    <row r="7879" spans="5:9" ht="16.5" hidden="1">
      <c r="E7879" s="4" t="str">
        <v/>
      </c>
      <c r="F7879" s="102" t="str">
        <f ca="1">IFERROR(__xludf.DUMMYFUNCTION("IMPORTRANGE(H7879,""IDENTITAS UNIT!D9"")"),"#N/A")</f>
        <v>#N/A</v>
      </c>
      <c r="H7879" s="4" t="str">
        <v/>
      </c>
      <c r="I7879" s="4" t="str">
        <v/>
      </c>
    </row>
    <row r="7880" spans="5:9" ht="16.5" hidden="1">
      <c r="E7880" s="4" t="str">
        <v/>
      </c>
      <c r="F7880" s="102" t="str">
        <f ca="1">IFERROR(__xludf.DUMMYFUNCTION("IMPORTRANGE(H7880,""IDENTITAS UNIT!D9"")"),"#N/A")</f>
        <v>#N/A</v>
      </c>
      <c r="H7880" s="4" t="str">
        <v/>
      </c>
      <c r="I7880" s="4" t="str">
        <v/>
      </c>
    </row>
    <row r="7881" spans="5:9" ht="16.5" hidden="1">
      <c r="E7881" s="4" t="str">
        <v/>
      </c>
      <c r="F7881" s="102" t="str">
        <f ca="1">IFERROR(__xludf.DUMMYFUNCTION("IMPORTRANGE(H7881,""IDENTITAS UNIT!D9"")"),"#N/A")</f>
        <v>#N/A</v>
      </c>
      <c r="H7881" s="4" t="str">
        <v/>
      </c>
      <c r="I7881" s="4" t="str">
        <v/>
      </c>
    </row>
    <row r="7882" spans="5:9" ht="16.5" hidden="1">
      <c r="E7882" s="4" t="str">
        <v/>
      </c>
      <c r="F7882" s="102" t="str">
        <f ca="1">IFERROR(__xludf.DUMMYFUNCTION("IMPORTRANGE(H7882,""IDENTITAS UNIT!D9"")"),"#N/A")</f>
        <v>#N/A</v>
      </c>
      <c r="H7882" s="4" t="str">
        <v/>
      </c>
      <c r="I7882" s="4" t="str">
        <v/>
      </c>
    </row>
    <row r="7883" spans="5:9" ht="16.5" hidden="1">
      <c r="E7883" s="4" t="str">
        <v/>
      </c>
      <c r="F7883" s="102" t="str">
        <f ca="1">IFERROR(__xludf.DUMMYFUNCTION("IMPORTRANGE(H7883,""IDENTITAS UNIT!D9"")"),"#N/A")</f>
        <v>#N/A</v>
      </c>
      <c r="H7883" s="4" t="str">
        <v/>
      </c>
      <c r="I7883" s="4" t="str">
        <v/>
      </c>
    </row>
    <row r="7884" spans="5:9" ht="16.5" hidden="1">
      <c r="E7884" s="4" t="str">
        <v/>
      </c>
      <c r="F7884" s="102" t="str">
        <f ca="1">IFERROR(__xludf.DUMMYFUNCTION("IMPORTRANGE(H7884,""IDENTITAS UNIT!D9"")"),"#N/A")</f>
        <v>#N/A</v>
      </c>
      <c r="H7884" s="4" t="str">
        <v/>
      </c>
      <c r="I7884" s="4" t="str">
        <v/>
      </c>
    </row>
    <row r="7885" spans="5:9" ht="16.5" hidden="1">
      <c r="E7885" s="4" t="str">
        <v/>
      </c>
      <c r="F7885" s="102" t="str">
        <f ca="1">IFERROR(__xludf.DUMMYFUNCTION("IMPORTRANGE(H7885,""IDENTITAS UNIT!D9"")"),"#N/A")</f>
        <v>#N/A</v>
      </c>
      <c r="H7885" s="4" t="str">
        <v/>
      </c>
      <c r="I7885" s="4" t="str">
        <v/>
      </c>
    </row>
    <row r="7886" spans="5:9" ht="16.5" hidden="1">
      <c r="E7886" s="4" t="str">
        <v/>
      </c>
      <c r="F7886" s="102" t="str">
        <f ca="1">IFERROR(__xludf.DUMMYFUNCTION("IMPORTRANGE(H7886,""IDENTITAS UNIT!D9"")"),"#N/A")</f>
        <v>#N/A</v>
      </c>
      <c r="H7886" s="4" t="str">
        <v/>
      </c>
      <c r="I7886" s="4" t="str">
        <v/>
      </c>
    </row>
    <row r="7887" spans="5:9" ht="16.5" hidden="1">
      <c r="E7887" s="4" t="str">
        <v/>
      </c>
      <c r="F7887" s="102" t="str">
        <f ca="1">IFERROR(__xludf.DUMMYFUNCTION("IMPORTRANGE(H7887,""IDENTITAS UNIT!D9"")"),"#N/A")</f>
        <v>#N/A</v>
      </c>
      <c r="H7887" s="4" t="str">
        <v/>
      </c>
      <c r="I7887" s="4" t="str">
        <v/>
      </c>
    </row>
    <row r="7888" spans="5:9" ht="16.5" hidden="1">
      <c r="E7888" s="4" t="str">
        <v/>
      </c>
      <c r="F7888" s="102" t="str">
        <f ca="1">IFERROR(__xludf.DUMMYFUNCTION("IMPORTRANGE(H7888,""IDENTITAS UNIT!D9"")"),"#N/A")</f>
        <v>#N/A</v>
      </c>
      <c r="H7888" s="4" t="str">
        <v/>
      </c>
      <c r="I7888" s="4" t="str">
        <v/>
      </c>
    </row>
    <row r="7889" spans="5:9" ht="16.5" hidden="1">
      <c r="E7889" s="4" t="str">
        <v/>
      </c>
      <c r="F7889" s="102" t="str">
        <f ca="1">IFERROR(__xludf.DUMMYFUNCTION("IMPORTRANGE(H7889,""IDENTITAS UNIT!D9"")"),"#N/A")</f>
        <v>#N/A</v>
      </c>
      <c r="H7889" s="4" t="str">
        <v/>
      </c>
      <c r="I7889" s="4" t="str">
        <v/>
      </c>
    </row>
    <row r="7890" spans="5:9" ht="16.5" hidden="1">
      <c r="E7890" s="4" t="str">
        <v/>
      </c>
      <c r="F7890" s="102" t="str">
        <f ca="1">IFERROR(__xludf.DUMMYFUNCTION("IMPORTRANGE(H7890,""IDENTITAS UNIT!D9"")"),"#N/A")</f>
        <v>#N/A</v>
      </c>
      <c r="H7890" s="4" t="str">
        <v/>
      </c>
      <c r="I7890" s="4" t="str">
        <v/>
      </c>
    </row>
    <row r="7891" spans="5:9" ht="16.5" hidden="1">
      <c r="E7891" s="4" t="str">
        <v/>
      </c>
      <c r="F7891" s="102" t="str">
        <f ca="1">IFERROR(__xludf.DUMMYFUNCTION("IMPORTRANGE(H7891,""IDENTITAS UNIT!D9"")"),"#N/A")</f>
        <v>#N/A</v>
      </c>
      <c r="H7891" s="4" t="str">
        <v/>
      </c>
      <c r="I7891" s="4" t="str">
        <v/>
      </c>
    </row>
    <row r="7892" spans="5:9" ht="16.5" hidden="1">
      <c r="E7892" s="4" t="str">
        <v/>
      </c>
      <c r="F7892" s="102" t="str">
        <f ca="1">IFERROR(__xludf.DUMMYFUNCTION("IMPORTRANGE(H7892,""IDENTITAS UNIT!D9"")"),"#N/A")</f>
        <v>#N/A</v>
      </c>
      <c r="H7892" s="4" t="str">
        <v/>
      </c>
      <c r="I7892" s="4" t="str">
        <v/>
      </c>
    </row>
    <row r="7893" spans="5:9" ht="16.5" hidden="1">
      <c r="E7893" s="4" t="str">
        <v/>
      </c>
      <c r="F7893" s="102" t="str">
        <f ca="1">IFERROR(__xludf.DUMMYFUNCTION("IMPORTRANGE(H7893,""IDENTITAS UNIT!D9"")"),"#N/A")</f>
        <v>#N/A</v>
      </c>
      <c r="H7893" s="4" t="str">
        <v/>
      </c>
      <c r="I7893" s="4" t="str">
        <v/>
      </c>
    </row>
    <row r="7894" spans="5:9" ht="16.5" hidden="1">
      <c r="E7894" s="4" t="str">
        <v/>
      </c>
      <c r="F7894" s="102" t="str">
        <f ca="1">IFERROR(__xludf.DUMMYFUNCTION("IMPORTRANGE(H7894,""IDENTITAS UNIT!D9"")"),"#N/A")</f>
        <v>#N/A</v>
      </c>
      <c r="H7894" s="4" t="str">
        <v/>
      </c>
      <c r="I7894" s="4" t="str">
        <v/>
      </c>
    </row>
    <row r="7895" spans="5:9" ht="16.5" hidden="1">
      <c r="E7895" s="4" t="str">
        <v/>
      </c>
      <c r="F7895" s="102" t="str">
        <f ca="1">IFERROR(__xludf.DUMMYFUNCTION("IMPORTRANGE(H7895,""IDENTITAS UNIT!D9"")"),"#N/A")</f>
        <v>#N/A</v>
      </c>
      <c r="H7895" s="4" t="str">
        <v/>
      </c>
      <c r="I7895" s="4" t="str">
        <v/>
      </c>
    </row>
    <row r="7896" spans="5:9" ht="16.5" hidden="1">
      <c r="E7896" s="4" t="str">
        <v/>
      </c>
      <c r="F7896" s="102" t="str">
        <f ca="1">IFERROR(__xludf.DUMMYFUNCTION("IMPORTRANGE(H7896,""IDENTITAS UNIT!D9"")"),"#N/A")</f>
        <v>#N/A</v>
      </c>
      <c r="H7896" s="4" t="str">
        <v/>
      </c>
      <c r="I7896" s="4" t="str">
        <v/>
      </c>
    </row>
    <row r="7897" spans="5:9" ht="16.5" hidden="1">
      <c r="E7897" s="4" t="str">
        <v/>
      </c>
      <c r="F7897" s="102" t="str">
        <f ca="1">IFERROR(__xludf.DUMMYFUNCTION("IMPORTRANGE(H7897,""IDENTITAS UNIT!D9"")"),"#N/A")</f>
        <v>#N/A</v>
      </c>
      <c r="H7897" s="4" t="str">
        <v/>
      </c>
      <c r="I7897" s="4" t="str">
        <v/>
      </c>
    </row>
    <row r="7898" spans="5:9" ht="16.5" hidden="1">
      <c r="E7898" s="4" t="str">
        <v/>
      </c>
      <c r="F7898" s="102" t="str">
        <f ca="1">IFERROR(__xludf.DUMMYFUNCTION("IMPORTRANGE(H7898,""IDENTITAS UNIT!D9"")"),"#N/A")</f>
        <v>#N/A</v>
      </c>
      <c r="H7898" s="4" t="str">
        <v/>
      </c>
      <c r="I7898" s="4" t="str">
        <v/>
      </c>
    </row>
    <row r="7899" spans="5:9" ht="16.5" hidden="1">
      <c r="E7899" s="4" t="str">
        <v/>
      </c>
      <c r="F7899" s="102" t="str">
        <f ca="1">IFERROR(__xludf.DUMMYFUNCTION("IMPORTRANGE(H7899,""IDENTITAS UNIT!D9"")"),"#N/A")</f>
        <v>#N/A</v>
      </c>
      <c r="H7899" s="4" t="str">
        <v/>
      </c>
      <c r="I7899" s="4" t="str">
        <v/>
      </c>
    </row>
    <row r="7900" spans="5:9" ht="16.5" hidden="1">
      <c r="E7900" s="4" t="str">
        <v/>
      </c>
      <c r="F7900" s="102" t="str">
        <f ca="1">IFERROR(__xludf.DUMMYFUNCTION("IMPORTRANGE(H7900,""IDENTITAS UNIT!D9"")"),"#N/A")</f>
        <v>#N/A</v>
      </c>
      <c r="H7900" s="4" t="str">
        <v/>
      </c>
      <c r="I7900" s="4" t="str">
        <v/>
      </c>
    </row>
    <row r="7901" spans="5:9" ht="16.5" hidden="1">
      <c r="E7901" s="4" t="str">
        <v/>
      </c>
      <c r="F7901" s="102" t="str">
        <f ca="1">IFERROR(__xludf.DUMMYFUNCTION("IMPORTRANGE(H7901,""IDENTITAS UNIT!D9"")"),"#N/A")</f>
        <v>#N/A</v>
      </c>
      <c r="H7901" s="4" t="str">
        <v/>
      </c>
      <c r="I7901" s="4" t="str">
        <v/>
      </c>
    </row>
    <row r="7902" spans="5:9" ht="16.5" hidden="1">
      <c r="E7902" s="4" t="str">
        <v/>
      </c>
      <c r="F7902" s="102" t="str">
        <f ca="1">IFERROR(__xludf.DUMMYFUNCTION("IMPORTRANGE(H7902,""IDENTITAS UNIT!D9"")"),"#N/A")</f>
        <v>#N/A</v>
      </c>
      <c r="H7902" s="4" t="str">
        <v/>
      </c>
      <c r="I7902" s="4" t="str">
        <v/>
      </c>
    </row>
    <row r="7903" spans="5:9" ht="16.5" hidden="1">
      <c r="E7903" s="4" t="str">
        <v/>
      </c>
      <c r="F7903" s="102" t="str">
        <f ca="1">IFERROR(__xludf.DUMMYFUNCTION("IMPORTRANGE(H7903,""IDENTITAS UNIT!D9"")"),"#N/A")</f>
        <v>#N/A</v>
      </c>
      <c r="H7903" s="4" t="str">
        <v/>
      </c>
      <c r="I7903" s="4" t="str">
        <v/>
      </c>
    </row>
    <row r="7904" spans="5:9" ht="16.5" hidden="1">
      <c r="E7904" s="4" t="str">
        <v/>
      </c>
      <c r="F7904" s="102" t="str">
        <f ca="1">IFERROR(__xludf.DUMMYFUNCTION("IMPORTRANGE(H7904,""IDENTITAS UNIT!D9"")"),"#N/A")</f>
        <v>#N/A</v>
      </c>
      <c r="H7904" s="4" t="str">
        <v/>
      </c>
      <c r="I7904" s="4" t="str">
        <v/>
      </c>
    </row>
    <row r="7905" spans="5:9" ht="16.5" hidden="1">
      <c r="E7905" s="4" t="str">
        <v/>
      </c>
      <c r="F7905" s="102" t="str">
        <f ca="1">IFERROR(__xludf.DUMMYFUNCTION("IMPORTRANGE(H7905,""IDENTITAS UNIT!D9"")"),"#N/A")</f>
        <v>#N/A</v>
      </c>
      <c r="H7905" s="4" t="str">
        <v/>
      </c>
      <c r="I7905" s="4" t="str">
        <v/>
      </c>
    </row>
    <row r="7906" spans="5:9" ht="16.5" hidden="1">
      <c r="E7906" s="4" t="str">
        <v/>
      </c>
      <c r="F7906" s="102" t="str">
        <f ca="1">IFERROR(__xludf.DUMMYFUNCTION("IMPORTRANGE(H7906,""IDENTITAS UNIT!D9"")"),"#N/A")</f>
        <v>#N/A</v>
      </c>
      <c r="H7906" s="4" t="str">
        <v/>
      </c>
      <c r="I7906" s="4" t="str">
        <v/>
      </c>
    </row>
    <row r="7907" spans="5:9" ht="16.5" hidden="1">
      <c r="E7907" s="4" t="str">
        <v/>
      </c>
      <c r="F7907" s="102" t="str">
        <f ca="1">IFERROR(__xludf.DUMMYFUNCTION("IMPORTRANGE(H7907,""IDENTITAS UNIT!D9"")"),"#N/A")</f>
        <v>#N/A</v>
      </c>
      <c r="H7907" s="4" t="str">
        <v/>
      </c>
      <c r="I7907" s="4" t="str">
        <v/>
      </c>
    </row>
    <row r="7908" spans="5:9" ht="16.5" hidden="1">
      <c r="E7908" s="4" t="str">
        <v/>
      </c>
      <c r="F7908" s="102" t="str">
        <f ca="1">IFERROR(__xludf.DUMMYFUNCTION("IMPORTRANGE(H7908,""IDENTITAS UNIT!D9"")"),"#N/A")</f>
        <v>#N/A</v>
      </c>
      <c r="H7908" s="4" t="str">
        <v/>
      </c>
      <c r="I7908" s="4" t="str">
        <v/>
      </c>
    </row>
    <row r="7909" spans="5:9" ht="16.5" hidden="1">
      <c r="E7909" s="4" t="str">
        <v/>
      </c>
      <c r="F7909" s="102" t="str">
        <f ca="1">IFERROR(__xludf.DUMMYFUNCTION("IMPORTRANGE(H7909,""IDENTITAS UNIT!D9"")"),"#N/A")</f>
        <v>#N/A</v>
      </c>
      <c r="H7909" s="4" t="str">
        <v/>
      </c>
      <c r="I7909" s="4" t="str">
        <v/>
      </c>
    </row>
    <row r="7910" spans="5:9" ht="16.5" hidden="1">
      <c r="E7910" s="4" t="str">
        <v/>
      </c>
      <c r="F7910" s="102" t="str">
        <f ca="1">IFERROR(__xludf.DUMMYFUNCTION("IMPORTRANGE(H7910,""IDENTITAS UNIT!D9"")"),"#N/A")</f>
        <v>#N/A</v>
      </c>
      <c r="H7910" s="4" t="str">
        <v/>
      </c>
      <c r="I7910" s="4" t="str">
        <v/>
      </c>
    </row>
    <row r="7911" spans="5:9" ht="16.5" hidden="1">
      <c r="E7911" s="4" t="str">
        <v/>
      </c>
      <c r="F7911" s="102" t="str">
        <f ca="1">IFERROR(__xludf.DUMMYFUNCTION("IMPORTRANGE(H7911,""IDENTITAS UNIT!D9"")"),"#N/A")</f>
        <v>#N/A</v>
      </c>
      <c r="H7911" s="4" t="str">
        <v/>
      </c>
      <c r="I7911" s="4" t="str">
        <v/>
      </c>
    </row>
    <row r="7912" spans="5:9" ht="16.5" hidden="1">
      <c r="E7912" s="4" t="str">
        <v/>
      </c>
      <c r="F7912" s="102" t="str">
        <f ca="1">IFERROR(__xludf.DUMMYFUNCTION("IMPORTRANGE(H7912,""IDENTITAS UNIT!D9"")"),"#N/A")</f>
        <v>#N/A</v>
      </c>
      <c r="H7912" s="4" t="str">
        <v/>
      </c>
      <c r="I7912" s="4" t="str">
        <v/>
      </c>
    </row>
    <row r="7913" spans="5:9" ht="16.5" hidden="1">
      <c r="E7913" s="4" t="str">
        <v/>
      </c>
      <c r="F7913" s="102" t="str">
        <f ca="1">IFERROR(__xludf.DUMMYFUNCTION("IMPORTRANGE(H7913,""IDENTITAS UNIT!D9"")"),"#N/A")</f>
        <v>#N/A</v>
      </c>
      <c r="H7913" s="4" t="str">
        <v/>
      </c>
      <c r="I7913" s="4" t="str">
        <v/>
      </c>
    </row>
    <row r="7914" spans="5:9" ht="16.5" hidden="1">
      <c r="E7914" s="4" t="str">
        <v/>
      </c>
      <c r="F7914" s="102" t="str">
        <f ca="1">IFERROR(__xludf.DUMMYFUNCTION("IMPORTRANGE(H7914,""IDENTITAS UNIT!D9"")"),"#N/A")</f>
        <v>#N/A</v>
      </c>
      <c r="H7914" s="4" t="str">
        <v/>
      </c>
      <c r="I7914" s="4" t="str">
        <v/>
      </c>
    </row>
    <row r="7915" spans="5:9" ht="16.5" hidden="1">
      <c r="E7915" s="4" t="str">
        <v/>
      </c>
      <c r="F7915" s="102" t="str">
        <f ca="1">IFERROR(__xludf.DUMMYFUNCTION("IMPORTRANGE(H7915,""IDENTITAS UNIT!D9"")"),"#N/A")</f>
        <v>#N/A</v>
      </c>
      <c r="H7915" s="4" t="str">
        <v/>
      </c>
      <c r="I7915" s="4" t="str">
        <v/>
      </c>
    </row>
    <row r="7916" spans="5:9" ht="16.5" hidden="1">
      <c r="E7916" s="4" t="str">
        <v/>
      </c>
      <c r="F7916" s="102" t="str">
        <f ca="1">IFERROR(__xludf.DUMMYFUNCTION("IMPORTRANGE(H7916,""IDENTITAS UNIT!D9"")"),"#N/A")</f>
        <v>#N/A</v>
      </c>
      <c r="H7916" s="4" t="str">
        <v/>
      </c>
      <c r="I7916" s="4" t="str">
        <v/>
      </c>
    </row>
    <row r="7917" spans="5:9" ht="16.5" hidden="1">
      <c r="E7917" s="4" t="str">
        <v/>
      </c>
      <c r="F7917" s="102" t="str">
        <f ca="1">IFERROR(__xludf.DUMMYFUNCTION("IMPORTRANGE(H7917,""IDENTITAS UNIT!D9"")"),"#N/A")</f>
        <v>#N/A</v>
      </c>
      <c r="H7917" s="4" t="str">
        <v/>
      </c>
      <c r="I7917" s="4" t="str">
        <v/>
      </c>
    </row>
    <row r="7918" spans="5:9" ht="16.5" hidden="1">
      <c r="E7918" s="4" t="str">
        <v/>
      </c>
      <c r="F7918" s="102" t="str">
        <f ca="1">IFERROR(__xludf.DUMMYFUNCTION("IMPORTRANGE(H7918,""IDENTITAS UNIT!D9"")"),"#N/A")</f>
        <v>#N/A</v>
      </c>
      <c r="H7918" s="4" t="str">
        <v/>
      </c>
      <c r="I7918" s="4" t="str">
        <v/>
      </c>
    </row>
    <row r="7919" spans="5:9" ht="16.5" hidden="1">
      <c r="E7919" s="4" t="str">
        <v/>
      </c>
      <c r="F7919" s="102" t="str">
        <f ca="1">IFERROR(__xludf.DUMMYFUNCTION("IMPORTRANGE(H7919,""IDENTITAS UNIT!D9"")"),"#N/A")</f>
        <v>#N/A</v>
      </c>
      <c r="H7919" s="4" t="str">
        <v/>
      </c>
      <c r="I7919" s="4" t="str">
        <v/>
      </c>
    </row>
    <row r="7920" spans="5:9" ht="16.5" hidden="1">
      <c r="E7920" s="4" t="str">
        <v/>
      </c>
      <c r="F7920" s="102" t="str">
        <f ca="1">IFERROR(__xludf.DUMMYFUNCTION("IMPORTRANGE(H7920,""IDENTITAS UNIT!D9"")"),"#N/A")</f>
        <v>#N/A</v>
      </c>
      <c r="H7920" s="4" t="str">
        <v/>
      </c>
      <c r="I7920" s="4" t="str">
        <v/>
      </c>
    </row>
    <row r="7921" spans="5:9" ht="16.5" hidden="1">
      <c r="E7921" s="4" t="str">
        <v/>
      </c>
      <c r="F7921" s="102" t="str">
        <f ca="1">IFERROR(__xludf.DUMMYFUNCTION("IMPORTRANGE(H7921,""IDENTITAS UNIT!D9"")"),"#N/A")</f>
        <v>#N/A</v>
      </c>
      <c r="H7921" s="4" t="str">
        <v/>
      </c>
      <c r="I7921" s="4" t="str">
        <v/>
      </c>
    </row>
    <row r="7922" spans="5:9" ht="16.5" hidden="1">
      <c r="E7922" s="4" t="str">
        <v/>
      </c>
      <c r="F7922" s="102" t="str">
        <f ca="1">IFERROR(__xludf.DUMMYFUNCTION("IMPORTRANGE(H7922,""IDENTITAS UNIT!D9"")"),"#N/A")</f>
        <v>#N/A</v>
      </c>
      <c r="H7922" s="4" t="str">
        <v/>
      </c>
      <c r="I7922" s="4" t="str">
        <v/>
      </c>
    </row>
    <row r="7923" spans="5:9" ht="16.5" hidden="1">
      <c r="E7923" s="4" t="str">
        <v/>
      </c>
      <c r="F7923" s="102" t="str">
        <f ca="1">IFERROR(__xludf.DUMMYFUNCTION("IMPORTRANGE(H7923,""IDENTITAS UNIT!D9"")"),"#N/A")</f>
        <v>#N/A</v>
      </c>
      <c r="H7923" s="4" t="str">
        <v/>
      </c>
      <c r="I7923" s="4" t="str">
        <v/>
      </c>
    </row>
    <row r="7924" spans="5:9" ht="16.5" hidden="1">
      <c r="E7924" s="4" t="str">
        <v/>
      </c>
      <c r="F7924" s="102" t="str">
        <f ca="1">IFERROR(__xludf.DUMMYFUNCTION("IMPORTRANGE(H7924,""IDENTITAS UNIT!D9"")"),"#N/A")</f>
        <v>#N/A</v>
      </c>
      <c r="H7924" s="4" t="str">
        <v/>
      </c>
      <c r="I7924" s="4" t="str">
        <v/>
      </c>
    </row>
    <row r="7925" spans="5:9" ht="16.5" hidden="1">
      <c r="E7925" s="4" t="str">
        <v/>
      </c>
      <c r="F7925" s="102" t="str">
        <f ca="1">IFERROR(__xludf.DUMMYFUNCTION("IMPORTRANGE(H7925,""IDENTITAS UNIT!D9"")"),"#N/A")</f>
        <v>#N/A</v>
      </c>
      <c r="H7925" s="4" t="str">
        <v/>
      </c>
      <c r="I7925" s="4" t="str">
        <v/>
      </c>
    </row>
    <row r="7926" spans="5:9" ht="16.5" hidden="1">
      <c r="E7926" s="4" t="str">
        <v/>
      </c>
      <c r="F7926" s="102" t="str">
        <f ca="1">IFERROR(__xludf.DUMMYFUNCTION("IMPORTRANGE(H7926,""IDENTITAS UNIT!D9"")"),"#N/A")</f>
        <v>#N/A</v>
      </c>
      <c r="H7926" s="4" t="str">
        <v/>
      </c>
      <c r="I7926" s="4" t="str">
        <v/>
      </c>
    </row>
    <row r="7927" spans="5:9" ht="16.5" hidden="1">
      <c r="E7927" s="4" t="str">
        <v/>
      </c>
      <c r="F7927" s="102" t="str">
        <f ca="1">IFERROR(__xludf.DUMMYFUNCTION("IMPORTRANGE(H7927,""IDENTITAS UNIT!D9"")"),"#N/A")</f>
        <v>#N/A</v>
      </c>
      <c r="H7927" s="4" t="str">
        <v/>
      </c>
      <c r="I7927" s="4" t="str">
        <v/>
      </c>
    </row>
    <row r="7928" spans="5:9" ht="16.5" hidden="1">
      <c r="E7928" s="4" t="str">
        <v/>
      </c>
      <c r="F7928" s="102" t="str">
        <f ca="1">IFERROR(__xludf.DUMMYFUNCTION("IMPORTRANGE(H7928,""IDENTITAS UNIT!D9"")"),"#N/A")</f>
        <v>#N/A</v>
      </c>
      <c r="H7928" s="4" t="str">
        <v/>
      </c>
      <c r="I7928" s="4" t="str">
        <v/>
      </c>
    </row>
    <row r="7929" spans="5:9" ht="16.5" hidden="1">
      <c r="E7929" s="4" t="str">
        <v/>
      </c>
      <c r="F7929" s="102" t="str">
        <f ca="1">IFERROR(__xludf.DUMMYFUNCTION("IMPORTRANGE(H7929,""IDENTITAS UNIT!D9"")"),"#N/A")</f>
        <v>#N/A</v>
      </c>
      <c r="H7929" s="4" t="str">
        <v/>
      </c>
      <c r="I7929" s="4" t="str">
        <v/>
      </c>
    </row>
    <row r="7930" spans="5:9" ht="16.5" hidden="1">
      <c r="E7930" s="4" t="str">
        <v/>
      </c>
      <c r="F7930" s="102" t="str">
        <f ca="1">IFERROR(__xludf.DUMMYFUNCTION("IMPORTRANGE(H7930,""IDENTITAS UNIT!D9"")"),"#N/A")</f>
        <v>#N/A</v>
      </c>
      <c r="H7930" s="4" t="str">
        <v/>
      </c>
      <c r="I7930" s="4" t="str">
        <v/>
      </c>
    </row>
    <row r="7931" spans="5:9" ht="16.5" hidden="1">
      <c r="E7931" s="4" t="str">
        <v/>
      </c>
      <c r="F7931" s="102" t="str">
        <f ca="1">IFERROR(__xludf.DUMMYFUNCTION("IMPORTRANGE(H7931,""IDENTITAS UNIT!D9"")"),"#N/A")</f>
        <v>#N/A</v>
      </c>
      <c r="H7931" s="4" t="str">
        <v/>
      </c>
      <c r="I7931" s="4" t="str">
        <v/>
      </c>
    </row>
    <row r="7932" spans="5:9" ht="16.5" hidden="1">
      <c r="E7932" s="4" t="str">
        <v/>
      </c>
      <c r="F7932" s="102" t="str">
        <f ca="1">IFERROR(__xludf.DUMMYFUNCTION("IMPORTRANGE(H7932,""IDENTITAS UNIT!D9"")"),"#N/A")</f>
        <v>#N/A</v>
      </c>
      <c r="H7932" s="4" t="str">
        <v/>
      </c>
      <c r="I7932" s="4" t="str">
        <v/>
      </c>
    </row>
    <row r="7933" spans="5:9" ht="16.5" hidden="1">
      <c r="E7933" s="4" t="str">
        <v/>
      </c>
      <c r="F7933" s="102" t="str">
        <f ca="1">IFERROR(__xludf.DUMMYFUNCTION("IMPORTRANGE(H7933,""IDENTITAS UNIT!D9"")"),"#N/A")</f>
        <v>#N/A</v>
      </c>
      <c r="H7933" s="4" t="str">
        <v/>
      </c>
      <c r="I7933" s="4" t="str">
        <v/>
      </c>
    </row>
    <row r="7934" spans="5:9" ht="16.5" hidden="1">
      <c r="E7934" s="4" t="str">
        <v/>
      </c>
      <c r="F7934" s="102" t="str">
        <f ca="1">IFERROR(__xludf.DUMMYFUNCTION("IMPORTRANGE(H7934,""IDENTITAS UNIT!D9"")"),"#N/A")</f>
        <v>#N/A</v>
      </c>
      <c r="H7934" s="4" t="str">
        <v/>
      </c>
      <c r="I7934" s="4" t="str">
        <v/>
      </c>
    </row>
    <row r="7935" spans="5:9" ht="16.5" hidden="1">
      <c r="E7935" s="4" t="str">
        <v/>
      </c>
      <c r="F7935" s="102" t="str">
        <f ca="1">IFERROR(__xludf.DUMMYFUNCTION("IMPORTRANGE(H7935,""IDENTITAS UNIT!D9"")"),"#N/A")</f>
        <v>#N/A</v>
      </c>
      <c r="H7935" s="4" t="str">
        <v/>
      </c>
      <c r="I7935" s="4" t="str">
        <v/>
      </c>
    </row>
    <row r="7936" spans="5:9" ht="16.5" hidden="1">
      <c r="E7936" s="4" t="str">
        <v/>
      </c>
      <c r="F7936" s="102" t="str">
        <f ca="1">IFERROR(__xludf.DUMMYFUNCTION("IMPORTRANGE(H7936,""IDENTITAS UNIT!D9"")"),"#N/A")</f>
        <v>#N/A</v>
      </c>
      <c r="H7936" s="4" t="str">
        <v/>
      </c>
      <c r="I7936" s="4" t="str">
        <v/>
      </c>
    </row>
    <row r="7937" spans="5:9" ht="16.5" hidden="1">
      <c r="E7937" s="4" t="str">
        <v/>
      </c>
      <c r="F7937" s="102" t="str">
        <f ca="1">IFERROR(__xludf.DUMMYFUNCTION("IMPORTRANGE(H7937,""IDENTITAS UNIT!D9"")"),"#N/A")</f>
        <v>#N/A</v>
      </c>
      <c r="H7937" s="4" t="str">
        <v/>
      </c>
      <c r="I7937" s="4" t="str">
        <v/>
      </c>
    </row>
    <row r="7938" spans="5:9" ht="16.5" hidden="1">
      <c r="E7938" s="4" t="str">
        <v/>
      </c>
      <c r="F7938" s="102" t="str">
        <f ca="1">IFERROR(__xludf.DUMMYFUNCTION("IMPORTRANGE(H7938,""IDENTITAS UNIT!D9"")"),"#N/A")</f>
        <v>#N/A</v>
      </c>
      <c r="H7938" s="4" t="str">
        <v/>
      </c>
      <c r="I7938" s="4" t="str">
        <v/>
      </c>
    </row>
    <row r="7939" spans="5:9" ht="16.5" hidden="1">
      <c r="E7939" s="4" t="str">
        <v/>
      </c>
      <c r="F7939" s="102" t="str">
        <f ca="1">IFERROR(__xludf.DUMMYFUNCTION("IMPORTRANGE(H7939,""IDENTITAS UNIT!D9"")"),"#N/A")</f>
        <v>#N/A</v>
      </c>
      <c r="H7939" s="4" t="str">
        <v/>
      </c>
      <c r="I7939" s="4" t="str">
        <v/>
      </c>
    </row>
    <row r="7940" spans="5:9" ht="16.5" hidden="1">
      <c r="E7940" s="4" t="str">
        <v/>
      </c>
      <c r="F7940" s="102" t="str">
        <f ca="1">IFERROR(__xludf.DUMMYFUNCTION("IMPORTRANGE(H7940,""IDENTITAS UNIT!D9"")"),"#N/A")</f>
        <v>#N/A</v>
      </c>
      <c r="H7940" s="4" t="str">
        <v/>
      </c>
      <c r="I7940" s="4" t="str">
        <v/>
      </c>
    </row>
    <row r="7941" spans="5:9" ht="16.5" hidden="1">
      <c r="E7941" s="4" t="str">
        <v/>
      </c>
      <c r="F7941" s="102" t="str">
        <f ca="1">IFERROR(__xludf.DUMMYFUNCTION("IMPORTRANGE(H7941,""IDENTITAS UNIT!D9"")"),"#N/A")</f>
        <v>#N/A</v>
      </c>
      <c r="H7941" s="4" t="str">
        <v/>
      </c>
      <c r="I7941" s="4" t="str">
        <v/>
      </c>
    </row>
    <row r="7942" spans="5:9" ht="16.5" hidden="1">
      <c r="E7942" s="4" t="str">
        <v/>
      </c>
      <c r="F7942" s="102" t="str">
        <f ca="1">IFERROR(__xludf.DUMMYFUNCTION("IMPORTRANGE(H7942,""IDENTITAS UNIT!D9"")"),"#N/A")</f>
        <v>#N/A</v>
      </c>
      <c r="H7942" s="4" t="str">
        <v/>
      </c>
      <c r="I7942" s="4" t="str">
        <v/>
      </c>
    </row>
    <row r="7943" spans="5:9" ht="16.5" hidden="1">
      <c r="E7943" s="4" t="str">
        <v/>
      </c>
      <c r="F7943" s="102" t="str">
        <f ca="1">IFERROR(__xludf.DUMMYFUNCTION("IMPORTRANGE(H7943,""IDENTITAS UNIT!D9"")"),"#N/A")</f>
        <v>#N/A</v>
      </c>
      <c r="H7943" s="4" t="str">
        <v/>
      </c>
      <c r="I7943" s="4" t="str">
        <v/>
      </c>
    </row>
    <row r="7944" spans="5:9" ht="16.5" hidden="1">
      <c r="E7944" s="4" t="str">
        <v/>
      </c>
      <c r="F7944" s="102" t="str">
        <f ca="1">IFERROR(__xludf.DUMMYFUNCTION("IMPORTRANGE(H7944,""IDENTITAS UNIT!D9"")"),"#N/A")</f>
        <v>#N/A</v>
      </c>
      <c r="H7944" s="4" t="str">
        <v/>
      </c>
      <c r="I7944" s="4" t="str">
        <v/>
      </c>
    </row>
    <row r="7945" spans="5:9" ht="16.5" hidden="1">
      <c r="E7945" s="4" t="str">
        <v/>
      </c>
      <c r="F7945" s="102" t="str">
        <f ca="1">IFERROR(__xludf.DUMMYFUNCTION("IMPORTRANGE(H7945,""IDENTITAS UNIT!D9"")"),"#N/A")</f>
        <v>#N/A</v>
      </c>
      <c r="H7945" s="4" t="str">
        <v/>
      </c>
      <c r="I7945" s="4" t="str">
        <v/>
      </c>
    </row>
    <row r="7946" spans="5:9" ht="16.5" hidden="1">
      <c r="E7946" s="4" t="str">
        <v/>
      </c>
      <c r="F7946" s="102" t="str">
        <f ca="1">IFERROR(__xludf.DUMMYFUNCTION("IMPORTRANGE(H7946,""IDENTITAS UNIT!D9"")"),"#N/A")</f>
        <v>#N/A</v>
      </c>
      <c r="H7946" s="4" t="str">
        <v/>
      </c>
      <c r="I7946" s="4" t="str">
        <v/>
      </c>
    </row>
    <row r="7947" spans="5:9" ht="16.5" hidden="1">
      <c r="E7947" s="4" t="str">
        <v/>
      </c>
      <c r="F7947" s="102" t="str">
        <f ca="1">IFERROR(__xludf.DUMMYFUNCTION("IMPORTRANGE(H7947,""IDENTITAS UNIT!D9"")"),"#N/A")</f>
        <v>#N/A</v>
      </c>
      <c r="H7947" s="4" t="str">
        <v/>
      </c>
      <c r="I7947" s="4" t="str">
        <v/>
      </c>
    </row>
    <row r="7948" spans="5:9" ht="16.5" hidden="1">
      <c r="E7948" s="4" t="str">
        <v/>
      </c>
      <c r="F7948" s="102" t="str">
        <f ca="1">IFERROR(__xludf.DUMMYFUNCTION("IMPORTRANGE(H7948,""IDENTITAS UNIT!D9"")"),"#N/A")</f>
        <v>#N/A</v>
      </c>
      <c r="H7948" s="4" t="str">
        <v/>
      </c>
      <c r="I7948" s="4" t="str">
        <v/>
      </c>
    </row>
    <row r="7949" spans="5:9" ht="16.5" hidden="1">
      <c r="E7949" s="4" t="str">
        <v/>
      </c>
      <c r="F7949" s="102" t="str">
        <f ca="1">IFERROR(__xludf.DUMMYFUNCTION("IMPORTRANGE(H7949,""IDENTITAS UNIT!D9"")"),"#N/A")</f>
        <v>#N/A</v>
      </c>
      <c r="H7949" s="4" t="str">
        <v/>
      </c>
      <c r="I7949" s="4" t="str">
        <v/>
      </c>
    </row>
    <row r="7950" spans="5:9" ht="16.5" hidden="1">
      <c r="E7950" s="4" t="str">
        <v/>
      </c>
      <c r="F7950" s="102" t="str">
        <f ca="1">IFERROR(__xludf.DUMMYFUNCTION("IMPORTRANGE(H7950,""IDENTITAS UNIT!D9"")"),"#N/A")</f>
        <v>#N/A</v>
      </c>
      <c r="H7950" s="4" t="str">
        <v/>
      </c>
      <c r="I7950" s="4" t="str">
        <v/>
      </c>
    </row>
    <row r="7951" spans="5:9" ht="16.5" hidden="1">
      <c r="E7951" s="4" t="str">
        <v/>
      </c>
      <c r="F7951" s="102" t="str">
        <f ca="1">IFERROR(__xludf.DUMMYFUNCTION("IMPORTRANGE(H7951,""IDENTITAS UNIT!D9"")"),"#N/A")</f>
        <v>#N/A</v>
      </c>
      <c r="H7951" s="4" t="str">
        <v/>
      </c>
      <c r="I7951" s="4" t="str">
        <v/>
      </c>
    </row>
    <row r="7952" spans="5:9" ht="16.5" hidden="1">
      <c r="E7952" s="4" t="str">
        <v/>
      </c>
      <c r="F7952" s="102" t="str">
        <f ca="1">IFERROR(__xludf.DUMMYFUNCTION("IMPORTRANGE(H7952,""IDENTITAS UNIT!D9"")"),"#N/A")</f>
        <v>#N/A</v>
      </c>
      <c r="H7952" s="4" t="str">
        <v/>
      </c>
      <c r="I7952" s="4" t="str">
        <v/>
      </c>
    </row>
    <row r="7953" spans="5:9" ht="16.5" hidden="1">
      <c r="E7953" s="4" t="str">
        <v/>
      </c>
      <c r="F7953" s="102" t="str">
        <f ca="1">IFERROR(__xludf.DUMMYFUNCTION("IMPORTRANGE(H7953,""IDENTITAS UNIT!D9"")"),"#N/A")</f>
        <v>#N/A</v>
      </c>
      <c r="H7953" s="4" t="str">
        <v/>
      </c>
      <c r="I7953" s="4" t="str">
        <v/>
      </c>
    </row>
    <row r="7954" spans="5:9" ht="16.5" hidden="1">
      <c r="E7954" s="4" t="str">
        <v/>
      </c>
      <c r="F7954" s="102" t="str">
        <f ca="1">IFERROR(__xludf.DUMMYFUNCTION("IMPORTRANGE(H7954,""IDENTITAS UNIT!D9"")"),"#N/A")</f>
        <v>#N/A</v>
      </c>
      <c r="H7954" s="4" t="str">
        <v/>
      </c>
      <c r="I7954" s="4" t="str">
        <v/>
      </c>
    </row>
    <row r="7955" spans="5:9" ht="16.5" hidden="1">
      <c r="E7955" s="4" t="str">
        <v/>
      </c>
      <c r="F7955" s="102" t="str">
        <f ca="1">IFERROR(__xludf.DUMMYFUNCTION("IMPORTRANGE(H7955,""IDENTITAS UNIT!D9"")"),"#N/A")</f>
        <v>#N/A</v>
      </c>
      <c r="H7955" s="4" t="str">
        <v/>
      </c>
      <c r="I7955" s="4" t="str">
        <v/>
      </c>
    </row>
    <row r="7956" spans="5:9" ht="16.5" hidden="1">
      <c r="E7956" s="4" t="str">
        <v/>
      </c>
      <c r="F7956" s="102" t="str">
        <f ca="1">IFERROR(__xludf.DUMMYFUNCTION("IMPORTRANGE(H7956,""IDENTITAS UNIT!D9"")"),"#N/A")</f>
        <v>#N/A</v>
      </c>
      <c r="H7956" s="4" t="str">
        <v/>
      </c>
      <c r="I7956" s="4" t="str">
        <v/>
      </c>
    </row>
    <row r="7957" spans="5:9" ht="16.5" hidden="1">
      <c r="E7957" s="4" t="str">
        <v/>
      </c>
      <c r="F7957" s="102" t="str">
        <f ca="1">IFERROR(__xludf.DUMMYFUNCTION("IMPORTRANGE(H7957,""IDENTITAS UNIT!D9"")"),"#N/A")</f>
        <v>#N/A</v>
      </c>
      <c r="H7957" s="4" t="str">
        <v/>
      </c>
      <c r="I7957" s="4" t="str">
        <v/>
      </c>
    </row>
    <row r="7958" spans="5:9" ht="16.5" hidden="1">
      <c r="E7958" s="4" t="str">
        <v/>
      </c>
      <c r="F7958" s="102" t="str">
        <f ca="1">IFERROR(__xludf.DUMMYFUNCTION("IMPORTRANGE(H7958,""IDENTITAS UNIT!D9"")"),"#N/A")</f>
        <v>#N/A</v>
      </c>
      <c r="H7958" s="4" t="str">
        <v/>
      </c>
      <c r="I7958" s="4" t="str">
        <v/>
      </c>
    </row>
    <row r="7959" spans="5:9" ht="16.5" hidden="1">
      <c r="E7959" s="4" t="str">
        <v/>
      </c>
      <c r="F7959" s="102" t="str">
        <f ca="1">IFERROR(__xludf.DUMMYFUNCTION("IMPORTRANGE(H7959,""IDENTITAS UNIT!D9"")"),"#N/A")</f>
        <v>#N/A</v>
      </c>
      <c r="H7959" s="4" t="str">
        <v/>
      </c>
      <c r="I7959" s="4" t="str">
        <v/>
      </c>
    </row>
    <row r="7960" spans="5:9" ht="16.5" hidden="1">
      <c r="E7960" s="4" t="str">
        <v/>
      </c>
      <c r="F7960" s="102" t="str">
        <f ca="1">IFERROR(__xludf.DUMMYFUNCTION("IMPORTRANGE(H7960,""IDENTITAS UNIT!D9"")"),"#N/A")</f>
        <v>#N/A</v>
      </c>
      <c r="H7960" s="4" t="str">
        <v/>
      </c>
      <c r="I7960" s="4" t="str">
        <v/>
      </c>
    </row>
    <row r="7961" spans="5:9" ht="16.5" hidden="1">
      <c r="E7961" s="4" t="str">
        <v/>
      </c>
      <c r="F7961" s="102" t="str">
        <f ca="1">IFERROR(__xludf.DUMMYFUNCTION("IMPORTRANGE(H7961,""IDENTITAS UNIT!D9"")"),"#N/A")</f>
        <v>#N/A</v>
      </c>
      <c r="H7961" s="4" t="str">
        <v/>
      </c>
      <c r="I7961" s="4" t="str">
        <v/>
      </c>
    </row>
    <row r="7962" spans="5:9" ht="16.5" hidden="1">
      <c r="E7962" s="4" t="str">
        <v/>
      </c>
      <c r="F7962" s="102" t="str">
        <f ca="1">IFERROR(__xludf.DUMMYFUNCTION("IMPORTRANGE(H7962,""IDENTITAS UNIT!D9"")"),"#N/A")</f>
        <v>#N/A</v>
      </c>
      <c r="H7962" s="4" t="str">
        <v/>
      </c>
      <c r="I7962" s="4" t="str">
        <v/>
      </c>
    </row>
    <row r="7963" spans="5:9" ht="16.5" hidden="1">
      <c r="E7963" s="4" t="str">
        <v/>
      </c>
      <c r="F7963" s="102" t="str">
        <f ca="1">IFERROR(__xludf.DUMMYFUNCTION("IMPORTRANGE(H7963,""IDENTITAS UNIT!D9"")"),"#N/A")</f>
        <v>#N/A</v>
      </c>
      <c r="H7963" s="4" t="str">
        <v/>
      </c>
      <c r="I7963" s="4" t="str">
        <v/>
      </c>
    </row>
    <row r="7964" spans="5:9" ht="16.5" hidden="1">
      <c r="E7964" s="4" t="str">
        <v/>
      </c>
      <c r="F7964" s="102" t="str">
        <f ca="1">IFERROR(__xludf.DUMMYFUNCTION("IMPORTRANGE(H7964,""IDENTITAS UNIT!D9"")"),"#N/A")</f>
        <v>#N/A</v>
      </c>
      <c r="H7964" s="4" t="str">
        <v/>
      </c>
      <c r="I7964" s="4" t="str">
        <v/>
      </c>
    </row>
    <row r="7965" spans="5:9" ht="16.5" hidden="1">
      <c r="E7965" s="4" t="str">
        <v/>
      </c>
      <c r="F7965" s="102" t="str">
        <f ca="1">IFERROR(__xludf.DUMMYFUNCTION("IMPORTRANGE(H7965,""IDENTITAS UNIT!D9"")"),"#N/A")</f>
        <v>#N/A</v>
      </c>
      <c r="H7965" s="4" t="str">
        <v/>
      </c>
      <c r="I7965" s="4" t="str">
        <v/>
      </c>
    </row>
    <row r="7966" spans="5:9" ht="16.5" hidden="1">
      <c r="E7966" s="4" t="str">
        <v/>
      </c>
      <c r="F7966" s="102" t="str">
        <f ca="1">IFERROR(__xludf.DUMMYFUNCTION("IMPORTRANGE(H7966,""IDENTITAS UNIT!D9"")"),"#N/A")</f>
        <v>#N/A</v>
      </c>
      <c r="H7966" s="4" t="str">
        <v/>
      </c>
      <c r="I7966" s="4" t="str">
        <v/>
      </c>
    </row>
    <row r="7967" spans="5:9" ht="16.5" hidden="1">
      <c r="E7967" s="4" t="str">
        <v/>
      </c>
      <c r="F7967" s="102" t="str">
        <f ca="1">IFERROR(__xludf.DUMMYFUNCTION("IMPORTRANGE(H7967,""IDENTITAS UNIT!D9"")"),"#N/A")</f>
        <v>#N/A</v>
      </c>
      <c r="H7967" s="4" t="str">
        <v/>
      </c>
      <c r="I7967" s="4" t="str">
        <v/>
      </c>
    </row>
    <row r="7968" spans="5:9" ht="16.5" hidden="1">
      <c r="E7968" s="4" t="str">
        <v/>
      </c>
      <c r="F7968" s="102" t="str">
        <f ca="1">IFERROR(__xludf.DUMMYFUNCTION("IMPORTRANGE(H7968,""IDENTITAS UNIT!D9"")"),"#N/A")</f>
        <v>#N/A</v>
      </c>
      <c r="H7968" s="4" t="str">
        <v/>
      </c>
      <c r="I7968" s="4" t="str">
        <v/>
      </c>
    </row>
    <row r="7969" spans="5:9" ht="16.5" hidden="1">
      <c r="E7969" s="4" t="str">
        <v/>
      </c>
      <c r="F7969" s="102" t="str">
        <f ca="1">IFERROR(__xludf.DUMMYFUNCTION("IMPORTRANGE(H7969,""IDENTITAS UNIT!D9"")"),"#N/A")</f>
        <v>#N/A</v>
      </c>
      <c r="H7969" s="4" t="str">
        <v/>
      </c>
      <c r="I7969" s="4" t="str">
        <v/>
      </c>
    </row>
    <row r="7970" spans="5:9" ht="16.5" hidden="1">
      <c r="E7970" s="4" t="str">
        <v/>
      </c>
      <c r="F7970" s="102" t="str">
        <f ca="1">IFERROR(__xludf.DUMMYFUNCTION("IMPORTRANGE(H7970,""IDENTITAS UNIT!D9"")"),"#N/A")</f>
        <v>#N/A</v>
      </c>
      <c r="H7970" s="4" t="str">
        <v/>
      </c>
      <c r="I7970" s="4" t="str">
        <v/>
      </c>
    </row>
    <row r="7971" spans="5:9" ht="16.5" hidden="1">
      <c r="E7971" s="4" t="str">
        <v/>
      </c>
      <c r="F7971" s="102" t="str">
        <f ca="1">IFERROR(__xludf.DUMMYFUNCTION("IMPORTRANGE(H7971,""IDENTITAS UNIT!D9"")"),"#N/A")</f>
        <v>#N/A</v>
      </c>
      <c r="H7971" s="4" t="str">
        <v/>
      </c>
      <c r="I7971" s="4" t="str">
        <v/>
      </c>
    </row>
    <row r="7972" spans="5:9" ht="16.5" hidden="1">
      <c r="E7972" s="4" t="str">
        <v/>
      </c>
      <c r="F7972" s="102" t="str">
        <f ca="1">IFERROR(__xludf.DUMMYFUNCTION("IMPORTRANGE(H7972,""IDENTITAS UNIT!D9"")"),"#N/A")</f>
        <v>#N/A</v>
      </c>
      <c r="H7972" s="4" t="str">
        <v/>
      </c>
      <c r="I7972" s="4" t="str">
        <v/>
      </c>
    </row>
    <row r="7973" spans="5:9" ht="16.5" hidden="1">
      <c r="E7973" s="4" t="str">
        <v/>
      </c>
      <c r="F7973" s="102" t="str">
        <f ca="1">IFERROR(__xludf.DUMMYFUNCTION("IMPORTRANGE(H7973,""IDENTITAS UNIT!D9"")"),"#N/A")</f>
        <v>#N/A</v>
      </c>
      <c r="H7973" s="4" t="str">
        <v/>
      </c>
      <c r="I7973" s="4" t="str">
        <v/>
      </c>
    </row>
    <row r="7974" spans="5:9" ht="16.5" hidden="1">
      <c r="E7974" s="4" t="str">
        <v/>
      </c>
      <c r="F7974" s="102" t="str">
        <f ca="1">IFERROR(__xludf.DUMMYFUNCTION("IMPORTRANGE(H7974,""IDENTITAS UNIT!D9"")"),"#N/A")</f>
        <v>#N/A</v>
      </c>
      <c r="H7974" s="4" t="str">
        <v/>
      </c>
      <c r="I7974" s="4" t="str">
        <v/>
      </c>
    </row>
    <row r="7975" spans="5:9" ht="16.5" hidden="1">
      <c r="E7975" s="4" t="str">
        <v/>
      </c>
      <c r="F7975" s="102" t="str">
        <f ca="1">IFERROR(__xludf.DUMMYFUNCTION("IMPORTRANGE(H7975,""IDENTITAS UNIT!D9"")"),"#N/A")</f>
        <v>#N/A</v>
      </c>
      <c r="H7975" s="4" t="str">
        <v/>
      </c>
      <c r="I7975" s="4" t="str">
        <v/>
      </c>
    </row>
    <row r="7976" spans="5:9" ht="16.5" hidden="1">
      <c r="E7976" s="4" t="str">
        <v/>
      </c>
      <c r="F7976" s="102" t="str">
        <f ca="1">IFERROR(__xludf.DUMMYFUNCTION("IMPORTRANGE(H7976,""IDENTITAS UNIT!D9"")"),"#N/A")</f>
        <v>#N/A</v>
      </c>
      <c r="H7976" s="4" t="str">
        <v/>
      </c>
      <c r="I7976" s="4" t="str">
        <v/>
      </c>
    </row>
    <row r="7977" spans="5:9" ht="16.5" hidden="1">
      <c r="E7977" s="4" t="str">
        <v/>
      </c>
      <c r="F7977" s="102" t="str">
        <f ca="1">IFERROR(__xludf.DUMMYFUNCTION("IMPORTRANGE(H7977,""IDENTITAS UNIT!D9"")"),"#N/A")</f>
        <v>#N/A</v>
      </c>
      <c r="H7977" s="4" t="str">
        <v/>
      </c>
      <c r="I7977" s="4" t="str">
        <v/>
      </c>
    </row>
    <row r="7978" spans="5:9" ht="16.5" hidden="1">
      <c r="E7978" s="4" t="str">
        <v/>
      </c>
      <c r="F7978" s="102" t="str">
        <f ca="1">IFERROR(__xludf.DUMMYFUNCTION("IMPORTRANGE(H7978,""IDENTITAS UNIT!D9"")"),"#N/A")</f>
        <v>#N/A</v>
      </c>
      <c r="H7978" s="4" t="str">
        <v/>
      </c>
      <c r="I7978" s="4" t="str">
        <v/>
      </c>
    </row>
    <row r="7979" spans="5:9" ht="16.5" hidden="1">
      <c r="E7979" s="4" t="str">
        <v/>
      </c>
      <c r="F7979" s="102" t="str">
        <f ca="1">IFERROR(__xludf.DUMMYFUNCTION("IMPORTRANGE(H7979,""IDENTITAS UNIT!D9"")"),"#N/A")</f>
        <v>#N/A</v>
      </c>
      <c r="H7979" s="4" t="str">
        <v/>
      </c>
      <c r="I7979" s="4" t="str">
        <v/>
      </c>
    </row>
    <row r="7980" spans="5:9" ht="16.5" hidden="1">
      <c r="E7980" s="4" t="str">
        <v/>
      </c>
      <c r="F7980" s="102" t="str">
        <f ca="1">IFERROR(__xludf.DUMMYFUNCTION("IMPORTRANGE(H7980,""IDENTITAS UNIT!D9"")"),"#N/A")</f>
        <v>#N/A</v>
      </c>
      <c r="H7980" s="4" t="str">
        <v/>
      </c>
      <c r="I7980" s="4" t="str">
        <v/>
      </c>
    </row>
    <row r="7981" spans="5:9" ht="16.5" hidden="1">
      <c r="E7981" s="4" t="str">
        <v/>
      </c>
      <c r="F7981" s="102" t="str">
        <f ca="1">IFERROR(__xludf.DUMMYFUNCTION("IMPORTRANGE(H7981,""IDENTITAS UNIT!D9"")"),"#N/A")</f>
        <v>#N/A</v>
      </c>
      <c r="H7981" s="4" t="str">
        <v/>
      </c>
      <c r="I7981" s="4" t="str">
        <v/>
      </c>
    </row>
    <row r="7982" spans="5:9" ht="16.5" hidden="1">
      <c r="E7982" s="4" t="str">
        <v/>
      </c>
      <c r="F7982" s="102" t="str">
        <f ca="1">IFERROR(__xludf.DUMMYFUNCTION("IMPORTRANGE(H7982,""IDENTITAS UNIT!D9"")"),"#N/A")</f>
        <v>#N/A</v>
      </c>
      <c r="H7982" s="4" t="str">
        <v/>
      </c>
      <c r="I7982" s="4" t="str">
        <v/>
      </c>
    </row>
    <row r="7983" spans="5:9" ht="16.5" hidden="1">
      <c r="E7983" s="4" t="str">
        <v/>
      </c>
      <c r="F7983" s="102" t="str">
        <f ca="1">IFERROR(__xludf.DUMMYFUNCTION("IMPORTRANGE(H7983,""IDENTITAS UNIT!D9"")"),"#N/A")</f>
        <v>#N/A</v>
      </c>
      <c r="H7983" s="4" t="str">
        <v/>
      </c>
      <c r="I7983" s="4" t="str">
        <v/>
      </c>
    </row>
    <row r="7984" spans="5:9" ht="16.5" hidden="1">
      <c r="E7984" s="4" t="str">
        <v/>
      </c>
      <c r="F7984" s="102" t="str">
        <f ca="1">IFERROR(__xludf.DUMMYFUNCTION("IMPORTRANGE(H7984,""IDENTITAS UNIT!D9"")"),"#N/A")</f>
        <v>#N/A</v>
      </c>
      <c r="H7984" s="4" t="str">
        <v/>
      </c>
      <c r="I7984" s="4" t="str">
        <v/>
      </c>
    </row>
    <row r="7985" spans="5:9" ht="16.5" hidden="1">
      <c r="E7985" s="4" t="str">
        <v/>
      </c>
      <c r="F7985" s="102" t="str">
        <f ca="1">IFERROR(__xludf.DUMMYFUNCTION("IMPORTRANGE(H7985,""IDENTITAS UNIT!D9"")"),"#N/A")</f>
        <v>#N/A</v>
      </c>
      <c r="H7985" s="4" t="str">
        <v/>
      </c>
      <c r="I7985" s="4" t="str">
        <v/>
      </c>
    </row>
    <row r="7986" spans="5:9" ht="16.5" hidden="1">
      <c r="E7986" s="4" t="str">
        <v/>
      </c>
      <c r="F7986" s="102" t="str">
        <f ca="1">IFERROR(__xludf.DUMMYFUNCTION("IMPORTRANGE(H7986,""IDENTITAS UNIT!D9"")"),"#N/A")</f>
        <v>#N/A</v>
      </c>
      <c r="H7986" s="4" t="str">
        <v/>
      </c>
      <c r="I7986" s="4" t="str">
        <v/>
      </c>
    </row>
    <row r="7987" spans="5:9" ht="16.5" hidden="1">
      <c r="E7987" s="4" t="str">
        <v/>
      </c>
      <c r="F7987" s="102" t="str">
        <f ca="1">IFERROR(__xludf.DUMMYFUNCTION("IMPORTRANGE(H7987,""IDENTITAS UNIT!D9"")"),"#N/A")</f>
        <v>#N/A</v>
      </c>
      <c r="H7987" s="4" t="str">
        <v/>
      </c>
      <c r="I7987" s="4" t="str">
        <v/>
      </c>
    </row>
    <row r="7988" spans="5:9" ht="16.5" hidden="1">
      <c r="E7988" s="4" t="str">
        <v/>
      </c>
      <c r="F7988" s="102" t="str">
        <f ca="1">IFERROR(__xludf.DUMMYFUNCTION("IMPORTRANGE(H7988,""IDENTITAS UNIT!D9"")"),"#N/A")</f>
        <v>#N/A</v>
      </c>
      <c r="H7988" s="4" t="str">
        <v/>
      </c>
      <c r="I7988" s="4" t="str">
        <v/>
      </c>
    </row>
    <row r="7989" spans="5:9" ht="16.5" hidden="1">
      <c r="E7989" s="4" t="str">
        <v/>
      </c>
      <c r="F7989" s="102" t="str">
        <f ca="1">IFERROR(__xludf.DUMMYFUNCTION("IMPORTRANGE(H7989,""IDENTITAS UNIT!D9"")"),"#N/A")</f>
        <v>#N/A</v>
      </c>
      <c r="H7989" s="4" t="str">
        <v/>
      </c>
      <c r="I7989" s="4" t="str">
        <v/>
      </c>
    </row>
    <row r="7990" spans="5:9" ht="16.5" hidden="1">
      <c r="E7990" s="4" t="str">
        <v/>
      </c>
      <c r="F7990" s="102" t="str">
        <f ca="1">IFERROR(__xludf.DUMMYFUNCTION("IMPORTRANGE(H7990,""IDENTITAS UNIT!D9"")"),"#N/A")</f>
        <v>#N/A</v>
      </c>
      <c r="H7990" s="4" t="str">
        <v/>
      </c>
      <c r="I7990" s="4" t="str">
        <v/>
      </c>
    </row>
    <row r="7991" spans="5:9" ht="16.5" hidden="1">
      <c r="E7991" s="4" t="str">
        <v/>
      </c>
      <c r="F7991" s="102" t="str">
        <f ca="1">IFERROR(__xludf.DUMMYFUNCTION("IMPORTRANGE(H7991,""IDENTITAS UNIT!D9"")"),"#N/A")</f>
        <v>#N/A</v>
      </c>
      <c r="H7991" s="4" t="str">
        <v/>
      </c>
      <c r="I7991" s="4" t="str">
        <v/>
      </c>
    </row>
    <row r="7992" spans="5:9" ht="16.5" hidden="1">
      <c r="E7992" s="4" t="str">
        <v/>
      </c>
      <c r="F7992" s="102" t="str">
        <f ca="1">IFERROR(__xludf.DUMMYFUNCTION("IMPORTRANGE(H7992,""IDENTITAS UNIT!D9"")"),"#N/A")</f>
        <v>#N/A</v>
      </c>
      <c r="H7992" s="4" t="str">
        <v/>
      </c>
      <c r="I7992" s="4" t="str">
        <v/>
      </c>
    </row>
    <row r="7993" spans="5:9" ht="16.5" hidden="1">
      <c r="E7993" s="4" t="str">
        <v/>
      </c>
      <c r="F7993" s="102" t="str">
        <f ca="1">IFERROR(__xludf.DUMMYFUNCTION("IMPORTRANGE(H7993,""IDENTITAS UNIT!D9"")"),"#N/A")</f>
        <v>#N/A</v>
      </c>
      <c r="H7993" s="4" t="str">
        <v/>
      </c>
      <c r="I7993" s="4" t="str">
        <v/>
      </c>
    </row>
    <row r="7994" spans="5:9" ht="16.5" hidden="1">
      <c r="E7994" s="4" t="str">
        <v/>
      </c>
      <c r="F7994" s="102" t="str">
        <f ca="1">IFERROR(__xludf.DUMMYFUNCTION("IMPORTRANGE(H7994,""IDENTITAS UNIT!D9"")"),"#N/A")</f>
        <v>#N/A</v>
      </c>
      <c r="H7994" s="4" t="str">
        <v/>
      </c>
      <c r="I7994" s="4" t="str">
        <v/>
      </c>
    </row>
    <row r="7995" spans="5:9" ht="16.5" hidden="1">
      <c r="E7995" s="4" t="str">
        <v/>
      </c>
      <c r="F7995" s="102" t="str">
        <f ca="1">IFERROR(__xludf.DUMMYFUNCTION("IMPORTRANGE(H7995,""IDENTITAS UNIT!D9"")"),"#N/A")</f>
        <v>#N/A</v>
      </c>
      <c r="H7995" s="4" t="str">
        <v/>
      </c>
      <c r="I7995" s="4" t="str">
        <v/>
      </c>
    </row>
    <row r="7996" spans="5:9" ht="16.5" hidden="1">
      <c r="E7996" s="4" t="str">
        <v/>
      </c>
      <c r="F7996" s="102" t="str">
        <f ca="1">IFERROR(__xludf.DUMMYFUNCTION("IMPORTRANGE(H7996,""IDENTITAS UNIT!D9"")"),"#N/A")</f>
        <v>#N/A</v>
      </c>
      <c r="H7996" s="4" t="str">
        <v/>
      </c>
      <c r="I7996" s="4" t="str">
        <v/>
      </c>
    </row>
    <row r="7997" spans="5:9" ht="16.5" hidden="1">
      <c r="E7997" s="4" t="str">
        <v/>
      </c>
      <c r="F7997" s="102" t="str">
        <f ca="1">IFERROR(__xludf.DUMMYFUNCTION("IMPORTRANGE(H7997,""IDENTITAS UNIT!D9"")"),"#N/A")</f>
        <v>#N/A</v>
      </c>
      <c r="H7997" s="4" t="str">
        <v/>
      </c>
      <c r="I7997" s="4" t="str">
        <v/>
      </c>
    </row>
    <row r="7998" spans="5:9" ht="16.5" hidden="1">
      <c r="E7998" s="4" t="str">
        <v/>
      </c>
      <c r="F7998" s="102" t="str">
        <f ca="1">IFERROR(__xludf.DUMMYFUNCTION("IMPORTRANGE(H7998,""IDENTITAS UNIT!D9"")"),"#N/A")</f>
        <v>#N/A</v>
      </c>
      <c r="H7998" s="4" t="str">
        <v/>
      </c>
      <c r="I7998" s="4" t="str">
        <v/>
      </c>
    </row>
    <row r="7999" spans="5:9" ht="16.5" hidden="1">
      <c r="E7999" s="4" t="str">
        <v/>
      </c>
      <c r="F7999" s="102" t="str">
        <f ca="1">IFERROR(__xludf.DUMMYFUNCTION("IMPORTRANGE(H7999,""IDENTITAS UNIT!D9"")"),"#N/A")</f>
        <v>#N/A</v>
      </c>
      <c r="H7999" s="4" t="str">
        <v/>
      </c>
      <c r="I7999" s="4" t="str">
        <v/>
      </c>
    </row>
    <row r="8000" spans="5:9" ht="16.5" hidden="1">
      <c r="E8000" s="4" t="str">
        <v/>
      </c>
      <c r="F8000" s="102" t="str">
        <f ca="1">IFERROR(__xludf.DUMMYFUNCTION("IMPORTRANGE(H8000,""IDENTITAS UNIT!D9"")"),"#N/A")</f>
        <v>#N/A</v>
      </c>
      <c r="H8000" s="4" t="str">
        <v/>
      </c>
      <c r="I8000" s="4" t="str">
        <v/>
      </c>
    </row>
    <row r="8001" spans="5:9" ht="16.5" hidden="1">
      <c r="E8001" s="4" t="str">
        <v/>
      </c>
      <c r="F8001" s="102" t="str">
        <f ca="1">IFERROR(__xludf.DUMMYFUNCTION("IMPORTRANGE(H8001,""IDENTITAS UNIT!D9"")"),"#N/A")</f>
        <v>#N/A</v>
      </c>
      <c r="H8001" s="4" t="str">
        <v/>
      </c>
      <c r="I8001" s="4" t="str">
        <v/>
      </c>
    </row>
    <row r="8002" spans="5:9" ht="16.5" hidden="1">
      <c r="E8002" s="4" t="str">
        <v/>
      </c>
      <c r="F8002" s="102" t="str">
        <f ca="1">IFERROR(__xludf.DUMMYFUNCTION("IMPORTRANGE(H8002,""IDENTITAS UNIT!D9"")"),"#N/A")</f>
        <v>#N/A</v>
      </c>
      <c r="H8002" s="4" t="str">
        <v/>
      </c>
      <c r="I8002" s="4" t="str">
        <v/>
      </c>
    </row>
    <row r="8003" spans="5:9" ht="16.5" hidden="1">
      <c r="E8003" s="4" t="str">
        <v/>
      </c>
      <c r="F8003" s="102" t="str">
        <f ca="1">IFERROR(__xludf.DUMMYFUNCTION("IMPORTRANGE(H8003,""IDENTITAS UNIT!D9"")"),"#N/A")</f>
        <v>#N/A</v>
      </c>
      <c r="H8003" s="4" t="str">
        <v/>
      </c>
      <c r="I8003" s="4" t="str">
        <v/>
      </c>
    </row>
    <row r="8004" spans="5:9" ht="16.5" hidden="1">
      <c r="E8004" s="4" t="str">
        <v/>
      </c>
      <c r="F8004" s="102" t="str">
        <f ca="1">IFERROR(__xludf.DUMMYFUNCTION("IMPORTRANGE(H8004,""IDENTITAS UNIT!D9"")"),"#N/A")</f>
        <v>#N/A</v>
      </c>
      <c r="H8004" s="4" t="str">
        <v/>
      </c>
      <c r="I8004" s="4" t="str">
        <v/>
      </c>
    </row>
    <row r="8005" spans="5:9" ht="16.5" hidden="1">
      <c r="E8005" s="4" t="str">
        <v/>
      </c>
      <c r="F8005" s="102" t="str">
        <f ca="1">IFERROR(__xludf.DUMMYFUNCTION("IMPORTRANGE(H8005,""IDENTITAS UNIT!D9"")"),"#N/A")</f>
        <v>#N/A</v>
      </c>
      <c r="H8005" s="4" t="str">
        <v/>
      </c>
      <c r="I8005" s="4" t="str">
        <v/>
      </c>
    </row>
    <row r="8006" spans="5:9" ht="16.5" hidden="1">
      <c r="E8006" s="4" t="str">
        <v/>
      </c>
      <c r="F8006" s="102" t="str">
        <f ca="1">IFERROR(__xludf.DUMMYFUNCTION("IMPORTRANGE(H8006,""IDENTITAS UNIT!D9"")"),"#N/A")</f>
        <v>#N/A</v>
      </c>
      <c r="H8006" s="4" t="str">
        <v/>
      </c>
      <c r="I8006" s="4" t="str">
        <v/>
      </c>
    </row>
    <row r="8007" spans="5:9" ht="16.5" hidden="1">
      <c r="E8007" s="4" t="str">
        <v/>
      </c>
      <c r="F8007" s="102" t="str">
        <f ca="1">IFERROR(__xludf.DUMMYFUNCTION("IMPORTRANGE(H8007,""IDENTITAS UNIT!D9"")"),"#N/A")</f>
        <v>#N/A</v>
      </c>
      <c r="H8007" s="4" t="str">
        <v/>
      </c>
      <c r="I8007" s="4" t="str">
        <v/>
      </c>
    </row>
    <row r="8008" spans="5:9" ht="16.5" hidden="1">
      <c r="E8008" s="4" t="str">
        <v/>
      </c>
      <c r="F8008" s="102" t="str">
        <f ca="1">IFERROR(__xludf.DUMMYFUNCTION("IMPORTRANGE(H8008,""IDENTITAS UNIT!D9"")"),"#N/A")</f>
        <v>#N/A</v>
      </c>
      <c r="H8008" s="4" t="str">
        <v/>
      </c>
      <c r="I8008" s="4" t="str">
        <v/>
      </c>
    </row>
    <row r="8009" spans="5:9" ht="16.5" hidden="1">
      <c r="E8009" s="4" t="str">
        <v/>
      </c>
      <c r="F8009" s="102" t="str">
        <f ca="1">IFERROR(__xludf.DUMMYFUNCTION("IMPORTRANGE(H8009,""IDENTITAS UNIT!D9"")"),"#N/A")</f>
        <v>#N/A</v>
      </c>
      <c r="H8009" s="4" t="str">
        <v/>
      </c>
      <c r="I8009" s="4" t="str">
        <v/>
      </c>
    </row>
    <row r="8010" spans="5:9" ht="16.5" hidden="1">
      <c r="E8010" s="4" t="str">
        <v/>
      </c>
      <c r="F8010" s="102" t="str">
        <f ca="1">IFERROR(__xludf.DUMMYFUNCTION("IMPORTRANGE(H8010,""IDENTITAS UNIT!D9"")"),"#N/A")</f>
        <v>#N/A</v>
      </c>
      <c r="H8010" s="4" t="str">
        <v/>
      </c>
      <c r="I8010" s="4" t="str">
        <v/>
      </c>
    </row>
    <row r="8011" spans="5:9" ht="16.5" hidden="1">
      <c r="E8011" s="4" t="str">
        <v/>
      </c>
      <c r="F8011" s="102" t="str">
        <f ca="1">IFERROR(__xludf.DUMMYFUNCTION("IMPORTRANGE(H8011,""IDENTITAS UNIT!D9"")"),"#N/A")</f>
        <v>#N/A</v>
      </c>
      <c r="H8011" s="4" t="str">
        <v/>
      </c>
      <c r="I8011" s="4" t="str">
        <v/>
      </c>
    </row>
    <row r="8012" spans="5:9" ht="16.5" hidden="1">
      <c r="E8012" s="4" t="str">
        <v/>
      </c>
      <c r="F8012" s="102" t="str">
        <f ca="1">IFERROR(__xludf.DUMMYFUNCTION("IMPORTRANGE(H8012,""IDENTITAS UNIT!D9"")"),"#N/A")</f>
        <v>#N/A</v>
      </c>
      <c r="H8012" s="4" t="str">
        <v/>
      </c>
      <c r="I8012" s="4" t="str">
        <v/>
      </c>
    </row>
    <row r="8013" spans="5:9" ht="16.5" hidden="1">
      <c r="E8013" s="4" t="str">
        <v/>
      </c>
      <c r="F8013" s="102" t="str">
        <f ca="1">IFERROR(__xludf.DUMMYFUNCTION("IMPORTRANGE(H8013,""IDENTITAS UNIT!D9"")"),"#N/A")</f>
        <v>#N/A</v>
      </c>
      <c r="H8013" s="4" t="str">
        <v/>
      </c>
      <c r="I8013" s="4" t="str">
        <v/>
      </c>
    </row>
    <row r="8014" spans="5:9" ht="16.5" hidden="1">
      <c r="E8014" s="4" t="str">
        <v/>
      </c>
      <c r="F8014" s="102" t="str">
        <f ca="1">IFERROR(__xludf.DUMMYFUNCTION("IMPORTRANGE(H8014,""IDENTITAS UNIT!D9"")"),"#N/A")</f>
        <v>#N/A</v>
      </c>
      <c r="H8014" s="4" t="str">
        <v/>
      </c>
      <c r="I8014" s="4" t="str">
        <v/>
      </c>
    </row>
    <row r="8015" spans="5:9" ht="16.5" hidden="1">
      <c r="E8015" s="4" t="str">
        <v/>
      </c>
      <c r="F8015" s="102" t="str">
        <f ca="1">IFERROR(__xludf.DUMMYFUNCTION("IMPORTRANGE(H8015,""IDENTITAS UNIT!D9"")"),"#N/A")</f>
        <v>#N/A</v>
      </c>
      <c r="H8015" s="4" t="str">
        <v/>
      </c>
      <c r="I8015" s="4" t="str">
        <v/>
      </c>
    </row>
    <row r="8016" spans="5:9" ht="16.5" hidden="1">
      <c r="E8016" s="4" t="str">
        <v/>
      </c>
      <c r="F8016" s="102" t="str">
        <f ca="1">IFERROR(__xludf.DUMMYFUNCTION("IMPORTRANGE(H8016,""IDENTITAS UNIT!D9"")"),"#N/A")</f>
        <v>#N/A</v>
      </c>
      <c r="H8016" s="4" t="str">
        <v/>
      </c>
      <c r="I8016" s="4" t="str">
        <v/>
      </c>
    </row>
    <row r="8017" spans="5:9" ht="16.5" hidden="1">
      <c r="E8017" s="4" t="str">
        <v/>
      </c>
      <c r="F8017" s="102" t="str">
        <f ca="1">IFERROR(__xludf.DUMMYFUNCTION("IMPORTRANGE(H8017,""IDENTITAS UNIT!D9"")"),"#N/A")</f>
        <v>#N/A</v>
      </c>
      <c r="H8017" s="4" t="str">
        <v/>
      </c>
      <c r="I8017" s="4" t="str">
        <v/>
      </c>
    </row>
    <row r="8018" spans="5:9" ht="16.5" hidden="1">
      <c r="E8018" s="4" t="str">
        <v/>
      </c>
      <c r="F8018" s="102" t="str">
        <f ca="1">IFERROR(__xludf.DUMMYFUNCTION("IMPORTRANGE(H8018,""IDENTITAS UNIT!D9"")"),"#N/A")</f>
        <v>#N/A</v>
      </c>
      <c r="H8018" s="4" t="str">
        <v/>
      </c>
      <c r="I8018" s="4" t="str">
        <v/>
      </c>
    </row>
    <row r="8019" spans="5:9" ht="16.5" hidden="1">
      <c r="E8019" s="4" t="str">
        <v/>
      </c>
      <c r="F8019" s="102" t="str">
        <f ca="1">IFERROR(__xludf.DUMMYFUNCTION("IMPORTRANGE(H8019,""IDENTITAS UNIT!D9"")"),"#N/A")</f>
        <v>#N/A</v>
      </c>
      <c r="H8019" s="4" t="str">
        <v/>
      </c>
      <c r="I8019" s="4" t="str">
        <v/>
      </c>
    </row>
    <row r="8020" spans="5:9" ht="16.5" hidden="1">
      <c r="E8020" s="4" t="str">
        <v/>
      </c>
      <c r="F8020" s="102" t="str">
        <f ca="1">IFERROR(__xludf.DUMMYFUNCTION("IMPORTRANGE(H8020,""IDENTITAS UNIT!D9"")"),"#N/A")</f>
        <v>#N/A</v>
      </c>
      <c r="H8020" s="4" t="str">
        <v/>
      </c>
      <c r="I8020" s="4" t="str">
        <v/>
      </c>
    </row>
    <row r="8021" spans="5:9" ht="16.5" hidden="1">
      <c r="E8021" s="4" t="str">
        <v/>
      </c>
      <c r="F8021" s="102" t="str">
        <f ca="1">IFERROR(__xludf.DUMMYFUNCTION("IMPORTRANGE(H8021,""IDENTITAS UNIT!D9"")"),"#N/A")</f>
        <v>#N/A</v>
      </c>
      <c r="H8021" s="4" t="str">
        <v/>
      </c>
      <c r="I8021" s="4" t="str">
        <v/>
      </c>
    </row>
    <row r="8022" spans="5:9" ht="16.5" hidden="1">
      <c r="E8022" s="4" t="str">
        <v/>
      </c>
      <c r="F8022" s="102" t="str">
        <f ca="1">IFERROR(__xludf.DUMMYFUNCTION("IMPORTRANGE(H8022,""IDENTITAS UNIT!D9"")"),"#N/A")</f>
        <v>#N/A</v>
      </c>
      <c r="H8022" s="4" t="str">
        <v/>
      </c>
      <c r="I8022" s="4" t="str">
        <v/>
      </c>
    </row>
    <row r="8023" spans="5:9" ht="16.5" hidden="1">
      <c r="E8023" s="4" t="str">
        <v/>
      </c>
      <c r="F8023" s="102" t="str">
        <f ca="1">IFERROR(__xludf.DUMMYFUNCTION("IMPORTRANGE(H8023,""IDENTITAS UNIT!D9"")"),"#N/A")</f>
        <v>#N/A</v>
      </c>
      <c r="H8023" s="4" t="str">
        <v/>
      </c>
      <c r="I8023" s="4" t="str">
        <v/>
      </c>
    </row>
    <row r="8024" spans="5:9" ht="16.5" hidden="1">
      <c r="E8024" s="4" t="str">
        <v/>
      </c>
      <c r="F8024" s="102" t="str">
        <f ca="1">IFERROR(__xludf.DUMMYFUNCTION("IMPORTRANGE(H8024,""IDENTITAS UNIT!D9"")"),"#N/A")</f>
        <v>#N/A</v>
      </c>
      <c r="H8024" s="4" t="str">
        <v/>
      </c>
      <c r="I8024" s="4" t="str">
        <v/>
      </c>
    </row>
    <row r="8025" spans="5:9" ht="16.5" hidden="1">
      <c r="E8025" s="4" t="str">
        <v/>
      </c>
      <c r="F8025" s="102" t="str">
        <f ca="1">IFERROR(__xludf.DUMMYFUNCTION("IMPORTRANGE(H8025,""IDENTITAS UNIT!D9"")"),"#N/A")</f>
        <v>#N/A</v>
      </c>
      <c r="H8025" s="4" t="str">
        <v/>
      </c>
      <c r="I8025" s="4" t="str">
        <v/>
      </c>
    </row>
    <row r="8026" spans="5:9" ht="16.5" hidden="1">
      <c r="E8026" s="4" t="str">
        <v/>
      </c>
      <c r="F8026" s="102" t="str">
        <f ca="1">IFERROR(__xludf.DUMMYFUNCTION("IMPORTRANGE(H8026,""IDENTITAS UNIT!D9"")"),"#N/A")</f>
        <v>#N/A</v>
      </c>
      <c r="H8026" s="4" t="str">
        <v/>
      </c>
      <c r="I8026" s="4" t="str">
        <v/>
      </c>
    </row>
    <row r="8027" spans="5:9" ht="16.5" hidden="1">
      <c r="E8027" s="4" t="str">
        <v/>
      </c>
      <c r="F8027" s="102" t="str">
        <f ca="1">IFERROR(__xludf.DUMMYFUNCTION("IMPORTRANGE(H8027,""IDENTITAS UNIT!D9"")"),"#N/A")</f>
        <v>#N/A</v>
      </c>
      <c r="H8027" s="4" t="str">
        <v/>
      </c>
      <c r="I8027" s="4" t="str">
        <v/>
      </c>
    </row>
    <row r="8028" spans="5:9" ht="16.5" hidden="1">
      <c r="E8028" s="4" t="str">
        <v/>
      </c>
      <c r="F8028" s="102" t="str">
        <f ca="1">IFERROR(__xludf.DUMMYFUNCTION("IMPORTRANGE(H8028,""IDENTITAS UNIT!D9"")"),"#N/A")</f>
        <v>#N/A</v>
      </c>
      <c r="H8028" s="4" t="str">
        <v/>
      </c>
      <c r="I8028" s="4" t="str">
        <v/>
      </c>
    </row>
    <row r="8029" spans="5:9" ht="16.5" hidden="1">
      <c r="E8029" s="4" t="str">
        <v/>
      </c>
      <c r="F8029" s="102" t="str">
        <f ca="1">IFERROR(__xludf.DUMMYFUNCTION("IMPORTRANGE(H8029,""IDENTITAS UNIT!D9"")"),"#N/A")</f>
        <v>#N/A</v>
      </c>
      <c r="H8029" s="4" t="str">
        <v/>
      </c>
      <c r="I8029" s="4" t="str">
        <v/>
      </c>
    </row>
    <row r="8030" spans="5:9" ht="16.5" hidden="1">
      <c r="E8030" s="4" t="str">
        <v/>
      </c>
      <c r="F8030" s="102" t="str">
        <f ca="1">IFERROR(__xludf.DUMMYFUNCTION("IMPORTRANGE(H8030,""IDENTITAS UNIT!D9"")"),"#N/A")</f>
        <v>#N/A</v>
      </c>
      <c r="H8030" s="4" t="str">
        <v/>
      </c>
      <c r="I8030" s="4" t="str">
        <v/>
      </c>
    </row>
    <row r="8031" spans="5:9" ht="16.5" hidden="1">
      <c r="E8031" s="4" t="str">
        <v/>
      </c>
      <c r="F8031" s="102" t="str">
        <f ca="1">IFERROR(__xludf.DUMMYFUNCTION("IMPORTRANGE(H8031,""IDENTITAS UNIT!D9"")"),"#N/A")</f>
        <v>#N/A</v>
      </c>
      <c r="H8031" s="4" t="str">
        <v/>
      </c>
      <c r="I8031" s="4" t="str">
        <v/>
      </c>
    </row>
    <row r="8032" spans="5:9" ht="16.5" hidden="1">
      <c r="E8032" s="4" t="str">
        <v/>
      </c>
      <c r="F8032" s="102" t="str">
        <f ca="1">IFERROR(__xludf.DUMMYFUNCTION("IMPORTRANGE(H8032,""IDENTITAS UNIT!D9"")"),"#N/A")</f>
        <v>#N/A</v>
      </c>
      <c r="H8032" s="4" t="str">
        <v/>
      </c>
      <c r="I8032" s="4" t="str">
        <v/>
      </c>
    </row>
    <row r="8033" spans="5:9" ht="16.5" hidden="1">
      <c r="E8033" s="4" t="str">
        <v/>
      </c>
      <c r="F8033" s="102" t="str">
        <f ca="1">IFERROR(__xludf.DUMMYFUNCTION("IMPORTRANGE(H8033,""IDENTITAS UNIT!D9"")"),"#N/A")</f>
        <v>#N/A</v>
      </c>
      <c r="H8033" s="4" t="str">
        <v/>
      </c>
      <c r="I8033" s="4" t="str">
        <v/>
      </c>
    </row>
    <row r="8034" spans="5:9" ht="16.5" hidden="1">
      <c r="E8034" s="4" t="str">
        <v/>
      </c>
      <c r="F8034" s="102" t="str">
        <f ca="1">IFERROR(__xludf.DUMMYFUNCTION("IMPORTRANGE(H8034,""IDENTITAS UNIT!D9"")"),"#N/A")</f>
        <v>#N/A</v>
      </c>
      <c r="H8034" s="4" t="str">
        <v/>
      </c>
      <c r="I8034" s="4" t="str">
        <v/>
      </c>
    </row>
    <row r="8035" spans="5:9" ht="16.5" hidden="1">
      <c r="E8035" s="4" t="str">
        <v/>
      </c>
      <c r="F8035" s="102" t="str">
        <f ca="1">IFERROR(__xludf.DUMMYFUNCTION("IMPORTRANGE(H8035,""IDENTITAS UNIT!D9"")"),"#N/A")</f>
        <v>#N/A</v>
      </c>
      <c r="H8035" s="4" t="str">
        <v/>
      </c>
      <c r="I8035" s="4" t="str">
        <v/>
      </c>
    </row>
    <row r="8036" spans="5:9" ht="16.5" hidden="1">
      <c r="E8036" s="4" t="str">
        <v/>
      </c>
      <c r="F8036" s="102" t="str">
        <f ca="1">IFERROR(__xludf.DUMMYFUNCTION("IMPORTRANGE(H8036,""IDENTITAS UNIT!D9"")"),"#N/A")</f>
        <v>#N/A</v>
      </c>
      <c r="H8036" s="4" t="str">
        <v/>
      </c>
      <c r="I8036" s="4" t="str">
        <v/>
      </c>
    </row>
    <row r="8037" spans="5:9" ht="16.5" hidden="1">
      <c r="E8037" s="4" t="str">
        <v/>
      </c>
      <c r="F8037" s="102" t="str">
        <f ca="1">IFERROR(__xludf.DUMMYFUNCTION("IMPORTRANGE(H8037,""IDENTITAS UNIT!D9"")"),"#N/A")</f>
        <v>#N/A</v>
      </c>
      <c r="H8037" s="4" t="str">
        <v/>
      </c>
      <c r="I8037" s="4" t="str">
        <v/>
      </c>
    </row>
    <row r="8038" spans="5:9" ht="16.5" hidden="1">
      <c r="E8038" s="4" t="str">
        <v/>
      </c>
      <c r="F8038" s="102" t="str">
        <f ca="1">IFERROR(__xludf.DUMMYFUNCTION("IMPORTRANGE(H8038,""IDENTITAS UNIT!D9"")"),"#N/A")</f>
        <v>#N/A</v>
      </c>
      <c r="H8038" s="4" t="str">
        <v/>
      </c>
      <c r="I8038" s="4" t="str">
        <v/>
      </c>
    </row>
    <row r="8039" spans="5:9" ht="16.5" hidden="1">
      <c r="E8039" s="4" t="str">
        <v/>
      </c>
      <c r="F8039" s="102" t="str">
        <f ca="1">IFERROR(__xludf.DUMMYFUNCTION("IMPORTRANGE(H8039,""IDENTITAS UNIT!D9"")"),"#N/A")</f>
        <v>#N/A</v>
      </c>
      <c r="H8039" s="4" t="str">
        <v/>
      </c>
      <c r="I8039" s="4" t="str">
        <v/>
      </c>
    </row>
    <row r="8040" spans="5:9" ht="16.5" hidden="1">
      <c r="E8040" s="4" t="str">
        <v/>
      </c>
      <c r="F8040" s="102" t="str">
        <f ca="1">IFERROR(__xludf.DUMMYFUNCTION("IMPORTRANGE(H8040,""IDENTITAS UNIT!D9"")"),"#N/A")</f>
        <v>#N/A</v>
      </c>
      <c r="H8040" s="4" t="str">
        <v/>
      </c>
      <c r="I8040" s="4" t="str">
        <v/>
      </c>
    </row>
    <row r="8041" spans="5:9" ht="16.5" hidden="1">
      <c r="E8041" s="4" t="str">
        <v/>
      </c>
      <c r="F8041" s="102" t="str">
        <f ca="1">IFERROR(__xludf.DUMMYFUNCTION("IMPORTRANGE(H8041,""IDENTITAS UNIT!D9"")"),"#N/A")</f>
        <v>#N/A</v>
      </c>
      <c r="H8041" s="4" t="str">
        <v/>
      </c>
      <c r="I8041" s="4" t="str">
        <v/>
      </c>
    </row>
    <row r="8042" spans="5:9" ht="16.5" hidden="1">
      <c r="E8042" s="4" t="str">
        <v/>
      </c>
      <c r="F8042" s="102" t="str">
        <f ca="1">IFERROR(__xludf.DUMMYFUNCTION("IMPORTRANGE(H8042,""IDENTITAS UNIT!D9"")"),"#N/A")</f>
        <v>#N/A</v>
      </c>
      <c r="H8042" s="4" t="str">
        <v/>
      </c>
      <c r="I8042" s="4" t="str">
        <v/>
      </c>
    </row>
    <row r="8043" spans="5:9" ht="16.5" hidden="1">
      <c r="E8043" s="4" t="str">
        <v/>
      </c>
      <c r="F8043" s="102" t="str">
        <f ca="1">IFERROR(__xludf.DUMMYFUNCTION("IMPORTRANGE(H8043,""IDENTITAS UNIT!D9"")"),"#N/A")</f>
        <v>#N/A</v>
      </c>
      <c r="H8043" s="4" t="str">
        <v/>
      </c>
      <c r="I8043" s="4" t="str">
        <v/>
      </c>
    </row>
    <row r="8044" spans="5:9" ht="16.5" hidden="1">
      <c r="E8044" s="4" t="str">
        <v/>
      </c>
      <c r="F8044" s="102" t="str">
        <f ca="1">IFERROR(__xludf.DUMMYFUNCTION("IMPORTRANGE(H8044,""IDENTITAS UNIT!D9"")"),"#N/A")</f>
        <v>#N/A</v>
      </c>
      <c r="H8044" s="4" t="str">
        <v/>
      </c>
      <c r="I8044" s="4" t="str">
        <v/>
      </c>
    </row>
    <row r="8045" spans="5:9" ht="16.5" hidden="1">
      <c r="E8045" s="4" t="str">
        <v/>
      </c>
      <c r="F8045" s="102" t="str">
        <f ca="1">IFERROR(__xludf.DUMMYFUNCTION("IMPORTRANGE(H8045,""IDENTITAS UNIT!D9"")"),"#N/A")</f>
        <v>#N/A</v>
      </c>
      <c r="H8045" s="4" t="str">
        <v/>
      </c>
      <c r="I8045" s="4" t="str">
        <v/>
      </c>
    </row>
    <row r="8046" spans="5:9" ht="16.5" hidden="1">
      <c r="E8046" s="4" t="str">
        <v/>
      </c>
      <c r="F8046" s="102" t="str">
        <f ca="1">IFERROR(__xludf.DUMMYFUNCTION("IMPORTRANGE(H8046,""IDENTITAS UNIT!D9"")"),"#N/A")</f>
        <v>#N/A</v>
      </c>
      <c r="H8046" s="4" t="str">
        <v/>
      </c>
      <c r="I8046" s="4" t="str">
        <v/>
      </c>
    </row>
    <row r="8047" spans="5:9" ht="16.5" hidden="1">
      <c r="E8047" s="4" t="str">
        <v/>
      </c>
      <c r="F8047" s="102" t="str">
        <f ca="1">IFERROR(__xludf.DUMMYFUNCTION("IMPORTRANGE(H8047,""IDENTITAS UNIT!D9"")"),"#N/A")</f>
        <v>#N/A</v>
      </c>
      <c r="H8047" s="4" t="str">
        <v/>
      </c>
      <c r="I8047" s="4" t="str">
        <v/>
      </c>
    </row>
    <row r="8048" spans="5:9" ht="16.5" hidden="1">
      <c r="E8048" s="4" t="str">
        <v/>
      </c>
      <c r="F8048" s="102" t="str">
        <f ca="1">IFERROR(__xludf.DUMMYFUNCTION("IMPORTRANGE(H8048,""IDENTITAS UNIT!D9"")"),"#N/A")</f>
        <v>#N/A</v>
      </c>
      <c r="H8048" s="4" t="str">
        <v/>
      </c>
      <c r="I8048" s="4" t="str">
        <v/>
      </c>
    </row>
    <row r="8049" spans="5:9" ht="16.5" hidden="1">
      <c r="E8049" s="4" t="str">
        <v/>
      </c>
      <c r="F8049" s="102" t="str">
        <f ca="1">IFERROR(__xludf.DUMMYFUNCTION("IMPORTRANGE(H8049,""IDENTITAS UNIT!D9"")"),"#N/A")</f>
        <v>#N/A</v>
      </c>
      <c r="H8049" s="4" t="str">
        <v/>
      </c>
      <c r="I8049" s="4" t="str">
        <v/>
      </c>
    </row>
    <row r="8050" spans="5:9" ht="16.5" hidden="1">
      <c r="E8050" s="4" t="str">
        <v/>
      </c>
      <c r="F8050" s="102" t="str">
        <f ca="1">IFERROR(__xludf.DUMMYFUNCTION("IMPORTRANGE(H8050,""IDENTITAS UNIT!D9"")"),"#N/A")</f>
        <v>#N/A</v>
      </c>
      <c r="H8050" s="4" t="str">
        <v/>
      </c>
      <c r="I8050" s="4" t="str">
        <v/>
      </c>
    </row>
    <row r="8051" spans="5:9" ht="16.5" hidden="1">
      <c r="E8051" s="4" t="str">
        <v/>
      </c>
      <c r="F8051" s="102" t="str">
        <f ca="1">IFERROR(__xludf.DUMMYFUNCTION("IMPORTRANGE(H8051,""IDENTITAS UNIT!D9"")"),"#N/A")</f>
        <v>#N/A</v>
      </c>
      <c r="H8051" s="4" t="str">
        <v/>
      </c>
      <c r="I8051" s="4" t="str">
        <v/>
      </c>
    </row>
    <row r="8052" spans="5:9" ht="16.5" hidden="1">
      <c r="E8052" s="4" t="str">
        <v/>
      </c>
      <c r="F8052" s="102" t="str">
        <f ca="1">IFERROR(__xludf.DUMMYFUNCTION("IMPORTRANGE(H8052,""IDENTITAS UNIT!D9"")"),"#N/A")</f>
        <v>#N/A</v>
      </c>
      <c r="H8052" s="4" t="str">
        <v/>
      </c>
      <c r="I8052" s="4" t="str">
        <v/>
      </c>
    </row>
    <row r="8053" spans="5:9" ht="16.5" hidden="1">
      <c r="E8053" s="4" t="str">
        <v/>
      </c>
      <c r="F8053" s="102" t="str">
        <f ca="1">IFERROR(__xludf.DUMMYFUNCTION("IMPORTRANGE(H8053,""IDENTITAS UNIT!D9"")"),"#N/A")</f>
        <v>#N/A</v>
      </c>
      <c r="H8053" s="4" t="str">
        <v/>
      </c>
      <c r="I8053" s="4" t="str">
        <v/>
      </c>
    </row>
    <row r="8054" spans="5:9" ht="16.5" hidden="1">
      <c r="E8054" s="4" t="str">
        <v/>
      </c>
      <c r="F8054" s="102" t="str">
        <f ca="1">IFERROR(__xludf.DUMMYFUNCTION("IMPORTRANGE(H8054,""IDENTITAS UNIT!D9"")"),"#N/A")</f>
        <v>#N/A</v>
      </c>
      <c r="H8054" s="4" t="str">
        <v/>
      </c>
      <c r="I8054" s="4" t="str">
        <v/>
      </c>
    </row>
    <row r="8055" spans="5:9" ht="16.5" hidden="1">
      <c r="E8055" s="4" t="str">
        <v/>
      </c>
      <c r="F8055" s="102" t="str">
        <f ca="1">IFERROR(__xludf.DUMMYFUNCTION("IMPORTRANGE(H8055,""IDENTITAS UNIT!D9"")"),"#N/A")</f>
        <v>#N/A</v>
      </c>
      <c r="H8055" s="4" t="str">
        <v/>
      </c>
      <c r="I8055" s="4" t="str">
        <v/>
      </c>
    </row>
    <row r="8056" spans="5:9" ht="16.5" hidden="1">
      <c r="E8056" s="4" t="str">
        <v/>
      </c>
      <c r="F8056" s="102" t="str">
        <f ca="1">IFERROR(__xludf.DUMMYFUNCTION("IMPORTRANGE(H8056,""IDENTITAS UNIT!D9"")"),"#N/A")</f>
        <v>#N/A</v>
      </c>
      <c r="H8056" s="4" t="str">
        <v/>
      </c>
      <c r="I8056" s="4" t="str">
        <v/>
      </c>
    </row>
    <row r="8057" spans="5:9" ht="16.5" hidden="1">
      <c r="E8057" s="4" t="str">
        <v/>
      </c>
      <c r="F8057" s="102" t="str">
        <f ca="1">IFERROR(__xludf.DUMMYFUNCTION("IMPORTRANGE(H8057,""IDENTITAS UNIT!D9"")"),"#N/A")</f>
        <v>#N/A</v>
      </c>
      <c r="H8057" s="4" t="str">
        <v/>
      </c>
      <c r="I8057" s="4" t="str">
        <v/>
      </c>
    </row>
    <row r="8058" spans="5:9" ht="16.5" hidden="1">
      <c r="E8058" s="4" t="str">
        <v/>
      </c>
      <c r="F8058" s="102" t="str">
        <f ca="1">IFERROR(__xludf.DUMMYFUNCTION("IMPORTRANGE(H8058,""IDENTITAS UNIT!D9"")"),"#N/A")</f>
        <v>#N/A</v>
      </c>
      <c r="H8058" s="4" t="str">
        <v/>
      </c>
      <c r="I8058" s="4" t="str">
        <v/>
      </c>
    </row>
    <row r="8059" spans="5:9" ht="16.5" hidden="1">
      <c r="E8059" s="4" t="str">
        <v/>
      </c>
      <c r="F8059" s="102" t="str">
        <f ca="1">IFERROR(__xludf.DUMMYFUNCTION("IMPORTRANGE(H8059,""IDENTITAS UNIT!D9"")"),"#N/A")</f>
        <v>#N/A</v>
      </c>
      <c r="H8059" s="4" t="str">
        <v/>
      </c>
      <c r="I8059" s="4" t="str">
        <v/>
      </c>
    </row>
    <row r="8060" spans="5:9" ht="16.5" hidden="1">
      <c r="E8060" s="4" t="str">
        <v/>
      </c>
      <c r="F8060" s="102" t="str">
        <f ca="1">IFERROR(__xludf.DUMMYFUNCTION("IMPORTRANGE(H8060,""IDENTITAS UNIT!D9"")"),"#N/A")</f>
        <v>#N/A</v>
      </c>
      <c r="H8060" s="4" t="str">
        <v/>
      </c>
      <c r="I8060" s="4" t="str">
        <v/>
      </c>
    </row>
    <row r="8061" spans="5:9" ht="16.5" hidden="1">
      <c r="E8061" s="4" t="str">
        <v/>
      </c>
      <c r="F8061" s="102" t="str">
        <f ca="1">IFERROR(__xludf.DUMMYFUNCTION("IMPORTRANGE(H8061,""IDENTITAS UNIT!D9"")"),"#N/A")</f>
        <v>#N/A</v>
      </c>
      <c r="H8061" s="4" t="str">
        <v/>
      </c>
      <c r="I8061" s="4" t="str">
        <v/>
      </c>
    </row>
    <row r="8062" spans="5:9" ht="16.5" hidden="1">
      <c r="E8062" s="4" t="str">
        <v/>
      </c>
      <c r="F8062" s="102" t="str">
        <f ca="1">IFERROR(__xludf.DUMMYFUNCTION("IMPORTRANGE(H8062,""IDENTITAS UNIT!D9"")"),"#N/A")</f>
        <v>#N/A</v>
      </c>
      <c r="H8062" s="4" t="str">
        <v/>
      </c>
      <c r="I8062" s="4" t="str">
        <v/>
      </c>
    </row>
    <row r="8063" spans="5:9" ht="16.5" hidden="1">
      <c r="E8063" s="4" t="str">
        <v/>
      </c>
      <c r="F8063" s="102" t="str">
        <f ca="1">IFERROR(__xludf.DUMMYFUNCTION("IMPORTRANGE(H8063,""IDENTITAS UNIT!D9"")"),"#N/A")</f>
        <v>#N/A</v>
      </c>
      <c r="H8063" s="4" t="str">
        <v/>
      </c>
      <c r="I8063" s="4" t="str">
        <v/>
      </c>
    </row>
    <row r="8064" spans="5:9" ht="16.5" hidden="1">
      <c r="E8064" s="4" t="str">
        <v/>
      </c>
      <c r="F8064" s="102" t="str">
        <f ca="1">IFERROR(__xludf.DUMMYFUNCTION("IMPORTRANGE(H8064,""IDENTITAS UNIT!D9"")"),"#N/A")</f>
        <v>#N/A</v>
      </c>
      <c r="H8064" s="4" t="str">
        <v/>
      </c>
      <c r="I8064" s="4" t="str">
        <v/>
      </c>
    </row>
    <row r="8065" spans="5:9" ht="16.5" hidden="1">
      <c r="E8065" s="4" t="str">
        <v/>
      </c>
      <c r="F8065" s="102" t="str">
        <f ca="1">IFERROR(__xludf.DUMMYFUNCTION("IMPORTRANGE(H8065,""IDENTITAS UNIT!D9"")"),"#N/A")</f>
        <v>#N/A</v>
      </c>
      <c r="H8065" s="4" t="str">
        <v/>
      </c>
      <c r="I8065" s="4" t="str">
        <v/>
      </c>
    </row>
    <row r="8066" spans="5:9" ht="16.5" hidden="1">
      <c r="E8066" s="4" t="str">
        <v/>
      </c>
      <c r="F8066" s="102" t="str">
        <f ca="1">IFERROR(__xludf.DUMMYFUNCTION("IMPORTRANGE(H8066,""IDENTITAS UNIT!D9"")"),"#N/A")</f>
        <v>#N/A</v>
      </c>
      <c r="H8066" s="4" t="str">
        <v/>
      </c>
      <c r="I8066" s="4" t="str">
        <v/>
      </c>
    </row>
    <row r="8067" spans="5:9" ht="16.5" hidden="1">
      <c r="E8067" s="4" t="str">
        <v/>
      </c>
      <c r="F8067" s="102" t="str">
        <f ca="1">IFERROR(__xludf.DUMMYFUNCTION("IMPORTRANGE(H8067,""IDENTITAS UNIT!D9"")"),"#N/A")</f>
        <v>#N/A</v>
      </c>
      <c r="H8067" s="4" t="str">
        <v/>
      </c>
      <c r="I8067" s="4" t="str">
        <v/>
      </c>
    </row>
    <row r="8068" spans="5:9" ht="16.5" hidden="1">
      <c r="E8068" s="4" t="str">
        <v/>
      </c>
      <c r="F8068" s="102" t="str">
        <f ca="1">IFERROR(__xludf.DUMMYFUNCTION("IMPORTRANGE(H8068,""IDENTITAS UNIT!D9"")"),"#N/A")</f>
        <v>#N/A</v>
      </c>
      <c r="H8068" s="4" t="str">
        <v/>
      </c>
      <c r="I8068" s="4" t="str">
        <v/>
      </c>
    </row>
    <row r="8069" spans="5:9" ht="16.5" hidden="1">
      <c r="E8069" s="4" t="str">
        <v/>
      </c>
      <c r="F8069" s="102" t="str">
        <f ca="1">IFERROR(__xludf.DUMMYFUNCTION("IMPORTRANGE(H8069,""IDENTITAS UNIT!D9"")"),"#N/A")</f>
        <v>#N/A</v>
      </c>
      <c r="H8069" s="4" t="str">
        <v/>
      </c>
      <c r="I8069" s="4" t="str">
        <v/>
      </c>
    </row>
    <row r="8070" spans="5:9" ht="16.5" hidden="1">
      <c r="E8070" s="4" t="str">
        <v/>
      </c>
      <c r="F8070" s="102" t="str">
        <f ca="1">IFERROR(__xludf.DUMMYFUNCTION("IMPORTRANGE(H8070,""IDENTITAS UNIT!D9"")"),"#N/A")</f>
        <v>#N/A</v>
      </c>
      <c r="H8070" s="4" t="str">
        <v/>
      </c>
      <c r="I8070" s="4" t="str">
        <v/>
      </c>
    </row>
    <row r="8071" spans="5:9" ht="16.5" hidden="1">
      <c r="E8071" s="4" t="str">
        <v/>
      </c>
      <c r="F8071" s="102" t="str">
        <f ca="1">IFERROR(__xludf.DUMMYFUNCTION("IMPORTRANGE(H8071,""IDENTITAS UNIT!D9"")"),"#N/A")</f>
        <v>#N/A</v>
      </c>
      <c r="H8071" s="4" t="str">
        <v/>
      </c>
      <c r="I8071" s="4" t="str">
        <v/>
      </c>
    </row>
    <row r="8072" spans="5:9" ht="16.5" hidden="1">
      <c r="E8072" s="4" t="str">
        <v/>
      </c>
      <c r="F8072" s="102" t="str">
        <f ca="1">IFERROR(__xludf.DUMMYFUNCTION("IMPORTRANGE(H8072,""IDENTITAS UNIT!D9"")"),"#N/A")</f>
        <v>#N/A</v>
      </c>
      <c r="H8072" s="4" t="str">
        <v/>
      </c>
      <c r="I8072" s="4" t="str">
        <v/>
      </c>
    </row>
    <row r="8073" spans="5:9" ht="16.5" hidden="1">
      <c r="E8073" s="4" t="str">
        <v/>
      </c>
      <c r="F8073" s="102" t="str">
        <f ca="1">IFERROR(__xludf.DUMMYFUNCTION("IMPORTRANGE(H8073,""IDENTITAS UNIT!D9"")"),"#N/A")</f>
        <v>#N/A</v>
      </c>
      <c r="H8073" s="4" t="str">
        <v/>
      </c>
      <c r="I8073" s="4" t="str">
        <v/>
      </c>
    </row>
    <row r="8074" spans="5:9" ht="16.5" hidden="1">
      <c r="E8074" s="4" t="str">
        <v/>
      </c>
      <c r="F8074" s="102" t="str">
        <f ca="1">IFERROR(__xludf.DUMMYFUNCTION("IMPORTRANGE(H8074,""IDENTITAS UNIT!D9"")"),"#N/A")</f>
        <v>#N/A</v>
      </c>
      <c r="H8074" s="4" t="str">
        <v/>
      </c>
      <c r="I8074" s="4" t="str">
        <v/>
      </c>
    </row>
    <row r="8075" spans="5:9" ht="16.5" hidden="1">
      <c r="E8075" s="4" t="str">
        <v/>
      </c>
      <c r="F8075" s="102" t="str">
        <f ca="1">IFERROR(__xludf.DUMMYFUNCTION("IMPORTRANGE(H8075,""IDENTITAS UNIT!D9"")"),"#N/A")</f>
        <v>#N/A</v>
      </c>
      <c r="H8075" s="4" t="str">
        <v/>
      </c>
      <c r="I8075" s="4" t="str">
        <v/>
      </c>
    </row>
    <row r="8076" spans="5:9" ht="16.5" hidden="1">
      <c r="E8076" s="4" t="str">
        <v/>
      </c>
      <c r="F8076" s="102" t="str">
        <f ca="1">IFERROR(__xludf.DUMMYFUNCTION("IMPORTRANGE(H8076,""IDENTITAS UNIT!D9"")"),"#N/A")</f>
        <v>#N/A</v>
      </c>
      <c r="H8076" s="4" t="str">
        <v/>
      </c>
      <c r="I8076" s="4" t="str">
        <v/>
      </c>
    </row>
    <row r="8077" spans="5:9" ht="16.5" hidden="1">
      <c r="E8077" s="4" t="str">
        <v/>
      </c>
      <c r="F8077" s="102" t="str">
        <f ca="1">IFERROR(__xludf.DUMMYFUNCTION("IMPORTRANGE(H8077,""IDENTITAS UNIT!D9"")"),"#N/A")</f>
        <v>#N/A</v>
      </c>
      <c r="H8077" s="4" t="str">
        <v/>
      </c>
      <c r="I8077" s="4" t="str">
        <v/>
      </c>
    </row>
    <row r="8078" spans="5:9" ht="16.5" hidden="1">
      <c r="E8078" s="4" t="str">
        <v/>
      </c>
      <c r="F8078" s="102" t="str">
        <f ca="1">IFERROR(__xludf.DUMMYFUNCTION("IMPORTRANGE(H8078,""IDENTITAS UNIT!D9"")"),"#N/A")</f>
        <v>#N/A</v>
      </c>
      <c r="H8078" s="4" t="str">
        <v/>
      </c>
      <c r="I8078" s="4" t="str">
        <v/>
      </c>
    </row>
    <row r="8079" spans="5:9" ht="16.5" hidden="1">
      <c r="E8079" s="4" t="str">
        <v/>
      </c>
      <c r="F8079" s="102" t="str">
        <f ca="1">IFERROR(__xludf.DUMMYFUNCTION("IMPORTRANGE(H8079,""IDENTITAS UNIT!D9"")"),"#N/A")</f>
        <v>#N/A</v>
      </c>
      <c r="H8079" s="4" t="str">
        <v/>
      </c>
      <c r="I8079" s="4" t="str">
        <v/>
      </c>
    </row>
    <row r="8080" spans="5:9" ht="16.5" hidden="1">
      <c r="E8080" s="4" t="str">
        <v/>
      </c>
      <c r="F8080" s="102" t="str">
        <f ca="1">IFERROR(__xludf.DUMMYFUNCTION("IMPORTRANGE(H8080,""IDENTITAS UNIT!D9"")"),"#N/A")</f>
        <v>#N/A</v>
      </c>
      <c r="H8080" s="4" t="str">
        <v/>
      </c>
      <c r="I8080" s="4" t="str">
        <v/>
      </c>
    </row>
    <row r="8081" spans="5:9" ht="16.5" hidden="1">
      <c r="E8081" s="4" t="str">
        <v/>
      </c>
      <c r="F8081" s="102" t="str">
        <f ca="1">IFERROR(__xludf.DUMMYFUNCTION("IMPORTRANGE(H8081,""IDENTITAS UNIT!D9"")"),"#N/A")</f>
        <v>#N/A</v>
      </c>
      <c r="H8081" s="4" t="str">
        <v/>
      </c>
      <c r="I8081" s="4" t="str">
        <v/>
      </c>
    </row>
    <row r="8082" spans="5:9" ht="16.5" hidden="1">
      <c r="E8082" s="4" t="str">
        <v/>
      </c>
      <c r="F8082" s="102" t="str">
        <f ca="1">IFERROR(__xludf.DUMMYFUNCTION("IMPORTRANGE(H8082,""IDENTITAS UNIT!D9"")"),"#N/A")</f>
        <v>#N/A</v>
      </c>
      <c r="H8082" s="4" t="str">
        <v/>
      </c>
      <c r="I8082" s="4" t="str">
        <v/>
      </c>
    </row>
    <row r="8083" spans="5:9" ht="16.5" hidden="1">
      <c r="E8083" s="4" t="str">
        <v/>
      </c>
      <c r="F8083" s="102" t="str">
        <f ca="1">IFERROR(__xludf.DUMMYFUNCTION("IMPORTRANGE(H8083,""IDENTITAS UNIT!D9"")"),"#N/A")</f>
        <v>#N/A</v>
      </c>
      <c r="H8083" s="4" t="str">
        <v/>
      </c>
      <c r="I8083" s="4" t="str">
        <v/>
      </c>
    </row>
    <row r="8084" spans="5:9" ht="16.5" hidden="1">
      <c r="E8084" s="4" t="str">
        <v/>
      </c>
      <c r="F8084" s="102" t="str">
        <f ca="1">IFERROR(__xludf.DUMMYFUNCTION("IMPORTRANGE(H8084,""IDENTITAS UNIT!D9"")"),"#N/A")</f>
        <v>#N/A</v>
      </c>
      <c r="H8084" s="4" t="str">
        <v/>
      </c>
      <c r="I8084" s="4" t="str">
        <v/>
      </c>
    </row>
    <row r="8085" spans="5:9" ht="16.5" hidden="1">
      <c r="E8085" s="4" t="str">
        <v/>
      </c>
      <c r="F8085" s="102" t="str">
        <f ca="1">IFERROR(__xludf.DUMMYFUNCTION("IMPORTRANGE(H8085,""IDENTITAS UNIT!D9"")"),"#N/A")</f>
        <v>#N/A</v>
      </c>
      <c r="H8085" s="4" t="str">
        <v/>
      </c>
      <c r="I8085" s="4" t="str">
        <v/>
      </c>
    </row>
    <row r="8086" spans="5:9" ht="16.5" hidden="1">
      <c r="E8086" s="4" t="str">
        <v/>
      </c>
      <c r="F8086" s="102" t="str">
        <f ca="1">IFERROR(__xludf.DUMMYFUNCTION("IMPORTRANGE(H8086,""IDENTITAS UNIT!D9"")"),"#N/A")</f>
        <v>#N/A</v>
      </c>
      <c r="H8086" s="4" t="str">
        <v/>
      </c>
      <c r="I8086" s="4" t="str">
        <v/>
      </c>
    </row>
    <row r="8087" spans="5:9" ht="16.5" hidden="1">
      <c r="E8087" s="4" t="str">
        <v/>
      </c>
      <c r="F8087" s="102" t="str">
        <f ca="1">IFERROR(__xludf.DUMMYFUNCTION("IMPORTRANGE(H8087,""IDENTITAS UNIT!D9"")"),"#N/A")</f>
        <v>#N/A</v>
      </c>
      <c r="H8087" s="4" t="str">
        <v/>
      </c>
      <c r="I8087" s="4" t="str">
        <v/>
      </c>
    </row>
    <row r="8088" spans="5:9" ht="16.5" hidden="1">
      <c r="E8088" s="4" t="str">
        <v/>
      </c>
      <c r="F8088" s="102" t="str">
        <f ca="1">IFERROR(__xludf.DUMMYFUNCTION("IMPORTRANGE(H8088,""IDENTITAS UNIT!D9"")"),"#N/A")</f>
        <v>#N/A</v>
      </c>
      <c r="H8088" s="4" t="str">
        <v/>
      </c>
      <c r="I8088" s="4" t="str">
        <v/>
      </c>
    </row>
    <row r="8089" spans="5:9" ht="16.5" hidden="1">
      <c r="E8089" s="4" t="str">
        <v/>
      </c>
      <c r="F8089" s="102" t="str">
        <f ca="1">IFERROR(__xludf.DUMMYFUNCTION("IMPORTRANGE(H8089,""IDENTITAS UNIT!D9"")"),"#N/A")</f>
        <v>#N/A</v>
      </c>
      <c r="H8089" s="4" t="str">
        <v/>
      </c>
      <c r="I8089" s="4" t="str">
        <v/>
      </c>
    </row>
    <row r="8090" spans="5:9" ht="16.5" hidden="1">
      <c r="E8090" s="4" t="str">
        <v/>
      </c>
      <c r="F8090" s="102" t="str">
        <f ca="1">IFERROR(__xludf.DUMMYFUNCTION("IMPORTRANGE(H8090,""IDENTITAS UNIT!D9"")"),"#N/A")</f>
        <v>#N/A</v>
      </c>
      <c r="H8090" s="4" t="str">
        <v/>
      </c>
      <c r="I8090" s="4" t="str">
        <v/>
      </c>
    </row>
    <row r="8091" spans="5:9" ht="16.5" hidden="1">
      <c r="E8091" s="4" t="str">
        <v/>
      </c>
      <c r="F8091" s="102" t="str">
        <f ca="1">IFERROR(__xludf.DUMMYFUNCTION("IMPORTRANGE(H8091,""IDENTITAS UNIT!D9"")"),"#N/A")</f>
        <v>#N/A</v>
      </c>
      <c r="H8091" s="4" t="str">
        <v/>
      </c>
      <c r="I8091" s="4" t="str">
        <v/>
      </c>
    </row>
    <row r="8092" spans="5:9" ht="16.5" hidden="1">
      <c r="E8092" s="4" t="str">
        <v/>
      </c>
      <c r="F8092" s="102" t="str">
        <f ca="1">IFERROR(__xludf.DUMMYFUNCTION("IMPORTRANGE(H8092,""IDENTITAS UNIT!D9"")"),"#N/A")</f>
        <v>#N/A</v>
      </c>
      <c r="H8092" s="4" t="str">
        <v/>
      </c>
      <c r="I8092" s="4" t="str">
        <v/>
      </c>
    </row>
    <row r="8093" spans="5:9" ht="16.5" hidden="1">
      <c r="E8093" s="4" t="str">
        <v/>
      </c>
      <c r="F8093" s="102" t="str">
        <f ca="1">IFERROR(__xludf.DUMMYFUNCTION("IMPORTRANGE(H8093,""IDENTITAS UNIT!D9"")"),"#N/A")</f>
        <v>#N/A</v>
      </c>
      <c r="H8093" s="4" t="str">
        <v/>
      </c>
      <c r="I8093" s="4" t="str">
        <v/>
      </c>
    </row>
    <row r="8094" spans="5:9" ht="16.5" hidden="1">
      <c r="E8094" s="4" t="str">
        <v/>
      </c>
      <c r="F8094" s="102" t="str">
        <f ca="1">IFERROR(__xludf.DUMMYFUNCTION("IMPORTRANGE(H8094,""IDENTITAS UNIT!D9"")"),"#N/A")</f>
        <v>#N/A</v>
      </c>
      <c r="H8094" s="4" t="str">
        <v/>
      </c>
      <c r="I8094" s="4" t="str">
        <v/>
      </c>
    </row>
    <row r="8095" spans="5:9" ht="16.5" hidden="1">
      <c r="E8095" s="4" t="str">
        <v/>
      </c>
      <c r="F8095" s="102" t="str">
        <f ca="1">IFERROR(__xludf.DUMMYFUNCTION("IMPORTRANGE(H8095,""IDENTITAS UNIT!D9"")"),"#N/A")</f>
        <v>#N/A</v>
      </c>
      <c r="H8095" s="4" t="str">
        <v/>
      </c>
      <c r="I8095" s="4" t="str">
        <v/>
      </c>
    </row>
    <row r="8096" spans="5:9" ht="16.5" hidden="1">
      <c r="E8096" s="4" t="str">
        <v/>
      </c>
      <c r="F8096" s="102" t="str">
        <f ca="1">IFERROR(__xludf.DUMMYFUNCTION("IMPORTRANGE(H8096,""IDENTITAS UNIT!D9"")"),"#N/A")</f>
        <v>#N/A</v>
      </c>
      <c r="H8096" s="4" t="str">
        <v/>
      </c>
      <c r="I8096" s="4" t="str">
        <v/>
      </c>
    </row>
    <row r="8097" spans="5:9" ht="16.5" hidden="1">
      <c r="E8097" s="4" t="str">
        <v/>
      </c>
      <c r="F8097" s="102" t="str">
        <f ca="1">IFERROR(__xludf.DUMMYFUNCTION("IMPORTRANGE(H8097,""IDENTITAS UNIT!D9"")"),"#N/A")</f>
        <v>#N/A</v>
      </c>
      <c r="H8097" s="4" t="str">
        <v/>
      </c>
      <c r="I8097" s="4" t="str">
        <v/>
      </c>
    </row>
    <row r="8098" spans="5:9" ht="16.5" hidden="1">
      <c r="E8098" s="4" t="str">
        <v/>
      </c>
      <c r="F8098" s="102" t="str">
        <f ca="1">IFERROR(__xludf.DUMMYFUNCTION("IMPORTRANGE(H8098,""IDENTITAS UNIT!D9"")"),"#N/A")</f>
        <v>#N/A</v>
      </c>
      <c r="H8098" s="4" t="str">
        <v/>
      </c>
      <c r="I8098" s="4" t="str">
        <v/>
      </c>
    </row>
    <row r="8099" spans="5:9" ht="16.5" hidden="1">
      <c r="E8099" s="4" t="str">
        <v/>
      </c>
      <c r="F8099" s="102" t="str">
        <f ca="1">IFERROR(__xludf.DUMMYFUNCTION("IMPORTRANGE(H8099,""IDENTITAS UNIT!D9"")"),"#N/A")</f>
        <v>#N/A</v>
      </c>
      <c r="H8099" s="4" t="str">
        <v/>
      </c>
      <c r="I8099" s="4" t="str">
        <v/>
      </c>
    </row>
    <row r="8100" spans="5:9" ht="16.5" hidden="1">
      <c r="E8100" s="4" t="str">
        <v/>
      </c>
      <c r="F8100" s="102" t="str">
        <f ca="1">IFERROR(__xludf.DUMMYFUNCTION("IMPORTRANGE(H8100,""IDENTITAS UNIT!D9"")"),"#N/A")</f>
        <v>#N/A</v>
      </c>
      <c r="H8100" s="4" t="str">
        <v/>
      </c>
      <c r="I8100" s="4" t="str">
        <v/>
      </c>
    </row>
    <row r="8101" spans="5:9" ht="16.5" hidden="1">
      <c r="E8101" s="4" t="str">
        <v/>
      </c>
      <c r="F8101" s="102" t="str">
        <f ca="1">IFERROR(__xludf.DUMMYFUNCTION("IMPORTRANGE(H8101,""IDENTITAS UNIT!D9"")"),"#N/A")</f>
        <v>#N/A</v>
      </c>
      <c r="H8101" s="4" t="str">
        <v/>
      </c>
      <c r="I8101" s="4" t="str">
        <v/>
      </c>
    </row>
    <row r="8102" spans="5:9" ht="16.5" hidden="1">
      <c r="E8102" s="4" t="str">
        <v/>
      </c>
      <c r="F8102" s="102" t="str">
        <f ca="1">IFERROR(__xludf.DUMMYFUNCTION("IMPORTRANGE(H8102,""IDENTITAS UNIT!D9"")"),"#N/A")</f>
        <v>#N/A</v>
      </c>
      <c r="H8102" s="4" t="str">
        <v/>
      </c>
      <c r="I8102" s="4" t="str">
        <v/>
      </c>
    </row>
    <row r="8103" spans="5:9" ht="16.5" hidden="1">
      <c r="E8103" s="4" t="str">
        <v/>
      </c>
      <c r="F8103" s="102" t="str">
        <f ca="1">IFERROR(__xludf.DUMMYFUNCTION("IMPORTRANGE(H8103,""IDENTITAS UNIT!D9"")"),"#N/A")</f>
        <v>#N/A</v>
      </c>
      <c r="H8103" s="4" t="str">
        <v/>
      </c>
      <c r="I8103" s="4" t="str">
        <v/>
      </c>
    </row>
    <row r="8104" spans="5:9" ht="16.5" hidden="1">
      <c r="E8104" s="4" t="str">
        <v/>
      </c>
      <c r="F8104" s="102" t="str">
        <f ca="1">IFERROR(__xludf.DUMMYFUNCTION("IMPORTRANGE(H8104,""IDENTITAS UNIT!D9"")"),"#N/A")</f>
        <v>#N/A</v>
      </c>
      <c r="H8104" s="4" t="str">
        <v/>
      </c>
      <c r="I8104" s="4" t="str">
        <v/>
      </c>
    </row>
    <row r="8105" spans="5:9" ht="16.5" hidden="1">
      <c r="E8105" s="4" t="str">
        <v/>
      </c>
      <c r="F8105" s="102" t="str">
        <f ca="1">IFERROR(__xludf.DUMMYFUNCTION("IMPORTRANGE(H8105,""IDENTITAS UNIT!D9"")"),"#N/A")</f>
        <v>#N/A</v>
      </c>
      <c r="H8105" s="4" t="str">
        <v/>
      </c>
      <c r="I8105" s="4" t="str">
        <v/>
      </c>
    </row>
    <row r="8106" spans="5:9" ht="16.5" hidden="1">
      <c r="E8106" s="4" t="str">
        <v/>
      </c>
      <c r="F8106" s="102" t="str">
        <f ca="1">IFERROR(__xludf.DUMMYFUNCTION("IMPORTRANGE(H8106,""IDENTITAS UNIT!D9"")"),"#N/A")</f>
        <v>#N/A</v>
      </c>
      <c r="H8106" s="4" t="str">
        <v/>
      </c>
      <c r="I8106" s="4" t="str">
        <v/>
      </c>
    </row>
    <row r="8107" spans="5:9" ht="16.5" hidden="1">
      <c r="E8107" s="4" t="str">
        <v/>
      </c>
      <c r="F8107" s="102" t="str">
        <f ca="1">IFERROR(__xludf.DUMMYFUNCTION("IMPORTRANGE(H8107,""IDENTITAS UNIT!D9"")"),"#N/A")</f>
        <v>#N/A</v>
      </c>
      <c r="H8107" s="4" t="str">
        <v/>
      </c>
      <c r="I8107" s="4" t="str">
        <v/>
      </c>
    </row>
    <row r="8108" spans="5:9" ht="16.5" hidden="1">
      <c r="E8108" s="4" t="str">
        <v/>
      </c>
      <c r="F8108" s="102" t="str">
        <f ca="1">IFERROR(__xludf.DUMMYFUNCTION("IMPORTRANGE(H8108,""IDENTITAS UNIT!D9"")"),"#N/A")</f>
        <v>#N/A</v>
      </c>
      <c r="H8108" s="4" t="str">
        <v/>
      </c>
      <c r="I8108" s="4" t="str">
        <v/>
      </c>
    </row>
    <row r="8109" spans="5:9" ht="16.5" hidden="1">
      <c r="E8109" s="4" t="str">
        <v/>
      </c>
      <c r="F8109" s="102" t="str">
        <f ca="1">IFERROR(__xludf.DUMMYFUNCTION("IMPORTRANGE(H8109,""IDENTITAS UNIT!D9"")"),"#N/A")</f>
        <v>#N/A</v>
      </c>
      <c r="H8109" s="4" t="str">
        <v/>
      </c>
      <c r="I8109" s="4" t="str">
        <v/>
      </c>
    </row>
    <row r="8110" spans="5:9" ht="16.5" hidden="1">
      <c r="E8110" s="4" t="str">
        <v/>
      </c>
      <c r="F8110" s="102" t="str">
        <f ca="1">IFERROR(__xludf.DUMMYFUNCTION("IMPORTRANGE(H8110,""IDENTITAS UNIT!D9"")"),"#N/A")</f>
        <v>#N/A</v>
      </c>
      <c r="H8110" s="4" t="str">
        <v/>
      </c>
      <c r="I8110" s="4" t="str">
        <v/>
      </c>
    </row>
    <row r="8111" spans="5:9" ht="16.5" hidden="1">
      <c r="E8111" s="4" t="str">
        <v/>
      </c>
      <c r="F8111" s="102" t="str">
        <f ca="1">IFERROR(__xludf.DUMMYFUNCTION("IMPORTRANGE(H8111,""IDENTITAS UNIT!D9"")"),"#N/A")</f>
        <v>#N/A</v>
      </c>
      <c r="H8111" s="4" t="str">
        <v/>
      </c>
      <c r="I8111" s="4" t="str">
        <v/>
      </c>
    </row>
    <row r="8112" spans="5:9" ht="16.5" hidden="1">
      <c r="E8112" s="4" t="str">
        <v/>
      </c>
      <c r="F8112" s="102" t="str">
        <f ca="1">IFERROR(__xludf.DUMMYFUNCTION("IMPORTRANGE(H8112,""IDENTITAS UNIT!D9"")"),"#N/A")</f>
        <v>#N/A</v>
      </c>
      <c r="H8112" s="4" t="str">
        <v/>
      </c>
      <c r="I8112" s="4" t="str">
        <v/>
      </c>
    </row>
    <row r="8113" spans="5:9" ht="16.5" hidden="1">
      <c r="E8113" s="4" t="str">
        <v/>
      </c>
      <c r="F8113" s="102" t="str">
        <f ca="1">IFERROR(__xludf.DUMMYFUNCTION("IMPORTRANGE(H8113,""IDENTITAS UNIT!D9"")"),"#N/A")</f>
        <v>#N/A</v>
      </c>
      <c r="H8113" s="4" t="str">
        <v/>
      </c>
      <c r="I8113" s="4" t="str">
        <v/>
      </c>
    </row>
    <row r="8114" spans="5:9" ht="16.5" hidden="1">
      <c r="E8114" s="4" t="str">
        <v/>
      </c>
      <c r="F8114" s="102" t="str">
        <f ca="1">IFERROR(__xludf.DUMMYFUNCTION("IMPORTRANGE(H8114,""IDENTITAS UNIT!D9"")"),"#N/A")</f>
        <v>#N/A</v>
      </c>
      <c r="H8114" s="4" t="str">
        <v/>
      </c>
      <c r="I8114" s="4" t="str">
        <v/>
      </c>
    </row>
    <row r="8115" spans="5:9" ht="16.5" hidden="1">
      <c r="E8115" s="4" t="str">
        <v/>
      </c>
      <c r="F8115" s="102" t="str">
        <f ca="1">IFERROR(__xludf.DUMMYFUNCTION("IMPORTRANGE(H8115,""IDENTITAS UNIT!D9"")"),"#N/A")</f>
        <v>#N/A</v>
      </c>
      <c r="H8115" s="4" t="str">
        <v/>
      </c>
      <c r="I8115" s="4" t="str">
        <v/>
      </c>
    </row>
    <row r="8116" spans="5:9" ht="16.5" hidden="1">
      <c r="E8116" s="4" t="str">
        <v/>
      </c>
      <c r="F8116" s="102" t="str">
        <f ca="1">IFERROR(__xludf.DUMMYFUNCTION("IMPORTRANGE(H8116,""IDENTITAS UNIT!D9"")"),"#N/A")</f>
        <v>#N/A</v>
      </c>
      <c r="H8116" s="4" t="str">
        <v/>
      </c>
      <c r="I8116" s="4" t="str">
        <v/>
      </c>
    </row>
    <row r="8117" spans="5:9" ht="16.5" hidden="1">
      <c r="E8117" s="4" t="str">
        <v/>
      </c>
      <c r="F8117" s="102" t="str">
        <f ca="1">IFERROR(__xludf.DUMMYFUNCTION("IMPORTRANGE(H8117,""IDENTITAS UNIT!D9"")"),"#N/A")</f>
        <v>#N/A</v>
      </c>
      <c r="H8117" s="4" t="str">
        <v/>
      </c>
      <c r="I8117" s="4" t="str">
        <v/>
      </c>
    </row>
    <row r="8118" spans="5:9" ht="16.5" hidden="1">
      <c r="E8118" s="4" t="str">
        <v/>
      </c>
      <c r="F8118" s="102" t="str">
        <f ca="1">IFERROR(__xludf.DUMMYFUNCTION("IMPORTRANGE(H8118,""IDENTITAS UNIT!D9"")"),"#N/A")</f>
        <v>#N/A</v>
      </c>
      <c r="H8118" s="4" t="str">
        <v/>
      </c>
      <c r="I8118" s="4" t="str">
        <v/>
      </c>
    </row>
    <row r="8119" spans="5:9" ht="16.5" hidden="1">
      <c r="E8119" s="4" t="str">
        <v/>
      </c>
      <c r="F8119" s="102" t="str">
        <f ca="1">IFERROR(__xludf.DUMMYFUNCTION("IMPORTRANGE(H8119,""IDENTITAS UNIT!D9"")"),"#N/A")</f>
        <v>#N/A</v>
      </c>
      <c r="H8119" s="4" t="str">
        <v/>
      </c>
      <c r="I8119" s="4" t="str">
        <v/>
      </c>
    </row>
    <row r="8120" spans="5:9" ht="16.5" hidden="1">
      <c r="E8120" s="4" t="str">
        <v/>
      </c>
      <c r="F8120" s="102" t="str">
        <f ca="1">IFERROR(__xludf.DUMMYFUNCTION("IMPORTRANGE(H8120,""IDENTITAS UNIT!D9"")"),"#N/A")</f>
        <v>#N/A</v>
      </c>
      <c r="H8120" s="4" t="str">
        <v/>
      </c>
      <c r="I8120" s="4" t="str">
        <v/>
      </c>
    </row>
    <row r="8121" spans="5:9" ht="16.5" hidden="1">
      <c r="E8121" s="4" t="str">
        <v/>
      </c>
      <c r="F8121" s="102" t="str">
        <f ca="1">IFERROR(__xludf.DUMMYFUNCTION("IMPORTRANGE(H8121,""IDENTITAS UNIT!D9"")"),"#N/A")</f>
        <v>#N/A</v>
      </c>
      <c r="H8121" s="4" t="str">
        <v/>
      </c>
      <c r="I8121" s="4" t="str">
        <v/>
      </c>
    </row>
    <row r="8122" spans="5:9" ht="16.5" hidden="1">
      <c r="E8122" s="4" t="str">
        <v/>
      </c>
      <c r="F8122" s="102" t="str">
        <f ca="1">IFERROR(__xludf.DUMMYFUNCTION("IMPORTRANGE(H8122,""IDENTITAS UNIT!D9"")"),"#N/A")</f>
        <v>#N/A</v>
      </c>
      <c r="H8122" s="4" t="str">
        <v/>
      </c>
      <c r="I8122" s="4" t="str">
        <v/>
      </c>
    </row>
    <row r="8123" spans="5:9" ht="16.5" hidden="1">
      <c r="E8123" s="4" t="str">
        <v/>
      </c>
      <c r="F8123" s="102" t="str">
        <f ca="1">IFERROR(__xludf.DUMMYFUNCTION("IMPORTRANGE(H8123,""IDENTITAS UNIT!D9"")"),"#N/A")</f>
        <v>#N/A</v>
      </c>
      <c r="H8123" s="4" t="str">
        <v/>
      </c>
      <c r="I8123" s="4" t="str">
        <v/>
      </c>
    </row>
    <row r="8124" spans="5:9" ht="16.5" hidden="1">
      <c r="E8124" s="4" t="str">
        <v/>
      </c>
      <c r="F8124" s="102" t="str">
        <f ca="1">IFERROR(__xludf.DUMMYFUNCTION("IMPORTRANGE(H8124,""IDENTITAS UNIT!D9"")"),"#N/A")</f>
        <v>#N/A</v>
      </c>
      <c r="H8124" s="4" t="str">
        <v/>
      </c>
      <c r="I8124" s="4" t="str">
        <v/>
      </c>
    </row>
    <row r="8125" spans="5:9" ht="16.5" hidden="1">
      <c r="E8125" s="4" t="str">
        <v/>
      </c>
      <c r="F8125" s="102" t="str">
        <f ca="1">IFERROR(__xludf.DUMMYFUNCTION("IMPORTRANGE(H8125,""IDENTITAS UNIT!D9"")"),"#N/A")</f>
        <v>#N/A</v>
      </c>
      <c r="H8125" s="4" t="str">
        <v/>
      </c>
      <c r="I8125" s="4" t="str">
        <v/>
      </c>
    </row>
    <row r="8126" spans="5:9" ht="16.5" hidden="1">
      <c r="E8126" s="4" t="str">
        <v/>
      </c>
      <c r="F8126" s="102" t="str">
        <f ca="1">IFERROR(__xludf.DUMMYFUNCTION("IMPORTRANGE(H8126,""IDENTITAS UNIT!D9"")"),"#N/A")</f>
        <v>#N/A</v>
      </c>
      <c r="H8126" s="4" t="str">
        <v/>
      </c>
      <c r="I8126" s="4" t="str">
        <v/>
      </c>
    </row>
    <row r="8127" spans="5:9" ht="16.5" hidden="1">
      <c r="E8127" s="4" t="str">
        <v/>
      </c>
      <c r="F8127" s="102" t="str">
        <f ca="1">IFERROR(__xludf.DUMMYFUNCTION("IMPORTRANGE(H8127,""IDENTITAS UNIT!D9"")"),"#N/A")</f>
        <v>#N/A</v>
      </c>
      <c r="H8127" s="4" t="str">
        <v/>
      </c>
      <c r="I8127" s="4" t="str">
        <v/>
      </c>
    </row>
    <row r="8128" spans="5:9" ht="16.5" hidden="1">
      <c r="E8128" s="4" t="str">
        <v/>
      </c>
      <c r="F8128" s="102" t="str">
        <f ca="1">IFERROR(__xludf.DUMMYFUNCTION("IMPORTRANGE(H8128,""IDENTITAS UNIT!D9"")"),"#N/A")</f>
        <v>#N/A</v>
      </c>
      <c r="H8128" s="4" t="str">
        <v/>
      </c>
      <c r="I8128" s="4" t="str">
        <v/>
      </c>
    </row>
    <row r="8129" spans="5:9" ht="16.5" hidden="1">
      <c r="E8129" s="4" t="str">
        <v/>
      </c>
      <c r="F8129" s="102" t="str">
        <f ca="1">IFERROR(__xludf.DUMMYFUNCTION("IMPORTRANGE(H8129,""IDENTITAS UNIT!D9"")"),"#N/A")</f>
        <v>#N/A</v>
      </c>
      <c r="H8129" s="4" t="str">
        <v/>
      </c>
      <c r="I8129" s="4" t="str">
        <v/>
      </c>
    </row>
    <row r="8130" spans="5:9" ht="16.5" hidden="1">
      <c r="E8130" s="4" t="str">
        <v/>
      </c>
      <c r="F8130" s="102" t="str">
        <f ca="1">IFERROR(__xludf.DUMMYFUNCTION("IMPORTRANGE(H8130,""IDENTITAS UNIT!D9"")"),"#N/A")</f>
        <v>#N/A</v>
      </c>
      <c r="H8130" s="4" t="str">
        <v/>
      </c>
      <c r="I8130" s="4" t="str">
        <v/>
      </c>
    </row>
    <row r="8131" spans="5:9" ht="16.5" hidden="1">
      <c r="E8131" s="4" t="str">
        <v/>
      </c>
      <c r="F8131" s="102" t="str">
        <f ca="1">IFERROR(__xludf.DUMMYFUNCTION("IMPORTRANGE(H8131,""IDENTITAS UNIT!D9"")"),"#N/A")</f>
        <v>#N/A</v>
      </c>
      <c r="H8131" s="4" t="str">
        <v/>
      </c>
      <c r="I8131" s="4" t="str">
        <v/>
      </c>
    </row>
    <row r="8132" spans="5:9" ht="16.5" hidden="1">
      <c r="E8132" s="4" t="str">
        <v/>
      </c>
      <c r="F8132" s="102" t="str">
        <f ca="1">IFERROR(__xludf.DUMMYFUNCTION("IMPORTRANGE(H8132,""IDENTITAS UNIT!D9"")"),"#N/A")</f>
        <v>#N/A</v>
      </c>
      <c r="H8132" s="4" t="str">
        <v/>
      </c>
      <c r="I8132" s="4" t="str">
        <v/>
      </c>
    </row>
    <row r="8133" spans="5:9" ht="16.5" hidden="1">
      <c r="E8133" s="4" t="str">
        <v/>
      </c>
      <c r="F8133" s="102" t="str">
        <f ca="1">IFERROR(__xludf.DUMMYFUNCTION("IMPORTRANGE(H8133,""IDENTITAS UNIT!D9"")"),"#N/A")</f>
        <v>#N/A</v>
      </c>
      <c r="H8133" s="4" t="str">
        <v/>
      </c>
      <c r="I8133" s="4" t="str">
        <v/>
      </c>
    </row>
    <row r="8134" spans="5:9" ht="16.5" hidden="1">
      <c r="E8134" s="4" t="str">
        <v/>
      </c>
      <c r="F8134" s="102" t="str">
        <f ca="1">IFERROR(__xludf.DUMMYFUNCTION("IMPORTRANGE(H8134,""IDENTITAS UNIT!D9"")"),"#N/A")</f>
        <v>#N/A</v>
      </c>
      <c r="H8134" s="4" t="str">
        <v/>
      </c>
      <c r="I8134" s="4" t="str">
        <v/>
      </c>
    </row>
    <row r="8135" spans="5:9" ht="16.5" hidden="1">
      <c r="E8135" s="4" t="str">
        <v/>
      </c>
      <c r="F8135" s="102" t="str">
        <f ca="1">IFERROR(__xludf.DUMMYFUNCTION("IMPORTRANGE(H8135,""IDENTITAS UNIT!D9"")"),"#N/A")</f>
        <v>#N/A</v>
      </c>
      <c r="H8135" s="4" t="str">
        <v/>
      </c>
      <c r="I8135" s="4" t="str">
        <v/>
      </c>
    </row>
    <row r="8136" spans="5:9" ht="16.5" hidden="1">
      <c r="E8136" s="4" t="str">
        <v/>
      </c>
      <c r="F8136" s="102" t="str">
        <f ca="1">IFERROR(__xludf.DUMMYFUNCTION("IMPORTRANGE(H8136,""IDENTITAS UNIT!D9"")"),"#N/A")</f>
        <v>#N/A</v>
      </c>
      <c r="H8136" s="4" t="str">
        <v/>
      </c>
      <c r="I8136" s="4" t="str">
        <v/>
      </c>
    </row>
    <row r="8137" spans="5:9" ht="16.5" hidden="1">
      <c r="E8137" s="4" t="str">
        <v/>
      </c>
      <c r="F8137" s="102" t="str">
        <f ca="1">IFERROR(__xludf.DUMMYFUNCTION("IMPORTRANGE(H8137,""IDENTITAS UNIT!D9"")"),"#N/A")</f>
        <v>#N/A</v>
      </c>
      <c r="H8137" s="4" t="str">
        <v/>
      </c>
      <c r="I8137" s="4" t="str">
        <v/>
      </c>
    </row>
    <row r="8138" spans="5:9" ht="16.5" hidden="1">
      <c r="E8138" s="4" t="str">
        <v/>
      </c>
      <c r="F8138" s="102" t="str">
        <f ca="1">IFERROR(__xludf.DUMMYFUNCTION("IMPORTRANGE(H8138,""IDENTITAS UNIT!D9"")"),"#N/A")</f>
        <v>#N/A</v>
      </c>
      <c r="H8138" s="4" t="str">
        <v/>
      </c>
      <c r="I8138" s="4" t="str">
        <v/>
      </c>
    </row>
    <row r="8139" spans="5:9" ht="16.5" hidden="1">
      <c r="E8139" s="4" t="str">
        <v/>
      </c>
      <c r="F8139" s="102" t="str">
        <f ca="1">IFERROR(__xludf.DUMMYFUNCTION("IMPORTRANGE(H8139,""IDENTITAS UNIT!D9"")"),"#N/A")</f>
        <v>#N/A</v>
      </c>
      <c r="H8139" s="4" t="str">
        <v/>
      </c>
      <c r="I8139" s="4" t="str">
        <v/>
      </c>
    </row>
    <row r="8140" spans="5:9" ht="16.5" hidden="1">
      <c r="E8140" s="4" t="str">
        <v/>
      </c>
      <c r="F8140" s="102" t="str">
        <f ca="1">IFERROR(__xludf.DUMMYFUNCTION("IMPORTRANGE(H8140,""IDENTITAS UNIT!D9"")"),"#N/A")</f>
        <v>#N/A</v>
      </c>
      <c r="H8140" s="4" t="str">
        <v/>
      </c>
      <c r="I8140" s="4" t="str">
        <v/>
      </c>
    </row>
    <row r="8141" spans="5:9" ht="16.5" hidden="1">
      <c r="E8141" s="4" t="str">
        <v/>
      </c>
      <c r="F8141" s="102" t="str">
        <f ca="1">IFERROR(__xludf.DUMMYFUNCTION("IMPORTRANGE(H8141,""IDENTITAS UNIT!D9"")"),"#N/A")</f>
        <v>#N/A</v>
      </c>
      <c r="H8141" s="4" t="str">
        <v/>
      </c>
      <c r="I8141" s="4" t="str">
        <v/>
      </c>
    </row>
    <row r="8142" spans="5:9" ht="16.5" hidden="1">
      <c r="E8142" s="4" t="str">
        <v/>
      </c>
      <c r="F8142" s="102" t="str">
        <f ca="1">IFERROR(__xludf.DUMMYFUNCTION("IMPORTRANGE(H8142,""IDENTITAS UNIT!D9"")"),"#N/A")</f>
        <v>#N/A</v>
      </c>
      <c r="H8142" s="4" t="str">
        <v/>
      </c>
      <c r="I8142" s="4" t="str">
        <v/>
      </c>
    </row>
    <row r="8143" spans="5:9" ht="16.5" hidden="1">
      <c r="E8143" s="4" t="str">
        <v/>
      </c>
      <c r="F8143" s="102" t="str">
        <f ca="1">IFERROR(__xludf.DUMMYFUNCTION("IMPORTRANGE(H8143,""IDENTITAS UNIT!D9"")"),"#N/A")</f>
        <v>#N/A</v>
      </c>
      <c r="H8143" s="4" t="str">
        <v/>
      </c>
      <c r="I8143" s="4" t="str">
        <v/>
      </c>
    </row>
    <row r="8144" spans="5:9" ht="16.5" hidden="1">
      <c r="E8144" s="4" t="str">
        <v/>
      </c>
      <c r="F8144" s="102" t="str">
        <f ca="1">IFERROR(__xludf.DUMMYFUNCTION("IMPORTRANGE(H8144,""IDENTITAS UNIT!D9"")"),"#N/A")</f>
        <v>#N/A</v>
      </c>
      <c r="H8144" s="4" t="str">
        <v/>
      </c>
      <c r="I8144" s="4" t="str">
        <v/>
      </c>
    </row>
    <row r="8145" spans="5:9" ht="16.5" hidden="1">
      <c r="E8145" s="4" t="str">
        <v/>
      </c>
      <c r="F8145" s="102" t="str">
        <f ca="1">IFERROR(__xludf.DUMMYFUNCTION("IMPORTRANGE(H8145,""IDENTITAS UNIT!D9"")"),"#N/A")</f>
        <v>#N/A</v>
      </c>
      <c r="H8145" s="4" t="str">
        <v/>
      </c>
      <c r="I8145" s="4" t="str">
        <v/>
      </c>
    </row>
    <row r="8146" spans="5:9" ht="16.5" hidden="1">
      <c r="E8146" s="4" t="str">
        <v/>
      </c>
      <c r="F8146" s="102" t="str">
        <f ca="1">IFERROR(__xludf.DUMMYFUNCTION("IMPORTRANGE(H8146,""IDENTITAS UNIT!D9"")"),"#N/A")</f>
        <v>#N/A</v>
      </c>
      <c r="H8146" s="4" t="str">
        <v/>
      </c>
      <c r="I8146" s="4" t="str">
        <v/>
      </c>
    </row>
    <row r="8147" spans="5:9" ht="16.5" hidden="1">
      <c r="E8147" s="4" t="str">
        <v/>
      </c>
      <c r="F8147" s="102" t="str">
        <f ca="1">IFERROR(__xludf.DUMMYFUNCTION("IMPORTRANGE(H8147,""IDENTITAS UNIT!D9"")"),"#N/A")</f>
        <v>#N/A</v>
      </c>
      <c r="H8147" s="4" t="str">
        <v/>
      </c>
      <c r="I8147" s="4" t="str">
        <v/>
      </c>
    </row>
    <row r="8148" spans="5:9" ht="16.5" hidden="1">
      <c r="E8148" s="4" t="str">
        <v/>
      </c>
      <c r="F8148" s="102" t="str">
        <f ca="1">IFERROR(__xludf.DUMMYFUNCTION("IMPORTRANGE(H8148,""IDENTITAS UNIT!D9"")"),"#N/A")</f>
        <v>#N/A</v>
      </c>
      <c r="H8148" s="4" t="str">
        <v/>
      </c>
      <c r="I8148" s="4" t="str">
        <v/>
      </c>
    </row>
    <row r="8149" spans="5:9" ht="16.5" hidden="1">
      <c r="E8149" s="4" t="str">
        <v/>
      </c>
      <c r="F8149" s="102" t="str">
        <f ca="1">IFERROR(__xludf.DUMMYFUNCTION("IMPORTRANGE(H8149,""IDENTITAS UNIT!D9"")"),"#N/A")</f>
        <v>#N/A</v>
      </c>
      <c r="H8149" s="4" t="str">
        <v/>
      </c>
      <c r="I8149" s="4" t="str">
        <v/>
      </c>
    </row>
    <row r="8150" spans="5:9" ht="16.5" hidden="1">
      <c r="E8150" s="4" t="str">
        <v/>
      </c>
      <c r="F8150" s="102" t="str">
        <f ca="1">IFERROR(__xludf.DUMMYFUNCTION("IMPORTRANGE(H8150,""IDENTITAS UNIT!D9"")"),"#N/A")</f>
        <v>#N/A</v>
      </c>
      <c r="H8150" s="4" t="str">
        <v/>
      </c>
      <c r="I8150" s="4" t="str">
        <v/>
      </c>
    </row>
    <row r="8151" spans="5:9" ht="16.5" hidden="1">
      <c r="E8151" s="4" t="str">
        <v/>
      </c>
      <c r="F8151" s="102" t="str">
        <f ca="1">IFERROR(__xludf.DUMMYFUNCTION("IMPORTRANGE(H8151,""IDENTITAS UNIT!D9"")"),"#N/A")</f>
        <v>#N/A</v>
      </c>
      <c r="H8151" s="4" t="str">
        <v/>
      </c>
      <c r="I8151" s="4" t="str">
        <v/>
      </c>
    </row>
    <row r="8152" spans="5:9" ht="16.5" hidden="1">
      <c r="E8152" s="4" t="str">
        <v/>
      </c>
      <c r="F8152" s="102" t="str">
        <f ca="1">IFERROR(__xludf.DUMMYFUNCTION("IMPORTRANGE(H8152,""IDENTITAS UNIT!D9"")"),"#N/A")</f>
        <v>#N/A</v>
      </c>
      <c r="H8152" s="4" t="str">
        <v/>
      </c>
      <c r="I8152" s="4" t="str">
        <v/>
      </c>
    </row>
    <row r="8153" spans="5:9" ht="16.5" hidden="1">
      <c r="E8153" s="4" t="str">
        <v/>
      </c>
      <c r="F8153" s="102" t="str">
        <f ca="1">IFERROR(__xludf.DUMMYFUNCTION("IMPORTRANGE(H8153,""IDENTITAS UNIT!D9"")"),"#N/A")</f>
        <v>#N/A</v>
      </c>
      <c r="H8153" s="4" t="str">
        <v/>
      </c>
      <c r="I8153" s="4" t="str">
        <v/>
      </c>
    </row>
    <row r="8154" spans="5:9" ht="16.5" hidden="1">
      <c r="E8154" s="4" t="str">
        <v/>
      </c>
      <c r="F8154" s="102" t="str">
        <f ca="1">IFERROR(__xludf.DUMMYFUNCTION("IMPORTRANGE(H8154,""IDENTITAS UNIT!D9"")"),"#N/A")</f>
        <v>#N/A</v>
      </c>
      <c r="H8154" s="4" t="str">
        <v/>
      </c>
      <c r="I8154" s="4" t="str">
        <v/>
      </c>
    </row>
    <row r="8155" spans="5:9" ht="16.5" hidden="1">
      <c r="E8155" s="4" t="str">
        <v/>
      </c>
      <c r="F8155" s="102" t="str">
        <f ca="1">IFERROR(__xludf.DUMMYFUNCTION("IMPORTRANGE(H8155,""IDENTITAS UNIT!D9"")"),"#N/A")</f>
        <v>#N/A</v>
      </c>
      <c r="H8155" s="4" t="str">
        <v/>
      </c>
      <c r="I8155" s="4" t="str">
        <v/>
      </c>
    </row>
    <row r="8156" spans="5:9" ht="16.5" hidden="1">
      <c r="E8156" s="4" t="str">
        <v/>
      </c>
      <c r="F8156" s="102" t="str">
        <f ca="1">IFERROR(__xludf.DUMMYFUNCTION("IMPORTRANGE(H8156,""IDENTITAS UNIT!D9"")"),"#N/A")</f>
        <v>#N/A</v>
      </c>
      <c r="H8156" s="4" t="str">
        <v/>
      </c>
      <c r="I8156" s="4" t="str">
        <v/>
      </c>
    </row>
    <row r="8157" spans="5:9" ht="16.5" hidden="1">
      <c r="E8157" s="4" t="str">
        <v/>
      </c>
      <c r="F8157" s="102" t="str">
        <f ca="1">IFERROR(__xludf.DUMMYFUNCTION("IMPORTRANGE(H8157,""IDENTITAS UNIT!D9"")"),"#N/A")</f>
        <v>#N/A</v>
      </c>
      <c r="H8157" s="4" t="str">
        <v/>
      </c>
      <c r="I8157" s="4" t="str">
        <v/>
      </c>
    </row>
    <row r="8158" spans="5:9" ht="16.5" hidden="1">
      <c r="E8158" s="4" t="str">
        <v/>
      </c>
      <c r="F8158" s="102" t="str">
        <f ca="1">IFERROR(__xludf.DUMMYFUNCTION("IMPORTRANGE(H8158,""IDENTITAS UNIT!D9"")"),"#N/A")</f>
        <v>#N/A</v>
      </c>
      <c r="H8158" s="4" t="str">
        <v/>
      </c>
      <c r="I8158" s="4" t="str">
        <v/>
      </c>
    </row>
    <row r="8159" spans="5:9" ht="16.5" hidden="1">
      <c r="E8159" s="4" t="str">
        <v/>
      </c>
      <c r="F8159" s="102" t="str">
        <f ca="1">IFERROR(__xludf.DUMMYFUNCTION("IMPORTRANGE(H8159,""IDENTITAS UNIT!D9"")"),"#N/A")</f>
        <v>#N/A</v>
      </c>
      <c r="H8159" s="4" t="str">
        <v/>
      </c>
      <c r="I8159" s="4" t="str">
        <v/>
      </c>
    </row>
    <row r="8160" spans="5:9" ht="16.5" hidden="1">
      <c r="E8160" s="4" t="str">
        <v/>
      </c>
      <c r="F8160" s="102" t="str">
        <f ca="1">IFERROR(__xludf.DUMMYFUNCTION("IMPORTRANGE(H8160,""IDENTITAS UNIT!D9"")"),"#N/A")</f>
        <v>#N/A</v>
      </c>
      <c r="H8160" s="4" t="str">
        <v/>
      </c>
      <c r="I8160" s="4" t="str">
        <v/>
      </c>
    </row>
    <row r="8161" spans="5:9" ht="16.5" hidden="1">
      <c r="E8161" s="4" t="str">
        <v/>
      </c>
      <c r="F8161" s="102" t="str">
        <f ca="1">IFERROR(__xludf.DUMMYFUNCTION("IMPORTRANGE(H8161,""IDENTITAS UNIT!D9"")"),"#N/A")</f>
        <v>#N/A</v>
      </c>
      <c r="H8161" s="4" t="str">
        <v/>
      </c>
      <c r="I8161" s="4" t="str">
        <v/>
      </c>
    </row>
    <row r="8162" spans="5:9" ht="16.5" hidden="1">
      <c r="E8162" s="4" t="str">
        <v/>
      </c>
      <c r="F8162" s="102" t="str">
        <f ca="1">IFERROR(__xludf.DUMMYFUNCTION("IMPORTRANGE(H8162,""IDENTITAS UNIT!D9"")"),"#N/A")</f>
        <v>#N/A</v>
      </c>
      <c r="H8162" s="4" t="str">
        <v/>
      </c>
      <c r="I8162" s="4" t="str">
        <v/>
      </c>
    </row>
    <row r="8163" spans="5:9" ht="16.5" hidden="1">
      <c r="E8163" s="4" t="str">
        <v/>
      </c>
      <c r="F8163" s="102" t="str">
        <f ca="1">IFERROR(__xludf.DUMMYFUNCTION("IMPORTRANGE(H8163,""IDENTITAS UNIT!D9"")"),"#N/A")</f>
        <v>#N/A</v>
      </c>
      <c r="H8163" s="4" t="str">
        <v/>
      </c>
      <c r="I8163" s="4" t="str">
        <v/>
      </c>
    </row>
    <row r="8164" spans="5:9" ht="16.5" hidden="1">
      <c r="E8164" s="4" t="str">
        <v/>
      </c>
      <c r="F8164" s="102" t="str">
        <f ca="1">IFERROR(__xludf.DUMMYFUNCTION("IMPORTRANGE(H8164,""IDENTITAS UNIT!D9"")"),"#N/A")</f>
        <v>#N/A</v>
      </c>
      <c r="H8164" s="4" t="str">
        <v/>
      </c>
      <c r="I8164" s="4" t="str">
        <v/>
      </c>
    </row>
    <row r="8165" spans="5:9" ht="16.5" hidden="1">
      <c r="E8165" s="4" t="str">
        <v/>
      </c>
      <c r="F8165" s="102" t="str">
        <f ca="1">IFERROR(__xludf.DUMMYFUNCTION("IMPORTRANGE(H8165,""IDENTITAS UNIT!D9"")"),"#N/A")</f>
        <v>#N/A</v>
      </c>
      <c r="H8165" s="4" t="str">
        <v/>
      </c>
      <c r="I8165" s="4" t="str">
        <v/>
      </c>
    </row>
    <row r="8166" spans="5:9" ht="16.5" hidden="1">
      <c r="E8166" s="4" t="str">
        <v/>
      </c>
      <c r="F8166" s="102" t="str">
        <f ca="1">IFERROR(__xludf.DUMMYFUNCTION("IMPORTRANGE(H8166,""IDENTITAS UNIT!D9"")"),"#N/A")</f>
        <v>#N/A</v>
      </c>
      <c r="H8166" s="4" t="str">
        <v/>
      </c>
      <c r="I8166" s="4" t="str">
        <v/>
      </c>
    </row>
    <row r="8167" spans="5:9" ht="16.5" hidden="1">
      <c r="E8167" s="4" t="str">
        <v/>
      </c>
      <c r="F8167" s="102" t="str">
        <f ca="1">IFERROR(__xludf.DUMMYFUNCTION("IMPORTRANGE(H8167,""IDENTITAS UNIT!D9"")"),"#N/A")</f>
        <v>#N/A</v>
      </c>
      <c r="H8167" s="4" t="str">
        <v/>
      </c>
      <c r="I8167" s="4" t="str">
        <v/>
      </c>
    </row>
    <row r="8168" spans="5:9" ht="16.5" hidden="1">
      <c r="E8168" s="4" t="str">
        <v/>
      </c>
      <c r="F8168" s="102" t="str">
        <f ca="1">IFERROR(__xludf.DUMMYFUNCTION("IMPORTRANGE(H8168,""IDENTITAS UNIT!D9"")"),"#N/A")</f>
        <v>#N/A</v>
      </c>
      <c r="H8168" s="4" t="str">
        <v/>
      </c>
      <c r="I8168" s="4" t="str">
        <v/>
      </c>
    </row>
    <row r="8169" spans="5:9" ht="16.5" hidden="1">
      <c r="E8169" s="4" t="str">
        <v/>
      </c>
      <c r="F8169" s="102" t="str">
        <f ca="1">IFERROR(__xludf.DUMMYFUNCTION("IMPORTRANGE(H8169,""IDENTITAS UNIT!D9"")"),"#N/A")</f>
        <v>#N/A</v>
      </c>
      <c r="H8169" s="4" t="str">
        <v/>
      </c>
      <c r="I8169" s="4" t="str">
        <v/>
      </c>
    </row>
    <row r="8170" spans="5:9" ht="16.5" hidden="1">
      <c r="E8170" s="4" t="str">
        <v/>
      </c>
      <c r="F8170" s="102" t="str">
        <f ca="1">IFERROR(__xludf.DUMMYFUNCTION("IMPORTRANGE(H8170,""IDENTITAS UNIT!D9"")"),"#N/A")</f>
        <v>#N/A</v>
      </c>
      <c r="H8170" s="4" t="str">
        <v/>
      </c>
      <c r="I8170" s="4" t="str">
        <v/>
      </c>
    </row>
    <row r="8171" spans="5:9" ht="16.5" hidden="1">
      <c r="E8171" s="4" t="str">
        <v/>
      </c>
      <c r="F8171" s="102" t="str">
        <f ca="1">IFERROR(__xludf.DUMMYFUNCTION("IMPORTRANGE(H8171,""IDENTITAS UNIT!D9"")"),"#N/A")</f>
        <v>#N/A</v>
      </c>
      <c r="H8171" s="4" t="str">
        <v/>
      </c>
      <c r="I8171" s="4" t="str">
        <v/>
      </c>
    </row>
    <row r="8172" spans="5:9" ht="16.5" hidden="1">
      <c r="E8172" s="4" t="str">
        <v/>
      </c>
      <c r="F8172" s="102" t="str">
        <f ca="1">IFERROR(__xludf.DUMMYFUNCTION("IMPORTRANGE(H8172,""IDENTITAS UNIT!D9"")"),"#N/A")</f>
        <v>#N/A</v>
      </c>
      <c r="H8172" s="4" t="str">
        <v/>
      </c>
      <c r="I8172" s="4" t="str">
        <v/>
      </c>
    </row>
    <row r="8173" spans="5:9" ht="16.5" hidden="1">
      <c r="E8173" s="4" t="str">
        <v/>
      </c>
      <c r="F8173" s="102" t="str">
        <f ca="1">IFERROR(__xludf.DUMMYFUNCTION("IMPORTRANGE(H8173,""IDENTITAS UNIT!D9"")"),"#N/A")</f>
        <v>#N/A</v>
      </c>
      <c r="H8173" s="4" t="str">
        <v/>
      </c>
      <c r="I8173" s="4" t="str">
        <v/>
      </c>
    </row>
    <row r="8174" spans="5:9" ht="16.5" hidden="1">
      <c r="E8174" s="4" t="str">
        <v/>
      </c>
      <c r="F8174" s="102" t="str">
        <f ca="1">IFERROR(__xludf.DUMMYFUNCTION("IMPORTRANGE(H8174,""IDENTITAS UNIT!D9"")"),"#N/A")</f>
        <v>#N/A</v>
      </c>
      <c r="H8174" s="4" t="str">
        <v/>
      </c>
      <c r="I8174" s="4" t="str">
        <v/>
      </c>
    </row>
    <row r="8175" spans="5:9" ht="16.5" hidden="1">
      <c r="E8175" s="4" t="str">
        <v/>
      </c>
      <c r="F8175" s="102" t="str">
        <f ca="1">IFERROR(__xludf.DUMMYFUNCTION("IMPORTRANGE(H8175,""IDENTITAS UNIT!D9"")"),"#N/A")</f>
        <v>#N/A</v>
      </c>
      <c r="H8175" s="4" t="str">
        <v/>
      </c>
      <c r="I8175" s="4" t="str">
        <v/>
      </c>
    </row>
    <row r="8176" spans="5:9" ht="16.5" hidden="1">
      <c r="E8176" s="4" t="str">
        <v/>
      </c>
      <c r="F8176" s="102" t="str">
        <f ca="1">IFERROR(__xludf.DUMMYFUNCTION("IMPORTRANGE(H8176,""IDENTITAS UNIT!D9"")"),"#N/A")</f>
        <v>#N/A</v>
      </c>
      <c r="H8176" s="4" t="str">
        <v/>
      </c>
      <c r="I8176" s="4" t="str">
        <v/>
      </c>
    </row>
    <row r="8177" spans="5:9" ht="16.5" hidden="1">
      <c r="E8177" s="4" t="str">
        <v/>
      </c>
      <c r="F8177" s="102" t="str">
        <f ca="1">IFERROR(__xludf.DUMMYFUNCTION("IMPORTRANGE(H8177,""IDENTITAS UNIT!D9"")"),"#N/A")</f>
        <v>#N/A</v>
      </c>
      <c r="H8177" s="4" t="str">
        <v/>
      </c>
      <c r="I8177" s="4" t="str">
        <v/>
      </c>
    </row>
    <row r="8178" spans="5:9" ht="16.5" hidden="1">
      <c r="E8178" s="4" t="str">
        <v/>
      </c>
      <c r="F8178" s="102" t="str">
        <f ca="1">IFERROR(__xludf.DUMMYFUNCTION("IMPORTRANGE(H8178,""IDENTITAS UNIT!D9"")"),"#N/A")</f>
        <v>#N/A</v>
      </c>
      <c r="H8178" s="4" t="str">
        <v/>
      </c>
      <c r="I8178" s="4" t="str">
        <v/>
      </c>
    </row>
    <row r="8179" spans="5:9" ht="16.5" hidden="1">
      <c r="E8179" s="4" t="str">
        <v/>
      </c>
      <c r="F8179" s="102" t="str">
        <f ca="1">IFERROR(__xludf.DUMMYFUNCTION("IMPORTRANGE(H8179,""IDENTITAS UNIT!D9"")"),"#N/A")</f>
        <v>#N/A</v>
      </c>
      <c r="H8179" s="4" t="str">
        <v/>
      </c>
      <c r="I8179" s="4" t="str">
        <v/>
      </c>
    </row>
    <row r="8180" spans="5:9" ht="16.5" hidden="1">
      <c r="E8180" s="4" t="str">
        <v/>
      </c>
      <c r="F8180" s="102" t="str">
        <f ca="1">IFERROR(__xludf.DUMMYFUNCTION("IMPORTRANGE(H8180,""IDENTITAS UNIT!D9"")"),"#N/A")</f>
        <v>#N/A</v>
      </c>
      <c r="H8180" s="4" t="str">
        <v/>
      </c>
      <c r="I8180" s="4" t="str">
        <v/>
      </c>
    </row>
    <row r="8181" spans="5:9" ht="16.5" hidden="1">
      <c r="E8181" s="4" t="str">
        <v/>
      </c>
      <c r="F8181" s="102" t="str">
        <f ca="1">IFERROR(__xludf.DUMMYFUNCTION("IMPORTRANGE(H8181,""IDENTITAS UNIT!D9"")"),"#N/A")</f>
        <v>#N/A</v>
      </c>
      <c r="H8181" s="4" t="str">
        <v/>
      </c>
      <c r="I8181" s="4" t="str">
        <v/>
      </c>
    </row>
    <row r="8182" spans="5:9" ht="16.5" hidden="1">
      <c r="E8182" s="4" t="str">
        <v/>
      </c>
      <c r="F8182" s="102" t="str">
        <f ca="1">IFERROR(__xludf.DUMMYFUNCTION("IMPORTRANGE(H8182,""IDENTITAS UNIT!D9"")"),"#N/A")</f>
        <v>#N/A</v>
      </c>
      <c r="H8182" s="4" t="str">
        <v/>
      </c>
      <c r="I8182" s="4" t="str">
        <v/>
      </c>
    </row>
    <row r="8183" spans="5:9" ht="16.5" hidden="1">
      <c r="E8183" s="4" t="str">
        <v/>
      </c>
      <c r="F8183" s="102" t="str">
        <f ca="1">IFERROR(__xludf.DUMMYFUNCTION("IMPORTRANGE(H8183,""IDENTITAS UNIT!D9"")"),"#N/A")</f>
        <v>#N/A</v>
      </c>
      <c r="H8183" s="4" t="str">
        <v/>
      </c>
      <c r="I8183" s="4" t="str">
        <v/>
      </c>
    </row>
    <row r="8184" spans="5:9" ht="16.5" hidden="1">
      <c r="E8184" s="4" t="str">
        <v/>
      </c>
      <c r="F8184" s="102" t="str">
        <f ca="1">IFERROR(__xludf.DUMMYFUNCTION("IMPORTRANGE(H8184,""IDENTITAS UNIT!D9"")"),"#N/A")</f>
        <v>#N/A</v>
      </c>
      <c r="H8184" s="4" t="str">
        <v/>
      </c>
      <c r="I8184" s="4" t="str">
        <v/>
      </c>
    </row>
    <row r="8185" spans="5:9" ht="16.5" hidden="1">
      <c r="E8185" s="4" t="str">
        <v/>
      </c>
      <c r="F8185" s="102" t="str">
        <f ca="1">IFERROR(__xludf.DUMMYFUNCTION("IMPORTRANGE(H8185,""IDENTITAS UNIT!D9"")"),"#N/A")</f>
        <v>#N/A</v>
      </c>
      <c r="H8185" s="4" t="str">
        <v/>
      </c>
      <c r="I8185" s="4" t="str">
        <v/>
      </c>
    </row>
    <row r="8186" spans="5:9" ht="16.5" hidden="1">
      <c r="E8186" s="4" t="str">
        <v/>
      </c>
      <c r="F8186" s="102" t="str">
        <f ca="1">IFERROR(__xludf.DUMMYFUNCTION("IMPORTRANGE(H8186,""IDENTITAS UNIT!D9"")"),"#N/A")</f>
        <v>#N/A</v>
      </c>
      <c r="H8186" s="4" t="str">
        <v/>
      </c>
      <c r="I8186" s="4" t="str">
        <v/>
      </c>
    </row>
    <row r="8187" spans="5:9" ht="16.5" hidden="1">
      <c r="E8187" s="4" t="str">
        <v/>
      </c>
      <c r="F8187" s="102" t="str">
        <f ca="1">IFERROR(__xludf.DUMMYFUNCTION("IMPORTRANGE(H8187,""IDENTITAS UNIT!D9"")"),"#N/A")</f>
        <v>#N/A</v>
      </c>
      <c r="H8187" s="4" t="str">
        <v/>
      </c>
      <c r="I8187" s="4" t="str">
        <v/>
      </c>
    </row>
    <row r="8188" spans="5:9" ht="16.5" hidden="1">
      <c r="E8188" s="4" t="str">
        <v/>
      </c>
      <c r="F8188" s="102" t="str">
        <f ca="1">IFERROR(__xludf.DUMMYFUNCTION("IMPORTRANGE(H8188,""IDENTITAS UNIT!D9"")"),"#N/A")</f>
        <v>#N/A</v>
      </c>
      <c r="H8188" s="4" t="str">
        <v/>
      </c>
      <c r="I8188" s="4" t="str">
        <v/>
      </c>
    </row>
    <row r="8189" spans="5:9" ht="16.5" hidden="1">
      <c r="E8189" s="4" t="str">
        <v/>
      </c>
      <c r="F8189" s="102" t="str">
        <f ca="1">IFERROR(__xludf.DUMMYFUNCTION("IMPORTRANGE(H8189,""IDENTITAS UNIT!D9"")"),"#N/A")</f>
        <v>#N/A</v>
      </c>
      <c r="H8189" s="4" t="str">
        <v/>
      </c>
      <c r="I8189" s="4" t="str">
        <v/>
      </c>
    </row>
    <row r="8190" spans="5:9" ht="16.5" hidden="1">
      <c r="E8190" s="4" t="str">
        <v/>
      </c>
      <c r="F8190" s="102" t="str">
        <f ca="1">IFERROR(__xludf.DUMMYFUNCTION("IMPORTRANGE(H8190,""IDENTITAS UNIT!D9"")"),"#N/A")</f>
        <v>#N/A</v>
      </c>
      <c r="H8190" s="4" t="str">
        <v/>
      </c>
      <c r="I8190" s="4" t="str">
        <v/>
      </c>
    </row>
    <row r="8191" spans="5:9" ht="16.5" hidden="1">
      <c r="E8191" s="4" t="str">
        <v/>
      </c>
      <c r="F8191" s="102" t="str">
        <f ca="1">IFERROR(__xludf.DUMMYFUNCTION("IMPORTRANGE(H8191,""IDENTITAS UNIT!D9"")"),"#N/A")</f>
        <v>#N/A</v>
      </c>
      <c r="H8191" s="4" t="str">
        <v/>
      </c>
      <c r="I8191" s="4" t="str">
        <v/>
      </c>
    </row>
    <row r="8192" spans="5:9" ht="16.5" hidden="1">
      <c r="E8192" s="4" t="str">
        <v/>
      </c>
      <c r="F8192" s="102" t="str">
        <f ca="1">IFERROR(__xludf.DUMMYFUNCTION("IMPORTRANGE(H8192,""IDENTITAS UNIT!D9"")"),"#N/A")</f>
        <v>#N/A</v>
      </c>
      <c r="H8192" s="4" t="str">
        <v/>
      </c>
      <c r="I8192" s="4" t="str">
        <v/>
      </c>
    </row>
    <row r="8193" spans="5:9" ht="16.5" hidden="1">
      <c r="E8193" s="4" t="str">
        <v/>
      </c>
      <c r="F8193" s="102" t="str">
        <f ca="1">IFERROR(__xludf.DUMMYFUNCTION("IMPORTRANGE(H8193,""IDENTITAS UNIT!D9"")"),"#N/A")</f>
        <v>#N/A</v>
      </c>
      <c r="H8193" s="4" t="str">
        <v/>
      </c>
      <c r="I8193" s="4" t="str">
        <v/>
      </c>
    </row>
    <row r="8194" spans="5:9" ht="16.5" hidden="1">
      <c r="E8194" s="4" t="str">
        <v/>
      </c>
      <c r="F8194" s="102" t="str">
        <f ca="1">IFERROR(__xludf.DUMMYFUNCTION("IMPORTRANGE(H8194,""IDENTITAS UNIT!D9"")"),"#N/A")</f>
        <v>#N/A</v>
      </c>
      <c r="H8194" s="4" t="str">
        <v/>
      </c>
      <c r="I8194" s="4" t="str">
        <v/>
      </c>
    </row>
    <row r="8195" spans="5:9" ht="16.5" hidden="1">
      <c r="E8195" s="4" t="str">
        <v/>
      </c>
      <c r="F8195" s="102" t="str">
        <f ca="1">IFERROR(__xludf.DUMMYFUNCTION("IMPORTRANGE(H8195,""IDENTITAS UNIT!D9"")"),"#N/A")</f>
        <v>#N/A</v>
      </c>
      <c r="H8195" s="4" t="str">
        <v/>
      </c>
      <c r="I8195" s="4" t="str">
        <v/>
      </c>
    </row>
    <row r="8196" spans="5:9" ht="16.5" hidden="1">
      <c r="E8196" s="4" t="str">
        <v/>
      </c>
      <c r="F8196" s="102" t="str">
        <f ca="1">IFERROR(__xludf.DUMMYFUNCTION("IMPORTRANGE(H8196,""IDENTITAS UNIT!D9"")"),"#N/A")</f>
        <v>#N/A</v>
      </c>
      <c r="H8196" s="4" t="str">
        <v/>
      </c>
      <c r="I8196" s="4" t="str">
        <v/>
      </c>
    </row>
    <row r="8197" spans="5:9" ht="16.5" hidden="1">
      <c r="E8197" s="4" t="str">
        <v/>
      </c>
      <c r="F8197" s="102" t="str">
        <f ca="1">IFERROR(__xludf.DUMMYFUNCTION("IMPORTRANGE(H8197,""IDENTITAS UNIT!D9"")"),"#N/A")</f>
        <v>#N/A</v>
      </c>
      <c r="H8197" s="4" t="str">
        <v/>
      </c>
      <c r="I8197" s="4" t="str">
        <v/>
      </c>
    </row>
    <row r="8198" spans="5:9" ht="16.5" hidden="1">
      <c r="E8198" s="4" t="str">
        <v/>
      </c>
      <c r="F8198" s="102" t="str">
        <f ca="1">IFERROR(__xludf.DUMMYFUNCTION("IMPORTRANGE(H8198,""IDENTITAS UNIT!D9"")"),"#N/A")</f>
        <v>#N/A</v>
      </c>
      <c r="H8198" s="4" t="str">
        <v/>
      </c>
      <c r="I8198" s="4" t="str">
        <v/>
      </c>
    </row>
    <row r="8199" spans="5:9" ht="16.5" hidden="1">
      <c r="E8199" s="4" t="str">
        <v/>
      </c>
      <c r="F8199" s="102" t="str">
        <f ca="1">IFERROR(__xludf.DUMMYFUNCTION("IMPORTRANGE(H8199,""IDENTITAS UNIT!D9"")"),"#N/A")</f>
        <v>#N/A</v>
      </c>
      <c r="H8199" s="4" t="str">
        <v/>
      </c>
      <c r="I8199" s="4" t="str">
        <v/>
      </c>
    </row>
    <row r="8200" spans="5:9" ht="16.5" hidden="1">
      <c r="E8200" s="4" t="str">
        <v/>
      </c>
      <c r="F8200" s="102" t="str">
        <f ca="1">IFERROR(__xludf.DUMMYFUNCTION("IMPORTRANGE(H8200,""IDENTITAS UNIT!D9"")"),"#N/A")</f>
        <v>#N/A</v>
      </c>
      <c r="H8200" s="4" t="str">
        <v/>
      </c>
      <c r="I8200" s="4" t="str">
        <v/>
      </c>
    </row>
    <row r="8201" spans="5:9" ht="16.5" hidden="1">
      <c r="E8201" s="4" t="str">
        <v/>
      </c>
      <c r="F8201" s="102" t="str">
        <f ca="1">IFERROR(__xludf.DUMMYFUNCTION("IMPORTRANGE(H8201,""IDENTITAS UNIT!D9"")"),"#N/A")</f>
        <v>#N/A</v>
      </c>
      <c r="H8201" s="4" t="str">
        <v/>
      </c>
      <c r="I8201" s="4" t="str">
        <v/>
      </c>
    </row>
    <row r="8202" spans="5:9" ht="16.5" hidden="1">
      <c r="E8202" s="4" t="str">
        <v/>
      </c>
      <c r="F8202" s="102" t="str">
        <f ca="1">IFERROR(__xludf.DUMMYFUNCTION("IMPORTRANGE(H8202,""IDENTITAS UNIT!D9"")"),"#N/A")</f>
        <v>#N/A</v>
      </c>
      <c r="H8202" s="4" t="str">
        <v/>
      </c>
      <c r="I8202" s="4" t="str">
        <v/>
      </c>
    </row>
    <row r="8203" spans="5:9" ht="16.5" hidden="1">
      <c r="E8203" s="4" t="str">
        <v/>
      </c>
      <c r="F8203" s="102" t="str">
        <f ca="1">IFERROR(__xludf.DUMMYFUNCTION("IMPORTRANGE(H8203,""IDENTITAS UNIT!D9"")"),"#N/A")</f>
        <v>#N/A</v>
      </c>
      <c r="H8203" s="4" t="str">
        <v/>
      </c>
      <c r="I8203" s="4" t="str">
        <v/>
      </c>
    </row>
    <row r="8204" spans="5:9" ht="16.5" hidden="1">
      <c r="E8204" s="4" t="str">
        <v/>
      </c>
      <c r="F8204" s="102" t="str">
        <f ca="1">IFERROR(__xludf.DUMMYFUNCTION("IMPORTRANGE(H8204,""IDENTITAS UNIT!D9"")"),"#N/A")</f>
        <v>#N/A</v>
      </c>
      <c r="H8204" s="4" t="str">
        <v/>
      </c>
      <c r="I8204" s="4" t="str">
        <v/>
      </c>
    </row>
    <row r="8205" spans="5:9" ht="16.5" hidden="1">
      <c r="E8205" s="4" t="str">
        <v/>
      </c>
      <c r="F8205" s="102" t="str">
        <f ca="1">IFERROR(__xludf.DUMMYFUNCTION("IMPORTRANGE(H8205,""IDENTITAS UNIT!D9"")"),"#N/A")</f>
        <v>#N/A</v>
      </c>
      <c r="H8205" s="4" t="str">
        <v/>
      </c>
      <c r="I8205" s="4" t="str">
        <v/>
      </c>
    </row>
    <row r="8206" spans="5:9" ht="16.5" hidden="1">
      <c r="E8206" s="4" t="str">
        <v/>
      </c>
      <c r="F8206" s="102" t="str">
        <f ca="1">IFERROR(__xludf.DUMMYFUNCTION("IMPORTRANGE(H8206,""IDENTITAS UNIT!D9"")"),"#N/A")</f>
        <v>#N/A</v>
      </c>
      <c r="H8206" s="4" t="str">
        <v/>
      </c>
      <c r="I8206" s="4" t="str">
        <v/>
      </c>
    </row>
    <row r="8207" spans="5:9" ht="16.5" hidden="1">
      <c r="E8207" s="4" t="str">
        <v/>
      </c>
      <c r="F8207" s="102" t="str">
        <f ca="1">IFERROR(__xludf.DUMMYFUNCTION("IMPORTRANGE(H8207,""IDENTITAS UNIT!D9"")"),"#N/A")</f>
        <v>#N/A</v>
      </c>
      <c r="H8207" s="4" t="str">
        <v/>
      </c>
      <c r="I8207" s="4" t="str">
        <v/>
      </c>
    </row>
    <row r="8208" spans="5:9" ht="16.5" hidden="1">
      <c r="E8208" s="4" t="str">
        <v/>
      </c>
      <c r="F8208" s="102" t="str">
        <f ca="1">IFERROR(__xludf.DUMMYFUNCTION("IMPORTRANGE(H8208,""IDENTITAS UNIT!D9"")"),"#N/A")</f>
        <v>#N/A</v>
      </c>
      <c r="H8208" s="4" t="str">
        <v/>
      </c>
      <c r="I8208" s="4" t="str">
        <v/>
      </c>
    </row>
    <row r="8209" spans="5:9" ht="16.5" hidden="1">
      <c r="E8209" s="4" t="str">
        <v/>
      </c>
      <c r="F8209" s="102" t="str">
        <f ca="1">IFERROR(__xludf.DUMMYFUNCTION("IMPORTRANGE(H8209,""IDENTITAS UNIT!D9"")"),"#N/A")</f>
        <v>#N/A</v>
      </c>
      <c r="H8209" s="4" t="str">
        <v/>
      </c>
      <c r="I8209" s="4" t="str">
        <v/>
      </c>
    </row>
    <row r="8210" spans="5:9" ht="16.5" hidden="1">
      <c r="E8210" s="4" t="str">
        <v/>
      </c>
      <c r="F8210" s="102" t="str">
        <f ca="1">IFERROR(__xludf.DUMMYFUNCTION("IMPORTRANGE(H8210,""IDENTITAS UNIT!D9"")"),"#N/A")</f>
        <v>#N/A</v>
      </c>
      <c r="H8210" s="4" t="str">
        <v/>
      </c>
      <c r="I8210" s="4" t="str">
        <v/>
      </c>
    </row>
    <row r="8211" spans="5:9" ht="16.5" hidden="1">
      <c r="E8211" s="4" t="str">
        <v/>
      </c>
      <c r="F8211" s="102" t="str">
        <f ca="1">IFERROR(__xludf.DUMMYFUNCTION("IMPORTRANGE(H8211,""IDENTITAS UNIT!D9"")"),"#N/A")</f>
        <v>#N/A</v>
      </c>
      <c r="H8211" s="4" t="str">
        <v/>
      </c>
      <c r="I8211" s="4" t="str">
        <v/>
      </c>
    </row>
    <row r="8212" spans="5:9" ht="16.5" hidden="1">
      <c r="E8212" s="4" t="str">
        <v/>
      </c>
      <c r="F8212" s="102" t="str">
        <f ca="1">IFERROR(__xludf.DUMMYFUNCTION("IMPORTRANGE(H8212,""IDENTITAS UNIT!D9"")"),"#N/A")</f>
        <v>#N/A</v>
      </c>
      <c r="H8212" s="4" t="str">
        <v/>
      </c>
      <c r="I8212" s="4" t="str">
        <v/>
      </c>
    </row>
    <row r="8213" spans="5:9" ht="16.5" hidden="1">
      <c r="E8213" s="4" t="str">
        <v/>
      </c>
      <c r="F8213" s="102" t="str">
        <f ca="1">IFERROR(__xludf.DUMMYFUNCTION("IMPORTRANGE(H8213,""IDENTITAS UNIT!D9"")"),"#N/A")</f>
        <v>#N/A</v>
      </c>
      <c r="H8213" s="4" t="str">
        <v/>
      </c>
      <c r="I8213" s="4" t="str">
        <v/>
      </c>
    </row>
    <row r="8214" spans="5:9" ht="16.5" hidden="1">
      <c r="E8214" s="4" t="str">
        <v/>
      </c>
      <c r="F8214" s="102" t="str">
        <f ca="1">IFERROR(__xludf.DUMMYFUNCTION("IMPORTRANGE(H8214,""IDENTITAS UNIT!D9"")"),"#N/A")</f>
        <v>#N/A</v>
      </c>
      <c r="H8214" s="4" t="str">
        <v/>
      </c>
      <c r="I8214" s="4" t="str">
        <v/>
      </c>
    </row>
    <row r="8215" spans="5:9" ht="16.5" hidden="1">
      <c r="E8215" s="4" t="str">
        <v/>
      </c>
      <c r="F8215" s="102" t="str">
        <f ca="1">IFERROR(__xludf.DUMMYFUNCTION("IMPORTRANGE(H8215,""IDENTITAS UNIT!D9"")"),"#N/A")</f>
        <v>#N/A</v>
      </c>
      <c r="H8215" s="4" t="str">
        <v/>
      </c>
      <c r="I8215" s="4" t="str">
        <v/>
      </c>
    </row>
    <row r="8216" spans="5:9" ht="16.5" hidden="1">
      <c r="E8216" s="4" t="str">
        <v/>
      </c>
      <c r="F8216" s="102" t="str">
        <f ca="1">IFERROR(__xludf.DUMMYFUNCTION("IMPORTRANGE(H8216,""IDENTITAS UNIT!D9"")"),"#N/A")</f>
        <v>#N/A</v>
      </c>
      <c r="H8216" s="4" t="str">
        <v/>
      </c>
      <c r="I8216" s="4" t="str">
        <v/>
      </c>
    </row>
    <row r="8217" spans="5:9" ht="16.5" hidden="1">
      <c r="E8217" s="4" t="str">
        <v/>
      </c>
      <c r="F8217" s="102" t="str">
        <f ca="1">IFERROR(__xludf.DUMMYFUNCTION("IMPORTRANGE(H8217,""IDENTITAS UNIT!D9"")"),"#N/A")</f>
        <v>#N/A</v>
      </c>
      <c r="H8217" s="4" t="str">
        <v/>
      </c>
      <c r="I8217" s="4" t="str">
        <v/>
      </c>
    </row>
    <row r="8218" spans="5:9" ht="16.5" hidden="1">
      <c r="E8218" s="4" t="str">
        <v/>
      </c>
      <c r="F8218" s="102" t="str">
        <f ca="1">IFERROR(__xludf.DUMMYFUNCTION("IMPORTRANGE(H8218,""IDENTITAS UNIT!D9"")"),"#N/A")</f>
        <v>#N/A</v>
      </c>
      <c r="H8218" s="4" t="str">
        <v/>
      </c>
      <c r="I8218" s="4" t="str">
        <v/>
      </c>
    </row>
    <row r="8219" spans="5:9" ht="16.5" hidden="1">
      <c r="E8219" s="4" t="str">
        <v/>
      </c>
      <c r="F8219" s="102" t="str">
        <f ca="1">IFERROR(__xludf.DUMMYFUNCTION("IMPORTRANGE(H8219,""IDENTITAS UNIT!D9"")"),"#N/A")</f>
        <v>#N/A</v>
      </c>
      <c r="H8219" s="4" t="str">
        <v/>
      </c>
      <c r="I8219" s="4" t="str">
        <v/>
      </c>
    </row>
    <row r="8220" spans="5:9" ht="16.5" hidden="1">
      <c r="E8220" s="4" t="str">
        <v/>
      </c>
      <c r="F8220" s="102" t="str">
        <f ca="1">IFERROR(__xludf.DUMMYFUNCTION("IMPORTRANGE(H8220,""IDENTITAS UNIT!D9"")"),"#N/A")</f>
        <v>#N/A</v>
      </c>
      <c r="H8220" s="4" t="str">
        <v/>
      </c>
      <c r="I8220" s="4" t="str">
        <v/>
      </c>
    </row>
    <row r="8221" spans="5:9" ht="16.5" hidden="1">
      <c r="E8221" s="4" t="str">
        <v/>
      </c>
      <c r="F8221" s="102" t="str">
        <f ca="1">IFERROR(__xludf.DUMMYFUNCTION("IMPORTRANGE(H8221,""IDENTITAS UNIT!D9"")"),"#N/A")</f>
        <v>#N/A</v>
      </c>
      <c r="H8221" s="4" t="str">
        <v/>
      </c>
      <c r="I8221" s="4" t="str">
        <v/>
      </c>
    </row>
    <row r="8222" spans="5:9" ht="16.5" hidden="1">
      <c r="E8222" s="4" t="str">
        <v/>
      </c>
      <c r="F8222" s="102" t="str">
        <f ca="1">IFERROR(__xludf.DUMMYFUNCTION("IMPORTRANGE(H8222,""IDENTITAS UNIT!D9"")"),"#N/A")</f>
        <v>#N/A</v>
      </c>
      <c r="H8222" s="4" t="str">
        <v/>
      </c>
      <c r="I8222" s="4" t="str">
        <v/>
      </c>
    </row>
    <row r="8223" spans="5:9" ht="16.5" hidden="1">
      <c r="E8223" s="4" t="str">
        <v/>
      </c>
      <c r="F8223" s="102" t="str">
        <f ca="1">IFERROR(__xludf.DUMMYFUNCTION("IMPORTRANGE(H8223,""IDENTITAS UNIT!D9"")"),"#N/A")</f>
        <v>#N/A</v>
      </c>
      <c r="H8223" s="4" t="str">
        <v/>
      </c>
      <c r="I8223" s="4" t="str">
        <v/>
      </c>
    </row>
    <row r="8224" spans="5:9" ht="16.5" hidden="1">
      <c r="E8224" s="4" t="str">
        <v/>
      </c>
      <c r="F8224" s="102" t="str">
        <f ca="1">IFERROR(__xludf.DUMMYFUNCTION("IMPORTRANGE(H8224,""IDENTITAS UNIT!D9"")"),"#N/A")</f>
        <v>#N/A</v>
      </c>
      <c r="H8224" s="4" t="str">
        <v/>
      </c>
      <c r="I8224" s="4" t="str">
        <v/>
      </c>
    </row>
    <row r="8225" spans="5:9" ht="16.5" hidden="1">
      <c r="E8225" s="4" t="str">
        <v/>
      </c>
      <c r="F8225" s="102" t="str">
        <f ca="1">IFERROR(__xludf.DUMMYFUNCTION("IMPORTRANGE(H8225,""IDENTITAS UNIT!D9"")"),"#N/A")</f>
        <v>#N/A</v>
      </c>
      <c r="H8225" s="4" t="str">
        <v/>
      </c>
      <c r="I8225" s="4" t="str">
        <v/>
      </c>
    </row>
    <row r="8226" spans="5:9" ht="16.5" hidden="1">
      <c r="E8226" s="4" t="str">
        <v/>
      </c>
      <c r="F8226" s="102" t="str">
        <f ca="1">IFERROR(__xludf.DUMMYFUNCTION("IMPORTRANGE(H8226,""IDENTITAS UNIT!D9"")"),"#N/A")</f>
        <v>#N/A</v>
      </c>
      <c r="H8226" s="4" t="str">
        <v/>
      </c>
      <c r="I8226" s="4" t="str">
        <v/>
      </c>
    </row>
    <row r="8227" spans="5:9" ht="16.5" hidden="1">
      <c r="E8227" s="4" t="str">
        <v/>
      </c>
      <c r="F8227" s="102" t="str">
        <f ca="1">IFERROR(__xludf.DUMMYFUNCTION("IMPORTRANGE(H8227,""IDENTITAS UNIT!D9"")"),"#N/A")</f>
        <v>#N/A</v>
      </c>
      <c r="H8227" s="4" t="str">
        <v/>
      </c>
      <c r="I8227" s="4" t="str">
        <v/>
      </c>
    </row>
    <row r="8228" spans="5:9" ht="16.5" hidden="1">
      <c r="E8228" s="4" t="str">
        <v/>
      </c>
      <c r="F8228" s="102" t="str">
        <f ca="1">IFERROR(__xludf.DUMMYFUNCTION("IMPORTRANGE(H8228,""IDENTITAS UNIT!D9"")"),"#N/A")</f>
        <v>#N/A</v>
      </c>
      <c r="H8228" s="4" t="str">
        <v/>
      </c>
      <c r="I8228" s="4" t="str">
        <v/>
      </c>
    </row>
    <row r="8229" spans="5:9" ht="16.5" hidden="1">
      <c r="E8229" s="4" t="str">
        <v/>
      </c>
      <c r="F8229" s="102" t="str">
        <f ca="1">IFERROR(__xludf.DUMMYFUNCTION("IMPORTRANGE(H8229,""IDENTITAS UNIT!D9"")"),"#N/A")</f>
        <v>#N/A</v>
      </c>
      <c r="H8229" s="4" t="str">
        <v/>
      </c>
      <c r="I8229" s="4" t="str">
        <v/>
      </c>
    </row>
    <row r="8230" spans="5:9" ht="16.5" hidden="1">
      <c r="E8230" s="4" t="str">
        <v/>
      </c>
      <c r="F8230" s="102" t="str">
        <f ca="1">IFERROR(__xludf.DUMMYFUNCTION("IMPORTRANGE(H8230,""IDENTITAS UNIT!D9"")"),"#N/A")</f>
        <v>#N/A</v>
      </c>
      <c r="H8230" s="4" t="str">
        <v/>
      </c>
      <c r="I8230" s="4" t="str">
        <v/>
      </c>
    </row>
    <row r="8231" spans="5:9" ht="16.5" hidden="1">
      <c r="E8231" s="4" t="str">
        <v/>
      </c>
      <c r="F8231" s="102" t="str">
        <f ca="1">IFERROR(__xludf.DUMMYFUNCTION("IMPORTRANGE(H8231,""IDENTITAS UNIT!D9"")"),"#N/A")</f>
        <v>#N/A</v>
      </c>
      <c r="H8231" s="4" t="str">
        <v/>
      </c>
      <c r="I8231" s="4" t="str">
        <v/>
      </c>
    </row>
    <row r="8232" spans="5:9" ht="16.5" hidden="1">
      <c r="E8232" s="4" t="str">
        <v/>
      </c>
      <c r="F8232" s="102" t="str">
        <f ca="1">IFERROR(__xludf.DUMMYFUNCTION("IMPORTRANGE(H8232,""IDENTITAS UNIT!D9"")"),"#N/A")</f>
        <v>#N/A</v>
      </c>
      <c r="H8232" s="4" t="str">
        <v/>
      </c>
      <c r="I8232" s="4" t="str">
        <v/>
      </c>
    </row>
    <row r="8233" spans="5:9" ht="16.5" hidden="1">
      <c r="E8233" s="4" t="str">
        <v/>
      </c>
      <c r="F8233" s="102" t="str">
        <f ca="1">IFERROR(__xludf.DUMMYFUNCTION("IMPORTRANGE(H8233,""IDENTITAS UNIT!D9"")"),"#N/A")</f>
        <v>#N/A</v>
      </c>
      <c r="H8233" s="4" t="str">
        <v/>
      </c>
      <c r="I8233" s="4" t="str">
        <v/>
      </c>
    </row>
    <row r="8234" spans="5:9" ht="16.5" hidden="1">
      <c r="E8234" s="4" t="str">
        <v/>
      </c>
      <c r="F8234" s="102" t="str">
        <f ca="1">IFERROR(__xludf.DUMMYFUNCTION("IMPORTRANGE(H8234,""IDENTITAS UNIT!D9"")"),"#N/A")</f>
        <v>#N/A</v>
      </c>
      <c r="H8234" s="4" t="str">
        <v/>
      </c>
      <c r="I8234" s="4" t="str">
        <v/>
      </c>
    </row>
    <row r="8235" spans="5:9" ht="16.5" hidden="1">
      <c r="E8235" s="4" t="str">
        <v/>
      </c>
      <c r="F8235" s="102" t="str">
        <f ca="1">IFERROR(__xludf.DUMMYFUNCTION("IMPORTRANGE(H8235,""IDENTITAS UNIT!D9"")"),"#N/A")</f>
        <v>#N/A</v>
      </c>
      <c r="H8235" s="4" t="str">
        <v/>
      </c>
      <c r="I8235" s="4" t="str">
        <v/>
      </c>
    </row>
    <row r="8236" spans="5:9" ht="16.5" hidden="1">
      <c r="E8236" s="4" t="str">
        <v/>
      </c>
      <c r="F8236" s="102" t="str">
        <f ca="1">IFERROR(__xludf.DUMMYFUNCTION("IMPORTRANGE(H8236,""IDENTITAS UNIT!D9"")"),"#N/A")</f>
        <v>#N/A</v>
      </c>
      <c r="H8236" s="4" t="str">
        <v/>
      </c>
      <c r="I8236" s="4" t="str">
        <v/>
      </c>
    </row>
    <row r="8237" spans="5:9" ht="16.5" hidden="1">
      <c r="E8237" s="4" t="str">
        <v/>
      </c>
      <c r="F8237" s="102" t="str">
        <f ca="1">IFERROR(__xludf.DUMMYFUNCTION("IMPORTRANGE(H8237,""IDENTITAS UNIT!D9"")"),"#N/A")</f>
        <v>#N/A</v>
      </c>
      <c r="H8237" s="4" t="str">
        <v/>
      </c>
      <c r="I8237" s="4" t="str">
        <v/>
      </c>
    </row>
    <row r="8238" spans="5:9" ht="16.5" hidden="1">
      <c r="E8238" s="4" t="str">
        <v/>
      </c>
      <c r="F8238" s="102" t="str">
        <f ca="1">IFERROR(__xludf.DUMMYFUNCTION("IMPORTRANGE(H8238,""IDENTITAS UNIT!D9"")"),"#N/A")</f>
        <v>#N/A</v>
      </c>
      <c r="H8238" s="4" t="str">
        <v/>
      </c>
      <c r="I8238" s="4" t="str">
        <v/>
      </c>
    </row>
    <row r="8239" spans="5:9" ht="16.5" hidden="1">
      <c r="E8239" s="4" t="str">
        <v/>
      </c>
      <c r="F8239" s="102" t="str">
        <f ca="1">IFERROR(__xludf.DUMMYFUNCTION("IMPORTRANGE(H8239,""IDENTITAS UNIT!D9"")"),"#N/A")</f>
        <v>#N/A</v>
      </c>
      <c r="H8239" s="4" t="str">
        <v/>
      </c>
      <c r="I8239" s="4" t="str">
        <v/>
      </c>
    </row>
    <row r="8240" spans="5:9" ht="16.5" hidden="1">
      <c r="E8240" s="4" t="str">
        <v/>
      </c>
      <c r="F8240" s="102" t="str">
        <f ca="1">IFERROR(__xludf.DUMMYFUNCTION("IMPORTRANGE(H8240,""IDENTITAS UNIT!D9"")"),"#N/A")</f>
        <v>#N/A</v>
      </c>
      <c r="H8240" s="4" t="str">
        <v/>
      </c>
      <c r="I8240" s="4" t="str">
        <v/>
      </c>
    </row>
    <row r="8241" spans="5:9" ht="16.5" hidden="1">
      <c r="E8241" s="4" t="str">
        <v/>
      </c>
      <c r="F8241" s="102" t="str">
        <f ca="1">IFERROR(__xludf.DUMMYFUNCTION("IMPORTRANGE(H8241,""IDENTITAS UNIT!D9"")"),"#N/A")</f>
        <v>#N/A</v>
      </c>
      <c r="H8241" s="4" t="str">
        <v/>
      </c>
      <c r="I8241" s="4" t="str">
        <v/>
      </c>
    </row>
    <row r="8242" spans="5:9" ht="16.5" hidden="1">
      <c r="E8242" s="4" t="str">
        <v/>
      </c>
      <c r="F8242" s="102" t="str">
        <f ca="1">IFERROR(__xludf.DUMMYFUNCTION("IMPORTRANGE(H8242,""IDENTITAS UNIT!D9"")"),"#N/A")</f>
        <v>#N/A</v>
      </c>
      <c r="H8242" s="4" t="str">
        <v/>
      </c>
      <c r="I8242" s="4" t="str">
        <v/>
      </c>
    </row>
    <row r="8243" spans="5:9" ht="16.5" hidden="1">
      <c r="E8243" s="4" t="str">
        <v/>
      </c>
      <c r="F8243" s="102" t="str">
        <f ca="1">IFERROR(__xludf.DUMMYFUNCTION("IMPORTRANGE(H8243,""IDENTITAS UNIT!D9"")"),"#N/A")</f>
        <v>#N/A</v>
      </c>
      <c r="H8243" s="4" t="str">
        <v/>
      </c>
      <c r="I8243" s="4" t="str">
        <v/>
      </c>
    </row>
    <row r="8244" spans="5:9" ht="16.5" hidden="1">
      <c r="E8244" s="4" t="str">
        <v/>
      </c>
      <c r="F8244" s="102" t="str">
        <f ca="1">IFERROR(__xludf.DUMMYFUNCTION("IMPORTRANGE(H8244,""IDENTITAS UNIT!D9"")"),"#N/A")</f>
        <v>#N/A</v>
      </c>
      <c r="H8244" s="4" t="str">
        <v/>
      </c>
      <c r="I8244" s="4" t="str">
        <v/>
      </c>
    </row>
    <row r="8245" spans="5:9" ht="16.5" hidden="1">
      <c r="E8245" s="4" t="str">
        <v/>
      </c>
      <c r="F8245" s="102" t="str">
        <f ca="1">IFERROR(__xludf.DUMMYFUNCTION("IMPORTRANGE(H8245,""IDENTITAS UNIT!D9"")"),"#N/A")</f>
        <v>#N/A</v>
      </c>
      <c r="H8245" s="4" t="str">
        <v/>
      </c>
      <c r="I8245" s="4" t="str">
        <v/>
      </c>
    </row>
    <row r="8246" spans="5:9" ht="16.5" hidden="1">
      <c r="E8246" s="4" t="str">
        <v/>
      </c>
      <c r="F8246" s="102" t="str">
        <f ca="1">IFERROR(__xludf.DUMMYFUNCTION("IMPORTRANGE(H8246,""IDENTITAS UNIT!D9"")"),"#N/A")</f>
        <v>#N/A</v>
      </c>
      <c r="H8246" s="4" t="str">
        <v/>
      </c>
      <c r="I8246" s="4" t="str">
        <v/>
      </c>
    </row>
    <row r="8247" spans="5:9" ht="16.5" hidden="1">
      <c r="E8247" s="4" t="str">
        <v/>
      </c>
      <c r="F8247" s="102" t="str">
        <f ca="1">IFERROR(__xludf.DUMMYFUNCTION("IMPORTRANGE(H8247,""IDENTITAS UNIT!D9"")"),"#N/A")</f>
        <v>#N/A</v>
      </c>
      <c r="H8247" s="4" t="str">
        <v/>
      </c>
      <c r="I8247" s="4" t="str">
        <v/>
      </c>
    </row>
    <row r="8248" spans="5:9" ht="16.5" hidden="1">
      <c r="E8248" s="4" t="str">
        <v/>
      </c>
      <c r="F8248" s="102" t="str">
        <f ca="1">IFERROR(__xludf.DUMMYFUNCTION("IMPORTRANGE(H8248,""IDENTITAS UNIT!D9"")"),"#N/A")</f>
        <v>#N/A</v>
      </c>
      <c r="H8248" s="4" t="str">
        <v/>
      </c>
      <c r="I8248" s="4" t="str">
        <v/>
      </c>
    </row>
    <row r="8249" spans="5:9" ht="16.5" hidden="1">
      <c r="E8249" s="4" t="str">
        <v/>
      </c>
      <c r="F8249" s="102" t="str">
        <f ca="1">IFERROR(__xludf.DUMMYFUNCTION("IMPORTRANGE(H8249,""IDENTITAS UNIT!D9"")"),"#N/A")</f>
        <v>#N/A</v>
      </c>
      <c r="H8249" s="4" t="str">
        <v/>
      </c>
      <c r="I8249" s="4" t="str">
        <v/>
      </c>
    </row>
    <row r="8250" spans="5:9" ht="16.5" hidden="1">
      <c r="E8250" s="4" t="str">
        <v/>
      </c>
      <c r="F8250" s="102" t="str">
        <f ca="1">IFERROR(__xludf.DUMMYFUNCTION("IMPORTRANGE(H8250,""IDENTITAS UNIT!D9"")"),"#N/A")</f>
        <v>#N/A</v>
      </c>
      <c r="H8250" s="4" t="str">
        <v/>
      </c>
      <c r="I8250" s="4" t="str">
        <v/>
      </c>
    </row>
    <row r="8251" spans="5:9" ht="16.5" hidden="1">
      <c r="E8251" s="4" t="str">
        <v/>
      </c>
      <c r="F8251" s="102" t="str">
        <f ca="1">IFERROR(__xludf.DUMMYFUNCTION("IMPORTRANGE(H8251,""IDENTITAS UNIT!D9"")"),"#N/A")</f>
        <v>#N/A</v>
      </c>
      <c r="H8251" s="4" t="str">
        <v/>
      </c>
      <c r="I8251" s="4" t="str">
        <v/>
      </c>
    </row>
    <row r="8252" spans="5:9" ht="16.5" hidden="1">
      <c r="E8252" s="4" t="str">
        <v/>
      </c>
      <c r="F8252" s="102" t="str">
        <f ca="1">IFERROR(__xludf.DUMMYFUNCTION("IMPORTRANGE(H8252,""IDENTITAS UNIT!D9"")"),"#N/A")</f>
        <v>#N/A</v>
      </c>
      <c r="H8252" s="4" t="str">
        <v/>
      </c>
      <c r="I8252" s="4" t="str">
        <v/>
      </c>
    </row>
    <row r="8253" spans="5:9" ht="16.5" hidden="1">
      <c r="E8253" s="4" t="str">
        <v/>
      </c>
      <c r="F8253" s="102" t="str">
        <f ca="1">IFERROR(__xludf.DUMMYFUNCTION("IMPORTRANGE(H8253,""IDENTITAS UNIT!D9"")"),"#N/A")</f>
        <v>#N/A</v>
      </c>
      <c r="H8253" s="4" t="str">
        <v/>
      </c>
      <c r="I8253" s="4" t="str">
        <v/>
      </c>
    </row>
    <row r="8254" spans="5:9" ht="16.5" hidden="1">
      <c r="E8254" s="4" t="str">
        <v/>
      </c>
      <c r="F8254" s="102" t="str">
        <f ca="1">IFERROR(__xludf.DUMMYFUNCTION("IMPORTRANGE(H8254,""IDENTITAS UNIT!D9"")"),"#N/A")</f>
        <v>#N/A</v>
      </c>
      <c r="H8254" s="4" t="str">
        <v/>
      </c>
      <c r="I8254" s="4" t="str">
        <v/>
      </c>
    </row>
    <row r="8255" spans="5:9" ht="16.5" hidden="1">
      <c r="E8255" s="4" t="str">
        <v/>
      </c>
      <c r="F8255" s="102" t="str">
        <f ca="1">IFERROR(__xludf.DUMMYFUNCTION("IMPORTRANGE(H8255,""IDENTITAS UNIT!D9"")"),"#N/A")</f>
        <v>#N/A</v>
      </c>
      <c r="H8255" s="4" t="str">
        <v/>
      </c>
      <c r="I8255" s="4" t="str">
        <v/>
      </c>
    </row>
    <row r="8256" spans="5:9" ht="16.5" hidden="1">
      <c r="E8256" s="4" t="str">
        <v/>
      </c>
      <c r="F8256" s="102" t="str">
        <f ca="1">IFERROR(__xludf.DUMMYFUNCTION("IMPORTRANGE(H8256,""IDENTITAS UNIT!D9"")"),"#N/A")</f>
        <v>#N/A</v>
      </c>
      <c r="H8256" s="4" t="str">
        <v/>
      </c>
      <c r="I8256" s="4" t="str">
        <v/>
      </c>
    </row>
    <row r="8257" spans="5:9" ht="16.5" hidden="1">
      <c r="E8257" s="4" t="str">
        <v/>
      </c>
      <c r="F8257" s="102" t="str">
        <f ca="1">IFERROR(__xludf.DUMMYFUNCTION("IMPORTRANGE(H8257,""IDENTITAS UNIT!D9"")"),"#N/A")</f>
        <v>#N/A</v>
      </c>
      <c r="H8257" s="4" t="str">
        <v/>
      </c>
      <c r="I8257" s="4" t="str">
        <v/>
      </c>
    </row>
    <row r="8258" spans="5:9" ht="16.5" hidden="1">
      <c r="E8258" s="4" t="str">
        <v/>
      </c>
      <c r="F8258" s="102" t="str">
        <f ca="1">IFERROR(__xludf.DUMMYFUNCTION("IMPORTRANGE(H8258,""IDENTITAS UNIT!D9"")"),"#N/A")</f>
        <v>#N/A</v>
      </c>
      <c r="H8258" s="4" t="str">
        <v/>
      </c>
      <c r="I8258" s="4" t="str">
        <v/>
      </c>
    </row>
    <row r="8259" spans="5:9" ht="16.5" hidden="1">
      <c r="E8259" s="4" t="str">
        <v/>
      </c>
      <c r="F8259" s="102" t="str">
        <f ca="1">IFERROR(__xludf.DUMMYFUNCTION("IMPORTRANGE(H8259,""IDENTITAS UNIT!D9"")"),"#N/A")</f>
        <v>#N/A</v>
      </c>
      <c r="H8259" s="4" t="str">
        <v/>
      </c>
      <c r="I8259" s="4" t="str">
        <v/>
      </c>
    </row>
    <row r="8260" spans="5:9" ht="16.5" hidden="1">
      <c r="E8260" s="4" t="str">
        <v/>
      </c>
      <c r="F8260" s="102" t="str">
        <f ca="1">IFERROR(__xludf.DUMMYFUNCTION("IMPORTRANGE(H8260,""IDENTITAS UNIT!D9"")"),"#N/A")</f>
        <v>#N/A</v>
      </c>
      <c r="H8260" s="4" t="str">
        <v/>
      </c>
      <c r="I8260" s="4" t="str">
        <v/>
      </c>
    </row>
    <row r="8261" spans="5:9" ht="16.5" hidden="1">
      <c r="E8261" s="4" t="str">
        <v/>
      </c>
      <c r="F8261" s="102" t="str">
        <f ca="1">IFERROR(__xludf.DUMMYFUNCTION("IMPORTRANGE(H8261,""IDENTITAS UNIT!D9"")"),"#N/A")</f>
        <v>#N/A</v>
      </c>
      <c r="H8261" s="4" t="str">
        <v/>
      </c>
      <c r="I8261" s="4" t="str">
        <v/>
      </c>
    </row>
    <row r="8262" spans="5:9" ht="16.5" hidden="1">
      <c r="E8262" s="4" t="str">
        <v/>
      </c>
      <c r="F8262" s="102" t="str">
        <f ca="1">IFERROR(__xludf.DUMMYFUNCTION("IMPORTRANGE(H8262,""IDENTITAS UNIT!D9"")"),"#N/A")</f>
        <v>#N/A</v>
      </c>
      <c r="H8262" s="4" t="str">
        <v/>
      </c>
      <c r="I8262" s="4" t="str">
        <v/>
      </c>
    </row>
    <row r="8263" spans="5:9" ht="16.5" hidden="1">
      <c r="E8263" s="4" t="str">
        <v/>
      </c>
      <c r="F8263" s="102" t="str">
        <f ca="1">IFERROR(__xludf.DUMMYFUNCTION("IMPORTRANGE(H8263,""IDENTITAS UNIT!D9"")"),"#N/A")</f>
        <v>#N/A</v>
      </c>
      <c r="H8263" s="4" t="str">
        <v/>
      </c>
      <c r="I8263" s="4" t="str">
        <v/>
      </c>
    </row>
    <row r="8264" spans="5:9" ht="16.5" hidden="1">
      <c r="E8264" s="4" t="str">
        <v/>
      </c>
      <c r="F8264" s="102" t="str">
        <f ca="1">IFERROR(__xludf.DUMMYFUNCTION("IMPORTRANGE(H8264,""IDENTITAS UNIT!D9"")"),"#N/A")</f>
        <v>#N/A</v>
      </c>
      <c r="H8264" s="4" t="str">
        <v/>
      </c>
      <c r="I8264" s="4" t="str">
        <v/>
      </c>
    </row>
    <row r="8265" spans="5:9" ht="16.5" hidden="1">
      <c r="E8265" s="4" t="str">
        <v/>
      </c>
      <c r="F8265" s="102" t="str">
        <f ca="1">IFERROR(__xludf.DUMMYFUNCTION("IMPORTRANGE(H8265,""IDENTITAS UNIT!D9"")"),"#N/A")</f>
        <v>#N/A</v>
      </c>
      <c r="H8265" s="4" t="str">
        <v/>
      </c>
      <c r="I8265" s="4" t="str">
        <v/>
      </c>
    </row>
    <row r="8266" spans="5:9" ht="16.5" hidden="1">
      <c r="E8266" s="4" t="str">
        <v/>
      </c>
      <c r="F8266" s="102" t="str">
        <f ca="1">IFERROR(__xludf.DUMMYFUNCTION("IMPORTRANGE(H8266,""IDENTITAS UNIT!D9"")"),"#N/A")</f>
        <v>#N/A</v>
      </c>
      <c r="H8266" s="4" t="str">
        <v/>
      </c>
      <c r="I8266" s="4" t="str">
        <v/>
      </c>
    </row>
    <row r="8267" spans="5:9" ht="16.5" hidden="1">
      <c r="E8267" s="4" t="str">
        <v/>
      </c>
      <c r="F8267" s="102" t="str">
        <f ca="1">IFERROR(__xludf.DUMMYFUNCTION("IMPORTRANGE(H8267,""IDENTITAS UNIT!D9"")"),"#N/A")</f>
        <v>#N/A</v>
      </c>
      <c r="H8267" s="4" t="str">
        <v/>
      </c>
      <c r="I8267" s="4" t="str">
        <v/>
      </c>
    </row>
    <row r="8268" spans="5:9" ht="16.5" hidden="1">
      <c r="E8268" s="4" t="str">
        <v/>
      </c>
      <c r="F8268" s="102" t="str">
        <f ca="1">IFERROR(__xludf.DUMMYFUNCTION("IMPORTRANGE(H8268,""IDENTITAS UNIT!D9"")"),"#N/A")</f>
        <v>#N/A</v>
      </c>
      <c r="H8268" s="4" t="str">
        <v/>
      </c>
      <c r="I8268" s="4" t="str">
        <v/>
      </c>
    </row>
    <row r="8269" spans="5:9" ht="16.5" hidden="1">
      <c r="E8269" s="4" t="str">
        <v/>
      </c>
      <c r="F8269" s="102" t="str">
        <f ca="1">IFERROR(__xludf.DUMMYFUNCTION("IMPORTRANGE(H8269,""IDENTITAS UNIT!D9"")"),"#N/A")</f>
        <v>#N/A</v>
      </c>
      <c r="H8269" s="4" t="str">
        <v/>
      </c>
      <c r="I8269" s="4" t="str">
        <v/>
      </c>
    </row>
    <row r="8270" spans="5:9" ht="16.5" hidden="1">
      <c r="E8270" s="4" t="str">
        <v/>
      </c>
      <c r="F8270" s="102" t="str">
        <f ca="1">IFERROR(__xludf.DUMMYFUNCTION("IMPORTRANGE(H8270,""IDENTITAS UNIT!D9"")"),"#N/A")</f>
        <v>#N/A</v>
      </c>
      <c r="H8270" s="4" t="str">
        <v/>
      </c>
      <c r="I8270" s="4" t="str">
        <v/>
      </c>
    </row>
    <row r="8271" spans="5:9" ht="16.5" hidden="1">
      <c r="E8271" s="4" t="str">
        <v/>
      </c>
      <c r="F8271" s="102" t="str">
        <f ca="1">IFERROR(__xludf.DUMMYFUNCTION("IMPORTRANGE(H8271,""IDENTITAS UNIT!D9"")"),"#N/A")</f>
        <v>#N/A</v>
      </c>
      <c r="H8271" s="4" t="str">
        <v/>
      </c>
      <c r="I8271" s="4" t="str">
        <v/>
      </c>
    </row>
    <row r="8272" spans="5:9" ht="16.5" hidden="1">
      <c r="E8272" s="4" t="str">
        <v/>
      </c>
      <c r="F8272" s="102" t="str">
        <f ca="1">IFERROR(__xludf.DUMMYFUNCTION("IMPORTRANGE(H8272,""IDENTITAS UNIT!D9"")"),"#N/A")</f>
        <v>#N/A</v>
      </c>
      <c r="H8272" s="4" t="str">
        <v/>
      </c>
      <c r="I8272" s="4" t="str">
        <v/>
      </c>
    </row>
    <row r="8273" spans="5:9" ht="16.5" hidden="1">
      <c r="E8273" s="4" t="str">
        <v/>
      </c>
      <c r="F8273" s="102" t="str">
        <f ca="1">IFERROR(__xludf.DUMMYFUNCTION("IMPORTRANGE(H8273,""IDENTITAS UNIT!D9"")"),"#N/A")</f>
        <v>#N/A</v>
      </c>
      <c r="H8273" s="4" t="str">
        <v/>
      </c>
      <c r="I8273" s="4" t="str">
        <v/>
      </c>
    </row>
    <row r="8274" spans="5:9" ht="16.5" hidden="1">
      <c r="E8274" s="4" t="str">
        <v/>
      </c>
      <c r="F8274" s="102" t="str">
        <f ca="1">IFERROR(__xludf.DUMMYFUNCTION("IMPORTRANGE(H8274,""IDENTITAS UNIT!D9"")"),"#N/A")</f>
        <v>#N/A</v>
      </c>
      <c r="H8274" s="4" t="str">
        <v/>
      </c>
      <c r="I8274" s="4" t="str">
        <v/>
      </c>
    </row>
    <row r="8275" spans="5:9" ht="16.5" hidden="1">
      <c r="E8275" s="4" t="str">
        <v/>
      </c>
      <c r="F8275" s="102" t="str">
        <f ca="1">IFERROR(__xludf.DUMMYFUNCTION("IMPORTRANGE(H8275,""IDENTITAS UNIT!D9"")"),"#N/A")</f>
        <v>#N/A</v>
      </c>
      <c r="H8275" s="4" t="str">
        <v/>
      </c>
      <c r="I8275" s="4" t="str">
        <v/>
      </c>
    </row>
    <row r="8276" spans="5:9" ht="16.5" hidden="1">
      <c r="E8276" s="4" t="str">
        <v/>
      </c>
      <c r="F8276" s="102" t="str">
        <f ca="1">IFERROR(__xludf.DUMMYFUNCTION("IMPORTRANGE(H8276,""IDENTITAS UNIT!D9"")"),"#N/A")</f>
        <v>#N/A</v>
      </c>
      <c r="H8276" s="4" t="str">
        <v/>
      </c>
      <c r="I8276" s="4" t="str">
        <v/>
      </c>
    </row>
    <row r="8277" spans="5:9" ht="16.5" hidden="1">
      <c r="E8277" s="4" t="str">
        <v/>
      </c>
      <c r="F8277" s="102" t="str">
        <f ca="1">IFERROR(__xludf.DUMMYFUNCTION("IMPORTRANGE(H8277,""IDENTITAS UNIT!D9"")"),"#N/A")</f>
        <v>#N/A</v>
      </c>
      <c r="H8277" s="4" t="str">
        <v/>
      </c>
      <c r="I8277" s="4" t="str">
        <v/>
      </c>
    </row>
    <row r="8278" spans="5:9" ht="16.5" hidden="1">
      <c r="E8278" s="4" t="str">
        <v/>
      </c>
      <c r="F8278" s="102" t="str">
        <f ca="1">IFERROR(__xludf.DUMMYFUNCTION("IMPORTRANGE(H8278,""IDENTITAS UNIT!D9"")"),"#N/A")</f>
        <v>#N/A</v>
      </c>
      <c r="H8278" s="4" t="str">
        <v/>
      </c>
      <c r="I8278" s="4" t="str">
        <v/>
      </c>
    </row>
    <row r="8279" spans="5:9" ht="16.5" hidden="1">
      <c r="E8279" s="4" t="str">
        <v/>
      </c>
      <c r="F8279" s="102" t="str">
        <f ca="1">IFERROR(__xludf.DUMMYFUNCTION("IMPORTRANGE(H8279,""IDENTITAS UNIT!D9"")"),"#N/A")</f>
        <v>#N/A</v>
      </c>
      <c r="H8279" s="4" t="str">
        <v/>
      </c>
      <c r="I8279" s="4" t="str">
        <v/>
      </c>
    </row>
    <row r="8280" spans="5:9" ht="16.5" hidden="1">
      <c r="E8280" s="4" t="str">
        <v/>
      </c>
      <c r="F8280" s="102" t="str">
        <f ca="1">IFERROR(__xludf.DUMMYFUNCTION("IMPORTRANGE(H8280,""IDENTITAS UNIT!D9"")"),"#N/A")</f>
        <v>#N/A</v>
      </c>
      <c r="H8280" s="4" t="str">
        <v/>
      </c>
      <c r="I8280" s="4" t="str">
        <v/>
      </c>
    </row>
    <row r="8281" spans="5:9" ht="16.5" hidden="1">
      <c r="E8281" s="4" t="str">
        <v/>
      </c>
      <c r="F8281" s="102" t="str">
        <f ca="1">IFERROR(__xludf.DUMMYFUNCTION("IMPORTRANGE(H8281,""IDENTITAS UNIT!D9"")"),"#N/A")</f>
        <v>#N/A</v>
      </c>
      <c r="H8281" s="4" t="str">
        <v/>
      </c>
      <c r="I8281" s="4" t="str">
        <v/>
      </c>
    </row>
    <row r="8282" spans="5:9" ht="16.5" hidden="1">
      <c r="E8282" s="4" t="str">
        <v/>
      </c>
      <c r="F8282" s="102" t="str">
        <f ca="1">IFERROR(__xludf.DUMMYFUNCTION("IMPORTRANGE(H8282,""IDENTITAS UNIT!D9"")"),"#N/A")</f>
        <v>#N/A</v>
      </c>
      <c r="H8282" s="4" t="str">
        <v/>
      </c>
      <c r="I8282" s="4" t="str">
        <v/>
      </c>
    </row>
    <row r="8283" spans="5:9" ht="16.5" hidden="1">
      <c r="E8283" s="4" t="str">
        <v/>
      </c>
      <c r="F8283" s="102" t="str">
        <f ca="1">IFERROR(__xludf.DUMMYFUNCTION("IMPORTRANGE(H8283,""IDENTITAS UNIT!D9"")"),"#N/A")</f>
        <v>#N/A</v>
      </c>
      <c r="H8283" s="4" t="str">
        <v/>
      </c>
      <c r="I8283" s="4" t="str">
        <v/>
      </c>
    </row>
    <row r="8284" spans="5:9" ht="16.5" hidden="1">
      <c r="E8284" s="4" t="str">
        <v/>
      </c>
      <c r="F8284" s="102" t="str">
        <f ca="1">IFERROR(__xludf.DUMMYFUNCTION("IMPORTRANGE(H8284,""IDENTITAS UNIT!D9"")"),"#N/A")</f>
        <v>#N/A</v>
      </c>
      <c r="H8284" s="4" t="str">
        <v/>
      </c>
      <c r="I8284" s="4" t="str">
        <v/>
      </c>
    </row>
    <row r="8285" spans="5:9" ht="16.5" hidden="1">
      <c r="E8285" s="4" t="str">
        <v/>
      </c>
      <c r="F8285" s="102" t="str">
        <f ca="1">IFERROR(__xludf.DUMMYFUNCTION("IMPORTRANGE(H8285,""IDENTITAS UNIT!D9"")"),"#N/A")</f>
        <v>#N/A</v>
      </c>
      <c r="H8285" s="4" t="str">
        <v/>
      </c>
      <c r="I8285" s="4" t="str">
        <v/>
      </c>
    </row>
    <row r="8286" spans="5:9" ht="16.5" hidden="1">
      <c r="E8286" s="4" t="str">
        <v/>
      </c>
      <c r="F8286" s="102" t="str">
        <f ca="1">IFERROR(__xludf.DUMMYFUNCTION("IMPORTRANGE(H8286,""IDENTITAS UNIT!D9"")"),"#N/A")</f>
        <v>#N/A</v>
      </c>
      <c r="H8286" s="4" t="str">
        <v/>
      </c>
      <c r="I8286" s="4" t="str">
        <v/>
      </c>
    </row>
    <row r="8287" spans="5:9" ht="16.5" hidden="1">
      <c r="E8287" s="4" t="str">
        <v/>
      </c>
      <c r="F8287" s="102" t="str">
        <f ca="1">IFERROR(__xludf.DUMMYFUNCTION("IMPORTRANGE(H8287,""IDENTITAS UNIT!D9"")"),"#N/A")</f>
        <v>#N/A</v>
      </c>
      <c r="H8287" s="4" t="str">
        <v/>
      </c>
      <c r="I8287" s="4" t="str">
        <v/>
      </c>
    </row>
    <row r="8288" spans="5:9" ht="16.5" hidden="1">
      <c r="E8288" s="4" t="str">
        <v/>
      </c>
      <c r="F8288" s="102" t="str">
        <f ca="1">IFERROR(__xludf.DUMMYFUNCTION("IMPORTRANGE(H8288,""IDENTITAS UNIT!D9"")"),"#N/A")</f>
        <v>#N/A</v>
      </c>
      <c r="H8288" s="4" t="str">
        <v/>
      </c>
      <c r="I8288" s="4" t="str">
        <v/>
      </c>
    </row>
    <row r="8289" spans="5:9" ht="16.5" hidden="1">
      <c r="E8289" s="4" t="str">
        <v/>
      </c>
      <c r="F8289" s="102" t="str">
        <f ca="1">IFERROR(__xludf.DUMMYFUNCTION("IMPORTRANGE(H8289,""IDENTITAS UNIT!D9"")"),"#N/A")</f>
        <v>#N/A</v>
      </c>
      <c r="H8289" s="4" t="str">
        <v/>
      </c>
      <c r="I8289" s="4" t="str">
        <v/>
      </c>
    </row>
    <row r="8290" spans="5:9" ht="16.5" hidden="1">
      <c r="E8290" s="4" t="str">
        <v/>
      </c>
      <c r="F8290" s="102" t="str">
        <f ca="1">IFERROR(__xludf.DUMMYFUNCTION("IMPORTRANGE(H8290,""IDENTITAS UNIT!D9"")"),"#N/A")</f>
        <v>#N/A</v>
      </c>
      <c r="H8290" s="4" t="str">
        <v/>
      </c>
      <c r="I8290" s="4" t="str">
        <v/>
      </c>
    </row>
    <row r="8291" spans="5:9" ht="16.5" hidden="1">
      <c r="E8291" s="4" t="str">
        <v/>
      </c>
      <c r="F8291" s="102" t="str">
        <f ca="1">IFERROR(__xludf.DUMMYFUNCTION("IMPORTRANGE(H8291,""IDENTITAS UNIT!D9"")"),"#N/A")</f>
        <v>#N/A</v>
      </c>
      <c r="H8291" s="4" t="str">
        <v/>
      </c>
      <c r="I8291" s="4" t="str">
        <v/>
      </c>
    </row>
    <row r="8292" spans="5:9" ht="16.5" hidden="1">
      <c r="E8292" s="4" t="str">
        <v/>
      </c>
      <c r="F8292" s="102" t="str">
        <f ca="1">IFERROR(__xludf.DUMMYFUNCTION("IMPORTRANGE(H8292,""IDENTITAS UNIT!D9"")"),"#N/A")</f>
        <v>#N/A</v>
      </c>
      <c r="H8292" s="4" t="str">
        <v/>
      </c>
      <c r="I8292" s="4" t="str">
        <v/>
      </c>
    </row>
    <row r="8293" spans="5:9" ht="16.5" hidden="1">
      <c r="E8293" s="4" t="str">
        <v/>
      </c>
      <c r="F8293" s="102" t="str">
        <f ca="1">IFERROR(__xludf.DUMMYFUNCTION("IMPORTRANGE(H8293,""IDENTITAS UNIT!D9"")"),"#N/A")</f>
        <v>#N/A</v>
      </c>
      <c r="H8293" s="4" t="str">
        <v/>
      </c>
      <c r="I8293" s="4" t="str">
        <v/>
      </c>
    </row>
    <row r="8294" spans="5:9" ht="16.5" hidden="1">
      <c r="E8294" s="4" t="str">
        <v/>
      </c>
      <c r="F8294" s="102" t="str">
        <f ca="1">IFERROR(__xludf.DUMMYFUNCTION("IMPORTRANGE(H8294,""IDENTITAS UNIT!D9"")"),"#N/A")</f>
        <v>#N/A</v>
      </c>
      <c r="H8294" s="4" t="str">
        <v/>
      </c>
      <c r="I8294" s="4" t="str">
        <v/>
      </c>
    </row>
    <row r="8295" spans="5:9" ht="16.5" hidden="1">
      <c r="E8295" s="4" t="str">
        <v/>
      </c>
      <c r="F8295" s="102" t="str">
        <f ca="1">IFERROR(__xludf.DUMMYFUNCTION("IMPORTRANGE(H8295,""IDENTITAS UNIT!D9"")"),"#N/A")</f>
        <v>#N/A</v>
      </c>
      <c r="H8295" s="4" t="str">
        <v/>
      </c>
      <c r="I8295" s="4" t="str">
        <v/>
      </c>
    </row>
    <row r="8296" spans="5:9" ht="16.5" hidden="1">
      <c r="E8296" s="4" t="str">
        <v/>
      </c>
      <c r="F8296" s="102" t="str">
        <f ca="1">IFERROR(__xludf.DUMMYFUNCTION("IMPORTRANGE(H8296,""IDENTITAS UNIT!D9"")"),"#N/A")</f>
        <v>#N/A</v>
      </c>
      <c r="H8296" s="4" t="str">
        <v/>
      </c>
      <c r="I8296" s="4" t="str">
        <v/>
      </c>
    </row>
    <row r="8297" spans="5:9" ht="16.5" hidden="1">
      <c r="E8297" s="4" t="str">
        <v/>
      </c>
      <c r="F8297" s="102" t="str">
        <f ca="1">IFERROR(__xludf.DUMMYFUNCTION("IMPORTRANGE(H8297,""IDENTITAS UNIT!D9"")"),"#N/A")</f>
        <v>#N/A</v>
      </c>
      <c r="H8297" s="4" t="str">
        <v/>
      </c>
      <c r="I8297" s="4" t="str">
        <v/>
      </c>
    </row>
    <row r="8298" spans="5:9" ht="16.5" hidden="1">
      <c r="E8298" s="4" t="str">
        <v/>
      </c>
      <c r="F8298" s="102" t="str">
        <f ca="1">IFERROR(__xludf.DUMMYFUNCTION("IMPORTRANGE(H8298,""IDENTITAS UNIT!D9"")"),"#N/A")</f>
        <v>#N/A</v>
      </c>
      <c r="H8298" s="4" t="str">
        <v/>
      </c>
      <c r="I8298" s="4" t="str">
        <v/>
      </c>
    </row>
    <row r="8299" spans="5:9" ht="16.5" hidden="1">
      <c r="E8299" s="4" t="str">
        <v/>
      </c>
      <c r="F8299" s="102" t="str">
        <f ca="1">IFERROR(__xludf.DUMMYFUNCTION("IMPORTRANGE(H8299,""IDENTITAS UNIT!D9"")"),"#N/A")</f>
        <v>#N/A</v>
      </c>
      <c r="H8299" s="4" t="str">
        <v/>
      </c>
      <c r="I8299" s="4" t="str">
        <v/>
      </c>
    </row>
    <row r="8300" spans="5:9" ht="16.5" hidden="1">
      <c r="E8300" s="4" t="str">
        <v/>
      </c>
      <c r="F8300" s="102" t="str">
        <f ca="1">IFERROR(__xludf.DUMMYFUNCTION("IMPORTRANGE(H8300,""IDENTITAS UNIT!D9"")"),"#N/A")</f>
        <v>#N/A</v>
      </c>
      <c r="H8300" s="4" t="str">
        <v/>
      </c>
      <c r="I8300" s="4" t="str">
        <v/>
      </c>
    </row>
    <row r="8301" spans="5:9" ht="16.5" hidden="1">
      <c r="E8301" s="4" t="str">
        <v/>
      </c>
      <c r="F8301" s="102" t="str">
        <f ca="1">IFERROR(__xludf.DUMMYFUNCTION("IMPORTRANGE(H8301,""IDENTITAS UNIT!D9"")"),"#N/A")</f>
        <v>#N/A</v>
      </c>
      <c r="H8301" s="4" t="str">
        <v/>
      </c>
      <c r="I8301" s="4" t="str">
        <v/>
      </c>
    </row>
    <row r="8302" spans="5:9" ht="16.5" hidden="1">
      <c r="E8302" s="4" t="str">
        <v/>
      </c>
      <c r="F8302" s="102" t="str">
        <f ca="1">IFERROR(__xludf.DUMMYFUNCTION("IMPORTRANGE(H8302,""IDENTITAS UNIT!D9"")"),"#N/A")</f>
        <v>#N/A</v>
      </c>
      <c r="H8302" s="4" t="str">
        <v/>
      </c>
      <c r="I8302" s="4" t="str">
        <v/>
      </c>
    </row>
    <row r="8303" spans="5:9" ht="16.5" hidden="1">
      <c r="E8303" s="4" t="str">
        <v/>
      </c>
      <c r="F8303" s="102" t="str">
        <f ca="1">IFERROR(__xludf.DUMMYFUNCTION("IMPORTRANGE(H8303,""IDENTITAS UNIT!D9"")"),"#N/A")</f>
        <v>#N/A</v>
      </c>
      <c r="H8303" s="4" t="str">
        <v/>
      </c>
      <c r="I8303" s="4" t="str">
        <v/>
      </c>
    </row>
    <row r="8304" spans="5:9" ht="16.5" hidden="1">
      <c r="E8304" s="4" t="str">
        <v/>
      </c>
      <c r="F8304" s="102" t="str">
        <f ca="1">IFERROR(__xludf.DUMMYFUNCTION("IMPORTRANGE(H8304,""IDENTITAS UNIT!D9"")"),"#N/A")</f>
        <v>#N/A</v>
      </c>
      <c r="H8304" s="4" t="str">
        <v/>
      </c>
      <c r="I8304" s="4" t="str">
        <v/>
      </c>
    </row>
    <row r="8305" spans="5:9" ht="16.5" hidden="1">
      <c r="E8305" s="4" t="str">
        <v/>
      </c>
      <c r="F8305" s="102" t="str">
        <f ca="1">IFERROR(__xludf.DUMMYFUNCTION("IMPORTRANGE(H8305,""IDENTITAS UNIT!D9"")"),"#N/A")</f>
        <v>#N/A</v>
      </c>
      <c r="H8305" s="4" t="str">
        <v/>
      </c>
      <c r="I8305" s="4" t="str">
        <v/>
      </c>
    </row>
    <row r="8306" spans="5:9" ht="16.5" hidden="1">
      <c r="E8306" s="4" t="str">
        <v/>
      </c>
      <c r="F8306" s="102" t="str">
        <f ca="1">IFERROR(__xludf.DUMMYFUNCTION("IMPORTRANGE(H8306,""IDENTITAS UNIT!D9"")"),"#N/A")</f>
        <v>#N/A</v>
      </c>
      <c r="H8306" s="4" t="str">
        <v/>
      </c>
      <c r="I8306" s="4" t="str">
        <v/>
      </c>
    </row>
    <row r="8307" spans="5:9" ht="16.5" hidden="1">
      <c r="E8307" s="4" t="str">
        <v/>
      </c>
      <c r="F8307" s="102" t="str">
        <f ca="1">IFERROR(__xludf.DUMMYFUNCTION("IMPORTRANGE(H8307,""IDENTITAS UNIT!D9"")"),"#N/A")</f>
        <v>#N/A</v>
      </c>
      <c r="H8307" s="4" t="str">
        <v/>
      </c>
      <c r="I8307" s="4" t="str">
        <v/>
      </c>
    </row>
    <row r="8308" spans="5:9" ht="16.5" hidden="1">
      <c r="E8308" s="4" t="str">
        <v/>
      </c>
      <c r="F8308" s="102" t="str">
        <f ca="1">IFERROR(__xludf.DUMMYFUNCTION("IMPORTRANGE(H8308,""IDENTITAS UNIT!D9"")"),"#N/A")</f>
        <v>#N/A</v>
      </c>
      <c r="H8308" s="4" t="str">
        <v/>
      </c>
      <c r="I8308" s="4" t="str">
        <v/>
      </c>
    </row>
    <row r="8309" spans="5:9" ht="16.5" hidden="1">
      <c r="E8309" s="4" t="str">
        <v/>
      </c>
      <c r="F8309" s="102" t="str">
        <f ca="1">IFERROR(__xludf.DUMMYFUNCTION("IMPORTRANGE(H8309,""IDENTITAS UNIT!D9"")"),"#N/A")</f>
        <v>#N/A</v>
      </c>
      <c r="H8309" s="4" t="str">
        <v/>
      </c>
      <c r="I8309" s="4" t="str">
        <v/>
      </c>
    </row>
    <row r="8310" spans="5:9" ht="16.5" hidden="1">
      <c r="E8310" s="4" t="str">
        <v/>
      </c>
      <c r="F8310" s="102" t="str">
        <f ca="1">IFERROR(__xludf.DUMMYFUNCTION("IMPORTRANGE(H8310,""IDENTITAS UNIT!D9"")"),"#N/A")</f>
        <v>#N/A</v>
      </c>
      <c r="H8310" s="4" t="str">
        <v/>
      </c>
      <c r="I8310" s="4" t="str">
        <v/>
      </c>
    </row>
    <row r="8311" spans="5:9" ht="16.5" hidden="1">
      <c r="E8311" s="4" t="str">
        <v/>
      </c>
      <c r="F8311" s="102" t="str">
        <f ca="1">IFERROR(__xludf.DUMMYFUNCTION("IMPORTRANGE(H8311,""IDENTITAS UNIT!D9"")"),"#N/A")</f>
        <v>#N/A</v>
      </c>
      <c r="H8311" s="4" t="str">
        <v/>
      </c>
      <c r="I8311" s="4" t="str">
        <v/>
      </c>
    </row>
    <row r="8312" spans="5:9" ht="16.5" hidden="1">
      <c r="E8312" s="4" t="str">
        <v/>
      </c>
      <c r="F8312" s="102" t="str">
        <f ca="1">IFERROR(__xludf.DUMMYFUNCTION("IMPORTRANGE(H8312,""IDENTITAS UNIT!D9"")"),"#N/A")</f>
        <v>#N/A</v>
      </c>
      <c r="H8312" s="4" t="str">
        <v/>
      </c>
      <c r="I8312" s="4" t="str">
        <v/>
      </c>
    </row>
    <row r="8313" spans="5:9" ht="16.5" hidden="1">
      <c r="E8313" s="4" t="str">
        <v/>
      </c>
      <c r="F8313" s="102" t="str">
        <f ca="1">IFERROR(__xludf.DUMMYFUNCTION("IMPORTRANGE(H8313,""IDENTITAS UNIT!D9"")"),"#N/A")</f>
        <v>#N/A</v>
      </c>
      <c r="H8313" s="4" t="str">
        <v/>
      </c>
      <c r="I8313" s="4" t="str">
        <v/>
      </c>
    </row>
    <row r="8314" spans="5:9" ht="16.5" hidden="1">
      <c r="E8314" s="4" t="str">
        <v/>
      </c>
      <c r="F8314" s="102" t="str">
        <f ca="1">IFERROR(__xludf.DUMMYFUNCTION("IMPORTRANGE(H8314,""IDENTITAS UNIT!D9"")"),"#N/A")</f>
        <v>#N/A</v>
      </c>
      <c r="H8314" s="4" t="str">
        <v/>
      </c>
      <c r="I8314" s="4" t="str">
        <v/>
      </c>
    </row>
    <row r="8315" spans="5:9" ht="16.5" hidden="1">
      <c r="E8315" s="4" t="str">
        <v/>
      </c>
      <c r="F8315" s="102" t="str">
        <f ca="1">IFERROR(__xludf.DUMMYFUNCTION("IMPORTRANGE(H8315,""IDENTITAS UNIT!D9"")"),"#N/A")</f>
        <v>#N/A</v>
      </c>
      <c r="H8315" s="4" t="str">
        <v/>
      </c>
      <c r="I8315" s="4" t="str">
        <v/>
      </c>
    </row>
    <row r="8316" spans="5:9" ht="16.5" hidden="1">
      <c r="E8316" s="4" t="str">
        <v/>
      </c>
      <c r="F8316" s="102" t="str">
        <f ca="1">IFERROR(__xludf.DUMMYFUNCTION("IMPORTRANGE(H8316,""IDENTITAS UNIT!D9"")"),"#N/A")</f>
        <v>#N/A</v>
      </c>
      <c r="H8316" s="4" t="str">
        <v/>
      </c>
      <c r="I8316" s="4" t="str">
        <v/>
      </c>
    </row>
    <row r="8317" spans="5:9" ht="16.5" hidden="1">
      <c r="E8317" s="4" t="str">
        <v/>
      </c>
      <c r="F8317" s="102" t="str">
        <f ca="1">IFERROR(__xludf.DUMMYFUNCTION("IMPORTRANGE(H8317,""IDENTITAS UNIT!D9"")"),"#N/A")</f>
        <v>#N/A</v>
      </c>
      <c r="H8317" s="4" t="str">
        <v/>
      </c>
      <c r="I8317" s="4" t="str">
        <v/>
      </c>
    </row>
    <row r="8318" spans="5:9" ht="16.5" hidden="1">
      <c r="E8318" s="4" t="str">
        <v/>
      </c>
      <c r="F8318" s="102" t="str">
        <f ca="1">IFERROR(__xludf.DUMMYFUNCTION("IMPORTRANGE(H8318,""IDENTITAS UNIT!D9"")"),"#N/A")</f>
        <v>#N/A</v>
      </c>
      <c r="H8318" s="4" t="str">
        <v/>
      </c>
      <c r="I8318" s="4" t="str">
        <v/>
      </c>
    </row>
    <row r="8319" spans="5:9" ht="16.5" hidden="1">
      <c r="E8319" s="4" t="str">
        <v/>
      </c>
      <c r="F8319" s="102" t="str">
        <f ca="1">IFERROR(__xludf.DUMMYFUNCTION("IMPORTRANGE(H8319,""IDENTITAS UNIT!D9"")"),"#N/A")</f>
        <v>#N/A</v>
      </c>
      <c r="H8319" s="4" t="str">
        <v/>
      </c>
      <c r="I8319" s="4" t="str">
        <v/>
      </c>
    </row>
    <row r="8320" spans="5:9" ht="16.5" hidden="1">
      <c r="E8320" s="4" t="str">
        <v/>
      </c>
      <c r="F8320" s="102" t="str">
        <f ca="1">IFERROR(__xludf.DUMMYFUNCTION("IMPORTRANGE(H8320,""IDENTITAS UNIT!D9"")"),"#N/A")</f>
        <v>#N/A</v>
      </c>
      <c r="H8320" s="4" t="str">
        <v/>
      </c>
      <c r="I8320" s="4" t="str">
        <v/>
      </c>
    </row>
    <row r="8321" spans="5:9" ht="16.5" hidden="1">
      <c r="E8321" s="4" t="str">
        <v/>
      </c>
      <c r="F8321" s="102" t="str">
        <f ca="1">IFERROR(__xludf.DUMMYFUNCTION("IMPORTRANGE(H8321,""IDENTITAS UNIT!D9"")"),"#N/A")</f>
        <v>#N/A</v>
      </c>
      <c r="H8321" s="4" t="str">
        <v/>
      </c>
      <c r="I8321" s="4" t="str">
        <v/>
      </c>
    </row>
    <row r="8322" spans="5:9" ht="16.5" hidden="1">
      <c r="E8322" s="4" t="str">
        <v/>
      </c>
      <c r="F8322" s="102" t="str">
        <f ca="1">IFERROR(__xludf.DUMMYFUNCTION("IMPORTRANGE(H8322,""IDENTITAS UNIT!D9"")"),"#N/A")</f>
        <v>#N/A</v>
      </c>
      <c r="H8322" s="4" t="str">
        <v/>
      </c>
      <c r="I8322" s="4" t="str">
        <v/>
      </c>
    </row>
    <row r="8323" spans="5:9" ht="16.5" hidden="1">
      <c r="E8323" s="4" t="str">
        <v/>
      </c>
      <c r="F8323" s="102" t="str">
        <f ca="1">IFERROR(__xludf.DUMMYFUNCTION("IMPORTRANGE(H8323,""IDENTITAS UNIT!D9"")"),"#N/A")</f>
        <v>#N/A</v>
      </c>
      <c r="H8323" s="4" t="str">
        <v/>
      </c>
      <c r="I8323" s="4" t="str">
        <v/>
      </c>
    </row>
    <row r="8324" spans="5:9" ht="16.5" hidden="1">
      <c r="E8324" s="4" t="str">
        <v/>
      </c>
      <c r="F8324" s="102" t="str">
        <f ca="1">IFERROR(__xludf.DUMMYFUNCTION("IMPORTRANGE(H8324,""IDENTITAS UNIT!D9"")"),"#N/A")</f>
        <v>#N/A</v>
      </c>
      <c r="H8324" s="4" t="str">
        <v/>
      </c>
      <c r="I8324" s="4" t="str">
        <v/>
      </c>
    </row>
    <row r="8325" spans="5:9" ht="16.5" hidden="1">
      <c r="E8325" s="4" t="str">
        <v/>
      </c>
      <c r="F8325" s="102" t="str">
        <f ca="1">IFERROR(__xludf.DUMMYFUNCTION("IMPORTRANGE(H8325,""IDENTITAS UNIT!D9"")"),"#N/A")</f>
        <v>#N/A</v>
      </c>
      <c r="H8325" s="4" t="str">
        <v/>
      </c>
      <c r="I8325" s="4" t="str">
        <v/>
      </c>
    </row>
    <row r="8326" spans="5:9" ht="16.5" hidden="1">
      <c r="E8326" s="4" t="str">
        <v/>
      </c>
      <c r="F8326" s="102" t="str">
        <f ca="1">IFERROR(__xludf.DUMMYFUNCTION("IMPORTRANGE(H8326,""IDENTITAS UNIT!D9"")"),"#N/A")</f>
        <v>#N/A</v>
      </c>
      <c r="H8326" s="4" t="str">
        <v/>
      </c>
      <c r="I8326" s="4" t="str">
        <v/>
      </c>
    </row>
    <row r="8327" spans="5:9" ht="16.5" hidden="1">
      <c r="E8327" s="4" t="str">
        <v/>
      </c>
      <c r="F8327" s="102" t="str">
        <f ca="1">IFERROR(__xludf.DUMMYFUNCTION("IMPORTRANGE(H8327,""IDENTITAS UNIT!D9"")"),"#N/A")</f>
        <v>#N/A</v>
      </c>
      <c r="H8327" s="4" t="str">
        <v/>
      </c>
      <c r="I8327" s="4" t="str">
        <v/>
      </c>
    </row>
    <row r="8328" spans="5:9" ht="16.5" hidden="1">
      <c r="E8328" s="4" t="str">
        <v/>
      </c>
      <c r="F8328" s="102" t="str">
        <f ca="1">IFERROR(__xludf.DUMMYFUNCTION("IMPORTRANGE(H8328,""IDENTITAS UNIT!D9"")"),"#N/A")</f>
        <v>#N/A</v>
      </c>
      <c r="H8328" s="4" t="str">
        <v/>
      </c>
      <c r="I8328" s="4" t="str">
        <v/>
      </c>
    </row>
    <row r="8329" spans="5:9" ht="16.5" hidden="1">
      <c r="E8329" s="4" t="str">
        <v/>
      </c>
      <c r="F8329" s="102" t="str">
        <f ca="1">IFERROR(__xludf.DUMMYFUNCTION("IMPORTRANGE(H8329,""IDENTITAS UNIT!D9"")"),"#N/A")</f>
        <v>#N/A</v>
      </c>
      <c r="H8329" s="4" t="str">
        <v/>
      </c>
      <c r="I8329" s="4" t="str">
        <v/>
      </c>
    </row>
    <row r="8330" spans="5:9" ht="16.5" hidden="1">
      <c r="E8330" s="4" t="str">
        <v/>
      </c>
      <c r="F8330" s="102" t="str">
        <f ca="1">IFERROR(__xludf.DUMMYFUNCTION("IMPORTRANGE(H8330,""IDENTITAS UNIT!D9"")"),"#N/A")</f>
        <v>#N/A</v>
      </c>
      <c r="H8330" s="4" t="str">
        <v/>
      </c>
      <c r="I8330" s="4" t="str">
        <v/>
      </c>
    </row>
    <row r="8331" spans="5:9" ht="16.5" hidden="1">
      <c r="E8331" s="4" t="str">
        <v/>
      </c>
      <c r="F8331" s="102" t="str">
        <f ca="1">IFERROR(__xludf.DUMMYFUNCTION("IMPORTRANGE(H8331,""IDENTITAS UNIT!D9"")"),"#N/A")</f>
        <v>#N/A</v>
      </c>
      <c r="H8331" s="4" t="str">
        <v/>
      </c>
      <c r="I8331" s="4" t="str">
        <v/>
      </c>
    </row>
    <row r="8332" spans="5:9" ht="16.5" hidden="1">
      <c r="E8332" s="4" t="str">
        <v/>
      </c>
      <c r="F8332" s="102" t="str">
        <f ca="1">IFERROR(__xludf.DUMMYFUNCTION("IMPORTRANGE(H8332,""IDENTITAS UNIT!D9"")"),"#N/A")</f>
        <v>#N/A</v>
      </c>
      <c r="H8332" s="4" t="str">
        <v/>
      </c>
      <c r="I8332" s="4" t="str">
        <v/>
      </c>
    </row>
    <row r="8333" spans="5:9" ht="16.5" hidden="1">
      <c r="E8333" s="4" t="str">
        <v/>
      </c>
      <c r="F8333" s="102" t="str">
        <f ca="1">IFERROR(__xludf.DUMMYFUNCTION("IMPORTRANGE(H8333,""IDENTITAS UNIT!D9"")"),"#N/A")</f>
        <v>#N/A</v>
      </c>
      <c r="H8333" s="4" t="str">
        <v/>
      </c>
      <c r="I8333" s="4" t="str">
        <v/>
      </c>
    </row>
    <row r="8334" spans="5:9" ht="16.5" hidden="1">
      <c r="E8334" s="4" t="str">
        <v/>
      </c>
      <c r="F8334" s="102" t="str">
        <f ca="1">IFERROR(__xludf.DUMMYFUNCTION("IMPORTRANGE(H8334,""IDENTITAS UNIT!D9"")"),"#N/A")</f>
        <v>#N/A</v>
      </c>
      <c r="H8334" s="4" t="str">
        <v/>
      </c>
      <c r="I8334" s="4" t="str">
        <v/>
      </c>
    </row>
    <row r="8335" spans="5:9" ht="16.5" hidden="1">
      <c r="E8335" s="4" t="str">
        <v/>
      </c>
      <c r="F8335" s="102" t="str">
        <f ca="1">IFERROR(__xludf.DUMMYFUNCTION("IMPORTRANGE(H8335,""IDENTITAS UNIT!D9"")"),"#N/A")</f>
        <v>#N/A</v>
      </c>
      <c r="H8335" s="4" t="str">
        <v/>
      </c>
      <c r="I8335" s="4" t="str">
        <v/>
      </c>
    </row>
    <row r="8336" spans="5:9" ht="16.5" hidden="1">
      <c r="E8336" s="4" t="str">
        <v/>
      </c>
      <c r="F8336" s="102" t="str">
        <f ca="1">IFERROR(__xludf.DUMMYFUNCTION("IMPORTRANGE(H8336,""IDENTITAS UNIT!D9"")"),"#N/A")</f>
        <v>#N/A</v>
      </c>
      <c r="H8336" s="4" t="str">
        <v/>
      </c>
      <c r="I8336" s="4" t="str">
        <v/>
      </c>
    </row>
    <row r="8337" spans="5:9" ht="16.5" hidden="1">
      <c r="E8337" s="4" t="str">
        <v/>
      </c>
      <c r="F8337" s="102" t="str">
        <f ca="1">IFERROR(__xludf.DUMMYFUNCTION("IMPORTRANGE(H8337,""IDENTITAS UNIT!D9"")"),"#N/A")</f>
        <v>#N/A</v>
      </c>
      <c r="H8337" s="4" t="str">
        <v/>
      </c>
      <c r="I8337" s="4" t="str">
        <v/>
      </c>
    </row>
    <row r="8338" spans="5:9" ht="16.5" hidden="1">
      <c r="E8338" s="4" t="str">
        <v/>
      </c>
      <c r="F8338" s="102" t="str">
        <f ca="1">IFERROR(__xludf.DUMMYFUNCTION("IMPORTRANGE(H8338,""IDENTITAS UNIT!D9"")"),"#N/A")</f>
        <v>#N/A</v>
      </c>
      <c r="H8338" s="4" t="str">
        <v/>
      </c>
      <c r="I8338" s="4" t="str">
        <v/>
      </c>
    </row>
    <row r="8339" spans="5:9" ht="16.5" hidden="1">
      <c r="E8339" s="4" t="str">
        <v/>
      </c>
      <c r="F8339" s="102" t="str">
        <f ca="1">IFERROR(__xludf.DUMMYFUNCTION("IMPORTRANGE(H8339,""IDENTITAS UNIT!D9"")"),"#N/A")</f>
        <v>#N/A</v>
      </c>
      <c r="H8339" s="4" t="str">
        <v/>
      </c>
      <c r="I8339" s="4" t="str">
        <v/>
      </c>
    </row>
    <row r="8340" spans="5:9" ht="16.5" hidden="1">
      <c r="E8340" s="4" t="str">
        <v/>
      </c>
      <c r="F8340" s="102" t="str">
        <f ca="1">IFERROR(__xludf.DUMMYFUNCTION("IMPORTRANGE(H8340,""IDENTITAS UNIT!D9"")"),"#N/A")</f>
        <v>#N/A</v>
      </c>
      <c r="H8340" s="4" t="str">
        <v/>
      </c>
      <c r="I8340" s="4" t="str">
        <v/>
      </c>
    </row>
    <row r="8341" spans="5:9" ht="16.5" hidden="1">
      <c r="E8341" s="4" t="str">
        <v/>
      </c>
      <c r="F8341" s="102" t="str">
        <f ca="1">IFERROR(__xludf.DUMMYFUNCTION("IMPORTRANGE(H8341,""IDENTITAS UNIT!D9"")"),"#N/A")</f>
        <v>#N/A</v>
      </c>
      <c r="H8341" s="4" t="str">
        <v/>
      </c>
      <c r="I8341" s="4" t="str">
        <v/>
      </c>
    </row>
    <row r="8342" spans="5:9" ht="16.5" hidden="1">
      <c r="E8342" s="4" t="str">
        <v/>
      </c>
      <c r="F8342" s="102" t="str">
        <f ca="1">IFERROR(__xludf.DUMMYFUNCTION("IMPORTRANGE(H8342,""IDENTITAS UNIT!D9"")"),"#N/A")</f>
        <v>#N/A</v>
      </c>
      <c r="H8342" s="4" t="str">
        <v/>
      </c>
      <c r="I8342" s="4" t="str">
        <v/>
      </c>
    </row>
    <row r="8343" spans="5:9" ht="16.5" hidden="1">
      <c r="E8343" s="4" t="str">
        <v/>
      </c>
      <c r="F8343" s="102" t="str">
        <f ca="1">IFERROR(__xludf.DUMMYFUNCTION("IMPORTRANGE(H8343,""IDENTITAS UNIT!D9"")"),"#N/A")</f>
        <v>#N/A</v>
      </c>
      <c r="H8343" s="4" t="str">
        <v/>
      </c>
      <c r="I8343" s="4" t="str">
        <v/>
      </c>
    </row>
    <row r="8344" spans="5:9" ht="16.5" hidden="1">
      <c r="E8344" s="4" t="str">
        <v/>
      </c>
      <c r="F8344" s="102" t="str">
        <f ca="1">IFERROR(__xludf.DUMMYFUNCTION("IMPORTRANGE(H8344,""IDENTITAS UNIT!D9"")"),"#N/A")</f>
        <v>#N/A</v>
      </c>
      <c r="H8344" s="4" t="str">
        <v/>
      </c>
      <c r="I8344" s="4" t="str">
        <v/>
      </c>
    </row>
    <row r="8345" spans="5:9" ht="16.5" hidden="1">
      <c r="E8345" s="4" t="str">
        <v/>
      </c>
      <c r="F8345" s="102" t="str">
        <f ca="1">IFERROR(__xludf.DUMMYFUNCTION("IMPORTRANGE(H8345,""IDENTITAS UNIT!D9"")"),"#N/A")</f>
        <v>#N/A</v>
      </c>
      <c r="H8345" s="4" t="str">
        <v/>
      </c>
      <c r="I8345" s="4" t="str">
        <v/>
      </c>
    </row>
    <row r="8346" spans="5:9" ht="16.5" hidden="1">
      <c r="E8346" s="4" t="str">
        <v/>
      </c>
      <c r="F8346" s="102" t="str">
        <f ca="1">IFERROR(__xludf.DUMMYFUNCTION("IMPORTRANGE(H8346,""IDENTITAS UNIT!D9"")"),"#N/A")</f>
        <v>#N/A</v>
      </c>
      <c r="H8346" s="4" t="str">
        <v/>
      </c>
      <c r="I8346" s="4" t="str">
        <v/>
      </c>
    </row>
    <row r="8347" spans="5:9" ht="16.5" hidden="1">
      <c r="E8347" s="4" t="str">
        <v/>
      </c>
      <c r="F8347" s="102" t="str">
        <f ca="1">IFERROR(__xludf.DUMMYFUNCTION("IMPORTRANGE(H8347,""IDENTITAS UNIT!D9"")"),"#N/A")</f>
        <v>#N/A</v>
      </c>
      <c r="H8347" s="4" t="str">
        <v/>
      </c>
      <c r="I8347" s="4" t="str">
        <v/>
      </c>
    </row>
    <row r="8348" spans="5:9" ht="16.5" hidden="1">
      <c r="E8348" s="4" t="str">
        <v/>
      </c>
      <c r="F8348" s="102" t="str">
        <f ca="1">IFERROR(__xludf.DUMMYFUNCTION("IMPORTRANGE(H8348,""IDENTITAS UNIT!D9"")"),"#N/A")</f>
        <v>#N/A</v>
      </c>
      <c r="H8348" s="4" t="str">
        <v/>
      </c>
      <c r="I8348" s="4" t="str">
        <v/>
      </c>
    </row>
    <row r="8349" spans="5:9" ht="16.5" hidden="1">
      <c r="E8349" s="4" t="str">
        <v/>
      </c>
      <c r="F8349" s="102" t="str">
        <f ca="1">IFERROR(__xludf.DUMMYFUNCTION("IMPORTRANGE(H8349,""IDENTITAS UNIT!D9"")"),"#N/A")</f>
        <v>#N/A</v>
      </c>
      <c r="H8349" s="4" t="str">
        <v/>
      </c>
      <c r="I8349" s="4" t="str">
        <v/>
      </c>
    </row>
    <row r="8350" spans="5:9" ht="16.5" hidden="1">
      <c r="E8350" s="4" t="str">
        <v/>
      </c>
      <c r="F8350" s="102" t="str">
        <f ca="1">IFERROR(__xludf.DUMMYFUNCTION("IMPORTRANGE(H8350,""IDENTITAS UNIT!D9"")"),"#N/A")</f>
        <v>#N/A</v>
      </c>
      <c r="H8350" s="4" t="str">
        <v/>
      </c>
      <c r="I8350" s="4" t="str">
        <v/>
      </c>
    </row>
    <row r="8351" spans="5:9" ht="16.5" hidden="1">
      <c r="E8351" s="4" t="str">
        <v/>
      </c>
      <c r="F8351" s="102" t="str">
        <f ca="1">IFERROR(__xludf.DUMMYFUNCTION("IMPORTRANGE(H8351,""IDENTITAS UNIT!D9"")"),"#N/A")</f>
        <v>#N/A</v>
      </c>
      <c r="H8351" s="4" t="str">
        <v/>
      </c>
      <c r="I8351" s="4" t="str">
        <v/>
      </c>
    </row>
    <row r="8352" spans="5:9" ht="16.5" hidden="1">
      <c r="E8352" s="4" t="str">
        <v/>
      </c>
      <c r="F8352" s="102" t="str">
        <f ca="1">IFERROR(__xludf.DUMMYFUNCTION("IMPORTRANGE(H8352,""IDENTITAS UNIT!D9"")"),"#N/A")</f>
        <v>#N/A</v>
      </c>
      <c r="H8352" s="4" t="str">
        <v/>
      </c>
      <c r="I8352" s="4" t="str">
        <v/>
      </c>
    </row>
    <row r="8353" spans="5:9" ht="16.5" hidden="1">
      <c r="E8353" s="4" t="str">
        <v/>
      </c>
      <c r="F8353" s="102" t="str">
        <f ca="1">IFERROR(__xludf.DUMMYFUNCTION("IMPORTRANGE(H8353,""IDENTITAS UNIT!D9"")"),"#N/A")</f>
        <v>#N/A</v>
      </c>
      <c r="H8353" s="4" t="str">
        <v/>
      </c>
      <c r="I8353" s="4" t="str">
        <v/>
      </c>
    </row>
    <row r="8354" spans="5:9" ht="16.5" hidden="1">
      <c r="E8354" s="4" t="str">
        <v/>
      </c>
      <c r="F8354" s="102" t="str">
        <f ca="1">IFERROR(__xludf.DUMMYFUNCTION("IMPORTRANGE(H8354,""IDENTITAS UNIT!D9"")"),"#N/A")</f>
        <v>#N/A</v>
      </c>
      <c r="H8354" s="4" t="str">
        <v/>
      </c>
      <c r="I8354" s="4" t="str">
        <v/>
      </c>
    </row>
    <row r="8355" spans="5:9" ht="16.5" hidden="1">
      <c r="E8355" s="4" t="str">
        <v/>
      </c>
      <c r="F8355" s="102" t="str">
        <f ca="1">IFERROR(__xludf.DUMMYFUNCTION("IMPORTRANGE(H8355,""IDENTITAS UNIT!D9"")"),"#N/A")</f>
        <v>#N/A</v>
      </c>
      <c r="H8355" s="4" t="str">
        <v/>
      </c>
      <c r="I8355" s="4" t="str">
        <v/>
      </c>
    </row>
    <row r="8356" spans="5:9" ht="16.5" hidden="1">
      <c r="E8356" s="4" t="str">
        <v/>
      </c>
      <c r="F8356" s="102" t="str">
        <f ca="1">IFERROR(__xludf.DUMMYFUNCTION("IMPORTRANGE(H8356,""IDENTITAS UNIT!D9"")"),"#N/A")</f>
        <v>#N/A</v>
      </c>
      <c r="H8356" s="4" t="str">
        <v/>
      </c>
      <c r="I8356" s="4" t="str">
        <v/>
      </c>
    </row>
    <row r="8357" spans="5:9" ht="16.5" hidden="1">
      <c r="E8357" s="4" t="str">
        <v/>
      </c>
      <c r="F8357" s="102" t="str">
        <f ca="1">IFERROR(__xludf.DUMMYFUNCTION("IMPORTRANGE(H8357,""IDENTITAS UNIT!D9"")"),"#N/A")</f>
        <v>#N/A</v>
      </c>
      <c r="H8357" s="4" t="str">
        <v/>
      </c>
      <c r="I8357" s="4" t="str">
        <v/>
      </c>
    </row>
    <row r="8358" spans="5:9" ht="16.5" hidden="1">
      <c r="E8358" s="4" t="str">
        <v/>
      </c>
      <c r="F8358" s="102" t="str">
        <f ca="1">IFERROR(__xludf.DUMMYFUNCTION("IMPORTRANGE(H8358,""IDENTITAS UNIT!D9"")"),"#N/A")</f>
        <v>#N/A</v>
      </c>
      <c r="H8358" s="4" t="str">
        <v/>
      </c>
      <c r="I8358" s="4" t="str">
        <v/>
      </c>
    </row>
    <row r="8359" spans="5:9" ht="16.5" hidden="1">
      <c r="E8359" s="4" t="str">
        <v/>
      </c>
      <c r="F8359" s="102" t="str">
        <f ca="1">IFERROR(__xludf.DUMMYFUNCTION("IMPORTRANGE(H8359,""IDENTITAS UNIT!D9"")"),"#N/A")</f>
        <v>#N/A</v>
      </c>
      <c r="H8359" s="4" t="str">
        <v/>
      </c>
      <c r="I8359" s="4" t="str">
        <v/>
      </c>
    </row>
    <row r="8360" spans="5:9" ht="16.5" hidden="1">
      <c r="E8360" s="4" t="str">
        <v/>
      </c>
      <c r="F8360" s="102" t="str">
        <f ca="1">IFERROR(__xludf.DUMMYFUNCTION("IMPORTRANGE(H8360,""IDENTITAS UNIT!D9"")"),"#N/A")</f>
        <v>#N/A</v>
      </c>
      <c r="H8360" s="4" t="str">
        <v/>
      </c>
      <c r="I8360" s="4" t="str">
        <v/>
      </c>
    </row>
    <row r="8361" spans="5:9" ht="16.5" hidden="1">
      <c r="E8361" s="4" t="str">
        <v/>
      </c>
      <c r="F8361" s="102" t="str">
        <f ca="1">IFERROR(__xludf.DUMMYFUNCTION("IMPORTRANGE(H8361,""IDENTITAS UNIT!D9"")"),"#N/A")</f>
        <v>#N/A</v>
      </c>
      <c r="H8361" s="4" t="str">
        <v/>
      </c>
      <c r="I8361" s="4" t="str">
        <v/>
      </c>
    </row>
    <row r="8362" spans="5:9" ht="16.5" hidden="1">
      <c r="E8362" s="4" t="str">
        <v/>
      </c>
      <c r="F8362" s="102" t="str">
        <f ca="1">IFERROR(__xludf.DUMMYFUNCTION("IMPORTRANGE(H8362,""IDENTITAS UNIT!D9"")"),"#N/A")</f>
        <v>#N/A</v>
      </c>
      <c r="H8362" s="4" t="str">
        <v/>
      </c>
      <c r="I8362" s="4" t="str">
        <v/>
      </c>
    </row>
    <row r="8363" spans="5:9" ht="16.5" hidden="1">
      <c r="E8363" s="4" t="str">
        <v/>
      </c>
      <c r="F8363" s="102" t="str">
        <f ca="1">IFERROR(__xludf.DUMMYFUNCTION("IMPORTRANGE(H8363,""IDENTITAS UNIT!D9"")"),"#N/A")</f>
        <v>#N/A</v>
      </c>
      <c r="H8363" s="4" t="str">
        <v/>
      </c>
      <c r="I8363" s="4" t="str">
        <v/>
      </c>
    </row>
    <row r="8364" spans="5:9" ht="16.5" hidden="1">
      <c r="E8364" s="4" t="str">
        <v/>
      </c>
      <c r="F8364" s="102" t="str">
        <f ca="1">IFERROR(__xludf.DUMMYFUNCTION("IMPORTRANGE(H8364,""IDENTITAS UNIT!D9"")"),"#N/A")</f>
        <v>#N/A</v>
      </c>
      <c r="H8364" s="4" t="str">
        <v/>
      </c>
      <c r="I8364" s="4" t="str">
        <v/>
      </c>
    </row>
    <row r="8365" spans="5:9" ht="16.5" hidden="1">
      <c r="E8365" s="4" t="str">
        <v/>
      </c>
      <c r="F8365" s="102" t="str">
        <f ca="1">IFERROR(__xludf.DUMMYFUNCTION("IMPORTRANGE(H8365,""IDENTITAS UNIT!D9"")"),"#N/A")</f>
        <v>#N/A</v>
      </c>
      <c r="H8365" s="4" t="str">
        <v/>
      </c>
      <c r="I8365" s="4" t="str">
        <v/>
      </c>
    </row>
    <row r="8366" spans="5:9" ht="16.5" hidden="1">
      <c r="E8366" s="4" t="str">
        <v/>
      </c>
      <c r="F8366" s="102" t="str">
        <f ca="1">IFERROR(__xludf.DUMMYFUNCTION("IMPORTRANGE(H8366,""IDENTITAS UNIT!D9"")"),"#N/A")</f>
        <v>#N/A</v>
      </c>
      <c r="H8366" s="4" t="str">
        <v/>
      </c>
      <c r="I8366" s="4" t="str">
        <v/>
      </c>
    </row>
    <row r="8367" spans="5:9" ht="16.5" hidden="1">
      <c r="E8367" s="4" t="str">
        <v/>
      </c>
      <c r="F8367" s="102" t="str">
        <f ca="1">IFERROR(__xludf.DUMMYFUNCTION("IMPORTRANGE(H8367,""IDENTITAS UNIT!D9"")"),"#N/A")</f>
        <v>#N/A</v>
      </c>
      <c r="H8367" s="4" t="str">
        <v/>
      </c>
      <c r="I8367" s="4" t="str">
        <v/>
      </c>
    </row>
    <row r="8368" spans="5:9" ht="16.5" hidden="1">
      <c r="E8368" s="4" t="str">
        <v/>
      </c>
      <c r="F8368" s="102" t="str">
        <f ca="1">IFERROR(__xludf.DUMMYFUNCTION("IMPORTRANGE(H8368,""IDENTITAS UNIT!D9"")"),"#N/A")</f>
        <v>#N/A</v>
      </c>
      <c r="H8368" s="4" t="str">
        <v/>
      </c>
      <c r="I8368" s="4" t="str">
        <v/>
      </c>
    </row>
    <row r="8369" spans="5:9" ht="16.5" hidden="1">
      <c r="E8369" s="4" t="str">
        <v/>
      </c>
      <c r="F8369" s="102" t="str">
        <f ca="1">IFERROR(__xludf.DUMMYFUNCTION("IMPORTRANGE(H8369,""IDENTITAS UNIT!D9"")"),"#N/A")</f>
        <v>#N/A</v>
      </c>
      <c r="H8369" s="4" t="str">
        <v/>
      </c>
      <c r="I8369" s="4" t="str">
        <v/>
      </c>
    </row>
    <row r="8370" spans="5:9" ht="16.5" hidden="1">
      <c r="E8370" s="4" t="str">
        <v/>
      </c>
      <c r="F8370" s="102" t="str">
        <f ca="1">IFERROR(__xludf.DUMMYFUNCTION("IMPORTRANGE(H8370,""IDENTITAS UNIT!D9"")"),"#N/A")</f>
        <v>#N/A</v>
      </c>
      <c r="H8370" s="4" t="str">
        <v/>
      </c>
      <c r="I8370" s="4" t="str">
        <v/>
      </c>
    </row>
    <row r="8371" spans="5:9" ht="16.5" hidden="1">
      <c r="E8371" s="4" t="str">
        <v/>
      </c>
      <c r="F8371" s="102" t="str">
        <f ca="1">IFERROR(__xludf.DUMMYFUNCTION("IMPORTRANGE(H8371,""IDENTITAS UNIT!D9"")"),"#N/A")</f>
        <v>#N/A</v>
      </c>
      <c r="H8371" s="4" t="str">
        <v/>
      </c>
      <c r="I8371" s="4" t="str">
        <v/>
      </c>
    </row>
    <row r="8372" spans="5:9" ht="16.5" hidden="1">
      <c r="E8372" s="4" t="str">
        <v/>
      </c>
      <c r="F8372" s="102" t="str">
        <f ca="1">IFERROR(__xludf.DUMMYFUNCTION("IMPORTRANGE(H8372,""IDENTITAS UNIT!D9"")"),"#N/A")</f>
        <v>#N/A</v>
      </c>
      <c r="H8372" s="4" t="str">
        <v/>
      </c>
      <c r="I8372" s="4" t="str">
        <v/>
      </c>
    </row>
    <row r="8373" spans="5:9" ht="16.5" hidden="1">
      <c r="E8373" s="4" t="str">
        <v/>
      </c>
      <c r="F8373" s="102" t="str">
        <f ca="1">IFERROR(__xludf.DUMMYFUNCTION("IMPORTRANGE(H8373,""IDENTITAS UNIT!D9"")"),"#N/A")</f>
        <v>#N/A</v>
      </c>
      <c r="H8373" s="4" t="str">
        <v/>
      </c>
      <c r="I8373" s="4" t="str">
        <v/>
      </c>
    </row>
    <row r="8374" spans="5:9" ht="16.5" hidden="1">
      <c r="E8374" s="4" t="str">
        <v/>
      </c>
      <c r="F8374" s="102" t="str">
        <f ca="1">IFERROR(__xludf.DUMMYFUNCTION("IMPORTRANGE(H8374,""IDENTITAS UNIT!D9"")"),"#N/A")</f>
        <v>#N/A</v>
      </c>
      <c r="H8374" s="4" t="str">
        <v/>
      </c>
      <c r="I8374" s="4" t="str">
        <v/>
      </c>
    </row>
    <row r="8375" spans="5:9" ht="16.5" hidden="1">
      <c r="E8375" s="4" t="str">
        <v/>
      </c>
      <c r="F8375" s="102" t="str">
        <f ca="1">IFERROR(__xludf.DUMMYFUNCTION("IMPORTRANGE(H8375,""IDENTITAS UNIT!D9"")"),"#N/A")</f>
        <v>#N/A</v>
      </c>
      <c r="H8375" s="4" t="str">
        <v/>
      </c>
      <c r="I8375" s="4" t="str">
        <v/>
      </c>
    </row>
    <row r="8376" spans="5:9" ht="16.5" hidden="1">
      <c r="E8376" s="4" t="str">
        <v/>
      </c>
      <c r="F8376" s="102" t="str">
        <f ca="1">IFERROR(__xludf.DUMMYFUNCTION("IMPORTRANGE(H8376,""IDENTITAS UNIT!D9"")"),"#N/A")</f>
        <v>#N/A</v>
      </c>
      <c r="H8376" s="4" t="str">
        <v/>
      </c>
      <c r="I8376" s="4" t="str">
        <v/>
      </c>
    </row>
    <row r="8377" spans="5:9" ht="16.5" hidden="1">
      <c r="E8377" s="4" t="str">
        <v/>
      </c>
      <c r="F8377" s="102" t="str">
        <f ca="1">IFERROR(__xludf.DUMMYFUNCTION("IMPORTRANGE(H8377,""IDENTITAS UNIT!D9"")"),"#N/A")</f>
        <v>#N/A</v>
      </c>
      <c r="H8377" s="4" t="str">
        <v/>
      </c>
      <c r="I8377" s="4" t="str">
        <v/>
      </c>
    </row>
    <row r="8378" spans="5:9" ht="16.5" hidden="1">
      <c r="E8378" s="4" t="str">
        <v/>
      </c>
      <c r="F8378" s="102" t="str">
        <f ca="1">IFERROR(__xludf.DUMMYFUNCTION("IMPORTRANGE(H8378,""IDENTITAS UNIT!D9"")"),"#N/A")</f>
        <v>#N/A</v>
      </c>
      <c r="H8378" s="4" t="str">
        <v/>
      </c>
      <c r="I8378" s="4" t="str">
        <v/>
      </c>
    </row>
    <row r="8379" spans="5:9" ht="16.5" hidden="1">
      <c r="E8379" s="4" t="str">
        <v/>
      </c>
      <c r="F8379" s="102" t="str">
        <f ca="1">IFERROR(__xludf.DUMMYFUNCTION("IMPORTRANGE(H8379,""IDENTITAS UNIT!D9"")"),"#N/A")</f>
        <v>#N/A</v>
      </c>
      <c r="H8379" s="4" t="str">
        <v/>
      </c>
      <c r="I8379" s="4" t="str">
        <v/>
      </c>
    </row>
    <row r="8380" spans="5:9" ht="16.5" hidden="1">
      <c r="E8380" s="4" t="str">
        <v/>
      </c>
      <c r="F8380" s="102" t="str">
        <f ca="1">IFERROR(__xludf.DUMMYFUNCTION("IMPORTRANGE(H8380,""IDENTITAS UNIT!D9"")"),"#N/A")</f>
        <v>#N/A</v>
      </c>
      <c r="H8380" s="4" t="str">
        <v/>
      </c>
      <c r="I8380" s="4" t="str">
        <v/>
      </c>
    </row>
    <row r="8381" spans="5:9" ht="16.5" hidden="1">
      <c r="E8381" s="4" t="str">
        <v/>
      </c>
      <c r="F8381" s="102" t="str">
        <f ca="1">IFERROR(__xludf.DUMMYFUNCTION("IMPORTRANGE(H8381,""IDENTITAS UNIT!D9"")"),"#N/A")</f>
        <v>#N/A</v>
      </c>
      <c r="H8381" s="4" t="str">
        <v/>
      </c>
      <c r="I8381" s="4" t="str">
        <v/>
      </c>
    </row>
    <row r="8382" spans="5:9" ht="16.5" hidden="1">
      <c r="E8382" s="4" t="str">
        <v/>
      </c>
      <c r="F8382" s="102" t="str">
        <f ca="1">IFERROR(__xludf.DUMMYFUNCTION("IMPORTRANGE(H8382,""IDENTITAS UNIT!D9"")"),"#N/A")</f>
        <v>#N/A</v>
      </c>
      <c r="H8382" s="4" t="str">
        <v/>
      </c>
      <c r="I8382" s="4" t="str">
        <v/>
      </c>
    </row>
    <row r="8383" spans="5:9" ht="16.5" hidden="1">
      <c r="E8383" s="4" t="str">
        <v/>
      </c>
      <c r="F8383" s="102" t="str">
        <f ca="1">IFERROR(__xludf.DUMMYFUNCTION("IMPORTRANGE(H8383,""IDENTITAS UNIT!D9"")"),"#N/A")</f>
        <v>#N/A</v>
      </c>
      <c r="H8383" s="4" t="str">
        <v/>
      </c>
      <c r="I8383" s="4" t="str">
        <v/>
      </c>
    </row>
    <row r="8384" spans="5:9" ht="16.5" hidden="1">
      <c r="E8384" s="4" t="str">
        <v/>
      </c>
      <c r="F8384" s="102" t="str">
        <f ca="1">IFERROR(__xludf.DUMMYFUNCTION("IMPORTRANGE(H8384,""IDENTITAS UNIT!D9"")"),"#N/A")</f>
        <v>#N/A</v>
      </c>
      <c r="H8384" s="4" t="str">
        <v/>
      </c>
      <c r="I8384" s="4" t="str">
        <v/>
      </c>
    </row>
    <row r="8385" spans="5:9" ht="16.5" hidden="1">
      <c r="E8385" s="4" t="str">
        <v/>
      </c>
      <c r="F8385" s="102" t="str">
        <f ca="1">IFERROR(__xludf.DUMMYFUNCTION("IMPORTRANGE(H8385,""IDENTITAS UNIT!D9"")"),"#N/A")</f>
        <v>#N/A</v>
      </c>
      <c r="H8385" s="4" t="str">
        <v/>
      </c>
      <c r="I8385" s="4" t="str">
        <v/>
      </c>
    </row>
    <row r="8386" spans="5:9" ht="16.5" hidden="1">
      <c r="E8386" s="4" t="str">
        <v/>
      </c>
      <c r="F8386" s="102" t="str">
        <f ca="1">IFERROR(__xludf.DUMMYFUNCTION("IMPORTRANGE(H8386,""IDENTITAS UNIT!D9"")"),"#N/A")</f>
        <v>#N/A</v>
      </c>
      <c r="H8386" s="4" t="str">
        <v/>
      </c>
      <c r="I8386" s="4" t="str">
        <v/>
      </c>
    </row>
    <row r="8387" spans="5:9" ht="16.5" hidden="1">
      <c r="E8387" s="4" t="str">
        <v/>
      </c>
      <c r="F8387" s="102" t="str">
        <f ca="1">IFERROR(__xludf.DUMMYFUNCTION("IMPORTRANGE(H8387,""IDENTITAS UNIT!D9"")"),"#N/A")</f>
        <v>#N/A</v>
      </c>
      <c r="H8387" s="4" t="str">
        <v/>
      </c>
      <c r="I8387" s="4" t="str">
        <v/>
      </c>
    </row>
    <row r="8388" spans="5:9" ht="16.5" hidden="1">
      <c r="E8388" s="4" t="str">
        <v/>
      </c>
      <c r="F8388" s="102" t="str">
        <f ca="1">IFERROR(__xludf.DUMMYFUNCTION("IMPORTRANGE(H8388,""IDENTITAS UNIT!D9"")"),"#N/A")</f>
        <v>#N/A</v>
      </c>
      <c r="H8388" s="4" t="str">
        <v/>
      </c>
      <c r="I8388" s="4" t="str">
        <v/>
      </c>
    </row>
    <row r="8389" spans="5:9" ht="16.5" hidden="1">
      <c r="E8389" s="4" t="str">
        <v/>
      </c>
      <c r="F8389" s="102" t="str">
        <f ca="1">IFERROR(__xludf.DUMMYFUNCTION("IMPORTRANGE(H8389,""IDENTITAS UNIT!D9"")"),"#N/A")</f>
        <v>#N/A</v>
      </c>
      <c r="H8389" s="4" t="str">
        <v/>
      </c>
      <c r="I8389" s="4" t="str">
        <v/>
      </c>
    </row>
    <row r="8390" spans="5:9" ht="16.5" hidden="1">
      <c r="E8390" s="4" t="str">
        <v/>
      </c>
      <c r="F8390" s="102" t="str">
        <f ca="1">IFERROR(__xludf.DUMMYFUNCTION("IMPORTRANGE(H8390,""IDENTITAS UNIT!D9"")"),"#N/A")</f>
        <v>#N/A</v>
      </c>
      <c r="H8390" s="4" t="str">
        <v/>
      </c>
      <c r="I8390" s="4" t="str">
        <v/>
      </c>
    </row>
    <row r="8391" spans="5:9" ht="16.5" hidden="1">
      <c r="E8391" s="4" t="str">
        <v/>
      </c>
      <c r="F8391" s="102" t="str">
        <f ca="1">IFERROR(__xludf.DUMMYFUNCTION("IMPORTRANGE(H8391,""IDENTITAS UNIT!D9"")"),"#N/A")</f>
        <v>#N/A</v>
      </c>
      <c r="H8391" s="4" t="str">
        <v/>
      </c>
      <c r="I8391" s="4" t="str">
        <v/>
      </c>
    </row>
    <row r="8392" spans="5:9" ht="16.5" hidden="1">
      <c r="E8392" s="4" t="str">
        <v/>
      </c>
      <c r="F8392" s="102" t="str">
        <f ca="1">IFERROR(__xludf.DUMMYFUNCTION("IMPORTRANGE(H8392,""IDENTITAS UNIT!D9"")"),"#N/A")</f>
        <v>#N/A</v>
      </c>
      <c r="H8392" s="4" t="str">
        <v/>
      </c>
      <c r="I8392" s="4" t="str">
        <v/>
      </c>
    </row>
    <row r="8393" spans="5:9" ht="16.5" hidden="1">
      <c r="E8393" s="4" t="str">
        <v/>
      </c>
      <c r="F8393" s="102" t="str">
        <f ca="1">IFERROR(__xludf.DUMMYFUNCTION("IMPORTRANGE(H8393,""IDENTITAS UNIT!D9"")"),"#N/A")</f>
        <v>#N/A</v>
      </c>
      <c r="H8393" s="4" t="str">
        <v/>
      </c>
      <c r="I8393" s="4" t="str">
        <v/>
      </c>
    </row>
    <row r="8394" spans="5:9" ht="16.5" hidden="1">
      <c r="E8394" s="4" t="str">
        <v/>
      </c>
      <c r="F8394" s="102" t="str">
        <f ca="1">IFERROR(__xludf.DUMMYFUNCTION("IMPORTRANGE(H8394,""IDENTITAS UNIT!D9"")"),"#N/A")</f>
        <v>#N/A</v>
      </c>
      <c r="H8394" s="4" t="str">
        <v/>
      </c>
      <c r="I8394" s="4" t="str">
        <v/>
      </c>
    </row>
    <row r="8395" spans="5:9" ht="16.5" hidden="1">
      <c r="E8395" s="4" t="str">
        <v/>
      </c>
      <c r="F8395" s="102" t="str">
        <f ca="1">IFERROR(__xludf.DUMMYFUNCTION("IMPORTRANGE(H8395,""IDENTITAS UNIT!D9"")"),"#N/A")</f>
        <v>#N/A</v>
      </c>
      <c r="H8395" s="4" t="str">
        <v/>
      </c>
      <c r="I8395" s="4" t="str">
        <v/>
      </c>
    </row>
    <row r="8396" spans="5:9" ht="16.5" hidden="1">
      <c r="E8396" s="4" t="str">
        <v/>
      </c>
      <c r="F8396" s="102" t="str">
        <f ca="1">IFERROR(__xludf.DUMMYFUNCTION("IMPORTRANGE(H8396,""IDENTITAS UNIT!D9"")"),"#N/A")</f>
        <v>#N/A</v>
      </c>
      <c r="H8396" s="4" t="str">
        <v/>
      </c>
      <c r="I8396" s="4" t="str">
        <v/>
      </c>
    </row>
    <row r="8397" spans="5:9" ht="16.5" hidden="1">
      <c r="E8397" s="4" t="str">
        <v/>
      </c>
      <c r="F8397" s="102" t="str">
        <f ca="1">IFERROR(__xludf.DUMMYFUNCTION("IMPORTRANGE(H8397,""IDENTITAS UNIT!D9"")"),"#N/A")</f>
        <v>#N/A</v>
      </c>
      <c r="H8397" s="4" t="str">
        <v/>
      </c>
      <c r="I8397" s="4" t="str">
        <v/>
      </c>
    </row>
    <row r="8398" spans="5:9" ht="16.5" hidden="1">
      <c r="E8398" s="4" t="str">
        <v/>
      </c>
      <c r="F8398" s="102" t="str">
        <f ca="1">IFERROR(__xludf.DUMMYFUNCTION("IMPORTRANGE(H8398,""IDENTITAS UNIT!D9"")"),"#N/A")</f>
        <v>#N/A</v>
      </c>
      <c r="H8398" s="4" t="str">
        <v/>
      </c>
      <c r="I8398" s="4" t="str">
        <v/>
      </c>
    </row>
    <row r="8399" spans="5:9" ht="16.5" hidden="1">
      <c r="E8399" s="4" t="str">
        <v/>
      </c>
      <c r="F8399" s="102" t="str">
        <f ca="1">IFERROR(__xludf.DUMMYFUNCTION("IMPORTRANGE(H8399,""IDENTITAS UNIT!D9"")"),"#N/A")</f>
        <v>#N/A</v>
      </c>
      <c r="H8399" s="4" t="str">
        <v/>
      </c>
      <c r="I8399" s="4" t="str">
        <v/>
      </c>
    </row>
    <row r="8400" spans="5:9" ht="16.5" hidden="1">
      <c r="E8400" s="4" t="str">
        <v/>
      </c>
      <c r="F8400" s="102" t="str">
        <f ca="1">IFERROR(__xludf.DUMMYFUNCTION("IMPORTRANGE(H8400,""IDENTITAS UNIT!D9"")"),"#N/A")</f>
        <v>#N/A</v>
      </c>
      <c r="H8400" s="4" t="str">
        <v/>
      </c>
      <c r="I8400" s="4" t="str">
        <v/>
      </c>
    </row>
    <row r="8401" spans="5:9" ht="16.5" hidden="1">
      <c r="E8401" s="4" t="str">
        <v/>
      </c>
      <c r="F8401" s="102" t="str">
        <f ca="1">IFERROR(__xludf.DUMMYFUNCTION("IMPORTRANGE(H8401,""IDENTITAS UNIT!D9"")"),"#N/A")</f>
        <v>#N/A</v>
      </c>
      <c r="H8401" s="4" t="str">
        <v/>
      </c>
      <c r="I8401" s="4" t="str">
        <v/>
      </c>
    </row>
    <row r="8402" spans="5:9" ht="16.5" hidden="1">
      <c r="E8402" s="4" t="str">
        <v/>
      </c>
      <c r="F8402" s="102" t="str">
        <f ca="1">IFERROR(__xludf.DUMMYFUNCTION("IMPORTRANGE(H8402,""IDENTITAS UNIT!D9"")"),"#N/A")</f>
        <v>#N/A</v>
      </c>
      <c r="H8402" s="4" t="str">
        <v/>
      </c>
      <c r="I8402" s="4" t="str">
        <v/>
      </c>
    </row>
    <row r="8403" spans="5:9" ht="16.5" hidden="1">
      <c r="E8403" s="4" t="str">
        <v/>
      </c>
      <c r="F8403" s="102" t="str">
        <f ca="1">IFERROR(__xludf.DUMMYFUNCTION("IMPORTRANGE(H8403,""IDENTITAS UNIT!D9"")"),"#N/A")</f>
        <v>#N/A</v>
      </c>
      <c r="H8403" s="4" t="str">
        <v/>
      </c>
      <c r="I8403" s="4" t="str">
        <v/>
      </c>
    </row>
    <row r="8404" spans="5:9" ht="16.5" hidden="1">
      <c r="E8404" s="4" t="str">
        <v/>
      </c>
      <c r="F8404" s="102" t="str">
        <f ca="1">IFERROR(__xludf.DUMMYFUNCTION("IMPORTRANGE(H8404,""IDENTITAS UNIT!D9"")"),"#N/A")</f>
        <v>#N/A</v>
      </c>
      <c r="H8404" s="4" t="str">
        <v/>
      </c>
      <c r="I8404" s="4" t="str">
        <v/>
      </c>
    </row>
    <row r="8405" spans="5:9" ht="16.5" hidden="1">
      <c r="E8405" s="4" t="str">
        <v/>
      </c>
      <c r="F8405" s="102" t="str">
        <f ca="1">IFERROR(__xludf.DUMMYFUNCTION("IMPORTRANGE(H8405,""IDENTITAS UNIT!D9"")"),"#N/A")</f>
        <v>#N/A</v>
      </c>
      <c r="H8405" s="4" t="str">
        <v/>
      </c>
      <c r="I8405" s="4" t="str">
        <v/>
      </c>
    </row>
    <row r="8406" spans="5:9" ht="16.5" hidden="1">
      <c r="E8406" s="4" t="str">
        <v/>
      </c>
      <c r="F8406" s="102" t="str">
        <f ca="1">IFERROR(__xludf.DUMMYFUNCTION("IMPORTRANGE(H8406,""IDENTITAS UNIT!D9"")"),"#N/A")</f>
        <v>#N/A</v>
      </c>
      <c r="H8406" s="4" t="str">
        <v/>
      </c>
      <c r="I8406" s="4" t="str">
        <v/>
      </c>
    </row>
    <row r="8407" spans="5:9" ht="16.5" hidden="1">
      <c r="E8407" s="4" t="str">
        <v/>
      </c>
      <c r="F8407" s="102" t="str">
        <f ca="1">IFERROR(__xludf.DUMMYFUNCTION("IMPORTRANGE(H8407,""IDENTITAS UNIT!D9"")"),"#N/A")</f>
        <v>#N/A</v>
      </c>
      <c r="H8407" s="4" t="str">
        <v/>
      </c>
      <c r="I8407" s="4" t="str">
        <v/>
      </c>
    </row>
    <row r="8408" spans="5:9" ht="16.5" hidden="1">
      <c r="E8408" s="4" t="str">
        <v/>
      </c>
      <c r="F8408" s="102" t="str">
        <f ca="1">IFERROR(__xludf.DUMMYFUNCTION("IMPORTRANGE(H8408,""IDENTITAS UNIT!D9"")"),"#N/A")</f>
        <v>#N/A</v>
      </c>
      <c r="H8408" s="4" t="str">
        <v/>
      </c>
      <c r="I8408" s="4" t="str">
        <v/>
      </c>
    </row>
    <row r="8409" spans="5:9" ht="16.5" hidden="1">
      <c r="E8409" s="4" t="str">
        <v/>
      </c>
      <c r="F8409" s="102" t="str">
        <f ca="1">IFERROR(__xludf.DUMMYFUNCTION("IMPORTRANGE(H8409,""IDENTITAS UNIT!D9"")"),"#N/A")</f>
        <v>#N/A</v>
      </c>
      <c r="H8409" s="4" t="str">
        <v/>
      </c>
      <c r="I8409" s="4" t="str">
        <v/>
      </c>
    </row>
    <row r="8410" spans="5:9" ht="16.5" hidden="1">
      <c r="E8410" s="4" t="str">
        <v/>
      </c>
      <c r="F8410" s="102" t="str">
        <f ca="1">IFERROR(__xludf.DUMMYFUNCTION("IMPORTRANGE(H8410,""IDENTITAS UNIT!D9"")"),"#N/A")</f>
        <v>#N/A</v>
      </c>
      <c r="H8410" s="4" t="str">
        <v/>
      </c>
      <c r="I8410" s="4" t="str">
        <v/>
      </c>
    </row>
    <row r="8411" spans="5:9" ht="16.5" hidden="1">
      <c r="E8411" s="4" t="str">
        <v/>
      </c>
      <c r="F8411" s="102" t="str">
        <f ca="1">IFERROR(__xludf.DUMMYFUNCTION("IMPORTRANGE(H8411,""IDENTITAS UNIT!D9"")"),"#N/A")</f>
        <v>#N/A</v>
      </c>
      <c r="H8411" s="4" t="str">
        <v/>
      </c>
      <c r="I8411" s="4" t="str">
        <v/>
      </c>
    </row>
    <row r="8412" spans="5:9" ht="16.5" hidden="1">
      <c r="E8412" s="4" t="str">
        <v/>
      </c>
      <c r="F8412" s="102" t="str">
        <f ca="1">IFERROR(__xludf.DUMMYFUNCTION("IMPORTRANGE(H8412,""IDENTITAS UNIT!D9"")"),"#N/A")</f>
        <v>#N/A</v>
      </c>
      <c r="H8412" s="4" t="str">
        <v/>
      </c>
      <c r="I8412" s="4" t="str">
        <v/>
      </c>
    </row>
    <row r="8413" spans="5:9" ht="16.5" hidden="1">
      <c r="E8413" s="4" t="str">
        <v/>
      </c>
      <c r="F8413" s="102" t="str">
        <f ca="1">IFERROR(__xludf.DUMMYFUNCTION("IMPORTRANGE(H8413,""IDENTITAS UNIT!D9"")"),"#N/A")</f>
        <v>#N/A</v>
      </c>
      <c r="H8413" s="4" t="str">
        <v/>
      </c>
      <c r="I8413" s="4" t="str">
        <v/>
      </c>
    </row>
    <row r="8414" spans="5:9" ht="16.5" hidden="1">
      <c r="E8414" s="4" t="str">
        <v/>
      </c>
      <c r="F8414" s="102" t="str">
        <f ca="1">IFERROR(__xludf.DUMMYFUNCTION("IMPORTRANGE(H8414,""IDENTITAS UNIT!D9"")"),"#N/A")</f>
        <v>#N/A</v>
      </c>
      <c r="H8414" s="4" t="str">
        <v/>
      </c>
      <c r="I8414" s="4" t="str">
        <v/>
      </c>
    </row>
    <row r="8415" spans="5:9" ht="16.5" hidden="1">
      <c r="E8415" s="4" t="str">
        <v/>
      </c>
      <c r="F8415" s="102" t="str">
        <f ca="1">IFERROR(__xludf.DUMMYFUNCTION("IMPORTRANGE(H8415,""IDENTITAS UNIT!D9"")"),"#N/A")</f>
        <v>#N/A</v>
      </c>
      <c r="H8415" s="4" t="str">
        <v/>
      </c>
      <c r="I8415" s="4" t="str">
        <v/>
      </c>
    </row>
    <row r="8416" spans="5:9" ht="16.5" hidden="1">
      <c r="E8416" s="4" t="str">
        <v/>
      </c>
      <c r="F8416" s="102" t="str">
        <f ca="1">IFERROR(__xludf.DUMMYFUNCTION("IMPORTRANGE(H8416,""IDENTITAS UNIT!D9"")"),"#N/A")</f>
        <v>#N/A</v>
      </c>
      <c r="H8416" s="4" t="str">
        <v/>
      </c>
      <c r="I8416" s="4" t="str">
        <v/>
      </c>
    </row>
    <row r="8417" spans="5:9" ht="16.5" hidden="1">
      <c r="E8417" s="4" t="str">
        <v/>
      </c>
      <c r="F8417" s="102" t="str">
        <f ca="1">IFERROR(__xludf.DUMMYFUNCTION("IMPORTRANGE(H8417,""IDENTITAS UNIT!D9"")"),"#N/A")</f>
        <v>#N/A</v>
      </c>
      <c r="H8417" s="4" t="str">
        <v/>
      </c>
      <c r="I8417" s="4" t="str">
        <v/>
      </c>
    </row>
    <row r="8418" spans="5:9" ht="16.5" hidden="1">
      <c r="E8418" s="4" t="str">
        <v/>
      </c>
      <c r="F8418" s="102" t="str">
        <f ca="1">IFERROR(__xludf.DUMMYFUNCTION("IMPORTRANGE(H8418,""IDENTITAS UNIT!D9"")"),"#N/A")</f>
        <v>#N/A</v>
      </c>
      <c r="H8418" s="4" t="str">
        <v/>
      </c>
      <c r="I8418" s="4" t="str">
        <v/>
      </c>
    </row>
    <row r="8419" spans="5:9" ht="16.5" hidden="1">
      <c r="E8419" s="4" t="str">
        <v/>
      </c>
      <c r="F8419" s="102" t="str">
        <f ca="1">IFERROR(__xludf.DUMMYFUNCTION("IMPORTRANGE(H8419,""IDENTITAS UNIT!D9"")"),"#N/A")</f>
        <v>#N/A</v>
      </c>
      <c r="H8419" s="4" t="str">
        <v/>
      </c>
      <c r="I8419" s="4" t="str">
        <v/>
      </c>
    </row>
    <row r="8420" spans="5:9" ht="16.5" hidden="1">
      <c r="E8420" s="4" t="str">
        <v/>
      </c>
      <c r="F8420" s="102" t="str">
        <f ca="1">IFERROR(__xludf.DUMMYFUNCTION("IMPORTRANGE(H8420,""IDENTITAS UNIT!D9"")"),"#N/A")</f>
        <v>#N/A</v>
      </c>
      <c r="H8420" s="4" t="str">
        <v/>
      </c>
      <c r="I8420" s="4" t="str">
        <v/>
      </c>
    </row>
    <row r="8421" spans="5:9" ht="16.5" hidden="1">
      <c r="E8421" s="4" t="str">
        <v/>
      </c>
      <c r="F8421" s="102" t="str">
        <f ca="1">IFERROR(__xludf.DUMMYFUNCTION("IMPORTRANGE(H8421,""IDENTITAS UNIT!D9"")"),"#N/A")</f>
        <v>#N/A</v>
      </c>
      <c r="H8421" s="4" t="str">
        <v/>
      </c>
      <c r="I8421" s="4" t="str">
        <v/>
      </c>
    </row>
    <row r="8422" spans="5:9" ht="16.5" hidden="1">
      <c r="E8422" s="4" t="str">
        <v/>
      </c>
      <c r="F8422" s="102" t="str">
        <f ca="1">IFERROR(__xludf.DUMMYFUNCTION("IMPORTRANGE(H8422,""IDENTITAS UNIT!D9"")"),"#N/A")</f>
        <v>#N/A</v>
      </c>
      <c r="H8422" s="4" t="str">
        <v/>
      </c>
      <c r="I8422" s="4" t="str">
        <v/>
      </c>
    </row>
    <row r="8423" spans="5:9" ht="16.5" hidden="1">
      <c r="E8423" s="4" t="str">
        <v/>
      </c>
      <c r="F8423" s="102" t="str">
        <f ca="1">IFERROR(__xludf.DUMMYFUNCTION("IMPORTRANGE(H8423,""IDENTITAS UNIT!D9"")"),"#N/A")</f>
        <v>#N/A</v>
      </c>
      <c r="H8423" s="4" t="str">
        <v/>
      </c>
      <c r="I8423" s="4" t="str">
        <v/>
      </c>
    </row>
    <row r="8424" spans="5:9" ht="16.5" hidden="1">
      <c r="E8424" s="4" t="str">
        <v/>
      </c>
      <c r="F8424" s="102" t="str">
        <f ca="1">IFERROR(__xludf.DUMMYFUNCTION("IMPORTRANGE(H8424,""IDENTITAS UNIT!D9"")"),"#N/A")</f>
        <v>#N/A</v>
      </c>
      <c r="H8424" s="4" t="str">
        <v/>
      </c>
      <c r="I8424" s="4" t="str">
        <v/>
      </c>
    </row>
    <row r="8425" spans="5:9" ht="16.5" hidden="1">
      <c r="E8425" s="4" t="str">
        <v/>
      </c>
      <c r="F8425" s="102" t="str">
        <f ca="1">IFERROR(__xludf.DUMMYFUNCTION("IMPORTRANGE(H8425,""IDENTITAS UNIT!D9"")"),"#N/A")</f>
        <v>#N/A</v>
      </c>
      <c r="H8425" s="4" t="str">
        <v/>
      </c>
      <c r="I8425" s="4" t="str">
        <v/>
      </c>
    </row>
    <row r="8426" spans="5:9" ht="16.5" hidden="1">
      <c r="E8426" s="4" t="str">
        <v/>
      </c>
      <c r="F8426" s="102" t="str">
        <f ca="1">IFERROR(__xludf.DUMMYFUNCTION("IMPORTRANGE(H8426,""IDENTITAS UNIT!D9"")"),"#N/A")</f>
        <v>#N/A</v>
      </c>
      <c r="H8426" s="4" t="str">
        <v/>
      </c>
      <c r="I8426" s="4" t="str">
        <v/>
      </c>
    </row>
    <row r="8427" spans="5:9" ht="16.5" hidden="1">
      <c r="E8427" s="4" t="str">
        <v/>
      </c>
      <c r="F8427" s="102" t="str">
        <f ca="1">IFERROR(__xludf.DUMMYFUNCTION("IMPORTRANGE(H8427,""IDENTITAS UNIT!D9"")"),"#N/A")</f>
        <v>#N/A</v>
      </c>
      <c r="H8427" s="4" t="str">
        <v/>
      </c>
      <c r="I8427" s="4" t="str">
        <v/>
      </c>
    </row>
    <row r="8428" spans="5:9" ht="16.5" hidden="1">
      <c r="E8428" s="4" t="str">
        <v/>
      </c>
      <c r="F8428" s="102" t="str">
        <f ca="1">IFERROR(__xludf.DUMMYFUNCTION("IMPORTRANGE(H8428,""IDENTITAS UNIT!D9"")"),"#N/A")</f>
        <v>#N/A</v>
      </c>
      <c r="H8428" s="4" t="str">
        <v/>
      </c>
      <c r="I8428" s="4" t="str">
        <v/>
      </c>
    </row>
    <row r="8429" spans="5:9" ht="16.5" hidden="1">
      <c r="E8429" s="4" t="str">
        <v/>
      </c>
      <c r="F8429" s="102" t="str">
        <f ca="1">IFERROR(__xludf.DUMMYFUNCTION("IMPORTRANGE(H8429,""IDENTITAS UNIT!D9"")"),"#N/A")</f>
        <v>#N/A</v>
      </c>
      <c r="H8429" s="4" t="str">
        <v/>
      </c>
      <c r="I8429" s="4" t="str">
        <v/>
      </c>
    </row>
    <row r="8430" spans="5:9" ht="16.5" hidden="1">
      <c r="E8430" s="4" t="str">
        <v/>
      </c>
      <c r="F8430" s="102" t="str">
        <f ca="1">IFERROR(__xludf.DUMMYFUNCTION("IMPORTRANGE(H8430,""IDENTITAS UNIT!D9"")"),"#N/A")</f>
        <v>#N/A</v>
      </c>
      <c r="H8430" s="4" t="str">
        <v/>
      </c>
      <c r="I8430" s="4" t="str">
        <v/>
      </c>
    </row>
    <row r="8431" spans="5:9" ht="16.5" hidden="1">
      <c r="E8431" s="4" t="str">
        <v/>
      </c>
      <c r="F8431" s="102" t="str">
        <f ca="1">IFERROR(__xludf.DUMMYFUNCTION("IMPORTRANGE(H8431,""IDENTITAS UNIT!D9"")"),"#N/A")</f>
        <v>#N/A</v>
      </c>
      <c r="H8431" s="4" t="str">
        <v/>
      </c>
      <c r="I8431" s="4" t="str">
        <v/>
      </c>
    </row>
    <row r="8432" spans="5:9" ht="16.5" hidden="1">
      <c r="E8432" s="4" t="str">
        <v/>
      </c>
      <c r="F8432" s="102" t="str">
        <f ca="1">IFERROR(__xludf.DUMMYFUNCTION("IMPORTRANGE(H8432,""IDENTITAS UNIT!D9"")"),"#N/A")</f>
        <v>#N/A</v>
      </c>
      <c r="H8432" s="4" t="str">
        <v/>
      </c>
      <c r="I8432" s="4" t="str">
        <v/>
      </c>
    </row>
    <row r="8433" spans="5:9" ht="16.5" hidden="1">
      <c r="E8433" s="4" t="str">
        <v/>
      </c>
      <c r="F8433" s="102" t="str">
        <f ca="1">IFERROR(__xludf.DUMMYFUNCTION("IMPORTRANGE(H8433,""IDENTITAS UNIT!D9"")"),"#N/A")</f>
        <v>#N/A</v>
      </c>
      <c r="H8433" s="4" t="str">
        <v/>
      </c>
      <c r="I8433" s="4" t="str">
        <v/>
      </c>
    </row>
    <row r="8434" spans="5:9" ht="16.5" hidden="1">
      <c r="E8434" s="4" t="str">
        <v/>
      </c>
      <c r="F8434" s="102" t="str">
        <f ca="1">IFERROR(__xludf.DUMMYFUNCTION("IMPORTRANGE(H8434,""IDENTITAS UNIT!D9"")"),"#N/A")</f>
        <v>#N/A</v>
      </c>
      <c r="H8434" s="4" t="str">
        <v/>
      </c>
      <c r="I8434" s="4" t="str">
        <v/>
      </c>
    </row>
    <row r="8435" spans="5:9" ht="16.5" hidden="1">
      <c r="E8435" s="4" t="str">
        <v/>
      </c>
      <c r="F8435" s="102" t="str">
        <f ca="1">IFERROR(__xludf.DUMMYFUNCTION("IMPORTRANGE(H8435,""IDENTITAS UNIT!D9"")"),"#N/A")</f>
        <v>#N/A</v>
      </c>
      <c r="H8435" s="4" t="str">
        <v/>
      </c>
      <c r="I8435" s="4" t="str">
        <v/>
      </c>
    </row>
    <row r="8436" spans="5:9" ht="16.5" hidden="1">
      <c r="E8436" s="4" t="str">
        <v/>
      </c>
      <c r="F8436" s="102" t="str">
        <f ca="1">IFERROR(__xludf.DUMMYFUNCTION("IMPORTRANGE(H8436,""IDENTITAS UNIT!D9"")"),"#N/A")</f>
        <v>#N/A</v>
      </c>
      <c r="H8436" s="4" t="str">
        <v/>
      </c>
      <c r="I8436" s="4" t="str">
        <v/>
      </c>
    </row>
    <row r="8437" spans="5:9" ht="16.5" hidden="1">
      <c r="E8437" s="4" t="str">
        <v/>
      </c>
      <c r="F8437" s="102" t="str">
        <f ca="1">IFERROR(__xludf.DUMMYFUNCTION("IMPORTRANGE(H8437,""IDENTITAS UNIT!D9"")"),"#N/A")</f>
        <v>#N/A</v>
      </c>
      <c r="H8437" s="4" t="str">
        <v/>
      </c>
      <c r="I8437" s="4" t="str">
        <v/>
      </c>
    </row>
    <row r="8438" spans="5:9" ht="16.5" hidden="1">
      <c r="E8438" s="4" t="str">
        <v/>
      </c>
      <c r="F8438" s="102" t="str">
        <f ca="1">IFERROR(__xludf.DUMMYFUNCTION("IMPORTRANGE(H8438,""IDENTITAS UNIT!D9"")"),"#N/A")</f>
        <v>#N/A</v>
      </c>
      <c r="H8438" s="4" t="str">
        <v/>
      </c>
      <c r="I8438" s="4" t="str">
        <v/>
      </c>
    </row>
    <row r="8439" spans="5:9" ht="16.5" hidden="1">
      <c r="E8439" s="4" t="str">
        <v/>
      </c>
      <c r="F8439" s="102" t="str">
        <f ca="1">IFERROR(__xludf.DUMMYFUNCTION("IMPORTRANGE(H8439,""IDENTITAS UNIT!D9"")"),"#N/A")</f>
        <v>#N/A</v>
      </c>
      <c r="H8439" s="4" t="str">
        <v/>
      </c>
      <c r="I8439" s="4" t="str">
        <v/>
      </c>
    </row>
    <row r="8440" spans="5:9" ht="16.5" hidden="1">
      <c r="E8440" s="4" t="str">
        <v/>
      </c>
      <c r="F8440" s="102" t="str">
        <f ca="1">IFERROR(__xludf.DUMMYFUNCTION("IMPORTRANGE(H8440,""IDENTITAS UNIT!D9"")"),"#N/A")</f>
        <v>#N/A</v>
      </c>
      <c r="H8440" s="4" t="str">
        <v/>
      </c>
      <c r="I8440" s="4" t="str">
        <v/>
      </c>
    </row>
    <row r="8441" spans="5:9" ht="16.5" hidden="1">
      <c r="E8441" s="4" t="str">
        <v/>
      </c>
      <c r="F8441" s="102" t="str">
        <f ca="1">IFERROR(__xludf.DUMMYFUNCTION("IMPORTRANGE(H8441,""IDENTITAS UNIT!D9"")"),"#N/A")</f>
        <v>#N/A</v>
      </c>
      <c r="H8441" s="4" t="str">
        <v/>
      </c>
      <c r="I8441" s="4" t="str">
        <v/>
      </c>
    </row>
    <row r="8442" spans="5:9" ht="16.5" hidden="1">
      <c r="E8442" s="4" t="str">
        <v/>
      </c>
      <c r="F8442" s="102" t="str">
        <f ca="1">IFERROR(__xludf.DUMMYFUNCTION("IMPORTRANGE(H8442,""IDENTITAS UNIT!D9"")"),"#N/A")</f>
        <v>#N/A</v>
      </c>
      <c r="H8442" s="4" t="str">
        <v/>
      </c>
      <c r="I8442" s="4" t="str">
        <v/>
      </c>
    </row>
    <row r="8443" spans="5:9" ht="16.5" hidden="1">
      <c r="E8443" s="4" t="str">
        <v/>
      </c>
      <c r="F8443" s="102" t="str">
        <f ca="1">IFERROR(__xludf.DUMMYFUNCTION("IMPORTRANGE(H8443,""IDENTITAS UNIT!D9"")"),"#N/A")</f>
        <v>#N/A</v>
      </c>
      <c r="H8443" s="4" t="str">
        <v/>
      </c>
      <c r="I8443" s="4" t="str">
        <v/>
      </c>
    </row>
    <row r="8444" spans="5:9" ht="16.5" hidden="1">
      <c r="E8444" s="4" t="str">
        <v/>
      </c>
      <c r="F8444" s="102" t="str">
        <f ca="1">IFERROR(__xludf.DUMMYFUNCTION("IMPORTRANGE(H8444,""IDENTITAS UNIT!D9"")"),"#N/A")</f>
        <v>#N/A</v>
      </c>
      <c r="H8444" s="4" t="str">
        <v/>
      </c>
      <c r="I8444" s="4" t="str">
        <v/>
      </c>
    </row>
    <row r="8445" spans="5:9" ht="16.5" hidden="1">
      <c r="E8445" s="4" t="str">
        <v/>
      </c>
      <c r="F8445" s="102" t="str">
        <f ca="1">IFERROR(__xludf.DUMMYFUNCTION("IMPORTRANGE(H8445,""IDENTITAS UNIT!D9"")"),"#N/A")</f>
        <v>#N/A</v>
      </c>
      <c r="H8445" s="4" t="str">
        <v/>
      </c>
      <c r="I8445" s="4" t="str">
        <v/>
      </c>
    </row>
    <row r="8446" spans="5:9" ht="16.5" hidden="1">
      <c r="E8446" s="4" t="str">
        <v/>
      </c>
      <c r="F8446" s="102" t="str">
        <f ca="1">IFERROR(__xludf.DUMMYFUNCTION("IMPORTRANGE(H8446,""IDENTITAS UNIT!D9"")"),"#N/A")</f>
        <v>#N/A</v>
      </c>
      <c r="H8446" s="4" t="str">
        <v/>
      </c>
      <c r="I8446" s="4" t="str">
        <v/>
      </c>
    </row>
    <row r="8447" spans="5:9" ht="16.5" hidden="1">
      <c r="E8447" s="4" t="str">
        <v/>
      </c>
      <c r="F8447" s="102" t="str">
        <f ca="1">IFERROR(__xludf.DUMMYFUNCTION("IMPORTRANGE(H8447,""IDENTITAS UNIT!D9"")"),"#N/A")</f>
        <v>#N/A</v>
      </c>
      <c r="H8447" s="4" t="str">
        <v/>
      </c>
      <c r="I8447" s="4" t="str">
        <v/>
      </c>
    </row>
    <row r="8448" spans="5:9" ht="16.5" hidden="1">
      <c r="E8448" s="4" t="str">
        <v/>
      </c>
      <c r="F8448" s="102" t="str">
        <f ca="1">IFERROR(__xludf.DUMMYFUNCTION("IMPORTRANGE(H8448,""IDENTITAS UNIT!D9"")"),"#N/A")</f>
        <v>#N/A</v>
      </c>
      <c r="H8448" s="4" t="str">
        <v/>
      </c>
      <c r="I8448" s="4" t="str">
        <v/>
      </c>
    </row>
    <row r="8449" spans="5:9" ht="16.5" hidden="1">
      <c r="E8449" s="4" t="str">
        <v/>
      </c>
      <c r="F8449" s="102" t="str">
        <f ca="1">IFERROR(__xludf.DUMMYFUNCTION("IMPORTRANGE(H8449,""IDENTITAS UNIT!D9"")"),"#N/A")</f>
        <v>#N/A</v>
      </c>
      <c r="H8449" s="4" t="str">
        <v/>
      </c>
      <c r="I8449" s="4" t="str">
        <v/>
      </c>
    </row>
    <row r="8450" spans="5:9" ht="16.5" hidden="1">
      <c r="E8450" s="4" t="str">
        <v/>
      </c>
      <c r="F8450" s="102" t="str">
        <f ca="1">IFERROR(__xludf.DUMMYFUNCTION("IMPORTRANGE(H8450,""IDENTITAS UNIT!D9"")"),"#N/A")</f>
        <v>#N/A</v>
      </c>
      <c r="H8450" s="4" t="str">
        <v/>
      </c>
      <c r="I8450" s="4" t="str">
        <v/>
      </c>
    </row>
    <row r="8451" spans="5:9" ht="16.5" hidden="1">
      <c r="E8451" s="4" t="str">
        <v/>
      </c>
      <c r="F8451" s="102" t="str">
        <f ca="1">IFERROR(__xludf.DUMMYFUNCTION("IMPORTRANGE(H8451,""IDENTITAS UNIT!D9"")"),"#N/A")</f>
        <v>#N/A</v>
      </c>
      <c r="H8451" s="4" t="str">
        <v/>
      </c>
      <c r="I8451" s="4" t="str">
        <v/>
      </c>
    </row>
    <row r="8452" spans="5:9" ht="16.5" hidden="1">
      <c r="E8452" s="4" t="str">
        <v/>
      </c>
      <c r="F8452" s="102" t="str">
        <f ca="1">IFERROR(__xludf.DUMMYFUNCTION("IMPORTRANGE(H8452,""IDENTITAS UNIT!D9"")"),"#N/A")</f>
        <v>#N/A</v>
      </c>
      <c r="H8452" s="4" t="str">
        <v/>
      </c>
      <c r="I8452" s="4" t="str">
        <v/>
      </c>
    </row>
    <row r="8453" spans="5:9" ht="16.5" hidden="1">
      <c r="E8453" s="4" t="str">
        <v/>
      </c>
      <c r="F8453" s="102" t="str">
        <f ca="1">IFERROR(__xludf.DUMMYFUNCTION("IMPORTRANGE(H8453,""IDENTITAS UNIT!D9"")"),"#N/A")</f>
        <v>#N/A</v>
      </c>
      <c r="H8453" s="4" t="str">
        <v/>
      </c>
      <c r="I8453" s="4" t="str">
        <v/>
      </c>
    </row>
    <row r="8454" spans="5:9" ht="16.5" hidden="1">
      <c r="E8454" s="4" t="str">
        <v/>
      </c>
      <c r="F8454" s="102" t="str">
        <f ca="1">IFERROR(__xludf.DUMMYFUNCTION("IMPORTRANGE(H8454,""IDENTITAS UNIT!D9"")"),"#N/A")</f>
        <v>#N/A</v>
      </c>
      <c r="H8454" s="4" t="str">
        <v/>
      </c>
      <c r="I8454" s="4" t="str">
        <v/>
      </c>
    </row>
    <row r="8455" spans="5:9" ht="16.5" hidden="1">
      <c r="E8455" s="4" t="str">
        <v/>
      </c>
      <c r="F8455" s="102" t="str">
        <f ca="1">IFERROR(__xludf.DUMMYFUNCTION("IMPORTRANGE(H8455,""IDENTITAS UNIT!D9"")"),"#N/A")</f>
        <v>#N/A</v>
      </c>
      <c r="H8455" s="4" t="str">
        <v/>
      </c>
      <c r="I8455" s="4" t="str">
        <v/>
      </c>
    </row>
    <row r="8456" spans="5:9" ht="16.5" hidden="1">
      <c r="E8456" s="4" t="str">
        <v/>
      </c>
      <c r="F8456" s="102" t="str">
        <f ca="1">IFERROR(__xludf.DUMMYFUNCTION("IMPORTRANGE(H8456,""IDENTITAS UNIT!D9"")"),"#N/A")</f>
        <v>#N/A</v>
      </c>
      <c r="H8456" s="4" t="str">
        <v/>
      </c>
      <c r="I8456" s="4" t="str">
        <v/>
      </c>
    </row>
    <row r="8457" spans="5:9" ht="16.5" hidden="1">
      <c r="E8457" s="4" t="str">
        <v/>
      </c>
      <c r="F8457" s="102" t="str">
        <f ca="1">IFERROR(__xludf.DUMMYFUNCTION("IMPORTRANGE(H8457,""IDENTITAS UNIT!D9"")"),"#N/A")</f>
        <v>#N/A</v>
      </c>
      <c r="H8457" s="4" t="str">
        <v/>
      </c>
      <c r="I8457" s="4" t="str">
        <v/>
      </c>
    </row>
    <row r="8458" spans="5:9" ht="16.5" hidden="1">
      <c r="E8458" s="4" t="str">
        <v/>
      </c>
      <c r="F8458" s="102" t="str">
        <f ca="1">IFERROR(__xludf.DUMMYFUNCTION("IMPORTRANGE(H8458,""IDENTITAS UNIT!D9"")"),"#N/A")</f>
        <v>#N/A</v>
      </c>
      <c r="H8458" s="4" t="str">
        <v/>
      </c>
      <c r="I8458" s="4" t="str">
        <v/>
      </c>
    </row>
    <row r="8459" spans="5:9" ht="16.5" hidden="1">
      <c r="E8459" s="4" t="str">
        <v/>
      </c>
      <c r="F8459" s="102" t="str">
        <f ca="1">IFERROR(__xludf.DUMMYFUNCTION("IMPORTRANGE(H8459,""IDENTITAS UNIT!D9"")"),"#N/A")</f>
        <v>#N/A</v>
      </c>
      <c r="H8459" s="4" t="str">
        <v/>
      </c>
      <c r="I8459" s="4" t="str">
        <v/>
      </c>
    </row>
    <row r="8460" spans="5:9" ht="16.5" hidden="1">
      <c r="E8460" s="4" t="str">
        <v/>
      </c>
      <c r="F8460" s="102" t="str">
        <f ca="1">IFERROR(__xludf.DUMMYFUNCTION("IMPORTRANGE(H8460,""IDENTITAS UNIT!D9"")"),"#N/A")</f>
        <v>#N/A</v>
      </c>
      <c r="H8460" s="4" t="str">
        <v/>
      </c>
      <c r="I8460" s="4" t="str">
        <v/>
      </c>
    </row>
    <row r="8461" spans="5:9" ht="16.5" hidden="1">
      <c r="E8461" s="4" t="str">
        <v/>
      </c>
      <c r="F8461" s="102" t="str">
        <f ca="1">IFERROR(__xludf.DUMMYFUNCTION("IMPORTRANGE(H8461,""IDENTITAS UNIT!D9"")"),"#N/A")</f>
        <v>#N/A</v>
      </c>
      <c r="H8461" s="4" t="str">
        <v/>
      </c>
      <c r="I8461" s="4" t="str">
        <v/>
      </c>
    </row>
    <row r="8462" spans="5:9" ht="16.5" hidden="1">
      <c r="E8462" s="4" t="str">
        <v/>
      </c>
      <c r="F8462" s="102" t="str">
        <f ca="1">IFERROR(__xludf.DUMMYFUNCTION("IMPORTRANGE(H8462,""IDENTITAS UNIT!D9"")"),"#N/A")</f>
        <v>#N/A</v>
      </c>
      <c r="H8462" s="4" t="str">
        <v/>
      </c>
      <c r="I8462" s="4" t="str">
        <v/>
      </c>
    </row>
    <row r="8463" spans="5:9" ht="16.5" hidden="1">
      <c r="E8463" s="4" t="str">
        <v/>
      </c>
      <c r="F8463" s="102" t="str">
        <f ca="1">IFERROR(__xludf.DUMMYFUNCTION("IMPORTRANGE(H8463,""IDENTITAS UNIT!D9"")"),"#N/A")</f>
        <v>#N/A</v>
      </c>
      <c r="H8463" s="4" t="str">
        <v/>
      </c>
      <c r="I8463" s="4" t="str">
        <v/>
      </c>
    </row>
    <row r="8464" spans="5:9" ht="16.5" hidden="1">
      <c r="E8464" s="4" t="str">
        <v/>
      </c>
      <c r="F8464" s="102" t="str">
        <f ca="1">IFERROR(__xludf.DUMMYFUNCTION("IMPORTRANGE(H8464,""IDENTITAS UNIT!D9"")"),"#N/A")</f>
        <v>#N/A</v>
      </c>
      <c r="H8464" s="4" t="str">
        <v/>
      </c>
      <c r="I8464" s="4" t="str">
        <v/>
      </c>
    </row>
    <row r="8465" spans="5:9" ht="16.5" hidden="1">
      <c r="E8465" s="4" t="str">
        <v/>
      </c>
      <c r="F8465" s="102" t="str">
        <f ca="1">IFERROR(__xludf.DUMMYFUNCTION("IMPORTRANGE(H8465,""IDENTITAS UNIT!D9"")"),"#N/A")</f>
        <v>#N/A</v>
      </c>
      <c r="H8465" s="4" t="str">
        <v/>
      </c>
      <c r="I8465" s="4" t="str">
        <v/>
      </c>
    </row>
    <row r="8466" spans="5:9" ht="16.5" hidden="1">
      <c r="E8466" s="4" t="str">
        <v/>
      </c>
      <c r="F8466" s="102" t="str">
        <f ca="1">IFERROR(__xludf.DUMMYFUNCTION("IMPORTRANGE(H8466,""IDENTITAS UNIT!D9"")"),"#N/A")</f>
        <v>#N/A</v>
      </c>
      <c r="H8466" s="4" t="str">
        <v/>
      </c>
      <c r="I8466" s="4" t="str">
        <v/>
      </c>
    </row>
    <row r="8467" spans="5:9" ht="16.5" hidden="1">
      <c r="E8467" s="4" t="str">
        <v/>
      </c>
      <c r="F8467" s="102" t="str">
        <f ca="1">IFERROR(__xludf.DUMMYFUNCTION("IMPORTRANGE(H8467,""IDENTITAS UNIT!D9"")"),"#N/A")</f>
        <v>#N/A</v>
      </c>
      <c r="H8467" s="4" t="str">
        <v/>
      </c>
      <c r="I8467" s="4" t="str">
        <v/>
      </c>
    </row>
    <row r="8468" spans="5:9" ht="16.5" hidden="1">
      <c r="E8468" s="4" t="str">
        <v/>
      </c>
      <c r="F8468" s="102" t="str">
        <f ca="1">IFERROR(__xludf.DUMMYFUNCTION("IMPORTRANGE(H8468,""IDENTITAS UNIT!D9"")"),"#N/A")</f>
        <v>#N/A</v>
      </c>
      <c r="H8468" s="4" t="str">
        <v/>
      </c>
      <c r="I8468" s="4" t="str">
        <v/>
      </c>
    </row>
    <row r="8469" spans="5:9" ht="16.5" hidden="1">
      <c r="E8469" s="4" t="str">
        <v/>
      </c>
      <c r="F8469" s="102" t="str">
        <f ca="1">IFERROR(__xludf.DUMMYFUNCTION("IMPORTRANGE(H8469,""IDENTITAS UNIT!D9"")"),"#N/A")</f>
        <v>#N/A</v>
      </c>
      <c r="H8469" s="4" t="str">
        <v/>
      </c>
      <c r="I8469" s="4" t="str">
        <v/>
      </c>
    </row>
    <row r="8470" spans="5:9" ht="16.5" hidden="1">
      <c r="E8470" s="4" t="str">
        <v/>
      </c>
      <c r="F8470" s="102" t="str">
        <f ca="1">IFERROR(__xludf.DUMMYFUNCTION("IMPORTRANGE(H8470,""IDENTITAS UNIT!D9"")"),"#N/A")</f>
        <v>#N/A</v>
      </c>
      <c r="H8470" s="4" t="str">
        <v/>
      </c>
      <c r="I8470" s="4" t="str">
        <v/>
      </c>
    </row>
    <row r="8471" spans="5:9" ht="16.5" hidden="1">
      <c r="E8471" s="4" t="str">
        <v/>
      </c>
      <c r="F8471" s="102" t="str">
        <f ca="1">IFERROR(__xludf.DUMMYFUNCTION("IMPORTRANGE(H8471,""IDENTITAS UNIT!D9"")"),"#N/A")</f>
        <v>#N/A</v>
      </c>
      <c r="H8471" s="4" t="str">
        <v/>
      </c>
      <c r="I8471" s="4" t="str">
        <v/>
      </c>
    </row>
    <row r="8472" spans="5:9" ht="16.5" hidden="1">
      <c r="E8472" s="4" t="str">
        <v/>
      </c>
      <c r="F8472" s="102" t="str">
        <f ca="1">IFERROR(__xludf.DUMMYFUNCTION("IMPORTRANGE(H8472,""IDENTITAS UNIT!D9"")"),"#N/A")</f>
        <v>#N/A</v>
      </c>
      <c r="H8472" s="4" t="str">
        <v/>
      </c>
      <c r="I8472" s="4" t="str">
        <v/>
      </c>
    </row>
    <row r="8473" spans="5:9" ht="16.5" hidden="1">
      <c r="E8473" s="4" t="str">
        <v/>
      </c>
      <c r="F8473" s="102" t="str">
        <f ca="1">IFERROR(__xludf.DUMMYFUNCTION("IMPORTRANGE(H8473,""IDENTITAS UNIT!D9"")"),"#N/A")</f>
        <v>#N/A</v>
      </c>
      <c r="H8473" s="4" t="str">
        <v/>
      </c>
      <c r="I8473" s="4" t="str">
        <v/>
      </c>
    </row>
    <row r="8474" spans="5:9" ht="16.5" hidden="1">
      <c r="E8474" s="4" t="str">
        <v/>
      </c>
      <c r="F8474" s="102" t="str">
        <f ca="1">IFERROR(__xludf.DUMMYFUNCTION("IMPORTRANGE(H8474,""IDENTITAS UNIT!D9"")"),"#N/A")</f>
        <v>#N/A</v>
      </c>
      <c r="H8474" s="4" t="str">
        <v/>
      </c>
      <c r="I8474" s="4" t="str">
        <v/>
      </c>
    </row>
    <row r="8475" spans="5:9" ht="16.5" hidden="1">
      <c r="E8475" s="4" t="str">
        <v/>
      </c>
      <c r="F8475" s="102" t="str">
        <f ca="1">IFERROR(__xludf.DUMMYFUNCTION("IMPORTRANGE(H8475,""IDENTITAS UNIT!D9"")"),"#N/A")</f>
        <v>#N/A</v>
      </c>
      <c r="H8475" s="4" t="str">
        <v/>
      </c>
      <c r="I8475" s="4" t="str">
        <v/>
      </c>
    </row>
    <row r="8476" spans="5:9" ht="16.5" hidden="1">
      <c r="E8476" s="4" t="str">
        <v/>
      </c>
      <c r="F8476" s="102" t="str">
        <f ca="1">IFERROR(__xludf.DUMMYFUNCTION("IMPORTRANGE(H8476,""IDENTITAS UNIT!D9"")"),"#N/A")</f>
        <v>#N/A</v>
      </c>
      <c r="H8476" s="4" t="str">
        <v/>
      </c>
      <c r="I8476" s="4" t="str">
        <v/>
      </c>
    </row>
    <row r="8477" spans="5:9" ht="16.5" hidden="1">
      <c r="E8477" s="4" t="str">
        <v/>
      </c>
      <c r="F8477" s="102" t="str">
        <f ca="1">IFERROR(__xludf.DUMMYFUNCTION("IMPORTRANGE(H8477,""IDENTITAS UNIT!D9"")"),"#N/A")</f>
        <v>#N/A</v>
      </c>
      <c r="H8477" s="4" t="str">
        <v/>
      </c>
      <c r="I8477" s="4" t="str">
        <v/>
      </c>
    </row>
    <row r="8478" spans="5:9" ht="16.5" hidden="1">
      <c r="E8478" s="4" t="str">
        <v/>
      </c>
      <c r="F8478" s="102" t="str">
        <f ca="1">IFERROR(__xludf.DUMMYFUNCTION("IMPORTRANGE(H8478,""IDENTITAS UNIT!D9"")"),"#N/A")</f>
        <v>#N/A</v>
      </c>
      <c r="H8478" s="4" t="str">
        <v/>
      </c>
      <c r="I8478" s="4" t="str">
        <v/>
      </c>
    </row>
    <row r="8479" spans="5:9" ht="16.5" hidden="1">
      <c r="E8479" s="4" t="str">
        <v/>
      </c>
      <c r="F8479" s="102" t="str">
        <f ca="1">IFERROR(__xludf.DUMMYFUNCTION("IMPORTRANGE(H8479,""IDENTITAS UNIT!D9"")"),"#N/A")</f>
        <v>#N/A</v>
      </c>
      <c r="H8479" s="4" t="str">
        <v/>
      </c>
      <c r="I8479" s="4" t="str">
        <v/>
      </c>
    </row>
    <row r="8480" spans="5:9" ht="16.5" hidden="1">
      <c r="E8480" s="4" t="str">
        <v/>
      </c>
      <c r="F8480" s="102" t="str">
        <f ca="1">IFERROR(__xludf.DUMMYFUNCTION("IMPORTRANGE(H8480,""IDENTITAS UNIT!D9"")"),"#N/A")</f>
        <v>#N/A</v>
      </c>
      <c r="H8480" s="4" t="str">
        <v/>
      </c>
      <c r="I8480" s="4" t="str">
        <v/>
      </c>
    </row>
    <row r="8481" spans="5:9" ht="16.5" hidden="1">
      <c r="E8481" s="4" t="str">
        <v/>
      </c>
      <c r="F8481" s="102" t="str">
        <f ca="1">IFERROR(__xludf.DUMMYFUNCTION("IMPORTRANGE(H8481,""IDENTITAS UNIT!D9"")"),"#N/A")</f>
        <v>#N/A</v>
      </c>
      <c r="H8481" s="4" t="str">
        <v/>
      </c>
      <c r="I8481" s="4" t="str">
        <v/>
      </c>
    </row>
    <row r="8482" spans="5:9" ht="16.5" hidden="1">
      <c r="E8482" s="4" t="str">
        <v/>
      </c>
      <c r="F8482" s="102" t="str">
        <f ca="1">IFERROR(__xludf.DUMMYFUNCTION("IMPORTRANGE(H8482,""IDENTITAS UNIT!D9"")"),"#N/A")</f>
        <v>#N/A</v>
      </c>
      <c r="H8482" s="4" t="str">
        <v/>
      </c>
      <c r="I8482" s="4" t="str">
        <v/>
      </c>
    </row>
    <row r="8483" spans="5:9" ht="16.5" hidden="1">
      <c r="E8483" s="4" t="str">
        <v/>
      </c>
      <c r="F8483" s="102" t="str">
        <f ca="1">IFERROR(__xludf.DUMMYFUNCTION("IMPORTRANGE(H8483,""IDENTITAS UNIT!D9"")"),"#N/A")</f>
        <v>#N/A</v>
      </c>
      <c r="H8483" s="4" t="str">
        <v/>
      </c>
      <c r="I8483" s="4" t="str">
        <v/>
      </c>
    </row>
    <row r="8484" spans="5:9" ht="16.5" hidden="1">
      <c r="E8484" s="4" t="str">
        <v/>
      </c>
      <c r="F8484" s="102" t="str">
        <f ca="1">IFERROR(__xludf.DUMMYFUNCTION("IMPORTRANGE(H8484,""IDENTITAS UNIT!D9"")"),"#N/A")</f>
        <v>#N/A</v>
      </c>
      <c r="H8484" s="4" t="str">
        <v/>
      </c>
      <c r="I8484" s="4" t="str">
        <v/>
      </c>
    </row>
    <row r="8485" spans="5:9" ht="16.5" hidden="1">
      <c r="E8485" s="4" t="str">
        <v/>
      </c>
      <c r="F8485" s="102" t="str">
        <f ca="1">IFERROR(__xludf.DUMMYFUNCTION("IMPORTRANGE(H8485,""IDENTITAS UNIT!D9"")"),"#N/A")</f>
        <v>#N/A</v>
      </c>
      <c r="H8485" s="4" t="str">
        <v/>
      </c>
      <c r="I8485" s="4" t="str">
        <v/>
      </c>
    </row>
    <row r="8486" spans="5:9" ht="16.5" hidden="1">
      <c r="E8486" s="4" t="str">
        <v/>
      </c>
      <c r="F8486" s="102" t="str">
        <f ca="1">IFERROR(__xludf.DUMMYFUNCTION("IMPORTRANGE(H8486,""IDENTITAS UNIT!D9"")"),"#N/A")</f>
        <v>#N/A</v>
      </c>
      <c r="H8486" s="4" t="str">
        <v/>
      </c>
      <c r="I8486" s="4" t="str">
        <v/>
      </c>
    </row>
    <row r="8487" spans="5:9" ht="16.5" hidden="1">
      <c r="E8487" s="4" t="str">
        <v/>
      </c>
      <c r="F8487" s="102" t="str">
        <f ca="1">IFERROR(__xludf.DUMMYFUNCTION("IMPORTRANGE(H8487,""IDENTITAS UNIT!D9"")"),"#N/A")</f>
        <v>#N/A</v>
      </c>
      <c r="H8487" s="4" t="str">
        <v/>
      </c>
      <c r="I8487" s="4" t="str">
        <v/>
      </c>
    </row>
    <row r="8488" spans="5:9" ht="16.5" hidden="1">
      <c r="E8488" s="4" t="str">
        <v/>
      </c>
      <c r="F8488" s="102" t="str">
        <f ca="1">IFERROR(__xludf.DUMMYFUNCTION("IMPORTRANGE(H8488,""IDENTITAS UNIT!D9"")"),"#N/A")</f>
        <v>#N/A</v>
      </c>
      <c r="H8488" s="4" t="str">
        <v/>
      </c>
      <c r="I8488" s="4" t="str">
        <v/>
      </c>
    </row>
    <row r="8489" spans="5:9" ht="16.5" hidden="1">
      <c r="E8489" s="4" t="str">
        <v/>
      </c>
      <c r="F8489" s="102" t="str">
        <f ca="1">IFERROR(__xludf.DUMMYFUNCTION("IMPORTRANGE(H8489,""IDENTITAS UNIT!D9"")"),"#N/A")</f>
        <v>#N/A</v>
      </c>
      <c r="H8489" s="4" t="str">
        <v/>
      </c>
      <c r="I8489" s="4" t="str">
        <v/>
      </c>
    </row>
    <row r="8490" spans="5:9" ht="16.5" hidden="1">
      <c r="E8490" s="4" t="str">
        <v/>
      </c>
      <c r="F8490" s="102" t="str">
        <f ca="1">IFERROR(__xludf.DUMMYFUNCTION("IMPORTRANGE(H8490,""IDENTITAS UNIT!D9"")"),"#N/A")</f>
        <v>#N/A</v>
      </c>
      <c r="H8490" s="4" t="str">
        <v/>
      </c>
      <c r="I8490" s="4" t="str">
        <v/>
      </c>
    </row>
    <row r="8491" spans="5:9" ht="16.5" hidden="1">
      <c r="E8491" s="4" t="str">
        <v/>
      </c>
      <c r="F8491" s="102" t="str">
        <f ca="1">IFERROR(__xludf.DUMMYFUNCTION("IMPORTRANGE(H8491,""IDENTITAS UNIT!D9"")"),"#N/A")</f>
        <v>#N/A</v>
      </c>
      <c r="H8491" s="4" t="str">
        <v/>
      </c>
      <c r="I8491" s="4" t="str">
        <v/>
      </c>
    </row>
    <row r="8492" spans="5:9" ht="16.5" hidden="1">
      <c r="E8492" s="4" t="str">
        <v/>
      </c>
      <c r="F8492" s="102" t="str">
        <f ca="1">IFERROR(__xludf.DUMMYFUNCTION("IMPORTRANGE(H8492,""IDENTITAS UNIT!D9"")"),"#N/A")</f>
        <v>#N/A</v>
      </c>
      <c r="H8492" s="4" t="str">
        <v/>
      </c>
      <c r="I8492" s="4" t="str">
        <v/>
      </c>
    </row>
    <row r="8493" spans="5:9" ht="16.5" hidden="1">
      <c r="E8493" s="4" t="str">
        <v/>
      </c>
      <c r="F8493" s="102" t="str">
        <f ca="1">IFERROR(__xludf.DUMMYFUNCTION("IMPORTRANGE(H8493,""IDENTITAS UNIT!D9"")"),"#N/A")</f>
        <v>#N/A</v>
      </c>
      <c r="H8493" s="4" t="str">
        <v/>
      </c>
      <c r="I8493" s="4" t="str">
        <v/>
      </c>
    </row>
    <row r="8494" spans="5:9" ht="16.5" hidden="1">
      <c r="E8494" s="4" t="str">
        <v/>
      </c>
      <c r="F8494" s="102" t="str">
        <f ca="1">IFERROR(__xludf.DUMMYFUNCTION("IMPORTRANGE(H8494,""IDENTITAS UNIT!D9"")"),"#N/A")</f>
        <v>#N/A</v>
      </c>
      <c r="H8494" s="4" t="str">
        <v/>
      </c>
      <c r="I8494" s="4" t="str">
        <v/>
      </c>
    </row>
    <row r="8495" spans="5:9" ht="16.5" hidden="1">
      <c r="E8495" s="4" t="str">
        <v/>
      </c>
      <c r="F8495" s="102" t="str">
        <f ca="1">IFERROR(__xludf.DUMMYFUNCTION("IMPORTRANGE(H8495,""IDENTITAS UNIT!D9"")"),"#N/A")</f>
        <v>#N/A</v>
      </c>
      <c r="H8495" s="4" t="str">
        <v/>
      </c>
      <c r="I8495" s="4" t="str">
        <v/>
      </c>
    </row>
    <row r="8496" spans="5:9" ht="16.5" hidden="1">
      <c r="E8496" s="4" t="str">
        <v/>
      </c>
      <c r="F8496" s="102" t="str">
        <f ca="1">IFERROR(__xludf.DUMMYFUNCTION("IMPORTRANGE(H8496,""IDENTITAS UNIT!D9"")"),"#N/A")</f>
        <v>#N/A</v>
      </c>
      <c r="H8496" s="4" t="str">
        <v/>
      </c>
      <c r="I8496" s="4" t="str">
        <v/>
      </c>
    </row>
    <row r="8497" spans="5:9" ht="16.5" hidden="1">
      <c r="E8497" s="4" t="str">
        <v/>
      </c>
      <c r="F8497" s="102" t="str">
        <f ca="1">IFERROR(__xludf.DUMMYFUNCTION("IMPORTRANGE(H8497,""IDENTITAS UNIT!D9"")"),"#N/A")</f>
        <v>#N/A</v>
      </c>
      <c r="H8497" s="4" t="str">
        <v/>
      </c>
      <c r="I8497" s="4" t="str">
        <v/>
      </c>
    </row>
    <row r="8498" spans="5:9" ht="16.5" hidden="1">
      <c r="E8498" s="4" t="str">
        <v/>
      </c>
      <c r="F8498" s="102" t="str">
        <f ca="1">IFERROR(__xludf.DUMMYFUNCTION("IMPORTRANGE(H8498,""IDENTITAS UNIT!D9"")"),"#N/A")</f>
        <v>#N/A</v>
      </c>
      <c r="H8498" s="4" t="str">
        <v/>
      </c>
      <c r="I8498" s="4" t="str">
        <v/>
      </c>
    </row>
    <row r="8499" spans="5:9" ht="16.5" hidden="1">
      <c r="E8499" s="4" t="str">
        <v/>
      </c>
      <c r="F8499" s="102" t="str">
        <f ca="1">IFERROR(__xludf.DUMMYFUNCTION("IMPORTRANGE(H8499,""IDENTITAS UNIT!D9"")"),"#N/A")</f>
        <v>#N/A</v>
      </c>
      <c r="H8499" s="4" t="str">
        <v/>
      </c>
      <c r="I8499" s="4" t="str">
        <v/>
      </c>
    </row>
    <row r="8500" spans="5:9" ht="16.5" hidden="1">
      <c r="E8500" s="4" t="str">
        <v/>
      </c>
      <c r="F8500" s="102" t="str">
        <f ca="1">IFERROR(__xludf.DUMMYFUNCTION("IMPORTRANGE(H8500,""IDENTITAS UNIT!D9"")"),"#N/A")</f>
        <v>#N/A</v>
      </c>
      <c r="H8500" s="4" t="str">
        <v/>
      </c>
      <c r="I8500" s="4" t="str">
        <v/>
      </c>
    </row>
    <row r="8501" spans="5:9" ht="16.5" hidden="1">
      <c r="E8501" s="4" t="str">
        <v/>
      </c>
      <c r="F8501" s="102" t="str">
        <f ca="1">IFERROR(__xludf.DUMMYFUNCTION("IMPORTRANGE(H8501,""IDENTITAS UNIT!D9"")"),"#N/A")</f>
        <v>#N/A</v>
      </c>
      <c r="H8501" s="4" t="str">
        <v/>
      </c>
      <c r="I8501" s="4" t="str">
        <v/>
      </c>
    </row>
    <row r="8502" spans="5:9" ht="16.5" hidden="1">
      <c r="E8502" s="4" t="str">
        <v/>
      </c>
      <c r="F8502" s="102" t="str">
        <f ca="1">IFERROR(__xludf.DUMMYFUNCTION("IMPORTRANGE(H8502,""IDENTITAS UNIT!D9"")"),"#N/A")</f>
        <v>#N/A</v>
      </c>
      <c r="H8502" s="4" t="str">
        <v/>
      </c>
      <c r="I8502" s="4" t="str">
        <v/>
      </c>
    </row>
    <row r="8503" spans="5:9" ht="16.5" hidden="1">
      <c r="E8503" s="4" t="str">
        <v/>
      </c>
      <c r="F8503" s="102" t="str">
        <f ca="1">IFERROR(__xludf.DUMMYFUNCTION("IMPORTRANGE(H8503,""IDENTITAS UNIT!D9"")"),"#N/A")</f>
        <v>#N/A</v>
      </c>
      <c r="H8503" s="4" t="str">
        <v/>
      </c>
      <c r="I8503" s="4" t="str">
        <v/>
      </c>
    </row>
    <row r="8504" spans="5:9" ht="16.5" hidden="1">
      <c r="E8504" s="4" t="str">
        <v/>
      </c>
      <c r="F8504" s="102" t="str">
        <f ca="1">IFERROR(__xludf.DUMMYFUNCTION("IMPORTRANGE(H8504,""IDENTITAS UNIT!D9"")"),"#N/A")</f>
        <v>#N/A</v>
      </c>
      <c r="H8504" s="4" t="str">
        <v/>
      </c>
      <c r="I8504" s="4" t="str">
        <v/>
      </c>
    </row>
    <row r="8505" spans="5:9" ht="16.5" hidden="1">
      <c r="E8505" s="4" t="str">
        <v/>
      </c>
      <c r="F8505" s="102" t="str">
        <f ca="1">IFERROR(__xludf.DUMMYFUNCTION("IMPORTRANGE(H8505,""IDENTITAS UNIT!D9"")"),"#N/A")</f>
        <v>#N/A</v>
      </c>
      <c r="H8505" s="4" t="str">
        <v/>
      </c>
      <c r="I8505" s="4" t="str">
        <v/>
      </c>
    </row>
    <row r="8506" spans="5:9" ht="16.5" hidden="1">
      <c r="E8506" s="4" t="str">
        <v/>
      </c>
      <c r="F8506" s="102" t="str">
        <f ca="1">IFERROR(__xludf.DUMMYFUNCTION("IMPORTRANGE(H8506,""IDENTITAS UNIT!D9"")"),"#N/A")</f>
        <v>#N/A</v>
      </c>
      <c r="H8506" s="4" t="str">
        <v/>
      </c>
      <c r="I8506" s="4" t="str">
        <v/>
      </c>
    </row>
    <row r="8507" spans="5:9" ht="16.5" hidden="1">
      <c r="E8507" s="4" t="str">
        <v/>
      </c>
      <c r="F8507" s="102" t="str">
        <f ca="1">IFERROR(__xludf.DUMMYFUNCTION("IMPORTRANGE(H8507,""IDENTITAS UNIT!D9"")"),"#N/A")</f>
        <v>#N/A</v>
      </c>
      <c r="H8507" s="4" t="str">
        <v/>
      </c>
      <c r="I8507" s="4" t="str">
        <v/>
      </c>
    </row>
    <row r="8508" spans="5:9" ht="16.5" hidden="1">
      <c r="E8508" s="4" t="str">
        <v/>
      </c>
      <c r="F8508" s="102" t="str">
        <f ca="1">IFERROR(__xludf.DUMMYFUNCTION("IMPORTRANGE(H8508,""IDENTITAS UNIT!D9"")"),"#N/A")</f>
        <v>#N/A</v>
      </c>
      <c r="H8508" s="4" t="str">
        <v/>
      </c>
      <c r="I8508" s="4" t="str">
        <v/>
      </c>
    </row>
    <row r="8509" spans="5:9" ht="16.5" hidden="1">
      <c r="E8509" s="4" t="str">
        <v/>
      </c>
      <c r="F8509" s="102" t="str">
        <f ca="1">IFERROR(__xludf.DUMMYFUNCTION("IMPORTRANGE(H8509,""IDENTITAS UNIT!D9"")"),"#N/A")</f>
        <v>#N/A</v>
      </c>
      <c r="H8509" s="4" t="str">
        <v/>
      </c>
      <c r="I8509" s="4" t="str">
        <v/>
      </c>
    </row>
    <row r="8510" spans="5:9" ht="16.5" hidden="1">
      <c r="E8510" s="4" t="str">
        <v/>
      </c>
      <c r="F8510" s="102" t="str">
        <f ca="1">IFERROR(__xludf.DUMMYFUNCTION("IMPORTRANGE(H8510,""IDENTITAS UNIT!D9"")"),"#N/A")</f>
        <v>#N/A</v>
      </c>
      <c r="H8510" s="4" t="str">
        <v/>
      </c>
      <c r="I8510" s="4" t="str">
        <v/>
      </c>
    </row>
    <row r="8511" spans="5:9" ht="16.5" hidden="1">
      <c r="E8511" s="4" t="str">
        <v/>
      </c>
      <c r="F8511" s="102" t="str">
        <f ca="1">IFERROR(__xludf.DUMMYFUNCTION("IMPORTRANGE(H8511,""IDENTITAS UNIT!D9"")"),"#N/A")</f>
        <v>#N/A</v>
      </c>
      <c r="H8511" s="4" t="str">
        <v/>
      </c>
      <c r="I8511" s="4" t="str">
        <v/>
      </c>
    </row>
    <row r="8512" spans="5:9" ht="16.5" hidden="1">
      <c r="E8512" s="4" t="str">
        <v/>
      </c>
      <c r="F8512" s="102" t="str">
        <f ca="1">IFERROR(__xludf.DUMMYFUNCTION("IMPORTRANGE(H8512,""IDENTITAS UNIT!D9"")"),"#N/A")</f>
        <v>#N/A</v>
      </c>
      <c r="H8512" s="4" t="str">
        <v/>
      </c>
      <c r="I8512" s="4" t="str">
        <v/>
      </c>
    </row>
    <row r="8513" spans="5:9" ht="16.5" hidden="1">
      <c r="E8513" s="4" t="str">
        <v/>
      </c>
      <c r="F8513" s="102" t="str">
        <f ca="1">IFERROR(__xludf.DUMMYFUNCTION("IMPORTRANGE(H8513,""IDENTITAS UNIT!D9"")"),"#N/A")</f>
        <v>#N/A</v>
      </c>
      <c r="H8513" s="4" t="str">
        <v/>
      </c>
      <c r="I8513" s="4" t="str">
        <v/>
      </c>
    </row>
    <row r="8514" spans="5:9" ht="16.5" hidden="1">
      <c r="E8514" s="4" t="str">
        <v/>
      </c>
      <c r="F8514" s="102" t="str">
        <f ca="1">IFERROR(__xludf.DUMMYFUNCTION("IMPORTRANGE(H8514,""IDENTITAS UNIT!D9"")"),"#N/A")</f>
        <v>#N/A</v>
      </c>
      <c r="H8514" s="4" t="str">
        <v/>
      </c>
      <c r="I8514" s="4" t="str">
        <v/>
      </c>
    </row>
    <row r="8515" spans="5:9" ht="16.5" hidden="1">
      <c r="E8515" s="4" t="str">
        <v/>
      </c>
      <c r="F8515" s="102" t="str">
        <f ca="1">IFERROR(__xludf.DUMMYFUNCTION("IMPORTRANGE(H8515,""IDENTITAS UNIT!D9"")"),"#N/A")</f>
        <v>#N/A</v>
      </c>
      <c r="H8515" s="4" t="str">
        <v/>
      </c>
      <c r="I8515" s="4" t="str">
        <v/>
      </c>
    </row>
    <row r="8516" spans="5:9" ht="16.5" hidden="1">
      <c r="E8516" s="4" t="str">
        <v/>
      </c>
      <c r="F8516" s="102" t="str">
        <f ca="1">IFERROR(__xludf.DUMMYFUNCTION("IMPORTRANGE(H8516,""IDENTITAS UNIT!D9"")"),"#N/A")</f>
        <v>#N/A</v>
      </c>
      <c r="H8516" s="4" t="str">
        <v/>
      </c>
      <c r="I8516" s="4" t="str">
        <v/>
      </c>
    </row>
    <row r="8517" spans="5:9" ht="16.5" hidden="1">
      <c r="E8517" s="4" t="str">
        <v/>
      </c>
      <c r="F8517" s="102" t="str">
        <f ca="1">IFERROR(__xludf.DUMMYFUNCTION("IMPORTRANGE(H8517,""IDENTITAS UNIT!D9"")"),"#N/A")</f>
        <v>#N/A</v>
      </c>
      <c r="H8517" s="4" t="str">
        <v/>
      </c>
      <c r="I8517" s="4" t="str">
        <v/>
      </c>
    </row>
    <row r="8518" spans="5:9" ht="16.5" hidden="1">
      <c r="E8518" s="4" t="str">
        <v/>
      </c>
      <c r="F8518" s="102" t="str">
        <f ca="1">IFERROR(__xludf.DUMMYFUNCTION("IMPORTRANGE(H8518,""IDENTITAS UNIT!D9"")"),"#N/A")</f>
        <v>#N/A</v>
      </c>
      <c r="H8518" s="4" t="str">
        <v/>
      </c>
      <c r="I8518" s="4" t="str">
        <v/>
      </c>
    </row>
    <row r="8519" spans="5:9" ht="16.5" hidden="1">
      <c r="E8519" s="4" t="str">
        <v/>
      </c>
      <c r="F8519" s="102" t="str">
        <f ca="1">IFERROR(__xludf.DUMMYFUNCTION("IMPORTRANGE(H8519,""IDENTITAS UNIT!D9"")"),"#N/A")</f>
        <v>#N/A</v>
      </c>
      <c r="H8519" s="4" t="str">
        <v/>
      </c>
      <c r="I8519" s="4" t="str">
        <v/>
      </c>
    </row>
    <row r="8520" spans="5:9" ht="16.5" hidden="1">
      <c r="E8520" s="4" t="str">
        <v/>
      </c>
      <c r="F8520" s="102" t="str">
        <f ca="1">IFERROR(__xludf.DUMMYFUNCTION("IMPORTRANGE(H8520,""IDENTITAS UNIT!D9"")"),"#N/A")</f>
        <v>#N/A</v>
      </c>
      <c r="H8520" s="4" t="str">
        <v/>
      </c>
      <c r="I8520" s="4" t="str">
        <v/>
      </c>
    </row>
    <row r="8521" spans="5:9" ht="16.5" hidden="1">
      <c r="E8521" s="4" t="str">
        <v/>
      </c>
      <c r="F8521" s="102" t="str">
        <f ca="1">IFERROR(__xludf.DUMMYFUNCTION("IMPORTRANGE(H8521,""IDENTITAS UNIT!D9"")"),"#N/A")</f>
        <v>#N/A</v>
      </c>
      <c r="H8521" s="4" t="str">
        <v/>
      </c>
      <c r="I8521" s="4" t="str">
        <v/>
      </c>
    </row>
    <row r="8522" spans="5:9" ht="16.5" hidden="1">
      <c r="E8522" s="4" t="str">
        <v/>
      </c>
      <c r="F8522" s="102" t="str">
        <f ca="1">IFERROR(__xludf.DUMMYFUNCTION("IMPORTRANGE(H8522,""IDENTITAS UNIT!D9"")"),"#N/A")</f>
        <v>#N/A</v>
      </c>
      <c r="H8522" s="4" t="str">
        <v/>
      </c>
      <c r="I8522" s="4" t="str">
        <v/>
      </c>
    </row>
    <row r="8523" spans="5:9" ht="16.5" hidden="1">
      <c r="E8523" s="4" t="str">
        <v/>
      </c>
      <c r="F8523" s="102" t="str">
        <f ca="1">IFERROR(__xludf.DUMMYFUNCTION("IMPORTRANGE(H8523,""IDENTITAS UNIT!D9"")"),"#N/A")</f>
        <v>#N/A</v>
      </c>
      <c r="H8523" s="4" t="str">
        <v/>
      </c>
      <c r="I8523" s="4" t="str">
        <v/>
      </c>
    </row>
    <row r="8524" spans="5:9" ht="16.5" hidden="1">
      <c r="E8524" s="4" t="str">
        <v/>
      </c>
      <c r="F8524" s="102" t="str">
        <f ca="1">IFERROR(__xludf.DUMMYFUNCTION("IMPORTRANGE(H8524,""IDENTITAS UNIT!D9"")"),"#N/A")</f>
        <v>#N/A</v>
      </c>
      <c r="H8524" s="4" t="str">
        <v/>
      </c>
      <c r="I8524" s="4" t="str">
        <v/>
      </c>
    </row>
    <row r="8525" spans="5:9" ht="16.5" hidden="1">
      <c r="E8525" s="4" t="str">
        <v/>
      </c>
      <c r="F8525" s="102" t="str">
        <f ca="1">IFERROR(__xludf.DUMMYFUNCTION("IMPORTRANGE(H8525,""IDENTITAS UNIT!D9"")"),"#N/A")</f>
        <v>#N/A</v>
      </c>
      <c r="H8525" s="4" t="str">
        <v/>
      </c>
      <c r="I8525" s="4" t="str">
        <v/>
      </c>
    </row>
    <row r="8526" spans="5:9" ht="16.5" hidden="1">
      <c r="E8526" s="4" t="str">
        <v/>
      </c>
      <c r="F8526" s="102" t="str">
        <f ca="1">IFERROR(__xludf.DUMMYFUNCTION("IMPORTRANGE(H8526,""IDENTITAS UNIT!D9"")"),"#N/A")</f>
        <v>#N/A</v>
      </c>
      <c r="H8526" s="4" t="str">
        <v/>
      </c>
      <c r="I8526" s="4" t="str">
        <v/>
      </c>
    </row>
    <row r="8527" spans="5:9" ht="16.5" hidden="1">
      <c r="E8527" s="4" t="str">
        <v/>
      </c>
      <c r="F8527" s="102" t="str">
        <f ca="1">IFERROR(__xludf.DUMMYFUNCTION("IMPORTRANGE(H8527,""IDENTITAS UNIT!D9"")"),"#N/A")</f>
        <v>#N/A</v>
      </c>
      <c r="H8527" s="4" t="str">
        <v/>
      </c>
      <c r="I8527" s="4" t="str">
        <v/>
      </c>
    </row>
    <row r="8528" spans="5:9" ht="16.5" hidden="1">
      <c r="E8528" s="4" t="str">
        <v/>
      </c>
      <c r="F8528" s="102" t="str">
        <f ca="1">IFERROR(__xludf.DUMMYFUNCTION("IMPORTRANGE(H8528,""IDENTITAS UNIT!D9"")"),"#N/A")</f>
        <v>#N/A</v>
      </c>
      <c r="H8528" s="4" t="str">
        <v/>
      </c>
      <c r="I8528" s="4" t="str">
        <v/>
      </c>
    </row>
    <row r="8529" spans="5:9" ht="16.5" hidden="1">
      <c r="E8529" s="4" t="str">
        <v/>
      </c>
      <c r="F8529" s="102" t="str">
        <f ca="1">IFERROR(__xludf.DUMMYFUNCTION("IMPORTRANGE(H8529,""IDENTITAS UNIT!D9"")"),"#N/A")</f>
        <v>#N/A</v>
      </c>
      <c r="H8529" s="4" t="str">
        <v/>
      </c>
      <c r="I8529" s="4" t="str">
        <v/>
      </c>
    </row>
    <row r="8530" spans="5:9" ht="16.5" hidden="1">
      <c r="E8530" s="4" t="str">
        <v/>
      </c>
      <c r="F8530" s="102" t="str">
        <f ca="1">IFERROR(__xludf.DUMMYFUNCTION("IMPORTRANGE(H8530,""IDENTITAS UNIT!D9"")"),"#N/A")</f>
        <v>#N/A</v>
      </c>
      <c r="H8530" s="4" t="str">
        <v/>
      </c>
      <c r="I8530" s="4" t="str">
        <v/>
      </c>
    </row>
    <row r="8531" spans="5:9" ht="16.5" hidden="1">
      <c r="E8531" s="4" t="str">
        <v/>
      </c>
      <c r="F8531" s="102" t="str">
        <f ca="1">IFERROR(__xludf.DUMMYFUNCTION("IMPORTRANGE(H8531,""IDENTITAS UNIT!D9"")"),"#N/A")</f>
        <v>#N/A</v>
      </c>
      <c r="H8531" s="4" t="str">
        <v/>
      </c>
      <c r="I8531" s="4" t="str">
        <v/>
      </c>
    </row>
    <row r="8532" spans="5:9" ht="16.5" hidden="1">
      <c r="E8532" s="4" t="str">
        <v/>
      </c>
      <c r="F8532" s="102" t="str">
        <f ca="1">IFERROR(__xludf.DUMMYFUNCTION("IMPORTRANGE(H8532,""IDENTITAS UNIT!D9"")"),"#N/A")</f>
        <v>#N/A</v>
      </c>
      <c r="H8532" s="4" t="str">
        <v/>
      </c>
      <c r="I8532" s="4" t="str">
        <v/>
      </c>
    </row>
    <row r="8533" spans="5:9" ht="16.5" hidden="1">
      <c r="E8533" s="4" t="str">
        <v/>
      </c>
      <c r="F8533" s="102" t="str">
        <f ca="1">IFERROR(__xludf.DUMMYFUNCTION("IMPORTRANGE(H8533,""IDENTITAS UNIT!D9"")"),"#N/A")</f>
        <v>#N/A</v>
      </c>
      <c r="H8533" s="4" t="str">
        <v/>
      </c>
      <c r="I8533" s="4" t="str">
        <v/>
      </c>
    </row>
    <row r="8534" spans="5:9" ht="16.5" hidden="1">
      <c r="E8534" s="4" t="str">
        <v/>
      </c>
      <c r="F8534" s="102" t="str">
        <f ca="1">IFERROR(__xludf.DUMMYFUNCTION("IMPORTRANGE(H8534,""IDENTITAS UNIT!D9"")"),"#N/A")</f>
        <v>#N/A</v>
      </c>
      <c r="H8534" s="4" t="str">
        <v/>
      </c>
      <c r="I8534" s="4" t="str">
        <v/>
      </c>
    </row>
    <row r="8535" spans="5:9" ht="16.5" hidden="1">
      <c r="E8535" s="4" t="str">
        <v/>
      </c>
      <c r="F8535" s="102" t="str">
        <f ca="1">IFERROR(__xludf.DUMMYFUNCTION("IMPORTRANGE(H8535,""IDENTITAS UNIT!D9"")"),"#N/A")</f>
        <v>#N/A</v>
      </c>
      <c r="H8535" s="4" t="str">
        <v/>
      </c>
      <c r="I8535" s="4" t="str">
        <v/>
      </c>
    </row>
    <row r="8536" spans="5:9" ht="16.5" hidden="1">
      <c r="E8536" s="4" t="str">
        <v/>
      </c>
      <c r="F8536" s="102" t="str">
        <f ca="1">IFERROR(__xludf.DUMMYFUNCTION("IMPORTRANGE(H8536,""IDENTITAS UNIT!D9"")"),"#N/A")</f>
        <v>#N/A</v>
      </c>
      <c r="H8536" s="4" t="str">
        <v/>
      </c>
      <c r="I8536" s="4" t="str">
        <v/>
      </c>
    </row>
    <row r="8537" spans="5:9" ht="16.5" hidden="1">
      <c r="E8537" s="4" t="str">
        <v/>
      </c>
      <c r="F8537" s="102" t="str">
        <f ca="1">IFERROR(__xludf.DUMMYFUNCTION("IMPORTRANGE(H8537,""IDENTITAS UNIT!D9"")"),"#N/A")</f>
        <v>#N/A</v>
      </c>
      <c r="H8537" s="4" t="str">
        <v/>
      </c>
      <c r="I8537" s="4" t="str">
        <v/>
      </c>
    </row>
    <row r="8538" spans="5:9" ht="16.5" hidden="1">
      <c r="E8538" s="4" t="str">
        <v/>
      </c>
      <c r="F8538" s="102" t="str">
        <f ca="1">IFERROR(__xludf.DUMMYFUNCTION("IMPORTRANGE(H8538,""IDENTITAS UNIT!D9"")"),"#N/A")</f>
        <v>#N/A</v>
      </c>
      <c r="H8538" s="4" t="str">
        <v/>
      </c>
      <c r="I8538" s="4" t="str">
        <v/>
      </c>
    </row>
    <row r="8539" spans="5:9" ht="16.5" hidden="1">
      <c r="E8539" s="4" t="str">
        <v/>
      </c>
      <c r="F8539" s="102" t="str">
        <f ca="1">IFERROR(__xludf.DUMMYFUNCTION("IMPORTRANGE(H8539,""IDENTITAS UNIT!D9"")"),"#N/A")</f>
        <v>#N/A</v>
      </c>
      <c r="H8539" s="4" t="str">
        <v/>
      </c>
      <c r="I8539" s="4" t="str">
        <v/>
      </c>
    </row>
    <row r="8540" spans="5:9" ht="16.5" hidden="1">
      <c r="E8540" s="4" t="str">
        <v/>
      </c>
      <c r="F8540" s="102" t="str">
        <f ca="1">IFERROR(__xludf.DUMMYFUNCTION("IMPORTRANGE(H8540,""IDENTITAS UNIT!D9"")"),"#N/A")</f>
        <v>#N/A</v>
      </c>
      <c r="H8540" s="4" t="str">
        <v/>
      </c>
      <c r="I8540" s="4" t="str">
        <v/>
      </c>
    </row>
    <row r="8541" spans="5:9" ht="16.5" hidden="1">
      <c r="E8541" s="4" t="str">
        <v/>
      </c>
      <c r="F8541" s="102" t="str">
        <f ca="1">IFERROR(__xludf.DUMMYFUNCTION("IMPORTRANGE(H8541,""IDENTITAS UNIT!D9"")"),"#N/A")</f>
        <v>#N/A</v>
      </c>
      <c r="H8541" s="4" t="str">
        <v/>
      </c>
      <c r="I8541" s="4" t="str">
        <v/>
      </c>
    </row>
    <row r="8542" spans="5:9" ht="16.5" hidden="1">
      <c r="E8542" s="4" t="str">
        <v/>
      </c>
      <c r="F8542" s="102" t="str">
        <f ca="1">IFERROR(__xludf.DUMMYFUNCTION("IMPORTRANGE(H8542,""IDENTITAS UNIT!D9"")"),"#N/A")</f>
        <v>#N/A</v>
      </c>
      <c r="H8542" s="4" t="str">
        <v/>
      </c>
      <c r="I8542" s="4" t="str">
        <v/>
      </c>
    </row>
    <row r="8543" spans="5:9" ht="16.5" hidden="1">
      <c r="E8543" s="4" t="str">
        <v/>
      </c>
      <c r="F8543" s="102" t="str">
        <f ca="1">IFERROR(__xludf.DUMMYFUNCTION("IMPORTRANGE(H8543,""IDENTITAS UNIT!D9"")"),"#N/A")</f>
        <v>#N/A</v>
      </c>
      <c r="H8543" s="4" t="str">
        <v/>
      </c>
      <c r="I8543" s="4" t="str">
        <v/>
      </c>
    </row>
    <row r="8544" spans="5:9" ht="16.5" hidden="1">
      <c r="E8544" s="4" t="str">
        <v/>
      </c>
      <c r="F8544" s="102" t="str">
        <f ca="1">IFERROR(__xludf.DUMMYFUNCTION("IMPORTRANGE(H8544,""IDENTITAS UNIT!D9"")"),"#N/A")</f>
        <v>#N/A</v>
      </c>
      <c r="H8544" s="4" t="str">
        <v/>
      </c>
      <c r="I8544" s="4" t="str">
        <v/>
      </c>
    </row>
    <row r="8545" spans="5:9" ht="16.5" hidden="1">
      <c r="E8545" s="4" t="str">
        <v/>
      </c>
      <c r="F8545" s="102" t="str">
        <f ca="1">IFERROR(__xludf.DUMMYFUNCTION("IMPORTRANGE(H8545,""IDENTITAS UNIT!D9"")"),"#N/A")</f>
        <v>#N/A</v>
      </c>
      <c r="H8545" s="4" t="str">
        <v/>
      </c>
      <c r="I8545" s="4" t="str">
        <v/>
      </c>
    </row>
    <row r="8546" spans="5:9" ht="16.5" hidden="1">
      <c r="E8546" s="4" t="str">
        <v/>
      </c>
      <c r="F8546" s="102" t="str">
        <f ca="1">IFERROR(__xludf.DUMMYFUNCTION("IMPORTRANGE(H8546,""IDENTITAS UNIT!D9"")"),"#N/A")</f>
        <v>#N/A</v>
      </c>
      <c r="H8546" s="4" t="str">
        <v/>
      </c>
      <c r="I8546" s="4" t="str">
        <v/>
      </c>
    </row>
    <row r="8547" spans="5:9" ht="16.5" hidden="1">
      <c r="E8547" s="4" t="str">
        <v/>
      </c>
      <c r="F8547" s="102" t="str">
        <f ca="1">IFERROR(__xludf.DUMMYFUNCTION("IMPORTRANGE(H8547,""IDENTITAS UNIT!D9"")"),"#N/A")</f>
        <v>#N/A</v>
      </c>
      <c r="H8547" s="4" t="str">
        <v/>
      </c>
      <c r="I8547" s="4" t="str">
        <v/>
      </c>
    </row>
    <row r="8548" spans="5:9" ht="16.5" hidden="1">
      <c r="E8548" s="4" t="str">
        <v/>
      </c>
      <c r="F8548" s="102" t="str">
        <f ca="1">IFERROR(__xludf.DUMMYFUNCTION("IMPORTRANGE(H8548,""IDENTITAS UNIT!D9"")"),"#N/A")</f>
        <v>#N/A</v>
      </c>
      <c r="H8548" s="4" t="str">
        <v/>
      </c>
      <c r="I8548" s="4" t="str">
        <v/>
      </c>
    </row>
    <row r="8549" spans="5:9" ht="16.5" hidden="1">
      <c r="E8549" s="4" t="str">
        <v/>
      </c>
      <c r="F8549" s="102" t="str">
        <f ca="1">IFERROR(__xludf.DUMMYFUNCTION("IMPORTRANGE(H8549,""IDENTITAS UNIT!D9"")"),"#N/A")</f>
        <v>#N/A</v>
      </c>
      <c r="H8549" s="4" t="str">
        <v/>
      </c>
      <c r="I8549" s="4" t="str">
        <v/>
      </c>
    </row>
    <row r="8550" spans="5:9" ht="16.5" hidden="1">
      <c r="E8550" s="4" t="str">
        <v/>
      </c>
      <c r="F8550" s="102" t="str">
        <f ca="1">IFERROR(__xludf.DUMMYFUNCTION("IMPORTRANGE(H8550,""IDENTITAS UNIT!D9"")"),"#N/A")</f>
        <v>#N/A</v>
      </c>
      <c r="H8550" s="4" t="str">
        <v/>
      </c>
      <c r="I8550" s="4" t="str">
        <v/>
      </c>
    </row>
    <row r="8551" spans="5:9" ht="16.5" hidden="1">
      <c r="E8551" s="4" t="str">
        <v/>
      </c>
      <c r="F8551" s="102" t="str">
        <f ca="1">IFERROR(__xludf.DUMMYFUNCTION("IMPORTRANGE(H8551,""IDENTITAS UNIT!D9"")"),"#N/A")</f>
        <v>#N/A</v>
      </c>
      <c r="H8551" s="4" t="str">
        <v/>
      </c>
      <c r="I8551" s="4" t="str">
        <v/>
      </c>
    </row>
    <row r="8552" spans="5:9" ht="16.5" hidden="1">
      <c r="E8552" s="4" t="str">
        <v/>
      </c>
      <c r="F8552" s="102" t="str">
        <f ca="1">IFERROR(__xludf.DUMMYFUNCTION("IMPORTRANGE(H8552,""IDENTITAS UNIT!D9"")"),"#N/A")</f>
        <v>#N/A</v>
      </c>
      <c r="H8552" s="4" t="str">
        <v/>
      </c>
      <c r="I8552" s="4" t="str">
        <v/>
      </c>
    </row>
    <row r="8553" spans="5:9" ht="16.5" hidden="1">
      <c r="E8553" s="4" t="str">
        <v/>
      </c>
      <c r="F8553" s="102" t="str">
        <f ca="1">IFERROR(__xludf.DUMMYFUNCTION("IMPORTRANGE(H8553,""IDENTITAS UNIT!D9"")"),"#N/A")</f>
        <v>#N/A</v>
      </c>
      <c r="H8553" s="4" t="str">
        <v/>
      </c>
      <c r="I8553" s="4" t="str">
        <v/>
      </c>
    </row>
    <row r="8554" spans="5:9" ht="16.5" hidden="1">
      <c r="E8554" s="4" t="str">
        <v/>
      </c>
      <c r="F8554" s="102" t="str">
        <f ca="1">IFERROR(__xludf.DUMMYFUNCTION("IMPORTRANGE(H8554,""IDENTITAS UNIT!D9"")"),"#N/A")</f>
        <v>#N/A</v>
      </c>
      <c r="H8554" s="4" t="str">
        <v/>
      </c>
      <c r="I8554" s="4" t="str">
        <v/>
      </c>
    </row>
    <row r="8555" spans="5:9" ht="16.5" hidden="1">
      <c r="E8555" s="4" t="str">
        <v/>
      </c>
      <c r="F8555" s="102" t="str">
        <f ca="1">IFERROR(__xludf.DUMMYFUNCTION("IMPORTRANGE(H8555,""IDENTITAS UNIT!D9"")"),"#N/A")</f>
        <v>#N/A</v>
      </c>
      <c r="H8555" s="4" t="str">
        <v/>
      </c>
      <c r="I8555" s="4" t="str">
        <v/>
      </c>
    </row>
    <row r="8556" spans="5:9" ht="16.5" hidden="1">
      <c r="E8556" s="4" t="str">
        <v/>
      </c>
      <c r="F8556" s="102" t="str">
        <f ca="1">IFERROR(__xludf.DUMMYFUNCTION("IMPORTRANGE(H8556,""IDENTITAS UNIT!D9"")"),"#N/A")</f>
        <v>#N/A</v>
      </c>
      <c r="H8556" s="4" t="str">
        <v/>
      </c>
      <c r="I8556" s="4" t="str">
        <v/>
      </c>
    </row>
    <row r="8557" spans="5:9" ht="16.5" hidden="1">
      <c r="E8557" s="4" t="str">
        <v/>
      </c>
      <c r="F8557" s="102" t="str">
        <f ca="1">IFERROR(__xludf.DUMMYFUNCTION("IMPORTRANGE(H8557,""IDENTITAS UNIT!D9"")"),"#N/A")</f>
        <v>#N/A</v>
      </c>
      <c r="H8557" s="4" t="str">
        <v/>
      </c>
      <c r="I8557" s="4" t="str">
        <v/>
      </c>
    </row>
    <row r="8558" spans="5:9" ht="16.5" hidden="1">
      <c r="E8558" s="4" t="str">
        <v/>
      </c>
      <c r="F8558" s="102" t="str">
        <f ca="1">IFERROR(__xludf.DUMMYFUNCTION("IMPORTRANGE(H8558,""IDENTITAS UNIT!D9"")"),"#N/A")</f>
        <v>#N/A</v>
      </c>
      <c r="H8558" s="4" t="str">
        <v/>
      </c>
      <c r="I8558" s="4" t="str">
        <v/>
      </c>
    </row>
    <row r="8559" spans="5:9" ht="16.5" hidden="1">
      <c r="E8559" s="4" t="str">
        <v/>
      </c>
      <c r="F8559" s="102" t="str">
        <f ca="1">IFERROR(__xludf.DUMMYFUNCTION("IMPORTRANGE(H8559,""IDENTITAS UNIT!D9"")"),"#N/A")</f>
        <v>#N/A</v>
      </c>
      <c r="H8559" s="4" t="str">
        <v/>
      </c>
      <c r="I8559" s="4" t="str">
        <v/>
      </c>
    </row>
    <row r="8560" spans="5:9" ht="16.5" hidden="1">
      <c r="E8560" s="4" t="str">
        <v/>
      </c>
      <c r="F8560" s="102" t="str">
        <f ca="1">IFERROR(__xludf.DUMMYFUNCTION("IMPORTRANGE(H8560,""IDENTITAS UNIT!D9"")"),"#N/A")</f>
        <v>#N/A</v>
      </c>
      <c r="H8560" s="4" t="str">
        <v/>
      </c>
      <c r="I8560" s="4" t="str">
        <v/>
      </c>
    </row>
    <row r="8561" spans="5:9" ht="16.5" hidden="1">
      <c r="E8561" s="4" t="str">
        <v/>
      </c>
      <c r="F8561" s="102" t="str">
        <f ca="1">IFERROR(__xludf.DUMMYFUNCTION("IMPORTRANGE(H8561,""IDENTITAS UNIT!D9"")"),"#N/A")</f>
        <v>#N/A</v>
      </c>
      <c r="H8561" s="4" t="str">
        <v/>
      </c>
      <c r="I8561" s="4" t="str">
        <v/>
      </c>
    </row>
    <row r="8562" spans="5:9" ht="16.5" hidden="1">
      <c r="E8562" s="4" t="str">
        <v/>
      </c>
      <c r="F8562" s="102" t="str">
        <f ca="1">IFERROR(__xludf.DUMMYFUNCTION("IMPORTRANGE(H8562,""IDENTITAS UNIT!D9"")"),"#N/A")</f>
        <v>#N/A</v>
      </c>
      <c r="H8562" s="4" t="str">
        <v/>
      </c>
      <c r="I8562" s="4" t="str">
        <v/>
      </c>
    </row>
    <row r="8563" spans="5:9" ht="16.5" hidden="1">
      <c r="E8563" s="4" t="str">
        <v/>
      </c>
      <c r="F8563" s="102" t="str">
        <f ca="1">IFERROR(__xludf.DUMMYFUNCTION("IMPORTRANGE(H8563,""IDENTITAS UNIT!D9"")"),"#N/A")</f>
        <v>#N/A</v>
      </c>
      <c r="H8563" s="4" t="str">
        <v/>
      </c>
      <c r="I8563" s="4" t="str">
        <v/>
      </c>
    </row>
    <row r="8564" spans="5:9" ht="16.5" hidden="1">
      <c r="E8564" s="4" t="str">
        <v/>
      </c>
      <c r="F8564" s="102" t="str">
        <f ca="1">IFERROR(__xludf.DUMMYFUNCTION("IMPORTRANGE(H8564,""IDENTITAS UNIT!D9"")"),"#N/A")</f>
        <v>#N/A</v>
      </c>
      <c r="H8564" s="4" t="str">
        <v/>
      </c>
      <c r="I8564" s="4" t="str">
        <v/>
      </c>
    </row>
    <row r="8565" spans="5:9" ht="16.5" hidden="1">
      <c r="E8565" s="4" t="str">
        <v/>
      </c>
      <c r="F8565" s="102" t="str">
        <f ca="1">IFERROR(__xludf.DUMMYFUNCTION("IMPORTRANGE(H8565,""IDENTITAS UNIT!D9"")"),"#N/A")</f>
        <v>#N/A</v>
      </c>
      <c r="H8565" s="4" t="str">
        <v/>
      </c>
      <c r="I8565" s="4" t="str">
        <v/>
      </c>
    </row>
    <row r="8566" spans="5:9" ht="16.5" hidden="1">
      <c r="E8566" s="4" t="str">
        <v/>
      </c>
      <c r="F8566" s="102" t="str">
        <f ca="1">IFERROR(__xludf.DUMMYFUNCTION("IMPORTRANGE(H8566,""IDENTITAS UNIT!D9"")"),"#N/A")</f>
        <v>#N/A</v>
      </c>
      <c r="H8566" s="4" t="str">
        <v/>
      </c>
      <c r="I8566" s="4" t="str">
        <v/>
      </c>
    </row>
    <row r="8567" spans="5:9" ht="16.5" hidden="1">
      <c r="E8567" s="4" t="str">
        <v/>
      </c>
      <c r="F8567" s="102" t="str">
        <f ca="1">IFERROR(__xludf.DUMMYFUNCTION("IMPORTRANGE(H8567,""IDENTITAS UNIT!D9"")"),"#N/A")</f>
        <v>#N/A</v>
      </c>
      <c r="H8567" s="4" t="str">
        <v/>
      </c>
      <c r="I8567" s="4" t="str">
        <v/>
      </c>
    </row>
    <row r="8568" spans="5:9" ht="16.5" hidden="1">
      <c r="E8568" s="4" t="str">
        <v/>
      </c>
      <c r="F8568" s="102" t="str">
        <f ca="1">IFERROR(__xludf.DUMMYFUNCTION("IMPORTRANGE(H8568,""IDENTITAS UNIT!D9"")"),"#N/A")</f>
        <v>#N/A</v>
      </c>
      <c r="H8568" s="4" t="str">
        <v/>
      </c>
      <c r="I8568" s="4" t="str">
        <v/>
      </c>
    </row>
    <row r="8569" spans="5:9" ht="16.5" hidden="1">
      <c r="E8569" s="4" t="str">
        <v/>
      </c>
      <c r="F8569" s="102" t="str">
        <f ca="1">IFERROR(__xludf.DUMMYFUNCTION("IMPORTRANGE(H8569,""IDENTITAS UNIT!D9"")"),"#N/A")</f>
        <v>#N/A</v>
      </c>
      <c r="H8569" s="4" t="str">
        <v/>
      </c>
      <c r="I8569" s="4" t="str">
        <v/>
      </c>
    </row>
    <row r="8570" spans="5:9" ht="16.5" hidden="1">
      <c r="E8570" s="4" t="str">
        <v/>
      </c>
      <c r="F8570" s="102" t="str">
        <f ca="1">IFERROR(__xludf.DUMMYFUNCTION("IMPORTRANGE(H8570,""IDENTITAS UNIT!D9"")"),"#N/A")</f>
        <v>#N/A</v>
      </c>
      <c r="H8570" s="4" t="str">
        <v/>
      </c>
      <c r="I8570" s="4" t="str">
        <v/>
      </c>
    </row>
    <row r="8571" spans="5:9" ht="16.5" hidden="1">
      <c r="E8571" s="4" t="str">
        <v/>
      </c>
      <c r="F8571" s="102" t="str">
        <f ca="1">IFERROR(__xludf.DUMMYFUNCTION("IMPORTRANGE(H8571,""IDENTITAS UNIT!D9"")"),"#N/A")</f>
        <v>#N/A</v>
      </c>
      <c r="H8571" s="4" t="str">
        <v/>
      </c>
      <c r="I8571" s="4" t="str">
        <v/>
      </c>
    </row>
    <row r="8572" spans="5:9" ht="16.5" hidden="1">
      <c r="E8572" s="4" t="str">
        <v/>
      </c>
      <c r="F8572" s="102" t="str">
        <f ca="1">IFERROR(__xludf.DUMMYFUNCTION("IMPORTRANGE(H8572,""IDENTITAS UNIT!D9"")"),"#N/A")</f>
        <v>#N/A</v>
      </c>
      <c r="H8572" s="4" t="str">
        <v/>
      </c>
      <c r="I8572" s="4" t="str">
        <v/>
      </c>
    </row>
    <row r="8573" spans="5:9" ht="16.5" hidden="1">
      <c r="E8573" s="4" t="str">
        <v/>
      </c>
      <c r="F8573" s="102" t="str">
        <f ca="1">IFERROR(__xludf.DUMMYFUNCTION("IMPORTRANGE(H8573,""IDENTITAS UNIT!D9"")"),"#N/A")</f>
        <v>#N/A</v>
      </c>
      <c r="H8573" s="4" t="str">
        <v/>
      </c>
      <c r="I8573" s="4" t="str">
        <v/>
      </c>
    </row>
    <row r="8574" spans="5:9" ht="16.5" hidden="1">
      <c r="E8574" s="4" t="str">
        <v/>
      </c>
      <c r="F8574" s="102" t="str">
        <f ca="1">IFERROR(__xludf.DUMMYFUNCTION("IMPORTRANGE(H8574,""IDENTITAS UNIT!D9"")"),"#N/A")</f>
        <v>#N/A</v>
      </c>
      <c r="H8574" s="4" t="str">
        <v/>
      </c>
      <c r="I8574" s="4" t="str">
        <v/>
      </c>
    </row>
    <row r="8575" spans="5:9" ht="16.5" hidden="1">
      <c r="E8575" s="4" t="str">
        <v/>
      </c>
      <c r="F8575" s="102" t="str">
        <f ca="1">IFERROR(__xludf.DUMMYFUNCTION("IMPORTRANGE(H8575,""IDENTITAS UNIT!D9"")"),"#N/A")</f>
        <v>#N/A</v>
      </c>
      <c r="H8575" s="4" t="str">
        <v/>
      </c>
      <c r="I8575" s="4" t="str">
        <v/>
      </c>
    </row>
    <row r="8576" spans="5:9" ht="16.5" hidden="1">
      <c r="E8576" s="4" t="str">
        <v/>
      </c>
      <c r="F8576" s="102" t="str">
        <f ca="1">IFERROR(__xludf.DUMMYFUNCTION("IMPORTRANGE(H8576,""IDENTITAS UNIT!D9"")"),"#N/A")</f>
        <v>#N/A</v>
      </c>
      <c r="H8576" s="4" t="str">
        <v/>
      </c>
      <c r="I8576" s="4" t="str">
        <v/>
      </c>
    </row>
    <row r="8577" spans="5:9" ht="16.5" hidden="1">
      <c r="E8577" s="4" t="str">
        <v/>
      </c>
      <c r="F8577" s="102" t="str">
        <f ca="1">IFERROR(__xludf.DUMMYFUNCTION("IMPORTRANGE(H8577,""IDENTITAS UNIT!D9"")"),"#N/A")</f>
        <v>#N/A</v>
      </c>
      <c r="H8577" s="4" t="str">
        <v/>
      </c>
      <c r="I8577" s="4" t="str">
        <v/>
      </c>
    </row>
    <row r="8578" spans="5:9" ht="16.5" hidden="1">
      <c r="E8578" s="4" t="str">
        <v/>
      </c>
      <c r="F8578" s="102" t="str">
        <f ca="1">IFERROR(__xludf.DUMMYFUNCTION("IMPORTRANGE(H8578,""IDENTITAS UNIT!D9"")"),"#N/A")</f>
        <v>#N/A</v>
      </c>
      <c r="H8578" s="4" t="str">
        <v/>
      </c>
      <c r="I8578" s="4" t="str">
        <v/>
      </c>
    </row>
    <row r="8579" spans="5:9" ht="16.5" hidden="1">
      <c r="E8579" s="4" t="str">
        <v/>
      </c>
      <c r="F8579" s="102" t="str">
        <f ca="1">IFERROR(__xludf.DUMMYFUNCTION("IMPORTRANGE(H8579,""IDENTITAS UNIT!D9"")"),"#N/A")</f>
        <v>#N/A</v>
      </c>
      <c r="H8579" s="4" t="str">
        <v/>
      </c>
      <c r="I8579" s="4" t="str">
        <v/>
      </c>
    </row>
    <row r="8580" spans="5:9" ht="16.5" hidden="1">
      <c r="E8580" s="4" t="str">
        <v/>
      </c>
      <c r="F8580" s="102" t="str">
        <f ca="1">IFERROR(__xludf.DUMMYFUNCTION("IMPORTRANGE(H8580,""IDENTITAS UNIT!D9"")"),"#N/A")</f>
        <v>#N/A</v>
      </c>
      <c r="H8580" s="4" t="str">
        <v/>
      </c>
      <c r="I8580" s="4" t="str">
        <v/>
      </c>
    </row>
    <row r="8581" spans="5:9" ht="16.5" hidden="1">
      <c r="E8581" s="4" t="str">
        <v/>
      </c>
      <c r="F8581" s="102" t="str">
        <f ca="1">IFERROR(__xludf.DUMMYFUNCTION("IMPORTRANGE(H8581,""IDENTITAS UNIT!D9"")"),"#N/A")</f>
        <v>#N/A</v>
      </c>
      <c r="H8581" s="4" t="str">
        <v/>
      </c>
      <c r="I8581" s="4" t="str">
        <v/>
      </c>
    </row>
    <row r="8582" spans="5:9" ht="16.5" hidden="1">
      <c r="E8582" s="4" t="str">
        <v/>
      </c>
      <c r="F8582" s="102" t="str">
        <f ca="1">IFERROR(__xludf.DUMMYFUNCTION("IMPORTRANGE(H8582,""IDENTITAS UNIT!D9"")"),"#N/A")</f>
        <v>#N/A</v>
      </c>
      <c r="H8582" s="4" t="str">
        <v/>
      </c>
      <c r="I8582" s="4" t="str">
        <v/>
      </c>
    </row>
    <row r="8583" spans="5:9" ht="16.5" hidden="1">
      <c r="E8583" s="4" t="str">
        <v/>
      </c>
      <c r="F8583" s="102" t="str">
        <f ca="1">IFERROR(__xludf.DUMMYFUNCTION("IMPORTRANGE(H8583,""IDENTITAS UNIT!D9"")"),"#N/A")</f>
        <v>#N/A</v>
      </c>
      <c r="H8583" s="4" t="str">
        <v/>
      </c>
      <c r="I8583" s="4" t="str">
        <v/>
      </c>
    </row>
    <row r="8584" spans="5:9" ht="16.5" hidden="1">
      <c r="E8584" s="4" t="str">
        <v/>
      </c>
      <c r="F8584" s="102" t="str">
        <f ca="1">IFERROR(__xludf.DUMMYFUNCTION("IMPORTRANGE(H8584,""IDENTITAS UNIT!D9"")"),"#N/A")</f>
        <v>#N/A</v>
      </c>
      <c r="H8584" s="4" t="str">
        <v/>
      </c>
      <c r="I8584" s="4" t="str">
        <v/>
      </c>
    </row>
    <row r="8585" spans="5:9" ht="16.5" hidden="1">
      <c r="E8585" s="4" t="str">
        <v/>
      </c>
      <c r="F8585" s="102" t="str">
        <f ca="1">IFERROR(__xludf.DUMMYFUNCTION("IMPORTRANGE(H8585,""IDENTITAS UNIT!D9"")"),"#N/A")</f>
        <v>#N/A</v>
      </c>
      <c r="H8585" s="4" t="str">
        <v/>
      </c>
      <c r="I8585" s="4" t="str">
        <v/>
      </c>
    </row>
    <row r="8586" spans="5:9" ht="16.5" hidden="1">
      <c r="E8586" s="4" t="str">
        <v/>
      </c>
      <c r="F8586" s="102" t="str">
        <f ca="1">IFERROR(__xludf.DUMMYFUNCTION("IMPORTRANGE(H8586,""IDENTITAS UNIT!D9"")"),"#N/A")</f>
        <v>#N/A</v>
      </c>
      <c r="H8586" s="4" t="str">
        <v/>
      </c>
      <c r="I8586" s="4" t="str">
        <v/>
      </c>
    </row>
    <row r="8587" spans="5:9" ht="16.5" hidden="1">
      <c r="E8587" s="4" t="str">
        <v/>
      </c>
      <c r="F8587" s="102" t="str">
        <f ca="1">IFERROR(__xludf.DUMMYFUNCTION("IMPORTRANGE(H8587,""IDENTITAS UNIT!D9"")"),"#N/A")</f>
        <v>#N/A</v>
      </c>
      <c r="H8587" s="4" t="str">
        <v/>
      </c>
      <c r="I8587" s="4" t="str">
        <v/>
      </c>
    </row>
    <row r="8588" spans="5:9" ht="16.5" hidden="1">
      <c r="E8588" s="4" t="str">
        <v/>
      </c>
      <c r="F8588" s="102" t="str">
        <f ca="1">IFERROR(__xludf.DUMMYFUNCTION("IMPORTRANGE(H8588,""IDENTITAS UNIT!D9"")"),"#N/A")</f>
        <v>#N/A</v>
      </c>
      <c r="H8588" s="4" t="str">
        <v/>
      </c>
      <c r="I8588" s="4" t="str">
        <v/>
      </c>
    </row>
    <row r="8589" spans="5:9" ht="16.5" hidden="1">
      <c r="E8589" s="4" t="str">
        <v/>
      </c>
      <c r="F8589" s="102" t="str">
        <f ca="1">IFERROR(__xludf.DUMMYFUNCTION("IMPORTRANGE(H8589,""IDENTITAS UNIT!D9"")"),"#N/A")</f>
        <v>#N/A</v>
      </c>
      <c r="H8589" s="4" t="str">
        <v/>
      </c>
      <c r="I8589" s="4" t="str">
        <v/>
      </c>
    </row>
    <row r="8590" spans="5:9" ht="16.5" hidden="1">
      <c r="E8590" s="4" t="str">
        <v/>
      </c>
      <c r="F8590" s="102" t="str">
        <f ca="1">IFERROR(__xludf.DUMMYFUNCTION("IMPORTRANGE(H8590,""IDENTITAS UNIT!D9"")"),"#N/A")</f>
        <v>#N/A</v>
      </c>
      <c r="H8590" s="4" t="str">
        <v/>
      </c>
      <c r="I8590" s="4" t="str">
        <v/>
      </c>
    </row>
    <row r="8591" spans="5:9" ht="16.5" hidden="1">
      <c r="E8591" s="4" t="str">
        <v/>
      </c>
      <c r="F8591" s="102" t="str">
        <f ca="1">IFERROR(__xludf.DUMMYFUNCTION("IMPORTRANGE(H8591,""IDENTITAS UNIT!D9"")"),"#N/A")</f>
        <v>#N/A</v>
      </c>
      <c r="H8591" s="4" t="str">
        <v/>
      </c>
      <c r="I8591" s="4" t="str">
        <v/>
      </c>
    </row>
    <row r="8592" spans="5:9" ht="16.5" hidden="1">
      <c r="E8592" s="4" t="str">
        <v/>
      </c>
      <c r="F8592" s="102" t="str">
        <f ca="1">IFERROR(__xludf.DUMMYFUNCTION("IMPORTRANGE(H8592,""IDENTITAS UNIT!D9"")"),"#N/A")</f>
        <v>#N/A</v>
      </c>
      <c r="H8592" s="4" t="str">
        <v/>
      </c>
      <c r="I8592" s="4" t="str">
        <v/>
      </c>
    </row>
    <row r="8593" spans="5:9" ht="16.5" hidden="1">
      <c r="E8593" s="4" t="str">
        <v/>
      </c>
      <c r="F8593" s="102" t="str">
        <f ca="1">IFERROR(__xludf.DUMMYFUNCTION("IMPORTRANGE(H8593,""IDENTITAS UNIT!D9"")"),"#N/A")</f>
        <v>#N/A</v>
      </c>
      <c r="H8593" s="4" t="str">
        <v/>
      </c>
      <c r="I8593" s="4" t="str">
        <v/>
      </c>
    </row>
    <row r="8594" spans="5:9" ht="16.5" hidden="1">
      <c r="E8594" s="4" t="str">
        <v/>
      </c>
      <c r="F8594" s="102" t="str">
        <f ca="1">IFERROR(__xludf.DUMMYFUNCTION("IMPORTRANGE(H8594,""IDENTITAS UNIT!D9"")"),"#N/A")</f>
        <v>#N/A</v>
      </c>
      <c r="H8594" s="4" t="str">
        <v/>
      </c>
      <c r="I8594" s="4" t="str">
        <v/>
      </c>
    </row>
    <row r="8595" spans="5:9" ht="16.5" hidden="1">
      <c r="E8595" s="4" t="str">
        <v/>
      </c>
      <c r="F8595" s="102" t="str">
        <f ca="1">IFERROR(__xludf.DUMMYFUNCTION("IMPORTRANGE(H8595,""IDENTITAS UNIT!D9"")"),"#N/A")</f>
        <v>#N/A</v>
      </c>
      <c r="H8595" s="4" t="str">
        <v/>
      </c>
      <c r="I8595" s="4" t="str">
        <v/>
      </c>
    </row>
    <row r="8596" spans="5:9" ht="16.5" hidden="1">
      <c r="E8596" s="4" t="str">
        <v/>
      </c>
      <c r="F8596" s="102" t="str">
        <f ca="1">IFERROR(__xludf.DUMMYFUNCTION("IMPORTRANGE(H8596,""IDENTITAS UNIT!D9"")"),"#N/A")</f>
        <v>#N/A</v>
      </c>
      <c r="H8596" s="4" t="str">
        <v/>
      </c>
      <c r="I8596" s="4" t="str">
        <v/>
      </c>
    </row>
    <row r="8597" spans="5:9" ht="16.5" hidden="1">
      <c r="E8597" s="4" t="str">
        <v/>
      </c>
      <c r="F8597" s="102" t="str">
        <f ca="1">IFERROR(__xludf.DUMMYFUNCTION("IMPORTRANGE(H8597,""IDENTITAS UNIT!D9"")"),"#N/A")</f>
        <v>#N/A</v>
      </c>
      <c r="H8597" s="4" t="str">
        <v/>
      </c>
      <c r="I8597" s="4" t="str">
        <v/>
      </c>
    </row>
    <row r="8598" spans="5:9" ht="16.5" hidden="1">
      <c r="E8598" s="4" t="str">
        <v/>
      </c>
      <c r="F8598" s="102" t="str">
        <f ca="1">IFERROR(__xludf.DUMMYFUNCTION("IMPORTRANGE(H8598,""IDENTITAS UNIT!D9"")"),"#N/A")</f>
        <v>#N/A</v>
      </c>
      <c r="H8598" s="4" t="str">
        <v/>
      </c>
      <c r="I8598" s="4" t="str">
        <v/>
      </c>
    </row>
    <row r="8599" spans="5:9" ht="16.5" hidden="1">
      <c r="E8599" s="4" t="str">
        <v/>
      </c>
      <c r="F8599" s="102" t="str">
        <f ca="1">IFERROR(__xludf.DUMMYFUNCTION("IMPORTRANGE(H8599,""IDENTITAS UNIT!D9"")"),"#N/A")</f>
        <v>#N/A</v>
      </c>
      <c r="H8599" s="4" t="str">
        <v/>
      </c>
      <c r="I8599" s="4" t="str">
        <v/>
      </c>
    </row>
    <row r="8600" spans="5:9" ht="16.5" hidden="1">
      <c r="E8600" s="4" t="str">
        <v/>
      </c>
      <c r="F8600" s="102" t="str">
        <f ca="1">IFERROR(__xludf.DUMMYFUNCTION("IMPORTRANGE(H8600,""IDENTITAS UNIT!D9"")"),"#N/A")</f>
        <v>#N/A</v>
      </c>
      <c r="H8600" s="4" t="str">
        <v/>
      </c>
      <c r="I8600" s="4" t="str">
        <v/>
      </c>
    </row>
    <row r="8601" spans="5:9" ht="16.5" hidden="1">
      <c r="E8601" s="4" t="str">
        <v/>
      </c>
      <c r="F8601" s="102" t="str">
        <f ca="1">IFERROR(__xludf.DUMMYFUNCTION("IMPORTRANGE(H8601,""IDENTITAS UNIT!D9"")"),"#N/A")</f>
        <v>#N/A</v>
      </c>
      <c r="H8601" s="4" t="str">
        <v/>
      </c>
      <c r="I8601" s="4" t="str">
        <v/>
      </c>
    </row>
    <row r="8602" spans="5:9" ht="16.5" hidden="1">
      <c r="E8602" s="4" t="str">
        <v/>
      </c>
      <c r="F8602" s="102" t="str">
        <f ca="1">IFERROR(__xludf.DUMMYFUNCTION("IMPORTRANGE(H8602,""IDENTITAS UNIT!D9"")"),"#N/A")</f>
        <v>#N/A</v>
      </c>
      <c r="H8602" s="4" t="str">
        <v/>
      </c>
      <c r="I8602" s="4" t="str">
        <v/>
      </c>
    </row>
    <row r="8603" spans="5:9" ht="16.5" hidden="1">
      <c r="E8603" s="4" t="str">
        <v/>
      </c>
      <c r="F8603" s="102" t="str">
        <f ca="1">IFERROR(__xludf.DUMMYFUNCTION("IMPORTRANGE(H8603,""IDENTITAS UNIT!D9"")"),"#N/A")</f>
        <v>#N/A</v>
      </c>
      <c r="H8603" s="4" t="str">
        <v/>
      </c>
      <c r="I8603" s="4" t="str">
        <v/>
      </c>
    </row>
    <row r="8604" spans="5:9" ht="16.5" hidden="1">
      <c r="E8604" s="4" t="str">
        <v/>
      </c>
      <c r="F8604" s="102" t="str">
        <f ca="1">IFERROR(__xludf.DUMMYFUNCTION("IMPORTRANGE(H8604,""IDENTITAS UNIT!D9"")"),"#N/A")</f>
        <v>#N/A</v>
      </c>
      <c r="H8604" s="4" t="str">
        <v/>
      </c>
      <c r="I8604" s="4" t="str">
        <v/>
      </c>
    </row>
    <row r="8605" spans="5:9" ht="16.5" hidden="1">
      <c r="E8605" s="4" t="str">
        <v/>
      </c>
      <c r="F8605" s="102" t="str">
        <f ca="1">IFERROR(__xludf.DUMMYFUNCTION("IMPORTRANGE(H8605,""IDENTITAS UNIT!D9"")"),"#N/A")</f>
        <v>#N/A</v>
      </c>
      <c r="H8605" s="4" t="str">
        <v/>
      </c>
      <c r="I8605" s="4" t="str">
        <v/>
      </c>
    </row>
    <row r="8606" spans="5:9" ht="16.5" hidden="1">
      <c r="E8606" s="4" t="str">
        <v/>
      </c>
      <c r="F8606" s="102" t="str">
        <f ca="1">IFERROR(__xludf.DUMMYFUNCTION("IMPORTRANGE(H8606,""IDENTITAS UNIT!D9"")"),"#N/A")</f>
        <v>#N/A</v>
      </c>
      <c r="H8606" s="4" t="str">
        <v/>
      </c>
      <c r="I8606" s="4" t="str">
        <v/>
      </c>
    </row>
    <row r="8607" spans="5:9" ht="16.5" hidden="1">
      <c r="E8607" s="4" t="str">
        <v/>
      </c>
      <c r="F8607" s="102" t="str">
        <f ca="1">IFERROR(__xludf.DUMMYFUNCTION("IMPORTRANGE(H8607,""IDENTITAS UNIT!D9"")"),"#N/A")</f>
        <v>#N/A</v>
      </c>
      <c r="H8607" s="4" t="str">
        <v/>
      </c>
      <c r="I8607" s="4" t="str">
        <v/>
      </c>
    </row>
    <row r="8608" spans="5:9" ht="16.5" hidden="1">
      <c r="E8608" s="4" t="str">
        <v/>
      </c>
      <c r="F8608" s="102" t="str">
        <f ca="1">IFERROR(__xludf.DUMMYFUNCTION("IMPORTRANGE(H8608,""IDENTITAS UNIT!D9"")"),"#N/A")</f>
        <v>#N/A</v>
      </c>
      <c r="H8608" s="4" t="str">
        <v/>
      </c>
      <c r="I8608" s="4" t="str">
        <v/>
      </c>
    </row>
    <row r="8609" spans="5:9" ht="16.5" hidden="1">
      <c r="E8609" s="4" t="str">
        <v/>
      </c>
      <c r="F8609" s="102" t="str">
        <f ca="1">IFERROR(__xludf.DUMMYFUNCTION("IMPORTRANGE(H8609,""IDENTITAS UNIT!D9"")"),"#N/A")</f>
        <v>#N/A</v>
      </c>
      <c r="H8609" s="4" t="str">
        <v/>
      </c>
      <c r="I8609" s="4" t="str">
        <v/>
      </c>
    </row>
    <row r="8610" spans="5:9" ht="16.5" hidden="1">
      <c r="E8610" s="4" t="str">
        <v/>
      </c>
      <c r="F8610" s="102" t="str">
        <f ca="1">IFERROR(__xludf.DUMMYFUNCTION("IMPORTRANGE(H8610,""IDENTITAS UNIT!D9"")"),"#N/A")</f>
        <v>#N/A</v>
      </c>
      <c r="H8610" s="4" t="str">
        <v/>
      </c>
      <c r="I8610" s="4" t="str">
        <v/>
      </c>
    </row>
    <row r="8611" spans="5:9" ht="16.5" hidden="1">
      <c r="E8611" s="4" t="str">
        <v/>
      </c>
      <c r="F8611" s="102" t="str">
        <f ca="1">IFERROR(__xludf.DUMMYFUNCTION("IMPORTRANGE(H8611,""IDENTITAS UNIT!D9"")"),"#N/A")</f>
        <v>#N/A</v>
      </c>
      <c r="H8611" s="4" t="str">
        <v/>
      </c>
      <c r="I8611" s="4" t="str">
        <v/>
      </c>
    </row>
    <row r="8612" spans="5:9" ht="16.5" hidden="1">
      <c r="E8612" s="4" t="str">
        <v/>
      </c>
      <c r="F8612" s="102" t="str">
        <f ca="1">IFERROR(__xludf.DUMMYFUNCTION("IMPORTRANGE(H8612,""IDENTITAS UNIT!D9"")"),"#N/A")</f>
        <v>#N/A</v>
      </c>
      <c r="H8612" s="4" t="str">
        <v/>
      </c>
      <c r="I8612" s="4" t="str">
        <v/>
      </c>
    </row>
    <row r="8613" spans="5:9" ht="16.5" hidden="1">
      <c r="E8613" s="4" t="str">
        <v/>
      </c>
      <c r="F8613" s="102" t="str">
        <f ca="1">IFERROR(__xludf.DUMMYFUNCTION("IMPORTRANGE(H8613,""IDENTITAS UNIT!D9"")"),"#N/A")</f>
        <v>#N/A</v>
      </c>
      <c r="H8613" s="4" t="str">
        <v/>
      </c>
      <c r="I8613" s="4" t="str">
        <v/>
      </c>
    </row>
    <row r="8614" spans="5:9" ht="16.5" hidden="1">
      <c r="E8614" s="4" t="str">
        <v/>
      </c>
      <c r="F8614" s="102" t="str">
        <f ca="1">IFERROR(__xludf.DUMMYFUNCTION("IMPORTRANGE(H8614,""IDENTITAS UNIT!D9"")"),"#N/A")</f>
        <v>#N/A</v>
      </c>
      <c r="H8614" s="4" t="str">
        <v/>
      </c>
      <c r="I8614" s="4" t="str">
        <v/>
      </c>
    </row>
    <row r="8615" spans="5:9" ht="16.5" hidden="1">
      <c r="E8615" s="4" t="str">
        <v/>
      </c>
      <c r="F8615" s="102" t="str">
        <f ca="1">IFERROR(__xludf.DUMMYFUNCTION("IMPORTRANGE(H8615,""IDENTITAS UNIT!D9"")"),"#N/A")</f>
        <v>#N/A</v>
      </c>
      <c r="H8615" s="4" t="str">
        <v/>
      </c>
      <c r="I8615" s="4" t="str">
        <v/>
      </c>
    </row>
    <row r="8616" spans="5:9" ht="16.5" hidden="1">
      <c r="E8616" s="4" t="str">
        <v/>
      </c>
      <c r="F8616" s="102" t="str">
        <f ca="1">IFERROR(__xludf.DUMMYFUNCTION("IMPORTRANGE(H8616,""IDENTITAS UNIT!D9"")"),"#N/A")</f>
        <v>#N/A</v>
      </c>
      <c r="H8616" s="4" t="str">
        <v/>
      </c>
      <c r="I8616" s="4" t="str">
        <v/>
      </c>
    </row>
    <row r="8617" spans="5:9" ht="16.5" hidden="1">
      <c r="E8617" s="4" t="str">
        <v/>
      </c>
      <c r="F8617" s="102" t="str">
        <f ca="1">IFERROR(__xludf.DUMMYFUNCTION("IMPORTRANGE(H8617,""IDENTITAS UNIT!D9"")"),"#N/A")</f>
        <v>#N/A</v>
      </c>
      <c r="H8617" s="4" t="str">
        <v/>
      </c>
      <c r="I8617" s="4" t="str">
        <v/>
      </c>
    </row>
    <row r="8618" spans="5:9" ht="16.5" hidden="1">
      <c r="E8618" s="4" t="str">
        <v/>
      </c>
      <c r="F8618" s="102" t="str">
        <f ca="1">IFERROR(__xludf.DUMMYFUNCTION("IMPORTRANGE(H8618,""IDENTITAS UNIT!D9"")"),"#N/A")</f>
        <v>#N/A</v>
      </c>
      <c r="H8618" s="4" t="str">
        <v/>
      </c>
      <c r="I8618" s="4" t="str">
        <v/>
      </c>
    </row>
    <row r="8619" spans="5:9" ht="16.5" hidden="1">
      <c r="E8619" s="4" t="str">
        <v/>
      </c>
      <c r="F8619" s="102" t="str">
        <f ca="1">IFERROR(__xludf.DUMMYFUNCTION("IMPORTRANGE(H8619,""IDENTITAS UNIT!D9"")"),"#N/A")</f>
        <v>#N/A</v>
      </c>
      <c r="H8619" s="4" t="str">
        <v/>
      </c>
      <c r="I8619" s="4" t="str">
        <v/>
      </c>
    </row>
    <row r="8620" spans="5:9" ht="16.5" hidden="1">
      <c r="E8620" s="4" t="str">
        <v/>
      </c>
      <c r="F8620" s="102" t="str">
        <f ca="1">IFERROR(__xludf.DUMMYFUNCTION("IMPORTRANGE(H8620,""IDENTITAS UNIT!D9"")"),"#N/A")</f>
        <v>#N/A</v>
      </c>
      <c r="H8620" s="4" t="str">
        <v/>
      </c>
      <c r="I8620" s="4" t="str">
        <v/>
      </c>
    </row>
    <row r="8621" spans="5:9" ht="16.5" hidden="1">
      <c r="E8621" s="4" t="str">
        <v/>
      </c>
      <c r="F8621" s="102" t="str">
        <f ca="1">IFERROR(__xludf.DUMMYFUNCTION("IMPORTRANGE(H8621,""IDENTITAS UNIT!D9"")"),"#N/A")</f>
        <v>#N/A</v>
      </c>
      <c r="H8621" s="4" t="str">
        <v/>
      </c>
      <c r="I8621" s="4" t="str">
        <v/>
      </c>
    </row>
    <row r="8622" spans="5:9" ht="16.5" hidden="1">
      <c r="E8622" s="4" t="str">
        <v/>
      </c>
      <c r="F8622" s="102" t="str">
        <f ca="1">IFERROR(__xludf.DUMMYFUNCTION("IMPORTRANGE(H8622,""IDENTITAS UNIT!D9"")"),"#N/A")</f>
        <v>#N/A</v>
      </c>
      <c r="H8622" s="4" t="str">
        <v/>
      </c>
      <c r="I8622" s="4" t="str">
        <v/>
      </c>
    </row>
    <row r="8623" spans="5:9" ht="16.5" hidden="1">
      <c r="E8623" s="4" t="str">
        <v/>
      </c>
      <c r="F8623" s="102" t="str">
        <f ca="1">IFERROR(__xludf.DUMMYFUNCTION("IMPORTRANGE(H8623,""IDENTITAS UNIT!D9"")"),"#N/A")</f>
        <v>#N/A</v>
      </c>
      <c r="H8623" s="4" t="str">
        <v/>
      </c>
      <c r="I8623" s="4" t="str">
        <v/>
      </c>
    </row>
    <row r="8624" spans="5:9" ht="16.5" hidden="1">
      <c r="E8624" s="4" t="str">
        <v/>
      </c>
      <c r="F8624" s="102" t="str">
        <f ca="1">IFERROR(__xludf.DUMMYFUNCTION("IMPORTRANGE(H8624,""IDENTITAS UNIT!D9"")"),"#N/A")</f>
        <v>#N/A</v>
      </c>
      <c r="H8624" s="4" t="str">
        <v/>
      </c>
      <c r="I8624" s="4" t="str">
        <v/>
      </c>
    </row>
    <row r="8625" spans="5:9" ht="16.5" hidden="1">
      <c r="E8625" s="4" t="str">
        <v/>
      </c>
      <c r="F8625" s="102" t="str">
        <f ca="1">IFERROR(__xludf.DUMMYFUNCTION("IMPORTRANGE(H8625,""IDENTITAS UNIT!D9"")"),"#N/A")</f>
        <v>#N/A</v>
      </c>
      <c r="H8625" s="4" t="str">
        <v/>
      </c>
      <c r="I8625" s="4" t="str">
        <v/>
      </c>
    </row>
    <row r="8626" spans="5:9" ht="16.5" hidden="1">
      <c r="E8626" s="4" t="str">
        <v/>
      </c>
      <c r="F8626" s="102" t="str">
        <f ca="1">IFERROR(__xludf.DUMMYFUNCTION("IMPORTRANGE(H8626,""IDENTITAS UNIT!D9"")"),"#N/A")</f>
        <v>#N/A</v>
      </c>
      <c r="H8626" s="4" t="str">
        <v/>
      </c>
      <c r="I8626" s="4" t="str">
        <v/>
      </c>
    </row>
    <row r="8627" spans="5:9" ht="16.5" hidden="1">
      <c r="E8627" s="4" t="str">
        <v/>
      </c>
      <c r="F8627" s="102" t="str">
        <f ca="1">IFERROR(__xludf.DUMMYFUNCTION("IMPORTRANGE(H8627,""IDENTITAS UNIT!D9"")"),"#N/A")</f>
        <v>#N/A</v>
      </c>
      <c r="H8627" s="4" t="str">
        <v/>
      </c>
      <c r="I8627" s="4" t="str">
        <v/>
      </c>
    </row>
    <row r="8628" spans="5:9" ht="16.5" hidden="1">
      <c r="E8628" s="4" t="str">
        <v/>
      </c>
      <c r="F8628" s="102" t="str">
        <f ca="1">IFERROR(__xludf.DUMMYFUNCTION("IMPORTRANGE(H8628,""IDENTITAS UNIT!D9"")"),"#N/A")</f>
        <v>#N/A</v>
      </c>
      <c r="H8628" s="4" t="str">
        <v/>
      </c>
      <c r="I8628" s="4" t="str">
        <v/>
      </c>
    </row>
    <row r="8629" spans="5:9" ht="16.5" hidden="1">
      <c r="E8629" s="4" t="str">
        <v/>
      </c>
      <c r="F8629" s="102" t="str">
        <f ca="1">IFERROR(__xludf.DUMMYFUNCTION("IMPORTRANGE(H8629,""IDENTITAS UNIT!D9"")"),"#N/A")</f>
        <v>#N/A</v>
      </c>
      <c r="H8629" s="4" t="str">
        <v/>
      </c>
      <c r="I8629" s="4" t="str">
        <v/>
      </c>
    </row>
    <row r="8630" spans="5:9" ht="16.5" hidden="1">
      <c r="E8630" s="4" t="str">
        <v/>
      </c>
      <c r="F8630" s="102" t="str">
        <f ca="1">IFERROR(__xludf.DUMMYFUNCTION("IMPORTRANGE(H8630,""IDENTITAS UNIT!D9"")"),"#N/A")</f>
        <v>#N/A</v>
      </c>
      <c r="H8630" s="4" t="str">
        <v/>
      </c>
      <c r="I8630" s="4" t="str">
        <v/>
      </c>
    </row>
    <row r="8631" spans="5:9" ht="16.5" hidden="1">
      <c r="E8631" s="4" t="str">
        <v/>
      </c>
      <c r="F8631" s="102" t="str">
        <f ca="1">IFERROR(__xludf.DUMMYFUNCTION("IMPORTRANGE(H8631,""IDENTITAS UNIT!D9"")"),"#N/A")</f>
        <v>#N/A</v>
      </c>
      <c r="H8631" s="4" t="str">
        <v/>
      </c>
      <c r="I8631" s="4" t="str">
        <v/>
      </c>
    </row>
    <row r="8632" spans="5:9" ht="16.5" hidden="1">
      <c r="E8632" s="4" t="str">
        <v/>
      </c>
      <c r="F8632" s="102" t="str">
        <f ca="1">IFERROR(__xludf.DUMMYFUNCTION("IMPORTRANGE(H8632,""IDENTITAS UNIT!D9"")"),"#N/A")</f>
        <v>#N/A</v>
      </c>
      <c r="H8632" s="4" t="str">
        <v/>
      </c>
      <c r="I8632" s="4" t="str">
        <v/>
      </c>
    </row>
    <row r="8633" spans="5:9" ht="16.5" hidden="1">
      <c r="E8633" s="4" t="str">
        <v/>
      </c>
      <c r="F8633" s="102" t="str">
        <f ca="1">IFERROR(__xludf.DUMMYFUNCTION("IMPORTRANGE(H8633,""IDENTITAS UNIT!D9"")"),"#N/A")</f>
        <v>#N/A</v>
      </c>
      <c r="H8633" s="4" t="str">
        <v/>
      </c>
      <c r="I8633" s="4" t="str">
        <v/>
      </c>
    </row>
    <row r="8634" spans="5:9" ht="16.5" hidden="1">
      <c r="E8634" s="4" t="str">
        <v/>
      </c>
      <c r="F8634" s="102" t="str">
        <f ca="1">IFERROR(__xludf.DUMMYFUNCTION("IMPORTRANGE(H8634,""IDENTITAS UNIT!D9"")"),"#N/A")</f>
        <v>#N/A</v>
      </c>
      <c r="H8634" s="4" t="str">
        <v/>
      </c>
      <c r="I8634" s="4" t="str">
        <v/>
      </c>
    </row>
    <row r="8635" spans="5:9" ht="16.5" hidden="1">
      <c r="E8635" s="4" t="str">
        <v/>
      </c>
      <c r="F8635" s="102" t="str">
        <f ca="1">IFERROR(__xludf.DUMMYFUNCTION("IMPORTRANGE(H8635,""IDENTITAS UNIT!D9"")"),"#N/A")</f>
        <v>#N/A</v>
      </c>
      <c r="H8635" s="4" t="str">
        <v/>
      </c>
      <c r="I8635" s="4" t="str">
        <v/>
      </c>
    </row>
    <row r="8636" spans="5:9" ht="16.5" hidden="1">
      <c r="E8636" s="4" t="str">
        <v/>
      </c>
      <c r="F8636" s="102" t="str">
        <f ca="1">IFERROR(__xludf.DUMMYFUNCTION("IMPORTRANGE(H8636,""IDENTITAS UNIT!D9"")"),"#N/A")</f>
        <v>#N/A</v>
      </c>
      <c r="H8636" s="4" t="str">
        <v/>
      </c>
      <c r="I8636" s="4" t="str">
        <v/>
      </c>
    </row>
    <row r="8637" spans="5:9" ht="16.5" hidden="1">
      <c r="E8637" s="4" t="str">
        <v/>
      </c>
      <c r="F8637" s="102" t="str">
        <f ca="1">IFERROR(__xludf.DUMMYFUNCTION("IMPORTRANGE(H8637,""IDENTITAS UNIT!D9"")"),"#N/A")</f>
        <v>#N/A</v>
      </c>
      <c r="H8637" s="4" t="str">
        <v/>
      </c>
      <c r="I8637" s="4" t="str">
        <v/>
      </c>
    </row>
    <row r="8638" spans="5:9" ht="16.5" hidden="1">
      <c r="E8638" s="4" t="str">
        <v/>
      </c>
      <c r="F8638" s="102" t="str">
        <f ca="1">IFERROR(__xludf.DUMMYFUNCTION("IMPORTRANGE(H8638,""IDENTITAS UNIT!D9"")"),"#N/A")</f>
        <v>#N/A</v>
      </c>
      <c r="H8638" s="4" t="str">
        <v/>
      </c>
      <c r="I8638" s="4" t="str">
        <v/>
      </c>
    </row>
    <row r="8639" spans="5:9" ht="16.5" hidden="1">
      <c r="E8639" s="4" t="str">
        <v/>
      </c>
      <c r="F8639" s="102" t="str">
        <f ca="1">IFERROR(__xludf.DUMMYFUNCTION("IMPORTRANGE(H8639,""IDENTITAS UNIT!D9"")"),"#N/A")</f>
        <v>#N/A</v>
      </c>
      <c r="H8639" s="4" t="str">
        <v/>
      </c>
      <c r="I8639" s="4" t="str">
        <v/>
      </c>
    </row>
    <row r="8640" spans="5:9" ht="16.5" hidden="1">
      <c r="E8640" s="4" t="str">
        <v/>
      </c>
      <c r="F8640" s="102" t="str">
        <f ca="1">IFERROR(__xludf.DUMMYFUNCTION("IMPORTRANGE(H8640,""IDENTITAS UNIT!D9"")"),"#N/A")</f>
        <v>#N/A</v>
      </c>
      <c r="H8640" s="4" t="str">
        <v/>
      </c>
      <c r="I8640" s="4" t="str">
        <v/>
      </c>
    </row>
    <row r="8641" spans="5:9" ht="16.5" hidden="1">
      <c r="E8641" s="4" t="str">
        <v/>
      </c>
      <c r="F8641" s="102" t="str">
        <f ca="1">IFERROR(__xludf.DUMMYFUNCTION("IMPORTRANGE(H8641,""IDENTITAS UNIT!D9"")"),"#N/A")</f>
        <v>#N/A</v>
      </c>
      <c r="H8641" s="4" t="str">
        <v/>
      </c>
      <c r="I8641" s="4" t="str">
        <v/>
      </c>
    </row>
    <row r="8642" spans="5:9" ht="16.5" hidden="1">
      <c r="E8642" s="4" t="str">
        <v/>
      </c>
      <c r="F8642" s="102" t="str">
        <f ca="1">IFERROR(__xludf.DUMMYFUNCTION("IMPORTRANGE(H8642,""IDENTITAS UNIT!D9"")"),"#N/A")</f>
        <v>#N/A</v>
      </c>
      <c r="H8642" s="4" t="str">
        <v/>
      </c>
      <c r="I8642" s="4" t="str">
        <v/>
      </c>
    </row>
    <row r="8643" spans="5:9" ht="16.5" hidden="1">
      <c r="E8643" s="4" t="str">
        <v/>
      </c>
      <c r="F8643" s="102" t="str">
        <f ca="1">IFERROR(__xludf.DUMMYFUNCTION("IMPORTRANGE(H8643,""IDENTITAS UNIT!D9"")"),"#N/A")</f>
        <v>#N/A</v>
      </c>
      <c r="H8643" s="4" t="str">
        <v/>
      </c>
      <c r="I8643" s="4" t="str">
        <v/>
      </c>
    </row>
    <row r="8644" spans="5:9" ht="16.5" hidden="1">
      <c r="E8644" s="4" t="str">
        <v/>
      </c>
      <c r="F8644" s="102" t="str">
        <f ca="1">IFERROR(__xludf.DUMMYFUNCTION("IMPORTRANGE(H8644,""IDENTITAS UNIT!D9"")"),"#N/A")</f>
        <v>#N/A</v>
      </c>
      <c r="H8644" s="4" t="str">
        <v/>
      </c>
      <c r="I8644" s="4" t="str">
        <v/>
      </c>
    </row>
    <row r="8645" spans="5:9" ht="16.5" hidden="1">
      <c r="E8645" s="4" t="str">
        <v/>
      </c>
      <c r="F8645" s="102" t="str">
        <f ca="1">IFERROR(__xludf.DUMMYFUNCTION("IMPORTRANGE(H8645,""IDENTITAS UNIT!D9"")"),"#N/A")</f>
        <v>#N/A</v>
      </c>
      <c r="H8645" s="4" t="str">
        <v/>
      </c>
      <c r="I8645" s="4" t="str">
        <v/>
      </c>
    </row>
    <row r="8646" spans="5:9" ht="16.5" hidden="1">
      <c r="E8646" s="4" t="str">
        <v/>
      </c>
      <c r="F8646" s="102" t="str">
        <f ca="1">IFERROR(__xludf.DUMMYFUNCTION("IMPORTRANGE(H8646,""IDENTITAS UNIT!D9"")"),"#N/A")</f>
        <v>#N/A</v>
      </c>
      <c r="H8646" s="4" t="str">
        <v/>
      </c>
      <c r="I8646" s="4" t="str">
        <v/>
      </c>
    </row>
    <row r="8647" spans="5:9" ht="16.5" hidden="1">
      <c r="E8647" s="4" t="str">
        <v/>
      </c>
      <c r="F8647" s="102" t="str">
        <f ca="1">IFERROR(__xludf.DUMMYFUNCTION("IMPORTRANGE(H8647,""IDENTITAS UNIT!D9"")"),"#N/A")</f>
        <v>#N/A</v>
      </c>
      <c r="H8647" s="4" t="str">
        <v/>
      </c>
      <c r="I8647" s="4" t="str">
        <v/>
      </c>
    </row>
    <row r="8648" spans="5:9" ht="16.5" hidden="1">
      <c r="E8648" s="4" t="str">
        <v/>
      </c>
      <c r="F8648" s="102" t="str">
        <f ca="1">IFERROR(__xludf.DUMMYFUNCTION("IMPORTRANGE(H8648,""IDENTITAS UNIT!D9"")"),"#N/A")</f>
        <v>#N/A</v>
      </c>
      <c r="H8648" s="4" t="str">
        <v/>
      </c>
      <c r="I8648" s="4" t="str">
        <v/>
      </c>
    </row>
    <row r="8649" spans="5:9" ht="16.5" hidden="1">
      <c r="E8649" s="4" t="str">
        <v/>
      </c>
      <c r="F8649" s="102" t="str">
        <f ca="1">IFERROR(__xludf.DUMMYFUNCTION("IMPORTRANGE(H8649,""IDENTITAS UNIT!D9"")"),"#N/A")</f>
        <v>#N/A</v>
      </c>
      <c r="H8649" s="4" t="str">
        <v/>
      </c>
      <c r="I8649" s="4" t="str">
        <v/>
      </c>
    </row>
    <row r="8650" spans="5:9" ht="16.5" hidden="1">
      <c r="E8650" s="4" t="str">
        <v/>
      </c>
      <c r="F8650" s="102" t="str">
        <f ca="1">IFERROR(__xludf.DUMMYFUNCTION("IMPORTRANGE(H8650,""IDENTITAS UNIT!D9"")"),"#N/A")</f>
        <v>#N/A</v>
      </c>
      <c r="H8650" s="4" t="str">
        <v/>
      </c>
      <c r="I8650" s="4" t="str">
        <v/>
      </c>
    </row>
    <row r="8651" spans="5:9" ht="16.5" hidden="1">
      <c r="E8651" s="4" t="str">
        <v/>
      </c>
      <c r="F8651" s="102" t="str">
        <f ca="1">IFERROR(__xludf.DUMMYFUNCTION("IMPORTRANGE(H8651,""IDENTITAS UNIT!D9"")"),"#N/A")</f>
        <v>#N/A</v>
      </c>
      <c r="H8651" s="4" t="str">
        <v/>
      </c>
      <c r="I8651" s="4" t="str">
        <v/>
      </c>
    </row>
    <row r="8652" spans="5:9" ht="16.5" hidden="1">
      <c r="E8652" s="4" t="str">
        <v/>
      </c>
      <c r="F8652" s="102" t="str">
        <f ca="1">IFERROR(__xludf.DUMMYFUNCTION("IMPORTRANGE(H8652,""IDENTITAS UNIT!D9"")"),"#N/A")</f>
        <v>#N/A</v>
      </c>
      <c r="H8652" s="4" t="str">
        <v/>
      </c>
      <c r="I8652" s="4" t="str">
        <v/>
      </c>
    </row>
    <row r="8653" spans="5:9" ht="16.5" hidden="1">
      <c r="E8653" s="4" t="str">
        <v/>
      </c>
      <c r="F8653" s="102" t="str">
        <f ca="1">IFERROR(__xludf.DUMMYFUNCTION("IMPORTRANGE(H8653,""IDENTITAS UNIT!D9"")"),"#N/A")</f>
        <v>#N/A</v>
      </c>
      <c r="H8653" s="4" t="str">
        <v/>
      </c>
      <c r="I8653" s="4" t="str">
        <v/>
      </c>
    </row>
    <row r="8654" spans="5:9" ht="16.5" hidden="1">
      <c r="E8654" s="4" t="str">
        <v/>
      </c>
      <c r="F8654" s="102" t="str">
        <f ca="1">IFERROR(__xludf.DUMMYFUNCTION("IMPORTRANGE(H8654,""IDENTITAS UNIT!D9"")"),"#N/A")</f>
        <v>#N/A</v>
      </c>
      <c r="H8654" s="4" t="str">
        <v/>
      </c>
      <c r="I8654" s="4" t="str">
        <v/>
      </c>
    </row>
    <row r="8655" spans="5:9" ht="16.5" hidden="1">
      <c r="E8655" s="4" t="str">
        <v/>
      </c>
      <c r="F8655" s="102" t="str">
        <f ca="1">IFERROR(__xludf.DUMMYFUNCTION("IMPORTRANGE(H8655,""IDENTITAS UNIT!D9"")"),"#N/A")</f>
        <v>#N/A</v>
      </c>
      <c r="H8655" s="4" t="str">
        <v/>
      </c>
      <c r="I8655" s="4" t="str">
        <v/>
      </c>
    </row>
    <row r="8656" spans="5:9" ht="16.5" hidden="1">
      <c r="E8656" s="4" t="str">
        <v/>
      </c>
      <c r="F8656" s="102" t="str">
        <f ca="1">IFERROR(__xludf.DUMMYFUNCTION("IMPORTRANGE(H8656,""IDENTITAS UNIT!D9"")"),"#N/A")</f>
        <v>#N/A</v>
      </c>
      <c r="H8656" s="4" t="str">
        <v/>
      </c>
      <c r="I8656" s="4" t="str">
        <v/>
      </c>
    </row>
    <row r="8657" spans="5:9" ht="16.5" hidden="1">
      <c r="E8657" s="4" t="str">
        <v/>
      </c>
      <c r="F8657" s="102" t="str">
        <f ca="1">IFERROR(__xludf.DUMMYFUNCTION("IMPORTRANGE(H8657,""IDENTITAS UNIT!D9"")"),"#N/A")</f>
        <v>#N/A</v>
      </c>
      <c r="H8657" s="4" t="str">
        <v/>
      </c>
      <c r="I8657" s="4" t="str">
        <v/>
      </c>
    </row>
    <row r="8658" spans="5:9" ht="16.5" hidden="1">
      <c r="E8658" s="4" t="str">
        <v/>
      </c>
      <c r="F8658" s="102" t="str">
        <f ca="1">IFERROR(__xludf.DUMMYFUNCTION("IMPORTRANGE(H8658,""IDENTITAS UNIT!D9"")"),"#N/A")</f>
        <v>#N/A</v>
      </c>
      <c r="H8658" s="4" t="str">
        <v/>
      </c>
      <c r="I8658" s="4" t="str">
        <v/>
      </c>
    </row>
    <row r="8659" spans="5:9" ht="16.5" hidden="1">
      <c r="E8659" s="4" t="str">
        <v/>
      </c>
      <c r="F8659" s="102" t="str">
        <f ca="1">IFERROR(__xludf.DUMMYFUNCTION("IMPORTRANGE(H8659,""IDENTITAS UNIT!D9"")"),"#N/A")</f>
        <v>#N/A</v>
      </c>
      <c r="H8659" s="4" t="str">
        <v/>
      </c>
      <c r="I8659" s="4" t="str">
        <v/>
      </c>
    </row>
    <row r="8660" spans="5:9" ht="16.5" hidden="1">
      <c r="E8660" s="4" t="str">
        <v/>
      </c>
      <c r="F8660" s="102" t="str">
        <f ca="1">IFERROR(__xludf.DUMMYFUNCTION("IMPORTRANGE(H8660,""IDENTITAS UNIT!D9"")"),"#N/A")</f>
        <v>#N/A</v>
      </c>
      <c r="H8660" s="4" t="str">
        <v/>
      </c>
      <c r="I8660" s="4" t="str">
        <v/>
      </c>
    </row>
    <row r="8661" spans="5:9" ht="16.5" hidden="1">
      <c r="E8661" s="4" t="str">
        <v/>
      </c>
      <c r="F8661" s="102" t="str">
        <f ca="1">IFERROR(__xludf.DUMMYFUNCTION("IMPORTRANGE(H8661,""IDENTITAS UNIT!D9"")"),"#N/A")</f>
        <v>#N/A</v>
      </c>
      <c r="H8661" s="4" t="str">
        <v/>
      </c>
      <c r="I8661" s="4" t="str">
        <v/>
      </c>
    </row>
    <row r="8662" spans="5:9" ht="16.5" hidden="1">
      <c r="E8662" s="4" t="str">
        <v/>
      </c>
      <c r="F8662" s="102" t="str">
        <f ca="1">IFERROR(__xludf.DUMMYFUNCTION("IMPORTRANGE(H8662,""IDENTITAS UNIT!D9"")"),"#N/A")</f>
        <v>#N/A</v>
      </c>
      <c r="H8662" s="4" t="str">
        <v/>
      </c>
      <c r="I8662" s="4" t="str">
        <v/>
      </c>
    </row>
    <row r="8663" spans="5:9" ht="16.5" hidden="1">
      <c r="E8663" s="4" t="str">
        <v/>
      </c>
      <c r="F8663" s="102" t="str">
        <f ca="1">IFERROR(__xludf.DUMMYFUNCTION("IMPORTRANGE(H8663,""IDENTITAS UNIT!D9"")"),"#N/A")</f>
        <v>#N/A</v>
      </c>
      <c r="H8663" s="4" t="str">
        <v/>
      </c>
      <c r="I8663" s="4" t="str">
        <v/>
      </c>
    </row>
    <row r="8664" spans="5:9" ht="16.5" hidden="1">
      <c r="E8664" s="4" t="str">
        <v/>
      </c>
      <c r="F8664" s="102" t="str">
        <f ca="1">IFERROR(__xludf.DUMMYFUNCTION("IMPORTRANGE(H8664,""IDENTITAS UNIT!D9"")"),"#N/A")</f>
        <v>#N/A</v>
      </c>
      <c r="H8664" s="4" t="str">
        <v/>
      </c>
      <c r="I8664" s="4" t="str">
        <v/>
      </c>
    </row>
    <row r="8665" spans="5:9" ht="16.5" hidden="1">
      <c r="E8665" s="4" t="str">
        <v/>
      </c>
      <c r="F8665" s="102" t="str">
        <f ca="1">IFERROR(__xludf.DUMMYFUNCTION("IMPORTRANGE(H8665,""IDENTITAS UNIT!D9"")"),"#N/A")</f>
        <v>#N/A</v>
      </c>
      <c r="H8665" s="4" t="str">
        <v/>
      </c>
      <c r="I8665" s="4" t="str">
        <v/>
      </c>
    </row>
    <row r="8666" spans="5:9" ht="16.5" hidden="1">
      <c r="E8666" s="4" t="str">
        <v/>
      </c>
      <c r="F8666" s="102" t="str">
        <f ca="1">IFERROR(__xludf.DUMMYFUNCTION("IMPORTRANGE(H8666,""IDENTITAS UNIT!D9"")"),"#N/A")</f>
        <v>#N/A</v>
      </c>
      <c r="H8666" s="4" t="str">
        <v/>
      </c>
      <c r="I8666" s="4" t="str">
        <v/>
      </c>
    </row>
    <row r="8667" spans="5:9" ht="16.5" hidden="1">
      <c r="E8667" s="4" t="str">
        <v/>
      </c>
      <c r="F8667" s="102" t="str">
        <f ca="1">IFERROR(__xludf.DUMMYFUNCTION("IMPORTRANGE(H8667,""IDENTITAS UNIT!D9"")"),"#N/A")</f>
        <v>#N/A</v>
      </c>
      <c r="H8667" s="4" t="str">
        <v/>
      </c>
      <c r="I8667" s="4" t="str">
        <v/>
      </c>
    </row>
    <row r="8668" spans="5:9" ht="16.5" hidden="1">
      <c r="E8668" s="4" t="str">
        <v/>
      </c>
      <c r="F8668" s="102" t="str">
        <f ca="1">IFERROR(__xludf.DUMMYFUNCTION("IMPORTRANGE(H8668,""IDENTITAS UNIT!D9"")"),"#N/A")</f>
        <v>#N/A</v>
      </c>
      <c r="H8668" s="4" t="str">
        <v/>
      </c>
      <c r="I8668" s="4" t="str">
        <v/>
      </c>
    </row>
    <row r="8669" spans="5:9" ht="16.5" hidden="1">
      <c r="E8669" s="4" t="str">
        <v/>
      </c>
      <c r="F8669" s="102" t="str">
        <f ca="1">IFERROR(__xludf.DUMMYFUNCTION("IMPORTRANGE(H8669,""IDENTITAS UNIT!D9"")"),"#N/A")</f>
        <v>#N/A</v>
      </c>
      <c r="H8669" s="4" t="str">
        <v/>
      </c>
      <c r="I8669" s="4" t="str">
        <v/>
      </c>
    </row>
    <row r="8670" spans="5:9" ht="16.5" hidden="1">
      <c r="E8670" s="4" t="str">
        <v/>
      </c>
      <c r="F8670" s="102" t="str">
        <f ca="1">IFERROR(__xludf.DUMMYFUNCTION("IMPORTRANGE(H8670,""IDENTITAS UNIT!D9"")"),"#N/A")</f>
        <v>#N/A</v>
      </c>
      <c r="H8670" s="4" t="str">
        <v/>
      </c>
      <c r="I8670" s="4" t="str">
        <v/>
      </c>
    </row>
    <row r="8671" spans="5:9" ht="16.5" hidden="1">
      <c r="E8671" s="4" t="str">
        <v/>
      </c>
      <c r="F8671" s="102" t="str">
        <f ca="1">IFERROR(__xludf.DUMMYFUNCTION("IMPORTRANGE(H8671,""IDENTITAS UNIT!D9"")"),"#N/A")</f>
        <v>#N/A</v>
      </c>
      <c r="H8671" s="4" t="str">
        <v/>
      </c>
      <c r="I8671" s="4" t="str">
        <v/>
      </c>
    </row>
    <row r="8672" spans="5:9" ht="16.5" hidden="1">
      <c r="E8672" s="4" t="str">
        <v/>
      </c>
      <c r="F8672" s="102" t="str">
        <f ca="1">IFERROR(__xludf.DUMMYFUNCTION("IMPORTRANGE(H8672,""IDENTITAS UNIT!D9"")"),"#N/A")</f>
        <v>#N/A</v>
      </c>
      <c r="H8672" s="4" t="str">
        <v/>
      </c>
      <c r="I8672" s="4" t="str">
        <v/>
      </c>
    </row>
    <row r="8673" spans="5:9" ht="16.5" hidden="1">
      <c r="E8673" s="4" t="str">
        <v/>
      </c>
      <c r="F8673" s="102" t="str">
        <f ca="1">IFERROR(__xludf.DUMMYFUNCTION("IMPORTRANGE(H8673,""IDENTITAS UNIT!D9"")"),"#N/A")</f>
        <v>#N/A</v>
      </c>
      <c r="H8673" s="4" t="str">
        <v/>
      </c>
      <c r="I8673" s="4" t="str">
        <v/>
      </c>
    </row>
    <row r="8674" spans="5:9" ht="16.5" hidden="1">
      <c r="E8674" s="4" t="str">
        <v/>
      </c>
      <c r="F8674" s="102" t="str">
        <f ca="1">IFERROR(__xludf.DUMMYFUNCTION("IMPORTRANGE(H8674,""IDENTITAS UNIT!D9"")"),"#N/A")</f>
        <v>#N/A</v>
      </c>
      <c r="H8674" s="4" t="str">
        <v/>
      </c>
      <c r="I8674" s="4" t="str">
        <v/>
      </c>
    </row>
    <row r="8675" spans="5:9" ht="16.5" hidden="1">
      <c r="E8675" s="4" t="str">
        <v/>
      </c>
      <c r="F8675" s="102" t="str">
        <f ca="1">IFERROR(__xludf.DUMMYFUNCTION("IMPORTRANGE(H8675,""IDENTITAS UNIT!D9"")"),"#N/A")</f>
        <v>#N/A</v>
      </c>
      <c r="H8675" s="4" t="str">
        <v/>
      </c>
      <c r="I8675" s="4" t="str">
        <v/>
      </c>
    </row>
    <row r="8676" spans="5:9" ht="16.5" hidden="1">
      <c r="E8676" s="4" t="str">
        <v/>
      </c>
      <c r="F8676" s="102" t="str">
        <f ca="1">IFERROR(__xludf.DUMMYFUNCTION("IMPORTRANGE(H8676,""IDENTITAS UNIT!D9"")"),"#N/A")</f>
        <v>#N/A</v>
      </c>
      <c r="H8676" s="4" t="str">
        <v/>
      </c>
      <c r="I8676" s="4" t="str">
        <v/>
      </c>
    </row>
    <row r="8677" spans="5:9" ht="16.5" hidden="1">
      <c r="E8677" s="4" t="str">
        <v/>
      </c>
      <c r="F8677" s="102" t="str">
        <f ca="1">IFERROR(__xludf.DUMMYFUNCTION("IMPORTRANGE(H8677,""IDENTITAS UNIT!D9"")"),"#N/A")</f>
        <v>#N/A</v>
      </c>
      <c r="H8677" s="4" t="str">
        <v/>
      </c>
      <c r="I8677" s="4" t="str">
        <v/>
      </c>
    </row>
    <row r="8678" spans="5:9" ht="16.5" hidden="1">
      <c r="E8678" s="4" t="str">
        <v/>
      </c>
      <c r="F8678" s="102" t="str">
        <f ca="1">IFERROR(__xludf.DUMMYFUNCTION("IMPORTRANGE(H8678,""IDENTITAS UNIT!D9"")"),"#N/A")</f>
        <v>#N/A</v>
      </c>
      <c r="H8678" s="4" t="str">
        <v/>
      </c>
      <c r="I8678" s="4" t="str">
        <v/>
      </c>
    </row>
    <row r="8679" spans="5:9" ht="16.5" hidden="1">
      <c r="E8679" s="4" t="str">
        <v/>
      </c>
      <c r="F8679" s="102" t="str">
        <f ca="1">IFERROR(__xludf.DUMMYFUNCTION("IMPORTRANGE(H8679,""IDENTITAS UNIT!D9"")"),"#N/A")</f>
        <v>#N/A</v>
      </c>
      <c r="H8679" s="4" t="str">
        <v/>
      </c>
      <c r="I8679" s="4" t="str">
        <v/>
      </c>
    </row>
    <row r="8680" spans="5:9" ht="16.5" hidden="1">
      <c r="E8680" s="4" t="str">
        <v/>
      </c>
      <c r="F8680" s="102" t="str">
        <f ca="1">IFERROR(__xludf.DUMMYFUNCTION("IMPORTRANGE(H8680,""IDENTITAS UNIT!D9"")"),"#N/A")</f>
        <v>#N/A</v>
      </c>
      <c r="H8680" s="4" t="str">
        <v/>
      </c>
      <c r="I8680" s="4" t="str">
        <v/>
      </c>
    </row>
    <row r="8681" spans="5:9" ht="16.5" hidden="1">
      <c r="E8681" s="4" t="str">
        <v/>
      </c>
      <c r="F8681" s="102" t="str">
        <f ca="1">IFERROR(__xludf.DUMMYFUNCTION("IMPORTRANGE(H8681,""IDENTITAS UNIT!D9"")"),"#N/A")</f>
        <v>#N/A</v>
      </c>
      <c r="H8681" s="4" t="str">
        <v/>
      </c>
      <c r="I8681" s="4" t="str">
        <v/>
      </c>
    </row>
    <row r="8682" spans="5:9" ht="16.5" hidden="1">
      <c r="E8682" s="4" t="str">
        <v/>
      </c>
      <c r="F8682" s="102" t="str">
        <f ca="1">IFERROR(__xludf.DUMMYFUNCTION("IMPORTRANGE(H8682,""IDENTITAS UNIT!D9"")"),"#N/A")</f>
        <v>#N/A</v>
      </c>
      <c r="H8682" s="4" t="str">
        <v/>
      </c>
      <c r="I8682" s="4" t="str">
        <v/>
      </c>
    </row>
    <row r="8683" spans="5:9" ht="16.5" hidden="1">
      <c r="E8683" s="4" t="str">
        <v/>
      </c>
      <c r="F8683" s="102" t="str">
        <f ca="1">IFERROR(__xludf.DUMMYFUNCTION("IMPORTRANGE(H8683,""IDENTITAS UNIT!D9"")"),"#N/A")</f>
        <v>#N/A</v>
      </c>
      <c r="H8683" s="4" t="str">
        <v/>
      </c>
      <c r="I8683" s="4" t="str">
        <v/>
      </c>
    </row>
    <row r="8684" spans="5:9" ht="16.5" hidden="1">
      <c r="E8684" s="4" t="str">
        <v/>
      </c>
      <c r="F8684" s="102" t="str">
        <f ca="1">IFERROR(__xludf.DUMMYFUNCTION("IMPORTRANGE(H8684,""IDENTITAS UNIT!D9"")"),"#N/A")</f>
        <v>#N/A</v>
      </c>
      <c r="H8684" s="4" t="str">
        <v/>
      </c>
      <c r="I8684" s="4" t="str">
        <v/>
      </c>
    </row>
    <row r="8685" spans="5:9" ht="16.5" hidden="1">
      <c r="E8685" s="4" t="str">
        <v/>
      </c>
      <c r="F8685" s="102" t="str">
        <f ca="1">IFERROR(__xludf.DUMMYFUNCTION("IMPORTRANGE(H8685,""IDENTITAS UNIT!D9"")"),"#N/A")</f>
        <v>#N/A</v>
      </c>
      <c r="H8685" s="4" t="str">
        <v/>
      </c>
      <c r="I8685" s="4" t="str">
        <v/>
      </c>
    </row>
    <row r="8686" spans="5:9" ht="16.5" hidden="1">
      <c r="E8686" s="4" t="str">
        <v/>
      </c>
      <c r="F8686" s="102" t="str">
        <f ca="1">IFERROR(__xludf.DUMMYFUNCTION("IMPORTRANGE(H8686,""IDENTITAS UNIT!D9"")"),"#N/A")</f>
        <v>#N/A</v>
      </c>
      <c r="H8686" s="4" t="str">
        <v/>
      </c>
      <c r="I8686" s="4" t="str">
        <v/>
      </c>
    </row>
    <row r="8687" spans="5:9" ht="16.5" hidden="1">
      <c r="E8687" s="4" t="str">
        <v/>
      </c>
      <c r="F8687" s="102" t="str">
        <f ca="1">IFERROR(__xludf.DUMMYFUNCTION("IMPORTRANGE(H8687,""IDENTITAS UNIT!D9"")"),"#N/A")</f>
        <v>#N/A</v>
      </c>
      <c r="H8687" s="4" t="str">
        <v/>
      </c>
      <c r="I8687" s="4" t="str">
        <v/>
      </c>
    </row>
    <row r="8688" spans="5:9" ht="16.5" hidden="1">
      <c r="E8688" s="4" t="str">
        <v/>
      </c>
      <c r="F8688" s="102" t="str">
        <f ca="1">IFERROR(__xludf.DUMMYFUNCTION("IMPORTRANGE(H8688,""IDENTITAS UNIT!D9"")"),"#N/A")</f>
        <v>#N/A</v>
      </c>
      <c r="H8688" s="4" t="str">
        <v/>
      </c>
      <c r="I8688" s="4" t="str">
        <v/>
      </c>
    </row>
    <row r="8689" spans="5:9" ht="16.5" hidden="1">
      <c r="E8689" s="4" t="str">
        <v/>
      </c>
      <c r="F8689" s="102" t="str">
        <f ca="1">IFERROR(__xludf.DUMMYFUNCTION("IMPORTRANGE(H8689,""IDENTITAS UNIT!D9"")"),"#N/A")</f>
        <v>#N/A</v>
      </c>
      <c r="H8689" s="4" t="str">
        <v/>
      </c>
      <c r="I8689" s="4" t="str">
        <v/>
      </c>
    </row>
    <row r="8690" spans="5:9" ht="16.5" hidden="1">
      <c r="E8690" s="4" t="str">
        <v/>
      </c>
      <c r="F8690" s="102" t="str">
        <f ca="1">IFERROR(__xludf.DUMMYFUNCTION("IMPORTRANGE(H8690,""IDENTITAS UNIT!D9"")"),"#N/A")</f>
        <v>#N/A</v>
      </c>
      <c r="H8690" s="4" t="str">
        <v/>
      </c>
      <c r="I8690" s="4" t="str">
        <v/>
      </c>
    </row>
    <row r="8691" spans="5:9" ht="16.5" hidden="1">
      <c r="E8691" s="4" t="str">
        <v/>
      </c>
      <c r="F8691" s="102" t="str">
        <f ca="1">IFERROR(__xludf.DUMMYFUNCTION("IMPORTRANGE(H8691,""IDENTITAS UNIT!D9"")"),"#N/A")</f>
        <v>#N/A</v>
      </c>
      <c r="H8691" s="4" t="str">
        <v/>
      </c>
      <c r="I8691" s="4" t="str">
        <v/>
      </c>
    </row>
    <row r="8692" spans="5:9" ht="16.5" hidden="1">
      <c r="E8692" s="4" t="str">
        <v/>
      </c>
      <c r="F8692" s="102" t="str">
        <f ca="1">IFERROR(__xludf.DUMMYFUNCTION("IMPORTRANGE(H8692,""IDENTITAS UNIT!D9"")"),"#N/A")</f>
        <v>#N/A</v>
      </c>
      <c r="H8692" s="4" t="str">
        <v/>
      </c>
      <c r="I8692" s="4" t="str">
        <v/>
      </c>
    </row>
    <row r="8693" spans="5:9" ht="16.5" hidden="1">
      <c r="E8693" s="4" t="str">
        <v/>
      </c>
      <c r="F8693" s="102" t="str">
        <f ca="1">IFERROR(__xludf.DUMMYFUNCTION("IMPORTRANGE(H8693,""IDENTITAS UNIT!D9"")"),"#N/A")</f>
        <v>#N/A</v>
      </c>
      <c r="H8693" s="4" t="str">
        <v/>
      </c>
      <c r="I8693" s="4" t="str">
        <v/>
      </c>
    </row>
    <row r="8694" spans="5:9" ht="16.5" hidden="1">
      <c r="E8694" s="4" t="str">
        <v/>
      </c>
      <c r="F8694" s="102" t="str">
        <f ca="1">IFERROR(__xludf.DUMMYFUNCTION("IMPORTRANGE(H8694,""IDENTITAS UNIT!D9"")"),"#N/A")</f>
        <v>#N/A</v>
      </c>
      <c r="H8694" s="4" t="str">
        <v/>
      </c>
      <c r="I8694" s="4" t="str">
        <v/>
      </c>
    </row>
    <row r="8695" spans="5:9" ht="16.5" hidden="1">
      <c r="E8695" s="4" t="str">
        <v/>
      </c>
      <c r="F8695" s="102" t="str">
        <f ca="1">IFERROR(__xludf.DUMMYFUNCTION("IMPORTRANGE(H8695,""IDENTITAS UNIT!D9"")"),"#N/A")</f>
        <v>#N/A</v>
      </c>
      <c r="H8695" s="4" t="str">
        <v/>
      </c>
      <c r="I8695" s="4" t="str">
        <v/>
      </c>
    </row>
    <row r="8696" spans="5:9" ht="16.5" hidden="1">
      <c r="E8696" s="4" t="str">
        <v/>
      </c>
      <c r="F8696" s="102" t="str">
        <f ca="1">IFERROR(__xludf.DUMMYFUNCTION("IMPORTRANGE(H8696,""IDENTITAS UNIT!D9"")"),"#N/A")</f>
        <v>#N/A</v>
      </c>
      <c r="H8696" s="4" t="str">
        <v/>
      </c>
      <c r="I8696" s="4" t="str">
        <v/>
      </c>
    </row>
    <row r="8697" spans="5:9" ht="16.5" hidden="1">
      <c r="E8697" s="4" t="str">
        <v/>
      </c>
      <c r="F8697" s="102" t="str">
        <f ca="1">IFERROR(__xludf.DUMMYFUNCTION("IMPORTRANGE(H8697,""IDENTITAS UNIT!D9"")"),"#N/A")</f>
        <v>#N/A</v>
      </c>
      <c r="H8697" s="4" t="str">
        <v/>
      </c>
      <c r="I8697" s="4" t="str">
        <v/>
      </c>
    </row>
    <row r="8698" spans="5:9" ht="16.5" hidden="1">
      <c r="E8698" s="4" t="str">
        <v/>
      </c>
      <c r="F8698" s="102" t="str">
        <f ca="1">IFERROR(__xludf.DUMMYFUNCTION("IMPORTRANGE(H8698,""IDENTITAS UNIT!D9"")"),"#N/A")</f>
        <v>#N/A</v>
      </c>
      <c r="H8698" s="4" t="str">
        <v/>
      </c>
      <c r="I8698" s="4" t="str">
        <v/>
      </c>
    </row>
    <row r="8699" spans="5:9" ht="16.5" hidden="1">
      <c r="E8699" s="4" t="str">
        <v/>
      </c>
      <c r="F8699" s="102" t="str">
        <f ca="1">IFERROR(__xludf.DUMMYFUNCTION("IMPORTRANGE(H8699,""IDENTITAS UNIT!D9"")"),"#N/A")</f>
        <v>#N/A</v>
      </c>
      <c r="H8699" s="4" t="str">
        <v/>
      </c>
      <c r="I8699" s="4" t="str">
        <v/>
      </c>
    </row>
    <row r="8700" spans="5:9" ht="16.5" hidden="1">
      <c r="E8700" s="4" t="str">
        <v/>
      </c>
      <c r="F8700" s="102" t="str">
        <f ca="1">IFERROR(__xludf.DUMMYFUNCTION("IMPORTRANGE(H8700,""IDENTITAS UNIT!D9"")"),"#N/A")</f>
        <v>#N/A</v>
      </c>
      <c r="H8700" s="4" t="str">
        <v/>
      </c>
      <c r="I8700" s="4" t="str">
        <v/>
      </c>
    </row>
    <row r="8701" spans="5:9" ht="16.5" hidden="1">
      <c r="E8701" s="4" t="str">
        <v/>
      </c>
      <c r="F8701" s="102" t="str">
        <f ca="1">IFERROR(__xludf.DUMMYFUNCTION("IMPORTRANGE(H8701,""IDENTITAS UNIT!D9"")"),"#N/A")</f>
        <v>#N/A</v>
      </c>
      <c r="H8701" s="4" t="str">
        <v/>
      </c>
      <c r="I8701" s="4" t="str">
        <v/>
      </c>
    </row>
    <row r="8702" spans="5:9" ht="16.5" hidden="1">
      <c r="E8702" s="4" t="str">
        <v/>
      </c>
      <c r="F8702" s="102" t="str">
        <f ca="1">IFERROR(__xludf.DUMMYFUNCTION("IMPORTRANGE(H8702,""IDENTITAS UNIT!D9"")"),"#N/A")</f>
        <v>#N/A</v>
      </c>
      <c r="H8702" s="4" t="str">
        <v/>
      </c>
      <c r="I8702" s="4" t="str">
        <v/>
      </c>
    </row>
    <row r="8703" spans="5:9" ht="16.5" hidden="1">
      <c r="E8703" s="4" t="str">
        <v/>
      </c>
      <c r="F8703" s="102" t="str">
        <f ca="1">IFERROR(__xludf.DUMMYFUNCTION("IMPORTRANGE(H8703,""IDENTITAS UNIT!D9"")"),"#N/A")</f>
        <v>#N/A</v>
      </c>
      <c r="H8703" s="4" t="str">
        <v/>
      </c>
      <c r="I8703" s="4" t="str">
        <v/>
      </c>
    </row>
    <row r="8704" spans="5:9" ht="16.5" hidden="1">
      <c r="E8704" s="4" t="str">
        <v/>
      </c>
      <c r="F8704" s="102" t="str">
        <f ca="1">IFERROR(__xludf.DUMMYFUNCTION("IMPORTRANGE(H8704,""IDENTITAS UNIT!D9"")"),"#N/A")</f>
        <v>#N/A</v>
      </c>
      <c r="H8704" s="4" t="str">
        <v/>
      </c>
      <c r="I8704" s="4" t="str">
        <v/>
      </c>
    </row>
    <row r="8705" spans="5:9" ht="16.5" hidden="1">
      <c r="E8705" s="4" t="str">
        <v/>
      </c>
      <c r="F8705" s="102" t="str">
        <f ca="1">IFERROR(__xludf.DUMMYFUNCTION("IMPORTRANGE(H8705,""IDENTITAS UNIT!D9"")"),"#N/A")</f>
        <v>#N/A</v>
      </c>
      <c r="H8705" s="4" t="str">
        <v/>
      </c>
      <c r="I8705" s="4" t="str">
        <v/>
      </c>
    </row>
    <row r="8706" spans="5:9" ht="16.5" hidden="1">
      <c r="E8706" s="4" t="str">
        <v/>
      </c>
      <c r="F8706" s="102" t="str">
        <f ca="1">IFERROR(__xludf.DUMMYFUNCTION("IMPORTRANGE(H8706,""IDENTITAS UNIT!D9"")"),"#N/A")</f>
        <v>#N/A</v>
      </c>
      <c r="H8706" s="4" t="str">
        <v/>
      </c>
      <c r="I8706" s="4" t="str">
        <v/>
      </c>
    </row>
    <row r="8707" spans="5:9" ht="16.5" hidden="1">
      <c r="E8707" s="4" t="str">
        <v/>
      </c>
      <c r="F8707" s="102" t="str">
        <f ca="1">IFERROR(__xludf.DUMMYFUNCTION("IMPORTRANGE(H8707,""IDENTITAS UNIT!D9"")"),"#N/A")</f>
        <v>#N/A</v>
      </c>
      <c r="H8707" s="4" t="str">
        <v/>
      </c>
      <c r="I8707" s="4" t="str">
        <v/>
      </c>
    </row>
    <row r="8708" spans="5:9" ht="16.5" hidden="1">
      <c r="E8708" s="4" t="str">
        <v/>
      </c>
      <c r="F8708" s="102" t="str">
        <f ca="1">IFERROR(__xludf.DUMMYFUNCTION("IMPORTRANGE(H8708,""IDENTITAS UNIT!D9"")"),"#N/A")</f>
        <v>#N/A</v>
      </c>
      <c r="H8708" s="4" t="str">
        <v/>
      </c>
      <c r="I8708" s="4" t="str">
        <v/>
      </c>
    </row>
    <row r="8709" spans="5:9" ht="16.5" hidden="1">
      <c r="E8709" s="4" t="str">
        <v/>
      </c>
      <c r="F8709" s="102" t="str">
        <f ca="1">IFERROR(__xludf.DUMMYFUNCTION("IMPORTRANGE(H8709,""IDENTITAS UNIT!D9"")"),"#N/A")</f>
        <v>#N/A</v>
      </c>
      <c r="H8709" s="4" t="str">
        <v/>
      </c>
      <c r="I8709" s="4" t="str">
        <v/>
      </c>
    </row>
    <row r="8710" spans="5:9" ht="16.5" hidden="1">
      <c r="E8710" s="4" t="str">
        <v/>
      </c>
      <c r="F8710" s="102" t="str">
        <f ca="1">IFERROR(__xludf.DUMMYFUNCTION("IMPORTRANGE(H8710,""IDENTITAS UNIT!D9"")"),"#N/A")</f>
        <v>#N/A</v>
      </c>
      <c r="H8710" s="4" t="str">
        <v/>
      </c>
      <c r="I8710" s="4" t="str">
        <v/>
      </c>
    </row>
    <row r="8711" spans="5:9" ht="16.5" hidden="1">
      <c r="E8711" s="4" t="str">
        <v/>
      </c>
      <c r="F8711" s="102" t="str">
        <f ca="1">IFERROR(__xludf.DUMMYFUNCTION("IMPORTRANGE(H8711,""IDENTITAS UNIT!D9"")"),"#N/A")</f>
        <v>#N/A</v>
      </c>
      <c r="H8711" s="4" t="str">
        <v/>
      </c>
      <c r="I8711" s="4" t="str">
        <v/>
      </c>
    </row>
    <row r="8712" spans="5:9" ht="16.5" hidden="1">
      <c r="E8712" s="4" t="str">
        <v/>
      </c>
      <c r="F8712" s="102" t="str">
        <f ca="1">IFERROR(__xludf.DUMMYFUNCTION("IMPORTRANGE(H8712,""IDENTITAS UNIT!D9"")"),"#N/A")</f>
        <v>#N/A</v>
      </c>
      <c r="H8712" s="4" t="str">
        <v/>
      </c>
      <c r="I8712" s="4" t="str">
        <v/>
      </c>
    </row>
    <row r="8713" spans="5:9" ht="16.5" hidden="1">
      <c r="E8713" s="4" t="str">
        <v/>
      </c>
      <c r="F8713" s="102" t="str">
        <f ca="1">IFERROR(__xludf.DUMMYFUNCTION("IMPORTRANGE(H8713,""IDENTITAS UNIT!D9"")"),"#N/A")</f>
        <v>#N/A</v>
      </c>
      <c r="H8713" s="4" t="str">
        <v/>
      </c>
      <c r="I8713" s="4" t="str">
        <v/>
      </c>
    </row>
    <row r="8714" spans="5:9" ht="16.5" hidden="1">
      <c r="E8714" s="4" t="str">
        <v/>
      </c>
      <c r="F8714" s="102" t="str">
        <f ca="1">IFERROR(__xludf.DUMMYFUNCTION("IMPORTRANGE(H8714,""IDENTITAS UNIT!D9"")"),"#N/A")</f>
        <v>#N/A</v>
      </c>
      <c r="H8714" s="4" t="str">
        <v/>
      </c>
      <c r="I8714" s="4" t="str">
        <v/>
      </c>
    </row>
    <row r="8715" spans="5:9" ht="16.5" hidden="1">
      <c r="E8715" s="4" t="str">
        <v/>
      </c>
      <c r="F8715" s="102" t="str">
        <f ca="1">IFERROR(__xludf.DUMMYFUNCTION("IMPORTRANGE(H8715,""IDENTITAS UNIT!D9"")"),"#N/A")</f>
        <v>#N/A</v>
      </c>
      <c r="H8715" s="4" t="str">
        <v/>
      </c>
      <c r="I8715" s="4" t="str">
        <v/>
      </c>
    </row>
    <row r="8716" spans="5:9" ht="16.5" hidden="1">
      <c r="E8716" s="4" t="str">
        <v/>
      </c>
      <c r="F8716" s="102" t="str">
        <f ca="1">IFERROR(__xludf.DUMMYFUNCTION("IMPORTRANGE(H8716,""IDENTITAS UNIT!D9"")"),"#N/A")</f>
        <v>#N/A</v>
      </c>
      <c r="H8716" s="4" t="str">
        <v/>
      </c>
      <c r="I8716" s="4" t="str">
        <v/>
      </c>
    </row>
    <row r="8717" spans="5:9" ht="16.5" hidden="1">
      <c r="E8717" s="4" t="str">
        <v/>
      </c>
      <c r="F8717" s="102" t="str">
        <f ca="1">IFERROR(__xludf.DUMMYFUNCTION("IMPORTRANGE(H8717,""IDENTITAS UNIT!D9"")"),"#N/A")</f>
        <v>#N/A</v>
      </c>
      <c r="H8717" s="4" t="str">
        <v/>
      </c>
      <c r="I8717" s="4" t="str">
        <v/>
      </c>
    </row>
    <row r="8718" spans="5:9" ht="16.5" hidden="1">
      <c r="E8718" s="4" t="str">
        <v/>
      </c>
      <c r="F8718" s="102" t="str">
        <f ca="1">IFERROR(__xludf.DUMMYFUNCTION("IMPORTRANGE(H8718,""IDENTITAS UNIT!D9"")"),"#N/A")</f>
        <v>#N/A</v>
      </c>
      <c r="H8718" s="4" t="str">
        <v/>
      </c>
      <c r="I8718" s="4" t="str">
        <v/>
      </c>
    </row>
    <row r="8719" spans="5:9" ht="16.5" hidden="1">
      <c r="E8719" s="4" t="str">
        <v/>
      </c>
      <c r="F8719" s="102" t="str">
        <f ca="1">IFERROR(__xludf.DUMMYFUNCTION("IMPORTRANGE(H8719,""IDENTITAS UNIT!D9"")"),"#N/A")</f>
        <v>#N/A</v>
      </c>
      <c r="H8719" s="4" t="str">
        <v/>
      </c>
      <c r="I8719" s="4" t="str">
        <v/>
      </c>
    </row>
    <row r="8720" spans="5:9" ht="16.5" hidden="1">
      <c r="E8720" s="4" t="str">
        <v/>
      </c>
      <c r="F8720" s="102" t="str">
        <f ca="1">IFERROR(__xludf.DUMMYFUNCTION("IMPORTRANGE(H8720,""IDENTITAS UNIT!D9"")"),"#N/A")</f>
        <v>#N/A</v>
      </c>
      <c r="H8720" s="4" t="str">
        <v/>
      </c>
      <c r="I8720" s="4" t="str">
        <v/>
      </c>
    </row>
    <row r="8721" spans="5:9" ht="16.5" hidden="1">
      <c r="E8721" s="4" t="str">
        <v/>
      </c>
      <c r="F8721" s="102" t="str">
        <f ca="1">IFERROR(__xludf.DUMMYFUNCTION("IMPORTRANGE(H8721,""IDENTITAS UNIT!D9"")"),"#N/A")</f>
        <v>#N/A</v>
      </c>
      <c r="H8721" s="4" t="str">
        <v/>
      </c>
      <c r="I8721" s="4" t="str">
        <v/>
      </c>
    </row>
    <row r="8722" spans="5:9" ht="16.5" hidden="1">
      <c r="E8722" s="4" t="str">
        <v/>
      </c>
      <c r="F8722" s="102" t="str">
        <f ca="1">IFERROR(__xludf.DUMMYFUNCTION("IMPORTRANGE(H8722,""IDENTITAS UNIT!D9"")"),"#N/A")</f>
        <v>#N/A</v>
      </c>
      <c r="H8722" s="4" t="str">
        <v/>
      </c>
      <c r="I8722" s="4" t="str">
        <v/>
      </c>
    </row>
    <row r="8723" spans="5:9" ht="16.5" hidden="1">
      <c r="E8723" s="4" t="str">
        <v/>
      </c>
      <c r="F8723" s="102" t="str">
        <f ca="1">IFERROR(__xludf.DUMMYFUNCTION("IMPORTRANGE(H8723,""IDENTITAS UNIT!D9"")"),"#N/A")</f>
        <v>#N/A</v>
      </c>
      <c r="H8723" s="4" t="str">
        <v/>
      </c>
      <c r="I8723" s="4" t="str">
        <v/>
      </c>
    </row>
    <row r="8724" spans="5:9" ht="16.5" hidden="1">
      <c r="E8724" s="4" t="str">
        <v/>
      </c>
      <c r="F8724" s="102" t="str">
        <f ca="1">IFERROR(__xludf.DUMMYFUNCTION("IMPORTRANGE(H8724,""IDENTITAS UNIT!D9"")"),"#N/A")</f>
        <v>#N/A</v>
      </c>
      <c r="H8724" s="4" t="str">
        <v/>
      </c>
      <c r="I8724" s="4" t="str">
        <v/>
      </c>
    </row>
    <row r="8725" spans="5:9" ht="16.5" hidden="1">
      <c r="E8725" s="4" t="str">
        <v/>
      </c>
      <c r="F8725" s="102" t="str">
        <f ca="1">IFERROR(__xludf.DUMMYFUNCTION("IMPORTRANGE(H8725,""IDENTITAS UNIT!D9"")"),"#N/A")</f>
        <v>#N/A</v>
      </c>
      <c r="H8725" s="4" t="str">
        <v/>
      </c>
      <c r="I8725" s="4" t="str">
        <v/>
      </c>
    </row>
    <row r="8726" spans="5:9" ht="16.5" hidden="1">
      <c r="E8726" s="4" t="str">
        <v/>
      </c>
      <c r="F8726" s="102" t="str">
        <f ca="1">IFERROR(__xludf.DUMMYFUNCTION("IMPORTRANGE(H8726,""IDENTITAS UNIT!D9"")"),"#N/A")</f>
        <v>#N/A</v>
      </c>
      <c r="H8726" s="4" t="str">
        <v/>
      </c>
      <c r="I8726" s="4" t="str">
        <v/>
      </c>
    </row>
    <row r="8727" spans="5:9" ht="16.5" hidden="1">
      <c r="E8727" s="4" t="str">
        <v/>
      </c>
      <c r="F8727" s="102" t="str">
        <f ca="1">IFERROR(__xludf.DUMMYFUNCTION("IMPORTRANGE(H8727,""IDENTITAS UNIT!D9"")"),"#N/A")</f>
        <v>#N/A</v>
      </c>
      <c r="H8727" s="4" t="str">
        <v/>
      </c>
      <c r="I8727" s="4" t="str">
        <v/>
      </c>
    </row>
    <row r="8728" spans="5:9" ht="16.5" hidden="1">
      <c r="E8728" s="4" t="str">
        <v/>
      </c>
      <c r="F8728" s="102" t="str">
        <f ca="1">IFERROR(__xludf.DUMMYFUNCTION("IMPORTRANGE(H8728,""IDENTITAS UNIT!D9"")"),"#N/A")</f>
        <v>#N/A</v>
      </c>
      <c r="H8728" s="4" t="str">
        <v/>
      </c>
      <c r="I8728" s="4" t="str">
        <v/>
      </c>
    </row>
    <row r="8729" spans="5:9" ht="16.5" hidden="1">
      <c r="E8729" s="4" t="str">
        <v/>
      </c>
      <c r="F8729" s="102" t="str">
        <f ca="1">IFERROR(__xludf.DUMMYFUNCTION("IMPORTRANGE(H8729,""IDENTITAS UNIT!D9"")"),"#N/A")</f>
        <v>#N/A</v>
      </c>
      <c r="H8729" s="4" t="str">
        <v/>
      </c>
      <c r="I8729" s="4" t="str">
        <v/>
      </c>
    </row>
    <row r="8730" spans="5:9" ht="16.5" hidden="1">
      <c r="E8730" s="4" t="str">
        <v/>
      </c>
      <c r="F8730" s="102" t="str">
        <f ca="1">IFERROR(__xludf.DUMMYFUNCTION("IMPORTRANGE(H8730,""IDENTITAS UNIT!D9"")"),"#N/A")</f>
        <v>#N/A</v>
      </c>
      <c r="H8730" s="4" t="str">
        <v/>
      </c>
      <c r="I8730" s="4" t="str">
        <v/>
      </c>
    </row>
    <row r="8731" spans="5:9" ht="16.5" hidden="1">
      <c r="E8731" s="4" t="str">
        <v/>
      </c>
      <c r="F8731" s="102" t="str">
        <f ca="1">IFERROR(__xludf.DUMMYFUNCTION("IMPORTRANGE(H8731,""IDENTITAS UNIT!D9"")"),"#N/A")</f>
        <v>#N/A</v>
      </c>
      <c r="H8731" s="4" t="str">
        <v/>
      </c>
      <c r="I8731" s="4" t="str">
        <v/>
      </c>
    </row>
    <row r="8732" spans="5:9" ht="16.5" hidden="1">
      <c r="E8732" s="4" t="str">
        <v/>
      </c>
      <c r="F8732" s="102" t="str">
        <f ca="1">IFERROR(__xludf.DUMMYFUNCTION("IMPORTRANGE(H8732,""IDENTITAS UNIT!D9"")"),"#N/A")</f>
        <v>#N/A</v>
      </c>
      <c r="H8732" s="4" t="str">
        <v/>
      </c>
      <c r="I8732" s="4" t="str">
        <v/>
      </c>
    </row>
    <row r="8733" spans="5:9" ht="16.5" hidden="1">
      <c r="E8733" s="4" t="str">
        <v/>
      </c>
      <c r="F8733" s="102" t="str">
        <f ca="1">IFERROR(__xludf.DUMMYFUNCTION("IMPORTRANGE(H8733,""IDENTITAS UNIT!D9"")"),"#N/A")</f>
        <v>#N/A</v>
      </c>
      <c r="H8733" s="4" t="str">
        <v/>
      </c>
      <c r="I8733" s="4" t="str">
        <v/>
      </c>
    </row>
    <row r="8734" spans="5:9" ht="16.5" hidden="1">
      <c r="E8734" s="4" t="str">
        <v/>
      </c>
      <c r="F8734" s="102" t="str">
        <f ca="1">IFERROR(__xludf.DUMMYFUNCTION("IMPORTRANGE(H8734,""IDENTITAS UNIT!D9"")"),"#N/A")</f>
        <v>#N/A</v>
      </c>
      <c r="H8734" s="4" t="str">
        <v/>
      </c>
      <c r="I8734" s="4" t="str">
        <v/>
      </c>
    </row>
    <row r="8735" spans="5:9" ht="16.5" hidden="1">
      <c r="E8735" s="4" t="str">
        <v/>
      </c>
      <c r="F8735" s="102" t="str">
        <f ca="1">IFERROR(__xludf.DUMMYFUNCTION("IMPORTRANGE(H8735,""IDENTITAS UNIT!D9"")"),"#N/A")</f>
        <v>#N/A</v>
      </c>
      <c r="H8735" s="4" t="str">
        <v/>
      </c>
      <c r="I8735" s="4" t="str">
        <v/>
      </c>
    </row>
    <row r="8736" spans="5:9" ht="16.5" hidden="1">
      <c r="E8736" s="4" t="str">
        <v/>
      </c>
      <c r="F8736" s="102" t="str">
        <f ca="1">IFERROR(__xludf.DUMMYFUNCTION("IMPORTRANGE(H8736,""IDENTITAS UNIT!D9"")"),"#N/A")</f>
        <v>#N/A</v>
      </c>
      <c r="H8736" s="4" t="str">
        <v/>
      </c>
      <c r="I8736" s="4" t="str">
        <v/>
      </c>
    </row>
    <row r="8737" spans="5:9" ht="16.5" hidden="1">
      <c r="E8737" s="4" t="str">
        <v/>
      </c>
      <c r="F8737" s="102" t="str">
        <f ca="1">IFERROR(__xludf.DUMMYFUNCTION("IMPORTRANGE(H8737,""IDENTITAS UNIT!D9"")"),"#N/A")</f>
        <v>#N/A</v>
      </c>
      <c r="H8737" s="4" t="str">
        <v/>
      </c>
      <c r="I8737" s="4" t="str">
        <v/>
      </c>
    </row>
    <row r="8738" spans="5:9" ht="16.5" hidden="1">
      <c r="E8738" s="4" t="str">
        <v/>
      </c>
      <c r="F8738" s="102" t="str">
        <f ca="1">IFERROR(__xludf.DUMMYFUNCTION("IMPORTRANGE(H8738,""IDENTITAS UNIT!D9"")"),"#N/A")</f>
        <v>#N/A</v>
      </c>
      <c r="H8738" s="4" t="str">
        <v/>
      </c>
      <c r="I8738" s="4" t="str">
        <v/>
      </c>
    </row>
    <row r="8739" spans="5:9" ht="16.5" hidden="1">
      <c r="E8739" s="4" t="str">
        <v/>
      </c>
      <c r="F8739" s="102" t="str">
        <f ca="1">IFERROR(__xludf.DUMMYFUNCTION("IMPORTRANGE(H8739,""IDENTITAS UNIT!D9"")"),"#N/A")</f>
        <v>#N/A</v>
      </c>
      <c r="H8739" s="4" t="str">
        <v/>
      </c>
      <c r="I8739" s="4" t="str">
        <v/>
      </c>
    </row>
    <row r="8740" spans="5:9" ht="16.5" hidden="1">
      <c r="E8740" s="4" t="str">
        <v/>
      </c>
      <c r="F8740" s="102" t="str">
        <f ca="1">IFERROR(__xludf.DUMMYFUNCTION("IMPORTRANGE(H8740,""IDENTITAS UNIT!D9"")"),"#N/A")</f>
        <v>#N/A</v>
      </c>
      <c r="H8740" s="4" t="str">
        <v/>
      </c>
      <c r="I8740" s="4" t="str">
        <v/>
      </c>
    </row>
    <row r="8741" spans="5:9" ht="16.5" hidden="1">
      <c r="E8741" s="4" t="str">
        <v/>
      </c>
      <c r="F8741" s="102" t="str">
        <f ca="1">IFERROR(__xludf.DUMMYFUNCTION("IMPORTRANGE(H8741,""IDENTITAS UNIT!D9"")"),"#N/A")</f>
        <v>#N/A</v>
      </c>
      <c r="H8741" s="4" t="str">
        <v/>
      </c>
      <c r="I8741" s="4" t="str">
        <v/>
      </c>
    </row>
    <row r="8742" spans="5:9" ht="16.5" hidden="1">
      <c r="E8742" s="4" t="str">
        <v/>
      </c>
      <c r="F8742" s="102" t="str">
        <f ca="1">IFERROR(__xludf.DUMMYFUNCTION("IMPORTRANGE(H8742,""IDENTITAS UNIT!D9"")"),"#N/A")</f>
        <v>#N/A</v>
      </c>
      <c r="H8742" s="4" t="str">
        <v/>
      </c>
      <c r="I8742" s="4" t="str">
        <v/>
      </c>
    </row>
    <row r="8743" spans="5:9" ht="16.5" hidden="1">
      <c r="E8743" s="4" t="str">
        <v/>
      </c>
      <c r="F8743" s="102" t="str">
        <f ca="1">IFERROR(__xludf.DUMMYFUNCTION("IMPORTRANGE(H8743,""IDENTITAS UNIT!D9"")"),"#N/A")</f>
        <v>#N/A</v>
      </c>
      <c r="H8743" s="4" t="str">
        <v/>
      </c>
      <c r="I8743" s="4" t="str">
        <v/>
      </c>
    </row>
    <row r="8744" spans="5:9" ht="16.5" hidden="1">
      <c r="E8744" s="4" t="str">
        <v/>
      </c>
      <c r="F8744" s="102" t="str">
        <f ca="1">IFERROR(__xludf.DUMMYFUNCTION("IMPORTRANGE(H8744,""IDENTITAS UNIT!D9"")"),"#N/A")</f>
        <v>#N/A</v>
      </c>
      <c r="H8744" s="4" t="str">
        <v/>
      </c>
      <c r="I8744" s="4" t="str">
        <v/>
      </c>
    </row>
    <row r="8745" spans="5:9" ht="16.5" hidden="1">
      <c r="E8745" s="4" t="str">
        <v/>
      </c>
      <c r="F8745" s="102" t="str">
        <f ca="1">IFERROR(__xludf.DUMMYFUNCTION("IMPORTRANGE(H8745,""IDENTITAS UNIT!D9"")"),"#N/A")</f>
        <v>#N/A</v>
      </c>
      <c r="H8745" s="4" t="str">
        <v/>
      </c>
      <c r="I8745" s="4" t="str">
        <v/>
      </c>
    </row>
    <row r="8746" spans="5:9" ht="16.5" hidden="1">
      <c r="E8746" s="4" t="str">
        <v/>
      </c>
      <c r="F8746" s="102" t="str">
        <f ca="1">IFERROR(__xludf.DUMMYFUNCTION("IMPORTRANGE(H8746,""IDENTITAS UNIT!D9"")"),"#N/A")</f>
        <v>#N/A</v>
      </c>
      <c r="H8746" s="4" t="str">
        <v/>
      </c>
      <c r="I8746" s="4" t="str">
        <v/>
      </c>
    </row>
    <row r="8747" spans="5:9" ht="16.5" hidden="1">
      <c r="E8747" s="4" t="str">
        <v/>
      </c>
      <c r="F8747" s="102" t="str">
        <f ca="1">IFERROR(__xludf.DUMMYFUNCTION("IMPORTRANGE(H8747,""IDENTITAS UNIT!D9"")"),"#N/A")</f>
        <v>#N/A</v>
      </c>
      <c r="H8747" s="4" t="str">
        <v/>
      </c>
      <c r="I8747" s="4" t="str">
        <v/>
      </c>
    </row>
    <row r="8748" spans="5:9" ht="16.5" hidden="1">
      <c r="E8748" s="4" t="str">
        <v/>
      </c>
      <c r="F8748" s="102" t="str">
        <f ca="1">IFERROR(__xludf.DUMMYFUNCTION("IMPORTRANGE(H8748,""IDENTITAS UNIT!D9"")"),"#N/A")</f>
        <v>#N/A</v>
      </c>
      <c r="H8748" s="4" t="str">
        <v/>
      </c>
      <c r="I8748" s="4" t="str">
        <v/>
      </c>
    </row>
    <row r="8749" spans="5:9" ht="16.5" hidden="1">
      <c r="E8749" s="4" t="str">
        <v/>
      </c>
      <c r="F8749" s="102" t="str">
        <f ca="1">IFERROR(__xludf.DUMMYFUNCTION("IMPORTRANGE(H8749,""IDENTITAS UNIT!D9"")"),"#N/A")</f>
        <v>#N/A</v>
      </c>
      <c r="H8749" s="4" t="str">
        <v/>
      </c>
      <c r="I8749" s="4" t="str">
        <v/>
      </c>
    </row>
    <row r="8750" spans="5:9" ht="16.5" hidden="1">
      <c r="E8750" s="4" t="str">
        <v/>
      </c>
      <c r="F8750" s="102" t="str">
        <f ca="1">IFERROR(__xludf.DUMMYFUNCTION("IMPORTRANGE(H8750,""IDENTITAS UNIT!D9"")"),"#N/A")</f>
        <v>#N/A</v>
      </c>
      <c r="H8750" s="4" t="str">
        <v/>
      </c>
      <c r="I8750" s="4" t="str">
        <v/>
      </c>
    </row>
    <row r="8751" spans="5:9" ht="16.5" hidden="1">
      <c r="E8751" s="4" t="str">
        <v/>
      </c>
      <c r="F8751" s="102" t="str">
        <f ca="1">IFERROR(__xludf.DUMMYFUNCTION("IMPORTRANGE(H8751,""IDENTITAS UNIT!D9"")"),"#N/A")</f>
        <v>#N/A</v>
      </c>
      <c r="H8751" s="4" t="str">
        <v/>
      </c>
      <c r="I8751" s="4" t="str">
        <v/>
      </c>
    </row>
    <row r="8752" spans="5:9" ht="16.5" hidden="1">
      <c r="E8752" s="4" t="str">
        <v/>
      </c>
      <c r="F8752" s="102" t="str">
        <f ca="1">IFERROR(__xludf.DUMMYFUNCTION("IMPORTRANGE(H8752,""IDENTITAS UNIT!D9"")"),"#N/A")</f>
        <v>#N/A</v>
      </c>
      <c r="H8752" s="4" t="str">
        <v/>
      </c>
      <c r="I8752" s="4" t="str">
        <v/>
      </c>
    </row>
    <row r="8753" spans="5:9" ht="16.5" hidden="1">
      <c r="E8753" s="4" t="str">
        <v/>
      </c>
      <c r="F8753" s="102" t="str">
        <f ca="1">IFERROR(__xludf.DUMMYFUNCTION("IMPORTRANGE(H8753,""IDENTITAS UNIT!D9"")"),"#N/A")</f>
        <v>#N/A</v>
      </c>
      <c r="H8753" s="4" t="str">
        <v/>
      </c>
      <c r="I8753" s="4" t="str">
        <v/>
      </c>
    </row>
    <row r="8754" spans="5:9" ht="16.5" hidden="1">
      <c r="E8754" s="4" t="str">
        <v/>
      </c>
      <c r="F8754" s="102" t="str">
        <f ca="1">IFERROR(__xludf.DUMMYFUNCTION("IMPORTRANGE(H8754,""IDENTITAS UNIT!D9"")"),"#N/A")</f>
        <v>#N/A</v>
      </c>
      <c r="H8754" s="4" t="str">
        <v/>
      </c>
      <c r="I8754" s="4" t="str">
        <v/>
      </c>
    </row>
    <row r="8755" spans="5:9" ht="16.5" hidden="1">
      <c r="E8755" s="4" t="str">
        <v/>
      </c>
      <c r="F8755" s="102" t="str">
        <f ca="1">IFERROR(__xludf.DUMMYFUNCTION("IMPORTRANGE(H8755,""IDENTITAS UNIT!D9"")"),"#N/A")</f>
        <v>#N/A</v>
      </c>
      <c r="H8755" s="4" t="str">
        <v/>
      </c>
      <c r="I8755" s="4" t="str">
        <v/>
      </c>
    </row>
    <row r="8756" spans="5:9" ht="16.5" hidden="1">
      <c r="E8756" s="4" t="str">
        <v/>
      </c>
      <c r="F8756" s="102" t="str">
        <f ca="1">IFERROR(__xludf.DUMMYFUNCTION("IMPORTRANGE(H8756,""IDENTITAS UNIT!D9"")"),"#N/A")</f>
        <v>#N/A</v>
      </c>
      <c r="H8756" s="4" t="str">
        <v/>
      </c>
      <c r="I8756" s="4" t="str">
        <v/>
      </c>
    </row>
    <row r="8757" spans="5:9" ht="16.5" hidden="1">
      <c r="E8757" s="4" t="str">
        <v/>
      </c>
      <c r="F8757" s="102" t="str">
        <f ca="1">IFERROR(__xludf.DUMMYFUNCTION("IMPORTRANGE(H8757,""IDENTITAS UNIT!D9"")"),"#N/A")</f>
        <v>#N/A</v>
      </c>
      <c r="H8757" s="4" t="str">
        <v/>
      </c>
      <c r="I8757" s="4" t="str">
        <v/>
      </c>
    </row>
    <row r="8758" spans="5:9" ht="16.5" hidden="1">
      <c r="E8758" s="4" t="str">
        <v/>
      </c>
      <c r="F8758" s="102" t="str">
        <f ca="1">IFERROR(__xludf.DUMMYFUNCTION("IMPORTRANGE(H8758,""IDENTITAS UNIT!D9"")"),"#N/A")</f>
        <v>#N/A</v>
      </c>
      <c r="H8758" s="4" t="str">
        <v/>
      </c>
      <c r="I8758" s="4" t="str">
        <v/>
      </c>
    </row>
    <row r="8759" spans="5:9" ht="16.5" hidden="1">
      <c r="E8759" s="4" t="str">
        <v/>
      </c>
      <c r="F8759" s="102" t="str">
        <f ca="1">IFERROR(__xludf.DUMMYFUNCTION("IMPORTRANGE(H8759,""IDENTITAS UNIT!D9"")"),"#N/A")</f>
        <v>#N/A</v>
      </c>
      <c r="H8759" s="4" t="str">
        <v/>
      </c>
      <c r="I8759" s="4" t="str">
        <v/>
      </c>
    </row>
    <row r="8760" spans="5:9" ht="16.5" hidden="1">
      <c r="E8760" s="4" t="str">
        <v/>
      </c>
      <c r="F8760" s="102" t="str">
        <f ca="1">IFERROR(__xludf.DUMMYFUNCTION("IMPORTRANGE(H8760,""IDENTITAS UNIT!D9"")"),"#N/A")</f>
        <v>#N/A</v>
      </c>
      <c r="H8760" s="4" t="str">
        <v/>
      </c>
      <c r="I8760" s="4" t="str">
        <v/>
      </c>
    </row>
    <row r="8761" spans="5:9" ht="16.5" hidden="1">
      <c r="E8761" s="4" t="str">
        <v/>
      </c>
      <c r="F8761" s="102" t="str">
        <f ca="1">IFERROR(__xludf.DUMMYFUNCTION("IMPORTRANGE(H8761,""IDENTITAS UNIT!D9"")"),"#N/A")</f>
        <v>#N/A</v>
      </c>
      <c r="H8761" s="4" t="str">
        <v/>
      </c>
      <c r="I8761" s="4" t="str">
        <v/>
      </c>
    </row>
    <row r="8762" spans="5:9" ht="16.5" hidden="1">
      <c r="E8762" s="4" t="str">
        <v/>
      </c>
      <c r="F8762" s="102" t="str">
        <f ca="1">IFERROR(__xludf.DUMMYFUNCTION("IMPORTRANGE(H8762,""IDENTITAS UNIT!D9"")"),"#N/A")</f>
        <v>#N/A</v>
      </c>
      <c r="H8762" s="4" t="str">
        <v/>
      </c>
      <c r="I8762" s="4" t="str">
        <v/>
      </c>
    </row>
    <row r="8763" spans="5:9" ht="16.5" hidden="1">
      <c r="E8763" s="4" t="str">
        <v/>
      </c>
      <c r="F8763" s="102" t="str">
        <f ca="1">IFERROR(__xludf.DUMMYFUNCTION("IMPORTRANGE(H8763,""IDENTITAS UNIT!D9"")"),"#N/A")</f>
        <v>#N/A</v>
      </c>
      <c r="H8763" s="4" t="str">
        <v/>
      </c>
      <c r="I8763" s="4" t="str">
        <v/>
      </c>
    </row>
    <row r="8764" spans="5:9" ht="16.5" hidden="1">
      <c r="E8764" s="4" t="str">
        <v/>
      </c>
      <c r="F8764" s="102" t="str">
        <f ca="1">IFERROR(__xludf.DUMMYFUNCTION("IMPORTRANGE(H8764,""IDENTITAS UNIT!D9"")"),"#N/A")</f>
        <v>#N/A</v>
      </c>
      <c r="H8764" s="4" t="str">
        <v/>
      </c>
      <c r="I8764" s="4" t="str">
        <v/>
      </c>
    </row>
    <row r="8765" spans="5:9" ht="16.5" hidden="1">
      <c r="E8765" s="4" t="str">
        <v/>
      </c>
      <c r="F8765" s="102" t="str">
        <f ca="1">IFERROR(__xludf.DUMMYFUNCTION("IMPORTRANGE(H8765,""IDENTITAS UNIT!D9"")"),"#N/A")</f>
        <v>#N/A</v>
      </c>
      <c r="H8765" s="4" t="str">
        <v/>
      </c>
      <c r="I8765" s="4" t="str">
        <v/>
      </c>
    </row>
    <row r="8766" spans="5:9" ht="16.5" hidden="1">
      <c r="E8766" s="4" t="str">
        <v/>
      </c>
      <c r="F8766" s="102" t="str">
        <f ca="1">IFERROR(__xludf.DUMMYFUNCTION("IMPORTRANGE(H8766,""IDENTITAS UNIT!D9"")"),"#N/A")</f>
        <v>#N/A</v>
      </c>
      <c r="H8766" s="4" t="str">
        <v/>
      </c>
      <c r="I8766" s="4" t="str">
        <v/>
      </c>
    </row>
    <row r="8767" spans="5:9" ht="16.5" hidden="1">
      <c r="E8767" s="4" t="str">
        <v/>
      </c>
      <c r="F8767" s="102" t="str">
        <f ca="1">IFERROR(__xludf.DUMMYFUNCTION("IMPORTRANGE(H8767,""IDENTITAS UNIT!D9"")"),"#N/A")</f>
        <v>#N/A</v>
      </c>
      <c r="H8767" s="4" t="str">
        <v/>
      </c>
      <c r="I8767" s="4" t="str">
        <v/>
      </c>
    </row>
    <row r="8768" spans="5:9" ht="16.5" hidden="1">
      <c r="E8768" s="4" t="str">
        <v/>
      </c>
      <c r="F8768" s="102" t="str">
        <f ca="1">IFERROR(__xludf.DUMMYFUNCTION("IMPORTRANGE(H8768,""IDENTITAS UNIT!D9"")"),"#N/A")</f>
        <v>#N/A</v>
      </c>
      <c r="H8768" s="4" t="str">
        <v/>
      </c>
      <c r="I8768" s="4" t="str">
        <v/>
      </c>
    </row>
    <row r="8769" spans="5:9" ht="16.5" hidden="1">
      <c r="E8769" s="4" t="str">
        <v/>
      </c>
      <c r="F8769" s="102" t="str">
        <f ca="1">IFERROR(__xludf.DUMMYFUNCTION("IMPORTRANGE(H8769,""IDENTITAS UNIT!D9"")"),"#N/A")</f>
        <v>#N/A</v>
      </c>
      <c r="H8769" s="4" t="str">
        <v/>
      </c>
      <c r="I8769" s="4" t="str">
        <v/>
      </c>
    </row>
    <row r="8770" spans="5:9" ht="16.5" hidden="1">
      <c r="E8770" s="4" t="str">
        <v/>
      </c>
      <c r="F8770" s="102" t="str">
        <f ca="1">IFERROR(__xludf.DUMMYFUNCTION("IMPORTRANGE(H8770,""IDENTITAS UNIT!D9"")"),"#N/A")</f>
        <v>#N/A</v>
      </c>
      <c r="H8770" s="4" t="str">
        <v/>
      </c>
      <c r="I8770" s="4" t="str">
        <v/>
      </c>
    </row>
    <row r="8771" spans="5:9" ht="16.5" hidden="1">
      <c r="E8771" s="4" t="str">
        <v/>
      </c>
      <c r="F8771" s="102" t="str">
        <f ca="1">IFERROR(__xludf.DUMMYFUNCTION("IMPORTRANGE(H8771,""IDENTITAS UNIT!D9"")"),"#N/A")</f>
        <v>#N/A</v>
      </c>
      <c r="H8771" s="4" t="str">
        <v/>
      </c>
      <c r="I8771" s="4" t="str">
        <v/>
      </c>
    </row>
    <row r="8772" spans="5:9" ht="16.5" hidden="1">
      <c r="E8772" s="4" t="str">
        <v/>
      </c>
      <c r="F8772" s="102" t="str">
        <f ca="1">IFERROR(__xludf.DUMMYFUNCTION("IMPORTRANGE(H8772,""IDENTITAS UNIT!D9"")"),"#N/A")</f>
        <v>#N/A</v>
      </c>
      <c r="H8772" s="4" t="str">
        <v/>
      </c>
      <c r="I8772" s="4" t="str">
        <v/>
      </c>
    </row>
    <row r="8773" spans="5:9" ht="16.5" hidden="1">
      <c r="E8773" s="4" t="str">
        <v/>
      </c>
      <c r="F8773" s="102" t="str">
        <f ca="1">IFERROR(__xludf.DUMMYFUNCTION("IMPORTRANGE(H8773,""IDENTITAS UNIT!D9"")"),"#N/A")</f>
        <v>#N/A</v>
      </c>
      <c r="H8773" s="4" t="str">
        <v/>
      </c>
      <c r="I8773" s="4" t="str">
        <v/>
      </c>
    </row>
    <row r="8774" spans="5:9" ht="16.5" hidden="1">
      <c r="E8774" s="4" t="str">
        <v/>
      </c>
      <c r="F8774" s="102" t="str">
        <f ca="1">IFERROR(__xludf.DUMMYFUNCTION("IMPORTRANGE(H8774,""IDENTITAS UNIT!D9"")"),"#N/A")</f>
        <v>#N/A</v>
      </c>
      <c r="H8774" s="4" t="str">
        <v/>
      </c>
      <c r="I8774" s="4" t="str">
        <v/>
      </c>
    </row>
    <row r="8775" spans="5:9" ht="16.5" hidden="1">
      <c r="E8775" s="4" t="str">
        <v/>
      </c>
      <c r="F8775" s="102" t="str">
        <f ca="1">IFERROR(__xludf.DUMMYFUNCTION("IMPORTRANGE(H8775,""IDENTITAS UNIT!D9"")"),"#N/A")</f>
        <v>#N/A</v>
      </c>
      <c r="H8775" s="4" t="str">
        <v/>
      </c>
      <c r="I8775" s="4" t="str">
        <v/>
      </c>
    </row>
    <row r="8776" spans="5:9" ht="16.5" hidden="1">
      <c r="E8776" s="4" t="str">
        <v/>
      </c>
      <c r="F8776" s="102" t="str">
        <f ca="1">IFERROR(__xludf.DUMMYFUNCTION("IMPORTRANGE(H8776,""IDENTITAS UNIT!D9"")"),"#N/A")</f>
        <v>#N/A</v>
      </c>
      <c r="H8776" s="4" t="str">
        <v/>
      </c>
      <c r="I8776" s="4" t="str">
        <v/>
      </c>
    </row>
    <row r="8777" spans="5:9" ht="16.5" hidden="1">
      <c r="E8777" s="4" t="str">
        <v/>
      </c>
      <c r="F8777" s="102" t="str">
        <f ca="1">IFERROR(__xludf.DUMMYFUNCTION("IMPORTRANGE(H8777,""IDENTITAS UNIT!D9"")"),"#N/A")</f>
        <v>#N/A</v>
      </c>
      <c r="H8777" s="4" t="str">
        <v/>
      </c>
      <c r="I8777" s="4" t="str">
        <v/>
      </c>
    </row>
    <row r="8778" spans="5:9" ht="16.5" hidden="1">
      <c r="E8778" s="4" t="str">
        <v/>
      </c>
      <c r="F8778" s="102" t="str">
        <f ca="1">IFERROR(__xludf.DUMMYFUNCTION("IMPORTRANGE(H8778,""IDENTITAS UNIT!D9"")"),"#N/A")</f>
        <v>#N/A</v>
      </c>
      <c r="H8778" s="4" t="str">
        <v/>
      </c>
      <c r="I8778" s="4" t="str">
        <v/>
      </c>
    </row>
    <row r="8779" spans="5:9" ht="16.5" hidden="1">
      <c r="E8779" s="4" t="str">
        <v/>
      </c>
      <c r="F8779" s="102" t="str">
        <f ca="1">IFERROR(__xludf.DUMMYFUNCTION("IMPORTRANGE(H8779,""IDENTITAS UNIT!D9"")"),"#N/A")</f>
        <v>#N/A</v>
      </c>
      <c r="H8779" s="4" t="str">
        <v/>
      </c>
      <c r="I8779" s="4" t="str">
        <v/>
      </c>
    </row>
    <row r="8780" spans="5:9" ht="16.5" hidden="1">
      <c r="E8780" s="4" t="str">
        <v/>
      </c>
      <c r="F8780" s="102" t="str">
        <f ca="1">IFERROR(__xludf.DUMMYFUNCTION("IMPORTRANGE(H8780,""IDENTITAS UNIT!D9"")"),"#N/A")</f>
        <v>#N/A</v>
      </c>
      <c r="H8780" s="4" t="str">
        <v/>
      </c>
      <c r="I8780" s="4" t="str">
        <v/>
      </c>
    </row>
    <row r="8781" spans="5:9" ht="16.5" hidden="1">
      <c r="E8781" s="4" t="str">
        <v/>
      </c>
      <c r="F8781" s="102" t="str">
        <f ca="1">IFERROR(__xludf.DUMMYFUNCTION("IMPORTRANGE(H8781,""IDENTITAS UNIT!D9"")"),"#N/A")</f>
        <v>#N/A</v>
      </c>
      <c r="H8781" s="4" t="str">
        <v/>
      </c>
      <c r="I8781" s="4" t="str">
        <v/>
      </c>
    </row>
    <row r="8782" spans="5:9" ht="16.5" hidden="1">
      <c r="E8782" s="4" t="str">
        <v/>
      </c>
      <c r="F8782" s="102" t="str">
        <f ca="1">IFERROR(__xludf.DUMMYFUNCTION("IMPORTRANGE(H8782,""IDENTITAS UNIT!D9"")"),"#N/A")</f>
        <v>#N/A</v>
      </c>
      <c r="H8782" s="4" t="str">
        <v/>
      </c>
      <c r="I8782" s="4" t="str">
        <v/>
      </c>
    </row>
    <row r="8783" spans="5:9" ht="16.5" hidden="1">
      <c r="E8783" s="4" t="str">
        <v/>
      </c>
      <c r="F8783" s="102" t="str">
        <f ca="1">IFERROR(__xludf.DUMMYFUNCTION("IMPORTRANGE(H8783,""IDENTITAS UNIT!D9"")"),"#N/A")</f>
        <v>#N/A</v>
      </c>
      <c r="H8783" s="4" t="str">
        <v/>
      </c>
      <c r="I8783" s="4" t="str">
        <v/>
      </c>
    </row>
    <row r="8784" spans="5:9" ht="16.5" hidden="1">
      <c r="E8784" s="4" t="str">
        <v/>
      </c>
      <c r="F8784" s="102" t="str">
        <f ca="1">IFERROR(__xludf.DUMMYFUNCTION("IMPORTRANGE(H8784,""IDENTITAS UNIT!D9"")"),"#N/A")</f>
        <v>#N/A</v>
      </c>
      <c r="H8784" s="4" t="str">
        <v/>
      </c>
      <c r="I8784" s="4" t="str">
        <v/>
      </c>
    </row>
    <row r="8785" spans="5:9" ht="16.5" hidden="1">
      <c r="E8785" s="4" t="str">
        <v/>
      </c>
      <c r="F8785" s="102" t="str">
        <f ca="1">IFERROR(__xludf.DUMMYFUNCTION("IMPORTRANGE(H8785,""IDENTITAS UNIT!D9"")"),"#N/A")</f>
        <v>#N/A</v>
      </c>
      <c r="H8785" s="4" t="str">
        <v/>
      </c>
      <c r="I8785" s="4" t="str">
        <v/>
      </c>
    </row>
    <row r="8786" spans="5:9" ht="16.5" hidden="1">
      <c r="E8786" s="4" t="str">
        <v/>
      </c>
      <c r="F8786" s="102" t="str">
        <f ca="1">IFERROR(__xludf.DUMMYFUNCTION("IMPORTRANGE(H8786,""IDENTITAS UNIT!D9"")"),"#N/A")</f>
        <v>#N/A</v>
      </c>
      <c r="H8786" s="4" t="str">
        <v/>
      </c>
      <c r="I8786" s="4" t="str">
        <v/>
      </c>
    </row>
    <row r="8787" spans="5:9" ht="16.5" hidden="1">
      <c r="E8787" s="4" t="str">
        <v/>
      </c>
      <c r="F8787" s="102" t="str">
        <f ca="1">IFERROR(__xludf.DUMMYFUNCTION("IMPORTRANGE(H8787,""IDENTITAS UNIT!D9"")"),"#N/A")</f>
        <v>#N/A</v>
      </c>
      <c r="H8787" s="4" t="str">
        <v/>
      </c>
      <c r="I8787" s="4" t="str">
        <v/>
      </c>
    </row>
    <row r="8788" spans="5:9" ht="16.5" hidden="1">
      <c r="E8788" s="4" t="str">
        <v/>
      </c>
      <c r="F8788" s="102" t="str">
        <f ca="1">IFERROR(__xludf.DUMMYFUNCTION("IMPORTRANGE(H8788,""IDENTITAS UNIT!D9"")"),"#N/A")</f>
        <v>#N/A</v>
      </c>
      <c r="H8788" s="4" t="str">
        <v/>
      </c>
      <c r="I8788" s="4" t="str">
        <v/>
      </c>
    </row>
    <row r="8789" spans="5:9" ht="16.5" hidden="1">
      <c r="E8789" s="4" t="str">
        <v/>
      </c>
      <c r="F8789" s="102" t="str">
        <f ca="1">IFERROR(__xludf.DUMMYFUNCTION("IMPORTRANGE(H8789,""IDENTITAS UNIT!D9"")"),"#N/A")</f>
        <v>#N/A</v>
      </c>
      <c r="H8789" s="4" t="str">
        <v/>
      </c>
      <c r="I8789" s="4" t="str">
        <v/>
      </c>
    </row>
    <row r="8790" spans="5:9" ht="16.5" hidden="1">
      <c r="E8790" s="4" t="str">
        <v/>
      </c>
      <c r="F8790" s="102" t="str">
        <f ca="1">IFERROR(__xludf.DUMMYFUNCTION("IMPORTRANGE(H8790,""IDENTITAS UNIT!D9"")"),"#N/A")</f>
        <v>#N/A</v>
      </c>
      <c r="H8790" s="4" t="str">
        <v/>
      </c>
      <c r="I8790" s="4" t="str">
        <v/>
      </c>
    </row>
    <row r="8791" spans="5:9" ht="16.5" hidden="1">
      <c r="E8791" s="4" t="str">
        <v/>
      </c>
      <c r="F8791" s="102" t="str">
        <f ca="1">IFERROR(__xludf.DUMMYFUNCTION("IMPORTRANGE(H8791,""IDENTITAS UNIT!D9"")"),"#N/A")</f>
        <v>#N/A</v>
      </c>
      <c r="H8791" s="4" t="str">
        <v/>
      </c>
      <c r="I8791" s="4" t="str">
        <v/>
      </c>
    </row>
    <row r="8792" spans="5:9" ht="16.5" hidden="1">
      <c r="E8792" s="4" t="str">
        <v/>
      </c>
      <c r="F8792" s="102" t="str">
        <f ca="1">IFERROR(__xludf.DUMMYFUNCTION("IMPORTRANGE(H8792,""IDENTITAS UNIT!D9"")"),"#N/A")</f>
        <v>#N/A</v>
      </c>
      <c r="H8792" s="4" t="str">
        <v/>
      </c>
      <c r="I8792" s="4" t="str">
        <v/>
      </c>
    </row>
    <row r="8793" spans="5:9" ht="16.5" hidden="1">
      <c r="E8793" s="4" t="str">
        <v/>
      </c>
      <c r="F8793" s="102" t="str">
        <f ca="1">IFERROR(__xludf.DUMMYFUNCTION("IMPORTRANGE(H8793,""IDENTITAS UNIT!D9"")"),"#N/A")</f>
        <v>#N/A</v>
      </c>
      <c r="H8793" s="4" t="str">
        <v/>
      </c>
      <c r="I8793" s="4" t="str">
        <v/>
      </c>
    </row>
    <row r="8794" spans="5:9" ht="16.5" hidden="1">
      <c r="E8794" s="4" t="str">
        <v/>
      </c>
      <c r="F8794" s="102" t="str">
        <f ca="1">IFERROR(__xludf.DUMMYFUNCTION("IMPORTRANGE(H8794,""IDENTITAS UNIT!D9"")"),"#N/A")</f>
        <v>#N/A</v>
      </c>
      <c r="H8794" s="4" t="str">
        <v/>
      </c>
      <c r="I8794" s="4" t="str">
        <v/>
      </c>
    </row>
    <row r="8795" spans="5:9" ht="16.5" hidden="1">
      <c r="E8795" s="4" t="str">
        <v/>
      </c>
      <c r="F8795" s="102" t="str">
        <f ca="1">IFERROR(__xludf.DUMMYFUNCTION("IMPORTRANGE(H8795,""IDENTITAS UNIT!D9"")"),"#N/A")</f>
        <v>#N/A</v>
      </c>
      <c r="H8795" s="4" t="str">
        <v/>
      </c>
      <c r="I8795" s="4" t="str">
        <v/>
      </c>
    </row>
    <row r="8796" spans="5:9" ht="16.5" hidden="1">
      <c r="E8796" s="4" t="str">
        <v/>
      </c>
      <c r="F8796" s="102" t="str">
        <f ca="1">IFERROR(__xludf.DUMMYFUNCTION("IMPORTRANGE(H8796,""IDENTITAS UNIT!D9"")"),"#N/A")</f>
        <v>#N/A</v>
      </c>
      <c r="H8796" s="4" t="str">
        <v/>
      </c>
      <c r="I8796" s="4" t="str">
        <v/>
      </c>
    </row>
    <row r="8797" spans="5:9" ht="16.5" hidden="1">
      <c r="E8797" s="4" t="str">
        <v/>
      </c>
      <c r="F8797" s="102" t="str">
        <f ca="1">IFERROR(__xludf.DUMMYFUNCTION("IMPORTRANGE(H8797,""IDENTITAS UNIT!D9"")"),"#N/A")</f>
        <v>#N/A</v>
      </c>
      <c r="H8797" s="4" t="str">
        <v/>
      </c>
      <c r="I8797" s="4" t="str">
        <v/>
      </c>
    </row>
    <row r="8798" spans="5:9" ht="16.5" hidden="1">
      <c r="E8798" s="4" t="str">
        <v/>
      </c>
      <c r="F8798" s="102" t="str">
        <f ca="1">IFERROR(__xludf.DUMMYFUNCTION("IMPORTRANGE(H8798,""IDENTITAS UNIT!D9"")"),"#N/A")</f>
        <v>#N/A</v>
      </c>
      <c r="H8798" s="4" t="str">
        <v/>
      </c>
      <c r="I8798" s="4" t="str">
        <v/>
      </c>
    </row>
    <row r="8799" spans="5:9" ht="16.5" hidden="1">
      <c r="E8799" s="4" t="str">
        <v/>
      </c>
      <c r="F8799" s="102" t="str">
        <f ca="1">IFERROR(__xludf.DUMMYFUNCTION("IMPORTRANGE(H8799,""IDENTITAS UNIT!D9"")"),"#N/A")</f>
        <v>#N/A</v>
      </c>
      <c r="H8799" s="4" t="str">
        <v/>
      </c>
      <c r="I8799" s="4" t="str">
        <v/>
      </c>
    </row>
    <row r="8800" spans="5:9" ht="16.5" hidden="1">
      <c r="E8800" s="4" t="str">
        <v/>
      </c>
      <c r="F8800" s="102" t="str">
        <f ca="1">IFERROR(__xludf.DUMMYFUNCTION("IMPORTRANGE(H8800,""IDENTITAS UNIT!D9"")"),"#N/A")</f>
        <v>#N/A</v>
      </c>
      <c r="H8800" s="4" t="str">
        <v/>
      </c>
      <c r="I8800" s="4" t="str">
        <v/>
      </c>
    </row>
    <row r="8801" spans="5:9" ht="16.5" hidden="1">
      <c r="E8801" s="4" t="str">
        <v/>
      </c>
      <c r="F8801" s="102" t="str">
        <f ca="1">IFERROR(__xludf.DUMMYFUNCTION("IMPORTRANGE(H8801,""IDENTITAS UNIT!D9"")"),"#N/A")</f>
        <v>#N/A</v>
      </c>
      <c r="H8801" s="4" t="str">
        <v/>
      </c>
      <c r="I8801" s="4" t="str">
        <v/>
      </c>
    </row>
    <row r="8802" spans="5:9" ht="16.5" hidden="1">
      <c r="E8802" s="4" t="str">
        <v/>
      </c>
      <c r="F8802" s="102" t="str">
        <f ca="1">IFERROR(__xludf.DUMMYFUNCTION("IMPORTRANGE(H8802,""IDENTITAS UNIT!D9"")"),"#N/A")</f>
        <v>#N/A</v>
      </c>
      <c r="H8802" s="4" t="str">
        <v/>
      </c>
      <c r="I8802" s="4" t="str">
        <v/>
      </c>
    </row>
    <row r="8803" spans="5:9" ht="16.5" hidden="1">
      <c r="E8803" s="4" t="str">
        <v/>
      </c>
      <c r="F8803" s="102" t="str">
        <f ca="1">IFERROR(__xludf.DUMMYFUNCTION("IMPORTRANGE(H8803,""IDENTITAS UNIT!D9"")"),"#N/A")</f>
        <v>#N/A</v>
      </c>
      <c r="H8803" s="4" t="str">
        <v/>
      </c>
      <c r="I8803" s="4" t="str">
        <v/>
      </c>
    </row>
    <row r="8804" spans="5:9" ht="16.5" hidden="1">
      <c r="E8804" s="4" t="str">
        <v/>
      </c>
      <c r="F8804" s="102" t="str">
        <f ca="1">IFERROR(__xludf.DUMMYFUNCTION("IMPORTRANGE(H8804,""IDENTITAS UNIT!D9"")"),"#N/A")</f>
        <v>#N/A</v>
      </c>
      <c r="H8804" s="4" t="str">
        <v/>
      </c>
      <c r="I8804" s="4" t="str">
        <v/>
      </c>
    </row>
    <row r="8805" spans="5:9" ht="16.5" hidden="1">
      <c r="E8805" s="4" t="str">
        <v/>
      </c>
      <c r="F8805" s="102" t="str">
        <f ca="1">IFERROR(__xludf.DUMMYFUNCTION("IMPORTRANGE(H8805,""IDENTITAS UNIT!D9"")"),"#N/A")</f>
        <v>#N/A</v>
      </c>
      <c r="H8805" s="4" t="str">
        <v/>
      </c>
      <c r="I8805" s="4" t="str">
        <v/>
      </c>
    </row>
    <row r="8806" spans="5:9" ht="16.5" hidden="1">
      <c r="E8806" s="4" t="str">
        <v/>
      </c>
      <c r="F8806" s="102" t="str">
        <f ca="1">IFERROR(__xludf.DUMMYFUNCTION("IMPORTRANGE(H8806,""IDENTITAS UNIT!D9"")"),"#N/A")</f>
        <v>#N/A</v>
      </c>
      <c r="H8806" s="4" t="str">
        <v/>
      </c>
      <c r="I8806" s="4" t="str">
        <v/>
      </c>
    </row>
    <row r="8807" spans="5:9" ht="16.5" hidden="1">
      <c r="E8807" s="4" t="str">
        <v/>
      </c>
      <c r="F8807" s="102" t="str">
        <f ca="1">IFERROR(__xludf.DUMMYFUNCTION("IMPORTRANGE(H8807,""IDENTITAS UNIT!D9"")"),"#N/A")</f>
        <v>#N/A</v>
      </c>
      <c r="H8807" s="4" t="str">
        <v/>
      </c>
      <c r="I8807" s="4" t="str">
        <v/>
      </c>
    </row>
    <row r="8808" spans="5:9" ht="16.5" hidden="1">
      <c r="E8808" s="4" t="str">
        <v/>
      </c>
      <c r="F8808" s="102" t="str">
        <f ca="1">IFERROR(__xludf.DUMMYFUNCTION("IMPORTRANGE(H8808,""IDENTITAS UNIT!D9"")"),"#N/A")</f>
        <v>#N/A</v>
      </c>
      <c r="H8808" s="4" t="str">
        <v/>
      </c>
      <c r="I8808" s="4" t="str">
        <v/>
      </c>
    </row>
    <row r="8809" spans="5:9" ht="16.5" hidden="1">
      <c r="E8809" s="4" t="str">
        <v/>
      </c>
      <c r="F8809" s="102" t="str">
        <f ca="1">IFERROR(__xludf.DUMMYFUNCTION("IMPORTRANGE(H8809,""IDENTITAS UNIT!D9"")"),"#N/A")</f>
        <v>#N/A</v>
      </c>
      <c r="H8809" s="4" t="str">
        <v/>
      </c>
      <c r="I8809" s="4" t="str">
        <v/>
      </c>
    </row>
    <row r="8810" spans="5:9" ht="16.5" hidden="1">
      <c r="E8810" s="4" t="str">
        <v/>
      </c>
      <c r="F8810" s="102" t="str">
        <f ca="1">IFERROR(__xludf.DUMMYFUNCTION("IMPORTRANGE(H8810,""IDENTITAS UNIT!D9"")"),"#N/A")</f>
        <v>#N/A</v>
      </c>
      <c r="H8810" s="4" t="str">
        <v/>
      </c>
      <c r="I8810" s="4" t="str">
        <v/>
      </c>
    </row>
    <row r="8811" spans="5:9" ht="16.5" hidden="1">
      <c r="E8811" s="4" t="str">
        <v/>
      </c>
      <c r="F8811" s="102" t="str">
        <f ca="1">IFERROR(__xludf.DUMMYFUNCTION("IMPORTRANGE(H8811,""IDENTITAS UNIT!D9"")"),"#N/A")</f>
        <v>#N/A</v>
      </c>
      <c r="H8811" s="4" t="str">
        <v/>
      </c>
      <c r="I8811" s="4" t="str">
        <v/>
      </c>
    </row>
    <row r="8812" spans="5:9" ht="16.5" hidden="1">
      <c r="E8812" s="4" t="str">
        <v/>
      </c>
      <c r="F8812" s="102" t="str">
        <f ca="1">IFERROR(__xludf.DUMMYFUNCTION("IMPORTRANGE(H8812,""IDENTITAS UNIT!D9"")"),"#N/A")</f>
        <v>#N/A</v>
      </c>
      <c r="H8812" s="4" t="str">
        <v/>
      </c>
      <c r="I8812" s="4" t="str">
        <v/>
      </c>
    </row>
    <row r="8813" spans="5:9" ht="16.5" hidden="1">
      <c r="E8813" s="4" t="str">
        <v/>
      </c>
      <c r="F8813" s="102" t="str">
        <f ca="1">IFERROR(__xludf.DUMMYFUNCTION("IMPORTRANGE(H8813,""IDENTITAS UNIT!D9"")"),"#N/A")</f>
        <v>#N/A</v>
      </c>
      <c r="H8813" s="4" t="str">
        <v/>
      </c>
      <c r="I8813" s="4" t="str">
        <v/>
      </c>
    </row>
    <row r="8814" spans="5:9" ht="16.5" hidden="1">
      <c r="E8814" s="4" t="str">
        <v/>
      </c>
      <c r="F8814" s="102" t="str">
        <f ca="1">IFERROR(__xludf.DUMMYFUNCTION("IMPORTRANGE(H8814,""IDENTITAS UNIT!D9"")"),"#N/A")</f>
        <v>#N/A</v>
      </c>
      <c r="H8814" s="4" t="str">
        <v/>
      </c>
      <c r="I8814" s="4" t="str">
        <v/>
      </c>
    </row>
    <row r="8815" spans="5:9" ht="16.5" hidden="1">
      <c r="E8815" s="4" t="str">
        <v/>
      </c>
      <c r="F8815" s="102" t="str">
        <f ca="1">IFERROR(__xludf.DUMMYFUNCTION("IMPORTRANGE(H8815,""IDENTITAS UNIT!D9"")"),"#N/A")</f>
        <v>#N/A</v>
      </c>
      <c r="H8815" s="4" t="str">
        <v/>
      </c>
      <c r="I8815" s="4" t="str">
        <v/>
      </c>
    </row>
    <row r="8816" spans="5:9" ht="16.5" hidden="1">
      <c r="E8816" s="4" t="str">
        <v/>
      </c>
      <c r="F8816" s="102" t="str">
        <f ca="1">IFERROR(__xludf.DUMMYFUNCTION("IMPORTRANGE(H8816,""IDENTITAS UNIT!D9"")"),"#N/A")</f>
        <v>#N/A</v>
      </c>
      <c r="H8816" s="4" t="str">
        <v/>
      </c>
      <c r="I8816" s="4" t="str">
        <v/>
      </c>
    </row>
    <row r="8817" spans="5:9" ht="16.5" hidden="1">
      <c r="E8817" s="4" t="str">
        <v/>
      </c>
      <c r="F8817" s="102" t="str">
        <f ca="1">IFERROR(__xludf.DUMMYFUNCTION("IMPORTRANGE(H8817,""IDENTITAS UNIT!D9"")"),"#N/A")</f>
        <v>#N/A</v>
      </c>
      <c r="H8817" s="4" t="str">
        <v/>
      </c>
      <c r="I8817" s="4" t="str">
        <v/>
      </c>
    </row>
    <row r="8818" spans="5:9" ht="16.5" hidden="1">
      <c r="E8818" s="4" t="str">
        <v/>
      </c>
      <c r="F8818" s="102" t="str">
        <f ca="1">IFERROR(__xludf.DUMMYFUNCTION("IMPORTRANGE(H8818,""IDENTITAS UNIT!D9"")"),"#N/A")</f>
        <v>#N/A</v>
      </c>
      <c r="H8818" s="4" t="str">
        <v/>
      </c>
      <c r="I8818" s="4" t="str">
        <v/>
      </c>
    </row>
    <row r="8819" spans="5:9" ht="16.5" hidden="1">
      <c r="E8819" s="4" t="str">
        <v/>
      </c>
      <c r="F8819" s="102" t="str">
        <f ca="1">IFERROR(__xludf.DUMMYFUNCTION("IMPORTRANGE(H8819,""IDENTITAS UNIT!D9"")"),"#N/A")</f>
        <v>#N/A</v>
      </c>
      <c r="H8819" s="4" t="str">
        <v/>
      </c>
      <c r="I8819" s="4" t="str">
        <v/>
      </c>
    </row>
    <row r="8820" spans="5:9" ht="16.5" hidden="1">
      <c r="E8820" s="4" t="str">
        <v/>
      </c>
      <c r="F8820" s="102" t="str">
        <f ca="1">IFERROR(__xludf.DUMMYFUNCTION("IMPORTRANGE(H8820,""IDENTITAS UNIT!D9"")"),"#N/A")</f>
        <v>#N/A</v>
      </c>
      <c r="H8820" s="4" t="str">
        <v/>
      </c>
      <c r="I8820" s="4" t="str">
        <v/>
      </c>
    </row>
    <row r="8821" spans="5:9" ht="16.5" hidden="1">
      <c r="E8821" s="4" t="str">
        <v/>
      </c>
      <c r="F8821" s="102" t="str">
        <f ca="1">IFERROR(__xludf.DUMMYFUNCTION("IMPORTRANGE(H8821,""IDENTITAS UNIT!D9"")"),"#N/A")</f>
        <v>#N/A</v>
      </c>
      <c r="H8821" s="4" t="str">
        <v/>
      </c>
      <c r="I8821" s="4" t="str">
        <v/>
      </c>
    </row>
    <row r="8822" spans="5:9" ht="16.5" hidden="1">
      <c r="E8822" s="4" t="str">
        <v/>
      </c>
      <c r="F8822" s="102" t="str">
        <f ca="1">IFERROR(__xludf.DUMMYFUNCTION("IMPORTRANGE(H8822,""IDENTITAS UNIT!D9"")"),"#N/A")</f>
        <v>#N/A</v>
      </c>
      <c r="H8822" s="4" t="str">
        <v/>
      </c>
      <c r="I8822" s="4" t="str">
        <v/>
      </c>
    </row>
    <row r="8823" spans="5:9" ht="16.5" hidden="1">
      <c r="E8823" s="4" t="str">
        <v/>
      </c>
      <c r="F8823" s="102" t="str">
        <f ca="1">IFERROR(__xludf.DUMMYFUNCTION("IMPORTRANGE(H8823,""IDENTITAS UNIT!D9"")"),"#N/A")</f>
        <v>#N/A</v>
      </c>
      <c r="H8823" s="4" t="str">
        <v/>
      </c>
      <c r="I8823" s="4" t="str">
        <v/>
      </c>
    </row>
    <row r="8824" spans="5:9" ht="16.5" hidden="1">
      <c r="E8824" s="4" t="str">
        <v/>
      </c>
      <c r="F8824" s="102" t="str">
        <f ca="1">IFERROR(__xludf.DUMMYFUNCTION("IMPORTRANGE(H8824,""IDENTITAS UNIT!D9"")"),"#N/A")</f>
        <v>#N/A</v>
      </c>
      <c r="H8824" s="4" t="str">
        <v/>
      </c>
      <c r="I8824" s="4" t="str">
        <v/>
      </c>
    </row>
    <row r="8825" spans="5:9" ht="16.5" hidden="1">
      <c r="E8825" s="4" t="str">
        <v/>
      </c>
      <c r="F8825" s="102" t="str">
        <f ca="1">IFERROR(__xludf.DUMMYFUNCTION("IMPORTRANGE(H8825,""IDENTITAS UNIT!D9"")"),"#N/A")</f>
        <v>#N/A</v>
      </c>
      <c r="H8825" s="4" t="str">
        <v/>
      </c>
      <c r="I8825" s="4" t="str">
        <v/>
      </c>
    </row>
    <row r="8826" spans="5:9" ht="16.5" hidden="1">
      <c r="E8826" s="4" t="str">
        <v/>
      </c>
      <c r="F8826" s="102" t="str">
        <f ca="1">IFERROR(__xludf.DUMMYFUNCTION("IMPORTRANGE(H8826,""IDENTITAS UNIT!D9"")"),"#N/A")</f>
        <v>#N/A</v>
      </c>
      <c r="H8826" s="4" t="str">
        <v/>
      </c>
      <c r="I8826" s="4" t="str">
        <v/>
      </c>
    </row>
    <row r="8827" spans="5:9" ht="16.5" hidden="1">
      <c r="E8827" s="4" t="str">
        <v/>
      </c>
      <c r="F8827" s="102" t="str">
        <f ca="1">IFERROR(__xludf.DUMMYFUNCTION("IMPORTRANGE(H8827,""IDENTITAS UNIT!D9"")"),"#N/A")</f>
        <v>#N/A</v>
      </c>
      <c r="H8827" s="4" t="str">
        <v/>
      </c>
      <c r="I8827" s="4" t="str">
        <v/>
      </c>
    </row>
    <row r="8828" spans="5:9" ht="16.5" hidden="1">
      <c r="E8828" s="4" t="str">
        <v/>
      </c>
      <c r="F8828" s="102" t="str">
        <f ca="1">IFERROR(__xludf.DUMMYFUNCTION("IMPORTRANGE(H8828,""IDENTITAS UNIT!D9"")"),"#N/A")</f>
        <v>#N/A</v>
      </c>
      <c r="H8828" s="4" t="str">
        <v/>
      </c>
      <c r="I8828" s="4" t="str">
        <v/>
      </c>
    </row>
    <row r="8829" spans="5:9" ht="16.5" hidden="1">
      <c r="E8829" s="4" t="str">
        <v/>
      </c>
      <c r="F8829" s="102" t="str">
        <f ca="1">IFERROR(__xludf.DUMMYFUNCTION("IMPORTRANGE(H8829,""IDENTITAS UNIT!D9"")"),"#N/A")</f>
        <v>#N/A</v>
      </c>
      <c r="H8829" s="4" t="str">
        <v/>
      </c>
      <c r="I8829" s="4" t="str">
        <v/>
      </c>
    </row>
    <row r="8830" spans="5:9" ht="16.5" hidden="1">
      <c r="E8830" s="4" t="str">
        <v/>
      </c>
      <c r="F8830" s="102" t="str">
        <f ca="1">IFERROR(__xludf.DUMMYFUNCTION("IMPORTRANGE(H8830,""IDENTITAS UNIT!D9"")"),"#N/A")</f>
        <v>#N/A</v>
      </c>
      <c r="H8830" s="4" t="str">
        <v/>
      </c>
      <c r="I8830" s="4" t="str">
        <v/>
      </c>
    </row>
    <row r="8831" spans="5:9" ht="16.5" hidden="1">
      <c r="E8831" s="4" t="str">
        <v/>
      </c>
      <c r="F8831" s="102" t="str">
        <f ca="1">IFERROR(__xludf.DUMMYFUNCTION("IMPORTRANGE(H8831,""IDENTITAS UNIT!D9"")"),"#N/A")</f>
        <v>#N/A</v>
      </c>
      <c r="H8831" s="4" t="str">
        <v/>
      </c>
      <c r="I8831" s="4" t="str">
        <v/>
      </c>
    </row>
    <row r="8832" spans="5:9" ht="16.5" hidden="1">
      <c r="E8832" s="4" t="str">
        <v/>
      </c>
      <c r="F8832" s="102" t="str">
        <f ca="1">IFERROR(__xludf.DUMMYFUNCTION("IMPORTRANGE(H8832,""IDENTITAS UNIT!D9"")"),"#N/A")</f>
        <v>#N/A</v>
      </c>
      <c r="H8832" s="4" t="str">
        <v/>
      </c>
      <c r="I8832" s="4" t="str">
        <v/>
      </c>
    </row>
    <row r="8833" spans="5:9" ht="16.5" hidden="1">
      <c r="E8833" s="4" t="str">
        <v/>
      </c>
      <c r="F8833" s="102" t="str">
        <f ca="1">IFERROR(__xludf.DUMMYFUNCTION("IMPORTRANGE(H8833,""IDENTITAS UNIT!D9"")"),"#N/A")</f>
        <v>#N/A</v>
      </c>
      <c r="H8833" s="4" t="str">
        <v/>
      </c>
      <c r="I8833" s="4" t="str">
        <v/>
      </c>
    </row>
    <row r="8834" spans="5:9" ht="16.5" hidden="1">
      <c r="E8834" s="4" t="str">
        <v/>
      </c>
      <c r="F8834" s="102" t="str">
        <f ca="1">IFERROR(__xludf.DUMMYFUNCTION("IMPORTRANGE(H8834,""IDENTITAS UNIT!D9"")"),"#N/A")</f>
        <v>#N/A</v>
      </c>
      <c r="H8834" s="4" t="str">
        <v/>
      </c>
      <c r="I8834" s="4" t="str">
        <v/>
      </c>
    </row>
    <row r="8835" spans="5:9" ht="16.5" hidden="1">
      <c r="E8835" s="4" t="str">
        <v/>
      </c>
      <c r="F8835" s="102" t="str">
        <f ca="1">IFERROR(__xludf.DUMMYFUNCTION("IMPORTRANGE(H8835,""IDENTITAS UNIT!D9"")"),"#N/A")</f>
        <v>#N/A</v>
      </c>
      <c r="H8835" s="4" t="str">
        <v/>
      </c>
      <c r="I8835" s="4" t="str">
        <v/>
      </c>
    </row>
    <row r="8836" spans="5:9" ht="16.5" hidden="1">
      <c r="E8836" s="4" t="str">
        <v/>
      </c>
      <c r="F8836" s="102" t="str">
        <f ca="1">IFERROR(__xludf.DUMMYFUNCTION("IMPORTRANGE(H8836,""IDENTITAS UNIT!D9"")"),"#N/A")</f>
        <v>#N/A</v>
      </c>
      <c r="H8836" s="4" t="str">
        <v/>
      </c>
      <c r="I8836" s="4" t="str">
        <v/>
      </c>
    </row>
    <row r="8837" spans="5:9" ht="16.5" hidden="1">
      <c r="E8837" s="4" t="str">
        <v/>
      </c>
      <c r="F8837" s="102" t="str">
        <f ca="1">IFERROR(__xludf.DUMMYFUNCTION("IMPORTRANGE(H8837,""IDENTITAS UNIT!D9"")"),"#N/A")</f>
        <v>#N/A</v>
      </c>
      <c r="H8837" s="4" t="str">
        <v/>
      </c>
      <c r="I8837" s="4" t="str">
        <v/>
      </c>
    </row>
    <row r="8838" spans="5:9" ht="16.5" hidden="1">
      <c r="E8838" s="4" t="str">
        <v/>
      </c>
      <c r="F8838" s="102" t="str">
        <f ca="1">IFERROR(__xludf.DUMMYFUNCTION("IMPORTRANGE(H8838,""IDENTITAS UNIT!D9"")"),"#N/A")</f>
        <v>#N/A</v>
      </c>
      <c r="H8838" s="4" t="str">
        <v/>
      </c>
      <c r="I8838" s="4" t="str">
        <v/>
      </c>
    </row>
    <row r="8839" spans="5:9" ht="16.5" hidden="1">
      <c r="E8839" s="4" t="str">
        <v/>
      </c>
      <c r="F8839" s="102" t="str">
        <f ca="1">IFERROR(__xludf.DUMMYFUNCTION("IMPORTRANGE(H8839,""IDENTITAS UNIT!D9"")"),"#N/A")</f>
        <v>#N/A</v>
      </c>
      <c r="H8839" s="4" t="str">
        <v/>
      </c>
      <c r="I8839" s="4" t="str">
        <v/>
      </c>
    </row>
    <row r="8840" spans="5:9" ht="16.5" hidden="1">
      <c r="E8840" s="4" t="str">
        <v/>
      </c>
      <c r="F8840" s="102" t="str">
        <f ca="1">IFERROR(__xludf.DUMMYFUNCTION("IMPORTRANGE(H8840,""IDENTITAS UNIT!D9"")"),"#N/A")</f>
        <v>#N/A</v>
      </c>
      <c r="H8840" s="4" t="str">
        <v/>
      </c>
      <c r="I8840" s="4" t="str">
        <v/>
      </c>
    </row>
    <row r="8841" spans="5:9" ht="16.5" hidden="1">
      <c r="E8841" s="4" t="str">
        <v/>
      </c>
      <c r="F8841" s="102" t="str">
        <f ca="1">IFERROR(__xludf.DUMMYFUNCTION("IMPORTRANGE(H8841,""IDENTITAS UNIT!D9"")"),"#N/A")</f>
        <v>#N/A</v>
      </c>
      <c r="H8841" s="4" t="str">
        <v/>
      </c>
      <c r="I8841" s="4" t="str">
        <v/>
      </c>
    </row>
    <row r="8842" spans="5:9" ht="16.5" hidden="1">
      <c r="E8842" s="4" t="str">
        <v/>
      </c>
      <c r="F8842" s="102" t="str">
        <f ca="1">IFERROR(__xludf.DUMMYFUNCTION("IMPORTRANGE(H8842,""IDENTITAS UNIT!D9"")"),"#N/A")</f>
        <v>#N/A</v>
      </c>
      <c r="H8842" s="4" t="str">
        <v/>
      </c>
      <c r="I8842" s="4" t="str">
        <v/>
      </c>
    </row>
    <row r="8843" spans="5:9" ht="16.5" hidden="1">
      <c r="E8843" s="4" t="str">
        <v/>
      </c>
      <c r="F8843" s="102" t="str">
        <f ca="1">IFERROR(__xludf.DUMMYFUNCTION("IMPORTRANGE(H8843,""IDENTITAS UNIT!D9"")"),"#N/A")</f>
        <v>#N/A</v>
      </c>
      <c r="H8843" s="4" t="str">
        <v/>
      </c>
      <c r="I8843" s="4" t="str">
        <v/>
      </c>
    </row>
    <row r="8844" spans="5:9" ht="16.5" hidden="1">
      <c r="E8844" s="4" t="str">
        <v/>
      </c>
      <c r="F8844" s="102" t="str">
        <f ca="1">IFERROR(__xludf.DUMMYFUNCTION("IMPORTRANGE(H8844,""IDENTITAS UNIT!D9"")"),"#N/A")</f>
        <v>#N/A</v>
      </c>
      <c r="H8844" s="4" t="str">
        <v/>
      </c>
      <c r="I8844" s="4" t="str">
        <v/>
      </c>
    </row>
    <row r="8845" spans="5:9" ht="16.5" hidden="1">
      <c r="E8845" s="4" t="str">
        <v/>
      </c>
      <c r="F8845" s="102" t="str">
        <f ca="1">IFERROR(__xludf.DUMMYFUNCTION("IMPORTRANGE(H8845,""IDENTITAS UNIT!D9"")"),"#N/A")</f>
        <v>#N/A</v>
      </c>
      <c r="H8845" s="4" t="str">
        <v/>
      </c>
      <c r="I8845" s="4" t="str">
        <v/>
      </c>
    </row>
    <row r="8846" spans="5:9" ht="16.5" hidden="1">
      <c r="E8846" s="4" t="str">
        <v/>
      </c>
      <c r="F8846" s="102" t="str">
        <f ca="1">IFERROR(__xludf.DUMMYFUNCTION("IMPORTRANGE(H8846,""IDENTITAS UNIT!D9"")"),"#N/A")</f>
        <v>#N/A</v>
      </c>
      <c r="H8846" s="4" t="str">
        <v/>
      </c>
      <c r="I8846" s="4" t="str">
        <v/>
      </c>
    </row>
    <row r="8847" spans="5:9" ht="16.5" hidden="1">
      <c r="E8847" s="4" t="str">
        <v/>
      </c>
      <c r="F8847" s="102" t="str">
        <f ca="1">IFERROR(__xludf.DUMMYFUNCTION("IMPORTRANGE(H8847,""IDENTITAS UNIT!D9"")"),"#N/A")</f>
        <v>#N/A</v>
      </c>
      <c r="H8847" s="4" t="str">
        <v/>
      </c>
      <c r="I8847" s="4" t="str">
        <v/>
      </c>
    </row>
    <row r="8848" spans="5:9" ht="16.5" hidden="1">
      <c r="E8848" s="4" t="str">
        <v/>
      </c>
      <c r="F8848" s="102" t="str">
        <f ca="1">IFERROR(__xludf.DUMMYFUNCTION("IMPORTRANGE(H8848,""IDENTITAS UNIT!D9"")"),"#N/A")</f>
        <v>#N/A</v>
      </c>
      <c r="H8848" s="4" t="str">
        <v/>
      </c>
      <c r="I8848" s="4" t="str">
        <v/>
      </c>
    </row>
    <row r="8849" spans="5:9" ht="16.5" hidden="1">
      <c r="E8849" s="4" t="str">
        <v/>
      </c>
      <c r="F8849" s="102" t="str">
        <f ca="1">IFERROR(__xludf.DUMMYFUNCTION("IMPORTRANGE(H8849,""IDENTITAS UNIT!D9"")"),"#N/A")</f>
        <v>#N/A</v>
      </c>
      <c r="H8849" s="4" t="str">
        <v/>
      </c>
      <c r="I8849" s="4" t="str">
        <v/>
      </c>
    </row>
    <row r="8850" spans="5:9" ht="16.5" hidden="1">
      <c r="E8850" s="4" t="str">
        <v/>
      </c>
      <c r="F8850" s="102" t="str">
        <f ca="1">IFERROR(__xludf.DUMMYFUNCTION("IMPORTRANGE(H8850,""IDENTITAS UNIT!D9"")"),"#N/A")</f>
        <v>#N/A</v>
      </c>
      <c r="H8850" s="4" t="str">
        <v/>
      </c>
      <c r="I8850" s="4" t="str">
        <v/>
      </c>
    </row>
    <row r="8851" spans="5:9" ht="16.5" hidden="1">
      <c r="E8851" s="4" t="str">
        <v/>
      </c>
      <c r="F8851" s="102" t="str">
        <f ca="1">IFERROR(__xludf.DUMMYFUNCTION("IMPORTRANGE(H8851,""IDENTITAS UNIT!D9"")"),"#N/A")</f>
        <v>#N/A</v>
      </c>
      <c r="H8851" s="4" t="str">
        <v/>
      </c>
      <c r="I8851" s="4" t="str">
        <v/>
      </c>
    </row>
    <row r="8852" spans="5:9" ht="16.5" hidden="1">
      <c r="E8852" s="4" t="str">
        <v/>
      </c>
      <c r="F8852" s="102" t="str">
        <f ca="1">IFERROR(__xludf.DUMMYFUNCTION("IMPORTRANGE(H8852,""IDENTITAS UNIT!D9"")"),"#N/A")</f>
        <v>#N/A</v>
      </c>
      <c r="H8852" s="4" t="str">
        <v/>
      </c>
      <c r="I8852" s="4" t="str">
        <v/>
      </c>
    </row>
    <row r="8853" spans="5:9" ht="16.5" hidden="1">
      <c r="E8853" s="4" t="str">
        <v/>
      </c>
      <c r="F8853" s="102" t="str">
        <f ca="1">IFERROR(__xludf.DUMMYFUNCTION("IMPORTRANGE(H8853,""IDENTITAS UNIT!D9"")"),"#N/A")</f>
        <v>#N/A</v>
      </c>
      <c r="H8853" s="4" t="str">
        <v/>
      </c>
      <c r="I8853" s="4" t="str">
        <v/>
      </c>
    </row>
    <row r="8854" spans="5:9" ht="16.5" hidden="1">
      <c r="E8854" s="4" t="str">
        <v/>
      </c>
      <c r="F8854" s="102" t="str">
        <f ca="1">IFERROR(__xludf.DUMMYFUNCTION("IMPORTRANGE(H8854,""IDENTITAS UNIT!D9"")"),"#N/A")</f>
        <v>#N/A</v>
      </c>
      <c r="H8854" s="4" t="str">
        <v/>
      </c>
      <c r="I8854" s="4" t="str">
        <v/>
      </c>
    </row>
    <row r="8855" spans="5:9" ht="16.5" hidden="1">
      <c r="E8855" s="4" t="str">
        <v/>
      </c>
      <c r="F8855" s="102" t="str">
        <f ca="1">IFERROR(__xludf.DUMMYFUNCTION("IMPORTRANGE(H8855,""IDENTITAS UNIT!D9"")"),"#N/A")</f>
        <v>#N/A</v>
      </c>
      <c r="H8855" s="4" t="str">
        <v/>
      </c>
      <c r="I8855" s="4" t="str">
        <v/>
      </c>
    </row>
    <row r="8856" spans="5:9" ht="16.5" hidden="1">
      <c r="E8856" s="4" t="str">
        <v/>
      </c>
      <c r="F8856" s="102" t="str">
        <f ca="1">IFERROR(__xludf.DUMMYFUNCTION("IMPORTRANGE(H8856,""IDENTITAS UNIT!D9"")"),"#N/A")</f>
        <v>#N/A</v>
      </c>
      <c r="H8856" s="4" t="str">
        <v/>
      </c>
      <c r="I8856" s="4" t="str">
        <v/>
      </c>
    </row>
    <row r="8857" spans="5:9" ht="16.5" hidden="1">
      <c r="E8857" s="4" t="str">
        <v/>
      </c>
      <c r="F8857" s="102" t="str">
        <f ca="1">IFERROR(__xludf.DUMMYFUNCTION("IMPORTRANGE(H8857,""IDENTITAS UNIT!D9"")"),"#N/A")</f>
        <v>#N/A</v>
      </c>
      <c r="H8857" s="4" t="str">
        <v/>
      </c>
      <c r="I8857" s="4" t="str">
        <v/>
      </c>
    </row>
    <row r="8858" spans="5:9" ht="16.5" hidden="1">
      <c r="E8858" s="4" t="str">
        <v/>
      </c>
      <c r="F8858" s="102" t="str">
        <f ca="1">IFERROR(__xludf.DUMMYFUNCTION("IMPORTRANGE(H8858,""IDENTITAS UNIT!D9"")"),"#N/A")</f>
        <v>#N/A</v>
      </c>
      <c r="H8858" s="4" t="str">
        <v/>
      </c>
      <c r="I8858" s="4" t="str">
        <v/>
      </c>
    </row>
    <row r="8859" spans="5:9" ht="16.5" hidden="1">
      <c r="E8859" s="4" t="str">
        <v/>
      </c>
      <c r="F8859" s="102" t="str">
        <f ca="1">IFERROR(__xludf.DUMMYFUNCTION("IMPORTRANGE(H8859,""IDENTITAS UNIT!D9"")"),"#N/A")</f>
        <v>#N/A</v>
      </c>
      <c r="H8859" s="4" t="str">
        <v/>
      </c>
      <c r="I8859" s="4" t="str">
        <v/>
      </c>
    </row>
    <row r="8860" spans="5:9" ht="16.5" hidden="1">
      <c r="E8860" s="4" t="str">
        <v/>
      </c>
      <c r="F8860" s="102" t="str">
        <f ca="1">IFERROR(__xludf.DUMMYFUNCTION("IMPORTRANGE(H8860,""IDENTITAS UNIT!D9"")"),"#N/A")</f>
        <v>#N/A</v>
      </c>
      <c r="H8860" s="4" t="str">
        <v/>
      </c>
      <c r="I8860" s="4" t="str">
        <v/>
      </c>
    </row>
    <row r="8861" spans="5:9" ht="16.5" hidden="1">
      <c r="E8861" s="4" t="str">
        <v/>
      </c>
      <c r="F8861" s="102" t="str">
        <f ca="1">IFERROR(__xludf.DUMMYFUNCTION("IMPORTRANGE(H8861,""IDENTITAS UNIT!D9"")"),"#N/A")</f>
        <v>#N/A</v>
      </c>
      <c r="H8861" s="4" t="str">
        <v/>
      </c>
      <c r="I8861" s="4" t="str">
        <v/>
      </c>
    </row>
    <row r="8862" spans="5:9" ht="16.5" hidden="1">
      <c r="E8862" s="4" t="str">
        <v/>
      </c>
      <c r="F8862" s="102" t="str">
        <f ca="1">IFERROR(__xludf.DUMMYFUNCTION("IMPORTRANGE(H8862,""IDENTITAS UNIT!D9"")"),"#N/A")</f>
        <v>#N/A</v>
      </c>
      <c r="H8862" s="4" t="str">
        <v/>
      </c>
      <c r="I8862" s="4" t="str">
        <v/>
      </c>
    </row>
    <row r="8863" spans="5:9" ht="16.5" hidden="1">
      <c r="E8863" s="4" t="str">
        <v/>
      </c>
      <c r="F8863" s="102" t="str">
        <f ca="1">IFERROR(__xludf.DUMMYFUNCTION("IMPORTRANGE(H8863,""IDENTITAS UNIT!D9"")"),"#N/A")</f>
        <v>#N/A</v>
      </c>
      <c r="H8863" s="4" t="str">
        <v/>
      </c>
      <c r="I8863" s="4" t="str">
        <v/>
      </c>
    </row>
    <row r="8864" spans="5:9" ht="16.5" hidden="1">
      <c r="E8864" s="4" t="str">
        <v/>
      </c>
      <c r="F8864" s="102" t="str">
        <f ca="1">IFERROR(__xludf.DUMMYFUNCTION("IMPORTRANGE(H8864,""IDENTITAS UNIT!D9"")"),"#N/A")</f>
        <v>#N/A</v>
      </c>
      <c r="H8864" s="4" t="str">
        <v/>
      </c>
      <c r="I8864" s="4" t="str">
        <v/>
      </c>
    </row>
    <row r="8865" spans="5:9" ht="16.5" hidden="1">
      <c r="E8865" s="4" t="str">
        <v/>
      </c>
      <c r="F8865" s="102" t="str">
        <f ca="1">IFERROR(__xludf.DUMMYFUNCTION("IMPORTRANGE(H8865,""IDENTITAS UNIT!D9"")"),"#N/A")</f>
        <v>#N/A</v>
      </c>
      <c r="H8865" s="4" t="str">
        <v/>
      </c>
      <c r="I8865" s="4" t="str">
        <v/>
      </c>
    </row>
    <row r="8866" spans="5:9" ht="16.5" hidden="1">
      <c r="E8866" s="4" t="str">
        <v/>
      </c>
      <c r="F8866" s="102" t="str">
        <f ca="1">IFERROR(__xludf.DUMMYFUNCTION("IMPORTRANGE(H8866,""IDENTITAS UNIT!D9"")"),"#N/A")</f>
        <v>#N/A</v>
      </c>
      <c r="H8866" s="4" t="str">
        <v/>
      </c>
      <c r="I8866" s="4" t="str">
        <v/>
      </c>
    </row>
    <row r="8867" spans="5:9" ht="16.5" hidden="1">
      <c r="E8867" s="4" t="str">
        <v/>
      </c>
      <c r="F8867" s="102" t="str">
        <f ca="1">IFERROR(__xludf.DUMMYFUNCTION("IMPORTRANGE(H8867,""IDENTITAS UNIT!D9"")"),"#N/A")</f>
        <v>#N/A</v>
      </c>
      <c r="H8867" s="4" t="str">
        <v/>
      </c>
      <c r="I8867" s="4" t="str">
        <v/>
      </c>
    </row>
    <row r="8868" spans="5:9" ht="16.5" hidden="1">
      <c r="E8868" s="4" t="str">
        <v/>
      </c>
      <c r="F8868" s="102" t="str">
        <f ca="1">IFERROR(__xludf.DUMMYFUNCTION("IMPORTRANGE(H8868,""IDENTITAS UNIT!D9"")"),"#N/A")</f>
        <v>#N/A</v>
      </c>
      <c r="H8868" s="4" t="str">
        <v/>
      </c>
      <c r="I8868" s="4" t="str">
        <v/>
      </c>
    </row>
    <row r="8869" spans="5:9" ht="16.5" hidden="1">
      <c r="E8869" s="4" t="str">
        <v/>
      </c>
      <c r="F8869" s="102" t="str">
        <f ca="1">IFERROR(__xludf.DUMMYFUNCTION("IMPORTRANGE(H8869,""IDENTITAS UNIT!D9"")"),"#N/A")</f>
        <v>#N/A</v>
      </c>
      <c r="H8869" s="4" t="str">
        <v/>
      </c>
      <c r="I8869" s="4" t="str">
        <v/>
      </c>
    </row>
    <row r="8870" spans="5:9" ht="16.5" hidden="1">
      <c r="E8870" s="4" t="str">
        <v/>
      </c>
      <c r="F8870" s="102" t="str">
        <f ca="1">IFERROR(__xludf.DUMMYFUNCTION("IMPORTRANGE(H8870,""IDENTITAS UNIT!D9"")"),"#N/A")</f>
        <v>#N/A</v>
      </c>
      <c r="H8870" s="4" t="str">
        <v/>
      </c>
      <c r="I8870" s="4" t="str">
        <v/>
      </c>
    </row>
    <row r="8871" spans="5:9" ht="16.5" hidden="1">
      <c r="E8871" s="4" t="str">
        <v/>
      </c>
      <c r="F8871" s="102" t="str">
        <f ca="1">IFERROR(__xludf.DUMMYFUNCTION("IMPORTRANGE(H8871,""IDENTITAS UNIT!D9"")"),"#N/A")</f>
        <v>#N/A</v>
      </c>
      <c r="H8871" s="4" t="str">
        <v/>
      </c>
      <c r="I8871" s="4" t="str">
        <v/>
      </c>
    </row>
    <row r="8872" spans="5:9" ht="16.5" hidden="1">
      <c r="E8872" s="4" t="str">
        <v/>
      </c>
      <c r="F8872" s="102" t="str">
        <f ca="1">IFERROR(__xludf.DUMMYFUNCTION("IMPORTRANGE(H8872,""IDENTITAS UNIT!D9"")"),"#N/A")</f>
        <v>#N/A</v>
      </c>
      <c r="H8872" s="4" t="str">
        <v/>
      </c>
      <c r="I8872" s="4" t="str">
        <v/>
      </c>
    </row>
    <row r="8873" spans="5:9" ht="16.5" hidden="1">
      <c r="E8873" s="4" t="str">
        <v/>
      </c>
      <c r="F8873" s="102" t="str">
        <f ca="1">IFERROR(__xludf.DUMMYFUNCTION("IMPORTRANGE(H8873,""IDENTITAS UNIT!D9"")"),"#N/A")</f>
        <v>#N/A</v>
      </c>
      <c r="H8873" s="4" t="str">
        <v/>
      </c>
      <c r="I8873" s="4" t="str">
        <v/>
      </c>
    </row>
    <row r="8874" spans="5:9" ht="16.5" hidden="1">
      <c r="E8874" s="4" t="str">
        <v/>
      </c>
      <c r="F8874" s="102" t="str">
        <f ca="1">IFERROR(__xludf.DUMMYFUNCTION("IMPORTRANGE(H8874,""IDENTITAS UNIT!D9"")"),"#N/A")</f>
        <v>#N/A</v>
      </c>
      <c r="H8874" s="4" t="str">
        <v/>
      </c>
      <c r="I8874" s="4" t="str">
        <v/>
      </c>
    </row>
    <row r="8875" spans="5:9" ht="16.5" hidden="1">
      <c r="E8875" s="4" t="str">
        <v/>
      </c>
      <c r="F8875" s="102" t="str">
        <f ca="1">IFERROR(__xludf.DUMMYFUNCTION("IMPORTRANGE(H8875,""IDENTITAS UNIT!D9"")"),"#N/A")</f>
        <v>#N/A</v>
      </c>
      <c r="H8875" s="4" t="str">
        <v/>
      </c>
      <c r="I8875" s="4" t="str">
        <v/>
      </c>
    </row>
    <row r="8876" spans="5:9" ht="16.5" hidden="1">
      <c r="E8876" s="4" t="str">
        <v/>
      </c>
      <c r="F8876" s="102" t="str">
        <f ca="1">IFERROR(__xludf.DUMMYFUNCTION("IMPORTRANGE(H8876,""IDENTITAS UNIT!D9"")"),"#N/A")</f>
        <v>#N/A</v>
      </c>
      <c r="H8876" s="4" t="str">
        <v/>
      </c>
      <c r="I8876" s="4" t="str">
        <v/>
      </c>
    </row>
    <row r="8877" spans="5:9" ht="16.5" hidden="1">
      <c r="E8877" s="4" t="str">
        <v/>
      </c>
      <c r="F8877" s="102" t="str">
        <f ca="1">IFERROR(__xludf.DUMMYFUNCTION("IMPORTRANGE(H8877,""IDENTITAS UNIT!D9"")"),"#N/A")</f>
        <v>#N/A</v>
      </c>
      <c r="H8877" s="4" t="str">
        <v/>
      </c>
      <c r="I8877" s="4" t="str">
        <v/>
      </c>
    </row>
    <row r="8878" spans="5:9" ht="16.5" hidden="1">
      <c r="E8878" s="4" t="str">
        <v/>
      </c>
      <c r="F8878" s="102" t="str">
        <f ca="1">IFERROR(__xludf.DUMMYFUNCTION("IMPORTRANGE(H8878,""IDENTITAS UNIT!D9"")"),"#N/A")</f>
        <v>#N/A</v>
      </c>
      <c r="H8878" s="4" t="str">
        <v/>
      </c>
      <c r="I8878" s="4" t="str">
        <v/>
      </c>
    </row>
    <row r="8879" spans="5:9" ht="16.5" hidden="1">
      <c r="E8879" s="4" t="str">
        <v/>
      </c>
      <c r="F8879" s="102" t="str">
        <f ca="1">IFERROR(__xludf.DUMMYFUNCTION("IMPORTRANGE(H8879,""IDENTITAS UNIT!D9"")"),"#N/A")</f>
        <v>#N/A</v>
      </c>
      <c r="H8879" s="4" t="str">
        <v/>
      </c>
      <c r="I8879" s="4" t="str">
        <v/>
      </c>
    </row>
    <row r="8880" spans="5:9" ht="16.5" hidden="1">
      <c r="E8880" s="4" t="str">
        <v/>
      </c>
      <c r="F8880" s="102" t="str">
        <f ca="1">IFERROR(__xludf.DUMMYFUNCTION("IMPORTRANGE(H8880,""IDENTITAS UNIT!D9"")"),"#N/A")</f>
        <v>#N/A</v>
      </c>
      <c r="H8880" s="4" t="str">
        <v/>
      </c>
      <c r="I8880" s="4" t="str">
        <v/>
      </c>
    </row>
    <row r="8881" spans="5:9" ht="16.5" hidden="1">
      <c r="E8881" s="4" t="str">
        <v/>
      </c>
      <c r="F8881" s="102" t="str">
        <f ca="1">IFERROR(__xludf.DUMMYFUNCTION("IMPORTRANGE(H8881,""IDENTITAS UNIT!D9"")"),"#N/A")</f>
        <v>#N/A</v>
      </c>
      <c r="H8881" s="4" t="str">
        <v/>
      </c>
      <c r="I8881" s="4" t="str">
        <v/>
      </c>
    </row>
    <row r="8882" spans="5:9" ht="16.5" hidden="1">
      <c r="E8882" s="4" t="str">
        <v/>
      </c>
      <c r="F8882" s="102" t="str">
        <f ca="1">IFERROR(__xludf.DUMMYFUNCTION("IMPORTRANGE(H8882,""IDENTITAS UNIT!D9"")"),"#N/A")</f>
        <v>#N/A</v>
      </c>
      <c r="H8882" s="4" t="str">
        <v/>
      </c>
      <c r="I8882" s="4" t="str">
        <v/>
      </c>
    </row>
    <row r="8883" spans="5:9" ht="16.5" hidden="1">
      <c r="E8883" s="4" t="str">
        <v/>
      </c>
      <c r="F8883" s="102" t="str">
        <f ca="1">IFERROR(__xludf.DUMMYFUNCTION("IMPORTRANGE(H8883,""IDENTITAS UNIT!D9"")"),"#N/A")</f>
        <v>#N/A</v>
      </c>
      <c r="H8883" s="4" t="str">
        <v/>
      </c>
      <c r="I8883" s="4" t="str">
        <v/>
      </c>
    </row>
    <row r="8884" spans="5:9" ht="16.5" hidden="1">
      <c r="E8884" s="4" t="str">
        <v/>
      </c>
      <c r="F8884" s="102" t="str">
        <f ca="1">IFERROR(__xludf.DUMMYFUNCTION("IMPORTRANGE(H8884,""IDENTITAS UNIT!D9"")"),"#N/A")</f>
        <v>#N/A</v>
      </c>
      <c r="H8884" s="4" t="str">
        <v/>
      </c>
      <c r="I8884" s="4" t="str">
        <v/>
      </c>
    </row>
    <row r="8885" spans="5:9" ht="16.5" hidden="1">
      <c r="E8885" s="4" t="str">
        <v/>
      </c>
      <c r="F8885" s="102" t="str">
        <f ca="1">IFERROR(__xludf.DUMMYFUNCTION("IMPORTRANGE(H8885,""IDENTITAS UNIT!D9"")"),"#N/A")</f>
        <v>#N/A</v>
      </c>
      <c r="H8885" s="4" t="str">
        <v/>
      </c>
      <c r="I8885" s="4" t="str">
        <v/>
      </c>
    </row>
    <row r="8886" spans="5:9" ht="16.5" hidden="1">
      <c r="E8886" s="4" t="str">
        <v/>
      </c>
      <c r="F8886" s="102" t="str">
        <f ca="1">IFERROR(__xludf.DUMMYFUNCTION("IMPORTRANGE(H8886,""IDENTITAS UNIT!D9"")"),"#N/A")</f>
        <v>#N/A</v>
      </c>
      <c r="H8886" s="4" t="str">
        <v/>
      </c>
      <c r="I8886" s="4" t="str">
        <v/>
      </c>
    </row>
    <row r="8887" spans="5:9" ht="16.5" hidden="1">
      <c r="E8887" s="4" t="str">
        <v/>
      </c>
      <c r="F8887" s="102" t="str">
        <f ca="1">IFERROR(__xludf.DUMMYFUNCTION("IMPORTRANGE(H8887,""IDENTITAS UNIT!D9"")"),"#N/A")</f>
        <v>#N/A</v>
      </c>
      <c r="H8887" s="4" t="str">
        <v/>
      </c>
      <c r="I8887" s="4" t="str">
        <v/>
      </c>
    </row>
    <row r="8888" spans="5:9" ht="16.5" hidden="1">
      <c r="E8888" s="4" t="str">
        <v/>
      </c>
      <c r="F8888" s="102" t="str">
        <f ca="1">IFERROR(__xludf.DUMMYFUNCTION("IMPORTRANGE(H8888,""IDENTITAS UNIT!D9"")"),"#N/A")</f>
        <v>#N/A</v>
      </c>
      <c r="H8888" s="4" t="str">
        <v/>
      </c>
      <c r="I8888" s="4" t="str">
        <v/>
      </c>
    </row>
    <row r="8889" spans="5:9" ht="16.5" hidden="1">
      <c r="E8889" s="4" t="str">
        <v/>
      </c>
      <c r="F8889" s="102" t="str">
        <f ca="1">IFERROR(__xludf.DUMMYFUNCTION("IMPORTRANGE(H8889,""IDENTITAS UNIT!D9"")"),"#N/A")</f>
        <v>#N/A</v>
      </c>
      <c r="H8889" s="4" t="str">
        <v/>
      </c>
      <c r="I8889" s="4" t="str">
        <v/>
      </c>
    </row>
    <row r="8890" spans="5:9" ht="16.5" hidden="1">
      <c r="E8890" s="4" t="str">
        <v/>
      </c>
      <c r="F8890" s="102" t="str">
        <f ca="1">IFERROR(__xludf.DUMMYFUNCTION("IMPORTRANGE(H8890,""IDENTITAS UNIT!D9"")"),"#N/A")</f>
        <v>#N/A</v>
      </c>
      <c r="H8890" s="4" t="str">
        <v/>
      </c>
      <c r="I8890" s="4" t="str">
        <v/>
      </c>
    </row>
    <row r="8891" spans="5:9" ht="16.5" hidden="1">
      <c r="E8891" s="4" t="str">
        <v/>
      </c>
      <c r="F8891" s="102" t="str">
        <f ca="1">IFERROR(__xludf.DUMMYFUNCTION("IMPORTRANGE(H8891,""IDENTITAS UNIT!D9"")"),"#N/A")</f>
        <v>#N/A</v>
      </c>
      <c r="H8891" s="4" t="str">
        <v/>
      </c>
      <c r="I8891" s="4" t="str">
        <v/>
      </c>
    </row>
    <row r="8892" spans="5:9" ht="16.5" hidden="1">
      <c r="E8892" s="4" t="str">
        <v/>
      </c>
      <c r="F8892" s="102" t="str">
        <f ca="1">IFERROR(__xludf.DUMMYFUNCTION("IMPORTRANGE(H8892,""IDENTITAS UNIT!D9"")"),"#N/A")</f>
        <v>#N/A</v>
      </c>
      <c r="H8892" s="4" t="str">
        <v/>
      </c>
      <c r="I8892" s="4" t="str">
        <v/>
      </c>
    </row>
    <row r="8893" spans="5:9" ht="16.5" hidden="1">
      <c r="E8893" s="4" t="str">
        <v/>
      </c>
      <c r="F8893" s="102" t="str">
        <f ca="1">IFERROR(__xludf.DUMMYFUNCTION("IMPORTRANGE(H8893,""IDENTITAS UNIT!D9"")"),"#N/A")</f>
        <v>#N/A</v>
      </c>
      <c r="H8893" s="4" t="str">
        <v/>
      </c>
      <c r="I8893" s="4" t="str">
        <v/>
      </c>
    </row>
    <row r="8894" spans="5:9" ht="16.5" hidden="1">
      <c r="E8894" s="4" t="str">
        <v/>
      </c>
      <c r="F8894" s="102" t="str">
        <f ca="1">IFERROR(__xludf.DUMMYFUNCTION("IMPORTRANGE(H8894,""IDENTITAS UNIT!D9"")"),"#N/A")</f>
        <v>#N/A</v>
      </c>
      <c r="H8894" s="4" t="str">
        <v/>
      </c>
      <c r="I8894" s="4" t="str">
        <v/>
      </c>
    </row>
    <row r="8895" spans="5:9" ht="16.5" hidden="1">
      <c r="E8895" s="4" t="str">
        <v/>
      </c>
      <c r="F8895" s="102" t="str">
        <f ca="1">IFERROR(__xludf.DUMMYFUNCTION("IMPORTRANGE(H8895,""IDENTITAS UNIT!D9"")"),"#N/A")</f>
        <v>#N/A</v>
      </c>
      <c r="H8895" s="4" t="str">
        <v/>
      </c>
      <c r="I8895" s="4" t="str">
        <v/>
      </c>
    </row>
    <row r="8896" spans="5:9" ht="16.5" hidden="1">
      <c r="E8896" s="4" t="str">
        <v/>
      </c>
      <c r="F8896" s="102" t="str">
        <f ca="1">IFERROR(__xludf.DUMMYFUNCTION("IMPORTRANGE(H8896,""IDENTITAS UNIT!D9"")"),"#N/A")</f>
        <v>#N/A</v>
      </c>
      <c r="H8896" s="4" t="str">
        <v/>
      </c>
      <c r="I8896" s="4" t="str">
        <v/>
      </c>
    </row>
    <row r="8897" spans="5:9" ht="16.5" hidden="1">
      <c r="E8897" s="4" t="str">
        <v/>
      </c>
      <c r="F8897" s="102" t="str">
        <f ca="1">IFERROR(__xludf.DUMMYFUNCTION("IMPORTRANGE(H8897,""IDENTITAS UNIT!D9"")"),"#N/A")</f>
        <v>#N/A</v>
      </c>
      <c r="H8897" s="4" t="str">
        <v/>
      </c>
      <c r="I8897" s="4" t="str">
        <v/>
      </c>
    </row>
    <row r="8898" spans="5:9" ht="16.5" hidden="1">
      <c r="E8898" s="4" t="str">
        <v/>
      </c>
      <c r="F8898" s="102" t="str">
        <f ca="1">IFERROR(__xludf.DUMMYFUNCTION("IMPORTRANGE(H8898,""IDENTITAS UNIT!D9"")"),"#N/A")</f>
        <v>#N/A</v>
      </c>
      <c r="H8898" s="4" t="str">
        <v/>
      </c>
      <c r="I8898" s="4" t="str">
        <v/>
      </c>
    </row>
    <row r="8899" spans="5:9" ht="16.5" hidden="1">
      <c r="E8899" s="4" t="str">
        <v/>
      </c>
      <c r="F8899" s="102" t="str">
        <f ca="1">IFERROR(__xludf.DUMMYFUNCTION("IMPORTRANGE(H8899,""IDENTITAS UNIT!D9"")"),"#N/A")</f>
        <v>#N/A</v>
      </c>
      <c r="H8899" s="4" t="str">
        <v/>
      </c>
      <c r="I8899" s="4" t="str">
        <v/>
      </c>
    </row>
    <row r="8900" spans="5:9" ht="16.5" hidden="1">
      <c r="E8900" s="4" t="str">
        <v/>
      </c>
      <c r="F8900" s="102" t="str">
        <f ca="1">IFERROR(__xludf.DUMMYFUNCTION("IMPORTRANGE(H8900,""IDENTITAS UNIT!D9"")"),"#N/A")</f>
        <v>#N/A</v>
      </c>
      <c r="H8900" s="4" t="str">
        <v/>
      </c>
      <c r="I8900" s="4" t="str">
        <v/>
      </c>
    </row>
    <row r="8901" spans="5:9" ht="16.5" hidden="1">
      <c r="E8901" s="4" t="str">
        <v/>
      </c>
      <c r="F8901" s="102" t="str">
        <f ca="1">IFERROR(__xludf.DUMMYFUNCTION("IMPORTRANGE(H8901,""IDENTITAS UNIT!D9"")"),"#N/A")</f>
        <v>#N/A</v>
      </c>
      <c r="H8901" s="4" t="str">
        <v/>
      </c>
      <c r="I8901" s="4" t="str">
        <v/>
      </c>
    </row>
    <row r="8902" spans="5:9" ht="16.5" hidden="1">
      <c r="E8902" s="4" t="str">
        <v/>
      </c>
      <c r="F8902" s="102" t="str">
        <f ca="1">IFERROR(__xludf.DUMMYFUNCTION("IMPORTRANGE(H8902,""IDENTITAS UNIT!D9"")"),"#N/A")</f>
        <v>#N/A</v>
      </c>
      <c r="H8902" s="4" t="str">
        <v/>
      </c>
      <c r="I8902" s="4" t="str">
        <v/>
      </c>
    </row>
    <row r="8903" spans="5:9" ht="16.5" hidden="1">
      <c r="E8903" s="4" t="str">
        <v/>
      </c>
      <c r="F8903" s="102" t="str">
        <f ca="1">IFERROR(__xludf.DUMMYFUNCTION("IMPORTRANGE(H8903,""IDENTITAS UNIT!D9"")"),"#N/A")</f>
        <v>#N/A</v>
      </c>
      <c r="H8903" s="4" t="str">
        <v/>
      </c>
      <c r="I8903" s="4" t="str">
        <v/>
      </c>
    </row>
    <row r="8904" spans="5:9" ht="16.5" hidden="1">
      <c r="E8904" s="4" t="str">
        <v/>
      </c>
      <c r="F8904" s="102" t="str">
        <f ca="1">IFERROR(__xludf.DUMMYFUNCTION("IMPORTRANGE(H8904,""IDENTITAS UNIT!D9"")"),"#N/A")</f>
        <v>#N/A</v>
      </c>
      <c r="H8904" s="4" t="str">
        <v/>
      </c>
      <c r="I8904" s="4" t="str">
        <v/>
      </c>
    </row>
    <row r="8905" spans="5:9" ht="16.5" hidden="1">
      <c r="E8905" s="4" t="str">
        <v/>
      </c>
      <c r="F8905" s="102" t="str">
        <f ca="1">IFERROR(__xludf.DUMMYFUNCTION("IMPORTRANGE(H8905,""IDENTITAS UNIT!D9"")"),"#N/A")</f>
        <v>#N/A</v>
      </c>
      <c r="H8905" s="4" t="str">
        <v/>
      </c>
      <c r="I8905" s="4" t="str">
        <v/>
      </c>
    </row>
    <row r="8906" spans="5:9" ht="16.5" hidden="1">
      <c r="E8906" s="4" t="str">
        <v/>
      </c>
      <c r="F8906" s="102" t="str">
        <f ca="1">IFERROR(__xludf.DUMMYFUNCTION("IMPORTRANGE(H8906,""IDENTITAS UNIT!D9"")"),"#N/A")</f>
        <v>#N/A</v>
      </c>
      <c r="H8906" s="4" t="str">
        <v/>
      </c>
      <c r="I8906" s="4" t="str">
        <v/>
      </c>
    </row>
    <row r="8907" spans="5:9" ht="16.5" hidden="1">
      <c r="E8907" s="4" t="str">
        <v/>
      </c>
      <c r="F8907" s="102" t="str">
        <f ca="1">IFERROR(__xludf.DUMMYFUNCTION("IMPORTRANGE(H8907,""IDENTITAS UNIT!D9"")"),"#N/A")</f>
        <v>#N/A</v>
      </c>
      <c r="H8907" s="4" t="str">
        <v/>
      </c>
      <c r="I8907" s="4" t="str">
        <v/>
      </c>
    </row>
    <row r="8908" spans="5:9" ht="16.5" hidden="1">
      <c r="E8908" s="4" t="str">
        <v/>
      </c>
      <c r="F8908" s="102" t="str">
        <f ca="1">IFERROR(__xludf.DUMMYFUNCTION("IMPORTRANGE(H8908,""IDENTITAS UNIT!D9"")"),"#N/A")</f>
        <v>#N/A</v>
      </c>
      <c r="H8908" s="4" t="str">
        <v/>
      </c>
      <c r="I8908" s="4" t="str">
        <v/>
      </c>
    </row>
    <row r="8909" spans="5:9" ht="16.5" hidden="1">
      <c r="E8909" s="4" t="str">
        <v/>
      </c>
      <c r="F8909" s="102" t="str">
        <f ca="1">IFERROR(__xludf.DUMMYFUNCTION("IMPORTRANGE(H8909,""IDENTITAS UNIT!D9"")"),"#N/A")</f>
        <v>#N/A</v>
      </c>
      <c r="H8909" s="4" t="str">
        <v/>
      </c>
      <c r="I8909" s="4" t="str">
        <v/>
      </c>
    </row>
    <row r="8910" spans="5:9" ht="16.5" hidden="1">
      <c r="E8910" s="4" t="str">
        <v/>
      </c>
      <c r="F8910" s="102" t="str">
        <f ca="1">IFERROR(__xludf.DUMMYFUNCTION("IMPORTRANGE(H8910,""IDENTITAS UNIT!D9"")"),"#N/A")</f>
        <v>#N/A</v>
      </c>
      <c r="H8910" s="4" t="str">
        <v/>
      </c>
      <c r="I8910" s="4" t="str">
        <v/>
      </c>
    </row>
    <row r="8911" spans="5:9" ht="16.5" hidden="1">
      <c r="E8911" s="4" t="str">
        <v/>
      </c>
      <c r="F8911" s="102" t="str">
        <f ca="1">IFERROR(__xludf.DUMMYFUNCTION("IMPORTRANGE(H8911,""IDENTITAS UNIT!D9"")"),"#N/A")</f>
        <v>#N/A</v>
      </c>
      <c r="H8911" s="4" t="str">
        <v/>
      </c>
      <c r="I8911" s="4" t="str">
        <v/>
      </c>
    </row>
    <row r="8912" spans="5:9" ht="16.5" hidden="1">
      <c r="E8912" s="4" t="str">
        <v/>
      </c>
      <c r="F8912" s="102" t="str">
        <f ca="1">IFERROR(__xludf.DUMMYFUNCTION("IMPORTRANGE(H8912,""IDENTITAS UNIT!D9"")"),"#N/A")</f>
        <v>#N/A</v>
      </c>
      <c r="H8912" s="4" t="str">
        <v/>
      </c>
      <c r="I8912" s="4" t="str">
        <v/>
      </c>
    </row>
    <row r="8913" spans="5:9" ht="16.5" hidden="1">
      <c r="E8913" s="4" t="str">
        <v/>
      </c>
      <c r="F8913" s="102" t="str">
        <f ca="1">IFERROR(__xludf.DUMMYFUNCTION("IMPORTRANGE(H8913,""IDENTITAS UNIT!D9"")"),"#N/A")</f>
        <v>#N/A</v>
      </c>
      <c r="H8913" s="4" t="str">
        <v/>
      </c>
      <c r="I8913" s="4" t="str">
        <v/>
      </c>
    </row>
    <row r="8914" spans="5:9" ht="16.5" hidden="1">
      <c r="E8914" s="4" t="str">
        <v/>
      </c>
      <c r="F8914" s="102" t="str">
        <f ca="1">IFERROR(__xludf.DUMMYFUNCTION("IMPORTRANGE(H8914,""IDENTITAS UNIT!D9"")"),"#N/A")</f>
        <v>#N/A</v>
      </c>
      <c r="H8914" s="4" t="str">
        <v/>
      </c>
      <c r="I8914" s="4" t="str">
        <v/>
      </c>
    </row>
    <row r="8915" spans="5:9" ht="16.5" hidden="1">
      <c r="E8915" s="4" t="str">
        <v/>
      </c>
      <c r="F8915" s="102" t="str">
        <f ca="1">IFERROR(__xludf.DUMMYFUNCTION("IMPORTRANGE(H8915,""IDENTITAS UNIT!D9"")"),"#N/A")</f>
        <v>#N/A</v>
      </c>
      <c r="H8915" s="4" t="str">
        <v/>
      </c>
      <c r="I8915" s="4" t="str">
        <v/>
      </c>
    </row>
    <row r="8916" spans="5:9" ht="16.5" hidden="1">
      <c r="E8916" s="4" t="str">
        <v/>
      </c>
      <c r="F8916" s="102" t="str">
        <f ca="1">IFERROR(__xludf.DUMMYFUNCTION("IMPORTRANGE(H8916,""IDENTITAS UNIT!D9"")"),"#N/A")</f>
        <v>#N/A</v>
      </c>
      <c r="H8916" s="4" t="str">
        <v/>
      </c>
      <c r="I8916" s="4" t="str">
        <v/>
      </c>
    </row>
    <row r="8917" spans="5:9" ht="16.5" hidden="1">
      <c r="E8917" s="4" t="str">
        <v/>
      </c>
      <c r="F8917" s="102" t="str">
        <f ca="1">IFERROR(__xludf.DUMMYFUNCTION("IMPORTRANGE(H8917,""IDENTITAS UNIT!D9"")"),"#N/A")</f>
        <v>#N/A</v>
      </c>
      <c r="H8917" s="4" t="str">
        <v/>
      </c>
      <c r="I8917" s="4" t="str">
        <v/>
      </c>
    </row>
    <row r="8918" spans="5:9" ht="16.5" hidden="1">
      <c r="E8918" s="4" t="str">
        <v/>
      </c>
      <c r="F8918" s="102" t="str">
        <f ca="1">IFERROR(__xludf.DUMMYFUNCTION("IMPORTRANGE(H8918,""IDENTITAS UNIT!D9"")"),"#N/A")</f>
        <v>#N/A</v>
      </c>
      <c r="H8918" s="4" t="str">
        <v/>
      </c>
      <c r="I8918" s="4" t="str">
        <v/>
      </c>
    </row>
    <row r="8919" spans="5:9" ht="16.5" hidden="1">
      <c r="E8919" s="4" t="str">
        <v/>
      </c>
      <c r="F8919" s="102" t="str">
        <f ca="1">IFERROR(__xludf.DUMMYFUNCTION("IMPORTRANGE(H8919,""IDENTITAS UNIT!D9"")"),"#N/A")</f>
        <v>#N/A</v>
      </c>
      <c r="H8919" s="4" t="str">
        <v/>
      </c>
      <c r="I8919" s="4" t="str">
        <v/>
      </c>
    </row>
    <row r="8920" spans="5:9" ht="16.5" hidden="1">
      <c r="E8920" s="4" t="str">
        <v/>
      </c>
      <c r="F8920" s="102" t="str">
        <f ca="1">IFERROR(__xludf.DUMMYFUNCTION("IMPORTRANGE(H8920,""IDENTITAS UNIT!D9"")"),"#N/A")</f>
        <v>#N/A</v>
      </c>
      <c r="H8920" s="4" t="str">
        <v/>
      </c>
      <c r="I8920" s="4" t="str">
        <v/>
      </c>
    </row>
    <row r="8921" spans="5:9" ht="16.5" hidden="1">
      <c r="E8921" s="4" t="str">
        <v/>
      </c>
      <c r="F8921" s="102" t="str">
        <f ca="1">IFERROR(__xludf.DUMMYFUNCTION("IMPORTRANGE(H8921,""IDENTITAS UNIT!D9"")"),"#N/A")</f>
        <v>#N/A</v>
      </c>
      <c r="H8921" s="4" t="str">
        <v/>
      </c>
      <c r="I8921" s="4" t="str">
        <v/>
      </c>
    </row>
    <row r="8922" spans="5:9" ht="16.5" hidden="1">
      <c r="E8922" s="4" t="str">
        <v/>
      </c>
      <c r="F8922" s="102" t="str">
        <f ca="1">IFERROR(__xludf.DUMMYFUNCTION("IMPORTRANGE(H8922,""IDENTITAS UNIT!D9"")"),"#N/A")</f>
        <v>#N/A</v>
      </c>
      <c r="H8922" s="4" t="str">
        <v/>
      </c>
      <c r="I8922" s="4" t="str">
        <v/>
      </c>
    </row>
    <row r="8923" spans="5:9" ht="16.5" hidden="1">
      <c r="E8923" s="4" t="str">
        <v/>
      </c>
      <c r="F8923" s="102" t="str">
        <f ca="1">IFERROR(__xludf.DUMMYFUNCTION("IMPORTRANGE(H8923,""IDENTITAS UNIT!D9"")"),"#N/A")</f>
        <v>#N/A</v>
      </c>
      <c r="H8923" s="4" t="str">
        <v/>
      </c>
      <c r="I8923" s="4" t="str">
        <v/>
      </c>
    </row>
    <row r="8924" spans="5:9" ht="16.5" hidden="1">
      <c r="E8924" s="4" t="str">
        <v/>
      </c>
      <c r="F8924" s="102" t="str">
        <f ca="1">IFERROR(__xludf.DUMMYFUNCTION("IMPORTRANGE(H8924,""IDENTITAS UNIT!D9"")"),"#N/A")</f>
        <v>#N/A</v>
      </c>
      <c r="H8924" s="4" t="str">
        <v/>
      </c>
      <c r="I8924" s="4" t="str">
        <v/>
      </c>
    </row>
    <row r="8925" spans="5:9" ht="16.5" hidden="1">
      <c r="E8925" s="4" t="str">
        <v/>
      </c>
      <c r="F8925" s="102" t="str">
        <f ca="1">IFERROR(__xludf.DUMMYFUNCTION("IMPORTRANGE(H8925,""IDENTITAS UNIT!D9"")"),"#N/A")</f>
        <v>#N/A</v>
      </c>
      <c r="H8925" s="4" t="str">
        <v/>
      </c>
      <c r="I8925" s="4" t="str">
        <v/>
      </c>
    </row>
    <row r="8926" spans="5:9" ht="16.5" hidden="1">
      <c r="E8926" s="4" t="str">
        <v/>
      </c>
      <c r="F8926" s="102" t="str">
        <f ca="1">IFERROR(__xludf.DUMMYFUNCTION("IMPORTRANGE(H8926,""IDENTITAS UNIT!D9"")"),"#N/A")</f>
        <v>#N/A</v>
      </c>
      <c r="H8926" s="4" t="str">
        <v/>
      </c>
      <c r="I8926" s="4" t="str">
        <v/>
      </c>
    </row>
    <row r="8927" spans="5:9" ht="16.5" hidden="1">
      <c r="E8927" s="4" t="str">
        <v/>
      </c>
      <c r="F8927" s="102" t="str">
        <f ca="1">IFERROR(__xludf.DUMMYFUNCTION("IMPORTRANGE(H8927,""IDENTITAS UNIT!D9"")"),"#N/A")</f>
        <v>#N/A</v>
      </c>
      <c r="H8927" s="4" t="str">
        <v/>
      </c>
      <c r="I8927" s="4" t="str">
        <v/>
      </c>
    </row>
    <row r="8928" spans="5:9" ht="16.5" hidden="1">
      <c r="E8928" s="4" t="str">
        <v/>
      </c>
      <c r="F8928" s="102" t="str">
        <f ca="1">IFERROR(__xludf.DUMMYFUNCTION("IMPORTRANGE(H8928,""IDENTITAS UNIT!D9"")"),"#N/A")</f>
        <v>#N/A</v>
      </c>
      <c r="H8928" s="4" t="str">
        <v/>
      </c>
      <c r="I8928" s="4" t="str">
        <v/>
      </c>
    </row>
    <row r="8929" spans="5:9" ht="16.5" hidden="1">
      <c r="E8929" s="4" t="str">
        <v/>
      </c>
      <c r="F8929" s="102" t="str">
        <f ca="1">IFERROR(__xludf.DUMMYFUNCTION("IMPORTRANGE(H8929,""IDENTITAS UNIT!D9"")"),"#N/A")</f>
        <v>#N/A</v>
      </c>
      <c r="H8929" s="4" t="str">
        <v/>
      </c>
      <c r="I8929" s="4" t="str">
        <v/>
      </c>
    </row>
    <row r="8930" spans="5:9" ht="16.5" hidden="1">
      <c r="E8930" s="4" t="str">
        <v/>
      </c>
      <c r="F8930" s="102" t="str">
        <f ca="1">IFERROR(__xludf.DUMMYFUNCTION("IMPORTRANGE(H8930,""IDENTITAS UNIT!D9"")"),"#N/A")</f>
        <v>#N/A</v>
      </c>
      <c r="H8930" s="4" t="str">
        <v/>
      </c>
      <c r="I8930" s="4" t="str">
        <v/>
      </c>
    </row>
    <row r="8931" spans="5:9" ht="16.5" hidden="1">
      <c r="E8931" s="4" t="str">
        <v/>
      </c>
      <c r="F8931" s="102" t="str">
        <f ca="1">IFERROR(__xludf.DUMMYFUNCTION("IMPORTRANGE(H8931,""IDENTITAS UNIT!D9"")"),"#N/A")</f>
        <v>#N/A</v>
      </c>
      <c r="H8931" s="4" t="str">
        <v/>
      </c>
      <c r="I8931" s="4" t="str">
        <v/>
      </c>
    </row>
    <row r="8932" spans="5:9" ht="16.5" hidden="1">
      <c r="E8932" s="4" t="str">
        <v/>
      </c>
      <c r="F8932" s="102" t="str">
        <f ca="1">IFERROR(__xludf.DUMMYFUNCTION("IMPORTRANGE(H8932,""IDENTITAS UNIT!D9"")"),"#N/A")</f>
        <v>#N/A</v>
      </c>
      <c r="H8932" s="4" t="str">
        <v/>
      </c>
      <c r="I8932" s="4" t="str">
        <v/>
      </c>
    </row>
    <row r="8933" spans="5:9" ht="16.5" hidden="1">
      <c r="E8933" s="4" t="str">
        <v/>
      </c>
      <c r="F8933" s="102" t="str">
        <f ca="1">IFERROR(__xludf.DUMMYFUNCTION("IMPORTRANGE(H8933,""IDENTITAS UNIT!D9"")"),"#N/A")</f>
        <v>#N/A</v>
      </c>
      <c r="H8933" s="4" t="str">
        <v/>
      </c>
      <c r="I8933" s="4" t="str">
        <v/>
      </c>
    </row>
    <row r="8934" spans="5:9" ht="16.5" hidden="1">
      <c r="E8934" s="4" t="str">
        <v/>
      </c>
      <c r="F8934" s="102" t="str">
        <f ca="1">IFERROR(__xludf.DUMMYFUNCTION("IMPORTRANGE(H8934,""IDENTITAS UNIT!D9"")"),"#N/A")</f>
        <v>#N/A</v>
      </c>
      <c r="H8934" s="4" t="str">
        <v/>
      </c>
      <c r="I8934" s="4" t="str">
        <v/>
      </c>
    </row>
    <row r="8935" spans="5:9" ht="16.5" hidden="1">
      <c r="E8935" s="4" t="str">
        <v/>
      </c>
      <c r="F8935" s="102" t="str">
        <f ca="1">IFERROR(__xludf.DUMMYFUNCTION("IMPORTRANGE(H8935,""IDENTITAS UNIT!D9"")"),"#N/A")</f>
        <v>#N/A</v>
      </c>
      <c r="H8935" s="4" t="str">
        <v/>
      </c>
      <c r="I8935" s="4" t="str">
        <v/>
      </c>
    </row>
    <row r="8936" spans="5:9" ht="16.5" hidden="1">
      <c r="E8936" s="4" t="str">
        <v/>
      </c>
      <c r="F8936" s="102" t="str">
        <f ca="1">IFERROR(__xludf.DUMMYFUNCTION("IMPORTRANGE(H8936,""IDENTITAS UNIT!D9"")"),"#N/A")</f>
        <v>#N/A</v>
      </c>
      <c r="H8936" s="4" t="str">
        <v/>
      </c>
      <c r="I8936" s="4" t="str">
        <v/>
      </c>
    </row>
    <row r="8937" spans="5:9" ht="16.5" hidden="1">
      <c r="E8937" s="4" t="str">
        <v/>
      </c>
      <c r="F8937" s="102" t="str">
        <f ca="1">IFERROR(__xludf.DUMMYFUNCTION("IMPORTRANGE(H8937,""IDENTITAS UNIT!D9"")"),"#N/A")</f>
        <v>#N/A</v>
      </c>
      <c r="H8937" s="4" t="str">
        <v/>
      </c>
      <c r="I8937" s="4" t="str">
        <v/>
      </c>
    </row>
    <row r="8938" spans="5:9" ht="16.5" hidden="1">
      <c r="E8938" s="4" t="str">
        <v/>
      </c>
      <c r="F8938" s="102" t="str">
        <f ca="1">IFERROR(__xludf.DUMMYFUNCTION("IMPORTRANGE(H8938,""IDENTITAS UNIT!D9"")"),"#N/A")</f>
        <v>#N/A</v>
      </c>
      <c r="H8938" s="4" t="str">
        <v/>
      </c>
      <c r="I8938" s="4" t="str">
        <v/>
      </c>
    </row>
    <row r="8939" spans="5:9" ht="16.5" hidden="1">
      <c r="E8939" s="4" t="str">
        <v/>
      </c>
      <c r="F8939" s="102" t="str">
        <f ca="1">IFERROR(__xludf.DUMMYFUNCTION("IMPORTRANGE(H8939,""IDENTITAS UNIT!D9"")"),"#N/A")</f>
        <v>#N/A</v>
      </c>
      <c r="H8939" s="4" t="str">
        <v/>
      </c>
      <c r="I8939" s="4" t="str">
        <v/>
      </c>
    </row>
    <row r="8940" spans="5:9" ht="16.5" hidden="1">
      <c r="E8940" s="4" t="str">
        <v/>
      </c>
      <c r="F8940" s="102" t="str">
        <f ca="1">IFERROR(__xludf.DUMMYFUNCTION("IMPORTRANGE(H8940,""IDENTITAS UNIT!D9"")"),"#N/A")</f>
        <v>#N/A</v>
      </c>
      <c r="H8940" s="4" t="str">
        <v/>
      </c>
      <c r="I8940" s="4" t="str">
        <v/>
      </c>
    </row>
    <row r="8941" spans="5:9" ht="16.5" hidden="1">
      <c r="E8941" s="4" t="str">
        <v/>
      </c>
      <c r="F8941" s="102" t="str">
        <f ca="1">IFERROR(__xludf.DUMMYFUNCTION("IMPORTRANGE(H8941,""IDENTITAS UNIT!D9"")"),"#N/A")</f>
        <v>#N/A</v>
      </c>
      <c r="H8941" s="4" t="str">
        <v/>
      </c>
      <c r="I8941" s="4" t="str">
        <v/>
      </c>
    </row>
    <row r="8942" spans="5:9" ht="16.5" hidden="1">
      <c r="E8942" s="4" t="str">
        <v/>
      </c>
      <c r="F8942" s="102" t="str">
        <f ca="1">IFERROR(__xludf.DUMMYFUNCTION("IMPORTRANGE(H8942,""IDENTITAS UNIT!D9"")"),"#N/A")</f>
        <v>#N/A</v>
      </c>
      <c r="H8942" s="4" t="str">
        <v/>
      </c>
      <c r="I8942" s="4" t="str">
        <v/>
      </c>
    </row>
    <row r="8943" spans="5:9" ht="16.5" hidden="1">
      <c r="E8943" s="4" t="str">
        <v/>
      </c>
      <c r="F8943" s="102" t="str">
        <f ca="1">IFERROR(__xludf.DUMMYFUNCTION("IMPORTRANGE(H8943,""IDENTITAS UNIT!D9"")"),"#N/A")</f>
        <v>#N/A</v>
      </c>
      <c r="H8943" s="4" t="str">
        <v/>
      </c>
      <c r="I8943" s="4" t="str">
        <v/>
      </c>
    </row>
    <row r="8944" spans="5:9" ht="16.5" hidden="1">
      <c r="E8944" s="4" t="str">
        <v/>
      </c>
      <c r="F8944" s="102" t="str">
        <f ca="1">IFERROR(__xludf.DUMMYFUNCTION("IMPORTRANGE(H8944,""IDENTITAS UNIT!D9"")"),"#N/A")</f>
        <v>#N/A</v>
      </c>
      <c r="H8944" s="4" t="str">
        <v/>
      </c>
      <c r="I8944" s="4" t="str">
        <v/>
      </c>
    </row>
    <row r="8945" spans="5:9" ht="16.5" hidden="1">
      <c r="E8945" s="4" t="str">
        <v/>
      </c>
      <c r="F8945" s="102" t="str">
        <f ca="1">IFERROR(__xludf.DUMMYFUNCTION("IMPORTRANGE(H8945,""IDENTITAS UNIT!D9"")"),"#N/A")</f>
        <v>#N/A</v>
      </c>
      <c r="H8945" s="4" t="str">
        <v/>
      </c>
      <c r="I8945" s="4" t="str">
        <v/>
      </c>
    </row>
    <row r="8946" spans="5:9" ht="16.5" hidden="1">
      <c r="E8946" s="4" t="str">
        <v/>
      </c>
      <c r="F8946" s="102" t="str">
        <f ca="1">IFERROR(__xludf.DUMMYFUNCTION("IMPORTRANGE(H8946,""IDENTITAS UNIT!D9"")"),"#N/A")</f>
        <v>#N/A</v>
      </c>
      <c r="H8946" s="4" t="str">
        <v/>
      </c>
      <c r="I8946" s="4" t="str">
        <v/>
      </c>
    </row>
    <row r="8947" spans="5:9" ht="16.5" hidden="1">
      <c r="E8947" s="4" t="str">
        <v/>
      </c>
      <c r="F8947" s="102" t="str">
        <f ca="1">IFERROR(__xludf.DUMMYFUNCTION("IMPORTRANGE(H8947,""IDENTITAS UNIT!D9"")"),"#N/A")</f>
        <v>#N/A</v>
      </c>
      <c r="H8947" s="4" t="str">
        <v/>
      </c>
      <c r="I8947" s="4" t="str">
        <v/>
      </c>
    </row>
    <row r="8948" spans="5:9" ht="16.5" hidden="1">
      <c r="E8948" s="4" t="str">
        <v/>
      </c>
      <c r="F8948" s="102" t="str">
        <f ca="1">IFERROR(__xludf.DUMMYFUNCTION("IMPORTRANGE(H8948,""IDENTITAS UNIT!D9"")"),"#N/A")</f>
        <v>#N/A</v>
      </c>
      <c r="H8948" s="4" t="str">
        <v/>
      </c>
      <c r="I8948" s="4" t="str">
        <v/>
      </c>
    </row>
    <row r="8949" spans="5:9" ht="16.5" hidden="1">
      <c r="E8949" s="4" t="str">
        <v/>
      </c>
      <c r="F8949" s="102" t="str">
        <f ca="1">IFERROR(__xludf.DUMMYFUNCTION("IMPORTRANGE(H8949,""IDENTITAS UNIT!D9"")"),"#N/A")</f>
        <v>#N/A</v>
      </c>
      <c r="H8949" s="4" t="str">
        <v/>
      </c>
      <c r="I8949" s="4" t="str">
        <v/>
      </c>
    </row>
    <row r="8950" spans="5:9" ht="16.5" hidden="1">
      <c r="E8950" s="4" t="str">
        <v/>
      </c>
      <c r="F8950" s="102" t="str">
        <f ca="1">IFERROR(__xludf.DUMMYFUNCTION("IMPORTRANGE(H8950,""IDENTITAS UNIT!D9"")"),"#N/A")</f>
        <v>#N/A</v>
      </c>
      <c r="H8950" s="4" t="str">
        <v/>
      </c>
      <c r="I8950" s="4" t="str">
        <v/>
      </c>
    </row>
    <row r="8951" spans="5:9" ht="16.5" hidden="1">
      <c r="E8951" s="4" t="str">
        <v/>
      </c>
      <c r="F8951" s="102" t="str">
        <f ca="1">IFERROR(__xludf.DUMMYFUNCTION("IMPORTRANGE(H8951,""IDENTITAS UNIT!D9"")"),"#N/A")</f>
        <v>#N/A</v>
      </c>
      <c r="H8951" s="4" t="str">
        <v/>
      </c>
      <c r="I8951" s="4" t="str">
        <v/>
      </c>
    </row>
    <row r="8952" spans="5:9" ht="16.5" hidden="1">
      <c r="E8952" s="4" t="str">
        <v/>
      </c>
      <c r="F8952" s="102" t="str">
        <f ca="1">IFERROR(__xludf.DUMMYFUNCTION("IMPORTRANGE(H8952,""IDENTITAS UNIT!D9"")"),"#N/A")</f>
        <v>#N/A</v>
      </c>
      <c r="H8952" s="4" t="str">
        <v/>
      </c>
      <c r="I8952" s="4" t="str">
        <v/>
      </c>
    </row>
    <row r="8953" spans="5:9" ht="16.5" hidden="1">
      <c r="E8953" s="4" t="str">
        <v/>
      </c>
      <c r="F8953" s="102" t="str">
        <f ca="1">IFERROR(__xludf.DUMMYFUNCTION("IMPORTRANGE(H8953,""IDENTITAS UNIT!D9"")"),"#N/A")</f>
        <v>#N/A</v>
      </c>
      <c r="H8953" s="4" t="str">
        <v/>
      </c>
      <c r="I8953" s="4" t="str">
        <v/>
      </c>
    </row>
    <row r="8954" spans="5:9" ht="16.5" hidden="1">
      <c r="E8954" s="4" t="str">
        <v/>
      </c>
      <c r="F8954" s="102" t="str">
        <f ca="1">IFERROR(__xludf.DUMMYFUNCTION("IMPORTRANGE(H8954,""IDENTITAS UNIT!D9"")"),"#N/A")</f>
        <v>#N/A</v>
      </c>
      <c r="H8954" s="4" t="str">
        <v/>
      </c>
      <c r="I8954" s="4" t="str">
        <v/>
      </c>
    </row>
    <row r="8955" spans="5:9" ht="16.5" hidden="1">
      <c r="E8955" s="4" t="str">
        <v/>
      </c>
      <c r="F8955" s="102" t="str">
        <f ca="1">IFERROR(__xludf.DUMMYFUNCTION("IMPORTRANGE(H8955,""IDENTITAS UNIT!D9"")"),"#N/A")</f>
        <v>#N/A</v>
      </c>
      <c r="H8955" s="4" t="str">
        <v/>
      </c>
      <c r="I8955" s="4" t="str">
        <v/>
      </c>
    </row>
    <row r="8956" spans="5:9" ht="16.5" hidden="1">
      <c r="E8956" s="4" t="str">
        <v/>
      </c>
      <c r="F8956" s="102" t="str">
        <f ca="1">IFERROR(__xludf.DUMMYFUNCTION("IMPORTRANGE(H8956,""IDENTITAS UNIT!D9"")"),"#N/A")</f>
        <v>#N/A</v>
      </c>
      <c r="H8956" s="4" t="str">
        <v/>
      </c>
      <c r="I8956" s="4" t="str">
        <v/>
      </c>
    </row>
    <row r="8957" spans="5:9" ht="16.5" hidden="1">
      <c r="E8957" s="4" t="str">
        <v/>
      </c>
      <c r="F8957" s="102" t="str">
        <f ca="1">IFERROR(__xludf.DUMMYFUNCTION("IMPORTRANGE(H8957,""IDENTITAS UNIT!D9"")"),"#N/A")</f>
        <v>#N/A</v>
      </c>
      <c r="H8957" s="4" t="str">
        <v/>
      </c>
      <c r="I8957" s="4" t="str">
        <v/>
      </c>
    </row>
    <row r="8958" spans="5:9" ht="16.5" hidden="1">
      <c r="E8958" s="4" t="str">
        <v/>
      </c>
      <c r="F8958" s="102" t="str">
        <f ca="1">IFERROR(__xludf.DUMMYFUNCTION("IMPORTRANGE(H8958,""IDENTITAS UNIT!D9"")"),"#N/A")</f>
        <v>#N/A</v>
      </c>
      <c r="H8958" s="4" t="str">
        <v/>
      </c>
      <c r="I8958" s="4" t="str">
        <v/>
      </c>
    </row>
    <row r="8959" spans="5:9" ht="16.5" hidden="1">
      <c r="E8959" s="4" t="str">
        <v/>
      </c>
      <c r="F8959" s="102" t="str">
        <f ca="1">IFERROR(__xludf.DUMMYFUNCTION("IMPORTRANGE(H8959,""IDENTITAS UNIT!D9"")"),"#N/A")</f>
        <v>#N/A</v>
      </c>
      <c r="H8959" s="4" t="str">
        <v/>
      </c>
      <c r="I8959" s="4" t="str">
        <v/>
      </c>
    </row>
    <row r="8960" spans="5:9" ht="16.5" hidden="1">
      <c r="E8960" s="4" t="str">
        <v/>
      </c>
      <c r="F8960" s="102" t="str">
        <f ca="1">IFERROR(__xludf.DUMMYFUNCTION("IMPORTRANGE(H8960,""IDENTITAS UNIT!D9"")"),"#N/A")</f>
        <v>#N/A</v>
      </c>
      <c r="H8960" s="4" t="str">
        <v/>
      </c>
      <c r="I8960" s="4" t="str">
        <v/>
      </c>
    </row>
    <row r="8961" spans="5:9" ht="16.5" hidden="1">
      <c r="E8961" s="4" t="str">
        <v/>
      </c>
      <c r="F8961" s="102" t="str">
        <f ca="1">IFERROR(__xludf.DUMMYFUNCTION("IMPORTRANGE(H8961,""IDENTITAS UNIT!D9"")"),"#N/A")</f>
        <v>#N/A</v>
      </c>
      <c r="H8961" s="4" t="str">
        <v/>
      </c>
      <c r="I8961" s="4" t="str">
        <v/>
      </c>
    </row>
    <row r="8962" spans="5:9" ht="16.5" hidden="1">
      <c r="E8962" s="4" t="str">
        <v/>
      </c>
      <c r="F8962" s="102" t="str">
        <f ca="1">IFERROR(__xludf.DUMMYFUNCTION("IMPORTRANGE(H8962,""IDENTITAS UNIT!D9"")"),"#N/A")</f>
        <v>#N/A</v>
      </c>
      <c r="H8962" s="4" t="str">
        <v/>
      </c>
      <c r="I8962" s="4" t="str">
        <v/>
      </c>
    </row>
    <row r="8963" spans="5:9" ht="16.5" hidden="1">
      <c r="E8963" s="4" t="str">
        <v/>
      </c>
      <c r="F8963" s="102" t="str">
        <f ca="1">IFERROR(__xludf.DUMMYFUNCTION("IMPORTRANGE(H8963,""IDENTITAS UNIT!D9"")"),"#N/A")</f>
        <v>#N/A</v>
      </c>
      <c r="H8963" s="4" t="str">
        <v/>
      </c>
      <c r="I8963" s="4" t="str">
        <v/>
      </c>
    </row>
    <row r="8964" spans="5:9" ht="16.5" hidden="1">
      <c r="E8964" s="4" t="str">
        <v/>
      </c>
      <c r="F8964" s="102" t="str">
        <f ca="1">IFERROR(__xludf.DUMMYFUNCTION("IMPORTRANGE(H8964,""IDENTITAS UNIT!D9"")"),"#N/A")</f>
        <v>#N/A</v>
      </c>
      <c r="H8964" s="4" t="str">
        <v/>
      </c>
      <c r="I8964" s="4" t="str">
        <v/>
      </c>
    </row>
    <row r="8965" spans="5:9" ht="16.5" hidden="1">
      <c r="E8965" s="4" t="str">
        <v/>
      </c>
      <c r="F8965" s="102" t="str">
        <f ca="1">IFERROR(__xludf.DUMMYFUNCTION("IMPORTRANGE(H8965,""IDENTITAS UNIT!D9"")"),"#N/A")</f>
        <v>#N/A</v>
      </c>
      <c r="H8965" s="4" t="str">
        <v/>
      </c>
      <c r="I8965" s="4" t="str">
        <v/>
      </c>
    </row>
    <row r="8966" spans="5:9" ht="16.5" hidden="1">
      <c r="E8966" s="4" t="str">
        <v/>
      </c>
      <c r="F8966" s="102" t="str">
        <f ca="1">IFERROR(__xludf.DUMMYFUNCTION("IMPORTRANGE(H8966,""IDENTITAS UNIT!D9"")"),"#N/A")</f>
        <v>#N/A</v>
      </c>
      <c r="H8966" s="4" t="str">
        <v/>
      </c>
      <c r="I8966" s="4" t="str">
        <v/>
      </c>
    </row>
    <row r="8967" spans="5:9" ht="16.5" hidden="1">
      <c r="E8967" s="4" t="str">
        <v/>
      </c>
      <c r="F8967" s="102" t="str">
        <f ca="1">IFERROR(__xludf.DUMMYFUNCTION("IMPORTRANGE(H8967,""IDENTITAS UNIT!D9"")"),"#N/A")</f>
        <v>#N/A</v>
      </c>
      <c r="H8967" s="4" t="str">
        <v/>
      </c>
      <c r="I8967" s="4" t="str">
        <v/>
      </c>
    </row>
    <row r="8968" spans="5:9" ht="16.5" hidden="1">
      <c r="E8968" s="4" t="str">
        <v/>
      </c>
      <c r="F8968" s="102" t="str">
        <f ca="1">IFERROR(__xludf.DUMMYFUNCTION("IMPORTRANGE(H8968,""IDENTITAS UNIT!D9"")"),"#N/A")</f>
        <v>#N/A</v>
      </c>
      <c r="H8968" s="4" t="str">
        <v/>
      </c>
      <c r="I8968" s="4" t="str">
        <v/>
      </c>
    </row>
    <row r="8969" spans="5:9" ht="16.5" hidden="1">
      <c r="E8969" s="4" t="str">
        <v/>
      </c>
      <c r="F8969" s="102" t="str">
        <f ca="1">IFERROR(__xludf.DUMMYFUNCTION("IMPORTRANGE(H8969,""IDENTITAS UNIT!D9"")"),"#N/A")</f>
        <v>#N/A</v>
      </c>
      <c r="H8969" s="4" t="str">
        <v/>
      </c>
      <c r="I8969" s="4" t="str">
        <v/>
      </c>
    </row>
    <row r="8970" spans="5:9" ht="16.5" hidden="1">
      <c r="E8970" s="4" t="str">
        <v/>
      </c>
      <c r="F8970" s="102" t="str">
        <f ca="1">IFERROR(__xludf.DUMMYFUNCTION("IMPORTRANGE(H8970,""IDENTITAS UNIT!D9"")"),"#N/A")</f>
        <v>#N/A</v>
      </c>
      <c r="H8970" s="4" t="str">
        <v/>
      </c>
      <c r="I8970" s="4" t="str">
        <v/>
      </c>
    </row>
    <row r="8971" spans="5:9" ht="16.5" hidden="1">
      <c r="E8971" s="4" t="str">
        <v/>
      </c>
      <c r="F8971" s="102" t="str">
        <f ca="1">IFERROR(__xludf.DUMMYFUNCTION("IMPORTRANGE(H8971,""IDENTITAS UNIT!D9"")"),"#N/A")</f>
        <v>#N/A</v>
      </c>
      <c r="H8971" s="4" t="str">
        <v/>
      </c>
      <c r="I8971" s="4" t="str">
        <v/>
      </c>
    </row>
    <row r="8972" spans="5:9" ht="16.5" hidden="1">
      <c r="E8972" s="4" t="str">
        <v/>
      </c>
      <c r="F8972" s="102" t="str">
        <f ca="1">IFERROR(__xludf.DUMMYFUNCTION("IMPORTRANGE(H8972,""IDENTITAS UNIT!D9"")"),"#N/A")</f>
        <v>#N/A</v>
      </c>
      <c r="H8972" s="4" t="str">
        <v/>
      </c>
      <c r="I8972" s="4" t="str">
        <v/>
      </c>
    </row>
    <row r="8973" spans="5:9" ht="16.5" hidden="1">
      <c r="E8973" s="4" t="str">
        <v/>
      </c>
      <c r="F8973" s="102" t="str">
        <f ca="1">IFERROR(__xludf.DUMMYFUNCTION("IMPORTRANGE(H8973,""IDENTITAS UNIT!D9"")"),"#N/A")</f>
        <v>#N/A</v>
      </c>
      <c r="H8973" s="4" t="str">
        <v/>
      </c>
      <c r="I8973" s="4" t="str">
        <v/>
      </c>
    </row>
    <row r="8974" spans="5:9" ht="16.5" hidden="1">
      <c r="E8974" s="4" t="str">
        <v/>
      </c>
      <c r="F8974" s="102" t="str">
        <f ca="1">IFERROR(__xludf.DUMMYFUNCTION("IMPORTRANGE(H8974,""IDENTITAS UNIT!D9"")"),"#N/A")</f>
        <v>#N/A</v>
      </c>
      <c r="H8974" s="4" t="str">
        <v/>
      </c>
      <c r="I8974" s="4" t="str">
        <v/>
      </c>
    </row>
    <row r="8975" spans="5:9" ht="16.5" hidden="1">
      <c r="E8975" s="4" t="str">
        <v/>
      </c>
      <c r="F8975" s="102" t="str">
        <f ca="1">IFERROR(__xludf.DUMMYFUNCTION("IMPORTRANGE(H8975,""IDENTITAS UNIT!D9"")"),"#N/A")</f>
        <v>#N/A</v>
      </c>
      <c r="H8975" s="4" t="str">
        <v/>
      </c>
      <c r="I8975" s="4" t="str">
        <v/>
      </c>
    </row>
    <row r="8976" spans="5:9" ht="16.5" hidden="1">
      <c r="E8976" s="4" t="str">
        <v/>
      </c>
      <c r="F8976" s="102" t="str">
        <f ca="1">IFERROR(__xludf.DUMMYFUNCTION("IMPORTRANGE(H8976,""IDENTITAS UNIT!D9"")"),"#N/A")</f>
        <v>#N/A</v>
      </c>
      <c r="H8976" s="4" t="str">
        <v/>
      </c>
      <c r="I8976" s="4" t="str">
        <v/>
      </c>
    </row>
    <row r="8977" spans="5:9" ht="16.5" hidden="1">
      <c r="E8977" s="4" t="str">
        <v/>
      </c>
      <c r="F8977" s="102" t="str">
        <f ca="1">IFERROR(__xludf.DUMMYFUNCTION("IMPORTRANGE(H8977,""IDENTITAS UNIT!D9"")"),"#N/A")</f>
        <v>#N/A</v>
      </c>
      <c r="H8977" s="4" t="str">
        <v/>
      </c>
      <c r="I8977" s="4" t="str">
        <v/>
      </c>
    </row>
    <row r="8978" spans="5:9" ht="16.5" hidden="1">
      <c r="E8978" s="4" t="str">
        <v/>
      </c>
      <c r="F8978" s="102" t="str">
        <f ca="1">IFERROR(__xludf.DUMMYFUNCTION("IMPORTRANGE(H8978,""IDENTITAS UNIT!D9"")"),"#N/A")</f>
        <v>#N/A</v>
      </c>
      <c r="H8978" s="4" t="str">
        <v/>
      </c>
      <c r="I8978" s="4" t="str">
        <v/>
      </c>
    </row>
    <row r="8979" spans="5:9" ht="16.5" hidden="1">
      <c r="E8979" s="4" t="str">
        <v/>
      </c>
      <c r="F8979" s="102" t="str">
        <f ca="1">IFERROR(__xludf.DUMMYFUNCTION("IMPORTRANGE(H8979,""IDENTITAS UNIT!D9"")"),"#N/A")</f>
        <v>#N/A</v>
      </c>
      <c r="H8979" s="4" t="str">
        <v/>
      </c>
      <c r="I8979" s="4" t="str">
        <v/>
      </c>
    </row>
    <row r="8980" spans="5:9" ht="16.5" hidden="1">
      <c r="E8980" s="4" t="str">
        <v/>
      </c>
      <c r="F8980" s="102" t="str">
        <f ca="1">IFERROR(__xludf.DUMMYFUNCTION("IMPORTRANGE(H8980,""IDENTITAS UNIT!D9"")"),"#N/A")</f>
        <v>#N/A</v>
      </c>
      <c r="H8980" s="4" t="str">
        <v/>
      </c>
      <c r="I8980" s="4" t="str">
        <v/>
      </c>
    </row>
    <row r="8981" spans="5:9" ht="16.5" hidden="1">
      <c r="E8981" s="4" t="str">
        <v/>
      </c>
      <c r="F8981" s="102" t="str">
        <f ca="1">IFERROR(__xludf.DUMMYFUNCTION("IMPORTRANGE(H8981,""IDENTITAS UNIT!D9"")"),"#N/A")</f>
        <v>#N/A</v>
      </c>
      <c r="H8981" s="4" t="str">
        <v/>
      </c>
      <c r="I8981" s="4" t="str">
        <v/>
      </c>
    </row>
    <row r="8982" spans="5:9" ht="16.5" hidden="1">
      <c r="E8982" s="4" t="str">
        <v/>
      </c>
      <c r="F8982" s="102" t="str">
        <f ca="1">IFERROR(__xludf.DUMMYFUNCTION("IMPORTRANGE(H8982,""IDENTITAS UNIT!D9"")"),"#N/A")</f>
        <v>#N/A</v>
      </c>
      <c r="H8982" s="4" t="str">
        <v/>
      </c>
      <c r="I8982" s="4" t="str">
        <v/>
      </c>
    </row>
    <row r="8983" spans="5:9" ht="16.5" hidden="1">
      <c r="E8983" s="4" t="str">
        <v/>
      </c>
      <c r="F8983" s="102" t="str">
        <f ca="1">IFERROR(__xludf.DUMMYFUNCTION("IMPORTRANGE(H8983,""IDENTITAS UNIT!D9"")"),"#N/A")</f>
        <v>#N/A</v>
      </c>
      <c r="H8983" s="4" t="str">
        <v/>
      </c>
      <c r="I8983" s="4" t="str">
        <v/>
      </c>
    </row>
    <row r="8984" spans="5:9" ht="16.5" hidden="1">
      <c r="E8984" s="4" t="str">
        <v/>
      </c>
      <c r="F8984" s="102" t="str">
        <f ca="1">IFERROR(__xludf.DUMMYFUNCTION("IMPORTRANGE(H8984,""IDENTITAS UNIT!D9"")"),"#N/A")</f>
        <v>#N/A</v>
      </c>
      <c r="H8984" s="4" t="str">
        <v/>
      </c>
      <c r="I8984" s="4" t="str">
        <v/>
      </c>
    </row>
    <row r="8985" spans="5:9" ht="16.5" hidden="1">
      <c r="E8985" s="4" t="str">
        <v/>
      </c>
      <c r="F8985" s="102" t="str">
        <f ca="1">IFERROR(__xludf.DUMMYFUNCTION("IMPORTRANGE(H8985,""IDENTITAS UNIT!D9"")"),"#N/A")</f>
        <v>#N/A</v>
      </c>
      <c r="H8985" s="4" t="str">
        <v/>
      </c>
      <c r="I8985" s="4" t="str">
        <v/>
      </c>
    </row>
    <row r="8986" spans="5:9" ht="16.5" hidden="1">
      <c r="E8986" s="4" t="str">
        <v/>
      </c>
      <c r="F8986" s="102" t="str">
        <f ca="1">IFERROR(__xludf.DUMMYFUNCTION("IMPORTRANGE(H8986,""IDENTITAS UNIT!D9"")"),"#N/A")</f>
        <v>#N/A</v>
      </c>
      <c r="H8986" s="4" t="str">
        <v/>
      </c>
      <c r="I8986" s="4" t="str">
        <v/>
      </c>
    </row>
    <row r="8987" spans="5:9" ht="16.5" hidden="1">
      <c r="E8987" s="4" t="str">
        <v/>
      </c>
      <c r="F8987" s="102" t="str">
        <f ca="1">IFERROR(__xludf.DUMMYFUNCTION("IMPORTRANGE(H8987,""IDENTITAS UNIT!D9"")"),"#N/A")</f>
        <v>#N/A</v>
      </c>
      <c r="H8987" s="4" t="str">
        <v/>
      </c>
      <c r="I8987" s="4" t="str">
        <v/>
      </c>
    </row>
    <row r="8988" spans="5:9" ht="16.5" hidden="1">
      <c r="E8988" s="4" t="str">
        <v/>
      </c>
      <c r="F8988" s="102" t="str">
        <f ca="1">IFERROR(__xludf.DUMMYFUNCTION("IMPORTRANGE(H8988,""IDENTITAS UNIT!D9"")"),"#N/A")</f>
        <v>#N/A</v>
      </c>
      <c r="H8988" s="4" t="str">
        <v/>
      </c>
      <c r="I8988" s="4" t="str">
        <v/>
      </c>
    </row>
    <row r="8989" spans="5:9" ht="16.5" hidden="1">
      <c r="E8989" s="4" t="str">
        <v/>
      </c>
      <c r="F8989" s="102" t="str">
        <f ca="1">IFERROR(__xludf.DUMMYFUNCTION("IMPORTRANGE(H8989,""IDENTITAS UNIT!D9"")"),"#N/A")</f>
        <v>#N/A</v>
      </c>
      <c r="H8989" s="4" t="str">
        <v/>
      </c>
      <c r="I8989" s="4" t="str">
        <v/>
      </c>
    </row>
    <row r="8990" spans="5:9" ht="16.5" hidden="1">
      <c r="E8990" s="4" t="str">
        <v/>
      </c>
      <c r="F8990" s="102" t="str">
        <f ca="1">IFERROR(__xludf.DUMMYFUNCTION("IMPORTRANGE(H8990,""IDENTITAS UNIT!D9"")"),"#N/A")</f>
        <v>#N/A</v>
      </c>
      <c r="H8990" s="4" t="str">
        <v/>
      </c>
      <c r="I8990" s="4" t="str">
        <v/>
      </c>
    </row>
    <row r="8991" spans="5:9" ht="16.5" hidden="1">
      <c r="E8991" s="4" t="str">
        <v/>
      </c>
      <c r="F8991" s="102" t="str">
        <f ca="1">IFERROR(__xludf.DUMMYFUNCTION("IMPORTRANGE(H8991,""IDENTITAS UNIT!D9"")"),"#N/A")</f>
        <v>#N/A</v>
      </c>
      <c r="H8991" s="4" t="str">
        <v/>
      </c>
      <c r="I8991" s="4" t="str">
        <v/>
      </c>
    </row>
    <row r="8992" spans="5:9" ht="16.5" hidden="1">
      <c r="E8992" s="4" t="str">
        <v/>
      </c>
      <c r="F8992" s="102" t="str">
        <f ca="1">IFERROR(__xludf.DUMMYFUNCTION("IMPORTRANGE(H8992,""IDENTITAS UNIT!D9"")"),"#N/A")</f>
        <v>#N/A</v>
      </c>
      <c r="H8992" s="4" t="str">
        <v/>
      </c>
      <c r="I8992" s="4" t="str">
        <v/>
      </c>
    </row>
    <row r="8993" spans="5:9" ht="16.5" hidden="1">
      <c r="E8993" s="4" t="str">
        <v/>
      </c>
      <c r="F8993" s="102" t="str">
        <f ca="1">IFERROR(__xludf.DUMMYFUNCTION("IMPORTRANGE(H8993,""IDENTITAS UNIT!D9"")"),"#N/A")</f>
        <v>#N/A</v>
      </c>
      <c r="H8993" s="4" t="str">
        <v/>
      </c>
      <c r="I8993" s="4" t="str">
        <v/>
      </c>
    </row>
    <row r="8994" spans="5:9" ht="16.5" hidden="1">
      <c r="E8994" s="4" t="str">
        <v/>
      </c>
      <c r="F8994" s="102" t="str">
        <f ca="1">IFERROR(__xludf.DUMMYFUNCTION("IMPORTRANGE(H8994,""IDENTITAS UNIT!D9"")"),"#N/A")</f>
        <v>#N/A</v>
      </c>
      <c r="H8994" s="4" t="str">
        <v/>
      </c>
      <c r="I8994" s="4" t="str">
        <v/>
      </c>
    </row>
    <row r="8995" spans="5:9" ht="16.5" hidden="1">
      <c r="E8995" s="4" t="str">
        <v/>
      </c>
      <c r="F8995" s="102" t="str">
        <f ca="1">IFERROR(__xludf.DUMMYFUNCTION("IMPORTRANGE(H8995,""IDENTITAS UNIT!D9"")"),"#N/A")</f>
        <v>#N/A</v>
      </c>
      <c r="H8995" s="4" t="str">
        <v/>
      </c>
      <c r="I8995" s="4" t="str">
        <v/>
      </c>
    </row>
    <row r="8996" spans="5:9" ht="16.5" hidden="1">
      <c r="E8996" s="4" t="str">
        <v/>
      </c>
      <c r="F8996" s="102" t="str">
        <f ca="1">IFERROR(__xludf.DUMMYFUNCTION("IMPORTRANGE(H8996,""IDENTITAS UNIT!D9"")"),"#N/A")</f>
        <v>#N/A</v>
      </c>
      <c r="H8996" s="4" t="str">
        <v/>
      </c>
      <c r="I8996" s="4" t="str">
        <v/>
      </c>
    </row>
    <row r="8997" spans="5:9" ht="16.5" hidden="1">
      <c r="E8997" s="4" t="str">
        <v/>
      </c>
      <c r="F8997" s="102" t="str">
        <f ca="1">IFERROR(__xludf.DUMMYFUNCTION("IMPORTRANGE(H8997,""IDENTITAS UNIT!D9"")"),"#N/A")</f>
        <v>#N/A</v>
      </c>
      <c r="H8997" s="4" t="str">
        <v/>
      </c>
      <c r="I8997" s="4" t="str">
        <v/>
      </c>
    </row>
    <row r="8998" spans="5:9" ht="16.5" hidden="1">
      <c r="E8998" s="4" t="str">
        <v/>
      </c>
      <c r="F8998" s="102" t="str">
        <f ca="1">IFERROR(__xludf.DUMMYFUNCTION("IMPORTRANGE(H8998,""IDENTITAS UNIT!D9"")"),"#N/A")</f>
        <v>#N/A</v>
      </c>
      <c r="H8998" s="4" t="str">
        <v/>
      </c>
      <c r="I8998" s="4" t="str">
        <v/>
      </c>
    </row>
    <row r="8999" spans="5:9" ht="16.5" hidden="1">
      <c r="E8999" s="4" t="str">
        <v/>
      </c>
      <c r="F8999" s="102" t="str">
        <f ca="1">IFERROR(__xludf.DUMMYFUNCTION("IMPORTRANGE(H8999,""IDENTITAS UNIT!D9"")"),"#N/A")</f>
        <v>#N/A</v>
      </c>
      <c r="H8999" s="4" t="str">
        <v/>
      </c>
      <c r="I8999" s="4" t="str">
        <v/>
      </c>
    </row>
    <row r="9000" spans="5:9" ht="16.5" hidden="1">
      <c r="E9000" s="4" t="str">
        <v/>
      </c>
      <c r="F9000" s="102" t="str">
        <f ca="1">IFERROR(__xludf.DUMMYFUNCTION("IMPORTRANGE(H9000,""IDENTITAS UNIT!D9"")"),"#N/A")</f>
        <v>#N/A</v>
      </c>
      <c r="H9000" s="4" t="str">
        <v/>
      </c>
      <c r="I9000" s="4" t="str">
        <v/>
      </c>
    </row>
    <row r="9001" spans="5:9" ht="16.5" hidden="1">
      <c r="E9001" s="4" t="str">
        <v/>
      </c>
      <c r="F9001" s="102" t="str">
        <f ca="1">IFERROR(__xludf.DUMMYFUNCTION("IMPORTRANGE(H9001,""IDENTITAS UNIT!D9"")"),"#N/A")</f>
        <v>#N/A</v>
      </c>
      <c r="H9001" s="4" t="str">
        <v/>
      </c>
      <c r="I9001" s="4" t="str">
        <v/>
      </c>
    </row>
    <row r="9002" spans="5:9" ht="16.5" hidden="1">
      <c r="E9002" s="4" t="str">
        <v/>
      </c>
      <c r="F9002" s="102" t="str">
        <f ca="1">IFERROR(__xludf.DUMMYFUNCTION("IMPORTRANGE(H9002,""IDENTITAS UNIT!D9"")"),"#N/A")</f>
        <v>#N/A</v>
      </c>
      <c r="H9002" s="4" t="str">
        <v/>
      </c>
      <c r="I9002" s="4" t="str">
        <v/>
      </c>
    </row>
    <row r="9003" spans="5:9" ht="16.5" hidden="1">
      <c r="E9003" s="4" t="str">
        <v/>
      </c>
      <c r="F9003" s="102" t="str">
        <f ca="1">IFERROR(__xludf.DUMMYFUNCTION("IMPORTRANGE(H9003,""IDENTITAS UNIT!D9"")"),"#N/A")</f>
        <v>#N/A</v>
      </c>
      <c r="H9003" s="4" t="str">
        <v/>
      </c>
      <c r="I9003" s="4" t="str">
        <v/>
      </c>
    </row>
    <row r="9004" spans="5:9" ht="16.5" hidden="1">
      <c r="E9004" s="4" t="str">
        <v/>
      </c>
      <c r="F9004" s="102" t="str">
        <f ca="1">IFERROR(__xludf.DUMMYFUNCTION("IMPORTRANGE(H9004,""IDENTITAS UNIT!D9"")"),"#N/A")</f>
        <v>#N/A</v>
      </c>
      <c r="H9004" s="4" t="str">
        <v/>
      </c>
      <c r="I9004" s="4" t="str">
        <v/>
      </c>
    </row>
    <row r="9005" spans="5:9" ht="16.5" hidden="1">
      <c r="E9005" s="4" t="str">
        <v/>
      </c>
      <c r="F9005" s="102" t="str">
        <f ca="1">IFERROR(__xludf.DUMMYFUNCTION("IMPORTRANGE(H9005,""IDENTITAS UNIT!D9"")"),"#N/A")</f>
        <v>#N/A</v>
      </c>
      <c r="H9005" s="4" t="str">
        <v/>
      </c>
      <c r="I9005" s="4" t="str">
        <v/>
      </c>
    </row>
    <row r="9006" spans="5:9" ht="16.5" hidden="1">
      <c r="E9006" s="4" t="str">
        <v/>
      </c>
      <c r="F9006" s="102" t="str">
        <f ca="1">IFERROR(__xludf.DUMMYFUNCTION("IMPORTRANGE(H9006,""IDENTITAS UNIT!D9"")"),"#N/A")</f>
        <v>#N/A</v>
      </c>
      <c r="H9006" s="4" t="str">
        <v/>
      </c>
      <c r="I9006" s="4" t="str">
        <v/>
      </c>
    </row>
    <row r="9007" spans="5:9" ht="16.5" hidden="1">
      <c r="E9007" s="4" t="str">
        <v/>
      </c>
      <c r="F9007" s="102" t="str">
        <f ca="1">IFERROR(__xludf.DUMMYFUNCTION("IMPORTRANGE(H9007,""IDENTITAS UNIT!D9"")"),"#N/A")</f>
        <v>#N/A</v>
      </c>
      <c r="H9007" s="4" t="str">
        <v/>
      </c>
      <c r="I9007" s="4" t="str">
        <v/>
      </c>
    </row>
    <row r="9008" spans="5:9" ht="16.5" hidden="1">
      <c r="E9008" s="4" t="str">
        <v/>
      </c>
      <c r="F9008" s="102" t="str">
        <f ca="1">IFERROR(__xludf.DUMMYFUNCTION("IMPORTRANGE(H9008,""IDENTITAS UNIT!D9"")"),"#N/A")</f>
        <v>#N/A</v>
      </c>
      <c r="H9008" s="4" t="str">
        <v/>
      </c>
      <c r="I9008" s="4" t="str">
        <v/>
      </c>
    </row>
    <row r="9009" spans="5:9" ht="16.5" hidden="1">
      <c r="E9009" s="4" t="str">
        <v/>
      </c>
      <c r="F9009" s="102" t="str">
        <f ca="1">IFERROR(__xludf.DUMMYFUNCTION("IMPORTRANGE(H9009,""IDENTITAS UNIT!D9"")"),"#N/A")</f>
        <v>#N/A</v>
      </c>
      <c r="H9009" s="4" t="str">
        <v/>
      </c>
      <c r="I9009" s="4" t="str">
        <v/>
      </c>
    </row>
    <row r="9010" spans="5:9" ht="16.5" hidden="1">
      <c r="E9010" s="4" t="str">
        <v/>
      </c>
      <c r="F9010" s="102" t="str">
        <f ca="1">IFERROR(__xludf.DUMMYFUNCTION("IMPORTRANGE(H9010,""IDENTITAS UNIT!D9"")"),"#N/A")</f>
        <v>#N/A</v>
      </c>
      <c r="H9010" s="4" t="str">
        <v/>
      </c>
      <c r="I9010" s="4" t="str">
        <v/>
      </c>
    </row>
    <row r="9011" spans="5:9" ht="16.5" hidden="1">
      <c r="E9011" s="4" t="str">
        <v/>
      </c>
      <c r="F9011" s="102" t="str">
        <f ca="1">IFERROR(__xludf.DUMMYFUNCTION("IMPORTRANGE(H9011,""IDENTITAS UNIT!D9"")"),"#N/A")</f>
        <v>#N/A</v>
      </c>
      <c r="H9011" s="4" t="str">
        <v/>
      </c>
      <c r="I9011" s="4" t="str">
        <v/>
      </c>
    </row>
    <row r="9012" spans="5:9" ht="16.5" hidden="1">
      <c r="E9012" s="4" t="str">
        <v/>
      </c>
      <c r="F9012" s="102" t="str">
        <f ca="1">IFERROR(__xludf.DUMMYFUNCTION("IMPORTRANGE(H9012,""IDENTITAS UNIT!D9"")"),"#N/A")</f>
        <v>#N/A</v>
      </c>
      <c r="H9012" s="4" t="str">
        <v/>
      </c>
      <c r="I9012" s="4" t="str">
        <v/>
      </c>
    </row>
    <row r="9013" spans="5:9" ht="16.5" hidden="1">
      <c r="E9013" s="4" t="str">
        <v/>
      </c>
      <c r="F9013" s="102" t="str">
        <f ca="1">IFERROR(__xludf.DUMMYFUNCTION("IMPORTRANGE(H9013,""IDENTITAS UNIT!D9"")"),"#N/A")</f>
        <v>#N/A</v>
      </c>
      <c r="H9013" s="4" t="str">
        <v/>
      </c>
      <c r="I9013" s="4" t="str">
        <v/>
      </c>
    </row>
    <row r="9014" spans="5:9" ht="16.5" hidden="1">
      <c r="E9014" s="4" t="str">
        <v/>
      </c>
      <c r="F9014" s="102" t="str">
        <f ca="1">IFERROR(__xludf.DUMMYFUNCTION("IMPORTRANGE(H9014,""IDENTITAS UNIT!D9"")"),"#N/A")</f>
        <v>#N/A</v>
      </c>
      <c r="H9014" s="4" t="str">
        <v/>
      </c>
      <c r="I9014" s="4" t="str">
        <v/>
      </c>
    </row>
    <row r="9015" spans="5:9" ht="16.5" hidden="1">
      <c r="E9015" s="4" t="str">
        <v/>
      </c>
      <c r="F9015" s="102" t="str">
        <f ca="1">IFERROR(__xludf.DUMMYFUNCTION("IMPORTRANGE(H9015,""IDENTITAS UNIT!D9"")"),"#N/A")</f>
        <v>#N/A</v>
      </c>
      <c r="H9015" s="4" t="str">
        <v/>
      </c>
      <c r="I9015" s="4" t="str">
        <v/>
      </c>
    </row>
    <row r="9016" spans="5:9" ht="16.5" hidden="1">
      <c r="E9016" s="4" t="str">
        <v/>
      </c>
      <c r="F9016" s="102" t="str">
        <f ca="1">IFERROR(__xludf.DUMMYFUNCTION("IMPORTRANGE(H9016,""IDENTITAS UNIT!D9"")"),"#N/A")</f>
        <v>#N/A</v>
      </c>
      <c r="H9016" s="4" t="str">
        <v/>
      </c>
      <c r="I9016" s="4" t="str">
        <v/>
      </c>
    </row>
    <row r="9017" spans="5:9" ht="16.5" hidden="1">
      <c r="E9017" s="4" t="str">
        <v/>
      </c>
      <c r="F9017" s="102" t="str">
        <f ca="1">IFERROR(__xludf.DUMMYFUNCTION("IMPORTRANGE(H9017,""IDENTITAS UNIT!D9"")"),"#N/A")</f>
        <v>#N/A</v>
      </c>
      <c r="H9017" s="4" t="str">
        <v/>
      </c>
      <c r="I9017" s="4" t="str">
        <v/>
      </c>
    </row>
    <row r="9018" spans="5:9" ht="16.5" hidden="1">
      <c r="E9018" s="4" t="str">
        <v/>
      </c>
      <c r="F9018" s="102" t="str">
        <f ca="1">IFERROR(__xludf.DUMMYFUNCTION("IMPORTRANGE(H9018,""IDENTITAS UNIT!D9"")"),"#N/A")</f>
        <v>#N/A</v>
      </c>
      <c r="H9018" s="4" t="str">
        <v/>
      </c>
      <c r="I9018" s="4" t="str">
        <v/>
      </c>
    </row>
    <row r="9019" spans="5:9" ht="16.5" hidden="1">
      <c r="E9019" s="4" t="str">
        <v/>
      </c>
      <c r="F9019" s="102" t="str">
        <f ca="1">IFERROR(__xludf.DUMMYFUNCTION("IMPORTRANGE(H9019,""IDENTITAS UNIT!D9"")"),"#N/A")</f>
        <v>#N/A</v>
      </c>
      <c r="H9019" s="4" t="str">
        <v/>
      </c>
      <c r="I9019" s="4" t="str">
        <v/>
      </c>
    </row>
    <row r="9020" spans="5:9" ht="16.5" hidden="1">
      <c r="E9020" s="4" t="str">
        <v/>
      </c>
      <c r="F9020" s="102" t="str">
        <f ca="1">IFERROR(__xludf.DUMMYFUNCTION("IMPORTRANGE(H9020,""IDENTITAS UNIT!D9"")"),"#N/A")</f>
        <v>#N/A</v>
      </c>
      <c r="H9020" s="4" t="str">
        <v/>
      </c>
      <c r="I9020" s="4" t="str">
        <v/>
      </c>
    </row>
    <row r="9021" spans="5:9" ht="16.5" hidden="1">
      <c r="E9021" s="4" t="str">
        <v/>
      </c>
      <c r="F9021" s="102" t="str">
        <f ca="1">IFERROR(__xludf.DUMMYFUNCTION("IMPORTRANGE(H9021,""IDENTITAS UNIT!D9"")"),"#N/A")</f>
        <v>#N/A</v>
      </c>
      <c r="H9021" s="4" t="str">
        <v/>
      </c>
      <c r="I9021" s="4" t="str">
        <v/>
      </c>
    </row>
    <row r="9022" spans="5:9" ht="16.5" hidden="1">
      <c r="E9022" s="4" t="str">
        <v/>
      </c>
      <c r="F9022" s="102" t="str">
        <f ca="1">IFERROR(__xludf.DUMMYFUNCTION("IMPORTRANGE(H9022,""IDENTITAS UNIT!D9"")"),"#N/A")</f>
        <v>#N/A</v>
      </c>
      <c r="H9022" s="4" t="str">
        <v/>
      </c>
      <c r="I9022" s="4" t="str">
        <v/>
      </c>
    </row>
    <row r="9023" spans="5:9" ht="16.5" hidden="1">
      <c r="E9023" s="4" t="str">
        <v/>
      </c>
      <c r="F9023" s="102" t="str">
        <f ca="1">IFERROR(__xludf.DUMMYFUNCTION("IMPORTRANGE(H9023,""IDENTITAS UNIT!D9"")"),"#N/A")</f>
        <v>#N/A</v>
      </c>
      <c r="H9023" s="4" t="str">
        <v/>
      </c>
      <c r="I9023" s="4" t="str">
        <v/>
      </c>
    </row>
    <row r="9024" spans="5:9" ht="16.5" hidden="1">
      <c r="E9024" s="4" t="str">
        <v/>
      </c>
      <c r="F9024" s="102" t="str">
        <f ca="1">IFERROR(__xludf.DUMMYFUNCTION("IMPORTRANGE(H9024,""IDENTITAS UNIT!D9"")"),"#N/A")</f>
        <v>#N/A</v>
      </c>
      <c r="H9024" s="4" t="str">
        <v/>
      </c>
      <c r="I9024" s="4" t="str">
        <v/>
      </c>
    </row>
    <row r="9025" spans="5:9" ht="16.5" hidden="1">
      <c r="E9025" s="4" t="str">
        <v/>
      </c>
      <c r="F9025" s="102" t="str">
        <f ca="1">IFERROR(__xludf.DUMMYFUNCTION("IMPORTRANGE(H9025,""IDENTITAS UNIT!D9"")"),"#N/A")</f>
        <v>#N/A</v>
      </c>
      <c r="H9025" s="4" t="str">
        <v/>
      </c>
      <c r="I9025" s="4" t="str">
        <v/>
      </c>
    </row>
    <row r="9026" spans="5:9" ht="16.5" hidden="1">
      <c r="E9026" s="4" t="str">
        <v/>
      </c>
      <c r="F9026" s="102" t="str">
        <f ca="1">IFERROR(__xludf.DUMMYFUNCTION("IMPORTRANGE(H9026,""IDENTITAS UNIT!D9"")"),"#N/A")</f>
        <v>#N/A</v>
      </c>
      <c r="H9026" s="4" t="str">
        <v/>
      </c>
      <c r="I9026" s="4" t="str">
        <v/>
      </c>
    </row>
    <row r="9027" spans="5:9" ht="16.5" hidden="1">
      <c r="E9027" s="4" t="str">
        <v/>
      </c>
      <c r="F9027" s="102" t="str">
        <f ca="1">IFERROR(__xludf.DUMMYFUNCTION("IMPORTRANGE(H9027,""IDENTITAS UNIT!D9"")"),"#N/A")</f>
        <v>#N/A</v>
      </c>
      <c r="H9027" s="4" t="str">
        <v/>
      </c>
      <c r="I9027" s="4" t="str">
        <v/>
      </c>
    </row>
    <row r="9028" spans="5:9" ht="16.5" hidden="1">
      <c r="E9028" s="4" t="str">
        <v/>
      </c>
      <c r="F9028" s="102" t="str">
        <f ca="1">IFERROR(__xludf.DUMMYFUNCTION("IMPORTRANGE(H9028,""IDENTITAS UNIT!D9"")"),"#N/A")</f>
        <v>#N/A</v>
      </c>
      <c r="H9028" s="4" t="str">
        <v/>
      </c>
      <c r="I9028" s="4" t="str">
        <v/>
      </c>
    </row>
    <row r="9029" spans="5:9" ht="16.5" hidden="1">
      <c r="E9029" s="4" t="str">
        <v/>
      </c>
      <c r="F9029" s="102" t="str">
        <f ca="1">IFERROR(__xludf.DUMMYFUNCTION("IMPORTRANGE(H9029,""IDENTITAS UNIT!D9"")"),"#N/A")</f>
        <v>#N/A</v>
      </c>
      <c r="H9029" s="4" t="str">
        <v/>
      </c>
      <c r="I9029" s="4" t="str">
        <v/>
      </c>
    </row>
    <row r="9030" spans="5:9" ht="16.5" hidden="1">
      <c r="E9030" s="4" t="str">
        <v/>
      </c>
      <c r="F9030" s="102" t="str">
        <f ca="1">IFERROR(__xludf.DUMMYFUNCTION("IMPORTRANGE(H9030,""IDENTITAS UNIT!D9"")"),"#N/A")</f>
        <v>#N/A</v>
      </c>
      <c r="H9030" s="4" t="str">
        <v/>
      </c>
      <c r="I9030" s="4" t="str">
        <v/>
      </c>
    </row>
    <row r="9031" spans="5:9" ht="16.5" hidden="1">
      <c r="E9031" s="4" t="str">
        <v/>
      </c>
      <c r="F9031" s="102" t="str">
        <f ca="1">IFERROR(__xludf.DUMMYFUNCTION("IMPORTRANGE(H9031,""IDENTITAS UNIT!D9"")"),"#N/A")</f>
        <v>#N/A</v>
      </c>
      <c r="H9031" s="4" t="str">
        <v/>
      </c>
      <c r="I9031" s="4" t="str">
        <v/>
      </c>
    </row>
    <row r="9032" spans="5:9" ht="16.5" hidden="1">
      <c r="E9032" s="4" t="str">
        <v/>
      </c>
      <c r="F9032" s="102" t="str">
        <f ca="1">IFERROR(__xludf.DUMMYFUNCTION("IMPORTRANGE(H9032,""IDENTITAS UNIT!D9"")"),"#N/A")</f>
        <v>#N/A</v>
      </c>
      <c r="H9032" s="4" t="str">
        <v/>
      </c>
      <c r="I9032" s="4" t="str">
        <v/>
      </c>
    </row>
    <row r="9033" spans="5:9" ht="16.5" hidden="1">
      <c r="E9033" s="4" t="str">
        <v/>
      </c>
      <c r="F9033" s="102" t="str">
        <f ca="1">IFERROR(__xludf.DUMMYFUNCTION("IMPORTRANGE(H9033,""IDENTITAS UNIT!D9"")"),"#N/A")</f>
        <v>#N/A</v>
      </c>
      <c r="H9033" s="4" t="str">
        <v/>
      </c>
      <c r="I9033" s="4" t="str">
        <v/>
      </c>
    </row>
    <row r="9034" spans="5:9" ht="16.5" hidden="1">
      <c r="E9034" s="4" t="str">
        <v/>
      </c>
      <c r="F9034" s="102" t="str">
        <f ca="1">IFERROR(__xludf.DUMMYFUNCTION("IMPORTRANGE(H9034,""IDENTITAS UNIT!D9"")"),"#N/A")</f>
        <v>#N/A</v>
      </c>
      <c r="H9034" s="4" t="str">
        <v/>
      </c>
      <c r="I9034" s="4" t="str">
        <v/>
      </c>
    </row>
    <row r="9035" spans="5:9" ht="16.5" hidden="1">
      <c r="E9035" s="4" t="str">
        <v/>
      </c>
      <c r="F9035" s="102" t="str">
        <f ca="1">IFERROR(__xludf.DUMMYFUNCTION("IMPORTRANGE(H9035,""IDENTITAS UNIT!D9"")"),"#N/A")</f>
        <v>#N/A</v>
      </c>
      <c r="H9035" s="4" t="str">
        <v/>
      </c>
      <c r="I9035" s="4" t="str">
        <v/>
      </c>
    </row>
    <row r="9036" spans="5:9" ht="16.5" hidden="1">
      <c r="E9036" s="4" t="str">
        <v/>
      </c>
      <c r="F9036" s="102" t="str">
        <f ca="1">IFERROR(__xludf.DUMMYFUNCTION("IMPORTRANGE(H9036,""IDENTITAS UNIT!D9"")"),"#N/A")</f>
        <v>#N/A</v>
      </c>
      <c r="H9036" s="4" t="str">
        <v/>
      </c>
      <c r="I9036" s="4" t="str">
        <v/>
      </c>
    </row>
    <row r="9037" spans="5:9" ht="16.5" hidden="1">
      <c r="E9037" s="4" t="str">
        <v/>
      </c>
      <c r="F9037" s="102" t="str">
        <f ca="1">IFERROR(__xludf.DUMMYFUNCTION("IMPORTRANGE(H9037,""IDENTITAS UNIT!D9"")"),"#N/A")</f>
        <v>#N/A</v>
      </c>
      <c r="H9037" s="4" t="str">
        <v/>
      </c>
      <c r="I9037" s="4" t="str">
        <v/>
      </c>
    </row>
    <row r="9038" spans="5:9" ht="16.5" hidden="1">
      <c r="E9038" s="4" t="str">
        <v/>
      </c>
      <c r="F9038" s="102" t="str">
        <f ca="1">IFERROR(__xludf.DUMMYFUNCTION("IMPORTRANGE(H9038,""IDENTITAS UNIT!D9"")"),"#N/A")</f>
        <v>#N/A</v>
      </c>
      <c r="H9038" s="4" t="str">
        <v/>
      </c>
      <c r="I9038" s="4" t="str">
        <v/>
      </c>
    </row>
    <row r="9039" spans="5:9" ht="16.5" hidden="1">
      <c r="E9039" s="4" t="str">
        <v/>
      </c>
      <c r="F9039" s="102" t="str">
        <f ca="1">IFERROR(__xludf.DUMMYFUNCTION("IMPORTRANGE(H9039,""IDENTITAS UNIT!D9"")"),"#N/A")</f>
        <v>#N/A</v>
      </c>
      <c r="H9039" s="4" t="str">
        <v/>
      </c>
      <c r="I9039" s="4" t="str">
        <v/>
      </c>
    </row>
    <row r="9040" spans="5:9" ht="16.5" hidden="1">
      <c r="E9040" s="4" t="str">
        <v/>
      </c>
      <c r="F9040" s="102" t="str">
        <f ca="1">IFERROR(__xludf.DUMMYFUNCTION("IMPORTRANGE(H9040,""IDENTITAS UNIT!D9"")"),"#N/A")</f>
        <v>#N/A</v>
      </c>
      <c r="H9040" s="4" t="str">
        <v/>
      </c>
      <c r="I9040" s="4" t="str">
        <v/>
      </c>
    </row>
    <row r="9041" spans="5:9" ht="16.5" hidden="1">
      <c r="E9041" s="4" t="str">
        <v/>
      </c>
      <c r="F9041" s="102" t="str">
        <f ca="1">IFERROR(__xludf.DUMMYFUNCTION("IMPORTRANGE(H9041,""IDENTITAS UNIT!D9"")"),"#N/A")</f>
        <v>#N/A</v>
      </c>
      <c r="H9041" s="4" t="str">
        <v/>
      </c>
      <c r="I9041" s="4" t="str">
        <v/>
      </c>
    </row>
    <row r="9042" spans="5:9" ht="16.5" hidden="1">
      <c r="E9042" s="4" t="str">
        <v/>
      </c>
      <c r="F9042" s="102" t="str">
        <f ca="1">IFERROR(__xludf.DUMMYFUNCTION("IMPORTRANGE(H9042,""IDENTITAS UNIT!D9"")"),"#N/A")</f>
        <v>#N/A</v>
      </c>
      <c r="H9042" s="4" t="str">
        <v/>
      </c>
      <c r="I9042" s="4" t="str">
        <v/>
      </c>
    </row>
    <row r="9043" spans="5:9" ht="16.5" hidden="1">
      <c r="E9043" s="4" t="str">
        <v/>
      </c>
      <c r="F9043" s="102" t="str">
        <f ca="1">IFERROR(__xludf.DUMMYFUNCTION("IMPORTRANGE(H9043,""IDENTITAS UNIT!D9"")"),"#N/A")</f>
        <v>#N/A</v>
      </c>
      <c r="H9043" s="4" t="str">
        <v/>
      </c>
      <c r="I9043" s="4" t="str">
        <v/>
      </c>
    </row>
    <row r="9044" spans="5:9" ht="16.5" hidden="1">
      <c r="E9044" s="4" t="str">
        <v/>
      </c>
      <c r="F9044" s="102" t="str">
        <f ca="1">IFERROR(__xludf.DUMMYFUNCTION("IMPORTRANGE(H9044,""IDENTITAS UNIT!D9"")"),"#N/A")</f>
        <v>#N/A</v>
      </c>
      <c r="H9044" s="4" t="str">
        <v/>
      </c>
      <c r="I9044" s="4" t="str">
        <v/>
      </c>
    </row>
    <row r="9045" spans="5:9" ht="16.5" hidden="1">
      <c r="E9045" s="4" t="str">
        <v/>
      </c>
      <c r="F9045" s="102" t="str">
        <f ca="1">IFERROR(__xludf.DUMMYFUNCTION("IMPORTRANGE(H9045,""IDENTITAS UNIT!D9"")"),"#N/A")</f>
        <v>#N/A</v>
      </c>
      <c r="H9045" s="4" t="str">
        <v/>
      </c>
      <c r="I9045" s="4" t="str">
        <v/>
      </c>
    </row>
    <row r="9046" spans="5:9" ht="16.5" hidden="1">
      <c r="E9046" s="4" t="str">
        <v/>
      </c>
      <c r="F9046" s="102" t="str">
        <f ca="1">IFERROR(__xludf.DUMMYFUNCTION("IMPORTRANGE(H9046,""IDENTITAS UNIT!D9"")"),"#N/A")</f>
        <v>#N/A</v>
      </c>
      <c r="H9046" s="4" t="str">
        <v/>
      </c>
      <c r="I9046" s="4" t="str">
        <v/>
      </c>
    </row>
    <row r="9047" spans="5:9" ht="16.5" hidden="1">
      <c r="E9047" s="4" t="str">
        <v/>
      </c>
      <c r="F9047" s="102" t="str">
        <f ca="1">IFERROR(__xludf.DUMMYFUNCTION("IMPORTRANGE(H9047,""IDENTITAS UNIT!D9"")"),"#N/A")</f>
        <v>#N/A</v>
      </c>
      <c r="H9047" s="4" t="str">
        <v/>
      </c>
      <c r="I9047" s="4" t="str">
        <v/>
      </c>
    </row>
    <row r="9048" spans="5:9" ht="16.5" hidden="1">
      <c r="E9048" s="4" t="str">
        <v/>
      </c>
      <c r="F9048" s="102" t="str">
        <f ca="1">IFERROR(__xludf.DUMMYFUNCTION("IMPORTRANGE(H9048,""IDENTITAS UNIT!D9"")"),"#N/A")</f>
        <v>#N/A</v>
      </c>
      <c r="H9048" s="4" t="str">
        <v/>
      </c>
      <c r="I9048" s="4" t="str">
        <v/>
      </c>
    </row>
    <row r="9049" spans="5:9" ht="16.5" hidden="1">
      <c r="E9049" s="4" t="str">
        <v/>
      </c>
      <c r="F9049" s="102" t="str">
        <f ca="1">IFERROR(__xludf.DUMMYFUNCTION("IMPORTRANGE(H9049,""IDENTITAS UNIT!D9"")"),"#N/A")</f>
        <v>#N/A</v>
      </c>
      <c r="H9049" s="4" t="str">
        <v/>
      </c>
      <c r="I9049" s="4" t="str">
        <v/>
      </c>
    </row>
    <row r="9050" spans="5:9" ht="16.5" hidden="1">
      <c r="E9050" s="4" t="str">
        <v/>
      </c>
      <c r="F9050" s="102" t="str">
        <f ca="1">IFERROR(__xludf.DUMMYFUNCTION("IMPORTRANGE(H9050,""IDENTITAS UNIT!D9"")"),"#N/A")</f>
        <v>#N/A</v>
      </c>
      <c r="H9050" s="4" t="str">
        <v/>
      </c>
      <c r="I9050" s="4" t="str">
        <v/>
      </c>
    </row>
    <row r="9051" spans="5:9" ht="16.5" hidden="1">
      <c r="E9051" s="4" t="str">
        <v/>
      </c>
      <c r="F9051" s="102" t="str">
        <f ca="1">IFERROR(__xludf.DUMMYFUNCTION("IMPORTRANGE(H9051,""IDENTITAS UNIT!D9"")"),"#N/A")</f>
        <v>#N/A</v>
      </c>
      <c r="H9051" s="4" t="str">
        <v/>
      </c>
      <c r="I9051" s="4" t="str">
        <v/>
      </c>
    </row>
    <row r="9052" spans="5:9" ht="16.5" hidden="1">
      <c r="E9052" s="4" t="str">
        <v/>
      </c>
      <c r="F9052" s="102" t="str">
        <f ca="1">IFERROR(__xludf.DUMMYFUNCTION("IMPORTRANGE(H9052,""IDENTITAS UNIT!D9"")"),"#N/A")</f>
        <v>#N/A</v>
      </c>
      <c r="H9052" s="4" t="str">
        <v/>
      </c>
      <c r="I9052" s="4" t="str">
        <v/>
      </c>
    </row>
    <row r="9053" spans="5:9" ht="16.5" hidden="1">
      <c r="E9053" s="4" t="str">
        <v/>
      </c>
      <c r="F9053" s="102" t="str">
        <f ca="1">IFERROR(__xludf.DUMMYFUNCTION("IMPORTRANGE(H9053,""IDENTITAS UNIT!D9"")"),"#N/A")</f>
        <v>#N/A</v>
      </c>
      <c r="H9053" s="4" t="str">
        <v/>
      </c>
      <c r="I9053" s="4" t="str">
        <v/>
      </c>
    </row>
    <row r="9054" spans="5:9" ht="16.5" hidden="1">
      <c r="E9054" s="4" t="str">
        <v/>
      </c>
      <c r="F9054" s="102" t="str">
        <f ca="1">IFERROR(__xludf.DUMMYFUNCTION("IMPORTRANGE(H9054,""IDENTITAS UNIT!D9"")"),"#N/A")</f>
        <v>#N/A</v>
      </c>
      <c r="H9054" s="4" t="str">
        <v/>
      </c>
      <c r="I9054" s="4" t="str">
        <v/>
      </c>
    </row>
    <row r="9055" spans="5:9" ht="16.5" hidden="1">
      <c r="E9055" s="4" t="str">
        <v/>
      </c>
      <c r="F9055" s="102" t="str">
        <f ca="1">IFERROR(__xludf.DUMMYFUNCTION("IMPORTRANGE(H9055,""IDENTITAS UNIT!D9"")"),"#N/A")</f>
        <v>#N/A</v>
      </c>
      <c r="H9055" s="4" t="str">
        <v/>
      </c>
      <c r="I9055" s="4" t="str">
        <v/>
      </c>
    </row>
    <row r="9056" spans="5:9" ht="16.5" hidden="1">
      <c r="E9056" s="4" t="str">
        <v/>
      </c>
      <c r="F9056" s="102" t="str">
        <f ca="1">IFERROR(__xludf.DUMMYFUNCTION("IMPORTRANGE(H9056,""IDENTITAS UNIT!D9"")"),"#N/A")</f>
        <v>#N/A</v>
      </c>
      <c r="H9056" s="4" t="str">
        <v/>
      </c>
      <c r="I9056" s="4" t="str">
        <v/>
      </c>
    </row>
    <row r="9057" spans="5:9" ht="16.5" hidden="1">
      <c r="E9057" s="4" t="str">
        <v/>
      </c>
      <c r="F9057" s="102" t="str">
        <f ca="1">IFERROR(__xludf.DUMMYFUNCTION("IMPORTRANGE(H9057,""IDENTITAS UNIT!D9"")"),"#N/A")</f>
        <v>#N/A</v>
      </c>
      <c r="H9057" s="4" t="str">
        <v/>
      </c>
      <c r="I9057" s="4" t="str">
        <v/>
      </c>
    </row>
    <row r="9058" spans="5:9" ht="16.5" hidden="1">
      <c r="E9058" s="4" t="str">
        <v/>
      </c>
      <c r="F9058" s="102" t="str">
        <f ca="1">IFERROR(__xludf.DUMMYFUNCTION("IMPORTRANGE(H9058,""IDENTITAS UNIT!D9"")"),"#N/A")</f>
        <v>#N/A</v>
      </c>
      <c r="H9058" s="4" t="str">
        <v/>
      </c>
      <c r="I9058" s="4" t="str">
        <v/>
      </c>
    </row>
    <row r="9059" spans="5:9" ht="16.5" hidden="1">
      <c r="E9059" s="4" t="str">
        <v/>
      </c>
      <c r="F9059" s="102" t="str">
        <f ca="1">IFERROR(__xludf.DUMMYFUNCTION("IMPORTRANGE(H9059,""IDENTITAS UNIT!D9"")"),"#N/A")</f>
        <v>#N/A</v>
      </c>
      <c r="H9059" s="4" t="str">
        <v/>
      </c>
      <c r="I9059" s="4" t="str">
        <v/>
      </c>
    </row>
    <row r="9060" spans="5:9" ht="16.5" hidden="1">
      <c r="E9060" s="4" t="str">
        <v/>
      </c>
      <c r="F9060" s="102" t="str">
        <f ca="1">IFERROR(__xludf.DUMMYFUNCTION("IMPORTRANGE(H9060,""IDENTITAS UNIT!D9"")"),"#N/A")</f>
        <v>#N/A</v>
      </c>
      <c r="H9060" s="4" t="str">
        <v/>
      </c>
      <c r="I9060" s="4" t="str">
        <v/>
      </c>
    </row>
    <row r="9061" spans="5:9" ht="16.5" hidden="1">
      <c r="E9061" s="4" t="str">
        <v/>
      </c>
      <c r="F9061" s="102" t="str">
        <f ca="1">IFERROR(__xludf.DUMMYFUNCTION("IMPORTRANGE(H9061,""IDENTITAS UNIT!D9"")"),"#N/A")</f>
        <v>#N/A</v>
      </c>
      <c r="H9061" s="4" t="str">
        <v/>
      </c>
      <c r="I9061" s="4" t="str">
        <v/>
      </c>
    </row>
    <row r="9062" spans="5:9" ht="16.5" hidden="1">
      <c r="E9062" s="4" t="str">
        <v/>
      </c>
      <c r="F9062" s="102" t="str">
        <f ca="1">IFERROR(__xludf.DUMMYFUNCTION("IMPORTRANGE(H9062,""IDENTITAS UNIT!D9"")"),"#N/A")</f>
        <v>#N/A</v>
      </c>
      <c r="H9062" s="4" t="str">
        <v/>
      </c>
      <c r="I9062" s="4" t="str">
        <v/>
      </c>
    </row>
    <row r="9063" spans="5:9" ht="16.5" hidden="1">
      <c r="E9063" s="4" t="str">
        <v/>
      </c>
      <c r="F9063" s="102" t="str">
        <f ca="1">IFERROR(__xludf.DUMMYFUNCTION("IMPORTRANGE(H9063,""IDENTITAS UNIT!D9"")"),"#N/A")</f>
        <v>#N/A</v>
      </c>
      <c r="H9063" s="4" t="str">
        <v/>
      </c>
      <c r="I9063" s="4" t="str">
        <v/>
      </c>
    </row>
    <row r="9064" spans="5:9" ht="16.5" hidden="1">
      <c r="E9064" s="4" t="str">
        <v/>
      </c>
      <c r="F9064" s="102" t="str">
        <f ca="1">IFERROR(__xludf.DUMMYFUNCTION("IMPORTRANGE(H9064,""IDENTITAS UNIT!D9"")"),"#N/A")</f>
        <v>#N/A</v>
      </c>
      <c r="H9064" s="4" t="str">
        <v/>
      </c>
      <c r="I9064" s="4" t="str">
        <v/>
      </c>
    </row>
    <row r="9065" spans="5:9" ht="16.5" hidden="1">
      <c r="E9065" s="4" t="str">
        <v/>
      </c>
      <c r="F9065" s="102" t="str">
        <f ca="1">IFERROR(__xludf.DUMMYFUNCTION("IMPORTRANGE(H9065,""IDENTITAS UNIT!D9"")"),"#N/A")</f>
        <v>#N/A</v>
      </c>
      <c r="H9065" s="4" t="str">
        <v/>
      </c>
      <c r="I9065" s="4" t="str">
        <v/>
      </c>
    </row>
    <row r="9066" spans="5:9" ht="16.5" hidden="1">
      <c r="E9066" s="4" t="str">
        <v/>
      </c>
      <c r="F9066" s="102" t="str">
        <f ca="1">IFERROR(__xludf.DUMMYFUNCTION("IMPORTRANGE(H9066,""IDENTITAS UNIT!D9"")"),"#N/A")</f>
        <v>#N/A</v>
      </c>
      <c r="H9066" s="4" t="str">
        <v/>
      </c>
      <c r="I9066" s="4" t="str">
        <v/>
      </c>
    </row>
    <row r="9067" spans="5:9" ht="16.5" hidden="1">
      <c r="E9067" s="4" t="str">
        <v/>
      </c>
      <c r="F9067" s="102" t="str">
        <f ca="1">IFERROR(__xludf.DUMMYFUNCTION("IMPORTRANGE(H9067,""IDENTITAS UNIT!D9"")"),"#N/A")</f>
        <v>#N/A</v>
      </c>
      <c r="H9067" s="4" t="str">
        <v/>
      </c>
      <c r="I9067" s="4" t="str">
        <v/>
      </c>
    </row>
    <row r="9068" spans="5:9" ht="16.5" hidden="1">
      <c r="E9068" s="4" t="str">
        <v/>
      </c>
      <c r="F9068" s="102" t="str">
        <f ca="1">IFERROR(__xludf.DUMMYFUNCTION("IMPORTRANGE(H9068,""IDENTITAS UNIT!D9"")"),"#N/A")</f>
        <v>#N/A</v>
      </c>
      <c r="H9068" s="4" t="str">
        <v/>
      </c>
      <c r="I9068" s="4" t="str">
        <v/>
      </c>
    </row>
    <row r="9069" spans="5:9" ht="16.5" hidden="1">
      <c r="E9069" s="4" t="str">
        <v/>
      </c>
      <c r="F9069" s="102" t="str">
        <f ca="1">IFERROR(__xludf.DUMMYFUNCTION("IMPORTRANGE(H9069,""IDENTITAS UNIT!D9"")"),"#N/A")</f>
        <v>#N/A</v>
      </c>
      <c r="H9069" s="4" t="str">
        <v/>
      </c>
      <c r="I9069" s="4" t="str">
        <v/>
      </c>
    </row>
    <row r="9070" spans="5:9" ht="16.5" hidden="1">
      <c r="E9070" s="4" t="str">
        <v/>
      </c>
      <c r="F9070" s="102" t="str">
        <f ca="1">IFERROR(__xludf.DUMMYFUNCTION("IMPORTRANGE(H9070,""IDENTITAS UNIT!D9"")"),"#N/A")</f>
        <v>#N/A</v>
      </c>
      <c r="H9070" s="4" t="str">
        <v/>
      </c>
      <c r="I9070" s="4" t="str">
        <v/>
      </c>
    </row>
    <row r="9071" spans="5:9" ht="16.5" hidden="1">
      <c r="E9071" s="4" t="str">
        <v/>
      </c>
      <c r="F9071" s="102" t="str">
        <f ca="1">IFERROR(__xludf.DUMMYFUNCTION("IMPORTRANGE(H9071,""IDENTITAS UNIT!D9"")"),"#N/A")</f>
        <v>#N/A</v>
      </c>
      <c r="H9071" s="4" t="str">
        <v/>
      </c>
      <c r="I9071" s="4" t="str">
        <v/>
      </c>
    </row>
    <row r="9072" spans="5:9" ht="16.5" hidden="1">
      <c r="E9072" s="4" t="str">
        <v/>
      </c>
      <c r="F9072" s="102" t="str">
        <f ca="1">IFERROR(__xludf.DUMMYFUNCTION("IMPORTRANGE(H9072,""IDENTITAS UNIT!D9"")"),"#N/A")</f>
        <v>#N/A</v>
      </c>
      <c r="H9072" s="4" t="str">
        <v/>
      </c>
      <c r="I9072" s="4" t="str">
        <v/>
      </c>
    </row>
    <row r="9073" spans="5:9" ht="16.5" hidden="1">
      <c r="E9073" s="4" t="str">
        <v/>
      </c>
      <c r="F9073" s="102" t="str">
        <f ca="1">IFERROR(__xludf.DUMMYFUNCTION("IMPORTRANGE(H9073,""IDENTITAS UNIT!D9"")"),"#N/A")</f>
        <v>#N/A</v>
      </c>
      <c r="H9073" s="4" t="str">
        <v/>
      </c>
      <c r="I9073" s="4" t="str">
        <v/>
      </c>
    </row>
    <row r="9074" spans="5:9" ht="16.5" hidden="1">
      <c r="E9074" s="4" t="str">
        <v/>
      </c>
      <c r="F9074" s="102" t="str">
        <f ca="1">IFERROR(__xludf.DUMMYFUNCTION("IMPORTRANGE(H9074,""IDENTITAS UNIT!D9"")"),"#N/A")</f>
        <v>#N/A</v>
      </c>
      <c r="H9074" s="4" t="str">
        <v/>
      </c>
      <c r="I9074" s="4" t="str">
        <v/>
      </c>
    </row>
    <row r="9075" spans="5:9" ht="16.5" hidden="1">
      <c r="E9075" s="4" t="str">
        <v/>
      </c>
      <c r="F9075" s="102" t="str">
        <f ca="1">IFERROR(__xludf.DUMMYFUNCTION("IMPORTRANGE(H9075,""IDENTITAS UNIT!D9"")"),"#N/A")</f>
        <v>#N/A</v>
      </c>
      <c r="H9075" s="4" t="str">
        <v/>
      </c>
      <c r="I9075" s="4" t="str">
        <v/>
      </c>
    </row>
    <row r="9076" spans="5:9" ht="16.5" hidden="1">
      <c r="E9076" s="4" t="str">
        <v/>
      </c>
      <c r="F9076" s="102" t="str">
        <f ca="1">IFERROR(__xludf.DUMMYFUNCTION("IMPORTRANGE(H9076,""IDENTITAS UNIT!D9"")"),"#N/A")</f>
        <v>#N/A</v>
      </c>
      <c r="H9076" s="4" t="str">
        <v/>
      </c>
      <c r="I9076" s="4" t="str">
        <v/>
      </c>
    </row>
    <row r="9077" spans="5:9" ht="16.5" hidden="1">
      <c r="E9077" s="4" t="str">
        <v/>
      </c>
      <c r="F9077" s="102" t="str">
        <f ca="1">IFERROR(__xludf.DUMMYFUNCTION("IMPORTRANGE(H9077,""IDENTITAS UNIT!D9"")"),"#N/A")</f>
        <v>#N/A</v>
      </c>
      <c r="H9077" s="4" t="str">
        <v/>
      </c>
      <c r="I9077" s="4" t="str">
        <v/>
      </c>
    </row>
    <row r="9078" spans="5:9" ht="16.5" hidden="1">
      <c r="E9078" s="4" t="str">
        <v/>
      </c>
      <c r="F9078" s="102" t="str">
        <f ca="1">IFERROR(__xludf.DUMMYFUNCTION("IMPORTRANGE(H9078,""IDENTITAS UNIT!D9"")"),"#N/A")</f>
        <v>#N/A</v>
      </c>
      <c r="H9078" s="4" t="str">
        <v/>
      </c>
      <c r="I9078" s="4" t="str">
        <v/>
      </c>
    </row>
    <row r="9079" spans="5:9" ht="16.5" hidden="1">
      <c r="E9079" s="4" t="str">
        <v/>
      </c>
      <c r="F9079" s="102" t="str">
        <f ca="1">IFERROR(__xludf.DUMMYFUNCTION("IMPORTRANGE(H9079,""IDENTITAS UNIT!D9"")"),"#N/A")</f>
        <v>#N/A</v>
      </c>
      <c r="H9079" s="4" t="str">
        <v/>
      </c>
      <c r="I9079" s="4" t="str">
        <v/>
      </c>
    </row>
    <row r="9080" spans="5:9" ht="16.5" hidden="1">
      <c r="E9080" s="4" t="str">
        <v/>
      </c>
      <c r="F9080" s="102" t="str">
        <f ca="1">IFERROR(__xludf.DUMMYFUNCTION("IMPORTRANGE(H9080,""IDENTITAS UNIT!D9"")"),"#N/A")</f>
        <v>#N/A</v>
      </c>
      <c r="H9080" s="4" t="str">
        <v/>
      </c>
      <c r="I9080" s="4" t="str">
        <v/>
      </c>
    </row>
    <row r="9081" spans="5:9" ht="16.5" hidden="1">
      <c r="E9081" s="4" t="str">
        <v/>
      </c>
      <c r="F9081" s="102" t="str">
        <f ca="1">IFERROR(__xludf.DUMMYFUNCTION("IMPORTRANGE(H9081,""IDENTITAS UNIT!D9"")"),"#N/A")</f>
        <v>#N/A</v>
      </c>
      <c r="H9081" s="4" t="str">
        <v/>
      </c>
      <c r="I9081" s="4" t="str">
        <v/>
      </c>
    </row>
    <row r="9082" spans="5:9" ht="16.5" hidden="1">
      <c r="E9082" s="4" t="str">
        <v/>
      </c>
      <c r="F9082" s="102" t="str">
        <f ca="1">IFERROR(__xludf.DUMMYFUNCTION("IMPORTRANGE(H9082,""IDENTITAS UNIT!D9"")"),"#N/A")</f>
        <v>#N/A</v>
      </c>
      <c r="H9082" s="4" t="str">
        <v/>
      </c>
      <c r="I9082" s="4" t="str">
        <v/>
      </c>
    </row>
    <row r="9083" spans="5:9" ht="16.5" hidden="1">
      <c r="E9083" s="4" t="str">
        <v/>
      </c>
      <c r="F9083" s="102" t="str">
        <f ca="1">IFERROR(__xludf.DUMMYFUNCTION("IMPORTRANGE(H9083,""IDENTITAS UNIT!D9"")"),"#N/A")</f>
        <v>#N/A</v>
      </c>
      <c r="H9083" s="4" t="str">
        <v/>
      </c>
      <c r="I9083" s="4" t="str">
        <v/>
      </c>
    </row>
    <row r="9084" spans="5:9" ht="16.5" hidden="1">
      <c r="E9084" s="4" t="str">
        <v/>
      </c>
      <c r="F9084" s="102" t="str">
        <f ca="1">IFERROR(__xludf.DUMMYFUNCTION("IMPORTRANGE(H9084,""IDENTITAS UNIT!D9"")"),"#N/A")</f>
        <v>#N/A</v>
      </c>
      <c r="H9084" s="4" t="str">
        <v/>
      </c>
      <c r="I9084" s="4" t="str">
        <v/>
      </c>
    </row>
    <row r="9085" spans="5:9" ht="16.5" hidden="1">
      <c r="E9085" s="4" t="str">
        <v/>
      </c>
      <c r="F9085" s="102" t="str">
        <f ca="1">IFERROR(__xludf.DUMMYFUNCTION("IMPORTRANGE(H9085,""IDENTITAS UNIT!D9"")"),"#N/A")</f>
        <v>#N/A</v>
      </c>
      <c r="H9085" s="4" t="str">
        <v/>
      </c>
      <c r="I9085" s="4" t="str">
        <v/>
      </c>
    </row>
    <row r="9086" spans="5:9" ht="16.5" hidden="1">
      <c r="E9086" s="4" t="str">
        <v/>
      </c>
      <c r="F9086" s="102" t="str">
        <f ca="1">IFERROR(__xludf.DUMMYFUNCTION("IMPORTRANGE(H9086,""IDENTITAS UNIT!D9"")"),"#N/A")</f>
        <v>#N/A</v>
      </c>
      <c r="H9086" s="4" t="str">
        <v/>
      </c>
      <c r="I9086" s="4" t="str">
        <v/>
      </c>
    </row>
    <row r="9087" spans="5:9" ht="16.5" hidden="1">
      <c r="E9087" s="4" t="str">
        <v/>
      </c>
      <c r="F9087" s="102" t="str">
        <f ca="1">IFERROR(__xludf.DUMMYFUNCTION("IMPORTRANGE(H9087,""IDENTITAS UNIT!D9"")"),"#N/A")</f>
        <v>#N/A</v>
      </c>
      <c r="H9087" s="4" t="str">
        <v/>
      </c>
      <c r="I9087" s="4" t="str">
        <v/>
      </c>
    </row>
    <row r="9088" spans="5:9" ht="16.5" hidden="1">
      <c r="E9088" s="4" t="str">
        <v/>
      </c>
      <c r="F9088" s="102" t="str">
        <f ca="1">IFERROR(__xludf.DUMMYFUNCTION("IMPORTRANGE(H9088,""IDENTITAS UNIT!D9"")"),"#N/A")</f>
        <v>#N/A</v>
      </c>
      <c r="H9088" s="4" t="str">
        <v/>
      </c>
      <c r="I9088" s="4" t="str">
        <v/>
      </c>
    </row>
    <row r="9089" spans="5:9" ht="16.5" hidden="1">
      <c r="E9089" s="4" t="str">
        <v/>
      </c>
      <c r="F9089" s="102" t="str">
        <f ca="1">IFERROR(__xludf.DUMMYFUNCTION("IMPORTRANGE(H9089,""IDENTITAS UNIT!D9"")"),"#N/A")</f>
        <v>#N/A</v>
      </c>
      <c r="H9089" s="4" t="str">
        <v/>
      </c>
      <c r="I9089" s="4" t="str">
        <v/>
      </c>
    </row>
    <row r="9090" spans="5:9" ht="16.5" hidden="1">
      <c r="E9090" s="4" t="str">
        <v/>
      </c>
      <c r="F9090" s="102" t="str">
        <f ca="1">IFERROR(__xludf.DUMMYFUNCTION("IMPORTRANGE(H9090,""IDENTITAS UNIT!D9"")"),"#N/A")</f>
        <v>#N/A</v>
      </c>
      <c r="H9090" s="4" t="str">
        <v/>
      </c>
      <c r="I9090" s="4" t="str">
        <v/>
      </c>
    </row>
    <row r="9091" spans="5:9" ht="16.5" hidden="1">
      <c r="E9091" s="4" t="str">
        <v/>
      </c>
      <c r="F9091" s="102" t="str">
        <f ca="1">IFERROR(__xludf.DUMMYFUNCTION("IMPORTRANGE(H9091,""IDENTITAS UNIT!D9"")"),"#N/A")</f>
        <v>#N/A</v>
      </c>
      <c r="H9091" s="4" t="str">
        <v/>
      </c>
      <c r="I9091" s="4" t="str">
        <v/>
      </c>
    </row>
    <row r="9092" spans="5:9" ht="16.5" hidden="1">
      <c r="E9092" s="4" t="str">
        <v/>
      </c>
      <c r="F9092" s="102" t="str">
        <f ca="1">IFERROR(__xludf.DUMMYFUNCTION("IMPORTRANGE(H9092,""IDENTITAS UNIT!D9"")"),"#N/A")</f>
        <v>#N/A</v>
      </c>
      <c r="H9092" s="4" t="str">
        <v/>
      </c>
      <c r="I9092" s="4" t="str">
        <v/>
      </c>
    </row>
    <row r="9093" spans="5:9" ht="16.5" hidden="1">
      <c r="E9093" s="4" t="str">
        <v/>
      </c>
      <c r="F9093" s="102" t="str">
        <f ca="1">IFERROR(__xludf.DUMMYFUNCTION("IMPORTRANGE(H9093,""IDENTITAS UNIT!D9"")"),"#N/A")</f>
        <v>#N/A</v>
      </c>
      <c r="H9093" s="4" t="str">
        <v/>
      </c>
      <c r="I9093" s="4" t="str">
        <v/>
      </c>
    </row>
    <row r="9094" spans="5:9" ht="16.5" hidden="1">
      <c r="E9094" s="4" t="str">
        <v/>
      </c>
      <c r="F9094" s="102" t="str">
        <f ca="1">IFERROR(__xludf.DUMMYFUNCTION("IMPORTRANGE(H9094,""IDENTITAS UNIT!D9"")"),"#N/A")</f>
        <v>#N/A</v>
      </c>
      <c r="H9094" s="4" t="str">
        <v/>
      </c>
      <c r="I9094" s="4" t="str">
        <v/>
      </c>
    </row>
    <row r="9095" spans="5:9" ht="16.5" hidden="1">
      <c r="E9095" s="4" t="str">
        <v/>
      </c>
      <c r="F9095" s="102" t="str">
        <f ca="1">IFERROR(__xludf.DUMMYFUNCTION("IMPORTRANGE(H9095,""IDENTITAS UNIT!D9"")"),"#N/A")</f>
        <v>#N/A</v>
      </c>
      <c r="H9095" s="4" t="str">
        <v/>
      </c>
      <c r="I9095" s="4" t="str">
        <v/>
      </c>
    </row>
    <row r="9096" spans="5:9" ht="16.5" hidden="1">
      <c r="E9096" s="4" t="str">
        <v/>
      </c>
      <c r="F9096" s="102" t="str">
        <f ca="1">IFERROR(__xludf.DUMMYFUNCTION("IMPORTRANGE(H9096,""IDENTITAS UNIT!D9"")"),"#N/A")</f>
        <v>#N/A</v>
      </c>
      <c r="H9096" s="4" t="str">
        <v/>
      </c>
      <c r="I9096" s="4" t="str">
        <v/>
      </c>
    </row>
    <row r="9097" spans="5:9" ht="16.5" hidden="1">
      <c r="E9097" s="4" t="str">
        <v/>
      </c>
      <c r="F9097" s="102" t="str">
        <f ca="1">IFERROR(__xludf.DUMMYFUNCTION("IMPORTRANGE(H9097,""IDENTITAS UNIT!D9"")"),"#N/A")</f>
        <v>#N/A</v>
      </c>
      <c r="H9097" s="4" t="str">
        <v/>
      </c>
      <c r="I9097" s="4" t="str">
        <v/>
      </c>
    </row>
    <row r="9098" spans="5:9" ht="16.5" hidden="1">
      <c r="E9098" s="4" t="str">
        <v/>
      </c>
      <c r="F9098" s="102" t="str">
        <f ca="1">IFERROR(__xludf.DUMMYFUNCTION("IMPORTRANGE(H9098,""IDENTITAS UNIT!D9"")"),"#N/A")</f>
        <v>#N/A</v>
      </c>
      <c r="H9098" s="4" t="str">
        <v/>
      </c>
      <c r="I9098" s="4" t="str">
        <v/>
      </c>
    </row>
    <row r="9099" spans="5:9" ht="16.5" hidden="1">
      <c r="E9099" s="4" t="str">
        <v/>
      </c>
      <c r="F9099" s="102" t="str">
        <f ca="1">IFERROR(__xludf.DUMMYFUNCTION("IMPORTRANGE(H9099,""IDENTITAS UNIT!D9"")"),"#N/A")</f>
        <v>#N/A</v>
      </c>
      <c r="H9099" s="4" t="str">
        <v/>
      </c>
      <c r="I9099" s="4" t="str">
        <v/>
      </c>
    </row>
    <row r="9100" spans="5:9" ht="16.5" hidden="1">
      <c r="E9100" s="4" t="str">
        <v/>
      </c>
      <c r="F9100" s="102" t="str">
        <f ca="1">IFERROR(__xludf.DUMMYFUNCTION("IMPORTRANGE(H9100,""IDENTITAS UNIT!D9"")"),"#N/A")</f>
        <v>#N/A</v>
      </c>
      <c r="H9100" s="4" t="str">
        <v/>
      </c>
      <c r="I9100" s="4" t="str">
        <v/>
      </c>
    </row>
    <row r="9101" spans="5:9" ht="16.5" hidden="1">
      <c r="E9101" s="4" t="str">
        <v/>
      </c>
      <c r="F9101" s="102" t="str">
        <f ca="1">IFERROR(__xludf.DUMMYFUNCTION("IMPORTRANGE(H9101,""IDENTITAS UNIT!D9"")"),"#N/A")</f>
        <v>#N/A</v>
      </c>
      <c r="H9101" s="4" t="str">
        <v/>
      </c>
      <c r="I9101" s="4" t="str">
        <v/>
      </c>
    </row>
    <row r="9102" spans="5:9" ht="16.5" hidden="1">
      <c r="E9102" s="4" t="str">
        <v/>
      </c>
      <c r="F9102" s="102" t="str">
        <f ca="1">IFERROR(__xludf.DUMMYFUNCTION("IMPORTRANGE(H9102,""IDENTITAS UNIT!D9"")"),"#N/A")</f>
        <v>#N/A</v>
      </c>
      <c r="H9102" s="4" t="str">
        <v/>
      </c>
      <c r="I9102" s="4" t="str">
        <v/>
      </c>
    </row>
    <row r="9103" spans="5:9" ht="16.5" hidden="1">
      <c r="E9103" s="4" t="str">
        <v/>
      </c>
      <c r="F9103" s="102" t="str">
        <f ca="1">IFERROR(__xludf.DUMMYFUNCTION("IMPORTRANGE(H9103,""IDENTITAS UNIT!D9"")"),"#N/A")</f>
        <v>#N/A</v>
      </c>
      <c r="H9103" s="4" t="str">
        <v/>
      </c>
      <c r="I9103" s="4" t="str">
        <v/>
      </c>
    </row>
    <row r="9104" spans="5:9" ht="16.5" hidden="1">
      <c r="E9104" s="4" t="str">
        <v/>
      </c>
      <c r="F9104" s="102" t="str">
        <f ca="1">IFERROR(__xludf.DUMMYFUNCTION("IMPORTRANGE(H9104,""IDENTITAS UNIT!D9"")"),"#N/A")</f>
        <v>#N/A</v>
      </c>
      <c r="H9104" s="4" t="str">
        <v/>
      </c>
      <c r="I9104" s="4" t="str">
        <v/>
      </c>
    </row>
    <row r="9105" spans="5:9" ht="16.5" hidden="1">
      <c r="E9105" s="4" t="str">
        <v/>
      </c>
      <c r="F9105" s="102" t="str">
        <f ca="1">IFERROR(__xludf.DUMMYFUNCTION("IMPORTRANGE(H9105,""IDENTITAS UNIT!D9"")"),"#N/A")</f>
        <v>#N/A</v>
      </c>
      <c r="H9105" s="4" t="str">
        <v/>
      </c>
      <c r="I9105" s="4" t="str">
        <v/>
      </c>
    </row>
    <row r="9106" spans="5:9" ht="16.5" hidden="1">
      <c r="E9106" s="4" t="str">
        <v/>
      </c>
      <c r="F9106" s="102" t="str">
        <f ca="1">IFERROR(__xludf.DUMMYFUNCTION("IMPORTRANGE(H9106,""IDENTITAS UNIT!D9"")"),"#N/A")</f>
        <v>#N/A</v>
      </c>
      <c r="H9106" s="4" t="str">
        <v/>
      </c>
      <c r="I9106" s="4" t="str">
        <v/>
      </c>
    </row>
    <row r="9107" spans="5:9" ht="16.5" hidden="1">
      <c r="E9107" s="4" t="str">
        <v/>
      </c>
      <c r="F9107" s="102" t="str">
        <f ca="1">IFERROR(__xludf.DUMMYFUNCTION("IMPORTRANGE(H9107,""IDENTITAS UNIT!D9"")"),"#N/A")</f>
        <v>#N/A</v>
      </c>
      <c r="H9107" s="4" t="str">
        <v/>
      </c>
      <c r="I9107" s="4" t="str">
        <v/>
      </c>
    </row>
    <row r="9108" spans="5:9" ht="16.5" hidden="1">
      <c r="E9108" s="4" t="str">
        <v/>
      </c>
      <c r="F9108" s="102" t="str">
        <f ca="1">IFERROR(__xludf.DUMMYFUNCTION("IMPORTRANGE(H9108,""IDENTITAS UNIT!D9"")"),"#N/A")</f>
        <v>#N/A</v>
      </c>
      <c r="H9108" s="4" t="str">
        <v/>
      </c>
      <c r="I9108" s="4" t="str">
        <v/>
      </c>
    </row>
    <row r="9109" spans="5:9" ht="16.5" hidden="1">
      <c r="E9109" s="4" t="str">
        <v/>
      </c>
      <c r="F9109" s="102" t="str">
        <f ca="1">IFERROR(__xludf.DUMMYFUNCTION("IMPORTRANGE(H9109,""IDENTITAS UNIT!D9"")"),"#N/A")</f>
        <v>#N/A</v>
      </c>
      <c r="H9109" s="4" t="str">
        <v/>
      </c>
      <c r="I9109" s="4" t="str">
        <v/>
      </c>
    </row>
    <row r="9110" spans="5:9" ht="16.5" hidden="1">
      <c r="E9110" s="4" t="str">
        <v/>
      </c>
      <c r="F9110" s="102" t="str">
        <f ca="1">IFERROR(__xludf.DUMMYFUNCTION("IMPORTRANGE(H9110,""IDENTITAS UNIT!D9"")"),"#N/A")</f>
        <v>#N/A</v>
      </c>
      <c r="H9110" s="4" t="str">
        <v/>
      </c>
      <c r="I9110" s="4" t="str">
        <v/>
      </c>
    </row>
    <row r="9111" spans="5:9" ht="16.5" hidden="1">
      <c r="E9111" s="4" t="str">
        <v/>
      </c>
      <c r="F9111" s="102" t="str">
        <f ca="1">IFERROR(__xludf.DUMMYFUNCTION("IMPORTRANGE(H9111,""IDENTITAS UNIT!D9"")"),"#N/A")</f>
        <v>#N/A</v>
      </c>
      <c r="H9111" s="4" t="str">
        <v/>
      </c>
      <c r="I9111" s="4" t="str">
        <v/>
      </c>
    </row>
    <row r="9112" spans="5:9" ht="16.5" hidden="1">
      <c r="E9112" s="4" t="str">
        <v/>
      </c>
      <c r="F9112" s="102" t="str">
        <f ca="1">IFERROR(__xludf.DUMMYFUNCTION("IMPORTRANGE(H9112,""IDENTITAS UNIT!D9"")"),"#N/A")</f>
        <v>#N/A</v>
      </c>
      <c r="H9112" s="4" t="str">
        <v/>
      </c>
      <c r="I9112" s="4" t="str">
        <v/>
      </c>
    </row>
    <row r="9113" spans="5:9" ht="16.5" hidden="1">
      <c r="E9113" s="4" t="str">
        <v/>
      </c>
      <c r="F9113" s="102" t="str">
        <f ca="1">IFERROR(__xludf.DUMMYFUNCTION("IMPORTRANGE(H9113,""IDENTITAS UNIT!D9"")"),"#N/A")</f>
        <v>#N/A</v>
      </c>
      <c r="H9113" s="4" t="str">
        <v/>
      </c>
      <c r="I9113" s="4" t="str">
        <v/>
      </c>
    </row>
    <row r="9114" spans="5:9" ht="16.5" hidden="1">
      <c r="E9114" s="4" t="str">
        <v/>
      </c>
      <c r="F9114" s="102" t="str">
        <f ca="1">IFERROR(__xludf.DUMMYFUNCTION("IMPORTRANGE(H9114,""IDENTITAS UNIT!D9"")"),"#N/A")</f>
        <v>#N/A</v>
      </c>
      <c r="H9114" s="4" t="str">
        <v/>
      </c>
      <c r="I9114" s="4" t="str">
        <v/>
      </c>
    </row>
    <row r="9115" spans="5:9" ht="16.5" hidden="1">
      <c r="E9115" s="4" t="str">
        <v/>
      </c>
      <c r="F9115" s="102" t="str">
        <f ca="1">IFERROR(__xludf.DUMMYFUNCTION("IMPORTRANGE(H9115,""IDENTITAS UNIT!D9"")"),"#N/A")</f>
        <v>#N/A</v>
      </c>
      <c r="H9115" s="4" t="str">
        <v/>
      </c>
      <c r="I9115" s="4" t="str">
        <v/>
      </c>
    </row>
    <row r="9116" spans="5:9" ht="16.5" hidden="1">
      <c r="E9116" s="4" t="str">
        <v/>
      </c>
      <c r="F9116" s="102" t="str">
        <f ca="1">IFERROR(__xludf.DUMMYFUNCTION("IMPORTRANGE(H9116,""IDENTITAS UNIT!D9"")"),"#N/A")</f>
        <v>#N/A</v>
      </c>
      <c r="H9116" s="4" t="str">
        <v/>
      </c>
      <c r="I9116" s="4" t="str">
        <v/>
      </c>
    </row>
    <row r="9117" spans="5:9" ht="16.5" hidden="1">
      <c r="E9117" s="4" t="str">
        <v/>
      </c>
      <c r="F9117" s="102" t="str">
        <f ca="1">IFERROR(__xludf.DUMMYFUNCTION("IMPORTRANGE(H9117,""IDENTITAS UNIT!D9"")"),"#N/A")</f>
        <v>#N/A</v>
      </c>
      <c r="H9117" s="4" t="str">
        <v/>
      </c>
      <c r="I9117" s="4" t="str">
        <v/>
      </c>
    </row>
    <row r="9118" spans="5:9" ht="16.5" hidden="1">
      <c r="E9118" s="4" t="str">
        <v/>
      </c>
      <c r="F9118" s="102" t="str">
        <f ca="1">IFERROR(__xludf.DUMMYFUNCTION("IMPORTRANGE(H9118,""IDENTITAS UNIT!D9"")"),"#N/A")</f>
        <v>#N/A</v>
      </c>
      <c r="H9118" s="4" t="str">
        <v/>
      </c>
      <c r="I9118" s="4" t="str">
        <v/>
      </c>
    </row>
    <row r="9119" spans="5:9" ht="16.5" hidden="1">
      <c r="E9119" s="4" t="str">
        <v/>
      </c>
      <c r="F9119" s="102" t="str">
        <f ca="1">IFERROR(__xludf.DUMMYFUNCTION("IMPORTRANGE(H9119,""IDENTITAS UNIT!D9"")"),"#N/A")</f>
        <v>#N/A</v>
      </c>
      <c r="H9119" s="4" t="str">
        <v/>
      </c>
      <c r="I9119" s="4" t="str">
        <v/>
      </c>
    </row>
    <row r="9120" spans="5:9" ht="16.5" hidden="1">
      <c r="E9120" s="4" t="str">
        <v/>
      </c>
      <c r="F9120" s="102" t="str">
        <f ca="1">IFERROR(__xludf.DUMMYFUNCTION("IMPORTRANGE(H9120,""IDENTITAS UNIT!D9"")"),"#N/A")</f>
        <v>#N/A</v>
      </c>
      <c r="H9120" s="4" t="str">
        <v/>
      </c>
      <c r="I9120" s="4" t="str">
        <v/>
      </c>
    </row>
    <row r="9121" spans="5:9" ht="16.5" hidden="1">
      <c r="E9121" s="4" t="str">
        <v/>
      </c>
      <c r="F9121" s="102" t="str">
        <f ca="1">IFERROR(__xludf.DUMMYFUNCTION("IMPORTRANGE(H9121,""IDENTITAS UNIT!D9"")"),"#N/A")</f>
        <v>#N/A</v>
      </c>
      <c r="H9121" s="4" t="str">
        <v/>
      </c>
      <c r="I9121" s="4" t="str">
        <v/>
      </c>
    </row>
    <row r="9122" spans="5:9" ht="16.5" hidden="1">
      <c r="E9122" s="4" t="str">
        <v/>
      </c>
      <c r="F9122" s="102" t="str">
        <f ca="1">IFERROR(__xludf.DUMMYFUNCTION("IMPORTRANGE(H9122,""IDENTITAS UNIT!D9"")"),"#N/A")</f>
        <v>#N/A</v>
      </c>
      <c r="H9122" s="4" t="str">
        <v/>
      </c>
      <c r="I9122" s="4" t="str">
        <v/>
      </c>
    </row>
    <row r="9123" spans="5:9" ht="16.5" hidden="1">
      <c r="E9123" s="4" t="str">
        <v/>
      </c>
      <c r="F9123" s="102" t="str">
        <f ca="1">IFERROR(__xludf.DUMMYFUNCTION("IMPORTRANGE(H9123,""IDENTITAS UNIT!D9"")"),"#N/A")</f>
        <v>#N/A</v>
      </c>
      <c r="H9123" s="4" t="str">
        <v/>
      </c>
      <c r="I9123" s="4" t="str">
        <v/>
      </c>
    </row>
    <row r="9124" spans="5:9" ht="16.5" hidden="1">
      <c r="E9124" s="4" t="str">
        <v/>
      </c>
      <c r="F9124" s="102" t="str">
        <f ca="1">IFERROR(__xludf.DUMMYFUNCTION("IMPORTRANGE(H9124,""IDENTITAS UNIT!D9"")"),"#N/A")</f>
        <v>#N/A</v>
      </c>
      <c r="H9124" s="4" t="str">
        <v/>
      </c>
      <c r="I9124" s="4" t="str">
        <v/>
      </c>
    </row>
    <row r="9125" spans="5:9" ht="16.5" hidden="1">
      <c r="E9125" s="4" t="str">
        <v/>
      </c>
      <c r="F9125" s="102" t="str">
        <f ca="1">IFERROR(__xludf.DUMMYFUNCTION("IMPORTRANGE(H9125,""IDENTITAS UNIT!D9"")"),"#N/A")</f>
        <v>#N/A</v>
      </c>
      <c r="H9125" s="4" t="str">
        <v/>
      </c>
      <c r="I9125" s="4" t="str">
        <v/>
      </c>
    </row>
    <row r="9126" spans="5:9" ht="16.5" hidden="1">
      <c r="E9126" s="4" t="str">
        <v/>
      </c>
      <c r="F9126" s="102" t="str">
        <f ca="1">IFERROR(__xludf.DUMMYFUNCTION("IMPORTRANGE(H9126,""IDENTITAS UNIT!D9"")"),"#N/A")</f>
        <v>#N/A</v>
      </c>
      <c r="H9126" s="4" t="str">
        <v/>
      </c>
      <c r="I9126" s="4" t="str">
        <v/>
      </c>
    </row>
    <row r="9127" spans="5:9" ht="16.5" hidden="1">
      <c r="E9127" s="4" t="str">
        <v/>
      </c>
      <c r="F9127" s="102" t="str">
        <f ca="1">IFERROR(__xludf.DUMMYFUNCTION("IMPORTRANGE(H9127,""IDENTITAS UNIT!D9"")"),"#N/A")</f>
        <v>#N/A</v>
      </c>
      <c r="H9127" s="4" t="str">
        <v/>
      </c>
      <c r="I9127" s="4" t="str">
        <v/>
      </c>
    </row>
    <row r="9128" spans="5:9" ht="16.5" hidden="1">
      <c r="E9128" s="4" t="str">
        <v/>
      </c>
      <c r="F9128" s="102" t="str">
        <f ca="1">IFERROR(__xludf.DUMMYFUNCTION("IMPORTRANGE(H9128,""IDENTITAS UNIT!D9"")"),"#N/A")</f>
        <v>#N/A</v>
      </c>
      <c r="H9128" s="4" t="str">
        <v/>
      </c>
      <c r="I9128" s="4" t="str">
        <v/>
      </c>
    </row>
    <row r="9129" spans="5:9" ht="16.5" hidden="1">
      <c r="E9129" s="4" t="str">
        <v/>
      </c>
      <c r="F9129" s="102" t="str">
        <f ca="1">IFERROR(__xludf.DUMMYFUNCTION("IMPORTRANGE(H9129,""IDENTITAS UNIT!D9"")"),"#N/A")</f>
        <v>#N/A</v>
      </c>
      <c r="H9129" s="4" t="str">
        <v/>
      </c>
      <c r="I9129" s="4" t="str">
        <v/>
      </c>
    </row>
    <row r="9130" spans="5:9" ht="16.5" hidden="1">
      <c r="E9130" s="4" t="str">
        <v/>
      </c>
      <c r="F9130" s="102" t="str">
        <f ca="1">IFERROR(__xludf.DUMMYFUNCTION("IMPORTRANGE(H9130,""IDENTITAS UNIT!D9"")"),"#N/A")</f>
        <v>#N/A</v>
      </c>
      <c r="H9130" s="4" t="str">
        <v/>
      </c>
      <c r="I9130" s="4" t="str">
        <v/>
      </c>
    </row>
    <row r="9131" spans="5:9" ht="16.5" hidden="1">
      <c r="E9131" s="4" t="str">
        <v/>
      </c>
      <c r="F9131" s="102" t="str">
        <f ca="1">IFERROR(__xludf.DUMMYFUNCTION("IMPORTRANGE(H9131,""IDENTITAS UNIT!D9"")"),"#N/A")</f>
        <v>#N/A</v>
      </c>
      <c r="H9131" s="4" t="str">
        <v/>
      </c>
      <c r="I9131" s="4" t="str">
        <v/>
      </c>
    </row>
    <row r="9132" spans="5:9" ht="16.5" hidden="1">
      <c r="E9132" s="4" t="str">
        <v/>
      </c>
      <c r="F9132" s="102" t="str">
        <f ca="1">IFERROR(__xludf.DUMMYFUNCTION("IMPORTRANGE(H9132,""IDENTITAS UNIT!D9"")"),"#N/A")</f>
        <v>#N/A</v>
      </c>
      <c r="H9132" s="4" t="str">
        <v/>
      </c>
      <c r="I9132" s="4" t="str">
        <v/>
      </c>
    </row>
    <row r="9133" spans="5:9" ht="16.5" hidden="1">
      <c r="E9133" s="4" t="str">
        <v/>
      </c>
      <c r="F9133" s="102" t="str">
        <f ca="1">IFERROR(__xludf.DUMMYFUNCTION("IMPORTRANGE(H9133,""IDENTITAS UNIT!D9"")"),"#N/A")</f>
        <v>#N/A</v>
      </c>
      <c r="H9133" s="4" t="str">
        <v/>
      </c>
      <c r="I9133" s="4" t="str">
        <v/>
      </c>
    </row>
    <row r="9134" spans="5:9" ht="16.5" hidden="1">
      <c r="E9134" s="4" t="str">
        <v/>
      </c>
      <c r="F9134" s="102" t="str">
        <f ca="1">IFERROR(__xludf.DUMMYFUNCTION("IMPORTRANGE(H9134,""IDENTITAS UNIT!D9"")"),"#N/A")</f>
        <v>#N/A</v>
      </c>
      <c r="H9134" s="4" t="str">
        <v/>
      </c>
      <c r="I9134" s="4" t="str">
        <v/>
      </c>
    </row>
    <row r="9135" spans="5:9" ht="16.5" hidden="1">
      <c r="E9135" s="4" t="str">
        <v/>
      </c>
      <c r="F9135" s="102" t="str">
        <f ca="1">IFERROR(__xludf.DUMMYFUNCTION("IMPORTRANGE(H9135,""IDENTITAS UNIT!D9"")"),"#N/A")</f>
        <v>#N/A</v>
      </c>
      <c r="H9135" s="4" t="str">
        <v/>
      </c>
      <c r="I9135" s="4" t="str">
        <v/>
      </c>
    </row>
    <row r="9136" spans="5:9" ht="16.5" hidden="1">
      <c r="E9136" s="4" t="str">
        <v/>
      </c>
      <c r="F9136" s="102" t="str">
        <f ca="1">IFERROR(__xludf.DUMMYFUNCTION("IMPORTRANGE(H9136,""IDENTITAS UNIT!D9"")"),"#N/A")</f>
        <v>#N/A</v>
      </c>
      <c r="H9136" s="4" t="str">
        <v/>
      </c>
      <c r="I9136" s="4" t="str">
        <v/>
      </c>
    </row>
    <row r="9137" spans="5:9" ht="16.5" hidden="1">
      <c r="E9137" s="4" t="str">
        <v/>
      </c>
      <c r="F9137" s="102" t="str">
        <f ca="1">IFERROR(__xludf.DUMMYFUNCTION("IMPORTRANGE(H9137,""IDENTITAS UNIT!D9"")"),"#N/A")</f>
        <v>#N/A</v>
      </c>
      <c r="H9137" s="4" t="str">
        <v/>
      </c>
      <c r="I9137" s="4" t="str">
        <v/>
      </c>
    </row>
    <row r="9138" spans="5:9" ht="16.5" hidden="1">
      <c r="E9138" s="4" t="str">
        <v/>
      </c>
      <c r="F9138" s="102" t="str">
        <f ca="1">IFERROR(__xludf.DUMMYFUNCTION("IMPORTRANGE(H9138,""IDENTITAS UNIT!D9"")"),"#N/A")</f>
        <v>#N/A</v>
      </c>
      <c r="H9138" s="4" t="str">
        <v/>
      </c>
      <c r="I9138" s="4" t="str">
        <v/>
      </c>
    </row>
    <row r="9139" spans="5:9" ht="16.5" hidden="1">
      <c r="E9139" s="4" t="str">
        <v/>
      </c>
      <c r="F9139" s="102" t="str">
        <f ca="1">IFERROR(__xludf.DUMMYFUNCTION("IMPORTRANGE(H9139,""IDENTITAS UNIT!D9"")"),"#N/A")</f>
        <v>#N/A</v>
      </c>
      <c r="H9139" s="4" t="str">
        <v/>
      </c>
      <c r="I9139" s="4" t="str">
        <v/>
      </c>
    </row>
    <row r="9140" spans="5:9" ht="16.5" hidden="1">
      <c r="E9140" s="4" t="str">
        <v/>
      </c>
      <c r="F9140" s="102" t="str">
        <f ca="1">IFERROR(__xludf.DUMMYFUNCTION("IMPORTRANGE(H9140,""IDENTITAS UNIT!D9"")"),"#N/A")</f>
        <v>#N/A</v>
      </c>
      <c r="H9140" s="4" t="str">
        <v/>
      </c>
      <c r="I9140" s="4" t="str">
        <v/>
      </c>
    </row>
    <row r="9141" spans="5:9" ht="16.5" hidden="1">
      <c r="E9141" s="4" t="str">
        <v/>
      </c>
      <c r="F9141" s="102" t="str">
        <f ca="1">IFERROR(__xludf.DUMMYFUNCTION("IMPORTRANGE(H9141,""IDENTITAS UNIT!D9"")"),"#N/A")</f>
        <v>#N/A</v>
      </c>
      <c r="H9141" s="4" t="str">
        <v/>
      </c>
      <c r="I9141" s="4" t="str">
        <v/>
      </c>
    </row>
    <row r="9142" spans="5:9" ht="16.5" hidden="1">
      <c r="E9142" s="4" t="str">
        <v/>
      </c>
      <c r="F9142" s="102" t="str">
        <f ca="1">IFERROR(__xludf.DUMMYFUNCTION("IMPORTRANGE(H9142,""IDENTITAS UNIT!D9"")"),"#N/A")</f>
        <v>#N/A</v>
      </c>
      <c r="H9142" s="4" t="str">
        <v/>
      </c>
      <c r="I9142" s="4" t="str">
        <v/>
      </c>
    </row>
    <row r="9143" spans="5:9" ht="16.5" hidden="1">
      <c r="E9143" s="4" t="str">
        <v/>
      </c>
      <c r="F9143" s="102" t="str">
        <f ca="1">IFERROR(__xludf.DUMMYFUNCTION("IMPORTRANGE(H9143,""IDENTITAS UNIT!D9"")"),"#N/A")</f>
        <v>#N/A</v>
      </c>
      <c r="H9143" s="4" t="str">
        <v/>
      </c>
      <c r="I9143" s="4" t="str">
        <v/>
      </c>
    </row>
    <row r="9144" spans="5:9" ht="16.5" hidden="1">
      <c r="E9144" s="4" t="str">
        <v/>
      </c>
      <c r="F9144" s="102" t="str">
        <f ca="1">IFERROR(__xludf.DUMMYFUNCTION("IMPORTRANGE(H9144,""IDENTITAS UNIT!D9"")"),"#N/A")</f>
        <v>#N/A</v>
      </c>
      <c r="H9144" s="4" t="str">
        <v/>
      </c>
      <c r="I9144" s="4" t="str">
        <v/>
      </c>
    </row>
    <row r="9145" spans="5:9" ht="16.5" hidden="1">
      <c r="E9145" s="4" t="str">
        <v/>
      </c>
      <c r="F9145" s="102" t="str">
        <f ca="1">IFERROR(__xludf.DUMMYFUNCTION("IMPORTRANGE(H9145,""IDENTITAS UNIT!D9"")"),"#N/A")</f>
        <v>#N/A</v>
      </c>
      <c r="H9145" s="4" t="str">
        <v/>
      </c>
      <c r="I9145" s="4" t="str">
        <v/>
      </c>
    </row>
    <row r="9146" spans="5:9" ht="16.5" hidden="1">
      <c r="E9146" s="4" t="str">
        <v/>
      </c>
      <c r="F9146" s="102" t="str">
        <f ca="1">IFERROR(__xludf.DUMMYFUNCTION("IMPORTRANGE(H9146,""IDENTITAS UNIT!D9"")"),"#N/A")</f>
        <v>#N/A</v>
      </c>
      <c r="H9146" s="4" t="str">
        <v/>
      </c>
      <c r="I9146" s="4" t="str">
        <v/>
      </c>
    </row>
    <row r="9147" spans="5:9" ht="16.5" hidden="1">
      <c r="E9147" s="4" t="str">
        <v/>
      </c>
      <c r="F9147" s="102" t="str">
        <f ca="1">IFERROR(__xludf.DUMMYFUNCTION("IMPORTRANGE(H9147,""IDENTITAS UNIT!D9"")"),"#N/A")</f>
        <v>#N/A</v>
      </c>
      <c r="H9147" s="4" t="str">
        <v/>
      </c>
      <c r="I9147" s="4" t="str">
        <v/>
      </c>
    </row>
    <row r="9148" spans="5:9" ht="16.5" hidden="1">
      <c r="E9148" s="4" t="str">
        <v/>
      </c>
      <c r="F9148" s="102" t="str">
        <f ca="1">IFERROR(__xludf.DUMMYFUNCTION("IMPORTRANGE(H9148,""IDENTITAS UNIT!D9"")"),"#N/A")</f>
        <v>#N/A</v>
      </c>
      <c r="H9148" s="4" t="str">
        <v/>
      </c>
      <c r="I9148" s="4" t="str">
        <v/>
      </c>
    </row>
    <row r="9149" spans="5:9" ht="16.5" hidden="1">
      <c r="E9149" s="4" t="str">
        <v/>
      </c>
      <c r="F9149" s="102" t="str">
        <f ca="1">IFERROR(__xludf.DUMMYFUNCTION("IMPORTRANGE(H9149,""IDENTITAS UNIT!D9"")"),"#N/A")</f>
        <v>#N/A</v>
      </c>
      <c r="H9149" s="4" t="str">
        <v/>
      </c>
      <c r="I9149" s="4" t="str">
        <v/>
      </c>
    </row>
    <row r="9150" spans="5:9" ht="16.5" hidden="1">
      <c r="E9150" s="4" t="str">
        <v/>
      </c>
      <c r="F9150" s="102" t="str">
        <f ca="1">IFERROR(__xludf.DUMMYFUNCTION("IMPORTRANGE(H9150,""IDENTITAS UNIT!D9"")"),"#N/A")</f>
        <v>#N/A</v>
      </c>
      <c r="H9150" s="4" t="str">
        <v/>
      </c>
      <c r="I9150" s="4" t="str">
        <v/>
      </c>
    </row>
    <row r="9151" spans="5:9" ht="16.5" hidden="1">
      <c r="E9151" s="4" t="str">
        <v/>
      </c>
      <c r="F9151" s="102" t="str">
        <f ca="1">IFERROR(__xludf.DUMMYFUNCTION("IMPORTRANGE(H9151,""IDENTITAS UNIT!D9"")"),"#N/A")</f>
        <v>#N/A</v>
      </c>
      <c r="H9151" s="4" t="str">
        <v/>
      </c>
      <c r="I9151" s="4" t="str">
        <v/>
      </c>
    </row>
    <row r="9152" spans="5:9" ht="16.5" hidden="1">
      <c r="E9152" s="4" t="str">
        <v/>
      </c>
      <c r="F9152" s="102" t="str">
        <f ca="1">IFERROR(__xludf.DUMMYFUNCTION("IMPORTRANGE(H9152,""IDENTITAS UNIT!D9"")"),"#N/A")</f>
        <v>#N/A</v>
      </c>
      <c r="H9152" s="4" t="str">
        <v/>
      </c>
      <c r="I9152" s="4" t="str">
        <v/>
      </c>
    </row>
    <row r="9153" spans="5:9" ht="16.5" hidden="1">
      <c r="E9153" s="4" t="str">
        <v/>
      </c>
      <c r="F9153" s="102" t="str">
        <f ca="1">IFERROR(__xludf.DUMMYFUNCTION("IMPORTRANGE(H9153,""IDENTITAS UNIT!D9"")"),"#N/A")</f>
        <v>#N/A</v>
      </c>
      <c r="H9153" s="4" t="str">
        <v/>
      </c>
      <c r="I9153" s="4" t="str">
        <v/>
      </c>
    </row>
    <row r="9154" spans="5:9" ht="16.5" hidden="1">
      <c r="E9154" s="4" t="str">
        <v/>
      </c>
      <c r="F9154" s="102" t="str">
        <f ca="1">IFERROR(__xludf.DUMMYFUNCTION("IMPORTRANGE(H9154,""IDENTITAS UNIT!D9"")"),"#N/A")</f>
        <v>#N/A</v>
      </c>
      <c r="H9154" s="4" t="str">
        <v/>
      </c>
      <c r="I9154" s="4" t="str">
        <v/>
      </c>
    </row>
    <row r="9155" spans="5:9" ht="16.5" hidden="1">
      <c r="E9155" s="4" t="str">
        <v/>
      </c>
      <c r="F9155" s="102" t="str">
        <f ca="1">IFERROR(__xludf.DUMMYFUNCTION("IMPORTRANGE(H9155,""IDENTITAS UNIT!D9"")"),"#N/A")</f>
        <v>#N/A</v>
      </c>
      <c r="H9155" s="4" t="str">
        <v/>
      </c>
      <c r="I9155" s="4" t="str">
        <v/>
      </c>
    </row>
    <row r="9156" spans="5:9" ht="16.5" hidden="1">
      <c r="E9156" s="4" t="str">
        <v/>
      </c>
      <c r="F9156" s="102" t="str">
        <f ca="1">IFERROR(__xludf.DUMMYFUNCTION("IMPORTRANGE(H9156,""IDENTITAS UNIT!D9"")"),"#N/A")</f>
        <v>#N/A</v>
      </c>
      <c r="H9156" s="4" t="str">
        <v/>
      </c>
      <c r="I9156" s="4" t="str">
        <v/>
      </c>
    </row>
    <row r="9157" spans="5:9" ht="16.5" hidden="1">
      <c r="E9157" s="4" t="str">
        <v/>
      </c>
      <c r="F9157" s="102" t="str">
        <f ca="1">IFERROR(__xludf.DUMMYFUNCTION("IMPORTRANGE(H9157,""IDENTITAS UNIT!D9"")"),"#N/A")</f>
        <v>#N/A</v>
      </c>
      <c r="H9157" s="4" t="str">
        <v/>
      </c>
      <c r="I9157" s="4" t="str">
        <v/>
      </c>
    </row>
    <row r="9158" spans="5:9" ht="16.5" hidden="1">
      <c r="E9158" s="4" t="str">
        <v/>
      </c>
      <c r="F9158" s="102" t="str">
        <f ca="1">IFERROR(__xludf.DUMMYFUNCTION("IMPORTRANGE(H9158,""IDENTITAS UNIT!D9"")"),"#N/A")</f>
        <v>#N/A</v>
      </c>
      <c r="H9158" s="4" t="str">
        <v/>
      </c>
      <c r="I9158" s="4" t="str">
        <v/>
      </c>
    </row>
    <row r="9159" spans="5:9" ht="16.5" hidden="1">
      <c r="E9159" s="4" t="str">
        <v/>
      </c>
      <c r="F9159" s="102" t="str">
        <f ca="1">IFERROR(__xludf.DUMMYFUNCTION("IMPORTRANGE(H9159,""IDENTITAS UNIT!D9"")"),"#N/A")</f>
        <v>#N/A</v>
      </c>
      <c r="H9159" s="4" t="str">
        <v/>
      </c>
      <c r="I9159" s="4" t="str">
        <v/>
      </c>
    </row>
    <row r="9160" spans="5:9" ht="16.5" hidden="1">
      <c r="E9160" s="4" t="str">
        <v/>
      </c>
      <c r="F9160" s="102" t="str">
        <f ca="1">IFERROR(__xludf.DUMMYFUNCTION("IMPORTRANGE(H9160,""IDENTITAS UNIT!D9"")"),"#N/A")</f>
        <v>#N/A</v>
      </c>
      <c r="H9160" s="4" t="str">
        <v/>
      </c>
      <c r="I9160" s="4" t="str">
        <v/>
      </c>
    </row>
    <row r="9161" spans="5:9" ht="16.5" hidden="1">
      <c r="E9161" s="4" t="str">
        <v/>
      </c>
      <c r="F9161" s="102" t="str">
        <f ca="1">IFERROR(__xludf.DUMMYFUNCTION("IMPORTRANGE(H9161,""IDENTITAS UNIT!D9"")"),"#N/A")</f>
        <v>#N/A</v>
      </c>
      <c r="H9161" s="4" t="str">
        <v/>
      </c>
      <c r="I9161" s="4" t="str">
        <v/>
      </c>
    </row>
    <row r="9162" spans="5:9" ht="16.5" hidden="1">
      <c r="E9162" s="4" t="str">
        <v/>
      </c>
      <c r="F9162" s="102" t="str">
        <f ca="1">IFERROR(__xludf.DUMMYFUNCTION("IMPORTRANGE(H9162,""IDENTITAS UNIT!D9"")"),"#N/A")</f>
        <v>#N/A</v>
      </c>
      <c r="H9162" s="4" t="str">
        <v/>
      </c>
      <c r="I9162" s="4" t="str">
        <v/>
      </c>
    </row>
    <row r="9163" spans="5:9" ht="16.5" hidden="1">
      <c r="E9163" s="4" t="str">
        <v/>
      </c>
      <c r="F9163" s="102" t="str">
        <f ca="1">IFERROR(__xludf.DUMMYFUNCTION("IMPORTRANGE(H9163,""IDENTITAS UNIT!D9"")"),"#N/A")</f>
        <v>#N/A</v>
      </c>
      <c r="H9163" s="4" t="str">
        <v/>
      </c>
      <c r="I9163" s="4" t="str">
        <v/>
      </c>
    </row>
    <row r="9164" spans="5:9" ht="16.5" hidden="1">
      <c r="E9164" s="4" t="str">
        <v/>
      </c>
      <c r="F9164" s="102" t="str">
        <f ca="1">IFERROR(__xludf.DUMMYFUNCTION("IMPORTRANGE(H9164,""IDENTITAS UNIT!D9"")"),"#N/A")</f>
        <v>#N/A</v>
      </c>
      <c r="H9164" s="4" t="str">
        <v/>
      </c>
      <c r="I9164" s="4" t="str">
        <v/>
      </c>
    </row>
    <row r="9165" spans="5:9" ht="16.5" hidden="1">
      <c r="E9165" s="4" t="str">
        <v/>
      </c>
      <c r="F9165" s="102" t="str">
        <f ca="1">IFERROR(__xludf.DUMMYFUNCTION("IMPORTRANGE(H9165,""IDENTITAS UNIT!D9"")"),"#N/A")</f>
        <v>#N/A</v>
      </c>
      <c r="H9165" s="4" t="str">
        <v/>
      </c>
      <c r="I9165" s="4" t="str">
        <v/>
      </c>
    </row>
    <row r="9166" spans="5:9" ht="16.5" hidden="1">
      <c r="E9166" s="4" t="str">
        <v/>
      </c>
      <c r="F9166" s="102" t="str">
        <f ca="1">IFERROR(__xludf.DUMMYFUNCTION("IMPORTRANGE(H9166,""IDENTITAS UNIT!D9"")"),"#N/A")</f>
        <v>#N/A</v>
      </c>
      <c r="H9166" s="4" t="str">
        <v/>
      </c>
      <c r="I9166" s="4" t="str">
        <v/>
      </c>
    </row>
    <row r="9167" spans="5:9" ht="16.5" hidden="1">
      <c r="E9167" s="4" t="str">
        <v/>
      </c>
      <c r="F9167" s="102" t="str">
        <f ca="1">IFERROR(__xludf.DUMMYFUNCTION("IMPORTRANGE(H9167,""IDENTITAS UNIT!D9"")"),"#N/A")</f>
        <v>#N/A</v>
      </c>
      <c r="H9167" s="4" t="str">
        <v/>
      </c>
      <c r="I9167" s="4" t="str">
        <v/>
      </c>
    </row>
    <row r="9168" spans="5:9" ht="16.5" hidden="1">
      <c r="E9168" s="4" t="str">
        <v/>
      </c>
      <c r="F9168" s="102" t="str">
        <f ca="1">IFERROR(__xludf.DUMMYFUNCTION("IMPORTRANGE(H9168,""IDENTITAS UNIT!D9"")"),"#N/A")</f>
        <v>#N/A</v>
      </c>
      <c r="H9168" s="4" t="str">
        <v/>
      </c>
      <c r="I9168" s="4" t="str">
        <v/>
      </c>
    </row>
    <row r="9169" spans="5:9" ht="16.5" hidden="1">
      <c r="E9169" s="4" t="str">
        <v/>
      </c>
      <c r="F9169" s="102" t="str">
        <f ca="1">IFERROR(__xludf.DUMMYFUNCTION("IMPORTRANGE(H9169,""IDENTITAS UNIT!D9"")"),"#N/A")</f>
        <v>#N/A</v>
      </c>
      <c r="H9169" s="4" t="str">
        <v/>
      </c>
      <c r="I9169" s="4" t="str">
        <v/>
      </c>
    </row>
    <row r="9170" spans="5:9" ht="16.5" hidden="1">
      <c r="E9170" s="4" t="str">
        <v/>
      </c>
      <c r="F9170" s="102" t="str">
        <f ca="1">IFERROR(__xludf.DUMMYFUNCTION("IMPORTRANGE(H9170,""IDENTITAS UNIT!D9"")"),"#N/A")</f>
        <v>#N/A</v>
      </c>
      <c r="H9170" s="4" t="str">
        <v/>
      </c>
      <c r="I9170" s="4" t="str">
        <v/>
      </c>
    </row>
    <row r="9171" spans="5:9" ht="16.5" hidden="1">
      <c r="E9171" s="4" t="str">
        <v/>
      </c>
      <c r="F9171" s="102" t="str">
        <f ca="1">IFERROR(__xludf.DUMMYFUNCTION("IMPORTRANGE(H9171,""IDENTITAS UNIT!D9"")"),"#N/A")</f>
        <v>#N/A</v>
      </c>
      <c r="H9171" s="4" t="str">
        <v/>
      </c>
      <c r="I9171" s="4" t="str">
        <v/>
      </c>
    </row>
    <row r="9172" spans="5:9" ht="16.5" hidden="1">
      <c r="E9172" s="4" t="str">
        <v/>
      </c>
      <c r="F9172" s="102" t="str">
        <f ca="1">IFERROR(__xludf.DUMMYFUNCTION("IMPORTRANGE(H9172,""IDENTITAS UNIT!D9"")"),"#N/A")</f>
        <v>#N/A</v>
      </c>
      <c r="H9172" s="4" t="str">
        <v/>
      </c>
      <c r="I9172" s="4" t="str">
        <v/>
      </c>
    </row>
    <row r="9173" spans="5:9" ht="16.5" hidden="1">
      <c r="E9173" s="4" t="str">
        <v/>
      </c>
      <c r="F9173" s="102" t="str">
        <f ca="1">IFERROR(__xludf.DUMMYFUNCTION("IMPORTRANGE(H9173,""IDENTITAS UNIT!D9"")"),"#N/A")</f>
        <v>#N/A</v>
      </c>
      <c r="H9173" s="4" t="str">
        <v/>
      </c>
      <c r="I9173" s="4" t="str">
        <v/>
      </c>
    </row>
    <row r="9174" spans="5:9" ht="16.5" hidden="1">
      <c r="E9174" s="4" t="str">
        <v/>
      </c>
      <c r="F9174" s="102" t="str">
        <f ca="1">IFERROR(__xludf.DUMMYFUNCTION("IMPORTRANGE(H9174,""IDENTITAS UNIT!D9"")"),"#N/A")</f>
        <v>#N/A</v>
      </c>
      <c r="H9174" s="4" t="str">
        <v/>
      </c>
      <c r="I9174" s="4" t="str">
        <v/>
      </c>
    </row>
    <row r="9175" spans="5:9" ht="16.5" hidden="1">
      <c r="E9175" s="4" t="str">
        <v/>
      </c>
      <c r="F9175" s="102" t="str">
        <f ca="1">IFERROR(__xludf.DUMMYFUNCTION("IMPORTRANGE(H9175,""IDENTITAS UNIT!D9"")"),"#N/A")</f>
        <v>#N/A</v>
      </c>
      <c r="H9175" s="4" t="str">
        <v/>
      </c>
      <c r="I9175" s="4" t="str">
        <v/>
      </c>
    </row>
    <row r="9176" spans="5:9" ht="16.5" hidden="1">
      <c r="E9176" s="4" t="str">
        <v/>
      </c>
      <c r="F9176" s="102" t="str">
        <f ca="1">IFERROR(__xludf.DUMMYFUNCTION("IMPORTRANGE(H9176,""IDENTITAS UNIT!D9"")"),"#N/A")</f>
        <v>#N/A</v>
      </c>
      <c r="H9176" s="4" t="str">
        <v/>
      </c>
      <c r="I9176" s="4" t="str">
        <v/>
      </c>
    </row>
    <row r="9177" spans="5:9" ht="16.5" hidden="1">
      <c r="E9177" s="4" t="str">
        <v/>
      </c>
      <c r="F9177" s="102" t="str">
        <f ca="1">IFERROR(__xludf.DUMMYFUNCTION("IMPORTRANGE(H9177,""IDENTITAS UNIT!D9"")"),"#N/A")</f>
        <v>#N/A</v>
      </c>
      <c r="H9177" s="4" t="str">
        <v/>
      </c>
      <c r="I9177" s="4" t="str">
        <v/>
      </c>
    </row>
    <row r="9178" spans="5:9" ht="16.5" hidden="1">
      <c r="E9178" s="4" t="str">
        <v/>
      </c>
      <c r="F9178" s="102" t="str">
        <f ca="1">IFERROR(__xludf.DUMMYFUNCTION("IMPORTRANGE(H9178,""IDENTITAS UNIT!D9"")"),"#N/A")</f>
        <v>#N/A</v>
      </c>
      <c r="H9178" s="4" t="str">
        <v/>
      </c>
      <c r="I9178" s="4" t="str">
        <v/>
      </c>
    </row>
    <row r="9179" spans="5:9" ht="16.5" hidden="1">
      <c r="E9179" s="4" t="str">
        <v/>
      </c>
      <c r="F9179" s="102" t="str">
        <f ca="1">IFERROR(__xludf.DUMMYFUNCTION("IMPORTRANGE(H9179,""IDENTITAS UNIT!D9"")"),"#N/A")</f>
        <v>#N/A</v>
      </c>
      <c r="H9179" s="4" t="str">
        <v/>
      </c>
      <c r="I9179" s="4" t="str">
        <v/>
      </c>
    </row>
    <row r="9180" spans="5:9" ht="16.5" hidden="1">
      <c r="E9180" s="4" t="str">
        <v/>
      </c>
      <c r="F9180" s="102" t="str">
        <f ca="1">IFERROR(__xludf.DUMMYFUNCTION("IMPORTRANGE(H9180,""IDENTITAS UNIT!D9"")"),"#N/A")</f>
        <v>#N/A</v>
      </c>
      <c r="H9180" s="4" t="str">
        <v/>
      </c>
      <c r="I9180" s="4" t="str">
        <v/>
      </c>
    </row>
    <row r="9181" spans="5:9" ht="16.5" hidden="1">
      <c r="E9181" s="4" t="str">
        <v/>
      </c>
      <c r="F9181" s="102" t="str">
        <f ca="1">IFERROR(__xludf.DUMMYFUNCTION("IMPORTRANGE(H9181,""IDENTITAS UNIT!D9"")"),"#N/A")</f>
        <v>#N/A</v>
      </c>
      <c r="H9181" s="4" t="str">
        <v/>
      </c>
      <c r="I9181" s="4" t="str">
        <v/>
      </c>
    </row>
    <row r="9182" spans="5:9" ht="16.5" hidden="1">
      <c r="E9182" s="4" t="str">
        <v/>
      </c>
      <c r="F9182" s="102" t="str">
        <f ca="1">IFERROR(__xludf.DUMMYFUNCTION("IMPORTRANGE(H9182,""IDENTITAS UNIT!D9"")"),"#N/A")</f>
        <v>#N/A</v>
      </c>
      <c r="H9182" s="4" t="str">
        <v/>
      </c>
      <c r="I9182" s="4" t="str">
        <v/>
      </c>
    </row>
    <row r="9183" spans="5:9" ht="16.5" hidden="1">
      <c r="E9183" s="4" t="str">
        <v/>
      </c>
      <c r="F9183" s="102" t="str">
        <f ca="1">IFERROR(__xludf.DUMMYFUNCTION("IMPORTRANGE(H9183,""IDENTITAS UNIT!D9"")"),"#N/A")</f>
        <v>#N/A</v>
      </c>
      <c r="H9183" s="4" t="str">
        <v/>
      </c>
      <c r="I9183" s="4" t="str">
        <v/>
      </c>
    </row>
    <row r="9184" spans="5:9" ht="16.5" hidden="1">
      <c r="E9184" s="4" t="str">
        <v/>
      </c>
      <c r="F9184" s="102" t="str">
        <f ca="1">IFERROR(__xludf.DUMMYFUNCTION("IMPORTRANGE(H9184,""IDENTITAS UNIT!D9"")"),"#N/A")</f>
        <v>#N/A</v>
      </c>
      <c r="H9184" s="4" t="str">
        <v/>
      </c>
      <c r="I9184" s="4" t="str">
        <v/>
      </c>
    </row>
    <row r="9185" spans="5:9" ht="16.5" hidden="1">
      <c r="E9185" s="4" t="str">
        <v/>
      </c>
      <c r="F9185" s="102" t="str">
        <f ca="1">IFERROR(__xludf.DUMMYFUNCTION("IMPORTRANGE(H9185,""IDENTITAS UNIT!D9"")"),"#N/A")</f>
        <v>#N/A</v>
      </c>
      <c r="H9185" s="4" t="str">
        <v/>
      </c>
      <c r="I9185" s="4" t="str">
        <v/>
      </c>
    </row>
    <row r="9186" spans="5:9" ht="16.5" hidden="1">
      <c r="E9186" s="4" t="str">
        <v/>
      </c>
      <c r="F9186" s="102" t="str">
        <f ca="1">IFERROR(__xludf.DUMMYFUNCTION("IMPORTRANGE(H9186,""IDENTITAS UNIT!D9"")"),"#N/A")</f>
        <v>#N/A</v>
      </c>
      <c r="H9186" s="4" t="str">
        <v/>
      </c>
      <c r="I9186" s="4" t="str">
        <v/>
      </c>
    </row>
    <row r="9187" spans="5:9" ht="16.5" hidden="1">
      <c r="E9187" s="4" t="str">
        <v/>
      </c>
      <c r="F9187" s="102" t="str">
        <f ca="1">IFERROR(__xludf.DUMMYFUNCTION("IMPORTRANGE(H9187,""IDENTITAS UNIT!D9"")"),"#N/A")</f>
        <v>#N/A</v>
      </c>
      <c r="H9187" s="4" t="str">
        <v/>
      </c>
      <c r="I9187" s="4" t="str">
        <v/>
      </c>
    </row>
    <row r="9188" spans="5:9" ht="16.5" hidden="1">
      <c r="E9188" s="4" t="str">
        <v/>
      </c>
      <c r="F9188" s="102" t="str">
        <f ca="1">IFERROR(__xludf.DUMMYFUNCTION("IMPORTRANGE(H9188,""IDENTITAS UNIT!D9"")"),"#N/A")</f>
        <v>#N/A</v>
      </c>
      <c r="H9188" s="4" t="str">
        <v/>
      </c>
      <c r="I9188" s="4" t="str">
        <v/>
      </c>
    </row>
    <row r="9189" spans="5:9" ht="16.5" hidden="1">
      <c r="E9189" s="4" t="str">
        <v/>
      </c>
      <c r="F9189" s="102" t="str">
        <f ca="1">IFERROR(__xludf.DUMMYFUNCTION("IMPORTRANGE(H9189,""IDENTITAS UNIT!D9"")"),"#N/A")</f>
        <v>#N/A</v>
      </c>
      <c r="H9189" s="4" t="str">
        <v/>
      </c>
      <c r="I9189" s="4" t="str">
        <v/>
      </c>
    </row>
    <row r="9190" spans="5:9" ht="16.5" hidden="1">
      <c r="E9190" s="4" t="str">
        <v/>
      </c>
      <c r="F9190" s="102" t="str">
        <f ca="1">IFERROR(__xludf.DUMMYFUNCTION("IMPORTRANGE(H9190,""IDENTITAS UNIT!D9"")"),"#N/A")</f>
        <v>#N/A</v>
      </c>
      <c r="H9190" s="4" t="str">
        <v/>
      </c>
      <c r="I9190" s="4" t="str">
        <v/>
      </c>
    </row>
    <row r="9191" spans="5:9" ht="16.5" hidden="1">
      <c r="E9191" s="4" t="str">
        <v/>
      </c>
      <c r="F9191" s="102" t="str">
        <f ca="1">IFERROR(__xludf.DUMMYFUNCTION("IMPORTRANGE(H9191,""IDENTITAS UNIT!D9"")"),"#N/A")</f>
        <v>#N/A</v>
      </c>
      <c r="H9191" s="4" t="str">
        <v/>
      </c>
      <c r="I9191" s="4" t="str">
        <v/>
      </c>
    </row>
    <row r="9192" spans="5:9" ht="16.5" hidden="1">
      <c r="E9192" s="4" t="str">
        <v/>
      </c>
      <c r="F9192" s="102" t="str">
        <f ca="1">IFERROR(__xludf.DUMMYFUNCTION("IMPORTRANGE(H9192,""IDENTITAS UNIT!D9"")"),"#N/A")</f>
        <v>#N/A</v>
      </c>
      <c r="H9192" s="4" t="str">
        <v/>
      </c>
      <c r="I9192" s="4" t="str">
        <v/>
      </c>
    </row>
    <row r="9193" spans="5:9" ht="16.5" hidden="1">
      <c r="E9193" s="4" t="str">
        <v/>
      </c>
      <c r="F9193" s="102" t="str">
        <f ca="1">IFERROR(__xludf.DUMMYFUNCTION("IMPORTRANGE(H9193,""IDENTITAS UNIT!D9"")"),"#N/A")</f>
        <v>#N/A</v>
      </c>
      <c r="H9193" s="4" t="str">
        <v/>
      </c>
      <c r="I9193" s="4" t="str">
        <v/>
      </c>
    </row>
    <row r="9194" spans="5:9" ht="16.5" hidden="1">
      <c r="E9194" s="4" t="str">
        <v/>
      </c>
      <c r="F9194" s="102" t="str">
        <f ca="1">IFERROR(__xludf.DUMMYFUNCTION("IMPORTRANGE(H9194,""IDENTITAS UNIT!D9"")"),"#N/A")</f>
        <v>#N/A</v>
      </c>
      <c r="H9194" s="4" t="str">
        <v/>
      </c>
      <c r="I9194" s="4" t="str">
        <v/>
      </c>
    </row>
    <row r="9195" spans="5:9" ht="16.5" hidden="1">
      <c r="E9195" s="4" t="str">
        <v/>
      </c>
      <c r="F9195" s="102" t="str">
        <f ca="1">IFERROR(__xludf.DUMMYFUNCTION("IMPORTRANGE(H9195,""IDENTITAS UNIT!D9"")"),"#N/A")</f>
        <v>#N/A</v>
      </c>
      <c r="H9195" s="4" t="str">
        <v/>
      </c>
      <c r="I9195" s="4" t="str">
        <v/>
      </c>
    </row>
    <row r="9196" spans="5:9" ht="16.5" hidden="1">
      <c r="E9196" s="4" t="str">
        <v/>
      </c>
      <c r="F9196" s="102" t="str">
        <f ca="1">IFERROR(__xludf.DUMMYFUNCTION("IMPORTRANGE(H9196,""IDENTITAS UNIT!D9"")"),"#N/A")</f>
        <v>#N/A</v>
      </c>
      <c r="H9196" s="4" t="str">
        <v/>
      </c>
      <c r="I9196" s="4" t="str">
        <v/>
      </c>
    </row>
    <row r="9197" spans="5:9" ht="16.5" hidden="1">
      <c r="E9197" s="4" t="str">
        <v/>
      </c>
      <c r="F9197" s="102" t="str">
        <f ca="1">IFERROR(__xludf.DUMMYFUNCTION("IMPORTRANGE(H9197,""IDENTITAS UNIT!D9"")"),"#N/A")</f>
        <v>#N/A</v>
      </c>
      <c r="H9197" s="4" t="str">
        <v/>
      </c>
      <c r="I9197" s="4" t="str">
        <v/>
      </c>
    </row>
    <row r="9198" spans="5:9" ht="16.5" hidden="1">
      <c r="E9198" s="4" t="str">
        <v/>
      </c>
      <c r="F9198" s="102" t="str">
        <f ca="1">IFERROR(__xludf.DUMMYFUNCTION("IMPORTRANGE(H9198,""IDENTITAS UNIT!D9"")"),"#N/A")</f>
        <v>#N/A</v>
      </c>
      <c r="H9198" s="4" t="str">
        <v/>
      </c>
      <c r="I9198" s="4" t="str">
        <v/>
      </c>
    </row>
    <row r="9199" spans="5:9" ht="16.5" hidden="1">
      <c r="E9199" s="4" t="str">
        <v/>
      </c>
      <c r="F9199" s="102" t="str">
        <f ca="1">IFERROR(__xludf.DUMMYFUNCTION("IMPORTRANGE(H9199,""IDENTITAS UNIT!D9"")"),"#N/A")</f>
        <v>#N/A</v>
      </c>
      <c r="H9199" s="4" t="str">
        <v/>
      </c>
      <c r="I9199" s="4" t="str">
        <v/>
      </c>
    </row>
    <row r="9200" spans="5:9" ht="16.5" hidden="1">
      <c r="E9200" s="4" t="str">
        <v/>
      </c>
      <c r="F9200" s="102" t="str">
        <f ca="1">IFERROR(__xludf.DUMMYFUNCTION("IMPORTRANGE(H9200,""IDENTITAS UNIT!D9"")"),"#N/A")</f>
        <v>#N/A</v>
      </c>
      <c r="H9200" s="4" t="str">
        <v/>
      </c>
      <c r="I9200" s="4" t="str">
        <v/>
      </c>
    </row>
    <row r="9201" spans="5:9" ht="16.5" hidden="1">
      <c r="E9201" s="4" t="str">
        <v/>
      </c>
      <c r="F9201" s="102" t="str">
        <f ca="1">IFERROR(__xludf.DUMMYFUNCTION("IMPORTRANGE(H9201,""IDENTITAS UNIT!D9"")"),"#N/A")</f>
        <v>#N/A</v>
      </c>
      <c r="H9201" s="4" t="str">
        <v/>
      </c>
      <c r="I9201" s="4" t="str">
        <v/>
      </c>
    </row>
    <row r="9202" spans="5:9" ht="16.5" hidden="1">
      <c r="E9202" s="4" t="str">
        <v/>
      </c>
      <c r="F9202" s="102" t="str">
        <f ca="1">IFERROR(__xludf.DUMMYFUNCTION("IMPORTRANGE(H9202,""IDENTITAS UNIT!D9"")"),"#N/A")</f>
        <v>#N/A</v>
      </c>
      <c r="H9202" s="4" t="str">
        <v/>
      </c>
      <c r="I9202" s="4" t="str">
        <v/>
      </c>
    </row>
    <row r="9203" spans="5:9" ht="16.5" hidden="1">
      <c r="E9203" s="4" t="str">
        <v/>
      </c>
      <c r="F9203" s="102" t="str">
        <f ca="1">IFERROR(__xludf.DUMMYFUNCTION("IMPORTRANGE(H9203,""IDENTITAS UNIT!D9"")"),"#N/A")</f>
        <v>#N/A</v>
      </c>
      <c r="H9203" s="4" t="str">
        <v/>
      </c>
      <c r="I9203" s="4" t="str">
        <v/>
      </c>
    </row>
    <row r="9204" spans="5:9" ht="16.5" hidden="1">
      <c r="E9204" s="4" t="str">
        <v/>
      </c>
      <c r="F9204" s="102" t="str">
        <f ca="1">IFERROR(__xludf.DUMMYFUNCTION("IMPORTRANGE(H9204,""IDENTITAS UNIT!D9"")"),"#N/A")</f>
        <v>#N/A</v>
      </c>
      <c r="H9204" s="4" t="str">
        <v/>
      </c>
      <c r="I9204" s="4" t="str">
        <v/>
      </c>
    </row>
    <row r="9205" spans="5:9" ht="16.5" hidden="1">
      <c r="E9205" s="4" t="str">
        <v/>
      </c>
      <c r="F9205" s="102" t="str">
        <f ca="1">IFERROR(__xludf.DUMMYFUNCTION("IMPORTRANGE(H9205,""IDENTITAS UNIT!D9"")"),"#N/A")</f>
        <v>#N/A</v>
      </c>
      <c r="H9205" s="4" t="str">
        <v/>
      </c>
      <c r="I9205" s="4" t="str">
        <v/>
      </c>
    </row>
    <row r="9206" spans="5:9" ht="16.5" hidden="1">
      <c r="E9206" s="4" t="str">
        <v/>
      </c>
      <c r="F9206" s="102" t="str">
        <f ca="1">IFERROR(__xludf.DUMMYFUNCTION("IMPORTRANGE(H9206,""IDENTITAS UNIT!D9"")"),"#N/A")</f>
        <v>#N/A</v>
      </c>
      <c r="H9206" s="4" t="str">
        <v/>
      </c>
      <c r="I9206" s="4" t="str">
        <v/>
      </c>
    </row>
    <row r="9207" spans="5:9" ht="16.5" hidden="1">
      <c r="E9207" s="4" t="str">
        <v/>
      </c>
      <c r="F9207" s="102" t="str">
        <f ca="1">IFERROR(__xludf.DUMMYFUNCTION("IMPORTRANGE(H9207,""IDENTITAS UNIT!D9"")"),"#N/A")</f>
        <v>#N/A</v>
      </c>
      <c r="H9207" s="4" t="str">
        <v/>
      </c>
      <c r="I9207" s="4" t="str">
        <v/>
      </c>
    </row>
    <row r="9208" spans="5:9" ht="16.5" hidden="1">
      <c r="E9208" s="4" t="str">
        <v/>
      </c>
      <c r="F9208" s="102" t="str">
        <f ca="1">IFERROR(__xludf.DUMMYFUNCTION("IMPORTRANGE(H9208,""IDENTITAS UNIT!D9"")"),"#N/A")</f>
        <v>#N/A</v>
      </c>
      <c r="H9208" s="4" t="str">
        <v/>
      </c>
      <c r="I9208" s="4" t="str">
        <v/>
      </c>
    </row>
    <row r="9209" spans="5:9" ht="16.5" hidden="1">
      <c r="E9209" s="4" t="str">
        <v/>
      </c>
      <c r="F9209" s="102" t="str">
        <f ca="1">IFERROR(__xludf.DUMMYFUNCTION("IMPORTRANGE(H9209,""IDENTITAS UNIT!D9"")"),"#N/A")</f>
        <v>#N/A</v>
      </c>
      <c r="H9209" s="4" t="str">
        <v/>
      </c>
      <c r="I9209" s="4" t="str">
        <v/>
      </c>
    </row>
    <row r="9210" spans="5:9" ht="16.5" hidden="1">
      <c r="E9210" s="4" t="str">
        <v/>
      </c>
      <c r="F9210" s="102" t="str">
        <f ca="1">IFERROR(__xludf.DUMMYFUNCTION("IMPORTRANGE(H9210,""IDENTITAS UNIT!D9"")"),"#N/A")</f>
        <v>#N/A</v>
      </c>
      <c r="H9210" s="4" t="str">
        <v/>
      </c>
      <c r="I9210" s="4" t="str">
        <v/>
      </c>
    </row>
    <row r="9211" spans="5:9" ht="16.5" hidden="1">
      <c r="E9211" s="4" t="str">
        <v/>
      </c>
      <c r="F9211" s="102" t="str">
        <f ca="1">IFERROR(__xludf.DUMMYFUNCTION("IMPORTRANGE(H9211,""IDENTITAS UNIT!D9"")"),"#N/A")</f>
        <v>#N/A</v>
      </c>
      <c r="H9211" s="4" t="str">
        <v/>
      </c>
      <c r="I9211" s="4" t="str">
        <v/>
      </c>
    </row>
    <row r="9212" spans="5:9" ht="16.5" hidden="1">
      <c r="E9212" s="4" t="str">
        <v/>
      </c>
      <c r="F9212" s="102" t="str">
        <f ca="1">IFERROR(__xludf.DUMMYFUNCTION("IMPORTRANGE(H9212,""IDENTITAS UNIT!D9"")"),"#N/A")</f>
        <v>#N/A</v>
      </c>
      <c r="H9212" s="4" t="str">
        <v/>
      </c>
      <c r="I9212" s="4" t="str">
        <v/>
      </c>
    </row>
    <row r="9213" spans="5:9" ht="16.5" hidden="1">
      <c r="E9213" s="4" t="str">
        <v/>
      </c>
      <c r="F9213" s="102" t="str">
        <f ca="1">IFERROR(__xludf.DUMMYFUNCTION("IMPORTRANGE(H9213,""IDENTITAS UNIT!D9"")"),"#N/A")</f>
        <v>#N/A</v>
      </c>
      <c r="H9213" s="4" t="str">
        <v/>
      </c>
      <c r="I9213" s="4" t="str">
        <v/>
      </c>
    </row>
    <row r="9214" spans="5:9" ht="16.5" hidden="1">
      <c r="E9214" s="4" t="str">
        <v/>
      </c>
      <c r="F9214" s="102" t="str">
        <f ca="1">IFERROR(__xludf.DUMMYFUNCTION("IMPORTRANGE(H9214,""IDENTITAS UNIT!D9"")"),"#N/A")</f>
        <v>#N/A</v>
      </c>
      <c r="H9214" s="4" t="str">
        <v/>
      </c>
      <c r="I9214" s="4" t="str">
        <v/>
      </c>
    </row>
    <row r="9215" spans="5:9" ht="16.5" hidden="1">
      <c r="E9215" s="4" t="str">
        <v/>
      </c>
      <c r="F9215" s="102" t="str">
        <f ca="1">IFERROR(__xludf.DUMMYFUNCTION("IMPORTRANGE(H9215,""IDENTITAS UNIT!D9"")"),"#N/A")</f>
        <v>#N/A</v>
      </c>
      <c r="H9215" s="4" t="str">
        <v/>
      </c>
      <c r="I9215" s="4" t="str">
        <v/>
      </c>
    </row>
    <row r="9216" spans="5:9" ht="16.5" hidden="1">
      <c r="E9216" s="4" t="str">
        <v/>
      </c>
      <c r="F9216" s="102" t="str">
        <f ca="1">IFERROR(__xludf.DUMMYFUNCTION("IMPORTRANGE(H9216,""IDENTITAS UNIT!D9"")"),"#N/A")</f>
        <v>#N/A</v>
      </c>
      <c r="H9216" s="4" t="str">
        <v/>
      </c>
      <c r="I9216" s="4" t="str">
        <v/>
      </c>
    </row>
    <row r="9217" spans="5:9" ht="16.5" hidden="1">
      <c r="E9217" s="4" t="str">
        <v/>
      </c>
      <c r="F9217" s="102" t="str">
        <f ca="1">IFERROR(__xludf.DUMMYFUNCTION("IMPORTRANGE(H9217,""IDENTITAS UNIT!D9"")"),"#N/A")</f>
        <v>#N/A</v>
      </c>
      <c r="H9217" s="4" t="str">
        <v/>
      </c>
      <c r="I9217" s="4" t="str">
        <v/>
      </c>
    </row>
    <row r="9218" spans="5:9" ht="16.5" hidden="1">
      <c r="E9218" s="4" t="str">
        <v/>
      </c>
      <c r="F9218" s="102" t="str">
        <f ca="1">IFERROR(__xludf.DUMMYFUNCTION("IMPORTRANGE(H9218,""IDENTITAS UNIT!D9"")"),"#N/A")</f>
        <v>#N/A</v>
      </c>
      <c r="H9218" s="4" t="str">
        <v/>
      </c>
      <c r="I9218" s="4" t="str">
        <v/>
      </c>
    </row>
    <row r="9219" spans="5:9" ht="16.5" hidden="1">
      <c r="E9219" s="4" t="str">
        <v/>
      </c>
      <c r="F9219" s="102" t="str">
        <f ca="1">IFERROR(__xludf.DUMMYFUNCTION("IMPORTRANGE(H9219,""IDENTITAS UNIT!D9"")"),"#N/A")</f>
        <v>#N/A</v>
      </c>
      <c r="H9219" s="4" t="str">
        <v/>
      </c>
      <c r="I9219" s="4" t="str">
        <v/>
      </c>
    </row>
    <row r="9220" spans="5:9" ht="16.5" hidden="1">
      <c r="E9220" s="4" t="str">
        <v/>
      </c>
      <c r="F9220" s="102" t="str">
        <f ca="1">IFERROR(__xludf.DUMMYFUNCTION("IMPORTRANGE(H9220,""IDENTITAS UNIT!D9"")"),"#N/A")</f>
        <v>#N/A</v>
      </c>
      <c r="H9220" s="4" t="str">
        <v/>
      </c>
      <c r="I9220" s="4" t="str">
        <v/>
      </c>
    </row>
    <row r="9221" spans="5:9" ht="16.5" hidden="1">
      <c r="E9221" s="4" t="str">
        <v/>
      </c>
      <c r="F9221" s="102" t="str">
        <f ca="1">IFERROR(__xludf.DUMMYFUNCTION("IMPORTRANGE(H9221,""IDENTITAS UNIT!D9"")"),"#N/A")</f>
        <v>#N/A</v>
      </c>
      <c r="H9221" s="4" t="str">
        <v/>
      </c>
      <c r="I9221" s="4" t="str">
        <v/>
      </c>
    </row>
    <row r="9222" spans="5:9" ht="16.5" hidden="1">
      <c r="E9222" s="4" t="str">
        <v/>
      </c>
      <c r="F9222" s="102" t="str">
        <f ca="1">IFERROR(__xludf.DUMMYFUNCTION("IMPORTRANGE(H9222,""IDENTITAS UNIT!D9"")"),"#N/A")</f>
        <v>#N/A</v>
      </c>
      <c r="H9222" s="4" t="str">
        <v/>
      </c>
      <c r="I9222" s="4" t="str">
        <v/>
      </c>
    </row>
    <row r="9223" spans="5:9" ht="16.5" hidden="1">
      <c r="E9223" s="4" t="str">
        <v/>
      </c>
      <c r="F9223" s="102" t="str">
        <f ca="1">IFERROR(__xludf.DUMMYFUNCTION("IMPORTRANGE(H9223,""IDENTITAS UNIT!D9"")"),"#N/A")</f>
        <v>#N/A</v>
      </c>
      <c r="H9223" s="4" t="str">
        <v/>
      </c>
      <c r="I9223" s="4" t="str">
        <v/>
      </c>
    </row>
    <row r="9224" spans="5:9" ht="16.5" hidden="1">
      <c r="E9224" s="4" t="str">
        <v/>
      </c>
      <c r="F9224" s="102" t="str">
        <f ca="1">IFERROR(__xludf.DUMMYFUNCTION("IMPORTRANGE(H9224,""IDENTITAS UNIT!D9"")"),"#N/A")</f>
        <v>#N/A</v>
      </c>
      <c r="H9224" s="4" t="str">
        <v/>
      </c>
      <c r="I9224" s="4" t="str">
        <v/>
      </c>
    </row>
    <row r="9225" spans="5:9" ht="16.5" hidden="1">
      <c r="E9225" s="4" t="str">
        <v/>
      </c>
      <c r="F9225" s="102" t="str">
        <f ca="1">IFERROR(__xludf.DUMMYFUNCTION("IMPORTRANGE(H9225,""IDENTITAS UNIT!D9"")"),"#N/A")</f>
        <v>#N/A</v>
      </c>
      <c r="H9225" s="4" t="str">
        <v/>
      </c>
      <c r="I9225" s="4" t="str">
        <v/>
      </c>
    </row>
    <row r="9226" spans="5:9" ht="16.5" hidden="1">
      <c r="E9226" s="4" t="str">
        <v/>
      </c>
      <c r="F9226" s="102" t="str">
        <f ca="1">IFERROR(__xludf.DUMMYFUNCTION("IMPORTRANGE(H9226,""IDENTITAS UNIT!D9"")"),"#N/A")</f>
        <v>#N/A</v>
      </c>
      <c r="H9226" s="4" t="str">
        <v/>
      </c>
      <c r="I9226" s="4" t="str">
        <v/>
      </c>
    </row>
    <row r="9227" spans="5:9" ht="16.5" hidden="1">
      <c r="E9227" s="4" t="str">
        <v/>
      </c>
      <c r="F9227" s="102" t="str">
        <f ca="1">IFERROR(__xludf.DUMMYFUNCTION("IMPORTRANGE(H9227,""IDENTITAS UNIT!D9"")"),"#N/A")</f>
        <v>#N/A</v>
      </c>
      <c r="H9227" s="4" t="str">
        <v/>
      </c>
      <c r="I9227" s="4" t="str">
        <v/>
      </c>
    </row>
    <row r="9228" spans="5:9" ht="16.5" hidden="1">
      <c r="E9228" s="4" t="str">
        <v/>
      </c>
      <c r="F9228" s="102" t="str">
        <f ca="1">IFERROR(__xludf.DUMMYFUNCTION("IMPORTRANGE(H9228,""IDENTITAS UNIT!D9"")"),"#N/A")</f>
        <v>#N/A</v>
      </c>
      <c r="H9228" s="4" t="str">
        <v/>
      </c>
      <c r="I9228" s="4" t="str">
        <v/>
      </c>
    </row>
    <row r="9229" spans="5:9" ht="16.5" hidden="1">
      <c r="E9229" s="4" t="str">
        <v/>
      </c>
      <c r="F9229" s="102" t="str">
        <f ca="1">IFERROR(__xludf.DUMMYFUNCTION("IMPORTRANGE(H9229,""IDENTITAS UNIT!D9"")"),"#N/A")</f>
        <v>#N/A</v>
      </c>
      <c r="H9229" s="4" t="str">
        <v/>
      </c>
      <c r="I9229" s="4" t="str">
        <v/>
      </c>
    </row>
    <row r="9230" spans="5:9" ht="16.5" hidden="1">
      <c r="E9230" s="4" t="str">
        <v/>
      </c>
      <c r="F9230" s="102" t="str">
        <f ca="1">IFERROR(__xludf.DUMMYFUNCTION("IMPORTRANGE(H9230,""IDENTITAS UNIT!D9"")"),"#N/A")</f>
        <v>#N/A</v>
      </c>
      <c r="H9230" s="4" t="str">
        <v/>
      </c>
      <c r="I9230" s="4" t="str">
        <v/>
      </c>
    </row>
    <row r="9231" spans="5:9" ht="16.5" hidden="1">
      <c r="E9231" s="4" t="str">
        <v/>
      </c>
      <c r="F9231" s="102" t="str">
        <f ca="1">IFERROR(__xludf.DUMMYFUNCTION("IMPORTRANGE(H9231,""IDENTITAS UNIT!D9"")"),"#N/A")</f>
        <v>#N/A</v>
      </c>
      <c r="H9231" s="4" t="str">
        <v/>
      </c>
      <c r="I9231" s="4" t="str">
        <v/>
      </c>
    </row>
    <row r="9232" spans="5:9" ht="16.5" hidden="1">
      <c r="E9232" s="4" t="str">
        <v/>
      </c>
      <c r="F9232" s="102" t="str">
        <f ca="1">IFERROR(__xludf.DUMMYFUNCTION("IMPORTRANGE(H9232,""IDENTITAS UNIT!D9"")"),"#N/A")</f>
        <v>#N/A</v>
      </c>
      <c r="H9232" s="4" t="str">
        <v/>
      </c>
      <c r="I9232" s="4" t="str">
        <v/>
      </c>
    </row>
    <row r="9233" spans="5:9" ht="16.5" hidden="1">
      <c r="E9233" s="4" t="str">
        <v/>
      </c>
      <c r="F9233" s="102" t="str">
        <f ca="1">IFERROR(__xludf.DUMMYFUNCTION("IMPORTRANGE(H9233,""IDENTITAS UNIT!D9"")"),"#N/A")</f>
        <v>#N/A</v>
      </c>
      <c r="H9233" s="4" t="str">
        <v/>
      </c>
      <c r="I9233" s="4" t="str">
        <v/>
      </c>
    </row>
    <row r="9234" spans="5:9" ht="16.5" hidden="1">
      <c r="E9234" s="4" t="str">
        <v/>
      </c>
      <c r="F9234" s="102" t="str">
        <f ca="1">IFERROR(__xludf.DUMMYFUNCTION("IMPORTRANGE(H9234,""IDENTITAS UNIT!D9"")"),"#N/A")</f>
        <v>#N/A</v>
      </c>
      <c r="H9234" s="4" t="str">
        <v/>
      </c>
      <c r="I9234" s="4" t="str">
        <v/>
      </c>
    </row>
    <row r="9235" spans="5:9" ht="16.5" hidden="1">
      <c r="E9235" s="4" t="str">
        <v/>
      </c>
      <c r="F9235" s="102" t="str">
        <f ca="1">IFERROR(__xludf.DUMMYFUNCTION("IMPORTRANGE(H9235,""IDENTITAS UNIT!D9"")"),"#N/A")</f>
        <v>#N/A</v>
      </c>
      <c r="H9235" s="4" t="str">
        <v/>
      </c>
      <c r="I9235" s="4" t="str">
        <v/>
      </c>
    </row>
    <row r="9236" spans="5:9" ht="16.5" hidden="1">
      <c r="E9236" s="4" t="str">
        <v/>
      </c>
      <c r="F9236" s="102" t="str">
        <f ca="1">IFERROR(__xludf.DUMMYFUNCTION("IMPORTRANGE(H9236,""IDENTITAS UNIT!D9"")"),"#N/A")</f>
        <v>#N/A</v>
      </c>
      <c r="H9236" s="4" t="str">
        <v/>
      </c>
      <c r="I9236" s="4" t="str">
        <v/>
      </c>
    </row>
    <row r="9237" spans="5:9" ht="16.5" hidden="1">
      <c r="E9237" s="4" t="str">
        <v/>
      </c>
      <c r="F9237" s="102" t="str">
        <f ca="1">IFERROR(__xludf.DUMMYFUNCTION("IMPORTRANGE(H9237,""IDENTITAS UNIT!D9"")"),"#N/A")</f>
        <v>#N/A</v>
      </c>
      <c r="H9237" s="4" t="str">
        <v/>
      </c>
      <c r="I9237" s="4" t="str">
        <v/>
      </c>
    </row>
    <row r="9238" spans="5:9" ht="16.5" hidden="1">
      <c r="E9238" s="4" t="str">
        <v/>
      </c>
      <c r="F9238" s="102" t="str">
        <f ca="1">IFERROR(__xludf.DUMMYFUNCTION("IMPORTRANGE(H9238,""IDENTITAS UNIT!D9"")"),"#N/A")</f>
        <v>#N/A</v>
      </c>
      <c r="H9238" s="4" t="str">
        <v/>
      </c>
      <c r="I9238" s="4" t="str">
        <v/>
      </c>
    </row>
    <row r="9239" spans="5:9" ht="16.5" hidden="1">
      <c r="E9239" s="4" t="str">
        <v/>
      </c>
      <c r="F9239" s="102" t="str">
        <f ca="1">IFERROR(__xludf.DUMMYFUNCTION("IMPORTRANGE(H9239,""IDENTITAS UNIT!D9"")"),"#N/A")</f>
        <v>#N/A</v>
      </c>
      <c r="H9239" s="4" t="str">
        <v/>
      </c>
      <c r="I9239" s="4" t="str">
        <v/>
      </c>
    </row>
    <row r="9240" spans="5:9" ht="16.5" hidden="1">
      <c r="E9240" s="4" t="str">
        <v/>
      </c>
      <c r="F9240" s="102" t="str">
        <f ca="1">IFERROR(__xludf.DUMMYFUNCTION("IMPORTRANGE(H9240,""IDENTITAS UNIT!D9"")"),"#N/A")</f>
        <v>#N/A</v>
      </c>
      <c r="H9240" s="4" t="str">
        <v/>
      </c>
      <c r="I9240" s="4" t="str">
        <v/>
      </c>
    </row>
    <row r="9241" spans="5:9" ht="16.5" hidden="1">
      <c r="E9241" s="4" t="str">
        <v/>
      </c>
      <c r="F9241" s="102" t="str">
        <f ca="1">IFERROR(__xludf.DUMMYFUNCTION("IMPORTRANGE(H9241,""IDENTITAS UNIT!D9"")"),"#N/A")</f>
        <v>#N/A</v>
      </c>
      <c r="H9241" s="4" t="str">
        <v/>
      </c>
      <c r="I9241" s="4" t="str">
        <v/>
      </c>
    </row>
    <row r="9242" spans="5:9" ht="16.5" hidden="1">
      <c r="E9242" s="4" t="str">
        <v/>
      </c>
      <c r="F9242" s="102" t="str">
        <f ca="1">IFERROR(__xludf.DUMMYFUNCTION("IMPORTRANGE(H9242,""IDENTITAS UNIT!D9"")"),"#N/A")</f>
        <v>#N/A</v>
      </c>
      <c r="H9242" s="4" t="str">
        <v/>
      </c>
      <c r="I9242" s="4" t="str">
        <v/>
      </c>
    </row>
    <row r="9243" spans="5:9" ht="16.5" hidden="1">
      <c r="E9243" s="4" t="str">
        <v/>
      </c>
      <c r="F9243" s="102" t="str">
        <f ca="1">IFERROR(__xludf.DUMMYFUNCTION("IMPORTRANGE(H9243,""IDENTITAS UNIT!D9"")"),"#N/A")</f>
        <v>#N/A</v>
      </c>
      <c r="H9243" s="4" t="str">
        <v/>
      </c>
      <c r="I9243" s="4" t="str">
        <v/>
      </c>
    </row>
    <row r="9244" spans="5:9" ht="16.5" hidden="1">
      <c r="E9244" s="4" t="str">
        <v/>
      </c>
      <c r="F9244" s="102" t="str">
        <f ca="1">IFERROR(__xludf.DUMMYFUNCTION("IMPORTRANGE(H9244,""IDENTITAS UNIT!D9"")"),"#N/A")</f>
        <v>#N/A</v>
      </c>
      <c r="H9244" s="4" t="str">
        <v/>
      </c>
      <c r="I9244" s="4" t="str">
        <v/>
      </c>
    </row>
    <row r="9245" spans="5:9" ht="16.5" hidden="1">
      <c r="E9245" s="4" t="str">
        <v/>
      </c>
      <c r="F9245" s="102" t="str">
        <f ca="1">IFERROR(__xludf.DUMMYFUNCTION("IMPORTRANGE(H9245,""IDENTITAS UNIT!D9"")"),"#N/A")</f>
        <v>#N/A</v>
      </c>
      <c r="H9245" s="4" t="str">
        <v/>
      </c>
      <c r="I9245" s="4" t="str">
        <v/>
      </c>
    </row>
    <row r="9246" spans="5:9" ht="16.5" hidden="1">
      <c r="E9246" s="4" t="str">
        <v/>
      </c>
      <c r="F9246" s="102" t="str">
        <f ca="1">IFERROR(__xludf.DUMMYFUNCTION("IMPORTRANGE(H9246,""IDENTITAS UNIT!D9"")"),"#N/A")</f>
        <v>#N/A</v>
      </c>
      <c r="H9246" s="4" t="str">
        <v/>
      </c>
      <c r="I9246" s="4" t="str">
        <v/>
      </c>
    </row>
    <row r="9247" spans="5:9" ht="16.5" hidden="1">
      <c r="E9247" s="4" t="str">
        <v/>
      </c>
      <c r="F9247" s="102" t="str">
        <f ca="1">IFERROR(__xludf.DUMMYFUNCTION("IMPORTRANGE(H9247,""IDENTITAS UNIT!D9"")"),"#N/A")</f>
        <v>#N/A</v>
      </c>
      <c r="H9247" s="4" t="str">
        <v/>
      </c>
      <c r="I9247" s="4" t="str">
        <v/>
      </c>
    </row>
    <row r="9248" spans="5:9" ht="16.5" hidden="1">
      <c r="E9248" s="4" t="str">
        <v/>
      </c>
      <c r="F9248" s="102" t="str">
        <f ca="1">IFERROR(__xludf.DUMMYFUNCTION("IMPORTRANGE(H9248,""IDENTITAS UNIT!D9"")"),"#N/A")</f>
        <v>#N/A</v>
      </c>
      <c r="H9248" s="4" t="str">
        <v/>
      </c>
      <c r="I9248" s="4" t="str">
        <v/>
      </c>
    </row>
    <row r="9249" spans="5:9" ht="16.5" hidden="1">
      <c r="E9249" s="4" t="str">
        <v/>
      </c>
      <c r="F9249" s="102" t="str">
        <f ca="1">IFERROR(__xludf.DUMMYFUNCTION("IMPORTRANGE(H9249,""IDENTITAS UNIT!D9"")"),"#N/A")</f>
        <v>#N/A</v>
      </c>
      <c r="H9249" s="4" t="str">
        <v/>
      </c>
      <c r="I9249" s="4" t="str">
        <v/>
      </c>
    </row>
    <row r="9250" spans="5:9" ht="16.5" hidden="1">
      <c r="E9250" s="4" t="str">
        <v/>
      </c>
      <c r="F9250" s="102" t="str">
        <f ca="1">IFERROR(__xludf.DUMMYFUNCTION("IMPORTRANGE(H9250,""IDENTITAS UNIT!D9"")"),"#N/A")</f>
        <v>#N/A</v>
      </c>
      <c r="H9250" s="4" t="str">
        <v/>
      </c>
      <c r="I9250" s="4" t="str">
        <v/>
      </c>
    </row>
    <row r="9251" spans="5:9" ht="16.5" hidden="1">
      <c r="E9251" s="4" t="str">
        <v/>
      </c>
      <c r="F9251" s="102" t="str">
        <f ca="1">IFERROR(__xludf.DUMMYFUNCTION("IMPORTRANGE(H9251,""IDENTITAS UNIT!D9"")"),"#N/A")</f>
        <v>#N/A</v>
      </c>
      <c r="H9251" s="4" t="str">
        <v/>
      </c>
      <c r="I9251" s="4" t="str">
        <v/>
      </c>
    </row>
    <row r="9252" spans="5:9" ht="16.5" hidden="1">
      <c r="E9252" s="4" t="str">
        <v/>
      </c>
      <c r="F9252" s="102" t="str">
        <f ca="1">IFERROR(__xludf.DUMMYFUNCTION("IMPORTRANGE(H9252,""IDENTITAS UNIT!D9"")"),"#N/A")</f>
        <v>#N/A</v>
      </c>
      <c r="H9252" s="4" t="str">
        <v/>
      </c>
      <c r="I9252" s="4" t="str">
        <v/>
      </c>
    </row>
    <row r="9253" spans="5:9" ht="16.5" hidden="1">
      <c r="E9253" s="4" t="str">
        <v/>
      </c>
      <c r="F9253" s="102" t="str">
        <f ca="1">IFERROR(__xludf.DUMMYFUNCTION("IMPORTRANGE(H9253,""IDENTITAS UNIT!D9"")"),"#N/A")</f>
        <v>#N/A</v>
      </c>
      <c r="H9253" s="4" t="str">
        <v/>
      </c>
      <c r="I9253" s="4" t="str">
        <v/>
      </c>
    </row>
    <row r="9254" spans="5:9" ht="16.5" hidden="1">
      <c r="E9254" s="4" t="str">
        <v/>
      </c>
      <c r="F9254" s="102" t="str">
        <f ca="1">IFERROR(__xludf.DUMMYFUNCTION("IMPORTRANGE(H9254,""IDENTITAS UNIT!D9"")"),"#N/A")</f>
        <v>#N/A</v>
      </c>
      <c r="H9254" s="4" t="str">
        <v/>
      </c>
      <c r="I9254" s="4" t="str">
        <v/>
      </c>
    </row>
    <row r="9255" spans="5:9" ht="16.5" hidden="1">
      <c r="E9255" s="4" t="str">
        <v/>
      </c>
      <c r="F9255" s="102" t="str">
        <f ca="1">IFERROR(__xludf.DUMMYFUNCTION("IMPORTRANGE(H9255,""IDENTITAS UNIT!D9"")"),"#N/A")</f>
        <v>#N/A</v>
      </c>
      <c r="H9255" s="4" t="str">
        <v/>
      </c>
      <c r="I9255" s="4" t="str">
        <v/>
      </c>
    </row>
    <row r="9256" spans="5:9" ht="16.5" hidden="1">
      <c r="E9256" s="4" t="str">
        <v/>
      </c>
      <c r="F9256" s="102" t="str">
        <f ca="1">IFERROR(__xludf.DUMMYFUNCTION("IMPORTRANGE(H9256,""IDENTITAS UNIT!D9"")"),"#N/A")</f>
        <v>#N/A</v>
      </c>
      <c r="H9256" s="4" t="str">
        <v/>
      </c>
      <c r="I9256" s="4" t="str">
        <v/>
      </c>
    </row>
    <row r="9257" spans="5:9" ht="16.5" hidden="1">
      <c r="E9257" s="4" t="str">
        <v/>
      </c>
      <c r="F9257" s="102" t="str">
        <f ca="1">IFERROR(__xludf.DUMMYFUNCTION("IMPORTRANGE(H9257,""IDENTITAS UNIT!D9"")"),"#N/A")</f>
        <v>#N/A</v>
      </c>
      <c r="H9257" s="4" t="str">
        <v/>
      </c>
      <c r="I9257" s="4" t="str">
        <v/>
      </c>
    </row>
    <row r="9258" spans="5:9" ht="16.5" hidden="1">
      <c r="E9258" s="4" t="str">
        <v/>
      </c>
      <c r="F9258" s="102" t="str">
        <f ca="1">IFERROR(__xludf.DUMMYFUNCTION("IMPORTRANGE(H9258,""IDENTITAS UNIT!D9"")"),"#N/A")</f>
        <v>#N/A</v>
      </c>
      <c r="H9258" s="4" t="str">
        <v/>
      </c>
      <c r="I9258" s="4" t="str">
        <v/>
      </c>
    </row>
    <row r="9259" spans="5:9" ht="16.5" hidden="1">
      <c r="E9259" s="4" t="str">
        <v/>
      </c>
      <c r="F9259" s="102" t="str">
        <f ca="1">IFERROR(__xludf.DUMMYFUNCTION("IMPORTRANGE(H9259,""IDENTITAS UNIT!D9"")"),"#N/A")</f>
        <v>#N/A</v>
      </c>
      <c r="H9259" s="4" t="str">
        <v/>
      </c>
      <c r="I9259" s="4" t="str">
        <v/>
      </c>
    </row>
    <row r="9260" spans="5:9" ht="16.5" hidden="1">
      <c r="E9260" s="4" t="str">
        <v/>
      </c>
      <c r="F9260" s="102" t="str">
        <f ca="1">IFERROR(__xludf.DUMMYFUNCTION("IMPORTRANGE(H9260,""IDENTITAS UNIT!D9"")"),"#N/A")</f>
        <v>#N/A</v>
      </c>
      <c r="H9260" s="4" t="str">
        <v/>
      </c>
      <c r="I9260" s="4" t="str">
        <v/>
      </c>
    </row>
    <row r="9261" spans="5:9" ht="16.5" hidden="1">
      <c r="E9261" s="4" t="str">
        <v/>
      </c>
      <c r="F9261" s="102" t="str">
        <f ca="1">IFERROR(__xludf.DUMMYFUNCTION("IMPORTRANGE(H9261,""IDENTITAS UNIT!D9"")"),"#N/A")</f>
        <v>#N/A</v>
      </c>
      <c r="H9261" s="4" t="str">
        <v/>
      </c>
      <c r="I9261" s="4" t="str">
        <v/>
      </c>
    </row>
    <row r="9262" spans="5:9" ht="16.5" hidden="1">
      <c r="E9262" s="4" t="str">
        <v/>
      </c>
      <c r="F9262" s="102" t="str">
        <f ca="1">IFERROR(__xludf.DUMMYFUNCTION("IMPORTRANGE(H9262,""IDENTITAS UNIT!D9"")"),"#N/A")</f>
        <v>#N/A</v>
      </c>
      <c r="H9262" s="4" t="str">
        <v/>
      </c>
      <c r="I9262" s="4" t="str">
        <v/>
      </c>
    </row>
    <row r="9263" spans="5:9" ht="16.5" hidden="1">
      <c r="E9263" s="4" t="str">
        <v/>
      </c>
      <c r="F9263" s="102" t="str">
        <f ca="1">IFERROR(__xludf.DUMMYFUNCTION("IMPORTRANGE(H9263,""IDENTITAS UNIT!D9"")"),"#N/A")</f>
        <v>#N/A</v>
      </c>
      <c r="H9263" s="4" t="str">
        <v/>
      </c>
      <c r="I9263" s="4" t="str">
        <v/>
      </c>
    </row>
    <row r="9264" spans="5:9" ht="16.5" hidden="1">
      <c r="E9264" s="4" t="str">
        <v/>
      </c>
      <c r="F9264" s="102" t="str">
        <f ca="1">IFERROR(__xludf.DUMMYFUNCTION("IMPORTRANGE(H9264,""IDENTITAS UNIT!D9"")"),"#N/A")</f>
        <v>#N/A</v>
      </c>
      <c r="H9264" s="4" t="str">
        <v/>
      </c>
      <c r="I9264" s="4" t="str">
        <v/>
      </c>
    </row>
    <row r="9265" spans="5:9" ht="16.5" hidden="1">
      <c r="E9265" s="4" t="str">
        <v/>
      </c>
      <c r="F9265" s="102" t="str">
        <f ca="1">IFERROR(__xludf.DUMMYFUNCTION("IMPORTRANGE(H9265,""IDENTITAS UNIT!D9"")"),"#N/A")</f>
        <v>#N/A</v>
      </c>
      <c r="H9265" s="4" t="str">
        <v/>
      </c>
      <c r="I9265" s="4" t="str">
        <v/>
      </c>
    </row>
    <row r="9266" spans="5:9" ht="16.5" hidden="1">
      <c r="E9266" s="4" t="str">
        <v/>
      </c>
      <c r="F9266" s="102" t="str">
        <f ca="1">IFERROR(__xludf.DUMMYFUNCTION("IMPORTRANGE(H9266,""IDENTITAS UNIT!D9"")"),"#N/A")</f>
        <v>#N/A</v>
      </c>
      <c r="H9266" s="4" t="str">
        <v/>
      </c>
      <c r="I9266" s="4" t="str">
        <v/>
      </c>
    </row>
    <row r="9267" spans="5:9" ht="16.5" hidden="1">
      <c r="E9267" s="4" t="str">
        <v/>
      </c>
      <c r="F9267" s="102" t="str">
        <f ca="1">IFERROR(__xludf.DUMMYFUNCTION("IMPORTRANGE(H9267,""IDENTITAS UNIT!D9"")"),"#N/A")</f>
        <v>#N/A</v>
      </c>
      <c r="H9267" s="4" t="str">
        <v/>
      </c>
      <c r="I9267" s="4" t="str">
        <v/>
      </c>
    </row>
    <row r="9268" spans="5:9" ht="16.5" hidden="1">
      <c r="E9268" s="4" t="str">
        <v/>
      </c>
      <c r="F9268" s="102" t="str">
        <f ca="1">IFERROR(__xludf.DUMMYFUNCTION("IMPORTRANGE(H9268,""IDENTITAS UNIT!D9"")"),"#N/A")</f>
        <v>#N/A</v>
      </c>
      <c r="H9268" s="4" t="str">
        <v/>
      </c>
      <c r="I9268" s="4" t="str">
        <v/>
      </c>
    </row>
    <row r="9269" spans="5:9" ht="16.5" hidden="1">
      <c r="E9269" s="4" t="str">
        <v/>
      </c>
      <c r="F9269" s="102" t="str">
        <f ca="1">IFERROR(__xludf.DUMMYFUNCTION("IMPORTRANGE(H9269,""IDENTITAS UNIT!D9"")"),"#N/A")</f>
        <v>#N/A</v>
      </c>
      <c r="H9269" s="4" t="str">
        <v/>
      </c>
      <c r="I9269" s="4" t="str">
        <v/>
      </c>
    </row>
    <row r="9270" spans="5:9" ht="16.5" hidden="1">
      <c r="E9270" s="4" t="str">
        <v/>
      </c>
      <c r="F9270" s="102" t="str">
        <f ca="1">IFERROR(__xludf.DUMMYFUNCTION("IMPORTRANGE(H9270,""IDENTITAS UNIT!D9"")"),"#N/A")</f>
        <v>#N/A</v>
      </c>
      <c r="H9270" s="4" t="str">
        <v/>
      </c>
      <c r="I9270" s="4" t="str">
        <v/>
      </c>
    </row>
    <row r="9271" spans="5:9" ht="16.5" hidden="1">
      <c r="E9271" s="4" t="str">
        <v/>
      </c>
      <c r="F9271" s="102" t="str">
        <f ca="1">IFERROR(__xludf.DUMMYFUNCTION("IMPORTRANGE(H9271,""IDENTITAS UNIT!D9"")"),"#N/A")</f>
        <v>#N/A</v>
      </c>
      <c r="H9271" s="4" t="str">
        <v/>
      </c>
      <c r="I9271" s="4" t="str">
        <v/>
      </c>
    </row>
    <row r="9272" spans="5:9" ht="16.5" hidden="1">
      <c r="E9272" s="4" t="str">
        <v/>
      </c>
      <c r="F9272" s="102" t="str">
        <f ca="1">IFERROR(__xludf.DUMMYFUNCTION("IMPORTRANGE(H9272,""IDENTITAS UNIT!D9"")"),"#N/A")</f>
        <v>#N/A</v>
      </c>
      <c r="H9272" s="4" t="str">
        <v/>
      </c>
      <c r="I9272" s="4" t="str">
        <v/>
      </c>
    </row>
    <row r="9273" spans="5:9" ht="16.5" hidden="1">
      <c r="E9273" s="4" t="str">
        <v/>
      </c>
      <c r="F9273" s="102" t="str">
        <f ca="1">IFERROR(__xludf.DUMMYFUNCTION("IMPORTRANGE(H9273,""IDENTITAS UNIT!D9"")"),"#N/A")</f>
        <v>#N/A</v>
      </c>
      <c r="H9273" s="4" t="str">
        <v/>
      </c>
      <c r="I9273" s="4" t="str">
        <v/>
      </c>
    </row>
    <row r="9274" spans="5:9" ht="16.5" hidden="1">
      <c r="E9274" s="4" t="str">
        <v/>
      </c>
      <c r="F9274" s="102" t="str">
        <f ca="1">IFERROR(__xludf.DUMMYFUNCTION("IMPORTRANGE(H9274,""IDENTITAS UNIT!D9"")"),"#N/A")</f>
        <v>#N/A</v>
      </c>
      <c r="H9274" s="4" t="str">
        <v/>
      </c>
      <c r="I9274" s="4" t="str">
        <v/>
      </c>
    </row>
    <row r="9275" spans="5:9" ht="16.5" hidden="1">
      <c r="E9275" s="4" t="str">
        <v/>
      </c>
      <c r="F9275" s="102" t="str">
        <f ca="1">IFERROR(__xludf.DUMMYFUNCTION("IMPORTRANGE(H9275,""IDENTITAS UNIT!D9"")"),"#N/A")</f>
        <v>#N/A</v>
      </c>
      <c r="H9275" s="4" t="str">
        <v/>
      </c>
      <c r="I9275" s="4" t="str">
        <v/>
      </c>
    </row>
    <row r="9276" spans="5:9" ht="16.5" hidden="1">
      <c r="E9276" s="4" t="str">
        <v/>
      </c>
      <c r="F9276" s="102" t="str">
        <f ca="1">IFERROR(__xludf.DUMMYFUNCTION("IMPORTRANGE(H9276,""IDENTITAS UNIT!D9"")"),"#N/A")</f>
        <v>#N/A</v>
      </c>
      <c r="H9276" s="4" t="str">
        <v/>
      </c>
      <c r="I9276" s="4" t="str">
        <v/>
      </c>
    </row>
    <row r="9277" spans="5:9" ht="16.5" hidden="1">
      <c r="E9277" s="4" t="str">
        <v/>
      </c>
      <c r="F9277" s="102" t="str">
        <f ca="1">IFERROR(__xludf.DUMMYFUNCTION("IMPORTRANGE(H9277,""IDENTITAS UNIT!D9"")"),"#N/A")</f>
        <v>#N/A</v>
      </c>
      <c r="H9277" s="4" t="str">
        <v/>
      </c>
      <c r="I9277" s="4" t="str">
        <v/>
      </c>
    </row>
    <row r="9278" spans="5:9" ht="16.5" hidden="1">
      <c r="E9278" s="4" t="str">
        <v/>
      </c>
      <c r="F9278" s="102" t="str">
        <f ca="1">IFERROR(__xludf.DUMMYFUNCTION("IMPORTRANGE(H9278,""IDENTITAS UNIT!D9"")"),"#N/A")</f>
        <v>#N/A</v>
      </c>
      <c r="H9278" s="4" t="str">
        <v/>
      </c>
      <c r="I9278" s="4" t="str">
        <v/>
      </c>
    </row>
    <row r="9279" spans="5:9" ht="16.5" hidden="1">
      <c r="E9279" s="4" t="str">
        <v/>
      </c>
      <c r="F9279" s="102" t="str">
        <f ca="1">IFERROR(__xludf.DUMMYFUNCTION("IMPORTRANGE(H9279,""IDENTITAS UNIT!D9"")"),"#N/A")</f>
        <v>#N/A</v>
      </c>
      <c r="H9279" s="4" t="str">
        <v/>
      </c>
      <c r="I9279" s="4" t="str">
        <v/>
      </c>
    </row>
    <row r="9280" spans="5:9" ht="16.5" hidden="1">
      <c r="E9280" s="4" t="str">
        <v/>
      </c>
      <c r="F9280" s="102" t="str">
        <f ca="1">IFERROR(__xludf.DUMMYFUNCTION("IMPORTRANGE(H9280,""IDENTITAS UNIT!D9"")"),"#N/A")</f>
        <v>#N/A</v>
      </c>
      <c r="H9280" s="4" t="str">
        <v/>
      </c>
      <c r="I9280" s="4" t="str">
        <v/>
      </c>
    </row>
    <row r="9281" spans="5:9" ht="16.5" hidden="1">
      <c r="E9281" s="4" t="str">
        <v/>
      </c>
      <c r="F9281" s="102" t="str">
        <f ca="1">IFERROR(__xludf.DUMMYFUNCTION("IMPORTRANGE(H9281,""IDENTITAS UNIT!D9"")"),"#N/A")</f>
        <v>#N/A</v>
      </c>
      <c r="H9281" s="4" t="str">
        <v/>
      </c>
      <c r="I9281" s="4" t="str">
        <v/>
      </c>
    </row>
    <row r="9282" spans="5:9" ht="16.5" hidden="1">
      <c r="E9282" s="4" t="str">
        <v/>
      </c>
      <c r="F9282" s="102" t="str">
        <f ca="1">IFERROR(__xludf.DUMMYFUNCTION("IMPORTRANGE(H9282,""IDENTITAS UNIT!D9"")"),"#N/A")</f>
        <v>#N/A</v>
      </c>
      <c r="H9282" s="4" t="str">
        <v/>
      </c>
      <c r="I9282" s="4" t="str">
        <v/>
      </c>
    </row>
    <row r="9283" spans="5:9" ht="16.5" hidden="1">
      <c r="E9283" s="4" t="str">
        <v/>
      </c>
      <c r="F9283" s="102" t="str">
        <f ca="1">IFERROR(__xludf.DUMMYFUNCTION("IMPORTRANGE(H9283,""IDENTITAS UNIT!D9"")"),"#N/A")</f>
        <v>#N/A</v>
      </c>
      <c r="H9283" s="4" t="str">
        <v/>
      </c>
      <c r="I9283" s="4" t="str">
        <v/>
      </c>
    </row>
    <row r="9284" spans="5:9" ht="16.5" hidden="1">
      <c r="E9284" s="4" t="str">
        <v/>
      </c>
      <c r="F9284" s="102" t="str">
        <f ca="1">IFERROR(__xludf.DUMMYFUNCTION("IMPORTRANGE(H9284,""IDENTITAS UNIT!D9"")"),"#N/A")</f>
        <v>#N/A</v>
      </c>
      <c r="H9284" s="4" t="str">
        <v/>
      </c>
      <c r="I9284" s="4" t="str">
        <v/>
      </c>
    </row>
    <row r="9285" spans="5:9" ht="16.5" hidden="1">
      <c r="E9285" s="4" t="str">
        <v/>
      </c>
      <c r="F9285" s="102" t="str">
        <f ca="1">IFERROR(__xludf.DUMMYFUNCTION("IMPORTRANGE(H9285,""IDENTITAS UNIT!D9"")"),"#N/A")</f>
        <v>#N/A</v>
      </c>
      <c r="H9285" s="4" t="str">
        <v/>
      </c>
      <c r="I9285" s="4" t="str">
        <v/>
      </c>
    </row>
    <row r="9286" spans="5:9" ht="16.5" hidden="1">
      <c r="E9286" s="4" t="str">
        <v/>
      </c>
      <c r="F9286" s="102" t="str">
        <f ca="1">IFERROR(__xludf.DUMMYFUNCTION("IMPORTRANGE(H9286,""IDENTITAS UNIT!D9"")"),"#N/A")</f>
        <v>#N/A</v>
      </c>
      <c r="H9286" s="4" t="str">
        <v/>
      </c>
      <c r="I9286" s="4" t="str">
        <v/>
      </c>
    </row>
    <row r="9287" spans="5:9" ht="16.5" hidden="1">
      <c r="E9287" s="4" t="str">
        <v/>
      </c>
      <c r="F9287" s="102" t="str">
        <f ca="1">IFERROR(__xludf.DUMMYFUNCTION("IMPORTRANGE(H9287,""IDENTITAS UNIT!D9"")"),"#N/A")</f>
        <v>#N/A</v>
      </c>
      <c r="H9287" s="4" t="str">
        <v/>
      </c>
      <c r="I9287" s="4" t="str">
        <v/>
      </c>
    </row>
    <row r="9288" spans="5:9" ht="16.5" hidden="1">
      <c r="E9288" s="4" t="str">
        <v/>
      </c>
      <c r="F9288" s="102" t="str">
        <f ca="1">IFERROR(__xludf.DUMMYFUNCTION("IMPORTRANGE(H9288,""IDENTITAS UNIT!D9"")"),"#N/A")</f>
        <v>#N/A</v>
      </c>
      <c r="H9288" s="4" t="str">
        <v/>
      </c>
      <c r="I9288" s="4" t="str">
        <v/>
      </c>
    </row>
    <row r="9289" spans="5:9" ht="16.5" hidden="1">
      <c r="E9289" s="4" t="str">
        <v/>
      </c>
      <c r="F9289" s="102" t="str">
        <f ca="1">IFERROR(__xludf.DUMMYFUNCTION("IMPORTRANGE(H9289,""IDENTITAS UNIT!D9"")"),"#N/A")</f>
        <v>#N/A</v>
      </c>
      <c r="H9289" s="4" t="str">
        <v/>
      </c>
      <c r="I9289" s="4" t="str">
        <v/>
      </c>
    </row>
    <row r="9290" spans="5:9" ht="16.5" hidden="1">
      <c r="E9290" s="4" t="str">
        <v/>
      </c>
      <c r="F9290" s="102" t="str">
        <f ca="1">IFERROR(__xludf.DUMMYFUNCTION("IMPORTRANGE(H9290,""IDENTITAS UNIT!D9"")"),"#N/A")</f>
        <v>#N/A</v>
      </c>
      <c r="H9290" s="4" t="str">
        <v/>
      </c>
      <c r="I9290" s="4" t="str">
        <v/>
      </c>
    </row>
    <row r="9291" spans="5:9" ht="16.5" hidden="1">
      <c r="E9291" s="4" t="str">
        <v/>
      </c>
      <c r="F9291" s="102" t="str">
        <f ca="1">IFERROR(__xludf.DUMMYFUNCTION("IMPORTRANGE(H9291,""IDENTITAS UNIT!D9"")"),"#N/A")</f>
        <v>#N/A</v>
      </c>
      <c r="H9291" s="4" t="str">
        <v/>
      </c>
      <c r="I9291" s="4" t="str">
        <v/>
      </c>
    </row>
    <row r="9292" spans="5:9" ht="16.5" hidden="1">
      <c r="E9292" s="4" t="str">
        <v/>
      </c>
      <c r="F9292" s="102" t="str">
        <f ca="1">IFERROR(__xludf.DUMMYFUNCTION("IMPORTRANGE(H9292,""IDENTITAS UNIT!D9"")"),"#N/A")</f>
        <v>#N/A</v>
      </c>
      <c r="H9292" s="4" t="str">
        <v/>
      </c>
      <c r="I9292" s="4" t="str">
        <v/>
      </c>
    </row>
    <row r="9293" spans="5:9" ht="16.5" hidden="1">
      <c r="E9293" s="4" t="str">
        <v/>
      </c>
      <c r="F9293" s="102" t="str">
        <f ca="1">IFERROR(__xludf.DUMMYFUNCTION("IMPORTRANGE(H9293,""IDENTITAS UNIT!D9"")"),"#N/A")</f>
        <v>#N/A</v>
      </c>
      <c r="H9293" s="4" t="str">
        <v/>
      </c>
      <c r="I9293" s="4" t="str">
        <v/>
      </c>
    </row>
    <row r="9294" spans="5:9" ht="16.5" hidden="1">
      <c r="E9294" s="4" t="str">
        <v/>
      </c>
      <c r="F9294" s="102" t="str">
        <f ca="1">IFERROR(__xludf.DUMMYFUNCTION("IMPORTRANGE(H9294,""IDENTITAS UNIT!D9"")"),"#N/A")</f>
        <v>#N/A</v>
      </c>
      <c r="H9294" s="4" t="str">
        <v/>
      </c>
      <c r="I9294" s="4" t="str">
        <v/>
      </c>
    </row>
    <row r="9295" spans="5:9" ht="16.5" hidden="1">
      <c r="E9295" s="4" t="str">
        <v/>
      </c>
      <c r="F9295" s="102" t="str">
        <f ca="1">IFERROR(__xludf.DUMMYFUNCTION("IMPORTRANGE(H9295,""IDENTITAS UNIT!D9"")"),"#N/A")</f>
        <v>#N/A</v>
      </c>
      <c r="H9295" s="4" t="str">
        <v/>
      </c>
      <c r="I9295" s="4" t="str">
        <v/>
      </c>
    </row>
    <row r="9296" spans="5:9" ht="16.5" hidden="1">
      <c r="E9296" s="4" t="str">
        <v/>
      </c>
      <c r="F9296" s="102" t="str">
        <f ca="1">IFERROR(__xludf.DUMMYFUNCTION("IMPORTRANGE(H9296,""IDENTITAS UNIT!D9"")"),"#N/A")</f>
        <v>#N/A</v>
      </c>
      <c r="H9296" s="4" t="str">
        <v/>
      </c>
      <c r="I9296" s="4" t="str">
        <v/>
      </c>
    </row>
    <row r="9297" spans="5:9" ht="16.5" hidden="1">
      <c r="E9297" s="4" t="str">
        <v/>
      </c>
      <c r="F9297" s="102" t="str">
        <f ca="1">IFERROR(__xludf.DUMMYFUNCTION("IMPORTRANGE(H9297,""IDENTITAS UNIT!D9"")"),"#N/A")</f>
        <v>#N/A</v>
      </c>
      <c r="H9297" s="4" t="str">
        <v/>
      </c>
      <c r="I9297" s="4" t="str">
        <v/>
      </c>
    </row>
    <row r="9298" spans="5:9" ht="16.5" hidden="1">
      <c r="E9298" s="4" t="str">
        <v/>
      </c>
      <c r="F9298" s="102" t="str">
        <f ca="1">IFERROR(__xludf.DUMMYFUNCTION("IMPORTRANGE(H9298,""IDENTITAS UNIT!D9"")"),"#N/A")</f>
        <v>#N/A</v>
      </c>
      <c r="H9298" s="4" t="str">
        <v/>
      </c>
      <c r="I9298" s="4" t="str">
        <v/>
      </c>
    </row>
    <row r="9299" spans="5:9" ht="16.5" hidden="1">
      <c r="E9299" s="4" t="str">
        <v/>
      </c>
      <c r="F9299" s="102" t="str">
        <f ca="1">IFERROR(__xludf.DUMMYFUNCTION("IMPORTRANGE(H9299,""IDENTITAS UNIT!D9"")"),"#N/A")</f>
        <v>#N/A</v>
      </c>
      <c r="H9299" s="4" t="str">
        <v/>
      </c>
      <c r="I9299" s="4" t="str">
        <v/>
      </c>
    </row>
    <row r="9300" spans="5:9" ht="16.5" hidden="1">
      <c r="E9300" s="4" t="str">
        <v/>
      </c>
      <c r="F9300" s="102" t="str">
        <f ca="1">IFERROR(__xludf.DUMMYFUNCTION("IMPORTRANGE(H9300,""IDENTITAS UNIT!D9"")"),"#N/A")</f>
        <v>#N/A</v>
      </c>
      <c r="H9300" s="4" t="str">
        <v/>
      </c>
      <c r="I9300" s="4" t="str">
        <v/>
      </c>
    </row>
    <row r="9301" spans="5:9" ht="16.5" hidden="1">
      <c r="E9301" s="4" t="str">
        <v/>
      </c>
      <c r="F9301" s="102" t="str">
        <f ca="1">IFERROR(__xludf.DUMMYFUNCTION("IMPORTRANGE(H9301,""IDENTITAS UNIT!D9"")"),"#N/A")</f>
        <v>#N/A</v>
      </c>
      <c r="H9301" s="4" t="str">
        <v/>
      </c>
      <c r="I9301" s="4" t="str">
        <v/>
      </c>
    </row>
    <row r="9302" spans="5:9" ht="16.5" hidden="1">
      <c r="E9302" s="4" t="str">
        <v/>
      </c>
      <c r="F9302" s="102" t="str">
        <f ca="1">IFERROR(__xludf.DUMMYFUNCTION("IMPORTRANGE(H9302,""IDENTITAS UNIT!D9"")"),"#N/A")</f>
        <v>#N/A</v>
      </c>
      <c r="H9302" s="4" t="str">
        <v/>
      </c>
      <c r="I9302" s="4" t="str">
        <v/>
      </c>
    </row>
    <row r="9303" spans="5:9" ht="16.5" hidden="1">
      <c r="E9303" s="4" t="str">
        <v/>
      </c>
      <c r="F9303" s="102" t="str">
        <f ca="1">IFERROR(__xludf.DUMMYFUNCTION("IMPORTRANGE(H9303,""IDENTITAS UNIT!D9"")"),"#N/A")</f>
        <v>#N/A</v>
      </c>
      <c r="H9303" s="4" t="str">
        <v/>
      </c>
      <c r="I9303" s="4" t="str">
        <v/>
      </c>
    </row>
    <row r="9304" spans="5:9" ht="16.5" hidden="1">
      <c r="E9304" s="4" t="str">
        <v/>
      </c>
      <c r="F9304" s="102" t="str">
        <f ca="1">IFERROR(__xludf.DUMMYFUNCTION("IMPORTRANGE(H9304,""IDENTITAS UNIT!D9"")"),"#N/A")</f>
        <v>#N/A</v>
      </c>
      <c r="H9304" s="4" t="str">
        <v/>
      </c>
      <c r="I9304" s="4" t="str">
        <v/>
      </c>
    </row>
    <row r="9305" spans="5:9" ht="16.5" hidden="1">
      <c r="E9305" s="4" t="str">
        <v/>
      </c>
      <c r="F9305" s="102" t="str">
        <f ca="1">IFERROR(__xludf.DUMMYFUNCTION("IMPORTRANGE(H9305,""IDENTITAS UNIT!D9"")"),"#N/A")</f>
        <v>#N/A</v>
      </c>
      <c r="H9305" s="4" t="str">
        <v/>
      </c>
      <c r="I9305" s="4" t="str">
        <v/>
      </c>
    </row>
    <row r="9306" spans="5:9" ht="16.5" hidden="1">
      <c r="E9306" s="4" t="str">
        <v/>
      </c>
      <c r="F9306" s="102" t="str">
        <f ca="1">IFERROR(__xludf.DUMMYFUNCTION("IMPORTRANGE(H9306,""IDENTITAS UNIT!D9"")"),"#N/A")</f>
        <v>#N/A</v>
      </c>
      <c r="H9306" s="4" t="str">
        <v/>
      </c>
      <c r="I9306" s="4" t="str">
        <v/>
      </c>
    </row>
    <row r="9307" spans="5:9" ht="16.5" hidden="1">
      <c r="E9307" s="4" t="str">
        <v/>
      </c>
      <c r="F9307" s="102" t="str">
        <f ca="1">IFERROR(__xludf.DUMMYFUNCTION("IMPORTRANGE(H9307,""IDENTITAS UNIT!D9"")"),"#N/A")</f>
        <v>#N/A</v>
      </c>
      <c r="H9307" s="4" t="str">
        <v/>
      </c>
      <c r="I9307" s="4" t="str">
        <v/>
      </c>
    </row>
    <row r="9308" spans="5:9" ht="16.5" hidden="1">
      <c r="E9308" s="4" t="str">
        <v/>
      </c>
      <c r="F9308" s="102" t="str">
        <f ca="1">IFERROR(__xludf.DUMMYFUNCTION("IMPORTRANGE(H9308,""IDENTITAS UNIT!D9"")"),"#N/A")</f>
        <v>#N/A</v>
      </c>
      <c r="H9308" s="4" t="str">
        <v/>
      </c>
      <c r="I9308" s="4" t="str">
        <v/>
      </c>
    </row>
    <row r="9309" spans="5:9" ht="16.5" hidden="1">
      <c r="E9309" s="4" t="str">
        <v/>
      </c>
      <c r="F9309" s="102" t="str">
        <f ca="1">IFERROR(__xludf.DUMMYFUNCTION("IMPORTRANGE(H9309,""IDENTITAS UNIT!D9"")"),"#N/A")</f>
        <v>#N/A</v>
      </c>
      <c r="H9309" s="4" t="str">
        <v/>
      </c>
      <c r="I9309" s="4" t="str">
        <v/>
      </c>
    </row>
    <row r="9310" spans="5:9" ht="16.5" hidden="1">
      <c r="E9310" s="4" t="str">
        <v/>
      </c>
      <c r="F9310" s="102" t="str">
        <f ca="1">IFERROR(__xludf.DUMMYFUNCTION("IMPORTRANGE(H9310,""IDENTITAS UNIT!D9"")"),"#N/A")</f>
        <v>#N/A</v>
      </c>
      <c r="H9310" s="4" t="str">
        <v/>
      </c>
      <c r="I9310" s="4" t="str">
        <v/>
      </c>
    </row>
    <row r="9311" spans="5:9" ht="16.5" hidden="1">
      <c r="E9311" s="4" t="str">
        <v/>
      </c>
      <c r="F9311" s="102" t="str">
        <f ca="1">IFERROR(__xludf.DUMMYFUNCTION("IMPORTRANGE(H9311,""IDENTITAS UNIT!D9"")"),"#N/A")</f>
        <v>#N/A</v>
      </c>
      <c r="H9311" s="4" t="str">
        <v/>
      </c>
      <c r="I9311" s="4" t="str">
        <v/>
      </c>
    </row>
    <row r="9312" spans="5:9" ht="16.5" hidden="1">
      <c r="E9312" s="4" t="str">
        <v/>
      </c>
      <c r="F9312" s="102" t="str">
        <f ca="1">IFERROR(__xludf.DUMMYFUNCTION("IMPORTRANGE(H9312,""IDENTITAS UNIT!D9"")"),"#N/A")</f>
        <v>#N/A</v>
      </c>
      <c r="H9312" s="4" t="str">
        <v/>
      </c>
      <c r="I9312" s="4" t="str">
        <v/>
      </c>
    </row>
    <row r="9313" spans="5:9" ht="16.5" hidden="1">
      <c r="E9313" s="4" t="str">
        <v/>
      </c>
      <c r="F9313" s="102" t="str">
        <f ca="1">IFERROR(__xludf.DUMMYFUNCTION("IMPORTRANGE(H9313,""IDENTITAS UNIT!D9"")"),"#N/A")</f>
        <v>#N/A</v>
      </c>
      <c r="H9313" s="4" t="str">
        <v/>
      </c>
      <c r="I9313" s="4" t="str">
        <v/>
      </c>
    </row>
    <row r="9314" spans="5:9" ht="16.5" hidden="1">
      <c r="E9314" s="4" t="str">
        <v/>
      </c>
      <c r="F9314" s="102" t="str">
        <f ca="1">IFERROR(__xludf.DUMMYFUNCTION("IMPORTRANGE(H9314,""IDENTITAS UNIT!D9"")"),"#N/A")</f>
        <v>#N/A</v>
      </c>
      <c r="H9314" s="4" t="str">
        <v/>
      </c>
      <c r="I9314" s="4" t="str">
        <v/>
      </c>
    </row>
    <row r="9315" spans="5:9" ht="16.5" hidden="1">
      <c r="E9315" s="4" t="str">
        <v/>
      </c>
      <c r="F9315" s="102" t="str">
        <f ca="1">IFERROR(__xludf.DUMMYFUNCTION("IMPORTRANGE(H9315,""IDENTITAS UNIT!D9"")"),"#N/A")</f>
        <v>#N/A</v>
      </c>
      <c r="H9315" s="4" t="str">
        <v/>
      </c>
      <c r="I9315" s="4" t="str">
        <v/>
      </c>
    </row>
    <row r="9316" spans="5:9" ht="16.5" hidden="1">
      <c r="E9316" s="4" t="str">
        <v/>
      </c>
      <c r="F9316" s="102" t="str">
        <f ca="1">IFERROR(__xludf.DUMMYFUNCTION("IMPORTRANGE(H9316,""IDENTITAS UNIT!D9"")"),"#N/A")</f>
        <v>#N/A</v>
      </c>
      <c r="H9316" s="4" t="str">
        <v/>
      </c>
      <c r="I9316" s="4" t="str">
        <v/>
      </c>
    </row>
    <row r="9317" spans="5:9" ht="16.5" hidden="1">
      <c r="E9317" s="4" t="str">
        <v/>
      </c>
      <c r="F9317" s="102" t="str">
        <f ca="1">IFERROR(__xludf.DUMMYFUNCTION("IMPORTRANGE(H9317,""IDENTITAS UNIT!D9"")"),"#N/A")</f>
        <v>#N/A</v>
      </c>
      <c r="H9317" s="4" t="str">
        <v/>
      </c>
      <c r="I9317" s="4" t="str">
        <v/>
      </c>
    </row>
    <row r="9318" spans="5:9" ht="16.5" hidden="1">
      <c r="E9318" s="4" t="str">
        <v/>
      </c>
      <c r="F9318" s="102" t="str">
        <f ca="1">IFERROR(__xludf.DUMMYFUNCTION("IMPORTRANGE(H9318,""IDENTITAS UNIT!D9"")"),"#N/A")</f>
        <v>#N/A</v>
      </c>
      <c r="H9318" s="4" t="str">
        <v/>
      </c>
      <c r="I9318" s="4" t="str">
        <v/>
      </c>
    </row>
    <row r="9319" spans="5:9" ht="16.5" hidden="1">
      <c r="E9319" s="4" t="str">
        <v/>
      </c>
      <c r="F9319" s="102" t="str">
        <f ca="1">IFERROR(__xludf.DUMMYFUNCTION("IMPORTRANGE(H9319,""IDENTITAS UNIT!D9"")"),"#N/A")</f>
        <v>#N/A</v>
      </c>
      <c r="H9319" s="4" t="str">
        <v/>
      </c>
      <c r="I9319" s="4" t="str">
        <v/>
      </c>
    </row>
    <row r="9320" spans="5:9" ht="16.5" hidden="1">
      <c r="E9320" s="4" t="str">
        <v/>
      </c>
      <c r="F9320" s="102" t="str">
        <f ca="1">IFERROR(__xludf.DUMMYFUNCTION("IMPORTRANGE(H9320,""IDENTITAS UNIT!D9"")"),"#N/A")</f>
        <v>#N/A</v>
      </c>
      <c r="H9320" s="4" t="str">
        <v/>
      </c>
      <c r="I9320" s="4" t="str">
        <v/>
      </c>
    </row>
    <row r="9321" spans="5:9" ht="16.5" hidden="1">
      <c r="E9321" s="4" t="str">
        <v/>
      </c>
      <c r="F9321" s="102" t="str">
        <f ca="1">IFERROR(__xludf.DUMMYFUNCTION("IMPORTRANGE(H9321,""IDENTITAS UNIT!D9"")"),"#N/A")</f>
        <v>#N/A</v>
      </c>
      <c r="H9321" s="4" t="str">
        <v/>
      </c>
      <c r="I9321" s="4" t="str">
        <v/>
      </c>
    </row>
    <row r="9322" spans="5:9" ht="16.5" hidden="1">
      <c r="E9322" s="4" t="str">
        <v/>
      </c>
      <c r="F9322" s="102" t="str">
        <f ca="1">IFERROR(__xludf.DUMMYFUNCTION("IMPORTRANGE(H9322,""IDENTITAS UNIT!D9"")"),"#N/A")</f>
        <v>#N/A</v>
      </c>
      <c r="H9322" s="4" t="str">
        <v/>
      </c>
      <c r="I9322" s="4" t="str">
        <v/>
      </c>
    </row>
    <row r="9323" spans="5:9" ht="16.5" hidden="1">
      <c r="E9323" s="4" t="str">
        <v/>
      </c>
      <c r="F9323" s="102" t="str">
        <f ca="1">IFERROR(__xludf.DUMMYFUNCTION("IMPORTRANGE(H9323,""IDENTITAS UNIT!D9"")"),"#N/A")</f>
        <v>#N/A</v>
      </c>
      <c r="H9323" s="4" t="str">
        <v/>
      </c>
      <c r="I9323" s="4" t="str">
        <v/>
      </c>
    </row>
    <row r="9324" spans="5:9" ht="16.5" hidden="1">
      <c r="E9324" s="4" t="str">
        <v/>
      </c>
      <c r="F9324" s="102" t="str">
        <f ca="1">IFERROR(__xludf.DUMMYFUNCTION("IMPORTRANGE(H9324,""IDENTITAS UNIT!D9"")"),"#N/A")</f>
        <v>#N/A</v>
      </c>
      <c r="H9324" s="4" t="str">
        <v/>
      </c>
      <c r="I9324" s="4" t="str">
        <v/>
      </c>
    </row>
    <row r="9325" spans="5:9" ht="16.5" hidden="1">
      <c r="E9325" s="4" t="str">
        <v/>
      </c>
      <c r="F9325" s="102" t="str">
        <f ca="1">IFERROR(__xludf.DUMMYFUNCTION("IMPORTRANGE(H9325,""IDENTITAS UNIT!D9"")"),"#N/A")</f>
        <v>#N/A</v>
      </c>
      <c r="H9325" s="4" t="str">
        <v/>
      </c>
      <c r="I9325" s="4" t="str">
        <v/>
      </c>
    </row>
    <row r="9326" spans="5:9" ht="16.5" hidden="1">
      <c r="E9326" s="4" t="str">
        <v/>
      </c>
      <c r="F9326" s="102" t="str">
        <f ca="1">IFERROR(__xludf.DUMMYFUNCTION("IMPORTRANGE(H9326,""IDENTITAS UNIT!D9"")"),"#N/A")</f>
        <v>#N/A</v>
      </c>
      <c r="H9326" s="4" t="str">
        <v/>
      </c>
      <c r="I9326" s="4" t="str">
        <v/>
      </c>
    </row>
    <row r="9327" spans="5:9" ht="16.5" hidden="1">
      <c r="E9327" s="4" t="str">
        <v/>
      </c>
      <c r="F9327" s="102" t="str">
        <f ca="1">IFERROR(__xludf.DUMMYFUNCTION("IMPORTRANGE(H9327,""IDENTITAS UNIT!D9"")"),"#N/A")</f>
        <v>#N/A</v>
      </c>
      <c r="H9327" s="4" t="str">
        <v/>
      </c>
      <c r="I9327" s="4" t="str">
        <v/>
      </c>
    </row>
    <row r="9328" spans="5:9" ht="16.5" hidden="1">
      <c r="E9328" s="4" t="str">
        <v/>
      </c>
      <c r="F9328" s="102" t="str">
        <f ca="1">IFERROR(__xludf.DUMMYFUNCTION("IMPORTRANGE(H9328,""IDENTITAS UNIT!D9"")"),"#N/A")</f>
        <v>#N/A</v>
      </c>
      <c r="H9328" s="4" t="str">
        <v/>
      </c>
      <c r="I9328" s="4" t="str">
        <v/>
      </c>
    </row>
    <row r="9329" spans="5:9" ht="16.5" hidden="1">
      <c r="E9329" s="4" t="str">
        <v/>
      </c>
      <c r="F9329" s="102" t="str">
        <f ca="1">IFERROR(__xludf.DUMMYFUNCTION("IMPORTRANGE(H9329,""IDENTITAS UNIT!D9"")"),"#N/A")</f>
        <v>#N/A</v>
      </c>
      <c r="H9329" s="4" t="str">
        <v/>
      </c>
      <c r="I9329" s="4" t="str">
        <v/>
      </c>
    </row>
    <row r="9330" spans="5:9" ht="16.5" hidden="1">
      <c r="E9330" s="4" t="str">
        <v/>
      </c>
      <c r="F9330" s="102" t="str">
        <f ca="1">IFERROR(__xludf.DUMMYFUNCTION("IMPORTRANGE(H9330,""IDENTITAS UNIT!D9"")"),"#N/A")</f>
        <v>#N/A</v>
      </c>
      <c r="H9330" s="4" t="str">
        <v/>
      </c>
      <c r="I9330" s="4" t="str">
        <v/>
      </c>
    </row>
    <row r="9331" spans="5:9" ht="16.5" hidden="1">
      <c r="E9331" s="4" t="str">
        <v/>
      </c>
      <c r="F9331" s="102" t="str">
        <f ca="1">IFERROR(__xludf.DUMMYFUNCTION("IMPORTRANGE(H9331,""IDENTITAS UNIT!D9"")"),"#N/A")</f>
        <v>#N/A</v>
      </c>
      <c r="H9331" s="4" t="str">
        <v/>
      </c>
      <c r="I9331" s="4" t="str">
        <v/>
      </c>
    </row>
    <row r="9332" spans="5:9" ht="16.5" hidden="1">
      <c r="E9332" s="4" t="str">
        <v/>
      </c>
      <c r="F9332" s="102" t="str">
        <f ca="1">IFERROR(__xludf.DUMMYFUNCTION("IMPORTRANGE(H9332,""IDENTITAS UNIT!D9"")"),"#N/A")</f>
        <v>#N/A</v>
      </c>
      <c r="H9332" s="4" t="str">
        <v/>
      </c>
      <c r="I9332" s="4" t="str">
        <v/>
      </c>
    </row>
    <row r="9333" spans="5:9" ht="16.5" hidden="1">
      <c r="E9333" s="4" t="str">
        <v/>
      </c>
      <c r="F9333" s="102" t="str">
        <f ca="1">IFERROR(__xludf.DUMMYFUNCTION("IMPORTRANGE(H9333,""IDENTITAS UNIT!D9"")"),"#N/A")</f>
        <v>#N/A</v>
      </c>
      <c r="H9333" s="4" t="str">
        <v/>
      </c>
      <c r="I9333" s="4" t="str">
        <v/>
      </c>
    </row>
    <row r="9334" spans="5:9" ht="16.5" hidden="1">
      <c r="E9334" s="4" t="str">
        <v/>
      </c>
      <c r="F9334" s="102" t="str">
        <f ca="1">IFERROR(__xludf.DUMMYFUNCTION("IMPORTRANGE(H9334,""IDENTITAS UNIT!D9"")"),"#N/A")</f>
        <v>#N/A</v>
      </c>
      <c r="H9334" s="4" t="str">
        <v/>
      </c>
      <c r="I9334" s="4" t="str">
        <v/>
      </c>
    </row>
    <row r="9335" spans="5:9" ht="16.5" hidden="1">
      <c r="E9335" s="4" t="str">
        <v/>
      </c>
      <c r="F9335" s="102" t="str">
        <f ca="1">IFERROR(__xludf.DUMMYFUNCTION("IMPORTRANGE(H9335,""IDENTITAS UNIT!D9"")"),"#N/A")</f>
        <v>#N/A</v>
      </c>
      <c r="H9335" s="4" t="str">
        <v/>
      </c>
      <c r="I9335" s="4" t="str">
        <v/>
      </c>
    </row>
    <row r="9336" spans="5:9" ht="16.5" hidden="1">
      <c r="E9336" s="4" t="str">
        <v/>
      </c>
      <c r="F9336" s="102" t="str">
        <f ca="1">IFERROR(__xludf.DUMMYFUNCTION("IMPORTRANGE(H9336,""IDENTITAS UNIT!D9"")"),"#N/A")</f>
        <v>#N/A</v>
      </c>
      <c r="H9336" s="4" t="str">
        <v/>
      </c>
      <c r="I9336" s="4" t="str">
        <v/>
      </c>
    </row>
    <row r="9337" spans="5:9" ht="16.5" hidden="1">
      <c r="E9337" s="4" t="str">
        <v/>
      </c>
      <c r="F9337" s="102" t="str">
        <f ca="1">IFERROR(__xludf.DUMMYFUNCTION("IMPORTRANGE(H9337,""IDENTITAS UNIT!D9"")"),"#N/A")</f>
        <v>#N/A</v>
      </c>
      <c r="H9337" s="4" t="str">
        <v/>
      </c>
      <c r="I9337" s="4" t="str">
        <v/>
      </c>
    </row>
    <row r="9338" spans="5:9" ht="16.5" hidden="1">
      <c r="E9338" s="4" t="str">
        <v/>
      </c>
      <c r="F9338" s="102" t="str">
        <f ca="1">IFERROR(__xludf.DUMMYFUNCTION("IMPORTRANGE(H9338,""IDENTITAS UNIT!D9"")"),"#N/A")</f>
        <v>#N/A</v>
      </c>
      <c r="H9338" s="4" t="str">
        <v/>
      </c>
      <c r="I9338" s="4" t="str">
        <v/>
      </c>
    </row>
    <row r="9339" spans="5:9" ht="16.5" hidden="1">
      <c r="E9339" s="4" t="str">
        <v/>
      </c>
      <c r="F9339" s="102" t="str">
        <f ca="1">IFERROR(__xludf.DUMMYFUNCTION("IMPORTRANGE(H9339,""IDENTITAS UNIT!D9"")"),"#N/A")</f>
        <v>#N/A</v>
      </c>
      <c r="H9339" s="4" t="str">
        <v/>
      </c>
      <c r="I9339" s="4" t="str">
        <v/>
      </c>
    </row>
    <row r="9340" spans="5:9" ht="16.5" hidden="1">
      <c r="E9340" s="4" t="str">
        <v/>
      </c>
      <c r="F9340" s="102" t="str">
        <f ca="1">IFERROR(__xludf.DUMMYFUNCTION("IMPORTRANGE(H9340,""IDENTITAS UNIT!D9"")"),"#N/A")</f>
        <v>#N/A</v>
      </c>
      <c r="H9340" s="4" t="str">
        <v/>
      </c>
      <c r="I9340" s="4" t="str">
        <v/>
      </c>
    </row>
    <row r="9341" spans="5:9" ht="16.5" hidden="1">
      <c r="E9341" s="4" t="str">
        <v/>
      </c>
      <c r="F9341" s="102" t="str">
        <f ca="1">IFERROR(__xludf.DUMMYFUNCTION("IMPORTRANGE(H9341,""IDENTITAS UNIT!D9"")"),"#N/A")</f>
        <v>#N/A</v>
      </c>
      <c r="H9341" s="4" t="str">
        <v/>
      </c>
      <c r="I9341" s="4" t="str">
        <v/>
      </c>
    </row>
    <row r="9342" spans="5:9" ht="16.5" hidden="1">
      <c r="E9342" s="4" t="str">
        <v/>
      </c>
      <c r="F9342" s="102" t="str">
        <f ca="1">IFERROR(__xludf.DUMMYFUNCTION("IMPORTRANGE(H9342,""IDENTITAS UNIT!D9"")"),"#N/A")</f>
        <v>#N/A</v>
      </c>
      <c r="H9342" s="4" t="str">
        <v/>
      </c>
      <c r="I9342" s="4" t="str">
        <v/>
      </c>
    </row>
    <row r="9343" spans="5:9" ht="16.5" hidden="1">
      <c r="E9343" s="4" t="str">
        <v/>
      </c>
      <c r="F9343" s="102" t="str">
        <f ca="1">IFERROR(__xludf.DUMMYFUNCTION("IMPORTRANGE(H9343,""IDENTITAS UNIT!D9"")"),"#N/A")</f>
        <v>#N/A</v>
      </c>
      <c r="H9343" s="4" t="str">
        <v/>
      </c>
      <c r="I9343" s="4" t="str">
        <v/>
      </c>
    </row>
    <row r="9344" spans="5:9" ht="16.5" hidden="1">
      <c r="E9344" s="4" t="str">
        <v/>
      </c>
      <c r="F9344" s="102" t="str">
        <f ca="1">IFERROR(__xludf.DUMMYFUNCTION("IMPORTRANGE(H9344,""IDENTITAS UNIT!D9"")"),"#N/A")</f>
        <v>#N/A</v>
      </c>
      <c r="H9344" s="4" t="str">
        <v/>
      </c>
      <c r="I9344" s="4" t="str">
        <v/>
      </c>
    </row>
    <row r="9345" spans="5:9" ht="16.5" hidden="1">
      <c r="E9345" s="4" t="str">
        <v/>
      </c>
      <c r="F9345" s="102" t="str">
        <f ca="1">IFERROR(__xludf.DUMMYFUNCTION("IMPORTRANGE(H9345,""IDENTITAS UNIT!D9"")"),"#N/A")</f>
        <v>#N/A</v>
      </c>
      <c r="H9345" s="4" t="str">
        <v/>
      </c>
      <c r="I9345" s="4" t="str">
        <v/>
      </c>
    </row>
    <row r="9346" spans="5:9" ht="16.5" hidden="1">
      <c r="E9346" s="4" t="str">
        <v/>
      </c>
      <c r="F9346" s="102" t="str">
        <f ca="1">IFERROR(__xludf.DUMMYFUNCTION("IMPORTRANGE(H9346,""IDENTITAS UNIT!D9"")"),"#N/A")</f>
        <v>#N/A</v>
      </c>
      <c r="H9346" s="4" t="str">
        <v/>
      </c>
      <c r="I9346" s="4" t="str">
        <v/>
      </c>
    </row>
    <row r="9347" spans="5:9" ht="16.5" hidden="1">
      <c r="E9347" s="4" t="str">
        <v/>
      </c>
      <c r="F9347" s="102" t="str">
        <f ca="1">IFERROR(__xludf.DUMMYFUNCTION("IMPORTRANGE(H9347,""IDENTITAS UNIT!D9"")"),"#N/A")</f>
        <v>#N/A</v>
      </c>
      <c r="H9347" s="4" t="str">
        <v/>
      </c>
      <c r="I9347" s="4" t="str">
        <v/>
      </c>
    </row>
    <row r="9348" spans="5:9" ht="16.5" hidden="1">
      <c r="E9348" s="4" t="str">
        <v/>
      </c>
      <c r="F9348" s="102" t="str">
        <f ca="1">IFERROR(__xludf.DUMMYFUNCTION("IMPORTRANGE(H9348,""IDENTITAS UNIT!D9"")"),"#N/A")</f>
        <v>#N/A</v>
      </c>
      <c r="H9348" s="4" t="str">
        <v/>
      </c>
      <c r="I9348" s="4" t="str">
        <v/>
      </c>
    </row>
    <row r="9349" spans="5:9" ht="16.5" hidden="1">
      <c r="E9349" s="4" t="str">
        <v/>
      </c>
      <c r="F9349" s="102" t="str">
        <f ca="1">IFERROR(__xludf.DUMMYFUNCTION("IMPORTRANGE(H9349,""IDENTITAS UNIT!D9"")"),"#N/A")</f>
        <v>#N/A</v>
      </c>
      <c r="H9349" s="4" t="str">
        <v/>
      </c>
      <c r="I9349" s="4" t="str">
        <v/>
      </c>
    </row>
    <row r="9350" spans="5:9" ht="16.5" hidden="1">
      <c r="E9350" s="4" t="str">
        <v/>
      </c>
      <c r="F9350" s="102" t="str">
        <f ca="1">IFERROR(__xludf.DUMMYFUNCTION("IMPORTRANGE(H9350,""IDENTITAS UNIT!D9"")"),"#N/A")</f>
        <v>#N/A</v>
      </c>
      <c r="H9350" s="4" t="str">
        <v/>
      </c>
      <c r="I9350" s="4" t="str">
        <v/>
      </c>
    </row>
    <row r="9351" spans="5:9" ht="16.5" hidden="1">
      <c r="E9351" s="4" t="str">
        <v/>
      </c>
      <c r="F9351" s="102" t="str">
        <f ca="1">IFERROR(__xludf.DUMMYFUNCTION("IMPORTRANGE(H9351,""IDENTITAS UNIT!D9"")"),"#N/A")</f>
        <v>#N/A</v>
      </c>
      <c r="H9351" s="4" t="str">
        <v/>
      </c>
      <c r="I9351" s="4" t="str">
        <v/>
      </c>
    </row>
    <row r="9352" spans="5:9" ht="16.5" hidden="1">
      <c r="E9352" s="4" t="str">
        <v/>
      </c>
      <c r="F9352" s="102" t="str">
        <f ca="1">IFERROR(__xludf.DUMMYFUNCTION("IMPORTRANGE(H9352,""IDENTITAS UNIT!D9"")"),"#N/A")</f>
        <v>#N/A</v>
      </c>
      <c r="H9352" s="4" t="str">
        <v/>
      </c>
      <c r="I9352" s="4" t="str">
        <v/>
      </c>
    </row>
    <row r="9353" spans="5:9" ht="16.5" hidden="1">
      <c r="E9353" s="4" t="str">
        <v/>
      </c>
      <c r="F9353" s="102" t="str">
        <f ca="1">IFERROR(__xludf.DUMMYFUNCTION("IMPORTRANGE(H9353,""IDENTITAS UNIT!D9"")"),"#N/A")</f>
        <v>#N/A</v>
      </c>
      <c r="H9353" s="4" t="str">
        <v/>
      </c>
      <c r="I9353" s="4" t="str">
        <v/>
      </c>
    </row>
    <row r="9354" spans="5:9" ht="16.5" hidden="1">
      <c r="E9354" s="4" t="str">
        <v/>
      </c>
      <c r="F9354" s="102" t="str">
        <f ca="1">IFERROR(__xludf.DUMMYFUNCTION("IMPORTRANGE(H9354,""IDENTITAS UNIT!D9"")"),"#N/A")</f>
        <v>#N/A</v>
      </c>
      <c r="H9354" s="4" t="str">
        <v/>
      </c>
      <c r="I9354" s="4" t="str">
        <v/>
      </c>
    </row>
    <row r="9355" spans="5:9" ht="16.5" hidden="1">
      <c r="E9355" s="4" t="str">
        <v/>
      </c>
      <c r="F9355" s="102" t="str">
        <f ca="1">IFERROR(__xludf.DUMMYFUNCTION("IMPORTRANGE(H9355,""IDENTITAS UNIT!D9"")"),"#N/A")</f>
        <v>#N/A</v>
      </c>
      <c r="H9355" s="4" t="str">
        <v/>
      </c>
      <c r="I9355" s="4" t="str">
        <v/>
      </c>
    </row>
    <row r="9356" spans="5:9" ht="16.5" hidden="1">
      <c r="E9356" s="4" t="str">
        <v/>
      </c>
      <c r="F9356" s="102" t="str">
        <f ca="1">IFERROR(__xludf.DUMMYFUNCTION("IMPORTRANGE(H9356,""IDENTITAS UNIT!D9"")"),"#N/A")</f>
        <v>#N/A</v>
      </c>
      <c r="H9356" s="4" t="str">
        <v/>
      </c>
      <c r="I9356" s="4" t="str">
        <v/>
      </c>
    </row>
    <row r="9357" spans="5:9" ht="16.5" hidden="1">
      <c r="E9357" s="4" t="str">
        <v/>
      </c>
      <c r="F9357" s="102" t="str">
        <f ca="1">IFERROR(__xludf.DUMMYFUNCTION("IMPORTRANGE(H9357,""IDENTITAS UNIT!D9"")"),"#N/A")</f>
        <v>#N/A</v>
      </c>
      <c r="H9357" s="4" t="str">
        <v/>
      </c>
      <c r="I9357" s="4" t="str">
        <v/>
      </c>
    </row>
    <row r="9358" spans="5:9" ht="16.5" hidden="1">
      <c r="E9358" s="4" t="str">
        <v/>
      </c>
      <c r="F9358" s="102" t="str">
        <f ca="1">IFERROR(__xludf.DUMMYFUNCTION("IMPORTRANGE(H9358,""IDENTITAS UNIT!D9"")"),"#N/A")</f>
        <v>#N/A</v>
      </c>
      <c r="H9358" s="4" t="str">
        <v/>
      </c>
      <c r="I9358" s="4" t="str">
        <v/>
      </c>
    </row>
    <row r="9359" spans="5:9" ht="16.5" hidden="1">
      <c r="E9359" s="4" t="str">
        <v/>
      </c>
      <c r="F9359" s="102" t="str">
        <f ca="1">IFERROR(__xludf.DUMMYFUNCTION("IMPORTRANGE(H9359,""IDENTITAS UNIT!D9"")"),"#N/A")</f>
        <v>#N/A</v>
      </c>
      <c r="H9359" s="4" t="str">
        <v/>
      </c>
      <c r="I9359" s="4" t="str">
        <v/>
      </c>
    </row>
    <row r="9360" spans="5:9" ht="16.5" hidden="1">
      <c r="E9360" s="4" t="str">
        <v/>
      </c>
      <c r="F9360" s="102" t="str">
        <f ca="1">IFERROR(__xludf.DUMMYFUNCTION("IMPORTRANGE(H9360,""IDENTITAS UNIT!D9"")"),"#N/A")</f>
        <v>#N/A</v>
      </c>
      <c r="H9360" s="4" t="str">
        <v/>
      </c>
      <c r="I9360" s="4" t="str">
        <v/>
      </c>
    </row>
    <row r="9361" spans="5:9" ht="16.5" hidden="1">
      <c r="E9361" s="4" t="str">
        <v/>
      </c>
      <c r="F9361" s="102" t="str">
        <f ca="1">IFERROR(__xludf.DUMMYFUNCTION("IMPORTRANGE(H9361,""IDENTITAS UNIT!D9"")"),"#N/A")</f>
        <v>#N/A</v>
      </c>
      <c r="H9361" s="4" t="str">
        <v/>
      </c>
      <c r="I9361" s="4" t="str">
        <v/>
      </c>
    </row>
    <row r="9362" spans="5:9" ht="16.5" hidden="1">
      <c r="E9362" s="4" t="str">
        <v/>
      </c>
      <c r="F9362" s="102" t="str">
        <f ca="1">IFERROR(__xludf.DUMMYFUNCTION("IMPORTRANGE(H9362,""IDENTITAS UNIT!D9"")"),"#N/A")</f>
        <v>#N/A</v>
      </c>
      <c r="H9362" s="4" t="str">
        <v/>
      </c>
      <c r="I9362" s="4" t="str">
        <v/>
      </c>
    </row>
    <row r="9363" spans="5:9" ht="16.5" hidden="1">
      <c r="E9363" s="4" t="str">
        <v/>
      </c>
      <c r="F9363" s="102" t="str">
        <f ca="1">IFERROR(__xludf.DUMMYFUNCTION("IMPORTRANGE(H9363,""IDENTITAS UNIT!D9"")"),"#N/A")</f>
        <v>#N/A</v>
      </c>
      <c r="H9363" s="4" t="str">
        <v/>
      </c>
      <c r="I9363" s="4" t="str">
        <v/>
      </c>
    </row>
    <row r="9364" spans="5:9" ht="16.5" hidden="1">
      <c r="E9364" s="4" t="str">
        <v/>
      </c>
      <c r="F9364" s="102" t="str">
        <f ca="1">IFERROR(__xludf.DUMMYFUNCTION("IMPORTRANGE(H9364,""IDENTITAS UNIT!D9"")"),"#N/A")</f>
        <v>#N/A</v>
      </c>
      <c r="H9364" s="4" t="str">
        <v/>
      </c>
      <c r="I9364" s="4" t="str">
        <v/>
      </c>
    </row>
    <row r="9365" spans="5:9" ht="16.5" hidden="1">
      <c r="E9365" s="4" t="str">
        <v/>
      </c>
      <c r="F9365" s="102" t="str">
        <f ca="1">IFERROR(__xludf.DUMMYFUNCTION("IMPORTRANGE(H9365,""IDENTITAS UNIT!D9"")"),"#N/A")</f>
        <v>#N/A</v>
      </c>
      <c r="H9365" s="4" t="str">
        <v/>
      </c>
      <c r="I9365" s="4" t="str">
        <v/>
      </c>
    </row>
    <row r="9366" spans="5:9" ht="16.5" hidden="1">
      <c r="E9366" s="4" t="str">
        <v/>
      </c>
      <c r="F9366" s="102" t="str">
        <f ca="1">IFERROR(__xludf.DUMMYFUNCTION("IMPORTRANGE(H9366,""IDENTITAS UNIT!D9"")"),"#N/A")</f>
        <v>#N/A</v>
      </c>
      <c r="H9366" s="4" t="str">
        <v/>
      </c>
      <c r="I9366" s="4" t="str">
        <v/>
      </c>
    </row>
    <row r="9367" spans="5:9" ht="16.5" hidden="1">
      <c r="E9367" s="4" t="str">
        <v/>
      </c>
      <c r="F9367" s="102" t="str">
        <f ca="1">IFERROR(__xludf.DUMMYFUNCTION("IMPORTRANGE(H9367,""IDENTITAS UNIT!D9"")"),"#N/A")</f>
        <v>#N/A</v>
      </c>
      <c r="H9367" s="4" t="str">
        <v/>
      </c>
      <c r="I9367" s="4" t="str">
        <v/>
      </c>
    </row>
    <row r="9368" spans="5:9" ht="16.5" hidden="1">
      <c r="E9368" s="4" t="str">
        <v/>
      </c>
      <c r="F9368" s="102" t="str">
        <f ca="1">IFERROR(__xludf.DUMMYFUNCTION("IMPORTRANGE(H9368,""IDENTITAS UNIT!D9"")"),"#N/A")</f>
        <v>#N/A</v>
      </c>
      <c r="H9368" s="4" t="str">
        <v/>
      </c>
      <c r="I9368" s="4" t="str">
        <v/>
      </c>
    </row>
    <row r="9369" spans="5:9" ht="16.5" hidden="1">
      <c r="E9369" s="4" t="str">
        <v/>
      </c>
      <c r="F9369" s="102" t="str">
        <f ca="1">IFERROR(__xludf.DUMMYFUNCTION("IMPORTRANGE(H9369,""IDENTITAS UNIT!D9"")"),"#N/A")</f>
        <v>#N/A</v>
      </c>
      <c r="H9369" s="4" t="str">
        <v/>
      </c>
      <c r="I9369" s="4" t="str">
        <v/>
      </c>
    </row>
    <row r="9370" spans="5:9" ht="16.5" hidden="1">
      <c r="E9370" s="4" t="str">
        <v/>
      </c>
      <c r="F9370" s="102" t="str">
        <f ca="1">IFERROR(__xludf.DUMMYFUNCTION("IMPORTRANGE(H9370,""IDENTITAS UNIT!D9"")"),"#N/A")</f>
        <v>#N/A</v>
      </c>
      <c r="H9370" s="4" t="str">
        <v/>
      </c>
      <c r="I9370" s="4" t="str">
        <v/>
      </c>
    </row>
    <row r="9371" spans="5:9" ht="16.5" hidden="1">
      <c r="E9371" s="4" t="str">
        <v/>
      </c>
      <c r="F9371" s="102" t="str">
        <f ca="1">IFERROR(__xludf.DUMMYFUNCTION("IMPORTRANGE(H9371,""IDENTITAS UNIT!D9"")"),"#N/A")</f>
        <v>#N/A</v>
      </c>
      <c r="H9371" s="4" t="str">
        <v/>
      </c>
      <c r="I9371" s="4" t="str">
        <v/>
      </c>
    </row>
    <row r="9372" spans="5:9" ht="16.5" hidden="1">
      <c r="E9372" s="4" t="str">
        <v/>
      </c>
      <c r="F9372" s="102" t="str">
        <f ca="1">IFERROR(__xludf.DUMMYFUNCTION("IMPORTRANGE(H9372,""IDENTITAS UNIT!D9"")"),"#N/A")</f>
        <v>#N/A</v>
      </c>
      <c r="H9372" s="4" t="str">
        <v/>
      </c>
      <c r="I9372" s="4" t="str">
        <v/>
      </c>
    </row>
    <row r="9373" spans="5:9" ht="16.5" hidden="1">
      <c r="E9373" s="4" t="str">
        <v/>
      </c>
      <c r="F9373" s="102" t="str">
        <f ca="1">IFERROR(__xludf.DUMMYFUNCTION("IMPORTRANGE(H9373,""IDENTITAS UNIT!D9"")"),"#N/A")</f>
        <v>#N/A</v>
      </c>
      <c r="H9373" s="4" t="str">
        <v/>
      </c>
      <c r="I9373" s="4" t="str">
        <v/>
      </c>
    </row>
    <row r="9374" spans="5:9" ht="16.5" hidden="1">
      <c r="E9374" s="4" t="str">
        <v/>
      </c>
      <c r="F9374" s="102" t="str">
        <f ca="1">IFERROR(__xludf.DUMMYFUNCTION("IMPORTRANGE(H9374,""IDENTITAS UNIT!D9"")"),"#N/A")</f>
        <v>#N/A</v>
      </c>
      <c r="H9374" s="4" t="str">
        <v/>
      </c>
      <c r="I9374" s="4" t="str">
        <v/>
      </c>
    </row>
    <row r="9375" spans="5:9" ht="16.5" hidden="1">
      <c r="E9375" s="4" t="str">
        <v/>
      </c>
      <c r="F9375" s="102" t="str">
        <f ca="1">IFERROR(__xludf.DUMMYFUNCTION("IMPORTRANGE(H9375,""IDENTITAS UNIT!D9"")"),"#N/A")</f>
        <v>#N/A</v>
      </c>
      <c r="H9375" s="4" t="str">
        <v/>
      </c>
      <c r="I9375" s="4" t="str">
        <v/>
      </c>
    </row>
    <row r="9376" spans="5:9" ht="16.5" hidden="1">
      <c r="E9376" s="4" t="str">
        <v/>
      </c>
      <c r="F9376" s="102" t="str">
        <f ca="1">IFERROR(__xludf.DUMMYFUNCTION("IMPORTRANGE(H9376,""IDENTITAS UNIT!D9"")"),"#N/A")</f>
        <v>#N/A</v>
      </c>
      <c r="H9376" s="4" t="str">
        <v/>
      </c>
      <c r="I9376" s="4" t="str">
        <v/>
      </c>
    </row>
    <row r="9377" spans="5:9" ht="16.5" hidden="1">
      <c r="E9377" s="4" t="str">
        <v/>
      </c>
      <c r="F9377" s="102" t="str">
        <f ca="1">IFERROR(__xludf.DUMMYFUNCTION("IMPORTRANGE(H9377,""IDENTITAS UNIT!D9"")"),"#N/A")</f>
        <v>#N/A</v>
      </c>
      <c r="H9377" s="4" t="str">
        <v/>
      </c>
      <c r="I9377" s="4" t="str">
        <v/>
      </c>
    </row>
    <row r="9378" spans="5:9" ht="16.5" hidden="1">
      <c r="E9378" s="4" t="str">
        <v/>
      </c>
      <c r="F9378" s="102" t="str">
        <f ca="1">IFERROR(__xludf.DUMMYFUNCTION("IMPORTRANGE(H9378,""IDENTITAS UNIT!D9"")"),"#N/A")</f>
        <v>#N/A</v>
      </c>
      <c r="H9378" s="4" t="str">
        <v/>
      </c>
      <c r="I9378" s="4" t="str">
        <v/>
      </c>
    </row>
    <row r="9379" spans="5:9" ht="16.5" hidden="1">
      <c r="E9379" s="4" t="str">
        <v/>
      </c>
      <c r="F9379" s="102" t="str">
        <f ca="1">IFERROR(__xludf.DUMMYFUNCTION("IMPORTRANGE(H9379,""IDENTITAS UNIT!D9"")"),"#N/A")</f>
        <v>#N/A</v>
      </c>
      <c r="H9379" s="4" t="str">
        <v/>
      </c>
      <c r="I9379" s="4" t="str">
        <v/>
      </c>
    </row>
    <row r="9380" spans="5:9" ht="16.5" hidden="1">
      <c r="E9380" s="4" t="str">
        <v/>
      </c>
      <c r="F9380" s="102" t="str">
        <f ca="1">IFERROR(__xludf.DUMMYFUNCTION("IMPORTRANGE(H9380,""IDENTITAS UNIT!D9"")"),"#N/A")</f>
        <v>#N/A</v>
      </c>
      <c r="H9380" s="4" t="str">
        <v/>
      </c>
      <c r="I9380" s="4" t="str">
        <v/>
      </c>
    </row>
    <row r="9381" spans="5:9" ht="16.5" hidden="1">
      <c r="E9381" s="4" t="str">
        <v/>
      </c>
      <c r="F9381" s="102" t="str">
        <f ca="1">IFERROR(__xludf.DUMMYFUNCTION("IMPORTRANGE(H9381,""IDENTITAS UNIT!D9"")"),"#N/A")</f>
        <v>#N/A</v>
      </c>
      <c r="H9381" s="4" t="str">
        <v/>
      </c>
      <c r="I9381" s="4" t="str">
        <v/>
      </c>
    </row>
    <row r="9382" spans="5:9" ht="16.5" hidden="1">
      <c r="E9382" s="4" t="str">
        <v/>
      </c>
      <c r="F9382" s="102" t="str">
        <f ca="1">IFERROR(__xludf.DUMMYFUNCTION("IMPORTRANGE(H9382,""IDENTITAS UNIT!D9"")"),"#N/A")</f>
        <v>#N/A</v>
      </c>
      <c r="H9382" s="4" t="str">
        <v/>
      </c>
      <c r="I9382" s="4" t="str">
        <v/>
      </c>
    </row>
    <row r="9383" spans="5:9" ht="16.5" hidden="1">
      <c r="E9383" s="4" t="str">
        <v/>
      </c>
      <c r="F9383" s="102" t="str">
        <f ca="1">IFERROR(__xludf.DUMMYFUNCTION("IMPORTRANGE(H9383,""IDENTITAS UNIT!D9"")"),"#N/A")</f>
        <v>#N/A</v>
      </c>
      <c r="H9383" s="4" t="str">
        <v/>
      </c>
      <c r="I9383" s="4" t="str">
        <v/>
      </c>
    </row>
    <row r="9384" spans="5:9" ht="16.5" hidden="1">
      <c r="E9384" s="4" t="str">
        <v/>
      </c>
      <c r="F9384" s="102" t="str">
        <f ca="1">IFERROR(__xludf.DUMMYFUNCTION("IMPORTRANGE(H9384,""IDENTITAS UNIT!D9"")"),"#N/A")</f>
        <v>#N/A</v>
      </c>
      <c r="H9384" s="4" t="str">
        <v/>
      </c>
      <c r="I9384" s="4" t="str">
        <v/>
      </c>
    </row>
    <row r="9385" spans="5:9" ht="16.5" hidden="1">
      <c r="E9385" s="4" t="str">
        <v/>
      </c>
      <c r="F9385" s="102" t="str">
        <f ca="1">IFERROR(__xludf.DUMMYFUNCTION("IMPORTRANGE(H9385,""IDENTITAS UNIT!D9"")"),"#N/A")</f>
        <v>#N/A</v>
      </c>
      <c r="H9385" s="4" t="str">
        <v/>
      </c>
      <c r="I9385" s="4" t="str">
        <v/>
      </c>
    </row>
    <row r="9386" spans="5:9" ht="16.5" hidden="1">
      <c r="E9386" s="4" t="str">
        <v/>
      </c>
      <c r="F9386" s="102" t="str">
        <f ca="1">IFERROR(__xludf.DUMMYFUNCTION("IMPORTRANGE(H9386,""IDENTITAS UNIT!D9"")"),"#N/A")</f>
        <v>#N/A</v>
      </c>
      <c r="H9386" s="4" t="str">
        <v/>
      </c>
      <c r="I9386" s="4" t="str">
        <v/>
      </c>
    </row>
    <row r="9387" spans="5:9" ht="16.5" hidden="1">
      <c r="E9387" s="4" t="str">
        <v/>
      </c>
      <c r="F9387" s="102" t="str">
        <f ca="1">IFERROR(__xludf.DUMMYFUNCTION("IMPORTRANGE(H9387,""IDENTITAS UNIT!D9"")"),"#N/A")</f>
        <v>#N/A</v>
      </c>
      <c r="H9387" s="4" t="str">
        <v/>
      </c>
      <c r="I9387" s="4" t="str">
        <v/>
      </c>
    </row>
    <row r="9388" spans="5:9" ht="16.5" hidden="1">
      <c r="E9388" s="4" t="str">
        <v/>
      </c>
      <c r="F9388" s="102" t="str">
        <f ca="1">IFERROR(__xludf.DUMMYFUNCTION("IMPORTRANGE(H9388,""IDENTITAS UNIT!D9"")"),"#N/A")</f>
        <v>#N/A</v>
      </c>
      <c r="H9388" s="4" t="str">
        <v/>
      </c>
      <c r="I9388" s="4" t="str">
        <v/>
      </c>
    </row>
    <row r="9389" spans="5:9" ht="16.5" hidden="1">
      <c r="E9389" s="4" t="str">
        <v/>
      </c>
      <c r="F9389" s="102" t="str">
        <f ca="1">IFERROR(__xludf.DUMMYFUNCTION("IMPORTRANGE(H9389,""IDENTITAS UNIT!D9"")"),"#N/A")</f>
        <v>#N/A</v>
      </c>
      <c r="H9389" s="4" t="str">
        <v/>
      </c>
      <c r="I9389" s="4" t="str">
        <v/>
      </c>
    </row>
    <row r="9390" spans="5:9" ht="16.5" hidden="1">
      <c r="E9390" s="4" t="str">
        <v/>
      </c>
      <c r="F9390" s="102" t="str">
        <f ca="1">IFERROR(__xludf.DUMMYFUNCTION("IMPORTRANGE(H9390,""IDENTITAS UNIT!D9"")"),"#N/A")</f>
        <v>#N/A</v>
      </c>
      <c r="H9390" s="4" t="str">
        <v/>
      </c>
      <c r="I9390" s="4" t="str">
        <v/>
      </c>
    </row>
    <row r="9391" spans="5:9" ht="16.5" hidden="1">
      <c r="E9391" s="4" t="str">
        <v/>
      </c>
      <c r="F9391" s="102" t="str">
        <f ca="1">IFERROR(__xludf.DUMMYFUNCTION("IMPORTRANGE(H9391,""IDENTITAS UNIT!D9"")"),"#N/A")</f>
        <v>#N/A</v>
      </c>
      <c r="H9391" s="4" t="str">
        <v/>
      </c>
      <c r="I9391" s="4" t="str">
        <v/>
      </c>
    </row>
    <row r="9392" spans="5:9" ht="16.5" hidden="1">
      <c r="E9392" s="4" t="str">
        <v/>
      </c>
      <c r="F9392" s="102" t="str">
        <f ca="1">IFERROR(__xludf.DUMMYFUNCTION("IMPORTRANGE(H9392,""IDENTITAS UNIT!D9"")"),"#N/A")</f>
        <v>#N/A</v>
      </c>
      <c r="H9392" s="4" t="str">
        <v/>
      </c>
      <c r="I9392" s="4" t="str">
        <v/>
      </c>
    </row>
    <row r="9393" spans="5:9" ht="16.5" hidden="1">
      <c r="E9393" s="4" t="str">
        <v/>
      </c>
      <c r="F9393" s="102" t="str">
        <f ca="1">IFERROR(__xludf.DUMMYFUNCTION("IMPORTRANGE(H9393,""IDENTITAS UNIT!D9"")"),"#N/A")</f>
        <v>#N/A</v>
      </c>
      <c r="H9393" s="4" t="str">
        <v/>
      </c>
      <c r="I9393" s="4" t="str">
        <v/>
      </c>
    </row>
    <row r="9394" spans="5:9" ht="16.5" hidden="1">
      <c r="E9394" s="4" t="str">
        <v/>
      </c>
      <c r="F9394" s="102" t="str">
        <f ca="1">IFERROR(__xludf.DUMMYFUNCTION("IMPORTRANGE(H9394,""IDENTITAS UNIT!D9"")"),"#N/A")</f>
        <v>#N/A</v>
      </c>
      <c r="H9394" s="4" t="str">
        <v/>
      </c>
      <c r="I9394" s="4" t="str">
        <v/>
      </c>
    </row>
    <row r="9395" spans="5:9" ht="16.5" hidden="1">
      <c r="E9395" s="4" t="str">
        <v/>
      </c>
      <c r="F9395" s="102" t="str">
        <f ca="1">IFERROR(__xludf.DUMMYFUNCTION("IMPORTRANGE(H9395,""IDENTITAS UNIT!D9"")"),"#N/A")</f>
        <v>#N/A</v>
      </c>
      <c r="H9395" s="4" t="str">
        <v/>
      </c>
      <c r="I9395" s="4" t="str">
        <v/>
      </c>
    </row>
    <row r="9396" spans="5:9" ht="16.5" hidden="1">
      <c r="E9396" s="4" t="str">
        <v/>
      </c>
      <c r="F9396" s="102" t="str">
        <f ca="1">IFERROR(__xludf.DUMMYFUNCTION("IMPORTRANGE(H9396,""IDENTITAS UNIT!D9"")"),"#N/A")</f>
        <v>#N/A</v>
      </c>
      <c r="H9396" s="4" t="str">
        <v/>
      </c>
      <c r="I9396" s="4" t="str">
        <v/>
      </c>
    </row>
    <row r="9397" spans="5:9" ht="16.5" hidden="1">
      <c r="E9397" s="4" t="str">
        <v/>
      </c>
      <c r="F9397" s="102" t="str">
        <f ca="1">IFERROR(__xludf.DUMMYFUNCTION("IMPORTRANGE(H9397,""IDENTITAS UNIT!D9"")"),"#N/A")</f>
        <v>#N/A</v>
      </c>
      <c r="H9397" s="4" t="str">
        <v/>
      </c>
      <c r="I9397" s="4" t="str">
        <v/>
      </c>
    </row>
    <row r="9398" spans="5:9" ht="16.5" hidden="1">
      <c r="E9398" s="4" t="str">
        <v/>
      </c>
      <c r="F9398" s="102" t="str">
        <f ca="1">IFERROR(__xludf.DUMMYFUNCTION("IMPORTRANGE(H9398,""IDENTITAS UNIT!D9"")"),"#N/A")</f>
        <v>#N/A</v>
      </c>
      <c r="H9398" s="4" t="str">
        <v/>
      </c>
      <c r="I9398" s="4" t="str">
        <v/>
      </c>
    </row>
    <row r="9399" spans="5:9" ht="16.5" hidden="1">
      <c r="E9399" s="4" t="str">
        <v/>
      </c>
      <c r="F9399" s="102" t="str">
        <f ca="1">IFERROR(__xludf.DUMMYFUNCTION("IMPORTRANGE(H9399,""IDENTITAS UNIT!D9"")"),"#N/A")</f>
        <v>#N/A</v>
      </c>
      <c r="H9399" s="4" t="str">
        <v/>
      </c>
      <c r="I9399" s="4" t="str">
        <v/>
      </c>
    </row>
    <row r="9400" spans="5:9" ht="16.5" hidden="1">
      <c r="E9400" s="4" t="str">
        <v/>
      </c>
      <c r="F9400" s="102" t="str">
        <f ca="1">IFERROR(__xludf.DUMMYFUNCTION("IMPORTRANGE(H9400,""IDENTITAS UNIT!D9"")"),"#N/A")</f>
        <v>#N/A</v>
      </c>
      <c r="H9400" s="4" t="str">
        <v/>
      </c>
      <c r="I9400" s="4" t="str">
        <v/>
      </c>
    </row>
    <row r="9401" spans="5:9" ht="16.5" hidden="1">
      <c r="E9401" s="4" t="str">
        <v/>
      </c>
      <c r="F9401" s="102" t="str">
        <f ca="1">IFERROR(__xludf.DUMMYFUNCTION("IMPORTRANGE(H9401,""IDENTITAS UNIT!D9"")"),"#N/A")</f>
        <v>#N/A</v>
      </c>
      <c r="H9401" s="4" t="str">
        <v/>
      </c>
      <c r="I9401" s="4" t="str">
        <v/>
      </c>
    </row>
    <row r="9402" spans="5:9" ht="16.5" hidden="1">
      <c r="E9402" s="4" t="str">
        <v/>
      </c>
      <c r="F9402" s="102" t="str">
        <f ca="1">IFERROR(__xludf.DUMMYFUNCTION("IMPORTRANGE(H9402,""IDENTITAS UNIT!D9"")"),"#N/A")</f>
        <v>#N/A</v>
      </c>
      <c r="H9402" s="4" t="str">
        <v/>
      </c>
      <c r="I9402" s="4" t="str">
        <v/>
      </c>
    </row>
    <row r="9403" spans="5:9" ht="16.5" hidden="1">
      <c r="E9403" s="4" t="str">
        <v/>
      </c>
      <c r="F9403" s="102" t="str">
        <f ca="1">IFERROR(__xludf.DUMMYFUNCTION("IMPORTRANGE(H9403,""IDENTITAS UNIT!D9"")"),"#N/A")</f>
        <v>#N/A</v>
      </c>
      <c r="H9403" s="4" t="str">
        <v/>
      </c>
      <c r="I9403" s="4" t="str">
        <v/>
      </c>
    </row>
    <row r="9404" spans="5:9" ht="16.5" hidden="1">
      <c r="E9404" s="4" t="str">
        <v/>
      </c>
      <c r="F9404" s="102" t="str">
        <f ca="1">IFERROR(__xludf.DUMMYFUNCTION("IMPORTRANGE(H9404,""IDENTITAS UNIT!D9"")"),"#N/A")</f>
        <v>#N/A</v>
      </c>
      <c r="H9404" s="4" t="str">
        <v/>
      </c>
      <c r="I9404" s="4" t="str">
        <v/>
      </c>
    </row>
    <row r="9405" spans="5:9" ht="16.5" hidden="1">
      <c r="E9405" s="4" t="str">
        <v/>
      </c>
      <c r="F9405" s="102" t="str">
        <f ca="1">IFERROR(__xludf.DUMMYFUNCTION("IMPORTRANGE(H9405,""IDENTITAS UNIT!D9"")"),"#N/A")</f>
        <v>#N/A</v>
      </c>
      <c r="H9405" s="4" t="str">
        <v/>
      </c>
      <c r="I9405" s="4" t="str">
        <v/>
      </c>
    </row>
    <row r="9406" spans="5:9" ht="16.5" hidden="1">
      <c r="E9406" s="4" t="str">
        <v/>
      </c>
      <c r="F9406" s="102" t="str">
        <f ca="1">IFERROR(__xludf.DUMMYFUNCTION("IMPORTRANGE(H9406,""IDENTITAS UNIT!D9"")"),"#N/A")</f>
        <v>#N/A</v>
      </c>
      <c r="H9406" s="4" t="str">
        <v/>
      </c>
      <c r="I9406" s="4" t="str">
        <v/>
      </c>
    </row>
    <row r="9407" spans="5:9" ht="16.5" hidden="1">
      <c r="E9407" s="4" t="str">
        <v/>
      </c>
      <c r="F9407" s="102" t="str">
        <f ca="1">IFERROR(__xludf.DUMMYFUNCTION("IMPORTRANGE(H9407,""IDENTITAS UNIT!D9"")"),"#N/A")</f>
        <v>#N/A</v>
      </c>
      <c r="H9407" s="4" t="str">
        <v/>
      </c>
      <c r="I9407" s="4" t="str">
        <v/>
      </c>
    </row>
    <row r="9408" spans="5:9" ht="16.5" hidden="1">
      <c r="E9408" s="4" t="str">
        <v/>
      </c>
      <c r="F9408" s="102" t="str">
        <f ca="1">IFERROR(__xludf.DUMMYFUNCTION("IMPORTRANGE(H9408,""IDENTITAS UNIT!D9"")"),"#N/A")</f>
        <v>#N/A</v>
      </c>
      <c r="H9408" s="4" t="str">
        <v/>
      </c>
      <c r="I9408" s="4" t="str">
        <v/>
      </c>
    </row>
    <row r="9409" spans="5:9" ht="16.5" hidden="1">
      <c r="E9409" s="4" t="str">
        <v/>
      </c>
      <c r="F9409" s="102" t="str">
        <f ca="1">IFERROR(__xludf.DUMMYFUNCTION("IMPORTRANGE(H9409,""IDENTITAS UNIT!D9"")"),"#N/A")</f>
        <v>#N/A</v>
      </c>
      <c r="H9409" s="4" t="str">
        <v/>
      </c>
      <c r="I9409" s="4" t="str">
        <v/>
      </c>
    </row>
    <row r="9410" spans="5:9" ht="16.5" hidden="1">
      <c r="E9410" s="4" t="str">
        <v/>
      </c>
      <c r="F9410" s="102" t="str">
        <f ca="1">IFERROR(__xludf.DUMMYFUNCTION("IMPORTRANGE(H9410,""IDENTITAS UNIT!D9"")"),"#N/A")</f>
        <v>#N/A</v>
      </c>
      <c r="H9410" s="4" t="str">
        <v/>
      </c>
      <c r="I9410" s="4" t="str">
        <v/>
      </c>
    </row>
    <row r="9411" spans="5:9" ht="16.5" hidden="1">
      <c r="E9411" s="4" t="str">
        <v/>
      </c>
      <c r="F9411" s="102" t="str">
        <f ca="1">IFERROR(__xludf.DUMMYFUNCTION("IMPORTRANGE(H9411,""IDENTITAS UNIT!D9"")"),"#N/A")</f>
        <v>#N/A</v>
      </c>
      <c r="H9411" s="4" t="str">
        <v/>
      </c>
      <c r="I9411" s="4" t="str">
        <v/>
      </c>
    </row>
    <row r="9412" spans="5:9" ht="16.5" hidden="1">
      <c r="E9412" s="4" t="str">
        <v/>
      </c>
      <c r="F9412" s="102" t="str">
        <f ca="1">IFERROR(__xludf.DUMMYFUNCTION("IMPORTRANGE(H9412,""IDENTITAS UNIT!D9"")"),"#N/A")</f>
        <v>#N/A</v>
      </c>
      <c r="H9412" s="4" t="str">
        <v/>
      </c>
      <c r="I9412" s="4" t="str">
        <v/>
      </c>
    </row>
    <row r="9413" spans="5:9" ht="16.5" hidden="1">
      <c r="E9413" s="4" t="str">
        <v/>
      </c>
      <c r="F9413" s="102" t="str">
        <f ca="1">IFERROR(__xludf.DUMMYFUNCTION("IMPORTRANGE(H9413,""IDENTITAS UNIT!D9"")"),"#N/A")</f>
        <v>#N/A</v>
      </c>
      <c r="H9413" s="4" t="str">
        <v/>
      </c>
      <c r="I9413" s="4" t="str">
        <v/>
      </c>
    </row>
    <row r="9414" spans="5:9" ht="16.5" hidden="1">
      <c r="E9414" s="4" t="str">
        <v/>
      </c>
      <c r="F9414" s="102" t="str">
        <f ca="1">IFERROR(__xludf.DUMMYFUNCTION("IMPORTRANGE(H9414,""IDENTITAS UNIT!D9"")"),"#N/A")</f>
        <v>#N/A</v>
      </c>
      <c r="H9414" s="4" t="str">
        <v/>
      </c>
      <c r="I9414" s="4" t="str">
        <v/>
      </c>
    </row>
    <row r="9415" spans="5:9" ht="16.5" hidden="1">
      <c r="E9415" s="4" t="str">
        <v/>
      </c>
      <c r="F9415" s="102" t="str">
        <f ca="1">IFERROR(__xludf.DUMMYFUNCTION("IMPORTRANGE(H9415,""IDENTITAS UNIT!D9"")"),"#N/A")</f>
        <v>#N/A</v>
      </c>
      <c r="H9415" s="4" t="str">
        <v/>
      </c>
      <c r="I9415" s="4" t="str">
        <v/>
      </c>
    </row>
    <row r="9416" spans="5:9" ht="16.5" hidden="1">
      <c r="E9416" s="4" t="str">
        <v/>
      </c>
      <c r="F9416" s="102" t="str">
        <f ca="1">IFERROR(__xludf.DUMMYFUNCTION("IMPORTRANGE(H9416,""IDENTITAS UNIT!D9"")"),"#N/A")</f>
        <v>#N/A</v>
      </c>
      <c r="H9416" s="4" t="str">
        <v/>
      </c>
      <c r="I9416" s="4" t="str">
        <v/>
      </c>
    </row>
    <row r="9417" spans="5:9" ht="16.5" hidden="1">
      <c r="E9417" s="4" t="str">
        <v/>
      </c>
      <c r="F9417" s="102" t="str">
        <f ca="1">IFERROR(__xludf.DUMMYFUNCTION("IMPORTRANGE(H9417,""IDENTITAS UNIT!D9"")"),"#N/A")</f>
        <v>#N/A</v>
      </c>
      <c r="H9417" s="4" t="str">
        <v/>
      </c>
      <c r="I9417" s="4" t="str">
        <v/>
      </c>
    </row>
    <row r="9418" spans="5:9" ht="16.5" hidden="1">
      <c r="E9418" s="4" t="str">
        <v/>
      </c>
      <c r="F9418" s="102" t="str">
        <f ca="1">IFERROR(__xludf.DUMMYFUNCTION("IMPORTRANGE(H9418,""IDENTITAS UNIT!D9"")"),"#N/A")</f>
        <v>#N/A</v>
      </c>
      <c r="H9418" s="4" t="str">
        <v/>
      </c>
      <c r="I9418" s="4" t="str">
        <v/>
      </c>
    </row>
    <row r="9419" spans="5:9" ht="16.5" hidden="1">
      <c r="E9419" s="4" t="str">
        <v/>
      </c>
      <c r="F9419" s="102" t="str">
        <f ca="1">IFERROR(__xludf.DUMMYFUNCTION("IMPORTRANGE(H9419,""IDENTITAS UNIT!D9"")"),"#N/A")</f>
        <v>#N/A</v>
      </c>
      <c r="H9419" s="4" t="str">
        <v/>
      </c>
      <c r="I9419" s="4" t="str">
        <v/>
      </c>
    </row>
    <row r="9420" spans="5:9" ht="16.5" hidden="1">
      <c r="E9420" s="4" t="str">
        <v/>
      </c>
      <c r="F9420" s="102" t="str">
        <f ca="1">IFERROR(__xludf.DUMMYFUNCTION("IMPORTRANGE(H9420,""IDENTITAS UNIT!D9"")"),"#N/A")</f>
        <v>#N/A</v>
      </c>
      <c r="H9420" s="4" t="str">
        <v/>
      </c>
      <c r="I9420" s="4" t="str">
        <v/>
      </c>
    </row>
    <row r="9421" spans="5:9" ht="16.5" hidden="1">
      <c r="E9421" s="4" t="str">
        <v/>
      </c>
      <c r="F9421" s="102" t="str">
        <f ca="1">IFERROR(__xludf.DUMMYFUNCTION("IMPORTRANGE(H9421,""IDENTITAS UNIT!D9"")"),"#N/A")</f>
        <v>#N/A</v>
      </c>
      <c r="H9421" s="4" t="str">
        <v/>
      </c>
      <c r="I9421" s="4" t="str">
        <v/>
      </c>
    </row>
    <row r="9422" spans="5:9" ht="16.5" hidden="1">
      <c r="E9422" s="4" t="str">
        <v/>
      </c>
      <c r="F9422" s="102" t="str">
        <f ca="1">IFERROR(__xludf.DUMMYFUNCTION("IMPORTRANGE(H9422,""IDENTITAS UNIT!D9"")"),"#N/A")</f>
        <v>#N/A</v>
      </c>
      <c r="H9422" s="4" t="str">
        <v/>
      </c>
      <c r="I9422" s="4" t="str">
        <v/>
      </c>
    </row>
    <row r="9423" spans="5:9" ht="16.5" hidden="1">
      <c r="E9423" s="4" t="str">
        <v/>
      </c>
      <c r="F9423" s="102" t="str">
        <f ca="1">IFERROR(__xludf.DUMMYFUNCTION("IMPORTRANGE(H9423,""IDENTITAS UNIT!D9"")"),"#N/A")</f>
        <v>#N/A</v>
      </c>
      <c r="H9423" s="4" t="str">
        <v/>
      </c>
      <c r="I9423" s="4" t="str">
        <v/>
      </c>
    </row>
    <row r="9424" spans="5:9" ht="16.5" hidden="1">
      <c r="E9424" s="4" t="str">
        <v/>
      </c>
      <c r="F9424" s="102" t="str">
        <f ca="1">IFERROR(__xludf.DUMMYFUNCTION("IMPORTRANGE(H9424,""IDENTITAS UNIT!D9"")"),"#N/A")</f>
        <v>#N/A</v>
      </c>
      <c r="H9424" s="4" t="str">
        <v/>
      </c>
      <c r="I9424" s="4" t="str">
        <v/>
      </c>
    </row>
    <row r="9425" spans="5:9" ht="16.5" hidden="1">
      <c r="E9425" s="4" t="str">
        <v/>
      </c>
      <c r="F9425" s="102" t="str">
        <f ca="1">IFERROR(__xludf.DUMMYFUNCTION("IMPORTRANGE(H9425,""IDENTITAS UNIT!D9"")"),"#N/A")</f>
        <v>#N/A</v>
      </c>
      <c r="H9425" s="4" t="str">
        <v/>
      </c>
      <c r="I9425" s="4" t="str">
        <v/>
      </c>
    </row>
    <row r="9426" spans="5:9" ht="16.5" hidden="1">
      <c r="E9426" s="4" t="str">
        <v/>
      </c>
      <c r="F9426" s="102" t="str">
        <f ca="1">IFERROR(__xludf.DUMMYFUNCTION("IMPORTRANGE(H9426,""IDENTITAS UNIT!D9"")"),"#N/A")</f>
        <v>#N/A</v>
      </c>
      <c r="H9426" s="4" t="str">
        <v/>
      </c>
      <c r="I9426" s="4" t="str">
        <v/>
      </c>
    </row>
    <row r="9427" spans="5:9" ht="16.5" hidden="1">
      <c r="E9427" s="4" t="str">
        <v/>
      </c>
      <c r="F9427" s="102" t="str">
        <f ca="1">IFERROR(__xludf.DUMMYFUNCTION("IMPORTRANGE(H9427,""IDENTITAS UNIT!D9"")"),"#N/A")</f>
        <v>#N/A</v>
      </c>
      <c r="H9427" s="4" t="str">
        <v/>
      </c>
      <c r="I9427" s="4" t="str">
        <v/>
      </c>
    </row>
    <row r="9428" spans="5:9" ht="16.5" hidden="1">
      <c r="E9428" s="4" t="str">
        <v/>
      </c>
      <c r="F9428" s="102" t="str">
        <f ca="1">IFERROR(__xludf.DUMMYFUNCTION("IMPORTRANGE(H9428,""IDENTITAS UNIT!D9"")"),"#N/A")</f>
        <v>#N/A</v>
      </c>
      <c r="H9428" s="4" t="str">
        <v/>
      </c>
      <c r="I9428" s="4" t="str">
        <v/>
      </c>
    </row>
    <row r="9429" spans="5:9" ht="16.5" hidden="1">
      <c r="E9429" s="4" t="str">
        <v/>
      </c>
      <c r="F9429" s="102" t="str">
        <f ca="1">IFERROR(__xludf.DUMMYFUNCTION("IMPORTRANGE(H9429,""IDENTITAS UNIT!D9"")"),"#N/A")</f>
        <v>#N/A</v>
      </c>
      <c r="H9429" s="4" t="str">
        <v/>
      </c>
      <c r="I9429" s="4" t="str">
        <v/>
      </c>
    </row>
    <row r="9430" spans="5:9" ht="16.5" hidden="1">
      <c r="E9430" s="4" t="str">
        <v/>
      </c>
      <c r="F9430" s="102" t="str">
        <f ca="1">IFERROR(__xludf.DUMMYFUNCTION("IMPORTRANGE(H9430,""IDENTITAS UNIT!D9"")"),"#N/A")</f>
        <v>#N/A</v>
      </c>
      <c r="H9430" s="4" t="str">
        <v/>
      </c>
      <c r="I9430" s="4" t="str">
        <v/>
      </c>
    </row>
    <row r="9431" spans="5:9" ht="16.5" hidden="1">
      <c r="E9431" s="4" t="str">
        <v/>
      </c>
      <c r="F9431" s="102" t="str">
        <f ca="1">IFERROR(__xludf.DUMMYFUNCTION("IMPORTRANGE(H9431,""IDENTITAS UNIT!D9"")"),"#N/A")</f>
        <v>#N/A</v>
      </c>
      <c r="H9431" s="4" t="str">
        <v/>
      </c>
      <c r="I9431" s="4" t="str">
        <v/>
      </c>
    </row>
    <row r="9432" spans="5:9" ht="16.5" hidden="1">
      <c r="E9432" s="4" t="str">
        <v/>
      </c>
      <c r="F9432" s="102" t="str">
        <f ca="1">IFERROR(__xludf.DUMMYFUNCTION("IMPORTRANGE(H9432,""IDENTITAS UNIT!D9"")"),"#N/A")</f>
        <v>#N/A</v>
      </c>
      <c r="H9432" s="4" t="str">
        <v/>
      </c>
      <c r="I9432" s="4" t="str">
        <v/>
      </c>
    </row>
    <row r="9433" spans="5:9" ht="16.5" hidden="1">
      <c r="E9433" s="4" t="str">
        <v/>
      </c>
      <c r="F9433" s="102" t="str">
        <f ca="1">IFERROR(__xludf.DUMMYFUNCTION("IMPORTRANGE(H9433,""IDENTITAS UNIT!D9"")"),"#N/A")</f>
        <v>#N/A</v>
      </c>
      <c r="H9433" s="4" t="str">
        <v/>
      </c>
      <c r="I9433" s="4" t="str">
        <v/>
      </c>
    </row>
    <row r="9434" spans="5:9" ht="16.5" hidden="1">
      <c r="E9434" s="4" t="str">
        <v/>
      </c>
      <c r="F9434" s="102" t="str">
        <f ca="1">IFERROR(__xludf.DUMMYFUNCTION("IMPORTRANGE(H9434,""IDENTITAS UNIT!D9"")"),"#N/A")</f>
        <v>#N/A</v>
      </c>
      <c r="H9434" s="4" t="str">
        <v/>
      </c>
      <c r="I9434" s="4" t="str">
        <v/>
      </c>
    </row>
    <row r="9435" spans="5:9" ht="16.5" hidden="1">
      <c r="E9435" s="4" t="str">
        <v/>
      </c>
      <c r="F9435" s="102" t="str">
        <f ca="1">IFERROR(__xludf.DUMMYFUNCTION("IMPORTRANGE(H9435,""IDENTITAS UNIT!D9"")"),"#N/A")</f>
        <v>#N/A</v>
      </c>
      <c r="H9435" s="4" t="str">
        <v/>
      </c>
      <c r="I9435" s="4" t="str">
        <v/>
      </c>
    </row>
    <row r="9436" spans="5:9" ht="16.5" hidden="1">
      <c r="E9436" s="4" t="str">
        <v/>
      </c>
      <c r="F9436" s="102" t="str">
        <f ca="1">IFERROR(__xludf.DUMMYFUNCTION("IMPORTRANGE(H9436,""IDENTITAS UNIT!D9"")"),"#N/A")</f>
        <v>#N/A</v>
      </c>
      <c r="H9436" s="4" t="str">
        <v/>
      </c>
      <c r="I9436" s="4" t="str">
        <v/>
      </c>
    </row>
    <row r="9437" spans="5:9" ht="16.5" hidden="1">
      <c r="E9437" s="4" t="str">
        <v/>
      </c>
      <c r="F9437" s="102" t="str">
        <f ca="1">IFERROR(__xludf.DUMMYFUNCTION("IMPORTRANGE(H9437,""IDENTITAS UNIT!D9"")"),"#N/A")</f>
        <v>#N/A</v>
      </c>
      <c r="H9437" s="4" t="str">
        <v/>
      </c>
      <c r="I9437" s="4" t="str">
        <v/>
      </c>
    </row>
    <row r="9438" spans="5:9" ht="16.5" hidden="1">
      <c r="E9438" s="4" t="str">
        <v/>
      </c>
      <c r="F9438" s="102" t="str">
        <f ca="1">IFERROR(__xludf.DUMMYFUNCTION("IMPORTRANGE(H9438,""IDENTITAS UNIT!D9"")"),"#N/A")</f>
        <v>#N/A</v>
      </c>
      <c r="H9438" s="4" t="str">
        <v/>
      </c>
      <c r="I9438" s="4" t="str">
        <v/>
      </c>
    </row>
    <row r="9439" spans="5:9" ht="16.5" hidden="1">
      <c r="E9439" s="4" t="str">
        <v/>
      </c>
      <c r="F9439" s="102" t="str">
        <f ca="1">IFERROR(__xludf.DUMMYFUNCTION("IMPORTRANGE(H9439,""IDENTITAS UNIT!D9"")"),"#N/A")</f>
        <v>#N/A</v>
      </c>
      <c r="H9439" s="4" t="str">
        <v/>
      </c>
      <c r="I9439" s="4" t="str">
        <v/>
      </c>
    </row>
    <row r="9440" spans="5:9" ht="16.5" hidden="1">
      <c r="E9440" s="4" t="str">
        <v/>
      </c>
      <c r="F9440" s="102" t="str">
        <f ca="1">IFERROR(__xludf.DUMMYFUNCTION("IMPORTRANGE(H9440,""IDENTITAS UNIT!D9"")"),"#N/A")</f>
        <v>#N/A</v>
      </c>
      <c r="H9440" s="4" t="str">
        <v/>
      </c>
      <c r="I9440" s="4" t="str">
        <v/>
      </c>
    </row>
    <row r="9441" spans="5:9" ht="16.5" hidden="1">
      <c r="E9441" s="4" t="str">
        <v/>
      </c>
      <c r="F9441" s="102" t="str">
        <f ca="1">IFERROR(__xludf.DUMMYFUNCTION("IMPORTRANGE(H9441,""IDENTITAS UNIT!D9"")"),"#N/A")</f>
        <v>#N/A</v>
      </c>
      <c r="H9441" s="4" t="str">
        <v/>
      </c>
      <c r="I9441" s="4" t="str">
        <v/>
      </c>
    </row>
    <row r="9442" spans="5:9" ht="16.5" hidden="1">
      <c r="E9442" s="4" t="str">
        <v/>
      </c>
      <c r="F9442" s="102" t="str">
        <f ca="1">IFERROR(__xludf.DUMMYFUNCTION("IMPORTRANGE(H9442,""IDENTITAS UNIT!D9"")"),"#N/A")</f>
        <v>#N/A</v>
      </c>
      <c r="H9442" s="4" t="str">
        <v/>
      </c>
      <c r="I9442" s="4" t="str">
        <v/>
      </c>
    </row>
    <row r="9443" spans="5:9" ht="16.5" hidden="1">
      <c r="E9443" s="4" t="str">
        <v/>
      </c>
      <c r="F9443" s="102" t="str">
        <f ca="1">IFERROR(__xludf.DUMMYFUNCTION("IMPORTRANGE(H9443,""IDENTITAS UNIT!D9"")"),"#N/A")</f>
        <v>#N/A</v>
      </c>
      <c r="H9443" s="4" t="str">
        <v/>
      </c>
      <c r="I9443" s="4" t="str">
        <v/>
      </c>
    </row>
    <row r="9444" spans="5:9" ht="16.5" hidden="1">
      <c r="E9444" s="4" t="str">
        <v/>
      </c>
      <c r="F9444" s="102" t="str">
        <f ca="1">IFERROR(__xludf.DUMMYFUNCTION("IMPORTRANGE(H9444,""IDENTITAS UNIT!D9"")"),"#N/A")</f>
        <v>#N/A</v>
      </c>
      <c r="H9444" s="4" t="str">
        <v/>
      </c>
      <c r="I9444" s="4" t="str">
        <v/>
      </c>
    </row>
    <row r="9445" spans="5:9" ht="16.5" hidden="1">
      <c r="E9445" s="4" t="str">
        <v/>
      </c>
      <c r="F9445" s="102" t="str">
        <f ca="1">IFERROR(__xludf.DUMMYFUNCTION("IMPORTRANGE(H9445,""IDENTITAS UNIT!D9"")"),"#N/A")</f>
        <v>#N/A</v>
      </c>
      <c r="H9445" s="4" t="str">
        <v/>
      </c>
      <c r="I9445" s="4" t="str">
        <v/>
      </c>
    </row>
    <row r="9446" spans="5:9" ht="16.5" hidden="1">
      <c r="E9446" s="4" t="str">
        <v/>
      </c>
      <c r="F9446" s="102" t="str">
        <f ca="1">IFERROR(__xludf.DUMMYFUNCTION("IMPORTRANGE(H9446,""IDENTITAS UNIT!D9"")"),"#N/A")</f>
        <v>#N/A</v>
      </c>
      <c r="H9446" s="4" t="str">
        <v/>
      </c>
      <c r="I9446" s="4" t="str">
        <v/>
      </c>
    </row>
    <row r="9447" spans="5:9" ht="16.5" hidden="1">
      <c r="E9447" s="4" t="str">
        <v/>
      </c>
      <c r="F9447" s="102" t="str">
        <f ca="1">IFERROR(__xludf.DUMMYFUNCTION("IMPORTRANGE(H9447,""IDENTITAS UNIT!D9"")"),"#N/A")</f>
        <v>#N/A</v>
      </c>
      <c r="H9447" s="4" t="str">
        <v/>
      </c>
      <c r="I9447" s="4" t="str">
        <v/>
      </c>
    </row>
    <row r="9448" spans="5:9" ht="16.5" hidden="1">
      <c r="E9448" s="4" t="str">
        <v/>
      </c>
      <c r="F9448" s="102" t="str">
        <f ca="1">IFERROR(__xludf.DUMMYFUNCTION("IMPORTRANGE(H9448,""IDENTITAS UNIT!D9"")"),"#N/A")</f>
        <v>#N/A</v>
      </c>
      <c r="H9448" s="4" t="str">
        <v/>
      </c>
      <c r="I9448" s="4" t="str">
        <v/>
      </c>
    </row>
    <row r="9449" spans="5:9" ht="16.5" hidden="1">
      <c r="E9449" s="4" t="str">
        <v/>
      </c>
      <c r="F9449" s="102" t="str">
        <f ca="1">IFERROR(__xludf.DUMMYFUNCTION("IMPORTRANGE(H9449,""IDENTITAS UNIT!D9"")"),"#N/A")</f>
        <v>#N/A</v>
      </c>
      <c r="H9449" s="4" t="str">
        <v/>
      </c>
      <c r="I9449" s="4" t="str">
        <v/>
      </c>
    </row>
    <row r="9450" spans="5:9" ht="16.5" hidden="1">
      <c r="E9450" s="4" t="str">
        <v/>
      </c>
      <c r="F9450" s="102" t="str">
        <f ca="1">IFERROR(__xludf.DUMMYFUNCTION("IMPORTRANGE(H9450,""IDENTITAS UNIT!D9"")"),"#N/A")</f>
        <v>#N/A</v>
      </c>
      <c r="H9450" s="4" t="str">
        <v/>
      </c>
      <c r="I9450" s="4" t="str">
        <v/>
      </c>
    </row>
    <row r="9451" spans="5:9" ht="16.5" hidden="1">
      <c r="E9451" s="4" t="str">
        <v/>
      </c>
      <c r="F9451" s="102" t="str">
        <f ca="1">IFERROR(__xludf.DUMMYFUNCTION("IMPORTRANGE(H9451,""IDENTITAS UNIT!D9"")"),"#N/A")</f>
        <v>#N/A</v>
      </c>
      <c r="H9451" s="4" t="str">
        <v/>
      </c>
      <c r="I9451" s="4" t="str">
        <v/>
      </c>
    </row>
    <row r="9452" spans="5:9" ht="16.5" hidden="1">
      <c r="E9452" s="4" t="str">
        <v/>
      </c>
      <c r="F9452" s="102" t="str">
        <f ca="1">IFERROR(__xludf.DUMMYFUNCTION("IMPORTRANGE(H9452,""IDENTITAS UNIT!D9"")"),"#N/A")</f>
        <v>#N/A</v>
      </c>
      <c r="H9452" s="4" t="str">
        <v/>
      </c>
      <c r="I9452" s="4" t="str">
        <v/>
      </c>
    </row>
    <row r="9453" spans="5:9" ht="16.5" hidden="1">
      <c r="E9453" s="4" t="str">
        <v/>
      </c>
      <c r="F9453" s="102" t="str">
        <f ca="1">IFERROR(__xludf.DUMMYFUNCTION("IMPORTRANGE(H9453,""IDENTITAS UNIT!D9"")"),"#N/A")</f>
        <v>#N/A</v>
      </c>
      <c r="H9453" s="4" t="str">
        <v/>
      </c>
      <c r="I9453" s="4" t="str">
        <v/>
      </c>
    </row>
    <row r="9454" spans="5:9" ht="16.5" hidden="1">
      <c r="E9454" s="4" t="str">
        <v/>
      </c>
      <c r="F9454" s="102" t="str">
        <f ca="1">IFERROR(__xludf.DUMMYFUNCTION("IMPORTRANGE(H9454,""IDENTITAS UNIT!D9"")"),"#N/A")</f>
        <v>#N/A</v>
      </c>
      <c r="H9454" s="4" t="str">
        <v/>
      </c>
      <c r="I9454" s="4" t="str">
        <v/>
      </c>
    </row>
    <row r="9455" spans="5:9" ht="16.5" hidden="1">
      <c r="E9455" s="4" t="str">
        <v/>
      </c>
      <c r="F9455" s="102" t="str">
        <f ca="1">IFERROR(__xludf.DUMMYFUNCTION("IMPORTRANGE(H9455,""IDENTITAS UNIT!D9"")"),"#N/A")</f>
        <v>#N/A</v>
      </c>
      <c r="H9455" s="4" t="str">
        <v/>
      </c>
      <c r="I9455" s="4" t="str">
        <v/>
      </c>
    </row>
    <row r="9456" spans="5:9" ht="16.5" hidden="1">
      <c r="E9456" s="4" t="str">
        <v/>
      </c>
      <c r="F9456" s="102" t="str">
        <f ca="1">IFERROR(__xludf.DUMMYFUNCTION("IMPORTRANGE(H9456,""IDENTITAS UNIT!D9"")"),"#N/A")</f>
        <v>#N/A</v>
      </c>
      <c r="H9456" s="4" t="str">
        <v/>
      </c>
      <c r="I9456" s="4" t="str">
        <v/>
      </c>
    </row>
    <row r="9457" spans="5:9" ht="16.5" hidden="1">
      <c r="E9457" s="4" t="str">
        <v/>
      </c>
      <c r="F9457" s="102" t="str">
        <f ca="1">IFERROR(__xludf.DUMMYFUNCTION("IMPORTRANGE(H9457,""IDENTITAS UNIT!D9"")"),"#N/A")</f>
        <v>#N/A</v>
      </c>
      <c r="H9457" s="4" t="str">
        <v/>
      </c>
      <c r="I9457" s="4" t="str">
        <v/>
      </c>
    </row>
    <row r="9458" spans="5:9" ht="16.5" hidden="1">
      <c r="E9458" s="4" t="str">
        <v/>
      </c>
      <c r="F9458" s="102" t="str">
        <f ca="1">IFERROR(__xludf.DUMMYFUNCTION("IMPORTRANGE(H9458,""IDENTITAS UNIT!D9"")"),"#N/A")</f>
        <v>#N/A</v>
      </c>
      <c r="H9458" s="4" t="str">
        <v/>
      </c>
      <c r="I9458" s="4" t="str">
        <v/>
      </c>
    </row>
    <row r="9459" spans="5:9" ht="16.5" hidden="1">
      <c r="E9459" s="4" t="str">
        <v/>
      </c>
      <c r="F9459" s="102" t="str">
        <f ca="1">IFERROR(__xludf.DUMMYFUNCTION("IMPORTRANGE(H9459,""IDENTITAS UNIT!D9"")"),"#N/A")</f>
        <v>#N/A</v>
      </c>
      <c r="H9459" s="4" t="str">
        <v/>
      </c>
      <c r="I9459" s="4" t="str">
        <v/>
      </c>
    </row>
    <row r="9460" spans="5:9" ht="16.5" hidden="1">
      <c r="E9460" s="4" t="str">
        <v/>
      </c>
      <c r="F9460" s="102" t="str">
        <f ca="1">IFERROR(__xludf.DUMMYFUNCTION("IMPORTRANGE(H9460,""IDENTITAS UNIT!D9"")"),"#N/A")</f>
        <v>#N/A</v>
      </c>
      <c r="H9460" s="4" t="str">
        <v/>
      </c>
      <c r="I9460" s="4" t="str">
        <v/>
      </c>
    </row>
    <row r="9461" spans="5:9" ht="16.5" hidden="1">
      <c r="E9461" s="4" t="str">
        <v/>
      </c>
      <c r="F9461" s="102" t="str">
        <f ca="1">IFERROR(__xludf.DUMMYFUNCTION("IMPORTRANGE(H9461,""IDENTITAS UNIT!D9"")"),"#N/A")</f>
        <v>#N/A</v>
      </c>
      <c r="H9461" s="4" t="str">
        <v/>
      </c>
      <c r="I9461" s="4" t="str">
        <v/>
      </c>
    </row>
    <row r="9462" spans="5:9" ht="16.5" hidden="1">
      <c r="E9462" s="4" t="str">
        <v/>
      </c>
      <c r="F9462" s="102" t="str">
        <f ca="1">IFERROR(__xludf.DUMMYFUNCTION("IMPORTRANGE(H9462,""IDENTITAS UNIT!D9"")"),"#N/A")</f>
        <v>#N/A</v>
      </c>
      <c r="H9462" s="4" t="str">
        <v/>
      </c>
      <c r="I9462" s="4" t="str">
        <v/>
      </c>
    </row>
    <row r="9463" spans="5:9" ht="16.5" hidden="1">
      <c r="E9463" s="4" t="str">
        <v/>
      </c>
      <c r="F9463" s="102" t="str">
        <f ca="1">IFERROR(__xludf.DUMMYFUNCTION("IMPORTRANGE(H9463,""IDENTITAS UNIT!D9"")"),"#N/A")</f>
        <v>#N/A</v>
      </c>
      <c r="H9463" s="4" t="str">
        <v/>
      </c>
      <c r="I9463" s="4" t="str">
        <v/>
      </c>
    </row>
    <row r="9464" spans="5:9" ht="16.5" hidden="1">
      <c r="E9464" s="4" t="str">
        <v/>
      </c>
      <c r="F9464" s="102" t="str">
        <f ca="1">IFERROR(__xludf.DUMMYFUNCTION("IMPORTRANGE(H9464,""IDENTITAS UNIT!D9"")"),"#N/A")</f>
        <v>#N/A</v>
      </c>
      <c r="H9464" s="4" t="str">
        <v/>
      </c>
      <c r="I9464" s="4" t="str">
        <v/>
      </c>
    </row>
    <row r="9465" spans="5:9" ht="16.5" hidden="1">
      <c r="E9465" s="4" t="str">
        <v/>
      </c>
      <c r="F9465" s="102" t="str">
        <f ca="1">IFERROR(__xludf.DUMMYFUNCTION("IMPORTRANGE(H9465,""IDENTITAS UNIT!D9"")"),"#N/A")</f>
        <v>#N/A</v>
      </c>
      <c r="H9465" s="4" t="str">
        <v/>
      </c>
      <c r="I9465" s="4" t="str">
        <v/>
      </c>
    </row>
    <row r="9466" spans="5:9" ht="16.5" hidden="1">
      <c r="E9466" s="4" t="str">
        <v/>
      </c>
      <c r="F9466" s="102" t="str">
        <f ca="1">IFERROR(__xludf.DUMMYFUNCTION("IMPORTRANGE(H9466,""IDENTITAS UNIT!D9"")"),"#N/A")</f>
        <v>#N/A</v>
      </c>
      <c r="H9466" s="4" t="str">
        <v/>
      </c>
      <c r="I9466" s="4" t="str">
        <v/>
      </c>
    </row>
    <row r="9467" spans="5:9" ht="16.5" hidden="1">
      <c r="E9467" s="4" t="str">
        <v/>
      </c>
      <c r="F9467" s="102" t="str">
        <f ca="1">IFERROR(__xludf.DUMMYFUNCTION("IMPORTRANGE(H9467,""IDENTITAS UNIT!D9"")"),"#N/A")</f>
        <v>#N/A</v>
      </c>
      <c r="H9467" s="4" t="str">
        <v/>
      </c>
      <c r="I9467" s="4" t="str">
        <v/>
      </c>
    </row>
    <row r="9468" spans="5:9" ht="16.5" hidden="1">
      <c r="E9468" s="4" t="str">
        <v/>
      </c>
      <c r="F9468" s="102" t="str">
        <f ca="1">IFERROR(__xludf.DUMMYFUNCTION("IMPORTRANGE(H9468,""IDENTITAS UNIT!D9"")"),"#N/A")</f>
        <v>#N/A</v>
      </c>
      <c r="H9468" s="4" t="str">
        <v/>
      </c>
      <c r="I9468" s="4" t="str">
        <v/>
      </c>
    </row>
    <row r="9469" spans="5:9" ht="16.5" hidden="1">
      <c r="E9469" s="4" t="str">
        <v/>
      </c>
      <c r="F9469" s="102" t="str">
        <f ca="1">IFERROR(__xludf.DUMMYFUNCTION("IMPORTRANGE(H9469,""IDENTITAS UNIT!D9"")"),"#N/A")</f>
        <v>#N/A</v>
      </c>
      <c r="H9469" s="4" t="str">
        <v/>
      </c>
      <c r="I9469" s="4" t="str">
        <v/>
      </c>
    </row>
    <row r="9470" spans="5:9" ht="16.5" hidden="1">
      <c r="E9470" s="4" t="str">
        <v/>
      </c>
      <c r="F9470" s="102" t="str">
        <f ca="1">IFERROR(__xludf.DUMMYFUNCTION("IMPORTRANGE(H9470,""IDENTITAS UNIT!D9"")"),"#N/A")</f>
        <v>#N/A</v>
      </c>
      <c r="H9470" s="4" t="str">
        <v/>
      </c>
      <c r="I9470" s="4" t="str">
        <v/>
      </c>
    </row>
    <row r="9471" spans="5:9" ht="16.5" hidden="1">
      <c r="E9471" s="4" t="str">
        <v/>
      </c>
      <c r="F9471" s="102" t="str">
        <f ca="1">IFERROR(__xludf.DUMMYFUNCTION("IMPORTRANGE(H9471,""IDENTITAS UNIT!D9"")"),"#N/A")</f>
        <v>#N/A</v>
      </c>
      <c r="H9471" s="4" t="str">
        <v/>
      </c>
      <c r="I9471" s="4" t="str">
        <v/>
      </c>
    </row>
    <row r="9472" spans="5:9" ht="16.5" hidden="1">
      <c r="E9472" s="4" t="str">
        <v/>
      </c>
      <c r="F9472" s="102" t="str">
        <f ca="1">IFERROR(__xludf.DUMMYFUNCTION("IMPORTRANGE(H9472,""IDENTITAS UNIT!D9"")"),"#N/A")</f>
        <v>#N/A</v>
      </c>
      <c r="H9472" s="4" t="str">
        <v/>
      </c>
      <c r="I9472" s="4" t="str">
        <v/>
      </c>
    </row>
    <row r="9473" spans="5:9" ht="16.5" hidden="1">
      <c r="E9473" s="4" t="str">
        <v/>
      </c>
      <c r="F9473" s="102" t="str">
        <f ca="1">IFERROR(__xludf.DUMMYFUNCTION("IMPORTRANGE(H9473,""IDENTITAS UNIT!D9"")"),"#N/A")</f>
        <v>#N/A</v>
      </c>
      <c r="H9473" s="4" t="str">
        <v/>
      </c>
      <c r="I9473" s="4" t="str">
        <v/>
      </c>
    </row>
    <row r="9474" spans="5:9" ht="16.5" hidden="1">
      <c r="E9474" s="4" t="str">
        <v/>
      </c>
      <c r="F9474" s="102" t="str">
        <f ca="1">IFERROR(__xludf.DUMMYFUNCTION("IMPORTRANGE(H9474,""IDENTITAS UNIT!D9"")"),"#N/A")</f>
        <v>#N/A</v>
      </c>
      <c r="H9474" s="4" t="str">
        <v/>
      </c>
      <c r="I9474" s="4" t="str">
        <v/>
      </c>
    </row>
    <row r="9475" spans="5:9" ht="16.5" hidden="1">
      <c r="E9475" s="4" t="str">
        <v/>
      </c>
      <c r="F9475" s="102" t="str">
        <f ca="1">IFERROR(__xludf.DUMMYFUNCTION("IMPORTRANGE(H9475,""IDENTITAS UNIT!D9"")"),"#N/A")</f>
        <v>#N/A</v>
      </c>
      <c r="H9475" s="4" t="str">
        <v/>
      </c>
      <c r="I9475" s="4" t="str">
        <v/>
      </c>
    </row>
    <row r="9476" spans="5:9" ht="16.5" hidden="1">
      <c r="E9476" s="4" t="str">
        <v/>
      </c>
      <c r="F9476" s="102" t="str">
        <f ca="1">IFERROR(__xludf.DUMMYFUNCTION("IMPORTRANGE(H9476,""IDENTITAS UNIT!D9"")"),"#N/A")</f>
        <v>#N/A</v>
      </c>
      <c r="H9476" s="4" t="str">
        <v/>
      </c>
      <c r="I9476" s="4" t="str">
        <v/>
      </c>
    </row>
    <row r="9477" spans="5:9" ht="16.5" hidden="1">
      <c r="E9477" s="4" t="str">
        <v/>
      </c>
      <c r="F9477" s="102" t="str">
        <f ca="1">IFERROR(__xludf.DUMMYFUNCTION("IMPORTRANGE(H9477,""IDENTITAS UNIT!D9"")"),"#N/A")</f>
        <v>#N/A</v>
      </c>
      <c r="H9477" s="4" t="str">
        <v/>
      </c>
      <c r="I9477" s="4" t="str">
        <v/>
      </c>
    </row>
    <row r="9478" spans="5:9" ht="16.5" hidden="1">
      <c r="E9478" s="4" t="str">
        <v/>
      </c>
      <c r="F9478" s="102" t="str">
        <f ca="1">IFERROR(__xludf.DUMMYFUNCTION("IMPORTRANGE(H9478,""IDENTITAS UNIT!D9"")"),"#N/A")</f>
        <v>#N/A</v>
      </c>
      <c r="H9478" s="4" t="str">
        <v/>
      </c>
      <c r="I9478" s="4" t="str">
        <v/>
      </c>
    </row>
    <row r="9479" spans="5:9" ht="16.5" hidden="1">
      <c r="E9479" s="4" t="str">
        <v/>
      </c>
      <c r="F9479" s="102" t="str">
        <f ca="1">IFERROR(__xludf.DUMMYFUNCTION("IMPORTRANGE(H9479,""IDENTITAS UNIT!D9"")"),"#N/A")</f>
        <v>#N/A</v>
      </c>
      <c r="H9479" s="4" t="str">
        <v/>
      </c>
      <c r="I9479" s="4" t="str">
        <v/>
      </c>
    </row>
    <row r="9480" spans="5:9" ht="16.5" hidden="1">
      <c r="E9480" s="4" t="str">
        <v/>
      </c>
      <c r="F9480" s="102" t="str">
        <f ca="1">IFERROR(__xludf.DUMMYFUNCTION("IMPORTRANGE(H9480,""IDENTITAS UNIT!D9"")"),"#N/A")</f>
        <v>#N/A</v>
      </c>
      <c r="H9480" s="4" t="str">
        <v/>
      </c>
      <c r="I9480" s="4" t="str">
        <v/>
      </c>
    </row>
    <row r="9481" spans="5:9" ht="16.5" hidden="1">
      <c r="E9481" s="4" t="str">
        <v/>
      </c>
      <c r="F9481" s="102" t="str">
        <f ca="1">IFERROR(__xludf.DUMMYFUNCTION("IMPORTRANGE(H9481,""IDENTITAS UNIT!D9"")"),"#N/A")</f>
        <v>#N/A</v>
      </c>
      <c r="H9481" s="4" t="str">
        <v/>
      </c>
      <c r="I9481" s="4" t="str">
        <v/>
      </c>
    </row>
    <row r="9482" spans="5:9" ht="16.5" hidden="1">
      <c r="E9482" s="4" t="str">
        <v/>
      </c>
      <c r="F9482" s="102" t="str">
        <f ca="1">IFERROR(__xludf.DUMMYFUNCTION("IMPORTRANGE(H9482,""IDENTITAS UNIT!D9"")"),"#N/A")</f>
        <v>#N/A</v>
      </c>
      <c r="H9482" s="4" t="str">
        <v/>
      </c>
      <c r="I9482" s="4" t="str">
        <v/>
      </c>
    </row>
    <row r="9483" spans="5:9" ht="16.5" hidden="1">
      <c r="E9483" s="4" t="str">
        <v/>
      </c>
      <c r="F9483" s="102" t="str">
        <f ca="1">IFERROR(__xludf.DUMMYFUNCTION("IMPORTRANGE(H9483,""IDENTITAS UNIT!D9"")"),"#N/A")</f>
        <v>#N/A</v>
      </c>
      <c r="H9483" s="4" t="str">
        <v/>
      </c>
      <c r="I9483" s="4" t="str">
        <v/>
      </c>
    </row>
    <row r="9484" spans="5:9" ht="16.5" hidden="1">
      <c r="E9484" s="4" t="str">
        <v/>
      </c>
      <c r="F9484" s="102" t="str">
        <f ca="1">IFERROR(__xludf.DUMMYFUNCTION("IMPORTRANGE(H9484,""IDENTITAS UNIT!D9"")"),"#N/A")</f>
        <v>#N/A</v>
      </c>
      <c r="H9484" s="4" t="str">
        <v/>
      </c>
      <c r="I9484" s="4" t="str">
        <v/>
      </c>
    </row>
    <row r="9485" spans="5:9" ht="16.5" hidden="1">
      <c r="E9485" s="4" t="str">
        <v/>
      </c>
      <c r="F9485" s="102" t="str">
        <f ca="1">IFERROR(__xludf.DUMMYFUNCTION("IMPORTRANGE(H9485,""IDENTITAS UNIT!D9"")"),"#N/A")</f>
        <v>#N/A</v>
      </c>
      <c r="H9485" s="4" t="str">
        <v/>
      </c>
      <c r="I9485" s="4" t="str">
        <v/>
      </c>
    </row>
    <row r="9486" spans="5:9" ht="16.5" hidden="1">
      <c r="E9486" s="4" t="str">
        <v/>
      </c>
      <c r="F9486" s="102" t="str">
        <f ca="1">IFERROR(__xludf.DUMMYFUNCTION("IMPORTRANGE(H9486,""IDENTITAS UNIT!D9"")"),"#N/A")</f>
        <v>#N/A</v>
      </c>
      <c r="H9486" s="4" t="str">
        <v/>
      </c>
      <c r="I9486" s="4" t="str">
        <v/>
      </c>
    </row>
    <row r="9487" spans="5:9" ht="16.5" hidden="1">
      <c r="E9487" s="4" t="str">
        <v/>
      </c>
      <c r="F9487" s="102" t="str">
        <f ca="1">IFERROR(__xludf.DUMMYFUNCTION("IMPORTRANGE(H9487,""IDENTITAS UNIT!D9"")"),"#N/A")</f>
        <v>#N/A</v>
      </c>
      <c r="H9487" s="4" t="str">
        <v/>
      </c>
      <c r="I9487" s="4" t="str">
        <v/>
      </c>
    </row>
    <row r="9488" spans="5:9" ht="16.5" hidden="1">
      <c r="E9488" s="4" t="str">
        <v/>
      </c>
      <c r="F9488" s="102" t="str">
        <f ca="1">IFERROR(__xludf.DUMMYFUNCTION("IMPORTRANGE(H9488,""IDENTITAS UNIT!D9"")"),"#N/A")</f>
        <v>#N/A</v>
      </c>
      <c r="H9488" s="4" t="str">
        <v/>
      </c>
      <c r="I9488" s="4" t="str">
        <v/>
      </c>
    </row>
    <row r="9489" spans="5:9" ht="16.5" hidden="1">
      <c r="E9489" s="4" t="str">
        <v/>
      </c>
      <c r="F9489" s="102" t="str">
        <f ca="1">IFERROR(__xludf.DUMMYFUNCTION("IMPORTRANGE(H9489,""IDENTITAS UNIT!D9"")"),"#N/A")</f>
        <v>#N/A</v>
      </c>
      <c r="H9489" s="4" t="str">
        <v/>
      </c>
      <c r="I9489" s="4" t="str">
        <v/>
      </c>
    </row>
    <row r="9490" spans="5:9" ht="16.5" hidden="1">
      <c r="E9490" s="4" t="str">
        <v/>
      </c>
      <c r="F9490" s="102" t="str">
        <f ca="1">IFERROR(__xludf.DUMMYFUNCTION("IMPORTRANGE(H9490,""IDENTITAS UNIT!D9"")"),"#N/A")</f>
        <v>#N/A</v>
      </c>
      <c r="H9490" s="4" t="str">
        <v/>
      </c>
      <c r="I9490" s="4" t="str">
        <v/>
      </c>
    </row>
    <row r="9491" spans="5:9" ht="16.5" hidden="1">
      <c r="E9491" s="4" t="str">
        <v/>
      </c>
      <c r="F9491" s="102" t="str">
        <f ca="1">IFERROR(__xludf.DUMMYFUNCTION("IMPORTRANGE(H9491,""IDENTITAS UNIT!D9"")"),"#N/A")</f>
        <v>#N/A</v>
      </c>
      <c r="H9491" s="4" t="str">
        <v/>
      </c>
      <c r="I9491" s="4" t="str">
        <v/>
      </c>
    </row>
    <row r="9492" spans="5:9" ht="16.5" hidden="1">
      <c r="E9492" s="4" t="str">
        <v/>
      </c>
      <c r="F9492" s="102" t="str">
        <f ca="1">IFERROR(__xludf.DUMMYFUNCTION("IMPORTRANGE(H9492,""IDENTITAS UNIT!D9"")"),"#N/A")</f>
        <v>#N/A</v>
      </c>
      <c r="H9492" s="4" t="str">
        <v/>
      </c>
      <c r="I9492" s="4" t="str">
        <v/>
      </c>
    </row>
    <row r="9493" spans="5:9" ht="16.5" hidden="1">
      <c r="E9493" s="4" t="str">
        <v/>
      </c>
      <c r="F9493" s="102" t="str">
        <f ca="1">IFERROR(__xludf.DUMMYFUNCTION("IMPORTRANGE(H9493,""IDENTITAS UNIT!D9"")"),"#N/A")</f>
        <v>#N/A</v>
      </c>
      <c r="H9493" s="4" t="str">
        <v/>
      </c>
      <c r="I9493" s="4" t="str">
        <v/>
      </c>
    </row>
    <row r="9494" spans="5:9" ht="16.5" hidden="1">
      <c r="E9494" s="4" t="str">
        <v/>
      </c>
      <c r="F9494" s="102" t="str">
        <f ca="1">IFERROR(__xludf.DUMMYFUNCTION("IMPORTRANGE(H9494,""IDENTITAS UNIT!D9"")"),"#N/A")</f>
        <v>#N/A</v>
      </c>
      <c r="H9494" s="4" t="str">
        <v/>
      </c>
      <c r="I9494" s="4" t="str">
        <v/>
      </c>
    </row>
    <row r="9495" spans="5:9" ht="16.5" hidden="1">
      <c r="E9495" s="4" t="str">
        <v/>
      </c>
      <c r="F9495" s="102" t="str">
        <f ca="1">IFERROR(__xludf.DUMMYFUNCTION("IMPORTRANGE(H9495,""IDENTITAS UNIT!D9"")"),"#N/A")</f>
        <v>#N/A</v>
      </c>
      <c r="H9495" s="4" t="str">
        <v/>
      </c>
      <c r="I9495" s="4" t="str">
        <v/>
      </c>
    </row>
    <row r="9496" spans="5:9" ht="16.5" hidden="1">
      <c r="E9496" s="4" t="str">
        <v/>
      </c>
      <c r="F9496" s="102" t="str">
        <f ca="1">IFERROR(__xludf.DUMMYFUNCTION("IMPORTRANGE(H9496,""IDENTITAS UNIT!D9"")"),"#N/A")</f>
        <v>#N/A</v>
      </c>
      <c r="H9496" s="4" t="str">
        <v/>
      </c>
      <c r="I9496" s="4" t="str">
        <v/>
      </c>
    </row>
    <row r="9497" spans="5:9" ht="16.5" hidden="1">
      <c r="E9497" s="4" t="str">
        <v/>
      </c>
      <c r="F9497" s="102" t="str">
        <f ca="1">IFERROR(__xludf.DUMMYFUNCTION("IMPORTRANGE(H9497,""IDENTITAS UNIT!D9"")"),"#N/A")</f>
        <v>#N/A</v>
      </c>
      <c r="H9497" s="4" t="str">
        <v/>
      </c>
      <c r="I9497" s="4" t="str">
        <v/>
      </c>
    </row>
    <row r="9498" spans="5:9" ht="16.5" hidden="1">
      <c r="E9498" s="4" t="str">
        <v/>
      </c>
      <c r="F9498" s="102" t="str">
        <f ca="1">IFERROR(__xludf.DUMMYFUNCTION("IMPORTRANGE(H9498,""IDENTITAS UNIT!D9"")"),"#N/A")</f>
        <v>#N/A</v>
      </c>
      <c r="H9498" s="4" t="str">
        <v/>
      </c>
      <c r="I9498" s="4" t="str">
        <v/>
      </c>
    </row>
    <row r="9499" spans="5:9" ht="16.5" hidden="1">
      <c r="E9499" s="4" t="str">
        <v/>
      </c>
      <c r="F9499" s="102" t="str">
        <f ca="1">IFERROR(__xludf.DUMMYFUNCTION("IMPORTRANGE(H9499,""IDENTITAS UNIT!D9"")"),"#N/A")</f>
        <v>#N/A</v>
      </c>
      <c r="H9499" s="4" t="str">
        <v/>
      </c>
      <c r="I9499" s="4" t="str">
        <v/>
      </c>
    </row>
    <row r="9500" spans="5:9" ht="16.5" hidden="1">
      <c r="E9500" s="4" t="str">
        <v/>
      </c>
      <c r="F9500" s="102" t="str">
        <f ca="1">IFERROR(__xludf.DUMMYFUNCTION("IMPORTRANGE(H9500,""IDENTITAS UNIT!D9"")"),"#N/A")</f>
        <v>#N/A</v>
      </c>
      <c r="H9500" s="4" t="str">
        <v/>
      </c>
      <c r="I9500" s="4" t="str">
        <v/>
      </c>
    </row>
    <row r="9501" spans="5:9" ht="16.5" hidden="1">
      <c r="E9501" s="4" t="str">
        <v/>
      </c>
      <c r="F9501" s="102" t="str">
        <f ca="1">IFERROR(__xludf.DUMMYFUNCTION("IMPORTRANGE(H9501,""IDENTITAS UNIT!D9"")"),"#N/A")</f>
        <v>#N/A</v>
      </c>
      <c r="H9501" s="4" t="str">
        <v/>
      </c>
      <c r="I9501" s="4" t="str">
        <v/>
      </c>
    </row>
    <row r="9502" spans="5:9" ht="16.5" hidden="1">
      <c r="E9502" s="4" t="str">
        <v/>
      </c>
      <c r="F9502" s="102" t="str">
        <f ca="1">IFERROR(__xludf.DUMMYFUNCTION("IMPORTRANGE(H9502,""IDENTITAS UNIT!D9"")"),"#N/A")</f>
        <v>#N/A</v>
      </c>
      <c r="H9502" s="4" t="str">
        <v/>
      </c>
      <c r="I9502" s="4" t="str">
        <v/>
      </c>
    </row>
    <row r="9503" spans="5:9" ht="16.5" hidden="1">
      <c r="E9503" s="4" t="str">
        <v/>
      </c>
      <c r="F9503" s="102" t="str">
        <f ca="1">IFERROR(__xludf.DUMMYFUNCTION("IMPORTRANGE(H9503,""IDENTITAS UNIT!D9"")"),"#N/A")</f>
        <v>#N/A</v>
      </c>
      <c r="H9503" s="4" t="str">
        <v/>
      </c>
      <c r="I9503" s="4" t="str">
        <v/>
      </c>
    </row>
    <row r="9504" spans="5:9" ht="16.5" hidden="1">
      <c r="E9504" s="4" t="str">
        <v/>
      </c>
      <c r="F9504" s="102" t="str">
        <f ca="1">IFERROR(__xludf.DUMMYFUNCTION("IMPORTRANGE(H9504,""IDENTITAS UNIT!D9"")"),"#N/A")</f>
        <v>#N/A</v>
      </c>
      <c r="H9504" s="4" t="str">
        <v/>
      </c>
      <c r="I9504" s="4" t="str">
        <v/>
      </c>
    </row>
    <row r="9505" spans="5:9" ht="16.5" hidden="1">
      <c r="E9505" s="4" t="str">
        <v/>
      </c>
      <c r="F9505" s="102" t="str">
        <f ca="1">IFERROR(__xludf.DUMMYFUNCTION("IMPORTRANGE(H9505,""IDENTITAS UNIT!D9"")"),"#N/A")</f>
        <v>#N/A</v>
      </c>
      <c r="H9505" s="4" t="str">
        <v/>
      </c>
      <c r="I9505" s="4" t="str">
        <v/>
      </c>
    </row>
    <row r="9506" spans="5:9" ht="16.5" hidden="1">
      <c r="E9506" s="4" t="str">
        <v/>
      </c>
      <c r="F9506" s="102" t="str">
        <f ca="1">IFERROR(__xludf.DUMMYFUNCTION("IMPORTRANGE(H9506,""IDENTITAS UNIT!D9"")"),"#N/A")</f>
        <v>#N/A</v>
      </c>
      <c r="H9506" s="4" t="str">
        <v/>
      </c>
      <c r="I9506" s="4" t="str">
        <v/>
      </c>
    </row>
    <row r="9507" spans="5:9" ht="16.5" hidden="1">
      <c r="E9507" s="4" t="str">
        <v/>
      </c>
      <c r="F9507" s="102" t="str">
        <f ca="1">IFERROR(__xludf.DUMMYFUNCTION("IMPORTRANGE(H9507,""IDENTITAS UNIT!D9"")"),"#N/A")</f>
        <v>#N/A</v>
      </c>
      <c r="H9507" s="4" t="str">
        <v/>
      </c>
      <c r="I9507" s="4" t="str">
        <v/>
      </c>
    </row>
    <row r="9508" spans="5:9" ht="16.5" hidden="1">
      <c r="E9508" s="4" t="str">
        <v/>
      </c>
      <c r="F9508" s="102" t="str">
        <f ca="1">IFERROR(__xludf.DUMMYFUNCTION("IMPORTRANGE(H9508,""IDENTITAS UNIT!D9"")"),"#N/A")</f>
        <v>#N/A</v>
      </c>
      <c r="H9508" s="4" t="str">
        <v/>
      </c>
      <c r="I9508" s="4" t="str">
        <v/>
      </c>
    </row>
    <row r="9509" spans="5:9" ht="16.5" hidden="1">
      <c r="E9509" s="4" t="str">
        <v/>
      </c>
      <c r="F9509" s="102" t="str">
        <f ca="1">IFERROR(__xludf.DUMMYFUNCTION("IMPORTRANGE(H9509,""IDENTITAS UNIT!D9"")"),"#N/A")</f>
        <v>#N/A</v>
      </c>
      <c r="H9509" s="4" t="str">
        <v/>
      </c>
      <c r="I9509" s="4" t="str">
        <v/>
      </c>
    </row>
    <row r="9510" spans="5:9" ht="16.5" hidden="1">
      <c r="E9510" s="4" t="str">
        <v/>
      </c>
      <c r="F9510" s="102" t="str">
        <f ca="1">IFERROR(__xludf.DUMMYFUNCTION("IMPORTRANGE(H9510,""IDENTITAS UNIT!D9"")"),"#N/A")</f>
        <v>#N/A</v>
      </c>
      <c r="H9510" s="4" t="str">
        <v/>
      </c>
      <c r="I9510" s="4" t="str">
        <v/>
      </c>
    </row>
    <row r="9511" spans="5:9" ht="16.5" hidden="1">
      <c r="E9511" s="4" t="str">
        <v/>
      </c>
      <c r="F9511" s="102" t="str">
        <f ca="1">IFERROR(__xludf.DUMMYFUNCTION("IMPORTRANGE(H9511,""IDENTITAS UNIT!D9"")"),"#N/A")</f>
        <v>#N/A</v>
      </c>
      <c r="H9511" s="4" t="str">
        <v/>
      </c>
      <c r="I9511" s="4" t="str">
        <v/>
      </c>
    </row>
    <row r="9512" spans="5:9" ht="16.5" hidden="1">
      <c r="E9512" s="4" t="str">
        <v/>
      </c>
      <c r="F9512" s="102" t="str">
        <f ca="1">IFERROR(__xludf.DUMMYFUNCTION("IMPORTRANGE(H9512,""IDENTITAS UNIT!D9"")"),"#N/A")</f>
        <v>#N/A</v>
      </c>
      <c r="H9512" s="4" t="str">
        <v/>
      </c>
      <c r="I9512" s="4" t="str">
        <v/>
      </c>
    </row>
    <row r="9513" spans="5:9" ht="16.5" hidden="1">
      <c r="E9513" s="4" t="str">
        <v/>
      </c>
      <c r="F9513" s="102" t="str">
        <f ca="1">IFERROR(__xludf.DUMMYFUNCTION("IMPORTRANGE(H9513,""IDENTITAS UNIT!D9"")"),"#N/A")</f>
        <v>#N/A</v>
      </c>
      <c r="H9513" s="4" t="str">
        <v/>
      </c>
      <c r="I9513" s="4" t="str">
        <v/>
      </c>
    </row>
    <row r="9514" spans="5:9" ht="16.5" hidden="1">
      <c r="E9514" s="4" t="str">
        <v/>
      </c>
      <c r="F9514" s="102" t="str">
        <f ca="1">IFERROR(__xludf.DUMMYFUNCTION("IMPORTRANGE(H9514,""IDENTITAS UNIT!D9"")"),"#N/A")</f>
        <v>#N/A</v>
      </c>
      <c r="H9514" s="4" t="str">
        <v/>
      </c>
      <c r="I9514" s="4" t="str">
        <v/>
      </c>
    </row>
    <row r="9515" spans="5:9" ht="16.5" hidden="1">
      <c r="E9515" s="4" t="str">
        <v/>
      </c>
      <c r="F9515" s="102" t="str">
        <f ca="1">IFERROR(__xludf.DUMMYFUNCTION("IMPORTRANGE(H9515,""IDENTITAS UNIT!D9"")"),"#N/A")</f>
        <v>#N/A</v>
      </c>
      <c r="H9515" s="4" t="str">
        <v/>
      </c>
      <c r="I9515" s="4" t="str">
        <v/>
      </c>
    </row>
    <row r="9516" spans="5:9" ht="16.5" hidden="1">
      <c r="E9516" s="4" t="str">
        <v/>
      </c>
      <c r="F9516" s="102" t="str">
        <f ca="1">IFERROR(__xludf.DUMMYFUNCTION("IMPORTRANGE(H9516,""IDENTITAS UNIT!D9"")"),"#N/A")</f>
        <v>#N/A</v>
      </c>
      <c r="H9516" s="4" t="str">
        <v/>
      </c>
      <c r="I9516" s="4" t="str">
        <v/>
      </c>
    </row>
    <row r="9517" spans="5:9" ht="16.5" hidden="1">
      <c r="E9517" s="4" t="str">
        <v/>
      </c>
      <c r="F9517" s="102" t="str">
        <f ca="1">IFERROR(__xludf.DUMMYFUNCTION("IMPORTRANGE(H9517,""IDENTITAS UNIT!D9"")"),"#N/A")</f>
        <v>#N/A</v>
      </c>
      <c r="H9517" s="4" t="str">
        <v/>
      </c>
      <c r="I9517" s="4" t="str">
        <v/>
      </c>
    </row>
    <row r="9518" spans="5:9" ht="16.5" hidden="1">
      <c r="E9518" s="4" t="str">
        <v/>
      </c>
      <c r="F9518" s="102" t="str">
        <f ca="1">IFERROR(__xludf.DUMMYFUNCTION("IMPORTRANGE(H9518,""IDENTITAS UNIT!D9"")"),"#N/A")</f>
        <v>#N/A</v>
      </c>
      <c r="H9518" s="4" t="str">
        <v/>
      </c>
      <c r="I9518" s="4" t="str">
        <v/>
      </c>
    </row>
    <row r="9519" spans="5:9" ht="16.5" hidden="1">
      <c r="E9519" s="4" t="str">
        <v/>
      </c>
      <c r="F9519" s="102" t="str">
        <f ca="1">IFERROR(__xludf.DUMMYFUNCTION("IMPORTRANGE(H9519,""IDENTITAS UNIT!D9"")"),"#N/A")</f>
        <v>#N/A</v>
      </c>
      <c r="H9519" s="4" t="str">
        <v/>
      </c>
      <c r="I9519" s="4" t="str">
        <v/>
      </c>
    </row>
    <row r="9520" spans="5:9" ht="16.5" hidden="1">
      <c r="E9520" s="4" t="str">
        <v/>
      </c>
      <c r="F9520" s="102" t="str">
        <f ca="1">IFERROR(__xludf.DUMMYFUNCTION("IMPORTRANGE(H9520,""IDENTITAS UNIT!D9"")"),"#N/A")</f>
        <v>#N/A</v>
      </c>
      <c r="H9520" s="4" t="str">
        <v/>
      </c>
      <c r="I9520" s="4" t="str">
        <v/>
      </c>
    </row>
    <row r="9521" spans="5:9" ht="16.5" hidden="1">
      <c r="E9521" s="4" t="str">
        <v/>
      </c>
      <c r="F9521" s="102" t="str">
        <f ca="1">IFERROR(__xludf.DUMMYFUNCTION("IMPORTRANGE(H9521,""IDENTITAS UNIT!D9"")"),"#N/A")</f>
        <v>#N/A</v>
      </c>
      <c r="H9521" s="4" t="str">
        <v/>
      </c>
      <c r="I9521" s="4" t="str">
        <v/>
      </c>
    </row>
    <row r="9522" spans="5:9" ht="16.5" hidden="1">
      <c r="E9522" s="4" t="str">
        <v/>
      </c>
      <c r="F9522" s="102" t="str">
        <f ca="1">IFERROR(__xludf.DUMMYFUNCTION("IMPORTRANGE(H9522,""IDENTITAS UNIT!D9"")"),"#N/A")</f>
        <v>#N/A</v>
      </c>
      <c r="H9522" s="4" t="str">
        <v/>
      </c>
      <c r="I9522" s="4" t="str">
        <v/>
      </c>
    </row>
    <row r="9523" spans="5:9" ht="16.5" hidden="1">
      <c r="E9523" s="4" t="str">
        <v/>
      </c>
      <c r="F9523" s="102" t="str">
        <f ca="1">IFERROR(__xludf.DUMMYFUNCTION("IMPORTRANGE(H9523,""IDENTITAS UNIT!D9"")"),"#N/A")</f>
        <v>#N/A</v>
      </c>
      <c r="H9523" s="4" t="str">
        <v/>
      </c>
      <c r="I9523" s="4" t="str">
        <v/>
      </c>
    </row>
    <row r="9524" spans="5:9" ht="16.5" hidden="1">
      <c r="E9524" s="4" t="str">
        <v/>
      </c>
      <c r="F9524" s="102" t="str">
        <f ca="1">IFERROR(__xludf.DUMMYFUNCTION("IMPORTRANGE(H9524,""IDENTITAS UNIT!D9"")"),"#N/A")</f>
        <v>#N/A</v>
      </c>
      <c r="H9524" s="4" t="str">
        <v/>
      </c>
      <c r="I9524" s="4" t="str">
        <v/>
      </c>
    </row>
    <row r="9525" spans="5:9" ht="16.5" hidden="1">
      <c r="E9525" s="4" t="str">
        <v/>
      </c>
      <c r="F9525" s="102" t="str">
        <f ca="1">IFERROR(__xludf.DUMMYFUNCTION("IMPORTRANGE(H9525,""IDENTITAS UNIT!D9"")"),"#N/A")</f>
        <v>#N/A</v>
      </c>
      <c r="H9525" s="4" t="str">
        <v/>
      </c>
      <c r="I9525" s="4" t="str">
        <v/>
      </c>
    </row>
    <row r="9526" spans="5:9" ht="16.5" hidden="1">
      <c r="E9526" s="4" t="str">
        <v/>
      </c>
      <c r="F9526" s="102" t="str">
        <f ca="1">IFERROR(__xludf.DUMMYFUNCTION("IMPORTRANGE(H9526,""IDENTITAS UNIT!D9"")"),"#N/A")</f>
        <v>#N/A</v>
      </c>
      <c r="H9526" s="4" t="str">
        <v/>
      </c>
      <c r="I9526" s="4" t="str">
        <v/>
      </c>
    </row>
    <row r="9527" spans="5:9" ht="16.5" hidden="1">
      <c r="E9527" s="4" t="str">
        <v/>
      </c>
      <c r="F9527" s="102" t="str">
        <f ca="1">IFERROR(__xludf.DUMMYFUNCTION("IMPORTRANGE(H9527,""IDENTITAS UNIT!D9"")"),"#N/A")</f>
        <v>#N/A</v>
      </c>
      <c r="H9527" s="4" t="str">
        <v/>
      </c>
      <c r="I9527" s="4" t="str">
        <v/>
      </c>
    </row>
    <row r="9528" spans="5:9" ht="16.5" hidden="1">
      <c r="E9528" s="4" t="str">
        <v/>
      </c>
      <c r="F9528" s="102" t="str">
        <f ca="1">IFERROR(__xludf.DUMMYFUNCTION("IMPORTRANGE(H9528,""IDENTITAS UNIT!D9"")"),"#N/A")</f>
        <v>#N/A</v>
      </c>
      <c r="H9528" s="4" t="str">
        <v/>
      </c>
      <c r="I9528" s="4" t="str">
        <v/>
      </c>
    </row>
    <row r="9529" spans="5:9" ht="16.5" hidden="1">
      <c r="E9529" s="4" t="str">
        <v/>
      </c>
      <c r="F9529" s="102" t="str">
        <f ca="1">IFERROR(__xludf.DUMMYFUNCTION("IMPORTRANGE(H9529,""IDENTITAS UNIT!D9"")"),"#N/A")</f>
        <v>#N/A</v>
      </c>
      <c r="H9529" s="4" t="str">
        <v/>
      </c>
      <c r="I9529" s="4" t="str">
        <v/>
      </c>
    </row>
    <row r="9530" spans="5:9" ht="16.5" hidden="1">
      <c r="E9530" s="4" t="str">
        <v/>
      </c>
      <c r="F9530" s="102" t="str">
        <f ca="1">IFERROR(__xludf.DUMMYFUNCTION("IMPORTRANGE(H9530,""IDENTITAS UNIT!D9"")"),"#N/A")</f>
        <v>#N/A</v>
      </c>
      <c r="H9530" s="4" t="str">
        <v/>
      </c>
      <c r="I9530" s="4" t="str">
        <v/>
      </c>
    </row>
    <row r="9531" spans="5:9" ht="16.5" hidden="1">
      <c r="E9531" s="4" t="str">
        <v/>
      </c>
      <c r="F9531" s="102" t="str">
        <f ca="1">IFERROR(__xludf.DUMMYFUNCTION("IMPORTRANGE(H9531,""IDENTITAS UNIT!D9"")"),"#N/A")</f>
        <v>#N/A</v>
      </c>
      <c r="H9531" s="4" t="str">
        <v/>
      </c>
      <c r="I9531" s="4" t="str">
        <v/>
      </c>
    </row>
    <row r="9532" spans="5:9" ht="16.5" hidden="1">
      <c r="E9532" s="4" t="str">
        <v/>
      </c>
      <c r="F9532" s="102" t="str">
        <f ca="1">IFERROR(__xludf.DUMMYFUNCTION("IMPORTRANGE(H9532,""IDENTITAS UNIT!D9"")"),"#N/A")</f>
        <v>#N/A</v>
      </c>
      <c r="H9532" s="4" t="str">
        <v/>
      </c>
      <c r="I9532" s="4" t="str">
        <v/>
      </c>
    </row>
    <row r="9533" spans="5:9" ht="16.5" hidden="1">
      <c r="E9533" s="4" t="str">
        <v/>
      </c>
      <c r="F9533" s="102" t="str">
        <f ca="1">IFERROR(__xludf.DUMMYFUNCTION("IMPORTRANGE(H9533,""IDENTITAS UNIT!D9"")"),"#N/A")</f>
        <v>#N/A</v>
      </c>
      <c r="H9533" s="4" t="str">
        <v/>
      </c>
      <c r="I9533" s="4" t="str">
        <v/>
      </c>
    </row>
    <row r="9534" spans="5:9" ht="16.5" hidden="1">
      <c r="E9534" s="4" t="str">
        <v/>
      </c>
      <c r="F9534" s="102" t="str">
        <f ca="1">IFERROR(__xludf.DUMMYFUNCTION("IMPORTRANGE(H9534,""IDENTITAS UNIT!D9"")"),"#N/A")</f>
        <v>#N/A</v>
      </c>
      <c r="H9534" s="4" t="str">
        <v/>
      </c>
      <c r="I9534" s="4" t="str">
        <v/>
      </c>
    </row>
    <row r="9535" spans="5:9" ht="16.5" hidden="1">
      <c r="E9535" s="4" t="str">
        <v/>
      </c>
      <c r="F9535" s="102" t="str">
        <f ca="1">IFERROR(__xludf.DUMMYFUNCTION("IMPORTRANGE(H9535,""IDENTITAS UNIT!D9"")"),"#N/A")</f>
        <v>#N/A</v>
      </c>
      <c r="H9535" s="4" t="str">
        <v/>
      </c>
      <c r="I9535" s="4" t="str">
        <v/>
      </c>
    </row>
    <row r="9536" spans="5:9" ht="16.5" hidden="1">
      <c r="E9536" s="4" t="str">
        <v/>
      </c>
      <c r="F9536" s="102" t="str">
        <f ca="1">IFERROR(__xludf.DUMMYFUNCTION("IMPORTRANGE(H9536,""IDENTITAS UNIT!D9"")"),"#N/A")</f>
        <v>#N/A</v>
      </c>
      <c r="H9536" s="4" t="str">
        <v/>
      </c>
      <c r="I9536" s="4" t="str">
        <v/>
      </c>
    </row>
    <row r="9537" spans="5:9" ht="16.5" hidden="1">
      <c r="E9537" s="4" t="str">
        <v/>
      </c>
      <c r="F9537" s="102" t="str">
        <f ca="1">IFERROR(__xludf.DUMMYFUNCTION("IMPORTRANGE(H9537,""IDENTITAS UNIT!D9"")"),"#N/A")</f>
        <v>#N/A</v>
      </c>
      <c r="H9537" s="4" t="str">
        <v/>
      </c>
      <c r="I9537" s="4" t="str">
        <v/>
      </c>
    </row>
    <row r="9538" spans="5:9" ht="16.5" hidden="1">
      <c r="E9538" s="4" t="str">
        <v/>
      </c>
      <c r="F9538" s="102" t="str">
        <f ca="1">IFERROR(__xludf.DUMMYFUNCTION("IMPORTRANGE(H9538,""IDENTITAS UNIT!D9"")"),"#N/A")</f>
        <v>#N/A</v>
      </c>
      <c r="H9538" s="4" t="str">
        <v/>
      </c>
      <c r="I9538" s="4" t="str">
        <v/>
      </c>
    </row>
    <row r="9539" spans="5:9" ht="16.5" hidden="1">
      <c r="E9539" s="4" t="str">
        <v/>
      </c>
      <c r="F9539" s="102" t="str">
        <f ca="1">IFERROR(__xludf.DUMMYFUNCTION("IMPORTRANGE(H9539,""IDENTITAS UNIT!D9"")"),"#N/A")</f>
        <v>#N/A</v>
      </c>
      <c r="H9539" s="4" t="str">
        <v/>
      </c>
      <c r="I9539" s="4" t="str">
        <v/>
      </c>
    </row>
    <row r="9540" spans="5:9" ht="16.5" hidden="1">
      <c r="E9540" s="4" t="str">
        <v/>
      </c>
      <c r="F9540" s="102" t="str">
        <f ca="1">IFERROR(__xludf.DUMMYFUNCTION("IMPORTRANGE(H9540,""IDENTITAS UNIT!D9"")"),"#N/A")</f>
        <v>#N/A</v>
      </c>
      <c r="H9540" s="4" t="str">
        <v/>
      </c>
      <c r="I9540" s="4" t="str">
        <v/>
      </c>
    </row>
    <row r="9541" spans="5:9" ht="16.5" hidden="1">
      <c r="E9541" s="4" t="str">
        <v/>
      </c>
      <c r="F9541" s="102" t="str">
        <f ca="1">IFERROR(__xludf.DUMMYFUNCTION("IMPORTRANGE(H9541,""IDENTITAS UNIT!D9"")"),"#N/A")</f>
        <v>#N/A</v>
      </c>
      <c r="H9541" s="4" t="str">
        <v/>
      </c>
      <c r="I9541" s="4" t="str">
        <v/>
      </c>
    </row>
    <row r="9542" spans="5:9" ht="16.5" hidden="1">
      <c r="E9542" s="4" t="str">
        <v/>
      </c>
      <c r="F9542" s="102" t="str">
        <f ca="1">IFERROR(__xludf.DUMMYFUNCTION("IMPORTRANGE(H9542,""IDENTITAS UNIT!D9"")"),"#N/A")</f>
        <v>#N/A</v>
      </c>
      <c r="H9542" s="4" t="str">
        <v/>
      </c>
      <c r="I9542" s="4" t="str">
        <v/>
      </c>
    </row>
    <row r="9543" spans="5:9" ht="16.5" hidden="1">
      <c r="E9543" s="4" t="str">
        <v/>
      </c>
      <c r="F9543" s="102" t="str">
        <f ca="1">IFERROR(__xludf.DUMMYFUNCTION("IMPORTRANGE(H9543,""IDENTITAS UNIT!D9"")"),"#N/A")</f>
        <v>#N/A</v>
      </c>
      <c r="H9543" s="4" t="str">
        <v/>
      </c>
      <c r="I9543" s="4" t="str">
        <v/>
      </c>
    </row>
    <row r="9544" spans="5:9" ht="16.5" hidden="1">
      <c r="E9544" s="4" t="str">
        <v/>
      </c>
      <c r="F9544" s="102" t="str">
        <f ca="1">IFERROR(__xludf.DUMMYFUNCTION("IMPORTRANGE(H9544,""IDENTITAS UNIT!D9"")"),"#N/A")</f>
        <v>#N/A</v>
      </c>
      <c r="H9544" s="4" t="str">
        <v/>
      </c>
      <c r="I9544" s="4" t="str">
        <v/>
      </c>
    </row>
    <row r="9545" spans="5:9" ht="16.5" hidden="1">
      <c r="E9545" s="4" t="str">
        <v/>
      </c>
      <c r="F9545" s="102" t="str">
        <f ca="1">IFERROR(__xludf.DUMMYFUNCTION("IMPORTRANGE(H9545,""IDENTITAS UNIT!D9"")"),"#N/A")</f>
        <v>#N/A</v>
      </c>
      <c r="H9545" s="4" t="str">
        <v/>
      </c>
      <c r="I9545" s="4" t="str">
        <v/>
      </c>
    </row>
    <row r="9546" spans="5:9" ht="16.5" hidden="1">
      <c r="E9546" s="4" t="str">
        <v/>
      </c>
      <c r="F9546" s="102" t="str">
        <f ca="1">IFERROR(__xludf.DUMMYFUNCTION("IMPORTRANGE(H9546,""IDENTITAS UNIT!D9"")"),"#N/A")</f>
        <v>#N/A</v>
      </c>
      <c r="H9546" s="4" t="str">
        <v/>
      </c>
      <c r="I9546" s="4" t="str">
        <v/>
      </c>
    </row>
    <row r="9547" spans="5:9" ht="16.5" hidden="1">
      <c r="E9547" s="4" t="str">
        <v/>
      </c>
      <c r="F9547" s="102" t="str">
        <f ca="1">IFERROR(__xludf.DUMMYFUNCTION("IMPORTRANGE(H9547,""IDENTITAS UNIT!D9"")"),"#N/A")</f>
        <v>#N/A</v>
      </c>
      <c r="H9547" s="4" t="str">
        <v/>
      </c>
      <c r="I9547" s="4" t="str">
        <v/>
      </c>
    </row>
    <row r="9548" spans="5:9" ht="16.5" hidden="1">
      <c r="E9548" s="4" t="str">
        <v/>
      </c>
      <c r="F9548" s="102" t="str">
        <f ca="1">IFERROR(__xludf.DUMMYFUNCTION("IMPORTRANGE(H9548,""IDENTITAS UNIT!D9"")"),"#N/A")</f>
        <v>#N/A</v>
      </c>
      <c r="H9548" s="4" t="str">
        <v/>
      </c>
      <c r="I9548" s="4" t="str">
        <v/>
      </c>
    </row>
    <row r="9549" spans="5:9" ht="16.5" hidden="1">
      <c r="E9549" s="4" t="str">
        <v/>
      </c>
      <c r="F9549" s="102" t="str">
        <f ca="1">IFERROR(__xludf.DUMMYFUNCTION("IMPORTRANGE(H9549,""IDENTITAS UNIT!D9"")"),"#N/A")</f>
        <v>#N/A</v>
      </c>
      <c r="H9549" s="4" t="str">
        <v/>
      </c>
      <c r="I9549" s="4" t="str">
        <v/>
      </c>
    </row>
    <row r="9550" spans="5:9" ht="16.5" hidden="1">
      <c r="E9550" s="4" t="str">
        <v/>
      </c>
      <c r="F9550" s="102" t="str">
        <f ca="1">IFERROR(__xludf.DUMMYFUNCTION("IMPORTRANGE(H9550,""IDENTITAS UNIT!D9"")"),"#N/A")</f>
        <v>#N/A</v>
      </c>
      <c r="H9550" s="4" t="str">
        <v/>
      </c>
      <c r="I9550" s="4" t="str">
        <v/>
      </c>
    </row>
    <row r="9551" spans="5:9" ht="16.5" hidden="1">
      <c r="E9551" s="4" t="str">
        <v/>
      </c>
      <c r="F9551" s="102" t="str">
        <f ca="1">IFERROR(__xludf.DUMMYFUNCTION("IMPORTRANGE(H9551,""IDENTITAS UNIT!D9"")"),"#N/A")</f>
        <v>#N/A</v>
      </c>
      <c r="H9551" s="4" t="str">
        <v/>
      </c>
      <c r="I9551" s="4" t="str">
        <v/>
      </c>
    </row>
    <row r="9552" spans="5:9" ht="16.5" hidden="1">
      <c r="E9552" s="4" t="str">
        <v/>
      </c>
      <c r="F9552" s="102" t="str">
        <f ca="1">IFERROR(__xludf.DUMMYFUNCTION("IMPORTRANGE(H9552,""IDENTITAS UNIT!D9"")"),"#N/A")</f>
        <v>#N/A</v>
      </c>
      <c r="H9552" s="4" t="str">
        <v/>
      </c>
      <c r="I9552" s="4" t="str">
        <v/>
      </c>
    </row>
    <row r="9553" spans="5:9" ht="16.5" hidden="1">
      <c r="E9553" s="4" t="str">
        <v/>
      </c>
      <c r="F9553" s="102" t="str">
        <f ca="1">IFERROR(__xludf.DUMMYFUNCTION("IMPORTRANGE(H9553,""IDENTITAS UNIT!D9"")"),"#N/A")</f>
        <v>#N/A</v>
      </c>
      <c r="H9553" s="4" t="str">
        <v/>
      </c>
      <c r="I9553" s="4" t="str">
        <v/>
      </c>
    </row>
    <row r="9554" spans="5:9" ht="16.5" hidden="1">
      <c r="E9554" s="4" t="str">
        <v/>
      </c>
      <c r="F9554" s="102" t="str">
        <f ca="1">IFERROR(__xludf.DUMMYFUNCTION("IMPORTRANGE(H9554,""IDENTITAS UNIT!D9"")"),"#N/A")</f>
        <v>#N/A</v>
      </c>
      <c r="H9554" s="4" t="str">
        <v/>
      </c>
      <c r="I9554" s="4" t="str">
        <v/>
      </c>
    </row>
    <row r="9555" spans="5:9" ht="16.5" hidden="1">
      <c r="E9555" s="4" t="str">
        <v/>
      </c>
      <c r="F9555" s="102" t="str">
        <f ca="1">IFERROR(__xludf.DUMMYFUNCTION("IMPORTRANGE(H9555,""IDENTITAS UNIT!D9"")"),"#N/A")</f>
        <v>#N/A</v>
      </c>
      <c r="H9555" s="4" t="str">
        <v/>
      </c>
      <c r="I9555" s="4" t="str">
        <v/>
      </c>
    </row>
    <row r="9556" spans="5:9" ht="16.5" hidden="1">
      <c r="E9556" s="4" t="str">
        <v/>
      </c>
      <c r="F9556" s="102" t="str">
        <f ca="1">IFERROR(__xludf.DUMMYFUNCTION("IMPORTRANGE(H9556,""IDENTITAS UNIT!D9"")"),"#N/A")</f>
        <v>#N/A</v>
      </c>
      <c r="H9556" s="4" t="str">
        <v/>
      </c>
      <c r="I9556" s="4" t="str">
        <v/>
      </c>
    </row>
    <row r="9557" spans="5:9" ht="16.5" hidden="1">
      <c r="E9557" s="4" t="str">
        <v/>
      </c>
      <c r="F9557" s="102" t="str">
        <f ca="1">IFERROR(__xludf.DUMMYFUNCTION("IMPORTRANGE(H9557,""IDENTITAS UNIT!D9"")"),"#N/A")</f>
        <v>#N/A</v>
      </c>
      <c r="H9557" s="4" t="str">
        <v/>
      </c>
      <c r="I9557" s="4" t="str">
        <v/>
      </c>
    </row>
    <row r="9558" spans="5:9" ht="16.5" hidden="1">
      <c r="E9558" s="4" t="str">
        <v/>
      </c>
      <c r="F9558" s="102" t="str">
        <f ca="1">IFERROR(__xludf.DUMMYFUNCTION("IMPORTRANGE(H9558,""IDENTITAS UNIT!D9"")"),"#N/A")</f>
        <v>#N/A</v>
      </c>
      <c r="H9558" s="4" t="str">
        <v/>
      </c>
      <c r="I9558" s="4" t="str">
        <v/>
      </c>
    </row>
    <row r="9559" spans="5:9" ht="16.5" hidden="1">
      <c r="E9559" s="4" t="str">
        <v/>
      </c>
      <c r="F9559" s="102" t="str">
        <f ca="1">IFERROR(__xludf.DUMMYFUNCTION("IMPORTRANGE(H9559,""IDENTITAS UNIT!D9"")"),"#N/A")</f>
        <v>#N/A</v>
      </c>
      <c r="H9559" s="4" t="str">
        <v/>
      </c>
      <c r="I9559" s="4" t="str">
        <v/>
      </c>
    </row>
    <row r="9560" spans="5:9" ht="16.5" hidden="1">
      <c r="E9560" s="4" t="str">
        <v/>
      </c>
      <c r="F9560" s="102" t="str">
        <f ca="1">IFERROR(__xludf.DUMMYFUNCTION("IMPORTRANGE(H9560,""IDENTITAS UNIT!D9"")"),"#N/A")</f>
        <v>#N/A</v>
      </c>
      <c r="H9560" s="4" t="str">
        <v/>
      </c>
      <c r="I9560" s="4" t="str">
        <v/>
      </c>
    </row>
    <row r="9561" spans="5:9" ht="16.5" hidden="1">
      <c r="E9561" s="4" t="str">
        <v/>
      </c>
      <c r="F9561" s="102" t="str">
        <f ca="1">IFERROR(__xludf.DUMMYFUNCTION("IMPORTRANGE(H9561,""IDENTITAS UNIT!D9"")"),"#N/A")</f>
        <v>#N/A</v>
      </c>
      <c r="H9561" s="4" t="str">
        <v/>
      </c>
      <c r="I9561" s="4" t="str">
        <v/>
      </c>
    </row>
    <row r="9562" spans="5:9" ht="16.5" hidden="1">
      <c r="E9562" s="4" t="str">
        <v/>
      </c>
      <c r="F9562" s="102" t="str">
        <f ca="1">IFERROR(__xludf.DUMMYFUNCTION("IMPORTRANGE(H9562,""IDENTITAS UNIT!D9"")"),"#N/A")</f>
        <v>#N/A</v>
      </c>
      <c r="H9562" s="4" t="str">
        <v/>
      </c>
      <c r="I9562" s="4" t="str">
        <v/>
      </c>
    </row>
    <row r="9563" spans="5:9" ht="16.5" hidden="1">
      <c r="E9563" s="4" t="str">
        <v/>
      </c>
      <c r="F9563" s="102" t="str">
        <f ca="1">IFERROR(__xludf.DUMMYFUNCTION("IMPORTRANGE(H9563,""IDENTITAS UNIT!D9"")"),"#N/A")</f>
        <v>#N/A</v>
      </c>
      <c r="H9563" s="4" t="str">
        <v/>
      </c>
      <c r="I9563" s="4" t="str">
        <v/>
      </c>
    </row>
    <row r="9564" spans="5:9" ht="16.5" hidden="1">
      <c r="E9564" s="4" t="str">
        <v/>
      </c>
      <c r="F9564" s="102" t="str">
        <f ca="1">IFERROR(__xludf.DUMMYFUNCTION("IMPORTRANGE(H9564,""IDENTITAS UNIT!D9"")"),"#N/A")</f>
        <v>#N/A</v>
      </c>
      <c r="H9564" s="4" t="str">
        <v/>
      </c>
      <c r="I9564" s="4" t="str">
        <v/>
      </c>
    </row>
    <row r="9565" spans="5:9" ht="16.5" hidden="1">
      <c r="E9565" s="4" t="str">
        <v/>
      </c>
      <c r="F9565" s="102" t="str">
        <f ca="1">IFERROR(__xludf.DUMMYFUNCTION("IMPORTRANGE(H9565,""IDENTITAS UNIT!D9"")"),"#N/A")</f>
        <v>#N/A</v>
      </c>
      <c r="H9565" s="4" t="str">
        <v/>
      </c>
      <c r="I9565" s="4" t="str">
        <v/>
      </c>
    </row>
    <row r="9566" spans="5:9" ht="16.5" hidden="1">
      <c r="E9566" s="4" t="str">
        <v/>
      </c>
      <c r="F9566" s="102" t="str">
        <f ca="1">IFERROR(__xludf.DUMMYFUNCTION("IMPORTRANGE(H9566,""IDENTITAS UNIT!D9"")"),"#N/A")</f>
        <v>#N/A</v>
      </c>
      <c r="H9566" s="4" t="str">
        <v/>
      </c>
      <c r="I9566" s="4" t="str">
        <v/>
      </c>
    </row>
    <row r="9567" spans="5:9" ht="16.5" hidden="1">
      <c r="E9567" s="4" t="str">
        <v/>
      </c>
      <c r="F9567" s="102" t="str">
        <f ca="1">IFERROR(__xludf.DUMMYFUNCTION("IMPORTRANGE(H9567,""IDENTITAS UNIT!D9"")"),"#N/A")</f>
        <v>#N/A</v>
      </c>
      <c r="H9567" s="4" t="str">
        <v/>
      </c>
      <c r="I9567" s="4" t="str">
        <v/>
      </c>
    </row>
    <row r="9568" spans="5:9" ht="16.5" hidden="1">
      <c r="E9568" s="4" t="str">
        <v/>
      </c>
      <c r="F9568" s="102" t="str">
        <f ca="1">IFERROR(__xludf.DUMMYFUNCTION("IMPORTRANGE(H9568,""IDENTITAS UNIT!D9"")"),"#N/A")</f>
        <v>#N/A</v>
      </c>
      <c r="H9568" s="4" t="str">
        <v/>
      </c>
      <c r="I9568" s="4" t="str">
        <v/>
      </c>
    </row>
    <row r="9569" spans="5:9" ht="16.5" hidden="1">
      <c r="E9569" s="4" t="str">
        <v/>
      </c>
      <c r="F9569" s="102" t="str">
        <f ca="1">IFERROR(__xludf.DUMMYFUNCTION("IMPORTRANGE(H9569,""IDENTITAS UNIT!D9"")"),"#N/A")</f>
        <v>#N/A</v>
      </c>
      <c r="H9569" s="4" t="str">
        <v/>
      </c>
      <c r="I9569" s="4" t="str">
        <v/>
      </c>
    </row>
    <row r="9570" spans="5:9" ht="16.5" hidden="1">
      <c r="E9570" s="4" t="str">
        <v/>
      </c>
      <c r="F9570" s="102" t="str">
        <f ca="1">IFERROR(__xludf.DUMMYFUNCTION("IMPORTRANGE(H9570,""IDENTITAS UNIT!D9"")"),"#N/A")</f>
        <v>#N/A</v>
      </c>
      <c r="H9570" s="4" t="str">
        <v/>
      </c>
      <c r="I9570" s="4" t="str">
        <v/>
      </c>
    </row>
    <row r="9571" spans="5:9" ht="16.5" hidden="1">
      <c r="E9571" s="4" t="str">
        <v/>
      </c>
      <c r="F9571" s="102" t="str">
        <f ca="1">IFERROR(__xludf.DUMMYFUNCTION("IMPORTRANGE(H9571,""IDENTITAS UNIT!D9"")"),"#N/A")</f>
        <v>#N/A</v>
      </c>
      <c r="H9571" s="4" t="str">
        <v/>
      </c>
      <c r="I9571" s="4" t="str">
        <v/>
      </c>
    </row>
    <row r="9572" spans="5:9" ht="16.5" hidden="1">
      <c r="E9572" s="4" t="str">
        <v/>
      </c>
      <c r="F9572" s="102" t="str">
        <f ca="1">IFERROR(__xludf.DUMMYFUNCTION("IMPORTRANGE(H9572,""IDENTITAS UNIT!D9"")"),"#N/A")</f>
        <v>#N/A</v>
      </c>
      <c r="H9572" s="4" t="str">
        <v/>
      </c>
      <c r="I9572" s="4" t="str">
        <v/>
      </c>
    </row>
    <row r="9573" spans="5:9" ht="16.5" hidden="1">
      <c r="E9573" s="4" t="str">
        <v/>
      </c>
      <c r="F9573" s="102" t="str">
        <f ca="1">IFERROR(__xludf.DUMMYFUNCTION("IMPORTRANGE(H9573,""IDENTITAS UNIT!D9"")"),"#N/A")</f>
        <v>#N/A</v>
      </c>
      <c r="H9573" s="4" t="str">
        <v/>
      </c>
      <c r="I9573" s="4" t="str">
        <v/>
      </c>
    </row>
    <row r="9574" spans="5:9" ht="16.5" hidden="1">
      <c r="E9574" s="4" t="str">
        <v/>
      </c>
      <c r="F9574" s="102" t="str">
        <f ca="1">IFERROR(__xludf.DUMMYFUNCTION("IMPORTRANGE(H9574,""IDENTITAS UNIT!D9"")"),"#N/A")</f>
        <v>#N/A</v>
      </c>
      <c r="H9574" s="4" t="str">
        <v/>
      </c>
      <c r="I9574" s="4" t="str">
        <v/>
      </c>
    </row>
    <row r="9575" spans="5:9" ht="16.5" hidden="1">
      <c r="E9575" s="4" t="str">
        <v/>
      </c>
      <c r="F9575" s="102" t="str">
        <f ca="1">IFERROR(__xludf.DUMMYFUNCTION("IMPORTRANGE(H9575,""IDENTITAS UNIT!D9"")"),"#N/A")</f>
        <v>#N/A</v>
      </c>
      <c r="H9575" s="4" t="str">
        <v/>
      </c>
      <c r="I9575" s="4" t="str">
        <v/>
      </c>
    </row>
    <row r="9576" spans="5:9" ht="16.5" hidden="1">
      <c r="E9576" s="4" t="str">
        <v/>
      </c>
      <c r="F9576" s="102" t="str">
        <f ca="1">IFERROR(__xludf.DUMMYFUNCTION("IMPORTRANGE(H9576,""IDENTITAS UNIT!D9"")"),"#N/A")</f>
        <v>#N/A</v>
      </c>
      <c r="H9576" s="4" t="str">
        <v/>
      </c>
      <c r="I9576" s="4" t="str">
        <v/>
      </c>
    </row>
    <row r="9577" spans="5:9" ht="16.5" hidden="1">
      <c r="E9577" s="4" t="str">
        <v/>
      </c>
      <c r="F9577" s="102" t="str">
        <f ca="1">IFERROR(__xludf.DUMMYFUNCTION("IMPORTRANGE(H9577,""IDENTITAS UNIT!D9"")"),"#N/A")</f>
        <v>#N/A</v>
      </c>
      <c r="H9577" s="4" t="str">
        <v/>
      </c>
      <c r="I9577" s="4" t="str">
        <v/>
      </c>
    </row>
    <row r="9578" spans="5:9" ht="16.5" hidden="1">
      <c r="E9578" s="4" t="str">
        <v/>
      </c>
      <c r="F9578" s="102" t="str">
        <f ca="1">IFERROR(__xludf.DUMMYFUNCTION("IMPORTRANGE(H9578,""IDENTITAS UNIT!D9"")"),"#N/A")</f>
        <v>#N/A</v>
      </c>
      <c r="H9578" s="4" t="str">
        <v/>
      </c>
      <c r="I9578" s="4" t="str">
        <v/>
      </c>
    </row>
    <row r="9579" spans="5:9" ht="16.5" hidden="1">
      <c r="E9579" s="4" t="str">
        <v/>
      </c>
      <c r="F9579" s="102" t="str">
        <f ca="1">IFERROR(__xludf.DUMMYFUNCTION("IMPORTRANGE(H9579,""IDENTITAS UNIT!D9"")"),"#N/A")</f>
        <v>#N/A</v>
      </c>
      <c r="H9579" s="4" t="str">
        <v/>
      </c>
      <c r="I9579" s="4" t="str">
        <v/>
      </c>
    </row>
    <row r="9580" spans="5:9" ht="16.5" hidden="1">
      <c r="E9580" s="4" t="str">
        <v/>
      </c>
      <c r="F9580" s="102" t="str">
        <f ca="1">IFERROR(__xludf.DUMMYFUNCTION("IMPORTRANGE(H9580,""IDENTITAS UNIT!D9"")"),"#N/A")</f>
        <v>#N/A</v>
      </c>
      <c r="H9580" s="4" t="str">
        <v/>
      </c>
      <c r="I9580" s="4" t="str">
        <v/>
      </c>
    </row>
    <row r="9581" spans="5:9" ht="16.5" hidden="1">
      <c r="E9581" s="4" t="str">
        <v/>
      </c>
      <c r="F9581" s="102" t="str">
        <f ca="1">IFERROR(__xludf.DUMMYFUNCTION("IMPORTRANGE(H9581,""IDENTITAS UNIT!D9"")"),"#N/A")</f>
        <v>#N/A</v>
      </c>
      <c r="H9581" s="4" t="str">
        <v/>
      </c>
      <c r="I9581" s="4" t="str">
        <v/>
      </c>
    </row>
    <row r="9582" spans="5:9" ht="16.5" hidden="1">
      <c r="E9582" s="4" t="str">
        <v/>
      </c>
      <c r="F9582" s="102" t="str">
        <f ca="1">IFERROR(__xludf.DUMMYFUNCTION("IMPORTRANGE(H9582,""IDENTITAS UNIT!D9"")"),"#N/A")</f>
        <v>#N/A</v>
      </c>
      <c r="H9582" s="4" t="str">
        <v/>
      </c>
      <c r="I9582" s="4" t="str">
        <v/>
      </c>
    </row>
    <row r="9583" spans="5:9" ht="16.5" hidden="1">
      <c r="E9583" s="4" t="str">
        <v/>
      </c>
      <c r="F9583" s="102" t="str">
        <f ca="1">IFERROR(__xludf.DUMMYFUNCTION("IMPORTRANGE(H9583,""IDENTITAS UNIT!D9"")"),"#N/A")</f>
        <v>#N/A</v>
      </c>
      <c r="H9583" s="4" t="str">
        <v/>
      </c>
      <c r="I9583" s="4" t="str">
        <v/>
      </c>
    </row>
    <row r="9584" spans="5:9" ht="16.5" hidden="1">
      <c r="E9584" s="4" t="str">
        <v/>
      </c>
      <c r="F9584" s="102" t="str">
        <f ca="1">IFERROR(__xludf.DUMMYFUNCTION("IMPORTRANGE(H9584,""IDENTITAS UNIT!D9"")"),"#N/A")</f>
        <v>#N/A</v>
      </c>
      <c r="H9584" s="4" t="str">
        <v/>
      </c>
      <c r="I9584" s="4" t="str">
        <v/>
      </c>
    </row>
    <row r="9585" spans="5:9" ht="16.5" hidden="1">
      <c r="E9585" s="4" t="str">
        <v/>
      </c>
      <c r="F9585" s="102" t="str">
        <f ca="1">IFERROR(__xludf.DUMMYFUNCTION("IMPORTRANGE(H9585,""IDENTITAS UNIT!D9"")"),"#N/A")</f>
        <v>#N/A</v>
      </c>
      <c r="H9585" s="4" t="str">
        <v/>
      </c>
      <c r="I9585" s="4" t="str">
        <v/>
      </c>
    </row>
    <row r="9586" spans="5:9" ht="16.5" hidden="1">
      <c r="E9586" s="4" t="str">
        <v/>
      </c>
      <c r="F9586" s="102" t="str">
        <f ca="1">IFERROR(__xludf.DUMMYFUNCTION("IMPORTRANGE(H9586,""IDENTITAS UNIT!D9"")"),"#N/A")</f>
        <v>#N/A</v>
      </c>
      <c r="H9586" s="4" t="str">
        <v/>
      </c>
      <c r="I9586" s="4" t="str">
        <v/>
      </c>
    </row>
    <row r="9587" spans="5:9" ht="16.5" hidden="1">
      <c r="E9587" s="4" t="str">
        <v/>
      </c>
      <c r="F9587" s="102" t="str">
        <f ca="1">IFERROR(__xludf.DUMMYFUNCTION("IMPORTRANGE(H9587,""IDENTITAS UNIT!D9"")"),"#N/A")</f>
        <v>#N/A</v>
      </c>
      <c r="H9587" s="4" t="str">
        <v/>
      </c>
      <c r="I9587" s="4" t="str">
        <v/>
      </c>
    </row>
    <row r="9588" spans="5:9" ht="16.5" hidden="1">
      <c r="E9588" s="4" t="str">
        <v/>
      </c>
      <c r="F9588" s="102" t="str">
        <f ca="1">IFERROR(__xludf.DUMMYFUNCTION("IMPORTRANGE(H9588,""IDENTITAS UNIT!D9"")"),"#N/A")</f>
        <v>#N/A</v>
      </c>
      <c r="H9588" s="4" t="str">
        <v/>
      </c>
      <c r="I9588" s="4" t="str">
        <v/>
      </c>
    </row>
    <row r="9589" spans="5:9" ht="16.5" hidden="1">
      <c r="E9589" s="4" t="str">
        <v/>
      </c>
      <c r="F9589" s="102" t="str">
        <f ca="1">IFERROR(__xludf.DUMMYFUNCTION("IMPORTRANGE(H9589,""IDENTITAS UNIT!D9"")"),"#N/A")</f>
        <v>#N/A</v>
      </c>
      <c r="H9589" s="4" t="str">
        <v/>
      </c>
      <c r="I9589" s="4" t="str">
        <v/>
      </c>
    </row>
    <row r="9590" spans="5:9" ht="16.5" hidden="1">
      <c r="E9590" s="4" t="str">
        <v/>
      </c>
      <c r="F9590" s="102" t="str">
        <f ca="1">IFERROR(__xludf.DUMMYFUNCTION("IMPORTRANGE(H9590,""IDENTITAS UNIT!D9"")"),"#N/A")</f>
        <v>#N/A</v>
      </c>
      <c r="H9590" s="4" t="str">
        <v/>
      </c>
      <c r="I9590" s="4" t="str">
        <v/>
      </c>
    </row>
    <row r="9591" spans="5:9" ht="16.5" hidden="1">
      <c r="E9591" s="4" t="str">
        <v/>
      </c>
      <c r="F9591" s="102" t="str">
        <f ca="1">IFERROR(__xludf.DUMMYFUNCTION("IMPORTRANGE(H9591,""IDENTITAS UNIT!D9"")"),"#N/A")</f>
        <v>#N/A</v>
      </c>
      <c r="H9591" s="4" t="str">
        <v/>
      </c>
      <c r="I9591" s="4" t="str">
        <v/>
      </c>
    </row>
    <row r="9592" spans="5:9" ht="16.5" hidden="1">
      <c r="E9592" s="4" t="str">
        <v/>
      </c>
      <c r="F9592" s="102" t="str">
        <f ca="1">IFERROR(__xludf.DUMMYFUNCTION("IMPORTRANGE(H9592,""IDENTITAS UNIT!D9"")"),"#N/A")</f>
        <v>#N/A</v>
      </c>
      <c r="H9592" s="4" t="str">
        <v/>
      </c>
      <c r="I9592" s="4" t="str">
        <v/>
      </c>
    </row>
    <row r="9593" spans="5:9" ht="16.5" hidden="1">
      <c r="E9593" s="4" t="str">
        <v/>
      </c>
      <c r="F9593" s="102" t="str">
        <f ca="1">IFERROR(__xludf.DUMMYFUNCTION("IMPORTRANGE(H9593,""IDENTITAS UNIT!D9"")"),"#N/A")</f>
        <v>#N/A</v>
      </c>
      <c r="H9593" s="4" t="str">
        <v/>
      </c>
      <c r="I9593" s="4" t="str">
        <v/>
      </c>
    </row>
    <row r="9594" spans="5:9" ht="16.5" hidden="1">
      <c r="E9594" s="4" t="str">
        <v/>
      </c>
      <c r="F9594" s="102" t="str">
        <f ca="1">IFERROR(__xludf.DUMMYFUNCTION("IMPORTRANGE(H9594,""IDENTITAS UNIT!D9"")"),"#N/A")</f>
        <v>#N/A</v>
      </c>
      <c r="H9594" s="4" t="str">
        <v/>
      </c>
      <c r="I9594" s="4" t="str">
        <v/>
      </c>
    </row>
    <row r="9595" spans="5:9" ht="16.5" hidden="1">
      <c r="E9595" s="4" t="str">
        <v/>
      </c>
      <c r="F9595" s="102" t="str">
        <f ca="1">IFERROR(__xludf.DUMMYFUNCTION("IMPORTRANGE(H9595,""IDENTITAS UNIT!D9"")"),"#N/A")</f>
        <v>#N/A</v>
      </c>
      <c r="H9595" s="4" t="str">
        <v/>
      </c>
      <c r="I9595" s="4" t="str">
        <v/>
      </c>
    </row>
    <row r="9596" spans="5:9" ht="16.5" hidden="1">
      <c r="E9596" s="4" t="str">
        <v/>
      </c>
      <c r="F9596" s="102" t="str">
        <f ca="1">IFERROR(__xludf.DUMMYFUNCTION("IMPORTRANGE(H9596,""IDENTITAS UNIT!D9"")"),"#N/A")</f>
        <v>#N/A</v>
      </c>
      <c r="H9596" s="4" t="str">
        <v/>
      </c>
      <c r="I9596" s="4" t="str">
        <v/>
      </c>
    </row>
    <row r="9597" spans="5:9" ht="16.5" hidden="1">
      <c r="E9597" s="4" t="str">
        <v/>
      </c>
      <c r="F9597" s="102" t="str">
        <f ca="1">IFERROR(__xludf.DUMMYFUNCTION("IMPORTRANGE(H9597,""IDENTITAS UNIT!D9"")"),"#N/A")</f>
        <v>#N/A</v>
      </c>
      <c r="H9597" s="4" t="str">
        <v/>
      </c>
      <c r="I9597" s="4" t="str">
        <v/>
      </c>
    </row>
    <row r="9598" spans="5:9" ht="16.5" hidden="1">
      <c r="E9598" s="4" t="str">
        <v/>
      </c>
      <c r="F9598" s="102" t="str">
        <f ca="1">IFERROR(__xludf.DUMMYFUNCTION("IMPORTRANGE(H9598,""IDENTITAS UNIT!D9"")"),"#N/A")</f>
        <v>#N/A</v>
      </c>
      <c r="H9598" s="4" t="str">
        <v/>
      </c>
      <c r="I9598" s="4" t="str">
        <v/>
      </c>
    </row>
    <row r="9599" spans="5:9" ht="16.5" hidden="1">
      <c r="E9599" s="4" t="str">
        <v/>
      </c>
      <c r="F9599" s="102" t="str">
        <f ca="1">IFERROR(__xludf.DUMMYFUNCTION("IMPORTRANGE(H9599,""IDENTITAS UNIT!D9"")"),"#N/A")</f>
        <v>#N/A</v>
      </c>
      <c r="H9599" s="4" t="str">
        <v/>
      </c>
      <c r="I9599" s="4" t="str">
        <v/>
      </c>
    </row>
    <row r="9600" spans="5:9" ht="16.5" hidden="1">
      <c r="E9600" s="4" t="str">
        <v/>
      </c>
      <c r="F9600" s="102" t="str">
        <f ca="1">IFERROR(__xludf.DUMMYFUNCTION("IMPORTRANGE(H9600,""IDENTITAS UNIT!D9"")"),"#N/A")</f>
        <v>#N/A</v>
      </c>
      <c r="H9600" s="4" t="str">
        <v/>
      </c>
      <c r="I9600" s="4" t="str">
        <v/>
      </c>
    </row>
    <row r="9601" spans="5:9" ht="16.5" hidden="1">
      <c r="E9601" s="4" t="str">
        <v/>
      </c>
      <c r="F9601" s="102" t="str">
        <f ca="1">IFERROR(__xludf.DUMMYFUNCTION("IMPORTRANGE(H9601,""IDENTITAS UNIT!D9"")"),"#N/A")</f>
        <v>#N/A</v>
      </c>
      <c r="H9601" s="4" t="str">
        <v/>
      </c>
      <c r="I9601" s="4" t="str">
        <v/>
      </c>
    </row>
    <row r="9602" spans="5:9" ht="16.5" hidden="1">
      <c r="E9602" s="4" t="str">
        <v/>
      </c>
      <c r="F9602" s="102" t="str">
        <f ca="1">IFERROR(__xludf.DUMMYFUNCTION("IMPORTRANGE(H9602,""IDENTITAS UNIT!D9"")"),"#N/A")</f>
        <v>#N/A</v>
      </c>
      <c r="H9602" s="4" t="str">
        <v/>
      </c>
      <c r="I9602" s="4" t="str">
        <v/>
      </c>
    </row>
    <row r="9603" spans="5:9" ht="16.5" hidden="1">
      <c r="E9603" s="4" t="str">
        <v/>
      </c>
      <c r="F9603" s="102" t="str">
        <f ca="1">IFERROR(__xludf.DUMMYFUNCTION("IMPORTRANGE(H9603,""IDENTITAS UNIT!D9"")"),"#N/A")</f>
        <v>#N/A</v>
      </c>
      <c r="H9603" s="4" t="str">
        <v/>
      </c>
      <c r="I9603" s="4" t="str">
        <v/>
      </c>
    </row>
    <row r="9604" spans="5:9" ht="16.5" hidden="1">
      <c r="E9604" s="4" t="str">
        <v/>
      </c>
      <c r="F9604" s="102" t="str">
        <f ca="1">IFERROR(__xludf.DUMMYFUNCTION("IMPORTRANGE(H9604,""IDENTITAS UNIT!D9"")"),"#N/A")</f>
        <v>#N/A</v>
      </c>
      <c r="H9604" s="4" t="str">
        <v/>
      </c>
      <c r="I9604" s="4" t="str">
        <v/>
      </c>
    </row>
    <row r="9605" spans="5:9" ht="16.5" hidden="1">
      <c r="E9605" s="4" t="str">
        <v/>
      </c>
      <c r="F9605" s="102" t="str">
        <f ca="1">IFERROR(__xludf.DUMMYFUNCTION("IMPORTRANGE(H9605,""IDENTITAS UNIT!D9"")"),"#N/A")</f>
        <v>#N/A</v>
      </c>
      <c r="H9605" s="4" t="str">
        <v/>
      </c>
      <c r="I9605" s="4" t="str">
        <v/>
      </c>
    </row>
    <row r="9606" spans="5:9" ht="16.5" hidden="1">
      <c r="E9606" s="4" t="str">
        <v/>
      </c>
      <c r="F9606" s="102" t="str">
        <f ca="1">IFERROR(__xludf.DUMMYFUNCTION("IMPORTRANGE(H9606,""IDENTITAS UNIT!D9"")"),"#N/A")</f>
        <v>#N/A</v>
      </c>
      <c r="H9606" s="4" t="str">
        <v/>
      </c>
      <c r="I9606" s="4" t="str">
        <v/>
      </c>
    </row>
    <row r="9607" spans="5:9" ht="16.5" hidden="1">
      <c r="E9607" s="4" t="str">
        <v/>
      </c>
      <c r="F9607" s="102" t="str">
        <f ca="1">IFERROR(__xludf.DUMMYFUNCTION("IMPORTRANGE(H9607,""IDENTITAS UNIT!D9"")"),"#N/A")</f>
        <v>#N/A</v>
      </c>
      <c r="H9607" s="4" t="str">
        <v/>
      </c>
      <c r="I9607" s="4" t="str">
        <v/>
      </c>
    </row>
    <row r="9608" spans="5:9" ht="16.5" hidden="1">
      <c r="E9608" s="4" t="str">
        <v/>
      </c>
      <c r="F9608" s="102" t="str">
        <f ca="1">IFERROR(__xludf.DUMMYFUNCTION("IMPORTRANGE(H9608,""IDENTITAS UNIT!D9"")"),"#N/A")</f>
        <v>#N/A</v>
      </c>
      <c r="H9608" s="4" t="str">
        <v/>
      </c>
      <c r="I9608" s="4" t="str">
        <v/>
      </c>
    </row>
    <row r="9609" spans="5:9" ht="16.5" hidden="1">
      <c r="E9609" s="4" t="str">
        <v/>
      </c>
      <c r="F9609" s="102" t="str">
        <f ca="1">IFERROR(__xludf.DUMMYFUNCTION("IMPORTRANGE(H9609,""IDENTITAS UNIT!D9"")"),"#N/A")</f>
        <v>#N/A</v>
      </c>
      <c r="H9609" s="4" t="str">
        <v/>
      </c>
      <c r="I9609" s="4" t="str">
        <v/>
      </c>
    </row>
    <row r="9610" spans="5:9" ht="16.5" hidden="1">
      <c r="E9610" s="4" t="str">
        <v/>
      </c>
      <c r="F9610" s="102" t="str">
        <f ca="1">IFERROR(__xludf.DUMMYFUNCTION("IMPORTRANGE(H9610,""IDENTITAS UNIT!D9"")"),"#N/A")</f>
        <v>#N/A</v>
      </c>
      <c r="H9610" s="4" t="str">
        <v/>
      </c>
      <c r="I9610" s="4" t="str">
        <v/>
      </c>
    </row>
    <row r="9611" spans="5:9" ht="16.5" hidden="1">
      <c r="E9611" s="4" t="str">
        <v/>
      </c>
      <c r="F9611" s="102" t="str">
        <f ca="1">IFERROR(__xludf.DUMMYFUNCTION("IMPORTRANGE(H9611,""IDENTITAS UNIT!D9"")"),"#N/A")</f>
        <v>#N/A</v>
      </c>
      <c r="H9611" s="4" t="str">
        <v/>
      </c>
      <c r="I9611" s="4" t="str">
        <v/>
      </c>
    </row>
    <row r="9612" spans="5:9" ht="16.5" hidden="1">
      <c r="E9612" s="4" t="str">
        <v/>
      </c>
      <c r="F9612" s="102" t="str">
        <f ca="1">IFERROR(__xludf.DUMMYFUNCTION("IMPORTRANGE(H9612,""IDENTITAS UNIT!D9"")"),"#N/A")</f>
        <v>#N/A</v>
      </c>
      <c r="H9612" s="4" t="str">
        <v/>
      </c>
      <c r="I9612" s="4" t="str">
        <v/>
      </c>
    </row>
    <row r="9613" spans="5:9" ht="16.5" hidden="1">
      <c r="E9613" s="4" t="str">
        <v/>
      </c>
      <c r="F9613" s="102" t="str">
        <f ca="1">IFERROR(__xludf.DUMMYFUNCTION("IMPORTRANGE(H9613,""IDENTITAS UNIT!D9"")"),"#N/A")</f>
        <v>#N/A</v>
      </c>
      <c r="H9613" s="4" t="str">
        <v/>
      </c>
      <c r="I9613" s="4" t="str">
        <v/>
      </c>
    </row>
    <row r="9614" spans="5:9" ht="16.5" hidden="1">
      <c r="E9614" s="4" t="str">
        <v/>
      </c>
      <c r="F9614" s="102" t="str">
        <f ca="1">IFERROR(__xludf.DUMMYFUNCTION("IMPORTRANGE(H9614,""IDENTITAS UNIT!D9"")"),"#N/A")</f>
        <v>#N/A</v>
      </c>
      <c r="H9614" s="4" t="str">
        <v/>
      </c>
      <c r="I9614" s="4" t="str">
        <v/>
      </c>
    </row>
    <row r="9615" spans="5:9" ht="16.5" hidden="1">
      <c r="E9615" s="4" t="str">
        <v/>
      </c>
      <c r="F9615" s="102" t="str">
        <f ca="1">IFERROR(__xludf.DUMMYFUNCTION("IMPORTRANGE(H9615,""IDENTITAS UNIT!D9"")"),"#N/A")</f>
        <v>#N/A</v>
      </c>
      <c r="H9615" s="4" t="str">
        <v/>
      </c>
      <c r="I9615" s="4" t="str">
        <v/>
      </c>
    </row>
    <row r="9616" spans="5:9" ht="16.5" hidden="1">
      <c r="E9616" s="4" t="str">
        <v/>
      </c>
      <c r="F9616" s="102" t="str">
        <f ca="1">IFERROR(__xludf.DUMMYFUNCTION("IMPORTRANGE(H9616,""IDENTITAS UNIT!D9"")"),"#N/A")</f>
        <v>#N/A</v>
      </c>
      <c r="H9616" s="4" t="str">
        <v/>
      </c>
      <c r="I9616" s="4" t="str">
        <v/>
      </c>
    </row>
    <row r="9617" spans="5:9" ht="16.5" hidden="1">
      <c r="E9617" s="4" t="str">
        <v/>
      </c>
      <c r="F9617" s="102" t="str">
        <f ca="1">IFERROR(__xludf.DUMMYFUNCTION("IMPORTRANGE(H9617,""IDENTITAS UNIT!D9"")"),"#N/A")</f>
        <v>#N/A</v>
      </c>
      <c r="H9617" s="4" t="str">
        <v/>
      </c>
      <c r="I9617" s="4" t="str">
        <v/>
      </c>
    </row>
    <row r="9618" spans="5:9" ht="16.5" hidden="1">
      <c r="E9618" s="4" t="str">
        <v/>
      </c>
      <c r="F9618" s="102" t="str">
        <f ca="1">IFERROR(__xludf.DUMMYFUNCTION("IMPORTRANGE(H9618,""IDENTITAS UNIT!D9"")"),"#N/A")</f>
        <v>#N/A</v>
      </c>
      <c r="H9618" s="4" t="str">
        <v/>
      </c>
      <c r="I9618" s="4" t="str">
        <v/>
      </c>
    </row>
    <row r="9619" spans="5:9" ht="16.5" hidden="1">
      <c r="E9619" s="4" t="str">
        <v/>
      </c>
      <c r="F9619" s="102" t="str">
        <f ca="1">IFERROR(__xludf.DUMMYFUNCTION("IMPORTRANGE(H9619,""IDENTITAS UNIT!D9"")"),"#N/A")</f>
        <v>#N/A</v>
      </c>
      <c r="H9619" s="4" t="str">
        <v/>
      </c>
      <c r="I9619" s="4" t="str">
        <v/>
      </c>
    </row>
    <row r="9620" spans="5:9" ht="16.5" hidden="1">
      <c r="E9620" s="4" t="str">
        <v/>
      </c>
      <c r="F9620" s="102" t="str">
        <f ca="1">IFERROR(__xludf.DUMMYFUNCTION("IMPORTRANGE(H9620,""IDENTITAS UNIT!D9"")"),"#N/A")</f>
        <v>#N/A</v>
      </c>
      <c r="H9620" s="4" t="str">
        <v/>
      </c>
      <c r="I9620" s="4" t="str">
        <v/>
      </c>
    </row>
    <row r="9621" spans="5:9" ht="16.5" hidden="1">
      <c r="E9621" s="4" t="str">
        <v/>
      </c>
      <c r="F9621" s="102" t="str">
        <f ca="1">IFERROR(__xludf.DUMMYFUNCTION("IMPORTRANGE(H9621,""IDENTITAS UNIT!D9"")"),"#N/A")</f>
        <v>#N/A</v>
      </c>
      <c r="H9621" s="4" t="str">
        <v/>
      </c>
      <c r="I9621" s="4" t="str">
        <v/>
      </c>
    </row>
    <row r="9622" spans="5:9" ht="16.5" hidden="1">
      <c r="E9622" s="4" t="str">
        <v/>
      </c>
      <c r="F9622" s="102" t="str">
        <f ca="1">IFERROR(__xludf.DUMMYFUNCTION("IMPORTRANGE(H9622,""IDENTITAS UNIT!D9"")"),"#N/A")</f>
        <v>#N/A</v>
      </c>
      <c r="H9622" s="4" t="str">
        <v/>
      </c>
      <c r="I9622" s="4" t="str">
        <v/>
      </c>
    </row>
    <row r="9623" spans="5:9" ht="16.5" hidden="1">
      <c r="E9623" s="4" t="str">
        <v/>
      </c>
      <c r="F9623" s="102" t="str">
        <f ca="1">IFERROR(__xludf.DUMMYFUNCTION("IMPORTRANGE(H9623,""IDENTITAS UNIT!D9"")"),"#N/A")</f>
        <v>#N/A</v>
      </c>
      <c r="H9623" s="4" t="str">
        <v/>
      </c>
      <c r="I9623" s="4" t="str">
        <v/>
      </c>
    </row>
    <row r="9624" spans="5:9" ht="16.5" hidden="1">
      <c r="E9624" s="4" t="str">
        <v/>
      </c>
      <c r="F9624" s="102" t="str">
        <f ca="1">IFERROR(__xludf.DUMMYFUNCTION("IMPORTRANGE(H9624,""IDENTITAS UNIT!D9"")"),"#N/A")</f>
        <v>#N/A</v>
      </c>
      <c r="H9624" s="4" t="str">
        <v/>
      </c>
      <c r="I9624" s="4" t="str">
        <v/>
      </c>
    </row>
    <row r="9625" spans="5:9" ht="16.5" hidden="1">
      <c r="E9625" s="4" t="str">
        <v/>
      </c>
      <c r="F9625" s="102" t="str">
        <f ca="1">IFERROR(__xludf.DUMMYFUNCTION("IMPORTRANGE(H9625,""IDENTITAS UNIT!D9"")"),"#N/A")</f>
        <v>#N/A</v>
      </c>
      <c r="H9625" s="4" t="str">
        <v/>
      </c>
      <c r="I9625" s="4" t="str">
        <v/>
      </c>
    </row>
    <row r="9626" spans="5:9" ht="16.5" hidden="1">
      <c r="E9626" s="4" t="str">
        <v/>
      </c>
      <c r="F9626" s="102" t="str">
        <f ca="1">IFERROR(__xludf.DUMMYFUNCTION("IMPORTRANGE(H9626,""IDENTITAS UNIT!D9"")"),"#N/A")</f>
        <v>#N/A</v>
      </c>
      <c r="H9626" s="4" t="str">
        <v/>
      </c>
      <c r="I9626" s="4" t="str">
        <v/>
      </c>
    </row>
    <row r="9627" spans="5:9" ht="16.5" hidden="1">
      <c r="E9627" s="4" t="str">
        <v/>
      </c>
      <c r="F9627" s="102" t="str">
        <f ca="1">IFERROR(__xludf.DUMMYFUNCTION("IMPORTRANGE(H9627,""IDENTITAS UNIT!D9"")"),"#N/A")</f>
        <v>#N/A</v>
      </c>
      <c r="H9627" s="4" t="str">
        <v/>
      </c>
      <c r="I9627" s="4" t="str">
        <v/>
      </c>
    </row>
    <row r="9628" spans="5:9" ht="16.5" hidden="1">
      <c r="E9628" s="4" t="str">
        <v/>
      </c>
      <c r="F9628" s="102" t="str">
        <f ca="1">IFERROR(__xludf.DUMMYFUNCTION("IMPORTRANGE(H9628,""IDENTITAS UNIT!D9"")"),"#N/A")</f>
        <v>#N/A</v>
      </c>
      <c r="H9628" s="4" t="str">
        <v/>
      </c>
      <c r="I9628" s="4" t="str">
        <v/>
      </c>
    </row>
    <row r="9629" spans="5:9" ht="16.5" hidden="1">
      <c r="E9629" s="4" t="str">
        <v/>
      </c>
      <c r="F9629" s="102" t="str">
        <f ca="1">IFERROR(__xludf.DUMMYFUNCTION("IMPORTRANGE(H9629,""IDENTITAS UNIT!D9"")"),"#N/A")</f>
        <v>#N/A</v>
      </c>
      <c r="H9629" s="4" t="str">
        <v/>
      </c>
      <c r="I9629" s="4" t="str">
        <v/>
      </c>
    </row>
    <row r="9630" spans="5:9" ht="16.5" hidden="1">
      <c r="E9630" s="4" t="str">
        <v/>
      </c>
      <c r="F9630" s="102" t="str">
        <f ca="1">IFERROR(__xludf.DUMMYFUNCTION("IMPORTRANGE(H9630,""IDENTITAS UNIT!D9"")"),"#N/A")</f>
        <v>#N/A</v>
      </c>
      <c r="H9630" s="4" t="str">
        <v/>
      </c>
      <c r="I9630" s="4" t="str">
        <v/>
      </c>
    </row>
    <row r="9631" spans="5:9" ht="16.5" hidden="1">
      <c r="E9631" s="4" t="str">
        <v/>
      </c>
      <c r="F9631" s="102" t="str">
        <f ca="1">IFERROR(__xludf.DUMMYFUNCTION("IMPORTRANGE(H9631,""IDENTITAS UNIT!D9"")"),"#N/A")</f>
        <v>#N/A</v>
      </c>
      <c r="H9631" s="4" t="str">
        <v/>
      </c>
      <c r="I9631" s="4" t="str">
        <v/>
      </c>
    </row>
    <row r="9632" spans="5:9" ht="16.5" hidden="1">
      <c r="E9632" s="4" t="str">
        <v/>
      </c>
      <c r="F9632" s="102" t="str">
        <f ca="1">IFERROR(__xludf.DUMMYFUNCTION("IMPORTRANGE(H9632,""IDENTITAS UNIT!D9"")"),"#N/A")</f>
        <v>#N/A</v>
      </c>
      <c r="H9632" s="4" t="str">
        <v/>
      </c>
      <c r="I9632" s="4" t="str">
        <v/>
      </c>
    </row>
    <row r="9633" spans="5:9" ht="16.5" hidden="1">
      <c r="E9633" s="4" t="str">
        <v/>
      </c>
      <c r="F9633" s="102" t="str">
        <f ca="1">IFERROR(__xludf.DUMMYFUNCTION("IMPORTRANGE(H9633,""IDENTITAS UNIT!D9"")"),"#N/A")</f>
        <v>#N/A</v>
      </c>
      <c r="H9633" s="4" t="str">
        <v/>
      </c>
      <c r="I9633" s="4" t="str">
        <v/>
      </c>
    </row>
    <row r="9634" spans="5:9" ht="16.5" hidden="1">
      <c r="E9634" s="4" t="str">
        <v/>
      </c>
      <c r="F9634" s="102" t="str">
        <f ca="1">IFERROR(__xludf.DUMMYFUNCTION("IMPORTRANGE(H9634,""IDENTITAS UNIT!D9"")"),"#N/A")</f>
        <v>#N/A</v>
      </c>
      <c r="H9634" s="4" t="str">
        <v/>
      </c>
      <c r="I9634" s="4" t="str">
        <v/>
      </c>
    </row>
    <row r="9635" spans="5:9" ht="16.5" hidden="1">
      <c r="E9635" s="4" t="str">
        <v/>
      </c>
      <c r="F9635" s="102" t="str">
        <f ca="1">IFERROR(__xludf.DUMMYFUNCTION("IMPORTRANGE(H9635,""IDENTITAS UNIT!D9"")"),"#N/A")</f>
        <v>#N/A</v>
      </c>
      <c r="H9635" s="4" t="str">
        <v/>
      </c>
      <c r="I9635" s="4" t="str">
        <v/>
      </c>
    </row>
    <row r="9636" spans="5:9" ht="16.5" hidden="1">
      <c r="E9636" s="4" t="str">
        <v/>
      </c>
      <c r="F9636" s="102" t="str">
        <f ca="1">IFERROR(__xludf.DUMMYFUNCTION("IMPORTRANGE(H9636,""IDENTITAS UNIT!D9"")"),"#N/A")</f>
        <v>#N/A</v>
      </c>
      <c r="H9636" s="4" t="str">
        <v/>
      </c>
      <c r="I9636" s="4" t="str">
        <v/>
      </c>
    </row>
    <row r="9637" spans="5:9" ht="16.5" hidden="1">
      <c r="E9637" s="4" t="str">
        <v/>
      </c>
      <c r="F9637" s="102" t="str">
        <f ca="1">IFERROR(__xludf.DUMMYFUNCTION("IMPORTRANGE(H9637,""IDENTITAS UNIT!D9"")"),"#N/A")</f>
        <v>#N/A</v>
      </c>
      <c r="H9637" s="4" t="str">
        <v/>
      </c>
      <c r="I9637" s="4" t="str">
        <v/>
      </c>
    </row>
    <row r="9638" spans="5:9" ht="16.5" hidden="1">
      <c r="E9638" s="4" t="str">
        <v/>
      </c>
      <c r="F9638" s="102" t="str">
        <f ca="1">IFERROR(__xludf.DUMMYFUNCTION("IMPORTRANGE(H9638,""IDENTITAS UNIT!D9"")"),"#N/A")</f>
        <v>#N/A</v>
      </c>
      <c r="H9638" s="4" t="str">
        <v/>
      </c>
      <c r="I9638" s="4" t="str">
        <v/>
      </c>
    </row>
    <row r="9639" spans="5:9" ht="16.5" hidden="1">
      <c r="E9639" s="4" t="str">
        <v/>
      </c>
      <c r="F9639" s="102" t="str">
        <f ca="1">IFERROR(__xludf.DUMMYFUNCTION("IMPORTRANGE(H9639,""IDENTITAS UNIT!D9"")"),"#N/A")</f>
        <v>#N/A</v>
      </c>
      <c r="H9639" s="4" t="str">
        <v/>
      </c>
      <c r="I9639" s="4" t="str">
        <v/>
      </c>
    </row>
    <row r="9640" spans="5:9" ht="16.5" hidden="1">
      <c r="E9640" s="4" t="str">
        <v/>
      </c>
      <c r="F9640" s="102" t="str">
        <f ca="1">IFERROR(__xludf.DUMMYFUNCTION("IMPORTRANGE(H9640,""IDENTITAS UNIT!D9"")"),"#N/A")</f>
        <v>#N/A</v>
      </c>
      <c r="H9640" s="4" t="str">
        <v/>
      </c>
      <c r="I9640" s="4" t="str">
        <v/>
      </c>
    </row>
    <row r="9641" spans="5:9" ht="16.5" hidden="1">
      <c r="E9641" s="4" t="str">
        <v/>
      </c>
      <c r="F9641" s="102" t="str">
        <f ca="1">IFERROR(__xludf.DUMMYFUNCTION("IMPORTRANGE(H9641,""IDENTITAS UNIT!D9"")"),"#N/A")</f>
        <v>#N/A</v>
      </c>
      <c r="H9641" s="4" t="str">
        <v/>
      </c>
      <c r="I9641" s="4" t="str">
        <v/>
      </c>
    </row>
    <row r="9642" spans="5:9" ht="16.5" hidden="1">
      <c r="E9642" s="4" t="str">
        <v/>
      </c>
      <c r="F9642" s="102" t="str">
        <f ca="1">IFERROR(__xludf.DUMMYFUNCTION("IMPORTRANGE(H9642,""IDENTITAS UNIT!D9"")"),"#N/A")</f>
        <v>#N/A</v>
      </c>
      <c r="H9642" s="4" t="str">
        <v/>
      </c>
      <c r="I9642" s="4" t="str">
        <v/>
      </c>
    </row>
    <row r="9643" spans="5:9" ht="16.5" hidden="1">
      <c r="E9643" s="4" t="str">
        <v/>
      </c>
      <c r="F9643" s="102" t="str">
        <f ca="1">IFERROR(__xludf.DUMMYFUNCTION("IMPORTRANGE(H9643,""IDENTITAS UNIT!D9"")"),"#N/A")</f>
        <v>#N/A</v>
      </c>
      <c r="H9643" s="4" t="str">
        <v/>
      </c>
      <c r="I9643" s="4" t="str">
        <v/>
      </c>
    </row>
    <row r="9644" spans="5:9" ht="16.5" hidden="1">
      <c r="E9644" s="4" t="str">
        <v/>
      </c>
      <c r="F9644" s="102" t="str">
        <f ca="1">IFERROR(__xludf.DUMMYFUNCTION("IMPORTRANGE(H9644,""IDENTITAS UNIT!D9"")"),"#N/A")</f>
        <v>#N/A</v>
      </c>
      <c r="H9644" s="4" t="str">
        <v/>
      </c>
      <c r="I9644" s="4" t="str">
        <v/>
      </c>
    </row>
    <row r="9645" spans="5:9" ht="16.5" hidden="1">
      <c r="E9645" s="4" t="str">
        <v/>
      </c>
      <c r="F9645" s="102" t="str">
        <f ca="1">IFERROR(__xludf.DUMMYFUNCTION("IMPORTRANGE(H9645,""IDENTITAS UNIT!D9"")"),"#N/A")</f>
        <v>#N/A</v>
      </c>
      <c r="H9645" s="4" t="str">
        <v/>
      </c>
      <c r="I9645" s="4" t="str">
        <v/>
      </c>
    </row>
    <row r="9646" spans="5:9" ht="16.5" hidden="1">
      <c r="E9646" s="4" t="str">
        <v/>
      </c>
      <c r="F9646" s="102" t="str">
        <f ca="1">IFERROR(__xludf.DUMMYFUNCTION("IMPORTRANGE(H9646,""IDENTITAS UNIT!D9"")"),"#N/A")</f>
        <v>#N/A</v>
      </c>
      <c r="H9646" s="4" t="str">
        <v/>
      </c>
      <c r="I9646" s="4" t="str">
        <v/>
      </c>
    </row>
    <row r="9647" spans="5:9" ht="16.5" hidden="1">
      <c r="E9647" s="4" t="str">
        <v/>
      </c>
      <c r="F9647" s="102" t="str">
        <f ca="1">IFERROR(__xludf.DUMMYFUNCTION("IMPORTRANGE(H9647,""IDENTITAS UNIT!D9"")"),"#N/A")</f>
        <v>#N/A</v>
      </c>
      <c r="H9647" s="4" t="str">
        <v/>
      </c>
      <c r="I9647" s="4" t="str">
        <v/>
      </c>
    </row>
    <row r="9648" spans="5:9" ht="16.5" hidden="1">
      <c r="E9648" s="4" t="str">
        <v/>
      </c>
      <c r="F9648" s="102" t="str">
        <f ca="1">IFERROR(__xludf.DUMMYFUNCTION("IMPORTRANGE(H9648,""IDENTITAS UNIT!D9"")"),"#N/A")</f>
        <v>#N/A</v>
      </c>
      <c r="H9648" s="4" t="str">
        <v/>
      </c>
      <c r="I9648" s="4" t="str">
        <v/>
      </c>
    </row>
    <row r="9649" spans="5:9" ht="16.5" hidden="1">
      <c r="E9649" s="4" t="str">
        <v/>
      </c>
      <c r="F9649" s="102" t="str">
        <f ca="1">IFERROR(__xludf.DUMMYFUNCTION("IMPORTRANGE(H9649,""IDENTITAS UNIT!D9"")"),"#N/A")</f>
        <v>#N/A</v>
      </c>
      <c r="H9649" s="4" t="str">
        <v/>
      </c>
      <c r="I9649" s="4" t="str">
        <v/>
      </c>
    </row>
    <row r="9650" spans="5:9" ht="16.5" hidden="1">
      <c r="E9650" s="4" t="str">
        <v/>
      </c>
      <c r="F9650" s="102" t="str">
        <f ca="1">IFERROR(__xludf.DUMMYFUNCTION("IMPORTRANGE(H9650,""IDENTITAS UNIT!D9"")"),"#N/A")</f>
        <v>#N/A</v>
      </c>
      <c r="H9650" s="4" t="str">
        <v/>
      </c>
      <c r="I9650" s="4" t="str">
        <v/>
      </c>
    </row>
    <row r="9651" spans="5:9" ht="16.5" hidden="1">
      <c r="E9651" s="4" t="str">
        <v/>
      </c>
      <c r="F9651" s="102" t="str">
        <f ca="1">IFERROR(__xludf.DUMMYFUNCTION("IMPORTRANGE(H9651,""IDENTITAS UNIT!D9"")"),"#N/A")</f>
        <v>#N/A</v>
      </c>
      <c r="H9651" s="4" t="str">
        <v/>
      </c>
      <c r="I9651" s="4" t="str">
        <v/>
      </c>
    </row>
    <row r="9652" spans="5:9" ht="16.5" hidden="1">
      <c r="E9652" s="4" t="str">
        <v/>
      </c>
      <c r="F9652" s="102" t="str">
        <f ca="1">IFERROR(__xludf.DUMMYFUNCTION("IMPORTRANGE(H9652,""IDENTITAS UNIT!D9"")"),"#N/A")</f>
        <v>#N/A</v>
      </c>
      <c r="H9652" s="4" t="str">
        <v/>
      </c>
      <c r="I9652" s="4" t="str">
        <v/>
      </c>
    </row>
    <row r="9653" spans="5:9" ht="16.5" hidden="1">
      <c r="E9653" s="4" t="str">
        <v/>
      </c>
      <c r="F9653" s="102" t="str">
        <f ca="1">IFERROR(__xludf.DUMMYFUNCTION("IMPORTRANGE(H9653,""IDENTITAS UNIT!D9"")"),"#N/A")</f>
        <v>#N/A</v>
      </c>
      <c r="H9653" s="4" t="str">
        <v/>
      </c>
      <c r="I9653" s="4" t="str">
        <v/>
      </c>
    </row>
    <row r="9654" spans="5:9" ht="16.5" hidden="1">
      <c r="E9654" s="4" t="str">
        <v/>
      </c>
      <c r="F9654" s="102" t="str">
        <f ca="1">IFERROR(__xludf.DUMMYFUNCTION("IMPORTRANGE(H9654,""IDENTITAS UNIT!D9"")"),"#N/A")</f>
        <v>#N/A</v>
      </c>
      <c r="H9654" s="4" t="str">
        <v/>
      </c>
      <c r="I9654" s="4" t="str">
        <v/>
      </c>
    </row>
    <row r="9655" spans="5:9" ht="16.5" hidden="1">
      <c r="E9655" s="4" t="str">
        <v/>
      </c>
      <c r="F9655" s="102" t="str">
        <f ca="1">IFERROR(__xludf.DUMMYFUNCTION("IMPORTRANGE(H9655,""IDENTITAS UNIT!D9"")"),"#N/A")</f>
        <v>#N/A</v>
      </c>
      <c r="H9655" s="4" t="str">
        <v/>
      </c>
      <c r="I9655" s="4" t="str">
        <v/>
      </c>
    </row>
    <row r="9656" spans="5:9" ht="16.5" hidden="1">
      <c r="E9656" s="4" t="str">
        <v/>
      </c>
      <c r="F9656" s="102" t="str">
        <f ca="1">IFERROR(__xludf.DUMMYFUNCTION("IMPORTRANGE(H9656,""IDENTITAS UNIT!D9"")"),"#N/A")</f>
        <v>#N/A</v>
      </c>
      <c r="H9656" s="4" t="str">
        <v/>
      </c>
      <c r="I9656" s="4" t="str">
        <v/>
      </c>
    </row>
    <row r="9657" spans="5:9" ht="16.5" hidden="1">
      <c r="E9657" s="4" t="str">
        <v/>
      </c>
      <c r="F9657" s="102" t="str">
        <f ca="1">IFERROR(__xludf.DUMMYFUNCTION("IMPORTRANGE(H9657,""IDENTITAS UNIT!D9"")"),"#N/A")</f>
        <v>#N/A</v>
      </c>
      <c r="H9657" s="4" t="str">
        <v/>
      </c>
      <c r="I9657" s="4" t="str">
        <v/>
      </c>
    </row>
    <row r="9658" spans="5:9" ht="16.5" hidden="1">
      <c r="E9658" s="4" t="str">
        <v/>
      </c>
      <c r="F9658" s="102" t="str">
        <f ca="1">IFERROR(__xludf.DUMMYFUNCTION("IMPORTRANGE(H9658,""IDENTITAS UNIT!D9"")"),"#N/A")</f>
        <v>#N/A</v>
      </c>
      <c r="H9658" s="4" t="str">
        <v/>
      </c>
      <c r="I9658" s="4" t="str">
        <v/>
      </c>
    </row>
    <row r="9659" spans="5:9" ht="16.5" hidden="1">
      <c r="E9659" s="4" t="str">
        <v/>
      </c>
      <c r="F9659" s="102" t="str">
        <f ca="1">IFERROR(__xludf.DUMMYFUNCTION("IMPORTRANGE(H9659,""IDENTITAS UNIT!D9"")"),"#N/A")</f>
        <v>#N/A</v>
      </c>
      <c r="H9659" s="4" t="str">
        <v/>
      </c>
      <c r="I9659" s="4" t="str">
        <v/>
      </c>
    </row>
    <row r="9660" spans="5:9" ht="16.5" hidden="1">
      <c r="E9660" s="4" t="str">
        <v/>
      </c>
      <c r="F9660" s="102" t="str">
        <f ca="1">IFERROR(__xludf.DUMMYFUNCTION("IMPORTRANGE(H9660,""IDENTITAS UNIT!D9"")"),"#N/A")</f>
        <v>#N/A</v>
      </c>
      <c r="H9660" s="4" t="str">
        <v/>
      </c>
      <c r="I9660" s="4" t="str">
        <v/>
      </c>
    </row>
    <row r="9661" spans="5:9" ht="16.5" hidden="1">
      <c r="E9661" s="4" t="str">
        <v/>
      </c>
      <c r="F9661" s="102" t="str">
        <f ca="1">IFERROR(__xludf.DUMMYFUNCTION("IMPORTRANGE(H9661,""IDENTITAS UNIT!D9"")"),"#N/A")</f>
        <v>#N/A</v>
      </c>
      <c r="H9661" s="4" t="str">
        <v/>
      </c>
      <c r="I9661" s="4" t="str">
        <v/>
      </c>
    </row>
    <row r="9662" spans="5:9" ht="16.5" hidden="1">
      <c r="E9662" s="4" t="str">
        <v/>
      </c>
      <c r="F9662" s="102" t="str">
        <f ca="1">IFERROR(__xludf.DUMMYFUNCTION("IMPORTRANGE(H9662,""IDENTITAS UNIT!D9"")"),"#N/A")</f>
        <v>#N/A</v>
      </c>
      <c r="H9662" s="4" t="str">
        <v/>
      </c>
      <c r="I9662" s="4" t="str">
        <v/>
      </c>
    </row>
    <row r="9663" spans="5:9" ht="16.5" hidden="1">
      <c r="E9663" s="4" t="str">
        <v/>
      </c>
      <c r="F9663" s="102" t="str">
        <f ca="1">IFERROR(__xludf.DUMMYFUNCTION("IMPORTRANGE(H9663,""IDENTITAS UNIT!D9"")"),"#N/A")</f>
        <v>#N/A</v>
      </c>
      <c r="H9663" s="4" t="str">
        <v/>
      </c>
      <c r="I9663" s="4" t="str">
        <v/>
      </c>
    </row>
    <row r="9664" spans="5:9" ht="16.5" hidden="1">
      <c r="E9664" s="4" t="str">
        <v/>
      </c>
      <c r="F9664" s="102" t="str">
        <f ca="1">IFERROR(__xludf.DUMMYFUNCTION("IMPORTRANGE(H9664,""IDENTITAS UNIT!D9"")"),"#N/A")</f>
        <v>#N/A</v>
      </c>
      <c r="H9664" s="4" t="str">
        <v/>
      </c>
      <c r="I9664" s="4" t="str">
        <v/>
      </c>
    </row>
    <row r="9665" spans="5:9" ht="16.5" hidden="1">
      <c r="E9665" s="4" t="str">
        <v/>
      </c>
      <c r="F9665" s="102" t="str">
        <f ca="1">IFERROR(__xludf.DUMMYFUNCTION("IMPORTRANGE(H9665,""IDENTITAS UNIT!D9"")"),"#N/A")</f>
        <v>#N/A</v>
      </c>
      <c r="H9665" s="4" t="str">
        <v/>
      </c>
      <c r="I9665" s="4" t="str">
        <v/>
      </c>
    </row>
    <row r="9666" spans="5:9" ht="16.5" hidden="1">
      <c r="E9666" s="4" t="str">
        <v/>
      </c>
      <c r="F9666" s="102" t="str">
        <f ca="1">IFERROR(__xludf.DUMMYFUNCTION("IMPORTRANGE(H9666,""IDENTITAS UNIT!D9"")"),"#N/A")</f>
        <v>#N/A</v>
      </c>
      <c r="H9666" s="4" t="str">
        <v/>
      </c>
      <c r="I9666" s="4" t="str">
        <v/>
      </c>
    </row>
    <row r="9667" spans="5:9" ht="16.5" hidden="1">
      <c r="E9667" s="4" t="str">
        <v/>
      </c>
      <c r="F9667" s="102" t="str">
        <f ca="1">IFERROR(__xludf.DUMMYFUNCTION("IMPORTRANGE(H9667,""IDENTITAS UNIT!D9"")"),"#N/A")</f>
        <v>#N/A</v>
      </c>
      <c r="H9667" s="4" t="str">
        <v/>
      </c>
      <c r="I9667" s="4" t="str">
        <v/>
      </c>
    </row>
    <row r="9668" spans="5:9" ht="16.5" hidden="1">
      <c r="E9668" s="4" t="str">
        <v/>
      </c>
      <c r="F9668" s="102" t="str">
        <f ca="1">IFERROR(__xludf.DUMMYFUNCTION("IMPORTRANGE(H9668,""IDENTITAS UNIT!D9"")"),"#N/A")</f>
        <v>#N/A</v>
      </c>
      <c r="H9668" s="4" t="str">
        <v/>
      </c>
      <c r="I9668" s="4" t="str">
        <v/>
      </c>
    </row>
    <row r="9669" spans="5:9" ht="16.5" hidden="1">
      <c r="E9669" s="4" t="str">
        <v/>
      </c>
      <c r="F9669" s="102" t="str">
        <f ca="1">IFERROR(__xludf.DUMMYFUNCTION("IMPORTRANGE(H9669,""IDENTITAS UNIT!D9"")"),"#N/A")</f>
        <v>#N/A</v>
      </c>
      <c r="H9669" s="4" t="str">
        <v/>
      </c>
      <c r="I9669" s="4" t="str">
        <v/>
      </c>
    </row>
    <row r="9670" spans="5:9" ht="16.5" hidden="1">
      <c r="E9670" s="4" t="str">
        <v/>
      </c>
      <c r="F9670" s="102" t="str">
        <f ca="1">IFERROR(__xludf.DUMMYFUNCTION("IMPORTRANGE(H9670,""IDENTITAS UNIT!D9"")"),"#N/A")</f>
        <v>#N/A</v>
      </c>
      <c r="H9670" s="4" t="str">
        <v/>
      </c>
      <c r="I9670" s="4" t="str">
        <v/>
      </c>
    </row>
    <row r="9671" spans="5:9" ht="16.5" hidden="1">
      <c r="E9671" s="4" t="str">
        <v/>
      </c>
      <c r="F9671" s="102" t="str">
        <f ca="1">IFERROR(__xludf.DUMMYFUNCTION("IMPORTRANGE(H9671,""IDENTITAS UNIT!D9"")"),"#N/A")</f>
        <v>#N/A</v>
      </c>
      <c r="H9671" s="4" t="str">
        <v/>
      </c>
      <c r="I9671" s="4" t="str">
        <v/>
      </c>
    </row>
    <row r="9672" spans="5:9" ht="16.5" hidden="1">
      <c r="E9672" s="4" t="str">
        <v/>
      </c>
      <c r="F9672" s="102" t="str">
        <f ca="1">IFERROR(__xludf.DUMMYFUNCTION("IMPORTRANGE(H9672,""IDENTITAS UNIT!D9"")"),"#N/A")</f>
        <v>#N/A</v>
      </c>
      <c r="H9672" s="4" t="str">
        <v/>
      </c>
      <c r="I9672" s="4" t="str">
        <v/>
      </c>
    </row>
    <row r="9673" spans="5:9" ht="16.5" hidden="1">
      <c r="E9673" s="4" t="str">
        <v/>
      </c>
      <c r="F9673" s="102" t="str">
        <f ca="1">IFERROR(__xludf.DUMMYFUNCTION("IMPORTRANGE(H9673,""IDENTITAS UNIT!D9"")"),"#N/A")</f>
        <v>#N/A</v>
      </c>
      <c r="H9673" s="4" t="str">
        <v/>
      </c>
      <c r="I9673" s="4" t="str">
        <v/>
      </c>
    </row>
    <row r="9674" spans="5:9" ht="16.5" hidden="1">
      <c r="E9674" s="4" t="str">
        <v/>
      </c>
      <c r="F9674" s="102" t="str">
        <f ca="1">IFERROR(__xludf.DUMMYFUNCTION("IMPORTRANGE(H9674,""IDENTITAS UNIT!D9"")"),"#N/A")</f>
        <v>#N/A</v>
      </c>
      <c r="H9674" s="4" t="str">
        <v/>
      </c>
      <c r="I9674" s="4" t="str">
        <v/>
      </c>
    </row>
    <row r="9675" spans="5:9" ht="16.5" hidden="1">
      <c r="E9675" s="4" t="str">
        <v/>
      </c>
      <c r="F9675" s="102" t="str">
        <f ca="1">IFERROR(__xludf.DUMMYFUNCTION("IMPORTRANGE(H9675,""IDENTITAS UNIT!D9"")"),"#N/A")</f>
        <v>#N/A</v>
      </c>
      <c r="H9675" s="4" t="str">
        <v/>
      </c>
      <c r="I9675" s="4" t="str">
        <v/>
      </c>
    </row>
    <row r="9676" spans="5:9" ht="16.5" hidden="1">
      <c r="E9676" s="4" t="str">
        <v/>
      </c>
      <c r="F9676" s="102" t="str">
        <f ca="1">IFERROR(__xludf.DUMMYFUNCTION("IMPORTRANGE(H9676,""IDENTITAS UNIT!D9"")"),"#N/A")</f>
        <v>#N/A</v>
      </c>
      <c r="H9676" s="4" t="str">
        <v/>
      </c>
      <c r="I9676" s="4" t="str">
        <v/>
      </c>
    </row>
    <row r="9677" spans="5:9" ht="16.5" hidden="1">
      <c r="E9677" s="4" t="str">
        <v/>
      </c>
      <c r="F9677" s="102" t="str">
        <f ca="1">IFERROR(__xludf.DUMMYFUNCTION("IMPORTRANGE(H9677,""IDENTITAS UNIT!D9"")"),"#N/A")</f>
        <v>#N/A</v>
      </c>
      <c r="H9677" s="4" t="str">
        <v/>
      </c>
      <c r="I9677" s="4" t="str">
        <v/>
      </c>
    </row>
    <row r="9678" spans="5:9" ht="16.5" hidden="1">
      <c r="E9678" s="4" t="str">
        <v/>
      </c>
      <c r="F9678" s="102" t="str">
        <f ca="1">IFERROR(__xludf.DUMMYFUNCTION("IMPORTRANGE(H9678,""IDENTITAS UNIT!D9"")"),"#N/A")</f>
        <v>#N/A</v>
      </c>
      <c r="H9678" s="4" t="str">
        <v/>
      </c>
      <c r="I9678" s="4" t="str">
        <v/>
      </c>
    </row>
    <row r="9679" spans="5:9" ht="16.5" hidden="1">
      <c r="E9679" s="4" t="str">
        <v/>
      </c>
      <c r="F9679" s="102" t="str">
        <f ca="1">IFERROR(__xludf.DUMMYFUNCTION("IMPORTRANGE(H9679,""IDENTITAS UNIT!D9"")"),"#N/A")</f>
        <v>#N/A</v>
      </c>
      <c r="H9679" s="4" t="str">
        <v/>
      </c>
      <c r="I9679" s="4" t="str">
        <v/>
      </c>
    </row>
    <row r="9680" spans="5:9" ht="16.5" hidden="1">
      <c r="E9680" s="4" t="str">
        <v/>
      </c>
      <c r="F9680" s="102" t="str">
        <f ca="1">IFERROR(__xludf.DUMMYFUNCTION("IMPORTRANGE(H9680,""IDENTITAS UNIT!D9"")"),"#N/A")</f>
        <v>#N/A</v>
      </c>
      <c r="H9680" s="4" t="str">
        <v/>
      </c>
      <c r="I9680" s="4" t="str">
        <v/>
      </c>
    </row>
    <row r="9681" spans="5:9" ht="16.5" hidden="1">
      <c r="E9681" s="4" t="str">
        <v/>
      </c>
      <c r="F9681" s="102" t="str">
        <f ca="1">IFERROR(__xludf.DUMMYFUNCTION("IMPORTRANGE(H9681,""IDENTITAS UNIT!D9"")"),"#N/A")</f>
        <v>#N/A</v>
      </c>
      <c r="H9681" s="4" t="str">
        <v/>
      </c>
      <c r="I9681" s="4" t="str">
        <v/>
      </c>
    </row>
    <row r="9682" spans="5:9" ht="16.5" hidden="1">
      <c r="E9682" s="4" t="str">
        <v/>
      </c>
      <c r="F9682" s="102" t="str">
        <f ca="1">IFERROR(__xludf.DUMMYFUNCTION("IMPORTRANGE(H9682,""IDENTITAS UNIT!D9"")"),"#N/A")</f>
        <v>#N/A</v>
      </c>
      <c r="H9682" s="4" t="str">
        <v/>
      </c>
      <c r="I9682" s="4" t="str">
        <v/>
      </c>
    </row>
    <row r="9683" spans="5:9" ht="16.5" hidden="1">
      <c r="E9683" s="4" t="str">
        <v/>
      </c>
      <c r="F9683" s="102" t="str">
        <f ca="1">IFERROR(__xludf.DUMMYFUNCTION("IMPORTRANGE(H9683,""IDENTITAS UNIT!D9"")"),"#N/A")</f>
        <v>#N/A</v>
      </c>
      <c r="H9683" s="4" t="str">
        <v/>
      </c>
      <c r="I9683" s="4" t="str">
        <v/>
      </c>
    </row>
    <row r="9684" spans="5:9" ht="16.5" hidden="1">
      <c r="E9684" s="4" t="str">
        <v/>
      </c>
      <c r="F9684" s="102" t="str">
        <f ca="1">IFERROR(__xludf.DUMMYFUNCTION("IMPORTRANGE(H9684,""IDENTITAS UNIT!D9"")"),"#N/A")</f>
        <v>#N/A</v>
      </c>
      <c r="H9684" s="4" t="str">
        <v/>
      </c>
      <c r="I9684" s="4" t="str">
        <v/>
      </c>
    </row>
    <row r="9685" spans="5:9" ht="16.5" hidden="1">
      <c r="E9685" s="4" t="str">
        <v/>
      </c>
      <c r="F9685" s="102" t="str">
        <f ca="1">IFERROR(__xludf.DUMMYFUNCTION("IMPORTRANGE(H9685,""IDENTITAS UNIT!D9"")"),"#N/A")</f>
        <v>#N/A</v>
      </c>
      <c r="H9685" s="4" t="str">
        <v/>
      </c>
      <c r="I9685" s="4" t="str">
        <v/>
      </c>
    </row>
    <row r="9686" spans="5:9" ht="16.5" hidden="1">
      <c r="E9686" s="4" t="str">
        <v/>
      </c>
      <c r="F9686" s="102" t="str">
        <f ca="1">IFERROR(__xludf.DUMMYFUNCTION("IMPORTRANGE(H9686,""IDENTITAS UNIT!D9"")"),"#N/A")</f>
        <v>#N/A</v>
      </c>
      <c r="H9686" s="4" t="str">
        <v/>
      </c>
      <c r="I9686" s="4" t="str">
        <v/>
      </c>
    </row>
    <row r="9687" spans="5:9" ht="16.5" hidden="1">
      <c r="E9687" s="4" t="str">
        <v/>
      </c>
      <c r="F9687" s="102" t="str">
        <f ca="1">IFERROR(__xludf.DUMMYFUNCTION("IMPORTRANGE(H9687,""IDENTITAS UNIT!D9"")"),"#N/A")</f>
        <v>#N/A</v>
      </c>
      <c r="H9687" s="4" t="str">
        <v/>
      </c>
      <c r="I9687" s="4" t="str">
        <v/>
      </c>
    </row>
    <row r="9688" spans="5:9" ht="16.5" hidden="1">
      <c r="E9688" s="4" t="str">
        <v/>
      </c>
      <c r="F9688" s="102" t="str">
        <f ca="1">IFERROR(__xludf.DUMMYFUNCTION("IMPORTRANGE(H9688,""IDENTITAS UNIT!D9"")"),"#N/A")</f>
        <v>#N/A</v>
      </c>
      <c r="H9688" s="4" t="str">
        <v/>
      </c>
      <c r="I9688" s="4" t="str">
        <v/>
      </c>
    </row>
    <row r="9689" spans="5:9" ht="16.5" hidden="1">
      <c r="E9689" s="4" t="str">
        <v/>
      </c>
      <c r="F9689" s="102" t="str">
        <f ca="1">IFERROR(__xludf.DUMMYFUNCTION("IMPORTRANGE(H9689,""IDENTITAS UNIT!D9"")"),"#N/A")</f>
        <v>#N/A</v>
      </c>
      <c r="H9689" s="4" t="str">
        <v/>
      </c>
      <c r="I9689" s="4" t="str">
        <v/>
      </c>
    </row>
    <row r="9690" spans="5:9" ht="16.5" hidden="1">
      <c r="E9690" s="4" t="str">
        <v/>
      </c>
      <c r="F9690" s="102" t="str">
        <f ca="1">IFERROR(__xludf.DUMMYFUNCTION("IMPORTRANGE(H9690,""IDENTITAS UNIT!D9"")"),"#N/A")</f>
        <v>#N/A</v>
      </c>
      <c r="H9690" s="4" t="str">
        <v/>
      </c>
      <c r="I9690" s="4" t="str">
        <v/>
      </c>
    </row>
    <row r="9691" spans="5:9" ht="16.5" hidden="1">
      <c r="E9691" s="4" t="str">
        <v/>
      </c>
      <c r="F9691" s="102" t="str">
        <f ca="1">IFERROR(__xludf.DUMMYFUNCTION("IMPORTRANGE(H9691,""IDENTITAS UNIT!D9"")"),"#N/A")</f>
        <v>#N/A</v>
      </c>
      <c r="H9691" s="4" t="str">
        <v/>
      </c>
      <c r="I9691" s="4" t="str">
        <v/>
      </c>
    </row>
    <row r="9692" spans="5:9" ht="16.5" hidden="1">
      <c r="E9692" s="4" t="str">
        <v/>
      </c>
      <c r="F9692" s="102" t="str">
        <f ca="1">IFERROR(__xludf.DUMMYFUNCTION("IMPORTRANGE(H9692,""IDENTITAS UNIT!D9"")"),"#N/A")</f>
        <v>#N/A</v>
      </c>
      <c r="H9692" s="4" t="str">
        <v/>
      </c>
      <c r="I9692" s="4" t="str">
        <v/>
      </c>
    </row>
    <row r="9693" spans="5:9" ht="16.5" hidden="1">
      <c r="E9693" s="4" t="str">
        <v/>
      </c>
      <c r="F9693" s="102" t="str">
        <f ca="1">IFERROR(__xludf.DUMMYFUNCTION("IMPORTRANGE(H9693,""IDENTITAS UNIT!D9"")"),"#N/A")</f>
        <v>#N/A</v>
      </c>
      <c r="H9693" s="4" t="str">
        <v/>
      </c>
      <c r="I9693" s="4" t="str">
        <v/>
      </c>
    </row>
    <row r="9694" spans="5:9" ht="16.5" hidden="1">
      <c r="E9694" s="4" t="str">
        <v/>
      </c>
      <c r="F9694" s="102" t="str">
        <f ca="1">IFERROR(__xludf.DUMMYFUNCTION("IMPORTRANGE(H9694,""IDENTITAS UNIT!D9"")"),"#N/A")</f>
        <v>#N/A</v>
      </c>
      <c r="H9694" s="4" t="str">
        <v/>
      </c>
      <c r="I9694" s="4" t="str">
        <v/>
      </c>
    </row>
    <row r="9695" spans="5:9" ht="16.5" hidden="1">
      <c r="E9695" s="4" t="str">
        <v/>
      </c>
      <c r="F9695" s="102" t="str">
        <f ca="1">IFERROR(__xludf.DUMMYFUNCTION("IMPORTRANGE(H9695,""IDENTITAS UNIT!D9"")"),"#N/A")</f>
        <v>#N/A</v>
      </c>
      <c r="H9695" s="4" t="str">
        <v/>
      </c>
      <c r="I9695" s="4" t="str">
        <v/>
      </c>
    </row>
    <row r="9696" spans="5:9" ht="16.5" hidden="1">
      <c r="E9696" s="4" t="str">
        <v/>
      </c>
      <c r="F9696" s="102" t="str">
        <f ca="1">IFERROR(__xludf.DUMMYFUNCTION("IMPORTRANGE(H9696,""IDENTITAS UNIT!D9"")"),"#N/A")</f>
        <v>#N/A</v>
      </c>
      <c r="H9696" s="4" t="str">
        <v/>
      </c>
      <c r="I9696" s="4" t="str">
        <v/>
      </c>
    </row>
    <row r="9697" spans="5:9" ht="16.5" hidden="1">
      <c r="E9697" s="4" t="str">
        <v/>
      </c>
      <c r="F9697" s="102" t="str">
        <f ca="1">IFERROR(__xludf.DUMMYFUNCTION("IMPORTRANGE(H9697,""IDENTITAS UNIT!D9"")"),"#N/A")</f>
        <v>#N/A</v>
      </c>
      <c r="H9697" s="4" t="str">
        <v/>
      </c>
      <c r="I9697" s="4" t="str">
        <v/>
      </c>
    </row>
    <row r="9698" spans="5:9" ht="16.5" hidden="1">
      <c r="E9698" s="4" t="str">
        <v/>
      </c>
      <c r="F9698" s="102" t="str">
        <f ca="1">IFERROR(__xludf.DUMMYFUNCTION("IMPORTRANGE(H9698,""IDENTITAS UNIT!D9"")"),"#N/A")</f>
        <v>#N/A</v>
      </c>
      <c r="H9698" s="4" t="str">
        <v/>
      </c>
      <c r="I9698" s="4" t="str">
        <v/>
      </c>
    </row>
    <row r="9699" spans="5:9" ht="16.5" hidden="1">
      <c r="E9699" s="4" t="str">
        <v/>
      </c>
      <c r="F9699" s="102" t="str">
        <f ca="1">IFERROR(__xludf.DUMMYFUNCTION("IMPORTRANGE(H9699,""IDENTITAS UNIT!D9"")"),"#N/A")</f>
        <v>#N/A</v>
      </c>
      <c r="H9699" s="4" t="str">
        <v/>
      </c>
      <c r="I9699" s="4" t="str">
        <v/>
      </c>
    </row>
    <row r="9700" spans="5:9" ht="16.5" hidden="1">
      <c r="E9700" s="4" t="str">
        <v/>
      </c>
      <c r="F9700" s="102" t="str">
        <f ca="1">IFERROR(__xludf.DUMMYFUNCTION("IMPORTRANGE(H9700,""IDENTITAS UNIT!D9"")"),"#N/A")</f>
        <v>#N/A</v>
      </c>
      <c r="H9700" s="4" t="str">
        <v/>
      </c>
      <c r="I9700" s="4" t="str">
        <v/>
      </c>
    </row>
    <row r="9701" spans="5:9" ht="16.5" hidden="1">
      <c r="E9701" s="4" t="str">
        <v/>
      </c>
      <c r="F9701" s="102" t="str">
        <f ca="1">IFERROR(__xludf.DUMMYFUNCTION("IMPORTRANGE(H9701,""IDENTITAS UNIT!D9"")"),"#N/A")</f>
        <v>#N/A</v>
      </c>
      <c r="H9701" s="4" t="str">
        <v/>
      </c>
      <c r="I9701" s="4" t="str">
        <v/>
      </c>
    </row>
    <row r="9702" spans="5:9" ht="16.5" hidden="1">
      <c r="E9702" s="4" t="str">
        <v/>
      </c>
      <c r="F9702" s="102" t="str">
        <f ca="1">IFERROR(__xludf.DUMMYFUNCTION("IMPORTRANGE(H9702,""IDENTITAS UNIT!D9"")"),"#N/A")</f>
        <v>#N/A</v>
      </c>
      <c r="H9702" s="4" t="str">
        <v/>
      </c>
      <c r="I9702" s="4" t="str">
        <v/>
      </c>
    </row>
    <row r="9703" spans="5:9" ht="16.5" hidden="1">
      <c r="E9703" s="4" t="str">
        <v/>
      </c>
      <c r="F9703" s="102" t="str">
        <f ca="1">IFERROR(__xludf.DUMMYFUNCTION("IMPORTRANGE(H9703,""IDENTITAS UNIT!D9"")"),"#N/A")</f>
        <v>#N/A</v>
      </c>
      <c r="H9703" s="4" t="str">
        <v/>
      </c>
      <c r="I9703" s="4" t="str">
        <v/>
      </c>
    </row>
    <row r="9704" spans="5:9" ht="16.5" hidden="1">
      <c r="E9704" s="4" t="str">
        <v/>
      </c>
      <c r="F9704" s="102" t="str">
        <f ca="1">IFERROR(__xludf.DUMMYFUNCTION("IMPORTRANGE(H9704,""IDENTITAS UNIT!D9"")"),"#N/A")</f>
        <v>#N/A</v>
      </c>
      <c r="H9704" s="4" t="str">
        <v/>
      </c>
      <c r="I9704" s="4" t="str">
        <v/>
      </c>
    </row>
    <row r="9705" spans="5:9" ht="16.5" hidden="1">
      <c r="E9705" s="4" t="str">
        <v/>
      </c>
      <c r="F9705" s="102" t="str">
        <f ca="1">IFERROR(__xludf.DUMMYFUNCTION("IMPORTRANGE(H9705,""IDENTITAS UNIT!D9"")"),"#N/A")</f>
        <v>#N/A</v>
      </c>
      <c r="H9705" s="4" t="str">
        <v/>
      </c>
      <c r="I9705" s="4" t="str">
        <v/>
      </c>
    </row>
    <row r="9706" spans="5:9" ht="16.5" hidden="1">
      <c r="E9706" s="4" t="str">
        <v/>
      </c>
      <c r="F9706" s="102" t="str">
        <f ca="1">IFERROR(__xludf.DUMMYFUNCTION("IMPORTRANGE(H9706,""IDENTITAS UNIT!D9"")"),"#N/A")</f>
        <v>#N/A</v>
      </c>
      <c r="H9706" s="4" t="str">
        <v/>
      </c>
      <c r="I9706" s="4" t="str">
        <v/>
      </c>
    </row>
    <row r="9707" spans="5:9" ht="16.5" hidden="1">
      <c r="E9707" s="4" t="str">
        <v/>
      </c>
      <c r="F9707" s="102" t="str">
        <f ca="1">IFERROR(__xludf.DUMMYFUNCTION("IMPORTRANGE(H9707,""IDENTITAS UNIT!D9"")"),"#N/A")</f>
        <v>#N/A</v>
      </c>
      <c r="H9707" s="4" t="str">
        <v/>
      </c>
      <c r="I9707" s="4" t="str">
        <v/>
      </c>
    </row>
    <row r="9708" spans="5:9" ht="16.5" hidden="1">
      <c r="E9708" s="4" t="str">
        <v/>
      </c>
      <c r="F9708" s="102" t="str">
        <f ca="1">IFERROR(__xludf.DUMMYFUNCTION("IMPORTRANGE(H9708,""IDENTITAS UNIT!D9"")"),"#N/A")</f>
        <v>#N/A</v>
      </c>
      <c r="H9708" s="4" t="str">
        <v/>
      </c>
      <c r="I9708" s="4" t="str">
        <v/>
      </c>
    </row>
    <row r="9709" spans="5:9" ht="16.5" hidden="1">
      <c r="E9709" s="4" t="str">
        <v/>
      </c>
      <c r="F9709" s="102" t="str">
        <f ca="1">IFERROR(__xludf.DUMMYFUNCTION("IMPORTRANGE(H9709,""IDENTITAS UNIT!D9"")"),"#N/A")</f>
        <v>#N/A</v>
      </c>
      <c r="H9709" s="4" t="str">
        <v/>
      </c>
      <c r="I9709" s="4" t="str">
        <v/>
      </c>
    </row>
    <row r="9710" spans="5:9" ht="16.5" hidden="1">
      <c r="E9710" s="4" t="str">
        <v/>
      </c>
      <c r="F9710" s="102" t="str">
        <f ca="1">IFERROR(__xludf.DUMMYFUNCTION("IMPORTRANGE(H9710,""IDENTITAS UNIT!D9"")"),"#N/A")</f>
        <v>#N/A</v>
      </c>
      <c r="H9710" s="4" t="str">
        <v/>
      </c>
      <c r="I9710" s="4" t="str">
        <v/>
      </c>
    </row>
    <row r="9711" spans="5:9" ht="16.5" hidden="1">
      <c r="E9711" s="4" t="str">
        <v/>
      </c>
      <c r="F9711" s="102" t="str">
        <f ca="1">IFERROR(__xludf.DUMMYFUNCTION("IMPORTRANGE(H9711,""IDENTITAS UNIT!D9"")"),"#N/A")</f>
        <v>#N/A</v>
      </c>
      <c r="H9711" s="4" t="str">
        <v/>
      </c>
      <c r="I9711" s="4" t="str">
        <v/>
      </c>
    </row>
    <row r="9712" spans="5:9" ht="16.5" hidden="1">
      <c r="E9712" s="4" t="str">
        <v/>
      </c>
      <c r="F9712" s="102" t="str">
        <f ca="1">IFERROR(__xludf.DUMMYFUNCTION("IMPORTRANGE(H9712,""IDENTITAS UNIT!D9"")"),"#N/A")</f>
        <v>#N/A</v>
      </c>
      <c r="H9712" s="4" t="str">
        <v/>
      </c>
      <c r="I9712" s="4" t="str">
        <v/>
      </c>
    </row>
    <row r="9713" spans="5:9" ht="16.5" hidden="1">
      <c r="E9713" s="4" t="str">
        <v/>
      </c>
      <c r="F9713" s="102" t="str">
        <f ca="1">IFERROR(__xludf.DUMMYFUNCTION("IMPORTRANGE(H9713,""IDENTITAS UNIT!D9"")"),"#N/A")</f>
        <v>#N/A</v>
      </c>
      <c r="H9713" s="4" t="str">
        <v/>
      </c>
      <c r="I9713" s="4" t="str">
        <v/>
      </c>
    </row>
    <row r="9714" spans="5:9" ht="16.5" hidden="1">
      <c r="E9714" s="4" t="str">
        <v/>
      </c>
      <c r="F9714" s="102" t="str">
        <f ca="1">IFERROR(__xludf.DUMMYFUNCTION("IMPORTRANGE(H9714,""IDENTITAS UNIT!D9"")"),"#N/A")</f>
        <v>#N/A</v>
      </c>
      <c r="H9714" s="4" t="str">
        <v/>
      </c>
      <c r="I9714" s="4" t="str">
        <v/>
      </c>
    </row>
    <row r="9715" spans="5:9" ht="16.5" hidden="1">
      <c r="E9715" s="4" t="str">
        <v/>
      </c>
      <c r="F9715" s="102" t="str">
        <f ca="1">IFERROR(__xludf.DUMMYFUNCTION("IMPORTRANGE(H9715,""IDENTITAS UNIT!D9"")"),"#N/A")</f>
        <v>#N/A</v>
      </c>
      <c r="H9715" s="4" t="str">
        <v/>
      </c>
      <c r="I9715" s="4" t="str">
        <v/>
      </c>
    </row>
    <row r="9716" spans="5:9" ht="16.5" hidden="1">
      <c r="E9716" s="4" t="str">
        <v/>
      </c>
      <c r="F9716" s="102" t="str">
        <f ca="1">IFERROR(__xludf.DUMMYFUNCTION("IMPORTRANGE(H9716,""IDENTITAS UNIT!D9"")"),"#N/A")</f>
        <v>#N/A</v>
      </c>
      <c r="H9716" s="4" t="str">
        <v/>
      </c>
      <c r="I9716" s="4" t="str">
        <v/>
      </c>
    </row>
    <row r="9717" spans="5:9" ht="16.5" hidden="1">
      <c r="E9717" s="4" t="str">
        <v/>
      </c>
      <c r="F9717" s="102" t="str">
        <f ca="1">IFERROR(__xludf.DUMMYFUNCTION("IMPORTRANGE(H9717,""IDENTITAS UNIT!D9"")"),"#N/A")</f>
        <v>#N/A</v>
      </c>
      <c r="H9717" s="4" t="str">
        <v/>
      </c>
      <c r="I9717" s="4" t="str">
        <v/>
      </c>
    </row>
    <row r="9718" spans="5:9" ht="16.5" hidden="1">
      <c r="E9718" s="4" t="str">
        <v/>
      </c>
      <c r="F9718" s="102" t="str">
        <f ca="1">IFERROR(__xludf.DUMMYFUNCTION("IMPORTRANGE(H9718,""IDENTITAS UNIT!D9"")"),"#N/A")</f>
        <v>#N/A</v>
      </c>
      <c r="H9718" s="4" t="str">
        <v/>
      </c>
      <c r="I9718" s="4" t="str">
        <v/>
      </c>
    </row>
    <row r="9719" spans="5:9" ht="16.5" hidden="1">
      <c r="E9719" s="4" t="str">
        <v/>
      </c>
      <c r="F9719" s="102" t="str">
        <f ca="1">IFERROR(__xludf.DUMMYFUNCTION("IMPORTRANGE(H9719,""IDENTITAS UNIT!D9"")"),"#N/A")</f>
        <v>#N/A</v>
      </c>
      <c r="H9719" s="4" t="str">
        <v/>
      </c>
      <c r="I9719" s="4" t="str">
        <v/>
      </c>
    </row>
    <row r="9720" spans="5:9" ht="16.5" hidden="1">
      <c r="E9720" s="4" t="str">
        <v/>
      </c>
      <c r="F9720" s="102" t="str">
        <f ca="1">IFERROR(__xludf.DUMMYFUNCTION("IMPORTRANGE(H9720,""IDENTITAS UNIT!D9"")"),"#N/A")</f>
        <v>#N/A</v>
      </c>
      <c r="H9720" s="4" t="str">
        <v/>
      </c>
      <c r="I9720" s="4" t="str">
        <v/>
      </c>
    </row>
    <row r="9721" spans="5:9" ht="16.5" hidden="1">
      <c r="E9721" s="4" t="str">
        <v/>
      </c>
      <c r="F9721" s="102" t="str">
        <f ca="1">IFERROR(__xludf.DUMMYFUNCTION("IMPORTRANGE(H9721,""IDENTITAS UNIT!D9"")"),"#N/A")</f>
        <v>#N/A</v>
      </c>
      <c r="H9721" s="4" t="str">
        <v/>
      </c>
      <c r="I9721" s="4" t="str">
        <v/>
      </c>
    </row>
    <row r="9722" spans="5:9" ht="16.5" hidden="1">
      <c r="E9722" s="4" t="str">
        <v/>
      </c>
      <c r="F9722" s="102" t="str">
        <f ca="1">IFERROR(__xludf.DUMMYFUNCTION("IMPORTRANGE(H9722,""IDENTITAS UNIT!D9"")"),"#N/A")</f>
        <v>#N/A</v>
      </c>
      <c r="H9722" s="4" t="str">
        <v/>
      </c>
      <c r="I9722" s="4" t="str">
        <v/>
      </c>
    </row>
    <row r="9723" spans="5:9" ht="16.5" hidden="1">
      <c r="E9723" s="4" t="str">
        <v/>
      </c>
      <c r="F9723" s="102" t="str">
        <f ca="1">IFERROR(__xludf.DUMMYFUNCTION("IMPORTRANGE(H9723,""IDENTITAS UNIT!D9"")"),"#N/A")</f>
        <v>#N/A</v>
      </c>
      <c r="H9723" s="4" t="str">
        <v/>
      </c>
      <c r="I9723" s="4" t="str">
        <v/>
      </c>
    </row>
    <row r="9724" spans="5:9" ht="16.5" hidden="1">
      <c r="E9724" s="4" t="str">
        <v/>
      </c>
      <c r="F9724" s="102" t="str">
        <f ca="1">IFERROR(__xludf.DUMMYFUNCTION("IMPORTRANGE(H9724,""IDENTITAS UNIT!D9"")"),"#N/A")</f>
        <v>#N/A</v>
      </c>
      <c r="H9724" s="4" t="str">
        <v/>
      </c>
      <c r="I9724" s="4" t="str">
        <v/>
      </c>
    </row>
    <row r="9725" spans="5:9" ht="16.5" hidden="1">
      <c r="E9725" s="4" t="str">
        <v/>
      </c>
      <c r="F9725" s="102" t="str">
        <f ca="1">IFERROR(__xludf.DUMMYFUNCTION("IMPORTRANGE(H9725,""IDENTITAS UNIT!D9"")"),"#N/A")</f>
        <v>#N/A</v>
      </c>
      <c r="H9725" s="4" t="str">
        <v/>
      </c>
      <c r="I9725" s="4" t="str">
        <v/>
      </c>
    </row>
    <row r="9726" spans="5:9" ht="16.5" hidden="1">
      <c r="E9726" s="4" t="str">
        <v/>
      </c>
      <c r="F9726" s="102" t="str">
        <f ca="1">IFERROR(__xludf.DUMMYFUNCTION("IMPORTRANGE(H9726,""IDENTITAS UNIT!D9"")"),"#N/A")</f>
        <v>#N/A</v>
      </c>
      <c r="H9726" s="4" t="str">
        <v/>
      </c>
      <c r="I9726" s="4" t="str">
        <v/>
      </c>
    </row>
    <row r="9727" spans="5:9" ht="16.5" hidden="1">
      <c r="E9727" s="4" t="str">
        <v/>
      </c>
      <c r="F9727" s="102" t="str">
        <f ca="1">IFERROR(__xludf.DUMMYFUNCTION("IMPORTRANGE(H9727,""IDENTITAS UNIT!D9"")"),"#N/A")</f>
        <v>#N/A</v>
      </c>
      <c r="H9727" s="4" t="str">
        <v/>
      </c>
      <c r="I9727" s="4" t="str">
        <v/>
      </c>
    </row>
    <row r="9728" spans="5:9" ht="16.5" hidden="1">
      <c r="E9728" s="4" t="str">
        <v/>
      </c>
      <c r="F9728" s="102" t="str">
        <f ca="1">IFERROR(__xludf.DUMMYFUNCTION("IMPORTRANGE(H9728,""IDENTITAS UNIT!D9"")"),"#N/A")</f>
        <v>#N/A</v>
      </c>
      <c r="H9728" s="4" t="str">
        <v/>
      </c>
      <c r="I9728" s="4" t="str">
        <v/>
      </c>
    </row>
    <row r="9729" spans="5:9" ht="16.5" hidden="1">
      <c r="E9729" s="4" t="str">
        <v/>
      </c>
      <c r="F9729" s="102" t="str">
        <f ca="1">IFERROR(__xludf.DUMMYFUNCTION("IMPORTRANGE(H9729,""IDENTITAS UNIT!D9"")"),"#N/A")</f>
        <v>#N/A</v>
      </c>
      <c r="H9729" s="4" t="str">
        <v/>
      </c>
      <c r="I9729" s="4" t="str">
        <v/>
      </c>
    </row>
    <row r="9730" spans="5:9" ht="16.5" hidden="1">
      <c r="E9730" s="4" t="str">
        <v/>
      </c>
      <c r="F9730" s="102" t="str">
        <f ca="1">IFERROR(__xludf.DUMMYFUNCTION("IMPORTRANGE(H9730,""IDENTITAS UNIT!D9"")"),"#N/A")</f>
        <v>#N/A</v>
      </c>
      <c r="H9730" s="4" t="str">
        <v/>
      </c>
      <c r="I9730" s="4" t="str">
        <v/>
      </c>
    </row>
    <row r="9731" spans="5:9" ht="16.5" hidden="1">
      <c r="E9731" s="4" t="str">
        <v/>
      </c>
      <c r="F9731" s="102" t="str">
        <f ca="1">IFERROR(__xludf.DUMMYFUNCTION("IMPORTRANGE(H9731,""IDENTITAS UNIT!D9"")"),"#N/A")</f>
        <v>#N/A</v>
      </c>
      <c r="H9731" s="4" t="str">
        <v/>
      </c>
      <c r="I9731" s="4" t="str">
        <v/>
      </c>
    </row>
    <row r="9732" spans="5:9" ht="16.5" hidden="1">
      <c r="E9732" s="4" t="str">
        <v/>
      </c>
      <c r="F9732" s="102" t="str">
        <f ca="1">IFERROR(__xludf.DUMMYFUNCTION("IMPORTRANGE(H9732,""IDENTITAS UNIT!D9"")"),"#N/A")</f>
        <v>#N/A</v>
      </c>
      <c r="H9732" s="4" t="str">
        <v/>
      </c>
      <c r="I9732" s="4" t="str">
        <v/>
      </c>
    </row>
    <row r="9733" spans="5:9" ht="16.5" hidden="1">
      <c r="E9733" s="4" t="str">
        <v/>
      </c>
      <c r="F9733" s="102" t="str">
        <f ca="1">IFERROR(__xludf.DUMMYFUNCTION("IMPORTRANGE(H9733,""IDENTITAS UNIT!D9"")"),"#N/A")</f>
        <v>#N/A</v>
      </c>
      <c r="H9733" s="4" t="str">
        <v/>
      </c>
      <c r="I9733" s="4" t="str">
        <v/>
      </c>
    </row>
    <row r="9734" spans="5:9" ht="16.5" hidden="1">
      <c r="E9734" s="4" t="str">
        <v/>
      </c>
      <c r="F9734" s="102" t="str">
        <f ca="1">IFERROR(__xludf.DUMMYFUNCTION("IMPORTRANGE(H9734,""IDENTITAS UNIT!D9"")"),"#N/A")</f>
        <v>#N/A</v>
      </c>
      <c r="H9734" s="4" t="str">
        <v/>
      </c>
      <c r="I9734" s="4" t="str">
        <v/>
      </c>
    </row>
    <row r="9735" spans="5:9" ht="16.5" hidden="1">
      <c r="E9735" s="4" t="str">
        <v/>
      </c>
      <c r="F9735" s="102" t="str">
        <f ca="1">IFERROR(__xludf.DUMMYFUNCTION("IMPORTRANGE(H9735,""IDENTITAS UNIT!D9"")"),"#N/A")</f>
        <v>#N/A</v>
      </c>
      <c r="H9735" s="4" t="str">
        <v/>
      </c>
      <c r="I9735" s="4" t="str">
        <v/>
      </c>
    </row>
    <row r="9736" spans="5:9" ht="16.5" hidden="1">
      <c r="E9736" s="4" t="str">
        <v/>
      </c>
      <c r="F9736" s="102" t="str">
        <f ca="1">IFERROR(__xludf.DUMMYFUNCTION("IMPORTRANGE(H9736,""IDENTITAS UNIT!D9"")"),"#N/A")</f>
        <v>#N/A</v>
      </c>
      <c r="H9736" s="4" t="str">
        <v/>
      </c>
      <c r="I9736" s="4" t="str">
        <v/>
      </c>
    </row>
    <row r="9737" spans="5:9" ht="16.5" hidden="1">
      <c r="E9737" s="4" t="str">
        <v/>
      </c>
      <c r="F9737" s="102" t="str">
        <f ca="1">IFERROR(__xludf.DUMMYFUNCTION("IMPORTRANGE(H9737,""IDENTITAS UNIT!D9"")"),"#N/A")</f>
        <v>#N/A</v>
      </c>
      <c r="H9737" s="4" t="str">
        <v/>
      </c>
      <c r="I9737" s="4" t="str">
        <v/>
      </c>
    </row>
    <row r="9738" spans="5:9" ht="16.5" hidden="1">
      <c r="E9738" s="4" t="str">
        <v/>
      </c>
      <c r="F9738" s="102" t="str">
        <f ca="1">IFERROR(__xludf.DUMMYFUNCTION("IMPORTRANGE(H9738,""IDENTITAS UNIT!D9"")"),"#N/A")</f>
        <v>#N/A</v>
      </c>
      <c r="H9738" s="4" t="str">
        <v/>
      </c>
      <c r="I9738" s="4" t="str">
        <v/>
      </c>
    </row>
    <row r="9739" spans="5:9" ht="16.5" hidden="1">
      <c r="E9739" s="4" t="str">
        <v/>
      </c>
      <c r="F9739" s="102" t="str">
        <f ca="1">IFERROR(__xludf.DUMMYFUNCTION("IMPORTRANGE(H9739,""IDENTITAS UNIT!D9"")"),"#N/A")</f>
        <v>#N/A</v>
      </c>
      <c r="H9739" s="4" t="str">
        <v/>
      </c>
      <c r="I9739" s="4" t="str">
        <v/>
      </c>
    </row>
    <row r="9740" spans="5:9" ht="16.5" hidden="1">
      <c r="E9740" s="4" t="str">
        <v/>
      </c>
      <c r="F9740" s="102" t="str">
        <f ca="1">IFERROR(__xludf.DUMMYFUNCTION("IMPORTRANGE(H9740,""IDENTITAS UNIT!D9"")"),"#N/A")</f>
        <v>#N/A</v>
      </c>
      <c r="H9740" s="4" t="str">
        <v/>
      </c>
      <c r="I9740" s="4" t="str">
        <v/>
      </c>
    </row>
    <row r="9741" spans="5:9" ht="16.5" hidden="1">
      <c r="E9741" s="4" t="str">
        <v/>
      </c>
      <c r="F9741" s="102" t="str">
        <f ca="1">IFERROR(__xludf.DUMMYFUNCTION("IMPORTRANGE(H9741,""IDENTITAS UNIT!D9"")"),"#N/A")</f>
        <v>#N/A</v>
      </c>
      <c r="H9741" s="4" t="str">
        <v/>
      </c>
      <c r="I9741" s="4" t="str">
        <v/>
      </c>
    </row>
    <row r="9742" spans="5:9" ht="16.5" hidden="1">
      <c r="E9742" s="4" t="str">
        <v/>
      </c>
      <c r="F9742" s="102" t="str">
        <f ca="1">IFERROR(__xludf.DUMMYFUNCTION("IMPORTRANGE(H9742,""IDENTITAS UNIT!D9"")"),"#N/A")</f>
        <v>#N/A</v>
      </c>
      <c r="H9742" s="4" t="str">
        <v/>
      </c>
      <c r="I9742" s="4" t="str">
        <v/>
      </c>
    </row>
    <row r="9743" spans="5:9" ht="16.5" hidden="1">
      <c r="E9743" s="4" t="str">
        <v/>
      </c>
      <c r="F9743" s="102" t="str">
        <f ca="1">IFERROR(__xludf.DUMMYFUNCTION("IMPORTRANGE(H9743,""IDENTITAS UNIT!D9"")"),"#N/A")</f>
        <v>#N/A</v>
      </c>
      <c r="H9743" s="4" t="str">
        <v/>
      </c>
      <c r="I9743" s="4" t="str">
        <v/>
      </c>
    </row>
    <row r="9744" spans="5:9" ht="16.5" hidden="1">
      <c r="E9744" s="4" t="str">
        <v/>
      </c>
      <c r="F9744" s="102" t="str">
        <f ca="1">IFERROR(__xludf.DUMMYFUNCTION("IMPORTRANGE(H9744,""IDENTITAS UNIT!D9"")"),"#N/A")</f>
        <v>#N/A</v>
      </c>
      <c r="H9744" s="4" t="str">
        <v/>
      </c>
      <c r="I9744" s="4" t="str">
        <v/>
      </c>
    </row>
    <row r="9745" spans="5:9" ht="16.5" hidden="1">
      <c r="E9745" s="4" t="str">
        <v/>
      </c>
      <c r="F9745" s="102" t="str">
        <f ca="1">IFERROR(__xludf.DUMMYFUNCTION("IMPORTRANGE(H9745,""IDENTITAS UNIT!D9"")"),"#N/A")</f>
        <v>#N/A</v>
      </c>
      <c r="H9745" s="4" t="str">
        <v/>
      </c>
      <c r="I9745" s="4" t="str">
        <v/>
      </c>
    </row>
    <row r="9746" spans="5:9" ht="16.5" hidden="1">
      <c r="E9746" s="4" t="str">
        <v/>
      </c>
      <c r="F9746" s="102" t="str">
        <f ca="1">IFERROR(__xludf.DUMMYFUNCTION("IMPORTRANGE(H9746,""IDENTITAS UNIT!D9"")"),"#N/A")</f>
        <v>#N/A</v>
      </c>
      <c r="H9746" s="4" t="str">
        <v/>
      </c>
      <c r="I9746" s="4" t="str">
        <v/>
      </c>
    </row>
    <row r="9747" spans="5:9" ht="16.5" hidden="1">
      <c r="E9747" s="4" t="str">
        <v/>
      </c>
      <c r="F9747" s="102" t="str">
        <f ca="1">IFERROR(__xludf.DUMMYFUNCTION("IMPORTRANGE(H9747,""IDENTITAS UNIT!D9"")"),"#N/A")</f>
        <v>#N/A</v>
      </c>
      <c r="H9747" s="4" t="str">
        <v/>
      </c>
      <c r="I9747" s="4" t="str">
        <v/>
      </c>
    </row>
    <row r="9748" spans="5:9" ht="16.5" hidden="1">
      <c r="E9748" s="4" t="str">
        <v/>
      </c>
      <c r="F9748" s="102" t="str">
        <f ca="1">IFERROR(__xludf.DUMMYFUNCTION("IMPORTRANGE(H9748,""IDENTITAS UNIT!D9"")"),"#N/A")</f>
        <v>#N/A</v>
      </c>
      <c r="H9748" s="4" t="str">
        <v/>
      </c>
      <c r="I9748" s="4" t="str">
        <v/>
      </c>
    </row>
    <row r="9749" spans="5:9" ht="16.5" hidden="1">
      <c r="E9749" s="4" t="str">
        <v/>
      </c>
      <c r="F9749" s="102" t="str">
        <f ca="1">IFERROR(__xludf.DUMMYFUNCTION("IMPORTRANGE(H9749,""IDENTITAS UNIT!D9"")"),"#N/A")</f>
        <v>#N/A</v>
      </c>
      <c r="H9749" s="4" t="str">
        <v/>
      </c>
      <c r="I9749" s="4" t="str">
        <v/>
      </c>
    </row>
    <row r="9750" spans="5:9" ht="16.5" hidden="1">
      <c r="E9750" s="4" t="str">
        <v/>
      </c>
      <c r="F9750" s="102" t="str">
        <f ca="1">IFERROR(__xludf.DUMMYFUNCTION("IMPORTRANGE(H9750,""IDENTITAS UNIT!D9"")"),"#N/A")</f>
        <v>#N/A</v>
      </c>
      <c r="H9750" s="4" t="str">
        <v/>
      </c>
      <c r="I9750" s="4" t="str">
        <v/>
      </c>
    </row>
    <row r="9751" spans="5:9" ht="16.5" hidden="1">
      <c r="E9751" s="4" t="str">
        <v/>
      </c>
      <c r="F9751" s="102" t="str">
        <f ca="1">IFERROR(__xludf.DUMMYFUNCTION("IMPORTRANGE(H9751,""IDENTITAS UNIT!D9"")"),"#N/A")</f>
        <v>#N/A</v>
      </c>
      <c r="H9751" s="4" t="str">
        <v/>
      </c>
      <c r="I9751" s="4" t="str">
        <v/>
      </c>
    </row>
    <row r="9752" spans="5:9" ht="16.5" hidden="1">
      <c r="E9752" s="4" t="str">
        <v/>
      </c>
      <c r="F9752" s="102" t="str">
        <f ca="1">IFERROR(__xludf.DUMMYFUNCTION("IMPORTRANGE(H9752,""IDENTITAS UNIT!D9"")"),"#N/A")</f>
        <v>#N/A</v>
      </c>
      <c r="H9752" s="4" t="str">
        <v/>
      </c>
      <c r="I9752" s="4" t="str">
        <v/>
      </c>
    </row>
    <row r="9753" spans="5:9" ht="16.5" hidden="1">
      <c r="E9753" s="4" t="str">
        <v/>
      </c>
      <c r="F9753" s="102" t="str">
        <f ca="1">IFERROR(__xludf.DUMMYFUNCTION("IMPORTRANGE(H9753,""IDENTITAS UNIT!D9"")"),"#N/A")</f>
        <v>#N/A</v>
      </c>
      <c r="H9753" s="4" t="str">
        <v/>
      </c>
      <c r="I9753" s="4" t="str">
        <v/>
      </c>
    </row>
    <row r="9754" spans="5:9" ht="16.5" hidden="1">
      <c r="E9754" s="4" t="str">
        <v/>
      </c>
      <c r="F9754" s="102" t="str">
        <f ca="1">IFERROR(__xludf.DUMMYFUNCTION("IMPORTRANGE(H9754,""IDENTITAS UNIT!D9"")"),"#N/A")</f>
        <v>#N/A</v>
      </c>
      <c r="H9754" s="4" t="str">
        <v/>
      </c>
      <c r="I9754" s="4" t="str">
        <v/>
      </c>
    </row>
    <row r="9755" spans="5:9" ht="16.5" hidden="1">
      <c r="E9755" s="4" t="str">
        <v/>
      </c>
      <c r="F9755" s="102" t="str">
        <f ca="1">IFERROR(__xludf.DUMMYFUNCTION("IMPORTRANGE(H9755,""IDENTITAS UNIT!D9"")"),"#N/A")</f>
        <v>#N/A</v>
      </c>
      <c r="H9755" s="4" t="str">
        <v/>
      </c>
      <c r="I9755" s="4" t="str">
        <v/>
      </c>
    </row>
    <row r="9756" spans="5:9" ht="16.5" hidden="1">
      <c r="E9756" s="4" t="str">
        <v/>
      </c>
      <c r="F9756" s="102" t="str">
        <f ca="1">IFERROR(__xludf.DUMMYFUNCTION("IMPORTRANGE(H9756,""IDENTITAS UNIT!D9"")"),"#N/A")</f>
        <v>#N/A</v>
      </c>
      <c r="H9756" s="4" t="str">
        <v/>
      </c>
      <c r="I9756" s="4" t="str">
        <v/>
      </c>
    </row>
    <row r="9757" spans="5:9" ht="16.5" hidden="1">
      <c r="E9757" s="4" t="str">
        <v/>
      </c>
      <c r="F9757" s="102" t="str">
        <f ca="1">IFERROR(__xludf.DUMMYFUNCTION("IMPORTRANGE(H9757,""IDENTITAS UNIT!D9"")"),"#N/A")</f>
        <v>#N/A</v>
      </c>
      <c r="H9757" s="4" t="str">
        <v/>
      </c>
      <c r="I9757" s="4" t="str">
        <v/>
      </c>
    </row>
    <row r="9758" spans="5:9" ht="16.5" hidden="1">
      <c r="E9758" s="4" t="str">
        <v/>
      </c>
      <c r="F9758" s="102" t="str">
        <f ca="1">IFERROR(__xludf.DUMMYFUNCTION("IMPORTRANGE(H9758,""IDENTITAS UNIT!D9"")"),"#N/A")</f>
        <v>#N/A</v>
      </c>
      <c r="H9758" s="4" t="str">
        <v/>
      </c>
      <c r="I9758" s="4" t="str">
        <v/>
      </c>
    </row>
    <row r="9759" spans="5:9" ht="16.5" hidden="1">
      <c r="E9759" s="4" t="str">
        <v/>
      </c>
      <c r="F9759" s="102" t="str">
        <f ca="1">IFERROR(__xludf.DUMMYFUNCTION("IMPORTRANGE(H9759,""IDENTITAS UNIT!D9"")"),"#N/A")</f>
        <v>#N/A</v>
      </c>
      <c r="H9759" s="4" t="str">
        <v/>
      </c>
      <c r="I9759" s="4" t="str">
        <v/>
      </c>
    </row>
    <row r="9760" spans="5:9" ht="16.5" hidden="1">
      <c r="E9760" s="4" t="str">
        <v/>
      </c>
      <c r="F9760" s="102" t="str">
        <f ca="1">IFERROR(__xludf.DUMMYFUNCTION("IMPORTRANGE(H9760,""IDENTITAS UNIT!D9"")"),"#N/A")</f>
        <v>#N/A</v>
      </c>
      <c r="H9760" s="4" t="str">
        <v/>
      </c>
      <c r="I9760" s="4" t="str">
        <v/>
      </c>
    </row>
    <row r="9761" spans="5:9" ht="16.5" hidden="1">
      <c r="E9761" s="4" t="str">
        <v/>
      </c>
      <c r="F9761" s="102" t="str">
        <f ca="1">IFERROR(__xludf.DUMMYFUNCTION("IMPORTRANGE(H9761,""IDENTITAS UNIT!D9"")"),"#N/A")</f>
        <v>#N/A</v>
      </c>
      <c r="H9761" s="4" t="str">
        <v/>
      </c>
      <c r="I9761" s="4" t="str">
        <v/>
      </c>
    </row>
    <row r="9762" spans="5:9" ht="16.5" hidden="1">
      <c r="E9762" s="4" t="str">
        <v/>
      </c>
      <c r="F9762" s="102" t="str">
        <f ca="1">IFERROR(__xludf.DUMMYFUNCTION("IMPORTRANGE(H9762,""IDENTITAS UNIT!D9"")"),"#N/A")</f>
        <v>#N/A</v>
      </c>
      <c r="H9762" s="4" t="str">
        <v/>
      </c>
      <c r="I9762" s="4" t="str">
        <v/>
      </c>
    </row>
    <row r="9763" spans="5:9" ht="16.5" hidden="1">
      <c r="E9763" s="4" t="str">
        <v/>
      </c>
      <c r="F9763" s="102" t="str">
        <f ca="1">IFERROR(__xludf.DUMMYFUNCTION("IMPORTRANGE(H9763,""IDENTITAS UNIT!D9"")"),"#N/A")</f>
        <v>#N/A</v>
      </c>
      <c r="H9763" s="4" t="str">
        <v/>
      </c>
      <c r="I9763" s="4" t="str">
        <v/>
      </c>
    </row>
    <row r="9764" spans="5:9" ht="16.5" hidden="1">
      <c r="E9764" s="4" t="str">
        <v/>
      </c>
      <c r="F9764" s="102" t="str">
        <f ca="1">IFERROR(__xludf.DUMMYFUNCTION("IMPORTRANGE(H9764,""IDENTITAS UNIT!D9"")"),"#N/A")</f>
        <v>#N/A</v>
      </c>
      <c r="H9764" s="4" t="str">
        <v/>
      </c>
      <c r="I9764" s="4" t="str">
        <v/>
      </c>
    </row>
    <row r="9765" spans="5:9" ht="16.5" hidden="1">
      <c r="E9765" s="4" t="str">
        <v/>
      </c>
      <c r="F9765" s="102" t="str">
        <f ca="1">IFERROR(__xludf.DUMMYFUNCTION("IMPORTRANGE(H9765,""IDENTITAS UNIT!D9"")"),"#N/A")</f>
        <v>#N/A</v>
      </c>
      <c r="H9765" s="4" t="str">
        <v/>
      </c>
      <c r="I9765" s="4" t="str">
        <v/>
      </c>
    </row>
    <row r="9766" spans="5:9" ht="16.5" hidden="1">
      <c r="E9766" s="4" t="str">
        <v/>
      </c>
      <c r="F9766" s="102" t="str">
        <f ca="1">IFERROR(__xludf.DUMMYFUNCTION("IMPORTRANGE(H9766,""IDENTITAS UNIT!D9"")"),"#N/A")</f>
        <v>#N/A</v>
      </c>
      <c r="H9766" s="4" t="str">
        <v/>
      </c>
      <c r="I9766" s="4" t="str">
        <v/>
      </c>
    </row>
    <row r="9767" spans="5:9" ht="16.5" hidden="1">
      <c r="E9767" s="4" t="str">
        <v/>
      </c>
      <c r="F9767" s="102" t="str">
        <f ca="1">IFERROR(__xludf.DUMMYFUNCTION("IMPORTRANGE(H9767,""IDENTITAS UNIT!D9"")"),"#N/A")</f>
        <v>#N/A</v>
      </c>
      <c r="H9767" s="4" t="str">
        <v/>
      </c>
      <c r="I9767" s="4" t="str">
        <v/>
      </c>
    </row>
    <row r="9768" spans="5:9" ht="16.5" hidden="1">
      <c r="E9768" s="4" t="str">
        <v/>
      </c>
      <c r="F9768" s="102" t="str">
        <f ca="1">IFERROR(__xludf.DUMMYFUNCTION("IMPORTRANGE(H9768,""IDENTITAS UNIT!D9"")"),"#N/A")</f>
        <v>#N/A</v>
      </c>
      <c r="H9768" s="4" t="str">
        <v/>
      </c>
      <c r="I9768" s="4" t="str">
        <v/>
      </c>
    </row>
    <row r="9769" spans="5:9" ht="16.5" hidden="1">
      <c r="E9769" s="4" t="str">
        <v/>
      </c>
      <c r="F9769" s="102" t="str">
        <f ca="1">IFERROR(__xludf.DUMMYFUNCTION("IMPORTRANGE(H9769,""IDENTITAS UNIT!D9"")"),"#N/A")</f>
        <v>#N/A</v>
      </c>
      <c r="H9769" s="4" t="str">
        <v/>
      </c>
      <c r="I9769" s="4" t="str">
        <v/>
      </c>
    </row>
    <row r="9770" spans="5:9" ht="16.5" hidden="1">
      <c r="E9770" s="4" t="str">
        <v/>
      </c>
      <c r="F9770" s="102" t="str">
        <f ca="1">IFERROR(__xludf.DUMMYFUNCTION("IMPORTRANGE(H9770,""IDENTITAS UNIT!D9"")"),"#N/A")</f>
        <v>#N/A</v>
      </c>
      <c r="H9770" s="4" t="str">
        <v/>
      </c>
      <c r="I9770" s="4" t="str">
        <v/>
      </c>
    </row>
    <row r="9771" spans="5:9" ht="16.5" hidden="1">
      <c r="E9771" s="4" t="str">
        <v/>
      </c>
      <c r="F9771" s="102" t="str">
        <f ca="1">IFERROR(__xludf.DUMMYFUNCTION("IMPORTRANGE(H9771,""IDENTITAS UNIT!D9"")"),"#N/A")</f>
        <v>#N/A</v>
      </c>
      <c r="H9771" s="4" t="str">
        <v/>
      </c>
      <c r="I9771" s="4" t="str">
        <v/>
      </c>
    </row>
    <row r="9772" spans="5:9" ht="16.5" hidden="1">
      <c r="E9772" s="4" t="str">
        <v/>
      </c>
      <c r="F9772" s="102" t="str">
        <f ca="1">IFERROR(__xludf.DUMMYFUNCTION("IMPORTRANGE(H9772,""IDENTITAS UNIT!D9"")"),"#N/A")</f>
        <v>#N/A</v>
      </c>
      <c r="H9772" s="4" t="str">
        <v/>
      </c>
      <c r="I9772" s="4" t="str">
        <v/>
      </c>
    </row>
    <row r="9773" spans="5:9" ht="16.5" hidden="1">
      <c r="E9773" s="4" t="str">
        <v/>
      </c>
      <c r="F9773" s="102" t="str">
        <f ca="1">IFERROR(__xludf.DUMMYFUNCTION("IMPORTRANGE(H9773,""IDENTITAS UNIT!D9"")"),"#N/A")</f>
        <v>#N/A</v>
      </c>
      <c r="H9773" s="4" t="str">
        <v/>
      </c>
      <c r="I9773" s="4" t="str">
        <v/>
      </c>
    </row>
    <row r="9774" spans="5:9" ht="16.5" hidden="1">
      <c r="E9774" s="4" t="str">
        <v/>
      </c>
      <c r="F9774" s="102" t="str">
        <f ca="1">IFERROR(__xludf.DUMMYFUNCTION("IMPORTRANGE(H9774,""IDENTITAS UNIT!D9"")"),"#N/A")</f>
        <v>#N/A</v>
      </c>
      <c r="H9774" s="4" t="str">
        <v/>
      </c>
      <c r="I9774" s="4" t="str">
        <v/>
      </c>
    </row>
    <row r="9775" spans="5:9" ht="16.5" hidden="1">
      <c r="E9775" s="4" t="str">
        <v/>
      </c>
      <c r="F9775" s="102" t="str">
        <f ca="1">IFERROR(__xludf.DUMMYFUNCTION("IMPORTRANGE(H9775,""IDENTITAS UNIT!D9"")"),"#N/A")</f>
        <v>#N/A</v>
      </c>
      <c r="H9775" s="4" t="str">
        <v/>
      </c>
      <c r="I9775" s="4" t="str">
        <v/>
      </c>
    </row>
    <row r="9776" spans="5:9" ht="16.5" hidden="1">
      <c r="E9776" s="4" t="str">
        <v/>
      </c>
      <c r="F9776" s="102" t="str">
        <f ca="1">IFERROR(__xludf.DUMMYFUNCTION("IMPORTRANGE(H9776,""IDENTITAS UNIT!D9"")"),"#N/A")</f>
        <v>#N/A</v>
      </c>
      <c r="H9776" s="4" t="str">
        <v/>
      </c>
      <c r="I9776" s="4" t="str">
        <v/>
      </c>
    </row>
    <row r="9777" spans="5:9" ht="16.5" hidden="1">
      <c r="E9777" s="4" t="str">
        <v/>
      </c>
      <c r="F9777" s="102" t="str">
        <f ca="1">IFERROR(__xludf.DUMMYFUNCTION("IMPORTRANGE(H9777,""IDENTITAS UNIT!D9"")"),"#N/A")</f>
        <v>#N/A</v>
      </c>
      <c r="H9777" s="4" t="str">
        <v/>
      </c>
      <c r="I9777" s="4" t="str">
        <v/>
      </c>
    </row>
    <row r="9778" spans="5:9" ht="16.5" hidden="1">
      <c r="E9778" s="4" t="str">
        <v/>
      </c>
      <c r="F9778" s="102" t="str">
        <f ca="1">IFERROR(__xludf.DUMMYFUNCTION("IMPORTRANGE(H9778,""IDENTITAS UNIT!D9"")"),"#N/A")</f>
        <v>#N/A</v>
      </c>
      <c r="H9778" s="4" t="str">
        <v/>
      </c>
      <c r="I9778" s="4" t="str">
        <v/>
      </c>
    </row>
    <row r="9779" spans="5:9" ht="16.5" hidden="1">
      <c r="E9779" s="4" t="str">
        <v/>
      </c>
      <c r="F9779" s="102" t="str">
        <f ca="1">IFERROR(__xludf.DUMMYFUNCTION("IMPORTRANGE(H9779,""IDENTITAS UNIT!D9"")"),"#N/A")</f>
        <v>#N/A</v>
      </c>
      <c r="H9779" s="4" t="str">
        <v/>
      </c>
      <c r="I9779" s="4" t="str">
        <v/>
      </c>
    </row>
    <row r="9780" spans="5:9" ht="16.5" hidden="1">
      <c r="E9780" s="4" t="str">
        <v/>
      </c>
      <c r="F9780" s="102" t="str">
        <f ca="1">IFERROR(__xludf.DUMMYFUNCTION("IMPORTRANGE(H9780,""IDENTITAS UNIT!D9"")"),"#N/A")</f>
        <v>#N/A</v>
      </c>
      <c r="H9780" s="4" t="str">
        <v/>
      </c>
      <c r="I9780" s="4" t="str">
        <v/>
      </c>
    </row>
    <row r="9781" spans="5:9" ht="16.5" hidden="1">
      <c r="E9781" s="4" t="str">
        <v/>
      </c>
      <c r="F9781" s="102" t="str">
        <f ca="1">IFERROR(__xludf.DUMMYFUNCTION("IMPORTRANGE(H9781,""IDENTITAS UNIT!D9"")"),"#N/A")</f>
        <v>#N/A</v>
      </c>
      <c r="H9781" s="4" t="str">
        <v/>
      </c>
      <c r="I9781" s="4" t="str">
        <v/>
      </c>
    </row>
    <row r="9782" spans="5:9" ht="16.5" hidden="1">
      <c r="E9782" s="4" t="str">
        <v/>
      </c>
      <c r="F9782" s="102" t="str">
        <f ca="1">IFERROR(__xludf.DUMMYFUNCTION("IMPORTRANGE(H9782,""IDENTITAS UNIT!D9"")"),"#N/A")</f>
        <v>#N/A</v>
      </c>
      <c r="H9782" s="4" t="str">
        <v/>
      </c>
      <c r="I9782" s="4" t="str">
        <v/>
      </c>
    </row>
    <row r="9783" spans="5:9" ht="16.5" hidden="1">
      <c r="E9783" s="4" t="str">
        <v/>
      </c>
      <c r="F9783" s="102" t="str">
        <f ca="1">IFERROR(__xludf.DUMMYFUNCTION("IMPORTRANGE(H9783,""IDENTITAS UNIT!D9"")"),"#N/A")</f>
        <v>#N/A</v>
      </c>
      <c r="H9783" s="4" t="str">
        <v/>
      </c>
      <c r="I9783" s="4" t="str">
        <v/>
      </c>
    </row>
    <row r="9784" spans="5:9" ht="16.5" hidden="1">
      <c r="E9784" s="4" t="str">
        <v/>
      </c>
      <c r="F9784" s="102" t="str">
        <f ca="1">IFERROR(__xludf.DUMMYFUNCTION("IMPORTRANGE(H9784,""IDENTITAS UNIT!D9"")"),"#N/A")</f>
        <v>#N/A</v>
      </c>
      <c r="H9784" s="4" t="str">
        <v/>
      </c>
      <c r="I9784" s="4" t="str">
        <v/>
      </c>
    </row>
    <row r="9785" spans="5:9" ht="16.5" hidden="1">
      <c r="E9785" s="4" t="str">
        <v/>
      </c>
      <c r="F9785" s="102" t="str">
        <f ca="1">IFERROR(__xludf.DUMMYFUNCTION("IMPORTRANGE(H9785,""IDENTITAS UNIT!D9"")"),"#N/A")</f>
        <v>#N/A</v>
      </c>
      <c r="H9785" s="4" t="str">
        <v/>
      </c>
      <c r="I9785" s="4" t="str">
        <v/>
      </c>
    </row>
    <row r="9786" spans="5:9" ht="16.5" hidden="1">
      <c r="E9786" s="4" t="str">
        <v/>
      </c>
      <c r="F9786" s="102" t="str">
        <f ca="1">IFERROR(__xludf.DUMMYFUNCTION("IMPORTRANGE(H9786,""IDENTITAS UNIT!D9"")"),"#N/A")</f>
        <v>#N/A</v>
      </c>
      <c r="H9786" s="4" t="str">
        <v/>
      </c>
      <c r="I9786" s="4" t="str">
        <v/>
      </c>
    </row>
    <row r="9787" spans="5:9" ht="16.5" hidden="1">
      <c r="E9787" s="4" t="str">
        <v/>
      </c>
      <c r="F9787" s="102" t="str">
        <f ca="1">IFERROR(__xludf.DUMMYFUNCTION("IMPORTRANGE(H9787,""IDENTITAS UNIT!D9"")"),"#N/A")</f>
        <v>#N/A</v>
      </c>
      <c r="H9787" s="4" t="str">
        <v/>
      </c>
      <c r="I9787" s="4" t="str">
        <v/>
      </c>
    </row>
    <row r="9788" spans="5:9" ht="16.5" hidden="1">
      <c r="E9788" s="4" t="str">
        <v/>
      </c>
      <c r="F9788" s="102" t="str">
        <f ca="1">IFERROR(__xludf.DUMMYFUNCTION("IMPORTRANGE(H9788,""IDENTITAS UNIT!D9"")"),"#N/A")</f>
        <v>#N/A</v>
      </c>
      <c r="H9788" s="4" t="str">
        <v/>
      </c>
      <c r="I9788" s="4" t="str">
        <v/>
      </c>
    </row>
    <row r="9789" spans="5:9" ht="16.5" hidden="1">
      <c r="E9789" s="4" t="str">
        <v/>
      </c>
      <c r="F9789" s="102" t="str">
        <f ca="1">IFERROR(__xludf.DUMMYFUNCTION("IMPORTRANGE(H9789,""IDENTITAS UNIT!D9"")"),"#N/A")</f>
        <v>#N/A</v>
      </c>
      <c r="H9789" s="4" t="str">
        <v/>
      </c>
      <c r="I9789" s="4" t="str">
        <v/>
      </c>
    </row>
    <row r="9790" spans="5:9" ht="16.5" hidden="1">
      <c r="E9790" s="4" t="str">
        <v/>
      </c>
      <c r="F9790" s="102" t="str">
        <f ca="1">IFERROR(__xludf.DUMMYFUNCTION("IMPORTRANGE(H9790,""IDENTITAS UNIT!D9"")"),"#N/A")</f>
        <v>#N/A</v>
      </c>
      <c r="H9790" s="4" t="str">
        <v/>
      </c>
      <c r="I9790" s="4" t="str">
        <v/>
      </c>
    </row>
    <row r="9791" spans="5:9" ht="16.5" hidden="1">
      <c r="E9791" s="4" t="str">
        <v/>
      </c>
      <c r="F9791" s="102" t="str">
        <f ca="1">IFERROR(__xludf.DUMMYFUNCTION("IMPORTRANGE(H9791,""IDENTITAS UNIT!D9"")"),"#N/A")</f>
        <v>#N/A</v>
      </c>
      <c r="H9791" s="4" t="str">
        <v/>
      </c>
      <c r="I9791" s="4" t="str">
        <v/>
      </c>
    </row>
    <row r="9792" spans="5:9" ht="16.5" hidden="1">
      <c r="E9792" s="4" t="str">
        <v/>
      </c>
      <c r="F9792" s="102" t="str">
        <f ca="1">IFERROR(__xludf.DUMMYFUNCTION("IMPORTRANGE(H9792,""IDENTITAS UNIT!D9"")"),"#N/A")</f>
        <v>#N/A</v>
      </c>
      <c r="H9792" s="4" t="str">
        <v/>
      </c>
      <c r="I9792" s="4" t="str">
        <v/>
      </c>
    </row>
    <row r="9793" spans="5:9" ht="16.5" hidden="1">
      <c r="E9793" s="4" t="str">
        <v/>
      </c>
      <c r="F9793" s="102" t="str">
        <f ca="1">IFERROR(__xludf.DUMMYFUNCTION("IMPORTRANGE(H9793,""IDENTITAS UNIT!D9"")"),"#N/A")</f>
        <v>#N/A</v>
      </c>
      <c r="H9793" s="4" t="str">
        <v/>
      </c>
      <c r="I9793" s="4" t="str">
        <v/>
      </c>
    </row>
    <row r="9794" spans="5:9" ht="16.5" hidden="1">
      <c r="E9794" s="4" t="str">
        <v/>
      </c>
      <c r="F9794" s="102" t="str">
        <f ca="1">IFERROR(__xludf.DUMMYFUNCTION("IMPORTRANGE(H9794,""IDENTITAS UNIT!D9"")"),"#N/A")</f>
        <v>#N/A</v>
      </c>
      <c r="H9794" s="4" t="str">
        <v/>
      </c>
      <c r="I9794" s="4" t="str">
        <v/>
      </c>
    </row>
    <row r="9795" spans="5:9" ht="16.5" hidden="1">
      <c r="E9795" s="4" t="str">
        <v/>
      </c>
      <c r="F9795" s="102" t="str">
        <f ca="1">IFERROR(__xludf.DUMMYFUNCTION("IMPORTRANGE(H9795,""IDENTITAS UNIT!D9"")"),"#N/A")</f>
        <v>#N/A</v>
      </c>
      <c r="H9795" s="4" t="str">
        <v/>
      </c>
      <c r="I9795" s="4" t="str">
        <v/>
      </c>
    </row>
    <row r="9796" spans="5:9" ht="16.5" hidden="1">
      <c r="E9796" s="4" t="str">
        <v/>
      </c>
      <c r="F9796" s="102" t="str">
        <f ca="1">IFERROR(__xludf.DUMMYFUNCTION("IMPORTRANGE(H9796,""IDENTITAS UNIT!D9"")"),"#N/A")</f>
        <v>#N/A</v>
      </c>
      <c r="H9796" s="4" t="str">
        <v/>
      </c>
      <c r="I9796" s="4" t="str">
        <v/>
      </c>
    </row>
    <row r="9797" spans="5:9" ht="16.5" hidden="1">
      <c r="E9797" s="4" t="str">
        <v/>
      </c>
      <c r="F9797" s="102" t="str">
        <f ca="1">IFERROR(__xludf.DUMMYFUNCTION("IMPORTRANGE(H9797,""IDENTITAS UNIT!D9"")"),"#N/A")</f>
        <v>#N/A</v>
      </c>
      <c r="H9797" s="4" t="str">
        <v/>
      </c>
      <c r="I9797" s="4" t="str">
        <v/>
      </c>
    </row>
    <row r="9798" spans="5:9" ht="16.5" hidden="1">
      <c r="E9798" s="4" t="str">
        <v/>
      </c>
      <c r="F9798" s="102" t="str">
        <f ca="1">IFERROR(__xludf.DUMMYFUNCTION("IMPORTRANGE(H9798,""IDENTITAS UNIT!D9"")"),"#N/A")</f>
        <v>#N/A</v>
      </c>
      <c r="H9798" s="4" t="str">
        <v/>
      </c>
      <c r="I9798" s="4" t="str">
        <v/>
      </c>
    </row>
    <row r="9799" spans="5:9" ht="16.5" hidden="1">
      <c r="E9799" s="4" t="str">
        <v/>
      </c>
      <c r="F9799" s="102" t="str">
        <f ca="1">IFERROR(__xludf.DUMMYFUNCTION("IMPORTRANGE(H9799,""IDENTITAS UNIT!D9"")"),"#N/A")</f>
        <v>#N/A</v>
      </c>
      <c r="H9799" s="4" t="str">
        <v/>
      </c>
      <c r="I9799" s="4" t="str">
        <v/>
      </c>
    </row>
    <row r="9800" spans="5:9" ht="16.5" hidden="1">
      <c r="E9800" s="4" t="str">
        <v/>
      </c>
      <c r="F9800" s="102" t="str">
        <f ca="1">IFERROR(__xludf.DUMMYFUNCTION("IMPORTRANGE(H9800,""IDENTITAS UNIT!D9"")"),"#N/A")</f>
        <v>#N/A</v>
      </c>
      <c r="H9800" s="4" t="str">
        <v/>
      </c>
      <c r="I9800" s="4" t="str">
        <v/>
      </c>
    </row>
    <row r="9801" spans="5:9" ht="16.5" hidden="1">
      <c r="E9801" s="4" t="str">
        <v/>
      </c>
      <c r="F9801" s="102" t="str">
        <f ca="1">IFERROR(__xludf.DUMMYFUNCTION("IMPORTRANGE(H9801,""IDENTITAS UNIT!D9"")"),"#N/A")</f>
        <v>#N/A</v>
      </c>
      <c r="H9801" s="4" t="str">
        <v/>
      </c>
      <c r="I9801" s="4" t="str">
        <v/>
      </c>
    </row>
    <row r="9802" spans="5:9" ht="16.5" hidden="1">
      <c r="E9802" s="4" t="str">
        <v/>
      </c>
      <c r="F9802" s="102" t="str">
        <f ca="1">IFERROR(__xludf.DUMMYFUNCTION("IMPORTRANGE(H9802,""IDENTITAS UNIT!D9"")"),"#N/A")</f>
        <v>#N/A</v>
      </c>
      <c r="H9802" s="4" t="str">
        <v/>
      </c>
      <c r="I9802" s="4" t="str">
        <v/>
      </c>
    </row>
    <row r="9803" spans="5:9" ht="16.5" hidden="1">
      <c r="E9803" s="4" t="str">
        <v/>
      </c>
      <c r="F9803" s="102" t="str">
        <f ca="1">IFERROR(__xludf.DUMMYFUNCTION("IMPORTRANGE(H9803,""IDENTITAS UNIT!D9"")"),"#N/A")</f>
        <v>#N/A</v>
      </c>
      <c r="H9803" s="4" t="str">
        <v/>
      </c>
      <c r="I9803" s="4" t="str">
        <v/>
      </c>
    </row>
    <row r="9804" spans="5:9" ht="16.5" hidden="1">
      <c r="E9804" s="4" t="str">
        <v/>
      </c>
      <c r="F9804" s="102" t="str">
        <f ca="1">IFERROR(__xludf.DUMMYFUNCTION("IMPORTRANGE(H9804,""IDENTITAS UNIT!D9"")"),"#N/A")</f>
        <v>#N/A</v>
      </c>
      <c r="H9804" s="4" t="str">
        <v/>
      </c>
      <c r="I9804" s="4" t="str">
        <v/>
      </c>
    </row>
    <row r="9805" spans="5:9" ht="16.5" hidden="1">
      <c r="E9805" s="4" t="str">
        <v/>
      </c>
      <c r="F9805" s="102" t="str">
        <f ca="1">IFERROR(__xludf.DUMMYFUNCTION("IMPORTRANGE(H9805,""IDENTITAS UNIT!D9"")"),"#N/A")</f>
        <v>#N/A</v>
      </c>
      <c r="H9805" s="4" t="str">
        <v/>
      </c>
      <c r="I9805" s="4" t="str">
        <v/>
      </c>
    </row>
    <row r="9806" spans="5:9" ht="16.5" hidden="1">
      <c r="E9806" s="4" t="str">
        <v/>
      </c>
      <c r="F9806" s="102" t="str">
        <f ca="1">IFERROR(__xludf.DUMMYFUNCTION("IMPORTRANGE(H9806,""IDENTITAS UNIT!D9"")"),"#N/A")</f>
        <v>#N/A</v>
      </c>
      <c r="H9806" s="4" t="str">
        <v/>
      </c>
      <c r="I9806" s="4" t="str">
        <v/>
      </c>
    </row>
    <row r="9807" spans="5:9" ht="16.5" hidden="1">
      <c r="E9807" s="4" t="str">
        <v/>
      </c>
      <c r="F9807" s="102" t="str">
        <f ca="1">IFERROR(__xludf.DUMMYFUNCTION("IMPORTRANGE(H9807,""IDENTITAS UNIT!D9"")"),"#N/A")</f>
        <v>#N/A</v>
      </c>
      <c r="H9807" s="4" t="str">
        <v/>
      </c>
      <c r="I9807" s="4" t="str">
        <v/>
      </c>
    </row>
    <row r="9808" spans="5:9" ht="16.5" hidden="1">
      <c r="E9808" s="4" t="str">
        <v/>
      </c>
      <c r="F9808" s="102" t="str">
        <f ca="1">IFERROR(__xludf.DUMMYFUNCTION("IMPORTRANGE(H9808,""IDENTITAS UNIT!D9"")"),"#N/A")</f>
        <v>#N/A</v>
      </c>
      <c r="H9808" s="4" t="str">
        <v/>
      </c>
      <c r="I9808" s="4" t="str">
        <v/>
      </c>
    </row>
    <row r="9809" spans="5:9" ht="16.5" hidden="1">
      <c r="E9809" s="4" t="str">
        <v/>
      </c>
      <c r="F9809" s="102" t="str">
        <f ca="1">IFERROR(__xludf.DUMMYFUNCTION("IMPORTRANGE(H9809,""IDENTITAS UNIT!D9"")"),"#N/A")</f>
        <v>#N/A</v>
      </c>
      <c r="H9809" s="4" t="str">
        <v/>
      </c>
      <c r="I9809" s="4" t="str">
        <v/>
      </c>
    </row>
    <row r="9810" spans="5:9" ht="16.5" hidden="1">
      <c r="E9810" s="4" t="str">
        <v/>
      </c>
      <c r="F9810" s="102" t="str">
        <f ca="1">IFERROR(__xludf.DUMMYFUNCTION("IMPORTRANGE(H9810,""IDENTITAS UNIT!D9"")"),"#N/A")</f>
        <v>#N/A</v>
      </c>
      <c r="H9810" s="4" t="str">
        <v/>
      </c>
      <c r="I9810" s="4" t="str">
        <v/>
      </c>
    </row>
    <row r="9811" spans="5:9" ht="16.5" hidden="1">
      <c r="E9811" s="4" t="str">
        <v/>
      </c>
      <c r="F9811" s="102" t="str">
        <f ca="1">IFERROR(__xludf.DUMMYFUNCTION("IMPORTRANGE(H9811,""IDENTITAS UNIT!D9"")"),"#N/A")</f>
        <v>#N/A</v>
      </c>
      <c r="H9811" s="4" t="str">
        <v/>
      </c>
      <c r="I9811" s="4" t="str">
        <v/>
      </c>
    </row>
    <row r="9812" spans="5:9" ht="16.5" hidden="1">
      <c r="E9812" s="4" t="str">
        <v/>
      </c>
      <c r="F9812" s="102" t="str">
        <f ca="1">IFERROR(__xludf.DUMMYFUNCTION("IMPORTRANGE(H9812,""IDENTITAS UNIT!D9"")"),"#N/A")</f>
        <v>#N/A</v>
      </c>
      <c r="H9812" s="4" t="str">
        <v/>
      </c>
      <c r="I9812" s="4" t="str">
        <v/>
      </c>
    </row>
    <row r="9813" spans="5:9" ht="16.5" hidden="1">
      <c r="E9813" s="4" t="str">
        <v/>
      </c>
      <c r="F9813" s="102" t="str">
        <f ca="1">IFERROR(__xludf.DUMMYFUNCTION("IMPORTRANGE(H9813,""IDENTITAS UNIT!D9"")"),"#N/A")</f>
        <v>#N/A</v>
      </c>
      <c r="H9813" s="4" t="str">
        <v/>
      </c>
      <c r="I9813" s="4" t="str">
        <v/>
      </c>
    </row>
    <row r="9814" spans="5:9" ht="16.5" hidden="1">
      <c r="E9814" s="4" t="str">
        <v/>
      </c>
      <c r="F9814" s="102" t="str">
        <f ca="1">IFERROR(__xludf.DUMMYFUNCTION("IMPORTRANGE(H9814,""IDENTITAS UNIT!D9"")"),"#N/A")</f>
        <v>#N/A</v>
      </c>
      <c r="H9814" s="4" t="str">
        <v/>
      </c>
      <c r="I9814" s="4" t="str">
        <v/>
      </c>
    </row>
    <row r="9815" spans="5:9" ht="16.5" hidden="1">
      <c r="E9815" s="4" t="str">
        <v/>
      </c>
      <c r="F9815" s="102" t="str">
        <f ca="1">IFERROR(__xludf.DUMMYFUNCTION("IMPORTRANGE(H9815,""IDENTITAS UNIT!D9"")"),"#N/A")</f>
        <v>#N/A</v>
      </c>
      <c r="H9815" s="4" t="str">
        <v/>
      </c>
      <c r="I9815" s="4" t="str">
        <v/>
      </c>
    </row>
    <row r="9816" spans="5:9" ht="16.5" hidden="1">
      <c r="E9816" s="4" t="str">
        <v/>
      </c>
      <c r="F9816" s="102" t="str">
        <f ca="1">IFERROR(__xludf.DUMMYFUNCTION("IMPORTRANGE(H9816,""IDENTITAS UNIT!D9"")"),"#N/A")</f>
        <v>#N/A</v>
      </c>
      <c r="H9816" s="4" t="str">
        <v/>
      </c>
      <c r="I9816" s="4" t="str">
        <v/>
      </c>
    </row>
    <row r="9817" spans="5:9" ht="16.5" hidden="1">
      <c r="E9817" s="4" t="str">
        <v/>
      </c>
      <c r="F9817" s="102" t="str">
        <f ca="1">IFERROR(__xludf.DUMMYFUNCTION("IMPORTRANGE(H9817,""IDENTITAS UNIT!D9"")"),"#N/A")</f>
        <v>#N/A</v>
      </c>
      <c r="H9817" s="4" t="str">
        <v/>
      </c>
      <c r="I9817" s="4" t="str">
        <v/>
      </c>
    </row>
    <row r="9818" spans="5:9" ht="16.5" hidden="1">
      <c r="E9818" s="4" t="str">
        <v/>
      </c>
      <c r="F9818" s="102" t="str">
        <f ca="1">IFERROR(__xludf.DUMMYFUNCTION("IMPORTRANGE(H9818,""IDENTITAS UNIT!D9"")"),"#N/A")</f>
        <v>#N/A</v>
      </c>
      <c r="H9818" s="4" t="str">
        <v/>
      </c>
      <c r="I9818" s="4" t="str">
        <v/>
      </c>
    </row>
    <row r="9819" spans="5:9" ht="16.5" hidden="1">
      <c r="E9819" s="4" t="str">
        <v/>
      </c>
      <c r="F9819" s="102" t="str">
        <f ca="1">IFERROR(__xludf.DUMMYFUNCTION("IMPORTRANGE(H9819,""IDENTITAS UNIT!D9"")"),"#N/A")</f>
        <v>#N/A</v>
      </c>
      <c r="H9819" s="4" t="str">
        <v/>
      </c>
      <c r="I9819" s="4" t="str">
        <v/>
      </c>
    </row>
    <row r="9820" spans="5:9" ht="16.5" hidden="1">
      <c r="E9820" s="4" t="str">
        <v/>
      </c>
      <c r="F9820" s="102" t="str">
        <f ca="1">IFERROR(__xludf.DUMMYFUNCTION("IMPORTRANGE(H9820,""IDENTITAS UNIT!D9"")"),"#N/A")</f>
        <v>#N/A</v>
      </c>
      <c r="H9820" s="4" t="str">
        <v/>
      </c>
      <c r="I9820" s="4" t="str">
        <v/>
      </c>
    </row>
    <row r="9821" spans="5:9" ht="16.5" hidden="1">
      <c r="E9821" s="4" t="str">
        <v/>
      </c>
      <c r="F9821" s="102" t="str">
        <f ca="1">IFERROR(__xludf.DUMMYFUNCTION("IMPORTRANGE(H9821,""IDENTITAS UNIT!D9"")"),"#N/A")</f>
        <v>#N/A</v>
      </c>
      <c r="H9821" s="4" t="str">
        <v/>
      </c>
      <c r="I9821" s="4" t="str">
        <v/>
      </c>
    </row>
    <row r="9822" spans="5:9" ht="16.5" hidden="1">
      <c r="E9822" s="4" t="str">
        <v/>
      </c>
      <c r="F9822" s="102" t="str">
        <f ca="1">IFERROR(__xludf.DUMMYFUNCTION("IMPORTRANGE(H9822,""IDENTITAS UNIT!D9"")"),"#N/A")</f>
        <v>#N/A</v>
      </c>
      <c r="H9822" s="4" t="str">
        <v/>
      </c>
      <c r="I9822" s="4" t="str">
        <v/>
      </c>
    </row>
    <row r="9823" spans="5:9" ht="16.5" hidden="1">
      <c r="E9823" s="4" t="str">
        <v/>
      </c>
      <c r="F9823" s="102" t="str">
        <f ca="1">IFERROR(__xludf.DUMMYFUNCTION("IMPORTRANGE(H9823,""IDENTITAS UNIT!D9"")"),"#N/A")</f>
        <v>#N/A</v>
      </c>
      <c r="H9823" s="4" t="str">
        <v/>
      </c>
      <c r="I9823" s="4" t="str">
        <v/>
      </c>
    </row>
    <row r="9824" spans="5:9" ht="16.5" hidden="1">
      <c r="E9824" s="4" t="str">
        <v/>
      </c>
      <c r="F9824" s="102" t="str">
        <f ca="1">IFERROR(__xludf.DUMMYFUNCTION("IMPORTRANGE(H9824,""IDENTITAS UNIT!D9"")"),"#N/A")</f>
        <v>#N/A</v>
      </c>
      <c r="H9824" s="4" t="str">
        <v/>
      </c>
      <c r="I9824" s="4" t="str">
        <v/>
      </c>
    </row>
    <row r="9825" spans="5:9" ht="16.5" hidden="1">
      <c r="E9825" s="4" t="str">
        <v/>
      </c>
      <c r="F9825" s="102" t="str">
        <f ca="1">IFERROR(__xludf.DUMMYFUNCTION("IMPORTRANGE(H9825,""IDENTITAS UNIT!D9"")"),"#N/A")</f>
        <v>#N/A</v>
      </c>
      <c r="H9825" s="4" t="str">
        <v/>
      </c>
      <c r="I9825" s="4" t="str">
        <v/>
      </c>
    </row>
    <row r="9826" spans="5:9" ht="16.5" hidden="1">
      <c r="E9826" s="4" t="str">
        <v/>
      </c>
      <c r="F9826" s="102" t="str">
        <f ca="1">IFERROR(__xludf.DUMMYFUNCTION("IMPORTRANGE(H9826,""IDENTITAS UNIT!D9"")"),"#N/A")</f>
        <v>#N/A</v>
      </c>
      <c r="H9826" s="4" t="str">
        <v/>
      </c>
      <c r="I9826" s="4" t="str">
        <v/>
      </c>
    </row>
    <row r="9827" spans="5:9" ht="16.5" hidden="1">
      <c r="E9827" s="4" t="str">
        <v/>
      </c>
      <c r="F9827" s="102" t="str">
        <f ca="1">IFERROR(__xludf.DUMMYFUNCTION("IMPORTRANGE(H9827,""IDENTITAS UNIT!D9"")"),"#N/A")</f>
        <v>#N/A</v>
      </c>
      <c r="H9827" s="4" t="str">
        <v/>
      </c>
      <c r="I9827" s="4" t="str">
        <v/>
      </c>
    </row>
    <row r="9828" spans="5:9" ht="16.5" hidden="1">
      <c r="E9828" s="4" t="str">
        <v/>
      </c>
      <c r="F9828" s="102" t="str">
        <f ca="1">IFERROR(__xludf.DUMMYFUNCTION("IMPORTRANGE(H9828,""IDENTITAS UNIT!D9"")"),"#N/A")</f>
        <v>#N/A</v>
      </c>
      <c r="H9828" s="4" t="str">
        <v/>
      </c>
      <c r="I9828" s="4" t="str">
        <v/>
      </c>
    </row>
    <row r="9829" spans="5:9" ht="16.5" hidden="1">
      <c r="E9829" s="4" t="str">
        <v/>
      </c>
      <c r="F9829" s="102" t="str">
        <f ca="1">IFERROR(__xludf.DUMMYFUNCTION("IMPORTRANGE(H9829,""IDENTITAS UNIT!D9"")"),"#N/A")</f>
        <v>#N/A</v>
      </c>
      <c r="H9829" s="4" t="str">
        <v/>
      </c>
      <c r="I9829" s="4" t="str">
        <v/>
      </c>
    </row>
    <row r="9830" spans="5:9" ht="16.5" hidden="1">
      <c r="E9830" s="4" t="str">
        <v/>
      </c>
      <c r="F9830" s="102" t="str">
        <f ca="1">IFERROR(__xludf.DUMMYFUNCTION("IMPORTRANGE(H9830,""IDENTITAS UNIT!D9"")"),"#N/A")</f>
        <v>#N/A</v>
      </c>
      <c r="H9830" s="4" t="str">
        <v/>
      </c>
      <c r="I9830" s="4" t="str">
        <v/>
      </c>
    </row>
    <row r="9831" spans="5:9" ht="16.5" hidden="1">
      <c r="E9831" s="4" t="str">
        <v/>
      </c>
      <c r="F9831" s="102" t="str">
        <f ca="1">IFERROR(__xludf.DUMMYFUNCTION("IMPORTRANGE(H9831,""IDENTITAS UNIT!D9"")"),"#N/A")</f>
        <v>#N/A</v>
      </c>
      <c r="H9831" s="4" t="str">
        <v/>
      </c>
      <c r="I9831" s="4" t="str">
        <v/>
      </c>
    </row>
    <row r="9832" spans="5:9" ht="16.5" hidden="1">
      <c r="E9832" s="4" t="str">
        <v/>
      </c>
      <c r="F9832" s="102" t="str">
        <f ca="1">IFERROR(__xludf.DUMMYFUNCTION("IMPORTRANGE(H9832,""IDENTITAS UNIT!D9"")"),"#N/A")</f>
        <v>#N/A</v>
      </c>
      <c r="H9832" s="4" t="str">
        <v/>
      </c>
      <c r="I9832" s="4" t="str">
        <v/>
      </c>
    </row>
    <row r="9833" spans="5:9" ht="16.5" hidden="1">
      <c r="E9833" s="4" t="str">
        <v/>
      </c>
      <c r="F9833" s="102" t="str">
        <f ca="1">IFERROR(__xludf.DUMMYFUNCTION("IMPORTRANGE(H9833,""IDENTITAS UNIT!D9"")"),"#N/A")</f>
        <v>#N/A</v>
      </c>
      <c r="H9833" s="4" t="str">
        <v/>
      </c>
      <c r="I9833" s="4" t="str">
        <v/>
      </c>
    </row>
    <row r="9834" spans="5:9" ht="16.5" hidden="1">
      <c r="E9834" s="4" t="str">
        <v/>
      </c>
      <c r="F9834" s="102" t="str">
        <f ca="1">IFERROR(__xludf.DUMMYFUNCTION("IMPORTRANGE(H9834,""IDENTITAS UNIT!D9"")"),"#N/A")</f>
        <v>#N/A</v>
      </c>
      <c r="H9834" s="4" t="str">
        <v/>
      </c>
      <c r="I9834" s="4" t="str">
        <v/>
      </c>
    </row>
    <row r="9835" spans="5:9" ht="16.5" hidden="1">
      <c r="E9835" s="4" t="str">
        <v/>
      </c>
      <c r="F9835" s="102" t="str">
        <f ca="1">IFERROR(__xludf.DUMMYFUNCTION("IMPORTRANGE(H9835,""IDENTITAS UNIT!D9"")"),"#N/A")</f>
        <v>#N/A</v>
      </c>
      <c r="H9835" s="4" t="str">
        <v/>
      </c>
      <c r="I9835" s="4" t="str">
        <v/>
      </c>
    </row>
    <row r="9836" spans="5:9" ht="16.5" hidden="1">
      <c r="E9836" s="4" t="str">
        <v/>
      </c>
      <c r="F9836" s="102" t="str">
        <f ca="1">IFERROR(__xludf.DUMMYFUNCTION("IMPORTRANGE(H9836,""IDENTITAS UNIT!D9"")"),"#N/A")</f>
        <v>#N/A</v>
      </c>
      <c r="H9836" s="4" t="str">
        <v/>
      </c>
      <c r="I9836" s="4" t="str">
        <v/>
      </c>
    </row>
    <row r="9837" spans="5:9" ht="16.5" hidden="1">
      <c r="E9837" s="4" t="str">
        <v/>
      </c>
      <c r="F9837" s="102" t="str">
        <f ca="1">IFERROR(__xludf.DUMMYFUNCTION("IMPORTRANGE(H9837,""IDENTITAS UNIT!D9"")"),"#N/A")</f>
        <v>#N/A</v>
      </c>
      <c r="H9837" s="4" t="str">
        <v/>
      </c>
      <c r="I9837" s="4" t="str">
        <v/>
      </c>
    </row>
    <row r="9838" spans="5:9" ht="16.5" hidden="1">
      <c r="E9838" s="4" t="str">
        <v/>
      </c>
      <c r="F9838" s="102" t="str">
        <f ca="1">IFERROR(__xludf.DUMMYFUNCTION("IMPORTRANGE(H9838,""IDENTITAS UNIT!D9"")"),"#N/A")</f>
        <v>#N/A</v>
      </c>
      <c r="H9838" s="4" t="str">
        <v/>
      </c>
      <c r="I9838" s="4" t="str">
        <v/>
      </c>
    </row>
    <row r="9839" spans="5:9" ht="16.5" hidden="1">
      <c r="E9839" s="4" t="str">
        <v/>
      </c>
      <c r="F9839" s="102" t="str">
        <f ca="1">IFERROR(__xludf.DUMMYFUNCTION("IMPORTRANGE(H9839,""IDENTITAS UNIT!D9"")"),"#N/A")</f>
        <v>#N/A</v>
      </c>
      <c r="H9839" s="4" t="str">
        <v/>
      </c>
      <c r="I9839" s="4" t="str">
        <v/>
      </c>
    </row>
    <row r="9840" spans="5:9" ht="16.5" hidden="1">
      <c r="E9840" s="4" t="str">
        <v/>
      </c>
      <c r="F9840" s="102" t="str">
        <f ca="1">IFERROR(__xludf.DUMMYFUNCTION("IMPORTRANGE(H9840,""IDENTITAS UNIT!D9"")"),"#N/A")</f>
        <v>#N/A</v>
      </c>
      <c r="H9840" s="4" t="str">
        <v/>
      </c>
      <c r="I9840" s="4" t="str">
        <v/>
      </c>
    </row>
    <row r="9841" spans="5:9" ht="16.5" hidden="1">
      <c r="E9841" s="4" t="str">
        <v/>
      </c>
      <c r="F9841" s="102" t="str">
        <f ca="1">IFERROR(__xludf.DUMMYFUNCTION("IMPORTRANGE(H9841,""IDENTITAS UNIT!D9"")"),"#N/A")</f>
        <v>#N/A</v>
      </c>
      <c r="H9841" s="4" t="str">
        <v/>
      </c>
      <c r="I9841" s="4" t="str">
        <v/>
      </c>
    </row>
    <row r="9842" spans="5:9" ht="16.5" hidden="1">
      <c r="E9842" s="4" t="str">
        <v/>
      </c>
      <c r="F9842" s="102" t="str">
        <f ca="1">IFERROR(__xludf.DUMMYFUNCTION("IMPORTRANGE(H9842,""IDENTITAS UNIT!D9"")"),"#N/A")</f>
        <v>#N/A</v>
      </c>
      <c r="H9842" s="4" t="str">
        <v/>
      </c>
      <c r="I9842" s="4" t="str">
        <v/>
      </c>
    </row>
    <row r="9843" spans="5:9" ht="16.5" hidden="1">
      <c r="E9843" s="4" t="str">
        <v/>
      </c>
      <c r="F9843" s="102" t="str">
        <f ca="1">IFERROR(__xludf.DUMMYFUNCTION("IMPORTRANGE(H9843,""IDENTITAS UNIT!D9"")"),"#N/A")</f>
        <v>#N/A</v>
      </c>
      <c r="H9843" s="4" t="str">
        <v/>
      </c>
      <c r="I9843" s="4" t="str">
        <v/>
      </c>
    </row>
    <row r="9844" spans="5:9" ht="16.5" hidden="1">
      <c r="E9844" s="4" t="str">
        <v/>
      </c>
      <c r="F9844" s="102" t="str">
        <f ca="1">IFERROR(__xludf.DUMMYFUNCTION("IMPORTRANGE(H9844,""IDENTITAS UNIT!D9"")"),"#N/A")</f>
        <v>#N/A</v>
      </c>
      <c r="H9844" s="4" t="str">
        <v/>
      </c>
      <c r="I9844" s="4" t="str">
        <v/>
      </c>
    </row>
    <row r="9845" spans="5:9" ht="16.5" hidden="1">
      <c r="E9845" s="4" t="str">
        <v/>
      </c>
      <c r="F9845" s="102" t="str">
        <f ca="1">IFERROR(__xludf.DUMMYFUNCTION("IMPORTRANGE(H9845,""IDENTITAS UNIT!D9"")"),"#N/A")</f>
        <v>#N/A</v>
      </c>
      <c r="H9845" s="4" t="str">
        <v/>
      </c>
      <c r="I9845" s="4" t="str">
        <v/>
      </c>
    </row>
    <row r="9846" spans="5:9" ht="16.5" hidden="1">
      <c r="E9846" s="4" t="str">
        <v/>
      </c>
      <c r="F9846" s="102" t="str">
        <f ca="1">IFERROR(__xludf.DUMMYFUNCTION("IMPORTRANGE(H9846,""IDENTITAS UNIT!D9"")"),"#N/A")</f>
        <v>#N/A</v>
      </c>
      <c r="H9846" s="4" t="str">
        <v/>
      </c>
      <c r="I9846" s="4" t="str">
        <v/>
      </c>
    </row>
    <row r="9847" spans="5:9" ht="16.5" hidden="1">
      <c r="E9847" s="4" t="str">
        <v/>
      </c>
      <c r="F9847" s="102" t="str">
        <f ca="1">IFERROR(__xludf.DUMMYFUNCTION("IMPORTRANGE(H9847,""IDENTITAS UNIT!D9"")"),"#N/A")</f>
        <v>#N/A</v>
      </c>
      <c r="H9847" s="4" t="str">
        <v/>
      </c>
      <c r="I9847" s="4" t="str">
        <v/>
      </c>
    </row>
    <row r="9848" spans="5:9" ht="16.5" hidden="1">
      <c r="E9848" s="4" t="str">
        <v/>
      </c>
      <c r="F9848" s="102" t="str">
        <f ca="1">IFERROR(__xludf.DUMMYFUNCTION("IMPORTRANGE(H9848,""IDENTITAS UNIT!D9"")"),"#N/A")</f>
        <v>#N/A</v>
      </c>
      <c r="H9848" s="4" t="str">
        <v/>
      </c>
      <c r="I9848" s="4" t="str">
        <v/>
      </c>
    </row>
    <row r="9849" spans="5:9" ht="16.5" hidden="1">
      <c r="E9849" s="4" t="str">
        <v/>
      </c>
      <c r="F9849" s="102" t="str">
        <f ca="1">IFERROR(__xludf.DUMMYFUNCTION("IMPORTRANGE(H9849,""IDENTITAS UNIT!D9"")"),"#N/A")</f>
        <v>#N/A</v>
      </c>
      <c r="H9849" s="4" t="str">
        <v/>
      </c>
      <c r="I9849" s="4" t="str">
        <v/>
      </c>
    </row>
    <row r="9850" spans="5:9" ht="16.5" hidden="1">
      <c r="E9850" s="4" t="str">
        <v/>
      </c>
      <c r="F9850" s="102" t="str">
        <f ca="1">IFERROR(__xludf.DUMMYFUNCTION("IMPORTRANGE(H9850,""IDENTITAS UNIT!D9"")"),"#N/A")</f>
        <v>#N/A</v>
      </c>
      <c r="H9850" s="4" t="str">
        <v/>
      </c>
      <c r="I9850" s="4" t="str">
        <v/>
      </c>
    </row>
    <row r="9851" spans="5:9" ht="16.5" hidden="1">
      <c r="E9851" s="4" t="str">
        <v/>
      </c>
      <c r="F9851" s="102" t="str">
        <f ca="1">IFERROR(__xludf.DUMMYFUNCTION("IMPORTRANGE(H9851,""IDENTITAS UNIT!D9"")"),"#N/A")</f>
        <v>#N/A</v>
      </c>
      <c r="H9851" s="4" t="str">
        <v/>
      </c>
      <c r="I9851" s="4" t="str">
        <v/>
      </c>
    </row>
    <row r="9852" spans="5:9" ht="16.5" hidden="1">
      <c r="E9852" s="4" t="str">
        <v/>
      </c>
      <c r="F9852" s="102" t="str">
        <f ca="1">IFERROR(__xludf.DUMMYFUNCTION("IMPORTRANGE(H9852,""IDENTITAS UNIT!D9"")"),"#N/A")</f>
        <v>#N/A</v>
      </c>
      <c r="H9852" s="4" t="str">
        <v/>
      </c>
      <c r="I9852" s="4" t="str">
        <v/>
      </c>
    </row>
    <row r="9853" spans="5:9" ht="16.5" hidden="1">
      <c r="E9853" s="4" t="str">
        <v/>
      </c>
      <c r="F9853" s="102" t="str">
        <f ca="1">IFERROR(__xludf.DUMMYFUNCTION("IMPORTRANGE(H9853,""IDENTITAS UNIT!D9"")"),"#N/A")</f>
        <v>#N/A</v>
      </c>
      <c r="H9853" s="4" t="str">
        <v/>
      </c>
      <c r="I9853" s="4" t="str">
        <v/>
      </c>
    </row>
    <row r="9854" spans="5:9" ht="16.5" hidden="1">
      <c r="E9854" s="4" t="str">
        <v/>
      </c>
      <c r="F9854" s="102" t="str">
        <f ca="1">IFERROR(__xludf.DUMMYFUNCTION("IMPORTRANGE(H9854,""IDENTITAS UNIT!D9"")"),"#N/A")</f>
        <v>#N/A</v>
      </c>
      <c r="H9854" s="4" t="str">
        <v/>
      </c>
      <c r="I9854" s="4" t="str">
        <v/>
      </c>
    </row>
    <row r="9855" spans="5:9" ht="16.5" hidden="1">
      <c r="E9855" s="4" t="str">
        <v/>
      </c>
      <c r="F9855" s="102" t="str">
        <f ca="1">IFERROR(__xludf.DUMMYFUNCTION("IMPORTRANGE(H9855,""IDENTITAS UNIT!D9"")"),"#N/A")</f>
        <v>#N/A</v>
      </c>
      <c r="H9855" s="4" t="str">
        <v/>
      </c>
      <c r="I9855" s="4" t="str">
        <v/>
      </c>
    </row>
    <row r="9856" spans="5:9" ht="16.5" hidden="1">
      <c r="E9856" s="4" t="str">
        <v/>
      </c>
      <c r="F9856" s="102" t="str">
        <f ca="1">IFERROR(__xludf.DUMMYFUNCTION("IMPORTRANGE(H9856,""IDENTITAS UNIT!D9"")"),"#N/A")</f>
        <v>#N/A</v>
      </c>
      <c r="H9856" s="4" t="str">
        <v/>
      </c>
      <c r="I9856" s="4" t="str">
        <v/>
      </c>
    </row>
    <row r="9857" spans="5:9" ht="16.5" hidden="1">
      <c r="E9857" s="4" t="str">
        <v/>
      </c>
      <c r="F9857" s="102" t="str">
        <f ca="1">IFERROR(__xludf.DUMMYFUNCTION("IMPORTRANGE(H9857,""IDENTITAS UNIT!D9"")"),"#N/A")</f>
        <v>#N/A</v>
      </c>
      <c r="H9857" s="4" t="str">
        <v/>
      </c>
      <c r="I9857" s="4" t="str">
        <v/>
      </c>
    </row>
    <row r="9858" spans="5:9" ht="16.5" hidden="1">
      <c r="E9858" s="4" t="str">
        <v/>
      </c>
      <c r="F9858" s="102" t="str">
        <f ca="1">IFERROR(__xludf.DUMMYFUNCTION("IMPORTRANGE(H9858,""IDENTITAS UNIT!D9"")"),"#N/A")</f>
        <v>#N/A</v>
      </c>
      <c r="H9858" s="4" t="str">
        <v/>
      </c>
      <c r="I9858" s="4" t="str">
        <v/>
      </c>
    </row>
    <row r="9859" spans="5:9" ht="16.5" hidden="1">
      <c r="E9859" s="4" t="str">
        <v/>
      </c>
      <c r="F9859" s="102" t="str">
        <f ca="1">IFERROR(__xludf.DUMMYFUNCTION("IMPORTRANGE(H9859,""IDENTITAS UNIT!D9"")"),"#N/A")</f>
        <v>#N/A</v>
      </c>
      <c r="H9859" s="4" t="str">
        <v/>
      </c>
      <c r="I9859" s="4" t="str">
        <v/>
      </c>
    </row>
    <row r="9860" spans="5:9" ht="16.5" hidden="1">
      <c r="E9860" s="4" t="str">
        <v/>
      </c>
      <c r="F9860" s="102" t="str">
        <f ca="1">IFERROR(__xludf.DUMMYFUNCTION("IMPORTRANGE(H9860,""IDENTITAS UNIT!D9"")"),"#N/A")</f>
        <v>#N/A</v>
      </c>
      <c r="H9860" s="4" t="str">
        <v/>
      </c>
      <c r="I9860" s="4" t="str">
        <v/>
      </c>
    </row>
    <row r="9861" spans="5:9" ht="16.5" hidden="1">
      <c r="E9861" s="4" t="str">
        <v/>
      </c>
      <c r="F9861" s="102" t="str">
        <f ca="1">IFERROR(__xludf.DUMMYFUNCTION("IMPORTRANGE(H9861,""IDENTITAS UNIT!D9"")"),"#N/A")</f>
        <v>#N/A</v>
      </c>
      <c r="H9861" s="4" t="str">
        <v/>
      </c>
      <c r="I9861" s="4" t="str">
        <v/>
      </c>
    </row>
    <row r="9862" spans="5:9" ht="16.5" hidden="1">
      <c r="E9862" s="4" t="str">
        <v/>
      </c>
      <c r="F9862" s="102" t="str">
        <f ca="1">IFERROR(__xludf.DUMMYFUNCTION("IMPORTRANGE(H9862,""IDENTITAS UNIT!D9"")"),"#N/A")</f>
        <v>#N/A</v>
      </c>
      <c r="H9862" s="4" t="str">
        <v/>
      </c>
      <c r="I9862" s="4" t="str">
        <v/>
      </c>
    </row>
    <row r="9863" spans="5:9" ht="16.5" hidden="1">
      <c r="E9863" s="4" t="str">
        <v/>
      </c>
      <c r="F9863" s="102" t="str">
        <f ca="1">IFERROR(__xludf.DUMMYFUNCTION("IMPORTRANGE(H9863,""IDENTITAS UNIT!D9"")"),"#N/A")</f>
        <v>#N/A</v>
      </c>
      <c r="H9863" s="4" t="str">
        <v/>
      </c>
      <c r="I9863" s="4" t="str">
        <v/>
      </c>
    </row>
    <row r="9864" spans="5:9" ht="16.5" hidden="1">
      <c r="E9864" s="4" t="str">
        <v/>
      </c>
      <c r="F9864" s="102" t="str">
        <f ca="1">IFERROR(__xludf.DUMMYFUNCTION("IMPORTRANGE(H9864,""IDENTITAS UNIT!D9"")"),"#N/A")</f>
        <v>#N/A</v>
      </c>
      <c r="H9864" s="4" t="str">
        <v/>
      </c>
      <c r="I9864" s="4" t="str">
        <v/>
      </c>
    </row>
    <row r="9865" spans="5:9" ht="16.5" hidden="1">
      <c r="E9865" s="4" t="str">
        <v/>
      </c>
      <c r="F9865" s="102" t="str">
        <f ca="1">IFERROR(__xludf.DUMMYFUNCTION("IMPORTRANGE(H9865,""IDENTITAS UNIT!D9"")"),"#N/A")</f>
        <v>#N/A</v>
      </c>
      <c r="H9865" s="4" t="str">
        <v/>
      </c>
      <c r="I9865" s="4" t="str">
        <v/>
      </c>
    </row>
    <row r="9866" spans="5:9" ht="16.5" hidden="1">
      <c r="E9866" s="4" t="str">
        <v/>
      </c>
      <c r="F9866" s="102" t="str">
        <f ca="1">IFERROR(__xludf.DUMMYFUNCTION("IMPORTRANGE(H9866,""IDENTITAS UNIT!D9"")"),"#N/A")</f>
        <v>#N/A</v>
      </c>
      <c r="H9866" s="4" t="str">
        <v/>
      </c>
      <c r="I9866" s="4" t="str">
        <v/>
      </c>
    </row>
    <row r="9867" spans="5:9" ht="16.5" hidden="1">
      <c r="E9867" s="4" t="str">
        <v/>
      </c>
      <c r="F9867" s="102" t="str">
        <f ca="1">IFERROR(__xludf.DUMMYFUNCTION("IMPORTRANGE(H9867,""IDENTITAS UNIT!D9"")"),"#N/A")</f>
        <v>#N/A</v>
      </c>
      <c r="H9867" s="4" t="str">
        <v/>
      </c>
      <c r="I9867" s="4" t="str">
        <v/>
      </c>
    </row>
    <row r="9868" spans="5:9" ht="16.5" hidden="1">
      <c r="E9868" s="4" t="str">
        <v/>
      </c>
      <c r="F9868" s="102" t="str">
        <f ca="1">IFERROR(__xludf.DUMMYFUNCTION("IMPORTRANGE(H9868,""IDENTITAS UNIT!D9"")"),"#N/A")</f>
        <v>#N/A</v>
      </c>
      <c r="H9868" s="4" t="str">
        <v/>
      </c>
      <c r="I9868" s="4" t="str">
        <v/>
      </c>
    </row>
    <row r="9869" spans="5:9" ht="16.5" hidden="1">
      <c r="E9869" s="4" t="str">
        <v/>
      </c>
      <c r="F9869" s="102" t="str">
        <f ca="1">IFERROR(__xludf.DUMMYFUNCTION("IMPORTRANGE(H9869,""IDENTITAS UNIT!D9"")"),"#N/A")</f>
        <v>#N/A</v>
      </c>
      <c r="H9869" s="4" t="str">
        <v/>
      </c>
      <c r="I9869" s="4" t="str">
        <v/>
      </c>
    </row>
    <row r="9870" spans="5:9" ht="16.5" hidden="1">
      <c r="E9870" s="4" t="str">
        <v/>
      </c>
      <c r="F9870" s="102" t="str">
        <f ca="1">IFERROR(__xludf.DUMMYFUNCTION("IMPORTRANGE(H9870,""IDENTITAS UNIT!D9"")"),"#N/A")</f>
        <v>#N/A</v>
      </c>
      <c r="H9870" s="4" t="str">
        <v/>
      </c>
      <c r="I9870" s="4" t="str">
        <v/>
      </c>
    </row>
    <row r="9871" spans="5:9" ht="16.5" hidden="1">
      <c r="E9871" s="4" t="str">
        <v/>
      </c>
      <c r="F9871" s="102" t="str">
        <f ca="1">IFERROR(__xludf.DUMMYFUNCTION("IMPORTRANGE(H9871,""IDENTITAS UNIT!D9"")"),"#N/A")</f>
        <v>#N/A</v>
      </c>
      <c r="H9871" s="4" t="str">
        <v/>
      </c>
      <c r="I9871" s="4" t="str">
        <v/>
      </c>
    </row>
    <row r="9872" spans="5:9" ht="16.5" hidden="1">
      <c r="E9872" s="4" t="str">
        <v/>
      </c>
      <c r="F9872" s="102" t="str">
        <f ca="1">IFERROR(__xludf.DUMMYFUNCTION("IMPORTRANGE(H9872,""IDENTITAS UNIT!D9"")"),"#N/A")</f>
        <v>#N/A</v>
      </c>
      <c r="H9872" s="4" t="str">
        <v/>
      </c>
      <c r="I9872" s="4" t="str">
        <v/>
      </c>
    </row>
    <row r="9873" spans="5:9" ht="16.5" hidden="1">
      <c r="E9873" s="4" t="str">
        <v/>
      </c>
      <c r="F9873" s="102" t="str">
        <f ca="1">IFERROR(__xludf.DUMMYFUNCTION("IMPORTRANGE(H9873,""IDENTITAS UNIT!D9"")"),"#N/A")</f>
        <v>#N/A</v>
      </c>
      <c r="H9873" s="4" t="str">
        <v/>
      </c>
      <c r="I9873" s="4" t="str">
        <v/>
      </c>
    </row>
    <row r="9874" spans="5:9" ht="16.5" hidden="1">
      <c r="E9874" s="4" t="str">
        <v/>
      </c>
      <c r="F9874" s="102" t="str">
        <f ca="1">IFERROR(__xludf.DUMMYFUNCTION("IMPORTRANGE(H9874,""IDENTITAS UNIT!D9"")"),"#N/A")</f>
        <v>#N/A</v>
      </c>
      <c r="H9874" s="4" t="str">
        <v/>
      </c>
      <c r="I9874" s="4" t="str">
        <v/>
      </c>
    </row>
    <row r="9875" spans="5:9" ht="16.5" hidden="1">
      <c r="E9875" s="4" t="str">
        <v/>
      </c>
      <c r="F9875" s="102" t="str">
        <f ca="1">IFERROR(__xludf.DUMMYFUNCTION("IMPORTRANGE(H9875,""IDENTITAS UNIT!D9"")"),"#N/A")</f>
        <v>#N/A</v>
      </c>
      <c r="H9875" s="4" t="str">
        <v/>
      </c>
      <c r="I9875" s="4" t="str">
        <v/>
      </c>
    </row>
    <row r="9876" spans="5:9" ht="16.5" hidden="1">
      <c r="E9876" s="4" t="str">
        <v/>
      </c>
      <c r="F9876" s="102" t="str">
        <f ca="1">IFERROR(__xludf.DUMMYFUNCTION("IMPORTRANGE(H9876,""IDENTITAS UNIT!D9"")"),"#N/A")</f>
        <v>#N/A</v>
      </c>
      <c r="H9876" s="4" t="str">
        <v/>
      </c>
      <c r="I9876" s="4" t="str">
        <v/>
      </c>
    </row>
    <row r="9877" spans="5:9" ht="16.5" hidden="1">
      <c r="E9877" s="4" t="str">
        <v/>
      </c>
      <c r="F9877" s="102" t="str">
        <f ca="1">IFERROR(__xludf.DUMMYFUNCTION("IMPORTRANGE(H9877,""IDENTITAS UNIT!D9"")"),"#N/A")</f>
        <v>#N/A</v>
      </c>
      <c r="H9877" s="4" t="str">
        <v/>
      </c>
      <c r="I9877" s="4" t="str">
        <v/>
      </c>
    </row>
    <row r="9878" spans="5:9" ht="16.5" hidden="1">
      <c r="E9878" s="4" t="str">
        <v/>
      </c>
      <c r="F9878" s="102" t="str">
        <f ca="1">IFERROR(__xludf.DUMMYFUNCTION("IMPORTRANGE(H9878,""IDENTITAS UNIT!D9"")"),"#N/A")</f>
        <v>#N/A</v>
      </c>
      <c r="H9878" s="4" t="str">
        <v/>
      </c>
      <c r="I9878" s="4" t="str">
        <v/>
      </c>
    </row>
    <row r="9879" spans="5:9" ht="16.5" hidden="1">
      <c r="E9879" s="4" t="str">
        <v/>
      </c>
      <c r="F9879" s="102" t="str">
        <f ca="1">IFERROR(__xludf.DUMMYFUNCTION("IMPORTRANGE(H9879,""IDENTITAS UNIT!D9"")"),"#N/A")</f>
        <v>#N/A</v>
      </c>
      <c r="H9879" s="4" t="str">
        <v/>
      </c>
      <c r="I9879" s="4" t="str">
        <v/>
      </c>
    </row>
    <row r="9880" spans="5:9" ht="16.5" hidden="1">
      <c r="E9880" s="4" t="str">
        <v/>
      </c>
      <c r="F9880" s="102" t="str">
        <f ca="1">IFERROR(__xludf.DUMMYFUNCTION("IMPORTRANGE(H9880,""IDENTITAS UNIT!D9"")"),"#N/A")</f>
        <v>#N/A</v>
      </c>
      <c r="H9880" s="4" t="str">
        <v/>
      </c>
      <c r="I9880" s="4" t="str">
        <v/>
      </c>
    </row>
    <row r="9881" spans="5:9" ht="16.5" hidden="1">
      <c r="E9881" s="4" t="str">
        <v/>
      </c>
      <c r="F9881" s="102" t="str">
        <f ca="1">IFERROR(__xludf.DUMMYFUNCTION("IMPORTRANGE(H9881,""IDENTITAS UNIT!D9"")"),"#N/A")</f>
        <v>#N/A</v>
      </c>
      <c r="H9881" s="4" t="str">
        <v/>
      </c>
      <c r="I9881" s="4" t="str">
        <v/>
      </c>
    </row>
    <row r="9882" spans="5:9" ht="16.5" hidden="1">
      <c r="E9882" s="4" t="str">
        <v/>
      </c>
      <c r="F9882" s="102" t="str">
        <f ca="1">IFERROR(__xludf.DUMMYFUNCTION("IMPORTRANGE(H9882,""IDENTITAS UNIT!D9"")"),"#N/A")</f>
        <v>#N/A</v>
      </c>
      <c r="H9882" s="4" t="str">
        <v/>
      </c>
      <c r="I9882" s="4" t="str">
        <v/>
      </c>
    </row>
    <row r="9883" spans="5:9" ht="16.5" hidden="1">
      <c r="E9883" s="4" t="str">
        <v/>
      </c>
      <c r="F9883" s="102" t="str">
        <f ca="1">IFERROR(__xludf.DUMMYFUNCTION("IMPORTRANGE(H9883,""IDENTITAS UNIT!D9"")"),"#N/A")</f>
        <v>#N/A</v>
      </c>
      <c r="H9883" s="4" t="str">
        <v/>
      </c>
      <c r="I9883" s="4" t="str">
        <v/>
      </c>
    </row>
    <row r="9884" spans="5:9" ht="16.5" hidden="1">
      <c r="E9884" s="4" t="str">
        <v/>
      </c>
      <c r="F9884" s="102" t="str">
        <f ca="1">IFERROR(__xludf.DUMMYFUNCTION("IMPORTRANGE(H9884,""IDENTITAS UNIT!D9"")"),"#N/A")</f>
        <v>#N/A</v>
      </c>
      <c r="H9884" s="4" t="str">
        <v/>
      </c>
      <c r="I9884" s="4" t="str">
        <v/>
      </c>
    </row>
    <row r="9885" spans="5:9" ht="16.5" hidden="1">
      <c r="E9885" s="4" t="str">
        <v/>
      </c>
      <c r="F9885" s="102" t="str">
        <f ca="1">IFERROR(__xludf.DUMMYFUNCTION("IMPORTRANGE(H9885,""IDENTITAS UNIT!D9"")"),"#N/A")</f>
        <v>#N/A</v>
      </c>
      <c r="H9885" s="4" t="str">
        <v/>
      </c>
      <c r="I9885" s="4" t="str">
        <v/>
      </c>
    </row>
    <row r="9886" spans="5:9" ht="16.5" hidden="1">
      <c r="E9886" s="4" t="str">
        <v/>
      </c>
      <c r="F9886" s="102" t="str">
        <f ca="1">IFERROR(__xludf.DUMMYFUNCTION("IMPORTRANGE(H9886,""IDENTITAS UNIT!D9"")"),"#N/A")</f>
        <v>#N/A</v>
      </c>
      <c r="H9886" s="4" t="str">
        <v/>
      </c>
      <c r="I9886" s="4" t="str">
        <v/>
      </c>
    </row>
    <row r="9887" spans="5:9" ht="16.5" hidden="1">
      <c r="E9887" s="4" t="str">
        <v/>
      </c>
      <c r="F9887" s="102" t="str">
        <f ca="1">IFERROR(__xludf.DUMMYFUNCTION("IMPORTRANGE(H9887,""IDENTITAS UNIT!D9"")"),"#N/A")</f>
        <v>#N/A</v>
      </c>
      <c r="H9887" s="4" t="str">
        <v/>
      </c>
      <c r="I9887" s="4" t="str">
        <v/>
      </c>
    </row>
    <row r="9888" spans="5:9" ht="16.5" hidden="1">
      <c r="E9888" s="4" t="str">
        <v/>
      </c>
      <c r="F9888" s="102" t="str">
        <f ca="1">IFERROR(__xludf.DUMMYFUNCTION("IMPORTRANGE(H9888,""IDENTITAS UNIT!D9"")"),"#N/A")</f>
        <v>#N/A</v>
      </c>
      <c r="H9888" s="4" t="str">
        <v/>
      </c>
      <c r="I9888" s="4" t="str">
        <v/>
      </c>
    </row>
    <row r="9889" spans="5:9" ht="16.5" hidden="1">
      <c r="E9889" s="4" t="str">
        <v/>
      </c>
      <c r="F9889" s="102" t="str">
        <f ca="1">IFERROR(__xludf.DUMMYFUNCTION("IMPORTRANGE(H9889,""IDENTITAS UNIT!D9"")"),"#N/A")</f>
        <v>#N/A</v>
      </c>
      <c r="H9889" s="4" t="str">
        <v/>
      </c>
      <c r="I9889" s="4" t="str">
        <v/>
      </c>
    </row>
    <row r="9890" spans="5:9" ht="16.5" hidden="1">
      <c r="E9890" s="4" t="str">
        <v/>
      </c>
      <c r="F9890" s="102" t="str">
        <f ca="1">IFERROR(__xludf.DUMMYFUNCTION("IMPORTRANGE(H9890,""IDENTITAS UNIT!D9"")"),"#N/A")</f>
        <v>#N/A</v>
      </c>
      <c r="H9890" s="4" t="str">
        <v/>
      </c>
      <c r="I9890" s="4" t="str">
        <v/>
      </c>
    </row>
    <row r="9891" spans="5:9" ht="16.5" hidden="1">
      <c r="E9891" s="4" t="str">
        <v/>
      </c>
      <c r="F9891" s="102" t="str">
        <f ca="1">IFERROR(__xludf.DUMMYFUNCTION("IMPORTRANGE(H9891,""IDENTITAS UNIT!D9"")"),"#N/A")</f>
        <v>#N/A</v>
      </c>
      <c r="H9891" s="4" t="str">
        <v/>
      </c>
      <c r="I9891" s="4" t="str">
        <v/>
      </c>
    </row>
    <row r="9892" spans="5:9" ht="16.5" hidden="1">
      <c r="E9892" s="4" t="str">
        <v/>
      </c>
      <c r="F9892" s="102" t="str">
        <f ca="1">IFERROR(__xludf.DUMMYFUNCTION("IMPORTRANGE(H9892,""IDENTITAS UNIT!D9"")"),"#N/A")</f>
        <v>#N/A</v>
      </c>
      <c r="H9892" s="4" t="str">
        <v/>
      </c>
      <c r="I9892" s="4" t="str">
        <v/>
      </c>
    </row>
    <row r="9893" spans="5:9" ht="16.5" hidden="1">
      <c r="E9893" s="4" t="str">
        <v/>
      </c>
      <c r="F9893" s="102" t="str">
        <f ca="1">IFERROR(__xludf.DUMMYFUNCTION("IMPORTRANGE(H9893,""IDENTITAS UNIT!D9"")"),"#N/A")</f>
        <v>#N/A</v>
      </c>
      <c r="H9893" s="4" t="str">
        <v/>
      </c>
      <c r="I9893" s="4" t="str">
        <v/>
      </c>
    </row>
    <row r="9894" spans="5:9" ht="16.5" hidden="1">
      <c r="E9894" s="4" t="str">
        <v/>
      </c>
      <c r="F9894" s="102" t="str">
        <f ca="1">IFERROR(__xludf.DUMMYFUNCTION("IMPORTRANGE(H9894,""IDENTITAS UNIT!D9"")"),"#N/A")</f>
        <v>#N/A</v>
      </c>
      <c r="H9894" s="4" t="str">
        <v/>
      </c>
      <c r="I9894" s="4" t="str">
        <v/>
      </c>
    </row>
    <row r="9895" spans="5:9" ht="16.5" hidden="1">
      <c r="E9895" s="4" t="str">
        <v/>
      </c>
      <c r="F9895" s="102" t="str">
        <f ca="1">IFERROR(__xludf.DUMMYFUNCTION("IMPORTRANGE(H9895,""IDENTITAS UNIT!D9"")"),"#N/A")</f>
        <v>#N/A</v>
      </c>
      <c r="H9895" s="4" t="str">
        <v/>
      </c>
      <c r="I9895" s="4" t="str">
        <v/>
      </c>
    </row>
    <row r="9896" spans="5:9" ht="16.5" hidden="1">
      <c r="E9896" s="4" t="str">
        <v/>
      </c>
      <c r="F9896" s="102" t="str">
        <f ca="1">IFERROR(__xludf.DUMMYFUNCTION("IMPORTRANGE(H9896,""IDENTITAS UNIT!D9"")"),"#N/A")</f>
        <v>#N/A</v>
      </c>
      <c r="H9896" s="4" t="str">
        <v/>
      </c>
      <c r="I9896" s="4" t="str">
        <v/>
      </c>
    </row>
    <row r="9897" spans="5:9" ht="16.5" hidden="1">
      <c r="E9897" s="4" t="str">
        <v/>
      </c>
      <c r="F9897" s="102" t="str">
        <f ca="1">IFERROR(__xludf.DUMMYFUNCTION("IMPORTRANGE(H9897,""IDENTITAS UNIT!D9"")"),"#N/A")</f>
        <v>#N/A</v>
      </c>
      <c r="H9897" s="4" t="str">
        <v/>
      </c>
      <c r="I9897" s="4" t="str">
        <v/>
      </c>
    </row>
    <row r="9898" spans="5:9" ht="16.5" hidden="1">
      <c r="E9898" s="4" t="str">
        <v/>
      </c>
      <c r="F9898" s="102" t="str">
        <f ca="1">IFERROR(__xludf.DUMMYFUNCTION("IMPORTRANGE(H9898,""IDENTITAS UNIT!D9"")"),"#N/A")</f>
        <v>#N/A</v>
      </c>
      <c r="H9898" s="4" t="str">
        <v/>
      </c>
      <c r="I9898" s="4" t="str">
        <v/>
      </c>
    </row>
    <row r="9899" spans="5:9" ht="16.5" hidden="1">
      <c r="E9899" s="4" t="str">
        <v/>
      </c>
      <c r="F9899" s="102" t="str">
        <f ca="1">IFERROR(__xludf.DUMMYFUNCTION("IMPORTRANGE(H9899,""IDENTITAS UNIT!D9"")"),"#N/A")</f>
        <v>#N/A</v>
      </c>
      <c r="H9899" s="4" t="str">
        <v/>
      </c>
      <c r="I9899" s="4" t="str">
        <v/>
      </c>
    </row>
    <row r="9900" spans="5:9" ht="16.5" hidden="1">
      <c r="E9900" s="4" t="str">
        <v/>
      </c>
      <c r="F9900" s="102" t="str">
        <f ca="1">IFERROR(__xludf.DUMMYFUNCTION("IMPORTRANGE(H9900,""IDENTITAS UNIT!D9"")"),"#N/A")</f>
        <v>#N/A</v>
      </c>
      <c r="H9900" s="4" t="str">
        <v/>
      </c>
      <c r="I9900" s="4" t="str">
        <v/>
      </c>
    </row>
    <row r="9901" spans="5:9" ht="16.5" hidden="1">
      <c r="E9901" s="4" t="str">
        <v/>
      </c>
      <c r="F9901" s="102" t="str">
        <f ca="1">IFERROR(__xludf.DUMMYFUNCTION("IMPORTRANGE(H9901,""IDENTITAS UNIT!D9"")"),"#N/A")</f>
        <v>#N/A</v>
      </c>
      <c r="H9901" s="4" t="str">
        <v/>
      </c>
      <c r="I9901" s="4" t="str">
        <v/>
      </c>
    </row>
    <row r="9902" spans="5:9" ht="16.5" hidden="1">
      <c r="E9902" s="4" t="str">
        <v/>
      </c>
      <c r="F9902" s="102" t="str">
        <f ca="1">IFERROR(__xludf.DUMMYFUNCTION("IMPORTRANGE(H9902,""IDENTITAS UNIT!D9"")"),"#N/A")</f>
        <v>#N/A</v>
      </c>
      <c r="H9902" s="4" t="str">
        <v/>
      </c>
      <c r="I9902" s="4" t="str">
        <v/>
      </c>
    </row>
    <row r="9903" spans="5:9" ht="16.5" hidden="1">
      <c r="E9903" s="4" t="str">
        <v/>
      </c>
      <c r="F9903" s="102" t="str">
        <f ca="1">IFERROR(__xludf.DUMMYFUNCTION("IMPORTRANGE(H9903,""IDENTITAS UNIT!D9"")"),"#N/A")</f>
        <v>#N/A</v>
      </c>
      <c r="H9903" s="4" t="str">
        <v/>
      </c>
      <c r="I9903" s="4" t="str">
        <v/>
      </c>
    </row>
    <row r="9904" spans="5:9" ht="16.5" hidden="1">
      <c r="E9904" s="4" t="str">
        <v/>
      </c>
      <c r="F9904" s="102" t="str">
        <f ca="1">IFERROR(__xludf.DUMMYFUNCTION("IMPORTRANGE(H9904,""IDENTITAS UNIT!D9"")"),"#N/A")</f>
        <v>#N/A</v>
      </c>
      <c r="H9904" s="4" t="str">
        <v/>
      </c>
      <c r="I9904" s="4" t="str">
        <v/>
      </c>
    </row>
    <row r="9905" spans="5:9" ht="16.5" hidden="1">
      <c r="E9905" s="4" t="str">
        <v/>
      </c>
      <c r="F9905" s="102" t="str">
        <f ca="1">IFERROR(__xludf.DUMMYFUNCTION("IMPORTRANGE(H9905,""IDENTITAS UNIT!D9"")"),"#N/A")</f>
        <v>#N/A</v>
      </c>
      <c r="H9905" s="4" t="str">
        <v/>
      </c>
      <c r="I9905" s="4" t="str">
        <v/>
      </c>
    </row>
    <row r="9906" spans="5:9" ht="16.5" hidden="1">
      <c r="E9906" s="4" t="str">
        <v/>
      </c>
      <c r="F9906" s="102" t="str">
        <f ca="1">IFERROR(__xludf.DUMMYFUNCTION("IMPORTRANGE(H9906,""IDENTITAS UNIT!D9"")"),"#N/A")</f>
        <v>#N/A</v>
      </c>
      <c r="H9906" s="4" t="str">
        <v/>
      </c>
      <c r="I9906" s="4" t="str">
        <v/>
      </c>
    </row>
    <row r="9907" spans="5:9" ht="16.5" hidden="1">
      <c r="E9907" s="4" t="str">
        <v/>
      </c>
      <c r="F9907" s="102" t="str">
        <f ca="1">IFERROR(__xludf.DUMMYFUNCTION("IMPORTRANGE(H9907,""IDENTITAS UNIT!D9"")"),"#N/A")</f>
        <v>#N/A</v>
      </c>
      <c r="H9907" s="4" t="str">
        <v/>
      </c>
      <c r="I9907" s="4" t="str">
        <v/>
      </c>
    </row>
    <row r="9908" spans="5:9" ht="16.5" hidden="1">
      <c r="E9908" s="4" t="str">
        <v/>
      </c>
      <c r="F9908" s="102" t="str">
        <f ca="1">IFERROR(__xludf.DUMMYFUNCTION("IMPORTRANGE(H9908,""IDENTITAS UNIT!D9"")"),"#N/A")</f>
        <v>#N/A</v>
      </c>
      <c r="H9908" s="4" t="str">
        <v/>
      </c>
      <c r="I9908" s="4" t="str">
        <v/>
      </c>
    </row>
    <row r="9909" spans="5:9" ht="16.5" hidden="1">
      <c r="E9909" s="4" t="str">
        <v/>
      </c>
      <c r="F9909" s="102" t="str">
        <f ca="1">IFERROR(__xludf.DUMMYFUNCTION("IMPORTRANGE(H9909,""IDENTITAS UNIT!D9"")"),"#N/A")</f>
        <v>#N/A</v>
      </c>
      <c r="H9909" s="4" t="str">
        <v/>
      </c>
      <c r="I9909" s="4" t="str">
        <v/>
      </c>
    </row>
    <row r="9910" spans="5:9" ht="16.5" hidden="1">
      <c r="E9910" s="4" t="str">
        <v/>
      </c>
      <c r="F9910" s="102" t="str">
        <f ca="1">IFERROR(__xludf.DUMMYFUNCTION("IMPORTRANGE(H9910,""IDENTITAS UNIT!D9"")"),"#N/A")</f>
        <v>#N/A</v>
      </c>
      <c r="H9910" s="4" t="str">
        <v/>
      </c>
      <c r="I9910" s="4" t="str">
        <v/>
      </c>
    </row>
    <row r="9911" spans="5:9" ht="16.5" hidden="1">
      <c r="E9911" s="4" t="str">
        <v/>
      </c>
      <c r="F9911" s="102" t="str">
        <f ca="1">IFERROR(__xludf.DUMMYFUNCTION("IMPORTRANGE(H9911,""IDENTITAS UNIT!D9"")"),"#N/A")</f>
        <v>#N/A</v>
      </c>
      <c r="H9911" s="4" t="str">
        <v/>
      </c>
      <c r="I9911" s="4" t="str">
        <v/>
      </c>
    </row>
    <row r="9912" spans="5:9" ht="16.5" hidden="1">
      <c r="E9912" s="4" t="str">
        <v/>
      </c>
      <c r="F9912" s="102" t="str">
        <f ca="1">IFERROR(__xludf.DUMMYFUNCTION("IMPORTRANGE(H9912,""IDENTITAS UNIT!D9"")"),"#N/A")</f>
        <v>#N/A</v>
      </c>
      <c r="H9912" s="4" t="str">
        <v/>
      </c>
      <c r="I9912" s="4" t="str">
        <v/>
      </c>
    </row>
    <row r="9913" spans="5:9" ht="16.5" hidden="1">
      <c r="E9913" s="4" t="str">
        <v/>
      </c>
      <c r="F9913" s="102" t="str">
        <f ca="1">IFERROR(__xludf.DUMMYFUNCTION("IMPORTRANGE(H9913,""IDENTITAS UNIT!D9"")"),"#N/A")</f>
        <v>#N/A</v>
      </c>
      <c r="H9913" s="4" t="str">
        <v/>
      </c>
      <c r="I9913" s="4" t="str">
        <v/>
      </c>
    </row>
    <row r="9914" spans="5:9" ht="16.5" hidden="1">
      <c r="E9914" s="4" t="str">
        <v/>
      </c>
      <c r="F9914" s="102" t="str">
        <f ca="1">IFERROR(__xludf.DUMMYFUNCTION("IMPORTRANGE(H9914,""IDENTITAS UNIT!D9"")"),"#N/A")</f>
        <v>#N/A</v>
      </c>
      <c r="H9914" s="4" t="str">
        <v/>
      </c>
      <c r="I9914" s="4" t="str">
        <v/>
      </c>
    </row>
    <row r="9915" spans="5:9" ht="16.5" hidden="1">
      <c r="E9915" s="4" t="str">
        <v/>
      </c>
      <c r="F9915" s="102" t="str">
        <f ca="1">IFERROR(__xludf.DUMMYFUNCTION("IMPORTRANGE(H9915,""IDENTITAS UNIT!D9"")"),"#N/A")</f>
        <v>#N/A</v>
      </c>
      <c r="H9915" s="4" t="str">
        <v/>
      </c>
      <c r="I9915" s="4" t="str">
        <v/>
      </c>
    </row>
    <row r="9916" spans="5:9" ht="16.5" hidden="1">
      <c r="E9916" s="4" t="str">
        <v/>
      </c>
      <c r="F9916" s="102" t="str">
        <f ca="1">IFERROR(__xludf.DUMMYFUNCTION("IMPORTRANGE(H9916,""IDENTITAS UNIT!D9"")"),"#N/A")</f>
        <v>#N/A</v>
      </c>
      <c r="H9916" s="4" t="str">
        <v/>
      </c>
      <c r="I9916" s="4" t="str">
        <v/>
      </c>
    </row>
    <row r="9917" spans="5:9" ht="16.5" hidden="1">
      <c r="E9917" s="4" t="str">
        <v/>
      </c>
      <c r="F9917" s="102" t="str">
        <f ca="1">IFERROR(__xludf.DUMMYFUNCTION("IMPORTRANGE(H9917,""IDENTITAS UNIT!D9"")"),"#N/A")</f>
        <v>#N/A</v>
      </c>
      <c r="H9917" s="4" t="str">
        <v/>
      </c>
      <c r="I9917" s="4" t="str">
        <v/>
      </c>
    </row>
    <row r="9918" spans="5:9" ht="16.5" hidden="1">
      <c r="E9918" s="4" t="str">
        <v/>
      </c>
      <c r="F9918" s="102" t="str">
        <f ca="1">IFERROR(__xludf.DUMMYFUNCTION("IMPORTRANGE(H9918,""IDENTITAS UNIT!D9"")"),"#N/A")</f>
        <v>#N/A</v>
      </c>
      <c r="H9918" s="4" t="str">
        <v/>
      </c>
      <c r="I9918" s="4" t="str">
        <v/>
      </c>
    </row>
    <row r="9919" spans="5:9" ht="16.5" hidden="1">
      <c r="E9919" s="4" t="str">
        <v/>
      </c>
      <c r="F9919" s="102" t="str">
        <f ca="1">IFERROR(__xludf.DUMMYFUNCTION("IMPORTRANGE(H9919,""IDENTITAS UNIT!D9"")"),"#N/A")</f>
        <v>#N/A</v>
      </c>
      <c r="H9919" s="4" t="str">
        <v/>
      </c>
      <c r="I9919" s="4" t="str">
        <v/>
      </c>
    </row>
    <row r="9920" spans="5:9" ht="16.5" hidden="1">
      <c r="E9920" s="4" t="str">
        <v/>
      </c>
      <c r="F9920" s="102" t="str">
        <f ca="1">IFERROR(__xludf.DUMMYFUNCTION("IMPORTRANGE(H9920,""IDENTITAS UNIT!D9"")"),"#N/A")</f>
        <v>#N/A</v>
      </c>
      <c r="H9920" s="4" t="str">
        <v/>
      </c>
      <c r="I9920" s="4" t="str">
        <v/>
      </c>
    </row>
    <row r="9921" spans="5:9" ht="16.5" hidden="1">
      <c r="E9921" s="4" t="str">
        <v/>
      </c>
      <c r="F9921" s="102" t="str">
        <f ca="1">IFERROR(__xludf.DUMMYFUNCTION("IMPORTRANGE(H9921,""IDENTITAS UNIT!D9"")"),"#N/A")</f>
        <v>#N/A</v>
      </c>
      <c r="H9921" s="4" t="str">
        <v/>
      </c>
      <c r="I9921" s="4" t="str">
        <v/>
      </c>
    </row>
    <row r="9922" spans="5:9" ht="16.5" hidden="1">
      <c r="E9922" s="4" t="str">
        <v/>
      </c>
      <c r="F9922" s="102" t="str">
        <f ca="1">IFERROR(__xludf.DUMMYFUNCTION("IMPORTRANGE(H9922,""IDENTITAS UNIT!D9"")"),"#N/A")</f>
        <v>#N/A</v>
      </c>
      <c r="H9922" s="4" t="str">
        <v/>
      </c>
      <c r="I9922" s="4" t="str">
        <v/>
      </c>
    </row>
    <row r="9923" spans="5:9" ht="16.5" hidden="1">
      <c r="E9923" s="4" t="str">
        <v/>
      </c>
      <c r="F9923" s="102" t="str">
        <f ca="1">IFERROR(__xludf.DUMMYFUNCTION("IMPORTRANGE(H9923,""IDENTITAS UNIT!D9"")"),"#N/A")</f>
        <v>#N/A</v>
      </c>
      <c r="H9923" s="4" t="str">
        <v/>
      </c>
      <c r="I9923" s="4" t="str">
        <v/>
      </c>
    </row>
    <row r="9924" spans="5:9" ht="16.5" hidden="1">
      <c r="E9924" s="4" t="str">
        <v/>
      </c>
      <c r="F9924" s="102" t="str">
        <f ca="1">IFERROR(__xludf.DUMMYFUNCTION("IMPORTRANGE(H9924,""IDENTITAS UNIT!D9"")"),"#N/A")</f>
        <v>#N/A</v>
      </c>
      <c r="H9924" s="4" t="str">
        <v/>
      </c>
      <c r="I9924" s="4" t="str">
        <v/>
      </c>
    </row>
    <row r="9925" spans="5:9" ht="16.5" hidden="1">
      <c r="E9925" s="4" t="str">
        <v/>
      </c>
      <c r="F9925" s="102" t="str">
        <f ca="1">IFERROR(__xludf.DUMMYFUNCTION("IMPORTRANGE(H9925,""IDENTITAS UNIT!D9"")"),"#N/A")</f>
        <v>#N/A</v>
      </c>
      <c r="H9925" s="4" t="str">
        <v/>
      </c>
      <c r="I9925" s="4" t="str">
        <v/>
      </c>
    </row>
    <row r="9926" spans="5:9" ht="16.5" hidden="1">
      <c r="E9926" s="4" t="str">
        <v/>
      </c>
      <c r="F9926" s="102" t="str">
        <f ca="1">IFERROR(__xludf.DUMMYFUNCTION("IMPORTRANGE(H9926,""IDENTITAS UNIT!D9"")"),"#N/A")</f>
        <v>#N/A</v>
      </c>
      <c r="H9926" s="4" t="str">
        <v/>
      </c>
      <c r="I9926" s="4" t="str">
        <v/>
      </c>
    </row>
    <row r="9927" spans="5:9" ht="16.5" hidden="1">
      <c r="E9927" s="4" t="str">
        <v/>
      </c>
      <c r="F9927" s="102" t="str">
        <f ca="1">IFERROR(__xludf.DUMMYFUNCTION("IMPORTRANGE(H9927,""IDENTITAS UNIT!D9"")"),"#N/A")</f>
        <v>#N/A</v>
      </c>
      <c r="H9927" s="4" t="str">
        <v/>
      </c>
      <c r="I9927" s="4" t="str">
        <v/>
      </c>
    </row>
    <row r="9928" spans="5:9" ht="16.5" hidden="1">
      <c r="E9928" s="4" t="str">
        <v/>
      </c>
      <c r="F9928" s="102" t="str">
        <f ca="1">IFERROR(__xludf.DUMMYFUNCTION("IMPORTRANGE(H9928,""IDENTITAS UNIT!D9"")"),"#N/A")</f>
        <v>#N/A</v>
      </c>
      <c r="H9928" s="4" t="str">
        <v/>
      </c>
      <c r="I9928" s="4" t="str">
        <v/>
      </c>
    </row>
    <row r="9929" spans="5:9" ht="16.5" hidden="1">
      <c r="E9929" s="4" t="str">
        <v/>
      </c>
      <c r="F9929" s="102" t="str">
        <f ca="1">IFERROR(__xludf.DUMMYFUNCTION("IMPORTRANGE(H9929,""IDENTITAS UNIT!D9"")"),"#N/A")</f>
        <v>#N/A</v>
      </c>
      <c r="H9929" s="4" t="str">
        <v/>
      </c>
      <c r="I9929" s="4" t="str">
        <v/>
      </c>
    </row>
    <row r="9930" spans="5:9" ht="16.5" hidden="1">
      <c r="E9930" s="4" t="str">
        <v/>
      </c>
      <c r="F9930" s="102" t="str">
        <f ca="1">IFERROR(__xludf.DUMMYFUNCTION("IMPORTRANGE(H9930,""IDENTITAS UNIT!D9"")"),"#N/A")</f>
        <v>#N/A</v>
      </c>
      <c r="H9930" s="4" t="str">
        <v/>
      </c>
      <c r="I9930" s="4" t="str">
        <v/>
      </c>
    </row>
    <row r="9931" spans="5:9" ht="16.5" hidden="1">
      <c r="E9931" s="4" t="str">
        <v/>
      </c>
      <c r="F9931" s="102" t="str">
        <f ca="1">IFERROR(__xludf.DUMMYFUNCTION("IMPORTRANGE(H9931,""IDENTITAS UNIT!D9"")"),"#N/A")</f>
        <v>#N/A</v>
      </c>
      <c r="H9931" s="4" t="str">
        <v/>
      </c>
      <c r="I9931" s="4" t="str">
        <v/>
      </c>
    </row>
    <row r="9932" spans="5:9" ht="16.5" hidden="1">
      <c r="E9932" s="4" t="str">
        <v/>
      </c>
      <c r="F9932" s="102" t="str">
        <f ca="1">IFERROR(__xludf.DUMMYFUNCTION("IMPORTRANGE(H9932,""IDENTITAS UNIT!D9"")"),"#N/A")</f>
        <v>#N/A</v>
      </c>
      <c r="H9932" s="4" t="str">
        <v/>
      </c>
      <c r="I9932" s="4" t="str">
        <v/>
      </c>
    </row>
    <row r="9933" spans="5:9" ht="16.5" hidden="1">
      <c r="E9933" s="4" t="str">
        <v/>
      </c>
      <c r="F9933" s="102" t="str">
        <f ca="1">IFERROR(__xludf.DUMMYFUNCTION("IMPORTRANGE(H9933,""IDENTITAS UNIT!D9"")"),"#N/A")</f>
        <v>#N/A</v>
      </c>
      <c r="H9933" s="4" t="str">
        <v/>
      </c>
      <c r="I9933" s="4" t="str">
        <v/>
      </c>
    </row>
    <row r="9934" spans="5:9" ht="16.5" hidden="1">
      <c r="E9934" s="4" t="str">
        <v/>
      </c>
      <c r="F9934" s="102" t="str">
        <f ca="1">IFERROR(__xludf.DUMMYFUNCTION("IMPORTRANGE(H9934,""IDENTITAS UNIT!D9"")"),"#N/A")</f>
        <v>#N/A</v>
      </c>
      <c r="H9934" s="4" t="str">
        <v/>
      </c>
      <c r="I9934" s="4" t="str">
        <v/>
      </c>
    </row>
    <row r="9935" spans="5:9" ht="16.5" hidden="1">
      <c r="E9935" s="4" t="str">
        <v/>
      </c>
      <c r="F9935" s="102" t="str">
        <f ca="1">IFERROR(__xludf.DUMMYFUNCTION("IMPORTRANGE(H9935,""IDENTITAS UNIT!D9"")"),"#N/A")</f>
        <v>#N/A</v>
      </c>
      <c r="H9935" s="4" t="str">
        <v/>
      </c>
      <c r="I9935" s="4" t="str">
        <v/>
      </c>
    </row>
    <row r="9936" spans="5:9" ht="16.5" hidden="1">
      <c r="E9936" s="4" t="str">
        <v/>
      </c>
      <c r="F9936" s="102" t="str">
        <f ca="1">IFERROR(__xludf.DUMMYFUNCTION("IMPORTRANGE(H9936,""IDENTITAS UNIT!D9"")"),"#N/A")</f>
        <v>#N/A</v>
      </c>
      <c r="H9936" s="4" t="str">
        <v/>
      </c>
      <c r="I9936" s="4" t="str">
        <v/>
      </c>
    </row>
    <row r="9937" spans="5:9" ht="16.5" hidden="1">
      <c r="E9937" s="4" t="str">
        <v/>
      </c>
      <c r="F9937" s="102" t="str">
        <f ca="1">IFERROR(__xludf.DUMMYFUNCTION("IMPORTRANGE(H9937,""IDENTITAS UNIT!D9"")"),"#N/A")</f>
        <v>#N/A</v>
      </c>
      <c r="H9937" s="4" t="str">
        <v/>
      </c>
      <c r="I9937" s="4" t="str">
        <v/>
      </c>
    </row>
    <row r="9938" spans="5:9" ht="16.5" hidden="1">
      <c r="E9938" s="4" t="str">
        <v/>
      </c>
      <c r="F9938" s="102" t="str">
        <f ca="1">IFERROR(__xludf.DUMMYFUNCTION("IMPORTRANGE(H9938,""IDENTITAS UNIT!D9"")"),"#N/A")</f>
        <v>#N/A</v>
      </c>
      <c r="H9938" s="4" t="str">
        <v/>
      </c>
      <c r="I9938" s="4" t="str">
        <v/>
      </c>
    </row>
    <row r="9939" spans="5:9" ht="16.5" hidden="1">
      <c r="E9939" s="4" t="str">
        <v/>
      </c>
      <c r="F9939" s="102" t="str">
        <f ca="1">IFERROR(__xludf.DUMMYFUNCTION("IMPORTRANGE(H9939,""IDENTITAS UNIT!D9"")"),"#N/A")</f>
        <v>#N/A</v>
      </c>
      <c r="H9939" s="4" t="str">
        <v/>
      </c>
      <c r="I9939" s="4" t="str">
        <v/>
      </c>
    </row>
    <row r="9940" spans="5:9" ht="16.5" hidden="1">
      <c r="E9940" s="4" t="str">
        <v/>
      </c>
      <c r="F9940" s="102" t="str">
        <f ca="1">IFERROR(__xludf.DUMMYFUNCTION("IMPORTRANGE(H9940,""IDENTITAS UNIT!D9"")"),"#N/A")</f>
        <v>#N/A</v>
      </c>
      <c r="H9940" s="4" t="str">
        <v/>
      </c>
      <c r="I9940" s="4" t="str">
        <v/>
      </c>
    </row>
    <row r="9941" spans="5:9" ht="16.5" hidden="1">
      <c r="E9941" s="4" t="str">
        <v/>
      </c>
      <c r="F9941" s="102" t="str">
        <f ca="1">IFERROR(__xludf.DUMMYFUNCTION("IMPORTRANGE(H9941,""IDENTITAS UNIT!D9"")"),"#N/A")</f>
        <v>#N/A</v>
      </c>
      <c r="H9941" s="4" t="str">
        <v/>
      </c>
      <c r="I9941" s="4" t="str">
        <v/>
      </c>
    </row>
    <row r="9942" spans="5:9" ht="16.5" hidden="1">
      <c r="E9942" s="4" t="str">
        <v/>
      </c>
      <c r="F9942" s="102" t="str">
        <f ca="1">IFERROR(__xludf.DUMMYFUNCTION("IMPORTRANGE(H9942,""IDENTITAS UNIT!D9"")"),"#N/A")</f>
        <v>#N/A</v>
      </c>
      <c r="H9942" s="4" t="str">
        <v/>
      </c>
      <c r="I9942" s="4" t="str">
        <v/>
      </c>
    </row>
    <row r="9943" spans="5:9" ht="16.5" hidden="1">
      <c r="E9943" s="4" t="str">
        <v/>
      </c>
      <c r="F9943" s="102" t="str">
        <f ca="1">IFERROR(__xludf.DUMMYFUNCTION("IMPORTRANGE(H9943,""IDENTITAS UNIT!D9"")"),"#N/A")</f>
        <v>#N/A</v>
      </c>
      <c r="H9943" s="4" t="str">
        <v/>
      </c>
      <c r="I9943" s="4" t="str">
        <v/>
      </c>
    </row>
    <row r="9944" spans="5:9" ht="16.5" hidden="1">
      <c r="E9944" s="4" t="str">
        <v/>
      </c>
      <c r="F9944" s="102" t="str">
        <f ca="1">IFERROR(__xludf.DUMMYFUNCTION("IMPORTRANGE(H9944,""IDENTITAS UNIT!D9"")"),"#N/A")</f>
        <v>#N/A</v>
      </c>
      <c r="H9944" s="4" t="str">
        <v/>
      </c>
      <c r="I9944" s="4" t="str">
        <v/>
      </c>
    </row>
    <row r="9945" spans="5:9" ht="16.5" hidden="1">
      <c r="E9945" s="4" t="str">
        <v/>
      </c>
      <c r="F9945" s="102" t="str">
        <f ca="1">IFERROR(__xludf.DUMMYFUNCTION("IMPORTRANGE(H9945,""IDENTITAS UNIT!D9"")"),"#N/A")</f>
        <v>#N/A</v>
      </c>
      <c r="H9945" s="4" t="str">
        <v/>
      </c>
      <c r="I9945" s="4" t="str">
        <v/>
      </c>
    </row>
    <row r="9946" spans="5:9" ht="16.5" hidden="1">
      <c r="E9946" s="4" t="str">
        <v/>
      </c>
      <c r="F9946" s="102" t="str">
        <f ca="1">IFERROR(__xludf.DUMMYFUNCTION("IMPORTRANGE(H9946,""IDENTITAS UNIT!D9"")"),"#N/A")</f>
        <v>#N/A</v>
      </c>
      <c r="H9946" s="4" t="str">
        <v/>
      </c>
      <c r="I9946" s="4" t="str">
        <v/>
      </c>
    </row>
    <row r="9947" spans="5:9" ht="16.5" hidden="1">
      <c r="E9947" s="4" t="str">
        <v/>
      </c>
      <c r="F9947" s="102" t="str">
        <f ca="1">IFERROR(__xludf.DUMMYFUNCTION("IMPORTRANGE(H9947,""IDENTITAS UNIT!D9"")"),"#N/A")</f>
        <v>#N/A</v>
      </c>
      <c r="H9947" s="4" t="str">
        <v/>
      </c>
      <c r="I9947" s="4" t="str">
        <v/>
      </c>
    </row>
    <row r="9948" spans="5:9" ht="16.5" hidden="1">
      <c r="E9948" s="4" t="str">
        <v/>
      </c>
      <c r="F9948" s="102" t="str">
        <f ca="1">IFERROR(__xludf.DUMMYFUNCTION("IMPORTRANGE(H9948,""IDENTITAS UNIT!D9"")"),"#N/A")</f>
        <v>#N/A</v>
      </c>
      <c r="H9948" s="4" t="str">
        <v/>
      </c>
      <c r="I9948" s="4" t="str">
        <v/>
      </c>
    </row>
    <row r="9949" spans="5:9" ht="16.5" hidden="1">
      <c r="E9949" s="4" t="str">
        <v/>
      </c>
      <c r="F9949" s="102" t="str">
        <f ca="1">IFERROR(__xludf.DUMMYFUNCTION("IMPORTRANGE(H9949,""IDENTITAS UNIT!D9"")"),"#N/A")</f>
        <v>#N/A</v>
      </c>
      <c r="H9949" s="4" t="str">
        <v/>
      </c>
      <c r="I9949" s="4" t="str">
        <v/>
      </c>
    </row>
    <row r="9950" spans="5:9" ht="16.5" hidden="1">
      <c r="E9950" s="4" t="str">
        <v/>
      </c>
      <c r="F9950" s="102" t="str">
        <f ca="1">IFERROR(__xludf.DUMMYFUNCTION("IMPORTRANGE(H9950,""IDENTITAS UNIT!D9"")"),"#N/A")</f>
        <v>#N/A</v>
      </c>
      <c r="H9950" s="4" t="str">
        <v/>
      </c>
      <c r="I9950" s="4" t="str">
        <v/>
      </c>
    </row>
    <row r="9951" spans="5:9" ht="16.5" hidden="1">
      <c r="E9951" s="4" t="str">
        <v/>
      </c>
      <c r="F9951" s="102" t="str">
        <f ca="1">IFERROR(__xludf.DUMMYFUNCTION("IMPORTRANGE(H9951,""IDENTITAS UNIT!D9"")"),"#N/A")</f>
        <v>#N/A</v>
      </c>
      <c r="H9951" s="4" t="str">
        <v/>
      </c>
      <c r="I9951" s="4" t="str">
        <v/>
      </c>
    </row>
    <row r="9952" spans="5:9" ht="16.5" hidden="1">
      <c r="E9952" s="4" t="str">
        <v/>
      </c>
      <c r="F9952" s="102" t="str">
        <f ca="1">IFERROR(__xludf.DUMMYFUNCTION("IMPORTRANGE(H9952,""IDENTITAS UNIT!D9"")"),"#N/A")</f>
        <v>#N/A</v>
      </c>
      <c r="H9952" s="4" t="str">
        <v/>
      </c>
      <c r="I9952" s="4" t="str">
        <v/>
      </c>
    </row>
    <row r="9953" spans="5:9" ht="16.5" hidden="1">
      <c r="E9953" s="4" t="str">
        <v/>
      </c>
      <c r="F9953" s="102" t="str">
        <f ca="1">IFERROR(__xludf.DUMMYFUNCTION("IMPORTRANGE(H9953,""IDENTITAS UNIT!D9"")"),"#N/A")</f>
        <v>#N/A</v>
      </c>
      <c r="H9953" s="4" t="str">
        <v/>
      </c>
      <c r="I9953" s="4" t="str">
        <v/>
      </c>
    </row>
    <row r="9954" spans="5:9" ht="16.5" hidden="1">
      <c r="E9954" s="4" t="str">
        <v/>
      </c>
      <c r="F9954" s="102" t="str">
        <f ca="1">IFERROR(__xludf.DUMMYFUNCTION("IMPORTRANGE(H9954,""IDENTITAS UNIT!D9"")"),"#N/A")</f>
        <v>#N/A</v>
      </c>
      <c r="H9954" s="4" t="str">
        <v/>
      </c>
      <c r="I9954" s="4" t="str">
        <v/>
      </c>
    </row>
    <row r="9955" spans="5:9" ht="16.5" hidden="1">
      <c r="E9955" s="4" t="str">
        <v/>
      </c>
      <c r="F9955" s="102" t="str">
        <f ca="1">IFERROR(__xludf.DUMMYFUNCTION("IMPORTRANGE(H9955,""IDENTITAS UNIT!D9"")"),"#N/A")</f>
        <v>#N/A</v>
      </c>
      <c r="H9955" s="4" t="str">
        <v/>
      </c>
      <c r="I9955" s="4" t="str">
        <v/>
      </c>
    </row>
    <row r="9956" spans="5:9" ht="16.5" hidden="1">
      <c r="E9956" s="4" t="str">
        <v/>
      </c>
      <c r="F9956" s="102" t="str">
        <f ca="1">IFERROR(__xludf.DUMMYFUNCTION("IMPORTRANGE(H9956,""IDENTITAS UNIT!D9"")"),"#N/A")</f>
        <v>#N/A</v>
      </c>
      <c r="H9956" s="4" t="str">
        <v/>
      </c>
      <c r="I9956" s="4" t="str">
        <v/>
      </c>
    </row>
    <row r="9957" spans="5:9" ht="16.5" hidden="1">
      <c r="E9957" s="4" t="str">
        <v/>
      </c>
      <c r="F9957" s="102" t="str">
        <f ca="1">IFERROR(__xludf.DUMMYFUNCTION("IMPORTRANGE(H9957,""IDENTITAS UNIT!D9"")"),"#N/A")</f>
        <v>#N/A</v>
      </c>
      <c r="H9957" s="4" t="str">
        <v/>
      </c>
      <c r="I9957" s="4" t="str">
        <v/>
      </c>
    </row>
    <row r="9958" spans="5:9" ht="16.5" hidden="1">
      <c r="E9958" s="4" t="str">
        <v/>
      </c>
      <c r="F9958" s="102" t="str">
        <f ca="1">IFERROR(__xludf.DUMMYFUNCTION("IMPORTRANGE(H9958,""IDENTITAS UNIT!D9"")"),"#N/A")</f>
        <v>#N/A</v>
      </c>
      <c r="H9958" s="4" t="str">
        <v/>
      </c>
      <c r="I9958" s="4" t="str">
        <v/>
      </c>
    </row>
    <row r="9959" spans="5:9" ht="16.5" hidden="1">
      <c r="E9959" s="4" t="str">
        <v/>
      </c>
      <c r="F9959" s="102" t="str">
        <f ca="1">IFERROR(__xludf.DUMMYFUNCTION("IMPORTRANGE(H9959,""IDENTITAS UNIT!D9"")"),"#N/A")</f>
        <v>#N/A</v>
      </c>
      <c r="H9959" s="4" t="str">
        <v/>
      </c>
      <c r="I9959" s="4" t="str">
        <v/>
      </c>
    </row>
    <row r="9960" spans="5:9" ht="16.5" hidden="1">
      <c r="E9960" s="4" t="str">
        <v/>
      </c>
      <c r="F9960" s="102" t="str">
        <f ca="1">IFERROR(__xludf.DUMMYFUNCTION("IMPORTRANGE(H9960,""IDENTITAS UNIT!D9"")"),"#N/A")</f>
        <v>#N/A</v>
      </c>
      <c r="H9960" s="4" t="str">
        <v/>
      </c>
      <c r="I9960" s="4" t="str">
        <v/>
      </c>
    </row>
    <row r="9961" spans="5:9" ht="16.5" hidden="1">
      <c r="E9961" s="4" t="str">
        <v/>
      </c>
      <c r="F9961" s="102" t="str">
        <f ca="1">IFERROR(__xludf.DUMMYFUNCTION("IMPORTRANGE(H9961,""IDENTITAS UNIT!D9"")"),"#N/A")</f>
        <v>#N/A</v>
      </c>
      <c r="H9961" s="4" t="str">
        <v/>
      </c>
      <c r="I9961" s="4" t="str">
        <v/>
      </c>
    </row>
    <row r="9962" spans="5:9" ht="16.5" hidden="1">
      <c r="E9962" s="4" t="str">
        <v/>
      </c>
      <c r="F9962" s="102" t="str">
        <f ca="1">IFERROR(__xludf.DUMMYFUNCTION("IMPORTRANGE(H9962,""IDENTITAS UNIT!D9"")"),"#N/A")</f>
        <v>#N/A</v>
      </c>
      <c r="H9962" s="4" t="str">
        <v/>
      </c>
      <c r="I9962" s="4" t="str">
        <v/>
      </c>
    </row>
    <row r="9963" spans="5:9" ht="16.5" hidden="1">
      <c r="E9963" s="4" t="str">
        <v/>
      </c>
      <c r="F9963" s="102" t="str">
        <f ca="1">IFERROR(__xludf.DUMMYFUNCTION("IMPORTRANGE(H9963,""IDENTITAS UNIT!D9"")"),"#N/A")</f>
        <v>#N/A</v>
      </c>
      <c r="H9963" s="4" t="str">
        <v/>
      </c>
      <c r="I9963" s="4" t="str">
        <v/>
      </c>
    </row>
    <row r="9964" spans="5:9" ht="16.5" hidden="1">
      <c r="E9964" s="4" t="str">
        <v/>
      </c>
      <c r="F9964" s="102" t="str">
        <f ca="1">IFERROR(__xludf.DUMMYFUNCTION("IMPORTRANGE(H9964,""IDENTITAS UNIT!D9"")"),"#N/A")</f>
        <v>#N/A</v>
      </c>
      <c r="H9964" s="4" t="str">
        <v/>
      </c>
      <c r="I9964" s="4" t="str">
        <v/>
      </c>
    </row>
    <row r="9965" spans="5:9" ht="16.5" hidden="1">
      <c r="E9965" s="4" t="str">
        <v/>
      </c>
      <c r="F9965" s="102" t="str">
        <f ca="1">IFERROR(__xludf.DUMMYFUNCTION("IMPORTRANGE(H9965,""IDENTITAS UNIT!D9"")"),"#N/A")</f>
        <v>#N/A</v>
      </c>
      <c r="H9965" s="4" t="str">
        <v/>
      </c>
      <c r="I9965" s="4" t="str">
        <v/>
      </c>
    </row>
    <row r="9966" spans="5:9" ht="16.5" hidden="1">
      <c r="E9966" s="4" t="str">
        <v/>
      </c>
      <c r="F9966" s="102" t="str">
        <f ca="1">IFERROR(__xludf.DUMMYFUNCTION("IMPORTRANGE(H9966,""IDENTITAS UNIT!D9"")"),"#N/A")</f>
        <v>#N/A</v>
      </c>
      <c r="H9966" s="4" t="str">
        <v/>
      </c>
      <c r="I9966" s="4" t="str">
        <v/>
      </c>
    </row>
    <row r="9967" spans="5:9" ht="16.5" hidden="1">
      <c r="E9967" s="4" t="str">
        <v/>
      </c>
      <c r="F9967" s="102" t="str">
        <f ca="1">IFERROR(__xludf.DUMMYFUNCTION("IMPORTRANGE(H9967,""IDENTITAS UNIT!D9"")"),"#N/A")</f>
        <v>#N/A</v>
      </c>
      <c r="H9967" s="4" t="str">
        <v/>
      </c>
      <c r="I9967" s="4" t="str">
        <v/>
      </c>
    </row>
    <row r="9968" spans="5:9" ht="16.5" hidden="1">
      <c r="E9968" s="4" t="str">
        <v/>
      </c>
      <c r="F9968" s="102" t="str">
        <f ca="1">IFERROR(__xludf.DUMMYFUNCTION("IMPORTRANGE(H9968,""IDENTITAS UNIT!D9"")"),"#N/A")</f>
        <v>#N/A</v>
      </c>
      <c r="H9968" s="4" t="str">
        <v/>
      </c>
      <c r="I9968" s="4" t="str">
        <v/>
      </c>
    </row>
    <row r="9969" spans="5:9" ht="16.5" hidden="1">
      <c r="E9969" s="4" t="str">
        <v/>
      </c>
      <c r="F9969" s="102" t="str">
        <f ca="1">IFERROR(__xludf.DUMMYFUNCTION("IMPORTRANGE(H9969,""IDENTITAS UNIT!D9"")"),"#N/A")</f>
        <v>#N/A</v>
      </c>
      <c r="H9969" s="4" t="str">
        <v/>
      </c>
      <c r="I9969" s="4" t="str">
        <v/>
      </c>
    </row>
    <row r="9970" spans="5:9" ht="16.5" hidden="1">
      <c r="E9970" s="4" t="str">
        <v/>
      </c>
      <c r="F9970" s="102" t="str">
        <f ca="1">IFERROR(__xludf.DUMMYFUNCTION("IMPORTRANGE(H9970,""IDENTITAS UNIT!D9"")"),"#N/A")</f>
        <v>#N/A</v>
      </c>
      <c r="H9970" s="4" t="str">
        <v/>
      </c>
      <c r="I9970" s="4" t="str">
        <v/>
      </c>
    </row>
    <row r="9971" spans="5:9" ht="16.5" hidden="1">
      <c r="E9971" s="4" t="str">
        <v/>
      </c>
      <c r="F9971" s="102" t="str">
        <f ca="1">IFERROR(__xludf.DUMMYFUNCTION("IMPORTRANGE(H9971,""IDENTITAS UNIT!D9"")"),"#N/A")</f>
        <v>#N/A</v>
      </c>
      <c r="H9971" s="4" t="str">
        <v/>
      </c>
      <c r="I9971" s="4" t="str">
        <v/>
      </c>
    </row>
    <row r="9972" spans="5:9" ht="16.5" hidden="1">
      <c r="E9972" s="4" t="str">
        <v/>
      </c>
      <c r="F9972" s="102" t="str">
        <f ca="1">IFERROR(__xludf.DUMMYFUNCTION("IMPORTRANGE(H9972,""IDENTITAS UNIT!D9"")"),"#N/A")</f>
        <v>#N/A</v>
      </c>
      <c r="H9972" s="4" t="str">
        <v/>
      </c>
      <c r="I9972" s="4" t="str">
        <v/>
      </c>
    </row>
    <row r="9973" spans="5:9" ht="16.5" hidden="1">
      <c r="E9973" s="4" t="str">
        <v/>
      </c>
      <c r="F9973" s="102" t="str">
        <f ca="1">IFERROR(__xludf.DUMMYFUNCTION("IMPORTRANGE(H9973,""IDENTITAS UNIT!D9"")"),"#N/A")</f>
        <v>#N/A</v>
      </c>
      <c r="H9973" s="4" t="str">
        <v/>
      </c>
      <c r="I9973" s="4" t="str">
        <v/>
      </c>
    </row>
    <row r="9974" spans="5:9" ht="16.5" hidden="1">
      <c r="E9974" s="4" t="str">
        <v/>
      </c>
      <c r="F9974" s="102" t="str">
        <f ca="1">IFERROR(__xludf.DUMMYFUNCTION("IMPORTRANGE(H9974,""IDENTITAS UNIT!D9"")"),"#N/A")</f>
        <v>#N/A</v>
      </c>
      <c r="H9974" s="4" t="str">
        <v/>
      </c>
      <c r="I9974" s="4" t="str">
        <v/>
      </c>
    </row>
    <row r="9975" spans="5:9" ht="16.5" hidden="1">
      <c r="E9975" s="4" t="str">
        <v/>
      </c>
      <c r="F9975" s="102" t="str">
        <f ca="1">IFERROR(__xludf.DUMMYFUNCTION("IMPORTRANGE(H9975,""IDENTITAS UNIT!D9"")"),"#N/A")</f>
        <v>#N/A</v>
      </c>
      <c r="H9975" s="4" t="str">
        <v/>
      </c>
      <c r="I9975" s="4" t="str">
        <v/>
      </c>
    </row>
    <row r="9976" spans="5:9" ht="16.5" hidden="1">
      <c r="E9976" s="4" t="str">
        <v/>
      </c>
      <c r="F9976" s="102" t="str">
        <f ca="1">IFERROR(__xludf.DUMMYFUNCTION("IMPORTRANGE(H9976,""IDENTITAS UNIT!D9"")"),"#N/A")</f>
        <v>#N/A</v>
      </c>
      <c r="H9976" s="4" t="str">
        <v/>
      </c>
      <c r="I9976" s="4" t="str">
        <v/>
      </c>
    </row>
    <row r="9977" spans="5:9" ht="16.5" hidden="1">
      <c r="E9977" s="4" t="str">
        <v/>
      </c>
      <c r="F9977" s="102" t="str">
        <f ca="1">IFERROR(__xludf.DUMMYFUNCTION("IMPORTRANGE(H9977,""IDENTITAS UNIT!D9"")"),"#N/A")</f>
        <v>#N/A</v>
      </c>
      <c r="H9977" s="4" t="str">
        <v/>
      </c>
      <c r="I9977" s="4" t="str">
        <v/>
      </c>
    </row>
    <row r="9978" spans="5:9" ht="16.5" hidden="1">
      <c r="E9978" s="4" t="str">
        <v/>
      </c>
      <c r="F9978" s="102" t="str">
        <f ca="1">IFERROR(__xludf.DUMMYFUNCTION("IMPORTRANGE(H9978,""IDENTITAS UNIT!D9"")"),"#N/A")</f>
        <v>#N/A</v>
      </c>
      <c r="H9978" s="4" t="str">
        <v/>
      </c>
      <c r="I9978" s="4" t="str">
        <v/>
      </c>
    </row>
    <row r="9979" spans="5:9" ht="16.5" hidden="1">
      <c r="E9979" s="4" t="str">
        <v/>
      </c>
      <c r="F9979" s="102" t="str">
        <f ca="1">IFERROR(__xludf.DUMMYFUNCTION("IMPORTRANGE(H9979,""IDENTITAS UNIT!D9"")"),"#N/A")</f>
        <v>#N/A</v>
      </c>
      <c r="H9979" s="4" t="str">
        <v/>
      </c>
      <c r="I9979" s="4" t="str">
        <v/>
      </c>
    </row>
    <row r="9980" spans="5:9" ht="16.5" hidden="1">
      <c r="E9980" s="4" t="str">
        <v/>
      </c>
      <c r="F9980" s="102" t="str">
        <f ca="1">IFERROR(__xludf.DUMMYFUNCTION("IMPORTRANGE(H9980,""IDENTITAS UNIT!D9"")"),"#N/A")</f>
        <v>#N/A</v>
      </c>
      <c r="H9980" s="4" t="str">
        <v/>
      </c>
      <c r="I9980" s="4" t="str">
        <v/>
      </c>
    </row>
    <row r="9981" spans="5:9" ht="16.5" hidden="1">
      <c r="E9981" s="4" t="str">
        <v/>
      </c>
      <c r="F9981" s="102" t="str">
        <f ca="1">IFERROR(__xludf.DUMMYFUNCTION("IMPORTRANGE(H9981,""IDENTITAS UNIT!D9"")"),"#N/A")</f>
        <v>#N/A</v>
      </c>
      <c r="H9981" s="4" t="str">
        <v/>
      </c>
      <c r="I9981" s="4" t="str">
        <v/>
      </c>
    </row>
    <row r="9982" spans="5:9" ht="16.5" hidden="1">
      <c r="E9982" s="4" t="str">
        <v/>
      </c>
      <c r="F9982" s="102" t="str">
        <f ca="1">IFERROR(__xludf.DUMMYFUNCTION("IMPORTRANGE(H9982,""IDENTITAS UNIT!D9"")"),"#N/A")</f>
        <v>#N/A</v>
      </c>
      <c r="H9982" s="4" t="str">
        <v/>
      </c>
      <c r="I9982" s="4" t="str">
        <v/>
      </c>
    </row>
    <row r="9983" spans="5:9" ht="16.5" hidden="1">
      <c r="E9983" s="4" t="str">
        <v/>
      </c>
      <c r="F9983" s="102" t="str">
        <f ca="1">IFERROR(__xludf.DUMMYFUNCTION("IMPORTRANGE(H9983,""IDENTITAS UNIT!D9"")"),"#N/A")</f>
        <v>#N/A</v>
      </c>
      <c r="H9983" s="4" t="str">
        <v/>
      </c>
      <c r="I9983" s="4" t="str">
        <v/>
      </c>
    </row>
    <row r="9984" spans="5:9" ht="16.5" hidden="1">
      <c r="E9984" s="4" t="str">
        <v/>
      </c>
      <c r="F9984" s="102" t="str">
        <f ca="1">IFERROR(__xludf.DUMMYFUNCTION("IMPORTRANGE(H9984,""IDENTITAS UNIT!D9"")"),"#N/A")</f>
        <v>#N/A</v>
      </c>
      <c r="H9984" s="4" t="str">
        <v/>
      </c>
      <c r="I9984" s="4" t="str">
        <v/>
      </c>
    </row>
    <row r="9985" spans="5:9" ht="16.5" hidden="1">
      <c r="E9985" s="4" t="str">
        <v/>
      </c>
      <c r="F9985" s="102" t="str">
        <f ca="1">IFERROR(__xludf.DUMMYFUNCTION("IMPORTRANGE(H9985,""IDENTITAS UNIT!D9"")"),"#N/A")</f>
        <v>#N/A</v>
      </c>
      <c r="H9985" s="4" t="str">
        <v/>
      </c>
      <c r="I9985" s="4" t="str">
        <v/>
      </c>
    </row>
    <row r="9986" spans="5:9" ht="16.5" hidden="1">
      <c r="E9986" s="4" t="str">
        <v/>
      </c>
      <c r="F9986" s="102" t="str">
        <f ca="1">IFERROR(__xludf.DUMMYFUNCTION("IMPORTRANGE(H9986,""IDENTITAS UNIT!D9"")"),"#N/A")</f>
        <v>#N/A</v>
      </c>
      <c r="H9986" s="4" t="str">
        <v/>
      </c>
      <c r="I9986" s="4" t="str">
        <v/>
      </c>
    </row>
    <row r="9987" spans="5:9" ht="16.5" hidden="1">
      <c r="E9987" s="4" t="str">
        <v/>
      </c>
      <c r="F9987" s="102" t="str">
        <f ca="1">IFERROR(__xludf.DUMMYFUNCTION("IMPORTRANGE(H9987,""IDENTITAS UNIT!D9"")"),"#N/A")</f>
        <v>#N/A</v>
      </c>
      <c r="H9987" s="4" t="str">
        <v/>
      </c>
      <c r="I9987" s="4" t="str">
        <v/>
      </c>
    </row>
    <row r="9988" spans="5:9" ht="16.5" hidden="1">
      <c r="E9988" s="4" t="str">
        <v/>
      </c>
      <c r="F9988" s="102" t="str">
        <f ca="1">IFERROR(__xludf.DUMMYFUNCTION("IMPORTRANGE(H9988,""IDENTITAS UNIT!D9"")"),"#N/A")</f>
        <v>#N/A</v>
      </c>
      <c r="H9988" s="4" t="str">
        <v/>
      </c>
      <c r="I9988" s="4" t="str">
        <v/>
      </c>
    </row>
    <row r="9989" spans="5:9" ht="16.5" hidden="1">
      <c r="E9989" s="4" t="str">
        <v/>
      </c>
      <c r="F9989" s="102" t="str">
        <f ca="1">IFERROR(__xludf.DUMMYFUNCTION("IMPORTRANGE(H9989,""IDENTITAS UNIT!D9"")"),"#N/A")</f>
        <v>#N/A</v>
      </c>
      <c r="H9989" s="4" t="str">
        <v/>
      </c>
      <c r="I9989" s="4" t="str">
        <v/>
      </c>
    </row>
    <row r="9990" spans="5:9" ht="16.5" hidden="1">
      <c r="E9990" s="4" t="str">
        <v/>
      </c>
      <c r="F9990" s="102" t="str">
        <f ca="1">IFERROR(__xludf.DUMMYFUNCTION("IMPORTRANGE(H9990,""IDENTITAS UNIT!D9"")"),"#N/A")</f>
        <v>#N/A</v>
      </c>
      <c r="H9990" s="4" t="str">
        <v/>
      </c>
      <c r="I9990" s="4" t="str">
        <v/>
      </c>
    </row>
    <row r="9991" spans="5:9" ht="16.5" hidden="1">
      <c r="E9991" s="4" t="str">
        <v/>
      </c>
      <c r="F9991" s="102" t="str">
        <f ca="1">IFERROR(__xludf.DUMMYFUNCTION("IMPORTRANGE(H9991,""IDENTITAS UNIT!D9"")"),"#N/A")</f>
        <v>#N/A</v>
      </c>
      <c r="H9991" s="4" t="str">
        <v/>
      </c>
      <c r="I9991" s="4" t="str">
        <v/>
      </c>
    </row>
    <row r="9992" spans="5:9" ht="16.5" hidden="1">
      <c r="E9992" s="4" t="str">
        <v/>
      </c>
      <c r="F9992" s="102" t="str">
        <f ca="1">IFERROR(__xludf.DUMMYFUNCTION("IMPORTRANGE(H9992,""IDENTITAS UNIT!D9"")"),"#N/A")</f>
        <v>#N/A</v>
      </c>
      <c r="H9992" s="4" t="str">
        <v/>
      </c>
      <c r="I9992" s="4" t="str">
        <v/>
      </c>
    </row>
    <row r="9993" spans="5:9" ht="16.5" hidden="1">
      <c r="E9993" s="4" t="str">
        <v/>
      </c>
      <c r="F9993" s="102" t="str">
        <f ca="1">IFERROR(__xludf.DUMMYFUNCTION("IMPORTRANGE(H9993,""IDENTITAS UNIT!D9"")"),"#N/A")</f>
        <v>#N/A</v>
      </c>
      <c r="H9993" s="4" t="str">
        <v/>
      </c>
      <c r="I9993" s="4" t="str">
        <v/>
      </c>
    </row>
    <row r="9994" spans="5:9" ht="16.5" hidden="1">
      <c r="E9994" s="4" t="str">
        <v/>
      </c>
      <c r="F9994" s="102" t="str">
        <f ca="1">IFERROR(__xludf.DUMMYFUNCTION("IMPORTRANGE(H9994,""IDENTITAS UNIT!D9"")"),"#N/A")</f>
        <v>#N/A</v>
      </c>
      <c r="H9994" s="4" t="str">
        <v/>
      </c>
      <c r="I9994" s="4" t="str">
        <v/>
      </c>
    </row>
    <row r="9995" spans="5:9" ht="16.5" hidden="1">
      <c r="E9995" s="4" t="str">
        <v/>
      </c>
      <c r="F9995" s="102" t="str">
        <f ca="1">IFERROR(__xludf.DUMMYFUNCTION("IMPORTRANGE(H9995,""IDENTITAS UNIT!D9"")"),"#N/A")</f>
        <v>#N/A</v>
      </c>
      <c r="H9995" s="4" t="str">
        <v/>
      </c>
      <c r="I9995" s="4" t="str">
        <v/>
      </c>
    </row>
    <row r="9996" spans="5:9" ht="16.5" hidden="1">
      <c r="E9996" s="4" t="str">
        <v/>
      </c>
      <c r="F9996" s="102" t="str">
        <f ca="1">IFERROR(__xludf.DUMMYFUNCTION("IMPORTRANGE(H9996,""IDENTITAS UNIT!D9"")"),"#N/A")</f>
        <v>#N/A</v>
      </c>
      <c r="H9996" s="4" t="str">
        <v/>
      </c>
      <c r="I9996" s="4" t="str">
        <v/>
      </c>
    </row>
    <row r="9997" spans="5:9" ht="16.5" hidden="1">
      <c r="E9997" s="4" t="str">
        <v/>
      </c>
      <c r="F9997" s="102" t="str">
        <f ca="1">IFERROR(__xludf.DUMMYFUNCTION("IMPORTRANGE(H9997,""IDENTITAS UNIT!D9"")"),"#N/A")</f>
        <v>#N/A</v>
      </c>
      <c r="H9997" s="4" t="str">
        <v/>
      </c>
      <c r="I9997" s="4" t="str">
        <v/>
      </c>
    </row>
    <row r="9998" spans="5:9" ht="16.5" hidden="1">
      <c r="E9998" s="4" t="str">
        <v/>
      </c>
      <c r="F9998" s="102" t="str">
        <f ca="1">IFERROR(__xludf.DUMMYFUNCTION("IMPORTRANGE(H9998,""IDENTITAS UNIT!D9"")"),"#N/A")</f>
        <v>#N/A</v>
      </c>
      <c r="H9998" s="4" t="str">
        <v/>
      </c>
      <c r="I9998" s="4" t="str">
        <v/>
      </c>
    </row>
    <row r="9999" spans="5:9" ht="16.5" hidden="1">
      <c r="E9999" s="4" t="str">
        <v/>
      </c>
      <c r="F9999" s="102" t="str">
        <f ca="1">IFERROR(__xludf.DUMMYFUNCTION("IMPORTRANGE(H9999,""IDENTITAS UNIT!D9"")"),"#N/A")</f>
        <v>#N/A</v>
      </c>
      <c r="H9999" s="4" t="str">
        <v/>
      </c>
      <c r="I9999" s="4" t="str">
        <v/>
      </c>
    </row>
    <row r="10000" spans="5:9" ht="16.5" hidden="1">
      <c r="E10000" s="4" t="str">
        <v/>
      </c>
      <c r="F10000" s="102" t="str">
        <f ca="1">IFERROR(__xludf.DUMMYFUNCTION("IMPORTRANGE(H10000,""IDENTITAS UNIT!D9"")"),"#N/A")</f>
        <v>#N/A</v>
      </c>
      <c r="H10000" s="4" t="str">
        <v/>
      </c>
      <c r="I10000" s="4" t="str">
        <v/>
      </c>
    </row>
    <row r="10001" spans="5:9" ht="16.5" hidden="1">
      <c r="E10001" s="4" t="str">
        <v/>
      </c>
      <c r="F10001" s="102" t="str">
        <f ca="1">IFERROR(__xludf.DUMMYFUNCTION("IMPORTRANGE(H10001,""IDENTITAS UNIT!D9"")"),"#N/A")</f>
        <v>#N/A</v>
      </c>
      <c r="H10001" s="4" t="str">
        <v/>
      </c>
      <c r="I10001" s="4" t="str">
        <v/>
      </c>
    </row>
    <row r="10002" spans="5:9" ht="16.5" hidden="1">
      <c r="E10002" s="4" t="str">
        <v/>
      </c>
      <c r="F10002" s="102" t="str">
        <f ca="1">IFERROR(__xludf.DUMMYFUNCTION("IMPORTRANGE(H10002,""IDENTITAS UNIT!D9"")"),"#N/A")</f>
        <v>#N/A</v>
      </c>
      <c r="H10002" s="4" t="str">
        <v/>
      </c>
      <c r="I10002" s="4" t="str">
        <v/>
      </c>
    </row>
    <row r="10003" spans="5:9" ht="16.5" hidden="1">
      <c r="E10003" s="4" t="str">
        <v/>
      </c>
      <c r="F10003" s="102" t="str">
        <f ca="1">IFERROR(__xludf.DUMMYFUNCTION("IMPORTRANGE(H10003,""IDENTITAS UNIT!D9"")"),"#N/A")</f>
        <v>#N/A</v>
      </c>
      <c r="H10003" s="4" t="str">
        <v/>
      </c>
      <c r="I10003" s="4" t="str">
        <v/>
      </c>
    </row>
    <row r="10004" spans="5:9" ht="16.5" hidden="1">
      <c r="E10004" s="4" t="str">
        <v/>
      </c>
      <c r="F10004" s="102" t="str">
        <f ca="1">IFERROR(__xludf.DUMMYFUNCTION("IMPORTRANGE(H10004,""IDENTITAS UNIT!D9"")"),"#N/A")</f>
        <v>#N/A</v>
      </c>
      <c r="H10004" s="4" t="str">
        <v/>
      </c>
      <c r="I10004" s="4" t="str">
        <v/>
      </c>
    </row>
    <row r="10005" spans="5:9" ht="16.5" hidden="1">
      <c r="E10005" s="4" t="str">
        <v/>
      </c>
      <c r="F10005" s="102" t="str">
        <f ca="1">IFERROR(__xludf.DUMMYFUNCTION("IMPORTRANGE(H10005,""IDENTITAS UNIT!D9"")"),"#N/A")</f>
        <v>#N/A</v>
      </c>
      <c r="H10005" s="4" t="str">
        <v/>
      </c>
      <c r="I10005" s="4" t="str">
        <v/>
      </c>
    </row>
    <row r="10006" spans="5:9" ht="16.5" hidden="1">
      <c r="E10006" s="4" t="str">
        <v/>
      </c>
      <c r="F10006" s="102" t="str">
        <f ca="1">IFERROR(__xludf.DUMMYFUNCTION("IMPORTRANGE(H10006,""IDENTITAS UNIT!D9"")"),"#N/A")</f>
        <v>#N/A</v>
      </c>
      <c r="H10006" s="4" t="str">
        <v/>
      </c>
      <c r="I10006" s="4" t="str">
        <v/>
      </c>
    </row>
    <row r="10007" spans="5:9" ht="16.5" hidden="1">
      <c r="E10007" s="4" t="str">
        <v/>
      </c>
      <c r="F10007" s="102" t="str">
        <f ca="1">IFERROR(__xludf.DUMMYFUNCTION("IMPORTRANGE(H10007,""IDENTITAS UNIT!D9"")"),"#N/A")</f>
        <v>#N/A</v>
      </c>
      <c r="H10007" s="4" t="str">
        <v/>
      </c>
      <c r="I10007" s="4" t="str">
        <v/>
      </c>
    </row>
    <row r="10008" spans="5:9" ht="16.5" hidden="1">
      <c r="E10008" s="4" t="str">
        <v/>
      </c>
      <c r="F10008" s="102" t="str">
        <f ca="1">IFERROR(__xludf.DUMMYFUNCTION("IMPORTRANGE(H10008,""IDENTITAS UNIT!D9"")"),"#N/A")</f>
        <v>#N/A</v>
      </c>
      <c r="H10008" s="4" t="str">
        <v/>
      </c>
      <c r="I10008" s="4" t="str">
        <v/>
      </c>
    </row>
    <row r="10009" spans="5:9" ht="16.5" hidden="1">
      <c r="E10009" s="4" t="str">
        <v/>
      </c>
      <c r="F10009" s="102" t="str">
        <f ca="1">IFERROR(__xludf.DUMMYFUNCTION("IMPORTRANGE(H10009,""IDENTITAS UNIT!D9"")"),"#N/A")</f>
        <v>#N/A</v>
      </c>
      <c r="H10009" s="4" t="str">
        <v/>
      </c>
      <c r="I10009" s="4" t="str">
        <v/>
      </c>
    </row>
    <row r="10010" spans="5:9" ht="16.5" hidden="1">
      <c r="E10010" s="4" t="str">
        <v/>
      </c>
      <c r="F10010" s="102" t="str">
        <f ca="1">IFERROR(__xludf.DUMMYFUNCTION("IMPORTRANGE(H10010,""IDENTITAS UNIT!D9"")"),"#N/A")</f>
        <v>#N/A</v>
      </c>
      <c r="H10010" s="4" t="str">
        <v/>
      </c>
      <c r="I10010" s="4" t="str">
        <v/>
      </c>
    </row>
    <row r="10011" spans="5:9" ht="16.5" hidden="1">
      <c r="E10011" s="4" t="str">
        <v/>
      </c>
      <c r="F10011" s="102" t="str">
        <f ca="1">IFERROR(__xludf.DUMMYFUNCTION("IMPORTRANGE(H10011,""IDENTITAS UNIT!D9"")"),"#N/A")</f>
        <v>#N/A</v>
      </c>
      <c r="H10011" s="4" t="str">
        <v/>
      </c>
      <c r="I10011" s="4" t="str">
        <v/>
      </c>
    </row>
    <row r="10012" spans="5:9" ht="16.5" hidden="1">
      <c r="E10012" s="4" t="str">
        <v/>
      </c>
      <c r="F10012" s="102" t="str">
        <f ca="1">IFERROR(__xludf.DUMMYFUNCTION("IMPORTRANGE(H10012,""IDENTITAS UNIT!D9"")"),"#N/A")</f>
        <v>#N/A</v>
      </c>
      <c r="H10012" s="4" t="str">
        <v/>
      </c>
      <c r="I10012" s="4" t="str">
        <v/>
      </c>
    </row>
    <row r="10013" spans="5:9" ht="16.5" hidden="1">
      <c r="E10013" s="4" t="str">
        <v/>
      </c>
      <c r="F10013" s="102" t="str">
        <f ca="1">IFERROR(__xludf.DUMMYFUNCTION("IMPORTRANGE(H10013,""IDENTITAS UNIT!D9"")"),"#N/A")</f>
        <v>#N/A</v>
      </c>
      <c r="H10013" s="4" t="str">
        <v/>
      </c>
      <c r="I10013" s="4" t="str">
        <v/>
      </c>
    </row>
    <row r="10014" spans="5:9" ht="16.5" hidden="1">
      <c r="E10014" s="4" t="str">
        <v/>
      </c>
      <c r="F10014" s="102" t="str">
        <f ca="1">IFERROR(__xludf.DUMMYFUNCTION("IMPORTRANGE(H10014,""IDENTITAS UNIT!D9"")"),"#N/A")</f>
        <v>#N/A</v>
      </c>
      <c r="H10014" s="4" t="str">
        <v/>
      </c>
      <c r="I10014" s="4" t="str">
        <v/>
      </c>
    </row>
    <row r="10015" spans="5:9" ht="16.5" hidden="1">
      <c r="E10015" s="4" t="str">
        <v/>
      </c>
      <c r="F10015" s="102" t="str">
        <f ca="1">IFERROR(__xludf.DUMMYFUNCTION("IMPORTRANGE(H10015,""IDENTITAS UNIT!D9"")"),"#N/A")</f>
        <v>#N/A</v>
      </c>
      <c r="H10015" s="4" t="str">
        <v/>
      </c>
      <c r="I10015" s="4" t="str">
        <v/>
      </c>
    </row>
    <row r="10016" spans="5:9" ht="16.5" hidden="1">
      <c r="E10016" s="4" t="str">
        <v/>
      </c>
      <c r="F10016" s="102" t="str">
        <f ca="1">IFERROR(__xludf.DUMMYFUNCTION("IMPORTRANGE(H10016,""IDENTITAS UNIT!D9"")"),"#N/A")</f>
        <v>#N/A</v>
      </c>
      <c r="H10016" s="4" t="str">
        <v/>
      </c>
      <c r="I10016" s="4" t="str">
        <v/>
      </c>
    </row>
    <row r="10017" spans="5:9" ht="16.5" hidden="1">
      <c r="E10017" s="4" t="str">
        <v/>
      </c>
      <c r="F10017" s="102" t="str">
        <f ca="1">IFERROR(__xludf.DUMMYFUNCTION("IMPORTRANGE(H10017,""IDENTITAS UNIT!D9"")"),"#N/A")</f>
        <v>#N/A</v>
      </c>
      <c r="H10017" s="4" t="str">
        <v/>
      </c>
      <c r="I10017" s="4" t="str">
        <v/>
      </c>
    </row>
    <row r="10018" spans="5:9" ht="16.5" hidden="1">
      <c r="E10018" s="4" t="str">
        <v/>
      </c>
      <c r="F10018" s="102" t="str">
        <f ca="1">IFERROR(__xludf.DUMMYFUNCTION("IMPORTRANGE(H10018,""IDENTITAS UNIT!D9"")"),"#N/A")</f>
        <v>#N/A</v>
      </c>
      <c r="H10018" s="4" t="str">
        <v/>
      </c>
      <c r="I10018" s="4" t="str">
        <v/>
      </c>
    </row>
    <row r="10019" spans="5:9" ht="16.5" hidden="1">
      <c r="E10019" s="4" t="str">
        <v/>
      </c>
      <c r="F10019" s="102" t="str">
        <f ca="1">IFERROR(__xludf.DUMMYFUNCTION("IMPORTRANGE(H10019,""IDENTITAS UNIT!D9"")"),"#N/A")</f>
        <v>#N/A</v>
      </c>
      <c r="H10019" s="4" t="str">
        <v/>
      </c>
      <c r="I10019" s="4" t="str">
        <v/>
      </c>
    </row>
    <row r="10020" spans="5:9" ht="16.5" hidden="1">
      <c r="E10020" s="4" t="str">
        <v/>
      </c>
      <c r="F10020" s="102" t="str">
        <f ca="1">IFERROR(__xludf.DUMMYFUNCTION("IMPORTRANGE(H10020,""IDENTITAS UNIT!D9"")"),"#N/A")</f>
        <v>#N/A</v>
      </c>
      <c r="H10020" s="4" t="str">
        <v/>
      </c>
      <c r="I10020" s="4" t="str">
        <v/>
      </c>
    </row>
    <row r="10021" spans="5:9" ht="16.5" hidden="1">
      <c r="E10021" s="4" t="str">
        <v/>
      </c>
      <c r="F10021" s="102" t="str">
        <f ca="1">IFERROR(__xludf.DUMMYFUNCTION("IMPORTRANGE(H10021,""IDENTITAS UNIT!D9"")"),"#N/A")</f>
        <v>#N/A</v>
      </c>
      <c r="H10021" s="4" t="str">
        <v/>
      </c>
      <c r="I10021" s="4" t="str">
        <v/>
      </c>
    </row>
    <row r="10022" spans="5:9" ht="16.5" hidden="1">
      <c r="E10022" s="4" t="str">
        <v/>
      </c>
      <c r="F10022" s="102" t="str">
        <f ca="1">IFERROR(__xludf.DUMMYFUNCTION("IMPORTRANGE(H10022,""IDENTITAS UNIT!D9"")"),"#N/A")</f>
        <v>#N/A</v>
      </c>
      <c r="H10022" s="4" t="str">
        <v/>
      </c>
      <c r="I10022" s="4" t="str">
        <v/>
      </c>
    </row>
    <row r="10023" spans="5:9" ht="16.5" hidden="1">
      <c r="E10023" s="4" t="str">
        <v/>
      </c>
      <c r="F10023" s="102" t="str">
        <f ca="1">IFERROR(__xludf.DUMMYFUNCTION("IMPORTRANGE(H10023,""IDENTITAS UNIT!D9"")"),"#N/A")</f>
        <v>#N/A</v>
      </c>
      <c r="H10023" s="4" t="str">
        <v/>
      </c>
      <c r="I10023" s="4" t="str">
        <v/>
      </c>
    </row>
    <row r="10024" spans="5:9" ht="16.5" hidden="1">
      <c r="E10024" s="4" t="str">
        <v/>
      </c>
      <c r="F10024" s="102" t="str">
        <f ca="1">IFERROR(__xludf.DUMMYFUNCTION("IMPORTRANGE(H10024,""IDENTITAS UNIT!D9"")"),"#N/A")</f>
        <v>#N/A</v>
      </c>
      <c r="H10024" s="4" t="str">
        <v/>
      </c>
      <c r="I10024" s="4" t="str">
        <v/>
      </c>
    </row>
    <row r="10025" spans="5:9" ht="16.5" hidden="1">
      <c r="E10025" s="4" t="str">
        <v/>
      </c>
      <c r="F10025" s="102" t="str">
        <f ca="1">IFERROR(__xludf.DUMMYFUNCTION("IMPORTRANGE(H10025,""IDENTITAS UNIT!D9"")"),"#N/A")</f>
        <v>#N/A</v>
      </c>
      <c r="H10025" s="4" t="str">
        <v/>
      </c>
      <c r="I10025" s="4" t="str">
        <v/>
      </c>
    </row>
    <row r="10026" spans="5:9" ht="16.5" hidden="1">
      <c r="E10026" s="4" t="str">
        <v/>
      </c>
      <c r="F10026" s="102" t="str">
        <f ca="1">IFERROR(__xludf.DUMMYFUNCTION("IMPORTRANGE(H10026,""IDENTITAS UNIT!D9"")"),"#N/A")</f>
        <v>#N/A</v>
      </c>
      <c r="H10026" s="4" t="str">
        <v/>
      </c>
      <c r="I10026" s="4" t="str">
        <v/>
      </c>
    </row>
    <row r="10027" spans="5:9" ht="16.5" hidden="1">
      <c r="E10027" s="4" t="str">
        <v/>
      </c>
      <c r="F10027" s="102" t="str">
        <f ca="1">IFERROR(__xludf.DUMMYFUNCTION("IMPORTRANGE(H10027,""IDENTITAS UNIT!D9"")"),"#N/A")</f>
        <v>#N/A</v>
      </c>
      <c r="H10027" s="4" t="str">
        <v/>
      </c>
      <c r="I10027" s="4" t="str">
        <v/>
      </c>
    </row>
    <row r="10028" spans="5:9" ht="16.5" hidden="1">
      <c r="E10028" s="4" t="str">
        <v/>
      </c>
      <c r="F10028" s="102" t="str">
        <f ca="1">IFERROR(__xludf.DUMMYFUNCTION("IMPORTRANGE(H10028,""IDENTITAS UNIT!D9"")"),"#N/A")</f>
        <v>#N/A</v>
      </c>
      <c r="H10028" s="4" t="str">
        <v/>
      </c>
      <c r="I10028" s="4" t="str">
        <v/>
      </c>
    </row>
    <row r="10029" spans="5:9" ht="16.5" hidden="1">
      <c r="E10029" s="4" t="str">
        <v/>
      </c>
      <c r="F10029" s="102" t="str">
        <f ca="1">IFERROR(__xludf.DUMMYFUNCTION("IMPORTRANGE(H10029,""IDENTITAS UNIT!D9"")"),"#N/A")</f>
        <v>#N/A</v>
      </c>
      <c r="H10029" s="4" t="str">
        <v/>
      </c>
      <c r="I10029" s="4" t="str">
        <v/>
      </c>
    </row>
    <row r="10030" spans="5:9" ht="16.5" hidden="1">
      <c r="E10030" s="4" t="str">
        <v/>
      </c>
      <c r="F10030" s="102" t="str">
        <f ca="1">IFERROR(__xludf.DUMMYFUNCTION("IMPORTRANGE(H10030,""IDENTITAS UNIT!D9"")"),"#N/A")</f>
        <v>#N/A</v>
      </c>
      <c r="H10030" s="4" t="str">
        <v/>
      </c>
      <c r="I10030" s="4" t="str">
        <v/>
      </c>
    </row>
    <row r="10031" spans="5:9" ht="16.5" hidden="1">
      <c r="E10031" s="4" t="str">
        <v/>
      </c>
      <c r="F10031" s="102" t="str">
        <f ca="1">IFERROR(__xludf.DUMMYFUNCTION("IMPORTRANGE(H10031,""IDENTITAS UNIT!D9"")"),"#N/A")</f>
        <v>#N/A</v>
      </c>
      <c r="H10031" s="4" t="str">
        <v/>
      </c>
      <c r="I10031" s="4" t="str">
        <v/>
      </c>
    </row>
    <row r="10032" spans="5:9" ht="16.5" hidden="1">
      <c r="E10032" s="4" t="str">
        <v/>
      </c>
      <c r="F10032" s="102" t="str">
        <f ca="1">IFERROR(__xludf.DUMMYFUNCTION("IMPORTRANGE(H10032,""IDENTITAS UNIT!D9"")"),"#N/A")</f>
        <v>#N/A</v>
      </c>
      <c r="H10032" s="4" t="str">
        <v/>
      </c>
      <c r="I10032" s="4" t="str">
        <v/>
      </c>
    </row>
    <row r="10033" spans="5:9" ht="16.5" hidden="1">
      <c r="E10033" s="4" t="str">
        <v/>
      </c>
      <c r="F10033" s="102" t="str">
        <f ca="1">IFERROR(__xludf.DUMMYFUNCTION("IMPORTRANGE(H10033,""IDENTITAS UNIT!D9"")"),"#N/A")</f>
        <v>#N/A</v>
      </c>
      <c r="H10033" s="4" t="str">
        <v/>
      </c>
      <c r="I10033" s="4" t="str">
        <v/>
      </c>
    </row>
    <row r="10034" spans="5:9" ht="16.5" hidden="1">
      <c r="E10034" s="4" t="str">
        <v/>
      </c>
      <c r="F10034" s="102" t="str">
        <f ca="1">IFERROR(__xludf.DUMMYFUNCTION("IMPORTRANGE(H10034,""IDENTITAS UNIT!D9"")"),"#N/A")</f>
        <v>#N/A</v>
      </c>
      <c r="H10034" s="4" t="str">
        <v/>
      </c>
      <c r="I10034" s="4" t="str">
        <v/>
      </c>
    </row>
    <row r="10035" spans="5:9" ht="16.5" hidden="1">
      <c r="E10035" s="4" t="str">
        <v/>
      </c>
      <c r="F10035" s="102" t="str">
        <f ca="1">IFERROR(__xludf.DUMMYFUNCTION("IMPORTRANGE(H10035,""IDENTITAS UNIT!D9"")"),"#N/A")</f>
        <v>#N/A</v>
      </c>
      <c r="H10035" s="4" t="str">
        <v/>
      </c>
      <c r="I10035" s="4" t="str">
        <v/>
      </c>
    </row>
    <row r="10036" spans="5:9" ht="16.5" hidden="1">
      <c r="E10036" s="4" t="str">
        <v/>
      </c>
      <c r="F10036" s="102" t="str">
        <f ca="1">IFERROR(__xludf.DUMMYFUNCTION("IMPORTRANGE(H10036,""IDENTITAS UNIT!D9"")"),"#N/A")</f>
        <v>#N/A</v>
      </c>
      <c r="H10036" s="4" t="str">
        <v/>
      </c>
      <c r="I10036" s="4" t="str">
        <v/>
      </c>
    </row>
    <row r="10037" spans="5:9" ht="16.5" hidden="1">
      <c r="E10037" s="4" t="str">
        <v/>
      </c>
      <c r="F10037" s="102" t="str">
        <f ca="1">IFERROR(__xludf.DUMMYFUNCTION("IMPORTRANGE(H10037,""IDENTITAS UNIT!D9"")"),"#N/A")</f>
        <v>#N/A</v>
      </c>
      <c r="H10037" s="4" t="str">
        <v/>
      </c>
      <c r="I10037" s="4" t="str">
        <v/>
      </c>
    </row>
    <row r="10038" spans="5:9" ht="16.5" hidden="1">
      <c r="E10038" s="4" t="str">
        <v/>
      </c>
      <c r="F10038" s="102" t="str">
        <f ca="1">IFERROR(__xludf.DUMMYFUNCTION("IMPORTRANGE(H10038,""IDENTITAS UNIT!D9"")"),"#N/A")</f>
        <v>#N/A</v>
      </c>
      <c r="H10038" s="4" t="str">
        <v/>
      </c>
      <c r="I10038" s="4" t="str">
        <v/>
      </c>
    </row>
    <row r="10039" spans="5:9" ht="16.5" hidden="1">
      <c r="E10039" s="4" t="str">
        <v/>
      </c>
      <c r="F10039" s="102" t="str">
        <f ca="1">IFERROR(__xludf.DUMMYFUNCTION("IMPORTRANGE(H10039,""IDENTITAS UNIT!D9"")"),"#N/A")</f>
        <v>#N/A</v>
      </c>
      <c r="H10039" s="4" t="str">
        <v/>
      </c>
      <c r="I10039" s="4" t="str">
        <v/>
      </c>
    </row>
    <row r="10040" spans="5:9" ht="16.5" hidden="1">
      <c r="E10040" s="4" t="str">
        <v/>
      </c>
      <c r="F10040" s="102" t="str">
        <f ca="1">IFERROR(__xludf.DUMMYFUNCTION("IMPORTRANGE(H10040,""IDENTITAS UNIT!D9"")"),"#N/A")</f>
        <v>#N/A</v>
      </c>
      <c r="H10040" s="4" t="str">
        <v/>
      </c>
      <c r="I10040" s="4" t="str">
        <v/>
      </c>
    </row>
    <row r="10041" spans="5:9" ht="16.5" hidden="1">
      <c r="E10041" s="4" t="str">
        <v/>
      </c>
      <c r="F10041" s="102" t="str">
        <f ca="1">IFERROR(__xludf.DUMMYFUNCTION("IMPORTRANGE(H10041,""IDENTITAS UNIT!D9"")"),"#N/A")</f>
        <v>#N/A</v>
      </c>
      <c r="H10041" s="4" t="str">
        <v/>
      </c>
      <c r="I10041" s="4" t="str">
        <v/>
      </c>
    </row>
    <row r="10042" spans="5:9" ht="16.5" hidden="1">
      <c r="E10042" s="4" t="str">
        <v/>
      </c>
      <c r="F10042" s="102" t="str">
        <f ca="1">IFERROR(__xludf.DUMMYFUNCTION("IMPORTRANGE(H10042,""IDENTITAS UNIT!D9"")"),"#N/A")</f>
        <v>#N/A</v>
      </c>
      <c r="H10042" s="4" t="str">
        <v/>
      </c>
      <c r="I10042" s="4" t="str">
        <v/>
      </c>
    </row>
    <row r="10043" spans="5:9" ht="16.5" hidden="1">
      <c r="E10043" s="4" t="str">
        <v/>
      </c>
      <c r="F10043" s="102" t="str">
        <f ca="1">IFERROR(__xludf.DUMMYFUNCTION("IMPORTRANGE(H10043,""IDENTITAS UNIT!D9"")"),"#N/A")</f>
        <v>#N/A</v>
      </c>
      <c r="H10043" s="4" t="str">
        <v/>
      </c>
      <c r="I10043" s="4" t="str">
        <v/>
      </c>
    </row>
    <row r="10044" spans="5:9" ht="16.5" hidden="1">
      <c r="E10044" s="4" t="str">
        <v/>
      </c>
      <c r="F10044" s="102" t="str">
        <f ca="1">IFERROR(__xludf.DUMMYFUNCTION("IMPORTRANGE(H10044,""IDENTITAS UNIT!D9"")"),"#N/A")</f>
        <v>#N/A</v>
      </c>
      <c r="H10044" s="4" t="str">
        <v/>
      </c>
      <c r="I10044" s="4" t="str">
        <v/>
      </c>
    </row>
    <row r="10045" spans="5:9" ht="16.5" hidden="1">
      <c r="E10045" s="4" t="str">
        <v/>
      </c>
      <c r="F10045" s="102" t="str">
        <f ca="1">IFERROR(__xludf.DUMMYFUNCTION("IMPORTRANGE(H10045,""IDENTITAS UNIT!D9"")"),"#N/A")</f>
        <v>#N/A</v>
      </c>
      <c r="H10045" s="4" t="str">
        <v/>
      </c>
      <c r="I10045" s="4" t="str">
        <v/>
      </c>
    </row>
    <row r="10046" spans="5:9" ht="16.5" hidden="1">
      <c r="E10046" s="4" t="str">
        <v/>
      </c>
      <c r="F10046" s="102" t="str">
        <f ca="1">IFERROR(__xludf.DUMMYFUNCTION("IMPORTRANGE(H10046,""IDENTITAS UNIT!D9"")"),"#N/A")</f>
        <v>#N/A</v>
      </c>
      <c r="H10046" s="4" t="str">
        <v/>
      </c>
      <c r="I10046" s="4" t="str">
        <v/>
      </c>
    </row>
    <row r="10047" spans="5:9" ht="16.5" hidden="1">
      <c r="E10047" s="4" t="str">
        <v/>
      </c>
      <c r="F10047" s="102" t="str">
        <f ca="1">IFERROR(__xludf.DUMMYFUNCTION("IMPORTRANGE(H10047,""IDENTITAS UNIT!D9"")"),"#N/A")</f>
        <v>#N/A</v>
      </c>
      <c r="H10047" s="4" t="str">
        <v/>
      </c>
      <c r="I10047" s="4" t="str">
        <v/>
      </c>
    </row>
    <row r="10048" spans="5:9" ht="16.5" hidden="1">
      <c r="E10048" s="4" t="str">
        <v/>
      </c>
      <c r="F10048" s="102" t="str">
        <f ca="1">IFERROR(__xludf.DUMMYFUNCTION("IMPORTRANGE(H10048,""IDENTITAS UNIT!D9"")"),"#N/A")</f>
        <v>#N/A</v>
      </c>
      <c r="H10048" s="4" t="str">
        <v/>
      </c>
      <c r="I10048" s="4" t="str">
        <v/>
      </c>
    </row>
    <row r="10049" spans="5:9" ht="16.5" hidden="1">
      <c r="E10049" s="4" t="str">
        <v/>
      </c>
      <c r="F10049" s="102" t="str">
        <f ca="1">IFERROR(__xludf.DUMMYFUNCTION("IMPORTRANGE(H10049,""IDENTITAS UNIT!D9"")"),"#N/A")</f>
        <v>#N/A</v>
      </c>
      <c r="H10049" s="4" t="str">
        <v/>
      </c>
      <c r="I10049" s="4" t="str">
        <v/>
      </c>
    </row>
    <row r="10050" spans="5:9" ht="16.5" hidden="1">
      <c r="E10050" s="4" t="str">
        <v/>
      </c>
      <c r="F10050" s="102" t="str">
        <f ca="1">IFERROR(__xludf.DUMMYFUNCTION("IMPORTRANGE(H10050,""IDENTITAS UNIT!D9"")"),"#N/A")</f>
        <v>#N/A</v>
      </c>
      <c r="H10050" s="4" t="str">
        <v/>
      </c>
      <c r="I10050" s="4" t="str">
        <v/>
      </c>
    </row>
    <row r="10051" spans="5:9" ht="16.5" hidden="1">
      <c r="E10051" s="4" t="str">
        <v/>
      </c>
      <c r="F10051" s="102" t="str">
        <f ca="1">IFERROR(__xludf.DUMMYFUNCTION("IMPORTRANGE(H10051,""IDENTITAS UNIT!D9"")"),"#N/A")</f>
        <v>#N/A</v>
      </c>
      <c r="H10051" s="4" t="str">
        <v/>
      </c>
      <c r="I10051" s="4" t="str">
        <v/>
      </c>
    </row>
    <row r="10052" spans="5:9" ht="16.5" hidden="1">
      <c r="E10052" s="4" t="str">
        <v/>
      </c>
      <c r="F10052" s="102" t="str">
        <f ca="1">IFERROR(__xludf.DUMMYFUNCTION("IMPORTRANGE(H10052,""IDENTITAS UNIT!D9"")"),"#N/A")</f>
        <v>#N/A</v>
      </c>
      <c r="H10052" s="4" t="str">
        <v/>
      </c>
      <c r="I10052" s="4" t="str">
        <v/>
      </c>
    </row>
    <row r="10053" spans="5:9" ht="16.5" hidden="1">
      <c r="E10053" s="4" t="str">
        <v/>
      </c>
      <c r="F10053" s="102" t="str">
        <f ca="1">IFERROR(__xludf.DUMMYFUNCTION("IMPORTRANGE(H10053,""IDENTITAS UNIT!D9"")"),"#N/A")</f>
        <v>#N/A</v>
      </c>
      <c r="H10053" s="4" t="str">
        <v/>
      </c>
      <c r="I10053" s="4" t="str">
        <v/>
      </c>
    </row>
    <row r="10054" spans="5:9" ht="16.5" hidden="1">
      <c r="E10054" s="4" t="str">
        <v/>
      </c>
      <c r="F10054" s="102" t="str">
        <f ca="1">IFERROR(__xludf.DUMMYFUNCTION("IMPORTRANGE(H10054,""IDENTITAS UNIT!D9"")"),"#N/A")</f>
        <v>#N/A</v>
      </c>
      <c r="H10054" s="4" t="str">
        <v/>
      </c>
      <c r="I10054" s="4" t="str">
        <v/>
      </c>
    </row>
    <row r="10055" spans="5:9" ht="16.5" hidden="1">
      <c r="E10055" s="4" t="str">
        <v/>
      </c>
      <c r="F10055" s="102" t="str">
        <f ca="1">IFERROR(__xludf.DUMMYFUNCTION("IMPORTRANGE(H10055,""IDENTITAS UNIT!D9"")"),"#N/A")</f>
        <v>#N/A</v>
      </c>
      <c r="H10055" s="4" t="str">
        <v/>
      </c>
      <c r="I10055" s="4" t="str">
        <v/>
      </c>
    </row>
    <row r="10056" spans="5:9" ht="16.5" hidden="1">
      <c r="E10056" s="4" t="str">
        <v/>
      </c>
      <c r="F10056" s="102" t="str">
        <f ca="1">IFERROR(__xludf.DUMMYFUNCTION("IMPORTRANGE(H10056,""IDENTITAS UNIT!D9"")"),"#N/A")</f>
        <v>#N/A</v>
      </c>
      <c r="H10056" s="4" t="str">
        <v/>
      </c>
      <c r="I10056" s="4" t="str">
        <v/>
      </c>
    </row>
    <row r="10057" spans="5:9" ht="16.5" hidden="1">
      <c r="E10057" s="4" t="str">
        <v/>
      </c>
      <c r="F10057" s="102" t="str">
        <f ca="1">IFERROR(__xludf.DUMMYFUNCTION("IMPORTRANGE(H10057,""IDENTITAS UNIT!D9"")"),"#N/A")</f>
        <v>#N/A</v>
      </c>
      <c r="H10057" s="4" t="str">
        <v/>
      </c>
      <c r="I10057" s="4" t="str">
        <v/>
      </c>
    </row>
    <row r="10058" spans="5:9" ht="16.5" hidden="1">
      <c r="E10058" s="4" t="str">
        <v/>
      </c>
      <c r="F10058" s="102" t="str">
        <f ca="1">IFERROR(__xludf.DUMMYFUNCTION("IMPORTRANGE(H10058,""IDENTITAS UNIT!D9"")"),"#N/A")</f>
        <v>#N/A</v>
      </c>
      <c r="H10058" s="4" t="str">
        <v/>
      </c>
      <c r="I10058" s="4" t="str">
        <v/>
      </c>
    </row>
    <row r="10059" spans="5:9" ht="16.5" hidden="1">
      <c r="E10059" s="4" t="str">
        <v/>
      </c>
      <c r="F10059" s="102" t="str">
        <f ca="1">IFERROR(__xludf.DUMMYFUNCTION("IMPORTRANGE(H10059,""IDENTITAS UNIT!D9"")"),"#N/A")</f>
        <v>#N/A</v>
      </c>
      <c r="H10059" s="4" t="str">
        <v/>
      </c>
      <c r="I10059" s="4" t="str">
        <v/>
      </c>
    </row>
    <row r="10060" spans="5:9" ht="16.5" hidden="1">
      <c r="E10060" s="4" t="str">
        <v/>
      </c>
      <c r="F10060" s="102" t="str">
        <f ca="1">IFERROR(__xludf.DUMMYFUNCTION("IMPORTRANGE(H10060,""IDENTITAS UNIT!D9"")"),"#N/A")</f>
        <v>#N/A</v>
      </c>
      <c r="H10060" s="4" t="str">
        <v/>
      </c>
      <c r="I10060" s="4" t="str">
        <v/>
      </c>
    </row>
    <row r="10061" spans="5:9" ht="16.5" hidden="1">
      <c r="E10061" s="4" t="str">
        <v/>
      </c>
      <c r="F10061" s="102" t="str">
        <f ca="1">IFERROR(__xludf.DUMMYFUNCTION("IMPORTRANGE(H10061,""IDENTITAS UNIT!D9"")"),"#N/A")</f>
        <v>#N/A</v>
      </c>
      <c r="H10061" s="4" t="str">
        <v/>
      </c>
      <c r="I10061" s="4" t="str">
        <v/>
      </c>
    </row>
    <row r="10062" spans="5:9" ht="16.5" hidden="1">
      <c r="E10062" s="4" t="str">
        <v/>
      </c>
      <c r="F10062" s="102" t="str">
        <f ca="1">IFERROR(__xludf.DUMMYFUNCTION("IMPORTRANGE(H10062,""IDENTITAS UNIT!D9"")"),"#N/A")</f>
        <v>#N/A</v>
      </c>
      <c r="H10062" s="4" t="str">
        <v/>
      </c>
      <c r="I10062" s="4" t="str">
        <v/>
      </c>
    </row>
    <row r="10063" spans="5:9" ht="16.5" hidden="1">
      <c r="E10063" s="4" t="str">
        <v/>
      </c>
      <c r="F10063" s="102" t="str">
        <f ca="1">IFERROR(__xludf.DUMMYFUNCTION("IMPORTRANGE(H10063,""IDENTITAS UNIT!D9"")"),"#N/A")</f>
        <v>#N/A</v>
      </c>
      <c r="H10063" s="4" t="str">
        <v/>
      </c>
      <c r="I10063" s="4" t="str">
        <v/>
      </c>
    </row>
    <row r="10064" spans="5:9" ht="16.5" hidden="1">
      <c r="E10064" s="4" t="str">
        <v/>
      </c>
      <c r="F10064" s="102" t="str">
        <f ca="1">IFERROR(__xludf.DUMMYFUNCTION("IMPORTRANGE(H10064,""IDENTITAS UNIT!D9"")"),"#N/A")</f>
        <v>#N/A</v>
      </c>
      <c r="H10064" s="4" t="str">
        <v/>
      </c>
      <c r="I10064" s="4" t="str">
        <v/>
      </c>
    </row>
    <row r="10065" spans="5:9" ht="16.5" hidden="1">
      <c r="E10065" s="4" t="str">
        <v/>
      </c>
      <c r="F10065" s="102" t="str">
        <f ca="1">IFERROR(__xludf.DUMMYFUNCTION("IMPORTRANGE(H10065,""IDENTITAS UNIT!D9"")"),"#N/A")</f>
        <v>#N/A</v>
      </c>
      <c r="H10065" s="4" t="str">
        <v/>
      </c>
      <c r="I10065" s="4" t="str">
        <v/>
      </c>
    </row>
    <row r="10066" spans="5:9" ht="16.5" hidden="1">
      <c r="E10066" s="4" t="str">
        <v/>
      </c>
      <c r="F10066" s="102" t="str">
        <f ca="1">IFERROR(__xludf.DUMMYFUNCTION("IMPORTRANGE(H10066,""IDENTITAS UNIT!D9"")"),"#N/A")</f>
        <v>#N/A</v>
      </c>
      <c r="H10066" s="4" t="str">
        <v/>
      </c>
      <c r="I10066" s="4" t="str">
        <v/>
      </c>
    </row>
    <row r="10067" spans="5:9" ht="16.5" hidden="1">
      <c r="E10067" s="4" t="str">
        <v/>
      </c>
      <c r="F10067" s="102" t="str">
        <f ca="1">IFERROR(__xludf.DUMMYFUNCTION("IMPORTRANGE(H10067,""IDENTITAS UNIT!D9"")"),"#N/A")</f>
        <v>#N/A</v>
      </c>
      <c r="H10067" s="4" t="str">
        <v/>
      </c>
      <c r="I10067" s="4" t="str">
        <v/>
      </c>
    </row>
    <row r="10068" spans="5:9" ht="16.5" hidden="1">
      <c r="E10068" s="4" t="str">
        <v/>
      </c>
      <c r="F10068" s="102" t="str">
        <f ca="1">IFERROR(__xludf.DUMMYFUNCTION("IMPORTRANGE(H10068,""IDENTITAS UNIT!D9"")"),"#N/A")</f>
        <v>#N/A</v>
      </c>
      <c r="H10068" s="4" t="str">
        <v/>
      </c>
      <c r="I10068" s="4" t="str">
        <v/>
      </c>
    </row>
    <row r="10069" spans="5:9" ht="16.5" hidden="1">
      <c r="E10069" s="4" t="str">
        <v/>
      </c>
      <c r="F10069" s="102" t="str">
        <f ca="1">IFERROR(__xludf.DUMMYFUNCTION("IMPORTRANGE(H10069,""IDENTITAS UNIT!D9"")"),"#N/A")</f>
        <v>#N/A</v>
      </c>
      <c r="H10069" s="4" t="str">
        <v/>
      </c>
      <c r="I10069" s="4" t="str">
        <v/>
      </c>
    </row>
    <row r="10070" spans="5:9" ht="16.5" hidden="1">
      <c r="E10070" s="4" t="str">
        <v/>
      </c>
      <c r="F10070" s="102" t="str">
        <f ca="1">IFERROR(__xludf.DUMMYFUNCTION("IMPORTRANGE(H10070,""IDENTITAS UNIT!D9"")"),"#N/A")</f>
        <v>#N/A</v>
      </c>
      <c r="H10070" s="4" t="str">
        <v/>
      </c>
      <c r="I10070" s="4" t="str">
        <v/>
      </c>
    </row>
    <row r="10071" spans="5:9" ht="16.5" hidden="1">
      <c r="E10071" s="4" t="str">
        <v/>
      </c>
      <c r="F10071" s="102" t="str">
        <f ca="1">IFERROR(__xludf.DUMMYFUNCTION("IMPORTRANGE(H10071,""IDENTITAS UNIT!D9"")"),"#N/A")</f>
        <v>#N/A</v>
      </c>
      <c r="H10071" s="4" t="str">
        <v/>
      </c>
      <c r="I10071" s="4" t="str">
        <v/>
      </c>
    </row>
    <row r="10072" spans="5:9" ht="16.5" hidden="1">
      <c r="E10072" s="4" t="str">
        <v/>
      </c>
      <c r="F10072" s="102" t="str">
        <f ca="1">IFERROR(__xludf.DUMMYFUNCTION("IMPORTRANGE(H10072,""IDENTITAS UNIT!D9"")"),"#N/A")</f>
        <v>#N/A</v>
      </c>
      <c r="H10072" s="4" t="str">
        <v/>
      </c>
      <c r="I10072" s="4" t="str">
        <v/>
      </c>
    </row>
    <row r="10073" spans="5:9" ht="16.5" hidden="1">
      <c r="E10073" s="4" t="str">
        <v/>
      </c>
      <c r="F10073" s="102" t="str">
        <f ca="1">IFERROR(__xludf.DUMMYFUNCTION("IMPORTRANGE(H10073,""IDENTITAS UNIT!D9"")"),"#N/A")</f>
        <v>#N/A</v>
      </c>
      <c r="H10073" s="4" t="str">
        <v/>
      </c>
      <c r="I10073" s="4" t="str">
        <v/>
      </c>
    </row>
    <row r="10074" spans="5:9" ht="16.5" hidden="1">
      <c r="E10074" s="4" t="str">
        <v/>
      </c>
      <c r="F10074" s="102" t="str">
        <f ca="1">IFERROR(__xludf.DUMMYFUNCTION("IMPORTRANGE(H10074,""IDENTITAS UNIT!D9"")"),"#N/A")</f>
        <v>#N/A</v>
      </c>
      <c r="H10074" s="4" t="str">
        <v/>
      </c>
      <c r="I10074" s="4" t="str">
        <v/>
      </c>
    </row>
    <row r="10075" spans="5:9" ht="16.5" hidden="1">
      <c r="E10075" s="4" t="str">
        <v/>
      </c>
      <c r="F10075" s="102" t="str">
        <f ca="1">IFERROR(__xludf.DUMMYFUNCTION("IMPORTRANGE(H10075,""IDENTITAS UNIT!D9"")"),"#N/A")</f>
        <v>#N/A</v>
      </c>
      <c r="H10075" s="4" t="str">
        <v/>
      </c>
      <c r="I10075" s="4" t="str">
        <v/>
      </c>
    </row>
    <row r="10076" spans="5:9" ht="16.5" hidden="1">
      <c r="E10076" s="4" t="str">
        <v/>
      </c>
      <c r="F10076" s="102" t="str">
        <f ca="1">IFERROR(__xludf.DUMMYFUNCTION("IMPORTRANGE(H10076,""IDENTITAS UNIT!D9"")"),"#N/A")</f>
        <v>#N/A</v>
      </c>
      <c r="H10076" s="4" t="str">
        <v/>
      </c>
      <c r="I10076" s="4" t="str">
        <v/>
      </c>
    </row>
    <row r="10077" spans="5:9" ht="16.5" hidden="1">
      <c r="E10077" s="4" t="str">
        <v/>
      </c>
      <c r="F10077" s="102" t="str">
        <f ca="1">IFERROR(__xludf.DUMMYFUNCTION("IMPORTRANGE(H10077,""IDENTITAS UNIT!D9"")"),"#N/A")</f>
        <v>#N/A</v>
      </c>
      <c r="H10077" s="4" t="str">
        <v/>
      </c>
      <c r="I10077" s="4" t="str">
        <v/>
      </c>
    </row>
    <row r="10078" spans="5:9" ht="16.5" hidden="1">
      <c r="E10078" s="4" t="str">
        <v/>
      </c>
      <c r="F10078" s="102" t="str">
        <f ca="1">IFERROR(__xludf.DUMMYFUNCTION("IMPORTRANGE(H10078,""IDENTITAS UNIT!D9"")"),"#N/A")</f>
        <v>#N/A</v>
      </c>
      <c r="H10078" s="4" t="str">
        <v/>
      </c>
      <c r="I10078" s="4" t="str">
        <v/>
      </c>
    </row>
    <row r="10079" spans="5:9" ht="16.5" hidden="1">
      <c r="E10079" s="4" t="str">
        <v/>
      </c>
      <c r="F10079" s="102" t="str">
        <f ca="1">IFERROR(__xludf.DUMMYFUNCTION("IMPORTRANGE(H10079,""IDENTITAS UNIT!D9"")"),"#N/A")</f>
        <v>#N/A</v>
      </c>
      <c r="H10079" s="4" t="str">
        <v/>
      </c>
      <c r="I10079" s="4" t="str">
        <v/>
      </c>
    </row>
    <row r="10080" spans="5:9" ht="16.5" hidden="1">
      <c r="E10080" s="4" t="str">
        <v/>
      </c>
      <c r="F10080" s="102" t="str">
        <f ca="1">IFERROR(__xludf.DUMMYFUNCTION("IMPORTRANGE(H10080,""IDENTITAS UNIT!D9"")"),"#N/A")</f>
        <v>#N/A</v>
      </c>
      <c r="H10080" s="4" t="str">
        <v/>
      </c>
      <c r="I10080" s="4" t="str">
        <v/>
      </c>
    </row>
    <row r="10081" spans="5:9" ht="16.5" hidden="1">
      <c r="E10081" s="4" t="str">
        <v/>
      </c>
      <c r="F10081" s="102" t="str">
        <f ca="1">IFERROR(__xludf.DUMMYFUNCTION("IMPORTRANGE(H10081,""IDENTITAS UNIT!D9"")"),"#N/A")</f>
        <v>#N/A</v>
      </c>
      <c r="H10081" s="4" t="str">
        <v/>
      </c>
      <c r="I10081" s="4" t="str">
        <v/>
      </c>
    </row>
    <row r="10082" spans="5:9" ht="16.5" hidden="1">
      <c r="E10082" s="4" t="str">
        <v/>
      </c>
      <c r="F10082" s="102" t="str">
        <f ca="1">IFERROR(__xludf.DUMMYFUNCTION("IMPORTRANGE(H10082,""IDENTITAS UNIT!D9"")"),"#N/A")</f>
        <v>#N/A</v>
      </c>
      <c r="H10082" s="4" t="str">
        <v/>
      </c>
      <c r="I10082" s="4" t="str">
        <v/>
      </c>
    </row>
    <row r="10083" spans="5:9" ht="16.5" hidden="1">
      <c r="E10083" s="4" t="str">
        <v/>
      </c>
      <c r="F10083" s="102" t="str">
        <f ca="1">IFERROR(__xludf.DUMMYFUNCTION("IMPORTRANGE(H10083,""IDENTITAS UNIT!D9"")"),"#N/A")</f>
        <v>#N/A</v>
      </c>
      <c r="H10083" s="4" t="str">
        <v/>
      </c>
      <c r="I10083" s="4" t="str">
        <v/>
      </c>
    </row>
    <row r="10084" spans="5:9" ht="16.5" hidden="1">
      <c r="E10084" s="4" t="str">
        <v/>
      </c>
      <c r="F10084" s="102" t="str">
        <f ca="1">IFERROR(__xludf.DUMMYFUNCTION("IMPORTRANGE(H10084,""IDENTITAS UNIT!D9"")"),"#N/A")</f>
        <v>#N/A</v>
      </c>
      <c r="H10084" s="4" t="str">
        <v/>
      </c>
      <c r="I10084" s="4" t="str">
        <v/>
      </c>
    </row>
    <row r="10085" spans="5:9" ht="16.5" hidden="1">
      <c r="E10085" s="4" t="str">
        <v/>
      </c>
      <c r="F10085" s="102" t="str">
        <f ca="1">IFERROR(__xludf.DUMMYFUNCTION("IMPORTRANGE(H10085,""IDENTITAS UNIT!D9"")"),"#N/A")</f>
        <v>#N/A</v>
      </c>
      <c r="H10085" s="4" t="str">
        <v/>
      </c>
      <c r="I10085" s="4" t="str">
        <v/>
      </c>
    </row>
    <row r="10086" spans="5:9" ht="16.5" hidden="1">
      <c r="E10086" s="4" t="str">
        <v/>
      </c>
      <c r="F10086" s="102" t="str">
        <f ca="1">IFERROR(__xludf.DUMMYFUNCTION("IMPORTRANGE(H10086,""IDENTITAS UNIT!D9"")"),"#N/A")</f>
        <v>#N/A</v>
      </c>
      <c r="H10086" s="4" t="str">
        <v/>
      </c>
      <c r="I10086" s="4" t="str">
        <v/>
      </c>
    </row>
    <row r="10087" spans="5:9" ht="16.5" hidden="1">
      <c r="E10087" s="4" t="str">
        <v/>
      </c>
      <c r="F10087" s="102" t="str">
        <f ca="1">IFERROR(__xludf.DUMMYFUNCTION("IMPORTRANGE(H10087,""IDENTITAS UNIT!D9"")"),"#N/A")</f>
        <v>#N/A</v>
      </c>
      <c r="H10087" s="4" t="str">
        <v/>
      </c>
      <c r="I10087" s="4" t="str">
        <v/>
      </c>
    </row>
    <row r="10088" spans="5:9" ht="16.5" hidden="1">
      <c r="E10088" s="4" t="str">
        <v/>
      </c>
      <c r="F10088" s="102" t="str">
        <f ca="1">IFERROR(__xludf.DUMMYFUNCTION("IMPORTRANGE(H10088,""IDENTITAS UNIT!D9"")"),"#N/A")</f>
        <v>#N/A</v>
      </c>
      <c r="H10088" s="4" t="str">
        <v/>
      </c>
      <c r="I10088" s="4" t="str">
        <v/>
      </c>
    </row>
    <row r="10089" spans="5:9" ht="16.5" hidden="1">
      <c r="E10089" s="4" t="str">
        <v/>
      </c>
      <c r="F10089" s="102" t="str">
        <f ca="1">IFERROR(__xludf.DUMMYFUNCTION("IMPORTRANGE(H10089,""IDENTITAS UNIT!D9"")"),"#N/A")</f>
        <v>#N/A</v>
      </c>
      <c r="H10089" s="4" t="str">
        <v/>
      </c>
      <c r="I10089" s="4" t="str">
        <v/>
      </c>
    </row>
    <row r="10090" spans="5:9" ht="16.5" hidden="1">
      <c r="E10090" s="4" t="str">
        <v/>
      </c>
      <c r="F10090" s="102" t="str">
        <f ca="1">IFERROR(__xludf.DUMMYFUNCTION("IMPORTRANGE(H10090,""IDENTITAS UNIT!D9"")"),"#N/A")</f>
        <v>#N/A</v>
      </c>
      <c r="H10090" s="4" t="str">
        <v/>
      </c>
      <c r="I10090" s="4" t="str">
        <v/>
      </c>
    </row>
    <row r="10091" spans="5:9" ht="16.5" hidden="1">
      <c r="E10091" s="4" t="str">
        <v/>
      </c>
      <c r="F10091" s="102" t="str">
        <f ca="1">IFERROR(__xludf.DUMMYFUNCTION("IMPORTRANGE(H10091,""IDENTITAS UNIT!D9"")"),"#N/A")</f>
        <v>#N/A</v>
      </c>
      <c r="H10091" s="4" t="str">
        <v/>
      </c>
      <c r="I10091" s="4" t="str">
        <v/>
      </c>
    </row>
    <row r="10092" spans="5:9" ht="16.5" hidden="1">
      <c r="E10092" s="4" t="str">
        <v/>
      </c>
      <c r="F10092" s="102" t="str">
        <f ca="1">IFERROR(__xludf.DUMMYFUNCTION("IMPORTRANGE(H10092,""IDENTITAS UNIT!D9"")"),"#N/A")</f>
        <v>#N/A</v>
      </c>
      <c r="H10092" s="4" t="str">
        <v/>
      </c>
      <c r="I10092" s="4" t="str">
        <v/>
      </c>
    </row>
    <row r="10093" spans="5:9" ht="16.5" hidden="1">
      <c r="E10093" s="4" t="str">
        <v/>
      </c>
      <c r="F10093" s="102" t="str">
        <f ca="1">IFERROR(__xludf.DUMMYFUNCTION("IMPORTRANGE(H10093,""IDENTITAS UNIT!D9"")"),"#N/A")</f>
        <v>#N/A</v>
      </c>
      <c r="H10093" s="4" t="str">
        <v/>
      </c>
      <c r="I10093" s="4" t="str">
        <v/>
      </c>
    </row>
    <row r="10094" spans="5:9" ht="16.5" hidden="1">
      <c r="E10094" s="4" t="str">
        <v/>
      </c>
      <c r="F10094" s="102" t="str">
        <f ca="1">IFERROR(__xludf.DUMMYFUNCTION("IMPORTRANGE(H10094,""IDENTITAS UNIT!D9"")"),"#N/A")</f>
        <v>#N/A</v>
      </c>
      <c r="H10094" s="4" t="str">
        <v/>
      </c>
      <c r="I10094" s="4" t="str">
        <v/>
      </c>
    </row>
    <row r="10095" spans="5:9" ht="16.5" hidden="1">
      <c r="E10095" s="4" t="str">
        <v/>
      </c>
      <c r="F10095" s="102" t="str">
        <f ca="1">IFERROR(__xludf.DUMMYFUNCTION("IMPORTRANGE(H10095,""IDENTITAS UNIT!D9"")"),"#N/A")</f>
        <v>#N/A</v>
      </c>
      <c r="H10095" s="4" t="str">
        <v/>
      </c>
      <c r="I10095" s="4" t="str">
        <v/>
      </c>
    </row>
    <row r="10096" spans="5:9" ht="16.5" hidden="1">
      <c r="E10096" s="4" t="str">
        <v/>
      </c>
      <c r="F10096" s="102" t="str">
        <f ca="1">IFERROR(__xludf.DUMMYFUNCTION("IMPORTRANGE(H10096,""IDENTITAS UNIT!D9"")"),"#N/A")</f>
        <v>#N/A</v>
      </c>
      <c r="H10096" s="4" t="str">
        <v/>
      </c>
      <c r="I10096" s="4" t="str">
        <v/>
      </c>
    </row>
    <row r="10097" spans="5:9" ht="16.5" hidden="1">
      <c r="E10097" s="4" t="str">
        <v/>
      </c>
      <c r="F10097" s="102" t="str">
        <f ca="1">IFERROR(__xludf.DUMMYFUNCTION("IMPORTRANGE(H10097,""IDENTITAS UNIT!D9"")"),"#N/A")</f>
        <v>#N/A</v>
      </c>
      <c r="H10097" s="4" t="str">
        <v/>
      </c>
      <c r="I10097" s="4" t="str">
        <v/>
      </c>
    </row>
    <row r="10098" spans="5:9" ht="16.5" hidden="1">
      <c r="E10098" s="4" t="str">
        <v/>
      </c>
      <c r="F10098" s="102" t="str">
        <f ca="1">IFERROR(__xludf.DUMMYFUNCTION("IMPORTRANGE(H10098,""IDENTITAS UNIT!D9"")"),"#N/A")</f>
        <v>#N/A</v>
      </c>
      <c r="H10098" s="4" t="str">
        <v/>
      </c>
      <c r="I10098" s="4" t="str">
        <v/>
      </c>
    </row>
    <row r="10099" spans="5:9" ht="16.5" hidden="1">
      <c r="E10099" s="4" t="str">
        <v/>
      </c>
      <c r="F10099" s="102" t="str">
        <f ca="1">IFERROR(__xludf.DUMMYFUNCTION("IMPORTRANGE(H10099,""IDENTITAS UNIT!D9"")"),"#N/A")</f>
        <v>#N/A</v>
      </c>
      <c r="H10099" s="4" t="str">
        <v/>
      </c>
      <c r="I10099" s="4" t="str">
        <v/>
      </c>
    </row>
    <row r="10100" spans="5:9" ht="16.5" hidden="1">
      <c r="E10100" s="4" t="str">
        <v/>
      </c>
      <c r="F10100" s="102" t="str">
        <f ca="1">IFERROR(__xludf.DUMMYFUNCTION("IMPORTRANGE(H10100,""IDENTITAS UNIT!D9"")"),"#N/A")</f>
        <v>#N/A</v>
      </c>
      <c r="H10100" s="4" t="str">
        <v/>
      </c>
      <c r="I10100" s="4" t="str">
        <v/>
      </c>
    </row>
    <row r="10101" spans="5:9" ht="16.5" hidden="1">
      <c r="E10101" s="4" t="str">
        <v/>
      </c>
      <c r="F10101" s="102" t="str">
        <f ca="1">IFERROR(__xludf.DUMMYFUNCTION("IMPORTRANGE(H10101,""IDENTITAS UNIT!D9"")"),"#N/A")</f>
        <v>#N/A</v>
      </c>
      <c r="H10101" s="4" t="str">
        <v/>
      </c>
      <c r="I10101" s="4" t="str">
        <v/>
      </c>
    </row>
    <row r="10102" spans="5:9" ht="16.5" hidden="1">
      <c r="E10102" s="4" t="str">
        <v/>
      </c>
      <c r="F10102" s="102" t="str">
        <f ca="1">IFERROR(__xludf.DUMMYFUNCTION("IMPORTRANGE(H10102,""IDENTITAS UNIT!D9"")"),"#N/A")</f>
        <v>#N/A</v>
      </c>
      <c r="H10102" s="4" t="str">
        <v/>
      </c>
      <c r="I10102" s="4" t="str">
        <v/>
      </c>
    </row>
    <row r="10103" spans="5:9" ht="16.5" hidden="1">
      <c r="E10103" s="4" t="str">
        <v/>
      </c>
      <c r="F10103" s="102" t="str">
        <f ca="1">IFERROR(__xludf.DUMMYFUNCTION("IMPORTRANGE(H10103,""IDENTITAS UNIT!D9"")"),"#N/A")</f>
        <v>#N/A</v>
      </c>
      <c r="H10103" s="4" t="str">
        <v/>
      </c>
      <c r="I10103" s="4" t="str">
        <v/>
      </c>
    </row>
    <row r="10104" spans="5:9" ht="16.5" hidden="1">
      <c r="E10104" s="4" t="str">
        <v/>
      </c>
      <c r="F10104" s="102" t="str">
        <f ca="1">IFERROR(__xludf.DUMMYFUNCTION("IMPORTRANGE(H10104,""IDENTITAS UNIT!D9"")"),"#N/A")</f>
        <v>#N/A</v>
      </c>
      <c r="H10104" s="4" t="str">
        <v/>
      </c>
      <c r="I10104" s="4" t="str">
        <v/>
      </c>
    </row>
    <row r="10105" spans="5:9" ht="16.5" hidden="1">
      <c r="E10105" s="4" t="str">
        <v/>
      </c>
      <c r="F10105" s="102" t="str">
        <f ca="1">IFERROR(__xludf.DUMMYFUNCTION("IMPORTRANGE(H10105,""IDENTITAS UNIT!D9"")"),"#N/A")</f>
        <v>#N/A</v>
      </c>
      <c r="H10105" s="4" t="str">
        <v/>
      </c>
      <c r="I10105" s="4" t="str">
        <v/>
      </c>
    </row>
    <row r="10106" spans="5:9" ht="16.5" hidden="1">
      <c r="E10106" s="4" t="str">
        <v/>
      </c>
      <c r="F10106" s="102" t="str">
        <f ca="1">IFERROR(__xludf.DUMMYFUNCTION("IMPORTRANGE(H10106,""IDENTITAS UNIT!D9"")"),"#N/A")</f>
        <v>#N/A</v>
      </c>
      <c r="H10106" s="4" t="str">
        <v/>
      </c>
      <c r="I10106" s="4" t="str">
        <v/>
      </c>
    </row>
    <row r="10107" spans="5:9" ht="16.5" hidden="1">
      <c r="E10107" s="4" t="str">
        <v/>
      </c>
      <c r="F10107" s="102" t="str">
        <f ca="1">IFERROR(__xludf.DUMMYFUNCTION("IMPORTRANGE(H10107,""IDENTITAS UNIT!D9"")"),"#N/A")</f>
        <v>#N/A</v>
      </c>
      <c r="H10107" s="4" t="str">
        <v/>
      </c>
      <c r="I10107" s="4" t="str">
        <v/>
      </c>
    </row>
    <row r="10108" spans="5:9" ht="16.5" hidden="1">
      <c r="E10108" s="4" t="str">
        <v/>
      </c>
      <c r="F10108" s="102" t="str">
        <f ca="1">IFERROR(__xludf.DUMMYFUNCTION("IMPORTRANGE(H10108,""IDENTITAS UNIT!D9"")"),"#N/A")</f>
        <v>#N/A</v>
      </c>
      <c r="H10108" s="4" t="str">
        <v/>
      </c>
      <c r="I10108" s="4" t="str">
        <v/>
      </c>
    </row>
    <row r="10109" spans="5:9" ht="16.5" hidden="1">
      <c r="E10109" s="4" t="str">
        <v/>
      </c>
      <c r="F10109" s="102" t="str">
        <f ca="1">IFERROR(__xludf.DUMMYFUNCTION("IMPORTRANGE(H10109,""IDENTITAS UNIT!D9"")"),"#N/A")</f>
        <v>#N/A</v>
      </c>
      <c r="H10109" s="4" t="str">
        <v/>
      </c>
      <c r="I10109" s="4" t="str">
        <v/>
      </c>
    </row>
    <row r="10110" spans="5:9" ht="16.5" hidden="1">
      <c r="E10110" s="4" t="str">
        <v/>
      </c>
      <c r="F10110" s="102" t="str">
        <f ca="1">IFERROR(__xludf.DUMMYFUNCTION("IMPORTRANGE(H10110,""IDENTITAS UNIT!D9"")"),"#N/A")</f>
        <v>#N/A</v>
      </c>
      <c r="H10110" s="4" t="str">
        <v/>
      </c>
      <c r="I10110" s="4" t="str">
        <v/>
      </c>
    </row>
    <row r="10111" spans="5:9" ht="16.5" hidden="1">
      <c r="E10111" s="4" t="str">
        <v/>
      </c>
      <c r="F10111" s="102" t="str">
        <f ca="1">IFERROR(__xludf.DUMMYFUNCTION("IMPORTRANGE(H10111,""IDENTITAS UNIT!D9"")"),"#N/A")</f>
        <v>#N/A</v>
      </c>
      <c r="H10111" s="4" t="str">
        <v/>
      </c>
      <c r="I10111" s="4" t="str">
        <v/>
      </c>
    </row>
    <row r="10112" spans="5:9" ht="16.5" hidden="1">
      <c r="E10112" s="4" t="str">
        <v/>
      </c>
      <c r="F10112" s="102" t="str">
        <f ca="1">IFERROR(__xludf.DUMMYFUNCTION("IMPORTRANGE(H10112,""IDENTITAS UNIT!D9"")"),"#N/A")</f>
        <v>#N/A</v>
      </c>
      <c r="H10112" s="4" t="str">
        <v/>
      </c>
      <c r="I10112" s="4" t="str">
        <v/>
      </c>
    </row>
    <row r="10113" spans="5:9" ht="16.5" hidden="1">
      <c r="E10113" s="4" t="str">
        <v/>
      </c>
      <c r="F10113" s="102" t="str">
        <f ca="1">IFERROR(__xludf.DUMMYFUNCTION("IMPORTRANGE(H10113,""IDENTITAS UNIT!D9"")"),"#N/A")</f>
        <v>#N/A</v>
      </c>
      <c r="H10113" s="4" t="str">
        <v/>
      </c>
      <c r="I10113" s="4" t="str">
        <v/>
      </c>
    </row>
    <row r="10114" spans="5:9" ht="16.5" hidden="1">
      <c r="E10114" s="4" t="str">
        <v/>
      </c>
      <c r="F10114" s="102" t="str">
        <f ca="1">IFERROR(__xludf.DUMMYFUNCTION("IMPORTRANGE(H10114,""IDENTITAS UNIT!D9"")"),"#N/A")</f>
        <v>#N/A</v>
      </c>
      <c r="H10114" s="4" t="str">
        <v/>
      </c>
      <c r="I10114" s="4" t="str">
        <v/>
      </c>
    </row>
    <row r="10115" spans="5:9" ht="16.5" hidden="1">
      <c r="E10115" s="4" t="str">
        <v/>
      </c>
      <c r="F10115" s="102" t="str">
        <f ca="1">IFERROR(__xludf.DUMMYFUNCTION("IMPORTRANGE(H10115,""IDENTITAS UNIT!D9"")"),"#N/A")</f>
        <v>#N/A</v>
      </c>
      <c r="H10115" s="4" t="str">
        <v/>
      </c>
      <c r="I10115" s="4" t="str">
        <v/>
      </c>
    </row>
    <row r="10116" spans="5:9" ht="16.5" hidden="1">
      <c r="E10116" s="4" t="str">
        <v/>
      </c>
      <c r="F10116" s="102" t="str">
        <f ca="1">IFERROR(__xludf.DUMMYFUNCTION("IMPORTRANGE(H10116,""IDENTITAS UNIT!D9"")"),"#N/A")</f>
        <v>#N/A</v>
      </c>
      <c r="H10116" s="4" t="str">
        <v/>
      </c>
      <c r="I10116" s="4" t="str">
        <v/>
      </c>
    </row>
    <row r="10117" spans="5:9" ht="16.5" hidden="1">
      <c r="E10117" s="4" t="str">
        <v/>
      </c>
      <c r="F10117" s="102" t="str">
        <f ca="1">IFERROR(__xludf.DUMMYFUNCTION("IMPORTRANGE(H10117,""IDENTITAS UNIT!D9"")"),"#N/A")</f>
        <v>#N/A</v>
      </c>
      <c r="H10117" s="4" t="str">
        <v/>
      </c>
      <c r="I10117" s="4" t="str">
        <v/>
      </c>
    </row>
    <row r="10118" spans="5:9" ht="16.5" hidden="1">
      <c r="E10118" s="4" t="str">
        <v/>
      </c>
      <c r="F10118" s="102" t="str">
        <f ca="1">IFERROR(__xludf.DUMMYFUNCTION("IMPORTRANGE(H10118,""IDENTITAS UNIT!D9"")"),"#N/A")</f>
        <v>#N/A</v>
      </c>
      <c r="H10118" s="4" t="str">
        <v/>
      </c>
      <c r="I10118" s="4" t="str">
        <v/>
      </c>
    </row>
    <row r="10119" spans="5:9" ht="16.5" hidden="1">
      <c r="E10119" s="4" t="str">
        <v/>
      </c>
      <c r="F10119" s="102" t="str">
        <f ca="1">IFERROR(__xludf.DUMMYFUNCTION("IMPORTRANGE(H10119,""IDENTITAS UNIT!D9"")"),"#N/A")</f>
        <v>#N/A</v>
      </c>
      <c r="H10119" s="4" t="str">
        <v/>
      </c>
      <c r="I10119" s="4" t="str">
        <v/>
      </c>
    </row>
    <row r="10120" spans="5:9" ht="16.5" hidden="1">
      <c r="E10120" s="4" t="str">
        <v/>
      </c>
      <c r="F10120" s="102" t="str">
        <f ca="1">IFERROR(__xludf.DUMMYFUNCTION("IMPORTRANGE(H10120,""IDENTITAS UNIT!D9"")"),"#N/A")</f>
        <v>#N/A</v>
      </c>
      <c r="H10120" s="4" t="str">
        <v/>
      </c>
      <c r="I10120" s="4" t="str">
        <v/>
      </c>
    </row>
    <row r="10121" spans="5:9" ht="16.5" hidden="1">
      <c r="E10121" s="4" t="str">
        <v/>
      </c>
      <c r="F10121" s="102" t="str">
        <f ca="1">IFERROR(__xludf.DUMMYFUNCTION("IMPORTRANGE(H10121,""IDENTITAS UNIT!D9"")"),"#N/A")</f>
        <v>#N/A</v>
      </c>
      <c r="H10121" s="4" t="str">
        <v/>
      </c>
      <c r="I10121" s="4" t="str">
        <v/>
      </c>
    </row>
    <row r="10122" spans="5:9" ht="16.5" hidden="1">
      <c r="E10122" s="4" t="str">
        <v/>
      </c>
      <c r="F10122" s="102" t="str">
        <f ca="1">IFERROR(__xludf.DUMMYFUNCTION("IMPORTRANGE(H10122,""IDENTITAS UNIT!D9"")"),"#N/A")</f>
        <v>#N/A</v>
      </c>
      <c r="H10122" s="4" t="str">
        <v/>
      </c>
      <c r="I10122" s="4" t="str">
        <v/>
      </c>
    </row>
    <row r="10123" spans="5:9" ht="16.5" hidden="1">
      <c r="E10123" s="4" t="str">
        <v/>
      </c>
      <c r="F10123" s="102" t="str">
        <f ca="1">IFERROR(__xludf.DUMMYFUNCTION("IMPORTRANGE(H10123,""IDENTITAS UNIT!D9"")"),"#N/A")</f>
        <v>#N/A</v>
      </c>
      <c r="H10123" s="4" t="str">
        <v/>
      </c>
      <c r="I10123" s="4" t="str">
        <v/>
      </c>
    </row>
    <row r="10124" spans="5:9" ht="16.5" hidden="1">
      <c r="E10124" s="4" t="str">
        <v/>
      </c>
      <c r="F10124" s="102" t="str">
        <f ca="1">IFERROR(__xludf.DUMMYFUNCTION("IMPORTRANGE(H10124,""IDENTITAS UNIT!D9"")"),"#N/A")</f>
        <v>#N/A</v>
      </c>
      <c r="H10124" s="4" t="str">
        <v/>
      </c>
      <c r="I10124" s="4" t="str">
        <v/>
      </c>
    </row>
    <row r="10125" spans="5:9" ht="16.5" hidden="1">
      <c r="E10125" s="4" t="str">
        <v/>
      </c>
      <c r="F10125" s="102" t="str">
        <f ca="1">IFERROR(__xludf.DUMMYFUNCTION("IMPORTRANGE(H10125,""IDENTITAS UNIT!D9"")"),"#N/A")</f>
        <v>#N/A</v>
      </c>
      <c r="H10125" s="4" t="str">
        <v/>
      </c>
      <c r="I10125" s="4" t="str">
        <v/>
      </c>
    </row>
    <row r="10126" spans="5:9" ht="16.5" hidden="1">
      <c r="E10126" s="4" t="str">
        <v/>
      </c>
      <c r="F10126" s="102" t="str">
        <f ca="1">IFERROR(__xludf.DUMMYFUNCTION("IMPORTRANGE(H10126,""IDENTITAS UNIT!D9"")"),"#N/A")</f>
        <v>#N/A</v>
      </c>
      <c r="H10126" s="4" t="str">
        <v/>
      </c>
      <c r="I10126" s="4" t="str">
        <v/>
      </c>
    </row>
    <row r="10127" spans="5:9" ht="16.5" hidden="1">
      <c r="E10127" s="4" t="str">
        <v/>
      </c>
      <c r="F10127" s="102" t="str">
        <f ca="1">IFERROR(__xludf.DUMMYFUNCTION("IMPORTRANGE(H10127,""IDENTITAS UNIT!D9"")"),"#N/A")</f>
        <v>#N/A</v>
      </c>
      <c r="H10127" s="4" t="str">
        <v/>
      </c>
      <c r="I10127" s="4" t="str">
        <v/>
      </c>
    </row>
    <row r="10128" spans="5:9" ht="16.5" hidden="1">
      <c r="E10128" s="4" t="str">
        <v/>
      </c>
      <c r="F10128" s="102" t="str">
        <f ca="1">IFERROR(__xludf.DUMMYFUNCTION("IMPORTRANGE(H10128,""IDENTITAS UNIT!D9"")"),"#N/A")</f>
        <v>#N/A</v>
      </c>
      <c r="H10128" s="4" t="str">
        <v/>
      </c>
      <c r="I10128" s="4" t="str">
        <v/>
      </c>
    </row>
    <row r="10129" spans="5:9" ht="16.5" hidden="1">
      <c r="E10129" s="4" t="str">
        <v/>
      </c>
      <c r="F10129" s="102" t="str">
        <f ca="1">IFERROR(__xludf.DUMMYFUNCTION("IMPORTRANGE(H10129,""IDENTITAS UNIT!D9"")"),"#N/A")</f>
        <v>#N/A</v>
      </c>
      <c r="H10129" s="4" t="str">
        <v/>
      </c>
      <c r="I10129" s="4" t="str">
        <v/>
      </c>
    </row>
    <row r="10130" spans="5:9" ht="16.5" hidden="1">
      <c r="E10130" s="4" t="str">
        <v/>
      </c>
      <c r="F10130" s="102" t="str">
        <f ca="1">IFERROR(__xludf.DUMMYFUNCTION("IMPORTRANGE(H10130,""IDENTITAS UNIT!D9"")"),"#N/A")</f>
        <v>#N/A</v>
      </c>
      <c r="H10130" s="4" t="str">
        <v/>
      </c>
      <c r="I10130" s="4" t="str">
        <v/>
      </c>
    </row>
    <row r="10131" spans="5:9" ht="16.5" hidden="1">
      <c r="E10131" s="4" t="str">
        <v/>
      </c>
      <c r="F10131" s="102" t="str">
        <f ca="1">IFERROR(__xludf.DUMMYFUNCTION("IMPORTRANGE(H10131,""IDENTITAS UNIT!D9"")"),"#N/A")</f>
        <v>#N/A</v>
      </c>
      <c r="H10131" s="4" t="str">
        <v/>
      </c>
      <c r="I10131" s="4" t="str">
        <v/>
      </c>
    </row>
    <row r="10132" spans="5:9" ht="16.5" hidden="1">
      <c r="E10132" s="4" t="str">
        <v/>
      </c>
      <c r="F10132" s="102" t="str">
        <f ca="1">IFERROR(__xludf.DUMMYFUNCTION("IMPORTRANGE(H10132,""IDENTITAS UNIT!D9"")"),"#N/A")</f>
        <v>#N/A</v>
      </c>
      <c r="H10132" s="4" t="str">
        <v/>
      </c>
      <c r="I10132" s="4" t="str">
        <v/>
      </c>
    </row>
    <row r="10133" spans="5:9" ht="16.5" hidden="1">
      <c r="E10133" s="4" t="str">
        <v/>
      </c>
      <c r="F10133" s="102" t="str">
        <f ca="1">IFERROR(__xludf.DUMMYFUNCTION("IMPORTRANGE(H10133,""IDENTITAS UNIT!D9"")"),"#N/A")</f>
        <v>#N/A</v>
      </c>
      <c r="H10133" s="4" t="str">
        <v/>
      </c>
      <c r="I10133" s="4" t="str">
        <v/>
      </c>
    </row>
    <row r="10134" spans="5:9" ht="16.5" hidden="1">
      <c r="E10134" s="4" t="str">
        <v/>
      </c>
      <c r="F10134" s="102" t="str">
        <f ca="1">IFERROR(__xludf.DUMMYFUNCTION("IMPORTRANGE(H10134,""IDENTITAS UNIT!D9"")"),"#N/A")</f>
        <v>#N/A</v>
      </c>
      <c r="H10134" s="4" t="str">
        <v/>
      </c>
      <c r="I10134" s="4" t="str">
        <v/>
      </c>
    </row>
    <row r="10135" spans="5:9" ht="16.5" hidden="1">
      <c r="E10135" s="4" t="str">
        <v/>
      </c>
      <c r="F10135" s="102" t="str">
        <f ca="1">IFERROR(__xludf.DUMMYFUNCTION("IMPORTRANGE(H10135,""IDENTITAS UNIT!D9"")"),"#N/A")</f>
        <v>#N/A</v>
      </c>
      <c r="H10135" s="4" t="str">
        <v/>
      </c>
      <c r="I10135" s="4" t="str">
        <v/>
      </c>
    </row>
    <row r="10136" spans="5:9" ht="16.5" hidden="1">
      <c r="E10136" s="4" t="str">
        <v/>
      </c>
      <c r="F10136" s="102" t="str">
        <f ca="1">IFERROR(__xludf.DUMMYFUNCTION("IMPORTRANGE(H10136,""IDENTITAS UNIT!D9"")"),"#N/A")</f>
        <v>#N/A</v>
      </c>
      <c r="H10136" s="4" t="str">
        <v/>
      </c>
      <c r="I10136" s="4" t="str">
        <v/>
      </c>
    </row>
    <row r="10137" spans="5:9" ht="16.5" hidden="1">
      <c r="E10137" s="4" t="str">
        <v/>
      </c>
      <c r="F10137" s="102" t="str">
        <f ca="1">IFERROR(__xludf.DUMMYFUNCTION("IMPORTRANGE(H10137,""IDENTITAS UNIT!D9"")"),"#N/A")</f>
        <v>#N/A</v>
      </c>
      <c r="H10137" s="4" t="str">
        <v/>
      </c>
      <c r="I10137" s="4" t="str">
        <v/>
      </c>
    </row>
    <row r="10138" spans="5:9" ht="16.5" hidden="1">
      <c r="E10138" s="4" t="str">
        <v/>
      </c>
      <c r="F10138" s="102" t="str">
        <f ca="1">IFERROR(__xludf.DUMMYFUNCTION("IMPORTRANGE(H10138,""IDENTITAS UNIT!D9"")"),"#N/A")</f>
        <v>#N/A</v>
      </c>
      <c r="H10138" s="4" t="str">
        <v/>
      </c>
      <c r="I10138" s="4" t="str">
        <v/>
      </c>
    </row>
    <row r="10139" spans="5:9" ht="16.5" hidden="1">
      <c r="E10139" s="4" t="str">
        <v/>
      </c>
      <c r="F10139" s="102" t="str">
        <f ca="1">IFERROR(__xludf.DUMMYFUNCTION("IMPORTRANGE(H10139,""IDENTITAS UNIT!D9"")"),"#N/A")</f>
        <v>#N/A</v>
      </c>
      <c r="H10139" s="4" t="str">
        <v/>
      </c>
      <c r="I10139" s="4" t="str">
        <v/>
      </c>
    </row>
    <row r="10140" spans="5:9" ht="16.5" hidden="1">
      <c r="E10140" s="4" t="str">
        <v/>
      </c>
      <c r="F10140" s="102" t="str">
        <f ca="1">IFERROR(__xludf.DUMMYFUNCTION("IMPORTRANGE(H10140,""IDENTITAS UNIT!D9"")"),"#N/A")</f>
        <v>#N/A</v>
      </c>
      <c r="H10140" s="4" t="str">
        <v/>
      </c>
      <c r="I10140" s="4" t="str">
        <v/>
      </c>
    </row>
    <row r="10141" spans="5:9" ht="16.5" hidden="1">
      <c r="E10141" s="4" t="str">
        <v/>
      </c>
      <c r="F10141" s="102" t="str">
        <f ca="1">IFERROR(__xludf.DUMMYFUNCTION("IMPORTRANGE(H10141,""IDENTITAS UNIT!D9"")"),"#N/A")</f>
        <v>#N/A</v>
      </c>
      <c r="H10141" s="4" t="str">
        <v/>
      </c>
      <c r="I10141" s="4" t="str">
        <v/>
      </c>
    </row>
    <row r="10142" spans="5:9" ht="16.5" hidden="1">
      <c r="E10142" s="4" t="str">
        <v/>
      </c>
      <c r="F10142" s="102" t="str">
        <f ca="1">IFERROR(__xludf.DUMMYFUNCTION("IMPORTRANGE(H10142,""IDENTITAS UNIT!D9"")"),"#N/A")</f>
        <v>#N/A</v>
      </c>
      <c r="H10142" s="4" t="str">
        <v/>
      </c>
      <c r="I10142" s="4" t="str">
        <v/>
      </c>
    </row>
    <row r="10143" spans="5:9" ht="16.5" hidden="1">
      <c r="E10143" s="4" t="str">
        <v/>
      </c>
      <c r="F10143" s="102" t="str">
        <f ca="1">IFERROR(__xludf.DUMMYFUNCTION("IMPORTRANGE(H10143,""IDENTITAS UNIT!D9"")"),"#N/A")</f>
        <v>#N/A</v>
      </c>
      <c r="H10143" s="4" t="str">
        <v/>
      </c>
      <c r="I10143" s="4" t="str">
        <v/>
      </c>
    </row>
    <row r="10144" spans="5:9" ht="16.5" hidden="1">
      <c r="E10144" s="4" t="str">
        <v/>
      </c>
      <c r="F10144" s="102" t="str">
        <f ca="1">IFERROR(__xludf.DUMMYFUNCTION("IMPORTRANGE(H10144,""IDENTITAS UNIT!D9"")"),"#N/A")</f>
        <v>#N/A</v>
      </c>
      <c r="H10144" s="4" t="str">
        <v/>
      </c>
      <c r="I10144" s="4" t="str">
        <v/>
      </c>
    </row>
    <row r="10145" spans="5:9" ht="16.5" hidden="1">
      <c r="E10145" s="4" t="str">
        <v/>
      </c>
      <c r="F10145" s="102" t="str">
        <f ca="1">IFERROR(__xludf.DUMMYFUNCTION("IMPORTRANGE(H10145,""IDENTITAS UNIT!D9"")"),"#N/A")</f>
        <v>#N/A</v>
      </c>
      <c r="H10145" s="4" t="str">
        <v/>
      </c>
      <c r="I10145" s="4" t="str">
        <v/>
      </c>
    </row>
    <row r="10146" spans="5:9" ht="16.5" hidden="1">
      <c r="E10146" s="4" t="str">
        <v/>
      </c>
      <c r="F10146" s="102" t="str">
        <f ca="1">IFERROR(__xludf.DUMMYFUNCTION("IMPORTRANGE(H10146,""IDENTITAS UNIT!D9"")"),"#N/A")</f>
        <v>#N/A</v>
      </c>
      <c r="H10146" s="4" t="str">
        <v/>
      </c>
      <c r="I10146" s="4" t="str">
        <v/>
      </c>
    </row>
    <row r="10147" spans="5:9" ht="16.5" hidden="1">
      <c r="E10147" s="4" t="str">
        <v/>
      </c>
      <c r="F10147" s="102" t="str">
        <f ca="1">IFERROR(__xludf.DUMMYFUNCTION("IMPORTRANGE(H10147,""IDENTITAS UNIT!D9"")"),"#N/A")</f>
        <v>#N/A</v>
      </c>
      <c r="H10147" s="4" t="str">
        <v/>
      </c>
      <c r="I10147" s="4" t="str">
        <v/>
      </c>
    </row>
    <row r="10148" spans="5:9" ht="16.5" hidden="1">
      <c r="E10148" s="4" t="str">
        <v/>
      </c>
      <c r="F10148" s="102" t="str">
        <f ca="1">IFERROR(__xludf.DUMMYFUNCTION("IMPORTRANGE(H10148,""IDENTITAS UNIT!D9"")"),"#N/A")</f>
        <v>#N/A</v>
      </c>
      <c r="H10148" s="4" t="str">
        <v/>
      </c>
      <c r="I10148" s="4" t="str">
        <v/>
      </c>
    </row>
    <row r="10149" spans="5:9" ht="16.5" hidden="1">
      <c r="E10149" s="4" t="str">
        <v/>
      </c>
      <c r="F10149" s="102" t="str">
        <f ca="1">IFERROR(__xludf.DUMMYFUNCTION("IMPORTRANGE(H10149,""IDENTITAS UNIT!D9"")"),"#N/A")</f>
        <v>#N/A</v>
      </c>
      <c r="H10149" s="4" t="str">
        <v/>
      </c>
      <c r="I10149" s="4" t="str">
        <v/>
      </c>
    </row>
    <row r="10150" spans="5:9" ht="16.5" hidden="1">
      <c r="E10150" s="4" t="str">
        <v/>
      </c>
      <c r="F10150" s="102" t="str">
        <f ca="1">IFERROR(__xludf.DUMMYFUNCTION("IMPORTRANGE(H10150,""IDENTITAS UNIT!D9"")"),"#N/A")</f>
        <v>#N/A</v>
      </c>
      <c r="H10150" s="4" t="str">
        <v/>
      </c>
      <c r="I10150" s="4" t="str">
        <v/>
      </c>
    </row>
    <row r="10151" spans="5:9" ht="16.5" hidden="1">
      <c r="E10151" s="4" t="str">
        <v/>
      </c>
      <c r="F10151" s="102" t="str">
        <f ca="1">IFERROR(__xludf.DUMMYFUNCTION("IMPORTRANGE(H10151,""IDENTITAS UNIT!D9"")"),"#N/A")</f>
        <v>#N/A</v>
      </c>
      <c r="H10151" s="4" t="str">
        <v/>
      </c>
      <c r="I10151" s="4" t="str">
        <v/>
      </c>
    </row>
    <row r="10152" spans="5:9" ht="16.5" hidden="1">
      <c r="E10152" s="4" t="str">
        <v/>
      </c>
      <c r="F10152" s="102" t="str">
        <f ca="1">IFERROR(__xludf.DUMMYFUNCTION("IMPORTRANGE(H10152,""IDENTITAS UNIT!D9"")"),"#N/A")</f>
        <v>#N/A</v>
      </c>
      <c r="H10152" s="4" t="str">
        <v/>
      </c>
      <c r="I10152" s="4" t="str">
        <v/>
      </c>
    </row>
    <row r="10153" spans="5:9" ht="16.5" hidden="1">
      <c r="E10153" s="4" t="str">
        <v/>
      </c>
      <c r="F10153" s="102" t="str">
        <f ca="1">IFERROR(__xludf.DUMMYFUNCTION("IMPORTRANGE(H10153,""IDENTITAS UNIT!D9"")"),"#N/A")</f>
        <v>#N/A</v>
      </c>
      <c r="H10153" s="4" t="str">
        <v/>
      </c>
      <c r="I10153" s="4" t="str">
        <v/>
      </c>
    </row>
    <row r="10154" spans="5:9" ht="16.5" hidden="1">
      <c r="E10154" s="4" t="str">
        <v/>
      </c>
      <c r="F10154" s="102" t="str">
        <f ca="1">IFERROR(__xludf.DUMMYFUNCTION("IMPORTRANGE(H10154,""IDENTITAS UNIT!D9"")"),"#N/A")</f>
        <v>#N/A</v>
      </c>
      <c r="H10154" s="4" t="str">
        <v/>
      </c>
      <c r="I10154" s="4" t="str">
        <v/>
      </c>
    </row>
    <row r="10155" spans="5:9" ht="16.5" hidden="1">
      <c r="E10155" s="4" t="str">
        <v/>
      </c>
      <c r="F10155" s="102" t="str">
        <f ca="1">IFERROR(__xludf.DUMMYFUNCTION("IMPORTRANGE(H10155,""IDENTITAS UNIT!D9"")"),"#N/A")</f>
        <v>#N/A</v>
      </c>
      <c r="H10155" s="4" t="str">
        <v/>
      </c>
      <c r="I10155" s="4" t="str">
        <v/>
      </c>
    </row>
    <row r="10156" spans="5:9" ht="16.5" hidden="1">
      <c r="E10156" s="4" t="str">
        <v/>
      </c>
      <c r="F10156" s="102" t="str">
        <f ca="1">IFERROR(__xludf.DUMMYFUNCTION("IMPORTRANGE(H10156,""IDENTITAS UNIT!D9"")"),"#N/A")</f>
        <v>#N/A</v>
      </c>
      <c r="H10156" s="4" t="str">
        <v/>
      </c>
      <c r="I10156" s="4" t="str">
        <v/>
      </c>
    </row>
    <row r="10157" spans="5:9" ht="16.5" hidden="1">
      <c r="E10157" s="4" t="str">
        <v/>
      </c>
      <c r="F10157" s="102" t="str">
        <f ca="1">IFERROR(__xludf.DUMMYFUNCTION("IMPORTRANGE(H10157,""IDENTITAS UNIT!D9"")"),"#N/A")</f>
        <v>#N/A</v>
      </c>
      <c r="H10157" s="4" t="str">
        <v/>
      </c>
      <c r="I10157" s="4" t="str">
        <v/>
      </c>
    </row>
    <row r="10158" spans="5:9" ht="16.5" hidden="1">
      <c r="E10158" s="4" t="str">
        <v/>
      </c>
      <c r="F10158" s="102" t="str">
        <f ca="1">IFERROR(__xludf.DUMMYFUNCTION("IMPORTRANGE(H10158,""IDENTITAS UNIT!D9"")"),"#N/A")</f>
        <v>#N/A</v>
      </c>
      <c r="H10158" s="4" t="str">
        <v/>
      </c>
      <c r="I10158" s="4" t="str">
        <v/>
      </c>
    </row>
    <row r="10159" spans="5:9" ht="16.5" hidden="1">
      <c r="E10159" s="4" t="str">
        <v/>
      </c>
      <c r="F10159" s="102" t="str">
        <f ca="1">IFERROR(__xludf.DUMMYFUNCTION("IMPORTRANGE(H10159,""IDENTITAS UNIT!D9"")"),"#N/A")</f>
        <v>#N/A</v>
      </c>
      <c r="H10159" s="4" t="str">
        <v/>
      </c>
      <c r="I10159" s="4" t="str">
        <v/>
      </c>
    </row>
    <row r="10160" spans="5:9" ht="16.5" hidden="1">
      <c r="E10160" s="4" t="str">
        <v/>
      </c>
      <c r="F10160" s="102" t="str">
        <f ca="1">IFERROR(__xludf.DUMMYFUNCTION("IMPORTRANGE(H10160,""IDENTITAS UNIT!D9"")"),"#N/A")</f>
        <v>#N/A</v>
      </c>
      <c r="H10160" s="4" t="str">
        <v/>
      </c>
      <c r="I10160" s="4" t="str">
        <v/>
      </c>
    </row>
    <row r="10161" spans="5:9" ht="16.5" hidden="1">
      <c r="E10161" s="4" t="str">
        <v/>
      </c>
      <c r="F10161" s="102" t="str">
        <f ca="1">IFERROR(__xludf.DUMMYFUNCTION("IMPORTRANGE(H10161,""IDENTITAS UNIT!D9"")"),"#N/A")</f>
        <v>#N/A</v>
      </c>
      <c r="H10161" s="4" t="str">
        <v/>
      </c>
      <c r="I10161" s="4" t="str">
        <v/>
      </c>
    </row>
    <row r="10162" spans="5:9" ht="16.5" hidden="1">
      <c r="E10162" s="4" t="str">
        <v/>
      </c>
      <c r="F10162" s="102" t="str">
        <f ca="1">IFERROR(__xludf.DUMMYFUNCTION("IMPORTRANGE(H10162,""IDENTITAS UNIT!D9"")"),"#N/A")</f>
        <v>#N/A</v>
      </c>
      <c r="H10162" s="4" t="str">
        <v/>
      </c>
      <c r="I10162" s="4" t="str">
        <v/>
      </c>
    </row>
    <row r="10163" spans="5:9" ht="16.5" hidden="1">
      <c r="E10163" s="4" t="str">
        <v/>
      </c>
      <c r="F10163" s="102" t="str">
        <f ca="1">IFERROR(__xludf.DUMMYFUNCTION("IMPORTRANGE(H10163,""IDENTITAS UNIT!D9"")"),"#N/A")</f>
        <v>#N/A</v>
      </c>
      <c r="H10163" s="4" t="str">
        <v/>
      </c>
      <c r="I10163" s="4" t="str">
        <v/>
      </c>
    </row>
    <row r="10164" spans="5:9" ht="16.5" hidden="1">
      <c r="E10164" s="4" t="str">
        <v/>
      </c>
      <c r="F10164" s="102" t="str">
        <f ca="1">IFERROR(__xludf.DUMMYFUNCTION("IMPORTRANGE(H10164,""IDENTITAS UNIT!D9"")"),"#N/A")</f>
        <v>#N/A</v>
      </c>
      <c r="H10164" s="4" t="str">
        <v/>
      </c>
      <c r="I10164" s="4" t="str">
        <v/>
      </c>
    </row>
    <row r="10165" spans="5:9" ht="16.5" hidden="1">
      <c r="E10165" s="4" t="str">
        <v/>
      </c>
      <c r="F10165" s="102" t="str">
        <f ca="1">IFERROR(__xludf.DUMMYFUNCTION("IMPORTRANGE(H10165,""IDENTITAS UNIT!D9"")"),"#N/A")</f>
        <v>#N/A</v>
      </c>
      <c r="H10165" s="4" t="str">
        <v/>
      </c>
      <c r="I10165" s="4" t="str">
        <v/>
      </c>
    </row>
    <row r="10166" spans="5:9" ht="16.5" hidden="1">
      <c r="E10166" s="4" t="str">
        <v/>
      </c>
      <c r="F10166" s="102" t="str">
        <f ca="1">IFERROR(__xludf.DUMMYFUNCTION("IMPORTRANGE(H10166,""IDENTITAS UNIT!D9"")"),"#N/A")</f>
        <v>#N/A</v>
      </c>
      <c r="H10166" s="4" t="str">
        <v/>
      </c>
      <c r="I10166" s="4" t="str">
        <v/>
      </c>
    </row>
    <row r="10167" spans="5:9" ht="16.5" hidden="1">
      <c r="E10167" s="4" t="str">
        <v/>
      </c>
      <c r="F10167" s="102" t="str">
        <f ca="1">IFERROR(__xludf.DUMMYFUNCTION("IMPORTRANGE(H10167,""IDENTITAS UNIT!D9"")"),"#N/A")</f>
        <v>#N/A</v>
      </c>
      <c r="H10167" s="4" t="str">
        <v/>
      </c>
      <c r="I10167" s="4" t="str">
        <v/>
      </c>
    </row>
    <row r="10168" spans="5:9" ht="16.5" hidden="1">
      <c r="E10168" s="4" t="str">
        <v/>
      </c>
      <c r="F10168" s="102" t="str">
        <f ca="1">IFERROR(__xludf.DUMMYFUNCTION("IMPORTRANGE(H10168,""IDENTITAS UNIT!D9"")"),"#N/A")</f>
        <v>#N/A</v>
      </c>
      <c r="H10168" s="4" t="str">
        <v/>
      </c>
      <c r="I10168" s="4" t="str">
        <v/>
      </c>
    </row>
    <row r="10169" spans="5:9" ht="16.5" hidden="1">
      <c r="E10169" s="4" t="str">
        <v/>
      </c>
      <c r="F10169" s="102" t="str">
        <f ca="1">IFERROR(__xludf.DUMMYFUNCTION("IMPORTRANGE(H10169,""IDENTITAS UNIT!D9"")"),"#N/A")</f>
        <v>#N/A</v>
      </c>
      <c r="H10169" s="4" t="str">
        <v/>
      </c>
      <c r="I10169" s="4" t="str">
        <v/>
      </c>
    </row>
    <row r="10170" spans="5:9" ht="16.5" hidden="1">
      <c r="E10170" s="4" t="str">
        <v/>
      </c>
      <c r="F10170" s="102" t="str">
        <f ca="1">IFERROR(__xludf.DUMMYFUNCTION("IMPORTRANGE(H10170,""IDENTITAS UNIT!D9"")"),"#N/A")</f>
        <v>#N/A</v>
      </c>
      <c r="H10170" s="4" t="str">
        <v/>
      </c>
      <c r="I10170" s="4" t="str">
        <v/>
      </c>
    </row>
    <row r="10171" spans="5:9" ht="16.5" hidden="1">
      <c r="E10171" s="4" t="str">
        <v/>
      </c>
      <c r="F10171" s="102" t="str">
        <f ca="1">IFERROR(__xludf.DUMMYFUNCTION("IMPORTRANGE(H10171,""IDENTITAS UNIT!D9"")"),"#N/A")</f>
        <v>#N/A</v>
      </c>
      <c r="H10171" s="4" t="str">
        <v/>
      </c>
      <c r="I10171" s="4" t="str">
        <v/>
      </c>
    </row>
    <row r="10172" spans="5:9" ht="16.5" hidden="1">
      <c r="E10172" s="4" t="str">
        <v/>
      </c>
      <c r="F10172" s="102" t="str">
        <f ca="1">IFERROR(__xludf.DUMMYFUNCTION("IMPORTRANGE(H10172,""IDENTITAS UNIT!D9"")"),"#N/A")</f>
        <v>#N/A</v>
      </c>
      <c r="H10172" s="4" t="str">
        <v/>
      </c>
      <c r="I10172" s="4" t="str">
        <v/>
      </c>
    </row>
    <row r="10173" spans="5:9" ht="16.5" hidden="1">
      <c r="E10173" s="4" t="str">
        <v/>
      </c>
      <c r="F10173" s="102" t="str">
        <f ca="1">IFERROR(__xludf.DUMMYFUNCTION("IMPORTRANGE(H10173,""IDENTITAS UNIT!D9"")"),"#N/A")</f>
        <v>#N/A</v>
      </c>
      <c r="H10173" s="4" t="str">
        <v/>
      </c>
      <c r="I10173" s="4" t="str">
        <v/>
      </c>
    </row>
    <row r="10174" spans="5:9" ht="16.5" hidden="1">
      <c r="E10174" s="4" t="str">
        <v/>
      </c>
      <c r="F10174" s="102" t="str">
        <f ca="1">IFERROR(__xludf.DUMMYFUNCTION("IMPORTRANGE(H10174,""IDENTITAS UNIT!D9"")"),"#N/A")</f>
        <v>#N/A</v>
      </c>
      <c r="H10174" s="4" t="str">
        <v/>
      </c>
      <c r="I10174" s="4" t="str">
        <v/>
      </c>
    </row>
    <row r="10175" spans="5:9" ht="16.5" hidden="1">
      <c r="E10175" s="4" t="str">
        <v/>
      </c>
      <c r="F10175" s="102" t="str">
        <f ca="1">IFERROR(__xludf.DUMMYFUNCTION("IMPORTRANGE(H10175,""IDENTITAS UNIT!D9"")"),"#N/A")</f>
        <v>#N/A</v>
      </c>
      <c r="H10175" s="4" t="str">
        <v/>
      </c>
      <c r="I10175" s="4" t="str">
        <v/>
      </c>
    </row>
    <row r="10176" spans="5:9" ht="16.5" hidden="1">
      <c r="E10176" s="4" t="str">
        <v/>
      </c>
      <c r="F10176" s="102" t="str">
        <f ca="1">IFERROR(__xludf.DUMMYFUNCTION("IMPORTRANGE(H10176,""IDENTITAS UNIT!D9"")"),"#N/A")</f>
        <v>#N/A</v>
      </c>
      <c r="H10176" s="4" t="str">
        <v/>
      </c>
      <c r="I10176" s="4" t="str">
        <v/>
      </c>
    </row>
    <row r="10177" spans="5:9" ht="16.5" hidden="1">
      <c r="E10177" s="4" t="str">
        <v/>
      </c>
      <c r="F10177" s="102" t="str">
        <f ca="1">IFERROR(__xludf.DUMMYFUNCTION("IMPORTRANGE(H10177,""IDENTITAS UNIT!D9"")"),"#N/A")</f>
        <v>#N/A</v>
      </c>
      <c r="H10177" s="4" t="str">
        <v/>
      </c>
      <c r="I10177" s="4" t="str">
        <v/>
      </c>
    </row>
    <row r="10178" spans="5:9" ht="16.5" hidden="1">
      <c r="E10178" s="4" t="str">
        <v/>
      </c>
      <c r="F10178" s="102" t="str">
        <f ca="1">IFERROR(__xludf.DUMMYFUNCTION("IMPORTRANGE(H10178,""IDENTITAS UNIT!D9"")"),"#N/A")</f>
        <v>#N/A</v>
      </c>
      <c r="H10178" s="4" t="str">
        <v/>
      </c>
      <c r="I10178" s="4" t="str">
        <v/>
      </c>
    </row>
    <row r="10179" spans="5:9" ht="16.5" hidden="1">
      <c r="E10179" s="4" t="str">
        <v/>
      </c>
      <c r="F10179" s="102" t="str">
        <f ca="1">IFERROR(__xludf.DUMMYFUNCTION("IMPORTRANGE(H10179,""IDENTITAS UNIT!D9"")"),"#N/A")</f>
        <v>#N/A</v>
      </c>
      <c r="H10179" s="4" t="str">
        <v/>
      </c>
      <c r="I10179" s="4" t="str">
        <v/>
      </c>
    </row>
    <row r="10180" spans="5:9" ht="16.5" hidden="1">
      <c r="E10180" s="4" t="str">
        <v/>
      </c>
      <c r="F10180" s="102" t="str">
        <f ca="1">IFERROR(__xludf.DUMMYFUNCTION("IMPORTRANGE(H10180,""IDENTITAS UNIT!D9"")"),"#N/A")</f>
        <v>#N/A</v>
      </c>
      <c r="H10180" s="4" t="str">
        <v/>
      </c>
      <c r="I10180" s="4" t="str">
        <v/>
      </c>
    </row>
    <row r="10181" spans="5:9" ht="16.5" hidden="1">
      <c r="E10181" s="4" t="str">
        <v/>
      </c>
      <c r="F10181" s="102" t="str">
        <f ca="1">IFERROR(__xludf.DUMMYFUNCTION("IMPORTRANGE(H10181,""IDENTITAS UNIT!D9"")"),"#N/A")</f>
        <v>#N/A</v>
      </c>
      <c r="H10181" s="4" t="str">
        <v/>
      </c>
      <c r="I10181" s="4" t="str">
        <v/>
      </c>
    </row>
    <row r="10182" spans="5:9" ht="16.5" hidden="1">
      <c r="E10182" s="4" t="str">
        <v/>
      </c>
      <c r="F10182" s="102" t="str">
        <f ca="1">IFERROR(__xludf.DUMMYFUNCTION("IMPORTRANGE(H10182,""IDENTITAS UNIT!D9"")"),"#N/A")</f>
        <v>#N/A</v>
      </c>
      <c r="H10182" s="4" t="str">
        <v/>
      </c>
      <c r="I10182" s="4" t="str">
        <v/>
      </c>
    </row>
    <row r="10183" spans="5:9" ht="16.5" hidden="1">
      <c r="E10183" s="4" t="str">
        <v/>
      </c>
      <c r="F10183" s="102" t="str">
        <f ca="1">IFERROR(__xludf.DUMMYFUNCTION("IMPORTRANGE(H10183,""IDENTITAS UNIT!D9"")"),"#N/A")</f>
        <v>#N/A</v>
      </c>
      <c r="H10183" s="4" t="str">
        <v/>
      </c>
      <c r="I10183" s="4" t="str">
        <v/>
      </c>
    </row>
    <row r="10184" spans="5:9" ht="16.5" hidden="1">
      <c r="E10184" s="4" t="str">
        <v/>
      </c>
      <c r="F10184" s="102" t="str">
        <f ca="1">IFERROR(__xludf.DUMMYFUNCTION("IMPORTRANGE(H10184,""IDENTITAS UNIT!D9"")"),"#N/A")</f>
        <v>#N/A</v>
      </c>
      <c r="H10184" s="4" t="str">
        <v/>
      </c>
      <c r="I10184" s="4" t="str">
        <v/>
      </c>
    </row>
    <row r="10185" spans="5:9" ht="16.5" hidden="1">
      <c r="E10185" s="4" t="str">
        <v/>
      </c>
      <c r="F10185" s="102" t="str">
        <f ca="1">IFERROR(__xludf.DUMMYFUNCTION("IMPORTRANGE(H10185,""IDENTITAS UNIT!D9"")"),"#N/A")</f>
        <v>#N/A</v>
      </c>
      <c r="H10185" s="4" t="str">
        <v/>
      </c>
      <c r="I10185" s="4" t="str">
        <v/>
      </c>
    </row>
    <row r="10186" spans="5:9" ht="16.5" hidden="1">
      <c r="E10186" s="4" t="str">
        <v/>
      </c>
      <c r="F10186" s="102" t="str">
        <f ca="1">IFERROR(__xludf.DUMMYFUNCTION("IMPORTRANGE(H10186,""IDENTITAS UNIT!D9"")"),"#N/A")</f>
        <v>#N/A</v>
      </c>
      <c r="H10186" s="4" t="str">
        <v/>
      </c>
      <c r="I10186" s="4" t="str">
        <v/>
      </c>
    </row>
    <row r="10187" spans="5:9" ht="16.5" hidden="1">
      <c r="E10187" s="4" t="str">
        <v/>
      </c>
      <c r="F10187" s="102" t="str">
        <f ca="1">IFERROR(__xludf.DUMMYFUNCTION("IMPORTRANGE(H10187,""IDENTITAS UNIT!D9"")"),"#N/A")</f>
        <v>#N/A</v>
      </c>
      <c r="H10187" s="4" t="str">
        <v/>
      </c>
      <c r="I10187" s="4" t="str">
        <v/>
      </c>
    </row>
    <row r="10188" spans="5:9" ht="16.5" hidden="1">
      <c r="E10188" s="4" t="str">
        <v/>
      </c>
      <c r="F10188" s="102" t="str">
        <f ca="1">IFERROR(__xludf.DUMMYFUNCTION("IMPORTRANGE(H10188,""IDENTITAS UNIT!D9"")"),"#N/A")</f>
        <v>#N/A</v>
      </c>
      <c r="H10188" s="4" t="str">
        <v/>
      </c>
      <c r="I10188" s="4" t="str">
        <v/>
      </c>
    </row>
    <row r="10189" spans="5:9" ht="16.5" hidden="1">
      <c r="E10189" s="4" t="str">
        <v/>
      </c>
      <c r="F10189" s="102" t="str">
        <f ca="1">IFERROR(__xludf.DUMMYFUNCTION("IMPORTRANGE(H10189,""IDENTITAS UNIT!D9"")"),"#N/A")</f>
        <v>#N/A</v>
      </c>
      <c r="H10189" s="4" t="str">
        <v/>
      </c>
      <c r="I10189" s="4" t="str">
        <v/>
      </c>
    </row>
    <row r="10190" spans="5:9" ht="16.5" hidden="1">
      <c r="E10190" s="4" t="str">
        <v/>
      </c>
      <c r="F10190" s="102" t="str">
        <f ca="1">IFERROR(__xludf.DUMMYFUNCTION("IMPORTRANGE(H10190,""IDENTITAS UNIT!D9"")"),"#N/A")</f>
        <v>#N/A</v>
      </c>
      <c r="H10190" s="4" t="str">
        <v/>
      </c>
      <c r="I10190" s="4" t="str">
        <v/>
      </c>
    </row>
    <row r="10191" spans="5:9" ht="16.5" hidden="1">
      <c r="E10191" s="4" t="str">
        <v/>
      </c>
      <c r="F10191" s="102" t="str">
        <f ca="1">IFERROR(__xludf.DUMMYFUNCTION("IMPORTRANGE(H10191,""IDENTITAS UNIT!D9"")"),"#N/A")</f>
        <v>#N/A</v>
      </c>
      <c r="H10191" s="4" t="str">
        <v/>
      </c>
      <c r="I10191" s="4" t="str">
        <v/>
      </c>
    </row>
    <row r="10192" spans="5:9" ht="16.5" hidden="1">
      <c r="E10192" s="4" t="str">
        <v/>
      </c>
      <c r="F10192" s="102" t="str">
        <f ca="1">IFERROR(__xludf.DUMMYFUNCTION("IMPORTRANGE(H10192,""IDENTITAS UNIT!D9"")"),"#N/A")</f>
        <v>#N/A</v>
      </c>
      <c r="H10192" s="4" t="str">
        <v/>
      </c>
      <c r="I10192" s="4" t="str">
        <v/>
      </c>
    </row>
    <row r="10193" spans="5:9" ht="16.5" hidden="1">
      <c r="E10193" s="4" t="str">
        <v/>
      </c>
      <c r="F10193" s="102" t="str">
        <f ca="1">IFERROR(__xludf.DUMMYFUNCTION("IMPORTRANGE(H10193,""IDENTITAS UNIT!D9"")"),"#N/A")</f>
        <v>#N/A</v>
      </c>
      <c r="H10193" s="4" t="str">
        <v/>
      </c>
      <c r="I10193" s="4" t="str">
        <v/>
      </c>
    </row>
    <row r="10194" spans="5:9" ht="16.5" hidden="1">
      <c r="E10194" s="4" t="str">
        <v/>
      </c>
      <c r="F10194" s="102" t="str">
        <f ca="1">IFERROR(__xludf.DUMMYFUNCTION("IMPORTRANGE(H10194,""IDENTITAS UNIT!D9"")"),"#N/A")</f>
        <v>#N/A</v>
      </c>
      <c r="H10194" s="4" t="str">
        <v/>
      </c>
      <c r="I10194" s="4" t="str">
        <v/>
      </c>
    </row>
    <row r="10195" spans="5:9" ht="16.5" hidden="1">
      <c r="E10195" s="4" t="str">
        <v/>
      </c>
      <c r="F10195" s="102" t="str">
        <f ca="1">IFERROR(__xludf.DUMMYFUNCTION("IMPORTRANGE(H10195,""IDENTITAS UNIT!D9"")"),"#N/A")</f>
        <v>#N/A</v>
      </c>
      <c r="H10195" s="4" t="str">
        <v/>
      </c>
      <c r="I10195" s="4" t="str">
        <v/>
      </c>
    </row>
    <row r="10196" spans="5:9" ht="16.5" hidden="1">
      <c r="E10196" s="4" t="str">
        <v/>
      </c>
      <c r="F10196" s="102" t="str">
        <f ca="1">IFERROR(__xludf.DUMMYFUNCTION("IMPORTRANGE(H10196,""IDENTITAS UNIT!D9"")"),"#N/A")</f>
        <v>#N/A</v>
      </c>
      <c r="H10196" s="4" t="str">
        <v/>
      </c>
      <c r="I10196" s="4" t="str">
        <v/>
      </c>
    </row>
    <row r="10197" spans="5:9" ht="16.5" hidden="1">
      <c r="E10197" s="4" t="str">
        <v/>
      </c>
      <c r="F10197" s="102" t="str">
        <f ca="1">IFERROR(__xludf.DUMMYFUNCTION("IMPORTRANGE(H10197,""IDENTITAS UNIT!D9"")"),"#N/A")</f>
        <v>#N/A</v>
      </c>
      <c r="H10197" s="4" t="str">
        <v/>
      </c>
      <c r="I10197" s="4" t="str">
        <v/>
      </c>
    </row>
    <row r="10198" spans="5:9" ht="16.5" hidden="1">
      <c r="E10198" s="4" t="str">
        <v/>
      </c>
      <c r="F10198" s="102" t="str">
        <f ca="1">IFERROR(__xludf.DUMMYFUNCTION("IMPORTRANGE(H10198,""IDENTITAS UNIT!D9"")"),"#N/A")</f>
        <v>#N/A</v>
      </c>
      <c r="H10198" s="4" t="str">
        <v/>
      </c>
      <c r="I10198" s="4" t="str">
        <v/>
      </c>
    </row>
    <row r="10199" spans="5:9" ht="16.5" hidden="1">
      <c r="E10199" s="4" t="str">
        <v/>
      </c>
      <c r="F10199" s="102" t="str">
        <f ca="1">IFERROR(__xludf.DUMMYFUNCTION("IMPORTRANGE(H10199,""IDENTITAS UNIT!D9"")"),"#N/A")</f>
        <v>#N/A</v>
      </c>
      <c r="H10199" s="4" t="str">
        <v/>
      </c>
      <c r="I10199" s="4" t="str">
        <v/>
      </c>
    </row>
    <row r="10200" spans="5:9" ht="16.5" hidden="1">
      <c r="E10200" s="4" t="str">
        <v/>
      </c>
      <c r="F10200" s="102" t="str">
        <f ca="1">IFERROR(__xludf.DUMMYFUNCTION("IMPORTRANGE(H10200,""IDENTITAS UNIT!D9"")"),"#N/A")</f>
        <v>#N/A</v>
      </c>
      <c r="H10200" s="4" t="str">
        <v/>
      </c>
      <c r="I10200" s="4" t="str">
        <v/>
      </c>
    </row>
    <row r="10201" spans="5:9" ht="16.5" hidden="1">
      <c r="E10201" s="4" t="str">
        <v/>
      </c>
      <c r="F10201" s="102" t="str">
        <f ca="1">IFERROR(__xludf.DUMMYFUNCTION("IMPORTRANGE(H10201,""IDENTITAS UNIT!D9"")"),"#N/A")</f>
        <v>#N/A</v>
      </c>
      <c r="H10201" s="4" t="str">
        <v/>
      </c>
      <c r="I10201" s="4" t="str">
        <v/>
      </c>
    </row>
    <row r="10202" spans="5:9" ht="16.5" hidden="1">
      <c r="E10202" s="4" t="str">
        <v/>
      </c>
      <c r="F10202" s="102" t="str">
        <f ca="1">IFERROR(__xludf.DUMMYFUNCTION("IMPORTRANGE(H10202,""IDENTITAS UNIT!D9"")"),"#N/A")</f>
        <v>#N/A</v>
      </c>
      <c r="H10202" s="4" t="str">
        <v/>
      </c>
      <c r="I10202" s="4" t="str">
        <v/>
      </c>
    </row>
    <row r="10203" spans="5:9" ht="16.5" hidden="1">
      <c r="E10203" s="4" t="str">
        <v/>
      </c>
      <c r="F10203" s="102" t="str">
        <f ca="1">IFERROR(__xludf.DUMMYFUNCTION("IMPORTRANGE(H10203,""IDENTITAS UNIT!D9"")"),"#N/A")</f>
        <v>#N/A</v>
      </c>
      <c r="H10203" s="4" t="str">
        <v/>
      </c>
      <c r="I10203" s="4" t="str">
        <v/>
      </c>
    </row>
    <row r="10204" spans="5:9" ht="16.5" hidden="1">
      <c r="E10204" s="4" t="str">
        <v/>
      </c>
      <c r="F10204" s="102" t="str">
        <f ca="1">IFERROR(__xludf.DUMMYFUNCTION("IMPORTRANGE(H10204,""IDENTITAS UNIT!D9"")"),"#N/A")</f>
        <v>#N/A</v>
      </c>
      <c r="H10204" s="4" t="str">
        <v/>
      </c>
      <c r="I10204" s="4" t="str">
        <v/>
      </c>
    </row>
    <row r="10205" spans="5:9" ht="16.5" hidden="1">
      <c r="E10205" s="4" t="str">
        <v/>
      </c>
      <c r="F10205" s="102" t="str">
        <f ca="1">IFERROR(__xludf.DUMMYFUNCTION("IMPORTRANGE(H10205,""IDENTITAS UNIT!D9"")"),"#N/A")</f>
        <v>#N/A</v>
      </c>
      <c r="H10205" s="4" t="str">
        <v/>
      </c>
      <c r="I10205" s="4" t="str">
        <v/>
      </c>
    </row>
    <row r="10206" spans="5:9" ht="16.5" hidden="1">
      <c r="E10206" s="4" t="str">
        <v/>
      </c>
      <c r="F10206" s="102" t="str">
        <f ca="1">IFERROR(__xludf.DUMMYFUNCTION("IMPORTRANGE(H10206,""IDENTITAS UNIT!D9"")"),"#N/A")</f>
        <v>#N/A</v>
      </c>
      <c r="H10206" s="4" t="str">
        <v/>
      </c>
      <c r="I10206" s="4" t="str">
        <v/>
      </c>
    </row>
    <row r="10207" spans="5:9" ht="16.5" hidden="1">
      <c r="E10207" s="4" t="str">
        <v/>
      </c>
      <c r="F10207" s="102" t="str">
        <f ca="1">IFERROR(__xludf.DUMMYFUNCTION("IMPORTRANGE(H10207,""IDENTITAS UNIT!D9"")"),"#N/A")</f>
        <v>#N/A</v>
      </c>
      <c r="H10207" s="4" t="str">
        <v/>
      </c>
      <c r="I10207" s="4" t="str">
        <v/>
      </c>
    </row>
    <row r="10208" spans="5:9" ht="16.5" hidden="1">
      <c r="E10208" s="4" t="str">
        <v/>
      </c>
      <c r="F10208" s="102" t="str">
        <f ca="1">IFERROR(__xludf.DUMMYFUNCTION("IMPORTRANGE(H10208,""IDENTITAS UNIT!D9"")"),"#N/A")</f>
        <v>#N/A</v>
      </c>
      <c r="H10208" s="4" t="str">
        <v/>
      </c>
      <c r="I10208" s="4" t="str">
        <v/>
      </c>
    </row>
    <row r="10209" spans="5:9" ht="16.5" hidden="1">
      <c r="E10209" s="4" t="str">
        <v/>
      </c>
      <c r="F10209" s="102" t="str">
        <f ca="1">IFERROR(__xludf.DUMMYFUNCTION("IMPORTRANGE(H10209,""IDENTITAS UNIT!D9"")"),"#N/A")</f>
        <v>#N/A</v>
      </c>
      <c r="H10209" s="4" t="str">
        <v/>
      </c>
      <c r="I10209" s="4" t="str">
        <v/>
      </c>
    </row>
    <row r="10210" spans="5:9" ht="16.5" hidden="1">
      <c r="E10210" s="4" t="str">
        <v/>
      </c>
      <c r="F10210" s="102" t="str">
        <f ca="1">IFERROR(__xludf.DUMMYFUNCTION("IMPORTRANGE(H10210,""IDENTITAS UNIT!D9"")"),"#N/A")</f>
        <v>#N/A</v>
      </c>
      <c r="H10210" s="4" t="str">
        <v/>
      </c>
      <c r="I10210" s="4" t="str">
        <v/>
      </c>
    </row>
    <row r="10211" spans="5:9" ht="16.5" hidden="1">
      <c r="E10211" s="4" t="str">
        <v/>
      </c>
      <c r="F10211" s="102" t="str">
        <f ca="1">IFERROR(__xludf.DUMMYFUNCTION("IMPORTRANGE(H10211,""IDENTITAS UNIT!D9"")"),"#N/A")</f>
        <v>#N/A</v>
      </c>
      <c r="H10211" s="4" t="str">
        <v/>
      </c>
      <c r="I10211" s="4" t="str">
        <v/>
      </c>
    </row>
    <row r="10212" spans="5:9" ht="16.5" hidden="1">
      <c r="E10212" s="4" t="str">
        <v/>
      </c>
      <c r="F10212" s="102" t="str">
        <f ca="1">IFERROR(__xludf.DUMMYFUNCTION("IMPORTRANGE(H10212,""IDENTITAS UNIT!D9"")"),"#N/A")</f>
        <v>#N/A</v>
      </c>
      <c r="H10212" s="4" t="str">
        <v/>
      </c>
      <c r="I10212" s="4" t="str">
        <v/>
      </c>
    </row>
    <row r="10213" spans="5:9" ht="16.5" hidden="1">
      <c r="E10213" s="4" t="str">
        <v/>
      </c>
      <c r="F10213" s="102" t="str">
        <f ca="1">IFERROR(__xludf.DUMMYFUNCTION("IMPORTRANGE(H10213,""IDENTITAS UNIT!D9"")"),"#N/A")</f>
        <v>#N/A</v>
      </c>
      <c r="H10213" s="4" t="str">
        <v/>
      </c>
      <c r="I10213" s="4" t="str">
        <v/>
      </c>
    </row>
    <row r="10214" spans="5:9" ht="16.5" hidden="1">
      <c r="E10214" s="4" t="str">
        <v/>
      </c>
      <c r="F10214" s="102" t="str">
        <f ca="1">IFERROR(__xludf.DUMMYFUNCTION("IMPORTRANGE(H10214,""IDENTITAS UNIT!D9"")"),"#N/A")</f>
        <v>#N/A</v>
      </c>
      <c r="H10214" s="4" t="str">
        <v/>
      </c>
      <c r="I10214" s="4" t="str">
        <v/>
      </c>
    </row>
    <row r="10215" spans="5:9" ht="16.5" hidden="1">
      <c r="E10215" s="4" t="str">
        <v/>
      </c>
      <c r="F10215" s="102" t="str">
        <f ca="1">IFERROR(__xludf.DUMMYFUNCTION("IMPORTRANGE(H10215,""IDENTITAS UNIT!D9"")"),"#N/A")</f>
        <v>#N/A</v>
      </c>
      <c r="H10215" s="4" t="str">
        <v/>
      </c>
      <c r="I10215" s="4" t="str">
        <v/>
      </c>
    </row>
    <row r="10216" spans="5:9" ht="16.5" hidden="1">
      <c r="E10216" s="4" t="str">
        <v/>
      </c>
      <c r="F10216" s="102" t="str">
        <f ca="1">IFERROR(__xludf.DUMMYFUNCTION("IMPORTRANGE(H10216,""IDENTITAS UNIT!D9"")"),"#N/A")</f>
        <v>#N/A</v>
      </c>
      <c r="H10216" s="4" t="str">
        <v/>
      </c>
      <c r="I10216" s="4" t="str">
        <v/>
      </c>
    </row>
    <row r="10217" spans="5:9" ht="16.5" hidden="1">
      <c r="E10217" s="4" t="str">
        <v/>
      </c>
      <c r="F10217" s="102" t="str">
        <f ca="1">IFERROR(__xludf.DUMMYFUNCTION("IMPORTRANGE(H10217,""IDENTITAS UNIT!D9"")"),"#N/A")</f>
        <v>#N/A</v>
      </c>
      <c r="H10217" s="4" t="str">
        <v/>
      </c>
      <c r="I10217" s="4" t="str">
        <v/>
      </c>
    </row>
    <row r="10218" spans="5:9" ht="16.5" hidden="1">
      <c r="E10218" s="4" t="str">
        <v/>
      </c>
      <c r="F10218" s="102" t="str">
        <f ca="1">IFERROR(__xludf.DUMMYFUNCTION("IMPORTRANGE(H10218,""IDENTITAS UNIT!D9"")"),"#N/A")</f>
        <v>#N/A</v>
      </c>
      <c r="H10218" s="4" t="str">
        <v/>
      </c>
      <c r="I10218" s="4" t="str">
        <v/>
      </c>
    </row>
    <row r="10219" spans="5:9" ht="16.5" hidden="1">
      <c r="E10219" s="4" t="str">
        <v/>
      </c>
      <c r="F10219" s="102" t="str">
        <f ca="1">IFERROR(__xludf.DUMMYFUNCTION("IMPORTRANGE(H10219,""IDENTITAS UNIT!D9"")"),"#N/A")</f>
        <v>#N/A</v>
      </c>
      <c r="H10219" s="4" t="str">
        <v/>
      </c>
      <c r="I10219" s="4" t="str">
        <v/>
      </c>
    </row>
    <row r="10220" spans="5:9" ht="16.5" hidden="1">
      <c r="E10220" s="4" t="str">
        <v/>
      </c>
      <c r="F10220" s="102" t="str">
        <f ca="1">IFERROR(__xludf.DUMMYFUNCTION("IMPORTRANGE(H10220,""IDENTITAS UNIT!D9"")"),"#N/A")</f>
        <v>#N/A</v>
      </c>
      <c r="H10220" s="4" t="str">
        <v/>
      </c>
      <c r="I10220" s="4" t="str">
        <v/>
      </c>
    </row>
    <row r="10221" spans="5:9" ht="16.5" hidden="1">
      <c r="E10221" s="4" t="str">
        <v/>
      </c>
      <c r="F10221" s="102" t="str">
        <f ca="1">IFERROR(__xludf.DUMMYFUNCTION("IMPORTRANGE(H10221,""IDENTITAS UNIT!D9"")"),"#N/A")</f>
        <v>#N/A</v>
      </c>
      <c r="H10221" s="4" t="str">
        <v/>
      </c>
      <c r="I10221" s="4" t="str">
        <v/>
      </c>
    </row>
    <row r="10222" spans="5:9" ht="16.5" hidden="1">
      <c r="E10222" s="4" t="str">
        <v/>
      </c>
      <c r="F10222" s="102" t="str">
        <f ca="1">IFERROR(__xludf.DUMMYFUNCTION("IMPORTRANGE(H10222,""IDENTITAS UNIT!D9"")"),"#N/A")</f>
        <v>#N/A</v>
      </c>
      <c r="H10222" s="4" t="str">
        <v/>
      </c>
      <c r="I10222" s="4" t="str">
        <v/>
      </c>
    </row>
    <row r="10223" spans="5:9" ht="16.5" hidden="1">
      <c r="E10223" s="4" t="str">
        <v/>
      </c>
      <c r="F10223" s="102" t="str">
        <f ca="1">IFERROR(__xludf.DUMMYFUNCTION("IMPORTRANGE(H10223,""IDENTITAS UNIT!D9"")"),"#N/A")</f>
        <v>#N/A</v>
      </c>
      <c r="H10223" s="4" t="str">
        <v/>
      </c>
      <c r="I10223" s="4" t="str">
        <v/>
      </c>
    </row>
    <row r="10224" spans="5:9" ht="16.5" hidden="1">
      <c r="E10224" s="4" t="str">
        <v/>
      </c>
      <c r="F10224" s="102" t="str">
        <f ca="1">IFERROR(__xludf.DUMMYFUNCTION("IMPORTRANGE(H10224,""IDENTITAS UNIT!D9"")"),"#N/A")</f>
        <v>#N/A</v>
      </c>
      <c r="H10224" s="4" t="str">
        <v/>
      </c>
      <c r="I10224" s="4" t="str">
        <v/>
      </c>
    </row>
    <row r="10225" spans="5:9" ht="16.5" hidden="1">
      <c r="E10225" s="4" t="str">
        <v/>
      </c>
      <c r="F10225" s="102" t="str">
        <f ca="1">IFERROR(__xludf.DUMMYFUNCTION("IMPORTRANGE(H10225,""IDENTITAS UNIT!D9"")"),"#N/A")</f>
        <v>#N/A</v>
      </c>
      <c r="H10225" s="4" t="str">
        <v/>
      </c>
      <c r="I10225" s="4" t="str">
        <v/>
      </c>
    </row>
    <row r="10226" spans="5:9" ht="16.5" hidden="1">
      <c r="E10226" s="4" t="str">
        <v/>
      </c>
      <c r="F10226" s="102" t="str">
        <f ca="1">IFERROR(__xludf.DUMMYFUNCTION("IMPORTRANGE(H10226,""IDENTITAS UNIT!D9"")"),"#N/A")</f>
        <v>#N/A</v>
      </c>
      <c r="H10226" s="4" t="str">
        <v/>
      </c>
      <c r="I10226" s="4" t="str">
        <v/>
      </c>
    </row>
    <row r="10227" spans="5:9" ht="16.5" hidden="1">
      <c r="E10227" s="4" t="str">
        <v/>
      </c>
      <c r="F10227" s="102" t="str">
        <f ca="1">IFERROR(__xludf.DUMMYFUNCTION("IMPORTRANGE(H10227,""IDENTITAS UNIT!D9"")"),"#N/A")</f>
        <v>#N/A</v>
      </c>
      <c r="H10227" s="4" t="str">
        <v/>
      </c>
      <c r="I10227" s="4" t="str">
        <v/>
      </c>
    </row>
    <row r="10228" spans="5:9" ht="16.5" hidden="1">
      <c r="E10228" s="4" t="str">
        <v/>
      </c>
      <c r="F10228" s="102" t="str">
        <f ca="1">IFERROR(__xludf.DUMMYFUNCTION("IMPORTRANGE(H10228,""IDENTITAS UNIT!D9"")"),"#N/A")</f>
        <v>#N/A</v>
      </c>
      <c r="H10228" s="4" t="str">
        <v/>
      </c>
      <c r="I10228" s="4" t="str">
        <v/>
      </c>
    </row>
    <row r="10229" spans="5:9" ht="16.5" hidden="1">
      <c r="E10229" s="4" t="str">
        <v/>
      </c>
      <c r="F10229" s="102" t="str">
        <f ca="1">IFERROR(__xludf.DUMMYFUNCTION("IMPORTRANGE(H10229,""IDENTITAS UNIT!D9"")"),"#N/A")</f>
        <v>#N/A</v>
      </c>
      <c r="H10229" s="4" t="str">
        <v/>
      </c>
      <c r="I10229" s="4" t="str">
        <v/>
      </c>
    </row>
    <row r="10230" spans="5:9" ht="16.5" hidden="1">
      <c r="E10230" s="4" t="str">
        <v/>
      </c>
      <c r="F10230" s="102" t="str">
        <f ca="1">IFERROR(__xludf.DUMMYFUNCTION("IMPORTRANGE(H10230,""IDENTITAS UNIT!D9"")"),"#N/A")</f>
        <v>#N/A</v>
      </c>
      <c r="H10230" s="4" t="str">
        <v/>
      </c>
      <c r="I10230" s="4" t="str">
        <v/>
      </c>
    </row>
    <row r="10231" spans="5:9" ht="16.5" hidden="1">
      <c r="E10231" s="4" t="str">
        <v/>
      </c>
      <c r="F10231" s="102" t="str">
        <f ca="1">IFERROR(__xludf.DUMMYFUNCTION("IMPORTRANGE(H10231,""IDENTITAS UNIT!D9"")"),"#N/A")</f>
        <v>#N/A</v>
      </c>
      <c r="H10231" s="4" t="str">
        <v/>
      </c>
      <c r="I10231" s="4" t="str">
        <v/>
      </c>
    </row>
    <row r="10232" spans="5:9" ht="16.5" hidden="1">
      <c r="E10232" s="4" t="str">
        <v/>
      </c>
      <c r="F10232" s="102" t="str">
        <f ca="1">IFERROR(__xludf.DUMMYFUNCTION("IMPORTRANGE(H10232,""IDENTITAS UNIT!D9"")"),"#N/A")</f>
        <v>#N/A</v>
      </c>
      <c r="H10232" s="4" t="str">
        <v/>
      </c>
      <c r="I10232" s="4" t="str">
        <v/>
      </c>
    </row>
    <row r="10233" spans="5:9" ht="16.5" hidden="1">
      <c r="E10233" s="4" t="str">
        <v/>
      </c>
      <c r="F10233" s="102" t="str">
        <f ca="1">IFERROR(__xludf.DUMMYFUNCTION("IMPORTRANGE(H10233,""IDENTITAS UNIT!D9"")"),"#N/A")</f>
        <v>#N/A</v>
      </c>
      <c r="H10233" s="4" t="str">
        <v/>
      </c>
      <c r="I10233" s="4" t="str">
        <v/>
      </c>
    </row>
    <row r="10234" spans="5:9" ht="16.5" hidden="1">
      <c r="E10234" s="4" t="str">
        <v/>
      </c>
      <c r="F10234" s="102" t="str">
        <f ca="1">IFERROR(__xludf.DUMMYFUNCTION("IMPORTRANGE(H10234,""IDENTITAS UNIT!D9"")"),"#N/A")</f>
        <v>#N/A</v>
      </c>
      <c r="H10234" s="4" t="str">
        <v/>
      </c>
      <c r="I10234" s="4" t="str">
        <v/>
      </c>
    </row>
    <row r="10235" spans="5:9" ht="16.5" hidden="1">
      <c r="E10235" s="4" t="str">
        <v/>
      </c>
      <c r="F10235" s="102" t="str">
        <f ca="1">IFERROR(__xludf.DUMMYFUNCTION("IMPORTRANGE(H10235,""IDENTITAS UNIT!D9"")"),"#N/A")</f>
        <v>#N/A</v>
      </c>
      <c r="H10235" s="4" t="str">
        <v/>
      </c>
      <c r="I10235" s="4" t="str">
        <v/>
      </c>
    </row>
    <row r="10236" spans="5:9" ht="16.5" hidden="1">
      <c r="E10236" s="4" t="str">
        <v/>
      </c>
      <c r="F10236" s="102" t="str">
        <f ca="1">IFERROR(__xludf.DUMMYFUNCTION("IMPORTRANGE(H10236,""IDENTITAS UNIT!D9"")"),"#N/A")</f>
        <v>#N/A</v>
      </c>
      <c r="H10236" s="4" t="str">
        <v/>
      </c>
      <c r="I10236" s="4" t="str">
        <v/>
      </c>
    </row>
    <row r="10237" spans="5:9" ht="16.5" hidden="1">
      <c r="E10237" s="4" t="str">
        <v/>
      </c>
      <c r="F10237" s="102" t="str">
        <f ca="1">IFERROR(__xludf.DUMMYFUNCTION("IMPORTRANGE(H10237,""IDENTITAS UNIT!D9"")"),"#N/A")</f>
        <v>#N/A</v>
      </c>
      <c r="H10237" s="4" t="str">
        <v/>
      </c>
      <c r="I10237" s="4" t="str">
        <v/>
      </c>
    </row>
    <row r="10238" spans="5:9" ht="16.5" hidden="1">
      <c r="E10238" s="4" t="str">
        <v/>
      </c>
      <c r="F10238" s="102" t="str">
        <f ca="1">IFERROR(__xludf.DUMMYFUNCTION("IMPORTRANGE(H10238,""IDENTITAS UNIT!D9"")"),"#N/A")</f>
        <v>#N/A</v>
      </c>
      <c r="H10238" s="4" t="str">
        <v/>
      </c>
      <c r="I10238" s="4" t="str">
        <v/>
      </c>
    </row>
    <row r="10239" spans="5:9" ht="16.5" hidden="1">
      <c r="E10239" s="4" t="str">
        <v/>
      </c>
      <c r="F10239" s="102" t="str">
        <f ca="1">IFERROR(__xludf.DUMMYFUNCTION("IMPORTRANGE(H10239,""IDENTITAS UNIT!D9"")"),"#N/A")</f>
        <v>#N/A</v>
      </c>
      <c r="H10239" s="4" t="str">
        <v/>
      </c>
      <c r="I10239" s="4" t="str">
        <v/>
      </c>
    </row>
    <row r="10240" spans="5:9" ht="16.5" hidden="1">
      <c r="E10240" s="4" t="str">
        <v/>
      </c>
      <c r="F10240" s="102" t="str">
        <f ca="1">IFERROR(__xludf.DUMMYFUNCTION("IMPORTRANGE(H10240,""IDENTITAS UNIT!D9"")"),"#N/A")</f>
        <v>#N/A</v>
      </c>
      <c r="H10240" s="4" t="str">
        <v/>
      </c>
      <c r="I10240" s="4" t="str">
        <v/>
      </c>
    </row>
    <row r="10241" spans="5:9" ht="16.5" hidden="1">
      <c r="E10241" s="4" t="str">
        <v/>
      </c>
      <c r="F10241" s="102" t="str">
        <f ca="1">IFERROR(__xludf.DUMMYFUNCTION("IMPORTRANGE(H10241,""IDENTITAS UNIT!D9"")"),"#N/A")</f>
        <v>#N/A</v>
      </c>
      <c r="H10241" s="4" t="str">
        <v/>
      </c>
      <c r="I10241" s="4" t="str">
        <v/>
      </c>
    </row>
    <row r="10242" spans="5:9" ht="16.5" hidden="1">
      <c r="E10242" s="4" t="str">
        <v/>
      </c>
      <c r="F10242" s="102" t="str">
        <f ca="1">IFERROR(__xludf.DUMMYFUNCTION("IMPORTRANGE(H10242,""IDENTITAS UNIT!D9"")"),"#N/A")</f>
        <v>#N/A</v>
      </c>
      <c r="H10242" s="4" t="str">
        <v/>
      </c>
      <c r="I10242" s="4" t="str">
        <v/>
      </c>
    </row>
    <row r="10243" spans="5:9" ht="16.5" hidden="1">
      <c r="E10243" s="4" t="str">
        <v/>
      </c>
      <c r="F10243" s="102" t="str">
        <f ca="1">IFERROR(__xludf.DUMMYFUNCTION("IMPORTRANGE(H10243,""IDENTITAS UNIT!D9"")"),"#N/A")</f>
        <v>#N/A</v>
      </c>
      <c r="H10243" s="4" t="str">
        <v/>
      </c>
      <c r="I10243" s="4" t="str">
        <v/>
      </c>
    </row>
    <row r="10244" spans="5:9" ht="16.5" hidden="1">
      <c r="E10244" s="4" t="str">
        <v/>
      </c>
      <c r="F10244" s="102" t="str">
        <f ca="1">IFERROR(__xludf.DUMMYFUNCTION("IMPORTRANGE(H10244,""IDENTITAS UNIT!D9"")"),"#N/A")</f>
        <v>#N/A</v>
      </c>
      <c r="H10244" s="4" t="str">
        <v/>
      </c>
      <c r="I10244" s="4" t="str">
        <v/>
      </c>
    </row>
    <row r="10245" spans="5:9" ht="16.5" hidden="1">
      <c r="E10245" s="4" t="str">
        <v/>
      </c>
      <c r="F10245" s="102" t="str">
        <f ca="1">IFERROR(__xludf.DUMMYFUNCTION("IMPORTRANGE(H10245,""IDENTITAS UNIT!D9"")"),"#N/A")</f>
        <v>#N/A</v>
      </c>
      <c r="H10245" s="4" t="str">
        <v/>
      </c>
      <c r="I10245" s="4" t="str">
        <v/>
      </c>
    </row>
    <row r="10246" spans="5:9" ht="16.5" hidden="1">
      <c r="E10246" s="4" t="str">
        <v/>
      </c>
      <c r="F10246" s="102" t="str">
        <f ca="1">IFERROR(__xludf.DUMMYFUNCTION("IMPORTRANGE(H10246,""IDENTITAS UNIT!D9"")"),"#N/A")</f>
        <v>#N/A</v>
      </c>
      <c r="H10246" s="4" t="str">
        <v/>
      </c>
      <c r="I10246" s="4" t="str">
        <v/>
      </c>
    </row>
    <row r="10247" spans="5:9" ht="16.5" hidden="1">
      <c r="E10247" s="4" t="str">
        <v/>
      </c>
      <c r="F10247" s="102" t="str">
        <f ca="1">IFERROR(__xludf.DUMMYFUNCTION("IMPORTRANGE(H10247,""IDENTITAS UNIT!D9"")"),"#N/A")</f>
        <v>#N/A</v>
      </c>
      <c r="H10247" s="4" t="str">
        <v/>
      </c>
      <c r="I10247" s="4" t="str">
        <v/>
      </c>
    </row>
    <row r="10248" spans="5:9" ht="16.5" hidden="1">
      <c r="E10248" s="4" t="str">
        <v/>
      </c>
      <c r="F10248" s="102" t="str">
        <f ca="1">IFERROR(__xludf.DUMMYFUNCTION("IMPORTRANGE(H10248,""IDENTITAS UNIT!D9"")"),"#N/A")</f>
        <v>#N/A</v>
      </c>
      <c r="H10248" s="4" t="str">
        <v/>
      </c>
      <c r="I10248" s="4" t="str">
        <v/>
      </c>
    </row>
    <row r="10249" spans="5:9" ht="16.5" hidden="1">
      <c r="E10249" s="4" t="str">
        <v/>
      </c>
      <c r="F10249" s="102" t="str">
        <f ca="1">IFERROR(__xludf.DUMMYFUNCTION("IMPORTRANGE(H10249,""IDENTITAS UNIT!D9"")"),"#N/A")</f>
        <v>#N/A</v>
      </c>
      <c r="H10249" s="4" t="str">
        <v/>
      </c>
      <c r="I10249" s="4" t="str">
        <v/>
      </c>
    </row>
    <row r="10250" spans="5:9" ht="16.5" hidden="1">
      <c r="E10250" s="4" t="str">
        <v/>
      </c>
      <c r="F10250" s="102" t="str">
        <f ca="1">IFERROR(__xludf.DUMMYFUNCTION("IMPORTRANGE(H10250,""IDENTITAS UNIT!D9"")"),"#N/A")</f>
        <v>#N/A</v>
      </c>
      <c r="H10250" s="4" t="str">
        <v/>
      </c>
      <c r="I10250" s="4" t="str">
        <v/>
      </c>
    </row>
    <row r="10251" spans="5:9" ht="16.5" hidden="1">
      <c r="E10251" s="4" t="str">
        <v/>
      </c>
      <c r="F10251" s="102" t="str">
        <f ca="1">IFERROR(__xludf.DUMMYFUNCTION("IMPORTRANGE(H10251,""IDENTITAS UNIT!D9"")"),"#N/A")</f>
        <v>#N/A</v>
      </c>
      <c r="H10251" s="4" t="str">
        <v/>
      </c>
      <c r="I10251" s="4" t="str">
        <v/>
      </c>
    </row>
    <row r="10252" spans="5:9" ht="16.5" hidden="1">
      <c r="E10252" s="4" t="str">
        <v/>
      </c>
      <c r="F10252" s="102" t="str">
        <f ca="1">IFERROR(__xludf.DUMMYFUNCTION("IMPORTRANGE(H10252,""IDENTITAS UNIT!D9"")"),"#N/A")</f>
        <v>#N/A</v>
      </c>
      <c r="H10252" s="4" t="str">
        <v/>
      </c>
      <c r="I10252" s="4" t="str">
        <v/>
      </c>
    </row>
    <row r="10253" spans="5:9" ht="16.5" hidden="1">
      <c r="E10253" s="4" t="str">
        <v/>
      </c>
      <c r="F10253" s="102" t="str">
        <f ca="1">IFERROR(__xludf.DUMMYFUNCTION("IMPORTRANGE(H10253,""IDENTITAS UNIT!D9"")"),"#N/A")</f>
        <v>#N/A</v>
      </c>
      <c r="H10253" s="4" t="str">
        <v/>
      </c>
      <c r="I10253" s="4" t="str">
        <v/>
      </c>
    </row>
    <row r="10254" spans="5:9" ht="16.5" hidden="1">
      <c r="E10254" s="4" t="str">
        <v/>
      </c>
      <c r="F10254" s="102" t="str">
        <f ca="1">IFERROR(__xludf.DUMMYFUNCTION("IMPORTRANGE(H10254,""IDENTITAS UNIT!D9"")"),"#N/A")</f>
        <v>#N/A</v>
      </c>
      <c r="H10254" s="4" t="str">
        <v/>
      </c>
      <c r="I10254" s="4" t="str">
        <v/>
      </c>
    </row>
    <row r="10255" spans="5:9" ht="16.5" hidden="1">
      <c r="E10255" s="4" t="str">
        <v/>
      </c>
      <c r="F10255" s="102" t="str">
        <f ca="1">IFERROR(__xludf.DUMMYFUNCTION("IMPORTRANGE(H10255,""IDENTITAS UNIT!D9"")"),"#N/A")</f>
        <v>#N/A</v>
      </c>
      <c r="H10255" s="4" t="str">
        <v/>
      </c>
      <c r="I10255" s="4" t="str">
        <v/>
      </c>
    </row>
    <row r="10256" spans="5:9" ht="16.5" hidden="1">
      <c r="E10256" s="4" t="str">
        <v/>
      </c>
      <c r="F10256" s="102" t="str">
        <f ca="1">IFERROR(__xludf.DUMMYFUNCTION("IMPORTRANGE(H10256,""IDENTITAS UNIT!D9"")"),"#N/A")</f>
        <v>#N/A</v>
      </c>
      <c r="H10256" s="4" t="str">
        <v/>
      </c>
      <c r="I10256" s="4" t="str">
        <v/>
      </c>
    </row>
    <row r="10257" spans="5:9" ht="16.5" hidden="1">
      <c r="E10257" s="4" t="str">
        <v/>
      </c>
      <c r="F10257" s="102" t="str">
        <f ca="1">IFERROR(__xludf.DUMMYFUNCTION("IMPORTRANGE(H10257,""IDENTITAS UNIT!D9"")"),"#N/A")</f>
        <v>#N/A</v>
      </c>
      <c r="H10257" s="4" t="str">
        <v/>
      </c>
      <c r="I10257" s="4" t="str">
        <v/>
      </c>
    </row>
    <row r="10258" spans="5:9" ht="16.5" hidden="1">
      <c r="E10258" s="4" t="str">
        <v/>
      </c>
      <c r="F10258" s="102" t="str">
        <f ca="1">IFERROR(__xludf.DUMMYFUNCTION("IMPORTRANGE(H10258,""IDENTITAS UNIT!D9"")"),"#N/A")</f>
        <v>#N/A</v>
      </c>
      <c r="H10258" s="4" t="str">
        <v/>
      </c>
      <c r="I10258" s="4" t="str">
        <v/>
      </c>
    </row>
    <row r="10259" spans="5:9" ht="16.5" hidden="1">
      <c r="E10259" s="4" t="str">
        <v/>
      </c>
      <c r="F10259" s="102" t="str">
        <f ca="1">IFERROR(__xludf.DUMMYFUNCTION("IMPORTRANGE(H10259,""IDENTITAS UNIT!D9"")"),"#N/A")</f>
        <v>#N/A</v>
      </c>
      <c r="H10259" s="4" t="str">
        <v/>
      </c>
      <c r="I10259" s="4" t="str">
        <v/>
      </c>
    </row>
    <row r="10260" spans="5:9" ht="16.5" hidden="1">
      <c r="E10260" s="4" t="str">
        <v/>
      </c>
      <c r="F10260" s="102" t="str">
        <f ca="1">IFERROR(__xludf.DUMMYFUNCTION("IMPORTRANGE(H10260,""IDENTITAS UNIT!D9"")"),"#N/A")</f>
        <v>#N/A</v>
      </c>
      <c r="H10260" s="4" t="str">
        <v/>
      </c>
      <c r="I10260" s="4" t="str">
        <v/>
      </c>
    </row>
    <row r="10261" spans="5:9" ht="16.5" hidden="1">
      <c r="E10261" s="4" t="str">
        <v/>
      </c>
      <c r="F10261" s="102" t="str">
        <f ca="1">IFERROR(__xludf.DUMMYFUNCTION("IMPORTRANGE(H10261,""IDENTITAS UNIT!D9"")"),"#N/A")</f>
        <v>#N/A</v>
      </c>
      <c r="H10261" s="4" t="str">
        <v/>
      </c>
      <c r="I10261" s="4" t="str">
        <v/>
      </c>
    </row>
    <row r="10262" spans="5:9" ht="16.5" hidden="1">
      <c r="E10262" s="4" t="str">
        <v/>
      </c>
      <c r="F10262" s="102" t="str">
        <f ca="1">IFERROR(__xludf.DUMMYFUNCTION("IMPORTRANGE(H10262,""IDENTITAS UNIT!D9"")"),"#N/A")</f>
        <v>#N/A</v>
      </c>
      <c r="H10262" s="4" t="str">
        <v/>
      </c>
      <c r="I10262" s="4" t="str">
        <v/>
      </c>
    </row>
    <row r="10263" spans="5:9" ht="16.5" hidden="1">
      <c r="E10263" s="4" t="str">
        <v/>
      </c>
      <c r="F10263" s="102" t="str">
        <f ca="1">IFERROR(__xludf.DUMMYFUNCTION("IMPORTRANGE(H10263,""IDENTITAS UNIT!D9"")"),"#N/A")</f>
        <v>#N/A</v>
      </c>
      <c r="H10263" s="4" t="str">
        <v/>
      </c>
      <c r="I10263" s="4" t="str">
        <v/>
      </c>
    </row>
    <row r="10264" spans="5:9" ht="16.5" hidden="1">
      <c r="E10264" s="4" t="str">
        <v/>
      </c>
      <c r="F10264" s="102" t="str">
        <f ca="1">IFERROR(__xludf.DUMMYFUNCTION("IMPORTRANGE(H10264,""IDENTITAS UNIT!D9"")"),"#N/A")</f>
        <v>#N/A</v>
      </c>
      <c r="H10264" s="4" t="str">
        <v/>
      </c>
      <c r="I10264" s="4" t="str">
        <v/>
      </c>
    </row>
    <row r="10265" spans="5:9" ht="16.5" hidden="1">
      <c r="E10265" s="4" t="str">
        <v/>
      </c>
      <c r="F10265" s="102" t="str">
        <f ca="1">IFERROR(__xludf.DUMMYFUNCTION("IMPORTRANGE(H10265,""IDENTITAS UNIT!D9"")"),"#N/A")</f>
        <v>#N/A</v>
      </c>
      <c r="H10265" s="4" t="str">
        <v/>
      </c>
      <c r="I10265" s="4" t="str">
        <v/>
      </c>
    </row>
    <row r="10266" spans="5:9" ht="16.5" hidden="1">
      <c r="E10266" s="4" t="str">
        <v/>
      </c>
      <c r="F10266" s="102" t="str">
        <f ca="1">IFERROR(__xludf.DUMMYFUNCTION("IMPORTRANGE(H10266,""IDENTITAS UNIT!D9"")"),"#N/A")</f>
        <v>#N/A</v>
      </c>
      <c r="H10266" s="4" t="str">
        <v/>
      </c>
      <c r="I10266" s="4" t="str">
        <v/>
      </c>
    </row>
    <row r="10267" spans="5:9" ht="16.5" hidden="1">
      <c r="E10267" s="4" t="str">
        <v/>
      </c>
      <c r="F10267" s="102" t="str">
        <f ca="1">IFERROR(__xludf.DUMMYFUNCTION("IMPORTRANGE(H10267,""IDENTITAS UNIT!D9"")"),"#N/A")</f>
        <v>#N/A</v>
      </c>
      <c r="H10267" s="4" t="str">
        <v/>
      </c>
      <c r="I10267" s="4" t="str">
        <v/>
      </c>
    </row>
    <row r="10268" spans="5:9" ht="16.5" hidden="1">
      <c r="E10268" s="4" t="str">
        <v/>
      </c>
      <c r="F10268" s="102" t="str">
        <f ca="1">IFERROR(__xludf.DUMMYFUNCTION("IMPORTRANGE(H10268,""IDENTITAS UNIT!D9"")"),"#N/A")</f>
        <v>#N/A</v>
      </c>
      <c r="H10268" s="4" t="str">
        <v/>
      </c>
      <c r="I10268" s="4" t="str">
        <v/>
      </c>
    </row>
    <row r="10269" spans="5:9" ht="16.5" hidden="1">
      <c r="E10269" s="4" t="str">
        <v/>
      </c>
      <c r="F10269" s="102" t="str">
        <f ca="1">IFERROR(__xludf.DUMMYFUNCTION("IMPORTRANGE(H10269,""IDENTITAS UNIT!D9"")"),"#N/A")</f>
        <v>#N/A</v>
      </c>
      <c r="H10269" s="4" t="str">
        <v/>
      </c>
      <c r="I10269" s="4" t="str">
        <v/>
      </c>
    </row>
    <row r="10270" spans="5:9" ht="16.5" hidden="1">
      <c r="E10270" s="4" t="str">
        <v/>
      </c>
      <c r="F10270" s="102" t="str">
        <f ca="1">IFERROR(__xludf.DUMMYFUNCTION("IMPORTRANGE(H10270,""IDENTITAS UNIT!D9"")"),"#N/A")</f>
        <v>#N/A</v>
      </c>
      <c r="H10270" s="4" t="str">
        <v/>
      </c>
      <c r="I10270" s="4" t="str">
        <v/>
      </c>
    </row>
    <row r="10271" spans="5:9" ht="16.5" hidden="1">
      <c r="E10271" s="4" t="str">
        <v/>
      </c>
      <c r="F10271" s="102" t="str">
        <f ca="1">IFERROR(__xludf.DUMMYFUNCTION("IMPORTRANGE(H10271,""IDENTITAS UNIT!D9"")"),"#N/A")</f>
        <v>#N/A</v>
      </c>
      <c r="H10271" s="4" t="str">
        <v/>
      </c>
      <c r="I10271" s="4" t="str">
        <v/>
      </c>
    </row>
    <row r="10272" spans="5:9" ht="16.5" hidden="1">
      <c r="E10272" s="4" t="str">
        <v/>
      </c>
      <c r="F10272" s="102" t="str">
        <f ca="1">IFERROR(__xludf.DUMMYFUNCTION("IMPORTRANGE(H10272,""IDENTITAS UNIT!D9"")"),"#N/A")</f>
        <v>#N/A</v>
      </c>
      <c r="H10272" s="4" t="str">
        <v/>
      </c>
      <c r="I10272" s="4" t="str">
        <v/>
      </c>
    </row>
    <row r="10273" spans="5:9" ht="16.5" hidden="1">
      <c r="E10273" s="4" t="str">
        <v/>
      </c>
      <c r="F10273" s="102" t="str">
        <f ca="1">IFERROR(__xludf.DUMMYFUNCTION("IMPORTRANGE(H10273,""IDENTITAS UNIT!D9"")"),"#N/A")</f>
        <v>#N/A</v>
      </c>
      <c r="H10273" s="4" t="str">
        <v/>
      </c>
      <c r="I10273" s="4" t="str">
        <v/>
      </c>
    </row>
    <row r="10274" spans="5:9" ht="16.5" hidden="1">
      <c r="E10274" s="4" t="str">
        <v/>
      </c>
      <c r="F10274" s="102" t="str">
        <f ca="1">IFERROR(__xludf.DUMMYFUNCTION("IMPORTRANGE(H10274,""IDENTITAS UNIT!D9"")"),"#N/A")</f>
        <v>#N/A</v>
      </c>
      <c r="H10274" s="4" t="str">
        <v/>
      </c>
      <c r="I10274" s="4" t="str">
        <v/>
      </c>
    </row>
    <row r="10275" spans="5:9" ht="16.5" hidden="1">
      <c r="E10275" s="4" t="str">
        <v/>
      </c>
      <c r="F10275" s="102" t="str">
        <f ca="1">IFERROR(__xludf.DUMMYFUNCTION("IMPORTRANGE(H10275,""IDENTITAS UNIT!D9"")"),"#N/A")</f>
        <v>#N/A</v>
      </c>
      <c r="H10275" s="4" t="str">
        <v/>
      </c>
      <c r="I10275" s="4" t="str">
        <v/>
      </c>
    </row>
    <row r="10276" spans="5:9" ht="16.5" hidden="1">
      <c r="E10276" s="4" t="str">
        <v/>
      </c>
      <c r="F10276" s="102" t="str">
        <f ca="1">IFERROR(__xludf.DUMMYFUNCTION("IMPORTRANGE(H10276,""IDENTITAS UNIT!D9"")"),"#N/A")</f>
        <v>#N/A</v>
      </c>
      <c r="H10276" s="4" t="str">
        <v/>
      </c>
      <c r="I10276" s="4" t="str">
        <v/>
      </c>
    </row>
    <row r="10277" spans="5:9" ht="16.5" hidden="1">
      <c r="E10277" s="4" t="str">
        <v/>
      </c>
      <c r="F10277" s="102" t="str">
        <f ca="1">IFERROR(__xludf.DUMMYFUNCTION("IMPORTRANGE(H10277,""IDENTITAS UNIT!D9"")"),"#N/A")</f>
        <v>#N/A</v>
      </c>
      <c r="H10277" s="4" t="str">
        <v/>
      </c>
      <c r="I10277" s="4" t="str">
        <v/>
      </c>
    </row>
    <row r="10278" spans="5:9" ht="16.5" hidden="1">
      <c r="E10278" s="4" t="str">
        <v/>
      </c>
      <c r="F10278" s="102" t="str">
        <f ca="1">IFERROR(__xludf.DUMMYFUNCTION("IMPORTRANGE(H10278,""IDENTITAS UNIT!D9"")"),"#N/A")</f>
        <v>#N/A</v>
      </c>
      <c r="H10278" s="4" t="str">
        <v/>
      </c>
      <c r="I10278" s="4" t="str">
        <v/>
      </c>
    </row>
    <row r="10279" spans="5:9" ht="16.5" hidden="1">
      <c r="E10279" s="4" t="str">
        <v/>
      </c>
      <c r="F10279" s="102" t="str">
        <f ca="1">IFERROR(__xludf.DUMMYFUNCTION("IMPORTRANGE(H10279,""IDENTITAS UNIT!D9"")"),"#N/A")</f>
        <v>#N/A</v>
      </c>
      <c r="H10279" s="4" t="str">
        <v/>
      </c>
      <c r="I10279" s="4" t="str">
        <v/>
      </c>
    </row>
    <row r="10280" spans="5:9" ht="16.5" hidden="1">
      <c r="E10280" s="4" t="str">
        <v/>
      </c>
      <c r="F10280" s="102" t="str">
        <f ca="1">IFERROR(__xludf.DUMMYFUNCTION("IMPORTRANGE(H10280,""IDENTITAS UNIT!D9"")"),"#N/A")</f>
        <v>#N/A</v>
      </c>
      <c r="H10280" s="4" t="str">
        <v/>
      </c>
      <c r="I10280" s="4" t="str">
        <v/>
      </c>
    </row>
    <row r="10281" spans="5:9" ht="16.5" hidden="1">
      <c r="E10281" s="4" t="str">
        <v/>
      </c>
      <c r="F10281" s="102" t="str">
        <f ca="1">IFERROR(__xludf.DUMMYFUNCTION("IMPORTRANGE(H10281,""IDENTITAS UNIT!D9"")"),"#N/A")</f>
        <v>#N/A</v>
      </c>
      <c r="H10281" s="4" t="str">
        <v/>
      </c>
      <c r="I10281" s="4" t="str">
        <v/>
      </c>
    </row>
    <row r="10282" spans="5:9" ht="16.5" hidden="1">
      <c r="E10282" s="4" t="str">
        <v/>
      </c>
      <c r="F10282" s="102" t="str">
        <f ca="1">IFERROR(__xludf.DUMMYFUNCTION("IMPORTRANGE(H10282,""IDENTITAS UNIT!D9"")"),"#N/A")</f>
        <v>#N/A</v>
      </c>
      <c r="H10282" s="4" t="str">
        <v/>
      </c>
      <c r="I10282" s="4" t="str">
        <v/>
      </c>
    </row>
    <row r="10283" spans="5:9" ht="16.5" hidden="1">
      <c r="E10283" s="4" t="str">
        <v/>
      </c>
      <c r="F10283" s="102" t="str">
        <f ca="1">IFERROR(__xludf.DUMMYFUNCTION("IMPORTRANGE(H10283,""IDENTITAS UNIT!D9"")"),"#N/A")</f>
        <v>#N/A</v>
      </c>
      <c r="H10283" s="4" t="str">
        <v/>
      </c>
      <c r="I10283" s="4" t="str">
        <v/>
      </c>
    </row>
    <row r="10284" spans="5:9" ht="16.5" hidden="1">
      <c r="E10284" s="4" t="str">
        <v/>
      </c>
      <c r="F10284" s="102" t="str">
        <f ca="1">IFERROR(__xludf.DUMMYFUNCTION("IMPORTRANGE(H10284,""IDENTITAS UNIT!D9"")"),"#N/A")</f>
        <v>#N/A</v>
      </c>
      <c r="H10284" s="4" t="str">
        <v/>
      </c>
      <c r="I10284" s="4" t="str">
        <v/>
      </c>
    </row>
    <row r="10285" spans="5:9" ht="16.5" hidden="1">
      <c r="E10285" s="4" t="str">
        <v/>
      </c>
      <c r="F10285" s="102" t="str">
        <f ca="1">IFERROR(__xludf.DUMMYFUNCTION("IMPORTRANGE(H10285,""IDENTITAS UNIT!D9"")"),"#N/A")</f>
        <v>#N/A</v>
      </c>
      <c r="H10285" s="4" t="str">
        <v/>
      </c>
      <c r="I10285" s="4" t="str">
        <v/>
      </c>
    </row>
    <row r="10286" spans="5:9" ht="16.5" hidden="1">
      <c r="E10286" s="4" t="str">
        <v/>
      </c>
      <c r="F10286" s="102" t="str">
        <f ca="1">IFERROR(__xludf.DUMMYFUNCTION("IMPORTRANGE(H10286,""IDENTITAS UNIT!D9"")"),"#N/A")</f>
        <v>#N/A</v>
      </c>
      <c r="H10286" s="4" t="str">
        <v/>
      </c>
      <c r="I10286" s="4" t="str">
        <v/>
      </c>
    </row>
    <row r="10287" spans="5:9" ht="16.5" hidden="1">
      <c r="E10287" s="4" t="str">
        <v/>
      </c>
      <c r="F10287" s="102" t="str">
        <f ca="1">IFERROR(__xludf.DUMMYFUNCTION("IMPORTRANGE(H10287,""IDENTITAS UNIT!D9"")"),"#N/A")</f>
        <v>#N/A</v>
      </c>
      <c r="H10287" s="4" t="str">
        <v/>
      </c>
      <c r="I10287" s="4" t="str">
        <v/>
      </c>
    </row>
    <row r="10288" spans="5:9" ht="16.5" hidden="1">
      <c r="E10288" s="4" t="str">
        <v/>
      </c>
      <c r="F10288" s="102" t="str">
        <f ca="1">IFERROR(__xludf.DUMMYFUNCTION("IMPORTRANGE(H10288,""IDENTITAS UNIT!D9"")"),"#N/A")</f>
        <v>#N/A</v>
      </c>
      <c r="H10288" s="4" t="str">
        <v/>
      </c>
      <c r="I10288" s="4" t="str">
        <v/>
      </c>
    </row>
    <row r="10289" spans="5:9" ht="16.5" hidden="1">
      <c r="E10289" s="4" t="str">
        <v/>
      </c>
      <c r="F10289" s="102" t="str">
        <f ca="1">IFERROR(__xludf.DUMMYFUNCTION("IMPORTRANGE(H10289,""IDENTITAS UNIT!D9"")"),"#N/A")</f>
        <v>#N/A</v>
      </c>
      <c r="H10289" s="4" t="str">
        <v/>
      </c>
      <c r="I10289" s="4" t="str">
        <v/>
      </c>
    </row>
    <row r="10290" spans="5:9" ht="16.5" hidden="1">
      <c r="E10290" s="4" t="str">
        <v/>
      </c>
      <c r="F10290" s="102" t="str">
        <f ca="1">IFERROR(__xludf.DUMMYFUNCTION("IMPORTRANGE(H10290,""IDENTITAS UNIT!D9"")"),"#N/A")</f>
        <v>#N/A</v>
      </c>
      <c r="H10290" s="4" t="str">
        <v/>
      </c>
      <c r="I10290" s="4" t="str">
        <v/>
      </c>
    </row>
    <row r="10291" spans="5:9" ht="16.5" hidden="1">
      <c r="E10291" s="4" t="str">
        <v/>
      </c>
      <c r="F10291" s="102" t="str">
        <f ca="1">IFERROR(__xludf.DUMMYFUNCTION("IMPORTRANGE(H10291,""IDENTITAS UNIT!D9"")"),"#N/A")</f>
        <v>#N/A</v>
      </c>
      <c r="H10291" s="4" t="str">
        <v/>
      </c>
      <c r="I10291" s="4" t="str">
        <v/>
      </c>
    </row>
    <row r="10292" spans="5:9" ht="16.5" hidden="1">
      <c r="E10292" s="4" t="str">
        <v/>
      </c>
      <c r="F10292" s="102" t="str">
        <f ca="1">IFERROR(__xludf.DUMMYFUNCTION("IMPORTRANGE(H10292,""IDENTITAS UNIT!D9"")"),"#N/A")</f>
        <v>#N/A</v>
      </c>
      <c r="H10292" s="4" t="str">
        <v/>
      </c>
      <c r="I10292" s="4" t="str">
        <v/>
      </c>
    </row>
    <row r="10293" spans="5:9" ht="16.5" hidden="1">
      <c r="E10293" s="4" t="str">
        <v/>
      </c>
      <c r="F10293" s="102" t="str">
        <f ca="1">IFERROR(__xludf.DUMMYFUNCTION("IMPORTRANGE(H10293,""IDENTITAS UNIT!D9"")"),"#N/A")</f>
        <v>#N/A</v>
      </c>
      <c r="H10293" s="4" t="str">
        <v/>
      </c>
      <c r="I10293" s="4" t="str">
        <v/>
      </c>
    </row>
    <row r="10294" spans="5:9" ht="16.5" hidden="1">
      <c r="E10294" s="4" t="str">
        <v/>
      </c>
      <c r="F10294" s="102" t="str">
        <f ca="1">IFERROR(__xludf.DUMMYFUNCTION("IMPORTRANGE(H10294,""IDENTITAS UNIT!D9"")"),"#N/A")</f>
        <v>#N/A</v>
      </c>
      <c r="H10294" s="4" t="str">
        <v/>
      </c>
      <c r="I10294" s="4" t="str">
        <v/>
      </c>
    </row>
    <row r="10295" spans="5:9" ht="16.5" hidden="1">
      <c r="E10295" s="4" t="str">
        <v/>
      </c>
      <c r="F10295" s="102" t="str">
        <f ca="1">IFERROR(__xludf.DUMMYFUNCTION("IMPORTRANGE(H10295,""IDENTITAS UNIT!D9"")"),"#N/A")</f>
        <v>#N/A</v>
      </c>
      <c r="H10295" s="4" t="str">
        <v/>
      </c>
      <c r="I10295" s="4" t="str">
        <v/>
      </c>
    </row>
    <row r="10296" spans="5:9" ht="16.5" hidden="1">
      <c r="E10296" s="4" t="str">
        <v/>
      </c>
      <c r="F10296" s="102" t="str">
        <f ca="1">IFERROR(__xludf.DUMMYFUNCTION("IMPORTRANGE(H10296,""IDENTITAS UNIT!D9"")"),"#N/A")</f>
        <v>#N/A</v>
      </c>
      <c r="H10296" s="4" t="str">
        <v/>
      </c>
      <c r="I10296" s="4" t="str">
        <v/>
      </c>
    </row>
    <row r="10297" spans="5:9" ht="16.5" hidden="1">
      <c r="E10297" s="4" t="str">
        <v/>
      </c>
      <c r="F10297" s="102" t="str">
        <f ca="1">IFERROR(__xludf.DUMMYFUNCTION("IMPORTRANGE(H10297,""IDENTITAS UNIT!D9"")"),"#N/A")</f>
        <v>#N/A</v>
      </c>
      <c r="H10297" s="4" t="str">
        <v/>
      </c>
      <c r="I10297" s="4" t="str">
        <v/>
      </c>
    </row>
    <row r="10298" spans="5:9" ht="16.5" hidden="1">
      <c r="E10298" s="4" t="str">
        <v/>
      </c>
      <c r="F10298" s="102" t="str">
        <f ca="1">IFERROR(__xludf.DUMMYFUNCTION("IMPORTRANGE(H10298,""IDENTITAS UNIT!D9"")"),"#N/A")</f>
        <v>#N/A</v>
      </c>
      <c r="H10298" s="4" t="str">
        <v/>
      </c>
      <c r="I10298" s="4" t="str">
        <v/>
      </c>
    </row>
    <row r="10299" spans="5:9" ht="16.5" hidden="1">
      <c r="E10299" s="4" t="str">
        <v/>
      </c>
      <c r="F10299" s="102" t="str">
        <f ca="1">IFERROR(__xludf.DUMMYFUNCTION("IMPORTRANGE(H10299,""IDENTITAS UNIT!D9"")"),"#N/A")</f>
        <v>#N/A</v>
      </c>
      <c r="H10299" s="4" t="str">
        <v/>
      </c>
      <c r="I10299" s="4" t="str">
        <v/>
      </c>
    </row>
    <row r="10300" spans="5:9" ht="16.5" hidden="1">
      <c r="E10300" s="4" t="str">
        <v/>
      </c>
      <c r="F10300" s="102" t="str">
        <f ca="1">IFERROR(__xludf.DUMMYFUNCTION("IMPORTRANGE(H10300,""IDENTITAS UNIT!D9"")"),"#N/A")</f>
        <v>#N/A</v>
      </c>
      <c r="H10300" s="4" t="str">
        <v/>
      </c>
      <c r="I10300" s="4" t="str">
        <v/>
      </c>
    </row>
    <row r="10301" spans="5:9" ht="16.5" hidden="1">
      <c r="E10301" s="4" t="str">
        <v/>
      </c>
      <c r="F10301" s="102" t="str">
        <f ca="1">IFERROR(__xludf.DUMMYFUNCTION("IMPORTRANGE(H10301,""IDENTITAS UNIT!D9"")"),"#N/A")</f>
        <v>#N/A</v>
      </c>
      <c r="H10301" s="4" t="str">
        <v/>
      </c>
      <c r="I10301" s="4" t="str">
        <v/>
      </c>
    </row>
    <row r="10302" spans="5:9" ht="16.5" hidden="1">
      <c r="E10302" s="4" t="str">
        <v/>
      </c>
      <c r="F10302" s="102" t="str">
        <f ca="1">IFERROR(__xludf.DUMMYFUNCTION("IMPORTRANGE(H10302,""IDENTITAS UNIT!D9"")"),"#N/A")</f>
        <v>#N/A</v>
      </c>
      <c r="H10302" s="4" t="str">
        <v/>
      </c>
      <c r="I10302" s="4" t="str">
        <v/>
      </c>
    </row>
    <row r="10303" spans="5:9" ht="16.5" hidden="1">
      <c r="E10303" s="4" t="str">
        <v/>
      </c>
      <c r="F10303" s="102" t="str">
        <f ca="1">IFERROR(__xludf.DUMMYFUNCTION("IMPORTRANGE(H10303,""IDENTITAS UNIT!D9"")"),"#N/A")</f>
        <v>#N/A</v>
      </c>
      <c r="H10303" s="4" t="str">
        <v/>
      </c>
      <c r="I10303" s="4" t="str">
        <v/>
      </c>
    </row>
    <row r="10304" spans="5:9" ht="16.5" hidden="1">
      <c r="E10304" s="4" t="str">
        <v/>
      </c>
      <c r="F10304" s="102" t="str">
        <f ca="1">IFERROR(__xludf.DUMMYFUNCTION("IMPORTRANGE(H10304,""IDENTITAS UNIT!D9"")"),"#N/A")</f>
        <v>#N/A</v>
      </c>
      <c r="H10304" s="4" t="str">
        <v/>
      </c>
      <c r="I10304" s="4" t="str">
        <v/>
      </c>
    </row>
    <row r="10305" spans="5:9" ht="16.5" hidden="1">
      <c r="E10305" s="4" t="str">
        <v/>
      </c>
      <c r="F10305" s="102" t="str">
        <f ca="1">IFERROR(__xludf.DUMMYFUNCTION("IMPORTRANGE(H10305,""IDENTITAS UNIT!D9"")"),"#N/A")</f>
        <v>#N/A</v>
      </c>
      <c r="H10305" s="4" t="str">
        <v/>
      </c>
      <c r="I10305" s="4" t="str">
        <v/>
      </c>
    </row>
    <row r="10306" spans="5:9" ht="16.5" hidden="1">
      <c r="E10306" s="4" t="str">
        <v/>
      </c>
      <c r="F10306" s="102" t="str">
        <f ca="1">IFERROR(__xludf.DUMMYFUNCTION("IMPORTRANGE(H10306,""IDENTITAS UNIT!D9"")"),"#N/A")</f>
        <v>#N/A</v>
      </c>
      <c r="H10306" s="4" t="str">
        <v/>
      </c>
      <c r="I10306" s="4" t="str">
        <v/>
      </c>
    </row>
    <row r="10307" spans="5:9" ht="16.5" hidden="1">
      <c r="E10307" s="4" t="str">
        <v/>
      </c>
      <c r="F10307" s="102" t="str">
        <f ca="1">IFERROR(__xludf.DUMMYFUNCTION("IMPORTRANGE(H10307,""IDENTITAS UNIT!D9"")"),"#N/A")</f>
        <v>#N/A</v>
      </c>
      <c r="H10307" s="4" t="str">
        <v/>
      </c>
      <c r="I10307" s="4" t="str">
        <v/>
      </c>
    </row>
    <row r="10308" spans="5:9" ht="16.5" hidden="1">
      <c r="E10308" s="4" t="str">
        <v/>
      </c>
      <c r="F10308" s="102" t="str">
        <f ca="1">IFERROR(__xludf.DUMMYFUNCTION("IMPORTRANGE(H10308,""IDENTITAS UNIT!D9"")"),"#N/A")</f>
        <v>#N/A</v>
      </c>
      <c r="H10308" s="4" t="str">
        <v/>
      </c>
      <c r="I10308" s="4" t="str">
        <v/>
      </c>
    </row>
    <row r="10309" spans="5:9" ht="16.5" hidden="1">
      <c r="E10309" s="4" t="str">
        <v/>
      </c>
      <c r="F10309" s="102" t="str">
        <f ca="1">IFERROR(__xludf.DUMMYFUNCTION("IMPORTRANGE(H10309,""IDENTITAS UNIT!D9"")"),"#N/A")</f>
        <v>#N/A</v>
      </c>
      <c r="H10309" s="4" t="str">
        <v/>
      </c>
      <c r="I10309" s="4" t="str">
        <v/>
      </c>
    </row>
    <row r="10310" spans="5:9" ht="16.5" hidden="1">
      <c r="E10310" s="4" t="str">
        <v/>
      </c>
      <c r="F10310" s="102" t="str">
        <f ca="1">IFERROR(__xludf.DUMMYFUNCTION("IMPORTRANGE(H10310,""IDENTITAS UNIT!D9"")"),"#N/A")</f>
        <v>#N/A</v>
      </c>
      <c r="H10310" s="4" t="str">
        <v/>
      </c>
      <c r="I10310" s="4" t="str">
        <v/>
      </c>
    </row>
    <row r="10311" spans="5:9" ht="16.5" hidden="1">
      <c r="E10311" s="4" t="str">
        <v/>
      </c>
      <c r="F10311" s="102" t="str">
        <f ca="1">IFERROR(__xludf.DUMMYFUNCTION("IMPORTRANGE(H10311,""IDENTITAS UNIT!D9"")"),"#N/A")</f>
        <v>#N/A</v>
      </c>
      <c r="H10311" s="4" t="str">
        <v/>
      </c>
      <c r="I10311" s="4" t="str">
        <v/>
      </c>
    </row>
    <row r="10312" spans="5:9" ht="16.5" hidden="1">
      <c r="E10312" s="4" t="str">
        <v/>
      </c>
      <c r="F10312" s="102" t="str">
        <f ca="1">IFERROR(__xludf.DUMMYFUNCTION("IMPORTRANGE(H10312,""IDENTITAS UNIT!D9"")"),"#N/A")</f>
        <v>#N/A</v>
      </c>
      <c r="H10312" s="4" t="str">
        <v/>
      </c>
      <c r="I10312" s="4" t="str">
        <v/>
      </c>
    </row>
    <row r="10313" spans="5:9" ht="16.5" hidden="1">
      <c r="E10313" s="4" t="str">
        <v/>
      </c>
      <c r="F10313" s="102" t="str">
        <f ca="1">IFERROR(__xludf.DUMMYFUNCTION("IMPORTRANGE(H10313,""IDENTITAS UNIT!D9"")"),"#N/A")</f>
        <v>#N/A</v>
      </c>
      <c r="H10313" s="4" t="str">
        <v/>
      </c>
      <c r="I10313" s="4" t="str">
        <v/>
      </c>
    </row>
    <row r="10314" spans="5:9" ht="16.5" hidden="1">
      <c r="E10314" s="4" t="str">
        <v/>
      </c>
      <c r="F10314" s="102" t="str">
        <f ca="1">IFERROR(__xludf.DUMMYFUNCTION("IMPORTRANGE(H10314,""IDENTITAS UNIT!D9"")"),"#N/A")</f>
        <v>#N/A</v>
      </c>
      <c r="H10314" s="4" t="str">
        <v/>
      </c>
      <c r="I10314" s="4" t="str">
        <v/>
      </c>
    </row>
    <row r="10315" spans="5:9" ht="16.5" hidden="1">
      <c r="E10315" s="4" t="str">
        <v/>
      </c>
      <c r="F10315" s="102" t="str">
        <f ca="1">IFERROR(__xludf.DUMMYFUNCTION("IMPORTRANGE(H10315,""IDENTITAS UNIT!D9"")"),"#N/A")</f>
        <v>#N/A</v>
      </c>
      <c r="H10315" s="4" t="str">
        <v/>
      </c>
      <c r="I10315" s="4" t="str">
        <v/>
      </c>
    </row>
    <row r="10316" spans="5:9" ht="16.5" hidden="1">
      <c r="E10316" s="4" t="str">
        <v/>
      </c>
      <c r="F10316" s="102" t="str">
        <f ca="1">IFERROR(__xludf.DUMMYFUNCTION("IMPORTRANGE(H10316,""IDENTITAS UNIT!D9"")"),"#N/A")</f>
        <v>#N/A</v>
      </c>
      <c r="H10316" s="4" t="str">
        <v/>
      </c>
      <c r="I10316" s="4" t="str">
        <v/>
      </c>
    </row>
    <row r="10317" spans="5:9" ht="16.5" hidden="1">
      <c r="E10317" s="4" t="str">
        <v/>
      </c>
      <c r="F10317" s="102" t="str">
        <f ca="1">IFERROR(__xludf.DUMMYFUNCTION("IMPORTRANGE(H10317,""IDENTITAS UNIT!D9"")"),"#N/A")</f>
        <v>#N/A</v>
      </c>
      <c r="H10317" s="4" t="str">
        <v/>
      </c>
      <c r="I10317" s="4" t="str">
        <v/>
      </c>
    </row>
    <row r="10318" spans="5:9" ht="16.5" hidden="1">
      <c r="E10318" s="4" t="str">
        <v/>
      </c>
      <c r="F10318" s="102" t="str">
        <f ca="1">IFERROR(__xludf.DUMMYFUNCTION("IMPORTRANGE(H10318,""IDENTITAS UNIT!D9"")"),"#N/A")</f>
        <v>#N/A</v>
      </c>
      <c r="H10318" s="4" t="str">
        <v/>
      </c>
      <c r="I10318" s="4" t="str">
        <v/>
      </c>
    </row>
    <row r="10319" spans="5:9" ht="16.5" hidden="1">
      <c r="E10319" s="4" t="str">
        <v/>
      </c>
      <c r="F10319" s="102" t="str">
        <f ca="1">IFERROR(__xludf.DUMMYFUNCTION("IMPORTRANGE(H10319,""IDENTITAS UNIT!D9"")"),"#N/A")</f>
        <v>#N/A</v>
      </c>
      <c r="H10319" s="4" t="str">
        <v/>
      </c>
      <c r="I10319" s="4" t="str">
        <v/>
      </c>
    </row>
    <row r="10320" spans="5:9" ht="16.5" hidden="1">
      <c r="E10320" s="4" t="str">
        <v/>
      </c>
      <c r="F10320" s="102" t="str">
        <f ca="1">IFERROR(__xludf.DUMMYFUNCTION("IMPORTRANGE(H10320,""IDENTITAS UNIT!D9"")"),"#N/A")</f>
        <v>#N/A</v>
      </c>
      <c r="H10320" s="4" t="str">
        <v/>
      </c>
      <c r="I10320" s="4" t="str">
        <v/>
      </c>
    </row>
    <row r="10321" spans="5:9" ht="16.5" hidden="1">
      <c r="E10321" s="4" t="str">
        <v/>
      </c>
      <c r="F10321" s="102" t="str">
        <f ca="1">IFERROR(__xludf.DUMMYFUNCTION("IMPORTRANGE(H10321,""IDENTITAS UNIT!D9"")"),"#N/A")</f>
        <v>#N/A</v>
      </c>
      <c r="H10321" s="4" t="str">
        <v/>
      </c>
      <c r="I10321" s="4" t="str">
        <v/>
      </c>
    </row>
    <row r="10322" spans="5:9" ht="16.5" hidden="1">
      <c r="E10322" s="4" t="str">
        <v/>
      </c>
      <c r="F10322" s="102" t="str">
        <f ca="1">IFERROR(__xludf.DUMMYFUNCTION("IMPORTRANGE(H10322,""IDENTITAS UNIT!D9"")"),"#N/A")</f>
        <v>#N/A</v>
      </c>
      <c r="H10322" s="4" t="str">
        <v/>
      </c>
      <c r="I10322" s="4" t="str">
        <v/>
      </c>
    </row>
    <row r="10323" spans="5:9" ht="16.5" hidden="1">
      <c r="E10323" s="4" t="str">
        <v/>
      </c>
      <c r="F10323" s="102" t="str">
        <f ca="1">IFERROR(__xludf.DUMMYFUNCTION("IMPORTRANGE(H10323,""IDENTITAS UNIT!D9"")"),"#N/A")</f>
        <v>#N/A</v>
      </c>
      <c r="H10323" s="4" t="str">
        <v/>
      </c>
      <c r="I10323" s="4" t="str">
        <v/>
      </c>
    </row>
    <row r="10324" spans="5:9" ht="16.5" hidden="1">
      <c r="E10324" s="4" t="str">
        <v/>
      </c>
      <c r="F10324" s="102" t="str">
        <f ca="1">IFERROR(__xludf.DUMMYFUNCTION("IMPORTRANGE(H10324,""IDENTITAS UNIT!D9"")"),"#N/A")</f>
        <v>#N/A</v>
      </c>
      <c r="H10324" s="4" t="str">
        <v/>
      </c>
      <c r="I10324" s="4" t="str">
        <v/>
      </c>
    </row>
    <row r="10325" spans="5:9" ht="16.5" hidden="1">
      <c r="E10325" s="4" t="str">
        <v/>
      </c>
      <c r="F10325" s="102" t="str">
        <f ca="1">IFERROR(__xludf.DUMMYFUNCTION("IMPORTRANGE(H10325,""IDENTITAS UNIT!D9"")"),"#N/A")</f>
        <v>#N/A</v>
      </c>
      <c r="H10325" s="4" t="str">
        <v/>
      </c>
      <c r="I10325" s="4" t="str">
        <v/>
      </c>
    </row>
    <row r="10326" spans="5:9" ht="16.5" hidden="1">
      <c r="E10326" s="4" t="str">
        <v/>
      </c>
      <c r="F10326" s="102" t="str">
        <f ca="1">IFERROR(__xludf.DUMMYFUNCTION("IMPORTRANGE(H10326,""IDENTITAS UNIT!D9"")"),"#N/A")</f>
        <v>#N/A</v>
      </c>
      <c r="H10326" s="4" t="str">
        <v/>
      </c>
      <c r="I10326" s="4" t="str">
        <v/>
      </c>
    </row>
    <row r="10327" spans="5:9" ht="16.5" hidden="1">
      <c r="E10327" s="4" t="str">
        <v/>
      </c>
      <c r="F10327" s="102" t="str">
        <f ca="1">IFERROR(__xludf.DUMMYFUNCTION("IMPORTRANGE(H10327,""IDENTITAS UNIT!D9"")"),"#N/A")</f>
        <v>#N/A</v>
      </c>
      <c r="H10327" s="4" t="str">
        <v/>
      </c>
      <c r="I10327" s="4" t="str">
        <v/>
      </c>
    </row>
    <row r="10328" spans="5:9" ht="16.5" hidden="1">
      <c r="E10328" s="4" t="str">
        <v/>
      </c>
      <c r="F10328" s="102" t="str">
        <f ca="1">IFERROR(__xludf.DUMMYFUNCTION("IMPORTRANGE(H10328,""IDENTITAS UNIT!D9"")"),"#N/A")</f>
        <v>#N/A</v>
      </c>
      <c r="H10328" s="4" t="str">
        <v/>
      </c>
      <c r="I10328" s="4" t="str">
        <v/>
      </c>
    </row>
    <row r="10329" spans="5:9" ht="16.5" hidden="1">
      <c r="E10329" s="4" t="str">
        <v/>
      </c>
      <c r="F10329" s="102" t="str">
        <f ca="1">IFERROR(__xludf.DUMMYFUNCTION("IMPORTRANGE(H10329,""IDENTITAS UNIT!D9"")"),"#N/A")</f>
        <v>#N/A</v>
      </c>
      <c r="H10329" s="4" t="str">
        <v/>
      </c>
      <c r="I10329" s="4" t="str">
        <v/>
      </c>
    </row>
    <row r="10330" spans="5:9" ht="16.5" hidden="1">
      <c r="E10330" s="4" t="str">
        <v/>
      </c>
      <c r="F10330" s="102" t="str">
        <f ca="1">IFERROR(__xludf.DUMMYFUNCTION("IMPORTRANGE(H10330,""IDENTITAS UNIT!D9"")"),"#N/A")</f>
        <v>#N/A</v>
      </c>
      <c r="H10330" s="4" t="str">
        <v/>
      </c>
      <c r="I10330" s="4" t="str">
        <v/>
      </c>
    </row>
    <row r="10331" spans="5:9" ht="16.5" hidden="1">
      <c r="E10331" s="4" t="str">
        <v/>
      </c>
      <c r="F10331" s="102" t="str">
        <f ca="1">IFERROR(__xludf.DUMMYFUNCTION("IMPORTRANGE(H10331,""IDENTITAS UNIT!D9"")"),"#N/A")</f>
        <v>#N/A</v>
      </c>
      <c r="H10331" s="4" t="str">
        <v/>
      </c>
      <c r="I10331" s="4" t="str">
        <v/>
      </c>
    </row>
    <row r="10332" spans="5:9" ht="16.5" hidden="1">
      <c r="E10332" s="4" t="str">
        <v/>
      </c>
      <c r="F10332" s="102" t="str">
        <f ca="1">IFERROR(__xludf.DUMMYFUNCTION("IMPORTRANGE(H10332,""IDENTITAS UNIT!D9"")"),"#N/A")</f>
        <v>#N/A</v>
      </c>
      <c r="H10332" s="4" t="str">
        <v/>
      </c>
      <c r="I10332" s="4" t="str">
        <v/>
      </c>
    </row>
    <row r="10333" spans="5:9" ht="16.5" hidden="1">
      <c r="E10333" s="4" t="str">
        <v/>
      </c>
      <c r="F10333" s="102" t="str">
        <f ca="1">IFERROR(__xludf.DUMMYFUNCTION("IMPORTRANGE(H10333,""IDENTITAS UNIT!D9"")"),"#N/A")</f>
        <v>#N/A</v>
      </c>
      <c r="H10333" s="4" t="str">
        <v/>
      </c>
      <c r="I10333" s="4" t="str">
        <v/>
      </c>
    </row>
    <row r="10334" spans="5:9" ht="16.5" hidden="1">
      <c r="E10334" s="4" t="str">
        <v/>
      </c>
      <c r="F10334" s="102" t="str">
        <f ca="1">IFERROR(__xludf.DUMMYFUNCTION("IMPORTRANGE(H10334,""IDENTITAS UNIT!D9"")"),"#N/A")</f>
        <v>#N/A</v>
      </c>
      <c r="H10334" s="4" t="str">
        <v/>
      </c>
      <c r="I10334" s="4" t="str">
        <v/>
      </c>
    </row>
    <row r="10335" spans="5:9" ht="16.5" hidden="1">
      <c r="E10335" s="4" t="str">
        <v/>
      </c>
      <c r="F10335" s="102" t="str">
        <f ca="1">IFERROR(__xludf.DUMMYFUNCTION("IMPORTRANGE(H10335,""IDENTITAS UNIT!D9"")"),"#N/A")</f>
        <v>#N/A</v>
      </c>
      <c r="H10335" s="4" t="str">
        <v/>
      </c>
      <c r="I10335" s="4" t="str">
        <v/>
      </c>
    </row>
    <row r="10336" spans="5:9" ht="16.5" hidden="1">
      <c r="E10336" s="4" t="str">
        <v/>
      </c>
      <c r="F10336" s="102" t="str">
        <f ca="1">IFERROR(__xludf.DUMMYFUNCTION("IMPORTRANGE(H10336,""IDENTITAS UNIT!D9"")"),"#N/A")</f>
        <v>#N/A</v>
      </c>
      <c r="H10336" s="4" t="str">
        <v/>
      </c>
      <c r="I10336" s="4" t="str">
        <v/>
      </c>
    </row>
    <row r="10337" spans="5:9" ht="16.5" hidden="1">
      <c r="E10337" s="4" t="str">
        <v/>
      </c>
      <c r="F10337" s="102" t="str">
        <f ca="1">IFERROR(__xludf.DUMMYFUNCTION("IMPORTRANGE(H10337,""IDENTITAS UNIT!D9"")"),"#N/A")</f>
        <v>#N/A</v>
      </c>
      <c r="H10337" s="4" t="str">
        <v/>
      </c>
      <c r="I10337" s="4" t="str">
        <v/>
      </c>
    </row>
    <row r="10338" spans="5:9" ht="16.5" hidden="1">
      <c r="E10338" s="4" t="str">
        <v/>
      </c>
      <c r="F10338" s="102" t="str">
        <f ca="1">IFERROR(__xludf.DUMMYFUNCTION("IMPORTRANGE(H10338,""IDENTITAS UNIT!D9"")"),"#N/A")</f>
        <v>#N/A</v>
      </c>
      <c r="H10338" s="4" t="str">
        <v/>
      </c>
      <c r="I10338" s="4" t="str">
        <v/>
      </c>
    </row>
    <row r="10339" spans="5:9" ht="16.5" hidden="1">
      <c r="E10339" s="4" t="str">
        <v/>
      </c>
      <c r="F10339" s="102" t="str">
        <f ca="1">IFERROR(__xludf.DUMMYFUNCTION("IMPORTRANGE(H10339,""IDENTITAS UNIT!D9"")"),"#N/A")</f>
        <v>#N/A</v>
      </c>
      <c r="H10339" s="4" t="str">
        <v/>
      </c>
      <c r="I10339" s="4" t="str">
        <v/>
      </c>
    </row>
    <row r="10340" spans="5:9" ht="16.5" hidden="1">
      <c r="E10340" s="4" t="str">
        <v/>
      </c>
      <c r="F10340" s="102" t="str">
        <f ca="1">IFERROR(__xludf.DUMMYFUNCTION("IMPORTRANGE(H10340,""IDENTITAS UNIT!D9"")"),"#N/A")</f>
        <v>#N/A</v>
      </c>
      <c r="H10340" s="4" t="str">
        <v/>
      </c>
      <c r="I10340" s="4" t="str">
        <v/>
      </c>
    </row>
    <row r="10341" spans="5:9" ht="16.5" hidden="1">
      <c r="E10341" s="4" t="str">
        <v/>
      </c>
      <c r="F10341" s="102" t="str">
        <f ca="1">IFERROR(__xludf.DUMMYFUNCTION("IMPORTRANGE(H10341,""IDENTITAS UNIT!D9"")"),"#N/A")</f>
        <v>#N/A</v>
      </c>
      <c r="H10341" s="4" t="str">
        <v/>
      </c>
      <c r="I10341" s="4" t="str">
        <v/>
      </c>
    </row>
    <row r="10342" spans="5:9" ht="16.5" hidden="1">
      <c r="E10342" s="4" t="str">
        <v/>
      </c>
      <c r="F10342" s="102" t="str">
        <f ca="1">IFERROR(__xludf.DUMMYFUNCTION("IMPORTRANGE(H10342,""IDENTITAS UNIT!D9"")"),"#N/A")</f>
        <v>#N/A</v>
      </c>
      <c r="H10342" s="4" t="str">
        <v/>
      </c>
      <c r="I10342" s="4" t="str">
        <v/>
      </c>
    </row>
    <row r="10343" spans="5:9" ht="16.5" hidden="1">
      <c r="E10343" s="4" t="str">
        <v/>
      </c>
      <c r="F10343" s="102" t="str">
        <f ca="1">IFERROR(__xludf.DUMMYFUNCTION("IMPORTRANGE(H10343,""IDENTITAS UNIT!D9"")"),"#N/A")</f>
        <v>#N/A</v>
      </c>
      <c r="H10343" s="4" t="str">
        <v/>
      </c>
      <c r="I10343" s="4" t="str">
        <v/>
      </c>
    </row>
    <row r="10344" spans="5:9" ht="16.5" hidden="1">
      <c r="E10344" s="4" t="str">
        <v/>
      </c>
      <c r="F10344" s="102" t="str">
        <f ca="1">IFERROR(__xludf.DUMMYFUNCTION("IMPORTRANGE(H10344,""IDENTITAS UNIT!D9"")"),"#N/A")</f>
        <v>#N/A</v>
      </c>
      <c r="H10344" s="4" t="str">
        <v/>
      </c>
      <c r="I10344" s="4" t="str">
        <v/>
      </c>
    </row>
    <row r="10345" spans="5:9" ht="16.5" hidden="1">
      <c r="E10345" s="4" t="str">
        <v/>
      </c>
      <c r="F10345" s="102" t="str">
        <f ca="1">IFERROR(__xludf.DUMMYFUNCTION("IMPORTRANGE(H10345,""IDENTITAS UNIT!D9"")"),"#N/A")</f>
        <v>#N/A</v>
      </c>
      <c r="H10345" s="4" t="str">
        <v/>
      </c>
      <c r="I10345" s="4" t="str">
        <v/>
      </c>
    </row>
    <row r="10346" spans="5:9" ht="16.5" hidden="1">
      <c r="E10346" s="4" t="str">
        <v/>
      </c>
      <c r="F10346" s="102" t="str">
        <f ca="1">IFERROR(__xludf.DUMMYFUNCTION("IMPORTRANGE(H10346,""IDENTITAS UNIT!D9"")"),"#N/A")</f>
        <v>#N/A</v>
      </c>
      <c r="H10346" s="4" t="str">
        <v/>
      </c>
      <c r="I10346" s="4" t="str">
        <v/>
      </c>
    </row>
    <row r="10347" spans="5:9" ht="16.5" hidden="1">
      <c r="E10347" s="4" t="str">
        <v/>
      </c>
      <c r="F10347" s="102" t="str">
        <f ca="1">IFERROR(__xludf.DUMMYFUNCTION("IMPORTRANGE(H10347,""IDENTITAS UNIT!D9"")"),"#N/A")</f>
        <v>#N/A</v>
      </c>
      <c r="H10347" s="4" t="str">
        <v/>
      </c>
      <c r="I10347" s="4" t="str">
        <v/>
      </c>
    </row>
    <row r="10348" spans="5:9" ht="16.5" hidden="1">
      <c r="E10348" s="4" t="str">
        <v/>
      </c>
      <c r="F10348" s="102" t="str">
        <f ca="1">IFERROR(__xludf.DUMMYFUNCTION("IMPORTRANGE(H10348,""IDENTITAS UNIT!D9"")"),"#N/A")</f>
        <v>#N/A</v>
      </c>
      <c r="H10348" s="4" t="str">
        <v/>
      </c>
      <c r="I10348" s="4" t="str">
        <v/>
      </c>
    </row>
    <row r="10349" spans="5:9" ht="16.5" hidden="1">
      <c r="E10349" s="4" t="str">
        <v/>
      </c>
      <c r="F10349" s="102" t="str">
        <f ca="1">IFERROR(__xludf.DUMMYFUNCTION("IMPORTRANGE(H10349,""IDENTITAS UNIT!D9"")"),"#N/A")</f>
        <v>#N/A</v>
      </c>
      <c r="H10349" s="4" t="str">
        <v/>
      </c>
      <c r="I10349" s="4" t="str">
        <v/>
      </c>
    </row>
    <row r="10350" spans="5:9" ht="16.5" hidden="1">
      <c r="E10350" s="4" t="str">
        <v/>
      </c>
      <c r="F10350" s="102" t="str">
        <f ca="1">IFERROR(__xludf.DUMMYFUNCTION("IMPORTRANGE(H10350,""IDENTITAS UNIT!D9"")"),"#N/A")</f>
        <v>#N/A</v>
      </c>
      <c r="H10350" s="4" t="str">
        <v/>
      </c>
      <c r="I10350" s="4" t="str">
        <v/>
      </c>
    </row>
    <row r="10351" spans="5:9" ht="16.5" hidden="1">
      <c r="E10351" s="4" t="str">
        <v/>
      </c>
      <c r="F10351" s="102" t="str">
        <f ca="1">IFERROR(__xludf.DUMMYFUNCTION("IMPORTRANGE(H10351,""IDENTITAS UNIT!D9"")"),"#N/A")</f>
        <v>#N/A</v>
      </c>
      <c r="H10351" s="4" t="str">
        <v/>
      </c>
      <c r="I10351" s="4" t="str">
        <v/>
      </c>
    </row>
    <row r="10352" spans="5:9" ht="16.5" hidden="1">
      <c r="E10352" s="4" t="str">
        <v/>
      </c>
      <c r="F10352" s="102" t="str">
        <f ca="1">IFERROR(__xludf.DUMMYFUNCTION("IMPORTRANGE(H10352,""IDENTITAS UNIT!D9"")"),"#N/A")</f>
        <v>#N/A</v>
      </c>
      <c r="H10352" s="4" t="str">
        <v/>
      </c>
      <c r="I10352" s="4" t="str">
        <v/>
      </c>
    </row>
    <row r="10353" spans="5:9" ht="16.5" hidden="1">
      <c r="E10353" s="4" t="str">
        <v/>
      </c>
      <c r="F10353" s="102" t="str">
        <f ca="1">IFERROR(__xludf.DUMMYFUNCTION("IMPORTRANGE(H10353,""IDENTITAS UNIT!D9"")"),"#N/A")</f>
        <v>#N/A</v>
      </c>
      <c r="H10353" s="4" t="str">
        <v/>
      </c>
      <c r="I10353" s="4" t="str">
        <v/>
      </c>
    </row>
    <row r="10354" spans="5:9" ht="16.5" hidden="1">
      <c r="E10354" s="4" t="str">
        <v/>
      </c>
      <c r="F10354" s="102" t="str">
        <f ca="1">IFERROR(__xludf.DUMMYFUNCTION("IMPORTRANGE(H10354,""IDENTITAS UNIT!D9"")"),"#N/A")</f>
        <v>#N/A</v>
      </c>
      <c r="H10354" s="4" t="str">
        <v/>
      </c>
      <c r="I10354" s="4" t="str">
        <v/>
      </c>
    </row>
    <row r="10355" spans="5:9" ht="16.5" hidden="1">
      <c r="E10355" s="4" t="str">
        <v/>
      </c>
      <c r="F10355" s="102" t="str">
        <f ca="1">IFERROR(__xludf.DUMMYFUNCTION("IMPORTRANGE(H10355,""IDENTITAS UNIT!D9"")"),"#N/A")</f>
        <v>#N/A</v>
      </c>
      <c r="H10355" s="4" t="str">
        <v/>
      </c>
      <c r="I10355" s="4" t="str">
        <v/>
      </c>
    </row>
    <row r="10356" spans="5:9" ht="16.5" hidden="1">
      <c r="E10356" s="4" t="str">
        <v/>
      </c>
      <c r="F10356" s="102" t="str">
        <f ca="1">IFERROR(__xludf.DUMMYFUNCTION("IMPORTRANGE(H10356,""IDENTITAS UNIT!D9"")"),"#N/A")</f>
        <v>#N/A</v>
      </c>
      <c r="H10356" s="4" t="str">
        <v/>
      </c>
      <c r="I10356" s="4" t="str">
        <v/>
      </c>
    </row>
    <row r="10357" spans="5:9" ht="16.5" hidden="1">
      <c r="E10357" s="4" t="str">
        <v/>
      </c>
      <c r="F10357" s="102" t="str">
        <f ca="1">IFERROR(__xludf.DUMMYFUNCTION("IMPORTRANGE(H10357,""IDENTITAS UNIT!D9"")"),"#N/A")</f>
        <v>#N/A</v>
      </c>
      <c r="H10357" s="4" t="str">
        <v/>
      </c>
      <c r="I10357" s="4" t="str">
        <v/>
      </c>
    </row>
    <row r="10358" spans="5:9" ht="16.5" hidden="1">
      <c r="E10358" s="4" t="str">
        <v/>
      </c>
      <c r="F10358" s="102" t="str">
        <f ca="1">IFERROR(__xludf.DUMMYFUNCTION("IMPORTRANGE(H10358,""IDENTITAS UNIT!D9"")"),"#N/A")</f>
        <v>#N/A</v>
      </c>
      <c r="H10358" s="4" t="str">
        <v/>
      </c>
      <c r="I10358" s="4" t="str">
        <v/>
      </c>
    </row>
    <row r="10359" spans="5:9" ht="16.5" hidden="1">
      <c r="E10359" s="4" t="str">
        <v/>
      </c>
      <c r="F10359" s="102" t="str">
        <f ca="1">IFERROR(__xludf.DUMMYFUNCTION("IMPORTRANGE(H10359,""IDENTITAS UNIT!D9"")"),"#N/A")</f>
        <v>#N/A</v>
      </c>
      <c r="H10359" s="4" t="str">
        <v/>
      </c>
      <c r="I10359" s="4" t="str">
        <v/>
      </c>
    </row>
    <row r="10360" spans="5:9" ht="16.5" hidden="1">
      <c r="E10360" s="4" t="str">
        <v/>
      </c>
      <c r="F10360" s="102" t="str">
        <f ca="1">IFERROR(__xludf.DUMMYFUNCTION("IMPORTRANGE(H10360,""IDENTITAS UNIT!D9"")"),"#N/A")</f>
        <v>#N/A</v>
      </c>
      <c r="H10360" s="4" t="str">
        <v/>
      </c>
      <c r="I10360" s="4" t="str">
        <v/>
      </c>
    </row>
    <row r="10361" spans="5:9" ht="16.5" hidden="1">
      <c r="E10361" s="4" t="str">
        <v/>
      </c>
      <c r="F10361" s="102" t="str">
        <f ca="1">IFERROR(__xludf.DUMMYFUNCTION("IMPORTRANGE(H10361,""IDENTITAS UNIT!D9"")"),"#N/A")</f>
        <v>#N/A</v>
      </c>
      <c r="H10361" s="4" t="str">
        <v/>
      </c>
      <c r="I10361" s="4" t="str">
        <v/>
      </c>
    </row>
    <row r="10362" spans="5:9" ht="16.5" hidden="1">
      <c r="E10362" s="4" t="str">
        <v/>
      </c>
      <c r="F10362" s="102" t="str">
        <f ca="1">IFERROR(__xludf.DUMMYFUNCTION("IMPORTRANGE(H10362,""IDENTITAS UNIT!D9"")"),"#N/A")</f>
        <v>#N/A</v>
      </c>
      <c r="H10362" s="4" t="str">
        <v/>
      </c>
      <c r="I10362" s="4" t="str">
        <v/>
      </c>
    </row>
    <row r="10363" spans="5:9" ht="16.5" hidden="1">
      <c r="E10363" s="4" t="str">
        <v/>
      </c>
      <c r="F10363" s="102" t="str">
        <f ca="1">IFERROR(__xludf.DUMMYFUNCTION("IMPORTRANGE(H10363,""IDENTITAS UNIT!D9"")"),"#N/A")</f>
        <v>#N/A</v>
      </c>
      <c r="H10363" s="4" t="str">
        <v/>
      </c>
      <c r="I10363" s="4" t="str">
        <v/>
      </c>
    </row>
    <row r="10364" spans="5:9" ht="16.5" hidden="1">
      <c r="E10364" s="4" t="str">
        <v/>
      </c>
      <c r="F10364" s="102" t="str">
        <f ca="1">IFERROR(__xludf.DUMMYFUNCTION("IMPORTRANGE(H10364,""IDENTITAS UNIT!D9"")"),"#N/A")</f>
        <v>#N/A</v>
      </c>
      <c r="H10364" s="4" t="str">
        <v/>
      </c>
      <c r="I10364" s="4" t="str">
        <v/>
      </c>
    </row>
    <row r="10365" spans="5:9" ht="16.5" hidden="1">
      <c r="E10365" s="4" t="str">
        <v/>
      </c>
      <c r="F10365" s="102" t="str">
        <f ca="1">IFERROR(__xludf.DUMMYFUNCTION("IMPORTRANGE(H10365,""IDENTITAS UNIT!D9"")"),"#N/A")</f>
        <v>#N/A</v>
      </c>
      <c r="H10365" s="4" t="str">
        <v/>
      </c>
      <c r="I10365" s="4" t="str">
        <v/>
      </c>
    </row>
    <row r="10366" spans="5:9" ht="16.5" hidden="1">
      <c r="E10366" s="4" t="str">
        <v/>
      </c>
      <c r="F10366" s="102" t="str">
        <f ca="1">IFERROR(__xludf.DUMMYFUNCTION("IMPORTRANGE(H10366,""IDENTITAS UNIT!D9"")"),"#N/A")</f>
        <v>#N/A</v>
      </c>
      <c r="H10366" s="4" t="str">
        <v/>
      </c>
      <c r="I10366" s="4" t="str">
        <v/>
      </c>
    </row>
    <row r="10367" spans="5:9" ht="16.5" hidden="1">
      <c r="E10367" s="4" t="str">
        <v/>
      </c>
      <c r="F10367" s="102" t="str">
        <f ca="1">IFERROR(__xludf.DUMMYFUNCTION("IMPORTRANGE(H10367,""IDENTITAS UNIT!D9"")"),"#N/A")</f>
        <v>#N/A</v>
      </c>
      <c r="H10367" s="4" t="str">
        <v/>
      </c>
      <c r="I10367" s="4" t="str">
        <v/>
      </c>
    </row>
    <row r="10368" spans="5:9" ht="16.5" hidden="1">
      <c r="E10368" s="4" t="str">
        <v/>
      </c>
      <c r="F10368" s="102" t="str">
        <f ca="1">IFERROR(__xludf.DUMMYFUNCTION("IMPORTRANGE(H10368,""IDENTITAS UNIT!D9"")"),"#N/A")</f>
        <v>#N/A</v>
      </c>
      <c r="H10368" s="4" t="str">
        <v/>
      </c>
      <c r="I10368" s="4" t="str">
        <v/>
      </c>
    </row>
    <row r="10369" spans="5:9" ht="16.5" hidden="1">
      <c r="E10369" s="4" t="str">
        <v/>
      </c>
      <c r="F10369" s="102" t="str">
        <f ca="1">IFERROR(__xludf.DUMMYFUNCTION("IMPORTRANGE(H10369,""IDENTITAS UNIT!D9"")"),"#N/A")</f>
        <v>#N/A</v>
      </c>
      <c r="H10369" s="4" t="str">
        <v/>
      </c>
      <c r="I10369" s="4" t="str">
        <v/>
      </c>
    </row>
    <row r="10370" spans="5:9" ht="16.5" hidden="1">
      <c r="E10370" s="4" t="str">
        <v/>
      </c>
      <c r="F10370" s="102" t="str">
        <f ca="1">IFERROR(__xludf.DUMMYFUNCTION("IMPORTRANGE(H10370,""IDENTITAS UNIT!D9"")"),"#N/A")</f>
        <v>#N/A</v>
      </c>
      <c r="H10370" s="4" t="str">
        <v/>
      </c>
      <c r="I10370" s="4" t="str">
        <v/>
      </c>
    </row>
    <row r="10371" spans="5:9" ht="16.5" hidden="1">
      <c r="E10371" s="4" t="str">
        <v/>
      </c>
      <c r="F10371" s="102" t="str">
        <f ca="1">IFERROR(__xludf.DUMMYFUNCTION("IMPORTRANGE(H10371,""IDENTITAS UNIT!D9"")"),"#N/A")</f>
        <v>#N/A</v>
      </c>
      <c r="H10371" s="4" t="str">
        <v/>
      </c>
      <c r="I10371" s="4" t="str">
        <v/>
      </c>
    </row>
    <row r="10372" spans="5:9" ht="16.5" hidden="1">
      <c r="E10372" s="4" t="str">
        <v/>
      </c>
      <c r="F10372" s="102" t="str">
        <f ca="1">IFERROR(__xludf.DUMMYFUNCTION("IMPORTRANGE(H10372,""IDENTITAS UNIT!D9"")"),"#N/A")</f>
        <v>#N/A</v>
      </c>
      <c r="H10372" s="4" t="str">
        <v/>
      </c>
      <c r="I10372" s="4" t="str">
        <v/>
      </c>
    </row>
    <row r="10373" spans="5:9" ht="16.5" hidden="1">
      <c r="E10373" s="4" t="str">
        <v/>
      </c>
      <c r="F10373" s="102" t="str">
        <f ca="1">IFERROR(__xludf.DUMMYFUNCTION("IMPORTRANGE(H10373,""IDENTITAS UNIT!D9"")"),"#N/A")</f>
        <v>#N/A</v>
      </c>
      <c r="H10373" s="4" t="str">
        <v/>
      </c>
      <c r="I10373" s="4" t="str">
        <v/>
      </c>
    </row>
    <row r="10374" spans="5:9" ht="16.5" hidden="1">
      <c r="E10374" s="4" t="str">
        <v/>
      </c>
      <c r="F10374" s="102" t="str">
        <f ca="1">IFERROR(__xludf.DUMMYFUNCTION("IMPORTRANGE(H10374,""IDENTITAS UNIT!D9"")"),"#N/A")</f>
        <v>#N/A</v>
      </c>
      <c r="H10374" s="4" t="str">
        <v/>
      </c>
      <c r="I10374" s="4" t="str">
        <v/>
      </c>
    </row>
    <row r="10375" spans="5:9" ht="16.5" hidden="1">
      <c r="E10375" s="4" t="str">
        <v/>
      </c>
      <c r="F10375" s="102" t="str">
        <f ca="1">IFERROR(__xludf.DUMMYFUNCTION("IMPORTRANGE(H10375,""IDENTITAS UNIT!D9"")"),"#N/A")</f>
        <v>#N/A</v>
      </c>
      <c r="H10375" s="4" t="str">
        <v/>
      </c>
      <c r="I10375" s="4" t="str">
        <v/>
      </c>
    </row>
    <row r="10376" spans="5:9" ht="16.5" hidden="1">
      <c r="E10376" s="4" t="str">
        <v/>
      </c>
      <c r="F10376" s="102" t="str">
        <f ca="1">IFERROR(__xludf.DUMMYFUNCTION("IMPORTRANGE(H10376,""IDENTITAS UNIT!D9"")"),"#N/A")</f>
        <v>#N/A</v>
      </c>
      <c r="H10376" s="4" t="str">
        <v/>
      </c>
      <c r="I10376" s="4" t="str">
        <v/>
      </c>
    </row>
    <row r="10377" spans="5:9" ht="16.5" hidden="1">
      <c r="E10377" s="4" t="str">
        <v/>
      </c>
      <c r="F10377" s="102" t="str">
        <f ca="1">IFERROR(__xludf.DUMMYFUNCTION("IMPORTRANGE(H10377,""IDENTITAS UNIT!D9"")"),"#N/A")</f>
        <v>#N/A</v>
      </c>
      <c r="H10377" s="4" t="str">
        <v/>
      </c>
      <c r="I10377" s="4" t="str">
        <v/>
      </c>
    </row>
    <row r="10378" spans="5:9" ht="16.5" hidden="1">
      <c r="E10378" s="4" t="str">
        <v/>
      </c>
      <c r="F10378" s="102" t="str">
        <f ca="1">IFERROR(__xludf.DUMMYFUNCTION("IMPORTRANGE(H10378,""IDENTITAS UNIT!D9"")"),"#N/A")</f>
        <v>#N/A</v>
      </c>
      <c r="H10378" s="4" t="str">
        <v/>
      </c>
      <c r="I10378" s="4" t="str">
        <v/>
      </c>
    </row>
    <row r="10379" spans="5:9" ht="16.5" hidden="1">
      <c r="E10379" s="4" t="str">
        <v/>
      </c>
      <c r="F10379" s="102" t="str">
        <f ca="1">IFERROR(__xludf.DUMMYFUNCTION("IMPORTRANGE(H10379,""IDENTITAS UNIT!D9"")"),"#N/A")</f>
        <v>#N/A</v>
      </c>
      <c r="H10379" s="4" t="str">
        <v/>
      </c>
      <c r="I10379" s="4" t="str">
        <v/>
      </c>
    </row>
    <row r="10380" spans="5:9" ht="16.5" hidden="1">
      <c r="E10380" s="4" t="str">
        <v/>
      </c>
      <c r="F10380" s="102" t="str">
        <f ca="1">IFERROR(__xludf.DUMMYFUNCTION("IMPORTRANGE(H10380,""IDENTITAS UNIT!D9"")"),"#N/A")</f>
        <v>#N/A</v>
      </c>
      <c r="H10380" s="4" t="str">
        <v/>
      </c>
      <c r="I10380" s="4" t="str">
        <v/>
      </c>
    </row>
    <row r="10381" spans="5:9" ht="16.5" hidden="1">
      <c r="E10381" s="4" t="str">
        <v/>
      </c>
      <c r="F10381" s="102" t="str">
        <f ca="1">IFERROR(__xludf.DUMMYFUNCTION("IMPORTRANGE(H10381,""IDENTITAS UNIT!D9"")"),"#N/A")</f>
        <v>#N/A</v>
      </c>
      <c r="H10381" s="4" t="str">
        <v/>
      </c>
      <c r="I10381" s="4" t="str">
        <v/>
      </c>
    </row>
    <row r="10382" spans="5:9" ht="16.5" hidden="1">
      <c r="E10382" s="4" t="str">
        <v/>
      </c>
      <c r="F10382" s="102" t="str">
        <f ca="1">IFERROR(__xludf.DUMMYFUNCTION("IMPORTRANGE(H10382,""IDENTITAS UNIT!D9"")"),"#N/A")</f>
        <v>#N/A</v>
      </c>
      <c r="H10382" s="4" t="str">
        <v/>
      </c>
      <c r="I10382" s="4" t="str">
        <v/>
      </c>
    </row>
    <row r="10383" spans="5:9" ht="16.5" hidden="1">
      <c r="E10383" s="4" t="str">
        <v/>
      </c>
      <c r="F10383" s="102" t="str">
        <f ca="1">IFERROR(__xludf.DUMMYFUNCTION("IMPORTRANGE(H10383,""IDENTITAS UNIT!D9"")"),"#N/A")</f>
        <v>#N/A</v>
      </c>
      <c r="H10383" s="4" t="str">
        <v/>
      </c>
      <c r="I10383" s="4" t="str">
        <v/>
      </c>
    </row>
    <row r="10384" spans="5:9" ht="16.5" hidden="1">
      <c r="E10384" s="4" t="str">
        <v/>
      </c>
      <c r="F10384" s="102" t="str">
        <f ca="1">IFERROR(__xludf.DUMMYFUNCTION("IMPORTRANGE(H10384,""IDENTITAS UNIT!D9"")"),"#N/A")</f>
        <v>#N/A</v>
      </c>
      <c r="H10384" s="4" t="str">
        <v/>
      </c>
      <c r="I10384" s="4" t="str">
        <v/>
      </c>
    </row>
    <row r="10385" spans="5:9" ht="16.5" hidden="1">
      <c r="E10385" s="4" t="str">
        <v/>
      </c>
      <c r="F10385" s="102" t="str">
        <f ca="1">IFERROR(__xludf.DUMMYFUNCTION("IMPORTRANGE(H10385,""IDENTITAS UNIT!D9"")"),"#N/A")</f>
        <v>#N/A</v>
      </c>
      <c r="H10385" s="4" t="str">
        <v/>
      </c>
      <c r="I10385" s="4" t="str">
        <v/>
      </c>
    </row>
    <row r="10386" spans="5:9" ht="16.5" hidden="1">
      <c r="E10386" s="4" t="str">
        <v/>
      </c>
      <c r="F10386" s="102" t="str">
        <f ca="1">IFERROR(__xludf.DUMMYFUNCTION("IMPORTRANGE(H10386,""IDENTITAS UNIT!D9"")"),"#N/A")</f>
        <v>#N/A</v>
      </c>
      <c r="H10386" s="4" t="str">
        <v/>
      </c>
      <c r="I10386" s="4" t="str">
        <v/>
      </c>
    </row>
    <row r="10387" spans="5:9" ht="16.5" hidden="1">
      <c r="E10387" s="4" t="str">
        <v/>
      </c>
      <c r="F10387" s="102" t="str">
        <f ca="1">IFERROR(__xludf.DUMMYFUNCTION("IMPORTRANGE(H10387,""IDENTITAS UNIT!D9"")"),"#N/A")</f>
        <v>#N/A</v>
      </c>
      <c r="H10387" s="4" t="str">
        <v/>
      </c>
      <c r="I10387" s="4" t="str">
        <v/>
      </c>
    </row>
    <row r="10388" spans="5:9" ht="16.5" hidden="1">
      <c r="E10388" s="4" t="str">
        <v/>
      </c>
      <c r="F10388" s="102" t="str">
        <f ca="1">IFERROR(__xludf.DUMMYFUNCTION("IMPORTRANGE(H10388,""IDENTITAS UNIT!D9"")"),"#N/A")</f>
        <v>#N/A</v>
      </c>
      <c r="H10388" s="4" t="str">
        <v/>
      </c>
      <c r="I10388" s="4" t="str">
        <v/>
      </c>
    </row>
    <row r="10389" spans="5:9" ht="16.5" hidden="1">
      <c r="E10389" s="4" t="str">
        <v/>
      </c>
      <c r="F10389" s="102" t="str">
        <f ca="1">IFERROR(__xludf.DUMMYFUNCTION("IMPORTRANGE(H10389,""IDENTITAS UNIT!D9"")"),"#N/A")</f>
        <v>#N/A</v>
      </c>
      <c r="H10389" s="4" t="str">
        <v/>
      </c>
      <c r="I10389" s="4" t="str">
        <v/>
      </c>
    </row>
    <row r="10390" spans="5:9" ht="16.5" hidden="1">
      <c r="E10390" s="4" t="str">
        <v/>
      </c>
      <c r="F10390" s="102" t="str">
        <f ca="1">IFERROR(__xludf.DUMMYFUNCTION("IMPORTRANGE(H10390,""IDENTITAS UNIT!D9"")"),"#N/A")</f>
        <v>#N/A</v>
      </c>
      <c r="H10390" s="4" t="str">
        <v/>
      </c>
      <c r="I10390" s="4" t="str">
        <v/>
      </c>
    </row>
    <row r="10391" spans="5:9" ht="16.5" hidden="1">
      <c r="E10391" s="4" t="str">
        <v/>
      </c>
      <c r="F10391" s="102" t="str">
        <f ca="1">IFERROR(__xludf.DUMMYFUNCTION("IMPORTRANGE(H10391,""IDENTITAS UNIT!D9"")"),"#N/A")</f>
        <v>#N/A</v>
      </c>
      <c r="H10391" s="4" t="str">
        <v/>
      </c>
      <c r="I10391" s="4" t="str">
        <v/>
      </c>
    </row>
    <row r="10392" spans="5:9" ht="16.5" hidden="1">
      <c r="E10392" s="4" t="str">
        <v/>
      </c>
      <c r="F10392" s="102" t="str">
        <f ca="1">IFERROR(__xludf.DUMMYFUNCTION("IMPORTRANGE(H10392,""IDENTITAS UNIT!D9"")"),"#N/A")</f>
        <v>#N/A</v>
      </c>
      <c r="H10392" s="4" t="str">
        <v/>
      </c>
      <c r="I10392" s="4" t="str">
        <v/>
      </c>
    </row>
    <row r="10393" spans="5:9" ht="16.5" hidden="1">
      <c r="E10393" s="4" t="str">
        <v/>
      </c>
      <c r="F10393" s="102" t="str">
        <f ca="1">IFERROR(__xludf.DUMMYFUNCTION("IMPORTRANGE(H10393,""IDENTITAS UNIT!D9"")"),"#N/A")</f>
        <v>#N/A</v>
      </c>
      <c r="H10393" s="4" t="str">
        <v/>
      </c>
      <c r="I10393" s="4" t="str">
        <v/>
      </c>
    </row>
    <row r="10394" spans="5:9" ht="16.5" hidden="1">
      <c r="E10394" s="4" t="str">
        <v/>
      </c>
      <c r="F10394" s="102" t="str">
        <f ca="1">IFERROR(__xludf.DUMMYFUNCTION("IMPORTRANGE(H10394,""IDENTITAS UNIT!D9"")"),"#N/A")</f>
        <v>#N/A</v>
      </c>
      <c r="H10394" s="4" t="str">
        <v/>
      </c>
      <c r="I10394" s="4" t="str">
        <v/>
      </c>
    </row>
    <row r="10395" spans="5:9" ht="16.5" hidden="1">
      <c r="E10395" s="4" t="str">
        <v/>
      </c>
      <c r="F10395" s="102" t="str">
        <f ca="1">IFERROR(__xludf.DUMMYFUNCTION("IMPORTRANGE(H10395,""IDENTITAS UNIT!D9"")"),"#N/A")</f>
        <v>#N/A</v>
      </c>
      <c r="H10395" s="4" t="str">
        <v/>
      </c>
      <c r="I10395" s="4" t="str">
        <v/>
      </c>
    </row>
    <row r="10396" spans="5:9" ht="16.5" hidden="1">
      <c r="E10396" s="4" t="str">
        <v/>
      </c>
      <c r="F10396" s="102" t="str">
        <f ca="1">IFERROR(__xludf.DUMMYFUNCTION("IMPORTRANGE(H10396,""IDENTITAS UNIT!D9"")"),"#N/A")</f>
        <v>#N/A</v>
      </c>
      <c r="H10396" s="4" t="str">
        <v/>
      </c>
      <c r="I10396" s="4" t="str">
        <v/>
      </c>
    </row>
    <row r="10397" spans="5:9" ht="16.5" hidden="1">
      <c r="E10397" s="4" t="str">
        <v/>
      </c>
      <c r="F10397" s="102" t="str">
        <f ca="1">IFERROR(__xludf.DUMMYFUNCTION("IMPORTRANGE(H10397,""IDENTITAS UNIT!D9"")"),"#N/A")</f>
        <v>#N/A</v>
      </c>
      <c r="H10397" s="4" t="str">
        <v/>
      </c>
      <c r="I10397" s="4" t="str">
        <v/>
      </c>
    </row>
    <row r="10398" spans="5:9" ht="16.5" hidden="1">
      <c r="E10398" s="4" t="str">
        <v/>
      </c>
      <c r="F10398" s="102" t="str">
        <f ca="1">IFERROR(__xludf.DUMMYFUNCTION("IMPORTRANGE(H10398,""IDENTITAS UNIT!D9"")"),"#N/A")</f>
        <v>#N/A</v>
      </c>
      <c r="H10398" s="4" t="str">
        <v/>
      </c>
      <c r="I10398" s="4" t="str">
        <v/>
      </c>
    </row>
    <row r="10399" spans="5:9" ht="16.5" hidden="1">
      <c r="E10399" s="4" t="str">
        <v/>
      </c>
      <c r="F10399" s="102" t="str">
        <f ca="1">IFERROR(__xludf.DUMMYFUNCTION("IMPORTRANGE(H10399,""IDENTITAS UNIT!D9"")"),"#N/A")</f>
        <v>#N/A</v>
      </c>
      <c r="H10399" s="4" t="str">
        <v/>
      </c>
      <c r="I10399" s="4" t="str">
        <v/>
      </c>
    </row>
    <row r="10400" spans="5:9" ht="16.5" hidden="1">
      <c r="E10400" s="4" t="str">
        <v/>
      </c>
      <c r="F10400" s="102" t="str">
        <f ca="1">IFERROR(__xludf.DUMMYFUNCTION("IMPORTRANGE(H10400,""IDENTITAS UNIT!D9"")"),"#N/A")</f>
        <v>#N/A</v>
      </c>
      <c r="H10400" s="4" t="str">
        <v/>
      </c>
      <c r="I10400" s="4" t="str">
        <v/>
      </c>
    </row>
    <row r="10401" spans="5:9" ht="16.5" hidden="1">
      <c r="E10401" s="4" t="str">
        <v/>
      </c>
      <c r="F10401" s="102" t="str">
        <f ca="1">IFERROR(__xludf.DUMMYFUNCTION("IMPORTRANGE(H10401,""IDENTITAS UNIT!D9"")"),"#N/A")</f>
        <v>#N/A</v>
      </c>
      <c r="H10401" s="4" t="str">
        <v/>
      </c>
      <c r="I10401" s="4" t="str">
        <v/>
      </c>
    </row>
    <row r="10402" spans="5:9" ht="16.5" hidden="1">
      <c r="E10402" s="4" t="str">
        <v/>
      </c>
      <c r="F10402" s="102" t="str">
        <f ca="1">IFERROR(__xludf.DUMMYFUNCTION("IMPORTRANGE(H10402,""IDENTITAS UNIT!D9"")"),"#N/A")</f>
        <v>#N/A</v>
      </c>
      <c r="H10402" s="4" t="str">
        <v/>
      </c>
      <c r="I10402" s="4" t="str">
        <v/>
      </c>
    </row>
    <row r="10403" spans="5:9" ht="16.5" hidden="1">
      <c r="E10403" s="4" t="str">
        <v/>
      </c>
      <c r="F10403" s="102" t="str">
        <f ca="1">IFERROR(__xludf.DUMMYFUNCTION("IMPORTRANGE(H10403,""IDENTITAS UNIT!D9"")"),"#N/A")</f>
        <v>#N/A</v>
      </c>
      <c r="H10403" s="4" t="str">
        <v/>
      </c>
      <c r="I10403" s="4" t="str">
        <v/>
      </c>
    </row>
    <row r="10404" spans="5:9" ht="16.5" hidden="1">
      <c r="E10404" s="4" t="str">
        <v/>
      </c>
      <c r="F10404" s="102" t="str">
        <f ca="1">IFERROR(__xludf.DUMMYFUNCTION("IMPORTRANGE(H10404,""IDENTITAS UNIT!D9"")"),"#N/A")</f>
        <v>#N/A</v>
      </c>
      <c r="H10404" s="4" t="str">
        <v/>
      </c>
      <c r="I10404" s="4" t="str">
        <v/>
      </c>
    </row>
    <row r="10405" spans="5:9" ht="16.5" hidden="1">
      <c r="E10405" s="4" t="str">
        <v/>
      </c>
      <c r="F10405" s="102" t="str">
        <f ca="1">IFERROR(__xludf.DUMMYFUNCTION("IMPORTRANGE(H10405,""IDENTITAS UNIT!D9"")"),"#N/A")</f>
        <v>#N/A</v>
      </c>
      <c r="H10405" s="4" t="str">
        <v/>
      </c>
      <c r="I10405" s="4" t="str">
        <v/>
      </c>
    </row>
    <row r="10406" spans="5:9" ht="16.5" hidden="1">
      <c r="E10406" s="4" t="str">
        <v/>
      </c>
      <c r="F10406" s="102" t="str">
        <f ca="1">IFERROR(__xludf.DUMMYFUNCTION("IMPORTRANGE(H10406,""IDENTITAS UNIT!D9"")"),"#N/A")</f>
        <v>#N/A</v>
      </c>
      <c r="H10406" s="4" t="str">
        <v/>
      </c>
      <c r="I10406" s="4" t="str">
        <v/>
      </c>
    </row>
    <row r="10407" spans="5:9" ht="16.5" hidden="1">
      <c r="E10407" s="4" t="str">
        <v/>
      </c>
      <c r="F10407" s="102" t="str">
        <f ca="1">IFERROR(__xludf.DUMMYFUNCTION("IMPORTRANGE(H10407,""IDENTITAS UNIT!D9"")"),"#N/A")</f>
        <v>#N/A</v>
      </c>
      <c r="H10407" s="4" t="str">
        <v/>
      </c>
      <c r="I10407" s="4" t="str">
        <v/>
      </c>
    </row>
    <row r="10408" spans="5:9" ht="16.5" hidden="1">
      <c r="E10408" s="4" t="str">
        <v/>
      </c>
      <c r="F10408" s="102" t="str">
        <f ca="1">IFERROR(__xludf.DUMMYFUNCTION("IMPORTRANGE(H10408,""IDENTITAS UNIT!D9"")"),"#N/A")</f>
        <v>#N/A</v>
      </c>
      <c r="H10408" s="4" t="str">
        <v/>
      </c>
      <c r="I10408" s="4" t="str">
        <v/>
      </c>
    </row>
    <row r="10409" spans="5:9" ht="16.5" hidden="1">
      <c r="E10409" s="4" t="str">
        <v/>
      </c>
      <c r="F10409" s="102" t="str">
        <f ca="1">IFERROR(__xludf.DUMMYFUNCTION("IMPORTRANGE(H10409,""IDENTITAS UNIT!D9"")"),"#N/A")</f>
        <v>#N/A</v>
      </c>
      <c r="H10409" s="4" t="str">
        <v/>
      </c>
      <c r="I10409" s="4" t="str">
        <v/>
      </c>
    </row>
    <row r="10410" spans="5:9" ht="16.5" hidden="1">
      <c r="E10410" s="4" t="str">
        <v/>
      </c>
      <c r="F10410" s="102" t="str">
        <f ca="1">IFERROR(__xludf.DUMMYFUNCTION("IMPORTRANGE(H10410,""IDENTITAS UNIT!D9"")"),"#N/A")</f>
        <v>#N/A</v>
      </c>
      <c r="H10410" s="4" t="str">
        <v/>
      </c>
      <c r="I10410" s="4" t="str">
        <v/>
      </c>
    </row>
    <row r="10411" spans="5:9" ht="16.5" hidden="1">
      <c r="E10411" s="4" t="str">
        <v/>
      </c>
      <c r="F10411" s="102" t="str">
        <f ca="1">IFERROR(__xludf.DUMMYFUNCTION("IMPORTRANGE(H10411,""IDENTITAS UNIT!D9"")"),"#N/A")</f>
        <v>#N/A</v>
      </c>
      <c r="H10411" s="4" t="str">
        <v/>
      </c>
      <c r="I10411" s="4" t="str">
        <v/>
      </c>
    </row>
    <row r="10412" spans="5:9" ht="16.5" hidden="1">
      <c r="E10412" s="4" t="str">
        <v/>
      </c>
      <c r="F10412" s="102" t="str">
        <f ca="1">IFERROR(__xludf.DUMMYFUNCTION("IMPORTRANGE(H10412,""IDENTITAS UNIT!D9"")"),"#N/A")</f>
        <v>#N/A</v>
      </c>
      <c r="H10412" s="4" t="str">
        <v/>
      </c>
      <c r="I10412" s="4" t="str">
        <v/>
      </c>
    </row>
    <row r="10413" spans="5:9" ht="16.5" hidden="1">
      <c r="E10413" s="4" t="str">
        <v/>
      </c>
      <c r="F10413" s="102" t="str">
        <f ca="1">IFERROR(__xludf.DUMMYFUNCTION("IMPORTRANGE(H10413,""IDENTITAS UNIT!D9"")"),"#N/A")</f>
        <v>#N/A</v>
      </c>
      <c r="H10413" s="4" t="str">
        <v/>
      </c>
      <c r="I10413" s="4" t="str">
        <v/>
      </c>
    </row>
    <row r="10414" spans="5:9" ht="16.5" hidden="1">
      <c r="E10414" s="4" t="str">
        <v/>
      </c>
      <c r="F10414" s="102" t="str">
        <f ca="1">IFERROR(__xludf.DUMMYFUNCTION("IMPORTRANGE(H10414,""IDENTITAS UNIT!D9"")"),"#N/A")</f>
        <v>#N/A</v>
      </c>
      <c r="H10414" s="4" t="str">
        <v/>
      </c>
      <c r="I10414" s="4" t="str">
        <v/>
      </c>
    </row>
    <row r="10415" spans="5:9" ht="16.5" hidden="1">
      <c r="E10415" s="4" t="str">
        <v/>
      </c>
      <c r="F10415" s="102" t="str">
        <f ca="1">IFERROR(__xludf.DUMMYFUNCTION("IMPORTRANGE(H10415,""IDENTITAS UNIT!D9"")"),"#N/A")</f>
        <v>#N/A</v>
      </c>
      <c r="H10415" s="4" t="str">
        <v/>
      </c>
      <c r="I10415" s="4" t="str">
        <v/>
      </c>
    </row>
    <row r="10416" spans="5:9" ht="16.5" hidden="1">
      <c r="E10416" s="4" t="str">
        <v/>
      </c>
      <c r="F10416" s="102" t="str">
        <f ca="1">IFERROR(__xludf.DUMMYFUNCTION("IMPORTRANGE(H10416,""IDENTITAS UNIT!D9"")"),"#N/A")</f>
        <v>#N/A</v>
      </c>
      <c r="H10416" s="4" t="str">
        <v/>
      </c>
      <c r="I10416" s="4" t="str">
        <v/>
      </c>
    </row>
    <row r="10417" spans="5:9" ht="16.5" hidden="1">
      <c r="E10417" s="4" t="str">
        <v/>
      </c>
      <c r="F10417" s="102" t="str">
        <f ca="1">IFERROR(__xludf.DUMMYFUNCTION("IMPORTRANGE(H10417,""IDENTITAS UNIT!D9"")"),"#N/A")</f>
        <v>#N/A</v>
      </c>
      <c r="H10417" s="4" t="str">
        <v/>
      </c>
      <c r="I10417" s="4" t="str">
        <v/>
      </c>
    </row>
    <row r="10418" spans="5:9" ht="16.5" hidden="1">
      <c r="E10418" s="4" t="str">
        <v/>
      </c>
      <c r="F10418" s="102" t="str">
        <f ca="1">IFERROR(__xludf.DUMMYFUNCTION("IMPORTRANGE(H10418,""IDENTITAS UNIT!D9"")"),"#N/A")</f>
        <v>#N/A</v>
      </c>
      <c r="H10418" s="4" t="str">
        <v/>
      </c>
      <c r="I10418" s="4" t="str">
        <v/>
      </c>
    </row>
    <row r="10419" spans="5:9" ht="16.5" hidden="1">
      <c r="E10419" s="4" t="str">
        <v/>
      </c>
      <c r="F10419" s="102" t="str">
        <f ca="1">IFERROR(__xludf.DUMMYFUNCTION("IMPORTRANGE(H10419,""IDENTITAS UNIT!D9"")"),"#N/A")</f>
        <v>#N/A</v>
      </c>
      <c r="H10419" s="4" t="str">
        <v/>
      </c>
      <c r="I10419" s="4" t="str">
        <v/>
      </c>
    </row>
    <row r="10420" spans="5:9" ht="16.5" hidden="1">
      <c r="E10420" s="4" t="str">
        <v/>
      </c>
      <c r="F10420" s="102" t="str">
        <f ca="1">IFERROR(__xludf.DUMMYFUNCTION("IMPORTRANGE(H10420,""IDENTITAS UNIT!D9"")"),"#N/A")</f>
        <v>#N/A</v>
      </c>
      <c r="H10420" s="4" t="str">
        <v/>
      </c>
      <c r="I10420" s="4" t="str">
        <v/>
      </c>
    </row>
    <row r="10421" spans="5:9" ht="16.5" hidden="1">
      <c r="E10421" s="4" t="str">
        <v/>
      </c>
      <c r="F10421" s="102" t="str">
        <f ca="1">IFERROR(__xludf.DUMMYFUNCTION("IMPORTRANGE(H10421,""IDENTITAS UNIT!D9"")"),"#N/A")</f>
        <v>#N/A</v>
      </c>
      <c r="H10421" s="4" t="str">
        <v/>
      </c>
      <c r="I10421" s="4" t="str">
        <v/>
      </c>
    </row>
    <row r="10422" spans="5:9" ht="16.5" hidden="1">
      <c r="E10422" s="4" t="str">
        <v/>
      </c>
      <c r="F10422" s="102" t="str">
        <f ca="1">IFERROR(__xludf.DUMMYFUNCTION("IMPORTRANGE(H10422,""IDENTITAS UNIT!D9"")"),"#N/A")</f>
        <v>#N/A</v>
      </c>
      <c r="H10422" s="4" t="str">
        <v/>
      </c>
      <c r="I10422" s="4" t="str">
        <v/>
      </c>
    </row>
    <row r="10423" spans="5:9" ht="16.5" hidden="1">
      <c r="E10423" s="4" t="str">
        <v/>
      </c>
      <c r="F10423" s="102" t="str">
        <f ca="1">IFERROR(__xludf.DUMMYFUNCTION("IMPORTRANGE(H10423,""IDENTITAS UNIT!D9"")"),"#N/A")</f>
        <v>#N/A</v>
      </c>
      <c r="H10423" s="4" t="str">
        <v/>
      </c>
      <c r="I10423" s="4" t="str">
        <v/>
      </c>
    </row>
    <row r="10424" spans="5:9" ht="16.5" hidden="1">
      <c r="E10424" s="4" t="str">
        <v/>
      </c>
      <c r="F10424" s="102" t="str">
        <f ca="1">IFERROR(__xludf.DUMMYFUNCTION("IMPORTRANGE(H10424,""IDENTITAS UNIT!D9"")"),"#N/A")</f>
        <v>#N/A</v>
      </c>
      <c r="H10424" s="4" t="str">
        <v/>
      </c>
      <c r="I10424" s="4" t="str">
        <v/>
      </c>
    </row>
    <row r="10425" spans="5:9" ht="16.5" hidden="1">
      <c r="E10425" s="4" t="str">
        <v/>
      </c>
      <c r="F10425" s="102" t="str">
        <f ca="1">IFERROR(__xludf.DUMMYFUNCTION("IMPORTRANGE(H10425,""IDENTITAS UNIT!D9"")"),"#N/A")</f>
        <v>#N/A</v>
      </c>
      <c r="H10425" s="4" t="str">
        <v/>
      </c>
      <c r="I10425" s="4" t="str">
        <v/>
      </c>
    </row>
    <row r="10426" spans="5:9" ht="16.5" hidden="1">
      <c r="E10426" s="4" t="str">
        <v/>
      </c>
      <c r="F10426" s="102" t="str">
        <f ca="1">IFERROR(__xludf.DUMMYFUNCTION("IMPORTRANGE(H10426,""IDENTITAS UNIT!D9"")"),"#N/A")</f>
        <v>#N/A</v>
      </c>
      <c r="H10426" s="4" t="str">
        <v/>
      </c>
      <c r="I10426" s="4" t="str">
        <v/>
      </c>
    </row>
    <row r="10427" spans="5:9" ht="16.5" hidden="1">
      <c r="E10427" s="4" t="str">
        <v/>
      </c>
      <c r="F10427" s="102" t="str">
        <f ca="1">IFERROR(__xludf.DUMMYFUNCTION("IMPORTRANGE(H10427,""IDENTITAS UNIT!D9"")"),"#N/A")</f>
        <v>#N/A</v>
      </c>
      <c r="H10427" s="4" t="str">
        <v/>
      </c>
      <c r="I10427" s="4" t="str">
        <v/>
      </c>
    </row>
    <row r="10428" spans="5:9" ht="16.5" hidden="1">
      <c r="E10428" s="4" t="str">
        <v/>
      </c>
      <c r="F10428" s="102" t="str">
        <f ca="1">IFERROR(__xludf.DUMMYFUNCTION("IMPORTRANGE(H10428,""IDENTITAS UNIT!D9"")"),"#N/A")</f>
        <v>#N/A</v>
      </c>
      <c r="H10428" s="4" t="str">
        <v/>
      </c>
      <c r="I10428" s="4" t="str">
        <v/>
      </c>
    </row>
    <row r="10429" spans="5:9" ht="16.5" hidden="1">
      <c r="E10429" s="4" t="str">
        <v/>
      </c>
      <c r="F10429" s="102" t="str">
        <f ca="1">IFERROR(__xludf.DUMMYFUNCTION("IMPORTRANGE(H10429,""IDENTITAS UNIT!D9"")"),"#N/A")</f>
        <v>#N/A</v>
      </c>
      <c r="H10429" s="4" t="str">
        <v/>
      </c>
      <c r="I10429" s="4" t="str">
        <v/>
      </c>
    </row>
    <row r="10430" spans="5:9" ht="16.5" hidden="1">
      <c r="E10430" s="4" t="str">
        <v/>
      </c>
      <c r="F10430" s="102" t="str">
        <f ca="1">IFERROR(__xludf.DUMMYFUNCTION("IMPORTRANGE(H10430,""IDENTITAS UNIT!D9"")"),"#N/A")</f>
        <v>#N/A</v>
      </c>
      <c r="H10430" s="4" t="str">
        <v/>
      </c>
      <c r="I10430" s="4" t="str">
        <v/>
      </c>
    </row>
    <row r="10431" spans="5:9" ht="16.5" hidden="1">
      <c r="E10431" s="4" t="str">
        <v/>
      </c>
      <c r="F10431" s="102" t="str">
        <f ca="1">IFERROR(__xludf.DUMMYFUNCTION("IMPORTRANGE(H10431,""IDENTITAS UNIT!D9"")"),"#N/A")</f>
        <v>#N/A</v>
      </c>
      <c r="H10431" s="4" t="str">
        <v/>
      </c>
      <c r="I10431" s="4" t="str">
        <v/>
      </c>
    </row>
    <row r="10432" spans="5:9" ht="16.5" hidden="1">
      <c r="E10432" s="4" t="str">
        <v/>
      </c>
      <c r="F10432" s="102" t="str">
        <f ca="1">IFERROR(__xludf.DUMMYFUNCTION("IMPORTRANGE(H10432,""IDENTITAS UNIT!D9"")"),"#N/A")</f>
        <v>#N/A</v>
      </c>
      <c r="H10432" s="4" t="str">
        <v/>
      </c>
      <c r="I10432" s="4" t="str">
        <v/>
      </c>
    </row>
    <row r="10433" spans="5:9" ht="16.5" hidden="1">
      <c r="E10433" s="4" t="str">
        <v/>
      </c>
      <c r="F10433" s="102" t="str">
        <f ca="1">IFERROR(__xludf.DUMMYFUNCTION("IMPORTRANGE(H10433,""IDENTITAS UNIT!D9"")"),"#N/A")</f>
        <v>#N/A</v>
      </c>
      <c r="H10433" s="4" t="str">
        <v/>
      </c>
      <c r="I10433" s="4" t="str">
        <v/>
      </c>
    </row>
    <row r="10434" spans="5:9" ht="16.5" hidden="1">
      <c r="E10434" s="4" t="str">
        <v/>
      </c>
      <c r="F10434" s="102" t="str">
        <f ca="1">IFERROR(__xludf.DUMMYFUNCTION("IMPORTRANGE(H10434,""IDENTITAS UNIT!D9"")"),"#N/A")</f>
        <v>#N/A</v>
      </c>
      <c r="H10434" s="4" t="str">
        <v/>
      </c>
      <c r="I10434" s="4" t="str">
        <v/>
      </c>
    </row>
    <row r="10435" spans="5:9" ht="16.5" hidden="1">
      <c r="E10435" s="4" t="str">
        <v/>
      </c>
      <c r="F10435" s="102" t="str">
        <f ca="1">IFERROR(__xludf.DUMMYFUNCTION("IMPORTRANGE(H10435,""IDENTITAS UNIT!D9"")"),"#N/A")</f>
        <v>#N/A</v>
      </c>
      <c r="H10435" s="4" t="str">
        <v/>
      </c>
      <c r="I10435" s="4" t="str">
        <v/>
      </c>
    </row>
    <row r="10436" spans="5:9" ht="16.5" hidden="1">
      <c r="E10436" s="4" t="str">
        <v/>
      </c>
      <c r="F10436" s="102" t="str">
        <f ca="1">IFERROR(__xludf.DUMMYFUNCTION("IMPORTRANGE(H10436,""IDENTITAS UNIT!D9"")"),"#N/A")</f>
        <v>#N/A</v>
      </c>
      <c r="H10436" s="4" t="str">
        <v/>
      </c>
      <c r="I10436" s="4" t="str">
        <v/>
      </c>
    </row>
    <row r="10437" spans="5:9" ht="16.5" hidden="1">
      <c r="E10437" s="4" t="str">
        <v/>
      </c>
      <c r="F10437" s="102" t="str">
        <f ca="1">IFERROR(__xludf.DUMMYFUNCTION("IMPORTRANGE(H10437,""IDENTITAS UNIT!D9"")"),"#N/A")</f>
        <v>#N/A</v>
      </c>
      <c r="H10437" s="4" t="str">
        <v/>
      </c>
      <c r="I10437" s="4" t="str">
        <v/>
      </c>
    </row>
    <row r="10438" spans="5:9" ht="16.5" hidden="1">
      <c r="E10438" s="4" t="str">
        <v/>
      </c>
      <c r="F10438" s="102" t="str">
        <f ca="1">IFERROR(__xludf.DUMMYFUNCTION("IMPORTRANGE(H10438,""IDENTITAS UNIT!D9"")"),"#N/A")</f>
        <v>#N/A</v>
      </c>
      <c r="H10438" s="4" t="str">
        <v/>
      </c>
      <c r="I10438" s="4" t="str">
        <v/>
      </c>
    </row>
    <row r="10439" spans="5:9" ht="16.5" hidden="1">
      <c r="E10439" s="4" t="str">
        <v/>
      </c>
      <c r="F10439" s="102" t="str">
        <f ca="1">IFERROR(__xludf.DUMMYFUNCTION("IMPORTRANGE(H10439,""IDENTITAS UNIT!D9"")"),"#N/A")</f>
        <v>#N/A</v>
      </c>
      <c r="H10439" s="4" t="str">
        <v/>
      </c>
      <c r="I10439" s="4" t="str">
        <v/>
      </c>
    </row>
    <row r="10440" spans="5:9" ht="16.5" hidden="1">
      <c r="E10440" s="4" t="str">
        <v/>
      </c>
      <c r="F10440" s="102" t="str">
        <f ca="1">IFERROR(__xludf.DUMMYFUNCTION("IMPORTRANGE(H10440,""IDENTITAS UNIT!D9"")"),"#N/A")</f>
        <v>#N/A</v>
      </c>
      <c r="H10440" s="4" t="str">
        <v/>
      </c>
      <c r="I10440" s="4" t="str">
        <v/>
      </c>
    </row>
    <row r="10441" spans="5:9" ht="16.5" hidden="1">
      <c r="E10441" s="4" t="str">
        <v/>
      </c>
      <c r="F10441" s="102" t="str">
        <f ca="1">IFERROR(__xludf.DUMMYFUNCTION("IMPORTRANGE(H10441,""IDENTITAS UNIT!D9"")"),"#N/A")</f>
        <v>#N/A</v>
      </c>
      <c r="H10441" s="4" t="str">
        <v/>
      </c>
      <c r="I10441" s="4" t="str">
        <v/>
      </c>
    </row>
    <row r="10442" spans="5:9" ht="16.5" hidden="1">
      <c r="E10442" s="4" t="str">
        <v/>
      </c>
      <c r="F10442" s="102" t="str">
        <f ca="1">IFERROR(__xludf.DUMMYFUNCTION("IMPORTRANGE(H10442,""IDENTITAS UNIT!D9"")"),"#N/A")</f>
        <v>#N/A</v>
      </c>
      <c r="H10442" s="4" t="str">
        <v/>
      </c>
      <c r="I10442" s="4" t="str">
        <v/>
      </c>
    </row>
    <row r="10443" spans="5:9" ht="16.5" hidden="1">
      <c r="E10443" s="4" t="str">
        <v/>
      </c>
      <c r="F10443" s="102" t="str">
        <f ca="1">IFERROR(__xludf.DUMMYFUNCTION("IMPORTRANGE(H10443,""IDENTITAS UNIT!D9"")"),"#N/A")</f>
        <v>#N/A</v>
      </c>
      <c r="H10443" s="4" t="str">
        <v/>
      </c>
      <c r="I10443" s="4" t="str">
        <v/>
      </c>
    </row>
    <row r="10444" spans="5:9" ht="16.5" hidden="1">
      <c r="E10444" s="4" t="str">
        <v/>
      </c>
      <c r="F10444" s="102" t="str">
        <f ca="1">IFERROR(__xludf.DUMMYFUNCTION("IMPORTRANGE(H10444,""IDENTITAS UNIT!D9"")"),"#N/A")</f>
        <v>#N/A</v>
      </c>
      <c r="H10444" s="4" t="str">
        <v/>
      </c>
      <c r="I10444" s="4" t="str">
        <v/>
      </c>
    </row>
    <row r="10445" spans="5:9" ht="16.5" hidden="1">
      <c r="E10445" s="4" t="str">
        <v/>
      </c>
      <c r="F10445" s="102" t="str">
        <f ca="1">IFERROR(__xludf.DUMMYFUNCTION("IMPORTRANGE(H10445,""IDENTITAS UNIT!D9"")"),"#N/A")</f>
        <v>#N/A</v>
      </c>
      <c r="H10445" s="4" t="str">
        <v/>
      </c>
      <c r="I10445" s="4" t="str">
        <v/>
      </c>
    </row>
    <row r="10446" spans="5:9" ht="16.5" hidden="1">
      <c r="E10446" s="4" t="str">
        <v/>
      </c>
      <c r="F10446" s="102" t="str">
        <f ca="1">IFERROR(__xludf.DUMMYFUNCTION("IMPORTRANGE(H10446,""IDENTITAS UNIT!D9"")"),"#N/A")</f>
        <v>#N/A</v>
      </c>
      <c r="H10446" s="4" t="str">
        <v/>
      </c>
      <c r="I10446" s="4" t="str">
        <v/>
      </c>
    </row>
    <row r="10447" spans="5:9" ht="16.5" hidden="1">
      <c r="E10447" s="4" t="str">
        <v/>
      </c>
      <c r="F10447" s="102" t="str">
        <f ca="1">IFERROR(__xludf.DUMMYFUNCTION("IMPORTRANGE(H10447,""IDENTITAS UNIT!D9"")"),"#N/A")</f>
        <v>#N/A</v>
      </c>
      <c r="H10447" s="4" t="str">
        <v/>
      </c>
      <c r="I10447" s="4" t="str">
        <v/>
      </c>
    </row>
    <row r="10448" spans="5:9" ht="16.5" hidden="1">
      <c r="E10448" s="4" t="str">
        <v/>
      </c>
      <c r="F10448" s="102" t="str">
        <f ca="1">IFERROR(__xludf.DUMMYFUNCTION("IMPORTRANGE(H10448,""IDENTITAS UNIT!D9"")"),"#N/A")</f>
        <v>#N/A</v>
      </c>
      <c r="H10448" s="4" t="str">
        <v/>
      </c>
      <c r="I10448" s="4" t="str">
        <v/>
      </c>
    </row>
    <row r="10449" spans="5:9" ht="16.5" hidden="1">
      <c r="E10449" s="4" t="str">
        <v/>
      </c>
      <c r="F10449" s="102" t="str">
        <f ca="1">IFERROR(__xludf.DUMMYFUNCTION("IMPORTRANGE(H10449,""IDENTITAS UNIT!D9"")"),"#N/A")</f>
        <v>#N/A</v>
      </c>
      <c r="H10449" s="4" t="str">
        <v/>
      </c>
      <c r="I10449" s="4" t="str">
        <v/>
      </c>
    </row>
    <row r="10450" spans="5:9" ht="16.5" hidden="1">
      <c r="E10450" s="4" t="str">
        <v/>
      </c>
      <c r="F10450" s="102" t="str">
        <f ca="1">IFERROR(__xludf.DUMMYFUNCTION("IMPORTRANGE(H10450,""IDENTITAS UNIT!D9"")"),"#N/A")</f>
        <v>#N/A</v>
      </c>
      <c r="H10450" s="4" t="str">
        <v/>
      </c>
      <c r="I10450" s="4" t="str">
        <v/>
      </c>
    </row>
    <row r="10451" spans="5:9" ht="16.5" hidden="1">
      <c r="E10451" s="4" t="str">
        <v/>
      </c>
      <c r="F10451" s="102" t="str">
        <f ca="1">IFERROR(__xludf.DUMMYFUNCTION("IMPORTRANGE(H10451,""IDENTITAS UNIT!D9"")"),"#N/A")</f>
        <v>#N/A</v>
      </c>
      <c r="H10451" s="4" t="str">
        <v/>
      </c>
      <c r="I10451" s="4" t="str">
        <v/>
      </c>
    </row>
    <row r="10452" spans="5:9" ht="16.5" hidden="1">
      <c r="E10452" s="4" t="str">
        <v/>
      </c>
      <c r="F10452" s="102" t="str">
        <f ca="1">IFERROR(__xludf.DUMMYFUNCTION("IMPORTRANGE(H10452,""IDENTITAS UNIT!D9"")"),"#N/A")</f>
        <v>#N/A</v>
      </c>
      <c r="H10452" s="4" t="str">
        <v/>
      </c>
      <c r="I10452" s="4" t="str">
        <v/>
      </c>
    </row>
    <row r="10453" spans="5:9" ht="16.5" hidden="1">
      <c r="E10453" s="4" t="str">
        <v/>
      </c>
      <c r="F10453" s="102" t="str">
        <f ca="1">IFERROR(__xludf.DUMMYFUNCTION("IMPORTRANGE(H10453,""IDENTITAS UNIT!D9"")"),"#N/A")</f>
        <v>#N/A</v>
      </c>
      <c r="H10453" s="4" t="str">
        <v/>
      </c>
      <c r="I10453" s="4" t="str">
        <v/>
      </c>
    </row>
    <row r="10454" spans="5:9" ht="16.5" hidden="1">
      <c r="E10454" s="4" t="str">
        <v/>
      </c>
      <c r="F10454" s="102" t="str">
        <f ca="1">IFERROR(__xludf.DUMMYFUNCTION("IMPORTRANGE(H10454,""IDENTITAS UNIT!D9"")"),"#N/A")</f>
        <v>#N/A</v>
      </c>
      <c r="H10454" s="4" t="str">
        <v/>
      </c>
      <c r="I10454" s="4" t="str">
        <v/>
      </c>
    </row>
    <row r="10455" spans="5:9" ht="16.5" hidden="1">
      <c r="E10455" s="4" t="str">
        <v/>
      </c>
      <c r="F10455" s="102" t="str">
        <f ca="1">IFERROR(__xludf.DUMMYFUNCTION("IMPORTRANGE(H10455,""IDENTITAS UNIT!D9"")"),"#N/A")</f>
        <v>#N/A</v>
      </c>
      <c r="H10455" s="4" t="str">
        <v/>
      </c>
      <c r="I10455" s="4" t="str">
        <v/>
      </c>
    </row>
    <row r="10456" spans="5:9" ht="16.5" hidden="1">
      <c r="E10456" s="4" t="str">
        <v/>
      </c>
      <c r="F10456" s="102" t="str">
        <f ca="1">IFERROR(__xludf.DUMMYFUNCTION("IMPORTRANGE(H10456,""IDENTITAS UNIT!D9"")"),"#N/A")</f>
        <v>#N/A</v>
      </c>
      <c r="H10456" s="4" t="str">
        <v/>
      </c>
      <c r="I10456" s="4" t="str">
        <v/>
      </c>
    </row>
    <row r="10457" spans="5:9" ht="16.5" hidden="1">
      <c r="E10457" s="4" t="str">
        <v/>
      </c>
      <c r="F10457" s="102" t="str">
        <f ca="1">IFERROR(__xludf.DUMMYFUNCTION("IMPORTRANGE(H10457,""IDENTITAS UNIT!D9"")"),"#N/A")</f>
        <v>#N/A</v>
      </c>
      <c r="H10457" s="4" t="str">
        <v/>
      </c>
      <c r="I10457" s="4" t="str">
        <v/>
      </c>
    </row>
    <row r="10458" spans="5:9" ht="16.5" hidden="1">
      <c r="E10458" s="4" t="str">
        <v/>
      </c>
      <c r="F10458" s="102" t="str">
        <f ca="1">IFERROR(__xludf.DUMMYFUNCTION("IMPORTRANGE(H10458,""IDENTITAS UNIT!D9"")"),"#N/A")</f>
        <v>#N/A</v>
      </c>
      <c r="H10458" s="4" t="str">
        <v/>
      </c>
      <c r="I10458" s="4" t="str">
        <v/>
      </c>
    </row>
    <row r="10459" spans="5:9" ht="16.5" hidden="1">
      <c r="E10459" s="4" t="str">
        <v/>
      </c>
      <c r="F10459" s="102" t="str">
        <f ca="1">IFERROR(__xludf.DUMMYFUNCTION("IMPORTRANGE(H10459,""IDENTITAS UNIT!D9"")"),"#N/A")</f>
        <v>#N/A</v>
      </c>
      <c r="H10459" s="4" t="str">
        <v/>
      </c>
      <c r="I10459" s="4" t="str">
        <v/>
      </c>
    </row>
    <row r="10460" spans="5:9" ht="16.5" hidden="1">
      <c r="E10460" s="4" t="str">
        <v/>
      </c>
      <c r="F10460" s="102" t="str">
        <f ca="1">IFERROR(__xludf.DUMMYFUNCTION("IMPORTRANGE(H10460,""IDENTITAS UNIT!D9"")"),"#N/A")</f>
        <v>#N/A</v>
      </c>
      <c r="H10460" s="4" t="str">
        <v/>
      </c>
      <c r="I10460" s="4" t="str">
        <v/>
      </c>
    </row>
    <row r="10461" spans="5:9" ht="16.5" hidden="1">
      <c r="E10461" s="4" t="str">
        <v/>
      </c>
      <c r="F10461" s="102" t="str">
        <f ca="1">IFERROR(__xludf.DUMMYFUNCTION("IMPORTRANGE(H10461,""IDENTITAS UNIT!D9"")"),"#N/A")</f>
        <v>#N/A</v>
      </c>
      <c r="H10461" s="4" t="str">
        <v/>
      </c>
      <c r="I10461" s="4" t="str">
        <v/>
      </c>
    </row>
    <row r="10462" spans="5:9" ht="16.5" hidden="1">
      <c r="E10462" s="4" t="str">
        <v/>
      </c>
      <c r="F10462" s="102" t="str">
        <f ca="1">IFERROR(__xludf.DUMMYFUNCTION("IMPORTRANGE(H10462,""IDENTITAS UNIT!D9"")"),"#N/A")</f>
        <v>#N/A</v>
      </c>
      <c r="H10462" s="4" t="str">
        <v/>
      </c>
      <c r="I10462" s="4" t="str">
        <v/>
      </c>
    </row>
    <row r="10463" spans="5:9" ht="16.5" hidden="1">
      <c r="E10463" s="4" t="str">
        <v/>
      </c>
      <c r="F10463" s="102" t="str">
        <f ca="1">IFERROR(__xludf.DUMMYFUNCTION("IMPORTRANGE(H10463,""IDENTITAS UNIT!D9"")"),"#N/A")</f>
        <v>#N/A</v>
      </c>
      <c r="H10463" s="4" t="str">
        <v/>
      </c>
      <c r="I10463" s="4" t="str">
        <v/>
      </c>
    </row>
    <row r="10464" spans="5:9" ht="16.5" hidden="1">
      <c r="E10464" s="4" t="str">
        <v/>
      </c>
      <c r="F10464" s="102" t="str">
        <f ca="1">IFERROR(__xludf.DUMMYFUNCTION("IMPORTRANGE(H10464,""IDENTITAS UNIT!D9"")"),"#N/A")</f>
        <v>#N/A</v>
      </c>
      <c r="H10464" s="4" t="str">
        <v/>
      </c>
      <c r="I10464" s="4" t="str">
        <v/>
      </c>
    </row>
    <row r="10465" spans="5:9" ht="16.5" hidden="1">
      <c r="E10465" s="4" t="str">
        <v/>
      </c>
      <c r="F10465" s="102" t="str">
        <f ca="1">IFERROR(__xludf.DUMMYFUNCTION("IMPORTRANGE(H10465,""IDENTITAS UNIT!D9"")"),"#N/A")</f>
        <v>#N/A</v>
      </c>
      <c r="H10465" s="4" t="str">
        <v/>
      </c>
      <c r="I10465" s="4" t="str">
        <v/>
      </c>
    </row>
    <row r="10466" spans="5:9" ht="16.5" hidden="1">
      <c r="E10466" s="4" t="str">
        <v/>
      </c>
      <c r="F10466" s="102" t="str">
        <f ca="1">IFERROR(__xludf.DUMMYFUNCTION("IMPORTRANGE(H10466,""IDENTITAS UNIT!D9"")"),"#N/A")</f>
        <v>#N/A</v>
      </c>
      <c r="H10466" s="4" t="str">
        <v/>
      </c>
      <c r="I10466" s="4" t="str">
        <v/>
      </c>
    </row>
    <row r="10467" spans="5:9" ht="16.5" hidden="1">
      <c r="E10467" s="4" t="str">
        <v/>
      </c>
      <c r="F10467" s="102" t="str">
        <f ca="1">IFERROR(__xludf.DUMMYFUNCTION("IMPORTRANGE(H10467,""IDENTITAS UNIT!D9"")"),"#N/A")</f>
        <v>#N/A</v>
      </c>
      <c r="H10467" s="4" t="str">
        <v/>
      </c>
      <c r="I10467" s="4" t="str">
        <v/>
      </c>
    </row>
    <row r="10468" spans="5:9" ht="16.5" hidden="1">
      <c r="E10468" s="4" t="str">
        <v/>
      </c>
      <c r="F10468" s="102" t="str">
        <f ca="1">IFERROR(__xludf.DUMMYFUNCTION("IMPORTRANGE(H10468,""IDENTITAS UNIT!D9"")"),"#N/A")</f>
        <v>#N/A</v>
      </c>
      <c r="H10468" s="4" t="str">
        <v/>
      </c>
      <c r="I10468" s="4" t="str">
        <v/>
      </c>
    </row>
    <row r="10469" spans="5:9" ht="16.5" hidden="1">
      <c r="E10469" s="4" t="str">
        <v/>
      </c>
      <c r="F10469" s="102" t="str">
        <f ca="1">IFERROR(__xludf.DUMMYFUNCTION("IMPORTRANGE(H10469,""IDENTITAS UNIT!D9"")"),"#N/A")</f>
        <v>#N/A</v>
      </c>
      <c r="H10469" s="4" t="str">
        <v/>
      </c>
      <c r="I10469" s="4" t="str">
        <v/>
      </c>
    </row>
    <row r="10470" spans="5:9" ht="16.5" hidden="1">
      <c r="E10470" s="4" t="str">
        <v/>
      </c>
      <c r="F10470" s="102" t="str">
        <f ca="1">IFERROR(__xludf.DUMMYFUNCTION("IMPORTRANGE(H10470,""IDENTITAS UNIT!D9"")"),"#N/A")</f>
        <v>#N/A</v>
      </c>
      <c r="H10470" s="4" t="str">
        <v/>
      </c>
      <c r="I10470" s="4" t="str">
        <v/>
      </c>
    </row>
    <row r="10471" spans="5:9" ht="16.5" hidden="1">
      <c r="E10471" s="4" t="str">
        <v/>
      </c>
      <c r="F10471" s="102" t="str">
        <f ca="1">IFERROR(__xludf.DUMMYFUNCTION("IMPORTRANGE(H10471,""IDENTITAS UNIT!D9"")"),"#N/A")</f>
        <v>#N/A</v>
      </c>
      <c r="H10471" s="4" t="str">
        <v/>
      </c>
      <c r="I10471" s="4" t="str">
        <v/>
      </c>
    </row>
    <row r="10472" spans="5:9" ht="16.5" hidden="1">
      <c r="E10472" s="4" t="str">
        <v/>
      </c>
      <c r="F10472" s="102" t="str">
        <f ca="1">IFERROR(__xludf.DUMMYFUNCTION("IMPORTRANGE(H10472,""IDENTITAS UNIT!D9"")"),"#N/A")</f>
        <v>#N/A</v>
      </c>
      <c r="H10472" s="4" t="str">
        <v/>
      </c>
      <c r="I10472" s="4" t="str">
        <v/>
      </c>
    </row>
    <row r="10473" spans="5:9" ht="16.5" hidden="1">
      <c r="E10473" s="4" t="str">
        <v/>
      </c>
      <c r="F10473" s="102" t="str">
        <f ca="1">IFERROR(__xludf.DUMMYFUNCTION("IMPORTRANGE(H10473,""IDENTITAS UNIT!D9"")"),"#N/A")</f>
        <v>#N/A</v>
      </c>
      <c r="H10473" s="4" t="str">
        <v/>
      </c>
      <c r="I10473" s="4" t="str">
        <v/>
      </c>
    </row>
    <row r="10474" spans="5:9" ht="16.5" hidden="1">
      <c r="E10474" s="4" t="str">
        <v/>
      </c>
      <c r="F10474" s="102" t="str">
        <f ca="1">IFERROR(__xludf.DUMMYFUNCTION("IMPORTRANGE(H10474,""IDENTITAS UNIT!D9"")"),"#N/A")</f>
        <v>#N/A</v>
      </c>
      <c r="H10474" s="4" t="str">
        <v/>
      </c>
      <c r="I10474" s="4" t="str">
        <v/>
      </c>
    </row>
    <row r="10475" spans="5:9" ht="16.5" hidden="1">
      <c r="E10475" s="4" t="str">
        <v/>
      </c>
      <c r="F10475" s="102" t="str">
        <f ca="1">IFERROR(__xludf.DUMMYFUNCTION("IMPORTRANGE(H10475,""IDENTITAS UNIT!D9"")"),"#N/A")</f>
        <v>#N/A</v>
      </c>
      <c r="H10475" s="4" t="str">
        <v/>
      </c>
      <c r="I10475" s="4" t="str">
        <v/>
      </c>
    </row>
    <row r="10476" spans="5:9" ht="16.5" hidden="1">
      <c r="E10476" s="4" t="str">
        <v/>
      </c>
      <c r="F10476" s="102" t="str">
        <f ca="1">IFERROR(__xludf.DUMMYFUNCTION("IMPORTRANGE(H10476,""IDENTITAS UNIT!D9"")"),"#N/A")</f>
        <v>#N/A</v>
      </c>
      <c r="H10476" s="4" t="str">
        <v/>
      </c>
      <c r="I10476" s="4" t="str">
        <v/>
      </c>
    </row>
    <row r="10477" spans="5:9" ht="16.5" hidden="1">
      <c r="E10477" s="4" t="str">
        <v/>
      </c>
      <c r="F10477" s="102" t="str">
        <f ca="1">IFERROR(__xludf.DUMMYFUNCTION("IMPORTRANGE(H10477,""IDENTITAS UNIT!D9"")"),"#N/A")</f>
        <v>#N/A</v>
      </c>
      <c r="H10477" s="4" t="str">
        <v/>
      </c>
      <c r="I10477" s="4" t="str">
        <v/>
      </c>
    </row>
    <row r="10478" spans="5:9" ht="16.5" hidden="1">
      <c r="E10478" s="4" t="str">
        <v/>
      </c>
      <c r="F10478" s="102" t="str">
        <f ca="1">IFERROR(__xludf.DUMMYFUNCTION("IMPORTRANGE(H10478,""IDENTITAS UNIT!D9"")"),"#N/A")</f>
        <v>#N/A</v>
      </c>
      <c r="H10478" s="4" t="str">
        <v/>
      </c>
      <c r="I10478" s="4" t="str">
        <v/>
      </c>
    </row>
    <row r="10479" spans="5:9" ht="16.5" hidden="1">
      <c r="E10479" s="4" t="str">
        <v/>
      </c>
      <c r="F10479" s="102" t="str">
        <f ca="1">IFERROR(__xludf.DUMMYFUNCTION("IMPORTRANGE(H10479,""IDENTITAS UNIT!D9"")"),"#N/A")</f>
        <v>#N/A</v>
      </c>
      <c r="H10479" s="4" t="str">
        <v/>
      </c>
      <c r="I10479" s="4" t="str">
        <v/>
      </c>
    </row>
    <row r="10480" spans="5:9" ht="16.5" hidden="1">
      <c r="E10480" s="4" t="str">
        <v/>
      </c>
      <c r="F10480" s="102" t="str">
        <f ca="1">IFERROR(__xludf.DUMMYFUNCTION("IMPORTRANGE(H10480,""IDENTITAS UNIT!D9"")"),"#N/A")</f>
        <v>#N/A</v>
      </c>
      <c r="H10480" s="4" t="str">
        <v/>
      </c>
      <c r="I10480" s="4" t="str">
        <v/>
      </c>
    </row>
    <row r="10481" spans="5:9" ht="16.5" hidden="1">
      <c r="E10481" s="4" t="str">
        <v/>
      </c>
      <c r="F10481" s="102" t="str">
        <f ca="1">IFERROR(__xludf.DUMMYFUNCTION("IMPORTRANGE(H10481,""IDENTITAS UNIT!D9"")"),"#N/A")</f>
        <v>#N/A</v>
      </c>
      <c r="H10481" s="4" t="str">
        <v/>
      </c>
      <c r="I10481" s="4" t="str">
        <v/>
      </c>
    </row>
    <row r="10482" spans="5:9" ht="16.5" hidden="1">
      <c r="E10482" s="4" t="str">
        <v/>
      </c>
      <c r="F10482" s="102" t="str">
        <f ca="1">IFERROR(__xludf.DUMMYFUNCTION("IMPORTRANGE(H10482,""IDENTITAS UNIT!D9"")"),"#N/A")</f>
        <v>#N/A</v>
      </c>
      <c r="H10482" s="4" t="str">
        <v/>
      </c>
      <c r="I10482" s="4" t="str">
        <v/>
      </c>
    </row>
    <row r="10483" spans="5:9" ht="16.5" hidden="1">
      <c r="E10483" s="4" t="str">
        <v/>
      </c>
      <c r="F10483" s="102" t="str">
        <f ca="1">IFERROR(__xludf.DUMMYFUNCTION("IMPORTRANGE(H10483,""IDENTITAS UNIT!D9"")"),"#N/A")</f>
        <v>#N/A</v>
      </c>
      <c r="H10483" s="4" t="str">
        <v/>
      </c>
      <c r="I10483" s="4" t="str">
        <v/>
      </c>
    </row>
    <row r="10484" spans="5:9" ht="16.5" hidden="1">
      <c r="E10484" s="4" t="str">
        <v/>
      </c>
      <c r="F10484" s="102" t="str">
        <f ca="1">IFERROR(__xludf.DUMMYFUNCTION("IMPORTRANGE(H10484,""IDENTITAS UNIT!D9"")"),"#N/A")</f>
        <v>#N/A</v>
      </c>
      <c r="H10484" s="4" t="str">
        <v/>
      </c>
      <c r="I10484" s="4" t="str">
        <v/>
      </c>
    </row>
    <row r="10485" spans="5:9" ht="16.5" hidden="1">
      <c r="E10485" s="4" t="str">
        <v/>
      </c>
      <c r="F10485" s="102" t="str">
        <f ca="1">IFERROR(__xludf.DUMMYFUNCTION("IMPORTRANGE(H10485,""IDENTITAS UNIT!D9"")"),"#N/A")</f>
        <v>#N/A</v>
      </c>
      <c r="H10485" s="4" t="str">
        <v/>
      </c>
      <c r="I10485" s="4" t="str">
        <v/>
      </c>
    </row>
    <row r="10486" spans="5:9" ht="16.5" hidden="1">
      <c r="E10486" s="4" t="str">
        <v/>
      </c>
      <c r="F10486" s="102" t="str">
        <f ca="1">IFERROR(__xludf.DUMMYFUNCTION("IMPORTRANGE(H10486,""IDENTITAS UNIT!D9"")"),"#N/A")</f>
        <v>#N/A</v>
      </c>
      <c r="H10486" s="4" t="str">
        <v/>
      </c>
      <c r="I10486" s="4" t="str">
        <v/>
      </c>
    </row>
    <row r="10487" spans="5:9" ht="16.5" hidden="1">
      <c r="E10487" s="4" t="str">
        <v/>
      </c>
      <c r="F10487" s="102" t="str">
        <f ca="1">IFERROR(__xludf.DUMMYFUNCTION("IMPORTRANGE(H10487,""IDENTITAS UNIT!D9"")"),"#N/A")</f>
        <v>#N/A</v>
      </c>
      <c r="H10487" s="4" t="str">
        <v/>
      </c>
      <c r="I10487" s="4" t="str">
        <v/>
      </c>
    </row>
    <row r="10488" spans="5:9" ht="16.5" hidden="1">
      <c r="E10488" s="4" t="str">
        <v/>
      </c>
      <c r="F10488" s="102" t="str">
        <f ca="1">IFERROR(__xludf.DUMMYFUNCTION("IMPORTRANGE(H10488,""IDENTITAS UNIT!D9"")"),"#N/A")</f>
        <v>#N/A</v>
      </c>
      <c r="H10488" s="4" t="str">
        <v/>
      </c>
      <c r="I10488" s="4" t="str">
        <v/>
      </c>
    </row>
    <row r="10489" spans="5:9" ht="16.5" hidden="1">
      <c r="E10489" s="4" t="str">
        <v/>
      </c>
      <c r="F10489" s="102" t="str">
        <f ca="1">IFERROR(__xludf.DUMMYFUNCTION("IMPORTRANGE(H10489,""IDENTITAS UNIT!D9"")"),"#N/A")</f>
        <v>#N/A</v>
      </c>
      <c r="H10489" s="4" t="str">
        <v/>
      </c>
      <c r="I10489" s="4" t="str">
        <v/>
      </c>
    </row>
    <row r="10490" spans="5:9" ht="16.5" hidden="1">
      <c r="E10490" s="4" t="str">
        <v/>
      </c>
      <c r="F10490" s="102" t="str">
        <f ca="1">IFERROR(__xludf.DUMMYFUNCTION("IMPORTRANGE(H10490,""IDENTITAS UNIT!D9"")"),"#N/A")</f>
        <v>#N/A</v>
      </c>
      <c r="H10490" s="4" t="str">
        <v/>
      </c>
      <c r="I10490" s="4" t="str">
        <v/>
      </c>
    </row>
    <row r="10491" spans="5:9" ht="16.5" hidden="1">
      <c r="E10491" s="4" t="str">
        <v/>
      </c>
      <c r="F10491" s="102" t="str">
        <f ca="1">IFERROR(__xludf.DUMMYFUNCTION("IMPORTRANGE(H10491,""IDENTITAS UNIT!D9"")"),"#N/A")</f>
        <v>#N/A</v>
      </c>
      <c r="H10491" s="4" t="str">
        <v/>
      </c>
      <c r="I10491" s="4" t="str">
        <v/>
      </c>
    </row>
    <row r="10492" spans="5:9" ht="16.5" hidden="1">
      <c r="E10492" s="4" t="str">
        <v/>
      </c>
      <c r="F10492" s="102" t="str">
        <f ca="1">IFERROR(__xludf.DUMMYFUNCTION("IMPORTRANGE(H10492,""IDENTITAS UNIT!D9"")"),"#N/A")</f>
        <v>#N/A</v>
      </c>
      <c r="H10492" s="4" t="str">
        <v/>
      </c>
      <c r="I10492" s="4" t="str">
        <v/>
      </c>
    </row>
    <row r="10493" spans="5:9" ht="16.5" hidden="1">
      <c r="E10493" s="4" t="str">
        <v/>
      </c>
      <c r="F10493" s="102" t="str">
        <f ca="1">IFERROR(__xludf.DUMMYFUNCTION("IMPORTRANGE(H10493,""IDENTITAS UNIT!D9"")"),"#N/A")</f>
        <v>#N/A</v>
      </c>
      <c r="H10493" s="4" t="str">
        <v/>
      </c>
      <c r="I10493" s="4" t="str">
        <v/>
      </c>
    </row>
    <row r="10494" spans="5:9" ht="16.5" hidden="1">
      <c r="E10494" s="4" t="str">
        <v/>
      </c>
      <c r="F10494" s="102" t="str">
        <f ca="1">IFERROR(__xludf.DUMMYFUNCTION("IMPORTRANGE(H10494,""IDENTITAS UNIT!D9"")"),"#N/A")</f>
        <v>#N/A</v>
      </c>
      <c r="H10494" s="4" t="str">
        <v/>
      </c>
      <c r="I10494" s="4" t="str">
        <v/>
      </c>
    </row>
    <row r="10495" spans="5:9" ht="16.5" hidden="1">
      <c r="E10495" s="4" t="str">
        <v/>
      </c>
      <c r="F10495" s="102" t="str">
        <f ca="1">IFERROR(__xludf.DUMMYFUNCTION("IMPORTRANGE(H10495,""IDENTITAS UNIT!D9"")"),"#N/A")</f>
        <v>#N/A</v>
      </c>
      <c r="H10495" s="4" t="str">
        <v/>
      </c>
      <c r="I10495" s="4" t="str">
        <v/>
      </c>
    </row>
    <row r="10496" spans="5:9" ht="16.5" hidden="1">
      <c r="E10496" s="4" t="str">
        <v/>
      </c>
      <c r="F10496" s="102" t="str">
        <f ca="1">IFERROR(__xludf.DUMMYFUNCTION("IMPORTRANGE(H10496,""IDENTITAS UNIT!D9"")"),"#N/A")</f>
        <v>#N/A</v>
      </c>
      <c r="H10496" s="4" t="str">
        <v/>
      </c>
      <c r="I10496" s="4" t="str">
        <v/>
      </c>
    </row>
    <row r="10497" spans="5:9" ht="16.5" hidden="1">
      <c r="E10497" s="4" t="str">
        <v/>
      </c>
      <c r="F10497" s="102" t="str">
        <f ca="1">IFERROR(__xludf.DUMMYFUNCTION("IMPORTRANGE(H10497,""IDENTITAS UNIT!D9"")"),"#N/A")</f>
        <v>#N/A</v>
      </c>
      <c r="H10497" s="4" t="str">
        <v/>
      </c>
      <c r="I10497" s="4" t="str">
        <v/>
      </c>
    </row>
    <row r="10498" spans="5:9" ht="16.5" hidden="1">
      <c r="E10498" s="4" t="str">
        <v/>
      </c>
      <c r="F10498" s="102" t="str">
        <f ca="1">IFERROR(__xludf.DUMMYFUNCTION("IMPORTRANGE(H10498,""IDENTITAS UNIT!D9"")"),"#N/A")</f>
        <v>#N/A</v>
      </c>
      <c r="H10498" s="4" t="str">
        <v/>
      </c>
      <c r="I10498" s="4" t="str">
        <v/>
      </c>
    </row>
    <row r="10499" spans="5:9" ht="16.5" hidden="1">
      <c r="E10499" s="4" t="str">
        <v/>
      </c>
      <c r="F10499" s="102" t="str">
        <f ca="1">IFERROR(__xludf.DUMMYFUNCTION("IMPORTRANGE(H10499,""IDENTITAS UNIT!D9"")"),"#N/A")</f>
        <v>#N/A</v>
      </c>
      <c r="H10499" s="4" t="str">
        <v/>
      </c>
      <c r="I10499" s="4" t="str">
        <v/>
      </c>
    </row>
    <row r="10500" spans="5:9" ht="16.5" hidden="1">
      <c r="E10500" s="4" t="str">
        <v/>
      </c>
      <c r="F10500" s="102" t="str">
        <f ca="1">IFERROR(__xludf.DUMMYFUNCTION("IMPORTRANGE(H10500,""IDENTITAS UNIT!D9"")"),"#N/A")</f>
        <v>#N/A</v>
      </c>
      <c r="H10500" s="4" t="str">
        <v/>
      </c>
      <c r="I10500" s="4" t="str">
        <v/>
      </c>
    </row>
    <row r="10501" spans="5:9" ht="16.5" hidden="1">
      <c r="E10501" s="4" t="str">
        <v/>
      </c>
      <c r="F10501" s="102" t="str">
        <f ca="1">IFERROR(__xludf.DUMMYFUNCTION("IMPORTRANGE(H10501,""IDENTITAS UNIT!D9"")"),"#N/A")</f>
        <v>#N/A</v>
      </c>
      <c r="H10501" s="4" t="str">
        <v/>
      </c>
      <c r="I10501" s="4" t="str">
        <v/>
      </c>
    </row>
    <row r="10502" spans="5:9" ht="16.5" hidden="1">
      <c r="E10502" s="4" t="str">
        <v/>
      </c>
      <c r="F10502" s="102" t="str">
        <f ca="1">IFERROR(__xludf.DUMMYFUNCTION("IMPORTRANGE(H10502,""IDENTITAS UNIT!D9"")"),"#N/A")</f>
        <v>#N/A</v>
      </c>
      <c r="H10502" s="4" t="str">
        <v/>
      </c>
      <c r="I10502" s="4" t="str">
        <v/>
      </c>
    </row>
    <row r="10503" spans="5:9" ht="16.5" hidden="1">
      <c r="E10503" s="4" t="str">
        <v/>
      </c>
      <c r="F10503" s="102" t="str">
        <f ca="1">IFERROR(__xludf.DUMMYFUNCTION("IMPORTRANGE(H10503,""IDENTITAS UNIT!D9"")"),"#N/A")</f>
        <v>#N/A</v>
      </c>
      <c r="H10503" s="4" t="str">
        <v/>
      </c>
      <c r="I10503" s="4" t="str">
        <v/>
      </c>
    </row>
    <row r="10504" spans="5:9" ht="16.5" hidden="1">
      <c r="E10504" s="4" t="str">
        <v/>
      </c>
      <c r="F10504" s="102" t="str">
        <f ca="1">IFERROR(__xludf.DUMMYFUNCTION("IMPORTRANGE(H10504,""IDENTITAS UNIT!D9"")"),"#N/A")</f>
        <v>#N/A</v>
      </c>
      <c r="H10504" s="4" t="str">
        <v/>
      </c>
      <c r="I10504" s="4" t="str">
        <v/>
      </c>
    </row>
    <row r="10505" spans="5:9" ht="16.5" hidden="1">
      <c r="E10505" s="4" t="str">
        <v/>
      </c>
      <c r="F10505" s="102" t="str">
        <f ca="1">IFERROR(__xludf.DUMMYFUNCTION("IMPORTRANGE(H10505,""IDENTITAS UNIT!D9"")"),"#N/A")</f>
        <v>#N/A</v>
      </c>
      <c r="H10505" s="4" t="str">
        <v/>
      </c>
      <c r="I10505" s="4" t="str">
        <v/>
      </c>
    </row>
    <row r="10506" spans="5:9" ht="16.5" hidden="1">
      <c r="E10506" s="4" t="str">
        <v/>
      </c>
      <c r="F10506" s="102" t="str">
        <f ca="1">IFERROR(__xludf.DUMMYFUNCTION("IMPORTRANGE(H10506,""IDENTITAS UNIT!D9"")"),"#N/A")</f>
        <v>#N/A</v>
      </c>
      <c r="H10506" s="4" t="str">
        <v/>
      </c>
      <c r="I10506" s="4" t="str">
        <v/>
      </c>
    </row>
    <row r="10507" spans="5:9" ht="16.5" hidden="1">
      <c r="E10507" s="4" t="str">
        <v/>
      </c>
      <c r="F10507" s="102" t="str">
        <f ca="1">IFERROR(__xludf.DUMMYFUNCTION("IMPORTRANGE(H10507,""IDENTITAS UNIT!D9"")"),"#N/A")</f>
        <v>#N/A</v>
      </c>
      <c r="H10507" s="4" t="str">
        <v/>
      </c>
      <c r="I10507" s="4" t="str">
        <v/>
      </c>
    </row>
    <row r="10508" spans="5:9" ht="16.5" hidden="1">
      <c r="E10508" s="4" t="str">
        <v/>
      </c>
      <c r="F10508" s="102" t="str">
        <f ca="1">IFERROR(__xludf.DUMMYFUNCTION("IMPORTRANGE(H10508,""IDENTITAS UNIT!D9"")"),"#N/A")</f>
        <v>#N/A</v>
      </c>
      <c r="H10508" s="4" t="str">
        <v/>
      </c>
      <c r="I10508" s="4" t="str">
        <v/>
      </c>
    </row>
    <row r="10509" spans="5:9" ht="16.5" hidden="1">
      <c r="E10509" s="4" t="str">
        <v/>
      </c>
      <c r="F10509" s="102" t="str">
        <f ca="1">IFERROR(__xludf.DUMMYFUNCTION("IMPORTRANGE(H10509,""IDENTITAS UNIT!D9"")"),"#N/A")</f>
        <v>#N/A</v>
      </c>
      <c r="H10509" s="4" t="str">
        <v/>
      </c>
      <c r="I10509" s="4" t="str">
        <v/>
      </c>
    </row>
    <row r="10510" spans="5:9" ht="16.5" hidden="1">
      <c r="E10510" s="4" t="str">
        <v/>
      </c>
      <c r="F10510" s="102" t="str">
        <f ca="1">IFERROR(__xludf.DUMMYFUNCTION("IMPORTRANGE(H10510,""IDENTITAS UNIT!D9"")"),"#N/A")</f>
        <v>#N/A</v>
      </c>
      <c r="H10510" s="4" t="str">
        <v/>
      </c>
      <c r="I10510" s="4" t="str">
        <v/>
      </c>
    </row>
    <row r="10511" spans="5:9" ht="16.5" hidden="1">
      <c r="E10511" s="4" t="str">
        <v/>
      </c>
      <c r="F10511" s="102" t="str">
        <f ca="1">IFERROR(__xludf.DUMMYFUNCTION("IMPORTRANGE(H10511,""IDENTITAS UNIT!D9"")"),"#N/A")</f>
        <v>#N/A</v>
      </c>
      <c r="H10511" s="4" t="str">
        <v/>
      </c>
      <c r="I10511" s="4" t="str">
        <v/>
      </c>
    </row>
    <row r="10512" spans="5:9" ht="16.5" hidden="1">
      <c r="E10512" s="4" t="str">
        <v/>
      </c>
      <c r="F10512" s="102" t="str">
        <f ca="1">IFERROR(__xludf.DUMMYFUNCTION("IMPORTRANGE(H10512,""IDENTITAS UNIT!D9"")"),"#N/A")</f>
        <v>#N/A</v>
      </c>
      <c r="H10512" s="4" t="str">
        <v/>
      </c>
      <c r="I10512" s="4" t="str">
        <v/>
      </c>
    </row>
    <row r="10513" spans="5:9" ht="16.5" hidden="1">
      <c r="E10513" s="4" t="str">
        <v/>
      </c>
      <c r="F10513" s="102" t="str">
        <f ca="1">IFERROR(__xludf.DUMMYFUNCTION("IMPORTRANGE(H10513,""IDENTITAS UNIT!D9"")"),"#N/A")</f>
        <v>#N/A</v>
      </c>
      <c r="H10513" s="4" t="str">
        <v/>
      </c>
      <c r="I10513" s="4" t="str">
        <v/>
      </c>
    </row>
    <row r="10514" spans="5:9" ht="16.5" hidden="1">
      <c r="E10514" s="4" t="str">
        <v/>
      </c>
      <c r="F10514" s="102" t="str">
        <f ca="1">IFERROR(__xludf.DUMMYFUNCTION("IMPORTRANGE(H10514,""IDENTITAS UNIT!D9"")"),"#N/A")</f>
        <v>#N/A</v>
      </c>
      <c r="H10514" s="4" t="str">
        <v/>
      </c>
      <c r="I10514" s="4" t="str">
        <v/>
      </c>
    </row>
    <row r="10515" spans="5:9" ht="16.5" hidden="1">
      <c r="E10515" s="4" t="str">
        <v/>
      </c>
      <c r="F10515" s="102" t="str">
        <f ca="1">IFERROR(__xludf.DUMMYFUNCTION("IMPORTRANGE(H10515,""IDENTITAS UNIT!D9"")"),"#N/A")</f>
        <v>#N/A</v>
      </c>
      <c r="H10515" s="4" t="str">
        <v/>
      </c>
      <c r="I10515" s="4" t="str">
        <v/>
      </c>
    </row>
    <row r="10516" spans="5:9" ht="16.5" hidden="1">
      <c r="E10516" s="4" t="str">
        <v/>
      </c>
      <c r="F10516" s="102" t="str">
        <f ca="1">IFERROR(__xludf.DUMMYFUNCTION("IMPORTRANGE(H10516,""IDENTITAS UNIT!D9"")"),"#N/A")</f>
        <v>#N/A</v>
      </c>
      <c r="H10516" s="4" t="str">
        <v/>
      </c>
      <c r="I10516" s="4" t="str">
        <v/>
      </c>
    </row>
    <row r="10517" spans="5:9" ht="16.5" hidden="1">
      <c r="E10517" s="4" t="str">
        <v/>
      </c>
      <c r="F10517" s="102" t="str">
        <f ca="1">IFERROR(__xludf.DUMMYFUNCTION("IMPORTRANGE(H10517,""IDENTITAS UNIT!D9"")"),"#N/A")</f>
        <v>#N/A</v>
      </c>
      <c r="H10517" s="4" t="str">
        <v/>
      </c>
      <c r="I10517" s="4" t="str">
        <v/>
      </c>
    </row>
    <row r="10518" spans="5:9" ht="16.5" hidden="1">
      <c r="E10518" s="4" t="str">
        <v/>
      </c>
      <c r="F10518" s="102" t="str">
        <f ca="1">IFERROR(__xludf.DUMMYFUNCTION("IMPORTRANGE(H10518,""IDENTITAS UNIT!D9"")"),"#N/A")</f>
        <v>#N/A</v>
      </c>
      <c r="H10518" s="4" t="str">
        <v/>
      </c>
      <c r="I10518" s="4" t="str">
        <v/>
      </c>
    </row>
    <row r="10519" spans="5:9" ht="16.5" hidden="1">
      <c r="E10519" s="4" t="str">
        <v/>
      </c>
      <c r="F10519" s="102" t="str">
        <f ca="1">IFERROR(__xludf.DUMMYFUNCTION("IMPORTRANGE(H10519,""IDENTITAS UNIT!D9"")"),"#N/A")</f>
        <v>#N/A</v>
      </c>
      <c r="H10519" s="4" t="str">
        <v/>
      </c>
      <c r="I10519" s="4" t="str">
        <v/>
      </c>
    </row>
    <row r="10520" spans="5:9" ht="16.5" hidden="1">
      <c r="E10520" s="4" t="str">
        <v/>
      </c>
      <c r="F10520" s="102" t="str">
        <f ca="1">IFERROR(__xludf.DUMMYFUNCTION("IMPORTRANGE(H10520,""IDENTITAS UNIT!D9"")"),"#N/A")</f>
        <v>#N/A</v>
      </c>
      <c r="H10520" s="4" t="str">
        <v/>
      </c>
      <c r="I10520" s="4" t="str">
        <v/>
      </c>
    </row>
    <row r="10521" spans="5:9" ht="16.5" hidden="1">
      <c r="E10521" s="4" t="str">
        <v/>
      </c>
      <c r="F10521" s="102" t="str">
        <f ca="1">IFERROR(__xludf.DUMMYFUNCTION("IMPORTRANGE(H10521,""IDENTITAS UNIT!D9"")"),"#N/A")</f>
        <v>#N/A</v>
      </c>
      <c r="H10521" s="4" t="str">
        <v/>
      </c>
      <c r="I10521" s="4" t="str">
        <v/>
      </c>
    </row>
    <row r="10522" spans="5:9" ht="16.5" hidden="1">
      <c r="E10522" s="4" t="str">
        <v/>
      </c>
      <c r="F10522" s="102" t="str">
        <f ca="1">IFERROR(__xludf.DUMMYFUNCTION("IMPORTRANGE(H10522,""IDENTITAS UNIT!D9"")"),"#N/A")</f>
        <v>#N/A</v>
      </c>
      <c r="H10522" s="4" t="str">
        <v/>
      </c>
      <c r="I10522" s="4" t="str">
        <v/>
      </c>
    </row>
    <row r="10523" spans="5:9" ht="16.5" hidden="1">
      <c r="E10523" s="4" t="str">
        <v/>
      </c>
      <c r="F10523" s="102" t="str">
        <f ca="1">IFERROR(__xludf.DUMMYFUNCTION("IMPORTRANGE(H10523,""IDENTITAS UNIT!D9"")"),"#N/A")</f>
        <v>#N/A</v>
      </c>
      <c r="H10523" s="4" t="str">
        <v/>
      </c>
      <c r="I10523" s="4" t="str">
        <v/>
      </c>
    </row>
    <row r="10524" spans="5:9" ht="16.5" hidden="1">
      <c r="E10524" s="4" t="str">
        <v/>
      </c>
      <c r="F10524" s="102" t="str">
        <f ca="1">IFERROR(__xludf.DUMMYFUNCTION("IMPORTRANGE(H10524,""IDENTITAS UNIT!D9"")"),"#N/A")</f>
        <v>#N/A</v>
      </c>
      <c r="H10524" s="4" t="str">
        <v/>
      </c>
      <c r="I10524" s="4" t="str">
        <v/>
      </c>
    </row>
    <row r="10525" spans="5:9" ht="16.5" hidden="1">
      <c r="E10525" s="4" t="str">
        <v/>
      </c>
      <c r="F10525" s="102" t="str">
        <f ca="1">IFERROR(__xludf.DUMMYFUNCTION("IMPORTRANGE(H10525,""IDENTITAS UNIT!D9"")"),"#N/A")</f>
        <v>#N/A</v>
      </c>
      <c r="H10525" s="4" t="str">
        <v/>
      </c>
      <c r="I10525" s="4" t="str">
        <v/>
      </c>
    </row>
    <row r="10526" spans="5:9" ht="16.5" hidden="1">
      <c r="E10526" s="4" t="str">
        <v/>
      </c>
      <c r="F10526" s="102" t="str">
        <f ca="1">IFERROR(__xludf.DUMMYFUNCTION("IMPORTRANGE(H10526,""IDENTITAS UNIT!D9"")"),"#N/A")</f>
        <v>#N/A</v>
      </c>
      <c r="H10526" s="4" t="str">
        <v/>
      </c>
      <c r="I10526" s="4" t="str">
        <v/>
      </c>
    </row>
    <row r="10527" spans="5:9" ht="16.5" hidden="1">
      <c r="E10527" s="4" t="str">
        <v/>
      </c>
      <c r="F10527" s="102" t="str">
        <f ca="1">IFERROR(__xludf.DUMMYFUNCTION("IMPORTRANGE(H10527,""IDENTITAS UNIT!D9"")"),"#N/A")</f>
        <v>#N/A</v>
      </c>
      <c r="H10527" s="4" t="str">
        <v/>
      </c>
      <c r="I10527" s="4" t="str">
        <v/>
      </c>
    </row>
    <row r="10528" spans="5:9" ht="16.5" hidden="1">
      <c r="E10528" s="4" t="str">
        <v/>
      </c>
      <c r="F10528" s="102" t="str">
        <f ca="1">IFERROR(__xludf.DUMMYFUNCTION("IMPORTRANGE(H10528,""IDENTITAS UNIT!D9"")"),"#N/A")</f>
        <v>#N/A</v>
      </c>
      <c r="H10528" s="4" t="str">
        <v/>
      </c>
      <c r="I10528" s="4" t="str">
        <v/>
      </c>
    </row>
    <row r="10529" spans="5:9" ht="16.5" hidden="1">
      <c r="E10529" s="4" t="str">
        <v/>
      </c>
      <c r="F10529" s="102" t="str">
        <f ca="1">IFERROR(__xludf.DUMMYFUNCTION("IMPORTRANGE(H10529,""IDENTITAS UNIT!D9"")"),"#N/A")</f>
        <v>#N/A</v>
      </c>
      <c r="H10529" s="4" t="str">
        <v/>
      </c>
      <c r="I10529" s="4" t="str">
        <v/>
      </c>
    </row>
    <row r="10530" spans="5:9" ht="16.5" hidden="1">
      <c r="E10530" s="4" t="str">
        <v/>
      </c>
      <c r="F10530" s="102" t="str">
        <f ca="1">IFERROR(__xludf.DUMMYFUNCTION("IMPORTRANGE(H10530,""IDENTITAS UNIT!D9"")"),"#N/A")</f>
        <v>#N/A</v>
      </c>
      <c r="H10530" s="4" t="str">
        <v/>
      </c>
      <c r="I10530" s="4" t="str">
        <v/>
      </c>
    </row>
    <row r="10531" spans="5:9" ht="16.5" hidden="1">
      <c r="E10531" s="4" t="str">
        <v/>
      </c>
      <c r="F10531" s="102" t="str">
        <f ca="1">IFERROR(__xludf.DUMMYFUNCTION("IMPORTRANGE(H10531,""IDENTITAS UNIT!D9"")"),"#N/A")</f>
        <v>#N/A</v>
      </c>
      <c r="H10531" s="4" t="str">
        <v/>
      </c>
      <c r="I10531" s="4" t="str">
        <v/>
      </c>
    </row>
    <row r="10532" spans="5:9" ht="16.5" hidden="1">
      <c r="E10532" s="4" t="str">
        <v/>
      </c>
      <c r="F10532" s="102" t="str">
        <f ca="1">IFERROR(__xludf.DUMMYFUNCTION("IMPORTRANGE(H10532,""IDENTITAS UNIT!D9"")"),"#N/A")</f>
        <v>#N/A</v>
      </c>
      <c r="H10532" s="4" t="str">
        <v/>
      </c>
      <c r="I10532" s="4" t="str">
        <v/>
      </c>
    </row>
    <row r="10533" spans="5:9" ht="16.5" hidden="1">
      <c r="E10533" s="4" t="str">
        <v/>
      </c>
      <c r="F10533" s="102" t="str">
        <f ca="1">IFERROR(__xludf.DUMMYFUNCTION("IMPORTRANGE(H10533,""IDENTITAS UNIT!D9"")"),"#N/A")</f>
        <v>#N/A</v>
      </c>
      <c r="H10533" s="4" t="str">
        <v/>
      </c>
      <c r="I10533" s="4" t="str">
        <v/>
      </c>
    </row>
    <row r="10534" spans="5:9" ht="16.5" hidden="1">
      <c r="E10534" s="4" t="str">
        <v/>
      </c>
      <c r="F10534" s="102" t="str">
        <f ca="1">IFERROR(__xludf.DUMMYFUNCTION("IMPORTRANGE(H10534,""IDENTITAS UNIT!D9"")"),"#N/A")</f>
        <v>#N/A</v>
      </c>
      <c r="H10534" s="4" t="str">
        <v/>
      </c>
      <c r="I10534" s="4" t="str">
        <v/>
      </c>
    </row>
    <row r="10535" spans="5:9" ht="16.5" hidden="1">
      <c r="E10535" s="4" t="str">
        <v/>
      </c>
      <c r="F10535" s="102" t="str">
        <f ca="1">IFERROR(__xludf.DUMMYFUNCTION("IMPORTRANGE(H10535,""IDENTITAS UNIT!D9"")"),"#N/A")</f>
        <v>#N/A</v>
      </c>
      <c r="H10535" s="4" t="str">
        <v/>
      </c>
      <c r="I10535" s="4" t="str">
        <v/>
      </c>
    </row>
    <row r="10536" spans="5:9" ht="16.5" hidden="1">
      <c r="E10536" s="4" t="str">
        <v/>
      </c>
      <c r="F10536" s="102" t="str">
        <f ca="1">IFERROR(__xludf.DUMMYFUNCTION("IMPORTRANGE(H10536,""IDENTITAS UNIT!D9"")"),"#N/A")</f>
        <v>#N/A</v>
      </c>
      <c r="H10536" s="4" t="str">
        <v/>
      </c>
      <c r="I10536" s="4" t="str">
        <v/>
      </c>
    </row>
    <row r="10537" spans="5:9" ht="16.5" hidden="1">
      <c r="E10537" s="4" t="str">
        <v/>
      </c>
      <c r="F10537" s="102" t="str">
        <f ca="1">IFERROR(__xludf.DUMMYFUNCTION("IMPORTRANGE(H10537,""IDENTITAS UNIT!D9"")"),"#N/A")</f>
        <v>#N/A</v>
      </c>
      <c r="H10537" s="4" t="str">
        <v/>
      </c>
      <c r="I10537" s="4" t="str">
        <v/>
      </c>
    </row>
    <row r="10538" spans="5:9" ht="16.5" hidden="1">
      <c r="E10538" s="4" t="str">
        <v/>
      </c>
      <c r="F10538" s="102" t="str">
        <f ca="1">IFERROR(__xludf.DUMMYFUNCTION("IMPORTRANGE(H10538,""IDENTITAS UNIT!D9"")"),"#N/A")</f>
        <v>#N/A</v>
      </c>
      <c r="H10538" s="4" t="str">
        <v/>
      </c>
      <c r="I10538" s="4" t="str">
        <v/>
      </c>
    </row>
    <row r="10539" spans="5:9" ht="16.5" hidden="1">
      <c r="E10539" s="4" t="str">
        <v/>
      </c>
      <c r="F10539" s="102" t="str">
        <f ca="1">IFERROR(__xludf.DUMMYFUNCTION("IMPORTRANGE(H10539,""IDENTITAS UNIT!D9"")"),"#N/A")</f>
        <v>#N/A</v>
      </c>
      <c r="H10539" s="4" t="str">
        <v/>
      </c>
      <c r="I10539" s="4" t="str">
        <v/>
      </c>
    </row>
    <row r="10540" spans="5:9" ht="16.5" hidden="1">
      <c r="E10540" s="4" t="str">
        <v/>
      </c>
      <c r="F10540" s="102" t="str">
        <f ca="1">IFERROR(__xludf.DUMMYFUNCTION("IMPORTRANGE(H10540,""IDENTITAS UNIT!D9"")"),"#N/A")</f>
        <v>#N/A</v>
      </c>
      <c r="H10540" s="4" t="str">
        <v/>
      </c>
      <c r="I10540" s="4" t="str">
        <v/>
      </c>
    </row>
    <row r="10541" spans="5:9" ht="16.5" hidden="1">
      <c r="E10541" s="4" t="str">
        <v/>
      </c>
      <c r="F10541" s="102" t="str">
        <f ca="1">IFERROR(__xludf.DUMMYFUNCTION("IMPORTRANGE(H10541,""IDENTITAS UNIT!D9"")"),"#N/A")</f>
        <v>#N/A</v>
      </c>
      <c r="H10541" s="4" t="str">
        <v/>
      </c>
      <c r="I10541" s="4" t="str">
        <v/>
      </c>
    </row>
    <row r="10542" spans="5:9" ht="16.5" hidden="1">
      <c r="E10542" s="4" t="str">
        <v/>
      </c>
      <c r="F10542" s="102" t="str">
        <f ca="1">IFERROR(__xludf.DUMMYFUNCTION("IMPORTRANGE(H10542,""IDENTITAS UNIT!D9"")"),"#N/A")</f>
        <v>#N/A</v>
      </c>
      <c r="H10542" s="4" t="str">
        <v/>
      </c>
      <c r="I10542" s="4" t="str">
        <v/>
      </c>
    </row>
    <row r="10543" spans="5:9" ht="16.5" hidden="1">
      <c r="E10543" s="4" t="str">
        <v/>
      </c>
      <c r="F10543" s="102" t="str">
        <f ca="1">IFERROR(__xludf.DUMMYFUNCTION("IMPORTRANGE(H10543,""IDENTITAS UNIT!D9"")"),"#N/A")</f>
        <v>#N/A</v>
      </c>
      <c r="H10543" s="4" t="str">
        <v/>
      </c>
      <c r="I10543" s="4" t="str">
        <v/>
      </c>
    </row>
    <row r="10544" spans="5:9" ht="16.5" hidden="1">
      <c r="E10544" s="4" t="str">
        <v/>
      </c>
      <c r="F10544" s="102" t="str">
        <f ca="1">IFERROR(__xludf.DUMMYFUNCTION("IMPORTRANGE(H10544,""IDENTITAS UNIT!D9"")"),"#N/A")</f>
        <v>#N/A</v>
      </c>
      <c r="H10544" s="4" t="str">
        <v/>
      </c>
      <c r="I10544" s="4" t="str">
        <v/>
      </c>
    </row>
    <row r="10545" spans="5:9" ht="16.5" hidden="1">
      <c r="E10545" s="4" t="str">
        <v/>
      </c>
      <c r="F10545" s="102" t="str">
        <f ca="1">IFERROR(__xludf.DUMMYFUNCTION("IMPORTRANGE(H10545,""IDENTITAS UNIT!D9"")"),"#N/A")</f>
        <v>#N/A</v>
      </c>
      <c r="H10545" s="4" t="str">
        <v/>
      </c>
      <c r="I10545" s="4" t="str">
        <v/>
      </c>
    </row>
    <row r="10546" spans="5:9" ht="16.5" hidden="1">
      <c r="E10546" s="4" t="str">
        <v/>
      </c>
      <c r="F10546" s="102" t="str">
        <f ca="1">IFERROR(__xludf.DUMMYFUNCTION("IMPORTRANGE(H10546,""IDENTITAS UNIT!D9"")"),"#N/A")</f>
        <v>#N/A</v>
      </c>
      <c r="H10546" s="4" t="str">
        <v/>
      </c>
      <c r="I10546" s="4" t="str">
        <v/>
      </c>
    </row>
    <row r="10547" spans="5:9" ht="16.5" hidden="1">
      <c r="E10547" s="4" t="str">
        <v/>
      </c>
      <c r="F10547" s="102" t="str">
        <f ca="1">IFERROR(__xludf.DUMMYFUNCTION("IMPORTRANGE(H10547,""IDENTITAS UNIT!D9"")"),"#N/A")</f>
        <v>#N/A</v>
      </c>
      <c r="H10547" s="4" t="str">
        <v/>
      </c>
      <c r="I10547" s="4" t="str">
        <v/>
      </c>
    </row>
    <row r="10548" spans="5:9" ht="16.5" hidden="1">
      <c r="E10548" s="4" t="str">
        <v/>
      </c>
      <c r="F10548" s="102" t="str">
        <f ca="1">IFERROR(__xludf.DUMMYFUNCTION("IMPORTRANGE(H10548,""IDENTITAS UNIT!D9"")"),"#N/A")</f>
        <v>#N/A</v>
      </c>
      <c r="H10548" s="4" t="str">
        <v/>
      </c>
      <c r="I10548" s="4" t="str">
        <v/>
      </c>
    </row>
    <row r="10549" spans="5:9" ht="16.5" hidden="1">
      <c r="E10549" s="4" t="str">
        <v/>
      </c>
      <c r="F10549" s="102" t="str">
        <f ca="1">IFERROR(__xludf.DUMMYFUNCTION("IMPORTRANGE(H10549,""IDENTITAS UNIT!D9"")"),"#N/A")</f>
        <v>#N/A</v>
      </c>
      <c r="H10549" s="4" t="str">
        <v/>
      </c>
      <c r="I10549" s="4" t="str">
        <v/>
      </c>
    </row>
    <row r="10550" spans="5:9" ht="16.5" hidden="1">
      <c r="E10550" s="4" t="str">
        <v/>
      </c>
      <c r="F10550" s="102" t="str">
        <f ca="1">IFERROR(__xludf.DUMMYFUNCTION("IMPORTRANGE(H10550,""IDENTITAS UNIT!D9"")"),"#N/A")</f>
        <v>#N/A</v>
      </c>
      <c r="H10550" s="4" t="str">
        <v/>
      </c>
      <c r="I10550" s="4" t="str">
        <v/>
      </c>
    </row>
    <row r="10551" spans="5:9" ht="16.5" hidden="1">
      <c r="E10551" s="4" t="str">
        <v/>
      </c>
      <c r="F10551" s="102" t="str">
        <f ca="1">IFERROR(__xludf.DUMMYFUNCTION("IMPORTRANGE(H10551,""IDENTITAS UNIT!D9"")"),"#N/A")</f>
        <v>#N/A</v>
      </c>
      <c r="H10551" s="4" t="str">
        <v/>
      </c>
      <c r="I10551" s="4" t="str">
        <v/>
      </c>
    </row>
    <row r="10552" spans="5:9" ht="16.5" hidden="1">
      <c r="E10552" s="4" t="str">
        <v/>
      </c>
      <c r="F10552" s="102" t="str">
        <f ca="1">IFERROR(__xludf.DUMMYFUNCTION("IMPORTRANGE(H10552,""IDENTITAS UNIT!D9"")"),"#N/A")</f>
        <v>#N/A</v>
      </c>
      <c r="H10552" s="4" t="str">
        <v/>
      </c>
      <c r="I10552" s="4" t="str">
        <v/>
      </c>
    </row>
    <row r="10553" spans="5:9" ht="16.5" hidden="1">
      <c r="E10553" s="4" t="str">
        <v/>
      </c>
      <c r="F10553" s="102" t="str">
        <f ca="1">IFERROR(__xludf.DUMMYFUNCTION("IMPORTRANGE(H10553,""IDENTITAS UNIT!D9"")"),"#N/A")</f>
        <v>#N/A</v>
      </c>
      <c r="H10553" s="4" t="str">
        <v/>
      </c>
      <c r="I10553" s="4" t="str">
        <v/>
      </c>
    </row>
    <row r="10554" spans="5:9" ht="16.5" hidden="1">
      <c r="E10554" s="4" t="str">
        <v/>
      </c>
      <c r="F10554" s="102" t="str">
        <f ca="1">IFERROR(__xludf.DUMMYFUNCTION("IMPORTRANGE(H10554,""IDENTITAS UNIT!D9"")"),"#N/A")</f>
        <v>#N/A</v>
      </c>
      <c r="H10554" s="4" t="str">
        <v/>
      </c>
      <c r="I10554" s="4" t="str">
        <v/>
      </c>
    </row>
    <row r="10555" spans="5:9" ht="16.5" hidden="1">
      <c r="E10555" s="4" t="str">
        <v/>
      </c>
      <c r="F10555" s="102" t="str">
        <f ca="1">IFERROR(__xludf.DUMMYFUNCTION("IMPORTRANGE(H10555,""IDENTITAS UNIT!D9"")"),"#N/A")</f>
        <v>#N/A</v>
      </c>
      <c r="H10555" s="4" t="str">
        <v/>
      </c>
      <c r="I10555" s="4" t="str">
        <v/>
      </c>
    </row>
    <row r="10556" spans="5:9" ht="16.5" hidden="1">
      <c r="E10556" s="4" t="str">
        <v/>
      </c>
      <c r="F10556" s="102" t="str">
        <f ca="1">IFERROR(__xludf.DUMMYFUNCTION("IMPORTRANGE(H10556,""IDENTITAS UNIT!D9"")"),"#N/A")</f>
        <v>#N/A</v>
      </c>
      <c r="H10556" s="4" t="str">
        <v/>
      </c>
      <c r="I10556" s="4" t="str">
        <v/>
      </c>
    </row>
    <row r="10557" spans="5:9" ht="16.5" hidden="1">
      <c r="E10557" s="4" t="str">
        <v/>
      </c>
      <c r="F10557" s="102" t="str">
        <f ca="1">IFERROR(__xludf.DUMMYFUNCTION("IMPORTRANGE(H10557,""IDENTITAS UNIT!D9"")"),"#N/A")</f>
        <v>#N/A</v>
      </c>
      <c r="H10557" s="4" t="str">
        <v/>
      </c>
      <c r="I10557" s="4" t="str">
        <v/>
      </c>
    </row>
    <row r="10558" spans="5:9" ht="16.5" hidden="1">
      <c r="E10558" s="4" t="str">
        <v/>
      </c>
      <c r="F10558" s="102" t="str">
        <f ca="1">IFERROR(__xludf.DUMMYFUNCTION("IMPORTRANGE(H10558,""IDENTITAS UNIT!D9"")"),"#N/A")</f>
        <v>#N/A</v>
      </c>
      <c r="H10558" s="4" t="str">
        <v/>
      </c>
      <c r="I10558" s="4" t="str">
        <v/>
      </c>
    </row>
    <row r="10559" spans="5:9" ht="16.5" hidden="1">
      <c r="E10559" s="4" t="str">
        <v/>
      </c>
      <c r="F10559" s="102" t="str">
        <f ca="1">IFERROR(__xludf.DUMMYFUNCTION("IMPORTRANGE(H10559,""IDENTITAS UNIT!D9"")"),"#N/A")</f>
        <v>#N/A</v>
      </c>
      <c r="H10559" s="4" t="str">
        <v/>
      </c>
      <c r="I10559" s="4" t="str">
        <v/>
      </c>
    </row>
    <row r="10560" spans="5:9" ht="16.5" hidden="1">
      <c r="E10560" s="4" t="str">
        <v/>
      </c>
      <c r="F10560" s="102" t="str">
        <f ca="1">IFERROR(__xludf.DUMMYFUNCTION("IMPORTRANGE(H10560,""IDENTITAS UNIT!D9"")"),"#N/A")</f>
        <v>#N/A</v>
      </c>
      <c r="H10560" s="4" t="str">
        <v/>
      </c>
      <c r="I10560" s="4" t="str">
        <v/>
      </c>
    </row>
    <row r="10561" spans="5:9" ht="16.5" hidden="1">
      <c r="E10561" s="4" t="str">
        <v/>
      </c>
      <c r="F10561" s="102" t="str">
        <f ca="1">IFERROR(__xludf.DUMMYFUNCTION("IMPORTRANGE(H10561,""IDENTITAS UNIT!D9"")"),"#N/A")</f>
        <v>#N/A</v>
      </c>
      <c r="H10561" s="4" t="str">
        <v/>
      </c>
      <c r="I10561" s="4" t="str">
        <v/>
      </c>
    </row>
    <row r="10562" spans="5:9" ht="16.5" hidden="1">
      <c r="E10562" s="4" t="str">
        <v/>
      </c>
      <c r="F10562" s="102" t="str">
        <f ca="1">IFERROR(__xludf.DUMMYFUNCTION("IMPORTRANGE(H10562,""IDENTITAS UNIT!D9"")"),"#N/A")</f>
        <v>#N/A</v>
      </c>
      <c r="H10562" s="4" t="str">
        <v/>
      </c>
      <c r="I10562" s="4" t="str">
        <v/>
      </c>
    </row>
    <row r="10563" spans="5:9" ht="16.5" hidden="1">
      <c r="E10563" s="4" t="str">
        <v/>
      </c>
      <c r="F10563" s="102" t="str">
        <f ca="1">IFERROR(__xludf.DUMMYFUNCTION("IMPORTRANGE(H10563,""IDENTITAS UNIT!D9"")"),"#N/A")</f>
        <v>#N/A</v>
      </c>
      <c r="H10563" s="4" t="str">
        <v/>
      </c>
      <c r="I10563" s="4" t="str">
        <v/>
      </c>
    </row>
    <row r="10564" spans="5:9" ht="16.5" hidden="1">
      <c r="E10564" s="4" t="str">
        <v/>
      </c>
      <c r="F10564" s="102" t="str">
        <f ca="1">IFERROR(__xludf.DUMMYFUNCTION("IMPORTRANGE(H10564,""IDENTITAS UNIT!D9"")"),"#N/A")</f>
        <v>#N/A</v>
      </c>
      <c r="H10564" s="4" t="str">
        <v/>
      </c>
      <c r="I10564" s="4" t="str">
        <v/>
      </c>
    </row>
    <row r="10565" spans="5:9" ht="16.5" hidden="1">
      <c r="E10565" s="4" t="str">
        <v/>
      </c>
      <c r="F10565" s="102" t="str">
        <f ca="1">IFERROR(__xludf.DUMMYFUNCTION("IMPORTRANGE(H10565,""IDENTITAS UNIT!D9"")"),"#N/A")</f>
        <v>#N/A</v>
      </c>
      <c r="H10565" s="4" t="str">
        <v/>
      </c>
      <c r="I10565" s="4" t="str">
        <v/>
      </c>
    </row>
    <row r="10566" spans="5:9" ht="16.5" hidden="1">
      <c r="E10566" s="4" t="str">
        <v/>
      </c>
      <c r="F10566" s="102" t="str">
        <f ca="1">IFERROR(__xludf.DUMMYFUNCTION("IMPORTRANGE(H10566,""IDENTITAS UNIT!D9"")"),"#N/A")</f>
        <v>#N/A</v>
      </c>
      <c r="H10566" s="4" t="str">
        <v/>
      </c>
      <c r="I10566" s="4" t="str">
        <v/>
      </c>
    </row>
    <row r="10567" spans="5:9" ht="16.5" hidden="1">
      <c r="E10567" s="4" t="str">
        <v/>
      </c>
      <c r="F10567" s="102" t="str">
        <f ca="1">IFERROR(__xludf.DUMMYFUNCTION("IMPORTRANGE(H10567,""IDENTITAS UNIT!D9"")"),"#N/A")</f>
        <v>#N/A</v>
      </c>
      <c r="H10567" s="4" t="str">
        <v/>
      </c>
      <c r="I10567" s="4" t="str">
        <v/>
      </c>
    </row>
    <row r="10568" spans="5:9" ht="16.5" hidden="1">
      <c r="E10568" s="4" t="str">
        <v/>
      </c>
      <c r="F10568" s="102" t="str">
        <f ca="1">IFERROR(__xludf.DUMMYFUNCTION("IMPORTRANGE(H10568,""IDENTITAS UNIT!D9"")"),"#N/A")</f>
        <v>#N/A</v>
      </c>
      <c r="H10568" s="4" t="str">
        <v/>
      </c>
      <c r="I10568" s="4" t="str">
        <v/>
      </c>
    </row>
    <row r="10569" spans="5:9" ht="16.5" hidden="1">
      <c r="E10569" s="4" t="str">
        <v/>
      </c>
      <c r="F10569" s="102" t="str">
        <f ca="1">IFERROR(__xludf.DUMMYFUNCTION("IMPORTRANGE(H10569,""IDENTITAS UNIT!D9"")"),"#N/A")</f>
        <v>#N/A</v>
      </c>
      <c r="H10569" s="4" t="str">
        <v/>
      </c>
      <c r="I10569" s="4" t="str">
        <v/>
      </c>
    </row>
    <row r="10570" spans="5:9" ht="16.5" hidden="1">
      <c r="E10570" s="4" t="str">
        <v/>
      </c>
      <c r="F10570" s="102" t="str">
        <f ca="1">IFERROR(__xludf.DUMMYFUNCTION("IMPORTRANGE(H10570,""IDENTITAS UNIT!D9"")"),"#N/A")</f>
        <v>#N/A</v>
      </c>
      <c r="H10570" s="4" t="str">
        <v/>
      </c>
      <c r="I10570" s="4" t="str">
        <v/>
      </c>
    </row>
    <row r="10571" spans="5:9" ht="16.5" hidden="1">
      <c r="E10571" s="4" t="str">
        <v/>
      </c>
      <c r="F10571" s="102" t="str">
        <f ca="1">IFERROR(__xludf.DUMMYFUNCTION("IMPORTRANGE(H10571,""IDENTITAS UNIT!D9"")"),"#N/A")</f>
        <v>#N/A</v>
      </c>
      <c r="H10571" s="4" t="str">
        <v/>
      </c>
      <c r="I10571" s="4" t="str">
        <v/>
      </c>
    </row>
    <row r="10572" spans="5:9" ht="16.5" hidden="1">
      <c r="E10572" s="4" t="str">
        <v/>
      </c>
      <c r="F10572" s="102" t="str">
        <f ca="1">IFERROR(__xludf.DUMMYFUNCTION("IMPORTRANGE(H10572,""IDENTITAS UNIT!D9"")"),"#N/A")</f>
        <v>#N/A</v>
      </c>
      <c r="H10572" s="4" t="str">
        <v/>
      </c>
      <c r="I10572" s="4" t="str">
        <v/>
      </c>
    </row>
    <row r="10573" spans="5:9" ht="16.5" hidden="1">
      <c r="E10573" s="4" t="str">
        <v/>
      </c>
      <c r="F10573" s="102" t="str">
        <f ca="1">IFERROR(__xludf.DUMMYFUNCTION("IMPORTRANGE(H10573,""IDENTITAS UNIT!D9"")"),"#N/A")</f>
        <v>#N/A</v>
      </c>
      <c r="H10573" s="4" t="str">
        <v/>
      </c>
      <c r="I10573" s="4" t="str">
        <v/>
      </c>
    </row>
    <row r="10574" spans="5:9" ht="16.5" hidden="1">
      <c r="E10574" s="4" t="str">
        <v/>
      </c>
      <c r="F10574" s="102" t="str">
        <f ca="1">IFERROR(__xludf.DUMMYFUNCTION("IMPORTRANGE(H10574,""IDENTITAS UNIT!D9"")"),"#N/A")</f>
        <v>#N/A</v>
      </c>
      <c r="H10574" s="4" t="str">
        <v/>
      </c>
      <c r="I10574" s="4" t="str">
        <v/>
      </c>
    </row>
    <row r="10575" spans="5:9" ht="16.5" hidden="1">
      <c r="E10575" s="4" t="str">
        <v/>
      </c>
      <c r="F10575" s="102" t="str">
        <f ca="1">IFERROR(__xludf.DUMMYFUNCTION("IMPORTRANGE(H10575,""IDENTITAS UNIT!D9"")"),"#N/A")</f>
        <v>#N/A</v>
      </c>
      <c r="H10575" s="4" t="str">
        <v/>
      </c>
      <c r="I10575" s="4" t="str">
        <v/>
      </c>
    </row>
    <row r="10576" spans="5:9" ht="16.5" hidden="1">
      <c r="E10576" s="4" t="str">
        <v/>
      </c>
      <c r="F10576" s="102" t="str">
        <f ca="1">IFERROR(__xludf.DUMMYFUNCTION("IMPORTRANGE(H10576,""IDENTITAS UNIT!D9"")"),"#N/A")</f>
        <v>#N/A</v>
      </c>
      <c r="H10576" s="4" t="str">
        <v/>
      </c>
      <c r="I10576" s="4" t="str">
        <v/>
      </c>
    </row>
    <row r="10577" spans="5:9" ht="16.5" hidden="1">
      <c r="E10577" s="4" t="str">
        <v/>
      </c>
      <c r="F10577" s="102" t="str">
        <f ca="1">IFERROR(__xludf.DUMMYFUNCTION("IMPORTRANGE(H10577,""IDENTITAS UNIT!D9"")"),"#N/A")</f>
        <v>#N/A</v>
      </c>
      <c r="H10577" s="4" t="str">
        <v/>
      </c>
      <c r="I10577" s="4" t="str">
        <v/>
      </c>
    </row>
    <row r="10578" spans="5:9" ht="16.5" hidden="1">
      <c r="E10578" s="4" t="str">
        <v/>
      </c>
      <c r="F10578" s="102" t="str">
        <f ca="1">IFERROR(__xludf.DUMMYFUNCTION("IMPORTRANGE(H10578,""IDENTITAS UNIT!D9"")"),"#N/A")</f>
        <v>#N/A</v>
      </c>
      <c r="H10578" s="4" t="str">
        <v/>
      </c>
      <c r="I10578" s="4" t="str">
        <v/>
      </c>
    </row>
    <row r="10579" spans="5:9" ht="16.5" hidden="1">
      <c r="E10579" s="4" t="str">
        <v/>
      </c>
      <c r="F10579" s="102" t="str">
        <f ca="1">IFERROR(__xludf.DUMMYFUNCTION("IMPORTRANGE(H10579,""IDENTITAS UNIT!D9"")"),"#N/A")</f>
        <v>#N/A</v>
      </c>
      <c r="H10579" s="4" t="str">
        <v/>
      </c>
      <c r="I10579" s="4" t="str">
        <v/>
      </c>
    </row>
    <row r="10580" spans="5:9" ht="16.5" hidden="1">
      <c r="E10580" s="4" t="str">
        <v/>
      </c>
      <c r="F10580" s="102" t="str">
        <f ca="1">IFERROR(__xludf.DUMMYFUNCTION("IMPORTRANGE(H10580,""IDENTITAS UNIT!D9"")"),"#N/A")</f>
        <v>#N/A</v>
      </c>
      <c r="H10580" s="4" t="str">
        <v/>
      </c>
      <c r="I10580" s="4" t="str">
        <v/>
      </c>
    </row>
    <row r="10581" spans="5:9" ht="16.5" hidden="1">
      <c r="E10581" s="4" t="str">
        <v/>
      </c>
      <c r="F10581" s="102" t="str">
        <f ca="1">IFERROR(__xludf.DUMMYFUNCTION("IMPORTRANGE(H10581,""IDENTITAS UNIT!D9"")"),"#N/A")</f>
        <v>#N/A</v>
      </c>
      <c r="H10581" s="4" t="str">
        <v/>
      </c>
      <c r="I10581" s="4" t="str">
        <v/>
      </c>
    </row>
    <row r="10582" spans="5:9" ht="16.5" hidden="1">
      <c r="E10582" s="4" t="str">
        <v/>
      </c>
      <c r="F10582" s="102" t="str">
        <f ca="1">IFERROR(__xludf.DUMMYFUNCTION("IMPORTRANGE(H10582,""IDENTITAS UNIT!D9"")"),"#N/A")</f>
        <v>#N/A</v>
      </c>
      <c r="H10582" s="4" t="str">
        <v/>
      </c>
      <c r="I10582" s="4" t="str">
        <v/>
      </c>
    </row>
    <row r="10583" spans="5:9" ht="16.5" hidden="1">
      <c r="E10583" s="4" t="str">
        <v/>
      </c>
      <c r="F10583" s="102" t="str">
        <f ca="1">IFERROR(__xludf.DUMMYFUNCTION("IMPORTRANGE(H10583,""IDENTITAS UNIT!D9"")"),"#N/A")</f>
        <v>#N/A</v>
      </c>
      <c r="H10583" s="4" t="str">
        <v/>
      </c>
      <c r="I10583" s="4" t="str">
        <v/>
      </c>
    </row>
    <row r="10584" spans="5:9" ht="16.5" hidden="1">
      <c r="E10584" s="4" t="str">
        <v/>
      </c>
      <c r="F10584" s="102" t="str">
        <f ca="1">IFERROR(__xludf.DUMMYFUNCTION("IMPORTRANGE(H10584,""IDENTITAS UNIT!D9"")"),"#N/A")</f>
        <v>#N/A</v>
      </c>
      <c r="H10584" s="4" t="str">
        <v/>
      </c>
      <c r="I10584" s="4" t="str">
        <v/>
      </c>
    </row>
    <row r="10585" spans="5:9" ht="16.5" hidden="1">
      <c r="E10585" s="4" t="str">
        <v/>
      </c>
      <c r="F10585" s="102" t="str">
        <f ca="1">IFERROR(__xludf.DUMMYFUNCTION("IMPORTRANGE(H10585,""IDENTITAS UNIT!D9"")"),"#N/A")</f>
        <v>#N/A</v>
      </c>
      <c r="H10585" s="4" t="str">
        <v/>
      </c>
      <c r="I10585" s="4" t="str">
        <v/>
      </c>
    </row>
    <row r="10586" spans="5:9" ht="16.5" hidden="1">
      <c r="E10586" s="4" t="str">
        <v/>
      </c>
      <c r="F10586" s="102" t="str">
        <f ca="1">IFERROR(__xludf.DUMMYFUNCTION("IMPORTRANGE(H10586,""IDENTITAS UNIT!D9"")"),"#N/A")</f>
        <v>#N/A</v>
      </c>
      <c r="H10586" s="4" t="str">
        <v/>
      </c>
      <c r="I10586" s="4" t="str">
        <v/>
      </c>
    </row>
    <row r="10587" spans="5:9" ht="16.5" hidden="1">
      <c r="E10587" s="4" t="str">
        <v/>
      </c>
      <c r="F10587" s="102" t="str">
        <f ca="1">IFERROR(__xludf.DUMMYFUNCTION("IMPORTRANGE(H10587,""IDENTITAS UNIT!D9"")"),"#N/A")</f>
        <v>#N/A</v>
      </c>
      <c r="H10587" s="4" t="str">
        <v/>
      </c>
      <c r="I10587" s="4" t="str">
        <v/>
      </c>
    </row>
    <row r="10588" spans="5:9" ht="16.5" hidden="1">
      <c r="E10588" s="4" t="str">
        <v/>
      </c>
      <c r="F10588" s="102" t="str">
        <f ca="1">IFERROR(__xludf.DUMMYFUNCTION("IMPORTRANGE(H10588,""IDENTITAS UNIT!D9"")"),"#N/A")</f>
        <v>#N/A</v>
      </c>
      <c r="H10588" s="4" t="str">
        <v/>
      </c>
      <c r="I10588" s="4" t="str">
        <v/>
      </c>
    </row>
    <row r="10589" spans="5:9" ht="16.5" hidden="1">
      <c r="E10589" s="4" t="str">
        <v/>
      </c>
      <c r="F10589" s="102" t="str">
        <f ca="1">IFERROR(__xludf.DUMMYFUNCTION("IMPORTRANGE(H10589,""IDENTITAS UNIT!D9"")"),"#N/A")</f>
        <v>#N/A</v>
      </c>
      <c r="H10589" s="4" t="str">
        <v/>
      </c>
      <c r="I10589" s="4" t="str">
        <v/>
      </c>
    </row>
    <row r="10590" spans="5:9" ht="16.5" hidden="1">
      <c r="E10590" s="4" t="str">
        <v/>
      </c>
      <c r="F10590" s="102" t="str">
        <f ca="1">IFERROR(__xludf.DUMMYFUNCTION("IMPORTRANGE(H10590,""IDENTITAS UNIT!D9"")"),"#N/A")</f>
        <v>#N/A</v>
      </c>
      <c r="H10590" s="4" t="str">
        <v/>
      </c>
      <c r="I10590" s="4" t="str">
        <v/>
      </c>
    </row>
    <row r="10591" spans="5:9" ht="16.5" hidden="1">
      <c r="E10591" s="4" t="str">
        <v/>
      </c>
      <c r="F10591" s="102" t="str">
        <f ca="1">IFERROR(__xludf.DUMMYFUNCTION("IMPORTRANGE(H10591,""IDENTITAS UNIT!D9"")"),"#N/A")</f>
        <v>#N/A</v>
      </c>
      <c r="H10591" s="4" t="str">
        <v/>
      </c>
      <c r="I10591" s="4" t="str">
        <v/>
      </c>
    </row>
    <row r="10592" spans="5:9" ht="16.5" hidden="1">
      <c r="E10592" s="4" t="str">
        <v/>
      </c>
      <c r="F10592" s="102" t="str">
        <f ca="1">IFERROR(__xludf.DUMMYFUNCTION("IMPORTRANGE(H10592,""IDENTITAS UNIT!D9"")"),"#N/A")</f>
        <v>#N/A</v>
      </c>
      <c r="H10592" s="4" t="str">
        <v/>
      </c>
      <c r="I10592" s="4" t="str">
        <v/>
      </c>
    </row>
    <row r="10593" spans="5:9" ht="16.5" hidden="1">
      <c r="E10593" s="4" t="str">
        <v/>
      </c>
      <c r="F10593" s="102" t="str">
        <f ca="1">IFERROR(__xludf.DUMMYFUNCTION("IMPORTRANGE(H10593,""IDENTITAS UNIT!D9"")"),"#N/A")</f>
        <v>#N/A</v>
      </c>
      <c r="H10593" s="4" t="str">
        <v/>
      </c>
      <c r="I10593" s="4" t="str">
        <v/>
      </c>
    </row>
    <row r="10594" spans="5:9" ht="16.5" hidden="1">
      <c r="E10594" s="4" t="str">
        <v/>
      </c>
      <c r="F10594" s="102" t="str">
        <f ca="1">IFERROR(__xludf.DUMMYFUNCTION("IMPORTRANGE(H10594,""IDENTITAS UNIT!D9"")"),"#N/A")</f>
        <v>#N/A</v>
      </c>
      <c r="H10594" s="4" t="str">
        <v/>
      </c>
      <c r="I10594" s="4" t="str">
        <v/>
      </c>
    </row>
    <row r="10595" spans="5:9" ht="16.5" hidden="1">
      <c r="E10595" s="4" t="str">
        <v/>
      </c>
      <c r="F10595" s="102" t="str">
        <f ca="1">IFERROR(__xludf.DUMMYFUNCTION("IMPORTRANGE(H10595,""IDENTITAS UNIT!D9"")"),"#N/A")</f>
        <v>#N/A</v>
      </c>
      <c r="H10595" s="4" t="str">
        <v/>
      </c>
      <c r="I10595" s="4" t="str">
        <v/>
      </c>
    </row>
    <row r="10596" spans="5:9" ht="16.5" hidden="1">
      <c r="E10596" s="4" t="str">
        <v/>
      </c>
      <c r="F10596" s="102" t="str">
        <f ca="1">IFERROR(__xludf.DUMMYFUNCTION("IMPORTRANGE(H10596,""IDENTITAS UNIT!D9"")"),"#N/A")</f>
        <v>#N/A</v>
      </c>
      <c r="H10596" s="4" t="str">
        <v/>
      </c>
      <c r="I10596" s="4" t="str">
        <v/>
      </c>
    </row>
    <row r="10597" spans="5:9" ht="16.5" hidden="1">
      <c r="E10597" s="4" t="str">
        <v/>
      </c>
      <c r="F10597" s="102" t="str">
        <f ca="1">IFERROR(__xludf.DUMMYFUNCTION("IMPORTRANGE(H10597,""IDENTITAS UNIT!D9"")"),"#N/A")</f>
        <v>#N/A</v>
      </c>
      <c r="H10597" s="4" t="str">
        <v/>
      </c>
      <c r="I10597" s="4" t="str">
        <v/>
      </c>
    </row>
    <row r="10598" spans="5:9" ht="16.5" hidden="1">
      <c r="E10598" s="4" t="str">
        <v/>
      </c>
      <c r="F10598" s="102" t="str">
        <f ca="1">IFERROR(__xludf.DUMMYFUNCTION("IMPORTRANGE(H10598,""IDENTITAS UNIT!D9"")"),"#N/A")</f>
        <v>#N/A</v>
      </c>
      <c r="H10598" s="4" t="str">
        <v/>
      </c>
      <c r="I10598" s="4" t="str">
        <v/>
      </c>
    </row>
    <row r="10599" spans="5:9" ht="16.5" hidden="1">
      <c r="E10599" s="4" t="str">
        <v/>
      </c>
      <c r="F10599" s="102" t="str">
        <f ca="1">IFERROR(__xludf.DUMMYFUNCTION("IMPORTRANGE(H10599,""IDENTITAS UNIT!D9"")"),"#N/A")</f>
        <v>#N/A</v>
      </c>
      <c r="H10599" s="4" t="str">
        <v/>
      </c>
      <c r="I10599" s="4" t="str">
        <v/>
      </c>
    </row>
    <row r="10600" spans="5:9" ht="16.5" hidden="1">
      <c r="E10600" s="4" t="str">
        <v/>
      </c>
      <c r="F10600" s="102" t="str">
        <f ca="1">IFERROR(__xludf.DUMMYFUNCTION("IMPORTRANGE(H10600,""IDENTITAS UNIT!D9"")"),"#N/A")</f>
        <v>#N/A</v>
      </c>
      <c r="H10600" s="4" t="str">
        <v/>
      </c>
      <c r="I10600" s="4" t="str">
        <v/>
      </c>
    </row>
    <row r="10601" spans="5:9" ht="16.5" hidden="1">
      <c r="E10601" s="4" t="str">
        <v/>
      </c>
      <c r="F10601" s="102" t="str">
        <f ca="1">IFERROR(__xludf.DUMMYFUNCTION("IMPORTRANGE(H10601,""IDENTITAS UNIT!D9"")"),"#N/A")</f>
        <v>#N/A</v>
      </c>
      <c r="H10601" s="4" t="str">
        <v/>
      </c>
      <c r="I10601" s="4" t="str">
        <v/>
      </c>
    </row>
    <row r="10602" spans="5:9" ht="16.5" hidden="1">
      <c r="E10602" s="4" t="str">
        <v/>
      </c>
      <c r="F10602" s="102" t="str">
        <f ca="1">IFERROR(__xludf.DUMMYFUNCTION("IMPORTRANGE(H10602,""IDENTITAS UNIT!D9"")"),"#N/A")</f>
        <v>#N/A</v>
      </c>
      <c r="H10602" s="4" t="str">
        <v/>
      </c>
      <c r="I10602" s="4" t="str">
        <v/>
      </c>
    </row>
    <row r="10603" spans="5:9" ht="16.5" hidden="1">
      <c r="E10603" s="4" t="str">
        <v/>
      </c>
      <c r="F10603" s="102" t="str">
        <f ca="1">IFERROR(__xludf.DUMMYFUNCTION("IMPORTRANGE(H10603,""IDENTITAS UNIT!D9"")"),"#N/A")</f>
        <v>#N/A</v>
      </c>
      <c r="H10603" s="4" t="str">
        <v/>
      </c>
      <c r="I10603" s="4" t="str">
        <v/>
      </c>
    </row>
    <row r="10604" spans="5:9" ht="16.5" hidden="1">
      <c r="E10604" s="4" t="str">
        <v/>
      </c>
      <c r="F10604" s="102" t="str">
        <f ca="1">IFERROR(__xludf.DUMMYFUNCTION("IMPORTRANGE(H10604,""IDENTITAS UNIT!D9"")"),"#N/A")</f>
        <v>#N/A</v>
      </c>
      <c r="H10604" s="4" t="str">
        <v/>
      </c>
      <c r="I10604" s="4" t="str">
        <v/>
      </c>
    </row>
    <row r="10605" spans="5:9" ht="16.5" hidden="1">
      <c r="E10605" s="4" t="str">
        <v/>
      </c>
      <c r="F10605" s="102" t="str">
        <f ca="1">IFERROR(__xludf.DUMMYFUNCTION("IMPORTRANGE(H10605,""IDENTITAS UNIT!D9"")"),"#N/A")</f>
        <v>#N/A</v>
      </c>
      <c r="H10605" s="4" t="str">
        <v/>
      </c>
      <c r="I10605" s="4" t="str">
        <v/>
      </c>
    </row>
    <row r="10606" spans="5:9" ht="16.5" hidden="1">
      <c r="E10606" s="4" t="str">
        <v/>
      </c>
      <c r="F10606" s="102" t="str">
        <f ca="1">IFERROR(__xludf.DUMMYFUNCTION("IMPORTRANGE(H10606,""IDENTITAS UNIT!D9"")"),"#N/A")</f>
        <v>#N/A</v>
      </c>
      <c r="H10606" s="4" t="str">
        <v/>
      </c>
      <c r="I10606" s="4" t="str">
        <v/>
      </c>
    </row>
    <row r="10607" spans="5:9" ht="16.5" hidden="1">
      <c r="E10607" s="4" t="str">
        <v/>
      </c>
      <c r="F10607" s="102" t="str">
        <f ca="1">IFERROR(__xludf.DUMMYFUNCTION("IMPORTRANGE(H10607,""IDENTITAS UNIT!D9"")"),"#N/A")</f>
        <v>#N/A</v>
      </c>
      <c r="H10607" s="4" t="str">
        <v/>
      </c>
      <c r="I10607" s="4" t="str">
        <v/>
      </c>
    </row>
    <row r="10608" spans="5:9" ht="16.5" hidden="1">
      <c r="E10608" s="4" t="str">
        <v/>
      </c>
      <c r="F10608" s="102" t="str">
        <f ca="1">IFERROR(__xludf.DUMMYFUNCTION("IMPORTRANGE(H10608,""IDENTITAS UNIT!D9"")"),"#N/A")</f>
        <v>#N/A</v>
      </c>
      <c r="H10608" s="4" t="str">
        <v/>
      </c>
      <c r="I10608" s="4" t="str">
        <v/>
      </c>
    </row>
    <row r="10609" spans="5:9" ht="16.5" hidden="1">
      <c r="E10609" s="4" t="str">
        <v/>
      </c>
      <c r="F10609" s="102" t="str">
        <f ca="1">IFERROR(__xludf.DUMMYFUNCTION("IMPORTRANGE(H10609,""IDENTITAS UNIT!D9"")"),"#N/A")</f>
        <v>#N/A</v>
      </c>
      <c r="H10609" s="4" t="str">
        <v/>
      </c>
      <c r="I10609" s="4" t="str">
        <v/>
      </c>
    </row>
    <row r="10610" spans="5:9" ht="16.5" hidden="1">
      <c r="E10610" s="4" t="str">
        <v/>
      </c>
      <c r="F10610" s="102" t="str">
        <f ca="1">IFERROR(__xludf.DUMMYFUNCTION("IMPORTRANGE(H10610,""IDENTITAS UNIT!D9"")"),"#N/A")</f>
        <v>#N/A</v>
      </c>
      <c r="H10610" s="4" t="str">
        <v/>
      </c>
      <c r="I10610" s="4" t="str">
        <v/>
      </c>
    </row>
    <row r="10611" spans="5:9" ht="16.5" hidden="1">
      <c r="E10611" s="4" t="str">
        <v/>
      </c>
      <c r="F10611" s="102" t="str">
        <f ca="1">IFERROR(__xludf.DUMMYFUNCTION("IMPORTRANGE(H10611,""IDENTITAS UNIT!D9"")"),"#N/A")</f>
        <v>#N/A</v>
      </c>
      <c r="H10611" s="4" t="str">
        <v/>
      </c>
      <c r="I10611" s="4" t="str">
        <v/>
      </c>
    </row>
    <row r="10612" spans="5:9" ht="16.5" hidden="1">
      <c r="E10612" s="4" t="str">
        <v/>
      </c>
      <c r="F10612" s="102" t="str">
        <f ca="1">IFERROR(__xludf.DUMMYFUNCTION("IMPORTRANGE(H10612,""IDENTITAS UNIT!D9"")"),"#N/A")</f>
        <v>#N/A</v>
      </c>
      <c r="H10612" s="4" t="str">
        <v/>
      </c>
      <c r="I10612" s="4" t="str">
        <v/>
      </c>
    </row>
    <row r="10613" spans="5:9" ht="16.5" hidden="1">
      <c r="E10613" s="4" t="str">
        <v/>
      </c>
      <c r="F10613" s="102" t="str">
        <f ca="1">IFERROR(__xludf.DUMMYFUNCTION("IMPORTRANGE(H10613,""IDENTITAS UNIT!D9"")"),"#N/A")</f>
        <v>#N/A</v>
      </c>
      <c r="H10613" s="4" t="str">
        <v/>
      </c>
      <c r="I10613" s="4" t="str">
        <v/>
      </c>
    </row>
    <row r="10614" spans="5:9" ht="16.5" hidden="1">
      <c r="E10614" s="4" t="str">
        <v/>
      </c>
      <c r="F10614" s="102" t="str">
        <f ca="1">IFERROR(__xludf.DUMMYFUNCTION("IMPORTRANGE(H10614,""IDENTITAS UNIT!D9"")"),"#N/A")</f>
        <v>#N/A</v>
      </c>
      <c r="H10614" s="4" t="str">
        <v/>
      </c>
      <c r="I10614" s="4" t="str">
        <v/>
      </c>
    </row>
    <row r="10615" spans="5:9" ht="16.5" hidden="1">
      <c r="E10615" s="4" t="str">
        <v/>
      </c>
      <c r="F10615" s="102" t="str">
        <f ca="1">IFERROR(__xludf.DUMMYFUNCTION("IMPORTRANGE(H10615,""IDENTITAS UNIT!D9"")"),"#N/A")</f>
        <v>#N/A</v>
      </c>
      <c r="H10615" s="4" t="str">
        <v/>
      </c>
      <c r="I10615" s="4" t="str">
        <v/>
      </c>
    </row>
    <row r="10616" spans="5:9" ht="16.5" hidden="1">
      <c r="E10616" s="4" t="str">
        <v/>
      </c>
      <c r="F10616" s="102" t="str">
        <f ca="1">IFERROR(__xludf.DUMMYFUNCTION("IMPORTRANGE(H10616,""IDENTITAS UNIT!D9"")"),"#N/A")</f>
        <v>#N/A</v>
      </c>
      <c r="H10616" s="4" t="str">
        <v/>
      </c>
      <c r="I10616" s="4" t="str">
        <v/>
      </c>
    </row>
    <row r="10617" spans="5:9" ht="16.5" hidden="1">
      <c r="E10617" s="4" t="str">
        <v/>
      </c>
      <c r="F10617" s="102" t="str">
        <f ca="1">IFERROR(__xludf.DUMMYFUNCTION("IMPORTRANGE(H10617,""IDENTITAS UNIT!D9"")"),"#N/A")</f>
        <v>#N/A</v>
      </c>
      <c r="H10617" s="4" t="str">
        <v/>
      </c>
      <c r="I10617" s="4" t="str">
        <v/>
      </c>
    </row>
    <row r="10618" spans="5:9" ht="16.5" hidden="1">
      <c r="E10618" s="4" t="str">
        <v/>
      </c>
      <c r="F10618" s="102" t="str">
        <f ca="1">IFERROR(__xludf.DUMMYFUNCTION("IMPORTRANGE(H10618,""IDENTITAS UNIT!D9"")"),"#N/A")</f>
        <v>#N/A</v>
      </c>
      <c r="H10618" s="4" t="str">
        <v/>
      </c>
      <c r="I10618" s="4" t="str">
        <v/>
      </c>
    </row>
    <row r="10619" spans="5:9" ht="16.5" hidden="1">
      <c r="E10619" s="4" t="str">
        <v/>
      </c>
      <c r="F10619" s="102" t="str">
        <f ca="1">IFERROR(__xludf.DUMMYFUNCTION("IMPORTRANGE(H10619,""IDENTITAS UNIT!D9"")"),"#N/A")</f>
        <v>#N/A</v>
      </c>
      <c r="H10619" s="4" t="str">
        <v/>
      </c>
      <c r="I10619" s="4" t="str">
        <v/>
      </c>
    </row>
    <row r="10620" spans="5:9" ht="16.5" hidden="1">
      <c r="E10620" s="4" t="str">
        <v/>
      </c>
      <c r="F10620" s="102" t="str">
        <f ca="1">IFERROR(__xludf.DUMMYFUNCTION("IMPORTRANGE(H10620,""IDENTITAS UNIT!D9"")"),"#N/A")</f>
        <v>#N/A</v>
      </c>
      <c r="H10620" s="4" t="str">
        <v/>
      </c>
      <c r="I10620" s="4" t="str">
        <v/>
      </c>
    </row>
    <row r="10621" spans="5:9" ht="16.5" hidden="1">
      <c r="E10621" s="4" t="str">
        <v/>
      </c>
      <c r="F10621" s="102" t="str">
        <f ca="1">IFERROR(__xludf.DUMMYFUNCTION("IMPORTRANGE(H10621,""IDENTITAS UNIT!D9"")"),"#N/A")</f>
        <v>#N/A</v>
      </c>
      <c r="H10621" s="4" t="str">
        <v/>
      </c>
      <c r="I10621" s="4" t="str">
        <v/>
      </c>
    </row>
    <row r="10622" spans="5:9" ht="16.5" hidden="1">
      <c r="E10622" s="4" t="str">
        <v/>
      </c>
      <c r="F10622" s="102" t="str">
        <f ca="1">IFERROR(__xludf.DUMMYFUNCTION("IMPORTRANGE(H10622,""IDENTITAS UNIT!D9"")"),"#N/A")</f>
        <v>#N/A</v>
      </c>
      <c r="H10622" s="4" t="str">
        <v/>
      </c>
      <c r="I10622" s="4" t="str">
        <v/>
      </c>
    </row>
    <row r="10623" spans="5:9" ht="16.5" hidden="1">
      <c r="E10623" s="4" t="str">
        <v/>
      </c>
      <c r="F10623" s="102" t="str">
        <f ca="1">IFERROR(__xludf.DUMMYFUNCTION("IMPORTRANGE(H10623,""IDENTITAS UNIT!D9"")"),"#N/A")</f>
        <v>#N/A</v>
      </c>
      <c r="H10623" s="4" t="str">
        <v/>
      </c>
      <c r="I10623" s="4" t="str">
        <v/>
      </c>
    </row>
    <row r="10624" spans="5:9" ht="16.5" hidden="1">
      <c r="E10624" s="4" t="str">
        <v/>
      </c>
      <c r="F10624" s="102" t="str">
        <f ca="1">IFERROR(__xludf.DUMMYFUNCTION("IMPORTRANGE(H10624,""IDENTITAS UNIT!D9"")"),"#N/A")</f>
        <v>#N/A</v>
      </c>
      <c r="H10624" s="4" t="str">
        <v/>
      </c>
      <c r="I10624" s="4" t="str">
        <v/>
      </c>
    </row>
    <row r="10625" spans="5:9" ht="16.5" hidden="1">
      <c r="E10625" s="4" t="str">
        <v/>
      </c>
      <c r="F10625" s="102" t="str">
        <f ca="1">IFERROR(__xludf.DUMMYFUNCTION("IMPORTRANGE(H10625,""IDENTITAS UNIT!D9"")"),"#N/A")</f>
        <v>#N/A</v>
      </c>
      <c r="H10625" s="4" t="str">
        <v/>
      </c>
      <c r="I10625" s="4" t="str">
        <v/>
      </c>
    </row>
    <row r="10626" spans="5:9" ht="16.5" hidden="1">
      <c r="E10626" s="4" t="str">
        <v/>
      </c>
      <c r="F10626" s="102" t="str">
        <f ca="1">IFERROR(__xludf.DUMMYFUNCTION("IMPORTRANGE(H10626,""IDENTITAS UNIT!D9"")"),"#N/A")</f>
        <v>#N/A</v>
      </c>
      <c r="H10626" s="4" t="str">
        <v/>
      </c>
      <c r="I10626" s="4" t="str">
        <v/>
      </c>
    </row>
    <row r="10627" spans="5:9" ht="16.5" hidden="1">
      <c r="E10627" s="4" t="str">
        <v/>
      </c>
      <c r="F10627" s="102" t="str">
        <f ca="1">IFERROR(__xludf.DUMMYFUNCTION("IMPORTRANGE(H10627,""IDENTITAS UNIT!D9"")"),"#N/A")</f>
        <v>#N/A</v>
      </c>
      <c r="H10627" s="4" t="str">
        <v/>
      </c>
      <c r="I10627" s="4" t="str">
        <v/>
      </c>
    </row>
    <row r="10628" spans="5:9" ht="16.5" hidden="1">
      <c r="E10628" s="4" t="str">
        <v/>
      </c>
      <c r="F10628" s="102" t="str">
        <f ca="1">IFERROR(__xludf.DUMMYFUNCTION("IMPORTRANGE(H10628,""IDENTITAS UNIT!D9"")"),"#N/A")</f>
        <v>#N/A</v>
      </c>
      <c r="H10628" s="4" t="str">
        <v/>
      </c>
      <c r="I10628" s="4" t="str">
        <v/>
      </c>
    </row>
    <row r="10629" spans="5:9" ht="16.5" hidden="1">
      <c r="E10629" s="4" t="str">
        <v/>
      </c>
      <c r="F10629" s="102" t="str">
        <f ca="1">IFERROR(__xludf.DUMMYFUNCTION("IMPORTRANGE(H10629,""IDENTITAS UNIT!D9"")"),"#N/A")</f>
        <v>#N/A</v>
      </c>
      <c r="H10629" s="4" t="str">
        <v/>
      </c>
      <c r="I10629" s="4" t="str">
        <v/>
      </c>
    </row>
    <row r="10630" spans="5:9" ht="16.5" hidden="1">
      <c r="E10630" s="4" t="str">
        <v/>
      </c>
      <c r="F10630" s="102" t="str">
        <f ca="1">IFERROR(__xludf.DUMMYFUNCTION("IMPORTRANGE(H10630,""IDENTITAS UNIT!D9"")"),"#N/A")</f>
        <v>#N/A</v>
      </c>
      <c r="H10630" s="4" t="str">
        <v/>
      </c>
      <c r="I10630" s="4" t="str">
        <v/>
      </c>
    </row>
    <row r="10631" spans="5:9" ht="16.5" hidden="1">
      <c r="E10631" s="4" t="str">
        <v/>
      </c>
      <c r="F10631" s="102" t="str">
        <f ca="1">IFERROR(__xludf.DUMMYFUNCTION("IMPORTRANGE(H10631,""IDENTITAS UNIT!D9"")"),"#N/A")</f>
        <v>#N/A</v>
      </c>
      <c r="H10631" s="4" t="str">
        <v/>
      </c>
      <c r="I10631" s="4" t="str">
        <v/>
      </c>
    </row>
    <row r="10632" spans="5:9" ht="16.5" hidden="1">
      <c r="E10632" s="4" t="str">
        <v/>
      </c>
      <c r="F10632" s="102" t="str">
        <f ca="1">IFERROR(__xludf.DUMMYFUNCTION("IMPORTRANGE(H10632,""IDENTITAS UNIT!D9"")"),"#N/A")</f>
        <v>#N/A</v>
      </c>
      <c r="H10632" s="4" t="str">
        <v/>
      </c>
      <c r="I10632" s="4" t="str">
        <v/>
      </c>
    </row>
    <row r="10633" spans="5:9" ht="16.5" hidden="1">
      <c r="E10633" s="4" t="str">
        <v/>
      </c>
      <c r="F10633" s="102" t="str">
        <f ca="1">IFERROR(__xludf.DUMMYFUNCTION("IMPORTRANGE(H10633,""IDENTITAS UNIT!D9"")"),"#N/A")</f>
        <v>#N/A</v>
      </c>
      <c r="H10633" s="4" t="str">
        <v/>
      </c>
      <c r="I10633" s="4" t="str">
        <v/>
      </c>
    </row>
    <row r="10634" spans="5:9" ht="16.5" hidden="1">
      <c r="E10634" s="4" t="str">
        <v/>
      </c>
      <c r="F10634" s="102" t="str">
        <f ca="1">IFERROR(__xludf.DUMMYFUNCTION("IMPORTRANGE(H10634,""IDENTITAS UNIT!D9"")"),"#N/A")</f>
        <v>#N/A</v>
      </c>
      <c r="H10634" s="4" t="str">
        <v/>
      </c>
      <c r="I10634" s="4" t="str">
        <v/>
      </c>
    </row>
    <row r="10635" spans="5:9" ht="16.5" hidden="1">
      <c r="E10635" s="4" t="str">
        <v/>
      </c>
      <c r="F10635" s="102" t="str">
        <f ca="1">IFERROR(__xludf.DUMMYFUNCTION("IMPORTRANGE(H10635,""IDENTITAS UNIT!D9"")"),"#N/A")</f>
        <v>#N/A</v>
      </c>
      <c r="H10635" s="4" t="str">
        <v/>
      </c>
      <c r="I10635" s="4" t="str">
        <v/>
      </c>
    </row>
    <row r="10636" spans="5:9" ht="16.5" hidden="1">
      <c r="E10636" s="4" t="str">
        <v/>
      </c>
      <c r="F10636" s="102" t="str">
        <f ca="1">IFERROR(__xludf.DUMMYFUNCTION("IMPORTRANGE(H10636,""IDENTITAS UNIT!D9"")"),"#N/A")</f>
        <v>#N/A</v>
      </c>
      <c r="H10636" s="4" t="str">
        <v/>
      </c>
      <c r="I10636" s="4" t="str">
        <v/>
      </c>
    </row>
    <row r="10637" spans="5:9" ht="16.5" hidden="1">
      <c r="E10637" s="4" t="str">
        <v/>
      </c>
      <c r="F10637" s="102" t="str">
        <f ca="1">IFERROR(__xludf.DUMMYFUNCTION("IMPORTRANGE(H10637,""IDENTITAS UNIT!D9"")"),"#N/A")</f>
        <v>#N/A</v>
      </c>
      <c r="H10637" s="4" t="str">
        <v/>
      </c>
      <c r="I10637" s="4" t="str">
        <v/>
      </c>
    </row>
    <row r="10638" spans="5:9" ht="16.5" hidden="1">
      <c r="E10638" s="4" t="str">
        <v/>
      </c>
      <c r="F10638" s="102" t="str">
        <f ca="1">IFERROR(__xludf.DUMMYFUNCTION("IMPORTRANGE(H10638,""IDENTITAS UNIT!D9"")"),"#N/A")</f>
        <v>#N/A</v>
      </c>
      <c r="H10638" s="4" t="str">
        <v/>
      </c>
      <c r="I10638" s="4" t="str">
        <v/>
      </c>
    </row>
    <row r="10639" spans="5:9" ht="16.5" hidden="1">
      <c r="E10639" s="4" t="str">
        <v/>
      </c>
      <c r="F10639" s="102" t="str">
        <f ca="1">IFERROR(__xludf.DUMMYFUNCTION("IMPORTRANGE(H10639,""IDENTITAS UNIT!D9"")"),"#N/A")</f>
        <v>#N/A</v>
      </c>
      <c r="H10639" s="4" t="str">
        <v/>
      </c>
      <c r="I10639" s="4" t="str">
        <v/>
      </c>
    </row>
    <row r="10640" spans="5:9" ht="16.5" hidden="1">
      <c r="E10640" s="4" t="str">
        <v/>
      </c>
      <c r="F10640" s="102" t="str">
        <f ca="1">IFERROR(__xludf.DUMMYFUNCTION("IMPORTRANGE(H10640,""IDENTITAS UNIT!D9"")"),"#N/A")</f>
        <v>#N/A</v>
      </c>
      <c r="H10640" s="4" t="str">
        <v/>
      </c>
      <c r="I10640" s="4" t="str">
        <v/>
      </c>
    </row>
    <row r="10641" spans="5:9" ht="16.5" hidden="1">
      <c r="E10641" s="4" t="str">
        <v/>
      </c>
      <c r="F10641" s="102" t="str">
        <f ca="1">IFERROR(__xludf.DUMMYFUNCTION("IMPORTRANGE(H10641,""IDENTITAS UNIT!D9"")"),"#N/A")</f>
        <v>#N/A</v>
      </c>
      <c r="H10641" s="4" t="str">
        <v/>
      </c>
      <c r="I10641" s="4" t="str">
        <v/>
      </c>
    </row>
    <row r="10642" spans="5:9" ht="16.5" hidden="1">
      <c r="E10642" s="4" t="str">
        <v/>
      </c>
      <c r="F10642" s="102" t="str">
        <f ca="1">IFERROR(__xludf.DUMMYFUNCTION("IMPORTRANGE(H10642,""IDENTITAS UNIT!D9"")"),"#N/A")</f>
        <v>#N/A</v>
      </c>
      <c r="H10642" s="4" t="str">
        <v/>
      </c>
      <c r="I10642" s="4" t="str">
        <v/>
      </c>
    </row>
    <row r="10643" spans="5:9" ht="16.5" hidden="1">
      <c r="E10643" s="4" t="str">
        <v/>
      </c>
      <c r="F10643" s="102" t="str">
        <f ca="1">IFERROR(__xludf.DUMMYFUNCTION("IMPORTRANGE(H10643,""IDENTITAS UNIT!D9"")"),"#N/A")</f>
        <v>#N/A</v>
      </c>
      <c r="H10643" s="4" t="str">
        <v/>
      </c>
      <c r="I10643" s="4" t="str">
        <v/>
      </c>
    </row>
    <row r="10644" spans="5:9" ht="16.5" hidden="1">
      <c r="E10644" s="4" t="str">
        <v/>
      </c>
      <c r="F10644" s="102" t="str">
        <f ca="1">IFERROR(__xludf.DUMMYFUNCTION("IMPORTRANGE(H10644,""IDENTITAS UNIT!D9"")"),"#N/A")</f>
        <v>#N/A</v>
      </c>
      <c r="H10644" s="4" t="str">
        <v/>
      </c>
      <c r="I10644" s="4" t="str">
        <v/>
      </c>
    </row>
    <row r="10645" spans="5:9" ht="16.5" hidden="1">
      <c r="E10645" s="4" t="str">
        <v/>
      </c>
      <c r="F10645" s="102" t="str">
        <f ca="1">IFERROR(__xludf.DUMMYFUNCTION("IMPORTRANGE(H10645,""IDENTITAS UNIT!D9"")"),"#N/A")</f>
        <v>#N/A</v>
      </c>
      <c r="H10645" s="4" t="str">
        <v/>
      </c>
      <c r="I10645" s="4" t="str">
        <v/>
      </c>
    </row>
    <row r="10646" spans="5:9" ht="16.5" hidden="1">
      <c r="E10646" s="4" t="str">
        <v/>
      </c>
      <c r="F10646" s="102" t="str">
        <f ca="1">IFERROR(__xludf.DUMMYFUNCTION("IMPORTRANGE(H10646,""IDENTITAS UNIT!D9"")"),"#N/A")</f>
        <v>#N/A</v>
      </c>
      <c r="H10646" s="4" t="str">
        <v/>
      </c>
      <c r="I10646" s="4" t="str">
        <v/>
      </c>
    </row>
    <row r="10647" spans="5:9" ht="16.5" hidden="1">
      <c r="E10647" s="4" t="str">
        <v/>
      </c>
      <c r="F10647" s="102" t="str">
        <f ca="1">IFERROR(__xludf.DUMMYFUNCTION("IMPORTRANGE(H10647,""IDENTITAS UNIT!D9"")"),"#N/A")</f>
        <v>#N/A</v>
      </c>
      <c r="H10647" s="4" t="str">
        <v/>
      </c>
      <c r="I10647" s="4" t="str">
        <v/>
      </c>
    </row>
    <row r="10648" spans="5:9" ht="16.5" hidden="1">
      <c r="E10648" s="4" t="str">
        <v/>
      </c>
      <c r="F10648" s="102" t="str">
        <f ca="1">IFERROR(__xludf.DUMMYFUNCTION("IMPORTRANGE(H10648,""IDENTITAS UNIT!D9"")"),"#N/A")</f>
        <v>#N/A</v>
      </c>
      <c r="H10648" s="4" t="str">
        <v/>
      </c>
      <c r="I10648" s="4" t="str">
        <v/>
      </c>
    </row>
    <row r="10649" spans="5:9" ht="16.5" hidden="1">
      <c r="E10649" s="4" t="str">
        <v/>
      </c>
      <c r="F10649" s="102" t="str">
        <f ca="1">IFERROR(__xludf.DUMMYFUNCTION("IMPORTRANGE(H10649,""IDENTITAS UNIT!D9"")"),"#N/A")</f>
        <v>#N/A</v>
      </c>
      <c r="H10649" s="4" t="str">
        <v/>
      </c>
      <c r="I10649" s="4" t="str">
        <v/>
      </c>
    </row>
    <row r="10650" spans="5:9" ht="16.5" hidden="1">
      <c r="E10650" s="4" t="str">
        <v/>
      </c>
      <c r="F10650" s="102" t="str">
        <f ca="1">IFERROR(__xludf.DUMMYFUNCTION("IMPORTRANGE(H10650,""IDENTITAS UNIT!D9"")"),"#N/A")</f>
        <v>#N/A</v>
      </c>
      <c r="H10650" s="4" t="str">
        <v/>
      </c>
      <c r="I10650" s="4" t="str">
        <v/>
      </c>
    </row>
    <row r="10651" spans="5:9" ht="16.5" hidden="1">
      <c r="E10651" s="4" t="str">
        <v/>
      </c>
      <c r="F10651" s="102" t="str">
        <f ca="1">IFERROR(__xludf.DUMMYFUNCTION("IMPORTRANGE(H10651,""IDENTITAS UNIT!D9"")"),"#N/A")</f>
        <v>#N/A</v>
      </c>
      <c r="H10651" s="4" t="str">
        <v/>
      </c>
      <c r="I10651" s="4" t="str">
        <v/>
      </c>
    </row>
    <row r="10652" spans="5:9" ht="16.5" hidden="1">
      <c r="E10652" s="4" t="str">
        <v/>
      </c>
      <c r="F10652" s="102" t="str">
        <f ca="1">IFERROR(__xludf.DUMMYFUNCTION("IMPORTRANGE(H10652,""IDENTITAS UNIT!D9"")"),"#N/A")</f>
        <v>#N/A</v>
      </c>
      <c r="H10652" s="4" t="str">
        <v/>
      </c>
      <c r="I10652" s="4" t="str">
        <v/>
      </c>
    </row>
    <row r="10653" spans="5:9" ht="16.5" hidden="1">
      <c r="E10653" s="4" t="str">
        <v/>
      </c>
      <c r="F10653" s="102" t="str">
        <f ca="1">IFERROR(__xludf.DUMMYFUNCTION("IMPORTRANGE(H10653,""IDENTITAS UNIT!D9"")"),"#N/A")</f>
        <v>#N/A</v>
      </c>
      <c r="H10653" s="4" t="str">
        <v/>
      </c>
      <c r="I10653" s="4" t="str">
        <v/>
      </c>
    </row>
    <row r="10654" spans="5:9" ht="16.5" hidden="1">
      <c r="E10654" s="4" t="str">
        <v/>
      </c>
      <c r="F10654" s="102" t="str">
        <f ca="1">IFERROR(__xludf.DUMMYFUNCTION("IMPORTRANGE(H10654,""IDENTITAS UNIT!D9"")"),"#N/A")</f>
        <v>#N/A</v>
      </c>
      <c r="H10654" s="4" t="str">
        <v/>
      </c>
      <c r="I10654" s="4" t="str">
        <v/>
      </c>
    </row>
    <row r="10655" spans="5:9" ht="16.5" hidden="1">
      <c r="E10655" s="4" t="str">
        <v/>
      </c>
      <c r="F10655" s="102" t="str">
        <f ca="1">IFERROR(__xludf.DUMMYFUNCTION("IMPORTRANGE(H10655,""IDENTITAS UNIT!D9"")"),"#N/A")</f>
        <v>#N/A</v>
      </c>
      <c r="H10655" s="4" t="str">
        <v/>
      </c>
      <c r="I10655" s="4" t="str">
        <v/>
      </c>
    </row>
    <row r="10656" spans="5:9" ht="16.5" hidden="1">
      <c r="E10656" s="4" t="str">
        <v/>
      </c>
      <c r="F10656" s="102" t="str">
        <f ca="1">IFERROR(__xludf.DUMMYFUNCTION("IMPORTRANGE(H10656,""IDENTITAS UNIT!D9"")"),"#N/A")</f>
        <v>#N/A</v>
      </c>
      <c r="H10656" s="4" t="str">
        <v/>
      </c>
      <c r="I10656" s="4" t="str">
        <v/>
      </c>
    </row>
    <row r="10657" spans="5:9" ht="16.5" hidden="1">
      <c r="E10657" s="4" t="str">
        <v/>
      </c>
      <c r="F10657" s="102" t="str">
        <f ca="1">IFERROR(__xludf.DUMMYFUNCTION("IMPORTRANGE(H10657,""IDENTITAS UNIT!D9"")"),"#N/A")</f>
        <v>#N/A</v>
      </c>
      <c r="H10657" s="4" t="str">
        <v/>
      </c>
      <c r="I10657" s="4" t="str">
        <v/>
      </c>
    </row>
    <row r="10658" spans="5:9" ht="16.5" hidden="1">
      <c r="E10658" s="4" t="str">
        <v/>
      </c>
      <c r="F10658" s="102" t="str">
        <f ca="1">IFERROR(__xludf.DUMMYFUNCTION("IMPORTRANGE(H10658,""IDENTITAS UNIT!D9"")"),"#N/A")</f>
        <v>#N/A</v>
      </c>
      <c r="H10658" s="4" t="str">
        <v/>
      </c>
      <c r="I10658" s="4" t="str">
        <v/>
      </c>
    </row>
    <row r="10659" spans="5:9" ht="16.5" hidden="1">
      <c r="E10659" s="4" t="str">
        <v/>
      </c>
      <c r="F10659" s="102" t="str">
        <f ca="1">IFERROR(__xludf.DUMMYFUNCTION("IMPORTRANGE(H10659,""IDENTITAS UNIT!D9"")"),"#N/A")</f>
        <v>#N/A</v>
      </c>
      <c r="H10659" s="4" t="str">
        <v/>
      </c>
      <c r="I10659" s="4" t="str">
        <v/>
      </c>
    </row>
    <row r="10660" spans="5:9" ht="16.5" hidden="1">
      <c r="E10660" s="4" t="str">
        <v/>
      </c>
      <c r="F10660" s="102" t="str">
        <f ca="1">IFERROR(__xludf.DUMMYFUNCTION("IMPORTRANGE(H10660,""IDENTITAS UNIT!D9"")"),"#N/A")</f>
        <v>#N/A</v>
      </c>
      <c r="H10660" s="4" t="str">
        <v/>
      </c>
      <c r="I10660" s="4" t="str">
        <v/>
      </c>
    </row>
    <row r="10661" spans="5:9" ht="16.5" hidden="1">
      <c r="E10661" s="4" t="str">
        <v/>
      </c>
      <c r="F10661" s="102" t="str">
        <f ca="1">IFERROR(__xludf.DUMMYFUNCTION("IMPORTRANGE(H10661,""IDENTITAS UNIT!D9"")"),"#N/A")</f>
        <v>#N/A</v>
      </c>
      <c r="H10661" s="4" t="str">
        <v/>
      </c>
      <c r="I10661" s="4" t="str">
        <v/>
      </c>
    </row>
    <row r="10662" spans="5:9" ht="16.5" hidden="1">
      <c r="E10662" s="4" t="str">
        <v/>
      </c>
      <c r="F10662" s="102" t="str">
        <f ca="1">IFERROR(__xludf.DUMMYFUNCTION("IMPORTRANGE(H10662,""IDENTITAS UNIT!D9"")"),"#N/A")</f>
        <v>#N/A</v>
      </c>
      <c r="H10662" s="4" t="str">
        <v/>
      </c>
      <c r="I10662" s="4" t="str">
        <v/>
      </c>
    </row>
    <row r="10663" spans="5:9" ht="16.5" hidden="1">
      <c r="E10663" s="4" t="str">
        <v/>
      </c>
      <c r="F10663" s="102" t="str">
        <f ca="1">IFERROR(__xludf.DUMMYFUNCTION("IMPORTRANGE(H10663,""IDENTITAS UNIT!D9"")"),"#N/A")</f>
        <v>#N/A</v>
      </c>
      <c r="H10663" s="4" t="str">
        <v/>
      </c>
      <c r="I10663" s="4" t="str">
        <v/>
      </c>
    </row>
    <row r="10664" spans="5:9" ht="16.5" hidden="1">
      <c r="E10664" s="4" t="str">
        <v/>
      </c>
      <c r="F10664" s="102" t="str">
        <f ca="1">IFERROR(__xludf.DUMMYFUNCTION("IMPORTRANGE(H10664,""IDENTITAS UNIT!D9"")"),"#N/A")</f>
        <v>#N/A</v>
      </c>
      <c r="H10664" s="4" t="str">
        <v/>
      </c>
      <c r="I10664" s="4" t="str">
        <v/>
      </c>
    </row>
    <row r="10665" spans="5:9" ht="16.5" hidden="1">
      <c r="E10665" s="4" t="str">
        <v/>
      </c>
      <c r="F10665" s="102" t="str">
        <f ca="1">IFERROR(__xludf.DUMMYFUNCTION("IMPORTRANGE(H10665,""IDENTITAS UNIT!D9"")"),"#N/A")</f>
        <v>#N/A</v>
      </c>
      <c r="H10665" s="4" t="str">
        <v/>
      </c>
      <c r="I10665" s="4" t="str">
        <v/>
      </c>
    </row>
    <row r="10666" spans="5:9" ht="16.5" hidden="1">
      <c r="E10666" s="4" t="str">
        <v/>
      </c>
      <c r="F10666" s="102" t="str">
        <f ca="1">IFERROR(__xludf.DUMMYFUNCTION("IMPORTRANGE(H10666,""IDENTITAS UNIT!D9"")"),"#N/A")</f>
        <v>#N/A</v>
      </c>
      <c r="H10666" s="4" t="str">
        <v/>
      </c>
      <c r="I10666" s="4" t="str">
        <v/>
      </c>
    </row>
    <row r="10667" spans="5:9" ht="16.5" hidden="1">
      <c r="E10667" s="4" t="str">
        <v/>
      </c>
      <c r="F10667" s="102" t="str">
        <f ca="1">IFERROR(__xludf.DUMMYFUNCTION("IMPORTRANGE(H10667,""IDENTITAS UNIT!D9"")"),"#N/A")</f>
        <v>#N/A</v>
      </c>
      <c r="H10667" s="4" t="str">
        <v/>
      </c>
      <c r="I10667" s="4" t="str">
        <v/>
      </c>
    </row>
    <row r="10668" spans="5:9" ht="16.5" hidden="1">
      <c r="E10668" s="4" t="str">
        <v/>
      </c>
      <c r="F10668" s="102" t="str">
        <f ca="1">IFERROR(__xludf.DUMMYFUNCTION("IMPORTRANGE(H10668,""IDENTITAS UNIT!D9"")"),"#N/A")</f>
        <v>#N/A</v>
      </c>
      <c r="H10668" s="4" t="str">
        <v/>
      </c>
      <c r="I10668" s="4" t="str">
        <v/>
      </c>
    </row>
    <row r="10669" spans="5:9" ht="16.5" hidden="1">
      <c r="E10669" s="4" t="str">
        <v/>
      </c>
      <c r="F10669" s="102" t="str">
        <f ca="1">IFERROR(__xludf.DUMMYFUNCTION("IMPORTRANGE(H10669,""IDENTITAS UNIT!D9"")"),"#N/A")</f>
        <v>#N/A</v>
      </c>
      <c r="H10669" s="4" t="str">
        <v/>
      </c>
      <c r="I10669" s="4" t="str">
        <v/>
      </c>
    </row>
    <row r="10670" spans="5:9" ht="16.5" hidden="1">
      <c r="E10670" s="4" t="str">
        <v/>
      </c>
      <c r="F10670" s="102" t="str">
        <f ca="1">IFERROR(__xludf.DUMMYFUNCTION("IMPORTRANGE(H10670,""IDENTITAS UNIT!D9"")"),"#N/A")</f>
        <v>#N/A</v>
      </c>
      <c r="H10670" s="4" t="str">
        <v/>
      </c>
      <c r="I10670" s="4" t="str">
        <v/>
      </c>
    </row>
    <row r="10671" spans="5:9" ht="16.5" hidden="1">
      <c r="E10671" s="4" t="str">
        <v/>
      </c>
      <c r="F10671" s="102" t="str">
        <f ca="1">IFERROR(__xludf.DUMMYFUNCTION("IMPORTRANGE(H10671,""IDENTITAS UNIT!D9"")"),"#N/A")</f>
        <v>#N/A</v>
      </c>
      <c r="H10671" s="4" t="str">
        <v/>
      </c>
      <c r="I10671" s="4" t="str">
        <v/>
      </c>
    </row>
    <row r="10672" spans="5:9" ht="16.5" hidden="1">
      <c r="E10672" s="4" t="str">
        <v/>
      </c>
      <c r="F10672" s="102" t="str">
        <f ca="1">IFERROR(__xludf.DUMMYFUNCTION("IMPORTRANGE(H10672,""IDENTITAS UNIT!D9"")"),"#N/A")</f>
        <v>#N/A</v>
      </c>
      <c r="H10672" s="4" t="str">
        <v/>
      </c>
      <c r="I10672" s="4" t="str">
        <v/>
      </c>
    </row>
    <row r="10673" spans="5:9" ht="16.5" hidden="1">
      <c r="E10673" s="4" t="str">
        <v/>
      </c>
      <c r="F10673" s="102" t="str">
        <f ca="1">IFERROR(__xludf.DUMMYFUNCTION("IMPORTRANGE(H10673,""IDENTITAS UNIT!D9"")"),"#N/A")</f>
        <v>#N/A</v>
      </c>
      <c r="H10673" s="4" t="str">
        <v/>
      </c>
      <c r="I10673" s="4" t="str">
        <v/>
      </c>
    </row>
    <row r="10674" spans="5:9" ht="16.5" hidden="1">
      <c r="E10674" s="4" t="str">
        <v/>
      </c>
      <c r="F10674" s="102" t="str">
        <f ca="1">IFERROR(__xludf.DUMMYFUNCTION("IMPORTRANGE(H10674,""IDENTITAS UNIT!D9"")"),"#N/A")</f>
        <v>#N/A</v>
      </c>
      <c r="H10674" s="4" t="str">
        <v/>
      </c>
      <c r="I10674" s="4" t="str">
        <v/>
      </c>
    </row>
    <row r="10675" spans="5:9" ht="16.5" hidden="1">
      <c r="E10675" s="4" t="str">
        <v/>
      </c>
      <c r="F10675" s="102" t="str">
        <f ca="1">IFERROR(__xludf.DUMMYFUNCTION("IMPORTRANGE(H10675,""IDENTITAS UNIT!D9"")"),"#N/A")</f>
        <v>#N/A</v>
      </c>
      <c r="H10675" s="4" t="str">
        <v/>
      </c>
      <c r="I10675" s="4" t="str">
        <v/>
      </c>
    </row>
    <row r="10676" spans="5:9" ht="16.5" hidden="1">
      <c r="E10676" s="4" t="str">
        <v/>
      </c>
      <c r="F10676" s="102" t="str">
        <f ca="1">IFERROR(__xludf.DUMMYFUNCTION("IMPORTRANGE(H10676,""IDENTITAS UNIT!D9"")"),"#N/A")</f>
        <v>#N/A</v>
      </c>
      <c r="H10676" s="4" t="str">
        <v/>
      </c>
      <c r="I10676" s="4" t="str">
        <v/>
      </c>
    </row>
    <row r="10677" spans="5:9" ht="16.5" hidden="1">
      <c r="E10677" s="4" t="str">
        <v/>
      </c>
      <c r="F10677" s="102" t="str">
        <f ca="1">IFERROR(__xludf.DUMMYFUNCTION("IMPORTRANGE(H10677,""IDENTITAS UNIT!D9"")"),"#N/A")</f>
        <v>#N/A</v>
      </c>
      <c r="H10677" s="4" t="str">
        <v/>
      </c>
      <c r="I10677" s="4" t="str">
        <v/>
      </c>
    </row>
    <row r="10678" spans="5:9" ht="16.5" hidden="1">
      <c r="E10678" s="4" t="str">
        <v/>
      </c>
      <c r="F10678" s="102" t="str">
        <f ca="1">IFERROR(__xludf.DUMMYFUNCTION("IMPORTRANGE(H10678,""IDENTITAS UNIT!D9"")"),"#N/A")</f>
        <v>#N/A</v>
      </c>
      <c r="H10678" s="4" t="str">
        <v/>
      </c>
      <c r="I10678" s="4" t="str">
        <v/>
      </c>
    </row>
    <row r="10679" spans="5:9" ht="16.5" hidden="1">
      <c r="E10679" s="4" t="str">
        <v/>
      </c>
      <c r="F10679" s="102" t="str">
        <f ca="1">IFERROR(__xludf.DUMMYFUNCTION("IMPORTRANGE(H10679,""IDENTITAS UNIT!D9"")"),"#N/A")</f>
        <v>#N/A</v>
      </c>
      <c r="H10679" s="4" t="str">
        <v/>
      </c>
      <c r="I10679" s="4" t="str">
        <v/>
      </c>
    </row>
    <row r="10680" spans="5:9" ht="16.5" hidden="1">
      <c r="E10680" s="4" t="str">
        <v/>
      </c>
      <c r="F10680" s="102" t="str">
        <f ca="1">IFERROR(__xludf.DUMMYFUNCTION("IMPORTRANGE(H10680,""IDENTITAS UNIT!D9"")"),"#N/A")</f>
        <v>#N/A</v>
      </c>
      <c r="H10680" s="4" t="str">
        <v/>
      </c>
      <c r="I10680" s="4" t="str">
        <v/>
      </c>
    </row>
    <row r="10681" spans="5:9" ht="16.5" hidden="1">
      <c r="E10681" s="4" t="str">
        <v/>
      </c>
      <c r="F10681" s="102" t="str">
        <f ca="1">IFERROR(__xludf.DUMMYFUNCTION("IMPORTRANGE(H10681,""IDENTITAS UNIT!D9"")"),"#N/A")</f>
        <v>#N/A</v>
      </c>
      <c r="H10681" s="4" t="str">
        <v/>
      </c>
      <c r="I10681" s="4" t="str">
        <v/>
      </c>
    </row>
    <row r="10682" spans="5:9" ht="16.5" hidden="1">
      <c r="E10682" s="4" t="str">
        <v/>
      </c>
      <c r="F10682" s="102" t="str">
        <f ca="1">IFERROR(__xludf.DUMMYFUNCTION("IMPORTRANGE(H10682,""IDENTITAS UNIT!D9"")"),"#N/A")</f>
        <v>#N/A</v>
      </c>
      <c r="H10682" s="4" t="str">
        <v/>
      </c>
      <c r="I10682" s="4" t="str">
        <v/>
      </c>
    </row>
    <row r="10683" spans="5:9" ht="16.5" hidden="1">
      <c r="E10683" s="4" t="str">
        <v/>
      </c>
      <c r="F10683" s="102" t="str">
        <f ca="1">IFERROR(__xludf.DUMMYFUNCTION("IMPORTRANGE(H10683,""IDENTITAS UNIT!D9"")"),"#N/A")</f>
        <v>#N/A</v>
      </c>
      <c r="H10683" s="4" t="str">
        <v/>
      </c>
      <c r="I10683" s="4" t="str">
        <v/>
      </c>
    </row>
    <row r="10684" spans="5:9" ht="16.5" hidden="1">
      <c r="E10684" s="4" t="str">
        <v/>
      </c>
      <c r="F10684" s="102" t="str">
        <f ca="1">IFERROR(__xludf.DUMMYFUNCTION("IMPORTRANGE(H10684,""IDENTITAS UNIT!D9"")"),"#N/A")</f>
        <v>#N/A</v>
      </c>
      <c r="H10684" s="4" t="str">
        <v/>
      </c>
      <c r="I10684" s="4" t="str">
        <v/>
      </c>
    </row>
    <row r="10685" spans="5:9" ht="16.5" hidden="1">
      <c r="E10685" s="4" t="str">
        <v/>
      </c>
      <c r="F10685" s="102" t="str">
        <f ca="1">IFERROR(__xludf.DUMMYFUNCTION("IMPORTRANGE(H10685,""IDENTITAS UNIT!D9"")"),"#N/A")</f>
        <v>#N/A</v>
      </c>
      <c r="H10685" s="4" t="str">
        <v/>
      </c>
      <c r="I10685" s="4" t="str">
        <v/>
      </c>
    </row>
    <row r="10686" spans="5:9" ht="16.5" hidden="1">
      <c r="E10686" s="4" t="str">
        <v/>
      </c>
      <c r="F10686" s="102" t="str">
        <f ca="1">IFERROR(__xludf.DUMMYFUNCTION("IMPORTRANGE(H10686,""IDENTITAS UNIT!D9"")"),"#N/A")</f>
        <v>#N/A</v>
      </c>
      <c r="H10686" s="4" t="str">
        <v/>
      </c>
      <c r="I10686" s="4" t="str">
        <v/>
      </c>
    </row>
    <row r="10687" spans="5:9" ht="16.5" hidden="1">
      <c r="E10687" s="4" t="str">
        <v/>
      </c>
      <c r="F10687" s="102" t="str">
        <f ca="1">IFERROR(__xludf.DUMMYFUNCTION("IMPORTRANGE(H10687,""IDENTITAS UNIT!D9"")"),"#N/A")</f>
        <v>#N/A</v>
      </c>
      <c r="H10687" s="4" t="str">
        <v/>
      </c>
      <c r="I10687" s="4" t="str">
        <v/>
      </c>
    </row>
    <row r="10688" spans="5:9" ht="16.5" hidden="1">
      <c r="E10688" s="4" t="str">
        <v/>
      </c>
      <c r="F10688" s="102" t="str">
        <f ca="1">IFERROR(__xludf.DUMMYFUNCTION("IMPORTRANGE(H10688,""IDENTITAS UNIT!D9"")"),"#N/A")</f>
        <v>#N/A</v>
      </c>
      <c r="H10688" s="4" t="str">
        <v/>
      </c>
      <c r="I10688" s="4" t="str">
        <v/>
      </c>
    </row>
    <row r="10689" spans="5:9" ht="16.5" hidden="1">
      <c r="E10689" s="4" t="str">
        <v/>
      </c>
      <c r="F10689" s="102" t="str">
        <f ca="1">IFERROR(__xludf.DUMMYFUNCTION("IMPORTRANGE(H10689,""IDENTITAS UNIT!D9"")"),"#N/A")</f>
        <v>#N/A</v>
      </c>
      <c r="H10689" s="4" t="str">
        <v/>
      </c>
      <c r="I10689" s="4" t="str">
        <v/>
      </c>
    </row>
    <row r="10690" spans="5:9" ht="16.5" hidden="1">
      <c r="E10690" s="4" t="str">
        <v/>
      </c>
      <c r="F10690" s="102" t="str">
        <f ca="1">IFERROR(__xludf.DUMMYFUNCTION("IMPORTRANGE(H10690,""IDENTITAS UNIT!D9"")"),"#N/A")</f>
        <v>#N/A</v>
      </c>
      <c r="H10690" s="4" t="str">
        <v/>
      </c>
      <c r="I10690" s="4" t="str">
        <v/>
      </c>
    </row>
    <row r="10691" spans="5:9" ht="16.5" hidden="1">
      <c r="E10691" s="4" t="str">
        <v/>
      </c>
      <c r="F10691" s="102" t="str">
        <f ca="1">IFERROR(__xludf.DUMMYFUNCTION("IMPORTRANGE(H10691,""IDENTITAS UNIT!D9"")"),"#N/A")</f>
        <v>#N/A</v>
      </c>
      <c r="H10691" s="4" t="str">
        <v/>
      </c>
      <c r="I10691" s="4" t="str">
        <v/>
      </c>
    </row>
    <row r="10692" spans="5:9" ht="16.5" hidden="1">
      <c r="E10692" s="4" t="str">
        <v/>
      </c>
      <c r="F10692" s="102" t="str">
        <f ca="1">IFERROR(__xludf.DUMMYFUNCTION("IMPORTRANGE(H10692,""IDENTITAS UNIT!D9"")"),"#N/A")</f>
        <v>#N/A</v>
      </c>
      <c r="H10692" s="4" t="str">
        <v/>
      </c>
      <c r="I10692" s="4" t="str">
        <v/>
      </c>
    </row>
    <row r="10693" spans="5:9" ht="16.5" hidden="1">
      <c r="E10693" s="4" t="str">
        <v/>
      </c>
      <c r="F10693" s="102" t="str">
        <f ca="1">IFERROR(__xludf.DUMMYFUNCTION("IMPORTRANGE(H10693,""IDENTITAS UNIT!D9"")"),"#N/A")</f>
        <v>#N/A</v>
      </c>
      <c r="H10693" s="4" t="str">
        <v/>
      </c>
      <c r="I10693" s="4" t="str">
        <v/>
      </c>
    </row>
    <row r="10694" spans="5:9" ht="16.5" hidden="1">
      <c r="E10694" s="4" t="str">
        <v/>
      </c>
      <c r="F10694" s="102" t="str">
        <f ca="1">IFERROR(__xludf.DUMMYFUNCTION("IMPORTRANGE(H10694,""IDENTITAS UNIT!D9"")"),"#N/A")</f>
        <v>#N/A</v>
      </c>
      <c r="H10694" s="4" t="str">
        <v/>
      </c>
      <c r="I10694" s="4" t="str">
        <v/>
      </c>
    </row>
    <row r="10695" spans="5:9" ht="16.5" hidden="1">
      <c r="E10695" s="4" t="str">
        <v/>
      </c>
      <c r="F10695" s="102" t="str">
        <f ca="1">IFERROR(__xludf.DUMMYFUNCTION("IMPORTRANGE(H10695,""IDENTITAS UNIT!D9"")"),"#N/A")</f>
        <v>#N/A</v>
      </c>
      <c r="H10695" s="4" t="str">
        <v/>
      </c>
      <c r="I10695" s="4" t="str">
        <v/>
      </c>
    </row>
    <row r="10696" spans="5:9" ht="16.5" hidden="1">
      <c r="E10696" s="4" t="str">
        <v/>
      </c>
      <c r="F10696" s="102" t="str">
        <f ca="1">IFERROR(__xludf.DUMMYFUNCTION("IMPORTRANGE(H10696,""IDENTITAS UNIT!D9"")"),"#N/A")</f>
        <v>#N/A</v>
      </c>
      <c r="H10696" s="4" t="str">
        <v/>
      </c>
      <c r="I10696" s="4" t="str">
        <v/>
      </c>
    </row>
    <row r="10697" spans="5:9" ht="16.5" hidden="1">
      <c r="E10697" s="4" t="str">
        <v/>
      </c>
      <c r="F10697" s="102" t="str">
        <f ca="1">IFERROR(__xludf.DUMMYFUNCTION("IMPORTRANGE(H10697,""IDENTITAS UNIT!D9"")"),"#N/A")</f>
        <v>#N/A</v>
      </c>
      <c r="H10697" s="4" t="str">
        <v/>
      </c>
      <c r="I10697" s="4" t="str">
        <v/>
      </c>
    </row>
    <row r="10698" spans="5:9" ht="16.5" hidden="1">
      <c r="E10698" s="4" t="str">
        <v/>
      </c>
      <c r="F10698" s="102" t="str">
        <f ca="1">IFERROR(__xludf.DUMMYFUNCTION("IMPORTRANGE(H10698,""IDENTITAS UNIT!D9"")"),"#N/A")</f>
        <v>#N/A</v>
      </c>
      <c r="H10698" s="4" t="str">
        <v/>
      </c>
      <c r="I10698" s="4" t="str">
        <v/>
      </c>
    </row>
    <row r="10699" spans="5:9" ht="16.5" hidden="1">
      <c r="E10699" s="4" t="str">
        <v/>
      </c>
      <c r="F10699" s="102" t="str">
        <f ca="1">IFERROR(__xludf.DUMMYFUNCTION("IMPORTRANGE(H10699,""IDENTITAS UNIT!D9"")"),"#N/A")</f>
        <v>#N/A</v>
      </c>
      <c r="H10699" s="4" t="str">
        <v/>
      </c>
      <c r="I10699" s="4" t="str">
        <v/>
      </c>
    </row>
    <row r="10700" spans="5:9" ht="16.5" hidden="1">
      <c r="E10700" s="4" t="str">
        <v/>
      </c>
      <c r="F10700" s="102" t="str">
        <f ca="1">IFERROR(__xludf.DUMMYFUNCTION("IMPORTRANGE(H10700,""IDENTITAS UNIT!D9"")"),"#N/A")</f>
        <v>#N/A</v>
      </c>
      <c r="H10700" s="4" t="str">
        <v/>
      </c>
      <c r="I10700" s="4" t="str">
        <v/>
      </c>
    </row>
    <row r="10701" spans="5:9" ht="16.5" hidden="1">
      <c r="E10701" s="4" t="str">
        <v/>
      </c>
      <c r="F10701" s="102" t="str">
        <f ca="1">IFERROR(__xludf.DUMMYFUNCTION("IMPORTRANGE(H10701,""IDENTITAS UNIT!D9"")"),"#N/A")</f>
        <v>#N/A</v>
      </c>
      <c r="H10701" s="4" t="str">
        <v/>
      </c>
      <c r="I10701" s="4" t="str">
        <v/>
      </c>
    </row>
    <row r="10702" spans="5:9" ht="16.5" hidden="1">
      <c r="E10702" s="4" t="str">
        <v/>
      </c>
      <c r="F10702" s="102" t="str">
        <f ca="1">IFERROR(__xludf.DUMMYFUNCTION("IMPORTRANGE(H10702,""IDENTITAS UNIT!D9"")"),"#N/A")</f>
        <v>#N/A</v>
      </c>
      <c r="H10702" s="4" t="str">
        <v/>
      </c>
      <c r="I10702" s="4" t="str">
        <v/>
      </c>
    </row>
    <row r="10703" spans="5:9" ht="16.5" hidden="1">
      <c r="E10703" s="4" t="str">
        <v/>
      </c>
      <c r="F10703" s="102" t="str">
        <f ca="1">IFERROR(__xludf.DUMMYFUNCTION("IMPORTRANGE(H10703,""IDENTITAS UNIT!D9"")"),"#N/A")</f>
        <v>#N/A</v>
      </c>
      <c r="H10703" s="4" t="str">
        <v/>
      </c>
      <c r="I10703" s="4" t="str">
        <v/>
      </c>
    </row>
    <row r="10704" spans="5:9" ht="16.5" hidden="1">
      <c r="E10704" s="4" t="str">
        <v/>
      </c>
      <c r="F10704" s="102" t="str">
        <f ca="1">IFERROR(__xludf.DUMMYFUNCTION("IMPORTRANGE(H10704,""IDENTITAS UNIT!D9"")"),"#N/A")</f>
        <v>#N/A</v>
      </c>
      <c r="H10704" s="4" t="str">
        <v/>
      </c>
      <c r="I10704" s="4" t="str">
        <v/>
      </c>
    </row>
    <row r="10705" spans="5:9" ht="16.5" hidden="1">
      <c r="E10705" s="4" t="str">
        <v/>
      </c>
      <c r="F10705" s="102" t="str">
        <f ca="1">IFERROR(__xludf.DUMMYFUNCTION("IMPORTRANGE(H10705,""IDENTITAS UNIT!D9"")"),"#N/A")</f>
        <v>#N/A</v>
      </c>
      <c r="H10705" s="4" t="str">
        <v/>
      </c>
      <c r="I10705" s="4" t="str">
        <v/>
      </c>
    </row>
    <row r="10706" spans="5:9" ht="16.5" hidden="1">
      <c r="E10706" s="4" t="str">
        <v/>
      </c>
      <c r="F10706" s="102" t="str">
        <f ca="1">IFERROR(__xludf.DUMMYFUNCTION("IMPORTRANGE(H10706,""IDENTITAS UNIT!D9"")"),"#N/A")</f>
        <v>#N/A</v>
      </c>
      <c r="H10706" s="4" t="str">
        <v/>
      </c>
      <c r="I10706" s="4" t="str">
        <v/>
      </c>
    </row>
    <row r="10707" spans="5:9" ht="16.5" hidden="1">
      <c r="E10707" s="4" t="str">
        <v/>
      </c>
      <c r="F10707" s="102" t="str">
        <f ca="1">IFERROR(__xludf.DUMMYFUNCTION("IMPORTRANGE(H10707,""IDENTITAS UNIT!D9"")"),"#N/A")</f>
        <v>#N/A</v>
      </c>
      <c r="H10707" s="4" t="str">
        <v/>
      </c>
      <c r="I10707" s="4" t="str">
        <v/>
      </c>
    </row>
    <row r="10708" spans="5:9" ht="16.5" hidden="1">
      <c r="E10708" s="4" t="str">
        <v/>
      </c>
      <c r="F10708" s="102" t="str">
        <f ca="1">IFERROR(__xludf.DUMMYFUNCTION("IMPORTRANGE(H10708,""IDENTITAS UNIT!D9"")"),"#N/A")</f>
        <v>#N/A</v>
      </c>
      <c r="H10708" s="4" t="str">
        <v/>
      </c>
      <c r="I10708" s="4" t="str">
        <v/>
      </c>
    </row>
    <row r="10709" spans="5:9" ht="16.5" hidden="1">
      <c r="E10709" s="4" t="str">
        <v/>
      </c>
      <c r="F10709" s="102" t="str">
        <f ca="1">IFERROR(__xludf.DUMMYFUNCTION("IMPORTRANGE(H10709,""IDENTITAS UNIT!D9"")"),"#N/A")</f>
        <v>#N/A</v>
      </c>
      <c r="H10709" s="4" t="str">
        <v/>
      </c>
      <c r="I10709" s="4" t="str">
        <v/>
      </c>
    </row>
    <row r="10710" spans="5:9" ht="16.5" hidden="1">
      <c r="E10710" s="4" t="str">
        <v/>
      </c>
      <c r="F10710" s="102" t="str">
        <f ca="1">IFERROR(__xludf.DUMMYFUNCTION("IMPORTRANGE(H10710,""IDENTITAS UNIT!D9"")"),"#N/A")</f>
        <v>#N/A</v>
      </c>
      <c r="H10710" s="4" t="str">
        <v/>
      </c>
      <c r="I10710" s="4" t="str">
        <v/>
      </c>
    </row>
    <row r="10711" spans="5:9" ht="16.5" hidden="1">
      <c r="E10711" s="4" t="str">
        <v/>
      </c>
      <c r="F10711" s="102" t="str">
        <f ca="1">IFERROR(__xludf.DUMMYFUNCTION("IMPORTRANGE(H10711,""IDENTITAS UNIT!D9"")"),"#N/A")</f>
        <v>#N/A</v>
      </c>
      <c r="H10711" s="4" t="str">
        <v/>
      </c>
      <c r="I10711" s="4" t="str">
        <v/>
      </c>
    </row>
    <row r="10712" spans="5:9" ht="16.5" hidden="1">
      <c r="E10712" s="4" t="str">
        <v/>
      </c>
      <c r="F10712" s="102" t="str">
        <f ca="1">IFERROR(__xludf.DUMMYFUNCTION("IMPORTRANGE(H10712,""IDENTITAS UNIT!D9"")"),"#N/A")</f>
        <v>#N/A</v>
      </c>
      <c r="H10712" s="4" t="str">
        <v/>
      </c>
      <c r="I10712" s="4" t="str">
        <v/>
      </c>
    </row>
    <row r="10713" spans="5:9" ht="16.5" hidden="1">
      <c r="E10713" s="4" t="str">
        <v/>
      </c>
      <c r="F10713" s="102" t="str">
        <f ca="1">IFERROR(__xludf.DUMMYFUNCTION("IMPORTRANGE(H10713,""IDENTITAS UNIT!D9"")"),"#N/A")</f>
        <v>#N/A</v>
      </c>
      <c r="H10713" s="4" t="str">
        <v/>
      </c>
      <c r="I10713" s="4" t="str">
        <v/>
      </c>
    </row>
    <row r="10714" spans="5:9" ht="16.5" hidden="1">
      <c r="E10714" s="4" t="str">
        <v/>
      </c>
      <c r="F10714" s="102" t="str">
        <f ca="1">IFERROR(__xludf.DUMMYFUNCTION("IMPORTRANGE(H10714,""IDENTITAS UNIT!D9"")"),"#N/A")</f>
        <v>#N/A</v>
      </c>
      <c r="H10714" s="4" t="str">
        <v/>
      </c>
      <c r="I10714" s="4" t="str">
        <v/>
      </c>
    </row>
    <row r="10715" spans="5:9" ht="16.5" hidden="1">
      <c r="E10715" s="4" t="str">
        <v/>
      </c>
      <c r="F10715" s="102" t="str">
        <f ca="1">IFERROR(__xludf.DUMMYFUNCTION("IMPORTRANGE(H10715,""IDENTITAS UNIT!D9"")"),"#N/A")</f>
        <v>#N/A</v>
      </c>
      <c r="H10715" s="4" t="str">
        <v/>
      </c>
      <c r="I10715" s="4" t="str">
        <v/>
      </c>
    </row>
    <row r="10716" spans="5:9" ht="16.5" hidden="1">
      <c r="E10716" s="4" t="str">
        <v/>
      </c>
      <c r="F10716" s="102" t="str">
        <f ca="1">IFERROR(__xludf.DUMMYFUNCTION("IMPORTRANGE(H10716,""IDENTITAS UNIT!D9"")"),"#N/A")</f>
        <v>#N/A</v>
      </c>
      <c r="H10716" s="4" t="str">
        <v/>
      </c>
      <c r="I10716" s="4" t="str">
        <v/>
      </c>
    </row>
    <row r="10717" spans="5:9" ht="16.5" hidden="1">
      <c r="E10717" s="4" t="str">
        <v/>
      </c>
      <c r="F10717" s="102" t="str">
        <f ca="1">IFERROR(__xludf.DUMMYFUNCTION("IMPORTRANGE(H10717,""IDENTITAS UNIT!D9"")"),"#N/A")</f>
        <v>#N/A</v>
      </c>
      <c r="H10717" s="4" t="str">
        <v/>
      </c>
      <c r="I10717" s="4" t="str">
        <v/>
      </c>
    </row>
    <row r="10718" spans="5:9" ht="16.5" hidden="1">
      <c r="E10718" s="4" t="str">
        <v/>
      </c>
      <c r="F10718" s="102" t="str">
        <f ca="1">IFERROR(__xludf.DUMMYFUNCTION("IMPORTRANGE(H10718,""IDENTITAS UNIT!D9"")"),"#N/A")</f>
        <v>#N/A</v>
      </c>
      <c r="H10718" s="4" t="str">
        <v/>
      </c>
      <c r="I10718" s="4" t="str">
        <v/>
      </c>
    </row>
    <row r="10719" spans="5:9" ht="16.5" hidden="1">
      <c r="E10719" s="4" t="str">
        <v/>
      </c>
      <c r="F10719" s="102" t="str">
        <f ca="1">IFERROR(__xludf.DUMMYFUNCTION("IMPORTRANGE(H10719,""IDENTITAS UNIT!D9"")"),"#N/A")</f>
        <v>#N/A</v>
      </c>
      <c r="H10719" s="4" t="str">
        <v/>
      </c>
      <c r="I10719" s="4" t="str">
        <v/>
      </c>
    </row>
    <row r="10720" spans="5:9" ht="16.5" hidden="1">
      <c r="E10720" s="4" t="str">
        <v/>
      </c>
      <c r="F10720" s="102" t="str">
        <f ca="1">IFERROR(__xludf.DUMMYFUNCTION("IMPORTRANGE(H10720,""IDENTITAS UNIT!D9"")"),"#N/A")</f>
        <v>#N/A</v>
      </c>
      <c r="H10720" s="4" t="str">
        <v/>
      </c>
      <c r="I10720" s="4" t="str">
        <v/>
      </c>
    </row>
    <row r="10721" spans="5:9" ht="16.5" hidden="1">
      <c r="E10721" s="4" t="str">
        <v/>
      </c>
      <c r="F10721" s="102" t="str">
        <f ca="1">IFERROR(__xludf.DUMMYFUNCTION("IMPORTRANGE(H10721,""IDENTITAS UNIT!D9"")"),"#N/A")</f>
        <v>#N/A</v>
      </c>
      <c r="H10721" s="4" t="str">
        <v/>
      </c>
      <c r="I10721" s="4" t="str">
        <v/>
      </c>
    </row>
    <row r="10722" spans="5:9" ht="16.5" hidden="1">
      <c r="E10722" s="4" t="str">
        <v/>
      </c>
      <c r="F10722" s="102" t="str">
        <f ca="1">IFERROR(__xludf.DUMMYFUNCTION("IMPORTRANGE(H10722,""IDENTITAS UNIT!D9"")"),"#N/A")</f>
        <v>#N/A</v>
      </c>
      <c r="H10722" s="4" t="str">
        <v/>
      </c>
      <c r="I10722" s="4" t="str">
        <v/>
      </c>
    </row>
    <row r="10723" spans="5:9" ht="16.5" hidden="1">
      <c r="E10723" s="4" t="str">
        <v/>
      </c>
      <c r="F10723" s="102" t="str">
        <f ca="1">IFERROR(__xludf.DUMMYFUNCTION("IMPORTRANGE(H10723,""IDENTITAS UNIT!D9"")"),"#N/A")</f>
        <v>#N/A</v>
      </c>
      <c r="H10723" s="4" t="str">
        <v/>
      </c>
      <c r="I10723" s="4" t="str">
        <v/>
      </c>
    </row>
    <row r="10724" spans="5:9" ht="16.5" hidden="1">
      <c r="E10724" s="4" t="str">
        <v/>
      </c>
      <c r="F10724" s="102" t="str">
        <f ca="1">IFERROR(__xludf.DUMMYFUNCTION("IMPORTRANGE(H10724,""IDENTITAS UNIT!D9"")"),"#N/A")</f>
        <v>#N/A</v>
      </c>
      <c r="H10724" s="4" t="str">
        <v/>
      </c>
      <c r="I10724" s="4" t="str">
        <v/>
      </c>
    </row>
    <row r="10725" spans="5:9" ht="16.5" hidden="1">
      <c r="E10725" s="4" t="str">
        <v/>
      </c>
      <c r="F10725" s="102" t="str">
        <f ca="1">IFERROR(__xludf.DUMMYFUNCTION("IMPORTRANGE(H10725,""IDENTITAS UNIT!D9"")"),"#N/A")</f>
        <v>#N/A</v>
      </c>
      <c r="H10725" s="4" t="str">
        <v/>
      </c>
      <c r="I10725" s="4" t="str">
        <v/>
      </c>
    </row>
    <row r="10726" spans="5:9" ht="16.5" hidden="1">
      <c r="E10726" s="4" t="str">
        <v/>
      </c>
      <c r="F10726" s="102" t="str">
        <f ca="1">IFERROR(__xludf.DUMMYFUNCTION("IMPORTRANGE(H10726,""IDENTITAS UNIT!D9"")"),"#N/A")</f>
        <v>#N/A</v>
      </c>
      <c r="H10726" s="4" t="str">
        <v/>
      </c>
      <c r="I10726" s="4" t="str">
        <v/>
      </c>
    </row>
    <row r="10727" spans="5:9" ht="16.5" hidden="1">
      <c r="E10727" s="4" t="str">
        <v/>
      </c>
      <c r="F10727" s="102" t="str">
        <f ca="1">IFERROR(__xludf.DUMMYFUNCTION("IMPORTRANGE(H10727,""IDENTITAS UNIT!D9"")"),"#N/A")</f>
        <v>#N/A</v>
      </c>
      <c r="H10727" s="4" t="str">
        <v/>
      </c>
      <c r="I10727" s="4" t="str">
        <v/>
      </c>
    </row>
    <row r="10728" spans="5:9" ht="16.5" hidden="1">
      <c r="E10728" s="4" t="str">
        <v/>
      </c>
      <c r="F10728" s="102" t="str">
        <f ca="1">IFERROR(__xludf.DUMMYFUNCTION("IMPORTRANGE(H10728,""IDENTITAS UNIT!D9"")"),"#N/A")</f>
        <v>#N/A</v>
      </c>
      <c r="H10728" s="4" t="str">
        <v/>
      </c>
      <c r="I10728" s="4" t="str">
        <v/>
      </c>
    </row>
    <row r="10729" spans="5:9" ht="16.5" hidden="1">
      <c r="E10729" s="4" t="str">
        <v/>
      </c>
      <c r="F10729" s="102" t="str">
        <f ca="1">IFERROR(__xludf.DUMMYFUNCTION("IMPORTRANGE(H10729,""IDENTITAS UNIT!D9"")"),"#N/A")</f>
        <v>#N/A</v>
      </c>
      <c r="H10729" s="4" t="str">
        <v/>
      </c>
      <c r="I10729" s="4" t="str">
        <v/>
      </c>
    </row>
    <row r="10730" spans="5:9" ht="16.5" hidden="1">
      <c r="E10730" s="4" t="str">
        <v/>
      </c>
      <c r="F10730" s="102" t="str">
        <f ca="1">IFERROR(__xludf.DUMMYFUNCTION("IMPORTRANGE(H10730,""IDENTITAS UNIT!D9"")"),"#N/A")</f>
        <v>#N/A</v>
      </c>
      <c r="H10730" s="4" t="str">
        <v/>
      </c>
      <c r="I10730" s="4" t="str">
        <v/>
      </c>
    </row>
    <row r="10731" spans="5:9" ht="16.5" hidden="1">
      <c r="E10731" s="4" t="str">
        <v/>
      </c>
      <c r="F10731" s="102" t="str">
        <f ca="1">IFERROR(__xludf.DUMMYFUNCTION("IMPORTRANGE(H10731,""IDENTITAS UNIT!D9"")"),"#N/A")</f>
        <v>#N/A</v>
      </c>
      <c r="H10731" s="4" t="str">
        <v/>
      </c>
      <c r="I10731" s="4" t="str">
        <v/>
      </c>
    </row>
    <row r="10732" spans="5:9" ht="16.5" hidden="1">
      <c r="E10732" s="4" t="str">
        <v/>
      </c>
      <c r="F10732" s="102" t="str">
        <f ca="1">IFERROR(__xludf.DUMMYFUNCTION("IMPORTRANGE(H10732,""IDENTITAS UNIT!D9"")"),"#N/A")</f>
        <v>#N/A</v>
      </c>
      <c r="H10732" s="4" t="str">
        <v/>
      </c>
      <c r="I10732" s="4" t="str">
        <v/>
      </c>
    </row>
    <row r="10733" spans="5:9" ht="16.5" hidden="1">
      <c r="E10733" s="4" t="str">
        <v/>
      </c>
      <c r="F10733" s="102" t="str">
        <f ca="1">IFERROR(__xludf.DUMMYFUNCTION("IMPORTRANGE(H10733,""IDENTITAS UNIT!D9"")"),"#N/A")</f>
        <v>#N/A</v>
      </c>
      <c r="H10733" s="4" t="str">
        <v/>
      </c>
      <c r="I10733" s="4" t="str">
        <v/>
      </c>
    </row>
    <row r="10734" spans="5:9" ht="16.5" hidden="1">
      <c r="E10734" s="4" t="str">
        <v/>
      </c>
      <c r="F10734" s="102" t="str">
        <f ca="1">IFERROR(__xludf.DUMMYFUNCTION("IMPORTRANGE(H10734,""IDENTITAS UNIT!D9"")"),"#N/A")</f>
        <v>#N/A</v>
      </c>
      <c r="H10734" s="4" t="str">
        <v/>
      </c>
      <c r="I10734" s="4" t="str">
        <v/>
      </c>
    </row>
    <row r="10735" spans="5:9" ht="16.5" hidden="1">
      <c r="E10735" s="4" t="str">
        <v/>
      </c>
      <c r="F10735" s="102" t="str">
        <f ca="1">IFERROR(__xludf.DUMMYFUNCTION("IMPORTRANGE(H10735,""IDENTITAS UNIT!D9"")"),"#N/A")</f>
        <v>#N/A</v>
      </c>
      <c r="H10735" s="4" t="str">
        <v/>
      </c>
      <c r="I10735" s="4" t="str">
        <v/>
      </c>
    </row>
    <row r="10736" spans="5:9" ht="16.5" hidden="1">
      <c r="E10736" s="4" t="str">
        <v/>
      </c>
      <c r="F10736" s="102" t="str">
        <f ca="1">IFERROR(__xludf.DUMMYFUNCTION("IMPORTRANGE(H10736,""IDENTITAS UNIT!D9"")"),"#N/A")</f>
        <v>#N/A</v>
      </c>
      <c r="H10736" s="4" t="str">
        <v/>
      </c>
      <c r="I10736" s="4" t="str">
        <v/>
      </c>
    </row>
    <row r="10737" spans="5:9" ht="16.5" hidden="1">
      <c r="E10737" s="4" t="str">
        <v/>
      </c>
      <c r="F10737" s="102" t="str">
        <f ca="1">IFERROR(__xludf.DUMMYFUNCTION("IMPORTRANGE(H10737,""IDENTITAS UNIT!D9"")"),"#N/A")</f>
        <v>#N/A</v>
      </c>
      <c r="H10737" s="4" t="str">
        <v/>
      </c>
      <c r="I10737" s="4" t="str">
        <v/>
      </c>
    </row>
    <row r="10738" spans="5:9" ht="16.5" hidden="1">
      <c r="E10738" s="4" t="str">
        <v/>
      </c>
      <c r="F10738" s="102" t="str">
        <f ca="1">IFERROR(__xludf.DUMMYFUNCTION("IMPORTRANGE(H10738,""IDENTITAS UNIT!D9"")"),"#N/A")</f>
        <v>#N/A</v>
      </c>
      <c r="H10738" s="4" t="str">
        <v/>
      </c>
      <c r="I10738" s="4" t="str">
        <v/>
      </c>
    </row>
    <row r="10739" spans="5:9" ht="16.5" hidden="1">
      <c r="E10739" s="4" t="str">
        <v/>
      </c>
      <c r="F10739" s="102" t="str">
        <f ca="1">IFERROR(__xludf.DUMMYFUNCTION("IMPORTRANGE(H10739,""IDENTITAS UNIT!D9"")"),"#N/A")</f>
        <v>#N/A</v>
      </c>
      <c r="H10739" s="4" t="str">
        <v/>
      </c>
      <c r="I10739" s="4" t="str">
        <v/>
      </c>
    </row>
    <row r="10740" spans="5:9" ht="16.5" hidden="1">
      <c r="E10740" s="4" t="str">
        <v/>
      </c>
      <c r="F10740" s="102" t="str">
        <f ca="1">IFERROR(__xludf.DUMMYFUNCTION("IMPORTRANGE(H10740,""IDENTITAS UNIT!D9"")"),"#N/A")</f>
        <v>#N/A</v>
      </c>
      <c r="H10740" s="4" t="str">
        <v/>
      </c>
      <c r="I10740" s="4" t="str">
        <v/>
      </c>
    </row>
    <row r="10741" spans="5:9" ht="16.5" hidden="1">
      <c r="E10741" s="4" t="str">
        <v/>
      </c>
      <c r="F10741" s="102" t="str">
        <f ca="1">IFERROR(__xludf.DUMMYFUNCTION("IMPORTRANGE(H10741,""IDENTITAS UNIT!D9"")"),"#N/A")</f>
        <v>#N/A</v>
      </c>
      <c r="H10741" s="4" t="str">
        <v/>
      </c>
      <c r="I10741" s="4" t="str">
        <v/>
      </c>
    </row>
    <row r="10742" spans="5:9" ht="16.5" hidden="1">
      <c r="E10742" s="4" t="str">
        <v/>
      </c>
      <c r="F10742" s="102" t="str">
        <f ca="1">IFERROR(__xludf.DUMMYFUNCTION("IMPORTRANGE(H10742,""IDENTITAS UNIT!D9"")"),"#N/A")</f>
        <v>#N/A</v>
      </c>
      <c r="H10742" s="4" t="str">
        <v/>
      </c>
      <c r="I10742" s="4" t="str">
        <v/>
      </c>
    </row>
    <row r="10743" spans="5:9" ht="16.5" hidden="1">
      <c r="E10743" s="4" t="str">
        <v/>
      </c>
      <c r="F10743" s="102" t="str">
        <f ca="1">IFERROR(__xludf.DUMMYFUNCTION("IMPORTRANGE(H10743,""IDENTITAS UNIT!D9"")"),"#N/A")</f>
        <v>#N/A</v>
      </c>
      <c r="H10743" s="4" t="str">
        <v/>
      </c>
      <c r="I10743" s="4" t="str">
        <v/>
      </c>
    </row>
    <row r="10744" spans="5:9" ht="16.5" hidden="1">
      <c r="E10744" s="4" t="str">
        <v/>
      </c>
      <c r="F10744" s="102" t="str">
        <f ca="1">IFERROR(__xludf.DUMMYFUNCTION("IMPORTRANGE(H10744,""IDENTITAS UNIT!D9"")"),"#N/A")</f>
        <v>#N/A</v>
      </c>
      <c r="H10744" s="4" t="str">
        <v/>
      </c>
      <c r="I10744" s="4" t="str">
        <v/>
      </c>
    </row>
    <row r="10745" spans="5:9" ht="16.5" hidden="1">
      <c r="E10745" s="4" t="str">
        <v/>
      </c>
      <c r="F10745" s="102" t="str">
        <f ca="1">IFERROR(__xludf.DUMMYFUNCTION("IMPORTRANGE(H10745,""IDENTITAS UNIT!D9"")"),"#N/A")</f>
        <v>#N/A</v>
      </c>
      <c r="H10745" s="4" t="str">
        <v/>
      </c>
      <c r="I10745" s="4" t="str">
        <v/>
      </c>
    </row>
    <row r="10746" spans="5:9" ht="16.5" hidden="1">
      <c r="E10746" s="4" t="str">
        <v/>
      </c>
      <c r="F10746" s="102" t="str">
        <f ca="1">IFERROR(__xludf.DUMMYFUNCTION("IMPORTRANGE(H10746,""IDENTITAS UNIT!D9"")"),"#N/A")</f>
        <v>#N/A</v>
      </c>
      <c r="H10746" s="4" t="str">
        <v/>
      </c>
      <c r="I10746" s="4" t="str">
        <v/>
      </c>
    </row>
    <row r="10747" spans="5:9" ht="16.5" hidden="1">
      <c r="E10747" s="4" t="str">
        <v/>
      </c>
      <c r="F10747" s="102" t="str">
        <f ca="1">IFERROR(__xludf.DUMMYFUNCTION("IMPORTRANGE(H10747,""IDENTITAS UNIT!D9"")"),"#N/A")</f>
        <v>#N/A</v>
      </c>
      <c r="H10747" s="4" t="str">
        <v/>
      </c>
      <c r="I10747" s="4" t="str">
        <v/>
      </c>
    </row>
    <row r="10748" spans="5:9" ht="16.5" hidden="1">
      <c r="E10748" s="4" t="str">
        <v/>
      </c>
      <c r="F10748" s="102" t="str">
        <f ca="1">IFERROR(__xludf.DUMMYFUNCTION("IMPORTRANGE(H10748,""IDENTITAS UNIT!D9"")"),"#N/A")</f>
        <v>#N/A</v>
      </c>
      <c r="H10748" s="4" t="str">
        <v/>
      </c>
      <c r="I10748" s="4" t="str">
        <v/>
      </c>
    </row>
    <row r="10749" spans="5:9" ht="16.5" hidden="1">
      <c r="E10749" s="4" t="str">
        <v/>
      </c>
      <c r="F10749" s="102" t="str">
        <f ca="1">IFERROR(__xludf.DUMMYFUNCTION("IMPORTRANGE(H10749,""IDENTITAS UNIT!D9"")"),"#N/A")</f>
        <v>#N/A</v>
      </c>
      <c r="H10749" s="4" t="str">
        <v/>
      </c>
      <c r="I10749" s="4" t="str">
        <v/>
      </c>
    </row>
    <row r="10750" spans="5:9" ht="16.5" hidden="1">
      <c r="E10750" s="4" t="str">
        <v/>
      </c>
      <c r="F10750" s="102" t="str">
        <f ca="1">IFERROR(__xludf.DUMMYFUNCTION("IMPORTRANGE(H10750,""IDENTITAS UNIT!D9"")"),"#N/A")</f>
        <v>#N/A</v>
      </c>
      <c r="H10750" s="4" t="str">
        <v/>
      </c>
      <c r="I10750" s="4" t="str">
        <v/>
      </c>
    </row>
    <row r="10751" spans="5:9" ht="16.5" hidden="1">
      <c r="E10751" s="4" t="str">
        <v/>
      </c>
      <c r="F10751" s="102" t="str">
        <f ca="1">IFERROR(__xludf.DUMMYFUNCTION("IMPORTRANGE(H10751,""IDENTITAS UNIT!D9"")"),"#N/A")</f>
        <v>#N/A</v>
      </c>
      <c r="H10751" s="4" t="str">
        <v/>
      </c>
      <c r="I10751" s="4" t="str">
        <v/>
      </c>
    </row>
    <row r="10752" spans="5:9" ht="16.5" hidden="1">
      <c r="E10752" s="4" t="str">
        <v/>
      </c>
      <c r="F10752" s="102" t="str">
        <f ca="1">IFERROR(__xludf.DUMMYFUNCTION("IMPORTRANGE(H10752,""IDENTITAS UNIT!D9"")"),"#N/A")</f>
        <v>#N/A</v>
      </c>
      <c r="H10752" s="4" t="str">
        <v/>
      </c>
      <c r="I10752" s="4" t="str">
        <v/>
      </c>
    </row>
    <row r="10753" spans="5:9" ht="16.5" hidden="1">
      <c r="E10753" s="4" t="str">
        <v/>
      </c>
      <c r="F10753" s="102" t="str">
        <f ca="1">IFERROR(__xludf.DUMMYFUNCTION("IMPORTRANGE(H10753,""IDENTITAS UNIT!D9"")"),"#N/A")</f>
        <v>#N/A</v>
      </c>
      <c r="H10753" s="4" t="str">
        <v/>
      </c>
      <c r="I10753" s="4" t="str">
        <v/>
      </c>
    </row>
    <row r="10754" spans="5:9" ht="16.5" hidden="1">
      <c r="E10754" s="4" t="str">
        <v/>
      </c>
      <c r="F10754" s="102" t="str">
        <f ca="1">IFERROR(__xludf.DUMMYFUNCTION("IMPORTRANGE(H10754,""IDENTITAS UNIT!D9"")"),"#N/A")</f>
        <v>#N/A</v>
      </c>
      <c r="H10754" s="4" t="str">
        <v/>
      </c>
      <c r="I10754" s="4" t="str">
        <v/>
      </c>
    </row>
    <row r="10755" spans="5:9" ht="16.5" hidden="1">
      <c r="E10755" s="4" t="str">
        <v/>
      </c>
      <c r="F10755" s="102" t="str">
        <f ca="1">IFERROR(__xludf.DUMMYFUNCTION("IMPORTRANGE(H10755,""IDENTITAS UNIT!D9"")"),"#N/A")</f>
        <v>#N/A</v>
      </c>
      <c r="H10755" s="4" t="str">
        <v/>
      </c>
      <c r="I10755" s="4" t="str">
        <v/>
      </c>
    </row>
    <row r="10756" spans="5:9" ht="16.5" hidden="1">
      <c r="E10756" s="4" t="str">
        <v/>
      </c>
      <c r="F10756" s="102" t="str">
        <f ca="1">IFERROR(__xludf.DUMMYFUNCTION("IMPORTRANGE(H10756,""IDENTITAS UNIT!D9"")"),"#N/A")</f>
        <v>#N/A</v>
      </c>
      <c r="H10756" s="4" t="str">
        <v/>
      </c>
      <c r="I10756" s="4" t="str">
        <v/>
      </c>
    </row>
    <row r="10757" spans="5:9" ht="16.5" hidden="1">
      <c r="E10757" s="4" t="str">
        <v/>
      </c>
      <c r="F10757" s="102" t="str">
        <f ca="1">IFERROR(__xludf.DUMMYFUNCTION("IMPORTRANGE(H10757,""IDENTITAS UNIT!D9"")"),"#N/A")</f>
        <v>#N/A</v>
      </c>
      <c r="H10757" s="4" t="str">
        <v/>
      </c>
      <c r="I10757" s="4" t="str">
        <v/>
      </c>
    </row>
    <row r="10758" spans="5:9" ht="16.5" hidden="1">
      <c r="E10758" s="4" t="str">
        <v/>
      </c>
      <c r="F10758" s="102" t="str">
        <f ca="1">IFERROR(__xludf.DUMMYFUNCTION("IMPORTRANGE(H10758,""IDENTITAS UNIT!D9"")"),"#N/A")</f>
        <v>#N/A</v>
      </c>
      <c r="H10758" s="4" t="str">
        <v/>
      </c>
      <c r="I10758" s="4" t="str">
        <v/>
      </c>
    </row>
    <row r="10759" spans="5:9" ht="16.5" hidden="1">
      <c r="E10759" s="4" t="str">
        <v/>
      </c>
      <c r="F10759" s="102" t="str">
        <f ca="1">IFERROR(__xludf.DUMMYFUNCTION("IMPORTRANGE(H10759,""IDENTITAS UNIT!D9"")"),"#N/A")</f>
        <v>#N/A</v>
      </c>
      <c r="H10759" s="4" t="str">
        <v/>
      </c>
      <c r="I10759" s="4" t="str">
        <v/>
      </c>
    </row>
    <row r="10760" spans="5:9" ht="16.5" hidden="1">
      <c r="E10760" s="4" t="str">
        <v/>
      </c>
      <c r="F10760" s="102" t="str">
        <f ca="1">IFERROR(__xludf.DUMMYFUNCTION("IMPORTRANGE(H10760,""IDENTITAS UNIT!D9"")"),"#N/A")</f>
        <v>#N/A</v>
      </c>
      <c r="H10760" s="4" t="str">
        <v/>
      </c>
      <c r="I10760" s="4" t="str">
        <v/>
      </c>
    </row>
    <row r="10761" spans="5:9" ht="16.5" hidden="1">
      <c r="E10761" s="4" t="str">
        <v/>
      </c>
      <c r="F10761" s="102" t="str">
        <f ca="1">IFERROR(__xludf.DUMMYFUNCTION("IMPORTRANGE(H10761,""IDENTITAS UNIT!D9"")"),"#N/A")</f>
        <v>#N/A</v>
      </c>
      <c r="H10761" s="4" t="str">
        <v/>
      </c>
      <c r="I10761" s="4" t="str">
        <v/>
      </c>
    </row>
    <row r="10762" spans="5:9" ht="16.5" hidden="1">
      <c r="E10762" s="4" t="str">
        <v/>
      </c>
      <c r="F10762" s="102" t="str">
        <f ca="1">IFERROR(__xludf.DUMMYFUNCTION("IMPORTRANGE(H10762,""IDENTITAS UNIT!D9"")"),"#N/A")</f>
        <v>#N/A</v>
      </c>
      <c r="H10762" s="4" t="str">
        <v/>
      </c>
      <c r="I10762" s="4" t="str">
        <v/>
      </c>
    </row>
    <row r="10763" spans="5:9" ht="16.5" hidden="1">
      <c r="E10763" s="4" t="str">
        <v/>
      </c>
      <c r="F10763" s="102" t="str">
        <f ca="1">IFERROR(__xludf.DUMMYFUNCTION("IMPORTRANGE(H10763,""IDENTITAS UNIT!D9"")"),"#N/A")</f>
        <v>#N/A</v>
      </c>
      <c r="H10763" s="4" t="str">
        <v/>
      </c>
      <c r="I10763" s="4" t="str">
        <v/>
      </c>
    </row>
    <row r="10764" spans="5:9" ht="16.5" hidden="1">
      <c r="E10764" s="4" t="str">
        <v/>
      </c>
      <c r="F10764" s="102" t="str">
        <f ca="1">IFERROR(__xludf.DUMMYFUNCTION("IMPORTRANGE(H10764,""IDENTITAS UNIT!D9"")"),"#N/A")</f>
        <v>#N/A</v>
      </c>
      <c r="H10764" s="4" t="str">
        <v/>
      </c>
      <c r="I10764" s="4" t="str">
        <v/>
      </c>
    </row>
    <row r="10765" spans="5:9" ht="16.5" hidden="1">
      <c r="E10765" s="4" t="str">
        <v/>
      </c>
      <c r="F10765" s="102" t="str">
        <f ca="1">IFERROR(__xludf.DUMMYFUNCTION("IMPORTRANGE(H10765,""IDENTITAS UNIT!D9"")"),"#N/A")</f>
        <v>#N/A</v>
      </c>
      <c r="H10765" s="4" t="str">
        <v/>
      </c>
      <c r="I10765" s="4" t="str">
        <v/>
      </c>
    </row>
    <row r="10766" spans="5:9" ht="16.5" hidden="1">
      <c r="E10766" s="4" t="str">
        <v/>
      </c>
      <c r="F10766" s="102" t="str">
        <f ca="1">IFERROR(__xludf.DUMMYFUNCTION("IMPORTRANGE(H10766,""IDENTITAS UNIT!D9"")"),"#N/A")</f>
        <v>#N/A</v>
      </c>
      <c r="H10766" s="4" t="str">
        <v/>
      </c>
      <c r="I10766" s="4" t="str">
        <v/>
      </c>
    </row>
    <row r="10767" spans="5:9" ht="16.5" hidden="1">
      <c r="E10767" s="4" t="str">
        <v/>
      </c>
      <c r="F10767" s="102" t="str">
        <f ca="1">IFERROR(__xludf.DUMMYFUNCTION("IMPORTRANGE(H10767,""IDENTITAS UNIT!D9"")"),"#N/A")</f>
        <v>#N/A</v>
      </c>
      <c r="H10767" s="4" t="str">
        <v/>
      </c>
      <c r="I10767" s="4" t="str">
        <v/>
      </c>
    </row>
    <row r="10768" spans="5:9" ht="16.5" hidden="1">
      <c r="E10768" s="4" t="str">
        <v/>
      </c>
      <c r="F10768" s="102" t="str">
        <f ca="1">IFERROR(__xludf.DUMMYFUNCTION("IMPORTRANGE(H10768,""IDENTITAS UNIT!D9"")"),"#N/A")</f>
        <v>#N/A</v>
      </c>
      <c r="H10768" s="4" t="str">
        <v/>
      </c>
      <c r="I10768" s="4" t="str">
        <v/>
      </c>
    </row>
    <row r="10769" spans="5:9" ht="16.5" hidden="1">
      <c r="E10769" s="4" t="str">
        <v/>
      </c>
      <c r="F10769" s="102" t="str">
        <f ca="1">IFERROR(__xludf.DUMMYFUNCTION("IMPORTRANGE(H10769,""IDENTITAS UNIT!D9"")"),"#N/A")</f>
        <v>#N/A</v>
      </c>
      <c r="H10769" s="4" t="str">
        <v/>
      </c>
      <c r="I10769" s="4" t="str">
        <v/>
      </c>
    </row>
    <row r="10770" spans="5:9" ht="16.5" hidden="1">
      <c r="E10770" s="4" t="str">
        <v/>
      </c>
      <c r="F10770" s="102" t="str">
        <f ca="1">IFERROR(__xludf.DUMMYFUNCTION("IMPORTRANGE(H10770,""IDENTITAS UNIT!D9"")"),"#N/A")</f>
        <v>#N/A</v>
      </c>
      <c r="H10770" s="4" t="str">
        <v/>
      </c>
      <c r="I10770" s="4" t="str">
        <v/>
      </c>
    </row>
    <row r="10771" spans="5:9" ht="16.5" hidden="1">
      <c r="E10771" s="4" t="str">
        <v/>
      </c>
      <c r="F10771" s="102" t="str">
        <f ca="1">IFERROR(__xludf.DUMMYFUNCTION("IMPORTRANGE(H10771,""IDENTITAS UNIT!D9"")"),"#N/A")</f>
        <v>#N/A</v>
      </c>
      <c r="H10771" s="4" t="str">
        <v/>
      </c>
      <c r="I10771" s="4" t="str">
        <v/>
      </c>
    </row>
    <row r="10772" spans="5:9" ht="16.5" hidden="1">
      <c r="E10772" s="4" t="str">
        <v/>
      </c>
      <c r="F10772" s="102" t="str">
        <f ca="1">IFERROR(__xludf.DUMMYFUNCTION("IMPORTRANGE(H10772,""IDENTITAS UNIT!D9"")"),"#N/A")</f>
        <v>#N/A</v>
      </c>
      <c r="H10772" s="4" t="str">
        <v/>
      </c>
      <c r="I10772" s="4" t="str">
        <v/>
      </c>
    </row>
    <row r="10773" spans="5:9" ht="16.5" hidden="1">
      <c r="E10773" s="4" t="str">
        <v/>
      </c>
      <c r="F10773" s="102" t="str">
        <f ca="1">IFERROR(__xludf.DUMMYFUNCTION("IMPORTRANGE(H10773,""IDENTITAS UNIT!D9"")"),"#N/A")</f>
        <v>#N/A</v>
      </c>
      <c r="H10773" s="4" t="str">
        <v/>
      </c>
      <c r="I10773" s="4" t="str">
        <v/>
      </c>
    </row>
    <row r="10774" spans="5:9" ht="16.5" hidden="1">
      <c r="E10774" s="4" t="str">
        <v/>
      </c>
      <c r="F10774" s="102" t="str">
        <f ca="1">IFERROR(__xludf.DUMMYFUNCTION("IMPORTRANGE(H10774,""IDENTITAS UNIT!D9"")"),"#N/A")</f>
        <v>#N/A</v>
      </c>
      <c r="H10774" s="4" t="str">
        <v/>
      </c>
      <c r="I10774" s="4" t="str">
        <v/>
      </c>
    </row>
    <row r="10775" spans="5:9" ht="16.5" hidden="1">
      <c r="E10775" s="4" t="str">
        <v/>
      </c>
      <c r="F10775" s="102" t="str">
        <f ca="1">IFERROR(__xludf.DUMMYFUNCTION("IMPORTRANGE(H10775,""IDENTITAS UNIT!D9"")"),"#N/A")</f>
        <v>#N/A</v>
      </c>
      <c r="H10775" s="4" t="str">
        <v/>
      </c>
      <c r="I10775" s="4" t="str">
        <v/>
      </c>
    </row>
    <row r="10776" spans="5:9" ht="16.5" hidden="1">
      <c r="E10776" s="4" t="str">
        <v/>
      </c>
      <c r="F10776" s="102" t="str">
        <f ca="1">IFERROR(__xludf.DUMMYFUNCTION("IMPORTRANGE(H10776,""IDENTITAS UNIT!D9"")"),"#N/A")</f>
        <v>#N/A</v>
      </c>
      <c r="H10776" s="4" t="str">
        <v/>
      </c>
      <c r="I10776" s="4" t="str">
        <v/>
      </c>
    </row>
    <row r="10777" spans="5:9" ht="16.5" hidden="1">
      <c r="E10777" s="4" t="str">
        <v/>
      </c>
      <c r="F10777" s="102" t="str">
        <f ca="1">IFERROR(__xludf.DUMMYFUNCTION("IMPORTRANGE(H10777,""IDENTITAS UNIT!D9"")"),"#N/A")</f>
        <v>#N/A</v>
      </c>
      <c r="H10777" s="4" t="str">
        <v/>
      </c>
      <c r="I10777" s="4" t="str">
        <v/>
      </c>
    </row>
    <row r="10778" spans="5:9" ht="16.5" hidden="1">
      <c r="E10778" s="4" t="str">
        <v/>
      </c>
      <c r="F10778" s="102" t="str">
        <f ca="1">IFERROR(__xludf.DUMMYFUNCTION("IMPORTRANGE(H10778,""IDENTITAS UNIT!D9"")"),"#N/A")</f>
        <v>#N/A</v>
      </c>
      <c r="H10778" s="4" t="str">
        <v/>
      </c>
      <c r="I10778" s="4" t="str">
        <v/>
      </c>
    </row>
    <row r="10779" spans="5:9" ht="16.5" hidden="1">
      <c r="E10779" s="4" t="str">
        <v/>
      </c>
      <c r="F10779" s="102" t="str">
        <f ca="1">IFERROR(__xludf.DUMMYFUNCTION("IMPORTRANGE(H10779,""IDENTITAS UNIT!D9"")"),"#N/A")</f>
        <v>#N/A</v>
      </c>
      <c r="H10779" s="4" t="str">
        <v/>
      </c>
      <c r="I10779" s="4" t="str">
        <v/>
      </c>
    </row>
    <row r="10780" spans="5:9" ht="16.5" hidden="1">
      <c r="E10780" s="4" t="str">
        <v/>
      </c>
      <c r="F10780" s="102" t="str">
        <f ca="1">IFERROR(__xludf.DUMMYFUNCTION("IMPORTRANGE(H10780,""IDENTITAS UNIT!D9"")"),"#N/A")</f>
        <v>#N/A</v>
      </c>
      <c r="H10780" s="4" t="str">
        <v/>
      </c>
      <c r="I10780" s="4" t="str">
        <v/>
      </c>
    </row>
    <row r="10781" spans="5:9" ht="16.5" hidden="1">
      <c r="E10781" s="4" t="str">
        <v/>
      </c>
      <c r="F10781" s="102" t="str">
        <f ca="1">IFERROR(__xludf.DUMMYFUNCTION("IMPORTRANGE(H10781,""IDENTITAS UNIT!D9"")"),"#N/A")</f>
        <v>#N/A</v>
      </c>
      <c r="H10781" s="4" t="str">
        <v/>
      </c>
      <c r="I10781" s="4" t="str">
        <v/>
      </c>
    </row>
    <row r="10782" spans="5:9" ht="16.5" hidden="1">
      <c r="E10782" s="4" t="str">
        <v/>
      </c>
      <c r="F10782" s="102" t="str">
        <f ca="1">IFERROR(__xludf.DUMMYFUNCTION("IMPORTRANGE(H10782,""IDENTITAS UNIT!D9"")"),"#N/A")</f>
        <v>#N/A</v>
      </c>
      <c r="H10782" s="4" t="str">
        <v/>
      </c>
      <c r="I10782" s="4" t="str">
        <v/>
      </c>
    </row>
    <row r="10783" spans="5:9" ht="16.5" hidden="1">
      <c r="E10783" s="4" t="str">
        <v/>
      </c>
      <c r="F10783" s="102" t="str">
        <f ca="1">IFERROR(__xludf.DUMMYFUNCTION("IMPORTRANGE(H10783,""IDENTITAS UNIT!D9"")"),"#N/A")</f>
        <v>#N/A</v>
      </c>
      <c r="H10783" s="4" t="str">
        <v/>
      </c>
      <c r="I10783" s="4" t="str">
        <v/>
      </c>
    </row>
    <row r="10784" spans="5:9" ht="16.5" hidden="1">
      <c r="E10784" s="4" t="str">
        <v/>
      </c>
      <c r="F10784" s="102" t="str">
        <f ca="1">IFERROR(__xludf.DUMMYFUNCTION("IMPORTRANGE(H10784,""IDENTITAS UNIT!D9"")"),"#N/A")</f>
        <v>#N/A</v>
      </c>
      <c r="H10784" s="4" t="str">
        <v/>
      </c>
      <c r="I10784" s="4" t="str">
        <v/>
      </c>
    </row>
    <row r="10785" spans="5:9" ht="16.5" hidden="1">
      <c r="E10785" s="4" t="str">
        <v/>
      </c>
      <c r="F10785" s="102" t="str">
        <f ca="1">IFERROR(__xludf.DUMMYFUNCTION("IMPORTRANGE(H10785,""IDENTITAS UNIT!D9"")"),"#N/A")</f>
        <v>#N/A</v>
      </c>
      <c r="H10785" s="4" t="str">
        <v/>
      </c>
      <c r="I10785" s="4" t="str">
        <v/>
      </c>
    </row>
    <row r="10786" spans="5:9" ht="16.5" hidden="1">
      <c r="E10786" s="4" t="str">
        <v/>
      </c>
      <c r="F10786" s="102" t="str">
        <f ca="1">IFERROR(__xludf.DUMMYFUNCTION("IMPORTRANGE(H10786,""IDENTITAS UNIT!D9"")"),"#N/A")</f>
        <v>#N/A</v>
      </c>
      <c r="H10786" s="4" t="str">
        <v/>
      </c>
      <c r="I10786" s="4" t="str">
        <v/>
      </c>
    </row>
    <row r="10787" spans="5:9" ht="16.5" hidden="1">
      <c r="E10787" s="4" t="str">
        <v/>
      </c>
      <c r="F10787" s="102" t="str">
        <f ca="1">IFERROR(__xludf.DUMMYFUNCTION("IMPORTRANGE(H10787,""IDENTITAS UNIT!D9"")"),"#N/A")</f>
        <v>#N/A</v>
      </c>
      <c r="H10787" s="4" t="str">
        <v/>
      </c>
      <c r="I10787" s="4" t="str">
        <v/>
      </c>
    </row>
    <row r="10788" spans="5:9" ht="16.5" hidden="1">
      <c r="E10788" s="4" t="str">
        <v/>
      </c>
      <c r="F10788" s="102" t="str">
        <f ca="1">IFERROR(__xludf.DUMMYFUNCTION("IMPORTRANGE(H10788,""IDENTITAS UNIT!D9"")"),"#N/A")</f>
        <v>#N/A</v>
      </c>
      <c r="H10788" s="4" t="str">
        <v/>
      </c>
      <c r="I10788" s="4" t="str">
        <v/>
      </c>
    </row>
    <row r="10789" spans="5:9" ht="16.5" hidden="1">
      <c r="E10789" s="4" t="str">
        <v/>
      </c>
      <c r="F10789" s="102" t="str">
        <f ca="1">IFERROR(__xludf.DUMMYFUNCTION("IMPORTRANGE(H10789,""IDENTITAS UNIT!D9"")"),"#N/A")</f>
        <v>#N/A</v>
      </c>
      <c r="H10789" s="4" t="str">
        <v/>
      </c>
      <c r="I10789" s="4" t="str">
        <v/>
      </c>
    </row>
    <row r="10790" spans="5:9" ht="16.5" hidden="1">
      <c r="E10790" s="4" t="str">
        <v/>
      </c>
      <c r="F10790" s="102" t="str">
        <f ca="1">IFERROR(__xludf.DUMMYFUNCTION("IMPORTRANGE(H10790,""IDENTITAS UNIT!D9"")"),"#N/A")</f>
        <v>#N/A</v>
      </c>
      <c r="H10790" s="4" t="str">
        <v/>
      </c>
      <c r="I10790" s="4" t="str">
        <v/>
      </c>
    </row>
    <row r="10791" spans="5:9" ht="16.5" hidden="1">
      <c r="E10791" s="4" t="str">
        <v/>
      </c>
      <c r="F10791" s="102" t="str">
        <f ca="1">IFERROR(__xludf.DUMMYFUNCTION("IMPORTRANGE(H10791,""IDENTITAS UNIT!D9"")"),"#N/A")</f>
        <v>#N/A</v>
      </c>
      <c r="H10791" s="4" t="str">
        <v/>
      </c>
      <c r="I10791" s="4" t="str">
        <v/>
      </c>
    </row>
    <row r="10792" spans="5:9" ht="16.5" hidden="1">
      <c r="E10792" s="4" t="str">
        <v/>
      </c>
      <c r="F10792" s="102" t="str">
        <f ca="1">IFERROR(__xludf.DUMMYFUNCTION("IMPORTRANGE(H10792,""IDENTITAS UNIT!D9"")"),"#N/A")</f>
        <v>#N/A</v>
      </c>
      <c r="H10792" s="4" t="str">
        <v/>
      </c>
      <c r="I10792" s="4" t="str">
        <v/>
      </c>
    </row>
    <row r="10793" spans="5:9" ht="16.5" hidden="1">
      <c r="E10793" s="4" t="str">
        <v/>
      </c>
      <c r="F10793" s="102" t="str">
        <f ca="1">IFERROR(__xludf.DUMMYFUNCTION("IMPORTRANGE(H10793,""IDENTITAS UNIT!D9"")"),"#N/A")</f>
        <v>#N/A</v>
      </c>
      <c r="H10793" s="4" t="str">
        <v/>
      </c>
      <c r="I10793" s="4" t="str">
        <v/>
      </c>
    </row>
    <row r="10794" spans="5:9" ht="16.5" hidden="1">
      <c r="E10794" s="4" t="str">
        <v/>
      </c>
      <c r="F10794" s="102" t="str">
        <f ca="1">IFERROR(__xludf.DUMMYFUNCTION("IMPORTRANGE(H10794,""IDENTITAS UNIT!D9"")"),"#N/A")</f>
        <v>#N/A</v>
      </c>
      <c r="H10794" s="4" t="str">
        <v/>
      </c>
      <c r="I10794" s="4" t="str">
        <v/>
      </c>
    </row>
    <row r="10795" spans="5:9" ht="16.5" hidden="1">
      <c r="E10795" s="4" t="str">
        <v/>
      </c>
      <c r="F10795" s="102" t="str">
        <f ca="1">IFERROR(__xludf.DUMMYFUNCTION("IMPORTRANGE(H10795,""IDENTITAS UNIT!D9"")"),"#N/A")</f>
        <v>#N/A</v>
      </c>
      <c r="H10795" s="4" t="str">
        <v/>
      </c>
      <c r="I10795" s="4" t="str">
        <v/>
      </c>
    </row>
    <row r="10796" spans="5:9" ht="16.5" hidden="1">
      <c r="E10796" s="4" t="str">
        <v/>
      </c>
      <c r="F10796" s="102" t="str">
        <f ca="1">IFERROR(__xludf.DUMMYFUNCTION("IMPORTRANGE(H10796,""IDENTITAS UNIT!D9"")"),"#N/A")</f>
        <v>#N/A</v>
      </c>
      <c r="H10796" s="4" t="str">
        <v/>
      </c>
      <c r="I10796" s="4" t="str">
        <v/>
      </c>
    </row>
    <row r="10797" spans="5:9" ht="16.5" hidden="1">
      <c r="E10797" s="4" t="str">
        <v/>
      </c>
      <c r="F10797" s="102" t="str">
        <f ca="1">IFERROR(__xludf.DUMMYFUNCTION("IMPORTRANGE(H10797,""IDENTITAS UNIT!D9"")"),"#N/A")</f>
        <v>#N/A</v>
      </c>
      <c r="H10797" s="4" t="str">
        <v/>
      </c>
      <c r="I10797" s="4" t="str">
        <v/>
      </c>
    </row>
    <row r="10798" spans="5:9" ht="16.5" hidden="1">
      <c r="E10798" s="4" t="str">
        <v/>
      </c>
      <c r="F10798" s="102" t="str">
        <f ca="1">IFERROR(__xludf.DUMMYFUNCTION("IMPORTRANGE(H10798,""IDENTITAS UNIT!D9"")"),"#N/A")</f>
        <v>#N/A</v>
      </c>
      <c r="H10798" s="4" t="str">
        <v/>
      </c>
      <c r="I10798" s="4" t="str">
        <v/>
      </c>
    </row>
    <row r="10799" spans="5:9" ht="16.5" hidden="1">
      <c r="E10799" s="4" t="str">
        <v/>
      </c>
      <c r="F10799" s="102" t="str">
        <f ca="1">IFERROR(__xludf.DUMMYFUNCTION("IMPORTRANGE(H10799,""IDENTITAS UNIT!D9"")"),"#N/A")</f>
        <v>#N/A</v>
      </c>
      <c r="H10799" s="4" t="str">
        <v/>
      </c>
      <c r="I10799" s="4" t="str">
        <v/>
      </c>
    </row>
    <row r="10800" spans="5:9" ht="16.5" hidden="1">
      <c r="E10800" s="4" t="str">
        <v/>
      </c>
      <c r="F10800" s="102" t="str">
        <f ca="1">IFERROR(__xludf.DUMMYFUNCTION("IMPORTRANGE(H10800,""IDENTITAS UNIT!D9"")"),"#N/A")</f>
        <v>#N/A</v>
      </c>
      <c r="H10800" s="4" t="str">
        <v/>
      </c>
      <c r="I10800" s="4" t="str">
        <v/>
      </c>
    </row>
    <row r="10801" spans="5:9" ht="16.5" hidden="1">
      <c r="E10801" s="4" t="str">
        <v/>
      </c>
      <c r="F10801" s="102" t="str">
        <f ca="1">IFERROR(__xludf.DUMMYFUNCTION("IMPORTRANGE(H10801,""IDENTITAS UNIT!D9"")"),"#N/A")</f>
        <v>#N/A</v>
      </c>
      <c r="H10801" s="4" t="str">
        <v/>
      </c>
      <c r="I10801" s="4" t="str">
        <v/>
      </c>
    </row>
    <row r="10802" spans="5:9" ht="16.5" hidden="1">
      <c r="E10802" s="4" t="str">
        <v/>
      </c>
      <c r="F10802" s="102" t="str">
        <f ca="1">IFERROR(__xludf.DUMMYFUNCTION("IMPORTRANGE(H10802,""IDENTITAS UNIT!D9"")"),"#N/A")</f>
        <v>#N/A</v>
      </c>
      <c r="H10802" s="4" t="str">
        <v/>
      </c>
      <c r="I10802" s="4" t="str">
        <v/>
      </c>
    </row>
    <row r="10803" spans="5:9" ht="16.5" hidden="1">
      <c r="E10803" s="4" t="str">
        <v/>
      </c>
      <c r="F10803" s="102" t="str">
        <f ca="1">IFERROR(__xludf.DUMMYFUNCTION("IMPORTRANGE(H10803,""IDENTITAS UNIT!D9"")"),"#N/A")</f>
        <v>#N/A</v>
      </c>
      <c r="H10803" s="4" t="str">
        <v/>
      </c>
      <c r="I10803" s="4" t="str">
        <v/>
      </c>
    </row>
    <row r="10804" spans="5:9" ht="16.5" hidden="1">
      <c r="E10804" s="4" t="str">
        <v/>
      </c>
      <c r="F10804" s="102" t="str">
        <f ca="1">IFERROR(__xludf.DUMMYFUNCTION("IMPORTRANGE(H10804,""IDENTITAS UNIT!D9"")"),"#N/A")</f>
        <v>#N/A</v>
      </c>
      <c r="H10804" s="4" t="str">
        <v/>
      </c>
      <c r="I10804" s="4" t="str">
        <v/>
      </c>
    </row>
    <row r="10805" spans="5:9" ht="16.5" hidden="1">
      <c r="E10805" s="4" t="str">
        <v/>
      </c>
      <c r="F10805" s="102" t="str">
        <f ca="1">IFERROR(__xludf.DUMMYFUNCTION("IMPORTRANGE(H10805,""IDENTITAS UNIT!D9"")"),"#N/A")</f>
        <v>#N/A</v>
      </c>
      <c r="H10805" s="4" t="str">
        <v/>
      </c>
      <c r="I10805" s="4" t="str">
        <v/>
      </c>
    </row>
    <row r="10806" spans="5:9" ht="16.5" hidden="1">
      <c r="E10806" s="4" t="str">
        <v/>
      </c>
      <c r="F10806" s="102" t="str">
        <f ca="1">IFERROR(__xludf.DUMMYFUNCTION("IMPORTRANGE(H10806,""IDENTITAS UNIT!D9"")"),"#N/A")</f>
        <v>#N/A</v>
      </c>
      <c r="H10806" s="4" t="str">
        <v/>
      </c>
      <c r="I10806" s="4" t="str">
        <v/>
      </c>
    </row>
    <row r="10807" spans="5:9" ht="16.5" hidden="1">
      <c r="E10807" s="4" t="str">
        <v/>
      </c>
      <c r="F10807" s="102" t="str">
        <f ca="1">IFERROR(__xludf.DUMMYFUNCTION("IMPORTRANGE(H10807,""IDENTITAS UNIT!D9"")"),"#N/A")</f>
        <v>#N/A</v>
      </c>
      <c r="H10807" s="4" t="str">
        <v/>
      </c>
      <c r="I10807" s="4" t="str">
        <v/>
      </c>
    </row>
    <row r="10808" spans="5:9" ht="16.5" hidden="1">
      <c r="E10808" s="4" t="str">
        <v/>
      </c>
      <c r="F10808" s="102" t="str">
        <f ca="1">IFERROR(__xludf.DUMMYFUNCTION("IMPORTRANGE(H10808,""IDENTITAS UNIT!D9"")"),"#N/A")</f>
        <v>#N/A</v>
      </c>
      <c r="H10808" s="4" t="str">
        <v/>
      </c>
      <c r="I10808" s="4" t="str">
        <v/>
      </c>
    </row>
    <row r="10809" spans="5:9" ht="16.5" hidden="1">
      <c r="E10809" s="4" t="str">
        <v/>
      </c>
      <c r="F10809" s="102" t="str">
        <f ca="1">IFERROR(__xludf.DUMMYFUNCTION("IMPORTRANGE(H10809,""IDENTITAS UNIT!D9"")"),"#N/A")</f>
        <v>#N/A</v>
      </c>
      <c r="H10809" s="4" t="str">
        <v/>
      </c>
      <c r="I10809" s="4" t="str">
        <v/>
      </c>
    </row>
    <row r="10810" spans="5:9" ht="16.5" hidden="1">
      <c r="E10810" s="4" t="str">
        <v/>
      </c>
      <c r="F10810" s="102" t="str">
        <f ca="1">IFERROR(__xludf.DUMMYFUNCTION("IMPORTRANGE(H10810,""IDENTITAS UNIT!D9"")"),"#N/A")</f>
        <v>#N/A</v>
      </c>
      <c r="H10810" s="4" t="str">
        <v/>
      </c>
      <c r="I10810" s="4" t="str">
        <v/>
      </c>
    </row>
    <row r="10811" spans="5:9" ht="16.5" hidden="1">
      <c r="E10811" s="4" t="str">
        <v/>
      </c>
      <c r="F10811" s="102" t="str">
        <f ca="1">IFERROR(__xludf.DUMMYFUNCTION("IMPORTRANGE(H10811,""IDENTITAS UNIT!D9"")"),"#N/A")</f>
        <v>#N/A</v>
      </c>
      <c r="H10811" s="4" t="str">
        <v/>
      </c>
      <c r="I10811" s="4" t="str">
        <v/>
      </c>
    </row>
    <row r="10812" spans="5:9" ht="16.5" hidden="1">
      <c r="E10812" s="4" t="str">
        <v/>
      </c>
      <c r="F10812" s="102" t="str">
        <f ca="1">IFERROR(__xludf.DUMMYFUNCTION("IMPORTRANGE(H10812,""IDENTITAS UNIT!D9"")"),"#N/A")</f>
        <v>#N/A</v>
      </c>
      <c r="H10812" s="4" t="str">
        <v/>
      </c>
      <c r="I10812" s="4" t="str">
        <v/>
      </c>
    </row>
    <row r="10813" spans="5:9" ht="16.5" hidden="1">
      <c r="E10813" s="4" t="str">
        <v/>
      </c>
      <c r="F10813" s="102" t="str">
        <f ca="1">IFERROR(__xludf.DUMMYFUNCTION("IMPORTRANGE(H10813,""IDENTITAS UNIT!D9"")"),"#N/A")</f>
        <v>#N/A</v>
      </c>
      <c r="H10813" s="4" t="str">
        <v/>
      </c>
      <c r="I10813" s="4" t="str">
        <v/>
      </c>
    </row>
    <row r="10814" spans="5:9" ht="16.5" hidden="1">
      <c r="E10814" s="4" t="str">
        <v/>
      </c>
      <c r="F10814" s="102" t="str">
        <f ca="1">IFERROR(__xludf.DUMMYFUNCTION("IMPORTRANGE(H10814,""IDENTITAS UNIT!D9"")"),"#N/A")</f>
        <v>#N/A</v>
      </c>
      <c r="H10814" s="4" t="str">
        <v/>
      </c>
      <c r="I10814" s="4" t="str">
        <v/>
      </c>
    </row>
    <row r="10815" spans="5:9" ht="16.5" hidden="1">
      <c r="E10815" s="4" t="str">
        <v/>
      </c>
      <c r="F10815" s="102" t="str">
        <f ca="1">IFERROR(__xludf.DUMMYFUNCTION("IMPORTRANGE(H10815,""IDENTITAS UNIT!D9"")"),"#N/A")</f>
        <v>#N/A</v>
      </c>
      <c r="H10815" s="4" t="str">
        <v/>
      </c>
      <c r="I10815" s="4" t="str">
        <v/>
      </c>
    </row>
    <row r="10816" spans="5:9" ht="16.5" hidden="1">
      <c r="E10816" s="4" t="str">
        <v/>
      </c>
      <c r="F10816" s="102" t="str">
        <f ca="1">IFERROR(__xludf.DUMMYFUNCTION("IMPORTRANGE(H10816,""IDENTITAS UNIT!D9"")"),"#N/A")</f>
        <v>#N/A</v>
      </c>
      <c r="H10816" s="4" t="str">
        <v/>
      </c>
      <c r="I10816" s="4" t="str">
        <v/>
      </c>
    </row>
    <row r="10817" spans="5:9" ht="16.5" hidden="1">
      <c r="E10817" s="4" t="str">
        <v/>
      </c>
      <c r="F10817" s="102" t="str">
        <f ca="1">IFERROR(__xludf.DUMMYFUNCTION("IMPORTRANGE(H10817,""IDENTITAS UNIT!D9"")"),"#N/A")</f>
        <v>#N/A</v>
      </c>
      <c r="H10817" s="4" t="str">
        <v/>
      </c>
      <c r="I10817" s="4" t="str">
        <v/>
      </c>
    </row>
    <row r="10818" spans="5:9" ht="16.5" hidden="1">
      <c r="E10818" s="4" t="str">
        <v/>
      </c>
      <c r="F10818" s="102" t="str">
        <f ca="1">IFERROR(__xludf.DUMMYFUNCTION("IMPORTRANGE(H10818,""IDENTITAS UNIT!D9"")"),"#N/A")</f>
        <v>#N/A</v>
      </c>
      <c r="H10818" s="4" t="str">
        <v/>
      </c>
      <c r="I10818" s="4" t="str">
        <v/>
      </c>
    </row>
    <row r="10819" spans="5:9" ht="16.5" hidden="1">
      <c r="E10819" s="4" t="str">
        <v/>
      </c>
      <c r="F10819" s="102" t="str">
        <f ca="1">IFERROR(__xludf.DUMMYFUNCTION("IMPORTRANGE(H10819,""IDENTITAS UNIT!D9"")"),"#N/A")</f>
        <v>#N/A</v>
      </c>
      <c r="H10819" s="4" t="str">
        <v/>
      </c>
      <c r="I10819" s="4" t="str">
        <v/>
      </c>
    </row>
    <row r="10820" spans="5:9" ht="16.5" hidden="1">
      <c r="E10820" s="4" t="str">
        <v/>
      </c>
      <c r="F10820" s="102" t="str">
        <f ca="1">IFERROR(__xludf.DUMMYFUNCTION("IMPORTRANGE(H10820,""IDENTITAS UNIT!D9"")"),"#N/A")</f>
        <v>#N/A</v>
      </c>
      <c r="H10820" s="4" t="str">
        <v/>
      </c>
      <c r="I10820" s="4" t="str">
        <v/>
      </c>
    </row>
    <row r="10821" spans="5:9" ht="16.5" hidden="1">
      <c r="E10821" s="4" t="str">
        <v/>
      </c>
      <c r="F10821" s="102" t="str">
        <f ca="1">IFERROR(__xludf.DUMMYFUNCTION("IMPORTRANGE(H10821,""IDENTITAS UNIT!D9"")"),"#N/A")</f>
        <v>#N/A</v>
      </c>
      <c r="H10821" s="4" t="str">
        <v/>
      </c>
      <c r="I10821" s="4" t="str">
        <v/>
      </c>
    </row>
    <row r="10822" spans="5:9" ht="16.5" hidden="1">
      <c r="E10822" s="4" t="str">
        <v/>
      </c>
      <c r="F10822" s="102" t="str">
        <f ca="1">IFERROR(__xludf.DUMMYFUNCTION("IMPORTRANGE(H10822,""IDENTITAS UNIT!D9"")"),"#N/A")</f>
        <v>#N/A</v>
      </c>
      <c r="H10822" s="4" t="str">
        <v/>
      </c>
      <c r="I10822" s="4" t="str">
        <v/>
      </c>
    </row>
    <row r="10823" spans="5:9" ht="16.5" hidden="1">
      <c r="E10823" s="4" t="str">
        <v/>
      </c>
      <c r="F10823" s="102" t="str">
        <f ca="1">IFERROR(__xludf.DUMMYFUNCTION("IMPORTRANGE(H10823,""IDENTITAS UNIT!D9"")"),"#N/A")</f>
        <v>#N/A</v>
      </c>
      <c r="H10823" s="4" t="str">
        <v/>
      </c>
      <c r="I10823" s="4" t="str">
        <v/>
      </c>
    </row>
    <row r="10824" spans="5:9" ht="16.5" hidden="1">
      <c r="E10824" s="4" t="str">
        <v/>
      </c>
      <c r="F10824" s="102" t="str">
        <f ca="1">IFERROR(__xludf.DUMMYFUNCTION("IMPORTRANGE(H10824,""IDENTITAS UNIT!D9"")"),"#N/A")</f>
        <v>#N/A</v>
      </c>
      <c r="H10824" s="4" t="str">
        <v/>
      </c>
      <c r="I10824" s="4" t="str">
        <v/>
      </c>
    </row>
    <row r="10825" spans="5:9" ht="16.5" hidden="1">
      <c r="E10825" s="4" t="str">
        <v/>
      </c>
      <c r="F10825" s="102" t="str">
        <f ca="1">IFERROR(__xludf.DUMMYFUNCTION("IMPORTRANGE(H10825,""IDENTITAS UNIT!D9"")"),"#N/A")</f>
        <v>#N/A</v>
      </c>
      <c r="H10825" s="4" t="str">
        <v/>
      </c>
      <c r="I10825" s="4" t="str">
        <v/>
      </c>
    </row>
    <row r="10826" spans="5:9" ht="16.5" hidden="1">
      <c r="E10826" s="4" t="str">
        <v/>
      </c>
      <c r="F10826" s="102" t="str">
        <f ca="1">IFERROR(__xludf.DUMMYFUNCTION("IMPORTRANGE(H10826,""IDENTITAS UNIT!D9"")"),"#N/A")</f>
        <v>#N/A</v>
      </c>
      <c r="H10826" s="4" t="str">
        <v/>
      </c>
      <c r="I10826" s="4" t="str">
        <v/>
      </c>
    </row>
    <row r="10827" spans="5:9" ht="16.5" hidden="1">
      <c r="E10827" s="4" t="str">
        <v/>
      </c>
      <c r="F10827" s="102" t="str">
        <f ca="1">IFERROR(__xludf.DUMMYFUNCTION("IMPORTRANGE(H10827,""IDENTITAS UNIT!D9"")"),"#N/A")</f>
        <v>#N/A</v>
      </c>
      <c r="H10827" s="4" t="str">
        <v/>
      </c>
      <c r="I10827" s="4" t="str">
        <v/>
      </c>
    </row>
    <row r="10828" spans="5:9" ht="16.5" hidden="1">
      <c r="E10828" s="4" t="str">
        <v/>
      </c>
      <c r="F10828" s="102" t="str">
        <f ca="1">IFERROR(__xludf.DUMMYFUNCTION("IMPORTRANGE(H10828,""IDENTITAS UNIT!D9"")"),"#N/A")</f>
        <v>#N/A</v>
      </c>
      <c r="H10828" s="4" t="str">
        <v/>
      </c>
      <c r="I10828" s="4" t="str">
        <v/>
      </c>
    </row>
    <row r="10829" spans="5:9" ht="16.5" hidden="1">
      <c r="E10829" s="4" t="str">
        <v/>
      </c>
      <c r="F10829" s="102" t="str">
        <f ca="1">IFERROR(__xludf.DUMMYFUNCTION("IMPORTRANGE(H10829,""IDENTITAS UNIT!D9"")"),"#N/A")</f>
        <v>#N/A</v>
      </c>
      <c r="H10829" s="4" t="str">
        <v/>
      </c>
      <c r="I10829" s="4" t="str">
        <v/>
      </c>
    </row>
    <row r="10830" spans="5:9" ht="16.5" hidden="1">
      <c r="E10830" s="4" t="str">
        <v/>
      </c>
      <c r="F10830" s="102" t="str">
        <f ca="1">IFERROR(__xludf.DUMMYFUNCTION("IMPORTRANGE(H10830,""IDENTITAS UNIT!D9"")"),"#N/A")</f>
        <v>#N/A</v>
      </c>
      <c r="H10830" s="4" t="str">
        <v/>
      </c>
      <c r="I10830" s="4" t="str">
        <v/>
      </c>
    </row>
    <row r="10831" spans="5:9" ht="16.5" hidden="1">
      <c r="E10831" s="4" t="str">
        <v/>
      </c>
      <c r="F10831" s="102" t="str">
        <f ca="1">IFERROR(__xludf.DUMMYFUNCTION("IMPORTRANGE(H10831,""IDENTITAS UNIT!D9"")"),"#N/A")</f>
        <v>#N/A</v>
      </c>
      <c r="H10831" s="4" t="str">
        <v/>
      </c>
      <c r="I10831" s="4" t="str">
        <v/>
      </c>
    </row>
    <row r="10832" spans="5:9" ht="16.5" hidden="1">
      <c r="E10832" s="4" t="str">
        <v/>
      </c>
      <c r="F10832" s="102" t="str">
        <f ca="1">IFERROR(__xludf.DUMMYFUNCTION("IMPORTRANGE(H10832,""IDENTITAS UNIT!D9"")"),"#N/A")</f>
        <v>#N/A</v>
      </c>
      <c r="H10832" s="4" t="str">
        <v/>
      </c>
      <c r="I10832" s="4" t="str">
        <v/>
      </c>
    </row>
    <row r="10833" spans="5:9" ht="16.5" hidden="1">
      <c r="E10833" s="4" t="str">
        <v/>
      </c>
      <c r="F10833" s="102" t="str">
        <f ca="1">IFERROR(__xludf.DUMMYFUNCTION("IMPORTRANGE(H10833,""IDENTITAS UNIT!D9"")"),"#N/A")</f>
        <v>#N/A</v>
      </c>
      <c r="H10833" s="4" t="str">
        <v/>
      </c>
      <c r="I10833" s="4" t="str">
        <v/>
      </c>
    </row>
    <row r="10834" spans="5:9" ht="16.5" hidden="1">
      <c r="E10834" s="4" t="str">
        <v/>
      </c>
      <c r="F10834" s="102" t="str">
        <f ca="1">IFERROR(__xludf.DUMMYFUNCTION("IMPORTRANGE(H10834,""IDENTITAS UNIT!D9"")"),"#N/A")</f>
        <v>#N/A</v>
      </c>
      <c r="H10834" s="4" t="str">
        <v/>
      </c>
      <c r="I10834" s="4" t="str">
        <v/>
      </c>
    </row>
    <row r="10835" spans="5:9" ht="16.5" hidden="1">
      <c r="E10835" s="4" t="str">
        <v/>
      </c>
      <c r="F10835" s="102" t="str">
        <f ca="1">IFERROR(__xludf.DUMMYFUNCTION("IMPORTRANGE(H10835,""IDENTITAS UNIT!D9"")"),"#N/A")</f>
        <v>#N/A</v>
      </c>
      <c r="H10835" s="4" t="str">
        <v/>
      </c>
      <c r="I10835" s="4" t="str">
        <v/>
      </c>
    </row>
    <row r="10836" spans="5:9" ht="16.5" hidden="1">
      <c r="E10836" s="4" t="str">
        <v/>
      </c>
      <c r="F10836" s="102" t="str">
        <f ca="1">IFERROR(__xludf.DUMMYFUNCTION("IMPORTRANGE(H10836,""IDENTITAS UNIT!D9"")"),"#N/A")</f>
        <v>#N/A</v>
      </c>
      <c r="H10836" s="4" t="str">
        <v/>
      </c>
      <c r="I10836" s="4" t="str">
        <v/>
      </c>
    </row>
    <row r="10837" spans="5:9" ht="16.5" hidden="1">
      <c r="E10837" s="4" t="str">
        <v/>
      </c>
      <c r="F10837" s="102" t="str">
        <f ca="1">IFERROR(__xludf.DUMMYFUNCTION("IMPORTRANGE(H10837,""IDENTITAS UNIT!D9"")"),"#N/A")</f>
        <v>#N/A</v>
      </c>
      <c r="H10837" s="4" t="str">
        <v/>
      </c>
      <c r="I10837" s="4" t="str">
        <v/>
      </c>
    </row>
    <row r="10838" spans="5:9" ht="16.5" hidden="1">
      <c r="E10838" s="4" t="str">
        <v/>
      </c>
      <c r="F10838" s="102" t="str">
        <f ca="1">IFERROR(__xludf.DUMMYFUNCTION("IMPORTRANGE(H10838,""IDENTITAS UNIT!D9"")"),"#N/A")</f>
        <v>#N/A</v>
      </c>
      <c r="H10838" s="4" t="str">
        <v/>
      </c>
      <c r="I10838" s="4" t="str">
        <v/>
      </c>
    </row>
    <row r="10839" spans="5:9" ht="16.5" hidden="1">
      <c r="E10839" s="4" t="str">
        <v/>
      </c>
      <c r="F10839" s="102" t="str">
        <f ca="1">IFERROR(__xludf.DUMMYFUNCTION("IMPORTRANGE(H10839,""IDENTITAS UNIT!D9"")"),"#N/A")</f>
        <v>#N/A</v>
      </c>
      <c r="H10839" s="4" t="str">
        <v/>
      </c>
      <c r="I10839" s="4" t="str">
        <v/>
      </c>
    </row>
    <row r="10840" spans="5:9" ht="16.5" hidden="1">
      <c r="E10840" s="4" t="str">
        <v/>
      </c>
      <c r="F10840" s="102" t="str">
        <f ca="1">IFERROR(__xludf.DUMMYFUNCTION("IMPORTRANGE(H10840,""IDENTITAS UNIT!D9"")"),"#N/A")</f>
        <v>#N/A</v>
      </c>
      <c r="H10840" s="4" t="str">
        <v/>
      </c>
      <c r="I10840" s="4" t="str">
        <v/>
      </c>
    </row>
    <row r="10841" spans="5:9" ht="16.5" hidden="1">
      <c r="E10841" s="4" t="str">
        <v/>
      </c>
      <c r="F10841" s="102" t="str">
        <f ca="1">IFERROR(__xludf.DUMMYFUNCTION("IMPORTRANGE(H10841,""IDENTITAS UNIT!D9"")"),"#N/A")</f>
        <v>#N/A</v>
      </c>
      <c r="H10841" s="4" t="str">
        <v/>
      </c>
      <c r="I10841" s="4" t="str">
        <v/>
      </c>
    </row>
    <row r="10842" spans="5:9" ht="16.5" hidden="1">
      <c r="E10842" s="4" t="str">
        <v/>
      </c>
      <c r="F10842" s="102" t="str">
        <f ca="1">IFERROR(__xludf.DUMMYFUNCTION("IMPORTRANGE(H10842,""IDENTITAS UNIT!D9"")"),"#N/A")</f>
        <v>#N/A</v>
      </c>
      <c r="H10842" s="4" t="str">
        <v/>
      </c>
      <c r="I10842" s="4" t="str">
        <v/>
      </c>
    </row>
    <row r="10843" spans="5:9" ht="16.5" hidden="1">
      <c r="E10843" s="4" t="str">
        <v/>
      </c>
      <c r="F10843" s="102" t="str">
        <f ca="1">IFERROR(__xludf.DUMMYFUNCTION("IMPORTRANGE(H10843,""IDENTITAS UNIT!D9"")"),"#N/A")</f>
        <v>#N/A</v>
      </c>
      <c r="H10843" s="4" t="str">
        <v/>
      </c>
      <c r="I10843" s="4" t="str">
        <v/>
      </c>
    </row>
    <row r="10844" spans="5:9" ht="16.5" hidden="1">
      <c r="E10844" s="4" t="str">
        <v/>
      </c>
      <c r="F10844" s="102" t="str">
        <f ca="1">IFERROR(__xludf.DUMMYFUNCTION("IMPORTRANGE(H10844,""IDENTITAS UNIT!D9"")"),"#N/A")</f>
        <v>#N/A</v>
      </c>
      <c r="H10844" s="4" t="str">
        <v/>
      </c>
      <c r="I10844" s="4" t="str">
        <v/>
      </c>
    </row>
    <row r="10845" spans="5:9" ht="16.5" hidden="1">
      <c r="E10845" s="4" t="str">
        <v/>
      </c>
      <c r="F10845" s="102" t="str">
        <f ca="1">IFERROR(__xludf.DUMMYFUNCTION("IMPORTRANGE(H10845,""IDENTITAS UNIT!D9"")"),"#N/A")</f>
        <v>#N/A</v>
      </c>
      <c r="H10845" s="4" t="str">
        <v/>
      </c>
      <c r="I10845" s="4" t="str">
        <v/>
      </c>
    </row>
    <row r="10846" spans="5:9" ht="16.5" hidden="1">
      <c r="E10846" s="4" t="str">
        <v/>
      </c>
      <c r="F10846" s="102" t="str">
        <f ca="1">IFERROR(__xludf.DUMMYFUNCTION("IMPORTRANGE(H10846,""IDENTITAS UNIT!D9"")"),"#N/A")</f>
        <v>#N/A</v>
      </c>
      <c r="H10846" s="4" t="str">
        <v/>
      </c>
      <c r="I10846" s="4" t="str">
        <v/>
      </c>
    </row>
    <row r="10847" spans="5:9" ht="16.5" hidden="1">
      <c r="E10847" s="4" t="str">
        <v/>
      </c>
      <c r="F10847" s="102" t="str">
        <f ca="1">IFERROR(__xludf.DUMMYFUNCTION("IMPORTRANGE(H10847,""IDENTITAS UNIT!D9"")"),"#N/A")</f>
        <v>#N/A</v>
      </c>
      <c r="H10847" s="4" t="str">
        <v/>
      </c>
      <c r="I10847" s="4" t="str">
        <v/>
      </c>
    </row>
    <row r="10848" spans="5:9" ht="16.5" hidden="1">
      <c r="E10848" s="4" t="str">
        <v/>
      </c>
      <c r="F10848" s="102" t="str">
        <f ca="1">IFERROR(__xludf.DUMMYFUNCTION("IMPORTRANGE(H10848,""IDENTITAS UNIT!D9"")"),"#N/A")</f>
        <v>#N/A</v>
      </c>
      <c r="H10848" s="4" t="str">
        <v/>
      </c>
      <c r="I10848" s="4" t="str">
        <v/>
      </c>
    </row>
    <row r="10849" spans="5:9" ht="16.5" hidden="1">
      <c r="E10849" s="4" t="str">
        <v/>
      </c>
      <c r="F10849" s="102" t="str">
        <f ca="1">IFERROR(__xludf.DUMMYFUNCTION("IMPORTRANGE(H10849,""IDENTITAS UNIT!D9"")"),"#N/A")</f>
        <v>#N/A</v>
      </c>
      <c r="H10849" s="4" t="str">
        <v/>
      </c>
      <c r="I10849" s="4" t="str">
        <v/>
      </c>
    </row>
    <row r="10850" spans="5:9" ht="16.5" hidden="1">
      <c r="E10850" s="4" t="str">
        <v/>
      </c>
      <c r="F10850" s="102" t="str">
        <f ca="1">IFERROR(__xludf.DUMMYFUNCTION("IMPORTRANGE(H10850,""IDENTITAS UNIT!D9"")"),"#N/A")</f>
        <v>#N/A</v>
      </c>
      <c r="H10850" s="4" t="str">
        <v/>
      </c>
      <c r="I10850" s="4" t="str">
        <v/>
      </c>
    </row>
    <row r="10851" spans="5:9" ht="16.5" hidden="1">
      <c r="E10851" s="4" t="str">
        <v/>
      </c>
      <c r="F10851" s="102" t="str">
        <f ca="1">IFERROR(__xludf.DUMMYFUNCTION("IMPORTRANGE(H10851,""IDENTITAS UNIT!D9"")"),"#N/A")</f>
        <v>#N/A</v>
      </c>
      <c r="H10851" s="4" t="str">
        <v/>
      </c>
      <c r="I10851" s="4" t="str">
        <v/>
      </c>
    </row>
    <row r="10852" spans="5:9" ht="16.5" hidden="1">
      <c r="E10852" s="4" t="str">
        <v/>
      </c>
      <c r="F10852" s="102" t="str">
        <f ca="1">IFERROR(__xludf.DUMMYFUNCTION("IMPORTRANGE(H10852,""IDENTITAS UNIT!D9"")"),"#N/A")</f>
        <v>#N/A</v>
      </c>
      <c r="H10852" s="4" t="str">
        <v/>
      </c>
      <c r="I10852" s="4" t="str">
        <v/>
      </c>
    </row>
    <row r="10853" spans="5:9" ht="16.5" hidden="1">
      <c r="E10853" s="4" t="str">
        <v/>
      </c>
      <c r="F10853" s="102" t="str">
        <f ca="1">IFERROR(__xludf.DUMMYFUNCTION("IMPORTRANGE(H10853,""IDENTITAS UNIT!D9"")"),"#N/A")</f>
        <v>#N/A</v>
      </c>
      <c r="H10853" s="4" t="str">
        <v/>
      </c>
      <c r="I10853" s="4" t="str">
        <v/>
      </c>
    </row>
    <row r="10854" spans="5:9" ht="16.5" hidden="1">
      <c r="E10854" s="4" t="str">
        <v/>
      </c>
      <c r="F10854" s="102" t="str">
        <f ca="1">IFERROR(__xludf.DUMMYFUNCTION("IMPORTRANGE(H10854,""IDENTITAS UNIT!D9"")"),"#N/A")</f>
        <v>#N/A</v>
      </c>
      <c r="H10854" s="4" t="str">
        <v/>
      </c>
      <c r="I10854" s="4" t="str">
        <v/>
      </c>
    </row>
    <row r="10855" spans="5:9" ht="16.5" hidden="1">
      <c r="E10855" s="4" t="str">
        <v/>
      </c>
      <c r="F10855" s="102" t="str">
        <f ca="1">IFERROR(__xludf.DUMMYFUNCTION("IMPORTRANGE(H10855,""IDENTITAS UNIT!D9"")"),"#N/A")</f>
        <v>#N/A</v>
      </c>
      <c r="H10855" s="4" t="str">
        <v/>
      </c>
      <c r="I10855" s="4" t="str">
        <v/>
      </c>
    </row>
    <row r="10856" spans="5:9" ht="16.5" hidden="1">
      <c r="E10856" s="4" t="str">
        <v/>
      </c>
      <c r="F10856" s="102" t="str">
        <f ca="1">IFERROR(__xludf.DUMMYFUNCTION("IMPORTRANGE(H10856,""IDENTITAS UNIT!D9"")"),"#N/A")</f>
        <v>#N/A</v>
      </c>
      <c r="H10856" s="4" t="str">
        <v/>
      </c>
      <c r="I10856" s="4" t="str">
        <v/>
      </c>
    </row>
    <row r="10857" spans="5:9" ht="16.5" hidden="1">
      <c r="E10857" s="4" t="str">
        <v/>
      </c>
      <c r="F10857" s="102" t="str">
        <f ca="1">IFERROR(__xludf.DUMMYFUNCTION("IMPORTRANGE(H10857,""IDENTITAS UNIT!D9"")"),"#N/A")</f>
        <v>#N/A</v>
      </c>
      <c r="H10857" s="4" t="str">
        <v/>
      </c>
      <c r="I10857" s="4" t="str">
        <v/>
      </c>
    </row>
    <row r="10858" spans="5:9" ht="16.5" hidden="1">
      <c r="E10858" s="4" t="str">
        <v/>
      </c>
      <c r="F10858" s="102" t="str">
        <f ca="1">IFERROR(__xludf.DUMMYFUNCTION("IMPORTRANGE(H10858,""IDENTITAS UNIT!D9"")"),"#N/A")</f>
        <v>#N/A</v>
      </c>
      <c r="H10858" s="4" t="str">
        <v/>
      </c>
      <c r="I10858" s="4" t="str">
        <v/>
      </c>
    </row>
    <row r="10859" spans="5:9" ht="16.5" hidden="1">
      <c r="E10859" s="4" t="str">
        <v/>
      </c>
      <c r="F10859" s="102" t="str">
        <f ca="1">IFERROR(__xludf.DUMMYFUNCTION("IMPORTRANGE(H10859,""IDENTITAS UNIT!D9"")"),"#N/A")</f>
        <v>#N/A</v>
      </c>
      <c r="H10859" s="4" t="str">
        <v/>
      </c>
      <c r="I10859" s="4" t="str">
        <v/>
      </c>
    </row>
    <row r="10860" spans="5:9" ht="16.5" hidden="1">
      <c r="E10860" s="4" t="str">
        <v/>
      </c>
      <c r="F10860" s="102" t="str">
        <f ca="1">IFERROR(__xludf.DUMMYFUNCTION("IMPORTRANGE(H10860,""IDENTITAS UNIT!D9"")"),"#N/A")</f>
        <v>#N/A</v>
      </c>
      <c r="H10860" s="4" t="str">
        <v/>
      </c>
      <c r="I10860" s="4" t="str">
        <v/>
      </c>
    </row>
    <row r="10861" spans="5:9" ht="16.5" hidden="1">
      <c r="E10861" s="4" t="str">
        <v/>
      </c>
      <c r="F10861" s="102" t="str">
        <f ca="1">IFERROR(__xludf.DUMMYFUNCTION("IMPORTRANGE(H10861,""IDENTITAS UNIT!D9"")"),"#N/A")</f>
        <v>#N/A</v>
      </c>
      <c r="H10861" s="4" t="str">
        <v/>
      </c>
      <c r="I10861" s="4" t="str">
        <v/>
      </c>
    </row>
    <row r="10862" spans="5:9" ht="16.5" hidden="1">
      <c r="E10862" s="4" t="str">
        <v/>
      </c>
      <c r="F10862" s="102" t="str">
        <f ca="1">IFERROR(__xludf.DUMMYFUNCTION("IMPORTRANGE(H10862,""IDENTITAS UNIT!D9"")"),"#N/A")</f>
        <v>#N/A</v>
      </c>
      <c r="H10862" s="4" t="str">
        <v/>
      </c>
      <c r="I10862" s="4" t="str">
        <v/>
      </c>
    </row>
    <row r="10863" spans="5:9" ht="16.5" hidden="1">
      <c r="E10863" s="4" t="str">
        <v/>
      </c>
      <c r="F10863" s="102" t="str">
        <f ca="1">IFERROR(__xludf.DUMMYFUNCTION("IMPORTRANGE(H10863,""IDENTITAS UNIT!D9"")"),"#N/A")</f>
        <v>#N/A</v>
      </c>
      <c r="H10863" s="4" t="str">
        <v/>
      </c>
      <c r="I10863" s="4" t="str">
        <v/>
      </c>
    </row>
    <row r="10864" spans="5:9" ht="16.5" hidden="1">
      <c r="E10864" s="4" t="str">
        <v/>
      </c>
      <c r="F10864" s="102" t="str">
        <f ca="1">IFERROR(__xludf.DUMMYFUNCTION("IMPORTRANGE(H10864,""IDENTITAS UNIT!D9"")"),"#N/A")</f>
        <v>#N/A</v>
      </c>
      <c r="H10864" s="4" t="str">
        <v/>
      </c>
      <c r="I10864" s="4" t="str">
        <v/>
      </c>
    </row>
    <row r="10865" spans="5:9" ht="16.5" hidden="1">
      <c r="E10865" s="4" t="str">
        <v/>
      </c>
      <c r="F10865" s="102" t="str">
        <f ca="1">IFERROR(__xludf.DUMMYFUNCTION("IMPORTRANGE(H10865,""IDENTITAS UNIT!D9"")"),"#N/A")</f>
        <v>#N/A</v>
      </c>
      <c r="H10865" s="4" t="str">
        <v/>
      </c>
      <c r="I10865" s="4" t="str">
        <v/>
      </c>
    </row>
    <row r="10866" spans="5:9" ht="16.5" hidden="1">
      <c r="E10866" s="4" t="str">
        <v/>
      </c>
      <c r="F10866" s="102" t="str">
        <f ca="1">IFERROR(__xludf.DUMMYFUNCTION("IMPORTRANGE(H10866,""IDENTITAS UNIT!D9"")"),"#N/A")</f>
        <v>#N/A</v>
      </c>
      <c r="H10866" s="4" t="str">
        <v/>
      </c>
      <c r="I10866" s="4" t="str">
        <v/>
      </c>
    </row>
    <row r="10867" spans="5:9" ht="16.5" hidden="1">
      <c r="E10867" s="4" t="str">
        <v/>
      </c>
      <c r="F10867" s="102" t="str">
        <f ca="1">IFERROR(__xludf.DUMMYFUNCTION("IMPORTRANGE(H10867,""IDENTITAS UNIT!D9"")"),"#N/A")</f>
        <v>#N/A</v>
      </c>
      <c r="H10867" s="4" t="str">
        <v/>
      </c>
      <c r="I10867" s="4" t="str">
        <v/>
      </c>
    </row>
    <row r="10868" spans="5:9" ht="16.5" hidden="1">
      <c r="E10868" s="4" t="str">
        <v/>
      </c>
      <c r="F10868" s="102" t="str">
        <f ca="1">IFERROR(__xludf.DUMMYFUNCTION("IMPORTRANGE(H10868,""IDENTITAS UNIT!D9"")"),"#N/A")</f>
        <v>#N/A</v>
      </c>
      <c r="H10868" s="4" t="str">
        <v/>
      </c>
      <c r="I10868" s="4" t="str">
        <v/>
      </c>
    </row>
    <row r="10869" spans="5:9" ht="16.5" hidden="1">
      <c r="E10869" s="4" t="str">
        <v/>
      </c>
      <c r="F10869" s="102" t="str">
        <f ca="1">IFERROR(__xludf.DUMMYFUNCTION("IMPORTRANGE(H10869,""IDENTITAS UNIT!D9"")"),"#N/A")</f>
        <v>#N/A</v>
      </c>
      <c r="H10869" s="4" t="str">
        <v/>
      </c>
      <c r="I10869" s="4" t="str">
        <v/>
      </c>
    </row>
    <row r="10870" spans="5:9" ht="16.5" hidden="1">
      <c r="E10870" s="4" t="str">
        <v/>
      </c>
      <c r="F10870" s="102" t="str">
        <f ca="1">IFERROR(__xludf.DUMMYFUNCTION("IMPORTRANGE(H10870,""IDENTITAS UNIT!D9"")"),"#N/A")</f>
        <v>#N/A</v>
      </c>
      <c r="H10870" s="4" t="str">
        <v/>
      </c>
      <c r="I10870" s="4" t="str">
        <v/>
      </c>
    </row>
    <row r="10871" spans="5:9" ht="16.5" hidden="1">
      <c r="E10871" s="4" t="str">
        <v/>
      </c>
      <c r="F10871" s="102" t="str">
        <f ca="1">IFERROR(__xludf.DUMMYFUNCTION("IMPORTRANGE(H10871,""IDENTITAS UNIT!D9"")"),"#N/A")</f>
        <v>#N/A</v>
      </c>
      <c r="H10871" s="4" t="str">
        <v/>
      </c>
      <c r="I10871" s="4" t="str">
        <v/>
      </c>
    </row>
    <row r="10872" spans="5:9" ht="16.5" hidden="1">
      <c r="E10872" s="4" t="str">
        <v/>
      </c>
      <c r="F10872" s="102" t="str">
        <f ca="1">IFERROR(__xludf.DUMMYFUNCTION("IMPORTRANGE(H10872,""IDENTITAS UNIT!D9"")"),"#N/A")</f>
        <v>#N/A</v>
      </c>
      <c r="H10872" s="4" t="str">
        <v/>
      </c>
      <c r="I10872" s="4" t="str">
        <v/>
      </c>
    </row>
    <row r="10873" spans="5:9" ht="16.5" hidden="1">
      <c r="E10873" s="4" t="str">
        <v/>
      </c>
      <c r="F10873" s="102" t="str">
        <f ca="1">IFERROR(__xludf.DUMMYFUNCTION("IMPORTRANGE(H10873,""IDENTITAS UNIT!D9"")"),"#N/A")</f>
        <v>#N/A</v>
      </c>
      <c r="H10873" s="4" t="str">
        <v/>
      </c>
      <c r="I10873" s="4" t="str">
        <v/>
      </c>
    </row>
    <row r="10874" spans="5:9" ht="16.5" hidden="1">
      <c r="E10874" s="4" t="str">
        <v/>
      </c>
      <c r="F10874" s="102" t="str">
        <f ca="1">IFERROR(__xludf.DUMMYFUNCTION("IMPORTRANGE(H10874,""IDENTITAS UNIT!D9"")"),"#N/A")</f>
        <v>#N/A</v>
      </c>
      <c r="H10874" s="4" t="str">
        <v/>
      </c>
      <c r="I10874" s="4" t="str">
        <v/>
      </c>
    </row>
    <row r="10875" spans="5:9" ht="16.5" hidden="1">
      <c r="E10875" s="4" t="str">
        <v/>
      </c>
      <c r="F10875" s="102" t="str">
        <f ca="1">IFERROR(__xludf.DUMMYFUNCTION("IMPORTRANGE(H10875,""IDENTITAS UNIT!D9"")"),"#N/A")</f>
        <v>#N/A</v>
      </c>
      <c r="H10875" s="4" t="str">
        <v/>
      </c>
      <c r="I10875" s="4" t="str">
        <v/>
      </c>
    </row>
    <row r="10876" spans="5:9" ht="16.5" hidden="1">
      <c r="E10876" s="4" t="str">
        <v/>
      </c>
      <c r="F10876" s="102" t="str">
        <f ca="1">IFERROR(__xludf.DUMMYFUNCTION("IMPORTRANGE(H10876,""IDENTITAS UNIT!D9"")"),"#N/A")</f>
        <v>#N/A</v>
      </c>
      <c r="H10876" s="4" t="str">
        <v/>
      </c>
      <c r="I10876" s="4" t="str">
        <v/>
      </c>
    </row>
    <row r="10877" spans="5:9" ht="16.5" hidden="1">
      <c r="E10877" s="4" t="str">
        <v/>
      </c>
      <c r="F10877" s="102" t="str">
        <f ca="1">IFERROR(__xludf.DUMMYFUNCTION("IMPORTRANGE(H10877,""IDENTITAS UNIT!D9"")"),"#N/A")</f>
        <v>#N/A</v>
      </c>
      <c r="H10877" s="4" t="str">
        <v/>
      </c>
      <c r="I10877" s="4" t="str">
        <v/>
      </c>
    </row>
    <row r="10878" spans="5:9" ht="16.5" hidden="1">
      <c r="E10878" s="4" t="str">
        <v/>
      </c>
      <c r="F10878" s="102" t="str">
        <f ca="1">IFERROR(__xludf.DUMMYFUNCTION("IMPORTRANGE(H10878,""IDENTITAS UNIT!D9"")"),"#N/A")</f>
        <v>#N/A</v>
      </c>
      <c r="H10878" s="4" t="str">
        <v/>
      </c>
      <c r="I10878" s="4" t="str">
        <v/>
      </c>
    </row>
    <row r="10879" spans="5:9" ht="16.5" hidden="1">
      <c r="E10879" s="4" t="str">
        <v/>
      </c>
      <c r="F10879" s="102" t="str">
        <f ca="1">IFERROR(__xludf.DUMMYFUNCTION("IMPORTRANGE(H10879,""IDENTITAS UNIT!D9"")"),"#N/A")</f>
        <v>#N/A</v>
      </c>
      <c r="H10879" s="4" t="str">
        <v/>
      </c>
      <c r="I10879" s="4" t="str">
        <v/>
      </c>
    </row>
    <row r="10880" spans="5:9" ht="16.5" hidden="1">
      <c r="E10880" s="4" t="str">
        <v/>
      </c>
      <c r="F10880" s="102" t="str">
        <f ca="1">IFERROR(__xludf.DUMMYFUNCTION("IMPORTRANGE(H10880,""IDENTITAS UNIT!D9"")"),"#N/A")</f>
        <v>#N/A</v>
      </c>
      <c r="H10880" s="4" t="str">
        <v/>
      </c>
      <c r="I10880" s="4" t="str">
        <v/>
      </c>
    </row>
    <row r="10881" spans="5:9" ht="16.5" hidden="1">
      <c r="E10881" s="4" t="str">
        <v/>
      </c>
      <c r="F10881" s="102" t="str">
        <f ca="1">IFERROR(__xludf.DUMMYFUNCTION("IMPORTRANGE(H10881,""IDENTITAS UNIT!D9"")"),"#N/A")</f>
        <v>#N/A</v>
      </c>
      <c r="H10881" s="4" t="str">
        <v/>
      </c>
      <c r="I10881" s="4" t="str">
        <v/>
      </c>
    </row>
    <row r="10882" spans="5:9" ht="16.5" hidden="1">
      <c r="E10882" s="4" t="str">
        <v/>
      </c>
      <c r="F10882" s="102" t="str">
        <f ca="1">IFERROR(__xludf.DUMMYFUNCTION("IMPORTRANGE(H10882,""IDENTITAS UNIT!D9"")"),"#N/A")</f>
        <v>#N/A</v>
      </c>
      <c r="H10882" s="4" t="str">
        <v/>
      </c>
      <c r="I10882" s="4" t="str">
        <v/>
      </c>
    </row>
    <row r="10883" spans="5:9" ht="16.5" hidden="1">
      <c r="E10883" s="4" t="str">
        <v/>
      </c>
      <c r="F10883" s="102" t="str">
        <f ca="1">IFERROR(__xludf.DUMMYFUNCTION("IMPORTRANGE(H10883,""IDENTITAS UNIT!D9"")"),"#N/A")</f>
        <v>#N/A</v>
      </c>
      <c r="H10883" s="4" t="str">
        <v/>
      </c>
      <c r="I10883" s="4" t="str">
        <v/>
      </c>
    </row>
    <row r="10884" spans="5:9" ht="16.5" hidden="1">
      <c r="E10884" s="4" t="str">
        <v/>
      </c>
      <c r="F10884" s="102" t="str">
        <f ca="1">IFERROR(__xludf.DUMMYFUNCTION("IMPORTRANGE(H10884,""IDENTITAS UNIT!D9"")"),"#N/A")</f>
        <v>#N/A</v>
      </c>
      <c r="H10884" s="4" t="str">
        <v/>
      </c>
      <c r="I10884" s="4" t="str">
        <v/>
      </c>
    </row>
    <row r="10885" spans="5:9" ht="16.5" hidden="1">
      <c r="E10885" s="4" t="str">
        <v/>
      </c>
      <c r="F10885" s="102" t="str">
        <f ca="1">IFERROR(__xludf.DUMMYFUNCTION("IMPORTRANGE(H10885,""IDENTITAS UNIT!D9"")"),"#N/A")</f>
        <v>#N/A</v>
      </c>
      <c r="H10885" s="4" t="str">
        <v/>
      </c>
      <c r="I10885" s="4" t="str">
        <v/>
      </c>
    </row>
    <row r="10886" spans="5:9" ht="16.5" hidden="1">
      <c r="E10886" s="4" t="str">
        <v/>
      </c>
      <c r="F10886" s="102" t="str">
        <f ca="1">IFERROR(__xludf.DUMMYFUNCTION("IMPORTRANGE(H10886,""IDENTITAS UNIT!D9"")"),"#N/A")</f>
        <v>#N/A</v>
      </c>
      <c r="H10886" s="4" t="str">
        <v/>
      </c>
      <c r="I10886" s="4" t="str">
        <v/>
      </c>
    </row>
    <row r="10887" spans="5:9" ht="16.5" hidden="1">
      <c r="E10887" s="4" t="str">
        <v/>
      </c>
      <c r="F10887" s="102" t="str">
        <f ca="1">IFERROR(__xludf.DUMMYFUNCTION("IMPORTRANGE(H10887,""IDENTITAS UNIT!D9"")"),"#N/A")</f>
        <v>#N/A</v>
      </c>
      <c r="H10887" s="4" t="str">
        <v/>
      </c>
      <c r="I10887" s="4" t="str">
        <v/>
      </c>
    </row>
    <row r="10888" spans="5:9" ht="16.5" hidden="1">
      <c r="E10888" s="4" t="str">
        <v/>
      </c>
      <c r="F10888" s="102" t="str">
        <f ca="1">IFERROR(__xludf.DUMMYFUNCTION("IMPORTRANGE(H10888,""IDENTITAS UNIT!D9"")"),"#N/A")</f>
        <v>#N/A</v>
      </c>
      <c r="H10888" s="4" t="str">
        <v/>
      </c>
      <c r="I10888" s="4" t="str">
        <v/>
      </c>
    </row>
    <row r="10889" spans="5:9" ht="16.5" hidden="1">
      <c r="E10889" s="4" t="str">
        <v/>
      </c>
      <c r="F10889" s="102" t="str">
        <f ca="1">IFERROR(__xludf.DUMMYFUNCTION("IMPORTRANGE(H10889,""IDENTITAS UNIT!D9"")"),"#N/A")</f>
        <v>#N/A</v>
      </c>
      <c r="H10889" s="4" t="str">
        <v/>
      </c>
      <c r="I10889" s="4" t="str">
        <v/>
      </c>
    </row>
    <row r="10890" spans="5:9" ht="16.5" hidden="1">
      <c r="E10890" s="4" t="str">
        <v/>
      </c>
      <c r="F10890" s="102" t="str">
        <f ca="1">IFERROR(__xludf.DUMMYFUNCTION("IMPORTRANGE(H10890,""IDENTITAS UNIT!D9"")"),"#N/A")</f>
        <v>#N/A</v>
      </c>
      <c r="H10890" s="4" t="str">
        <v/>
      </c>
      <c r="I10890" s="4" t="str">
        <v/>
      </c>
    </row>
    <row r="10891" spans="5:9" ht="16.5" hidden="1">
      <c r="E10891" s="4" t="str">
        <v/>
      </c>
      <c r="F10891" s="102" t="str">
        <f ca="1">IFERROR(__xludf.DUMMYFUNCTION("IMPORTRANGE(H10891,""IDENTITAS UNIT!D9"")"),"#N/A")</f>
        <v>#N/A</v>
      </c>
      <c r="H10891" s="4" t="str">
        <v/>
      </c>
      <c r="I10891" s="4" t="str">
        <v/>
      </c>
    </row>
    <row r="10892" spans="5:9" ht="16.5" hidden="1">
      <c r="E10892" s="4" t="str">
        <v/>
      </c>
      <c r="F10892" s="102" t="str">
        <f ca="1">IFERROR(__xludf.DUMMYFUNCTION("IMPORTRANGE(H10892,""IDENTITAS UNIT!D9"")"),"#N/A")</f>
        <v>#N/A</v>
      </c>
      <c r="H10892" s="4" t="str">
        <v/>
      </c>
      <c r="I10892" s="4" t="str">
        <v/>
      </c>
    </row>
    <row r="10893" spans="5:9" ht="16.5" hidden="1">
      <c r="E10893" s="4" t="str">
        <v/>
      </c>
      <c r="F10893" s="102" t="str">
        <f ca="1">IFERROR(__xludf.DUMMYFUNCTION("IMPORTRANGE(H10893,""IDENTITAS UNIT!D9"")"),"#N/A")</f>
        <v>#N/A</v>
      </c>
      <c r="H10893" s="4" t="str">
        <v/>
      </c>
      <c r="I10893" s="4" t="str">
        <v/>
      </c>
    </row>
    <row r="10894" spans="5:9" ht="16.5" hidden="1">
      <c r="E10894" s="4" t="str">
        <v/>
      </c>
      <c r="F10894" s="102" t="str">
        <f ca="1">IFERROR(__xludf.DUMMYFUNCTION("IMPORTRANGE(H10894,""IDENTITAS UNIT!D9"")"),"#N/A")</f>
        <v>#N/A</v>
      </c>
      <c r="H10894" s="4" t="str">
        <v/>
      </c>
      <c r="I10894" s="4" t="str">
        <v/>
      </c>
    </row>
    <row r="10895" spans="5:9" ht="16.5" hidden="1">
      <c r="E10895" s="4" t="str">
        <v/>
      </c>
      <c r="F10895" s="102" t="str">
        <f ca="1">IFERROR(__xludf.DUMMYFUNCTION("IMPORTRANGE(H10895,""IDENTITAS UNIT!D9"")"),"#N/A")</f>
        <v>#N/A</v>
      </c>
      <c r="H10895" s="4" t="str">
        <v/>
      </c>
      <c r="I10895" s="4" t="str">
        <v/>
      </c>
    </row>
    <row r="10896" spans="5:9" ht="16.5" hidden="1">
      <c r="E10896" s="4" t="str">
        <v/>
      </c>
      <c r="F10896" s="102" t="str">
        <f ca="1">IFERROR(__xludf.DUMMYFUNCTION("IMPORTRANGE(H10896,""IDENTITAS UNIT!D9"")"),"#N/A")</f>
        <v>#N/A</v>
      </c>
      <c r="H10896" s="4" t="str">
        <v/>
      </c>
      <c r="I10896" s="4" t="str">
        <v/>
      </c>
    </row>
    <row r="10897" spans="5:9" ht="16.5" hidden="1">
      <c r="E10897" s="4" t="str">
        <v/>
      </c>
      <c r="F10897" s="102" t="str">
        <f ca="1">IFERROR(__xludf.DUMMYFUNCTION("IMPORTRANGE(H10897,""IDENTITAS UNIT!D9"")"),"#N/A")</f>
        <v>#N/A</v>
      </c>
      <c r="H10897" s="4" t="str">
        <v/>
      </c>
      <c r="I10897" s="4" t="str">
        <v/>
      </c>
    </row>
    <row r="10898" spans="5:9" ht="16.5" hidden="1">
      <c r="E10898" s="4" t="str">
        <v/>
      </c>
      <c r="F10898" s="102" t="str">
        <f ca="1">IFERROR(__xludf.DUMMYFUNCTION("IMPORTRANGE(H10898,""IDENTITAS UNIT!D9"")"),"#N/A")</f>
        <v>#N/A</v>
      </c>
      <c r="H10898" s="4" t="str">
        <v/>
      </c>
      <c r="I10898" s="4" t="str">
        <v/>
      </c>
    </row>
    <row r="10899" spans="5:9" ht="16.5" hidden="1">
      <c r="E10899" s="4" t="str">
        <v/>
      </c>
      <c r="F10899" s="102" t="str">
        <f ca="1">IFERROR(__xludf.DUMMYFUNCTION("IMPORTRANGE(H10899,""IDENTITAS UNIT!D9"")"),"#N/A")</f>
        <v>#N/A</v>
      </c>
      <c r="H10899" s="4" t="str">
        <v/>
      </c>
      <c r="I10899" s="4" t="str">
        <v/>
      </c>
    </row>
    <row r="10900" spans="5:9" ht="16.5" hidden="1">
      <c r="E10900" s="4" t="str">
        <v/>
      </c>
      <c r="F10900" s="102" t="str">
        <f ca="1">IFERROR(__xludf.DUMMYFUNCTION("IMPORTRANGE(H10900,""IDENTITAS UNIT!D9"")"),"#N/A")</f>
        <v>#N/A</v>
      </c>
      <c r="H10900" s="4" t="str">
        <v/>
      </c>
      <c r="I10900" s="4" t="str">
        <v/>
      </c>
    </row>
    <row r="10901" spans="5:9" ht="16.5" hidden="1">
      <c r="E10901" s="4" t="str">
        <v/>
      </c>
      <c r="F10901" s="102" t="str">
        <f ca="1">IFERROR(__xludf.DUMMYFUNCTION("IMPORTRANGE(H10901,""IDENTITAS UNIT!D9"")"),"#N/A")</f>
        <v>#N/A</v>
      </c>
      <c r="H10901" s="4" t="str">
        <v/>
      </c>
      <c r="I10901" s="4" t="str">
        <v/>
      </c>
    </row>
    <row r="10902" spans="5:9" ht="16.5" hidden="1">
      <c r="E10902" s="4" t="str">
        <v/>
      </c>
      <c r="F10902" s="102" t="str">
        <f ca="1">IFERROR(__xludf.DUMMYFUNCTION("IMPORTRANGE(H10902,""IDENTITAS UNIT!D9"")"),"#N/A")</f>
        <v>#N/A</v>
      </c>
      <c r="H10902" s="4" t="str">
        <v/>
      </c>
      <c r="I10902" s="4" t="str">
        <v/>
      </c>
    </row>
    <row r="10903" spans="5:9" ht="16.5" hidden="1">
      <c r="E10903" s="4" t="str">
        <v/>
      </c>
      <c r="F10903" s="102" t="str">
        <f ca="1">IFERROR(__xludf.DUMMYFUNCTION("IMPORTRANGE(H10903,""IDENTITAS UNIT!D9"")"),"#N/A")</f>
        <v>#N/A</v>
      </c>
      <c r="H10903" s="4" t="str">
        <v/>
      </c>
      <c r="I10903" s="4" t="str">
        <v/>
      </c>
    </row>
    <row r="10904" spans="5:9" ht="16.5" hidden="1">
      <c r="E10904" s="4" t="str">
        <v/>
      </c>
      <c r="F10904" s="102" t="str">
        <f ca="1">IFERROR(__xludf.DUMMYFUNCTION("IMPORTRANGE(H10904,""IDENTITAS UNIT!D9"")"),"#N/A")</f>
        <v>#N/A</v>
      </c>
      <c r="H10904" s="4" t="str">
        <v/>
      </c>
      <c r="I10904" s="4" t="str">
        <v/>
      </c>
    </row>
    <row r="10905" spans="5:9" ht="16.5" hidden="1">
      <c r="E10905" s="4" t="str">
        <v/>
      </c>
      <c r="F10905" s="102" t="str">
        <f ca="1">IFERROR(__xludf.DUMMYFUNCTION("IMPORTRANGE(H10905,""IDENTITAS UNIT!D9"")"),"#N/A")</f>
        <v>#N/A</v>
      </c>
      <c r="H10905" s="4" t="str">
        <v/>
      </c>
      <c r="I10905" s="4" t="str">
        <v/>
      </c>
    </row>
    <row r="10906" spans="5:9" ht="16.5" hidden="1">
      <c r="E10906" s="4" t="str">
        <v/>
      </c>
      <c r="F10906" s="102" t="str">
        <f ca="1">IFERROR(__xludf.DUMMYFUNCTION("IMPORTRANGE(H10906,""IDENTITAS UNIT!D9"")"),"#N/A")</f>
        <v>#N/A</v>
      </c>
      <c r="H10906" s="4" t="str">
        <v/>
      </c>
      <c r="I10906" s="4" t="str">
        <v/>
      </c>
    </row>
    <row r="10907" spans="5:9" ht="16.5" hidden="1">
      <c r="E10907" s="4" t="str">
        <v/>
      </c>
      <c r="F10907" s="102" t="str">
        <f ca="1">IFERROR(__xludf.DUMMYFUNCTION("IMPORTRANGE(H10907,""IDENTITAS UNIT!D9"")"),"#N/A")</f>
        <v>#N/A</v>
      </c>
      <c r="H10907" s="4" t="str">
        <v/>
      </c>
      <c r="I10907" s="4" t="str">
        <v/>
      </c>
    </row>
    <row r="10908" spans="5:9" ht="16.5" hidden="1">
      <c r="E10908" s="4" t="str">
        <v/>
      </c>
      <c r="F10908" s="102" t="str">
        <f ca="1">IFERROR(__xludf.DUMMYFUNCTION("IMPORTRANGE(H10908,""IDENTITAS UNIT!D9"")"),"#N/A")</f>
        <v>#N/A</v>
      </c>
      <c r="H10908" s="4" t="str">
        <v/>
      </c>
      <c r="I10908" s="4" t="str">
        <v/>
      </c>
    </row>
    <row r="10909" spans="5:9" ht="16.5" hidden="1">
      <c r="E10909" s="4" t="str">
        <v/>
      </c>
      <c r="F10909" s="102" t="str">
        <f ca="1">IFERROR(__xludf.DUMMYFUNCTION("IMPORTRANGE(H10909,""IDENTITAS UNIT!D9"")"),"#N/A")</f>
        <v>#N/A</v>
      </c>
      <c r="H10909" s="4" t="str">
        <v/>
      </c>
      <c r="I10909" s="4" t="str">
        <v/>
      </c>
    </row>
    <row r="10910" spans="5:9" ht="16.5" hidden="1">
      <c r="E10910" s="4" t="str">
        <v/>
      </c>
      <c r="F10910" s="102" t="str">
        <f ca="1">IFERROR(__xludf.DUMMYFUNCTION("IMPORTRANGE(H10910,""IDENTITAS UNIT!D9"")"),"#N/A")</f>
        <v>#N/A</v>
      </c>
      <c r="H10910" s="4" t="str">
        <v/>
      </c>
      <c r="I10910" s="4" t="str">
        <v/>
      </c>
    </row>
    <row r="10911" spans="5:9" ht="16.5" hidden="1">
      <c r="E10911" s="4" t="str">
        <v/>
      </c>
      <c r="F10911" s="102" t="str">
        <f ca="1">IFERROR(__xludf.DUMMYFUNCTION("IMPORTRANGE(H10911,""IDENTITAS UNIT!D9"")"),"#N/A")</f>
        <v>#N/A</v>
      </c>
      <c r="H10911" s="4" t="str">
        <v/>
      </c>
      <c r="I10911" s="4" t="str">
        <v/>
      </c>
    </row>
    <row r="10912" spans="5:9" ht="16.5" hidden="1">
      <c r="E10912" s="4" t="str">
        <v/>
      </c>
      <c r="F10912" s="102" t="str">
        <f ca="1">IFERROR(__xludf.DUMMYFUNCTION("IMPORTRANGE(H10912,""IDENTITAS UNIT!D9"")"),"#N/A")</f>
        <v>#N/A</v>
      </c>
      <c r="H10912" s="4" t="str">
        <v/>
      </c>
      <c r="I10912" s="4" t="str">
        <v/>
      </c>
    </row>
    <row r="10913" spans="5:9" ht="16.5" hidden="1">
      <c r="E10913" s="4" t="str">
        <v/>
      </c>
      <c r="F10913" s="102" t="str">
        <f ca="1">IFERROR(__xludf.DUMMYFUNCTION("IMPORTRANGE(H10913,""IDENTITAS UNIT!D9"")"),"#N/A")</f>
        <v>#N/A</v>
      </c>
      <c r="H10913" s="4" t="str">
        <v/>
      </c>
      <c r="I10913" s="4" t="str">
        <v/>
      </c>
    </row>
    <row r="10914" spans="5:9" ht="16.5" hidden="1">
      <c r="E10914" s="4" t="str">
        <v/>
      </c>
      <c r="F10914" s="102" t="str">
        <f ca="1">IFERROR(__xludf.DUMMYFUNCTION("IMPORTRANGE(H10914,""IDENTITAS UNIT!D9"")"),"#N/A")</f>
        <v>#N/A</v>
      </c>
      <c r="H10914" s="4" t="str">
        <v/>
      </c>
      <c r="I10914" s="4" t="str">
        <v/>
      </c>
    </row>
    <row r="10915" spans="5:9" ht="16.5" hidden="1">
      <c r="E10915" s="4" t="str">
        <v/>
      </c>
      <c r="F10915" s="102" t="str">
        <f ca="1">IFERROR(__xludf.DUMMYFUNCTION("IMPORTRANGE(H10915,""IDENTITAS UNIT!D9"")"),"#N/A")</f>
        <v>#N/A</v>
      </c>
      <c r="H10915" s="4" t="str">
        <v/>
      </c>
      <c r="I10915" s="4" t="str">
        <v/>
      </c>
    </row>
    <row r="10916" spans="5:9" ht="16.5" hidden="1">
      <c r="E10916" s="4" t="str">
        <v/>
      </c>
      <c r="F10916" s="102" t="str">
        <f ca="1">IFERROR(__xludf.DUMMYFUNCTION("IMPORTRANGE(H10916,""IDENTITAS UNIT!D9"")"),"#N/A")</f>
        <v>#N/A</v>
      </c>
      <c r="H10916" s="4" t="str">
        <v/>
      </c>
      <c r="I10916" s="4" t="str">
        <v/>
      </c>
    </row>
    <row r="10917" spans="5:9" ht="16.5" hidden="1">
      <c r="E10917" s="4" t="str">
        <v/>
      </c>
      <c r="F10917" s="102" t="str">
        <f ca="1">IFERROR(__xludf.DUMMYFUNCTION("IMPORTRANGE(H10917,""IDENTITAS UNIT!D9"")"),"#N/A")</f>
        <v>#N/A</v>
      </c>
      <c r="H10917" s="4" t="str">
        <v/>
      </c>
      <c r="I10917" s="4" t="str">
        <v/>
      </c>
    </row>
    <row r="10918" spans="5:9" ht="16.5" hidden="1">
      <c r="E10918" s="4" t="str">
        <v/>
      </c>
      <c r="F10918" s="102" t="str">
        <f ca="1">IFERROR(__xludf.DUMMYFUNCTION("IMPORTRANGE(H10918,""IDENTITAS UNIT!D9"")"),"#N/A")</f>
        <v>#N/A</v>
      </c>
      <c r="H10918" s="4" t="str">
        <v/>
      </c>
      <c r="I10918" s="4" t="str">
        <v/>
      </c>
    </row>
    <row r="10919" spans="5:9" ht="16.5" hidden="1">
      <c r="E10919" s="4" t="str">
        <v/>
      </c>
      <c r="F10919" s="102" t="str">
        <f ca="1">IFERROR(__xludf.DUMMYFUNCTION("IMPORTRANGE(H10919,""IDENTITAS UNIT!D9"")"),"#N/A")</f>
        <v>#N/A</v>
      </c>
      <c r="H10919" s="4" t="str">
        <v/>
      </c>
      <c r="I10919" s="4" t="str">
        <v/>
      </c>
    </row>
    <row r="10920" spans="5:9" ht="16.5" hidden="1">
      <c r="E10920" s="4" t="str">
        <v/>
      </c>
      <c r="F10920" s="102" t="str">
        <f ca="1">IFERROR(__xludf.DUMMYFUNCTION("IMPORTRANGE(H10920,""IDENTITAS UNIT!D9"")"),"#N/A")</f>
        <v>#N/A</v>
      </c>
      <c r="H10920" s="4" t="str">
        <v/>
      </c>
      <c r="I10920" s="4" t="str">
        <v/>
      </c>
    </row>
    <row r="10921" spans="5:9" ht="16.5" hidden="1">
      <c r="E10921" s="4" t="str">
        <v/>
      </c>
      <c r="F10921" s="102" t="str">
        <f ca="1">IFERROR(__xludf.DUMMYFUNCTION("IMPORTRANGE(H10921,""IDENTITAS UNIT!D9"")"),"#N/A")</f>
        <v>#N/A</v>
      </c>
      <c r="H10921" s="4" t="str">
        <v/>
      </c>
      <c r="I10921" s="4" t="str">
        <v/>
      </c>
    </row>
    <row r="10922" spans="5:9" ht="16.5" hidden="1">
      <c r="E10922" s="4" t="str">
        <v/>
      </c>
      <c r="F10922" s="102" t="str">
        <f ca="1">IFERROR(__xludf.DUMMYFUNCTION("IMPORTRANGE(H10922,""IDENTITAS UNIT!D9"")"),"#N/A")</f>
        <v>#N/A</v>
      </c>
      <c r="H10922" s="4" t="str">
        <v/>
      </c>
      <c r="I10922" s="4" t="str">
        <v/>
      </c>
    </row>
    <row r="10923" spans="5:9" ht="16.5" hidden="1">
      <c r="E10923" s="4" t="str">
        <v/>
      </c>
      <c r="F10923" s="102" t="str">
        <f ca="1">IFERROR(__xludf.DUMMYFUNCTION("IMPORTRANGE(H10923,""IDENTITAS UNIT!D9"")"),"#N/A")</f>
        <v>#N/A</v>
      </c>
      <c r="H10923" s="4" t="str">
        <v/>
      </c>
      <c r="I10923" s="4" t="str">
        <v/>
      </c>
    </row>
    <row r="10924" spans="5:9" ht="16.5" hidden="1">
      <c r="E10924" s="4" t="str">
        <v/>
      </c>
      <c r="F10924" s="102" t="str">
        <f ca="1">IFERROR(__xludf.DUMMYFUNCTION("IMPORTRANGE(H10924,""IDENTITAS UNIT!D9"")"),"#N/A")</f>
        <v>#N/A</v>
      </c>
      <c r="H10924" s="4" t="str">
        <v/>
      </c>
      <c r="I10924" s="4" t="str">
        <v/>
      </c>
    </row>
    <row r="10925" spans="5:9" ht="16.5" hidden="1">
      <c r="E10925" s="4" t="str">
        <v/>
      </c>
      <c r="F10925" s="102" t="str">
        <f ca="1">IFERROR(__xludf.DUMMYFUNCTION("IMPORTRANGE(H10925,""IDENTITAS UNIT!D9"")"),"#N/A")</f>
        <v>#N/A</v>
      </c>
      <c r="H10925" s="4" t="str">
        <v/>
      </c>
      <c r="I10925" s="4" t="str">
        <v/>
      </c>
    </row>
    <row r="10926" spans="5:9" ht="16.5" hidden="1">
      <c r="E10926" s="4" t="str">
        <v/>
      </c>
      <c r="F10926" s="102" t="str">
        <f ca="1">IFERROR(__xludf.DUMMYFUNCTION("IMPORTRANGE(H10926,""IDENTITAS UNIT!D9"")"),"#N/A")</f>
        <v>#N/A</v>
      </c>
      <c r="H10926" s="4" t="str">
        <v/>
      </c>
      <c r="I10926" s="4" t="str">
        <v/>
      </c>
    </row>
    <row r="10927" spans="5:9" ht="16.5" hidden="1">
      <c r="E10927" s="4" t="str">
        <v/>
      </c>
      <c r="F10927" s="102" t="str">
        <f ca="1">IFERROR(__xludf.DUMMYFUNCTION("IMPORTRANGE(H10927,""IDENTITAS UNIT!D9"")"),"#N/A")</f>
        <v>#N/A</v>
      </c>
      <c r="H10927" s="4" t="str">
        <v/>
      </c>
      <c r="I10927" s="4" t="str">
        <v/>
      </c>
    </row>
    <row r="10928" spans="5:9" ht="16.5" hidden="1">
      <c r="E10928" s="4" t="str">
        <v/>
      </c>
      <c r="F10928" s="102" t="str">
        <f ca="1">IFERROR(__xludf.DUMMYFUNCTION("IMPORTRANGE(H10928,""IDENTITAS UNIT!D9"")"),"#N/A")</f>
        <v>#N/A</v>
      </c>
      <c r="H10928" s="4" t="str">
        <v/>
      </c>
      <c r="I10928" s="4" t="str">
        <v/>
      </c>
    </row>
    <row r="10929" spans="5:9" ht="16.5" hidden="1">
      <c r="E10929" s="4" t="str">
        <v/>
      </c>
      <c r="F10929" s="102" t="str">
        <f ca="1">IFERROR(__xludf.DUMMYFUNCTION("IMPORTRANGE(H10929,""IDENTITAS UNIT!D9"")"),"#N/A")</f>
        <v>#N/A</v>
      </c>
      <c r="H10929" s="4" t="str">
        <v/>
      </c>
      <c r="I10929" s="4" t="str">
        <v/>
      </c>
    </row>
    <row r="10930" spans="5:9" ht="16.5" hidden="1">
      <c r="E10930" s="4" t="str">
        <v/>
      </c>
      <c r="F10930" s="102" t="str">
        <f ca="1">IFERROR(__xludf.DUMMYFUNCTION("IMPORTRANGE(H10930,""IDENTITAS UNIT!D9"")"),"#N/A")</f>
        <v>#N/A</v>
      </c>
      <c r="H10930" s="4" t="str">
        <v/>
      </c>
      <c r="I10930" s="4" t="str">
        <v/>
      </c>
    </row>
    <row r="10931" spans="5:9" ht="16.5" hidden="1">
      <c r="E10931" s="4" t="str">
        <v/>
      </c>
      <c r="F10931" s="102" t="str">
        <f ca="1">IFERROR(__xludf.DUMMYFUNCTION("IMPORTRANGE(H10931,""IDENTITAS UNIT!D9"")"),"#N/A")</f>
        <v>#N/A</v>
      </c>
      <c r="H10931" s="4" t="str">
        <v/>
      </c>
      <c r="I10931" s="4" t="str">
        <v/>
      </c>
    </row>
    <row r="10932" spans="5:9" ht="16.5" hidden="1">
      <c r="E10932" s="4" t="str">
        <v/>
      </c>
      <c r="F10932" s="102" t="str">
        <f ca="1">IFERROR(__xludf.DUMMYFUNCTION("IMPORTRANGE(H10932,""IDENTITAS UNIT!D9"")"),"#N/A")</f>
        <v>#N/A</v>
      </c>
      <c r="H10932" s="4" t="str">
        <v/>
      </c>
      <c r="I10932" s="4" t="str">
        <v/>
      </c>
    </row>
    <row r="10933" spans="5:9" ht="16.5" hidden="1">
      <c r="E10933" s="4" t="str">
        <v/>
      </c>
      <c r="F10933" s="102" t="str">
        <f ca="1">IFERROR(__xludf.DUMMYFUNCTION("IMPORTRANGE(H10933,""IDENTITAS UNIT!D9"")"),"#N/A")</f>
        <v>#N/A</v>
      </c>
      <c r="H10933" s="4" t="str">
        <v/>
      </c>
      <c r="I10933" s="4" t="str">
        <v/>
      </c>
    </row>
    <row r="10934" spans="5:9" ht="16.5" hidden="1">
      <c r="E10934" s="4" t="str">
        <v/>
      </c>
      <c r="F10934" s="102" t="str">
        <f ca="1">IFERROR(__xludf.DUMMYFUNCTION("IMPORTRANGE(H10934,""IDENTITAS UNIT!D9"")"),"#N/A")</f>
        <v>#N/A</v>
      </c>
      <c r="H10934" s="4" t="str">
        <v/>
      </c>
      <c r="I10934" s="4" t="str">
        <v/>
      </c>
    </row>
    <row r="10935" spans="5:9" ht="16.5" hidden="1">
      <c r="E10935" s="4" t="str">
        <v/>
      </c>
      <c r="F10935" s="102" t="str">
        <f ca="1">IFERROR(__xludf.DUMMYFUNCTION("IMPORTRANGE(H10935,""IDENTITAS UNIT!D9"")"),"#N/A")</f>
        <v>#N/A</v>
      </c>
      <c r="H10935" s="4" t="str">
        <v/>
      </c>
      <c r="I10935" s="4" t="str">
        <v/>
      </c>
    </row>
    <row r="10936" spans="5:9" ht="16.5" hidden="1">
      <c r="E10936" s="4" t="str">
        <v/>
      </c>
      <c r="F10936" s="102" t="str">
        <f ca="1">IFERROR(__xludf.DUMMYFUNCTION("IMPORTRANGE(H10936,""IDENTITAS UNIT!D9"")"),"#N/A")</f>
        <v>#N/A</v>
      </c>
      <c r="H10936" s="4" t="str">
        <v/>
      </c>
      <c r="I10936" s="4" t="str">
        <v/>
      </c>
    </row>
    <row r="10937" spans="5:9" ht="16.5" hidden="1">
      <c r="E10937" s="4" t="str">
        <v/>
      </c>
      <c r="F10937" s="102" t="str">
        <f ca="1">IFERROR(__xludf.DUMMYFUNCTION("IMPORTRANGE(H10937,""IDENTITAS UNIT!D9"")"),"#N/A")</f>
        <v>#N/A</v>
      </c>
      <c r="H10937" s="4" t="str">
        <v/>
      </c>
      <c r="I10937" s="4" t="str">
        <v/>
      </c>
    </row>
    <row r="10938" spans="5:9" ht="16.5" hidden="1">
      <c r="E10938" s="4" t="str">
        <v/>
      </c>
      <c r="F10938" s="102" t="str">
        <f ca="1">IFERROR(__xludf.DUMMYFUNCTION("IMPORTRANGE(H10938,""IDENTITAS UNIT!D9"")"),"#N/A")</f>
        <v>#N/A</v>
      </c>
      <c r="H10938" s="4" t="str">
        <v/>
      </c>
      <c r="I10938" s="4" t="str">
        <v/>
      </c>
    </row>
    <row r="10939" spans="5:9" ht="16.5" hidden="1">
      <c r="E10939" s="4" t="str">
        <v/>
      </c>
      <c r="F10939" s="102" t="str">
        <f ca="1">IFERROR(__xludf.DUMMYFUNCTION("IMPORTRANGE(H10939,""IDENTITAS UNIT!D9"")"),"#N/A")</f>
        <v>#N/A</v>
      </c>
      <c r="H10939" s="4" t="str">
        <v/>
      </c>
      <c r="I10939" s="4" t="str">
        <v/>
      </c>
    </row>
    <row r="10940" spans="5:9" ht="16.5" hidden="1">
      <c r="E10940" s="4" t="str">
        <v/>
      </c>
      <c r="F10940" s="102" t="str">
        <f ca="1">IFERROR(__xludf.DUMMYFUNCTION("IMPORTRANGE(H10940,""IDENTITAS UNIT!D9"")"),"#N/A")</f>
        <v>#N/A</v>
      </c>
      <c r="H10940" s="4" t="str">
        <v/>
      </c>
      <c r="I10940" s="4" t="str">
        <v/>
      </c>
    </row>
    <row r="10941" spans="5:9" ht="16.5" hidden="1">
      <c r="E10941" s="4" t="str">
        <v/>
      </c>
      <c r="F10941" s="102" t="str">
        <f ca="1">IFERROR(__xludf.DUMMYFUNCTION("IMPORTRANGE(H10941,""IDENTITAS UNIT!D9"")"),"#N/A")</f>
        <v>#N/A</v>
      </c>
      <c r="H10941" s="4" t="str">
        <v/>
      </c>
      <c r="I10941" s="4" t="str">
        <v/>
      </c>
    </row>
    <row r="10942" spans="5:9" ht="16.5" hidden="1">
      <c r="E10942" s="4" t="str">
        <v/>
      </c>
      <c r="F10942" s="102" t="str">
        <f ca="1">IFERROR(__xludf.DUMMYFUNCTION("IMPORTRANGE(H10942,""IDENTITAS UNIT!D9"")"),"#N/A")</f>
        <v>#N/A</v>
      </c>
      <c r="H10942" s="4" t="str">
        <v/>
      </c>
      <c r="I10942" s="4" t="str">
        <v/>
      </c>
    </row>
    <row r="10943" spans="5:9" ht="16.5" hidden="1">
      <c r="E10943" s="4" t="str">
        <v/>
      </c>
      <c r="F10943" s="102" t="str">
        <f ca="1">IFERROR(__xludf.DUMMYFUNCTION("IMPORTRANGE(H10943,""IDENTITAS UNIT!D9"")"),"#N/A")</f>
        <v>#N/A</v>
      </c>
      <c r="H10943" s="4" t="str">
        <v/>
      </c>
      <c r="I10943" s="4" t="str">
        <v/>
      </c>
    </row>
    <row r="10944" spans="5:9" ht="16.5" hidden="1">
      <c r="E10944" s="4" t="str">
        <v/>
      </c>
      <c r="F10944" s="102" t="str">
        <f ca="1">IFERROR(__xludf.DUMMYFUNCTION("IMPORTRANGE(H10944,""IDENTITAS UNIT!D9"")"),"#N/A")</f>
        <v>#N/A</v>
      </c>
      <c r="H10944" s="4" t="str">
        <v/>
      </c>
      <c r="I10944" s="4" t="str">
        <v/>
      </c>
    </row>
    <row r="10945" spans="5:9" ht="16.5" hidden="1">
      <c r="E10945" s="4" t="str">
        <v/>
      </c>
      <c r="F10945" s="102" t="str">
        <f ca="1">IFERROR(__xludf.DUMMYFUNCTION("IMPORTRANGE(H10945,""IDENTITAS UNIT!D9"")"),"#N/A")</f>
        <v>#N/A</v>
      </c>
      <c r="H10945" s="4" t="str">
        <v/>
      </c>
      <c r="I10945" s="4" t="str">
        <v/>
      </c>
    </row>
    <row r="10946" spans="5:9" ht="16.5" hidden="1">
      <c r="E10946" s="4" t="str">
        <v/>
      </c>
      <c r="F10946" s="102" t="str">
        <f ca="1">IFERROR(__xludf.DUMMYFUNCTION("IMPORTRANGE(H10946,""IDENTITAS UNIT!D9"")"),"#N/A")</f>
        <v>#N/A</v>
      </c>
      <c r="H10946" s="4" t="str">
        <v/>
      </c>
      <c r="I10946" s="4" t="str">
        <v/>
      </c>
    </row>
    <row r="10947" spans="5:9" ht="16.5" hidden="1">
      <c r="E10947" s="4" t="str">
        <v/>
      </c>
      <c r="F10947" s="102" t="str">
        <f ca="1">IFERROR(__xludf.DUMMYFUNCTION("IMPORTRANGE(H10947,""IDENTITAS UNIT!D9"")"),"#N/A")</f>
        <v>#N/A</v>
      </c>
      <c r="H10947" s="4" t="str">
        <v/>
      </c>
      <c r="I10947" s="4" t="str">
        <v/>
      </c>
    </row>
    <row r="10948" spans="5:9" ht="16.5" hidden="1">
      <c r="E10948" s="4" t="str">
        <v/>
      </c>
      <c r="F10948" s="102" t="str">
        <f ca="1">IFERROR(__xludf.DUMMYFUNCTION("IMPORTRANGE(H10948,""IDENTITAS UNIT!D9"")"),"#N/A")</f>
        <v>#N/A</v>
      </c>
      <c r="H10948" s="4" t="str">
        <v/>
      </c>
      <c r="I10948" s="4" t="str">
        <v/>
      </c>
    </row>
    <row r="10949" spans="5:9" ht="16.5" hidden="1">
      <c r="E10949" s="4" t="str">
        <v/>
      </c>
      <c r="F10949" s="102" t="str">
        <f ca="1">IFERROR(__xludf.DUMMYFUNCTION("IMPORTRANGE(H10949,""IDENTITAS UNIT!D9"")"),"#N/A")</f>
        <v>#N/A</v>
      </c>
      <c r="H10949" s="4" t="str">
        <v/>
      </c>
      <c r="I10949" s="4" t="str">
        <v/>
      </c>
    </row>
    <row r="10950" spans="5:9" ht="16.5" hidden="1">
      <c r="E10950" s="4" t="str">
        <v/>
      </c>
      <c r="F10950" s="102" t="str">
        <f ca="1">IFERROR(__xludf.DUMMYFUNCTION("IMPORTRANGE(H10950,""IDENTITAS UNIT!D9"")"),"#N/A")</f>
        <v>#N/A</v>
      </c>
      <c r="H10950" s="4" t="str">
        <v/>
      </c>
      <c r="I10950" s="4" t="str">
        <v/>
      </c>
    </row>
    <row r="10951" spans="5:9" ht="16.5" hidden="1">
      <c r="E10951" s="4" t="str">
        <v/>
      </c>
      <c r="F10951" s="102" t="str">
        <f ca="1">IFERROR(__xludf.DUMMYFUNCTION("IMPORTRANGE(H10951,""IDENTITAS UNIT!D9"")"),"#N/A")</f>
        <v>#N/A</v>
      </c>
      <c r="H10951" s="4" t="str">
        <v/>
      </c>
      <c r="I10951" s="4" t="str">
        <v/>
      </c>
    </row>
    <row r="10952" spans="5:9" ht="16.5" hidden="1">
      <c r="E10952" s="4" t="str">
        <v/>
      </c>
      <c r="F10952" s="102" t="str">
        <f ca="1">IFERROR(__xludf.DUMMYFUNCTION("IMPORTRANGE(H10952,""IDENTITAS UNIT!D9"")"),"#N/A")</f>
        <v>#N/A</v>
      </c>
      <c r="H10952" s="4" t="str">
        <v/>
      </c>
      <c r="I10952" s="4" t="str">
        <v/>
      </c>
    </row>
    <row r="10953" spans="5:9" ht="16.5" hidden="1">
      <c r="E10953" s="4" t="str">
        <v/>
      </c>
      <c r="F10953" s="102" t="str">
        <f ca="1">IFERROR(__xludf.DUMMYFUNCTION("IMPORTRANGE(H10953,""IDENTITAS UNIT!D9"")"),"#N/A")</f>
        <v>#N/A</v>
      </c>
      <c r="H10953" s="4" t="str">
        <v/>
      </c>
      <c r="I10953" s="4" t="str">
        <v/>
      </c>
    </row>
    <row r="10954" spans="5:9" ht="16.5" hidden="1">
      <c r="E10954" s="4" t="str">
        <v/>
      </c>
      <c r="F10954" s="102" t="str">
        <f ca="1">IFERROR(__xludf.DUMMYFUNCTION("IMPORTRANGE(H10954,""IDENTITAS UNIT!D9"")"),"#N/A")</f>
        <v>#N/A</v>
      </c>
      <c r="H10954" s="4" t="str">
        <v/>
      </c>
      <c r="I10954" s="4" t="str">
        <v/>
      </c>
    </row>
    <row r="10955" spans="5:9" ht="16.5" hidden="1">
      <c r="E10955" s="4" t="str">
        <v/>
      </c>
      <c r="F10955" s="102" t="str">
        <f ca="1">IFERROR(__xludf.DUMMYFUNCTION("IMPORTRANGE(H10955,""IDENTITAS UNIT!D9"")"),"#N/A")</f>
        <v>#N/A</v>
      </c>
      <c r="H10955" s="4" t="str">
        <v/>
      </c>
      <c r="I10955" s="4" t="str">
        <v/>
      </c>
    </row>
    <row r="10956" spans="5:9" ht="16.5" hidden="1">
      <c r="E10956" s="4" t="str">
        <v/>
      </c>
      <c r="F10956" s="102" t="str">
        <f ca="1">IFERROR(__xludf.DUMMYFUNCTION("IMPORTRANGE(H10956,""IDENTITAS UNIT!D9"")"),"#N/A")</f>
        <v>#N/A</v>
      </c>
      <c r="H10956" s="4" t="str">
        <v/>
      </c>
      <c r="I10956" s="4" t="str">
        <v/>
      </c>
    </row>
    <row r="10957" spans="5:9" ht="16.5" hidden="1">
      <c r="E10957" s="4" t="str">
        <v/>
      </c>
      <c r="F10957" s="102" t="str">
        <f ca="1">IFERROR(__xludf.DUMMYFUNCTION("IMPORTRANGE(H10957,""IDENTITAS UNIT!D9"")"),"#N/A")</f>
        <v>#N/A</v>
      </c>
      <c r="H10957" s="4" t="str">
        <v/>
      </c>
      <c r="I10957" s="4" t="str">
        <v/>
      </c>
    </row>
    <row r="10958" spans="5:9" ht="16.5" hidden="1">
      <c r="E10958" s="4" t="str">
        <v/>
      </c>
      <c r="F10958" s="102" t="str">
        <f ca="1">IFERROR(__xludf.DUMMYFUNCTION("IMPORTRANGE(H10958,""IDENTITAS UNIT!D9"")"),"#N/A")</f>
        <v>#N/A</v>
      </c>
      <c r="H10958" s="4" t="str">
        <v/>
      </c>
      <c r="I10958" s="4" t="str">
        <v/>
      </c>
    </row>
    <row r="10959" spans="5:9" ht="16.5" hidden="1">
      <c r="E10959" s="4" t="str">
        <v/>
      </c>
      <c r="F10959" s="102" t="str">
        <f ca="1">IFERROR(__xludf.DUMMYFUNCTION("IMPORTRANGE(H10959,""IDENTITAS UNIT!D9"")"),"#N/A")</f>
        <v>#N/A</v>
      </c>
      <c r="H10959" s="4" t="str">
        <v/>
      </c>
      <c r="I10959" s="4" t="str">
        <v/>
      </c>
    </row>
    <row r="10960" spans="5:9" ht="16.5" hidden="1">
      <c r="E10960" s="4" t="str">
        <v/>
      </c>
      <c r="F10960" s="102" t="str">
        <f ca="1">IFERROR(__xludf.DUMMYFUNCTION("IMPORTRANGE(H10960,""IDENTITAS UNIT!D9"")"),"#N/A")</f>
        <v>#N/A</v>
      </c>
      <c r="H10960" s="4" t="str">
        <v/>
      </c>
      <c r="I10960" s="4" t="str">
        <v/>
      </c>
    </row>
    <row r="10961" spans="5:9" ht="16.5" hidden="1">
      <c r="E10961" s="4" t="str">
        <v/>
      </c>
      <c r="F10961" s="102" t="str">
        <f ca="1">IFERROR(__xludf.DUMMYFUNCTION("IMPORTRANGE(H10961,""IDENTITAS UNIT!D9"")"),"#N/A")</f>
        <v>#N/A</v>
      </c>
      <c r="H10961" s="4" t="str">
        <v/>
      </c>
      <c r="I10961" s="4" t="str">
        <v/>
      </c>
    </row>
    <row r="10962" spans="5:9" ht="16.5" hidden="1">
      <c r="E10962" s="4" t="str">
        <v/>
      </c>
      <c r="F10962" s="102" t="str">
        <f ca="1">IFERROR(__xludf.DUMMYFUNCTION("IMPORTRANGE(H10962,""IDENTITAS UNIT!D9"")"),"#N/A")</f>
        <v>#N/A</v>
      </c>
      <c r="H10962" s="4" t="str">
        <v/>
      </c>
      <c r="I10962" s="4" t="str">
        <v/>
      </c>
    </row>
    <row r="10963" spans="5:9" ht="16.5" hidden="1">
      <c r="E10963" s="4" t="str">
        <v/>
      </c>
      <c r="F10963" s="102" t="str">
        <f ca="1">IFERROR(__xludf.DUMMYFUNCTION("IMPORTRANGE(H10963,""IDENTITAS UNIT!D9"")"),"#N/A")</f>
        <v>#N/A</v>
      </c>
      <c r="H10963" s="4" t="str">
        <v/>
      </c>
      <c r="I10963" s="4" t="str">
        <v/>
      </c>
    </row>
    <row r="10964" spans="5:9" ht="16.5" hidden="1">
      <c r="E10964" s="4" t="str">
        <v/>
      </c>
      <c r="F10964" s="102" t="str">
        <f ca="1">IFERROR(__xludf.DUMMYFUNCTION("IMPORTRANGE(H10964,""IDENTITAS UNIT!D9"")"),"#N/A")</f>
        <v>#N/A</v>
      </c>
      <c r="H10964" s="4" t="str">
        <v/>
      </c>
      <c r="I10964" s="4" t="str">
        <v/>
      </c>
    </row>
    <row r="10965" spans="5:9" ht="16.5" hidden="1">
      <c r="E10965" s="4" t="str">
        <v/>
      </c>
      <c r="F10965" s="102" t="str">
        <f ca="1">IFERROR(__xludf.DUMMYFUNCTION("IMPORTRANGE(H10965,""IDENTITAS UNIT!D9"")"),"#N/A")</f>
        <v>#N/A</v>
      </c>
      <c r="H10965" s="4" t="str">
        <v/>
      </c>
      <c r="I10965" s="4" t="str">
        <v/>
      </c>
    </row>
    <row r="10966" spans="5:9" ht="16.5" hidden="1">
      <c r="E10966" s="4" t="str">
        <v/>
      </c>
      <c r="F10966" s="102" t="str">
        <f ca="1">IFERROR(__xludf.DUMMYFUNCTION("IMPORTRANGE(H10966,""IDENTITAS UNIT!D9"")"),"#N/A")</f>
        <v>#N/A</v>
      </c>
      <c r="H10966" s="4" t="str">
        <v/>
      </c>
      <c r="I10966" s="4" t="str">
        <v/>
      </c>
    </row>
    <row r="10967" spans="5:9" ht="16.5" hidden="1">
      <c r="E10967" s="4" t="str">
        <v/>
      </c>
      <c r="F10967" s="102" t="str">
        <f ca="1">IFERROR(__xludf.DUMMYFUNCTION("IMPORTRANGE(H10967,""IDENTITAS UNIT!D9"")"),"#N/A")</f>
        <v>#N/A</v>
      </c>
      <c r="H10967" s="4" t="str">
        <v/>
      </c>
      <c r="I10967" s="4" t="str">
        <v/>
      </c>
    </row>
    <row r="10968" spans="5:9" ht="16.5" hidden="1">
      <c r="E10968" s="4" t="str">
        <v/>
      </c>
      <c r="F10968" s="102" t="str">
        <f ca="1">IFERROR(__xludf.DUMMYFUNCTION("IMPORTRANGE(H10968,""IDENTITAS UNIT!D9"")"),"#N/A")</f>
        <v>#N/A</v>
      </c>
      <c r="H10968" s="4" t="str">
        <v/>
      </c>
      <c r="I10968" s="4" t="str">
        <v/>
      </c>
    </row>
    <row r="10969" spans="5:9" ht="16.5" hidden="1">
      <c r="E10969" s="4" t="str">
        <v/>
      </c>
      <c r="F10969" s="102" t="str">
        <f ca="1">IFERROR(__xludf.DUMMYFUNCTION("IMPORTRANGE(H10969,""IDENTITAS UNIT!D9"")"),"#N/A")</f>
        <v>#N/A</v>
      </c>
      <c r="H10969" s="4" t="str">
        <v/>
      </c>
      <c r="I10969" s="4" t="str">
        <v/>
      </c>
    </row>
    <row r="10970" spans="5:9" ht="16.5" hidden="1">
      <c r="E10970" s="4" t="str">
        <v/>
      </c>
      <c r="F10970" s="102" t="str">
        <f ca="1">IFERROR(__xludf.DUMMYFUNCTION("IMPORTRANGE(H10970,""IDENTITAS UNIT!D9"")"),"#N/A")</f>
        <v>#N/A</v>
      </c>
      <c r="H10970" s="4" t="str">
        <v/>
      </c>
      <c r="I10970" s="4" t="str">
        <v/>
      </c>
    </row>
    <row r="10971" spans="5:9" ht="16.5" hidden="1">
      <c r="E10971" s="4" t="str">
        <v/>
      </c>
      <c r="F10971" s="102" t="str">
        <f ca="1">IFERROR(__xludf.DUMMYFUNCTION("IMPORTRANGE(H10971,""IDENTITAS UNIT!D9"")"),"#N/A")</f>
        <v>#N/A</v>
      </c>
      <c r="H10971" s="4" t="str">
        <v/>
      </c>
      <c r="I10971" s="4" t="str">
        <v/>
      </c>
    </row>
    <row r="10972" spans="5:9" ht="16.5" hidden="1">
      <c r="E10972" s="4" t="str">
        <v/>
      </c>
      <c r="F10972" s="102" t="str">
        <f ca="1">IFERROR(__xludf.DUMMYFUNCTION("IMPORTRANGE(H10972,""IDENTITAS UNIT!D9"")"),"#N/A")</f>
        <v>#N/A</v>
      </c>
      <c r="H10972" s="4" t="str">
        <v/>
      </c>
      <c r="I10972" s="4" t="str">
        <v/>
      </c>
    </row>
    <row r="10973" spans="5:9" ht="16.5" hidden="1">
      <c r="E10973" s="4" t="str">
        <v/>
      </c>
      <c r="F10973" s="102" t="str">
        <f ca="1">IFERROR(__xludf.DUMMYFUNCTION("IMPORTRANGE(H10973,""IDENTITAS UNIT!D9"")"),"#N/A")</f>
        <v>#N/A</v>
      </c>
      <c r="H10973" s="4" t="str">
        <v/>
      </c>
      <c r="I10973" s="4" t="str">
        <v/>
      </c>
    </row>
    <row r="10974" spans="5:9" ht="16.5" hidden="1">
      <c r="E10974" s="4" t="str">
        <v/>
      </c>
      <c r="F10974" s="102" t="str">
        <f ca="1">IFERROR(__xludf.DUMMYFUNCTION("IMPORTRANGE(H10974,""IDENTITAS UNIT!D9"")"),"#N/A")</f>
        <v>#N/A</v>
      </c>
      <c r="H10974" s="4" t="str">
        <v/>
      </c>
      <c r="I10974" s="4" t="str">
        <v/>
      </c>
    </row>
    <row r="10975" spans="5:9" ht="16.5" hidden="1">
      <c r="E10975" s="4" t="str">
        <v/>
      </c>
      <c r="F10975" s="102" t="str">
        <f ca="1">IFERROR(__xludf.DUMMYFUNCTION("IMPORTRANGE(H10975,""IDENTITAS UNIT!D9"")"),"#N/A")</f>
        <v>#N/A</v>
      </c>
      <c r="H10975" s="4" t="str">
        <v/>
      </c>
      <c r="I10975" s="4" t="str">
        <v/>
      </c>
    </row>
    <row r="10976" spans="5:9" ht="16.5" hidden="1">
      <c r="E10976" s="4" t="str">
        <v/>
      </c>
      <c r="F10976" s="102" t="str">
        <f ca="1">IFERROR(__xludf.DUMMYFUNCTION("IMPORTRANGE(H10976,""IDENTITAS UNIT!D9"")"),"#N/A")</f>
        <v>#N/A</v>
      </c>
      <c r="H10976" s="4" t="str">
        <v/>
      </c>
      <c r="I10976" s="4" t="str">
        <v/>
      </c>
    </row>
    <row r="10977" spans="5:9" ht="16.5" hidden="1">
      <c r="E10977" s="4" t="str">
        <v/>
      </c>
      <c r="F10977" s="102" t="str">
        <f ca="1">IFERROR(__xludf.DUMMYFUNCTION("IMPORTRANGE(H10977,""IDENTITAS UNIT!D9"")"),"#N/A")</f>
        <v>#N/A</v>
      </c>
      <c r="H10977" s="4" t="str">
        <v/>
      </c>
      <c r="I10977" s="4" t="str">
        <v/>
      </c>
    </row>
    <row r="10978" spans="5:9" ht="16.5" hidden="1">
      <c r="E10978" s="4" t="str">
        <v/>
      </c>
      <c r="F10978" s="102" t="str">
        <f ca="1">IFERROR(__xludf.DUMMYFUNCTION("IMPORTRANGE(H10978,""IDENTITAS UNIT!D9"")"),"#N/A")</f>
        <v>#N/A</v>
      </c>
      <c r="H10978" s="4" t="str">
        <v/>
      </c>
      <c r="I10978" s="4" t="str">
        <v/>
      </c>
    </row>
    <row r="10979" spans="5:9" ht="16.5" hidden="1">
      <c r="E10979" s="4" t="str">
        <v/>
      </c>
      <c r="F10979" s="102" t="str">
        <f ca="1">IFERROR(__xludf.DUMMYFUNCTION("IMPORTRANGE(H10979,""IDENTITAS UNIT!D9"")"),"#N/A")</f>
        <v>#N/A</v>
      </c>
      <c r="H10979" s="4" t="str">
        <v/>
      </c>
      <c r="I10979" s="4" t="str">
        <v/>
      </c>
    </row>
    <row r="10980" spans="5:9" ht="16.5" hidden="1">
      <c r="E10980" s="4" t="str">
        <v/>
      </c>
      <c r="F10980" s="102" t="str">
        <f ca="1">IFERROR(__xludf.DUMMYFUNCTION("IMPORTRANGE(H10980,""IDENTITAS UNIT!D9"")"),"#N/A")</f>
        <v>#N/A</v>
      </c>
      <c r="H10980" s="4" t="str">
        <v/>
      </c>
      <c r="I10980" s="4" t="str">
        <v/>
      </c>
    </row>
    <row r="10981" spans="5:9" ht="16.5" hidden="1">
      <c r="E10981" s="4" t="str">
        <v/>
      </c>
      <c r="F10981" s="102" t="str">
        <f ca="1">IFERROR(__xludf.DUMMYFUNCTION("IMPORTRANGE(H10981,""IDENTITAS UNIT!D9"")"),"#N/A")</f>
        <v>#N/A</v>
      </c>
      <c r="H10981" s="4" t="str">
        <v/>
      </c>
      <c r="I10981" s="4" t="str">
        <v/>
      </c>
    </row>
    <row r="10982" spans="5:9" ht="16.5" hidden="1">
      <c r="E10982" s="4" t="str">
        <v/>
      </c>
      <c r="F10982" s="102" t="str">
        <f ca="1">IFERROR(__xludf.DUMMYFUNCTION("IMPORTRANGE(H10982,""IDENTITAS UNIT!D9"")"),"#N/A")</f>
        <v>#N/A</v>
      </c>
      <c r="H10982" s="4" t="str">
        <v/>
      </c>
      <c r="I10982" s="4" t="str">
        <v/>
      </c>
    </row>
    <row r="10983" spans="5:9" ht="16.5" hidden="1">
      <c r="E10983" s="4" t="str">
        <v/>
      </c>
      <c r="F10983" s="102" t="str">
        <f ca="1">IFERROR(__xludf.DUMMYFUNCTION("IMPORTRANGE(H10983,""IDENTITAS UNIT!D9"")"),"#N/A")</f>
        <v>#N/A</v>
      </c>
      <c r="H10983" s="4" t="str">
        <v/>
      </c>
      <c r="I10983" s="4" t="str">
        <v/>
      </c>
    </row>
    <row r="10984" spans="5:9" ht="16.5" hidden="1">
      <c r="E10984" s="4" t="str">
        <v/>
      </c>
      <c r="F10984" s="102" t="str">
        <f ca="1">IFERROR(__xludf.DUMMYFUNCTION("IMPORTRANGE(H10984,""IDENTITAS UNIT!D9"")"),"#N/A")</f>
        <v>#N/A</v>
      </c>
      <c r="H10984" s="4" t="str">
        <v/>
      </c>
      <c r="I10984" s="4" t="str">
        <v/>
      </c>
    </row>
    <row r="10985" spans="5:9" ht="16.5" hidden="1">
      <c r="E10985" s="4" t="str">
        <v/>
      </c>
      <c r="F10985" s="102" t="str">
        <f ca="1">IFERROR(__xludf.DUMMYFUNCTION("IMPORTRANGE(H10985,""IDENTITAS UNIT!D9"")"),"#N/A")</f>
        <v>#N/A</v>
      </c>
      <c r="H10985" s="4" t="str">
        <v/>
      </c>
      <c r="I10985" s="4" t="str">
        <v/>
      </c>
    </row>
    <row r="10986" spans="5:9" ht="16.5" hidden="1">
      <c r="E10986" s="4" t="str">
        <v/>
      </c>
      <c r="F10986" s="102" t="str">
        <f ca="1">IFERROR(__xludf.DUMMYFUNCTION("IMPORTRANGE(H10986,""IDENTITAS UNIT!D9"")"),"#N/A")</f>
        <v>#N/A</v>
      </c>
      <c r="H10986" s="4" t="str">
        <v/>
      </c>
      <c r="I10986" s="4" t="str">
        <v/>
      </c>
    </row>
    <row r="10987" spans="5:9" ht="16.5" hidden="1">
      <c r="E10987" s="4" t="str">
        <v/>
      </c>
      <c r="F10987" s="102" t="str">
        <f ca="1">IFERROR(__xludf.DUMMYFUNCTION("IMPORTRANGE(H10987,""IDENTITAS UNIT!D9"")"),"#N/A")</f>
        <v>#N/A</v>
      </c>
      <c r="H10987" s="4" t="str">
        <v/>
      </c>
      <c r="I10987" s="4" t="str">
        <v/>
      </c>
    </row>
    <row r="10988" spans="5:9" ht="16.5" hidden="1">
      <c r="E10988" s="4" t="str">
        <v/>
      </c>
      <c r="F10988" s="102" t="str">
        <f ca="1">IFERROR(__xludf.DUMMYFUNCTION("IMPORTRANGE(H10988,""IDENTITAS UNIT!D9"")"),"#N/A")</f>
        <v>#N/A</v>
      </c>
      <c r="H10988" s="4" t="str">
        <v/>
      </c>
      <c r="I10988" s="4" t="str">
        <v/>
      </c>
    </row>
    <row r="10989" spans="5:9" ht="16.5" hidden="1">
      <c r="E10989" s="4" t="str">
        <v/>
      </c>
      <c r="F10989" s="102" t="str">
        <f ca="1">IFERROR(__xludf.DUMMYFUNCTION("IMPORTRANGE(H10989,""IDENTITAS UNIT!D9"")"),"#N/A")</f>
        <v>#N/A</v>
      </c>
      <c r="H10989" s="4" t="str">
        <v/>
      </c>
      <c r="I10989" s="4" t="str">
        <v/>
      </c>
    </row>
    <row r="10990" spans="5:9" ht="16.5" hidden="1">
      <c r="E10990" s="4" t="str">
        <v/>
      </c>
      <c r="F10990" s="102" t="str">
        <f ca="1">IFERROR(__xludf.DUMMYFUNCTION("IMPORTRANGE(H10990,""IDENTITAS UNIT!D9"")"),"#N/A")</f>
        <v>#N/A</v>
      </c>
      <c r="H10990" s="4" t="str">
        <v/>
      </c>
      <c r="I10990" s="4" t="str">
        <v/>
      </c>
    </row>
    <row r="10991" spans="5:9" ht="16.5" hidden="1">
      <c r="E10991" s="4" t="str">
        <v/>
      </c>
      <c r="F10991" s="102" t="str">
        <f ca="1">IFERROR(__xludf.DUMMYFUNCTION("IMPORTRANGE(H10991,""IDENTITAS UNIT!D9"")"),"#N/A")</f>
        <v>#N/A</v>
      </c>
      <c r="H10991" s="4" t="str">
        <v/>
      </c>
      <c r="I10991" s="4" t="str">
        <v/>
      </c>
    </row>
    <row r="10992" spans="5:9" ht="16.5" hidden="1">
      <c r="E10992" s="4" t="str">
        <v/>
      </c>
      <c r="F10992" s="102" t="str">
        <f ca="1">IFERROR(__xludf.DUMMYFUNCTION("IMPORTRANGE(H10992,""IDENTITAS UNIT!D9"")"),"#N/A")</f>
        <v>#N/A</v>
      </c>
      <c r="H10992" s="4" t="str">
        <v/>
      </c>
      <c r="I10992" s="4" t="str">
        <v/>
      </c>
    </row>
    <row r="10993" spans="5:9" ht="16.5" hidden="1">
      <c r="E10993" s="4" t="str">
        <v/>
      </c>
      <c r="F10993" s="102" t="str">
        <f ca="1">IFERROR(__xludf.DUMMYFUNCTION("IMPORTRANGE(H10993,""IDENTITAS UNIT!D9"")"),"#N/A")</f>
        <v>#N/A</v>
      </c>
      <c r="H10993" s="4" t="str">
        <v/>
      </c>
      <c r="I10993" s="4" t="str">
        <v/>
      </c>
    </row>
    <row r="10994" spans="5:9" ht="16.5" hidden="1">
      <c r="E10994" s="4" t="str">
        <v/>
      </c>
      <c r="F10994" s="102" t="str">
        <f ca="1">IFERROR(__xludf.DUMMYFUNCTION("IMPORTRANGE(H10994,""IDENTITAS UNIT!D9"")"),"#N/A")</f>
        <v>#N/A</v>
      </c>
      <c r="H10994" s="4" t="str">
        <v/>
      </c>
      <c r="I10994" s="4" t="str">
        <v/>
      </c>
    </row>
    <row r="10995" spans="5:9" ht="16.5" hidden="1">
      <c r="E10995" s="4" t="str">
        <v/>
      </c>
      <c r="F10995" s="102" t="str">
        <f ca="1">IFERROR(__xludf.DUMMYFUNCTION("IMPORTRANGE(H10995,""IDENTITAS UNIT!D9"")"),"#N/A")</f>
        <v>#N/A</v>
      </c>
      <c r="H10995" s="4" t="str">
        <v/>
      </c>
      <c r="I10995" s="4" t="str">
        <v/>
      </c>
    </row>
    <row r="10996" spans="5:9" ht="16.5" hidden="1">
      <c r="E10996" s="4" t="str">
        <v/>
      </c>
      <c r="F10996" s="102" t="str">
        <f ca="1">IFERROR(__xludf.DUMMYFUNCTION("IMPORTRANGE(H10996,""IDENTITAS UNIT!D9"")"),"#N/A")</f>
        <v>#N/A</v>
      </c>
      <c r="H10996" s="4" t="str">
        <v/>
      </c>
      <c r="I10996" s="4" t="str">
        <v/>
      </c>
    </row>
    <row r="10997" spans="5:9" ht="16.5" hidden="1">
      <c r="E10997" s="4" t="str">
        <v/>
      </c>
      <c r="F10997" s="102" t="str">
        <f ca="1">IFERROR(__xludf.DUMMYFUNCTION("IMPORTRANGE(H10997,""IDENTITAS UNIT!D9"")"),"#N/A")</f>
        <v>#N/A</v>
      </c>
      <c r="H10997" s="4" t="str">
        <v/>
      </c>
      <c r="I10997" s="4" t="str">
        <v/>
      </c>
    </row>
    <row r="10998" spans="5:9" ht="16.5" hidden="1">
      <c r="E10998" s="4" t="str">
        <v/>
      </c>
      <c r="F10998" s="102" t="str">
        <f ca="1">IFERROR(__xludf.DUMMYFUNCTION("IMPORTRANGE(H10998,""IDENTITAS UNIT!D9"")"),"#N/A")</f>
        <v>#N/A</v>
      </c>
      <c r="H10998" s="4" t="str">
        <v/>
      </c>
      <c r="I10998" s="4" t="str">
        <v/>
      </c>
    </row>
    <row r="10999" spans="5:9" ht="16.5" hidden="1">
      <c r="E10999" s="4" t="str">
        <v/>
      </c>
      <c r="F10999" s="102" t="str">
        <f ca="1">IFERROR(__xludf.DUMMYFUNCTION("IMPORTRANGE(H10999,""IDENTITAS UNIT!D9"")"),"#N/A")</f>
        <v>#N/A</v>
      </c>
      <c r="H10999" s="4" t="str">
        <v/>
      </c>
      <c r="I10999" s="4" t="str">
        <v/>
      </c>
    </row>
    <row r="11000" spans="5:9" ht="16.5" hidden="1">
      <c r="E11000" s="4" t="str">
        <v/>
      </c>
      <c r="F11000" s="102" t="str">
        <f ca="1">IFERROR(__xludf.DUMMYFUNCTION("IMPORTRANGE(H11000,""IDENTITAS UNIT!D9"")"),"#N/A")</f>
        <v>#N/A</v>
      </c>
      <c r="H11000" s="4" t="str">
        <v/>
      </c>
      <c r="I11000" s="4" t="str">
        <v/>
      </c>
    </row>
    <row r="11001" spans="5:9" ht="16.5" hidden="1">
      <c r="E11001" s="4" t="str">
        <v/>
      </c>
      <c r="F11001" s="102" t="str">
        <f ca="1">IFERROR(__xludf.DUMMYFUNCTION("IMPORTRANGE(H11001,""IDENTITAS UNIT!D9"")"),"#N/A")</f>
        <v>#N/A</v>
      </c>
      <c r="H11001" s="4" t="str">
        <v/>
      </c>
      <c r="I11001" s="4" t="str">
        <v/>
      </c>
    </row>
    <row r="11002" spans="5:9" ht="16.5" hidden="1">
      <c r="E11002" s="4" t="str">
        <v/>
      </c>
      <c r="F11002" s="102" t="str">
        <f ca="1">IFERROR(__xludf.DUMMYFUNCTION("IMPORTRANGE(H11002,""IDENTITAS UNIT!D9"")"),"#N/A")</f>
        <v>#N/A</v>
      </c>
      <c r="H11002" s="4" t="str">
        <v/>
      </c>
      <c r="I11002" s="4" t="str">
        <v/>
      </c>
    </row>
    <row r="11003" spans="5:9" ht="16.5" hidden="1">
      <c r="E11003" s="4" t="str">
        <v/>
      </c>
      <c r="F11003" s="102" t="str">
        <f ca="1">IFERROR(__xludf.DUMMYFUNCTION("IMPORTRANGE(H11003,""IDENTITAS UNIT!D9"")"),"#N/A")</f>
        <v>#N/A</v>
      </c>
      <c r="H11003" s="4" t="str">
        <v/>
      </c>
      <c r="I11003" s="4" t="str">
        <v/>
      </c>
    </row>
    <row r="11004" spans="5:9" ht="16.5" hidden="1">
      <c r="E11004" s="4" t="str">
        <v/>
      </c>
      <c r="F11004" s="102" t="str">
        <f ca="1">IFERROR(__xludf.DUMMYFUNCTION("IMPORTRANGE(H11004,""IDENTITAS UNIT!D9"")"),"#N/A")</f>
        <v>#N/A</v>
      </c>
      <c r="H11004" s="4" t="str">
        <v/>
      </c>
      <c r="I11004" s="4" t="str">
        <v/>
      </c>
    </row>
    <row r="11005" spans="5:9" ht="16.5" hidden="1">
      <c r="E11005" s="4" t="str">
        <v/>
      </c>
      <c r="F11005" s="102" t="str">
        <f ca="1">IFERROR(__xludf.DUMMYFUNCTION("IMPORTRANGE(H11005,""IDENTITAS UNIT!D9"")"),"#N/A")</f>
        <v>#N/A</v>
      </c>
      <c r="H11005" s="4" t="str">
        <v/>
      </c>
      <c r="I11005" s="4" t="str">
        <v/>
      </c>
    </row>
    <row r="11006" spans="5:9" ht="16.5" hidden="1">
      <c r="E11006" s="4" t="str">
        <v/>
      </c>
      <c r="F11006" s="102" t="str">
        <f ca="1">IFERROR(__xludf.DUMMYFUNCTION("IMPORTRANGE(H11006,""IDENTITAS UNIT!D9"")"),"#N/A")</f>
        <v>#N/A</v>
      </c>
      <c r="H11006" s="4" t="str">
        <v/>
      </c>
      <c r="I11006" s="4" t="str">
        <v/>
      </c>
    </row>
    <row r="11007" spans="5:9" ht="16.5" hidden="1">
      <c r="E11007" s="4" t="str">
        <v/>
      </c>
      <c r="F11007" s="102" t="str">
        <f ca="1">IFERROR(__xludf.DUMMYFUNCTION("IMPORTRANGE(H11007,""IDENTITAS UNIT!D9"")"),"#N/A")</f>
        <v>#N/A</v>
      </c>
      <c r="H11007" s="4" t="str">
        <v/>
      </c>
      <c r="I11007" s="4" t="str">
        <v/>
      </c>
    </row>
    <row r="11008" spans="5:9" ht="16.5" hidden="1">
      <c r="E11008" s="4" t="str">
        <v/>
      </c>
      <c r="F11008" s="102" t="str">
        <f ca="1">IFERROR(__xludf.DUMMYFUNCTION("IMPORTRANGE(H11008,""IDENTITAS UNIT!D9"")"),"#N/A")</f>
        <v>#N/A</v>
      </c>
      <c r="H11008" s="4" t="str">
        <v/>
      </c>
      <c r="I11008" s="4" t="str">
        <v/>
      </c>
    </row>
    <row r="11009" spans="5:9" ht="16.5" hidden="1">
      <c r="E11009" s="4" t="str">
        <v/>
      </c>
      <c r="F11009" s="102" t="str">
        <f ca="1">IFERROR(__xludf.DUMMYFUNCTION("IMPORTRANGE(H11009,""IDENTITAS UNIT!D9"")"),"#N/A")</f>
        <v>#N/A</v>
      </c>
      <c r="H11009" s="4" t="str">
        <v/>
      </c>
      <c r="I11009" s="4" t="str">
        <v/>
      </c>
    </row>
    <row r="11010" spans="5:9" ht="16.5" hidden="1">
      <c r="E11010" s="4" t="str">
        <v/>
      </c>
      <c r="F11010" s="102" t="str">
        <f ca="1">IFERROR(__xludf.DUMMYFUNCTION("IMPORTRANGE(H11010,""IDENTITAS UNIT!D9"")"),"#N/A")</f>
        <v>#N/A</v>
      </c>
      <c r="H11010" s="4" t="str">
        <v/>
      </c>
      <c r="I11010" s="4" t="str">
        <v/>
      </c>
    </row>
    <row r="11011" spans="5:9" ht="16.5" hidden="1">
      <c r="E11011" s="4" t="str">
        <v/>
      </c>
      <c r="F11011" s="102" t="str">
        <f ca="1">IFERROR(__xludf.DUMMYFUNCTION("IMPORTRANGE(H11011,""IDENTITAS UNIT!D9"")"),"#N/A")</f>
        <v>#N/A</v>
      </c>
      <c r="H11011" s="4" t="str">
        <v/>
      </c>
      <c r="I11011" s="4" t="str">
        <v/>
      </c>
    </row>
    <row r="11012" spans="5:9" ht="16.5" hidden="1">
      <c r="E11012" s="4" t="str">
        <v/>
      </c>
      <c r="F11012" s="102" t="str">
        <f ca="1">IFERROR(__xludf.DUMMYFUNCTION("IMPORTRANGE(H11012,""IDENTITAS UNIT!D9"")"),"#N/A")</f>
        <v>#N/A</v>
      </c>
      <c r="H11012" s="4" t="str">
        <v/>
      </c>
      <c r="I11012" s="4" t="str">
        <v/>
      </c>
    </row>
    <row r="11013" spans="5:9" ht="16.5" hidden="1">
      <c r="E11013" s="4" t="str">
        <v/>
      </c>
      <c r="F11013" s="102" t="str">
        <f ca="1">IFERROR(__xludf.DUMMYFUNCTION("IMPORTRANGE(H11013,""IDENTITAS UNIT!D9"")"),"#N/A")</f>
        <v>#N/A</v>
      </c>
      <c r="H11013" s="4" t="str">
        <v/>
      </c>
      <c r="I11013" s="4" t="str">
        <v/>
      </c>
    </row>
    <row r="11014" spans="5:9" ht="16.5" hidden="1">
      <c r="E11014" s="4" t="str">
        <v/>
      </c>
      <c r="F11014" s="102" t="str">
        <f ca="1">IFERROR(__xludf.DUMMYFUNCTION("IMPORTRANGE(H11014,""IDENTITAS UNIT!D9"")"),"#N/A")</f>
        <v>#N/A</v>
      </c>
      <c r="H11014" s="4" t="str">
        <v/>
      </c>
      <c r="I11014" s="4" t="str">
        <v/>
      </c>
    </row>
    <row r="11015" spans="5:9" ht="16.5" hidden="1">
      <c r="E11015" s="4" t="str">
        <v/>
      </c>
      <c r="F11015" s="102" t="str">
        <f ca="1">IFERROR(__xludf.DUMMYFUNCTION("IMPORTRANGE(H11015,""IDENTITAS UNIT!D9"")"),"#N/A")</f>
        <v>#N/A</v>
      </c>
      <c r="H11015" s="4" t="str">
        <v/>
      </c>
      <c r="I11015" s="4" t="str">
        <v/>
      </c>
    </row>
    <row r="11016" spans="5:9" ht="16.5" hidden="1">
      <c r="E11016" s="4" t="str">
        <v/>
      </c>
      <c r="F11016" s="102" t="str">
        <f ca="1">IFERROR(__xludf.DUMMYFUNCTION("IMPORTRANGE(H11016,""IDENTITAS UNIT!D9"")"),"#N/A")</f>
        <v>#N/A</v>
      </c>
      <c r="H11016" s="4" t="str">
        <v/>
      </c>
      <c r="I11016" s="4" t="str">
        <v/>
      </c>
    </row>
    <row r="11017" spans="5:9" ht="16.5" hidden="1">
      <c r="E11017" s="4" t="str">
        <v/>
      </c>
      <c r="F11017" s="102" t="str">
        <f ca="1">IFERROR(__xludf.DUMMYFUNCTION("IMPORTRANGE(H11017,""IDENTITAS UNIT!D9"")"),"#N/A")</f>
        <v>#N/A</v>
      </c>
      <c r="H11017" s="4" t="str">
        <v/>
      </c>
      <c r="I11017" s="4" t="str">
        <v/>
      </c>
    </row>
    <row r="11018" spans="5:9" ht="16.5" hidden="1">
      <c r="E11018" s="4" t="str">
        <v/>
      </c>
      <c r="F11018" s="102" t="str">
        <f ca="1">IFERROR(__xludf.DUMMYFUNCTION("IMPORTRANGE(H11018,""IDENTITAS UNIT!D9"")"),"#N/A")</f>
        <v>#N/A</v>
      </c>
      <c r="H11018" s="4" t="str">
        <v/>
      </c>
      <c r="I11018" s="4" t="str">
        <v/>
      </c>
    </row>
    <row r="11019" spans="5:9" ht="16.5" hidden="1">
      <c r="E11019" s="4" t="str">
        <v/>
      </c>
      <c r="F11019" s="102" t="str">
        <f ca="1">IFERROR(__xludf.DUMMYFUNCTION("IMPORTRANGE(H11019,""IDENTITAS UNIT!D9"")"),"#N/A")</f>
        <v>#N/A</v>
      </c>
      <c r="H11019" s="4" t="str">
        <v/>
      </c>
      <c r="I11019" s="4" t="str">
        <v/>
      </c>
    </row>
    <row r="11020" spans="5:9" ht="16.5" hidden="1">
      <c r="E11020" s="4" t="str">
        <v/>
      </c>
      <c r="F11020" s="102" t="str">
        <f ca="1">IFERROR(__xludf.DUMMYFUNCTION("IMPORTRANGE(H11020,""IDENTITAS UNIT!D9"")"),"#N/A")</f>
        <v>#N/A</v>
      </c>
      <c r="H11020" s="4" t="str">
        <v/>
      </c>
      <c r="I11020" s="4" t="str">
        <v/>
      </c>
    </row>
    <row r="11021" spans="5:9" ht="16.5" hidden="1">
      <c r="E11021" s="4" t="str">
        <v/>
      </c>
      <c r="F11021" s="102" t="str">
        <f ca="1">IFERROR(__xludf.DUMMYFUNCTION("IMPORTRANGE(H11021,""IDENTITAS UNIT!D9"")"),"#N/A")</f>
        <v>#N/A</v>
      </c>
      <c r="H11021" s="4" t="str">
        <v/>
      </c>
      <c r="I11021" s="4" t="str">
        <v/>
      </c>
    </row>
    <row r="11022" spans="5:9" ht="16.5" hidden="1">
      <c r="E11022" s="4" t="str">
        <v/>
      </c>
      <c r="F11022" s="102" t="str">
        <f ca="1">IFERROR(__xludf.DUMMYFUNCTION("IMPORTRANGE(H11022,""IDENTITAS UNIT!D9"")"),"#N/A")</f>
        <v>#N/A</v>
      </c>
      <c r="H11022" s="4" t="str">
        <v/>
      </c>
      <c r="I11022" s="4" t="str">
        <v/>
      </c>
    </row>
    <row r="11023" spans="5:9" ht="16.5" hidden="1">
      <c r="E11023" s="4" t="str">
        <v/>
      </c>
      <c r="F11023" s="102" t="str">
        <f ca="1">IFERROR(__xludf.DUMMYFUNCTION("IMPORTRANGE(H11023,""IDENTITAS UNIT!D9"")"),"#N/A")</f>
        <v>#N/A</v>
      </c>
      <c r="H11023" s="4" t="str">
        <v/>
      </c>
      <c r="I11023" s="4" t="str">
        <v/>
      </c>
    </row>
    <row r="11024" spans="5:9" ht="16.5" hidden="1">
      <c r="E11024" s="4" t="str">
        <v/>
      </c>
      <c r="F11024" s="102" t="str">
        <f ca="1">IFERROR(__xludf.DUMMYFUNCTION("IMPORTRANGE(H11024,""IDENTITAS UNIT!D9"")"),"#N/A")</f>
        <v>#N/A</v>
      </c>
      <c r="H11024" s="4" t="str">
        <v/>
      </c>
      <c r="I11024" s="4" t="str">
        <v/>
      </c>
    </row>
    <row r="11025" spans="5:9" ht="16.5" hidden="1">
      <c r="E11025" s="4" t="str">
        <v/>
      </c>
      <c r="F11025" s="102" t="str">
        <f ca="1">IFERROR(__xludf.DUMMYFUNCTION("IMPORTRANGE(H11025,""IDENTITAS UNIT!D9"")"),"#N/A")</f>
        <v>#N/A</v>
      </c>
      <c r="H11025" s="4" t="str">
        <v/>
      </c>
      <c r="I11025" s="4" t="str">
        <v/>
      </c>
    </row>
    <row r="11026" spans="5:9" ht="16.5" hidden="1">
      <c r="E11026" s="4" t="str">
        <v/>
      </c>
      <c r="F11026" s="102" t="str">
        <f ca="1">IFERROR(__xludf.DUMMYFUNCTION("IMPORTRANGE(H11026,""IDENTITAS UNIT!D9"")"),"#N/A")</f>
        <v>#N/A</v>
      </c>
      <c r="H11026" s="4" t="str">
        <v/>
      </c>
      <c r="I11026" s="4" t="str">
        <v/>
      </c>
    </row>
    <row r="11027" spans="5:9" ht="16.5" hidden="1">
      <c r="E11027" s="4" t="str">
        <v/>
      </c>
      <c r="F11027" s="102" t="str">
        <f ca="1">IFERROR(__xludf.DUMMYFUNCTION("IMPORTRANGE(H11027,""IDENTITAS UNIT!D9"")"),"#N/A")</f>
        <v>#N/A</v>
      </c>
      <c r="H11027" s="4" t="str">
        <v/>
      </c>
      <c r="I11027" s="4" t="str">
        <v/>
      </c>
    </row>
    <row r="11028" spans="5:9" ht="16.5" hidden="1">
      <c r="E11028" s="4" t="str">
        <v/>
      </c>
      <c r="F11028" s="102" t="str">
        <f ca="1">IFERROR(__xludf.DUMMYFUNCTION("IMPORTRANGE(H11028,""IDENTITAS UNIT!D9"")"),"#N/A")</f>
        <v>#N/A</v>
      </c>
      <c r="H11028" s="4" t="str">
        <v/>
      </c>
      <c r="I11028" s="4" t="str">
        <v/>
      </c>
    </row>
    <row r="11029" spans="5:9" ht="16.5" hidden="1">
      <c r="E11029" s="4" t="str">
        <v/>
      </c>
      <c r="F11029" s="102" t="str">
        <f ca="1">IFERROR(__xludf.DUMMYFUNCTION("IMPORTRANGE(H11029,""IDENTITAS UNIT!D9"")"),"#N/A")</f>
        <v>#N/A</v>
      </c>
      <c r="H11029" s="4" t="str">
        <v/>
      </c>
      <c r="I11029" s="4" t="str">
        <v/>
      </c>
    </row>
    <row r="11030" spans="5:9" ht="16.5" hidden="1">
      <c r="E11030" s="4" t="str">
        <v/>
      </c>
      <c r="F11030" s="102" t="str">
        <f ca="1">IFERROR(__xludf.DUMMYFUNCTION("IMPORTRANGE(H11030,""IDENTITAS UNIT!D9"")"),"#N/A")</f>
        <v>#N/A</v>
      </c>
      <c r="H11030" s="4" t="str">
        <v/>
      </c>
      <c r="I11030" s="4" t="str">
        <v/>
      </c>
    </row>
    <row r="11031" spans="5:9" ht="16.5" hidden="1">
      <c r="E11031" s="4" t="str">
        <v/>
      </c>
      <c r="F11031" s="102" t="str">
        <f ca="1">IFERROR(__xludf.DUMMYFUNCTION("IMPORTRANGE(H11031,""IDENTITAS UNIT!D9"")"),"#N/A")</f>
        <v>#N/A</v>
      </c>
      <c r="H11031" s="4" t="str">
        <v/>
      </c>
      <c r="I11031" s="4" t="str">
        <v/>
      </c>
    </row>
    <row r="11032" spans="5:9" ht="16.5" hidden="1">
      <c r="E11032" s="4" t="str">
        <v/>
      </c>
      <c r="F11032" s="102" t="str">
        <f ca="1">IFERROR(__xludf.DUMMYFUNCTION("IMPORTRANGE(H11032,""IDENTITAS UNIT!D9"")"),"#N/A")</f>
        <v>#N/A</v>
      </c>
      <c r="H11032" s="4" t="str">
        <v/>
      </c>
      <c r="I11032" s="4" t="str">
        <v/>
      </c>
    </row>
    <row r="11033" spans="5:9" ht="16.5" hidden="1">
      <c r="E11033" s="4" t="str">
        <v/>
      </c>
      <c r="F11033" s="102" t="str">
        <f ca="1">IFERROR(__xludf.DUMMYFUNCTION("IMPORTRANGE(H11033,""IDENTITAS UNIT!D9"")"),"#N/A")</f>
        <v>#N/A</v>
      </c>
      <c r="H11033" s="4" t="str">
        <v/>
      </c>
      <c r="I11033" s="4" t="str">
        <v/>
      </c>
    </row>
    <row r="11034" spans="5:9" ht="16.5" hidden="1">
      <c r="E11034" s="4" t="str">
        <v/>
      </c>
      <c r="F11034" s="102" t="str">
        <f ca="1">IFERROR(__xludf.DUMMYFUNCTION("IMPORTRANGE(H11034,""IDENTITAS UNIT!D9"")"),"#N/A")</f>
        <v>#N/A</v>
      </c>
      <c r="H11034" s="4" t="str">
        <v/>
      </c>
      <c r="I11034" s="4" t="str">
        <v/>
      </c>
    </row>
    <row r="11035" spans="5:9" ht="16.5" hidden="1">
      <c r="E11035" s="4" t="str">
        <v/>
      </c>
      <c r="F11035" s="102" t="str">
        <f ca="1">IFERROR(__xludf.DUMMYFUNCTION("IMPORTRANGE(H11035,""IDENTITAS UNIT!D9"")"),"#N/A")</f>
        <v>#N/A</v>
      </c>
      <c r="H11035" s="4" t="str">
        <v/>
      </c>
      <c r="I11035" s="4" t="str">
        <v/>
      </c>
    </row>
    <row r="11036" spans="5:9" ht="16.5" hidden="1">
      <c r="E11036" s="4" t="str">
        <v/>
      </c>
      <c r="F11036" s="102" t="str">
        <f ca="1">IFERROR(__xludf.DUMMYFUNCTION("IMPORTRANGE(H11036,""IDENTITAS UNIT!D9"")"),"#N/A")</f>
        <v>#N/A</v>
      </c>
      <c r="H11036" s="4" t="str">
        <v/>
      </c>
      <c r="I11036" s="4" t="str">
        <v/>
      </c>
    </row>
    <row r="11037" spans="5:9" ht="16.5" hidden="1">
      <c r="E11037" s="4" t="str">
        <v/>
      </c>
      <c r="F11037" s="102" t="str">
        <f ca="1">IFERROR(__xludf.DUMMYFUNCTION("IMPORTRANGE(H11037,""IDENTITAS UNIT!D9"")"),"#N/A")</f>
        <v>#N/A</v>
      </c>
      <c r="H11037" s="4" t="str">
        <v/>
      </c>
      <c r="I11037" s="4" t="str">
        <v/>
      </c>
    </row>
    <row r="11038" spans="5:9" ht="16.5" hidden="1">
      <c r="E11038" s="4" t="str">
        <v/>
      </c>
      <c r="F11038" s="102" t="str">
        <f ca="1">IFERROR(__xludf.DUMMYFUNCTION("IMPORTRANGE(H11038,""IDENTITAS UNIT!D9"")"),"#N/A")</f>
        <v>#N/A</v>
      </c>
      <c r="H11038" s="4" t="str">
        <v/>
      </c>
      <c r="I11038" s="4" t="str">
        <v/>
      </c>
    </row>
    <row r="11039" spans="5:9" ht="16.5" hidden="1">
      <c r="E11039" s="4" t="str">
        <v/>
      </c>
      <c r="F11039" s="102" t="str">
        <f ca="1">IFERROR(__xludf.DUMMYFUNCTION("IMPORTRANGE(H11039,""IDENTITAS UNIT!D9"")"),"#N/A")</f>
        <v>#N/A</v>
      </c>
      <c r="H11039" s="4" t="str">
        <v/>
      </c>
      <c r="I11039" s="4" t="str">
        <v/>
      </c>
    </row>
    <row r="11040" spans="5:9" ht="16.5" hidden="1">
      <c r="E11040" s="4" t="str">
        <v/>
      </c>
      <c r="F11040" s="102" t="str">
        <f ca="1">IFERROR(__xludf.DUMMYFUNCTION("IMPORTRANGE(H11040,""IDENTITAS UNIT!D9"")"),"#N/A")</f>
        <v>#N/A</v>
      </c>
      <c r="H11040" s="4" t="str">
        <v/>
      </c>
      <c r="I11040" s="4" t="str">
        <v/>
      </c>
    </row>
    <row r="11041" spans="5:9" ht="16.5" hidden="1">
      <c r="E11041" s="4" t="str">
        <v/>
      </c>
      <c r="F11041" s="102" t="str">
        <f ca="1">IFERROR(__xludf.DUMMYFUNCTION("IMPORTRANGE(H11041,""IDENTITAS UNIT!D9"")"),"#N/A")</f>
        <v>#N/A</v>
      </c>
      <c r="H11041" s="4" t="str">
        <v/>
      </c>
      <c r="I11041" s="4" t="str">
        <v/>
      </c>
    </row>
    <row r="11042" spans="5:9" ht="16.5" hidden="1">
      <c r="E11042" s="4" t="str">
        <v/>
      </c>
      <c r="F11042" s="102" t="str">
        <f ca="1">IFERROR(__xludf.DUMMYFUNCTION("IMPORTRANGE(H11042,""IDENTITAS UNIT!D9"")"),"#N/A")</f>
        <v>#N/A</v>
      </c>
      <c r="H11042" s="4" t="str">
        <v/>
      </c>
      <c r="I11042" s="4" t="str">
        <v/>
      </c>
    </row>
    <row r="11043" spans="5:9" ht="16.5" hidden="1">
      <c r="E11043" s="4" t="str">
        <v/>
      </c>
      <c r="F11043" s="102" t="str">
        <f ca="1">IFERROR(__xludf.DUMMYFUNCTION("IMPORTRANGE(H11043,""IDENTITAS UNIT!D9"")"),"#N/A")</f>
        <v>#N/A</v>
      </c>
      <c r="H11043" s="4" t="str">
        <v/>
      </c>
      <c r="I11043" s="4" t="str">
        <v/>
      </c>
    </row>
    <row r="11044" spans="5:9" ht="16.5" hidden="1">
      <c r="E11044" s="4" t="str">
        <v/>
      </c>
      <c r="F11044" s="102" t="str">
        <f ca="1">IFERROR(__xludf.DUMMYFUNCTION("IMPORTRANGE(H11044,""IDENTITAS UNIT!D9"")"),"#N/A")</f>
        <v>#N/A</v>
      </c>
      <c r="H11044" s="4" t="str">
        <v/>
      </c>
      <c r="I11044" s="4" t="str">
        <v/>
      </c>
    </row>
    <row r="11045" spans="5:9" ht="16.5" hidden="1">
      <c r="E11045" s="4" t="str">
        <v/>
      </c>
      <c r="F11045" s="102" t="str">
        <f ca="1">IFERROR(__xludf.DUMMYFUNCTION("IMPORTRANGE(H11045,""IDENTITAS UNIT!D9"")"),"#N/A")</f>
        <v>#N/A</v>
      </c>
      <c r="H11045" s="4" t="str">
        <v/>
      </c>
      <c r="I11045" s="4" t="str">
        <v/>
      </c>
    </row>
    <row r="11046" spans="5:9" ht="16.5" hidden="1">
      <c r="E11046" s="4" t="str">
        <v/>
      </c>
      <c r="F11046" s="102" t="str">
        <f ca="1">IFERROR(__xludf.DUMMYFUNCTION("IMPORTRANGE(H11046,""IDENTITAS UNIT!D9"")"),"#N/A")</f>
        <v>#N/A</v>
      </c>
      <c r="H11046" s="4" t="str">
        <v/>
      </c>
      <c r="I11046" s="4" t="str">
        <v/>
      </c>
    </row>
    <row r="11047" spans="5:9" ht="16.5" hidden="1">
      <c r="E11047" s="4" t="str">
        <v/>
      </c>
      <c r="F11047" s="102" t="str">
        <f ca="1">IFERROR(__xludf.DUMMYFUNCTION("IMPORTRANGE(H11047,""IDENTITAS UNIT!D9"")"),"#N/A")</f>
        <v>#N/A</v>
      </c>
      <c r="H11047" s="4" t="str">
        <v/>
      </c>
      <c r="I11047" s="4" t="str">
        <v/>
      </c>
    </row>
    <row r="11048" spans="5:9" ht="16.5" hidden="1">
      <c r="E11048" s="4" t="str">
        <v/>
      </c>
      <c r="F11048" s="102" t="str">
        <f ca="1">IFERROR(__xludf.DUMMYFUNCTION("IMPORTRANGE(H11048,""IDENTITAS UNIT!D9"")"),"#N/A")</f>
        <v>#N/A</v>
      </c>
      <c r="H11048" s="4" t="str">
        <v/>
      </c>
      <c r="I11048" s="4" t="str">
        <v/>
      </c>
    </row>
    <row r="11049" spans="5:9" ht="16.5" hidden="1">
      <c r="E11049" s="4" t="str">
        <v/>
      </c>
      <c r="F11049" s="102" t="str">
        <f ca="1">IFERROR(__xludf.DUMMYFUNCTION("IMPORTRANGE(H11049,""IDENTITAS UNIT!D9"")"),"#N/A")</f>
        <v>#N/A</v>
      </c>
      <c r="H11049" s="4" t="str">
        <v/>
      </c>
      <c r="I11049" s="4" t="str">
        <v/>
      </c>
    </row>
    <row r="11050" spans="5:9" ht="16.5" hidden="1">
      <c r="E11050" s="4" t="str">
        <v/>
      </c>
      <c r="F11050" s="102" t="str">
        <f ca="1">IFERROR(__xludf.DUMMYFUNCTION("IMPORTRANGE(H11050,""IDENTITAS UNIT!D9"")"),"#N/A")</f>
        <v>#N/A</v>
      </c>
      <c r="H11050" s="4" t="str">
        <v/>
      </c>
      <c r="I11050" s="4" t="str">
        <v/>
      </c>
    </row>
    <row r="11051" spans="5:9" ht="16.5" hidden="1">
      <c r="E11051" s="4" t="str">
        <v/>
      </c>
      <c r="F11051" s="102" t="str">
        <f ca="1">IFERROR(__xludf.DUMMYFUNCTION("IMPORTRANGE(H11051,""IDENTITAS UNIT!D9"")"),"#N/A")</f>
        <v>#N/A</v>
      </c>
      <c r="H11051" s="4" t="str">
        <v/>
      </c>
      <c r="I11051" s="4" t="str">
        <v/>
      </c>
    </row>
    <row r="11052" spans="5:9" ht="16.5" hidden="1">
      <c r="E11052" s="4" t="str">
        <v/>
      </c>
      <c r="F11052" s="102" t="str">
        <f ca="1">IFERROR(__xludf.DUMMYFUNCTION("IMPORTRANGE(H11052,""IDENTITAS UNIT!D9"")"),"#N/A")</f>
        <v>#N/A</v>
      </c>
      <c r="H11052" s="4" t="str">
        <v/>
      </c>
      <c r="I11052" s="4" t="str">
        <v/>
      </c>
    </row>
    <row r="11053" spans="5:9" ht="16.5" hidden="1">
      <c r="E11053" s="4" t="str">
        <v/>
      </c>
      <c r="F11053" s="102" t="str">
        <f ca="1">IFERROR(__xludf.DUMMYFUNCTION("IMPORTRANGE(H11053,""IDENTITAS UNIT!D9"")"),"#N/A")</f>
        <v>#N/A</v>
      </c>
      <c r="H11053" s="4" t="str">
        <v/>
      </c>
      <c r="I11053" s="4" t="str">
        <v/>
      </c>
    </row>
    <row r="11054" spans="5:9" ht="16.5" hidden="1">
      <c r="E11054" s="4" t="str">
        <v/>
      </c>
      <c r="F11054" s="102" t="str">
        <f ca="1">IFERROR(__xludf.DUMMYFUNCTION("IMPORTRANGE(H11054,""IDENTITAS UNIT!D9"")"),"#N/A")</f>
        <v>#N/A</v>
      </c>
      <c r="H11054" s="4" t="str">
        <v/>
      </c>
      <c r="I11054" s="4" t="str">
        <v/>
      </c>
    </row>
    <row r="11055" spans="5:9" ht="16.5" hidden="1">
      <c r="E11055" s="4" t="str">
        <v/>
      </c>
      <c r="F11055" s="102" t="str">
        <f ca="1">IFERROR(__xludf.DUMMYFUNCTION("IMPORTRANGE(H11055,""IDENTITAS UNIT!D9"")"),"#N/A")</f>
        <v>#N/A</v>
      </c>
      <c r="H11055" s="4" t="str">
        <v/>
      </c>
      <c r="I11055" s="4" t="str">
        <v/>
      </c>
    </row>
    <row r="11056" spans="5:9" ht="16.5" hidden="1">
      <c r="E11056" s="4" t="str">
        <v/>
      </c>
      <c r="F11056" s="102" t="str">
        <f ca="1">IFERROR(__xludf.DUMMYFUNCTION("IMPORTRANGE(H11056,""IDENTITAS UNIT!D9"")"),"#N/A")</f>
        <v>#N/A</v>
      </c>
      <c r="H11056" s="4" t="str">
        <v/>
      </c>
      <c r="I11056" s="4" t="str">
        <v/>
      </c>
    </row>
    <row r="11057" spans="5:9" ht="16.5" hidden="1">
      <c r="E11057" s="4" t="str">
        <v/>
      </c>
      <c r="F11057" s="102" t="str">
        <f ca="1">IFERROR(__xludf.DUMMYFUNCTION("IMPORTRANGE(H11057,""IDENTITAS UNIT!D9"")"),"#N/A")</f>
        <v>#N/A</v>
      </c>
      <c r="H11057" s="4" t="str">
        <v/>
      </c>
      <c r="I11057" s="4" t="str">
        <v/>
      </c>
    </row>
    <row r="11058" spans="5:9" ht="16.5" hidden="1">
      <c r="E11058" s="4" t="str">
        <v/>
      </c>
      <c r="F11058" s="102" t="str">
        <f ca="1">IFERROR(__xludf.DUMMYFUNCTION("IMPORTRANGE(H11058,""IDENTITAS UNIT!D9"")"),"#N/A")</f>
        <v>#N/A</v>
      </c>
      <c r="H11058" s="4" t="str">
        <v/>
      </c>
      <c r="I11058" s="4" t="str">
        <v/>
      </c>
    </row>
    <row r="11059" spans="5:9" ht="16.5" hidden="1">
      <c r="E11059" s="4" t="str">
        <v/>
      </c>
      <c r="F11059" s="102" t="str">
        <f ca="1">IFERROR(__xludf.DUMMYFUNCTION("IMPORTRANGE(H11059,""IDENTITAS UNIT!D9"")"),"#N/A")</f>
        <v>#N/A</v>
      </c>
      <c r="H11059" s="4" t="str">
        <v/>
      </c>
      <c r="I11059" s="4" t="str">
        <v/>
      </c>
    </row>
    <row r="11060" spans="5:9" ht="16.5" hidden="1">
      <c r="E11060" s="4" t="str">
        <v/>
      </c>
      <c r="F11060" s="102" t="str">
        <f ca="1">IFERROR(__xludf.DUMMYFUNCTION("IMPORTRANGE(H11060,""IDENTITAS UNIT!D9"")"),"#N/A")</f>
        <v>#N/A</v>
      </c>
      <c r="H11060" s="4" t="str">
        <v/>
      </c>
      <c r="I11060" s="4" t="str">
        <v/>
      </c>
    </row>
    <row r="11061" spans="5:9" ht="16.5" hidden="1">
      <c r="E11061" s="4" t="str">
        <v/>
      </c>
      <c r="F11061" s="102" t="str">
        <f ca="1">IFERROR(__xludf.DUMMYFUNCTION("IMPORTRANGE(H11061,""IDENTITAS UNIT!D9"")"),"#N/A")</f>
        <v>#N/A</v>
      </c>
      <c r="H11061" s="4" t="str">
        <v/>
      </c>
      <c r="I11061" s="4" t="str">
        <v/>
      </c>
    </row>
    <row r="11062" spans="5:9" ht="16.5" hidden="1">
      <c r="E11062" s="4" t="str">
        <v/>
      </c>
      <c r="F11062" s="102" t="str">
        <f ca="1">IFERROR(__xludf.DUMMYFUNCTION("IMPORTRANGE(H11062,""IDENTITAS UNIT!D9"")"),"#N/A")</f>
        <v>#N/A</v>
      </c>
      <c r="H11062" s="4" t="str">
        <v/>
      </c>
      <c r="I11062" s="4" t="str">
        <v/>
      </c>
    </row>
    <row r="11063" spans="5:9" ht="16.5" hidden="1">
      <c r="E11063" s="4" t="str">
        <v/>
      </c>
      <c r="F11063" s="102" t="str">
        <f ca="1">IFERROR(__xludf.DUMMYFUNCTION("IMPORTRANGE(H11063,""IDENTITAS UNIT!D9"")"),"#N/A")</f>
        <v>#N/A</v>
      </c>
      <c r="H11063" s="4" t="str">
        <v/>
      </c>
      <c r="I11063" s="4" t="str">
        <v/>
      </c>
    </row>
    <row r="11064" spans="5:9" ht="16.5" hidden="1">
      <c r="E11064" s="4" t="str">
        <v/>
      </c>
      <c r="F11064" s="102" t="str">
        <f ca="1">IFERROR(__xludf.DUMMYFUNCTION("IMPORTRANGE(H11064,""IDENTITAS UNIT!D9"")"),"#N/A")</f>
        <v>#N/A</v>
      </c>
      <c r="H11064" s="4" t="str">
        <v/>
      </c>
      <c r="I11064" s="4" t="str">
        <v/>
      </c>
    </row>
    <row r="11065" spans="5:9" ht="16.5" hidden="1">
      <c r="E11065" s="4" t="str">
        <v/>
      </c>
      <c r="F11065" s="102" t="str">
        <f ca="1">IFERROR(__xludf.DUMMYFUNCTION("IMPORTRANGE(H11065,""IDENTITAS UNIT!D9"")"),"#N/A")</f>
        <v>#N/A</v>
      </c>
      <c r="H11065" s="4" t="str">
        <v/>
      </c>
      <c r="I11065" s="4" t="str">
        <v/>
      </c>
    </row>
    <row r="11066" spans="5:9" ht="16.5" hidden="1">
      <c r="E11066" s="4" t="str">
        <v/>
      </c>
      <c r="F11066" s="102" t="str">
        <f ca="1">IFERROR(__xludf.DUMMYFUNCTION("IMPORTRANGE(H11066,""IDENTITAS UNIT!D9"")"),"#N/A")</f>
        <v>#N/A</v>
      </c>
      <c r="H11066" s="4" t="str">
        <v/>
      </c>
      <c r="I11066" s="4" t="str">
        <v/>
      </c>
    </row>
    <row r="11067" spans="5:9" ht="16.5" hidden="1">
      <c r="E11067" s="4" t="str">
        <v/>
      </c>
      <c r="F11067" s="102" t="str">
        <f ca="1">IFERROR(__xludf.DUMMYFUNCTION("IMPORTRANGE(H11067,""IDENTITAS UNIT!D9"")"),"#N/A")</f>
        <v>#N/A</v>
      </c>
      <c r="H11067" s="4" t="str">
        <v/>
      </c>
      <c r="I11067" s="4" t="str">
        <v/>
      </c>
    </row>
    <row r="11068" spans="5:9" ht="16.5" hidden="1">
      <c r="E11068" s="4" t="str">
        <v/>
      </c>
      <c r="F11068" s="102" t="str">
        <f ca="1">IFERROR(__xludf.DUMMYFUNCTION("IMPORTRANGE(H11068,""IDENTITAS UNIT!D9"")"),"#N/A")</f>
        <v>#N/A</v>
      </c>
      <c r="H11068" s="4" t="str">
        <v/>
      </c>
      <c r="I11068" s="4" t="str">
        <v/>
      </c>
    </row>
    <row r="11069" spans="5:9" ht="16.5" hidden="1">
      <c r="E11069" s="4" t="str">
        <v/>
      </c>
      <c r="F11069" s="102" t="str">
        <f ca="1">IFERROR(__xludf.DUMMYFUNCTION("IMPORTRANGE(H11069,""IDENTITAS UNIT!D9"")"),"#N/A")</f>
        <v>#N/A</v>
      </c>
      <c r="H11069" s="4" t="str">
        <v/>
      </c>
      <c r="I11069" s="4" t="str">
        <v/>
      </c>
    </row>
    <row r="11070" spans="5:9" ht="16.5" hidden="1">
      <c r="E11070" s="4" t="str">
        <v/>
      </c>
      <c r="F11070" s="102" t="str">
        <f ca="1">IFERROR(__xludf.DUMMYFUNCTION("IMPORTRANGE(H11070,""IDENTITAS UNIT!D9"")"),"#N/A")</f>
        <v>#N/A</v>
      </c>
      <c r="H11070" s="4" t="str">
        <v/>
      </c>
      <c r="I11070" s="4" t="str">
        <v/>
      </c>
    </row>
    <row r="11071" spans="5:9" ht="16.5" hidden="1">
      <c r="E11071" s="4" t="str">
        <v/>
      </c>
      <c r="F11071" s="102" t="str">
        <f ca="1">IFERROR(__xludf.DUMMYFUNCTION("IMPORTRANGE(H11071,""IDENTITAS UNIT!D9"")"),"#N/A")</f>
        <v>#N/A</v>
      </c>
      <c r="H11071" s="4" t="str">
        <v/>
      </c>
      <c r="I11071" s="4" t="str">
        <v/>
      </c>
    </row>
    <row r="11072" spans="5:9" ht="16.5" hidden="1">
      <c r="E11072" s="4" t="str">
        <v/>
      </c>
      <c r="F11072" s="102" t="str">
        <f ca="1">IFERROR(__xludf.DUMMYFUNCTION("IMPORTRANGE(H11072,""IDENTITAS UNIT!D9"")"),"#N/A")</f>
        <v>#N/A</v>
      </c>
      <c r="H11072" s="4" t="str">
        <v/>
      </c>
      <c r="I11072" s="4" t="str">
        <v/>
      </c>
    </row>
    <row r="11073" spans="5:9" ht="16.5" hidden="1">
      <c r="E11073" s="4" t="str">
        <v/>
      </c>
      <c r="F11073" s="102" t="str">
        <f ca="1">IFERROR(__xludf.DUMMYFUNCTION("IMPORTRANGE(H11073,""IDENTITAS UNIT!D9"")"),"#N/A")</f>
        <v>#N/A</v>
      </c>
      <c r="H11073" s="4" t="str">
        <v/>
      </c>
      <c r="I11073" s="4" t="str">
        <v/>
      </c>
    </row>
    <row r="11074" spans="5:9" ht="16.5" hidden="1">
      <c r="E11074" s="4" t="str">
        <v/>
      </c>
      <c r="F11074" s="102" t="str">
        <f ca="1">IFERROR(__xludf.DUMMYFUNCTION("IMPORTRANGE(H11074,""IDENTITAS UNIT!D9"")"),"#N/A")</f>
        <v>#N/A</v>
      </c>
      <c r="H11074" s="4" t="str">
        <v/>
      </c>
      <c r="I11074" s="4" t="str">
        <v/>
      </c>
    </row>
    <row r="11075" spans="5:9" ht="16.5" hidden="1">
      <c r="E11075" s="4" t="str">
        <v/>
      </c>
      <c r="F11075" s="102" t="str">
        <f ca="1">IFERROR(__xludf.DUMMYFUNCTION("IMPORTRANGE(H11075,""IDENTITAS UNIT!D9"")"),"#N/A")</f>
        <v>#N/A</v>
      </c>
      <c r="H11075" s="4" t="str">
        <v/>
      </c>
      <c r="I11075" s="4" t="str">
        <v/>
      </c>
    </row>
    <row r="11076" spans="5:9" ht="16.5" hidden="1">
      <c r="E11076" s="4" t="str">
        <v/>
      </c>
      <c r="F11076" s="102" t="str">
        <f ca="1">IFERROR(__xludf.DUMMYFUNCTION("IMPORTRANGE(H11076,""IDENTITAS UNIT!D9"")"),"#N/A")</f>
        <v>#N/A</v>
      </c>
      <c r="H11076" s="4" t="str">
        <v/>
      </c>
      <c r="I11076" s="4" t="str">
        <v/>
      </c>
    </row>
    <row r="11077" spans="5:9" ht="16.5" hidden="1">
      <c r="E11077" s="4" t="str">
        <v/>
      </c>
      <c r="F11077" s="102" t="str">
        <f ca="1">IFERROR(__xludf.DUMMYFUNCTION("IMPORTRANGE(H11077,""IDENTITAS UNIT!D9"")"),"#N/A")</f>
        <v>#N/A</v>
      </c>
      <c r="H11077" s="4" t="str">
        <v/>
      </c>
      <c r="I11077" s="4" t="str">
        <v/>
      </c>
    </row>
    <row r="11078" spans="5:9" ht="16.5" hidden="1">
      <c r="E11078" s="4" t="str">
        <v/>
      </c>
      <c r="F11078" s="102" t="str">
        <f ca="1">IFERROR(__xludf.DUMMYFUNCTION("IMPORTRANGE(H11078,""IDENTITAS UNIT!D9"")"),"#N/A")</f>
        <v>#N/A</v>
      </c>
      <c r="H11078" s="4" t="str">
        <v/>
      </c>
      <c r="I11078" s="4" t="str">
        <v/>
      </c>
    </row>
    <row r="11079" spans="5:9" ht="16.5" hidden="1">
      <c r="E11079" s="4" t="str">
        <v/>
      </c>
      <c r="F11079" s="102" t="str">
        <f ca="1">IFERROR(__xludf.DUMMYFUNCTION("IMPORTRANGE(H11079,""IDENTITAS UNIT!D9"")"),"#N/A")</f>
        <v>#N/A</v>
      </c>
      <c r="H11079" s="4" t="str">
        <v/>
      </c>
      <c r="I11079" s="4" t="str">
        <v/>
      </c>
    </row>
    <row r="11080" spans="5:9" ht="16.5" hidden="1">
      <c r="E11080" s="4" t="str">
        <v/>
      </c>
      <c r="F11080" s="102" t="str">
        <f ca="1">IFERROR(__xludf.DUMMYFUNCTION("IMPORTRANGE(H11080,""IDENTITAS UNIT!D9"")"),"#N/A")</f>
        <v>#N/A</v>
      </c>
      <c r="H11080" s="4" t="str">
        <v/>
      </c>
      <c r="I11080" s="4" t="str">
        <v/>
      </c>
    </row>
    <row r="11081" spans="5:9" ht="16.5" hidden="1">
      <c r="E11081" s="4" t="str">
        <v/>
      </c>
      <c r="F11081" s="102" t="str">
        <f ca="1">IFERROR(__xludf.DUMMYFUNCTION("IMPORTRANGE(H11081,""IDENTITAS UNIT!D9"")"),"#N/A")</f>
        <v>#N/A</v>
      </c>
      <c r="H11081" s="4" t="str">
        <v/>
      </c>
      <c r="I11081" s="4" t="str">
        <v/>
      </c>
    </row>
    <row r="11082" spans="5:9" ht="16.5" hidden="1">
      <c r="E11082" s="4" t="str">
        <v/>
      </c>
      <c r="F11082" s="102" t="str">
        <f ca="1">IFERROR(__xludf.DUMMYFUNCTION("IMPORTRANGE(H11082,""IDENTITAS UNIT!D9"")"),"#N/A")</f>
        <v>#N/A</v>
      </c>
      <c r="H11082" s="4" t="str">
        <v/>
      </c>
      <c r="I11082" s="4" t="str">
        <v/>
      </c>
    </row>
    <row r="11083" spans="5:9" ht="16.5" hidden="1">
      <c r="E11083" s="4" t="str">
        <v/>
      </c>
      <c r="F11083" s="102" t="str">
        <f ca="1">IFERROR(__xludf.DUMMYFUNCTION("IMPORTRANGE(H11083,""IDENTITAS UNIT!D9"")"),"#N/A")</f>
        <v>#N/A</v>
      </c>
      <c r="H11083" s="4" t="str">
        <v/>
      </c>
      <c r="I11083" s="4" t="str">
        <v/>
      </c>
    </row>
    <row r="11084" spans="5:9" ht="16.5" hidden="1">
      <c r="E11084" s="4" t="str">
        <v/>
      </c>
      <c r="F11084" s="102" t="str">
        <f ca="1">IFERROR(__xludf.DUMMYFUNCTION("IMPORTRANGE(H11084,""IDENTITAS UNIT!D9"")"),"#N/A")</f>
        <v>#N/A</v>
      </c>
      <c r="H11084" s="4" t="str">
        <v/>
      </c>
      <c r="I11084" s="4" t="str">
        <v/>
      </c>
    </row>
    <row r="11085" spans="5:9" ht="16.5" hidden="1">
      <c r="E11085" s="4" t="str">
        <v/>
      </c>
      <c r="F11085" s="102" t="str">
        <f ca="1">IFERROR(__xludf.DUMMYFUNCTION("IMPORTRANGE(H11085,""IDENTITAS UNIT!D9"")"),"#N/A")</f>
        <v>#N/A</v>
      </c>
      <c r="H11085" s="4" t="str">
        <v/>
      </c>
      <c r="I11085" s="4" t="str">
        <v/>
      </c>
    </row>
    <row r="11086" spans="5:9" ht="16.5" hidden="1">
      <c r="E11086" s="4" t="str">
        <v/>
      </c>
      <c r="F11086" s="102" t="str">
        <f ca="1">IFERROR(__xludf.DUMMYFUNCTION("IMPORTRANGE(H11086,""IDENTITAS UNIT!D9"")"),"#N/A")</f>
        <v>#N/A</v>
      </c>
      <c r="H11086" s="4" t="str">
        <v/>
      </c>
      <c r="I11086" s="4" t="str">
        <v/>
      </c>
    </row>
    <row r="11087" spans="5:9" ht="16.5" hidden="1">
      <c r="E11087" s="4" t="str">
        <v/>
      </c>
      <c r="F11087" s="102" t="str">
        <f ca="1">IFERROR(__xludf.DUMMYFUNCTION("IMPORTRANGE(H11087,""IDENTITAS UNIT!D9"")"),"#N/A")</f>
        <v>#N/A</v>
      </c>
      <c r="H11087" s="4" t="str">
        <v/>
      </c>
      <c r="I11087" s="4" t="str">
        <v/>
      </c>
    </row>
    <row r="11088" spans="5:9" ht="16.5" hidden="1">
      <c r="E11088" s="4" t="str">
        <v/>
      </c>
      <c r="F11088" s="102" t="str">
        <f ca="1">IFERROR(__xludf.DUMMYFUNCTION("IMPORTRANGE(H11088,""IDENTITAS UNIT!D9"")"),"#N/A")</f>
        <v>#N/A</v>
      </c>
      <c r="H11088" s="4" t="str">
        <v/>
      </c>
      <c r="I11088" s="4" t="str">
        <v/>
      </c>
    </row>
    <row r="11089" spans="5:9" ht="16.5" hidden="1">
      <c r="E11089" s="4" t="str">
        <v/>
      </c>
      <c r="F11089" s="102" t="str">
        <f ca="1">IFERROR(__xludf.DUMMYFUNCTION("IMPORTRANGE(H11089,""IDENTITAS UNIT!D9"")"),"#N/A")</f>
        <v>#N/A</v>
      </c>
      <c r="H11089" s="4" t="str">
        <v/>
      </c>
      <c r="I11089" s="4" t="str">
        <v/>
      </c>
    </row>
    <row r="11090" spans="5:9" ht="16.5" hidden="1">
      <c r="E11090" s="4" t="str">
        <v/>
      </c>
      <c r="F11090" s="102" t="str">
        <f ca="1">IFERROR(__xludf.DUMMYFUNCTION("IMPORTRANGE(H11090,""IDENTITAS UNIT!D9"")"),"#N/A")</f>
        <v>#N/A</v>
      </c>
      <c r="H11090" s="4" t="str">
        <v/>
      </c>
      <c r="I11090" s="4" t="str">
        <v/>
      </c>
    </row>
    <row r="11091" spans="5:9" ht="16.5" hidden="1">
      <c r="E11091" s="4" t="str">
        <v/>
      </c>
      <c r="F11091" s="102" t="str">
        <f ca="1">IFERROR(__xludf.DUMMYFUNCTION("IMPORTRANGE(H11091,""IDENTITAS UNIT!D9"")"),"#N/A")</f>
        <v>#N/A</v>
      </c>
      <c r="H11091" s="4" t="str">
        <v/>
      </c>
      <c r="I11091" s="4" t="str">
        <v/>
      </c>
    </row>
    <row r="11092" spans="5:9" ht="16.5" hidden="1">
      <c r="E11092" s="4" t="str">
        <v/>
      </c>
      <c r="F11092" s="102" t="str">
        <f ca="1">IFERROR(__xludf.DUMMYFUNCTION("IMPORTRANGE(H11092,""IDENTITAS UNIT!D9"")"),"#N/A")</f>
        <v>#N/A</v>
      </c>
      <c r="H11092" s="4" t="str">
        <v/>
      </c>
      <c r="I11092" s="4" t="str">
        <v/>
      </c>
    </row>
    <row r="11093" spans="5:9" ht="16.5" hidden="1">
      <c r="E11093" s="4" t="str">
        <v/>
      </c>
      <c r="F11093" s="102" t="str">
        <f ca="1">IFERROR(__xludf.DUMMYFUNCTION("IMPORTRANGE(H11093,""IDENTITAS UNIT!D9"")"),"#N/A")</f>
        <v>#N/A</v>
      </c>
      <c r="H11093" s="4" t="str">
        <v/>
      </c>
      <c r="I11093" s="4" t="str">
        <v/>
      </c>
    </row>
    <row r="11094" spans="5:9" ht="16.5" hidden="1">
      <c r="E11094" s="4" t="str">
        <v/>
      </c>
      <c r="F11094" s="102" t="str">
        <f ca="1">IFERROR(__xludf.DUMMYFUNCTION("IMPORTRANGE(H11094,""IDENTITAS UNIT!D9"")"),"#N/A")</f>
        <v>#N/A</v>
      </c>
      <c r="H11094" s="4" t="str">
        <v/>
      </c>
      <c r="I11094" s="4" t="str">
        <v/>
      </c>
    </row>
    <row r="11095" spans="5:9" ht="16.5" hidden="1">
      <c r="E11095" s="4" t="str">
        <v/>
      </c>
      <c r="F11095" s="102" t="str">
        <f ca="1">IFERROR(__xludf.DUMMYFUNCTION("IMPORTRANGE(H11095,""IDENTITAS UNIT!D9"")"),"#N/A")</f>
        <v>#N/A</v>
      </c>
      <c r="H11095" s="4" t="str">
        <v/>
      </c>
      <c r="I11095" s="4" t="str">
        <v/>
      </c>
    </row>
    <row r="11096" spans="5:9" ht="16.5" hidden="1">
      <c r="E11096" s="4" t="str">
        <v/>
      </c>
      <c r="F11096" s="102" t="str">
        <f ca="1">IFERROR(__xludf.DUMMYFUNCTION("IMPORTRANGE(H11096,""IDENTITAS UNIT!D9"")"),"#N/A")</f>
        <v>#N/A</v>
      </c>
      <c r="H11096" s="4" t="str">
        <v/>
      </c>
      <c r="I11096" s="4" t="str">
        <v/>
      </c>
    </row>
    <row r="11097" spans="5:9" ht="16.5" hidden="1">
      <c r="E11097" s="4" t="str">
        <v/>
      </c>
      <c r="F11097" s="102" t="str">
        <f ca="1">IFERROR(__xludf.DUMMYFUNCTION("IMPORTRANGE(H11097,""IDENTITAS UNIT!D9"")"),"#N/A")</f>
        <v>#N/A</v>
      </c>
      <c r="H11097" s="4" t="str">
        <v/>
      </c>
      <c r="I11097" s="4" t="str">
        <v/>
      </c>
    </row>
    <row r="11098" spans="5:9" ht="16.5" hidden="1">
      <c r="E11098" s="4" t="str">
        <v/>
      </c>
      <c r="F11098" s="102" t="str">
        <f ca="1">IFERROR(__xludf.DUMMYFUNCTION("IMPORTRANGE(H11098,""IDENTITAS UNIT!D9"")"),"#N/A")</f>
        <v>#N/A</v>
      </c>
      <c r="H11098" s="4" t="str">
        <v/>
      </c>
      <c r="I11098" s="4" t="str">
        <v/>
      </c>
    </row>
    <row r="11099" spans="5:9" ht="16.5" hidden="1">
      <c r="E11099" s="4" t="str">
        <v/>
      </c>
      <c r="F11099" s="102" t="str">
        <f ca="1">IFERROR(__xludf.DUMMYFUNCTION("IMPORTRANGE(H11099,""IDENTITAS UNIT!D9"")"),"#N/A")</f>
        <v>#N/A</v>
      </c>
      <c r="H11099" s="4" t="str">
        <v/>
      </c>
      <c r="I11099" s="4" t="str">
        <v/>
      </c>
    </row>
    <row r="11100" spans="5:9" ht="16.5" hidden="1">
      <c r="E11100" s="4" t="str">
        <v/>
      </c>
      <c r="F11100" s="102" t="str">
        <f ca="1">IFERROR(__xludf.DUMMYFUNCTION("IMPORTRANGE(H11100,""IDENTITAS UNIT!D9"")"),"#N/A")</f>
        <v>#N/A</v>
      </c>
      <c r="H11100" s="4" t="str">
        <v/>
      </c>
      <c r="I11100" s="4" t="str">
        <v/>
      </c>
    </row>
    <row r="11101" spans="5:9" ht="16.5" hidden="1">
      <c r="E11101" s="4" t="str">
        <v/>
      </c>
      <c r="F11101" s="102" t="str">
        <f ca="1">IFERROR(__xludf.DUMMYFUNCTION("IMPORTRANGE(H11101,""IDENTITAS UNIT!D9"")"),"#N/A")</f>
        <v>#N/A</v>
      </c>
      <c r="H11101" s="4" t="str">
        <v/>
      </c>
      <c r="I11101" s="4" t="str">
        <v/>
      </c>
    </row>
    <row r="11102" spans="5:9" ht="16.5" hidden="1">
      <c r="E11102" s="4" t="str">
        <v/>
      </c>
      <c r="F11102" s="102" t="str">
        <f ca="1">IFERROR(__xludf.DUMMYFUNCTION("IMPORTRANGE(H11102,""IDENTITAS UNIT!D9"")"),"#N/A")</f>
        <v>#N/A</v>
      </c>
      <c r="H11102" s="4" t="str">
        <v/>
      </c>
      <c r="I11102" s="4" t="str">
        <v/>
      </c>
    </row>
    <row r="11103" spans="5:9" ht="16.5" hidden="1">
      <c r="E11103" s="4" t="str">
        <v/>
      </c>
      <c r="F11103" s="102" t="str">
        <f ca="1">IFERROR(__xludf.DUMMYFUNCTION("IMPORTRANGE(H11103,""IDENTITAS UNIT!D9"")"),"#N/A")</f>
        <v>#N/A</v>
      </c>
      <c r="H11103" s="4" t="str">
        <v/>
      </c>
      <c r="I11103" s="4" t="str">
        <v/>
      </c>
    </row>
    <row r="11104" spans="5:9" ht="16.5" hidden="1">
      <c r="E11104" s="4" t="str">
        <v/>
      </c>
      <c r="F11104" s="102" t="str">
        <f ca="1">IFERROR(__xludf.DUMMYFUNCTION("IMPORTRANGE(H11104,""IDENTITAS UNIT!D9"")"),"#N/A")</f>
        <v>#N/A</v>
      </c>
      <c r="H11104" s="4" t="str">
        <v/>
      </c>
      <c r="I11104" s="4" t="str">
        <v/>
      </c>
    </row>
    <row r="11105" spans="5:9" ht="16.5" hidden="1">
      <c r="E11105" s="4" t="str">
        <v/>
      </c>
      <c r="F11105" s="102" t="str">
        <f ca="1">IFERROR(__xludf.DUMMYFUNCTION("IMPORTRANGE(H11105,""IDENTITAS UNIT!D9"")"),"#N/A")</f>
        <v>#N/A</v>
      </c>
      <c r="H11105" s="4" t="str">
        <v/>
      </c>
      <c r="I11105" s="4" t="str">
        <v/>
      </c>
    </row>
    <row r="11106" spans="5:9" ht="16.5" hidden="1">
      <c r="E11106" s="4" t="str">
        <v/>
      </c>
      <c r="F11106" s="102" t="str">
        <f ca="1">IFERROR(__xludf.DUMMYFUNCTION("IMPORTRANGE(H11106,""IDENTITAS UNIT!D9"")"),"#N/A")</f>
        <v>#N/A</v>
      </c>
      <c r="H11106" s="4" t="str">
        <v/>
      </c>
      <c r="I11106" s="4" t="str">
        <v/>
      </c>
    </row>
    <row r="11107" spans="5:9" ht="16.5" hidden="1">
      <c r="E11107" s="4" t="str">
        <v/>
      </c>
      <c r="F11107" s="102" t="str">
        <f ca="1">IFERROR(__xludf.DUMMYFUNCTION("IMPORTRANGE(H11107,""IDENTITAS UNIT!D9"")"),"#N/A")</f>
        <v>#N/A</v>
      </c>
      <c r="H11107" s="4" t="str">
        <v/>
      </c>
      <c r="I11107" s="4" t="str">
        <v/>
      </c>
    </row>
    <row r="11108" spans="5:9" ht="16.5" hidden="1">
      <c r="E11108" s="4" t="str">
        <v/>
      </c>
      <c r="F11108" s="102" t="str">
        <f ca="1">IFERROR(__xludf.DUMMYFUNCTION("IMPORTRANGE(H11108,""IDENTITAS UNIT!D9"")"),"#N/A")</f>
        <v>#N/A</v>
      </c>
      <c r="H11108" s="4" t="str">
        <v/>
      </c>
      <c r="I11108" s="4" t="str">
        <v/>
      </c>
    </row>
    <row r="11109" spans="5:9" ht="16.5" hidden="1">
      <c r="E11109" s="4" t="str">
        <v/>
      </c>
      <c r="F11109" s="102" t="str">
        <f ca="1">IFERROR(__xludf.DUMMYFUNCTION("IMPORTRANGE(H11109,""IDENTITAS UNIT!D9"")"),"#N/A")</f>
        <v>#N/A</v>
      </c>
      <c r="H11109" s="4" t="str">
        <v/>
      </c>
      <c r="I11109" s="4" t="str">
        <v/>
      </c>
    </row>
    <row r="11110" spans="5:9" ht="16.5" hidden="1">
      <c r="E11110" s="4" t="str">
        <v/>
      </c>
      <c r="F11110" s="102" t="str">
        <f ca="1">IFERROR(__xludf.DUMMYFUNCTION("IMPORTRANGE(H11110,""IDENTITAS UNIT!D9"")"),"#N/A")</f>
        <v>#N/A</v>
      </c>
      <c r="H11110" s="4" t="str">
        <v/>
      </c>
      <c r="I11110" s="4" t="str">
        <v/>
      </c>
    </row>
    <row r="11111" spans="5:9" ht="16.5" hidden="1">
      <c r="E11111" s="4" t="str">
        <v/>
      </c>
      <c r="F11111" s="102" t="str">
        <f ca="1">IFERROR(__xludf.DUMMYFUNCTION("IMPORTRANGE(H11111,""IDENTITAS UNIT!D9"")"),"#N/A")</f>
        <v>#N/A</v>
      </c>
      <c r="H11111" s="4" t="str">
        <v/>
      </c>
      <c r="I11111" s="4" t="str">
        <v/>
      </c>
    </row>
    <row r="11112" spans="5:9" ht="16.5" hidden="1">
      <c r="E11112" s="4" t="str">
        <v/>
      </c>
      <c r="F11112" s="102" t="str">
        <f ca="1">IFERROR(__xludf.DUMMYFUNCTION("IMPORTRANGE(H11112,""IDENTITAS UNIT!D9"")"),"#N/A")</f>
        <v>#N/A</v>
      </c>
      <c r="H11112" s="4" t="str">
        <v/>
      </c>
      <c r="I11112" s="4" t="str">
        <v/>
      </c>
    </row>
    <row r="11113" spans="5:9" ht="16.5" hidden="1">
      <c r="E11113" s="4" t="str">
        <v/>
      </c>
      <c r="F11113" s="102" t="str">
        <f ca="1">IFERROR(__xludf.DUMMYFUNCTION("IMPORTRANGE(H11113,""IDENTITAS UNIT!D9"")"),"#N/A")</f>
        <v>#N/A</v>
      </c>
      <c r="H11113" s="4" t="str">
        <v/>
      </c>
      <c r="I11113" s="4" t="str">
        <v/>
      </c>
    </row>
    <row r="11114" spans="5:9" ht="16.5" hidden="1">
      <c r="E11114" s="4" t="str">
        <v/>
      </c>
      <c r="F11114" s="102" t="str">
        <f ca="1">IFERROR(__xludf.DUMMYFUNCTION("IMPORTRANGE(H11114,""IDENTITAS UNIT!D9"")"),"#N/A")</f>
        <v>#N/A</v>
      </c>
      <c r="H11114" s="4" t="str">
        <v/>
      </c>
      <c r="I11114" s="4" t="str">
        <v/>
      </c>
    </row>
    <row r="11115" spans="5:9" ht="16.5" hidden="1">
      <c r="E11115" s="4" t="str">
        <v/>
      </c>
      <c r="F11115" s="102" t="str">
        <f ca="1">IFERROR(__xludf.DUMMYFUNCTION("IMPORTRANGE(H11115,""IDENTITAS UNIT!D9"")"),"#N/A")</f>
        <v>#N/A</v>
      </c>
      <c r="H11115" s="4" t="str">
        <v/>
      </c>
      <c r="I11115" s="4" t="str">
        <v/>
      </c>
    </row>
    <row r="11116" spans="5:9" ht="16.5" hidden="1">
      <c r="E11116" s="4" t="str">
        <v/>
      </c>
      <c r="F11116" s="102" t="str">
        <f ca="1">IFERROR(__xludf.DUMMYFUNCTION("IMPORTRANGE(H11116,""IDENTITAS UNIT!D9"")"),"#N/A")</f>
        <v>#N/A</v>
      </c>
      <c r="H11116" s="4" t="str">
        <v/>
      </c>
      <c r="I11116" s="4" t="str">
        <v/>
      </c>
    </row>
    <row r="11117" spans="5:9" ht="16.5" hidden="1">
      <c r="E11117" s="4" t="str">
        <v/>
      </c>
      <c r="F11117" s="102" t="str">
        <f ca="1">IFERROR(__xludf.DUMMYFUNCTION("IMPORTRANGE(H11117,""IDENTITAS UNIT!D9"")"),"#N/A")</f>
        <v>#N/A</v>
      </c>
      <c r="H11117" s="4" t="str">
        <v/>
      </c>
      <c r="I11117" s="4" t="str">
        <v/>
      </c>
    </row>
    <row r="11118" spans="5:9" ht="16.5" hidden="1">
      <c r="E11118" s="4" t="str">
        <v/>
      </c>
      <c r="F11118" s="102" t="str">
        <f ca="1">IFERROR(__xludf.DUMMYFUNCTION("IMPORTRANGE(H11118,""IDENTITAS UNIT!D9"")"),"#N/A")</f>
        <v>#N/A</v>
      </c>
      <c r="H11118" s="4" t="str">
        <v/>
      </c>
      <c r="I11118" s="4" t="str">
        <v/>
      </c>
    </row>
    <row r="11119" spans="5:9" ht="16.5" hidden="1">
      <c r="E11119" s="4" t="str">
        <v/>
      </c>
      <c r="F11119" s="102" t="str">
        <f ca="1">IFERROR(__xludf.DUMMYFUNCTION("IMPORTRANGE(H11119,""IDENTITAS UNIT!D9"")"),"#N/A")</f>
        <v>#N/A</v>
      </c>
      <c r="H11119" s="4" t="str">
        <v/>
      </c>
      <c r="I11119" s="4" t="str">
        <v/>
      </c>
    </row>
    <row r="11120" spans="5:9" ht="16.5" hidden="1">
      <c r="E11120" s="4" t="str">
        <v/>
      </c>
      <c r="F11120" s="102" t="str">
        <f ca="1">IFERROR(__xludf.DUMMYFUNCTION("IMPORTRANGE(H11120,""IDENTITAS UNIT!D9"")"),"#N/A")</f>
        <v>#N/A</v>
      </c>
      <c r="H11120" s="4" t="str">
        <v/>
      </c>
      <c r="I11120" s="4" t="str">
        <v/>
      </c>
    </row>
    <row r="11121" spans="5:9" ht="16.5" hidden="1">
      <c r="E11121" s="4" t="str">
        <v/>
      </c>
      <c r="F11121" s="102" t="str">
        <f ca="1">IFERROR(__xludf.DUMMYFUNCTION("IMPORTRANGE(H11121,""IDENTITAS UNIT!D9"")"),"#N/A")</f>
        <v>#N/A</v>
      </c>
      <c r="H11121" s="4" t="str">
        <v/>
      </c>
      <c r="I11121" s="4" t="str">
        <v/>
      </c>
    </row>
    <row r="11122" spans="5:9" ht="16.5" hidden="1">
      <c r="E11122" s="4" t="str">
        <v/>
      </c>
      <c r="F11122" s="102" t="str">
        <f ca="1">IFERROR(__xludf.DUMMYFUNCTION("IMPORTRANGE(H11122,""IDENTITAS UNIT!D9"")"),"#N/A")</f>
        <v>#N/A</v>
      </c>
      <c r="H11122" s="4" t="str">
        <v/>
      </c>
      <c r="I11122" s="4" t="str">
        <v/>
      </c>
    </row>
    <row r="11123" spans="5:9" ht="16.5" hidden="1">
      <c r="E11123" s="4" t="str">
        <v/>
      </c>
      <c r="F11123" s="102" t="str">
        <f ca="1">IFERROR(__xludf.DUMMYFUNCTION("IMPORTRANGE(H11123,""IDENTITAS UNIT!D9"")"),"#N/A")</f>
        <v>#N/A</v>
      </c>
      <c r="H11123" s="4" t="str">
        <v/>
      </c>
      <c r="I11123" s="4" t="str">
        <v/>
      </c>
    </row>
    <row r="11124" spans="5:9" ht="16.5" hidden="1">
      <c r="E11124" s="4" t="str">
        <v/>
      </c>
      <c r="F11124" s="102" t="str">
        <f ca="1">IFERROR(__xludf.DUMMYFUNCTION("IMPORTRANGE(H11124,""IDENTITAS UNIT!D9"")"),"#N/A")</f>
        <v>#N/A</v>
      </c>
      <c r="H11124" s="4" t="str">
        <v/>
      </c>
      <c r="I11124" s="4" t="str">
        <v/>
      </c>
    </row>
    <row r="11125" spans="5:9" ht="16.5" hidden="1">
      <c r="E11125" s="4" t="str">
        <v/>
      </c>
      <c r="F11125" s="102" t="str">
        <f ca="1">IFERROR(__xludf.DUMMYFUNCTION("IMPORTRANGE(H11125,""IDENTITAS UNIT!D9"")"),"#N/A")</f>
        <v>#N/A</v>
      </c>
      <c r="H11125" s="4" t="str">
        <v/>
      </c>
      <c r="I11125" s="4" t="str">
        <v/>
      </c>
    </row>
    <row r="11126" spans="5:9" ht="16.5" hidden="1">
      <c r="E11126" s="4" t="str">
        <v/>
      </c>
      <c r="F11126" s="102" t="str">
        <f ca="1">IFERROR(__xludf.DUMMYFUNCTION("IMPORTRANGE(H11126,""IDENTITAS UNIT!D9"")"),"#N/A")</f>
        <v>#N/A</v>
      </c>
      <c r="H11126" s="4" t="str">
        <v/>
      </c>
      <c r="I11126" s="4" t="str">
        <v/>
      </c>
    </row>
    <row r="11127" spans="5:9" ht="16.5" hidden="1">
      <c r="E11127" s="4" t="str">
        <v/>
      </c>
      <c r="F11127" s="102" t="str">
        <f ca="1">IFERROR(__xludf.DUMMYFUNCTION("IMPORTRANGE(H11127,""IDENTITAS UNIT!D9"")"),"#N/A")</f>
        <v>#N/A</v>
      </c>
      <c r="H11127" s="4" t="str">
        <v/>
      </c>
      <c r="I11127" s="4" t="str">
        <v/>
      </c>
    </row>
    <row r="11128" spans="5:9" ht="16.5" hidden="1">
      <c r="E11128" s="4" t="str">
        <v/>
      </c>
      <c r="F11128" s="102" t="str">
        <f ca="1">IFERROR(__xludf.DUMMYFUNCTION("IMPORTRANGE(H11128,""IDENTITAS UNIT!D9"")"),"#N/A")</f>
        <v>#N/A</v>
      </c>
      <c r="H11128" s="4" t="str">
        <v/>
      </c>
      <c r="I11128" s="4" t="str">
        <v/>
      </c>
    </row>
    <row r="11129" spans="5:9" ht="16.5" hidden="1">
      <c r="E11129" s="4" t="str">
        <v/>
      </c>
      <c r="F11129" s="102" t="str">
        <f ca="1">IFERROR(__xludf.DUMMYFUNCTION("IMPORTRANGE(H11129,""IDENTITAS UNIT!D9"")"),"#N/A")</f>
        <v>#N/A</v>
      </c>
      <c r="H11129" s="4" t="str">
        <v/>
      </c>
      <c r="I11129" s="4" t="str">
        <v/>
      </c>
    </row>
    <row r="11130" spans="5:9" ht="16.5" hidden="1">
      <c r="E11130" s="4" t="str">
        <v/>
      </c>
      <c r="F11130" s="102" t="str">
        <f ca="1">IFERROR(__xludf.DUMMYFUNCTION("IMPORTRANGE(H11130,""IDENTITAS UNIT!D9"")"),"#N/A")</f>
        <v>#N/A</v>
      </c>
      <c r="H11130" s="4" t="str">
        <v/>
      </c>
      <c r="I11130" s="4" t="str">
        <v/>
      </c>
    </row>
    <row r="11131" spans="5:9" ht="16.5" hidden="1">
      <c r="E11131" s="4" t="str">
        <v/>
      </c>
      <c r="F11131" s="102" t="str">
        <f ca="1">IFERROR(__xludf.DUMMYFUNCTION("IMPORTRANGE(H11131,""IDENTITAS UNIT!D9"")"),"#N/A")</f>
        <v>#N/A</v>
      </c>
      <c r="H11131" s="4" t="str">
        <v/>
      </c>
      <c r="I11131" s="4" t="str">
        <v/>
      </c>
    </row>
    <row r="11132" spans="5:9" ht="16.5" hidden="1">
      <c r="E11132" s="4" t="str">
        <v/>
      </c>
      <c r="F11132" s="102" t="str">
        <f ca="1">IFERROR(__xludf.DUMMYFUNCTION("IMPORTRANGE(H11132,""IDENTITAS UNIT!D9"")"),"#N/A")</f>
        <v>#N/A</v>
      </c>
      <c r="H11132" s="4" t="str">
        <v/>
      </c>
      <c r="I11132" s="4" t="str">
        <v/>
      </c>
    </row>
    <row r="11133" spans="5:9" ht="16.5" hidden="1">
      <c r="E11133" s="4" t="str">
        <v/>
      </c>
      <c r="F11133" s="102" t="str">
        <f ca="1">IFERROR(__xludf.DUMMYFUNCTION("IMPORTRANGE(H11133,""IDENTITAS UNIT!D9"")"),"#N/A")</f>
        <v>#N/A</v>
      </c>
      <c r="H11133" s="4" t="str">
        <v/>
      </c>
      <c r="I11133" s="4" t="str">
        <v/>
      </c>
    </row>
    <row r="11134" spans="5:9" ht="16.5" hidden="1">
      <c r="E11134" s="4" t="str">
        <v/>
      </c>
      <c r="F11134" s="102" t="str">
        <f ca="1">IFERROR(__xludf.DUMMYFUNCTION("IMPORTRANGE(H11134,""IDENTITAS UNIT!D9"")"),"#N/A")</f>
        <v>#N/A</v>
      </c>
      <c r="H11134" s="4" t="str">
        <v/>
      </c>
      <c r="I11134" s="4" t="str">
        <v/>
      </c>
    </row>
    <row r="11135" spans="5:9" ht="16.5" hidden="1">
      <c r="E11135" s="4" t="str">
        <v/>
      </c>
      <c r="F11135" s="102" t="str">
        <f ca="1">IFERROR(__xludf.DUMMYFUNCTION("IMPORTRANGE(H11135,""IDENTITAS UNIT!D9"")"),"#N/A")</f>
        <v>#N/A</v>
      </c>
      <c r="H11135" s="4" t="str">
        <v/>
      </c>
      <c r="I11135" s="4" t="str">
        <v/>
      </c>
    </row>
    <row r="11136" spans="5:9" ht="16.5" hidden="1">
      <c r="E11136" s="4" t="str">
        <v/>
      </c>
      <c r="F11136" s="102" t="str">
        <f ca="1">IFERROR(__xludf.DUMMYFUNCTION("IMPORTRANGE(H11136,""IDENTITAS UNIT!D9"")"),"#N/A")</f>
        <v>#N/A</v>
      </c>
      <c r="H11136" s="4" t="str">
        <v/>
      </c>
      <c r="I11136" s="4" t="str">
        <v/>
      </c>
    </row>
    <row r="11137" spans="5:9" ht="16.5" hidden="1">
      <c r="E11137" s="4" t="str">
        <v/>
      </c>
      <c r="F11137" s="102" t="str">
        <f ca="1">IFERROR(__xludf.DUMMYFUNCTION("IMPORTRANGE(H11137,""IDENTITAS UNIT!D9"")"),"#N/A")</f>
        <v>#N/A</v>
      </c>
      <c r="H11137" s="4" t="str">
        <v/>
      </c>
      <c r="I11137" s="4" t="str">
        <v/>
      </c>
    </row>
    <row r="11138" spans="5:9" ht="16.5" hidden="1">
      <c r="E11138" s="4" t="str">
        <v/>
      </c>
      <c r="F11138" s="102" t="str">
        <f ca="1">IFERROR(__xludf.DUMMYFUNCTION("IMPORTRANGE(H11138,""IDENTITAS UNIT!D9"")"),"#N/A")</f>
        <v>#N/A</v>
      </c>
      <c r="H11138" s="4" t="str">
        <v/>
      </c>
      <c r="I11138" s="4" t="str">
        <v/>
      </c>
    </row>
    <row r="11139" spans="5:9" ht="16.5" hidden="1">
      <c r="E11139" s="4" t="str">
        <v/>
      </c>
      <c r="F11139" s="102" t="str">
        <f ca="1">IFERROR(__xludf.DUMMYFUNCTION("IMPORTRANGE(H11139,""IDENTITAS UNIT!D9"")"),"#N/A")</f>
        <v>#N/A</v>
      </c>
      <c r="H11139" s="4" t="str">
        <v/>
      </c>
      <c r="I11139" s="4" t="str">
        <v/>
      </c>
    </row>
    <row r="11140" spans="5:9" ht="16.5" hidden="1">
      <c r="E11140" s="4" t="str">
        <v/>
      </c>
      <c r="F11140" s="102" t="str">
        <f ca="1">IFERROR(__xludf.DUMMYFUNCTION("IMPORTRANGE(H11140,""IDENTITAS UNIT!D9"")"),"#N/A")</f>
        <v>#N/A</v>
      </c>
      <c r="H11140" s="4" t="str">
        <v/>
      </c>
      <c r="I11140" s="4" t="str">
        <v/>
      </c>
    </row>
    <row r="11141" spans="5:9" ht="16.5" hidden="1">
      <c r="E11141" s="4" t="str">
        <v/>
      </c>
      <c r="F11141" s="102" t="str">
        <f ca="1">IFERROR(__xludf.DUMMYFUNCTION("IMPORTRANGE(H11141,""IDENTITAS UNIT!D9"")"),"#N/A")</f>
        <v>#N/A</v>
      </c>
      <c r="H11141" s="4" t="str">
        <v/>
      </c>
      <c r="I11141" s="4" t="str">
        <v/>
      </c>
    </row>
    <row r="11142" spans="5:9" ht="16.5" hidden="1">
      <c r="E11142" s="4" t="str">
        <v/>
      </c>
      <c r="F11142" s="102" t="str">
        <f ca="1">IFERROR(__xludf.DUMMYFUNCTION("IMPORTRANGE(H11142,""IDENTITAS UNIT!D9"")"),"#N/A")</f>
        <v>#N/A</v>
      </c>
      <c r="H11142" s="4" t="str">
        <v/>
      </c>
      <c r="I11142" s="4" t="str">
        <v/>
      </c>
    </row>
    <row r="11143" spans="5:9" ht="16.5" hidden="1">
      <c r="E11143" s="4" t="str">
        <v/>
      </c>
      <c r="F11143" s="102" t="str">
        <f ca="1">IFERROR(__xludf.DUMMYFUNCTION("IMPORTRANGE(H11143,""IDENTITAS UNIT!D9"")"),"#N/A")</f>
        <v>#N/A</v>
      </c>
      <c r="H11143" s="4" t="str">
        <v/>
      </c>
      <c r="I11143" s="4" t="str">
        <v/>
      </c>
    </row>
    <row r="11144" spans="5:9" ht="16.5" hidden="1">
      <c r="E11144" s="4" t="str">
        <v/>
      </c>
      <c r="F11144" s="102" t="str">
        <f ca="1">IFERROR(__xludf.DUMMYFUNCTION("IMPORTRANGE(H11144,""IDENTITAS UNIT!D9"")"),"#N/A")</f>
        <v>#N/A</v>
      </c>
      <c r="H11144" s="4" t="str">
        <v/>
      </c>
      <c r="I11144" s="4" t="str">
        <v/>
      </c>
    </row>
    <row r="11145" spans="5:9" ht="16.5" hidden="1">
      <c r="E11145" s="4" t="str">
        <v/>
      </c>
      <c r="F11145" s="102" t="str">
        <f ca="1">IFERROR(__xludf.DUMMYFUNCTION("IMPORTRANGE(H11145,""IDENTITAS UNIT!D9"")"),"#N/A")</f>
        <v>#N/A</v>
      </c>
      <c r="H11145" s="4" t="str">
        <v/>
      </c>
      <c r="I11145" s="4" t="str">
        <v/>
      </c>
    </row>
    <row r="11146" spans="5:9" ht="16.5" hidden="1">
      <c r="E11146" s="4" t="str">
        <v/>
      </c>
      <c r="F11146" s="102" t="str">
        <f ca="1">IFERROR(__xludf.DUMMYFUNCTION("IMPORTRANGE(H11146,""IDENTITAS UNIT!D9"")"),"#N/A")</f>
        <v>#N/A</v>
      </c>
      <c r="H11146" s="4" t="str">
        <v/>
      </c>
      <c r="I11146" s="4" t="str">
        <v/>
      </c>
    </row>
    <row r="11147" spans="5:9" ht="16.5" hidden="1">
      <c r="E11147" s="4" t="str">
        <v/>
      </c>
      <c r="F11147" s="102" t="str">
        <f ca="1">IFERROR(__xludf.DUMMYFUNCTION("IMPORTRANGE(H11147,""IDENTITAS UNIT!D9"")"),"#N/A")</f>
        <v>#N/A</v>
      </c>
      <c r="H11147" s="4" t="str">
        <v/>
      </c>
      <c r="I11147" s="4" t="str">
        <v/>
      </c>
    </row>
    <row r="11148" spans="5:9" ht="16.5" hidden="1">
      <c r="E11148" s="4" t="str">
        <v/>
      </c>
      <c r="F11148" s="102" t="str">
        <f ca="1">IFERROR(__xludf.DUMMYFUNCTION("IMPORTRANGE(H11148,""IDENTITAS UNIT!D9"")"),"#N/A")</f>
        <v>#N/A</v>
      </c>
      <c r="H11148" s="4" t="str">
        <v/>
      </c>
      <c r="I11148" s="4" t="str">
        <v/>
      </c>
    </row>
    <row r="11149" spans="5:9" ht="16.5" hidden="1">
      <c r="E11149" s="4" t="str">
        <v/>
      </c>
      <c r="F11149" s="102" t="str">
        <f ca="1">IFERROR(__xludf.DUMMYFUNCTION("IMPORTRANGE(H11149,""IDENTITAS UNIT!D9"")"),"#N/A")</f>
        <v>#N/A</v>
      </c>
      <c r="H11149" s="4" t="str">
        <v/>
      </c>
      <c r="I11149" s="4" t="str">
        <v/>
      </c>
    </row>
    <row r="11150" spans="5:9" ht="16.5" hidden="1">
      <c r="E11150" s="4" t="str">
        <v/>
      </c>
      <c r="F11150" s="102" t="str">
        <f ca="1">IFERROR(__xludf.DUMMYFUNCTION("IMPORTRANGE(H11150,""IDENTITAS UNIT!D9"")"),"#N/A")</f>
        <v>#N/A</v>
      </c>
      <c r="H11150" s="4" t="str">
        <v/>
      </c>
      <c r="I11150" s="4" t="str">
        <v/>
      </c>
    </row>
    <row r="11151" spans="5:9" ht="16.5" hidden="1">
      <c r="E11151" s="4" t="str">
        <v/>
      </c>
      <c r="F11151" s="102" t="str">
        <f ca="1">IFERROR(__xludf.DUMMYFUNCTION("IMPORTRANGE(H11151,""IDENTITAS UNIT!D9"")"),"#N/A")</f>
        <v>#N/A</v>
      </c>
      <c r="H11151" s="4" t="str">
        <v/>
      </c>
      <c r="I11151" s="4" t="str">
        <v/>
      </c>
    </row>
    <row r="11152" spans="5:9" ht="16.5" hidden="1">
      <c r="E11152" s="4" t="str">
        <v/>
      </c>
      <c r="F11152" s="102" t="str">
        <f ca="1">IFERROR(__xludf.DUMMYFUNCTION("IMPORTRANGE(H11152,""IDENTITAS UNIT!D9"")"),"#N/A")</f>
        <v>#N/A</v>
      </c>
      <c r="H11152" s="4" t="str">
        <v/>
      </c>
      <c r="I11152" s="4" t="str">
        <v/>
      </c>
    </row>
    <row r="11153" spans="5:9" ht="16.5" hidden="1">
      <c r="E11153" s="4" t="str">
        <v/>
      </c>
      <c r="F11153" s="102" t="str">
        <f ca="1">IFERROR(__xludf.DUMMYFUNCTION("IMPORTRANGE(H11153,""IDENTITAS UNIT!D9"")"),"#N/A")</f>
        <v>#N/A</v>
      </c>
      <c r="H11153" s="4" t="str">
        <v/>
      </c>
      <c r="I11153" s="4" t="str">
        <v/>
      </c>
    </row>
    <row r="11154" spans="5:9" ht="16.5" hidden="1">
      <c r="E11154" s="4" t="str">
        <v/>
      </c>
      <c r="F11154" s="102" t="str">
        <f ca="1">IFERROR(__xludf.DUMMYFUNCTION("IMPORTRANGE(H11154,""IDENTITAS UNIT!D9"")"),"#N/A")</f>
        <v>#N/A</v>
      </c>
      <c r="H11154" s="4" t="str">
        <v/>
      </c>
      <c r="I11154" s="4" t="str">
        <v/>
      </c>
    </row>
    <row r="11155" spans="5:9" ht="16.5" hidden="1">
      <c r="E11155" s="4" t="str">
        <v/>
      </c>
      <c r="F11155" s="102" t="str">
        <f ca="1">IFERROR(__xludf.DUMMYFUNCTION("IMPORTRANGE(H11155,""IDENTITAS UNIT!D9"")"),"#N/A")</f>
        <v>#N/A</v>
      </c>
      <c r="H11155" s="4" t="str">
        <v/>
      </c>
      <c r="I11155" s="4" t="str">
        <v/>
      </c>
    </row>
    <row r="11156" spans="5:9" ht="16.5" hidden="1">
      <c r="E11156" s="4" t="str">
        <v/>
      </c>
      <c r="F11156" s="102" t="str">
        <f ca="1">IFERROR(__xludf.DUMMYFUNCTION("IMPORTRANGE(H11156,""IDENTITAS UNIT!D9"")"),"#N/A")</f>
        <v>#N/A</v>
      </c>
      <c r="H11156" s="4" t="str">
        <v/>
      </c>
      <c r="I11156" s="4" t="str">
        <v/>
      </c>
    </row>
    <row r="11157" spans="5:9" ht="16.5" hidden="1">
      <c r="E11157" s="4" t="str">
        <v/>
      </c>
      <c r="F11157" s="102" t="str">
        <f ca="1">IFERROR(__xludf.DUMMYFUNCTION("IMPORTRANGE(H11157,""IDENTITAS UNIT!D9"")"),"#N/A")</f>
        <v>#N/A</v>
      </c>
      <c r="H11157" s="4" t="str">
        <v/>
      </c>
      <c r="I11157" s="4" t="str">
        <v/>
      </c>
    </row>
    <row r="11158" spans="5:9" ht="16.5" hidden="1">
      <c r="E11158" s="4" t="str">
        <v/>
      </c>
      <c r="F11158" s="102" t="str">
        <f ca="1">IFERROR(__xludf.DUMMYFUNCTION("IMPORTRANGE(H11158,""IDENTITAS UNIT!D9"")"),"#N/A")</f>
        <v>#N/A</v>
      </c>
      <c r="H11158" s="4" t="str">
        <v/>
      </c>
      <c r="I11158" s="4" t="str">
        <v/>
      </c>
    </row>
    <row r="11159" spans="5:9" ht="16.5" hidden="1">
      <c r="E11159" s="4" t="str">
        <v/>
      </c>
      <c r="F11159" s="102" t="str">
        <f ca="1">IFERROR(__xludf.DUMMYFUNCTION("IMPORTRANGE(H11159,""IDENTITAS UNIT!D9"")"),"#N/A")</f>
        <v>#N/A</v>
      </c>
      <c r="H11159" s="4" t="str">
        <v/>
      </c>
      <c r="I11159" s="4" t="str">
        <v/>
      </c>
    </row>
    <row r="11160" spans="5:9" ht="16.5" hidden="1">
      <c r="E11160" s="4" t="str">
        <v/>
      </c>
      <c r="F11160" s="102" t="str">
        <f ca="1">IFERROR(__xludf.DUMMYFUNCTION("IMPORTRANGE(H11160,""IDENTITAS UNIT!D9"")"),"#N/A")</f>
        <v>#N/A</v>
      </c>
      <c r="H11160" s="4" t="str">
        <v/>
      </c>
      <c r="I11160" s="4" t="str">
        <v/>
      </c>
    </row>
    <row r="11161" spans="5:9" ht="16.5" hidden="1">
      <c r="E11161" s="4" t="str">
        <v/>
      </c>
      <c r="F11161" s="102" t="str">
        <f ca="1">IFERROR(__xludf.DUMMYFUNCTION("IMPORTRANGE(H11161,""IDENTITAS UNIT!D9"")"),"#N/A")</f>
        <v>#N/A</v>
      </c>
      <c r="H11161" s="4" t="str">
        <v/>
      </c>
      <c r="I11161" s="4" t="str">
        <v/>
      </c>
    </row>
    <row r="11162" spans="5:9" ht="16.5" hidden="1">
      <c r="E11162" s="4" t="str">
        <v/>
      </c>
      <c r="F11162" s="102" t="str">
        <f ca="1">IFERROR(__xludf.DUMMYFUNCTION("IMPORTRANGE(H11162,""IDENTITAS UNIT!D9"")"),"#N/A")</f>
        <v>#N/A</v>
      </c>
      <c r="H11162" s="4" t="str">
        <v/>
      </c>
      <c r="I11162" s="4" t="str">
        <v/>
      </c>
    </row>
    <row r="11163" spans="5:9" ht="16.5" hidden="1">
      <c r="E11163" s="4" t="str">
        <v/>
      </c>
      <c r="F11163" s="102" t="str">
        <f ca="1">IFERROR(__xludf.DUMMYFUNCTION("IMPORTRANGE(H11163,""IDENTITAS UNIT!D9"")"),"#N/A")</f>
        <v>#N/A</v>
      </c>
      <c r="H11163" s="4" t="str">
        <v/>
      </c>
      <c r="I11163" s="4" t="str">
        <v/>
      </c>
    </row>
    <row r="11164" spans="5:9" ht="16.5" hidden="1">
      <c r="E11164" s="4" t="str">
        <v/>
      </c>
      <c r="F11164" s="102" t="str">
        <f ca="1">IFERROR(__xludf.DUMMYFUNCTION("IMPORTRANGE(H11164,""IDENTITAS UNIT!D9"")"),"#N/A")</f>
        <v>#N/A</v>
      </c>
      <c r="H11164" s="4" t="str">
        <v/>
      </c>
      <c r="I11164" s="4" t="str">
        <v/>
      </c>
    </row>
    <row r="11165" spans="5:9" ht="16.5" hidden="1">
      <c r="E11165" s="4" t="str">
        <v/>
      </c>
      <c r="F11165" s="102" t="str">
        <f ca="1">IFERROR(__xludf.DUMMYFUNCTION("IMPORTRANGE(H11165,""IDENTITAS UNIT!D9"")"),"#N/A")</f>
        <v>#N/A</v>
      </c>
      <c r="H11165" s="4" t="str">
        <v/>
      </c>
      <c r="I11165" s="4" t="str">
        <v/>
      </c>
    </row>
    <row r="11166" spans="5:9" ht="16.5" hidden="1">
      <c r="E11166" s="4" t="str">
        <v/>
      </c>
      <c r="F11166" s="102" t="str">
        <f ca="1">IFERROR(__xludf.DUMMYFUNCTION("IMPORTRANGE(H11166,""IDENTITAS UNIT!D9"")"),"#N/A")</f>
        <v>#N/A</v>
      </c>
      <c r="H11166" s="4" t="str">
        <v/>
      </c>
      <c r="I11166" s="4" t="str">
        <v/>
      </c>
    </row>
    <row r="11167" spans="5:9" ht="16.5" hidden="1">
      <c r="E11167" s="4" t="str">
        <v/>
      </c>
      <c r="F11167" s="102" t="str">
        <f ca="1">IFERROR(__xludf.DUMMYFUNCTION("IMPORTRANGE(H11167,""IDENTITAS UNIT!D9"")"),"#N/A")</f>
        <v>#N/A</v>
      </c>
      <c r="H11167" s="4" t="str">
        <v/>
      </c>
      <c r="I11167" s="4" t="str">
        <v/>
      </c>
    </row>
    <row r="11168" spans="5:9" ht="16.5" hidden="1">
      <c r="E11168" s="4" t="str">
        <v/>
      </c>
      <c r="F11168" s="102" t="str">
        <f ca="1">IFERROR(__xludf.DUMMYFUNCTION("IMPORTRANGE(H11168,""IDENTITAS UNIT!D9"")"),"#N/A")</f>
        <v>#N/A</v>
      </c>
      <c r="H11168" s="4" t="str">
        <v/>
      </c>
      <c r="I11168" s="4" t="str">
        <v/>
      </c>
    </row>
    <row r="11169" spans="5:9" ht="16.5" hidden="1">
      <c r="E11169" s="4" t="str">
        <v/>
      </c>
      <c r="F11169" s="102" t="str">
        <f ca="1">IFERROR(__xludf.DUMMYFUNCTION("IMPORTRANGE(H11169,""IDENTITAS UNIT!D9"")"),"#N/A")</f>
        <v>#N/A</v>
      </c>
      <c r="H11169" s="4" t="str">
        <v/>
      </c>
      <c r="I11169" s="4" t="str">
        <v/>
      </c>
    </row>
    <row r="11170" spans="5:9" ht="16.5" hidden="1">
      <c r="E11170" s="4" t="str">
        <v/>
      </c>
      <c r="F11170" s="102" t="str">
        <f ca="1">IFERROR(__xludf.DUMMYFUNCTION("IMPORTRANGE(H11170,""IDENTITAS UNIT!D9"")"),"#N/A")</f>
        <v>#N/A</v>
      </c>
      <c r="H11170" s="4" t="str">
        <v/>
      </c>
      <c r="I11170" s="4" t="str">
        <v/>
      </c>
    </row>
    <row r="11171" spans="5:9" ht="16.5" hidden="1">
      <c r="E11171" s="4" t="str">
        <v/>
      </c>
      <c r="F11171" s="102" t="str">
        <f ca="1">IFERROR(__xludf.DUMMYFUNCTION("IMPORTRANGE(H11171,""IDENTITAS UNIT!D9"")"),"#N/A")</f>
        <v>#N/A</v>
      </c>
      <c r="H11171" s="4" t="str">
        <v/>
      </c>
      <c r="I11171" s="4" t="str">
        <v/>
      </c>
    </row>
    <row r="11172" spans="5:9" ht="16.5" hidden="1">
      <c r="E11172" s="4" t="str">
        <v/>
      </c>
      <c r="F11172" s="102" t="str">
        <f ca="1">IFERROR(__xludf.DUMMYFUNCTION("IMPORTRANGE(H11172,""IDENTITAS UNIT!D9"")"),"#N/A")</f>
        <v>#N/A</v>
      </c>
      <c r="H11172" s="4" t="str">
        <v/>
      </c>
      <c r="I11172" s="4" t="str">
        <v/>
      </c>
    </row>
    <row r="11173" spans="5:9" ht="16.5" hidden="1">
      <c r="E11173" s="4" t="str">
        <v/>
      </c>
      <c r="F11173" s="102" t="str">
        <f ca="1">IFERROR(__xludf.DUMMYFUNCTION("IMPORTRANGE(H11173,""IDENTITAS UNIT!D9"")"),"#N/A")</f>
        <v>#N/A</v>
      </c>
      <c r="H11173" s="4" t="str">
        <v/>
      </c>
      <c r="I11173" s="4" t="str">
        <v/>
      </c>
    </row>
    <row r="11174" spans="5:9" ht="16.5" hidden="1">
      <c r="E11174" s="4" t="str">
        <v/>
      </c>
      <c r="F11174" s="102" t="str">
        <f ca="1">IFERROR(__xludf.DUMMYFUNCTION("IMPORTRANGE(H11174,""IDENTITAS UNIT!D9"")"),"#N/A")</f>
        <v>#N/A</v>
      </c>
      <c r="H11174" s="4" t="str">
        <v/>
      </c>
      <c r="I11174" s="4" t="str">
        <v/>
      </c>
    </row>
    <row r="11175" spans="5:9" ht="16.5" hidden="1">
      <c r="E11175" s="4" t="str">
        <v/>
      </c>
      <c r="F11175" s="102" t="str">
        <f ca="1">IFERROR(__xludf.DUMMYFUNCTION("IMPORTRANGE(H11175,""IDENTITAS UNIT!D9"")"),"#N/A")</f>
        <v>#N/A</v>
      </c>
      <c r="H11175" s="4" t="str">
        <v/>
      </c>
      <c r="I11175" s="4" t="str">
        <v/>
      </c>
    </row>
    <row r="11176" spans="5:9" ht="16.5" hidden="1">
      <c r="E11176" s="4" t="str">
        <v/>
      </c>
      <c r="F11176" s="102" t="str">
        <f ca="1">IFERROR(__xludf.DUMMYFUNCTION("IMPORTRANGE(H11176,""IDENTITAS UNIT!D9"")"),"#N/A")</f>
        <v>#N/A</v>
      </c>
      <c r="H11176" s="4" t="str">
        <v/>
      </c>
      <c r="I11176" s="4" t="str">
        <v/>
      </c>
    </row>
    <row r="11177" spans="5:9" ht="16.5" hidden="1">
      <c r="E11177" s="4" t="str">
        <v/>
      </c>
      <c r="F11177" s="102" t="str">
        <f ca="1">IFERROR(__xludf.DUMMYFUNCTION("IMPORTRANGE(H11177,""IDENTITAS UNIT!D9"")"),"#N/A")</f>
        <v>#N/A</v>
      </c>
      <c r="H11177" s="4" t="str">
        <v/>
      </c>
      <c r="I11177" s="4" t="str">
        <v/>
      </c>
    </row>
    <row r="11178" spans="5:9" ht="16.5" hidden="1">
      <c r="E11178" s="4" t="str">
        <v/>
      </c>
      <c r="F11178" s="102" t="str">
        <f ca="1">IFERROR(__xludf.DUMMYFUNCTION("IMPORTRANGE(H11178,""IDENTITAS UNIT!D9"")"),"#N/A")</f>
        <v>#N/A</v>
      </c>
      <c r="H11178" s="4" t="str">
        <v/>
      </c>
      <c r="I11178" s="4" t="str">
        <v/>
      </c>
    </row>
    <row r="11179" spans="5:9" ht="16.5" hidden="1">
      <c r="E11179" s="4" t="str">
        <v/>
      </c>
      <c r="F11179" s="102" t="str">
        <f ca="1">IFERROR(__xludf.DUMMYFUNCTION("IMPORTRANGE(H11179,""IDENTITAS UNIT!D9"")"),"#N/A")</f>
        <v>#N/A</v>
      </c>
      <c r="H11179" s="4" t="str">
        <v/>
      </c>
      <c r="I11179" s="4" t="str">
        <v/>
      </c>
    </row>
    <row r="11180" spans="5:9" ht="16.5" hidden="1">
      <c r="E11180" s="4" t="str">
        <v/>
      </c>
      <c r="F11180" s="102" t="str">
        <f ca="1">IFERROR(__xludf.DUMMYFUNCTION("IMPORTRANGE(H11180,""IDENTITAS UNIT!D9"")"),"#N/A")</f>
        <v>#N/A</v>
      </c>
      <c r="H11180" s="4" t="str">
        <v/>
      </c>
      <c r="I11180" s="4" t="str">
        <v/>
      </c>
    </row>
    <row r="11181" spans="5:9" ht="16.5" hidden="1">
      <c r="E11181" s="4" t="str">
        <v/>
      </c>
      <c r="F11181" s="102" t="str">
        <f ca="1">IFERROR(__xludf.DUMMYFUNCTION("IMPORTRANGE(H11181,""IDENTITAS UNIT!D9"")"),"#N/A")</f>
        <v>#N/A</v>
      </c>
      <c r="H11181" s="4" t="str">
        <v/>
      </c>
      <c r="I11181" s="4" t="str">
        <v/>
      </c>
    </row>
    <row r="11182" spans="5:9" ht="16.5" hidden="1">
      <c r="E11182" s="4" t="str">
        <v/>
      </c>
      <c r="F11182" s="102" t="str">
        <f ca="1">IFERROR(__xludf.DUMMYFUNCTION("IMPORTRANGE(H11182,""IDENTITAS UNIT!D9"")"),"#N/A")</f>
        <v>#N/A</v>
      </c>
      <c r="H11182" s="4" t="str">
        <v/>
      </c>
      <c r="I11182" s="4" t="str">
        <v/>
      </c>
    </row>
    <row r="11183" spans="5:9" ht="16.5" hidden="1">
      <c r="E11183" s="4" t="str">
        <v/>
      </c>
      <c r="F11183" s="102" t="str">
        <f ca="1">IFERROR(__xludf.DUMMYFUNCTION("IMPORTRANGE(H11183,""IDENTITAS UNIT!D9"")"),"#N/A")</f>
        <v>#N/A</v>
      </c>
      <c r="H11183" s="4" t="str">
        <v/>
      </c>
      <c r="I11183" s="4" t="str">
        <v/>
      </c>
    </row>
    <row r="11184" spans="5:9" ht="16.5" hidden="1">
      <c r="E11184" s="4" t="str">
        <v/>
      </c>
      <c r="F11184" s="102" t="str">
        <f ca="1">IFERROR(__xludf.DUMMYFUNCTION("IMPORTRANGE(H11184,""IDENTITAS UNIT!D9"")"),"#N/A")</f>
        <v>#N/A</v>
      </c>
      <c r="H11184" s="4" t="str">
        <v/>
      </c>
      <c r="I11184" s="4" t="str">
        <v/>
      </c>
    </row>
    <row r="11185" spans="5:9" ht="16.5" hidden="1">
      <c r="E11185" s="4" t="str">
        <v/>
      </c>
      <c r="F11185" s="102" t="str">
        <f ca="1">IFERROR(__xludf.DUMMYFUNCTION("IMPORTRANGE(H11185,""IDENTITAS UNIT!D9"")"),"#N/A")</f>
        <v>#N/A</v>
      </c>
      <c r="H11185" s="4" t="str">
        <v/>
      </c>
      <c r="I11185" s="4" t="str">
        <v/>
      </c>
    </row>
    <row r="11186" spans="5:9" ht="16.5" hidden="1">
      <c r="E11186" s="4" t="str">
        <v/>
      </c>
      <c r="F11186" s="102" t="str">
        <f ca="1">IFERROR(__xludf.DUMMYFUNCTION("IMPORTRANGE(H11186,""IDENTITAS UNIT!D9"")"),"#N/A")</f>
        <v>#N/A</v>
      </c>
      <c r="H11186" s="4" t="str">
        <v/>
      </c>
      <c r="I11186" s="4" t="str">
        <v/>
      </c>
    </row>
    <row r="11187" spans="5:9" ht="16.5" hidden="1">
      <c r="E11187" s="4" t="str">
        <v/>
      </c>
      <c r="F11187" s="102" t="str">
        <f ca="1">IFERROR(__xludf.DUMMYFUNCTION("IMPORTRANGE(H11187,""IDENTITAS UNIT!D9"")"),"#N/A")</f>
        <v>#N/A</v>
      </c>
      <c r="H11187" s="4" t="str">
        <v/>
      </c>
      <c r="I11187" s="4" t="str">
        <v/>
      </c>
    </row>
    <row r="11188" spans="5:9" ht="16.5" hidden="1">
      <c r="E11188" s="4" t="str">
        <v/>
      </c>
      <c r="F11188" s="102" t="str">
        <f ca="1">IFERROR(__xludf.DUMMYFUNCTION("IMPORTRANGE(H11188,""IDENTITAS UNIT!D9"")"),"#N/A")</f>
        <v>#N/A</v>
      </c>
      <c r="H11188" s="4" t="str">
        <v/>
      </c>
      <c r="I11188" s="4" t="str">
        <v/>
      </c>
    </row>
    <row r="11189" spans="5:9" ht="16.5" hidden="1">
      <c r="E11189" s="4" t="str">
        <v/>
      </c>
      <c r="F11189" s="102" t="str">
        <f ca="1">IFERROR(__xludf.DUMMYFUNCTION("IMPORTRANGE(H11189,""IDENTITAS UNIT!D9"")"),"#N/A")</f>
        <v>#N/A</v>
      </c>
      <c r="H11189" s="4" t="str">
        <v/>
      </c>
      <c r="I11189" s="4" t="str">
        <v/>
      </c>
    </row>
    <row r="11190" spans="5:9" ht="16.5" hidden="1">
      <c r="E11190" s="4" t="str">
        <v/>
      </c>
      <c r="F11190" s="102" t="str">
        <f ca="1">IFERROR(__xludf.DUMMYFUNCTION("IMPORTRANGE(H11190,""IDENTITAS UNIT!D9"")"),"#N/A")</f>
        <v>#N/A</v>
      </c>
      <c r="H11190" s="4" t="str">
        <v/>
      </c>
      <c r="I11190" s="4" t="str">
        <v/>
      </c>
    </row>
    <row r="11191" spans="5:9" ht="16.5" hidden="1">
      <c r="E11191" s="4" t="str">
        <v/>
      </c>
      <c r="F11191" s="102" t="str">
        <f ca="1">IFERROR(__xludf.DUMMYFUNCTION("IMPORTRANGE(H11191,""IDENTITAS UNIT!D9"")"),"#N/A")</f>
        <v>#N/A</v>
      </c>
      <c r="H11191" s="4" t="str">
        <v/>
      </c>
      <c r="I11191" s="4" t="str">
        <v/>
      </c>
    </row>
    <row r="11192" spans="5:9" ht="16.5" hidden="1">
      <c r="E11192" s="4" t="str">
        <v/>
      </c>
      <c r="F11192" s="102" t="str">
        <f ca="1">IFERROR(__xludf.DUMMYFUNCTION("IMPORTRANGE(H11192,""IDENTITAS UNIT!D9"")"),"#N/A")</f>
        <v>#N/A</v>
      </c>
      <c r="H11192" s="4" t="str">
        <v/>
      </c>
      <c r="I11192" s="4" t="str">
        <v/>
      </c>
    </row>
    <row r="11193" spans="5:9" ht="16.5" hidden="1">
      <c r="E11193" s="4" t="str">
        <v/>
      </c>
      <c r="F11193" s="102" t="str">
        <f ca="1">IFERROR(__xludf.DUMMYFUNCTION("IMPORTRANGE(H11193,""IDENTITAS UNIT!D9"")"),"#N/A")</f>
        <v>#N/A</v>
      </c>
      <c r="H11193" s="4" t="str">
        <v/>
      </c>
      <c r="I11193" s="4" t="str">
        <v/>
      </c>
    </row>
    <row r="11194" spans="5:9" ht="16.5" hidden="1">
      <c r="E11194" s="4" t="str">
        <v/>
      </c>
      <c r="F11194" s="102" t="str">
        <f ca="1">IFERROR(__xludf.DUMMYFUNCTION("IMPORTRANGE(H11194,""IDENTITAS UNIT!D9"")"),"#N/A")</f>
        <v>#N/A</v>
      </c>
      <c r="H11194" s="4" t="str">
        <v/>
      </c>
      <c r="I11194" s="4" t="str">
        <v/>
      </c>
    </row>
    <row r="11195" spans="5:9" ht="16.5" hidden="1">
      <c r="E11195" s="4" t="str">
        <v/>
      </c>
      <c r="F11195" s="102" t="str">
        <f ca="1">IFERROR(__xludf.DUMMYFUNCTION("IMPORTRANGE(H11195,""IDENTITAS UNIT!D9"")"),"#N/A")</f>
        <v>#N/A</v>
      </c>
      <c r="H11195" s="4" t="str">
        <v/>
      </c>
      <c r="I11195" s="4" t="str">
        <v/>
      </c>
    </row>
    <row r="11196" spans="5:9" ht="16.5" hidden="1">
      <c r="E11196" s="4" t="str">
        <v/>
      </c>
      <c r="F11196" s="102" t="str">
        <f ca="1">IFERROR(__xludf.DUMMYFUNCTION("IMPORTRANGE(H11196,""IDENTITAS UNIT!D9"")"),"#N/A")</f>
        <v>#N/A</v>
      </c>
      <c r="H11196" s="4" t="str">
        <v/>
      </c>
      <c r="I11196" s="4" t="str">
        <v/>
      </c>
    </row>
    <row r="11197" spans="5:9" ht="16.5" hidden="1">
      <c r="E11197" s="4" t="str">
        <v/>
      </c>
      <c r="F11197" s="102" t="str">
        <f ca="1">IFERROR(__xludf.DUMMYFUNCTION("IMPORTRANGE(H11197,""IDENTITAS UNIT!D9"")"),"#N/A")</f>
        <v>#N/A</v>
      </c>
      <c r="H11197" s="4" t="str">
        <v/>
      </c>
      <c r="I11197" s="4" t="str">
        <v/>
      </c>
    </row>
    <row r="11198" spans="5:9" ht="16.5" hidden="1">
      <c r="E11198" s="4" t="str">
        <v/>
      </c>
      <c r="F11198" s="102" t="str">
        <f ca="1">IFERROR(__xludf.DUMMYFUNCTION("IMPORTRANGE(H11198,""IDENTITAS UNIT!D9"")"),"#N/A")</f>
        <v>#N/A</v>
      </c>
      <c r="H11198" s="4" t="str">
        <v/>
      </c>
      <c r="I11198" s="4" t="str">
        <v/>
      </c>
    </row>
    <row r="11199" spans="5:9" ht="16.5" hidden="1">
      <c r="E11199" s="4" t="str">
        <v/>
      </c>
      <c r="F11199" s="102" t="str">
        <f ca="1">IFERROR(__xludf.DUMMYFUNCTION("IMPORTRANGE(H11199,""IDENTITAS UNIT!D9"")"),"#N/A")</f>
        <v>#N/A</v>
      </c>
      <c r="H11199" s="4" t="str">
        <v/>
      </c>
      <c r="I11199" s="4" t="str">
        <v/>
      </c>
    </row>
    <row r="11200" spans="5:9" ht="16.5" hidden="1">
      <c r="E11200" s="4" t="str">
        <v/>
      </c>
      <c r="F11200" s="102" t="str">
        <f ca="1">IFERROR(__xludf.DUMMYFUNCTION("IMPORTRANGE(H11200,""IDENTITAS UNIT!D9"")"),"#N/A")</f>
        <v>#N/A</v>
      </c>
      <c r="H11200" s="4" t="str">
        <v/>
      </c>
      <c r="I11200" s="4" t="str">
        <v/>
      </c>
    </row>
    <row r="11201" spans="5:9" ht="16.5" hidden="1">
      <c r="E11201" s="4" t="str">
        <v/>
      </c>
      <c r="F11201" s="102" t="str">
        <f ca="1">IFERROR(__xludf.DUMMYFUNCTION("IMPORTRANGE(H11201,""IDENTITAS UNIT!D9"")"),"#N/A")</f>
        <v>#N/A</v>
      </c>
      <c r="H11201" s="4" t="str">
        <v/>
      </c>
      <c r="I11201" s="4" t="str">
        <v/>
      </c>
    </row>
    <row r="11202" spans="5:9" ht="16.5" hidden="1">
      <c r="E11202" s="4" t="str">
        <v/>
      </c>
      <c r="F11202" s="102" t="str">
        <f ca="1">IFERROR(__xludf.DUMMYFUNCTION("IMPORTRANGE(H11202,""IDENTITAS UNIT!D9"")"),"#N/A")</f>
        <v>#N/A</v>
      </c>
      <c r="H11202" s="4" t="str">
        <v/>
      </c>
      <c r="I11202" s="4" t="str">
        <v/>
      </c>
    </row>
    <row r="11203" spans="5:9" ht="16.5" hidden="1">
      <c r="E11203" s="4" t="str">
        <v/>
      </c>
      <c r="F11203" s="102" t="str">
        <f ca="1">IFERROR(__xludf.DUMMYFUNCTION("IMPORTRANGE(H11203,""IDENTITAS UNIT!D9"")"),"#N/A")</f>
        <v>#N/A</v>
      </c>
      <c r="H11203" s="4" t="str">
        <v/>
      </c>
      <c r="I11203" s="4" t="str">
        <v/>
      </c>
    </row>
    <row r="11204" spans="5:9" ht="16.5" hidden="1">
      <c r="E11204" s="4" t="str">
        <v/>
      </c>
      <c r="F11204" s="102" t="str">
        <f ca="1">IFERROR(__xludf.DUMMYFUNCTION("IMPORTRANGE(H11204,""IDENTITAS UNIT!D9"")"),"#N/A")</f>
        <v>#N/A</v>
      </c>
      <c r="H11204" s="4" t="str">
        <v/>
      </c>
      <c r="I11204" s="4" t="str">
        <v/>
      </c>
    </row>
    <row r="11205" spans="5:9" ht="16.5" hidden="1">
      <c r="E11205" s="4" t="str">
        <v/>
      </c>
      <c r="F11205" s="102" t="str">
        <f ca="1">IFERROR(__xludf.DUMMYFUNCTION("IMPORTRANGE(H11205,""IDENTITAS UNIT!D9"")"),"#N/A")</f>
        <v>#N/A</v>
      </c>
      <c r="H11205" s="4" t="str">
        <v/>
      </c>
      <c r="I11205" s="4" t="str">
        <v/>
      </c>
    </row>
    <row r="11206" spans="5:9" ht="16.5" hidden="1">
      <c r="E11206" s="4" t="str">
        <v/>
      </c>
      <c r="F11206" s="102" t="str">
        <f ca="1">IFERROR(__xludf.DUMMYFUNCTION("IMPORTRANGE(H11206,""IDENTITAS UNIT!D9"")"),"#N/A")</f>
        <v>#N/A</v>
      </c>
      <c r="H11206" s="4" t="str">
        <v/>
      </c>
      <c r="I11206" s="4" t="str">
        <v/>
      </c>
    </row>
    <row r="11207" spans="5:9" ht="16.5" hidden="1">
      <c r="E11207" s="4" t="str">
        <v/>
      </c>
      <c r="F11207" s="102" t="str">
        <f ca="1">IFERROR(__xludf.DUMMYFUNCTION("IMPORTRANGE(H11207,""IDENTITAS UNIT!D9"")"),"#N/A")</f>
        <v>#N/A</v>
      </c>
      <c r="H11207" s="4" t="str">
        <v/>
      </c>
      <c r="I11207" s="4" t="str">
        <v/>
      </c>
    </row>
    <row r="11208" spans="5:9" ht="16.5" hidden="1">
      <c r="E11208" s="4" t="str">
        <v/>
      </c>
      <c r="F11208" s="102" t="str">
        <f ca="1">IFERROR(__xludf.DUMMYFUNCTION("IMPORTRANGE(H11208,""IDENTITAS UNIT!D9"")"),"#N/A")</f>
        <v>#N/A</v>
      </c>
      <c r="H11208" s="4" t="str">
        <v/>
      </c>
      <c r="I11208" s="4" t="str">
        <v/>
      </c>
    </row>
    <row r="11209" spans="5:9" ht="16.5" hidden="1">
      <c r="E11209" s="4" t="str">
        <v/>
      </c>
      <c r="F11209" s="102" t="str">
        <f ca="1">IFERROR(__xludf.DUMMYFUNCTION("IMPORTRANGE(H11209,""IDENTITAS UNIT!D9"")"),"#N/A")</f>
        <v>#N/A</v>
      </c>
      <c r="H11209" s="4" t="str">
        <v/>
      </c>
      <c r="I11209" s="4" t="str">
        <v/>
      </c>
    </row>
    <row r="11210" spans="5:9" ht="16.5" hidden="1">
      <c r="E11210" s="4" t="str">
        <v/>
      </c>
      <c r="F11210" s="102" t="str">
        <f ca="1">IFERROR(__xludf.DUMMYFUNCTION("IMPORTRANGE(H11210,""IDENTITAS UNIT!D9"")"),"#N/A")</f>
        <v>#N/A</v>
      </c>
      <c r="H11210" s="4" t="str">
        <v/>
      </c>
      <c r="I11210" s="4" t="str">
        <v/>
      </c>
    </row>
    <row r="11211" spans="5:9" ht="16.5" hidden="1">
      <c r="E11211" s="4" t="str">
        <v/>
      </c>
      <c r="F11211" s="102" t="str">
        <f ca="1">IFERROR(__xludf.DUMMYFUNCTION("IMPORTRANGE(H11211,""IDENTITAS UNIT!D9"")"),"#N/A")</f>
        <v>#N/A</v>
      </c>
      <c r="H11211" s="4" t="str">
        <v/>
      </c>
      <c r="I11211" s="4" t="str">
        <v/>
      </c>
    </row>
    <row r="11212" spans="5:9" ht="16.5" hidden="1">
      <c r="E11212" s="4" t="str">
        <v/>
      </c>
      <c r="F11212" s="102" t="str">
        <f ca="1">IFERROR(__xludf.DUMMYFUNCTION("IMPORTRANGE(H11212,""IDENTITAS UNIT!D9"")"),"#N/A")</f>
        <v>#N/A</v>
      </c>
      <c r="H11212" s="4" t="str">
        <v/>
      </c>
      <c r="I11212" s="4" t="str">
        <v/>
      </c>
    </row>
    <row r="11213" spans="5:9" ht="16.5" hidden="1">
      <c r="E11213" s="4" t="str">
        <v/>
      </c>
      <c r="F11213" s="102" t="str">
        <f ca="1">IFERROR(__xludf.DUMMYFUNCTION("IMPORTRANGE(H11213,""IDENTITAS UNIT!D9"")"),"#N/A")</f>
        <v>#N/A</v>
      </c>
      <c r="H11213" s="4" t="str">
        <v/>
      </c>
      <c r="I11213" s="4" t="str">
        <v/>
      </c>
    </row>
    <row r="11214" spans="5:9" ht="16.5" hidden="1">
      <c r="E11214" s="4" t="str">
        <v/>
      </c>
      <c r="F11214" s="102" t="str">
        <f ca="1">IFERROR(__xludf.DUMMYFUNCTION("IMPORTRANGE(H11214,""IDENTITAS UNIT!D9"")"),"#N/A")</f>
        <v>#N/A</v>
      </c>
      <c r="H11214" s="4" t="str">
        <v/>
      </c>
      <c r="I11214" s="4" t="str">
        <v/>
      </c>
    </row>
    <row r="11215" spans="5:9" ht="16.5" hidden="1">
      <c r="E11215" s="4" t="str">
        <v/>
      </c>
      <c r="F11215" s="102" t="str">
        <f ca="1">IFERROR(__xludf.DUMMYFUNCTION("IMPORTRANGE(H11215,""IDENTITAS UNIT!D9"")"),"#N/A")</f>
        <v>#N/A</v>
      </c>
      <c r="H11215" s="4" t="str">
        <v/>
      </c>
      <c r="I11215" s="4" t="str">
        <v/>
      </c>
    </row>
    <row r="11216" spans="5:9" ht="16.5" hidden="1">
      <c r="E11216" s="4" t="str">
        <v/>
      </c>
      <c r="F11216" s="102" t="str">
        <f ca="1">IFERROR(__xludf.DUMMYFUNCTION("IMPORTRANGE(H11216,""IDENTITAS UNIT!D9"")"),"#N/A")</f>
        <v>#N/A</v>
      </c>
      <c r="H11216" s="4" t="str">
        <v/>
      </c>
      <c r="I11216" s="4" t="str">
        <v/>
      </c>
    </row>
    <row r="11217" spans="5:9" ht="16.5" hidden="1">
      <c r="E11217" s="4" t="str">
        <v/>
      </c>
      <c r="F11217" s="102" t="str">
        <f ca="1">IFERROR(__xludf.DUMMYFUNCTION("IMPORTRANGE(H11217,""IDENTITAS UNIT!D9"")"),"#N/A")</f>
        <v>#N/A</v>
      </c>
      <c r="H11217" s="4" t="str">
        <v/>
      </c>
      <c r="I11217" s="4" t="str">
        <v/>
      </c>
    </row>
    <row r="11218" spans="5:9" ht="16.5" hidden="1">
      <c r="E11218" s="4" t="str">
        <v/>
      </c>
      <c r="F11218" s="102" t="str">
        <f ca="1">IFERROR(__xludf.DUMMYFUNCTION("IMPORTRANGE(H11218,""IDENTITAS UNIT!D9"")"),"#N/A")</f>
        <v>#N/A</v>
      </c>
      <c r="H11218" s="4" t="str">
        <v/>
      </c>
      <c r="I11218" s="4" t="str">
        <v/>
      </c>
    </row>
    <row r="11219" spans="5:9" ht="16.5" hidden="1">
      <c r="E11219" s="4" t="str">
        <v/>
      </c>
      <c r="F11219" s="102" t="str">
        <f ca="1">IFERROR(__xludf.DUMMYFUNCTION("IMPORTRANGE(H11219,""IDENTITAS UNIT!D9"")"),"#N/A")</f>
        <v>#N/A</v>
      </c>
      <c r="H11219" s="4" t="str">
        <v/>
      </c>
      <c r="I11219" s="4" t="str">
        <v/>
      </c>
    </row>
    <row r="11220" spans="5:9" ht="16.5" hidden="1">
      <c r="E11220" s="4" t="str">
        <v/>
      </c>
      <c r="F11220" s="102" t="str">
        <f ca="1">IFERROR(__xludf.DUMMYFUNCTION("IMPORTRANGE(H11220,""IDENTITAS UNIT!D9"")"),"#N/A")</f>
        <v>#N/A</v>
      </c>
      <c r="H11220" s="4" t="str">
        <v/>
      </c>
      <c r="I11220" s="4" t="str">
        <v/>
      </c>
    </row>
    <row r="11221" spans="5:9" ht="16.5" hidden="1">
      <c r="E11221" s="4" t="str">
        <v/>
      </c>
      <c r="F11221" s="102" t="str">
        <f ca="1">IFERROR(__xludf.DUMMYFUNCTION("IMPORTRANGE(H11221,""IDENTITAS UNIT!D9"")"),"#N/A")</f>
        <v>#N/A</v>
      </c>
      <c r="H11221" s="4" t="str">
        <v/>
      </c>
      <c r="I11221" s="4" t="str">
        <v/>
      </c>
    </row>
    <row r="11222" spans="5:9" ht="16.5" hidden="1">
      <c r="E11222" s="4" t="str">
        <v/>
      </c>
      <c r="F11222" s="102" t="str">
        <f ca="1">IFERROR(__xludf.DUMMYFUNCTION("IMPORTRANGE(H11222,""IDENTITAS UNIT!D9"")"),"#N/A")</f>
        <v>#N/A</v>
      </c>
      <c r="H11222" s="4" t="str">
        <v/>
      </c>
      <c r="I11222" s="4" t="str">
        <v/>
      </c>
    </row>
    <row r="11223" spans="5:9" ht="16.5" hidden="1">
      <c r="E11223" s="4" t="str">
        <v/>
      </c>
      <c r="F11223" s="102" t="str">
        <f ca="1">IFERROR(__xludf.DUMMYFUNCTION("IMPORTRANGE(H11223,""IDENTITAS UNIT!D9"")"),"#N/A")</f>
        <v>#N/A</v>
      </c>
      <c r="H11223" s="4" t="str">
        <v/>
      </c>
      <c r="I11223" s="4" t="str">
        <v/>
      </c>
    </row>
    <row r="11224" spans="5:9" ht="16.5" hidden="1">
      <c r="E11224" s="4" t="str">
        <v/>
      </c>
      <c r="F11224" s="102" t="str">
        <f ca="1">IFERROR(__xludf.DUMMYFUNCTION("IMPORTRANGE(H11224,""IDENTITAS UNIT!D9"")"),"#N/A")</f>
        <v>#N/A</v>
      </c>
      <c r="H11224" s="4" t="str">
        <v/>
      </c>
      <c r="I11224" s="4" t="str">
        <v/>
      </c>
    </row>
    <row r="11225" spans="5:9" ht="16.5" hidden="1">
      <c r="E11225" s="4" t="str">
        <v/>
      </c>
      <c r="F11225" s="102" t="str">
        <f ca="1">IFERROR(__xludf.DUMMYFUNCTION("IMPORTRANGE(H11225,""IDENTITAS UNIT!D9"")"),"#N/A")</f>
        <v>#N/A</v>
      </c>
      <c r="H11225" s="4" t="str">
        <v/>
      </c>
      <c r="I11225" s="4" t="str">
        <v/>
      </c>
    </row>
    <row r="11226" spans="5:9" ht="16.5" hidden="1">
      <c r="E11226" s="4" t="str">
        <v/>
      </c>
      <c r="F11226" s="102" t="str">
        <f ca="1">IFERROR(__xludf.DUMMYFUNCTION("IMPORTRANGE(H11226,""IDENTITAS UNIT!D9"")"),"#N/A")</f>
        <v>#N/A</v>
      </c>
      <c r="H11226" s="4" t="str">
        <v/>
      </c>
      <c r="I11226" s="4" t="str">
        <v/>
      </c>
    </row>
    <row r="11227" spans="5:9" ht="16.5" hidden="1">
      <c r="E11227" s="4" t="str">
        <v/>
      </c>
      <c r="F11227" s="102" t="str">
        <f ca="1">IFERROR(__xludf.DUMMYFUNCTION("IMPORTRANGE(H11227,""IDENTITAS UNIT!D9"")"),"#N/A")</f>
        <v>#N/A</v>
      </c>
      <c r="H11227" s="4" t="str">
        <v/>
      </c>
      <c r="I11227" s="4" t="str">
        <v/>
      </c>
    </row>
    <row r="11228" spans="5:9" ht="16.5" hidden="1">
      <c r="E11228" s="4" t="str">
        <v/>
      </c>
      <c r="F11228" s="102" t="str">
        <f ca="1">IFERROR(__xludf.DUMMYFUNCTION("IMPORTRANGE(H11228,""IDENTITAS UNIT!D9"")"),"#N/A")</f>
        <v>#N/A</v>
      </c>
      <c r="H11228" s="4" t="str">
        <v/>
      </c>
      <c r="I11228" s="4" t="str">
        <v/>
      </c>
    </row>
    <row r="11229" spans="5:9" ht="16.5" hidden="1">
      <c r="E11229" s="4" t="str">
        <v/>
      </c>
      <c r="F11229" s="102" t="str">
        <f ca="1">IFERROR(__xludf.DUMMYFUNCTION("IMPORTRANGE(H11229,""IDENTITAS UNIT!D9"")"),"#N/A")</f>
        <v>#N/A</v>
      </c>
      <c r="H11229" s="4" t="str">
        <v/>
      </c>
      <c r="I11229" s="4" t="str">
        <v/>
      </c>
    </row>
    <row r="11230" spans="5:9" ht="16.5" hidden="1">
      <c r="E11230" s="4" t="str">
        <v/>
      </c>
      <c r="F11230" s="102" t="str">
        <f ca="1">IFERROR(__xludf.DUMMYFUNCTION("IMPORTRANGE(H11230,""IDENTITAS UNIT!D9"")"),"#N/A")</f>
        <v>#N/A</v>
      </c>
      <c r="H11230" s="4" t="str">
        <v/>
      </c>
      <c r="I11230" s="4" t="str">
        <v/>
      </c>
    </row>
    <row r="11231" spans="5:9" ht="16.5" hidden="1">
      <c r="E11231" s="4" t="str">
        <v/>
      </c>
      <c r="F11231" s="102" t="str">
        <f ca="1">IFERROR(__xludf.DUMMYFUNCTION("IMPORTRANGE(H11231,""IDENTITAS UNIT!D9"")"),"#N/A")</f>
        <v>#N/A</v>
      </c>
      <c r="H11231" s="4" t="str">
        <v/>
      </c>
      <c r="I11231" s="4" t="str">
        <v/>
      </c>
    </row>
    <row r="11232" spans="5:9" ht="16.5" hidden="1">
      <c r="E11232" s="4" t="str">
        <v/>
      </c>
      <c r="F11232" s="102" t="str">
        <f ca="1">IFERROR(__xludf.DUMMYFUNCTION("IMPORTRANGE(H11232,""IDENTITAS UNIT!D9"")"),"#N/A")</f>
        <v>#N/A</v>
      </c>
      <c r="H11232" s="4" t="str">
        <v/>
      </c>
      <c r="I11232" s="4" t="str">
        <v/>
      </c>
    </row>
    <row r="11233" spans="5:9" ht="16.5" hidden="1">
      <c r="E11233" s="4" t="str">
        <v/>
      </c>
      <c r="F11233" s="102" t="str">
        <f ca="1">IFERROR(__xludf.DUMMYFUNCTION("IMPORTRANGE(H11233,""IDENTITAS UNIT!D9"")"),"#N/A")</f>
        <v>#N/A</v>
      </c>
      <c r="H11233" s="4" t="str">
        <v/>
      </c>
      <c r="I11233" s="4" t="str">
        <v/>
      </c>
    </row>
    <row r="11234" spans="5:9" ht="16.5" hidden="1">
      <c r="E11234" s="4" t="str">
        <v/>
      </c>
      <c r="F11234" s="102" t="str">
        <f ca="1">IFERROR(__xludf.DUMMYFUNCTION("IMPORTRANGE(H11234,""IDENTITAS UNIT!D9"")"),"#N/A")</f>
        <v>#N/A</v>
      </c>
      <c r="H11234" s="4" t="str">
        <v/>
      </c>
      <c r="I11234" s="4" t="str">
        <v/>
      </c>
    </row>
    <row r="11235" spans="5:9" ht="16.5" hidden="1">
      <c r="E11235" s="4" t="str">
        <v/>
      </c>
      <c r="F11235" s="102" t="str">
        <f ca="1">IFERROR(__xludf.DUMMYFUNCTION("IMPORTRANGE(H11235,""IDENTITAS UNIT!D9"")"),"#N/A")</f>
        <v>#N/A</v>
      </c>
      <c r="H11235" s="4" t="str">
        <v/>
      </c>
      <c r="I11235" s="4" t="str">
        <v/>
      </c>
    </row>
    <row r="11236" spans="5:9" ht="16.5" hidden="1">
      <c r="E11236" s="4" t="str">
        <v/>
      </c>
      <c r="F11236" s="102" t="str">
        <f ca="1">IFERROR(__xludf.DUMMYFUNCTION("IMPORTRANGE(H11236,""IDENTITAS UNIT!D9"")"),"#N/A")</f>
        <v>#N/A</v>
      </c>
      <c r="H11236" s="4" t="str">
        <v/>
      </c>
      <c r="I11236" s="4" t="str">
        <v/>
      </c>
    </row>
    <row r="11237" spans="5:9" ht="16.5" hidden="1">
      <c r="E11237" s="4" t="str">
        <v/>
      </c>
      <c r="F11237" s="102" t="str">
        <f ca="1">IFERROR(__xludf.DUMMYFUNCTION("IMPORTRANGE(H11237,""IDENTITAS UNIT!D9"")"),"#N/A")</f>
        <v>#N/A</v>
      </c>
      <c r="H11237" s="4" t="str">
        <v/>
      </c>
      <c r="I11237" s="4" t="str">
        <v/>
      </c>
    </row>
    <row r="11238" spans="5:9" ht="16.5" hidden="1">
      <c r="E11238" s="4" t="str">
        <v/>
      </c>
      <c r="F11238" s="102" t="str">
        <f ca="1">IFERROR(__xludf.DUMMYFUNCTION("IMPORTRANGE(H11238,""IDENTITAS UNIT!D9"")"),"#N/A")</f>
        <v>#N/A</v>
      </c>
      <c r="H11238" s="4" t="str">
        <v/>
      </c>
      <c r="I11238" s="4" t="str">
        <v/>
      </c>
    </row>
    <row r="11239" spans="5:9" ht="16.5" hidden="1">
      <c r="E11239" s="4" t="str">
        <v/>
      </c>
      <c r="F11239" s="102" t="str">
        <f ca="1">IFERROR(__xludf.DUMMYFUNCTION("IMPORTRANGE(H11239,""IDENTITAS UNIT!D9"")"),"#N/A")</f>
        <v>#N/A</v>
      </c>
      <c r="H11239" s="4" t="str">
        <v/>
      </c>
      <c r="I11239" s="4" t="str">
        <v/>
      </c>
    </row>
    <row r="11240" spans="5:9" ht="16.5" hidden="1">
      <c r="E11240" s="4" t="str">
        <v/>
      </c>
      <c r="F11240" s="102" t="str">
        <f ca="1">IFERROR(__xludf.DUMMYFUNCTION("IMPORTRANGE(H11240,""IDENTITAS UNIT!D9"")"),"#N/A")</f>
        <v>#N/A</v>
      </c>
      <c r="H11240" s="4" t="str">
        <v/>
      </c>
      <c r="I11240" s="4" t="str">
        <v/>
      </c>
    </row>
    <row r="11241" spans="5:9" ht="16.5" hidden="1">
      <c r="E11241" s="4" t="str">
        <v/>
      </c>
      <c r="F11241" s="102" t="str">
        <f ca="1">IFERROR(__xludf.DUMMYFUNCTION("IMPORTRANGE(H11241,""IDENTITAS UNIT!D9"")"),"#N/A")</f>
        <v>#N/A</v>
      </c>
      <c r="H11241" s="4" t="str">
        <v/>
      </c>
      <c r="I11241" s="4" t="str">
        <v/>
      </c>
    </row>
    <row r="11242" spans="5:9" ht="16.5" hidden="1">
      <c r="E11242" s="4" t="str">
        <v/>
      </c>
      <c r="F11242" s="102" t="str">
        <f ca="1">IFERROR(__xludf.DUMMYFUNCTION("IMPORTRANGE(H11242,""IDENTITAS UNIT!D9"")"),"#N/A")</f>
        <v>#N/A</v>
      </c>
      <c r="H11242" s="4" t="str">
        <v/>
      </c>
      <c r="I11242" s="4" t="str">
        <v/>
      </c>
    </row>
    <row r="11243" spans="5:9" ht="16.5" hidden="1">
      <c r="E11243" s="4" t="str">
        <v/>
      </c>
      <c r="F11243" s="102" t="str">
        <f ca="1">IFERROR(__xludf.DUMMYFUNCTION("IMPORTRANGE(H11243,""IDENTITAS UNIT!D9"")"),"#N/A")</f>
        <v>#N/A</v>
      </c>
      <c r="H11243" s="4" t="str">
        <v/>
      </c>
      <c r="I11243" s="4" t="str">
        <v/>
      </c>
    </row>
    <row r="11244" spans="5:9" ht="16.5" hidden="1">
      <c r="E11244" s="4" t="str">
        <v/>
      </c>
      <c r="F11244" s="102" t="str">
        <f ca="1">IFERROR(__xludf.DUMMYFUNCTION("IMPORTRANGE(H11244,""IDENTITAS UNIT!D9"")"),"#N/A")</f>
        <v>#N/A</v>
      </c>
      <c r="H11244" s="4" t="str">
        <v/>
      </c>
      <c r="I11244" s="4" t="str">
        <v/>
      </c>
    </row>
    <row r="11245" spans="5:9" ht="16.5" hidden="1">
      <c r="E11245" s="4" t="str">
        <v/>
      </c>
      <c r="F11245" s="102" t="str">
        <f ca="1">IFERROR(__xludf.DUMMYFUNCTION("IMPORTRANGE(H11245,""IDENTITAS UNIT!D9"")"),"#N/A")</f>
        <v>#N/A</v>
      </c>
      <c r="H11245" s="4" t="str">
        <v/>
      </c>
      <c r="I11245" s="4" t="str">
        <v/>
      </c>
    </row>
    <row r="11246" spans="5:9" ht="16.5" hidden="1">
      <c r="E11246" s="4" t="str">
        <v/>
      </c>
      <c r="F11246" s="102" t="str">
        <f ca="1">IFERROR(__xludf.DUMMYFUNCTION("IMPORTRANGE(H11246,""IDENTITAS UNIT!D9"")"),"#N/A")</f>
        <v>#N/A</v>
      </c>
      <c r="H11246" s="4" t="str">
        <v/>
      </c>
      <c r="I11246" s="4" t="str">
        <v/>
      </c>
    </row>
    <row r="11247" spans="5:9" ht="16.5" hidden="1">
      <c r="E11247" s="4" t="str">
        <v/>
      </c>
      <c r="F11247" s="102" t="str">
        <f ca="1">IFERROR(__xludf.DUMMYFUNCTION("IMPORTRANGE(H11247,""IDENTITAS UNIT!D9"")"),"#N/A")</f>
        <v>#N/A</v>
      </c>
      <c r="H11247" s="4" t="str">
        <v/>
      </c>
      <c r="I11247" s="4" t="str">
        <v/>
      </c>
    </row>
    <row r="11248" spans="5:9" ht="16.5" hidden="1">
      <c r="E11248" s="4" t="str">
        <v/>
      </c>
      <c r="F11248" s="102" t="str">
        <f ca="1">IFERROR(__xludf.DUMMYFUNCTION("IMPORTRANGE(H11248,""IDENTITAS UNIT!D9"")"),"#N/A")</f>
        <v>#N/A</v>
      </c>
      <c r="H11248" s="4" t="str">
        <v/>
      </c>
      <c r="I11248" s="4" t="str">
        <v/>
      </c>
    </row>
    <row r="11249" spans="5:9" ht="16.5" hidden="1">
      <c r="E11249" s="4" t="str">
        <v/>
      </c>
      <c r="F11249" s="102" t="str">
        <f ca="1">IFERROR(__xludf.DUMMYFUNCTION("IMPORTRANGE(H11249,""IDENTITAS UNIT!D9"")"),"#N/A")</f>
        <v>#N/A</v>
      </c>
      <c r="H11249" s="4" t="str">
        <v/>
      </c>
      <c r="I11249" s="4" t="str">
        <v/>
      </c>
    </row>
    <row r="11250" spans="5:9" ht="16.5" hidden="1">
      <c r="E11250" s="4" t="str">
        <v/>
      </c>
      <c r="F11250" s="102" t="str">
        <f ca="1">IFERROR(__xludf.DUMMYFUNCTION("IMPORTRANGE(H11250,""IDENTITAS UNIT!D9"")"),"#N/A")</f>
        <v>#N/A</v>
      </c>
      <c r="H11250" s="4" t="str">
        <v/>
      </c>
      <c r="I11250" s="4" t="str">
        <v/>
      </c>
    </row>
    <row r="11251" spans="5:9" ht="16.5" hidden="1">
      <c r="E11251" s="4" t="str">
        <v/>
      </c>
      <c r="F11251" s="102" t="str">
        <f ca="1">IFERROR(__xludf.DUMMYFUNCTION("IMPORTRANGE(H11251,""IDENTITAS UNIT!D9"")"),"#N/A")</f>
        <v>#N/A</v>
      </c>
      <c r="H11251" s="4" t="str">
        <v/>
      </c>
      <c r="I11251" s="4" t="str">
        <v/>
      </c>
    </row>
    <row r="11252" spans="5:9" ht="16.5" hidden="1">
      <c r="E11252" s="4" t="str">
        <v/>
      </c>
      <c r="F11252" s="102" t="str">
        <f ca="1">IFERROR(__xludf.DUMMYFUNCTION("IMPORTRANGE(H11252,""IDENTITAS UNIT!D9"")"),"#N/A")</f>
        <v>#N/A</v>
      </c>
      <c r="H11252" s="4" t="str">
        <v/>
      </c>
      <c r="I11252" s="4" t="str">
        <v/>
      </c>
    </row>
    <row r="11253" spans="5:9" ht="16.5" hidden="1">
      <c r="E11253" s="4" t="str">
        <v/>
      </c>
      <c r="F11253" s="102" t="str">
        <f ca="1">IFERROR(__xludf.DUMMYFUNCTION("IMPORTRANGE(H11253,""IDENTITAS UNIT!D9"")"),"#N/A")</f>
        <v>#N/A</v>
      </c>
      <c r="H11253" s="4" t="str">
        <v/>
      </c>
      <c r="I11253" s="4" t="str">
        <v/>
      </c>
    </row>
    <row r="11254" spans="5:9" ht="16.5" hidden="1">
      <c r="E11254" s="4" t="str">
        <v/>
      </c>
      <c r="F11254" s="102" t="str">
        <f ca="1">IFERROR(__xludf.DUMMYFUNCTION("IMPORTRANGE(H11254,""IDENTITAS UNIT!D9"")"),"#N/A")</f>
        <v>#N/A</v>
      </c>
      <c r="H11254" s="4" t="str">
        <v/>
      </c>
      <c r="I11254" s="4" t="str">
        <v/>
      </c>
    </row>
    <row r="11255" spans="5:9" ht="16.5" hidden="1">
      <c r="E11255" s="4" t="str">
        <v/>
      </c>
      <c r="F11255" s="102" t="str">
        <f ca="1">IFERROR(__xludf.DUMMYFUNCTION("IMPORTRANGE(H11255,""IDENTITAS UNIT!D9"")"),"#N/A")</f>
        <v>#N/A</v>
      </c>
      <c r="H11255" s="4" t="str">
        <v/>
      </c>
      <c r="I11255" s="4" t="str">
        <v/>
      </c>
    </row>
    <row r="11256" spans="5:9" ht="16.5" hidden="1">
      <c r="E11256" s="4" t="str">
        <v/>
      </c>
      <c r="F11256" s="102" t="str">
        <f ca="1">IFERROR(__xludf.DUMMYFUNCTION("IMPORTRANGE(H11256,""IDENTITAS UNIT!D9"")"),"#N/A")</f>
        <v>#N/A</v>
      </c>
      <c r="H11256" s="4" t="str">
        <v/>
      </c>
      <c r="I11256" s="4" t="str">
        <v/>
      </c>
    </row>
    <row r="11257" spans="5:9" ht="16.5" hidden="1">
      <c r="E11257" s="4" t="str">
        <v/>
      </c>
      <c r="F11257" s="102" t="str">
        <f ca="1">IFERROR(__xludf.DUMMYFUNCTION("IMPORTRANGE(H11257,""IDENTITAS UNIT!D9"")"),"#N/A")</f>
        <v>#N/A</v>
      </c>
      <c r="H11257" s="4" t="str">
        <v/>
      </c>
      <c r="I11257" s="4" t="str">
        <v/>
      </c>
    </row>
    <row r="11258" spans="5:9" ht="16.5" hidden="1">
      <c r="E11258" s="4" t="str">
        <v/>
      </c>
      <c r="F11258" s="102" t="str">
        <f ca="1">IFERROR(__xludf.DUMMYFUNCTION("IMPORTRANGE(H11258,""IDENTITAS UNIT!D9"")"),"#N/A")</f>
        <v>#N/A</v>
      </c>
      <c r="H11258" s="4" t="str">
        <v/>
      </c>
      <c r="I11258" s="4" t="str">
        <v/>
      </c>
    </row>
    <row r="11259" spans="5:9" ht="16.5" hidden="1">
      <c r="E11259" s="4" t="str">
        <v/>
      </c>
      <c r="F11259" s="102" t="str">
        <f ca="1">IFERROR(__xludf.DUMMYFUNCTION("IMPORTRANGE(H11259,""IDENTITAS UNIT!D9"")"),"#N/A")</f>
        <v>#N/A</v>
      </c>
      <c r="H11259" s="4" t="str">
        <v/>
      </c>
      <c r="I11259" s="4" t="str">
        <v/>
      </c>
    </row>
    <row r="11260" spans="5:9" ht="16.5" hidden="1">
      <c r="E11260" s="4" t="str">
        <v/>
      </c>
      <c r="F11260" s="102" t="str">
        <f ca="1">IFERROR(__xludf.DUMMYFUNCTION("IMPORTRANGE(H11260,""IDENTITAS UNIT!D9"")"),"#N/A")</f>
        <v>#N/A</v>
      </c>
      <c r="H11260" s="4" t="str">
        <v/>
      </c>
      <c r="I11260" s="4" t="str">
        <v/>
      </c>
    </row>
    <row r="11261" spans="5:9" ht="16.5" hidden="1">
      <c r="E11261" s="4" t="str">
        <v/>
      </c>
      <c r="F11261" s="102" t="str">
        <f ca="1">IFERROR(__xludf.DUMMYFUNCTION("IMPORTRANGE(H11261,""IDENTITAS UNIT!D9"")"),"#N/A")</f>
        <v>#N/A</v>
      </c>
      <c r="H11261" s="4" t="str">
        <v/>
      </c>
      <c r="I11261" s="4" t="str">
        <v/>
      </c>
    </row>
    <row r="11262" spans="5:9" ht="16.5" hidden="1">
      <c r="E11262" s="4" t="str">
        <v/>
      </c>
      <c r="F11262" s="102" t="str">
        <f ca="1">IFERROR(__xludf.DUMMYFUNCTION("IMPORTRANGE(H11262,""IDENTITAS UNIT!D9"")"),"#N/A")</f>
        <v>#N/A</v>
      </c>
      <c r="H11262" s="4" t="str">
        <v/>
      </c>
      <c r="I11262" s="4" t="str">
        <v/>
      </c>
    </row>
    <row r="11263" spans="5:9" ht="16.5" hidden="1">
      <c r="E11263" s="4" t="str">
        <v/>
      </c>
      <c r="F11263" s="102" t="str">
        <f ca="1">IFERROR(__xludf.DUMMYFUNCTION("IMPORTRANGE(H11263,""IDENTITAS UNIT!D9"")"),"#N/A")</f>
        <v>#N/A</v>
      </c>
      <c r="H11263" s="4" t="str">
        <v/>
      </c>
      <c r="I11263" s="4" t="str">
        <v/>
      </c>
    </row>
    <row r="11264" spans="5:9" ht="16.5" hidden="1">
      <c r="E11264" s="4" t="str">
        <v/>
      </c>
      <c r="F11264" s="102" t="str">
        <f ca="1">IFERROR(__xludf.DUMMYFUNCTION("IMPORTRANGE(H11264,""IDENTITAS UNIT!D9"")"),"#N/A")</f>
        <v>#N/A</v>
      </c>
      <c r="H11264" s="4" t="str">
        <v/>
      </c>
      <c r="I11264" s="4" t="str">
        <v/>
      </c>
    </row>
    <row r="11265" spans="5:9" ht="16.5" hidden="1">
      <c r="E11265" s="4" t="str">
        <v/>
      </c>
      <c r="F11265" s="102" t="str">
        <f ca="1">IFERROR(__xludf.DUMMYFUNCTION("IMPORTRANGE(H11265,""IDENTITAS UNIT!D9"")"),"#N/A")</f>
        <v>#N/A</v>
      </c>
      <c r="H11265" s="4" t="str">
        <v/>
      </c>
      <c r="I11265" s="4" t="str">
        <v/>
      </c>
    </row>
    <row r="11266" spans="5:9" ht="16.5" hidden="1">
      <c r="E11266" s="4" t="str">
        <v/>
      </c>
      <c r="F11266" s="102" t="str">
        <f ca="1">IFERROR(__xludf.DUMMYFUNCTION("IMPORTRANGE(H11266,""IDENTITAS UNIT!D9"")"),"#N/A")</f>
        <v>#N/A</v>
      </c>
      <c r="H11266" s="4" t="str">
        <v/>
      </c>
      <c r="I11266" s="4" t="str">
        <v/>
      </c>
    </row>
    <row r="11267" spans="5:9" ht="16.5" hidden="1">
      <c r="E11267" s="4" t="str">
        <v/>
      </c>
      <c r="F11267" s="102" t="str">
        <f ca="1">IFERROR(__xludf.DUMMYFUNCTION("IMPORTRANGE(H11267,""IDENTITAS UNIT!D9"")"),"#N/A")</f>
        <v>#N/A</v>
      </c>
      <c r="H11267" s="4" t="str">
        <v/>
      </c>
      <c r="I11267" s="4" t="str">
        <v/>
      </c>
    </row>
    <row r="11268" spans="5:9" ht="16.5" hidden="1">
      <c r="E11268" s="4" t="str">
        <v/>
      </c>
      <c r="F11268" s="102" t="str">
        <f ca="1">IFERROR(__xludf.DUMMYFUNCTION("IMPORTRANGE(H11268,""IDENTITAS UNIT!D9"")"),"#N/A")</f>
        <v>#N/A</v>
      </c>
      <c r="H11268" s="4" t="str">
        <v/>
      </c>
      <c r="I11268" s="4" t="str">
        <v/>
      </c>
    </row>
    <row r="11269" spans="5:9" ht="16.5" hidden="1">
      <c r="E11269" s="4" t="str">
        <v/>
      </c>
      <c r="F11269" s="102" t="str">
        <f ca="1">IFERROR(__xludf.DUMMYFUNCTION("IMPORTRANGE(H11269,""IDENTITAS UNIT!D9"")"),"#N/A")</f>
        <v>#N/A</v>
      </c>
      <c r="H11269" s="4" t="str">
        <v/>
      </c>
      <c r="I11269" s="4" t="str">
        <v/>
      </c>
    </row>
    <row r="11270" spans="5:9" ht="16.5" hidden="1">
      <c r="E11270" s="4" t="str">
        <v/>
      </c>
      <c r="F11270" s="102" t="str">
        <f ca="1">IFERROR(__xludf.DUMMYFUNCTION("IMPORTRANGE(H11270,""IDENTITAS UNIT!D9"")"),"#N/A")</f>
        <v>#N/A</v>
      </c>
      <c r="H11270" s="4" t="str">
        <v/>
      </c>
      <c r="I11270" s="4" t="str">
        <v/>
      </c>
    </row>
    <row r="11271" spans="5:9" ht="16.5" hidden="1">
      <c r="E11271" s="4" t="str">
        <v/>
      </c>
      <c r="F11271" s="102" t="str">
        <f ca="1">IFERROR(__xludf.DUMMYFUNCTION("IMPORTRANGE(H11271,""IDENTITAS UNIT!D9"")"),"#N/A")</f>
        <v>#N/A</v>
      </c>
      <c r="H11271" s="4" t="str">
        <v/>
      </c>
      <c r="I11271" s="4" t="str">
        <v/>
      </c>
    </row>
    <row r="11272" spans="5:9" ht="16.5" hidden="1">
      <c r="E11272" s="4" t="str">
        <v/>
      </c>
      <c r="F11272" s="102" t="str">
        <f ca="1">IFERROR(__xludf.DUMMYFUNCTION("IMPORTRANGE(H11272,""IDENTITAS UNIT!D9"")"),"#N/A")</f>
        <v>#N/A</v>
      </c>
      <c r="H11272" s="4" t="str">
        <v/>
      </c>
      <c r="I11272" s="4" t="str">
        <v/>
      </c>
    </row>
    <row r="11273" spans="5:9" ht="16.5" hidden="1">
      <c r="E11273" s="4" t="str">
        <v/>
      </c>
      <c r="F11273" s="102" t="str">
        <f ca="1">IFERROR(__xludf.DUMMYFUNCTION("IMPORTRANGE(H11273,""IDENTITAS UNIT!D9"")"),"#N/A")</f>
        <v>#N/A</v>
      </c>
      <c r="H11273" s="4" t="str">
        <v/>
      </c>
      <c r="I11273" s="4" t="str">
        <v/>
      </c>
    </row>
    <row r="11274" spans="5:9" ht="16.5" hidden="1">
      <c r="E11274" s="4" t="str">
        <v/>
      </c>
      <c r="F11274" s="102" t="str">
        <f ca="1">IFERROR(__xludf.DUMMYFUNCTION("IMPORTRANGE(H11274,""IDENTITAS UNIT!D9"")"),"#N/A")</f>
        <v>#N/A</v>
      </c>
      <c r="H11274" s="4" t="str">
        <v/>
      </c>
      <c r="I11274" s="4" t="str">
        <v/>
      </c>
    </row>
    <row r="11275" spans="5:9" ht="16.5" hidden="1">
      <c r="E11275" s="4" t="str">
        <v/>
      </c>
      <c r="F11275" s="102" t="str">
        <f ca="1">IFERROR(__xludf.DUMMYFUNCTION("IMPORTRANGE(H11275,""IDENTITAS UNIT!D9"")"),"#N/A")</f>
        <v>#N/A</v>
      </c>
      <c r="H11275" s="4" t="str">
        <v/>
      </c>
      <c r="I11275" s="4" t="str">
        <v/>
      </c>
    </row>
    <row r="11276" spans="5:9" ht="16.5" hidden="1">
      <c r="E11276" s="4" t="str">
        <v/>
      </c>
      <c r="F11276" s="102" t="str">
        <f ca="1">IFERROR(__xludf.DUMMYFUNCTION("IMPORTRANGE(H11276,""IDENTITAS UNIT!D9"")"),"#N/A")</f>
        <v>#N/A</v>
      </c>
      <c r="H11276" s="4" t="str">
        <v/>
      </c>
      <c r="I11276" s="4" t="str">
        <v/>
      </c>
    </row>
    <row r="11277" spans="5:9" ht="16.5" hidden="1">
      <c r="E11277" s="4" t="str">
        <v/>
      </c>
      <c r="F11277" s="102" t="str">
        <f ca="1">IFERROR(__xludf.DUMMYFUNCTION("IMPORTRANGE(H11277,""IDENTITAS UNIT!D9"")"),"#N/A")</f>
        <v>#N/A</v>
      </c>
      <c r="H11277" s="4" t="str">
        <v/>
      </c>
      <c r="I11277" s="4" t="str">
        <v/>
      </c>
    </row>
    <row r="11278" spans="5:9" ht="16.5" hidden="1">
      <c r="E11278" s="4" t="str">
        <v/>
      </c>
      <c r="F11278" s="102" t="str">
        <f ca="1">IFERROR(__xludf.DUMMYFUNCTION("IMPORTRANGE(H11278,""IDENTITAS UNIT!D9"")"),"#N/A")</f>
        <v>#N/A</v>
      </c>
      <c r="H11278" s="4" t="str">
        <v/>
      </c>
      <c r="I11278" s="4" t="str">
        <v/>
      </c>
    </row>
    <row r="11279" spans="5:9" ht="16.5" hidden="1">
      <c r="E11279" s="4" t="str">
        <v/>
      </c>
      <c r="F11279" s="102" t="str">
        <f ca="1">IFERROR(__xludf.DUMMYFUNCTION("IMPORTRANGE(H11279,""IDENTITAS UNIT!D9"")"),"#N/A")</f>
        <v>#N/A</v>
      </c>
      <c r="H11279" s="4" t="str">
        <v/>
      </c>
      <c r="I11279" s="4" t="str">
        <v/>
      </c>
    </row>
    <row r="11280" spans="5:9" ht="16.5" hidden="1">
      <c r="E11280" s="4" t="str">
        <v/>
      </c>
      <c r="F11280" s="102" t="str">
        <f ca="1">IFERROR(__xludf.DUMMYFUNCTION("IMPORTRANGE(H11280,""IDENTITAS UNIT!D9"")"),"#N/A")</f>
        <v>#N/A</v>
      </c>
      <c r="H11280" s="4" t="str">
        <v/>
      </c>
      <c r="I11280" s="4" t="str">
        <v/>
      </c>
    </row>
    <row r="11281" spans="5:9" ht="16.5" hidden="1">
      <c r="E11281" s="4" t="str">
        <v/>
      </c>
      <c r="F11281" s="102" t="str">
        <f ca="1">IFERROR(__xludf.DUMMYFUNCTION("IMPORTRANGE(H11281,""IDENTITAS UNIT!D9"")"),"#N/A")</f>
        <v>#N/A</v>
      </c>
      <c r="H11281" s="4" t="str">
        <v/>
      </c>
      <c r="I11281" s="4" t="str">
        <v/>
      </c>
    </row>
    <row r="11282" spans="5:9" ht="16.5" hidden="1">
      <c r="E11282" s="4" t="str">
        <v/>
      </c>
      <c r="F11282" s="102" t="str">
        <f ca="1">IFERROR(__xludf.DUMMYFUNCTION("IMPORTRANGE(H11282,""IDENTITAS UNIT!D9"")"),"#N/A")</f>
        <v>#N/A</v>
      </c>
      <c r="H11282" s="4" t="str">
        <v/>
      </c>
      <c r="I11282" s="4" t="str">
        <v/>
      </c>
    </row>
    <row r="11283" spans="5:9" ht="16.5" hidden="1">
      <c r="E11283" s="4" t="str">
        <v/>
      </c>
      <c r="F11283" s="102" t="str">
        <f ca="1">IFERROR(__xludf.DUMMYFUNCTION("IMPORTRANGE(H11283,""IDENTITAS UNIT!D9"")"),"#N/A")</f>
        <v>#N/A</v>
      </c>
      <c r="H11283" s="4" t="str">
        <v/>
      </c>
      <c r="I11283" s="4" t="str">
        <v/>
      </c>
    </row>
    <row r="11284" spans="5:9" ht="16.5" hidden="1">
      <c r="E11284" s="4" t="str">
        <v/>
      </c>
      <c r="F11284" s="102" t="str">
        <f ca="1">IFERROR(__xludf.DUMMYFUNCTION("IMPORTRANGE(H11284,""IDENTITAS UNIT!D9"")"),"#N/A")</f>
        <v>#N/A</v>
      </c>
      <c r="H11284" s="4" t="str">
        <v/>
      </c>
      <c r="I11284" s="4" t="str">
        <v/>
      </c>
    </row>
    <row r="11285" spans="5:9" ht="16.5" hidden="1">
      <c r="E11285" s="4" t="str">
        <v/>
      </c>
      <c r="F11285" s="102" t="str">
        <f ca="1">IFERROR(__xludf.DUMMYFUNCTION("IMPORTRANGE(H11285,""IDENTITAS UNIT!D9"")"),"#N/A")</f>
        <v>#N/A</v>
      </c>
      <c r="H11285" s="4" t="str">
        <v/>
      </c>
      <c r="I11285" s="4" t="str">
        <v/>
      </c>
    </row>
    <row r="11286" spans="5:9" ht="16.5" hidden="1">
      <c r="E11286" s="4" t="str">
        <v/>
      </c>
      <c r="F11286" s="102" t="str">
        <f ca="1">IFERROR(__xludf.DUMMYFUNCTION("IMPORTRANGE(H11286,""IDENTITAS UNIT!D9"")"),"#N/A")</f>
        <v>#N/A</v>
      </c>
      <c r="H11286" s="4" t="str">
        <v/>
      </c>
      <c r="I11286" s="4" t="str">
        <v/>
      </c>
    </row>
    <row r="11287" spans="5:9" ht="16.5" hidden="1">
      <c r="E11287" s="4" t="str">
        <v/>
      </c>
      <c r="F11287" s="102" t="str">
        <f ca="1">IFERROR(__xludf.DUMMYFUNCTION("IMPORTRANGE(H11287,""IDENTITAS UNIT!D9"")"),"#N/A")</f>
        <v>#N/A</v>
      </c>
      <c r="H11287" s="4" t="str">
        <v/>
      </c>
      <c r="I11287" s="4" t="str">
        <v/>
      </c>
    </row>
    <row r="11288" spans="5:9" ht="16.5" hidden="1">
      <c r="E11288" s="4" t="str">
        <v/>
      </c>
      <c r="F11288" s="102" t="str">
        <f ca="1">IFERROR(__xludf.DUMMYFUNCTION("IMPORTRANGE(H11288,""IDENTITAS UNIT!D9"")"),"#N/A")</f>
        <v>#N/A</v>
      </c>
      <c r="H11288" s="4" t="str">
        <v/>
      </c>
      <c r="I11288" s="4" t="str">
        <v/>
      </c>
    </row>
    <row r="11289" spans="5:9" ht="16.5" hidden="1">
      <c r="E11289" s="4" t="str">
        <v/>
      </c>
      <c r="F11289" s="102" t="str">
        <f ca="1">IFERROR(__xludf.DUMMYFUNCTION("IMPORTRANGE(H11289,""IDENTITAS UNIT!D9"")"),"#N/A")</f>
        <v>#N/A</v>
      </c>
      <c r="H11289" s="4" t="str">
        <v/>
      </c>
      <c r="I11289" s="4" t="str">
        <v/>
      </c>
    </row>
    <row r="11290" spans="5:9" ht="16.5" hidden="1">
      <c r="E11290" s="4" t="str">
        <v/>
      </c>
      <c r="F11290" s="102" t="str">
        <f ca="1">IFERROR(__xludf.DUMMYFUNCTION("IMPORTRANGE(H11290,""IDENTITAS UNIT!D9"")"),"#N/A")</f>
        <v>#N/A</v>
      </c>
      <c r="H11290" s="4" t="str">
        <v/>
      </c>
      <c r="I11290" s="4" t="str">
        <v/>
      </c>
    </row>
    <row r="11291" spans="5:9" ht="16.5" hidden="1">
      <c r="E11291" s="4" t="str">
        <v/>
      </c>
      <c r="F11291" s="102" t="str">
        <f ca="1">IFERROR(__xludf.DUMMYFUNCTION("IMPORTRANGE(H11291,""IDENTITAS UNIT!D9"")"),"#N/A")</f>
        <v>#N/A</v>
      </c>
      <c r="H11291" s="4" t="str">
        <v/>
      </c>
      <c r="I11291" s="4" t="str">
        <v/>
      </c>
    </row>
    <row r="11292" spans="5:9" ht="16.5" hidden="1">
      <c r="E11292" s="4" t="str">
        <v/>
      </c>
      <c r="F11292" s="102" t="str">
        <f ca="1">IFERROR(__xludf.DUMMYFUNCTION("IMPORTRANGE(H11292,""IDENTITAS UNIT!D9"")"),"#N/A")</f>
        <v>#N/A</v>
      </c>
      <c r="H11292" s="4" t="str">
        <v/>
      </c>
      <c r="I11292" s="4" t="str">
        <v/>
      </c>
    </row>
    <row r="11293" spans="5:9" ht="16.5" hidden="1">
      <c r="E11293" s="4" t="str">
        <v/>
      </c>
      <c r="F11293" s="102" t="str">
        <f ca="1">IFERROR(__xludf.DUMMYFUNCTION("IMPORTRANGE(H11293,""IDENTITAS UNIT!D9"")"),"#N/A")</f>
        <v>#N/A</v>
      </c>
      <c r="H11293" s="4" t="str">
        <v/>
      </c>
      <c r="I11293" s="4" t="str">
        <v/>
      </c>
    </row>
    <row r="11294" spans="5:9" ht="16.5" hidden="1">
      <c r="E11294" s="4" t="str">
        <v/>
      </c>
      <c r="F11294" s="102" t="str">
        <f ca="1">IFERROR(__xludf.DUMMYFUNCTION("IMPORTRANGE(H11294,""IDENTITAS UNIT!D9"")"),"#N/A")</f>
        <v>#N/A</v>
      </c>
      <c r="H11294" s="4" t="str">
        <v/>
      </c>
      <c r="I11294" s="4" t="str">
        <v/>
      </c>
    </row>
    <row r="11295" spans="5:9" ht="16.5" hidden="1">
      <c r="E11295" s="4" t="str">
        <v/>
      </c>
      <c r="F11295" s="102" t="str">
        <f ca="1">IFERROR(__xludf.DUMMYFUNCTION("IMPORTRANGE(H11295,""IDENTITAS UNIT!D9"")"),"#N/A")</f>
        <v>#N/A</v>
      </c>
      <c r="H11295" s="4" t="str">
        <v/>
      </c>
      <c r="I11295" s="4" t="str">
        <v/>
      </c>
    </row>
    <row r="11296" spans="5:9" ht="16.5" hidden="1">
      <c r="E11296" s="4" t="str">
        <v/>
      </c>
      <c r="F11296" s="102" t="str">
        <f ca="1">IFERROR(__xludf.DUMMYFUNCTION("IMPORTRANGE(H11296,""IDENTITAS UNIT!D9"")"),"#N/A")</f>
        <v>#N/A</v>
      </c>
      <c r="H11296" s="4" t="str">
        <v/>
      </c>
      <c r="I11296" s="4" t="str">
        <v/>
      </c>
    </row>
    <row r="11297" spans="5:9" ht="16.5" hidden="1">
      <c r="E11297" s="4" t="str">
        <v/>
      </c>
      <c r="F11297" s="102" t="str">
        <f ca="1">IFERROR(__xludf.DUMMYFUNCTION("IMPORTRANGE(H11297,""IDENTITAS UNIT!D9"")"),"#N/A")</f>
        <v>#N/A</v>
      </c>
      <c r="H11297" s="4" t="str">
        <v/>
      </c>
      <c r="I11297" s="4" t="str">
        <v/>
      </c>
    </row>
    <row r="11298" spans="5:9" ht="16.5" hidden="1">
      <c r="E11298" s="4" t="str">
        <v/>
      </c>
      <c r="F11298" s="102" t="str">
        <f ca="1">IFERROR(__xludf.DUMMYFUNCTION("IMPORTRANGE(H11298,""IDENTITAS UNIT!D9"")"),"#N/A")</f>
        <v>#N/A</v>
      </c>
      <c r="H11298" s="4" t="str">
        <v/>
      </c>
      <c r="I11298" s="4" t="str">
        <v/>
      </c>
    </row>
    <row r="11299" spans="5:9" ht="16.5" hidden="1">
      <c r="E11299" s="4" t="str">
        <v/>
      </c>
      <c r="F11299" s="102" t="str">
        <f ca="1">IFERROR(__xludf.DUMMYFUNCTION("IMPORTRANGE(H11299,""IDENTITAS UNIT!D9"")"),"#N/A")</f>
        <v>#N/A</v>
      </c>
      <c r="H11299" s="4" t="str">
        <v/>
      </c>
      <c r="I11299" s="4" t="str">
        <v/>
      </c>
    </row>
    <row r="11300" spans="5:9" ht="16.5" hidden="1">
      <c r="E11300" s="4" t="str">
        <v/>
      </c>
      <c r="F11300" s="102" t="str">
        <f ca="1">IFERROR(__xludf.DUMMYFUNCTION("IMPORTRANGE(H11300,""IDENTITAS UNIT!D9"")"),"#N/A")</f>
        <v>#N/A</v>
      </c>
      <c r="H11300" s="4" t="str">
        <v/>
      </c>
      <c r="I11300" s="4" t="str">
        <v/>
      </c>
    </row>
    <row r="11301" spans="5:9" ht="16.5" hidden="1">
      <c r="E11301" s="4" t="str">
        <v/>
      </c>
      <c r="F11301" s="102" t="str">
        <f ca="1">IFERROR(__xludf.DUMMYFUNCTION("IMPORTRANGE(H11301,""IDENTITAS UNIT!D9"")"),"#N/A")</f>
        <v>#N/A</v>
      </c>
      <c r="H11301" s="4" t="str">
        <v/>
      </c>
      <c r="I11301" s="4" t="str">
        <v/>
      </c>
    </row>
    <row r="11302" spans="5:9" ht="16.5" hidden="1">
      <c r="E11302" s="4" t="str">
        <v/>
      </c>
      <c r="F11302" s="102" t="str">
        <f ca="1">IFERROR(__xludf.DUMMYFUNCTION("IMPORTRANGE(H11302,""IDENTITAS UNIT!D9"")"),"#N/A")</f>
        <v>#N/A</v>
      </c>
      <c r="H11302" s="4" t="str">
        <v/>
      </c>
      <c r="I11302" s="4" t="str">
        <v/>
      </c>
    </row>
    <row r="11303" spans="5:9" ht="16.5" hidden="1">
      <c r="E11303" s="4" t="str">
        <v/>
      </c>
      <c r="F11303" s="102" t="str">
        <f ca="1">IFERROR(__xludf.DUMMYFUNCTION("IMPORTRANGE(H11303,""IDENTITAS UNIT!D9"")"),"#N/A")</f>
        <v>#N/A</v>
      </c>
      <c r="H11303" s="4" t="str">
        <v/>
      </c>
      <c r="I11303" s="4" t="str">
        <v/>
      </c>
    </row>
    <row r="11304" spans="5:9" ht="16.5" hidden="1">
      <c r="E11304" s="4" t="str">
        <v/>
      </c>
      <c r="F11304" s="102" t="str">
        <f ca="1">IFERROR(__xludf.DUMMYFUNCTION("IMPORTRANGE(H11304,""IDENTITAS UNIT!D9"")"),"#N/A")</f>
        <v>#N/A</v>
      </c>
      <c r="H11304" s="4" t="str">
        <v/>
      </c>
      <c r="I11304" s="4" t="str">
        <v/>
      </c>
    </row>
    <row r="11305" spans="5:9" ht="16.5" hidden="1">
      <c r="E11305" s="4" t="str">
        <v/>
      </c>
      <c r="F11305" s="102" t="str">
        <f ca="1">IFERROR(__xludf.DUMMYFUNCTION("IMPORTRANGE(H11305,""IDENTITAS UNIT!D9"")"),"#N/A")</f>
        <v>#N/A</v>
      </c>
      <c r="H11305" s="4" t="str">
        <v/>
      </c>
      <c r="I11305" s="4" t="str">
        <v/>
      </c>
    </row>
    <row r="11306" spans="5:9" ht="16.5" hidden="1">
      <c r="E11306" s="4" t="str">
        <v/>
      </c>
      <c r="F11306" s="102" t="str">
        <f ca="1">IFERROR(__xludf.DUMMYFUNCTION("IMPORTRANGE(H11306,""IDENTITAS UNIT!D9"")"),"#N/A")</f>
        <v>#N/A</v>
      </c>
      <c r="H11306" s="4" t="str">
        <v/>
      </c>
      <c r="I11306" s="4" t="str">
        <v/>
      </c>
    </row>
    <row r="11307" spans="5:9" ht="16.5" hidden="1">
      <c r="E11307" s="4" t="str">
        <v/>
      </c>
      <c r="F11307" s="102" t="str">
        <f ca="1">IFERROR(__xludf.DUMMYFUNCTION("IMPORTRANGE(H11307,""IDENTITAS UNIT!D9"")"),"#N/A")</f>
        <v>#N/A</v>
      </c>
      <c r="H11307" s="4" t="str">
        <v/>
      </c>
      <c r="I11307" s="4" t="str">
        <v/>
      </c>
    </row>
    <row r="11308" spans="5:9" ht="16.5" hidden="1">
      <c r="E11308" s="4" t="str">
        <v/>
      </c>
      <c r="F11308" s="102" t="str">
        <f ca="1">IFERROR(__xludf.DUMMYFUNCTION("IMPORTRANGE(H11308,""IDENTITAS UNIT!D9"")"),"#N/A")</f>
        <v>#N/A</v>
      </c>
      <c r="H11308" s="4" t="str">
        <v/>
      </c>
      <c r="I11308" s="4" t="str">
        <v/>
      </c>
    </row>
    <row r="11309" spans="5:9" ht="16.5" hidden="1">
      <c r="E11309" s="4" t="str">
        <v/>
      </c>
      <c r="F11309" s="102" t="str">
        <f ca="1">IFERROR(__xludf.DUMMYFUNCTION("IMPORTRANGE(H11309,""IDENTITAS UNIT!D9"")"),"#N/A")</f>
        <v>#N/A</v>
      </c>
      <c r="H11309" s="4" t="str">
        <v/>
      </c>
      <c r="I11309" s="4" t="str">
        <v/>
      </c>
    </row>
    <row r="11310" spans="5:9" ht="16.5" hidden="1">
      <c r="E11310" s="4" t="str">
        <v/>
      </c>
      <c r="F11310" s="102" t="str">
        <f ca="1">IFERROR(__xludf.DUMMYFUNCTION("IMPORTRANGE(H11310,""IDENTITAS UNIT!D9"")"),"#N/A")</f>
        <v>#N/A</v>
      </c>
      <c r="H11310" s="4" t="str">
        <v/>
      </c>
      <c r="I11310" s="4" t="str">
        <v/>
      </c>
    </row>
    <row r="11311" spans="5:9" ht="16.5" hidden="1">
      <c r="E11311" s="4" t="str">
        <v/>
      </c>
      <c r="F11311" s="102" t="str">
        <f ca="1">IFERROR(__xludf.DUMMYFUNCTION("IMPORTRANGE(H11311,""IDENTITAS UNIT!D9"")"),"#N/A")</f>
        <v>#N/A</v>
      </c>
      <c r="H11311" s="4" t="str">
        <v/>
      </c>
      <c r="I11311" s="4" t="str">
        <v/>
      </c>
    </row>
    <row r="11312" spans="5:9" ht="16.5" hidden="1">
      <c r="E11312" s="4" t="str">
        <v/>
      </c>
      <c r="F11312" s="102" t="str">
        <f ca="1">IFERROR(__xludf.DUMMYFUNCTION("IMPORTRANGE(H11312,""IDENTITAS UNIT!D9"")"),"#N/A")</f>
        <v>#N/A</v>
      </c>
      <c r="H11312" s="4" t="str">
        <v/>
      </c>
      <c r="I11312" s="4" t="str">
        <v/>
      </c>
    </row>
    <row r="11313" spans="5:9" ht="16.5" hidden="1">
      <c r="E11313" s="4" t="str">
        <v/>
      </c>
      <c r="F11313" s="102" t="str">
        <f ca="1">IFERROR(__xludf.DUMMYFUNCTION("IMPORTRANGE(H11313,""IDENTITAS UNIT!D9"")"),"#N/A")</f>
        <v>#N/A</v>
      </c>
      <c r="H11313" s="4" t="str">
        <v/>
      </c>
      <c r="I11313" s="4" t="str">
        <v/>
      </c>
    </row>
    <row r="11314" spans="5:9" ht="16.5" hidden="1">
      <c r="E11314" s="4" t="str">
        <v/>
      </c>
      <c r="F11314" s="102" t="str">
        <f ca="1">IFERROR(__xludf.DUMMYFUNCTION("IMPORTRANGE(H11314,""IDENTITAS UNIT!D9"")"),"#N/A")</f>
        <v>#N/A</v>
      </c>
      <c r="H11314" s="4" t="str">
        <v/>
      </c>
      <c r="I11314" s="4" t="str">
        <v/>
      </c>
    </row>
    <row r="11315" spans="5:9" ht="16.5" hidden="1">
      <c r="E11315" s="4" t="str">
        <v/>
      </c>
      <c r="F11315" s="102" t="str">
        <f ca="1">IFERROR(__xludf.DUMMYFUNCTION("IMPORTRANGE(H11315,""IDENTITAS UNIT!D9"")"),"#N/A")</f>
        <v>#N/A</v>
      </c>
      <c r="H11315" s="4" t="str">
        <v/>
      </c>
      <c r="I11315" s="4" t="str">
        <v/>
      </c>
    </row>
    <row r="11316" spans="5:9" ht="16.5" hidden="1">
      <c r="E11316" s="4" t="str">
        <v/>
      </c>
      <c r="F11316" s="102" t="str">
        <f ca="1">IFERROR(__xludf.DUMMYFUNCTION("IMPORTRANGE(H11316,""IDENTITAS UNIT!D9"")"),"#N/A")</f>
        <v>#N/A</v>
      </c>
      <c r="H11316" s="4" t="str">
        <v/>
      </c>
      <c r="I11316" s="4" t="str">
        <v/>
      </c>
    </row>
    <row r="11317" spans="5:9" ht="16.5" hidden="1">
      <c r="E11317" s="4" t="str">
        <v/>
      </c>
      <c r="F11317" s="102" t="str">
        <f ca="1">IFERROR(__xludf.DUMMYFUNCTION("IMPORTRANGE(H11317,""IDENTITAS UNIT!D9"")"),"#N/A")</f>
        <v>#N/A</v>
      </c>
      <c r="H11317" s="4" t="str">
        <v/>
      </c>
      <c r="I11317" s="4" t="str">
        <v/>
      </c>
    </row>
    <row r="11318" spans="5:9" ht="16.5" hidden="1">
      <c r="E11318" s="4" t="str">
        <v/>
      </c>
      <c r="F11318" s="102" t="str">
        <f ca="1">IFERROR(__xludf.DUMMYFUNCTION("IMPORTRANGE(H11318,""IDENTITAS UNIT!D9"")"),"#N/A")</f>
        <v>#N/A</v>
      </c>
      <c r="H11318" s="4" t="str">
        <v/>
      </c>
      <c r="I11318" s="4" t="str">
        <v/>
      </c>
    </row>
    <row r="11319" spans="5:9" ht="16.5" hidden="1">
      <c r="E11319" s="4" t="str">
        <v/>
      </c>
      <c r="F11319" s="102" t="str">
        <f ca="1">IFERROR(__xludf.DUMMYFUNCTION("IMPORTRANGE(H11319,""IDENTITAS UNIT!D9"")"),"#N/A")</f>
        <v>#N/A</v>
      </c>
      <c r="H11319" s="4" t="str">
        <v/>
      </c>
      <c r="I11319" s="4" t="str">
        <v/>
      </c>
    </row>
    <row r="11320" spans="5:9" ht="16.5" hidden="1">
      <c r="E11320" s="4" t="str">
        <v/>
      </c>
      <c r="F11320" s="102" t="str">
        <f ca="1">IFERROR(__xludf.DUMMYFUNCTION("IMPORTRANGE(H11320,""IDENTITAS UNIT!D9"")"),"#N/A")</f>
        <v>#N/A</v>
      </c>
      <c r="H11320" s="4" t="str">
        <v/>
      </c>
      <c r="I11320" s="4" t="str">
        <v/>
      </c>
    </row>
    <row r="11321" spans="5:9" ht="16.5" hidden="1">
      <c r="E11321" s="4" t="str">
        <v/>
      </c>
      <c r="F11321" s="102" t="str">
        <f ca="1">IFERROR(__xludf.DUMMYFUNCTION("IMPORTRANGE(H11321,""IDENTITAS UNIT!D9"")"),"#N/A")</f>
        <v>#N/A</v>
      </c>
      <c r="H11321" s="4" t="str">
        <v/>
      </c>
      <c r="I11321" s="4" t="str">
        <v/>
      </c>
    </row>
    <row r="11322" spans="5:9" ht="16.5" hidden="1">
      <c r="E11322" s="4" t="str">
        <v/>
      </c>
      <c r="F11322" s="102" t="str">
        <f ca="1">IFERROR(__xludf.DUMMYFUNCTION("IMPORTRANGE(H11322,""IDENTITAS UNIT!D9"")"),"#N/A")</f>
        <v>#N/A</v>
      </c>
      <c r="H11322" s="4" t="str">
        <v/>
      </c>
      <c r="I11322" s="4" t="str">
        <v/>
      </c>
    </row>
    <row r="11323" spans="5:9" ht="16.5" hidden="1">
      <c r="E11323" s="4" t="str">
        <v/>
      </c>
      <c r="F11323" s="102" t="str">
        <f ca="1">IFERROR(__xludf.DUMMYFUNCTION("IMPORTRANGE(H11323,""IDENTITAS UNIT!D9"")"),"#N/A")</f>
        <v>#N/A</v>
      </c>
      <c r="H11323" s="4" t="str">
        <v/>
      </c>
      <c r="I11323" s="4" t="str">
        <v/>
      </c>
    </row>
    <row r="11324" spans="5:9" ht="16.5" hidden="1">
      <c r="E11324" s="4" t="str">
        <v/>
      </c>
      <c r="F11324" s="102" t="str">
        <f ca="1">IFERROR(__xludf.DUMMYFUNCTION("IMPORTRANGE(H11324,""IDENTITAS UNIT!D9"")"),"#N/A")</f>
        <v>#N/A</v>
      </c>
      <c r="H11324" s="4" t="str">
        <v/>
      </c>
      <c r="I11324" s="4" t="str">
        <v/>
      </c>
    </row>
    <row r="11325" spans="5:9" ht="16.5" hidden="1">
      <c r="E11325" s="4" t="str">
        <v/>
      </c>
      <c r="F11325" s="102" t="str">
        <f ca="1">IFERROR(__xludf.DUMMYFUNCTION("IMPORTRANGE(H11325,""IDENTITAS UNIT!D9"")"),"#N/A")</f>
        <v>#N/A</v>
      </c>
      <c r="H11325" s="4" t="str">
        <v/>
      </c>
      <c r="I11325" s="4" t="str">
        <v/>
      </c>
    </row>
    <row r="11326" spans="5:9" ht="16.5" hidden="1">
      <c r="E11326" s="4" t="str">
        <v/>
      </c>
      <c r="F11326" s="102" t="str">
        <f ca="1">IFERROR(__xludf.DUMMYFUNCTION("IMPORTRANGE(H11326,""IDENTITAS UNIT!D9"")"),"#N/A")</f>
        <v>#N/A</v>
      </c>
      <c r="H11326" s="4" t="str">
        <v/>
      </c>
      <c r="I11326" s="4" t="str">
        <v/>
      </c>
    </row>
    <row r="11327" spans="5:9" ht="16.5" hidden="1">
      <c r="E11327" s="4" t="str">
        <v/>
      </c>
      <c r="F11327" s="102" t="str">
        <f ca="1">IFERROR(__xludf.DUMMYFUNCTION("IMPORTRANGE(H11327,""IDENTITAS UNIT!D9"")"),"#N/A")</f>
        <v>#N/A</v>
      </c>
      <c r="H11327" s="4" t="str">
        <v/>
      </c>
      <c r="I11327" s="4" t="str">
        <v/>
      </c>
    </row>
    <row r="11328" spans="5:9" ht="16.5" hidden="1">
      <c r="E11328" s="4" t="str">
        <v/>
      </c>
      <c r="F11328" s="102" t="str">
        <f ca="1">IFERROR(__xludf.DUMMYFUNCTION("IMPORTRANGE(H11328,""IDENTITAS UNIT!D9"")"),"#N/A")</f>
        <v>#N/A</v>
      </c>
      <c r="H11328" s="4" t="str">
        <v/>
      </c>
      <c r="I11328" s="4" t="str">
        <v/>
      </c>
    </row>
    <row r="11329" spans="5:9" ht="16.5" hidden="1">
      <c r="E11329" s="4" t="str">
        <v/>
      </c>
      <c r="F11329" s="102" t="str">
        <f ca="1">IFERROR(__xludf.DUMMYFUNCTION("IMPORTRANGE(H11329,""IDENTITAS UNIT!D9"")"),"#N/A")</f>
        <v>#N/A</v>
      </c>
      <c r="H11329" s="4" t="str">
        <v/>
      </c>
      <c r="I11329" s="4" t="str">
        <v/>
      </c>
    </row>
    <row r="11330" spans="5:9" ht="16.5" hidden="1">
      <c r="E11330" s="4" t="str">
        <v/>
      </c>
      <c r="F11330" s="102" t="str">
        <f ca="1">IFERROR(__xludf.DUMMYFUNCTION("IMPORTRANGE(H11330,""IDENTITAS UNIT!D9"")"),"#N/A")</f>
        <v>#N/A</v>
      </c>
      <c r="H11330" s="4" t="str">
        <v/>
      </c>
      <c r="I11330" s="4" t="str">
        <v/>
      </c>
    </row>
    <row r="11331" spans="5:9" ht="16.5" hidden="1">
      <c r="E11331" s="4" t="str">
        <v/>
      </c>
      <c r="F11331" s="102" t="str">
        <f ca="1">IFERROR(__xludf.DUMMYFUNCTION("IMPORTRANGE(H11331,""IDENTITAS UNIT!D9"")"),"#N/A")</f>
        <v>#N/A</v>
      </c>
      <c r="H11331" s="4" t="str">
        <v/>
      </c>
      <c r="I11331" s="4" t="str">
        <v/>
      </c>
    </row>
    <row r="11332" spans="5:9" ht="16.5" hidden="1">
      <c r="E11332" s="4" t="str">
        <v/>
      </c>
      <c r="F11332" s="102" t="str">
        <f ca="1">IFERROR(__xludf.DUMMYFUNCTION("IMPORTRANGE(H11332,""IDENTITAS UNIT!D9"")"),"#N/A")</f>
        <v>#N/A</v>
      </c>
      <c r="H11332" s="4" t="str">
        <v/>
      </c>
      <c r="I11332" s="4" t="str">
        <v/>
      </c>
    </row>
    <row r="11333" spans="5:9" ht="16.5" hidden="1">
      <c r="E11333" s="4" t="str">
        <v/>
      </c>
      <c r="F11333" s="102" t="str">
        <f ca="1">IFERROR(__xludf.DUMMYFUNCTION("IMPORTRANGE(H11333,""IDENTITAS UNIT!D9"")"),"#N/A")</f>
        <v>#N/A</v>
      </c>
      <c r="H11333" s="4" t="str">
        <v/>
      </c>
      <c r="I11333" s="4" t="str">
        <v/>
      </c>
    </row>
    <row r="11334" spans="5:9" ht="16.5" hidden="1">
      <c r="E11334" s="4" t="str">
        <v/>
      </c>
      <c r="F11334" s="102" t="str">
        <f ca="1">IFERROR(__xludf.DUMMYFUNCTION("IMPORTRANGE(H11334,""IDENTITAS UNIT!D9"")"),"#N/A")</f>
        <v>#N/A</v>
      </c>
      <c r="H11334" s="4" t="str">
        <v/>
      </c>
      <c r="I11334" s="4" t="str">
        <v/>
      </c>
    </row>
    <row r="11335" spans="5:9" ht="16.5" hidden="1">
      <c r="E11335" s="4" t="str">
        <v/>
      </c>
      <c r="F11335" s="102" t="str">
        <f ca="1">IFERROR(__xludf.DUMMYFUNCTION("IMPORTRANGE(H11335,""IDENTITAS UNIT!D9"")"),"#N/A")</f>
        <v>#N/A</v>
      </c>
      <c r="H11335" s="4" t="str">
        <v/>
      </c>
      <c r="I11335" s="4" t="str">
        <v/>
      </c>
    </row>
    <row r="11336" spans="5:9" ht="16.5" hidden="1">
      <c r="E11336" s="4" t="str">
        <v/>
      </c>
      <c r="F11336" s="102" t="str">
        <f ca="1">IFERROR(__xludf.DUMMYFUNCTION("IMPORTRANGE(H11336,""IDENTITAS UNIT!D9"")"),"#N/A")</f>
        <v>#N/A</v>
      </c>
      <c r="H11336" s="4" t="str">
        <v/>
      </c>
      <c r="I11336" s="4" t="str">
        <v/>
      </c>
    </row>
    <row r="11337" spans="5:9" ht="16.5" hidden="1">
      <c r="E11337" s="4" t="str">
        <v/>
      </c>
      <c r="F11337" s="102" t="str">
        <f ca="1">IFERROR(__xludf.DUMMYFUNCTION("IMPORTRANGE(H11337,""IDENTITAS UNIT!D9"")"),"#N/A")</f>
        <v>#N/A</v>
      </c>
      <c r="H11337" s="4" t="str">
        <v/>
      </c>
      <c r="I11337" s="4" t="str">
        <v/>
      </c>
    </row>
    <row r="11338" spans="5:9" ht="16.5" hidden="1">
      <c r="E11338" s="4" t="str">
        <v/>
      </c>
      <c r="F11338" s="102" t="str">
        <f ca="1">IFERROR(__xludf.DUMMYFUNCTION("IMPORTRANGE(H11338,""IDENTITAS UNIT!D9"")"),"#N/A")</f>
        <v>#N/A</v>
      </c>
      <c r="H11338" s="4" t="str">
        <v/>
      </c>
      <c r="I11338" s="4" t="str">
        <v/>
      </c>
    </row>
    <row r="11339" spans="5:9" ht="16.5" hidden="1">
      <c r="E11339" s="4" t="str">
        <v/>
      </c>
      <c r="F11339" s="102" t="str">
        <f ca="1">IFERROR(__xludf.DUMMYFUNCTION("IMPORTRANGE(H11339,""IDENTITAS UNIT!D9"")"),"#N/A")</f>
        <v>#N/A</v>
      </c>
      <c r="H11339" s="4" t="str">
        <v/>
      </c>
      <c r="I11339" s="4" t="str">
        <v/>
      </c>
    </row>
    <row r="11340" spans="5:9" ht="16.5" hidden="1">
      <c r="E11340" s="4" t="str">
        <v/>
      </c>
      <c r="F11340" s="102" t="str">
        <f ca="1">IFERROR(__xludf.DUMMYFUNCTION("IMPORTRANGE(H11340,""IDENTITAS UNIT!D9"")"),"#N/A")</f>
        <v>#N/A</v>
      </c>
      <c r="H11340" s="4" t="str">
        <v/>
      </c>
      <c r="I11340" s="4" t="str">
        <v/>
      </c>
    </row>
    <row r="11341" spans="5:9" ht="16.5" hidden="1">
      <c r="E11341" s="4" t="str">
        <v/>
      </c>
      <c r="F11341" s="102" t="str">
        <f ca="1">IFERROR(__xludf.DUMMYFUNCTION("IMPORTRANGE(H11341,""IDENTITAS UNIT!D9"")"),"#N/A")</f>
        <v>#N/A</v>
      </c>
      <c r="H11341" s="4" t="str">
        <v/>
      </c>
      <c r="I11341" s="4" t="str">
        <v/>
      </c>
    </row>
    <row r="11342" spans="5:9" ht="16.5" hidden="1">
      <c r="E11342" s="4" t="str">
        <v/>
      </c>
      <c r="F11342" s="102" t="str">
        <f ca="1">IFERROR(__xludf.DUMMYFUNCTION("IMPORTRANGE(H11342,""IDENTITAS UNIT!D9"")"),"#N/A")</f>
        <v>#N/A</v>
      </c>
      <c r="H11342" s="4" t="str">
        <v/>
      </c>
      <c r="I11342" s="4" t="str">
        <v/>
      </c>
    </row>
    <row r="11343" spans="5:9" ht="16.5" hidden="1">
      <c r="E11343" s="4" t="str">
        <v/>
      </c>
      <c r="F11343" s="102" t="str">
        <f ca="1">IFERROR(__xludf.DUMMYFUNCTION("IMPORTRANGE(H11343,""IDENTITAS UNIT!D9"")"),"#N/A")</f>
        <v>#N/A</v>
      </c>
      <c r="H11343" s="4" t="str">
        <v/>
      </c>
      <c r="I11343" s="4" t="str">
        <v/>
      </c>
    </row>
    <row r="11344" spans="5:9" ht="16.5" hidden="1">
      <c r="E11344" s="4" t="str">
        <v/>
      </c>
      <c r="F11344" s="102" t="str">
        <f ca="1">IFERROR(__xludf.DUMMYFUNCTION("IMPORTRANGE(H11344,""IDENTITAS UNIT!D9"")"),"#N/A")</f>
        <v>#N/A</v>
      </c>
      <c r="H11344" s="4" t="str">
        <v/>
      </c>
      <c r="I11344" s="4" t="str">
        <v/>
      </c>
    </row>
    <row r="11345" spans="5:9" ht="16.5" hidden="1">
      <c r="E11345" s="4" t="str">
        <v/>
      </c>
      <c r="F11345" s="102" t="str">
        <f ca="1">IFERROR(__xludf.DUMMYFUNCTION("IMPORTRANGE(H11345,""IDENTITAS UNIT!D9"")"),"#N/A")</f>
        <v>#N/A</v>
      </c>
      <c r="H11345" s="4" t="str">
        <v/>
      </c>
      <c r="I11345" s="4" t="str">
        <v/>
      </c>
    </row>
    <row r="11346" spans="5:9" ht="16.5" hidden="1">
      <c r="E11346" s="4" t="str">
        <v/>
      </c>
      <c r="F11346" s="102" t="str">
        <f ca="1">IFERROR(__xludf.DUMMYFUNCTION("IMPORTRANGE(H11346,""IDENTITAS UNIT!D9"")"),"#N/A")</f>
        <v>#N/A</v>
      </c>
      <c r="H11346" s="4" t="str">
        <v/>
      </c>
      <c r="I11346" s="4" t="str">
        <v/>
      </c>
    </row>
    <row r="11347" spans="5:9" ht="16.5" hidden="1">
      <c r="E11347" s="4" t="str">
        <v/>
      </c>
      <c r="F11347" s="102" t="str">
        <f ca="1">IFERROR(__xludf.DUMMYFUNCTION("IMPORTRANGE(H11347,""IDENTITAS UNIT!D9"")"),"#N/A")</f>
        <v>#N/A</v>
      </c>
      <c r="H11347" s="4" t="str">
        <v/>
      </c>
      <c r="I11347" s="4" t="str">
        <v/>
      </c>
    </row>
    <row r="11348" spans="5:9" ht="16.5" hidden="1">
      <c r="E11348" s="4" t="str">
        <v/>
      </c>
      <c r="F11348" s="102" t="str">
        <f ca="1">IFERROR(__xludf.DUMMYFUNCTION("IMPORTRANGE(H11348,""IDENTITAS UNIT!D9"")"),"#N/A")</f>
        <v>#N/A</v>
      </c>
      <c r="H11348" s="4" t="str">
        <v/>
      </c>
      <c r="I11348" s="4" t="str">
        <v/>
      </c>
    </row>
    <row r="11349" spans="5:9" ht="16.5" hidden="1">
      <c r="E11349" s="4" t="str">
        <v/>
      </c>
      <c r="F11349" s="102" t="str">
        <f ca="1">IFERROR(__xludf.DUMMYFUNCTION("IMPORTRANGE(H11349,""IDENTITAS UNIT!D9"")"),"#N/A")</f>
        <v>#N/A</v>
      </c>
      <c r="H11349" s="4" t="str">
        <v/>
      </c>
      <c r="I11349" s="4" t="str">
        <v/>
      </c>
    </row>
    <row r="11350" spans="5:9" ht="16.5" hidden="1">
      <c r="E11350" s="4" t="str">
        <v/>
      </c>
      <c r="F11350" s="102" t="str">
        <f ca="1">IFERROR(__xludf.DUMMYFUNCTION("IMPORTRANGE(H11350,""IDENTITAS UNIT!D9"")"),"#N/A")</f>
        <v>#N/A</v>
      </c>
      <c r="H11350" s="4" t="str">
        <v/>
      </c>
      <c r="I11350" s="4" t="str">
        <v/>
      </c>
    </row>
    <row r="11351" spans="5:9" ht="16.5" hidden="1">
      <c r="E11351" s="4" t="str">
        <v/>
      </c>
      <c r="F11351" s="102" t="str">
        <f ca="1">IFERROR(__xludf.DUMMYFUNCTION("IMPORTRANGE(H11351,""IDENTITAS UNIT!D9"")"),"#N/A")</f>
        <v>#N/A</v>
      </c>
      <c r="H11351" s="4" t="str">
        <v/>
      </c>
      <c r="I11351" s="4" t="str">
        <v/>
      </c>
    </row>
    <row r="11352" spans="5:9" ht="16.5" hidden="1">
      <c r="E11352" s="4" t="str">
        <v/>
      </c>
      <c r="F11352" s="102" t="str">
        <f ca="1">IFERROR(__xludf.DUMMYFUNCTION("IMPORTRANGE(H11352,""IDENTITAS UNIT!D9"")"),"#N/A")</f>
        <v>#N/A</v>
      </c>
      <c r="H11352" s="4" t="str">
        <v/>
      </c>
      <c r="I11352" s="4" t="str">
        <v/>
      </c>
    </row>
    <row r="11353" spans="5:9" ht="16.5" hidden="1">
      <c r="E11353" s="4" t="str">
        <v/>
      </c>
      <c r="F11353" s="102" t="str">
        <f ca="1">IFERROR(__xludf.DUMMYFUNCTION("IMPORTRANGE(H11353,""IDENTITAS UNIT!D9"")"),"#N/A")</f>
        <v>#N/A</v>
      </c>
      <c r="H11353" s="4" t="str">
        <v/>
      </c>
      <c r="I11353" s="4" t="str">
        <v/>
      </c>
    </row>
    <row r="11354" spans="5:9" ht="16.5" hidden="1">
      <c r="E11354" s="4" t="str">
        <v/>
      </c>
      <c r="F11354" s="102" t="str">
        <f ca="1">IFERROR(__xludf.DUMMYFUNCTION("IMPORTRANGE(H11354,""IDENTITAS UNIT!D9"")"),"#N/A")</f>
        <v>#N/A</v>
      </c>
      <c r="H11354" s="4" t="str">
        <v/>
      </c>
      <c r="I11354" s="4" t="str">
        <v/>
      </c>
    </row>
    <row r="11355" spans="5:9" ht="16.5" hidden="1">
      <c r="E11355" s="4" t="str">
        <v/>
      </c>
      <c r="F11355" s="102" t="str">
        <f ca="1">IFERROR(__xludf.DUMMYFUNCTION("IMPORTRANGE(H11355,""IDENTITAS UNIT!D9"")"),"#N/A")</f>
        <v>#N/A</v>
      </c>
      <c r="H11355" s="4" t="str">
        <v/>
      </c>
      <c r="I11355" s="4" t="str">
        <v/>
      </c>
    </row>
    <row r="11356" spans="5:9" ht="16.5" hidden="1">
      <c r="E11356" s="4" t="str">
        <v/>
      </c>
      <c r="F11356" s="102" t="str">
        <f ca="1">IFERROR(__xludf.DUMMYFUNCTION("IMPORTRANGE(H11356,""IDENTITAS UNIT!D9"")"),"#N/A")</f>
        <v>#N/A</v>
      </c>
      <c r="H11356" s="4" t="str">
        <v/>
      </c>
      <c r="I11356" s="4" t="str">
        <v/>
      </c>
    </row>
    <row r="11357" spans="5:9" ht="16.5" hidden="1">
      <c r="E11357" s="4" t="str">
        <v/>
      </c>
      <c r="F11357" s="102" t="str">
        <f ca="1">IFERROR(__xludf.DUMMYFUNCTION("IMPORTRANGE(H11357,""IDENTITAS UNIT!D9"")"),"#N/A")</f>
        <v>#N/A</v>
      </c>
      <c r="H11357" s="4" t="str">
        <v/>
      </c>
      <c r="I11357" s="4" t="str">
        <v/>
      </c>
    </row>
    <row r="11358" spans="5:9" ht="16.5" hidden="1">
      <c r="E11358" s="4" t="str">
        <v/>
      </c>
      <c r="F11358" s="102" t="str">
        <f ca="1">IFERROR(__xludf.DUMMYFUNCTION("IMPORTRANGE(H11358,""IDENTITAS UNIT!D9"")"),"#N/A")</f>
        <v>#N/A</v>
      </c>
      <c r="H11358" s="4" t="str">
        <v/>
      </c>
      <c r="I11358" s="4" t="str">
        <v/>
      </c>
    </row>
    <row r="11359" spans="5:9" ht="16.5" hidden="1">
      <c r="E11359" s="4" t="str">
        <v/>
      </c>
      <c r="F11359" s="102" t="str">
        <f ca="1">IFERROR(__xludf.DUMMYFUNCTION("IMPORTRANGE(H11359,""IDENTITAS UNIT!D9"")"),"#N/A")</f>
        <v>#N/A</v>
      </c>
      <c r="H11359" s="4" t="str">
        <v/>
      </c>
      <c r="I11359" s="4" t="str">
        <v/>
      </c>
    </row>
    <row r="11360" spans="5:9" ht="16.5" hidden="1">
      <c r="E11360" s="4" t="str">
        <v/>
      </c>
      <c r="F11360" s="102" t="str">
        <f ca="1">IFERROR(__xludf.DUMMYFUNCTION("IMPORTRANGE(H11360,""IDENTITAS UNIT!D9"")"),"#N/A")</f>
        <v>#N/A</v>
      </c>
      <c r="H11360" s="4" t="str">
        <v/>
      </c>
      <c r="I11360" s="4" t="str">
        <v/>
      </c>
    </row>
    <row r="11361" spans="5:9" ht="16.5" hidden="1">
      <c r="E11361" s="4" t="str">
        <v/>
      </c>
      <c r="F11361" s="102" t="str">
        <f ca="1">IFERROR(__xludf.DUMMYFUNCTION("IMPORTRANGE(H11361,""IDENTITAS UNIT!D9"")"),"#N/A")</f>
        <v>#N/A</v>
      </c>
      <c r="H11361" s="4" t="str">
        <v/>
      </c>
      <c r="I11361" s="4" t="str">
        <v/>
      </c>
    </row>
    <row r="11362" spans="5:9" ht="16.5" hidden="1">
      <c r="E11362" s="4" t="str">
        <v/>
      </c>
      <c r="F11362" s="102" t="str">
        <f ca="1">IFERROR(__xludf.DUMMYFUNCTION("IMPORTRANGE(H11362,""IDENTITAS UNIT!D9"")"),"#N/A")</f>
        <v>#N/A</v>
      </c>
      <c r="H11362" s="4" t="str">
        <v/>
      </c>
      <c r="I11362" s="4" t="str">
        <v/>
      </c>
    </row>
    <row r="11363" spans="5:9" ht="16.5" hidden="1">
      <c r="E11363" s="4" t="str">
        <v/>
      </c>
      <c r="F11363" s="102" t="str">
        <f ca="1">IFERROR(__xludf.DUMMYFUNCTION("IMPORTRANGE(H11363,""IDENTITAS UNIT!D9"")"),"#N/A")</f>
        <v>#N/A</v>
      </c>
      <c r="H11363" s="4" t="str">
        <v/>
      </c>
      <c r="I11363" s="4" t="str">
        <v/>
      </c>
    </row>
    <row r="11364" spans="5:9" ht="16.5" hidden="1">
      <c r="E11364" s="4" t="str">
        <v/>
      </c>
      <c r="F11364" s="102" t="str">
        <f ca="1">IFERROR(__xludf.DUMMYFUNCTION("IMPORTRANGE(H11364,""IDENTITAS UNIT!D9"")"),"#N/A")</f>
        <v>#N/A</v>
      </c>
      <c r="H11364" s="4" t="str">
        <v/>
      </c>
      <c r="I11364" s="4" t="str">
        <v/>
      </c>
    </row>
    <row r="11365" spans="5:9" ht="16.5" hidden="1">
      <c r="E11365" s="4" t="str">
        <v/>
      </c>
      <c r="F11365" s="102" t="str">
        <f ca="1">IFERROR(__xludf.DUMMYFUNCTION("IMPORTRANGE(H11365,""IDENTITAS UNIT!D9"")"),"#N/A")</f>
        <v>#N/A</v>
      </c>
      <c r="H11365" s="4" t="str">
        <v/>
      </c>
      <c r="I11365" s="4" t="str">
        <v/>
      </c>
    </row>
    <row r="11366" spans="5:9" ht="16.5" hidden="1">
      <c r="E11366" s="4" t="str">
        <v/>
      </c>
      <c r="F11366" s="102" t="str">
        <f ca="1">IFERROR(__xludf.DUMMYFUNCTION("IMPORTRANGE(H11366,""IDENTITAS UNIT!D9"")"),"#N/A")</f>
        <v>#N/A</v>
      </c>
      <c r="H11366" s="4" t="str">
        <v/>
      </c>
      <c r="I11366" s="4" t="str">
        <v/>
      </c>
    </row>
    <row r="11367" spans="5:9" ht="16.5" hidden="1">
      <c r="E11367" s="4" t="str">
        <v/>
      </c>
      <c r="F11367" s="102" t="str">
        <f ca="1">IFERROR(__xludf.DUMMYFUNCTION("IMPORTRANGE(H11367,""IDENTITAS UNIT!D9"")"),"#N/A")</f>
        <v>#N/A</v>
      </c>
      <c r="H11367" s="4" t="str">
        <v/>
      </c>
      <c r="I11367" s="4" t="str">
        <v/>
      </c>
    </row>
    <row r="11368" spans="5:9" ht="16.5" hidden="1">
      <c r="E11368" s="4" t="str">
        <v/>
      </c>
      <c r="F11368" s="102" t="str">
        <f ca="1">IFERROR(__xludf.DUMMYFUNCTION("IMPORTRANGE(H11368,""IDENTITAS UNIT!D9"")"),"#N/A")</f>
        <v>#N/A</v>
      </c>
      <c r="H11368" s="4" t="str">
        <v/>
      </c>
      <c r="I11368" s="4" t="str">
        <v/>
      </c>
    </row>
    <row r="11369" spans="5:9" ht="16.5" hidden="1">
      <c r="E11369" s="4" t="str">
        <v/>
      </c>
      <c r="F11369" s="102" t="str">
        <f ca="1">IFERROR(__xludf.DUMMYFUNCTION("IMPORTRANGE(H11369,""IDENTITAS UNIT!D9"")"),"#N/A")</f>
        <v>#N/A</v>
      </c>
      <c r="H11369" s="4" t="str">
        <v/>
      </c>
      <c r="I11369" s="4" t="str">
        <v/>
      </c>
    </row>
    <row r="11370" spans="5:9" ht="16.5" hidden="1">
      <c r="E11370" s="4" t="str">
        <v/>
      </c>
      <c r="F11370" s="102" t="str">
        <f ca="1">IFERROR(__xludf.DUMMYFUNCTION("IMPORTRANGE(H11370,""IDENTITAS UNIT!D9"")"),"#N/A")</f>
        <v>#N/A</v>
      </c>
      <c r="H11370" s="4" t="str">
        <v/>
      </c>
      <c r="I11370" s="4" t="str">
        <v/>
      </c>
    </row>
    <row r="11371" spans="5:9" ht="16.5" hidden="1">
      <c r="E11371" s="4" t="str">
        <v/>
      </c>
      <c r="F11371" s="102" t="str">
        <f ca="1">IFERROR(__xludf.DUMMYFUNCTION("IMPORTRANGE(H11371,""IDENTITAS UNIT!D9"")"),"#N/A")</f>
        <v>#N/A</v>
      </c>
      <c r="H11371" s="4" t="str">
        <v/>
      </c>
      <c r="I11371" s="4" t="str">
        <v/>
      </c>
    </row>
    <row r="11372" spans="5:9" ht="16.5" hidden="1">
      <c r="E11372" s="4" t="str">
        <v/>
      </c>
      <c r="F11372" s="102" t="str">
        <f ca="1">IFERROR(__xludf.DUMMYFUNCTION("IMPORTRANGE(H11372,""IDENTITAS UNIT!D9"")"),"#N/A")</f>
        <v>#N/A</v>
      </c>
      <c r="H11372" s="4" t="str">
        <v/>
      </c>
      <c r="I11372" s="4" t="str">
        <v/>
      </c>
    </row>
    <row r="11373" spans="5:9" ht="16.5" hidden="1">
      <c r="E11373" s="4" t="str">
        <v/>
      </c>
      <c r="F11373" s="102" t="str">
        <f ca="1">IFERROR(__xludf.DUMMYFUNCTION("IMPORTRANGE(H11373,""IDENTITAS UNIT!D9"")"),"#N/A")</f>
        <v>#N/A</v>
      </c>
      <c r="H11373" s="4" t="str">
        <v/>
      </c>
      <c r="I11373" s="4" t="str">
        <v/>
      </c>
    </row>
    <row r="11374" spans="5:9" ht="16.5" hidden="1">
      <c r="E11374" s="4" t="str">
        <v/>
      </c>
      <c r="F11374" s="102" t="str">
        <f ca="1">IFERROR(__xludf.DUMMYFUNCTION("IMPORTRANGE(H11374,""IDENTITAS UNIT!D9"")"),"#N/A")</f>
        <v>#N/A</v>
      </c>
      <c r="H11374" s="4" t="str">
        <v/>
      </c>
      <c r="I11374" s="4" t="str">
        <v/>
      </c>
    </row>
    <row r="11375" spans="5:9" ht="16.5" hidden="1">
      <c r="E11375" s="4" t="str">
        <v/>
      </c>
      <c r="F11375" s="102" t="str">
        <f ca="1">IFERROR(__xludf.DUMMYFUNCTION("IMPORTRANGE(H11375,""IDENTITAS UNIT!D9"")"),"#N/A")</f>
        <v>#N/A</v>
      </c>
      <c r="H11375" s="4" t="str">
        <v/>
      </c>
      <c r="I11375" s="4" t="str">
        <v/>
      </c>
    </row>
    <row r="11376" spans="5:9" ht="16.5" hidden="1">
      <c r="E11376" s="4" t="str">
        <v/>
      </c>
      <c r="F11376" s="102" t="str">
        <f ca="1">IFERROR(__xludf.DUMMYFUNCTION("IMPORTRANGE(H11376,""IDENTITAS UNIT!D9"")"),"#N/A")</f>
        <v>#N/A</v>
      </c>
      <c r="H11376" s="4" t="str">
        <v/>
      </c>
      <c r="I11376" s="4" t="str">
        <v/>
      </c>
    </row>
    <row r="11377" spans="5:9" ht="16.5" hidden="1">
      <c r="E11377" s="4" t="str">
        <v/>
      </c>
      <c r="F11377" s="102" t="str">
        <f ca="1">IFERROR(__xludf.DUMMYFUNCTION("IMPORTRANGE(H11377,""IDENTITAS UNIT!D9"")"),"#N/A")</f>
        <v>#N/A</v>
      </c>
      <c r="H11377" s="4" t="str">
        <v/>
      </c>
      <c r="I11377" s="4" t="str">
        <v/>
      </c>
    </row>
    <row r="11378" spans="5:9" ht="16.5" hidden="1">
      <c r="E11378" s="4" t="str">
        <v/>
      </c>
      <c r="F11378" s="102" t="str">
        <f ca="1">IFERROR(__xludf.DUMMYFUNCTION("IMPORTRANGE(H11378,""IDENTITAS UNIT!D9"")"),"#N/A")</f>
        <v>#N/A</v>
      </c>
      <c r="H11378" s="4" t="str">
        <v/>
      </c>
      <c r="I11378" s="4" t="str">
        <v/>
      </c>
    </row>
    <row r="11379" spans="5:9" ht="16.5" hidden="1">
      <c r="E11379" s="4" t="str">
        <v/>
      </c>
      <c r="F11379" s="102" t="str">
        <f ca="1">IFERROR(__xludf.DUMMYFUNCTION("IMPORTRANGE(H11379,""IDENTITAS UNIT!D9"")"),"#N/A")</f>
        <v>#N/A</v>
      </c>
      <c r="H11379" s="4" t="str">
        <v/>
      </c>
      <c r="I11379" s="4" t="str">
        <v/>
      </c>
    </row>
    <row r="11380" spans="5:9" ht="16.5" hidden="1">
      <c r="E11380" s="4" t="str">
        <v/>
      </c>
      <c r="F11380" s="102" t="str">
        <f ca="1">IFERROR(__xludf.DUMMYFUNCTION("IMPORTRANGE(H11380,""IDENTITAS UNIT!D9"")"),"#N/A")</f>
        <v>#N/A</v>
      </c>
      <c r="H11380" s="4" t="str">
        <v/>
      </c>
      <c r="I11380" s="4" t="str">
        <v/>
      </c>
    </row>
    <row r="11381" spans="5:9" ht="16.5" hidden="1">
      <c r="E11381" s="4" t="str">
        <v/>
      </c>
      <c r="F11381" s="102" t="str">
        <f ca="1">IFERROR(__xludf.DUMMYFUNCTION("IMPORTRANGE(H11381,""IDENTITAS UNIT!D9"")"),"#N/A")</f>
        <v>#N/A</v>
      </c>
      <c r="H11381" s="4" t="str">
        <v/>
      </c>
      <c r="I11381" s="4" t="str">
        <v/>
      </c>
    </row>
    <row r="11382" spans="5:9" ht="16.5" hidden="1">
      <c r="E11382" s="4" t="str">
        <v/>
      </c>
      <c r="F11382" s="102" t="str">
        <f ca="1">IFERROR(__xludf.DUMMYFUNCTION("IMPORTRANGE(H11382,""IDENTITAS UNIT!D9"")"),"#N/A")</f>
        <v>#N/A</v>
      </c>
      <c r="H11382" s="4" t="str">
        <v/>
      </c>
      <c r="I11382" s="4" t="str">
        <v/>
      </c>
    </row>
    <row r="11383" spans="5:9" ht="16.5" hidden="1">
      <c r="E11383" s="4" t="str">
        <v/>
      </c>
      <c r="F11383" s="102" t="str">
        <f ca="1">IFERROR(__xludf.DUMMYFUNCTION("IMPORTRANGE(H11383,""IDENTITAS UNIT!D9"")"),"#N/A")</f>
        <v>#N/A</v>
      </c>
      <c r="H11383" s="4" t="str">
        <v/>
      </c>
      <c r="I11383" s="4" t="str">
        <v/>
      </c>
    </row>
    <row r="11384" spans="5:9" ht="16.5" hidden="1">
      <c r="E11384" s="4" t="str">
        <v/>
      </c>
      <c r="F11384" s="102" t="str">
        <f ca="1">IFERROR(__xludf.DUMMYFUNCTION("IMPORTRANGE(H11384,""IDENTITAS UNIT!D9"")"),"#N/A")</f>
        <v>#N/A</v>
      </c>
      <c r="H11384" s="4" t="str">
        <v/>
      </c>
      <c r="I11384" s="4" t="str">
        <v/>
      </c>
    </row>
    <row r="11385" spans="5:9" ht="16.5" hidden="1">
      <c r="E11385" s="4" t="str">
        <v/>
      </c>
      <c r="F11385" s="102" t="str">
        <f ca="1">IFERROR(__xludf.DUMMYFUNCTION("IMPORTRANGE(H11385,""IDENTITAS UNIT!D9"")"),"#N/A")</f>
        <v>#N/A</v>
      </c>
      <c r="H11385" s="4" t="str">
        <v/>
      </c>
      <c r="I11385" s="4" t="str">
        <v/>
      </c>
    </row>
    <row r="11386" spans="5:9" ht="16.5" hidden="1">
      <c r="E11386" s="4" t="str">
        <v/>
      </c>
      <c r="F11386" s="102" t="str">
        <f ca="1">IFERROR(__xludf.DUMMYFUNCTION("IMPORTRANGE(H11386,""IDENTITAS UNIT!D9"")"),"#N/A")</f>
        <v>#N/A</v>
      </c>
      <c r="H11386" s="4" t="str">
        <v/>
      </c>
      <c r="I11386" s="4" t="str">
        <v/>
      </c>
    </row>
    <row r="11387" spans="5:9" ht="16.5" hidden="1">
      <c r="E11387" s="4" t="str">
        <v/>
      </c>
      <c r="F11387" s="102" t="str">
        <f ca="1">IFERROR(__xludf.DUMMYFUNCTION("IMPORTRANGE(H11387,""IDENTITAS UNIT!D9"")"),"#N/A")</f>
        <v>#N/A</v>
      </c>
      <c r="H11387" s="4" t="str">
        <v/>
      </c>
      <c r="I11387" s="4" t="str">
        <v/>
      </c>
    </row>
    <row r="11388" spans="5:9" ht="16.5" hidden="1">
      <c r="E11388" s="4" t="str">
        <v/>
      </c>
      <c r="F11388" s="102" t="str">
        <f ca="1">IFERROR(__xludf.DUMMYFUNCTION("IMPORTRANGE(H11388,""IDENTITAS UNIT!D9"")"),"#N/A")</f>
        <v>#N/A</v>
      </c>
      <c r="H11388" s="4" t="str">
        <v/>
      </c>
      <c r="I11388" s="4" t="str">
        <v/>
      </c>
    </row>
    <row r="11389" spans="5:9" ht="16.5" hidden="1">
      <c r="E11389" s="4" t="str">
        <v/>
      </c>
      <c r="F11389" s="102" t="str">
        <f ca="1">IFERROR(__xludf.DUMMYFUNCTION("IMPORTRANGE(H11389,""IDENTITAS UNIT!D9"")"),"#N/A")</f>
        <v>#N/A</v>
      </c>
      <c r="H11389" s="4" t="str">
        <v/>
      </c>
      <c r="I11389" s="4" t="str">
        <v/>
      </c>
    </row>
    <row r="11390" spans="5:9" ht="16.5" hidden="1">
      <c r="E11390" s="4" t="str">
        <v/>
      </c>
      <c r="F11390" s="102" t="str">
        <f ca="1">IFERROR(__xludf.DUMMYFUNCTION("IMPORTRANGE(H11390,""IDENTITAS UNIT!D9"")"),"#N/A")</f>
        <v>#N/A</v>
      </c>
      <c r="H11390" s="4" t="str">
        <v/>
      </c>
      <c r="I11390" s="4" t="str">
        <v/>
      </c>
    </row>
    <row r="11391" spans="5:9" ht="16.5" hidden="1">
      <c r="E11391" s="4" t="str">
        <v/>
      </c>
      <c r="F11391" s="102" t="str">
        <f ca="1">IFERROR(__xludf.DUMMYFUNCTION("IMPORTRANGE(H11391,""IDENTITAS UNIT!D9"")"),"#N/A")</f>
        <v>#N/A</v>
      </c>
      <c r="H11391" s="4" t="str">
        <v/>
      </c>
      <c r="I11391" s="4" t="str">
        <v/>
      </c>
    </row>
    <row r="11392" spans="5:9" ht="16.5" hidden="1">
      <c r="E11392" s="4" t="str">
        <v/>
      </c>
      <c r="F11392" s="102" t="str">
        <f ca="1">IFERROR(__xludf.DUMMYFUNCTION("IMPORTRANGE(H11392,""IDENTITAS UNIT!D9"")"),"#N/A")</f>
        <v>#N/A</v>
      </c>
      <c r="H11392" s="4" t="str">
        <v/>
      </c>
      <c r="I11392" s="4" t="str">
        <v/>
      </c>
    </row>
    <row r="11393" spans="5:9" ht="16.5" hidden="1">
      <c r="E11393" s="4" t="str">
        <v/>
      </c>
      <c r="F11393" s="102" t="str">
        <f ca="1">IFERROR(__xludf.DUMMYFUNCTION("IMPORTRANGE(H11393,""IDENTITAS UNIT!D9"")"),"#N/A")</f>
        <v>#N/A</v>
      </c>
      <c r="H11393" s="4" t="str">
        <v/>
      </c>
      <c r="I11393" s="4" t="str">
        <v/>
      </c>
    </row>
    <row r="11394" spans="5:9" ht="16.5" hidden="1">
      <c r="E11394" s="4" t="str">
        <v/>
      </c>
      <c r="F11394" s="102" t="str">
        <f ca="1">IFERROR(__xludf.DUMMYFUNCTION("IMPORTRANGE(H11394,""IDENTITAS UNIT!D9"")"),"#N/A")</f>
        <v>#N/A</v>
      </c>
      <c r="H11394" s="4" t="str">
        <v/>
      </c>
      <c r="I11394" s="4" t="str">
        <v/>
      </c>
    </row>
    <row r="11395" spans="5:9" ht="16.5" hidden="1">
      <c r="E11395" s="4" t="str">
        <v/>
      </c>
      <c r="F11395" s="102" t="str">
        <f ca="1">IFERROR(__xludf.DUMMYFUNCTION("IMPORTRANGE(H11395,""IDENTITAS UNIT!D9"")"),"#N/A")</f>
        <v>#N/A</v>
      </c>
      <c r="H11395" s="4" t="str">
        <v/>
      </c>
      <c r="I11395" s="4" t="str">
        <v/>
      </c>
    </row>
    <row r="11396" spans="5:9" ht="16.5" hidden="1">
      <c r="E11396" s="4" t="str">
        <v/>
      </c>
      <c r="F11396" s="102" t="str">
        <f ca="1">IFERROR(__xludf.DUMMYFUNCTION("IMPORTRANGE(H11396,""IDENTITAS UNIT!D9"")"),"#N/A")</f>
        <v>#N/A</v>
      </c>
      <c r="H11396" s="4" t="str">
        <v/>
      </c>
      <c r="I11396" s="4" t="str">
        <v/>
      </c>
    </row>
    <row r="11397" spans="5:9" ht="16.5" hidden="1">
      <c r="E11397" s="4" t="str">
        <v/>
      </c>
      <c r="F11397" s="102" t="str">
        <f ca="1">IFERROR(__xludf.DUMMYFUNCTION("IMPORTRANGE(H11397,""IDENTITAS UNIT!D9"")"),"#N/A")</f>
        <v>#N/A</v>
      </c>
      <c r="H11397" s="4" t="str">
        <v/>
      </c>
      <c r="I11397" s="4" t="str">
        <v/>
      </c>
    </row>
    <row r="11398" spans="5:9" ht="16.5" hidden="1">
      <c r="E11398" s="4" t="str">
        <v/>
      </c>
      <c r="F11398" s="102" t="str">
        <f ca="1">IFERROR(__xludf.DUMMYFUNCTION("IMPORTRANGE(H11398,""IDENTITAS UNIT!D9"")"),"#N/A")</f>
        <v>#N/A</v>
      </c>
      <c r="H11398" s="4" t="str">
        <v/>
      </c>
      <c r="I11398" s="4" t="str">
        <v/>
      </c>
    </row>
    <row r="11399" spans="5:9" ht="16.5" hidden="1">
      <c r="E11399" s="4" t="str">
        <v/>
      </c>
      <c r="F11399" s="102" t="str">
        <f ca="1">IFERROR(__xludf.DUMMYFUNCTION("IMPORTRANGE(H11399,""IDENTITAS UNIT!D9"")"),"#N/A")</f>
        <v>#N/A</v>
      </c>
      <c r="H11399" s="4" t="str">
        <v/>
      </c>
      <c r="I11399" s="4" t="str">
        <v/>
      </c>
    </row>
    <row r="11400" spans="5:9" ht="16.5" hidden="1">
      <c r="E11400" s="4" t="str">
        <v/>
      </c>
      <c r="F11400" s="102" t="str">
        <f ca="1">IFERROR(__xludf.DUMMYFUNCTION("IMPORTRANGE(H11400,""IDENTITAS UNIT!D9"")"),"#N/A")</f>
        <v>#N/A</v>
      </c>
      <c r="H11400" s="4" t="str">
        <v/>
      </c>
      <c r="I11400" s="4" t="str">
        <v/>
      </c>
    </row>
    <row r="11401" spans="5:9" ht="16.5" hidden="1">
      <c r="E11401" s="4" t="str">
        <v/>
      </c>
      <c r="F11401" s="102" t="str">
        <f ca="1">IFERROR(__xludf.DUMMYFUNCTION("IMPORTRANGE(H11401,""IDENTITAS UNIT!D9"")"),"#N/A")</f>
        <v>#N/A</v>
      </c>
      <c r="H11401" s="4" t="str">
        <v/>
      </c>
      <c r="I11401" s="4" t="str">
        <v/>
      </c>
    </row>
    <row r="11402" spans="5:9" ht="16.5" hidden="1">
      <c r="E11402" s="4" t="str">
        <v/>
      </c>
      <c r="F11402" s="102" t="str">
        <f ca="1">IFERROR(__xludf.DUMMYFUNCTION("IMPORTRANGE(H11402,""IDENTITAS UNIT!D9"")"),"#N/A")</f>
        <v>#N/A</v>
      </c>
      <c r="H11402" s="4" t="str">
        <v/>
      </c>
      <c r="I11402" s="4" t="str">
        <v/>
      </c>
    </row>
    <row r="11403" spans="5:9" ht="16.5" hidden="1">
      <c r="E11403" s="4" t="str">
        <v/>
      </c>
      <c r="F11403" s="102" t="str">
        <f ca="1">IFERROR(__xludf.DUMMYFUNCTION("IMPORTRANGE(H11403,""IDENTITAS UNIT!D9"")"),"#N/A")</f>
        <v>#N/A</v>
      </c>
      <c r="H11403" s="4" t="str">
        <v/>
      </c>
      <c r="I11403" s="4" t="str">
        <v/>
      </c>
    </row>
    <row r="11404" spans="5:9" ht="16.5" hidden="1">
      <c r="E11404" s="4" t="str">
        <v/>
      </c>
      <c r="F11404" s="102" t="str">
        <f ca="1">IFERROR(__xludf.DUMMYFUNCTION("IMPORTRANGE(H11404,""IDENTITAS UNIT!D9"")"),"#N/A")</f>
        <v>#N/A</v>
      </c>
      <c r="H11404" s="4" t="str">
        <v/>
      </c>
      <c r="I11404" s="4" t="str">
        <v/>
      </c>
    </row>
    <row r="11405" spans="5:9" ht="16.5" hidden="1">
      <c r="E11405" s="4" t="str">
        <v/>
      </c>
      <c r="F11405" s="102" t="str">
        <f ca="1">IFERROR(__xludf.DUMMYFUNCTION("IMPORTRANGE(H11405,""IDENTITAS UNIT!D9"")"),"#N/A")</f>
        <v>#N/A</v>
      </c>
      <c r="H11405" s="4" t="str">
        <v/>
      </c>
      <c r="I11405" s="4" t="str">
        <v/>
      </c>
    </row>
    <row r="11406" spans="5:9" ht="16.5" hidden="1">
      <c r="E11406" s="4" t="str">
        <v/>
      </c>
      <c r="F11406" s="102" t="str">
        <f ca="1">IFERROR(__xludf.DUMMYFUNCTION("IMPORTRANGE(H11406,""IDENTITAS UNIT!D9"")"),"#N/A")</f>
        <v>#N/A</v>
      </c>
      <c r="H11406" s="4" t="str">
        <v/>
      </c>
      <c r="I11406" s="4" t="str">
        <v/>
      </c>
    </row>
    <row r="11407" spans="5:9" ht="16.5" hidden="1">
      <c r="E11407" s="4" t="str">
        <v/>
      </c>
      <c r="F11407" s="102" t="str">
        <f ca="1">IFERROR(__xludf.DUMMYFUNCTION("IMPORTRANGE(H11407,""IDENTITAS UNIT!D9"")"),"#N/A")</f>
        <v>#N/A</v>
      </c>
      <c r="H11407" s="4" t="str">
        <v/>
      </c>
      <c r="I11407" s="4" t="str">
        <v/>
      </c>
    </row>
    <row r="11408" spans="5:9" ht="16.5" hidden="1">
      <c r="E11408" s="4" t="str">
        <v/>
      </c>
      <c r="F11408" s="102" t="str">
        <f ca="1">IFERROR(__xludf.DUMMYFUNCTION("IMPORTRANGE(H11408,""IDENTITAS UNIT!D9"")"),"#N/A")</f>
        <v>#N/A</v>
      </c>
      <c r="H11408" s="4" t="str">
        <v/>
      </c>
      <c r="I11408" s="4" t="str">
        <v/>
      </c>
    </row>
    <row r="11409" spans="5:9" ht="16.5" hidden="1">
      <c r="E11409" s="4" t="str">
        <v/>
      </c>
      <c r="F11409" s="102" t="str">
        <f ca="1">IFERROR(__xludf.DUMMYFUNCTION("IMPORTRANGE(H11409,""IDENTITAS UNIT!D9"")"),"#N/A")</f>
        <v>#N/A</v>
      </c>
      <c r="H11409" s="4" t="str">
        <v/>
      </c>
      <c r="I11409" s="4" t="str">
        <v/>
      </c>
    </row>
    <row r="11410" spans="5:9" ht="16.5" hidden="1">
      <c r="E11410" s="4" t="str">
        <v/>
      </c>
      <c r="F11410" s="102" t="str">
        <f ca="1">IFERROR(__xludf.DUMMYFUNCTION("IMPORTRANGE(H11410,""IDENTITAS UNIT!D9"")"),"#N/A")</f>
        <v>#N/A</v>
      </c>
      <c r="H11410" s="4" t="str">
        <v/>
      </c>
      <c r="I11410" s="4" t="str">
        <v/>
      </c>
    </row>
    <row r="11411" spans="5:9" ht="16.5" hidden="1">
      <c r="E11411" s="4" t="str">
        <v/>
      </c>
      <c r="F11411" s="102" t="str">
        <f ca="1">IFERROR(__xludf.DUMMYFUNCTION("IMPORTRANGE(H11411,""IDENTITAS UNIT!D9"")"),"#N/A")</f>
        <v>#N/A</v>
      </c>
      <c r="H11411" s="4" t="str">
        <v/>
      </c>
      <c r="I11411" s="4" t="str">
        <v/>
      </c>
    </row>
    <row r="11412" spans="5:9" ht="16.5" hidden="1">
      <c r="E11412" s="4" t="str">
        <v/>
      </c>
      <c r="F11412" s="102" t="str">
        <f ca="1">IFERROR(__xludf.DUMMYFUNCTION("IMPORTRANGE(H11412,""IDENTITAS UNIT!D9"")"),"#N/A")</f>
        <v>#N/A</v>
      </c>
      <c r="H11412" s="4" t="str">
        <v/>
      </c>
      <c r="I11412" s="4" t="str">
        <v/>
      </c>
    </row>
    <row r="11413" spans="5:9" ht="16.5" hidden="1">
      <c r="E11413" s="4" t="str">
        <v/>
      </c>
      <c r="F11413" s="102" t="str">
        <f ca="1">IFERROR(__xludf.DUMMYFUNCTION("IMPORTRANGE(H11413,""IDENTITAS UNIT!D9"")"),"#N/A")</f>
        <v>#N/A</v>
      </c>
      <c r="H11413" s="4" t="str">
        <v/>
      </c>
      <c r="I11413" s="4" t="str">
        <v/>
      </c>
    </row>
    <row r="11414" spans="5:9" ht="16.5" hidden="1">
      <c r="E11414" s="4" t="str">
        <v/>
      </c>
      <c r="F11414" s="102" t="str">
        <f ca="1">IFERROR(__xludf.DUMMYFUNCTION("IMPORTRANGE(H11414,""IDENTITAS UNIT!D9"")"),"#N/A")</f>
        <v>#N/A</v>
      </c>
      <c r="H11414" s="4" t="str">
        <v/>
      </c>
      <c r="I11414" s="4" t="str">
        <v/>
      </c>
    </row>
    <row r="11415" spans="5:9" ht="16.5" hidden="1">
      <c r="E11415" s="4" t="str">
        <v/>
      </c>
      <c r="F11415" s="102" t="str">
        <f ca="1">IFERROR(__xludf.DUMMYFUNCTION("IMPORTRANGE(H11415,""IDENTITAS UNIT!D9"")"),"#N/A")</f>
        <v>#N/A</v>
      </c>
      <c r="H11415" s="4" t="str">
        <v/>
      </c>
      <c r="I11415" s="4" t="str">
        <v/>
      </c>
    </row>
    <row r="11416" spans="5:9" ht="16.5" hidden="1">
      <c r="E11416" s="4" t="str">
        <v/>
      </c>
      <c r="F11416" s="102" t="str">
        <f ca="1">IFERROR(__xludf.DUMMYFUNCTION("IMPORTRANGE(H11416,""IDENTITAS UNIT!D9"")"),"#N/A")</f>
        <v>#N/A</v>
      </c>
      <c r="H11416" s="4" t="str">
        <v/>
      </c>
      <c r="I11416" s="4" t="str">
        <v/>
      </c>
    </row>
    <row r="11417" spans="5:9" ht="16.5" hidden="1">
      <c r="E11417" s="4" t="str">
        <v/>
      </c>
      <c r="F11417" s="102" t="str">
        <f ca="1">IFERROR(__xludf.DUMMYFUNCTION("IMPORTRANGE(H11417,""IDENTITAS UNIT!D9"")"),"#N/A")</f>
        <v>#N/A</v>
      </c>
      <c r="H11417" s="4" t="str">
        <v/>
      </c>
      <c r="I11417" s="4" t="str">
        <v/>
      </c>
    </row>
    <row r="11418" spans="5:9" ht="16.5" hidden="1">
      <c r="E11418" s="4" t="str">
        <v/>
      </c>
      <c r="F11418" s="102" t="str">
        <f ca="1">IFERROR(__xludf.DUMMYFUNCTION("IMPORTRANGE(H11418,""IDENTITAS UNIT!D9"")"),"#N/A")</f>
        <v>#N/A</v>
      </c>
      <c r="H11418" s="4" t="str">
        <v/>
      </c>
      <c r="I11418" s="4" t="str">
        <v/>
      </c>
    </row>
    <row r="11419" spans="5:9" ht="16.5" hidden="1">
      <c r="E11419" s="4" t="str">
        <v/>
      </c>
      <c r="F11419" s="102" t="str">
        <f ca="1">IFERROR(__xludf.DUMMYFUNCTION("IMPORTRANGE(H11419,""IDENTITAS UNIT!D9"")"),"#N/A")</f>
        <v>#N/A</v>
      </c>
      <c r="H11419" s="4" t="str">
        <v/>
      </c>
      <c r="I11419" s="4" t="str">
        <v/>
      </c>
    </row>
    <row r="11420" spans="5:9" ht="16.5" hidden="1">
      <c r="E11420" s="4" t="str">
        <v/>
      </c>
      <c r="F11420" s="102" t="str">
        <f ca="1">IFERROR(__xludf.DUMMYFUNCTION("IMPORTRANGE(H11420,""IDENTITAS UNIT!D9"")"),"#N/A")</f>
        <v>#N/A</v>
      </c>
      <c r="H11420" s="4" t="str">
        <v/>
      </c>
      <c r="I11420" s="4" t="str">
        <v/>
      </c>
    </row>
    <row r="11421" spans="5:9" ht="16.5" hidden="1">
      <c r="E11421" s="4" t="str">
        <v/>
      </c>
      <c r="F11421" s="102" t="str">
        <f ca="1">IFERROR(__xludf.DUMMYFUNCTION("IMPORTRANGE(H11421,""IDENTITAS UNIT!D9"")"),"#N/A")</f>
        <v>#N/A</v>
      </c>
      <c r="H11421" s="4" t="str">
        <v/>
      </c>
      <c r="I11421" s="4" t="str">
        <v/>
      </c>
    </row>
    <row r="11422" spans="5:9" ht="16.5" hidden="1">
      <c r="E11422" s="4" t="str">
        <v/>
      </c>
      <c r="F11422" s="102" t="str">
        <f ca="1">IFERROR(__xludf.DUMMYFUNCTION("IMPORTRANGE(H11422,""IDENTITAS UNIT!D9"")"),"#N/A")</f>
        <v>#N/A</v>
      </c>
      <c r="H11422" s="4" t="str">
        <v/>
      </c>
      <c r="I11422" s="4" t="str">
        <v/>
      </c>
    </row>
    <row r="11423" spans="5:9" ht="16.5" hidden="1">
      <c r="E11423" s="4" t="str">
        <v/>
      </c>
      <c r="F11423" s="102" t="str">
        <f ca="1">IFERROR(__xludf.DUMMYFUNCTION("IMPORTRANGE(H11423,""IDENTITAS UNIT!D9"")"),"#N/A")</f>
        <v>#N/A</v>
      </c>
      <c r="H11423" s="4" t="str">
        <v/>
      </c>
      <c r="I11423" s="4" t="str">
        <v/>
      </c>
    </row>
    <row r="11424" spans="5:9" ht="16.5" hidden="1">
      <c r="E11424" s="4" t="str">
        <v/>
      </c>
      <c r="F11424" s="102" t="str">
        <f ca="1">IFERROR(__xludf.DUMMYFUNCTION("IMPORTRANGE(H11424,""IDENTITAS UNIT!D9"")"),"#N/A")</f>
        <v>#N/A</v>
      </c>
      <c r="H11424" s="4" t="str">
        <v/>
      </c>
      <c r="I11424" s="4" t="str">
        <v/>
      </c>
    </row>
    <row r="11425" spans="5:9" ht="16.5" hidden="1">
      <c r="E11425" s="4" t="str">
        <v/>
      </c>
      <c r="F11425" s="102" t="str">
        <f ca="1">IFERROR(__xludf.DUMMYFUNCTION("IMPORTRANGE(H11425,""IDENTITAS UNIT!D9"")"),"#N/A")</f>
        <v>#N/A</v>
      </c>
      <c r="H11425" s="4" t="str">
        <v/>
      </c>
      <c r="I11425" s="4" t="str">
        <v/>
      </c>
    </row>
    <row r="11426" spans="5:9" ht="16.5" hidden="1">
      <c r="E11426" s="4" t="str">
        <v/>
      </c>
      <c r="F11426" s="102" t="str">
        <f ca="1">IFERROR(__xludf.DUMMYFUNCTION("IMPORTRANGE(H11426,""IDENTITAS UNIT!D9"")"),"#N/A")</f>
        <v>#N/A</v>
      </c>
      <c r="H11426" s="4" t="str">
        <v/>
      </c>
      <c r="I11426" s="4" t="str">
        <v/>
      </c>
    </row>
    <row r="11427" spans="5:9" ht="16.5" hidden="1">
      <c r="E11427" s="4" t="str">
        <v/>
      </c>
      <c r="F11427" s="102" t="str">
        <f ca="1">IFERROR(__xludf.DUMMYFUNCTION("IMPORTRANGE(H11427,""IDENTITAS UNIT!D9"")"),"#N/A")</f>
        <v>#N/A</v>
      </c>
      <c r="H11427" s="4" t="str">
        <v/>
      </c>
      <c r="I11427" s="4" t="str">
        <v/>
      </c>
    </row>
    <row r="11428" spans="5:9" ht="16.5" hidden="1">
      <c r="E11428" s="4" t="str">
        <v/>
      </c>
      <c r="F11428" s="102" t="str">
        <f ca="1">IFERROR(__xludf.DUMMYFUNCTION("IMPORTRANGE(H11428,""IDENTITAS UNIT!D9"")"),"#N/A")</f>
        <v>#N/A</v>
      </c>
      <c r="H11428" s="4" t="str">
        <v/>
      </c>
      <c r="I11428" s="4" t="str">
        <v/>
      </c>
    </row>
    <row r="11429" spans="5:9" ht="16.5" hidden="1">
      <c r="E11429" s="4" t="str">
        <v/>
      </c>
      <c r="F11429" s="102" t="str">
        <f ca="1">IFERROR(__xludf.DUMMYFUNCTION("IMPORTRANGE(H11429,""IDENTITAS UNIT!D9"")"),"#N/A")</f>
        <v>#N/A</v>
      </c>
      <c r="H11429" s="4" t="str">
        <v/>
      </c>
      <c r="I11429" s="4" t="str">
        <v/>
      </c>
    </row>
    <row r="11430" spans="5:9" ht="16.5" hidden="1">
      <c r="E11430" s="4" t="str">
        <v/>
      </c>
      <c r="F11430" s="102" t="str">
        <f ca="1">IFERROR(__xludf.DUMMYFUNCTION("IMPORTRANGE(H11430,""IDENTITAS UNIT!D9"")"),"#N/A")</f>
        <v>#N/A</v>
      </c>
      <c r="H11430" s="4" t="str">
        <v/>
      </c>
      <c r="I11430" s="4" t="str">
        <v/>
      </c>
    </row>
    <row r="11431" spans="5:9" ht="16.5" hidden="1">
      <c r="E11431" s="4" t="str">
        <v/>
      </c>
      <c r="F11431" s="102" t="str">
        <f ca="1">IFERROR(__xludf.DUMMYFUNCTION("IMPORTRANGE(H11431,""IDENTITAS UNIT!D9"")"),"#N/A")</f>
        <v>#N/A</v>
      </c>
      <c r="H11431" s="4" t="str">
        <v/>
      </c>
      <c r="I11431" s="4" t="str">
        <v/>
      </c>
    </row>
    <row r="11432" spans="5:9" ht="16.5" hidden="1">
      <c r="E11432" s="4" t="str">
        <v/>
      </c>
      <c r="F11432" s="102" t="str">
        <f ca="1">IFERROR(__xludf.DUMMYFUNCTION("IMPORTRANGE(H11432,""IDENTITAS UNIT!D9"")"),"#N/A")</f>
        <v>#N/A</v>
      </c>
      <c r="H11432" s="4" t="str">
        <v/>
      </c>
      <c r="I11432" s="4" t="str">
        <v/>
      </c>
    </row>
    <row r="11433" spans="5:9" ht="16.5" hidden="1">
      <c r="E11433" s="4" t="str">
        <v/>
      </c>
      <c r="F11433" s="102" t="str">
        <f ca="1">IFERROR(__xludf.DUMMYFUNCTION("IMPORTRANGE(H11433,""IDENTITAS UNIT!D9"")"),"#N/A")</f>
        <v>#N/A</v>
      </c>
      <c r="H11433" s="4" t="str">
        <v/>
      </c>
      <c r="I11433" s="4" t="str">
        <v/>
      </c>
    </row>
    <row r="11434" spans="5:9" ht="16.5" hidden="1">
      <c r="E11434" s="4" t="str">
        <v/>
      </c>
      <c r="F11434" s="102" t="str">
        <f ca="1">IFERROR(__xludf.DUMMYFUNCTION("IMPORTRANGE(H11434,""IDENTITAS UNIT!D9"")"),"#N/A")</f>
        <v>#N/A</v>
      </c>
      <c r="H11434" s="4" t="str">
        <v/>
      </c>
      <c r="I11434" s="4" t="str">
        <v/>
      </c>
    </row>
    <row r="11435" spans="5:9" ht="16.5" hidden="1">
      <c r="E11435" s="4" t="str">
        <v/>
      </c>
      <c r="F11435" s="102" t="str">
        <f ca="1">IFERROR(__xludf.DUMMYFUNCTION("IMPORTRANGE(H11435,""IDENTITAS UNIT!D9"")"),"#N/A")</f>
        <v>#N/A</v>
      </c>
      <c r="H11435" s="4" t="str">
        <v/>
      </c>
      <c r="I11435" s="4" t="str">
        <v/>
      </c>
    </row>
    <row r="11436" spans="5:9" ht="16.5" hidden="1">
      <c r="E11436" s="4" t="str">
        <v/>
      </c>
      <c r="F11436" s="102" t="str">
        <f ca="1">IFERROR(__xludf.DUMMYFUNCTION("IMPORTRANGE(H11436,""IDENTITAS UNIT!D9"")"),"#N/A")</f>
        <v>#N/A</v>
      </c>
      <c r="H11436" s="4" t="str">
        <v/>
      </c>
      <c r="I11436" s="4" t="str">
        <v/>
      </c>
    </row>
    <row r="11437" spans="5:9" ht="16.5" hidden="1">
      <c r="E11437" s="4" t="str">
        <v/>
      </c>
      <c r="F11437" s="102" t="str">
        <f ca="1">IFERROR(__xludf.DUMMYFUNCTION("IMPORTRANGE(H11437,""IDENTITAS UNIT!D9"")"),"#N/A")</f>
        <v>#N/A</v>
      </c>
      <c r="H11437" s="4" t="str">
        <v/>
      </c>
      <c r="I11437" s="4" t="str">
        <v/>
      </c>
    </row>
    <row r="11438" spans="5:9" ht="16.5" hidden="1">
      <c r="E11438" s="4" t="str">
        <v/>
      </c>
      <c r="F11438" s="102" t="str">
        <f ca="1">IFERROR(__xludf.DUMMYFUNCTION("IMPORTRANGE(H11438,""IDENTITAS UNIT!D9"")"),"#N/A")</f>
        <v>#N/A</v>
      </c>
      <c r="H11438" s="4" t="str">
        <v/>
      </c>
      <c r="I11438" s="4" t="str">
        <v/>
      </c>
    </row>
    <row r="11439" spans="5:9" ht="16.5" hidden="1">
      <c r="E11439" s="4" t="str">
        <v/>
      </c>
      <c r="F11439" s="102" t="str">
        <f ca="1">IFERROR(__xludf.DUMMYFUNCTION("IMPORTRANGE(H11439,""IDENTITAS UNIT!D9"")"),"#N/A")</f>
        <v>#N/A</v>
      </c>
      <c r="H11439" s="4" t="str">
        <v/>
      </c>
      <c r="I11439" s="4" t="str">
        <v/>
      </c>
    </row>
    <row r="11440" spans="5:9" ht="16.5" hidden="1">
      <c r="E11440" s="4" t="str">
        <v/>
      </c>
      <c r="F11440" s="102" t="str">
        <f ca="1">IFERROR(__xludf.DUMMYFUNCTION("IMPORTRANGE(H11440,""IDENTITAS UNIT!D9"")"),"#N/A")</f>
        <v>#N/A</v>
      </c>
      <c r="H11440" s="4" t="str">
        <v/>
      </c>
      <c r="I11440" s="4" t="str">
        <v/>
      </c>
    </row>
    <row r="11441" spans="5:9" ht="16.5" hidden="1">
      <c r="E11441" s="4" t="str">
        <v/>
      </c>
      <c r="F11441" s="102" t="str">
        <f ca="1">IFERROR(__xludf.DUMMYFUNCTION("IMPORTRANGE(H11441,""IDENTITAS UNIT!D9"")"),"#N/A")</f>
        <v>#N/A</v>
      </c>
      <c r="H11441" s="4" t="str">
        <v/>
      </c>
      <c r="I11441" s="4" t="str">
        <v/>
      </c>
    </row>
    <row r="11442" spans="5:9" ht="16.5" hidden="1">
      <c r="E11442" s="4" t="str">
        <v/>
      </c>
      <c r="F11442" s="102" t="str">
        <f ca="1">IFERROR(__xludf.DUMMYFUNCTION("IMPORTRANGE(H11442,""IDENTITAS UNIT!D9"")"),"#N/A")</f>
        <v>#N/A</v>
      </c>
      <c r="H11442" s="4" t="str">
        <v/>
      </c>
      <c r="I11442" s="4" t="str">
        <v/>
      </c>
    </row>
    <row r="11443" spans="5:9" ht="16.5" hidden="1">
      <c r="E11443" s="4" t="str">
        <v/>
      </c>
      <c r="F11443" s="102" t="str">
        <f ca="1">IFERROR(__xludf.DUMMYFUNCTION("IMPORTRANGE(H11443,""IDENTITAS UNIT!D9"")"),"#N/A")</f>
        <v>#N/A</v>
      </c>
      <c r="H11443" s="4" t="str">
        <v/>
      </c>
      <c r="I11443" s="4" t="str">
        <v/>
      </c>
    </row>
    <row r="11444" spans="5:9" ht="16.5" hidden="1">
      <c r="E11444" s="4" t="str">
        <v/>
      </c>
      <c r="F11444" s="102" t="str">
        <f ca="1">IFERROR(__xludf.DUMMYFUNCTION("IMPORTRANGE(H11444,""IDENTITAS UNIT!D9"")"),"#N/A")</f>
        <v>#N/A</v>
      </c>
      <c r="H11444" s="4" t="str">
        <v/>
      </c>
      <c r="I11444" s="4" t="str">
        <v/>
      </c>
    </row>
    <row r="11445" spans="5:9" ht="16.5" hidden="1">
      <c r="E11445" s="4" t="str">
        <v/>
      </c>
      <c r="F11445" s="102" t="str">
        <f ca="1">IFERROR(__xludf.DUMMYFUNCTION("IMPORTRANGE(H11445,""IDENTITAS UNIT!D9"")"),"#N/A")</f>
        <v>#N/A</v>
      </c>
      <c r="H11445" s="4" t="str">
        <v/>
      </c>
      <c r="I11445" s="4" t="str">
        <v/>
      </c>
    </row>
    <row r="11446" spans="5:9" ht="16.5" hidden="1">
      <c r="E11446" s="4" t="str">
        <v/>
      </c>
      <c r="F11446" s="102" t="str">
        <f ca="1">IFERROR(__xludf.DUMMYFUNCTION("IMPORTRANGE(H11446,""IDENTITAS UNIT!D9"")"),"#N/A")</f>
        <v>#N/A</v>
      </c>
      <c r="H11446" s="4" t="str">
        <v/>
      </c>
      <c r="I11446" s="4" t="str">
        <v/>
      </c>
    </row>
    <row r="11447" spans="5:9" ht="16.5" hidden="1">
      <c r="E11447" s="4" t="str">
        <v/>
      </c>
      <c r="F11447" s="102" t="str">
        <f ca="1">IFERROR(__xludf.DUMMYFUNCTION("IMPORTRANGE(H11447,""IDENTITAS UNIT!D9"")"),"#N/A")</f>
        <v>#N/A</v>
      </c>
      <c r="H11447" s="4" t="str">
        <v/>
      </c>
      <c r="I11447" s="4" t="str">
        <v/>
      </c>
    </row>
    <row r="11448" spans="5:9" ht="16.5" hidden="1">
      <c r="E11448" s="4" t="str">
        <v/>
      </c>
      <c r="F11448" s="102" t="str">
        <f ca="1">IFERROR(__xludf.DUMMYFUNCTION("IMPORTRANGE(H11448,""IDENTITAS UNIT!D9"")"),"#N/A")</f>
        <v>#N/A</v>
      </c>
      <c r="H11448" s="4" t="str">
        <v/>
      </c>
      <c r="I11448" s="4" t="str">
        <v/>
      </c>
    </row>
    <row r="11449" spans="5:9" ht="16.5" hidden="1">
      <c r="E11449" s="4" t="str">
        <v/>
      </c>
      <c r="F11449" s="102" t="str">
        <f ca="1">IFERROR(__xludf.DUMMYFUNCTION("IMPORTRANGE(H11449,""IDENTITAS UNIT!D9"")"),"#N/A")</f>
        <v>#N/A</v>
      </c>
      <c r="H11449" s="4" t="str">
        <v/>
      </c>
      <c r="I11449" s="4" t="str">
        <v/>
      </c>
    </row>
    <row r="11450" spans="5:9" ht="16.5" hidden="1">
      <c r="E11450" s="4" t="str">
        <v/>
      </c>
      <c r="F11450" s="102" t="str">
        <f ca="1">IFERROR(__xludf.DUMMYFUNCTION("IMPORTRANGE(H11450,""IDENTITAS UNIT!D9"")"),"#N/A")</f>
        <v>#N/A</v>
      </c>
      <c r="H11450" s="4" t="str">
        <v/>
      </c>
      <c r="I11450" s="4" t="str">
        <v/>
      </c>
    </row>
    <row r="11451" spans="5:9" ht="16.5" hidden="1">
      <c r="E11451" s="4" t="str">
        <v/>
      </c>
      <c r="F11451" s="102" t="str">
        <f ca="1">IFERROR(__xludf.DUMMYFUNCTION("IMPORTRANGE(H11451,""IDENTITAS UNIT!D9"")"),"#N/A")</f>
        <v>#N/A</v>
      </c>
      <c r="H11451" s="4" t="str">
        <v/>
      </c>
      <c r="I11451" s="4" t="str">
        <v/>
      </c>
    </row>
    <row r="11452" spans="5:9" ht="16.5" hidden="1">
      <c r="E11452" s="4" t="str">
        <v/>
      </c>
      <c r="F11452" s="102" t="str">
        <f ca="1">IFERROR(__xludf.DUMMYFUNCTION("IMPORTRANGE(H11452,""IDENTITAS UNIT!D9"")"),"#N/A")</f>
        <v>#N/A</v>
      </c>
      <c r="H11452" s="4" t="str">
        <v/>
      </c>
      <c r="I11452" s="4" t="str">
        <v/>
      </c>
    </row>
    <row r="11453" spans="5:9" ht="16.5" hidden="1">
      <c r="E11453" s="4" t="str">
        <v/>
      </c>
      <c r="F11453" s="102" t="str">
        <f ca="1">IFERROR(__xludf.DUMMYFUNCTION("IMPORTRANGE(H11453,""IDENTITAS UNIT!D9"")"),"#N/A")</f>
        <v>#N/A</v>
      </c>
      <c r="H11453" s="4" t="str">
        <v/>
      </c>
      <c r="I11453" s="4" t="str">
        <v/>
      </c>
    </row>
    <row r="11454" spans="5:9" ht="16.5" hidden="1">
      <c r="E11454" s="4" t="str">
        <v/>
      </c>
      <c r="F11454" s="102" t="str">
        <f ca="1">IFERROR(__xludf.DUMMYFUNCTION("IMPORTRANGE(H11454,""IDENTITAS UNIT!D9"")"),"#N/A")</f>
        <v>#N/A</v>
      </c>
      <c r="H11454" s="4" t="str">
        <v/>
      </c>
      <c r="I11454" s="4" t="str">
        <v/>
      </c>
    </row>
    <row r="11455" spans="5:9" ht="16.5" hidden="1">
      <c r="E11455" s="4" t="str">
        <v/>
      </c>
      <c r="F11455" s="102" t="str">
        <f ca="1">IFERROR(__xludf.DUMMYFUNCTION("IMPORTRANGE(H11455,""IDENTITAS UNIT!D9"")"),"#N/A")</f>
        <v>#N/A</v>
      </c>
      <c r="H11455" s="4" t="str">
        <v/>
      </c>
      <c r="I11455" s="4" t="str">
        <v/>
      </c>
    </row>
    <row r="11456" spans="5:9" ht="16.5" hidden="1">
      <c r="E11456" s="4" t="str">
        <v/>
      </c>
      <c r="F11456" s="102" t="str">
        <f ca="1">IFERROR(__xludf.DUMMYFUNCTION("IMPORTRANGE(H11456,""IDENTITAS UNIT!D9"")"),"#N/A")</f>
        <v>#N/A</v>
      </c>
      <c r="H11456" s="4" t="str">
        <v/>
      </c>
      <c r="I11456" s="4" t="str">
        <v/>
      </c>
    </row>
    <row r="11457" spans="5:9" ht="16.5" hidden="1">
      <c r="E11457" s="4" t="str">
        <v/>
      </c>
      <c r="F11457" s="102" t="str">
        <f ca="1">IFERROR(__xludf.DUMMYFUNCTION("IMPORTRANGE(H11457,""IDENTITAS UNIT!D9"")"),"#N/A")</f>
        <v>#N/A</v>
      </c>
      <c r="H11457" s="4" t="str">
        <v/>
      </c>
      <c r="I11457" s="4" t="str">
        <v/>
      </c>
    </row>
    <row r="11458" spans="5:9" ht="16.5" hidden="1">
      <c r="E11458" s="4" t="str">
        <v/>
      </c>
      <c r="F11458" s="102" t="str">
        <f ca="1">IFERROR(__xludf.DUMMYFUNCTION("IMPORTRANGE(H11458,""IDENTITAS UNIT!D9"")"),"#N/A")</f>
        <v>#N/A</v>
      </c>
      <c r="H11458" s="4" t="str">
        <v/>
      </c>
      <c r="I11458" s="4" t="str">
        <v/>
      </c>
    </row>
    <row r="11459" spans="5:9" ht="16.5" hidden="1">
      <c r="E11459" s="4" t="str">
        <v/>
      </c>
      <c r="F11459" s="102" t="str">
        <f ca="1">IFERROR(__xludf.DUMMYFUNCTION("IMPORTRANGE(H11459,""IDENTITAS UNIT!D9"")"),"#N/A")</f>
        <v>#N/A</v>
      </c>
      <c r="H11459" s="4" t="str">
        <v/>
      </c>
      <c r="I11459" s="4" t="str">
        <v/>
      </c>
    </row>
    <row r="11460" spans="5:9" ht="16.5" hidden="1">
      <c r="E11460" s="4" t="str">
        <v/>
      </c>
      <c r="F11460" s="102" t="str">
        <f ca="1">IFERROR(__xludf.DUMMYFUNCTION("IMPORTRANGE(H11460,""IDENTITAS UNIT!D9"")"),"#N/A")</f>
        <v>#N/A</v>
      </c>
      <c r="H11460" s="4" t="str">
        <v/>
      </c>
      <c r="I11460" s="4" t="str">
        <v/>
      </c>
    </row>
    <row r="11461" spans="5:9" ht="16.5" hidden="1">
      <c r="E11461" s="4" t="str">
        <v/>
      </c>
      <c r="F11461" s="102" t="str">
        <f ca="1">IFERROR(__xludf.DUMMYFUNCTION("IMPORTRANGE(H11461,""IDENTITAS UNIT!D9"")"),"#N/A")</f>
        <v>#N/A</v>
      </c>
      <c r="H11461" s="4" t="str">
        <v/>
      </c>
      <c r="I11461" s="4" t="str">
        <v/>
      </c>
    </row>
    <row r="11462" spans="5:9" ht="16.5" hidden="1">
      <c r="E11462" s="4" t="str">
        <v/>
      </c>
      <c r="F11462" s="102" t="str">
        <f ca="1">IFERROR(__xludf.DUMMYFUNCTION("IMPORTRANGE(H11462,""IDENTITAS UNIT!D9"")"),"#N/A")</f>
        <v>#N/A</v>
      </c>
      <c r="H11462" s="4" t="str">
        <v/>
      </c>
      <c r="I11462" s="4" t="str">
        <v/>
      </c>
    </row>
    <row r="11463" spans="5:9" ht="16.5" hidden="1">
      <c r="E11463" s="4" t="str">
        <v/>
      </c>
      <c r="F11463" s="102" t="str">
        <f ca="1">IFERROR(__xludf.DUMMYFUNCTION("IMPORTRANGE(H11463,""IDENTITAS UNIT!D9"")"),"#N/A")</f>
        <v>#N/A</v>
      </c>
      <c r="H11463" s="4" t="str">
        <v/>
      </c>
      <c r="I11463" s="4" t="str">
        <v/>
      </c>
    </row>
    <row r="11464" spans="5:9" ht="16.5" hidden="1">
      <c r="E11464" s="4" t="str">
        <v/>
      </c>
      <c r="F11464" s="102" t="str">
        <f ca="1">IFERROR(__xludf.DUMMYFUNCTION("IMPORTRANGE(H11464,""IDENTITAS UNIT!D9"")"),"#N/A")</f>
        <v>#N/A</v>
      </c>
      <c r="H11464" s="4" t="str">
        <v/>
      </c>
      <c r="I11464" s="4" t="str">
        <v/>
      </c>
    </row>
    <row r="11465" spans="5:9" ht="16.5" hidden="1">
      <c r="E11465" s="4" t="str">
        <v/>
      </c>
      <c r="F11465" s="102" t="str">
        <f ca="1">IFERROR(__xludf.DUMMYFUNCTION("IMPORTRANGE(H11465,""IDENTITAS UNIT!D9"")"),"#N/A")</f>
        <v>#N/A</v>
      </c>
      <c r="H11465" s="4" t="str">
        <v/>
      </c>
      <c r="I11465" s="4" t="str">
        <v/>
      </c>
    </row>
    <row r="11466" spans="5:9" ht="16.5" hidden="1">
      <c r="E11466" s="4" t="str">
        <v/>
      </c>
      <c r="F11466" s="102" t="str">
        <f ca="1">IFERROR(__xludf.DUMMYFUNCTION("IMPORTRANGE(H11466,""IDENTITAS UNIT!D9"")"),"#N/A")</f>
        <v>#N/A</v>
      </c>
      <c r="H11466" s="4" t="str">
        <v/>
      </c>
      <c r="I11466" s="4" t="str">
        <v/>
      </c>
    </row>
    <row r="11467" spans="5:9" ht="16.5" hidden="1">
      <c r="E11467" s="4" t="str">
        <v/>
      </c>
      <c r="F11467" s="102" t="str">
        <f ca="1">IFERROR(__xludf.DUMMYFUNCTION("IMPORTRANGE(H11467,""IDENTITAS UNIT!D9"")"),"#N/A")</f>
        <v>#N/A</v>
      </c>
      <c r="H11467" s="4" t="str">
        <v/>
      </c>
      <c r="I11467" s="4" t="str">
        <v/>
      </c>
    </row>
    <row r="11468" spans="5:9" ht="16.5" hidden="1">
      <c r="E11468" s="4" t="str">
        <v/>
      </c>
      <c r="F11468" s="102" t="str">
        <f ca="1">IFERROR(__xludf.DUMMYFUNCTION("IMPORTRANGE(H11468,""IDENTITAS UNIT!D9"")"),"#N/A")</f>
        <v>#N/A</v>
      </c>
      <c r="H11468" s="4" t="str">
        <v/>
      </c>
      <c r="I11468" s="4" t="str">
        <v/>
      </c>
    </row>
    <row r="11469" spans="5:9" ht="16.5" hidden="1">
      <c r="E11469" s="4" t="str">
        <v/>
      </c>
      <c r="F11469" s="102" t="str">
        <f ca="1">IFERROR(__xludf.DUMMYFUNCTION("IMPORTRANGE(H11469,""IDENTITAS UNIT!D9"")"),"#N/A")</f>
        <v>#N/A</v>
      </c>
      <c r="H11469" s="4" t="str">
        <v/>
      </c>
      <c r="I11469" s="4" t="str">
        <v/>
      </c>
    </row>
    <row r="11470" spans="5:9" ht="16.5" hidden="1">
      <c r="E11470" s="4" t="str">
        <v/>
      </c>
      <c r="F11470" s="102" t="str">
        <f ca="1">IFERROR(__xludf.DUMMYFUNCTION("IMPORTRANGE(H11470,""IDENTITAS UNIT!D9"")"),"#N/A")</f>
        <v>#N/A</v>
      </c>
      <c r="H11470" s="4" t="str">
        <v/>
      </c>
      <c r="I11470" s="4" t="str">
        <v/>
      </c>
    </row>
    <row r="11471" spans="5:9" ht="16.5" hidden="1">
      <c r="E11471" s="4" t="str">
        <v/>
      </c>
      <c r="F11471" s="102" t="str">
        <f ca="1">IFERROR(__xludf.DUMMYFUNCTION("IMPORTRANGE(H11471,""IDENTITAS UNIT!D9"")"),"#N/A")</f>
        <v>#N/A</v>
      </c>
      <c r="H11471" s="4" t="str">
        <v/>
      </c>
      <c r="I11471" s="4" t="str">
        <v/>
      </c>
    </row>
    <row r="11472" spans="5:9" ht="16.5" hidden="1">
      <c r="E11472" s="4" t="str">
        <v/>
      </c>
      <c r="F11472" s="102" t="str">
        <f ca="1">IFERROR(__xludf.DUMMYFUNCTION("IMPORTRANGE(H11472,""IDENTITAS UNIT!D9"")"),"#N/A")</f>
        <v>#N/A</v>
      </c>
      <c r="H11472" s="4" t="str">
        <v/>
      </c>
      <c r="I11472" s="4" t="str">
        <v/>
      </c>
    </row>
    <row r="11473" spans="5:9" ht="16.5" hidden="1">
      <c r="E11473" s="4" t="str">
        <v/>
      </c>
      <c r="F11473" s="102" t="str">
        <f ca="1">IFERROR(__xludf.DUMMYFUNCTION("IMPORTRANGE(H11473,""IDENTITAS UNIT!D9"")"),"#N/A")</f>
        <v>#N/A</v>
      </c>
      <c r="H11473" s="4" t="str">
        <v/>
      </c>
      <c r="I11473" s="4" t="str">
        <v/>
      </c>
    </row>
    <row r="11474" spans="5:9" ht="16.5" hidden="1">
      <c r="E11474" s="4" t="str">
        <v/>
      </c>
      <c r="F11474" s="102" t="str">
        <f ca="1">IFERROR(__xludf.DUMMYFUNCTION("IMPORTRANGE(H11474,""IDENTITAS UNIT!D9"")"),"#N/A")</f>
        <v>#N/A</v>
      </c>
      <c r="H11474" s="4" t="str">
        <v/>
      </c>
      <c r="I11474" s="4" t="str">
        <v/>
      </c>
    </row>
    <row r="11475" spans="5:9" ht="16.5" hidden="1">
      <c r="E11475" s="4" t="str">
        <v/>
      </c>
      <c r="F11475" s="102" t="str">
        <f ca="1">IFERROR(__xludf.DUMMYFUNCTION("IMPORTRANGE(H11475,""IDENTITAS UNIT!D9"")"),"#N/A")</f>
        <v>#N/A</v>
      </c>
      <c r="H11475" s="4" t="str">
        <v/>
      </c>
      <c r="I11475" s="4" t="str">
        <v/>
      </c>
    </row>
    <row r="11476" spans="5:9" ht="16.5" hidden="1">
      <c r="E11476" s="4" t="str">
        <v/>
      </c>
      <c r="F11476" s="102" t="str">
        <f ca="1">IFERROR(__xludf.DUMMYFUNCTION("IMPORTRANGE(H11476,""IDENTITAS UNIT!D9"")"),"#N/A")</f>
        <v>#N/A</v>
      </c>
      <c r="H11476" s="4" t="str">
        <v/>
      </c>
      <c r="I11476" s="4" t="str">
        <v/>
      </c>
    </row>
    <row r="11477" spans="5:9" ht="16.5" hidden="1">
      <c r="E11477" s="4" t="str">
        <v/>
      </c>
      <c r="F11477" s="102" t="str">
        <f ca="1">IFERROR(__xludf.DUMMYFUNCTION("IMPORTRANGE(H11477,""IDENTITAS UNIT!D9"")"),"#N/A")</f>
        <v>#N/A</v>
      </c>
      <c r="H11477" s="4" t="str">
        <v/>
      </c>
      <c r="I11477" s="4" t="str">
        <v/>
      </c>
    </row>
    <row r="11478" spans="5:9" ht="16.5" hidden="1">
      <c r="E11478" s="4" t="str">
        <v/>
      </c>
      <c r="F11478" s="102" t="str">
        <f ca="1">IFERROR(__xludf.DUMMYFUNCTION("IMPORTRANGE(H11478,""IDENTITAS UNIT!D9"")"),"#N/A")</f>
        <v>#N/A</v>
      </c>
      <c r="H11478" s="4" t="str">
        <v/>
      </c>
      <c r="I11478" s="4" t="str">
        <v/>
      </c>
    </row>
    <row r="11479" spans="5:9" ht="16.5" hidden="1">
      <c r="E11479" s="4" t="str">
        <v/>
      </c>
      <c r="F11479" s="102" t="str">
        <f ca="1">IFERROR(__xludf.DUMMYFUNCTION("IMPORTRANGE(H11479,""IDENTITAS UNIT!D9"")"),"#N/A")</f>
        <v>#N/A</v>
      </c>
      <c r="H11479" s="4" t="str">
        <v/>
      </c>
      <c r="I11479" s="4" t="str">
        <v/>
      </c>
    </row>
    <row r="11480" spans="5:9" ht="16.5" hidden="1">
      <c r="E11480" s="4" t="str">
        <v/>
      </c>
      <c r="F11480" s="102" t="str">
        <f ca="1">IFERROR(__xludf.DUMMYFUNCTION("IMPORTRANGE(H11480,""IDENTITAS UNIT!D9"")"),"#N/A")</f>
        <v>#N/A</v>
      </c>
      <c r="H11480" s="4" t="str">
        <v/>
      </c>
      <c r="I11480" s="4" t="str">
        <v/>
      </c>
    </row>
    <row r="11481" spans="5:9" ht="16.5" hidden="1">
      <c r="E11481" s="4" t="str">
        <v/>
      </c>
      <c r="F11481" s="102" t="str">
        <f ca="1">IFERROR(__xludf.DUMMYFUNCTION("IMPORTRANGE(H11481,""IDENTITAS UNIT!D9"")"),"#N/A")</f>
        <v>#N/A</v>
      </c>
      <c r="H11481" s="4" t="str">
        <v/>
      </c>
      <c r="I11481" s="4" t="str">
        <v/>
      </c>
    </row>
    <row r="11482" spans="5:9" ht="16.5" hidden="1">
      <c r="E11482" s="4" t="str">
        <v/>
      </c>
      <c r="F11482" s="102" t="str">
        <f ca="1">IFERROR(__xludf.DUMMYFUNCTION("IMPORTRANGE(H11482,""IDENTITAS UNIT!D9"")"),"#N/A")</f>
        <v>#N/A</v>
      </c>
      <c r="H11482" s="4" t="str">
        <v/>
      </c>
      <c r="I11482" s="4" t="str">
        <v/>
      </c>
    </row>
    <row r="11483" spans="5:9" ht="16.5" hidden="1">
      <c r="E11483" s="4" t="str">
        <v/>
      </c>
      <c r="F11483" s="102" t="str">
        <f ca="1">IFERROR(__xludf.DUMMYFUNCTION("IMPORTRANGE(H11483,""IDENTITAS UNIT!D9"")"),"#N/A")</f>
        <v>#N/A</v>
      </c>
      <c r="H11483" s="4" t="str">
        <v/>
      </c>
      <c r="I11483" s="4" t="str">
        <v/>
      </c>
    </row>
    <row r="11484" spans="5:9" ht="16.5" hidden="1">
      <c r="E11484" s="4" t="str">
        <v/>
      </c>
      <c r="F11484" s="102" t="str">
        <f ca="1">IFERROR(__xludf.DUMMYFUNCTION("IMPORTRANGE(H11484,""IDENTITAS UNIT!D9"")"),"#N/A")</f>
        <v>#N/A</v>
      </c>
      <c r="H11484" s="4" t="str">
        <v/>
      </c>
      <c r="I11484" s="4" t="str">
        <v/>
      </c>
    </row>
    <row r="11485" spans="5:9" ht="16.5" hidden="1">
      <c r="E11485" s="4" t="str">
        <v/>
      </c>
      <c r="F11485" s="102" t="str">
        <f ca="1">IFERROR(__xludf.DUMMYFUNCTION("IMPORTRANGE(H11485,""IDENTITAS UNIT!D9"")"),"#N/A")</f>
        <v>#N/A</v>
      </c>
      <c r="H11485" s="4" t="str">
        <v/>
      </c>
      <c r="I11485" s="4" t="str">
        <v/>
      </c>
    </row>
    <row r="11486" spans="5:9" ht="16.5" hidden="1">
      <c r="E11486" s="4" t="str">
        <v/>
      </c>
      <c r="F11486" s="102" t="str">
        <f ca="1">IFERROR(__xludf.DUMMYFUNCTION("IMPORTRANGE(H11486,""IDENTITAS UNIT!D9"")"),"#N/A")</f>
        <v>#N/A</v>
      </c>
      <c r="H11486" s="4" t="str">
        <v/>
      </c>
      <c r="I11486" s="4" t="str">
        <v/>
      </c>
    </row>
    <row r="11487" spans="5:9" ht="16.5" hidden="1">
      <c r="E11487" s="4" t="str">
        <v/>
      </c>
      <c r="F11487" s="102" t="str">
        <f ca="1">IFERROR(__xludf.DUMMYFUNCTION("IMPORTRANGE(H11487,""IDENTITAS UNIT!D9"")"),"#N/A")</f>
        <v>#N/A</v>
      </c>
      <c r="H11487" s="4" t="str">
        <v/>
      </c>
      <c r="I11487" s="4" t="str">
        <v/>
      </c>
    </row>
    <row r="11488" spans="5:9" ht="16.5" hidden="1">
      <c r="E11488" s="4" t="str">
        <v/>
      </c>
      <c r="F11488" s="102" t="str">
        <f ca="1">IFERROR(__xludf.DUMMYFUNCTION("IMPORTRANGE(H11488,""IDENTITAS UNIT!D9"")"),"#N/A")</f>
        <v>#N/A</v>
      </c>
      <c r="H11488" s="4" t="str">
        <v/>
      </c>
      <c r="I11488" s="4" t="str">
        <v/>
      </c>
    </row>
    <row r="11489" spans="5:9" ht="16.5" hidden="1">
      <c r="E11489" s="4" t="str">
        <v/>
      </c>
      <c r="F11489" s="102" t="str">
        <f ca="1">IFERROR(__xludf.DUMMYFUNCTION("IMPORTRANGE(H11489,""IDENTITAS UNIT!D9"")"),"#N/A")</f>
        <v>#N/A</v>
      </c>
      <c r="H11489" s="4" t="str">
        <v/>
      </c>
      <c r="I11489" s="4" t="str">
        <v/>
      </c>
    </row>
    <row r="11490" spans="5:9" ht="16.5" hidden="1">
      <c r="E11490" s="4" t="str">
        <v/>
      </c>
      <c r="F11490" s="102" t="str">
        <f ca="1">IFERROR(__xludf.DUMMYFUNCTION("IMPORTRANGE(H11490,""IDENTITAS UNIT!D9"")"),"#N/A")</f>
        <v>#N/A</v>
      </c>
      <c r="H11490" s="4" t="str">
        <v/>
      </c>
      <c r="I11490" s="4" t="str">
        <v/>
      </c>
    </row>
    <row r="11491" spans="5:9" ht="16.5" hidden="1">
      <c r="E11491" s="4" t="str">
        <v/>
      </c>
      <c r="F11491" s="102" t="str">
        <f ca="1">IFERROR(__xludf.DUMMYFUNCTION("IMPORTRANGE(H11491,""IDENTITAS UNIT!D9"")"),"#N/A")</f>
        <v>#N/A</v>
      </c>
      <c r="H11491" s="4" t="str">
        <v/>
      </c>
      <c r="I11491" s="4" t="str">
        <v/>
      </c>
    </row>
    <row r="11492" spans="5:9" ht="16.5" hidden="1">
      <c r="E11492" s="4" t="str">
        <v/>
      </c>
      <c r="F11492" s="102" t="str">
        <f ca="1">IFERROR(__xludf.DUMMYFUNCTION("IMPORTRANGE(H11492,""IDENTITAS UNIT!D9"")"),"#N/A")</f>
        <v>#N/A</v>
      </c>
      <c r="H11492" s="4" t="str">
        <v/>
      </c>
      <c r="I11492" s="4" t="str">
        <v/>
      </c>
    </row>
    <row r="11493" spans="5:9" ht="16.5" hidden="1">
      <c r="E11493" s="4" t="str">
        <v/>
      </c>
      <c r="F11493" s="102" t="str">
        <f ca="1">IFERROR(__xludf.DUMMYFUNCTION("IMPORTRANGE(H11493,""IDENTITAS UNIT!D9"")"),"#N/A")</f>
        <v>#N/A</v>
      </c>
      <c r="H11493" s="4" t="str">
        <v/>
      </c>
      <c r="I11493" s="4" t="str">
        <v/>
      </c>
    </row>
    <row r="11494" spans="5:9" ht="16.5" hidden="1">
      <c r="E11494" s="4" t="str">
        <v/>
      </c>
      <c r="F11494" s="102" t="str">
        <f ca="1">IFERROR(__xludf.DUMMYFUNCTION("IMPORTRANGE(H11494,""IDENTITAS UNIT!D9"")"),"#N/A")</f>
        <v>#N/A</v>
      </c>
      <c r="H11494" s="4" t="str">
        <v/>
      </c>
      <c r="I11494" s="4" t="str">
        <v/>
      </c>
    </row>
    <row r="11495" spans="5:9" ht="16.5" hidden="1">
      <c r="E11495" s="4" t="str">
        <v/>
      </c>
      <c r="F11495" s="102" t="str">
        <f ca="1">IFERROR(__xludf.DUMMYFUNCTION("IMPORTRANGE(H11495,""IDENTITAS UNIT!D9"")"),"#N/A")</f>
        <v>#N/A</v>
      </c>
      <c r="H11495" s="4" t="str">
        <v/>
      </c>
      <c r="I11495" s="4" t="str">
        <v/>
      </c>
    </row>
    <row r="11496" spans="5:9" ht="16.5" hidden="1">
      <c r="E11496" s="4" t="str">
        <v/>
      </c>
      <c r="F11496" s="102" t="str">
        <f ca="1">IFERROR(__xludf.DUMMYFUNCTION("IMPORTRANGE(H11496,""IDENTITAS UNIT!D9"")"),"#N/A")</f>
        <v>#N/A</v>
      </c>
      <c r="H11496" s="4" t="str">
        <v/>
      </c>
      <c r="I11496" s="4" t="str">
        <v/>
      </c>
    </row>
    <row r="11497" spans="5:9" ht="16.5" hidden="1">
      <c r="E11497" s="4" t="str">
        <v/>
      </c>
      <c r="F11497" s="102" t="str">
        <f ca="1">IFERROR(__xludf.DUMMYFUNCTION("IMPORTRANGE(H11497,""IDENTITAS UNIT!D9"")"),"#N/A")</f>
        <v>#N/A</v>
      </c>
      <c r="H11497" s="4" t="str">
        <v/>
      </c>
      <c r="I11497" s="4" t="str">
        <v/>
      </c>
    </row>
    <row r="11498" spans="5:9" ht="16.5" hidden="1">
      <c r="E11498" s="4" t="str">
        <v/>
      </c>
      <c r="F11498" s="102" t="str">
        <f ca="1">IFERROR(__xludf.DUMMYFUNCTION("IMPORTRANGE(H11498,""IDENTITAS UNIT!D9"")"),"#N/A")</f>
        <v>#N/A</v>
      </c>
      <c r="H11498" s="4" t="str">
        <v/>
      </c>
      <c r="I11498" s="4" t="str">
        <v/>
      </c>
    </row>
    <row r="11499" spans="5:9" ht="16.5" hidden="1">
      <c r="E11499" s="4" t="str">
        <v/>
      </c>
      <c r="F11499" s="102" t="str">
        <f ca="1">IFERROR(__xludf.DUMMYFUNCTION("IMPORTRANGE(H11499,""IDENTITAS UNIT!D9"")"),"#N/A")</f>
        <v>#N/A</v>
      </c>
      <c r="H11499" s="4" t="str">
        <v/>
      </c>
      <c r="I11499" s="4" t="str">
        <v/>
      </c>
    </row>
    <row r="11500" spans="5:9" ht="16.5" hidden="1">
      <c r="E11500" s="4" t="str">
        <v/>
      </c>
      <c r="F11500" s="102" t="str">
        <f ca="1">IFERROR(__xludf.DUMMYFUNCTION("IMPORTRANGE(H11500,""IDENTITAS UNIT!D9"")"),"#N/A")</f>
        <v>#N/A</v>
      </c>
      <c r="H11500" s="4" t="str">
        <v/>
      </c>
      <c r="I11500" s="4" t="str">
        <v/>
      </c>
    </row>
    <row r="11501" spans="5:9" ht="16.5" hidden="1">
      <c r="E11501" s="4" t="str">
        <v/>
      </c>
      <c r="F11501" s="102" t="str">
        <f ca="1">IFERROR(__xludf.DUMMYFUNCTION("IMPORTRANGE(H11501,""IDENTITAS UNIT!D9"")"),"#N/A")</f>
        <v>#N/A</v>
      </c>
      <c r="H11501" s="4" t="str">
        <v/>
      </c>
      <c r="I11501" s="4" t="str">
        <v/>
      </c>
    </row>
    <row r="11502" spans="5:9" ht="16.5" hidden="1">
      <c r="E11502" s="4" t="str">
        <v/>
      </c>
      <c r="F11502" s="102" t="str">
        <f ca="1">IFERROR(__xludf.DUMMYFUNCTION("IMPORTRANGE(H11502,""IDENTITAS UNIT!D9"")"),"#N/A")</f>
        <v>#N/A</v>
      </c>
      <c r="H11502" s="4" t="str">
        <v/>
      </c>
      <c r="I11502" s="4" t="str">
        <v/>
      </c>
    </row>
    <row r="11503" spans="5:9" ht="16.5" hidden="1">
      <c r="E11503" s="4" t="str">
        <v/>
      </c>
      <c r="F11503" s="102" t="str">
        <f ca="1">IFERROR(__xludf.DUMMYFUNCTION("IMPORTRANGE(H11503,""IDENTITAS UNIT!D9"")"),"#N/A")</f>
        <v>#N/A</v>
      </c>
      <c r="H11503" s="4" t="str">
        <v/>
      </c>
      <c r="I11503" s="4" t="str">
        <v/>
      </c>
    </row>
    <row r="11504" spans="5:9" ht="16.5" hidden="1">
      <c r="E11504" s="4" t="str">
        <v/>
      </c>
      <c r="F11504" s="102" t="str">
        <f ca="1">IFERROR(__xludf.DUMMYFUNCTION("IMPORTRANGE(H11504,""IDENTITAS UNIT!D9"")"),"#N/A")</f>
        <v>#N/A</v>
      </c>
      <c r="H11504" s="4" t="str">
        <v/>
      </c>
      <c r="I11504" s="4" t="str">
        <v/>
      </c>
    </row>
    <row r="11505" spans="5:9" ht="16.5" hidden="1">
      <c r="E11505" s="4" t="str">
        <v/>
      </c>
      <c r="F11505" s="102" t="str">
        <f ca="1">IFERROR(__xludf.DUMMYFUNCTION("IMPORTRANGE(H11505,""IDENTITAS UNIT!D9"")"),"#N/A")</f>
        <v>#N/A</v>
      </c>
      <c r="H11505" s="4" t="str">
        <v/>
      </c>
      <c r="I11505" s="4" t="str">
        <v/>
      </c>
    </row>
    <row r="11506" spans="5:9" ht="16.5" hidden="1">
      <c r="E11506" s="4" t="str">
        <v/>
      </c>
      <c r="F11506" s="102" t="str">
        <f ca="1">IFERROR(__xludf.DUMMYFUNCTION("IMPORTRANGE(H11506,""IDENTITAS UNIT!D9"")"),"#N/A")</f>
        <v>#N/A</v>
      </c>
      <c r="H11506" s="4" t="str">
        <v/>
      </c>
      <c r="I11506" s="4" t="str">
        <v/>
      </c>
    </row>
    <row r="11507" spans="5:9" ht="16.5" hidden="1">
      <c r="E11507" s="4" t="str">
        <v/>
      </c>
      <c r="F11507" s="102" t="str">
        <f ca="1">IFERROR(__xludf.DUMMYFUNCTION("IMPORTRANGE(H11507,""IDENTITAS UNIT!D9"")"),"#N/A")</f>
        <v>#N/A</v>
      </c>
      <c r="H11507" s="4" t="str">
        <v/>
      </c>
      <c r="I11507" s="4" t="str">
        <v/>
      </c>
    </row>
    <row r="11508" spans="5:9" ht="16.5" hidden="1">
      <c r="E11508" s="4" t="str">
        <v/>
      </c>
      <c r="F11508" s="102" t="str">
        <f ca="1">IFERROR(__xludf.DUMMYFUNCTION("IMPORTRANGE(H11508,""IDENTITAS UNIT!D9"")"),"#N/A")</f>
        <v>#N/A</v>
      </c>
      <c r="H11508" s="4" t="str">
        <v/>
      </c>
      <c r="I11508" s="4" t="str">
        <v/>
      </c>
    </row>
    <row r="11509" spans="5:9" ht="16.5" hidden="1">
      <c r="E11509" s="4" t="str">
        <v/>
      </c>
      <c r="F11509" s="102" t="str">
        <f ca="1">IFERROR(__xludf.DUMMYFUNCTION("IMPORTRANGE(H11509,""IDENTITAS UNIT!D9"")"),"#N/A")</f>
        <v>#N/A</v>
      </c>
      <c r="H11509" s="4" t="str">
        <v/>
      </c>
      <c r="I11509" s="4" t="str">
        <v/>
      </c>
    </row>
    <row r="11510" spans="5:9" ht="16.5" hidden="1">
      <c r="E11510" s="4" t="str">
        <v/>
      </c>
      <c r="F11510" s="102" t="str">
        <f ca="1">IFERROR(__xludf.DUMMYFUNCTION("IMPORTRANGE(H11510,""IDENTITAS UNIT!D9"")"),"#N/A")</f>
        <v>#N/A</v>
      </c>
      <c r="H11510" s="4" t="str">
        <v/>
      </c>
      <c r="I11510" s="4" t="str">
        <v/>
      </c>
    </row>
    <row r="11511" spans="5:9" ht="16.5" hidden="1">
      <c r="E11511" s="4" t="str">
        <v/>
      </c>
      <c r="F11511" s="102" t="str">
        <f ca="1">IFERROR(__xludf.DUMMYFUNCTION("IMPORTRANGE(H11511,""IDENTITAS UNIT!D9"")"),"#N/A")</f>
        <v>#N/A</v>
      </c>
      <c r="H11511" s="4" t="str">
        <v/>
      </c>
      <c r="I11511" s="4" t="str">
        <v/>
      </c>
    </row>
    <row r="11512" spans="5:9" ht="16.5" hidden="1">
      <c r="E11512" s="4" t="str">
        <v/>
      </c>
      <c r="F11512" s="102" t="str">
        <f ca="1">IFERROR(__xludf.DUMMYFUNCTION("IMPORTRANGE(H11512,""IDENTITAS UNIT!D9"")"),"#N/A")</f>
        <v>#N/A</v>
      </c>
      <c r="H11512" s="4" t="str">
        <v/>
      </c>
      <c r="I11512" s="4" t="str">
        <v/>
      </c>
    </row>
    <row r="11513" spans="5:9" ht="16.5" hidden="1">
      <c r="E11513" s="4" t="str">
        <v/>
      </c>
      <c r="F11513" s="102" t="str">
        <f ca="1">IFERROR(__xludf.DUMMYFUNCTION("IMPORTRANGE(H11513,""IDENTITAS UNIT!D9"")"),"#N/A")</f>
        <v>#N/A</v>
      </c>
      <c r="H11513" s="4" t="str">
        <v/>
      </c>
      <c r="I11513" s="4" t="str">
        <v/>
      </c>
    </row>
    <row r="11514" spans="5:9" ht="16.5" hidden="1">
      <c r="E11514" s="4" t="str">
        <v/>
      </c>
      <c r="F11514" s="102" t="str">
        <f ca="1">IFERROR(__xludf.DUMMYFUNCTION("IMPORTRANGE(H11514,""IDENTITAS UNIT!D9"")"),"#N/A")</f>
        <v>#N/A</v>
      </c>
      <c r="H11514" s="4" t="str">
        <v/>
      </c>
      <c r="I11514" s="4" t="str">
        <v/>
      </c>
    </row>
    <row r="11515" spans="5:9" ht="16.5" hidden="1">
      <c r="E11515" s="4" t="str">
        <v/>
      </c>
      <c r="F11515" s="102" t="str">
        <f ca="1">IFERROR(__xludf.DUMMYFUNCTION("IMPORTRANGE(H11515,""IDENTITAS UNIT!D9"")"),"#N/A")</f>
        <v>#N/A</v>
      </c>
      <c r="H11515" s="4" t="str">
        <v/>
      </c>
      <c r="I11515" s="4" t="str">
        <v/>
      </c>
    </row>
    <row r="11516" spans="5:9" ht="16.5" hidden="1">
      <c r="E11516" s="4" t="str">
        <v/>
      </c>
      <c r="F11516" s="102" t="str">
        <f ca="1">IFERROR(__xludf.DUMMYFUNCTION("IMPORTRANGE(H11516,""IDENTITAS UNIT!D9"")"),"#N/A")</f>
        <v>#N/A</v>
      </c>
      <c r="H11516" s="4" t="str">
        <v/>
      </c>
      <c r="I11516" s="4" t="str">
        <v/>
      </c>
    </row>
    <row r="11517" spans="5:9" ht="16.5" hidden="1">
      <c r="E11517" s="4" t="str">
        <v/>
      </c>
      <c r="F11517" s="102" t="str">
        <f ca="1">IFERROR(__xludf.DUMMYFUNCTION("IMPORTRANGE(H11517,""IDENTITAS UNIT!D9"")"),"#N/A")</f>
        <v>#N/A</v>
      </c>
      <c r="H11517" s="4" t="str">
        <v/>
      </c>
      <c r="I11517" s="4" t="str">
        <v/>
      </c>
    </row>
    <row r="11518" spans="5:9" ht="16.5" hidden="1">
      <c r="E11518" s="4" t="str">
        <v/>
      </c>
      <c r="F11518" s="102" t="str">
        <f ca="1">IFERROR(__xludf.DUMMYFUNCTION("IMPORTRANGE(H11518,""IDENTITAS UNIT!D9"")"),"#N/A")</f>
        <v>#N/A</v>
      </c>
      <c r="H11518" s="4" t="str">
        <v/>
      </c>
      <c r="I11518" s="4" t="str">
        <v/>
      </c>
    </row>
    <row r="11519" spans="5:9" ht="16.5" hidden="1">
      <c r="E11519" s="4" t="str">
        <v/>
      </c>
      <c r="F11519" s="102" t="str">
        <f ca="1">IFERROR(__xludf.DUMMYFUNCTION("IMPORTRANGE(H11519,""IDENTITAS UNIT!D9"")"),"#N/A")</f>
        <v>#N/A</v>
      </c>
      <c r="H11519" s="4" t="str">
        <v/>
      </c>
      <c r="I11519" s="4" t="str">
        <v/>
      </c>
    </row>
    <row r="11520" spans="5:9" ht="16.5" hidden="1">
      <c r="E11520" s="4" t="str">
        <v/>
      </c>
      <c r="F11520" s="102" t="str">
        <f ca="1">IFERROR(__xludf.DUMMYFUNCTION("IMPORTRANGE(H11520,""IDENTITAS UNIT!D9"")"),"#N/A")</f>
        <v>#N/A</v>
      </c>
      <c r="H11520" s="4" t="str">
        <v/>
      </c>
      <c r="I11520" s="4" t="str">
        <v/>
      </c>
    </row>
    <row r="11521" spans="5:9" ht="16.5" hidden="1">
      <c r="E11521" s="4" t="str">
        <v/>
      </c>
      <c r="F11521" s="102" t="str">
        <f ca="1">IFERROR(__xludf.DUMMYFUNCTION("IMPORTRANGE(H11521,""IDENTITAS UNIT!D9"")"),"#N/A")</f>
        <v>#N/A</v>
      </c>
      <c r="H11521" s="4" t="str">
        <v/>
      </c>
      <c r="I11521" s="4" t="str">
        <v/>
      </c>
    </row>
    <row r="11522" spans="5:9" ht="16.5" hidden="1">
      <c r="E11522" s="4" t="str">
        <v/>
      </c>
      <c r="F11522" s="102" t="str">
        <f ca="1">IFERROR(__xludf.DUMMYFUNCTION("IMPORTRANGE(H11522,""IDENTITAS UNIT!D9"")"),"#N/A")</f>
        <v>#N/A</v>
      </c>
      <c r="H11522" s="4" t="str">
        <v/>
      </c>
      <c r="I11522" s="4" t="str">
        <v/>
      </c>
    </row>
    <row r="11523" spans="5:9" ht="16.5" hidden="1">
      <c r="E11523" s="4" t="str">
        <v/>
      </c>
      <c r="F11523" s="102" t="str">
        <f ca="1">IFERROR(__xludf.DUMMYFUNCTION("IMPORTRANGE(H11523,""IDENTITAS UNIT!D9"")"),"#N/A")</f>
        <v>#N/A</v>
      </c>
      <c r="H11523" s="4" t="str">
        <v/>
      </c>
      <c r="I11523" s="4" t="str">
        <v/>
      </c>
    </row>
    <row r="11524" spans="5:9" ht="16.5" hidden="1">
      <c r="E11524" s="4" t="str">
        <v/>
      </c>
      <c r="F11524" s="102" t="str">
        <f ca="1">IFERROR(__xludf.DUMMYFUNCTION("IMPORTRANGE(H11524,""IDENTITAS UNIT!D9"")"),"#N/A")</f>
        <v>#N/A</v>
      </c>
      <c r="H11524" s="4" t="str">
        <v/>
      </c>
      <c r="I11524" s="4" t="str">
        <v/>
      </c>
    </row>
    <row r="11525" spans="5:9" ht="16.5" hidden="1">
      <c r="E11525" s="4" t="str">
        <v/>
      </c>
      <c r="F11525" s="102" t="str">
        <f ca="1">IFERROR(__xludf.DUMMYFUNCTION("IMPORTRANGE(H11525,""IDENTITAS UNIT!D9"")"),"#N/A")</f>
        <v>#N/A</v>
      </c>
      <c r="H11525" s="4" t="str">
        <v/>
      </c>
      <c r="I11525" s="4" t="str">
        <v/>
      </c>
    </row>
    <row r="11526" spans="5:9" ht="16.5" hidden="1">
      <c r="E11526" s="4" t="str">
        <v/>
      </c>
      <c r="F11526" s="102" t="str">
        <f ca="1">IFERROR(__xludf.DUMMYFUNCTION("IMPORTRANGE(H11526,""IDENTITAS UNIT!D9"")"),"#N/A")</f>
        <v>#N/A</v>
      </c>
      <c r="H11526" s="4" t="str">
        <v/>
      </c>
      <c r="I11526" s="4" t="str">
        <v/>
      </c>
    </row>
    <row r="11527" spans="5:9" ht="16.5" hidden="1">
      <c r="E11527" s="4" t="str">
        <v/>
      </c>
      <c r="F11527" s="102" t="str">
        <f ca="1">IFERROR(__xludf.DUMMYFUNCTION("IMPORTRANGE(H11527,""IDENTITAS UNIT!D9"")"),"#N/A")</f>
        <v>#N/A</v>
      </c>
      <c r="H11527" s="4" t="str">
        <v/>
      </c>
      <c r="I11527" s="4" t="str">
        <v/>
      </c>
    </row>
    <row r="11528" spans="5:9" ht="16.5" hidden="1">
      <c r="E11528" s="4" t="str">
        <v/>
      </c>
      <c r="F11528" s="102" t="str">
        <f ca="1">IFERROR(__xludf.DUMMYFUNCTION("IMPORTRANGE(H11528,""IDENTITAS UNIT!D9"")"),"#N/A")</f>
        <v>#N/A</v>
      </c>
      <c r="H11528" s="4" t="str">
        <v/>
      </c>
      <c r="I11528" s="4" t="str">
        <v/>
      </c>
    </row>
    <row r="11529" spans="5:9" ht="16.5" hidden="1">
      <c r="E11529" s="4" t="str">
        <v/>
      </c>
      <c r="F11529" s="102" t="str">
        <f ca="1">IFERROR(__xludf.DUMMYFUNCTION("IMPORTRANGE(H11529,""IDENTITAS UNIT!D9"")"),"#N/A")</f>
        <v>#N/A</v>
      </c>
      <c r="H11529" s="4" t="str">
        <v/>
      </c>
      <c r="I11529" s="4" t="str">
        <v/>
      </c>
    </row>
    <row r="11530" spans="5:9" ht="16.5" hidden="1">
      <c r="E11530" s="4" t="str">
        <v/>
      </c>
      <c r="F11530" s="102" t="str">
        <f ca="1">IFERROR(__xludf.DUMMYFUNCTION("IMPORTRANGE(H11530,""IDENTITAS UNIT!D9"")"),"#N/A")</f>
        <v>#N/A</v>
      </c>
      <c r="H11530" s="4" t="str">
        <v/>
      </c>
      <c r="I11530" s="4" t="str">
        <v/>
      </c>
    </row>
    <row r="11531" spans="5:9" ht="16.5" hidden="1">
      <c r="E11531" s="4" t="str">
        <v/>
      </c>
      <c r="F11531" s="102" t="str">
        <f ca="1">IFERROR(__xludf.DUMMYFUNCTION("IMPORTRANGE(H11531,""IDENTITAS UNIT!D9"")"),"#N/A")</f>
        <v>#N/A</v>
      </c>
      <c r="H11531" s="4" t="str">
        <v/>
      </c>
      <c r="I11531" s="4" t="str">
        <v/>
      </c>
    </row>
    <row r="11532" spans="5:9" ht="16.5" hidden="1">
      <c r="E11532" s="4" t="str">
        <v/>
      </c>
      <c r="F11532" s="102" t="str">
        <f ca="1">IFERROR(__xludf.DUMMYFUNCTION("IMPORTRANGE(H11532,""IDENTITAS UNIT!D9"")"),"#N/A")</f>
        <v>#N/A</v>
      </c>
      <c r="H11532" s="4" t="str">
        <v/>
      </c>
      <c r="I11532" s="4" t="str">
        <v/>
      </c>
    </row>
    <row r="11533" spans="5:9" ht="16.5" hidden="1">
      <c r="E11533" s="4" t="str">
        <v/>
      </c>
      <c r="F11533" s="102" t="str">
        <f ca="1">IFERROR(__xludf.DUMMYFUNCTION("IMPORTRANGE(H11533,""IDENTITAS UNIT!D9"")"),"#N/A")</f>
        <v>#N/A</v>
      </c>
      <c r="H11533" s="4" t="str">
        <v/>
      </c>
      <c r="I11533" s="4" t="str">
        <v/>
      </c>
    </row>
    <row r="11534" spans="5:9" ht="16.5" hidden="1">
      <c r="E11534" s="4" t="str">
        <v/>
      </c>
      <c r="F11534" s="102" t="str">
        <f ca="1">IFERROR(__xludf.DUMMYFUNCTION("IMPORTRANGE(H11534,""IDENTITAS UNIT!D9"")"),"#N/A")</f>
        <v>#N/A</v>
      </c>
      <c r="H11534" s="4" t="str">
        <v/>
      </c>
      <c r="I11534" s="4" t="str">
        <v/>
      </c>
    </row>
    <row r="11535" spans="5:9" ht="16.5" hidden="1">
      <c r="E11535" s="4" t="str">
        <v/>
      </c>
      <c r="F11535" s="102" t="str">
        <f ca="1">IFERROR(__xludf.DUMMYFUNCTION("IMPORTRANGE(H11535,""IDENTITAS UNIT!D9"")"),"#N/A")</f>
        <v>#N/A</v>
      </c>
      <c r="H11535" s="4" t="str">
        <v/>
      </c>
      <c r="I11535" s="4" t="str">
        <v/>
      </c>
    </row>
    <row r="11536" spans="5:9" ht="16.5" hidden="1">
      <c r="E11536" s="4" t="str">
        <v/>
      </c>
      <c r="F11536" s="102" t="str">
        <f ca="1">IFERROR(__xludf.DUMMYFUNCTION("IMPORTRANGE(H11536,""IDENTITAS UNIT!D9"")"),"#N/A")</f>
        <v>#N/A</v>
      </c>
      <c r="H11536" s="4" t="str">
        <v/>
      </c>
      <c r="I11536" s="4" t="str">
        <v/>
      </c>
    </row>
    <row r="11537" spans="5:9" ht="16.5" hidden="1">
      <c r="E11537" s="4" t="str">
        <v/>
      </c>
      <c r="F11537" s="102" t="str">
        <f ca="1">IFERROR(__xludf.DUMMYFUNCTION("IMPORTRANGE(H11537,""IDENTITAS UNIT!D9"")"),"#N/A")</f>
        <v>#N/A</v>
      </c>
      <c r="H11537" s="4" t="str">
        <v/>
      </c>
      <c r="I11537" s="4" t="str">
        <v/>
      </c>
    </row>
    <row r="11538" spans="5:9" ht="16.5" hidden="1">
      <c r="E11538" s="4" t="str">
        <v/>
      </c>
      <c r="F11538" s="102" t="str">
        <f ca="1">IFERROR(__xludf.DUMMYFUNCTION("IMPORTRANGE(H11538,""IDENTITAS UNIT!D9"")"),"#N/A")</f>
        <v>#N/A</v>
      </c>
      <c r="H11538" s="4" t="str">
        <v/>
      </c>
      <c r="I11538" s="4" t="str">
        <v/>
      </c>
    </row>
    <row r="11539" spans="5:9" ht="16.5" hidden="1">
      <c r="E11539" s="4" t="str">
        <v/>
      </c>
      <c r="F11539" s="102" t="str">
        <f ca="1">IFERROR(__xludf.DUMMYFUNCTION("IMPORTRANGE(H11539,""IDENTITAS UNIT!D9"")"),"#N/A")</f>
        <v>#N/A</v>
      </c>
      <c r="H11539" s="4" t="str">
        <v/>
      </c>
      <c r="I11539" s="4" t="str">
        <v/>
      </c>
    </row>
    <row r="11540" spans="5:9" ht="16.5" hidden="1">
      <c r="E11540" s="4" t="str">
        <v/>
      </c>
      <c r="F11540" s="102" t="str">
        <f ca="1">IFERROR(__xludf.DUMMYFUNCTION("IMPORTRANGE(H11540,""IDENTITAS UNIT!D9"")"),"#N/A")</f>
        <v>#N/A</v>
      </c>
      <c r="H11540" s="4" t="str">
        <v/>
      </c>
      <c r="I11540" s="4" t="str">
        <v/>
      </c>
    </row>
    <row r="11541" spans="5:9" ht="16.5" hidden="1">
      <c r="E11541" s="4" t="str">
        <v/>
      </c>
      <c r="F11541" s="102" t="str">
        <f ca="1">IFERROR(__xludf.DUMMYFUNCTION("IMPORTRANGE(H11541,""IDENTITAS UNIT!D9"")"),"#N/A")</f>
        <v>#N/A</v>
      </c>
      <c r="H11541" s="4" t="str">
        <v/>
      </c>
      <c r="I11541" s="4" t="str">
        <v/>
      </c>
    </row>
    <row r="11542" spans="5:9" ht="16.5" hidden="1">
      <c r="E11542" s="4" t="str">
        <v/>
      </c>
      <c r="F11542" s="102" t="str">
        <f ca="1">IFERROR(__xludf.DUMMYFUNCTION("IMPORTRANGE(H11542,""IDENTITAS UNIT!D9"")"),"#N/A")</f>
        <v>#N/A</v>
      </c>
      <c r="H11542" s="4" t="str">
        <v/>
      </c>
      <c r="I11542" s="4" t="str">
        <v/>
      </c>
    </row>
    <row r="11543" spans="5:9" ht="16.5" hidden="1">
      <c r="E11543" s="4" t="str">
        <v/>
      </c>
      <c r="F11543" s="102" t="str">
        <f ca="1">IFERROR(__xludf.DUMMYFUNCTION("IMPORTRANGE(H11543,""IDENTITAS UNIT!D9"")"),"#N/A")</f>
        <v>#N/A</v>
      </c>
      <c r="H11543" s="4" t="str">
        <v/>
      </c>
      <c r="I11543" s="4" t="str">
        <v/>
      </c>
    </row>
    <row r="11544" spans="5:9" ht="16.5" hidden="1">
      <c r="E11544" s="4" t="str">
        <v/>
      </c>
      <c r="F11544" s="102" t="str">
        <f ca="1">IFERROR(__xludf.DUMMYFUNCTION("IMPORTRANGE(H11544,""IDENTITAS UNIT!D9"")"),"#N/A")</f>
        <v>#N/A</v>
      </c>
      <c r="H11544" s="4" t="str">
        <v/>
      </c>
      <c r="I11544" s="4" t="str">
        <v/>
      </c>
    </row>
    <row r="11545" spans="5:9" ht="16.5" hidden="1">
      <c r="E11545" s="4" t="str">
        <v/>
      </c>
      <c r="F11545" s="102" t="str">
        <f ca="1">IFERROR(__xludf.DUMMYFUNCTION("IMPORTRANGE(H11545,""IDENTITAS UNIT!D9"")"),"#N/A")</f>
        <v>#N/A</v>
      </c>
      <c r="H11545" s="4" t="str">
        <v/>
      </c>
      <c r="I11545" s="4" t="str">
        <v/>
      </c>
    </row>
    <row r="11546" spans="5:9" ht="16.5" hidden="1">
      <c r="E11546" s="4" t="str">
        <v/>
      </c>
      <c r="F11546" s="102" t="str">
        <f ca="1">IFERROR(__xludf.DUMMYFUNCTION("IMPORTRANGE(H11546,""IDENTITAS UNIT!D9"")"),"#N/A")</f>
        <v>#N/A</v>
      </c>
      <c r="H11546" s="4" t="str">
        <v/>
      </c>
      <c r="I11546" s="4" t="str">
        <v/>
      </c>
    </row>
    <row r="11547" spans="5:9" ht="16.5" hidden="1">
      <c r="E11547" s="4" t="str">
        <v/>
      </c>
      <c r="F11547" s="102" t="str">
        <f ca="1">IFERROR(__xludf.DUMMYFUNCTION("IMPORTRANGE(H11547,""IDENTITAS UNIT!D9"")"),"#N/A")</f>
        <v>#N/A</v>
      </c>
      <c r="H11547" s="4" t="str">
        <v/>
      </c>
      <c r="I11547" s="4" t="str">
        <v/>
      </c>
    </row>
    <row r="11548" spans="5:9" ht="16.5" hidden="1">
      <c r="E11548" s="4" t="str">
        <v/>
      </c>
      <c r="F11548" s="102" t="str">
        <f ca="1">IFERROR(__xludf.DUMMYFUNCTION("IMPORTRANGE(H11548,""IDENTITAS UNIT!D9"")"),"#N/A")</f>
        <v>#N/A</v>
      </c>
      <c r="H11548" s="4" t="str">
        <v/>
      </c>
      <c r="I11548" s="4" t="str">
        <v/>
      </c>
    </row>
    <row r="11549" spans="5:9" ht="16.5" hidden="1">
      <c r="E11549" s="4" t="str">
        <v/>
      </c>
      <c r="F11549" s="102" t="str">
        <f ca="1">IFERROR(__xludf.DUMMYFUNCTION("IMPORTRANGE(H11549,""IDENTITAS UNIT!D9"")"),"#N/A")</f>
        <v>#N/A</v>
      </c>
      <c r="H11549" s="4" t="str">
        <v/>
      </c>
      <c r="I11549" s="4" t="str">
        <v/>
      </c>
    </row>
    <row r="11550" spans="5:9" ht="16.5" hidden="1">
      <c r="E11550" s="4" t="str">
        <v/>
      </c>
      <c r="F11550" s="102" t="str">
        <f ca="1">IFERROR(__xludf.DUMMYFUNCTION("IMPORTRANGE(H11550,""IDENTITAS UNIT!D9"")"),"#N/A")</f>
        <v>#N/A</v>
      </c>
      <c r="H11550" s="4" t="str">
        <v/>
      </c>
      <c r="I11550" s="4" t="str">
        <v/>
      </c>
    </row>
    <row r="11551" spans="5:9" ht="16.5" hidden="1">
      <c r="E11551" s="4" t="str">
        <v/>
      </c>
      <c r="F11551" s="102" t="str">
        <f ca="1">IFERROR(__xludf.DUMMYFUNCTION("IMPORTRANGE(H11551,""IDENTITAS UNIT!D9"")"),"#N/A")</f>
        <v>#N/A</v>
      </c>
      <c r="H11551" s="4" t="str">
        <v/>
      </c>
      <c r="I11551" s="4" t="str">
        <v/>
      </c>
    </row>
    <row r="11552" spans="5:9" ht="16.5" hidden="1">
      <c r="E11552" s="4" t="str">
        <v/>
      </c>
      <c r="F11552" s="102" t="str">
        <f ca="1">IFERROR(__xludf.DUMMYFUNCTION("IMPORTRANGE(H11552,""IDENTITAS UNIT!D9"")"),"#N/A")</f>
        <v>#N/A</v>
      </c>
      <c r="H11552" s="4" t="str">
        <v/>
      </c>
      <c r="I11552" s="4" t="str">
        <v/>
      </c>
    </row>
    <row r="11553" spans="5:9" ht="16.5" hidden="1">
      <c r="E11553" s="4" t="str">
        <v/>
      </c>
      <c r="F11553" s="102" t="str">
        <f ca="1">IFERROR(__xludf.DUMMYFUNCTION("IMPORTRANGE(H11553,""IDENTITAS UNIT!D9"")"),"#N/A")</f>
        <v>#N/A</v>
      </c>
      <c r="H11553" s="4" t="str">
        <v/>
      </c>
      <c r="I11553" s="4" t="str">
        <v/>
      </c>
    </row>
    <row r="11554" spans="5:9" ht="16.5" hidden="1">
      <c r="E11554" s="4" t="str">
        <v/>
      </c>
      <c r="F11554" s="102" t="str">
        <f ca="1">IFERROR(__xludf.DUMMYFUNCTION("IMPORTRANGE(H11554,""IDENTITAS UNIT!D9"")"),"#N/A")</f>
        <v>#N/A</v>
      </c>
      <c r="H11554" s="4" t="str">
        <v/>
      </c>
      <c r="I11554" s="4" t="str">
        <v/>
      </c>
    </row>
    <row r="11555" spans="5:9" ht="16.5" hidden="1">
      <c r="E11555" s="4" t="str">
        <v/>
      </c>
      <c r="F11555" s="102" t="str">
        <f ca="1">IFERROR(__xludf.DUMMYFUNCTION("IMPORTRANGE(H11555,""IDENTITAS UNIT!D9"")"),"#N/A")</f>
        <v>#N/A</v>
      </c>
      <c r="H11555" s="4" t="str">
        <v/>
      </c>
      <c r="I11555" s="4" t="str">
        <v/>
      </c>
    </row>
    <row r="11556" spans="5:9" ht="16.5" hidden="1">
      <c r="E11556" s="4" t="str">
        <v/>
      </c>
      <c r="F11556" s="102" t="str">
        <f ca="1">IFERROR(__xludf.DUMMYFUNCTION("IMPORTRANGE(H11556,""IDENTITAS UNIT!D9"")"),"#N/A")</f>
        <v>#N/A</v>
      </c>
      <c r="H11556" s="4" t="str">
        <v/>
      </c>
      <c r="I11556" s="4" t="str">
        <v/>
      </c>
    </row>
    <row r="11557" spans="5:9" ht="16.5" hidden="1">
      <c r="E11557" s="4" t="str">
        <v/>
      </c>
      <c r="F11557" s="102" t="str">
        <f ca="1">IFERROR(__xludf.DUMMYFUNCTION("IMPORTRANGE(H11557,""IDENTITAS UNIT!D9"")"),"#N/A")</f>
        <v>#N/A</v>
      </c>
      <c r="H11557" s="4" t="str">
        <v/>
      </c>
      <c r="I11557" s="4" t="str">
        <v/>
      </c>
    </row>
    <row r="11558" spans="5:9" ht="16.5" hidden="1">
      <c r="E11558" s="4" t="str">
        <v/>
      </c>
      <c r="F11558" s="102" t="str">
        <f ca="1">IFERROR(__xludf.DUMMYFUNCTION("IMPORTRANGE(H11558,""IDENTITAS UNIT!D9"")"),"#N/A")</f>
        <v>#N/A</v>
      </c>
      <c r="H11558" s="4" t="str">
        <v/>
      </c>
      <c r="I11558" s="4" t="str">
        <v/>
      </c>
    </row>
    <row r="11559" spans="5:9" ht="16.5" hidden="1">
      <c r="E11559" s="4" t="str">
        <v/>
      </c>
      <c r="F11559" s="102" t="str">
        <f ca="1">IFERROR(__xludf.DUMMYFUNCTION("IMPORTRANGE(H11559,""IDENTITAS UNIT!D9"")"),"#N/A")</f>
        <v>#N/A</v>
      </c>
      <c r="H11559" s="4" t="str">
        <v/>
      </c>
      <c r="I11559" s="4" t="str">
        <v/>
      </c>
    </row>
    <row r="11560" spans="5:9" ht="16.5" hidden="1">
      <c r="E11560" s="4" t="str">
        <v/>
      </c>
      <c r="F11560" s="102" t="str">
        <f ca="1">IFERROR(__xludf.DUMMYFUNCTION("IMPORTRANGE(H11560,""IDENTITAS UNIT!D9"")"),"#N/A")</f>
        <v>#N/A</v>
      </c>
      <c r="H11560" s="4" t="str">
        <v/>
      </c>
      <c r="I11560" s="4" t="str">
        <v/>
      </c>
    </row>
    <row r="11561" spans="5:9" ht="16.5" hidden="1">
      <c r="E11561" s="4" t="str">
        <v/>
      </c>
      <c r="F11561" s="102" t="str">
        <f ca="1">IFERROR(__xludf.DUMMYFUNCTION("IMPORTRANGE(H11561,""IDENTITAS UNIT!D9"")"),"#N/A")</f>
        <v>#N/A</v>
      </c>
      <c r="H11561" s="4" t="str">
        <v/>
      </c>
      <c r="I11561" s="4" t="str">
        <v/>
      </c>
    </row>
    <row r="11562" spans="5:9" ht="16.5" hidden="1">
      <c r="E11562" s="4" t="str">
        <v/>
      </c>
      <c r="F11562" s="102" t="str">
        <f ca="1">IFERROR(__xludf.DUMMYFUNCTION("IMPORTRANGE(H11562,""IDENTITAS UNIT!D9"")"),"#N/A")</f>
        <v>#N/A</v>
      </c>
      <c r="H11562" s="4" t="str">
        <v/>
      </c>
      <c r="I11562" s="4" t="str">
        <v/>
      </c>
    </row>
    <row r="11563" spans="5:9" ht="16.5" hidden="1">
      <c r="E11563" s="4" t="str">
        <v/>
      </c>
      <c r="F11563" s="102" t="str">
        <f ca="1">IFERROR(__xludf.DUMMYFUNCTION("IMPORTRANGE(H11563,""IDENTITAS UNIT!D9"")"),"#N/A")</f>
        <v>#N/A</v>
      </c>
      <c r="H11563" s="4" t="str">
        <v/>
      </c>
      <c r="I11563" s="4" t="str">
        <v/>
      </c>
    </row>
    <row r="11564" spans="5:9" ht="16.5" hidden="1">
      <c r="E11564" s="4" t="str">
        <v/>
      </c>
      <c r="F11564" s="102" t="str">
        <f ca="1">IFERROR(__xludf.DUMMYFUNCTION("IMPORTRANGE(H11564,""IDENTITAS UNIT!D9"")"),"#N/A")</f>
        <v>#N/A</v>
      </c>
      <c r="H11564" s="4" t="str">
        <v/>
      </c>
      <c r="I11564" s="4" t="str">
        <v/>
      </c>
    </row>
    <row r="11565" spans="5:9" ht="16.5" hidden="1">
      <c r="E11565" s="4" t="str">
        <v/>
      </c>
      <c r="F11565" s="102" t="str">
        <f ca="1">IFERROR(__xludf.DUMMYFUNCTION("IMPORTRANGE(H11565,""IDENTITAS UNIT!D9"")"),"#N/A")</f>
        <v>#N/A</v>
      </c>
      <c r="H11565" s="4" t="str">
        <v/>
      </c>
      <c r="I11565" s="4" t="str">
        <v/>
      </c>
    </row>
    <row r="11566" spans="5:9" ht="16.5" hidden="1">
      <c r="E11566" s="4" t="str">
        <v/>
      </c>
      <c r="F11566" s="102" t="str">
        <f ca="1">IFERROR(__xludf.DUMMYFUNCTION("IMPORTRANGE(H11566,""IDENTITAS UNIT!D9"")"),"#N/A")</f>
        <v>#N/A</v>
      </c>
      <c r="H11566" s="4" t="str">
        <v/>
      </c>
      <c r="I11566" s="4" t="str">
        <v/>
      </c>
    </row>
    <row r="11567" spans="5:9" ht="16.5" hidden="1">
      <c r="E11567" s="4" t="str">
        <v/>
      </c>
      <c r="F11567" s="102" t="str">
        <f ca="1">IFERROR(__xludf.DUMMYFUNCTION("IMPORTRANGE(H11567,""IDENTITAS UNIT!D9"")"),"#N/A")</f>
        <v>#N/A</v>
      </c>
      <c r="H11567" s="4" t="str">
        <v/>
      </c>
      <c r="I11567" s="4" t="str">
        <v/>
      </c>
    </row>
    <row r="11568" spans="5:9" ht="16.5" hidden="1">
      <c r="E11568" s="4" t="str">
        <v/>
      </c>
      <c r="F11568" s="102" t="str">
        <f ca="1">IFERROR(__xludf.DUMMYFUNCTION("IMPORTRANGE(H11568,""IDENTITAS UNIT!D9"")"),"#N/A")</f>
        <v>#N/A</v>
      </c>
      <c r="H11568" s="4" t="str">
        <v/>
      </c>
      <c r="I11568" s="4" t="str">
        <v/>
      </c>
    </row>
    <row r="11569" spans="5:9" ht="16.5" hidden="1">
      <c r="E11569" s="4" t="str">
        <v/>
      </c>
      <c r="F11569" s="102" t="str">
        <f ca="1">IFERROR(__xludf.DUMMYFUNCTION("IMPORTRANGE(H11569,""IDENTITAS UNIT!D9"")"),"#N/A")</f>
        <v>#N/A</v>
      </c>
      <c r="H11569" s="4" t="str">
        <v/>
      </c>
      <c r="I11569" s="4" t="str">
        <v/>
      </c>
    </row>
    <row r="11570" spans="5:9" ht="16.5" hidden="1">
      <c r="E11570" s="4" t="str">
        <v/>
      </c>
      <c r="F11570" s="102" t="str">
        <f ca="1">IFERROR(__xludf.DUMMYFUNCTION("IMPORTRANGE(H11570,""IDENTITAS UNIT!D9"")"),"#N/A")</f>
        <v>#N/A</v>
      </c>
      <c r="H11570" s="4" t="str">
        <v/>
      </c>
      <c r="I11570" s="4" t="str">
        <v/>
      </c>
    </row>
    <row r="11571" spans="5:9" ht="16.5" hidden="1">
      <c r="E11571" s="4" t="str">
        <v/>
      </c>
      <c r="F11571" s="102" t="str">
        <f ca="1">IFERROR(__xludf.DUMMYFUNCTION("IMPORTRANGE(H11571,""IDENTITAS UNIT!D9"")"),"#N/A")</f>
        <v>#N/A</v>
      </c>
      <c r="H11571" s="4" t="str">
        <v/>
      </c>
      <c r="I11571" s="4" t="str">
        <v/>
      </c>
    </row>
    <row r="11572" spans="5:9" ht="16.5" hidden="1">
      <c r="E11572" s="4" t="str">
        <v/>
      </c>
      <c r="F11572" s="102" t="str">
        <f ca="1">IFERROR(__xludf.DUMMYFUNCTION("IMPORTRANGE(H11572,""IDENTITAS UNIT!D9"")"),"#N/A")</f>
        <v>#N/A</v>
      </c>
      <c r="H11572" s="4" t="str">
        <v/>
      </c>
      <c r="I11572" s="4" t="str">
        <v/>
      </c>
    </row>
    <row r="11573" spans="5:9" ht="16.5" hidden="1">
      <c r="E11573" s="4" t="str">
        <v/>
      </c>
      <c r="F11573" s="102" t="str">
        <f ca="1">IFERROR(__xludf.DUMMYFUNCTION("IMPORTRANGE(H11573,""IDENTITAS UNIT!D9"")"),"#N/A")</f>
        <v>#N/A</v>
      </c>
      <c r="H11573" s="4" t="str">
        <v/>
      </c>
      <c r="I11573" s="4" t="str">
        <v/>
      </c>
    </row>
    <row r="11574" spans="5:9" ht="16.5" hidden="1">
      <c r="E11574" s="4" t="str">
        <v/>
      </c>
      <c r="F11574" s="102" t="str">
        <f ca="1">IFERROR(__xludf.DUMMYFUNCTION("IMPORTRANGE(H11574,""IDENTITAS UNIT!D9"")"),"#N/A")</f>
        <v>#N/A</v>
      </c>
      <c r="H11574" s="4" t="str">
        <v/>
      </c>
      <c r="I11574" s="4" t="str">
        <v/>
      </c>
    </row>
    <row r="11575" spans="5:9" ht="16.5" hidden="1">
      <c r="E11575" s="4" t="str">
        <v/>
      </c>
      <c r="F11575" s="102" t="str">
        <f ca="1">IFERROR(__xludf.DUMMYFUNCTION("IMPORTRANGE(H11575,""IDENTITAS UNIT!D9"")"),"#N/A")</f>
        <v>#N/A</v>
      </c>
      <c r="H11575" s="4" t="str">
        <v/>
      </c>
      <c r="I11575" s="4" t="str">
        <v/>
      </c>
    </row>
    <row r="11576" spans="5:9" ht="16.5" hidden="1">
      <c r="E11576" s="4" t="str">
        <v/>
      </c>
      <c r="F11576" s="102" t="str">
        <f ca="1">IFERROR(__xludf.DUMMYFUNCTION("IMPORTRANGE(H11576,""IDENTITAS UNIT!D9"")"),"#N/A")</f>
        <v>#N/A</v>
      </c>
      <c r="H11576" s="4" t="str">
        <v/>
      </c>
      <c r="I11576" s="4" t="str">
        <v/>
      </c>
    </row>
    <row r="11577" spans="5:9" ht="16.5" hidden="1">
      <c r="E11577" s="4" t="str">
        <v/>
      </c>
      <c r="F11577" s="102" t="str">
        <f ca="1">IFERROR(__xludf.DUMMYFUNCTION("IMPORTRANGE(H11577,""IDENTITAS UNIT!D9"")"),"#N/A")</f>
        <v>#N/A</v>
      </c>
      <c r="H11577" s="4" t="str">
        <v/>
      </c>
      <c r="I11577" s="4" t="str">
        <v/>
      </c>
    </row>
    <row r="11578" spans="5:9" ht="16.5" hidden="1">
      <c r="E11578" s="4" t="str">
        <v/>
      </c>
      <c r="F11578" s="102" t="str">
        <f ca="1">IFERROR(__xludf.DUMMYFUNCTION("IMPORTRANGE(H11578,""IDENTITAS UNIT!D9"")"),"#N/A")</f>
        <v>#N/A</v>
      </c>
      <c r="H11578" s="4" t="str">
        <v/>
      </c>
      <c r="I11578" s="4" t="str">
        <v/>
      </c>
    </row>
    <row r="11579" spans="5:9" ht="16.5" hidden="1">
      <c r="E11579" s="4" t="str">
        <v/>
      </c>
      <c r="F11579" s="102" t="str">
        <f ca="1">IFERROR(__xludf.DUMMYFUNCTION("IMPORTRANGE(H11579,""IDENTITAS UNIT!D9"")"),"#N/A")</f>
        <v>#N/A</v>
      </c>
      <c r="H11579" s="4" t="str">
        <v/>
      </c>
      <c r="I11579" s="4" t="str">
        <v/>
      </c>
    </row>
    <row r="11580" spans="5:9" ht="16.5" hidden="1">
      <c r="E11580" s="4" t="str">
        <v/>
      </c>
      <c r="F11580" s="102" t="str">
        <f ca="1">IFERROR(__xludf.DUMMYFUNCTION("IMPORTRANGE(H11580,""IDENTITAS UNIT!D9"")"),"#N/A")</f>
        <v>#N/A</v>
      </c>
      <c r="H11580" s="4" t="str">
        <v/>
      </c>
      <c r="I11580" s="4" t="str">
        <v/>
      </c>
    </row>
    <row r="11581" spans="5:9" ht="16.5" hidden="1">
      <c r="E11581" s="4" t="str">
        <v/>
      </c>
      <c r="F11581" s="102" t="str">
        <f ca="1">IFERROR(__xludf.DUMMYFUNCTION("IMPORTRANGE(H11581,""IDENTITAS UNIT!D9"")"),"#N/A")</f>
        <v>#N/A</v>
      </c>
      <c r="H11581" s="4" t="str">
        <v/>
      </c>
      <c r="I11581" s="4" t="str">
        <v/>
      </c>
    </row>
    <row r="11582" spans="5:9" ht="16.5" hidden="1">
      <c r="E11582" s="4" t="str">
        <v/>
      </c>
      <c r="F11582" s="102" t="str">
        <f ca="1">IFERROR(__xludf.DUMMYFUNCTION("IMPORTRANGE(H11582,""IDENTITAS UNIT!D9"")"),"#N/A")</f>
        <v>#N/A</v>
      </c>
      <c r="H11582" s="4" t="str">
        <v/>
      </c>
      <c r="I11582" s="4" t="str">
        <v/>
      </c>
    </row>
    <row r="11583" spans="5:9" ht="16.5" hidden="1">
      <c r="E11583" s="4" t="str">
        <v/>
      </c>
      <c r="F11583" s="102" t="str">
        <f ca="1">IFERROR(__xludf.DUMMYFUNCTION("IMPORTRANGE(H11583,""IDENTITAS UNIT!D9"")"),"#N/A")</f>
        <v>#N/A</v>
      </c>
      <c r="H11583" s="4" t="str">
        <v/>
      </c>
      <c r="I11583" s="4" t="str">
        <v/>
      </c>
    </row>
    <row r="11584" spans="5:9" ht="16.5" hidden="1">
      <c r="E11584" s="4" t="str">
        <v/>
      </c>
      <c r="F11584" s="102" t="str">
        <f ca="1">IFERROR(__xludf.DUMMYFUNCTION("IMPORTRANGE(H11584,""IDENTITAS UNIT!D9"")"),"#N/A")</f>
        <v>#N/A</v>
      </c>
      <c r="H11584" s="4" t="str">
        <v/>
      </c>
      <c r="I11584" s="4" t="str">
        <v/>
      </c>
    </row>
    <row r="11585" spans="5:9" ht="16.5" hidden="1">
      <c r="E11585" s="4" t="str">
        <v/>
      </c>
      <c r="F11585" s="102" t="str">
        <f ca="1">IFERROR(__xludf.DUMMYFUNCTION("IMPORTRANGE(H11585,""IDENTITAS UNIT!D9"")"),"#N/A")</f>
        <v>#N/A</v>
      </c>
      <c r="H11585" s="4" t="str">
        <v/>
      </c>
      <c r="I11585" s="4" t="str">
        <v/>
      </c>
    </row>
    <row r="11586" spans="5:9" ht="16.5" hidden="1">
      <c r="E11586" s="4" t="str">
        <v/>
      </c>
      <c r="F11586" s="102" t="str">
        <f ca="1">IFERROR(__xludf.DUMMYFUNCTION("IMPORTRANGE(H11586,""IDENTITAS UNIT!D9"")"),"#N/A")</f>
        <v>#N/A</v>
      </c>
      <c r="H11586" s="4" t="str">
        <v/>
      </c>
      <c r="I11586" s="4" t="str">
        <v/>
      </c>
    </row>
    <row r="11587" spans="5:9" ht="16.5" hidden="1">
      <c r="E11587" s="4" t="str">
        <v/>
      </c>
      <c r="F11587" s="102" t="str">
        <f ca="1">IFERROR(__xludf.DUMMYFUNCTION("IMPORTRANGE(H11587,""IDENTITAS UNIT!D9"")"),"#N/A")</f>
        <v>#N/A</v>
      </c>
      <c r="H11587" s="4" t="str">
        <v/>
      </c>
      <c r="I11587" s="4" t="str">
        <v/>
      </c>
    </row>
    <row r="11588" spans="5:9" ht="16.5" hidden="1">
      <c r="E11588" s="4" t="str">
        <v/>
      </c>
      <c r="F11588" s="102" t="str">
        <f ca="1">IFERROR(__xludf.DUMMYFUNCTION("IMPORTRANGE(H11588,""IDENTITAS UNIT!D9"")"),"#N/A")</f>
        <v>#N/A</v>
      </c>
      <c r="H11588" s="4" t="str">
        <v/>
      </c>
      <c r="I11588" s="4" t="str">
        <v/>
      </c>
    </row>
    <row r="11589" spans="5:9" ht="16.5" hidden="1">
      <c r="E11589" s="4" t="str">
        <v/>
      </c>
      <c r="F11589" s="102" t="str">
        <f ca="1">IFERROR(__xludf.DUMMYFUNCTION("IMPORTRANGE(H11589,""IDENTITAS UNIT!D9"")"),"#N/A")</f>
        <v>#N/A</v>
      </c>
      <c r="H11589" s="4" t="str">
        <v/>
      </c>
      <c r="I11589" s="4" t="str">
        <v/>
      </c>
    </row>
    <row r="11590" spans="5:9" ht="16.5" hidden="1">
      <c r="E11590" s="4" t="str">
        <v/>
      </c>
      <c r="F11590" s="102" t="str">
        <f ca="1">IFERROR(__xludf.DUMMYFUNCTION("IMPORTRANGE(H11590,""IDENTITAS UNIT!D9"")"),"#N/A")</f>
        <v>#N/A</v>
      </c>
      <c r="H11590" s="4" t="str">
        <v/>
      </c>
      <c r="I11590" s="4" t="str">
        <v/>
      </c>
    </row>
    <row r="11591" spans="5:9" ht="16.5" hidden="1">
      <c r="E11591" s="4" t="str">
        <v/>
      </c>
      <c r="F11591" s="102" t="str">
        <f ca="1">IFERROR(__xludf.DUMMYFUNCTION("IMPORTRANGE(H11591,""IDENTITAS UNIT!D9"")"),"#N/A")</f>
        <v>#N/A</v>
      </c>
      <c r="H11591" s="4" t="str">
        <v/>
      </c>
      <c r="I11591" s="4" t="str">
        <v/>
      </c>
    </row>
    <row r="11592" spans="5:9" ht="16.5" hidden="1">
      <c r="E11592" s="4" t="str">
        <v/>
      </c>
      <c r="F11592" s="102" t="str">
        <f ca="1">IFERROR(__xludf.DUMMYFUNCTION("IMPORTRANGE(H11592,""IDENTITAS UNIT!D9"")"),"#N/A")</f>
        <v>#N/A</v>
      </c>
      <c r="H11592" s="4" t="str">
        <v/>
      </c>
      <c r="I11592" s="4" t="str">
        <v/>
      </c>
    </row>
    <row r="11593" spans="5:9" ht="16.5" hidden="1">
      <c r="E11593" s="4" t="str">
        <v/>
      </c>
      <c r="F11593" s="102" t="str">
        <f ca="1">IFERROR(__xludf.DUMMYFUNCTION("IMPORTRANGE(H11593,""IDENTITAS UNIT!D9"")"),"#N/A")</f>
        <v>#N/A</v>
      </c>
      <c r="H11593" s="4" t="str">
        <v/>
      </c>
      <c r="I11593" s="4" t="str">
        <v/>
      </c>
    </row>
    <row r="11594" spans="5:9" ht="16.5" hidden="1">
      <c r="E11594" s="4" t="str">
        <v/>
      </c>
      <c r="F11594" s="102" t="str">
        <f ca="1">IFERROR(__xludf.DUMMYFUNCTION("IMPORTRANGE(H11594,""IDENTITAS UNIT!D9"")"),"#N/A")</f>
        <v>#N/A</v>
      </c>
      <c r="H11594" s="4" t="str">
        <v/>
      </c>
      <c r="I11594" s="4" t="str">
        <v/>
      </c>
    </row>
    <row r="11595" spans="5:9" ht="16.5" hidden="1">
      <c r="E11595" s="4" t="str">
        <v/>
      </c>
      <c r="F11595" s="102" t="str">
        <f ca="1">IFERROR(__xludf.DUMMYFUNCTION("IMPORTRANGE(H11595,""IDENTITAS UNIT!D9"")"),"#N/A")</f>
        <v>#N/A</v>
      </c>
      <c r="H11595" s="4" t="str">
        <v/>
      </c>
      <c r="I11595" s="4" t="str">
        <v/>
      </c>
    </row>
    <row r="11596" spans="5:9" ht="16.5" hidden="1">
      <c r="E11596" s="4" t="str">
        <v/>
      </c>
      <c r="F11596" s="102" t="str">
        <f ca="1">IFERROR(__xludf.DUMMYFUNCTION("IMPORTRANGE(H11596,""IDENTITAS UNIT!D9"")"),"#N/A")</f>
        <v>#N/A</v>
      </c>
      <c r="H11596" s="4" t="str">
        <v/>
      </c>
      <c r="I11596" s="4" t="str">
        <v/>
      </c>
    </row>
    <row r="11597" spans="5:9" ht="16.5" hidden="1">
      <c r="E11597" s="4" t="str">
        <v/>
      </c>
      <c r="F11597" s="102" t="str">
        <f ca="1">IFERROR(__xludf.DUMMYFUNCTION("IMPORTRANGE(H11597,""IDENTITAS UNIT!D9"")"),"#N/A")</f>
        <v>#N/A</v>
      </c>
      <c r="H11597" s="4" t="str">
        <v/>
      </c>
      <c r="I11597" s="4" t="str">
        <v/>
      </c>
    </row>
    <row r="11598" spans="5:9" ht="16.5" hidden="1">
      <c r="E11598" s="4" t="str">
        <v/>
      </c>
      <c r="F11598" s="102" t="str">
        <f ca="1">IFERROR(__xludf.DUMMYFUNCTION("IMPORTRANGE(H11598,""IDENTITAS UNIT!D9"")"),"#N/A")</f>
        <v>#N/A</v>
      </c>
      <c r="H11598" s="4" t="str">
        <v/>
      </c>
      <c r="I11598" s="4" t="str">
        <v/>
      </c>
    </row>
    <row r="11599" spans="5:9" ht="16.5" hidden="1">
      <c r="E11599" s="4" t="str">
        <v/>
      </c>
      <c r="F11599" s="102" t="str">
        <f ca="1">IFERROR(__xludf.DUMMYFUNCTION("IMPORTRANGE(H11599,""IDENTITAS UNIT!D9"")"),"#N/A")</f>
        <v>#N/A</v>
      </c>
      <c r="H11599" s="4" t="str">
        <v/>
      </c>
      <c r="I11599" s="4" t="str">
        <v/>
      </c>
    </row>
    <row r="11600" spans="5:9" ht="16.5" hidden="1">
      <c r="E11600" s="4" t="str">
        <v/>
      </c>
      <c r="F11600" s="102" t="str">
        <f ca="1">IFERROR(__xludf.DUMMYFUNCTION("IMPORTRANGE(H11600,""IDENTITAS UNIT!D9"")"),"#N/A")</f>
        <v>#N/A</v>
      </c>
      <c r="H11600" s="4" t="str">
        <v/>
      </c>
      <c r="I11600" s="4" t="str">
        <v/>
      </c>
    </row>
    <row r="11601" spans="5:9" ht="16.5" hidden="1">
      <c r="E11601" s="4" t="str">
        <v/>
      </c>
      <c r="F11601" s="102" t="str">
        <f ca="1">IFERROR(__xludf.DUMMYFUNCTION("IMPORTRANGE(H11601,""IDENTITAS UNIT!D9"")"),"#N/A")</f>
        <v>#N/A</v>
      </c>
      <c r="H11601" s="4" t="str">
        <v/>
      </c>
      <c r="I11601" s="4" t="str">
        <v/>
      </c>
    </row>
    <row r="11602" spans="5:9" ht="16.5" hidden="1">
      <c r="E11602" s="4" t="str">
        <v/>
      </c>
      <c r="F11602" s="102" t="str">
        <f ca="1">IFERROR(__xludf.DUMMYFUNCTION("IMPORTRANGE(H11602,""IDENTITAS UNIT!D9"")"),"#N/A")</f>
        <v>#N/A</v>
      </c>
      <c r="H11602" s="4" t="str">
        <v/>
      </c>
      <c r="I11602" s="4" t="str">
        <v/>
      </c>
    </row>
    <row r="11603" spans="5:9" ht="16.5" hidden="1">
      <c r="E11603" s="4" t="str">
        <v/>
      </c>
      <c r="F11603" s="102" t="str">
        <f ca="1">IFERROR(__xludf.DUMMYFUNCTION("IMPORTRANGE(H11603,""IDENTITAS UNIT!D9"")"),"#N/A")</f>
        <v>#N/A</v>
      </c>
      <c r="H11603" s="4" t="str">
        <v/>
      </c>
      <c r="I11603" s="4" t="str">
        <v/>
      </c>
    </row>
    <row r="11604" spans="5:9" ht="16.5" hidden="1">
      <c r="E11604" s="4" t="str">
        <v/>
      </c>
      <c r="F11604" s="102" t="str">
        <f ca="1">IFERROR(__xludf.DUMMYFUNCTION("IMPORTRANGE(H11604,""IDENTITAS UNIT!D9"")"),"#N/A")</f>
        <v>#N/A</v>
      </c>
      <c r="H11604" s="4" t="str">
        <v/>
      </c>
      <c r="I11604" s="4" t="str">
        <v/>
      </c>
    </row>
    <row r="11605" spans="5:9" ht="16.5" hidden="1">
      <c r="E11605" s="4" t="str">
        <v/>
      </c>
      <c r="F11605" s="102" t="str">
        <f ca="1">IFERROR(__xludf.DUMMYFUNCTION("IMPORTRANGE(H11605,""IDENTITAS UNIT!D9"")"),"#N/A")</f>
        <v>#N/A</v>
      </c>
      <c r="H11605" s="4" t="str">
        <v/>
      </c>
      <c r="I11605" s="4" t="str">
        <v/>
      </c>
    </row>
    <row r="11606" spans="5:9" ht="16.5" hidden="1">
      <c r="E11606" s="4" t="str">
        <v/>
      </c>
      <c r="F11606" s="102" t="str">
        <f ca="1">IFERROR(__xludf.DUMMYFUNCTION("IMPORTRANGE(H11606,""IDENTITAS UNIT!D9"")"),"#N/A")</f>
        <v>#N/A</v>
      </c>
      <c r="H11606" s="4" t="str">
        <v/>
      </c>
      <c r="I11606" s="4" t="str">
        <v/>
      </c>
    </row>
    <row r="11607" spans="5:9" ht="16.5" hidden="1">
      <c r="E11607" s="4" t="str">
        <v/>
      </c>
      <c r="F11607" s="102" t="str">
        <f ca="1">IFERROR(__xludf.DUMMYFUNCTION("IMPORTRANGE(H11607,""IDENTITAS UNIT!D9"")"),"#N/A")</f>
        <v>#N/A</v>
      </c>
      <c r="H11607" s="4" t="str">
        <v/>
      </c>
      <c r="I11607" s="4" t="str">
        <v/>
      </c>
    </row>
    <row r="11608" spans="5:9" ht="16.5" hidden="1">
      <c r="E11608" s="4" t="str">
        <v/>
      </c>
      <c r="F11608" s="102" t="str">
        <f ca="1">IFERROR(__xludf.DUMMYFUNCTION("IMPORTRANGE(H11608,""IDENTITAS UNIT!D9"")"),"#N/A")</f>
        <v>#N/A</v>
      </c>
      <c r="H11608" s="4" t="str">
        <v/>
      </c>
      <c r="I11608" s="4" t="str">
        <v/>
      </c>
    </row>
    <row r="11609" spans="5:9" ht="16.5" hidden="1">
      <c r="E11609" s="4" t="str">
        <v/>
      </c>
      <c r="F11609" s="102" t="str">
        <f ca="1">IFERROR(__xludf.DUMMYFUNCTION("IMPORTRANGE(H11609,""IDENTITAS UNIT!D9"")"),"#N/A")</f>
        <v>#N/A</v>
      </c>
      <c r="H11609" s="4" t="str">
        <v/>
      </c>
      <c r="I11609" s="4" t="str">
        <v/>
      </c>
    </row>
    <row r="11610" spans="5:9" ht="16.5" hidden="1">
      <c r="E11610" s="4" t="str">
        <v/>
      </c>
      <c r="F11610" s="102" t="str">
        <f ca="1">IFERROR(__xludf.DUMMYFUNCTION("IMPORTRANGE(H11610,""IDENTITAS UNIT!D9"")"),"#N/A")</f>
        <v>#N/A</v>
      </c>
      <c r="H11610" s="4" t="str">
        <v/>
      </c>
      <c r="I11610" s="4" t="str">
        <v/>
      </c>
    </row>
    <row r="11611" spans="5:9" ht="16.5" hidden="1">
      <c r="E11611" s="4" t="str">
        <v/>
      </c>
      <c r="F11611" s="102" t="str">
        <f ca="1">IFERROR(__xludf.DUMMYFUNCTION("IMPORTRANGE(H11611,""IDENTITAS UNIT!D9"")"),"#N/A")</f>
        <v>#N/A</v>
      </c>
      <c r="H11611" s="4" t="str">
        <v/>
      </c>
      <c r="I11611" s="4" t="str">
        <v/>
      </c>
    </row>
    <row r="11612" spans="5:9" ht="16.5" hidden="1">
      <c r="E11612" s="4" t="str">
        <v/>
      </c>
      <c r="F11612" s="102" t="str">
        <f ca="1">IFERROR(__xludf.DUMMYFUNCTION("IMPORTRANGE(H11612,""IDENTITAS UNIT!D9"")"),"#N/A")</f>
        <v>#N/A</v>
      </c>
      <c r="H11612" s="4" t="str">
        <v/>
      </c>
      <c r="I11612" s="4" t="str">
        <v/>
      </c>
    </row>
    <row r="11613" spans="5:9" ht="16.5" hidden="1">
      <c r="E11613" s="4" t="str">
        <v/>
      </c>
      <c r="F11613" s="102" t="str">
        <f ca="1">IFERROR(__xludf.DUMMYFUNCTION("IMPORTRANGE(H11613,""IDENTITAS UNIT!D9"")"),"#N/A")</f>
        <v>#N/A</v>
      </c>
      <c r="H11613" s="4" t="str">
        <v/>
      </c>
      <c r="I11613" s="4" t="str">
        <v/>
      </c>
    </row>
    <row r="11614" spans="5:9" ht="16.5" hidden="1">
      <c r="E11614" s="4" t="str">
        <v/>
      </c>
      <c r="F11614" s="102" t="str">
        <f ca="1">IFERROR(__xludf.DUMMYFUNCTION("IMPORTRANGE(H11614,""IDENTITAS UNIT!D9"")"),"#N/A")</f>
        <v>#N/A</v>
      </c>
      <c r="H11614" s="4" t="str">
        <v/>
      </c>
      <c r="I11614" s="4" t="str">
        <v/>
      </c>
    </row>
    <row r="11615" spans="5:9" ht="16.5" hidden="1">
      <c r="E11615" s="4" t="str">
        <v/>
      </c>
      <c r="F11615" s="102" t="str">
        <f ca="1">IFERROR(__xludf.DUMMYFUNCTION("IMPORTRANGE(H11615,""IDENTITAS UNIT!D9"")"),"#N/A")</f>
        <v>#N/A</v>
      </c>
      <c r="H11615" s="4" t="str">
        <v/>
      </c>
      <c r="I11615" s="4" t="str">
        <v/>
      </c>
    </row>
    <row r="11616" spans="5:9" ht="16.5" hidden="1">
      <c r="E11616" s="4" t="str">
        <v/>
      </c>
      <c r="F11616" s="102" t="str">
        <f ca="1">IFERROR(__xludf.DUMMYFUNCTION("IMPORTRANGE(H11616,""IDENTITAS UNIT!D9"")"),"#N/A")</f>
        <v>#N/A</v>
      </c>
      <c r="H11616" s="4" t="str">
        <v/>
      </c>
      <c r="I11616" s="4" t="str">
        <v/>
      </c>
    </row>
    <row r="11617" spans="5:9" ht="16.5" hidden="1">
      <c r="E11617" s="4" t="str">
        <v/>
      </c>
      <c r="F11617" s="102" t="str">
        <f ca="1">IFERROR(__xludf.DUMMYFUNCTION("IMPORTRANGE(H11617,""IDENTITAS UNIT!D9"")"),"#N/A")</f>
        <v>#N/A</v>
      </c>
      <c r="H11617" s="4" t="str">
        <v/>
      </c>
      <c r="I11617" s="4" t="str">
        <v/>
      </c>
    </row>
    <row r="11618" spans="5:9" ht="16.5" hidden="1">
      <c r="E11618" s="4" t="str">
        <v/>
      </c>
      <c r="F11618" s="102" t="str">
        <f ca="1">IFERROR(__xludf.DUMMYFUNCTION("IMPORTRANGE(H11618,""IDENTITAS UNIT!D9"")"),"#N/A")</f>
        <v>#N/A</v>
      </c>
      <c r="H11618" s="4" t="str">
        <v/>
      </c>
      <c r="I11618" s="4" t="str">
        <v/>
      </c>
    </row>
    <row r="11619" spans="5:9" ht="16.5" hidden="1">
      <c r="E11619" s="4" t="str">
        <v/>
      </c>
      <c r="F11619" s="102" t="str">
        <f ca="1">IFERROR(__xludf.DUMMYFUNCTION("IMPORTRANGE(H11619,""IDENTITAS UNIT!D9"")"),"#N/A")</f>
        <v>#N/A</v>
      </c>
      <c r="H11619" s="4" t="str">
        <v/>
      </c>
      <c r="I11619" s="4" t="str">
        <v/>
      </c>
    </row>
    <row r="11620" spans="5:9" ht="16.5" hidden="1">
      <c r="E11620" s="4" t="str">
        <v/>
      </c>
      <c r="F11620" s="102" t="str">
        <f ca="1">IFERROR(__xludf.DUMMYFUNCTION("IMPORTRANGE(H11620,""IDENTITAS UNIT!D9"")"),"#N/A")</f>
        <v>#N/A</v>
      </c>
      <c r="H11620" s="4" t="str">
        <v/>
      </c>
      <c r="I11620" s="4" t="str">
        <v/>
      </c>
    </row>
    <row r="11621" spans="5:9" ht="16.5" hidden="1">
      <c r="E11621" s="4" t="str">
        <v/>
      </c>
      <c r="F11621" s="102" t="str">
        <f ca="1">IFERROR(__xludf.DUMMYFUNCTION("IMPORTRANGE(H11621,""IDENTITAS UNIT!D9"")"),"#N/A")</f>
        <v>#N/A</v>
      </c>
      <c r="H11621" s="4" t="str">
        <v/>
      </c>
      <c r="I11621" s="4" t="str">
        <v/>
      </c>
    </row>
    <row r="11622" spans="5:9" ht="16.5" hidden="1">
      <c r="E11622" s="4" t="str">
        <v/>
      </c>
      <c r="F11622" s="102" t="str">
        <f ca="1">IFERROR(__xludf.DUMMYFUNCTION("IMPORTRANGE(H11622,""IDENTITAS UNIT!D9"")"),"#N/A")</f>
        <v>#N/A</v>
      </c>
      <c r="H11622" s="4" t="str">
        <v/>
      </c>
      <c r="I11622" s="4" t="str">
        <v/>
      </c>
    </row>
    <row r="11623" spans="5:9" ht="16.5" hidden="1">
      <c r="E11623" s="4" t="str">
        <v/>
      </c>
      <c r="F11623" s="102" t="str">
        <f ca="1">IFERROR(__xludf.DUMMYFUNCTION("IMPORTRANGE(H11623,""IDENTITAS UNIT!D9"")"),"#N/A")</f>
        <v>#N/A</v>
      </c>
      <c r="H11623" s="4" t="str">
        <v/>
      </c>
      <c r="I11623" s="4" t="str">
        <v/>
      </c>
    </row>
    <row r="11624" spans="5:9" ht="16.5" hidden="1">
      <c r="E11624" s="4" t="str">
        <v/>
      </c>
      <c r="F11624" s="102" t="str">
        <f ca="1">IFERROR(__xludf.DUMMYFUNCTION("IMPORTRANGE(H11624,""IDENTITAS UNIT!D9"")"),"#N/A")</f>
        <v>#N/A</v>
      </c>
      <c r="H11624" s="4" t="str">
        <v/>
      </c>
      <c r="I11624" s="4" t="str">
        <v/>
      </c>
    </row>
    <row r="11625" spans="5:9" ht="16.5" hidden="1">
      <c r="E11625" s="4" t="str">
        <v/>
      </c>
      <c r="F11625" s="102" t="str">
        <f ca="1">IFERROR(__xludf.DUMMYFUNCTION("IMPORTRANGE(H11625,""IDENTITAS UNIT!D9"")"),"#N/A")</f>
        <v>#N/A</v>
      </c>
      <c r="H11625" s="4" t="str">
        <v/>
      </c>
      <c r="I11625" s="4" t="str">
        <v/>
      </c>
    </row>
    <row r="11626" spans="5:9" ht="16.5" hidden="1">
      <c r="E11626" s="4" t="str">
        <v/>
      </c>
      <c r="F11626" s="102" t="str">
        <f ca="1">IFERROR(__xludf.DUMMYFUNCTION("IMPORTRANGE(H11626,""IDENTITAS UNIT!D9"")"),"#N/A")</f>
        <v>#N/A</v>
      </c>
      <c r="H11626" s="4" t="str">
        <v/>
      </c>
      <c r="I11626" s="4" t="str">
        <v/>
      </c>
    </row>
    <row r="11627" spans="5:9" ht="16.5" hidden="1">
      <c r="E11627" s="4" t="str">
        <v/>
      </c>
      <c r="F11627" s="102" t="str">
        <f ca="1">IFERROR(__xludf.DUMMYFUNCTION("IMPORTRANGE(H11627,""IDENTITAS UNIT!D9"")"),"#N/A")</f>
        <v>#N/A</v>
      </c>
      <c r="H11627" s="4" t="str">
        <v/>
      </c>
      <c r="I11627" s="4" t="str">
        <v/>
      </c>
    </row>
    <row r="11628" spans="5:9" ht="16.5" hidden="1">
      <c r="E11628" s="4" t="str">
        <v/>
      </c>
      <c r="F11628" s="102" t="str">
        <f ca="1">IFERROR(__xludf.DUMMYFUNCTION("IMPORTRANGE(H11628,""IDENTITAS UNIT!D9"")"),"#N/A")</f>
        <v>#N/A</v>
      </c>
      <c r="H11628" s="4" t="str">
        <v/>
      </c>
      <c r="I11628" s="4" t="str">
        <v/>
      </c>
    </row>
    <row r="11629" spans="5:9" ht="16.5" hidden="1">
      <c r="E11629" s="4" t="str">
        <v/>
      </c>
      <c r="F11629" s="102" t="str">
        <f ca="1">IFERROR(__xludf.DUMMYFUNCTION("IMPORTRANGE(H11629,""IDENTITAS UNIT!D9"")"),"#N/A")</f>
        <v>#N/A</v>
      </c>
      <c r="H11629" s="4" t="str">
        <v/>
      </c>
      <c r="I11629" s="4" t="str">
        <v/>
      </c>
    </row>
    <row r="11630" spans="5:9" ht="16.5" hidden="1">
      <c r="E11630" s="4" t="str">
        <v/>
      </c>
      <c r="F11630" s="102" t="str">
        <f ca="1">IFERROR(__xludf.DUMMYFUNCTION("IMPORTRANGE(H11630,""IDENTITAS UNIT!D9"")"),"#N/A")</f>
        <v>#N/A</v>
      </c>
      <c r="H11630" s="4" t="str">
        <v/>
      </c>
      <c r="I11630" s="4" t="str">
        <v/>
      </c>
    </row>
    <row r="11631" spans="5:9" ht="16.5" hidden="1">
      <c r="E11631" s="4" t="str">
        <v/>
      </c>
      <c r="F11631" s="102" t="str">
        <f ca="1">IFERROR(__xludf.DUMMYFUNCTION("IMPORTRANGE(H11631,""IDENTITAS UNIT!D9"")"),"#N/A")</f>
        <v>#N/A</v>
      </c>
      <c r="H11631" s="4" t="str">
        <v/>
      </c>
      <c r="I11631" s="4" t="str">
        <v/>
      </c>
    </row>
    <row r="11632" spans="5:9" ht="16.5" hidden="1">
      <c r="E11632" s="4" t="str">
        <v/>
      </c>
      <c r="F11632" s="102" t="str">
        <f ca="1">IFERROR(__xludf.DUMMYFUNCTION("IMPORTRANGE(H11632,""IDENTITAS UNIT!D9"")"),"#N/A")</f>
        <v>#N/A</v>
      </c>
      <c r="H11632" s="4" t="str">
        <v/>
      </c>
      <c r="I11632" s="4" t="str">
        <v/>
      </c>
    </row>
    <row r="11633" spans="5:9" ht="16.5" hidden="1">
      <c r="E11633" s="4" t="str">
        <v/>
      </c>
      <c r="F11633" s="102" t="str">
        <f ca="1">IFERROR(__xludf.DUMMYFUNCTION("IMPORTRANGE(H11633,""IDENTITAS UNIT!D9"")"),"#N/A")</f>
        <v>#N/A</v>
      </c>
      <c r="H11633" s="4" t="str">
        <v/>
      </c>
      <c r="I11633" s="4" t="str">
        <v/>
      </c>
    </row>
    <row r="11634" spans="5:9" ht="16.5" hidden="1">
      <c r="E11634" s="4" t="str">
        <v/>
      </c>
      <c r="F11634" s="102" t="str">
        <f ca="1">IFERROR(__xludf.DUMMYFUNCTION("IMPORTRANGE(H11634,""IDENTITAS UNIT!D9"")"),"#N/A")</f>
        <v>#N/A</v>
      </c>
      <c r="H11634" s="4" t="str">
        <v/>
      </c>
      <c r="I11634" s="4" t="str">
        <v/>
      </c>
    </row>
    <row r="11635" spans="5:9" ht="16.5" hidden="1">
      <c r="E11635" s="4" t="str">
        <v/>
      </c>
      <c r="F11635" s="102" t="str">
        <f ca="1">IFERROR(__xludf.DUMMYFUNCTION("IMPORTRANGE(H11635,""IDENTITAS UNIT!D9"")"),"#N/A")</f>
        <v>#N/A</v>
      </c>
      <c r="H11635" s="4" t="str">
        <v/>
      </c>
      <c r="I11635" s="4" t="str">
        <v/>
      </c>
    </row>
    <row r="11636" spans="5:9" ht="16.5" hidden="1">
      <c r="E11636" s="4" t="str">
        <v/>
      </c>
      <c r="F11636" s="102" t="str">
        <f ca="1">IFERROR(__xludf.DUMMYFUNCTION("IMPORTRANGE(H11636,""IDENTITAS UNIT!D9"")"),"#N/A")</f>
        <v>#N/A</v>
      </c>
      <c r="H11636" s="4" t="str">
        <v/>
      </c>
      <c r="I11636" s="4" t="str">
        <v/>
      </c>
    </row>
    <row r="11637" spans="5:9" ht="16.5" hidden="1">
      <c r="E11637" s="4" t="str">
        <v/>
      </c>
      <c r="F11637" s="102" t="str">
        <f ca="1">IFERROR(__xludf.DUMMYFUNCTION("IMPORTRANGE(H11637,""IDENTITAS UNIT!D9"")"),"#N/A")</f>
        <v>#N/A</v>
      </c>
      <c r="H11637" s="4" t="str">
        <v/>
      </c>
      <c r="I11637" s="4" t="str">
        <v/>
      </c>
    </row>
    <row r="11638" spans="5:9" ht="16.5" hidden="1">
      <c r="E11638" s="4" t="str">
        <v/>
      </c>
      <c r="F11638" s="102" t="str">
        <f ca="1">IFERROR(__xludf.DUMMYFUNCTION("IMPORTRANGE(H11638,""IDENTITAS UNIT!D9"")"),"#N/A")</f>
        <v>#N/A</v>
      </c>
      <c r="H11638" s="4" t="str">
        <v/>
      </c>
      <c r="I11638" s="4" t="str">
        <v/>
      </c>
    </row>
    <row r="11639" spans="5:9" ht="16.5" hidden="1">
      <c r="E11639" s="4" t="str">
        <v/>
      </c>
      <c r="F11639" s="102" t="str">
        <f ca="1">IFERROR(__xludf.DUMMYFUNCTION("IMPORTRANGE(H11639,""IDENTITAS UNIT!D9"")"),"#N/A")</f>
        <v>#N/A</v>
      </c>
      <c r="H11639" s="4" t="str">
        <v/>
      </c>
      <c r="I11639" s="4" t="str">
        <v/>
      </c>
    </row>
    <row r="11640" spans="5:9" ht="16.5" hidden="1">
      <c r="E11640" s="4" t="str">
        <v/>
      </c>
      <c r="F11640" s="102" t="str">
        <f ca="1">IFERROR(__xludf.DUMMYFUNCTION("IMPORTRANGE(H11640,""IDENTITAS UNIT!D9"")"),"#N/A")</f>
        <v>#N/A</v>
      </c>
      <c r="H11640" s="4" t="str">
        <v/>
      </c>
      <c r="I11640" s="4" t="str">
        <v/>
      </c>
    </row>
    <row r="11641" spans="5:9" ht="16.5" hidden="1">
      <c r="E11641" s="4" t="str">
        <v/>
      </c>
      <c r="F11641" s="102" t="str">
        <f ca="1">IFERROR(__xludf.DUMMYFUNCTION("IMPORTRANGE(H11641,""IDENTITAS UNIT!D9"")"),"#N/A")</f>
        <v>#N/A</v>
      </c>
      <c r="H11641" s="4" t="str">
        <v/>
      </c>
      <c r="I11641" s="4" t="str">
        <v/>
      </c>
    </row>
    <row r="11642" spans="5:9" ht="16.5" hidden="1">
      <c r="E11642" s="4" t="str">
        <v/>
      </c>
      <c r="F11642" s="102" t="str">
        <f ca="1">IFERROR(__xludf.DUMMYFUNCTION("IMPORTRANGE(H11642,""IDENTITAS UNIT!D9"")"),"#N/A")</f>
        <v>#N/A</v>
      </c>
      <c r="H11642" s="4" t="str">
        <v/>
      </c>
      <c r="I11642" s="4" t="str">
        <v/>
      </c>
    </row>
    <row r="11643" spans="5:9" ht="16.5" hidden="1">
      <c r="E11643" s="4" t="str">
        <v/>
      </c>
      <c r="F11643" s="102" t="str">
        <f ca="1">IFERROR(__xludf.DUMMYFUNCTION("IMPORTRANGE(H11643,""IDENTITAS UNIT!D9"")"),"#N/A")</f>
        <v>#N/A</v>
      </c>
      <c r="H11643" s="4" t="str">
        <v/>
      </c>
      <c r="I11643" s="4" t="str">
        <v/>
      </c>
    </row>
    <row r="11644" spans="5:9" ht="16.5" hidden="1">
      <c r="E11644" s="4" t="str">
        <v/>
      </c>
      <c r="F11644" s="102" t="str">
        <f ca="1">IFERROR(__xludf.DUMMYFUNCTION("IMPORTRANGE(H11644,""IDENTITAS UNIT!D9"")"),"#N/A")</f>
        <v>#N/A</v>
      </c>
      <c r="H11644" s="4" t="str">
        <v/>
      </c>
      <c r="I11644" s="4" t="str">
        <v/>
      </c>
    </row>
    <row r="11645" spans="5:9" ht="16.5" hidden="1">
      <c r="E11645" s="4" t="str">
        <v/>
      </c>
      <c r="F11645" s="102" t="str">
        <f ca="1">IFERROR(__xludf.DUMMYFUNCTION("IMPORTRANGE(H11645,""IDENTITAS UNIT!D9"")"),"#N/A")</f>
        <v>#N/A</v>
      </c>
      <c r="H11645" s="4" t="str">
        <v/>
      </c>
      <c r="I11645" s="4" t="str">
        <v/>
      </c>
    </row>
    <row r="11646" spans="5:9" ht="16.5" hidden="1">
      <c r="E11646" s="4" t="str">
        <v/>
      </c>
      <c r="F11646" s="102" t="str">
        <f ca="1">IFERROR(__xludf.DUMMYFUNCTION("IMPORTRANGE(H11646,""IDENTITAS UNIT!D9"")"),"#N/A")</f>
        <v>#N/A</v>
      </c>
      <c r="H11646" s="4" t="str">
        <v/>
      </c>
      <c r="I11646" s="4" t="str">
        <v/>
      </c>
    </row>
    <row r="11647" spans="5:9" ht="16.5" hidden="1">
      <c r="E11647" s="4" t="str">
        <v/>
      </c>
      <c r="F11647" s="102" t="str">
        <f ca="1">IFERROR(__xludf.DUMMYFUNCTION("IMPORTRANGE(H11647,""IDENTITAS UNIT!D9"")"),"#N/A")</f>
        <v>#N/A</v>
      </c>
      <c r="H11647" s="4" t="str">
        <v/>
      </c>
      <c r="I11647" s="4" t="str">
        <v/>
      </c>
    </row>
    <row r="11648" spans="5:9" ht="16.5" hidden="1">
      <c r="E11648" s="4" t="str">
        <v/>
      </c>
      <c r="F11648" s="102" t="str">
        <f ca="1">IFERROR(__xludf.DUMMYFUNCTION("IMPORTRANGE(H11648,""IDENTITAS UNIT!D9"")"),"#N/A")</f>
        <v>#N/A</v>
      </c>
      <c r="H11648" s="4" t="str">
        <v/>
      </c>
      <c r="I11648" s="4" t="str">
        <v/>
      </c>
    </row>
    <row r="11649" spans="5:9" ht="16.5" hidden="1">
      <c r="E11649" s="4" t="str">
        <v/>
      </c>
      <c r="F11649" s="102" t="str">
        <f ca="1">IFERROR(__xludf.DUMMYFUNCTION("IMPORTRANGE(H11649,""IDENTITAS UNIT!D9"")"),"#N/A")</f>
        <v>#N/A</v>
      </c>
      <c r="H11649" s="4" t="str">
        <v/>
      </c>
      <c r="I11649" s="4" t="str">
        <v/>
      </c>
    </row>
    <row r="11650" spans="5:9" ht="16.5" hidden="1">
      <c r="E11650" s="4" t="str">
        <v/>
      </c>
      <c r="F11650" s="102" t="str">
        <f ca="1">IFERROR(__xludf.DUMMYFUNCTION("IMPORTRANGE(H11650,""IDENTITAS UNIT!D9"")"),"#N/A")</f>
        <v>#N/A</v>
      </c>
      <c r="H11650" s="4" t="str">
        <v/>
      </c>
      <c r="I11650" s="4" t="str">
        <v/>
      </c>
    </row>
    <row r="11651" spans="5:9" ht="16.5" hidden="1">
      <c r="E11651" s="4" t="str">
        <v/>
      </c>
      <c r="F11651" s="102" t="str">
        <f ca="1">IFERROR(__xludf.DUMMYFUNCTION("IMPORTRANGE(H11651,""IDENTITAS UNIT!D9"")"),"#N/A")</f>
        <v>#N/A</v>
      </c>
      <c r="H11651" s="4" t="str">
        <v/>
      </c>
      <c r="I11651" s="4" t="str">
        <v/>
      </c>
    </row>
    <row r="11652" spans="5:9" ht="16.5" hidden="1">
      <c r="E11652" s="4" t="str">
        <v/>
      </c>
      <c r="F11652" s="102" t="str">
        <f ca="1">IFERROR(__xludf.DUMMYFUNCTION("IMPORTRANGE(H11652,""IDENTITAS UNIT!D9"")"),"#N/A")</f>
        <v>#N/A</v>
      </c>
      <c r="H11652" s="4" t="str">
        <v/>
      </c>
      <c r="I11652" s="4" t="str">
        <v/>
      </c>
    </row>
    <row r="11653" spans="5:9" ht="16.5" hidden="1">
      <c r="E11653" s="4" t="str">
        <v/>
      </c>
      <c r="F11653" s="102" t="str">
        <f ca="1">IFERROR(__xludf.DUMMYFUNCTION("IMPORTRANGE(H11653,""IDENTITAS UNIT!D9"")"),"#N/A")</f>
        <v>#N/A</v>
      </c>
      <c r="H11653" s="4" t="str">
        <v/>
      </c>
      <c r="I11653" s="4" t="str">
        <v/>
      </c>
    </row>
    <row r="11654" spans="5:9" ht="16.5" hidden="1">
      <c r="E11654" s="4" t="str">
        <v/>
      </c>
      <c r="F11654" s="102" t="str">
        <f ca="1">IFERROR(__xludf.DUMMYFUNCTION("IMPORTRANGE(H11654,""IDENTITAS UNIT!D9"")"),"#N/A")</f>
        <v>#N/A</v>
      </c>
      <c r="H11654" s="4" t="str">
        <v/>
      </c>
      <c r="I11654" s="4" t="str">
        <v/>
      </c>
    </row>
    <row r="11655" spans="5:9" ht="16.5" hidden="1">
      <c r="E11655" s="4" t="str">
        <v/>
      </c>
      <c r="F11655" s="102" t="str">
        <f ca="1">IFERROR(__xludf.DUMMYFUNCTION("IMPORTRANGE(H11655,""IDENTITAS UNIT!D9"")"),"#N/A")</f>
        <v>#N/A</v>
      </c>
      <c r="H11655" s="4" t="str">
        <v/>
      </c>
      <c r="I11655" s="4" t="str">
        <v/>
      </c>
    </row>
    <row r="11656" spans="5:9" ht="16.5" hidden="1">
      <c r="E11656" s="4" t="str">
        <v/>
      </c>
      <c r="F11656" s="102" t="str">
        <f ca="1">IFERROR(__xludf.DUMMYFUNCTION("IMPORTRANGE(H11656,""IDENTITAS UNIT!D9"")"),"#N/A")</f>
        <v>#N/A</v>
      </c>
      <c r="H11656" s="4" t="str">
        <v/>
      </c>
      <c r="I11656" s="4" t="str">
        <v/>
      </c>
    </row>
    <row r="11657" spans="5:9" ht="16.5" hidden="1">
      <c r="E11657" s="4" t="str">
        <v/>
      </c>
      <c r="F11657" s="102" t="str">
        <f ca="1">IFERROR(__xludf.DUMMYFUNCTION("IMPORTRANGE(H11657,""IDENTITAS UNIT!D9"")"),"#N/A")</f>
        <v>#N/A</v>
      </c>
      <c r="H11657" s="4" t="str">
        <v/>
      </c>
      <c r="I11657" s="4" t="str">
        <v/>
      </c>
    </row>
    <row r="11658" spans="5:9" ht="16.5" hidden="1">
      <c r="E11658" s="4" t="str">
        <v/>
      </c>
      <c r="F11658" s="102" t="str">
        <f ca="1">IFERROR(__xludf.DUMMYFUNCTION("IMPORTRANGE(H11658,""IDENTITAS UNIT!D9"")"),"#N/A")</f>
        <v>#N/A</v>
      </c>
      <c r="H11658" s="4" t="str">
        <v/>
      </c>
      <c r="I11658" s="4" t="str">
        <v/>
      </c>
    </row>
    <row r="11659" spans="5:9" ht="16.5" hidden="1">
      <c r="E11659" s="4" t="str">
        <v/>
      </c>
      <c r="F11659" s="102" t="str">
        <f ca="1">IFERROR(__xludf.DUMMYFUNCTION("IMPORTRANGE(H11659,""IDENTITAS UNIT!D9"")"),"#N/A")</f>
        <v>#N/A</v>
      </c>
      <c r="H11659" s="4" t="str">
        <v/>
      </c>
      <c r="I11659" s="4" t="str">
        <v/>
      </c>
    </row>
    <row r="11660" spans="5:9" ht="16.5" hidden="1">
      <c r="E11660" s="4" t="str">
        <v/>
      </c>
      <c r="F11660" s="102" t="str">
        <f ca="1">IFERROR(__xludf.DUMMYFUNCTION("IMPORTRANGE(H11660,""IDENTITAS UNIT!D9"")"),"#N/A")</f>
        <v>#N/A</v>
      </c>
      <c r="H11660" s="4" t="str">
        <v/>
      </c>
      <c r="I11660" s="4" t="str">
        <v/>
      </c>
    </row>
    <row r="11661" spans="5:9" ht="16.5" hidden="1">
      <c r="E11661" s="4" t="str">
        <v/>
      </c>
      <c r="F11661" s="102" t="str">
        <f ca="1">IFERROR(__xludf.DUMMYFUNCTION("IMPORTRANGE(H11661,""IDENTITAS UNIT!D9"")"),"#N/A")</f>
        <v>#N/A</v>
      </c>
      <c r="H11661" s="4" t="str">
        <v/>
      </c>
      <c r="I11661" s="4" t="str">
        <v/>
      </c>
    </row>
    <row r="11662" spans="5:9" ht="16.5" hidden="1">
      <c r="E11662" s="4" t="str">
        <v/>
      </c>
      <c r="F11662" s="102" t="str">
        <f ca="1">IFERROR(__xludf.DUMMYFUNCTION("IMPORTRANGE(H11662,""IDENTITAS UNIT!D9"")"),"#N/A")</f>
        <v>#N/A</v>
      </c>
      <c r="H11662" s="4" t="str">
        <v/>
      </c>
      <c r="I11662" s="4" t="str">
        <v/>
      </c>
    </row>
    <row r="11663" spans="5:9" ht="16.5" hidden="1">
      <c r="E11663" s="4" t="str">
        <v/>
      </c>
      <c r="F11663" s="102" t="str">
        <f ca="1">IFERROR(__xludf.DUMMYFUNCTION("IMPORTRANGE(H11663,""IDENTITAS UNIT!D9"")"),"#N/A")</f>
        <v>#N/A</v>
      </c>
      <c r="H11663" s="4" t="str">
        <v/>
      </c>
      <c r="I11663" s="4" t="str">
        <v/>
      </c>
    </row>
    <row r="11664" spans="5:9" ht="16.5" hidden="1">
      <c r="E11664" s="4" t="str">
        <v/>
      </c>
      <c r="F11664" s="102" t="str">
        <f ca="1">IFERROR(__xludf.DUMMYFUNCTION("IMPORTRANGE(H11664,""IDENTITAS UNIT!D9"")"),"#N/A")</f>
        <v>#N/A</v>
      </c>
      <c r="H11664" s="4" t="str">
        <v/>
      </c>
      <c r="I11664" s="4" t="str">
        <v/>
      </c>
    </row>
    <row r="11665" spans="5:9" ht="16.5" hidden="1">
      <c r="E11665" s="4" t="str">
        <v/>
      </c>
      <c r="F11665" s="102" t="str">
        <f ca="1">IFERROR(__xludf.DUMMYFUNCTION("IMPORTRANGE(H11665,""IDENTITAS UNIT!D9"")"),"#N/A")</f>
        <v>#N/A</v>
      </c>
      <c r="H11665" s="4" t="str">
        <v/>
      </c>
      <c r="I11665" s="4" t="str">
        <v/>
      </c>
    </row>
    <row r="11666" spans="5:9" ht="16.5" hidden="1">
      <c r="E11666" s="4" t="str">
        <v/>
      </c>
      <c r="F11666" s="102" t="str">
        <f ca="1">IFERROR(__xludf.DUMMYFUNCTION("IMPORTRANGE(H11666,""IDENTITAS UNIT!D9"")"),"#N/A")</f>
        <v>#N/A</v>
      </c>
      <c r="H11666" s="4" t="str">
        <v/>
      </c>
      <c r="I11666" s="4" t="str">
        <v/>
      </c>
    </row>
    <row r="11667" spans="5:9" ht="16.5" hidden="1">
      <c r="E11667" s="4" t="str">
        <v/>
      </c>
      <c r="F11667" s="102" t="str">
        <f ca="1">IFERROR(__xludf.DUMMYFUNCTION("IMPORTRANGE(H11667,""IDENTITAS UNIT!D9"")"),"#N/A")</f>
        <v>#N/A</v>
      </c>
      <c r="H11667" s="4" t="str">
        <v/>
      </c>
      <c r="I11667" s="4" t="str">
        <v/>
      </c>
    </row>
    <row r="11668" spans="5:9" ht="16.5" hidden="1">
      <c r="E11668" s="4" t="str">
        <v/>
      </c>
      <c r="F11668" s="102" t="str">
        <f ca="1">IFERROR(__xludf.DUMMYFUNCTION("IMPORTRANGE(H11668,""IDENTITAS UNIT!D9"")"),"#N/A")</f>
        <v>#N/A</v>
      </c>
      <c r="H11668" s="4" t="str">
        <v/>
      </c>
      <c r="I11668" s="4" t="str">
        <v/>
      </c>
    </row>
    <row r="11669" spans="5:9" ht="16.5" hidden="1">
      <c r="E11669" s="4" t="str">
        <v/>
      </c>
      <c r="F11669" s="102" t="str">
        <f ca="1">IFERROR(__xludf.DUMMYFUNCTION("IMPORTRANGE(H11669,""IDENTITAS UNIT!D9"")"),"#N/A")</f>
        <v>#N/A</v>
      </c>
      <c r="H11669" s="4" t="str">
        <v/>
      </c>
      <c r="I11669" s="4" t="str">
        <v/>
      </c>
    </row>
    <row r="11670" spans="5:9" ht="16.5" hidden="1">
      <c r="E11670" s="4" t="str">
        <v/>
      </c>
      <c r="F11670" s="102" t="str">
        <f ca="1">IFERROR(__xludf.DUMMYFUNCTION("IMPORTRANGE(H11670,""IDENTITAS UNIT!D9"")"),"#N/A")</f>
        <v>#N/A</v>
      </c>
      <c r="H11670" s="4" t="str">
        <v/>
      </c>
      <c r="I11670" s="4" t="str">
        <v/>
      </c>
    </row>
    <row r="11671" spans="5:9" ht="16.5" hidden="1">
      <c r="E11671" s="4" t="str">
        <v/>
      </c>
      <c r="F11671" s="102" t="str">
        <f ca="1">IFERROR(__xludf.DUMMYFUNCTION("IMPORTRANGE(H11671,""IDENTITAS UNIT!D9"")"),"#N/A")</f>
        <v>#N/A</v>
      </c>
      <c r="H11671" s="4" t="str">
        <v/>
      </c>
      <c r="I11671" s="4" t="str">
        <v/>
      </c>
    </row>
    <row r="11672" spans="5:9" ht="16.5" hidden="1">
      <c r="E11672" s="4" t="str">
        <v/>
      </c>
      <c r="F11672" s="102" t="str">
        <f ca="1">IFERROR(__xludf.DUMMYFUNCTION("IMPORTRANGE(H11672,""IDENTITAS UNIT!D9"")"),"#N/A")</f>
        <v>#N/A</v>
      </c>
      <c r="H11672" s="4" t="str">
        <v/>
      </c>
      <c r="I11672" s="4" t="str">
        <v/>
      </c>
    </row>
    <row r="11673" spans="5:9" ht="16.5" hidden="1">
      <c r="E11673" s="4" t="str">
        <v/>
      </c>
      <c r="F11673" s="102" t="str">
        <f ca="1">IFERROR(__xludf.DUMMYFUNCTION("IMPORTRANGE(H11673,""IDENTITAS UNIT!D9"")"),"#N/A")</f>
        <v>#N/A</v>
      </c>
      <c r="H11673" s="4" t="str">
        <v/>
      </c>
      <c r="I11673" s="4" t="str">
        <v/>
      </c>
    </row>
    <row r="11674" spans="5:9" ht="16.5" hidden="1">
      <c r="E11674" s="4" t="str">
        <v/>
      </c>
      <c r="F11674" s="102" t="str">
        <f ca="1">IFERROR(__xludf.DUMMYFUNCTION("IMPORTRANGE(H11674,""IDENTITAS UNIT!D9"")"),"#N/A")</f>
        <v>#N/A</v>
      </c>
      <c r="H11674" s="4" t="str">
        <v/>
      </c>
      <c r="I11674" s="4" t="str">
        <v/>
      </c>
    </row>
    <row r="11675" spans="5:9" ht="16.5" hidden="1">
      <c r="E11675" s="4" t="str">
        <v/>
      </c>
      <c r="F11675" s="102" t="str">
        <f ca="1">IFERROR(__xludf.DUMMYFUNCTION("IMPORTRANGE(H11675,""IDENTITAS UNIT!D9"")"),"#N/A")</f>
        <v>#N/A</v>
      </c>
      <c r="H11675" s="4" t="str">
        <v/>
      </c>
      <c r="I11675" s="4" t="str">
        <v/>
      </c>
    </row>
    <row r="11676" spans="5:9" ht="16.5" hidden="1">
      <c r="E11676" s="4" t="str">
        <v/>
      </c>
      <c r="F11676" s="102" t="str">
        <f ca="1">IFERROR(__xludf.DUMMYFUNCTION("IMPORTRANGE(H11676,""IDENTITAS UNIT!D9"")"),"#N/A")</f>
        <v>#N/A</v>
      </c>
      <c r="H11676" s="4" t="str">
        <v/>
      </c>
      <c r="I11676" s="4" t="str">
        <v/>
      </c>
    </row>
    <row r="11677" spans="5:9" ht="16.5" hidden="1">
      <c r="E11677" s="4" t="str">
        <v/>
      </c>
      <c r="F11677" s="102" t="str">
        <f ca="1">IFERROR(__xludf.DUMMYFUNCTION("IMPORTRANGE(H11677,""IDENTITAS UNIT!D9"")"),"#N/A")</f>
        <v>#N/A</v>
      </c>
      <c r="H11677" s="4" t="str">
        <v/>
      </c>
      <c r="I11677" s="4" t="str">
        <v/>
      </c>
    </row>
    <row r="11678" spans="5:9" ht="16.5" hidden="1">
      <c r="E11678" s="4" t="str">
        <v/>
      </c>
      <c r="F11678" s="102" t="str">
        <f ca="1">IFERROR(__xludf.DUMMYFUNCTION("IMPORTRANGE(H11678,""IDENTITAS UNIT!D9"")"),"#N/A")</f>
        <v>#N/A</v>
      </c>
      <c r="H11678" s="4" t="str">
        <v/>
      </c>
      <c r="I11678" s="4" t="str">
        <v/>
      </c>
    </row>
    <row r="11679" spans="5:9" ht="16.5" hidden="1">
      <c r="E11679" s="4" t="str">
        <v/>
      </c>
      <c r="F11679" s="102" t="str">
        <f ca="1">IFERROR(__xludf.DUMMYFUNCTION("IMPORTRANGE(H11679,""IDENTITAS UNIT!D9"")"),"#N/A")</f>
        <v>#N/A</v>
      </c>
      <c r="H11679" s="4" t="str">
        <v/>
      </c>
      <c r="I11679" s="4" t="str">
        <v/>
      </c>
    </row>
    <row r="11680" spans="5:9" ht="16.5" hidden="1">
      <c r="E11680" s="4" t="str">
        <v/>
      </c>
      <c r="F11680" s="102" t="str">
        <f ca="1">IFERROR(__xludf.DUMMYFUNCTION("IMPORTRANGE(H11680,""IDENTITAS UNIT!D9"")"),"#N/A")</f>
        <v>#N/A</v>
      </c>
      <c r="H11680" s="4" t="str">
        <v/>
      </c>
      <c r="I11680" s="4" t="str">
        <v/>
      </c>
    </row>
    <row r="11681" spans="5:9" ht="16.5" hidden="1">
      <c r="E11681" s="4" t="str">
        <v/>
      </c>
      <c r="F11681" s="102" t="str">
        <f ca="1">IFERROR(__xludf.DUMMYFUNCTION("IMPORTRANGE(H11681,""IDENTITAS UNIT!D9"")"),"#N/A")</f>
        <v>#N/A</v>
      </c>
      <c r="H11681" s="4" t="str">
        <v/>
      </c>
      <c r="I11681" s="4" t="str">
        <v/>
      </c>
    </row>
    <row r="11682" spans="5:9" ht="16.5" hidden="1">
      <c r="E11682" s="4" t="str">
        <v/>
      </c>
      <c r="F11682" s="102" t="str">
        <f ca="1">IFERROR(__xludf.DUMMYFUNCTION("IMPORTRANGE(H11682,""IDENTITAS UNIT!D9"")"),"#N/A")</f>
        <v>#N/A</v>
      </c>
      <c r="H11682" s="4" t="str">
        <v/>
      </c>
      <c r="I11682" s="4" t="str">
        <v/>
      </c>
    </row>
    <row r="11683" spans="5:9" ht="16.5" hidden="1">
      <c r="E11683" s="4" t="str">
        <v/>
      </c>
      <c r="F11683" s="102" t="str">
        <f ca="1">IFERROR(__xludf.DUMMYFUNCTION("IMPORTRANGE(H11683,""IDENTITAS UNIT!D9"")"),"#N/A")</f>
        <v>#N/A</v>
      </c>
      <c r="H11683" s="4" t="str">
        <v/>
      </c>
      <c r="I11683" s="4" t="str">
        <v/>
      </c>
    </row>
    <row r="11684" spans="5:9" ht="16.5" hidden="1">
      <c r="E11684" s="4" t="str">
        <v/>
      </c>
      <c r="F11684" s="102" t="str">
        <f ca="1">IFERROR(__xludf.DUMMYFUNCTION("IMPORTRANGE(H11684,""IDENTITAS UNIT!D9"")"),"#N/A")</f>
        <v>#N/A</v>
      </c>
      <c r="H11684" s="4" t="str">
        <v/>
      </c>
      <c r="I11684" s="4" t="str">
        <v/>
      </c>
    </row>
    <row r="11685" spans="5:9" ht="16.5" hidden="1">
      <c r="E11685" s="4" t="str">
        <v/>
      </c>
      <c r="F11685" s="102" t="str">
        <f ca="1">IFERROR(__xludf.DUMMYFUNCTION("IMPORTRANGE(H11685,""IDENTITAS UNIT!D9"")"),"#N/A")</f>
        <v>#N/A</v>
      </c>
      <c r="H11685" s="4" t="str">
        <v/>
      </c>
      <c r="I11685" s="4" t="str">
        <v/>
      </c>
    </row>
    <row r="11686" spans="5:9" ht="16.5" hidden="1">
      <c r="E11686" s="4" t="str">
        <v/>
      </c>
      <c r="F11686" s="102" t="str">
        <f ca="1">IFERROR(__xludf.DUMMYFUNCTION("IMPORTRANGE(H11686,""IDENTITAS UNIT!D9"")"),"#N/A")</f>
        <v>#N/A</v>
      </c>
      <c r="H11686" s="4" t="str">
        <v/>
      </c>
      <c r="I11686" s="4" t="str">
        <v/>
      </c>
    </row>
    <row r="11687" spans="5:9" ht="16.5" hidden="1">
      <c r="E11687" s="4" t="str">
        <v/>
      </c>
      <c r="F11687" s="102" t="str">
        <f ca="1">IFERROR(__xludf.DUMMYFUNCTION("IMPORTRANGE(H11687,""IDENTITAS UNIT!D9"")"),"#N/A")</f>
        <v>#N/A</v>
      </c>
      <c r="H11687" s="4" t="str">
        <v/>
      </c>
      <c r="I11687" s="4" t="str">
        <v/>
      </c>
    </row>
    <row r="11688" spans="5:9" ht="16.5" hidden="1">
      <c r="E11688" s="4" t="str">
        <v/>
      </c>
      <c r="F11688" s="102" t="str">
        <f ca="1">IFERROR(__xludf.DUMMYFUNCTION("IMPORTRANGE(H11688,""IDENTITAS UNIT!D9"")"),"#N/A")</f>
        <v>#N/A</v>
      </c>
      <c r="H11688" s="4" t="str">
        <v/>
      </c>
      <c r="I11688" s="4" t="str">
        <v/>
      </c>
    </row>
    <row r="11689" spans="5:9" ht="16.5" hidden="1">
      <c r="E11689" s="4" t="str">
        <v/>
      </c>
      <c r="F11689" s="102" t="str">
        <f ca="1">IFERROR(__xludf.DUMMYFUNCTION("IMPORTRANGE(H11689,""IDENTITAS UNIT!D9"")"),"#N/A")</f>
        <v>#N/A</v>
      </c>
      <c r="H11689" s="4" t="str">
        <v/>
      </c>
      <c r="I11689" s="4" t="str">
        <v/>
      </c>
    </row>
    <row r="11690" spans="5:9" ht="16.5" hidden="1">
      <c r="E11690" s="4" t="str">
        <v/>
      </c>
      <c r="F11690" s="102" t="str">
        <f ca="1">IFERROR(__xludf.DUMMYFUNCTION("IMPORTRANGE(H11690,""IDENTITAS UNIT!D9"")"),"#N/A")</f>
        <v>#N/A</v>
      </c>
      <c r="H11690" s="4" t="str">
        <v/>
      </c>
      <c r="I11690" s="4" t="str">
        <v/>
      </c>
    </row>
    <row r="11691" spans="5:9" ht="16.5" hidden="1">
      <c r="E11691" s="4" t="str">
        <v/>
      </c>
      <c r="F11691" s="102" t="str">
        <f ca="1">IFERROR(__xludf.DUMMYFUNCTION("IMPORTRANGE(H11691,""IDENTITAS UNIT!D9"")"),"#N/A")</f>
        <v>#N/A</v>
      </c>
      <c r="H11691" s="4" t="str">
        <v/>
      </c>
      <c r="I11691" s="4" t="str">
        <v/>
      </c>
    </row>
    <row r="11692" spans="5:9" ht="16.5" hidden="1">
      <c r="E11692" s="4" t="str">
        <v/>
      </c>
      <c r="F11692" s="102" t="str">
        <f ca="1">IFERROR(__xludf.DUMMYFUNCTION("IMPORTRANGE(H11692,""IDENTITAS UNIT!D9"")"),"#N/A")</f>
        <v>#N/A</v>
      </c>
      <c r="H11692" s="4" t="str">
        <v/>
      </c>
      <c r="I11692" s="4" t="str">
        <v/>
      </c>
    </row>
    <row r="11693" spans="5:9" ht="16.5" hidden="1">
      <c r="E11693" s="4" t="str">
        <v/>
      </c>
      <c r="F11693" s="102" t="str">
        <f ca="1">IFERROR(__xludf.DUMMYFUNCTION("IMPORTRANGE(H11693,""IDENTITAS UNIT!D9"")"),"#N/A")</f>
        <v>#N/A</v>
      </c>
      <c r="H11693" s="4" t="str">
        <v/>
      </c>
      <c r="I11693" s="4" t="str">
        <v/>
      </c>
    </row>
    <row r="11694" spans="5:9" ht="16.5" hidden="1">
      <c r="E11694" s="4" t="str">
        <v/>
      </c>
      <c r="F11694" s="102" t="str">
        <f ca="1">IFERROR(__xludf.DUMMYFUNCTION("IMPORTRANGE(H11694,""IDENTITAS UNIT!D9"")"),"#N/A")</f>
        <v>#N/A</v>
      </c>
      <c r="H11694" s="4" t="str">
        <v/>
      </c>
      <c r="I11694" s="4" t="str">
        <v/>
      </c>
    </row>
    <row r="11695" spans="5:9" ht="16.5" hidden="1">
      <c r="E11695" s="4" t="str">
        <v/>
      </c>
      <c r="F11695" s="102" t="str">
        <f ca="1">IFERROR(__xludf.DUMMYFUNCTION("IMPORTRANGE(H11695,""IDENTITAS UNIT!D9"")"),"#N/A")</f>
        <v>#N/A</v>
      </c>
      <c r="H11695" s="4" t="str">
        <v/>
      </c>
      <c r="I11695" s="4" t="str">
        <v/>
      </c>
    </row>
    <row r="11696" spans="5:9" ht="16.5" hidden="1">
      <c r="E11696" s="4" t="str">
        <v/>
      </c>
      <c r="F11696" s="102" t="str">
        <f ca="1">IFERROR(__xludf.DUMMYFUNCTION("IMPORTRANGE(H11696,""IDENTITAS UNIT!D9"")"),"#N/A")</f>
        <v>#N/A</v>
      </c>
      <c r="H11696" s="4" t="str">
        <v/>
      </c>
      <c r="I11696" s="4" t="str">
        <v/>
      </c>
    </row>
    <row r="11697" spans="5:9" ht="16.5" hidden="1">
      <c r="E11697" s="4" t="str">
        <v/>
      </c>
      <c r="F11697" s="102" t="str">
        <f ca="1">IFERROR(__xludf.DUMMYFUNCTION("IMPORTRANGE(H11697,""IDENTITAS UNIT!D9"")"),"#N/A")</f>
        <v>#N/A</v>
      </c>
      <c r="H11697" s="4" t="str">
        <v/>
      </c>
      <c r="I11697" s="4" t="str">
        <v/>
      </c>
    </row>
    <row r="11698" spans="5:9" ht="16.5" hidden="1">
      <c r="E11698" s="4" t="str">
        <v/>
      </c>
      <c r="F11698" s="102" t="str">
        <f ca="1">IFERROR(__xludf.DUMMYFUNCTION("IMPORTRANGE(H11698,""IDENTITAS UNIT!D9"")"),"#N/A")</f>
        <v>#N/A</v>
      </c>
      <c r="H11698" s="4" t="str">
        <v/>
      </c>
      <c r="I11698" s="4" t="str">
        <v/>
      </c>
    </row>
    <row r="11699" spans="5:9" ht="16.5" hidden="1">
      <c r="E11699" s="4" t="str">
        <v/>
      </c>
      <c r="F11699" s="102" t="str">
        <f ca="1">IFERROR(__xludf.DUMMYFUNCTION("IMPORTRANGE(H11699,""IDENTITAS UNIT!D9"")"),"#N/A")</f>
        <v>#N/A</v>
      </c>
      <c r="H11699" s="4" t="str">
        <v/>
      </c>
      <c r="I11699" s="4" t="str">
        <v/>
      </c>
    </row>
    <row r="11700" spans="5:9" ht="16.5" hidden="1">
      <c r="E11700" s="4" t="str">
        <v/>
      </c>
      <c r="F11700" s="102" t="str">
        <f ca="1">IFERROR(__xludf.DUMMYFUNCTION("IMPORTRANGE(H11700,""IDENTITAS UNIT!D9"")"),"#N/A")</f>
        <v>#N/A</v>
      </c>
      <c r="H11700" s="4" t="str">
        <v/>
      </c>
      <c r="I11700" s="4" t="str">
        <v/>
      </c>
    </row>
    <row r="11701" spans="5:9" ht="16.5" hidden="1">
      <c r="E11701" s="4" t="str">
        <v/>
      </c>
      <c r="F11701" s="102" t="str">
        <f ca="1">IFERROR(__xludf.DUMMYFUNCTION("IMPORTRANGE(H11701,""IDENTITAS UNIT!D9"")"),"#N/A")</f>
        <v>#N/A</v>
      </c>
      <c r="H11701" s="4" t="str">
        <v/>
      </c>
      <c r="I11701" s="4" t="str">
        <v/>
      </c>
    </row>
    <row r="11702" spans="5:9" ht="16.5" hidden="1">
      <c r="E11702" s="4" t="str">
        <v/>
      </c>
      <c r="F11702" s="102" t="str">
        <f ca="1">IFERROR(__xludf.DUMMYFUNCTION("IMPORTRANGE(H11702,""IDENTITAS UNIT!D9"")"),"#N/A")</f>
        <v>#N/A</v>
      </c>
      <c r="H11702" s="4" t="str">
        <v/>
      </c>
      <c r="I11702" s="4" t="str">
        <v/>
      </c>
    </row>
    <row r="11703" spans="5:9" ht="16.5" hidden="1">
      <c r="E11703" s="4" t="str">
        <v/>
      </c>
      <c r="F11703" s="102" t="str">
        <f ca="1">IFERROR(__xludf.DUMMYFUNCTION("IMPORTRANGE(H11703,""IDENTITAS UNIT!D9"")"),"#N/A")</f>
        <v>#N/A</v>
      </c>
      <c r="H11703" s="4" t="str">
        <v/>
      </c>
      <c r="I11703" s="4" t="str">
        <v/>
      </c>
    </row>
    <row r="11704" spans="5:9" ht="16.5" hidden="1">
      <c r="E11704" s="4" t="str">
        <v/>
      </c>
      <c r="F11704" s="102" t="str">
        <f ca="1">IFERROR(__xludf.DUMMYFUNCTION("IMPORTRANGE(H11704,""IDENTITAS UNIT!D9"")"),"#N/A")</f>
        <v>#N/A</v>
      </c>
      <c r="H11704" s="4" t="str">
        <v/>
      </c>
      <c r="I11704" s="4" t="str">
        <v/>
      </c>
    </row>
    <row r="11705" spans="5:9" ht="16.5" hidden="1">
      <c r="E11705" s="4" t="str">
        <v/>
      </c>
      <c r="F11705" s="102" t="str">
        <f ca="1">IFERROR(__xludf.DUMMYFUNCTION("IMPORTRANGE(H11705,""IDENTITAS UNIT!D9"")"),"#N/A")</f>
        <v>#N/A</v>
      </c>
      <c r="H11705" s="4" t="str">
        <v/>
      </c>
      <c r="I11705" s="4" t="str">
        <v/>
      </c>
    </row>
    <row r="11706" spans="5:9" ht="16.5" hidden="1">
      <c r="E11706" s="4" t="str">
        <v/>
      </c>
      <c r="F11706" s="102" t="str">
        <f ca="1">IFERROR(__xludf.DUMMYFUNCTION("IMPORTRANGE(H11706,""IDENTITAS UNIT!D9"")"),"#N/A")</f>
        <v>#N/A</v>
      </c>
      <c r="H11706" s="4" t="str">
        <v/>
      </c>
      <c r="I11706" s="4" t="str">
        <v/>
      </c>
    </row>
    <row r="11707" spans="5:9" ht="16.5" hidden="1">
      <c r="E11707" s="4" t="str">
        <v/>
      </c>
      <c r="F11707" s="102" t="str">
        <f ca="1">IFERROR(__xludf.DUMMYFUNCTION("IMPORTRANGE(H11707,""IDENTITAS UNIT!D9"")"),"#N/A")</f>
        <v>#N/A</v>
      </c>
      <c r="H11707" s="4" t="str">
        <v/>
      </c>
      <c r="I11707" s="4" t="str">
        <v/>
      </c>
    </row>
    <row r="11708" spans="5:9" ht="16.5" hidden="1">
      <c r="E11708" s="4" t="str">
        <v/>
      </c>
      <c r="F11708" s="102" t="str">
        <f ca="1">IFERROR(__xludf.DUMMYFUNCTION("IMPORTRANGE(H11708,""IDENTITAS UNIT!D9"")"),"#N/A")</f>
        <v>#N/A</v>
      </c>
      <c r="H11708" s="4" t="str">
        <v/>
      </c>
      <c r="I11708" s="4" t="str">
        <v/>
      </c>
    </row>
    <row r="11709" spans="5:9" ht="16.5" hidden="1">
      <c r="E11709" s="4" t="str">
        <v/>
      </c>
      <c r="F11709" s="102" t="str">
        <f ca="1">IFERROR(__xludf.DUMMYFUNCTION("IMPORTRANGE(H11709,""IDENTITAS UNIT!D9"")"),"#N/A")</f>
        <v>#N/A</v>
      </c>
      <c r="H11709" s="4" t="str">
        <v/>
      </c>
      <c r="I11709" s="4" t="str">
        <v/>
      </c>
    </row>
    <row r="11710" spans="5:9" ht="16.5" hidden="1">
      <c r="E11710" s="4" t="str">
        <v/>
      </c>
      <c r="F11710" s="102" t="str">
        <f ca="1">IFERROR(__xludf.DUMMYFUNCTION("IMPORTRANGE(H11710,""IDENTITAS UNIT!D9"")"),"#N/A")</f>
        <v>#N/A</v>
      </c>
      <c r="H11710" s="4" t="str">
        <v/>
      </c>
      <c r="I11710" s="4" t="str">
        <v/>
      </c>
    </row>
    <row r="11711" spans="5:9" ht="16.5" hidden="1">
      <c r="E11711" s="4" t="str">
        <v/>
      </c>
      <c r="F11711" s="102" t="str">
        <f ca="1">IFERROR(__xludf.DUMMYFUNCTION("IMPORTRANGE(H11711,""IDENTITAS UNIT!D9"")"),"#N/A")</f>
        <v>#N/A</v>
      </c>
      <c r="H11711" s="4" t="str">
        <v/>
      </c>
      <c r="I11711" s="4" t="str">
        <v/>
      </c>
    </row>
    <row r="11712" spans="5:9" ht="16.5" hidden="1">
      <c r="E11712" s="4" t="str">
        <v/>
      </c>
      <c r="F11712" s="102" t="str">
        <f ca="1">IFERROR(__xludf.DUMMYFUNCTION("IMPORTRANGE(H11712,""IDENTITAS UNIT!D9"")"),"#N/A")</f>
        <v>#N/A</v>
      </c>
      <c r="H11712" s="4" t="str">
        <v/>
      </c>
      <c r="I11712" s="4" t="str">
        <v/>
      </c>
    </row>
    <row r="11713" spans="5:9" ht="16.5" hidden="1">
      <c r="E11713" s="4" t="str">
        <v/>
      </c>
      <c r="F11713" s="102" t="str">
        <f ca="1">IFERROR(__xludf.DUMMYFUNCTION("IMPORTRANGE(H11713,""IDENTITAS UNIT!D9"")"),"#N/A")</f>
        <v>#N/A</v>
      </c>
      <c r="H11713" s="4" t="str">
        <v/>
      </c>
      <c r="I11713" s="4" t="str">
        <v/>
      </c>
    </row>
    <row r="11714" spans="5:9" ht="16.5" hidden="1">
      <c r="E11714" s="4" t="str">
        <v/>
      </c>
      <c r="F11714" s="102" t="str">
        <f ca="1">IFERROR(__xludf.DUMMYFUNCTION("IMPORTRANGE(H11714,""IDENTITAS UNIT!D9"")"),"#N/A")</f>
        <v>#N/A</v>
      </c>
      <c r="H11714" s="4" t="str">
        <v/>
      </c>
      <c r="I11714" s="4" t="str">
        <v/>
      </c>
    </row>
    <row r="11715" spans="5:9" ht="16.5" hidden="1">
      <c r="E11715" s="4" t="str">
        <v/>
      </c>
      <c r="F11715" s="102" t="str">
        <f ca="1">IFERROR(__xludf.DUMMYFUNCTION("IMPORTRANGE(H11715,""IDENTITAS UNIT!D9"")"),"#N/A")</f>
        <v>#N/A</v>
      </c>
      <c r="H11715" s="4" t="str">
        <v/>
      </c>
      <c r="I11715" s="4" t="str">
        <v/>
      </c>
    </row>
    <row r="11716" spans="5:9" ht="16.5" hidden="1">
      <c r="E11716" s="4" t="str">
        <v/>
      </c>
      <c r="F11716" s="102" t="str">
        <f ca="1">IFERROR(__xludf.DUMMYFUNCTION("IMPORTRANGE(H11716,""IDENTITAS UNIT!D9"")"),"#N/A")</f>
        <v>#N/A</v>
      </c>
      <c r="H11716" s="4" t="str">
        <v/>
      </c>
      <c r="I11716" s="4" t="str">
        <v/>
      </c>
    </row>
    <row r="11717" spans="5:9" ht="16.5" hidden="1">
      <c r="E11717" s="4" t="str">
        <v/>
      </c>
      <c r="F11717" s="102" t="str">
        <f ca="1">IFERROR(__xludf.DUMMYFUNCTION("IMPORTRANGE(H11717,""IDENTITAS UNIT!D9"")"),"#N/A")</f>
        <v>#N/A</v>
      </c>
      <c r="H11717" s="4" t="str">
        <v/>
      </c>
      <c r="I11717" s="4" t="str">
        <v/>
      </c>
    </row>
    <row r="11718" spans="5:9" ht="16.5" hidden="1">
      <c r="E11718" s="4" t="str">
        <v/>
      </c>
      <c r="F11718" s="102" t="str">
        <f ca="1">IFERROR(__xludf.DUMMYFUNCTION("IMPORTRANGE(H11718,""IDENTITAS UNIT!D9"")"),"#N/A")</f>
        <v>#N/A</v>
      </c>
      <c r="H11718" s="4" t="str">
        <v/>
      </c>
      <c r="I11718" s="4" t="str">
        <v/>
      </c>
    </row>
    <row r="11719" spans="5:9" ht="16.5" hidden="1">
      <c r="E11719" s="4" t="str">
        <v/>
      </c>
      <c r="F11719" s="102" t="str">
        <f ca="1">IFERROR(__xludf.DUMMYFUNCTION("IMPORTRANGE(H11719,""IDENTITAS UNIT!D9"")"),"#N/A")</f>
        <v>#N/A</v>
      </c>
      <c r="H11719" s="4" t="str">
        <v/>
      </c>
      <c r="I11719" s="4" t="str">
        <v/>
      </c>
    </row>
    <row r="11720" spans="5:9" ht="16.5" hidden="1">
      <c r="E11720" s="4" t="str">
        <v/>
      </c>
      <c r="F11720" s="102" t="str">
        <f ca="1">IFERROR(__xludf.DUMMYFUNCTION("IMPORTRANGE(H11720,""IDENTITAS UNIT!D9"")"),"#N/A")</f>
        <v>#N/A</v>
      </c>
      <c r="H11720" s="4" t="str">
        <v/>
      </c>
      <c r="I11720" s="4" t="str">
        <v/>
      </c>
    </row>
    <row r="11721" spans="5:9" ht="16.5" hidden="1">
      <c r="E11721" s="4" t="str">
        <v/>
      </c>
      <c r="F11721" s="102" t="str">
        <f ca="1">IFERROR(__xludf.DUMMYFUNCTION("IMPORTRANGE(H11721,""IDENTITAS UNIT!D9"")"),"#N/A")</f>
        <v>#N/A</v>
      </c>
      <c r="H11721" s="4" t="str">
        <v/>
      </c>
      <c r="I11721" s="4" t="str">
        <v/>
      </c>
    </row>
    <row r="11722" spans="5:9" ht="16.5" hidden="1">
      <c r="E11722" s="4" t="str">
        <v/>
      </c>
      <c r="F11722" s="102" t="str">
        <f ca="1">IFERROR(__xludf.DUMMYFUNCTION("IMPORTRANGE(H11722,""IDENTITAS UNIT!D9"")"),"#N/A")</f>
        <v>#N/A</v>
      </c>
      <c r="H11722" s="4" t="str">
        <v/>
      </c>
      <c r="I11722" s="4" t="str">
        <v/>
      </c>
    </row>
    <row r="11723" spans="5:9" ht="16.5" hidden="1">
      <c r="E11723" s="4" t="str">
        <v/>
      </c>
      <c r="F11723" s="102" t="str">
        <f ca="1">IFERROR(__xludf.DUMMYFUNCTION("IMPORTRANGE(H11723,""IDENTITAS UNIT!D9"")"),"#N/A")</f>
        <v>#N/A</v>
      </c>
      <c r="H11723" s="4" t="str">
        <v/>
      </c>
      <c r="I11723" s="4" t="str">
        <v/>
      </c>
    </row>
    <row r="11724" spans="5:9" ht="16.5" hidden="1">
      <c r="E11724" s="4" t="str">
        <v/>
      </c>
      <c r="F11724" s="102" t="str">
        <f ca="1">IFERROR(__xludf.DUMMYFUNCTION("IMPORTRANGE(H11724,""IDENTITAS UNIT!D9"")"),"#N/A")</f>
        <v>#N/A</v>
      </c>
      <c r="H11724" s="4" t="str">
        <v/>
      </c>
      <c r="I11724" s="4" t="str">
        <v/>
      </c>
    </row>
    <row r="11725" spans="5:9" ht="16.5" hidden="1">
      <c r="E11725" s="4" t="str">
        <v/>
      </c>
      <c r="F11725" s="102" t="str">
        <f ca="1">IFERROR(__xludf.DUMMYFUNCTION("IMPORTRANGE(H11725,""IDENTITAS UNIT!D9"")"),"#N/A")</f>
        <v>#N/A</v>
      </c>
      <c r="H11725" s="4" t="str">
        <v/>
      </c>
      <c r="I11725" s="4" t="str">
        <v/>
      </c>
    </row>
    <row r="11726" spans="5:9" ht="16.5" hidden="1">
      <c r="E11726" s="4" t="str">
        <v/>
      </c>
      <c r="F11726" s="102" t="str">
        <f ca="1">IFERROR(__xludf.DUMMYFUNCTION("IMPORTRANGE(H11726,""IDENTITAS UNIT!D9"")"),"#N/A")</f>
        <v>#N/A</v>
      </c>
      <c r="H11726" s="4" t="str">
        <v/>
      </c>
      <c r="I11726" s="4" t="str">
        <v/>
      </c>
    </row>
    <row r="11727" spans="5:9" ht="16.5" hidden="1">
      <c r="E11727" s="4" t="str">
        <v/>
      </c>
      <c r="F11727" s="102" t="str">
        <f ca="1">IFERROR(__xludf.DUMMYFUNCTION("IMPORTRANGE(H11727,""IDENTITAS UNIT!D9"")"),"#N/A")</f>
        <v>#N/A</v>
      </c>
      <c r="H11727" s="4" t="str">
        <v/>
      </c>
      <c r="I11727" s="4" t="str">
        <v/>
      </c>
    </row>
    <row r="11728" spans="5:9" ht="16.5" hidden="1">
      <c r="E11728" s="4" t="str">
        <v/>
      </c>
      <c r="F11728" s="102" t="str">
        <f ca="1">IFERROR(__xludf.DUMMYFUNCTION("IMPORTRANGE(H11728,""IDENTITAS UNIT!D9"")"),"#N/A")</f>
        <v>#N/A</v>
      </c>
      <c r="H11728" s="4" t="str">
        <v/>
      </c>
      <c r="I11728" s="4" t="str">
        <v/>
      </c>
    </row>
    <row r="11729" spans="5:9" ht="16.5" hidden="1">
      <c r="E11729" s="4" t="str">
        <v/>
      </c>
      <c r="F11729" s="102" t="str">
        <f ca="1">IFERROR(__xludf.DUMMYFUNCTION("IMPORTRANGE(H11729,""IDENTITAS UNIT!D9"")"),"#N/A")</f>
        <v>#N/A</v>
      </c>
      <c r="H11729" s="4" t="str">
        <v/>
      </c>
      <c r="I11729" s="4" t="str">
        <v/>
      </c>
    </row>
    <row r="11730" spans="5:9" ht="16.5" hidden="1">
      <c r="E11730" s="4" t="str">
        <v/>
      </c>
      <c r="F11730" s="102" t="str">
        <f ca="1">IFERROR(__xludf.DUMMYFUNCTION("IMPORTRANGE(H11730,""IDENTITAS UNIT!D9"")"),"#N/A")</f>
        <v>#N/A</v>
      </c>
      <c r="H11730" s="4" t="str">
        <v/>
      </c>
      <c r="I11730" s="4" t="str">
        <v/>
      </c>
    </row>
    <row r="11731" spans="5:9" ht="16.5" hidden="1">
      <c r="E11731" s="4" t="str">
        <v/>
      </c>
      <c r="F11731" s="102" t="str">
        <f ca="1">IFERROR(__xludf.DUMMYFUNCTION("IMPORTRANGE(H11731,""IDENTITAS UNIT!D9"")"),"#N/A")</f>
        <v>#N/A</v>
      </c>
      <c r="H11731" s="4" t="str">
        <v/>
      </c>
      <c r="I11731" s="4" t="str">
        <v/>
      </c>
    </row>
    <row r="11732" spans="5:9" ht="16.5" hidden="1">
      <c r="E11732" s="4" t="str">
        <v/>
      </c>
      <c r="F11732" s="102" t="str">
        <f ca="1">IFERROR(__xludf.DUMMYFUNCTION("IMPORTRANGE(H11732,""IDENTITAS UNIT!D9"")"),"#N/A")</f>
        <v>#N/A</v>
      </c>
      <c r="H11732" s="4" t="str">
        <v/>
      </c>
      <c r="I11732" s="4" t="str">
        <v/>
      </c>
    </row>
    <row r="11733" spans="5:9" ht="16.5" hidden="1">
      <c r="E11733" s="4" t="str">
        <v/>
      </c>
      <c r="F11733" s="102" t="str">
        <f ca="1">IFERROR(__xludf.DUMMYFUNCTION("IMPORTRANGE(H11733,""IDENTITAS UNIT!D9"")"),"#N/A")</f>
        <v>#N/A</v>
      </c>
      <c r="H11733" s="4" t="str">
        <v/>
      </c>
      <c r="I11733" s="4" t="str">
        <v/>
      </c>
    </row>
    <row r="11734" spans="5:9" ht="16.5" hidden="1">
      <c r="E11734" s="4" t="str">
        <v/>
      </c>
      <c r="F11734" s="102" t="str">
        <f ca="1">IFERROR(__xludf.DUMMYFUNCTION("IMPORTRANGE(H11734,""IDENTITAS UNIT!D9"")"),"#N/A")</f>
        <v>#N/A</v>
      </c>
      <c r="H11734" s="4" t="str">
        <v/>
      </c>
      <c r="I11734" s="4" t="str">
        <v/>
      </c>
    </row>
    <row r="11735" spans="5:9" ht="16.5" hidden="1">
      <c r="E11735" s="4" t="str">
        <v/>
      </c>
      <c r="F11735" s="102" t="str">
        <f ca="1">IFERROR(__xludf.DUMMYFUNCTION("IMPORTRANGE(H11735,""IDENTITAS UNIT!D9"")"),"#N/A")</f>
        <v>#N/A</v>
      </c>
      <c r="H11735" s="4" t="str">
        <v/>
      </c>
      <c r="I11735" s="4" t="str">
        <v/>
      </c>
    </row>
    <row r="11736" spans="5:9" ht="16.5" hidden="1">
      <c r="E11736" s="4" t="str">
        <v/>
      </c>
      <c r="F11736" s="102" t="str">
        <f ca="1">IFERROR(__xludf.DUMMYFUNCTION("IMPORTRANGE(H11736,""IDENTITAS UNIT!D9"")"),"#N/A")</f>
        <v>#N/A</v>
      </c>
      <c r="H11736" s="4" t="str">
        <v/>
      </c>
      <c r="I11736" s="4" t="str">
        <v/>
      </c>
    </row>
    <row r="11737" spans="5:9" ht="16.5" hidden="1">
      <c r="E11737" s="4" t="str">
        <v/>
      </c>
      <c r="F11737" s="102" t="str">
        <f ca="1">IFERROR(__xludf.DUMMYFUNCTION("IMPORTRANGE(H11737,""IDENTITAS UNIT!D9"")"),"#N/A")</f>
        <v>#N/A</v>
      </c>
      <c r="H11737" s="4" t="str">
        <v/>
      </c>
      <c r="I11737" s="4" t="str">
        <v/>
      </c>
    </row>
    <row r="11738" spans="5:9" ht="16.5" hidden="1">
      <c r="E11738" s="4" t="str">
        <v/>
      </c>
      <c r="F11738" s="102" t="str">
        <f ca="1">IFERROR(__xludf.DUMMYFUNCTION("IMPORTRANGE(H11738,""IDENTITAS UNIT!D9"")"),"#N/A")</f>
        <v>#N/A</v>
      </c>
      <c r="H11738" s="4" t="str">
        <v/>
      </c>
      <c r="I11738" s="4" t="str">
        <v/>
      </c>
    </row>
    <row r="11739" spans="5:9" ht="16.5" hidden="1">
      <c r="E11739" s="4" t="str">
        <v/>
      </c>
      <c r="F11739" s="102" t="str">
        <f ca="1">IFERROR(__xludf.DUMMYFUNCTION("IMPORTRANGE(H11739,""IDENTITAS UNIT!D9"")"),"#N/A")</f>
        <v>#N/A</v>
      </c>
      <c r="H11739" s="4" t="str">
        <v/>
      </c>
      <c r="I11739" s="4" t="str">
        <v/>
      </c>
    </row>
    <row r="11740" spans="5:9" ht="16.5" hidden="1">
      <c r="E11740" s="4" t="str">
        <v/>
      </c>
      <c r="F11740" s="102" t="str">
        <f ca="1">IFERROR(__xludf.DUMMYFUNCTION("IMPORTRANGE(H11740,""IDENTITAS UNIT!D9"")"),"#N/A")</f>
        <v>#N/A</v>
      </c>
      <c r="H11740" s="4" t="str">
        <v/>
      </c>
      <c r="I11740" s="4" t="str">
        <v/>
      </c>
    </row>
    <row r="11741" spans="5:9" ht="16.5" hidden="1">
      <c r="E11741" s="4" t="str">
        <v/>
      </c>
      <c r="F11741" s="102" t="str">
        <f ca="1">IFERROR(__xludf.DUMMYFUNCTION("IMPORTRANGE(H11741,""IDENTITAS UNIT!D9"")"),"#N/A")</f>
        <v>#N/A</v>
      </c>
      <c r="H11741" s="4" t="str">
        <v/>
      </c>
      <c r="I11741" s="4" t="str">
        <v/>
      </c>
    </row>
    <row r="11742" spans="5:9" ht="16.5" hidden="1">
      <c r="E11742" s="4" t="str">
        <v/>
      </c>
      <c r="F11742" s="102" t="str">
        <f ca="1">IFERROR(__xludf.DUMMYFUNCTION("IMPORTRANGE(H11742,""IDENTITAS UNIT!D9"")"),"#N/A")</f>
        <v>#N/A</v>
      </c>
      <c r="H11742" s="4" t="str">
        <v/>
      </c>
      <c r="I11742" s="4" t="str">
        <v/>
      </c>
    </row>
    <row r="11743" spans="5:9" ht="16.5" hidden="1">
      <c r="E11743" s="4" t="str">
        <v/>
      </c>
      <c r="F11743" s="102" t="str">
        <f ca="1">IFERROR(__xludf.DUMMYFUNCTION("IMPORTRANGE(H11743,""IDENTITAS UNIT!D9"")"),"#N/A")</f>
        <v>#N/A</v>
      </c>
      <c r="H11743" s="4" t="str">
        <v/>
      </c>
      <c r="I11743" s="4" t="str">
        <v/>
      </c>
    </row>
    <row r="11744" spans="5:9" ht="16.5" hidden="1">
      <c r="E11744" s="4" t="str">
        <v/>
      </c>
      <c r="F11744" s="102" t="str">
        <f ca="1">IFERROR(__xludf.DUMMYFUNCTION("IMPORTRANGE(H11744,""IDENTITAS UNIT!D9"")"),"#N/A")</f>
        <v>#N/A</v>
      </c>
      <c r="H11744" s="4" t="str">
        <v/>
      </c>
      <c r="I11744" s="4" t="str">
        <v/>
      </c>
    </row>
    <row r="11745" spans="5:9" ht="16.5" hidden="1">
      <c r="E11745" s="4" t="str">
        <v/>
      </c>
      <c r="F11745" s="102" t="str">
        <f ca="1">IFERROR(__xludf.DUMMYFUNCTION("IMPORTRANGE(H11745,""IDENTITAS UNIT!D9"")"),"#N/A")</f>
        <v>#N/A</v>
      </c>
      <c r="H11745" s="4" t="str">
        <v/>
      </c>
      <c r="I11745" s="4" t="str">
        <v/>
      </c>
    </row>
    <row r="11746" spans="5:9" ht="16.5" hidden="1">
      <c r="E11746" s="4" t="str">
        <v/>
      </c>
      <c r="F11746" s="102" t="str">
        <f ca="1">IFERROR(__xludf.DUMMYFUNCTION("IMPORTRANGE(H11746,""IDENTITAS UNIT!D9"")"),"#N/A")</f>
        <v>#N/A</v>
      </c>
      <c r="H11746" s="4" t="str">
        <v/>
      </c>
      <c r="I11746" s="4" t="str">
        <v/>
      </c>
    </row>
    <row r="11747" spans="5:9" ht="16.5" hidden="1">
      <c r="E11747" s="4" t="str">
        <v/>
      </c>
      <c r="F11747" s="102" t="str">
        <f ca="1">IFERROR(__xludf.DUMMYFUNCTION("IMPORTRANGE(H11747,""IDENTITAS UNIT!D9"")"),"#N/A")</f>
        <v>#N/A</v>
      </c>
      <c r="H11747" s="4" t="str">
        <v/>
      </c>
      <c r="I11747" s="4" t="str">
        <v/>
      </c>
    </row>
    <row r="11748" spans="5:9" ht="16.5" hidden="1">
      <c r="E11748" s="4" t="str">
        <v/>
      </c>
      <c r="F11748" s="102" t="str">
        <f ca="1">IFERROR(__xludf.DUMMYFUNCTION("IMPORTRANGE(H11748,""IDENTITAS UNIT!D9"")"),"#N/A")</f>
        <v>#N/A</v>
      </c>
      <c r="H11748" s="4" t="str">
        <v/>
      </c>
      <c r="I11748" s="4" t="str">
        <v/>
      </c>
    </row>
    <row r="11749" spans="5:9" ht="16.5" hidden="1">
      <c r="E11749" s="4" t="str">
        <v/>
      </c>
      <c r="F11749" s="102" t="str">
        <f ca="1">IFERROR(__xludf.DUMMYFUNCTION("IMPORTRANGE(H11749,""IDENTITAS UNIT!D9"")"),"#N/A")</f>
        <v>#N/A</v>
      </c>
      <c r="H11749" s="4" t="str">
        <v/>
      </c>
      <c r="I11749" s="4" t="str">
        <v/>
      </c>
    </row>
    <row r="11750" spans="5:9" ht="16.5" hidden="1">
      <c r="E11750" s="4" t="str">
        <v/>
      </c>
      <c r="F11750" s="102" t="str">
        <f ca="1">IFERROR(__xludf.DUMMYFUNCTION("IMPORTRANGE(H11750,""IDENTITAS UNIT!D9"")"),"#N/A")</f>
        <v>#N/A</v>
      </c>
      <c r="H11750" s="4" t="str">
        <v/>
      </c>
      <c r="I11750" s="4" t="str">
        <v/>
      </c>
    </row>
    <row r="11751" spans="5:9" ht="16.5" hidden="1">
      <c r="E11751" s="4" t="str">
        <v/>
      </c>
      <c r="F11751" s="102" t="str">
        <f ca="1">IFERROR(__xludf.DUMMYFUNCTION("IMPORTRANGE(H11751,""IDENTITAS UNIT!D9"")"),"#N/A")</f>
        <v>#N/A</v>
      </c>
      <c r="H11751" s="4" t="str">
        <v/>
      </c>
      <c r="I11751" s="4" t="str">
        <v/>
      </c>
    </row>
    <row r="11752" spans="5:9" ht="16.5" hidden="1">
      <c r="E11752" s="4" t="str">
        <v/>
      </c>
      <c r="F11752" s="102" t="str">
        <f ca="1">IFERROR(__xludf.DUMMYFUNCTION("IMPORTRANGE(H11752,""IDENTITAS UNIT!D9"")"),"#N/A")</f>
        <v>#N/A</v>
      </c>
      <c r="H11752" s="4" t="str">
        <v/>
      </c>
      <c r="I11752" s="4" t="str">
        <v/>
      </c>
    </row>
    <row r="11753" spans="5:9" ht="16.5" hidden="1">
      <c r="E11753" s="4" t="str">
        <v/>
      </c>
      <c r="F11753" s="102" t="str">
        <f ca="1">IFERROR(__xludf.DUMMYFUNCTION("IMPORTRANGE(H11753,""IDENTITAS UNIT!D9"")"),"#N/A")</f>
        <v>#N/A</v>
      </c>
      <c r="H11753" s="4" t="str">
        <v/>
      </c>
      <c r="I11753" s="4" t="str">
        <v/>
      </c>
    </row>
    <row r="11754" spans="5:9" ht="16.5" hidden="1">
      <c r="E11754" s="4" t="str">
        <v/>
      </c>
      <c r="F11754" s="102" t="str">
        <f ca="1">IFERROR(__xludf.DUMMYFUNCTION("IMPORTRANGE(H11754,""IDENTITAS UNIT!D9"")"),"#N/A")</f>
        <v>#N/A</v>
      </c>
      <c r="H11754" s="4" t="str">
        <v/>
      </c>
      <c r="I11754" s="4" t="str">
        <v/>
      </c>
    </row>
    <row r="11755" spans="5:9" ht="16.5" hidden="1">
      <c r="E11755" s="4" t="str">
        <v/>
      </c>
      <c r="F11755" s="102" t="str">
        <f ca="1">IFERROR(__xludf.DUMMYFUNCTION("IMPORTRANGE(H11755,""IDENTITAS UNIT!D9"")"),"#N/A")</f>
        <v>#N/A</v>
      </c>
      <c r="H11755" s="4" t="str">
        <v/>
      </c>
      <c r="I11755" s="4" t="str">
        <v/>
      </c>
    </row>
    <row r="11756" spans="5:9" ht="16.5" hidden="1">
      <c r="E11756" s="4" t="str">
        <v/>
      </c>
      <c r="F11756" s="102" t="str">
        <f ca="1">IFERROR(__xludf.DUMMYFUNCTION("IMPORTRANGE(H11756,""IDENTITAS UNIT!D9"")"),"#N/A")</f>
        <v>#N/A</v>
      </c>
      <c r="H11756" s="4" t="str">
        <v/>
      </c>
      <c r="I11756" s="4" t="str">
        <v/>
      </c>
    </row>
    <row r="11757" spans="5:9" ht="16.5" hidden="1">
      <c r="E11757" s="4" t="str">
        <v/>
      </c>
      <c r="F11757" s="102" t="str">
        <f ca="1">IFERROR(__xludf.DUMMYFUNCTION("IMPORTRANGE(H11757,""IDENTITAS UNIT!D9"")"),"#N/A")</f>
        <v>#N/A</v>
      </c>
      <c r="H11757" s="4" t="str">
        <v/>
      </c>
      <c r="I11757" s="4" t="str">
        <v/>
      </c>
    </row>
    <row r="11758" spans="5:9" ht="16.5" hidden="1">
      <c r="E11758" s="4" t="str">
        <v/>
      </c>
      <c r="F11758" s="102" t="str">
        <f ca="1">IFERROR(__xludf.DUMMYFUNCTION("IMPORTRANGE(H11758,""IDENTITAS UNIT!D9"")"),"#N/A")</f>
        <v>#N/A</v>
      </c>
      <c r="H11758" s="4" t="str">
        <v/>
      </c>
      <c r="I11758" s="4" t="str">
        <v/>
      </c>
    </row>
    <row r="11759" spans="5:9" ht="16.5" hidden="1">
      <c r="E11759" s="4" t="str">
        <v/>
      </c>
      <c r="F11759" s="102" t="str">
        <f ca="1">IFERROR(__xludf.DUMMYFUNCTION("IMPORTRANGE(H11759,""IDENTITAS UNIT!D9"")"),"#N/A")</f>
        <v>#N/A</v>
      </c>
      <c r="H11759" s="4" t="str">
        <v/>
      </c>
      <c r="I11759" s="4" t="str">
        <v/>
      </c>
    </row>
    <row r="11760" spans="5:9" ht="16.5" hidden="1">
      <c r="E11760" s="4" t="str">
        <v/>
      </c>
      <c r="F11760" s="102" t="str">
        <f ca="1">IFERROR(__xludf.DUMMYFUNCTION("IMPORTRANGE(H11760,""IDENTITAS UNIT!D9"")"),"#N/A")</f>
        <v>#N/A</v>
      </c>
      <c r="H11760" s="4" t="str">
        <v/>
      </c>
      <c r="I11760" s="4" t="str">
        <v/>
      </c>
    </row>
    <row r="11761" spans="5:9" ht="16.5" hidden="1">
      <c r="E11761" s="4" t="str">
        <v/>
      </c>
      <c r="F11761" s="102" t="str">
        <f ca="1">IFERROR(__xludf.DUMMYFUNCTION("IMPORTRANGE(H11761,""IDENTITAS UNIT!D9"")"),"#N/A")</f>
        <v>#N/A</v>
      </c>
      <c r="H11761" s="4" t="str">
        <v/>
      </c>
      <c r="I11761" s="4" t="str">
        <v/>
      </c>
    </row>
    <row r="11762" spans="5:9" ht="16.5" hidden="1">
      <c r="E11762" s="4" t="str">
        <v/>
      </c>
      <c r="F11762" s="102" t="str">
        <f ca="1">IFERROR(__xludf.DUMMYFUNCTION("IMPORTRANGE(H11762,""IDENTITAS UNIT!D9"")"),"#N/A")</f>
        <v>#N/A</v>
      </c>
      <c r="H11762" s="4" t="str">
        <v/>
      </c>
      <c r="I11762" s="4" t="str">
        <v/>
      </c>
    </row>
    <row r="11763" spans="5:9" ht="16.5" hidden="1">
      <c r="E11763" s="4" t="str">
        <v/>
      </c>
      <c r="F11763" s="102" t="str">
        <f ca="1">IFERROR(__xludf.DUMMYFUNCTION("IMPORTRANGE(H11763,""IDENTITAS UNIT!D9"")"),"#N/A")</f>
        <v>#N/A</v>
      </c>
      <c r="H11763" s="4" t="str">
        <v/>
      </c>
      <c r="I11763" s="4" t="str">
        <v/>
      </c>
    </row>
    <row r="11764" spans="5:9" ht="16.5" hidden="1">
      <c r="E11764" s="4" t="str">
        <v/>
      </c>
      <c r="F11764" s="102" t="str">
        <f ca="1">IFERROR(__xludf.DUMMYFUNCTION("IMPORTRANGE(H11764,""IDENTITAS UNIT!D9"")"),"#N/A")</f>
        <v>#N/A</v>
      </c>
      <c r="H11764" s="4" t="str">
        <v/>
      </c>
      <c r="I11764" s="4" t="str">
        <v/>
      </c>
    </row>
    <row r="11765" spans="5:9" ht="16.5" hidden="1">
      <c r="E11765" s="4" t="str">
        <v/>
      </c>
      <c r="F11765" s="102" t="str">
        <f ca="1">IFERROR(__xludf.DUMMYFUNCTION("IMPORTRANGE(H11765,""IDENTITAS UNIT!D9"")"),"#N/A")</f>
        <v>#N/A</v>
      </c>
      <c r="H11765" s="4" t="str">
        <v/>
      </c>
      <c r="I11765" s="4" t="str">
        <v/>
      </c>
    </row>
    <row r="11766" spans="5:9" ht="16.5" hidden="1">
      <c r="E11766" s="4" t="str">
        <v/>
      </c>
      <c r="F11766" s="102" t="str">
        <f ca="1">IFERROR(__xludf.DUMMYFUNCTION("IMPORTRANGE(H11766,""IDENTITAS UNIT!D9"")"),"#N/A")</f>
        <v>#N/A</v>
      </c>
      <c r="H11766" s="4" t="str">
        <v/>
      </c>
      <c r="I11766" s="4" t="str">
        <v/>
      </c>
    </row>
    <row r="11767" spans="5:9" ht="16.5" hidden="1">
      <c r="E11767" s="4" t="str">
        <v/>
      </c>
      <c r="F11767" s="102" t="str">
        <f ca="1">IFERROR(__xludf.DUMMYFUNCTION("IMPORTRANGE(H11767,""IDENTITAS UNIT!D9"")"),"#N/A")</f>
        <v>#N/A</v>
      </c>
      <c r="H11767" s="4" t="str">
        <v/>
      </c>
      <c r="I11767" s="4" t="str">
        <v/>
      </c>
    </row>
    <row r="11768" spans="5:9" ht="16.5" hidden="1">
      <c r="E11768" s="4" t="str">
        <v/>
      </c>
      <c r="F11768" s="102" t="str">
        <f ca="1">IFERROR(__xludf.DUMMYFUNCTION("IMPORTRANGE(H11768,""IDENTITAS UNIT!D9"")"),"#N/A")</f>
        <v>#N/A</v>
      </c>
      <c r="H11768" s="4" t="str">
        <v/>
      </c>
      <c r="I11768" s="4" t="str">
        <v/>
      </c>
    </row>
    <row r="11769" spans="5:9" ht="16.5" hidden="1">
      <c r="E11769" s="4" t="str">
        <v/>
      </c>
      <c r="F11769" s="102" t="str">
        <f ca="1">IFERROR(__xludf.DUMMYFUNCTION("IMPORTRANGE(H11769,""IDENTITAS UNIT!D9"")"),"#N/A")</f>
        <v>#N/A</v>
      </c>
      <c r="H11769" s="4" t="str">
        <v/>
      </c>
      <c r="I11769" s="4" t="str">
        <v/>
      </c>
    </row>
    <row r="11770" spans="5:9" ht="16.5" hidden="1">
      <c r="E11770" s="4" t="str">
        <v/>
      </c>
      <c r="F11770" s="102" t="str">
        <f ca="1">IFERROR(__xludf.DUMMYFUNCTION("IMPORTRANGE(H11770,""IDENTITAS UNIT!D9"")"),"#N/A")</f>
        <v>#N/A</v>
      </c>
      <c r="H11770" s="4" t="str">
        <v/>
      </c>
      <c r="I11770" s="4" t="str">
        <v/>
      </c>
    </row>
    <row r="11771" spans="5:9" ht="16.5" hidden="1">
      <c r="E11771" s="4" t="str">
        <v/>
      </c>
      <c r="F11771" s="102" t="str">
        <f ca="1">IFERROR(__xludf.DUMMYFUNCTION("IMPORTRANGE(H11771,""IDENTITAS UNIT!D9"")"),"#N/A")</f>
        <v>#N/A</v>
      </c>
      <c r="H11771" s="4" t="str">
        <v/>
      </c>
      <c r="I11771" s="4" t="str">
        <v/>
      </c>
    </row>
    <row r="11772" spans="5:9" ht="16.5" hidden="1">
      <c r="E11772" s="4" t="str">
        <v/>
      </c>
      <c r="F11772" s="102" t="str">
        <f ca="1">IFERROR(__xludf.DUMMYFUNCTION("IMPORTRANGE(H11772,""IDENTITAS UNIT!D9"")"),"#N/A")</f>
        <v>#N/A</v>
      </c>
      <c r="H11772" s="4" t="str">
        <v/>
      </c>
      <c r="I11772" s="4" t="str">
        <v/>
      </c>
    </row>
    <row r="11773" spans="5:9" ht="16.5" hidden="1">
      <c r="E11773" s="4" t="str">
        <v/>
      </c>
      <c r="F11773" s="102" t="str">
        <f ca="1">IFERROR(__xludf.DUMMYFUNCTION("IMPORTRANGE(H11773,""IDENTITAS UNIT!D9"")"),"#N/A")</f>
        <v>#N/A</v>
      </c>
      <c r="H11773" s="4" t="str">
        <v/>
      </c>
      <c r="I11773" s="4" t="str">
        <v/>
      </c>
    </row>
    <row r="11774" spans="5:9" ht="16.5" hidden="1">
      <c r="E11774" s="4" t="str">
        <v/>
      </c>
      <c r="F11774" s="102" t="str">
        <f ca="1">IFERROR(__xludf.DUMMYFUNCTION("IMPORTRANGE(H11774,""IDENTITAS UNIT!D9"")"),"#N/A")</f>
        <v>#N/A</v>
      </c>
      <c r="H11774" s="4" t="str">
        <v/>
      </c>
      <c r="I11774" s="4" t="str">
        <v/>
      </c>
    </row>
    <row r="11775" spans="5:9" ht="16.5" hidden="1">
      <c r="E11775" s="4" t="str">
        <v/>
      </c>
      <c r="F11775" s="102" t="str">
        <f ca="1">IFERROR(__xludf.DUMMYFUNCTION("IMPORTRANGE(H11775,""IDENTITAS UNIT!D9"")"),"#N/A")</f>
        <v>#N/A</v>
      </c>
      <c r="H11775" s="4" t="str">
        <v/>
      </c>
      <c r="I11775" s="4" t="str">
        <v/>
      </c>
    </row>
    <row r="11776" spans="5:9" ht="16.5" hidden="1">
      <c r="E11776" s="4" t="str">
        <v/>
      </c>
      <c r="F11776" s="102" t="str">
        <f ca="1">IFERROR(__xludf.DUMMYFUNCTION("IMPORTRANGE(H11776,""IDENTITAS UNIT!D9"")"),"#N/A")</f>
        <v>#N/A</v>
      </c>
      <c r="H11776" s="4" t="str">
        <v/>
      </c>
      <c r="I11776" s="4" t="str">
        <v/>
      </c>
    </row>
    <row r="11777" spans="5:9" ht="16.5" hidden="1">
      <c r="E11777" s="4" t="str">
        <v/>
      </c>
      <c r="F11777" s="102" t="str">
        <f ca="1">IFERROR(__xludf.DUMMYFUNCTION("IMPORTRANGE(H11777,""IDENTITAS UNIT!D9"")"),"#N/A")</f>
        <v>#N/A</v>
      </c>
      <c r="H11777" s="4" t="str">
        <v/>
      </c>
      <c r="I11777" s="4" t="str">
        <v/>
      </c>
    </row>
    <row r="11778" spans="5:9" ht="16.5" hidden="1">
      <c r="E11778" s="4" t="str">
        <v/>
      </c>
      <c r="F11778" s="102" t="str">
        <f ca="1">IFERROR(__xludf.DUMMYFUNCTION("IMPORTRANGE(H11778,""IDENTITAS UNIT!D9"")"),"#N/A")</f>
        <v>#N/A</v>
      </c>
      <c r="H11778" s="4" t="str">
        <v/>
      </c>
      <c r="I11778" s="4" t="str">
        <v/>
      </c>
    </row>
    <row r="11779" spans="5:9" ht="16.5" hidden="1">
      <c r="E11779" s="4" t="str">
        <v/>
      </c>
      <c r="F11779" s="102" t="str">
        <f ca="1">IFERROR(__xludf.DUMMYFUNCTION("IMPORTRANGE(H11779,""IDENTITAS UNIT!D9"")"),"#N/A")</f>
        <v>#N/A</v>
      </c>
      <c r="H11779" s="4" t="str">
        <v/>
      </c>
      <c r="I11779" s="4" t="str">
        <v/>
      </c>
    </row>
    <row r="11780" spans="5:9" ht="16.5" hidden="1">
      <c r="E11780" s="4" t="str">
        <v/>
      </c>
      <c r="F11780" s="102" t="str">
        <f ca="1">IFERROR(__xludf.DUMMYFUNCTION("IMPORTRANGE(H11780,""IDENTITAS UNIT!D9"")"),"#N/A")</f>
        <v>#N/A</v>
      </c>
      <c r="H11780" s="4" t="str">
        <v/>
      </c>
      <c r="I11780" s="4" t="str">
        <v/>
      </c>
    </row>
    <row r="11781" spans="5:9" ht="16.5" hidden="1">
      <c r="E11781" s="4" t="str">
        <v/>
      </c>
      <c r="F11781" s="102" t="str">
        <f ca="1">IFERROR(__xludf.DUMMYFUNCTION("IMPORTRANGE(H11781,""IDENTITAS UNIT!D9"")"),"#N/A")</f>
        <v>#N/A</v>
      </c>
      <c r="H11781" s="4" t="str">
        <v/>
      </c>
      <c r="I11781" s="4" t="str">
        <v/>
      </c>
    </row>
    <row r="11782" spans="5:9" ht="16.5" hidden="1">
      <c r="E11782" s="4" t="str">
        <v/>
      </c>
      <c r="F11782" s="102" t="str">
        <f ca="1">IFERROR(__xludf.DUMMYFUNCTION("IMPORTRANGE(H11782,""IDENTITAS UNIT!D9"")"),"#N/A")</f>
        <v>#N/A</v>
      </c>
      <c r="H11782" s="4" t="str">
        <v/>
      </c>
      <c r="I11782" s="4" t="str">
        <v/>
      </c>
    </row>
    <row r="11783" spans="5:9" ht="16.5" hidden="1">
      <c r="E11783" s="4" t="str">
        <v/>
      </c>
      <c r="F11783" s="102" t="str">
        <f ca="1">IFERROR(__xludf.DUMMYFUNCTION("IMPORTRANGE(H11783,""IDENTITAS UNIT!D9"")"),"#N/A")</f>
        <v>#N/A</v>
      </c>
      <c r="H11783" s="4" t="str">
        <v/>
      </c>
      <c r="I11783" s="4" t="str">
        <v/>
      </c>
    </row>
    <row r="11784" spans="5:9" ht="16.5" hidden="1">
      <c r="E11784" s="4" t="str">
        <v/>
      </c>
      <c r="F11784" s="102" t="str">
        <f ca="1">IFERROR(__xludf.DUMMYFUNCTION("IMPORTRANGE(H11784,""IDENTITAS UNIT!D9"")"),"#N/A")</f>
        <v>#N/A</v>
      </c>
      <c r="H11784" s="4" t="str">
        <v/>
      </c>
      <c r="I11784" s="4" t="str">
        <v/>
      </c>
    </row>
    <row r="11785" spans="5:9" ht="16.5" hidden="1">
      <c r="E11785" s="4" t="str">
        <v/>
      </c>
      <c r="F11785" s="102" t="str">
        <f ca="1">IFERROR(__xludf.DUMMYFUNCTION("IMPORTRANGE(H11785,""IDENTITAS UNIT!D9"")"),"#N/A")</f>
        <v>#N/A</v>
      </c>
      <c r="H11785" s="4" t="str">
        <v/>
      </c>
      <c r="I11785" s="4" t="str">
        <v/>
      </c>
    </row>
    <row r="11786" spans="5:9" ht="16.5" hidden="1">
      <c r="E11786" s="4" t="str">
        <v/>
      </c>
      <c r="F11786" s="102" t="str">
        <f ca="1">IFERROR(__xludf.DUMMYFUNCTION("IMPORTRANGE(H11786,""IDENTITAS UNIT!D9"")"),"#N/A")</f>
        <v>#N/A</v>
      </c>
      <c r="H11786" s="4" t="str">
        <v/>
      </c>
      <c r="I11786" s="4" t="str">
        <v/>
      </c>
    </row>
    <row r="11787" spans="5:9" ht="16.5" hidden="1">
      <c r="E11787" s="4" t="str">
        <v/>
      </c>
      <c r="F11787" s="102" t="str">
        <f ca="1">IFERROR(__xludf.DUMMYFUNCTION("IMPORTRANGE(H11787,""IDENTITAS UNIT!D9"")"),"#N/A")</f>
        <v>#N/A</v>
      </c>
      <c r="H11787" s="4" t="str">
        <v/>
      </c>
      <c r="I11787" s="4" t="str">
        <v/>
      </c>
    </row>
    <row r="11788" spans="5:9" ht="16.5" hidden="1">
      <c r="E11788" s="4" t="str">
        <v/>
      </c>
      <c r="F11788" s="102" t="str">
        <f ca="1">IFERROR(__xludf.DUMMYFUNCTION("IMPORTRANGE(H11788,""IDENTITAS UNIT!D9"")"),"#N/A")</f>
        <v>#N/A</v>
      </c>
      <c r="H11788" s="4" t="str">
        <v/>
      </c>
      <c r="I11788" s="4" t="str">
        <v/>
      </c>
    </row>
    <row r="11789" spans="5:9" ht="16.5" hidden="1">
      <c r="E11789" s="4" t="str">
        <v/>
      </c>
      <c r="F11789" s="102" t="str">
        <f ca="1">IFERROR(__xludf.DUMMYFUNCTION("IMPORTRANGE(H11789,""IDENTITAS UNIT!D9"")"),"#N/A")</f>
        <v>#N/A</v>
      </c>
      <c r="H11789" s="4" t="str">
        <v/>
      </c>
      <c r="I11789" s="4" t="str">
        <v/>
      </c>
    </row>
    <row r="11790" spans="5:9" ht="16.5" hidden="1">
      <c r="E11790" s="4" t="str">
        <v/>
      </c>
      <c r="F11790" s="102" t="str">
        <f ca="1">IFERROR(__xludf.DUMMYFUNCTION("IMPORTRANGE(H11790,""IDENTITAS UNIT!D9"")"),"#N/A")</f>
        <v>#N/A</v>
      </c>
      <c r="H11790" s="4" t="str">
        <v/>
      </c>
      <c r="I11790" s="4" t="str">
        <v/>
      </c>
    </row>
    <row r="11791" spans="5:9" ht="16.5" hidden="1">
      <c r="E11791" s="4" t="str">
        <v/>
      </c>
      <c r="F11791" s="102" t="str">
        <f ca="1">IFERROR(__xludf.DUMMYFUNCTION("IMPORTRANGE(H11791,""IDENTITAS UNIT!D9"")"),"#N/A")</f>
        <v>#N/A</v>
      </c>
      <c r="H11791" s="4" t="str">
        <v/>
      </c>
      <c r="I11791" s="4" t="str">
        <v/>
      </c>
    </row>
    <row r="11792" spans="5:9" ht="16.5" hidden="1">
      <c r="E11792" s="4" t="str">
        <v/>
      </c>
      <c r="F11792" s="102" t="str">
        <f ca="1">IFERROR(__xludf.DUMMYFUNCTION("IMPORTRANGE(H11792,""IDENTITAS UNIT!D9"")"),"#N/A")</f>
        <v>#N/A</v>
      </c>
      <c r="H11792" s="4" t="str">
        <v/>
      </c>
      <c r="I11792" s="4" t="str">
        <v/>
      </c>
    </row>
    <row r="11793" spans="5:9" ht="16.5" hidden="1">
      <c r="E11793" s="4" t="str">
        <v/>
      </c>
      <c r="F11793" s="102" t="str">
        <f ca="1">IFERROR(__xludf.DUMMYFUNCTION("IMPORTRANGE(H11793,""IDENTITAS UNIT!D9"")"),"#N/A")</f>
        <v>#N/A</v>
      </c>
      <c r="H11793" s="4" t="str">
        <v/>
      </c>
      <c r="I11793" s="4" t="str">
        <v/>
      </c>
    </row>
    <row r="11794" spans="5:9" ht="16.5" hidden="1">
      <c r="E11794" s="4" t="str">
        <v/>
      </c>
      <c r="F11794" s="102" t="str">
        <f ca="1">IFERROR(__xludf.DUMMYFUNCTION("IMPORTRANGE(H11794,""IDENTITAS UNIT!D9"")"),"#N/A")</f>
        <v>#N/A</v>
      </c>
      <c r="H11794" s="4" t="str">
        <v/>
      </c>
      <c r="I11794" s="4" t="str">
        <v/>
      </c>
    </row>
    <row r="11795" spans="5:9" ht="16.5" hidden="1">
      <c r="E11795" s="4" t="str">
        <v/>
      </c>
      <c r="F11795" s="102" t="str">
        <f ca="1">IFERROR(__xludf.DUMMYFUNCTION("IMPORTRANGE(H11795,""IDENTITAS UNIT!D9"")"),"#N/A")</f>
        <v>#N/A</v>
      </c>
      <c r="H11795" s="4" t="str">
        <v/>
      </c>
      <c r="I11795" s="4" t="str">
        <v/>
      </c>
    </row>
    <row r="11796" spans="5:9" ht="16.5" hidden="1">
      <c r="E11796" s="4" t="str">
        <v/>
      </c>
      <c r="F11796" s="102" t="str">
        <f ca="1">IFERROR(__xludf.DUMMYFUNCTION("IMPORTRANGE(H11796,""IDENTITAS UNIT!D9"")"),"#N/A")</f>
        <v>#N/A</v>
      </c>
      <c r="H11796" s="4" t="str">
        <v/>
      </c>
      <c r="I11796" s="4" t="str">
        <v/>
      </c>
    </row>
    <row r="11797" spans="5:9" ht="16.5" hidden="1">
      <c r="E11797" s="4" t="str">
        <v/>
      </c>
      <c r="F11797" s="102" t="str">
        <f ca="1">IFERROR(__xludf.DUMMYFUNCTION("IMPORTRANGE(H11797,""IDENTITAS UNIT!D9"")"),"#N/A")</f>
        <v>#N/A</v>
      </c>
      <c r="H11797" s="4" t="str">
        <v/>
      </c>
      <c r="I11797" s="4" t="str">
        <v/>
      </c>
    </row>
    <row r="11798" spans="5:9" ht="16.5" hidden="1">
      <c r="E11798" s="4" t="str">
        <v/>
      </c>
      <c r="F11798" s="102" t="str">
        <f ca="1">IFERROR(__xludf.DUMMYFUNCTION("IMPORTRANGE(H11798,""IDENTITAS UNIT!D9"")"),"#N/A")</f>
        <v>#N/A</v>
      </c>
      <c r="H11798" s="4" t="str">
        <v/>
      </c>
      <c r="I11798" s="4" t="str">
        <v/>
      </c>
    </row>
    <row r="11799" spans="5:9" ht="16.5" hidden="1">
      <c r="E11799" s="4" t="str">
        <v/>
      </c>
      <c r="F11799" s="102" t="str">
        <f ca="1">IFERROR(__xludf.DUMMYFUNCTION("IMPORTRANGE(H11799,""IDENTITAS UNIT!D9"")"),"#N/A")</f>
        <v>#N/A</v>
      </c>
      <c r="H11799" s="4" t="str">
        <v/>
      </c>
      <c r="I11799" s="4" t="str">
        <v/>
      </c>
    </row>
    <row r="11800" spans="5:9" ht="16.5" hidden="1">
      <c r="E11800" s="4" t="str">
        <v/>
      </c>
      <c r="F11800" s="102" t="str">
        <f ca="1">IFERROR(__xludf.DUMMYFUNCTION("IMPORTRANGE(H11800,""IDENTITAS UNIT!D9"")"),"#N/A")</f>
        <v>#N/A</v>
      </c>
      <c r="H11800" s="4" t="str">
        <v/>
      </c>
      <c r="I11800" s="4" t="str">
        <v/>
      </c>
    </row>
    <row r="11801" spans="5:9" ht="16.5" hidden="1">
      <c r="E11801" s="4" t="str">
        <v/>
      </c>
      <c r="F11801" s="102" t="str">
        <f ca="1">IFERROR(__xludf.DUMMYFUNCTION("IMPORTRANGE(H11801,""IDENTITAS UNIT!D9"")"),"#N/A")</f>
        <v>#N/A</v>
      </c>
      <c r="H11801" s="4" t="str">
        <v/>
      </c>
      <c r="I11801" s="4" t="str">
        <v/>
      </c>
    </row>
    <row r="11802" spans="5:9" ht="16.5" hidden="1">
      <c r="E11802" s="4" t="str">
        <v/>
      </c>
      <c r="F11802" s="102" t="str">
        <f ca="1">IFERROR(__xludf.DUMMYFUNCTION("IMPORTRANGE(H11802,""IDENTITAS UNIT!D9"")"),"#N/A")</f>
        <v>#N/A</v>
      </c>
      <c r="H11802" s="4" t="str">
        <v/>
      </c>
      <c r="I11802" s="4" t="str">
        <v/>
      </c>
    </row>
    <row r="11803" spans="5:9" ht="16.5" hidden="1">
      <c r="E11803" s="4" t="str">
        <v/>
      </c>
      <c r="F11803" s="102" t="str">
        <f ca="1">IFERROR(__xludf.DUMMYFUNCTION("IMPORTRANGE(H11803,""IDENTITAS UNIT!D9"")"),"#N/A")</f>
        <v>#N/A</v>
      </c>
      <c r="H11803" s="4" t="str">
        <v/>
      </c>
      <c r="I11803" s="4" t="str">
        <v/>
      </c>
    </row>
    <row r="11804" spans="5:9" ht="16.5" hidden="1">
      <c r="E11804" s="4" t="str">
        <v/>
      </c>
      <c r="F11804" s="102" t="str">
        <f ca="1">IFERROR(__xludf.DUMMYFUNCTION("IMPORTRANGE(H11804,""IDENTITAS UNIT!D9"")"),"#N/A")</f>
        <v>#N/A</v>
      </c>
      <c r="H11804" s="4" t="str">
        <v/>
      </c>
      <c r="I11804" s="4" t="str">
        <v/>
      </c>
    </row>
    <row r="11805" spans="5:9" ht="16.5" hidden="1">
      <c r="E11805" s="4" t="str">
        <v/>
      </c>
      <c r="F11805" s="102" t="str">
        <f ca="1">IFERROR(__xludf.DUMMYFUNCTION("IMPORTRANGE(H11805,""IDENTITAS UNIT!D9"")"),"#N/A")</f>
        <v>#N/A</v>
      </c>
      <c r="H11805" s="4" t="str">
        <v/>
      </c>
      <c r="I11805" s="4" t="str">
        <v/>
      </c>
    </row>
    <row r="11806" spans="5:9" ht="16.5" hidden="1">
      <c r="E11806" s="4" t="str">
        <v/>
      </c>
      <c r="F11806" s="102" t="str">
        <f ca="1">IFERROR(__xludf.DUMMYFUNCTION("IMPORTRANGE(H11806,""IDENTITAS UNIT!D9"")"),"#N/A")</f>
        <v>#N/A</v>
      </c>
      <c r="H11806" s="4" t="str">
        <v/>
      </c>
      <c r="I11806" s="4" t="str">
        <v/>
      </c>
    </row>
    <row r="11807" spans="5:9" ht="16.5" hidden="1">
      <c r="E11807" s="4" t="str">
        <v/>
      </c>
      <c r="F11807" s="102" t="str">
        <f ca="1">IFERROR(__xludf.DUMMYFUNCTION("IMPORTRANGE(H11807,""IDENTITAS UNIT!D9"")"),"#N/A")</f>
        <v>#N/A</v>
      </c>
      <c r="H11807" s="4" t="str">
        <v/>
      </c>
      <c r="I11807" s="4" t="str">
        <v/>
      </c>
    </row>
    <row r="11808" spans="5:9" ht="16.5" hidden="1">
      <c r="E11808" s="4" t="str">
        <v/>
      </c>
      <c r="F11808" s="102" t="str">
        <f ca="1">IFERROR(__xludf.DUMMYFUNCTION("IMPORTRANGE(H11808,""IDENTITAS UNIT!D9"")"),"#N/A")</f>
        <v>#N/A</v>
      </c>
      <c r="H11808" s="4" t="str">
        <v/>
      </c>
      <c r="I11808" s="4" t="str">
        <v/>
      </c>
    </row>
    <row r="11809" spans="5:9" ht="16.5" hidden="1">
      <c r="E11809" s="4" t="str">
        <v/>
      </c>
      <c r="F11809" s="102" t="str">
        <f ca="1">IFERROR(__xludf.DUMMYFUNCTION("IMPORTRANGE(H11809,""IDENTITAS UNIT!D9"")"),"#N/A")</f>
        <v>#N/A</v>
      </c>
      <c r="H11809" s="4" t="str">
        <v/>
      </c>
      <c r="I11809" s="4" t="str">
        <v/>
      </c>
    </row>
    <row r="11810" spans="5:9" ht="16.5" hidden="1">
      <c r="E11810" s="4" t="str">
        <v/>
      </c>
      <c r="F11810" s="102" t="str">
        <f ca="1">IFERROR(__xludf.DUMMYFUNCTION("IMPORTRANGE(H11810,""IDENTITAS UNIT!D9"")"),"#N/A")</f>
        <v>#N/A</v>
      </c>
      <c r="H11810" s="4" t="str">
        <v/>
      </c>
      <c r="I11810" s="4" t="str">
        <v/>
      </c>
    </row>
    <row r="11811" spans="5:9" ht="16.5" hidden="1">
      <c r="E11811" s="4" t="str">
        <v/>
      </c>
      <c r="F11811" s="102" t="str">
        <f ca="1">IFERROR(__xludf.DUMMYFUNCTION("IMPORTRANGE(H11811,""IDENTITAS UNIT!D9"")"),"#N/A")</f>
        <v>#N/A</v>
      </c>
      <c r="H11811" s="4" t="str">
        <v/>
      </c>
      <c r="I11811" s="4" t="str">
        <v/>
      </c>
    </row>
    <row r="11812" spans="5:9" ht="16.5" hidden="1">
      <c r="E11812" s="4" t="str">
        <v/>
      </c>
      <c r="F11812" s="102" t="str">
        <f ca="1">IFERROR(__xludf.DUMMYFUNCTION("IMPORTRANGE(H11812,""IDENTITAS UNIT!D9"")"),"#N/A")</f>
        <v>#N/A</v>
      </c>
      <c r="H11812" s="4" t="str">
        <v/>
      </c>
      <c r="I11812" s="4" t="str">
        <v/>
      </c>
    </row>
    <row r="11813" spans="5:9" ht="16.5" hidden="1">
      <c r="E11813" s="4" t="str">
        <v/>
      </c>
      <c r="F11813" s="102" t="str">
        <f ca="1">IFERROR(__xludf.DUMMYFUNCTION("IMPORTRANGE(H11813,""IDENTITAS UNIT!D9"")"),"#N/A")</f>
        <v>#N/A</v>
      </c>
      <c r="H11813" s="4" t="str">
        <v/>
      </c>
      <c r="I11813" s="4" t="str">
        <v/>
      </c>
    </row>
    <row r="11814" spans="5:9" ht="16.5" hidden="1">
      <c r="E11814" s="4" t="str">
        <v/>
      </c>
      <c r="F11814" s="102" t="str">
        <f ca="1">IFERROR(__xludf.DUMMYFUNCTION("IMPORTRANGE(H11814,""IDENTITAS UNIT!D9"")"),"#N/A")</f>
        <v>#N/A</v>
      </c>
      <c r="H11814" s="4" t="str">
        <v/>
      </c>
      <c r="I11814" s="4" t="str">
        <v/>
      </c>
    </row>
    <row r="11815" spans="5:9" ht="16.5" hidden="1">
      <c r="E11815" s="4" t="str">
        <v/>
      </c>
      <c r="F11815" s="102" t="str">
        <f ca="1">IFERROR(__xludf.DUMMYFUNCTION("IMPORTRANGE(H11815,""IDENTITAS UNIT!D9"")"),"#N/A")</f>
        <v>#N/A</v>
      </c>
      <c r="H11815" s="4" t="str">
        <v/>
      </c>
      <c r="I11815" s="4" t="str">
        <v/>
      </c>
    </row>
    <row r="11816" spans="5:9" ht="16.5" hidden="1">
      <c r="E11816" s="4" t="str">
        <v/>
      </c>
      <c r="F11816" s="102" t="str">
        <f ca="1">IFERROR(__xludf.DUMMYFUNCTION("IMPORTRANGE(H11816,""IDENTITAS UNIT!D9"")"),"#N/A")</f>
        <v>#N/A</v>
      </c>
      <c r="H11816" s="4" t="str">
        <v/>
      </c>
      <c r="I11816" s="4" t="str">
        <v/>
      </c>
    </row>
    <row r="11817" spans="5:9" ht="16.5" hidden="1">
      <c r="E11817" s="4" t="str">
        <v/>
      </c>
      <c r="F11817" s="102" t="str">
        <f ca="1">IFERROR(__xludf.DUMMYFUNCTION("IMPORTRANGE(H11817,""IDENTITAS UNIT!D9"")"),"#N/A")</f>
        <v>#N/A</v>
      </c>
      <c r="H11817" s="4" t="str">
        <v/>
      </c>
      <c r="I11817" s="4" t="str">
        <v/>
      </c>
    </row>
    <row r="11818" spans="5:9" ht="16.5" hidden="1">
      <c r="E11818" s="4" t="str">
        <v/>
      </c>
      <c r="F11818" s="102" t="str">
        <f ca="1">IFERROR(__xludf.DUMMYFUNCTION("IMPORTRANGE(H11818,""IDENTITAS UNIT!D9"")"),"#N/A")</f>
        <v>#N/A</v>
      </c>
      <c r="H11818" s="4" t="str">
        <v/>
      </c>
      <c r="I11818" s="4" t="str">
        <v/>
      </c>
    </row>
    <row r="11819" spans="5:9" ht="16.5" hidden="1">
      <c r="E11819" s="4" t="str">
        <v/>
      </c>
      <c r="F11819" s="102" t="str">
        <f ca="1">IFERROR(__xludf.DUMMYFUNCTION("IMPORTRANGE(H11819,""IDENTITAS UNIT!D9"")"),"#N/A")</f>
        <v>#N/A</v>
      </c>
      <c r="H11819" s="4" t="str">
        <v/>
      </c>
      <c r="I11819" s="4" t="str">
        <v/>
      </c>
    </row>
    <row r="11820" spans="5:9" ht="16.5" hidden="1">
      <c r="E11820" s="4" t="str">
        <v/>
      </c>
      <c r="F11820" s="102" t="str">
        <f ca="1">IFERROR(__xludf.DUMMYFUNCTION("IMPORTRANGE(H11820,""IDENTITAS UNIT!D9"")"),"#N/A")</f>
        <v>#N/A</v>
      </c>
      <c r="H11820" s="4" t="str">
        <v/>
      </c>
      <c r="I11820" s="4" t="str">
        <v/>
      </c>
    </row>
    <row r="11821" spans="5:9" ht="16.5" hidden="1">
      <c r="E11821" s="4" t="str">
        <v/>
      </c>
      <c r="F11821" s="102" t="str">
        <f ca="1">IFERROR(__xludf.DUMMYFUNCTION("IMPORTRANGE(H11821,""IDENTITAS UNIT!D9"")"),"#N/A")</f>
        <v>#N/A</v>
      </c>
      <c r="H11821" s="4" t="str">
        <v/>
      </c>
      <c r="I11821" s="4" t="str">
        <v/>
      </c>
    </row>
    <row r="11822" spans="5:9" ht="16.5" hidden="1">
      <c r="E11822" s="4" t="str">
        <v/>
      </c>
      <c r="F11822" s="102" t="str">
        <f ca="1">IFERROR(__xludf.DUMMYFUNCTION("IMPORTRANGE(H11822,""IDENTITAS UNIT!D9"")"),"#N/A")</f>
        <v>#N/A</v>
      </c>
      <c r="H11822" s="4" t="str">
        <v/>
      </c>
      <c r="I11822" s="4" t="str">
        <v/>
      </c>
    </row>
    <row r="11823" spans="5:9" ht="16.5" hidden="1">
      <c r="E11823" s="4" t="str">
        <v/>
      </c>
      <c r="F11823" s="102" t="str">
        <f ca="1">IFERROR(__xludf.DUMMYFUNCTION("IMPORTRANGE(H11823,""IDENTITAS UNIT!D9"")"),"#N/A")</f>
        <v>#N/A</v>
      </c>
      <c r="H11823" s="4" t="str">
        <v/>
      </c>
      <c r="I11823" s="4" t="str">
        <v/>
      </c>
    </row>
    <row r="11824" spans="5:9" ht="16.5" hidden="1">
      <c r="E11824" s="4" t="str">
        <v/>
      </c>
      <c r="F11824" s="102" t="str">
        <f ca="1">IFERROR(__xludf.DUMMYFUNCTION("IMPORTRANGE(H11824,""IDENTITAS UNIT!D9"")"),"#N/A")</f>
        <v>#N/A</v>
      </c>
      <c r="H11824" s="4" t="str">
        <v/>
      </c>
      <c r="I11824" s="4" t="str">
        <v/>
      </c>
    </row>
    <row r="11825" spans="5:9" ht="16.5" hidden="1">
      <c r="E11825" s="4" t="str">
        <v/>
      </c>
      <c r="F11825" s="102" t="str">
        <f ca="1">IFERROR(__xludf.DUMMYFUNCTION("IMPORTRANGE(H11825,""IDENTITAS UNIT!D9"")"),"#N/A")</f>
        <v>#N/A</v>
      </c>
      <c r="H11825" s="4" t="str">
        <v/>
      </c>
      <c r="I11825" s="4" t="str">
        <v/>
      </c>
    </row>
    <row r="11826" spans="5:9" ht="16.5" hidden="1">
      <c r="E11826" s="4" t="str">
        <v/>
      </c>
      <c r="F11826" s="102" t="str">
        <f ca="1">IFERROR(__xludf.DUMMYFUNCTION("IMPORTRANGE(H11826,""IDENTITAS UNIT!D9"")"),"#N/A")</f>
        <v>#N/A</v>
      </c>
      <c r="H11826" s="4" t="str">
        <v/>
      </c>
      <c r="I11826" s="4" t="str">
        <v/>
      </c>
    </row>
    <row r="11827" spans="5:9" ht="16.5" hidden="1">
      <c r="E11827" s="4" t="str">
        <v/>
      </c>
      <c r="F11827" s="102" t="str">
        <f ca="1">IFERROR(__xludf.DUMMYFUNCTION("IMPORTRANGE(H11827,""IDENTITAS UNIT!D9"")"),"#N/A")</f>
        <v>#N/A</v>
      </c>
      <c r="H11827" s="4" t="str">
        <v/>
      </c>
      <c r="I11827" s="4" t="str">
        <v/>
      </c>
    </row>
    <row r="11828" spans="5:9" ht="16.5" hidden="1">
      <c r="E11828" s="4" t="str">
        <v/>
      </c>
      <c r="F11828" s="102" t="str">
        <f ca="1">IFERROR(__xludf.DUMMYFUNCTION("IMPORTRANGE(H11828,""IDENTITAS UNIT!D9"")"),"#N/A")</f>
        <v>#N/A</v>
      </c>
      <c r="H11828" s="4" t="str">
        <v/>
      </c>
      <c r="I11828" s="4" t="str">
        <v/>
      </c>
    </row>
    <row r="11829" spans="5:9" ht="16.5" hidden="1">
      <c r="E11829" s="4" t="str">
        <v/>
      </c>
      <c r="F11829" s="102" t="str">
        <f ca="1">IFERROR(__xludf.DUMMYFUNCTION("IMPORTRANGE(H11829,""IDENTITAS UNIT!D9"")"),"#N/A")</f>
        <v>#N/A</v>
      </c>
      <c r="H11829" s="4" t="str">
        <v/>
      </c>
      <c r="I11829" s="4" t="str">
        <v/>
      </c>
    </row>
    <row r="11830" spans="5:9" ht="16.5" hidden="1">
      <c r="E11830" s="4" t="str">
        <v/>
      </c>
      <c r="F11830" s="102" t="str">
        <f ca="1">IFERROR(__xludf.DUMMYFUNCTION("IMPORTRANGE(H11830,""IDENTITAS UNIT!D9"")"),"#N/A")</f>
        <v>#N/A</v>
      </c>
      <c r="H11830" s="4" t="str">
        <v/>
      </c>
      <c r="I11830" s="4" t="str">
        <v/>
      </c>
    </row>
    <row r="11831" spans="5:9" ht="16.5" hidden="1">
      <c r="E11831" s="4" t="str">
        <v/>
      </c>
      <c r="F11831" s="102" t="str">
        <f ca="1">IFERROR(__xludf.DUMMYFUNCTION("IMPORTRANGE(H11831,""IDENTITAS UNIT!D9"")"),"#N/A")</f>
        <v>#N/A</v>
      </c>
      <c r="H11831" s="4" t="str">
        <v/>
      </c>
      <c r="I11831" s="4" t="str">
        <v/>
      </c>
    </row>
    <row r="11832" spans="5:9" ht="16.5" hidden="1">
      <c r="E11832" s="4" t="str">
        <v/>
      </c>
      <c r="F11832" s="102" t="str">
        <f ca="1">IFERROR(__xludf.DUMMYFUNCTION("IMPORTRANGE(H11832,""IDENTITAS UNIT!D9"")"),"#N/A")</f>
        <v>#N/A</v>
      </c>
      <c r="H11832" s="4" t="str">
        <v/>
      </c>
      <c r="I11832" s="4" t="str">
        <v/>
      </c>
    </row>
    <row r="11833" spans="5:9" ht="16.5" hidden="1">
      <c r="E11833" s="4" t="str">
        <v/>
      </c>
      <c r="F11833" s="102" t="str">
        <f ca="1">IFERROR(__xludf.DUMMYFUNCTION("IMPORTRANGE(H11833,""IDENTITAS UNIT!D9"")"),"#N/A")</f>
        <v>#N/A</v>
      </c>
      <c r="H11833" s="4" t="str">
        <v/>
      </c>
      <c r="I11833" s="4" t="str">
        <v/>
      </c>
    </row>
    <row r="11834" spans="5:9" ht="16.5" hidden="1">
      <c r="E11834" s="4" t="str">
        <v/>
      </c>
      <c r="F11834" s="102" t="str">
        <f ca="1">IFERROR(__xludf.DUMMYFUNCTION("IMPORTRANGE(H11834,""IDENTITAS UNIT!D9"")"),"#N/A")</f>
        <v>#N/A</v>
      </c>
      <c r="H11834" s="4" t="str">
        <v/>
      </c>
      <c r="I11834" s="4" t="str">
        <v/>
      </c>
    </row>
    <row r="11835" spans="5:9" ht="16.5" hidden="1">
      <c r="E11835" s="4" t="str">
        <v/>
      </c>
      <c r="F11835" s="102" t="str">
        <f ca="1">IFERROR(__xludf.DUMMYFUNCTION("IMPORTRANGE(H11835,""IDENTITAS UNIT!D9"")"),"#N/A")</f>
        <v>#N/A</v>
      </c>
      <c r="H11835" s="4" t="str">
        <v/>
      </c>
      <c r="I11835" s="4" t="str">
        <v/>
      </c>
    </row>
    <row r="11836" spans="5:9" ht="16.5" hidden="1">
      <c r="E11836" s="4" t="str">
        <v/>
      </c>
      <c r="F11836" s="102" t="str">
        <f ca="1">IFERROR(__xludf.DUMMYFUNCTION("IMPORTRANGE(H11836,""IDENTITAS UNIT!D9"")"),"#N/A")</f>
        <v>#N/A</v>
      </c>
      <c r="H11836" s="4" t="str">
        <v/>
      </c>
      <c r="I11836" s="4" t="str">
        <v/>
      </c>
    </row>
    <row r="11837" spans="5:9" ht="16.5" hidden="1">
      <c r="E11837" s="4" t="str">
        <v/>
      </c>
      <c r="F11837" s="102" t="str">
        <f ca="1">IFERROR(__xludf.DUMMYFUNCTION("IMPORTRANGE(H11837,""IDENTITAS UNIT!D9"")"),"#N/A")</f>
        <v>#N/A</v>
      </c>
      <c r="H11837" s="4" t="str">
        <v/>
      </c>
      <c r="I11837" s="4" t="str">
        <v/>
      </c>
    </row>
    <row r="11838" spans="5:9" ht="16.5" hidden="1">
      <c r="E11838" s="4" t="str">
        <v/>
      </c>
      <c r="F11838" s="102" t="str">
        <f ca="1">IFERROR(__xludf.DUMMYFUNCTION("IMPORTRANGE(H11838,""IDENTITAS UNIT!D9"")"),"#N/A")</f>
        <v>#N/A</v>
      </c>
      <c r="H11838" s="4" t="str">
        <v/>
      </c>
      <c r="I11838" s="4" t="str">
        <v/>
      </c>
    </row>
    <row r="11839" spans="5:9" ht="16.5" hidden="1">
      <c r="E11839" s="4" t="str">
        <v/>
      </c>
      <c r="F11839" s="102" t="str">
        <f ca="1">IFERROR(__xludf.DUMMYFUNCTION("IMPORTRANGE(H11839,""IDENTITAS UNIT!D9"")"),"#N/A")</f>
        <v>#N/A</v>
      </c>
      <c r="H11839" s="4" t="str">
        <v/>
      </c>
      <c r="I11839" s="4" t="str">
        <v/>
      </c>
    </row>
    <row r="11840" spans="5:9" ht="16.5" hidden="1">
      <c r="E11840" s="4" t="str">
        <v/>
      </c>
      <c r="F11840" s="102" t="str">
        <f ca="1">IFERROR(__xludf.DUMMYFUNCTION("IMPORTRANGE(H11840,""IDENTITAS UNIT!D9"")"),"#N/A")</f>
        <v>#N/A</v>
      </c>
      <c r="H11840" s="4" t="str">
        <v/>
      </c>
      <c r="I11840" s="4" t="str">
        <v/>
      </c>
    </row>
    <row r="11841" spans="5:9" ht="16.5" hidden="1">
      <c r="E11841" s="4" t="str">
        <v/>
      </c>
      <c r="F11841" s="102" t="str">
        <f ca="1">IFERROR(__xludf.DUMMYFUNCTION("IMPORTRANGE(H11841,""IDENTITAS UNIT!D9"")"),"#N/A")</f>
        <v>#N/A</v>
      </c>
      <c r="H11841" s="4" t="str">
        <v/>
      </c>
      <c r="I11841" s="4" t="str">
        <v/>
      </c>
    </row>
    <row r="11842" spans="5:9" ht="16.5" hidden="1">
      <c r="E11842" s="4" t="str">
        <v/>
      </c>
      <c r="F11842" s="102" t="str">
        <f ca="1">IFERROR(__xludf.DUMMYFUNCTION("IMPORTRANGE(H11842,""IDENTITAS UNIT!D9"")"),"#N/A")</f>
        <v>#N/A</v>
      </c>
      <c r="H11842" s="4" t="str">
        <v/>
      </c>
      <c r="I11842" s="4" t="str">
        <v/>
      </c>
    </row>
    <row r="11843" spans="5:9" ht="16.5" hidden="1">
      <c r="E11843" s="4" t="str">
        <v/>
      </c>
      <c r="F11843" s="102" t="str">
        <f ca="1">IFERROR(__xludf.DUMMYFUNCTION("IMPORTRANGE(H11843,""IDENTITAS UNIT!D9"")"),"#N/A")</f>
        <v>#N/A</v>
      </c>
      <c r="H11843" s="4" t="str">
        <v/>
      </c>
      <c r="I11843" s="4" t="str">
        <v/>
      </c>
    </row>
    <row r="11844" spans="5:9" ht="16.5" hidden="1">
      <c r="E11844" s="4" t="str">
        <v/>
      </c>
      <c r="F11844" s="102" t="str">
        <f ca="1">IFERROR(__xludf.DUMMYFUNCTION("IMPORTRANGE(H11844,""IDENTITAS UNIT!D9"")"),"#N/A")</f>
        <v>#N/A</v>
      </c>
      <c r="H11844" s="4" t="str">
        <v/>
      </c>
      <c r="I11844" s="4" t="str">
        <v/>
      </c>
    </row>
    <row r="11845" spans="5:9" ht="16.5" hidden="1">
      <c r="E11845" s="4" t="str">
        <v/>
      </c>
      <c r="F11845" s="102" t="str">
        <f ca="1">IFERROR(__xludf.DUMMYFUNCTION("IMPORTRANGE(H11845,""IDENTITAS UNIT!D9"")"),"#N/A")</f>
        <v>#N/A</v>
      </c>
      <c r="H11845" s="4" t="str">
        <v/>
      </c>
      <c r="I11845" s="4" t="str">
        <v/>
      </c>
    </row>
    <row r="11846" spans="5:9" ht="16.5" hidden="1">
      <c r="E11846" s="4" t="str">
        <v/>
      </c>
      <c r="F11846" s="102" t="str">
        <f ca="1">IFERROR(__xludf.DUMMYFUNCTION("IMPORTRANGE(H11846,""IDENTITAS UNIT!D9"")"),"#N/A")</f>
        <v>#N/A</v>
      </c>
      <c r="H11846" s="4" t="str">
        <v/>
      </c>
      <c r="I11846" s="4" t="str">
        <v/>
      </c>
    </row>
    <row r="11847" spans="5:9" ht="16.5" hidden="1">
      <c r="E11847" s="4" t="str">
        <v/>
      </c>
      <c r="F11847" s="102" t="str">
        <f ca="1">IFERROR(__xludf.DUMMYFUNCTION("IMPORTRANGE(H11847,""IDENTITAS UNIT!D9"")"),"#N/A")</f>
        <v>#N/A</v>
      </c>
      <c r="H11847" s="4" t="str">
        <v/>
      </c>
      <c r="I11847" s="4" t="str">
        <v/>
      </c>
    </row>
    <row r="11848" spans="5:9" ht="16.5" hidden="1">
      <c r="E11848" s="4" t="str">
        <v/>
      </c>
      <c r="F11848" s="102" t="str">
        <f ca="1">IFERROR(__xludf.DUMMYFUNCTION("IMPORTRANGE(H11848,""IDENTITAS UNIT!D9"")"),"#N/A")</f>
        <v>#N/A</v>
      </c>
      <c r="H11848" s="4" t="str">
        <v/>
      </c>
      <c r="I11848" s="4" t="str">
        <v/>
      </c>
    </row>
    <row r="11849" spans="5:9" ht="16.5" hidden="1">
      <c r="E11849" s="4" t="str">
        <v/>
      </c>
      <c r="F11849" s="102" t="str">
        <f ca="1">IFERROR(__xludf.DUMMYFUNCTION("IMPORTRANGE(H11849,""IDENTITAS UNIT!D9"")"),"#N/A")</f>
        <v>#N/A</v>
      </c>
      <c r="H11849" s="4" t="str">
        <v/>
      </c>
      <c r="I11849" s="4" t="str">
        <v/>
      </c>
    </row>
    <row r="11850" spans="5:9" ht="16.5" hidden="1">
      <c r="E11850" s="4" t="str">
        <v/>
      </c>
      <c r="F11850" s="102" t="str">
        <f ca="1">IFERROR(__xludf.DUMMYFUNCTION("IMPORTRANGE(H11850,""IDENTITAS UNIT!D9"")"),"#N/A")</f>
        <v>#N/A</v>
      </c>
      <c r="H11850" s="4" t="str">
        <v/>
      </c>
      <c r="I11850" s="4" t="str">
        <v/>
      </c>
    </row>
    <row r="11851" spans="5:9" ht="16.5" hidden="1">
      <c r="E11851" s="4" t="str">
        <v/>
      </c>
      <c r="F11851" s="102" t="str">
        <f ca="1">IFERROR(__xludf.DUMMYFUNCTION("IMPORTRANGE(H11851,""IDENTITAS UNIT!D9"")"),"#N/A")</f>
        <v>#N/A</v>
      </c>
      <c r="H11851" s="4" t="str">
        <v/>
      </c>
      <c r="I11851" s="4" t="str">
        <v/>
      </c>
    </row>
    <row r="11852" spans="5:9" ht="16.5" hidden="1">
      <c r="E11852" s="4" t="str">
        <v/>
      </c>
      <c r="F11852" s="102" t="str">
        <f ca="1">IFERROR(__xludf.DUMMYFUNCTION("IMPORTRANGE(H11852,""IDENTITAS UNIT!D9"")"),"#N/A")</f>
        <v>#N/A</v>
      </c>
      <c r="H11852" s="4" t="str">
        <v/>
      </c>
      <c r="I11852" s="4" t="str">
        <v/>
      </c>
    </row>
    <row r="11853" spans="5:9" ht="16.5" hidden="1">
      <c r="E11853" s="4" t="str">
        <v/>
      </c>
      <c r="F11853" s="102" t="str">
        <f ca="1">IFERROR(__xludf.DUMMYFUNCTION("IMPORTRANGE(H11853,""IDENTITAS UNIT!D9"")"),"#N/A")</f>
        <v>#N/A</v>
      </c>
      <c r="H11853" s="4" t="str">
        <v/>
      </c>
      <c r="I11853" s="4" t="str">
        <v/>
      </c>
    </row>
    <row r="11854" spans="5:9" ht="16.5" hidden="1">
      <c r="E11854" s="4" t="str">
        <v/>
      </c>
      <c r="F11854" s="102" t="str">
        <f ca="1">IFERROR(__xludf.DUMMYFUNCTION("IMPORTRANGE(H11854,""IDENTITAS UNIT!D9"")"),"#N/A")</f>
        <v>#N/A</v>
      </c>
      <c r="H11854" s="4" t="str">
        <v/>
      </c>
      <c r="I11854" s="4" t="str">
        <v/>
      </c>
    </row>
    <row r="11855" spans="5:9" ht="16.5" hidden="1">
      <c r="E11855" s="4" t="str">
        <v/>
      </c>
      <c r="F11855" s="102" t="str">
        <f ca="1">IFERROR(__xludf.DUMMYFUNCTION("IMPORTRANGE(H11855,""IDENTITAS UNIT!D9"")"),"#N/A")</f>
        <v>#N/A</v>
      </c>
      <c r="H11855" s="4" t="str">
        <v/>
      </c>
      <c r="I11855" s="4" t="str">
        <v/>
      </c>
    </row>
    <row r="11856" spans="5:9" ht="16.5" hidden="1">
      <c r="E11856" s="4" t="str">
        <v/>
      </c>
      <c r="F11856" s="102" t="str">
        <f ca="1">IFERROR(__xludf.DUMMYFUNCTION("IMPORTRANGE(H11856,""IDENTITAS UNIT!D9"")"),"#N/A")</f>
        <v>#N/A</v>
      </c>
      <c r="H11856" s="4" t="str">
        <v/>
      </c>
      <c r="I11856" s="4" t="str">
        <v/>
      </c>
    </row>
    <row r="11857" spans="5:9" ht="16.5" hidden="1">
      <c r="E11857" s="4" t="str">
        <v/>
      </c>
      <c r="F11857" s="102" t="str">
        <f ca="1">IFERROR(__xludf.DUMMYFUNCTION("IMPORTRANGE(H11857,""IDENTITAS UNIT!D9"")"),"#N/A")</f>
        <v>#N/A</v>
      </c>
      <c r="H11857" s="4" t="str">
        <v/>
      </c>
      <c r="I11857" s="4" t="str">
        <v/>
      </c>
    </row>
    <row r="11858" spans="5:9" ht="16.5" hidden="1">
      <c r="E11858" s="4" t="str">
        <v/>
      </c>
      <c r="F11858" s="102" t="str">
        <f ca="1">IFERROR(__xludf.DUMMYFUNCTION("IMPORTRANGE(H11858,""IDENTITAS UNIT!D9"")"),"#N/A")</f>
        <v>#N/A</v>
      </c>
      <c r="H11858" s="4" t="str">
        <v/>
      </c>
      <c r="I11858" s="4" t="str">
        <v/>
      </c>
    </row>
    <row r="11859" spans="5:9" ht="16.5" hidden="1">
      <c r="E11859" s="4" t="str">
        <v/>
      </c>
      <c r="F11859" s="102" t="str">
        <f ca="1">IFERROR(__xludf.DUMMYFUNCTION("IMPORTRANGE(H11859,""IDENTITAS UNIT!D9"")"),"#N/A")</f>
        <v>#N/A</v>
      </c>
      <c r="H11859" s="4" t="str">
        <v/>
      </c>
      <c r="I11859" s="4" t="str">
        <v/>
      </c>
    </row>
    <row r="11860" spans="5:9" ht="16.5" hidden="1">
      <c r="E11860" s="4" t="str">
        <v/>
      </c>
      <c r="F11860" s="102" t="str">
        <f ca="1">IFERROR(__xludf.DUMMYFUNCTION("IMPORTRANGE(H11860,""IDENTITAS UNIT!D9"")"),"#N/A")</f>
        <v>#N/A</v>
      </c>
      <c r="H11860" s="4" t="str">
        <v/>
      </c>
      <c r="I11860" s="4" t="str">
        <v/>
      </c>
    </row>
    <row r="11861" spans="5:9" ht="16.5" hidden="1">
      <c r="E11861" s="4" t="str">
        <v/>
      </c>
      <c r="F11861" s="102" t="str">
        <f ca="1">IFERROR(__xludf.DUMMYFUNCTION("IMPORTRANGE(H11861,""IDENTITAS UNIT!D9"")"),"#N/A")</f>
        <v>#N/A</v>
      </c>
      <c r="H11861" s="4" t="str">
        <v/>
      </c>
      <c r="I11861" s="4" t="str">
        <v/>
      </c>
    </row>
    <row r="11862" spans="5:9" ht="16.5" hidden="1">
      <c r="E11862" s="4" t="str">
        <v/>
      </c>
      <c r="F11862" s="102" t="str">
        <f ca="1">IFERROR(__xludf.DUMMYFUNCTION("IMPORTRANGE(H11862,""IDENTITAS UNIT!D9"")"),"#N/A")</f>
        <v>#N/A</v>
      </c>
      <c r="H11862" s="4" t="str">
        <v/>
      </c>
      <c r="I11862" s="4" t="str">
        <v/>
      </c>
    </row>
    <row r="11863" spans="5:9" ht="16.5" hidden="1">
      <c r="E11863" s="4" t="str">
        <v/>
      </c>
      <c r="F11863" s="102" t="str">
        <f ca="1">IFERROR(__xludf.DUMMYFUNCTION("IMPORTRANGE(H11863,""IDENTITAS UNIT!D9"")"),"#N/A")</f>
        <v>#N/A</v>
      </c>
      <c r="H11863" s="4" t="str">
        <v/>
      </c>
      <c r="I11863" s="4" t="str">
        <v/>
      </c>
    </row>
    <row r="11864" spans="5:9" ht="16.5" hidden="1">
      <c r="E11864" s="4" t="str">
        <v/>
      </c>
      <c r="F11864" s="102" t="str">
        <f ca="1">IFERROR(__xludf.DUMMYFUNCTION("IMPORTRANGE(H11864,""IDENTITAS UNIT!D9"")"),"#N/A")</f>
        <v>#N/A</v>
      </c>
      <c r="H11864" s="4" t="str">
        <v/>
      </c>
      <c r="I11864" s="4" t="str">
        <v/>
      </c>
    </row>
    <row r="11865" spans="5:9" ht="16.5" hidden="1">
      <c r="E11865" s="4" t="str">
        <v/>
      </c>
      <c r="F11865" s="102" t="str">
        <f ca="1">IFERROR(__xludf.DUMMYFUNCTION("IMPORTRANGE(H11865,""IDENTITAS UNIT!D9"")"),"#N/A")</f>
        <v>#N/A</v>
      </c>
      <c r="H11865" s="4" t="str">
        <v/>
      </c>
      <c r="I11865" s="4" t="str">
        <v/>
      </c>
    </row>
    <row r="11866" spans="5:9" ht="16.5" hidden="1">
      <c r="E11866" s="4" t="str">
        <v/>
      </c>
      <c r="F11866" s="102" t="str">
        <f ca="1">IFERROR(__xludf.DUMMYFUNCTION("IMPORTRANGE(H11866,""IDENTITAS UNIT!D9"")"),"#N/A")</f>
        <v>#N/A</v>
      </c>
      <c r="H11866" s="4" t="str">
        <v/>
      </c>
      <c r="I11866" s="4" t="str">
        <v/>
      </c>
    </row>
    <row r="11867" spans="5:9" ht="16.5" hidden="1">
      <c r="E11867" s="4" t="str">
        <v/>
      </c>
      <c r="F11867" s="102" t="str">
        <f ca="1">IFERROR(__xludf.DUMMYFUNCTION("IMPORTRANGE(H11867,""IDENTITAS UNIT!D9"")"),"#N/A")</f>
        <v>#N/A</v>
      </c>
      <c r="H11867" s="4" t="str">
        <v/>
      </c>
      <c r="I11867" s="4" t="str">
        <v/>
      </c>
    </row>
    <row r="11868" spans="5:9" ht="16.5" hidden="1">
      <c r="E11868" s="4" t="str">
        <v/>
      </c>
      <c r="F11868" s="102" t="str">
        <f ca="1">IFERROR(__xludf.DUMMYFUNCTION("IMPORTRANGE(H11868,""IDENTITAS UNIT!D9"")"),"#N/A")</f>
        <v>#N/A</v>
      </c>
      <c r="H11868" s="4" t="str">
        <v/>
      </c>
      <c r="I11868" s="4" t="str">
        <v/>
      </c>
    </row>
    <row r="11869" spans="5:9" ht="16.5" hidden="1">
      <c r="E11869" s="4" t="str">
        <v/>
      </c>
      <c r="F11869" s="102" t="str">
        <f ca="1">IFERROR(__xludf.DUMMYFUNCTION("IMPORTRANGE(H11869,""IDENTITAS UNIT!D9"")"),"#N/A")</f>
        <v>#N/A</v>
      </c>
      <c r="H11869" s="4" t="str">
        <v/>
      </c>
      <c r="I11869" s="4" t="str">
        <v/>
      </c>
    </row>
    <row r="11870" spans="5:9" ht="16.5" hidden="1">
      <c r="E11870" s="4" t="str">
        <v/>
      </c>
      <c r="F11870" s="102" t="str">
        <f ca="1">IFERROR(__xludf.DUMMYFUNCTION("IMPORTRANGE(H11870,""IDENTITAS UNIT!D9"")"),"#N/A")</f>
        <v>#N/A</v>
      </c>
      <c r="H11870" s="4" t="str">
        <v/>
      </c>
      <c r="I11870" s="4" t="str">
        <v/>
      </c>
    </row>
    <row r="11871" spans="5:9" ht="16.5" hidden="1">
      <c r="E11871" s="4" t="str">
        <v/>
      </c>
      <c r="F11871" s="102" t="str">
        <f ca="1">IFERROR(__xludf.DUMMYFUNCTION("IMPORTRANGE(H11871,""IDENTITAS UNIT!D9"")"),"#N/A")</f>
        <v>#N/A</v>
      </c>
      <c r="H11871" s="4" t="str">
        <v/>
      </c>
      <c r="I11871" s="4" t="str">
        <v/>
      </c>
    </row>
    <row r="11872" spans="5:9" ht="16.5" hidden="1">
      <c r="E11872" s="4" t="str">
        <v/>
      </c>
      <c r="F11872" s="102" t="str">
        <f ca="1">IFERROR(__xludf.DUMMYFUNCTION("IMPORTRANGE(H11872,""IDENTITAS UNIT!D9"")"),"#N/A")</f>
        <v>#N/A</v>
      </c>
      <c r="H11872" s="4" t="str">
        <v/>
      </c>
      <c r="I11872" s="4" t="str">
        <v/>
      </c>
    </row>
    <row r="11873" spans="5:9" ht="16.5" hidden="1">
      <c r="E11873" s="4" t="str">
        <v/>
      </c>
      <c r="F11873" s="102" t="str">
        <f ca="1">IFERROR(__xludf.DUMMYFUNCTION("IMPORTRANGE(H11873,""IDENTITAS UNIT!D9"")"),"#N/A")</f>
        <v>#N/A</v>
      </c>
      <c r="H11873" s="4" t="str">
        <v/>
      </c>
      <c r="I11873" s="4" t="str">
        <v/>
      </c>
    </row>
    <row r="11874" spans="5:9" ht="16.5" hidden="1">
      <c r="E11874" s="4" t="str">
        <v/>
      </c>
      <c r="F11874" s="102" t="str">
        <f ca="1">IFERROR(__xludf.DUMMYFUNCTION("IMPORTRANGE(H11874,""IDENTITAS UNIT!D9"")"),"#N/A")</f>
        <v>#N/A</v>
      </c>
      <c r="H11874" s="4" t="str">
        <v/>
      </c>
      <c r="I11874" s="4" t="str">
        <v/>
      </c>
    </row>
    <row r="11875" spans="5:9" ht="16.5" hidden="1">
      <c r="E11875" s="4" t="str">
        <v/>
      </c>
      <c r="F11875" s="102" t="str">
        <f ca="1">IFERROR(__xludf.DUMMYFUNCTION("IMPORTRANGE(H11875,""IDENTITAS UNIT!D9"")"),"#N/A")</f>
        <v>#N/A</v>
      </c>
      <c r="H11875" s="4" t="str">
        <v/>
      </c>
      <c r="I11875" s="4" t="str">
        <v/>
      </c>
    </row>
    <row r="11876" spans="5:9" ht="16.5" hidden="1">
      <c r="E11876" s="4" t="str">
        <v/>
      </c>
      <c r="F11876" s="102" t="str">
        <f ca="1">IFERROR(__xludf.DUMMYFUNCTION("IMPORTRANGE(H11876,""IDENTITAS UNIT!D9"")"),"#N/A")</f>
        <v>#N/A</v>
      </c>
      <c r="H11876" s="4" t="str">
        <v/>
      </c>
      <c r="I11876" s="4" t="str">
        <v/>
      </c>
    </row>
    <row r="11877" spans="5:9" ht="16.5" hidden="1">
      <c r="E11877" s="4" t="str">
        <v/>
      </c>
      <c r="F11877" s="102" t="str">
        <f ca="1">IFERROR(__xludf.DUMMYFUNCTION("IMPORTRANGE(H11877,""IDENTITAS UNIT!D9"")"),"#N/A")</f>
        <v>#N/A</v>
      </c>
      <c r="H11877" s="4" t="str">
        <v/>
      </c>
      <c r="I11877" s="4" t="str">
        <v/>
      </c>
    </row>
    <row r="11878" spans="5:9" ht="16.5" hidden="1">
      <c r="E11878" s="4" t="str">
        <v/>
      </c>
      <c r="F11878" s="102" t="str">
        <f ca="1">IFERROR(__xludf.DUMMYFUNCTION("IMPORTRANGE(H11878,""IDENTITAS UNIT!D9"")"),"#N/A")</f>
        <v>#N/A</v>
      </c>
      <c r="H11878" s="4" t="str">
        <v/>
      </c>
      <c r="I11878" s="4" t="str">
        <v/>
      </c>
    </row>
    <row r="11879" spans="5:9" ht="16.5" hidden="1">
      <c r="E11879" s="4" t="str">
        <v/>
      </c>
      <c r="F11879" s="102" t="str">
        <f ca="1">IFERROR(__xludf.DUMMYFUNCTION("IMPORTRANGE(H11879,""IDENTITAS UNIT!D9"")"),"#N/A")</f>
        <v>#N/A</v>
      </c>
      <c r="H11879" s="4" t="str">
        <v/>
      </c>
      <c r="I11879" s="4" t="str">
        <v/>
      </c>
    </row>
    <row r="11880" spans="5:9" ht="16.5" hidden="1">
      <c r="E11880" s="4" t="str">
        <v/>
      </c>
      <c r="F11880" s="102" t="str">
        <f ca="1">IFERROR(__xludf.DUMMYFUNCTION("IMPORTRANGE(H11880,""IDENTITAS UNIT!D9"")"),"#N/A")</f>
        <v>#N/A</v>
      </c>
      <c r="H11880" s="4" t="str">
        <v/>
      </c>
      <c r="I11880" s="4" t="str">
        <v/>
      </c>
    </row>
    <row r="11881" spans="5:9" ht="16.5" hidden="1">
      <c r="E11881" s="4" t="str">
        <v/>
      </c>
      <c r="F11881" s="102" t="str">
        <f ca="1">IFERROR(__xludf.DUMMYFUNCTION("IMPORTRANGE(H11881,""IDENTITAS UNIT!D9"")"),"#N/A")</f>
        <v>#N/A</v>
      </c>
      <c r="H11881" s="4" t="str">
        <v/>
      </c>
      <c r="I11881" s="4" t="str">
        <v/>
      </c>
    </row>
    <row r="11882" spans="5:9" ht="16.5" hidden="1">
      <c r="E11882" s="4" t="str">
        <v/>
      </c>
      <c r="F11882" s="102" t="str">
        <f ca="1">IFERROR(__xludf.DUMMYFUNCTION("IMPORTRANGE(H11882,""IDENTITAS UNIT!D9"")"),"#N/A")</f>
        <v>#N/A</v>
      </c>
      <c r="H11882" s="4" t="str">
        <v/>
      </c>
      <c r="I11882" s="4" t="str">
        <v/>
      </c>
    </row>
    <row r="11883" spans="5:9" ht="16.5" hidden="1">
      <c r="E11883" s="4" t="str">
        <v/>
      </c>
      <c r="F11883" s="102" t="str">
        <f ca="1">IFERROR(__xludf.DUMMYFUNCTION("IMPORTRANGE(H11883,""IDENTITAS UNIT!D9"")"),"#N/A")</f>
        <v>#N/A</v>
      </c>
      <c r="H11883" s="4" t="str">
        <v/>
      </c>
      <c r="I11883" s="4" t="str">
        <v/>
      </c>
    </row>
    <row r="11884" spans="5:9" ht="16.5" hidden="1">
      <c r="E11884" s="4" t="str">
        <v/>
      </c>
      <c r="F11884" s="102" t="str">
        <f ca="1">IFERROR(__xludf.DUMMYFUNCTION("IMPORTRANGE(H11884,""IDENTITAS UNIT!D9"")"),"#N/A")</f>
        <v>#N/A</v>
      </c>
      <c r="H11884" s="4" t="str">
        <v/>
      </c>
      <c r="I11884" s="4" t="str">
        <v/>
      </c>
    </row>
    <row r="11885" spans="5:9" ht="16.5" hidden="1">
      <c r="E11885" s="4" t="str">
        <v/>
      </c>
      <c r="F11885" s="102" t="str">
        <f ca="1">IFERROR(__xludf.DUMMYFUNCTION("IMPORTRANGE(H11885,""IDENTITAS UNIT!D9"")"),"#N/A")</f>
        <v>#N/A</v>
      </c>
      <c r="H11885" s="4" t="str">
        <v/>
      </c>
      <c r="I11885" s="4" t="str">
        <v/>
      </c>
    </row>
    <row r="11886" spans="5:9" ht="16.5" hidden="1">
      <c r="E11886" s="4" t="str">
        <v/>
      </c>
      <c r="F11886" s="102" t="str">
        <f ca="1">IFERROR(__xludf.DUMMYFUNCTION("IMPORTRANGE(H11886,""IDENTITAS UNIT!D9"")"),"#N/A")</f>
        <v>#N/A</v>
      </c>
      <c r="H11886" s="4" t="str">
        <v/>
      </c>
      <c r="I11886" s="4" t="str">
        <v/>
      </c>
    </row>
    <row r="11887" spans="5:9" ht="16.5" hidden="1">
      <c r="E11887" s="4" t="str">
        <v/>
      </c>
      <c r="F11887" s="102" t="str">
        <f ca="1">IFERROR(__xludf.DUMMYFUNCTION("IMPORTRANGE(H11887,""IDENTITAS UNIT!D9"")"),"#N/A")</f>
        <v>#N/A</v>
      </c>
      <c r="H11887" s="4" t="str">
        <v/>
      </c>
      <c r="I11887" s="4" t="str">
        <v/>
      </c>
    </row>
    <row r="11888" spans="5:9" ht="16.5" hidden="1">
      <c r="E11888" s="4" t="str">
        <v/>
      </c>
      <c r="F11888" s="102" t="str">
        <f ca="1">IFERROR(__xludf.DUMMYFUNCTION("IMPORTRANGE(H11888,""IDENTITAS UNIT!D9"")"),"#N/A")</f>
        <v>#N/A</v>
      </c>
      <c r="H11888" s="4" t="str">
        <v/>
      </c>
      <c r="I11888" s="4" t="str">
        <v/>
      </c>
    </row>
    <row r="11889" spans="5:9" ht="16.5" hidden="1">
      <c r="E11889" s="4" t="str">
        <v/>
      </c>
      <c r="F11889" s="102" t="str">
        <f ca="1">IFERROR(__xludf.DUMMYFUNCTION("IMPORTRANGE(H11889,""IDENTITAS UNIT!D9"")"),"#N/A")</f>
        <v>#N/A</v>
      </c>
      <c r="H11889" s="4" t="str">
        <v/>
      </c>
      <c r="I11889" s="4" t="str">
        <v/>
      </c>
    </row>
    <row r="11890" spans="5:9" ht="16.5" hidden="1">
      <c r="E11890" s="4" t="str">
        <v/>
      </c>
      <c r="F11890" s="102" t="str">
        <f ca="1">IFERROR(__xludf.DUMMYFUNCTION("IMPORTRANGE(H11890,""IDENTITAS UNIT!D9"")"),"#N/A")</f>
        <v>#N/A</v>
      </c>
      <c r="H11890" s="4" t="str">
        <v/>
      </c>
      <c r="I11890" s="4" t="str">
        <v/>
      </c>
    </row>
    <row r="11891" spans="5:9" ht="16.5" hidden="1">
      <c r="E11891" s="4" t="str">
        <v/>
      </c>
      <c r="F11891" s="102" t="str">
        <f ca="1">IFERROR(__xludf.DUMMYFUNCTION("IMPORTRANGE(H11891,""IDENTITAS UNIT!D9"")"),"#N/A")</f>
        <v>#N/A</v>
      </c>
      <c r="H11891" s="4" t="str">
        <v/>
      </c>
      <c r="I11891" s="4" t="str">
        <v/>
      </c>
    </row>
    <row r="11892" spans="5:9" ht="16.5" hidden="1">
      <c r="E11892" s="4" t="str">
        <v/>
      </c>
      <c r="F11892" s="102" t="str">
        <f ca="1">IFERROR(__xludf.DUMMYFUNCTION("IMPORTRANGE(H11892,""IDENTITAS UNIT!D9"")"),"#N/A")</f>
        <v>#N/A</v>
      </c>
      <c r="H11892" s="4" t="str">
        <v/>
      </c>
      <c r="I11892" s="4" t="str">
        <v/>
      </c>
    </row>
    <row r="11893" spans="5:9" ht="16.5" hidden="1">
      <c r="E11893" s="4" t="str">
        <v/>
      </c>
      <c r="F11893" s="102" t="str">
        <f ca="1">IFERROR(__xludf.DUMMYFUNCTION("IMPORTRANGE(H11893,""IDENTITAS UNIT!D9"")"),"#N/A")</f>
        <v>#N/A</v>
      </c>
      <c r="H11893" s="4" t="str">
        <v/>
      </c>
      <c r="I11893" s="4" t="str">
        <v/>
      </c>
    </row>
    <row r="11894" spans="5:9" ht="16.5" hidden="1">
      <c r="E11894" s="4" t="str">
        <v/>
      </c>
      <c r="F11894" s="102" t="str">
        <f ca="1">IFERROR(__xludf.DUMMYFUNCTION("IMPORTRANGE(H11894,""IDENTITAS UNIT!D9"")"),"#N/A")</f>
        <v>#N/A</v>
      </c>
      <c r="H11894" s="4" t="str">
        <v/>
      </c>
      <c r="I11894" s="4" t="str">
        <v/>
      </c>
    </row>
    <row r="11895" spans="5:9" ht="16.5" hidden="1">
      <c r="E11895" s="4" t="str">
        <v/>
      </c>
      <c r="F11895" s="102" t="str">
        <f ca="1">IFERROR(__xludf.DUMMYFUNCTION("IMPORTRANGE(H11895,""IDENTITAS UNIT!D9"")"),"#N/A")</f>
        <v>#N/A</v>
      </c>
      <c r="H11895" s="4" t="str">
        <v/>
      </c>
      <c r="I11895" s="4" t="str">
        <v/>
      </c>
    </row>
    <row r="11896" spans="5:9" ht="16.5" hidden="1">
      <c r="E11896" s="4" t="str">
        <v/>
      </c>
      <c r="F11896" s="102" t="str">
        <f ca="1">IFERROR(__xludf.DUMMYFUNCTION("IMPORTRANGE(H11896,""IDENTITAS UNIT!D9"")"),"#N/A")</f>
        <v>#N/A</v>
      </c>
      <c r="H11896" s="4" t="str">
        <v/>
      </c>
      <c r="I11896" s="4" t="str">
        <v/>
      </c>
    </row>
    <row r="11897" spans="5:9" ht="16.5" hidden="1">
      <c r="E11897" s="4" t="str">
        <v/>
      </c>
      <c r="F11897" s="102" t="str">
        <f ca="1">IFERROR(__xludf.DUMMYFUNCTION("IMPORTRANGE(H11897,""IDENTITAS UNIT!D9"")"),"#N/A")</f>
        <v>#N/A</v>
      </c>
      <c r="H11897" s="4" t="str">
        <v/>
      </c>
      <c r="I11897" s="4" t="str">
        <v/>
      </c>
    </row>
    <row r="11898" spans="5:9" ht="16.5" hidden="1">
      <c r="E11898" s="4" t="str">
        <v/>
      </c>
      <c r="F11898" s="102" t="str">
        <f ca="1">IFERROR(__xludf.DUMMYFUNCTION("IMPORTRANGE(H11898,""IDENTITAS UNIT!D9"")"),"#N/A")</f>
        <v>#N/A</v>
      </c>
      <c r="H11898" s="4" t="str">
        <v/>
      </c>
      <c r="I11898" s="4" t="str">
        <v/>
      </c>
    </row>
    <row r="11899" spans="5:9" ht="16.5" hidden="1">
      <c r="E11899" s="4" t="str">
        <v/>
      </c>
      <c r="F11899" s="102" t="str">
        <f ca="1">IFERROR(__xludf.DUMMYFUNCTION("IMPORTRANGE(H11899,""IDENTITAS UNIT!D9"")"),"#N/A")</f>
        <v>#N/A</v>
      </c>
      <c r="H11899" s="4" t="str">
        <v/>
      </c>
      <c r="I11899" s="4" t="str">
        <v/>
      </c>
    </row>
    <row r="11900" spans="5:9" ht="16.5" hidden="1">
      <c r="E11900" s="4" t="str">
        <v/>
      </c>
      <c r="F11900" s="102" t="str">
        <f ca="1">IFERROR(__xludf.DUMMYFUNCTION("IMPORTRANGE(H11900,""IDENTITAS UNIT!D9"")"),"#N/A")</f>
        <v>#N/A</v>
      </c>
      <c r="H11900" s="4" t="str">
        <v/>
      </c>
      <c r="I11900" s="4" t="str">
        <v/>
      </c>
    </row>
    <row r="11901" spans="5:9" ht="16.5" hidden="1">
      <c r="E11901" s="4" t="str">
        <v/>
      </c>
      <c r="F11901" s="102" t="str">
        <f ca="1">IFERROR(__xludf.DUMMYFUNCTION("IMPORTRANGE(H11901,""IDENTITAS UNIT!D9"")"),"#N/A")</f>
        <v>#N/A</v>
      </c>
      <c r="H11901" s="4" t="str">
        <v/>
      </c>
      <c r="I11901" s="4" t="str">
        <v/>
      </c>
    </row>
    <row r="11902" spans="5:9" ht="16.5" hidden="1">
      <c r="E11902" s="4" t="str">
        <v/>
      </c>
      <c r="F11902" s="102" t="str">
        <f ca="1">IFERROR(__xludf.DUMMYFUNCTION("IMPORTRANGE(H11902,""IDENTITAS UNIT!D9"")"),"#N/A")</f>
        <v>#N/A</v>
      </c>
      <c r="H11902" s="4" t="str">
        <v/>
      </c>
      <c r="I11902" s="4" t="str">
        <v/>
      </c>
    </row>
    <row r="11903" spans="5:9" ht="16.5" hidden="1">
      <c r="E11903" s="4" t="str">
        <v/>
      </c>
      <c r="F11903" s="102" t="str">
        <f ca="1">IFERROR(__xludf.DUMMYFUNCTION("IMPORTRANGE(H11903,""IDENTITAS UNIT!D9"")"),"#N/A")</f>
        <v>#N/A</v>
      </c>
      <c r="H11903" s="4" t="str">
        <v/>
      </c>
      <c r="I11903" s="4" t="str">
        <v/>
      </c>
    </row>
    <row r="11904" spans="5:9" ht="16.5" hidden="1">
      <c r="E11904" s="4" t="str">
        <v/>
      </c>
      <c r="F11904" s="102" t="str">
        <f ca="1">IFERROR(__xludf.DUMMYFUNCTION("IMPORTRANGE(H11904,""IDENTITAS UNIT!D9"")"),"#N/A")</f>
        <v>#N/A</v>
      </c>
      <c r="H11904" s="4" t="str">
        <v/>
      </c>
      <c r="I11904" s="4" t="str">
        <v/>
      </c>
    </row>
    <row r="11905" spans="5:9" ht="16.5" hidden="1">
      <c r="E11905" s="4" t="str">
        <v/>
      </c>
      <c r="F11905" s="102" t="str">
        <f ca="1">IFERROR(__xludf.DUMMYFUNCTION("IMPORTRANGE(H11905,""IDENTITAS UNIT!D9"")"),"#N/A")</f>
        <v>#N/A</v>
      </c>
      <c r="H11905" s="4" t="str">
        <v/>
      </c>
      <c r="I11905" s="4" t="str">
        <v/>
      </c>
    </row>
    <row r="11906" spans="5:9" ht="16.5" hidden="1">
      <c r="E11906" s="4" t="str">
        <v/>
      </c>
      <c r="F11906" s="102" t="str">
        <f ca="1">IFERROR(__xludf.DUMMYFUNCTION("IMPORTRANGE(H11906,""IDENTITAS UNIT!D9"")"),"#N/A")</f>
        <v>#N/A</v>
      </c>
      <c r="H11906" s="4" t="str">
        <v/>
      </c>
      <c r="I11906" s="4" t="str">
        <v/>
      </c>
    </row>
    <row r="11907" spans="5:9" ht="16.5" hidden="1">
      <c r="E11907" s="4" t="str">
        <v/>
      </c>
      <c r="F11907" s="102" t="str">
        <f ca="1">IFERROR(__xludf.DUMMYFUNCTION("IMPORTRANGE(H11907,""IDENTITAS UNIT!D9"")"),"#N/A")</f>
        <v>#N/A</v>
      </c>
      <c r="H11907" s="4" t="str">
        <v/>
      </c>
      <c r="I11907" s="4" t="str">
        <v/>
      </c>
    </row>
    <row r="11908" spans="5:9" ht="16.5" hidden="1">
      <c r="E11908" s="4" t="str">
        <v/>
      </c>
      <c r="F11908" s="102" t="str">
        <f ca="1">IFERROR(__xludf.DUMMYFUNCTION("IMPORTRANGE(H11908,""IDENTITAS UNIT!D9"")"),"#N/A")</f>
        <v>#N/A</v>
      </c>
      <c r="H11908" s="4" t="str">
        <v/>
      </c>
      <c r="I11908" s="4" t="str">
        <v/>
      </c>
    </row>
    <row r="11909" spans="5:9" ht="16.5" hidden="1">
      <c r="E11909" s="4" t="str">
        <v/>
      </c>
      <c r="F11909" s="102" t="str">
        <f ca="1">IFERROR(__xludf.DUMMYFUNCTION("IMPORTRANGE(H11909,""IDENTITAS UNIT!D9"")"),"#N/A")</f>
        <v>#N/A</v>
      </c>
      <c r="H11909" s="4" t="str">
        <v/>
      </c>
      <c r="I11909" s="4" t="str">
        <v/>
      </c>
    </row>
    <row r="11910" spans="5:9" ht="16.5" hidden="1">
      <c r="E11910" s="4" t="str">
        <v/>
      </c>
      <c r="F11910" s="102" t="str">
        <f ca="1">IFERROR(__xludf.DUMMYFUNCTION("IMPORTRANGE(H11910,""IDENTITAS UNIT!D9"")"),"#N/A")</f>
        <v>#N/A</v>
      </c>
      <c r="H11910" s="4" t="str">
        <v/>
      </c>
      <c r="I11910" s="4" t="str">
        <v/>
      </c>
    </row>
    <row r="11911" spans="5:9" ht="16.5" hidden="1">
      <c r="E11911" s="4" t="str">
        <v/>
      </c>
      <c r="F11911" s="102" t="str">
        <f ca="1">IFERROR(__xludf.DUMMYFUNCTION("IMPORTRANGE(H11911,""IDENTITAS UNIT!D9"")"),"#N/A")</f>
        <v>#N/A</v>
      </c>
      <c r="H11911" s="4" t="str">
        <v/>
      </c>
      <c r="I11911" s="4" t="str">
        <v/>
      </c>
    </row>
    <row r="11912" spans="5:9" ht="16.5" hidden="1">
      <c r="E11912" s="4" t="str">
        <v/>
      </c>
      <c r="F11912" s="102" t="str">
        <f ca="1">IFERROR(__xludf.DUMMYFUNCTION("IMPORTRANGE(H11912,""IDENTITAS UNIT!D9"")"),"#N/A")</f>
        <v>#N/A</v>
      </c>
      <c r="H11912" s="4" t="str">
        <v/>
      </c>
      <c r="I11912" s="4" t="str">
        <v/>
      </c>
    </row>
    <row r="11913" spans="5:9" ht="16.5" hidden="1">
      <c r="E11913" s="4" t="str">
        <v/>
      </c>
      <c r="F11913" s="102" t="str">
        <f ca="1">IFERROR(__xludf.DUMMYFUNCTION("IMPORTRANGE(H11913,""IDENTITAS UNIT!D9"")"),"#N/A")</f>
        <v>#N/A</v>
      </c>
      <c r="H11913" s="4" t="str">
        <v/>
      </c>
      <c r="I11913" s="4" t="str">
        <v/>
      </c>
    </row>
    <row r="11914" spans="5:9" ht="16.5" hidden="1">
      <c r="E11914" s="4" t="str">
        <v/>
      </c>
      <c r="F11914" s="102" t="str">
        <f ca="1">IFERROR(__xludf.DUMMYFUNCTION("IMPORTRANGE(H11914,""IDENTITAS UNIT!D9"")"),"#N/A")</f>
        <v>#N/A</v>
      </c>
      <c r="H11914" s="4" t="str">
        <v/>
      </c>
      <c r="I11914" s="4" t="str">
        <v/>
      </c>
    </row>
    <row r="11915" spans="5:9" ht="16.5" hidden="1">
      <c r="E11915" s="4" t="str">
        <v/>
      </c>
      <c r="F11915" s="102" t="str">
        <f ca="1">IFERROR(__xludf.DUMMYFUNCTION("IMPORTRANGE(H11915,""IDENTITAS UNIT!D9"")"),"#N/A")</f>
        <v>#N/A</v>
      </c>
      <c r="H11915" s="4" t="str">
        <v/>
      </c>
      <c r="I11915" s="4" t="str">
        <v/>
      </c>
    </row>
    <row r="11916" spans="5:9" ht="16.5" hidden="1">
      <c r="E11916" s="4" t="str">
        <v/>
      </c>
      <c r="F11916" s="102" t="str">
        <f ca="1">IFERROR(__xludf.DUMMYFUNCTION("IMPORTRANGE(H11916,""IDENTITAS UNIT!D9"")"),"#N/A")</f>
        <v>#N/A</v>
      </c>
      <c r="H11916" s="4" t="str">
        <v/>
      </c>
      <c r="I11916" s="4" t="str">
        <v/>
      </c>
    </row>
    <row r="11917" spans="5:9" ht="16.5" hidden="1">
      <c r="E11917" s="4" t="str">
        <v/>
      </c>
      <c r="F11917" s="102" t="str">
        <f ca="1">IFERROR(__xludf.DUMMYFUNCTION("IMPORTRANGE(H11917,""IDENTITAS UNIT!D9"")"),"#N/A")</f>
        <v>#N/A</v>
      </c>
      <c r="H11917" s="4" t="str">
        <v/>
      </c>
      <c r="I11917" s="4" t="str">
        <v/>
      </c>
    </row>
    <row r="11918" spans="5:9" ht="16.5" hidden="1">
      <c r="E11918" s="4" t="str">
        <v/>
      </c>
      <c r="F11918" s="102" t="str">
        <f ca="1">IFERROR(__xludf.DUMMYFUNCTION("IMPORTRANGE(H11918,""IDENTITAS UNIT!D9"")"),"#N/A")</f>
        <v>#N/A</v>
      </c>
      <c r="H11918" s="4" t="str">
        <v/>
      </c>
      <c r="I11918" s="4" t="str">
        <v/>
      </c>
    </row>
    <row r="11919" spans="5:9" ht="16.5" hidden="1">
      <c r="E11919" s="4" t="str">
        <v/>
      </c>
      <c r="F11919" s="102" t="str">
        <f ca="1">IFERROR(__xludf.DUMMYFUNCTION("IMPORTRANGE(H11919,""IDENTITAS UNIT!D9"")"),"#N/A")</f>
        <v>#N/A</v>
      </c>
      <c r="H11919" s="4" t="str">
        <v/>
      </c>
      <c r="I11919" s="4" t="str">
        <v/>
      </c>
    </row>
    <row r="11920" spans="5:9" ht="16.5" hidden="1">
      <c r="E11920" s="4" t="str">
        <v/>
      </c>
      <c r="F11920" s="102" t="str">
        <f ca="1">IFERROR(__xludf.DUMMYFUNCTION("IMPORTRANGE(H11920,""IDENTITAS UNIT!D9"")"),"#N/A")</f>
        <v>#N/A</v>
      </c>
      <c r="H11920" s="4" t="str">
        <v/>
      </c>
      <c r="I11920" s="4" t="str">
        <v/>
      </c>
    </row>
    <row r="11921" spans="5:9" ht="16.5" hidden="1">
      <c r="E11921" s="4" t="str">
        <v/>
      </c>
      <c r="F11921" s="102" t="str">
        <f ca="1">IFERROR(__xludf.DUMMYFUNCTION("IMPORTRANGE(H11921,""IDENTITAS UNIT!D9"")"),"#N/A")</f>
        <v>#N/A</v>
      </c>
      <c r="H11921" s="4" t="str">
        <v/>
      </c>
      <c r="I11921" s="4" t="str">
        <v/>
      </c>
    </row>
    <row r="11922" spans="5:9" ht="16.5" hidden="1">
      <c r="E11922" s="4" t="str">
        <v/>
      </c>
      <c r="F11922" s="102" t="str">
        <f ca="1">IFERROR(__xludf.DUMMYFUNCTION("IMPORTRANGE(H11922,""IDENTITAS UNIT!D9"")"),"#N/A")</f>
        <v>#N/A</v>
      </c>
      <c r="H11922" s="4" t="str">
        <v/>
      </c>
      <c r="I11922" s="4" t="str">
        <v/>
      </c>
    </row>
    <row r="11923" spans="5:9" ht="16.5" hidden="1">
      <c r="E11923" s="4" t="str">
        <v/>
      </c>
      <c r="F11923" s="102" t="str">
        <f ca="1">IFERROR(__xludf.DUMMYFUNCTION("IMPORTRANGE(H11923,""IDENTITAS UNIT!D9"")"),"#N/A")</f>
        <v>#N/A</v>
      </c>
      <c r="H11923" s="4" t="str">
        <v/>
      </c>
      <c r="I11923" s="4" t="str">
        <v/>
      </c>
    </row>
    <row r="11924" spans="5:9" ht="16.5" hidden="1">
      <c r="E11924" s="4" t="str">
        <v/>
      </c>
      <c r="F11924" s="102" t="str">
        <f ca="1">IFERROR(__xludf.DUMMYFUNCTION("IMPORTRANGE(H11924,""IDENTITAS UNIT!D9"")"),"#N/A")</f>
        <v>#N/A</v>
      </c>
      <c r="H11924" s="4" t="str">
        <v/>
      </c>
      <c r="I11924" s="4" t="str">
        <v/>
      </c>
    </row>
    <row r="11925" spans="5:9" ht="16.5" hidden="1">
      <c r="E11925" s="4" t="str">
        <v/>
      </c>
      <c r="F11925" s="102" t="str">
        <f ca="1">IFERROR(__xludf.DUMMYFUNCTION("IMPORTRANGE(H11925,""IDENTITAS UNIT!D9"")"),"#N/A")</f>
        <v>#N/A</v>
      </c>
      <c r="H11925" s="4" t="str">
        <v/>
      </c>
      <c r="I11925" s="4" t="str">
        <v/>
      </c>
    </row>
    <row r="11926" spans="5:9" ht="16.5" hidden="1">
      <c r="E11926" s="4" t="str">
        <v/>
      </c>
      <c r="F11926" s="102" t="str">
        <f ca="1">IFERROR(__xludf.DUMMYFUNCTION("IMPORTRANGE(H11926,""IDENTITAS UNIT!D9"")"),"#N/A")</f>
        <v>#N/A</v>
      </c>
      <c r="H11926" s="4" t="str">
        <v/>
      </c>
      <c r="I11926" s="4" t="str">
        <v/>
      </c>
    </row>
    <row r="11927" spans="5:9" ht="16.5" hidden="1">
      <c r="E11927" s="4" t="str">
        <v/>
      </c>
      <c r="F11927" s="102" t="str">
        <f ca="1">IFERROR(__xludf.DUMMYFUNCTION("IMPORTRANGE(H11927,""IDENTITAS UNIT!D9"")"),"#N/A")</f>
        <v>#N/A</v>
      </c>
      <c r="H11927" s="4" t="str">
        <v/>
      </c>
      <c r="I11927" s="4" t="str">
        <v/>
      </c>
    </row>
    <row r="11928" spans="5:9" ht="16.5" hidden="1">
      <c r="E11928" s="4" t="str">
        <v/>
      </c>
      <c r="F11928" s="102" t="str">
        <f ca="1">IFERROR(__xludf.DUMMYFUNCTION("IMPORTRANGE(H11928,""IDENTITAS UNIT!D9"")"),"#N/A")</f>
        <v>#N/A</v>
      </c>
      <c r="H11928" s="4" t="str">
        <v/>
      </c>
      <c r="I11928" s="4" t="str">
        <v/>
      </c>
    </row>
    <row r="11929" spans="5:9" ht="16.5" hidden="1">
      <c r="E11929" s="4" t="str">
        <v/>
      </c>
      <c r="F11929" s="102" t="str">
        <f ca="1">IFERROR(__xludf.DUMMYFUNCTION("IMPORTRANGE(H11929,""IDENTITAS UNIT!D9"")"),"#N/A")</f>
        <v>#N/A</v>
      </c>
      <c r="H11929" s="4" t="str">
        <v/>
      </c>
      <c r="I11929" s="4" t="str">
        <v/>
      </c>
    </row>
    <row r="11930" spans="5:9" ht="16.5" hidden="1">
      <c r="E11930" s="4" t="str">
        <v/>
      </c>
      <c r="F11930" s="102" t="str">
        <f ca="1">IFERROR(__xludf.DUMMYFUNCTION("IMPORTRANGE(H11930,""IDENTITAS UNIT!D9"")"),"#N/A")</f>
        <v>#N/A</v>
      </c>
      <c r="H11930" s="4" t="str">
        <v/>
      </c>
      <c r="I11930" s="4" t="str">
        <v/>
      </c>
    </row>
    <row r="11931" spans="5:9" ht="16.5" hidden="1">
      <c r="E11931" s="4" t="str">
        <v/>
      </c>
      <c r="F11931" s="102" t="str">
        <f ca="1">IFERROR(__xludf.DUMMYFUNCTION("IMPORTRANGE(H11931,""IDENTITAS UNIT!D9"")"),"#N/A")</f>
        <v>#N/A</v>
      </c>
      <c r="H11931" s="4" t="str">
        <v/>
      </c>
      <c r="I11931" s="4" t="str">
        <v/>
      </c>
    </row>
    <row r="11932" spans="5:9" ht="16.5" hidden="1">
      <c r="E11932" s="4" t="str">
        <v/>
      </c>
      <c r="F11932" s="102" t="str">
        <f ca="1">IFERROR(__xludf.DUMMYFUNCTION("IMPORTRANGE(H11932,""IDENTITAS UNIT!D9"")"),"#N/A")</f>
        <v>#N/A</v>
      </c>
      <c r="H11932" s="4" t="str">
        <v/>
      </c>
      <c r="I11932" s="4" t="str">
        <v/>
      </c>
    </row>
    <row r="11933" spans="5:9" ht="16.5" hidden="1">
      <c r="E11933" s="4" t="str">
        <v/>
      </c>
      <c r="F11933" s="102" t="str">
        <f ca="1">IFERROR(__xludf.DUMMYFUNCTION("IMPORTRANGE(H11933,""IDENTITAS UNIT!D9"")"),"#N/A")</f>
        <v>#N/A</v>
      </c>
      <c r="H11933" s="4" t="str">
        <v/>
      </c>
      <c r="I11933" s="4" t="str">
        <v/>
      </c>
    </row>
    <row r="11934" spans="5:9" ht="16.5" hidden="1">
      <c r="E11934" s="4" t="str">
        <v/>
      </c>
      <c r="F11934" s="102" t="str">
        <f ca="1">IFERROR(__xludf.DUMMYFUNCTION("IMPORTRANGE(H11934,""IDENTITAS UNIT!D9"")"),"#N/A")</f>
        <v>#N/A</v>
      </c>
      <c r="H11934" s="4" t="str">
        <v/>
      </c>
      <c r="I11934" s="4" t="str">
        <v/>
      </c>
    </row>
    <row r="11935" spans="5:9" ht="16.5" hidden="1">
      <c r="E11935" s="4" t="str">
        <v/>
      </c>
      <c r="F11935" s="102" t="str">
        <f ca="1">IFERROR(__xludf.DUMMYFUNCTION("IMPORTRANGE(H11935,""IDENTITAS UNIT!D9"")"),"#N/A")</f>
        <v>#N/A</v>
      </c>
      <c r="H11935" s="4" t="str">
        <v/>
      </c>
      <c r="I11935" s="4" t="str">
        <v/>
      </c>
    </row>
    <row r="11936" spans="5:9" ht="16.5" hidden="1">
      <c r="E11936" s="4" t="str">
        <v/>
      </c>
      <c r="F11936" s="102" t="str">
        <f ca="1">IFERROR(__xludf.DUMMYFUNCTION("IMPORTRANGE(H11936,""IDENTITAS UNIT!D9"")"),"#N/A")</f>
        <v>#N/A</v>
      </c>
      <c r="H11936" s="4" t="str">
        <v/>
      </c>
      <c r="I11936" s="4" t="str">
        <v/>
      </c>
    </row>
    <row r="11937" spans="5:9" ht="16.5" hidden="1">
      <c r="E11937" s="4" t="str">
        <v/>
      </c>
      <c r="F11937" s="102" t="str">
        <f ca="1">IFERROR(__xludf.DUMMYFUNCTION("IMPORTRANGE(H11937,""IDENTITAS UNIT!D9"")"),"#N/A")</f>
        <v>#N/A</v>
      </c>
      <c r="H11937" s="4" t="str">
        <v/>
      </c>
      <c r="I11937" s="4" t="str">
        <v/>
      </c>
    </row>
    <row r="11938" spans="5:9" ht="16.5" hidden="1">
      <c r="E11938" s="4" t="str">
        <v/>
      </c>
      <c r="F11938" s="102" t="str">
        <f ca="1">IFERROR(__xludf.DUMMYFUNCTION("IMPORTRANGE(H11938,""IDENTITAS UNIT!D9"")"),"#N/A")</f>
        <v>#N/A</v>
      </c>
      <c r="H11938" s="4" t="str">
        <v/>
      </c>
      <c r="I11938" s="4" t="str">
        <v/>
      </c>
    </row>
    <row r="11939" spans="5:9" ht="16.5" hidden="1">
      <c r="E11939" s="4" t="str">
        <v/>
      </c>
      <c r="F11939" s="102" t="str">
        <f ca="1">IFERROR(__xludf.DUMMYFUNCTION("IMPORTRANGE(H11939,""IDENTITAS UNIT!D9"")"),"#N/A")</f>
        <v>#N/A</v>
      </c>
      <c r="H11939" s="4" t="str">
        <v/>
      </c>
      <c r="I11939" s="4" t="str">
        <v/>
      </c>
    </row>
    <row r="11940" spans="5:9" ht="16.5" hidden="1">
      <c r="E11940" s="4" t="str">
        <v/>
      </c>
      <c r="F11940" s="102" t="str">
        <f ca="1">IFERROR(__xludf.DUMMYFUNCTION("IMPORTRANGE(H11940,""IDENTITAS UNIT!D9"")"),"#N/A")</f>
        <v>#N/A</v>
      </c>
      <c r="H11940" s="4" t="str">
        <v/>
      </c>
      <c r="I11940" s="4" t="str">
        <v/>
      </c>
    </row>
    <row r="11941" spans="5:9" ht="16.5" hidden="1">
      <c r="E11941" s="4" t="str">
        <v/>
      </c>
      <c r="F11941" s="102" t="str">
        <f ca="1">IFERROR(__xludf.DUMMYFUNCTION("IMPORTRANGE(H11941,""IDENTITAS UNIT!D9"")"),"#N/A")</f>
        <v>#N/A</v>
      </c>
      <c r="H11941" s="4" t="str">
        <v/>
      </c>
      <c r="I11941" s="4" t="str">
        <v/>
      </c>
    </row>
    <row r="11942" spans="5:9" ht="16.5" hidden="1">
      <c r="E11942" s="4" t="str">
        <v/>
      </c>
      <c r="F11942" s="102" t="str">
        <f ca="1">IFERROR(__xludf.DUMMYFUNCTION("IMPORTRANGE(H11942,""IDENTITAS UNIT!D9"")"),"#N/A")</f>
        <v>#N/A</v>
      </c>
      <c r="H11942" s="4" t="str">
        <v/>
      </c>
      <c r="I11942" s="4" t="str">
        <v/>
      </c>
    </row>
    <row r="11943" spans="5:9" ht="16.5" hidden="1">
      <c r="E11943" s="4" t="str">
        <v/>
      </c>
      <c r="F11943" s="102" t="str">
        <f ca="1">IFERROR(__xludf.DUMMYFUNCTION("IMPORTRANGE(H11943,""IDENTITAS UNIT!D9"")"),"#N/A")</f>
        <v>#N/A</v>
      </c>
      <c r="H11943" s="4" t="str">
        <v/>
      </c>
      <c r="I11943" s="4" t="str">
        <v/>
      </c>
    </row>
    <row r="11944" spans="5:9" ht="16.5" hidden="1">
      <c r="E11944" s="4" t="str">
        <v/>
      </c>
      <c r="F11944" s="102" t="str">
        <f ca="1">IFERROR(__xludf.DUMMYFUNCTION("IMPORTRANGE(H11944,""IDENTITAS UNIT!D9"")"),"#N/A")</f>
        <v>#N/A</v>
      </c>
      <c r="H11944" s="4" t="str">
        <v/>
      </c>
      <c r="I11944" s="4" t="str">
        <v/>
      </c>
    </row>
    <row r="11945" spans="5:9" ht="16.5" hidden="1">
      <c r="E11945" s="4" t="str">
        <v/>
      </c>
      <c r="F11945" s="102" t="str">
        <f ca="1">IFERROR(__xludf.DUMMYFUNCTION("IMPORTRANGE(H11945,""IDENTITAS UNIT!D9"")"),"#N/A")</f>
        <v>#N/A</v>
      </c>
      <c r="H11945" s="4" t="str">
        <v/>
      </c>
      <c r="I11945" s="4" t="str">
        <v/>
      </c>
    </row>
    <row r="11946" spans="5:9" ht="16.5" hidden="1">
      <c r="E11946" s="4" t="str">
        <v/>
      </c>
      <c r="F11946" s="102" t="str">
        <f ca="1">IFERROR(__xludf.DUMMYFUNCTION("IMPORTRANGE(H11946,""IDENTITAS UNIT!D9"")"),"#N/A")</f>
        <v>#N/A</v>
      </c>
      <c r="H11946" s="4" t="str">
        <v/>
      </c>
      <c r="I11946" s="4" t="str">
        <v/>
      </c>
    </row>
    <row r="11947" spans="5:9" ht="16.5" hidden="1">
      <c r="E11947" s="4" t="str">
        <v/>
      </c>
      <c r="F11947" s="102" t="str">
        <f ca="1">IFERROR(__xludf.DUMMYFUNCTION("IMPORTRANGE(H11947,""IDENTITAS UNIT!D9"")"),"#N/A")</f>
        <v>#N/A</v>
      </c>
      <c r="H11947" s="4" t="str">
        <v/>
      </c>
      <c r="I11947" s="4" t="str">
        <v/>
      </c>
    </row>
    <row r="11948" spans="5:9" ht="16.5" hidden="1">
      <c r="E11948" s="4" t="str">
        <v/>
      </c>
      <c r="F11948" s="102" t="str">
        <f ca="1">IFERROR(__xludf.DUMMYFUNCTION("IMPORTRANGE(H11948,""IDENTITAS UNIT!D9"")"),"#N/A")</f>
        <v>#N/A</v>
      </c>
      <c r="H11948" s="4" t="str">
        <v/>
      </c>
      <c r="I11948" s="4" t="str">
        <v/>
      </c>
    </row>
    <row r="11949" spans="5:9" ht="16.5" hidden="1">
      <c r="E11949" s="4" t="str">
        <v/>
      </c>
      <c r="F11949" s="102" t="str">
        <f ca="1">IFERROR(__xludf.DUMMYFUNCTION("IMPORTRANGE(H11949,""IDENTITAS UNIT!D9"")"),"#N/A")</f>
        <v>#N/A</v>
      </c>
      <c r="H11949" s="4" t="str">
        <v/>
      </c>
      <c r="I11949" s="4" t="str">
        <v/>
      </c>
    </row>
    <row r="11950" spans="5:9" ht="16.5" hidden="1">
      <c r="E11950" s="4" t="str">
        <v/>
      </c>
      <c r="F11950" s="102" t="str">
        <f ca="1">IFERROR(__xludf.DUMMYFUNCTION("IMPORTRANGE(H11950,""IDENTITAS UNIT!D9"")"),"#N/A")</f>
        <v>#N/A</v>
      </c>
      <c r="H11950" s="4" t="str">
        <v/>
      </c>
      <c r="I11950" s="4" t="str">
        <v/>
      </c>
    </row>
    <row r="11951" spans="5:9" ht="16.5" hidden="1">
      <c r="E11951" s="4" t="str">
        <v/>
      </c>
      <c r="F11951" s="102" t="str">
        <f ca="1">IFERROR(__xludf.DUMMYFUNCTION("IMPORTRANGE(H11951,""IDENTITAS UNIT!D9"")"),"#N/A")</f>
        <v>#N/A</v>
      </c>
      <c r="H11951" s="4" t="str">
        <v/>
      </c>
      <c r="I11951" s="4" t="str">
        <v/>
      </c>
    </row>
    <row r="11952" spans="5:9" ht="16.5" hidden="1">
      <c r="E11952" s="4" t="str">
        <v/>
      </c>
      <c r="F11952" s="102" t="str">
        <f ca="1">IFERROR(__xludf.DUMMYFUNCTION("IMPORTRANGE(H11952,""IDENTITAS UNIT!D9"")"),"#N/A")</f>
        <v>#N/A</v>
      </c>
      <c r="H11952" s="4" t="str">
        <v/>
      </c>
      <c r="I11952" s="4" t="str">
        <v/>
      </c>
    </row>
    <row r="11953" spans="5:9" ht="16.5" hidden="1">
      <c r="E11953" s="4" t="str">
        <v/>
      </c>
      <c r="F11953" s="102" t="str">
        <f ca="1">IFERROR(__xludf.DUMMYFUNCTION("IMPORTRANGE(H11953,""IDENTITAS UNIT!D9"")"),"#N/A")</f>
        <v>#N/A</v>
      </c>
      <c r="H11953" s="4" t="str">
        <v/>
      </c>
      <c r="I11953" s="4" t="str">
        <v/>
      </c>
    </row>
    <row r="11954" spans="5:9" ht="16.5" hidden="1">
      <c r="E11954" s="4" t="str">
        <v/>
      </c>
      <c r="F11954" s="102" t="str">
        <f ca="1">IFERROR(__xludf.DUMMYFUNCTION("IMPORTRANGE(H11954,""IDENTITAS UNIT!D9"")"),"#N/A")</f>
        <v>#N/A</v>
      </c>
      <c r="H11954" s="4" t="str">
        <v/>
      </c>
      <c r="I11954" s="4" t="str">
        <v/>
      </c>
    </row>
    <row r="11955" spans="5:9" ht="16.5" hidden="1">
      <c r="E11955" s="4" t="str">
        <v/>
      </c>
      <c r="F11955" s="102" t="str">
        <f ca="1">IFERROR(__xludf.DUMMYFUNCTION("IMPORTRANGE(H11955,""IDENTITAS UNIT!D9"")"),"#N/A")</f>
        <v>#N/A</v>
      </c>
      <c r="H11955" s="4" t="str">
        <v/>
      </c>
      <c r="I11955" s="4" t="str">
        <v/>
      </c>
    </row>
    <row r="11956" spans="5:9" ht="16.5" hidden="1">
      <c r="E11956" s="4" t="str">
        <v/>
      </c>
      <c r="F11956" s="102" t="str">
        <f ca="1">IFERROR(__xludf.DUMMYFUNCTION("IMPORTRANGE(H11956,""IDENTITAS UNIT!D9"")"),"#N/A")</f>
        <v>#N/A</v>
      </c>
      <c r="H11956" s="4" t="str">
        <v/>
      </c>
      <c r="I11956" s="4" t="str">
        <v/>
      </c>
    </row>
    <row r="11957" spans="5:9" ht="16.5" hidden="1">
      <c r="E11957" s="4" t="str">
        <v/>
      </c>
      <c r="F11957" s="102" t="str">
        <f ca="1">IFERROR(__xludf.DUMMYFUNCTION("IMPORTRANGE(H11957,""IDENTITAS UNIT!D9"")"),"#N/A")</f>
        <v>#N/A</v>
      </c>
      <c r="H11957" s="4" t="str">
        <v/>
      </c>
      <c r="I11957" s="4" t="str">
        <v/>
      </c>
    </row>
    <row r="11958" spans="5:9" ht="16.5" hidden="1">
      <c r="E11958" s="4" t="str">
        <v/>
      </c>
      <c r="F11958" s="102" t="str">
        <f ca="1">IFERROR(__xludf.DUMMYFUNCTION("IMPORTRANGE(H11958,""IDENTITAS UNIT!D9"")"),"#N/A")</f>
        <v>#N/A</v>
      </c>
      <c r="H11958" s="4" t="str">
        <v/>
      </c>
      <c r="I11958" s="4" t="str">
        <v/>
      </c>
    </row>
    <row r="11959" spans="5:9" ht="16.5" hidden="1">
      <c r="E11959" s="4" t="str">
        <v/>
      </c>
      <c r="F11959" s="102" t="str">
        <f ca="1">IFERROR(__xludf.DUMMYFUNCTION("IMPORTRANGE(H11959,""IDENTITAS UNIT!D9"")"),"#N/A")</f>
        <v>#N/A</v>
      </c>
      <c r="H11959" s="4" t="str">
        <v/>
      </c>
      <c r="I11959" s="4" t="str">
        <v/>
      </c>
    </row>
    <row r="11960" spans="5:9" ht="16.5" hidden="1">
      <c r="E11960" s="4" t="str">
        <v/>
      </c>
      <c r="F11960" s="102" t="str">
        <f ca="1">IFERROR(__xludf.DUMMYFUNCTION("IMPORTRANGE(H11960,""IDENTITAS UNIT!D9"")"),"#N/A")</f>
        <v>#N/A</v>
      </c>
      <c r="H11960" s="4" t="str">
        <v/>
      </c>
      <c r="I11960" s="4" t="str">
        <v/>
      </c>
    </row>
    <row r="11961" spans="5:9" ht="16.5" hidden="1">
      <c r="E11961" s="4" t="str">
        <v/>
      </c>
      <c r="F11961" s="102" t="str">
        <f ca="1">IFERROR(__xludf.DUMMYFUNCTION("IMPORTRANGE(H11961,""IDENTITAS UNIT!D9"")"),"#N/A")</f>
        <v>#N/A</v>
      </c>
      <c r="H11961" s="4" t="str">
        <v/>
      </c>
      <c r="I11961" s="4" t="str">
        <v/>
      </c>
    </row>
    <row r="11962" spans="5:9" ht="16.5" hidden="1">
      <c r="E11962" s="4" t="str">
        <v/>
      </c>
      <c r="F11962" s="102" t="str">
        <f ca="1">IFERROR(__xludf.DUMMYFUNCTION("IMPORTRANGE(H11962,""IDENTITAS UNIT!D9"")"),"#N/A")</f>
        <v>#N/A</v>
      </c>
      <c r="H11962" s="4" t="str">
        <v/>
      </c>
      <c r="I11962" s="4" t="str">
        <v/>
      </c>
    </row>
    <row r="11963" spans="5:9" ht="16.5" hidden="1">
      <c r="E11963" s="4" t="str">
        <v/>
      </c>
      <c r="F11963" s="102" t="str">
        <f ca="1">IFERROR(__xludf.DUMMYFUNCTION("IMPORTRANGE(H11963,""IDENTITAS UNIT!D9"")"),"#N/A")</f>
        <v>#N/A</v>
      </c>
      <c r="H11963" s="4" t="str">
        <v/>
      </c>
      <c r="I11963" s="4" t="str">
        <v/>
      </c>
    </row>
    <row r="11964" spans="5:9" ht="16.5" hidden="1">
      <c r="E11964" s="4" t="str">
        <v/>
      </c>
      <c r="F11964" s="102" t="str">
        <f ca="1">IFERROR(__xludf.DUMMYFUNCTION("IMPORTRANGE(H11964,""IDENTITAS UNIT!D9"")"),"#N/A")</f>
        <v>#N/A</v>
      </c>
      <c r="H11964" s="4" t="str">
        <v/>
      </c>
      <c r="I11964" s="4" t="str">
        <v/>
      </c>
    </row>
    <row r="11965" spans="5:9" ht="16.5" hidden="1">
      <c r="E11965" s="4" t="str">
        <v/>
      </c>
      <c r="F11965" s="102" t="str">
        <f ca="1">IFERROR(__xludf.DUMMYFUNCTION("IMPORTRANGE(H11965,""IDENTITAS UNIT!D9"")"),"#N/A")</f>
        <v>#N/A</v>
      </c>
      <c r="H11965" s="4" t="str">
        <v/>
      </c>
      <c r="I11965" s="4" t="str">
        <v/>
      </c>
    </row>
    <row r="11966" spans="5:9" ht="16.5" hidden="1">
      <c r="E11966" s="4" t="str">
        <v/>
      </c>
      <c r="F11966" s="102" t="str">
        <f ca="1">IFERROR(__xludf.DUMMYFUNCTION("IMPORTRANGE(H11966,""IDENTITAS UNIT!D9"")"),"#N/A")</f>
        <v>#N/A</v>
      </c>
      <c r="H11966" s="4" t="str">
        <v/>
      </c>
      <c r="I11966" s="4" t="str">
        <v/>
      </c>
    </row>
    <row r="11967" spans="5:9" ht="16.5" hidden="1">
      <c r="E11967" s="4" t="str">
        <v/>
      </c>
      <c r="F11967" s="102" t="str">
        <f ca="1">IFERROR(__xludf.DUMMYFUNCTION("IMPORTRANGE(H11967,""IDENTITAS UNIT!D9"")"),"#N/A")</f>
        <v>#N/A</v>
      </c>
      <c r="H11967" s="4" t="str">
        <v/>
      </c>
      <c r="I11967" s="4" t="str">
        <v/>
      </c>
    </row>
    <row r="11968" spans="5:9" ht="16.5" hidden="1">
      <c r="E11968" s="4" t="str">
        <v/>
      </c>
      <c r="F11968" s="102" t="str">
        <f ca="1">IFERROR(__xludf.DUMMYFUNCTION("IMPORTRANGE(H11968,""IDENTITAS UNIT!D9"")"),"#N/A")</f>
        <v>#N/A</v>
      </c>
      <c r="H11968" s="4" t="str">
        <v/>
      </c>
      <c r="I11968" s="4" t="str">
        <v/>
      </c>
    </row>
    <row r="11969" spans="5:9" ht="16.5" hidden="1">
      <c r="E11969" s="4" t="str">
        <v/>
      </c>
      <c r="F11969" s="102" t="str">
        <f ca="1">IFERROR(__xludf.DUMMYFUNCTION("IMPORTRANGE(H11969,""IDENTITAS UNIT!D9"")"),"#N/A")</f>
        <v>#N/A</v>
      </c>
      <c r="H11969" s="4" t="str">
        <v/>
      </c>
      <c r="I11969" s="4" t="str">
        <v/>
      </c>
    </row>
    <row r="11970" spans="5:9" ht="16.5" hidden="1">
      <c r="E11970" s="4" t="str">
        <v/>
      </c>
      <c r="F11970" s="102" t="str">
        <f ca="1">IFERROR(__xludf.DUMMYFUNCTION("IMPORTRANGE(H11970,""IDENTITAS UNIT!D9"")"),"#N/A")</f>
        <v>#N/A</v>
      </c>
      <c r="H11970" s="4" t="str">
        <v/>
      </c>
      <c r="I11970" s="4" t="str">
        <v/>
      </c>
    </row>
    <row r="11971" spans="5:9" ht="16.5" hidden="1">
      <c r="E11971" s="4" t="str">
        <v/>
      </c>
      <c r="F11971" s="102" t="str">
        <f ca="1">IFERROR(__xludf.DUMMYFUNCTION("IMPORTRANGE(H11971,""IDENTITAS UNIT!D9"")"),"#N/A")</f>
        <v>#N/A</v>
      </c>
      <c r="H11971" s="4" t="str">
        <v/>
      </c>
      <c r="I11971" s="4" t="str">
        <v/>
      </c>
    </row>
    <row r="11972" spans="5:9" ht="16.5" hidden="1">
      <c r="E11972" s="4" t="str">
        <v/>
      </c>
      <c r="F11972" s="102" t="str">
        <f ca="1">IFERROR(__xludf.DUMMYFUNCTION("IMPORTRANGE(H11972,""IDENTITAS UNIT!D9"")"),"#N/A")</f>
        <v>#N/A</v>
      </c>
      <c r="H11972" s="4" t="str">
        <v/>
      </c>
      <c r="I11972" s="4" t="str">
        <v/>
      </c>
    </row>
    <row r="11973" spans="5:9" ht="16.5" hidden="1">
      <c r="E11973" s="4" t="str">
        <v/>
      </c>
      <c r="F11973" s="102" t="str">
        <f ca="1">IFERROR(__xludf.DUMMYFUNCTION("IMPORTRANGE(H11973,""IDENTITAS UNIT!D9"")"),"#N/A")</f>
        <v>#N/A</v>
      </c>
      <c r="H11973" s="4" t="str">
        <v/>
      </c>
      <c r="I11973" s="4" t="str">
        <v/>
      </c>
    </row>
    <row r="11974" spans="5:9" ht="16.5" hidden="1">
      <c r="E11974" s="4" t="str">
        <v/>
      </c>
      <c r="F11974" s="102" t="str">
        <f ca="1">IFERROR(__xludf.DUMMYFUNCTION("IMPORTRANGE(H11974,""IDENTITAS UNIT!D9"")"),"#N/A")</f>
        <v>#N/A</v>
      </c>
      <c r="H11974" s="4" t="str">
        <v/>
      </c>
      <c r="I11974" s="4" t="str">
        <v/>
      </c>
    </row>
    <row r="11975" spans="5:9" ht="16.5" hidden="1">
      <c r="E11975" s="4" t="str">
        <v/>
      </c>
      <c r="F11975" s="102" t="str">
        <f ca="1">IFERROR(__xludf.DUMMYFUNCTION("IMPORTRANGE(H11975,""IDENTITAS UNIT!D9"")"),"#N/A")</f>
        <v>#N/A</v>
      </c>
      <c r="H11975" s="4" t="str">
        <v/>
      </c>
      <c r="I11975" s="4" t="str">
        <v/>
      </c>
    </row>
    <row r="11976" spans="5:9" ht="16.5" hidden="1">
      <c r="E11976" s="4" t="str">
        <v/>
      </c>
      <c r="F11976" s="102" t="str">
        <f ca="1">IFERROR(__xludf.DUMMYFUNCTION("IMPORTRANGE(H11976,""IDENTITAS UNIT!D9"")"),"#N/A")</f>
        <v>#N/A</v>
      </c>
      <c r="H11976" s="4" t="str">
        <v/>
      </c>
      <c r="I11976" s="4" t="str">
        <v/>
      </c>
    </row>
    <row r="11977" spans="5:9" ht="16.5" hidden="1">
      <c r="E11977" s="4" t="str">
        <v/>
      </c>
      <c r="F11977" s="102" t="str">
        <f ca="1">IFERROR(__xludf.DUMMYFUNCTION("IMPORTRANGE(H11977,""IDENTITAS UNIT!D9"")"),"#N/A")</f>
        <v>#N/A</v>
      </c>
      <c r="H11977" s="4" t="str">
        <v/>
      </c>
      <c r="I11977" s="4" t="str">
        <v/>
      </c>
    </row>
    <row r="11978" spans="5:9" ht="16.5" hidden="1">
      <c r="E11978" s="4" t="str">
        <v/>
      </c>
      <c r="F11978" s="102" t="str">
        <f ca="1">IFERROR(__xludf.DUMMYFUNCTION("IMPORTRANGE(H11978,""IDENTITAS UNIT!D9"")"),"#N/A")</f>
        <v>#N/A</v>
      </c>
      <c r="H11978" s="4" t="str">
        <v/>
      </c>
      <c r="I11978" s="4" t="str">
        <v/>
      </c>
    </row>
    <row r="11979" spans="5:9" ht="16.5" hidden="1">
      <c r="E11979" s="4" t="str">
        <v/>
      </c>
      <c r="F11979" s="102" t="str">
        <f ca="1">IFERROR(__xludf.DUMMYFUNCTION("IMPORTRANGE(H11979,""IDENTITAS UNIT!D9"")"),"#N/A")</f>
        <v>#N/A</v>
      </c>
      <c r="H11979" s="4" t="str">
        <v/>
      </c>
      <c r="I11979" s="4" t="str">
        <v/>
      </c>
    </row>
    <row r="11980" spans="5:9" ht="16.5" hidden="1">
      <c r="E11980" s="4" t="str">
        <v/>
      </c>
      <c r="F11980" s="102" t="str">
        <f ca="1">IFERROR(__xludf.DUMMYFUNCTION("IMPORTRANGE(H11980,""IDENTITAS UNIT!D9"")"),"#N/A")</f>
        <v>#N/A</v>
      </c>
      <c r="H11980" s="4" t="str">
        <v/>
      </c>
      <c r="I11980" s="4" t="str">
        <v/>
      </c>
    </row>
    <row r="11981" spans="5:9" ht="16.5" hidden="1">
      <c r="E11981" s="4" t="str">
        <v/>
      </c>
      <c r="F11981" s="102" t="str">
        <f ca="1">IFERROR(__xludf.DUMMYFUNCTION("IMPORTRANGE(H11981,""IDENTITAS UNIT!D9"")"),"#N/A")</f>
        <v>#N/A</v>
      </c>
      <c r="H11981" s="4" t="str">
        <v/>
      </c>
      <c r="I11981" s="4" t="str">
        <v/>
      </c>
    </row>
    <row r="11982" spans="5:9" ht="16.5" hidden="1">
      <c r="E11982" s="4" t="str">
        <v/>
      </c>
      <c r="F11982" s="102" t="str">
        <f ca="1">IFERROR(__xludf.DUMMYFUNCTION("IMPORTRANGE(H11982,""IDENTITAS UNIT!D9"")"),"#N/A")</f>
        <v>#N/A</v>
      </c>
      <c r="H11982" s="4" t="str">
        <v/>
      </c>
      <c r="I11982" s="4" t="str">
        <v/>
      </c>
    </row>
    <row r="11983" spans="5:9" ht="16.5" hidden="1">
      <c r="E11983" s="4" t="str">
        <v/>
      </c>
      <c r="F11983" s="102" t="str">
        <f ca="1">IFERROR(__xludf.DUMMYFUNCTION("IMPORTRANGE(H11983,""IDENTITAS UNIT!D9"")"),"#N/A")</f>
        <v>#N/A</v>
      </c>
      <c r="H11983" s="4" t="str">
        <v/>
      </c>
      <c r="I11983" s="4" t="str">
        <v/>
      </c>
    </row>
    <row r="11984" spans="5:9" ht="16.5" hidden="1">
      <c r="E11984" s="4" t="str">
        <v/>
      </c>
      <c r="F11984" s="102" t="str">
        <f ca="1">IFERROR(__xludf.DUMMYFUNCTION("IMPORTRANGE(H11984,""IDENTITAS UNIT!D9"")"),"#N/A")</f>
        <v>#N/A</v>
      </c>
      <c r="H11984" s="4" t="str">
        <v/>
      </c>
      <c r="I11984" s="4" t="str">
        <v/>
      </c>
    </row>
    <row r="11985" spans="5:9" ht="16.5" hidden="1">
      <c r="E11985" s="4" t="str">
        <v/>
      </c>
      <c r="F11985" s="102" t="str">
        <f ca="1">IFERROR(__xludf.DUMMYFUNCTION("IMPORTRANGE(H11985,""IDENTITAS UNIT!D9"")"),"#N/A")</f>
        <v>#N/A</v>
      </c>
      <c r="H11985" s="4" t="str">
        <v/>
      </c>
      <c r="I11985" s="4" t="str">
        <v/>
      </c>
    </row>
    <row r="11986" spans="5:9" ht="16.5" hidden="1">
      <c r="E11986" s="4" t="str">
        <v/>
      </c>
      <c r="F11986" s="102" t="str">
        <f ca="1">IFERROR(__xludf.DUMMYFUNCTION("IMPORTRANGE(H11986,""IDENTITAS UNIT!D9"")"),"#N/A")</f>
        <v>#N/A</v>
      </c>
      <c r="H11986" s="4" t="str">
        <v/>
      </c>
      <c r="I11986" s="4" t="str">
        <v/>
      </c>
    </row>
    <row r="11987" spans="5:9" ht="16.5" hidden="1">
      <c r="E11987" s="4" t="str">
        <v/>
      </c>
      <c r="F11987" s="102" t="str">
        <f ca="1">IFERROR(__xludf.DUMMYFUNCTION("IMPORTRANGE(H11987,""IDENTITAS UNIT!D9"")"),"#N/A")</f>
        <v>#N/A</v>
      </c>
      <c r="H11987" s="4" t="str">
        <v/>
      </c>
      <c r="I11987" s="4" t="str">
        <v/>
      </c>
    </row>
    <row r="11988" spans="5:9" ht="16.5" hidden="1">
      <c r="E11988" s="4" t="str">
        <v/>
      </c>
      <c r="F11988" s="102" t="str">
        <f ca="1">IFERROR(__xludf.DUMMYFUNCTION("IMPORTRANGE(H11988,""IDENTITAS UNIT!D9"")"),"#N/A")</f>
        <v>#N/A</v>
      </c>
      <c r="H11988" s="4" t="str">
        <v/>
      </c>
      <c r="I11988" s="4" t="str">
        <v/>
      </c>
    </row>
    <row r="11989" spans="5:9" ht="16.5" hidden="1">
      <c r="E11989" s="4" t="str">
        <v/>
      </c>
      <c r="F11989" s="102" t="str">
        <f ca="1">IFERROR(__xludf.DUMMYFUNCTION("IMPORTRANGE(H11989,""IDENTITAS UNIT!D9"")"),"#N/A")</f>
        <v>#N/A</v>
      </c>
      <c r="H11989" s="4" t="str">
        <v/>
      </c>
      <c r="I11989" s="4" t="str">
        <v/>
      </c>
    </row>
    <row r="11990" spans="5:9" ht="16.5" hidden="1">
      <c r="E11990" s="4" t="str">
        <v/>
      </c>
      <c r="F11990" s="102" t="str">
        <f ca="1">IFERROR(__xludf.DUMMYFUNCTION("IMPORTRANGE(H11990,""IDENTITAS UNIT!D9"")"),"#N/A")</f>
        <v>#N/A</v>
      </c>
      <c r="H11990" s="4" t="str">
        <v/>
      </c>
      <c r="I11990" s="4" t="str">
        <v/>
      </c>
    </row>
    <row r="11991" spans="5:9" ht="16.5" hidden="1">
      <c r="E11991" s="4" t="str">
        <v/>
      </c>
      <c r="F11991" s="102" t="str">
        <f ca="1">IFERROR(__xludf.DUMMYFUNCTION("IMPORTRANGE(H11991,""IDENTITAS UNIT!D9"")"),"#N/A")</f>
        <v>#N/A</v>
      </c>
      <c r="H11991" s="4" t="str">
        <v/>
      </c>
      <c r="I11991" s="4" t="str">
        <v/>
      </c>
    </row>
    <row r="11992" spans="5:9" ht="16.5" hidden="1">
      <c r="E11992" s="4" t="str">
        <v/>
      </c>
      <c r="F11992" s="102" t="str">
        <f ca="1">IFERROR(__xludf.DUMMYFUNCTION("IMPORTRANGE(H11992,""IDENTITAS UNIT!D9"")"),"#N/A")</f>
        <v>#N/A</v>
      </c>
      <c r="H11992" s="4" t="str">
        <v/>
      </c>
      <c r="I11992" s="4" t="str">
        <v/>
      </c>
    </row>
    <row r="11993" spans="5:9" ht="16.5" hidden="1">
      <c r="E11993" s="4" t="str">
        <v/>
      </c>
      <c r="F11993" s="102" t="str">
        <f ca="1">IFERROR(__xludf.DUMMYFUNCTION("IMPORTRANGE(H11993,""IDENTITAS UNIT!D9"")"),"#N/A")</f>
        <v>#N/A</v>
      </c>
      <c r="H11993" s="4" t="str">
        <v/>
      </c>
      <c r="I11993" s="4" t="str">
        <v/>
      </c>
    </row>
    <row r="11994" spans="5:9" ht="16.5" hidden="1">
      <c r="E11994" s="4" t="str">
        <v/>
      </c>
      <c r="F11994" s="102" t="str">
        <f ca="1">IFERROR(__xludf.DUMMYFUNCTION("IMPORTRANGE(H11994,""IDENTITAS UNIT!D9"")"),"#N/A")</f>
        <v>#N/A</v>
      </c>
      <c r="H11994" s="4" t="str">
        <v/>
      </c>
      <c r="I11994" s="4" t="str">
        <v/>
      </c>
    </row>
    <row r="11995" spans="5:9" ht="16.5" hidden="1">
      <c r="E11995" s="4" t="str">
        <v/>
      </c>
      <c r="F11995" s="102" t="str">
        <f ca="1">IFERROR(__xludf.DUMMYFUNCTION("IMPORTRANGE(H11995,""IDENTITAS UNIT!D9"")"),"#N/A")</f>
        <v>#N/A</v>
      </c>
      <c r="H11995" s="4" t="str">
        <v/>
      </c>
      <c r="I11995" s="4" t="str">
        <v/>
      </c>
    </row>
    <row r="11996" spans="5:9" ht="16.5" hidden="1">
      <c r="E11996" s="4" t="str">
        <v/>
      </c>
      <c r="F11996" s="102" t="str">
        <f ca="1">IFERROR(__xludf.DUMMYFUNCTION("IMPORTRANGE(H11996,""IDENTITAS UNIT!D9"")"),"#N/A")</f>
        <v>#N/A</v>
      </c>
      <c r="H11996" s="4" t="str">
        <v/>
      </c>
      <c r="I11996" s="4" t="str">
        <v/>
      </c>
    </row>
    <row r="11997" spans="5:9" ht="16.5" hidden="1">
      <c r="E11997" s="4" t="str">
        <v/>
      </c>
      <c r="F11997" s="102" t="str">
        <f ca="1">IFERROR(__xludf.DUMMYFUNCTION("IMPORTRANGE(H11997,""IDENTITAS UNIT!D9"")"),"#N/A")</f>
        <v>#N/A</v>
      </c>
      <c r="H11997" s="4" t="str">
        <v/>
      </c>
      <c r="I11997" s="4" t="str">
        <v/>
      </c>
    </row>
    <row r="11998" spans="5:9" ht="16.5" hidden="1">
      <c r="E11998" s="4" t="str">
        <v/>
      </c>
      <c r="F11998" s="102" t="str">
        <f ca="1">IFERROR(__xludf.DUMMYFUNCTION("IMPORTRANGE(H11998,""IDENTITAS UNIT!D9"")"),"#N/A")</f>
        <v>#N/A</v>
      </c>
      <c r="H11998" s="4" t="str">
        <v/>
      </c>
      <c r="I11998" s="4" t="str">
        <v/>
      </c>
    </row>
    <row r="11999" spans="5:9" ht="16.5" hidden="1">
      <c r="E11999" s="4" t="str">
        <v/>
      </c>
      <c r="F11999" s="102" t="str">
        <f ca="1">IFERROR(__xludf.DUMMYFUNCTION("IMPORTRANGE(H11999,""IDENTITAS UNIT!D9"")"),"#N/A")</f>
        <v>#N/A</v>
      </c>
      <c r="H11999" s="4" t="str">
        <v/>
      </c>
      <c r="I11999" s="4" t="str">
        <v/>
      </c>
    </row>
    <row r="12000" spans="5:9" ht="16.5" hidden="1">
      <c r="E12000" s="4" t="str">
        <v/>
      </c>
      <c r="F12000" s="102" t="str">
        <f ca="1">IFERROR(__xludf.DUMMYFUNCTION("IMPORTRANGE(H12000,""IDENTITAS UNIT!D9"")"),"#N/A")</f>
        <v>#N/A</v>
      </c>
      <c r="H12000" s="4" t="str">
        <v/>
      </c>
      <c r="I12000" s="4" t="str">
        <v/>
      </c>
    </row>
    <row r="12001" spans="5:9" ht="16.5" hidden="1">
      <c r="E12001" s="4" t="str">
        <v/>
      </c>
      <c r="F12001" s="102" t="str">
        <f ca="1">IFERROR(__xludf.DUMMYFUNCTION("IMPORTRANGE(H12001,""IDENTITAS UNIT!D9"")"),"#N/A")</f>
        <v>#N/A</v>
      </c>
      <c r="H12001" s="4" t="str">
        <v/>
      </c>
      <c r="I12001" s="4" t="str">
        <v/>
      </c>
    </row>
    <row r="12002" spans="5:9" ht="16.5" hidden="1">
      <c r="E12002" s="4" t="str">
        <v/>
      </c>
      <c r="F12002" s="102" t="str">
        <f ca="1">IFERROR(__xludf.DUMMYFUNCTION("IMPORTRANGE(H12002,""IDENTITAS UNIT!D9"")"),"#N/A")</f>
        <v>#N/A</v>
      </c>
      <c r="H12002" s="4" t="str">
        <v/>
      </c>
      <c r="I12002" s="4" t="str">
        <v/>
      </c>
    </row>
    <row r="12003" spans="5:9" ht="16.5" hidden="1">
      <c r="E12003" s="4" t="str">
        <v/>
      </c>
      <c r="F12003" s="102" t="str">
        <f ca="1">IFERROR(__xludf.DUMMYFUNCTION("IMPORTRANGE(H12003,""IDENTITAS UNIT!D9"")"),"#N/A")</f>
        <v>#N/A</v>
      </c>
      <c r="H12003" s="4" t="str">
        <v/>
      </c>
      <c r="I12003" s="4" t="str">
        <v/>
      </c>
    </row>
    <row r="12004" spans="5:9" ht="16.5" hidden="1">
      <c r="E12004" s="4" t="str">
        <v/>
      </c>
      <c r="F12004" s="102" t="str">
        <f ca="1">IFERROR(__xludf.DUMMYFUNCTION("IMPORTRANGE(H12004,""IDENTITAS UNIT!D9"")"),"#N/A")</f>
        <v>#N/A</v>
      </c>
      <c r="H12004" s="4" t="str">
        <v/>
      </c>
      <c r="I12004" s="4" t="str">
        <v/>
      </c>
    </row>
    <row r="12005" spans="5:9" ht="16.5" hidden="1">
      <c r="E12005" s="4" t="str">
        <v/>
      </c>
      <c r="F12005" s="102" t="str">
        <f ca="1">IFERROR(__xludf.DUMMYFUNCTION("IMPORTRANGE(H12005,""IDENTITAS UNIT!D9"")"),"#N/A")</f>
        <v>#N/A</v>
      </c>
      <c r="H12005" s="4" t="str">
        <v/>
      </c>
      <c r="I12005" s="4" t="str">
        <v/>
      </c>
    </row>
    <row r="12006" spans="5:9" ht="16.5" hidden="1">
      <c r="E12006" s="4" t="str">
        <v/>
      </c>
      <c r="F12006" s="102" t="str">
        <f ca="1">IFERROR(__xludf.DUMMYFUNCTION("IMPORTRANGE(H12006,""IDENTITAS UNIT!D9"")"),"#N/A")</f>
        <v>#N/A</v>
      </c>
      <c r="H12006" s="4" t="str">
        <v/>
      </c>
      <c r="I12006" s="4" t="str">
        <v/>
      </c>
    </row>
    <row r="12007" spans="5:9" ht="16.5" hidden="1">
      <c r="E12007" s="4" t="str">
        <v/>
      </c>
      <c r="F12007" s="102" t="str">
        <f ca="1">IFERROR(__xludf.DUMMYFUNCTION("IMPORTRANGE(H12007,""IDENTITAS UNIT!D9"")"),"#N/A")</f>
        <v>#N/A</v>
      </c>
      <c r="H12007" s="4" t="str">
        <v/>
      </c>
      <c r="I12007" s="4" t="str">
        <v/>
      </c>
    </row>
    <row r="12008" spans="5:9" ht="16.5" hidden="1">
      <c r="E12008" s="4" t="str">
        <v/>
      </c>
      <c r="F12008" s="102" t="str">
        <f ca="1">IFERROR(__xludf.DUMMYFUNCTION("IMPORTRANGE(H12008,""IDENTITAS UNIT!D9"")"),"#N/A")</f>
        <v>#N/A</v>
      </c>
      <c r="H12008" s="4" t="str">
        <v/>
      </c>
      <c r="I12008" s="4" t="str">
        <v/>
      </c>
    </row>
    <row r="12009" spans="5:9" ht="16.5" hidden="1">
      <c r="E12009" s="4" t="str">
        <v/>
      </c>
      <c r="F12009" s="102" t="str">
        <f ca="1">IFERROR(__xludf.DUMMYFUNCTION("IMPORTRANGE(H12009,""IDENTITAS UNIT!D9"")"),"#N/A")</f>
        <v>#N/A</v>
      </c>
      <c r="H12009" s="4" t="str">
        <v/>
      </c>
      <c r="I12009" s="4" t="str">
        <v/>
      </c>
    </row>
    <row r="12010" spans="5:9" ht="16.5" hidden="1">
      <c r="E12010" s="4" t="str">
        <v/>
      </c>
      <c r="F12010" s="102" t="str">
        <f ca="1">IFERROR(__xludf.DUMMYFUNCTION("IMPORTRANGE(H12010,""IDENTITAS UNIT!D9"")"),"#N/A")</f>
        <v>#N/A</v>
      </c>
      <c r="H12010" s="4" t="str">
        <v/>
      </c>
      <c r="I12010" s="4" t="str">
        <v/>
      </c>
    </row>
    <row r="12011" spans="5:9" ht="16.5" hidden="1">
      <c r="E12011" s="4" t="str">
        <v/>
      </c>
      <c r="F12011" s="102" t="str">
        <f ca="1">IFERROR(__xludf.DUMMYFUNCTION("IMPORTRANGE(H12011,""IDENTITAS UNIT!D9"")"),"#N/A")</f>
        <v>#N/A</v>
      </c>
      <c r="H12011" s="4" t="str">
        <v/>
      </c>
      <c r="I12011" s="4" t="str">
        <v/>
      </c>
    </row>
    <row r="12012" spans="5:9" ht="16.5" hidden="1">
      <c r="E12012" s="4" t="str">
        <v/>
      </c>
      <c r="F12012" s="102" t="str">
        <f ca="1">IFERROR(__xludf.DUMMYFUNCTION("IMPORTRANGE(H12012,""IDENTITAS UNIT!D9"")"),"#N/A")</f>
        <v>#N/A</v>
      </c>
      <c r="H12012" s="4" t="str">
        <v/>
      </c>
      <c r="I12012" s="4" t="str">
        <v/>
      </c>
    </row>
    <row r="12013" spans="5:9" ht="16.5" hidden="1">
      <c r="E12013" s="4" t="str">
        <v/>
      </c>
      <c r="F12013" s="102" t="str">
        <f ca="1">IFERROR(__xludf.DUMMYFUNCTION("IMPORTRANGE(H12013,""IDENTITAS UNIT!D9"")"),"#N/A")</f>
        <v>#N/A</v>
      </c>
      <c r="H12013" s="4" t="str">
        <v/>
      </c>
      <c r="I12013" s="4" t="str">
        <v/>
      </c>
    </row>
    <row r="12014" spans="5:9" ht="16.5" hidden="1">
      <c r="E12014" s="4" t="str">
        <v/>
      </c>
      <c r="F12014" s="102" t="str">
        <f ca="1">IFERROR(__xludf.DUMMYFUNCTION("IMPORTRANGE(H12014,""IDENTITAS UNIT!D9"")"),"#N/A")</f>
        <v>#N/A</v>
      </c>
      <c r="H12014" s="4" t="str">
        <v/>
      </c>
      <c r="I12014" s="4" t="str">
        <v/>
      </c>
    </row>
    <row r="12015" spans="5:9" ht="16.5" hidden="1">
      <c r="E12015" s="4" t="str">
        <v/>
      </c>
      <c r="F12015" s="102" t="str">
        <f ca="1">IFERROR(__xludf.DUMMYFUNCTION("IMPORTRANGE(H12015,""IDENTITAS UNIT!D9"")"),"#N/A")</f>
        <v>#N/A</v>
      </c>
      <c r="H12015" s="4" t="str">
        <v/>
      </c>
      <c r="I12015" s="4" t="str">
        <v/>
      </c>
    </row>
    <row r="12016" spans="5:9" ht="16.5" hidden="1">
      <c r="E12016" s="4" t="str">
        <v/>
      </c>
      <c r="F12016" s="102" t="str">
        <f ca="1">IFERROR(__xludf.DUMMYFUNCTION("IMPORTRANGE(H12016,""IDENTITAS UNIT!D9"")"),"#N/A")</f>
        <v>#N/A</v>
      </c>
      <c r="H12016" s="4" t="str">
        <v/>
      </c>
      <c r="I12016" s="4" t="str">
        <v/>
      </c>
    </row>
    <row r="12017" spans="5:9" ht="16.5" hidden="1">
      <c r="E12017" s="4" t="str">
        <v/>
      </c>
      <c r="F12017" s="102" t="str">
        <f ca="1">IFERROR(__xludf.DUMMYFUNCTION("IMPORTRANGE(H12017,""IDENTITAS UNIT!D9"")"),"#N/A")</f>
        <v>#N/A</v>
      </c>
      <c r="H12017" s="4" t="str">
        <v/>
      </c>
      <c r="I12017" s="4" t="str">
        <v/>
      </c>
    </row>
    <row r="12018" spans="5:9" ht="16.5" hidden="1">
      <c r="E12018" s="4" t="str">
        <v/>
      </c>
      <c r="F12018" s="102" t="str">
        <f ca="1">IFERROR(__xludf.DUMMYFUNCTION("IMPORTRANGE(H12018,""IDENTITAS UNIT!D9"")"),"#N/A")</f>
        <v>#N/A</v>
      </c>
      <c r="H12018" s="4" t="str">
        <v/>
      </c>
      <c r="I12018" s="4" t="str">
        <v/>
      </c>
    </row>
    <row r="12019" spans="5:9" ht="16.5" hidden="1">
      <c r="E12019" s="4" t="str">
        <v/>
      </c>
      <c r="F12019" s="102" t="str">
        <f ca="1">IFERROR(__xludf.DUMMYFUNCTION("IMPORTRANGE(H12019,""IDENTITAS UNIT!D9"")"),"#N/A")</f>
        <v>#N/A</v>
      </c>
      <c r="H12019" s="4" t="str">
        <v/>
      </c>
      <c r="I12019" s="4" t="str">
        <v/>
      </c>
    </row>
    <row r="12020" spans="5:9" ht="16.5" hidden="1">
      <c r="E12020" s="4" t="str">
        <v/>
      </c>
      <c r="F12020" s="102" t="str">
        <f ca="1">IFERROR(__xludf.DUMMYFUNCTION("IMPORTRANGE(H12020,""IDENTITAS UNIT!D9"")"),"#N/A")</f>
        <v>#N/A</v>
      </c>
      <c r="H12020" s="4" t="str">
        <v/>
      </c>
      <c r="I12020" s="4" t="str">
        <v/>
      </c>
    </row>
    <row r="12021" spans="5:9" ht="16.5" hidden="1">
      <c r="E12021" s="4" t="str">
        <v/>
      </c>
      <c r="F12021" s="102" t="str">
        <f ca="1">IFERROR(__xludf.DUMMYFUNCTION("IMPORTRANGE(H12021,""IDENTITAS UNIT!D9"")"),"#N/A")</f>
        <v>#N/A</v>
      </c>
      <c r="H12021" s="4" t="str">
        <v/>
      </c>
      <c r="I12021" s="4" t="str">
        <v/>
      </c>
    </row>
    <row r="12022" spans="5:9" ht="16.5" hidden="1">
      <c r="E12022" s="4" t="str">
        <v/>
      </c>
      <c r="F12022" s="102" t="str">
        <f ca="1">IFERROR(__xludf.DUMMYFUNCTION("IMPORTRANGE(H12022,""IDENTITAS UNIT!D9"")"),"#N/A")</f>
        <v>#N/A</v>
      </c>
      <c r="H12022" s="4" t="str">
        <v/>
      </c>
      <c r="I12022" s="4" t="str">
        <v/>
      </c>
    </row>
    <row r="12023" spans="5:9" ht="16.5" hidden="1">
      <c r="E12023" s="4" t="str">
        <v/>
      </c>
      <c r="F12023" s="102" t="str">
        <f ca="1">IFERROR(__xludf.DUMMYFUNCTION("IMPORTRANGE(H12023,""IDENTITAS UNIT!D9"")"),"#N/A")</f>
        <v>#N/A</v>
      </c>
      <c r="H12023" s="4" t="str">
        <v/>
      </c>
      <c r="I12023" s="4" t="str">
        <v/>
      </c>
    </row>
    <row r="12024" spans="5:9" ht="16.5" hidden="1">
      <c r="E12024" s="4" t="str">
        <v/>
      </c>
      <c r="F12024" s="102" t="str">
        <f ca="1">IFERROR(__xludf.DUMMYFUNCTION("IMPORTRANGE(H12024,""IDENTITAS UNIT!D9"")"),"#N/A")</f>
        <v>#N/A</v>
      </c>
      <c r="H12024" s="4" t="str">
        <v/>
      </c>
      <c r="I12024" s="4" t="str">
        <v/>
      </c>
    </row>
    <row r="12025" spans="5:9" ht="16.5" hidden="1">
      <c r="E12025" s="4" t="str">
        <v/>
      </c>
      <c r="F12025" s="102" t="str">
        <f ca="1">IFERROR(__xludf.DUMMYFUNCTION("IMPORTRANGE(H12025,""IDENTITAS UNIT!D9"")"),"#N/A")</f>
        <v>#N/A</v>
      </c>
      <c r="H12025" s="4" t="str">
        <v/>
      </c>
      <c r="I12025" s="4" t="str">
        <v/>
      </c>
    </row>
    <row r="12026" spans="5:9" ht="16.5" hidden="1">
      <c r="E12026" s="4" t="str">
        <v/>
      </c>
      <c r="F12026" s="102" t="str">
        <f ca="1">IFERROR(__xludf.DUMMYFUNCTION("IMPORTRANGE(H12026,""IDENTITAS UNIT!D9"")"),"#N/A")</f>
        <v>#N/A</v>
      </c>
      <c r="H12026" s="4" t="str">
        <v/>
      </c>
      <c r="I12026" s="4" t="str">
        <v/>
      </c>
    </row>
    <row r="12027" spans="5:9" ht="16.5" hidden="1">
      <c r="E12027" s="4" t="str">
        <v/>
      </c>
      <c r="F12027" s="102" t="str">
        <f ca="1">IFERROR(__xludf.DUMMYFUNCTION("IMPORTRANGE(H12027,""IDENTITAS UNIT!D9"")"),"#N/A")</f>
        <v>#N/A</v>
      </c>
      <c r="H12027" s="4" t="str">
        <v/>
      </c>
      <c r="I12027" s="4" t="str">
        <v/>
      </c>
    </row>
    <row r="12028" spans="5:9" ht="16.5" hidden="1">
      <c r="E12028" s="4" t="str">
        <v/>
      </c>
      <c r="F12028" s="102" t="str">
        <f ca="1">IFERROR(__xludf.DUMMYFUNCTION("IMPORTRANGE(H12028,""IDENTITAS UNIT!D9"")"),"#N/A")</f>
        <v>#N/A</v>
      </c>
      <c r="H12028" s="4" t="str">
        <v/>
      </c>
      <c r="I12028" s="4" t="str">
        <v/>
      </c>
    </row>
    <row r="12029" spans="5:9" ht="16.5" hidden="1">
      <c r="E12029" s="4" t="str">
        <v/>
      </c>
      <c r="F12029" s="102" t="str">
        <f ca="1">IFERROR(__xludf.DUMMYFUNCTION("IMPORTRANGE(H12029,""IDENTITAS UNIT!D9"")"),"#N/A")</f>
        <v>#N/A</v>
      </c>
      <c r="H12029" s="4" t="str">
        <v/>
      </c>
      <c r="I12029" s="4" t="str">
        <v/>
      </c>
    </row>
    <row r="12030" spans="5:9" ht="16.5" hidden="1">
      <c r="E12030" s="4" t="str">
        <v/>
      </c>
      <c r="F12030" s="102" t="str">
        <f ca="1">IFERROR(__xludf.DUMMYFUNCTION("IMPORTRANGE(H12030,""IDENTITAS UNIT!D9"")"),"#N/A")</f>
        <v>#N/A</v>
      </c>
      <c r="H12030" s="4" t="str">
        <v/>
      </c>
      <c r="I12030" s="4" t="str">
        <v/>
      </c>
    </row>
    <row r="12031" spans="5:9" ht="16.5" hidden="1">
      <c r="E12031" s="4" t="str">
        <v/>
      </c>
      <c r="F12031" s="102" t="str">
        <f ca="1">IFERROR(__xludf.DUMMYFUNCTION("IMPORTRANGE(H12031,""IDENTITAS UNIT!D9"")"),"#N/A")</f>
        <v>#N/A</v>
      </c>
      <c r="H12031" s="4" t="str">
        <v/>
      </c>
      <c r="I12031" s="4" t="str">
        <v/>
      </c>
    </row>
    <row r="12032" spans="5:9" ht="16.5" hidden="1">
      <c r="E12032" s="4" t="str">
        <v/>
      </c>
      <c r="F12032" s="102" t="str">
        <f ca="1">IFERROR(__xludf.DUMMYFUNCTION("IMPORTRANGE(H12032,""IDENTITAS UNIT!D9"")"),"#N/A")</f>
        <v>#N/A</v>
      </c>
      <c r="H12032" s="4" t="str">
        <v/>
      </c>
      <c r="I12032" s="4" t="str">
        <v/>
      </c>
    </row>
    <row r="12033" spans="5:9" ht="16.5" hidden="1">
      <c r="E12033" s="4" t="str">
        <v/>
      </c>
      <c r="F12033" s="102" t="str">
        <f ca="1">IFERROR(__xludf.DUMMYFUNCTION("IMPORTRANGE(H12033,""IDENTITAS UNIT!D9"")"),"#N/A")</f>
        <v>#N/A</v>
      </c>
      <c r="H12033" s="4" t="str">
        <v/>
      </c>
      <c r="I12033" s="4" t="str">
        <v/>
      </c>
    </row>
    <row r="12034" spans="5:9" ht="16.5" hidden="1">
      <c r="E12034" s="4" t="str">
        <v/>
      </c>
      <c r="F12034" s="102" t="str">
        <f ca="1">IFERROR(__xludf.DUMMYFUNCTION("IMPORTRANGE(H12034,""IDENTITAS UNIT!D9"")"),"#N/A")</f>
        <v>#N/A</v>
      </c>
      <c r="H12034" s="4" t="str">
        <v/>
      </c>
      <c r="I12034" s="4" t="str">
        <v/>
      </c>
    </row>
    <row r="12035" spans="5:9" ht="16.5" hidden="1">
      <c r="E12035" s="4" t="str">
        <v/>
      </c>
      <c r="F12035" s="102" t="str">
        <f ca="1">IFERROR(__xludf.DUMMYFUNCTION("IMPORTRANGE(H12035,""IDENTITAS UNIT!D9"")"),"#N/A")</f>
        <v>#N/A</v>
      </c>
      <c r="H12035" s="4" t="str">
        <v/>
      </c>
      <c r="I12035" s="4" t="str">
        <v/>
      </c>
    </row>
    <row r="12036" spans="5:9" ht="16.5" hidden="1">
      <c r="E12036" s="4" t="str">
        <v/>
      </c>
      <c r="F12036" s="102" t="str">
        <f ca="1">IFERROR(__xludf.DUMMYFUNCTION("IMPORTRANGE(H12036,""IDENTITAS UNIT!D9"")"),"#N/A")</f>
        <v>#N/A</v>
      </c>
      <c r="H12036" s="4" t="str">
        <v/>
      </c>
      <c r="I12036" s="4" t="str">
        <v/>
      </c>
    </row>
    <row r="12037" spans="5:9" ht="16.5" hidden="1">
      <c r="E12037" s="4" t="str">
        <v/>
      </c>
      <c r="F12037" s="102" t="str">
        <f ca="1">IFERROR(__xludf.DUMMYFUNCTION("IMPORTRANGE(H12037,""IDENTITAS UNIT!D9"")"),"#N/A")</f>
        <v>#N/A</v>
      </c>
      <c r="H12037" s="4" t="str">
        <v/>
      </c>
      <c r="I12037" s="4" t="str">
        <v/>
      </c>
    </row>
    <row r="12038" spans="5:9" ht="16.5" hidden="1">
      <c r="E12038" s="4" t="str">
        <v/>
      </c>
      <c r="F12038" s="102" t="str">
        <f ca="1">IFERROR(__xludf.DUMMYFUNCTION("IMPORTRANGE(H12038,""IDENTITAS UNIT!D9"")"),"#N/A")</f>
        <v>#N/A</v>
      </c>
      <c r="H12038" s="4" t="str">
        <v/>
      </c>
      <c r="I12038" s="4" t="str">
        <v/>
      </c>
    </row>
    <row r="12039" spans="5:9" ht="16.5" hidden="1">
      <c r="E12039" s="4" t="str">
        <v/>
      </c>
      <c r="F12039" s="102" t="str">
        <f ca="1">IFERROR(__xludf.DUMMYFUNCTION("IMPORTRANGE(H12039,""IDENTITAS UNIT!D9"")"),"#N/A")</f>
        <v>#N/A</v>
      </c>
      <c r="H12039" s="4" t="str">
        <v/>
      </c>
      <c r="I12039" s="4" t="str">
        <v/>
      </c>
    </row>
    <row r="12040" spans="5:9" ht="16.5" hidden="1">
      <c r="E12040" s="4" t="str">
        <v/>
      </c>
      <c r="F12040" s="102" t="str">
        <f ca="1">IFERROR(__xludf.DUMMYFUNCTION("IMPORTRANGE(H12040,""IDENTITAS UNIT!D9"")"),"#N/A")</f>
        <v>#N/A</v>
      </c>
      <c r="H12040" s="4" t="str">
        <v/>
      </c>
      <c r="I12040" s="4" t="str">
        <v/>
      </c>
    </row>
    <row r="12041" spans="5:9" ht="16.5" hidden="1">
      <c r="E12041" s="4" t="str">
        <v/>
      </c>
      <c r="F12041" s="102" t="str">
        <f ca="1">IFERROR(__xludf.DUMMYFUNCTION("IMPORTRANGE(H12041,""IDENTITAS UNIT!D9"")"),"#N/A")</f>
        <v>#N/A</v>
      </c>
      <c r="H12041" s="4" t="str">
        <v/>
      </c>
      <c r="I12041" s="4" t="str">
        <v/>
      </c>
    </row>
    <row r="12042" spans="5:9" ht="16.5" hidden="1">
      <c r="E12042" s="4" t="str">
        <v/>
      </c>
      <c r="F12042" s="102" t="str">
        <f ca="1">IFERROR(__xludf.DUMMYFUNCTION("IMPORTRANGE(H12042,""IDENTITAS UNIT!D9"")"),"#N/A")</f>
        <v>#N/A</v>
      </c>
      <c r="H12042" s="4" t="str">
        <v/>
      </c>
      <c r="I12042" s="4" t="str">
        <v/>
      </c>
    </row>
    <row r="12043" spans="5:9" ht="16.5" hidden="1">
      <c r="E12043" s="4" t="str">
        <v/>
      </c>
      <c r="F12043" s="102" t="str">
        <f ca="1">IFERROR(__xludf.DUMMYFUNCTION("IMPORTRANGE(H12043,""IDENTITAS UNIT!D9"")"),"#N/A")</f>
        <v>#N/A</v>
      </c>
      <c r="H12043" s="4" t="str">
        <v/>
      </c>
      <c r="I12043" s="4" t="str">
        <v/>
      </c>
    </row>
    <row r="12044" spans="5:9" ht="16.5" hidden="1">
      <c r="E12044" s="4" t="str">
        <v/>
      </c>
      <c r="F12044" s="102" t="str">
        <f ca="1">IFERROR(__xludf.DUMMYFUNCTION("IMPORTRANGE(H12044,""IDENTITAS UNIT!D9"")"),"#N/A")</f>
        <v>#N/A</v>
      </c>
      <c r="H12044" s="4" t="str">
        <v/>
      </c>
      <c r="I12044" s="4" t="str">
        <v/>
      </c>
    </row>
    <row r="12045" spans="5:9" ht="16.5" hidden="1">
      <c r="E12045" s="4" t="str">
        <v/>
      </c>
      <c r="F12045" s="102" t="str">
        <f ca="1">IFERROR(__xludf.DUMMYFUNCTION("IMPORTRANGE(H12045,""IDENTITAS UNIT!D9"")"),"#N/A")</f>
        <v>#N/A</v>
      </c>
      <c r="H12045" s="4" t="str">
        <v/>
      </c>
      <c r="I12045" s="4" t="str">
        <v/>
      </c>
    </row>
    <row r="12046" spans="5:9" ht="16.5" hidden="1">
      <c r="E12046" s="4" t="str">
        <v/>
      </c>
      <c r="F12046" s="102" t="str">
        <f ca="1">IFERROR(__xludf.DUMMYFUNCTION("IMPORTRANGE(H12046,""IDENTITAS UNIT!D9"")"),"#N/A")</f>
        <v>#N/A</v>
      </c>
      <c r="H12046" s="4" t="str">
        <v/>
      </c>
      <c r="I12046" s="4" t="str">
        <v/>
      </c>
    </row>
    <row r="12047" spans="5:9" ht="16.5" hidden="1">
      <c r="E12047" s="4" t="str">
        <v/>
      </c>
      <c r="F12047" s="102" t="str">
        <f ca="1">IFERROR(__xludf.DUMMYFUNCTION("IMPORTRANGE(H12047,""IDENTITAS UNIT!D9"")"),"#N/A")</f>
        <v>#N/A</v>
      </c>
      <c r="H12047" s="4" t="str">
        <v/>
      </c>
      <c r="I12047" s="4" t="str">
        <v/>
      </c>
    </row>
    <row r="12048" spans="5:9" ht="16.5" hidden="1">
      <c r="E12048" s="4" t="str">
        <v/>
      </c>
      <c r="F12048" s="102" t="str">
        <f ca="1">IFERROR(__xludf.DUMMYFUNCTION("IMPORTRANGE(H12048,""IDENTITAS UNIT!D9"")"),"#N/A")</f>
        <v>#N/A</v>
      </c>
      <c r="H12048" s="4" t="str">
        <v/>
      </c>
      <c r="I12048" s="4" t="str">
        <v/>
      </c>
    </row>
    <row r="12049" spans="5:9" ht="16.5" hidden="1">
      <c r="E12049" s="4" t="str">
        <v/>
      </c>
      <c r="F12049" s="102" t="str">
        <f ca="1">IFERROR(__xludf.DUMMYFUNCTION("IMPORTRANGE(H12049,""IDENTITAS UNIT!D9"")"),"#N/A")</f>
        <v>#N/A</v>
      </c>
      <c r="H12049" s="4" t="str">
        <v/>
      </c>
      <c r="I12049" s="4" t="str">
        <v/>
      </c>
    </row>
    <row r="12050" spans="5:9" ht="16.5" hidden="1">
      <c r="E12050" s="4" t="str">
        <v/>
      </c>
      <c r="F12050" s="102" t="str">
        <f ca="1">IFERROR(__xludf.DUMMYFUNCTION("IMPORTRANGE(H12050,""IDENTITAS UNIT!D9"")"),"#N/A")</f>
        <v>#N/A</v>
      </c>
      <c r="H12050" s="4" t="str">
        <v/>
      </c>
      <c r="I12050" s="4" t="str">
        <v/>
      </c>
    </row>
    <row r="12051" spans="5:9" ht="16.5" hidden="1">
      <c r="E12051" s="4" t="str">
        <v/>
      </c>
      <c r="F12051" s="102" t="str">
        <f ca="1">IFERROR(__xludf.DUMMYFUNCTION("IMPORTRANGE(H12051,""IDENTITAS UNIT!D9"")"),"#N/A")</f>
        <v>#N/A</v>
      </c>
      <c r="H12051" s="4" t="str">
        <v/>
      </c>
      <c r="I12051" s="4" t="str">
        <v/>
      </c>
    </row>
    <row r="12052" spans="5:9" ht="16.5" hidden="1">
      <c r="E12052" s="4" t="str">
        <v/>
      </c>
      <c r="F12052" s="102" t="str">
        <f ca="1">IFERROR(__xludf.DUMMYFUNCTION("IMPORTRANGE(H12052,""IDENTITAS UNIT!D9"")"),"#N/A")</f>
        <v>#N/A</v>
      </c>
      <c r="H12052" s="4" t="str">
        <v/>
      </c>
      <c r="I12052" s="4" t="str">
        <v/>
      </c>
    </row>
    <row r="12053" spans="5:9" ht="16.5" hidden="1">
      <c r="E12053" s="4" t="str">
        <v/>
      </c>
      <c r="F12053" s="102" t="str">
        <f ca="1">IFERROR(__xludf.DUMMYFUNCTION("IMPORTRANGE(H12053,""IDENTITAS UNIT!D9"")"),"#N/A")</f>
        <v>#N/A</v>
      </c>
      <c r="H12053" s="4" t="str">
        <v/>
      </c>
      <c r="I12053" s="4" t="str">
        <v/>
      </c>
    </row>
    <row r="12054" spans="5:9" ht="16.5" hidden="1">
      <c r="E12054" s="4" t="str">
        <v/>
      </c>
      <c r="F12054" s="102" t="str">
        <f ca="1">IFERROR(__xludf.DUMMYFUNCTION("IMPORTRANGE(H12054,""IDENTITAS UNIT!D9"")"),"#N/A")</f>
        <v>#N/A</v>
      </c>
      <c r="H12054" s="4" t="str">
        <v/>
      </c>
      <c r="I12054" s="4" t="str">
        <v/>
      </c>
    </row>
    <row r="12055" spans="5:9" ht="16.5" hidden="1">
      <c r="E12055" s="4" t="str">
        <v/>
      </c>
      <c r="F12055" s="102" t="str">
        <f ca="1">IFERROR(__xludf.DUMMYFUNCTION("IMPORTRANGE(H12055,""IDENTITAS UNIT!D9"")"),"#N/A")</f>
        <v>#N/A</v>
      </c>
      <c r="H12055" s="4" t="str">
        <v/>
      </c>
      <c r="I12055" s="4" t="str">
        <v/>
      </c>
    </row>
    <row r="12056" spans="5:9" ht="16.5" hidden="1">
      <c r="E12056" s="4" t="str">
        <v/>
      </c>
      <c r="F12056" s="102" t="str">
        <f ca="1">IFERROR(__xludf.DUMMYFUNCTION("IMPORTRANGE(H12056,""IDENTITAS UNIT!D9"")"),"#N/A")</f>
        <v>#N/A</v>
      </c>
      <c r="H12056" s="4" t="str">
        <v/>
      </c>
      <c r="I12056" s="4" t="str">
        <v/>
      </c>
    </row>
    <row r="12057" spans="5:9" ht="16.5" hidden="1">
      <c r="E12057" s="4" t="str">
        <v/>
      </c>
      <c r="F12057" s="102" t="str">
        <f ca="1">IFERROR(__xludf.DUMMYFUNCTION("IMPORTRANGE(H12057,""IDENTITAS UNIT!D9"")"),"#N/A")</f>
        <v>#N/A</v>
      </c>
      <c r="H12057" s="4" t="str">
        <v/>
      </c>
      <c r="I12057" s="4" t="str">
        <v/>
      </c>
    </row>
    <row r="12058" spans="5:9" ht="16.5" hidden="1">
      <c r="E12058" s="4" t="str">
        <v/>
      </c>
      <c r="F12058" s="102" t="str">
        <f ca="1">IFERROR(__xludf.DUMMYFUNCTION("IMPORTRANGE(H12058,""IDENTITAS UNIT!D9"")"),"#N/A")</f>
        <v>#N/A</v>
      </c>
      <c r="H12058" s="4" t="str">
        <v/>
      </c>
      <c r="I12058" s="4" t="str">
        <v/>
      </c>
    </row>
    <row r="12059" spans="5:9" ht="16.5" hidden="1">
      <c r="E12059" s="4" t="str">
        <v/>
      </c>
      <c r="F12059" s="102" t="str">
        <f ca="1">IFERROR(__xludf.DUMMYFUNCTION("IMPORTRANGE(H12059,""IDENTITAS UNIT!D9"")"),"#N/A")</f>
        <v>#N/A</v>
      </c>
      <c r="H12059" s="4" t="str">
        <v/>
      </c>
      <c r="I12059" s="4" t="str">
        <v/>
      </c>
    </row>
    <row r="12060" spans="5:9" ht="16.5" hidden="1">
      <c r="E12060" s="4" t="str">
        <v/>
      </c>
      <c r="F12060" s="102" t="str">
        <f ca="1">IFERROR(__xludf.DUMMYFUNCTION("IMPORTRANGE(H12060,""IDENTITAS UNIT!D9"")"),"#N/A")</f>
        <v>#N/A</v>
      </c>
      <c r="H12060" s="4" t="str">
        <v/>
      </c>
      <c r="I12060" s="4" t="str">
        <v/>
      </c>
    </row>
    <row r="12061" spans="5:9" ht="16.5" hidden="1">
      <c r="E12061" s="4" t="str">
        <v/>
      </c>
      <c r="F12061" s="102" t="str">
        <f ca="1">IFERROR(__xludf.DUMMYFUNCTION("IMPORTRANGE(H12061,""IDENTITAS UNIT!D9"")"),"#N/A")</f>
        <v>#N/A</v>
      </c>
      <c r="H12061" s="4" t="str">
        <v/>
      </c>
      <c r="I12061" s="4" t="str">
        <v/>
      </c>
    </row>
    <row r="12062" spans="5:9" ht="16.5" hidden="1">
      <c r="E12062" s="4" t="str">
        <v/>
      </c>
      <c r="F12062" s="102" t="str">
        <f ca="1">IFERROR(__xludf.DUMMYFUNCTION("IMPORTRANGE(H12062,""IDENTITAS UNIT!D9"")"),"#N/A")</f>
        <v>#N/A</v>
      </c>
      <c r="H12062" s="4" t="str">
        <v/>
      </c>
      <c r="I12062" s="4" t="str">
        <v/>
      </c>
    </row>
    <row r="12063" spans="5:9" ht="16.5" hidden="1">
      <c r="E12063" s="4" t="str">
        <v/>
      </c>
      <c r="F12063" s="102" t="str">
        <f ca="1">IFERROR(__xludf.DUMMYFUNCTION("IMPORTRANGE(H12063,""IDENTITAS UNIT!D9"")"),"#N/A")</f>
        <v>#N/A</v>
      </c>
      <c r="H12063" s="4" t="str">
        <v/>
      </c>
      <c r="I12063" s="4" t="str">
        <v/>
      </c>
    </row>
    <row r="12064" spans="5:9" ht="16.5" hidden="1">
      <c r="E12064" s="4" t="str">
        <v/>
      </c>
      <c r="F12064" s="102" t="str">
        <f ca="1">IFERROR(__xludf.DUMMYFUNCTION("IMPORTRANGE(H12064,""IDENTITAS UNIT!D9"")"),"#N/A")</f>
        <v>#N/A</v>
      </c>
      <c r="H12064" s="4" t="str">
        <v/>
      </c>
      <c r="I12064" s="4" t="str">
        <v/>
      </c>
    </row>
    <row r="12065" spans="5:9" ht="16.5" hidden="1">
      <c r="E12065" s="4" t="str">
        <v/>
      </c>
      <c r="F12065" s="102" t="str">
        <f ca="1">IFERROR(__xludf.DUMMYFUNCTION("IMPORTRANGE(H12065,""IDENTITAS UNIT!D9"")"),"#N/A")</f>
        <v>#N/A</v>
      </c>
      <c r="H12065" s="4" t="str">
        <v/>
      </c>
      <c r="I12065" s="4" t="str">
        <v/>
      </c>
    </row>
    <row r="12066" spans="5:9" ht="16.5" hidden="1">
      <c r="E12066" s="4" t="str">
        <v/>
      </c>
      <c r="F12066" s="102" t="str">
        <f ca="1">IFERROR(__xludf.DUMMYFUNCTION("IMPORTRANGE(H12066,""IDENTITAS UNIT!D9"")"),"#N/A")</f>
        <v>#N/A</v>
      </c>
      <c r="H12066" s="4" t="str">
        <v/>
      </c>
      <c r="I12066" s="4" t="str">
        <v/>
      </c>
    </row>
    <row r="12067" spans="5:9" ht="16.5" hidden="1">
      <c r="E12067" s="4" t="str">
        <v/>
      </c>
      <c r="F12067" s="102" t="str">
        <f ca="1">IFERROR(__xludf.DUMMYFUNCTION("IMPORTRANGE(H12067,""IDENTITAS UNIT!D9"")"),"#N/A")</f>
        <v>#N/A</v>
      </c>
      <c r="H12067" s="4" t="str">
        <v/>
      </c>
      <c r="I12067" s="4" t="str">
        <v/>
      </c>
    </row>
    <row r="12068" spans="5:9" ht="16.5" hidden="1">
      <c r="E12068" s="4" t="str">
        <v/>
      </c>
      <c r="F12068" s="102" t="str">
        <f ca="1">IFERROR(__xludf.DUMMYFUNCTION("IMPORTRANGE(H12068,""IDENTITAS UNIT!D9"")"),"#N/A")</f>
        <v>#N/A</v>
      </c>
      <c r="H12068" s="4" t="str">
        <v/>
      </c>
      <c r="I12068" s="4" t="str">
        <v/>
      </c>
    </row>
    <row r="12069" spans="5:9" ht="16.5" hidden="1">
      <c r="E12069" s="4" t="str">
        <v/>
      </c>
      <c r="F12069" s="102" t="str">
        <f ca="1">IFERROR(__xludf.DUMMYFUNCTION("IMPORTRANGE(H12069,""IDENTITAS UNIT!D9"")"),"#N/A")</f>
        <v>#N/A</v>
      </c>
      <c r="H12069" s="4" t="str">
        <v/>
      </c>
      <c r="I12069" s="4" t="str">
        <v/>
      </c>
    </row>
    <row r="12070" spans="5:9" ht="16.5" hidden="1">
      <c r="E12070" s="4" t="str">
        <v/>
      </c>
      <c r="F12070" s="102" t="str">
        <f ca="1">IFERROR(__xludf.DUMMYFUNCTION("IMPORTRANGE(H12070,""IDENTITAS UNIT!D9"")"),"#N/A")</f>
        <v>#N/A</v>
      </c>
      <c r="H12070" s="4" t="str">
        <v/>
      </c>
      <c r="I12070" s="4" t="str">
        <v/>
      </c>
    </row>
    <row r="12071" spans="5:9" ht="16.5" hidden="1">
      <c r="E12071" s="4" t="str">
        <v/>
      </c>
      <c r="F12071" s="102" t="str">
        <f ca="1">IFERROR(__xludf.DUMMYFUNCTION("IMPORTRANGE(H12071,""IDENTITAS UNIT!D9"")"),"#N/A")</f>
        <v>#N/A</v>
      </c>
      <c r="H12071" s="4" t="str">
        <v/>
      </c>
      <c r="I12071" s="4" t="str">
        <v/>
      </c>
    </row>
    <row r="12072" spans="5:9" ht="16.5" hidden="1">
      <c r="E12072" s="4" t="str">
        <v/>
      </c>
      <c r="F12072" s="102" t="str">
        <f ca="1">IFERROR(__xludf.DUMMYFUNCTION("IMPORTRANGE(H12072,""IDENTITAS UNIT!D9"")"),"#N/A")</f>
        <v>#N/A</v>
      </c>
      <c r="H12072" s="4" t="str">
        <v/>
      </c>
      <c r="I12072" s="4" t="str">
        <v/>
      </c>
    </row>
    <row r="12073" spans="5:9" ht="16.5" hidden="1">
      <c r="E12073" s="4" t="str">
        <v/>
      </c>
      <c r="F12073" s="102" t="str">
        <f ca="1">IFERROR(__xludf.DUMMYFUNCTION("IMPORTRANGE(H12073,""IDENTITAS UNIT!D9"")"),"#N/A")</f>
        <v>#N/A</v>
      </c>
      <c r="H12073" s="4" t="str">
        <v/>
      </c>
      <c r="I12073" s="4" t="str">
        <v/>
      </c>
    </row>
    <row r="12074" spans="5:9" ht="16.5" hidden="1">
      <c r="E12074" s="4" t="str">
        <v/>
      </c>
      <c r="F12074" s="102" t="str">
        <f ca="1">IFERROR(__xludf.DUMMYFUNCTION("IMPORTRANGE(H12074,""IDENTITAS UNIT!D9"")"),"#N/A")</f>
        <v>#N/A</v>
      </c>
      <c r="H12074" s="4" t="str">
        <v/>
      </c>
      <c r="I12074" s="4" t="str">
        <v/>
      </c>
    </row>
    <row r="12075" spans="5:9" ht="16.5" hidden="1">
      <c r="E12075" s="4" t="str">
        <v/>
      </c>
      <c r="F12075" s="102" t="str">
        <f ca="1">IFERROR(__xludf.DUMMYFUNCTION("IMPORTRANGE(H12075,""IDENTITAS UNIT!D9"")"),"#N/A")</f>
        <v>#N/A</v>
      </c>
      <c r="H12075" s="4" t="str">
        <v/>
      </c>
      <c r="I12075" s="4" t="str">
        <v/>
      </c>
    </row>
    <row r="12076" spans="5:9" ht="16.5" hidden="1">
      <c r="E12076" s="4" t="str">
        <v/>
      </c>
      <c r="F12076" s="102" t="str">
        <f ca="1">IFERROR(__xludf.DUMMYFUNCTION("IMPORTRANGE(H12076,""IDENTITAS UNIT!D9"")"),"#N/A")</f>
        <v>#N/A</v>
      </c>
      <c r="H12076" s="4" t="str">
        <v/>
      </c>
      <c r="I12076" s="4" t="str">
        <v/>
      </c>
    </row>
    <row r="12077" spans="5:9" ht="16.5" hidden="1">
      <c r="E12077" s="4" t="str">
        <v/>
      </c>
      <c r="F12077" s="102" t="str">
        <f ca="1">IFERROR(__xludf.DUMMYFUNCTION("IMPORTRANGE(H12077,""IDENTITAS UNIT!D9"")"),"#N/A")</f>
        <v>#N/A</v>
      </c>
      <c r="H12077" s="4" t="str">
        <v/>
      </c>
      <c r="I12077" s="4" t="str">
        <v/>
      </c>
    </row>
    <row r="12078" spans="5:9" ht="16.5" hidden="1">
      <c r="E12078" s="4" t="str">
        <v/>
      </c>
      <c r="F12078" s="102" t="str">
        <f ca="1">IFERROR(__xludf.DUMMYFUNCTION("IMPORTRANGE(H12078,""IDENTITAS UNIT!D9"")"),"#N/A")</f>
        <v>#N/A</v>
      </c>
      <c r="H12078" s="4" t="str">
        <v/>
      </c>
      <c r="I12078" s="4" t="str">
        <v/>
      </c>
    </row>
    <row r="12079" spans="5:9" ht="16.5" hidden="1">
      <c r="E12079" s="4" t="str">
        <v/>
      </c>
      <c r="F12079" s="102" t="str">
        <f ca="1">IFERROR(__xludf.DUMMYFUNCTION("IMPORTRANGE(H12079,""IDENTITAS UNIT!D9"")"),"#N/A")</f>
        <v>#N/A</v>
      </c>
      <c r="H12079" s="4" t="str">
        <v/>
      </c>
      <c r="I12079" s="4" t="str">
        <v/>
      </c>
    </row>
    <row r="12080" spans="5:9" ht="16.5" hidden="1">
      <c r="E12080" s="4" t="str">
        <v/>
      </c>
      <c r="F12080" s="102" t="str">
        <f ca="1">IFERROR(__xludf.DUMMYFUNCTION("IMPORTRANGE(H12080,""IDENTITAS UNIT!D9"")"),"#N/A")</f>
        <v>#N/A</v>
      </c>
      <c r="H12080" s="4" t="str">
        <v/>
      </c>
      <c r="I12080" s="4" t="str">
        <v/>
      </c>
    </row>
    <row r="12081" spans="5:9" ht="16.5" hidden="1">
      <c r="E12081" s="4" t="str">
        <v/>
      </c>
      <c r="F12081" s="102" t="str">
        <f ca="1">IFERROR(__xludf.DUMMYFUNCTION("IMPORTRANGE(H12081,""IDENTITAS UNIT!D9"")"),"#N/A")</f>
        <v>#N/A</v>
      </c>
      <c r="H12081" s="4" t="str">
        <v/>
      </c>
      <c r="I12081" s="4" t="str">
        <v/>
      </c>
    </row>
    <row r="12082" spans="5:9" ht="16.5" hidden="1">
      <c r="E12082" s="4" t="str">
        <v/>
      </c>
      <c r="F12082" s="102" t="str">
        <f ca="1">IFERROR(__xludf.DUMMYFUNCTION("IMPORTRANGE(H12082,""IDENTITAS UNIT!D9"")"),"#N/A")</f>
        <v>#N/A</v>
      </c>
      <c r="H12082" s="4" t="str">
        <v/>
      </c>
      <c r="I12082" s="4" t="str">
        <v/>
      </c>
    </row>
    <row r="12083" spans="5:9" ht="16.5" hidden="1">
      <c r="E12083" s="4" t="str">
        <v/>
      </c>
      <c r="F12083" s="102" t="str">
        <f ca="1">IFERROR(__xludf.DUMMYFUNCTION("IMPORTRANGE(H12083,""IDENTITAS UNIT!D9"")"),"#N/A")</f>
        <v>#N/A</v>
      </c>
      <c r="H12083" s="4" t="str">
        <v/>
      </c>
      <c r="I12083" s="4" t="str">
        <v/>
      </c>
    </row>
    <row r="12084" spans="5:9" ht="16.5" hidden="1">
      <c r="E12084" s="4" t="str">
        <v/>
      </c>
      <c r="F12084" s="102" t="str">
        <f ca="1">IFERROR(__xludf.DUMMYFUNCTION("IMPORTRANGE(H12084,""IDENTITAS UNIT!D9"")"),"#N/A")</f>
        <v>#N/A</v>
      </c>
      <c r="H12084" s="4" t="str">
        <v/>
      </c>
      <c r="I12084" s="4" t="str">
        <v/>
      </c>
    </row>
    <row r="12085" spans="5:9" ht="16.5" hidden="1">
      <c r="E12085" s="4" t="str">
        <v/>
      </c>
      <c r="F12085" s="102" t="str">
        <f ca="1">IFERROR(__xludf.DUMMYFUNCTION("IMPORTRANGE(H12085,""IDENTITAS UNIT!D9"")"),"#N/A")</f>
        <v>#N/A</v>
      </c>
      <c r="H12085" s="4" t="str">
        <v/>
      </c>
      <c r="I12085" s="4" t="str">
        <v/>
      </c>
    </row>
    <row r="12086" spans="5:9" ht="16.5" hidden="1">
      <c r="E12086" s="4" t="str">
        <v/>
      </c>
      <c r="F12086" s="102" t="str">
        <f ca="1">IFERROR(__xludf.DUMMYFUNCTION("IMPORTRANGE(H12086,""IDENTITAS UNIT!D9"")"),"#N/A")</f>
        <v>#N/A</v>
      </c>
      <c r="H12086" s="4" t="str">
        <v/>
      </c>
      <c r="I12086" s="4" t="str">
        <v/>
      </c>
    </row>
    <row r="12087" spans="5:9" ht="16.5" hidden="1">
      <c r="E12087" s="4" t="str">
        <v/>
      </c>
      <c r="F12087" s="102" t="str">
        <f ca="1">IFERROR(__xludf.DUMMYFUNCTION("IMPORTRANGE(H12087,""IDENTITAS UNIT!D9"")"),"#N/A")</f>
        <v>#N/A</v>
      </c>
      <c r="H12087" s="4" t="str">
        <v/>
      </c>
      <c r="I12087" s="4" t="str">
        <v/>
      </c>
    </row>
    <row r="12088" spans="5:9" ht="16.5" hidden="1">
      <c r="E12088" s="4" t="str">
        <v/>
      </c>
      <c r="F12088" s="102" t="str">
        <f ca="1">IFERROR(__xludf.DUMMYFUNCTION("IMPORTRANGE(H12088,""IDENTITAS UNIT!D9"")"),"#N/A")</f>
        <v>#N/A</v>
      </c>
      <c r="H12088" s="4" t="str">
        <v/>
      </c>
      <c r="I12088" s="4" t="str">
        <v/>
      </c>
    </row>
    <row r="12089" spans="5:9" ht="16.5" hidden="1">
      <c r="E12089" s="4" t="str">
        <v/>
      </c>
      <c r="F12089" s="102" t="str">
        <f ca="1">IFERROR(__xludf.DUMMYFUNCTION("IMPORTRANGE(H12089,""IDENTITAS UNIT!D9"")"),"#N/A")</f>
        <v>#N/A</v>
      </c>
      <c r="H12089" s="4" t="str">
        <v/>
      </c>
      <c r="I12089" s="4" t="str">
        <v/>
      </c>
    </row>
    <row r="12090" spans="5:9" ht="16.5" hidden="1">
      <c r="E12090" s="4" t="str">
        <v/>
      </c>
      <c r="F12090" s="102" t="str">
        <f ca="1">IFERROR(__xludf.DUMMYFUNCTION("IMPORTRANGE(H12090,""IDENTITAS UNIT!D9"")"),"#N/A")</f>
        <v>#N/A</v>
      </c>
      <c r="H12090" s="4" t="str">
        <v/>
      </c>
      <c r="I12090" s="4" t="str">
        <v/>
      </c>
    </row>
    <row r="12091" spans="5:9" ht="16.5" hidden="1">
      <c r="E12091" s="4" t="str">
        <v/>
      </c>
      <c r="F12091" s="102" t="str">
        <f ca="1">IFERROR(__xludf.DUMMYFUNCTION("IMPORTRANGE(H12091,""IDENTITAS UNIT!D9"")"),"#N/A")</f>
        <v>#N/A</v>
      </c>
      <c r="H12091" s="4" t="str">
        <v/>
      </c>
      <c r="I12091" s="4" t="str">
        <v/>
      </c>
    </row>
    <row r="12092" spans="5:9" ht="16.5" hidden="1">
      <c r="E12092" s="4" t="str">
        <v/>
      </c>
      <c r="F12092" s="102" t="str">
        <f ca="1">IFERROR(__xludf.DUMMYFUNCTION("IMPORTRANGE(H12092,""IDENTITAS UNIT!D9"")"),"#N/A")</f>
        <v>#N/A</v>
      </c>
      <c r="H12092" s="4" t="str">
        <v/>
      </c>
      <c r="I12092" s="4" t="str">
        <v/>
      </c>
    </row>
    <row r="12093" spans="5:9" ht="16.5" hidden="1">
      <c r="E12093" s="4" t="str">
        <v/>
      </c>
      <c r="F12093" s="102" t="str">
        <f ca="1">IFERROR(__xludf.DUMMYFUNCTION("IMPORTRANGE(H12093,""IDENTITAS UNIT!D9"")"),"#N/A")</f>
        <v>#N/A</v>
      </c>
      <c r="H12093" s="4" t="str">
        <v/>
      </c>
      <c r="I12093" s="4" t="str">
        <v/>
      </c>
    </row>
    <row r="12094" spans="5:9" ht="16.5" hidden="1">
      <c r="E12094" s="4" t="str">
        <v/>
      </c>
      <c r="F12094" s="102" t="str">
        <f ca="1">IFERROR(__xludf.DUMMYFUNCTION("IMPORTRANGE(H12094,""IDENTITAS UNIT!D9"")"),"#N/A")</f>
        <v>#N/A</v>
      </c>
      <c r="H12094" s="4" t="str">
        <v/>
      </c>
      <c r="I12094" s="4" t="str">
        <v/>
      </c>
    </row>
    <row r="12095" spans="5:9" ht="16.5" hidden="1">
      <c r="E12095" s="4" t="str">
        <v/>
      </c>
      <c r="F12095" s="102" t="str">
        <f ca="1">IFERROR(__xludf.DUMMYFUNCTION("IMPORTRANGE(H12095,""IDENTITAS UNIT!D9"")"),"#N/A")</f>
        <v>#N/A</v>
      </c>
      <c r="H12095" s="4" t="str">
        <v/>
      </c>
      <c r="I12095" s="4" t="str">
        <v/>
      </c>
    </row>
    <row r="12096" spans="5:9" ht="16.5" hidden="1">
      <c r="E12096" s="4" t="str">
        <v/>
      </c>
      <c r="F12096" s="102" t="str">
        <f ca="1">IFERROR(__xludf.DUMMYFUNCTION("IMPORTRANGE(H12096,""IDENTITAS UNIT!D9"")"),"#N/A")</f>
        <v>#N/A</v>
      </c>
      <c r="H12096" s="4" t="str">
        <v/>
      </c>
      <c r="I12096" s="4" t="str">
        <v/>
      </c>
    </row>
    <row r="12097" spans="5:9" ht="16.5" hidden="1">
      <c r="E12097" s="4" t="str">
        <v/>
      </c>
      <c r="F12097" s="102" t="str">
        <f ca="1">IFERROR(__xludf.DUMMYFUNCTION("IMPORTRANGE(H12097,""IDENTITAS UNIT!D9"")"),"#N/A")</f>
        <v>#N/A</v>
      </c>
      <c r="H12097" s="4" t="str">
        <v/>
      </c>
      <c r="I12097" s="4" t="str">
        <v/>
      </c>
    </row>
    <row r="12098" spans="5:9" ht="16.5" hidden="1">
      <c r="E12098" s="4" t="str">
        <v/>
      </c>
      <c r="F12098" s="102" t="str">
        <f ca="1">IFERROR(__xludf.DUMMYFUNCTION("IMPORTRANGE(H12098,""IDENTITAS UNIT!D9"")"),"#N/A")</f>
        <v>#N/A</v>
      </c>
      <c r="H12098" s="4" t="str">
        <v/>
      </c>
      <c r="I12098" s="4" t="str">
        <v/>
      </c>
    </row>
    <row r="12099" spans="5:9" ht="16.5" hidden="1">
      <c r="E12099" s="4" t="str">
        <v/>
      </c>
      <c r="F12099" s="102" t="str">
        <f ca="1">IFERROR(__xludf.DUMMYFUNCTION("IMPORTRANGE(H12099,""IDENTITAS UNIT!D9"")"),"#N/A")</f>
        <v>#N/A</v>
      </c>
      <c r="H12099" s="4" t="str">
        <v/>
      </c>
      <c r="I12099" s="4" t="str">
        <v/>
      </c>
    </row>
    <row r="12100" spans="5:9" ht="16.5" hidden="1">
      <c r="E12100" s="4" t="str">
        <v/>
      </c>
      <c r="F12100" s="102" t="str">
        <f ca="1">IFERROR(__xludf.DUMMYFUNCTION("IMPORTRANGE(H12100,""IDENTITAS UNIT!D9"")"),"#N/A")</f>
        <v>#N/A</v>
      </c>
      <c r="H12100" s="4" t="str">
        <v/>
      </c>
      <c r="I12100" s="4" t="str">
        <v/>
      </c>
    </row>
    <row r="12101" spans="5:9" ht="16.5" hidden="1">
      <c r="E12101" s="4" t="str">
        <v/>
      </c>
      <c r="F12101" s="102" t="str">
        <f ca="1">IFERROR(__xludf.DUMMYFUNCTION("IMPORTRANGE(H12101,""IDENTITAS UNIT!D9"")"),"#N/A")</f>
        <v>#N/A</v>
      </c>
      <c r="H12101" s="4" t="str">
        <v/>
      </c>
      <c r="I12101" s="4" t="str">
        <v/>
      </c>
    </row>
    <row r="12102" spans="5:9" ht="16.5" hidden="1">
      <c r="E12102" s="4" t="str">
        <v/>
      </c>
      <c r="F12102" s="102" t="str">
        <f ca="1">IFERROR(__xludf.DUMMYFUNCTION("IMPORTRANGE(H12102,""IDENTITAS UNIT!D9"")"),"#N/A")</f>
        <v>#N/A</v>
      </c>
      <c r="H12102" s="4" t="str">
        <v/>
      </c>
      <c r="I12102" s="4" t="str">
        <v/>
      </c>
    </row>
    <row r="12103" spans="5:9" ht="16.5" hidden="1">
      <c r="E12103" s="4" t="str">
        <v/>
      </c>
      <c r="F12103" s="102" t="str">
        <f ca="1">IFERROR(__xludf.DUMMYFUNCTION("IMPORTRANGE(H12103,""IDENTITAS UNIT!D9"")"),"#N/A")</f>
        <v>#N/A</v>
      </c>
      <c r="H12103" s="4" t="str">
        <v/>
      </c>
      <c r="I12103" s="4" t="str">
        <v/>
      </c>
    </row>
    <row r="12104" spans="5:9" ht="16.5" hidden="1">
      <c r="E12104" s="4" t="str">
        <v/>
      </c>
      <c r="F12104" s="102" t="str">
        <f ca="1">IFERROR(__xludf.DUMMYFUNCTION("IMPORTRANGE(H12104,""IDENTITAS UNIT!D9"")"),"#N/A")</f>
        <v>#N/A</v>
      </c>
      <c r="H12104" s="4" t="str">
        <v/>
      </c>
      <c r="I12104" s="4" t="str">
        <v/>
      </c>
    </row>
    <row r="12105" spans="5:9" ht="16.5" hidden="1">
      <c r="E12105" s="4" t="str">
        <v/>
      </c>
      <c r="F12105" s="102" t="str">
        <f ca="1">IFERROR(__xludf.DUMMYFUNCTION("IMPORTRANGE(H12105,""IDENTITAS UNIT!D9"")"),"#N/A")</f>
        <v>#N/A</v>
      </c>
      <c r="H12105" s="4" t="str">
        <v/>
      </c>
      <c r="I12105" s="4" t="str">
        <v/>
      </c>
    </row>
    <row r="12106" spans="5:9" ht="16.5" hidden="1">
      <c r="E12106" s="4" t="str">
        <v/>
      </c>
      <c r="F12106" s="102" t="str">
        <f ca="1">IFERROR(__xludf.DUMMYFUNCTION("IMPORTRANGE(H12106,""IDENTITAS UNIT!D9"")"),"#N/A")</f>
        <v>#N/A</v>
      </c>
      <c r="H12106" s="4" t="str">
        <v/>
      </c>
      <c r="I12106" s="4" t="str">
        <v/>
      </c>
    </row>
    <row r="12107" spans="5:9" ht="16.5" hidden="1">
      <c r="E12107" s="4" t="str">
        <v/>
      </c>
      <c r="F12107" s="102" t="str">
        <f ca="1">IFERROR(__xludf.DUMMYFUNCTION("IMPORTRANGE(H12107,""IDENTITAS UNIT!D9"")"),"#N/A")</f>
        <v>#N/A</v>
      </c>
      <c r="H12107" s="4" t="str">
        <v/>
      </c>
      <c r="I12107" s="4" t="str">
        <v/>
      </c>
    </row>
    <row r="12108" spans="5:9" ht="16.5" hidden="1">
      <c r="E12108" s="4" t="str">
        <v/>
      </c>
      <c r="F12108" s="102" t="str">
        <f ca="1">IFERROR(__xludf.DUMMYFUNCTION("IMPORTRANGE(H12108,""IDENTITAS UNIT!D9"")"),"#N/A")</f>
        <v>#N/A</v>
      </c>
      <c r="H12108" s="4" t="str">
        <v/>
      </c>
      <c r="I12108" s="4" t="str">
        <v/>
      </c>
    </row>
    <row r="12109" spans="5:9" ht="16.5" hidden="1">
      <c r="E12109" s="4" t="str">
        <v/>
      </c>
      <c r="F12109" s="102" t="str">
        <f ca="1">IFERROR(__xludf.DUMMYFUNCTION("IMPORTRANGE(H12109,""IDENTITAS UNIT!D9"")"),"#N/A")</f>
        <v>#N/A</v>
      </c>
      <c r="H12109" s="4" t="str">
        <v/>
      </c>
      <c r="I12109" s="4" t="str">
        <v/>
      </c>
    </row>
    <row r="12110" spans="5:9" ht="16.5" hidden="1">
      <c r="E12110" s="4" t="str">
        <v/>
      </c>
      <c r="F12110" s="102" t="str">
        <f ca="1">IFERROR(__xludf.DUMMYFUNCTION("IMPORTRANGE(H12110,""IDENTITAS UNIT!D9"")"),"#N/A")</f>
        <v>#N/A</v>
      </c>
      <c r="H12110" s="4" t="str">
        <v/>
      </c>
      <c r="I12110" s="4" t="str">
        <v/>
      </c>
    </row>
    <row r="12111" spans="5:9" ht="16.5" hidden="1">
      <c r="E12111" s="4" t="str">
        <v/>
      </c>
      <c r="F12111" s="102" t="str">
        <f ca="1">IFERROR(__xludf.DUMMYFUNCTION("IMPORTRANGE(H12111,""IDENTITAS UNIT!D9"")"),"#N/A")</f>
        <v>#N/A</v>
      </c>
      <c r="H12111" s="4" t="str">
        <v/>
      </c>
      <c r="I12111" s="4" t="str">
        <v/>
      </c>
    </row>
    <row r="12112" spans="5:9" ht="16.5" hidden="1">
      <c r="E12112" s="4" t="str">
        <v/>
      </c>
      <c r="F12112" s="102" t="str">
        <f ca="1">IFERROR(__xludf.DUMMYFUNCTION("IMPORTRANGE(H12112,""IDENTITAS UNIT!D9"")"),"#N/A")</f>
        <v>#N/A</v>
      </c>
      <c r="H12112" s="4" t="str">
        <v/>
      </c>
      <c r="I12112" s="4" t="str">
        <v/>
      </c>
    </row>
    <row r="12113" spans="5:9" ht="16.5" hidden="1">
      <c r="E12113" s="4" t="str">
        <v/>
      </c>
      <c r="F12113" s="102" t="str">
        <f ca="1">IFERROR(__xludf.DUMMYFUNCTION("IMPORTRANGE(H12113,""IDENTITAS UNIT!D9"")"),"#N/A")</f>
        <v>#N/A</v>
      </c>
      <c r="H12113" s="4" t="str">
        <v/>
      </c>
      <c r="I12113" s="4" t="str">
        <v/>
      </c>
    </row>
    <row r="12114" spans="5:9" ht="16.5" hidden="1">
      <c r="E12114" s="4" t="str">
        <v/>
      </c>
      <c r="F12114" s="102" t="str">
        <f ca="1">IFERROR(__xludf.DUMMYFUNCTION("IMPORTRANGE(H12114,""IDENTITAS UNIT!D9"")"),"#N/A")</f>
        <v>#N/A</v>
      </c>
      <c r="H12114" s="4" t="str">
        <v/>
      </c>
      <c r="I12114" s="4" t="str">
        <v/>
      </c>
    </row>
    <row r="12115" spans="5:9" ht="16.5" hidden="1">
      <c r="E12115" s="4" t="str">
        <v/>
      </c>
      <c r="F12115" s="102" t="str">
        <f ca="1">IFERROR(__xludf.DUMMYFUNCTION("IMPORTRANGE(H12115,""IDENTITAS UNIT!D9"")"),"#N/A")</f>
        <v>#N/A</v>
      </c>
      <c r="H12115" s="4" t="str">
        <v/>
      </c>
      <c r="I12115" s="4" t="str">
        <v/>
      </c>
    </row>
    <row r="12116" spans="5:9" ht="16.5" hidden="1">
      <c r="E12116" s="4" t="str">
        <v/>
      </c>
      <c r="F12116" s="102" t="str">
        <f ca="1">IFERROR(__xludf.DUMMYFUNCTION("IMPORTRANGE(H12116,""IDENTITAS UNIT!D9"")"),"#N/A")</f>
        <v>#N/A</v>
      </c>
      <c r="H12116" s="4" t="str">
        <v/>
      </c>
      <c r="I12116" s="4" t="str">
        <v/>
      </c>
    </row>
    <row r="12117" spans="5:9" ht="16.5" hidden="1">
      <c r="E12117" s="4" t="str">
        <v/>
      </c>
      <c r="F12117" s="102" t="str">
        <f ca="1">IFERROR(__xludf.DUMMYFUNCTION("IMPORTRANGE(H12117,""IDENTITAS UNIT!D9"")"),"#N/A")</f>
        <v>#N/A</v>
      </c>
      <c r="H12117" s="4" t="str">
        <v/>
      </c>
      <c r="I12117" s="4" t="str">
        <v/>
      </c>
    </row>
    <row r="12118" spans="5:9" ht="16.5" hidden="1">
      <c r="E12118" s="4" t="str">
        <v/>
      </c>
      <c r="F12118" s="102" t="str">
        <f ca="1">IFERROR(__xludf.DUMMYFUNCTION("IMPORTRANGE(H12118,""IDENTITAS UNIT!D9"")"),"#N/A")</f>
        <v>#N/A</v>
      </c>
      <c r="H12118" s="4" t="str">
        <v/>
      </c>
      <c r="I12118" s="4" t="str">
        <v/>
      </c>
    </row>
    <row r="12119" spans="5:9" ht="16.5" hidden="1">
      <c r="E12119" s="4" t="str">
        <v/>
      </c>
      <c r="F12119" s="102" t="str">
        <f ca="1">IFERROR(__xludf.DUMMYFUNCTION("IMPORTRANGE(H12119,""IDENTITAS UNIT!D9"")"),"#N/A")</f>
        <v>#N/A</v>
      </c>
      <c r="H12119" s="4" t="str">
        <v/>
      </c>
      <c r="I12119" s="4" t="str">
        <v/>
      </c>
    </row>
    <row r="12120" spans="5:9" ht="16.5" hidden="1">
      <c r="E12120" s="4" t="str">
        <v/>
      </c>
      <c r="F12120" s="102" t="str">
        <f ca="1">IFERROR(__xludf.DUMMYFUNCTION("IMPORTRANGE(H12120,""IDENTITAS UNIT!D9"")"),"#N/A")</f>
        <v>#N/A</v>
      </c>
      <c r="H12120" s="4" t="str">
        <v/>
      </c>
      <c r="I12120" s="4" t="str">
        <v/>
      </c>
    </row>
    <row r="12121" spans="5:9" ht="16.5" hidden="1">
      <c r="E12121" s="4" t="str">
        <v/>
      </c>
      <c r="F12121" s="102" t="str">
        <f ca="1">IFERROR(__xludf.DUMMYFUNCTION("IMPORTRANGE(H12121,""IDENTITAS UNIT!D9"")"),"#N/A")</f>
        <v>#N/A</v>
      </c>
      <c r="H12121" s="4" t="str">
        <v/>
      </c>
      <c r="I12121" s="4" t="str">
        <v/>
      </c>
    </row>
    <row r="12122" spans="5:9" ht="16.5" hidden="1">
      <c r="E12122" s="4" t="str">
        <v/>
      </c>
      <c r="F12122" s="102" t="str">
        <f ca="1">IFERROR(__xludf.DUMMYFUNCTION("IMPORTRANGE(H12122,""IDENTITAS UNIT!D9"")"),"#N/A")</f>
        <v>#N/A</v>
      </c>
      <c r="H12122" s="4" t="str">
        <v/>
      </c>
      <c r="I12122" s="4" t="str">
        <v/>
      </c>
    </row>
    <row r="12123" spans="5:9" ht="16.5" hidden="1">
      <c r="E12123" s="4" t="str">
        <v/>
      </c>
      <c r="F12123" s="102" t="str">
        <f ca="1">IFERROR(__xludf.DUMMYFUNCTION("IMPORTRANGE(H12123,""IDENTITAS UNIT!D9"")"),"#N/A")</f>
        <v>#N/A</v>
      </c>
      <c r="H12123" s="4" t="str">
        <v/>
      </c>
      <c r="I12123" s="4" t="str">
        <v/>
      </c>
    </row>
    <row r="12124" spans="5:9" ht="16.5" hidden="1">
      <c r="E12124" s="4" t="str">
        <v/>
      </c>
      <c r="F12124" s="102" t="str">
        <f ca="1">IFERROR(__xludf.DUMMYFUNCTION("IMPORTRANGE(H12124,""IDENTITAS UNIT!D9"")"),"#N/A")</f>
        <v>#N/A</v>
      </c>
      <c r="H12124" s="4" t="str">
        <v/>
      </c>
      <c r="I12124" s="4" t="str">
        <v/>
      </c>
    </row>
    <row r="12125" spans="5:9" ht="16.5" hidden="1">
      <c r="E12125" s="4" t="str">
        <v/>
      </c>
      <c r="F12125" s="102" t="str">
        <f ca="1">IFERROR(__xludf.DUMMYFUNCTION("IMPORTRANGE(H12125,""IDENTITAS UNIT!D9"")"),"#N/A")</f>
        <v>#N/A</v>
      </c>
      <c r="H12125" s="4" t="str">
        <v/>
      </c>
      <c r="I12125" s="4" t="str">
        <v/>
      </c>
    </row>
    <row r="12126" spans="5:9" ht="16.5" hidden="1">
      <c r="E12126" s="4" t="str">
        <v/>
      </c>
      <c r="F12126" s="102" t="str">
        <f ca="1">IFERROR(__xludf.DUMMYFUNCTION("IMPORTRANGE(H12126,""IDENTITAS UNIT!D9"")"),"#N/A")</f>
        <v>#N/A</v>
      </c>
      <c r="H12126" s="4" t="str">
        <v/>
      </c>
      <c r="I12126" s="4" t="str">
        <v/>
      </c>
    </row>
    <row r="12127" spans="5:9" ht="16.5" hidden="1">
      <c r="E12127" s="4" t="str">
        <v/>
      </c>
      <c r="F12127" s="102" t="str">
        <f ca="1">IFERROR(__xludf.DUMMYFUNCTION("IMPORTRANGE(H12127,""IDENTITAS UNIT!D9"")"),"#N/A")</f>
        <v>#N/A</v>
      </c>
      <c r="H12127" s="4" t="str">
        <v/>
      </c>
      <c r="I12127" s="4" t="str">
        <v/>
      </c>
    </row>
    <row r="12128" spans="5:9" ht="16.5" hidden="1">
      <c r="E12128" s="4" t="str">
        <v/>
      </c>
      <c r="F12128" s="102" t="str">
        <f ca="1">IFERROR(__xludf.DUMMYFUNCTION("IMPORTRANGE(H12128,""IDENTITAS UNIT!D9"")"),"#N/A")</f>
        <v>#N/A</v>
      </c>
      <c r="H12128" s="4" t="str">
        <v/>
      </c>
      <c r="I12128" s="4" t="str">
        <v/>
      </c>
    </row>
    <row r="12129" spans="5:9" ht="16.5" hidden="1">
      <c r="E12129" s="4" t="str">
        <v/>
      </c>
      <c r="F12129" s="102" t="str">
        <f ca="1">IFERROR(__xludf.DUMMYFUNCTION("IMPORTRANGE(H12129,""IDENTITAS UNIT!D9"")"),"#N/A")</f>
        <v>#N/A</v>
      </c>
      <c r="H12129" s="4" t="str">
        <v/>
      </c>
      <c r="I12129" s="4" t="str">
        <v/>
      </c>
    </row>
    <row r="12130" spans="5:9" ht="16.5" hidden="1">
      <c r="E12130" s="4" t="str">
        <v/>
      </c>
      <c r="F12130" s="102" t="str">
        <f ca="1">IFERROR(__xludf.DUMMYFUNCTION("IMPORTRANGE(H12130,""IDENTITAS UNIT!D9"")"),"#N/A")</f>
        <v>#N/A</v>
      </c>
      <c r="H12130" s="4" t="str">
        <v/>
      </c>
      <c r="I12130" s="4" t="str">
        <v/>
      </c>
    </row>
    <row r="12131" spans="5:9" ht="16.5" hidden="1">
      <c r="E12131" s="4" t="str">
        <v/>
      </c>
      <c r="F12131" s="102" t="str">
        <f ca="1">IFERROR(__xludf.DUMMYFUNCTION("IMPORTRANGE(H12131,""IDENTITAS UNIT!D9"")"),"#N/A")</f>
        <v>#N/A</v>
      </c>
      <c r="H12131" s="4" t="str">
        <v/>
      </c>
      <c r="I12131" s="4" t="str">
        <v/>
      </c>
    </row>
    <row r="12132" spans="5:9" ht="16.5" hidden="1">
      <c r="E12132" s="4" t="str">
        <v/>
      </c>
      <c r="F12132" s="102" t="str">
        <f ca="1">IFERROR(__xludf.DUMMYFUNCTION("IMPORTRANGE(H12132,""IDENTITAS UNIT!D9"")"),"#N/A")</f>
        <v>#N/A</v>
      </c>
      <c r="H12132" s="4" t="str">
        <v/>
      </c>
      <c r="I12132" s="4" t="str">
        <v/>
      </c>
    </row>
    <row r="12133" spans="5:9" ht="16.5" hidden="1">
      <c r="E12133" s="4" t="str">
        <v/>
      </c>
      <c r="F12133" s="102" t="str">
        <f ca="1">IFERROR(__xludf.DUMMYFUNCTION("IMPORTRANGE(H12133,""IDENTITAS UNIT!D9"")"),"#N/A")</f>
        <v>#N/A</v>
      </c>
      <c r="H12133" s="4" t="str">
        <v/>
      </c>
      <c r="I12133" s="4" t="str">
        <v/>
      </c>
    </row>
    <row r="12134" spans="5:9" ht="16.5" hidden="1">
      <c r="E12134" s="4" t="str">
        <v/>
      </c>
      <c r="F12134" s="102" t="str">
        <f ca="1">IFERROR(__xludf.DUMMYFUNCTION("IMPORTRANGE(H12134,""IDENTITAS UNIT!D9"")"),"#N/A")</f>
        <v>#N/A</v>
      </c>
      <c r="H12134" s="4" t="str">
        <v/>
      </c>
      <c r="I12134" s="4" t="str">
        <v/>
      </c>
    </row>
    <row r="12135" spans="5:9" ht="16.5" hidden="1">
      <c r="E12135" s="4" t="str">
        <v/>
      </c>
      <c r="F12135" s="102" t="str">
        <f ca="1">IFERROR(__xludf.DUMMYFUNCTION("IMPORTRANGE(H12135,""IDENTITAS UNIT!D9"")"),"#N/A")</f>
        <v>#N/A</v>
      </c>
      <c r="H12135" s="4" t="str">
        <v/>
      </c>
      <c r="I12135" s="4" t="str">
        <v/>
      </c>
    </row>
    <row r="12136" spans="5:9" ht="16.5" hidden="1">
      <c r="E12136" s="4" t="str">
        <v/>
      </c>
      <c r="F12136" s="102" t="str">
        <f ca="1">IFERROR(__xludf.DUMMYFUNCTION("IMPORTRANGE(H12136,""IDENTITAS UNIT!D9"")"),"#N/A")</f>
        <v>#N/A</v>
      </c>
      <c r="H12136" s="4" t="str">
        <v/>
      </c>
      <c r="I12136" s="4" t="str">
        <v/>
      </c>
    </row>
    <row r="12137" spans="5:9" ht="16.5" hidden="1">
      <c r="E12137" s="4" t="str">
        <v/>
      </c>
      <c r="F12137" s="102" t="str">
        <f ca="1">IFERROR(__xludf.DUMMYFUNCTION("IMPORTRANGE(H12137,""IDENTITAS UNIT!D9"")"),"#N/A")</f>
        <v>#N/A</v>
      </c>
      <c r="H12137" s="4" t="str">
        <v/>
      </c>
      <c r="I12137" s="4" t="str">
        <v/>
      </c>
    </row>
    <row r="12138" spans="5:9" ht="16.5" hidden="1">
      <c r="E12138" s="4" t="str">
        <v/>
      </c>
      <c r="F12138" s="102" t="str">
        <f ca="1">IFERROR(__xludf.DUMMYFUNCTION("IMPORTRANGE(H12138,""IDENTITAS UNIT!D9"")"),"#N/A")</f>
        <v>#N/A</v>
      </c>
      <c r="H12138" s="4" t="str">
        <v/>
      </c>
      <c r="I12138" s="4" t="str">
        <v/>
      </c>
    </row>
    <row r="12139" spans="5:9" ht="16.5" hidden="1">
      <c r="E12139" s="4" t="str">
        <v/>
      </c>
      <c r="F12139" s="102" t="str">
        <f ca="1">IFERROR(__xludf.DUMMYFUNCTION("IMPORTRANGE(H12139,""IDENTITAS UNIT!D9"")"),"#N/A")</f>
        <v>#N/A</v>
      </c>
      <c r="H12139" s="4" t="str">
        <v/>
      </c>
      <c r="I12139" s="4" t="str">
        <v/>
      </c>
    </row>
    <row r="12140" spans="5:9" ht="16.5" hidden="1">
      <c r="E12140" s="4" t="str">
        <v/>
      </c>
      <c r="F12140" s="102" t="str">
        <f ca="1">IFERROR(__xludf.DUMMYFUNCTION("IMPORTRANGE(H12140,""IDENTITAS UNIT!D9"")"),"#N/A")</f>
        <v>#N/A</v>
      </c>
      <c r="H12140" s="4" t="str">
        <v/>
      </c>
      <c r="I12140" s="4" t="str">
        <v/>
      </c>
    </row>
    <row r="12141" spans="5:9" ht="16.5" hidden="1">
      <c r="E12141" s="4" t="str">
        <v/>
      </c>
      <c r="F12141" s="102" t="str">
        <f ca="1">IFERROR(__xludf.DUMMYFUNCTION("IMPORTRANGE(H12141,""IDENTITAS UNIT!D9"")"),"#N/A")</f>
        <v>#N/A</v>
      </c>
      <c r="H12141" s="4" t="str">
        <v/>
      </c>
      <c r="I12141" s="4" t="str">
        <v/>
      </c>
    </row>
    <row r="12142" spans="5:9" ht="16.5" hidden="1">
      <c r="E12142" s="4" t="str">
        <v/>
      </c>
      <c r="F12142" s="102" t="str">
        <f ca="1">IFERROR(__xludf.DUMMYFUNCTION("IMPORTRANGE(H12142,""IDENTITAS UNIT!D9"")"),"#N/A")</f>
        <v>#N/A</v>
      </c>
      <c r="H12142" s="4" t="str">
        <v/>
      </c>
      <c r="I12142" s="4" t="str">
        <v/>
      </c>
    </row>
    <row r="12143" spans="5:9" ht="16.5" hidden="1">
      <c r="E12143" s="4" t="str">
        <v/>
      </c>
      <c r="F12143" s="102" t="str">
        <f ca="1">IFERROR(__xludf.DUMMYFUNCTION("IMPORTRANGE(H12143,""IDENTITAS UNIT!D9"")"),"#N/A")</f>
        <v>#N/A</v>
      </c>
      <c r="H12143" s="4" t="str">
        <v/>
      </c>
      <c r="I12143" s="4" t="str">
        <v/>
      </c>
    </row>
    <row r="12144" spans="5:9" ht="16.5" hidden="1">
      <c r="E12144" s="4" t="str">
        <v/>
      </c>
      <c r="F12144" s="102" t="str">
        <f ca="1">IFERROR(__xludf.DUMMYFUNCTION("IMPORTRANGE(H12144,""IDENTITAS UNIT!D9"")"),"#N/A")</f>
        <v>#N/A</v>
      </c>
      <c r="H12144" s="4" t="str">
        <v/>
      </c>
      <c r="I12144" s="4" t="str">
        <v/>
      </c>
    </row>
    <row r="12145" spans="5:9" ht="16.5" hidden="1">
      <c r="E12145" s="4" t="str">
        <v/>
      </c>
      <c r="F12145" s="102" t="str">
        <f ca="1">IFERROR(__xludf.DUMMYFUNCTION("IMPORTRANGE(H12145,""IDENTITAS UNIT!D9"")"),"#N/A")</f>
        <v>#N/A</v>
      </c>
      <c r="H12145" s="4" t="str">
        <v/>
      </c>
      <c r="I12145" s="4" t="str">
        <v/>
      </c>
    </row>
    <row r="12146" spans="5:9" ht="16.5" hidden="1">
      <c r="E12146" s="4" t="str">
        <v/>
      </c>
      <c r="F12146" s="102" t="str">
        <f ca="1">IFERROR(__xludf.DUMMYFUNCTION("IMPORTRANGE(H12146,""IDENTITAS UNIT!D9"")"),"#N/A")</f>
        <v>#N/A</v>
      </c>
      <c r="H12146" s="4" t="str">
        <v/>
      </c>
      <c r="I12146" s="4" t="str">
        <v/>
      </c>
    </row>
    <row r="12147" spans="5:9" ht="16.5" hidden="1">
      <c r="E12147" s="4" t="str">
        <v/>
      </c>
      <c r="F12147" s="102" t="str">
        <f ca="1">IFERROR(__xludf.DUMMYFUNCTION("IMPORTRANGE(H12147,""IDENTITAS UNIT!D9"")"),"#N/A")</f>
        <v>#N/A</v>
      </c>
      <c r="H12147" s="4" t="str">
        <v/>
      </c>
      <c r="I12147" s="4" t="str">
        <v/>
      </c>
    </row>
    <row r="12148" spans="5:9" ht="16.5" hidden="1">
      <c r="E12148" s="4" t="str">
        <v/>
      </c>
      <c r="F12148" s="102" t="str">
        <f ca="1">IFERROR(__xludf.DUMMYFUNCTION("IMPORTRANGE(H12148,""IDENTITAS UNIT!D9"")"),"#N/A")</f>
        <v>#N/A</v>
      </c>
      <c r="H12148" s="4" t="str">
        <v/>
      </c>
      <c r="I12148" s="4" t="str">
        <v/>
      </c>
    </row>
    <row r="12149" spans="5:9" ht="16.5" hidden="1">
      <c r="E12149" s="4" t="str">
        <v/>
      </c>
      <c r="F12149" s="102" t="str">
        <f ca="1">IFERROR(__xludf.DUMMYFUNCTION("IMPORTRANGE(H12149,""IDENTITAS UNIT!D9"")"),"#N/A")</f>
        <v>#N/A</v>
      </c>
      <c r="H12149" s="4" t="str">
        <v/>
      </c>
      <c r="I12149" s="4" t="str">
        <v/>
      </c>
    </row>
    <row r="12150" spans="5:9" ht="16.5" hidden="1">
      <c r="E12150" s="4" t="str">
        <v/>
      </c>
      <c r="F12150" s="102" t="str">
        <f ca="1">IFERROR(__xludf.DUMMYFUNCTION("IMPORTRANGE(H12150,""IDENTITAS UNIT!D9"")"),"#N/A")</f>
        <v>#N/A</v>
      </c>
      <c r="H12150" s="4" t="str">
        <v/>
      </c>
      <c r="I12150" s="4" t="str">
        <v/>
      </c>
    </row>
    <row r="12151" spans="5:9" ht="16.5" hidden="1">
      <c r="E12151" s="4" t="str">
        <v/>
      </c>
      <c r="F12151" s="102" t="str">
        <f ca="1">IFERROR(__xludf.DUMMYFUNCTION("IMPORTRANGE(H12151,""IDENTITAS UNIT!D9"")"),"#N/A")</f>
        <v>#N/A</v>
      </c>
      <c r="H12151" s="4" t="str">
        <v/>
      </c>
      <c r="I12151" s="4" t="str">
        <v/>
      </c>
    </row>
    <row r="12152" spans="5:9" ht="16.5" hidden="1">
      <c r="E12152" s="4" t="str">
        <v/>
      </c>
      <c r="F12152" s="102" t="str">
        <f ca="1">IFERROR(__xludf.DUMMYFUNCTION("IMPORTRANGE(H12152,""IDENTITAS UNIT!D9"")"),"#N/A")</f>
        <v>#N/A</v>
      </c>
      <c r="H12152" s="4" t="str">
        <v/>
      </c>
      <c r="I12152" s="4" t="str">
        <v/>
      </c>
    </row>
    <row r="12153" spans="5:9" ht="16.5" hidden="1">
      <c r="E12153" s="4" t="str">
        <v/>
      </c>
      <c r="F12153" s="102" t="str">
        <f ca="1">IFERROR(__xludf.DUMMYFUNCTION("IMPORTRANGE(H12153,""IDENTITAS UNIT!D9"")"),"#N/A")</f>
        <v>#N/A</v>
      </c>
      <c r="H12153" s="4" t="str">
        <v/>
      </c>
      <c r="I12153" s="4" t="str">
        <v/>
      </c>
    </row>
    <row r="12154" spans="5:9" ht="16.5" hidden="1">
      <c r="E12154" s="4" t="str">
        <v/>
      </c>
      <c r="F12154" s="102" t="str">
        <f ca="1">IFERROR(__xludf.DUMMYFUNCTION("IMPORTRANGE(H12154,""IDENTITAS UNIT!D9"")"),"#N/A")</f>
        <v>#N/A</v>
      </c>
      <c r="H12154" s="4" t="str">
        <v/>
      </c>
      <c r="I12154" s="4" t="str">
        <v/>
      </c>
    </row>
    <row r="12155" spans="5:9" ht="16.5" hidden="1">
      <c r="E12155" s="4" t="str">
        <v/>
      </c>
      <c r="F12155" s="102" t="str">
        <f ca="1">IFERROR(__xludf.DUMMYFUNCTION("IMPORTRANGE(H12155,""IDENTITAS UNIT!D9"")"),"#N/A")</f>
        <v>#N/A</v>
      </c>
      <c r="H12155" s="4" t="str">
        <v/>
      </c>
      <c r="I12155" s="4" t="str">
        <v/>
      </c>
    </row>
    <row r="12156" spans="5:9" ht="16.5" hidden="1">
      <c r="E12156" s="4" t="str">
        <v/>
      </c>
      <c r="F12156" s="102" t="str">
        <f ca="1">IFERROR(__xludf.DUMMYFUNCTION("IMPORTRANGE(H12156,""IDENTITAS UNIT!D9"")"),"#N/A")</f>
        <v>#N/A</v>
      </c>
      <c r="H12156" s="4" t="str">
        <v/>
      </c>
      <c r="I12156" s="4" t="str">
        <v/>
      </c>
    </row>
    <row r="12157" spans="5:9" ht="16.5" hidden="1">
      <c r="E12157" s="4" t="str">
        <v/>
      </c>
      <c r="F12157" s="102" t="str">
        <f ca="1">IFERROR(__xludf.DUMMYFUNCTION("IMPORTRANGE(H12157,""IDENTITAS UNIT!D9"")"),"#N/A")</f>
        <v>#N/A</v>
      </c>
      <c r="H12157" s="4" t="str">
        <v/>
      </c>
      <c r="I12157" s="4" t="str">
        <v/>
      </c>
    </row>
    <row r="12158" spans="5:9" ht="16.5" hidden="1">
      <c r="E12158" s="4" t="str">
        <v/>
      </c>
      <c r="F12158" s="102" t="str">
        <f ca="1">IFERROR(__xludf.DUMMYFUNCTION("IMPORTRANGE(H12158,""IDENTITAS UNIT!D9"")"),"#N/A")</f>
        <v>#N/A</v>
      </c>
      <c r="H12158" s="4" t="str">
        <v/>
      </c>
      <c r="I12158" s="4" t="str">
        <v/>
      </c>
    </row>
    <row r="12159" spans="5:9" ht="16.5" hidden="1">
      <c r="E12159" s="4" t="str">
        <v/>
      </c>
      <c r="F12159" s="102" t="str">
        <f ca="1">IFERROR(__xludf.DUMMYFUNCTION("IMPORTRANGE(H12159,""IDENTITAS UNIT!D9"")"),"#N/A")</f>
        <v>#N/A</v>
      </c>
      <c r="H12159" s="4" t="str">
        <v/>
      </c>
      <c r="I12159" s="4" t="str">
        <v/>
      </c>
    </row>
    <row r="12160" spans="5:9" ht="16.5" hidden="1">
      <c r="E12160" s="4" t="str">
        <v/>
      </c>
      <c r="F12160" s="102" t="str">
        <f ca="1">IFERROR(__xludf.DUMMYFUNCTION("IMPORTRANGE(H12160,""IDENTITAS UNIT!D9"")"),"#N/A")</f>
        <v>#N/A</v>
      </c>
      <c r="H12160" s="4" t="str">
        <v/>
      </c>
      <c r="I12160" s="4" t="str">
        <v/>
      </c>
    </row>
    <row r="12161" spans="5:9" ht="16.5" hidden="1">
      <c r="E12161" s="4" t="str">
        <v/>
      </c>
      <c r="F12161" s="102" t="str">
        <f ca="1">IFERROR(__xludf.DUMMYFUNCTION("IMPORTRANGE(H12161,""IDENTITAS UNIT!D9"")"),"#N/A")</f>
        <v>#N/A</v>
      </c>
      <c r="H12161" s="4" t="str">
        <v/>
      </c>
      <c r="I12161" s="4" t="str">
        <v/>
      </c>
    </row>
    <row r="12162" spans="5:9" ht="16.5" hidden="1">
      <c r="E12162" s="4" t="str">
        <v/>
      </c>
      <c r="F12162" s="102" t="str">
        <f ca="1">IFERROR(__xludf.DUMMYFUNCTION("IMPORTRANGE(H12162,""IDENTITAS UNIT!D9"")"),"#N/A")</f>
        <v>#N/A</v>
      </c>
      <c r="H12162" s="4" t="str">
        <v/>
      </c>
      <c r="I12162" s="4" t="str">
        <v/>
      </c>
    </row>
    <row r="12163" spans="5:9" ht="16.5" hidden="1">
      <c r="E12163" s="4" t="str">
        <v/>
      </c>
      <c r="F12163" s="102" t="str">
        <f ca="1">IFERROR(__xludf.DUMMYFUNCTION("IMPORTRANGE(H12163,""IDENTITAS UNIT!D9"")"),"#N/A")</f>
        <v>#N/A</v>
      </c>
      <c r="H12163" s="4" t="str">
        <v/>
      </c>
      <c r="I12163" s="4" t="str">
        <v/>
      </c>
    </row>
    <row r="12164" spans="5:9" ht="16.5" hidden="1">
      <c r="E12164" s="4" t="str">
        <v/>
      </c>
      <c r="F12164" s="102" t="str">
        <f ca="1">IFERROR(__xludf.DUMMYFUNCTION("IMPORTRANGE(H12164,""IDENTITAS UNIT!D9"")"),"#N/A")</f>
        <v>#N/A</v>
      </c>
      <c r="H12164" s="4" t="str">
        <v/>
      </c>
      <c r="I12164" s="4" t="str">
        <v/>
      </c>
    </row>
    <row r="12165" spans="5:9" ht="16.5" hidden="1">
      <c r="E12165" s="4" t="str">
        <v/>
      </c>
      <c r="F12165" s="102" t="str">
        <f ca="1">IFERROR(__xludf.DUMMYFUNCTION("IMPORTRANGE(H12165,""IDENTITAS UNIT!D9"")"),"#N/A")</f>
        <v>#N/A</v>
      </c>
      <c r="H12165" s="4" t="str">
        <v/>
      </c>
      <c r="I12165" s="4" t="str">
        <v/>
      </c>
    </row>
    <row r="12166" spans="5:9" ht="16.5" hidden="1">
      <c r="E12166" s="4" t="str">
        <v/>
      </c>
      <c r="F12166" s="102" t="str">
        <f ca="1">IFERROR(__xludf.DUMMYFUNCTION("IMPORTRANGE(H12166,""IDENTITAS UNIT!D9"")"),"#N/A")</f>
        <v>#N/A</v>
      </c>
      <c r="H12166" s="4" t="str">
        <v/>
      </c>
      <c r="I12166" s="4" t="str">
        <v/>
      </c>
    </row>
    <row r="12167" spans="5:9" ht="16.5" hidden="1">
      <c r="E12167" s="4" t="str">
        <v/>
      </c>
      <c r="F12167" s="102" t="str">
        <f ca="1">IFERROR(__xludf.DUMMYFUNCTION("IMPORTRANGE(H12167,""IDENTITAS UNIT!D9"")"),"#N/A")</f>
        <v>#N/A</v>
      </c>
      <c r="H12167" s="4" t="str">
        <v/>
      </c>
      <c r="I12167" s="4" t="str">
        <v/>
      </c>
    </row>
    <row r="12168" spans="5:9" ht="16.5" hidden="1">
      <c r="E12168" s="4" t="str">
        <v/>
      </c>
      <c r="F12168" s="102" t="str">
        <f ca="1">IFERROR(__xludf.DUMMYFUNCTION("IMPORTRANGE(H12168,""IDENTITAS UNIT!D9"")"),"#N/A")</f>
        <v>#N/A</v>
      </c>
      <c r="H12168" s="4" t="str">
        <v/>
      </c>
      <c r="I12168" s="4" t="str">
        <v/>
      </c>
    </row>
    <row r="12169" spans="5:9" ht="16.5" hidden="1">
      <c r="E12169" s="4" t="str">
        <v/>
      </c>
      <c r="F12169" s="102" t="str">
        <f ca="1">IFERROR(__xludf.DUMMYFUNCTION("IMPORTRANGE(H12169,""IDENTITAS UNIT!D9"")"),"#N/A")</f>
        <v>#N/A</v>
      </c>
      <c r="H12169" s="4" t="str">
        <v/>
      </c>
      <c r="I12169" s="4" t="str">
        <v/>
      </c>
    </row>
    <row r="12170" spans="5:9" ht="16.5" hidden="1">
      <c r="E12170" s="4" t="str">
        <v/>
      </c>
      <c r="F12170" s="102" t="str">
        <f ca="1">IFERROR(__xludf.DUMMYFUNCTION("IMPORTRANGE(H12170,""IDENTITAS UNIT!D9"")"),"#N/A")</f>
        <v>#N/A</v>
      </c>
      <c r="H12170" s="4" t="str">
        <v/>
      </c>
      <c r="I12170" s="4" t="str">
        <v/>
      </c>
    </row>
    <row r="12171" spans="5:9" ht="16.5" hidden="1">
      <c r="E12171" s="4" t="str">
        <v/>
      </c>
      <c r="F12171" s="102" t="str">
        <f ca="1">IFERROR(__xludf.DUMMYFUNCTION("IMPORTRANGE(H12171,""IDENTITAS UNIT!D9"")"),"#N/A")</f>
        <v>#N/A</v>
      </c>
      <c r="H12171" s="4" t="str">
        <v/>
      </c>
      <c r="I12171" s="4" t="str">
        <v/>
      </c>
    </row>
    <row r="12172" spans="5:9" ht="16.5" hidden="1">
      <c r="E12172" s="4" t="str">
        <v/>
      </c>
      <c r="F12172" s="102" t="str">
        <f ca="1">IFERROR(__xludf.DUMMYFUNCTION("IMPORTRANGE(H12172,""IDENTITAS UNIT!D9"")"),"#N/A")</f>
        <v>#N/A</v>
      </c>
      <c r="H12172" s="4" t="str">
        <v/>
      </c>
      <c r="I12172" s="4" t="str">
        <v/>
      </c>
    </row>
    <row r="12173" spans="5:9" ht="16.5" hidden="1">
      <c r="E12173" s="4" t="str">
        <v/>
      </c>
      <c r="F12173" s="102" t="str">
        <f ca="1">IFERROR(__xludf.DUMMYFUNCTION("IMPORTRANGE(H12173,""IDENTITAS UNIT!D9"")"),"#N/A")</f>
        <v>#N/A</v>
      </c>
      <c r="H12173" s="4" t="str">
        <v/>
      </c>
      <c r="I12173" s="4" t="str">
        <v/>
      </c>
    </row>
    <row r="12174" spans="5:9" ht="16.5" hidden="1">
      <c r="E12174" s="4" t="str">
        <v/>
      </c>
      <c r="F12174" s="102" t="str">
        <f ca="1">IFERROR(__xludf.DUMMYFUNCTION("IMPORTRANGE(H12174,""IDENTITAS UNIT!D9"")"),"#N/A")</f>
        <v>#N/A</v>
      </c>
      <c r="H12174" s="4" t="str">
        <v/>
      </c>
      <c r="I12174" s="4" t="str">
        <v/>
      </c>
    </row>
    <row r="12175" spans="5:9" ht="16.5" hidden="1">
      <c r="E12175" s="4" t="str">
        <v/>
      </c>
      <c r="F12175" s="102" t="str">
        <f ca="1">IFERROR(__xludf.DUMMYFUNCTION("IMPORTRANGE(H12175,""IDENTITAS UNIT!D9"")"),"#N/A")</f>
        <v>#N/A</v>
      </c>
      <c r="H12175" s="4" t="str">
        <v/>
      </c>
      <c r="I12175" s="4" t="str">
        <v/>
      </c>
    </row>
    <row r="12176" spans="5:9" ht="16.5" hidden="1">
      <c r="E12176" s="4" t="str">
        <v/>
      </c>
      <c r="F12176" s="102" t="str">
        <f ca="1">IFERROR(__xludf.DUMMYFUNCTION("IMPORTRANGE(H12176,""IDENTITAS UNIT!D9"")"),"#N/A")</f>
        <v>#N/A</v>
      </c>
      <c r="H12176" s="4" t="str">
        <v/>
      </c>
      <c r="I12176" s="4" t="str">
        <v/>
      </c>
    </row>
    <row r="12177" spans="5:9" ht="16.5" hidden="1">
      <c r="E12177" s="4" t="str">
        <v/>
      </c>
      <c r="F12177" s="102" t="str">
        <f ca="1">IFERROR(__xludf.DUMMYFUNCTION("IMPORTRANGE(H12177,""IDENTITAS UNIT!D9"")"),"#N/A")</f>
        <v>#N/A</v>
      </c>
      <c r="H12177" s="4" t="str">
        <v/>
      </c>
      <c r="I12177" s="4" t="str">
        <v/>
      </c>
    </row>
    <row r="12178" spans="5:9" ht="16.5" hidden="1">
      <c r="E12178" s="4" t="str">
        <v/>
      </c>
      <c r="F12178" s="102" t="str">
        <f ca="1">IFERROR(__xludf.DUMMYFUNCTION("IMPORTRANGE(H12178,""IDENTITAS UNIT!D9"")"),"#N/A")</f>
        <v>#N/A</v>
      </c>
      <c r="H12178" s="4" t="str">
        <v/>
      </c>
      <c r="I12178" s="4" t="str">
        <v/>
      </c>
    </row>
    <row r="12179" spans="5:9" ht="16.5" hidden="1">
      <c r="E12179" s="4" t="str">
        <v/>
      </c>
      <c r="F12179" s="102" t="str">
        <f ca="1">IFERROR(__xludf.DUMMYFUNCTION("IMPORTRANGE(H12179,""IDENTITAS UNIT!D9"")"),"#N/A")</f>
        <v>#N/A</v>
      </c>
      <c r="H12179" s="4" t="str">
        <v/>
      </c>
      <c r="I12179" s="4" t="str">
        <v/>
      </c>
    </row>
    <row r="12180" spans="5:9" ht="16.5" hidden="1">
      <c r="E12180" s="4" t="str">
        <v/>
      </c>
      <c r="F12180" s="102" t="str">
        <f ca="1">IFERROR(__xludf.DUMMYFUNCTION("IMPORTRANGE(H12180,""IDENTITAS UNIT!D9"")"),"#N/A")</f>
        <v>#N/A</v>
      </c>
      <c r="H12180" s="4" t="str">
        <v/>
      </c>
      <c r="I12180" s="4" t="str">
        <v/>
      </c>
    </row>
    <row r="12181" spans="5:9" ht="16.5" hidden="1">
      <c r="E12181" s="4" t="str">
        <v/>
      </c>
      <c r="F12181" s="102" t="str">
        <f ca="1">IFERROR(__xludf.DUMMYFUNCTION("IMPORTRANGE(H12181,""IDENTITAS UNIT!D9"")"),"#N/A")</f>
        <v>#N/A</v>
      </c>
      <c r="H12181" s="4" t="str">
        <v/>
      </c>
      <c r="I12181" s="4" t="str">
        <v/>
      </c>
    </row>
    <row r="12182" spans="5:9" ht="16.5" hidden="1">
      <c r="E12182" s="4" t="str">
        <v/>
      </c>
      <c r="F12182" s="102" t="str">
        <f ca="1">IFERROR(__xludf.DUMMYFUNCTION("IMPORTRANGE(H12182,""IDENTITAS UNIT!D9"")"),"#N/A")</f>
        <v>#N/A</v>
      </c>
      <c r="H12182" s="4" t="str">
        <v/>
      </c>
      <c r="I12182" s="4" t="str">
        <v/>
      </c>
    </row>
    <row r="12183" spans="5:9" ht="16.5" hidden="1">
      <c r="E12183" s="4" t="str">
        <v/>
      </c>
      <c r="F12183" s="102" t="str">
        <f ca="1">IFERROR(__xludf.DUMMYFUNCTION("IMPORTRANGE(H12183,""IDENTITAS UNIT!D9"")"),"#N/A")</f>
        <v>#N/A</v>
      </c>
      <c r="H12183" s="4" t="str">
        <v/>
      </c>
      <c r="I12183" s="4" t="str">
        <v/>
      </c>
    </row>
    <row r="12184" spans="5:9" ht="16.5" hidden="1">
      <c r="E12184" s="4" t="str">
        <v/>
      </c>
      <c r="F12184" s="102" t="str">
        <f ca="1">IFERROR(__xludf.DUMMYFUNCTION("IMPORTRANGE(H12184,""IDENTITAS UNIT!D9"")"),"#N/A")</f>
        <v>#N/A</v>
      </c>
      <c r="H12184" s="4" t="str">
        <v/>
      </c>
      <c r="I12184" s="4" t="str">
        <v/>
      </c>
    </row>
    <row r="12185" spans="5:9" ht="16.5" hidden="1">
      <c r="E12185" s="4" t="str">
        <v/>
      </c>
      <c r="F12185" s="102" t="str">
        <f ca="1">IFERROR(__xludf.DUMMYFUNCTION("IMPORTRANGE(H12185,""IDENTITAS UNIT!D9"")"),"#N/A")</f>
        <v>#N/A</v>
      </c>
      <c r="H12185" s="4" t="str">
        <v/>
      </c>
      <c r="I12185" s="4" t="str">
        <v/>
      </c>
    </row>
    <row r="12186" spans="5:9" ht="16.5" hidden="1">
      <c r="E12186" s="4" t="str">
        <v/>
      </c>
      <c r="F12186" s="102" t="str">
        <f ca="1">IFERROR(__xludf.DUMMYFUNCTION("IMPORTRANGE(H12186,""IDENTITAS UNIT!D9"")"),"#N/A")</f>
        <v>#N/A</v>
      </c>
      <c r="H12186" s="4" t="str">
        <v/>
      </c>
      <c r="I12186" s="4" t="str">
        <v/>
      </c>
    </row>
    <row r="12187" spans="5:9" ht="16.5" hidden="1">
      <c r="E12187" s="4" t="str">
        <v/>
      </c>
      <c r="F12187" s="102" t="str">
        <f ca="1">IFERROR(__xludf.DUMMYFUNCTION("IMPORTRANGE(H12187,""IDENTITAS UNIT!D9"")"),"#N/A")</f>
        <v>#N/A</v>
      </c>
      <c r="H12187" s="4" t="str">
        <v/>
      </c>
      <c r="I12187" s="4" t="str">
        <v/>
      </c>
    </row>
    <row r="12188" spans="5:9" ht="16.5" hidden="1">
      <c r="E12188" s="4" t="str">
        <v/>
      </c>
      <c r="F12188" s="102" t="str">
        <f ca="1">IFERROR(__xludf.DUMMYFUNCTION("IMPORTRANGE(H12188,""IDENTITAS UNIT!D9"")"),"#N/A")</f>
        <v>#N/A</v>
      </c>
      <c r="H12188" s="4" t="str">
        <v/>
      </c>
      <c r="I12188" s="4" t="str">
        <v/>
      </c>
    </row>
    <row r="12189" spans="5:9" ht="16.5" hidden="1">
      <c r="E12189" s="4" t="str">
        <v/>
      </c>
      <c r="F12189" s="102" t="str">
        <f ca="1">IFERROR(__xludf.DUMMYFUNCTION("IMPORTRANGE(H12189,""IDENTITAS UNIT!D9"")"),"#N/A")</f>
        <v>#N/A</v>
      </c>
      <c r="H12189" s="4" t="str">
        <v/>
      </c>
      <c r="I12189" s="4" t="str">
        <v/>
      </c>
    </row>
    <row r="12190" spans="5:9" ht="16.5" hidden="1">
      <c r="E12190" s="4" t="str">
        <v/>
      </c>
      <c r="F12190" s="102" t="str">
        <f ca="1">IFERROR(__xludf.DUMMYFUNCTION("IMPORTRANGE(H12190,""IDENTITAS UNIT!D9"")"),"#N/A")</f>
        <v>#N/A</v>
      </c>
      <c r="H12190" s="4" t="str">
        <v/>
      </c>
      <c r="I12190" s="4" t="str">
        <v/>
      </c>
    </row>
    <row r="12191" spans="5:9" ht="16.5" hidden="1">
      <c r="E12191" s="4" t="str">
        <v/>
      </c>
      <c r="F12191" s="102" t="str">
        <f ca="1">IFERROR(__xludf.DUMMYFUNCTION("IMPORTRANGE(H12191,""IDENTITAS UNIT!D9"")"),"#N/A")</f>
        <v>#N/A</v>
      </c>
      <c r="H12191" s="4" t="str">
        <v/>
      </c>
      <c r="I12191" s="4" t="str">
        <v/>
      </c>
    </row>
    <row r="12192" spans="5:9" ht="16.5" hidden="1">
      <c r="E12192" s="4" t="str">
        <v/>
      </c>
      <c r="F12192" s="102" t="str">
        <f ca="1">IFERROR(__xludf.DUMMYFUNCTION("IMPORTRANGE(H12192,""IDENTITAS UNIT!D9"")"),"#N/A")</f>
        <v>#N/A</v>
      </c>
      <c r="H12192" s="4" t="str">
        <v/>
      </c>
      <c r="I12192" s="4" t="str">
        <v/>
      </c>
    </row>
    <row r="12193" spans="5:9" ht="16.5" hidden="1">
      <c r="E12193" s="4" t="str">
        <v/>
      </c>
      <c r="F12193" s="102" t="str">
        <f ca="1">IFERROR(__xludf.DUMMYFUNCTION("IMPORTRANGE(H12193,""IDENTITAS UNIT!D9"")"),"#N/A")</f>
        <v>#N/A</v>
      </c>
      <c r="H12193" s="4" t="str">
        <v/>
      </c>
      <c r="I12193" s="4" t="str">
        <v/>
      </c>
    </row>
    <row r="12194" spans="5:9" ht="16.5" hidden="1">
      <c r="E12194" s="4" t="str">
        <v/>
      </c>
      <c r="F12194" s="102" t="str">
        <f ca="1">IFERROR(__xludf.DUMMYFUNCTION("IMPORTRANGE(H12194,""IDENTITAS UNIT!D9"")"),"#N/A")</f>
        <v>#N/A</v>
      </c>
      <c r="H12194" s="4" t="str">
        <v/>
      </c>
      <c r="I12194" s="4" t="str">
        <v/>
      </c>
    </row>
    <row r="12195" spans="5:9" ht="16.5" hidden="1">
      <c r="E12195" s="4" t="str">
        <v/>
      </c>
      <c r="F12195" s="102" t="str">
        <f ca="1">IFERROR(__xludf.DUMMYFUNCTION("IMPORTRANGE(H12195,""IDENTITAS UNIT!D9"")"),"#N/A")</f>
        <v>#N/A</v>
      </c>
      <c r="H12195" s="4" t="str">
        <v/>
      </c>
      <c r="I12195" s="4" t="str">
        <v/>
      </c>
    </row>
    <row r="12196" spans="5:9" ht="16.5" hidden="1">
      <c r="E12196" s="4" t="str">
        <v/>
      </c>
      <c r="F12196" s="102" t="str">
        <f ca="1">IFERROR(__xludf.DUMMYFUNCTION("IMPORTRANGE(H12196,""IDENTITAS UNIT!D9"")"),"#N/A")</f>
        <v>#N/A</v>
      </c>
      <c r="H12196" s="4" t="str">
        <v/>
      </c>
      <c r="I12196" s="4" t="str">
        <v/>
      </c>
    </row>
    <row r="12197" spans="5:9" ht="16.5" hidden="1">
      <c r="E12197" s="4" t="str">
        <v/>
      </c>
      <c r="F12197" s="102" t="str">
        <f ca="1">IFERROR(__xludf.DUMMYFUNCTION("IMPORTRANGE(H12197,""IDENTITAS UNIT!D9"")"),"#N/A")</f>
        <v>#N/A</v>
      </c>
      <c r="H12197" s="4" t="str">
        <v/>
      </c>
      <c r="I12197" s="4" t="str">
        <v/>
      </c>
    </row>
    <row r="12198" spans="5:9" ht="16.5" hidden="1">
      <c r="E12198" s="4" t="str">
        <v/>
      </c>
      <c r="F12198" s="102" t="str">
        <f ca="1">IFERROR(__xludf.DUMMYFUNCTION("IMPORTRANGE(H12198,""IDENTITAS UNIT!D9"")"),"#N/A")</f>
        <v>#N/A</v>
      </c>
      <c r="H12198" s="4" t="str">
        <v/>
      </c>
      <c r="I12198" s="4" t="str">
        <v/>
      </c>
    </row>
    <row r="12199" spans="5:9" ht="16.5" hidden="1">
      <c r="E12199" s="4" t="str">
        <v/>
      </c>
      <c r="F12199" s="102" t="str">
        <f ca="1">IFERROR(__xludf.DUMMYFUNCTION("IMPORTRANGE(H12199,""IDENTITAS UNIT!D9"")"),"#N/A")</f>
        <v>#N/A</v>
      </c>
      <c r="H12199" s="4" t="str">
        <v/>
      </c>
      <c r="I12199" s="4" t="str">
        <v/>
      </c>
    </row>
    <row r="12200" spans="5:9" ht="16.5" hidden="1">
      <c r="E12200" s="4" t="str">
        <v/>
      </c>
      <c r="F12200" s="102" t="str">
        <f ca="1">IFERROR(__xludf.DUMMYFUNCTION("IMPORTRANGE(H12200,""IDENTITAS UNIT!D9"")"),"#N/A")</f>
        <v>#N/A</v>
      </c>
      <c r="H12200" s="4" t="str">
        <v/>
      </c>
      <c r="I12200" s="4" t="str">
        <v/>
      </c>
    </row>
    <row r="12201" spans="5:9" ht="16.5" hidden="1">
      <c r="E12201" s="4" t="str">
        <v/>
      </c>
      <c r="F12201" s="102" t="str">
        <f ca="1">IFERROR(__xludf.DUMMYFUNCTION("IMPORTRANGE(H12201,""IDENTITAS UNIT!D9"")"),"#N/A")</f>
        <v>#N/A</v>
      </c>
      <c r="H12201" s="4" t="str">
        <v/>
      </c>
      <c r="I12201" s="4" t="str">
        <v/>
      </c>
    </row>
    <row r="12202" spans="5:9" ht="16.5" hidden="1">
      <c r="E12202" s="4" t="str">
        <v/>
      </c>
      <c r="F12202" s="102" t="str">
        <f ca="1">IFERROR(__xludf.DUMMYFUNCTION("IMPORTRANGE(H12202,""IDENTITAS UNIT!D9"")"),"#N/A")</f>
        <v>#N/A</v>
      </c>
      <c r="H12202" s="4" t="str">
        <v/>
      </c>
      <c r="I12202" s="4" t="str">
        <v/>
      </c>
    </row>
    <row r="12203" spans="5:9" ht="16.5" hidden="1">
      <c r="E12203" s="4" t="str">
        <v/>
      </c>
      <c r="F12203" s="102" t="str">
        <f ca="1">IFERROR(__xludf.DUMMYFUNCTION("IMPORTRANGE(H12203,""IDENTITAS UNIT!D9"")"),"#N/A")</f>
        <v>#N/A</v>
      </c>
      <c r="H12203" s="4" t="str">
        <v/>
      </c>
      <c r="I12203" s="4" t="str">
        <v/>
      </c>
    </row>
    <row r="12204" spans="5:9" ht="16.5" hidden="1">
      <c r="E12204" s="4" t="str">
        <v/>
      </c>
      <c r="F12204" s="102" t="str">
        <f ca="1">IFERROR(__xludf.DUMMYFUNCTION("IMPORTRANGE(H12204,""IDENTITAS UNIT!D9"")"),"#N/A")</f>
        <v>#N/A</v>
      </c>
      <c r="H12204" s="4" t="str">
        <v/>
      </c>
      <c r="I12204" s="4" t="str">
        <v/>
      </c>
    </row>
    <row r="12205" spans="5:9" ht="16.5" hidden="1">
      <c r="E12205" s="4" t="str">
        <v/>
      </c>
      <c r="F12205" s="102" t="str">
        <f ca="1">IFERROR(__xludf.DUMMYFUNCTION("IMPORTRANGE(H12205,""IDENTITAS UNIT!D9"")"),"#N/A")</f>
        <v>#N/A</v>
      </c>
      <c r="H12205" s="4" t="str">
        <v/>
      </c>
      <c r="I12205" s="4" t="str">
        <v/>
      </c>
    </row>
    <row r="12206" spans="5:9" ht="16.5" hidden="1">
      <c r="E12206" s="4" t="str">
        <v/>
      </c>
      <c r="F12206" s="102" t="str">
        <f ca="1">IFERROR(__xludf.DUMMYFUNCTION("IMPORTRANGE(H12206,""IDENTITAS UNIT!D9"")"),"#N/A")</f>
        <v>#N/A</v>
      </c>
      <c r="H12206" s="4" t="str">
        <v/>
      </c>
      <c r="I12206" s="4" t="str">
        <v/>
      </c>
    </row>
    <row r="12207" spans="5:9" ht="16.5" hidden="1">
      <c r="E12207" s="4" t="str">
        <v/>
      </c>
      <c r="F12207" s="102" t="str">
        <f ca="1">IFERROR(__xludf.DUMMYFUNCTION("IMPORTRANGE(H12207,""IDENTITAS UNIT!D9"")"),"#N/A")</f>
        <v>#N/A</v>
      </c>
      <c r="H12207" s="4" t="str">
        <v/>
      </c>
      <c r="I12207" s="4" t="str">
        <v/>
      </c>
    </row>
    <row r="12208" spans="5:9" ht="16.5" hidden="1">
      <c r="E12208" s="4" t="str">
        <v/>
      </c>
      <c r="F12208" s="102" t="str">
        <f ca="1">IFERROR(__xludf.DUMMYFUNCTION("IMPORTRANGE(H12208,""IDENTITAS UNIT!D9"")"),"#N/A")</f>
        <v>#N/A</v>
      </c>
      <c r="H12208" s="4" t="str">
        <v/>
      </c>
      <c r="I12208" s="4" t="str">
        <v/>
      </c>
    </row>
    <row r="12209" spans="5:9" ht="16.5" hidden="1">
      <c r="E12209" s="4" t="str">
        <v/>
      </c>
      <c r="F12209" s="102" t="str">
        <f ca="1">IFERROR(__xludf.DUMMYFUNCTION("IMPORTRANGE(H12209,""IDENTITAS UNIT!D9"")"),"#N/A")</f>
        <v>#N/A</v>
      </c>
      <c r="H12209" s="4" t="str">
        <v/>
      </c>
      <c r="I12209" s="4" t="str">
        <v/>
      </c>
    </row>
    <row r="12210" spans="5:9" ht="16.5" hidden="1">
      <c r="E12210" s="4" t="str">
        <v/>
      </c>
      <c r="F12210" s="102" t="str">
        <f ca="1">IFERROR(__xludf.DUMMYFUNCTION("IMPORTRANGE(H12210,""IDENTITAS UNIT!D9"")"),"#N/A")</f>
        <v>#N/A</v>
      </c>
      <c r="H12210" s="4" t="str">
        <v/>
      </c>
      <c r="I12210" s="4" t="str">
        <v/>
      </c>
    </row>
    <row r="12211" spans="5:9" ht="16.5" hidden="1">
      <c r="E12211" s="4" t="str">
        <v/>
      </c>
      <c r="F12211" s="102" t="str">
        <f ca="1">IFERROR(__xludf.DUMMYFUNCTION("IMPORTRANGE(H12211,""IDENTITAS UNIT!D9"")"),"#N/A")</f>
        <v>#N/A</v>
      </c>
      <c r="H12211" s="4" t="str">
        <v/>
      </c>
      <c r="I12211" s="4" t="str">
        <v/>
      </c>
    </row>
    <row r="12212" spans="5:9" ht="16.5" hidden="1">
      <c r="E12212" s="4" t="str">
        <v/>
      </c>
      <c r="F12212" s="102" t="str">
        <f ca="1">IFERROR(__xludf.DUMMYFUNCTION("IMPORTRANGE(H12212,""IDENTITAS UNIT!D9"")"),"#N/A")</f>
        <v>#N/A</v>
      </c>
      <c r="H12212" s="4" t="str">
        <v/>
      </c>
      <c r="I12212" s="4" t="str">
        <v/>
      </c>
    </row>
    <row r="12213" spans="5:9" ht="16.5" hidden="1">
      <c r="E12213" s="4" t="str">
        <v/>
      </c>
      <c r="F12213" s="102" t="str">
        <f ca="1">IFERROR(__xludf.DUMMYFUNCTION("IMPORTRANGE(H12213,""IDENTITAS UNIT!D9"")"),"#N/A")</f>
        <v>#N/A</v>
      </c>
      <c r="H12213" s="4" t="str">
        <v/>
      </c>
      <c r="I12213" s="4" t="str">
        <v/>
      </c>
    </row>
    <row r="12214" spans="5:9" ht="16.5" hidden="1">
      <c r="E12214" s="4" t="str">
        <v/>
      </c>
      <c r="F12214" s="102" t="str">
        <f ca="1">IFERROR(__xludf.DUMMYFUNCTION("IMPORTRANGE(H12214,""IDENTITAS UNIT!D9"")"),"#N/A")</f>
        <v>#N/A</v>
      </c>
      <c r="H12214" s="4" t="str">
        <v/>
      </c>
      <c r="I12214" s="4" t="str">
        <v/>
      </c>
    </row>
    <row r="12215" spans="5:9" ht="16.5" hidden="1">
      <c r="E12215" s="4" t="str">
        <v/>
      </c>
      <c r="F12215" s="102" t="str">
        <f ca="1">IFERROR(__xludf.DUMMYFUNCTION("IMPORTRANGE(H12215,""IDENTITAS UNIT!D9"")"),"#N/A")</f>
        <v>#N/A</v>
      </c>
      <c r="H12215" s="4" t="str">
        <v/>
      </c>
      <c r="I12215" s="4" t="str">
        <v/>
      </c>
    </row>
    <row r="12216" spans="5:9" ht="16.5" hidden="1">
      <c r="E12216" s="4" t="str">
        <v/>
      </c>
      <c r="F12216" s="102" t="str">
        <f ca="1">IFERROR(__xludf.DUMMYFUNCTION("IMPORTRANGE(H12216,""IDENTITAS UNIT!D9"")"),"#N/A")</f>
        <v>#N/A</v>
      </c>
      <c r="H12216" s="4" t="str">
        <v/>
      </c>
      <c r="I12216" s="4" t="str">
        <v/>
      </c>
    </row>
    <row r="12217" spans="5:9" ht="16.5" hidden="1">
      <c r="E12217" s="4" t="str">
        <v/>
      </c>
      <c r="F12217" s="102" t="str">
        <f ca="1">IFERROR(__xludf.DUMMYFUNCTION("IMPORTRANGE(H12217,""IDENTITAS UNIT!D9"")"),"#N/A")</f>
        <v>#N/A</v>
      </c>
      <c r="H12217" s="4" t="str">
        <v/>
      </c>
      <c r="I12217" s="4" t="str">
        <v/>
      </c>
    </row>
    <row r="12218" spans="5:9" ht="16.5" hidden="1">
      <c r="E12218" s="4" t="str">
        <v/>
      </c>
      <c r="F12218" s="102" t="str">
        <f ca="1">IFERROR(__xludf.DUMMYFUNCTION("IMPORTRANGE(H12218,""IDENTITAS UNIT!D9"")"),"#N/A")</f>
        <v>#N/A</v>
      </c>
      <c r="H12218" s="4" t="str">
        <v/>
      </c>
      <c r="I12218" s="4" t="str">
        <v/>
      </c>
    </row>
    <row r="12219" spans="5:9" ht="16.5" hidden="1">
      <c r="E12219" s="4" t="str">
        <v/>
      </c>
      <c r="F12219" s="102" t="str">
        <f ca="1">IFERROR(__xludf.DUMMYFUNCTION("IMPORTRANGE(H12219,""IDENTITAS UNIT!D9"")"),"#N/A")</f>
        <v>#N/A</v>
      </c>
      <c r="H12219" s="4" t="str">
        <v/>
      </c>
      <c r="I12219" s="4" t="str">
        <v/>
      </c>
    </row>
    <row r="12220" spans="5:9" ht="16.5" hidden="1">
      <c r="E12220" s="4" t="str">
        <v/>
      </c>
      <c r="F12220" s="102" t="str">
        <f ca="1">IFERROR(__xludf.DUMMYFUNCTION("IMPORTRANGE(H12220,""IDENTITAS UNIT!D9"")"),"#N/A")</f>
        <v>#N/A</v>
      </c>
      <c r="H12220" s="4" t="str">
        <v/>
      </c>
      <c r="I12220" s="4" t="str">
        <v/>
      </c>
    </row>
    <row r="12221" spans="5:9" ht="16.5" hidden="1">
      <c r="E12221" s="4" t="str">
        <v/>
      </c>
      <c r="F12221" s="102" t="str">
        <f ca="1">IFERROR(__xludf.DUMMYFUNCTION("IMPORTRANGE(H12221,""IDENTITAS UNIT!D9"")"),"#N/A")</f>
        <v>#N/A</v>
      </c>
      <c r="H12221" s="4" t="str">
        <v/>
      </c>
      <c r="I12221" s="4" t="str">
        <v/>
      </c>
    </row>
    <row r="12222" spans="5:9" ht="16.5" hidden="1">
      <c r="E12222" s="4" t="str">
        <v/>
      </c>
      <c r="F12222" s="102" t="str">
        <f ca="1">IFERROR(__xludf.DUMMYFUNCTION("IMPORTRANGE(H12222,""IDENTITAS UNIT!D9"")"),"#N/A")</f>
        <v>#N/A</v>
      </c>
      <c r="H12222" s="4" t="str">
        <v/>
      </c>
      <c r="I12222" s="4" t="str">
        <v/>
      </c>
    </row>
    <row r="12223" spans="5:9" ht="16.5" hidden="1">
      <c r="E12223" s="4" t="str">
        <v/>
      </c>
      <c r="F12223" s="102" t="str">
        <f ca="1">IFERROR(__xludf.DUMMYFUNCTION("IMPORTRANGE(H12223,""IDENTITAS UNIT!D9"")"),"#N/A")</f>
        <v>#N/A</v>
      </c>
      <c r="H12223" s="4" t="str">
        <v/>
      </c>
      <c r="I12223" s="4" t="str">
        <v/>
      </c>
    </row>
    <row r="12224" spans="5:9" ht="16.5" hidden="1">
      <c r="E12224" s="4" t="str">
        <v/>
      </c>
      <c r="F12224" s="102" t="str">
        <f ca="1">IFERROR(__xludf.DUMMYFUNCTION("IMPORTRANGE(H12224,""IDENTITAS UNIT!D9"")"),"#N/A")</f>
        <v>#N/A</v>
      </c>
      <c r="H12224" s="4" t="str">
        <v/>
      </c>
      <c r="I12224" s="4" t="str">
        <v/>
      </c>
    </row>
    <row r="12225" spans="5:9" ht="16.5" hidden="1">
      <c r="E12225" s="4" t="str">
        <v/>
      </c>
      <c r="F12225" s="102" t="str">
        <f ca="1">IFERROR(__xludf.DUMMYFUNCTION("IMPORTRANGE(H12225,""IDENTITAS UNIT!D9"")"),"#N/A")</f>
        <v>#N/A</v>
      </c>
      <c r="H12225" s="4" t="str">
        <v/>
      </c>
      <c r="I12225" s="4" t="str">
        <v/>
      </c>
    </row>
    <row r="12226" spans="5:9" ht="16.5" hidden="1">
      <c r="E12226" s="4" t="str">
        <v/>
      </c>
      <c r="F12226" s="102" t="str">
        <f ca="1">IFERROR(__xludf.DUMMYFUNCTION("IMPORTRANGE(H12226,""IDENTITAS UNIT!D9"")"),"#N/A")</f>
        <v>#N/A</v>
      </c>
      <c r="H12226" s="4" t="str">
        <v/>
      </c>
      <c r="I12226" s="4" t="str">
        <v/>
      </c>
    </row>
    <row r="12227" spans="5:9" ht="16.5" hidden="1">
      <c r="E12227" s="4" t="str">
        <v/>
      </c>
      <c r="F12227" s="102" t="str">
        <f ca="1">IFERROR(__xludf.DUMMYFUNCTION("IMPORTRANGE(H12227,""IDENTITAS UNIT!D9"")"),"#N/A")</f>
        <v>#N/A</v>
      </c>
      <c r="H12227" s="4" t="str">
        <v/>
      </c>
      <c r="I12227" s="4" t="str">
        <v/>
      </c>
    </row>
    <row r="12228" spans="5:9" ht="16.5" hidden="1">
      <c r="E12228" s="4" t="str">
        <v/>
      </c>
      <c r="F12228" s="102" t="str">
        <f ca="1">IFERROR(__xludf.DUMMYFUNCTION("IMPORTRANGE(H12228,""IDENTITAS UNIT!D9"")"),"#N/A")</f>
        <v>#N/A</v>
      </c>
      <c r="H12228" s="4" t="str">
        <v/>
      </c>
      <c r="I12228" s="4" t="str">
        <v/>
      </c>
    </row>
    <row r="12229" spans="5:9" ht="16.5" hidden="1">
      <c r="E12229" s="4" t="str">
        <v/>
      </c>
      <c r="F12229" s="102" t="str">
        <f ca="1">IFERROR(__xludf.DUMMYFUNCTION("IMPORTRANGE(H12229,""IDENTITAS UNIT!D9"")"),"#N/A")</f>
        <v>#N/A</v>
      </c>
      <c r="H12229" s="4" t="str">
        <v/>
      </c>
      <c r="I12229" s="4" t="str">
        <v/>
      </c>
    </row>
    <row r="12230" spans="5:9" ht="16.5" hidden="1">
      <c r="E12230" s="4" t="str">
        <v/>
      </c>
      <c r="F12230" s="102" t="str">
        <f ca="1">IFERROR(__xludf.DUMMYFUNCTION("IMPORTRANGE(H12230,""IDENTITAS UNIT!D9"")"),"#N/A")</f>
        <v>#N/A</v>
      </c>
      <c r="H12230" s="4" t="str">
        <v/>
      </c>
      <c r="I12230" s="4" t="str">
        <v/>
      </c>
    </row>
    <row r="12231" spans="5:9" ht="16.5" hidden="1">
      <c r="E12231" s="4" t="str">
        <v/>
      </c>
      <c r="F12231" s="102" t="str">
        <f ca="1">IFERROR(__xludf.DUMMYFUNCTION("IMPORTRANGE(H12231,""IDENTITAS UNIT!D9"")"),"#N/A")</f>
        <v>#N/A</v>
      </c>
      <c r="H12231" s="4" t="str">
        <v/>
      </c>
      <c r="I12231" s="4" t="str">
        <v/>
      </c>
    </row>
    <row r="12232" spans="5:9" ht="16.5" hidden="1">
      <c r="E12232" s="4" t="str">
        <v/>
      </c>
      <c r="F12232" s="102" t="str">
        <f ca="1">IFERROR(__xludf.DUMMYFUNCTION("IMPORTRANGE(H12232,""IDENTITAS UNIT!D9"")"),"#N/A")</f>
        <v>#N/A</v>
      </c>
      <c r="H12232" s="4" t="str">
        <v/>
      </c>
      <c r="I12232" s="4" t="str">
        <v/>
      </c>
    </row>
    <row r="12233" spans="5:9" ht="16.5" hidden="1">
      <c r="E12233" s="4" t="str">
        <v/>
      </c>
      <c r="F12233" s="102" t="str">
        <f ca="1">IFERROR(__xludf.DUMMYFUNCTION("IMPORTRANGE(H12233,""IDENTITAS UNIT!D9"")"),"#N/A")</f>
        <v>#N/A</v>
      </c>
      <c r="H12233" s="4" t="str">
        <v/>
      </c>
      <c r="I12233" s="4" t="str">
        <v/>
      </c>
    </row>
    <row r="12234" spans="5:9" ht="16.5" hidden="1">
      <c r="E12234" s="4" t="str">
        <v/>
      </c>
      <c r="F12234" s="102" t="str">
        <f ca="1">IFERROR(__xludf.DUMMYFUNCTION("IMPORTRANGE(H12234,""IDENTITAS UNIT!D9"")"),"#N/A")</f>
        <v>#N/A</v>
      </c>
      <c r="H12234" s="4" t="str">
        <v/>
      </c>
      <c r="I12234" s="4" t="str">
        <v/>
      </c>
    </row>
    <row r="12235" spans="5:9" ht="16.5" hidden="1">
      <c r="E12235" s="4" t="str">
        <v/>
      </c>
      <c r="F12235" s="102" t="str">
        <f ca="1">IFERROR(__xludf.DUMMYFUNCTION("IMPORTRANGE(H12235,""IDENTITAS UNIT!D9"")"),"#N/A")</f>
        <v>#N/A</v>
      </c>
      <c r="H12235" s="4" t="str">
        <v/>
      </c>
      <c r="I12235" s="4" t="str">
        <v/>
      </c>
    </row>
    <row r="12236" spans="5:9" ht="16.5" hidden="1">
      <c r="E12236" s="4" t="str">
        <v/>
      </c>
      <c r="F12236" s="102" t="str">
        <f ca="1">IFERROR(__xludf.DUMMYFUNCTION("IMPORTRANGE(H12236,""IDENTITAS UNIT!D9"")"),"#N/A")</f>
        <v>#N/A</v>
      </c>
      <c r="H12236" s="4" t="str">
        <v/>
      </c>
      <c r="I12236" s="4" t="str">
        <v/>
      </c>
    </row>
    <row r="12237" spans="5:9" ht="16.5" hidden="1">
      <c r="E12237" s="4" t="str">
        <v/>
      </c>
      <c r="F12237" s="102" t="str">
        <f ca="1">IFERROR(__xludf.DUMMYFUNCTION("IMPORTRANGE(H12237,""IDENTITAS UNIT!D9"")"),"#N/A")</f>
        <v>#N/A</v>
      </c>
      <c r="H12237" s="4" t="str">
        <v/>
      </c>
      <c r="I12237" s="4" t="str">
        <v/>
      </c>
    </row>
    <row r="12238" spans="5:9" ht="16.5" hidden="1">
      <c r="E12238" s="4" t="str">
        <v/>
      </c>
      <c r="F12238" s="102" t="str">
        <f ca="1">IFERROR(__xludf.DUMMYFUNCTION("IMPORTRANGE(H12238,""IDENTITAS UNIT!D9"")"),"#N/A")</f>
        <v>#N/A</v>
      </c>
      <c r="H12238" s="4" t="str">
        <v/>
      </c>
      <c r="I12238" s="4" t="str">
        <v/>
      </c>
    </row>
    <row r="12239" spans="5:9" ht="16.5" hidden="1">
      <c r="E12239" s="4" t="str">
        <v/>
      </c>
      <c r="F12239" s="102" t="str">
        <f ca="1">IFERROR(__xludf.DUMMYFUNCTION("IMPORTRANGE(H12239,""IDENTITAS UNIT!D9"")"),"#N/A")</f>
        <v>#N/A</v>
      </c>
      <c r="H12239" s="4" t="str">
        <v/>
      </c>
      <c r="I12239" s="4" t="str">
        <v/>
      </c>
    </row>
    <row r="12240" spans="5:9" ht="16.5" hidden="1">
      <c r="E12240" s="4" t="str">
        <v/>
      </c>
      <c r="F12240" s="102" t="str">
        <f ca="1">IFERROR(__xludf.DUMMYFUNCTION("IMPORTRANGE(H12240,""IDENTITAS UNIT!D9"")"),"#N/A")</f>
        <v>#N/A</v>
      </c>
      <c r="H12240" s="4" t="str">
        <v/>
      </c>
      <c r="I12240" s="4" t="str">
        <v/>
      </c>
    </row>
    <row r="12241" spans="5:9" ht="16.5" hidden="1">
      <c r="E12241" s="4" t="str">
        <v/>
      </c>
      <c r="F12241" s="102" t="str">
        <f ca="1">IFERROR(__xludf.DUMMYFUNCTION("IMPORTRANGE(H12241,""IDENTITAS UNIT!D9"")"),"#N/A")</f>
        <v>#N/A</v>
      </c>
      <c r="H12241" s="4" t="str">
        <v/>
      </c>
      <c r="I12241" s="4" t="str">
        <v/>
      </c>
    </row>
    <row r="12242" spans="5:9" ht="16.5" hidden="1">
      <c r="E12242" s="4" t="str">
        <v/>
      </c>
      <c r="F12242" s="102" t="str">
        <f ca="1">IFERROR(__xludf.DUMMYFUNCTION("IMPORTRANGE(H12242,""IDENTITAS UNIT!D9"")"),"#N/A")</f>
        <v>#N/A</v>
      </c>
      <c r="H12242" s="4" t="str">
        <v/>
      </c>
      <c r="I12242" s="4" t="str">
        <v/>
      </c>
    </row>
    <row r="12243" spans="5:9" ht="16.5" hidden="1">
      <c r="E12243" s="4" t="str">
        <v/>
      </c>
      <c r="F12243" s="102" t="str">
        <f ca="1">IFERROR(__xludf.DUMMYFUNCTION("IMPORTRANGE(H12243,""IDENTITAS UNIT!D9"")"),"#N/A")</f>
        <v>#N/A</v>
      </c>
      <c r="H12243" s="4" t="str">
        <v/>
      </c>
      <c r="I12243" s="4" t="str">
        <v/>
      </c>
    </row>
    <row r="12244" spans="5:9" ht="16.5" hidden="1">
      <c r="E12244" s="4" t="str">
        <v/>
      </c>
      <c r="F12244" s="102" t="str">
        <f ca="1">IFERROR(__xludf.DUMMYFUNCTION("IMPORTRANGE(H12244,""IDENTITAS UNIT!D9"")"),"#N/A")</f>
        <v>#N/A</v>
      </c>
      <c r="H12244" s="4" t="str">
        <v/>
      </c>
      <c r="I12244" s="4" t="str">
        <v/>
      </c>
    </row>
    <row r="12245" spans="5:9" ht="16.5" hidden="1">
      <c r="E12245" s="4" t="str">
        <v/>
      </c>
      <c r="F12245" s="102" t="str">
        <f ca="1">IFERROR(__xludf.DUMMYFUNCTION("IMPORTRANGE(H12245,""IDENTITAS UNIT!D9"")"),"#N/A")</f>
        <v>#N/A</v>
      </c>
      <c r="H12245" s="4" t="str">
        <v/>
      </c>
      <c r="I12245" s="4" t="str">
        <v/>
      </c>
    </row>
    <row r="12246" spans="5:9" ht="16.5" hidden="1">
      <c r="E12246" s="4" t="str">
        <v/>
      </c>
      <c r="F12246" s="102" t="str">
        <f ca="1">IFERROR(__xludf.DUMMYFUNCTION("IMPORTRANGE(H12246,""IDENTITAS UNIT!D9"")"),"#N/A")</f>
        <v>#N/A</v>
      </c>
      <c r="H12246" s="4" t="str">
        <v/>
      </c>
      <c r="I12246" s="4" t="str">
        <v/>
      </c>
    </row>
    <row r="12247" spans="5:9" ht="16.5" hidden="1">
      <c r="E12247" s="4" t="str">
        <v/>
      </c>
      <c r="F12247" s="102" t="str">
        <f ca="1">IFERROR(__xludf.DUMMYFUNCTION("IMPORTRANGE(H12247,""IDENTITAS UNIT!D9"")"),"#N/A")</f>
        <v>#N/A</v>
      </c>
      <c r="H12247" s="4" t="str">
        <v/>
      </c>
      <c r="I12247" s="4" t="str">
        <v/>
      </c>
    </row>
    <row r="12248" spans="5:9" ht="16.5" hidden="1">
      <c r="E12248" s="4" t="str">
        <v/>
      </c>
      <c r="F12248" s="102" t="str">
        <f ca="1">IFERROR(__xludf.DUMMYFUNCTION("IMPORTRANGE(H12248,""IDENTITAS UNIT!D9"")"),"#N/A")</f>
        <v>#N/A</v>
      </c>
      <c r="H12248" s="4" t="str">
        <v/>
      </c>
      <c r="I12248" s="4" t="str">
        <v/>
      </c>
    </row>
    <row r="12249" spans="5:9" ht="16.5" hidden="1">
      <c r="E12249" s="4" t="str">
        <v/>
      </c>
      <c r="F12249" s="102" t="str">
        <f ca="1">IFERROR(__xludf.DUMMYFUNCTION("IMPORTRANGE(H12249,""IDENTITAS UNIT!D9"")"),"#N/A")</f>
        <v>#N/A</v>
      </c>
      <c r="H12249" s="4" t="str">
        <v/>
      </c>
      <c r="I12249" s="4" t="str">
        <v/>
      </c>
    </row>
    <row r="12250" spans="5:9" ht="16.5" hidden="1">
      <c r="E12250" s="4" t="str">
        <v/>
      </c>
      <c r="F12250" s="102" t="str">
        <f ca="1">IFERROR(__xludf.DUMMYFUNCTION("IMPORTRANGE(H12250,""IDENTITAS UNIT!D9"")"),"#N/A")</f>
        <v>#N/A</v>
      </c>
      <c r="H12250" s="4" t="str">
        <v/>
      </c>
      <c r="I12250" s="4" t="str">
        <v/>
      </c>
    </row>
    <row r="12251" spans="5:9" ht="16.5" hidden="1">
      <c r="E12251" s="4" t="str">
        <v/>
      </c>
      <c r="F12251" s="102" t="str">
        <f ca="1">IFERROR(__xludf.DUMMYFUNCTION("IMPORTRANGE(H12251,""IDENTITAS UNIT!D9"")"),"#N/A")</f>
        <v>#N/A</v>
      </c>
      <c r="H12251" s="4" t="str">
        <v/>
      </c>
      <c r="I12251" s="4" t="str">
        <v/>
      </c>
    </row>
    <row r="12252" spans="5:9" ht="16.5" hidden="1">
      <c r="E12252" s="4" t="str">
        <v/>
      </c>
      <c r="F12252" s="102" t="str">
        <f ca="1">IFERROR(__xludf.DUMMYFUNCTION("IMPORTRANGE(H12252,""IDENTITAS UNIT!D9"")"),"#N/A")</f>
        <v>#N/A</v>
      </c>
      <c r="H12252" s="4" t="str">
        <v/>
      </c>
      <c r="I12252" s="4" t="str">
        <v/>
      </c>
    </row>
    <row r="12253" spans="5:9" ht="16.5" hidden="1">
      <c r="E12253" s="4" t="str">
        <v/>
      </c>
      <c r="F12253" s="102" t="str">
        <f ca="1">IFERROR(__xludf.DUMMYFUNCTION("IMPORTRANGE(H12253,""IDENTITAS UNIT!D9"")"),"#N/A")</f>
        <v>#N/A</v>
      </c>
      <c r="H12253" s="4" t="str">
        <v/>
      </c>
      <c r="I12253" s="4" t="str">
        <v/>
      </c>
    </row>
    <row r="12254" spans="5:9" ht="16.5" hidden="1">
      <c r="E12254" s="4" t="str">
        <v/>
      </c>
      <c r="F12254" s="102" t="str">
        <f ca="1">IFERROR(__xludf.DUMMYFUNCTION("IMPORTRANGE(H12254,""IDENTITAS UNIT!D9"")"),"#N/A")</f>
        <v>#N/A</v>
      </c>
      <c r="H12254" s="4" t="str">
        <v/>
      </c>
      <c r="I12254" s="4" t="str">
        <v/>
      </c>
    </row>
    <row r="12255" spans="5:9" ht="16.5" hidden="1">
      <c r="E12255" s="4" t="str">
        <v/>
      </c>
      <c r="F12255" s="102" t="str">
        <f ca="1">IFERROR(__xludf.DUMMYFUNCTION("IMPORTRANGE(H12255,""IDENTITAS UNIT!D9"")"),"#N/A")</f>
        <v>#N/A</v>
      </c>
      <c r="H12255" s="4" t="str">
        <v/>
      </c>
      <c r="I12255" s="4" t="str">
        <v/>
      </c>
    </row>
    <row r="12256" spans="5:9" ht="16.5" hidden="1">
      <c r="E12256" s="4" t="str">
        <v/>
      </c>
      <c r="F12256" s="102" t="str">
        <f ca="1">IFERROR(__xludf.DUMMYFUNCTION("IMPORTRANGE(H12256,""IDENTITAS UNIT!D9"")"),"#N/A")</f>
        <v>#N/A</v>
      </c>
      <c r="H12256" s="4" t="str">
        <v/>
      </c>
      <c r="I12256" s="4" t="str">
        <v/>
      </c>
    </row>
    <row r="12257" spans="5:9" ht="16.5" hidden="1">
      <c r="E12257" s="4" t="str">
        <v/>
      </c>
      <c r="F12257" s="102" t="str">
        <f ca="1">IFERROR(__xludf.DUMMYFUNCTION("IMPORTRANGE(H12257,""IDENTITAS UNIT!D9"")"),"#N/A")</f>
        <v>#N/A</v>
      </c>
      <c r="H12257" s="4" t="str">
        <v/>
      </c>
      <c r="I12257" s="4" t="str">
        <v/>
      </c>
    </row>
    <row r="12258" spans="5:9" ht="16.5" hidden="1">
      <c r="E12258" s="4" t="str">
        <v/>
      </c>
      <c r="F12258" s="102" t="str">
        <f ca="1">IFERROR(__xludf.DUMMYFUNCTION("IMPORTRANGE(H12258,""IDENTITAS UNIT!D9"")"),"#N/A")</f>
        <v>#N/A</v>
      </c>
      <c r="H12258" s="4" t="str">
        <v/>
      </c>
      <c r="I12258" s="4" t="str">
        <v/>
      </c>
    </row>
    <row r="12259" spans="5:9" ht="16.5" hidden="1">
      <c r="E12259" s="4" t="str">
        <v/>
      </c>
      <c r="F12259" s="102" t="str">
        <f ca="1">IFERROR(__xludf.DUMMYFUNCTION("IMPORTRANGE(H12259,""IDENTITAS UNIT!D9"")"),"#N/A")</f>
        <v>#N/A</v>
      </c>
      <c r="H12259" s="4" t="str">
        <v/>
      </c>
      <c r="I12259" s="4" t="str">
        <v/>
      </c>
    </row>
    <row r="12260" spans="5:9" ht="16.5" hidden="1">
      <c r="E12260" s="4" t="str">
        <v/>
      </c>
      <c r="F12260" s="102" t="str">
        <f ca="1">IFERROR(__xludf.DUMMYFUNCTION("IMPORTRANGE(H12260,""IDENTITAS UNIT!D9"")"),"#N/A")</f>
        <v>#N/A</v>
      </c>
      <c r="H12260" s="4" t="str">
        <v/>
      </c>
      <c r="I12260" s="4" t="str">
        <v/>
      </c>
    </row>
    <row r="12261" spans="5:9" ht="16.5" hidden="1">
      <c r="E12261" s="4" t="str">
        <v/>
      </c>
      <c r="F12261" s="102" t="str">
        <f ca="1">IFERROR(__xludf.DUMMYFUNCTION("IMPORTRANGE(H12261,""IDENTITAS UNIT!D9"")"),"#N/A")</f>
        <v>#N/A</v>
      </c>
      <c r="H12261" s="4" t="str">
        <v/>
      </c>
      <c r="I12261" s="4" t="str">
        <v/>
      </c>
    </row>
    <row r="12262" spans="5:9" ht="16.5" hidden="1">
      <c r="E12262" s="4" t="str">
        <v/>
      </c>
      <c r="F12262" s="102" t="str">
        <f ca="1">IFERROR(__xludf.DUMMYFUNCTION("IMPORTRANGE(H12262,""IDENTITAS UNIT!D9"")"),"#N/A")</f>
        <v>#N/A</v>
      </c>
      <c r="H12262" s="4" t="str">
        <v/>
      </c>
      <c r="I12262" s="4" t="str">
        <v/>
      </c>
    </row>
    <row r="12263" spans="5:9" ht="16.5" hidden="1">
      <c r="E12263" s="4" t="str">
        <v/>
      </c>
      <c r="F12263" s="102" t="str">
        <f ca="1">IFERROR(__xludf.DUMMYFUNCTION("IMPORTRANGE(H12263,""IDENTITAS UNIT!D9"")"),"#N/A")</f>
        <v>#N/A</v>
      </c>
      <c r="H12263" s="4" t="str">
        <v/>
      </c>
      <c r="I12263" s="4" t="str">
        <v/>
      </c>
    </row>
    <row r="12264" spans="5:9" ht="16.5" hidden="1">
      <c r="E12264" s="4" t="str">
        <v/>
      </c>
      <c r="F12264" s="102" t="str">
        <f ca="1">IFERROR(__xludf.DUMMYFUNCTION("IMPORTRANGE(H12264,""IDENTITAS UNIT!D9"")"),"#N/A")</f>
        <v>#N/A</v>
      </c>
      <c r="H12264" s="4" t="str">
        <v/>
      </c>
      <c r="I12264" s="4" t="str">
        <v/>
      </c>
    </row>
    <row r="12265" spans="5:9" ht="16.5" hidden="1">
      <c r="E12265" s="4" t="str">
        <v/>
      </c>
      <c r="F12265" s="102" t="str">
        <f ca="1">IFERROR(__xludf.DUMMYFUNCTION("IMPORTRANGE(H12265,""IDENTITAS UNIT!D9"")"),"#N/A")</f>
        <v>#N/A</v>
      </c>
      <c r="H12265" s="4" t="str">
        <v/>
      </c>
      <c r="I12265" s="4" t="str">
        <v/>
      </c>
    </row>
    <row r="12266" spans="5:9" ht="16.5" hidden="1">
      <c r="E12266" s="4" t="str">
        <v/>
      </c>
      <c r="F12266" s="102" t="str">
        <f ca="1">IFERROR(__xludf.DUMMYFUNCTION("IMPORTRANGE(H12266,""IDENTITAS UNIT!D9"")"),"#N/A")</f>
        <v>#N/A</v>
      </c>
      <c r="H12266" s="4" t="str">
        <v/>
      </c>
      <c r="I12266" s="4" t="str">
        <v/>
      </c>
    </row>
    <row r="12267" spans="5:9" ht="16.5" hidden="1">
      <c r="E12267" s="4" t="str">
        <v/>
      </c>
      <c r="F12267" s="102" t="str">
        <f ca="1">IFERROR(__xludf.DUMMYFUNCTION("IMPORTRANGE(H12267,""IDENTITAS UNIT!D9"")"),"#N/A")</f>
        <v>#N/A</v>
      </c>
      <c r="H12267" s="4" t="str">
        <v/>
      </c>
      <c r="I12267" s="4" t="str">
        <v/>
      </c>
    </row>
    <row r="12268" spans="5:9" ht="16.5" hidden="1">
      <c r="E12268" s="4" t="str">
        <v/>
      </c>
      <c r="F12268" s="102" t="str">
        <f ca="1">IFERROR(__xludf.DUMMYFUNCTION("IMPORTRANGE(H12268,""IDENTITAS UNIT!D9"")"),"#N/A")</f>
        <v>#N/A</v>
      </c>
      <c r="H12268" s="4" t="str">
        <v/>
      </c>
      <c r="I12268" s="4" t="str">
        <v/>
      </c>
    </row>
    <row r="12269" spans="5:9" ht="16.5" hidden="1">
      <c r="E12269" s="4" t="str">
        <v/>
      </c>
      <c r="F12269" s="102" t="str">
        <f ca="1">IFERROR(__xludf.DUMMYFUNCTION("IMPORTRANGE(H12269,""IDENTITAS UNIT!D9"")"),"#N/A")</f>
        <v>#N/A</v>
      </c>
      <c r="H12269" s="4" t="str">
        <v/>
      </c>
      <c r="I12269" s="4" t="str">
        <v/>
      </c>
    </row>
    <row r="12270" spans="5:9" ht="16.5" hidden="1">
      <c r="E12270" s="4" t="str">
        <v/>
      </c>
      <c r="F12270" s="102" t="str">
        <f ca="1">IFERROR(__xludf.DUMMYFUNCTION("IMPORTRANGE(H12270,""IDENTITAS UNIT!D9"")"),"#N/A")</f>
        <v>#N/A</v>
      </c>
      <c r="H12270" s="4" t="str">
        <v/>
      </c>
      <c r="I12270" s="4" t="str">
        <v/>
      </c>
    </row>
    <row r="12271" spans="5:9" ht="16.5" hidden="1">
      <c r="E12271" s="4" t="str">
        <v/>
      </c>
      <c r="F12271" s="102" t="str">
        <f ca="1">IFERROR(__xludf.DUMMYFUNCTION("IMPORTRANGE(H12271,""IDENTITAS UNIT!D9"")"),"#N/A")</f>
        <v>#N/A</v>
      </c>
      <c r="H12271" s="4" t="str">
        <v/>
      </c>
      <c r="I12271" s="4" t="str">
        <v/>
      </c>
    </row>
    <row r="12272" spans="5:9" ht="16.5" hidden="1">
      <c r="E12272" s="4" t="str">
        <v/>
      </c>
      <c r="F12272" s="102" t="str">
        <f ca="1">IFERROR(__xludf.DUMMYFUNCTION("IMPORTRANGE(H12272,""IDENTITAS UNIT!D9"")"),"#N/A")</f>
        <v>#N/A</v>
      </c>
      <c r="H12272" s="4" t="str">
        <v/>
      </c>
      <c r="I12272" s="4" t="str">
        <v/>
      </c>
    </row>
    <row r="12273" spans="5:9" ht="16.5" hidden="1">
      <c r="E12273" s="4" t="str">
        <v/>
      </c>
      <c r="F12273" s="102" t="str">
        <f ca="1">IFERROR(__xludf.DUMMYFUNCTION("IMPORTRANGE(H12273,""IDENTITAS UNIT!D9"")"),"#N/A")</f>
        <v>#N/A</v>
      </c>
      <c r="H12273" s="4" t="str">
        <v/>
      </c>
      <c r="I12273" s="4" t="str">
        <v/>
      </c>
    </row>
    <row r="12274" spans="5:9" ht="16.5" hidden="1">
      <c r="E12274" s="4" t="str">
        <v/>
      </c>
      <c r="F12274" s="102" t="str">
        <f ca="1">IFERROR(__xludf.DUMMYFUNCTION("IMPORTRANGE(H12274,""IDENTITAS UNIT!D9"")"),"#N/A")</f>
        <v>#N/A</v>
      </c>
      <c r="H12274" s="4" t="str">
        <v/>
      </c>
      <c r="I12274" s="4" t="str">
        <v/>
      </c>
    </row>
    <row r="12275" spans="5:9" ht="16.5" hidden="1">
      <c r="E12275" s="4" t="str">
        <v/>
      </c>
      <c r="F12275" s="102" t="str">
        <f ca="1">IFERROR(__xludf.DUMMYFUNCTION("IMPORTRANGE(H12275,""IDENTITAS UNIT!D9"")"),"#N/A")</f>
        <v>#N/A</v>
      </c>
      <c r="H12275" s="4" t="str">
        <v/>
      </c>
      <c r="I12275" s="4" t="str">
        <v/>
      </c>
    </row>
    <row r="12276" spans="5:9" ht="16.5" hidden="1">
      <c r="E12276" s="4" t="str">
        <v/>
      </c>
      <c r="F12276" s="102" t="str">
        <f ca="1">IFERROR(__xludf.DUMMYFUNCTION("IMPORTRANGE(H12276,""IDENTITAS UNIT!D9"")"),"#N/A")</f>
        <v>#N/A</v>
      </c>
      <c r="H12276" s="4" t="str">
        <v/>
      </c>
      <c r="I12276" s="4" t="str">
        <v/>
      </c>
    </row>
    <row r="12277" spans="5:9" ht="16.5" hidden="1">
      <c r="E12277" s="4" t="str">
        <v/>
      </c>
      <c r="F12277" s="102" t="str">
        <f ca="1">IFERROR(__xludf.DUMMYFUNCTION("IMPORTRANGE(H12277,""IDENTITAS UNIT!D9"")"),"#N/A")</f>
        <v>#N/A</v>
      </c>
      <c r="H12277" s="4" t="str">
        <v/>
      </c>
      <c r="I12277" s="4" t="str">
        <v/>
      </c>
    </row>
    <row r="12278" spans="5:9" ht="16.5" hidden="1">
      <c r="E12278" s="4" t="str">
        <v/>
      </c>
      <c r="F12278" s="102" t="str">
        <f ca="1">IFERROR(__xludf.DUMMYFUNCTION("IMPORTRANGE(H12278,""IDENTITAS UNIT!D9"")"),"#N/A")</f>
        <v>#N/A</v>
      </c>
      <c r="H12278" s="4" t="str">
        <v/>
      </c>
      <c r="I12278" s="4" t="str">
        <v/>
      </c>
    </row>
    <row r="12279" spans="5:9" ht="16.5" hidden="1">
      <c r="E12279" s="4" t="str">
        <v/>
      </c>
      <c r="F12279" s="102" t="str">
        <f ca="1">IFERROR(__xludf.DUMMYFUNCTION("IMPORTRANGE(H12279,""IDENTITAS UNIT!D9"")"),"#N/A")</f>
        <v>#N/A</v>
      </c>
      <c r="H12279" s="4" t="str">
        <v/>
      </c>
      <c r="I12279" s="4" t="str">
        <v/>
      </c>
    </row>
    <row r="12280" spans="5:9" ht="16.5" hidden="1">
      <c r="E12280" s="4" t="str">
        <v/>
      </c>
      <c r="F12280" s="102" t="str">
        <f ca="1">IFERROR(__xludf.DUMMYFUNCTION("IMPORTRANGE(H12280,""IDENTITAS UNIT!D9"")"),"#N/A")</f>
        <v>#N/A</v>
      </c>
      <c r="H12280" s="4" t="str">
        <v/>
      </c>
      <c r="I12280" s="4" t="str">
        <v/>
      </c>
    </row>
    <row r="12281" spans="5:9" ht="16.5" hidden="1">
      <c r="E12281" s="4" t="str">
        <v/>
      </c>
      <c r="F12281" s="102" t="str">
        <f ca="1">IFERROR(__xludf.DUMMYFUNCTION("IMPORTRANGE(H12281,""IDENTITAS UNIT!D9"")"),"#N/A")</f>
        <v>#N/A</v>
      </c>
      <c r="H12281" s="4" t="str">
        <v/>
      </c>
      <c r="I12281" s="4" t="str">
        <v/>
      </c>
    </row>
    <row r="12282" spans="5:9" ht="16.5" hidden="1">
      <c r="E12282" s="4" t="str">
        <v/>
      </c>
      <c r="F12282" s="102" t="str">
        <f ca="1">IFERROR(__xludf.DUMMYFUNCTION("IMPORTRANGE(H12282,""IDENTITAS UNIT!D9"")"),"#N/A")</f>
        <v>#N/A</v>
      </c>
      <c r="H12282" s="4" t="str">
        <v/>
      </c>
      <c r="I12282" s="4" t="str">
        <v/>
      </c>
    </row>
    <row r="12283" spans="5:9" ht="16.5" hidden="1">
      <c r="E12283" s="4" t="str">
        <v/>
      </c>
      <c r="F12283" s="102" t="str">
        <f ca="1">IFERROR(__xludf.DUMMYFUNCTION("IMPORTRANGE(H12283,""IDENTITAS UNIT!D9"")"),"#N/A")</f>
        <v>#N/A</v>
      </c>
      <c r="H12283" s="4" t="str">
        <v/>
      </c>
      <c r="I12283" s="4" t="str">
        <v/>
      </c>
    </row>
    <row r="12284" spans="5:9" ht="16.5" hidden="1">
      <c r="E12284" s="4" t="str">
        <v/>
      </c>
      <c r="F12284" s="102" t="str">
        <f ca="1">IFERROR(__xludf.DUMMYFUNCTION("IMPORTRANGE(H12284,""IDENTITAS UNIT!D9"")"),"#N/A")</f>
        <v>#N/A</v>
      </c>
      <c r="H12284" s="4" t="str">
        <v/>
      </c>
      <c r="I12284" s="4" t="str">
        <v/>
      </c>
    </row>
    <row r="12285" spans="5:9" ht="16.5" hidden="1">
      <c r="E12285" s="4" t="str">
        <v/>
      </c>
      <c r="F12285" s="102" t="str">
        <f ca="1">IFERROR(__xludf.DUMMYFUNCTION("IMPORTRANGE(H12285,""IDENTITAS UNIT!D9"")"),"#N/A")</f>
        <v>#N/A</v>
      </c>
      <c r="H12285" s="4" t="str">
        <v/>
      </c>
      <c r="I12285" s="4" t="str">
        <v/>
      </c>
    </row>
    <row r="12286" spans="5:9" ht="16.5" hidden="1">
      <c r="E12286" s="4" t="str">
        <v/>
      </c>
      <c r="F12286" s="102" t="str">
        <f ca="1">IFERROR(__xludf.DUMMYFUNCTION("IMPORTRANGE(H12286,""IDENTITAS UNIT!D9"")"),"#N/A")</f>
        <v>#N/A</v>
      </c>
      <c r="H12286" s="4" t="str">
        <v/>
      </c>
      <c r="I12286" s="4" t="str">
        <v/>
      </c>
    </row>
    <row r="12287" spans="5:9" ht="16.5" hidden="1">
      <c r="E12287" s="4" t="str">
        <v/>
      </c>
      <c r="F12287" s="102" t="str">
        <f ca="1">IFERROR(__xludf.DUMMYFUNCTION("IMPORTRANGE(H12287,""IDENTITAS UNIT!D9"")"),"#N/A")</f>
        <v>#N/A</v>
      </c>
      <c r="H12287" s="4" t="str">
        <v/>
      </c>
      <c r="I12287" s="4" t="str">
        <v/>
      </c>
    </row>
    <row r="12288" spans="5:9" ht="16.5" hidden="1">
      <c r="E12288" s="4" t="str">
        <v/>
      </c>
      <c r="F12288" s="102" t="str">
        <f ca="1">IFERROR(__xludf.DUMMYFUNCTION("IMPORTRANGE(H12288,""IDENTITAS UNIT!D9"")"),"#N/A")</f>
        <v>#N/A</v>
      </c>
      <c r="H12288" s="4" t="str">
        <v/>
      </c>
      <c r="I12288" s="4" t="str">
        <v/>
      </c>
    </row>
    <row r="12289" spans="5:9" ht="16.5" hidden="1">
      <c r="E12289" s="4" t="str">
        <v/>
      </c>
      <c r="F12289" s="102" t="str">
        <f ca="1">IFERROR(__xludf.DUMMYFUNCTION("IMPORTRANGE(H12289,""IDENTITAS UNIT!D9"")"),"#N/A")</f>
        <v>#N/A</v>
      </c>
      <c r="H12289" s="4" t="str">
        <v/>
      </c>
      <c r="I12289" s="4" t="str">
        <v/>
      </c>
    </row>
    <row r="12290" spans="5:9" ht="16.5" hidden="1">
      <c r="E12290" s="4" t="str">
        <v/>
      </c>
      <c r="F12290" s="102" t="str">
        <f ca="1">IFERROR(__xludf.DUMMYFUNCTION("IMPORTRANGE(H12290,""IDENTITAS UNIT!D9"")"),"#N/A")</f>
        <v>#N/A</v>
      </c>
      <c r="H12290" s="4" t="str">
        <v/>
      </c>
      <c r="I12290" s="4" t="str">
        <v/>
      </c>
    </row>
    <row r="12291" spans="5:9" ht="16.5" hidden="1">
      <c r="E12291" s="4" t="str">
        <v/>
      </c>
      <c r="F12291" s="102" t="str">
        <f ca="1">IFERROR(__xludf.DUMMYFUNCTION("IMPORTRANGE(H12291,""IDENTITAS UNIT!D9"")"),"#N/A")</f>
        <v>#N/A</v>
      </c>
      <c r="H12291" s="4" t="str">
        <v/>
      </c>
      <c r="I12291" s="4" t="str">
        <v/>
      </c>
    </row>
    <row r="12292" spans="5:9" ht="16.5" hidden="1">
      <c r="E12292" s="4" t="str">
        <v/>
      </c>
      <c r="F12292" s="102" t="str">
        <f ca="1">IFERROR(__xludf.DUMMYFUNCTION("IMPORTRANGE(H12292,""IDENTITAS UNIT!D9"")"),"#N/A")</f>
        <v>#N/A</v>
      </c>
      <c r="H12292" s="4" t="str">
        <v/>
      </c>
      <c r="I12292" s="4" t="str">
        <v/>
      </c>
    </row>
    <row r="12293" spans="5:9" ht="16.5" hidden="1">
      <c r="E12293" s="4" t="str">
        <v/>
      </c>
      <c r="F12293" s="102" t="str">
        <f ca="1">IFERROR(__xludf.DUMMYFUNCTION("IMPORTRANGE(H12293,""IDENTITAS UNIT!D9"")"),"#N/A")</f>
        <v>#N/A</v>
      </c>
      <c r="H12293" s="4" t="str">
        <v/>
      </c>
      <c r="I12293" s="4" t="str">
        <v/>
      </c>
    </row>
    <row r="12294" spans="5:9" ht="16.5" hidden="1">
      <c r="E12294" s="4" t="str">
        <v/>
      </c>
      <c r="F12294" s="102" t="str">
        <f ca="1">IFERROR(__xludf.DUMMYFUNCTION("IMPORTRANGE(H12294,""IDENTITAS UNIT!D9"")"),"#N/A")</f>
        <v>#N/A</v>
      </c>
      <c r="H12294" s="4" t="str">
        <v/>
      </c>
      <c r="I12294" s="4" t="str">
        <v/>
      </c>
    </row>
    <row r="12295" spans="5:9" ht="16.5" hidden="1">
      <c r="E12295" s="4" t="str">
        <v/>
      </c>
      <c r="F12295" s="102" t="str">
        <f ca="1">IFERROR(__xludf.DUMMYFUNCTION("IMPORTRANGE(H12295,""IDENTITAS UNIT!D9"")"),"#N/A")</f>
        <v>#N/A</v>
      </c>
      <c r="H12295" s="4" t="str">
        <v/>
      </c>
      <c r="I12295" s="4" t="str">
        <v/>
      </c>
    </row>
    <row r="12296" spans="5:9" ht="16.5" hidden="1">
      <c r="E12296" s="4" t="str">
        <v/>
      </c>
      <c r="F12296" s="102" t="str">
        <f ca="1">IFERROR(__xludf.DUMMYFUNCTION("IMPORTRANGE(H12296,""IDENTITAS UNIT!D9"")"),"#N/A")</f>
        <v>#N/A</v>
      </c>
      <c r="H12296" s="4" t="str">
        <v/>
      </c>
      <c r="I12296" s="4" t="str">
        <v/>
      </c>
    </row>
    <row r="12297" spans="5:9" ht="16.5" hidden="1">
      <c r="E12297" s="4" t="str">
        <v/>
      </c>
      <c r="F12297" s="102" t="str">
        <f ca="1">IFERROR(__xludf.DUMMYFUNCTION("IMPORTRANGE(H12297,""IDENTITAS UNIT!D9"")"),"#N/A")</f>
        <v>#N/A</v>
      </c>
      <c r="H12297" s="4" t="str">
        <v/>
      </c>
      <c r="I12297" s="4" t="str">
        <v/>
      </c>
    </row>
    <row r="12298" spans="5:9" ht="16.5" hidden="1">
      <c r="E12298" s="4" t="str">
        <v/>
      </c>
      <c r="F12298" s="102" t="str">
        <f ca="1">IFERROR(__xludf.DUMMYFUNCTION("IMPORTRANGE(H12298,""IDENTITAS UNIT!D9"")"),"#N/A")</f>
        <v>#N/A</v>
      </c>
      <c r="H12298" s="4" t="str">
        <v/>
      </c>
      <c r="I12298" s="4" t="str">
        <v/>
      </c>
    </row>
    <row r="12299" spans="5:9" ht="16.5" hidden="1">
      <c r="E12299" s="4" t="str">
        <v/>
      </c>
      <c r="F12299" s="102" t="str">
        <f ca="1">IFERROR(__xludf.DUMMYFUNCTION("IMPORTRANGE(H12299,""IDENTITAS UNIT!D9"")"),"#N/A")</f>
        <v>#N/A</v>
      </c>
      <c r="H12299" s="4" t="str">
        <v/>
      </c>
      <c r="I12299" s="4" t="str">
        <v/>
      </c>
    </row>
    <row r="12300" spans="5:9" ht="16.5" hidden="1">
      <c r="E12300" s="4" t="str">
        <v/>
      </c>
      <c r="F12300" s="102" t="str">
        <f ca="1">IFERROR(__xludf.DUMMYFUNCTION("IMPORTRANGE(H12300,""IDENTITAS UNIT!D9"")"),"#N/A")</f>
        <v>#N/A</v>
      </c>
      <c r="H12300" s="4" t="str">
        <v/>
      </c>
      <c r="I12300" s="4" t="str">
        <v/>
      </c>
    </row>
    <row r="12301" spans="5:9" ht="16.5" hidden="1">
      <c r="E12301" s="4" t="str">
        <v/>
      </c>
      <c r="F12301" s="102" t="str">
        <f ca="1">IFERROR(__xludf.DUMMYFUNCTION("IMPORTRANGE(H12301,""IDENTITAS UNIT!D9"")"),"#N/A")</f>
        <v>#N/A</v>
      </c>
      <c r="H12301" s="4" t="str">
        <v/>
      </c>
      <c r="I12301" s="4" t="str">
        <v/>
      </c>
    </row>
    <row r="12302" spans="5:9" ht="16.5" hidden="1">
      <c r="E12302" s="4" t="str">
        <v/>
      </c>
      <c r="F12302" s="102" t="str">
        <f ca="1">IFERROR(__xludf.DUMMYFUNCTION("IMPORTRANGE(H12302,""IDENTITAS UNIT!D9"")"),"#N/A")</f>
        <v>#N/A</v>
      </c>
      <c r="H12302" s="4" t="str">
        <v/>
      </c>
      <c r="I12302" s="4" t="str">
        <v/>
      </c>
    </row>
    <row r="12303" spans="5:9" ht="16.5" hidden="1">
      <c r="E12303" s="4" t="str">
        <v/>
      </c>
      <c r="F12303" s="102" t="str">
        <f ca="1">IFERROR(__xludf.DUMMYFUNCTION("IMPORTRANGE(H12303,""IDENTITAS UNIT!D9"")"),"#N/A")</f>
        <v>#N/A</v>
      </c>
      <c r="H12303" s="4" t="str">
        <v/>
      </c>
      <c r="I12303" s="4" t="str">
        <v/>
      </c>
    </row>
    <row r="12304" spans="5:9" ht="16.5" hidden="1">
      <c r="E12304" s="4" t="str">
        <v/>
      </c>
      <c r="F12304" s="102" t="str">
        <f ca="1">IFERROR(__xludf.DUMMYFUNCTION("IMPORTRANGE(H12304,""IDENTITAS UNIT!D9"")"),"#N/A")</f>
        <v>#N/A</v>
      </c>
      <c r="H12304" s="4" t="str">
        <v/>
      </c>
      <c r="I12304" s="4" t="str">
        <v/>
      </c>
    </row>
    <row r="12305" spans="5:9" ht="16.5" hidden="1">
      <c r="E12305" s="4" t="str">
        <v/>
      </c>
      <c r="F12305" s="102" t="str">
        <f ca="1">IFERROR(__xludf.DUMMYFUNCTION("IMPORTRANGE(H12305,""IDENTITAS UNIT!D9"")"),"#N/A")</f>
        <v>#N/A</v>
      </c>
      <c r="H12305" s="4" t="str">
        <v/>
      </c>
      <c r="I12305" s="4" t="str">
        <v/>
      </c>
    </row>
    <row r="12306" spans="5:9" ht="16.5" hidden="1">
      <c r="E12306" s="4" t="str">
        <v/>
      </c>
      <c r="F12306" s="102" t="str">
        <f ca="1">IFERROR(__xludf.DUMMYFUNCTION("IMPORTRANGE(H12306,""IDENTITAS UNIT!D9"")"),"#N/A")</f>
        <v>#N/A</v>
      </c>
      <c r="H12306" s="4" t="str">
        <v/>
      </c>
      <c r="I12306" s="4" t="str">
        <v/>
      </c>
    </row>
    <row r="12307" spans="5:9" ht="16.5" hidden="1">
      <c r="E12307" s="4" t="str">
        <v/>
      </c>
      <c r="F12307" s="102" t="str">
        <f ca="1">IFERROR(__xludf.DUMMYFUNCTION("IMPORTRANGE(H12307,""IDENTITAS UNIT!D9"")"),"#N/A")</f>
        <v>#N/A</v>
      </c>
      <c r="H12307" s="4" t="str">
        <v/>
      </c>
      <c r="I12307" s="4" t="str">
        <v/>
      </c>
    </row>
    <row r="12308" spans="5:9" ht="16.5" hidden="1">
      <c r="E12308" s="4" t="str">
        <v/>
      </c>
      <c r="F12308" s="102" t="str">
        <f ca="1">IFERROR(__xludf.DUMMYFUNCTION("IMPORTRANGE(H12308,""IDENTITAS UNIT!D9"")"),"#N/A")</f>
        <v>#N/A</v>
      </c>
      <c r="H12308" s="4" t="str">
        <v/>
      </c>
      <c r="I12308" s="4" t="str">
        <v/>
      </c>
    </row>
    <row r="12309" spans="5:9" ht="16.5" hidden="1">
      <c r="E12309" s="4" t="str">
        <v/>
      </c>
      <c r="F12309" s="102" t="str">
        <f ca="1">IFERROR(__xludf.DUMMYFUNCTION("IMPORTRANGE(H12309,""IDENTITAS UNIT!D9"")"),"#N/A")</f>
        <v>#N/A</v>
      </c>
      <c r="H12309" s="4" t="str">
        <v/>
      </c>
      <c r="I12309" s="4" t="str">
        <v/>
      </c>
    </row>
    <row r="12310" spans="5:9" ht="16.5" hidden="1">
      <c r="E12310" s="4" t="str">
        <v/>
      </c>
      <c r="F12310" s="102" t="str">
        <f ca="1">IFERROR(__xludf.DUMMYFUNCTION("IMPORTRANGE(H12310,""IDENTITAS UNIT!D9"")"),"#N/A")</f>
        <v>#N/A</v>
      </c>
      <c r="H12310" s="4" t="str">
        <v/>
      </c>
      <c r="I12310" s="4" t="str">
        <v/>
      </c>
    </row>
    <row r="12311" spans="5:9" ht="16.5" hidden="1">
      <c r="E12311" s="4" t="str">
        <v/>
      </c>
      <c r="F12311" s="102" t="str">
        <f ca="1">IFERROR(__xludf.DUMMYFUNCTION("IMPORTRANGE(H12311,""IDENTITAS UNIT!D9"")"),"#N/A")</f>
        <v>#N/A</v>
      </c>
      <c r="H12311" s="4" t="str">
        <v/>
      </c>
      <c r="I12311" s="4" t="str">
        <v/>
      </c>
    </row>
    <row r="12312" spans="5:9" ht="16.5" hidden="1">
      <c r="E12312" s="4" t="str">
        <v/>
      </c>
      <c r="F12312" s="102" t="str">
        <f ca="1">IFERROR(__xludf.DUMMYFUNCTION("IMPORTRANGE(H12312,""IDENTITAS UNIT!D9"")"),"#N/A")</f>
        <v>#N/A</v>
      </c>
      <c r="H12312" s="4" t="str">
        <v/>
      </c>
      <c r="I12312" s="4" t="str">
        <v/>
      </c>
    </row>
    <row r="12313" spans="5:9" ht="16.5" hidden="1">
      <c r="E12313" s="4" t="str">
        <v/>
      </c>
      <c r="F12313" s="102" t="str">
        <f ca="1">IFERROR(__xludf.DUMMYFUNCTION("IMPORTRANGE(H12313,""IDENTITAS UNIT!D9"")"),"#N/A")</f>
        <v>#N/A</v>
      </c>
      <c r="H12313" s="4" t="str">
        <v/>
      </c>
      <c r="I12313" s="4" t="str">
        <v/>
      </c>
    </row>
    <row r="12314" spans="5:9" ht="16.5" hidden="1">
      <c r="E12314" s="4" t="str">
        <v/>
      </c>
      <c r="F12314" s="102" t="str">
        <f ca="1">IFERROR(__xludf.DUMMYFUNCTION("IMPORTRANGE(H12314,""IDENTITAS UNIT!D9"")"),"#N/A")</f>
        <v>#N/A</v>
      </c>
      <c r="H12314" s="4" t="str">
        <v/>
      </c>
      <c r="I12314" s="4" t="str">
        <v/>
      </c>
    </row>
    <row r="12315" spans="5:9" ht="16.5" hidden="1">
      <c r="E12315" s="4" t="str">
        <v/>
      </c>
      <c r="F12315" s="102" t="str">
        <f ca="1">IFERROR(__xludf.DUMMYFUNCTION("IMPORTRANGE(H12315,""IDENTITAS UNIT!D9"")"),"#N/A")</f>
        <v>#N/A</v>
      </c>
      <c r="H12315" s="4" t="str">
        <v/>
      </c>
      <c r="I12315" s="4" t="str">
        <v/>
      </c>
    </row>
    <row r="12316" spans="5:9" ht="16.5" hidden="1">
      <c r="E12316" s="4" t="str">
        <v/>
      </c>
      <c r="F12316" s="102" t="str">
        <f ca="1">IFERROR(__xludf.DUMMYFUNCTION("IMPORTRANGE(H12316,""IDENTITAS UNIT!D9"")"),"#N/A")</f>
        <v>#N/A</v>
      </c>
      <c r="H12316" s="4" t="str">
        <v/>
      </c>
      <c r="I12316" s="4" t="str">
        <v/>
      </c>
    </row>
    <row r="12317" spans="5:9" ht="16.5" hidden="1">
      <c r="E12317" s="4" t="str">
        <v/>
      </c>
      <c r="F12317" s="102" t="str">
        <f ca="1">IFERROR(__xludf.DUMMYFUNCTION("IMPORTRANGE(H12317,""IDENTITAS UNIT!D9"")"),"#N/A")</f>
        <v>#N/A</v>
      </c>
      <c r="H12317" s="4" t="str">
        <v/>
      </c>
      <c r="I12317" s="4" t="str">
        <v/>
      </c>
    </row>
    <row r="12318" spans="5:9" ht="16.5" hidden="1">
      <c r="E12318" s="4" t="str">
        <v/>
      </c>
      <c r="F12318" s="102" t="str">
        <f ca="1">IFERROR(__xludf.DUMMYFUNCTION("IMPORTRANGE(H12318,""IDENTITAS UNIT!D9"")"),"#N/A")</f>
        <v>#N/A</v>
      </c>
      <c r="H12318" s="4" t="str">
        <v/>
      </c>
      <c r="I12318" s="4" t="str">
        <v/>
      </c>
    </row>
    <row r="12319" spans="5:9" ht="16.5" hidden="1">
      <c r="E12319" s="4" t="str">
        <v/>
      </c>
      <c r="F12319" s="102" t="str">
        <f ca="1">IFERROR(__xludf.DUMMYFUNCTION("IMPORTRANGE(H12319,""IDENTITAS UNIT!D9"")"),"#N/A")</f>
        <v>#N/A</v>
      </c>
      <c r="H12319" s="4" t="str">
        <v/>
      </c>
      <c r="I12319" s="4" t="str">
        <v/>
      </c>
    </row>
    <row r="12320" spans="5:9" ht="16.5" hidden="1">
      <c r="E12320" s="4" t="str">
        <v/>
      </c>
      <c r="F12320" s="102" t="str">
        <f ca="1">IFERROR(__xludf.DUMMYFUNCTION("IMPORTRANGE(H12320,""IDENTITAS UNIT!D9"")"),"#N/A")</f>
        <v>#N/A</v>
      </c>
      <c r="H12320" s="4" t="str">
        <v/>
      </c>
      <c r="I12320" s="4" t="str">
        <v/>
      </c>
    </row>
    <row r="12321" spans="5:9" ht="16.5" hidden="1">
      <c r="E12321" s="4" t="str">
        <v/>
      </c>
      <c r="F12321" s="102" t="str">
        <f ca="1">IFERROR(__xludf.DUMMYFUNCTION("IMPORTRANGE(H12321,""IDENTITAS UNIT!D9"")"),"#N/A")</f>
        <v>#N/A</v>
      </c>
      <c r="H12321" s="4" t="str">
        <v/>
      </c>
      <c r="I12321" s="4" t="str">
        <v/>
      </c>
    </row>
    <row r="12322" spans="5:9" ht="16.5" hidden="1">
      <c r="E12322" s="4" t="str">
        <v/>
      </c>
      <c r="F12322" s="102" t="str">
        <f ca="1">IFERROR(__xludf.DUMMYFUNCTION("IMPORTRANGE(H12322,""IDENTITAS UNIT!D9"")"),"#N/A")</f>
        <v>#N/A</v>
      </c>
      <c r="H12322" s="4" t="str">
        <v/>
      </c>
      <c r="I12322" s="4" t="str">
        <v/>
      </c>
    </row>
    <row r="12323" spans="5:9" ht="16.5" hidden="1">
      <c r="E12323" s="4" t="str">
        <v/>
      </c>
      <c r="F12323" s="102" t="str">
        <f ca="1">IFERROR(__xludf.DUMMYFUNCTION("IMPORTRANGE(H12323,""IDENTITAS UNIT!D9"")"),"#N/A")</f>
        <v>#N/A</v>
      </c>
      <c r="H12323" s="4" t="str">
        <v/>
      </c>
      <c r="I12323" s="4" t="str">
        <v/>
      </c>
    </row>
    <row r="12324" spans="5:9" ht="16.5" hidden="1">
      <c r="E12324" s="4" t="str">
        <v/>
      </c>
      <c r="F12324" s="102" t="str">
        <f ca="1">IFERROR(__xludf.DUMMYFUNCTION("IMPORTRANGE(H12324,""IDENTITAS UNIT!D9"")"),"#N/A")</f>
        <v>#N/A</v>
      </c>
      <c r="H12324" s="4" t="str">
        <v/>
      </c>
      <c r="I12324" s="4" t="str">
        <v/>
      </c>
    </row>
    <row r="12325" spans="5:9" ht="16.5" hidden="1">
      <c r="E12325" s="4" t="str">
        <v/>
      </c>
      <c r="F12325" s="102" t="str">
        <f ca="1">IFERROR(__xludf.DUMMYFUNCTION("IMPORTRANGE(H12325,""IDENTITAS UNIT!D9"")"),"#N/A")</f>
        <v>#N/A</v>
      </c>
      <c r="H12325" s="4" t="str">
        <v/>
      </c>
      <c r="I12325" s="4" t="str">
        <v/>
      </c>
    </row>
    <row r="12326" spans="5:9" ht="16.5" hidden="1">
      <c r="E12326" s="4" t="str">
        <v/>
      </c>
      <c r="F12326" s="102" t="str">
        <f ca="1">IFERROR(__xludf.DUMMYFUNCTION("IMPORTRANGE(H12326,""IDENTITAS UNIT!D9"")"),"#N/A")</f>
        <v>#N/A</v>
      </c>
      <c r="H12326" s="4" t="str">
        <v/>
      </c>
      <c r="I12326" s="4" t="str">
        <v/>
      </c>
    </row>
    <row r="12327" spans="5:9" ht="16.5" hidden="1">
      <c r="E12327" s="4" t="str">
        <v/>
      </c>
      <c r="F12327" s="102" t="str">
        <f ca="1">IFERROR(__xludf.DUMMYFUNCTION("IMPORTRANGE(H12327,""IDENTITAS UNIT!D9"")"),"#N/A")</f>
        <v>#N/A</v>
      </c>
      <c r="H12327" s="4" t="str">
        <v/>
      </c>
      <c r="I12327" s="4" t="str">
        <v/>
      </c>
    </row>
    <row r="12328" spans="5:9" ht="16.5" hidden="1">
      <c r="E12328" s="4" t="str">
        <v/>
      </c>
      <c r="F12328" s="102" t="str">
        <f ca="1">IFERROR(__xludf.DUMMYFUNCTION("IMPORTRANGE(H12328,""IDENTITAS UNIT!D9"")"),"#N/A")</f>
        <v>#N/A</v>
      </c>
      <c r="H12328" s="4" t="str">
        <v/>
      </c>
      <c r="I12328" s="4" t="str">
        <v/>
      </c>
    </row>
    <row r="12329" spans="5:9" ht="16.5" hidden="1">
      <c r="E12329" s="4" t="str">
        <v/>
      </c>
      <c r="F12329" s="102" t="str">
        <f ca="1">IFERROR(__xludf.DUMMYFUNCTION("IMPORTRANGE(H12329,""IDENTITAS UNIT!D9"")"),"#N/A")</f>
        <v>#N/A</v>
      </c>
      <c r="H12329" s="4" t="str">
        <v/>
      </c>
      <c r="I12329" s="4" t="str">
        <v/>
      </c>
    </row>
    <row r="12330" spans="5:9" ht="16.5" hidden="1">
      <c r="E12330" s="4" t="str">
        <v/>
      </c>
      <c r="F12330" s="102" t="str">
        <f ca="1">IFERROR(__xludf.DUMMYFUNCTION("IMPORTRANGE(H12330,""IDENTITAS UNIT!D9"")"),"#N/A")</f>
        <v>#N/A</v>
      </c>
      <c r="H12330" s="4" t="str">
        <v/>
      </c>
      <c r="I12330" s="4" t="str">
        <v/>
      </c>
    </row>
    <row r="12331" spans="5:9" ht="16.5" hidden="1">
      <c r="E12331" s="4" t="str">
        <v/>
      </c>
      <c r="F12331" s="102" t="str">
        <f ca="1">IFERROR(__xludf.DUMMYFUNCTION("IMPORTRANGE(H12331,""IDENTITAS UNIT!D9"")"),"#N/A")</f>
        <v>#N/A</v>
      </c>
      <c r="H12331" s="4" t="str">
        <v/>
      </c>
      <c r="I12331" s="4" t="str">
        <v/>
      </c>
    </row>
    <row r="12332" spans="5:9" ht="16.5" hidden="1">
      <c r="E12332" s="4" t="str">
        <v/>
      </c>
      <c r="F12332" s="102" t="str">
        <f ca="1">IFERROR(__xludf.DUMMYFUNCTION("IMPORTRANGE(H12332,""IDENTITAS UNIT!D9"")"),"#N/A")</f>
        <v>#N/A</v>
      </c>
      <c r="H12332" s="4" t="str">
        <v/>
      </c>
      <c r="I12332" s="4" t="str">
        <v/>
      </c>
    </row>
    <row r="12333" spans="5:9" ht="16.5" hidden="1">
      <c r="E12333" s="4" t="str">
        <v/>
      </c>
      <c r="F12333" s="102" t="str">
        <f ca="1">IFERROR(__xludf.DUMMYFUNCTION("IMPORTRANGE(H12333,""IDENTITAS UNIT!D9"")"),"#N/A")</f>
        <v>#N/A</v>
      </c>
      <c r="H12333" s="4" t="str">
        <v/>
      </c>
      <c r="I12333" s="4" t="str">
        <v/>
      </c>
    </row>
    <row r="12334" spans="5:9" ht="16.5" hidden="1">
      <c r="E12334" s="4" t="str">
        <v/>
      </c>
      <c r="F12334" s="102" t="str">
        <f ca="1">IFERROR(__xludf.DUMMYFUNCTION("IMPORTRANGE(H12334,""IDENTITAS UNIT!D9"")"),"#N/A")</f>
        <v>#N/A</v>
      </c>
      <c r="H12334" s="4" t="str">
        <v/>
      </c>
      <c r="I12334" s="4" t="str">
        <v/>
      </c>
    </row>
    <row r="12335" spans="5:9" ht="16.5" hidden="1">
      <c r="E12335" s="4" t="str">
        <v/>
      </c>
      <c r="F12335" s="102" t="str">
        <f ca="1">IFERROR(__xludf.DUMMYFUNCTION("IMPORTRANGE(H12335,""IDENTITAS UNIT!D9"")"),"#N/A")</f>
        <v>#N/A</v>
      </c>
      <c r="H12335" s="4" t="str">
        <v/>
      </c>
      <c r="I12335" s="4" t="str">
        <v/>
      </c>
    </row>
    <row r="12336" spans="5:9" ht="16.5" hidden="1">
      <c r="E12336" s="4" t="str">
        <v/>
      </c>
      <c r="F12336" s="102" t="str">
        <f ca="1">IFERROR(__xludf.DUMMYFUNCTION("IMPORTRANGE(H12336,""IDENTITAS UNIT!D9"")"),"#N/A")</f>
        <v>#N/A</v>
      </c>
      <c r="H12336" s="4" t="str">
        <v/>
      </c>
      <c r="I12336" s="4" t="str">
        <v/>
      </c>
    </row>
    <row r="12337" spans="5:9" ht="16.5" hidden="1">
      <c r="E12337" s="4" t="str">
        <v/>
      </c>
      <c r="F12337" s="102" t="str">
        <f ca="1">IFERROR(__xludf.DUMMYFUNCTION("IMPORTRANGE(H12337,""IDENTITAS UNIT!D9"")"),"#N/A")</f>
        <v>#N/A</v>
      </c>
      <c r="H12337" s="4" t="str">
        <v/>
      </c>
      <c r="I12337" s="4" t="str">
        <v/>
      </c>
    </row>
    <row r="12338" spans="5:9" ht="16.5" hidden="1">
      <c r="E12338" s="4" t="str">
        <v/>
      </c>
      <c r="F12338" s="102" t="str">
        <f ca="1">IFERROR(__xludf.DUMMYFUNCTION("IMPORTRANGE(H12338,""IDENTITAS UNIT!D9"")"),"#N/A")</f>
        <v>#N/A</v>
      </c>
      <c r="H12338" s="4" t="str">
        <v/>
      </c>
      <c r="I12338" s="4" t="str">
        <v/>
      </c>
    </row>
    <row r="12339" spans="5:9" ht="16.5" hidden="1">
      <c r="E12339" s="4" t="str">
        <v/>
      </c>
      <c r="F12339" s="102" t="str">
        <f ca="1">IFERROR(__xludf.DUMMYFUNCTION("IMPORTRANGE(H12339,""IDENTITAS UNIT!D9"")"),"#N/A")</f>
        <v>#N/A</v>
      </c>
      <c r="H12339" s="4" t="str">
        <v/>
      </c>
      <c r="I12339" s="4" t="str">
        <v/>
      </c>
    </row>
    <row r="12340" spans="5:9" ht="16.5" hidden="1">
      <c r="E12340" s="4" t="str">
        <v/>
      </c>
      <c r="F12340" s="102" t="str">
        <f ca="1">IFERROR(__xludf.DUMMYFUNCTION("IMPORTRANGE(H12340,""IDENTITAS UNIT!D9"")"),"#N/A")</f>
        <v>#N/A</v>
      </c>
      <c r="H12340" s="4" t="str">
        <v/>
      </c>
      <c r="I12340" s="4" t="str">
        <v/>
      </c>
    </row>
    <row r="12341" spans="5:9" ht="16.5" hidden="1">
      <c r="E12341" s="4" t="str">
        <v/>
      </c>
      <c r="F12341" s="102" t="str">
        <f ca="1">IFERROR(__xludf.DUMMYFUNCTION("IMPORTRANGE(H12341,""IDENTITAS UNIT!D9"")"),"#N/A")</f>
        <v>#N/A</v>
      </c>
      <c r="H12341" s="4" t="str">
        <v/>
      </c>
      <c r="I12341" s="4" t="str">
        <v/>
      </c>
    </row>
    <row r="12342" spans="5:9" ht="16.5" hidden="1">
      <c r="E12342" s="4" t="str">
        <v/>
      </c>
      <c r="F12342" s="102" t="str">
        <f ca="1">IFERROR(__xludf.DUMMYFUNCTION("IMPORTRANGE(H12342,""IDENTITAS UNIT!D9"")"),"#N/A")</f>
        <v>#N/A</v>
      </c>
      <c r="H12342" s="4" t="str">
        <v/>
      </c>
      <c r="I12342" s="4" t="str">
        <v/>
      </c>
    </row>
    <row r="12343" spans="5:9" ht="16.5" hidden="1">
      <c r="E12343" s="4" t="str">
        <v/>
      </c>
      <c r="F12343" s="102" t="str">
        <f ca="1">IFERROR(__xludf.DUMMYFUNCTION("IMPORTRANGE(H12343,""IDENTITAS UNIT!D9"")"),"#N/A")</f>
        <v>#N/A</v>
      </c>
      <c r="H12343" s="4" t="str">
        <v/>
      </c>
      <c r="I12343" s="4" t="str">
        <v/>
      </c>
    </row>
    <row r="12344" spans="5:9" ht="16.5" hidden="1">
      <c r="E12344" s="4" t="str">
        <v/>
      </c>
      <c r="F12344" s="102" t="str">
        <f ca="1">IFERROR(__xludf.DUMMYFUNCTION("IMPORTRANGE(H12344,""IDENTITAS UNIT!D9"")"),"#N/A")</f>
        <v>#N/A</v>
      </c>
      <c r="H12344" s="4" t="str">
        <v/>
      </c>
      <c r="I12344" s="4" t="str">
        <v/>
      </c>
    </row>
    <row r="12345" spans="5:9" ht="16.5" hidden="1">
      <c r="E12345" s="4" t="str">
        <v/>
      </c>
      <c r="F12345" s="102" t="str">
        <f ca="1">IFERROR(__xludf.DUMMYFUNCTION("IMPORTRANGE(H12345,""IDENTITAS UNIT!D9"")"),"#N/A")</f>
        <v>#N/A</v>
      </c>
      <c r="H12345" s="4" t="str">
        <v/>
      </c>
      <c r="I12345" s="4" t="str">
        <v/>
      </c>
    </row>
    <row r="12346" spans="5:9" ht="16.5" hidden="1">
      <c r="E12346" s="4" t="str">
        <v/>
      </c>
      <c r="F12346" s="102" t="str">
        <f ca="1">IFERROR(__xludf.DUMMYFUNCTION("IMPORTRANGE(H12346,""IDENTITAS UNIT!D9"")"),"#N/A")</f>
        <v>#N/A</v>
      </c>
      <c r="H12346" s="4" t="str">
        <v/>
      </c>
      <c r="I12346" s="4" t="str">
        <v/>
      </c>
    </row>
    <row r="12347" spans="5:9" ht="16.5" hidden="1">
      <c r="E12347" s="4" t="str">
        <v/>
      </c>
      <c r="F12347" s="102" t="str">
        <f ca="1">IFERROR(__xludf.DUMMYFUNCTION("IMPORTRANGE(H12347,""IDENTITAS UNIT!D9"")"),"#N/A")</f>
        <v>#N/A</v>
      </c>
      <c r="H12347" s="4" t="str">
        <v/>
      </c>
      <c r="I12347" s="4" t="str">
        <v/>
      </c>
    </row>
    <row r="12348" spans="5:9" ht="16.5" hidden="1">
      <c r="E12348" s="4" t="str">
        <v/>
      </c>
      <c r="F12348" s="102" t="str">
        <f ca="1">IFERROR(__xludf.DUMMYFUNCTION("IMPORTRANGE(H12348,""IDENTITAS UNIT!D9"")"),"#N/A")</f>
        <v>#N/A</v>
      </c>
      <c r="H12348" s="4" t="str">
        <v/>
      </c>
      <c r="I12348" s="4" t="str">
        <v/>
      </c>
    </row>
    <row r="12349" spans="5:9" ht="16.5" hidden="1">
      <c r="E12349" s="4" t="str">
        <v/>
      </c>
      <c r="F12349" s="102" t="str">
        <f ca="1">IFERROR(__xludf.DUMMYFUNCTION("IMPORTRANGE(H12349,""IDENTITAS UNIT!D9"")"),"#N/A")</f>
        <v>#N/A</v>
      </c>
      <c r="H12349" s="4" t="str">
        <v/>
      </c>
      <c r="I12349" s="4" t="str">
        <v/>
      </c>
    </row>
    <row r="12350" spans="5:9" ht="16.5" hidden="1">
      <c r="E12350" s="4" t="str">
        <v/>
      </c>
      <c r="F12350" s="102" t="str">
        <f ca="1">IFERROR(__xludf.DUMMYFUNCTION("IMPORTRANGE(H12350,""IDENTITAS UNIT!D9"")"),"#N/A")</f>
        <v>#N/A</v>
      </c>
      <c r="H12350" s="4" t="str">
        <v/>
      </c>
      <c r="I12350" s="4" t="str">
        <v/>
      </c>
    </row>
    <row r="12351" spans="5:9" ht="16.5" hidden="1">
      <c r="E12351" s="4" t="str">
        <v/>
      </c>
      <c r="F12351" s="102" t="str">
        <f ca="1">IFERROR(__xludf.DUMMYFUNCTION("IMPORTRANGE(H12351,""IDENTITAS UNIT!D9"")"),"#N/A")</f>
        <v>#N/A</v>
      </c>
      <c r="H12351" s="4" t="str">
        <v/>
      </c>
      <c r="I12351" s="4" t="str">
        <v/>
      </c>
    </row>
    <row r="12352" spans="5:9" ht="16.5" hidden="1">
      <c r="E12352" s="4" t="str">
        <v/>
      </c>
      <c r="F12352" s="102" t="str">
        <f ca="1">IFERROR(__xludf.DUMMYFUNCTION("IMPORTRANGE(H12352,""IDENTITAS UNIT!D9"")"),"#N/A")</f>
        <v>#N/A</v>
      </c>
      <c r="H12352" s="4" t="str">
        <v/>
      </c>
      <c r="I12352" s="4" t="str">
        <v/>
      </c>
    </row>
    <row r="12353" spans="5:9" ht="16.5" hidden="1">
      <c r="E12353" s="4" t="str">
        <v/>
      </c>
      <c r="F12353" s="102" t="str">
        <f ca="1">IFERROR(__xludf.DUMMYFUNCTION("IMPORTRANGE(H12353,""IDENTITAS UNIT!D9"")"),"#N/A")</f>
        <v>#N/A</v>
      </c>
      <c r="H12353" s="4" t="str">
        <v/>
      </c>
      <c r="I12353" s="4" t="str">
        <v/>
      </c>
    </row>
    <row r="12354" spans="5:9" ht="16.5" hidden="1">
      <c r="E12354" s="4" t="str">
        <v/>
      </c>
      <c r="F12354" s="102" t="str">
        <f ca="1">IFERROR(__xludf.DUMMYFUNCTION("IMPORTRANGE(H12354,""IDENTITAS UNIT!D9"")"),"#N/A")</f>
        <v>#N/A</v>
      </c>
      <c r="H12354" s="4" t="str">
        <v/>
      </c>
      <c r="I12354" s="4" t="str">
        <v/>
      </c>
    </row>
    <row r="12355" spans="5:9" ht="16.5" hidden="1">
      <c r="E12355" s="4" t="str">
        <v/>
      </c>
      <c r="F12355" s="102" t="str">
        <f ca="1">IFERROR(__xludf.DUMMYFUNCTION("IMPORTRANGE(H12355,""IDENTITAS UNIT!D9"")"),"#N/A")</f>
        <v>#N/A</v>
      </c>
      <c r="H12355" s="4" t="str">
        <v/>
      </c>
      <c r="I12355" s="4" t="str">
        <v/>
      </c>
    </row>
    <row r="12356" spans="5:9" ht="16.5" hidden="1">
      <c r="E12356" s="4" t="str">
        <v/>
      </c>
      <c r="F12356" s="102" t="str">
        <f ca="1">IFERROR(__xludf.DUMMYFUNCTION("IMPORTRANGE(H12356,""IDENTITAS UNIT!D9"")"),"#N/A")</f>
        <v>#N/A</v>
      </c>
      <c r="H12356" s="4" t="str">
        <v/>
      </c>
      <c r="I12356" s="4" t="str">
        <v/>
      </c>
    </row>
    <row r="12357" spans="5:9" ht="16.5" hidden="1">
      <c r="E12357" s="4" t="str">
        <v/>
      </c>
      <c r="F12357" s="102" t="str">
        <f ca="1">IFERROR(__xludf.DUMMYFUNCTION("IMPORTRANGE(H12357,""IDENTITAS UNIT!D9"")"),"#N/A")</f>
        <v>#N/A</v>
      </c>
      <c r="H12357" s="4" t="str">
        <v/>
      </c>
      <c r="I12357" s="4" t="str">
        <v/>
      </c>
    </row>
    <row r="12358" spans="5:9" ht="16.5" hidden="1">
      <c r="E12358" s="4" t="str">
        <v/>
      </c>
      <c r="F12358" s="102" t="str">
        <f ca="1">IFERROR(__xludf.DUMMYFUNCTION("IMPORTRANGE(H12358,""IDENTITAS UNIT!D9"")"),"#N/A")</f>
        <v>#N/A</v>
      </c>
      <c r="H12358" s="4" t="str">
        <v/>
      </c>
      <c r="I12358" s="4" t="str">
        <v/>
      </c>
    </row>
    <row r="12359" spans="5:9" ht="16.5" hidden="1">
      <c r="E12359" s="4" t="str">
        <v/>
      </c>
      <c r="F12359" s="102" t="str">
        <f ca="1">IFERROR(__xludf.DUMMYFUNCTION("IMPORTRANGE(H12359,""IDENTITAS UNIT!D9"")"),"#N/A")</f>
        <v>#N/A</v>
      </c>
      <c r="H12359" s="4" t="str">
        <v/>
      </c>
      <c r="I12359" s="4" t="str">
        <v/>
      </c>
    </row>
    <row r="12360" spans="5:9" ht="16.5" hidden="1">
      <c r="E12360" s="4" t="str">
        <v/>
      </c>
      <c r="F12360" s="102" t="str">
        <f ca="1">IFERROR(__xludf.DUMMYFUNCTION("IMPORTRANGE(H12360,""IDENTITAS UNIT!D9"")"),"#N/A")</f>
        <v>#N/A</v>
      </c>
      <c r="H12360" s="4" t="str">
        <v/>
      </c>
      <c r="I12360" s="4" t="str">
        <v/>
      </c>
    </row>
    <row r="12361" spans="5:9" ht="16.5" hidden="1">
      <c r="E12361" s="4" t="str">
        <v/>
      </c>
      <c r="F12361" s="102" t="str">
        <f ca="1">IFERROR(__xludf.DUMMYFUNCTION("IMPORTRANGE(H12361,""IDENTITAS UNIT!D9"")"),"#N/A")</f>
        <v>#N/A</v>
      </c>
      <c r="H12361" s="4" t="str">
        <v/>
      </c>
      <c r="I12361" s="4" t="str">
        <v/>
      </c>
    </row>
    <row r="12362" spans="5:9" ht="16.5" hidden="1">
      <c r="E12362" s="4" t="str">
        <v/>
      </c>
      <c r="F12362" s="102" t="str">
        <f ca="1">IFERROR(__xludf.DUMMYFUNCTION("IMPORTRANGE(H12362,""IDENTITAS UNIT!D9"")"),"#N/A")</f>
        <v>#N/A</v>
      </c>
      <c r="H12362" s="4" t="str">
        <v/>
      </c>
      <c r="I12362" s="4" t="str">
        <v/>
      </c>
    </row>
    <row r="12363" spans="5:9" ht="16.5" hidden="1">
      <c r="E12363" s="4" t="str">
        <v/>
      </c>
      <c r="F12363" s="102" t="str">
        <f ca="1">IFERROR(__xludf.DUMMYFUNCTION("IMPORTRANGE(H12363,""IDENTITAS UNIT!D9"")"),"#N/A")</f>
        <v>#N/A</v>
      </c>
      <c r="H12363" s="4" t="str">
        <v/>
      </c>
      <c r="I12363" s="4" t="str">
        <v/>
      </c>
    </row>
    <row r="12364" spans="5:9" ht="16.5" hidden="1">
      <c r="E12364" s="4" t="str">
        <v/>
      </c>
      <c r="F12364" s="102" t="str">
        <f ca="1">IFERROR(__xludf.DUMMYFUNCTION("IMPORTRANGE(H12364,""IDENTITAS UNIT!D9"")"),"#N/A")</f>
        <v>#N/A</v>
      </c>
      <c r="H12364" s="4" t="str">
        <v/>
      </c>
      <c r="I12364" s="4" t="str">
        <v/>
      </c>
    </row>
    <row r="12365" spans="5:9" ht="16.5" hidden="1">
      <c r="E12365" s="4" t="str">
        <v/>
      </c>
      <c r="F12365" s="102" t="str">
        <f ca="1">IFERROR(__xludf.DUMMYFUNCTION("IMPORTRANGE(H12365,""IDENTITAS UNIT!D9"")"),"#N/A")</f>
        <v>#N/A</v>
      </c>
      <c r="H12365" s="4" t="str">
        <v/>
      </c>
      <c r="I12365" s="4" t="str">
        <v/>
      </c>
    </row>
    <row r="12366" spans="5:9" ht="16.5" hidden="1">
      <c r="E12366" s="4" t="str">
        <v/>
      </c>
      <c r="F12366" s="102" t="str">
        <f ca="1">IFERROR(__xludf.DUMMYFUNCTION("IMPORTRANGE(H12366,""IDENTITAS UNIT!D9"")"),"#N/A")</f>
        <v>#N/A</v>
      </c>
      <c r="H12366" s="4" t="str">
        <v/>
      </c>
      <c r="I12366" s="4" t="str">
        <v/>
      </c>
    </row>
    <row r="12367" spans="5:9" ht="16.5" hidden="1">
      <c r="E12367" s="4" t="str">
        <v/>
      </c>
      <c r="F12367" s="102" t="str">
        <f ca="1">IFERROR(__xludf.DUMMYFUNCTION("IMPORTRANGE(H12367,""IDENTITAS UNIT!D9"")"),"#N/A")</f>
        <v>#N/A</v>
      </c>
      <c r="H12367" s="4" t="str">
        <v/>
      </c>
      <c r="I12367" s="4" t="str">
        <v/>
      </c>
    </row>
    <row r="12368" spans="5:9" ht="16.5" hidden="1">
      <c r="E12368" s="4" t="str">
        <v/>
      </c>
      <c r="F12368" s="102" t="str">
        <f ca="1">IFERROR(__xludf.DUMMYFUNCTION("IMPORTRANGE(H12368,""IDENTITAS UNIT!D9"")"),"#N/A")</f>
        <v>#N/A</v>
      </c>
      <c r="H12368" s="4" t="str">
        <v/>
      </c>
      <c r="I12368" s="4" t="str">
        <v/>
      </c>
    </row>
    <row r="12369" spans="5:9" ht="16.5" hidden="1">
      <c r="E12369" s="4" t="str">
        <v/>
      </c>
      <c r="F12369" s="102" t="str">
        <f ca="1">IFERROR(__xludf.DUMMYFUNCTION("IMPORTRANGE(H12369,""IDENTITAS UNIT!D9"")"),"#N/A")</f>
        <v>#N/A</v>
      </c>
      <c r="H12369" s="4" t="str">
        <v/>
      </c>
      <c r="I12369" s="4" t="str">
        <v/>
      </c>
    </row>
    <row r="12370" spans="5:9" ht="16.5" hidden="1">
      <c r="E12370" s="4" t="str">
        <v/>
      </c>
      <c r="F12370" s="102" t="str">
        <f ca="1">IFERROR(__xludf.DUMMYFUNCTION("IMPORTRANGE(H12370,""IDENTITAS UNIT!D9"")"),"#N/A")</f>
        <v>#N/A</v>
      </c>
      <c r="H12370" s="4" t="str">
        <v/>
      </c>
      <c r="I12370" s="4" t="str">
        <v/>
      </c>
    </row>
    <row r="12371" spans="5:9" ht="16.5" hidden="1">
      <c r="E12371" s="4" t="str">
        <v/>
      </c>
      <c r="F12371" s="102" t="str">
        <f ca="1">IFERROR(__xludf.DUMMYFUNCTION("IMPORTRANGE(H12371,""IDENTITAS UNIT!D9"")"),"#N/A")</f>
        <v>#N/A</v>
      </c>
      <c r="H12371" s="4" t="str">
        <v/>
      </c>
      <c r="I12371" s="4" t="str">
        <v/>
      </c>
    </row>
    <row r="12372" spans="5:9" ht="16.5" hidden="1">
      <c r="E12372" s="4" t="str">
        <v/>
      </c>
      <c r="F12372" s="102" t="str">
        <f ca="1">IFERROR(__xludf.DUMMYFUNCTION("IMPORTRANGE(H12372,""IDENTITAS UNIT!D9"")"),"#N/A")</f>
        <v>#N/A</v>
      </c>
      <c r="H12372" s="4" t="str">
        <v/>
      </c>
      <c r="I12372" s="4" t="str">
        <v/>
      </c>
    </row>
    <row r="12373" spans="5:9" ht="16.5" hidden="1">
      <c r="E12373" s="4" t="str">
        <v/>
      </c>
      <c r="F12373" s="102" t="str">
        <f ca="1">IFERROR(__xludf.DUMMYFUNCTION("IMPORTRANGE(H12373,""IDENTITAS UNIT!D9"")"),"#N/A")</f>
        <v>#N/A</v>
      </c>
      <c r="H12373" s="4" t="str">
        <v/>
      </c>
      <c r="I12373" s="4" t="str">
        <v/>
      </c>
    </row>
    <row r="12374" spans="5:9" ht="16.5" hidden="1">
      <c r="E12374" s="4" t="str">
        <v/>
      </c>
      <c r="F12374" s="102" t="str">
        <f ca="1">IFERROR(__xludf.DUMMYFUNCTION("IMPORTRANGE(H12374,""IDENTITAS UNIT!D9"")"),"#N/A")</f>
        <v>#N/A</v>
      </c>
      <c r="H12374" s="4" t="str">
        <v/>
      </c>
      <c r="I12374" s="4" t="str">
        <v/>
      </c>
    </row>
    <row r="12375" spans="5:9" ht="16.5" hidden="1">
      <c r="E12375" s="4" t="str">
        <v/>
      </c>
      <c r="F12375" s="102" t="str">
        <f ca="1">IFERROR(__xludf.DUMMYFUNCTION("IMPORTRANGE(H12375,""IDENTITAS UNIT!D9"")"),"#N/A")</f>
        <v>#N/A</v>
      </c>
      <c r="H12375" s="4" t="str">
        <v/>
      </c>
      <c r="I12375" s="4" t="str">
        <v/>
      </c>
    </row>
    <row r="12376" spans="5:9" ht="16.5" hidden="1">
      <c r="E12376" s="4" t="str">
        <v/>
      </c>
      <c r="F12376" s="102" t="str">
        <f ca="1">IFERROR(__xludf.DUMMYFUNCTION("IMPORTRANGE(H12376,""IDENTITAS UNIT!D9"")"),"#N/A")</f>
        <v>#N/A</v>
      </c>
      <c r="H12376" s="4" t="str">
        <v/>
      </c>
      <c r="I12376" s="4" t="str">
        <v/>
      </c>
    </row>
    <row r="12377" spans="5:9" ht="16.5" hidden="1">
      <c r="E12377" s="4" t="str">
        <v/>
      </c>
      <c r="F12377" s="102" t="str">
        <f ca="1">IFERROR(__xludf.DUMMYFUNCTION("IMPORTRANGE(H12377,""IDENTITAS UNIT!D9"")"),"#N/A")</f>
        <v>#N/A</v>
      </c>
      <c r="H12377" s="4" t="str">
        <v/>
      </c>
      <c r="I12377" s="4" t="str">
        <v/>
      </c>
    </row>
    <row r="12378" spans="5:9" ht="16.5" hidden="1">
      <c r="E12378" s="4" t="str">
        <v/>
      </c>
      <c r="F12378" s="102" t="str">
        <f ca="1">IFERROR(__xludf.DUMMYFUNCTION("IMPORTRANGE(H12378,""IDENTITAS UNIT!D9"")"),"#N/A")</f>
        <v>#N/A</v>
      </c>
      <c r="H12378" s="4" t="str">
        <v/>
      </c>
      <c r="I12378" s="4" t="str">
        <v/>
      </c>
    </row>
    <row r="12379" spans="5:9" ht="16.5" hidden="1">
      <c r="E12379" s="4" t="str">
        <v/>
      </c>
      <c r="F12379" s="102" t="str">
        <f ca="1">IFERROR(__xludf.DUMMYFUNCTION("IMPORTRANGE(H12379,""IDENTITAS UNIT!D9"")"),"#N/A")</f>
        <v>#N/A</v>
      </c>
      <c r="H12379" s="4" t="str">
        <v/>
      </c>
      <c r="I12379" s="4" t="str">
        <v/>
      </c>
    </row>
    <row r="12380" spans="5:9" ht="16.5" hidden="1">
      <c r="E12380" s="4" t="str">
        <v/>
      </c>
      <c r="F12380" s="102" t="str">
        <f ca="1">IFERROR(__xludf.DUMMYFUNCTION("IMPORTRANGE(H12380,""IDENTITAS UNIT!D9"")"),"#N/A")</f>
        <v>#N/A</v>
      </c>
      <c r="H12380" s="4" t="str">
        <v/>
      </c>
      <c r="I12380" s="4" t="str">
        <v/>
      </c>
    </row>
    <row r="12381" spans="5:9" ht="16.5" hidden="1">
      <c r="E12381" s="4" t="str">
        <v/>
      </c>
      <c r="F12381" s="102" t="str">
        <f ca="1">IFERROR(__xludf.DUMMYFUNCTION("IMPORTRANGE(H12381,""IDENTITAS UNIT!D9"")"),"#N/A")</f>
        <v>#N/A</v>
      </c>
      <c r="H12381" s="4" t="str">
        <v/>
      </c>
      <c r="I12381" s="4" t="str">
        <v/>
      </c>
    </row>
    <row r="12382" spans="5:9" ht="16.5" hidden="1">
      <c r="E12382" s="4" t="str">
        <v/>
      </c>
      <c r="F12382" s="102" t="str">
        <f ca="1">IFERROR(__xludf.DUMMYFUNCTION("IMPORTRANGE(H12382,""IDENTITAS UNIT!D9"")"),"#N/A")</f>
        <v>#N/A</v>
      </c>
      <c r="H12382" s="4" t="str">
        <v/>
      </c>
      <c r="I12382" s="4" t="str">
        <v/>
      </c>
    </row>
    <row r="12383" spans="5:9" ht="16.5" hidden="1">
      <c r="E12383" s="4" t="str">
        <v/>
      </c>
      <c r="F12383" s="102" t="str">
        <f ca="1">IFERROR(__xludf.DUMMYFUNCTION("IMPORTRANGE(H12383,""IDENTITAS UNIT!D9"")"),"#N/A")</f>
        <v>#N/A</v>
      </c>
      <c r="H12383" s="4" t="str">
        <v/>
      </c>
      <c r="I12383" s="4" t="str">
        <v/>
      </c>
    </row>
    <row r="12384" spans="5:9" ht="16.5" hidden="1">
      <c r="E12384" s="4" t="str">
        <v/>
      </c>
      <c r="F12384" s="102" t="str">
        <f ca="1">IFERROR(__xludf.DUMMYFUNCTION("IMPORTRANGE(H12384,""IDENTITAS UNIT!D9"")"),"#N/A")</f>
        <v>#N/A</v>
      </c>
      <c r="H12384" s="4" t="str">
        <v/>
      </c>
      <c r="I12384" s="4" t="str">
        <v/>
      </c>
    </row>
    <row r="12385" spans="5:9" ht="16.5" hidden="1">
      <c r="E12385" s="4" t="str">
        <v/>
      </c>
      <c r="F12385" s="102" t="str">
        <f ca="1">IFERROR(__xludf.DUMMYFUNCTION("IMPORTRANGE(H12385,""IDENTITAS UNIT!D9"")"),"#N/A")</f>
        <v>#N/A</v>
      </c>
      <c r="H12385" s="4" t="str">
        <v/>
      </c>
      <c r="I12385" s="4" t="str">
        <v/>
      </c>
    </row>
    <row r="12386" spans="5:9" ht="16.5" hidden="1">
      <c r="E12386" s="4" t="str">
        <v/>
      </c>
      <c r="F12386" s="102" t="str">
        <f ca="1">IFERROR(__xludf.DUMMYFUNCTION("IMPORTRANGE(H12386,""IDENTITAS UNIT!D9"")"),"#N/A")</f>
        <v>#N/A</v>
      </c>
      <c r="H12386" s="4" t="str">
        <v/>
      </c>
      <c r="I12386" s="4" t="str">
        <v/>
      </c>
    </row>
    <row r="12387" spans="5:9" ht="16.5" hidden="1">
      <c r="E12387" s="4" t="str">
        <v/>
      </c>
      <c r="F12387" s="102" t="str">
        <f ca="1">IFERROR(__xludf.DUMMYFUNCTION("IMPORTRANGE(H12387,""IDENTITAS UNIT!D9"")"),"#N/A")</f>
        <v>#N/A</v>
      </c>
      <c r="H12387" s="4" t="str">
        <v/>
      </c>
      <c r="I12387" s="4" t="str">
        <v/>
      </c>
    </row>
    <row r="12388" spans="5:9" ht="16.5" hidden="1">
      <c r="E12388" s="4" t="str">
        <v/>
      </c>
      <c r="F12388" s="102" t="str">
        <f ca="1">IFERROR(__xludf.DUMMYFUNCTION("IMPORTRANGE(H12388,""IDENTITAS UNIT!D9"")"),"#N/A")</f>
        <v>#N/A</v>
      </c>
      <c r="H12388" s="4" t="str">
        <v/>
      </c>
      <c r="I12388" s="4" t="str">
        <v/>
      </c>
    </row>
    <row r="12389" spans="5:9" ht="16.5" hidden="1">
      <c r="E12389" s="4" t="str">
        <v/>
      </c>
      <c r="F12389" s="102" t="str">
        <f ca="1">IFERROR(__xludf.DUMMYFUNCTION("IMPORTRANGE(H12389,""IDENTITAS UNIT!D9"")"),"#N/A")</f>
        <v>#N/A</v>
      </c>
      <c r="H12389" s="4" t="str">
        <v/>
      </c>
      <c r="I12389" s="4" t="str">
        <v/>
      </c>
    </row>
    <row r="12390" spans="5:9" ht="16.5" hidden="1">
      <c r="E12390" s="4" t="str">
        <v/>
      </c>
      <c r="F12390" s="102" t="str">
        <f ca="1">IFERROR(__xludf.DUMMYFUNCTION("IMPORTRANGE(H12390,""IDENTITAS UNIT!D9"")"),"#N/A")</f>
        <v>#N/A</v>
      </c>
      <c r="H12390" s="4" t="str">
        <v/>
      </c>
      <c r="I12390" s="4" t="str">
        <v/>
      </c>
    </row>
    <row r="12391" spans="5:9" ht="16.5" hidden="1">
      <c r="E12391" s="4" t="str">
        <v/>
      </c>
      <c r="F12391" s="102" t="str">
        <f ca="1">IFERROR(__xludf.DUMMYFUNCTION("IMPORTRANGE(H12391,""IDENTITAS UNIT!D9"")"),"#N/A")</f>
        <v>#N/A</v>
      </c>
      <c r="H12391" s="4" t="str">
        <v/>
      </c>
      <c r="I12391" s="4" t="str">
        <v/>
      </c>
    </row>
    <row r="12392" spans="5:9" ht="16.5" hidden="1">
      <c r="E12392" s="4" t="str">
        <v/>
      </c>
      <c r="F12392" s="102" t="str">
        <f ca="1">IFERROR(__xludf.DUMMYFUNCTION("IMPORTRANGE(H12392,""IDENTITAS UNIT!D9"")"),"#N/A")</f>
        <v>#N/A</v>
      </c>
      <c r="H12392" s="4" t="str">
        <v/>
      </c>
      <c r="I12392" s="4" t="str">
        <v/>
      </c>
    </row>
    <row r="12393" spans="5:9" ht="16.5" hidden="1">
      <c r="E12393" s="4" t="str">
        <v/>
      </c>
      <c r="F12393" s="102" t="str">
        <f ca="1">IFERROR(__xludf.DUMMYFUNCTION("IMPORTRANGE(H12393,""IDENTITAS UNIT!D9"")"),"#N/A")</f>
        <v>#N/A</v>
      </c>
      <c r="H12393" s="4" t="str">
        <v/>
      </c>
      <c r="I12393" s="4" t="str">
        <v/>
      </c>
    </row>
    <row r="12394" spans="5:9" ht="16.5" hidden="1">
      <c r="E12394" s="4" t="str">
        <v/>
      </c>
      <c r="F12394" s="102" t="str">
        <f ca="1">IFERROR(__xludf.DUMMYFUNCTION("IMPORTRANGE(H12394,""IDENTITAS UNIT!D9"")"),"#N/A")</f>
        <v>#N/A</v>
      </c>
      <c r="H12394" s="4" t="str">
        <v/>
      </c>
      <c r="I12394" s="4" t="str">
        <v/>
      </c>
    </row>
    <row r="12395" spans="5:9" ht="16.5" hidden="1">
      <c r="E12395" s="4" t="str">
        <v/>
      </c>
      <c r="F12395" s="102" t="str">
        <f ca="1">IFERROR(__xludf.DUMMYFUNCTION("IMPORTRANGE(H12395,""IDENTITAS UNIT!D9"")"),"#N/A")</f>
        <v>#N/A</v>
      </c>
      <c r="H12395" s="4" t="str">
        <v/>
      </c>
      <c r="I12395" s="4" t="str">
        <v/>
      </c>
    </row>
    <row r="12396" spans="5:9" ht="16.5" hidden="1">
      <c r="E12396" s="4" t="str">
        <v/>
      </c>
      <c r="F12396" s="102" t="str">
        <f ca="1">IFERROR(__xludf.DUMMYFUNCTION("IMPORTRANGE(H12396,""IDENTITAS UNIT!D9"")"),"#N/A")</f>
        <v>#N/A</v>
      </c>
      <c r="H12396" s="4" t="str">
        <v/>
      </c>
      <c r="I12396" s="4" t="str">
        <v/>
      </c>
    </row>
    <row r="12397" spans="5:9" ht="16.5" hidden="1">
      <c r="E12397" s="4" t="str">
        <v/>
      </c>
      <c r="F12397" s="102" t="str">
        <f ca="1">IFERROR(__xludf.DUMMYFUNCTION("IMPORTRANGE(H12397,""IDENTITAS UNIT!D9"")"),"#N/A")</f>
        <v>#N/A</v>
      </c>
      <c r="H12397" s="4" t="str">
        <v/>
      </c>
      <c r="I12397" s="4" t="str">
        <v/>
      </c>
    </row>
    <row r="12398" spans="5:9" ht="16.5" hidden="1">
      <c r="E12398" s="4" t="str">
        <v/>
      </c>
      <c r="F12398" s="102" t="str">
        <f ca="1">IFERROR(__xludf.DUMMYFUNCTION("IMPORTRANGE(H12398,""IDENTITAS UNIT!D9"")"),"#N/A")</f>
        <v>#N/A</v>
      </c>
      <c r="H12398" s="4" t="str">
        <v/>
      </c>
      <c r="I12398" s="4" t="str">
        <v/>
      </c>
    </row>
    <row r="12399" spans="5:9" ht="16.5" hidden="1">
      <c r="E12399" s="4" t="str">
        <v/>
      </c>
      <c r="F12399" s="102" t="str">
        <f ca="1">IFERROR(__xludf.DUMMYFUNCTION("IMPORTRANGE(H12399,""IDENTITAS UNIT!D9"")"),"#N/A")</f>
        <v>#N/A</v>
      </c>
      <c r="H12399" s="4" t="str">
        <v/>
      </c>
      <c r="I12399" s="4" t="str">
        <v/>
      </c>
    </row>
    <row r="12400" spans="5:9" ht="16.5" hidden="1">
      <c r="E12400" s="4" t="str">
        <v/>
      </c>
      <c r="F12400" s="102" t="str">
        <f ca="1">IFERROR(__xludf.DUMMYFUNCTION("IMPORTRANGE(H12400,""IDENTITAS UNIT!D9"")"),"#N/A")</f>
        <v>#N/A</v>
      </c>
      <c r="H12400" s="4" t="str">
        <v/>
      </c>
      <c r="I12400" s="4" t="str">
        <v/>
      </c>
    </row>
    <row r="12401" spans="5:9" ht="16.5" hidden="1">
      <c r="E12401" s="4" t="str">
        <v/>
      </c>
      <c r="F12401" s="102" t="str">
        <f ca="1">IFERROR(__xludf.DUMMYFUNCTION("IMPORTRANGE(H12401,""IDENTITAS UNIT!D9"")"),"#N/A")</f>
        <v>#N/A</v>
      </c>
      <c r="H12401" s="4" t="str">
        <v/>
      </c>
      <c r="I12401" s="4" t="str">
        <v/>
      </c>
    </row>
    <row r="12402" spans="5:9" ht="16.5" hidden="1">
      <c r="E12402" s="4" t="str">
        <v/>
      </c>
      <c r="F12402" s="102" t="str">
        <f ca="1">IFERROR(__xludf.DUMMYFUNCTION("IMPORTRANGE(H12402,""IDENTITAS UNIT!D9"")"),"#N/A")</f>
        <v>#N/A</v>
      </c>
      <c r="H12402" s="4" t="str">
        <v/>
      </c>
      <c r="I12402" s="4" t="str">
        <v/>
      </c>
    </row>
    <row r="12403" spans="5:9" ht="16.5" hidden="1">
      <c r="E12403" s="4" t="str">
        <v/>
      </c>
      <c r="F12403" s="102" t="str">
        <f ca="1">IFERROR(__xludf.DUMMYFUNCTION("IMPORTRANGE(H12403,""IDENTITAS UNIT!D9"")"),"#N/A")</f>
        <v>#N/A</v>
      </c>
      <c r="H12403" s="4" t="str">
        <v/>
      </c>
      <c r="I12403" s="4" t="str">
        <v/>
      </c>
    </row>
    <row r="12404" spans="5:9" ht="16.5" hidden="1">
      <c r="E12404" s="4" t="str">
        <v/>
      </c>
      <c r="F12404" s="102" t="str">
        <f ca="1">IFERROR(__xludf.DUMMYFUNCTION("IMPORTRANGE(H12404,""IDENTITAS UNIT!D9"")"),"#N/A")</f>
        <v>#N/A</v>
      </c>
      <c r="H12404" s="4" t="str">
        <v/>
      </c>
      <c r="I12404" s="4" t="str">
        <v/>
      </c>
    </row>
    <row r="12405" spans="5:9" ht="16.5" hidden="1">
      <c r="E12405" s="4" t="str">
        <v/>
      </c>
      <c r="F12405" s="102" t="str">
        <f ca="1">IFERROR(__xludf.DUMMYFUNCTION("IMPORTRANGE(H12405,""IDENTITAS UNIT!D9"")"),"#N/A")</f>
        <v>#N/A</v>
      </c>
      <c r="H12405" s="4" t="str">
        <v/>
      </c>
      <c r="I12405" s="4" t="str">
        <v/>
      </c>
    </row>
    <row r="12406" spans="5:9" ht="16.5" hidden="1">
      <c r="E12406" s="4" t="str">
        <v/>
      </c>
      <c r="F12406" s="102" t="str">
        <f ca="1">IFERROR(__xludf.DUMMYFUNCTION("IMPORTRANGE(H12406,""IDENTITAS UNIT!D9"")"),"#N/A")</f>
        <v>#N/A</v>
      </c>
      <c r="H12406" s="4" t="str">
        <v/>
      </c>
      <c r="I12406" s="4" t="str">
        <v/>
      </c>
    </row>
    <row r="12407" spans="5:9" ht="16.5" hidden="1">
      <c r="E12407" s="4" t="str">
        <v/>
      </c>
      <c r="F12407" s="102" t="str">
        <f ca="1">IFERROR(__xludf.DUMMYFUNCTION("IMPORTRANGE(H12407,""IDENTITAS UNIT!D9"")"),"#N/A")</f>
        <v>#N/A</v>
      </c>
      <c r="H12407" s="4" t="str">
        <v/>
      </c>
      <c r="I12407" s="4" t="str">
        <v/>
      </c>
    </row>
    <row r="12408" spans="5:9" ht="16.5" hidden="1">
      <c r="E12408" s="4" t="str">
        <v/>
      </c>
      <c r="F12408" s="102" t="str">
        <f ca="1">IFERROR(__xludf.DUMMYFUNCTION("IMPORTRANGE(H12408,""IDENTITAS UNIT!D9"")"),"#N/A")</f>
        <v>#N/A</v>
      </c>
      <c r="H12408" s="4" t="str">
        <v/>
      </c>
      <c r="I12408" s="4" t="str">
        <v/>
      </c>
    </row>
    <row r="12409" spans="5:9" ht="16.5" hidden="1">
      <c r="E12409" s="4" t="str">
        <v/>
      </c>
      <c r="F12409" s="102" t="str">
        <f ca="1">IFERROR(__xludf.DUMMYFUNCTION("IMPORTRANGE(H12409,""IDENTITAS UNIT!D9"")"),"#N/A")</f>
        <v>#N/A</v>
      </c>
      <c r="H12409" s="4" t="str">
        <v/>
      </c>
      <c r="I12409" s="4" t="str">
        <v/>
      </c>
    </row>
    <row r="12410" spans="5:9" ht="16.5" hidden="1">
      <c r="E12410" s="4" t="str">
        <v/>
      </c>
      <c r="F12410" s="102" t="str">
        <f ca="1">IFERROR(__xludf.DUMMYFUNCTION("IMPORTRANGE(H12410,""IDENTITAS UNIT!D9"")"),"#N/A")</f>
        <v>#N/A</v>
      </c>
      <c r="H12410" s="4" t="str">
        <v/>
      </c>
      <c r="I12410" s="4" t="str">
        <v/>
      </c>
    </row>
    <row r="12411" spans="5:9" ht="16.5" hidden="1">
      <c r="E12411" s="4" t="str">
        <v/>
      </c>
      <c r="F12411" s="102" t="str">
        <f ca="1">IFERROR(__xludf.DUMMYFUNCTION("IMPORTRANGE(H12411,""IDENTITAS UNIT!D9"")"),"#N/A")</f>
        <v>#N/A</v>
      </c>
      <c r="H12411" s="4" t="str">
        <v/>
      </c>
      <c r="I12411" s="4" t="str">
        <v/>
      </c>
    </row>
    <row r="12412" spans="5:9" ht="16.5" hidden="1">
      <c r="E12412" s="4" t="str">
        <v/>
      </c>
      <c r="F12412" s="102" t="str">
        <f ca="1">IFERROR(__xludf.DUMMYFUNCTION("IMPORTRANGE(H12412,""IDENTITAS UNIT!D9"")"),"#N/A")</f>
        <v>#N/A</v>
      </c>
      <c r="H12412" s="4" t="str">
        <v/>
      </c>
      <c r="I12412" s="4" t="str">
        <v/>
      </c>
    </row>
    <row r="12413" spans="5:9" ht="16.5" hidden="1">
      <c r="E12413" s="4" t="str">
        <v/>
      </c>
      <c r="F12413" s="102" t="str">
        <f ca="1">IFERROR(__xludf.DUMMYFUNCTION("IMPORTRANGE(H12413,""IDENTITAS UNIT!D9"")"),"#N/A")</f>
        <v>#N/A</v>
      </c>
      <c r="H12413" s="4" t="str">
        <v/>
      </c>
      <c r="I12413" s="4" t="str">
        <v/>
      </c>
    </row>
    <row r="12414" spans="5:9" ht="16.5" hidden="1">
      <c r="E12414" s="4" t="str">
        <v/>
      </c>
      <c r="F12414" s="102" t="str">
        <f ca="1">IFERROR(__xludf.DUMMYFUNCTION("IMPORTRANGE(H12414,""IDENTITAS UNIT!D9"")"),"#N/A")</f>
        <v>#N/A</v>
      </c>
      <c r="H12414" s="4" t="str">
        <v/>
      </c>
      <c r="I12414" s="4" t="str">
        <v/>
      </c>
    </row>
    <row r="12415" spans="5:9" ht="16.5" hidden="1">
      <c r="E12415" s="4" t="str">
        <v/>
      </c>
      <c r="F12415" s="102" t="str">
        <f ca="1">IFERROR(__xludf.DUMMYFUNCTION("IMPORTRANGE(H12415,""IDENTITAS UNIT!D9"")"),"#N/A")</f>
        <v>#N/A</v>
      </c>
      <c r="H12415" s="4" t="str">
        <v/>
      </c>
      <c r="I12415" s="4" t="str">
        <v/>
      </c>
    </row>
    <row r="12416" spans="5:9" ht="16.5" hidden="1">
      <c r="E12416" s="4" t="str">
        <v/>
      </c>
      <c r="F12416" s="102" t="str">
        <f ca="1">IFERROR(__xludf.DUMMYFUNCTION("IMPORTRANGE(H12416,""IDENTITAS UNIT!D9"")"),"#N/A")</f>
        <v>#N/A</v>
      </c>
      <c r="H12416" s="4" t="str">
        <v/>
      </c>
      <c r="I12416" s="4" t="str">
        <v/>
      </c>
    </row>
    <row r="12417" spans="5:9" ht="16.5" hidden="1">
      <c r="E12417" s="4" t="str">
        <v/>
      </c>
      <c r="F12417" s="102" t="str">
        <f ca="1">IFERROR(__xludf.DUMMYFUNCTION("IMPORTRANGE(H12417,""IDENTITAS UNIT!D9"")"),"#N/A")</f>
        <v>#N/A</v>
      </c>
      <c r="H12417" s="4" t="str">
        <v/>
      </c>
      <c r="I12417" s="4" t="str">
        <v/>
      </c>
    </row>
    <row r="12418" spans="5:9" ht="16.5" hidden="1">
      <c r="E12418" s="4" t="str">
        <v/>
      </c>
      <c r="F12418" s="102" t="str">
        <f ca="1">IFERROR(__xludf.DUMMYFUNCTION("IMPORTRANGE(H12418,""IDENTITAS UNIT!D9"")"),"#N/A")</f>
        <v>#N/A</v>
      </c>
      <c r="H12418" s="4" t="str">
        <v/>
      </c>
      <c r="I12418" s="4" t="str">
        <v/>
      </c>
    </row>
    <row r="12419" spans="5:9" ht="16.5" hidden="1">
      <c r="E12419" s="4" t="str">
        <v/>
      </c>
      <c r="F12419" s="102" t="str">
        <f ca="1">IFERROR(__xludf.DUMMYFUNCTION("IMPORTRANGE(H12419,""IDENTITAS UNIT!D9"")"),"#N/A")</f>
        <v>#N/A</v>
      </c>
      <c r="H12419" s="4" t="str">
        <v/>
      </c>
      <c r="I12419" s="4" t="str">
        <v/>
      </c>
    </row>
    <row r="12420" spans="5:9" ht="16.5" hidden="1">
      <c r="E12420" s="4" t="str">
        <v/>
      </c>
      <c r="F12420" s="102" t="str">
        <f ca="1">IFERROR(__xludf.DUMMYFUNCTION("IMPORTRANGE(H12420,""IDENTITAS UNIT!D9"")"),"#N/A")</f>
        <v>#N/A</v>
      </c>
      <c r="H12420" s="4" t="str">
        <v/>
      </c>
      <c r="I12420" s="4" t="str">
        <v/>
      </c>
    </row>
    <row r="12421" spans="5:9" ht="16.5" hidden="1">
      <c r="E12421" s="4" t="str">
        <v/>
      </c>
      <c r="F12421" s="102" t="str">
        <f ca="1">IFERROR(__xludf.DUMMYFUNCTION("IMPORTRANGE(H12421,""IDENTITAS UNIT!D9"")"),"#N/A")</f>
        <v>#N/A</v>
      </c>
      <c r="H12421" s="4" t="str">
        <v/>
      </c>
      <c r="I12421" s="4" t="str">
        <v/>
      </c>
    </row>
    <row r="12422" spans="5:9" ht="16.5" hidden="1">
      <c r="E12422" s="4" t="str">
        <v/>
      </c>
      <c r="F12422" s="102" t="str">
        <f ca="1">IFERROR(__xludf.DUMMYFUNCTION("IMPORTRANGE(H12422,""IDENTITAS UNIT!D9"")"),"#N/A")</f>
        <v>#N/A</v>
      </c>
      <c r="H12422" s="4" t="str">
        <v/>
      </c>
      <c r="I12422" s="4" t="str">
        <v/>
      </c>
    </row>
    <row r="12423" spans="5:9" ht="16.5" hidden="1">
      <c r="E12423" s="4" t="str">
        <v/>
      </c>
      <c r="F12423" s="102" t="str">
        <f ca="1">IFERROR(__xludf.DUMMYFUNCTION("IMPORTRANGE(H12423,""IDENTITAS UNIT!D9"")"),"#N/A")</f>
        <v>#N/A</v>
      </c>
      <c r="H12423" s="4" t="str">
        <v/>
      </c>
      <c r="I12423" s="4" t="str">
        <v/>
      </c>
    </row>
    <row r="12424" spans="5:9" ht="16.5" hidden="1">
      <c r="E12424" s="4" t="str">
        <v/>
      </c>
      <c r="F12424" s="102" t="str">
        <f ca="1">IFERROR(__xludf.DUMMYFUNCTION("IMPORTRANGE(H12424,""IDENTITAS UNIT!D9"")"),"#N/A")</f>
        <v>#N/A</v>
      </c>
      <c r="H12424" s="4" t="str">
        <v/>
      </c>
      <c r="I12424" s="4" t="str">
        <v/>
      </c>
    </row>
    <row r="12425" spans="5:9" ht="16.5" hidden="1">
      <c r="E12425" s="4" t="str">
        <v/>
      </c>
      <c r="F12425" s="102" t="str">
        <f ca="1">IFERROR(__xludf.DUMMYFUNCTION("IMPORTRANGE(H12425,""IDENTITAS UNIT!D9"")"),"#N/A")</f>
        <v>#N/A</v>
      </c>
      <c r="H12425" s="4" t="str">
        <v/>
      </c>
      <c r="I12425" s="4" t="str">
        <v/>
      </c>
    </row>
    <row r="12426" spans="5:9" ht="16.5" hidden="1">
      <c r="E12426" s="4" t="str">
        <v/>
      </c>
      <c r="F12426" s="102" t="str">
        <f ca="1">IFERROR(__xludf.DUMMYFUNCTION("IMPORTRANGE(H12426,""IDENTITAS UNIT!D9"")"),"#N/A")</f>
        <v>#N/A</v>
      </c>
      <c r="H12426" s="4" t="str">
        <v/>
      </c>
      <c r="I12426" s="4" t="str">
        <v/>
      </c>
    </row>
    <row r="12427" spans="5:9" ht="16.5" hidden="1">
      <c r="E12427" s="4" t="str">
        <v/>
      </c>
      <c r="F12427" s="102" t="str">
        <f ca="1">IFERROR(__xludf.DUMMYFUNCTION("IMPORTRANGE(H12427,""IDENTITAS UNIT!D9"")"),"#N/A")</f>
        <v>#N/A</v>
      </c>
      <c r="H12427" s="4" t="str">
        <v/>
      </c>
      <c r="I12427" s="4" t="str">
        <v/>
      </c>
    </row>
    <row r="12428" spans="5:9" ht="16.5" hidden="1">
      <c r="E12428" s="4" t="str">
        <v/>
      </c>
      <c r="F12428" s="102" t="str">
        <f ca="1">IFERROR(__xludf.DUMMYFUNCTION("IMPORTRANGE(H12428,""IDENTITAS UNIT!D9"")"),"#N/A")</f>
        <v>#N/A</v>
      </c>
      <c r="H12428" s="4" t="str">
        <v/>
      </c>
      <c r="I12428" s="4" t="str">
        <v/>
      </c>
    </row>
    <row r="12429" spans="5:9" ht="16.5" hidden="1">
      <c r="E12429" s="4" t="str">
        <v/>
      </c>
      <c r="F12429" s="102" t="str">
        <f ca="1">IFERROR(__xludf.DUMMYFUNCTION("IMPORTRANGE(H12429,""IDENTITAS UNIT!D9"")"),"#N/A")</f>
        <v>#N/A</v>
      </c>
      <c r="H12429" s="4" t="str">
        <v/>
      </c>
      <c r="I12429" s="4" t="str">
        <v/>
      </c>
    </row>
    <row r="12430" spans="5:9" ht="16.5" hidden="1">
      <c r="E12430" s="4" t="str">
        <v/>
      </c>
      <c r="F12430" s="102" t="str">
        <f ca="1">IFERROR(__xludf.DUMMYFUNCTION("IMPORTRANGE(H12430,""IDENTITAS UNIT!D9"")"),"#N/A")</f>
        <v>#N/A</v>
      </c>
      <c r="H12430" s="4" t="str">
        <v/>
      </c>
      <c r="I12430" s="4" t="str">
        <v/>
      </c>
    </row>
    <row r="12431" spans="5:9" ht="16.5" hidden="1">
      <c r="E12431" s="4" t="str">
        <v/>
      </c>
      <c r="F12431" s="102" t="str">
        <f ca="1">IFERROR(__xludf.DUMMYFUNCTION("IMPORTRANGE(H12431,""IDENTITAS UNIT!D9"")"),"#N/A")</f>
        <v>#N/A</v>
      </c>
      <c r="H12431" s="4" t="str">
        <v/>
      </c>
      <c r="I12431" s="4" t="str">
        <v/>
      </c>
    </row>
    <row r="12432" spans="5:9" ht="16.5" hidden="1">
      <c r="E12432" s="4" t="str">
        <v/>
      </c>
      <c r="F12432" s="102" t="str">
        <f ca="1">IFERROR(__xludf.DUMMYFUNCTION("IMPORTRANGE(H12432,""IDENTITAS UNIT!D9"")"),"#N/A")</f>
        <v>#N/A</v>
      </c>
      <c r="H12432" s="4" t="str">
        <v/>
      </c>
      <c r="I12432" s="4" t="str">
        <v/>
      </c>
    </row>
    <row r="12433" spans="5:9" ht="16.5" hidden="1">
      <c r="E12433" s="4" t="str">
        <v/>
      </c>
      <c r="F12433" s="102" t="str">
        <f ca="1">IFERROR(__xludf.DUMMYFUNCTION("IMPORTRANGE(H12433,""IDENTITAS UNIT!D9"")"),"#N/A")</f>
        <v>#N/A</v>
      </c>
      <c r="H12433" s="4" t="str">
        <v/>
      </c>
      <c r="I12433" s="4" t="str">
        <v/>
      </c>
    </row>
    <row r="12434" spans="5:9" ht="16.5" hidden="1">
      <c r="E12434" s="4" t="str">
        <v/>
      </c>
      <c r="F12434" s="102" t="str">
        <f ca="1">IFERROR(__xludf.DUMMYFUNCTION("IMPORTRANGE(H12434,""IDENTITAS UNIT!D9"")"),"#N/A")</f>
        <v>#N/A</v>
      </c>
      <c r="H12434" s="4" t="str">
        <v/>
      </c>
      <c r="I12434" s="4" t="str">
        <v/>
      </c>
    </row>
    <row r="12435" spans="5:9" ht="16.5" hidden="1">
      <c r="E12435" s="4" t="str">
        <v/>
      </c>
      <c r="F12435" s="102" t="str">
        <f ca="1">IFERROR(__xludf.DUMMYFUNCTION("IMPORTRANGE(H12435,""IDENTITAS UNIT!D9"")"),"#N/A")</f>
        <v>#N/A</v>
      </c>
      <c r="H12435" s="4" t="str">
        <v/>
      </c>
      <c r="I12435" s="4" t="str">
        <v/>
      </c>
    </row>
    <row r="12436" spans="5:9" ht="16.5" hidden="1">
      <c r="E12436" s="4" t="str">
        <v/>
      </c>
      <c r="F12436" s="102" t="str">
        <f ca="1">IFERROR(__xludf.DUMMYFUNCTION("IMPORTRANGE(H12436,""IDENTITAS UNIT!D9"")"),"#N/A")</f>
        <v>#N/A</v>
      </c>
      <c r="H12436" s="4" t="str">
        <v/>
      </c>
      <c r="I12436" s="4" t="str">
        <v/>
      </c>
    </row>
    <row r="12437" spans="5:9" ht="16.5" hidden="1">
      <c r="E12437" s="4" t="str">
        <v/>
      </c>
      <c r="F12437" s="102" t="str">
        <f ca="1">IFERROR(__xludf.DUMMYFUNCTION("IMPORTRANGE(H12437,""IDENTITAS UNIT!D9"")"),"#N/A")</f>
        <v>#N/A</v>
      </c>
      <c r="H12437" s="4" t="str">
        <v/>
      </c>
      <c r="I12437" s="4" t="str">
        <v/>
      </c>
    </row>
    <row r="12438" spans="5:9" ht="16.5" hidden="1">
      <c r="E12438" s="4" t="str">
        <v/>
      </c>
      <c r="F12438" s="102" t="str">
        <f ca="1">IFERROR(__xludf.DUMMYFUNCTION("IMPORTRANGE(H12438,""IDENTITAS UNIT!D9"")"),"#N/A")</f>
        <v>#N/A</v>
      </c>
      <c r="H12438" s="4" t="str">
        <v/>
      </c>
      <c r="I12438" s="4" t="str">
        <v/>
      </c>
    </row>
    <row r="12439" spans="5:9" ht="16.5" hidden="1">
      <c r="E12439" s="4" t="str">
        <v/>
      </c>
      <c r="F12439" s="102" t="str">
        <f ca="1">IFERROR(__xludf.DUMMYFUNCTION("IMPORTRANGE(H12439,""IDENTITAS UNIT!D9"")"),"#N/A")</f>
        <v>#N/A</v>
      </c>
      <c r="H12439" s="4" t="str">
        <v/>
      </c>
      <c r="I12439" s="4" t="str">
        <v/>
      </c>
    </row>
    <row r="12440" spans="5:9" ht="16.5" hidden="1">
      <c r="E12440" s="4" t="str">
        <v/>
      </c>
      <c r="F12440" s="102" t="str">
        <f ca="1">IFERROR(__xludf.DUMMYFUNCTION("IMPORTRANGE(H12440,""IDENTITAS UNIT!D9"")"),"#N/A")</f>
        <v>#N/A</v>
      </c>
      <c r="H12440" s="4" t="str">
        <v/>
      </c>
      <c r="I12440" s="4" t="str">
        <v/>
      </c>
    </row>
    <row r="12441" spans="5:9" ht="16.5" hidden="1">
      <c r="E12441" s="4" t="str">
        <v/>
      </c>
      <c r="F12441" s="102" t="str">
        <f ca="1">IFERROR(__xludf.DUMMYFUNCTION("IMPORTRANGE(H12441,""IDENTITAS UNIT!D9"")"),"#N/A")</f>
        <v>#N/A</v>
      </c>
      <c r="H12441" s="4" t="str">
        <v/>
      </c>
      <c r="I12441" s="4" t="str">
        <v/>
      </c>
    </row>
    <row r="12442" spans="5:9" ht="16.5" hidden="1">
      <c r="E12442" s="4" t="str">
        <v/>
      </c>
      <c r="F12442" s="102" t="str">
        <f ca="1">IFERROR(__xludf.DUMMYFUNCTION("IMPORTRANGE(H12442,""IDENTITAS UNIT!D9"")"),"#N/A")</f>
        <v>#N/A</v>
      </c>
      <c r="H12442" s="4" t="str">
        <v/>
      </c>
      <c r="I12442" s="4" t="str">
        <v/>
      </c>
    </row>
    <row r="12443" spans="5:9" ht="16.5" hidden="1">
      <c r="E12443" s="4" t="str">
        <v/>
      </c>
      <c r="F12443" s="102" t="str">
        <f ca="1">IFERROR(__xludf.DUMMYFUNCTION("IMPORTRANGE(H12443,""IDENTITAS UNIT!D9"")"),"#N/A")</f>
        <v>#N/A</v>
      </c>
      <c r="H12443" s="4" t="str">
        <v/>
      </c>
      <c r="I12443" s="4" t="str">
        <v/>
      </c>
    </row>
    <row r="12444" spans="5:9" ht="16.5" hidden="1">
      <c r="E12444" s="4" t="str">
        <v/>
      </c>
      <c r="F12444" s="102" t="str">
        <f ca="1">IFERROR(__xludf.DUMMYFUNCTION("IMPORTRANGE(H12444,""IDENTITAS UNIT!D9"")"),"#N/A")</f>
        <v>#N/A</v>
      </c>
      <c r="H12444" s="4" t="str">
        <v/>
      </c>
      <c r="I12444" s="4" t="str">
        <v/>
      </c>
    </row>
    <row r="12445" spans="5:9" ht="16.5" hidden="1">
      <c r="E12445" s="4" t="str">
        <v/>
      </c>
      <c r="F12445" s="102" t="str">
        <f ca="1">IFERROR(__xludf.DUMMYFUNCTION("IMPORTRANGE(H12445,""IDENTITAS UNIT!D9"")"),"#N/A")</f>
        <v>#N/A</v>
      </c>
      <c r="H12445" s="4" t="str">
        <v/>
      </c>
      <c r="I12445" s="4" t="str">
        <v/>
      </c>
    </row>
    <row r="12446" spans="5:9" ht="16.5" hidden="1">
      <c r="E12446" s="4" t="str">
        <v/>
      </c>
      <c r="F12446" s="102" t="str">
        <f ca="1">IFERROR(__xludf.DUMMYFUNCTION("IMPORTRANGE(H12446,""IDENTITAS UNIT!D9"")"),"#N/A")</f>
        <v>#N/A</v>
      </c>
      <c r="H12446" s="4" t="str">
        <v/>
      </c>
      <c r="I12446" s="4" t="str">
        <v/>
      </c>
    </row>
    <row r="12447" spans="5:9" ht="16.5" hidden="1">
      <c r="E12447" s="4" t="str">
        <v/>
      </c>
      <c r="F12447" s="102" t="str">
        <f ca="1">IFERROR(__xludf.DUMMYFUNCTION("IMPORTRANGE(H12447,""IDENTITAS UNIT!D9"")"),"#N/A")</f>
        <v>#N/A</v>
      </c>
      <c r="H12447" s="4" t="str">
        <v/>
      </c>
      <c r="I12447" s="4" t="str">
        <v/>
      </c>
    </row>
    <row r="12448" spans="5:9" ht="16.5" hidden="1">
      <c r="E12448" s="4" t="str">
        <v/>
      </c>
      <c r="F12448" s="102" t="str">
        <f ca="1">IFERROR(__xludf.DUMMYFUNCTION("IMPORTRANGE(H12448,""IDENTITAS UNIT!D9"")"),"#N/A")</f>
        <v>#N/A</v>
      </c>
      <c r="H12448" s="4" t="str">
        <v/>
      </c>
      <c r="I12448" s="4" t="str">
        <v/>
      </c>
    </row>
    <row r="12449" spans="5:9" ht="16.5" hidden="1">
      <c r="E12449" s="4" t="str">
        <v/>
      </c>
      <c r="F12449" s="102" t="str">
        <f ca="1">IFERROR(__xludf.DUMMYFUNCTION("IMPORTRANGE(H12449,""IDENTITAS UNIT!D9"")"),"#N/A")</f>
        <v>#N/A</v>
      </c>
      <c r="H12449" s="4" t="str">
        <v/>
      </c>
      <c r="I12449" s="4" t="str">
        <v/>
      </c>
    </row>
    <row r="12450" spans="5:9" ht="16.5" hidden="1">
      <c r="E12450" s="4" t="str">
        <v/>
      </c>
      <c r="F12450" s="102" t="str">
        <f ca="1">IFERROR(__xludf.DUMMYFUNCTION("IMPORTRANGE(H12450,""IDENTITAS UNIT!D9"")"),"#N/A")</f>
        <v>#N/A</v>
      </c>
      <c r="H12450" s="4" t="str">
        <v/>
      </c>
      <c r="I12450" s="4" t="str">
        <v/>
      </c>
    </row>
    <row r="12451" spans="5:9" ht="16.5" hidden="1">
      <c r="E12451" s="4" t="str">
        <v/>
      </c>
      <c r="F12451" s="102" t="str">
        <f ca="1">IFERROR(__xludf.DUMMYFUNCTION("IMPORTRANGE(H12451,""IDENTITAS UNIT!D9"")"),"#N/A")</f>
        <v>#N/A</v>
      </c>
      <c r="H12451" s="4" t="str">
        <v/>
      </c>
      <c r="I12451" s="4" t="str">
        <v/>
      </c>
    </row>
    <row r="12452" spans="5:9" ht="16.5" hidden="1">
      <c r="E12452" s="4" t="str">
        <v/>
      </c>
      <c r="F12452" s="102" t="str">
        <f ca="1">IFERROR(__xludf.DUMMYFUNCTION("IMPORTRANGE(H12452,""IDENTITAS UNIT!D9"")"),"#N/A")</f>
        <v>#N/A</v>
      </c>
      <c r="H12452" s="4" t="str">
        <v/>
      </c>
      <c r="I12452" s="4" t="str">
        <v/>
      </c>
    </row>
    <row r="12453" spans="5:9" ht="16.5" hidden="1">
      <c r="E12453" s="4" t="str">
        <v/>
      </c>
      <c r="F12453" s="102" t="str">
        <f ca="1">IFERROR(__xludf.DUMMYFUNCTION("IMPORTRANGE(H12453,""IDENTITAS UNIT!D9"")"),"#N/A")</f>
        <v>#N/A</v>
      </c>
      <c r="H12453" s="4" t="str">
        <v/>
      </c>
      <c r="I12453" s="4" t="str">
        <v/>
      </c>
    </row>
    <row r="12454" spans="5:9" ht="16.5" hidden="1">
      <c r="E12454" s="4" t="str">
        <v/>
      </c>
      <c r="F12454" s="102" t="str">
        <f ca="1">IFERROR(__xludf.DUMMYFUNCTION("IMPORTRANGE(H12454,""IDENTITAS UNIT!D9"")"),"#N/A")</f>
        <v>#N/A</v>
      </c>
      <c r="H12454" s="4" t="str">
        <v/>
      </c>
      <c r="I12454" s="4" t="str">
        <v/>
      </c>
    </row>
    <row r="12455" spans="5:9" ht="16.5" hidden="1">
      <c r="E12455" s="4" t="str">
        <v/>
      </c>
      <c r="F12455" s="102" t="str">
        <f ca="1">IFERROR(__xludf.DUMMYFUNCTION("IMPORTRANGE(H12455,""IDENTITAS UNIT!D9"")"),"#N/A")</f>
        <v>#N/A</v>
      </c>
      <c r="H12455" s="4" t="str">
        <v/>
      </c>
      <c r="I12455" s="4" t="str">
        <v/>
      </c>
    </row>
    <row r="12456" spans="5:9" ht="16.5" hidden="1">
      <c r="E12456" s="4" t="str">
        <v/>
      </c>
      <c r="F12456" s="102" t="str">
        <f ca="1">IFERROR(__xludf.DUMMYFUNCTION("IMPORTRANGE(H12456,""IDENTITAS UNIT!D9"")"),"#N/A")</f>
        <v>#N/A</v>
      </c>
      <c r="H12456" s="4" t="str">
        <v/>
      </c>
      <c r="I12456" s="4" t="str">
        <v/>
      </c>
    </row>
    <row r="12457" spans="5:9" ht="16.5" hidden="1">
      <c r="E12457" s="4" t="str">
        <v/>
      </c>
      <c r="F12457" s="102" t="str">
        <f ca="1">IFERROR(__xludf.DUMMYFUNCTION("IMPORTRANGE(H12457,""IDENTITAS UNIT!D9"")"),"#N/A")</f>
        <v>#N/A</v>
      </c>
      <c r="H12457" s="4" t="str">
        <v/>
      </c>
      <c r="I12457" s="4" t="str">
        <v/>
      </c>
    </row>
    <row r="12458" spans="5:9" ht="16.5" hidden="1">
      <c r="E12458" s="4" t="str">
        <v/>
      </c>
      <c r="F12458" s="102" t="str">
        <f ca="1">IFERROR(__xludf.DUMMYFUNCTION("IMPORTRANGE(H12458,""IDENTITAS UNIT!D9"")"),"#N/A")</f>
        <v>#N/A</v>
      </c>
      <c r="H12458" s="4" t="str">
        <v/>
      </c>
      <c r="I12458" s="4" t="str">
        <v/>
      </c>
    </row>
    <row r="12459" spans="5:9" ht="16.5" hidden="1">
      <c r="E12459" s="4" t="str">
        <v/>
      </c>
      <c r="F12459" s="102" t="str">
        <f ca="1">IFERROR(__xludf.DUMMYFUNCTION("IMPORTRANGE(H12459,""IDENTITAS UNIT!D9"")"),"#N/A")</f>
        <v>#N/A</v>
      </c>
      <c r="H12459" s="4" t="str">
        <v/>
      </c>
      <c r="I12459" s="4" t="str">
        <v/>
      </c>
    </row>
    <row r="12460" spans="5:9" ht="16.5" hidden="1">
      <c r="E12460" s="4" t="str">
        <v/>
      </c>
      <c r="F12460" s="102" t="str">
        <f ca="1">IFERROR(__xludf.DUMMYFUNCTION("IMPORTRANGE(H12460,""IDENTITAS UNIT!D9"")"),"#N/A")</f>
        <v>#N/A</v>
      </c>
      <c r="H12460" s="4" t="str">
        <v/>
      </c>
      <c r="I12460" s="4" t="str">
        <v/>
      </c>
    </row>
    <row r="12461" spans="5:9" ht="16.5" hidden="1">
      <c r="E12461" s="4" t="str">
        <v/>
      </c>
      <c r="F12461" s="102" t="str">
        <f ca="1">IFERROR(__xludf.DUMMYFUNCTION("IMPORTRANGE(H12461,""IDENTITAS UNIT!D9"")"),"#N/A")</f>
        <v>#N/A</v>
      </c>
      <c r="H12461" s="4" t="str">
        <v/>
      </c>
      <c r="I12461" s="4" t="str">
        <v/>
      </c>
    </row>
    <row r="12462" spans="5:9" ht="16.5" hidden="1">
      <c r="E12462" s="4" t="str">
        <v/>
      </c>
      <c r="F12462" s="102" t="str">
        <f ca="1">IFERROR(__xludf.DUMMYFUNCTION("IMPORTRANGE(H12462,""IDENTITAS UNIT!D9"")"),"#N/A")</f>
        <v>#N/A</v>
      </c>
      <c r="H12462" s="4" t="str">
        <v/>
      </c>
      <c r="I12462" s="4" t="str">
        <v/>
      </c>
    </row>
    <row r="12463" spans="5:9" ht="16.5" hidden="1">
      <c r="E12463" s="4" t="str">
        <v/>
      </c>
      <c r="F12463" s="102" t="str">
        <f ca="1">IFERROR(__xludf.DUMMYFUNCTION("IMPORTRANGE(H12463,""IDENTITAS UNIT!D9"")"),"#N/A")</f>
        <v>#N/A</v>
      </c>
      <c r="H12463" s="4" t="str">
        <v/>
      </c>
      <c r="I12463" s="4" t="str">
        <v/>
      </c>
    </row>
    <row r="12464" spans="5:9" ht="16.5" hidden="1">
      <c r="E12464" s="4" t="str">
        <v/>
      </c>
      <c r="F12464" s="102" t="str">
        <f ca="1">IFERROR(__xludf.DUMMYFUNCTION("IMPORTRANGE(H12464,""IDENTITAS UNIT!D9"")"),"#N/A")</f>
        <v>#N/A</v>
      </c>
      <c r="H12464" s="4" t="str">
        <v/>
      </c>
      <c r="I12464" s="4" t="str">
        <v/>
      </c>
    </row>
    <row r="12465" spans="5:9" ht="16.5" hidden="1">
      <c r="E12465" s="4" t="str">
        <v/>
      </c>
      <c r="F12465" s="102" t="str">
        <f ca="1">IFERROR(__xludf.DUMMYFUNCTION("IMPORTRANGE(H12465,""IDENTITAS UNIT!D9"")"),"#N/A")</f>
        <v>#N/A</v>
      </c>
      <c r="H12465" s="4" t="str">
        <v/>
      </c>
      <c r="I12465" s="4" t="str">
        <v/>
      </c>
    </row>
    <row r="12466" spans="5:9" ht="16.5" hidden="1">
      <c r="E12466" s="4" t="str">
        <v/>
      </c>
      <c r="F12466" s="102" t="str">
        <f ca="1">IFERROR(__xludf.DUMMYFUNCTION("IMPORTRANGE(H12466,""IDENTITAS UNIT!D9"")"),"#N/A")</f>
        <v>#N/A</v>
      </c>
      <c r="H12466" s="4" t="str">
        <v/>
      </c>
      <c r="I12466" s="4" t="str">
        <v/>
      </c>
    </row>
    <row r="12467" spans="5:9" ht="16.5" hidden="1">
      <c r="E12467" s="4" t="str">
        <v/>
      </c>
      <c r="F12467" s="102" t="str">
        <f ca="1">IFERROR(__xludf.DUMMYFUNCTION("IMPORTRANGE(H12467,""IDENTITAS UNIT!D9"")"),"#N/A")</f>
        <v>#N/A</v>
      </c>
      <c r="H12467" s="4" t="str">
        <v/>
      </c>
      <c r="I12467" s="4" t="str">
        <v/>
      </c>
    </row>
    <row r="12468" spans="5:9" ht="16.5" hidden="1">
      <c r="E12468" s="4" t="str">
        <v/>
      </c>
      <c r="F12468" s="102" t="str">
        <f ca="1">IFERROR(__xludf.DUMMYFUNCTION("IMPORTRANGE(H12468,""IDENTITAS UNIT!D9"")"),"#N/A")</f>
        <v>#N/A</v>
      </c>
      <c r="H12468" s="4" t="str">
        <v/>
      </c>
      <c r="I12468" s="4" t="str">
        <v/>
      </c>
    </row>
    <row r="12469" spans="5:9" ht="16.5" hidden="1">
      <c r="E12469" s="4" t="str">
        <v/>
      </c>
      <c r="F12469" s="102" t="str">
        <f ca="1">IFERROR(__xludf.DUMMYFUNCTION("IMPORTRANGE(H12469,""IDENTITAS UNIT!D9"")"),"#N/A")</f>
        <v>#N/A</v>
      </c>
      <c r="H12469" s="4" t="str">
        <v/>
      </c>
      <c r="I12469" s="4" t="str">
        <v/>
      </c>
    </row>
    <row r="12470" spans="5:9" ht="16.5" hidden="1">
      <c r="E12470" s="4" t="str">
        <v/>
      </c>
      <c r="F12470" s="102" t="str">
        <f ca="1">IFERROR(__xludf.DUMMYFUNCTION("IMPORTRANGE(H12470,""IDENTITAS UNIT!D9"")"),"#N/A")</f>
        <v>#N/A</v>
      </c>
      <c r="H12470" s="4" t="str">
        <v/>
      </c>
      <c r="I12470" s="4" t="str">
        <v/>
      </c>
    </row>
    <row r="12471" spans="5:9" ht="16.5" hidden="1">
      <c r="E12471" s="4" t="str">
        <v/>
      </c>
      <c r="F12471" s="102" t="str">
        <f ca="1">IFERROR(__xludf.DUMMYFUNCTION("IMPORTRANGE(H12471,""IDENTITAS UNIT!D9"")"),"#N/A")</f>
        <v>#N/A</v>
      </c>
      <c r="H12471" s="4" t="str">
        <v/>
      </c>
      <c r="I12471" s="4" t="str">
        <v/>
      </c>
    </row>
    <row r="12472" spans="5:9" ht="16.5" hidden="1">
      <c r="E12472" s="4" t="str">
        <v/>
      </c>
      <c r="F12472" s="102" t="str">
        <f ca="1">IFERROR(__xludf.DUMMYFUNCTION("IMPORTRANGE(H12472,""IDENTITAS UNIT!D9"")"),"#N/A")</f>
        <v>#N/A</v>
      </c>
      <c r="H12472" s="4" t="str">
        <v/>
      </c>
      <c r="I12472" s="4" t="str">
        <v/>
      </c>
    </row>
    <row r="12473" spans="5:9" ht="16.5" hidden="1">
      <c r="E12473" s="4" t="str">
        <v/>
      </c>
      <c r="F12473" s="102" t="str">
        <f ca="1">IFERROR(__xludf.DUMMYFUNCTION("IMPORTRANGE(H12473,""IDENTITAS UNIT!D9"")"),"#N/A")</f>
        <v>#N/A</v>
      </c>
      <c r="H12473" s="4" t="str">
        <v/>
      </c>
      <c r="I12473" s="4" t="str">
        <v/>
      </c>
    </row>
    <row r="12474" spans="5:9" ht="16.5" hidden="1">
      <c r="E12474" s="4" t="str">
        <v/>
      </c>
      <c r="F12474" s="102" t="str">
        <f ca="1">IFERROR(__xludf.DUMMYFUNCTION("IMPORTRANGE(H12474,""IDENTITAS UNIT!D9"")"),"#N/A")</f>
        <v>#N/A</v>
      </c>
      <c r="H12474" s="4" t="str">
        <v/>
      </c>
      <c r="I12474" s="4" t="str">
        <v/>
      </c>
    </row>
    <row r="12475" spans="5:9" ht="16.5" hidden="1">
      <c r="E12475" s="4" t="str">
        <v/>
      </c>
      <c r="F12475" s="102" t="str">
        <f ca="1">IFERROR(__xludf.DUMMYFUNCTION("IMPORTRANGE(H12475,""IDENTITAS UNIT!D9"")"),"#N/A")</f>
        <v>#N/A</v>
      </c>
      <c r="H12475" s="4" t="str">
        <v/>
      </c>
      <c r="I12475" s="4" t="str">
        <v/>
      </c>
    </row>
    <row r="12476" spans="5:9" ht="16.5" hidden="1">
      <c r="E12476" s="4" t="str">
        <v/>
      </c>
      <c r="F12476" s="102" t="str">
        <f ca="1">IFERROR(__xludf.DUMMYFUNCTION("IMPORTRANGE(H12476,""IDENTITAS UNIT!D9"")"),"#N/A")</f>
        <v>#N/A</v>
      </c>
      <c r="H12476" s="4" t="str">
        <v/>
      </c>
      <c r="I12476" s="4" t="str">
        <v/>
      </c>
    </row>
    <row r="12477" spans="5:9" ht="16.5" hidden="1">
      <c r="E12477" s="4" t="str">
        <v/>
      </c>
      <c r="F12477" s="102" t="str">
        <f ca="1">IFERROR(__xludf.DUMMYFUNCTION("IMPORTRANGE(H12477,""IDENTITAS UNIT!D9"")"),"#N/A")</f>
        <v>#N/A</v>
      </c>
      <c r="H12477" s="4" t="str">
        <v/>
      </c>
      <c r="I12477" s="4" t="str">
        <v/>
      </c>
    </row>
    <row r="12478" spans="5:9" ht="16.5" hidden="1">
      <c r="E12478" s="4" t="str">
        <v/>
      </c>
      <c r="F12478" s="102" t="str">
        <f ca="1">IFERROR(__xludf.DUMMYFUNCTION("IMPORTRANGE(H12478,""IDENTITAS UNIT!D9"")"),"#N/A")</f>
        <v>#N/A</v>
      </c>
      <c r="H12478" s="4" t="str">
        <v/>
      </c>
      <c r="I12478" s="4" t="str">
        <v/>
      </c>
    </row>
    <row r="12479" spans="5:9" ht="16.5" hidden="1">
      <c r="E12479" s="4" t="str">
        <v/>
      </c>
      <c r="F12479" s="102" t="str">
        <f ca="1">IFERROR(__xludf.DUMMYFUNCTION("IMPORTRANGE(H12479,""IDENTITAS UNIT!D9"")"),"#N/A")</f>
        <v>#N/A</v>
      </c>
      <c r="H12479" s="4" t="str">
        <v/>
      </c>
      <c r="I12479" s="4" t="str">
        <v/>
      </c>
    </row>
    <row r="12480" spans="5:9" ht="16.5" hidden="1">
      <c r="E12480" s="4" t="str">
        <v/>
      </c>
      <c r="F12480" s="102" t="str">
        <f ca="1">IFERROR(__xludf.DUMMYFUNCTION("IMPORTRANGE(H12480,""IDENTITAS UNIT!D9"")"),"#N/A")</f>
        <v>#N/A</v>
      </c>
      <c r="H12480" s="4" t="str">
        <v/>
      </c>
      <c r="I12480" s="4" t="str">
        <v/>
      </c>
    </row>
    <row r="12481" spans="5:9" ht="16.5" hidden="1">
      <c r="E12481" s="4" t="str">
        <v/>
      </c>
      <c r="F12481" s="102" t="str">
        <f ca="1">IFERROR(__xludf.DUMMYFUNCTION("IMPORTRANGE(H12481,""IDENTITAS UNIT!D9"")"),"#N/A")</f>
        <v>#N/A</v>
      </c>
      <c r="H12481" s="4" t="str">
        <v/>
      </c>
      <c r="I12481" s="4" t="str">
        <v/>
      </c>
    </row>
    <row r="12482" spans="5:9" ht="16.5" hidden="1">
      <c r="E12482" s="4" t="str">
        <v/>
      </c>
      <c r="F12482" s="102" t="str">
        <f ca="1">IFERROR(__xludf.DUMMYFUNCTION("IMPORTRANGE(H12482,""IDENTITAS UNIT!D9"")"),"#N/A")</f>
        <v>#N/A</v>
      </c>
      <c r="H12482" s="4" t="str">
        <v/>
      </c>
      <c r="I12482" s="4" t="str">
        <v/>
      </c>
    </row>
    <row r="12483" spans="5:9" ht="16.5" hidden="1">
      <c r="E12483" s="4" t="str">
        <v/>
      </c>
      <c r="F12483" s="102" t="str">
        <f ca="1">IFERROR(__xludf.DUMMYFUNCTION("IMPORTRANGE(H12483,""IDENTITAS UNIT!D9"")"),"#N/A")</f>
        <v>#N/A</v>
      </c>
      <c r="H12483" s="4" t="str">
        <v/>
      </c>
      <c r="I12483" s="4" t="str">
        <v/>
      </c>
    </row>
    <row r="12484" spans="5:9" ht="16.5" hidden="1">
      <c r="E12484" s="4" t="str">
        <v/>
      </c>
      <c r="F12484" s="102" t="str">
        <f ca="1">IFERROR(__xludf.DUMMYFUNCTION("IMPORTRANGE(H12484,""IDENTITAS UNIT!D9"")"),"#N/A")</f>
        <v>#N/A</v>
      </c>
      <c r="H12484" s="4" t="str">
        <v/>
      </c>
      <c r="I12484" s="4" t="str">
        <v/>
      </c>
    </row>
    <row r="12485" spans="5:9" ht="16.5" hidden="1">
      <c r="E12485" s="4" t="str">
        <v/>
      </c>
      <c r="F12485" s="102" t="str">
        <f ca="1">IFERROR(__xludf.DUMMYFUNCTION("IMPORTRANGE(H12485,""IDENTITAS UNIT!D9"")"),"#N/A")</f>
        <v>#N/A</v>
      </c>
      <c r="H12485" s="4" t="str">
        <v/>
      </c>
      <c r="I12485" s="4" t="str">
        <v/>
      </c>
    </row>
    <row r="12486" spans="5:9" ht="16.5" hidden="1">
      <c r="E12486" s="4" t="str">
        <v/>
      </c>
      <c r="F12486" s="102" t="str">
        <f ca="1">IFERROR(__xludf.DUMMYFUNCTION("IMPORTRANGE(H12486,""IDENTITAS UNIT!D9"")"),"#N/A")</f>
        <v>#N/A</v>
      </c>
      <c r="H12486" s="4" t="str">
        <v/>
      </c>
      <c r="I12486" s="4" t="str">
        <v/>
      </c>
    </row>
    <row r="12487" spans="5:9" ht="16.5" hidden="1">
      <c r="E12487" s="4" t="str">
        <v/>
      </c>
      <c r="F12487" s="102" t="str">
        <f ca="1">IFERROR(__xludf.DUMMYFUNCTION("IMPORTRANGE(H12487,""IDENTITAS UNIT!D9"")"),"#N/A")</f>
        <v>#N/A</v>
      </c>
      <c r="H12487" s="4" t="str">
        <v/>
      </c>
      <c r="I12487" s="4" t="str">
        <v/>
      </c>
    </row>
    <row r="12488" spans="5:9" ht="16.5" hidden="1">
      <c r="E12488" s="4" t="str">
        <v/>
      </c>
      <c r="F12488" s="102" t="str">
        <f ca="1">IFERROR(__xludf.DUMMYFUNCTION("IMPORTRANGE(H12488,""IDENTITAS UNIT!D9"")"),"#N/A")</f>
        <v>#N/A</v>
      </c>
      <c r="H12488" s="4" t="str">
        <v/>
      </c>
      <c r="I12488" s="4" t="str">
        <v/>
      </c>
    </row>
    <row r="12489" spans="5:9" ht="16.5" hidden="1">
      <c r="E12489" s="4" t="str">
        <v/>
      </c>
      <c r="F12489" s="102" t="str">
        <f ca="1">IFERROR(__xludf.DUMMYFUNCTION("IMPORTRANGE(H12489,""IDENTITAS UNIT!D9"")"),"#N/A")</f>
        <v>#N/A</v>
      </c>
      <c r="H12489" s="4" t="str">
        <v/>
      </c>
      <c r="I12489" s="4" t="str">
        <v/>
      </c>
    </row>
    <row r="12490" spans="5:9" ht="16.5" hidden="1">
      <c r="E12490" s="4" t="str">
        <v/>
      </c>
      <c r="F12490" s="102" t="str">
        <f ca="1">IFERROR(__xludf.DUMMYFUNCTION("IMPORTRANGE(H12490,""IDENTITAS UNIT!D9"")"),"#N/A")</f>
        <v>#N/A</v>
      </c>
      <c r="H12490" s="4" t="str">
        <v/>
      </c>
      <c r="I12490" s="4" t="str">
        <v/>
      </c>
    </row>
    <row r="12491" spans="5:9" ht="16.5" hidden="1">
      <c r="E12491" s="4" t="str">
        <v/>
      </c>
      <c r="F12491" s="102" t="str">
        <f ca="1">IFERROR(__xludf.DUMMYFUNCTION("IMPORTRANGE(H12491,""IDENTITAS UNIT!D9"")"),"#N/A")</f>
        <v>#N/A</v>
      </c>
      <c r="H12491" s="4" t="str">
        <v/>
      </c>
      <c r="I12491" s="4" t="str">
        <v/>
      </c>
    </row>
    <row r="12492" spans="5:9" ht="16.5" hidden="1">
      <c r="E12492" s="4" t="str">
        <v/>
      </c>
      <c r="F12492" s="102" t="str">
        <f ca="1">IFERROR(__xludf.DUMMYFUNCTION("IMPORTRANGE(H12492,""IDENTITAS UNIT!D9"")"),"#N/A")</f>
        <v>#N/A</v>
      </c>
      <c r="H12492" s="4" t="str">
        <v/>
      </c>
      <c r="I12492" s="4" t="str">
        <v/>
      </c>
    </row>
    <row r="12493" spans="5:9" ht="16.5" hidden="1">
      <c r="E12493" s="4" t="str">
        <v/>
      </c>
      <c r="F12493" s="102" t="str">
        <f ca="1">IFERROR(__xludf.DUMMYFUNCTION("IMPORTRANGE(H12493,""IDENTITAS UNIT!D9"")"),"#N/A")</f>
        <v>#N/A</v>
      </c>
      <c r="H12493" s="4" t="str">
        <v/>
      </c>
      <c r="I12493" s="4" t="str">
        <v/>
      </c>
    </row>
    <row r="12494" spans="5:9" ht="16.5" hidden="1">
      <c r="E12494" s="4" t="str">
        <v/>
      </c>
      <c r="F12494" s="102" t="str">
        <f ca="1">IFERROR(__xludf.DUMMYFUNCTION("IMPORTRANGE(H12494,""IDENTITAS UNIT!D9"")"),"#N/A")</f>
        <v>#N/A</v>
      </c>
      <c r="H12494" s="4" t="str">
        <v/>
      </c>
      <c r="I12494" s="4" t="str">
        <v/>
      </c>
    </row>
    <row r="12495" spans="5:9" ht="16.5" hidden="1">
      <c r="E12495" s="4" t="str">
        <v/>
      </c>
      <c r="F12495" s="102" t="str">
        <f ca="1">IFERROR(__xludf.DUMMYFUNCTION("IMPORTRANGE(H12495,""IDENTITAS UNIT!D9"")"),"#N/A")</f>
        <v>#N/A</v>
      </c>
      <c r="H12495" s="4" t="str">
        <v/>
      </c>
      <c r="I12495" s="4" t="str">
        <v/>
      </c>
    </row>
    <row r="12496" spans="5:9" ht="16.5" hidden="1">
      <c r="E12496" s="4" t="str">
        <v/>
      </c>
      <c r="F12496" s="102" t="str">
        <f ca="1">IFERROR(__xludf.DUMMYFUNCTION("IMPORTRANGE(H12496,""IDENTITAS UNIT!D9"")"),"#N/A")</f>
        <v>#N/A</v>
      </c>
      <c r="H12496" s="4" t="str">
        <v/>
      </c>
      <c r="I12496" s="4" t="str">
        <v/>
      </c>
    </row>
    <row r="12497" spans="5:9" ht="16.5" hidden="1">
      <c r="E12497" s="4" t="str">
        <v/>
      </c>
      <c r="F12497" s="102" t="str">
        <f ca="1">IFERROR(__xludf.DUMMYFUNCTION("IMPORTRANGE(H12497,""IDENTITAS UNIT!D9"")"),"#N/A")</f>
        <v>#N/A</v>
      </c>
      <c r="H12497" s="4" t="str">
        <v/>
      </c>
      <c r="I12497" s="4" t="str">
        <v/>
      </c>
    </row>
    <row r="12498" spans="5:9" ht="16.5" hidden="1">
      <c r="E12498" s="4" t="str">
        <v/>
      </c>
      <c r="F12498" s="102" t="str">
        <f ca="1">IFERROR(__xludf.DUMMYFUNCTION("IMPORTRANGE(H12498,""IDENTITAS UNIT!D9"")"),"#N/A")</f>
        <v>#N/A</v>
      </c>
      <c r="H12498" s="4" t="str">
        <v/>
      </c>
      <c r="I12498" s="4" t="str">
        <v/>
      </c>
    </row>
    <row r="12499" spans="5:9" ht="16.5" hidden="1">
      <c r="E12499" s="4" t="str">
        <v/>
      </c>
      <c r="F12499" s="102" t="str">
        <f ca="1">IFERROR(__xludf.DUMMYFUNCTION("IMPORTRANGE(H12499,""IDENTITAS UNIT!D9"")"),"#N/A")</f>
        <v>#N/A</v>
      </c>
      <c r="H12499" s="4" t="str">
        <v/>
      </c>
      <c r="I12499" s="4" t="str">
        <v/>
      </c>
    </row>
    <row r="12500" spans="5:9" ht="16.5" hidden="1">
      <c r="E12500" s="4" t="str">
        <v/>
      </c>
      <c r="F12500" s="102" t="str">
        <f ca="1">IFERROR(__xludf.DUMMYFUNCTION("IMPORTRANGE(H12500,""IDENTITAS UNIT!D9"")"),"#N/A")</f>
        <v>#N/A</v>
      </c>
      <c r="H12500" s="4" t="str">
        <v/>
      </c>
      <c r="I12500" s="4" t="str">
        <v/>
      </c>
    </row>
    <row r="12501" spans="5:9" ht="16.5" hidden="1">
      <c r="E12501" s="4" t="str">
        <v/>
      </c>
      <c r="F12501" s="102" t="str">
        <f ca="1">IFERROR(__xludf.DUMMYFUNCTION("IMPORTRANGE(H12501,""IDENTITAS UNIT!D9"")"),"#N/A")</f>
        <v>#N/A</v>
      </c>
      <c r="H12501" s="4" t="str">
        <v/>
      </c>
      <c r="I12501" s="4" t="str">
        <v/>
      </c>
    </row>
    <row r="12502" spans="5:9" ht="16.5" hidden="1">
      <c r="E12502" s="4" t="str">
        <v/>
      </c>
      <c r="F12502" s="102" t="str">
        <f ca="1">IFERROR(__xludf.DUMMYFUNCTION("IMPORTRANGE(H12502,""IDENTITAS UNIT!D9"")"),"#N/A")</f>
        <v>#N/A</v>
      </c>
      <c r="H12502" s="4" t="str">
        <v/>
      </c>
      <c r="I12502" s="4" t="str">
        <v/>
      </c>
    </row>
    <row r="12503" spans="5:9" ht="16.5" hidden="1">
      <c r="E12503" s="4" t="str">
        <v/>
      </c>
      <c r="F12503" s="102" t="str">
        <f ca="1">IFERROR(__xludf.DUMMYFUNCTION("IMPORTRANGE(H12503,""IDENTITAS UNIT!D9"")"),"#N/A")</f>
        <v>#N/A</v>
      </c>
      <c r="H12503" s="4" t="str">
        <v/>
      </c>
      <c r="I12503" s="4" t="str">
        <v/>
      </c>
    </row>
    <row r="12504" spans="5:9" ht="16.5" hidden="1">
      <c r="E12504" s="4" t="str">
        <v/>
      </c>
      <c r="F12504" s="102" t="str">
        <f ca="1">IFERROR(__xludf.DUMMYFUNCTION("IMPORTRANGE(H12504,""IDENTITAS UNIT!D9"")"),"#N/A")</f>
        <v>#N/A</v>
      </c>
      <c r="H12504" s="4" t="str">
        <v/>
      </c>
      <c r="I12504" s="4" t="str">
        <v/>
      </c>
    </row>
    <row r="12505" spans="5:9" ht="16.5" hidden="1">
      <c r="E12505" s="4" t="str">
        <v/>
      </c>
      <c r="F12505" s="102" t="str">
        <f ca="1">IFERROR(__xludf.DUMMYFUNCTION("IMPORTRANGE(H12505,""IDENTITAS UNIT!D9"")"),"#N/A")</f>
        <v>#N/A</v>
      </c>
      <c r="H12505" s="4" t="str">
        <v/>
      </c>
      <c r="I12505" s="4" t="str">
        <v/>
      </c>
    </row>
    <row r="12506" spans="5:9" ht="16.5" hidden="1">
      <c r="E12506" s="4" t="str">
        <v/>
      </c>
      <c r="F12506" s="102" t="str">
        <f ca="1">IFERROR(__xludf.DUMMYFUNCTION("IMPORTRANGE(H12506,""IDENTITAS UNIT!D9"")"),"#N/A")</f>
        <v>#N/A</v>
      </c>
      <c r="H12506" s="4" t="str">
        <v/>
      </c>
      <c r="I12506" s="4" t="str">
        <v/>
      </c>
    </row>
    <row r="12507" spans="5:9" ht="16.5" hidden="1">
      <c r="E12507" s="4" t="str">
        <v/>
      </c>
      <c r="F12507" s="102" t="str">
        <f ca="1">IFERROR(__xludf.DUMMYFUNCTION("IMPORTRANGE(H12507,""IDENTITAS UNIT!D9"")"),"#N/A")</f>
        <v>#N/A</v>
      </c>
      <c r="H12507" s="4" t="str">
        <v/>
      </c>
      <c r="I12507" s="4" t="str">
        <v/>
      </c>
    </row>
    <row r="12508" spans="5:9" ht="16.5" hidden="1">
      <c r="E12508" s="4" t="str">
        <v/>
      </c>
      <c r="F12508" s="102" t="str">
        <f ca="1">IFERROR(__xludf.DUMMYFUNCTION("IMPORTRANGE(H12508,""IDENTITAS UNIT!D9"")"),"#N/A")</f>
        <v>#N/A</v>
      </c>
      <c r="H12508" s="4" t="str">
        <v/>
      </c>
      <c r="I12508" s="4" t="str">
        <v/>
      </c>
    </row>
    <row r="12509" spans="5:9" ht="16.5" hidden="1">
      <c r="E12509" s="4" t="str">
        <v/>
      </c>
      <c r="F12509" s="102" t="str">
        <f ca="1">IFERROR(__xludf.DUMMYFUNCTION("IMPORTRANGE(H12509,""IDENTITAS UNIT!D9"")"),"#N/A")</f>
        <v>#N/A</v>
      </c>
      <c r="H12509" s="4" t="str">
        <v/>
      </c>
      <c r="I12509" s="4" t="str">
        <v/>
      </c>
    </row>
    <row r="12510" spans="5:9" ht="16.5" hidden="1">
      <c r="E12510" s="4" t="str">
        <v/>
      </c>
      <c r="F12510" s="102" t="str">
        <f ca="1">IFERROR(__xludf.DUMMYFUNCTION("IMPORTRANGE(H12510,""IDENTITAS UNIT!D9"")"),"#N/A")</f>
        <v>#N/A</v>
      </c>
      <c r="H12510" s="4" t="str">
        <v/>
      </c>
      <c r="I12510" s="4" t="str">
        <v/>
      </c>
    </row>
    <row r="12511" spans="5:9" ht="16.5" hidden="1">
      <c r="E12511" s="4" t="str">
        <v/>
      </c>
      <c r="F12511" s="102" t="str">
        <f ca="1">IFERROR(__xludf.DUMMYFUNCTION("IMPORTRANGE(H12511,""IDENTITAS UNIT!D9"")"),"#N/A")</f>
        <v>#N/A</v>
      </c>
      <c r="H12511" s="4" t="str">
        <v/>
      </c>
      <c r="I12511" s="4" t="str">
        <v/>
      </c>
    </row>
    <row r="12512" spans="5:9" ht="16.5" hidden="1">
      <c r="E12512" s="4" t="str">
        <v/>
      </c>
      <c r="F12512" s="102" t="str">
        <f ca="1">IFERROR(__xludf.DUMMYFUNCTION("IMPORTRANGE(H12512,""IDENTITAS UNIT!D9"")"),"#N/A")</f>
        <v>#N/A</v>
      </c>
      <c r="H12512" s="4" t="str">
        <v/>
      </c>
      <c r="I12512" s="4" t="str">
        <v/>
      </c>
    </row>
    <row r="12513" spans="5:9" ht="16.5" hidden="1">
      <c r="E12513" s="4" t="str">
        <v/>
      </c>
      <c r="F12513" s="102" t="str">
        <f ca="1">IFERROR(__xludf.DUMMYFUNCTION("IMPORTRANGE(H12513,""IDENTITAS UNIT!D9"")"),"#N/A")</f>
        <v>#N/A</v>
      </c>
      <c r="H12513" s="4" t="str">
        <v/>
      </c>
      <c r="I12513" s="4" t="str">
        <v/>
      </c>
    </row>
    <row r="12514" spans="5:9" ht="16.5" hidden="1">
      <c r="E12514" s="4" t="str">
        <v/>
      </c>
      <c r="F12514" s="102" t="str">
        <f ca="1">IFERROR(__xludf.DUMMYFUNCTION("IMPORTRANGE(H12514,""IDENTITAS UNIT!D9"")"),"#N/A")</f>
        <v>#N/A</v>
      </c>
      <c r="H12514" s="4" t="str">
        <v/>
      </c>
      <c r="I12514" s="4" t="str">
        <v/>
      </c>
    </row>
    <row r="12515" spans="5:9" ht="16.5" hidden="1">
      <c r="E12515" s="4" t="str">
        <v/>
      </c>
      <c r="F12515" s="102" t="str">
        <f ca="1">IFERROR(__xludf.DUMMYFUNCTION("IMPORTRANGE(H12515,""IDENTITAS UNIT!D9"")"),"#N/A")</f>
        <v>#N/A</v>
      </c>
      <c r="H12515" s="4" t="str">
        <v/>
      </c>
      <c r="I12515" s="4" t="str">
        <v/>
      </c>
    </row>
    <row r="12516" spans="5:9" ht="16.5" hidden="1">
      <c r="E12516" s="4" t="str">
        <v/>
      </c>
      <c r="F12516" s="102" t="str">
        <f ca="1">IFERROR(__xludf.DUMMYFUNCTION("IMPORTRANGE(H12516,""IDENTITAS UNIT!D9"")"),"#N/A")</f>
        <v>#N/A</v>
      </c>
      <c r="H12516" s="4" t="str">
        <v/>
      </c>
      <c r="I12516" s="4" t="str">
        <v/>
      </c>
    </row>
    <row r="12517" spans="5:9" ht="16.5" hidden="1">
      <c r="E12517" s="4" t="str">
        <v/>
      </c>
      <c r="F12517" s="102" t="str">
        <f ca="1">IFERROR(__xludf.DUMMYFUNCTION("IMPORTRANGE(H12517,""IDENTITAS UNIT!D9"")"),"#N/A")</f>
        <v>#N/A</v>
      </c>
      <c r="H12517" s="4" t="str">
        <v/>
      </c>
      <c r="I12517" s="4" t="str">
        <v/>
      </c>
    </row>
    <row r="12518" spans="5:9" ht="16.5" hidden="1">
      <c r="E12518" s="4" t="str">
        <v/>
      </c>
      <c r="F12518" s="102" t="str">
        <f ca="1">IFERROR(__xludf.DUMMYFUNCTION("IMPORTRANGE(H12518,""IDENTITAS UNIT!D9"")"),"#N/A")</f>
        <v>#N/A</v>
      </c>
      <c r="H12518" s="4" t="str">
        <v/>
      </c>
      <c r="I12518" s="4" t="str">
        <v/>
      </c>
    </row>
    <row r="12519" spans="5:9" ht="16.5" hidden="1">
      <c r="E12519" s="4" t="str">
        <v/>
      </c>
      <c r="F12519" s="102" t="str">
        <f ca="1">IFERROR(__xludf.DUMMYFUNCTION("IMPORTRANGE(H12519,""IDENTITAS UNIT!D9"")"),"#N/A")</f>
        <v>#N/A</v>
      </c>
      <c r="H12519" s="4" t="str">
        <v/>
      </c>
      <c r="I12519" s="4" t="str">
        <v/>
      </c>
    </row>
    <row r="12520" spans="5:9" ht="16.5" hidden="1">
      <c r="E12520" s="4" t="str">
        <v/>
      </c>
      <c r="F12520" s="102" t="str">
        <f ca="1">IFERROR(__xludf.DUMMYFUNCTION("IMPORTRANGE(H12520,""IDENTITAS UNIT!D9"")"),"#N/A")</f>
        <v>#N/A</v>
      </c>
      <c r="H12520" s="4" t="str">
        <v/>
      </c>
      <c r="I12520" s="4" t="str">
        <v/>
      </c>
    </row>
    <row r="12521" spans="5:9" ht="16.5" hidden="1">
      <c r="E12521" s="4" t="str">
        <v/>
      </c>
      <c r="F12521" s="102" t="str">
        <f ca="1">IFERROR(__xludf.DUMMYFUNCTION("IMPORTRANGE(H12521,""IDENTITAS UNIT!D9"")"),"#N/A")</f>
        <v>#N/A</v>
      </c>
      <c r="H12521" s="4" t="str">
        <v/>
      </c>
      <c r="I12521" s="4" t="str">
        <v/>
      </c>
    </row>
    <row r="12522" spans="5:9" ht="16.5" hidden="1">
      <c r="E12522" s="4" t="str">
        <v/>
      </c>
      <c r="F12522" s="102" t="str">
        <f ca="1">IFERROR(__xludf.DUMMYFUNCTION("IMPORTRANGE(H12522,""IDENTITAS UNIT!D9"")"),"#N/A")</f>
        <v>#N/A</v>
      </c>
      <c r="H12522" s="4" t="str">
        <v/>
      </c>
      <c r="I12522" s="4" t="str">
        <v/>
      </c>
    </row>
    <row r="12523" spans="5:9" ht="16.5" hidden="1">
      <c r="E12523" s="4" t="str">
        <v/>
      </c>
      <c r="F12523" s="102" t="str">
        <f ca="1">IFERROR(__xludf.DUMMYFUNCTION("IMPORTRANGE(H12523,""IDENTITAS UNIT!D9"")"),"#N/A")</f>
        <v>#N/A</v>
      </c>
      <c r="H12523" s="4" t="str">
        <v/>
      </c>
      <c r="I12523" s="4" t="str">
        <v/>
      </c>
    </row>
    <row r="12524" spans="5:9" ht="16.5" hidden="1">
      <c r="E12524" s="4" t="str">
        <v/>
      </c>
      <c r="F12524" s="102" t="str">
        <f ca="1">IFERROR(__xludf.DUMMYFUNCTION("IMPORTRANGE(H12524,""IDENTITAS UNIT!D9"")"),"#N/A")</f>
        <v>#N/A</v>
      </c>
      <c r="H12524" s="4" t="str">
        <v/>
      </c>
      <c r="I12524" s="4" t="str">
        <v/>
      </c>
    </row>
    <row r="12525" spans="5:9" ht="16.5" hidden="1">
      <c r="E12525" s="4" t="str">
        <v/>
      </c>
      <c r="F12525" s="102" t="str">
        <f ca="1">IFERROR(__xludf.DUMMYFUNCTION("IMPORTRANGE(H12525,""IDENTITAS UNIT!D9"")"),"#N/A")</f>
        <v>#N/A</v>
      </c>
      <c r="H12525" s="4" t="str">
        <v/>
      </c>
      <c r="I12525" s="4" t="str">
        <v/>
      </c>
    </row>
    <row r="12526" spans="5:9" ht="16.5" hidden="1">
      <c r="E12526" s="4" t="str">
        <v/>
      </c>
      <c r="F12526" s="102" t="str">
        <f ca="1">IFERROR(__xludf.DUMMYFUNCTION("IMPORTRANGE(H12526,""IDENTITAS UNIT!D9"")"),"#N/A")</f>
        <v>#N/A</v>
      </c>
      <c r="H12526" s="4" t="str">
        <v/>
      </c>
      <c r="I12526" s="4" t="str">
        <v/>
      </c>
    </row>
    <row r="12527" spans="5:9" ht="16.5" hidden="1">
      <c r="E12527" s="4" t="str">
        <v/>
      </c>
      <c r="F12527" s="102" t="str">
        <f ca="1">IFERROR(__xludf.DUMMYFUNCTION("IMPORTRANGE(H12527,""IDENTITAS UNIT!D9"")"),"#N/A")</f>
        <v>#N/A</v>
      </c>
      <c r="H12527" s="4" t="str">
        <v/>
      </c>
      <c r="I12527" s="4" t="str">
        <v/>
      </c>
    </row>
    <row r="12528" spans="5:9" ht="16.5" hidden="1">
      <c r="E12528" s="4" t="str">
        <v/>
      </c>
      <c r="F12528" s="102" t="str">
        <f ca="1">IFERROR(__xludf.DUMMYFUNCTION("IMPORTRANGE(H12528,""IDENTITAS UNIT!D9"")"),"#N/A")</f>
        <v>#N/A</v>
      </c>
      <c r="H12528" s="4" t="str">
        <v/>
      </c>
      <c r="I12528" s="4" t="str">
        <v/>
      </c>
    </row>
    <row r="12529" spans="5:9" ht="16.5" hidden="1">
      <c r="E12529" s="4" t="str">
        <v/>
      </c>
      <c r="F12529" s="102" t="str">
        <f ca="1">IFERROR(__xludf.DUMMYFUNCTION("IMPORTRANGE(H12529,""IDENTITAS UNIT!D9"")"),"#N/A")</f>
        <v>#N/A</v>
      </c>
      <c r="H12529" s="4" t="str">
        <v/>
      </c>
      <c r="I12529" s="4" t="str">
        <v/>
      </c>
    </row>
    <row r="12530" spans="5:9" ht="16.5" hidden="1">
      <c r="E12530" s="4" t="str">
        <v/>
      </c>
      <c r="F12530" s="102" t="str">
        <f ca="1">IFERROR(__xludf.DUMMYFUNCTION("IMPORTRANGE(H12530,""IDENTITAS UNIT!D9"")"),"#N/A")</f>
        <v>#N/A</v>
      </c>
      <c r="H12530" s="4" t="str">
        <v/>
      </c>
      <c r="I12530" s="4" t="str">
        <v/>
      </c>
    </row>
    <row r="12531" spans="5:9" ht="16.5" hidden="1">
      <c r="E12531" s="4" t="str">
        <v/>
      </c>
      <c r="F12531" s="102" t="str">
        <f ca="1">IFERROR(__xludf.DUMMYFUNCTION("IMPORTRANGE(H12531,""IDENTITAS UNIT!D9"")"),"#N/A")</f>
        <v>#N/A</v>
      </c>
      <c r="H12531" s="4" t="str">
        <v/>
      </c>
      <c r="I12531" s="4" t="str">
        <v/>
      </c>
    </row>
    <row r="12532" spans="5:9" ht="16.5" hidden="1">
      <c r="E12532" s="4" t="str">
        <v/>
      </c>
      <c r="F12532" s="102" t="str">
        <f ca="1">IFERROR(__xludf.DUMMYFUNCTION("IMPORTRANGE(H12532,""IDENTITAS UNIT!D9"")"),"#N/A")</f>
        <v>#N/A</v>
      </c>
      <c r="H12532" s="4" t="str">
        <v/>
      </c>
      <c r="I12532" s="4" t="str">
        <v/>
      </c>
    </row>
    <row r="12533" spans="5:9" ht="16.5" hidden="1">
      <c r="E12533" s="4" t="str">
        <v/>
      </c>
      <c r="F12533" s="102" t="str">
        <f ca="1">IFERROR(__xludf.DUMMYFUNCTION("IMPORTRANGE(H12533,""IDENTITAS UNIT!D9"")"),"#N/A")</f>
        <v>#N/A</v>
      </c>
      <c r="H12533" s="4" t="str">
        <v/>
      </c>
      <c r="I12533" s="4" t="str">
        <v/>
      </c>
    </row>
    <row r="12534" spans="5:9" ht="16.5" hidden="1">
      <c r="E12534" s="4" t="str">
        <v/>
      </c>
      <c r="F12534" s="102" t="str">
        <f ca="1">IFERROR(__xludf.DUMMYFUNCTION("IMPORTRANGE(H12534,""IDENTITAS UNIT!D9"")"),"#N/A")</f>
        <v>#N/A</v>
      </c>
      <c r="H12534" s="4" t="str">
        <v/>
      </c>
      <c r="I12534" s="4" t="str">
        <v/>
      </c>
    </row>
    <row r="12535" spans="5:9" ht="16.5" hidden="1">
      <c r="E12535" s="4" t="str">
        <v/>
      </c>
      <c r="F12535" s="102" t="str">
        <f ca="1">IFERROR(__xludf.DUMMYFUNCTION("IMPORTRANGE(H12535,""IDENTITAS UNIT!D9"")"),"#N/A")</f>
        <v>#N/A</v>
      </c>
      <c r="H12535" s="4" t="str">
        <v/>
      </c>
      <c r="I12535" s="4" t="str">
        <v/>
      </c>
    </row>
    <row r="12536" spans="5:9" ht="16.5" hidden="1">
      <c r="E12536" s="4" t="str">
        <v/>
      </c>
      <c r="F12536" s="102" t="str">
        <f ca="1">IFERROR(__xludf.DUMMYFUNCTION("IMPORTRANGE(H12536,""IDENTITAS UNIT!D9"")"),"#N/A")</f>
        <v>#N/A</v>
      </c>
      <c r="H12536" s="4" t="str">
        <v/>
      </c>
      <c r="I12536" s="4" t="str">
        <v/>
      </c>
    </row>
    <row r="12537" spans="5:9" ht="16.5" hidden="1">
      <c r="E12537" s="4" t="str">
        <v/>
      </c>
      <c r="F12537" s="102" t="str">
        <f ca="1">IFERROR(__xludf.DUMMYFUNCTION("IMPORTRANGE(H12537,""IDENTITAS UNIT!D9"")"),"#N/A")</f>
        <v>#N/A</v>
      </c>
      <c r="H12537" s="4" t="str">
        <v/>
      </c>
      <c r="I12537" s="4" t="str">
        <v/>
      </c>
    </row>
    <row r="12538" spans="5:9" ht="16.5" hidden="1">
      <c r="E12538" s="4" t="str">
        <v/>
      </c>
      <c r="F12538" s="102" t="str">
        <f ca="1">IFERROR(__xludf.DUMMYFUNCTION("IMPORTRANGE(H12538,""IDENTITAS UNIT!D9"")"),"#N/A")</f>
        <v>#N/A</v>
      </c>
      <c r="H12538" s="4" t="str">
        <v/>
      </c>
      <c r="I12538" s="4" t="str">
        <v/>
      </c>
    </row>
    <row r="12539" spans="5:9" ht="16.5" hidden="1">
      <c r="E12539" s="4" t="str">
        <v/>
      </c>
      <c r="F12539" s="102" t="str">
        <f ca="1">IFERROR(__xludf.DUMMYFUNCTION("IMPORTRANGE(H12539,""IDENTITAS UNIT!D9"")"),"#N/A")</f>
        <v>#N/A</v>
      </c>
      <c r="H12539" s="4" t="str">
        <v/>
      </c>
      <c r="I12539" s="4" t="str">
        <v/>
      </c>
    </row>
    <row r="12540" spans="5:9" ht="16.5" hidden="1">
      <c r="E12540" s="4" t="str">
        <v/>
      </c>
      <c r="F12540" s="102" t="str">
        <f ca="1">IFERROR(__xludf.DUMMYFUNCTION("IMPORTRANGE(H12540,""IDENTITAS UNIT!D9"")"),"#N/A")</f>
        <v>#N/A</v>
      </c>
      <c r="H12540" s="4" t="str">
        <v/>
      </c>
      <c r="I12540" s="4" t="str">
        <v/>
      </c>
    </row>
    <row r="12541" spans="5:9" ht="16.5" hidden="1">
      <c r="E12541" s="4" t="str">
        <v/>
      </c>
      <c r="F12541" s="102" t="str">
        <f ca="1">IFERROR(__xludf.DUMMYFUNCTION("IMPORTRANGE(H12541,""IDENTITAS UNIT!D9"")"),"#N/A")</f>
        <v>#N/A</v>
      </c>
      <c r="H12541" s="4" t="str">
        <v/>
      </c>
      <c r="I12541" s="4" t="str">
        <v/>
      </c>
    </row>
    <row r="12542" spans="5:9" ht="16.5" hidden="1">
      <c r="E12542" s="4" t="str">
        <v/>
      </c>
      <c r="F12542" s="102" t="str">
        <f ca="1">IFERROR(__xludf.DUMMYFUNCTION("IMPORTRANGE(H12542,""IDENTITAS UNIT!D9"")"),"#N/A")</f>
        <v>#N/A</v>
      </c>
      <c r="H12542" s="4" t="str">
        <v/>
      </c>
      <c r="I12542" s="4" t="str">
        <v/>
      </c>
    </row>
    <row r="12543" spans="5:9" ht="16.5" hidden="1">
      <c r="E12543" s="4" t="str">
        <v/>
      </c>
      <c r="F12543" s="102" t="str">
        <f ca="1">IFERROR(__xludf.DUMMYFUNCTION("IMPORTRANGE(H12543,""IDENTITAS UNIT!D9"")"),"#N/A")</f>
        <v>#N/A</v>
      </c>
      <c r="H12543" s="4" t="str">
        <v/>
      </c>
      <c r="I12543" s="4" t="str">
        <v/>
      </c>
    </row>
    <row r="12544" spans="5:9" ht="16.5" hidden="1">
      <c r="E12544" s="4" t="str">
        <v/>
      </c>
      <c r="F12544" s="102" t="str">
        <f ca="1">IFERROR(__xludf.DUMMYFUNCTION("IMPORTRANGE(H12544,""IDENTITAS UNIT!D9"")"),"#N/A")</f>
        <v>#N/A</v>
      </c>
      <c r="H12544" s="4" t="str">
        <v/>
      </c>
      <c r="I12544" s="4" t="str">
        <v/>
      </c>
    </row>
    <row r="12545" spans="5:9" ht="16.5" hidden="1">
      <c r="E12545" s="4" t="str">
        <v/>
      </c>
      <c r="F12545" s="102" t="str">
        <f ca="1">IFERROR(__xludf.DUMMYFUNCTION("IMPORTRANGE(H12545,""IDENTITAS UNIT!D9"")"),"#N/A")</f>
        <v>#N/A</v>
      </c>
      <c r="H12545" s="4" t="str">
        <v/>
      </c>
      <c r="I12545" s="4" t="str">
        <v/>
      </c>
    </row>
    <row r="12546" spans="5:9" ht="16.5" hidden="1">
      <c r="E12546" s="4" t="str">
        <v/>
      </c>
      <c r="F12546" s="102" t="str">
        <f ca="1">IFERROR(__xludf.DUMMYFUNCTION("IMPORTRANGE(H12546,""IDENTITAS UNIT!D9"")"),"#N/A")</f>
        <v>#N/A</v>
      </c>
      <c r="H12546" s="4" t="str">
        <v/>
      </c>
      <c r="I12546" s="4" t="str">
        <v/>
      </c>
    </row>
    <row r="12547" spans="5:9" ht="16.5" hidden="1">
      <c r="E12547" s="4" t="str">
        <v/>
      </c>
      <c r="F12547" s="102" t="str">
        <f ca="1">IFERROR(__xludf.DUMMYFUNCTION("IMPORTRANGE(H12547,""IDENTITAS UNIT!D9"")"),"#N/A")</f>
        <v>#N/A</v>
      </c>
      <c r="H12547" s="4" t="str">
        <v/>
      </c>
      <c r="I12547" s="4" t="str">
        <v/>
      </c>
    </row>
    <row r="12548" spans="5:9" ht="16.5" hidden="1">
      <c r="E12548" s="4" t="str">
        <v/>
      </c>
      <c r="F12548" s="102" t="str">
        <f ca="1">IFERROR(__xludf.DUMMYFUNCTION("IMPORTRANGE(H12548,""IDENTITAS UNIT!D9"")"),"#N/A")</f>
        <v>#N/A</v>
      </c>
      <c r="H12548" s="4" t="str">
        <v/>
      </c>
      <c r="I12548" s="4" t="str">
        <v/>
      </c>
    </row>
    <row r="12549" spans="5:9" ht="16.5" hidden="1">
      <c r="E12549" s="4" t="str">
        <v/>
      </c>
      <c r="F12549" s="102" t="str">
        <f ca="1">IFERROR(__xludf.DUMMYFUNCTION("IMPORTRANGE(H12549,""IDENTITAS UNIT!D9"")"),"#N/A")</f>
        <v>#N/A</v>
      </c>
      <c r="H12549" s="4" t="str">
        <v/>
      </c>
      <c r="I12549" s="4" t="str">
        <v/>
      </c>
    </row>
    <row r="12550" spans="5:9" ht="16.5" hidden="1">
      <c r="E12550" s="4" t="str">
        <v/>
      </c>
      <c r="F12550" s="102" t="str">
        <f ca="1">IFERROR(__xludf.DUMMYFUNCTION("IMPORTRANGE(H12550,""IDENTITAS UNIT!D9"")"),"#N/A")</f>
        <v>#N/A</v>
      </c>
      <c r="H12550" s="4" t="str">
        <v/>
      </c>
      <c r="I12550" s="4" t="str">
        <v/>
      </c>
    </row>
    <row r="12551" spans="5:9" ht="16.5" hidden="1">
      <c r="E12551" s="4" t="str">
        <v/>
      </c>
      <c r="F12551" s="102" t="str">
        <f ca="1">IFERROR(__xludf.DUMMYFUNCTION("IMPORTRANGE(H12551,""IDENTITAS UNIT!D9"")"),"#N/A")</f>
        <v>#N/A</v>
      </c>
      <c r="H12551" s="4" t="str">
        <v/>
      </c>
      <c r="I12551" s="4" t="str">
        <v/>
      </c>
    </row>
    <row r="12552" spans="5:9" ht="16.5" hidden="1">
      <c r="E12552" s="4" t="str">
        <v/>
      </c>
      <c r="F12552" s="102" t="str">
        <f ca="1">IFERROR(__xludf.DUMMYFUNCTION("IMPORTRANGE(H12552,""IDENTITAS UNIT!D9"")"),"#N/A")</f>
        <v>#N/A</v>
      </c>
      <c r="H12552" s="4" t="str">
        <v/>
      </c>
      <c r="I12552" s="4" t="str">
        <v/>
      </c>
    </row>
    <row r="12553" spans="5:9" ht="16.5" hidden="1">
      <c r="E12553" s="4" t="str">
        <v/>
      </c>
      <c r="F12553" s="102" t="str">
        <f ca="1">IFERROR(__xludf.DUMMYFUNCTION("IMPORTRANGE(H12553,""IDENTITAS UNIT!D9"")"),"#N/A")</f>
        <v>#N/A</v>
      </c>
      <c r="H12553" s="4" t="str">
        <v/>
      </c>
      <c r="I12553" s="4" t="str">
        <v/>
      </c>
    </row>
    <row r="12554" spans="5:9" ht="16.5" hidden="1">
      <c r="E12554" s="4" t="str">
        <v/>
      </c>
      <c r="F12554" s="102" t="str">
        <f ca="1">IFERROR(__xludf.DUMMYFUNCTION("IMPORTRANGE(H12554,""IDENTITAS UNIT!D9"")"),"#N/A")</f>
        <v>#N/A</v>
      </c>
      <c r="H12554" s="4" t="str">
        <v/>
      </c>
      <c r="I12554" s="4" t="str">
        <v/>
      </c>
    </row>
    <row r="12555" spans="5:9" ht="16.5" hidden="1">
      <c r="E12555" s="4" t="str">
        <v/>
      </c>
      <c r="F12555" s="102" t="str">
        <f ca="1">IFERROR(__xludf.DUMMYFUNCTION("IMPORTRANGE(H12555,""IDENTITAS UNIT!D9"")"),"#N/A")</f>
        <v>#N/A</v>
      </c>
      <c r="H12555" s="4" t="str">
        <v/>
      </c>
      <c r="I12555" s="4" t="str">
        <v/>
      </c>
    </row>
    <row r="12556" spans="5:9" ht="16.5" hidden="1">
      <c r="E12556" s="4" t="str">
        <v/>
      </c>
      <c r="F12556" s="102" t="str">
        <f ca="1">IFERROR(__xludf.DUMMYFUNCTION("IMPORTRANGE(H12556,""IDENTITAS UNIT!D9"")"),"#N/A")</f>
        <v>#N/A</v>
      </c>
      <c r="H12556" s="4" t="str">
        <v/>
      </c>
      <c r="I12556" s="4" t="str">
        <v/>
      </c>
    </row>
    <row r="12557" spans="5:9" ht="16.5" hidden="1">
      <c r="E12557" s="4" t="str">
        <v/>
      </c>
      <c r="F12557" s="102" t="str">
        <f ca="1">IFERROR(__xludf.DUMMYFUNCTION("IMPORTRANGE(H12557,""IDENTITAS UNIT!D9"")"),"#N/A")</f>
        <v>#N/A</v>
      </c>
      <c r="H12557" s="4" t="str">
        <v/>
      </c>
      <c r="I12557" s="4" t="str">
        <v/>
      </c>
    </row>
    <row r="12558" spans="5:9" ht="16.5" hidden="1">
      <c r="E12558" s="4" t="str">
        <v/>
      </c>
      <c r="F12558" s="102" t="str">
        <f ca="1">IFERROR(__xludf.DUMMYFUNCTION("IMPORTRANGE(H12558,""IDENTITAS UNIT!D9"")"),"#N/A")</f>
        <v>#N/A</v>
      </c>
      <c r="H12558" s="4" t="str">
        <v/>
      </c>
      <c r="I12558" s="4" t="str">
        <v/>
      </c>
    </row>
    <row r="12559" spans="5:9" ht="16.5" hidden="1">
      <c r="E12559" s="4" t="str">
        <v/>
      </c>
      <c r="F12559" s="102" t="str">
        <f ca="1">IFERROR(__xludf.DUMMYFUNCTION("IMPORTRANGE(H12559,""IDENTITAS UNIT!D9"")"),"#N/A")</f>
        <v>#N/A</v>
      </c>
      <c r="H12559" s="4" t="str">
        <v/>
      </c>
      <c r="I12559" s="4" t="str">
        <v/>
      </c>
    </row>
    <row r="12560" spans="5:9" ht="16.5" hidden="1">
      <c r="E12560" s="4" t="str">
        <v/>
      </c>
      <c r="F12560" s="102" t="str">
        <f ca="1">IFERROR(__xludf.DUMMYFUNCTION("IMPORTRANGE(H12560,""IDENTITAS UNIT!D9"")"),"#N/A")</f>
        <v>#N/A</v>
      </c>
      <c r="H12560" s="4" t="str">
        <v/>
      </c>
      <c r="I12560" s="4" t="str">
        <v/>
      </c>
    </row>
    <row r="12561" spans="5:9" ht="16.5" hidden="1">
      <c r="E12561" s="4" t="str">
        <v/>
      </c>
      <c r="F12561" s="102" t="str">
        <f ca="1">IFERROR(__xludf.DUMMYFUNCTION("IMPORTRANGE(H12561,""IDENTITAS UNIT!D9"")"),"#N/A")</f>
        <v>#N/A</v>
      </c>
      <c r="H12561" s="4" t="str">
        <v/>
      </c>
      <c r="I12561" s="4" t="str">
        <v/>
      </c>
    </row>
    <row r="12562" spans="5:9" ht="16.5" hidden="1">
      <c r="E12562" s="4" t="str">
        <v/>
      </c>
      <c r="F12562" s="102" t="str">
        <f ca="1">IFERROR(__xludf.DUMMYFUNCTION("IMPORTRANGE(H12562,""IDENTITAS UNIT!D9"")"),"#N/A")</f>
        <v>#N/A</v>
      </c>
      <c r="H12562" s="4" t="str">
        <v/>
      </c>
      <c r="I12562" s="4" t="str">
        <v/>
      </c>
    </row>
    <row r="12563" spans="5:9" ht="16.5" hidden="1">
      <c r="E12563" s="4" t="str">
        <v/>
      </c>
      <c r="F12563" s="102" t="str">
        <f ca="1">IFERROR(__xludf.DUMMYFUNCTION("IMPORTRANGE(H12563,""IDENTITAS UNIT!D9"")"),"#N/A")</f>
        <v>#N/A</v>
      </c>
      <c r="H12563" s="4" t="str">
        <v/>
      </c>
      <c r="I12563" s="4" t="str">
        <v/>
      </c>
    </row>
    <row r="12564" spans="5:9" ht="16.5" hidden="1">
      <c r="E12564" s="4" t="str">
        <v/>
      </c>
      <c r="F12564" s="102" t="str">
        <f ca="1">IFERROR(__xludf.DUMMYFUNCTION("IMPORTRANGE(H12564,""IDENTITAS UNIT!D9"")"),"#N/A")</f>
        <v>#N/A</v>
      </c>
      <c r="H12564" s="4" t="str">
        <v/>
      </c>
      <c r="I12564" s="4" t="str">
        <v/>
      </c>
    </row>
    <row r="12565" spans="5:9" ht="16.5" hidden="1">
      <c r="E12565" s="4" t="str">
        <v/>
      </c>
      <c r="F12565" s="102" t="str">
        <f ca="1">IFERROR(__xludf.DUMMYFUNCTION("IMPORTRANGE(H12565,""IDENTITAS UNIT!D9"")"),"#N/A")</f>
        <v>#N/A</v>
      </c>
      <c r="H12565" s="4" t="str">
        <v/>
      </c>
      <c r="I12565" s="4" t="str">
        <v/>
      </c>
    </row>
    <row r="12566" spans="5:9" ht="16.5" hidden="1">
      <c r="E12566" s="4" t="str">
        <v/>
      </c>
      <c r="F12566" s="102" t="str">
        <f ca="1">IFERROR(__xludf.DUMMYFUNCTION("IMPORTRANGE(H12566,""IDENTITAS UNIT!D9"")"),"#N/A")</f>
        <v>#N/A</v>
      </c>
      <c r="H12566" s="4" t="str">
        <v/>
      </c>
      <c r="I12566" s="4" t="str">
        <v/>
      </c>
    </row>
    <row r="12567" spans="5:9" ht="16.5" hidden="1">
      <c r="E12567" s="4" t="str">
        <v/>
      </c>
      <c r="F12567" s="102" t="str">
        <f ca="1">IFERROR(__xludf.DUMMYFUNCTION("IMPORTRANGE(H12567,""IDENTITAS UNIT!D9"")"),"#N/A")</f>
        <v>#N/A</v>
      </c>
      <c r="H12567" s="4" t="str">
        <v/>
      </c>
      <c r="I12567" s="4" t="str">
        <v/>
      </c>
    </row>
    <row r="12568" spans="5:9" ht="16.5" hidden="1">
      <c r="E12568" s="4" t="str">
        <v/>
      </c>
      <c r="F12568" s="102" t="str">
        <f ca="1">IFERROR(__xludf.DUMMYFUNCTION("IMPORTRANGE(H12568,""IDENTITAS UNIT!D9"")"),"#N/A")</f>
        <v>#N/A</v>
      </c>
      <c r="H12568" s="4" t="str">
        <v/>
      </c>
      <c r="I12568" s="4" t="str">
        <v/>
      </c>
    </row>
    <row r="12569" spans="5:9" ht="16.5" hidden="1">
      <c r="E12569" s="4" t="str">
        <v/>
      </c>
      <c r="F12569" s="102" t="str">
        <f ca="1">IFERROR(__xludf.DUMMYFUNCTION("IMPORTRANGE(H12569,""IDENTITAS UNIT!D9"")"),"#N/A")</f>
        <v>#N/A</v>
      </c>
      <c r="H12569" s="4" t="str">
        <v/>
      </c>
      <c r="I12569" s="4" t="str">
        <v/>
      </c>
    </row>
    <row r="12570" spans="5:9" ht="16.5" hidden="1">
      <c r="E12570" s="4" t="str">
        <v/>
      </c>
      <c r="F12570" s="102" t="str">
        <f ca="1">IFERROR(__xludf.DUMMYFUNCTION("IMPORTRANGE(H12570,""IDENTITAS UNIT!D9"")"),"#N/A")</f>
        <v>#N/A</v>
      </c>
      <c r="H12570" s="4" t="str">
        <v/>
      </c>
      <c r="I12570" s="4" t="str">
        <v/>
      </c>
    </row>
    <row r="12571" spans="5:9" ht="16.5" hidden="1">
      <c r="E12571" s="4" t="str">
        <v/>
      </c>
      <c r="F12571" s="102" t="str">
        <f ca="1">IFERROR(__xludf.DUMMYFUNCTION("IMPORTRANGE(H12571,""IDENTITAS UNIT!D9"")"),"#N/A")</f>
        <v>#N/A</v>
      </c>
      <c r="H12571" s="4" t="str">
        <v/>
      </c>
      <c r="I12571" s="4" t="str">
        <v/>
      </c>
    </row>
    <row r="12572" spans="5:9" ht="16.5" hidden="1">
      <c r="E12572" s="4" t="str">
        <v/>
      </c>
      <c r="F12572" s="102" t="str">
        <f ca="1">IFERROR(__xludf.DUMMYFUNCTION("IMPORTRANGE(H12572,""IDENTITAS UNIT!D9"")"),"#N/A")</f>
        <v>#N/A</v>
      </c>
      <c r="H12572" s="4" t="str">
        <v/>
      </c>
      <c r="I12572" s="4" t="str">
        <v/>
      </c>
    </row>
    <row r="12573" spans="5:9" ht="16.5" hidden="1">
      <c r="E12573" s="4" t="str">
        <v/>
      </c>
      <c r="F12573" s="102" t="str">
        <f ca="1">IFERROR(__xludf.DUMMYFUNCTION("IMPORTRANGE(H12573,""IDENTITAS UNIT!D9"")"),"#N/A")</f>
        <v>#N/A</v>
      </c>
      <c r="H12573" s="4" t="str">
        <v/>
      </c>
      <c r="I12573" s="4" t="str">
        <v/>
      </c>
    </row>
    <row r="12574" spans="5:9" ht="16.5" hidden="1">
      <c r="E12574" s="4" t="str">
        <v/>
      </c>
      <c r="F12574" s="102" t="str">
        <f ca="1">IFERROR(__xludf.DUMMYFUNCTION("IMPORTRANGE(H12574,""IDENTITAS UNIT!D9"")"),"#N/A")</f>
        <v>#N/A</v>
      </c>
      <c r="H12574" s="4" t="str">
        <v/>
      </c>
      <c r="I12574" s="4" t="str">
        <v/>
      </c>
    </row>
    <row r="12575" spans="5:9" ht="16.5" hidden="1">
      <c r="E12575" s="4" t="str">
        <v/>
      </c>
      <c r="F12575" s="102" t="str">
        <f ca="1">IFERROR(__xludf.DUMMYFUNCTION("IMPORTRANGE(H12575,""IDENTITAS UNIT!D9"")"),"#N/A")</f>
        <v>#N/A</v>
      </c>
      <c r="H12575" s="4" t="str">
        <v/>
      </c>
      <c r="I12575" s="4" t="str">
        <v/>
      </c>
    </row>
    <row r="12576" spans="5:9" ht="16.5" hidden="1">
      <c r="E12576" s="4" t="str">
        <v/>
      </c>
      <c r="F12576" s="102" t="str">
        <f ca="1">IFERROR(__xludf.DUMMYFUNCTION("IMPORTRANGE(H12576,""IDENTITAS UNIT!D9"")"),"#N/A")</f>
        <v>#N/A</v>
      </c>
      <c r="H12576" s="4" t="str">
        <v/>
      </c>
      <c r="I12576" s="4" t="str">
        <v/>
      </c>
    </row>
    <row r="12577" spans="5:9" ht="16.5" hidden="1">
      <c r="E12577" s="4" t="str">
        <v/>
      </c>
      <c r="F12577" s="102" t="str">
        <f ca="1">IFERROR(__xludf.DUMMYFUNCTION("IMPORTRANGE(H12577,""IDENTITAS UNIT!D9"")"),"#N/A")</f>
        <v>#N/A</v>
      </c>
      <c r="H12577" s="4" t="str">
        <v/>
      </c>
      <c r="I12577" s="4" t="str">
        <v/>
      </c>
    </row>
    <row r="12578" spans="5:9" ht="16.5" hidden="1">
      <c r="E12578" s="4" t="str">
        <v/>
      </c>
      <c r="F12578" s="102" t="str">
        <f ca="1">IFERROR(__xludf.DUMMYFUNCTION("IMPORTRANGE(H12578,""IDENTITAS UNIT!D9"")"),"#N/A")</f>
        <v>#N/A</v>
      </c>
      <c r="H12578" s="4" t="str">
        <v/>
      </c>
      <c r="I12578" s="4" t="str">
        <v/>
      </c>
    </row>
    <row r="12579" spans="5:9" ht="16.5" hidden="1">
      <c r="E12579" s="4" t="str">
        <v/>
      </c>
      <c r="F12579" s="102" t="str">
        <f ca="1">IFERROR(__xludf.DUMMYFUNCTION("IMPORTRANGE(H12579,""IDENTITAS UNIT!D9"")"),"#N/A")</f>
        <v>#N/A</v>
      </c>
      <c r="H12579" s="4" t="str">
        <v/>
      </c>
      <c r="I12579" s="4" t="str">
        <v/>
      </c>
    </row>
    <row r="12580" spans="5:9" ht="16.5" hidden="1">
      <c r="E12580" s="4" t="str">
        <v/>
      </c>
      <c r="F12580" s="102" t="str">
        <f ca="1">IFERROR(__xludf.DUMMYFUNCTION("IMPORTRANGE(H12580,""IDENTITAS UNIT!D9"")"),"#N/A")</f>
        <v>#N/A</v>
      </c>
      <c r="H12580" s="4" t="str">
        <v/>
      </c>
      <c r="I12580" s="4" t="str">
        <v/>
      </c>
    </row>
    <row r="12581" spans="5:9" ht="16.5" hidden="1">
      <c r="E12581" s="4" t="str">
        <v/>
      </c>
      <c r="F12581" s="102" t="str">
        <f ca="1">IFERROR(__xludf.DUMMYFUNCTION("IMPORTRANGE(H12581,""IDENTITAS UNIT!D9"")"),"#N/A")</f>
        <v>#N/A</v>
      </c>
      <c r="H12581" s="4" t="str">
        <v/>
      </c>
      <c r="I12581" s="4" t="str">
        <v/>
      </c>
    </row>
    <row r="12582" spans="5:9" ht="16.5" hidden="1">
      <c r="E12582" s="4" t="str">
        <v/>
      </c>
      <c r="F12582" s="102" t="str">
        <f ca="1">IFERROR(__xludf.DUMMYFUNCTION("IMPORTRANGE(H12582,""IDENTITAS UNIT!D9"")"),"#N/A")</f>
        <v>#N/A</v>
      </c>
      <c r="H12582" s="4" t="str">
        <v/>
      </c>
      <c r="I12582" s="4" t="str">
        <v/>
      </c>
    </row>
    <row r="12583" spans="5:9" ht="16.5" hidden="1">
      <c r="E12583" s="4" t="str">
        <v/>
      </c>
      <c r="F12583" s="102" t="str">
        <f ca="1">IFERROR(__xludf.DUMMYFUNCTION("IMPORTRANGE(H12583,""IDENTITAS UNIT!D9"")"),"#N/A")</f>
        <v>#N/A</v>
      </c>
      <c r="H12583" s="4" t="str">
        <v/>
      </c>
      <c r="I12583" s="4" t="str">
        <v/>
      </c>
    </row>
    <row r="12584" spans="5:9" ht="16.5" hidden="1">
      <c r="E12584" s="4" t="str">
        <v/>
      </c>
      <c r="F12584" s="102" t="str">
        <f ca="1">IFERROR(__xludf.DUMMYFUNCTION("IMPORTRANGE(H12584,""IDENTITAS UNIT!D9"")"),"#N/A")</f>
        <v>#N/A</v>
      </c>
      <c r="H12584" s="4" t="str">
        <v/>
      </c>
      <c r="I12584" s="4" t="str">
        <v/>
      </c>
    </row>
    <row r="12585" spans="5:9" ht="16.5" hidden="1">
      <c r="E12585" s="4" t="str">
        <v/>
      </c>
      <c r="F12585" s="102" t="str">
        <f ca="1">IFERROR(__xludf.DUMMYFUNCTION("IMPORTRANGE(H12585,""IDENTITAS UNIT!D9"")"),"#N/A")</f>
        <v>#N/A</v>
      </c>
      <c r="H12585" s="4" t="str">
        <v/>
      </c>
      <c r="I12585" s="4" t="str">
        <v/>
      </c>
    </row>
    <row r="12586" spans="5:9" ht="16.5" hidden="1">
      <c r="E12586" s="4" t="str">
        <v/>
      </c>
      <c r="F12586" s="102" t="str">
        <f ca="1">IFERROR(__xludf.DUMMYFUNCTION("IMPORTRANGE(H12586,""IDENTITAS UNIT!D9"")"),"#N/A")</f>
        <v>#N/A</v>
      </c>
      <c r="H12586" s="4" t="str">
        <v/>
      </c>
      <c r="I12586" s="4" t="str">
        <v/>
      </c>
    </row>
    <row r="12587" spans="5:9" ht="16.5" hidden="1">
      <c r="E12587" s="4" t="str">
        <v/>
      </c>
      <c r="F12587" s="102" t="str">
        <f ca="1">IFERROR(__xludf.DUMMYFUNCTION("IMPORTRANGE(H12587,""IDENTITAS UNIT!D9"")"),"#N/A")</f>
        <v>#N/A</v>
      </c>
      <c r="H12587" s="4" t="str">
        <v/>
      </c>
      <c r="I12587" s="4" t="str">
        <v/>
      </c>
    </row>
    <row r="12588" spans="5:9" ht="16.5" hidden="1">
      <c r="E12588" s="4" t="str">
        <v/>
      </c>
      <c r="F12588" s="102" t="str">
        <f ca="1">IFERROR(__xludf.DUMMYFUNCTION("IMPORTRANGE(H12588,""IDENTITAS UNIT!D9"")"),"#N/A")</f>
        <v>#N/A</v>
      </c>
      <c r="H12588" s="4" t="str">
        <v/>
      </c>
      <c r="I12588" s="4" t="str">
        <v/>
      </c>
    </row>
    <row r="12589" spans="5:9" ht="16.5" hidden="1">
      <c r="E12589" s="4" t="str">
        <v/>
      </c>
      <c r="F12589" s="102" t="str">
        <f ca="1">IFERROR(__xludf.DUMMYFUNCTION("IMPORTRANGE(H12589,""IDENTITAS UNIT!D9"")"),"#N/A")</f>
        <v>#N/A</v>
      </c>
      <c r="H12589" s="4" t="str">
        <v/>
      </c>
      <c r="I12589" s="4" t="str">
        <v/>
      </c>
    </row>
    <row r="12590" spans="5:9" ht="16.5" hidden="1">
      <c r="E12590" s="4" t="str">
        <v/>
      </c>
      <c r="F12590" s="102" t="str">
        <f ca="1">IFERROR(__xludf.DUMMYFUNCTION("IMPORTRANGE(H12590,""IDENTITAS UNIT!D9"")"),"#N/A")</f>
        <v>#N/A</v>
      </c>
      <c r="H12590" s="4" t="str">
        <v/>
      </c>
      <c r="I12590" s="4" t="str">
        <v/>
      </c>
    </row>
    <row r="12591" spans="5:9" ht="16.5" hidden="1">
      <c r="E12591" s="4" t="str">
        <v/>
      </c>
      <c r="F12591" s="102" t="str">
        <f ca="1">IFERROR(__xludf.DUMMYFUNCTION("IMPORTRANGE(H12591,""IDENTITAS UNIT!D9"")"),"#N/A")</f>
        <v>#N/A</v>
      </c>
      <c r="H12591" s="4" t="str">
        <v/>
      </c>
      <c r="I12591" s="4" t="str">
        <v/>
      </c>
    </row>
    <row r="12592" spans="5:9" ht="16.5" hidden="1">
      <c r="E12592" s="4" t="str">
        <v/>
      </c>
      <c r="F12592" s="102" t="str">
        <f ca="1">IFERROR(__xludf.DUMMYFUNCTION("IMPORTRANGE(H12592,""IDENTITAS UNIT!D9"")"),"#N/A")</f>
        <v>#N/A</v>
      </c>
      <c r="H12592" s="4" t="str">
        <v/>
      </c>
      <c r="I12592" s="4" t="str">
        <v/>
      </c>
    </row>
    <row r="12593" spans="5:9" ht="16.5" hidden="1">
      <c r="E12593" s="4" t="str">
        <v/>
      </c>
      <c r="F12593" s="102" t="str">
        <f ca="1">IFERROR(__xludf.DUMMYFUNCTION("IMPORTRANGE(H12593,""IDENTITAS UNIT!D9"")"),"#N/A")</f>
        <v>#N/A</v>
      </c>
      <c r="H12593" s="4" t="str">
        <v/>
      </c>
      <c r="I12593" s="4" t="str">
        <v/>
      </c>
    </row>
    <row r="12594" spans="5:9" ht="16.5" hidden="1">
      <c r="E12594" s="4" t="str">
        <v/>
      </c>
      <c r="F12594" s="102" t="str">
        <f ca="1">IFERROR(__xludf.DUMMYFUNCTION("IMPORTRANGE(H12594,""IDENTITAS UNIT!D9"")"),"#N/A")</f>
        <v>#N/A</v>
      </c>
      <c r="H12594" s="4" t="str">
        <v/>
      </c>
      <c r="I12594" s="4" t="str">
        <v/>
      </c>
    </row>
    <row r="12595" spans="5:9" ht="16.5" hidden="1">
      <c r="E12595" s="4" t="str">
        <v/>
      </c>
      <c r="F12595" s="102" t="str">
        <f ca="1">IFERROR(__xludf.DUMMYFUNCTION("IMPORTRANGE(H12595,""IDENTITAS UNIT!D9"")"),"#N/A")</f>
        <v>#N/A</v>
      </c>
      <c r="H12595" s="4" t="str">
        <v/>
      </c>
      <c r="I12595" s="4" t="str">
        <v/>
      </c>
    </row>
    <row r="12596" spans="5:9" ht="16.5" hidden="1">
      <c r="E12596" s="4" t="str">
        <v/>
      </c>
      <c r="F12596" s="102" t="str">
        <f ca="1">IFERROR(__xludf.DUMMYFUNCTION("IMPORTRANGE(H12596,""IDENTITAS UNIT!D9"")"),"#N/A")</f>
        <v>#N/A</v>
      </c>
      <c r="H12596" s="4" t="str">
        <v/>
      </c>
      <c r="I12596" s="4" t="str">
        <v/>
      </c>
    </row>
    <row r="12597" spans="5:9" ht="16.5" hidden="1">
      <c r="E12597" s="4" t="str">
        <v/>
      </c>
      <c r="F12597" s="102" t="str">
        <f ca="1">IFERROR(__xludf.DUMMYFUNCTION("IMPORTRANGE(H12597,""IDENTITAS UNIT!D9"")"),"#N/A")</f>
        <v>#N/A</v>
      </c>
      <c r="H12597" s="4" t="str">
        <v/>
      </c>
      <c r="I12597" s="4" t="str">
        <v/>
      </c>
    </row>
    <row r="12598" spans="5:9" ht="16.5" hidden="1">
      <c r="E12598" s="4" t="str">
        <v/>
      </c>
      <c r="F12598" s="102" t="str">
        <f ca="1">IFERROR(__xludf.DUMMYFUNCTION("IMPORTRANGE(H12598,""IDENTITAS UNIT!D9"")"),"#N/A")</f>
        <v>#N/A</v>
      </c>
      <c r="H12598" s="4" t="str">
        <v/>
      </c>
      <c r="I12598" s="4" t="str">
        <v/>
      </c>
    </row>
    <row r="12599" spans="5:9" ht="16.5" hidden="1">
      <c r="E12599" s="4" t="str">
        <v/>
      </c>
      <c r="F12599" s="102" t="str">
        <f ca="1">IFERROR(__xludf.DUMMYFUNCTION("IMPORTRANGE(H12599,""IDENTITAS UNIT!D9"")"),"#N/A")</f>
        <v>#N/A</v>
      </c>
      <c r="H12599" s="4" t="str">
        <v/>
      </c>
      <c r="I12599" s="4" t="str">
        <v/>
      </c>
    </row>
    <row r="12600" spans="5:9" ht="16.5" hidden="1">
      <c r="E12600" s="4" t="str">
        <v/>
      </c>
      <c r="F12600" s="102" t="str">
        <f ca="1">IFERROR(__xludf.DUMMYFUNCTION("IMPORTRANGE(H12600,""IDENTITAS UNIT!D9"")"),"#N/A")</f>
        <v>#N/A</v>
      </c>
      <c r="H12600" s="4" t="str">
        <v/>
      </c>
      <c r="I12600" s="4" t="str">
        <v/>
      </c>
    </row>
    <row r="12601" spans="5:9" ht="16.5" hidden="1">
      <c r="E12601" s="4" t="str">
        <v/>
      </c>
      <c r="F12601" s="102" t="str">
        <f ca="1">IFERROR(__xludf.DUMMYFUNCTION("IMPORTRANGE(H12601,""IDENTITAS UNIT!D9"")"),"#N/A")</f>
        <v>#N/A</v>
      </c>
      <c r="H12601" s="4" t="str">
        <v/>
      </c>
      <c r="I12601" s="4" t="str">
        <v/>
      </c>
    </row>
    <row r="12602" spans="5:9" ht="16.5" hidden="1">
      <c r="E12602" s="4" t="str">
        <v/>
      </c>
      <c r="F12602" s="102" t="str">
        <f ca="1">IFERROR(__xludf.DUMMYFUNCTION("IMPORTRANGE(H12602,""IDENTITAS UNIT!D9"")"),"#N/A")</f>
        <v>#N/A</v>
      </c>
      <c r="H12602" s="4" t="str">
        <v/>
      </c>
      <c r="I12602" s="4" t="str">
        <v/>
      </c>
    </row>
    <row r="12603" spans="5:9" ht="16.5" hidden="1">
      <c r="E12603" s="4" t="str">
        <v/>
      </c>
      <c r="F12603" s="102" t="str">
        <f ca="1">IFERROR(__xludf.DUMMYFUNCTION("IMPORTRANGE(H12603,""IDENTITAS UNIT!D9"")"),"#N/A")</f>
        <v>#N/A</v>
      </c>
      <c r="H12603" s="4" t="str">
        <v/>
      </c>
      <c r="I12603" s="4" t="str">
        <v/>
      </c>
    </row>
    <row r="12604" spans="5:9" ht="16.5" hidden="1">
      <c r="E12604" s="4" t="str">
        <v/>
      </c>
      <c r="F12604" s="102" t="str">
        <f ca="1">IFERROR(__xludf.DUMMYFUNCTION("IMPORTRANGE(H12604,""IDENTITAS UNIT!D9"")"),"#N/A")</f>
        <v>#N/A</v>
      </c>
      <c r="H12604" s="4" t="str">
        <v/>
      </c>
      <c r="I12604" s="4" t="str">
        <v/>
      </c>
    </row>
    <row r="12605" spans="5:9" ht="16.5" hidden="1">
      <c r="E12605" s="4" t="str">
        <v/>
      </c>
      <c r="F12605" s="102" t="str">
        <f ca="1">IFERROR(__xludf.DUMMYFUNCTION("IMPORTRANGE(H12605,""IDENTITAS UNIT!D9"")"),"#N/A")</f>
        <v>#N/A</v>
      </c>
      <c r="H12605" s="4" t="str">
        <v/>
      </c>
      <c r="I12605" s="4" t="str">
        <v/>
      </c>
    </row>
    <row r="12606" spans="5:9" ht="16.5" hidden="1">
      <c r="E12606" s="4" t="str">
        <v/>
      </c>
      <c r="F12606" s="102" t="str">
        <f ca="1">IFERROR(__xludf.DUMMYFUNCTION("IMPORTRANGE(H12606,""IDENTITAS UNIT!D9"")"),"#N/A")</f>
        <v>#N/A</v>
      </c>
      <c r="H12606" s="4" t="str">
        <v/>
      </c>
      <c r="I12606" s="4" t="str">
        <v/>
      </c>
    </row>
    <row r="12607" spans="5:9" ht="16.5" hidden="1">
      <c r="E12607" s="4" t="str">
        <v/>
      </c>
      <c r="F12607" s="102" t="str">
        <f ca="1">IFERROR(__xludf.DUMMYFUNCTION("IMPORTRANGE(H12607,""IDENTITAS UNIT!D9"")"),"#N/A")</f>
        <v>#N/A</v>
      </c>
      <c r="H12607" s="4" t="str">
        <v/>
      </c>
      <c r="I12607" s="4" t="str">
        <v/>
      </c>
    </row>
    <row r="12608" spans="5:9" ht="16.5" hidden="1">
      <c r="E12608" s="4" t="str">
        <v/>
      </c>
      <c r="F12608" s="102" t="str">
        <f ca="1">IFERROR(__xludf.DUMMYFUNCTION("IMPORTRANGE(H12608,""IDENTITAS UNIT!D9"")"),"#N/A")</f>
        <v>#N/A</v>
      </c>
      <c r="H12608" s="4" t="str">
        <v/>
      </c>
      <c r="I12608" s="4" t="str">
        <v/>
      </c>
    </row>
    <row r="12609" spans="5:9" ht="16.5" hidden="1">
      <c r="E12609" s="4" t="str">
        <v/>
      </c>
      <c r="F12609" s="102" t="str">
        <f ca="1">IFERROR(__xludf.DUMMYFUNCTION("IMPORTRANGE(H12609,""IDENTITAS UNIT!D9"")"),"#N/A")</f>
        <v>#N/A</v>
      </c>
      <c r="H12609" s="4" t="str">
        <v/>
      </c>
      <c r="I12609" s="4" t="str">
        <v/>
      </c>
    </row>
    <row r="12610" spans="5:9" ht="16.5" hidden="1">
      <c r="E12610" s="4" t="str">
        <v/>
      </c>
      <c r="F12610" s="102" t="str">
        <f ca="1">IFERROR(__xludf.DUMMYFUNCTION("IMPORTRANGE(H12610,""IDENTITAS UNIT!D9"")"),"#N/A")</f>
        <v>#N/A</v>
      </c>
      <c r="H12610" s="4" t="str">
        <v/>
      </c>
      <c r="I12610" s="4" t="str">
        <v/>
      </c>
    </row>
    <row r="12611" spans="5:9" ht="16.5" hidden="1">
      <c r="E12611" s="4" t="str">
        <v/>
      </c>
      <c r="F12611" s="102" t="str">
        <f ca="1">IFERROR(__xludf.DUMMYFUNCTION("IMPORTRANGE(H12611,""IDENTITAS UNIT!D9"")"),"#N/A")</f>
        <v>#N/A</v>
      </c>
      <c r="H12611" s="4" t="str">
        <v/>
      </c>
      <c r="I12611" s="4" t="str">
        <v/>
      </c>
    </row>
    <row r="12612" spans="5:9" ht="16.5" hidden="1">
      <c r="E12612" s="4" t="str">
        <v/>
      </c>
      <c r="F12612" s="102" t="str">
        <f ca="1">IFERROR(__xludf.DUMMYFUNCTION("IMPORTRANGE(H12612,""IDENTITAS UNIT!D9"")"),"#N/A")</f>
        <v>#N/A</v>
      </c>
      <c r="H12612" s="4" t="str">
        <v/>
      </c>
      <c r="I12612" s="4" t="str">
        <v/>
      </c>
    </row>
    <row r="12613" spans="5:9" ht="16.5" hidden="1">
      <c r="E12613" s="4" t="str">
        <v/>
      </c>
      <c r="F12613" s="102" t="str">
        <f ca="1">IFERROR(__xludf.DUMMYFUNCTION("IMPORTRANGE(H12613,""IDENTITAS UNIT!D9"")"),"#N/A")</f>
        <v>#N/A</v>
      </c>
      <c r="H12613" s="4" t="str">
        <v/>
      </c>
      <c r="I12613" s="4" t="str">
        <v/>
      </c>
    </row>
    <row r="12614" spans="5:9" ht="16.5" hidden="1">
      <c r="E12614" s="4" t="str">
        <v/>
      </c>
      <c r="F12614" s="102" t="str">
        <f ca="1">IFERROR(__xludf.DUMMYFUNCTION("IMPORTRANGE(H12614,""IDENTITAS UNIT!D9"")"),"#N/A")</f>
        <v>#N/A</v>
      </c>
      <c r="H12614" s="4" t="str">
        <v/>
      </c>
      <c r="I12614" s="4" t="str">
        <v/>
      </c>
    </row>
    <row r="12615" spans="5:9" ht="16.5" hidden="1">
      <c r="E12615" s="4" t="str">
        <v/>
      </c>
      <c r="F12615" s="102" t="str">
        <f ca="1">IFERROR(__xludf.DUMMYFUNCTION("IMPORTRANGE(H12615,""IDENTITAS UNIT!D9"")"),"#N/A")</f>
        <v>#N/A</v>
      </c>
      <c r="H12615" s="4" t="str">
        <v/>
      </c>
      <c r="I12615" s="4" t="str">
        <v/>
      </c>
    </row>
    <row r="12616" spans="5:9" ht="16.5" hidden="1">
      <c r="E12616" s="4" t="str">
        <v/>
      </c>
      <c r="F12616" s="102" t="str">
        <f ca="1">IFERROR(__xludf.DUMMYFUNCTION("IMPORTRANGE(H12616,""IDENTITAS UNIT!D9"")"),"#N/A")</f>
        <v>#N/A</v>
      </c>
      <c r="H12616" s="4" t="str">
        <v/>
      </c>
      <c r="I12616" s="4" t="str">
        <v/>
      </c>
    </row>
    <row r="12617" spans="5:9" ht="16.5" hidden="1">
      <c r="E12617" s="4" t="str">
        <v/>
      </c>
      <c r="F12617" s="102" t="str">
        <f ca="1">IFERROR(__xludf.DUMMYFUNCTION("IMPORTRANGE(H12617,""IDENTITAS UNIT!D9"")"),"#N/A")</f>
        <v>#N/A</v>
      </c>
      <c r="H12617" s="4" t="str">
        <v/>
      </c>
      <c r="I12617" s="4" t="str">
        <v/>
      </c>
    </row>
    <row r="12618" spans="5:9" ht="16.5" hidden="1">
      <c r="E12618" s="4" t="str">
        <v/>
      </c>
      <c r="F12618" s="102" t="str">
        <f ca="1">IFERROR(__xludf.DUMMYFUNCTION("IMPORTRANGE(H12618,""IDENTITAS UNIT!D9"")"),"#N/A")</f>
        <v>#N/A</v>
      </c>
      <c r="H12618" s="4" t="str">
        <v/>
      </c>
      <c r="I12618" s="4" t="str">
        <v/>
      </c>
    </row>
    <row r="12619" spans="5:9" ht="16.5" hidden="1">
      <c r="E12619" s="4" t="str">
        <v/>
      </c>
      <c r="F12619" s="102" t="str">
        <f ca="1">IFERROR(__xludf.DUMMYFUNCTION("IMPORTRANGE(H12619,""IDENTITAS UNIT!D9"")"),"#N/A")</f>
        <v>#N/A</v>
      </c>
      <c r="H12619" s="4" t="str">
        <v/>
      </c>
      <c r="I12619" s="4" t="str">
        <v/>
      </c>
    </row>
    <row r="12620" spans="5:9" ht="16.5" hidden="1">
      <c r="E12620" s="4" t="str">
        <v/>
      </c>
      <c r="F12620" s="102" t="str">
        <f ca="1">IFERROR(__xludf.DUMMYFUNCTION("IMPORTRANGE(H12620,""IDENTITAS UNIT!D9"")"),"#N/A")</f>
        <v>#N/A</v>
      </c>
      <c r="H12620" s="4" t="str">
        <v/>
      </c>
      <c r="I12620" s="4" t="str">
        <v/>
      </c>
    </row>
    <row r="12621" spans="5:9" ht="16.5" hidden="1">
      <c r="E12621" s="4" t="str">
        <v/>
      </c>
      <c r="F12621" s="102" t="str">
        <f ca="1">IFERROR(__xludf.DUMMYFUNCTION("IMPORTRANGE(H12621,""IDENTITAS UNIT!D9"")"),"#N/A")</f>
        <v>#N/A</v>
      </c>
      <c r="H12621" s="4" t="str">
        <v/>
      </c>
      <c r="I12621" s="4" t="str">
        <v/>
      </c>
    </row>
    <row r="12622" spans="5:9" ht="16.5" hidden="1">
      <c r="E12622" s="4" t="str">
        <v/>
      </c>
      <c r="F12622" s="102" t="str">
        <f ca="1">IFERROR(__xludf.DUMMYFUNCTION("IMPORTRANGE(H12622,""IDENTITAS UNIT!D9"")"),"#N/A")</f>
        <v>#N/A</v>
      </c>
      <c r="H12622" s="4" t="str">
        <v/>
      </c>
      <c r="I12622" s="4" t="str">
        <v/>
      </c>
    </row>
    <row r="12623" spans="5:9" ht="16.5" hidden="1">
      <c r="E12623" s="4" t="str">
        <v/>
      </c>
      <c r="F12623" s="102" t="str">
        <f ca="1">IFERROR(__xludf.DUMMYFUNCTION("IMPORTRANGE(H12623,""IDENTITAS UNIT!D9"")"),"#N/A")</f>
        <v>#N/A</v>
      </c>
      <c r="H12623" s="4" t="str">
        <v/>
      </c>
      <c r="I12623" s="4" t="str">
        <v/>
      </c>
    </row>
    <row r="12624" spans="5:9" ht="16.5" hidden="1">
      <c r="E12624" s="4" t="str">
        <v/>
      </c>
      <c r="F12624" s="102" t="str">
        <f ca="1">IFERROR(__xludf.DUMMYFUNCTION("IMPORTRANGE(H12624,""IDENTITAS UNIT!D9"")"),"#N/A")</f>
        <v>#N/A</v>
      </c>
      <c r="H12624" s="4" t="str">
        <v/>
      </c>
      <c r="I12624" s="4" t="str">
        <v/>
      </c>
    </row>
    <row r="12625" spans="5:9" ht="16.5" hidden="1">
      <c r="E12625" s="4" t="str">
        <v/>
      </c>
      <c r="F12625" s="102" t="str">
        <f ca="1">IFERROR(__xludf.DUMMYFUNCTION("IMPORTRANGE(H12625,""IDENTITAS UNIT!D9"")"),"#N/A")</f>
        <v>#N/A</v>
      </c>
      <c r="H12625" s="4" t="str">
        <v/>
      </c>
      <c r="I12625" s="4" t="str">
        <v/>
      </c>
    </row>
    <row r="12626" spans="5:9" ht="16.5" hidden="1">
      <c r="E12626" s="4" t="str">
        <v/>
      </c>
      <c r="F12626" s="102" t="str">
        <f ca="1">IFERROR(__xludf.DUMMYFUNCTION("IMPORTRANGE(H12626,""IDENTITAS UNIT!D9"")"),"#N/A")</f>
        <v>#N/A</v>
      </c>
      <c r="H12626" s="4" t="str">
        <v/>
      </c>
      <c r="I12626" s="4" t="str">
        <v/>
      </c>
    </row>
    <row r="12627" spans="5:9" ht="16.5" hidden="1">
      <c r="E12627" s="4" t="str">
        <v/>
      </c>
      <c r="F12627" s="102" t="str">
        <f ca="1">IFERROR(__xludf.DUMMYFUNCTION("IMPORTRANGE(H12627,""IDENTITAS UNIT!D9"")"),"#N/A")</f>
        <v>#N/A</v>
      </c>
      <c r="H12627" s="4" t="str">
        <v/>
      </c>
      <c r="I12627" s="4" t="str">
        <v/>
      </c>
    </row>
    <row r="12628" spans="5:9" ht="16.5" hidden="1">
      <c r="E12628" s="4" t="str">
        <v/>
      </c>
      <c r="F12628" s="102" t="str">
        <f ca="1">IFERROR(__xludf.DUMMYFUNCTION("IMPORTRANGE(H12628,""IDENTITAS UNIT!D9"")"),"#N/A")</f>
        <v>#N/A</v>
      </c>
      <c r="H12628" s="4" t="str">
        <v/>
      </c>
      <c r="I12628" s="4" t="str">
        <v/>
      </c>
    </row>
    <row r="12629" spans="5:9" ht="16.5" hidden="1">
      <c r="E12629" s="4" t="str">
        <v/>
      </c>
      <c r="F12629" s="102" t="str">
        <f ca="1">IFERROR(__xludf.DUMMYFUNCTION("IMPORTRANGE(H12629,""IDENTITAS UNIT!D9"")"),"#N/A")</f>
        <v>#N/A</v>
      </c>
      <c r="H12629" s="4" t="str">
        <v/>
      </c>
      <c r="I12629" s="4" t="str">
        <v/>
      </c>
    </row>
    <row r="12630" spans="5:9" ht="16.5" hidden="1">
      <c r="E12630" s="4" t="str">
        <v/>
      </c>
      <c r="F12630" s="102" t="str">
        <f ca="1">IFERROR(__xludf.DUMMYFUNCTION("IMPORTRANGE(H12630,""IDENTITAS UNIT!D9"")"),"#N/A")</f>
        <v>#N/A</v>
      </c>
      <c r="H12630" s="4" t="str">
        <v/>
      </c>
      <c r="I12630" s="4" t="str">
        <v/>
      </c>
    </row>
    <row r="12631" spans="5:9" ht="16.5" hidden="1">
      <c r="E12631" s="4" t="str">
        <v/>
      </c>
      <c r="F12631" s="102" t="str">
        <f ca="1">IFERROR(__xludf.DUMMYFUNCTION("IMPORTRANGE(H12631,""IDENTITAS UNIT!D9"")"),"#N/A")</f>
        <v>#N/A</v>
      </c>
      <c r="H12631" s="4" t="str">
        <v/>
      </c>
      <c r="I12631" s="4" t="str">
        <v/>
      </c>
    </row>
    <row r="12632" spans="5:9" ht="16.5" hidden="1">
      <c r="E12632" s="4" t="str">
        <v/>
      </c>
      <c r="F12632" s="102" t="str">
        <f ca="1">IFERROR(__xludf.DUMMYFUNCTION("IMPORTRANGE(H12632,""IDENTITAS UNIT!D9"")"),"#N/A")</f>
        <v>#N/A</v>
      </c>
      <c r="H12632" s="4" t="str">
        <v/>
      </c>
      <c r="I12632" s="4" t="str">
        <v/>
      </c>
    </row>
    <row r="12633" spans="5:9" ht="16.5" hidden="1">
      <c r="E12633" s="4" t="str">
        <v/>
      </c>
      <c r="F12633" s="102" t="str">
        <f ca="1">IFERROR(__xludf.DUMMYFUNCTION("IMPORTRANGE(H12633,""IDENTITAS UNIT!D9"")"),"#N/A")</f>
        <v>#N/A</v>
      </c>
      <c r="H12633" s="4" t="str">
        <v/>
      </c>
      <c r="I12633" s="4" t="str">
        <v/>
      </c>
    </row>
    <row r="12634" spans="5:9" ht="16.5" hidden="1">
      <c r="E12634" s="4" t="str">
        <v/>
      </c>
      <c r="F12634" s="102" t="str">
        <f ca="1">IFERROR(__xludf.DUMMYFUNCTION("IMPORTRANGE(H12634,""IDENTITAS UNIT!D9"")"),"#N/A")</f>
        <v>#N/A</v>
      </c>
      <c r="H12634" s="4" t="str">
        <v/>
      </c>
      <c r="I12634" s="4" t="str">
        <v/>
      </c>
    </row>
    <row r="12635" spans="5:9" ht="16.5" hidden="1">
      <c r="E12635" s="4" t="str">
        <v/>
      </c>
      <c r="F12635" s="102" t="str">
        <f ca="1">IFERROR(__xludf.DUMMYFUNCTION("IMPORTRANGE(H12635,""IDENTITAS UNIT!D9"")"),"#N/A")</f>
        <v>#N/A</v>
      </c>
      <c r="H12635" s="4" t="str">
        <v/>
      </c>
      <c r="I12635" s="4" t="str">
        <v/>
      </c>
    </row>
    <row r="12636" spans="5:9" ht="16.5" hidden="1">
      <c r="E12636" s="4" t="str">
        <v/>
      </c>
      <c r="F12636" s="102" t="str">
        <f ca="1">IFERROR(__xludf.DUMMYFUNCTION("IMPORTRANGE(H12636,""IDENTITAS UNIT!D9"")"),"#N/A")</f>
        <v>#N/A</v>
      </c>
      <c r="H12636" s="4" t="str">
        <v/>
      </c>
      <c r="I12636" s="4" t="str">
        <v/>
      </c>
    </row>
    <row r="12637" spans="5:9" ht="16.5" hidden="1">
      <c r="E12637" s="4" t="str">
        <v/>
      </c>
      <c r="F12637" s="102" t="str">
        <f ca="1">IFERROR(__xludf.DUMMYFUNCTION("IMPORTRANGE(H12637,""IDENTITAS UNIT!D9"")"),"#N/A")</f>
        <v>#N/A</v>
      </c>
      <c r="H12637" s="4" t="str">
        <v/>
      </c>
      <c r="I12637" s="4" t="str">
        <v/>
      </c>
    </row>
    <row r="12638" spans="5:9" ht="16.5" hidden="1">
      <c r="E12638" s="4" t="str">
        <v/>
      </c>
      <c r="F12638" s="102" t="str">
        <f ca="1">IFERROR(__xludf.DUMMYFUNCTION("IMPORTRANGE(H12638,""IDENTITAS UNIT!D9"")"),"#N/A")</f>
        <v>#N/A</v>
      </c>
      <c r="H12638" s="4" t="str">
        <v/>
      </c>
      <c r="I12638" s="4" t="str">
        <v/>
      </c>
    </row>
    <row r="12639" spans="5:9" ht="16.5" hidden="1">
      <c r="E12639" s="4" t="str">
        <v/>
      </c>
      <c r="F12639" s="102" t="str">
        <f ca="1">IFERROR(__xludf.DUMMYFUNCTION("IMPORTRANGE(H12639,""IDENTITAS UNIT!D9"")"),"#N/A")</f>
        <v>#N/A</v>
      </c>
      <c r="H12639" s="4" t="str">
        <v/>
      </c>
      <c r="I12639" s="4" t="str">
        <v/>
      </c>
    </row>
    <row r="12640" spans="5:9" ht="16.5" hidden="1">
      <c r="E12640" s="4" t="str">
        <v/>
      </c>
      <c r="F12640" s="102" t="str">
        <f ca="1">IFERROR(__xludf.DUMMYFUNCTION("IMPORTRANGE(H12640,""IDENTITAS UNIT!D9"")"),"#N/A")</f>
        <v>#N/A</v>
      </c>
      <c r="H12640" s="4" t="str">
        <v/>
      </c>
      <c r="I12640" s="4" t="str">
        <v/>
      </c>
    </row>
    <row r="12641" spans="5:9" ht="16.5" hidden="1">
      <c r="E12641" s="4" t="str">
        <v/>
      </c>
      <c r="F12641" s="102" t="str">
        <f ca="1">IFERROR(__xludf.DUMMYFUNCTION("IMPORTRANGE(H12641,""IDENTITAS UNIT!D9"")"),"#N/A")</f>
        <v>#N/A</v>
      </c>
      <c r="H12641" s="4" t="str">
        <v/>
      </c>
      <c r="I12641" s="4" t="str">
        <v/>
      </c>
    </row>
    <row r="12642" spans="5:9" ht="16.5" hidden="1">
      <c r="E12642" s="4" t="str">
        <v/>
      </c>
      <c r="F12642" s="102" t="str">
        <f ca="1">IFERROR(__xludf.DUMMYFUNCTION("IMPORTRANGE(H12642,""IDENTITAS UNIT!D9"")"),"#N/A")</f>
        <v>#N/A</v>
      </c>
      <c r="H12642" s="4" t="str">
        <v/>
      </c>
      <c r="I12642" s="4" t="str">
        <v/>
      </c>
    </row>
    <row r="12643" spans="5:9" ht="16.5" hidden="1">
      <c r="E12643" s="4" t="str">
        <v/>
      </c>
      <c r="F12643" s="102" t="str">
        <f ca="1">IFERROR(__xludf.DUMMYFUNCTION("IMPORTRANGE(H12643,""IDENTITAS UNIT!D9"")"),"#N/A")</f>
        <v>#N/A</v>
      </c>
      <c r="H12643" s="4" t="str">
        <v/>
      </c>
      <c r="I12643" s="4" t="str">
        <v/>
      </c>
    </row>
    <row r="12644" spans="5:9" ht="16.5" hidden="1">
      <c r="E12644" s="4" t="str">
        <v/>
      </c>
      <c r="F12644" s="102" t="str">
        <f ca="1">IFERROR(__xludf.DUMMYFUNCTION("IMPORTRANGE(H12644,""IDENTITAS UNIT!D9"")"),"#N/A")</f>
        <v>#N/A</v>
      </c>
      <c r="H12644" s="4" t="str">
        <v/>
      </c>
      <c r="I12644" s="4" t="str">
        <v/>
      </c>
    </row>
    <row r="12645" spans="5:9" ht="16.5" hidden="1">
      <c r="E12645" s="4" t="str">
        <v/>
      </c>
      <c r="F12645" s="102" t="str">
        <f ca="1">IFERROR(__xludf.DUMMYFUNCTION("IMPORTRANGE(H12645,""IDENTITAS UNIT!D9"")"),"#N/A")</f>
        <v>#N/A</v>
      </c>
      <c r="H12645" s="4" t="str">
        <v/>
      </c>
      <c r="I12645" s="4" t="str">
        <v/>
      </c>
    </row>
    <row r="12646" spans="5:9" ht="16.5" hidden="1">
      <c r="E12646" s="4" t="str">
        <v/>
      </c>
      <c r="F12646" s="102" t="str">
        <f ca="1">IFERROR(__xludf.DUMMYFUNCTION("IMPORTRANGE(H12646,""IDENTITAS UNIT!D9"")"),"#N/A")</f>
        <v>#N/A</v>
      </c>
      <c r="H12646" s="4" t="str">
        <v/>
      </c>
      <c r="I12646" s="4" t="str">
        <v/>
      </c>
    </row>
    <row r="12647" spans="5:9" ht="16.5" hidden="1">
      <c r="E12647" s="4" t="str">
        <v/>
      </c>
      <c r="F12647" s="102" t="str">
        <f ca="1">IFERROR(__xludf.DUMMYFUNCTION("IMPORTRANGE(H12647,""IDENTITAS UNIT!D9"")"),"#N/A")</f>
        <v>#N/A</v>
      </c>
      <c r="H12647" s="4" t="str">
        <v/>
      </c>
      <c r="I12647" s="4" t="str">
        <v/>
      </c>
    </row>
    <row r="12648" spans="5:9" ht="16.5" hidden="1">
      <c r="E12648" s="4" t="str">
        <v/>
      </c>
      <c r="F12648" s="102" t="str">
        <f ca="1">IFERROR(__xludf.DUMMYFUNCTION("IMPORTRANGE(H12648,""IDENTITAS UNIT!D9"")"),"#N/A")</f>
        <v>#N/A</v>
      </c>
      <c r="H12648" s="4" t="str">
        <v/>
      </c>
      <c r="I12648" s="4" t="str">
        <v/>
      </c>
    </row>
    <row r="12649" spans="5:9" ht="16.5" hidden="1">
      <c r="E12649" s="4" t="str">
        <v/>
      </c>
      <c r="F12649" s="102" t="str">
        <f ca="1">IFERROR(__xludf.DUMMYFUNCTION("IMPORTRANGE(H12649,""IDENTITAS UNIT!D9"")"),"#N/A")</f>
        <v>#N/A</v>
      </c>
      <c r="H12649" s="4" t="str">
        <v/>
      </c>
      <c r="I12649" s="4" t="str">
        <v/>
      </c>
    </row>
    <row r="12650" spans="5:9" ht="16.5" hidden="1">
      <c r="E12650" s="4" t="str">
        <v/>
      </c>
      <c r="F12650" s="102" t="str">
        <f ca="1">IFERROR(__xludf.DUMMYFUNCTION("IMPORTRANGE(H12650,""IDENTITAS UNIT!D9"")"),"#N/A")</f>
        <v>#N/A</v>
      </c>
      <c r="H12650" s="4" t="str">
        <v/>
      </c>
      <c r="I12650" s="4" t="str">
        <v/>
      </c>
    </row>
    <row r="12651" spans="5:9" ht="16.5" hidden="1">
      <c r="E12651" s="4" t="str">
        <v/>
      </c>
      <c r="F12651" s="102" t="str">
        <f ca="1">IFERROR(__xludf.DUMMYFUNCTION("IMPORTRANGE(H12651,""IDENTITAS UNIT!D9"")"),"#N/A")</f>
        <v>#N/A</v>
      </c>
      <c r="H12651" s="4" t="str">
        <v/>
      </c>
      <c r="I12651" s="4" t="str">
        <v/>
      </c>
    </row>
    <row r="12652" spans="5:9" ht="16.5" hidden="1">
      <c r="E12652" s="4" t="str">
        <v/>
      </c>
      <c r="F12652" s="102" t="str">
        <f ca="1">IFERROR(__xludf.DUMMYFUNCTION("IMPORTRANGE(H12652,""IDENTITAS UNIT!D9"")"),"#N/A")</f>
        <v>#N/A</v>
      </c>
      <c r="H12652" s="4" t="str">
        <v/>
      </c>
      <c r="I12652" s="4" t="str">
        <v/>
      </c>
    </row>
    <row r="12653" spans="5:9" ht="16.5" hidden="1">
      <c r="E12653" s="4" t="str">
        <v/>
      </c>
      <c r="F12653" s="102" t="str">
        <f ca="1">IFERROR(__xludf.DUMMYFUNCTION("IMPORTRANGE(H12653,""IDENTITAS UNIT!D9"")"),"#N/A")</f>
        <v>#N/A</v>
      </c>
      <c r="H12653" s="4" t="str">
        <v/>
      </c>
      <c r="I12653" s="4" t="str">
        <v/>
      </c>
    </row>
    <row r="12654" spans="5:9" ht="16.5" hidden="1">
      <c r="E12654" s="4" t="str">
        <v/>
      </c>
      <c r="F12654" s="102" t="str">
        <f ca="1">IFERROR(__xludf.DUMMYFUNCTION("IMPORTRANGE(H12654,""IDENTITAS UNIT!D9"")"),"#N/A")</f>
        <v>#N/A</v>
      </c>
      <c r="H12654" s="4" t="str">
        <v/>
      </c>
      <c r="I12654" s="4" t="str">
        <v/>
      </c>
    </row>
    <row r="12655" spans="5:9" ht="16.5" hidden="1">
      <c r="E12655" s="4" t="str">
        <v/>
      </c>
      <c r="F12655" s="102" t="str">
        <f ca="1">IFERROR(__xludf.DUMMYFUNCTION("IMPORTRANGE(H12655,""IDENTITAS UNIT!D9"")"),"#N/A")</f>
        <v>#N/A</v>
      </c>
      <c r="H12655" s="4" t="str">
        <v/>
      </c>
      <c r="I12655" s="4" t="str">
        <v/>
      </c>
    </row>
    <row r="12656" spans="5:9" ht="16.5" hidden="1">
      <c r="E12656" s="4" t="str">
        <v/>
      </c>
      <c r="F12656" s="102" t="str">
        <f ca="1">IFERROR(__xludf.DUMMYFUNCTION("IMPORTRANGE(H12656,""IDENTITAS UNIT!D9"")"),"#N/A")</f>
        <v>#N/A</v>
      </c>
      <c r="H12656" s="4" t="str">
        <v/>
      </c>
      <c r="I12656" s="4" t="str">
        <v/>
      </c>
    </row>
    <row r="12657" spans="5:9" ht="16.5" hidden="1">
      <c r="E12657" s="4" t="str">
        <v/>
      </c>
      <c r="F12657" s="102" t="str">
        <f ca="1">IFERROR(__xludf.DUMMYFUNCTION("IMPORTRANGE(H12657,""IDENTITAS UNIT!D9"")"),"#N/A")</f>
        <v>#N/A</v>
      </c>
      <c r="H12657" s="4" t="str">
        <v/>
      </c>
      <c r="I12657" s="4" t="str">
        <v/>
      </c>
    </row>
    <row r="12658" spans="5:9" ht="16.5" hidden="1">
      <c r="E12658" s="4" t="str">
        <v/>
      </c>
      <c r="F12658" s="102" t="str">
        <f ca="1">IFERROR(__xludf.DUMMYFUNCTION("IMPORTRANGE(H12658,""IDENTITAS UNIT!D9"")"),"#N/A")</f>
        <v>#N/A</v>
      </c>
      <c r="H12658" s="4" t="str">
        <v/>
      </c>
      <c r="I12658" s="4" t="str">
        <v/>
      </c>
    </row>
    <row r="12659" spans="5:9" ht="16.5" hidden="1">
      <c r="E12659" s="4" t="str">
        <v/>
      </c>
      <c r="F12659" s="102" t="str">
        <f ca="1">IFERROR(__xludf.DUMMYFUNCTION("IMPORTRANGE(H12659,""IDENTITAS UNIT!D9"")"),"#N/A")</f>
        <v>#N/A</v>
      </c>
      <c r="H12659" s="4" t="str">
        <v/>
      </c>
      <c r="I12659" s="4" t="str">
        <v/>
      </c>
    </row>
    <row r="12660" spans="5:9" ht="16.5" hidden="1">
      <c r="E12660" s="4" t="str">
        <v/>
      </c>
      <c r="F12660" s="102" t="str">
        <f ca="1">IFERROR(__xludf.DUMMYFUNCTION("IMPORTRANGE(H12660,""IDENTITAS UNIT!D9"")"),"#N/A")</f>
        <v>#N/A</v>
      </c>
      <c r="H12660" s="4" t="str">
        <v/>
      </c>
      <c r="I12660" s="4" t="str">
        <v/>
      </c>
    </row>
    <row r="12661" spans="5:9" ht="16.5" hidden="1">
      <c r="E12661" s="4" t="str">
        <v/>
      </c>
      <c r="F12661" s="102" t="str">
        <f ca="1">IFERROR(__xludf.DUMMYFUNCTION("IMPORTRANGE(H12661,""IDENTITAS UNIT!D9"")"),"#N/A")</f>
        <v>#N/A</v>
      </c>
      <c r="H12661" s="4" t="str">
        <v/>
      </c>
      <c r="I12661" s="4" t="str">
        <v/>
      </c>
    </row>
    <row r="12662" spans="5:9" ht="16.5" hidden="1">
      <c r="E12662" s="4" t="str">
        <v/>
      </c>
      <c r="F12662" s="102" t="str">
        <f ca="1">IFERROR(__xludf.DUMMYFUNCTION("IMPORTRANGE(H12662,""IDENTITAS UNIT!D9"")"),"#N/A")</f>
        <v>#N/A</v>
      </c>
      <c r="H12662" s="4" t="str">
        <v/>
      </c>
      <c r="I12662" s="4" t="str">
        <v/>
      </c>
    </row>
    <row r="12663" spans="5:9" ht="16.5" hidden="1">
      <c r="E12663" s="4" t="str">
        <v/>
      </c>
      <c r="F12663" s="102" t="str">
        <f ca="1">IFERROR(__xludf.DUMMYFUNCTION("IMPORTRANGE(H12663,""IDENTITAS UNIT!D9"")"),"#N/A")</f>
        <v>#N/A</v>
      </c>
      <c r="H12663" s="4" t="str">
        <v/>
      </c>
      <c r="I12663" s="4" t="str">
        <v/>
      </c>
    </row>
    <row r="12664" spans="5:9" ht="16.5" hidden="1">
      <c r="E12664" s="4" t="str">
        <v/>
      </c>
      <c r="F12664" s="102" t="str">
        <f ca="1">IFERROR(__xludf.DUMMYFUNCTION("IMPORTRANGE(H12664,""IDENTITAS UNIT!D9"")"),"#N/A")</f>
        <v>#N/A</v>
      </c>
      <c r="H12664" s="4" t="str">
        <v/>
      </c>
      <c r="I12664" s="4" t="str">
        <v/>
      </c>
    </row>
    <row r="12665" spans="5:9" ht="16.5" hidden="1">
      <c r="E12665" s="4" t="str">
        <v/>
      </c>
      <c r="F12665" s="102" t="str">
        <f ca="1">IFERROR(__xludf.DUMMYFUNCTION("IMPORTRANGE(H12665,""IDENTITAS UNIT!D9"")"),"#N/A")</f>
        <v>#N/A</v>
      </c>
      <c r="H12665" s="4" t="str">
        <v/>
      </c>
      <c r="I12665" s="4" t="str">
        <v/>
      </c>
    </row>
    <row r="12666" spans="5:9" ht="16.5" hidden="1">
      <c r="E12666" s="4" t="str">
        <v/>
      </c>
      <c r="F12666" s="102" t="str">
        <f ca="1">IFERROR(__xludf.DUMMYFUNCTION("IMPORTRANGE(H12666,""IDENTITAS UNIT!D9"")"),"#N/A")</f>
        <v>#N/A</v>
      </c>
      <c r="H12666" s="4" t="str">
        <v/>
      </c>
      <c r="I12666" s="4" t="str">
        <v/>
      </c>
    </row>
    <row r="12667" spans="5:9" ht="16.5" hidden="1">
      <c r="E12667" s="4" t="str">
        <v/>
      </c>
      <c r="F12667" s="102" t="str">
        <f ca="1">IFERROR(__xludf.DUMMYFUNCTION("IMPORTRANGE(H12667,""IDENTITAS UNIT!D9"")"),"#N/A")</f>
        <v>#N/A</v>
      </c>
      <c r="H12667" s="4" t="str">
        <v/>
      </c>
      <c r="I12667" s="4" t="str">
        <v/>
      </c>
    </row>
    <row r="12668" spans="5:9" ht="16.5" hidden="1">
      <c r="E12668" s="4" t="str">
        <v/>
      </c>
      <c r="F12668" s="102" t="str">
        <f ca="1">IFERROR(__xludf.DUMMYFUNCTION("IMPORTRANGE(H12668,""IDENTITAS UNIT!D9"")"),"#N/A")</f>
        <v>#N/A</v>
      </c>
      <c r="H12668" s="4" t="str">
        <v/>
      </c>
      <c r="I12668" s="4" t="str">
        <v/>
      </c>
    </row>
    <row r="12669" spans="5:9" ht="16.5" hidden="1">
      <c r="E12669" s="4" t="str">
        <v/>
      </c>
      <c r="F12669" s="102" t="str">
        <f ca="1">IFERROR(__xludf.DUMMYFUNCTION("IMPORTRANGE(H12669,""IDENTITAS UNIT!D9"")"),"#N/A")</f>
        <v>#N/A</v>
      </c>
      <c r="H12669" s="4" t="str">
        <v/>
      </c>
      <c r="I12669" s="4" t="str">
        <v/>
      </c>
    </row>
    <row r="12670" spans="5:9" ht="16.5" hidden="1">
      <c r="E12670" s="4" t="str">
        <v/>
      </c>
      <c r="F12670" s="102" t="str">
        <f ca="1">IFERROR(__xludf.DUMMYFUNCTION("IMPORTRANGE(H12670,""IDENTITAS UNIT!D9"")"),"#N/A")</f>
        <v>#N/A</v>
      </c>
      <c r="H12670" s="4" t="str">
        <v/>
      </c>
      <c r="I12670" s="4" t="str">
        <v/>
      </c>
    </row>
    <row r="12671" spans="5:9" ht="16.5" hidden="1">
      <c r="E12671" s="4" t="str">
        <v/>
      </c>
      <c r="F12671" s="102" t="str">
        <f ca="1">IFERROR(__xludf.DUMMYFUNCTION("IMPORTRANGE(H12671,""IDENTITAS UNIT!D9"")"),"#N/A")</f>
        <v>#N/A</v>
      </c>
      <c r="H12671" s="4" t="str">
        <v/>
      </c>
      <c r="I12671" s="4" t="str">
        <v/>
      </c>
    </row>
    <row r="12672" spans="5:9" ht="16.5" hidden="1">
      <c r="E12672" s="4" t="str">
        <v/>
      </c>
      <c r="F12672" s="102" t="str">
        <f ca="1">IFERROR(__xludf.DUMMYFUNCTION("IMPORTRANGE(H12672,""IDENTITAS UNIT!D9"")"),"#N/A")</f>
        <v>#N/A</v>
      </c>
      <c r="H12672" s="4" t="str">
        <v/>
      </c>
      <c r="I12672" s="4" t="str">
        <v/>
      </c>
    </row>
    <row r="12673" spans="5:9" ht="16.5" hidden="1">
      <c r="E12673" s="4" t="str">
        <v/>
      </c>
      <c r="F12673" s="102" t="str">
        <f ca="1">IFERROR(__xludf.DUMMYFUNCTION("IMPORTRANGE(H12673,""IDENTITAS UNIT!D9"")"),"#N/A")</f>
        <v>#N/A</v>
      </c>
      <c r="H12673" s="4" t="str">
        <v/>
      </c>
      <c r="I12673" s="4" t="str">
        <v/>
      </c>
    </row>
    <row r="12674" spans="5:9" ht="16.5" hidden="1">
      <c r="E12674" s="4" t="str">
        <v/>
      </c>
      <c r="F12674" s="102" t="str">
        <f ca="1">IFERROR(__xludf.DUMMYFUNCTION("IMPORTRANGE(H12674,""IDENTITAS UNIT!D9"")"),"#N/A")</f>
        <v>#N/A</v>
      </c>
      <c r="H12674" s="4" t="str">
        <v/>
      </c>
      <c r="I12674" s="4" t="str">
        <v/>
      </c>
    </row>
    <row r="12675" spans="5:9" ht="16.5" hidden="1">
      <c r="E12675" s="4" t="str">
        <v/>
      </c>
      <c r="F12675" s="102" t="str">
        <f ca="1">IFERROR(__xludf.DUMMYFUNCTION("IMPORTRANGE(H12675,""IDENTITAS UNIT!D9"")"),"#N/A")</f>
        <v>#N/A</v>
      </c>
      <c r="H12675" s="4" t="str">
        <v/>
      </c>
      <c r="I12675" s="4" t="str">
        <v/>
      </c>
    </row>
    <row r="12676" spans="5:9" ht="16.5" hidden="1">
      <c r="E12676" s="4" t="str">
        <v/>
      </c>
      <c r="F12676" s="102" t="str">
        <f ca="1">IFERROR(__xludf.DUMMYFUNCTION("IMPORTRANGE(H12676,""IDENTITAS UNIT!D9"")"),"#N/A")</f>
        <v>#N/A</v>
      </c>
      <c r="H12676" s="4" t="str">
        <v/>
      </c>
      <c r="I12676" s="4" t="str">
        <v/>
      </c>
    </row>
    <row r="12677" spans="5:9" ht="16.5" hidden="1">
      <c r="E12677" s="4" t="str">
        <v/>
      </c>
      <c r="F12677" s="102" t="str">
        <f ca="1">IFERROR(__xludf.DUMMYFUNCTION("IMPORTRANGE(H12677,""IDENTITAS UNIT!D9"")"),"#N/A")</f>
        <v>#N/A</v>
      </c>
      <c r="H12677" s="4" t="str">
        <v/>
      </c>
      <c r="I12677" s="4" t="str">
        <v/>
      </c>
    </row>
    <row r="12678" spans="5:9" ht="16.5" hidden="1">
      <c r="E12678" s="4" t="str">
        <v/>
      </c>
      <c r="F12678" s="102" t="str">
        <f ca="1">IFERROR(__xludf.DUMMYFUNCTION("IMPORTRANGE(H12678,""IDENTITAS UNIT!D9"")"),"#N/A")</f>
        <v>#N/A</v>
      </c>
      <c r="H12678" s="4" t="str">
        <v/>
      </c>
      <c r="I12678" s="4" t="str">
        <v/>
      </c>
    </row>
    <row r="12679" spans="5:9" ht="16.5" hidden="1">
      <c r="E12679" s="4" t="str">
        <v/>
      </c>
      <c r="F12679" s="102" t="str">
        <f ca="1">IFERROR(__xludf.DUMMYFUNCTION("IMPORTRANGE(H12679,""IDENTITAS UNIT!D9"")"),"#N/A")</f>
        <v>#N/A</v>
      </c>
      <c r="H12679" s="4" t="str">
        <v/>
      </c>
      <c r="I12679" s="4" t="str">
        <v/>
      </c>
    </row>
    <row r="12680" spans="5:9" ht="16.5" hidden="1">
      <c r="E12680" s="4" t="str">
        <v/>
      </c>
      <c r="F12680" s="102" t="str">
        <f ca="1">IFERROR(__xludf.DUMMYFUNCTION("IMPORTRANGE(H12680,""IDENTITAS UNIT!D9"")"),"#N/A")</f>
        <v>#N/A</v>
      </c>
      <c r="H12680" s="4" t="str">
        <v/>
      </c>
      <c r="I12680" s="4" t="str">
        <v/>
      </c>
    </row>
    <row r="12681" spans="5:9" ht="16.5" hidden="1">
      <c r="E12681" s="4" t="str">
        <v/>
      </c>
      <c r="F12681" s="102" t="str">
        <f ca="1">IFERROR(__xludf.DUMMYFUNCTION("IMPORTRANGE(H12681,""IDENTITAS UNIT!D9"")"),"#N/A")</f>
        <v>#N/A</v>
      </c>
      <c r="H12681" s="4" t="str">
        <v/>
      </c>
      <c r="I12681" s="4" t="str">
        <v/>
      </c>
    </row>
    <row r="12682" spans="5:9" ht="16.5" hidden="1">
      <c r="E12682" s="4" t="str">
        <v/>
      </c>
      <c r="F12682" s="102" t="str">
        <f ca="1">IFERROR(__xludf.DUMMYFUNCTION("IMPORTRANGE(H12682,""IDENTITAS UNIT!D9"")"),"#N/A")</f>
        <v>#N/A</v>
      </c>
      <c r="H12682" s="4" t="str">
        <v/>
      </c>
      <c r="I12682" s="4" t="str">
        <v/>
      </c>
    </row>
    <row r="12683" spans="5:9" ht="16.5" hidden="1">
      <c r="E12683" s="4" t="str">
        <v/>
      </c>
      <c r="F12683" s="102" t="str">
        <f ca="1">IFERROR(__xludf.DUMMYFUNCTION("IMPORTRANGE(H12683,""IDENTITAS UNIT!D9"")"),"#N/A")</f>
        <v>#N/A</v>
      </c>
      <c r="H12683" s="4" t="str">
        <v/>
      </c>
      <c r="I12683" s="4" t="str">
        <v/>
      </c>
    </row>
    <row r="12684" spans="5:9" ht="16.5" hidden="1">
      <c r="E12684" s="4" t="str">
        <v/>
      </c>
      <c r="F12684" s="102" t="str">
        <f ca="1">IFERROR(__xludf.DUMMYFUNCTION("IMPORTRANGE(H12684,""IDENTITAS UNIT!D9"")"),"#N/A")</f>
        <v>#N/A</v>
      </c>
      <c r="H12684" s="4" t="str">
        <v/>
      </c>
      <c r="I12684" s="4" t="str">
        <v/>
      </c>
    </row>
    <row r="12685" spans="5:9" ht="16.5" hidden="1">
      <c r="E12685" s="4" t="str">
        <v/>
      </c>
      <c r="F12685" s="102" t="str">
        <f ca="1">IFERROR(__xludf.DUMMYFUNCTION("IMPORTRANGE(H12685,""IDENTITAS UNIT!D9"")"),"#N/A")</f>
        <v>#N/A</v>
      </c>
      <c r="H12685" s="4" t="str">
        <v/>
      </c>
      <c r="I12685" s="4" t="str">
        <v/>
      </c>
    </row>
    <row r="12686" spans="5:9" ht="16.5" hidden="1">
      <c r="E12686" s="4" t="str">
        <v/>
      </c>
      <c r="F12686" s="102" t="str">
        <f ca="1">IFERROR(__xludf.DUMMYFUNCTION("IMPORTRANGE(H12686,""IDENTITAS UNIT!D9"")"),"#N/A")</f>
        <v>#N/A</v>
      </c>
      <c r="H12686" s="4" t="str">
        <v/>
      </c>
      <c r="I12686" s="4" t="str">
        <v/>
      </c>
    </row>
    <row r="12687" spans="5:9" ht="16.5" hidden="1">
      <c r="E12687" s="4" t="str">
        <v/>
      </c>
      <c r="F12687" s="102" t="str">
        <f ca="1">IFERROR(__xludf.DUMMYFUNCTION("IMPORTRANGE(H12687,""IDENTITAS UNIT!D9"")"),"#N/A")</f>
        <v>#N/A</v>
      </c>
      <c r="H12687" s="4" t="str">
        <v/>
      </c>
      <c r="I12687" s="4" t="str">
        <v/>
      </c>
    </row>
    <row r="12688" spans="5:9" ht="16.5" hidden="1">
      <c r="E12688" s="4" t="str">
        <v/>
      </c>
      <c r="F12688" s="102" t="str">
        <f ca="1">IFERROR(__xludf.DUMMYFUNCTION("IMPORTRANGE(H12688,""IDENTITAS UNIT!D9"")"),"#N/A")</f>
        <v>#N/A</v>
      </c>
      <c r="H12688" s="4" t="str">
        <v/>
      </c>
      <c r="I12688" s="4" t="str">
        <v/>
      </c>
    </row>
    <row r="12689" spans="5:9" ht="16.5" hidden="1">
      <c r="E12689" s="4" t="str">
        <v/>
      </c>
      <c r="F12689" s="102" t="str">
        <f ca="1">IFERROR(__xludf.DUMMYFUNCTION("IMPORTRANGE(H12689,""IDENTITAS UNIT!D9"")"),"#N/A")</f>
        <v>#N/A</v>
      </c>
      <c r="H12689" s="4" t="str">
        <v/>
      </c>
      <c r="I12689" s="4" t="str">
        <v/>
      </c>
    </row>
    <row r="12690" spans="5:9" ht="16.5" hidden="1">
      <c r="E12690" s="4" t="str">
        <v/>
      </c>
      <c r="F12690" s="102" t="str">
        <f ca="1">IFERROR(__xludf.DUMMYFUNCTION("IMPORTRANGE(H12690,""IDENTITAS UNIT!D9"")"),"#N/A")</f>
        <v>#N/A</v>
      </c>
      <c r="H12690" s="4" t="str">
        <v/>
      </c>
      <c r="I12690" s="4" t="str">
        <v/>
      </c>
    </row>
    <row r="12691" spans="5:9" ht="16.5" hidden="1">
      <c r="E12691" s="4" t="str">
        <v/>
      </c>
      <c r="F12691" s="102" t="str">
        <f ca="1">IFERROR(__xludf.DUMMYFUNCTION("IMPORTRANGE(H12691,""IDENTITAS UNIT!D9"")"),"#N/A")</f>
        <v>#N/A</v>
      </c>
      <c r="H12691" s="4" t="str">
        <v/>
      </c>
      <c r="I12691" s="4" t="str">
        <v/>
      </c>
    </row>
    <row r="12692" spans="5:9" ht="16.5" hidden="1">
      <c r="E12692" s="4" t="str">
        <v/>
      </c>
      <c r="F12692" s="102" t="str">
        <f ca="1">IFERROR(__xludf.DUMMYFUNCTION("IMPORTRANGE(H12692,""IDENTITAS UNIT!D9"")"),"#N/A")</f>
        <v>#N/A</v>
      </c>
      <c r="H12692" s="4" t="str">
        <v/>
      </c>
      <c r="I12692" s="4" t="str">
        <v/>
      </c>
    </row>
    <row r="12693" spans="5:9" ht="16.5" hidden="1">
      <c r="E12693" s="4" t="str">
        <v/>
      </c>
      <c r="F12693" s="102" t="str">
        <f ca="1">IFERROR(__xludf.DUMMYFUNCTION("IMPORTRANGE(H12693,""IDENTITAS UNIT!D9"")"),"#N/A")</f>
        <v>#N/A</v>
      </c>
      <c r="H12693" s="4" t="str">
        <v/>
      </c>
      <c r="I12693" s="4" t="str">
        <v/>
      </c>
    </row>
    <row r="12694" spans="5:9" ht="16.5" hidden="1">
      <c r="E12694" s="4" t="str">
        <v/>
      </c>
      <c r="F12694" s="102" t="str">
        <f ca="1">IFERROR(__xludf.DUMMYFUNCTION("IMPORTRANGE(H12694,""IDENTITAS UNIT!D9"")"),"#N/A")</f>
        <v>#N/A</v>
      </c>
      <c r="H12694" s="4" t="str">
        <v/>
      </c>
      <c r="I12694" s="4" t="str">
        <v/>
      </c>
    </row>
    <row r="12695" spans="5:9" ht="16.5" hidden="1">
      <c r="E12695" s="4" t="str">
        <v/>
      </c>
      <c r="F12695" s="102" t="str">
        <f ca="1">IFERROR(__xludf.DUMMYFUNCTION("IMPORTRANGE(H12695,""IDENTITAS UNIT!D9"")"),"#N/A")</f>
        <v>#N/A</v>
      </c>
      <c r="H12695" s="4" t="str">
        <v/>
      </c>
      <c r="I12695" s="4" t="str">
        <v/>
      </c>
    </row>
    <row r="12696" spans="5:9" ht="16.5" hidden="1">
      <c r="E12696" s="4" t="str">
        <v/>
      </c>
      <c r="F12696" s="102" t="str">
        <f ca="1">IFERROR(__xludf.DUMMYFUNCTION("IMPORTRANGE(H12696,""IDENTITAS UNIT!D9"")"),"#N/A")</f>
        <v>#N/A</v>
      </c>
      <c r="H12696" s="4" t="str">
        <v/>
      </c>
      <c r="I12696" s="4" t="str">
        <v/>
      </c>
    </row>
    <row r="12697" spans="5:9" ht="16.5" hidden="1">
      <c r="E12697" s="4" t="str">
        <v/>
      </c>
      <c r="F12697" s="102" t="str">
        <f ca="1">IFERROR(__xludf.DUMMYFUNCTION("IMPORTRANGE(H12697,""IDENTITAS UNIT!D9"")"),"#N/A")</f>
        <v>#N/A</v>
      </c>
      <c r="H12697" s="4" t="str">
        <v/>
      </c>
      <c r="I12697" s="4" t="str">
        <v/>
      </c>
    </row>
    <row r="12698" spans="5:9" ht="16.5" hidden="1">
      <c r="E12698" s="4" t="str">
        <v/>
      </c>
      <c r="F12698" s="102" t="str">
        <f ca="1">IFERROR(__xludf.DUMMYFUNCTION("IMPORTRANGE(H12698,""IDENTITAS UNIT!D9"")"),"#N/A")</f>
        <v>#N/A</v>
      </c>
      <c r="H12698" s="4" t="str">
        <v/>
      </c>
      <c r="I12698" s="4" t="str">
        <v/>
      </c>
    </row>
    <row r="12699" spans="5:9" ht="16.5" hidden="1">
      <c r="E12699" s="4" t="str">
        <v/>
      </c>
      <c r="F12699" s="102" t="str">
        <f ca="1">IFERROR(__xludf.DUMMYFUNCTION("IMPORTRANGE(H12699,""IDENTITAS UNIT!D9"")"),"#N/A")</f>
        <v>#N/A</v>
      </c>
      <c r="H12699" s="4" t="str">
        <v/>
      </c>
      <c r="I12699" s="4" t="str">
        <v/>
      </c>
    </row>
    <row r="12700" spans="5:9" ht="16.5" hidden="1">
      <c r="E12700" s="4" t="str">
        <v/>
      </c>
      <c r="F12700" s="102" t="str">
        <f ca="1">IFERROR(__xludf.DUMMYFUNCTION("IMPORTRANGE(H12700,""IDENTITAS UNIT!D9"")"),"#N/A")</f>
        <v>#N/A</v>
      </c>
      <c r="H12700" s="4" t="str">
        <v/>
      </c>
      <c r="I12700" s="4" t="str">
        <v/>
      </c>
    </row>
    <row r="12701" spans="5:9" ht="16.5" hidden="1">
      <c r="E12701" s="4" t="str">
        <v/>
      </c>
      <c r="F12701" s="102" t="str">
        <f ca="1">IFERROR(__xludf.DUMMYFUNCTION("IMPORTRANGE(H12701,""IDENTITAS UNIT!D9"")"),"#N/A")</f>
        <v>#N/A</v>
      </c>
      <c r="H12701" s="4" t="str">
        <v/>
      </c>
      <c r="I12701" s="4" t="str">
        <v/>
      </c>
    </row>
    <row r="12702" spans="5:9" ht="16.5" hidden="1">
      <c r="E12702" s="4" t="str">
        <v/>
      </c>
      <c r="F12702" s="102" t="str">
        <f ca="1">IFERROR(__xludf.DUMMYFUNCTION("IMPORTRANGE(H12702,""IDENTITAS UNIT!D9"")"),"#N/A")</f>
        <v>#N/A</v>
      </c>
      <c r="H12702" s="4" t="str">
        <v/>
      </c>
      <c r="I12702" s="4" t="str">
        <v/>
      </c>
    </row>
    <row r="12703" spans="5:9" ht="16.5" hidden="1">
      <c r="E12703" s="4" t="str">
        <v/>
      </c>
      <c r="F12703" s="102" t="str">
        <f ca="1">IFERROR(__xludf.DUMMYFUNCTION("IMPORTRANGE(H12703,""IDENTITAS UNIT!D9"")"),"#N/A")</f>
        <v>#N/A</v>
      </c>
      <c r="H12703" s="4" t="str">
        <v/>
      </c>
      <c r="I12703" s="4" t="str">
        <v/>
      </c>
    </row>
    <row r="12704" spans="5:9" ht="16.5" hidden="1">
      <c r="E12704" s="4" t="str">
        <v/>
      </c>
      <c r="F12704" s="102" t="str">
        <f ca="1">IFERROR(__xludf.DUMMYFUNCTION("IMPORTRANGE(H12704,""IDENTITAS UNIT!D9"")"),"#N/A")</f>
        <v>#N/A</v>
      </c>
      <c r="H12704" s="4" t="str">
        <v/>
      </c>
      <c r="I12704" s="4" t="str">
        <v/>
      </c>
    </row>
    <row r="12705" spans="5:9" ht="16.5" hidden="1">
      <c r="E12705" s="4" t="str">
        <v/>
      </c>
      <c r="F12705" s="102" t="str">
        <f ca="1">IFERROR(__xludf.DUMMYFUNCTION("IMPORTRANGE(H12705,""IDENTITAS UNIT!D9"")"),"#N/A")</f>
        <v>#N/A</v>
      </c>
      <c r="H12705" s="4" t="str">
        <v/>
      </c>
      <c r="I12705" s="4" t="str">
        <v/>
      </c>
    </row>
    <row r="12706" spans="5:9" ht="16.5" hidden="1">
      <c r="E12706" s="4" t="str">
        <v/>
      </c>
      <c r="F12706" s="102" t="str">
        <f ca="1">IFERROR(__xludf.DUMMYFUNCTION("IMPORTRANGE(H12706,""IDENTITAS UNIT!D9"")"),"#N/A")</f>
        <v>#N/A</v>
      </c>
      <c r="H12706" s="4" t="str">
        <v/>
      </c>
      <c r="I12706" s="4" t="str">
        <v/>
      </c>
    </row>
    <row r="12707" spans="5:9" ht="16.5" hidden="1">
      <c r="E12707" s="4" t="str">
        <v/>
      </c>
      <c r="F12707" s="102" t="str">
        <f ca="1">IFERROR(__xludf.DUMMYFUNCTION("IMPORTRANGE(H12707,""IDENTITAS UNIT!D9"")"),"#N/A")</f>
        <v>#N/A</v>
      </c>
      <c r="H12707" s="4" t="str">
        <v/>
      </c>
      <c r="I12707" s="4" t="str">
        <v/>
      </c>
    </row>
    <row r="12708" spans="5:9" ht="16.5" hidden="1">
      <c r="E12708" s="4" t="str">
        <v/>
      </c>
      <c r="F12708" s="102" t="str">
        <f ca="1">IFERROR(__xludf.DUMMYFUNCTION("IMPORTRANGE(H12708,""IDENTITAS UNIT!D9"")"),"#N/A")</f>
        <v>#N/A</v>
      </c>
      <c r="H12708" s="4" t="str">
        <v/>
      </c>
      <c r="I12708" s="4" t="str">
        <v/>
      </c>
    </row>
    <row r="12709" spans="5:9" ht="16.5" hidden="1">
      <c r="E12709" s="4" t="str">
        <v/>
      </c>
      <c r="F12709" s="102" t="str">
        <f ca="1">IFERROR(__xludf.DUMMYFUNCTION("IMPORTRANGE(H12709,""IDENTITAS UNIT!D9"")"),"#N/A")</f>
        <v>#N/A</v>
      </c>
      <c r="H12709" s="4" t="str">
        <v/>
      </c>
      <c r="I12709" s="4" t="str">
        <v/>
      </c>
    </row>
    <row r="12710" spans="5:9" ht="16.5" hidden="1">
      <c r="E12710" s="4" t="str">
        <v/>
      </c>
      <c r="F12710" s="102" t="str">
        <f ca="1">IFERROR(__xludf.DUMMYFUNCTION("IMPORTRANGE(H12710,""IDENTITAS UNIT!D9"")"),"#N/A")</f>
        <v>#N/A</v>
      </c>
      <c r="H12710" s="4" t="str">
        <v/>
      </c>
      <c r="I12710" s="4" t="str">
        <v/>
      </c>
    </row>
    <row r="12711" spans="5:9" ht="16.5" hidden="1">
      <c r="E12711" s="4" t="str">
        <v/>
      </c>
      <c r="F12711" s="102" t="str">
        <f ca="1">IFERROR(__xludf.DUMMYFUNCTION("IMPORTRANGE(H12711,""IDENTITAS UNIT!D9"")"),"#N/A")</f>
        <v>#N/A</v>
      </c>
      <c r="H12711" s="4" t="str">
        <v/>
      </c>
      <c r="I12711" s="4" t="str">
        <v/>
      </c>
    </row>
    <row r="12712" spans="5:9" ht="16.5" hidden="1">
      <c r="E12712" s="4" t="str">
        <v/>
      </c>
      <c r="F12712" s="102" t="str">
        <f ca="1">IFERROR(__xludf.DUMMYFUNCTION("IMPORTRANGE(H12712,""IDENTITAS UNIT!D9"")"),"#N/A")</f>
        <v>#N/A</v>
      </c>
      <c r="H12712" s="4" t="str">
        <v/>
      </c>
      <c r="I12712" s="4" t="str">
        <v/>
      </c>
    </row>
    <row r="12713" spans="5:9" ht="16.5" hidden="1">
      <c r="E12713" s="4" t="str">
        <v/>
      </c>
      <c r="F12713" s="102" t="str">
        <f ca="1">IFERROR(__xludf.DUMMYFUNCTION("IMPORTRANGE(H12713,""IDENTITAS UNIT!D9"")"),"#N/A")</f>
        <v>#N/A</v>
      </c>
      <c r="H12713" s="4" t="str">
        <v/>
      </c>
      <c r="I12713" s="4" t="str">
        <v/>
      </c>
    </row>
    <row r="12714" spans="5:9" ht="16.5" hidden="1">
      <c r="E12714" s="4" t="str">
        <v/>
      </c>
      <c r="F12714" s="102" t="str">
        <f ca="1">IFERROR(__xludf.DUMMYFUNCTION("IMPORTRANGE(H12714,""IDENTITAS UNIT!D9"")"),"#N/A")</f>
        <v>#N/A</v>
      </c>
      <c r="H12714" s="4" t="str">
        <v/>
      </c>
      <c r="I12714" s="4" t="str">
        <v/>
      </c>
    </row>
    <row r="12715" spans="5:9" ht="16.5" hidden="1">
      <c r="E12715" s="4" t="str">
        <v/>
      </c>
      <c r="F12715" s="102" t="str">
        <f ca="1">IFERROR(__xludf.DUMMYFUNCTION("IMPORTRANGE(H12715,""IDENTITAS UNIT!D9"")"),"#N/A")</f>
        <v>#N/A</v>
      </c>
      <c r="H12715" s="4" t="str">
        <v/>
      </c>
      <c r="I12715" s="4" t="str">
        <v/>
      </c>
    </row>
    <row r="12716" spans="5:9" ht="16.5" hidden="1">
      <c r="E12716" s="4" t="str">
        <v/>
      </c>
      <c r="F12716" s="102" t="str">
        <f ca="1">IFERROR(__xludf.DUMMYFUNCTION("IMPORTRANGE(H12716,""IDENTITAS UNIT!D9"")"),"#N/A")</f>
        <v>#N/A</v>
      </c>
      <c r="H12716" s="4" t="str">
        <v/>
      </c>
      <c r="I12716" s="4" t="str">
        <v/>
      </c>
    </row>
    <row r="12717" spans="5:9" ht="16.5" hidden="1">
      <c r="E12717" s="4" t="str">
        <v/>
      </c>
      <c r="F12717" s="102" t="str">
        <f ca="1">IFERROR(__xludf.DUMMYFUNCTION("IMPORTRANGE(H12717,""IDENTITAS UNIT!D9"")"),"#N/A")</f>
        <v>#N/A</v>
      </c>
      <c r="H12717" s="4" t="str">
        <v/>
      </c>
      <c r="I12717" s="4" t="str">
        <v/>
      </c>
    </row>
    <row r="12718" spans="5:9" ht="16.5" hidden="1">
      <c r="E12718" s="4" t="str">
        <v/>
      </c>
      <c r="F12718" s="102" t="str">
        <f ca="1">IFERROR(__xludf.DUMMYFUNCTION("IMPORTRANGE(H12718,""IDENTITAS UNIT!D9"")"),"#N/A")</f>
        <v>#N/A</v>
      </c>
      <c r="H12718" s="4" t="str">
        <v/>
      </c>
      <c r="I12718" s="4" t="str">
        <v/>
      </c>
    </row>
    <row r="12719" spans="5:9" ht="16.5" hidden="1">
      <c r="E12719" s="4" t="str">
        <v/>
      </c>
      <c r="F12719" s="102" t="str">
        <f ca="1">IFERROR(__xludf.DUMMYFUNCTION("IMPORTRANGE(H12719,""IDENTITAS UNIT!D9"")"),"#N/A")</f>
        <v>#N/A</v>
      </c>
      <c r="H12719" s="4" t="str">
        <v/>
      </c>
      <c r="I12719" s="4" t="str">
        <v/>
      </c>
    </row>
    <row r="12720" spans="5:9" ht="16.5" hidden="1">
      <c r="E12720" s="4" t="str">
        <v/>
      </c>
      <c r="F12720" s="102" t="str">
        <f ca="1">IFERROR(__xludf.DUMMYFUNCTION("IMPORTRANGE(H12720,""IDENTITAS UNIT!D9"")"),"#N/A")</f>
        <v>#N/A</v>
      </c>
      <c r="H12720" s="4" t="str">
        <v/>
      </c>
      <c r="I12720" s="4" t="str">
        <v/>
      </c>
    </row>
    <row r="12721" spans="5:9" ht="16.5" hidden="1">
      <c r="E12721" s="4" t="str">
        <v/>
      </c>
      <c r="F12721" s="102" t="str">
        <f ca="1">IFERROR(__xludf.DUMMYFUNCTION("IMPORTRANGE(H12721,""IDENTITAS UNIT!D9"")"),"#N/A")</f>
        <v>#N/A</v>
      </c>
      <c r="H12721" s="4" t="str">
        <v/>
      </c>
      <c r="I12721" s="4" t="str">
        <v/>
      </c>
    </row>
    <row r="12722" spans="5:9" ht="16.5" hidden="1">
      <c r="E12722" s="4" t="str">
        <v/>
      </c>
      <c r="F12722" s="102" t="str">
        <f ca="1">IFERROR(__xludf.DUMMYFUNCTION("IMPORTRANGE(H12722,""IDENTITAS UNIT!D9"")"),"#N/A")</f>
        <v>#N/A</v>
      </c>
      <c r="H12722" s="4" t="str">
        <v/>
      </c>
      <c r="I12722" s="4" t="str">
        <v/>
      </c>
    </row>
    <row r="12723" spans="5:9" ht="16.5" hidden="1">
      <c r="E12723" s="4" t="str">
        <v/>
      </c>
      <c r="F12723" s="102" t="str">
        <f ca="1">IFERROR(__xludf.DUMMYFUNCTION("IMPORTRANGE(H12723,""IDENTITAS UNIT!D9"")"),"#N/A")</f>
        <v>#N/A</v>
      </c>
      <c r="H12723" s="4" t="str">
        <v/>
      </c>
      <c r="I12723" s="4" t="str">
        <v/>
      </c>
    </row>
    <row r="12724" spans="5:9" ht="16.5" hidden="1">
      <c r="E12724" s="4" t="str">
        <v/>
      </c>
      <c r="F12724" s="102" t="str">
        <f ca="1">IFERROR(__xludf.DUMMYFUNCTION("IMPORTRANGE(H12724,""IDENTITAS UNIT!D9"")"),"#N/A")</f>
        <v>#N/A</v>
      </c>
      <c r="H12724" s="4" t="str">
        <v/>
      </c>
      <c r="I12724" s="4" t="str">
        <v/>
      </c>
    </row>
    <row r="12725" spans="5:9" ht="16.5" hidden="1">
      <c r="E12725" s="4" t="str">
        <v/>
      </c>
      <c r="F12725" s="102" t="str">
        <f ca="1">IFERROR(__xludf.DUMMYFUNCTION("IMPORTRANGE(H12725,""IDENTITAS UNIT!D9"")"),"#N/A")</f>
        <v>#N/A</v>
      </c>
      <c r="H12725" s="4" t="str">
        <v/>
      </c>
      <c r="I12725" s="4" t="str">
        <v/>
      </c>
    </row>
    <row r="12726" spans="5:9" ht="16.5" hidden="1">
      <c r="E12726" s="4" t="str">
        <v/>
      </c>
      <c r="F12726" s="102" t="str">
        <f ca="1">IFERROR(__xludf.DUMMYFUNCTION("IMPORTRANGE(H12726,""IDENTITAS UNIT!D9"")"),"#N/A")</f>
        <v>#N/A</v>
      </c>
      <c r="H12726" s="4" t="str">
        <v/>
      </c>
      <c r="I12726" s="4" t="str">
        <v/>
      </c>
    </row>
    <row r="12727" spans="5:9" ht="16.5" hidden="1">
      <c r="E12727" s="4" t="str">
        <v/>
      </c>
      <c r="F12727" s="102" t="str">
        <f ca="1">IFERROR(__xludf.DUMMYFUNCTION("IMPORTRANGE(H12727,""IDENTITAS UNIT!D9"")"),"#N/A")</f>
        <v>#N/A</v>
      </c>
      <c r="H12727" s="4" t="str">
        <v/>
      </c>
      <c r="I12727" s="4" t="str">
        <v/>
      </c>
    </row>
    <row r="12728" spans="5:9" ht="16.5" hidden="1">
      <c r="E12728" s="4" t="str">
        <v/>
      </c>
      <c r="F12728" s="102" t="str">
        <f ca="1">IFERROR(__xludf.DUMMYFUNCTION("IMPORTRANGE(H12728,""IDENTITAS UNIT!D9"")"),"#N/A")</f>
        <v>#N/A</v>
      </c>
      <c r="H12728" s="4" t="str">
        <v/>
      </c>
      <c r="I12728" s="4" t="str">
        <v/>
      </c>
    </row>
    <row r="12729" spans="5:9" ht="16.5" hidden="1">
      <c r="E12729" s="4" t="str">
        <v/>
      </c>
      <c r="F12729" s="102" t="str">
        <f ca="1">IFERROR(__xludf.DUMMYFUNCTION("IMPORTRANGE(H12729,""IDENTITAS UNIT!D9"")"),"#N/A")</f>
        <v>#N/A</v>
      </c>
      <c r="H12729" s="4" t="str">
        <v/>
      </c>
      <c r="I12729" s="4" t="str">
        <v/>
      </c>
    </row>
    <row r="12730" spans="5:9" ht="16.5" hidden="1">
      <c r="E12730" s="4" t="str">
        <v/>
      </c>
      <c r="F12730" s="102" t="str">
        <f ca="1">IFERROR(__xludf.DUMMYFUNCTION("IMPORTRANGE(H12730,""IDENTITAS UNIT!D9"")"),"#N/A")</f>
        <v>#N/A</v>
      </c>
      <c r="H12730" s="4" t="str">
        <v/>
      </c>
      <c r="I12730" s="4" t="str">
        <v/>
      </c>
    </row>
    <row r="12731" spans="5:9" ht="16.5" hidden="1">
      <c r="E12731" s="4" t="str">
        <v/>
      </c>
      <c r="F12731" s="102" t="str">
        <f ca="1">IFERROR(__xludf.DUMMYFUNCTION("IMPORTRANGE(H12731,""IDENTITAS UNIT!D9"")"),"#N/A")</f>
        <v>#N/A</v>
      </c>
      <c r="H12731" s="4" t="str">
        <v/>
      </c>
      <c r="I12731" s="4" t="str">
        <v/>
      </c>
    </row>
    <row r="12732" spans="5:9" ht="16.5" hidden="1">
      <c r="E12732" s="4" t="str">
        <v/>
      </c>
      <c r="F12732" s="102" t="str">
        <f ca="1">IFERROR(__xludf.DUMMYFUNCTION("IMPORTRANGE(H12732,""IDENTITAS UNIT!D9"")"),"#N/A")</f>
        <v>#N/A</v>
      </c>
      <c r="H12732" s="4" t="str">
        <v/>
      </c>
      <c r="I12732" s="4" t="str">
        <v/>
      </c>
    </row>
    <row r="12733" spans="5:9" ht="16.5" hidden="1">
      <c r="E12733" s="4" t="str">
        <v/>
      </c>
      <c r="F12733" s="102" t="str">
        <f ca="1">IFERROR(__xludf.DUMMYFUNCTION("IMPORTRANGE(H12733,""IDENTITAS UNIT!D9"")"),"#N/A")</f>
        <v>#N/A</v>
      </c>
      <c r="H12733" s="4" t="str">
        <v/>
      </c>
      <c r="I12733" s="4" t="str">
        <v/>
      </c>
    </row>
    <row r="12734" spans="5:9" ht="16.5" hidden="1">
      <c r="E12734" s="4" t="str">
        <v/>
      </c>
      <c r="F12734" s="102" t="str">
        <f ca="1">IFERROR(__xludf.DUMMYFUNCTION("IMPORTRANGE(H12734,""IDENTITAS UNIT!D9"")"),"#N/A")</f>
        <v>#N/A</v>
      </c>
      <c r="H12734" s="4" t="str">
        <v/>
      </c>
      <c r="I12734" s="4" t="str">
        <v/>
      </c>
    </row>
    <row r="12735" spans="5:9" ht="16.5" hidden="1">
      <c r="E12735" s="4" t="str">
        <v/>
      </c>
      <c r="F12735" s="102" t="str">
        <f ca="1">IFERROR(__xludf.DUMMYFUNCTION("IMPORTRANGE(H12735,""IDENTITAS UNIT!D9"")"),"#N/A")</f>
        <v>#N/A</v>
      </c>
      <c r="H12735" s="4" t="str">
        <v/>
      </c>
      <c r="I12735" s="4" t="str">
        <v/>
      </c>
    </row>
    <row r="12736" spans="5:9" ht="16.5" hidden="1">
      <c r="E12736" s="4" t="str">
        <v/>
      </c>
      <c r="F12736" s="102" t="str">
        <f ca="1">IFERROR(__xludf.DUMMYFUNCTION("IMPORTRANGE(H12736,""IDENTITAS UNIT!D9"")"),"#N/A")</f>
        <v>#N/A</v>
      </c>
      <c r="H12736" s="4" t="str">
        <v/>
      </c>
      <c r="I12736" s="4" t="str">
        <v/>
      </c>
    </row>
    <row r="12737" spans="5:9" ht="16.5" hidden="1">
      <c r="E12737" s="4" t="str">
        <v/>
      </c>
      <c r="F12737" s="102" t="str">
        <f ca="1">IFERROR(__xludf.DUMMYFUNCTION("IMPORTRANGE(H12737,""IDENTITAS UNIT!D9"")"),"#N/A")</f>
        <v>#N/A</v>
      </c>
      <c r="H12737" s="4" t="str">
        <v/>
      </c>
      <c r="I12737" s="4" t="str">
        <v/>
      </c>
    </row>
    <row r="12738" spans="5:9" ht="16.5" hidden="1">
      <c r="E12738" s="4" t="str">
        <v/>
      </c>
      <c r="F12738" s="102" t="str">
        <f ca="1">IFERROR(__xludf.DUMMYFUNCTION("IMPORTRANGE(H12738,""IDENTITAS UNIT!D9"")"),"#N/A")</f>
        <v>#N/A</v>
      </c>
      <c r="H12738" s="4" t="str">
        <v/>
      </c>
      <c r="I12738" s="4" t="str">
        <v/>
      </c>
    </row>
    <row r="12739" spans="5:9" ht="16.5" hidden="1">
      <c r="E12739" s="4" t="str">
        <v/>
      </c>
      <c r="F12739" s="102" t="str">
        <f ca="1">IFERROR(__xludf.DUMMYFUNCTION("IMPORTRANGE(H12739,""IDENTITAS UNIT!D9"")"),"#N/A")</f>
        <v>#N/A</v>
      </c>
      <c r="H12739" s="4" t="str">
        <v/>
      </c>
      <c r="I12739" s="4" t="str">
        <v/>
      </c>
    </row>
    <row r="12740" spans="5:9" ht="16.5" hidden="1">
      <c r="E12740" s="4" t="str">
        <v/>
      </c>
      <c r="F12740" s="102" t="str">
        <f ca="1">IFERROR(__xludf.DUMMYFUNCTION("IMPORTRANGE(H12740,""IDENTITAS UNIT!D9"")"),"#N/A")</f>
        <v>#N/A</v>
      </c>
      <c r="H12740" s="4" t="str">
        <v/>
      </c>
      <c r="I12740" s="4" t="str">
        <v/>
      </c>
    </row>
    <row r="12741" spans="5:9" ht="16.5" hidden="1">
      <c r="E12741" s="4" t="str">
        <v/>
      </c>
      <c r="F12741" s="102" t="str">
        <f ca="1">IFERROR(__xludf.DUMMYFUNCTION("IMPORTRANGE(H12741,""IDENTITAS UNIT!D9"")"),"#N/A")</f>
        <v>#N/A</v>
      </c>
      <c r="H12741" s="4" t="str">
        <v/>
      </c>
      <c r="I12741" s="4" t="str">
        <v/>
      </c>
    </row>
    <row r="12742" spans="5:9" ht="16.5" hidden="1">
      <c r="E12742" s="4" t="str">
        <v/>
      </c>
      <c r="F12742" s="102" t="str">
        <f ca="1">IFERROR(__xludf.DUMMYFUNCTION("IMPORTRANGE(H12742,""IDENTITAS UNIT!D9"")"),"#N/A")</f>
        <v>#N/A</v>
      </c>
      <c r="H12742" s="4" t="str">
        <v/>
      </c>
      <c r="I12742" s="4" t="str">
        <v/>
      </c>
    </row>
    <row r="12743" spans="5:9" ht="16.5" hidden="1">
      <c r="E12743" s="4" t="str">
        <v/>
      </c>
      <c r="F12743" s="102" t="str">
        <f ca="1">IFERROR(__xludf.DUMMYFUNCTION("IMPORTRANGE(H12743,""IDENTITAS UNIT!D9"")"),"#N/A")</f>
        <v>#N/A</v>
      </c>
      <c r="H12743" s="4" t="str">
        <v/>
      </c>
      <c r="I12743" s="4" t="str">
        <v/>
      </c>
    </row>
    <row r="12744" spans="5:9" ht="16.5" hidden="1">
      <c r="E12744" s="4" t="str">
        <v/>
      </c>
      <c r="F12744" s="102" t="str">
        <f ca="1">IFERROR(__xludf.DUMMYFUNCTION("IMPORTRANGE(H12744,""IDENTITAS UNIT!D9"")"),"#N/A")</f>
        <v>#N/A</v>
      </c>
      <c r="H12744" s="4" t="str">
        <v/>
      </c>
      <c r="I12744" s="4" t="str">
        <v/>
      </c>
    </row>
    <row r="12745" spans="5:9" ht="16.5" hidden="1">
      <c r="E12745" s="4" t="str">
        <v/>
      </c>
      <c r="F12745" s="102" t="str">
        <f ca="1">IFERROR(__xludf.DUMMYFUNCTION("IMPORTRANGE(H12745,""IDENTITAS UNIT!D9"")"),"#N/A")</f>
        <v>#N/A</v>
      </c>
      <c r="H12745" s="4" t="str">
        <v/>
      </c>
      <c r="I12745" s="4" t="str">
        <v/>
      </c>
    </row>
    <row r="12746" spans="5:9" ht="16.5" hidden="1">
      <c r="E12746" s="4" t="str">
        <v/>
      </c>
      <c r="F12746" s="102" t="str">
        <f ca="1">IFERROR(__xludf.DUMMYFUNCTION("IMPORTRANGE(H12746,""IDENTITAS UNIT!D9"")"),"#N/A")</f>
        <v>#N/A</v>
      </c>
      <c r="H12746" s="4" t="str">
        <v/>
      </c>
      <c r="I12746" s="4" t="str">
        <v/>
      </c>
    </row>
    <row r="12747" spans="5:9" ht="16.5" hidden="1">
      <c r="E12747" s="4" t="str">
        <v/>
      </c>
      <c r="F12747" s="102" t="str">
        <f ca="1">IFERROR(__xludf.DUMMYFUNCTION("IMPORTRANGE(H12747,""IDENTITAS UNIT!D9"")"),"#N/A")</f>
        <v>#N/A</v>
      </c>
      <c r="H12747" s="4" t="str">
        <v/>
      </c>
      <c r="I12747" s="4" t="str">
        <v/>
      </c>
    </row>
    <row r="12748" spans="5:9" ht="16.5" hidden="1">
      <c r="E12748" s="4" t="str">
        <v/>
      </c>
      <c r="F12748" s="102" t="str">
        <f ca="1">IFERROR(__xludf.DUMMYFUNCTION("IMPORTRANGE(H12748,""IDENTITAS UNIT!D9"")"),"#N/A")</f>
        <v>#N/A</v>
      </c>
      <c r="H12748" s="4" t="str">
        <v/>
      </c>
      <c r="I12748" s="4" t="str">
        <v/>
      </c>
    </row>
    <row r="12749" spans="5:9" ht="16.5" hidden="1">
      <c r="E12749" s="4" t="str">
        <v/>
      </c>
      <c r="F12749" s="102" t="str">
        <f ca="1">IFERROR(__xludf.DUMMYFUNCTION("IMPORTRANGE(H12749,""IDENTITAS UNIT!D9"")"),"#N/A")</f>
        <v>#N/A</v>
      </c>
      <c r="H12749" s="4" t="str">
        <v/>
      </c>
      <c r="I12749" s="4" t="str">
        <v/>
      </c>
    </row>
    <row r="12750" spans="5:9" ht="16.5" hidden="1">
      <c r="E12750" s="4" t="str">
        <v/>
      </c>
      <c r="F12750" s="102" t="str">
        <f ca="1">IFERROR(__xludf.DUMMYFUNCTION("IMPORTRANGE(H12750,""IDENTITAS UNIT!D9"")"),"#N/A")</f>
        <v>#N/A</v>
      </c>
      <c r="H12750" s="4" t="str">
        <v/>
      </c>
      <c r="I12750" s="4" t="str">
        <v/>
      </c>
    </row>
    <row r="12751" spans="5:9" ht="16.5" hidden="1">
      <c r="E12751" s="4" t="str">
        <v/>
      </c>
      <c r="F12751" s="102" t="str">
        <f ca="1">IFERROR(__xludf.DUMMYFUNCTION("IMPORTRANGE(H12751,""IDENTITAS UNIT!D9"")"),"#N/A")</f>
        <v>#N/A</v>
      </c>
      <c r="H12751" s="4" t="str">
        <v/>
      </c>
      <c r="I12751" s="4" t="str">
        <v/>
      </c>
    </row>
    <row r="12752" spans="5:9" ht="16.5" hidden="1">
      <c r="E12752" s="4" t="str">
        <v/>
      </c>
      <c r="F12752" s="102" t="str">
        <f ca="1">IFERROR(__xludf.DUMMYFUNCTION("IMPORTRANGE(H12752,""IDENTITAS UNIT!D9"")"),"#N/A")</f>
        <v>#N/A</v>
      </c>
      <c r="H12752" s="4" t="str">
        <v/>
      </c>
      <c r="I12752" s="4" t="str">
        <v/>
      </c>
    </row>
    <row r="12753" spans="5:9" ht="16.5" hidden="1">
      <c r="E12753" s="4" t="str">
        <v/>
      </c>
      <c r="F12753" s="102" t="str">
        <f ca="1">IFERROR(__xludf.DUMMYFUNCTION("IMPORTRANGE(H12753,""IDENTITAS UNIT!D9"")"),"#N/A")</f>
        <v>#N/A</v>
      </c>
      <c r="H12753" s="4" t="str">
        <v/>
      </c>
      <c r="I12753" s="4" t="str">
        <v/>
      </c>
    </row>
    <row r="12754" spans="5:9" ht="16.5" hidden="1">
      <c r="E12754" s="4" t="str">
        <v/>
      </c>
      <c r="F12754" s="102" t="str">
        <f ca="1">IFERROR(__xludf.DUMMYFUNCTION("IMPORTRANGE(H12754,""IDENTITAS UNIT!D9"")"),"#N/A")</f>
        <v>#N/A</v>
      </c>
      <c r="H12754" s="4" t="str">
        <v/>
      </c>
      <c r="I12754" s="4" t="str">
        <v/>
      </c>
    </row>
    <row r="12755" spans="5:9" ht="16.5" hidden="1">
      <c r="E12755" s="4" t="str">
        <v/>
      </c>
      <c r="F12755" s="102" t="str">
        <f ca="1">IFERROR(__xludf.DUMMYFUNCTION("IMPORTRANGE(H12755,""IDENTITAS UNIT!D9"")"),"#N/A")</f>
        <v>#N/A</v>
      </c>
      <c r="H12755" s="4" t="str">
        <v/>
      </c>
      <c r="I12755" s="4" t="str">
        <v/>
      </c>
    </row>
    <row r="12756" spans="5:9" ht="16.5" hidden="1">
      <c r="E12756" s="4" t="str">
        <v/>
      </c>
      <c r="F12756" s="102" t="str">
        <f ca="1">IFERROR(__xludf.DUMMYFUNCTION("IMPORTRANGE(H12756,""IDENTITAS UNIT!D9"")"),"#N/A")</f>
        <v>#N/A</v>
      </c>
      <c r="H12756" s="4" t="str">
        <v/>
      </c>
      <c r="I12756" s="4" t="str">
        <v/>
      </c>
    </row>
    <row r="12757" spans="5:9" ht="16.5" hidden="1">
      <c r="E12757" s="4" t="str">
        <v/>
      </c>
      <c r="F12757" s="102" t="str">
        <f ca="1">IFERROR(__xludf.DUMMYFUNCTION("IMPORTRANGE(H12757,""IDENTITAS UNIT!D9"")"),"#N/A")</f>
        <v>#N/A</v>
      </c>
      <c r="H12757" s="4" t="str">
        <v/>
      </c>
      <c r="I12757" s="4" t="str">
        <v/>
      </c>
    </row>
    <row r="12758" spans="5:9" ht="16.5" hidden="1">
      <c r="E12758" s="4" t="str">
        <v/>
      </c>
      <c r="F12758" s="102" t="str">
        <f ca="1">IFERROR(__xludf.DUMMYFUNCTION("IMPORTRANGE(H12758,""IDENTITAS UNIT!D9"")"),"#N/A")</f>
        <v>#N/A</v>
      </c>
      <c r="H12758" s="4" t="str">
        <v/>
      </c>
      <c r="I12758" s="4" t="str">
        <v/>
      </c>
    </row>
    <row r="12759" spans="5:9" ht="16.5" hidden="1">
      <c r="E12759" s="4" t="str">
        <v/>
      </c>
      <c r="F12759" s="102" t="str">
        <f ca="1">IFERROR(__xludf.DUMMYFUNCTION("IMPORTRANGE(H12759,""IDENTITAS UNIT!D9"")"),"#N/A")</f>
        <v>#N/A</v>
      </c>
      <c r="H12759" s="4" t="str">
        <v/>
      </c>
      <c r="I12759" s="4" t="str">
        <v/>
      </c>
    </row>
    <row r="12760" spans="5:9" ht="16.5" hidden="1">
      <c r="E12760" s="4" t="str">
        <v/>
      </c>
      <c r="F12760" s="102" t="str">
        <f ca="1">IFERROR(__xludf.DUMMYFUNCTION("IMPORTRANGE(H12760,""IDENTITAS UNIT!D9"")"),"#N/A")</f>
        <v>#N/A</v>
      </c>
      <c r="H12760" s="4" t="str">
        <v/>
      </c>
      <c r="I12760" s="4" t="str">
        <v/>
      </c>
    </row>
    <row r="12761" spans="5:9" ht="16.5" hidden="1">
      <c r="E12761" s="4" t="str">
        <v/>
      </c>
      <c r="F12761" s="102" t="str">
        <f ca="1">IFERROR(__xludf.DUMMYFUNCTION("IMPORTRANGE(H12761,""IDENTITAS UNIT!D9"")"),"#N/A")</f>
        <v>#N/A</v>
      </c>
      <c r="H12761" s="4" t="str">
        <v/>
      </c>
      <c r="I12761" s="4" t="str">
        <v/>
      </c>
    </row>
    <row r="12762" spans="5:9" ht="16.5" hidden="1">
      <c r="E12762" s="4" t="str">
        <v/>
      </c>
      <c r="F12762" s="102" t="str">
        <f ca="1">IFERROR(__xludf.DUMMYFUNCTION("IMPORTRANGE(H12762,""IDENTITAS UNIT!D9"")"),"#N/A")</f>
        <v>#N/A</v>
      </c>
      <c r="H12762" s="4" t="str">
        <v/>
      </c>
      <c r="I12762" s="4" t="str">
        <v/>
      </c>
    </row>
    <row r="12763" spans="5:9" ht="16.5" hidden="1">
      <c r="E12763" s="4" t="str">
        <v/>
      </c>
      <c r="F12763" s="102" t="str">
        <f ca="1">IFERROR(__xludf.DUMMYFUNCTION("IMPORTRANGE(H12763,""IDENTITAS UNIT!D9"")"),"#N/A")</f>
        <v>#N/A</v>
      </c>
      <c r="H12763" s="4" t="str">
        <v/>
      </c>
      <c r="I12763" s="4" t="str">
        <v/>
      </c>
    </row>
    <row r="12764" spans="5:9" ht="16.5" hidden="1">
      <c r="E12764" s="4" t="str">
        <v/>
      </c>
      <c r="F12764" s="102" t="str">
        <f ca="1">IFERROR(__xludf.DUMMYFUNCTION("IMPORTRANGE(H12764,""IDENTITAS UNIT!D9"")"),"#N/A")</f>
        <v>#N/A</v>
      </c>
      <c r="H12764" s="4" t="str">
        <v/>
      </c>
      <c r="I12764" s="4" t="str">
        <v/>
      </c>
    </row>
    <row r="12765" spans="5:9" ht="16.5" hidden="1">
      <c r="E12765" s="4" t="str">
        <v/>
      </c>
      <c r="F12765" s="102" t="str">
        <f ca="1">IFERROR(__xludf.DUMMYFUNCTION("IMPORTRANGE(H12765,""IDENTITAS UNIT!D9"")"),"#N/A")</f>
        <v>#N/A</v>
      </c>
      <c r="H12765" s="4" t="str">
        <v/>
      </c>
      <c r="I12765" s="4" t="str">
        <v/>
      </c>
    </row>
    <row r="12766" spans="5:9" ht="16.5" hidden="1">
      <c r="E12766" s="4" t="str">
        <v/>
      </c>
      <c r="F12766" s="102" t="str">
        <f ca="1">IFERROR(__xludf.DUMMYFUNCTION("IMPORTRANGE(H12766,""IDENTITAS UNIT!D9"")"),"#N/A")</f>
        <v>#N/A</v>
      </c>
      <c r="H12766" s="4" t="str">
        <v/>
      </c>
      <c r="I12766" s="4" t="str">
        <v/>
      </c>
    </row>
    <row r="12767" spans="5:9" ht="16.5" hidden="1">
      <c r="E12767" s="4" t="str">
        <v/>
      </c>
      <c r="F12767" s="102" t="str">
        <f ca="1">IFERROR(__xludf.DUMMYFUNCTION("IMPORTRANGE(H12767,""IDENTITAS UNIT!D9"")"),"#N/A")</f>
        <v>#N/A</v>
      </c>
      <c r="H12767" s="4" t="str">
        <v/>
      </c>
      <c r="I12767" s="4" t="str">
        <v/>
      </c>
    </row>
    <row r="12768" spans="5:9" ht="16.5" hidden="1">
      <c r="E12768" s="4" t="str">
        <v/>
      </c>
      <c r="F12768" s="102" t="str">
        <f ca="1">IFERROR(__xludf.DUMMYFUNCTION("IMPORTRANGE(H12768,""IDENTITAS UNIT!D9"")"),"#N/A")</f>
        <v>#N/A</v>
      </c>
      <c r="H12768" s="4" t="str">
        <v/>
      </c>
      <c r="I12768" s="4" t="str">
        <v/>
      </c>
    </row>
    <row r="12769" spans="5:9" ht="16.5" hidden="1">
      <c r="E12769" s="4" t="str">
        <v/>
      </c>
      <c r="F12769" s="102" t="str">
        <f ca="1">IFERROR(__xludf.DUMMYFUNCTION("IMPORTRANGE(H12769,""IDENTITAS UNIT!D9"")"),"#N/A")</f>
        <v>#N/A</v>
      </c>
      <c r="H12769" s="4" t="str">
        <v/>
      </c>
      <c r="I12769" s="4" t="str">
        <v/>
      </c>
    </row>
    <row r="12770" spans="5:9" ht="16.5" hidden="1">
      <c r="E12770" s="4" t="str">
        <v/>
      </c>
      <c r="F12770" s="102" t="str">
        <f ca="1">IFERROR(__xludf.DUMMYFUNCTION("IMPORTRANGE(H12770,""IDENTITAS UNIT!D9"")"),"#N/A")</f>
        <v>#N/A</v>
      </c>
      <c r="H12770" s="4" t="str">
        <v/>
      </c>
      <c r="I12770" s="4" t="str">
        <v/>
      </c>
    </row>
    <row r="12771" spans="5:9" ht="16.5" hidden="1">
      <c r="E12771" s="4" t="str">
        <v/>
      </c>
      <c r="F12771" s="102" t="str">
        <f ca="1">IFERROR(__xludf.DUMMYFUNCTION("IMPORTRANGE(H12771,""IDENTITAS UNIT!D9"")"),"#N/A")</f>
        <v>#N/A</v>
      </c>
      <c r="H12771" s="4" t="str">
        <v/>
      </c>
      <c r="I12771" s="4" t="str">
        <v/>
      </c>
    </row>
    <row r="12772" spans="5:9" ht="16.5" hidden="1">
      <c r="E12772" s="4" t="str">
        <v/>
      </c>
      <c r="F12772" s="102" t="str">
        <f ca="1">IFERROR(__xludf.DUMMYFUNCTION("IMPORTRANGE(H12772,""IDENTITAS UNIT!D9"")"),"#N/A")</f>
        <v>#N/A</v>
      </c>
      <c r="H12772" s="4" t="str">
        <v/>
      </c>
      <c r="I12772" s="4" t="str">
        <v/>
      </c>
    </row>
    <row r="12773" spans="5:9" ht="16.5" hidden="1">
      <c r="E12773" s="4" t="str">
        <v/>
      </c>
      <c r="F12773" s="102" t="str">
        <f ca="1">IFERROR(__xludf.DUMMYFUNCTION("IMPORTRANGE(H12773,""IDENTITAS UNIT!D9"")"),"#N/A")</f>
        <v>#N/A</v>
      </c>
      <c r="H12773" s="4" t="str">
        <v/>
      </c>
      <c r="I12773" s="4" t="str">
        <v/>
      </c>
    </row>
    <row r="12774" spans="5:9" ht="16.5" hidden="1">
      <c r="E12774" s="4" t="str">
        <v/>
      </c>
      <c r="F12774" s="102" t="str">
        <f ca="1">IFERROR(__xludf.DUMMYFUNCTION("IMPORTRANGE(H12774,""IDENTITAS UNIT!D9"")"),"#N/A")</f>
        <v>#N/A</v>
      </c>
      <c r="H12774" s="4" t="str">
        <v/>
      </c>
      <c r="I12774" s="4" t="str">
        <v/>
      </c>
    </row>
    <row r="12775" spans="5:9" ht="16.5" hidden="1">
      <c r="E12775" s="4" t="str">
        <v/>
      </c>
      <c r="F12775" s="102" t="str">
        <f ca="1">IFERROR(__xludf.DUMMYFUNCTION("IMPORTRANGE(H12775,""IDENTITAS UNIT!D9"")"),"#N/A")</f>
        <v>#N/A</v>
      </c>
      <c r="H12775" s="4" t="str">
        <v/>
      </c>
      <c r="I12775" s="4" t="str">
        <v/>
      </c>
    </row>
    <row r="12776" spans="5:9" ht="16.5" hidden="1">
      <c r="E12776" s="4" t="str">
        <v/>
      </c>
      <c r="F12776" s="102" t="str">
        <f ca="1">IFERROR(__xludf.DUMMYFUNCTION("IMPORTRANGE(H12776,""IDENTITAS UNIT!D9"")"),"#N/A")</f>
        <v>#N/A</v>
      </c>
      <c r="H12776" s="4" t="str">
        <v/>
      </c>
      <c r="I12776" s="4" t="str">
        <v/>
      </c>
    </row>
    <row r="12777" spans="5:9" ht="16.5" hidden="1">
      <c r="E12777" s="4" t="str">
        <v/>
      </c>
      <c r="F12777" s="102" t="str">
        <f ca="1">IFERROR(__xludf.DUMMYFUNCTION("IMPORTRANGE(H12777,""IDENTITAS UNIT!D9"")"),"#N/A")</f>
        <v>#N/A</v>
      </c>
      <c r="H12777" s="4" t="str">
        <v/>
      </c>
      <c r="I12777" s="4" t="str">
        <v/>
      </c>
    </row>
    <row r="12778" spans="5:9" ht="16.5" hidden="1">
      <c r="E12778" s="4" t="str">
        <v/>
      </c>
      <c r="F12778" s="102" t="str">
        <f ca="1">IFERROR(__xludf.DUMMYFUNCTION("IMPORTRANGE(H12778,""IDENTITAS UNIT!D9"")"),"#N/A")</f>
        <v>#N/A</v>
      </c>
      <c r="H12778" s="4" t="str">
        <v/>
      </c>
      <c r="I12778" s="4" t="str">
        <v/>
      </c>
    </row>
    <row r="12779" spans="5:9" ht="16.5" hidden="1">
      <c r="E12779" s="4" t="str">
        <v/>
      </c>
      <c r="F12779" s="102" t="str">
        <f ca="1">IFERROR(__xludf.DUMMYFUNCTION("IMPORTRANGE(H12779,""IDENTITAS UNIT!D9"")"),"#N/A")</f>
        <v>#N/A</v>
      </c>
      <c r="H12779" s="4" t="str">
        <v/>
      </c>
      <c r="I12779" s="4" t="str">
        <v/>
      </c>
    </row>
    <row r="12780" spans="5:9" ht="16.5" hidden="1">
      <c r="E12780" s="4" t="str">
        <v/>
      </c>
      <c r="F12780" s="102" t="str">
        <f ca="1">IFERROR(__xludf.DUMMYFUNCTION("IMPORTRANGE(H12780,""IDENTITAS UNIT!D9"")"),"#N/A")</f>
        <v>#N/A</v>
      </c>
      <c r="H12780" s="4" t="str">
        <v/>
      </c>
      <c r="I12780" s="4" t="str">
        <v/>
      </c>
    </row>
    <row r="12781" spans="5:9" ht="16.5" hidden="1">
      <c r="E12781" s="4" t="str">
        <v/>
      </c>
      <c r="F12781" s="102" t="str">
        <f ca="1">IFERROR(__xludf.DUMMYFUNCTION("IMPORTRANGE(H12781,""IDENTITAS UNIT!D9"")"),"#N/A")</f>
        <v>#N/A</v>
      </c>
      <c r="H12781" s="4" t="str">
        <v/>
      </c>
      <c r="I12781" s="4" t="str">
        <v/>
      </c>
    </row>
    <row r="12782" spans="5:9" ht="16.5" hidden="1">
      <c r="E12782" s="4" t="str">
        <v/>
      </c>
      <c r="F12782" s="102" t="str">
        <f ca="1">IFERROR(__xludf.DUMMYFUNCTION("IMPORTRANGE(H12782,""IDENTITAS UNIT!D9"")"),"#N/A")</f>
        <v>#N/A</v>
      </c>
      <c r="H12782" s="4" t="str">
        <v/>
      </c>
      <c r="I12782" s="4" t="str">
        <v/>
      </c>
    </row>
    <row r="12783" spans="5:9" ht="16.5" hidden="1">
      <c r="E12783" s="4" t="str">
        <v/>
      </c>
      <c r="F12783" s="102" t="str">
        <f ca="1">IFERROR(__xludf.DUMMYFUNCTION("IMPORTRANGE(H12783,""IDENTITAS UNIT!D9"")"),"#N/A")</f>
        <v>#N/A</v>
      </c>
      <c r="H12783" s="4" t="str">
        <v/>
      </c>
      <c r="I12783" s="4" t="str">
        <v/>
      </c>
    </row>
    <row r="12784" spans="5:9" ht="16.5" hidden="1">
      <c r="E12784" s="4" t="str">
        <v/>
      </c>
      <c r="F12784" s="102" t="str">
        <f ca="1">IFERROR(__xludf.DUMMYFUNCTION("IMPORTRANGE(H12784,""IDENTITAS UNIT!D9"")"),"#N/A")</f>
        <v>#N/A</v>
      </c>
      <c r="H12784" s="4" t="str">
        <v/>
      </c>
      <c r="I12784" s="4" t="str">
        <v/>
      </c>
    </row>
    <row r="12785" spans="5:9" ht="16.5" hidden="1">
      <c r="E12785" s="4" t="str">
        <v/>
      </c>
      <c r="F12785" s="102" t="str">
        <f ca="1">IFERROR(__xludf.DUMMYFUNCTION("IMPORTRANGE(H12785,""IDENTITAS UNIT!D9"")"),"#N/A")</f>
        <v>#N/A</v>
      </c>
      <c r="H12785" s="4" t="str">
        <v/>
      </c>
      <c r="I12785" s="4" t="str">
        <v/>
      </c>
    </row>
    <row r="12786" spans="5:9" ht="16.5" hidden="1">
      <c r="E12786" s="4" t="str">
        <v/>
      </c>
      <c r="F12786" s="102" t="str">
        <f ca="1">IFERROR(__xludf.DUMMYFUNCTION("IMPORTRANGE(H12786,""IDENTITAS UNIT!D9"")"),"#N/A")</f>
        <v>#N/A</v>
      </c>
      <c r="H12786" s="4" t="str">
        <v/>
      </c>
      <c r="I12786" s="4" t="str">
        <v/>
      </c>
    </row>
    <row r="12787" spans="5:9" ht="16.5" hidden="1">
      <c r="E12787" s="4" t="str">
        <v/>
      </c>
      <c r="F12787" s="102" t="str">
        <f ca="1">IFERROR(__xludf.DUMMYFUNCTION("IMPORTRANGE(H12787,""IDENTITAS UNIT!D9"")"),"#N/A")</f>
        <v>#N/A</v>
      </c>
      <c r="H12787" s="4" t="str">
        <v/>
      </c>
      <c r="I12787" s="4" t="str">
        <v/>
      </c>
    </row>
    <row r="12788" spans="5:9" ht="16.5" hidden="1">
      <c r="E12788" s="4" t="str">
        <v/>
      </c>
      <c r="F12788" s="102" t="str">
        <f ca="1">IFERROR(__xludf.DUMMYFUNCTION("IMPORTRANGE(H12788,""IDENTITAS UNIT!D9"")"),"#N/A")</f>
        <v>#N/A</v>
      </c>
      <c r="H12788" s="4" t="str">
        <v/>
      </c>
      <c r="I12788" s="4" t="str">
        <v/>
      </c>
    </row>
    <row r="12789" spans="5:9" ht="16.5" hidden="1">
      <c r="E12789" s="4" t="str">
        <v/>
      </c>
      <c r="F12789" s="102" t="str">
        <f ca="1">IFERROR(__xludf.DUMMYFUNCTION("IMPORTRANGE(H12789,""IDENTITAS UNIT!D9"")"),"#N/A")</f>
        <v>#N/A</v>
      </c>
      <c r="H12789" s="4" t="str">
        <v/>
      </c>
      <c r="I12789" s="4" t="str">
        <v/>
      </c>
    </row>
    <row r="12790" spans="5:9" ht="16.5" hidden="1">
      <c r="E12790" s="4" t="str">
        <v/>
      </c>
      <c r="F12790" s="102" t="str">
        <f ca="1">IFERROR(__xludf.DUMMYFUNCTION("IMPORTRANGE(H12790,""IDENTITAS UNIT!D9"")"),"#N/A")</f>
        <v>#N/A</v>
      </c>
      <c r="H12790" s="4" t="str">
        <v/>
      </c>
      <c r="I12790" s="4" t="str">
        <v/>
      </c>
    </row>
    <row r="12791" spans="5:9" ht="16.5" hidden="1">
      <c r="E12791" s="4" t="str">
        <v/>
      </c>
      <c r="F12791" s="102" t="str">
        <f ca="1">IFERROR(__xludf.DUMMYFUNCTION("IMPORTRANGE(H12791,""IDENTITAS UNIT!D9"")"),"#N/A")</f>
        <v>#N/A</v>
      </c>
      <c r="H12791" s="4" t="str">
        <v/>
      </c>
      <c r="I12791" s="4" t="str">
        <v/>
      </c>
    </row>
    <row r="12792" spans="5:9" ht="16.5" hidden="1">
      <c r="E12792" s="4" t="str">
        <v/>
      </c>
      <c r="F12792" s="102" t="str">
        <f ca="1">IFERROR(__xludf.DUMMYFUNCTION("IMPORTRANGE(H12792,""IDENTITAS UNIT!D9"")"),"#N/A")</f>
        <v>#N/A</v>
      </c>
      <c r="H12792" s="4" t="str">
        <v/>
      </c>
      <c r="I12792" s="4" t="str">
        <v/>
      </c>
    </row>
    <row r="12793" spans="5:9" ht="16.5" hidden="1">
      <c r="E12793" s="4" t="str">
        <v/>
      </c>
      <c r="F12793" s="102" t="str">
        <f ca="1">IFERROR(__xludf.DUMMYFUNCTION("IMPORTRANGE(H12793,""IDENTITAS UNIT!D9"")"),"#N/A")</f>
        <v>#N/A</v>
      </c>
      <c r="H12793" s="4" t="str">
        <v/>
      </c>
      <c r="I12793" s="4" t="str">
        <v/>
      </c>
    </row>
    <row r="12794" spans="5:9" ht="16.5" hidden="1">
      <c r="E12794" s="4" t="str">
        <v/>
      </c>
      <c r="F12794" s="102" t="str">
        <f ca="1">IFERROR(__xludf.DUMMYFUNCTION("IMPORTRANGE(H12794,""IDENTITAS UNIT!D9"")"),"#N/A")</f>
        <v>#N/A</v>
      </c>
      <c r="H12794" s="4" t="str">
        <v/>
      </c>
      <c r="I12794" s="4" t="str">
        <v/>
      </c>
    </row>
    <row r="12795" spans="5:9" ht="16.5" hidden="1">
      <c r="E12795" s="4" t="str">
        <v/>
      </c>
      <c r="F12795" s="102" t="str">
        <f ca="1">IFERROR(__xludf.DUMMYFUNCTION("IMPORTRANGE(H12795,""IDENTITAS UNIT!D9"")"),"#N/A")</f>
        <v>#N/A</v>
      </c>
      <c r="H12795" s="4" t="str">
        <v/>
      </c>
      <c r="I12795" s="4" t="str">
        <v/>
      </c>
    </row>
    <row r="12796" spans="5:9" ht="16.5" hidden="1">
      <c r="E12796" s="4" t="str">
        <v/>
      </c>
      <c r="F12796" s="102" t="str">
        <f ca="1">IFERROR(__xludf.DUMMYFUNCTION("IMPORTRANGE(H12796,""IDENTITAS UNIT!D9"")"),"#N/A")</f>
        <v>#N/A</v>
      </c>
      <c r="H12796" s="4" t="str">
        <v/>
      </c>
      <c r="I12796" s="4" t="str">
        <v/>
      </c>
    </row>
    <row r="12797" spans="5:9" ht="16.5" hidden="1">
      <c r="E12797" s="4" t="str">
        <v/>
      </c>
      <c r="F12797" s="102" t="str">
        <f ca="1">IFERROR(__xludf.DUMMYFUNCTION("IMPORTRANGE(H12797,""IDENTITAS UNIT!D9"")"),"#N/A")</f>
        <v>#N/A</v>
      </c>
      <c r="H12797" s="4" t="str">
        <v/>
      </c>
      <c r="I12797" s="4" t="str">
        <v/>
      </c>
    </row>
    <row r="12798" spans="5:9" ht="16.5" hidden="1">
      <c r="E12798" s="4" t="str">
        <v/>
      </c>
      <c r="F12798" s="102" t="str">
        <f ca="1">IFERROR(__xludf.DUMMYFUNCTION("IMPORTRANGE(H12798,""IDENTITAS UNIT!D9"")"),"#N/A")</f>
        <v>#N/A</v>
      </c>
      <c r="H12798" s="4" t="str">
        <v/>
      </c>
      <c r="I12798" s="4" t="str">
        <v/>
      </c>
    </row>
    <row r="12799" spans="5:9" ht="16.5" hidden="1">
      <c r="E12799" s="4" t="str">
        <v/>
      </c>
      <c r="F12799" s="102" t="str">
        <f ca="1">IFERROR(__xludf.DUMMYFUNCTION("IMPORTRANGE(H12799,""IDENTITAS UNIT!D9"")"),"#N/A")</f>
        <v>#N/A</v>
      </c>
      <c r="H12799" s="4" t="str">
        <v/>
      </c>
      <c r="I12799" s="4" t="str">
        <v/>
      </c>
    </row>
    <row r="12800" spans="5:9" ht="16.5" hidden="1">
      <c r="E12800" s="4" t="str">
        <v/>
      </c>
      <c r="F12800" s="102" t="str">
        <f ca="1">IFERROR(__xludf.DUMMYFUNCTION("IMPORTRANGE(H12800,""IDENTITAS UNIT!D9"")"),"#N/A")</f>
        <v>#N/A</v>
      </c>
      <c r="H12800" s="4" t="str">
        <v/>
      </c>
      <c r="I12800" s="4" t="str">
        <v/>
      </c>
    </row>
    <row r="12801" spans="5:9" ht="16.5" hidden="1">
      <c r="E12801" s="4" t="str">
        <v/>
      </c>
      <c r="F12801" s="102" t="str">
        <f ca="1">IFERROR(__xludf.DUMMYFUNCTION("IMPORTRANGE(H12801,""IDENTITAS UNIT!D9"")"),"#N/A")</f>
        <v>#N/A</v>
      </c>
      <c r="H12801" s="4" t="str">
        <v/>
      </c>
      <c r="I12801" s="4" t="str">
        <v/>
      </c>
    </row>
    <row r="12802" spans="5:9" ht="16.5" hidden="1">
      <c r="E12802" s="4" t="str">
        <v/>
      </c>
      <c r="F12802" s="102" t="str">
        <f ca="1">IFERROR(__xludf.DUMMYFUNCTION("IMPORTRANGE(H12802,""IDENTITAS UNIT!D9"")"),"#N/A")</f>
        <v>#N/A</v>
      </c>
      <c r="H12802" s="4" t="str">
        <v/>
      </c>
      <c r="I12802" s="4" t="str">
        <v/>
      </c>
    </row>
    <row r="12803" spans="5:9" ht="16.5" hidden="1">
      <c r="E12803" s="4" t="str">
        <v/>
      </c>
      <c r="F12803" s="102" t="str">
        <f ca="1">IFERROR(__xludf.DUMMYFUNCTION("IMPORTRANGE(H12803,""IDENTITAS UNIT!D9"")"),"#N/A")</f>
        <v>#N/A</v>
      </c>
      <c r="H12803" s="4" t="str">
        <v/>
      </c>
      <c r="I12803" s="4" t="str">
        <v/>
      </c>
    </row>
    <row r="12804" spans="5:9" ht="16.5" hidden="1">
      <c r="E12804" s="4" t="str">
        <v/>
      </c>
      <c r="F12804" s="102" t="str">
        <f ca="1">IFERROR(__xludf.DUMMYFUNCTION("IMPORTRANGE(H12804,""IDENTITAS UNIT!D9"")"),"#N/A")</f>
        <v>#N/A</v>
      </c>
      <c r="H12804" s="4" t="str">
        <v/>
      </c>
      <c r="I12804" s="4" t="str">
        <v/>
      </c>
    </row>
    <row r="12805" spans="5:9" ht="16.5" hidden="1">
      <c r="E12805" s="4" t="str">
        <v/>
      </c>
      <c r="F12805" s="102" t="str">
        <f ca="1">IFERROR(__xludf.DUMMYFUNCTION("IMPORTRANGE(H12805,""IDENTITAS UNIT!D9"")"),"#N/A")</f>
        <v>#N/A</v>
      </c>
      <c r="H12805" s="4" t="str">
        <v/>
      </c>
      <c r="I12805" s="4" t="str">
        <v/>
      </c>
    </row>
    <row r="12806" spans="5:9" ht="16.5" hidden="1">
      <c r="E12806" s="4" t="str">
        <v/>
      </c>
      <c r="F12806" s="102" t="str">
        <f ca="1">IFERROR(__xludf.DUMMYFUNCTION("IMPORTRANGE(H12806,""IDENTITAS UNIT!D9"")"),"#N/A")</f>
        <v>#N/A</v>
      </c>
      <c r="H12806" s="4" t="str">
        <v/>
      </c>
      <c r="I12806" s="4" t="str">
        <v/>
      </c>
    </row>
    <row r="12807" spans="5:9" ht="16.5" hidden="1">
      <c r="E12807" s="4" t="str">
        <v/>
      </c>
      <c r="F12807" s="102" t="str">
        <f ca="1">IFERROR(__xludf.DUMMYFUNCTION("IMPORTRANGE(H12807,""IDENTITAS UNIT!D9"")"),"#N/A")</f>
        <v>#N/A</v>
      </c>
      <c r="H12807" s="4" t="str">
        <v/>
      </c>
      <c r="I12807" s="4" t="str">
        <v/>
      </c>
    </row>
    <row r="12808" spans="5:9" ht="16.5" hidden="1">
      <c r="E12808" s="4" t="str">
        <v/>
      </c>
      <c r="F12808" s="102" t="str">
        <f ca="1">IFERROR(__xludf.DUMMYFUNCTION("IMPORTRANGE(H12808,""IDENTITAS UNIT!D9"")"),"#N/A")</f>
        <v>#N/A</v>
      </c>
      <c r="H12808" s="4" t="str">
        <v/>
      </c>
      <c r="I12808" s="4" t="str">
        <v/>
      </c>
    </row>
    <row r="12809" spans="5:9" ht="16.5" hidden="1">
      <c r="E12809" s="4" t="str">
        <v/>
      </c>
      <c r="F12809" s="102" t="str">
        <f ca="1">IFERROR(__xludf.DUMMYFUNCTION("IMPORTRANGE(H12809,""IDENTITAS UNIT!D9"")"),"#N/A")</f>
        <v>#N/A</v>
      </c>
      <c r="H12809" s="4" t="str">
        <v/>
      </c>
      <c r="I12809" s="4" t="str">
        <v/>
      </c>
    </row>
    <row r="12810" spans="5:9" ht="16.5" hidden="1">
      <c r="E12810" s="4" t="str">
        <v/>
      </c>
      <c r="F12810" s="102" t="str">
        <f ca="1">IFERROR(__xludf.DUMMYFUNCTION("IMPORTRANGE(H12810,""IDENTITAS UNIT!D9"")"),"#N/A")</f>
        <v>#N/A</v>
      </c>
      <c r="H12810" s="4" t="str">
        <v/>
      </c>
      <c r="I12810" s="4" t="str">
        <v/>
      </c>
    </row>
    <row r="12811" spans="5:9" ht="16.5" hidden="1">
      <c r="E12811" s="4" t="str">
        <v/>
      </c>
      <c r="F12811" s="102" t="str">
        <f ca="1">IFERROR(__xludf.DUMMYFUNCTION("IMPORTRANGE(H12811,""IDENTITAS UNIT!D9"")"),"#N/A")</f>
        <v>#N/A</v>
      </c>
      <c r="H12811" s="4" t="str">
        <v/>
      </c>
      <c r="I12811" s="4" t="str">
        <v/>
      </c>
    </row>
    <row r="12812" spans="5:9" ht="16.5" hidden="1">
      <c r="E12812" s="4" t="str">
        <v/>
      </c>
      <c r="F12812" s="102" t="str">
        <f ca="1">IFERROR(__xludf.DUMMYFUNCTION("IMPORTRANGE(H12812,""IDENTITAS UNIT!D9"")"),"#N/A")</f>
        <v>#N/A</v>
      </c>
      <c r="H12812" s="4" t="str">
        <v/>
      </c>
      <c r="I12812" s="4" t="str">
        <v/>
      </c>
    </row>
    <row r="12813" spans="5:9" ht="16.5" hidden="1">
      <c r="E12813" s="4" t="str">
        <v/>
      </c>
      <c r="F12813" s="102" t="str">
        <f ca="1">IFERROR(__xludf.DUMMYFUNCTION("IMPORTRANGE(H12813,""IDENTITAS UNIT!D9"")"),"#N/A")</f>
        <v>#N/A</v>
      </c>
      <c r="H12813" s="4" t="str">
        <v/>
      </c>
      <c r="I12813" s="4" t="str">
        <v/>
      </c>
    </row>
    <row r="12814" spans="5:9" ht="16.5" hidden="1">
      <c r="E12814" s="4" t="str">
        <v/>
      </c>
      <c r="F12814" s="102" t="str">
        <f ca="1">IFERROR(__xludf.DUMMYFUNCTION("IMPORTRANGE(H12814,""IDENTITAS UNIT!D9"")"),"#N/A")</f>
        <v>#N/A</v>
      </c>
      <c r="H12814" s="4" t="str">
        <v/>
      </c>
      <c r="I12814" s="4" t="str">
        <v/>
      </c>
    </row>
    <row r="12815" spans="5:9" ht="16.5" hidden="1">
      <c r="E12815" s="4" t="str">
        <v/>
      </c>
      <c r="F12815" s="102" t="str">
        <f ca="1">IFERROR(__xludf.DUMMYFUNCTION("IMPORTRANGE(H12815,""IDENTITAS UNIT!D9"")"),"#N/A")</f>
        <v>#N/A</v>
      </c>
      <c r="H12815" s="4" t="str">
        <v/>
      </c>
      <c r="I12815" s="4" t="str">
        <v/>
      </c>
    </row>
    <row r="12816" spans="5:9" ht="16.5" hidden="1">
      <c r="E12816" s="4" t="str">
        <v/>
      </c>
      <c r="F12816" s="102" t="str">
        <f ca="1">IFERROR(__xludf.DUMMYFUNCTION("IMPORTRANGE(H12816,""IDENTITAS UNIT!D9"")"),"#N/A")</f>
        <v>#N/A</v>
      </c>
      <c r="H12816" s="4" t="str">
        <v/>
      </c>
      <c r="I12816" s="4" t="str">
        <v/>
      </c>
    </row>
    <row r="12817" spans="5:9" ht="16.5" hidden="1">
      <c r="E12817" s="4" t="str">
        <v/>
      </c>
      <c r="F12817" s="102" t="str">
        <f ca="1">IFERROR(__xludf.DUMMYFUNCTION("IMPORTRANGE(H12817,""IDENTITAS UNIT!D9"")"),"#N/A")</f>
        <v>#N/A</v>
      </c>
      <c r="H12817" s="4" t="str">
        <v/>
      </c>
      <c r="I12817" s="4" t="str">
        <v/>
      </c>
    </row>
    <row r="12818" spans="5:9" ht="16.5" hidden="1">
      <c r="E12818" s="4" t="str">
        <v/>
      </c>
      <c r="F12818" s="102" t="str">
        <f ca="1">IFERROR(__xludf.DUMMYFUNCTION("IMPORTRANGE(H12818,""IDENTITAS UNIT!D9"")"),"#N/A")</f>
        <v>#N/A</v>
      </c>
      <c r="H12818" s="4" t="str">
        <v/>
      </c>
      <c r="I12818" s="4" t="str">
        <v/>
      </c>
    </row>
    <row r="12819" spans="5:9" ht="16.5" hidden="1">
      <c r="E12819" s="4" t="str">
        <v/>
      </c>
      <c r="F12819" s="102" t="str">
        <f ca="1">IFERROR(__xludf.DUMMYFUNCTION("IMPORTRANGE(H12819,""IDENTITAS UNIT!D9"")"),"#N/A")</f>
        <v>#N/A</v>
      </c>
      <c r="H12819" s="4" t="str">
        <v/>
      </c>
      <c r="I12819" s="4" t="str">
        <v/>
      </c>
    </row>
    <row r="12820" spans="5:9" ht="16.5" hidden="1">
      <c r="E12820" s="4" t="str">
        <v/>
      </c>
      <c r="F12820" s="102" t="str">
        <f ca="1">IFERROR(__xludf.DUMMYFUNCTION("IMPORTRANGE(H12820,""IDENTITAS UNIT!D9"")"),"#N/A")</f>
        <v>#N/A</v>
      </c>
      <c r="H12820" s="4" t="str">
        <v/>
      </c>
      <c r="I12820" s="4" t="str">
        <v/>
      </c>
    </row>
    <row r="12821" spans="5:9" ht="16.5" hidden="1">
      <c r="E12821" s="4" t="str">
        <v/>
      </c>
      <c r="F12821" s="102" t="str">
        <f ca="1">IFERROR(__xludf.DUMMYFUNCTION("IMPORTRANGE(H12821,""IDENTITAS UNIT!D9"")"),"#N/A")</f>
        <v>#N/A</v>
      </c>
      <c r="H12821" s="4" t="str">
        <v/>
      </c>
      <c r="I12821" s="4" t="str">
        <v/>
      </c>
    </row>
    <row r="12822" spans="5:9" ht="16.5" hidden="1">
      <c r="E12822" s="4" t="str">
        <v/>
      </c>
      <c r="F12822" s="102" t="str">
        <f ca="1">IFERROR(__xludf.DUMMYFUNCTION("IMPORTRANGE(H12822,""IDENTITAS UNIT!D9"")"),"#N/A")</f>
        <v>#N/A</v>
      </c>
      <c r="H12822" s="4" t="str">
        <v/>
      </c>
      <c r="I12822" s="4" t="str">
        <v/>
      </c>
    </row>
    <row r="12823" spans="5:9" ht="16.5" hidden="1">
      <c r="E12823" s="4" t="str">
        <v/>
      </c>
      <c r="F12823" s="102" t="str">
        <f ca="1">IFERROR(__xludf.DUMMYFUNCTION("IMPORTRANGE(H12823,""IDENTITAS UNIT!D9"")"),"#N/A")</f>
        <v>#N/A</v>
      </c>
      <c r="H12823" s="4" t="str">
        <v/>
      </c>
      <c r="I12823" s="4" t="str">
        <v/>
      </c>
    </row>
    <row r="12824" spans="5:9" ht="16.5" hidden="1">
      <c r="E12824" s="4" t="str">
        <v/>
      </c>
      <c r="F12824" s="102" t="str">
        <f ca="1">IFERROR(__xludf.DUMMYFUNCTION("IMPORTRANGE(H12824,""IDENTITAS UNIT!D9"")"),"#N/A")</f>
        <v>#N/A</v>
      </c>
      <c r="H12824" s="4" t="str">
        <v/>
      </c>
      <c r="I12824" s="4" t="str">
        <v/>
      </c>
    </row>
    <row r="12825" spans="5:9" ht="16.5" hidden="1">
      <c r="E12825" s="4" t="str">
        <v/>
      </c>
      <c r="F12825" s="102" t="str">
        <f ca="1">IFERROR(__xludf.DUMMYFUNCTION("IMPORTRANGE(H12825,""IDENTITAS UNIT!D9"")"),"#N/A")</f>
        <v>#N/A</v>
      </c>
      <c r="H12825" s="4" t="str">
        <v/>
      </c>
      <c r="I12825" s="4" t="str">
        <v/>
      </c>
    </row>
    <row r="12826" spans="5:9" ht="16.5" hidden="1">
      <c r="E12826" s="4" t="str">
        <v/>
      </c>
      <c r="F12826" s="102" t="str">
        <f ca="1">IFERROR(__xludf.DUMMYFUNCTION("IMPORTRANGE(H12826,""IDENTITAS UNIT!D9"")"),"#N/A")</f>
        <v>#N/A</v>
      </c>
      <c r="H12826" s="4" t="str">
        <v/>
      </c>
      <c r="I12826" s="4" t="str">
        <v/>
      </c>
    </row>
    <row r="12827" spans="5:9" ht="16.5" hidden="1">
      <c r="E12827" s="4" t="str">
        <v/>
      </c>
      <c r="F12827" s="102" t="str">
        <f ca="1">IFERROR(__xludf.DUMMYFUNCTION("IMPORTRANGE(H12827,""IDENTITAS UNIT!D9"")"),"#N/A")</f>
        <v>#N/A</v>
      </c>
      <c r="H12827" s="4" t="str">
        <v/>
      </c>
      <c r="I12827" s="4" t="str">
        <v/>
      </c>
    </row>
    <row r="12828" spans="5:9" ht="16.5" hidden="1">
      <c r="E12828" s="4" t="str">
        <v/>
      </c>
      <c r="F12828" s="102" t="str">
        <f ca="1">IFERROR(__xludf.DUMMYFUNCTION("IMPORTRANGE(H12828,""IDENTITAS UNIT!D9"")"),"#N/A")</f>
        <v>#N/A</v>
      </c>
      <c r="H12828" s="4" t="str">
        <v/>
      </c>
      <c r="I12828" s="4" t="str">
        <v/>
      </c>
    </row>
    <row r="12829" spans="5:9" ht="16.5" hidden="1">
      <c r="E12829" s="4" t="str">
        <v/>
      </c>
      <c r="F12829" s="102" t="str">
        <f ca="1">IFERROR(__xludf.DUMMYFUNCTION("IMPORTRANGE(H12829,""IDENTITAS UNIT!D9"")"),"#N/A")</f>
        <v>#N/A</v>
      </c>
      <c r="H12829" s="4" t="str">
        <v/>
      </c>
      <c r="I12829" s="4" t="str">
        <v/>
      </c>
    </row>
    <row r="12830" spans="5:9" ht="16.5" hidden="1">
      <c r="E12830" s="4" t="str">
        <v/>
      </c>
      <c r="F12830" s="102" t="str">
        <f ca="1">IFERROR(__xludf.DUMMYFUNCTION("IMPORTRANGE(H12830,""IDENTITAS UNIT!D9"")"),"#N/A")</f>
        <v>#N/A</v>
      </c>
      <c r="H12830" s="4" t="str">
        <v/>
      </c>
      <c r="I12830" s="4" t="str">
        <v/>
      </c>
    </row>
    <row r="12831" spans="5:9" ht="16.5" hidden="1">
      <c r="E12831" s="4" t="str">
        <v/>
      </c>
      <c r="F12831" s="102" t="str">
        <f ca="1">IFERROR(__xludf.DUMMYFUNCTION("IMPORTRANGE(H12831,""IDENTITAS UNIT!D9"")"),"#N/A")</f>
        <v>#N/A</v>
      </c>
      <c r="H12831" s="4" t="str">
        <v/>
      </c>
      <c r="I12831" s="4" t="str">
        <v/>
      </c>
    </row>
    <row r="12832" spans="5:9" ht="16.5" hidden="1">
      <c r="E12832" s="4" t="str">
        <v/>
      </c>
      <c r="F12832" s="102" t="str">
        <f ca="1">IFERROR(__xludf.DUMMYFUNCTION("IMPORTRANGE(H12832,""IDENTITAS UNIT!D9"")"),"#N/A")</f>
        <v>#N/A</v>
      </c>
      <c r="H12832" s="4" t="str">
        <v/>
      </c>
      <c r="I12832" s="4" t="str">
        <v/>
      </c>
    </row>
    <row r="12833" spans="5:9" ht="16.5" hidden="1">
      <c r="E12833" s="4" t="str">
        <v/>
      </c>
      <c r="F12833" s="102" t="str">
        <f ca="1">IFERROR(__xludf.DUMMYFUNCTION("IMPORTRANGE(H12833,""IDENTITAS UNIT!D9"")"),"#N/A")</f>
        <v>#N/A</v>
      </c>
      <c r="H12833" s="4" t="str">
        <v/>
      </c>
      <c r="I12833" s="4" t="str">
        <v/>
      </c>
    </row>
    <row r="12834" spans="5:9" ht="16.5" hidden="1">
      <c r="E12834" s="4" t="str">
        <v/>
      </c>
      <c r="F12834" s="102" t="str">
        <f ca="1">IFERROR(__xludf.DUMMYFUNCTION("IMPORTRANGE(H12834,""IDENTITAS UNIT!D9"")"),"#N/A")</f>
        <v>#N/A</v>
      </c>
      <c r="H12834" s="4" t="str">
        <v/>
      </c>
      <c r="I12834" s="4" t="str">
        <v/>
      </c>
    </row>
    <row r="12835" spans="5:9" ht="16.5" hidden="1">
      <c r="E12835" s="4" t="str">
        <v/>
      </c>
      <c r="F12835" s="102" t="str">
        <f ca="1">IFERROR(__xludf.DUMMYFUNCTION("IMPORTRANGE(H12835,""IDENTITAS UNIT!D9"")"),"#N/A")</f>
        <v>#N/A</v>
      </c>
      <c r="H12835" s="4" t="str">
        <v/>
      </c>
      <c r="I12835" s="4" t="str">
        <v/>
      </c>
    </row>
    <row r="12836" spans="5:9" ht="16.5" hidden="1">
      <c r="E12836" s="4" t="str">
        <v/>
      </c>
      <c r="F12836" s="102" t="str">
        <f ca="1">IFERROR(__xludf.DUMMYFUNCTION("IMPORTRANGE(H12836,""IDENTITAS UNIT!D9"")"),"#N/A")</f>
        <v>#N/A</v>
      </c>
      <c r="H12836" s="4" t="str">
        <v/>
      </c>
      <c r="I12836" s="4" t="str">
        <v/>
      </c>
    </row>
    <row r="12837" spans="5:9" ht="16.5" hidden="1">
      <c r="E12837" s="4" t="str">
        <v/>
      </c>
      <c r="F12837" s="102" t="str">
        <f ca="1">IFERROR(__xludf.DUMMYFUNCTION("IMPORTRANGE(H12837,""IDENTITAS UNIT!D9"")"),"#N/A")</f>
        <v>#N/A</v>
      </c>
      <c r="H12837" s="4" t="str">
        <v/>
      </c>
      <c r="I12837" s="4" t="str">
        <v/>
      </c>
    </row>
    <row r="12838" spans="5:9" ht="16.5" hidden="1">
      <c r="E12838" s="4" t="str">
        <v/>
      </c>
      <c r="F12838" s="102" t="str">
        <f ca="1">IFERROR(__xludf.DUMMYFUNCTION("IMPORTRANGE(H12838,""IDENTITAS UNIT!D9"")"),"#N/A")</f>
        <v>#N/A</v>
      </c>
      <c r="H12838" s="4" t="str">
        <v/>
      </c>
      <c r="I12838" s="4" t="str">
        <v/>
      </c>
    </row>
    <row r="12839" spans="5:9" ht="16.5" hidden="1">
      <c r="E12839" s="4" t="str">
        <v/>
      </c>
      <c r="F12839" s="102" t="str">
        <f ca="1">IFERROR(__xludf.DUMMYFUNCTION("IMPORTRANGE(H12839,""IDENTITAS UNIT!D9"")"),"#N/A")</f>
        <v>#N/A</v>
      </c>
      <c r="H12839" s="4" t="str">
        <v/>
      </c>
      <c r="I12839" s="4" t="str">
        <v/>
      </c>
    </row>
    <row r="12840" spans="5:9" ht="16.5" hidden="1">
      <c r="E12840" s="4" t="str">
        <v/>
      </c>
      <c r="F12840" s="102" t="str">
        <f ca="1">IFERROR(__xludf.DUMMYFUNCTION("IMPORTRANGE(H12840,""IDENTITAS UNIT!D9"")"),"#N/A")</f>
        <v>#N/A</v>
      </c>
      <c r="H12840" s="4" t="str">
        <v/>
      </c>
      <c r="I12840" s="4" t="str">
        <v/>
      </c>
    </row>
    <row r="12841" spans="5:9" ht="16.5" hidden="1">
      <c r="E12841" s="4" t="str">
        <v/>
      </c>
      <c r="F12841" s="102" t="str">
        <f ca="1">IFERROR(__xludf.DUMMYFUNCTION("IMPORTRANGE(H12841,""IDENTITAS UNIT!D9"")"),"#N/A")</f>
        <v>#N/A</v>
      </c>
      <c r="H12841" s="4" t="str">
        <v/>
      </c>
      <c r="I12841" s="4" t="str">
        <v/>
      </c>
    </row>
    <row r="12842" spans="5:9" ht="16.5" hidden="1">
      <c r="E12842" s="4" t="str">
        <v/>
      </c>
      <c r="F12842" s="102" t="str">
        <f ca="1">IFERROR(__xludf.DUMMYFUNCTION("IMPORTRANGE(H12842,""IDENTITAS UNIT!D9"")"),"#N/A")</f>
        <v>#N/A</v>
      </c>
      <c r="H12842" s="4" t="str">
        <v/>
      </c>
      <c r="I12842" s="4" t="str">
        <v/>
      </c>
    </row>
    <row r="12843" spans="5:9" ht="16.5" hidden="1">
      <c r="E12843" s="4" t="str">
        <v/>
      </c>
      <c r="F12843" s="102" t="str">
        <f ca="1">IFERROR(__xludf.DUMMYFUNCTION("IMPORTRANGE(H12843,""IDENTITAS UNIT!D9"")"),"#N/A")</f>
        <v>#N/A</v>
      </c>
      <c r="H12843" s="4" t="str">
        <v/>
      </c>
      <c r="I12843" s="4" t="str">
        <v/>
      </c>
    </row>
    <row r="12844" spans="5:9" ht="16.5" hidden="1">
      <c r="E12844" s="4" t="str">
        <v/>
      </c>
      <c r="F12844" s="102" t="str">
        <f ca="1">IFERROR(__xludf.DUMMYFUNCTION("IMPORTRANGE(H12844,""IDENTITAS UNIT!D9"")"),"#N/A")</f>
        <v>#N/A</v>
      </c>
      <c r="H12844" s="4" t="str">
        <v/>
      </c>
      <c r="I12844" s="4" t="str">
        <v/>
      </c>
    </row>
    <row r="12845" spans="5:9" ht="16.5" hidden="1">
      <c r="E12845" s="4" t="str">
        <v/>
      </c>
      <c r="F12845" s="102" t="str">
        <f ca="1">IFERROR(__xludf.DUMMYFUNCTION("IMPORTRANGE(H12845,""IDENTITAS UNIT!D9"")"),"#N/A")</f>
        <v>#N/A</v>
      </c>
      <c r="H12845" s="4" t="str">
        <v/>
      </c>
      <c r="I12845" s="4" t="str">
        <v/>
      </c>
    </row>
    <row r="12846" spans="5:9" ht="16.5" hidden="1">
      <c r="E12846" s="4" t="str">
        <v/>
      </c>
      <c r="F12846" s="102" t="str">
        <f ca="1">IFERROR(__xludf.DUMMYFUNCTION("IMPORTRANGE(H12846,""IDENTITAS UNIT!D9"")"),"#N/A")</f>
        <v>#N/A</v>
      </c>
      <c r="H12846" s="4" t="str">
        <v/>
      </c>
      <c r="I12846" s="4" t="str">
        <v/>
      </c>
    </row>
    <row r="12847" spans="5:9" ht="16.5" hidden="1">
      <c r="E12847" s="4" t="str">
        <v/>
      </c>
      <c r="F12847" s="102" t="str">
        <f ca="1">IFERROR(__xludf.DUMMYFUNCTION("IMPORTRANGE(H12847,""IDENTITAS UNIT!D9"")"),"#N/A")</f>
        <v>#N/A</v>
      </c>
      <c r="H12847" s="4" t="str">
        <v/>
      </c>
      <c r="I12847" s="4" t="str">
        <v/>
      </c>
    </row>
    <row r="12848" spans="5:9" ht="16.5" hidden="1">
      <c r="E12848" s="4" t="str">
        <v/>
      </c>
      <c r="F12848" s="102" t="str">
        <f ca="1">IFERROR(__xludf.DUMMYFUNCTION("IMPORTRANGE(H12848,""IDENTITAS UNIT!D9"")"),"#N/A")</f>
        <v>#N/A</v>
      </c>
      <c r="H12848" s="4" t="str">
        <v/>
      </c>
      <c r="I12848" s="4" t="str">
        <v/>
      </c>
    </row>
    <row r="12849" spans="5:9" ht="16.5" hidden="1">
      <c r="E12849" s="4" t="str">
        <v/>
      </c>
      <c r="F12849" s="102" t="str">
        <f ca="1">IFERROR(__xludf.DUMMYFUNCTION("IMPORTRANGE(H12849,""IDENTITAS UNIT!D9"")"),"#N/A")</f>
        <v>#N/A</v>
      </c>
      <c r="H12849" s="4" t="str">
        <v/>
      </c>
      <c r="I12849" s="4" t="str">
        <v/>
      </c>
    </row>
    <row r="12850" spans="5:9" ht="16.5" hidden="1">
      <c r="E12850" s="4" t="str">
        <v/>
      </c>
      <c r="F12850" s="102" t="str">
        <f ca="1">IFERROR(__xludf.DUMMYFUNCTION("IMPORTRANGE(H12850,""IDENTITAS UNIT!D9"")"),"#N/A")</f>
        <v>#N/A</v>
      </c>
      <c r="H12850" s="4" t="str">
        <v/>
      </c>
      <c r="I12850" s="4" t="str">
        <v/>
      </c>
    </row>
    <row r="12851" spans="5:9" ht="16.5" hidden="1">
      <c r="E12851" s="4" t="str">
        <v/>
      </c>
      <c r="F12851" s="102" t="str">
        <f ca="1">IFERROR(__xludf.DUMMYFUNCTION("IMPORTRANGE(H12851,""IDENTITAS UNIT!D9"")"),"#N/A")</f>
        <v>#N/A</v>
      </c>
      <c r="H12851" s="4" t="str">
        <v/>
      </c>
      <c r="I12851" s="4" t="str">
        <v/>
      </c>
    </row>
    <row r="12852" spans="5:9" ht="16.5" hidden="1">
      <c r="E12852" s="4" t="str">
        <v/>
      </c>
      <c r="F12852" s="102" t="str">
        <f ca="1">IFERROR(__xludf.DUMMYFUNCTION("IMPORTRANGE(H12852,""IDENTITAS UNIT!D9"")"),"#N/A")</f>
        <v>#N/A</v>
      </c>
      <c r="H12852" s="4" t="str">
        <v/>
      </c>
      <c r="I12852" s="4" t="str">
        <v/>
      </c>
    </row>
    <row r="12853" spans="5:9" ht="16.5" hidden="1">
      <c r="E12853" s="4" t="str">
        <v/>
      </c>
      <c r="F12853" s="102" t="str">
        <f ca="1">IFERROR(__xludf.DUMMYFUNCTION("IMPORTRANGE(H12853,""IDENTITAS UNIT!D9"")"),"#N/A")</f>
        <v>#N/A</v>
      </c>
      <c r="H12853" s="4" t="str">
        <v/>
      </c>
      <c r="I12853" s="4" t="str">
        <v/>
      </c>
    </row>
    <row r="12854" spans="5:9" ht="16.5" hidden="1">
      <c r="E12854" s="4" t="str">
        <v/>
      </c>
      <c r="F12854" s="102" t="str">
        <f ca="1">IFERROR(__xludf.DUMMYFUNCTION("IMPORTRANGE(H12854,""IDENTITAS UNIT!D9"")"),"#N/A")</f>
        <v>#N/A</v>
      </c>
      <c r="H12854" s="4" t="str">
        <v/>
      </c>
      <c r="I12854" s="4" t="str">
        <v/>
      </c>
    </row>
    <row r="12855" spans="5:9" ht="16.5" hidden="1">
      <c r="E12855" s="4" t="str">
        <v/>
      </c>
      <c r="F12855" s="102" t="str">
        <f ca="1">IFERROR(__xludf.DUMMYFUNCTION("IMPORTRANGE(H12855,""IDENTITAS UNIT!D9"")"),"#N/A")</f>
        <v>#N/A</v>
      </c>
      <c r="H12855" s="4" t="str">
        <v/>
      </c>
      <c r="I12855" s="4" t="str">
        <v/>
      </c>
    </row>
    <row r="12856" spans="5:9" ht="16.5" hidden="1">
      <c r="E12856" s="4" t="str">
        <v/>
      </c>
      <c r="F12856" s="102" t="str">
        <f ca="1">IFERROR(__xludf.DUMMYFUNCTION("IMPORTRANGE(H12856,""IDENTITAS UNIT!D9"")"),"#N/A")</f>
        <v>#N/A</v>
      </c>
      <c r="H12856" s="4" t="str">
        <v/>
      </c>
      <c r="I12856" s="4" t="str">
        <v/>
      </c>
    </row>
    <row r="12857" spans="5:9" ht="16.5" hidden="1">
      <c r="E12857" s="4" t="str">
        <v/>
      </c>
      <c r="F12857" s="102" t="str">
        <f ca="1">IFERROR(__xludf.DUMMYFUNCTION("IMPORTRANGE(H12857,""IDENTITAS UNIT!D9"")"),"#N/A")</f>
        <v>#N/A</v>
      </c>
      <c r="H12857" s="4" t="str">
        <v/>
      </c>
      <c r="I12857" s="4" t="str">
        <v/>
      </c>
    </row>
    <row r="12858" spans="5:9" ht="16.5" hidden="1">
      <c r="E12858" s="4" t="str">
        <v/>
      </c>
      <c r="F12858" s="102" t="str">
        <f ca="1">IFERROR(__xludf.DUMMYFUNCTION("IMPORTRANGE(H12858,""IDENTITAS UNIT!D9"")"),"#N/A")</f>
        <v>#N/A</v>
      </c>
      <c r="H12858" s="4" t="str">
        <v/>
      </c>
      <c r="I12858" s="4" t="str">
        <v/>
      </c>
    </row>
    <row r="12859" spans="5:9" ht="16.5" hidden="1">
      <c r="E12859" s="4" t="str">
        <v/>
      </c>
      <c r="F12859" s="102" t="str">
        <f ca="1">IFERROR(__xludf.DUMMYFUNCTION("IMPORTRANGE(H12859,""IDENTITAS UNIT!D9"")"),"#N/A")</f>
        <v>#N/A</v>
      </c>
      <c r="H12859" s="4" t="str">
        <v/>
      </c>
      <c r="I12859" s="4" t="str">
        <v/>
      </c>
    </row>
    <row r="12860" spans="5:9" ht="16.5" hidden="1">
      <c r="E12860" s="4" t="str">
        <v/>
      </c>
      <c r="F12860" s="102" t="str">
        <f ca="1">IFERROR(__xludf.DUMMYFUNCTION("IMPORTRANGE(H12860,""IDENTITAS UNIT!D9"")"),"#N/A")</f>
        <v>#N/A</v>
      </c>
      <c r="H12860" s="4" t="str">
        <v/>
      </c>
      <c r="I12860" s="4" t="str">
        <v/>
      </c>
    </row>
    <row r="12861" spans="5:9" ht="16.5" hidden="1">
      <c r="E12861" s="4" t="str">
        <v/>
      </c>
      <c r="F12861" s="102" t="str">
        <f ca="1">IFERROR(__xludf.DUMMYFUNCTION("IMPORTRANGE(H12861,""IDENTITAS UNIT!D9"")"),"#N/A")</f>
        <v>#N/A</v>
      </c>
      <c r="H12861" s="4" t="str">
        <v/>
      </c>
      <c r="I12861" s="4" t="str">
        <v/>
      </c>
    </row>
    <row r="12862" spans="5:9" ht="16.5" hidden="1">
      <c r="E12862" s="4" t="str">
        <v/>
      </c>
      <c r="F12862" s="102" t="str">
        <f ca="1">IFERROR(__xludf.DUMMYFUNCTION("IMPORTRANGE(H12862,""IDENTITAS UNIT!D9"")"),"#N/A")</f>
        <v>#N/A</v>
      </c>
      <c r="H12862" s="4" t="str">
        <v/>
      </c>
      <c r="I12862" s="4" t="str">
        <v/>
      </c>
    </row>
    <row r="12863" spans="5:9" ht="16.5" hidden="1">
      <c r="E12863" s="4" t="str">
        <v/>
      </c>
      <c r="F12863" s="102" t="str">
        <f ca="1">IFERROR(__xludf.DUMMYFUNCTION("IMPORTRANGE(H12863,""IDENTITAS UNIT!D9"")"),"#N/A")</f>
        <v>#N/A</v>
      </c>
      <c r="H12863" s="4" t="str">
        <v/>
      </c>
      <c r="I12863" s="4" t="str">
        <v/>
      </c>
    </row>
    <row r="12864" spans="5:9" ht="16.5" hidden="1">
      <c r="E12864" s="4" t="str">
        <v/>
      </c>
      <c r="F12864" s="102" t="str">
        <f ca="1">IFERROR(__xludf.DUMMYFUNCTION("IMPORTRANGE(H12864,""IDENTITAS UNIT!D9"")"),"#N/A")</f>
        <v>#N/A</v>
      </c>
      <c r="H12864" s="4" t="str">
        <v/>
      </c>
      <c r="I12864" s="4" t="str">
        <v/>
      </c>
    </row>
    <row r="12865" spans="5:9" ht="16.5" hidden="1">
      <c r="E12865" s="4" t="str">
        <v/>
      </c>
      <c r="F12865" s="102" t="str">
        <f ca="1">IFERROR(__xludf.DUMMYFUNCTION("IMPORTRANGE(H12865,""IDENTITAS UNIT!D9"")"),"#N/A")</f>
        <v>#N/A</v>
      </c>
      <c r="H12865" s="4" t="str">
        <v/>
      </c>
      <c r="I12865" s="4" t="str">
        <v/>
      </c>
    </row>
    <row r="12866" spans="5:9" ht="16.5" hidden="1">
      <c r="E12866" s="4" t="str">
        <v/>
      </c>
      <c r="F12866" s="102" t="str">
        <f ca="1">IFERROR(__xludf.DUMMYFUNCTION("IMPORTRANGE(H12866,""IDENTITAS UNIT!D9"")"),"#N/A")</f>
        <v>#N/A</v>
      </c>
      <c r="H12866" s="4" t="str">
        <v/>
      </c>
      <c r="I12866" s="4" t="str">
        <v/>
      </c>
    </row>
    <row r="12867" spans="5:9" ht="16.5" hidden="1">
      <c r="E12867" s="4" t="str">
        <v/>
      </c>
      <c r="F12867" s="102" t="str">
        <f ca="1">IFERROR(__xludf.DUMMYFUNCTION("IMPORTRANGE(H12867,""IDENTITAS UNIT!D9"")"),"#N/A")</f>
        <v>#N/A</v>
      </c>
      <c r="H12867" s="4" t="str">
        <v/>
      </c>
      <c r="I12867" s="4" t="str">
        <v/>
      </c>
    </row>
    <row r="12868" spans="5:9" ht="16.5" hidden="1">
      <c r="E12868" s="4" t="str">
        <v/>
      </c>
      <c r="F12868" s="102" t="str">
        <f ca="1">IFERROR(__xludf.DUMMYFUNCTION("IMPORTRANGE(H12868,""IDENTITAS UNIT!D9"")"),"#N/A")</f>
        <v>#N/A</v>
      </c>
      <c r="H12868" s="4" t="str">
        <v/>
      </c>
      <c r="I12868" s="4" t="str">
        <v/>
      </c>
    </row>
    <row r="12869" spans="5:9" ht="16.5" hidden="1">
      <c r="E12869" s="4" t="str">
        <v/>
      </c>
      <c r="F12869" s="102" t="str">
        <f ca="1">IFERROR(__xludf.DUMMYFUNCTION("IMPORTRANGE(H12869,""IDENTITAS UNIT!D9"")"),"#N/A")</f>
        <v>#N/A</v>
      </c>
      <c r="H12869" s="4" t="str">
        <v/>
      </c>
      <c r="I12869" s="4" t="str">
        <v/>
      </c>
    </row>
    <row r="12870" spans="5:9" ht="16.5" hidden="1">
      <c r="E12870" s="4" t="str">
        <v/>
      </c>
      <c r="F12870" s="102" t="str">
        <f ca="1">IFERROR(__xludf.DUMMYFUNCTION("IMPORTRANGE(H12870,""IDENTITAS UNIT!D9"")"),"#N/A")</f>
        <v>#N/A</v>
      </c>
      <c r="H12870" s="4" t="str">
        <v/>
      </c>
      <c r="I12870" s="4" t="str">
        <v/>
      </c>
    </row>
    <row r="12871" spans="5:9" ht="16.5" hidden="1">
      <c r="E12871" s="4" t="str">
        <v/>
      </c>
      <c r="F12871" s="102" t="str">
        <f ca="1">IFERROR(__xludf.DUMMYFUNCTION("IMPORTRANGE(H12871,""IDENTITAS UNIT!D9"")"),"#N/A")</f>
        <v>#N/A</v>
      </c>
      <c r="H12871" s="4" t="str">
        <v/>
      </c>
      <c r="I12871" s="4" t="str">
        <v/>
      </c>
    </row>
    <row r="12872" spans="5:9" ht="16.5" hidden="1">
      <c r="E12872" s="4" t="str">
        <v/>
      </c>
      <c r="F12872" s="102" t="str">
        <f ca="1">IFERROR(__xludf.DUMMYFUNCTION("IMPORTRANGE(H12872,""IDENTITAS UNIT!D9"")"),"#N/A")</f>
        <v>#N/A</v>
      </c>
      <c r="H12872" s="4" t="str">
        <v/>
      </c>
      <c r="I12872" s="4" t="str">
        <v/>
      </c>
    </row>
    <row r="12873" spans="5:9" ht="16.5" hidden="1">
      <c r="E12873" s="4" t="str">
        <v/>
      </c>
      <c r="F12873" s="102" t="str">
        <f ca="1">IFERROR(__xludf.DUMMYFUNCTION("IMPORTRANGE(H12873,""IDENTITAS UNIT!D9"")"),"#N/A")</f>
        <v>#N/A</v>
      </c>
      <c r="H12873" s="4" t="str">
        <v/>
      </c>
      <c r="I12873" s="4" t="str">
        <v/>
      </c>
    </row>
    <row r="12874" spans="5:9" ht="16.5" hidden="1">
      <c r="E12874" s="4" t="str">
        <v/>
      </c>
      <c r="F12874" s="102" t="str">
        <f ca="1">IFERROR(__xludf.DUMMYFUNCTION("IMPORTRANGE(H12874,""IDENTITAS UNIT!D9"")"),"#N/A")</f>
        <v>#N/A</v>
      </c>
      <c r="H12874" s="4" t="str">
        <v/>
      </c>
      <c r="I12874" s="4" t="str">
        <v/>
      </c>
    </row>
    <row r="12875" spans="5:9" ht="16.5" hidden="1">
      <c r="E12875" s="4" t="str">
        <v/>
      </c>
      <c r="F12875" s="102" t="str">
        <f ca="1">IFERROR(__xludf.DUMMYFUNCTION("IMPORTRANGE(H12875,""IDENTITAS UNIT!D9"")"),"#N/A")</f>
        <v>#N/A</v>
      </c>
      <c r="H12875" s="4" t="str">
        <v/>
      </c>
      <c r="I12875" s="4" t="str">
        <v/>
      </c>
    </row>
    <row r="12876" spans="5:9" ht="16.5" hidden="1">
      <c r="E12876" s="4" t="str">
        <v/>
      </c>
      <c r="F12876" s="102" t="str">
        <f ca="1">IFERROR(__xludf.DUMMYFUNCTION("IMPORTRANGE(H12876,""IDENTITAS UNIT!D9"")"),"#N/A")</f>
        <v>#N/A</v>
      </c>
      <c r="H12876" s="4" t="str">
        <v/>
      </c>
      <c r="I12876" s="4" t="str">
        <v/>
      </c>
    </row>
    <row r="12877" spans="5:9" ht="16.5" hidden="1">
      <c r="E12877" s="4" t="str">
        <v/>
      </c>
      <c r="F12877" s="102" t="str">
        <f ca="1">IFERROR(__xludf.DUMMYFUNCTION("IMPORTRANGE(H12877,""IDENTITAS UNIT!D9"")"),"#N/A")</f>
        <v>#N/A</v>
      </c>
      <c r="H12877" s="4" t="str">
        <v/>
      </c>
      <c r="I12877" s="4" t="str">
        <v/>
      </c>
    </row>
    <row r="12878" spans="5:9" ht="16.5" hidden="1">
      <c r="E12878" s="4" t="str">
        <v/>
      </c>
      <c r="F12878" s="102" t="str">
        <f ca="1">IFERROR(__xludf.DUMMYFUNCTION("IMPORTRANGE(H12878,""IDENTITAS UNIT!D9"")"),"#N/A")</f>
        <v>#N/A</v>
      </c>
      <c r="H12878" s="4" t="str">
        <v/>
      </c>
      <c r="I12878" s="4" t="str">
        <v/>
      </c>
    </row>
    <row r="12879" spans="5:9" ht="16.5" hidden="1">
      <c r="E12879" s="4" t="str">
        <v/>
      </c>
      <c r="F12879" s="102" t="str">
        <f ca="1">IFERROR(__xludf.DUMMYFUNCTION("IMPORTRANGE(H12879,""IDENTITAS UNIT!D9"")"),"#N/A")</f>
        <v>#N/A</v>
      </c>
      <c r="H12879" s="4" t="str">
        <v/>
      </c>
      <c r="I12879" s="4" t="str">
        <v/>
      </c>
    </row>
    <row r="12880" spans="5:9" ht="16.5" hidden="1">
      <c r="E12880" s="4" t="str">
        <v/>
      </c>
      <c r="F12880" s="102" t="str">
        <f ca="1">IFERROR(__xludf.DUMMYFUNCTION("IMPORTRANGE(H12880,""IDENTITAS UNIT!D9"")"),"#N/A")</f>
        <v>#N/A</v>
      </c>
      <c r="H12880" s="4" t="str">
        <v/>
      </c>
      <c r="I12880" s="4" t="str">
        <v/>
      </c>
    </row>
    <row r="12881" spans="5:9" ht="16.5" hidden="1">
      <c r="E12881" s="4" t="str">
        <v/>
      </c>
      <c r="F12881" s="102" t="str">
        <f ca="1">IFERROR(__xludf.DUMMYFUNCTION("IMPORTRANGE(H12881,""IDENTITAS UNIT!D9"")"),"#N/A")</f>
        <v>#N/A</v>
      </c>
      <c r="H12881" s="4" t="str">
        <v/>
      </c>
      <c r="I12881" s="4" t="str">
        <v/>
      </c>
    </row>
    <row r="12882" spans="5:9" ht="16.5" hidden="1">
      <c r="E12882" s="4" t="str">
        <v/>
      </c>
      <c r="F12882" s="102" t="str">
        <f ca="1">IFERROR(__xludf.DUMMYFUNCTION("IMPORTRANGE(H12882,""IDENTITAS UNIT!D9"")"),"#N/A")</f>
        <v>#N/A</v>
      </c>
      <c r="H12882" s="4" t="str">
        <v/>
      </c>
      <c r="I12882" s="4" t="str">
        <v/>
      </c>
    </row>
    <row r="12883" spans="5:9" ht="16.5" hidden="1">
      <c r="E12883" s="4" t="str">
        <v/>
      </c>
      <c r="F12883" s="102" t="str">
        <f ca="1">IFERROR(__xludf.DUMMYFUNCTION("IMPORTRANGE(H12883,""IDENTITAS UNIT!D9"")"),"#N/A")</f>
        <v>#N/A</v>
      </c>
      <c r="H12883" s="4" t="str">
        <v/>
      </c>
      <c r="I12883" s="4" t="str">
        <v/>
      </c>
    </row>
    <row r="12884" spans="5:9" ht="16.5" hidden="1">
      <c r="E12884" s="4" t="str">
        <v/>
      </c>
      <c r="F12884" s="102" t="str">
        <f ca="1">IFERROR(__xludf.DUMMYFUNCTION("IMPORTRANGE(H12884,""IDENTITAS UNIT!D9"")"),"#N/A")</f>
        <v>#N/A</v>
      </c>
      <c r="H12884" s="4" t="str">
        <v/>
      </c>
      <c r="I12884" s="4" t="str">
        <v/>
      </c>
    </row>
    <row r="12885" spans="5:9" ht="16.5" hidden="1">
      <c r="E12885" s="4" t="str">
        <v/>
      </c>
      <c r="F12885" s="102" t="str">
        <f ca="1">IFERROR(__xludf.DUMMYFUNCTION("IMPORTRANGE(H12885,""IDENTITAS UNIT!D9"")"),"#N/A")</f>
        <v>#N/A</v>
      </c>
      <c r="H12885" s="4" t="str">
        <v/>
      </c>
      <c r="I12885" s="4" t="str">
        <v/>
      </c>
    </row>
    <row r="12886" spans="5:9" ht="16.5" hidden="1">
      <c r="E12886" s="4" t="str">
        <v/>
      </c>
      <c r="F12886" s="102" t="str">
        <f ca="1">IFERROR(__xludf.DUMMYFUNCTION("IMPORTRANGE(H12886,""IDENTITAS UNIT!D9"")"),"#N/A")</f>
        <v>#N/A</v>
      </c>
      <c r="H12886" s="4" t="str">
        <v/>
      </c>
      <c r="I12886" s="4" t="str">
        <v/>
      </c>
    </row>
    <row r="12887" spans="5:9" ht="16.5" hidden="1">
      <c r="E12887" s="4" t="str">
        <v/>
      </c>
      <c r="F12887" s="102" t="str">
        <f ca="1">IFERROR(__xludf.DUMMYFUNCTION("IMPORTRANGE(H12887,""IDENTITAS UNIT!D9"")"),"#N/A")</f>
        <v>#N/A</v>
      </c>
      <c r="H12887" s="4" t="str">
        <v/>
      </c>
      <c r="I12887" s="4" t="str">
        <v/>
      </c>
    </row>
    <row r="12888" spans="5:9" ht="16.5" hidden="1">
      <c r="E12888" s="4" t="str">
        <v/>
      </c>
      <c r="F12888" s="102" t="str">
        <f ca="1">IFERROR(__xludf.DUMMYFUNCTION("IMPORTRANGE(H12888,""IDENTITAS UNIT!D9"")"),"#N/A")</f>
        <v>#N/A</v>
      </c>
      <c r="H12888" s="4" t="str">
        <v/>
      </c>
      <c r="I12888" s="4" t="str">
        <v/>
      </c>
    </row>
    <row r="12889" spans="5:9" ht="16.5" hidden="1">
      <c r="E12889" s="4" t="str">
        <v/>
      </c>
      <c r="F12889" s="102" t="str">
        <f ca="1">IFERROR(__xludf.DUMMYFUNCTION("IMPORTRANGE(H12889,""IDENTITAS UNIT!D9"")"),"#N/A")</f>
        <v>#N/A</v>
      </c>
      <c r="H12889" s="4" t="str">
        <v/>
      </c>
      <c r="I12889" s="4" t="str">
        <v/>
      </c>
    </row>
    <row r="12890" spans="5:9" ht="16.5" hidden="1">
      <c r="E12890" s="4" t="str">
        <v/>
      </c>
      <c r="F12890" s="102" t="str">
        <f ca="1">IFERROR(__xludf.DUMMYFUNCTION("IMPORTRANGE(H12890,""IDENTITAS UNIT!D9"")"),"#N/A")</f>
        <v>#N/A</v>
      </c>
      <c r="H12890" s="4" t="str">
        <v/>
      </c>
      <c r="I12890" s="4" t="str">
        <v/>
      </c>
    </row>
    <row r="12891" spans="5:9" ht="16.5" hidden="1">
      <c r="E12891" s="4" t="str">
        <v/>
      </c>
      <c r="F12891" s="102" t="str">
        <f ca="1">IFERROR(__xludf.DUMMYFUNCTION("IMPORTRANGE(H12891,""IDENTITAS UNIT!D9"")"),"#N/A")</f>
        <v>#N/A</v>
      </c>
      <c r="H12891" s="4" t="str">
        <v/>
      </c>
      <c r="I12891" s="4" t="str">
        <v/>
      </c>
    </row>
    <row r="12892" spans="5:9" ht="16.5" hidden="1">
      <c r="E12892" s="4" t="str">
        <v/>
      </c>
      <c r="F12892" s="102" t="str">
        <f ca="1">IFERROR(__xludf.DUMMYFUNCTION("IMPORTRANGE(H12892,""IDENTITAS UNIT!D9"")"),"#N/A")</f>
        <v>#N/A</v>
      </c>
      <c r="H12892" s="4" t="str">
        <v/>
      </c>
      <c r="I12892" s="4" t="str">
        <v/>
      </c>
    </row>
    <row r="12893" spans="5:9" ht="16.5" hidden="1">
      <c r="E12893" s="4" t="str">
        <v/>
      </c>
      <c r="F12893" s="102" t="str">
        <f ca="1">IFERROR(__xludf.DUMMYFUNCTION("IMPORTRANGE(H12893,""IDENTITAS UNIT!D9"")"),"#N/A")</f>
        <v>#N/A</v>
      </c>
      <c r="H12893" s="4" t="str">
        <v/>
      </c>
      <c r="I12893" s="4" t="str">
        <v/>
      </c>
    </row>
    <row r="12894" spans="5:9" ht="16.5" hidden="1">
      <c r="E12894" s="4" t="str">
        <v/>
      </c>
      <c r="F12894" s="102" t="str">
        <f ca="1">IFERROR(__xludf.DUMMYFUNCTION("IMPORTRANGE(H12894,""IDENTITAS UNIT!D9"")"),"#N/A")</f>
        <v>#N/A</v>
      </c>
      <c r="H12894" s="4" t="str">
        <v/>
      </c>
      <c r="I12894" s="4" t="str">
        <v/>
      </c>
    </row>
    <row r="12895" spans="5:9" ht="16.5" hidden="1">
      <c r="E12895" s="4" t="str">
        <v/>
      </c>
      <c r="F12895" s="102" t="str">
        <f ca="1">IFERROR(__xludf.DUMMYFUNCTION("IMPORTRANGE(H12895,""IDENTITAS UNIT!D9"")"),"#N/A")</f>
        <v>#N/A</v>
      </c>
      <c r="H12895" s="4" t="str">
        <v/>
      </c>
      <c r="I12895" s="4" t="str">
        <v/>
      </c>
    </row>
    <row r="12896" spans="5:9" ht="16.5" hidden="1">
      <c r="E12896" s="4" t="str">
        <v/>
      </c>
      <c r="F12896" s="102" t="str">
        <f ca="1">IFERROR(__xludf.DUMMYFUNCTION("IMPORTRANGE(H12896,""IDENTITAS UNIT!D9"")"),"#N/A")</f>
        <v>#N/A</v>
      </c>
      <c r="H12896" s="4" t="str">
        <v/>
      </c>
      <c r="I12896" s="4" t="str">
        <v/>
      </c>
    </row>
    <row r="12897" spans="5:9" ht="16.5" hidden="1">
      <c r="E12897" s="4" t="str">
        <v/>
      </c>
      <c r="F12897" s="102" t="str">
        <f ca="1">IFERROR(__xludf.DUMMYFUNCTION("IMPORTRANGE(H12897,""IDENTITAS UNIT!D9"")"),"#N/A")</f>
        <v>#N/A</v>
      </c>
      <c r="H12897" s="4" t="str">
        <v/>
      </c>
      <c r="I12897" s="4" t="str">
        <v/>
      </c>
    </row>
    <row r="12898" spans="5:9" ht="16.5" hidden="1">
      <c r="E12898" s="4" t="str">
        <v/>
      </c>
      <c r="F12898" s="102" t="str">
        <f ca="1">IFERROR(__xludf.DUMMYFUNCTION("IMPORTRANGE(H12898,""IDENTITAS UNIT!D9"")"),"#N/A")</f>
        <v>#N/A</v>
      </c>
      <c r="H12898" s="4" t="str">
        <v/>
      </c>
      <c r="I12898" s="4" t="str">
        <v/>
      </c>
    </row>
    <row r="12899" spans="5:9" ht="16.5" hidden="1">
      <c r="E12899" s="4" t="str">
        <v/>
      </c>
      <c r="F12899" s="102" t="str">
        <f ca="1">IFERROR(__xludf.DUMMYFUNCTION("IMPORTRANGE(H12899,""IDENTITAS UNIT!D9"")"),"#N/A")</f>
        <v>#N/A</v>
      </c>
      <c r="H12899" s="4" t="str">
        <v/>
      </c>
      <c r="I12899" s="4" t="str">
        <v/>
      </c>
    </row>
    <row r="12900" spans="5:9" ht="16.5" hidden="1">
      <c r="E12900" s="4" t="str">
        <v/>
      </c>
      <c r="F12900" s="102" t="str">
        <f ca="1">IFERROR(__xludf.DUMMYFUNCTION("IMPORTRANGE(H12900,""IDENTITAS UNIT!D9"")"),"#N/A")</f>
        <v>#N/A</v>
      </c>
      <c r="H12900" s="4" t="str">
        <v/>
      </c>
      <c r="I12900" s="4" t="str">
        <v/>
      </c>
    </row>
    <row r="12901" spans="5:9" ht="16.5" hidden="1">
      <c r="E12901" s="4" t="str">
        <v/>
      </c>
      <c r="F12901" s="102" t="str">
        <f ca="1">IFERROR(__xludf.DUMMYFUNCTION("IMPORTRANGE(H12901,""IDENTITAS UNIT!D9"")"),"#N/A")</f>
        <v>#N/A</v>
      </c>
      <c r="H12901" s="4" t="str">
        <v/>
      </c>
      <c r="I12901" s="4" t="str">
        <v/>
      </c>
    </row>
    <row r="12902" spans="5:9" ht="16.5" hidden="1">
      <c r="E12902" s="4" t="str">
        <v/>
      </c>
      <c r="F12902" s="102" t="str">
        <f ca="1">IFERROR(__xludf.DUMMYFUNCTION("IMPORTRANGE(H12902,""IDENTITAS UNIT!D9"")"),"#N/A")</f>
        <v>#N/A</v>
      </c>
      <c r="H12902" s="4" t="str">
        <v/>
      </c>
      <c r="I12902" s="4" t="str">
        <v/>
      </c>
    </row>
    <row r="12903" spans="5:9" ht="16.5" hidden="1">
      <c r="E12903" s="4" t="str">
        <v/>
      </c>
      <c r="F12903" s="102" t="str">
        <f ca="1">IFERROR(__xludf.DUMMYFUNCTION("IMPORTRANGE(H12903,""IDENTITAS UNIT!D9"")"),"#N/A")</f>
        <v>#N/A</v>
      </c>
      <c r="H12903" s="4" t="str">
        <v/>
      </c>
      <c r="I12903" s="4" t="str">
        <v/>
      </c>
    </row>
    <row r="12904" spans="5:9" ht="16.5" hidden="1">
      <c r="E12904" s="4" t="str">
        <v/>
      </c>
      <c r="F12904" s="102" t="str">
        <f ca="1">IFERROR(__xludf.DUMMYFUNCTION("IMPORTRANGE(H12904,""IDENTITAS UNIT!D9"")"),"#N/A")</f>
        <v>#N/A</v>
      </c>
      <c r="H12904" s="4" t="str">
        <v/>
      </c>
      <c r="I12904" s="4" t="str">
        <v/>
      </c>
    </row>
    <row r="12905" spans="5:9" ht="16.5" hidden="1">
      <c r="E12905" s="4" t="str">
        <v/>
      </c>
      <c r="F12905" s="102" t="str">
        <f ca="1">IFERROR(__xludf.DUMMYFUNCTION("IMPORTRANGE(H12905,""IDENTITAS UNIT!D9"")"),"#N/A")</f>
        <v>#N/A</v>
      </c>
      <c r="H12905" s="4" t="str">
        <v/>
      </c>
      <c r="I12905" s="4" t="str">
        <v/>
      </c>
    </row>
    <row r="12906" spans="5:9" ht="16.5" hidden="1">
      <c r="E12906" s="4" t="str">
        <v/>
      </c>
      <c r="F12906" s="102" t="str">
        <f ca="1">IFERROR(__xludf.DUMMYFUNCTION("IMPORTRANGE(H12906,""IDENTITAS UNIT!D9"")"),"#N/A")</f>
        <v>#N/A</v>
      </c>
      <c r="H12906" s="4" t="str">
        <v/>
      </c>
      <c r="I12906" s="4" t="str">
        <v/>
      </c>
    </row>
    <row r="12907" spans="5:9" ht="16.5" hidden="1">
      <c r="E12907" s="4" t="str">
        <v/>
      </c>
      <c r="F12907" s="102" t="str">
        <f ca="1">IFERROR(__xludf.DUMMYFUNCTION("IMPORTRANGE(H12907,""IDENTITAS UNIT!D9"")"),"#N/A")</f>
        <v>#N/A</v>
      </c>
      <c r="H12907" s="4" t="str">
        <v/>
      </c>
      <c r="I12907" s="4" t="str">
        <v/>
      </c>
    </row>
    <row r="12908" spans="5:9" ht="16.5" hidden="1">
      <c r="E12908" s="4" t="str">
        <v/>
      </c>
      <c r="F12908" s="102" t="str">
        <f ca="1">IFERROR(__xludf.DUMMYFUNCTION("IMPORTRANGE(H12908,""IDENTITAS UNIT!D9"")"),"#N/A")</f>
        <v>#N/A</v>
      </c>
      <c r="H12908" s="4" t="str">
        <v/>
      </c>
      <c r="I12908" s="4" t="str">
        <v/>
      </c>
    </row>
    <row r="12909" spans="5:9" ht="16.5" hidden="1">
      <c r="E12909" s="4" t="str">
        <v/>
      </c>
      <c r="F12909" s="102" t="str">
        <f ca="1">IFERROR(__xludf.DUMMYFUNCTION("IMPORTRANGE(H12909,""IDENTITAS UNIT!D9"")"),"#N/A")</f>
        <v>#N/A</v>
      </c>
      <c r="H12909" s="4" t="str">
        <v/>
      </c>
      <c r="I12909" s="4" t="str">
        <v/>
      </c>
    </row>
    <row r="12910" spans="5:9" ht="16.5" hidden="1">
      <c r="E12910" s="4" t="str">
        <v/>
      </c>
      <c r="F12910" s="102" t="str">
        <f ca="1">IFERROR(__xludf.DUMMYFUNCTION("IMPORTRANGE(H12910,""IDENTITAS UNIT!D9"")"),"#N/A")</f>
        <v>#N/A</v>
      </c>
      <c r="H12910" s="4" t="str">
        <v/>
      </c>
      <c r="I12910" s="4" t="str">
        <v/>
      </c>
    </row>
    <row r="12911" spans="5:9" ht="16.5" hidden="1">
      <c r="E12911" s="4" t="str">
        <v/>
      </c>
      <c r="F12911" s="102" t="str">
        <f ca="1">IFERROR(__xludf.DUMMYFUNCTION("IMPORTRANGE(H12911,""IDENTITAS UNIT!D9"")"),"#N/A")</f>
        <v>#N/A</v>
      </c>
      <c r="H12911" s="4" t="str">
        <v/>
      </c>
      <c r="I12911" s="4" t="str">
        <v/>
      </c>
    </row>
    <row r="12912" spans="5:9" ht="16.5" hidden="1">
      <c r="E12912" s="4" t="str">
        <v/>
      </c>
      <c r="F12912" s="102" t="str">
        <f ca="1">IFERROR(__xludf.DUMMYFUNCTION("IMPORTRANGE(H12912,""IDENTITAS UNIT!D9"")"),"#N/A")</f>
        <v>#N/A</v>
      </c>
      <c r="H12912" s="4" t="str">
        <v/>
      </c>
      <c r="I12912" s="4" t="str">
        <v/>
      </c>
    </row>
    <row r="12913" spans="5:9" ht="16.5" hidden="1">
      <c r="E12913" s="4" t="str">
        <v/>
      </c>
      <c r="F12913" s="102" t="str">
        <f ca="1">IFERROR(__xludf.DUMMYFUNCTION("IMPORTRANGE(H12913,""IDENTITAS UNIT!D9"")"),"#N/A")</f>
        <v>#N/A</v>
      </c>
      <c r="H12913" s="4" t="str">
        <v/>
      </c>
      <c r="I12913" s="4" t="str">
        <v/>
      </c>
    </row>
    <row r="12914" spans="5:9" ht="16.5" hidden="1">
      <c r="E12914" s="4" t="str">
        <v/>
      </c>
      <c r="F12914" s="102" t="str">
        <f ca="1">IFERROR(__xludf.DUMMYFUNCTION("IMPORTRANGE(H12914,""IDENTITAS UNIT!D9"")"),"#N/A")</f>
        <v>#N/A</v>
      </c>
      <c r="H12914" s="4" t="str">
        <v/>
      </c>
      <c r="I12914" s="4" t="str">
        <v/>
      </c>
    </row>
    <row r="12915" spans="5:9" ht="16.5" hidden="1">
      <c r="E12915" s="4" t="str">
        <v/>
      </c>
      <c r="F12915" s="102" t="str">
        <f ca="1">IFERROR(__xludf.DUMMYFUNCTION("IMPORTRANGE(H12915,""IDENTITAS UNIT!D9"")"),"#N/A")</f>
        <v>#N/A</v>
      </c>
      <c r="H12915" s="4" t="str">
        <v/>
      </c>
      <c r="I12915" s="4" t="str">
        <v/>
      </c>
    </row>
    <row r="12916" spans="5:9" ht="16.5" hidden="1">
      <c r="E12916" s="4" t="str">
        <v/>
      </c>
      <c r="F12916" s="102" t="str">
        <f ca="1">IFERROR(__xludf.DUMMYFUNCTION("IMPORTRANGE(H12916,""IDENTITAS UNIT!D9"")"),"#N/A")</f>
        <v>#N/A</v>
      </c>
      <c r="H12916" s="4" t="str">
        <v/>
      </c>
      <c r="I12916" s="4" t="str">
        <v/>
      </c>
    </row>
    <row r="12917" spans="5:9" ht="16.5" hidden="1">
      <c r="E12917" s="4" t="str">
        <v/>
      </c>
      <c r="F12917" s="102" t="str">
        <f ca="1">IFERROR(__xludf.DUMMYFUNCTION("IMPORTRANGE(H12917,""IDENTITAS UNIT!D9"")"),"#N/A")</f>
        <v>#N/A</v>
      </c>
      <c r="H12917" s="4" t="str">
        <v/>
      </c>
      <c r="I12917" s="4" t="str">
        <v/>
      </c>
    </row>
    <row r="12918" spans="5:9" ht="16.5" hidden="1">
      <c r="E12918" s="4" t="str">
        <v/>
      </c>
      <c r="F12918" s="102" t="str">
        <f ca="1">IFERROR(__xludf.DUMMYFUNCTION("IMPORTRANGE(H12918,""IDENTITAS UNIT!D9"")"),"#N/A")</f>
        <v>#N/A</v>
      </c>
      <c r="H12918" s="4" t="str">
        <v/>
      </c>
      <c r="I12918" s="4" t="str">
        <v/>
      </c>
    </row>
    <row r="12919" spans="5:9" ht="16.5" hidden="1">
      <c r="E12919" s="4" t="str">
        <v/>
      </c>
      <c r="F12919" s="102" t="str">
        <f ca="1">IFERROR(__xludf.DUMMYFUNCTION("IMPORTRANGE(H12919,""IDENTITAS UNIT!D9"")"),"#N/A")</f>
        <v>#N/A</v>
      </c>
      <c r="H12919" s="4" t="str">
        <v/>
      </c>
      <c r="I12919" s="4" t="str">
        <v/>
      </c>
    </row>
    <row r="12920" spans="5:9" ht="16.5" hidden="1">
      <c r="E12920" s="4" t="str">
        <v/>
      </c>
      <c r="F12920" s="102" t="str">
        <f ca="1">IFERROR(__xludf.DUMMYFUNCTION("IMPORTRANGE(H12920,""IDENTITAS UNIT!D9"")"),"#N/A")</f>
        <v>#N/A</v>
      </c>
      <c r="H12920" s="4" t="str">
        <v/>
      </c>
      <c r="I12920" s="4" t="str">
        <v/>
      </c>
    </row>
    <row r="12921" spans="5:9" ht="16.5" hidden="1">
      <c r="E12921" s="4" t="str">
        <v/>
      </c>
      <c r="F12921" s="102" t="str">
        <f ca="1">IFERROR(__xludf.DUMMYFUNCTION("IMPORTRANGE(H12921,""IDENTITAS UNIT!D9"")"),"#N/A")</f>
        <v>#N/A</v>
      </c>
      <c r="H12921" s="4" t="str">
        <v/>
      </c>
      <c r="I12921" s="4" t="str">
        <v/>
      </c>
    </row>
    <row r="12922" spans="5:9" ht="16.5" hidden="1">
      <c r="E12922" s="4" t="str">
        <v/>
      </c>
      <c r="F12922" s="102" t="str">
        <f ca="1">IFERROR(__xludf.DUMMYFUNCTION("IMPORTRANGE(H12922,""IDENTITAS UNIT!D9"")"),"#N/A")</f>
        <v>#N/A</v>
      </c>
      <c r="H12922" s="4" t="str">
        <v/>
      </c>
      <c r="I12922" s="4" t="str">
        <v/>
      </c>
    </row>
    <row r="12923" spans="5:9" ht="16.5" hidden="1">
      <c r="E12923" s="4" t="str">
        <v/>
      </c>
      <c r="F12923" s="102" t="str">
        <f ca="1">IFERROR(__xludf.DUMMYFUNCTION("IMPORTRANGE(H12923,""IDENTITAS UNIT!D9"")"),"#N/A")</f>
        <v>#N/A</v>
      </c>
      <c r="H12923" s="4" t="str">
        <v/>
      </c>
      <c r="I12923" s="4" t="str">
        <v/>
      </c>
    </row>
    <row r="12924" spans="5:9" ht="16.5" hidden="1">
      <c r="E12924" s="4" t="str">
        <v/>
      </c>
      <c r="F12924" s="102" t="str">
        <f ca="1">IFERROR(__xludf.DUMMYFUNCTION("IMPORTRANGE(H12924,""IDENTITAS UNIT!D9"")"),"#N/A")</f>
        <v>#N/A</v>
      </c>
      <c r="H12924" s="4" t="str">
        <v/>
      </c>
      <c r="I12924" s="4" t="str">
        <v/>
      </c>
    </row>
    <row r="12925" spans="5:9" ht="16.5" hidden="1">
      <c r="E12925" s="4" t="str">
        <v/>
      </c>
      <c r="F12925" s="102" t="str">
        <f ca="1">IFERROR(__xludf.DUMMYFUNCTION("IMPORTRANGE(H12925,""IDENTITAS UNIT!D9"")"),"#N/A")</f>
        <v>#N/A</v>
      </c>
      <c r="H12925" s="4" t="str">
        <v/>
      </c>
      <c r="I12925" s="4" t="str">
        <v/>
      </c>
    </row>
    <row r="12926" spans="5:9" ht="16.5" hidden="1">
      <c r="E12926" s="4" t="str">
        <v/>
      </c>
      <c r="F12926" s="102" t="str">
        <f ca="1">IFERROR(__xludf.DUMMYFUNCTION("IMPORTRANGE(H12926,""IDENTITAS UNIT!D9"")"),"#N/A")</f>
        <v>#N/A</v>
      </c>
      <c r="H12926" s="4" t="str">
        <v/>
      </c>
      <c r="I12926" s="4" t="str">
        <v/>
      </c>
    </row>
    <row r="12927" spans="5:9" ht="16.5" hidden="1">
      <c r="E12927" s="4" t="str">
        <v/>
      </c>
      <c r="F12927" s="102" t="str">
        <f ca="1">IFERROR(__xludf.DUMMYFUNCTION("IMPORTRANGE(H12927,""IDENTITAS UNIT!D9"")"),"#N/A")</f>
        <v>#N/A</v>
      </c>
      <c r="H12927" s="4" t="str">
        <v/>
      </c>
      <c r="I12927" s="4" t="str">
        <v/>
      </c>
    </row>
    <row r="12928" spans="5:9" ht="16.5" hidden="1">
      <c r="E12928" s="4" t="str">
        <v/>
      </c>
      <c r="F12928" s="102" t="str">
        <f ca="1">IFERROR(__xludf.DUMMYFUNCTION("IMPORTRANGE(H12928,""IDENTITAS UNIT!D9"")"),"#N/A")</f>
        <v>#N/A</v>
      </c>
      <c r="H12928" s="4" t="str">
        <v/>
      </c>
      <c r="I12928" s="4" t="str">
        <v/>
      </c>
    </row>
    <row r="12929" spans="5:9" ht="16.5" hidden="1">
      <c r="E12929" s="4" t="str">
        <v/>
      </c>
      <c r="F12929" s="102" t="str">
        <f ca="1">IFERROR(__xludf.DUMMYFUNCTION("IMPORTRANGE(H12929,""IDENTITAS UNIT!D9"")"),"#N/A")</f>
        <v>#N/A</v>
      </c>
      <c r="H12929" s="4" t="str">
        <v/>
      </c>
      <c r="I12929" s="4" t="str">
        <v/>
      </c>
    </row>
    <row r="12930" spans="5:9" ht="16.5" hidden="1">
      <c r="E12930" s="4" t="str">
        <v/>
      </c>
      <c r="F12930" s="102" t="str">
        <f ca="1">IFERROR(__xludf.DUMMYFUNCTION("IMPORTRANGE(H12930,""IDENTITAS UNIT!D9"")"),"#N/A")</f>
        <v>#N/A</v>
      </c>
      <c r="H12930" s="4" t="str">
        <v/>
      </c>
      <c r="I12930" s="4" t="str">
        <v/>
      </c>
    </row>
    <row r="12931" spans="5:9" ht="16.5" hidden="1">
      <c r="E12931" s="4" t="str">
        <v/>
      </c>
      <c r="F12931" s="102" t="str">
        <f ca="1">IFERROR(__xludf.DUMMYFUNCTION("IMPORTRANGE(H12931,""IDENTITAS UNIT!D9"")"),"#N/A")</f>
        <v>#N/A</v>
      </c>
      <c r="H12931" s="4" t="str">
        <v/>
      </c>
      <c r="I12931" s="4" t="str">
        <v/>
      </c>
    </row>
    <row r="12932" spans="5:9" ht="16.5" hidden="1">
      <c r="E12932" s="4" t="str">
        <v/>
      </c>
      <c r="F12932" s="102" t="str">
        <f ca="1">IFERROR(__xludf.DUMMYFUNCTION("IMPORTRANGE(H12932,""IDENTITAS UNIT!D9"")"),"#N/A")</f>
        <v>#N/A</v>
      </c>
      <c r="H12932" s="4" t="str">
        <v/>
      </c>
      <c r="I12932" s="4" t="str">
        <v/>
      </c>
    </row>
    <row r="12933" spans="5:9" ht="16.5" hidden="1">
      <c r="E12933" s="4" t="str">
        <v/>
      </c>
      <c r="F12933" s="102" t="str">
        <f ca="1">IFERROR(__xludf.DUMMYFUNCTION("IMPORTRANGE(H12933,""IDENTITAS UNIT!D9"")"),"#N/A")</f>
        <v>#N/A</v>
      </c>
      <c r="H12933" s="4" t="str">
        <v/>
      </c>
      <c r="I12933" s="4" t="str">
        <v/>
      </c>
    </row>
    <row r="12934" spans="5:9" ht="16.5" hidden="1">
      <c r="E12934" s="4" t="str">
        <v/>
      </c>
      <c r="F12934" s="102" t="str">
        <f ca="1">IFERROR(__xludf.DUMMYFUNCTION("IMPORTRANGE(H12934,""IDENTITAS UNIT!D9"")"),"#N/A")</f>
        <v>#N/A</v>
      </c>
      <c r="H12934" s="4" t="str">
        <v/>
      </c>
      <c r="I12934" s="4" t="str">
        <v/>
      </c>
    </row>
    <row r="12935" spans="5:9" ht="16.5" hidden="1">
      <c r="E12935" s="4" t="str">
        <v/>
      </c>
      <c r="F12935" s="102" t="str">
        <f ca="1">IFERROR(__xludf.DUMMYFUNCTION("IMPORTRANGE(H12935,""IDENTITAS UNIT!D9"")"),"#N/A")</f>
        <v>#N/A</v>
      </c>
      <c r="H12935" s="4" t="str">
        <v/>
      </c>
      <c r="I12935" s="4" t="str">
        <v/>
      </c>
    </row>
    <row r="12936" spans="5:9" ht="16.5" hidden="1">
      <c r="E12936" s="4" t="str">
        <v/>
      </c>
      <c r="F12936" s="102" t="str">
        <f ca="1">IFERROR(__xludf.DUMMYFUNCTION("IMPORTRANGE(H12936,""IDENTITAS UNIT!D9"")"),"#N/A")</f>
        <v>#N/A</v>
      </c>
      <c r="H12936" s="4" t="str">
        <v/>
      </c>
      <c r="I12936" s="4" t="str">
        <v/>
      </c>
    </row>
    <row r="12937" spans="5:9" ht="16.5" hidden="1">
      <c r="E12937" s="4" t="str">
        <v/>
      </c>
      <c r="F12937" s="102" t="str">
        <f ca="1">IFERROR(__xludf.DUMMYFUNCTION("IMPORTRANGE(H12937,""IDENTITAS UNIT!D9"")"),"#N/A")</f>
        <v>#N/A</v>
      </c>
      <c r="H12937" s="4" t="str">
        <v/>
      </c>
      <c r="I12937" s="4" t="str">
        <v/>
      </c>
    </row>
    <row r="12938" spans="5:9" ht="16.5" hidden="1">
      <c r="E12938" s="4" t="str">
        <v/>
      </c>
      <c r="F12938" s="102" t="str">
        <f ca="1">IFERROR(__xludf.DUMMYFUNCTION("IMPORTRANGE(H12938,""IDENTITAS UNIT!D9"")"),"#N/A")</f>
        <v>#N/A</v>
      </c>
      <c r="H12938" s="4" t="str">
        <v/>
      </c>
      <c r="I12938" s="4" t="str">
        <v/>
      </c>
    </row>
    <row r="12939" spans="5:9" ht="16.5" hidden="1">
      <c r="E12939" s="4" t="str">
        <v/>
      </c>
      <c r="F12939" s="102" t="str">
        <f ca="1">IFERROR(__xludf.DUMMYFUNCTION("IMPORTRANGE(H12939,""IDENTITAS UNIT!D9"")"),"#N/A")</f>
        <v>#N/A</v>
      </c>
      <c r="H12939" s="4" t="str">
        <v/>
      </c>
      <c r="I12939" s="4" t="str">
        <v/>
      </c>
    </row>
    <row r="12940" spans="5:9" ht="16.5" hidden="1">
      <c r="E12940" s="4" t="str">
        <v/>
      </c>
      <c r="F12940" s="102" t="str">
        <f ca="1">IFERROR(__xludf.DUMMYFUNCTION("IMPORTRANGE(H12940,""IDENTITAS UNIT!D9"")"),"#N/A")</f>
        <v>#N/A</v>
      </c>
      <c r="H12940" s="4" t="str">
        <v/>
      </c>
      <c r="I12940" s="4" t="str">
        <v/>
      </c>
    </row>
    <row r="12941" spans="5:9" ht="16.5" hidden="1">
      <c r="E12941" s="4" t="str">
        <v/>
      </c>
      <c r="F12941" s="102" t="str">
        <f ca="1">IFERROR(__xludf.DUMMYFUNCTION("IMPORTRANGE(H12941,""IDENTITAS UNIT!D9"")"),"#N/A")</f>
        <v>#N/A</v>
      </c>
      <c r="H12941" s="4" t="str">
        <v/>
      </c>
      <c r="I12941" s="4" t="str">
        <v/>
      </c>
    </row>
    <row r="12942" spans="5:9" ht="16.5" hidden="1">
      <c r="E12942" s="4" t="str">
        <v/>
      </c>
      <c r="F12942" s="102" t="str">
        <f ca="1">IFERROR(__xludf.DUMMYFUNCTION("IMPORTRANGE(H12942,""IDENTITAS UNIT!D9"")"),"#N/A")</f>
        <v>#N/A</v>
      </c>
      <c r="H12942" s="4" t="str">
        <v/>
      </c>
      <c r="I12942" s="4" t="str">
        <v/>
      </c>
    </row>
    <row r="12943" spans="5:9" ht="16.5" hidden="1">
      <c r="E12943" s="4" t="str">
        <v/>
      </c>
      <c r="F12943" s="102" t="str">
        <f ca="1">IFERROR(__xludf.DUMMYFUNCTION("IMPORTRANGE(H12943,""IDENTITAS UNIT!D9"")"),"#N/A")</f>
        <v>#N/A</v>
      </c>
      <c r="H12943" s="4" t="str">
        <v/>
      </c>
      <c r="I12943" s="4" t="str">
        <v/>
      </c>
    </row>
    <row r="12944" spans="5:9" ht="16.5" hidden="1">
      <c r="E12944" s="4" t="str">
        <v/>
      </c>
      <c r="F12944" s="102" t="str">
        <f ca="1">IFERROR(__xludf.DUMMYFUNCTION("IMPORTRANGE(H12944,""IDENTITAS UNIT!D9"")"),"#N/A")</f>
        <v>#N/A</v>
      </c>
      <c r="H12944" s="4" t="str">
        <v/>
      </c>
      <c r="I12944" s="4" t="str">
        <v/>
      </c>
    </row>
    <row r="12945" spans="5:9" ht="16.5" hidden="1">
      <c r="E12945" s="4" t="str">
        <v/>
      </c>
      <c r="F12945" s="102" t="str">
        <f ca="1">IFERROR(__xludf.DUMMYFUNCTION("IMPORTRANGE(H12945,""IDENTITAS UNIT!D9"")"),"#N/A")</f>
        <v>#N/A</v>
      </c>
      <c r="H12945" s="4" t="str">
        <v/>
      </c>
      <c r="I12945" s="4" t="str">
        <v/>
      </c>
    </row>
    <row r="12946" spans="5:9" ht="16.5" hidden="1">
      <c r="E12946" s="4" t="str">
        <v/>
      </c>
      <c r="F12946" s="102" t="str">
        <f ca="1">IFERROR(__xludf.DUMMYFUNCTION("IMPORTRANGE(H12946,""IDENTITAS UNIT!D9"")"),"#N/A")</f>
        <v>#N/A</v>
      </c>
      <c r="H12946" s="4" t="str">
        <v/>
      </c>
      <c r="I12946" s="4" t="str">
        <v/>
      </c>
    </row>
    <row r="12947" spans="5:9" ht="16.5" hidden="1">
      <c r="E12947" s="4" t="str">
        <v/>
      </c>
      <c r="F12947" s="102" t="str">
        <f ca="1">IFERROR(__xludf.DUMMYFUNCTION("IMPORTRANGE(H12947,""IDENTITAS UNIT!D9"")"),"#N/A")</f>
        <v>#N/A</v>
      </c>
      <c r="H12947" s="4" t="str">
        <v/>
      </c>
      <c r="I12947" s="4" t="str">
        <v/>
      </c>
    </row>
    <row r="12948" spans="5:9" ht="16.5" hidden="1">
      <c r="E12948" s="4" t="str">
        <v/>
      </c>
      <c r="F12948" s="102" t="str">
        <f ca="1">IFERROR(__xludf.DUMMYFUNCTION("IMPORTRANGE(H12948,""IDENTITAS UNIT!D9"")"),"#N/A")</f>
        <v>#N/A</v>
      </c>
      <c r="H12948" s="4" t="str">
        <v/>
      </c>
      <c r="I12948" s="4" t="str">
        <v/>
      </c>
    </row>
    <row r="12949" spans="5:9" ht="16.5" hidden="1">
      <c r="E12949" s="4" t="str">
        <v/>
      </c>
      <c r="F12949" s="102" t="str">
        <f ca="1">IFERROR(__xludf.DUMMYFUNCTION("IMPORTRANGE(H12949,""IDENTITAS UNIT!D9"")"),"#N/A")</f>
        <v>#N/A</v>
      </c>
      <c r="H12949" s="4" t="str">
        <v/>
      </c>
      <c r="I12949" s="4" t="str">
        <v/>
      </c>
    </row>
    <row r="12950" spans="5:9" ht="16.5" hidden="1">
      <c r="E12950" s="4" t="str">
        <v/>
      </c>
      <c r="F12950" s="102" t="str">
        <f ca="1">IFERROR(__xludf.DUMMYFUNCTION("IMPORTRANGE(H12950,""IDENTITAS UNIT!D9"")"),"#N/A")</f>
        <v>#N/A</v>
      </c>
      <c r="H12950" s="4" t="str">
        <v/>
      </c>
      <c r="I12950" s="4" t="str">
        <v/>
      </c>
    </row>
    <row r="12951" spans="5:9" ht="16.5" hidden="1">
      <c r="E12951" s="4" t="str">
        <v/>
      </c>
      <c r="F12951" s="102" t="str">
        <f ca="1">IFERROR(__xludf.DUMMYFUNCTION("IMPORTRANGE(H12951,""IDENTITAS UNIT!D9"")"),"#N/A")</f>
        <v>#N/A</v>
      </c>
      <c r="H12951" s="4" t="str">
        <v/>
      </c>
      <c r="I12951" s="4" t="str">
        <v/>
      </c>
    </row>
    <row r="12952" spans="5:9" ht="16.5" hidden="1">
      <c r="E12952" s="4" t="str">
        <v/>
      </c>
      <c r="F12952" s="102" t="str">
        <f ca="1">IFERROR(__xludf.DUMMYFUNCTION("IMPORTRANGE(H12952,""IDENTITAS UNIT!D9"")"),"#N/A")</f>
        <v>#N/A</v>
      </c>
      <c r="H12952" s="4" t="str">
        <v/>
      </c>
      <c r="I12952" s="4" t="str">
        <v/>
      </c>
    </row>
    <row r="12953" spans="5:9" ht="16.5" hidden="1">
      <c r="E12953" s="4" t="str">
        <v/>
      </c>
      <c r="F12953" s="102" t="str">
        <f ca="1">IFERROR(__xludf.DUMMYFUNCTION("IMPORTRANGE(H12953,""IDENTITAS UNIT!D9"")"),"#N/A")</f>
        <v>#N/A</v>
      </c>
      <c r="H12953" s="4" t="str">
        <v/>
      </c>
      <c r="I12953" s="4" t="str">
        <v/>
      </c>
    </row>
    <row r="12954" spans="5:9" ht="16.5" hidden="1">
      <c r="E12954" s="4" t="str">
        <v/>
      </c>
      <c r="F12954" s="102" t="str">
        <f ca="1">IFERROR(__xludf.DUMMYFUNCTION("IMPORTRANGE(H12954,""IDENTITAS UNIT!D9"")"),"#N/A")</f>
        <v>#N/A</v>
      </c>
      <c r="H12954" s="4" t="str">
        <v/>
      </c>
      <c r="I12954" s="4" t="str">
        <v/>
      </c>
    </row>
    <row r="12955" spans="5:9" ht="16.5" hidden="1">
      <c r="E12955" s="4" t="str">
        <v/>
      </c>
      <c r="F12955" s="102" t="str">
        <f ca="1">IFERROR(__xludf.DUMMYFUNCTION("IMPORTRANGE(H12955,""IDENTITAS UNIT!D9"")"),"#N/A")</f>
        <v>#N/A</v>
      </c>
      <c r="H12955" s="4" t="str">
        <v/>
      </c>
      <c r="I12955" s="4" t="str">
        <v/>
      </c>
    </row>
    <row r="12956" spans="5:9" ht="16.5" hidden="1">
      <c r="E12956" s="4" t="str">
        <v/>
      </c>
      <c r="F12956" s="102" t="str">
        <f ca="1">IFERROR(__xludf.DUMMYFUNCTION("IMPORTRANGE(H12956,""IDENTITAS UNIT!D9"")"),"#N/A")</f>
        <v>#N/A</v>
      </c>
      <c r="H12956" s="4" t="str">
        <v/>
      </c>
      <c r="I12956" s="4" t="str">
        <v/>
      </c>
    </row>
    <row r="12957" spans="5:9" ht="16.5" hidden="1">
      <c r="E12957" s="4" t="str">
        <v/>
      </c>
      <c r="F12957" s="102" t="str">
        <f ca="1">IFERROR(__xludf.DUMMYFUNCTION("IMPORTRANGE(H12957,""IDENTITAS UNIT!D9"")"),"#N/A")</f>
        <v>#N/A</v>
      </c>
      <c r="H12957" s="4" t="str">
        <v/>
      </c>
      <c r="I12957" s="4" t="str">
        <v/>
      </c>
    </row>
    <row r="12958" spans="5:9" ht="16.5" hidden="1">
      <c r="E12958" s="4" t="str">
        <v/>
      </c>
      <c r="F12958" s="102" t="str">
        <f ca="1">IFERROR(__xludf.DUMMYFUNCTION("IMPORTRANGE(H12958,""IDENTITAS UNIT!D9"")"),"#N/A")</f>
        <v>#N/A</v>
      </c>
      <c r="H12958" s="4" t="str">
        <v/>
      </c>
      <c r="I12958" s="4" t="str">
        <v/>
      </c>
    </row>
    <row r="12959" spans="5:9" ht="16.5" hidden="1">
      <c r="E12959" s="4" t="str">
        <v/>
      </c>
      <c r="F12959" s="102" t="str">
        <f ca="1">IFERROR(__xludf.DUMMYFUNCTION("IMPORTRANGE(H12959,""IDENTITAS UNIT!D9"")"),"#N/A")</f>
        <v>#N/A</v>
      </c>
      <c r="H12959" s="4" t="str">
        <v/>
      </c>
      <c r="I12959" s="4" t="str">
        <v/>
      </c>
    </row>
    <row r="12960" spans="5:9" ht="16.5" hidden="1">
      <c r="E12960" s="4" t="str">
        <v/>
      </c>
      <c r="F12960" s="102" t="str">
        <f ca="1">IFERROR(__xludf.DUMMYFUNCTION("IMPORTRANGE(H12960,""IDENTITAS UNIT!D9"")"),"#N/A")</f>
        <v>#N/A</v>
      </c>
      <c r="H12960" s="4" t="str">
        <v/>
      </c>
      <c r="I12960" s="4" t="str">
        <v/>
      </c>
    </row>
    <row r="12961" spans="5:9" ht="16.5" hidden="1">
      <c r="E12961" s="4" t="str">
        <v/>
      </c>
      <c r="F12961" s="102" t="str">
        <f ca="1">IFERROR(__xludf.DUMMYFUNCTION("IMPORTRANGE(H12961,""IDENTITAS UNIT!D9"")"),"#N/A")</f>
        <v>#N/A</v>
      </c>
      <c r="H12961" s="4" t="str">
        <v/>
      </c>
      <c r="I12961" s="4" t="str">
        <v/>
      </c>
    </row>
    <row r="12962" spans="5:9" ht="16.5" hidden="1">
      <c r="E12962" s="4" t="str">
        <v/>
      </c>
      <c r="F12962" s="102" t="str">
        <f ca="1">IFERROR(__xludf.DUMMYFUNCTION("IMPORTRANGE(H12962,""IDENTITAS UNIT!D9"")"),"#N/A")</f>
        <v>#N/A</v>
      </c>
      <c r="H12962" s="4" t="str">
        <v/>
      </c>
      <c r="I12962" s="4" t="str">
        <v/>
      </c>
    </row>
    <row r="12963" spans="5:9" ht="16.5" hidden="1">
      <c r="E12963" s="4" t="str">
        <v/>
      </c>
      <c r="F12963" s="102" t="str">
        <f ca="1">IFERROR(__xludf.DUMMYFUNCTION("IMPORTRANGE(H12963,""IDENTITAS UNIT!D9"")"),"#N/A")</f>
        <v>#N/A</v>
      </c>
      <c r="H12963" s="4" t="str">
        <v/>
      </c>
      <c r="I12963" s="4" t="str">
        <v/>
      </c>
    </row>
    <row r="12964" spans="5:9" ht="16.5" hidden="1">
      <c r="E12964" s="4" t="str">
        <v/>
      </c>
      <c r="F12964" s="102" t="str">
        <f ca="1">IFERROR(__xludf.DUMMYFUNCTION("IMPORTRANGE(H12964,""IDENTITAS UNIT!D9"")"),"#N/A")</f>
        <v>#N/A</v>
      </c>
      <c r="H12964" s="4" t="str">
        <v/>
      </c>
      <c r="I12964" s="4" t="str">
        <v/>
      </c>
    </row>
    <row r="12965" spans="5:9" ht="16.5" hidden="1">
      <c r="E12965" s="4" t="str">
        <v/>
      </c>
      <c r="F12965" s="102" t="str">
        <f ca="1">IFERROR(__xludf.DUMMYFUNCTION("IMPORTRANGE(H12965,""IDENTITAS UNIT!D9"")"),"#N/A")</f>
        <v>#N/A</v>
      </c>
      <c r="H12965" s="4" t="str">
        <v/>
      </c>
      <c r="I12965" s="4" t="str">
        <v/>
      </c>
    </row>
    <row r="12966" spans="5:9" ht="16.5" hidden="1">
      <c r="E12966" s="4" t="str">
        <v/>
      </c>
      <c r="F12966" s="102" t="str">
        <f ca="1">IFERROR(__xludf.DUMMYFUNCTION("IMPORTRANGE(H12966,""IDENTITAS UNIT!D9"")"),"#N/A")</f>
        <v>#N/A</v>
      </c>
      <c r="H12966" s="4" t="str">
        <v/>
      </c>
      <c r="I12966" s="4" t="str">
        <v/>
      </c>
    </row>
    <row r="12967" spans="5:9" ht="16.5" hidden="1">
      <c r="E12967" s="4" t="str">
        <v/>
      </c>
      <c r="F12967" s="102" t="str">
        <f ca="1">IFERROR(__xludf.DUMMYFUNCTION("IMPORTRANGE(H12967,""IDENTITAS UNIT!D9"")"),"#N/A")</f>
        <v>#N/A</v>
      </c>
      <c r="H12967" s="4" t="str">
        <v/>
      </c>
      <c r="I12967" s="4" t="str">
        <v/>
      </c>
    </row>
    <row r="12968" spans="5:9" ht="16.5" hidden="1">
      <c r="E12968" s="4" t="str">
        <v/>
      </c>
      <c r="F12968" s="102" t="str">
        <f ca="1">IFERROR(__xludf.DUMMYFUNCTION("IMPORTRANGE(H12968,""IDENTITAS UNIT!D9"")"),"#N/A")</f>
        <v>#N/A</v>
      </c>
      <c r="H12968" s="4" t="str">
        <v/>
      </c>
      <c r="I12968" s="4" t="str">
        <v/>
      </c>
    </row>
    <row r="12969" spans="5:9" ht="16.5" hidden="1">
      <c r="E12969" s="4" t="str">
        <v/>
      </c>
      <c r="F12969" s="102" t="str">
        <f ca="1">IFERROR(__xludf.DUMMYFUNCTION("IMPORTRANGE(H12969,""IDENTITAS UNIT!D9"")"),"#N/A")</f>
        <v>#N/A</v>
      </c>
      <c r="H12969" s="4" t="str">
        <v/>
      </c>
      <c r="I12969" s="4" t="str">
        <v/>
      </c>
    </row>
    <row r="12970" spans="5:9" ht="16.5" hidden="1">
      <c r="E12970" s="4" t="str">
        <v/>
      </c>
      <c r="F12970" s="102" t="str">
        <f ca="1">IFERROR(__xludf.DUMMYFUNCTION("IMPORTRANGE(H12970,""IDENTITAS UNIT!D9"")"),"#N/A")</f>
        <v>#N/A</v>
      </c>
      <c r="H12970" s="4" t="str">
        <v/>
      </c>
      <c r="I12970" s="4" t="str">
        <v/>
      </c>
    </row>
    <row r="12971" spans="5:9" ht="16.5" hidden="1">
      <c r="E12971" s="4" t="str">
        <v/>
      </c>
      <c r="F12971" s="102" t="str">
        <f ca="1">IFERROR(__xludf.DUMMYFUNCTION("IMPORTRANGE(H12971,""IDENTITAS UNIT!D9"")"),"#N/A")</f>
        <v>#N/A</v>
      </c>
      <c r="H12971" s="4" t="str">
        <v/>
      </c>
      <c r="I12971" s="4" t="str">
        <v/>
      </c>
    </row>
    <row r="12972" spans="5:9" ht="16.5" hidden="1">
      <c r="E12972" s="4" t="str">
        <v/>
      </c>
      <c r="F12972" s="102" t="str">
        <f ca="1">IFERROR(__xludf.DUMMYFUNCTION("IMPORTRANGE(H12972,""IDENTITAS UNIT!D9"")"),"#N/A")</f>
        <v>#N/A</v>
      </c>
      <c r="H12972" s="4" t="str">
        <v/>
      </c>
      <c r="I12972" s="4" t="str">
        <v/>
      </c>
    </row>
    <row r="12973" spans="5:9" ht="16.5" hidden="1">
      <c r="E12973" s="4" t="str">
        <v/>
      </c>
      <c r="F12973" s="102" t="str">
        <f ca="1">IFERROR(__xludf.DUMMYFUNCTION("IMPORTRANGE(H12973,""IDENTITAS UNIT!D9"")"),"#N/A")</f>
        <v>#N/A</v>
      </c>
      <c r="H12973" s="4" t="str">
        <v/>
      </c>
      <c r="I12973" s="4" t="str">
        <v/>
      </c>
    </row>
    <row r="12974" spans="5:9" ht="16.5" hidden="1">
      <c r="E12974" s="4" t="str">
        <v/>
      </c>
      <c r="F12974" s="102" t="str">
        <f ca="1">IFERROR(__xludf.DUMMYFUNCTION("IMPORTRANGE(H12974,""IDENTITAS UNIT!D9"")"),"#N/A")</f>
        <v>#N/A</v>
      </c>
      <c r="H12974" s="4" t="str">
        <v/>
      </c>
      <c r="I12974" s="4" t="str">
        <v/>
      </c>
    </row>
    <row r="12975" spans="5:9" ht="16.5" hidden="1">
      <c r="E12975" s="4" t="str">
        <v/>
      </c>
      <c r="F12975" s="102" t="str">
        <f ca="1">IFERROR(__xludf.DUMMYFUNCTION("IMPORTRANGE(H12975,""IDENTITAS UNIT!D9"")"),"#N/A")</f>
        <v>#N/A</v>
      </c>
      <c r="H12975" s="4" t="str">
        <v/>
      </c>
      <c r="I12975" s="4" t="str">
        <v/>
      </c>
    </row>
    <row r="12976" spans="5:9" ht="16.5" hidden="1">
      <c r="E12976" s="4" t="str">
        <v/>
      </c>
      <c r="F12976" s="102" t="str">
        <f ca="1">IFERROR(__xludf.DUMMYFUNCTION("IMPORTRANGE(H12976,""IDENTITAS UNIT!D9"")"),"#N/A")</f>
        <v>#N/A</v>
      </c>
      <c r="H12976" s="4" t="str">
        <v/>
      </c>
      <c r="I12976" s="4" t="str">
        <v/>
      </c>
    </row>
    <row r="12977" spans="5:9" ht="16.5" hidden="1">
      <c r="E12977" s="4" t="str">
        <v/>
      </c>
      <c r="F12977" s="102" t="str">
        <f ca="1">IFERROR(__xludf.DUMMYFUNCTION("IMPORTRANGE(H12977,""IDENTITAS UNIT!D9"")"),"#N/A")</f>
        <v>#N/A</v>
      </c>
      <c r="H12977" s="4" t="str">
        <v/>
      </c>
      <c r="I12977" s="4" t="str">
        <v/>
      </c>
    </row>
    <row r="12978" spans="5:9" ht="16.5" hidden="1">
      <c r="E12978" s="4" t="str">
        <v/>
      </c>
      <c r="F12978" s="102" t="str">
        <f ca="1">IFERROR(__xludf.DUMMYFUNCTION("IMPORTRANGE(H12978,""IDENTITAS UNIT!D9"")"),"#N/A")</f>
        <v>#N/A</v>
      </c>
      <c r="H12978" s="4" t="str">
        <v/>
      </c>
      <c r="I12978" s="4" t="str">
        <v/>
      </c>
    </row>
    <row r="12979" spans="5:9" ht="16.5" hidden="1">
      <c r="E12979" s="4" t="str">
        <v/>
      </c>
      <c r="F12979" s="102" t="str">
        <f ca="1">IFERROR(__xludf.DUMMYFUNCTION("IMPORTRANGE(H12979,""IDENTITAS UNIT!D9"")"),"#N/A")</f>
        <v>#N/A</v>
      </c>
      <c r="H12979" s="4" t="str">
        <v/>
      </c>
      <c r="I12979" s="4" t="str">
        <v/>
      </c>
    </row>
    <row r="12980" spans="5:9" ht="16.5" hidden="1">
      <c r="E12980" s="4" t="str">
        <v/>
      </c>
      <c r="F12980" s="102" t="str">
        <f ca="1">IFERROR(__xludf.DUMMYFUNCTION("IMPORTRANGE(H12980,""IDENTITAS UNIT!D9"")"),"#N/A")</f>
        <v>#N/A</v>
      </c>
      <c r="H12980" s="4" t="str">
        <v/>
      </c>
      <c r="I12980" s="4" t="str">
        <v/>
      </c>
    </row>
    <row r="12981" spans="5:9" ht="16.5" hidden="1">
      <c r="E12981" s="4" t="str">
        <v/>
      </c>
      <c r="F12981" s="102" t="str">
        <f ca="1">IFERROR(__xludf.DUMMYFUNCTION("IMPORTRANGE(H12981,""IDENTITAS UNIT!D9"")"),"#N/A")</f>
        <v>#N/A</v>
      </c>
      <c r="H12981" s="4" t="str">
        <v/>
      </c>
      <c r="I12981" s="4" t="str">
        <v/>
      </c>
    </row>
    <row r="12982" spans="5:9" ht="16.5" hidden="1">
      <c r="E12982" s="4" t="str">
        <v/>
      </c>
      <c r="F12982" s="102" t="str">
        <f ca="1">IFERROR(__xludf.DUMMYFUNCTION("IMPORTRANGE(H12982,""IDENTITAS UNIT!D9"")"),"#N/A")</f>
        <v>#N/A</v>
      </c>
      <c r="H12982" s="4" t="str">
        <v/>
      </c>
      <c r="I12982" s="4" t="str">
        <v/>
      </c>
    </row>
    <row r="12983" spans="5:9" ht="16.5" hidden="1">
      <c r="E12983" s="4" t="str">
        <v/>
      </c>
      <c r="F12983" s="102" t="str">
        <f ca="1">IFERROR(__xludf.DUMMYFUNCTION("IMPORTRANGE(H12983,""IDENTITAS UNIT!D9"")"),"#N/A")</f>
        <v>#N/A</v>
      </c>
      <c r="H12983" s="4" t="str">
        <v/>
      </c>
      <c r="I12983" s="4" t="str">
        <v/>
      </c>
    </row>
    <row r="12984" spans="5:9" ht="16.5" hidden="1">
      <c r="E12984" s="4" t="str">
        <v/>
      </c>
      <c r="F12984" s="102" t="str">
        <f ca="1">IFERROR(__xludf.DUMMYFUNCTION("IMPORTRANGE(H12984,""IDENTITAS UNIT!D9"")"),"#N/A")</f>
        <v>#N/A</v>
      </c>
      <c r="H12984" s="4" t="str">
        <v/>
      </c>
      <c r="I12984" s="4" t="str">
        <v/>
      </c>
    </row>
    <row r="12985" spans="5:9" ht="16.5" hidden="1">
      <c r="E12985" s="4" t="str">
        <v/>
      </c>
      <c r="F12985" s="102" t="str">
        <f ca="1">IFERROR(__xludf.DUMMYFUNCTION("IMPORTRANGE(H12985,""IDENTITAS UNIT!D9"")"),"#N/A")</f>
        <v>#N/A</v>
      </c>
      <c r="H12985" s="4" t="str">
        <v/>
      </c>
      <c r="I12985" s="4" t="str">
        <v/>
      </c>
    </row>
    <row r="12986" spans="5:9" ht="16.5" hidden="1">
      <c r="E12986" s="4" t="str">
        <v/>
      </c>
      <c r="F12986" s="102" t="str">
        <f ca="1">IFERROR(__xludf.DUMMYFUNCTION("IMPORTRANGE(H12986,""IDENTITAS UNIT!D9"")"),"#N/A")</f>
        <v>#N/A</v>
      </c>
      <c r="H12986" s="4" t="str">
        <v/>
      </c>
      <c r="I12986" s="4" t="str">
        <v/>
      </c>
    </row>
    <row r="12987" spans="5:9" ht="16.5" hidden="1">
      <c r="E12987" s="4" t="str">
        <v/>
      </c>
      <c r="F12987" s="102" t="str">
        <f ca="1">IFERROR(__xludf.DUMMYFUNCTION("IMPORTRANGE(H12987,""IDENTITAS UNIT!D9"")"),"#N/A")</f>
        <v>#N/A</v>
      </c>
      <c r="H12987" s="4" t="str">
        <v/>
      </c>
      <c r="I12987" s="4" t="str">
        <v/>
      </c>
    </row>
    <row r="12988" spans="5:9" ht="16.5" hidden="1">
      <c r="E12988" s="4" t="str">
        <v/>
      </c>
      <c r="F12988" s="102" t="str">
        <f ca="1">IFERROR(__xludf.DUMMYFUNCTION("IMPORTRANGE(H12988,""IDENTITAS UNIT!D9"")"),"#N/A")</f>
        <v>#N/A</v>
      </c>
      <c r="H12988" s="4" t="str">
        <v/>
      </c>
      <c r="I12988" s="4" t="str">
        <v/>
      </c>
    </row>
    <row r="12989" spans="5:9" ht="16.5" hidden="1">
      <c r="E12989" s="4" t="str">
        <v/>
      </c>
      <c r="F12989" s="102" t="str">
        <f ca="1">IFERROR(__xludf.DUMMYFUNCTION("IMPORTRANGE(H12989,""IDENTITAS UNIT!D9"")"),"#N/A")</f>
        <v>#N/A</v>
      </c>
      <c r="H12989" s="4" t="str">
        <v/>
      </c>
      <c r="I12989" s="4" t="str">
        <v/>
      </c>
    </row>
    <row r="12990" spans="5:9" ht="16.5" hidden="1">
      <c r="E12990" s="4" t="str">
        <v/>
      </c>
      <c r="F12990" s="102" t="str">
        <f ca="1">IFERROR(__xludf.DUMMYFUNCTION("IMPORTRANGE(H12990,""IDENTITAS UNIT!D9"")"),"#N/A")</f>
        <v>#N/A</v>
      </c>
      <c r="H12990" s="4" t="str">
        <v/>
      </c>
      <c r="I12990" s="4" t="str">
        <v/>
      </c>
    </row>
    <row r="12991" spans="5:9" ht="16.5" hidden="1">
      <c r="E12991" s="4" t="str">
        <v/>
      </c>
      <c r="F12991" s="102" t="str">
        <f ca="1">IFERROR(__xludf.DUMMYFUNCTION("IMPORTRANGE(H12991,""IDENTITAS UNIT!D9"")"),"#N/A")</f>
        <v>#N/A</v>
      </c>
      <c r="H12991" s="4" t="str">
        <v/>
      </c>
      <c r="I12991" s="4" t="str">
        <v/>
      </c>
    </row>
    <row r="12992" spans="5:9" ht="16.5" hidden="1">
      <c r="E12992" s="4" t="str">
        <v/>
      </c>
      <c r="F12992" s="102" t="str">
        <f ca="1">IFERROR(__xludf.DUMMYFUNCTION("IMPORTRANGE(H12992,""IDENTITAS UNIT!D9"")"),"#N/A")</f>
        <v>#N/A</v>
      </c>
      <c r="H12992" s="4" t="str">
        <v/>
      </c>
      <c r="I12992" s="4" t="str">
        <v/>
      </c>
    </row>
    <row r="12993" spans="5:9" ht="16.5" hidden="1">
      <c r="E12993" s="4" t="str">
        <v/>
      </c>
      <c r="F12993" s="102" t="str">
        <f ca="1">IFERROR(__xludf.DUMMYFUNCTION("IMPORTRANGE(H12993,""IDENTITAS UNIT!D9"")"),"#N/A")</f>
        <v>#N/A</v>
      </c>
      <c r="H12993" s="4" t="str">
        <v/>
      </c>
      <c r="I12993" s="4" t="str">
        <v/>
      </c>
    </row>
    <row r="12994" spans="5:9" ht="16.5" hidden="1">
      <c r="E12994" s="4" t="str">
        <v/>
      </c>
      <c r="F12994" s="102" t="str">
        <f ca="1">IFERROR(__xludf.DUMMYFUNCTION("IMPORTRANGE(H12994,""IDENTITAS UNIT!D9"")"),"#N/A")</f>
        <v>#N/A</v>
      </c>
      <c r="H12994" s="4" t="str">
        <v/>
      </c>
      <c r="I12994" s="4" t="str">
        <v/>
      </c>
    </row>
    <row r="12995" spans="5:9" ht="16.5" hidden="1">
      <c r="E12995" s="4" t="str">
        <v/>
      </c>
      <c r="F12995" s="102" t="str">
        <f ca="1">IFERROR(__xludf.DUMMYFUNCTION("IMPORTRANGE(H12995,""IDENTITAS UNIT!D9"")"),"#N/A")</f>
        <v>#N/A</v>
      </c>
      <c r="H12995" s="4" t="str">
        <v/>
      </c>
      <c r="I12995" s="4" t="str">
        <v/>
      </c>
    </row>
    <row r="12996" spans="5:9" ht="16.5" hidden="1">
      <c r="E12996" s="4" t="str">
        <v/>
      </c>
      <c r="F12996" s="102" t="str">
        <f ca="1">IFERROR(__xludf.DUMMYFUNCTION("IMPORTRANGE(H12996,""IDENTITAS UNIT!D9"")"),"#N/A")</f>
        <v>#N/A</v>
      </c>
      <c r="H12996" s="4" t="str">
        <v/>
      </c>
      <c r="I12996" s="4" t="str">
        <v/>
      </c>
    </row>
    <row r="12997" spans="5:9" ht="16.5" hidden="1">
      <c r="E12997" s="4" t="str">
        <v/>
      </c>
      <c r="F12997" s="102" t="str">
        <f ca="1">IFERROR(__xludf.DUMMYFUNCTION("IMPORTRANGE(H12997,""IDENTITAS UNIT!D9"")"),"#N/A")</f>
        <v>#N/A</v>
      </c>
      <c r="H12997" s="4" t="str">
        <v/>
      </c>
      <c r="I12997" s="4" t="str">
        <v/>
      </c>
    </row>
    <row r="12998" spans="5:9" ht="16.5" hidden="1">
      <c r="E12998" s="4" t="str">
        <v/>
      </c>
      <c r="F12998" s="102" t="str">
        <f ca="1">IFERROR(__xludf.DUMMYFUNCTION("IMPORTRANGE(H12998,""IDENTITAS UNIT!D9"")"),"#N/A")</f>
        <v>#N/A</v>
      </c>
      <c r="H12998" s="4" t="str">
        <v/>
      </c>
      <c r="I12998" s="4" t="str">
        <v/>
      </c>
    </row>
    <row r="12999" spans="5:9" ht="16.5" hidden="1">
      <c r="E12999" s="4" t="str">
        <v/>
      </c>
      <c r="F12999" s="102" t="str">
        <f ca="1">IFERROR(__xludf.DUMMYFUNCTION("IMPORTRANGE(H12999,""IDENTITAS UNIT!D9"")"),"#N/A")</f>
        <v>#N/A</v>
      </c>
      <c r="H12999" s="4" t="str">
        <v/>
      </c>
      <c r="I12999" s="4" t="str">
        <v/>
      </c>
    </row>
    <row r="13000" spans="5:9" ht="16.5" hidden="1">
      <c r="E13000" s="4" t="str">
        <v/>
      </c>
      <c r="F13000" s="102" t="str">
        <f ca="1">IFERROR(__xludf.DUMMYFUNCTION("IMPORTRANGE(H13000,""IDENTITAS UNIT!D9"")"),"#N/A")</f>
        <v>#N/A</v>
      </c>
      <c r="H13000" s="4" t="str">
        <v/>
      </c>
      <c r="I13000" s="4" t="str">
        <v/>
      </c>
    </row>
    <row r="13001" spans="5:9" ht="16.5" hidden="1">
      <c r="E13001" s="4" t="str">
        <v/>
      </c>
      <c r="F13001" s="102" t="str">
        <f ca="1">IFERROR(__xludf.DUMMYFUNCTION("IMPORTRANGE(H13001,""IDENTITAS UNIT!D9"")"),"#N/A")</f>
        <v>#N/A</v>
      </c>
      <c r="H13001" s="4" t="str">
        <v/>
      </c>
      <c r="I13001" s="4" t="str">
        <v/>
      </c>
    </row>
    <row r="13002" spans="5:9" ht="16.5" hidden="1">
      <c r="E13002" s="4" t="str">
        <v/>
      </c>
      <c r="F13002" s="102" t="str">
        <f ca="1">IFERROR(__xludf.DUMMYFUNCTION("IMPORTRANGE(H13002,""IDENTITAS UNIT!D9"")"),"#N/A")</f>
        <v>#N/A</v>
      </c>
      <c r="H13002" s="4" t="str">
        <v/>
      </c>
      <c r="I13002" s="4" t="str">
        <v/>
      </c>
    </row>
    <row r="13003" spans="5:9" ht="16.5" hidden="1">
      <c r="E13003" s="4" t="str">
        <v/>
      </c>
      <c r="F13003" s="102" t="str">
        <f ca="1">IFERROR(__xludf.DUMMYFUNCTION("IMPORTRANGE(H13003,""IDENTITAS UNIT!D9"")"),"#N/A")</f>
        <v>#N/A</v>
      </c>
      <c r="H13003" s="4" t="str">
        <v/>
      </c>
      <c r="I13003" s="4" t="str">
        <v/>
      </c>
    </row>
    <row r="13004" spans="5:9" ht="16.5" hidden="1">
      <c r="E13004" s="4" t="str">
        <v/>
      </c>
      <c r="F13004" s="102" t="str">
        <f ca="1">IFERROR(__xludf.DUMMYFUNCTION("IMPORTRANGE(H13004,""IDENTITAS UNIT!D9"")"),"#N/A")</f>
        <v>#N/A</v>
      </c>
      <c r="H13004" s="4" t="str">
        <v/>
      </c>
      <c r="I13004" s="4" t="str">
        <v/>
      </c>
    </row>
    <row r="13005" spans="5:9" ht="16.5" hidden="1">
      <c r="E13005" s="4" t="str">
        <v/>
      </c>
      <c r="F13005" s="102" t="str">
        <f ca="1">IFERROR(__xludf.DUMMYFUNCTION("IMPORTRANGE(H13005,""IDENTITAS UNIT!D9"")"),"#N/A")</f>
        <v>#N/A</v>
      </c>
      <c r="H13005" s="4" t="str">
        <v/>
      </c>
      <c r="I13005" s="4" t="str">
        <v/>
      </c>
    </row>
    <row r="13006" spans="5:9" ht="16.5" hidden="1">
      <c r="E13006" s="4" t="str">
        <v/>
      </c>
      <c r="F13006" s="102" t="str">
        <f ca="1">IFERROR(__xludf.DUMMYFUNCTION("IMPORTRANGE(H13006,""IDENTITAS UNIT!D9"")"),"#N/A")</f>
        <v>#N/A</v>
      </c>
      <c r="H13006" s="4" t="str">
        <v/>
      </c>
      <c r="I13006" s="4" t="str">
        <v/>
      </c>
    </row>
    <row r="13007" spans="5:9" ht="16.5" hidden="1">
      <c r="E13007" s="4" t="str">
        <v/>
      </c>
      <c r="F13007" s="102" t="str">
        <f ca="1">IFERROR(__xludf.DUMMYFUNCTION("IMPORTRANGE(H13007,""IDENTITAS UNIT!D9"")"),"#N/A")</f>
        <v>#N/A</v>
      </c>
      <c r="H13007" s="4" t="str">
        <v/>
      </c>
      <c r="I13007" s="4" t="str">
        <v/>
      </c>
    </row>
    <row r="13008" spans="5:9" ht="16.5" hidden="1">
      <c r="E13008" s="4" t="str">
        <v/>
      </c>
      <c r="F13008" s="102" t="str">
        <f ca="1">IFERROR(__xludf.DUMMYFUNCTION("IMPORTRANGE(H13008,""IDENTITAS UNIT!D9"")"),"#N/A")</f>
        <v>#N/A</v>
      </c>
      <c r="H13008" s="4" t="str">
        <v/>
      </c>
      <c r="I13008" s="4" t="str">
        <v/>
      </c>
    </row>
    <row r="13009" spans="5:9" ht="16.5" hidden="1">
      <c r="E13009" s="4" t="str">
        <v/>
      </c>
      <c r="F13009" s="102" t="str">
        <f ca="1">IFERROR(__xludf.DUMMYFUNCTION("IMPORTRANGE(H13009,""IDENTITAS UNIT!D9"")"),"#N/A")</f>
        <v>#N/A</v>
      </c>
      <c r="H13009" s="4" t="str">
        <v/>
      </c>
      <c r="I13009" s="4" t="str">
        <v/>
      </c>
    </row>
    <row r="13010" spans="5:9" ht="16.5" hidden="1">
      <c r="E13010" s="4" t="str">
        <v/>
      </c>
      <c r="F13010" s="102" t="str">
        <f ca="1">IFERROR(__xludf.DUMMYFUNCTION("IMPORTRANGE(H13010,""IDENTITAS UNIT!D9"")"),"#N/A")</f>
        <v>#N/A</v>
      </c>
      <c r="H13010" s="4" t="str">
        <v/>
      </c>
      <c r="I13010" s="4" t="str">
        <v/>
      </c>
    </row>
    <row r="13011" spans="5:9" ht="16.5" hidden="1">
      <c r="E13011" s="4" t="str">
        <v/>
      </c>
      <c r="F13011" s="102" t="str">
        <f ca="1">IFERROR(__xludf.DUMMYFUNCTION("IMPORTRANGE(H13011,""IDENTITAS UNIT!D9"")"),"#N/A")</f>
        <v>#N/A</v>
      </c>
      <c r="H13011" s="4" t="str">
        <v/>
      </c>
      <c r="I13011" s="4" t="str">
        <v/>
      </c>
    </row>
    <row r="13012" spans="5:9" ht="16.5" hidden="1">
      <c r="E13012" s="4" t="str">
        <v/>
      </c>
      <c r="F13012" s="102" t="str">
        <f ca="1">IFERROR(__xludf.DUMMYFUNCTION("IMPORTRANGE(H13012,""IDENTITAS UNIT!D9"")"),"#N/A")</f>
        <v>#N/A</v>
      </c>
      <c r="H13012" s="4" t="str">
        <v/>
      </c>
      <c r="I13012" s="4" t="str">
        <v/>
      </c>
    </row>
    <row r="13013" spans="5:9" ht="16.5" hidden="1">
      <c r="E13013" s="4" t="str">
        <v/>
      </c>
      <c r="F13013" s="102" t="str">
        <f ca="1">IFERROR(__xludf.DUMMYFUNCTION("IMPORTRANGE(H13013,""IDENTITAS UNIT!D9"")"),"#N/A")</f>
        <v>#N/A</v>
      </c>
      <c r="H13013" s="4" t="str">
        <v/>
      </c>
      <c r="I13013" s="4" t="str">
        <v/>
      </c>
    </row>
    <row r="13014" spans="5:9" ht="16.5" hidden="1">
      <c r="E13014" s="4" t="str">
        <v/>
      </c>
      <c r="F13014" s="102" t="str">
        <f ca="1">IFERROR(__xludf.DUMMYFUNCTION("IMPORTRANGE(H13014,""IDENTITAS UNIT!D9"")"),"#N/A")</f>
        <v>#N/A</v>
      </c>
      <c r="H13014" s="4" t="str">
        <v/>
      </c>
      <c r="I13014" s="4" t="str">
        <v/>
      </c>
    </row>
    <row r="13015" spans="5:9" ht="16.5" hidden="1">
      <c r="E13015" s="4" t="str">
        <v/>
      </c>
      <c r="F13015" s="102" t="str">
        <f ca="1">IFERROR(__xludf.DUMMYFUNCTION("IMPORTRANGE(H13015,""IDENTITAS UNIT!D9"")"),"#N/A")</f>
        <v>#N/A</v>
      </c>
      <c r="H13015" s="4" t="str">
        <v/>
      </c>
      <c r="I13015" s="4" t="str">
        <v/>
      </c>
    </row>
    <row r="13016" spans="5:9" ht="16.5" hidden="1">
      <c r="E13016" s="4" t="str">
        <v/>
      </c>
      <c r="F13016" s="102" t="str">
        <f ca="1">IFERROR(__xludf.DUMMYFUNCTION("IMPORTRANGE(H13016,""IDENTITAS UNIT!D9"")"),"#N/A")</f>
        <v>#N/A</v>
      </c>
      <c r="H13016" s="4" t="str">
        <v/>
      </c>
      <c r="I13016" s="4" t="str">
        <v/>
      </c>
    </row>
    <row r="13017" spans="5:9" ht="16.5" hidden="1">
      <c r="E13017" s="4" t="str">
        <v/>
      </c>
      <c r="F13017" s="102" t="str">
        <f ca="1">IFERROR(__xludf.DUMMYFUNCTION("IMPORTRANGE(H13017,""IDENTITAS UNIT!D9"")"),"#N/A")</f>
        <v>#N/A</v>
      </c>
      <c r="H13017" s="4" t="str">
        <v/>
      </c>
      <c r="I13017" s="4" t="str">
        <v/>
      </c>
    </row>
    <row r="13018" spans="5:9" ht="16.5" hidden="1">
      <c r="E13018" s="4" t="str">
        <v/>
      </c>
      <c r="F13018" s="102" t="str">
        <f ca="1">IFERROR(__xludf.DUMMYFUNCTION("IMPORTRANGE(H13018,""IDENTITAS UNIT!D9"")"),"#N/A")</f>
        <v>#N/A</v>
      </c>
      <c r="H13018" s="4" t="str">
        <v/>
      </c>
      <c r="I13018" s="4" t="str">
        <v/>
      </c>
    </row>
    <row r="13019" spans="5:9" ht="16.5" hidden="1">
      <c r="E13019" s="4" t="str">
        <v/>
      </c>
      <c r="F13019" s="102" t="str">
        <f ca="1">IFERROR(__xludf.DUMMYFUNCTION("IMPORTRANGE(H13019,""IDENTITAS UNIT!D9"")"),"#N/A")</f>
        <v>#N/A</v>
      </c>
      <c r="H13019" s="4" t="str">
        <v/>
      </c>
      <c r="I13019" s="4" t="str">
        <v/>
      </c>
    </row>
    <row r="13020" spans="5:9" ht="16.5" hidden="1">
      <c r="E13020" s="4" t="str">
        <v/>
      </c>
      <c r="F13020" s="102" t="str">
        <f ca="1">IFERROR(__xludf.DUMMYFUNCTION("IMPORTRANGE(H13020,""IDENTITAS UNIT!D9"")"),"#N/A")</f>
        <v>#N/A</v>
      </c>
      <c r="H13020" s="4" t="str">
        <v/>
      </c>
      <c r="I13020" s="4" t="str">
        <v/>
      </c>
    </row>
    <row r="13021" spans="5:9" ht="16.5" hidden="1">
      <c r="E13021" s="4" t="str">
        <v/>
      </c>
      <c r="F13021" s="102" t="str">
        <f ca="1">IFERROR(__xludf.DUMMYFUNCTION("IMPORTRANGE(H13021,""IDENTITAS UNIT!D9"")"),"#N/A")</f>
        <v>#N/A</v>
      </c>
      <c r="H13021" s="4" t="str">
        <v/>
      </c>
      <c r="I13021" s="4" t="str">
        <v/>
      </c>
    </row>
    <row r="13022" spans="5:9" ht="16.5" hidden="1">
      <c r="E13022" s="4" t="str">
        <v/>
      </c>
      <c r="F13022" s="102" t="str">
        <f ca="1">IFERROR(__xludf.DUMMYFUNCTION("IMPORTRANGE(H13022,""IDENTITAS UNIT!D9"")"),"#N/A")</f>
        <v>#N/A</v>
      </c>
      <c r="H13022" s="4" t="str">
        <v/>
      </c>
      <c r="I13022" s="4" t="str">
        <v/>
      </c>
    </row>
    <row r="13023" spans="5:9" ht="16.5" hidden="1">
      <c r="E13023" s="4" t="str">
        <v/>
      </c>
      <c r="F13023" s="102" t="str">
        <f ca="1">IFERROR(__xludf.DUMMYFUNCTION("IMPORTRANGE(H13023,""IDENTITAS UNIT!D9"")"),"#N/A")</f>
        <v>#N/A</v>
      </c>
      <c r="H13023" s="4" t="str">
        <v/>
      </c>
      <c r="I13023" s="4" t="str">
        <v/>
      </c>
    </row>
    <row r="13024" spans="5:9" ht="16.5" hidden="1">
      <c r="E13024" s="4" t="str">
        <v/>
      </c>
      <c r="F13024" s="102" t="str">
        <f ca="1">IFERROR(__xludf.DUMMYFUNCTION("IMPORTRANGE(H13024,""IDENTITAS UNIT!D9"")"),"#N/A")</f>
        <v>#N/A</v>
      </c>
      <c r="H13024" s="4" t="str">
        <v/>
      </c>
      <c r="I13024" s="4" t="str">
        <v/>
      </c>
    </row>
    <row r="13025" spans="5:9" ht="16.5" hidden="1">
      <c r="E13025" s="4" t="str">
        <v/>
      </c>
      <c r="F13025" s="102" t="str">
        <f ca="1">IFERROR(__xludf.DUMMYFUNCTION("IMPORTRANGE(H13025,""IDENTITAS UNIT!D9"")"),"#N/A")</f>
        <v>#N/A</v>
      </c>
      <c r="H13025" s="4" t="str">
        <v/>
      </c>
      <c r="I13025" s="4" t="str">
        <v/>
      </c>
    </row>
    <row r="13026" spans="5:9" ht="16.5" hidden="1">
      <c r="E13026" s="4" t="str">
        <v/>
      </c>
      <c r="F13026" s="102" t="str">
        <f ca="1">IFERROR(__xludf.DUMMYFUNCTION("IMPORTRANGE(H13026,""IDENTITAS UNIT!D9"")"),"#N/A")</f>
        <v>#N/A</v>
      </c>
      <c r="H13026" s="4" t="str">
        <v/>
      </c>
      <c r="I13026" s="4" t="str">
        <v/>
      </c>
    </row>
    <row r="13027" spans="5:9" ht="16.5" hidden="1">
      <c r="E13027" s="4" t="str">
        <v/>
      </c>
      <c r="F13027" s="102" t="str">
        <f ca="1">IFERROR(__xludf.DUMMYFUNCTION("IMPORTRANGE(H13027,""IDENTITAS UNIT!D9"")"),"#N/A")</f>
        <v>#N/A</v>
      </c>
      <c r="H13027" s="4" t="str">
        <v/>
      </c>
      <c r="I13027" s="4" t="str">
        <v/>
      </c>
    </row>
    <row r="13028" spans="5:9" ht="16.5" hidden="1">
      <c r="E13028" s="4" t="str">
        <v/>
      </c>
      <c r="F13028" s="102" t="str">
        <f ca="1">IFERROR(__xludf.DUMMYFUNCTION("IMPORTRANGE(H13028,""IDENTITAS UNIT!D9"")"),"#N/A")</f>
        <v>#N/A</v>
      </c>
      <c r="H13028" s="4" t="str">
        <v/>
      </c>
      <c r="I13028" s="4" t="str">
        <v/>
      </c>
    </row>
    <row r="13029" spans="5:9" ht="16.5" hidden="1">
      <c r="E13029" s="4" t="str">
        <v/>
      </c>
      <c r="F13029" s="102" t="str">
        <f ca="1">IFERROR(__xludf.DUMMYFUNCTION("IMPORTRANGE(H13029,""IDENTITAS UNIT!D9"")"),"#N/A")</f>
        <v>#N/A</v>
      </c>
      <c r="H13029" s="4" t="str">
        <v/>
      </c>
      <c r="I13029" s="4" t="str">
        <v/>
      </c>
    </row>
    <row r="13030" spans="5:9" ht="16.5" hidden="1">
      <c r="E13030" s="4" t="str">
        <v/>
      </c>
      <c r="F13030" s="102" t="str">
        <f ca="1">IFERROR(__xludf.DUMMYFUNCTION("IMPORTRANGE(H13030,""IDENTITAS UNIT!D9"")"),"#N/A")</f>
        <v>#N/A</v>
      </c>
      <c r="H13030" s="4" t="str">
        <v/>
      </c>
      <c r="I13030" s="4" t="str">
        <v/>
      </c>
    </row>
    <row r="13031" spans="5:9" ht="16.5" hidden="1">
      <c r="E13031" s="4" t="str">
        <v/>
      </c>
      <c r="F13031" s="102" t="str">
        <f ca="1">IFERROR(__xludf.DUMMYFUNCTION("IMPORTRANGE(H13031,""IDENTITAS UNIT!D9"")"),"#N/A")</f>
        <v>#N/A</v>
      </c>
      <c r="H13031" s="4" t="str">
        <v/>
      </c>
      <c r="I13031" s="4" t="str">
        <v/>
      </c>
    </row>
    <row r="13032" spans="5:9" ht="16.5" hidden="1">
      <c r="E13032" s="4" t="str">
        <v/>
      </c>
      <c r="F13032" s="102" t="str">
        <f ca="1">IFERROR(__xludf.DUMMYFUNCTION("IMPORTRANGE(H13032,""IDENTITAS UNIT!D9"")"),"#N/A")</f>
        <v>#N/A</v>
      </c>
      <c r="H13032" s="4" t="str">
        <v/>
      </c>
      <c r="I13032" s="4" t="str">
        <v/>
      </c>
    </row>
    <row r="13033" spans="5:9" ht="16.5" hidden="1">
      <c r="E13033" s="4" t="str">
        <v/>
      </c>
      <c r="F13033" s="102" t="str">
        <f ca="1">IFERROR(__xludf.DUMMYFUNCTION("IMPORTRANGE(H13033,""IDENTITAS UNIT!D9"")"),"#N/A")</f>
        <v>#N/A</v>
      </c>
      <c r="H13033" s="4" t="str">
        <v/>
      </c>
      <c r="I13033" s="4" t="str">
        <v/>
      </c>
    </row>
    <row r="13034" spans="5:9" ht="16.5" hidden="1">
      <c r="E13034" s="4" t="str">
        <v/>
      </c>
      <c r="F13034" s="102" t="str">
        <f ca="1">IFERROR(__xludf.DUMMYFUNCTION("IMPORTRANGE(H13034,""IDENTITAS UNIT!D9"")"),"#N/A")</f>
        <v>#N/A</v>
      </c>
      <c r="H13034" s="4" t="str">
        <v/>
      </c>
      <c r="I13034" s="4" t="str">
        <v/>
      </c>
    </row>
    <row r="13035" spans="5:9" ht="16.5" hidden="1">
      <c r="E13035" s="4" t="str">
        <v/>
      </c>
      <c r="F13035" s="102" t="str">
        <f ca="1">IFERROR(__xludf.DUMMYFUNCTION("IMPORTRANGE(H13035,""IDENTITAS UNIT!D9"")"),"#N/A")</f>
        <v>#N/A</v>
      </c>
      <c r="H13035" s="4" t="str">
        <v/>
      </c>
      <c r="I13035" s="4" t="str">
        <v/>
      </c>
    </row>
    <row r="13036" spans="5:9" ht="16.5" hidden="1">
      <c r="E13036" s="4" t="str">
        <v/>
      </c>
      <c r="F13036" s="102" t="str">
        <f ca="1">IFERROR(__xludf.DUMMYFUNCTION("IMPORTRANGE(H13036,""IDENTITAS UNIT!D9"")"),"#N/A")</f>
        <v>#N/A</v>
      </c>
      <c r="H13036" s="4" t="str">
        <v/>
      </c>
      <c r="I13036" s="4" t="str">
        <v/>
      </c>
    </row>
    <row r="13037" spans="5:9" ht="16.5" hidden="1">
      <c r="E13037" s="4" t="str">
        <v/>
      </c>
      <c r="F13037" s="102" t="str">
        <f ca="1">IFERROR(__xludf.DUMMYFUNCTION("IMPORTRANGE(H13037,""IDENTITAS UNIT!D9"")"),"#N/A")</f>
        <v>#N/A</v>
      </c>
      <c r="H13037" s="4" t="str">
        <v/>
      </c>
      <c r="I13037" s="4" t="str">
        <v/>
      </c>
    </row>
    <row r="13038" spans="5:9" ht="16.5" hidden="1">
      <c r="E13038" s="4" t="str">
        <v/>
      </c>
      <c r="F13038" s="102" t="str">
        <f ca="1">IFERROR(__xludf.DUMMYFUNCTION("IMPORTRANGE(H13038,""IDENTITAS UNIT!D9"")"),"#N/A")</f>
        <v>#N/A</v>
      </c>
      <c r="H13038" s="4" t="str">
        <v/>
      </c>
      <c r="I13038" s="4" t="str">
        <v/>
      </c>
    </row>
    <row r="13039" spans="5:9" ht="16.5" hidden="1">
      <c r="E13039" s="4" t="str">
        <v/>
      </c>
      <c r="F13039" s="102" t="str">
        <f ca="1">IFERROR(__xludf.DUMMYFUNCTION("IMPORTRANGE(H13039,""IDENTITAS UNIT!D9"")"),"#N/A")</f>
        <v>#N/A</v>
      </c>
      <c r="H13039" s="4" t="str">
        <v/>
      </c>
      <c r="I13039" s="4" t="str">
        <v/>
      </c>
    </row>
    <row r="13040" spans="5:9" ht="16.5" hidden="1">
      <c r="E13040" s="4" t="str">
        <v/>
      </c>
      <c r="F13040" s="102" t="str">
        <f ca="1">IFERROR(__xludf.DUMMYFUNCTION("IMPORTRANGE(H13040,""IDENTITAS UNIT!D9"")"),"#N/A")</f>
        <v>#N/A</v>
      </c>
      <c r="H13040" s="4" t="str">
        <v/>
      </c>
      <c r="I13040" s="4" t="str">
        <v/>
      </c>
    </row>
    <row r="13041" spans="5:9" ht="16.5" hidden="1">
      <c r="E13041" s="4" t="str">
        <v/>
      </c>
      <c r="F13041" s="102" t="str">
        <f ca="1">IFERROR(__xludf.DUMMYFUNCTION("IMPORTRANGE(H13041,""IDENTITAS UNIT!D9"")"),"#N/A")</f>
        <v>#N/A</v>
      </c>
      <c r="H13041" s="4" t="str">
        <v/>
      </c>
      <c r="I13041" s="4" t="str">
        <v/>
      </c>
    </row>
    <row r="13042" spans="5:9" ht="16.5" hidden="1">
      <c r="E13042" s="4" t="str">
        <v/>
      </c>
      <c r="F13042" s="102" t="str">
        <f ca="1">IFERROR(__xludf.DUMMYFUNCTION("IMPORTRANGE(H13042,""IDENTITAS UNIT!D9"")"),"#N/A")</f>
        <v>#N/A</v>
      </c>
      <c r="H13042" s="4" t="str">
        <v/>
      </c>
      <c r="I13042" s="4" t="str">
        <v/>
      </c>
    </row>
    <row r="13043" spans="5:9" ht="16.5" hidden="1">
      <c r="E13043" s="4" t="str">
        <v/>
      </c>
      <c r="F13043" s="102" t="str">
        <f ca="1">IFERROR(__xludf.DUMMYFUNCTION("IMPORTRANGE(H13043,""IDENTITAS UNIT!D9"")"),"#N/A")</f>
        <v>#N/A</v>
      </c>
      <c r="H13043" s="4" t="str">
        <v/>
      </c>
      <c r="I13043" s="4" t="str">
        <v/>
      </c>
    </row>
    <row r="13044" spans="5:9" ht="16.5" hidden="1">
      <c r="E13044" s="4" t="str">
        <v/>
      </c>
      <c r="F13044" s="102" t="str">
        <f ca="1">IFERROR(__xludf.DUMMYFUNCTION("IMPORTRANGE(H13044,""IDENTITAS UNIT!D9"")"),"#N/A")</f>
        <v>#N/A</v>
      </c>
      <c r="H13044" s="4" t="str">
        <v/>
      </c>
      <c r="I13044" s="4" t="str">
        <v/>
      </c>
    </row>
    <row r="13045" spans="5:9" ht="16.5" hidden="1">
      <c r="E13045" s="4" t="str">
        <v/>
      </c>
      <c r="F13045" s="102" t="str">
        <f ca="1">IFERROR(__xludf.DUMMYFUNCTION("IMPORTRANGE(H13045,""IDENTITAS UNIT!D9"")"),"#N/A")</f>
        <v>#N/A</v>
      </c>
      <c r="H13045" s="4" t="str">
        <v/>
      </c>
      <c r="I13045" s="4" t="str">
        <v/>
      </c>
    </row>
    <row r="13046" spans="5:9" ht="16.5" hidden="1">
      <c r="E13046" s="4" t="str">
        <v/>
      </c>
      <c r="F13046" s="102" t="str">
        <f ca="1">IFERROR(__xludf.DUMMYFUNCTION("IMPORTRANGE(H13046,""IDENTITAS UNIT!D9"")"),"#N/A")</f>
        <v>#N/A</v>
      </c>
      <c r="H13046" s="4" t="str">
        <v/>
      </c>
      <c r="I13046" s="4" t="str">
        <v/>
      </c>
    </row>
    <row r="13047" spans="5:9" ht="16.5" hidden="1">
      <c r="E13047" s="4" t="str">
        <v/>
      </c>
      <c r="F13047" s="102" t="str">
        <f ca="1">IFERROR(__xludf.DUMMYFUNCTION("IMPORTRANGE(H13047,""IDENTITAS UNIT!D9"")"),"#N/A")</f>
        <v>#N/A</v>
      </c>
      <c r="H13047" s="4" t="str">
        <v/>
      </c>
      <c r="I13047" s="4" t="str">
        <v/>
      </c>
    </row>
    <row r="13048" spans="5:9" ht="16.5" hidden="1">
      <c r="E13048" s="4" t="str">
        <v/>
      </c>
      <c r="F13048" s="102" t="str">
        <f ca="1">IFERROR(__xludf.DUMMYFUNCTION("IMPORTRANGE(H13048,""IDENTITAS UNIT!D9"")"),"#N/A")</f>
        <v>#N/A</v>
      </c>
      <c r="H13048" s="4" t="str">
        <v/>
      </c>
      <c r="I13048" s="4" t="str">
        <v/>
      </c>
    </row>
    <row r="13049" spans="5:9" ht="16.5" hidden="1">
      <c r="E13049" s="4" t="str">
        <v/>
      </c>
      <c r="F13049" s="102" t="str">
        <f ca="1">IFERROR(__xludf.DUMMYFUNCTION("IMPORTRANGE(H13049,""IDENTITAS UNIT!D9"")"),"#N/A")</f>
        <v>#N/A</v>
      </c>
      <c r="H13049" s="4" t="str">
        <v/>
      </c>
      <c r="I13049" s="4" t="str">
        <v/>
      </c>
    </row>
    <row r="13050" spans="5:9" ht="16.5" hidden="1">
      <c r="E13050" s="4" t="str">
        <v/>
      </c>
      <c r="F13050" s="102" t="str">
        <f ca="1">IFERROR(__xludf.DUMMYFUNCTION("IMPORTRANGE(H13050,""IDENTITAS UNIT!D9"")"),"#N/A")</f>
        <v>#N/A</v>
      </c>
      <c r="H13050" s="4" t="str">
        <v/>
      </c>
      <c r="I13050" s="4" t="str">
        <v/>
      </c>
    </row>
    <row r="13051" spans="5:9" ht="16.5" hidden="1">
      <c r="E13051" s="4" t="str">
        <v/>
      </c>
      <c r="F13051" s="102" t="str">
        <f ca="1">IFERROR(__xludf.DUMMYFUNCTION("IMPORTRANGE(H13051,""IDENTITAS UNIT!D9"")"),"#N/A")</f>
        <v>#N/A</v>
      </c>
      <c r="H13051" s="4" t="str">
        <v/>
      </c>
      <c r="I13051" s="4" t="str">
        <v/>
      </c>
    </row>
    <row r="13052" spans="5:9" ht="16.5" hidden="1">
      <c r="E13052" s="4" t="str">
        <v/>
      </c>
      <c r="F13052" s="102" t="str">
        <f ca="1">IFERROR(__xludf.DUMMYFUNCTION("IMPORTRANGE(H13052,""IDENTITAS UNIT!D9"")"),"#N/A")</f>
        <v>#N/A</v>
      </c>
      <c r="H13052" s="4" t="str">
        <v/>
      </c>
      <c r="I13052" s="4" t="str">
        <v/>
      </c>
    </row>
    <row r="13053" spans="5:9" ht="16.5" hidden="1">
      <c r="E13053" s="4" t="str">
        <v/>
      </c>
      <c r="F13053" s="102" t="str">
        <f ca="1">IFERROR(__xludf.DUMMYFUNCTION("IMPORTRANGE(H13053,""IDENTITAS UNIT!D9"")"),"#N/A")</f>
        <v>#N/A</v>
      </c>
      <c r="H13053" s="4" t="str">
        <v/>
      </c>
      <c r="I13053" s="4" t="str">
        <v/>
      </c>
    </row>
    <row r="13054" spans="5:9" ht="16.5" hidden="1">
      <c r="E13054" s="4" t="str">
        <v/>
      </c>
      <c r="F13054" s="102" t="str">
        <f ca="1">IFERROR(__xludf.DUMMYFUNCTION("IMPORTRANGE(H13054,""IDENTITAS UNIT!D9"")"),"#N/A")</f>
        <v>#N/A</v>
      </c>
      <c r="H13054" s="4" t="str">
        <v/>
      </c>
      <c r="I13054" s="4" t="str">
        <v/>
      </c>
    </row>
    <row r="13055" spans="5:9" ht="16.5" hidden="1">
      <c r="E13055" s="4" t="str">
        <v/>
      </c>
      <c r="F13055" s="102" t="str">
        <f ca="1">IFERROR(__xludf.DUMMYFUNCTION("IMPORTRANGE(H13055,""IDENTITAS UNIT!D9"")"),"#N/A")</f>
        <v>#N/A</v>
      </c>
      <c r="H13055" s="4" t="str">
        <v/>
      </c>
      <c r="I13055" s="4" t="str">
        <v/>
      </c>
    </row>
    <row r="13056" spans="5:9" ht="16.5" hidden="1">
      <c r="E13056" s="4" t="str">
        <v/>
      </c>
      <c r="F13056" s="102" t="str">
        <f ca="1">IFERROR(__xludf.DUMMYFUNCTION("IMPORTRANGE(H13056,""IDENTITAS UNIT!D9"")"),"#N/A")</f>
        <v>#N/A</v>
      </c>
      <c r="H13056" s="4" t="str">
        <v/>
      </c>
      <c r="I13056" s="4" t="str">
        <v/>
      </c>
    </row>
    <row r="13057" spans="5:9" ht="16.5" hidden="1">
      <c r="E13057" s="4" t="str">
        <v/>
      </c>
      <c r="F13057" s="102" t="str">
        <f ca="1">IFERROR(__xludf.DUMMYFUNCTION("IMPORTRANGE(H13057,""IDENTITAS UNIT!D9"")"),"#N/A")</f>
        <v>#N/A</v>
      </c>
      <c r="H13057" s="4" t="str">
        <v/>
      </c>
      <c r="I13057" s="4" t="str">
        <v/>
      </c>
    </row>
    <row r="13058" spans="5:9" ht="16.5" hidden="1">
      <c r="E13058" s="4" t="str">
        <v/>
      </c>
      <c r="F13058" s="102" t="str">
        <f ca="1">IFERROR(__xludf.DUMMYFUNCTION("IMPORTRANGE(H13058,""IDENTITAS UNIT!D9"")"),"#N/A")</f>
        <v>#N/A</v>
      </c>
      <c r="H13058" s="4" t="str">
        <v/>
      </c>
      <c r="I13058" s="4" t="str">
        <v/>
      </c>
    </row>
    <row r="13059" spans="5:9" ht="16.5" hidden="1">
      <c r="E13059" s="4" t="str">
        <v/>
      </c>
      <c r="F13059" s="102" t="str">
        <f ca="1">IFERROR(__xludf.DUMMYFUNCTION("IMPORTRANGE(H13059,""IDENTITAS UNIT!D9"")"),"#N/A")</f>
        <v>#N/A</v>
      </c>
      <c r="H13059" s="4" t="str">
        <v/>
      </c>
      <c r="I13059" s="4" t="str">
        <v/>
      </c>
    </row>
    <row r="13060" spans="5:9" ht="16.5" hidden="1">
      <c r="E13060" s="4" t="str">
        <v/>
      </c>
      <c r="F13060" s="102" t="str">
        <f ca="1">IFERROR(__xludf.DUMMYFUNCTION("IMPORTRANGE(H13060,""IDENTITAS UNIT!D9"")"),"#N/A")</f>
        <v>#N/A</v>
      </c>
      <c r="H13060" s="4" t="str">
        <v/>
      </c>
      <c r="I13060" s="4" t="str">
        <v/>
      </c>
    </row>
    <row r="13061" spans="5:9" ht="16.5" hidden="1">
      <c r="E13061" s="4" t="str">
        <v/>
      </c>
      <c r="F13061" s="102" t="str">
        <f ca="1">IFERROR(__xludf.DUMMYFUNCTION("IMPORTRANGE(H13061,""IDENTITAS UNIT!D9"")"),"#N/A")</f>
        <v>#N/A</v>
      </c>
      <c r="H13061" s="4" t="str">
        <v/>
      </c>
      <c r="I13061" s="4" t="str">
        <v/>
      </c>
    </row>
    <row r="13062" spans="5:9" ht="16.5" hidden="1">
      <c r="E13062" s="4" t="str">
        <v/>
      </c>
      <c r="F13062" s="102" t="str">
        <f ca="1">IFERROR(__xludf.DUMMYFUNCTION("IMPORTRANGE(H13062,""IDENTITAS UNIT!D9"")"),"#N/A")</f>
        <v>#N/A</v>
      </c>
      <c r="H13062" s="4" t="str">
        <v/>
      </c>
      <c r="I13062" s="4" t="str">
        <v/>
      </c>
    </row>
    <row r="13063" spans="5:9" ht="16.5" hidden="1">
      <c r="E13063" s="4" t="str">
        <v/>
      </c>
      <c r="F13063" s="102" t="str">
        <f ca="1">IFERROR(__xludf.DUMMYFUNCTION("IMPORTRANGE(H13063,""IDENTITAS UNIT!D9"")"),"#N/A")</f>
        <v>#N/A</v>
      </c>
      <c r="H13063" s="4" t="str">
        <v/>
      </c>
      <c r="I13063" s="4" t="str">
        <v/>
      </c>
    </row>
    <row r="13064" spans="5:9" ht="16.5" hidden="1">
      <c r="E13064" s="4" t="str">
        <v/>
      </c>
      <c r="F13064" s="102" t="str">
        <f ca="1">IFERROR(__xludf.DUMMYFUNCTION("IMPORTRANGE(H13064,""IDENTITAS UNIT!D9"")"),"#N/A")</f>
        <v>#N/A</v>
      </c>
      <c r="H13064" s="4" t="str">
        <v/>
      </c>
      <c r="I13064" s="4" t="str">
        <v/>
      </c>
    </row>
    <row r="13065" spans="5:9" ht="16.5" hidden="1">
      <c r="E13065" s="4" t="str">
        <v/>
      </c>
      <c r="F13065" s="102" t="str">
        <f ca="1">IFERROR(__xludf.DUMMYFUNCTION("IMPORTRANGE(H13065,""IDENTITAS UNIT!D9"")"),"#N/A")</f>
        <v>#N/A</v>
      </c>
      <c r="H13065" s="4" t="str">
        <v/>
      </c>
      <c r="I13065" s="4" t="str">
        <v/>
      </c>
    </row>
    <row r="13066" spans="5:9" ht="16.5" hidden="1">
      <c r="E13066" s="4" t="str">
        <v/>
      </c>
      <c r="F13066" s="102" t="str">
        <f ca="1">IFERROR(__xludf.DUMMYFUNCTION("IMPORTRANGE(H13066,""IDENTITAS UNIT!D9"")"),"#N/A")</f>
        <v>#N/A</v>
      </c>
      <c r="H13066" s="4" t="str">
        <v/>
      </c>
      <c r="I13066" s="4" t="str">
        <v/>
      </c>
    </row>
    <row r="13067" spans="5:9" ht="16.5" hidden="1">
      <c r="E13067" s="4" t="str">
        <v/>
      </c>
      <c r="F13067" s="102" t="str">
        <f ca="1">IFERROR(__xludf.DUMMYFUNCTION("IMPORTRANGE(H13067,""IDENTITAS UNIT!D9"")"),"#N/A")</f>
        <v>#N/A</v>
      </c>
      <c r="H13067" s="4" t="str">
        <v/>
      </c>
      <c r="I13067" s="4" t="str">
        <v/>
      </c>
    </row>
    <row r="13068" spans="5:9" ht="16.5" hidden="1">
      <c r="E13068" s="4" t="str">
        <v/>
      </c>
      <c r="F13068" s="102" t="str">
        <f ca="1">IFERROR(__xludf.DUMMYFUNCTION("IMPORTRANGE(H13068,""IDENTITAS UNIT!D9"")"),"#N/A")</f>
        <v>#N/A</v>
      </c>
      <c r="H13068" s="4" t="str">
        <v/>
      </c>
      <c r="I13068" s="4" t="str">
        <v/>
      </c>
    </row>
    <row r="13069" spans="5:9" ht="16.5" hidden="1">
      <c r="E13069" s="4" t="str">
        <v/>
      </c>
      <c r="F13069" s="102" t="str">
        <f ca="1">IFERROR(__xludf.DUMMYFUNCTION("IMPORTRANGE(H13069,""IDENTITAS UNIT!D9"")"),"#N/A")</f>
        <v>#N/A</v>
      </c>
      <c r="H13069" s="4" t="str">
        <v/>
      </c>
      <c r="I13069" s="4" t="str">
        <v/>
      </c>
    </row>
    <row r="13070" spans="5:9" ht="16.5" hidden="1">
      <c r="E13070" s="4" t="str">
        <v/>
      </c>
      <c r="F13070" s="102" t="str">
        <f ca="1">IFERROR(__xludf.DUMMYFUNCTION("IMPORTRANGE(H13070,""IDENTITAS UNIT!D9"")"),"#N/A")</f>
        <v>#N/A</v>
      </c>
      <c r="H13070" s="4" t="str">
        <v/>
      </c>
      <c r="I13070" s="4" t="str">
        <v/>
      </c>
    </row>
    <row r="13071" spans="5:9" ht="16.5" hidden="1">
      <c r="E13071" s="4" t="str">
        <v/>
      </c>
      <c r="F13071" s="102" t="str">
        <f ca="1">IFERROR(__xludf.DUMMYFUNCTION("IMPORTRANGE(H13071,""IDENTITAS UNIT!D9"")"),"#N/A")</f>
        <v>#N/A</v>
      </c>
      <c r="H13071" s="4" t="str">
        <v/>
      </c>
      <c r="I13071" s="4" t="str">
        <v/>
      </c>
    </row>
    <row r="13072" spans="5:9" ht="16.5" hidden="1">
      <c r="E13072" s="4" t="str">
        <v/>
      </c>
      <c r="F13072" s="102" t="str">
        <f ca="1">IFERROR(__xludf.DUMMYFUNCTION("IMPORTRANGE(H13072,""IDENTITAS UNIT!D9"")"),"#N/A")</f>
        <v>#N/A</v>
      </c>
      <c r="H13072" s="4" t="str">
        <v/>
      </c>
      <c r="I13072" s="4" t="str">
        <v/>
      </c>
    </row>
    <row r="13073" spans="5:9" ht="16.5" hidden="1">
      <c r="E13073" s="4" t="str">
        <v/>
      </c>
      <c r="F13073" s="102" t="str">
        <f ca="1">IFERROR(__xludf.DUMMYFUNCTION("IMPORTRANGE(H13073,""IDENTITAS UNIT!D9"")"),"#N/A")</f>
        <v>#N/A</v>
      </c>
      <c r="H13073" s="4" t="str">
        <v/>
      </c>
      <c r="I13073" s="4" t="str">
        <v/>
      </c>
    </row>
    <row r="13074" spans="5:9" ht="16.5" hidden="1">
      <c r="E13074" s="4" t="str">
        <v/>
      </c>
      <c r="F13074" s="102" t="str">
        <f ca="1">IFERROR(__xludf.DUMMYFUNCTION("IMPORTRANGE(H13074,""IDENTITAS UNIT!D9"")"),"#N/A")</f>
        <v>#N/A</v>
      </c>
      <c r="H13074" s="4" t="str">
        <v/>
      </c>
      <c r="I13074" s="4" t="str">
        <v/>
      </c>
    </row>
    <row r="13075" spans="5:9" ht="16.5" hidden="1">
      <c r="E13075" s="4" t="str">
        <v/>
      </c>
      <c r="F13075" s="102" t="str">
        <f ca="1">IFERROR(__xludf.DUMMYFUNCTION("IMPORTRANGE(H13075,""IDENTITAS UNIT!D9"")"),"#N/A")</f>
        <v>#N/A</v>
      </c>
      <c r="H13075" s="4" t="str">
        <v/>
      </c>
      <c r="I13075" s="4" t="str">
        <v/>
      </c>
    </row>
    <row r="13076" spans="5:9" ht="16.5" hidden="1">
      <c r="E13076" s="4" t="str">
        <v/>
      </c>
      <c r="F13076" s="102" t="str">
        <f ca="1">IFERROR(__xludf.DUMMYFUNCTION("IMPORTRANGE(H13076,""IDENTITAS UNIT!D9"")"),"#N/A")</f>
        <v>#N/A</v>
      </c>
      <c r="H13076" s="4" t="str">
        <v/>
      </c>
      <c r="I13076" s="4" t="str">
        <v/>
      </c>
    </row>
    <row r="13077" spans="5:9" ht="16.5" hidden="1">
      <c r="E13077" s="4" t="str">
        <v/>
      </c>
      <c r="F13077" s="102" t="str">
        <f ca="1">IFERROR(__xludf.DUMMYFUNCTION("IMPORTRANGE(H13077,""IDENTITAS UNIT!D9"")"),"#N/A")</f>
        <v>#N/A</v>
      </c>
      <c r="H13077" s="4" t="str">
        <v/>
      </c>
      <c r="I13077" s="4" t="str">
        <v/>
      </c>
    </row>
    <row r="13078" spans="5:9" ht="16.5" hidden="1">
      <c r="E13078" s="4" t="str">
        <v/>
      </c>
      <c r="F13078" s="102" t="str">
        <f ca="1">IFERROR(__xludf.DUMMYFUNCTION("IMPORTRANGE(H13078,""IDENTITAS UNIT!D9"")"),"#N/A")</f>
        <v>#N/A</v>
      </c>
      <c r="H13078" s="4" t="str">
        <v/>
      </c>
      <c r="I13078" s="4" t="str">
        <v/>
      </c>
    </row>
    <row r="13079" spans="5:9" ht="16.5" hidden="1">
      <c r="E13079" s="4" t="str">
        <v/>
      </c>
      <c r="F13079" s="102" t="str">
        <f ca="1">IFERROR(__xludf.DUMMYFUNCTION("IMPORTRANGE(H13079,""IDENTITAS UNIT!D9"")"),"#N/A")</f>
        <v>#N/A</v>
      </c>
      <c r="H13079" s="4" t="str">
        <v/>
      </c>
      <c r="I13079" s="4" t="str">
        <v/>
      </c>
    </row>
    <row r="13080" spans="5:9" ht="16.5" hidden="1">
      <c r="E13080" s="4" t="str">
        <v/>
      </c>
      <c r="F13080" s="102" t="str">
        <f ca="1">IFERROR(__xludf.DUMMYFUNCTION("IMPORTRANGE(H13080,""IDENTITAS UNIT!D9"")"),"#N/A")</f>
        <v>#N/A</v>
      </c>
      <c r="H13080" s="4" t="str">
        <v/>
      </c>
      <c r="I13080" s="4" t="str">
        <v/>
      </c>
    </row>
    <row r="13081" spans="5:9" ht="16.5" hidden="1">
      <c r="E13081" s="4" t="str">
        <v/>
      </c>
      <c r="F13081" s="102" t="str">
        <f ca="1">IFERROR(__xludf.DUMMYFUNCTION("IMPORTRANGE(H13081,""IDENTITAS UNIT!D9"")"),"#N/A")</f>
        <v>#N/A</v>
      </c>
      <c r="H13081" s="4" t="str">
        <v/>
      </c>
      <c r="I13081" s="4" t="str">
        <v/>
      </c>
    </row>
    <row r="13082" spans="5:9" ht="16.5" hidden="1">
      <c r="E13082" s="4" t="str">
        <v/>
      </c>
      <c r="F13082" s="102" t="str">
        <f ca="1">IFERROR(__xludf.DUMMYFUNCTION("IMPORTRANGE(H13082,""IDENTITAS UNIT!D9"")"),"#N/A")</f>
        <v>#N/A</v>
      </c>
      <c r="H13082" s="4" t="str">
        <v/>
      </c>
      <c r="I13082" s="4" t="str">
        <v/>
      </c>
    </row>
    <row r="13083" spans="5:9" ht="16.5" hidden="1">
      <c r="E13083" s="4" t="str">
        <v/>
      </c>
      <c r="F13083" s="102" t="str">
        <f ca="1">IFERROR(__xludf.DUMMYFUNCTION("IMPORTRANGE(H13083,""IDENTITAS UNIT!D9"")"),"#N/A")</f>
        <v>#N/A</v>
      </c>
      <c r="H13083" s="4" t="str">
        <v/>
      </c>
      <c r="I13083" s="4" t="str">
        <v/>
      </c>
    </row>
    <row r="13084" spans="5:9" ht="16.5" hidden="1">
      <c r="E13084" s="4" t="str">
        <v/>
      </c>
      <c r="F13084" s="102" t="str">
        <f ca="1">IFERROR(__xludf.DUMMYFUNCTION("IMPORTRANGE(H13084,""IDENTITAS UNIT!D9"")"),"#N/A")</f>
        <v>#N/A</v>
      </c>
      <c r="H13084" s="4" t="str">
        <v/>
      </c>
      <c r="I13084" s="4" t="str">
        <v/>
      </c>
    </row>
    <row r="13085" spans="5:9" ht="16.5" hidden="1">
      <c r="E13085" s="4" t="str">
        <v/>
      </c>
      <c r="F13085" s="102" t="str">
        <f ca="1">IFERROR(__xludf.DUMMYFUNCTION("IMPORTRANGE(H13085,""IDENTITAS UNIT!D9"")"),"#N/A")</f>
        <v>#N/A</v>
      </c>
      <c r="H13085" s="4" t="str">
        <v/>
      </c>
      <c r="I13085" s="4" t="str">
        <v/>
      </c>
    </row>
    <row r="13086" spans="5:9" ht="16.5" hidden="1">
      <c r="E13086" s="4" t="str">
        <v/>
      </c>
      <c r="F13086" s="102" t="str">
        <f ca="1">IFERROR(__xludf.DUMMYFUNCTION("IMPORTRANGE(H13086,""IDENTITAS UNIT!D9"")"),"#N/A")</f>
        <v>#N/A</v>
      </c>
      <c r="H13086" s="4" t="str">
        <v/>
      </c>
      <c r="I13086" s="4" t="str">
        <v/>
      </c>
    </row>
    <row r="13087" spans="5:9" ht="16.5" hidden="1">
      <c r="E13087" s="4" t="str">
        <v/>
      </c>
      <c r="F13087" s="102" t="str">
        <f ca="1">IFERROR(__xludf.DUMMYFUNCTION("IMPORTRANGE(H13087,""IDENTITAS UNIT!D9"")"),"#N/A")</f>
        <v>#N/A</v>
      </c>
      <c r="H13087" s="4" t="str">
        <v/>
      </c>
      <c r="I13087" s="4" t="str">
        <v/>
      </c>
    </row>
    <row r="13088" spans="5:9" ht="16.5" hidden="1">
      <c r="E13088" s="4" t="str">
        <v/>
      </c>
      <c r="F13088" s="102" t="str">
        <f ca="1">IFERROR(__xludf.DUMMYFUNCTION("IMPORTRANGE(H13088,""IDENTITAS UNIT!D9"")"),"#N/A")</f>
        <v>#N/A</v>
      </c>
      <c r="H13088" s="4" t="str">
        <v/>
      </c>
      <c r="I13088" s="4" t="str">
        <v/>
      </c>
    </row>
    <row r="13089" spans="5:9" ht="16.5" hidden="1">
      <c r="E13089" s="4" t="str">
        <v/>
      </c>
      <c r="F13089" s="102" t="str">
        <f ca="1">IFERROR(__xludf.DUMMYFUNCTION("IMPORTRANGE(H13089,""IDENTITAS UNIT!D9"")"),"#N/A")</f>
        <v>#N/A</v>
      </c>
      <c r="H13089" s="4" t="str">
        <v/>
      </c>
      <c r="I13089" s="4" t="str">
        <v/>
      </c>
    </row>
    <row r="13090" spans="5:9" ht="16.5" hidden="1">
      <c r="E13090" s="4" t="str">
        <v/>
      </c>
      <c r="F13090" s="102" t="str">
        <f ca="1">IFERROR(__xludf.DUMMYFUNCTION("IMPORTRANGE(H13090,""IDENTITAS UNIT!D9"")"),"#N/A")</f>
        <v>#N/A</v>
      </c>
      <c r="H13090" s="4" t="str">
        <v/>
      </c>
      <c r="I13090" s="4" t="str">
        <v/>
      </c>
    </row>
    <row r="13091" spans="5:9" ht="16.5" hidden="1">
      <c r="E13091" s="4" t="str">
        <v/>
      </c>
      <c r="F13091" s="102" t="str">
        <f ca="1">IFERROR(__xludf.DUMMYFUNCTION("IMPORTRANGE(H13091,""IDENTITAS UNIT!D9"")"),"#N/A")</f>
        <v>#N/A</v>
      </c>
      <c r="H13091" s="4" t="str">
        <v/>
      </c>
      <c r="I13091" s="4" t="str">
        <v/>
      </c>
    </row>
    <row r="13092" spans="5:9" ht="16.5" hidden="1">
      <c r="E13092" s="4" t="str">
        <v/>
      </c>
      <c r="F13092" s="102" t="str">
        <f ca="1">IFERROR(__xludf.DUMMYFUNCTION("IMPORTRANGE(H13092,""IDENTITAS UNIT!D9"")"),"#N/A")</f>
        <v>#N/A</v>
      </c>
      <c r="H13092" s="4" t="str">
        <v/>
      </c>
      <c r="I13092" s="4" t="str">
        <v/>
      </c>
    </row>
    <row r="13093" spans="5:9" ht="16.5" hidden="1">
      <c r="E13093" s="4" t="str">
        <v/>
      </c>
      <c r="F13093" s="102" t="str">
        <f ca="1">IFERROR(__xludf.DUMMYFUNCTION("IMPORTRANGE(H13093,""IDENTITAS UNIT!D9"")"),"#N/A")</f>
        <v>#N/A</v>
      </c>
      <c r="H13093" s="4" t="str">
        <v/>
      </c>
      <c r="I13093" s="4" t="str">
        <v/>
      </c>
    </row>
    <row r="13094" spans="5:9" ht="16.5" hidden="1">
      <c r="E13094" s="4" t="str">
        <v/>
      </c>
      <c r="F13094" s="102" t="str">
        <f ca="1">IFERROR(__xludf.DUMMYFUNCTION("IMPORTRANGE(H13094,""IDENTITAS UNIT!D9"")"),"#N/A")</f>
        <v>#N/A</v>
      </c>
      <c r="H13094" s="4" t="str">
        <v/>
      </c>
      <c r="I13094" s="4" t="str">
        <v/>
      </c>
    </row>
    <row r="13095" spans="5:9" ht="16.5" hidden="1">
      <c r="E13095" s="4" t="str">
        <v/>
      </c>
      <c r="F13095" s="102" t="str">
        <f ca="1">IFERROR(__xludf.DUMMYFUNCTION("IMPORTRANGE(H13095,""IDENTITAS UNIT!D9"")"),"#N/A")</f>
        <v>#N/A</v>
      </c>
      <c r="H13095" s="4" t="str">
        <v/>
      </c>
      <c r="I13095" s="4" t="str">
        <v/>
      </c>
    </row>
    <row r="13096" spans="5:9" ht="16.5" hidden="1">
      <c r="E13096" s="4" t="str">
        <v/>
      </c>
      <c r="F13096" s="102" t="str">
        <f ca="1">IFERROR(__xludf.DUMMYFUNCTION("IMPORTRANGE(H13096,""IDENTITAS UNIT!D9"")"),"#N/A")</f>
        <v>#N/A</v>
      </c>
      <c r="H13096" s="4" t="str">
        <v/>
      </c>
      <c r="I13096" s="4" t="str">
        <v/>
      </c>
    </row>
    <row r="13097" spans="5:9" ht="16.5" hidden="1">
      <c r="E13097" s="4" t="str">
        <v/>
      </c>
      <c r="F13097" s="102" t="str">
        <f ca="1">IFERROR(__xludf.DUMMYFUNCTION("IMPORTRANGE(H13097,""IDENTITAS UNIT!D9"")"),"#N/A")</f>
        <v>#N/A</v>
      </c>
      <c r="H13097" s="4" t="str">
        <v/>
      </c>
      <c r="I13097" s="4" t="str">
        <v/>
      </c>
    </row>
    <row r="13098" spans="5:9" ht="16.5" hidden="1">
      <c r="E13098" s="4" t="str">
        <v/>
      </c>
      <c r="F13098" s="102" t="str">
        <f ca="1">IFERROR(__xludf.DUMMYFUNCTION("IMPORTRANGE(H13098,""IDENTITAS UNIT!D9"")"),"#N/A")</f>
        <v>#N/A</v>
      </c>
      <c r="H13098" s="4" t="str">
        <v/>
      </c>
      <c r="I13098" s="4" t="str">
        <v/>
      </c>
    </row>
    <row r="13099" spans="5:9" ht="16.5" hidden="1">
      <c r="E13099" s="4" t="str">
        <v/>
      </c>
      <c r="F13099" s="102" t="str">
        <f ca="1">IFERROR(__xludf.DUMMYFUNCTION("IMPORTRANGE(H13099,""IDENTITAS UNIT!D9"")"),"#N/A")</f>
        <v>#N/A</v>
      </c>
      <c r="H13099" s="4" t="str">
        <v/>
      </c>
      <c r="I13099" s="4" t="str">
        <v/>
      </c>
    </row>
    <row r="13100" spans="5:9" ht="16.5" hidden="1">
      <c r="E13100" s="4" t="str">
        <v/>
      </c>
      <c r="F13100" s="102" t="str">
        <f ca="1">IFERROR(__xludf.DUMMYFUNCTION("IMPORTRANGE(H13100,""IDENTITAS UNIT!D9"")"),"#N/A")</f>
        <v>#N/A</v>
      </c>
      <c r="H13100" s="4" t="str">
        <v/>
      </c>
      <c r="I13100" s="4" t="str">
        <v/>
      </c>
    </row>
    <row r="13101" spans="5:9" ht="16.5" hidden="1">
      <c r="E13101" s="4" t="str">
        <v/>
      </c>
      <c r="F13101" s="102" t="str">
        <f ca="1">IFERROR(__xludf.DUMMYFUNCTION("IMPORTRANGE(H13101,""IDENTITAS UNIT!D9"")"),"#N/A")</f>
        <v>#N/A</v>
      </c>
      <c r="H13101" s="4" t="str">
        <v/>
      </c>
      <c r="I13101" s="4" t="str">
        <v/>
      </c>
    </row>
    <row r="13102" spans="5:9" ht="16.5" hidden="1">
      <c r="E13102" s="4" t="str">
        <v/>
      </c>
      <c r="F13102" s="102" t="str">
        <f ca="1">IFERROR(__xludf.DUMMYFUNCTION("IMPORTRANGE(H13102,""IDENTITAS UNIT!D9"")"),"#N/A")</f>
        <v>#N/A</v>
      </c>
      <c r="H13102" s="4" t="str">
        <v/>
      </c>
      <c r="I13102" s="4" t="str">
        <v/>
      </c>
    </row>
    <row r="13103" spans="5:9" ht="16.5" hidden="1">
      <c r="E13103" s="4" t="str">
        <v/>
      </c>
      <c r="F13103" s="102" t="str">
        <f ca="1">IFERROR(__xludf.DUMMYFUNCTION("IMPORTRANGE(H13103,""IDENTITAS UNIT!D9"")"),"#N/A")</f>
        <v>#N/A</v>
      </c>
      <c r="H13103" s="4" t="str">
        <v/>
      </c>
      <c r="I13103" s="4" t="str">
        <v/>
      </c>
    </row>
    <row r="13104" spans="5:9" ht="16.5" hidden="1">
      <c r="E13104" s="4" t="str">
        <v/>
      </c>
      <c r="F13104" s="102" t="str">
        <f ca="1">IFERROR(__xludf.DUMMYFUNCTION("IMPORTRANGE(H13104,""IDENTITAS UNIT!D9"")"),"#N/A")</f>
        <v>#N/A</v>
      </c>
      <c r="H13104" s="4" t="str">
        <v/>
      </c>
      <c r="I13104" s="4" t="str">
        <v/>
      </c>
    </row>
    <row r="13105" spans="5:9" ht="16.5" hidden="1">
      <c r="E13105" s="4" t="str">
        <v/>
      </c>
      <c r="F13105" s="102" t="str">
        <f ca="1">IFERROR(__xludf.DUMMYFUNCTION("IMPORTRANGE(H13105,""IDENTITAS UNIT!D9"")"),"#N/A")</f>
        <v>#N/A</v>
      </c>
      <c r="H13105" s="4" t="str">
        <v/>
      </c>
      <c r="I13105" s="4" t="str">
        <v/>
      </c>
    </row>
    <row r="13106" spans="5:9" ht="16.5" hidden="1">
      <c r="E13106" s="4" t="str">
        <v/>
      </c>
      <c r="F13106" s="102" t="str">
        <f ca="1">IFERROR(__xludf.DUMMYFUNCTION("IMPORTRANGE(H13106,""IDENTITAS UNIT!D9"")"),"#N/A")</f>
        <v>#N/A</v>
      </c>
      <c r="H13106" s="4" t="str">
        <v/>
      </c>
      <c r="I13106" s="4" t="str">
        <v/>
      </c>
    </row>
    <row r="13107" spans="5:9" ht="16.5" hidden="1">
      <c r="E13107" s="4" t="str">
        <v/>
      </c>
      <c r="F13107" s="102" t="str">
        <f ca="1">IFERROR(__xludf.DUMMYFUNCTION("IMPORTRANGE(H13107,""IDENTITAS UNIT!D9"")"),"#N/A")</f>
        <v>#N/A</v>
      </c>
      <c r="H13107" s="4" t="str">
        <v/>
      </c>
      <c r="I13107" s="4" t="str">
        <v/>
      </c>
    </row>
    <row r="13108" spans="5:9" ht="16.5" hidden="1">
      <c r="E13108" s="4" t="str">
        <v/>
      </c>
      <c r="F13108" s="102" t="str">
        <f ca="1">IFERROR(__xludf.DUMMYFUNCTION("IMPORTRANGE(H13108,""IDENTITAS UNIT!D9"")"),"#N/A")</f>
        <v>#N/A</v>
      </c>
      <c r="H13108" s="4" t="str">
        <v/>
      </c>
      <c r="I13108" s="4" t="str">
        <v/>
      </c>
    </row>
    <row r="13109" spans="5:9" ht="16.5" hidden="1">
      <c r="E13109" s="4" t="str">
        <v/>
      </c>
      <c r="F13109" s="102" t="str">
        <f ca="1">IFERROR(__xludf.DUMMYFUNCTION("IMPORTRANGE(H13109,""IDENTITAS UNIT!D9"")"),"#N/A")</f>
        <v>#N/A</v>
      </c>
      <c r="H13109" s="4" t="str">
        <v/>
      </c>
      <c r="I13109" s="4" t="str">
        <v/>
      </c>
    </row>
    <row r="13110" spans="5:9" ht="16.5" hidden="1">
      <c r="E13110" s="4" t="str">
        <v/>
      </c>
      <c r="F13110" s="102" t="str">
        <f ca="1">IFERROR(__xludf.DUMMYFUNCTION("IMPORTRANGE(H13110,""IDENTITAS UNIT!D9"")"),"#N/A")</f>
        <v>#N/A</v>
      </c>
      <c r="H13110" s="4" t="str">
        <v/>
      </c>
      <c r="I13110" s="4" t="str">
        <v/>
      </c>
    </row>
    <row r="13111" spans="5:9" ht="16.5" hidden="1">
      <c r="E13111" s="4" t="str">
        <v/>
      </c>
      <c r="F13111" s="102" t="str">
        <f ca="1">IFERROR(__xludf.DUMMYFUNCTION("IMPORTRANGE(H13111,""IDENTITAS UNIT!D9"")"),"#N/A")</f>
        <v>#N/A</v>
      </c>
      <c r="H13111" s="4" t="str">
        <v/>
      </c>
      <c r="I13111" s="4" t="str">
        <v/>
      </c>
    </row>
    <row r="13112" spans="5:9" ht="16.5" hidden="1">
      <c r="E13112" s="4" t="str">
        <v/>
      </c>
      <c r="F13112" s="102" t="str">
        <f ca="1">IFERROR(__xludf.DUMMYFUNCTION("IMPORTRANGE(H13112,""IDENTITAS UNIT!D9"")"),"#N/A")</f>
        <v>#N/A</v>
      </c>
      <c r="H13112" s="4" t="str">
        <v/>
      </c>
      <c r="I13112" s="4" t="str">
        <v/>
      </c>
    </row>
    <row r="13113" spans="5:9" ht="16.5" hidden="1">
      <c r="E13113" s="4" t="str">
        <v/>
      </c>
      <c r="F13113" s="102" t="str">
        <f ca="1">IFERROR(__xludf.DUMMYFUNCTION("IMPORTRANGE(H13113,""IDENTITAS UNIT!D9"")"),"#N/A")</f>
        <v>#N/A</v>
      </c>
      <c r="H13113" s="4" t="str">
        <v/>
      </c>
      <c r="I13113" s="4" t="str">
        <v/>
      </c>
    </row>
    <row r="13114" spans="5:9" ht="16.5" hidden="1">
      <c r="E13114" s="4" t="str">
        <v/>
      </c>
      <c r="F13114" s="102" t="str">
        <f ca="1">IFERROR(__xludf.DUMMYFUNCTION("IMPORTRANGE(H13114,""IDENTITAS UNIT!D9"")"),"#N/A")</f>
        <v>#N/A</v>
      </c>
      <c r="H13114" s="4" t="str">
        <v/>
      </c>
      <c r="I13114" s="4" t="str">
        <v/>
      </c>
    </row>
    <row r="13115" spans="5:9" ht="16.5" hidden="1">
      <c r="E13115" s="4" t="str">
        <v/>
      </c>
      <c r="F13115" s="102" t="str">
        <f ca="1">IFERROR(__xludf.DUMMYFUNCTION("IMPORTRANGE(H13115,""IDENTITAS UNIT!D9"")"),"#N/A")</f>
        <v>#N/A</v>
      </c>
      <c r="H13115" s="4" t="str">
        <v/>
      </c>
      <c r="I13115" s="4" t="str">
        <v/>
      </c>
    </row>
    <row r="13116" spans="5:9" ht="16.5" hidden="1">
      <c r="E13116" s="4" t="str">
        <v/>
      </c>
      <c r="F13116" s="102" t="str">
        <f ca="1">IFERROR(__xludf.DUMMYFUNCTION("IMPORTRANGE(H13116,""IDENTITAS UNIT!D9"")"),"#N/A")</f>
        <v>#N/A</v>
      </c>
      <c r="H13116" s="4" t="str">
        <v/>
      </c>
      <c r="I13116" s="4" t="str">
        <v/>
      </c>
    </row>
    <row r="13117" spans="5:9" ht="16.5" hidden="1">
      <c r="E13117" s="4" t="str">
        <v/>
      </c>
      <c r="F13117" s="102" t="str">
        <f ca="1">IFERROR(__xludf.DUMMYFUNCTION("IMPORTRANGE(H13117,""IDENTITAS UNIT!D9"")"),"#N/A")</f>
        <v>#N/A</v>
      </c>
      <c r="H13117" s="4" t="str">
        <v/>
      </c>
      <c r="I13117" s="4" t="str">
        <v/>
      </c>
    </row>
    <row r="13118" spans="5:9" ht="16.5" hidden="1">
      <c r="E13118" s="4" t="str">
        <v/>
      </c>
      <c r="F13118" s="102" t="str">
        <f ca="1">IFERROR(__xludf.DUMMYFUNCTION("IMPORTRANGE(H13118,""IDENTITAS UNIT!D9"")"),"#N/A")</f>
        <v>#N/A</v>
      </c>
      <c r="H13118" s="4" t="str">
        <v/>
      </c>
      <c r="I13118" s="4" t="str">
        <v/>
      </c>
    </row>
    <row r="13119" spans="5:9" ht="16.5" hidden="1">
      <c r="E13119" s="4" t="str">
        <v/>
      </c>
      <c r="F13119" s="102" t="str">
        <f ca="1">IFERROR(__xludf.DUMMYFUNCTION("IMPORTRANGE(H13119,""IDENTITAS UNIT!D9"")"),"#N/A")</f>
        <v>#N/A</v>
      </c>
      <c r="H13119" s="4" t="str">
        <v/>
      </c>
      <c r="I13119" s="4" t="str">
        <v/>
      </c>
    </row>
    <row r="13120" spans="5:9" ht="16.5" hidden="1">
      <c r="E13120" s="4" t="str">
        <v/>
      </c>
      <c r="F13120" s="102" t="str">
        <f ca="1">IFERROR(__xludf.DUMMYFUNCTION("IMPORTRANGE(H13120,""IDENTITAS UNIT!D9"")"),"#N/A")</f>
        <v>#N/A</v>
      </c>
      <c r="H13120" s="4" t="str">
        <v/>
      </c>
      <c r="I13120" s="4" t="str">
        <v/>
      </c>
    </row>
    <row r="13121" spans="5:9" ht="16.5" hidden="1">
      <c r="E13121" s="4" t="str">
        <v/>
      </c>
      <c r="F13121" s="102" t="str">
        <f ca="1">IFERROR(__xludf.DUMMYFUNCTION("IMPORTRANGE(H13121,""IDENTITAS UNIT!D9"")"),"#N/A")</f>
        <v>#N/A</v>
      </c>
      <c r="H13121" s="4" t="str">
        <v/>
      </c>
      <c r="I13121" s="4" t="str">
        <v/>
      </c>
    </row>
    <row r="13122" spans="5:9" ht="16.5" hidden="1">
      <c r="E13122" s="4" t="str">
        <v/>
      </c>
      <c r="F13122" s="102" t="str">
        <f ca="1">IFERROR(__xludf.DUMMYFUNCTION("IMPORTRANGE(H13122,""IDENTITAS UNIT!D9"")"),"#N/A")</f>
        <v>#N/A</v>
      </c>
      <c r="H13122" s="4" t="str">
        <v/>
      </c>
      <c r="I13122" s="4" t="str">
        <v/>
      </c>
    </row>
    <row r="13123" spans="5:9" ht="16.5" hidden="1">
      <c r="E13123" s="4" t="str">
        <v/>
      </c>
      <c r="F13123" s="102" t="str">
        <f ca="1">IFERROR(__xludf.DUMMYFUNCTION("IMPORTRANGE(H13123,""IDENTITAS UNIT!D9"")"),"#N/A")</f>
        <v>#N/A</v>
      </c>
      <c r="H13123" s="4" t="str">
        <v/>
      </c>
      <c r="I13123" s="4" t="str">
        <v/>
      </c>
    </row>
    <row r="13124" spans="5:9" ht="16.5" hidden="1">
      <c r="E13124" s="4" t="str">
        <v/>
      </c>
      <c r="F13124" s="102" t="str">
        <f ca="1">IFERROR(__xludf.DUMMYFUNCTION("IMPORTRANGE(H13124,""IDENTITAS UNIT!D9"")"),"#N/A")</f>
        <v>#N/A</v>
      </c>
      <c r="H13124" s="4" t="str">
        <v/>
      </c>
      <c r="I13124" s="4" t="str">
        <v/>
      </c>
    </row>
    <row r="13125" spans="5:9" ht="16.5" hidden="1">
      <c r="E13125" s="4" t="str">
        <v/>
      </c>
      <c r="F13125" s="102" t="str">
        <f ca="1">IFERROR(__xludf.DUMMYFUNCTION("IMPORTRANGE(H13125,""IDENTITAS UNIT!D9"")"),"#N/A")</f>
        <v>#N/A</v>
      </c>
      <c r="H13125" s="4" t="str">
        <v/>
      </c>
      <c r="I13125" s="4" t="str">
        <v/>
      </c>
    </row>
    <row r="13126" spans="5:9" ht="16.5" hidden="1">
      <c r="E13126" s="4" t="str">
        <v/>
      </c>
      <c r="F13126" s="102" t="str">
        <f ca="1">IFERROR(__xludf.DUMMYFUNCTION("IMPORTRANGE(H13126,""IDENTITAS UNIT!D9"")"),"#N/A")</f>
        <v>#N/A</v>
      </c>
      <c r="H13126" s="4" t="str">
        <v/>
      </c>
      <c r="I13126" s="4" t="str">
        <v/>
      </c>
    </row>
    <row r="13127" spans="5:9" ht="16.5" hidden="1">
      <c r="E13127" s="4" t="str">
        <v/>
      </c>
      <c r="F13127" s="102" t="str">
        <f ca="1">IFERROR(__xludf.DUMMYFUNCTION("IMPORTRANGE(H13127,""IDENTITAS UNIT!D9"")"),"#N/A")</f>
        <v>#N/A</v>
      </c>
      <c r="H13127" s="4" t="str">
        <v/>
      </c>
      <c r="I13127" s="4" t="str">
        <v/>
      </c>
    </row>
    <row r="13128" spans="5:9" ht="16.5" hidden="1">
      <c r="E13128" s="4" t="str">
        <v/>
      </c>
      <c r="F13128" s="102" t="str">
        <f ca="1">IFERROR(__xludf.DUMMYFUNCTION("IMPORTRANGE(H13128,""IDENTITAS UNIT!D9"")"),"#N/A")</f>
        <v>#N/A</v>
      </c>
      <c r="H13128" s="4" t="str">
        <v/>
      </c>
      <c r="I13128" s="4" t="str">
        <v/>
      </c>
    </row>
    <row r="13129" spans="5:9" ht="16.5" hidden="1">
      <c r="E13129" s="4" t="str">
        <v/>
      </c>
      <c r="F13129" s="102" t="str">
        <f ca="1">IFERROR(__xludf.DUMMYFUNCTION("IMPORTRANGE(H13129,""IDENTITAS UNIT!D9"")"),"#N/A")</f>
        <v>#N/A</v>
      </c>
      <c r="H13129" s="4" t="str">
        <v/>
      </c>
      <c r="I13129" s="4" t="str">
        <v/>
      </c>
    </row>
    <row r="13130" spans="5:9" ht="16.5" hidden="1">
      <c r="E13130" s="4" t="str">
        <v/>
      </c>
      <c r="F13130" s="102" t="str">
        <f ca="1">IFERROR(__xludf.DUMMYFUNCTION("IMPORTRANGE(H13130,""IDENTITAS UNIT!D9"")"),"#N/A")</f>
        <v>#N/A</v>
      </c>
      <c r="H13130" s="4" t="str">
        <v/>
      </c>
      <c r="I13130" s="4" t="str">
        <v/>
      </c>
    </row>
    <row r="13131" spans="5:9" ht="16.5" hidden="1">
      <c r="E13131" s="4" t="str">
        <v/>
      </c>
      <c r="F13131" s="102" t="str">
        <f ca="1">IFERROR(__xludf.DUMMYFUNCTION("IMPORTRANGE(H13131,""IDENTITAS UNIT!D9"")"),"#N/A")</f>
        <v>#N/A</v>
      </c>
      <c r="H13131" s="4" t="str">
        <v/>
      </c>
      <c r="I13131" s="4" t="str">
        <v/>
      </c>
    </row>
    <row r="13132" spans="5:9" ht="16.5" hidden="1">
      <c r="E13132" s="4" t="str">
        <v/>
      </c>
      <c r="F13132" s="102" t="str">
        <f ca="1">IFERROR(__xludf.DUMMYFUNCTION("IMPORTRANGE(H13132,""IDENTITAS UNIT!D9"")"),"#N/A")</f>
        <v>#N/A</v>
      </c>
      <c r="H13132" s="4" t="str">
        <v/>
      </c>
      <c r="I13132" s="4" t="str">
        <v/>
      </c>
    </row>
    <row r="13133" spans="5:9" ht="16.5" hidden="1">
      <c r="E13133" s="4" t="str">
        <v/>
      </c>
      <c r="F13133" s="102" t="str">
        <f ca="1">IFERROR(__xludf.DUMMYFUNCTION("IMPORTRANGE(H13133,""IDENTITAS UNIT!D9"")"),"#N/A")</f>
        <v>#N/A</v>
      </c>
      <c r="H13133" s="4" t="str">
        <v/>
      </c>
      <c r="I13133" s="4" t="str">
        <v/>
      </c>
    </row>
    <row r="13134" spans="5:9" ht="16.5" hidden="1">
      <c r="E13134" s="4" t="str">
        <v/>
      </c>
      <c r="F13134" s="102" t="str">
        <f ca="1">IFERROR(__xludf.DUMMYFUNCTION("IMPORTRANGE(H13134,""IDENTITAS UNIT!D9"")"),"#N/A")</f>
        <v>#N/A</v>
      </c>
      <c r="H13134" s="4" t="str">
        <v/>
      </c>
      <c r="I13134" s="4" t="str">
        <v/>
      </c>
    </row>
    <row r="13135" spans="5:9" ht="16.5" hidden="1">
      <c r="E13135" s="4" t="str">
        <v/>
      </c>
      <c r="F13135" s="102" t="str">
        <f ca="1">IFERROR(__xludf.DUMMYFUNCTION("IMPORTRANGE(H13135,""IDENTITAS UNIT!D9"")"),"#N/A")</f>
        <v>#N/A</v>
      </c>
      <c r="H13135" s="4" t="str">
        <v/>
      </c>
      <c r="I13135" s="4" t="str">
        <v/>
      </c>
    </row>
    <row r="13136" spans="5:9" ht="16.5" hidden="1">
      <c r="E13136" s="4" t="str">
        <v/>
      </c>
      <c r="F13136" s="102" t="str">
        <f ca="1">IFERROR(__xludf.DUMMYFUNCTION("IMPORTRANGE(H13136,""IDENTITAS UNIT!D9"")"),"#N/A")</f>
        <v>#N/A</v>
      </c>
      <c r="H13136" s="4" t="str">
        <v/>
      </c>
      <c r="I13136" s="4" t="str">
        <v/>
      </c>
    </row>
    <row r="13137" spans="5:9" ht="16.5" hidden="1">
      <c r="E13137" s="4" t="str">
        <v/>
      </c>
      <c r="F13137" s="102" t="str">
        <f ca="1">IFERROR(__xludf.DUMMYFUNCTION("IMPORTRANGE(H13137,""IDENTITAS UNIT!D9"")"),"#N/A")</f>
        <v>#N/A</v>
      </c>
      <c r="H13137" s="4" t="str">
        <v/>
      </c>
      <c r="I13137" s="4" t="str">
        <v/>
      </c>
    </row>
    <row r="13138" spans="5:9" ht="16.5" hidden="1">
      <c r="E13138" s="4" t="str">
        <v/>
      </c>
      <c r="F13138" s="102" t="str">
        <f ca="1">IFERROR(__xludf.DUMMYFUNCTION("IMPORTRANGE(H13138,""IDENTITAS UNIT!D9"")"),"#N/A")</f>
        <v>#N/A</v>
      </c>
      <c r="H13138" s="4" t="str">
        <v/>
      </c>
      <c r="I13138" s="4" t="str">
        <v/>
      </c>
    </row>
    <row r="13139" spans="5:9" ht="16.5" hidden="1">
      <c r="E13139" s="4" t="str">
        <v/>
      </c>
      <c r="F13139" s="102" t="str">
        <f ca="1">IFERROR(__xludf.DUMMYFUNCTION("IMPORTRANGE(H13139,""IDENTITAS UNIT!D9"")"),"#N/A")</f>
        <v>#N/A</v>
      </c>
      <c r="H13139" s="4" t="str">
        <v/>
      </c>
      <c r="I13139" s="4" t="str">
        <v/>
      </c>
    </row>
    <row r="13140" spans="5:9" ht="16.5" hidden="1">
      <c r="E13140" s="4" t="str">
        <v/>
      </c>
      <c r="F13140" s="102" t="str">
        <f ca="1">IFERROR(__xludf.DUMMYFUNCTION("IMPORTRANGE(H13140,""IDENTITAS UNIT!D9"")"),"#N/A")</f>
        <v>#N/A</v>
      </c>
      <c r="H13140" s="4" t="str">
        <v/>
      </c>
      <c r="I13140" s="4" t="str">
        <v/>
      </c>
    </row>
    <row r="13141" spans="5:9" ht="16.5" hidden="1">
      <c r="E13141" s="4" t="str">
        <v/>
      </c>
      <c r="F13141" s="102" t="str">
        <f ca="1">IFERROR(__xludf.DUMMYFUNCTION("IMPORTRANGE(H13141,""IDENTITAS UNIT!D9"")"),"#N/A")</f>
        <v>#N/A</v>
      </c>
      <c r="H13141" s="4" t="str">
        <v/>
      </c>
      <c r="I13141" s="4" t="str">
        <v/>
      </c>
    </row>
    <row r="13142" spans="5:9" ht="16.5" hidden="1">
      <c r="E13142" s="4" t="str">
        <v/>
      </c>
      <c r="F13142" s="102" t="str">
        <f ca="1">IFERROR(__xludf.DUMMYFUNCTION("IMPORTRANGE(H13142,""IDENTITAS UNIT!D9"")"),"#N/A")</f>
        <v>#N/A</v>
      </c>
      <c r="H13142" s="4" t="str">
        <v/>
      </c>
      <c r="I13142" s="4" t="str">
        <v/>
      </c>
    </row>
    <row r="13143" spans="5:9" ht="16.5" hidden="1">
      <c r="E13143" s="4" t="str">
        <v/>
      </c>
      <c r="F13143" s="102" t="str">
        <f ca="1">IFERROR(__xludf.DUMMYFUNCTION("IMPORTRANGE(H13143,""IDENTITAS UNIT!D9"")"),"#N/A")</f>
        <v>#N/A</v>
      </c>
      <c r="H13143" s="4" t="str">
        <v/>
      </c>
      <c r="I13143" s="4" t="str">
        <v/>
      </c>
    </row>
    <row r="13144" spans="5:9" ht="16.5" hidden="1">
      <c r="E13144" s="4" t="str">
        <v/>
      </c>
      <c r="F13144" s="102" t="str">
        <f ca="1">IFERROR(__xludf.DUMMYFUNCTION("IMPORTRANGE(H13144,""IDENTITAS UNIT!D9"")"),"#N/A")</f>
        <v>#N/A</v>
      </c>
      <c r="H13144" s="4" t="str">
        <v/>
      </c>
      <c r="I13144" s="4" t="str">
        <v/>
      </c>
    </row>
    <row r="13145" spans="5:9" ht="16.5" hidden="1">
      <c r="E13145" s="4" t="str">
        <v/>
      </c>
      <c r="F13145" s="102" t="str">
        <f ca="1">IFERROR(__xludf.DUMMYFUNCTION("IMPORTRANGE(H13145,""IDENTITAS UNIT!D9"")"),"#N/A")</f>
        <v>#N/A</v>
      </c>
      <c r="H13145" s="4" t="str">
        <v/>
      </c>
      <c r="I13145" s="4" t="str">
        <v/>
      </c>
    </row>
    <row r="13146" spans="5:9" ht="16.5" hidden="1">
      <c r="E13146" s="4" t="str">
        <v/>
      </c>
      <c r="F13146" s="102" t="str">
        <f ca="1">IFERROR(__xludf.DUMMYFUNCTION("IMPORTRANGE(H13146,""IDENTITAS UNIT!D9"")"),"#N/A")</f>
        <v>#N/A</v>
      </c>
      <c r="H13146" s="4" t="str">
        <v/>
      </c>
      <c r="I13146" s="4" t="str">
        <v/>
      </c>
    </row>
    <row r="13147" spans="5:9" ht="16.5" hidden="1">
      <c r="E13147" s="4" t="str">
        <v/>
      </c>
      <c r="F13147" s="102" t="str">
        <f ca="1">IFERROR(__xludf.DUMMYFUNCTION("IMPORTRANGE(H13147,""IDENTITAS UNIT!D9"")"),"#N/A")</f>
        <v>#N/A</v>
      </c>
      <c r="H13147" s="4" t="str">
        <v/>
      </c>
      <c r="I13147" s="4" t="str">
        <v/>
      </c>
    </row>
    <row r="13148" spans="5:9" ht="16.5" hidden="1">
      <c r="E13148" s="4" t="str">
        <v/>
      </c>
      <c r="F13148" s="102" t="str">
        <f ca="1">IFERROR(__xludf.DUMMYFUNCTION("IMPORTRANGE(H13148,""IDENTITAS UNIT!D9"")"),"#N/A")</f>
        <v>#N/A</v>
      </c>
      <c r="H13148" s="4" t="str">
        <v/>
      </c>
      <c r="I13148" s="4" t="str">
        <v/>
      </c>
    </row>
    <row r="13149" spans="5:9" ht="16.5" hidden="1">
      <c r="E13149" s="4" t="str">
        <v/>
      </c>
      <c r="F13149" s="102" t="str">
        <f ca="1">IFERROR(__xludf.DUMMYFUNCTION("IMPORTRANGE(H13149,""IDENTITAS UNIT!D9"")"),"#N/A")</f>
        <v>#N/A</v>
      </c>
      <c r="H13149" s="4" t="str">
        <v/>
      </c>
      <c r="I13149" s="4" t="str">
        <v/>
      </c>
    </row>
    <row r="13150" spans="5:9" ht="16.5" hidden="1">
      <c r="E13150" s="4" t="str">
        <v/>
      </c>
      <c r="F13150" s="102" t="str">
        <f ca="1">IFERROR(__xludf.DUMMYFUNCTION("IMPORTRANGE(H13150,""IDENTITAS UNIT!D9"")"),"#N/A")</f>
        <v>#N/A</v>
      </c>
      <c r="H13150" s="4" t="str">
        <v/>
      </c>
      <c r="I13150" s="4" t="str">
        <v/>
      </c>
    </row>
    <row r="13151" spans="5:9" ht="16.5" hidden="1">
      <c r="E13151" s="4" t="str">
        <v/>
      </c>
      <c r="F13151" s="102" t="str">
        <f ca="1">IFERROR(__xludf.DUMMYFUNCTION("IMPORTRANGE(H13151,""IDENTITAS UNIT!D9"")"),"#N/A")</f>
        <v>#N/A</v>
      </c>
      <c r="H13151" s="4" t="str">
        <v/>
      </c>
      <c r="I13151" s="4" t="str">
        <v/>
      </c>
    </row>
    <row r="13152" spans="5:9" ht="16.5" hidden="1">
      <c r="E13152" s="4" t="str">
        <v/>
      </c>
      <c r="F13152" s="102" t="str">
        <f ca="1">IFERROR(__xludf.DUMMYFUNCTION("IMPORTRANGE(H13152,""IDENTITAS UNIT!D9"")"),"#N/A")</f>
        <v>#N/A</v>
      </c>
      <c r="H13152" s="4" t="str">
        <v/>
      </c>
      <c r="I13152" s="4" t="str">
        <v/>
      </c>
    </row>
    <row r="13153" spans="5:9" ht="16.5" hidden="1">
      <c r="E13153" s="4" t="str">
        <v/>
      </c>
      <c r="F13153" s="102" t="str">
        <f ca="1">IFERROR(__xludf.DUMMYFUNCTION("IMPORTRANGE(H13153,""IDENTITAS UNIT!D9"")"),"#N/A")</f>
        <v>#N/A</v>
      </c>
      <c r="H13153" s="4" t="str">
        <v/>
      </c>
      <c r="I13153" s="4" t="str">
        <v/>
      </c>
    </row>
    <row r="13154" spans="5:9" ht="16.5" hidden="1">
      <c r="E13154" s="4" t="str">
        <v/>
      </c>
      <c r="F13154" s="102" t="str">
        <f ca="1">IFERROR(__xludf.DUMMYFUNCTION("IMPORTRANGE(H13154,""IDENTITAS UNIT!D9"")"),"#N/A")</f>
        <v>#N/A</v>
      </c>
      <c r="H13154" s="4" t="str">
        <v/>
      </c>
      <c r="I13154" s="4" t="str">
        <v/>
      </c>
    </row>
    <row r="13155" spans="5:9" ht="16.5" hidden="1">
      <c r="E13155" s="4" t="str">
        <v/>
      </c>
      <c r="F13155" s="102" t="str">
        <f ca="1">IFERROR(__xludf.DUMMYFUNCTION("IMPORTRANGE(H13155,""IDENTITAS UNIT!D9"")"),"#N/A")</f>
        <v>#N/A</v>
      </c>
      <c r="H13155" s="4" t="str">
        <v/>
      </c>
      <c r="I13155" s="4" t="str">
        <v/>
      </c>
    </row>
    <row r="13156" spans="5:9" ht="16.5" hidden="1">
      <c r="E13156" s="4" t="str">
        <v/>
      </c>
      <c r="F13156" s="102" t="str">
        <f ca="1">IFERROR(__xludf.DUMMYFUNCTION("IMPORTRANGE(H13156,""IDENTITAS UNIT!D9"")"),"#N/A")</f>
        <v>#N/A</v>
      </c>
      <c r="H13156" s="4" t="str">
        <v/>
      </c>
      <c r="I13156" s="4" t="str">
        <v/>
      </c>
    </row>
    <row r="13157" spans="5:9" ht="16.5" hidden="1">
      <c r="E13157" s="4" t="str">
        <v/>
      </c>
      <c r="F13157" s="102" t="str">
        <f ca="1">IFERROR(__xludf.DUMMYFUNCTION("IMPORTRANGE(H13157,""IDENTITAS UNIT!D9"")"),"#N/A")</f>
        <v>#N/A</v>
      </c>
      <c r="H13157" s="4" t="str">
        <v/>
      </c>
      <c r="I13157" s="4" t="str">
        <v/>
      </c>
    </row>
    <row r="13158" spans="5:9" ht="16.5" hidden="1">
      <c r="E13158" s="4" t="str">
        <v/>
      </c>
      <c r="F13158" s="102" t="str">
        <f ca="1">IFERROR(__xludf.DUMMYFUNCTION("IMPORTRANGE(H13158,""IDENTITAS UNIT!D9"")"),"#N/A")</f>
        <v>#N/A</v>
      </c>
      <c r="H13158" s="4" t="str">
        <v/>
      </c>
      <c r="I13158" s="4" t="str">
        <v/>
      </c>
    </row>
    <row r="13159" spans="5:9" ht="16.5" hidden="1">
      <c r="E13159" s="4" t="str">
        <v/>
      </c>
      <c r="F13159" s="102" t="str">
        <f ca="1">IFERROR(__xludf.DUMMYFUNCTION("IMPORTRANGE(H13159,""IDENTITAS UNIT!D9"")"),"#N/A")</f>
        <v>#N/A</v>
      </c>
      <c r="H13159" s="4" t="str">
        <v/>
      </c>
      <c r="I13159" s="4" t="str">
        <v/>
      </c>
    </row>
    <row r="13160" spans="5:9" ht="16.5" hidden="1">
      <c r="E13160" s="4" t="str">
        <v/>
      </c>
      <c r="F13160" s="102" t="str">
        <f ca="1">IFERROR(__xludf.DUMMYFUNCTION("IMPORTRANGE(H13160,""IDENTITAS UNIT!D9"")"),"#N/A")</f>
        <v>#N/A</v>
      </c>
      <c r="H13160" s="4" t="str">
        <v/>
      </c>
      <c r="I13160" s="4" t="str">
        <v/>
      </c>
    </row>
    <row r="13161" spans="5:9" ht="16.5" hidden="1">
      <c r="E13161" s="4" t="str">
        <v/>
      </c>
      <c r="F13161" s="102" t="str">
        <f ca="1">IFERROR(__xludf.DUMMYFUNCTION("IMPORTRANGE(H13161,""IDENTITAS UNIT!D9"")"),"#N/A")</f>
        <v>#N/A</v>
      </c>
      <c r="H13161" s="4" t="str">
        <v/>
      </c>
      <c r="I13161" s="4" t="str">
        <v/>
      </c>
    </row>
    <row r="13162" spans="5:9" ht="16.5" hidden="1">
      <c r="E13162" s="4" t="str">
        <v/>
      </c>
      <c r="F13162" s="102" t="str">
        <f ca="1">IFERROR(__xludf.DUMMYFUNCTION("IMPORTRANGE(H13162,""IDENTITAS UNIT!D9"")"),"#N/A")</f>
        <v>#N/A</v>
      </c>
      <c r="H13162" s="4" t="str">
        <v/>
      </c>
      <c r="I13162" s="4" t="str">
        <v/>
      </c>
    </row>
    <row r="13163" spans="5:9" ht="16.5" hidden="1">
      <c r="E13163" s="4" t="str">
        <v/>
      </c>
      <c r="F13163" s="102" t="str">
        <f ca="1">IFERROR(__xludf.DUMMYFUNCTION("IMPORTRANGE(H13163,""IDENTITAS UNIT!D9"")"),"#N/A")</f>
        <v>#N/A</v>
      </c>
      <c r="H13163" s="4" t="str">
        <v/>
      </c>
      <c r="I13163" s="4" t="str">
        <v/>
      </c>
    </row>
    <row r="13164" spans="5:9" ht="16.5" hidden="1">
      <c r="E13164" s="4" t="str">
        <v/>
      </c>
      <c r="F13164" s="102" t="str">
        <f ca="1">IFERROR(__xludf.DUMMYFUNCTION("IMPORTRANGE(H13164,""IDENTITAS UNIT!D9"")"),"#N/A")</f>
        <v>#N/A</v>
      </c>
      <c r="H13164" s="4" t="str">
        <v/>
      </c>
      <c r="I13164" s="4" t="str">
        <v/>
      </c>
    </row>
    <row r="13165" spans="5:9" ht="16.5" hidden="1">
      <c r="E13165" s="4" t="str">
        <v/>
      </c>
      <c r="F13165" s="102" t="str">
        <f ca="1">IFERROR(__xludf.DUMMYFUNCTION("IMPORTRANGE(H13165,""IDENTITAS UNIT!D9"")"),"#N/A")</f>
        <v>#N/A</v>
      </c>
      <c r="H13165" s="4" t="str">
        <v/>
      </c>
      <c r="I13165" s="4" t="str">
        <v/>
      </c>
    </row>
    <row r="13166" spans="5:9" ht="16.5" hidden="1">
      <c r="E13166" s="4" t="str">
        <v/>
      </c>
      <c r="F13166" s="102" t="str">
        <f ca="1">IFERROR(__xludf.DUMMYFUNCTION("IMPORTRANGE(H13166,""IDENTITAS UNIT!D9"")"),"#N/A")</f>
        <v>#N/A</v>
      </c>
      <c r="H13166" s="4" t="str">
        <v/>
      </c>
      <c r="I13166" s="4" t="str">
        <v/>
      </c>
    </row>
    <row r="13167" spans="5:9" ht="16.5" hidden="1">
      <c r="E13167" s="4" t="str">
        <v/>
      </c>
      <c r="F13167" s="102" t="str">
        <f ca="1">IFERROR(__xludf.DUMMYFUNCTION("IMPORTRANGE(H13167,""IDENTITAS UNIT!D9"")"),"#N/A")</f>
        <v>#N/A</v>
      </c>
      <c r="H13167" s="4" t="str">
        <v/>
      </c>
      <c r="I13167" s="4" t="str">
        <v/>
      </c>
    </row>
    <row r="13168" spans="5:9" ht="16.5" hidden="1">
      <c r="E13168" s="4" t="str">
        <v/>
      </c>
      <c r="F13168" s="102" t="str">
        <f ca="1">IFERROR(__xludf.DUMMYFUNCTION("IMPORTRANGE(H13168,""IDENTITAS UNIT!D9"")"),"#N/A")</f>
        <v>#N/A</v>
      </c>
      <c r="H13168" s="4" t="str">
        <v/>
      </c>
      <c r="I13168" s="4" t="str">
        <v/>
      </c>
    </row>
    <row r="13169" spans="5:9" ht="16.5" hidden="1">
      <c r="E13169" s="4" t="str">
        <v/>
      </c>
      <c r="F13169" s="102" t="str">
        <f ca="1">IFERROR(__xludf.DUMMYFUNCTION("IMPORTRANGE(H13169,""IDENTITAS UNIT!D9"")"),"#N/A")</f>
        <v>#N/A</v>
      </c>
      <c r="H13169" s="4" t="str">
        <v/>
      </c>
      <c r="I13169" s="4" t="str">
        <v/>
      </c>
    </row>
    <row r="13170" spans="5:9" ht="16.5" hidden="1">
      <c r="E13170" s="4" t="str">
        <v/>
      </c>
      <c r="F13170" s="102" t="str">
        <f ca="1">IFERROR(__xludf.DUMMYFUNCTION("IMPORTRANGE(H13170,""IDENTITAS UNIT!D9"")"),"#N/A")</f>
        <v>#N/A</v>
      </c>
      <c r="H13170" s="4" t="str">
        <v/>
      </c>
      <c r="I13170" s="4" t="str">
        <v/>
      </c>
    </row>
    <row r="13171" spans="5:9" ht="16.5" hidden="1">
      <c r="E13171" s="4" t="str">
        <v/>
      </c>
      <c r="F13171" s="102" t="str">
        <f ca="1">IFERROR(__xludf.DUMMYFUNCTION("IMPORTRANGE(H13171,""IDENTITAS UNIT!D9"")"),"#N/A")</f>
        <v>#N/A</v>
      </c>
      <c r="H13171" s="4" t="str">
        <v/>
      </c>
      <c r="I13171" s="4" t="str">
        <v/>
      </c>
    </row>
    <row r="13172" spans="5:9" ht="16.5" hidden="1">
      <c r="E13172" s="4" t="str">
        <v/>
      </c>
      <c r="F13172" s="102" t="str">
        <f ca="1">IFERROR(__xludf.DUMMYFUNCTION("IMPORTRANGE(H13172,""IDENTITAS UNIT!D9"")"),"#N/A")</f>
        <v>#N/A</v>
      </c>
      <c r="H13172" s="4" t="str">
        <v/>
      </c>
      <c r="I13172" s="4" t="str">
        <v/>
      </c>
    </row>
    <row r="13173" spans="5:9" ht="16.5" hidden="1">
      <c r="E13173" s="4" t="str">
        <v/>
      </c>
      <c r="F13173" s="102" t="str">
        <f ca="1">IFERROR(__xludf.DUMMYFUNCTION("IMPORTRANGE(H13173,""IDENTITAS UNIT!D9"")"),"#N/A")</f>
        <v>#N/A</v>
      </c>
      <c r="H13173" s="4" t="str">
        <v/>
      </c>
      <c r="I13173" s="4" t="str">
        <v/>
      </c>
    </row>
    <row r="13174" spans="5:9" ht="16.5" hidden="1">
      <c r="E13174" s="4" t="str">
        <v/>
      </c>
      <c r="F13174" s="102" t="str">
        <f ca="1">IFERROR(__xludf.DUMMYFUNCTION("IMPORTRANGE(H13174,""IDENTITAS UNIT!D9"")"),"#N/A")</f>
        <v>#N/A</v>
      </c>
      <c r="H13174" s="4" t="str">
        <v/>
      </c>
      <c r="I13174" s="4" t="str">
        <v/>
      </c>
    </row>
    <row r="13175" spans="5:9" ht="16.5" hidden="1">
      <c r="E13175" s="4" t="str">
        <v/>
      </c>
      <c r="F13175" s="102" t="str">
        <f ca="1">IFERROR(__xludf.DUMMYFUNCTION("IMPORTRANGE(H13175,""IDENTITAS UNIT!D9"")"),"#N/A")</f>
        <v>#N/A</v>
      </c>
      <c r="H13175" s="4" t="str">
        <v/>
      </c>
      <c r="I13175" s="4" t="str">
        <v/>
      </c>
    </row>
    <row r="13176" spans="5:9" ht="16.5" hidden="1">
      <c r="E13176" s="4" t="str">
        <v/>
      </c>
      <c r="F13176" s="102" t="str">
        <f ca="1">IFERROR(__xludf.DUMMYFUNCTION("IMPORTRANGE(H13176,""IDENTITAS UNIT!D9"")"),"#N/A")</f>
        <v>#N/A</v>
      </c>
      <c r="H13176" s="4" t="str">
        <v/>
      </c>
      <c r="I13176" s="4" t="str">
        <v/>
      </c>
    </row>
    <row r="13177" spans="5:9" ht="16.5" hidden="1">
      <c r="E13177" s="4" t="str">
        <v/>
      </c>
      <c r="F13177" s="102" t="str">
        <f ca="1">IFERROR(__xludf.DUMMYFUNCTION("IMPORTRANGE(H13177,""IDENTITAS UNIT!D9"")"),"#N/A")</f>
        <v>#N/A</v>
      </c>
      <c r="H13177" s="4" t="str">
        <v/>
      </c>
      <c r="I13177" s="4" t="str">
        <v/>
      </c>
    </row>
    <row r="13178" spans="5:9" ht="16.5" hidden="1">
      <c r="E13178" s="4" t="str">
        <v/>
      </c>
      <c r="F13178" s="102" t="str">
        <f ca="1">IFERROR(__xludf.DUMMYFUNCTION("IMPORTRANGE(H13178,""IDENTITAS UNIT!D9"")"),"#N/A")</f>
        <v>#N/A</v>
      </c>
      <c r="H13178" s="4" t="str">
        <v/>
      </c>
      <c r="I13178" s="4" t="str">
        <v/>
      </c>
    </row>
    <row r="13179" spans="5:9" ht="16.5" hidden="1">
      <c r="E13179" s="4" t="str">
        <v/>
      </c>
      <c r="F13179" s="102" t="str">
        <f ca="1">IFERROR(__xludf.DUMMYFUNCTION("IMPORTRANGE(H13179,""IDENTITAS UNIT!D9"")"),"#N/A")</f>
        <v>#N/A</v>
      </c>
      <c r="H13179" s="4" t="str">
        <v/>
      </c>
      <c r="I13179" s="4" t="str">
        <v/>
      </c>
    </row>
    <row r="13180" spans="5:9" ht="16.5" hidden="1">
      <c r="E13180" s="4" t="str">
        <v/>
      </c>
      <c r="F13180" s="102" t="str">
        <f ca="1">IFERROR(__xludf.DUMMYFUNCTION("IMPORTRANGE(H13180,""IDENTITAS UNIT!D9"")"),"#N/A")</f>
        <v>#N/A</v>
      </c>
      <c r="H13180" s="4" t="str">
        <v/>
      </c>
      <c r="I13180" s="4" t="str">
        <v/>
      </c>
    </row>
    <row r="13181" spans="5:9" ht="16.5" hidden="1">
      <c r="E13181" s="4" t="str">
        <v/>
      </c>
      <c r="F13181" s="102" t="str">
        <f ca="1">IFERROR(__xludf.DUMMYFUNCTION("IMPORTRANGE(H13181,""IDENTITAS UNIT!D9"")"),"#N/A")</f>
        <v>#N/A</v>
      </c>
      <c r="H13181" s="4" t="str">
        <v/>
      </c>
      <c r="I13181" s="4" t="str">
        <v/>
      </c>
    </row>
    <row r="13182" spans="5:9" ht="16.5" hidden="1">
      <c r="E13182" s="4" t="str">
        <v/>
      </c>
      <c r="F13182" s="102" t="str">
        <f ca="1">IFERROR(__xludf.DUMMYFUNCTION("IMPORTRANGE(H13182,""IDENTITAS UNIT!D9"")"),"#N/A")</f>
        <v>#N/A</v>
      </c>
      <c r="H13182" s="4" t="str">
        <v/>
      </c>
      <c r="I13182" s="4" t="str">
        <v/>
      </c>
    </row>
    <row r="13183" spans="5:9" ht="16.5" hidden="1">
      <c r="E13183" s="4" t="str">
        <v/>
      </c>
      <c r="F13183" s="102" t="str">
        <f ca="1">IFERROR(__xludf.DUMMYFUNCTION("IMPORTRANGE(H13183,""IDENTITAS UNIT!D9"")"),"#N/A")</f>
        <v>#N/A</v>
      </c>
      <c r="H13183" s="4" t="str">
        <v/>
      </c>
      <c r="I13183" s="4" t="str">
        <v/>
      </c>
    </row>
    <row r="13184" spans="5:9" ht="16.5" hidden="1">
      <c r="E13184" s="4" t="str">
        <v/>
      </c>
      <c r="F13184" s="102" t="str">
        <f ca="1">IFERROR(__xludf.DUMMYFUNCTION("IMPORTRANGE(H13184,""IDENTITAS UNIT!D9"")"),"#N/A")</f>
        <v>#N/A</v>
      </c>
      <c r="H13184" s="4" t="str">
        <v/>
      </c>
      <c r="I13184" s="4" t="str">
        <v/>
      </c>
    </row>
    <row r="13185" spans="5:9" ht="16.5" hidden="1">
      <c r="E13185" s="4" t="str">
        <v/>
      </c>
      <c r="F13185" s="102" t="str">
        <f ca="1">IFERROR(__xludf.DUMMYFUNCTION("IMPORTRANGE(H13185,""IDENTITAS UNIT!D9"")"),"#N/A")</f>
        <v>#N/A</v>
      </c>
      <c r="H13185" s="4" t="str">
        <v/>
      </c>
      <c r="I13185" s="4" t="str">
        <v/>
      </c>
    </row>
    <row r="13186" spans="5:9" ht="16.5" hidden="1">
      <c r="E13186" s="4" t="str">
        <v/>
      </c>
      <c r="F13186" s="102" t="str">
        <f ca="1">IFERROR(__xludf.DUMMYFUNCTION("IMPORTRANGE(H13186,""IDENTITAS UNIT!D9"")"),"#N/A")</f>
        <v>#N/A</v>
      </c>
      <c r="H13186" s="4" t="str">
        <v/>
      </c>
      <c r="I13186" s="4" t="str">
        <v/>
      </c>
    </row>
    <row r="13187" spans="5:9" ht="16.5" hidden="1">
      <c r="E13187" s="4" t="str">
        <v/>
      </c>
      <c r="F13187" s="102" t="str">
        <f ca="1">IFERROR(__xludf.DUMMYFUNCTION("IMPORTRANGE(H13187,""IDENTITAS UNIT!D9"")"),"#N/A")</f>
        <v>#N/A</v>
      </c>
      <c r="H13187" s="4" t="str">
        <v/>
      </c>
      <c r="I13187" s="4" t="str">
        <v/>
      </c>
    </row>
    <row r="13188" spans="5:9" ht="16.5" hidden="1">
      <c r="E13188" s="4" t="str">
        <v/>
      </c>
      <c r="F13188" s="102" t="str">
        <f ca="1">IFERROR(__xludf.DUMMYFUNCTION("IMPORTRANGE(H13188,""IDENTITAS UNIT!D9"")"),"#N/A")</f>
        <v>#N/A</v>
      </c>
      <c r="H13188" s="4" t="str">
        <v/>
      </c>
      <c r="I13188" s="4" t="str">
        <v/>
      </c>
    </row>
    <row r="13189" spans="5:9" ht="16.5" hidden="1">
      <c r="E13189" s="4" t="str">
        <v/>
      </c>
      <c r="F13189" s="102" t="str">
        <f ca="1">IFERROR(__xludf.DUMMYFUNCTION("IMPORTRANGE(H13189,""IDENTITAS UNIT!D9"")"),"#N/A")</f>
        <v>#N/A</v>
      </c>
      <c r="H13189" s="4" t="str">
        <v/>
      </c>
      <c r="I13189" s="4" t="str">
        <v/>
      </c>
    </row>
    <row r="13190" spans="5:9" ht="16.5" hidden="1">
      <c r="E13190" s="4" t="str">
        <v/>
      </c>
      <c r="F13190" s="102" t="str">
        <f ca="1">IFERROR(__xludf.DUMMYFUNCTION("IMPORTRANGE(H13190,""IDENTITAS UNIT!D9"")"),"#N/A")</f>
        <v>#N/A</v>
      </c>
      <c r="H13190" s="4" t="str">
        <v/>
      </c>
      <c r="I13190" s="4" t="str">
        <v/>
      </c>
    </row>
    <row r="13191" spans="5:9" ht="16.5" hidden="1">
      <c r="E13191" s="4" t="str">
        <v/>
      </c>
      <c r="F13191" s="102" t="str">
        <f ca="1">IFERROR(__xludf.DUMMYFUNCTION("IMPORTRANGE(H13191,""IDENTITAS UNIT!D9"")"),"#N/A")</f>
        <v>#N/A</v>
      </c>
      <c r="H13191" s="4" t="str">
        <v/>
      </c>
      <c r="I13191" s="4" t="str">
        <v/>
      </c>
    </row>
    <row r="13192" spans="5:9" ht="16.5" hidden="1">
      <c r="E13192" s="4" t="str">
        <v/>
      </c>
      <c r="F13192" s="102" t="str">
        <f ca="1">IFERROR(__xludf.DUMMYFUNCTION("IMPORTRANGE(H13192,""IDENTITAS UNIT!D9"")"),"#N/A")</f>
        <v>#N/A</v>
      </c>
      <c r="H13192" s="4" t="str">
        <v/>
      </c>
      <c r="I13192" s="4" t="str">
        <v/>
      </c>
    </row>
    <row r="13193" spans="5:9" ht="16.5" hidden="1">
      <c r="E13193" s="4" t="str">
        <v/>
      </c>
      <c r="F13193" s="102" t="str">
        <f ca="1">IFERROR(__xludf.DUMMYFUNCTION("IMPORTRANGE(H13193,""IDENTITAS UNIT!D9"")"),"#N/A")</f>
        <v>#N/A</v>
      </c>
      <c r="H13193" s="4" t="str">
        <v/>
      </c>
      <c r="I13193" s="4" t="str">
        <v/>
      </c>
    </row>
    <row r="13194" spans="5:9" ht="16.5" hidden="1">
      <c r="E13194" s="4" t="str">
        <v/>
      </c>
      <c r="F13194" s="102" t="str">
        <f ca="1">IFERROR(__xludf.DUMMYFUNCTION("IMPORTRANGE(H13194,""IDENTITAS UNIT!D9"")"),"#N/A")</f>
        <v>#N/A</v>
      </c>
      <c r="H13194" s="4" t="str">
        <v/>
      </c>
      <c r="I13194" s="4" t="str">
        <v/>
      </c>
    </row>
    <row r="13195" spans="5:9" ht="16.5" hidden="1">
      <c r="E13195" s="4" t="str">
        <v/>
      </c>
      <c r="F13195" s="102" t="str">
        <f ca="1">IFERROR(__xludf.DUMMYFUNCTION("IMPORTRANGE(H13195,""IDENTITAS UNIT!D9"")"),"#N/A")</f>
        <v>#N/A</v>
      </c>
      <c r="H13195" s="4" t="str">
        <v/>
      </c>
      <c r="I13195" s="4" t="str">
        <v/>
      </c>
    </row>
    <row r="13196" spans="5:9" ht="16.5" hidden="1">
      <c r="E13196" s="4" t="str">
        <v/>
      </c>
      <c r="F13196" s="102" t="str">
        <f ca="1">IFERROR(__xludf.DUMMYFUNCTION("IMPORTRANGE(H13196,""IDENTITAS UNIT!D9"")"),"#N/A")</f>
        <v>#N/A</v>
      </c>
      <c r="H13196" s="4" t="str">
        <v/>
      </c>
      <c r="I13196" s="4" t="str">
        <v/>
      </c>
    </row>
    <row r="13197" spans="5:9" ht="16.5" hidden="1">
      <c r="E13197" s="4" t="str">
        <v/>
      </c>
      <c r="F13197" s="102" t="str">
        <f ca="1">IFERROR(__xludf.DUMMYFUNCTION("IMPORTRANGE(H13197,""IDENTITAS UNIT!D9"")"),"#N/A")</f>
        <v>#N/A</v>
      </c>
      <c r="H13197" s="4" t="str">
        <v/>
      </c>
      <c r="I13197" s="4" t="str">
        <v/>
      </c>
    </row>
    <row r="13198" spans="5:9" ht="16.5" hidden="1">
      <c r="E13198" s="4" t="str">
        <v/>
      </c>
      <c r="F13198" s="102" t="str">
        <f ca="1">IFERROR(__xludf.DUMMYFUNCTION("IMPORTRANGE(H13198,""IDENTITAS UNIT!D9"")"),"#N/A")</f>
        <v>#N/A</v>
      </c>
      <c r="H13198" s="4" t="str">
        <v/>
      </c>
      <c r="I13198" s="4" t="str">
        <v/>
      </c>
    </row>
    <row r="13199" spans="5:9" ht="16.5" hidden="1">
      <c r="E13199" s="4" t="str">
        <v/>
      </c>
      <c r="F13199" s="102" t="str">
        <f ca="1">IFERROR(__xludf.DUMMYFUNCTION("IMPORTRANGE(H13199,""IDENTITAS UNIT!D9"")"),"#N/A")</f>
        <v>#N/A</v>
      </c>
      <c r="H13199" s="4" t="str">
        <v/>
      </c>
      <c r="I13199" s="4" t="str">
        <v/>
      </c>
    </row>
    <row r="13200" spans="5:9" ht="16.5" hidden="1">
      <c r="E13200" s="4" t="str">
        <v/>
      </c>
      <c r="F13200" s="102" t="str">
        <f ca="1">IFERROR(__xludf.DUMMYFUNCTION("IMPORTRANGE(H13200,""IDENTITAS UNIT!D9"")"),"#N/A")</f>
        <v>#N/A</v>
      </c>
      <c r="H13200" s="4" t="str">
        <v/>
      </c>
      <c r="I13200" s="4" t="str">
        <v/>
      </c>
    </row>
    <row r="13201" spans="5:9" ht="16.5" hidden="1">
      <c r="E13201" s="4" t="str">
        <v/>
      </c>
      <c r="F13201" s="102" t="str">
        <f ca="1">IFERROR(__xludf.DUMMYFUNCTION("IMPORTRANGE(H13201,""IDENTITAS UNIT!D9"")"),"#N/A")</f>
        <v>#N/A</v>
      </c>
      <c r="H13201" s="4" t="str">
        <v/>
      </c>
      <c r="I13201" s="4" t="str">
        <v/>
      </c>
    </row>
    <row r="13202" spans="5:9" ht="16.5" hidden="1">
      <c r="E13202" s="4" t="str">
        <v/>
      </c>
      <c r="F13202" s="102" t="str">
        <f ca="1">IFERROR(__xludf.DUMMYFUNCTION("IMPORTRANGE(H13202,""IDENTITAS UNIT!D9"")"),"#N/A")</f>
        <v>#N/A</v>
      </c>
      <c r="H13202" s="4" t="str">
        <v/>
      </c>
      <c r="I13202" s="4" t="str">
        <v/>
      </c>
    </row>
    <row r="13203" spans="5:9" ht="16.5" hidden="1">
      <c r="E13203" s="4" t="str">
        <v/>
      </c>
      <c r="F13203" s="102" t="str">
        <f ca="1">IFERROR(__xludf.DUMMYFUNCTION("IMPORTRANGE(H13203,""IDENTITAS UNIT!D9"")"),"#N/A")</f>
        <v>#N/A</v>
      </c>
      <c r="H13203" s="4" t="str">
        <v/>
      </c>
      <c r="I13203" s="4" t="str">
        <v/>
      </c>
    </row>
    <row r="13204" spans="5:9" ht="16.5" hidden="1">
      <c r="E13204" s="4" t="str">
        <v/>
      </c>
      <c r="F13204" s="102" t="str">
        <f ca="1">IFERROR(__xludf.DUMMYFUNCTION("IMPORTRANGE(H13204,""IDENTITAS UNIT!D9"")"),"#N/A")</f>
        <v>#N/A</v>
      </c>
      <c r="H13204" s="4" t="str">
        <v/>
      </c>
      <c r="I13204" s="4" t="str">
        <v/>
      </c>
    </row>
    <row r="13205" spans="5:9" ht="16.5" hidden="1">
      <c r="E13205" s="4" t="str">
        <v/>
      </c>
      <c r="F13205" s="102" t="str">
        <f ca="1">IFERROR(__xludf.DUMMYFUNCTION("IMPORTRANGE(H13205,""IDENTITAS UNIT!D9"")"),"#N/A")</f>
        <v>#N/A</v>
      </c>
      <c r="H13205" s="4" t="str">
        <v/>
      </c>
      <c r="I13205" s="4" t="str">
        <v/>
      </c>
    </row>
    <row r="13206" spans="5:9" ht="16.5" hidden="1">
      <c r="E13206" s="4" t="str">
        <v/>
      </c>
      <c r="F13206" s="102" t="str">
        <f ca="1">IFERROR(__xludf.DUMMYFUNCTION("IMPORTRANGE(H13206,""IDENTITAS UNIT!D9"")"),"#N/A")</f>
        <v>#N/A</v>
      </c>
      <c r="H13206" s="4" t="str">
        <v/>
      </c>
      <c r="I13206" s="4" t="str">
        <v/>
      </c>
    </row>
    <row r="13207" spans="5:9" ht="16.5" hidden="1">
      <c r="E13207" s="4" t="str">
        <v/>
      </c>
      <c r="F13207" s="102" t="str">
        <f ca="1">IFERROR(__xludf.DUMMYFUNCTION("IMPORTRANGE(H13207,""IDENTITAS UNIT!D9"")"),"#N/A")</f>
        <v>#N/A</v>
      </c>
      <c r="H13207" s="4" t="str">
        <v/>
      </c>
      <c r="I13207" s="4" t="str">
        <v/>
      </c>
    </row>
    <row r="13208" spans="5:9" ht="16.5" hidden="1">
      <c r="E13208" s="4" t="str">
        <v/>
      </c>
      <c r="F13208" s="102" t="str">
        <f ca="1">IFERROR(__xludf.DUMMYFUNCTION("IMPORTRANGE(H13208,""IDENTITAS UNIT!D9"")"),"#N/A")</f>
        <v>#N/A</v>
      </c>
      <c r="H13208" s="4" t="str">
        <v/>
      </c>
      <c r="I13208" s="4" t="str">
        <v/>
      </c>
    </row>
    <row r="13209" spans="5:9" ht="16.5" hidden="1">
      <c r="E13209" s="4" t="str">
        <v/>
      </c>
      <c r="F13209" s="102" t="str">
        <f ca="1">IFERROR(__xludf.DUMMYFUNCTION("IMPORTRANGE(H13209,""IDENTITAS UNIT!D9"")"),"#N/A")</f>
        <v>#N/A</v>
      </c>
      <c r="H13209" s="4" t="str">
        <v/>
      </c>
      <c r="I13209" s="4" t="str">
        <v/>
      </c>
    </row>
    <row r="13210" spans="5:9" ht="16.5" hidden="1">
      <c r="E13210" s="4" t="str">
        <v/>
      </c>
      <c r="F13210" s="102" t="str">
        <f ca="1">IFERROR(__xludf.DUMMYFUNCTION("IMPORTRANGE(H13210,""IDENTITAS UNIT!D9"")"),"#N/A")</f>
        <v>#N/A</v>
      </c>
      <c r="H13210" s="4" t="str">
        <v/>
      </c>
      <c r="I13210" s="4" t="str">
        <v/>
      </c>
    </row>
    <row r="13211" spans="5:9" ht="16.5" hidden="1">
      <c r="E13211" s="4" t="str">
        <v/>
      </c>
      <c r="F13211" s="102" t="str">
        <f ca="1">IFERROR(__xludf.DUMMYFUNCTION("IMPORTRANGE(H13211,""IDENTITAS UNIT!D9"")"),"#N/A")</f>
        <v>#N/A</v>
      </c>
      <c r="H13211" s="4" t="str">
        <v/>
      </c>
      <c r="I13211" s="4" t="str">
        <v/>
      </c>
    </row>
    <row r="13212" spans="5:9" ht="16.5" hidden="1">
      <c r="E13212" s="4" t="str">
        <v/>
      </c>
      <c r="F13212" s="102" t="str">
        <f ca="1">IFERROR(__xludf.DUMMYFUNCTION("IMPORTRANGE(H13212,""IDENTITAS UNIT!D9"")"),"#N/A")</f>
        <v>#N/A</v>
      </c>
      <c r="H13212" s="4" t="str">
        <v/>
      </c>
      <c r="I13212" s="4" t="str">
        <v/>
      </c>
    </row>
    <row r="13213" spans="5:9" ht="16.5" hidden="1">
      <c r="E13213" s="4" t="str">
        <v/>
      </c>
      <c r="F13213" s="102" t="str">
        <f ca="1">IFERROR(__xludf.DUMMYFUNCTION("IMPORTRANGE(H13213,""IDENTITAS UNIT!D9"")"),"#N/A")</f>
        <v>#N/A</v>
      </c>
      <c r="H13213" s="4" t="str">
        <v/>
      </c>
      <c r="I13213" s="4" t="str">
        <v/>
      </c>
    </row>
    <row r="13214" spans="5:9" ht="16.5" hidden="1">
      <c r="E13214" s="4" t="str">
        <v/>
      </c>
      <c r="F13214" s="102" t="str">
        <f ca="1">IFERROR(__xludf.DUMMYFUNCTION("IMPORTRANGE(H13214,""IDENTITAS UNIT!D9"")"),"#N/A")</f>
        <v>#N/A</v>
      </c>
      <c r="H13214" s="4" t="str">
        <v/>
      </c>
      <c r="I13214" s="4" t="str">
        <v/>
      </c>
    </row>
    <row r="13215" spans="5:9" ht="16.5" hidden="1">
      <c r="E13215" s="4" t="str">
        <v/>
      </c>
      <c r="F13215" s="102" t="str">
        <f ca="1">IFERROR(__xludf.DUMMYFUNCTION("IMPORTRANGE(H13215,""IDENTITAS UNIT!D9"")"),"#N/A")</f>
        <v>#N/A</v>
      </c>
      <c r="H13215" s="4" t="str">
        <v/>
      </c>
      <c r="I13215" s="4" t="str">
        <v/>
      </c>
    </row>
    <row r="13216" spans="5:9" ht="16.5" hidden="1">
      <c r="E13216" s="4" t="str">
        <v/>
      </c>
      <c r="F13216" s="102" t="str">
        <f ca="1">IFERROR(__xludf.DUMMYFUNCTION("IMPORTRANGE(H13216,""IDENTITAS UNIT!D9"")"),"#N/A")</f>
        <v>#N/A</v>
      </c>
      <c r="H13216" s="4" t="str">
        <v/>
      </c>
      <c r="I13216" s="4" t="str">
        <v/>
      </c>
    </row>
    <row r="13217" spans="5:9" ht="16.5" hidden="1">
      <c r="E13217" s="4" t="str">
        <v/>
      </c>
      <c r="F13217" s="102" t="str">
        <f ca="1">IFERROR(__xludf.DUMMYFUNCTION("IMPORTRANGE(H13217,""IDENTITAS UNIT!D9"")"),"#N/A")</f>
        <v>#N/A</v>
      </c>
      <c r="H13217" s="4" t="str">
        <v/>
      </c>
      <c r="I13217" s="4" t="str">
        <v/>
      </c>
    </row>
    <row r="13218" spans="5:9" ht="16.5" hidden="1">
      <c r="E13218" s="4" t="str">
        <v/>
      </c>
      <c r="F13218" s="102" t="str">
        <f ca="1">IFERROR(__xludf.DUMMYFUNCTION("IMPORTRANGE(H13218,""IDENTITAS UNIT!D9"")"),"#N/A")</f>
        <v>#N/A</v>
      </c>
      <c r="H13218" s="4" t="str">
        <v/>
      </c>
      <c r="I13218" s="4" t="str">
        <v/>
      </c>
    </row>
    <row r="13219" spans="5:9" ht="16.5" hidden="1">
      <c r="E13219" s="4" t="str">
        <v/>
      </c>
      <c r="F13219" s="102" t="str">
        <f ca="1">IFERROR(__xludf.DUMMYFUNCTION("IMPORTRANGE(H13219,""IDENTITAS UNIT!D9"")"),"#N/A")</f>
        <v>#N/A</v>
      </c>
      <c r="H13219" s="4" t="str">
        <v/>
      </c>
      <c r="I13219" s="4" t="str">
        <v/>
      </c>
    </row>
    <row r="13220" spans="5:9" ht="16.5" hidden="1">
      <c r="E13220" s="4" t="str">
        <v/>
      </c>
      <c r="F13220" s="102" t="str">
        <f ca="1">IFERROR(__xludf.DUMMYFUNCTION("IMPORTRANGE(H13220,""IDENTITAS UNIT!D9"")"),"#N/A")</f>
        <v>#N/A</v>
      </c>
      <c r="H13220" s="4" t="str">
        <v/>
      </c>
      <c r="I13220" s="4" t="str">
        <v/>
      </c>
    </row>
    <row r="13221" spans="5:9" ht="16.5" hidden="1">
      <c r="E13221" s="4" t="str">
        <v/>
      </c>
      <c r="F13221" s="102" t="str">
        <f ca="1">IFERROR(__xludf.DUMMYFUNCTION("IMPORTRANGE(H13221,""IDENTITAS UNIT!D9"")"),"#N/A")</f>
        <v>#N/A</v>
      </c>
      <c r="H13221" s="4" t="str">
        <v/>
      </c>
      <c r="I13221" s="4" t="str">
        <v/>
      </c>
    </row>
    <row r="13222" spans="5:9" ht="16.5" hidden="1">
      <c r="E13222" s="4" t="str">
        <v/>
      </c>
      <c r="F13222" s="102" t="str">
        <f ca="1">IFERROR(__xludf.DUMMYFUNCTION("IMPORTRANGE(H13222,""IDENTITAS UNIT!D9"")"),"#N/A")</f>
        <v>#N/A</v>
      </c>
      <c r="H13222" s="4" t="str">
        <v/>
      </c>
      <c r="I13222" s="4" t="str">
        <v/>
      </c>
    </row>
    <row r="13223" spans="5:9" ht="16.5" hidden="1">
      <c r="E13223" s="4" t="str">
        <v/>
      </c>
      <c r="F13223" s="102" t="str">
        <f ca="1">IFERROR(__xludf.DUMMYFUNCTION("IMPORTRANGE(H13223,""IDENTITAS UNIT!D9"")"),"#N/A")</f>
        <v>#N/A</v>
      </c>
      <c r="H13223" s="4" t="str">
        <v/>
      </c>
      <c r="I13223" s="4" t="str">
        <v/>
      </c>
    </row>
    <row r="13224" spans="5:9" ht="16.5" hidden="1">
      <c r="E13224" s="4" t="str">
        <v/>
      </c>
      <c r="F13224" s="102" t="str">
        <f ca="1">IFERROR(__xludf.DUMMYFUNCTION("IMPORTRANGE(H13224,""IDENTITAS UNIT!D9"")"),"#N/A")</f>
        <v>#N/A</v>
      </c>
      <c r="H13224" s="4" t="str">
        <v/>
      </c>
      <c r="I13224" s="4" t="str">
        <v/>
      </c>
    </row>
    <row r="13225" spans="5:9" ht="16.5" hidden="1">
      <c r="E13225" s="4" t="str">
        <v/>
      </c>
      <c r="F13225" s="102" t="str">
        <f ca="1">IFERROR(__xludf.DUMMYFUNCTION("IMPORTRANGE(H13225,""IDENTITAS UNIT!D9"")"),"#N/A")</f>
        <v>#N/A</v>
      </c>
      <c r="H13225" s="4" t="str">
        <v/>
      </c>
      <c r="I13225" s="4" t="str">
        <v/>
      </c>
    </row>
    <row r="13226" spans="5:9" ht="16.5" hidden="1">
      <c r="E13226" s="4" t="str">
        <v/>
      </c>
      <c r="F13226" s="102" t="str">
        <f ca="1">IFERROR(__xludf.DUMMYFUNCTION("IMPORTRANGE(H13226,""IDENTITAS UNIT!D9"")"),"#N/A")</f>
        <v>#N/A</v>
      </c>
      <c r="H13226" s="4" t="str">
        <v/>
      </c>
      <c r="I13226" s="4" t="str">
        <v/>
      </c>
    </row>
    <row r="13227" spans="5:9" ht="16.5" hidden="1">
      <c r="E13227" s="4" t="str">
        <v/>
      </c>
      <c r="F13227" s="102" t="str">
        <f ca="1">IFERROR(__xludf.DUMMYFUNCTION("IMPORTRANGE(H13227,""IDENTITAS UNIT!D9"")"),"#N/A")</f>
        <v>#N/A</v>
      </c>
      <c r="H13227" s="4" t="str">
        <v/>
      </c>
      <c r="I13227" s="4" t="str">
        <v/>
      </c>
    </row>
    <row r="13228" spans="5:9" ht="16.5" hidden="1">
      <c r="E13228" s="4" t="str">
        <v/>
      </c>
      <c r="F13228" s="102" t="str">
        <f ca="1">IFERROR(__xludf.DUMMYFUNCTION("IMPORTRANGE(H13228,""IDENTITAS UNIT!D9"")"),"#N/A")</f>
        <v>#N/A</v>
      </c>
      <c r="H13228" s="4" t="str">
        <v/>
      </c>
      <c r="I13228" s="4" t="str">
        <v/>
      </c>
    </row>
    <row r="13229" spans="5:9" ht="16.5" hidden="1">
      <c r="E13229" s="4" t="str">
        <v/>
      </c>
      <c r="F13229" s="102" t="str">
        <f ca="1">IFERROR(__xludf.DUMMYFUNCTION("IMPORTRANGE(H13229,""IDENTITAS UNIT!D9"")"),"#N/A")</f>
        <v>#N/A</v>
      </c>
      <c r="H13229" s="4" t="str">
        <v/>
      </c>
      <c r="I13229" s="4" t="str">
        <v/>
      </c>
    </row>
    <row r="13230" spans="5:9" ht="16.5" hidden="1">
      <c r="E13230" s="4" t="str">
        <v/>
      </c>
      <c r="F13230" s="102" t="str">
        <f ca="1">IFERROR(__xludf.DUMMYFUNCTION("IMPORTRANGE(H13230,""IDENTITAS UNIT!D9"")"),"#N/A")</f>
        <v>#N/A</v>
      </c>
      <c r="H13230" s="4" t="str">
        <v/>
      </c>
      <c r="I13230" s="4" t="str">
        <v/>
      </c>
    </row>
    <row r="13231" spans="5:9" ht="16.5" hidden="1">
      <c r="E13231" s="4" t="str">
        <v/>
      </c>
      <c r="F13231" s="102" t="str">
        <f ca="1">IFERROR(__xludf.DUMMYFUNCTION("IMPORTRANGE(H13231,""IDENTITAS UNIT!D9"")"),"#N/A")</f>
        <v>#N/A</v>
      </c>
      <c r="H13231" s="4" t="str">
        <v/>
      </c>
      <c r="I13231" s="4" t="str">
        <v/>
      </c>
    </row>
    <row r="13232" spans="5:9" ht="16.5" hidden="1">
      <c r="E13232" s="4" t="str">
        <v/>
      </c>
      <c r="F13232" s="102" t="str">
        <f ca="1">IFERROR(__xludf.DUMMYFUNCTION("IMPORTRANGE(H13232,""IDENTITAS UNIT!D9"")"),"#N/A")</f>
        <v>#N/A</v>
      </c>
      <c r="H13232" s="4" t="str">
        <v/>
      </c>
      <c r="I13232" s="4" t="str">
        <v/>
      </c>
    </row>
    <row r="13233" spans="5:9" ht="16.5" hidden="1">
      <c r="E13233" s="4" t="str">
        <v/>
      </c>
      <c r="F13233" s="102" t="str">
        <f ca="1">IFERROR(__xludf.DUMMYFUNCTION("IMPORTRANGE(H13233,""IDENTITAS UNIT!D9"")"),"#N/A")</f>
        <v>#N/A</v>
      </c>
      <c r="H13233" s="4" t="str">
        <v/>
      </c>
      <c r="I13233" s="4" t="str">
        <v/>
      </c>
    </row>
    <row r="13234" spans="5:9" ht="16.5" hidden="1">
      <c r="E13234" s="4" t="str">
        <v/>
      </c>
      <c r="F13234" s="102" t="str">
        <f ca="1">IFERROR(__xludf.DUMMYFUNCTION("IMPORTRANGE(H13234,""IDENTITAS UNIT!D9"")"),"#N/A")</f>
        <v>#N/A</v>
      </c>
      <c r="H13234" s="4" t="str">
        <v/>
      </c>
      <c r="I13234" s="4" t="str">
        <v/>
      </c>
    </row>
    <row r="13235" spans="5:9" ht="16.5" hidden="1">
      <c r="E13235" s="4" t="str">
        <v/>
      </c>
      <c r="F13235" s="102" t="str">
        <f ca="1">IFERROR(__xludf.DUMMYFUNCTION("IMPORTRANGE(H13235,""IDENTITAS UNIT!D9"")"),"#N/A")</f>
        <v>#N/A</v>
      </c>
      <c r="H13235" s="4" t="str">
        <v/>
      </c>
      <c r="I13235" s="4" t="str">
        <v/>
      </c>
    </row>
    <row r="13236" spans="5:9" ht="16.5" hidden="1">
      <c r="E13236" s="4" t="str">
        <v/>
      </c>
      <c r="F13236" s="102" t="str">
        <f ca="1">IFERROR(__xludf.DUMMYFUNCTION("IMPORTRANGE(H13236,""IDENTITAS UNIT!D9"")"),"#N/A")</f>
        <v>#N/A</v>
      </c>
      <c r="H13236" s="4" t="str">
        <v/>
      </c>
      <c r="I13236" s="4" t="str">
        <v/>
      </c>
    </row>
    <row r="13237" spans="5:9" ht="16.5" hidden="1">
      <c r="E13237" s="4" t="str">
        <v/>
      </c>
      <c r="F13237" s="102" t="str">
        <f ca="1">IFERROR(__xludf.DUMMYFUNCTION("IMPORTRANGE(H13237,""IDENTITAS UNIT!D9"")"),"#N/A")</f>
        <v>#N/A</v>
      </c>
      <c r="H13237" s="4" t="str">
        <v/>
      </c>
      <c r="I13237" s="4" t="str">
        <v/>
      </c>
    </row>
    <row r="13238" spans="5:9" ht="16.5" hidden="1">
      <c r="E13238" s="4" t="str">
        <v/>
      </c>
      <c r="F13238" s="102" t="str">
        <f ca="1">IFERROR(__xludf.DUMMYFUNCTION("IMPORTRANGE(H13238,""IDENTITAS UNIT!D9"")"),"#N/A")</f>
        <v>#N/A</v>
      </c>
      <c r="H13238" s="4" t="str">
        <v/>
      </c>
      <c r="I13238" s="4" t="str">
        <v/>
      </c>
    </row>
    <row r="13239" spans="5:9" ht="16.5" hidden="1">
      <c r="E13239" s="4" t="str">
        <v/>
      </c>
      <c r="F13239" s="102" t="str">
        <f ca="1">IFERROR(__xludf.DUMMYFUNCTION("IMPORTRANGE(H13239,""IDENTITAS UNIT!D9"")"),"#N/A")</f>
        <v>#N/A</v>
      </c>
      <c r="H13239" s="4" t="str">
        <v/>
      </c>
      <c r="I13239" s="4" t="str">
        <v/>
      </c>
    </row>
    <row r="13240" spans="5:9" ht="16.5" hidden="1">
      <c r="E13240" s="4" t="str">
        <v/>
      </c>
      <c r="F13240" s="102" t="str">
        <f ca="1">IFERROR(__xludf.DUMMYFUNCTION("IMPORTRANGE(H13240,""IDENTITAS UNIT!D9"")"),"#N/A")</f>
        <v>#N/A</v>
      </c>
      <c r="H13240" s="4" t="str">
        <v/>
      </c>
      <c r="I13240" s="4" t="str">
        <v/>
      </c>
    </row>
    <row r="13241" spans="5:9" ht="16.5" hidden="1">
      <c r="E13241" s="4" t="str">
        <v/>
      </c>
      <c r="F13241" s="102" t="str">
        <f ca="1">IFERROR(__xludf.DUMMYFUNCTION("IMPORTRANGE(H13241,""IDENTITAS UNIT!D9"")"),"#N/A")</f>
        <v>#N/A</v>
      </c>
      <c r="H13241" s="4" t="str">
        <v/>
      </c>
      <c r="I13241" s="4" t="str">
        <v/>
      </c>
    </row>
    <row r="13242" spans="5:9" ht="16.5" hidden="1">
      <c r="E13242" s="4" t="str">
        <v/>
      </c>
      <c r="F13242" s="102" t="str">
        <f ca="1">IFERROR(__xludf.DUMMYFUNCTION("IMPORTRANGE(H13242,""IDENTITAS UNIT!D9"")"),"#N/A")</f>
        <v>#N/A</v>
      </c>
      <c r="H13242" s="4" t="str">
        <v/>
      </c>
      <c r="I13242" s="4" t="str">
        <v/>
      </c>
    </row>
    <row r="13243" spans="5:9" ht="16.5" hidden="1">
      <c r="E13243" s="4" t="str">
        <v/>
      </c>
      <c r="F13243" s="102" t="str">
        <f ca="1">IFERROR(__xludf.DUMMYFUNCTION("IMPORTRANGE(H13243,""IDENTITAS UNIT!D9"")"),"#N/A")</f>
        <v>#N/A</v>
      </c>
      <c r="H13243" s="4" t="str">
        <v/>
      </c>
      <c r="I13243" s="4" t="str">
        <v/>
      </c>
    </row>
    <row r="13244" spans="5:9" ht="16.5" hidden="1">
      <c r="E13244" s="4" t="str">
        <v/>
      </c>
      <c r="F13244" s="102" t="str">
        <f ca="1">IFERROR(__xludf.DUMMYFUNCTION("IMPORTRANGE(H13244,""IDENTITAS UNIT!D9"")"),"#N/A")</f>
        <v>#N/A</v>
      </c>
      <c r="H13244" s="4" t="str">
        <v/>
      </c>
      <c r="I13244" s="4" t="str">
        <v/>
      </c>
    </row>
    <row r="13245" spans="5:9" ht="16.5" hidden="1">
      <c r="E13245" s="4" t="str">
        <v/>
      </c>
      <c r="F13245" s="102" t="str">
        <f ca="1">IFERROR(__xludf.DUMMYFUNCTION("IMPORTRANGE(H13245,""IDENTITAS UNIT!D9"")"),"#N/A")</f>
        <v>#N/A</v>
      </c>
      <c r="H13245" s="4" t="str">
        <v/>
      </c>
      <c r="I13245" s="4" t="str">
        <v/>
      </c>
    </row>
    <row r="13246" spans="5:9" ht="16.5" hidden="1">
      <c r="E13246" s="4" t="str">
        <v/>
      </c>
      <c r="F13246" s="102" t="str">
        <f ca="1">IFERROR(__xludf.DUMMYFUNCTION("IMPORTRANGE(H13246,""IDENTITAS UNIT!D9"")"),"#N/A")</f>
        <v>#N/A</v>
      </c>
      <c r="H13246" s="4" t="str">
        <v/>
      </c>
      <c r="I13246" s="4" t="str">
        <v/>
      </c>
    </row>
    <row r="13247" spans="5:9" ht="16.5" hidden="1">
      <c r="E13247" s="4" t="str">
        <v/>
      </c>
      <c r="F13247" s="102" t="str">
        <f ca="1">IFERROR(__xludf.DUMMYFUNCTION("IMPORTRANGE(H13247,""IDENTITAS UNIT!D9"")"),"#N/A")</f>
        <v>#N/A</v>
      </c>
      <c r="H13247" s="4" t="str">
        <v/>
      </c>
      <c r="I13247" s="4" t="str">
        <v/>
      </c>
    </row>
    <row r="13248" spans="5:9" ht="16.5" hidden="1">
      <c r="E13248" s="4" t="str">
        <v/>
      </c>
      <c r="F13248" s="102" t="str">
        <f ca="1">IFERROR(__xludf.DUMMYFUNCTION("IMPORTRANGE(H13248,""IDENTITAS UNIT!D9"")"),"#N/A")</f>
        <v>#N/A</v>
      </c>
      <c r="H13248" s="4" t="str">
        <v/>
      </c>
      <c r="I13248" s="4" t="str">
        <v/>
      </c>
    </row>
    <row r="13249" spans="5:9" ht="16.5" hidden="1">
      <c r="E13249" s="4" t="str">
        <v/>
      </c>
      <c r="F13249" s="102" t="str">
        <f ca="1">IFERROR(__xludf.DUMMYFUNCTION("IMPORTRANGE(H13249,""IDENTITAS UNIT!D9"")"),"#N/A")</f>
        <v>#N/A</v>
      </c>
      <c r="H13249" s="4" t="str">
        <v/>
      </c>
      <c r="I13249" s="4" t="str">
        <v/>
      </c>
    </row>
    <row r="13250" spans="5:9" ht="16.5" hidden="1">
      <c r="E13250" s="4" t="str">
        <v/>
      </c>
      <c r="F13250" s="102" t="str">
        <f ca="1">IFERROR(__xludf.DUMMYFUNCTION("IMPORTRANGE(H13250,""IDENTITAS UNIT!D9"")"),"#N/A")</f>
        <v>#N/A</v>
      </c>
      <c r="H13250" s="4" t="str">
        <v/>
      </c>
      <c r="I13250" s="4" t="str">
        <v/>
      </c>
    </row>
    <row r="13251" spans="5:9" ht="16.5" hidden="1">
      <c r="E13251" s="4" t="str">
        <v/>
      </c>
      <c r="F13251" s="102" t="str">
        <f ca="1">IFERROR(__xludf.DUMMYFUNCTION("IMPORTRANGE(H13251,""IDENTITAS UNIT!D9"")"),"#N/A")</f>
        <v>#N/A</v>
      </c>
      <c r="H13251" s="4" t="str">
        <v/>
      </c>
      <c r="I13251" s="4" t="str">
        <v/>
      </c>
    </row>
    <row r="13252" spans="5:9" ht="16.5" hidden="1">
      <c r="E13252" s="4" t="str">
        <v/>
      </c>
      <c r="F13252" s="102" t="str">
        <f ca="1">IFERROR(__xludf.DUMMYFUNCTION("IMPORTRANGE(H13252,""IDENTITAS UNIT!D9"")"),"#N/A")</f>
        <v>#N/A</v>
      </c>
      <c r="H13252" s="4" t="str">
        <v/>
      </c>
      <c r="I13252" s="4" t="str">
        <v/>
      </c>
    </row>
    <row r="13253" spans="5:9" ht="16.5" hidden="1">
      <c r="E13253" s="4" t="str">
        <v/>
      </c>
      <c r="F13253" s="102" t="str">
        <f ca="1">IFERROR(__xludf.DUMMYFUNCTION("IMPORTRANGE(H13253,""IDENTITAS UNIT!D9"")"),"#N/A")</f>
        <v>#N/A</v>
      </c>
      <c r="H13253" s="4" t="str">
        <v/>
      </c>
      <c r="I13253" s="4" t="str">
        <v/>
      </c>
    </row>
    <row r="13254" spans="5:9" ht="16.5" hidden="1">
      <c r="E13254" s="4" t="str">
        <v/>
      </c>
      <c r="F13254" s="102" t="str">
        <f ca="1">IFERROR(__xludf.DUMMYFUNCTION("IMPORTRANGE(H13254,""IDENTITAS UNIT!D9"")"),"#N/A")</f>
        <v>#N/A</v>
      </c>
      <c r="H13254" s="4" t="str">
        <v/>
      </c>
      <c r="I13254" s="4" t="str">
        <v/>
      </c>
    </row>
    <row r="13255" spans="5:9" ht="16.5" hidden="1">
      <c r="E13255" s="4" t="str">
        <v/>
      </c>
      <c r="F13255" s="102" t="str">
        <f ca="1">IFERROR(__xludf.DUMMYFUNCTION("IMPORTRANGE(H13255,""IDENTITAS UNIT!D9"")"),"#N/A")</f>
        <v>#N/A</v>
      </c>
      <c r="H13255" s="4" t="str">
        <v/>
      </c>
      <c r="I13255" s="4" t="str">
        <v/>
      </c>
    </row>
    <row r="13256" spans="5:9" ht="16.5" hidden="1">
      <c r="E13256" s="4" t="str">
        <v/>
      </c>
      <c r="F13256" s="102" t="str">
        <f ca="1">IFERROR(__xludf.DUMMYFUNCTION("IMPORTRANGE(H13256,""IDENTITAS UNIT!D9"")"),"#N/A")</f>
        <v>#N/A</v>
      </c>
      <c r="H13256" s="4" t="str">
        <v/>
      </c>
      <c r="I13256" s="4" t="str">
        <v/>
      </c>
    </row>
    <row r="13257" spans="5:9" ht="16.5" hidden="1">
      <c r="E13257" s="4" t="str">
        <v/>
      </c>
      <c r="F13257" s="102" t="str">
        <f ca="1">IFERROR(__xludf.DUMMYFUNCTION("IMPORTRANGE(H13257,""IDENTITAS UNIT!D9"")"),"#N/A")</f>
        <v>#N/A</v>
      </c>
      <c r="H13257" s="4" t="str">
        <v/>
      </c>
      <c r="I13257" s="4" t="str">
        <v/>
      </c>
    </row>
    <row r="13258" spans="5:9" ht="16.5" hidden="1">
      <c r="E13258" s="4" t="str">
        <v/>
      </c>
      <c r="F13258" s="102" t="str">
        <f ca="1">IFERROR(__xludf.DUMMYFUNCTION("IMPORTRANGE(H13258,""IDENTITAS UNIT!D9"")"),"#N/A")</f>
        <v>#N/A</v>
      </c>
      <c r="H13258" s="4" t="str">
        <v/>
      </c>
      <c r="I13258" s="4" t="str">
        <v/>
      </c>
    </row>
    <row r="13259" spans="5:9" ht="16.5" hidden="1">
      <c r="E13259" s="4" t="str">
        <v/>
      </c>
      <c r="F13259" s="102" t="str">
        <f ca="1">IFERROR(__xludf.DUMMYFUNCTION("IMPORTRANGE(H13259,""IDENTITAS UNIT!D9"")"),"#N/A")</f>
        <v>#N/A</v>
      </c>
      <c r="H13259" s="4" t="str">
        <v/>
      </c>
      <c r="I13259" s="4" t="str">
        <v/>
      </c>
    </row>
    <row r="13260" spans="5:9" ht="16.5" hidden="1">
      <c r="E13260" s="4" t="str">
        <v/>
      </c>
      <c r="F13260" s="102" t="str">
        <f ca="1">IFERROR(__xludf.DUMMYFUNCTION("IMPORTRANGE(H13260,""IDENTITAS UNIT!D9"")"),"#N/A")</f>
        <v>#N/A</v>
      </c>
      <c r="H13260" s="4" t="str">
        <v/>
      </c>
      <c r="I13260" s="4" t="str">
        <v/>
      </c>
    </row>
    <row r="13261" spans="5:9" ht="16.5" hidden="1">
      <c r="E13261" s="4" t="str">
        <v/>
      </c>
      <c r="F13261" s="102" t="str">
        <f ca="1">IFERROR(__xludf.DUMMYFUNCTION("IMPORTRANGE(H13261,""IDENTITAS UNIT!D9"")"),"#N/A")</f>
        <v>#N/A</v>
      </c>
      <c r="H13261" s="4" t="str">
        <v/>
      </c>
      <c r="I13261" s="4" t="str">
        <v/>
      </c>
    </row>
    <row r="13262" spans="5:9" ht="16.5" hidden="1">
      <c r="E13262" s="4" t="str">
        <v/>
      </c>
      <c r="F13262" s="102" t="str">
        <f ca="1">IFERROR(__xludf.DUMMYFUNCTION("IMPORTRANGE(H13262,""IDENTITAS UNIT!D9"")"),"#N/A")</f>
        <v>#N/A</v>
      </c>
      <c r="H13262" s="4" t="str">
        <v/>
      </c>
      <c r="I13262" s="4" t="str">
        <v/>
      </c>
    </row>
    <row r="13263" spans="5:9" ht="16.5" hidden="1">
      <c r="E13263" s="4" t="str">
        <v/>
      </c>
      <c r="F13263" s="102" t="str">
        <f ca="1">IFERROR(__xludf.DUMMYFUNCTION("IMPORTRANGE(H13263,""IDENTITAS UNIT!D9"")"),"#N/A")</f>
        <v>#N/A</v>
      </c>
      <c r="H13263" s="4" t="str">
        <v/>
      </c>
      <c r="I13263" s="4" t="str">
        <v/>
      </c>
    </row>
    <row r="13264" spans="5:9" ht="16.5" hidden="1">
      <c r="E13264" s="4" t="str">
        <v/>
      </c>
      <c r="F13264" s="102" t="str">
        <f ca="1">IFERROR(__xludf.DUMMYFUNCTION("IMPORTRANGE(H13264,""IDENTITAS UNIT!D9"")"),"#N/A")</f>
        <v>#N/A</v>
      </c>
      <c r="H13264" s="4" t="str">
        <v/>
      </c>
      <c r="I13264" s="4" t="str">
        <v/>
      </c>
    </row>
    <row r="13265" spans="5:9" ht="16.5" hidden="1">
      <c r="E13265" s="4" t="str">
        <v/>
      </c>
      <c r="F13265" s="102" t="str">
        <f ca="1">IFERROR(__xludf.DUMMYFUNCTION("IMPORTRANGE(H13265,""IDENTITAS UNIT!D9"")"),"#N/A")</f>
        <v>#N/A</v>
      </c>
      <c r="H13265" s="4" t="str">
        <v/>
      </c>
      <c r="I13265" s="4" t="str">
        <v/>
      </c>
    </row>
    <row r="13266" spans="5:9" ht="16.5" hidden="1">
      <c r="E13266" s="4" t="str">
        <v/>
      </c>
      <c r="F13266" s="102" t="str">
        <f ca="1">IFERROR(__xludf.DUMMYFUNCTION("IMPORTRANGE(H13266,""IDENTITAS UNIT!D9"")"),"#N/A")</f>
        <v>#N/A</v>
      </c>
      <c r="H13266" s="4" t="str">
        <v/>
      </c>
      <c r="I13266" s="4" t="str">
        <v/>
      </c>
    </row>
    <row r="13267" spans="5:9" ht="16.5" hidden="1">
      <c r="E13267" s="4" t="str">
        <v/>
      </c>
      <c r="F13267" s="102" t="str">
        <f ca="1">IFERROR(__xludf.DUMMYFUNCTION("IMPORTRANGE(H13267,""IDENTITAS UNIT!D9"")"),"#N/A")</f>
        <v>#N/A</v>
      </c>
      <c r="H13267" s="4" t="str">
        <v/>
      </c>
      <c r="I13267" s="4" t="str">
        <v/>
      </c>
    </row>
    <row r="13268" spans="5:9" ht="16.5" hidden="1">
      <c r="E13268" s="4" t="str">
        <v/>
      </c>
      <c r="F13268" s="102" t="str">
        <f ca="1">IFERROR(__xludf.DUMMYFUNCTION("IMPORTRANGE(H13268,""IDENTITAS UNIT!D9"")"),"#N/A")</f>
        <v>#N/A</v>
      </c>
      <c r="H13268" s="4" t="str">
        <v/>
      </c>
      <c r="I13268" s="4" t="str">
        <v/>
      </c>
    </row>
    <row r="13269" spans="5:9" ht="16.5" hidden="1">
      <c r="E13269" s="4" t="str">
        <v/>
      </c>
      <c r="F13269" s="102" t="str">
        <f ca="1">IFERROR(__xludf.DUMMYFUNCTION("IMPORTRANGE(H13269,""IDENTITAS UNIT!D9"")"),"#N/A")</f>
        <v>#N/A</v>
      </c>
      <c r="H13269" s="4" t="str">
        <v/>
      </c>
      <c r="I13269" s="4" t="str">
        <v/>
      </c>
    </row>
    <row r="13270" spans="5:9" ht="16.5" hidden="1">
      <c r="E13270" s="4" t="str">
        <v/>
      </c>
      <c r="F13270" s="102" t="str">
        <f ca="1">IFERROR(__xludf.DUMMYFUNCTION("IMPORTRANGE(H13270,""IDENTITAS UNIT!D9"")"),"#N/A")</f>
        <v>#N/A</v>
      </c>
      <c r="H13270" s="4" t="str">
        <v/>
      </c>
      <c r="I13270" s="4" t="str">
        <v/>
      </c>
    </row>
    <row r="13271" spans="5:9" ht="16.5" hidden="1">
      <c r="E13271" s="4" t="str">
        <v/>
      </c>
      <c r="F13271" s="102" t="str">
        <f ca="1">IFERROR(__xludf.DUMMYFUNCTION("IMPORTRANGE(H13271,""IDENTITAS UNIT!D9"")"),"#N/A")</f>
        <v>#N/A</v>
      </c>
      <c r="H13271" s="4" t="str">
        <v/>
      </c>
      <c r="I13271" s="4" t="str">
        <v/>
      </c>
    </row>
    <row r="13272" spans="5:9" ht="16.5" hidden="1">
      <c r="E13272" s="4" t="str">
        <v/>
      </c>
      <c r="F13272" s="102" t="str">
        <f ca="1">IFERROR(__xludf.DUMMYFUNCTION("IMPORTRANGE(H13272,""IDENTITAS UNIT!D9"")"),"#N/A")</f>
        <v>#N/A</v>
      </c>
      <c r="H13272" s="4" t="str">
        <v/>
      </c>
      <c r="I13272" s="4" t="str">
        <v/>
      </c>
    </row>
    <row r="13273" spans="5:9" ht="16.5" hidden="1">
      <c r="E13273" s="4" t="str">
        <v/>
      </c>
      <c r="F13273" s="102" t="str">
        <f ca="1">IFERROR(__xludf.DUMMYFUNCTION("IMPORTRANGE(H13273,""IDENTITAS UNIT!D9"")"),"#N/A")</f>
        <v>#N/A</v>
      </c>
      <c r="H13273" s="4" t="str">
        <v/>
      </c>
      <c r="I13273" s="4" t="str">
        <v/>
      </c>
    </row>
    <row r="13274" spans="5:9" ht="16.5" hidden="1">
      <c r="E13274" s="4" t="str">
        <v/>
      </c>
      <c r="F13274" s="102" t="str">
        <f ca="1">IFERROR(__xludf.DUMMYFUNCTION("IMPORTRANGE(H13274,""IDENTITAS UNIT!D9"")"),"#N/A")</f>
        <v>#N/A</v>
      </c>
      <c r="H13274" s="4" t="str">
        <v/>
      </c>
      <c r="I13274" s="4" t="str">
        <v/>
      </c>
    </row>
    <row r="13275" spans="5:9" ht="16.5" hidden="1">
      <c r="E13275" s="4" t="str">
        <v/>
      </c>
      <c r="F13275" s="102" t="str">
        <f ca="1">IFERROR(__xludf.DUMMYFUNCTION("IMPORTRANGE(H13275,""IDENTITAS UNIT!D9"")"),"#N/A")</f>
        <v>#N/A</v>
      </c>
      <c r="H13275" s="4" t="str">
        <v/>
      </c>
      <c r="I13275" s="4" t="str">
        <v/>
      </c>
    </row>
    <row r="13276" spans="5:9" ht="16.5" hidden="1">
      <c r="E13276" s="4" t="str">
        <v/>
      </c>
      <c r="F13276" s="102" t="str">
        <f ca="1">IFERROR(__xludf.DUMMYFUNCTION("IMPORTRANGE(H13276,""IDENTITAS UNIT!D9"")"),"#N/A")</f>
        <v>#N/A</v>
      </c>
      <c r="H13276" s="4" t="str">
        <v/>
      </c>
      <c r="I13276" s="4" t="str">
        <v/>
      </c>
    </row>
    <row r="13277" spans="5:9" ht="16.5" hidden="1">
      <c r="E13277" s="4" t="str">
        <v/>
      </c>
      <c r="F13277" s="102" t="str">
        <f ca="1">IFERROR(__xludf.DUMMYFUNCTION("IMPORTRANGE(H13277,""IDENTITAS UNIT!D9"")"),"#N/A")</f>
        <v>#N/A</v>
      </c>
      <c r="H13277" s="4" t="str">
        <v/>
      </c>
      <c r="I13277" s="4" t="str">
        <v/>
      </c>
    </row>
    <row r="13278" spans="5:9" ht="16.5" hidden="1">
      <c r="E13278" s="4" t="str">
        <v/>
      </c>
      <c r="F13278" s="102" t="str">
        <f ca="1">IFERROR(__xludf.DUMMYFUNCTION("IMPORTRANGE(H13278,""IDENTITAS UNIT!D9"")"),"#N/A")</f>
        <v>#N/A</v>
      </c>
      <c r="H13278" s="4" t="str">
        <v/>
      </c>
      <c r="I13278" s="4" t="str">
        <v/>
      </c>
    </row>
    <row r="13279" spans="5:9" ht="16.5" hidden="1">
      <c r="E13279" s="4" t="str">
        <v/>
      </c>
      <c r="F13279" s="102" t="str">
        <f ca="1">IFERROR(__xludf.DUMMYFUNCTION("IMPORTRANGE(H13279,""IDENTITAS UNIT!D9"")"),"#N/A")</f>
        <v>#N/A</v>
      </c>
      <c r="H13279" s="4" t="str">
        <v/>
      </c>
      <c r="I13279" s="4" t="str">
        <v/>
      </c>
    </row>
    <row r="13280" spans="5:9" ht="16.5" hidden="1">
      <c r="E13280" s="4" t="str">
        <v/>
      </c>
      <c r="F13280" s="102" t="str">
        <f ca="1">IFERROR(__xludf.DUMMYFUNCTION("IMPORTRANGE(H13280,""IDENTITAS UNIT!D9"")"),"#N/A")</f>
        <v>#N/A</v>
      </c>
      <c r="H13280" s="4" t="str">
        <v/>
      </c>
      <c r="I13280" s="4" t="str">
        <v/>
      </c>
    </row>
    <row r="13281" spans="5:9" ht="16.5" hidden="1">
      <c r="E13281" s="4" t="str">
        <v/>
      </c>
      <c r="F13281" s="102" t="str">
        <f ca="1">IFERROR(__xludf.DUMMYFUNCTION("IMPORTRANGE(H13281,""IDENTITAS UNIT!D9"")"),"#N/A")</f>
        <v>#N/A</v>
      </c>
      <c r="H13281" s="4" t="str">
        <v/>
      </c>
      <c r="I13281" s="4" t="str">
        <v/>
      </c>
    </row>
    <row r="13282" spans="5:9" ht="16.5" hidden="1">
      <c r="E13282" s="4" t="str">
        <v/>
      </c>
      <c r="F13282" s="102" t="str">
        <f ca="1">IFERROR(__xludf.DUMMYFUNCTION("IMPORTRANGE(H13282,""IDENTITAS UNIT!D9"")"),"#N/A")</f>
        <v>#N/A</v>
      </c>
      <c r="H13282" s="4" t="str">
        <v/>
      </c>
      <c r="I13282" s="4" t="str">
        <v/>
      </c>
    </row>
    <row r="13283" spans="5:9" ht="16.5" hidden="1">
      <c r="E13283" s="4" t="str">
        <v/>
      </c>
      <c r="F13283" s="102" t="str">
        <f ca="1">IFERROR(__xludf.DUMMYFUNCTION("IMPORTRANGE(H13283,""IDENTITAS UNIT!D9"")"),"#N/A")</f>
        <v>#N/A</v>
      </c>
      <c r="H13283" s="4" t="str">
        <v/>
      </c>
      <c r="I13283" s="4" t="str">
        <v/>
      </c>
    </row>
    <row r="13284" spans="5:9" ht="16.5" hidden="1">
      <c r="E13284" s="4" t="str">
        <v/>
      </c>
      <c r="F13284" s="102" t="str">
        <f ca="1">IFERROR(__xludf.DUMMYFUNCTION("IMPORTRANGE(H13284,""IDENTITAS UNIT!D9"")"),"#N/A")</f>
        <v>#N/A</v>
      </c>
      <c r="H13284" s="4" t="str">
        <v/>
      </c>
      <c r="I13284" s="4" t="str">
        <v/>
      </c>
    </row>
    <row r="13285" spans="5:9" ht="16.5" hidden="1">
      <c r="E13285" s="4" t="str">
        <v/>
      </c>
      <c r="F13285" s="102" t="str">
        <f ca="1">IFERROR(__xludf.DUMMYFUNCTION("IMPORTRANGE(H13285,""IDENTITAS UNIT!D9"")"),"#N/A")</f>
        <v>#N/A</v>
      </c>
      <c r="H13285" s="4" t="str">
        <v/>
      </c>
      <c r="I13285" s="4" t="str">
        <v/>
      </c>
    </row>
    <row r="13286" spans="5:9" ht="16.5" hidden="1">
      <c r="E13286" s="4" t="str">
        <v/>
      </c>
      <c r="F13286" s="102" t="str">
        <f ca="1">IFERROR(__xludf.DUMMYFUNCTION("IMPORTRANGE(H13286,""IDENTITAS UNIT!D9"")"),"#N/A")</f>
        <v>#N/A</v>
      </c>
      <c r="H13286" s="4" t="str">
        <v/>
      </c>
      <c r="I13286" s="4" t="str">
        <v/>
      </c>
    </row>
    <row r="13287" spans="5:9" ht="16.5" hidden="1">
      <c r="E13287" s="4" t="str">
        <v/>
      </c>
      <c r="F13287" s="102" t="str">
        <f ca="1">IFERROR(__xludf.DUMMYFUNCTION("IMPORTRANGE(H13287,""IDENTITAS UNIT!D9"")"),"#N/A")</f>
        <v>#N/A</v>
      </c>
      <c r="H13287" s="4" t="str">
        <v/>
      </c>
      <c r="I13287" s="4" t="str">
        <v/>
      </c>
    </row>
    <row r="13288" spans="5:9" ht="16.5" hidden="1">
      <c r="E13288" s="4" t="str">
        <v/>
      </c>
      <c r="F13288" s="102" t="str">
        <f ca="1">IFERROR(__xludf.DUMMYFUNCTION("IMPORTRANGE(H13288,""IDENTITAS UNIT!D9"")"),"#N/A")</f>
        <v>#N/A</v>
      </c>
      <c r="H13288" s="4" t="str">
        <v/>
      </c>
      <c r="I13288" s="4" t="str">
        <v/>
      </c>
    </row>
    <row r="13289" spans="5:9" ht="16.5" hidden="1">
      <c r="E13289" s="4" t="str">
        <v/>
      </c>
      <c r="F13289" s="102" t="str">
        <f ca="1">IFERROR(__xludf.DUMMYFUNCTION("IMPORTRANGE(H13289,""IDENTITAS UNIT!D9"")"),"#N/A")</f>
        <v>#N/A</v>
      </c>
      <c r="H13289" s="4" t="str">
        <v/>
      </c>
      <c r="I13289" s="4" t="str">
        <v/>
      </c>
    </row>
    <row r="13290" spans="5:9" ht="16.5" hidden="1">
      <c r="E13290" s="4" t="str">
        <v/>
      </c>
      <c r="F13290" s="102" t="str">
        <f ca="1">IFERROR(__xludf.DUMMYFUNCTION("IMPORTRANGE(H13290,""IDENTITAS UNIT!D9"")"),"#N/A")</f>
        <v>#N/A</v>
      </c>
      <c r="H13290" s="4" t="str">
        <v/>
      </c>
      <c r="I13290" s="4" t="str">
        <v/>
      </c>
    </row>
    <row r="13291" spans="5:9" ht="16.5" hidden="1">
      <c r="E13291" s="4" t="str">
        <v/>
      </c>
      <c r="F13291" s="102" t="str">
        <f ca="1">IFERROR(__xludf.DUMMYFUNCTION("IMPORTRANGE(H13291,""IDENTITAS UNIT!D9"")"),"#N/A")</f>
        <v>#N/A</v>
      </c>
      <c r="H13291" s="4" t="str">
        <v/>
      </c>
      <c r="I13291" s="4" t="str">
        <v/>
      </c>
    </row>
    <row r="13292" spans="5:9" ht="16.5" hidden="1">
      <c r="E13292" s="4" t="str">
        <v/>
      </c>
      <c r="F13292" s="102" t="str">
        <f ca="1">IFERROR(__xludf.DUMMYFUNCTION("IMPORTRANGE(H13292,""IDENTITAS UNIT!D9"")"),"#N/A")</f>
        <v>#N/A</v>
      </c>
      <c r="H13292" s="4" t="str">
        <v/>
      </c>
      <c r="I13292" s="4" t="str">
        <v/>
      </c>
    </row>
    <row r="13293" spans="5:9" ht="16.5" hidden="1">
      <c r="E13293" s="4" t="str">
        <v/>
      </c>
      <c r="F13293" s="102" t="str">
        <f ca="1">IFERROR(__xludf.DUMMYFUNCTION("IMPORTRANGE(H13293,""IDENTITAS UNIT!D9"")"),"#N/A")</f>
        <v>#N/A</v>
      </c>
      <c r="H13293" s="4" t="str">
        <v/>
      </c>
      <c r="I13293" s="4" t="str">
        <v/>
      </c>
    </row>
    <row r="13294" spans="5:9" ht="16.5" hidden="1">
      <c r="E13294" s="4" t="str">
        <v/>
      </c>
      <c r="F13294" s="102" t="str">
        <f ca="1">IFERROR(__xludf.DUMMYFUNCTION("IMPORTRANGE(H13294,""IDENTITAS UNIT!D9"")"),"#N/A")</f>
        <v>#N/A</v>
      </c>
      <c r="H13294" s="4" t="str">
        <v/>
      </c>
      <c r="I13294" s="4" t="str">
        <v/>
      </c>
    </row>
    <row r="13295" spans="5:9" ht="16.5" hidden="1">
      <c r="E13295" s="4" t="str">
        <v/>
      </c>
      <c r="F13295" s="102" t="str">
        <f ca="1">IFERROR(__xludf.DUMMYFUNCTION("IMPORTRANGE(H13295,""IDENTITAS UNIT!D9"")"),"#N/A")</f>
        <v>#N/A</v>
      </c>
      <c r="H13295" s="4" t="str">
        <v/>
      </c>
      <c r="I13295" s="4" t="str">
        <v/>
      </c>
    </row>
    <row r="13296" spans="5:9" ht="16.5" hidden="1">
      <c r="E13296" s="4" t="str">
        <v/>
      </c>
      <c r="F13296" s="102" t="str">
        <f ca="1">IFERROR(__xludf.DUMMYFUNCTION("IMPORTRANGE(H13296,""IDENTITAS UNIT!D9"")"),"#N/A")</f>
        <v>#N/A</v>
      </c>
      <c r="H13296" s="4" t="str">
        <v/>
      </c>
      <c r="I13296" s="4" t="str">
        <v/>
      </c>
    </row>
    <row r="13297" spans="5:9" ht="16.5" hidden="1">
      <c r="E13297" s="4" t="str">
        <v/>
      </c>
      <c r="F13297" s="102" t="str">
        <f ca="1">IFERROR(__xludf.DUMMYFUNCTION("IMPORTRANGE(H13297,""IDENTITAS UNIT!D9"")"),"#N/A")</f>
        <v>#N/A</v>
      </c>
      <c r="H13297" s="4" t="str">
        <v/>
      </c>
      <c r="I13297" s="4" t="str">
        <v/>
      </c>
    </row>
    <row r="13298" spans="5:9" ht="16.5" hidden="1">
      <c r="E13298" s="4" t="str">
        <v/>
      </c>
      <c r="F13298" s="102" t="str">
        <f ca="1">IFERROR(__xludf.DUMMYFUNCTION("IMPORTRANGE(H13298,""IDENTITAS UNIT!D9"")"),"#N/A")</f>
        <v>#N/A</v>
      </c>
      <c r="H13298" s="4" t="str">
        <v/>
      </c>
      <c r="I13298" s="4" t="str">
        <v/>
      </c>
    </row>
    <row r="13299" spans="5:9" ht="16.5" hidden="1">
      <c r="E13299" s="4" t="str">
        <v/>
      </c>
      <c r="F13299" s="102" t="str">
        <f ca="1">IFERROR(__xludf.DUMMYFUNCTION("IMPORTRANGE(H13299,""IDENTITAS UNIT!D9"")"),"#N/A")</f>
        <v>#N/A</v>
      </c>
      <c r="H13299" s="4" t="str">
        <v/>
      </c>
      <c r="I13299" s="4" t="str">
        <v/>
      </c>
    </row>
    <row r="13300" spans="5:9" ht="16.5" hidden="1">
      <c r="E13300" s="4" t="str">
        <v/>
      </c>
      <c r="F13300" s="102" t="str">
        <f ca="1">IFERROR(__xludf.DUMMYFUNCTION("IMPORTRANGE(H13300,""IDENTITAS UNIT!D9"")"),"#N/A")</f>
        <v>#N/A</v>
      </c>
      <c r="H13300" s="4" t="str">
        <v/>
      </c>
      <c r="I13300" s="4" t="str">
        <v/>
      </c>
    </row>
    <row r="13301" spans="5:9" ht="16.5" hidden="1">
      <c r="E13301" s="4" t="str">
        <v/>
      </c>
      <c r="F13301" s="102" t="str">
        <f ca="1">IFERROR(__xludf.DUMMYFUNCTION("IMPORTRANGE(H13301,""IDENTITAS UNIT!D9"")"),"#N/A")</f>
        <v>#N/A</v>
      </c>
      <c r="H13301" s="4" t="str">
        <v/>
      </c>
      <c r="I13301" s="4" t="str">
        <v/>
      </c>
    </row>
    <row r="13302" spans="5:9" ht="16.5" hidden="1">
      <c r="E13302" s="4" t="str">
        <v/>
      </c>
      <c r="F13302" s="102" t="str">
        <f ca="1">IFERROR(__xludf.DUMMYFUNCTION("IMPORTRANGE(H13302,""IDENTITAS UNIT!D9"")"),"#N/A")</f>
        <v>#N/A</v>
      </c>
      <c r="H13302" s="4" t="str">
        <v/>
      </c>
      <c r="I13302" s="4" t="str">
        <v/>
      </c>
    </row>
    <row r="13303" spans="5:9" ht="16.5" hidden="1">
      <c r="E13303" s="4" t="str">
        <v/>
      </c>
      <c r="F13303" s="102" t="str">
        <f ca="1">IFERROR(__xludf.DUMMYFUNCTION("IMPORTRANGE(H13303,""IDENTITAS UNIT!D9"")"),"#N/A")</f>
        <v>#N/A</v>
      </c>
      <c r="H13303" s="4" t="str">
        <v/>
      </c>
      <c r="I13303" s="4" t="str">
        <v/>
      </c>
    </row>
    <row r="13304" spans="5:9" ht="16.5" hidden="1">
      <c r="E13304" s="4" t="str">
        <v/>
      </c>
      <c r="F13304" s="102" t="str">
        <f ca="1">IFERROR(__xludf.DUMMYFUNCTION("IMPORTRANGE(H13304,""IDENTITAS UNIT!D9"")"),"#N/A")</f>
        <v>#N/A</v>
      </c>
      <c r="H13304" s="4" t="str">
        <v/>
      </c>
      <c r="I13304" s="4" t="str">
        <v/>
      </c>
    </row>
    <row r="13305" spans="5:9" ht="16.5" hidden="1">
      <c r="E13305" s="4" t="str">
        <v/>
      </c>
      <c r="F13305" s="102" t="str">
        <f ca="1">IFERROR(__xludf.DUMMYFUNCTION("IMPORTRANGE(H13305,""IDENTITAS UNIT!D9"")"),"#N/A")</f>
        <v>#N/A</v>
      </c>
      <c r="H13305" s="4" t="str">
        <v/>
      </c>
      <c r="I13305" s="4" t="str">
        <v/>
      </c>
    </row>
    <row r="13306" spans="5:9" ht="16.5" hidden="1">
      <c r="E13306" s="4" t="str">
        <v/>
      </c>
      <c r="F13306" s="102" t="str">
        <f ca="1">IFERROR(__xludf.DUMMYFUNCTION("IMPORTRANGE(H13306,""IDENTITAS UNIT!D9"")"),"#N/A")</f>
        <v>#N/A</v>
      </c>
      <c r="H13306" s="4" t="str">
        <v/>
      </c>
      <c r="I13306" s="4" t="str">
        <v/>
      </c>
    </row>
    <row r="13307" spans="5:9" ht="16.5" hidden="1">
      <c r="E13307" s="4" t="str">
        <v/>
      </c>
      <c r="F13307" s="102" t="str">
        <f ca="1">IFERROR(__xludf.DUMMYFUNCTION("IMPORTRANGE(H13307,""IDENTITAS UNIT!D9"")"),"#N/A")</f>
        <v>#N/A</v>
      </c>
      <c r="H13307" s="4" t="str">
        <v/>
      </c>
      <c r="I13307" s="4" t="str">
        <v/>
      </c>
    </row>
    <row r="13308" spans="5:9" ht="16.5" hidden="1">
      <c r="E13308" s="4" t="str">
        <v/>
      </c>
      <c r="F13308" s="102" t="str">
        <f ca="1">IFERROR(__xludf.DUMMYFUNCTION("IMPORTRANGE(H13308,""IDENTITAS UNIT!D9"")"),"#N/A")</f>
        <v>#N/A</v>
      </c>
      <c r="H13308" s="4" t="str">
        <v/>
      </c>
      <c r="I13308" s="4" t="str">
        <v/>
      </c>
    </row>
    <row r="13309" spans="5:9" ht="16.5" hidden="1">
      <c r="E13309" s="4" t="str">
        <v/>
      </c>
      <c r="F13309" s="102" t="str">
        <f ca="1">IFERROR(__xludf.DUMMYFUNCTION("IMPORTRANGE(H13309,""IDENTITAS UNIT!D9"")"),"#N/A")</f>
        <v>#N/A</v>
      </c>
      <c r="H13309" s="4" t="str">
        <v/>
      </c>
      <c r="I13309" s="4" t="str">
        <v/>
      </c>
    </row>
    <row r="13310" spans="5:9" ht="16.5" hidden="1">
      <c r="E13310" s="4" t="str">
        <v/>
      </c>
      <c r="F13310" s="102" t="str">
        <f ca="1">IFERROR(__xludf.DUMMYFUNCTION("IMPORTRANGE(H13310,""IDENTITAS UNIT!D9"")"),"#N/A")</f>
        <v>#N/A</v>
      </c>
      <c r="H13310" s="4" t="str">
        <v/>
      </c>
      <c r="I13310" s="4" t="str">
        <v/>
      </c>
    </row>
    <row r="13311" spans="5:9" ht="16.5" hidden="1">
      <c r="E13311" s="4" t="str">
        <v/>
      </c>
      <c r="F13311" s="102" t="str">
        <f ca="1">IFERROR(__xludf.DUMMYFUNCTION("IMPORTRANGE(H13311,""IDENTITAS UNIT!D9"")"),"#N/A")</f>
        <v>#N/A</v>
      </c>
      <c r="H13311" s="4" t="str">
        <v/>
      </c>
      <c r="I13311" s="4" t="str">
        <v/>
      </c>
    </row>
    <row r="13312" spans="5:9" ht="16.5" hidden="1">
      <c r="E13312" s="4" t="str">
        <v/>
      </c>
      <c r="F13312" s="102" t="str">
        <f ca="1">IFERROR(__xludf.DUMMYFUNCTION("IMPORTRANGE(H13312,""IDENTITAS UNIT!D9"")"),"#N/A")</f>
        <v>#N/A</v>
      </c>
      <c r="H13312" s="4" t="str">
        <v/>
      </c>
      <c r="I13312" s="4" t="str">
        <v/>
      </c>
    </row>
    <row r="13313" spans="5:9" ht="16.5" hidden="1">
      <c r="E13313" s="4" t="str">
        <v/>
      </c>
      <c r="F13313" s="102" t="str">
        <f ca="1">IFERROR(__xludf.DUMMYFUNCTION("IMPORTRANGE(H13313,""IDENTITAS UNIT!D9"")"),"#N/A")</f>
        <v>#N/A</v>
      </c>
      <c r="H13313" s="4" t="str">
        <v/>
      </c>
      <c r="I13313" s="4" t="str">
        <v/>
      </c>
    </row>
    <row r="13314" spans="5:9" ht="16.5" hidden="1">
      <c r="E13314" s="4" t="str">
        <v/>
      </c>
      <c r="F13314" s="102" t="str">
        <f ca="1">IFERROR(__xludf.DUMMYFUNCTION("IMPORTRANGE(H13314,""IDENTITAS UNIT!D9"")"),"#N/A")</f>
        <v>#N/A</v>
      </c>
      <c r="H13314" s="4" t="str">
        <v/>
      </c>
      <c r="I13314" s="4" t="str">
        <v/>
      </c>
    </row>
    <row r="13315" spans="5:9" ht="16.5" hidden="1">
      <c r="E13315" s="4" t="str">
        <v/>
      </c>
      <c r="F13315" s="102" t="str">
        <f ca="1">IFERROR(__xludf.DUMMYFUNCTION("IMPORTRANGE(H13315,""IDENTITAS UNIT!D9"")"),"#N/A")</f>
        <v>#N/A</v>
      </c>
      <c r="H13315" s="4" t="str">
        <v/>
      </c>
      <c r="I13315" s="4" t="str">
        <v/>
      </c>
    </row>
    <row r="13316" spans="5:9" ht="16.5" hidden="1">
      <c r="E13316" s="4" t="str">
        <v/>
      </c>
      <c r="F13316" s="102" t="str">
        <f ca="1">IFERROR(__xludf.DUMMYFUNCTION("IMPORTRANGE(H13316,""IDENTITAS UNIT!D9"")"),"#N/A")</f>
        <v>#N/A</v>
      </c>
      <c r="H13316" s="4" t="str">
        <v/>
      </c>
      <c r="I13316" s="4" t="str">
        <v/>
      </c>
    </row>
    <row r="13317" spans="5:9" ht="16.5" hidden="1">
      <c r="E13317" s="4" t="str">
        <v/>
      </c>
      <c r="F13317" s="102" t="str">
        <f ca="1">IFERROR(__xludf.DUMMYFUNCTION("IMPORTRANGE(H13317,""IDENTITAS UNIT!D9"")"),"#N/A")</f>
        <v>#N/A</v>
      </c>
      <c r="H13317" s="4" t="str">
        <v/>
      </c>
      <c r="I13317" s="4" t="str">
        <v/>
      </c>
    </row>
    <row r="13318" spans="5:9" ht="16.5" hidden="1">
      <c r="E13318" s="4" t="str">
        <v/>
      </c>
      <c r="F13318" s="102" t="str">
        <f ca="1">IFERROR(__xludf.DUMMYFUNCTION("IMPORTRANGE(H13318,""IDENTITAS UNIT!D9"")"),"#N/A")</f>
        <v>#N/A</v>
      </c>
      <c r="H13318" s="4" t="str">
        <v/>
      </c>
      <c r="I13318" s="4" t="str">
        <v/>
      </c>
    </row>
    <row r="13319" spans="5:9" ht="16.5" hidden="1">
      <c r="E13319" s="4" t="str">
        <v/>
      </c>
      <c r="F13319" s="102" t="str">
        <f ca="1">IFERROR(__xludf.DUMMYFUNCTION("IMPORTRANGE(H13319,""IDENTITAS UNIT!D9"")"),"#N/A")</f>
        <v>#N/A</v>
      </c>
      <c r="H13319" s="4" t="str">
        <v/>
      </c>
      <c r="I13319" s="4" t="str">
        <v/>
      </c>
    </row>
    <row r="13320" spans="5:9" ht="16.5" hidden="1">
      <c r="E13320" s="4" t="str">
        <v/>
      </c>
      <c r="F13320" s="102" t="str">
        <f ca="1">IFERROR(__xludf.DUMMYFUNCTION("IMPORTRANGE(H13320,""IDENTITAS UNIT!D9"")"),"#N/A")</f>
        <v>#N/A</v>
      </c>
      <c r="H13320" s="4" t="str">
        <v/>
      </c>
      <c r="I13320" s="4" t="str">
        <v/>
      </c>
    </row>
    <row r="13321" spans="5:9" ht="16.5" hidden="1">
      <c r="E13321" s="4" t="str">
        <v/>
      </c>
      <c r="F13321" s="102" t="str">
        <f ca="1">IFERROR(__xludf.DUMMYFUNCTION("IMPORTRANGE(H13321,""IDENTITAS UNIT!D9"")"),"#N/A")</f>
        <v>#N/A</v>
      </c>
      <c r="H13321" s="4" t="str">
        <v/>
      </c>
      <c r="I13321" s="4" t="str">
        <v/>
      </c>
    </row>
    <row r="13322" spans="5:9" ht="16.5" hidden="1">
      <c r="E13322" s="4" t="str">
        <v/>
      </c>
      <c r="F13322" s="102" t="str">
        <f ca="1">IFERROR(__xludf.DUMMYFUNCTION("IMPORTRANGE(H13322,""IDENTITAS UNIT!D9"")"),"#N/A")</f>
        <v>#N/A</v>
      </c>
      <c r="H13322" s="4" t="str">
        <v/>
      </c>
      <c r="I13322" s="4" t="str">
        <v/>
      </c>
    </row>
    <row r="13323" spans="5:9" ht="16.5" hidden="1">
      <c r="E13323" s="4" t="str">
        <v/>
      </c>
      <c r="F13323" s="102" t="str">
        <f ca="1">IFERROR(__xludf.DUMMYFUNCTION("IMPORTRANGE(H13323,""IDENTITAS UNIT!D9"")"),"#N/A")</f>
        <v>#N/A</v>
      </c>
      <c r="H13323" s="4" t="str">
        <v/>
      </c>
      <c r="I13323" s="4" t="str">
        <v/>
      </c>
    </row>
    <row r="13324" spans="5:9" ht="16.5" hidden="1">
      <c r="E13324" s="4" t="str">
        <v/>
      </c>
      <c r="F13324" s="102" t="str">
        <f ca="1">IFERROR(__xludf.DUMMYFUNCTION("IMPORTRANGE(H13324,""IDENTITAS UNIT!D9"")"),"#N/A")</f>
        <v>#N/A</v>
      </c>
      <c r="H13324" s="4" t="str">
        <v/>
      </c>
      <c r="I13324" s="4" t="str">
        <v/>
      </c>
    </row>
    <row r="13325" spans="5:9" ht="16.5" hidden="1">
      <c r="E13325" s="4" t="str">
        <v/>
      </c>
      <c r="F13325" s="102" t="str">
        <f ca="1">IFERROR(__xludf.DUMMYFUNCTION("IMPORTRANGE(H13325,""IDENTITAS UNIT!D9"")"),"#N/A")</f>
        <v>#N/A</v>
      </c>
      <c r="H13325" s="4" t="str">
        <v/>
      </c>
      <c r="I13325" s="4" t="str">
        <v/>
      </c>
    </row>
    <row r="13326" spans="5:9" ht="16.5" hidden="1">
      <c r="E13326" s="4" t="str">
        <v/>
      </c>
      <c r="F13326" s="102" t="str">
        <f ca="1">IFERROR(__xludf.DUMMYFUNCTION("IMPORTRANGE(H13326,""IDENTITAS UNIT!D9"")"),"#N/A")</f>
        <v>#N/A</v>
      </c>
      <c r="H13326" s="4" t="str">
        <v/>
      </c>
      <c r="I13326" s="4" t="str">
        <v/>
      </c>
    </row>
    <row r="13327" spans="5:9" ht="16.5" hidden="1">
      <c r="E13327" s="4" t="str">
        <v/>
      </c>
      <c r="F13327" s="102" t="str">
        <f ca="1">IFERROR(__xludf.DUMMYFUNCTION("IMPORTRANGE(H13327,""IDENTITAS UNIT!D9"")"),"#N/A")</f>
        <v>#N/A</v>
      </c>
      <c r="H13327" s="4" t="str">
        <v/>
      </c>
      <c r="I13327" s="4" t="str">
        <v/>
      </c>
    </row>
    <row r="13328" spans="5:9" ht="16.5" hidden="1">
      <c r="E13328" s="4" t="str">
        <v/>
      </c>
      <c r="F13328" s="102" t="str">
        <f ca="1">IFERROR(__xludf.DUMMYFUNCTION("IMPORTRANGE(H13328,""IDENTITAS UNIT!D9"")"),"#N/A")</f>
        <v>#N/A</v>
      </c>
      <c r="H13328" s="4" t="str">
        <v/>
      </c>
      <c r="I13328" s="4" t="str">
        <v/>
      </c>
    </row>
    <row r="13329" spans="5:9" ht="16.5" hidden="1">
      <c r="E13329" s="4" t="str">
        <v/>
      </c>
      <c r="F13329" s="102" t="str">
        <f ca="1">IFERROR(__xludf.DUMMYFUNCTION("IMPORTRANGE(H13329,""IDENTITAS UNIT!D9"")"),"#N/A")</f>
        <v>#N/A</v>
      </c>
      <c r="H13329" s="4" t="str">
        <v/>
      </c>
      <c r="I13329" s="4" t="str">
        <v/>
      </c>
    </row>
    <row r="13330" spans="5:9" ht="16.5" hidden="1">
      <c r="E13330" s="4" t="str">
        <v/>
      </c>
      <c r="F13330" s="102" t="str">
        <f ca="1">IFERROR(__xludf.DUMMYFUNCTION("IMPORTRANGE(H13330,""IDENTITAS UNIT!D9"")"),"#N/A")</f>
        <v>#N/A</v>
      </c>
      <c r="H13330" s="4" t="str">
        <v/>
      </c>
      <c r="I13330" s="4" t="str">
        <v/>
      </c>
    </row>
    <row r="13331" spans="5:9" ht="16.5" hidden="1">
      <c r="E13331" s="4" t="str">
        <v/>
      </c>
      <c r="F13331" s="102" t="str">
        <f ca="1">IFERROR(__xludf.DUMMYFUNCTION("IMPORTRANGE(H13331,""IDENTITAS UNIT!D9"")"),"#N/A")</f>
        <v>#N/A</v>
      </c>
      <c r="H13331" s="4" t="str">
        <v/>
      </c>
      <c r="I13331" s="4" t="str">
        <v/>
      </c>
    </row>
    <row r="13332" spans="5:9" ht="16.5" hidden="1">
      <c r="E13332" s="4" t="str">
        <v/>
      </c>
      <c r="F13332" s="102" t="str">
        <f ca="1">IFERROR(__xludf.DUMMYFUNCTION("IMPORTRANGE(H13332,""IDENTITAS UNIT!D9"")"),"#N/A")</f>
        <v>#N/A</v>
      </c>
      <c r="H13332" s="4" t="str">
        <v/>
      </c>
      <c r="I13332" s="4" t="str">
        <v/>
      </c>
    </row>
    <row r="13333" spans="5:9" ht="16.5" hidden="1">
      <c r="E13333" s="4" t="str">
        <v/>
      </c>
      <c r="F13333" s="102" t="str">
        <f ca="1">IFERROR(__xludf.DUMMYFUNCTION("IMPORTRANGE(H13333,""IDENTITAS UNIT!D9"")"),"#N/A")</f>
        <v>#N/A</v>
      </c>
      <c r="H13333" s="4" t="str">
        <v/>
      </c>
      <c r="I13333" s="4" t="str">
        <v/>
      </c>
    </row>
    <row r="13334" spans="5:9" ht="16.5" hidden="1">
      <c r="E13334" s="4" t="str">
        <v/>
      </c>
      <c r="F13334" s="102" t="str">
        <f ca="1">IFERROR(__xludf.DUMMYFUNCTION("IMPORTRANGE(H13334,""IDENTITAS UNIT!D9"")"),"#N/A")</f>
        <v>#N/A</v>
      </c>
      <c r="H13334" s="4" t="str">
        <v/>
      </c>
      <c r="I13334" s="4" t="str">
        <v/>
      </c>
    </row>
    <row r="13335" spans="5:9" ht="16.5" hidden="1">
      <c r="E13335" s="4" t="str">
        <v/>
      </c>
      <c r="F13335" s="102" t="str">
        <f ca="1">IFERROR(__xludf.DUMMYFUNCTION("IMPORTRANGE(H13335,""IDENTITAS UNIT!D9"")"),"#N/A")</f>
        <v>#N/A</v>
      </c>
      <c r="H13335" s="4" t="str">
        <v/>
      </c>
      <c r="I13335" s="4" t="str">
        <v/>
      </c>
    </row>
    <row r="13336" spans="5:9" ht="16.5" hidden="1">
      <c r="E13336" s="4" t="str">
        <v/>
      </c>
      <c r="F13336" s="102" t="str">
        <f ca="1">IFERROR(__xludf.DUMMYFUNCTION("IMPORTRANGE(H13336,""IDENTITAS UNIT!D9"")"),"#N/A")</f>
        <v>#N/A</v>
      </c>
      <c r="H13336" s="4" t="str">
        <v/>
      </c>
      <c r="I13336" s="4" t="str">
        <v/>
      </c>
    </row>
    <row r="13337" spans="5:9" ht="16.5" hidden="1">
      <c r="E13337" s="4" t="str">
        <v/>
      </c>
      <c r="F13337" s="102" t="str">
        <f ca="1">IFERROR(__xludf.DUMMYFUNCTION("IMPORTRANGE(H13337,""IDENTITAS UNIT!D9"")"),"#N/A")</f>
        <v>#N/A</v>
      </c>
      <c r="H13337" s="4" t="str">
        <v/>
      </c>
      <c r="I13337" s="4" t="str">
        <v/>
      </c>
    </row>
    <row r="13338" spans="5:9" ht="16.5" hidden="1">
      <c r="E13338" s="4" t="str">
        <v/>
      </c>
      <c r="F13338" s="102" t="str">
        <f ca="1">IFERROR(__xludf.DUMMYFUNCTION("IMPORTRANGE(H13338,""IDENTITAS UNIT!D9"")"),"#N/A")</f>
        <v>#N/A</v>
      </c>
      <c r="H13338" s="4" t="str">
        <v/>
      </c>
      <c r="I13338" s="4" t="str">
        <v/>
      </c>
    </row>
    <row r="13339" spans="5:9" ht="16.5" hidden="1">
      <c r="E13339" s="4" t="str">
        <v/>
      </c>
      <c r="F13339" s="102" t="str">
        <f ca="1">IFERROR(__xludf.DUMMYFUNCTION("IMPORTRANGE(H13339,""IDENTITAS UNIT!D9"")"),"#N/A")</f>
        <v>#N/A</v>
      </c>
      <c r="H13339" s="4" t="str">
        <v/>
      </c>
      <c r="I13339" s="4" t="str">
        <v/>
      </c>
    </row>
    <row r="13340" spans="5:9" ht="16.5" hidden="1">
      <c r="E13340" s="4" t="str">
        <v/>
      </c>
      <c r="F13340" s="102" t="str">
        <f ca="1">IFERROR(__xludf.DUMMYFUNCTION("IMPORTRANGE(H13340,""IDENTITAS UNIT!D9"")"),"#N/A")</f>
        <v>#N/A</v>
      </c>
      <c r="H13340" s="4" t="str">
        <v/>
      </c>
      <c r="I13340" s="4" t="str">
        <v/>
      </c>
    </row>
    <row r="13341" spans="5:9" ht="16.5" hidden="1">
      <c r="E13341" s="4" t="str">
        <v/>
      </c>
      <c r="F13341" s="102" t="str">
        <f ca="1">IFERROR(__xludf.DUMMYFUNCTION("IMPORTRANGE(H13341,""IDENTITAS UNIT!D9"")"),"#N/A")</f>
        <v>#N/A</v>
      </c>
      <c r="H13341" s="4" t="str">
        <v/>
      </c>
      <c r="I13341" s="4" t="str">
        <v/>
      </c>
    </row>
    <row r="13342" spans="5:9" ht="16.5" hidden="1">
      <c r="E13342" s="4" t="str">
        <v/>
      </c>
      <c r="F13342" s="102" t="str">
        <f ca="1">IFERROR(__xludf.DUMMYFUNCTION("IMPORTRANGE(H13342,""IDENTITAS UNIT!D9"")"),"#N/A")</f>
        <v>#N/A</v>
      </c>
      <c r="H13342" s="4" t="str">
        <v/>
      </c>
      <c r="I13342" s="4" t="str">
        <v/>
      </c>
    </row>
    <row r="13343" spans="5:9" ht="16.5" hidden="1">
      <c r="E13343" s="4" t="str">
        <v/>
      </c>
      <c r="F13343" s="102" t="str">
        <f ca="1">IFERROR(__xludf.DUMMYFUNCTION("IMPORTRANGE(H13343,""IDENTITAS UNIT!D9"")"),"#N/A")</f>
        <v>#N/A</v>
      </c>
      <c r="H13343" s="4" t="str">
        <v/>
      </c>
      <c r="I13343" s="4" t="str">
        <v/>
      </c>
    </row>
    <row r="13344" spans="5:9" ht="16.5" hidden="1">
      <c r="E13344" s="4" t="str">
        <v/>
      </c>
      <c r="F13344" s="102" t="str">
        <f ca="1">IFERROR(__xludf.DUMMYFUNCTION("IMPORTRANGE(H13344,""IDENTITAS UNIT!D9"")"),"#N/A")</f>
        <v>#N/A</v>
      </c>
      <c r="H13344" s="4" t="str">
        <v/>
      </c>
      <c r="I13344" s="4" t="str">
        <v/>
      </c>
    </row>
    <row r="13345" spans="5:9" ht="16.5" hidden="1">
      <c r="E13345" s="4" t="str">
        <v/>
      </c>
      <c r="F13345" s="102" t="str">
        <f ca="1">IFERROR(__xludf.DUMMYFUNCTION("IMPORTRANGE(H13345,""IDENTITAS UNIT!D9"")"),"#N/A")</f>
        <v>#N/A</v>
      </c>
      <c r="H13345" s="4" t="str">
        <v/>
      </c>
      <c r="I13345" s="4" t="str">
        <v/>
      </c>
    </row>
    <row r="13346" spans="5:9" ht="16.5" hidden="1">
      <c r="E13346" s="4" t="str">
        <v/>
      </c>
      <c r="F13346" s="102" t="str">
        <f ca="1">IFERROR(__xludf.DUMMYFUNCTION("IMPORTRANGE(H13346,""IDENTITAS UNIT!D9"")"),"#N/A")</f>
        <v>#N/A</v>
      </c>
      <c r="H13346" s="4" t="str">
        <v/>
      </c>
      <c r="I13346" s="4" t="str">
        <v/>
      </c>
    </row>
    <row r="13347" spans="5:9" ht="16.5" hidden="1">
      <c r="E13347" s="4" t="str">
        <v/>
      </c>
      <c r="F13347" s="102" t="str">
        <f ca="1">IFERROR(__xludf.DUMMYFUNCTION("IMPORTRANGE(H13347,""IDENTITAS UNIT!D9"")"),"#N/A")</f>
        <v>#N/A</v>
      </c>
      <c r="H13347" s="4" t="str">
        <v/>
      </c>
      <c r="I13347" s="4" t="str">
        <v/>
      </c>
    </row>
    <row r="13348" spans="5:9" ht="16.5" hidden="1">
      <c r="E13348" s="4" t="str">
        <v/>
      </c>
      <c r="F13348" s="102" t="str">
        <f ca="1">IFERROR(__xludf.DUMMYFUNCTION("IMPORTRANGE(H13348,""IDENTITAS UNIT!D9"")"),"#N/A")</f>
        <v>#N/A</v>
      </c>
      <c r="H13348" s="4" t="str">
        <v/>
      </c>
      <c r="I13348" s="4" t="str">
        <v/>
      </c>
    </row>
    <row r="13349" spans="5:9" ht="16.5" hidden="1">
      <c r="E13349" s="4" t="str">
        <v/>
      </c>
      <c r="F13349" s="102" t="str">
        <f ca="1">IFERROR(__xludf.DUMMYFUNCTION("IMPORTRANGE(H13349,""IDENTITAS UNIT!D9"")"),"#N/A")</f>
        <v>#N/A</v>
      </c>
      <c r="H13349" s="4" t="str">
        <v/>
      </c>
      <c r="I13349" s="4" t="str">
        <v/>
      </c>
    </row>
    <row r="13350" spans="5:9" ht="16.5" hidden="1">
      <c r="E13350" s="4" t="str">
        <v/>
      </c>
      <c r="F13350" s="102" t="str">
        <f ca="1">IFERROR(__xludf.DUMMYFUNCTION("IMPORTRANGE(H13350,""IDENTITAS UNIT!D9"")"),"#N/A")</f>
        <v>#N/A</v>
      </c>
      <c r="H13350" s="4" t="str">
        <v/>
      </c>
      <c r="I13350" s="4" t="str">
        <v/>
      </c>
    </row>
    <row r="13351" spans="5:9" ht="16.5" hidden="1">
      <c r="E13351" s="4" t="str">
        <v/>
      </c>
      <c r="F13351" s="102" t="str">
        <f ca="1">IFERROR(__xludf.DUMMYFUNCTION("IMPORTRANGE(H13351,""IDENTITAS UNIT!D9"")"),"#N/A")</f>
        <v>#N/A</v>
      </c>
      <c r="H13351" s="4" t="str">
        <v/>
      </c>
      <c r="I13351" s="4" t="str">
        <v/>
      </c>
    </row>
    <row r="13352" spans="5:9" ht="16.5" hidden="1">
      <c r="E13352" s="4" t="str">
        <v/>
      </c>
      <c r="F13352" s="102" t="str">
        <f ca="1">IFERROR(__xludf.DUMMYFUNCTION("IMPORTRANGE(H13352,""IDENTITAS UNIT!D9"")"),"#N/A")</f>
        <v>#N/A</v>
      </c>
      <c r="H13352" s="4" t="str">
        <v/>
      </c>
      <c r="I13352" s="4" t="str">
        <v/>
      </c>
    </row>
    <row r="13353" spans="5:9" ht="16.5" hidden="1">
      <c r="E13353" s="4" t="str">
        <v/>
      </c>
      <c r="F13353" s="102" t="str">
        <f ca="1">IFERROR(__xludf.DUMMYFUNCTION("IMPORTRANGE(H13353,""IDENTITAS UNIT!D9"")"),"#N/A")</f>
        <v>#N/A</v>
      </c>
      <c r="H13353" s="4" t="str">
        <v/>
      </c>
      <c r="I13353" s="4" t="str">
        <v/>
      </c>
    </row>
    <row r="13354" spans="5:9" ht="16.5" hidden="1">
      <c r="E13354" s="4" t="str">
        <v/>
      </c>
      <c r="F13354" s="102" t="str">
        <f ca="1">IFERROR(__xludf.DUMMYFUNCTION("IMPORTRANGE(H13354,""IDENTITAS UNIT!D9"")"),"#N/A")</f>
        <v>#N/A</v>
      </c>
      <c r="H13354" s="4" t="str">
        <v/>
      </c>
      <c r="I13354" s="4" t="str">
        <v/>
      </c>
    </row>
    <row r="13355" spans="5:9" ht="16.5" hidden="1">
      <c r="E13355" s="4" t="str">
        <v/>
      </c>
      <c r="F13355" s="102" t="str">
        <f ca="1">IFERROR(__xludf.DUMMYFUNCTION("IMPORTRANGE(H13355,""IDENTITAS UNIT!D9"")"),"#N/A")</f>
        <v>#N/A</v>
      </c>
      <c r="H13355" s="4" t="str">
        <v/>
      </c>
      <c r="I13355" s="4" t="str">
        <v/>
      </c>
    </row>
    <row r="13356" spans="5:9" ht="16.5" hidden="1">
      <c r="E13356" s="4" t="str">
        <v/>
      </c>
      <c r="F13356" s="102" t="str">
        <f ca="1">IFERROR(__xludf.DUMMYFUNCTION("IMPORTRANGE(H13356,""IDENTITAS UNIT!D9"")"),"#N/A")</f>
        <v>#N/A</v>
      </c>
      <c r="H13356" s="4" t="str">
        <v/>
      </c>
      <c r="I13356" s="4" t="str">
        <v/>
      </c>
    </row>
    <row r="13357" spans="5:9" ht="16.5" hidden="1">
      <c r="E13357" s="4" t="str">
        <v/>
      </c>
      <c r="F13357" s="102" t="str">
        <f ca="1">IFERROR(__xludf.DUMMYFUNCTION("IMPORTRANGE(H13357,""IDENTITAS UNIT!D9"")"),"#N/A")</f>
        <v>#N/A</v>
      </c>
      <c r="H13357" s="4" t="str">
        <v/>
      </c>
      <c r="I13357" s="4" t="str">
        <v/>
      </c>
    </row>
    <row r="13358" spans="5:9" ht="16.5" hidden="1">
      <c r="E13358" s="4" t="str">
        <v/>
      </c>
      <c r="F13358" s="102" t="str">
        <f ca="1">IFERROR(__xludf.DUMMYFUNCTION("IMPORTRANGE(H13358,""IDENTITAS UNIT!D9"")"),"#N/A")</f>
        <v>#N/A</v>
      </c>
      <c r="H13358" s="4" t="str">
        <v/>
      </c>
      <c r="I13358" s="4" t="str">
        <v/>
      </c>
    </row>
    <row r="13359" spans="5:9" ht="16.5" hidden="1">
      <c r="E13359" s="4" t="str">
        <v/>
      </c>
      <c r="F13359" s="102" t="str">
        <f ca="1">IFERROR(__xludf.DUMMYFUNCTION("IMPORTRANGE(H13359,""IDENTITAS UNIT!D9"")"),"#N/A")</f>
        <v>#N/A</v>
      </c>
      <c r="H13359" s="4" t="str">
        <v/>
      </c>
      <c r="I13359" s="4" t="str">
        <v/>
      </c>
    </row>
    <row r="13360" spans="5:9" ht="16.5" hidden="1">
      <c r="E13360" s="4" t="str">
        <v/>
      </c>
      <c r="F13360" s="102" t="str">
        <f ca="1">IFERROR(__xludf.DUMMYFUNCTION("IMPORTRANGE(H13360,""IDENTITAS UNIT!D9"")"),"#N/A")</f>
        <v>#N/A</v>
      </c>
      <c r="H13360" s="4" t="str">
        <v/>
      </c>
      <c r="I13360" s="4" t="str">
        <v/>
      </c>
    </row>
    <row r="13361" spans="5:9" ht="16.5" hidden="1">
      <c r="E13361" s="4" t="str">
        <v/>
      </c>
      <c r="F13361" s="102" t="str">
        <f ca="1">IFERROR(__xludf.DUMMYFUNCTION("IMPORTRANGE(H13361,""IDENTITAS UNIT!D9"")"),"#N/A")</f>
        <v>#N/A</v>
      </c>
      <c r="H13361" s="4" t="str">
        <v/>
      </c>
      <c r="I13361" s="4" t="str">
        <v/>
      </c>
    </row>
    <row r="13362" spans="5:9" ht="16.5" hidden="1">
      <c r="E13362" s="4" t="str">
        <v/>
      </c>
      <c r="F13362" s="102" t="str">
        <f ca="1">IFERROR(__xludf.DUMMYFUNCTION("IMPORTRANGE(H13362,""IDENTITAS UNIT!D9"")"),"#N/A")</f>
        <v>#N/A</v>
      </c>
      <c r="H13362" s="4" t="str">
        <v/>
      </c>
      <c r="I13362" s="4" t="str">
        <v/>
      </c>
    </row>
    <row r="13363" spans="5:9" ht="16.5" hidden="1">
      <c r="E13363" s="4" t="str">
        <v/>
      </c>
      <c r="F13363" s="102" t="str">
        <f ca="1">IFERROR(__xludf.DUMMYFUNCTION("IMPORTRANGE(H13363,""IDENTITAS UNIT!D9"")"),"#N/A")</f>
        <v>#N/A</v>
      </c>
      <c r="H13363" s="4" t="str">
        <v/>
      </c>
      <c r="I13363" s="4" t="str">
        <v/>
      </c>
    </row>
    <row r="13364" spans="5:9" ht="16.5" hidden="1">
      <c r="E13364" s="4" t="str">
        <v/>
      </c>
      <c r="F13364" s="102" t="str">
        <f ca="1">IFERROR(__xludf.DUMMYFUNCTION("IMPORTRANGE(H13364,""IDENTITAS UNIT!D9"")"),"#N/A")</f>
        <v>#N/A</v>
      </c>
      <c r="H13364" s="4" t="str">
        <v/>
      </c>
      <c r="I13364" s="4" t="str">
        <v/>
      </c>
    </row>
    <row r="13365" spans="5:9" ht="16.5" hidden="1">
      <c r="E13365" s="4" t="str">
        <v/>
      </c>
      <c r="F13365" s="102" t="str">
        <f ca="1">IFERROR(__xludf.DUMMYFUNCTION("IMPORTRANGE(H13365,""IDENTITAS UNIT!D9"")"),"#N/A")</f>
        <v>#N/A</v>
      </c>
      <c r="H13365" s="4" t="str">
        <v/>
      </c>
      <c r="I13365" s="4" t="str">
        <v/>
      </c>
    </row>
    <row r="13366" spans="5:9" ht="16.5" hidden="1">
      <c r="E13366" s="4" t="str">
        <v/>
      </c>
      <c r="F13366" s="102" t="str">
        <f ca="1">IFERROR(__xludf.DUMMYFUNCTION("IMPORTRANGE(H13366,""IDENTITAS UNIT!D9"")"),"#N/A")</f>
        <v>#N/A</v>
      </c>
      <c r="H13366" s="4" t="str">
        <v/>
      </c>
      <c r="I13366" s="4" t="str">
        <v/>
      </c>
    </row>
    <row r="13367" spans="5:9" ht="16.5" hidden="1">
      <c r="E13367" s="4" t="str">
        <v/>
      </c>
      <c r="F13367" s="102" t="str">
        <f ca="1">IFERROR(__xludf.DUMMYFUNCTION("IMPORTRANGE(H13367,""IDENTITAS UNIT!D9"")"),"#N/A")</f>
        <v>#N/A</v>
      </c>
      <c r="H13367" s="4" t="str">
        <v/>
      </c>
      <c r="I13367" s="4" t="str">
        <v/>
      </c>
    </row>
    <row r="13368" spans="5:9" ht="16.5" hidden="1">
      <c r="E13368" s="4" t="str">
        <v/>
      </c>
      <c r="F13368" s="102" t="str">
        <f ca="1">IFERROR(__xludf.DUMMYFUNCTION("IMPORTRANGE(H13368,""IDENTITAS UNIT!D9"")"),"#N/A")</f>
        <v>#N/A</v>
      </c>
      <c r="H13368" s="4" t="str">
        <v/>
      </c>
      <c r="I13368" s="4" t="str">
        <v/>
      </c>
    </row>
    <row r="13369" spans="5:9" ht="16.5" hidden="1">
      <c r="E13369" s="4" t="str">
        <v/>
      </c>
      <c r="F13369" s="102" t="str">
        <f ca="1">IFERROR(__xludf.DUMMYFUNCTION("IMPORTRANGE(H13369,""IDENTITAS UNIT!D9"")"),"#N/A")</f>
        <v>#N/A</v>
      </c>
      <c r="H13369" s="4" t="str">
        <v/>
      </c>
      <c r="I13369" s="4" t="str">
        <v/>
      </c>
    </row>
    <row r="13370" spans="5:9" ht="16.5" hidden="1">
      <c r="E13370" s="4" t="str">
        <v/>
      </c>
      <c r="F13370" s="102" t="str">
        <f ca="1">IFERROR(__xludf.DUMMYFUNCTION("IMPORTRANGE(H13370,""IDENTITAS UNIT!D9"")"),"#N/A")</f>
        <v>#N/A</v>
      </c>
      <c r="H13370" s="4" t="str">
        <v/>
      </c>
      <c r="I13370" s="4" t="str">
        <v/>
      </c>
    </row>
    <row r="13371" spans="5:9" ht="16.5" hidden="1">
      <c r="E13371" s="4" t="str">
        <v/>
      </c>
      <c r="F13371" s="102" t="str">
        <f ca="1">IFERROR(__xludf.DUMMYFUNCTION("IMPORTRANGE(H13371,""IDENTITAS UNIT!D9"")"),"#N/A")</f>
        <v>#N/A</v>
      </c>
      <c r="H13371" s="4" t="str">
        <v/>
      </c>
      <c r="I13371" s="4" t="str">
        <v/>
      </c>
    </row>
    <row r="13372" spans="5:9" ht="16.5" hidden="1">
      <c r="E13372" s="4" t="str">
        <v/>
      </c>
      <c r="F13372" s="102" t="str">
        <f ca="1">IFERROR(__xludf.DUMMYFUNCTION("IMPORTRANGE(H13372,""IDENTITAS UNIT!D9"")"),"#N/A")</f>
        <v>#N/A</v>
      </c>
      <c r="H13372" s="4" t="str">
        <v/>
      </c>
      <c r="I13372" s="4" t="str">
        <v/>
      </c>
    </row>
    <row r="13373" spans="5:9" ht="16.5" hidden="1">
      <c r="E13373" s="4" t="str">
        <v/>
      </c>
      <c r="F13373" s="102" t="str">
        <f ca="1">IFERROR(__xludf.DUMMYFUNCTION("IMPORTRANGE(H13373,""IDENTITAS UNIT!D9"")"),"#N/A")</f>
        <v>#N/A</v>
      </c>
      <c r="H13373" s="4" t="str">
        <v/>
      </c>
      <c r="I13373" s="4" t="str">
        <v/>
      </c>
    </row>
    <row r="13374" spans="5:9" ht="16.5" hidden="1">
      <c r="E13374" s="4" t="str">
        <v/>
      </c>
      <c r="F13374" s="102" t="str">
        <f ca="1">IFERROR(__xludf.DUMMYFUNCTION("IMPORTRANGE(H13374,""IDENTITAS UNIT!D9"")"),"#N/A")</f>
        <v>#N/A</v>
      </c>
      <c r="H13374" s="4" t="str">
        <v/>
      </c>
      <c r="I13374" s="4" t="str">
        <v/>
      </c>
    </row>
    <row r="13375" spans="5:9" ht="16.5" hidden="1">
      <c r="E13375" s="4" t="str">
        <v/>
      </c>
      <c r="F13375" s="102" t="str">
        <f ca="1">IFERROR(__xludf.DUMMYFUNCTION("IMPORTRANGE(H13375,""IDENTITAS UNIT!D9"")"),"#N/A")</f>
        <v>#N/A</v>
      </c>
      <c r="H13375" s="4" t="str">
        <v/>
      </c>
      <c r="I13375" s="4" t="str">
        <v/>
      </c>
    </row>
    <row r="13376" spans="5:9" ht="16.5" hidden="1">
      <c r="E13376" s="4" t="str">
        <v/>
      </c>
      <c r="F13376" s="102" t="str">
        <f ca="1">IFERROR(__xludf.DUMMYFUNCTION("IMPORTRANGE(H13376,""IDENTITAS UNIT!D9"")"),"#N/A")</f>
        <v>#N/A</v>
      </c>
      <c r="H13376" s="4" t="str">
        <v/>
      </c>
      <c r="I13376" s="4" t="str">
        <v/>
      </c>
    </row>
    <row r="13377" spans="5:9" ht="16.5" hidden="1">
      <c r="E13377" s="4" t="str">
        <v/>
      </c>
      <c r="F13377" s="102" t="str">
        <f ca="1">IFERROR(__xludf.DUMMYFUNCTION("IMPORTRANGE(H13377,""IDENTITAS UNIT!D9"")"),"#N/A")</f>
        <v>#N/A</v>
      </c>
      <c r="H13377" s="4" t="str">
        <v/>
      </c>
      <c r="I13377" s="4" t="str">
        <v/>
      </c>
    </row>
    <row r="13378" spans="5:9" ht="16.5" hidden="1">
      <c r="E13378" s="4" t="str">
        <v/>
      </c>
      <c r="F13378" s="102" t="str">
        <f ca="1">IFERROR(__xludf.DUMMYFUNCTION("IMPORTRANGE(H13378,""IDENTITAS UNIT!D9"")"),"#N/A")</f>
        <v>#N/A</v>
      </c>
      <c r="H13378" s="4" t="str">
        <v/>
      </c>
      <c r="I13378" s="4" t="str">
        <v/>
      </c>
    </row>
    <row r="13379" spans="5:9" ht="16.5" hidden="1">
      <c r="E13379" s="4" t="str">
        <v/>
      </c>
      <c r="F13379" s="102" t="str">
        <f ca="1">IFERROR(__xludf.DUMMYFUNCTION("IMPORTRANGE(H13379,""IDENTITAS UNIT!D9"")"),"#N/A")</f>
        <v>#N/A</v>
      </c>
      <c r="H13379" s="4" t="str">
        <v/>
      </c>
      <c r="I13379" s="4" t="str">
        <v/>
      </c>
    </row>
    <row r="13380" spans="5:9" ht="16.5" hidden="1">
      <c r="E13380" s="4" t="str">
        <v/>
      </c>
      <c r="F13380" s="102" t="str">
        <f ca="1">IFERROR(__xludf.DUMMYFUNCTION("IMPORTRANGE(H13380,""IDENTITAS UNIT!D9"")"),"#N/A")</f>
        <v>#N/A</v>
      </c>
      <c r="H13380" s="4" t="str">
        <v/>
      </c>
      <c r="I13380" s="4" t="str">
        <v/>
      </c>
    </row>
    <row r="13381" spans="5:9" ht="16.5" hidden="1">
      <c r="E13381" s="4" t="str">
        <v/>
      </c>
      <c r="F13381" s="102" t="str">
        <f ca="1">IFERROR(__xludf.DUMMYFUNCTION("IMPORTRANGE(H13381,""IDENTITAS UNIT!D9"")"),"#N/A")</f>
        <v>#N/A</v>
      </c>
      <c r="H13381" s="4" t="str">
        <v/>
      </c>
      <c r="I13381" s="4" t="str">
        <v/>
      </c>
    </row>
    <row r="13382" spans="5:9" ht="16.5" hidden="1">
      <c r="E13382" s="4" t="str">
        <v/>
      </c>
      <c r="F13382" s="102" t="str">
        <f ca="1">IFERROR(__xludf.DUMMYFUNCTION("IMPORTRANGE(H13382,""IDENTITAS UNIT!D9"")"),"#N/A")</f>
        <v>#N/A</v>
      </c>
      <c r="H13382" s="4" t="str">
        <v/>
      </c>
      <c r="I13382" s="4" t="str">
        <v/>
      </c>
    </row>
    <row r="13383" spans="5:9" ht="16.5" hidden="1">
      <c r="E13383" s="4" t="str">
        <v/>
      </c>
      <c r="F13383" s="102" t="str">
        <f ca="1">IFERROR(__xludf.DUMMYFUNCTION("IMPORTRANGE(H13383,""IDENTITAS UNIT!D9"")"),"#N/A")</f>
        <v>#N/A</v>
      </c>
      <c r="H13383" s="4" t="str">
        <v/>
      </c>
      <c r="I13383" s="4" t="str">
        <v/>
      </c>
    </row>
    <row r="13384" spans="5:9" ht="16.5" hidden="1">
      <c r="E13384" s="4" t="str">
        <v/>
      </c>
      <c r="F13384" s="102" t="str">
        <f ca="1">IFERROR(__xludf.DUMMYFUNCTION("IMPORTRANGE(H13384,""IDENTITAS UNIT!D9"")"),"#N/A")</f>
        <v>#N/A</v>
      </c>
      <c r="H13384" s="4" t="str">
        <v/>
      </c>
      <c r="I13384" s="4" t="str">
        <v/>
      </c>
    </row>
    <row r="13385" spans="5:9" ht="16.5" hidden="1">
      <c r="E13385" s="4" t="str">
        <v/>
      </c>
      <c r="F13385" s="102" t="str">
        <f ca="1">IFERROR(__xludf.DUMMYFUNCTION("IMPORTRANGE(H13385,""IDENTITAS UNIT!D9"")"),"#N/A")</f>
        <v>#N/A</v>
      </c>
      <c r="H13385" s="4" t="str">
        <v/>
      </c>
      <c r="I13385" s="4" t="str">
        <v/>
      </c>
    </row>
    <row r="13386" spans="5:9" ht="16.5" hidden="1">
      <c r="E13386" s="4" t="str">
        <v/>
      </c>
      <c r="F13386" s="102" t="str">
        <f ca="1">IFERROR(__xludf.DUMMYFUNCTION("IMPORTRANGE(H13386,""IDENTITAS UNIT!D9"")"),"#N/A")</f>
        <v>#N/A</v>
      </c>
      <c r="H13386" s="4" t="str">
        <v/>
      </c>
      <c r="I13386" s="4" t="str">
        <v/>
      </c>
    </row>
    <row r="13387" spans="5:9" ht="16.5" hidden="1">
      <c r="E13387" s="4" t="str">
        <v/>
      </c>
      <c r="F13387" s="102" t="str">
        <f ca="1">IFERROR(__xludf.DUMMYFUNCTION("IMPORTRANGE(H13387,""IDENTITAS UNIT!D9"")"),"#N/A")</f>
        <v>#N/A</v>
      </c>
      <c r="H13387" s="4" t="str">
        <v/>
      </c>
      <c r="I13387" s="4" t="str">
        <v/>
      </c>
    </row>
    <row r="13388" spans="5:9" ht="16.5" hidden="1">
      <c r="E13388" s="4" t="str">
        <v/>
      </c>
      <c r="F13388" s="102" t="str">
        <f ca="1">IFERROR(__xludf.DUMMYFUNCTION("IMPORTRANGE(H13388,""IDENTITAS UNIT!D9"")"),"#N/A")</f>
        <v>#N/A</v>
      </c>
      <c r="H13388" s="4" t="str">
        <v/>
      </c>
      <c r="I13388" s="4" t="str">
        <v/>
      </c>
    </row>
    <row r="13389" spans="5:9" ht="16.5" hidden="1">
      <c r="E13389" s="4" t="str">
        <v/>
      </c>
      <c r="F13389" s="102" t="str">
        <f ca="1">IFERROR(__xludf.DUMMYFUNCTION("IMPORTRANGE(H13389,""IDENTITAS UNIT!D9"")"),"#N/A")</f>
        <v>#N/A</v>
      </c>
      <c r="H13389" s="4" t="str">
        <v/>
      </c>
      <c r="I13389" s="4" t="str">
        <v/>
      </c>
    </row>
    <row r="13390" spans="5:9" ht="16.5" hidden="1">
      <c r="E13390" s="4" t="str">
        <v/>
      </c>
      <c r="F13390" s="102" t="str">
        <f ca="1">IFERROR(__xludf.DUMMYFUNCTION("IMPORTRANGE(H13390,""IDENTITAS UNIT!D9"")"),"#N/A")</f>
        <v>#N/A</v>
      </c>
      <c r="H13390" s="4" t="str">
        <v/>
      </c>
      <c r="I13390" s="4" t="str">
        <v/>
      </c>
    </row>
    <row r="13391" spans="5:9" ht="16.5" hidden="1">
      <c r="E13391" s="4" t="str">
        <v/>
      </c>
      <c r="F13391" s="102" t="str">
        <f ca="1">IFERROR(__xludf.DUMMYFUNCTION("IMPORTRANGE(H13391,""IDENTITAS UNIT!D9"")"),"#N/A")</f>
        <v>#N/A</v>
      </c>
      <c r="H13391" s="4" t="str">
        <v/>
      </c>
      <c r="I13391" s="4" t="str">
        <v/>
      </c>
    </row>
    <row r="13392" spans="5:9" ht="16.5" hidden="1">
      <c r="E13392" s="4" t="str">
        <v/>
      </c>
      <c r="F13392" s="102" t="str">
        <f ca="1">IFERROR(__xludf.DUMMYFUNCTION("IMPORTRANGE(H13392,""IDENTITAS UNIT!D9"")"),"#N/A")</f>
        <v>#N/A</v>
      </c>
      <c r="H13392" s="4" t="str">
        <v/>
      </c>
      <c r="I13392" s="4" t="str">
        <v/>
      </c>
    </row>
    <row r="13393" spans="5:9" ht="16.5" hidden="1">
      <c r="E13393" s="4" t="str">
        <v/>
      </c>
      <c r="F13393" s="102" t="str">
        <f ca="1">IFERROR(__xludf.DUMMYFUNCTION("IMPORTRANGE(H13393,""IDENTITAS UNIT!D9"")"),"#N/A")</f>
        <v>#N/A</v>
      </c>
      <c r="H13393" s="4" t="str">
        <v/>
      </c>
      <c r="I13393" s="4" t="str">
        <v/>
      </c>
    </row>
    <row r="13394" spans="5:9" ht="16.5" hidden="1">
      <c r="E13394" s="4" t="str">
        <v/>
      </c>
      <c r="F13394" s="102" t="str">
        <f ca="1">IFERROR(__xludf.DUMMYFUNCTION("IMPORTRANGE(H13394,""IDENTITAS UNIT!D9"")"),"#N/A")</f>
        <v>#N/A</v>
      </c>
      <c r="H13394" s="4" t="str">
        <v/>
      </c>
      <c r="I13394" s="4" t="str">
        <v/>
      </c>
    </row>
    <row r="13395" spans="5:9" ht="16.5" hidden="1">
      <c r="E13395" s="4" t="str">
        <v/>
      </c>
      <c r="F13395" s="102" t="str">
        <f ca="1">IFERROR(__xludf.DUMMYFUNCTION("IMPORTRANGE(H13395,""IDENTITAS UNIT!D9"")"),"#N/A")</f>
        <v>#N/A</v>
      </c>
      <c r="H13395" s="4" t="str">
        <v/>
      </c>
      <c r="I13395" s="4" t="str">
        <v/>
      </c>
    </row>
    <row r="13396" spans="5:9" ht="16.5" hidden="1">
      <c r="E13396" s="4" t="str">
        <v/>
      </c>
      <c r="F13396" s="102" t="str">
        <f ca="1">IFERROR(__xludf.DUMMYFUNCTION("IMPORTRANGE(H13396,""IDENTITAS UNIT!D9"")"),"#N/A")</f>
        <v>#N/A</v>
      </c>
      <c r="H13396" s="4" t="str">
        <v/>
      </c>
      <c r="I13396" s="4" t="str">
        <v/>
      </c>
    </row>
    <row r="13397" spans="5:9" ht="16.5" hidden="1">
      <c r="E13397" s="4" t="str">
        <v/>
      </c>
      <c r="F13397" s="102" t="str">
        <f ca="1">IFERROR(__xludf.DUMMYFUNCTION("IMPORTRANGE(H13397,""IDENTITAS UNIT!D9"")"),"#N/A")</f>
        <v>#N/A</v>
      </c>
      <c r="H13397" s="4" t="str">
        <v/>
      </c>
      <c r="I13397" s="4" t="str">
        <v/>
      </c>
    </row>
    <row r="13398" spans="5:9" ht="16.5" hidden="1">
      <c r="E13398" s="4" t="str">
        <v/>
      </c>
      <c r="F13398" s="102" t="str">
        <f ca="1">IFERROR(__xludf.DUMMYFUNCTION("IMPORTRANGE(H13398,""IDENTITAS UNIT!D9"")"),"#N/A")</f>
        <v>#N/A</v>
      </c>
      <c r="H13398" s="4" t="str">
        <v/>
      </c>
      <c r="I13398" s="4" t="str">
        <v/>
      </c>
    </row>
    <row r="13399" spans="5:9" ht="16.5" hidden="1">
      <c r="E13399" s="4" t="str">
        <v/>
      </c>
      <c r="F13399" s="102" t="str">
        <f ca="1">IFERROR(__xludf.DUMMYFUNCTION("IMPORTRANGE(H13399,""IDENTITAS UNIT!D9"")"),"#N/A")</f>
        <v>#N/A</v>
      </c>
      <c r="H13399" s="4" t="str">
        <v/>
      </c>
      <c r="I13399" s="4" t="str">
        <v/>
      </c>
    </row>
    <row r="13400" spans="5:9" ht="16.5" hidden="1">
      <c r="E13400" s="4" t="str">
        <v/>
      </c>
      <c r="F13400" s="102" t="str">
        <f ca="1">IFERROR(__xludf.DUMMYFUNCTION("IMPORTRANGE(H13400,""IDENTITAS UNIT!D9"")"),"#N/A")</f>
        <v>#N/A</v>
      </c>
      <c r="H13400" s="4" t="str">
        <v/>
      </c>
      <c r="I13400" s="4" t="str">
        <v/>
      </c>
    </row>
    <row r="13401" spans="5:9" ht="16.5" hidden="1">
      <c r="E13401" s="4" t="str">
        <v/>
      </c>
      <c r="F13401" s="102" t="str">
        <f ca="1">IFERROR(__xludf.DUMMYFUNCTION("IMPORTRANGE(H13401,""IDENTITAS UNIT!D9"")"),"#N/A")</f>
        <v>#N/A</v>
      </c>
      <c r="H13401" s="4" t="str">
        <v/>
      </c>
      <c r="I13401" s="4" t="str">
        <v/>
      </c>
    </row>
    <row r="13402" spans="5:9" ht="16.5" hidden="1">
      <c r="E13402" s="4" t="str">
        <v/>
      </c>
      <c r="F13402" s="102" t="str">
        <f ca="1">IFERROR(__xludf.DUMMYFUNCTION("IMPORTRANGE(H13402,""IDENTITAS UNIT!D9"")"),"#N/A")</f>
        <v>#N/A</v>
      </c>
      <c r="H13402" s="4" t="str">
        <v/>
      </c>
      <c r="I13402" s="4" t="str">
        <v/>
      </c>
    </row>
    <row r="13403" spans="5:9" ht="16.5" hidden="1">
      <c r="E13403" s="4" t="str">
        <v/>
      </c>
      <c r="F13403" s="102" t="str">
        <f ca="1">IFERROR(__xludf.DUMMYFUNCTION("IMPORTRANGE(H13403,""IDENTITAS UNIT!D9"")"),"#N/A")</f>
        <v>#N/A</v>
      </c>
      <c r="H13403" s="4" t="str">
        <v/>
      </c>
      <c r="I13403" s="4" t="str">
        <v/>
      </c>
    </row>
    <row r="13404" spans="5:9" ht="16.5" hidden="1">
      <c r="E13404" s="4" t="str">
        <v/>
      </c>
      <c r="F13404" s="102" t="str">
        <f ca="1">IFERROR(__xludf.DUMMYFUNCTION("IMPORTRANGE(H13404,""IDENTITAS UNIT!D9"")"),"#N/A")</f>
        <v>#N/A</v>
      </c>
      <c r="H13404" s="4" t="str">
        <v/>
      </c>
      <c r="I13404" s="4" t="str">
        <v/>
      </c>
    </row>
    <row r="13405" spans="5:9" ht="16.5" hidden="1">
      <c r="E13405" s="4" t="str">
        <v/>
      </c>
      <c r="F13405" s="102" t="str">
        <f ca="1">IFERROR(__xludf.DUMMYFUNCTION("IMPORTRANGE(H13405,""IDENTITAS UNIT!D9"")"),"#N/A")</f>
        <v>#N/A</v>
      </c>
      <c r="H13405" s="4" t="str">
        <v/>
      </c>
      <c r="I13405" s="4" t="str">
        <v/>
      </c>
    </row>
    <row r="13406" spans="5:9" ht="16.5" hidden="1">
      <c r="E13406" s="4" t="str">
        <v/>
      </c>
      <c r="F13406" s="102" t="str">
        <f ca="1">IFERROR(__xludf.DUMMYFUNCTION("IMPORTRANGE(H13406,""IDENTITAS UNIT!D9"")"),"#N/A")</f>
        <v>#N/A</v>
      </c>
      <c r="H13406" s="4" t="str">
        <v/>
      </c>
      <c r="I13406" s="4" t="str">
        <v/>
      </c>
    </row>
    <row r="13407" spans="5:9" ht="16.5" hidden="1">
      <c r="E13407" s="4" t="str">
        <v/>
      </c>
      <c r="F13407" s="102" t="str">
        <f ca="1">IFERROR(__xludf.DUMMYFUNCTION("IMPORTRANGE(H13407,""IDENTITAS UNIT!D9"")"),"#N/A")</f>
        <v>#N/A</v>
      </c>
      <c r="H13407" s="4" t="str">
        <v/>
      </c>
      <c r="I13407" s="4" t="str">
        <v/>
      </c>
    </row>
    <row r="13408" spans="5:9" ht="16.5" hidden="1">
      <c r="E13408" s="4" t="str">
        <v/>
      </c>
      <c r="F13408" s="102" t="str">
        <f ca="1">IFERROR(__xludf.DUMMYFUNCTION("IMPORTRANGE(H13408,""IDENTITAS UNIT!D9"")"),"#N/A")</f>
        <v>#N/A</v>
      </c>
      <c r="H13408" s="4" t="str">
        <v/>
      </c>
      <c r="I13408" s="4" t="str">
        <v/>
      </c>
    </row>
    <row r="13409" spans="5:9" ht="16.5" hidden="1">
      <c r="E13409" s="4" t="str">
        <v/>
      </c>
      <c r="F13409" s="102" t="str">
        <f ca="1">IFERROR(__xludf.DUMMYFUNCTION("IMPORTRANGE(H13409,""IDENTITAS UNIT!D9"")"),"#N/A")</f>
        <v>#N/A</v>
      </c>
      <c r="H13409" s="4" t="str">
        <v/>
      </c>
      <c r="I13409" s="4" t="str">
        <v/>
      </c>
    </row>
    <row r="13410" spans="5:9" ht="16.5" hidden="1">
      <c r="E13410" s="4" t="str">
        <v/>
      </c>
      <c r="F13410" s="102" t="str">
        <f ca="1">IFERROR(__xludf.DUMMYFUNCTION("IMPORTRANGE(H13410,""IDENTITAS UNIT!D9"")"),"#N/A")</f>
        <v>#N/A</v>
      </c>
      <c r="H13410" s="4" t="str">
        <v/>
      </c>
      <c r="I13410" s="4" t="str">
        <v/>
      </c>
    </row>
    <row r="13411" spans="5:9" ht="16.5" hidden="1">
      <c r="E13411" s="4" t="str">
        <v/>
      </c>
      <c r="F13411" s="102" t="str">
        <f ca="1">IFERROR(__xludf.DUMMYFUNCTION("IMPORTRANGE(H13411,""IDENTITAS UNIT!D9"")"),"#N/A")</f>
        <v>#N/A</v>
      </c>
      <c r="H13411" s="4" t="str">
        <v/>
      </c>
      <c r="I13411" s="4" t="str">
        <v/>
      </c>
    </row>
    <row r="13412" spans="5:9" ht="16.5" hidden="1">
      <c r="E13412" s="4" t="str">
        <v/>
      </c>
      <c r="F13412" s="102" t="str">
        <f ca="1">IFERROR(__xludf.DUMMYFUNCTION("IMPORTRANGE(H13412,""IDENTITAS UNIT!D9"")"),"#N/A")</f>
        <v>#N/A</v>
      </c>
      <c r="H13412" s="4" t="str">
        <v/>
      </c>
      <c r="I13412" s="4" t="str">
        <v/>
      </c>
    </row>
    <row r="13413" spans="5:9" ht="16.5" hidden="1">
      <c r="E13413" s="4" t="str">
        <v/>
      </c>
      <c r="F13413" s="102" t="str">
        <f ca="1">IFERROR(__xludf.DUMMYFUNCTION("IMPORTRANGE(H13413,""IDENTITAS UNIT!D9"")"),"#N/A")</f>
        <v>#N/A</v>
      </c>
      <c r="H13413" s="4" t="str">
        <v/>
      </c>
      <c r="I13413" s="4" t="str">
        <v/>
      </c>
    </row>
    <row r="13414" spans="5:9" ht="16.5" hidden="1">
      <c r="E13414" s="4" t="str">
        <v/>
      </c>
      <c r="F13414" s="102" t="str">
        <f ca="1">IFERROR(__xludf.DUMMYFUNCTION("IMPORTRANGE(H13414,""IDENTITAS UNIT!D9"")"),"#N/A")</f>
        <v>#N/A</v>
      </c>
      <c r="H13414" s="4" t="str">
        <v/>
      </c>
      <c r="I13414" s="4" t="str">
        <v/>
      </c>
    </row>
    <row r="13415" spans="5:9" ht="16.5" hidden="1">
      <c r="E13415" s="4" t="str">
        <v/>
      </c>
      <c r="F13415" s="102" t="str">
        <f ca="1">IFERROR(__xludf.DUMMYFUNCTION("IMPORTRANGE(H13415,""IDENTITAS UNIT!D9"")"),"#N/A")</f>
        <v>#N/A</v>
      </c>
      <c r="H13415" s="4" t="str">
        <v/>
      </c>
      <c r="I13415" s="4" t="str">
        <v/>
      </c>
    </row>
    <row r="13416" spans="5:9" ht="16.5" hidden="1">
      <c r="E13416" s="4" t="str">
        <v/>
      </c>
      <c r="F13416" s="102" t="str">
        <f ca="1">IFERROR(__xludf.DUMMYFUNCTION("IMPORTRANGE(H13416,""IDENTITAS UNIT!D9"")"),"#N/A")</f>
        <v>#N/A</v>
      </c>
      <c r="H13416" s="4" t="str">
        <v/>
      </c>
      <c r="I13416" s="4" t="str">
        <v/>
      </c>
    </row>
    <row r="13417" spans="5:9" ht="16.5" hidden="1">
      <c r="E13417" s="4" t="str">
        <v/>
      </c>
      <c r="F13417" s="102" t="str">
        <f ca="1">IFERROR(__xludf.DUMMYFUNCTION("IMPORTRANGE(H13417,""IDENTITAS UNIT!D9"")"),"#N/A")</f>
        <v>#N/A</v>
      </c>
      <c r="H13417" s="4" t="str">
        <v/>
      </c>
      <c r="I13417" s="4" t="str">
        <v/>
      </c>
    </row>
    <row r="13418" spans="5:9" ht="16.5" hidden="1">
      <c r="E13418" s="4" t="str">
        <v/>
      </c>
      <c r="F13418" s="102" t="str">
        <f ca="1">IFERROR(__xludf.DUMMYFUNCTION("IMPORTRANGE(H13418,""IDENTITAS UNIT!D9"")"),"#N/A")</f>
        <v>#N/A</v>
      </c>
      <c r="H13418" s="4" t="str">
        <v/>
      </c>
      <c r="I13418" s="4" t="str">
        <v/>
      </c>
    </row>
    <row r="13419" spans="5:9" ht="16.5" hidden="1">
      <c r="E13419" s="4" t="str">
        <v/>
      </c>
      <c r="F13419" s="102" t="str">
        <f ca="1">IFERROR(__xludf.DUMMYFUNCTION("IMPORTRANGE(H13419,""IDENTITAS UNIT!D9"")"),"#N/A")</f>
        <v>#N/A</v>
      </c>
      <c r="H13419" s="4" t="str">
        <v/>
      </c>
      <c r="I13419" s="4" t="str">
        <v/>
      </c>
    </row>
    <row r="13420" spans="5:9" ht="16.5" hidden="1">
      <c r="E13420" s="4" t="str">
        <v/>
      </c>
      <c r="F13420" s="102" t="str">
        <f ca="1">IFERROR(__xludf.DUMMYFUNCTION("IMPORTRANGE(H13420,""IDENTITAS UNIT!D9"")"),"#N/A")</f>
        <v>#N/A</v>
      </c>
      <c r="H13420" s="4" t="str">
        <v/>
      </c>
      <c r="I13420" s="4" t="str">
        <v/>
      </c>
    </row>
    <row r="13421" spans="5:9" ht="16.5" hidden="1">
      <c r="E13421" s="4" t="str">
        <v/>
      </c>
      <c r="F13421" s="102" t="str">
        <f ca="1">IFERROR(__xludf.DUMMYFUNCTION("IMPORTRANGE(H13421,""IDENTITAS UNIT!D9"")"),"#N/A")</f>
        <v>#N/A</v>
      </c>
      <c r="H13421" s="4" t="str">
        <v/>
      </c>
      <c r="I13421" s="4" t="str">
        <v/>
      </c>
    </row>
    <row r="13422" spans="5:9" ht="16.5" hidden="1">
      <c r="E13422" s="4" t="str">
        <v/>
      </c>
      <c r="F13422" s="102" t="str">
        <f ca="1">IFERROR(__xludf.DUMMYFUNCTION("IMPORTRANGE(H13422,""IDENTITAS UNIT!D9"")"),"#N/A")</f>
        <v>#N/A</v>
      </c>
      <c r="H13422" s="4" t="str">
        <v/>
      </c>
      <c r="I13422" s="4" t="str">
        <v/>
      </c>
    </row>
    <row r="13423" spans="5:9" ht="16.5" hidden="1">
      <c r="E13423" s="4" t="str">
        <v/>
      </c>
      <c r="F13423" s="102" t="str">
        <f ca="1">IFERROR(__xludf.DUMMYFUNCTION("IMPORTRANGE(H13423,""IDENTITAS UNIT!D9"")"),"#N/A")</f>
        <v>#N/A</v>
      </c>
      <c r="H13423" s="4" t="str">
        <v/>
      </c>
      <c r="I13423" s="4" t="str">
        <v/>
      </c>
    </row>
    <row r="13424" spans="5:9" ht="16.5" hidden="1">
      <c r="E13424" s="4" t="str">
        <v/>
      </c>
      <c r="F13424" s="102" t="str">
        <f ca="1">IFERROR(__xludf.DUMMYFUNCTION("IMPORTRANGE(H13424,""IDENTITAS UNIT!D9"")"),"#N/A")</f>
        <v>#N/A</v>
      </c>
      <c r="H13424" s="4" t="str">
        <v/>
      </c>
      <c r="I13424" s="4" t="str">
        <v/>
      </c>
    </row>
    <row r="13425" spans="5:9" ht="16.5" hidden="1">
      <c r="E13425" s="4" t="str">
        <v/>
      </c>
      <c r="F13425" s="102" t="str">
        <f ca="1">IFERROR(__xludf.DUMMYFUNCTION("IMPORTRANGE(H13425,""IDENTITAS UNIT!D9"")"),"#N/A")</f>
        <v>#N/A</v>
      </c>
      <c r="H13425" s="4" t="str">
        <v/>
      </c>
      <c r="I13425" s="4" t="str">
        <v/>
      </c>
    </row>
    <row r="13426" spans="5:9" ht="16.5" hidden="1">
      <c r="E13426" s="4" t="str">
        <v/>
      </c>
      <c r="F13426" s="102" t="str">
        <f ca="1">IFERROR(__xludf.DUMMYFUNCTION("IMPORTRANGE(H13426,""IDENTITAS UNIT!D9"")"),"#N/A")</f>
        <v>#N/A</v>
      </c>
      <c r="H13426" s="4" t="str">
        <v/>
      </c>
      <c r="I13426" s="4" t="str">
        <v/>
      </c>
    </row>
    <row r="13427" spans="5:9" ht="16.5" hidden="1">
      <c r="E13427" s="4" t="str">
        <v/>
      </c>
      <c r="F13427" s="102" t="str">
        <f ca="1">IFERROR(__xludf.DUMMYFUNCTION("IMPORTRANGE(H13427,""IDENTITAS UNIT!D9"")"),"#N/A")</f>
        <v>#N/A</v>
      </c>
      <c r="H13427" s="4" t="str">
        <v/>
      </c>
      <c r="I13427" s="4" t="str">
        <v/>
      </c>
    </row>
    <row r="13428" spans="5:9" ht="16.5" hidden="1">
      <c r="E13428" s="4" t="str">
        <v/>
      </c>
      <c r="F13428" s="102" t="str">
        <f ca="1">IFERROR(__xludf.DUMMYFUNCTION("IMPORTRANGE(H13428,""IDENTITAS UNIT!D9"")"),"#N/A")</f>
        <v>#N/A</v>
      </c>
      <c r="H13428" s="4" t="str">
        <v/>
      </c>
      <c r="I13428" s="4" t="str">
        <v/>
      </c>
    </row>
    <row r="13429" spans="5:9" ht="16.5" hidden="1">
      <c r="E13429" s="4" t="str">
        <v/>
      </c>
      <c r="F13429" s="102" t="str">
        <f ca="1">IFERROR(__xludf.DUMMYFUNCTION("IMPORTRANGE(H13429,""IDENTITAS UNIT!D9"")"),"#N/A")</f>
        <v>#N/A</v>
      </c>
      <c r="H13429" s="4" t="str">
        <v/>
      </c>
      <c r="I13429" s="4" t="str">
        <v/>
      </c>
    </row>
    <row r="13430" spans="5:9" ht="16.5" hidden="1">
      <c r="E13430" s="4" t="str">
        <v/>
      </c>
      <c r="F13430" s="102" t="str">
        <f ca="1">IFERROR(__xludf.DUMMYFUNCTION("IMPORTRANGE(H13430,""IDENTITAS UNIT!D9"")"),"#N/A")</f>
        <v>#N/A</v>
      </c>
      <c r="H13430" s="4" t="str">
        <v/>
      </c>
      <c r="I13430" s="4" t="str">
        <v/>
      </c>
    </row>
    <row r="13431" spans="5:9" ht="16.5" hidden="1">
      <c r="E13431" s="4" t="str">
        <v/>
      </c>
      <c r="F13431" s="102" t="str">
        <f ca="1">IFERROR(__xludf.DUMMYFUNCTION("IMPORTRANGE(H13431,""IDENTITAS UNIT!D9"")"),"#N/A")</f>
        <v>#N/A</v>
      </c>
      <c r="H13431" s="4" t="str">
        <v/>
      </c>
      <c r="I13431" s="4" t="str">
        <v/>
      </c>
    </row>
    <row r="13432" spans="5:9" ht="16.5" hidden="1">
      <c r="E13432" s="4" t="str">
        <v/>
      </c>
      <c r="F13432" s="102" t="str">
        <f ca="1">IFERROR(__xludf.DUMMYFUNCTION("IMPORTRANGE(H13432,""IDENTITAS UNIT!D9"")"),"#N/A")</f>
        <v>#N/A</v>
      </c>
      <c r="H13432" s="4" t="str">
        <v/>
      </c>
      <c r="I13432" s="4" t="str">
        <v/>
      </c>
    </row>
    <row r="13433" spans="5:9" ht="16.5" hidden="1">
      <c r="E13433" s="4" t="str">
        <v/>
      </c>
      <c r="F13433" s="102" t="str">
        <f ca="1">IFERROR(__xludf.DUMMYFUNCTION("IMPORTRANGE(H13433,""IDENTITAS UNIT!D9"")"),"#N/A")</f>
        <v>#N/A</v>
      </c>
      <c r="H13433" s="4" t="str">
        <v/>
      </c>
      <c r="I13433" s="4" t="str">
        <v/>
      </c>
    </row>
    <row r="13434" spans="5:9" ht="16.5" hidden="1">
      <c r="E13434" s="4" t="str">
        <v/>
      </c>
      <c r="F13434" s="102" t="str">
        <f ca="1">IFERROR(__xludf.DUMMYFUNCTION("IMPORTRANGE(H13434,""IDENTITAS UNIT!D9"")"),"#N/A")</f>
        <v>#N/A</v>
      </c>
      <c r="H13434" s="4" t="str">
        <v/>
      </c>
      <c r="I13434" s="4" t="str">
        <v/>
      </c>
    </row>
    <row r="13435" spans="5:9" ht="16.5" hidden="1">
      <c r="E13435" s="4" t="str">
        <v/>
      </c>
      <c r="F13435" s="102" t="str">
        <f ca="1">IFERROR(__xludf.DUMMYFUNCTION("IMPORTRANGE(H13435,""IDENTITAS UNIT!D9"")"),"#N/A")</f>
        <v>#N/A</v>
      </c>
      <c r="H13435" s="4" t="str">
        <v/>
      </c>
      <c r="I13435" s="4" t="str">
        <v/>
      </c>
    </row>
    <row r="13436" spans="5:9" ht="16.5" hidden="1">
      <c r="E13436" s="4" t="str">
        <v/>
      </c>
      <c r="F13436" s="102" t="str">
        <f ca="1">IFERROR(__xludf.DUMMYFUNCTION("IMPORTRANGE(H13436,""IDENTITAS UNIT!D9"")"),"#N/A")</f>
        <v>#N/A</v>
      </c>
      <c r="H13436" s="4" t="str">
        <v/>
      </c>
      <c r="I13436" s="4" t="str">
        <v/>
      </c>
    </row>
    <row r="13437" spans="5:9" ht="16.5" hidden="1">
      <c r="E13437" s="4" t="str">
        <v/>
      </c>
      <c r="F13437" s="102" t="str">
        <f ca="1">IFERROR(__xludf.DUMMYFUNCTION("IMPORTRANGE(H13437,""IDENTITAS UNIT!D9"")"),"#N/A")</f>
        <v>#N/A</v>
      </c>
      <c r="H13437" s="4" t="str">
        <v/>
      </c>
      <c r="I13437" s="4" t="str">
        <v/>
      </c>
    </row>
    <row r="13438" spans="5:9" ht="16.5" hidden="1">
      <c r="E13438" s="4" t="str">
        <v/>
      </c>
      <c r="F13438" s="102" t="str">
        <f ca="1">IFERROR(__xludf.DUMMYFUNCTION("IMPORTRANGE(H13438,""IDENTITAS UNIT!D9"")"),"#N/A")</f>
        <v>#N/A</v>
      </c>
      <c r="H13438" s="4" t="str">
        <v/>
      </c>
      <c r="I13438" s="4" t="str">
        <v/>
      </c>
    </row>
    <row r="13439" spans="5:9" ht="16.5" hidden="1">
      <c r="E13439" s="4" t="str">
        <v/>
      </c>
      <c r="F13439" s="102" t="str">
        <f ca="1">IFERROR(__xludf.DUMMYFUNCTION("IMPORTRANGE(H13439,""IDENTITAS UNIT!D9"")"),"#N/A")</f>
        <v>#N/A</v>
      </c>
      <c r="H13439" s="4" t="str">
        <v/>
      </c>
      <c r="I13439" s="4" t="str">
        <v/>
      </c>
    </row>
    <row r="13440" spans="5:9" ht="16.5" hidden="1">
      <c r="E13440" s="4" t="str">
        <v/>
      </c>
      <c r="F13440" s="102" t="str">
        <f ca="1">IFERROR(__xludf.DUMMYFUNCTION("IMPORTRANGE(H13440,""IDENTITAS UNIT!D9"")"),"#N/A")</f>
        <v>#N/A</v>
      </c>
      <c r="H13440" s="4" t="str">
        <v/>
      </c>
      <c r="I13440" s="4" t="str">
        <v/>
      </c>
    </row>
    <row r="13441" spans="5:9" ht="16.5" hidden="1">
      <c r="E13441" s="4" t="str">
        <v/>
      </c>
      <c r="F13441" s="102" t="str">
        <f ca="1">IFERROR(__xludf.DUMMYFUNCTION("IMPORTRANGE(H13441,""IDENTITAS UNIT!D9"")"),"#N/A")</f>
        <v>#N/A</v>
      </c>
      <c r="H13441" s="4" t="str">
        <v/>
      </c>
      <c r="I13441" s="4" t="str">
        <v/>
      </c>
    </row>
    <row r="13442" spans="5:9" ht="16.5" hidden="1">
      <c r="E13442" s="4" t="str">
        <v/>
      </c>
      <c r="F13442" s="102" t="str">
        <f ca="1">IFERROR(__xludf.DUMMYFUNCTION("IMPORTRANGE(H13442,""IDENTITAS UNIT!D9"")"),"#N/A")</f>
        <v>#N/A</v>
      </c>
      <c r="H13442" s="4" t="str">
        <v/>
      </c>
      <c r="I13442" s="4" t="str">
        <v/>
      </c>
    </row>
    <row r="13443" spans="5:9" ht="16.5" hidden="1">
      <c r="E13443" s="4" t="str">
        <v/>
      </c>
      <c r="F13443" s="102" t="str">
        <f ca="1">IFERROR(__xludf.DUMMYFUNCTION("IMPORTRANGE(H13443,""IDENTITAS UNIT!D9"")"),"#N/A")</f>
        <v>#N/A</v>
      </c>
      <c r="H13443" s="4" t="str">
        <v/>
      </c>
      <c r="I13443" s="4" t="str">
        <v/>
      </c>
    </row>
    <row r="13444" spans="5:9" ht="16.5" hidden="1">
      <c r="E13444" s="4" t="str">
        <v/>
      </c>
      <c r="F13444" s="102" t="str">
        <f ca="1">IFERROR(__xludf.DUMMYFUNCTION("IMPORTRANGE(H13444,""IDENTITAS UNIT!D9"")"),"#N/A")</f>
        <v>#N/A</v>
      </c>
      <c r="H13444" s="4" t="str">
        <v/>
      </c>
      <c r="I13444" s="4" t="str">
        <v/>
      </c>
    </row>
    <row r="13445" spans="5:9" ht="16.5" hidden="1">
      <c r="E13445" s="4" t="str">
        <v/>
      </c>
      <c r="F13445" s="102" t="str">
        <f ca="1">IFERROR(__xludf.DUMMYFUNCTION("IMPORTRANGE(H13445,""IDENTITAS UNIT!D9"")"),"#N/A")</f>
        <v>#N/A</v>
      </c>
      <c r="H13445" s="4" t="str">
        <v/>
      </c>
      <c r="I13445" s="4" t="str">
        <v/>
      </c>
    </row>
    <row r="13446" spans="5:9" ht="16.5" hidden="1">
      <c r="E13446" s="4" t="str">
        <v/>
      </c>
      <c r="F13446" s="102" t="str">
        <f ca="1">IFERROR(__xludf.DUMMYFUNCTION("IMPORTRANGE(H13446,""IDENTITAS UNIT!D9"")"),"#N/A")</f>
        <v>#N/A</v>
      </c>
      <c r="H13446" s="4" t="str">
        <v/>
      </c>
      <c r="I13446" s="4" t="str">
        <v/>
      </c>
    </row>
    <row r="13447" spans="5:9" ht="16.5" hidden="1">
      <c r="E13447" s="4" t="str">
        <v/>
      </c>
      <c r="F13447" s="102" t="str">
        <f ca="1">IFERROR(__xludf.DUMMYFUNCTION("IMPORTRANGE(H13447,""IDENTITAS UNIT!D9"")"),"#N/A")</f>
        <v>#N/A</v>
      </c>
      <c r="H13447" s="4" t="str">
        <v/>
      </c>
      <c r="I13447" s="4" t="str">
        <v/>
      </c>
    </row>
    <row r="13448" spans="5:9" ht="16.5" hidden="1">
      <c r="E13448" s="4" t="str">
        <v/>
      </c>
      <c r="F13448" s="102" t="str">
        <f ca="1">IFERROR(__xludf.DUMMYFUNCTION("IMPORTRANGE(H13448,""IDENTITAS UNIT!D9"")"),"#N/A")</f>
        <v>#N/A</v>
      </c>
      <c r="H13448" s="4" t="str">
        <v/>
      </c>
      <c r="I13448" s="4" t="str">
        <v/>
      </c>
    </row>
    <row r="13449" spans="5:9" ht="16.5" hidden="1">
      <c r="E13449" s="4" t="str">
        <v/>
      </c>
      <c r="F13449" s="102" t="str">
        <f ca="1">IFERROR(__xludf.DUMMYFUNCTION("IMPORTRANGE(H13449,""IDENTITAS UNIT!D9"")"),"#N/A")</f>
        <v>#N/A</v>
      </c>
      <c r="H13449" s="4" t="str">
        <v/>
      </c>
      <c r="I13449" s="4" t="str">
        <v/>
      </c>
    </row>
    <row r="13450" spans="5:9" ht="16.5" hidden="1">
      <c r="E13450" s="4" t="str">
        <v/>
      </c>
      <c r="F13450" s="102" t="str">
        <f ca="1">IFERROR(__xludf.DUMMYFUNCTION("IMPORTRANGE(H13450,""IDENTITAS UNIT!D9"")"),"#N/A")</f>
        <v>#N/A</v>
      </c>
      <c r="H13450" s="4" t="str">
        <v/>
      </c>
      <c r="I13450" s="4" t="str">
        <v/>
      </c>
    </row>
    <row r="13451" spans="5:9" ht="16.5" hidden="1">
      <c r="E13451" s="4" t="str">
        <v/>
      </c>
      <c r="F13451" s="102" t="str">
        <f ca="1">IFERROR(__xludf.DUMMYFUNCTION("IMPORTRANGE(H13451,""IDENTITAS UNIT!D9"")"),"#N/A")</f>
        <v>#N/A</v>
      </c>
      <c r="H13451" s="4" t="str">
        <v/>
      </c>
      <c r="I13451" s="4" t="str">
        <v/>
      </c>
    </row>
    <row r="13452" spans="5:9" ht="16.5" hidden="1">
      <c r="E13452" s="4" t="str">
        <v/>
      </c>
      <c r="F13452" s="102" t="str">
        <f ca="1">IFERROR(__xludf.DUMMYFUNCTION("IMPORTRANGE(H13452,""IDENTITAS UNIT!D9"")"),"#N/A")</f>
        <v>#N/A</v>
      </c>
      <c r="H13452" s="4" t="str">
        <v/>
      </c>
      <c r="I13452" s="4" t="str">
        <v/>
      </c>
    </row>
    <row r="13453" spans="5:9" ht="16.5" hidden="1">
      <c r="E13453" s="4" t="str">
        <v/>
      </c>
      <c r="F13453" s="102" t="str">
        <f ca="1">IFERROR(__xludf.DUMMYFUNCTION("IMPORTRANGE(H13453,""IDENTITAS UNIT!D9"")"),"#N/A")</f>
        <v>#N/A</v>
      </c>
      <c r="H13453" s="4" t="str">
        <v/>
      </c>
      <c r="I13453" s="4" t="str">
        <v/>
      </c>
    </row>
    <row r="13454" spans="5:9" ht="16.5" hidden="1">
      <c r="E13454" s="4" t="str">
        <v/>
      </c>
      <c r="F13454" s="102" t="str">
        <f ca="1">IFERROR(__xludf.DUMMYFUNCTION("IMPORTRANGE(H13454,""IDENTITAS UNIT!D9"")"),"#N/A")</f>
        <v>#N/A</v>
      </c>
      <c r="H13454" s="4" t="str">
        <v/>
      </c>
      <c r="I13454" s="4" t="str">
        <v/>
      </c>
    </row>
    <row r="13455" spans="5:9" ht="16.5" hidden="1">
      <c r="E13455" s="4" t="str">
        <v/>
      </c>
      <c r="F13455" s="102" t="str">
        <f ca="1">IFERROR(__xludf.DUMMYFUNCTION("IMPORTRANGE(H13455,""IDENTITAS UNIT!D9"")"),"#N/A")</f>
        <v>#N/A</v>
      </c>
      <c r="H13455" s="4" t="str">
        <v/>
      </c>
      <c r="I13455" s="4" t="str">
        <v/>
      </c>
    </row>
    <row r="13456" spans="5:9" ht="16.5" hidden="1">
      <c r="E13456" s="4" t="str">
        <v/>
      </c>
      <c r="F13456" s="102" t="str">
        <f ca="1">IFERROR(__xludf.DUMMYFUNCTION("IMPORTRANGE(H13456,""IDENTITAS UNIT!D9"")"),"#N/A")</f>
        <v>#N/A</v>
      </c>
      <c r="H13456" s="4" t="str">
        <v/>
      </c>
      <c r="I13456" s="4" t="str">
        <v/>
      </c>
    </row>
    <row r="13457" spans="5:9" ht="16.5" hidden="1">
      <c r="E13457" s="4" t="str">
        <v/>
      </c>
      <c r="F13457" s="102" t="str">
        <f ca="1">IFERROR(__xludf.DUMMYFUNCTION("IMPORTRANGE(H13457,""IDENTITAS UNIT!D9"")"),"#N/A")</f>
        <v>#N/A</v>
      </c>
      <c r="H13457" s="4" t="str">
        <v/>
      </c>
      <c r="I13457" s="4" t="str">
        <v/>
      </c>
    </row>
    <row r="13458" spans="5:9" ht="16.5" hidden="1">
      <c r="E13458" s="4" t="str">
        <v/>
      </c>
      <c r="F13458" s="102" t="str">
        <f ca="1">IFERROR(__xludf.DUMMYFUNCTION("IMPORTRANGE(H13458,""IDENTITAS UNIT!D9"")"),"#N/A")</f>
        <v>#N/A</v>
      </c>
      <c r="H13458" s="4" t="str">
        <v/>
      </c>
      <c r="I13458" s="4" t="str">
        <v/>
      </c>
    </row>
    <row r="13459" spans="5:9" ht="16.5" hidden="1">
      <c r="E13459" s="4" t="str">
        <v/>
      </c>
      <c r="F13459" s="102" t="str">
        <f ca="1">IFERROR(__xludf.DUMMYFUNCTION("IMPORTRANGE(H13459,""IDENTITAS UNIT!D9"")"),"#N/A")</f>
        <v>#N/A</v>
      </c>
      <c r="H13459" s="4" t="str">
        <v/>
      </c>
      <c r="I13459" s="4" t="str">
        <v/>
      </c>
    </row>
    <row r="13460" spans="5:9" ht="16.5" hidden="1">
      <c r="E13460" s="4" t="str">
        <v/>
      </c>
      <c r="F13460" s="102" t="str">
        <f ca="1">IFERROR(__xludf.DUMMYFUNCTION("IMPORTRANGE(H13460,""IDENTITAS UNIT!D9"")"),"#N/A")</f>
        <v>#N/A</v>
      </c>
      <c r="H13460" s="4" t="str">
        <v/>
      </c>
      <c r="I13460" s="4" t="str">
        <v/>
      </c>
    </row>
    <row r="13461" spans="5:9" ht="16.5" hidden="1">
      <c r="E13461" s="4" t="str">
        <v/>
      </c>
      <c r="F13461" s="102" t="str">
        <f ca="1">IFERROR(__xludf.DUMMYFUNCTION("IMPORTRANGE(H13461,""IDENTITAS UNIT!D9"")"),"#N/A")</f>
        <v>#N/A</v>
      </c>
      <c r="H13461" s="4" t="str">
        <v/>
      </c>
      <c r="I13461" s="4" t="str">
        <v/>
      </c>
    </row>
    <row r="13462" spans="5:9" ht="16.5" hidden="1">
      <c r="E13462" s="4" t="str">
        <v/>
      </c>
      <c r="F13462" s="102" t="str">
        <f ca="1">IFERROR(__xludf.DUMMYFUNCTION("IMPORTRANGE(H13462,""IDENTITAS UNIT!D9"")"),"#N/A")</f>
        <v>#N/A</v>
      </c>
      <c r="H13462" s="4" t="str">
        <v/>
      </c>
      <c r="I13462" s="4" t="str">
        <v/>
      </c>
    </row>
    <row r="13463" spans="5:9" ht="16.5" hidden="1">
      <c r="E13463" s="4" t="str">
        <v/>
      </c>
      <c r="F13463" s="102" t="str">
        <f ca="1">IFERROR(__xludf.DUMMYFUNCTION("IMPORTRANGE(H13463,""IDENTITAS UNIT!D9"")"),"#N/A")</f>
        <v>#N/A</v>
      </c>
      <c r="H13463" s="4" t="str">
        <v/>
      </c>
      <c r="I13463" s="4" t="str">
        <v/>
      </c>
    </row>
    <row r="13464" spans="5:9" ht="16.5" hidden="1">
      <c r="E13464" s="4" t="str">
        <v/>
      </c>
      <c r="F13464" s="102" t="str">
        <f ca="1">IFERROR(__xludf.DUMMYFUNCTION("IMPORTRANGE(H13464,""IDENTITAS UNIT!D9"")"),"#N/A")</f>
        <v>#N/A</v>
      </c>
      <c r="H13464" s="4" t="str">
        <v/>
      </c>
      <c r="I13464" s="4" t="str">
        <v/>
      </c>
    </row>
    <row r="13465" spans="5:9" ht="16.5" hidden="1">
      <c r="E13465" s="4" t="str">
        <v/>
      </c>
      <c r="F13465" s="102" t="str">
        <f ca="1">IFERROR(__xludf.DUMMYFUNCTION("IMPORTRANGE(H13465,""IDENTITAS UNIT!D9"")"),"#N/A")</f>
        <v>#N/A</v>
      </c>
      <c r="H13465" s="4" t="str">
        <v/>
      </c>
      <c r="I13465" s="4" t="str">
        <v/>
      </c>
    </row>
    <row r="13466" spans="5:9" ht="16.5" hidden="1">
      <c r="E13466" s="4" t="str">
        <v/>
      </c>
      <c r="F13466" s="102" t="str">
        <f ca="1">IFERROR(__xludf.DUMMYFUNCTION("IMPORTRANGE(H13466,""IDENTITAS UNIT!D9"")"),"#N/A")</f>
        <v>#N/A</v>
      </c>
      <c r="H13466" s="4" t="str">
        <v/>
      </c>
      <c r="I13466" s="4" t="str">
        <v/>
      </c>
    </row>
    <row r="13467" spans="5:9" ht="16.5" hidden="1">
      <c r="E13467" s="4" t="str">
        <v/>
      </c>
      <c r="F13467" s="102" t="str">
        <f ca="1">IFERROR(__xludf.DUMMYFUNCTION("IMPORTRANGE(H13467,""IDENTITAS UNIT!D9"")"),"#N/A")</f>
        <v>#N/A</v>
      </c>
      <c r="H13467" s="4" t="str">
        <v/>
      </c>
      <c r="I13467" s="4" t="str">
        <v/>
      </c>
    </row>
    <row r="13468" spans="5:9" ht="16.5" hidden="1">
      <c r="E13468" s="4" t="str">
        <v/>
      </c>
      <c r="F13468" s="102" t="str">
        <f ca="1">IFERROR(__xludf.DUMMYFUNCTION("IMPORTRANGE(H13468,""IDENTITAS UNIT!D9"")"),"#N/A")</f>
        <v>#N/A</v>
      </c>
      <c r="H13468" s="4" t="str">
        <v/>
      </c>
      <c r="I13468" s="4" t="str">
        <v/>
      </c>
    </row>
    <row r="13469" spans="5:9" ht="16.5" hidden="1">
      <c r="E13469" s="4" t="str">
        <v/>
      </c>
      <c r="F13469" s="102" t="str">
        <f ca="1">IFERROR(__xludf.DUMMYFUNCTION("IMPORTRANGE(H13469,""IDENTITAS UNIT!D9"")"),"#N/A")</f>
        <v>#N/A</v>
      </c>
      <c r="H13469" s="4" t="str">
        <v/>
      </c>
      <c r="I13469" s="4" t="str">
        <v/>
      </c>
    </row>
    <row r="13470" spans="5:9" ht="16.5" hidden="1">
      <c r="E13470" s="4" t="str">
        <v/>
      </c>
      <c r="F13470" s="102" t="str">
        <f ca="1">IFERROR(__xludf.DUMMYFUNCTION("IMPORTRANGE(H13470,""IDENTITAS UNIT!D9"")"),"#N/A")</f>
        <v>#N/A</v>
      </c>
      <c r="H13470" s="4" t="str">
        <v/>
      </c>
      <c r="I13470" s="4" t="str">
        <v/>
      </c>
    </row>
    <row r="13471" spans="5:9" ht="16.5" hidden="1">
      <c r="E13471" s="4" t="str">
        <v/>
      </c>
      <c r="F13471" s="102" t="str">
        <f ca="1">IFERROR(__xludf.DUMMYFUNCTION("IMPORTRANGE(H13471,""IDENTITAS UNIT!D9"")"),"#N/A")</f>
        <v>#N/A</v>
      </c>
      <c r="H13471" s="4" t="str">
        <v/>
      </c>
      <c r="I13471" s="4" t="str">
        <v/>
      </c>
    </row>
    <row r="13472" spans="5:9" ht="16.5" hidden="1">
      <c r="E13472" s="4" t="str">
        <v/>
      </c>
      <c r="F13472" s="102" t="str">
        <f ca="1">IFERROR(__xludf.DUMMYFUNCTION("IMPORTRANGE(H13472,""IDENTITAS UNIT!D9"")"),"#N/A")</f>
        <v>#N/A</v>
      </c>
      <c r="H13472" s="4" t="str">
        <v/>
      </c>
      <c r="I13472" s="4" t="str">
        <v/>
      </c>
    </row>
    <row r="13473" spans="5:9" ht="16.5" hidden="1">
      <c r="E13473" s="4" t="str">
        <v/>
      </c>
      <c r="F13473" s="102" t="str">
        <f ca="1">IFERROR(__xludf.DUMMYFUNCTION("IMPORTRANGE(H13473,""IDENTITAS UNIT!D9"")"),"#N/A")</f>
        <v>#N/A</v>
      </c>
      <c r="H13473" s="4" t="str">
        <v/>
      </c>
      <c r="I13473" s="4" t="str">
        <v/>
      </c>
    </row>
    <row r="13474" spans="5:9" ht="16.5" hidden="1">
      <c r="E13474" s="4" t="str">
        <v/>
      </c>
      <c r="F13474" s="102" t="str">
        <f ca="1">IFERROR(__xludf.DUMMYFUNCTION("IMPORTRANGE(H13474,""IDENTITAS UNIT!D9"")"),"#N/A")</f>
        <v>#N/A</v>
      </c>
      <c r="H13474" s="4" t="str">
        <v/>
      </c>
      <c r="I13474" s="4" t="str">
        <v/>
      </c>
    </row>
    <row r="13475" spans="5:9" ht="16.5" hidden="1">
      <c r="E13475" s="4" t="str">
        <v/>
      </c>
      <c r="F13475" s="102" t="str">
        <f ca="1">IFERROR(__xludf.DUMMYFUNCTION("IMPORTRANGE(H13475,""IDENTITAS UNIT!D9"")"),"#N/A")</f>
        <v>#N/A</v>
      </c>
      <c r="H13475" s="4" t="str">
        <v/>
      </c>
      <c r="I13475" s="4" t="str">
        <v/>
      </c>
    </row>
    <row r="13476" spans="5:9" ht="16.5" hidden="1">
      <c r="E13476" s="4" t="str">
        <v/>
      </c>
      <c r="F13476" s="102" t="str">
        <f ca="1">IFERROR(__xludf.DUMMYFUNCTION("IMPORTRANGE(H13476,""IDENTITAS UNIT!D9"")"),"#N/A")</f>
        <v>#N/A</v>
      </c>
      <c r="H13476" s="4" t="str">
        <v/>
      </c>
      <c r="I13476" s="4" t="str">
        <v/>
      </c>
    </row>
    <row r="13477" spans="5:9" ht="16.5" hidden="1">
      <c r="E13477" s="4" t="str">
        <v/>
      </c>
      <c r="F13477" s="102" t="str">
        <f ca="1">IFERROR(__xludf.DUMMYFUNCTION("IMPORTRANGE(H13477,""IDENTITAS UNIT!D9"")"),"#N/A")</f>
        <v>#N/A</v>
      </c>
      <c r="H13477" s="4" t="str">
        <v/>
      </c>
      <c r="I13477" s="4" t="str">
        <v/>
      </c>
    </row>
    <row r="13478" spans="5:9" ht="16.5" hidden="1">
      <c r="E13478" s="4" t="str">
        <v/>
      </c>
      <c r="F13478" s="102" t="str">
        <f ca="1">IFERROR(__xludf.DUMMYFUNCTION("IMPORTRANGE(H13478,""IDENTITAS UNIT!D9"")"),"#N/A")</f>
        <v>#N/A</v>
      </c>
      <c r="H13478" s="4" t="str">
        <v/>
      </c>
      <c r="I13478" s="4" t="str">
        <v/>
      </c>
    </row>
    <row r="13479" spans="5:9" ht="16.5" hidden="1">
      <c r="E13479" s="4" t="str">
        <v/>
      </c>
      <c r="F13479" s="102" t="str">
        <f ca="1">IFERROR(__xludf.DUMMYFUNCTION("IMPORTRANGE(H13479,""IDENTITAS UNIT!D9"")"),"#N/A")</f>
        <v>#N/A</v>
      </c>
      <c r="H13479" s="4" t="str">
        <v/>
      </c>
      <c r="I13479" s="4" t="str">
        <v/>
      </c>
    </row>
    <row r="13480" spans="5:9" ht="16.5" hidden="1">
      <c r="E13480" s="4" t="str">
        <v/>
      </c>
      <c r="F13480" s="102" t="str">
        <f ca="1">IFERROR(__xludf.DUMMYFUNCTION("IMPORTRANGE(H13480,""IDENTITAS UNIT!D9"")"),"#N/A")</f>
        <v>#N/A</v>
      </c>
      <c r="H13480" s="4" t="str">
        <v/>
      </c>
      <c r="I13480" s="4" t="str">
        <v/>
      </c>
    </row>
    <row r="13481" spans="5:9" ht="16.5" hidden="1">
      <c r="E13481" s="4" t="str">
        <v/>
      </c>
      <c r="F13481" s="102" t="str">
        <f ca="1">IFERROR(__xludf.DUMMYFUNCTION("IMPORTRANGE(H13481,""IDENTITAS UNIT!D9"")"),"#N/A")</f>
        <v>#N/A</v>
      </c>
      <c r="H13481" s="4" t="str">
        <v/>
      </c>
      <c r="I13481" s="4" t="str">
        <v/>
      </c>
    </row>
    <row r="13482" spans="5:9" ht="16.5" hidden="1">
      <c r="E13482" s="4" t="str">
        <v/>
      </c>
      <c r="F13482" s="102" t="str">
        <f ca="1">IFERROR(__xludf.DUMMYFUNCTION("IMPORTRANGE(H13482,""IDENTITAS UNIT!D9"")"),"#N/A")</f>
        <v>#N/A</v>
      </c>
      <c r="H13482" s="4" t="str">
        <v/>
      </c>
      <c r="I13482" s="4" t="str">
        <v/>
      </c>
    </row>
    <row r="13483" spans="5:9" ht="16.5" hidden="1">
      <c r="E13483" s="4" t="str">
        <v/>
      </c>
      <c r="F13483" s="102" t="str">
        <f ca="1">IFERROR(__xludf.DUMMYFUNCTION("IMPORTRANGE(H13483,""IDENTITAS UNIT!D9"")"),"#N/A")</f>
        <v>#N/A</v>
      </c>
      <c r="H13483" s="4" t="str">
        <v/>
      </c>
      <c r="I13483" s="4" t="str">
        <v/>
      </c>
    </row>
    <row r="13484" spans="5:9" ht="16.5" hidden="1">
      <c r="E13484" s="4" t="str">
        <v/>
      </c>
      <c r="F13484" s="102" t="str">
        <f ca="1">IFERROR(__xludf.DUMMYFUNCTION("IMPORTRANGE(H13484,""IDENTITAS UNIT!D9"")"),"#N/A")</f>
        <v>#N/A</v>
      </c>
      <c r="H13484" s="4" t="str">
        <v/>
      </c>
      <c r="I13484" s="4" t="str">
        <v/>
      </c>
    </row>
    <row r="13485" spans="5:9" ht="16.5" hidden="1">
      <c r="E13485" s="4" t="str">
        <v/>
      </c>
      <c r="F13485" s="102" t="str">
        <f ca="1">IFERROR(__xludf.DUMMYFUNCTION("IMPORTRANGE(H13485,""IDENTITAS UNIT!D9"")"),"#N/A")</f>
        <v>#N/A</v>
      </c>
      <c r="H13485" s="4" t="str">
        <v/>
      </c>
      <c r="I13485" s="4" t="str">
        <v/>
      </c>
    </row>
    <row r="13486" spans="5:9" ht="16.5" hidden="1">
      <c r="E13486" s="4" t="str">
        <v/>
      </c>
      <c r="F13486" s="102" t="str">
        <f ca="1">IFERROR(__xludf.DUMMYFUNCTION("IMPORTRANGE(H13486,""IDENTITAS UNIT!D9"")"),"#N/A")</f>
        <v>#N/A</v>
      </c>
      <c r="H13486" s="4" t="str">
        <v/>
      </c>
      <c r="I13486" s="4" t="str">
        <v/>
      </c>
    </row>
    <row r="13487" spans="5:9" ht="16.5" hidden="1">
      <c r="E13487" s="4" t="str">
        <v/>
      </c>
      <c r="F13487" s="102" t="str">
        <f ca="1">IFERROR(__xludf.DUMMYFUNCTION("IMPORTRANGE(H13487,""IDENTITAS UNIT!D9"")"),"#N/A")</f>
        <v>#N/A</v>
      </c>
      <c r="H13487" s="4" t="str">
        <v/>
      </c>
      <c r="I13487" s="4" t="str">
        <v/>
      </c>
    </row>
    <row r="13488" spans="5:9" ht="16.5" hidden="1">
      <c r="E13488" s="4" t="str">
        <v/>
      </c>
      <c r="F13488" s="102" t="str">
        <f ca="1">IFERROR(__xludf.DUMMYFUNCTION("IMPORTRANGE(H13488,""IDENTITAS UNIT!D9"")"),"#N/A")</f>
        <v>#N/A</v>
      </c>
      <c r="H13488" s="4" t="str">
        <v/>
      </c>
      <c r="I13488" s="4" t="str">
        <v/>
      </c>
    </row>
    <row r="13489" spans="5:9" ht="16.5" hidden="1">
      <c r="E13489" s="4" t="str">
        <v/>
      </c>
      <c r="F13489" s="102" t="str">
        <f ca="1">IFERROR(__xludf.DUMMYFUNCTION("IMPORTRANGE(H13489,""IDENTITAS UNIT!D9"")"),"#N/A")</f>
        <v>#N/A</v>
      </c>
      <c r="H13489" s="4" t="str">
        <v/>
      </c>
      <c r="I13489" s="4" t="str">
        <v/>
      </c>
    </row>
    <row r="13490" spans="5:9" ht="16.5" hidden="1">
      <c r="E13490" s="4" t="str">
        <v/>
      </c>
      <c r="F13490" s="102" t="str">
        <f ca="1">IFERROR(__xludf.DUMMYFUNCTION("IMPORTRANGE(H13490,""IDENTITAS UNIT!D9"")"),"#N/A")</f>
        <v>#N/A</v>
      </c>
      <c r="H13490" s="4" t="str">
        <v/>
      </c>
      <c r="I13490" s="4" t="str">
        <v/>
      </c>
    </row>
    <row r="13491" spans="5:9" ht="16.5" hidden="1">
      <c r="E13491" s="4" t="str">
        <v/>
      </c>
      <c r="F13491" s="102" t="str">
        <f ca="1">IFERROR(__xludf.DUMMYFUNCTION("IMPORTRANGE(H13491,""IDENTITAS UNIT!D9"")"),"#N/A")</f>
        <v>#N/A</v>
      </c>
      <c r="H13491" s="4" t="str">
        <v/>
      </c>
      <c r="I13491" s="4" t="str">
        <v/>
      </c>
    </row>
    <row r="13492" spans="5:9" ht="16.5" hidden="1">
      <c r="E13492" s="4" t="str">
        <v/>
      </c>
      <c r="F13492" s="102" t="str">
        <f ca="1">IFERROR(__xludf.DUMMYFUNCTION("IMPORTRANGE(H13492,""IDENTITAS UNIT!D9"")"),"#N/A")</f>
        <v>#N/A</v>
      </c>
      <c r="H13492" s="4" t="str">
        <v/>
      </c>
      <c r="I13492" s="4" t="str">
        <v/>
      </c>
    </row>
    <row r="13493" spans="5:9" ht="16.5" hidden="1">
      <c r="E13493" s="4" t="str">
        <v/>
      </c>
      <c r="F13493" s="102" t="str">
        <f ca="1">IFERROR(__xludf.DUMMYFUNCTION("IMPORTRANGE(H13493,""IDENTITAS UNIT!D9"")"),"#N/A")</f>
        <v>#N/A</v>
      </c>
      <c r="H13493" s="4" t="str">
        <v/>
      </c>
      <c r="I13493" s="4" t="str">
        <v/>
      </c>
    </row>
    <row r="13494" spans="5:9" ht="16.5" hidden="1">
      <c r="E13494" s="4" t="str">
        <v/>
      </c>
      <c r="F13494" s="102" t="str">
        <f ca="1">IFERROR(__xludf.DUMMYFUNCTION("IMPORTRANGE(H13494,""IDENTITAS UNIT!D9"")"),"#N/A")</f>
        <v>#N/A</v>
      </c>
      <c r="H13494" s="4" t="str">
        <v/>
      </c>
      <c r="I13494" s="4" t="str">
        <v/>
      </c>
    </row>
    <row r="13495" spans="5:9" ht="16.5" hidden="1">
      <c r="E13495" s="4" t="str">
        <v/>
      </c>
      <c r="F13495" s="102" t="str">
        <f ca="1">IFERROR(__xludf.DUMMYFUNCTION("IMPORTRANGE(H13495,""IDENTITAS UNIT!D9"")"),"#N/A")</f>
        <v>#N/A</v>
      </c>
      <c r="H13495" s="4" t="str">
        <v/>
      </c>
      <c r="I13495" s="4" t="str">
        <v/>
      </c>
    </row>
    <row r="13496" spans="5:9" ht="16.5" hidden="1">
      <c r="E13496" s="4" t="str">
        <v/>
      </c>
      <c r="F13496" s="102" t="str">
        <f ca="1">IFERROR(__xludf.DUMMYFUNCTION("IMPORTRANGE(H13496,""IDENTITAS UNIT!D9"")"),"#N/A")</f>
        <v>#N/A</v>
      </c>
      <c r="H13496" s="4" t="str">
        <v/>
      </c>
      <c r="I13496" s="4" t="str">
        <v/>
      </c>
    </row>
    <row r="13497" spans="5:9" ht="16.5" hidden="1">
      <c r="E13497" s="4" t="str">
        <v/>
      </c>
      <c r="F13497" s="102" t="str">
        <f ca="1">IFERROR(__xludf.DUMMYFUNCTION("IMPORTRANGE(H13497,""IDENTITAS UNIT!D9"")"),"#N/A")</f>
        <v>#N/A</v>
      </c>
      <c r="H13497" s="4" t="str">
        <v/>
      </c>
      <c r="I13497" s="4" t="str">
        <v/>
      </c>
    </row>
    <row r="13498" spans="5:9" ht="16.5" hidden="1">
      <c r="E13498" s="4" t="str">
        <v/>
      </c>
      <c r="F13498" s="102" t="str">
        <f ca="1">IFERROR(__xludf.DUMMYFUNCTION("IMPORTRANGE(H13498,""IDENTITAS UNIT!D9"")"),"#N/A")</f>
        <v>#N/A</v>
      </c>
      <c r="H13498" s="4" t="str">
        <v/>
      </c>
      <c r="I13498" s="4" t="str">
        <v/>
      </c>
    </row>
    <row r="13499" spans="5:9" ht="16.5" hidden="1">
      <c r="E13499" s="4" t="str">
        <v/>
      </c>
      <c r="F13499" s="102" t="str">
        <f ca="1">IFERROR(__xludf.DUMMYFUNCTION("IMPORTRANGE(H13499,""IDENTITAS UNIT!D9"")"),"#N/A")</f>
        <v>#N/A</v>
      </c>
      <c r="H13499" s="4" t="str">
        <v/>
      </c>
      <c r="I13499" s="4" t="str">
        <v/>
      </c>
    </row>
    <row r="13500" spans="5:9" ht="16.5" hidden="1">
      <c r="E13500" s="4" t="str">
        <v/>
      </c>
      <c r="F13500" s="102" t="str">
        <f ca="1">IFERROR(__xludf.DUMMYFUNCTION("IMPORTRANGE(H13500,""IDENTITAS UNIT!D9"")"),"#N/A")</f>
        <v>#N/A</v>
      </c>
      <c r="H13500" s="4" t="str">
        <v/>
      </c>
      <c r="I13500" s="4" t="str">
        <v/>
      </c>
    </row>
    <row r="13501" spans="5:9" ht="16.5" hidden="1">
      <c r="E13501" s="4" t="str">
        <v/>
      </c>
      <c r="F13501" s="102" t="str">
        <f ca="1">IFERROR(__xludf.DUMMYFUNCTION("IMPORTRANGE(H13501,""IDENTITAS UNIT!D9"")"),"#N/A")</f>
        <v>#N/A</v>
      </c>
      <c r="H13501" s="4" t="str">
        <v/>
      </c>
      <c r="I13501" s="4" t="str">
        <v/>
      </c>
    </row>
    <row r="13502" spans="5:9" ht="16.5" hidden="1">
      <c r="E13502" s="4" t="str">
        <v/>
      </c>
      <c r="F13502" s="102" t="str">
        <f ca="1">IFERROR(__xludf.DUMMYFUNCTION("IMPORTRANGE(H13502,""IDENTITAS UNIT!D9"")"),"#N/A")</f>
        <v>#N/A</v>
      </c>
      <c r="H13502" s="4" t="str">
        <v/>
      </c>
      <c r="I13502" s="4" t="str">
        <v/>
      </c>
    </row>
    <row r="13503" spans="5:9" ht="16.5" hidden="1">
      <c r="E13503" s="4" t="str">
        <v/>
      </c>
      <c r="F13503" s="102" t="str">
        <f ca="1">IFERROR(__xludf.DUMMYFUNCTION("IMPORTRANGE(H13503,""IDENTITAS UNIT!D9"")"),"#N/A")</f>
        <v>#N/A</v>
      </c>
      <c r="H13503" s="4" t="str">
        <v/>
      </c>
      <c r="I13503" s="4" t="str">
        <v/>
      </c>
    </row>
    <row r="13504" spans="5:9" ht="16.5" hidden="1">
      <c r="E13504" s="4" t="str">
        <v/>
      </c>
      <c r="F13504" s="102" t="str">
        <f ca="1">IFERROR(__xludf.DUMMYFUNCTION("IMPORTRANGE(H13504,""IDENTITAS UNIT!D9"")"),"#N/A")</f>
        <v>#N/A</v>
      </c>
      <c r="H13504" s="4" t="str">
        <v/>
      </c>
      <c r="I13504" s="4" t="str">
        <v/>
      </c>
    </row>
    <row r="13505" spans="5:9" ht="16.5" hidden="1">
      <c r="E13505" s="4" t="str">
        <v/>
      </c>
      <c r="F13505" s="102" t="str">
        <f ca="1">IFERROR(__xludf.DUMMYFUNCTION("IMPORTRANGE(H13505,""IDENTITAS UNIT!D9"")"),"#N/A")</f>
        <v>#N/A</v>
      </c>
      <c r="H13505" s="4" t="str">
        <v/>
      </c>
      <c r="I13505" s="4" t="str">
        <v/>
      </c>
    </row>
    <row r="13506" spans="5:9" ht="16.5" hidden="1">
      <c r="E13506" s="4" t="str">
        <v/>
      </c>
      <c r="F13506" s="102" t="str">
        <f ca="1">IFERROR(__xludf.DUMMYFUNCTION("IMPORTRANGE(H13506,""IDENTITAS UNIT!D9"")"),"#N/A")</f>
        <v>#N/A</v>
      </c>
      <c r="H13506" s="4" t="str">
        <v/>
      </c>
      <c r="I13506" s="4" t="str">
        <v/>
      </c>
    </row>
    <row r="13507" spans="5:9" ht="16.5" hidden="1">
      <c r="E13507" s="4" t="str">
        <v/>
      </c>
      <c r="F13507" s="102" t="str">
        <f ca="1">IFERROR(__xludf.DUMMYFUNCTION("IMPORTRANGE(H13507,""IDENTITAS UNIT!D9"")"),"#N/A")</f>
        <v>#N/A</v>
      </c>
      <c r="H13507" s="4" t="str">
        <v/>
      </c>
      <c r="I13507" s="4" t="str">
        <v/>
      </c>
    </row>
    <row r="13508" spans="5:9" ht="16.5" hidden="1">
      <c r="E13508" s="4" t="str">
        <v/>
      </c>
      <c r="F13508" s="102" t="str">
        <f ca="1">IFERROR(__xludf.DUMMYFUNCTION("IMPORTRANGE(H13508,""IDENTITAS UNIT!D9"")"),"#N/A")</f>
        <v>#N/A</v>
      </c>
      <c r="H13508" s="4" t="str">
        <v/>
      </c>
      <c r="I13508" s="4" t="str">
        <v/>
      </c>
    </row>
    <row r="13509" spans="5:9" ht="16.5" hidden="1">
      <c r="E13509" s="4" t="str">
        <v/>
      </c>
      <c r="F13509" s="102" t="str">
        <f ca="1">IFERROR(__xludf.DUMMYFUNCTION("IMPORTRANGE(H13509,""IDENTITAS UNIT!D9"")"),"#N/A")</f>
        <v>#N/A</v>
      </c>
      <c r="H13509" s="4" t="str">
        <v/>
      </c>
      <c r="I13509" s="4" t="str">
        <v/>
      </c>
    </row>
    <row r="13510" spans="5:9" ht="16.5" hidden="1">
      <c r="E13510" s="4" t="str">
        <v/>
      </c>
      <c r="F13510" s="102" t="str">
        <f ca="1">IFERROR(__xludf.DUMMYFUNCTION("IMPORTRANGE(H13510,""IDENTITAS UNIT!D9"")"),"#N/A")</f>
        <v>#N/A</v>
      </c>
      <c r="H13510" s="4" t="str">
        <v/>
      </c>
      <c r="I13510" s="4" t="str">
        <v/>
      </c>
    </row>
    <row r="13511" spans="5:9" ht="16.5" hidden="1">
      <c r="E13511" s="4" t="str">
        <v/>
      </c>
      <c r="F13511" s="102" t="str">
        <f ca="1">IFERROR(__xludf.DUMMYFUNCTION("IMPORTRANGE(H13511,""IDENTITAS UNIT!D9"")"),"#N/A")</f>
        <v>#N/A</v>
      </c>
      <c r="H13511" s="4" t="str">
        <v/>
      </c>
      <c r="I13511" s="4" t="str">
        <v/>
      </c>
    </row>
    <row r="13512" spans="5:9" ht="16.5" hidden="1">
      <c r="E13512" s="4" t="str">
        <v/>
      </c>
      <c r="F13512" s="102" t="str">
        <f ca="1">IFERROR(__xludf.DUMMYFUNCTION("IMPORTRANGE(H13512,""IDENTITAS UNIT!D9"")"),"#N/A")</f>
        <v>#N/A</v>
      </c>
      <c r="H13512" s="4" t="str">
        <v/>
      </c>
      <c r="I13512" s="4" t="str">
        <v/>
      </c>
    </row>
    <row r="13513" spans="5:9" ht="16.5" hidden="1">
      <c r="E13513" s="4" t="str">
        <v/>
      </c>
      <c r="F13513" s="102" t="str">
        <f ca="1">IFERROR(__xludf.DUMMYFUNCTION("IMPORTRANGE(H13513,""IDENTITAS UNIT!D9"")"),"#N/A")</f>
        <v>#N/A</v>
      </c>
      <c r="H13513" s="4" t="str">
        <v/>
      </c>
      <c r="I13513" s="4" t="str">
        <v/>
      </c>
    </row>
    <row r="13514" spans="5:9" ht="16.5" hidden="1">
      <c r="E13514" s="4" t="str">
        <v/>
      </c>
      <c r="F13514" s="102" t="str">
        <f ca="1">IFERROR(__xludf.DUMMYFUNCTION("IMPORTRANGE(H13514,""IDENTITAS UNIT!D9"")"),"#N/A")</f>
        <v>#N/A</v>
      </c>
      <c r="H13514" s="4" t="str">
        <v/>
      </c>
      <c r="I13514" s="4" t="str">
        <v/>
      </c>
    </row>
    <row r="13515" spans="5:9" ht="16.5" hidden="1">
      <c r="E13515" s="4" t="str">
        <v/>
      </c>
      <c r="F13515" s="102" t="str">
        <f ca="1">IFERROR(__xludf.DUMMYFUNCTION("IMPORTRANGE(H13515,""IDENTITAS UNIT!D9"")"),"#N/A")</f>
        <v>#N/A</v>
      </c>
      <c r="H13515" s="4" t="str">
        <v/>
      </c>
      <c r="I13515" s="4" t="str">
        <v/>
      </c>
    </row>
    <row r="13516" spans="5:9" ht="16.5" hidden="1">
      <c r="E13516" s="4" t="str">
        <v/>
      </c>
      <c r="F13516" s="102" t="str">
        <f ca="1">IFERROR(__xludf.DUMMYFUNCTION("IMPORTRANGE(H13516,""IDENTITAS UNIT!D9"")"),"#N/A")</f>
        <v>#N/A</v>
      </c>
      <c r="H13516" s="4" t="str">
        <v/>
      </c>
      <c r="I13516" s="4" t="str">
        <v/>
      </c>
    </row>
    <row r="13517" spans="5:9" ht="16.5" hidden="1">
      <c r="E13517" s="4" t="str">
        <v/>
      </c>
      <c r="F13517" s="102" t="str">
        <f ca="1">IFERROR(__xludf.DUMMYFUNCTION("IMPORTRANGE(H13517,""IDENTITAS UNIT!D9"")"),"#N/A")</f>
        <v>#N/A</v>
      </c>
      <c r="H13517" s="4" t="str">
        <v/>
      </c>
      <c r="I13517" s="4" t="str">
        <v/>
      </c>
    </row>
    <row r="13518" spans="5:9" ht="16.5" hidden="1">
      <c r="E13518" s="4" t="str">
        <v/>
      </c>
      <c r="F13518" s="102" t="str">
        <f ca="1">IFERROR(__xludf.DUMMYFUNCTION("IMPORTRANGE(H13518,""IDENTITAS UNIT!D9"")"),"#N/A")</f>
        <v>#N/A</v>
      </c>
      <c r="H13518" s="4" t="str">
        <v/>
      </c>
      <c r="I13518" s="4" t="str">
        <v/>
      </c>
    </row>
    <row r="13519" spans="5:9" ht="16.5" hidden="1">
      <c r="E13519" s="4" t="str">
        <v/>
      </c>
      <c r="F13519" s="102" t="str">
        <f ca="1">IFERROR(__xludf.DUMMYFUNCTION("IMPORTRANGE(H13519,""IDENTITAS UNIT!D9"")"),"#N/A")</f>
        <v>#N/A</v>
      </c>
      <c r="H13519" s="4" t="str">
        <v/>
      </c>
      <c r="I13519" s="4" t="str">
        <v/>
      </c>
    </row>
    <row r="13520" spans="5:9" ht="16.5" hidden="1">
      <c r="E13520" s="4" t="str">
        <v/>
      </c>
      <c r="F13520" s="102" t="str">
        <f ca="1">IFERROR(__xludf.DUMMYFUNCTION("IMPORTRANGE(H13520,""IDENTITAS UNIT!D9"")"),"#N/A")</f>
        <v>#N/A</v>
      </c>
      <c r="H13520" s="4" t="str">
        <v/>
      </c>
      <c r="I13520" s="4" t="str">
        <v/>
      </c>
    </row>
    <row r="13521" spans="5:9" ht="16.5" hidden="1">
      <c r="E13521" s="4" t="str">
        <v/>
      </c>
      <c r="F13521" s="102" t="str">
        <f ca="1">IFERROR(__xludf.DUMMYFUNCTION("IMPORTRANGE(H13521,""IDENTITAS UNIT!D9"")"),"#N/A")</f>
        <v>#N/A</v>
      </c>
      <c r="H13521" s="4" t="str">
        <v/>
      </c>
      <c r="I13521" s="4" t="str">
        <v/>
      </c>
    </row>
    <row r="13522" spans="5:9" ht="16.5" hidden="1">
      <c r="E13522" s="4" t="str">
        <v/>
      </c>
      <c r="F13522" s="102" t="str">
        <f ca="1">IFERROR(__xludf.DUMMYFUNCTION("IMPORTRANGE(H13522,""IDENTITAS UNIT!D9"")"),"#N/A")</f>
        <v>#N/A</v>
      </c>
      <c r="H13522" s="4" t="str">
        <v/>
      </c>
      <c r="I13522" s="4" t="str">
        <v/>
      </c>
    </row>
    <row r="13523" spans="5:9" ht="16.5" hidden="1">
      <c r="E13523" s="4" t="str">
        <v/>
      </c>
      <c r="F13523" s="102" t="str">
        <f ca="1">IFERROR(__xludf.DUMMYFUNCTION("IMPORTRANGE(H13523,""IDENTITAS UNIT!D9"")"),"#N/A")</f>
        <v>#N/A</v>
      </c>
      <c r="H13523" s="4" t="str">
        <v/>
      </c>
      <c r="I13523" s="4" t="str">
        <v/>
      </c>
    </row>
    <row r="13524" spans="5:9" ht="16.5" hidden="1">
      <c r="E13524" s="4" t="str">
        <v/>
      </c>
      <c r="F13524" s="102" t="str">
        <f ca="1">IFERROR(__xludf.DUMMYFUNCTION("IMPORTRANGE(H13524,""IDENTITAS UNIT!D9"")"),"#N/A")</f>
        <v>#N/A</v>
      </c>
      <c r="H13524" s="4" t="str">
        <v/>
      </c>
      <c r="I13524" s="4" t="str">
        <v/>
      </c>
    </row>
    <row r="13525" spans="5:9" ht="16.5" hidden="1">
      <c r="E13525" s="4" t="str">
        <v/>
      </c>
      <c r="F13525" s="102" t="str">
        <f ca="1">IFERROR(__xludf.DUMMYFUNCTION("IMPORTRANGE(H13525,""IDENTITAS UNIT!D9"")"),"#N/A")</f>
        <v>#N/A</v>
      </c>
      <c r="H13525" s="4" t="str">
        <v/>
      </c>
      <c r="I13525" s="4" t="str">
        <v/>
      </c>
    </row>
    <row r="13526" spans="5:9" ht="16.5" hidden="1">
      <c r="E13526" s="4" t="str">
        <v/>
      </c>
      <c r="F13526" s="102" t="str">
        <f ca="1">IFERROR(__xludf.DUMMYFUNCTION("IMPORTRANGE(H13526,""IDENTITAS UNIT!D9"")"),"#N/A")</f>
        <v>#N/A</v>
      </c>
      <c r="H13526" s="4" t="str">
        <v/>
      </c>
      <c r="I13526" s="4" t="str">
        <v/>
      </c>
    </row>
    <row r="13527" spans="5:9" ht="16.5" hidden="1">
      <c r="E13527" s="4" t="str">
        <v/>
      </c>
      <c r="F13527" s="102" t="str">
        <f ca="1">IFERROR(__xludf.DUMMYFUNCTION("IMPORTRANGE(H13527,""IDENTITAS UNIT!D9"")"),"#N/A")</f>
        <v>#N/A</v>
      </c>
      <c r="H13527" s="4" t="str">
        <v/>
      </c>
      <c r="I13527" s="4" t="str">
        <v/>
      </c>
    </row>
    <row r="13528" spans="5:9" ht="16.5" hidden="1">
      <c r="E13528" s="4" t="str">
        <v/>
      </c>
      <c r="F13528" s="102" t="str">
        <f ca="1">IFERROR(__xludf.DUMMYFUNCTION("IMPORTRANGE(H13528,""IDENTITAS UNIT!D9"")"),"#N/A")</f>
        <v>#N/A</v>
      </c>
      <c r="H13528" s="4" t="str">
        <v/>
      </c>
      <c r="I13528" s="4" t="str">
        <v/>
      </c>
    </row>
    <row r="13529" spans="5:9" ht="16.5" hidden="1">
      <c r="E13529" s="4" t="str">
        <v/>
      </c>
      <c r="F13529" s="102" t="str">
        <f ca="1">IFERROR(__xludf.DUMMYFUNCTION("IMPORTRANGE(H13529,""IDENTITAS UNIT!D9"")"),"#N/A")</f>
        <v>#N/A</v>
      </c>
      <c r="H13529" s="4" t="str">
        <v/>
      </c>
      <c r="I13529" s="4" t="str">
        <v/>
      </c>
    </row>
    <row r="13530" spans="5:9" ht="16.5" hidden="1">
      <c r="E13530" s="4" t="str">
        <v/>
      </c>
      <c r="F13530" s="102" t="str">
        <f ca="1">IFERROR(__xludf.DUMMYFUNCTION("IMPORTRANGE(H13530,""IDENTITAS UNIT!D9"")"),"#N/A")</f>
        <v>#N/A</v>
      </c>
      <c r="H13530" s="4" t="str">
        <v/>
      </c>
      <c r="I13530" s="4" t="str">
        <v/>
      </c>
    </row>
    <row r="13531" spans="5:9" ht="16.5" hidden="1">
      <c r="E13531" s="4" t="str">
        <v/>
      </c>
      <c r="F13531" s="102" t="str">
        <f ca="1">IFERROR(__xludf.DUMMYFUNCTION("IMPORTRANGE(H13531,""IDENTITAS UNIT!D9"")"),"#N/A")</f>
        <v>#N/A</v>
      </c>
      <c r="H13531" s="4" t="str">
        <v/>
      </c>
      <c r="I13531" s="4" t="str">
        <v/>
      </c>
    </row>
    <row r="13532" spans="5:9" ht="16.5" hidden="1">
      <c r="E13532" s="4" t="str">
        <v/>
      </c>
      <c r="F13532" s="102" t="str">
        <f ca="1">IFERROR(__xludf.DUMMYFUNCTION("IMPORTRANGE(H13532,""IDENTITAS UNIT!D9"")"),"#N/A")</f>
        <v>#N/A</v>
      </c>
      <c r="H13532" s="4" t="str">
        <v/>
      </c>
      <c r="I13532" s="4" t="str">
        <v/>
      </c>
    </row>
    <row r="13533" spans="5:9" ht="16.5" hidden="1">
      <c r="E13533" s="4" t="str">
        <v/>
      </c>
      <c r="F13533" s="102" t="str">
        <f ca="1">IFERROR(__xludf.DUMMYFUNCTION("IMPORTRANGE(H13533,""IDENTITAS UNIT!D9"")"),"#N/A")</f>
        <v>#N/A</v>
      </c>
      <c r="H13533" s="4" t="str">
        <v/>
      </c>
      <c r="I13533" s="4" t="str">
        <v/>
      </c>
    </row>
    <row r="13534" spans="5:9" ht="16.5" hidden="1">
      <c r="E13534" s="4" t="str">
        <v/>
      </c>
      <c r="F13534" s="102" t="str">
        <f ca="1">IFERROR(__xludf.DUMMYFUNCTION("IMPORTRANGE(H13534,""IDENTITAS UNIT!D9"")"),"#N/A")</f>
        <v>#N/A</v>
      </c>
      <c r="H13534" s="4" t="str">
        <v/>
      </c>
      <c r="I13534" s="4" t="str">
        <v/>
      </c>
    </row>
    <row r="13535" spans="5:9" ht="16.5" hidden="1">
      <c r="E13535" s="4" t="str">
        <v/>
      </c>
      <c r="F13535" s="102" t="str">
        <f ca="1">IFERROR(__xludf.DUMMYFUNCTION("IMPORTRANGE(H13535,""IDENTITAS UNIT!D9"")"),"#N/A")</f>
        <v>#N/A</v>
      </c>
      <c r="H13535" s="4" t="str">
        <v/>
      </c>
      <c r="I13535" s="4" t="str">
        <v/>
      </c>
    </row>
    <row r="13536" spans="5:9" ht="16.5" hidden="1">
      <c r="E13536" s="4" t="str">
        <v/>
      </c>
      <c r="F13536" s="102" t="str">
        <f ca="1">IFERROR(__xludf.DUMMYFUNCTION("IMPORTRANGE(H13536,""IDENTITAS UNIT!D9"")"),"#N/A")</f>
        <v>#N/A</v>
      </c>
      <c r="H13536" s="4" t="str">
        <v/>
      </c>
      <c r="I13536" s="4" t="str">
        <v/>
      </c>
    </row>
    <row r="13537" spans="5:9" ht="16.5" hidden="1">
      <c r="E13537" s="4" t="str">
        <v/>
      </c>
      <c r="F13537" s="102" t="str">
        <f ca="1">IFERROR(__xludf.DUMMYFUNCTION("IMPORTRANGE(H13537,""IDENTITAS UNIT!D9"")"),"#N/A")</f>
        <v>#N/A</v>
      </c>
      <c r="H13537" s="4" t="str">
        <v/>
      </c>
      <c r="I13537" s="4" t="str">
        <v/>
      </c>
    </row>
    <row r="13538" spans="5:9" ht="16.5" hidden="1">
      <c r="E13538" s="4" t="str">
        <v/>
      </c>
      <c r="F13538" s="102" t="str">
        <f ca="1">IFERROR(__xludf.DUMMYFUNCTION("IMPORTRANGE(H13538,""IDENTITAS UNIT!D9"")"),"#N/A")</f>
        <v>#N/A</v>
      </c>
      <c r="H13538" s="4" t="str">
        <v/>
      </c>
      <c r="I13538" s="4" t="str">
        <v/>
      </c>
    </row>
    <row r="13539" spans="5:9" ht="16.5" hidden="1">
      <c r="E13539" s="4" t="str">
        <v/>
      </c>
      <c r="F13539" s="102" t="str">
        <f ca="1">IFERROR(__xludf.DUMMYFUNCTION("IMPORTRANGE(H13539,""IDENTITAS UNIT!D9"")"),"#N/A")</f>
        <v>#N/A</v>
      </c>
      <c r="H13539" s="4" t="str">
        <v/>
      </c>
      <c r="I13539" s="4" t="str">
        <v/>
      </c>
    </row>
    <row r="13540" spans="5:9" ht="16.5" hidden="1">
      <c r="E13540" s="4" t="str">
        <v/>
      </c>
      <c r="F13540" s="102" t="str">
        <f ca="1">IFERROR(__xludf.DUMMYFUNCTION("IMPORTRANGE(H13540,""IDENTITAS UNIT!D9"")"),"#N/A")</f>
        <v>#N/A</v>
      </c>
      <c r="H13540" s="4" t="str">
        <v/>
      </c>
      <c r="I13540" s="4" t="str">
        <v/>
      </c>
    </row>
    <row r="13541" spans="5:9" ht="16.5" hidden="1">
      <c r="E13541" s="4" t="str">
        <v/>
      </c>
      <c r="F13541" s="102" t="str">
        <f ca="1">IFERROR(__xludf.DUMMYFUNCTION("IMPORTRANGE(H13541,""IDENTITAS UNIT!D9"")"),"#N/A")</f>
        <v>#N/A</v>
      </c>
      <c r="H13541" s="4" t="str">
        <v/>
      </c>
      <c r="I13541" s="4" t="str">
        <v/>
      </c>
    </row>
    <row r="13542" spans="5:9" ht="16.5" hidden="1">
      <c r="E13542" s="4" t="str">
        <v/>
      </c>
      <c r="F13542" s="102" t="str">
        <f ca="1">IFERROR(__xludf.DUMMYFUNCTION("IMPORTRANGE(H13542,""IDENTITAS UNIT!D9"")"),"#N/A")</f>
        <v>#N/A</v>
      </c>
      <c r="H13542" s="4" t="str">
        <v/>
      </c>
      <c r="I13542" s="4" t="str">
        <v/>
      </c>
    </row>
    <row r="13543" spans="5:9" ht="16.5" hidden="1">
      <c r="E13543" s="4" t="str">
        <v/>
      </c>
      <c r="F13543" s="102" t="str">
        <f ca="1">IFERROR(__xludf.DUMMYFUNCTION("IMPORTRANGE(H13543,""IDENTITAS UNIT!D9"")"),"#N/A")</f>
        <v>#N/A</v>
      </c>
      <c r="H13543" s="4" t="str">
        <v/>
      </c>
      <c r="I13543" s="4" t="str">
        <v/>
      </c>
    </row>
    <row r="13544" spans="5:9" ht="16.5" hidden="1">
      <c r="E13544" s="4" t="str">
        <v/>
      </c>
      <c r="F13544" s="102" t="str">
        <f ca="1">IFERROR(__xludf.DUMMYFUNCTION("IMPORTRANGE(H13544,""IDENTITAS UNIT!D9"")"),"#N/A")</f>
        <v>#N/A</v>
      </c>
      <c r="H13544" s="4" t="str">
        <v/>
      </c>
      <c r="I13544" s="4" t="str">
        <v/>
      </c>
    </row>
    <row r="13545" spans="5:9" ht="16.5" hidden="1">
      <c r="E13545" s="4" t="str">
        <v/>
      </c>
      <c r="F13545" s="102" t="str">
        <f ca="1">IFERROR(__xludf.DUMMYFUNCTION("IMPORTRANGE(H13545,""IDENTITAS UNIT!D9"")"),"#N/A")</f>
        <v>#N/A</v>
      </c>
      <c r="H13545" s="4" t="str">
        <v/>
      </c>
      <c r="I13545" s="4" t="str">
        <v/>
      </c>
    </row>
    <row r="13546" spans="5:9" ht="16.5" hidden="1">
      <c r="E13546" s="4" t="str">
        <v/>
      </c>
      <c r="F13546" s="102" t="str">
        <f ca="1">IFERROR(__xludf.DUMMYFUNCTION("IMPORTRANGE(H13546,""IDENTITAS UNIT!D9"")"),"#N/A")</f>
        <v>#N/A</v>
      </c>
      <c r="H13546" s="4" t="str">
        <v/>
      </c>
      <c r="I13546" s="4" t="str">
        <v/>
      </c>
    </row>
    <row r="13547" spans="5:9" ht="16.5" hidden="1">
      <c r="E13547" s="4" t="str">
        <v/>
      </c>
      <c r="F13547" s="102" t="str">
        <f ca="1">IFERROR(__xludf.DUMMYFUNCTION("IMPORTRANGE(H13547,""IDENTITAS UNIT!D9"")"),"#N/A")</f>
        <v>#N/A</v>
      </c>
      <c r="H13547" s="4" t="str">
        <v/>
      </c>
      <c r="I13547" s="4" t="str">
        <v/>
      </c>
    </row>
    <row r="13548" spans="5:9" ht="16.5" hidden="1">
      <c r="E13548" s="4" t="str">
        <v/>
      </c>
      <c r="F13548" s="102" t="str">
        <f ca="1">IFERROR(__xludf.DUMMYFUNCTION("IMPORTRANGE(H13548,""IDENTITAS UNIT!D9"")"),"#N/A")</f>
        <v>#N/A</v>
      </c>
      <c r="H13548" s="4" t="str">
        <v/>
      </c>
      <c r="I13548" s="4" t="str">
        <v/>
      </c>
    </row>
    <row r="13549" spans="5:9" ht="16.5" hidden="1">
      <c r="E13549" s="4" t="str">
        <v/>
      </c>
      <c r="F13549" s="102" t="str">
        <f ca="1">IFERROR(__xludf.DUMMYFUNCTION("IMPORTRANGE(H13549,""IDENTITAS UNIT!D9"")"),"#N/A")</f>
        <v>#N/A</v>
      </c>
      <c r="H13549" s="4" t="str">
        <v/>
      </c>
      <c r="I13549" s="4" t="str">
        <v/>
      </c>
    </row>
    <row r="13550" spans="5:9" ht="16.5" hidden="1">
      <c r="E13550" s="4" t="str">
        <v/>
      </c>
      <c r="F13550" s="102" t="str">
        <f ca="1">IFERROR(__xludf.DUMMYFUNCTION("IMPORTRANGE(H13550,""IDENTITAS UNIT!D9"")"),"#N/A")</f>
        <v>#N/A</v>
      </c>
      <c r="H13550" s="4" t="str">
        <v/>
      </c>
      <c r="I13550" s="4" t="str">
        <v/>
      </c>
    </row>
    <row r="13551" spans="5:9" ht="16.5" hidden="1">
      <c r="E13551" s="4" t="str">
        <v/>
      </c>
      <c r="F13551" s="102" t="str">
        <f ca="1">IFERROR(__xludf.DUMMYFUNCTION("IMPORTRANGE(H13551,""IDENTITAS UNIT!D9"")"),"#N/A")</f>
        <v>#N/A</v>
      </c>
      <c r="H13551" s="4" t="str">
        <v/>
      </c>
      <c r="I13551" s="4" t="str">
        <v/>
      </c>
    </row>
    <row r="13552" spans="5:9" ht="16.5" hidden="1">
      <c r="E13552" s="4" t="str">
        <v/>
      </c>
      <c r="F13552" s="102" t="str">
        <f ca="1">IFERROR(__xludf.DUMMYFUNCTION("IMPORTRANGE(H13552,""IDENTITAS UNIT!D9"")"),"#N/A")</f>
        <v>#N/A</v>
      </c>
      <c r="H13552" s="4" t="str">
        <v/>
      </c>
      <c r="I13552" s="4" t="str">
        <v/>
      </c>
    </row>
    <row r="13553" spans="5:9" ht="16.5" hidden="1">
      <c r="E13553" s="4" t="str">
        <v/>
      </c>
      <c r="F13553" s="102" t="str">
        <f ca="1">IFERROR(__xludf.DUMMYFUNCTION("IMPORTRANGE(H13553,""IDENTITAS UNIT!D9"")"),"#N/A")</f>
        <v>#N/A</v>
      </c>
      <c r="H13553" s="4" t="str">
        <v/>
      </c>
      <c r="I13553" s="4" t="str">
        <v/>
      </c>
    </row>
    <row r="13554" spans="5:9" ht="16.5" hidden="1">
      <c r="E13554" s="4" t="str">
        <v/>
      </c>
      <c r="F13554" s="102" t="str">
        <f ca="1">IFERROR(__xludf.DUMMYFUNCTION("IMPORTRANGE(H13554,""IDENTITAS UNIT!D9"")"),"#N/A")</f>
        <v>#N/A</v>
      </c>
      <c r="H13554" s="4" t="str">
        <v/>
      </c>
      <c r="I13554" s="4" t="str">
        <v/>
      </c>
    </row>
    <row r="13555" spans="5:9" ht="16.5" hidden="1">
      <c r="E13555" s="4" t="str">
        <v/>
      </c>
      <c r="F13555" s="102" t="str">
        <f ca="1">IFERROR(__xludf.DUMMYFUNCTION("IMPORTRANGE(H13555,""IDENTITAS UNIT!D9"")"),"#N/A")</f>
        <v>#N/A</v>
      </c>
      <c r="H13555" s="4" t="str">
        <v/>
      </c>
      <c r="I13555" s="4" t="str">
        <v/>
      </c>
    </row>
    <row r="13556" spans="5:9" ht="16.5" hidden="1">
      <c r="E13556" s="4" t="str">
        <v/>
      </c>
      <c r="F13556" s="102" t="str">
        <f ca="1">IFERROR(__xludf.DUMMYFUNCTION("IMPORTRANGE(H13556,""IDENTITAS UNIT!D9"")"),"#N/A")</f>
        <v>#N/A</v>
      </c>
      <c r="H13556" s="4" t="str">
        <v/>
      </c>
      <c r="I13556" s="4" t="str">
        <v/>
      </c>
    </row>
    <row r="13557" spans="5:9" ht="16.5" hidden="1">
      <c r="E13557" s="4" t="str">
        <v/>
      </c>
      <c r="F13557" s="102" t="str">
        <f ca="1">IFERROR(__xludf.DUMMYFUNCTION("IMPORTRANGE(H13557,""IDENTITAS UNIT!D9"")"),"#N/A")</f>
        <v>#N/A</v>
      </c>
      <c r="H13557" s="4" t="str">
        <v/>
      </c>
      <c r="I13557" s="4" t="str">
        <v/>
      </c>
    </row>
    <row r="13558" spans="5:9" ht="16.5" hidden="1">
      <c r="E13558" s="4" t="str">
        <v/>
      </c>
      <c r="F13558" s="102" t="str">
        <f ca="1">IFERROR(__xludf.DUMMYFUNCTION("IMPORTRANGE(H13558,""IDENTITAS UNIT!D9"")"),"#N/A")</f>
        <v>#N/A</v>
      </c>
      <c r="H13558" s="4" t="str">
        <v/>
      </c>
      <c r="I13558" s="4" t="str">
        <v/>
      </c>
    </row>
    <row r="13559" spans="5:9" ht="16.5" hidden="1">
      <c r="E13559" s="4" t="str">
        <v/>
      </c>
      <c r="F13559" s="102" t="str">
        <f ca="1">IFERROR(__xludf.DUMMYFUNCTION("IMPORTRANGE(H13559,""IDENTITAS UNIT!D9"")"),"#N/A")</f>
        <v>#N/A</v>
      </c>
      <c r="H13559" s="4" t="str">
        <v/>
      </c>
      <c r="I13559" s="4" t="str">
        <v/>
      </c>
    </row>
    <row r="13560" spans="5:9" ht="16.5" hidden="1">
      <c r="E13560" s="4" t="str">
        <v/>
      </c>
      <c r="F13560" s="102" t="str">
        <f ca="1">IFERROR(__xludf.DUMMYFUNCTION("IMPORTRANGE(H13560,""IDENTITAS UNIT!D9"")"),"#N/A")</f>
        <v>#N/A</v>
      </c>
      <c r="H13560" s="4" t="str">
        <v/>
      </c>
      <c r="I13560" s="4" t="str">
        <v/>
      </c>
    </row>
    <row r="13561" spans="5:9" ht="16.5" hidden="1">
      <c r="E13561" s="4" t="str">
        <v/>
      </c>
      <c r="F13561" s="102" t="str">
        <f ca="1">IFERROR(__xludf.DUMMYFUNCTION("IMPORTRANGE(H13561,""IDENTITAS UNIT!D9"")"),"#N/A")</f>
        <v>#N/A</v>
      </c>
      <c r="H13561" s="4" t="str">
        <v/>
      </c>
      <c r="I13561" s="4" t="str">
        <v/>
      </c>
    </row>
    <row r="13562" spans="5:9" ht="16.5" hidden="1">
      <c r="E13562" s="4" t="str">
        <v/>
      </c>
      <c r="F13562" s="102" t="str">
        <f ca="1">IFERROR(__xludf.DUMMYFUNCTION("IMPORTRANGE(H13562,""IDENTITAS UNIT!D9"")"),"#N/A")</f>
        <v>#N/A</v>
      </c>
      <c r="H13562" s="4" t="str">
        <v/>
      </c>
      <c r="I13562" s="4" t="str">
        <v/>
      </c>
    </row>
    <row r="13563" spans="5:9" ht="16.5" hidden="1">
      <c r="E13563" s="4" t="str">
        <v/>
      </c>
      <c r="F13563" s="102" t="str">
        <f ca="1">IFERROR(__xludf.DUMMYFUNCTION("IMPORTRANGE(H13563,""IDENTITAS UNIT!D9"")"),"#N/A")</f>
        <v>#N/A</v>
      </c>
      <c r="H13563" s="4" t="str">
        <v/>
      </c>
      <c r="I13563" s="4" t="str">
        <v/>
      </c>
    </row>
    <row r="13564" spans="5:9" ht="16.5" hidden="1">
      <c r="E13564" s="4" t="str">
        <v/>
      </c>
      <c r="F13564" s="102" t="str">
        <f ca="1">IFERROR(__xludf.DUMMYFUNCTION("IMPORTRANGE(H13564,""IDENTITAS UNIT!D9"")"),"#N/A")</f>
        <v>#N/A</v>
      </c>
      <c r="H13564" s="4" t="str">
        <v/>
      </c>
      <c r="I13564" s="4" t="str">
        <v/>
      </c>
    </row>
    <row r="13565" spans="5:9" ht="16.5" hidden="1">
      <c r="E13565" s="4" t="str">
        <v/>
      </c>
      <c r="F13565" s="102" t="str">
        <f ca="1">IFERROR(__xludf.DUMMYFUNCTION("IMPORTRANGE(H13565,""IDENTITAS UNIT!D9"")"),"#N/A")</f>
        <v>#N/A</v>
      </c>
      <c r="H13565" s="4" t="str">
        <v/>
      </c>
      <c r="I13565" s="4" t="str">
        <v/>
      </c>
    </row>
    <row r="13566" spans="5:9" ht="16.5" hidden="1">
      <c r="E13566" s="4" t="str">
        <v/>
      </c>
      <c r="F13566" s="102" t="str">
        <f ca="1">IFERROR(__xludf.DUMMYFUNCTION("IMPORTRANGE(H13566,""IDENTITAS UNIT!D9"")"),"#N/A")</f>
        <v>#N/A</v>
      </c>
      <c r="H13566" s="4" t="str">
        <v/>
      </c>
      <c r="I13566" s="4" t="str">
        <v/>
      </c>
    </row>
    <row r="13567" spans="5:9" ht="16.5" hidden="1">
      <c r="E13567" s="4" t="str">
        <v/>
      </c>
      <c r="F13567" s="102" t="str">
        <f ca="1">IFERROR(__xludf.DUMMYFUNCTION("IMPORTRANGE(H13567,""IDENTITAS UNIT!D9"")"),"#N/A")</f>
        <v>#N/A</v>
      </c>
      <c r="H13567" s="4" t="str">
        <v/>
      </c>
      <c r="I13567" s="4" t="str">
        <v/>
      </c>
    </row>
    <row r="13568" spans="5:9" ht="16.5" hidden="1">
      <c r="E13568" s="4" t="str">
        <v/>
      </c>
      <c r="F13568" s="102" t="str">
        <f ca="1">IFERROR(__xludf.DUMMYFUNCTION("IMPORTRANGE(H13568,""IDENTITAS UNIT!D9"")"),"#N/A")</f>
        <v>#N/A</v>
      </c>
      <c r="H13568" s="4" t="str">
        <v/>
      </c>
      <c r="I13568" s="4" t="str">
        <v/>
      </c>
    </row>
    <row r="13569" spans="5:9" ht="16.5" hidden="1">
      <c r="E13569" s="4" t="str">
        <v/>
      </c>
      <c r="F13569" s="102" t="str">
        <f ca="1">IFERROR(__xludf.DUMMYFUNCTION("IMPORTRANGE(H13569,""IDENTITAS UNIT!D9"")"),"#N/A")</f>
        <v>#N/A</v>
      </c>
      <c r="H13569" s="4" t="str">
        <v/>
      </c>
      <c r="I13569" s="4" t="str">
        <v/>
      </c>
    </row>
    <row r="13570" spans="5:9" ht="16.5" hidden="1">
      <c r="E13570" s="4" t="str">
        <v/>
      </c>
      <c r="F13570" s="102" t="str">
        <f ca="1">IFERROR(__xludf.DUMMYFUNCTION("IMPORTRANGE(H13570,""IDENTITAS UNIT!D9"")"),"#N/A")</f>
        <v>#N/A</v>
      </c>
      <c r="H13570" s="4" t="str">
        <v/>
      </c>
      <c r="I13570" s="4" t="str">
        <v/>
      </c>
    </row>
    <row r="13571" spans="5:9" ht="16.5" hidden="1">
      <c r="E13571" s="4" t="str">
        <v/>
      </c>
      <c r="F13571" s="102" t="str">
        <f ca="1">IFERROR(__xludf.DUMMYFUNCTION("IMPORTRANGE(H13571,""IDENTITAS UNIT!D9"")"),"#N/A")</f>
        <v>#N/A</v>
      </c>
      <c r="H13571" s="4" t="str">
        <v/>
      </c>
      <c r="I13571" s="4" t="str">
        <v/>
      </c>
    </row>
    <row r="13572" spans="5:9" ht="16.5" hidden="1">
      <c r="E13572" s="4" t="str">
        <v/>
      </c>
      <c r="F13572" s="102" t="str">
        <f ca="1">IFERROR(__xludf.DUMMYFUNCTION("IMPORTRANGE(H13572,""IDENTITAS UNIT!D9"")"),"#N/A")</f>
        <v>#N/A</v>
      </c>
      <c r="H13572" s="4" t="str">
        <v/>
      </c>
      <c r="I13572" s="4" t="str">
        <v/>
      </c>
    </row>
    <row r="13573" spans="5:9" ht="16.5" hidden="1">
      <c r="E13573" s="4" t="str">
        <v/>
      </c>
      <c r="F13573" s="102" t="str">
        <f ca="1">IFERROR(__xludf.DUMMYFUNCTION("IMPORTRANGE(H13573,""IDENTITAS UNIT!D9"")"),"#N/A")</f>
        <v>#N/A</v>
      </c>
      <c r="H13573" s="4" t="str">
        <v/>
      </c>
      <c r="I13573" s="4" t="str">
        <v/>
      </c>
    </row>
    <row r="13574" spans="5:9" ht="16.5" hidden="1">
      <c r="E13574" s="4" t="str">
        <v/>
      </c>
      <c r="F13574" s="102" t="str">
        <f ca="1">IFERROR(__xludf.DUMMYFUNCTION("IMPORTRANGE(H13574,""IDENTITAS UNIT!D9"")"),"#N/A")</f>
        <v>#N/A</v>
      </c>
      <c r="H13574" s="4" t="str">
        <v/>
      </c>
      <c r="I13574" s="4" t="str">
        <v/>
      </c>
    </row>
    <row r="13575" spans="5:9" ht="16.5" hidden="1">
      <c r="E13575" s="4" t="str">
        <v/>
      </c>
      <c r="F13575" s="102" t="str">
        <f ca="1">IFERROR(__xludf.DUMMYFUNCTION("IMPORTRANGE(H13575,""IDENTITAS UNIT!D9"")"),"#N/A")</f>
        <v>#N/A</v>
      </c>
      <c r="H13575" s="4" t="str">
        <v/>
      </c>
      <c r="I13575" s="4" t="str">
        <v/>
      </c>
    </row>
    <row r="13576" spans="5:9" ht="16.5" hidden="1">
      <c r="E13576" s="4" t="str">
        <v/>
      </c>
      <c r="F13576" s="102" t="str">
        <f ca="1">IFERROR(__xludf.DUMMYFUNCTION("IMPORTRANGE(H13576,""IDENTITAS UNIT!D9"")"),"#N/A")</f>
        <v>#N/A</v>
      </c>
      <c r="H13576" s="4" t="str">
        <v/>
      </c>
      <c r="I13576" s="4" t="str">
        <v/>
      </c>
    </row>
    <row r="13577" spans="5:9" ht="16.5" hidden="1">
      <c r="E13577" s="4" t="str">
        <v/>
      </c>
      <c r="F13577" s="102" t="str">
        <f ca="1">IFERROR(__xludf.DUMMYFUNCTION("IMPORTRANGE(H13577,""IDENTITAS UNIT!D9"")"),"#N/A")</f>
        <v>#N/A</v>
      </c>
      <c r="H13577" s="4" t="str">
        <v/>
      </c>
      <c r="I13577" s="4" t="str">
        <v/>
      </c>
    </row>
    <row r="13578" spans="5:9" ht="16.5" hidden="1">
      <c r="E13578" s="4" t="str">
        <v/>
      </c>
      <c r="F13578" s="102" t="str">
        <f ca="1">IFERROR(__xludf.DUMMYFUNCTION("IMPORTRANGE(H13578,""IDENTITAS UNIT!D9"")"),"#N/A")</f>
        <v>#N/A</v>
      </c>
      <c r="H13578" s="4" t="str">
        <v/>
      </c>
      <c r="I13578" s="4" t="str">
        <v/>
      </c>
    </row>
    <row r="13579" spans="5:9" ht="16.5" hidden="1">
      <c r="E13579" s="4" t="str">
        <v/>
      </c>
      <c r="F13579" s="102" t="str">
        <f ca="1">IFERROR(__xludf.DUMMYFUNCTION("IMPORTRANGE(H13579,""IDENTITAS UNIT!D9"")"),"#N/A")</f>
        <v>#N/A</v>
      </c>
      <c r="H13579" s="4" t="str">
        <v/>
      </c>
      <c r="I13579" s="4" t="str">
        <v/>
      </c>
    </row>
    <row r="13580" spans="5:9" ht="16.5" hidden="1">
      <c r="E13580" s="4" t="str">
        <v/>
      </c>
      <c r="F13580" s="102" t="str">
        <f ca="1">IFERROR(__xludf.DUMMYFUNCTION("IMPORTRANGE(H13580,""IDENTITAS UNIT!D9"")"),"#N/A")</f>
        <v>#N/A</v>
      </c>
      <c r="H13580" s="4" t="str">
        <v/>
      </c>
      <c r="I13580" s="4" t="str">
        <v/>
      </c>
    </row>
    <row r="13581" spans="5:9" ht="16.5" hidden="1">
      <c r="E13581" s="4" t="str">
        <v/>
      </c>
      <c r="F13581" s="102" t="str">
        <f ca="1">IFERROR(__xludf.DUMMYFUNCTION("IMPORTRANGE(H13581,""IDENTITAS UNIT!D9"")"),"#N/A")</f>
        <v>#N/A</v>
      </c>
      <c r="H13581" s="4" t="str">
        <v/>
      </c>
      <c r="I13581" s="4" t="str">
        <v/>
      </c>
    </row>
    <row r="13582" spans="5:9" ht="16.5" hidden="1">
      <c r="E13582" s="4" t="str">
        <v/>
      </c>
      <c r="F13582" s="102" t="str">
        <f ca="1">IFERROR(__xludf.DUMMYFUNCTION("IMPORTRANGE(H13582,""IDENTITAS UNIT!D9"")"),"#N/A")</f>
        <v>#N/A</v>
      </c>
      <c r="H13582" s="4" t="str">
        <v/>
      </c>
      <c r="I13582" s="4" t="str">
        <v/>
      </c>
    </row>
    <row r="13583" spans="5:9" ht="16.5" hidden="1">
      <c r="E13583" s="4" t="str">
        <v/>
      </c>
      <c r="F13583" s="102" t="str">
        <f ca="1">IFERROR(__xludf.DUMMYFUNCTION("IMPORTRANGE(H13583,""IDENTITAS UNIT!D9"")"),"#N/A")</f>
        <v>#N/A</v>
      </c>
      <c r="H13583" s="4" t="str">
        <v/>
      </c>
      <c r="I13583" s="4" t="str">
        <v/>
      </c>
    </row>
    <row r="13584" spans="5:9" ht="16.5" hidden="1">
      <c r="E13584" s="4" t="str">
        <v/>
      </c>
      <c r="F13584" s="102" t="str">
        <f ca="1">IFERROR(__xludf.DUMMYFUNCTION("IMPORTRANGE(H13584,""IDENTITAS UNIT!D9"")"),"#N/A")</f>
        <v>#N/A</v>
      </c>
      <c r="H13584" s="4" t="str">
        <v/>
      </c>
      <c r="I13584" s="4" t="str">
        <v/>
      </c>
    </row>
    <row r="13585" spans="5:9" ht="16.5" hidden="1">
      <c r="E13585" s="4" t="str">
        <v/>
      </c>
      <c r="F13585" s="102" t="str">
        <f ca="1">IFERROR(__xludf.DUMMYFUNCTION("IMPORTRANGE(H13585,""IDENTITAS UNIT!D9"")"),"#N/A")</f>
        <v>#N/A</v>
      </c>
      <c r="H13585" s="4" t="str">
        <v/>
      </c>
      <c r="I13585" s="4" t="str">
        <v/>
      </c>
    </row>
    <row r="13586" spans="5:9" ht="16.5" hidden="1">
      <c r="E13586" s="4" t="str">
        <v/>
      </c>
      <c r="F13586" s="102" t="str">
        <f ca="1">IFERROR(__xludf.DUMMYFUNCTION("IMPORTRANGE(H13586,""IDENTITAS UNIT!D9"")"),"#N/A")</f>
        <v>#N/A</v>
      </c>
      <c r="H13586" s="4" t="str">
        <v/>
      </c>
      <c r="I13586" s="4" t="str">
        <v/>
      </c>
    </row>
    <row r="13587" spans="5:9" ht="16.5" hidden="1">
      <c r="E13587" s="4" t="str">
        <v/>
      </c>
      <c r="F13587" s="102" t="str">
        <f ca="1">IFERROR(__xludf.DUMMYFUNCTION("IMPORTRANGE(H13587,""IDENTITAS UNIT!D9"")"),"#N/A")</f>
        <v>#N/A</v>
      </c>
      <c r="H13587" s="4" t="str">
        <v/>
      </c>
      <c r="I13587" s="4" t="str">
        <v/>
      </c>
    </row>
    <row r="13588" spans="5:9" ht="16.5" hidden="1">
      <c r="E13588" s="4" t="str">
        <v/>
      </c>
      <c r="F13588" s="102" t="str">
        <f ca="1">IFERROR(__xludf.DUMMYFUNCTION("IMPORTRANGE(H13588,""IDENTITAS UNIT!D9"")"),"#N/A")</f>
        <v>#N/A</v>
      </c>
      <c r="H13588" s="4" t="str">
        <v/>
      </c>
      <c r="I13588" s="4" t="str">
        <v/>
      </c>
    </row>
    <row r="13589" spans="5:9" ht="16.5" hidden="1">
      <c r="E13589" s="4" t="str">
        <v/>
      </c>
      <c r="F13589" s="102" t="str">
        <f ca="1">IFERROR(__xludf.DUMMYFUNCTION("IMPORTRANGE(H13589,""IDENTITAS UNIT!D9"")"),"#N/A")</f>
        <v>#N/A</v>
      </c>
      <c r="H13589" s="4" t="str">
        <v/>
      </c>
      <c r="I13589" s="4" t="str">
        <v/>
      </c>
    </row>
    <row r="13590" spans="5:9" ht="16.5" hidden="1">
      <c r="E13590" s="4" t="str">
        <v/>
      </c>
      <c r="F13590" s="102" t="str">
        <f ca="1">IFERROR(__xludf.DUMMYFUNCTION("IMPORTRANGE(H13590,""IDENTITAS UNIT!D9"")"),"#N/A")</f>
        <v>#N/A</v>
      </c>
      <c r="H13590" s="4" t="str">
        <v/>
      </c>
      <c r="I13590" s="4" t="str">
        <v/>
      </c>
    </row>
    <row r="13591" spans="5:9" ht="16.5" hidden="1">
      <c r="E13591" s="4" t="str">
        <v/>
      </c>
      <c r="F13591" s="102" t="str">
        <f ca="1">IFERROR(__xludf.DUMMYFUNCTION("IMPORTRANGE(H13591,""IDENTITAS UNIT!D9"")"),"#N/A")</f>
        <v>#N/A</v>
      </c>
      <c r="H13591" s="4" t="str">
        <v/>
      </c>
      <c r="I13591" s="4" t="str">
        <v/>
      </c>
    </row>
    <row r="13592" spans="5:9" ht="16.5" hidden="1">
      <c r="E13592" s="4" t="str">
        <v/>
      </c>
      <c r="F13592" s="102" t="str">
        <f ca="1">IFERROR(__xludf.DUMMYFUNCTION("IMPORTRANGE(H13592,""IDENTITAS UNIT!D9"")"),"#N/A")</f>
        <v>#N/A</v>
      </c>
      <c r="H13592" s="4" t="str">
        <v/>
      </c>
      <c r="I13592" s="4" t="str">
        <v/>
      </c>
    </row>
    <row r="13593" spans="5:9" ht="16.5" hidden="1">
      <c r="E13593" s="4" t="str">
        <v/>
      </c>
      <c r="F13593" s="102" t="str">
        <f ca="1">IFERROR(__xludf.DUMMYFUNCTION("IMPORTRANGE(H13593,""IDENTITAS UNIT!D9"")"),"#N/A")</f>
        <v>#N/A</v>
      </c>
      <c r="H13593" s="4" t="str">
        <v/>
      </c>
      <c r="I13593" s="4" t="str">
        <v/>
      </c>
    </row>
    <row r="13594" spans="5:9" ht="16.5" hidden="1">
      <c r="E13594" s="4" t="str">
        <v/>
      </c>
      <c r="F13594" s="102" t="str">
        <f ca="1">IFERROR(__xludf.DUMMYFUNCTION("IMPORTRANGE(H13594,""IDENTITAS UNIT!D9"")"),"#N/A")</f>
        <v>#N/A</v>
      </c>
      <c r="H13594" s="4" t="str">
        <v/>
      </c>
      <c r="I13594" s="4" t="str">
        <v/>
      </c>
    </row>
    <row r="13595" spans="5:9" ht="16.5" hidden="1">
      <c r="E13595" s="4" t="str">
        <v/>
      </c>
      <c r="F13595" s="102" t="str">
        <f ca="1">IFERROR(__xludf.DUMMYFUNCTION("IMPORTRANGE(H13595,""IDENTITAS UNIT!D9"")"),"#N/A")</f>
        <v>#N/A</v>
      </c>
      <c r="H13595" s="4" t="str">
        <v/>
      </c>
      <c r="I13595" s="4" t="str">
        <v/>
      </c>
    </row>
    <row r="13596" spans="5:9" ht="16.5" hidden="1">
      <c r="E13596" s="4" t="str">
        <v/>
      </c>
      <c r="F13596" s="102" t="str">
        <f ca="1">IFERROR(__xludf.DUMMYFUNCTION("IMPORTRANGE(H13596,""IDENTITAS UNIT!D9"")"),"#N/A")</f>
        <v>#N/A</v>
      </c>
      <c r="H13596" s="4" t="str">
        <v/>
      </c>
      <c r="I13596" s="4" t="str">
        <v/>
      </c>
    </row>
    <row r="13597" spans="5:9" ht="16.5" hidden="1">
      <c r="E13597" s="4" t="str">
        <v/>
      </c>
      <c r="F13597" s="102" t="str">
        <f ca="1">IFERROR(__xludf.DUMMYFUNCTION("IMPORTRANGE(H13597,""IDENTITAS UNIT!D9"")"),"#N/A")</f>
        <v>#N/A</v>
      </c>
      <c r="H13597" s="4" t="str">
        <v/>
      </c>
      <c r="I13597" s="4" t="str">
        <v/>
      </c>
    </row>
    <row r="13598" spans="5:9" ht="16.5" hidden="1">
      <c r="E13598" s="4" t="str">
        <v/>
      </c>
      <c r="F13598" s="102" t="str">
        <f ca="1">IFERROR(__xludf.DUMMYFUNCTION("IMPORTRANGE(H13598,""IDENTITAS UNIT!D9"")"),"#N/A")</f>
        <v>#N/A</v>
      </c>
      <c r="H13598" s="4" t="str">
        <v/>
      </c>
      <c r="I13598" s="4" t="str">
        <v/>
      </c>
    </row>
    <row r="13599" spans="5:9" ht="16.5" hidden="1">
      <c r="E13599" s="4" t="str">
        <v/>
      </c>
      <c r="F13599" s="102" t="str">
        <f ca="1">IFERROR(__xludf.DUMMYFUNCTION("IMPORTRANGE(H13599,""IDENTITAS UNIT!D9"")"),"#N/A")</f>
        <v>#N/A</v>
      </c>
      <c r="H13599" s="4" t="str">
        <v/>
      </c>
      <c r="I13599" s="4" t="str">
        <v/>
      </c>
    </row>
    <row r="13600" spans="5:9" ht="16.5" hidden="1">
      <c r="E13600" s="4" t="str">
        <v/>
      </c>
      <c r="F13600" s="102" t="str">
        <f ca="1">IFERROR(__xludf.DUMMYFUNCTION("IMPORTRANGE(H13600,""IDENTITAS UNIT!D9"")"),"#N/A")</f>
        <v>#N/A</v>
      </c>
      <c r="H13600" s="4" t="str">
        <v/>
      </c>
      <c r="I13600" s="4" t="str">
        <v/>
      </c>
    </row>
    <row r="13601" spans="5:9" ht="16.5" hidden="1">
      <c r="E13601" s="4" t="str">
        <v/>
      </c>
      <c r="F13601" s="102" t="str">
        <f ca="1">IFERROR(__xludf.DUMMYFUNCTION("IMPORTRANGE(H13601,""IDENTITAS UNIT!D9"")"),"#N/A")</f>
        <v>#N/A</v>
      </c>
      <c r="H13601" s="4" t="str">
        <v/>
      </c>
      <c r="I13601" s="4" t="str">
        <v/>
      </c>
    </row>
    <row r="13602" spans="5:9" ht="16.5" hidden="1">
      <c r="E13602" s="4" t="str">
        <v/>
      </c>
      <c r="F13602" s="102" t="str">
        <f ca="1">IFERROR(__xludf.DUMMYFUNCTION("IMPORTRANGE(H13602,""IDENTITAS UNIT!D9"")"),"#N/A")</f>
        <v>#N/A</v>
      </c>
      <c r="H13602" s="4" t="str">
        <v/>
      </c>
      <c r="I13602" s="4" t="str">
        <v/>
      </c>
    </row>
    <row r="13603" spans="5:9" ht="16.5" hidden="1">
      <c r="E13603" s="4" t="str">
        <v/>
      </c>
      <c r="F13603" s="102" t="str">
        <f ca="1">IFERROR(__xludf.DUMMYFUNCTION("IMPORTRANGE(H13603,""IDENTITAS UNIT!D9"")"),"#N/A")</f>
        <v>#N/A</v>
      </c>
      <c r="H13603" s="4" t="str">
        <v/>
      </c>
      <c r="I13603" s="4" t="str">
        <v/>
      </c>
    </row>
    <row r="13604" spans="5:9" ht="16.5" hidden="1">
      <c r="E13604" s="4" t="str">
        <v/>
      </c>
      <c r="F13604" s="102" t="str">
        <f ca="1">IFERROR(__xludf.DUMMYFUNCTION("IMPORTRANGE(H13604,""IDENTITAS UNIT!D9"")"),"#N/A")</f>
        <v>#N/A</v>
      </c>
      <c r="H13604" s="4" t="str">
        <v/>
      </c>
      <c r="I13604" s="4" t="str">
        <v/>
      </c>
    </row>
    <row r="13605" spans="5:9" ht="16.5" hidden="1">
      <c r="E13605" s="4" t="str">
        <v/>
      </c>
      <c r="F13605" s="102" t="str">
        <f ca="1">IFERROR(__xludf.DUMMYFUNCTION("IMPORTRANGE(H13605,""IDENTITAS UNIT!D9"")"),"#N/A")</f>
        <v>#N/A</v>
      </c>
      <c r="H13605" s="4" t="str">
        <v/>
      </c>
      <c r="I13605" s="4" t="str">
        <v/>
      </c>
    </row>
    <row r="13606" spans="5:9" ht="16.5" hidden="1">
      <c r="E13606" s="4" t="str">
        <v/>
      </c>
      <c r="F13606" s="102" t="str">
        <f ca="1">IFERROR(__xludf.DUMMYFUNCTION("IMPORTRANGE(H13606,""IDENTITAS UNIT!D9"")"),"#N/A")</f>
        <v>#N/A</v>
      </c>
      <c r="H13606" s="4" t="str">
        <v/>
      </c>
      <c r="I13606" s="4" t="str">
        <v/>
      </c>
    </row>
    <row r="13607" spans="5:9" ht="16.5" hidden="1">
      <c r="E13607" s="4" t="str">
        <v/>
      </c>
      <c r="F13607" s="102" t="str">
        <f ca="1">IFERROR(__xludf.DUMMYFUNCTION("IMPORTRANGE(H13607,""IDENTITAS UNIT!D9"")"),"#N/A")</f>
        <v>#N/A</v>
      </c>
      <c r="H13607" s="4" t="str">
        <v/>
      </c>
      <c r="I13607" s="4" t="str">
        <v/>
      </c>
    </row>
    <row r="13608" spans="5:9" ht="16.5" hidden="1">
      <c r="E13608" s="4" t="str">
        <v/>
      </c>
      <c r="F13608" s="102" t="str">
        <f ca="1">IFERROR(__xludf.DUMMYFUNCTION("IMPORTRANGE(H13608,""IDENTITAS UNIT!D9"")"),"#N/A")</f>
        <v>#N/A</v>
      </c>
      <c r="H13608" s="4" t="str">
        <v/>
      </c>
      <c r="I13608" s="4" t="str">
        <v/>
      </c>
    </row>
    <row r="13609" spans="5:9" ht="16.5" hidden="1">
      <c r="E13609" s="4" t="str">
        <v/>
      </c>
      <c r="F13609" s="102" t="str">
        <f ca="1">IFERROR(__xludf.DUMMYFUNCTION("IMPORTRANGE(H13609,""IDENTITAS UNIT!D9"")"),"#N/A")</f>
        <v>#N/A</v>
      </c>
      <c r="H13609" s="4" t="str">
        <v/>
      </c>
      <c r="I13609" s="4" t="str">
        <v/>
      </c>
    </row>
    <row r="13610" spans="5:9" ht="16.5" hidden="1">
      <c r="E13610" s="4" t="str">
        <v/>
      </c>
      <c r="F13610" s="102" t="str">
        <f ca="1">IFERROR(__xludf.DUMMYFUNCTION("IMPORTRANGE(H13610,""IDENTITAS UNIT!D9"")"),"#N/A")</f>
        <v>#N/A</v>
      </c>
      <c r="H13610" s="4" t="str">
        <v/>
      </c>
      <c r="I13610" s="4" t="str">
        <v/>
      </c>
    </row>
    <row r="13611" spans="5:9" ht="16.5" hidden="1">
      <c r="E13611" s="4" t="str">
        <v/>
      </c>
      <c r="F13611" s="102" t="str">
        <f ca="1">IFERROR(__xludf.DUMMYFUNCTION("IMPORTRANGE(H13611,""IDENTITAS UNIT!D9"")"),"#N/A")</f>
        <v>#N/A</v>
      </c>
      <c r="H13611" s="4" t="str">
        <v/>
      </c>
      <c r="I13611" s="4" t="str">
        <v/>
      </c>
    </row>
    <row r="13612" spans="5:9" ht="16.5" hidden="1">
      <c r="E13612" s="4" t="str">
        <v/>
      </c>
      <c r="F13612" s="102" t="str">
        <f ca="1">IFERROR(__xludf.DUMMYFUNCTION("IMPORTRANGE(H13612,""IDENTITAS UNIT!D9"")"),"#N/A")</f>
        <v>#N/A</v>
      </c>
      <c r="H13612" s="4" t="str">
        <v/>
      </c>
      <c r="I13612" s="4" t="str">
        <v/>
      </c>
    </row>
    <row r="13613" spans="5:9" ht="16.5" hidden="1">
      <c r="E13613" s="4" t="str">
        <v/>
      </c>
      <c r="F13613" s="102" t="str">
        <f ca="1">IFERROR(__xludf.DUMMYFUNCTION("IMPORTRANGE(H13613,""IDENTITAS UNIT!D9"")"),"#N/A")</f>
        <v>#N/A</v>
      </c>
      <c r="H13613" s="4" t="str">
        <v/>
      </c>
      <c r="I13613" s="4" t="str">
        <v/>
      </c>
    </row>
    <row r="13614" spans="5:9" ht="16.5" hidden="1">
      <c r="E13614" s="4" t="str">
        <v/>
      </c>
      <c r="F13614" s="102" t="str">
        <f ca="1">IFERROR(__xludf.DUMMYFUNCTION("IMPORTRANGE(H13614,""IDENTITAS UNIT!D9"")"),"#N/A")</f>
        <v>#N/A</v>
      </c>
      <c r="H13614" s="4" t="str">
        <v/>
      </c>
      <c r="I13614" s="4" t="str">
        <v/>
      </c>
    </row>
    <row r="13615" spans="5:9" ht="16.5" hidden="1">
      <c r="E13615" s="4" t="str">
        <v/>
      </c>
      <c r="F13615" s="102" t="str">
        <f ca="1">IFERROR(__xludf.DUMMYFUNCTION("IMPORTRANGE(H13615,""IDENTITAS UNIT!D9"")"),"#N/A")</f>
        <v>#N/A</v>
      </c>
      <c r="H13615" s="4" t="str">
        <v/>
      </c>
      <c r="I13615" s="4" t="str">
        <v/>
      </c>
    </row>
    <row r="13616" spans="5:9" ht="16.5" hidden="1">
      <c r="E13616" s="4" t="str">
        <v/>
      </c>
      <c r="F13616" s="102" t="str">
        <f ca="1">IFERROR(__xludf.DUMMYFUNCTION("IMPORTRANGE(H13616,""IDENTITAS UNIT!D9"")"),"#N/A")</f>
        <v>#N/A</v>
      </c>
      <c r="H13616" s="4" t="str">
        <v/>
      </c>
      <c r="I13616" s="4" t="str">
        <v/>
      </c>
    </row>
    <row r="13617" spans="5:9" ht="16.5" hidden="1">
      <c r="E13617" s="4" t="str">
        <v/>
      </c>
      <c r="F13617" s="102" t="str">
        <f ca="1">IFERROR(__xludf.DUMMYFUNCTION("IMPORTRANGE(H13617,""IDENTITAS UNIT!D9"")"),"#N/A")</f>
        <v>#N/A</v>
      </c>
      <c r="H13617" s="4" t="str">
        <v/>
      </c>
      <c r="I13617" s="4" t="str">
        <v/>
      </c>
    </row>
    <row r="13618" spans="5:9" ht="16.5" hidden="1">
      <c r="E13618" s="4" t="str">
        <v/>
      </c>
      <c r="F13618" s="102" t="str">
        <f ca="1">IFERROR(__xludf.DUMMYFUNCTION("IMPORTRANGE(H13618,""IDENTITAS UNIT!D9"")"),"#N/A")</f>
        <v>#N/A</v>
      </c>
      <c r="H13618" s="4" t="str">
        <v/>
      </c>
      <c r="I13618" s="4" t="str">
        <v/>
      </c>
    </row>
    <row r="13619" spans="5:9" ht="16.5" hidden="1">
      <c r="E13619" s="4" t="str">
        <v/>
      </c>
      <c r="F13619" s="102" t="str">
        <f ca="1">IFERROR(__xludf.DUMMYFUNCTION("IMPORTRANGE(H13619,""IDENTITAS UNIT!D9"")"),"#N/A")</f>
        <v>#N/A</v>
      </c>
      <c r="H13619" s="4" t="str">
        <v/>
      </c>
      <c r="I13619" s="4" t="str">
        <v/>
      </c>
    </row>
    <row r="13620" spans="5:9" ht="16.5" hidden="1">
      <c r="E13620" s="4" t="str">
        <v/>
      </c>
      <c r="F13620" s="102" t="str">
        <f ca="1">IFERROR(__xludf.DUMMYFUNCTION("IMPORTRANGE(H13620,""IDENTITAS UNIT!D9"")"),"#N/A")</f>
        <v>#N/A</v>
      </c>
      <c r="H13620" s="4" t="str">
        <v/>
      </c>
      <c r="I13620" s="4" t="str">
        <v/>
      </c>
    </row>
    <row r="13621" spans="5:9" ht="16.5" hidden="1">
      <c r="E13621" s="4" t="str">
        <v/>
      </c>
      <c r="F13621" s="102" t="str">
        <f ca="1">IFERROR(__xludf.DUMMYFUNCTION("IMPORTRANGE(H13621,""IDENTITAS UNIT!D9"")"),"#N/A")</f>
        <v>#N/A</v>
      </c>
      <c r="H13621" s="4" t="str">
        <v/>
      </c>
      <c r="I13621" s="4" t="str">
        <v/>
      </c>
    </row>
    <row r="13622" spans="5:9" ht="16.5" hidden="1">
      <c r="E13622" s="4" t="str">
        <v/>
      </c>
      <c r="F13622" s="102" t="str">
        <f ca="1">IFERROR(__xludf.DUMMYFUNCTION("IMPORTRANGE(H13622,""IDENTITAS UNIT!D9"")"),"#N/A")</f>
        <v>#N/A</v>
      </c>
      <c r="H13622" s="4" t="str">
        <v/>
      </c>
      <c r="I13622" s="4" t="str">
        <v/>
      </c>
    </row>
    <row r="13623" spans="5:9" ht="16.5" hidden="1">
      <c r="E13623" s="4" t="str">
        <v/>
      </c>
      <c r="F13623" s="102" t="str">
        <f ca="1">IFERROR(__xludf.DUMMYFUNCTION("IMPORTRANGE(H13623,""IDENTITAS UNIT!D9"")"),"#N/A")</f>
        <v>#N/A</v>
      </c>
      <c r="H13623" s="4" t="str">
        <v/>
      </c>
      <c r="I13623" s="4" t="str">
        <v/>
      </c>
    </row>
    <row r="13624" spans="5:9" ht="16.5" hidden="1">
      <c r="E13624" s="4" t="str">
        <v/>
      </c>
      <c r="F13624" s="102" t="str">
        <f ca="1">IFERROR(__xludf.DUMMYFUNCTION("IMPORTRANGE(H13624,""IDENTITAS UNIT!D9"")"),"#N/A")</f>
        <v>#N/A</v>
      </c>
      <c r="H13624" s="4" t="str">
        <v/>
      </c>
      <c r="I13624" s="4" t="str">
        <v/>
      </c>
    </row>
    <row r="13625" spans="5:9" ht="16.5" hidden="1">
      <c r="E13625" s="4" t="str">
        <v/>
      </c>
      <c r="F13625" s="102" t="str">
        <f ca="1">IFERROR(__xludf.DUMMYFUNCTION("IMPORTRANGE(H13625,""IDENTITAS UNIT!D9"")"),"#N/A")</f>
        <v>#N/A</v>
      </c>
      <c r="H13625" s="4" t="str">
        <v/>
      </c>
      <c r="I13625" s="4" t="str">
        <v/>
      </c>
    </row>
    <row r="13626" spans="5:9" ht="16.5" hidden="1">
      <c r="E13626" s="4" t="str">
        <v/>
      </c>
      <c r="F13626" s="102" t="str">
        <f ca="1">IFERROR(__xludf.DUMMYFUNCTION("IMPORTRANGE(H13626,""IDENTITAS UNIT!D9"")"),"#N/A")</f>
        <v>#N/A</v>
      </c>
      <c r="H13626" s="4" t="str">
        <v/>
      </c>
      <c r="I13626" s="4" t="str">
        <v/>
      </c>
    </row>
    <row r="13627" spans="5:9" ht="16.5" hidden="1">
      <c r="E13627" s="4" t="str">
        <v/>
      </c>
      <c r="F13627" s="102" t="str">
        <f ca="1">IFERROR(__xludf.DUMMYFUNCTION("IMPORTRANGE(H13627,""IDENTITAS UNIT!D9"")"),"#N/A")</f>
        <v>#N/A</v>
      </c>
      <c r="H13627" s="4" t="str">
        <v/>
      </c>
      <c r="I13627" s="4" t="str">
        <v/>
      </c>
    </row>
    <row r="13628" spans="5:9" ht="16.5" hidden="1">
      <c r="E13628" s="4" t="str">
        <v/>
      </c>
      <c r="F13628" s="102" t="str">
        <f ca="1">IFERROR(__xludf.DUMMYFUNCTION("IMPORTRANGE(H13628,""IDENTITAS UNIT!D9"")"),"#N/A")</f>
        <v>#N/A</v>
      </c>
      <c r="H13628" s="4" t="str">
        <v/>
      </c>
      <c r="I13628" s="4" t="str">
        <v/>
      </c>
    </row>
    <row r="13629" spans="5:9" ht="16.5" hidden="1">
      <c r="E13629" s="4" t="str">
        <v/>
      </c>
      <c r="F13629" s="102" t="str">
        <f ca="1">IFERROR(__xludf.DUMMYFUNCTION("IMPORTRANGE(H13629,""IDENTITAS UNIT!D9"")"),"#N/A")</f>
        <v>#N/A</v>
      </c>
      <c r="H13629" s="4" t="str">
        <v/>
      </c>
      <c r="I13629" s="4" t="str">
        <v/>
      </c>
    </row>
    <row r="13630" spans="5:9" ht="16.5" hidden="1">
      <c r="E13630" s="4" t="str">
        <v/>
      </c>
      <c r="F13630" s="102" t="str">
        <f ca="1">IFERROR(__xludf.DUMMYFUNCTION("IMPORTRANGE(H13630,""IDENTITAS UNIT!D9"")"),"#N/A")</f>
        <v>#N/A</v>
      </c>
      <c r="H13630" s="4" t="str">
        <v/>
      </c>
      <c r="I13630" s="4" t="str">
        <v/>
      </c>
    </row>
    <row r="13631" spans="5:9" ht="16.5" hidden="1">
      <c r="E13631" s="4" t="str">
        <v/>
      </c>
      <c r="F13631" s="102" t="str">
        <f ca="1">IFERROR(__xludf.DUMMYFUNCTION("IMPORTRANGE(H13631,""IDENTITAS UNIT!D9"")"),"#N/A")</f>
        <v>#N/A</v>
      </c>
      <c r="H13631" s="4" t="str">
        <v/>
      </c>
      <c r="I13631" s="4" t="str">
        <v/>
      </c>
    </row>
    <row r="13632" spans="5:9" ht="16.5" hidden="1">
      <c r="E13632" s="4" t="str">
        <v/>
      </c>
      <c r="F13632" s="102" t="str">
        <f ca="1">IFERROR(__xludf.DUMMYFUNCTION("IMPORTRANGE(H13632,""IDENTITAS UNIT!D9"")"),"#N/A")</f>
        <v>#N/A</v>
      </c>
      <c r="H13632" s="4" t="str">
        <v/>
      </c>
      <c r="I13632" s="4" t="str">
        <v/>
      </c>
    </row>
    <row r="13633" spans="5:9" ht="16.5" hidden="1">
      <c r="E13633" s="4" t="str">
        <v/>
      </c>
      <c r="F13633" s="102" t="str">
        <f ca="1">IFERROR(__xludf.DUMMYFUNCTION("IMPORTRANGE(H13633,""IDENTITAS UNIT!D9"")"),"#N/A")</f>
        <v>#N/A</v>
      </c>
      <c r="H13633" s="4" t="str">
        <v/>
      </c>
      <c r="I13633" s="4" t="str">
        <v/>
      </c>
    </row>
    <row r="13634" spans="5:9" ht="16.5" hidden="1">
      <c r="E13634" s="4" t="str">
        <v/>
      </c>
      <c r="F13634" s="102" t="str">
        <f ca="1">IFERROR(__xludf.DUMMYFUNCTION("IMPORTRANGE(H13634,""IDENTITAS UNIT!D9"")"),"#N/A")</f>
        <v>#N/A</v>
      </c>
      <c r="H13634" s="4" t="str">
        <v/>
      </c>
      <c r="I13634" s="4" t="str">
        <v/>
      </c>
    </row>
    <row r="13635" spans="5:9" ht="16.5" hidden="1">
      <c r="E13635" s="4" t="str">
        <v/>
      </c>
      <c r="F13635" s="102" t="str">
        <f ca="1">IFERROR(__xludf.DUMMYFUNCTION("IMPORTRANGE(H13635,""IDENTITAS UNIT!D9"")"),"#N/A")</f>
        <v>#N/A</v>
      </c>
      <c r="H13635" s="4" t="str">
        <v/>
      </c>
      <c r="I13635" s="4" t="str">
        <v/>
      </c>
    </row>
    <row r="13636" spans="5:9" ht="16.5" hidden="1">
      <c r="E13636" s="4" t="str">
        <v/>
      </c>
      <c r="F13636" s="102" t="str">
        <f ca="1">IFERROR(__xludf.DUMMYFUNCTION("IMPORTRANGE(H13636,""IDENTITAS UNIT!D9"")"),"#N/A")</f>
        <v>#N/A</v>
      </c>
      <c r="H13636" s="4" t="str">
        <v/>
      </c>
      <c r="I13636" s="4" t="str">
        <v/>
      </c>
    </row>
    <row r="13637" spans="5:9" ht="16.5" hidden="1">
      <c r="E13637" s="4" t="str">
        <v/>
      </c>
      <c r="F13637" s="102" t="str">
        <f ca="1">IFERROR(__xludf.DUMMYFUNCTION("IMPORTRANGE(H13637,""IDENTITAS UNIT!D9"")"),"#N/A")</f>
        <v>#N/A</v>
      </c>
      <c r="H13637" s="4" t="str">
        <v/>
      </c>
      <c r="I13637" s="4" t="str">
        <v/>
      </c>
    </row>
    <row r="13638" spans="5:9" ht="16.5" hidden="1">
      <c r="E13638" s="4" t="str">
        <v/>
      </c>
      <c r="F13638" s="102" t="str">
        <f ca="1">IFERROR(__xludf.DUMMYFUNCTION("IMPORTRANGE(H13638,""IDENTITAS UNIT!D9"")"),"#N/A")</f>
        <v>#N/A</v>
      </c>
      <c r="H13638" s="4" t="str">
        <v/>
      </c>
      <c r="I13638" s="4" t="str">
        <v/>
      </c>
    </row>
    <row r="13639" spans="5:9" ht="16.5" hidden="1">
      <c r="E13639" s="4" t="str">
        <v/>
      </c>
      <c r="F13639" s="102" t="str">
        <f ca="1">IFERROR(__xludf.DUMMYFUNCTION("IMPORTRANGE(H13639,""IDENTITAS UNIT!D9"")"),"#N/A")</f>
        <v>#N/A</v>
      </c>
      <c r="H13639" s="4" t="str">
        <v/>
      </c>
      <c r="I13639" s="4" t="str">
        <v/>
      </c>
    </row>
    <row r="13640" spans="5:9" ht="16.5" hidden="1">
      <c r="E13640" s="4" t="str">
        <v/>
      </c>
      <c r="F13640" s="102" t="str">
        <f ca="1">IFERROR(__xludf.DUMMYFUNCTION("IMPORTRANGE(H13640,""IDENTITAS UNIT!D9"")"),"#N/A")</f>
        <v>#N/A</v>
      </c>
      <c r="H13640" s="4" t="str">
        <v/>
      </c>
      <c r="I13640" s="4" t="str">
        <v/>
      </c>
    </row>
    <row r="13641" spans="5:9" ht="16.5" hidden="1">
      <c r="E13641" s="4" t="str">
        <v/>
      </c>
      <c r="F13641" s="102" t="str">
        <f ca="1">IFERROR(__xludf.DUMMYFUNCTION("IMPORTRANGE(H13641,""IDENTITAS UNIT!D9"")"),"#N/A")</f>
        <v>#N/A</v>
      </c>
      <c r="H13641" s="4" t="str">
        <v/>
      </c>
      <c r="I13641" s="4" t="str">
        <v/>
      </c>
    </row>
    <row r="13642" spans="5:9" ht="16.5" hidden="1">
      <c r="E13642" s="4" t="str">
        <v/>
      </c>
      <c r="F13642" s="102" t="str">
        <f ca="1">IFERROR(__xludf.DUMMYFUNCTION("IMPORTRANGE(H13642,""IDENTITAS UNIT!D9"")"),"#N/A")</f>
        <v>#N/A</v>
      </c>
      <c r="H13642" s="4" t="str">
        <v/>
      </c>
      <c r="I13642" s="4" t="str">
        <v/>
      </c>
    </row>
    <row r="13643" spans="5:9" ht="16.5" hidden="1">
      <c r="E13643" s="4" t="str">
        <v/>
      </c>
      <c r="F13643" s="102" t="str">
        <f ca="1">IFERROR(__xludf.DUMMYFUNCTION("IMPORTRANGE(H13643,""IDENTITAS UNIT!D9"")"),"#N/A")</f>
        <v>#N/A</v>
      </c>
      <c r="H13643" s="4" t="str">
        <v/>
      </c>
      <c r="I13643" s="4" t="str">
        <v/>
      </c>
    </row>
    <row r="13644" spans="5:9" ht="16.5" hidden="1">
      <c r="E13644" s="4" t="str">
        <v/>
      </c>
      <c r="F13644" s="102" t="str">
        <f ca="1">IFERROR(__xludf.DUMMYFUNCTION("IMPORTRANGE(H13644,""IDENTITAS UNIT!D9"")"),"#N/A")</f>
        <v>#N/A</v>
      </c>
      <c r="H13644" s="4" t="str">
        <v/>
      </c>
      <c r="I13644" s="4" t="str">
        <v/>
      </c>
    </row>
    <row r="13645" spans="5:9" ht="16.5" hidden="1">
      <c r="E13645" s="4" t="str">
        <v/>
      </c>
      <c r="F13645" s="102" t="str">
        <f ca="1">IFERROR(__xludf.DUMMYFUNCTION("IMPORTRANGE(H13645,""IDENTITAS UNIT!D9"")"),"#N/A")</f>
        <v>#N/A</v>
      </c>
      <c r="H13645" s="4" t="str">
        <v/>
      </c>
      <c r="I13645" s="4" t="str">
        <v/>
      </c>
    </row>
    <row r="13646" spans="5:9" ht="16.5" hidden="1">
      <c r="E13646" s="4" t="str">
        <v/>
      </c>
      <c r="F13646" s="102" t="str">
        <f ca="1">IFERROR(__xludf.DUMMYFUNCTION("IMPORTRANGE(H13646,""IDENTITAS UNIT!D9"")"),"#N/A")</f>
        <v>#N/A</v>
      </c>
      <c r="H13646" s="4" t="str">
        <v/>
      </c>
      <c r="I13646" s="4" t="str">
        <v/>
      </c>
    </row>
    <row r="13647" spans="5:9" ht="16.5" hidden="1">
      <c r="E13647" s="4" t="str">
        <v/>
      </c>
      <c r="F13647" s="102" t="str">
        <f ca="1">IFERROR(__xludf.DUMMYFUNCTION("IMPORTRANGE(H13647,""IDENTITAS UNIT!D9"")"),"#N/A")</f>
        <v>#N/A</v>
      </c>
      <c r="H13647" s="4" t="str">
        <v/>
      </c>
      <c r="I13647" s="4" t="str">
        <v/>
      </c>
    </row>
    <row r="13648" spans="5:9" ht="16.5" hidden="1">
      <c r="E13648" s="4" t="str">
        <v/>
      </c>
      <c r="F13648" s="102" t="str">
        <f ca="1">IFERROR(__xludf.DUMMYFUNCTION("IMPORTRANGE(H13648,""IDENTITAS UNIT!D9"")"),"#N/A")</f>
        <v>#N/A</v>
      </c>
      <c r="H13648" s="4" t="str">
        <v/>
      </c>
      <c r="I13648" s="4" t="str">
        <v/>
      </c>
    </row>
    <row r="13649" spans="5:9" ht="16.5" hidden="1">
      <c r="E13649" s="4" t="str">
        <v/>
      </c>
      <c r="F13649" s="102" t="str">
        <f ca="1">IFERROR(__xludf.DUMMYFUNCTION("IMPORTRANGE(H13649,""IDENTITAS UNIT!D9"")"),"#N/A")</f>
        <v>#N/A</v>
      </c>
      <c r="H13649" s="4" t="str">
        <v/>
      </c>
      <c r="I13649" s="4" t="str">
        <v/>
      </c>
    </row>
    <row r="13650" spans="5:9" ht="16.5" hidden="1">
      <c r="E13650" s="4" t="str">
        <v/>
      </c>
      <c r="F13650" s="102" t="str">
        <f ca="1">IFERROR(__xludf.DUMMYFUNCTION("IMPORTRANGE(H13650,""IDENTITAS UNIT!D9"")"),"#N/A")</f>
        <v>#N/A</v>
      </c>
      <c r="H13650" s="4" t="str">
        <v/>
      </c>
      <c r="I13650" s="4" t="str">
        <v/>
      </c>
    </row>
    <row r="13651" spans="5:9" ht="16.5" hidden="1">
      <c r="E13651" s="4" t="str">
        <v/>
      </c>
      <c r="F13651" s="102" t="str">
        <f ca="1">IFERROR(__xludf.DUMMYFUNCTION("IMPORTRANGE(H13651,""IDENTITAS UNIT!D9"")"),"#N/A")</f>
        <v>#N/A</v>
      </c>
      <c r="H13651" s="4" t="str">
        <v/>
      </c>
      <c r="I13651" s="4" t="str">
        <v/>
      </c>
    </row>
    <row r="13652" spans="5:9" ht="16.5" hidden="1">
      <c r="E13652" s="4" t="str">
        <v/>
      </c>
      <c r="F13652" s="102" t="str">
        <f ca="1">IFERROR(__xludf.DUMMYFUNCTION("IMPORTRANGE(H13652,""IDENTITAS UNIT!D9"")"),"#N/A")</f>
        <v>#N/A</v>
      </c>
      <c r="H13652" s="4" t="str">
        <v/>
      </c>
      <c r="I13652" s="4" t="str">
        <v/>
      </c>
    </row>
    <row r="13653" spans="5:9" ht="16.5" hidden="1">
      <c r="E13653" s="4" t="str">
        <v/>
      </c>
      <c r="F13653" s="102" t="str">
        <f ca="1">IFERROR(__xludf.DUMMYFUNCTION("IMPORTRANGE(H13653,""IDENTITAS UNIT!D9"")"),"#N/A")</f>
        <v>#N/A</v>
      </c>
      <c r="H13653" s="4" t="str">
        <v/>
      </c>
      <c r="I13653" s="4" t="str">
        <v/>
      </c>
    </row>
    <row r="13654" spans="5:9" ht="16.5" hidden="1">
      <c r="E13654" s="4" t="str">
        <v/>
      </c>
      <c r="F13654" s="102" t="str">
        <f ca="1">IFERROR(__xludf.DUMMYFUNCTION("IMPORTRANGE(H13654,""IDENTITAS UNIT!D9"")"),"#N/A")</f>
        <v>#N/A</v>
      </c>
      <c r="H13654" s="4" t="str">
        <v/>
      </c>
      <c r="I13654" s="4" t="str">
        <v/>
      </c>
    </row>
    <row r="13655" spans="5:9" ht="16.5" hidden="1">
      <c r="E13655" s="4" t="str">
        <v/>
      </c>
      <c r="F13655" s="102" t="str">
        <f ca="1">IFERROR(__xludf.DUMMYFUNCTION("IMPORTRANGE(H13655,""IDENTITAS UNIT!D9"")"),"#N/A")</f>
        <v>#N/A</v>
      </c>
      <c r="H13655" s="4" t="str">
        <v/>
      </c>
      <c r="I13655" s="4" t="str">
        <v/>
      </c>
    </row>
    <row r="13656" spans="5:9" ht="16.5" hidden="1">
      <c r="E13656" s="4" t="str">
        <v/>
      </c>
      <c r="F13656" s="102" t="str">
        <f ca="1">IFERROR(__xludf.DUMMYFUNCTION("IMPORTRANGE(H13656,""IDENTITAS UNIT!D9"")"),"#N/A")</f>
        <v>#N/A</v>
      </c>
      <c r="H13656" s="4" t="str">
        <v/>
      </c>
      <c r="I13656" s="4" t="str">
        <v/>
      </c>
    </row>
    <row r="13657" spans="5:9" ht="16.5" hidden="1">
      <c r="E13657" s="4" t="str">
        <v/>
      </c>
      <c r="F13657" s="102" t="str">
        <f ca="1">IFERROR(__xludf.DUMMYFUNCTION("IMPORTRANGE(H13657,""IDENTITAS UNIT!D9"")"),"#N/A")</f>
        <v>#N/A</v>
      </c>
      <c r="H13657" s="4" t="str">
        <v/>
      </c>
      <c r="I13657" s="4" t="str">
        <v/>
      </c>
    </row>
    <row r="13658" spans="5:9" ht="16.5" hidden="1">
      <c r="E13658" s="4" t="str">
        <v/>
      </c>
      <c r="F13658" s="102" t="str">
        <f ca="1">IFERROR(__xludf.DUMMYFUNCTION("IMPORTRANGE(H13658,""IDENTITAS UNIT!D9"")"),"#N/A")</f>
        <v>#N/A</v>
      </c>
      <c r="H13658" s="4" t="str">
        <v/>
      </c>
      <c r="I13658" s="4" t="str">
        <v/>
      </c>
    </row>
    <row r="13659" spans="5:9" ht="16.5" hidden="1">
      <c r="E13659" s="4" t="str">
        <v/>
      </c>
      <c r="F13659" s="102" t="str">
        <f ca="1">IFERROR(__xludf.DUMMYFUNCTION("IMPORTRANGE(H13659,""IDENTITAS UNIT!D9"")"),"#N/A")</f>
        <v>#N/A</v>
      </c>
      <c r="H13659" s="4" t="str">
        <v/>
      </c>
      <c r="I13659" s="4" t="str">
        <v/>
      </c>
    </row>
    <row r="13660" spans="5:9" ht="16.5" hidden="1">
      <c r="E13660" s="4" t="str">
        <v/>
      </c>
      <c r="F13660" s="102" t="str">
        <f ca="1">IFERROR(__xludf.DUMMYFUNCTION("IMPORTRANGE(H13660,""IDENTITAS UNIT!D9"")"),"#N/A")</f>
        <v>#N/A</v>
      </c>
      <c r="H13660" s="4" t="str">
        <v/>
      </c>
      <c r="I13660" s="4" t="str">
        <v/>
      </c>
    </row>
    <row r="13661" spans="5:9" ht="16.5" hidden="1">
      <c r="E13661" s="4" t="str">
        <v/>
      </c>
      <c r="F13661" s="102" t="str">
        <f ca="1">IFERROR(__xludf.DUMMYFUNCTION("IMPORTRANGE(H13661,""IDENTITAS UNIT!D9"")"),"#N/A")</f>
        <v>#N/A</v>
      </c>
      <c r="H13661" s="4" t="str">
        <v/>
      </c>
      <c r="I13661" s="4" t="str">
        <v/>
      </c>
    </row>
    <row r="13662" spans="5:9" ht="16.5" hidden="1">
      <c r="E13662" s="4" t="str">
        <v/>
      </c>
      <c r="F13662" s="102" t="str">
        <f ca="1">IFERROR(__xludf.DUMMYFUNCTION("IMPORTRANGE(H13662,""IDENTITAS UNIT!D9"")"),"#N/A")</f>
        <v>#N/A</v>
      </c>
      <c r="H13662" s="4" t="str">
        <v/>
      </c>
      <c r="I13662" s="4" t="str">
        <v/>
      </c>
    </row>
    <row r="13663" spans="5:9" ht="16.5" hidden="1">
      <c r="E13663" s="4" t="str">
        <v/>
      </c>
      <c r="F13663" s="102" t="str">
        <f ca="1">IFERROR(__xludf.DUMMYFUNCTION("IMPORTRANGE(H13663,""IDENTITAS UNIT!D9"")"),"#N/A")</f>
        <v>#N/A</v>
      </c>
      <c r="H13663" s="4" t="str">
        <v/>
      </c>
      <c r="I13663" s="4" t="str">
        <v/>
      </c>
    </row>
    <row r="13664" spans="5:9" ht="16.5" hidden="1">
      <c r="E13664" s="4" t="str">
        <v/>
      </c>
      <c r="F13664" s="102" t="str">
        <f ca="1">IFERROR(__xludf.DUMMYFUNCTION("IMPORTRANGE(H13664,""IDENTITAS UNIT!D9"")"),"#N/A")</f>
        <v>#N/A</v>
      </c>
      <c r="H13664" s="4" t="str">
        <v/>
      </c>
      <c r="I13664" s="4" t="str">
        <v/>
      </c>
    </row>
    <row r="13665" spans="5:9" ht="16.5" hidden="1">
      <c r="E13665" s="4" t="str">
        <v/>
      </c>
      <c r="F13665" s="102" t="str">
        <f ca="1">IFERROR(__xludf.DUMMYFUNCTION("IMPORTRANGE(H13665,""IDENTITAS UNIT!D9"")"),"#N/A")</f>
        <v>#N/A</v>
      </c>
      <c r="H13665" s="4" t="str">
        <v/>
      </c>
      <c r="I13665" s="4" t="str">
        <v/>
      </c>
    </row>
    <row r="13666" spans="5:9" ht="16.5" hidden="1">
      <c r="E13666" s="4" t="str">
        <v/>
      </c>
      <c r="F13666" s="102" t="str">
        <f ca="1">IFERROR(__xludf.DUMMYFUNCTION("IMPORTRANGE(H13666,""IDENTITAS UNIT!D9"")"),"#N/A")</f>
        <v>#N/A</v>
      </c>
      <c r="H13666" s="4" t="str">
        <v/>
      </c>
      <c r="I13666" s="4" t="str">
        <v/>
      </c>
    </row>
    <row r="13667" spans="5:9" ht="16.5" hidden="1">
      <c r="E13667" s="4" t="str">
        <v/>
      </c>
      <c r="F13667" s="102" t="str">
        <f ca="1">IFERROR(__xludf.DUMMYFUNCTION("IMPORTRANGE(H13667,""IDENTITAS UNIT!D9"")"),"#N/A")</f>
        <v>#N/A</v>
      </c>
      <c r="H13667" s="4" t="str">
        <v/>
      </c>
      <c r="I13667" s="4" t="str">
        <v/>
      </c>
    </row>
    <row r="13668" spans="5:9" ht="16.5" hidden="1">
      <c r="E13668" s="4" t="str">
        <v/>
      </c>
      <c r="F13668" s="102" t="str">
        <f ca="1">IFERROR(__xludf.DUMMYFUNCTION("IMPORTRANGE(H13668,""IDENTITAS UNIT!D9"")"),"#N/A")</f>
        <v>#N/A</v>
      </c>
      <c r="H13668" s="4" t="str">
        <v/>
      </c>
      <c r="I13668" s="4" t="str">
        <v/>
      </c>
    </row>
    <row r="13669" spans="5:9" ht="16.5" hidden="1">
      <c r="E13669" s="4" t="str">
        <v/>
      </c>
      <c r="F13669" s="102" t="str">
        <f ca="1">IFERROR(__xludf.DUMMYFUNCTION("IMPORTRANGE(H13669,""IDENTITAS UNIT!D9"")"),"#N/A")</f>
        <v>#N/A</v>
      </c>
      <c r="H13669" s="4" t="str">
        <v/>
      </c>
      <c r="I13669" s="4" t="str">
        <v/>
      </c>
    </row>
    <row r="13670" spans="5:9" ht="16.5" hidden="1">
      <c r="E13670" s="4" t="str">
        <v/>
      </c>
      <c r="F13670" s="102" t="str">
        <f ca="1">IFERROR(__xludf.DUMMYFUNCTION("IMPORTRANGE(H13670,""IDENTITAS UNIT!D9"")"),"#N/A")</f>
        <v>#N/A</v>
      </c>
      <c r="H13670" s="4" t="str">
        <v/>
      </c>
      <c r="I13670" s="4" t="str">
        <v/>
      </c>
    </row>
    <row r="13671" spans="5:9" ht="16.5" hidden="1">
      <c r="E13671" s="4" t="str">
        <v/>
      </c>
      <c r="F13671" s="102" t="str">
        <f ca="1">IFERROR(__xludf.DUMMYFUNCTION("IMPORTRANGE(H13671,""IDENTITAS UNIT!D9"")"),"#N/A")</f>
        <v>#N/A</v>
      </c>
      <c r="H13671" s="4" t="str">
        <v/>
      </c>
      <c r="I13671" s="4" t="str">
        <v/>
      </c>
    </row>
    <row r="13672" spans="5:9" ht="16.5" hidden="1">
      <c r="E13672" s="4" t="str">
        <v/>
      </c>
      <c r="F13672" s="102" t="str">
        <f ca="1">IFERROR(__xludf.DUMMYFUNCTION("IMPORTRANGE(H13672,""IDENTITAS UNIT!D9"")"),"#N/A")</f>
        <v>#N/A</v>
      </c>
      <c r="H13672" s="4" t="str">
        <v/>
      </c>
      <c r="I13672" s="4" t="str">
        <v/>
      </c>
    </row>
    <row r="13673" spans="5:9" ht="16.5" hidden="1">
      <c r="E13673" s="4" t="str">
        <v/>
      </c>
      <c r="F13673" s="102" t="str">
        <f ca="1">IFERROR(__xludf.DUMMYFUNCTION("IMPORTRANGE(H13673,""IDENTITAS UNIT!D9"")"),"#N/A")</f>
        <v>#N/A</v>
      </c>
      <c r="H13673" s="4" t="str">
        <v/>
      </c>
      <c r="I13673" s="4" t="str">
        <v/>
      </c>
    </row>
    <row r="13674" spans="5:9" ht="16.5" hidden="1">
      <c r="E13674" s="4" t="str">
        <v/>
      </c>
      <c r="F13674" s="102" t="str">
        <f ca="1">IFERROR(__xludf.DUMMYFUNCTION("IMPORTRANGE(H13674,""IDENTITAS UNIT!D9"")"),"#N/A")</f>
        <v>#N/A</v>
      </c>
      <c r="H13674" s="4" t="str">
        <v/>
      </c>
      <c r="I13674" s="4" t="str">
        <v/>
      </c>
    </row>
    <row r="13675" spans="5:9" ht="16.5" hidden="1">
      <c r="E13675" s="4" t="str">
        <v/>
      </c>
      <c r="F13675" s="102" t="str">
        <f ca="1">IFERROR(__xludf.DUMMYFUNCTION("IMPORTRANGE(H13675,""IDENTITAS UNIT!D9"")"),"#N/A")</f>
        <v>#N/A</v>
      </c>
      <c r="H13675" s="4" t="str">
        <v/>
      </c>
      <c r="I13675" s="4" t="str">
        <v/>
      </c>
    </row>
    <row r="13676" spans="5:9" ht="16.5" hidden="1">
      <c r="E13676" s="4" t="str">
        <v/>
      </c>
      <c r="F13676" s="102" t="str">
        <f ca="1">IFERROR(__xludf.DUMMYFUNCTION("IMPORTRANGE(H13676,""IDENTITAS UNIT!D9"")"),"#N/A")</f>
        <v>#N/A</v>
      </c>
      <c r="H13676" s="4" t="str">
        <v/>
      </c>
      <c r="I13676" s="4" t="str">
        <v/>
      </c>
    </row>
    <row r="13677" spans="5:9" ht="16.5" hidden="1">
      <c r="E13677" s="4" t="str">
        <v/>
      </c>
      <c r="F13677" s="102" t="str">
        <f ca="1">IFERROR(__xludf.DUMMYFUNCTION("IMPORTRANGE(H13677,""IDENTITAS UNIT!D9"")"),"#N/A")</f>
        <v>#N/A</v>
      </c>
      <c r="H13677" s="4" t="str">
        <v/>
      </c>
      <c r="I13677" s="4" t="str">
        <v/>
      </c>
    </row>
    <row r="13678" spans="5:9" ht="16.5" hidden="1">
      <c r="E13678" s="4" t="str">
        <v/>
      </c>
      <c r="F13678" s="102" t="str">
        <f ca="1">IFERROR(__xludf.DUMMYFUNCTION("IMPORTRANGE(H13678,""IDENTITAS UNIT!D9"")"),"#N/A")</f>
        <v>#N/A</v>
      </c>
      <c r="H13678" s="4" t="str">
        <v/>
      </c>
      <c r="I13678" s="4" t="str">
        <v/>
      </c>
    </row>
    <row r="13679" spans="5:9" ht="16.5" hidden="1">
      <c r="E13679" s="4" t="str">
        <v/>
      </c>
      <c r="F13679" s="102" t="str">
        <f ca="1">IFERROR(__xludf.DUMMYFUNCTION("IMPORTRANGE(H13679,""IDENTITAS UNIT!D9"")"),"#N/A")</f>
        <v>#N/A</v>
      </c>
      <c r="H13679" s="4" t="str">
        <v/>
      </c>
      <c r="I13679" s="4" t="str">
        <v/>
      </c>
    </row>
    <row r="13680" spans="5:9" ht="16.5" hidden="1">
      <c r="E13680" s="4" t="str">
        <v/>
      </c>
      <c r="F13680" s="102" t="str">
        <f ca="1">IFERROR(__xludf.DUMMYFUNCTION("IMPORTRANGE(H13680,""IDENTITAS UNIT!D9"")"),"#N/A")</f>
        <v>#N/A</v>
      </c>
      <c r="H13680" s="4" t="str">
        <v/>
      </c>
      <c r="I13680" s="4" t="str">
        <v/>
      </c>
    </row>
    <row r="13681" spans="5:9" ht="16.5" hidden="1">
      <c r="E13681" s="4" t="str">
        <v/>
      </c>
      <c r="F13681" s="102" t="str">
        <f ca="1">IFERROR(__xludf.DUMMYFUNCTION("IMPORTRANGE(H13681,""IDENTITAS UNIT!D9"")"),"#N/A")</f>
        <v>#N/A</v>
      </c>
      <c r="H13681" s="4" t="str">
        <v/>
      </c>
      <c r="I13681" s="4" t="str">
        <v/>
      </c>
    </row>
    <row r="13682" spans="5:9" ht="16.5" hidden="1">
      <c r="E13682" s="4" t="str">
        <v/>
      </c>
      <c r="F13682" s="102" t="str">
        <f ca="1">IFERROR(__xludf.DUMMYFUNCTION("IMPORTRANGE(H13682,""IDENTITAS UNIT!D9"")"),"#N/A")</f>
        <v>#N/A</v>
      </c>
      <c r="H13682" s="4" t="str">
        <v/>
      </c>
      <c r="I13682" s="4" t="str">
        <v/>
      </c>
    </row>
    <row r="13683" spans="5:9" ht="16.5" hidden="1">
      <c r="E13683" s="4" t="str">
        <v/>
      </c>
      <c r="F13683" s="102" t="str">
        <f ca="1">IFERROR(__xludf.DUMMYFUNCTION("IMPORTRANGE(H13683,""IDENTITAS UNIT!D9"")"),"#N/A")</f>
        <v>#N/A</v>
      </c>
      <c r="H13683" s="4" t="str">
        <v/>
      </c>
      <c r="I13683" s="4" t="str">
        <v/>
      </c>
    </row>
    <row r="13684" spans="5:9" ht="16.5" hidden="1">
      <c r="E13684" s="4" t="str">
        <v/>
      </c>
      <c r="F13684" s="102" t="str">
        <f ca="1">IFERROR(__xludf.DUMMYFUNCTION("IMPORTRANGE(H13684,""IDENTITAS UNIT!D9"")"),"#N/A")</f>
        <v>#N/A</v>
      </c>
      <c r="H13684" s="4" t="str">
        <v/>
      </c>
      <c r="I13684" s="4" t="str">
        <v/>
      </c>
    </row>
    <row r="13685" spans="5:9" ht="16.5" hidden="1">
      <c r="E13685" s="4" t="str">
        <v/>
      </c>
      <c r="F13685" s="102" t="str">
        <f ca="1">IFERROR(__xludf.DUMMYFUNCTION("IMPORTRANGE(H13685,""IDENTITAS UNIT!D9"")"),"#N/A")</f>
        <v>#N/A</v>
      </c>
      <c r="H13685" s="4" t="str">
        <v/>
      </c>
      <c r="I13685" s="4" t="str">
        <v/>
      </c>
    </row>
    <row r="13686" spans="5:9" ht="16.5" hidden="1">
      <c r="E13686" s="4" t="str">
        <v/>
      </c>
      <c r="F13686" s="102" t="str">
        <f ca="1">IFERROR(__xludf.DUMMYFUNCTION("IMPORTRANGE(H13686,""IDENTITAS UNIT!D9"")"),"#N/A")</f>
        <v>#N/A</v>
      </c>
      <c r="H13686" s="4" t="str">
        <v/>
      </c>
      <c r="I13686" s="4" t="str">
        <v/>
      </c>
    </row>
    <row r="13687" spans="5:9" ht="16.5" hidden="1">
      <c r="E13687" s="4" t="str">
        <v/>
      </c>
      <c r="F13687" s="102" t="str">
        <f ca="1">IFERROR(__xludf.DUMMYFUNCTION("IMPORTRANGE(H13687,""IDENTITAS UNIT!D9"")"),"#N/A")</f>
        <v>#N/A</v>
      </c>
      <c r="H13687" s="4" t="str">
        <v/>
      </c>
      <c r="I13687" s="4" t="str">
        <v/>
      </c>
    </row>
    <row r="13688" spans="5:9" ht="16.5" hidden="1">
      <c r="E13688" s="4" t="str">
        <v/>
      </c>
      <c r="F13688" s="102" t="str">
        <f ca="1">IFERROR(__xludf.DUMMYFUNCTION("IMPORTRANGE(H13688,""IDENTITAS UNIT!D9"")"),"#N/A")</f>
        <v>#N/A</v>
      </c>
      <c r="H13688" s="4" t="str">
        <v/>
      </c>
      <c r="I13688" s="4" t="str">
        <v/>
      </c>
    </row>
    <row r="13689" spans="5:9" ht="16.5" hidden="1">
      <c r="E13689" s="4" t="str">
        <v/>
      </c>
      <c r="F13689" s="102" t="str">
        <f ca="1">IFERROR(__xludf.DUMMYFUNCTION("IMPORTRANGE(H13689,""IDENTITAS UNIT!D9"")"),"#N/A")</f>
        <v>#N/A</v>
      </c>
      <c r="H13689" s="4" t="str">
        <v/>
      </c>
      <c r="I13689" s="4" t="str">
        <v/>
      </c>
    </row>
    <row r="13690" spans="5:9" ht="16.5" hidden="1">
      <c r="E13690" s="4" t="str">
        <v/>
      </c>
      <c r="F13690" s="102" t="str">
        <f ca="1">IFERROR(__xludf.DUMMYFUNCTION("IMPORTRANGE(H13690,""IDENTITAS UNIT!D9"")"),"#N/A")</f>
        <v>#N/A</v>
      </c>
      <c r="H13690" s="4" t="str">
        <v/>
      </c>
      <c r="I13690" s="4" t="str">
        <v/>
      </c>
    </row>
    <row r="13691" spans="5:9" ht="16.5" hidden="1">
      <c r="E13691" s="4" t="str">
        <v/>
      </c>
      <c r="F13691" s="102" t="str">
        <f ca="1">IFERROR(__xludf.DUMMYFUNCTION("IMPORTRANGE(H13691,""IDENTITAS UNIT!D9"")"),"#N/A")</f>
        <v>#N/A</v>
      </c>
      <c r="H13691" s="4" t="str">
        <v/>
      </c>
      <c r="I13691" s="4" t="str">
        <v/>
      </c>
    </row>
    <row r="13692" spans="5:9" ht="16.5" hidden="1">
      <c r="E13692" s="4" t="str">
        <v/>
      </c>
      <c r="F13692" s="102" t="str">
        <f ca="1">IFERROR(__xludf.DUMMYFUNCTION("IMPORTRANGE(H13692,""IDENTITAS UNIT!D9"")"),"#N/A")</f>
        <v>#N/A</v>
      </c>
      <c r="H13692" s="4" t="str">
        <v/>
      </c>
      <c r="I13692" s="4" t="str">
        <v/>
      </c>
    </row>
    <row r="13693" spans="5:9" ht="16.5" hidden="1">
      <c r="E13693" s="4" t="str">
        <v/>
      </c>
      <c r="F13693" s="102" t="str">
        <f ca="1">IFERROR(__xludf.DUMMYFUNCTION("IMPORTRANGE(H13693,""IDENTITAS UNIT!D9"")"),"#N/A")</f>
        <v>#N/A</v>
      </c>
      <c r="H13693" s="4" t="str">
        <v/>
      </c>
      <c r="I13693" s="4" t="str">
        <v/>
      </c>
    </row>
    <row r="13694" spans="5:9" ht="16.5" hidden="1">
      <c r="E13694" s="4" t="str">
        <v/>
      </c>
      <c r="F13694" s="102" t="str">
        <f ca="1">IFERROR(__xludf.DUMMYFUNCTION("IMPORTRANGE(H13694,""IDENTITAS UNIT!D9"")"),"#N/A")</f>
        <v>#N/A</v>
      </c>
      <c r="H13694" s="4" t="str">
        <v/>
      </c>
      <c r="I13694" s="4" t="str">
        <v/>
      </c>
    </row>
    <row r="13695" spans="5:9" ht="16.5" hidden="1">
      <c r="E13695" s="4" t="str">
        <v/>
      </c>
      <c r="F13695" s="102" t="str">
        <f ca="1">IFERROR(__xludf.DUMMYFUNCTION("IMPORTRANGE(H13695,""IDENTITAS UNIT!D9"")"),"#N/A")</f>
        <v>#N/A</v>
      </c>
      <c r="H13695" s="4" t="str">
        <v/>
      </c>
      <c r="I13695" s="4" t="str">
        <v/>
      </c>
    </row>
    <row r="13696" spans="5:9" ht="16.5" hidden="1">
      <c r="E13696" s="4" t="str">
        <v/>
      </c>
      <c r="F13696" s="102" t="str">
        <f ca="1">IFERROR(__xludf.DUMMYFUNCTION("IMPORTRANGE(H13696,""IDENTITAS UNIT!D9"")"),"#N/A")</f>
        <v>#N/A</v>
      </c>
      <c r="H13696" s="4" t="str">
        <v/>
      </c>
      <c r="I13696" s="4" t="str">
        <v/>
      </c>
    </row>
    <row r="13697" spans="5:9" ht="16.5" hidden="1">
      <c r="E13697" s="4" t="str">
        <v/>
      </c>
      <c r="F13697" s="102" t="str">
        <f ca="1">IFERROR(__xludf.DUMMYFUNCTION("IMPORTRANGE(H13697,""IDENTITAS UNIT!D9"")"),"#N/A")</f>
        <v>#N/A</v>
      </c>
      <c r="H13697" s="4" t="str">
        <v/>
      </c>
      <c r="I13697" s="4" t="str">
        <v/>
      </c>
    </row>
    <row r="13698" spans="5:9" ht="16.5" hidden="1">
      <c r="E13698" s="4" t="str">
        <v/>
      </c>
      <c r="F13698" s="102" t="str">
        <f ca="1">IFERROR(__xludf.DUMMYFUNCTION("IMPORTRANGE(H13698,""IDENTITAS UNIT!D9"")"),"#N/A")</f>
        <v>#N/A</v>
      </c>
      <c r="H13698" s="4" t="str">
        <v/>
      </c>
      <c r="I13698" s="4" t="str">
        <v/>
      </c>
    </row>
    <row r="13699" spans="5:9" ht="16.5" hidden="1">
      <c r="E13699" s="4" t="str">
        <v/>
      </c>
      <c r="F13699" s="102" t="str">
        <f ca="1">IFERROR(__xludf.DUMMYFUNCTION("IMPORTRANGE(H13699,""IDENTITAS UNIT!D9"")"),"#N/A")</f>
        <v>#N/A</v>
      </c>
      <c r="H13699" s="4" t="str">
        <v/>
      </c>
      <c r="I13699" s="4" t="str">
        <v/>
      </c>
    </row>
    <row r="13700" spans="5:9" ht="16.5" hidden="1">
      <c r="E13700" s="4" t="str">
        <v/>
      </c>
      <c r="F13700" s="102" t="str">
        <f ca="1">IFERROR(__xludf.DUMMYFUNCTION("IMPORTRANGE(H13700,""IDENTITAS UNIT!D9"")"),"#N/A")</f>
        <v>#N/A</v>
      </c>
      <c r="H13700" s="4" t="str">
        <v/>
      </c>
      <c r="I13700" s="4" t="str">
        <v/>
      </c>
    </row>
    <row r="13701" spans="5:9" ht="16.5" hidden="1">
      <c r="E13701" s="4" t="str">
        <v/>
      </c>
      <c r="F13701" s="102" t="str">
        <f ca="1">IFERROR(__xludf.DUMMYFUNCTION("IMPORTRANGE(H13701,""IDENTITAS UNIT!D9"")"),"#N/A")</f>
        <v>#N/A</v>
      </c>
      <c r="H13701" s="4" t="str">
        <v/>
      </c>
      <c r="I13701" s="4" t="str">
        <v/>
      </c>
    </row>
    <row r="13702" spans="5:9" ht="16.5" hidden="1">
      <c r="E13702" s="4" t="str">
        <v/>
      </c>
      <c r="F13702" s="102" t="str">
        <f ca="1">IFERROR(__xludf.DUMMYFUNCTION("IMPORTRANGE(H13702,""IDENTITAS UNIT!D9"")"),"#N/A")</f>
        <v>#N/A</v>
      </c>
      <c r="H13702" s="4" t="str">
        <v/>
      </c>
      <c r="I13702" s="4" t="str">
        <v/>
      </c>
    </row>
    <row r="13703" spans="5:9" ht="16.5" hidden="1">
      <c r="E13703" s="4" t="str">
        <v/>
      </c>
      <c r="F13703" s="102" t="str">
        <f ca="1">IFERROR(__xludf.DUMMYFUNCTION("IMPORTRANGE(H13703,""IDENTITAS UNIT!D9"")"),"#N/A")</f>
        <v>#N/A</v>
      </c>
      <c r="H13703" s="4" t="str">
        <v/>
      </c>
      <c r="I13703" s="4" t="str">
        <v/>
      </c>
    </row>
    <row r="13704" spans="5:9" ht="16.5" hidden="1">
      <c r="E13704" s="4" t="str">
        <v/>
      </c>
      <c r="F13704" s="102" t="str">
        <f ca="1">IFERROR(__xludf.DUMMYFUNCTION("IMPORTRANGE(H13704,""IDENTITAS UNIT!D9"")"),"#N/A")</f>
        <v>#N/A</v>
      </c>
      <c r="H13704" s="4" t="str">
        <v/>
      </c>
      <c r="I13704" s="4" t="str">
        <v/>
      </c>
    </row>
    <row r="13705" spans="5:9" ht="16.5" hidden="1">
      <c r="E13705" s="4" t="str">
        <v/>
      </c>
      <c r="F13705" s="102" t="str">
        <f ca="1">IFERROR(__xludf.DUMMYFUNCTION("IMPORTRANGE(H13705,""IDENTITAS UNIT!D9"")"),"#N/A")</f>
        <v>#N/A</v>
      </c>
      <c r="H13705" s="4" t="str">
        <v/>
      </c>
      <c r="I13705" s="4" t="str">
        <v/>
      </c>
    </row>
    <row r="13706" spans="5:9" ht="16.5" hidden="1">
      <c r="E13706" s="4" t="str">
        <v/>
      </c>
      <c r="F13706" s="102" t="str">
        <f ca="1">IFERROR(__xludf.DUMMYFUNCTION("IMPORTRANGE(H13706,""IDENTITAS UNIT!D9"")"),"#N/A")</f>
        <v>#N/A</v>
      </c>
      <c r="H13706" s="4" t="str">
        <v/>
      </c>
      <c r="I13706" s="4" t="str">
        <v/>
      </c>
    </row>
    <row r="13707" spans="5:9" ht="16.5" hidden="1">
      <c r="E13707" s="4" t="str">
        <v/>
      </c>
      <c r="F13707" s="102" t="str">
        <f ca="1">IFERROR(__xludf.DUMMYFUNCTION("IMPORTRANGE(H13707,""IDENTITAS UNIT!D9"")"),"#N/A")</f>
        <v>#N/A</v>
      </c>
      <c r="H13707" s="4" t="str">
        <v/>
      </c>
      <c r="I13707" s="4" t="str">
        <v/>
      </c>
    </row>
    <row r="13708" spans="5:9" ht="16.5" hidden="1">
      <c r="E13708" s="4" t="str">
        <v/>
      </c>
      <c r="F13708" s="102" t="str">
        <f ca="1">IFERROR(__xludf.DUMMYFUNCTION("IMPORTRANGE(H13708,""IDENTITAS UNIT!D9"")"),"#N/A")</f>
        <v>#N/A</v>
      </c>
      <c r="H13708" s="4" t="str">
        <v/>
      </c>
      <c r="I13708" s="4" t="str">
        <v/>
      </c>
    </row>
    <row r="13709" spans="5:9" ht="16.5" hidden="1">
      <c r="E13709" s="4" t="str">
        <v/>
      </c>
      <c r="F13709" s="102" t="str">
        <f ca="1">IFERROR(__xludf.DUMMYFUNCTION("IMPORTRANGE(H13709,""IDENTITAS UNIT!D9"")"),"#N/A")</f>
        <v>#N/A</v>
      </c>
      <c r="H13709" s="4" t="str">
        <v/>
      </c>
      <c r="I13709" s="4" t="str">
        <v/>
      </c>
    </row>
    <row r="13710" spans="5:9" ht="16.5" hidden="1">
      <c r="E13710" s="4" t="str">
        <v/>
      </c>
      <c r="F13710" s="102" t="str">
        <f ca="1">IFERROR(__xludf.DUMMYFUNCTION("IMPORTRANGE(H13710,""IDENTITAS UNIT!D9"")"),"#N/A")</f>
        <v>#N/A</v>
      </c>
      <c r="H13710" s="4" t="str">
        <v/>
      </c>
      <c r="I13710" s="4" t="str">
        <v/>
      </c>
    </row>
    <row r="13711" spans="5:9" ht="16.5" hidden="1">
      <c r="E13711" s="4" t="str">
        <v/>
      </c>
      <c r="F13711" s="102" t="str">
        <f ca="1">IFERROR(__xludf.DUMMYFUNCTION("IMPORTRANGE(H13711,""IDENTITAS UNIT!D9"")"),"#N/A")</f>
        <v>#N/A</v>
      </c>
      <c r="H13711" s="4" t="str">
        <v/>
      </c>
      <c r="I13711" s="4" t="str">
        <v/>
      </c>
    </row>
    <row r="13712" spans="5:9" ht="16.5" hidden="1">
      <c r="E13712" s="4" t="str">
        <v/>
      </c>
      <c r="F13712" s="102" t="str">
        <f ca="1">IFERROR(__xludf.DUMMYFUNCTION("IMPORTRANGE(H13712,""IDENTITAS UNIT!D9"")"),"#N/A")</f>
        <v>#N/A</v>
      </c>
      <c r="H13712" s="4" t="str">
        <v/>
      </c>
      <c r="I13712" s="4" t="str">
        <v/>
      </c>
    </row>
    <row r="13713" spans="5:9" ht="16.5" hidden="1">
      <c r="E13713" s="4" t="str">
        <v/>
      </c>
      <c r="F13713" s="102" t="str">
        <f ca="1">IFERROR(__xludf.DUMMYFUNCTION("IMPORTRANGE(H13713,""IDENTITAS UNIT!D9"")"),"#N/A")</f>
        <v>#N/A</v>
      </c>
      <c r="H13713" s="4" t="str">
        <v/>
      </c>
      <c r="I13713" s="4" t="str">
        <v/>
      </c>
    </row>
    <row r="13714" spans="5:9" ht="16.5" hidden="1">
      <c r="E13714" s="4" t="str">
        <v/>
      </c>
      <c r="F13714" s="102" t="str">
        <f ca="1">IFERROR(__xludf.DUMMYFUNCTION("IMPORTRANGE(H13714,""IDENTITAS UNIT!D9"")"),"#N/A")</f>
        <v>#N/A</v>
      </c>
      <c r="H13714" s="4" t="str">
        <v/>
      </c>
      <c r="I13714" s="4" t="str">
        <v/>
      </c>
    </row>
    <row r="13715" spans="5:9" ht="16.5" hidden="1">
      <c r="E13715" s="4" t="str">
        <v/>
      </c>
      <c r="F13715" s="102" t="str">
        <f ca="1">IFERROR(__xludf.DUMMYFUNCTION("IMPORTRANGE(H13715,""IDENTITAS UNIT!D9"")"),"#N/A")</f>
        <v>#N/A</v>
      </c>
      <c r="H13715" s="4" t="str">
        <v/>
      </c>
      <c r="I13715" s="4" t="str">
        <v/>
      </c>
    </row>
    <row r="13716" spans="5:9" ht="16.5" hidden="1">
      <c r="E13716" s="4" t="str">
        <v/>
      </c>
      <c r="F13716" s="102" t="str">
        <f ca="1">IFERROR(__xludf.DUMMYFUNCTION("IMPORTRANGE(H13716,""IDENTITAS UNIT!D9"")"),"#N/A")</f>
        <v>#N/A</v>
      </c>
      <c r="H13716" s="4" t="str">
        <v/>
      </c>
      <c r="I13716" s="4" t="str">
        <v/>
      </c>
    </row>
    <row r="13717" spans="5:9" ht="16.5" hidden="1">
      <c r="E13717" s="4" t="str">
        <v/>
      </c>
      <c r="F13717" s="102" t="str">
        <f ca="1">IFERROR(__xludf.DUMMYFUNCTION("IMPORTRANGE(H13717,""IDENTITAS UNIT!D9"")"),"#N/A")</f>
        <v>#N/A</v>
      </c>
      <c r="H13717" s="4" t="str">
        <v/>
      </c>
      <c r="I13717" s="4" t="str">
        <v/>
      </c>
    </row>
    <row r="13718" spans="5:9" ht="16.5" hidden="1">
      <c r="E13718" s="4" t="str">
        <v/>
      </c>
      <c r="F13718" s="102" t="str">
        <f ca="1">IFERROR(__xludf.DUMMYFUNCTION("IMPORTRANGE(H13718,""IDENTITAS UNIT!D9"")"),"#N/A")</f>
        <v>#N/A</v>
      </c>
      <c r="H13718" s="4" t="str">
        <v/>
      </c>
      <c r="I13718" s="4" t="str">
        <v/>
      </c>
    </row>
    <row r="13719" spans="5:9" ht="16.5" hidden="1">
      <c r="E13719" s="4" t="str">
        <v/>
      </c>
      <c r="F13719" s="102" t="str">
        <f ca="1">IFERROR(__xludf.DUMMYFUNCTION("IMPORTRANGE(H13719,""IDENTITAS UNIT!D9"")"),"#N/A")</f>
        <v>#N/A</v>
      </c>
      <c r="H13719" s="4" t="str">
        <v/>
      </c>
      <c r="I13719" s="4" t="str">
        <v/>
      </c>
    </row>
    <row r="13720" spans="5:9" ht="16.5" hidden="1">
      <c r="E13720" s="4" t="str">
        <v/>
      </c>
      <c r="F13720" s="102" t="str">
        <f ca="1">IFERROR(__xludf.DUMMYFUNCTION("IMPORTRANGE(H13720,""IDENTITAS UNIT!D9"")"),"#N/A")</f>
        <v>#N/A</v>
      </c>
      <c r="H13720" s="4" t="str">
        <v/>
      </c>
      <c r="I13720" s="4" t="str">
        <v/>
      </c>
    </row>
    <row r="13721" spans="5:9" ht="16.5" hidden="1">
      <c r="E13721" s="4" t="str">
        <v/>
      </c>
      <c r="F13721" s="102" t="str">
        <f ca="1">IFERROR(__xludf.DUMMYFUNCTION("IMPORTRANGE(H13721,""IDENTITAS UNIT!D9"")"),"#N/A")</f>
        <v>#N/A</v>
      </c>
      <c r="H13721" s="4" t="str">
        <v/>
      </c>
      <c r="I13721" s="4" t="str">
        <v/>
      </c>
    </row>
    <row r="13722" spans="5:9" ht="16.5" hidden="1">
      <c r="E13722" s="4" t="str">
        <v/>
      </c>
      <c r="F13722" s="102" t="str">
        <f ca="1">IFERROR(__xludf.DUMMYFUNCTION("IMPORTRANGE(H13722,""IDENTITAS UNIT!D9"")"),"#N/A")</f>
        <v>#N/A</v>
      </c>
      <c r="H13722" s="4" t="str">
        <v/>
      </c>
      <c r="I13722" s="4" t="str">
        <v/>
      </c>
    </row>
    <row r="13723" spans="5:9" ht="16.5" hidden="1">
      <c r="E13723" s="4" t="str">
        <v/>
      </c>
      <c r="F13723" s="102" t="str">
        <f ca="1">IFERROR(__xludf.DUMMYFUNCTION("IMPORTRANGE(H13723,""IDENTITAS UNIT!D9"")"),"#N/A")</f>
        <v>#N/A</v>
      </c>
      <c r="H13723" s="4" t="str">
        <v/>
      </c>
      <c r="I13723" s="4" t="str">
        <v/>
      </c>
    </row>
    <row r="13724" spans="5:9" ht="16.5" hidden="1">
      <c r="E13724" s="4" t="str">
        <v/>
      </c>
      <c r="F13724" s="102" t="str">
        <f ca="1">IFERROR(__xludf.DUMMYFUNCTION("IMPORTRANGE(H13724,""IDENTITAS UNIT!D9"")"),"#N/A")</f>
        <v>#N/A</v>
      </c>
      <c r="H13724" s="4" t="str">
        <v/>
      </c>
      <c r="I13724" s="4" t="str">
        <v/>
      </c>
    </row>
    <row r="13725" spans="5:9" ht="16.5" hidden="1">
      <c r="E13725" s="4" t="str">
        <v/>
      </c>
      <c r="F13725" s="102" t="str">
        <f ca="1">IFERROR(__xludf.DUMMYFUNCTION("IMPORTRANGE(H13725,""IDENTITAS UNIT!D9"")"),"#N/A")</f>
        <v>#N/A</v>
      </c>
      <c r="H13725" s="4" t="str">
        <v/>
      </c>
      <c r="I13725" s="4" t="str">
        <v/>
      </c>
    </row>
    <row r="13726" spans="5:9" ht="16.5" hidden="1">
      <c r="E13726" s="4" t="str">
        <v/>
      </c>
      <c r="F13726" s="102" t="str">
        <f ca="1">IFERROR(__xludf.DUMMYFUNCTION("IMPORTRANGE(H13726,""IDENTITAS UNIT!D9"")"),"#N/A")</f>
        <v>#N/A</v>
      </c>
      <c r="H13726" s="4" t="str">
        <v/>
      </c>
      <c r="I13726" s="4" t="str">
        <v/>
      </c>
    </row>
    <row r="13727" spans="5:9" ht="16.5" hidden="1">
      <c r="E13727" s="4" t="str">
        <v/>
      </c>
      <c r="F13727" s="102" t="str">
        <f ca="1">IFERROR(__xludf.DUMMYFUNCTION("IMPORTRANGE(H13727,""IDENTITAS UNIT!D9"")"),"#N/A")</f>
        <v>#N/A</v>
      </c>
      <c r="H13727" s="4" t="str">
        <v/>
      </c>
      <c r="I13727" s="4" t="str">
        <v/>
      </c>
    </row>
    <row r="13728" spans="5:9" ht="16.5" hidden="1">
      <c r="E13728" s="4" t="str">
        <v/>
      </c>
      <c r="F13728" s="102" t="str">
        <f ca="1">IFERROR(__xludf.DUMMYFUNCTION("IMPORTRANGE(H13728,""IDENTITAS UNIT!D9"")"),"#N/A")</f>
        <v>#N/A</v>
      </c>
      <c r="H13728" s="4" t="str">
        <v/>
      </c>
      <c r="I13728" s="4" t="str">
        <v/>
      </c>
    </row>
    <row r="13729" spans="5:9" ht="16.5" hidden="1">
      <c r="E13729" s="4" t="str">
        <v/>
      </c>
      <c r="F13729" s="102" t="str">
        <f ca="1">IFERROR(__xludf.DUMMYFUNCTION("IMPORTRANGE(H13729,""IDENTITAS UNIT!D9"")"),"#N/A")</f>
        <v>#N/A</v>
      </c>
      <c r="H13729" s="4" t="str">
        <v/>
      </c>
      <c r="I13729" s="4" t="str">
        <v/>
      </c>
    </row>
    <row r="13730" spans="5:9" ht="16.5" hidden="1">
      <c r="E13730" s="4" t="str">
        <v/>
      </c>
      <c r="F13730" s="102" t="str">
        <f ca="1">IFERROR(__xludf.DUMMYFUNCTION("IMPORTRANGE(H13730,""IDENTITAS UNIT!D9"")"),"#N/A")</f>
        <v>#N/A</v>
      </c>
      <c r="H13730" s="4" t="str">
        <v/>
      </c>
      <c r="I13730" s="4" t="str">
        <v/>
      </c>
    </row>
    <row r="13731" spans="5:9" ht="16.5" hidden="1">
      <c r="E13731" s="4" t="str">
        <v/>
      </c>
      <c r="F13731" s="102" t="str">
        <f ca="1">IFERROR(__xludf.DUMMYFUNCTION("IMPORTRANGE(H13731,""IDENTITAS UNIT!D9"")"),"#N/A")</f>
        <v>#N/A</v>
      </c>
      <c r="H13731" s="4" t="str">
        <v/>
      </c>
      <c r="I13731" s="4" t="str">
        <v/>
      </c>
    </row>
    <row r="13732" spans="5:9" ht="16.5" hidden="1">
      <c r="E13732" s="4" t="str">
        <v/>
      </c>
      <c r="F13732" s="102" t="str">
        <f ca="1">IFERROR(__xludf.DUMMYFUNCTION("IMPORTRANGE(H13732,""IDENTITAS UNIT!D9"")"),"#N/A")</f>
        <v>#N/A</v>
      </c>
      <c r="H13732" s="4" t="str">
        <v/>
      </c>
      <c r="I13732" s="4" t="str">
        <v/>
      </c>
    </row>
    <row r="13733" spans="5:9" ht="16.5" hidden="1">
      <c r="E13733" s="4" t="str">
        <v/>
      </c>
      <c r="F13733" s="102" t="str">
        <f ca="1">IFERROR(__xludf.DUMMYFUNCTION("IMPORTRANGE(H13733,""IDENTITAS UNIT!D9"")"),"#N/A")</f>
        <v>#N/A</v>
      </c>
      <c r="H13733" s="4" t="str">
        <v/>
      </c>
      <c r="I13733" s="4" t="str">
        <v/>
      </c>
    </row>
    <row r="13734" spans="5:9" ht="16.5" hidden="1">
      <c r="E13734" s="4" t="str">
        <v/>
      </c>
      <c r="F13734" s="102" t="str">
        <f ca="1">IFERROR(__xludf.DUMMYFUNCTION("IMPORTRANGE(H13734,""IDENTITAS UNIT!D9"")"),"#N/A")</f>
        <v>#N/A</v>
      </c>
      <c r="H13734" s="4" t="str">
        <v/>
      </c>
      <c r="I13734" s="4" t="str">
        <v/>
      </c>
    </row>
    <row r="13735" spans="5:9" ht="16.5" hidden="1">
      <c r="E13735" s="4" t="str">
        <v/>
      </c>
      <c r="F13735" s="102" t="str">
        <f ca="1">IFERROR(__xludf.DUMMYFUNCTION("IMPORTRANGE(H13735,""IDENTITAS UNIT!D9"")"),"#N/A")</f>
        <v>#N/A</v>
      </c>
      <c r="H13735" s="4" t="str">
        <v/>
      </c>
      <c r="I13735" s="4" t="str">
        <v/>
      </c>
    </row>
    <row r="13736" spans="5:9" ht="16.5" hidden="1">
      <c r="E13736" s="4" t="str">
        <v/>
      </c>
      <c r="F13736" s="102" t="str">
        <f ca="1">IFERROR(__xludf.DUMMYFUNCTION("IMPORTRANGE(H13736,""IDENTITAS UNIT!D9"")"),"#N/A")</f>
        <v>#N/A</v>
      </c>
      <c r="H13736" s="4" t="str">
        <v/>
      </c>
      <c r="I13736" s="4" t="str">
        <v/>
      </c>
    </row>
    <row r="13737" spans="5:9" ht="16.5" hidden="1">
      <c r="E13737" s="4" t="str">
        <v/>
      </c>
      <c r="F13737" s="102" t="str">
        <f ca="1">IFERROR(__xludf.DUMMYFUNCTION("IMPORTRANGE(H13737,""IDENTITAS UNIT!D9"")"),"#N/A")</f>
        <v>#N/A</v>
      </c>
      <c r="H13737" s="4" t="str">
        <v/>
      </c>
      <c r="I13737" s="4" t="str">
        <v/>
      </c>
    </row>
    <row r="13738" spans="5:9" ht="16.5" hidden="1">
      <c r="E13738" s="4" t="str">
        <v/>
      </c>
      <c r="F13738" s="102" t="str">
        <f ca="1">IFERROR(__xludf.DUMMYFUNCTION("IMPORTRANGE(H13738,""IDENTITAS UNIT!D9"")"),"#N/A")</f>
        <v>#N/A</v>
      </c>
      <c r="H13738" s="4" t="str">
        <v/>
      </c>
      <c r="I13738" s="4" t="str">
        <v/>
      </c>
    </row>
    <row r="13739" spans="5:9" ht="16.5" hidden="1">
      <c r="E13739" s="4" t="str">
        <v/>
      </c>
      <c r="F13739" s="102" t="str">
        <f ca="1">IFERROR(__xludf.DUMMYFUNCTION("IMPORTRANGE(H13739,""IDENTITAS UNIT!D9"")"),"#N/A")</f>
        <v>#N/A</v>
      </c>
      <c r="H13739" s="4" t="str">
        <v/>
      </c>
      <c r="I13739" s="4" t="str">
        <v/>
      </c>
    </row>
    <row r="13740" spans="5:9" ht="16.5" hidden="1">
      <c r="E13740" s="4" t="str">
        <v/>
      </c>
      <c r="F13740" s="102" t="str">
        <f ca="1">IFERROR(__xludf.DUMMYFUNCTION("IMPORTRANGE(H13740,""IDENTITAS UNIT!D9"")"),"#N/A")</f>
        <v>#N/A</v>
      </c>
      <c r="H13740" s="4" t="str">
        <v/>
      </c>
      <c r="I13740" s="4" t="str">
        <v/>
      </c>
    </row>
    <row r="13741" spans="5:9" ht="16.5" hidden="1">
      <c r="E13741" s="4" t="str">
        <v/>
      </c>
      <c r="F13741" s="102" t="str">
        <f ca="1">IFERROR(__xludf.DUMMYFUNCTION("IMPORTRANGE(H13741,""IDENTITAS UNIT!D9"")"),"#N/A")</f>
        <v>#N/A</v>
      </c>
      <c r="H13741" s="4" t="str">
        <v/>
      </c>
      <c r="I13741" s="4" t="str">
        <v/>
      </c>
    </row>
    <row r="13742" spans="5:9" ht="16.5" hidden="1">
      <c r="E13742" s="4" t="str">
        <v/>
      </c>
      <c r="F13742" s="102" t="str">
        <f ca="1">IFERROR(__xludf.DUMMYFUNCTION("IMPORTRANGE(H13742,""IDENTITAS UNIT!D9"")"),"#N/A")</f>
        <v>#N/A</v>
      </c>
      <c r="H13742" s="4" t="str">
        <v/>
      </c>
      <c r="I13742" s="4" t="str">
        <v/>
      </c>
    </row>
    <row r="13743" spans="5:9" ht="16.5" hidden="1">
      <c r="E13743" s="4" t="str">
        <v/>
      </c>
      <c r="F13743" s="102" t="str">
        <f ca="1">IFERROR(__xludf.DUMMYFUNCTION("IMPORTRANGE(H13743,""IDENTITAS UNIT!D9"")"),"#N/A")</f>
        <v>#N/A</v>
      </c>
      <c r="H13743" s="4" t="str">
        <v/>
      </c>
      <c r="I13743" s="4" t="str">
        <v/>
      </c>
    </row>
    <row r="13744" spans="5:9" ht="16.5" hidden="1">
      <c r="E13744" s="4" t="str">
        <v/>
      </c>
      <c r="F13744" s="102" t="str">
        <f ca="1">IFERROR(__xludf.DUMMYFUNCTION("IMPORTRANGE(H13744,""IDENTITAS UNIT!D9"")"),"#N/A")</f>
        <v>#N/A</v>
      </c>
      <c r="H13744" s="4" t="str">
        <v/>
      </c>
      <c r="I13744" s="4" t="str">
        <v/>
      </c>
    </row>
    <row r="13745" spans="5:9" ht="16.5" hidden="1">
      <c r="E13745" s="4" t="str">
        <v/>
      </c>
      <c r="F13745" s="102" t="str">
        <f ca="1">IFERROR(__xludf.DUMMYFUNCTION("IMPORTRANGE(H13745,""IDENTITAS UNIT!D9"")"),"#N/A")</f>
        <v>#N/A</v>
      </c>
      <c r="H13745" s="4" t="str">
        <v/>
      </c>
      <c r="I13745" s="4" t="str">
        <v/>
      </c>
    </row>
    <row r="13746" spans="5:9" ht="16.5" hidden="1">
      <c r="E13746" s="4" t="str">
        <v/>
      </c>
      <c r="F13746" s="102" t="str">
        <f ca="1">IFERROR(__xludf.DUMMYFUNCTION("IMPORTRANGE(H13746,""IDENTITAS UNIT!D9"")"),"#N/A")</f>
        <v>#N/A</v>
      </c>
      <c r="H13746" s="4" t="str">
        <v/>
      </c>
      <c r="I13746" s="4" t="str">
        <v/>
      </c>
    </row>
    <row r="13747" spans="5:9" ht="16.5" hidden="1">
      <c r="E13747" s="4" t="str">
        <v/>
      </c>
      <c r="F13747" s="102" t="str">
        <f ca="1">IFERROR(__xludf.DUMMYFUNCTION("IMPORTRANGE(H13747,""IDENTITAS UNIT!D9"")"),"#N/A")</f>
        <v>#N/A</v>
      </c>
      <c r="H13747" s="4" t="str">
        <v/>
      </c>
      <c r="I13747" s="4" t="str">
        <v/>
      </c>
    </row>
    <row r="13748" spans="5:9" ht="16.5" hidden="1">
      <c r="E13748" s="4" t="str">
        <v/>
      </c>
      <c r="F13748" s="102" t="str">
        <f ca="1">IFERROR(__xludf.DUMMYFUNCTION("IMPORTRANGE(H13748,""IDENTITAS UNIT!D9"")"),"#N/A")</f>
        <v>#N/A</v>
      </c>
      <c r="H13748" s="4" t="str">
        <v/>
      </c>
      <c r="I13748" s="4" t="str">
        <v/>
      </c>
    </row>
    <row r="13749" spans="5:9" ht="16.5" hidden="1">
      <c r="E13749" s="4" t="str">
        <v/>
      </c>
      <c r="F13749" s="102" t="str">
        <f ca="1">IFERROR(__xludf.DUMMYFUNCTION("IMPORTRANGE(H13749,""IDENTITAS UNIT!D9"")"),"#N/A")</f>
        <v>#N/A</v>
      </c>
      <c r="H13749" s="4" t="str">
        <v/>
      </c>
      <c r="I13749" s="4" t="str">
        <v/>
      </c>
    </row>
    <row r="13750" spans="5:9" ht="16.5" hidden="1">
      <c r="E13750" s="4" t="str">
        <v/>
      </c>
      <c r="F13750" s="102" t="str">
        <f ca="1">IFERROR(__xludf.DUMMYFUNCTION("IMPORTRANGE(H13750,""IDENTITAS UNIT!D9"")"),"#N/A")</f>
        <v>#N/A</v>
      </c>
      <c r="H13750" s="4" t="str">
        <v/>
      </c>
      <c r="I13750" s="4" t="str">
        <v/>
      </c>
    </row>
    <row r="13751" spans="5:9" ht="16.5" hidden="1">
      <c r="E13751" s="4" t="str">
        <v/>
      </c>
      <c r="F13751" s="102" t="str">
        <f ca="1">IFERROR(__xludf.DUMMYFUNCTION("IMPORTRANGE(H13751,""IDENTITAS UNIT!D9"")"),"#N/A")</f>
        <v>#N/A</v>
      </c>
      <c r="H13751" s="4" t="str">
        <v/>
      </c>
      <c r="I13751" s="4" t="str">
        <v/>
      </c>
    </row>
    <row r="13752" spans="5:9" ht="16.5" hidden="1">
      <c r="E13752" s="4" t="str">
        <v/>
      </c>
      <c r="F13752" s="102" t="str">
        <f ca="1">IFERROR(__xludf.DUMMYFUNCTION("IMPORTRANGE(H13752,""IDENTITAS UNIT!D9"")"),"#N/A")</f>
        <v>#N/A</v>
      </c>
      <c r="H13752" s="4" t="str">
        <v/>
      </c>
      <c r="I13752" s="4" t="str">
        <v/>
      </c>
    </row>
    <row r="13753" spans="5:9" ht="16.5" hidden="1">
      <c r="E13753" s="4" t="str">
        <v/>
      </c>
      <c r="F13753" s="102" t="str">
        <f ca="1">IFERROR(__xludf.DUMMYFUNCTION("IMPORTRANGE(H13753,""IDENTITAS UNIT!D9"")"),"#N/A")</f>
        <v>#N/A</v>
      </c>
      <c r="H13753" s="4" t="str">
        <v/>
      </c>
      <c r="I13753" s="4" t="str">
        <v/>
      </c>
    </row>
    <row r="13754" spans="5:9" ht="16.5" hidden="1">
      <c r="E13754" s="4" t="str">
        <v/>
      </c>
      <c r="F13754" s="102" t="str">
        <f ca="1">IFERROR(__xludf.DUMMYFUNCTION("IMPORTRANGE(H13754,""IDENTITAS UNIT!D9"")"),"#N/A")</f>
        <v>#N/A</v>
      </c>
      <c r="H13754" s="4" t="str">
        <v/>
      </c>
      <c r="I13754" s="4" t="str">
        <v/>
      </c>
    </row>
    <row r="13755" spans="5:9" ht="16.5" hidden="1">
      <c r="E13755" s="4" t="str">
        <v/>
      </c>
      <c r="F13755" s="102" t="str">
        <f ca="1">IFERROR(__xludf.DUMMYFUNCTION("IMPORTRANGE(H13755,""IDENTITAS UNIT!D9"")"),"#N/A")</f>
        <v>#N/A</v>
      </c>
      <c r="H13755" s="4" t="str">
        <v/>
      </c>
      <c r="I13755" s="4" t="str">
        <v/>
      </c>
    </row>
    <row r="13756" spans="5:9" ht="16.5" hidden="1">
      <c r="E13756" s="4" t="str">
        <v/>
      </c>
      <c r="F13756" s="102" t="str">
        <f ca="1">IFERROR(__xludf.DUMMYFUNCTION("IMPORTRANGE(H13756,""IDENTITAS UNIT!D9"")"),"#N/A")</f>
        <v>#N/A</v>
      </c>
      <c r="H13756" s="4" t="str">
        <v/>
      </c>
      <c r="I13756" s="4" t="str">
        <v/>
      </c>
    </row>
    <row r="13757" spans="5:9" ht="16.5" hidden="1">
      <c r="E13757" s="4" t="str">
        <v/>
      </c>
      <c r="F13757" s="102" t="str">
        <f ca="1">IFERROR(__xludf.DUMMYFUNCTION("IMPORTRANGE(H13757,""IDENTITAS UNIT!D9"")"),"#N/A")</f>
        <v>#N/A</v>
      </c>
      <c r="H13757" s="4" t="str">
        <v/>
      </c>
      <c r="I13757" s="4" t="str">
        <v/>
      </c>
    </row>
    <row r="13758" spans="5:9" ht="16.5" hidden="1">
      <c r="E13758" s="4" t="str">
        <v/>
      </c>
      <c r="F13758" s="102" t="str">
        <f ca="1">IFERROR(__xludf.DUMMYFUNCTION("IMPORTRANGE(H13758,""IDENTITAS UNIT!D9"")"),"#N/A")</f>
        <v>#N/A</v>
      </c>
      <c r="H13758" s="4" t="str">
        <v/>
      </c>
      <c r="I13758" s="4" t="str">
        <v/>
      </c>
    </row>
    <row r="13759" spans="5:9" ht="16.5" hidden="1">
      <c r="E13759" s="4" t="str">
        <v/>
      </c>
      <c r="F13759" s="102" t="str">
        <f ca="1">IFERROR(__xludf.DUMMYFUNCTION("IMPORTRANGE(H13759,""IDENTITAS UNIT!D9"")"),"#N/A")</f>
        <v>#N/A</v>
      </c>
      <c r="H13759" s="4" t="str">
        <v/>
      </c>
      <c r="I13759" s="4" t="str">
        <v/>
      </c>
    </row>
    <row r="13760" spans="5:9" ht="16.5" hidden="1">
      <c r="E13760" s="4" t="str">
        <v/>
      </c>
      <c r="F13760" s="102" t="str">
        <f ca="1">IFERROR(__xludf.DUMMYFUNCTION("IMPORTRANGE(H13760,""IDENTITAS UNIT!D9"")"),"#N/A")</f>
        <v>#N/A</v>
      </c>
      <c r="H13760" s="4" t="str">
        <v/>
      </c>
      <c r="I13760" s="4" t="str">
        <v/>
      </c>
    </row>
    <row r="13761" spans="5:9" ht="16.5" hidden="1">
      <c r="E13761" s="4" t="str">
        <v/>
      </c>
      <c r="F13761" s="102" t="str">
        <f ca="1">IFERROR(__xludf.DUMMYFUNCTION("IMPORTRANGE(H13761,""IDENTITAS UNIT!D9"")"),"#N/A")</f>
        <v>#N/A</v>
      </c>
      <c r="H13761" s="4" t="str">
        <v/>
      </c>
      <c r="I13761" s="4" t="str">
        <v/>
      </c>
    </row>
    <row r="13762" spans="5:9" ht="16.5" hidden="1">
      <c r="E13762" s="4" t="str">
        <v/>
      </c>
      <c r="F13762" s="102" t="str">
        <f ca="1">IFERROR(__xludf.DUMMYFUNCTION("IMPORTRANGE(H13762,""IDENTITAS UNIT!D9"")"),"#N/A")</f>
        <v>#N/A</v>
      </c>
      <c r="H13762" s="4" t="str">
        <v/>
      </c>
      <c r="I13762" s="4" t="str">
        <v/>
      </c>
    </row>
    <row r="13763" spans="5:9" ht="16.5" hidden="1">
      <c r="E13763" s="4" t="str">
        <v/>
      </c>
      <c r="F13763" s="102" t="str">
        <f ca="1">IFERROR(__xludf.DUMMYFUNCTION("IMPORTRANGE(H13763,""IDENTITAS UNIT!D9"")"),"#N/A")</f>
        <v>#N/A</v>
      </c>
      <c r="H13763" s="4" t="str">
        <v/>
      </c>
      <c r="I13763" s="4" t="str">
        <v/>
      </c>
    </row>
    <row r="13764" spans="5:9" ht="16.5" hidden="1">
      <c r="E13764" s="4" t="str">
        <v/>
      </c>
      <c r="F13764" s="102" t="str">
        <f ca="1">IFERROR(__xludf.DUMMYFUNCTION("IMPORTRANGE(H13764,""IDENTITAS UNIT!D9"")"),"#N/A")</f>
        <v>#N/A</v>
      </c>
      <c r="H13764" s="4" t="str">
        <v/>
      </c>
      <c r="I13764" s="4" t="str">
        <v/>
      </c>
    </row>
    <row r="13765" spans="5:9" ht="16.5" hidden="1">
      <c r="E13765" s="4" t="str">
        <v/>
      </c>
      <c r="F13765" s="102" t="str">
        <f ca="1">IFERROR(__xludf.DUMMYFUNCTION("IMPORTRANGE(H13765,""IDENTITAS UNIT!D9"")"),"#N/A")</f>
        <v>#N/A</v>
      </c>
      <c r="H13765" s="4" t="str">
        <v/>
      </c>
      <c r="I13765" s="4" t="str">
        <v/>
      </c>
    </row>
    <row r="13766" spans="5:9" ht="16.5" hidden="1">
      <c r="E13766" s="4" t="str">
        <v/>
      </c>
      <c r="F13766" s="102" t="str">
        <f ca="1">IFERROR(__xludf.DUMMYFUNCTION("IMPORTRANGE(H13766,""IDENTITAS UNIT!D9"")"),"#N/A")</f>
        <v>#N/A</v>
      </c>
      <c r="H13766" s="4" t="str">
        <v/>
      </c>
      <c r="I13766" s="4" t="str">
        <v/>
      </c>
    </row>
    <row r="13767" spans="5:9" ht="16.5" hidden="1">
      <c r="E13767" s="4" t="str">
        <v/>
      </c>
      <c r="F13767" s="102" t="str">
        <f ca="1">IFERROR(__xludf.DUMMYFUNCTION("IMPORTRANGE(H13767,""IDENTITAS UNIT!D9"")"),"#N/A")</f>
        <v>#N/A</v>
      </c>
      <c r="H13767" s="4" t="str">
        <v/>
      </c>
      <c r="I13767" s="4" t="str">
        <v/>
      </c>
    </row>
    <row r="13768" spans="5:9" ht="16.5" hidden="1">
      <c r="E13768" s="4" t="str">
        <v/>
      </c>
      <c r="F13768" s="102" t="str">
        <f ca="1">IFERROR(__xludf.DUMMYFUNCTION("IMPORTRANGE(H13768,""IDENTITAS UNIT!D9"")"),"#N/A")</f>
        <v>#N/A</v>
      </c>
      <c r="H13768" s="4" t="str">
        <v/>
      </c>
      <c r="I13768" s="4" t="str">
        <v/>
      </c>
    </row>
    <row r="13769" spans="5:9" ht="16.5" hidden="1">
      <c r="E13769" s="4" t="str">
        <v/>
      </c>
      <c r="F13769" s="102" t="str">
        <f ca="1">IFERROR(__xludf.DUMMYFUNCTION("IMPORTRANGE(H13769,""IDENTITAS UNIT!D9"")"),"#N/A")</f>
        <v>#N/A</v>
      </c>
      <c r="H13769" s="4" t="str">
        <v/>
      </c>
      <c r="I13769" s="4" t="str">
        <v/>
      </c>
    </row>
    <row r="13770" spans="5:9" ht="16.5" hidden="1">
      <c r="E13770" s="4" t="str">
        <v/>
      </c>
      <c r="F13770" s="102" t="str">
        <f ca="1">IFERROR(__xludf.DUMMYFUNCTION("IMPORTRANGE(H13770,""IDENTITAS UNIT!D9"")"),"#N/A")</f>
        <v>#N/A</v>
      </c>
      <c r="H13770" s="4" t="str">
        <v/>
      </c>
      <c r="I13770" s="4" t="str">
        <v/>
      </c>
    </row>
    <row r="13771" spans="5:9" ht="16.5" hidden="1">
      <c r="E13771" s="4" t="str">
        <v/>
      </c>
      <c r="F13771" s="102" t="str">
        <f ca="1">IFERROR(__xludf.DUMMYFUNCTION("IMPORTRANGE(H13771,""IDENTITAS UNIT!D9"")"),"#N/A")</f>
        <v>#N/A</v>
      </c>
      <c r="H13771" s="4" t="str">
        <v/>
      </c>
      <c r="I13771" s="4" t="str">
        <v/>
      </c>
    </row>
    <row r="13772" spans="5:9" ht="16.5" hidden="1">
      <c r="E13772" s="4" t="str">
        <v/>
      </c>
      <c r="F13772" s="102" t="str">
        <f ca="1">IFERROR(__xludf.DUMMYFUNCTION("IMPORTRANGE(H13772,""IDENTITAS UNIT!D9"")"),"#N/A")</f>
        <v>#N/A</v>
      </c>
      <c r="H13772" s="4" t="str">
        <v/>
      </c>
      <c r="I13772" s="4" t="str">
        <v/>
      </c>
    </row>
    <row r="13773" spans="5:9" ht="16.5" hidden="1">
      <c r="E13773" s="4" t="str">
        <v/>
      </c>
      <c r="F13773" s="102" t="str">
        <f ca="1">IFERROR(__xludf.DUMMYFUNCTION("IMPORTRANGE(H13773,""IDENTITAS UNIT!D9"")"),"#N/A")</f>
        <v>#N/A</v>
      </c>
      <c r="H13773" s="4" t="str">
        <v/>
      </c>
      <c r="I13773" s="4" t="str">
        <v/>
      </c>
    </row>
    <row r="13774" spans="5:9" ht="16.5" hidden="1">
      <c r="E13774" s="4" t="str">
        <v/>
      </c>
      <c r="F13774" s="102" t="str">
        <f ca="1">IFERROR(__xludf.DUMMYFUNCTION("IMPORTRANGE(H13774,""IDENTITAS UNIT!D9"")"),"#N/A")</f>
        <v>#N/A</v>
      </c>
      <c r="H13774" s="4" t="str">
        <v/>
      </c>
      <c r="I13774" s="4" t="str">
        <v/>
      </c>
    </row>
    <row r="13775" spans="5:9" ht="16.5" hidden="1">
      <c r="E13775" s="4" t="str">
        <v/>
      </c>
      <c r="F13775" s="102" t="str">
        <f ca="1">IFERROR(__xludf.DUMMYFUNCTION("IMPORTRANGE(H13775,""IDENTITAS UNIT!D9"")"),"#N/A")</f>
        <v>#N/A</v>
      </c>
      <c r="H13775" s="4" t="str">
        <v/>
      </c>
      <c r="I13775" s="4" t="str">
        <v/>
      </c>
    </row>
    <row r="13776" spans="5:9" ht="16.5" hidden="1">
      <c r="E13776" s="4" t="str">
        <v/>
      </c>
      <c r="F13776" s="102" t="str">
        <f ca="1">IFERROR(__xludf.DUMMYFUNCTION("IMPORTRANGE(H13776,""IDENTITAS UNIT!D9"")"),"#N/A")</f>
        <v>#N/A</v>
      </c>
      <c r="H13776" s="4" t="str">
        <v/>
      </c>
      <c r="I13776" s="4" t="str">
        <v/>
      </c>
    </row>
    <row r="13777" spans="5:9" ht="16.5" hidden="1">
      <c r="E13777" s="4" t="str">
        <v/>
      </c>
      <c r="F13777" s="102" t="str">
        <f ca="1">IFERROR(__xludf.DUMMYFUNCTION("IMPORTRANGE(H13777,""IDENTITAS UNIT!D9"")"),"#N/A")</f>
        <v>#N/A</v>
      </c>
      <c r="H13777" s="4" t="str">
        <v/>
      </c>
      <c r="I13777" s="4" t="str">
        <v/>
      </c>
    </row>
    <row r="13778" spans="5:9" ht="16.5" hidden="1">
      <c r="E13778" s="4" t="str">
        <v/>
      </c>
      <c r="F13778" s="102" t="str">
        <f ca="1">IFERROR(__xludf.DUMMYFUNCTION("IMPORTRANGE(H13778,""IDENTITAS UNIT!D9"")"),"#N/A")</f>
        <v>#N/A</v>
      </c>
      <c r="H13778" s="4" t="str">
        <v/>
      </c>
      <c r="I13778" s="4" t="str">
        <v/>
      </c>
    </row>
    <row r="13779" spans="5:9" ht="16.5" hidden="1">
      <c r="E13779" s="4" t="str">
        <v/>
      </c>
      <c r="F13779" s="102" t="str">
        <f ca="1">IFERROR(__xludf.DUMMYFUNCTION("IMPORTRANGE(H13779,""IDENTITAS UNIT!D9"")"),"#N/A")</f>
        <v>#N/A</v>
      </c>
      <c r="H13779" s="4" t="str">
        <v/>
      </c>
      <c r="I13779" s="4" t="str">
        <v/>
      </c>
    </row>
    <row r="13780" spans="5:9" ht="16.5" hidden="1">
      <c r="E13780" s="4" t="str">
        <v/>
      </c>
      <c r="F13780" s="102" t="str">
        <f ca="1">IFERROR(__xludf.DUMMYFUNCTION("IMPORTRANGE(H13780,""IDENTITAS UNIT!D9"")"),"#N/A")</f>
        <v>#N/A</v>
      </c>
      <c r="H13780" s="4" t="str">
        <v/>
      </c>
      <c r="I13780" s="4" t="str">
        <v/>
      </c>
    </row>
    <row r="13781" spans="5:9" ht="16.5" hidden="1">
      <c r="E13781" s="4" t="str">
        <v/>
      </c>
      <c r="F13781" s="102" t="str">
        <f ca="1">IFERROR(__xludf.DUMMYFUNCTION("IMPORTRANGE(H13781,""IDENTITAS UNIT!D9"")"),"#N/A")</f>
        <v>#N/A</v>
      </c>
      <c r="H13781" s="4" t="str">
        <v/>
      </c>
      <c r="I13781" s="4" t="str">
        <v/>
      </c>
    </row>
    <row r="13782" spans="5:9" ht="16.5" hidden="1">
      <c r="E13782" s="4" t="str">
        <v/>
      </c>
      <c r="F13782" s="102" t="str">
        <f ca="1">IFERROR(__xludf.DUMMYFUNCTION("IMPORTRANGE(H13782,""IDENTITAS UNIT!D9"")"),"#N/A")</f>
        <v>#N/A</v>
      </c>
      <c r="H13782" s="4" t="str">
        <v/>
      </c>
      <c r="I13782" s="4" t="str">
        <v/>
      </c>
    </row>
    <row r="13783" spans="5:9" ht="16.5" hidden="1">
      <c r="E13783" s="4" t="str">
        <v/>
      </c>
      <c r="F13783" s="102" t="str">
        <f ca="1">IFERROR(__xludf.DUMMYFUNCTION("IMPORTRANGE(H13783,""IDENTITAS UNIT!D9"")"),"#N/A")</f>
        <v>#N/A</v>
      </c>
      <c r="H13783" s="4" t="str">
        <v/>
      </c>
      <c r="I13783" s="4" t="str">
        <v/>
      </c>
    </row>
    <row r="13784" spans="5:9" ht="16.5" hidden="1">
      <c r="E13784" s="4" t="str">
        <v/>
      </c>
      <c r="F13784" s="102" t="str">
        <f ca="1">IFERROR(__xludf.DUMMYFUNCTION("IMPORTRANGE(H13784,""IDENTITAS UNIT!D9"")"),"#N/A")</f>
        <v>#N/A</v>
      </c>
      <c r="H13784" s="4" t="str">
        <v/>
      </c>
      <c r="I13784" s="4" t="str">
        <v/>
      </c>
    </row>
    <row r="13785" spans="5:9" ht="16.5" hidden="1">
      <c r="E13785" s="4" t="str">
        <v/>
      </c>
      <c r="F13785" s="102" t="str">
        <f ca="1">IFERROR(__xludf.DUMMYFUNCTION("IMPORTRANGE(H13785,""IDENTITAS UNIT!D9"")"),"#N/A")</f>
        <v>#N/A</v>
      </c>
      <c r="H13785" s="4" t="str">
        <v/>
      </c>
      <c r="I13785" s="4" t="str">
        <v/>
      </c>
    </row>
    <row r="13786" spans="5:9" ht="16.5" hidden="1">
      <c r="E13786" s="4" t="str">
        <v/>
      </c>
      <c r="F13786" s="102" t="str">
        <f ca="1">IFERROR(__xludf.DUMMYFUNCTION("IMPORTRANGE(H13786,""IDENTITAS UNIT!D9"")"),"#N/A")</f>
        <v>#N/A</v>
      </c>
      <c r="H13786" s="4" t="str">
        <v/>
      </c>
      <c r="I13786" s="4" t="str">
        <v/>
      </c>
    </row>
    <row r="13787" spans="5:9" ht="16.5" hidden="1">
      <c r="E13787" s="4" t="str">
        <v/>
      </c>
      <c r="F13787" s="102" t="str">
        <f ca="1">IFERROR(__xludf.DUMMYFUNCTION("IMPORTRANGE(H13787,""IDENTITAS UNIT!D9"")"),"#N/A")</f>
        <v>#N/A</v>
      </c>
      <c r="H13787" s="4" t="str">
        <v/>
      </c>
      <c r="I13787" s="4" t="str">
        <v/>
      </c>
    </row>
    <row r="13788" spans="5:9" ht="16.5" hidden="1">
      <c r="E13788" s="4" t="str">
        <v/>
      </c>
      <c r="F13788" s="102" t="str">
        <f ca="1">IFERROR(__xludf.DUMMYFUNCTION("IMPORTRANGE(H13788,""IDENTITAS UNIT!D9"")"),"#N/A")</f>
        <v>#N/A</v>
      </c>
      <c r="H13788" s="4" t="str">
        <v/>
      </c>
      <c r="I13788" s="4" t="str">
        <v/>
      </c>
    </row>
    <row r="13789" spans="5:9" ht="16.5" hidden="1">
      <c r="E13789" s="4" t="str">
        <v/>
      </c>
      <c r="F13789" s="102" t="str">
        <f ca="1">IFERROR(__xludf.DUMMYFUNCTION("IMPORTRANGE(H13789,""IDENTITAS UNIT!D9"")"),"#N/A")</f>
        <v>#N/A</v>
      </c>
      <c r="H13789" s="4" t="str">
        <v/>
      </c>
      <c r="I13789" s="4" t="str">
        <v/>
      </c>
    </row>
    <row r="13790" spans="5:9" ht="16.5" hidden="1">
      <c r="E13790" s="4" t="str">
        <v/>
      </c>
      <c r="F13790" s="102" t="str">
        <f ca="1">IFERROR(__xludf.DUMMYFUNCTION("IMPORTRANGE(H13790,""IDENTITAS UNIT!D9"")"),"#N/A")</f>
        <v>#N/A</v>
      </c>
      <c r="H13790" s="4" t="str">
        <v/>
      </c>
      <c r="I13790" s="4" t="str">
        <v/>
      </c>
    </row>
    <row r="13791" spans="5:9" ht="16.5" hidden="1">
      <c r="E13791" s="4" t="str">
        <v/>
      </c>
      <c r="F13791" s="102" t="str">
        <f ca="1">IFERROR(__xludf.DUMMYFUNCTION("IMPORTRANGE(H13791,""IDENTITAS UNIT!D9"")"),"#N/A")</f>
        <v>#N/A</v>
      </c>
      <c r="H13791" s="4" t="str">
        <v/>
      </c>
      <c r="I13791" s="4" t="str">
        <v/>
      </c>
    </row>
    <row r="13792" spans="5:9" ht="16.5" hidden="1">
      <c r="E13792" s="4" t="str">
        <v/>
      </c>
      <c r="F13792" s="102" t="str">
        <f ca="1">IFERROR(__xludf.DUMMYFUNCTION("IMPORTRANGE(H13792,""IDENTITAS UNIT!D9"")"),"#N/A")</f>
        <v>#N/A</v>
      </c>
      <c r="H13792" s="4" t="str">
        <v/>
      </c>
      <c r="I13792" s="4" t="str">
        <v/>
      </c>
    </row>
    <row r="13793" spans="5:9" ht="16.5" hidden="1">
      <c r="E13793" s="4" t="str">
        <v/>
      </c>
      <c r="F13793" s="102" t="str">
        <f ca="1">IFERROR(__xludf.DUMMYFUNCTION("IMPORTRANGE(H13793,""IDENTITAS UNIT!D9"")"),"#N/A")</f>
        <v>#N/A</v>
      </c>
      <c r="H13793" s="4" t="str">
        <v/>
      </c>
      <c r="I13793" s="4" t="str">
        <v/>
      </c>
    </row>
    <row r="13794" spans="5:9" ht="16.5" hidden="1">
      <c r="E13794" s="4" t="str">
        <v/>
      </c>
      <c r="F13794" s="102" t="str">
        <f ca="1">IFERROR(__xludf.DUMMYFUNCTION("IMPORTRANGE(H13794,""IDENTITAS UNIT!D9"")"),"#N/A")</f>
        <v>#N/A</v>
      </c>
      <c r="H13794" s="4" t="str">
        <v/>
      </c>
      <c r="I13794" s="4" t="str">
        <v/>
      </c>
    </row>
    <row r="13795" spans="5:9" ht="16.5" hidden="1">
      <c r="E13795" s="4" t="str">
        <v/>
      </c>
      <c r="F13795" s="102" t="str">
        <f ca="1">IFERROR(__xludf.DUMMYFUNCTION("IMPORTRANGE(H13795,""IDENTITAS UNIT!D9"")"),"#N/A")</f>
        <v>#N/A</v>
      </c>
      <c r="H13795" s="4" t="str">
        <v/>
      </c>
      <c r="I13795" s="4" t="str">
        <v/>
      </c>
    </row>
    <row r="13796" spans="5:9" ht="16.5" hidden="1">
      <c r="E13796" s="4" t="str">
        <v/>
      </c>
      <c r="F13796" s="102" t="str">
        <f ca="1">IFERROR(__xludf.DUMMYFUNCTION("IMPORTRANGE(H13796,""IDENTITAS UNIT!D9"")"),"#N/A")</f>
        <v>#N/A</v>
      </c>
      <c r="H13796" s="4" t="str">
        <v/>
      </c>
      <c r="I13796" s="4" t="str">
        <v/>
      </c>
    </row>
    <row r="13797" spans="5:9" ht="16.5" hidden="1">
      <c r="E13797" s="4" t="str">
        <v/>
      </c>
      <c r="F13797" s="102" t="str">
        <f ca="1">IFERROR(__xludf.DUMMYFUNCTION("IMPORTRANGE(H13797,""IDENTITAS UNIT!D9"")"),"#N/A")</f>
        <v>#N/A</v>
      </c>
      <c r="H13797" s="4" t="str">
        <v/>
      </c>
      <c r="I13797" s="4" t="str">
        <v/>
      </c>
    </row>
    <row r="13798" spans="5:9" ht="16.5" hidden="1">
      <c r="E13798" s="4" t="str">
        <v/>
      </c>
      <c r="F13798" s="102" t="str">
        <f ca="1">IFERROR(__xludf.DUMMYFUNCTION("IMPORTRANGE(H13798,""IDENTITAS UNIT!D9"")"),"#N/A")</f>
        <v>#N/A</v>
      </c>
      <c r="H13798" s="4" t="str">
        <v/>
      </c>
      <c r="I13798" s="4" t="str">
        <v/>
      </c>
    </row>
    <row r="13799" spans="5:9" ht="16.5" hidden="1">
      <c r="E13799" s="4" t="str">
        <v/>
      </c>
      <c r="F13799" s="102" t="str">
        <f ca="1">IFERROR(__xludf.DUMMYFUNCTION("IMPORTRANGE(H13799,""IDENTITAS UNIT!D9"")"),"#N/A")</f>
        <v>#N/A</v>
      </c>
      <c r="H13799" s="4" t="str">
        <v/>
      </c>
      <c r="I13799" s="4" t="str">
        <v/>
      </c>
    </row>
    <row r="13800" spans="5:9" ht="16.5" hidden="1">
      <c r="E13800" s="4" t="str">
        <v/>
      </c>
      <c r="F13800" s="102" t="str">
        <f ca="1">IFERROR(__xludf.DUMMYFUNCTION("IMPORTRANGE(H13800,""IDENTITAS UNIT!D9"")"),"#N/A")</f>
        <v>#N/A</v>
      </c>
      <c r="H13800" s="4" t="str">
        <v/>
      </c>
      <c r="I13800" s="4" t="str">
        <v/>
      </c>
    </row>
    <row r="13801" spans="5:9" ht="16.5" hidden="1">
      <c r="E13801" s="4" t="str">
        <v/>
      </c>
      <c r="F13801" s="102" t="str">
        <f ca="1">IFERROR(__xludf.DUMMYFUNCTION("IMPORTRANGE(H13801,""IDENTITAS UNIT!D9"")"),"#N/A")</f>
        <v>#N/A</v>
      </c>
      <c r="H13801" s="4" t="str">
        <v/>
      </c>
      <c r="I13801" s="4" t="str">
        <v/>
      </c>
    </row>
    <row r="13802" spans="5:9" ht="16.5" hidden="1">
      <c r="E13802" s="4" t="str">
        <v/>
      </c>
      <c r="F13802" s="102" t="str">
        <f ca="1">IFERROR(__xludf.DUMMYFUNCTION("IMPORTRANGE(H13802,""IDENTITAS UNIT!D9"")"),"#N/A")</f>
        <v>#N/A</v>
      </c>
      <c r="H13802" s="4" t="str">
        <v/>
      </c>
      <c r="I13802" s="4" t="str">
        <v/>
      </c>
    </row>
    <row r="13803" spans="5:9" ht="16.5" hidden="1">
      <c r="E13803" s="4" t="str">
        <v/>
      </c>
      <c r="F13803" s="102" t="str">
        <f ca="1">IFERROR(__xludf.DUMMYFUNCTION("IMPORTRANGE(H13803,""IDENTITAS UNIT!D9"")"),"#N/A")</f>
        <v>#N/A</v>
      </c>
      <c r="H13803" s="4" t="str">
        <v/>
      </c>
      <c r="I13803" s="4" t="str">
        <v/>
      </c>
    </row>
    <row r="13804" spans="5:9" ht="16.5" hidden="1">
      <c r="E13804" s="4" t="str">
        <v/>
      </c>
      <c r="F13804" s="102" t="str">
        <f ca="1">IFERROR(__xludf.DUMMYFUNCTION("IMPORTRANGE(H13804,""IDENTITAS UNIT!D9"")"),"#N/A")</f>
        <v>#N/A</v>
      </c>
      <c r="H13804" s="4" t="str">
        <v/>
      </c>
      <c r="I13804" s="4" t="str">
        <v/>
      </c>
    </row>
    <row r="13805" spans="5:9" ht="16.5" hidden="1">
      <c r="E13805" s="4" t="str">
        <v/>
      </c>
      <c r="F13805" s="102" t="str">
        <f ca="1">IFERROR(__xludf.DUMMYFUNCTION("IMPORTRANGE(H13805,""IDENTITAS UNIT!D9"")"),"#N/A")</f>
        <v>#N/A</v>
      </c>
      <c r="H13805" s="4" t="str">
        <v/>
      </c>
      <c r="I13805" s="4" t="str">
        <v/>
      </c>
    </row>
    <row r="13806" spans="5:9" ht="16.5" hidden="1">
      <c r="E13806" s="4" t="str">
        <v/>
      </c>
      <c r="F13806" s="102" t="str">
        <f ca="1">IFERROR(__xludf.DUMMYFUNCTION("IMPORTRANGE(H13806,""IDENTITAS UNIT!D9"")"),"#N/A")</f>
        <v>#N/A</v>
      </c>
      <c r="H13806" s="4" t="str">
        <v/>
      </c>
      <c r="I13806" s="4" t="str">
        <v/>
      </c>
    </row>
    <row r="13807" spans="5:9" ht="16.5" hidden="1">
      <c r="E13807" s="4" t="str">
        <v/>
      </c>
      <c r="F13807" s="102" t="str">
        <f ca="1">IFERROR(__xludf.DUMMYFUNCTION("IMPORTRANGE(H13807,""IDENTITAS UNIT!D9"")"),"#N/A")</f>
        <v>#N/A</v>
      </c>
      <c r="H13807" s="4" t="str">
        <v/>
      </c>
      <c r="I13807" s="4" t="str">
        <v/>
      </c>
    </row>
    <row r="13808" spans="5:9" ht="16.5" hidden="1">
      <c r="E13808" s="4" t="str">
        <v/>
      </c>
      <c r="F13808" s="102" t="str">
        <f ca="1">IFERROR(__xludf.DUMMYFUNCTION("IMPORTRANGE(H13808,""IDENTITAS UNIT!D9"")"),"#N/A")</f>
        <v>#N/A</v>
      </c>
      <c r="H13808" s="4" t="str">
        <v/>
      </c>
      <c r="I13808" s="4" t="str">
        <v/>
      </c>
    </row>
    <row r="13809" spans="5:9" ht="16.5" hidden="1">
      <c r="E13809" s="4" t="str">
        <v/>
      </c>
      <c r="F13809" s="102" t="str">
        <f ca="1">IFERROR(__xludf.DUMMYFUNCTION("IMPORTRANGE(H13809,""IDENTITAS UNIT!D9"")"),"#N/A")</f>
        <v>#N/A</v>
      </c>
      <c r="H13809" s="4" t="str">
        <v/>
      </c>
      <c r="I13809" s="4" t="str">
        <v/>
      </c>
    </row>
    <row r="13810" spans="5:9" ht="16.5" hidden="1">
      <c r="E13810" s="4" t="str">
        <v/>
      </c>
      <c r="F13810" s="102" t="str">
        <f ca="1">IFERROR(__xludf.DUMMYFUNCTION("IMPORTRANGE(H13810,""IDENTITAS UNIT!D9"")"),"#N/A")</f>
        <v>#N/A</v>
      </c>
      <c r="H13810" s="4" t="str">
        <v/>
      </c>
      <c r="I13810" s="4" t="str">
        <v/>
      </c>
    </row>
    <row r="13811" spans="5:9" ht="16.5" hidden="1">
      <c r="E13811" s="4" t="str">
        <v/>
      </c>
      <c r="F13811" s="102" t="str">
        <f ca="1">IFERROR(__xludf.DUMMYFUNCTION("IMPORTRANGE(H13811,""IDENTITAS UNIT!D9"")"),"#N/A")</f>
        <v>#N/A</v>
      </c>
      <c r="H13811" s="4" t="str">
        <v/>
      </c>
      <c r="I13811" s="4" t="str">
        <v/>
      </c>
    </row>
    <row r="13812" spans="5:9" ht="16.5" hidden="1">
      <c r="E13812" s="4" t="str">
        <v/>
      </c>
      <c r="F13812" s="102" t="str">
        <f ca="1">IFERROR(__xludf.DUMMYFUNCTION("IMPORTRANGE(H13812,""IDENTITAS UNIT!D9"")"),"#N/A")</f>
        <v>#N/A</v>
      </c>
      <c r="H13812" s="4" t="str">
        <v/>
      </c>
      <c r="I13812" s="4" t="str">
        <v/>
      </c>
    </row>
    <row r="13813" spans="5:9" ht="16.5" hidden="1">
      <c r="E13813" s="4" t="str">
        <v/>
      </c>
      <c r="F13813" s="102" t="str">
        <f ca="1">IFERROR(__xludf.DUMMYFUNCTION("IMPORTRANGE(H13813,""IDENTITAS UNIT!D9"")"),"#N/A")</f>
        <v>#N/A</v>
      </c>
      <c r="H13813" s="4" t="str">
        <v/>
      </c>
      <c r="I13813" s="4" t="str">
        <v/>
      </c>
    </row>
    <row r="13814" spans="5:9" ht="16.5" hidden="1">
      <c r="E13814" s="4" t="str">
        <v/>
      </c>
      <c r="F13814" s="102" t="str">
        <f ca="1">IFERROR(__xludf.DUMMYFUNCTION("IMPORTRANGE(H13814,""IDENTITAS UNIT!D9"")"),"#N/A")</f>
        <v>#N/A</v>
      </c>
      <c r="H13814" s="4" t="str">
        <v/>
      </c>
      <c r="I13814" s="4" t="str">
        <v/>
      </c>
    </row>
    <row r="13815" spans="5:9" ht="16.5" hidden="1">
      <c r="E13815" s="4" t="str">
        <v/>
      </c>
      <c r="F13815" s="102" t="str">
        <f ca="1">IFERROR(__xludf.DUMMYFUNCTION("IMPORTRANGE(H13815,""IDENTITAS UNIT!D9"")"),"#N/A")</f>
        <v>#N/A</v>
      </c>
      <c r="H13815" s="4" t="str">
        <v/>
      </c>
      <c r="I13815" s="4" t="str">
        <v/>
      </c>
    </row>
    <row r="13816" spans="5:9" ht="16.5" hidden="1">
      <c r="E13816" s="4" t="str">
        <v/>
      </c>
      <c r="F13816" s="102" t="str">
        <f ca="1">IFERROR(__xludf.DUMMYFUNCTION("IMPORTRANGE(H13816,""IDENTITAS UNIT!D9"")"),"#N/A")</f>
        <v>#N/A</v>
      </c>
      <c r="H13816" s="4" t="str">
        <v/>
      </c>
      <c r="I13816" s="4" t="str">
        <v/>
      </c>
    </row>
    <row r="13817" spans="5:9" ht="16.5" hidden="1">
      <c r="E13817" s="4" t="str">
        <v/>
      </c>
      <c r="F13817" s="102" t="str">
        <f ca="1">IFERROR(__xludf.DUMMYFUNCTION("IMPORTRANGE(H13817,""IDENTITAS UNIT!D9"")"),"#N/A")</f>
        <v>#N/A</v>
      </c>
      <c r="H13817" s="4" t="str">
        <v/>
      </c>
      <c r="I13817" s="4" t="str">
        <v/>
      </c>
    </row>
    <row r="13818" spans="5:9" ht="16.5" hidden="1">
      <c r="E13818" s="4" t="str">
        <v/>
      </c>
      <c r="F13818" s="102" t="str">
        <f ca="1">IFERROR(__xludf.DUMMYFUNCTION("IMPORTRANGE(H13818,""IDENTITAS UNIT!D9"")"),"#N/A")</f>
        <v>#N/A</v>
      </c>
      <c r="H13818" s="4" t="str">
        <v/>
      </c>
      <c r="I13818" s="4" t="str">
        <v/>
      </c>
    </row>
    <row r="13819" spans="5:9" ht="16.5" hidden="1">
      <c r="E13819" s="4" t="str">
        <v/>
      </c>
      <c r="F13819" s="102" t="str">
        <f ca="1">IFERROR(__xludf.DUMMYFUNCTION("IMPORTRANGE(H13819,""IDENTITAS UNIT!D9"")"),"#N/A")</f>
        <v>#N/A</v>
      </c>
      <c r="H13819" s="4" t="str">
        <v/>
      </c>
      <c r="I13819" s="4" t="str">
        <v/>
      </c>
    </row>
    <row r="13820" spans="5:9" ht="16.5" hidden="1">
      <c r="E13820" s="4" t="str">
        <v/>
      </c>
      <c r="F13820" s="102" t="str">
        <f ca="1">IFERROR(__xludf.DUMMYFUNCTION("IMPORTRANGE(H13820,""IDENTITAS UNIT!D9"")"),"#N/A")</f>
        <v>#N/A</v>
      </c>
      <c r="H13820" s="4" t="str">
        <v/>
      </c>
      <c r="I13820" s="4" t="str">
        <v/>
      </c>
    </row>
    <row r="13821" spans="5:9" ht="16.5" hidden="1">
      <c r="E13821" s="4" t="str">
        <v/>
      </c>
      <c r="F13821" s="102" t="str">
        <f ca="1">IFERROR(__xludf.DUMMYFUNCTION("IMPORTRANGE(H13821,""IDENTITAS UNIT!D9"")"),"#N/A")</f>
        <v>#N/A</v>
      </c>
      <c r="H13821" s="4" t="str">
        <v/>
      </c>
      <c r="I13821" s="4" t="str">
        <v/>
      </c>
    </row>
    <row r="13822" spans="5:9" ht="16.5" hidden="1">
      <c r="E13822" s="4" t="str">
        <v/>
      </c>
      <c r="F13822" s="102" t="str">
        <f ca="1">IFERROR(__xludf.DUMMYFUNCTION("IMPORTRANGE(H13822,""IDENTITAS UNIT!D9"")"),"#N/A")</f>
        <v>#N/A</v>
      </c>
      <c r="H13822" s="4" t="str">
        <v/>
      </c>
      <c r="I13822" s="4" t="str">
        <v/>
      </c>
    </row>
    <row r="13823" spans="5:9" ht="16.5" hidden="1">
      <c r="E13823" s="4" t="str">
        <v/>
      </c>
      <c r="F13823" s="102" t="str">
        <f ca="1">IFERROR(__xludf.DUMMYFUNCTION("IMPORTRANGE(H13823,""IDENTITAS UNIT!D9"")"),"#N/A")</f>
        <v>#N/A</v>
      </c>
      <c r="H13823" s="4" t="str">
        <v/>
      </c>
      <c r="I13823" s="4" t="str">
        <v/>
      </c>
    </row>
    <row r="13824" spans="5:9" ht="16.5" hidden="1">
      <c r="E13824" s="4" t="str">
        <v/>
      </c>
      <c r="F13824" s="102" t="str">
        <f ca="1">IFERROR(__xludf.DUMMYFUNCTION("IMPORTRANGE(H13824,""IDENTITAS UNIT!D9"")"),"#N/A")</f>
        <v>#N/A</v>
      </c>
      <c r="H13824" s="4" t="str">
        <v/>
      </c>
      <c r="I13824" s="4" t="str">
        <v/>
      </c>
    </row>
    <row r="13825" spans="5:9" ht="16.5" hidden="1">
      <c r="E13825" s="4" t="str">
        <v/>
      </c>
      <c r="F13825" s="102" t="str">
        <f ca="1">IFERROR(__xludf.DUMMYFUNCTION("IMPORTRANGE(H13825,""IDENTITAS UNIT!D9"")"),"#N/A")</f>
        <v>#N/A</v>
      </c>
      <c r="H13825" s="4" t="str">
        <v/>
      </c>
      <c r="I13825" s="4" t="str">
        <v/>
      </c>
    </row>
    <row r="13826" spans="5:9" ht="16.5" hidden="1">
      <c r="E13826" s="4" t="str">
        <v/>
      </c>
      <c r="F13826" s="102" t="str">
        <f ca="1">IFERROR(__xludf.DUMMYFUNCTION("IMPORTRANGE(H13826,""IDENTITAS UNIT!D9"")"),"#N/A")</f>
        <v>#N/A</v>
      </c>
      <c r="H13826" s="4" t="str">
        <v/>
      </c>
      <c r="I13826" s="4" t="str">
        <v/>
      </c>
    </row>
    <row r="13827" spans="5:9" ht="16.5" hidden="1">
      <c r="E13827" s="4" t="str">
        <v/>
      </c>
      <c r="F13827" s="102" t="str">
        <f ca="1">IFERROR(__xludf.DUMMYFUNCTION("IMPORTRANGE(H13827,""IDENTITAS UNIT!D9"")"),"#N/A")</f>
        <v>#N/A</v>
      </c>
      <c r="H13827" s="4" t="str">
        <v/>
      </c>
      <c r="I13827" s="4" t="str">
        <v/>
      </c>
    </row>
    <row r="13828" spans="5:9" ht="16.5" hidden="1">
      <c r="E13828" s="4" t="str">
        <v/>
      </c>
      <c r="F13828" s="102" t="str">
        <f ca="1">IFERROR(__xludf.DUMMYFUNCTION("IMPORTRANGE(H13828,""IDENTITAS UNIT!D9"")"),"#N/A")</f>
        <v>#N/A</v>
      </c>
      <c r="H13828" s="4" t="str">
        <v/>
      </c>
      <c r="I13828" s="4" t="str">
        <v/>
      </c>
    </row>
    <row r="13829" spans="5:9" ht="16.5" hidden="1">
      <c r="E13829" s="4" t="str">
        <v/>
      </c>
      <c r="F13829" s="102" t="str">
        <f ca="1">IFERROR(__xludf.DUMMYFUNCTION("IMPORTRANGE(H13829,""IDENTITAS UNIT!D9"")"),"#N/A")</f>
        <v>#N/A</v>
      </c>
      <c r="H13829" s="4" t="str">
        <v/>
      </c>
      <c r="I13829" s="4" t="str">
        <v/>
      </c>
    </row>
    <row r="13830" spans="5:9" ht="16.5" hidden="1">
      <c r="E13830" s="4" t="str">
        <v/>
      </c>
      <c r="F13830" s="102" t="str">
        <f ca="1">IFERROR(__xludf.DUMMYFUNCTION("IMPORTRANGE(H13830,""IDENTITAS UNIT!D9"")"),"#N/A")</f>
        <v>#N/A</v>
      </c>
      <c r="H13830" s="4" t="str">
        <v/>
      </c>
      <c r="I13830" s="4" t="str">
        <v/>
      </c>
    </row>
    <row r="13831" spans="5:9" ht="16.5" hidden="1">
      <c r="E13831" s="4" t="str">
        <v/>
      </c>
      <c r="F13831" s="102" t="str">
        <f ca="1">IFERROR(__xludf.DUMMYFUNCTION("IMPORTRANGE(H13831,""IDENTITAS UNIT!D9"")"),"#N/A")</f>
        <v>#N/A</v>
      </c>
      <c r="H13831" s="4" t="str">
        <v/>
      </c>
      <c r="I13831" s="4" t="str">
        <v/>
      </c>
    </row>
    <row r="13832" spans="5:9" ht="16.5" hidden="1">
      <c r="E13832" s="4" t="str">
        <v/>
      </c>
      <c r="F13832" s="102" t="str">
        <f ca="1">IFERROR(__xludf.DUMMYFUNCTION("IMPORTRANGE(H13832,""IDENTITAS UNIT!D9"")"),"#N/A")</f>
        <v>#N/A</v>
      </c>
      <c r="H13832" s="4" t="str">
        <v/>
      </c>
      <c r="I13832" s="4" t="str">
        <v/>
      </c>
    </row>
    <row r="13833" spans="5:9" ht="16.5" hidden="1">
      <c r="E13833" s="4" t="str">
        <v/>
      </c>
      <c r="F13833" s="102" t="str">
        <f ca="1">IFERROR(__xludf.DUMMYFUNCTION("IMPORTRANGE(H13833,""IDENTITAS UNIT!D9"")"),"#N/A")</f>
        <v>#N/A</v>
      </c>
      <c r="H13833" s="4" t="str">
        <v/>
      </c>
      <c r="I13833" s="4" t="str">
        <v/>
      </c>
    </row>
    <row r="13834" spans="5:9" ht="16.5" hidden="1">
      <c r="E13834" s="4" t="str">
        <v/>
      </c>
      <c r="F13834" s="102" t="str">
        <f ca="1">IFERROR(__xludf.DUMMYFUNCTION("IMPORTRANGE(H13834,""IDENTITAS UNIT!D9"")"),"#N/A")</f>
        <v>#N/A</v>
      </c>
      <c r="H13834" s="4" t="str">
        <v/>
      </c>
      <c r="I13834" s="4" t="str">
        <v/>
      </c>
    </row>
    <row r="13835" spans="5:9" ht="16.5" hidden="1">
      <c r="E13835" s="4" t="str">
        <v/>
      </c>
      <c r="F13835" s="102" t="str">
        <f ca="1">IFERROR(__xludf.DUMMYFUNCTION("IMPORTRANGE(H13835,""IDENTITAS UNIT!D9"")"),"#N/A")</f>
        <v>#N/A</v>
      </c>
      <c r="H13835" s="4" t="str">
        <v/>
      </c>
      <c r="I13835" s="4" t="str">
        <v/>
      </c>
    </row>
    <row r="13836" spans="5:9" ht="16.5" hidden="1">
      <c r="E13836" s="4" t="str">
        <v/>
      </c>
      <c r="F13836" s="102" t="str">
        <f ca="1">IFERROR(__xludf.DUMMYFUNCTION("IMPORTRANGE(H13836,""IDENTITAS UNIT!D9"")"),"#N/A")</f>
        <v>#N/A</v>
      </c>
      <c r="H13836" s="4" t="str">
        <v/>
      </c>
      <c r="I13836" s="4" t="str">
        <v/>
      </c>
    </row>
    <row r="13837" spans="5:9" ht="16.5" hidden="1">
      <c r="E13837" s="4" t="str">
        <v/>
      </c>
      <c r="F13837" s="102" t="str">
        <f ca="1">IFERROR(__xludf.DUMMYFUNCTION("IMPORTRANGE(H13837,""IDENTITAS UNIT!D9"")"),"#N/A")</f>
        <v>#N/A</v>
      </c>
      <c r="H13837" s="4" t="str">
        <v/>
      </c>
      <c r="I13837" s="4" t="str">
        <v/>
      </c>
    </row>
    <row r="13838" spans="5:9" ht="16.5" hidden="1">
      <c r="E13838" s="4" t="str">
        <v/>
      </c>
      <c r="F13838" s="102" t="str">
        <f ca="1">IFERROR(__xludf.DUMMYFUNCTION("IMPORTRANGE(H13838,""IDENTITAS UNIT!D9"")"),"#N/A")</f>
        <v>#N/A</v>
      </c>
      <c r="H13838" s="4" t="str">
        <v/>
      </c>
      <c r="I13838" s="4" t="str">
        <v/>
      </c>
    </row>
    <row r="13839" spans="5:9" ht="16.5" hidden="1">
      <c r="E13839" s="4" t="str">
        <v/>
      </c>
      <c r="F13839" s="102" t="str">
        <f ca="1">IFERROR(__xludf.DUMMYFUNCTION("IMPORTRANGE(H13839,""IDENTITAS UNIT!D9"")"),"#N/A")</f>
        <v>#N/A</v>
      </c>
      <c r="H13839" s="4" t="str">
        <v/>
      </c>
      <c r="I13839" s="4" t="str">
        <v/>
      </c>
    </row>
    <row r="13840" spans="5:9" ht="16.5" hidden="1">
      <c r="E13840" s="4" t="str">
        <v/>
      </c>
      <c r="F13840" s="102" t="str">
        <f ca="1">IFERROR(__xludf.DUMMYFUNCTION("IMPORTRANGE(H13840,""IDENTITAS UNIT!D9"")"),"#N/A")</f>
        <v>#N/A</v>
      </c>
      <c r="H13840" s="4" t="str">
        <v/>
      </c>
      <c r="I13840" s="4" t="str">
        <v/>
      </c>
    </row>
    <row r="13841" spans="5:9" ht="16.5" hidden="1">
      <c r="E13841" s="4" t="str">
        <v/>
      </c>
      <c r="F13841" s="102" t="str">
        <f ca="1">IFERROR(__xludf.DUMMYFUNCTION("IMPORTRANGE(H13841,""IDENTITAS UNIT!D9"")"),"#N/A")</f>
        <v>#N/A</v>
      </c>
      <c r="H13841" s="4" t="str">
        <v/>
      </c>
      <c r="I13841" s="4" t="str">
        <v/>
      </c>
    </row>
    <row r="13842" spans="5:9" ht="16.5" hidden="1">
      <c r="E13842" s="4" t="str">
        <v/>
      </c>
      <c r="F13842" s="102" t="str">
        <f ca="1">IFERROR(__xludf.DUMMYFUNCTION("IMPORTRANGE(H13842,""IDENTITAS UNIT!D9"")"),"#N/A")</f>
        <v>#N/A</v>
      </c>
      <c r="H13842" s="4" t="str">
        <v/>
      </c>
      <c r="I13842" s="4" t="str">
        <v/>
      </c>
    </row>
    <row r="13843" spans="5:9" ht="16.5" hidden="1">
      <c r="E13843" s="4" t="str">
        <v/>
      </c>
      <c r="F13843" s="102" t="str">
        <f ca="1">IFERROR(__xludf.DUMMYFUNCTION("IMPORTRANGE(H13843,""IDENTITAS UNIT!D9"")"),"#N/A")</f>
        <v>#N/A</v>
      </c>
      <c r="H13843" s="4" t="str">
        <v/>
      </c>
      <c r="I13843" s="4" t="str">
        <v/>
      </c>
    </row>
    <row r="13844" spans="5:9" ht="16.5" hidden="1">
      <c r="E13844" s="4" t="str">
        <v/>
      </c>
      <c r="F13844" s="102" t="str">
        <f ca="1">IFERROR(__xludf.DUMMYFUNCTION("IMPORTRANGE(H13844,""IDENTITAS UNIT!D9"")"),"#N/A")</f>
        <v>#N/A</v>
      </c>
      <c r="H13844" s="4" t="str">
        <v/>
      </c>
      <c r="I13844" s="4" t="str">
        <v/>
      </c>
    </row>
    <row r="13845" spans="5:9" ht="16.5" hidden="1">
      <c r="E13845" s="4" t="str">
        <v/>
      </c>
      <c r="F13845" s="102" t="str">
        <f ca="1">IFERROR(__xludf.DUMMYFUNCTION("IMPORTRANGE(H13845,""IDENTITAS UNIT!D9"")"),"#N/A")</f>
        <v>#N/A</v>
      </c>
      <c r="H13845" s="4" t="str">
        <v/>
      </c>
      <c r="I13845" s="4" t="str">
        <v/>
      </c>
    </row>
    <row r="13846" spans="5:9" ht="16.5" hidden="1">
      <c r="E13846" s="4" t="str">
        <v/>
      </c>
      <c r="F13846" s="102" t="str">
        <f ca="1">IFERROR(__xludf.DUMMYFUNCTION("IMPORTRANGE(H13846,""IDENTITAS UNIT!D9"")"),"#N/A")</f>
        <v>#N/A</v>
      </c>
      <c r="H13846" s="4" t="str">
        <v/>
      </c>
      <c r="I13846" s="4" t="str">
        <v/>
      </c>
    </row>
    <row r="13847" spans="5:9" ht="16.5" hidden="1">
      <c r="E13847" s="4" t="str">
        <v/>
      </c>
      <c r="F13847" s="102" t="str">
        <f ca="1">IFERROR(__xludf.DUMMYFUNCTION("IMPORTRANGE(H13847,""IDENTITAS UNIT!D9"")"),"#N/A")</f>
        <v>#N/A</v>
      </c>
      <c r="H13847" s="4" t="str">
        <v/>
      </c>
      <c r="I13847" s="4" t="str">
        <v/>
      </c>
    </row>
    <row r="13848" spans="5:9" ht="16.5" hidden="1">
      <c r="E13848" s="4" t="str">
        <v/>
      </c>
      <c r="F13848" s="102" t="str">
        <f ca="1">IFERROR(__xludf.DUMMYFUNCTION("IMPORTRANGE(H13848,""IDENTITAS UNIT!D9"")"),"#N/A")</f>
        <v>#N/A</v>
      </c>
      <c r="H13848" s="4" t="str">
        <v/>
      </c>
      <c r="I13848" s="4" t="str">
        <v/>
      </c>
    </row>
    <row r="13849" spans="5:9" ht="16.5" hidden="1">
      <c r="E13849" s="4" t="str">
        <v/>
      </c>
      <c r="F13849" s="102" t="str">
        <f ca="1">IFERROR(__xludf.DUMMYFUNCTION("IMPORTRANGE(H13849,""IDENTITAS UNIT!D9"")"),"#N/A")</f>
        <v>#N/A</v>
      </c>
      <c r="H13849" s="4" t="str">
        <v/>
      </c>
      <c r="I13849" s="4" t="str">
        <v/>
      </c>
    </row>
    <row r="13850" spans="5:9" ht="16.5" hidden="1">
      <c r="E13850" s="4" t="str">
        <v/>
      </c>
      <c r="F13850" s="102" t="str">
        <f ca="1">IFERROR(__xludf.DUMMYFUNCTION("IMPORTRANGE(H13850,""IDENTITAS UNIT!D9"")"),"#N/A")</f>
        <v>#N/A</v>
      </c>
      <c r="H13850" s="4" t="str">
        <v/>
      </c>
      <c r="I13850" s="4" t="str">
        <v/>
      </c>
    </row>
    <row r="13851" spans="5:9" ht="16.5" hidden="1">
      <c r="E13851" s="4" t="str">
        <v/>
      </c>
      <c r="F13851" s="102" t="str">
        <f ca="1">IFERROR(__xludf.DUMMYFUNCTION("IMPORTRANGE(H13851,""IDENTITAS UNIT!D9"")"),"#N/A")</f>
        <v>#N/A</v>
      </c>
      <c r="H13851" s="4" t="str">
        <v/>
      </c>
      <c r="I13851" s="4" t="str">
        <v/>
      </c>
    </row>
    <row r="13852" spans="5:9" ht="16.5" hidden="1">
      <c r="E13852" s="4" t="str">
        <v/>
      </c>
      <c r="F13852" s="102" t="str">
        <f ca="1">IFERROR(__xludf.DUMMYFUNCTION("IMPORTRANGE(H13852,""IDENTITAS UNIT!D9"")"),"#N/A")</f>
        <v>#N/A</v>
      </c>
      <c r="H13852" s="4" t="str">
        <v/>
      </c>
      <c r="I13852" s="4" t="str">
        <v/>
      </c>
    </row>
    <row r="13853" spans="5:9" ht="16.5" hidden="1">
      <c r="E13853" s="4" t="str">
        <v/>
      </c>
      <c r="F13853" s="102" t="str">
        <f ca="1">IFERROR(__xludf.DUMMYFUNCTION("IMPORTRANGE(H13853,""IDENTITAS UNIT!D9"")"),"#N/A")</f>
        <v>#N/A</v>
      </c>
      <c r="H13853" s="4" t="str">
        <v/>
      </c>
      <c r="I13853" s="4" t="str">
        <v/>
      </c>
    </row>
    <row r="13854" spans="5:9" ht="16.5" hidden="1">
      <c r="E13854" s="4" t="str">
        <v/>
      </c>
      <c r="F13854" s="102" t="str">
        <f ca="1">IFERROR(__xludf.DUMMYFUNCTION("IMPORTRANGE(H13854,""IDENTITAS UNIT!D9"")"),"#N/A")</f>
        <v>#N/A</v>
      </c>
      <c r="H13854" s="4" t="str">
        <v/>
      </c>
      <c r="I13854" s="4" t="str">
        <v/>
      </c>
    </row>
    <row r="13855" spans="5:9" ht="16.5" hidden="1">
      <c r="E13855" s="4" t="str">
        <v/>
      </c>
      <c r="F13855" s="102" t="str">
        <f ca="1">IFERROR(__xludf.DUMMYFUNCTION("IMPORTRANGE(H13855,""IDENTITAS UNIT!D9"")"),"#N/A")</f>
        <v>#N/A</v>
      </c>
      <c r="H13855" s="4" t="str">
        <v/>
      </c>
      <c r="I13855" s="4" t="str">
        <v/>
      </c>
    </row>
    <row r="13856" spans="5:9" ht="16.5" hidden="1">
      <c r="E13856" s="4" t="str">
        <v/>
      </c>
      <c r="F13856" s="102" t="str">
        <f ca="1">IFERROR(__xludf.DUMMYFUNCTION("IMPORTRANGE(H13856,""IDENTITAS UNIT!D9"")"),"#N/A")</f>
        <v>#N/A</v>
      </c>
      <c r="H13856" s="4" t="str">
        <v/>
      </c>
      <c r="I13856" s="4" t="str">
        <v/>
      </c>
    </row>
    <row r="13857" spans="5:9" ht="16.5" hidden="1">
      <c r="E13857" s="4" t="str">
        <v/>
      </c>
      <c r="F13857" s="102" t="str">
        <f ca="1">IFERROR(__xludf.DUMMYFUNCTION("IMPORTRANGE(H13857,""IDENTITAS UNIT!D9"")"),"#N/A")</f>
        <v>#N/A</v>
      </c>
      <c r="H13857" s="4" t="str">
        <v/>
      </c>
      <c r="I13857" s="4" t="str">
        <v/>
      </c>
    </row>
    <row r="13858" spans="5:9" ht="16.5" hidden="1">
      <c r="E13858" s="4" t="str">
        <v/>
      </c>
      <c r="F13858" s="102" t="str">
        <f ca="1">IFERROR(__xludf.DUMMYFUNCTION("IMPORTRANGE(H13858,""IDENTITAS UNIT!D9"")"),"#N/A")</f>
        <v>#N/A</v>
      </c>
      <c r="H13858" s="4" t="str">
        <v/>
      </c>
      <c r="I13858" s="4" t="str">
        <v/>
      </c>
    </row>
    <row r="13859" spans="5:9" ht="16.5" hidden="1">
      <c r="E13859" s="4" t="str">
        <v/>
      </c>
      <c r="F13859" s="102" t="str">
        <f ca="1">IFERROR(__xludf.DUMMYFUNCTION("IMPORTRANGE(H13859,""IDENTITAS UNIT!D9"")"),"#N/A")</f>
        <v>#N/A</v>
      </c>
      <c r="H13859" s="4" t="str">
        <v/>
      </c>
      <c r="I13859" s="4" t="str">
        <v/>
      </c>
    </row>
    <row r="13860" spans="5:9" ht="16.5" hidden="1">
      <c r="E13860" s="4" t="str">
        <v/>
      </c>
      <c r="F13860" s="102" t="str">
        <f ca="1">IFERROR(__xludf.DUMMYFUNCTION("IMPORTRANGE(H13860,""IDENTITAS UNIT!D9"")"),"#N/A")</f>
        <v>#N/A</v>
      </c>
      <c r="H13860" s="4" t="str">
        <v/>
      </c>
      <c r="I13860" s="4" t="str">
        <v/>
      </c>
    </row>
    <row r="13861" spans="5:9" ht="16.5" hidden="1">
      <c r="E13861" s="4" t="str">
        <v/>
      </c>
      <c r="F13861" s="102" t="str">
        <f ca="1">IFERROR(__xludf.DUMMYFUNCTION("IMPORTRANGE(H13861,""IDENTITAS UNIT!D9"")"),"#N/A")</f>
        <v>#N/A</v>
      </c>
      <c r="H13861" s="4" t="str">
        <v/>
      </c>
      <c r="I13861" s="4" t="str">
        <v/>
      </c>
    </row>
    <row r="13862" spans="5:9" ht="16.5" hidden="1">
      <c r="E13862" s="4" t="str">
        <v/>
      </c>
      <c r="F13862" s="102" t="str">
        <f ca="1">IFERROR(__xludf.DUMMYFUNCTION("IMPORTRANGE(H13862,""IDENTITAS UNIT!D9"")"),"#N/A")</f>
        <v>#N/A</v>
      </c>
      <c r="H13862" s="4" t="str">
        <v/>
      </c>
      <c r="I13862" s="4" t="str">
        <v/>
      </c>
    </row>
    <row r="13863" spans="5:9" ht="16.5" hidden="1">
      <c r="E13863" s="4" t="str">
        <v/>
      </c>
      <c r="F13863" s="102" t="str">
        <f ca="1">IFERROR(__xludf.DUMMYFUNCTION("IMPORTRANGE(H13863,""IDENTITAS UNIT!D9"")"),"#N/A")</f>
        <v>#N/A</v>
      </c>
      <c r="H13863" s="4" t="str">
        <v/>
      </c>
      <c r="I13863" s="4" t="str">
        <v/>
      </c>
    </row>
    <row r="13864" spans="5:9" ht="16.5" hidden="1">
      <c r="E13864" s="4" t="str">
        <v/>
      </c>
      <c r="F13864" s="102" t="str">
        <f ca="1">IFERROR(__xludf.DUMMYFUNCTION("IMPORTRANGE(H13864,""IDENTITAS UNIT!D9"")"),"#N/A")</f>
        <v>#N/A</v>
      </c>
      <c r="H13864" s="4" t="str">
        <v/>
      </c>
      <c r="I13864" s="4" t="str">
        <v/>
      </c>
    </row>
    <row r="13865" spans="5:9" ht="16.5" hidden="1">
      <c r="E13865" s="4" t="str">
        <v/>
      </c>
      <c r="F13865" s="102" t="str">
        <f ca="1">IFERROR(__xludf.DUMMYFUNCTION("IMPORTRANGE(H13865,""IDENTITAS UNIT!D9"")"),"#N/A")</f>
        <v>#N/A</v>
      </c>
      <c r="H13865" s="4" t="str">
        <v/>
      </c>
      <c r="I13865" s="4" t="str">
        <v/>
      </c>
    </row>
    <row r="13866" spans="5:9" ht="16.5" hidden="1">
      <c r="E13866" s="4" t="str">
        <v/>
      </c>
      <c r="F13866" s="102" t="str">
        <f ca="1">IFERROR(__xludf.DUMMYFUNCTION("IMPORTRANGE(H13866,""IDENTITAS UNIT!D9"")"),"#N/A")</f>
        <v>#N/A</v>
      </c>
      <c r="H13866" s="4" t="str">
        <v/>
      </c>
      <c r="I13866" s="4" t="str">
        <v/>
      </c>
    </row>
    <row r="13867" spans="5:9" ht="16.5" hidden="1">
      <c r="E13867" s="4" t="str">
        <v/>
      </c>
      <c r="F13867" s="102" t="str">
        <f ca="1">IFERROR(__xludf.DUMMYFUNCTION("IMPORTRANGE(H13867,""IDENTITAS UNIT!D9"")"),"#N/A")</f>
        <v>#N/A</v>
      </c>
      <c r="H13867" s="4" t="str">
        <v/>
      </c>
      <c r="I13867" s="4" t="str">
        <v/>
      </c>
    </row>
    <row r="13868" spans="5:9" ht="16.5" hidden="1">
      <c r="E13868" s="4" t="str">
        <v/>
      </c>
      <c r="F13868" s="102" t="str">
        <f ca="1">IFERROR(__xludf.DUMMYFUNCTION("IMPORTRANGE(H13868,""IDENTITAS UNIT!D9"")"),"#N/A")</f>
        <v>#N/A</v>
      </c>
      <c r="H13868" s="4" t="str">
        <v/>
      </c>
      <c r="I13868" s="4" t="str">
        <v/>
      </c>
    </row>
    <row r="13869" spans="5:9" ht="16.5" hidden="1">
      <c r="E13869" s="4" t="str">
        <v/>
      </c>
      <c r="F13869" s="102" t="str">
        <f ca="1">IFERROR(__xludf.DUMMYFUNCTION("IMPORTRANGE(H13869,""IDENTITAS UNIT!D9"")"),"#N/A")</f>
        <v>#N/A</v>
      </c>
      <c r="H13869" s="4" t="str">
        <v/>
      </c>
      <c r="I13869" s="4" t="str">
        <v/>
      </c>
    </row>
    <row r="13870" spans="5:9" ht="16.5" hidden="1">
      <c r="E13870" s="4" t="str">
        <v/>
      </c>
      <c r="F13870" s="102" t="str">
        <f ca="1">IFERROR(__xludf.DUMMYFUNCTION("IMPORTRANGE(H13870,""IDENTITAS UNIT!D9"")"),"#N/A")</f>
        <v>#N/A</v>
      </c>
      <c r="H13870" s="4" t="str">
        <v/>
      </c>
      <c r="I13870" s="4" t="str">
        <v/>
      </c>
    </row>
    <row r="13871" spans="5:9" ht="16.5" hidden="1">
      <c r="E13871" s="4" t="str">
        <v/>
      </c>
      <c r="F13871" s="102" t="str">
        <f ca="1">IFERROR(__xludf.DUMMYFUNCTION("IMPORTRANGE(H13871,""IDENTITAS UNIT!D9"")"),"#N/A")</f>
        <v>#N/A</v>
      </c>
      <c r="H13871" s="4" t="str">
        <v/>
      </c>
      <c r="I13871" s="4" t="str">
        <v/>
      </c>
    </row>
    <row r="13872" spans="5:9" ht="16.5" hidden="1">
      <c r="E13872" s="4" t="str">
        <v/>
      </c>
      <c r="F13872" s="102" t="str">
        <f ca="1">IFERROR(__xludf.DUMMYFUNCTION("IMPORTRANGE(H13872,""IDENTITAS UNIT!D9"")"),"#N/A")</f>
        <v>#N/A</v>
      </c>
      <c r="H13872" s="4" t="str">
        <v/>
      </c>
      <c r="I13872" s="4" t="str">
        <v/>
      </c>
    </row>
    <row r="13873" spans="5:9" ht="16.5" hidden="1">
      <c r="E13873" s="4" t="str">
        <v/>
      </c>
      <c r="F13873" s="102" t="str">
        <f ca="1">IFERROR(__xludf.DUMMYFUNCTION("IMPORTRANGE(H13873,""IDENTITAS UNIT!D9"")"),"#N/A")</f>
        <v>#N/A</v>
      </c>
      <c r="H13873" s="4" t="str">
        <v/>
      </c>
      <c r="I13873" s="4" t="str">
        <v/>
      </c>
    </row>
    <row r="13874" spans="5:9" ht="16.5" hidden="1">
      <c r="E13874" s="4" t="str">
        <v/>
      </c>
      <c r="F13874" s="102" t="str">
        <f ca="1">IFERROR(__xludf.DUMMYFUNCTION("IMPORTRANGE(H13874,""IDENTITAS UNIT!D9"")"),"#N/A")</f>
        <v>#N/A</v>
      </c>
      <c r="H13874" s="4" t="str">
        <v/>
      </c>
      <c r="I13874" s="4" t="str">
        <v/>
      </c>
    </row>
    <row r="13875" spans="5:9" ht="16.5" hidden="1">
      <c r="E13875" s="4" t="str">
        <v/>
      </c>
      <c r="F13875" s="102" t="str">
        <f ca="1">IFERROR(__xludf.DUMMYFUNCTION("IMPORTRANGE(H13875,""IDENTITAS UNIT!D9"")"),"#N/A")</f>
        <v>#N/A</v>
      </c>
      <c r="H13875" s="4" t="str">
        <v/>
      </c>
      <c r="I13875" s="4" t="str">
        <v/>
      </c>
    </row>
    <row r="13876" spans="5:9" ht="16.5" hidden="1">
      <c r="E13876" s="4" t="str">
        <v/>
      </c>
      <c r="F13876" s="102" t="str">
        <f ca="1">IFERROR(__xludf.DUMMYFUNCTION("IMPORTRANGE(H13876,""IDENTITAS UNIT!D9"")"),"#N/A")</f>
        <v>#N/A</v>
      </c>
      <c r="H13876" s="4" t="str">
        <v/>
      </c>
      <c r="I13876" s="4" t="str">
        <v/>
      </c>
    </row>
    <row r="13877" spans="5:9" ht="16.5" hidden="1">
      <c r="E13877" s="4" t="str">
        <v/>
      </c>
      <c r="F13877" s="102" t="str">
        <f ca="1">IFERROR(__xludf.DUMMYFUNCTION("IMPORTRANGE(H13877,""IDENTITAS UNIT!D9"")"),"#N/A")</f>
        <v>#N/A</v>
      </c>
      <c r="H13877" s="4" t="str">
        <v/>
      </c>
      <c r="I13877" s="4" t="str">
        <v/>
      </c>
    </row>
    <row r="13878" spans="5:9" ht="16.5" hidden="1">
      <c r="E13878" s="4" t="str">
        <v/>
      </c>
      <c r="F13878" s="102" t="str">
        <f ca="1">IFERROR(__xludf.DUMMYFUNCTION("IMPORTRANGE(H13878,""IDENTITAS UNIT!D9"")"),"#N/A")</f>
        <v>#N/A</v>
      </c>
      <c r="H13878" s="4" t="str">
        <v/>
      </c>
      <c r="I13878" s="4" t="str">
        <v/>
      </c>
    </row>
    <row r="13879" spans="5:9" ht="16.5" hidden="1">
      <c r="E13879" s="4" t="str">
        <v/>
      </c>
      <c r="F13879" s="102" t="str">
        <f ca="1">IFERROR(__xludf.DUMMYFUNCTION("IMPORTRANGE(H13879,""IDENTITAS UNIT!D9"")"),"#N/A")</f>
        <v>#N/A</v>
      </c>
      <c r="H13879" s="4" t="str">
        <v/>
      </c>
      <c r="I13879" s="4" t="str">
        <v/>
      </c>
    </row>
    <row r="13880" spans="5:9" ht="16.5" hidden="1">
      <c r="E13880" s="4" t="str">
        <v/>
      </c>
      <c r="F13880" s="102" t="str">
        <f ca="1">IFERROR(__xludf.DUMMYFUNCTION("IMPORTRANGE(H13880,""IDENTITAS UNIT!D9"")"),"#N/A")</f>
        <v>#N/A</v>
      </c>
      <c r="H13880" s="4" t="str">
        <v/>
      </c>
      <c r="I13880" s="4" t="str">
        <v/>
      </c>
    </row>
    <row r="13881" spans="5:9" ht="16.5" hidden="1">
      <c r="E13881" s="4" t="str">
        <v/>
      </c>
      <c r="F13881" s="102" t="str">
        <f ca="1">IFERROR(__xludf.DUMMYFUNCTION("IMPORTRANGE(H13881,""IDENTITAS UNIT!D9"")"),"#N/A")</f>
        <v>#N/A</v>
      </c>
      <c r="H13881" s="4" t="str">
        <v/>
      </c>
      <c r="I13881" s="4" t="str">
        <v/>
      </c>
    </row>
    <row r="13882" spans="5:9" ht="16.5" hidden="1">
      <c r="E13882" s="4" t="str">
        <v/>
      </c>
      <c r="F13882" s="102" t="str">
        <f ca="1">IFERROR(__xludf.DUMMYFUNCTION("IMPORTRANGE(H13882,""IDENTITAS UNIT!D9"")"),"#N/A")</f>
        <v>#N/A</v>
      </c>
      <c r="H13882" s="4" t="str">
        <v/>
      </c>
      <c r="I13882" s="4" t="str">
        <v/>
      </c>
    </row>
    <row r="13883" spans="5:9" ht="16.5" hidden="1">
      <c r="E13883" s="4" t="str">
        <v/>
      </c>
      <c r="F13883" s="102" t="str">
        <f ca="1">IFERROR(__xludf.DUMMYFUNCTION("IMPORTRANGE(H13883,""IDENTITAS UNIT!D9"")"),"#N/A")</f>
        <v>#N/A</v>
      </c>
      <c r="H13883" s="4" t="str">
        <v/>
      </c>
      <c r="I13883" s="4" t="str">
        <v/>
      </c>
    </row>
    <row r="13884" spans="5:9" ht="16.5" hidden="1">
      <c r="E13884" s="4" t="str">
        <v/>
      </c>
      <c r="F13884" s="102" t="str">
        <f ca="1">IFERROR(__xludf.DUMMYFUNCTION("IMPORTRANGE(H13884,""IDENTITAS UNIT!D9"")"),"#N/A")</f>
        <v>#N/A</v>
      </c>
      <c r="H13884" s="4" t="str">
        <v/>
      </c>
      <c r="I13884" s="4" t="str">
        <v/>
      </c>
    </row>
    <row r="13885" spans="5:9" ht="16.5" hidden="1">
      <c r="E13885" s="4" t="str">
        <v/>
      </c>
      <c r="F13885" s="102" t="str">
        <f ca="1">IFERROR(__xludf.DUMMYFUNCTION("IMPORTRANGE(H13885,""IDENTITAS UNIT!D9"")"),"#N/A")</f>
        <v>#N/A</v>
      </c>
      <c r="H13885" s="4" t="str">
        <v/>
      </c>
      <c r="I13885" s="4" t="str">
        <v/>
      </c>
    </row>
    <row r="13886" spans="5:9" ht="16.5" hidden="1">
      <c r="E13886" s="4" t="str">
        <v/>
      </c>
      <c r="F13886" s="102" t="str">
        <f ca="1">IFERROR(__xludf.DUMMYFUNCTION("IMPORTRANGE(H13886,""IDENTITAS UNIT!D9"")"),"#N/A")</f>
        <v>#N/A</v>
      </c>
      <c r="H13886" s="4" t="str">
        <v/>
      </c>
      <c r="I13886" s="4" t="str">
        <v/>
      </c>
    </row>
    <row r="13887" spans="5:9" ht="16.5" hidden="1">
      <c r="E13887" s="4" t="str">
        <v/>
      </c>
      <c r="F13887" s="102" t="str">
        <f ca="1">IFERROR(__xludf.DUMMYFUNCTION("IMPORTRANGE(H13887,""IDENTITAS UNIT!D9"")"),"#N/A")</f>
        <v>#N/A</v>
      </c>
      <c r="H13887" s="4" t="str">
        <v/>
      </c>
      <c r="I13887" s="4" t="str">
        <v/>
      </c>
    </row>
    <row r="13888" spans="5:9" ht="16.5" hidden="1">
      <c r="E13888" s="4" t="str">
        <v/>
      </c>
      <c r="F13888" s="102" t="str">
        <f ca="1">IFERROR(__xludf.DUMMYFUNCTION("IMPORTRANGE(H13888,""IDENTITAS UNIT!D9"")"),"#N/A")</f>
        <v>#N/A</v>
      </c>
      <c r="H13888" s="4" t="str">
        <v/>
      </c>
      <c r="I13888" s="4" t="str">
        <v/>
      </c>
    </row>
    <row r="13889" spans="5:9" ht="16.5" hidden="1">
      <c r="E13889" s="4" t="str">
        <v/>
      </c>
      <c r="F13889" s="102" t="str">
        <f ca="1">IFERROR(__xludf.DUMMYFUNCTION("IMPORTRANGE(H13889,""IDENTITAS UNIT!D9"")"),"#N/A")</f>
        <v>#N/A</v>
      </c>
      <c r="H13889" s="4" t="str">
        <v/>
      </c>
      <c r="I13889" s="4" t="str">
        <v/>
      </c>
    </row>
    <row r="13890" spans="5:9" ht="16.5" hidden="1">
      <c r="E13890" s="4" t="str">
        <v/>
      </c>
      <c r="F13890" s="102" t="str">
        <f ca="1">IFERROR(__xludf.DUMMYFUNCTION("IMPORTRANGE(H13890,""IDENTITAS UNIT!D9"")"),"#N/A")</f>
        <v>#N/A</v>
      </c>
      <c r="H13890" s="4" t="str">
        <v/>
      </c>
      <c r="I13890" s="4" t="str">
        <v/>
      </c>
    </row>
    <row r="13891" spans="5:9" ht="16.5" hidden="1">
      <c r="E13891" s="4" t="str">
        <v/>
      </c>
      <c r="F13891" s="102" t="str">
        <f ca="1">IFERROR(__xludf.DUMMYFUNCTION("IMPORTRANGE(H13891,""IDENTITAS UNIT!D9"")"),"#N/A")</f>
        <v>#N/A</v>
      </c>
      <c r="H13891" s="4" t="str">
        <v/>
      </c>
      <c r="I13891" s="4" t="str">
        <v/>
      </c>
    </row>
    <row r="13892" spans="5:9" ht="16.5" hidden="1">
      <c r="E13892" s="4" t="str">
        <v/>
      </c>
      <c r="F13892" s="102" t="str">
        <f ca="1">IFERROR(__xludf.DUMMYFUNCTION("IMPORTRANGE(H13892,""IDENTITAS UNIT!D9"")"),"#N/A")</f>
        <v>#N/A</v>
      </c>
      <c r="H13892" s="4" t="str">
        <v/>
      </c>
      <c r="I13892" s="4" t="str">
        <v/>
      </c>
    </row>
    <row r="13893" spans="5:9" ht="16.5" hidden="1">
      <c r="E13893" s="4" t="str">
        <v/>
      </c>
      <c r="F13893" s="102" t="str">
        <f ca="1">IFERROR(__xludf.DUMMYFUNCTION("IMPORTRANGE(H13893,""IDENTITAS UNIT!D9"")"),"#N/A")</f>
        <v>#N/A</v>
      </c>
      <c r="H13893" s="4" t="str">
        <v/>
      </c>
      <c r="I13893" s="4" t="str">
        <v/>
      </c>
    </row>
    <row r="13894" spans="5:9" ht="16.5" hidden="1">
      <c r="E13894" s="4" t="str">
        <v/>
      </c>
      <c r="F13894" s="102" t="str">
        <f ca="1">IFERROR(__xludf.DUMMYFUNCTION("IMPORTRANGE(H13894,""IDENTITAS UNIT!D9"")"),"#N/A")</f>
        <v>#N/A</v>
      </c>
      <c r="H13894" s="4" t="str">
        <v/>
      </c>
      <c r="I13894" s="4" t="str">
        <v/>
      </c>
    </row>
    <row r="13895" spans="5:9" ht="16.5" hidden="1">
      <c r="E13895" s="4" t="str">
        <v/>
      </c>
      <c r="F13895" s="102" t="str">
        <f ca="1">IFERROR(__xludf.DUMMYFUNCTION("IMPORTRANGE(H13895,""IDENTITAS UNIT!D9"")"),"#N/A")</f>
        <v>#N/A</v>
      </c>
      <c r="H13895" s="4" t="str">
        <v/>
      </c>
      <c r="I13895" s="4" t="str">
        <v/>
      </c>
    </row>
    <row r="13896" spans="5:9" ht="16.5" hidden="1">
      <c r="E13896" s="4" t="str">
        <v/>
      </c>
      <c r="F13896" s="102" t="str">
        <f ca="1">IFERROR(__xludf.DUMMYFUNCTION("IMPORTRANGE(H13896,""IDENTITAS UNIT!D9"")"),"#N/A")</f>
        <v>#N/A</v>
      </c>
      <c r="H13896" s="4" t="str">
        <v/>
      </c>
      <c r="I13896" s="4" t="str">
        <v/>
      </c>
    </row>
    <row r="13897" spans="5:9" ht="16.5" hidden="1">
      <c r="E13897" s="4" t="str">
        <v/>
      </c>
      <c r="F13897" s="102" t="str">
        <f ca="1">IFERROR(__xludf.DUMMYFUNCTION("IMPORTRANGE(H13897,""IDENTITAS UNIT!D9"")"),"#N/A")</f>
        <v>#N/A</v>
      </c>
      <c r="H13897" s="4" t="str">
        <v/>
      </c>
      <c r="I13897" s="4" t="str">
        <v/>
      </c>
    </row>
    <row r="13898" spans="5:9" ht="16.5" hidden="1">
      <c r="E13898" s="4" t="str">
        <v/>
      </c>
      <c r="F13898" s="102" t="str">
        <f ca="1">IFERROR(__xludf.DUMMYFUNCTION("IMPORTRANGE(H13898,""IDENTITAS UNIT!D9"")"),"#N/A")</f>
        <v>#N/A</v>
      </c>
      <c r="H13898" s="4" t="str">
        <v/>
      </c>
      <c r="I13898" s="4" t="str">
        <v/>
      </c>
    </row>
    <row r="13899" spans="5:9" ht="16.5" hidden="1">
      <c r="E13899" s="4" t="str">
        <v/>
      </c>
      <c r="F13899" s="102" t="str">
        <f ca="1">IFERROR(__xludf.DUMMYFUNCTION("IMPORTRANGE(H13899,""IDENTITAS UNIT!D9"")"),"#N/A")</f>
        <v>#N/A</v>
      </c>
      <c r="H13899" s="4" t="str">
        <v/>
      </c>
      <c r="I13899" s="4" t="str">
        <v/>
      </c>
    </row>
    <row r="13900" spans="5:9" ht="16.5" hidden="1">
      <c r="E13900" s="4" t="str">
        <v/>
      </c>
      <c r="F13900" s="102" t="str">
        <f ca="1">IFERROR(__xludf.DUMMYFUNCTION("IMPORTRANGE(H13900,""IDENTITAS UNIT!D9"")"),"#N/A")</f>
        <v>#N/A</v>
      </c>
      <c r="H13900" s="4" t="str">
        <v/>
      </c>
      <c r="I13900" s="4" t="str">
        <v/>
      </c>
    </row>
    <row r="13901" spans="5:9" ht="16.5" hidden="1">
      <c r="E13901" s="4" t="str">
        <v/>
      </c>
      <c r="F13901" s="102" t="str">
        <f ca="1">IFERROR(__xludf.DUMMYFUNCTION("IMPORTRANGE(H13901,""IDENTITAS UNIT!D9"")"),"#N/A")</f>
        <v>#N/A</v>
      </c>
      <c r="H13901" s="4" t="str">
        <v/>
      </c>
      <c r="I13901" s="4" t="str">
        <v/>
      </c>
    </row>
    <row r="13902" spans="5:9" ht="16.5" hidden="1">
      <c r="E13902" s="4" t="str">
        <v/>
      </c>
      <c r="F13902" s="102" t="str">
        <f ca="1">IFERROR(__xludf.DUMMYFUNCTION("IMPORTRANGE(H13902,""IDENTITAS UNIT!D9"")"),"#N/A")</f>
        <v>#N/A</v>
      </c>
      <c r="H13902" s="4" t="str">
        <v/>
      </c>
      <c r="I13902" s="4" t="str">
        <v/>
      </c>
    </row>
    <row r="13903" spans="5:9" ht="16.5" hidden="1">
      <c r="E13903" s="4" t="str">
        <v/>
      </c>
      <c r="F13903" s="102" t="str">
        <f ca="1">IFERROR(__xludf.DUMMYFUNCTION("IMPORTRANGE(H13903,""IDENTITAS UNIT!D9"")"),"#N/A")</f>
        <v>#N/A</v>
      </c>
      <c r="H13903" s="4" t="str">
        <v/>
      </c>
      <c r="I13903" s="4" t="str">
        <v/>
      </c>
    </row>
    <row r="13904" spans="5:9" ht="16.5" hidden="1">
      <c r="E13904" s="4" t="str">
        <v/>
      </c>
      <c r="F13904" s="102" t="str">
        <f ca="1">IFERROR(__xludf.DUMMYFUNCTION("IMPORTRANGE(H13904,""IDENTITAS UNIT!D9"")"),"#N/A")</f>
        <v>#N/A</v>
      </c>
      <c r="H13904" s="4" t="str">
        <v/>
      </c>
      <c r="I13904" s="4" t="str">
        <v/>
      </c>
    </row>
    <row r="13905" spans="5:9" ht="16.5" hidden="1">
      <c r="E13905" s="4" t="str">
        <v/>
      </c>
      <c r="F13905" s="102" t="str">
        <f ca="1">IFERROR(__xludf.DUMMYFUNCTION("IMPORTRANGE(H13905,""IDENTITAS UNIT!D9"")"),"#N/A")</f>
        <v>#N/A</v>
      </c>
      <c r="H13905" s="4" t="str">
        <v/>
      </c>
      <c r="I13905" s="4" t="str">
        <v/>
      </c>
    </row>
    <row r="13906" spans="5:9" ht="16.5" hidden="1">
      <c r="E13906" s="4" t="str">
        <v/>
      </c>
      <c r="F13906" s="102" t="str">
        <f ca="1">IFERROR(__xludf.DUMMYFUNCTION("IMPORTRANGE(H13906,""IDENTITAS UNIT!D9"")"),"#N/A")</f>
        <v>#N/A</v>
      </c>
      <c r="H13906" s="4" t="str">
        <v/>
      </c>
      <c r="I13906" s="4" t="str">
        <v/>
      </c>
    </row>
    <row r="13907" spans="5:9" ht="16.5" hidden="1">
      <c r="E13907" s="4" t="str">
        <v/>
      </c>
      <c r="F13907" s="102" t="str">
        <f ca="1">IFERROR(__xludf.DUMMYFUNCTION("IMPORTRANGE(H13907,""IDENTITAS UNIT!D9"")"),"#N/A")</f>
        <v>#N/A</v>
      </c>
      <c r="H13907" s="4" t="str">
        <v/>
      </c>
      <c r="I13907" s="4" t="str">
        <v/>
      </c>
    </row>
    <row r="13908" spans="5:9" ht="16.5" hidden="1">
      <c r="E13908" s="4" t="str">
        <v/>
      </c>
      <c r="F13908" s="102" t="str">
        <f ca="1">IFERROR(__xludf.DUMMYFUNCTION("IMPORTRANGE(H13908,""IDENTITAS UNIT!D9"")"),"#N/A")</f>
        <v>#N/A</v>
      </c>
      <c r="H13908" s="4" t="str">
        <v/>
      </c>
      <c r="I13908" s="4" t="str">
        <v/>
      </c>
    </row>
    <row r="13909" spans="5:9" ht="16.5" hidden="1">
      <c r="E13909" s="4" t="str">
        <v/>
      </c>
      <c r="F13909" s="102" t="str">
        <f ca="1">IFERROR(__xludf.DUMMYFUNCTION("IMPORTRANGE(H13909,""IDENTITAS UNIT!D9"")"),"#N/A")</f>
        <v>#N/A</v>
      </c>
      <c r="H13909" s="4" t="str">
        <v/>
      </c>
      <c r="I13909" s="4" t="str">
        <v/>
      </c>
    </row>
    <row r="13910" spans="5:9" ht="16.5" hidden="1">
      <c r="E13910" s="4" t="str">
        <v/>
      </c>
      <c r="F13910" s="102" t="str">
        <f ca="1">IFERROR(__xludf.DUMMYFUNCTION("IMPORTRANGE(H13910,""IDENTITAS UNIT!D9"")"),"#N/A")</f>
        <v>#N/A</v>
      </c>
      <c r="H13910" s="4" t="str">
        <v/>
      </c>
      <c r="I13910" s="4" t="str">
        <v/>
      </c>
    </row>
    <row r="13911" spans="5:9" ht="16.5" hidden="1">
      <c r="E13911" s="4" t="str">
        <v/>
      </c>
      <c r="F13911" s="102" t="str">
        <f ca="1">IFERROR(__xludf.DUMMYFUNCTION("IMPORTRANGE(H13911,""IDENTITAS UNIT!D9"")"),"#N/A")</f>
        <v>#N/A</v>
      </c>
      <c r="H13911" s="4" t="str">
        <v/>
      </c>
      <c r="I13911" s="4" t="str">
        <v/>
      </c>
    </row>
    <row r="13912" spans="5:9" ht="16.5" hidden="1">
      <c r="E13912" s="4" t="str">
        <v/>
      </c>
      <c r="F13912" s="102" t="str">
        <f ca="1">IFERROR(__xludf.DUMMYFUNCTION("IMPORTRANGE(H13912,""IDENTITAS UNIT!D9"")"),"#N/A")</f>
        <v>#N/A</v>
      </c>
      <c r="H13912" s="4" t="str">
        <v/>
      </c>
      <c r="I13912" s="4" t="str">
        <v/>
      </c>
    </row>
    <row r="13913" spans="5:9" ht="16.5" hidden="1">
      <c r="E13913" s="4" t="str">
        <v/>
      </c>
      <c r="F13913" s="102" t="str">
        <f ca="1">IFERROR(__xludf.DUMMYFUNCTION("IMPORTRANGE(H13913,""IDENTITAS UNIT!D9"")"),"#N/A")</f>
        <v>#N/A</v>
      </c>
      <c r="H13913" s="4" t="str">
        <v/>
      </c>
      <c r="I13913" s="4" t="str">
        <v/>
      </c>
    </row>
    <row r="13914" spans="5:9" ht="16.5" hidden="1">
      <c r="E13914" s="4" t="str">
        <v/>
      </c>
      <c r="F13914" s="102" t="str">
        <f ca="1">IFERROR(__xludf.DUMMYFUNCTION("IMPORTRANGE(H13914,""IDENTITAS UNIT!D9"")"),"#N/A")</f>
        <v>#N/A</v>
      </c>
      <c r="H13914" s="4" t="str">
        <v/>
      </c>
      <c r="I13914" s="4" t="str">
        <v/>
      </c>
    </row>
    <row r="13915" spans="5:9" ht="16.5" hidden="1">
      <c r="E13915" s="4" t="str">
        <v/>
      </c>
      <c r="F13915" s="102" t="str">
        <f ca="1">IFERROR(__xludf.DUMMYFUNCTION("IMPORTRANGE(H13915,""IDENTITAS UNIT!D9"")"),"#N/A")</f>
        <v>#N/A</v>
      </c>
      <c r="H13915" s="4" t="str">
        <v/>
      </c>
      <c r="I13915" s="4" t="str">
        <v/>
      </c>
    </row>
    <row r="13916" spans="5:9" ht="16.5" hidden="1">
      <c r="E13916" s="4" t="str">
        <v/>
      </c>
      <c r="F13916" s="102" t="str">
        <f ca="1">IFERROR(__xludf.DUMMYFUNCTION("IMPORTRANGE(H13916,""IDENTITAS UNIT!D9"")"),"#N/A")</f>
        <v>#N/A</v>
      </c>
      <c r="H13916" s="4" t="str">
        <v/>
      </c>
      <c r="I13916" s="4" t="str">
        <v/>
      </c>
    </row>
    <row r="13917" spans="5:9" ht="16.5" hidden="1">
      <c r="E13917" s="4" t="str">
        <v/>
      </c>
      <c r="F13917" s="102" t="str">
        <f ca="1">IFERROR(__xludf.DUMMYFUNCTION("IMPORTRANGE(H13917,""IDENTITAS UNIT!D9"")"),"#N/A")</f>
        <v>#N/A</v>
      </c>
      <c r="H13917" s="4" t="str">
        <v/>
      </c>
      <c r="I13917" s="4" t="str">
        <v/>
      </c>
    </row>
    <row r="13918" spans="5:9" ht="16.5" hidden="1">
      <c r="E13918" s="4" t="str">
        <v/>
      </c>
      <c r="F13918" s="102" t="str">
        <f ca="1">IFERROR(__xludf.DUMMYFUNCTION("IMPORTRANGE(H13918,""IDENTITAS UNIT!D9"")"),"#N/A")</f>
        <v>#N/A</v>
      </c>
      <c r="H13918" s="4" t="str">
        <v/>
      </c>
      <c r="I13918" s="4" t="str">
        <v/>
      </c>
    </row>
    <row r="13919" spans="5:9" ht="16.5" hidden="1">
      <c r="E13919" s="4" t="str">
        <v/>
      </c>
      <c r="F13919" s="102" t="str">
        <f ca="1">IFERROR(__xludf.DUMMYFUNCTION("IMPORTRANGE(H13919,""IDENTITAS UNIT!D9"")"),"#N/A")</f>
        <v>#N/A</v>
      </c>
      <c r="H13919" s="4" t="str">
        <v/>
      </c>
      <c r="I13919" s="4" t="str">
        <v/>
      </c>
    </row>
    <row r="13920" spans="5:9" ht="16.5" hidden="1">
      <c r="E13920" s="4" t="str">
        <v/>
      </c>
      <c r="F13920" s="102" t="str">
        <f ca="1">IFERROR(__xludf.DUMMYFUNCTION("IMPORTRANGE(H13920,""IDENTITAS UNIT!D9"")"),"#N/A")</f>
        <v>#N/A</v>
      </c>
      <c r="H13920" s="4" t="str">
        <v/>
      </c>
      <c r="I13920" s="4" t="str">
        <v/>
      </c>
    </row>
    <row r="13921" spans="5:9" ht="16.5" hidden="1">
      <c r="E13921" s="4" t="str">
        <v/>
      </c>
      <c r="F13921" s="102" t="str">
        <f ca="1">IFERROR(__xludf.DUMMYFUNCTION("IMPORTRANGE(H13921,""IDENTITAS UNIT!D9"")"),"#N/A")</f>
        <v>#N/A</v>
      </c>
      <c r="H13921" s="4" t="str">
        <v/>
      </c>
      <c r="I13921" s="4" t="str">
        <v/>
      </c>
    </row>
    <row r="13922" spans="5:9" ht="16.5" hidden="1">
      <c r="E13922" s="4" t="str">
        <v/>
      </c>
      <c r="F13922" s="102" t="str">
        <f ca="1">IFERROR(__xludf.DUMMYFUNCTION("IMPORTRANGE(H13922,""IDENTITAS UNIT!D9"")"),"#N/A")</f>
        <v>#N/A</v>
      </c>
      <c r="H13922" s="4" t="str">
        <v/>
      </c>
      <c r="I13922" s="4" t="str">
        <v/>
      </c>
    </row>
    <row r="13923" spans="5:9" ht="16.5" hidden="1">
      <c r="E13923" s="4" t="str">
        <v/>
      </c>
      <c r="F13923" s="102" t="str">
        <f ca="1">IFERROR(__xludf.DUMMYFUNCTION("IMPORTRANGE(H13923,""IDENTITAS UNIT!D9"")"),"#N/A")</f>
        <v>#N/A</v>
      </c>
      <c r="H13923" s="4" t="str">
        <v/>
      </c>
      <c r="I13923" s="4" t="str">
        <v/>
      </c>
    </row>
    <row r="13924" spans="5:9" ht="16.5" hidden="1">
      <c r="E13924" s="4" t="str">
        <v/>
      </c>
      <c r="F13924" s="102" t="str">
        <f ca="1">IFERROR(__xludf.DUMMYFUNCTION("IMPORTRANGE(H13924,""IDENTITAS UNIT!D9"")"),"#N/A")</f>
        <v>#N/A</v>
      </c>
      <c r="H13924" s="4" t="str">
        <v/>
      </c>
      <c r="I13924" s="4" t="str">
        <v/>
      </c>
    </row>
    <row r="13925" spans="5:9" ht="16.5" hidden="1">
      <c r="E13925" s="4" t="str">
        <v/>
      </c>
      <c r="F13925" s="102" t="str">
        <f ca="1">IFERROR(__xludf.DUMMYFUNCTION("IMPORTRANGE(H13925,""IDENTITAS UNIT!D9"")"),"#N/A")</f>
        <v>#N/A</v>
      </c>
      <c r="H13925" s="4" t="str">
        <v/>
      </c>
      <c r="I13925" s="4" t="str">
        <v/>
      </c>
    </row>
    <row r="13926" spans="5:9" ht="16.5" hidden="1">
      <c r="E13926" s="4" t="str">
        <v/>
      </c>
      <c r="F13926" s="102" t="str">
        <f ca="1">IFERROR(__xludf.DUMMYFUNCTION("IMPORTRANGE(H13926,""IDENTITAS UNIT!D9"")"),"#N/A")</f>
        <v>#N/A</v>
      </c>
      <c r="H13926" s="4" t="str">
        <v/>
      </c>
      <c r="I13926" s="4" t="str">
        <v/>
      </c>
    </row>
    <row r="13927" spans="5:9" ht="16.5" hidden="1">
      <c r="E13927" s="4" t="str">
        <v/>
      </c>
      <c r="F13927" s="102" t="str">
        <f ca="1">IFERROR(__xludf.DUMMYFUNCTION("IMPORTRANGE(H13927,""IDENTITAS UNIT!D9"")"),"#N/A")</f>
        <v>#N/A</v>
      </c>
      <c r="H13927" s="4" t="str">
        <v/>
      </c>
      <c r="I13927" s="4" t="str">
        <v/>
      </c>
    </row>
    <row r="13928" spans="5:9" ht="16.5" hidden="1">
      <c r="E13928" s="4" t="str">
        <v/>
      </c>
      <c r="F13928" s="102" t="str">
        <f ca="1">IFERROR(__xludf.DUMMYFUNCTION("IMPORTRANGE(H13928,""IDENTITAS UNIT!D9"")"),"#N/A")</f>
        <v>#N/A</v>
      </c>
      <c r="H13928" s="4" t="str">
        <v/>
      </c>
      <c r="I13928" s="4" t="str">
        <v/>
      </c>
    </row>
    <row r="13929" spans="5:9" ht="16.5" hidden="1">
      <c r="E13929" s="4" t="str">
        <v/>
      </c>
      <c r="F13929" s="102" t="str">
        <f ca="1">IFERROR(__xludf.DUMMYFUNCTION("IMPORTRANGE(H13929,""IDENTITAS UNIT!D9"")"),"#N/A")</f>
        <v>#N/A</v>
      </c>
      <c r="H13929" s="4" t="str">
        <v/>
      </c>
      <c r="I13929" s="4" t="str">
        <v/>
      </c>
    </row>
    <row r="13930" spans="5:9" ht="16.5" hidden="1">
      <c r="E13930" s="4" t="str">
        <v/>
      </c>
      <c r="F13930" s="102" t="str">
        <f ca="1">IFERROR(__xludf.DUMMYFUNCTION("IMPORTRANGE(H13930,""IDENTITAS UNIT!D9"")"),"#N/A")</f>
        <v>#N/A</v>
      </c>
      <c r="H13930" s="4" t="str">
        <v/>
      </c>
      <c r="I13930" s="4" t="str">
        <v/>
      </c>
    </row>
    <row r="13931" spans="5:9" ht="16.5" hidden="1">
      <c r="E13931" s="4" t="str">
        <v/>
      </c>
      <c r="F13931" s="102" t="str">
        <f ca="1">IFERROR(__xludf.DUMMYFUNCTION("IMPORTRANGE(H13931,""IDENTITAS UNIT!D9"")"),"#N/A")</f>
        <v>#N/A</v>
      </c>
      <c r="H13931" s="4" t="str">
        <v/>
      </c>
      <c r="I13931" s="4" t="str">
        <v/>
      </c>
    </row>
    <row r="13932" spans="5:9" ht="16.5" hidden="1">
      <c r="E13932" s="4" t="str">
        <v/>
      </c>
      <c r="F13932" s="102" t="str">
        <f ca="1">IFERROR(__xludf.DUMMYFUNCTION("IMPORTRANGE(H13932,""IDENTITAS UNIT!D9"")"),"#N/A")</f>
        <v>#N/A</v>
      </c>
      <c r="H13932" s="4" t="str">
        <v/>
      </c>
      <c r="I13932" s="4" t="str">
        <v/>
      </c>
    </row>
    <row r="13933" spans="5:9" ht="16.5" hidden="1">
      <c r="E13933" s="4" t="str">
        <v/>
      </c>
      <c r="F13933" s="102" t="str">
        <f ca="1">IFERROR(__xludf.DUMMYFUNCTION("IMPORTRANGE(H13933,""IDENTITAS UNIT!D9"")"),"#N/A")</f>
        <v>#N/A</v>
      </c>
      <c r="H13933" s="4" t="str">
        <v/>
      </c>
      <c r="I13933" s="4" t="str">
        <v/>
      </c>
    </row>
    <row r="13934" spans="5:9" ht="16.5" hidden="1">
      <c r="E13934" s="4" t="str">
        <v/>
      </c>
      <c r="F13934" s="102" t="str">
        <f ca="1">IFERROR(__xludf.DUMMYFUNCTION("IMPORTRANGE(H13934,""IDENTITAS UNIT!D9"")"),"#N/A")</f>
        <v>#N/A</v>
      </c>
      <c r="H13934" s="4" t="str">
        <v/>
      </c>
      <c r="I13934" s="4" t="str">
        <v/>
      </c>
    </row>
    <row r="13935" spans="5:9" ht="16.5" hidden="1">
      <c r="E13935" s="4" t="str">
        <v/>
      </c>
      <c r="F13935" s="102" t="str">
        <f ca="1">IFERROR(__xludf.DUMMYFUNCTION("IMPORTRANGE(H13935,""IDENTITAS UNIT!D9"")"),"#N/A")</f>
        <v>#N/A</v>
      </c>
      <c r="H13935" s="4" t="str">
        <v/>
      </c>
      <c r="I13935" s="4" t="str">
        <v/>
      </c>
    </row>
    <row r="13936" spans="5:9" ht="16.5" hidden="1">
      <c r="E13936" s="4" t="str">
        <v/>
      </c>
      <c r="F13936" s="102" t="str">
        <f ca="1">IFERROR(__xludf.DUMMYFUNCTION("IMPORTRANGE(H13936,""IDENTITAS UNIT!D9"")"),"#N/A")</f>
        <v>#N/A</v>
      </c>
      <c r="H13936" s="4" t="str">
        <v/>
      </c>
      <c r="I13936" s="4" t="str">
        <v/>
      </c>
    </row>
    <row r="13937" spans="5:9" ht="16.5" hidden="1">
      <c r="E13937" s="4" t="str">
        <v/>
      </c>
      <c r="F13937" s="102" t="str">
        <f ca="1">IFERROR(__xludf.DUMMYFUNCTION("IMPORTRANGE(H13937,""IDENTITAS UNIT!D9"")"),"#N/A")</f>
        <v>#N/A</v>
      </c>
      <c r="H13937" s="4" t="str">
        <v/>
      </c>
      <c r="I13937" s="4" t="str">
        <v/>
      </c>
    </row>
    <row r="13938" spans="5:9" ht="16.5" hidden="1">
      <c r="E13938" s="4" t="str">
        <v/>
      </c>
      <c r="F13938" s="102" t="str">
        <f ca="1">IFERROR(__xludf.DUMMYFUNCTION("IMPORTRANGE(H13938,""IDENTITAS UNIT!D9"")"),"#N/A")</f>
        <v>#N/A</v>
      </c>
      <c r="H13938" s="4" t="str">
        <v/>
      </c>
      <c r="I13938" s="4" t="str">
        <v/>
      </c>
    </row>
    <row r="13939" spans="5:9" ht="16.5" hidden="1">
      <c r="E13939" s="4" t="str">
        <v/>
      </c>
      <c r="F13939" s="102" t="str">
        <f ca="1">IFERROR(__xludf.DUMMYFUNCTION("IMPORTRANGE(H13939,""IDENTITAS UNIT!D9"")"),"#N/A")</f>
        <v>#N/A</v>
      </c>
      <c r="H13939" s="4" t="str">
        <v/>
      </c>
      <c r="I13939" s="4" t="str">
        <v/>
      </c>
    </row>
    <row r="13940" spans="5:9" ht="16.5" hidden="1">
      <c r="E13940" s="4" t="str">
        <v/>
      </c>
      <c r="F13940" s="102" t="str">
        <f ca="1">IFERROR(__xludf.DUMMYFUNCTION("IMPORTRANGE(H13940,""IDENTITAS UNIT!D9"")"),"#N/A")</f>
        <v>#N/A</v>
      </c>
      <c r="H13940" s="4" t="str">
        <v/>
      </c>
      <c r="I13940" s="4" t="str">
        <v/>
      </c>
    </row>
    <row r="13941" spans="5:9" ht="16.5" hidden="1">
      <c r="E13941" s="4" t="str">
        <v/>
      </c>
      <c r="F13941" s="102" t="str">
        <f ca="1">IFERROR(__xludf.DUMMYFUNCTION("IMPORTRANGE(H13941,""IDENTITAS UNIT!D9"")"),"#N/A")</f>
        <v>#N/A</v>
      </c>
      <c r="H13941" s="4" t="str">
        <v/>
      </c>
      <c r="I13941" s="4" t="str">
        <v/>
      </c>
    </row>
    <row r="13942" spans="5:9" ht="16.5" hidden="1">
      <c r="E13942" s="4" t="str">
        <v/>
      </c>
      <c r="F13942" s="102" t="str">
        <f ca="1">IFERROR(__xludf.DUMMYFUNCTION("IMPORTRANGE(H13942,""IDENTITAS UNIT!D9"")"),"#N/A")</f>
        <v>#N/A</v>
      </c>
      <c r="H13942" s="4" t="str">
        <v/>
      </c>
      <c r="I13942" s="4" t="str">
        <v/>
      </c>
    </row>
    <row r="13943" spans="5:9" ht="16.5" hidden="1">
      <c r="E13943" s="4" t="str">
        <v/>
      </c>
      <c r="F13943" s="102" t="str">
        <f ca="1">IFERROR(__xludf.DUMMYFUNCTION("IMPORTRANGE(H13943,""IDENTITAS UNIT!D9"")"),"#N/A")</f>
        <v>#N/A</v>
      </c>
      <c r="H13943" s="4" t="str">
        <v/>
      </c>
      <c r="I13943" s="4" t="str">
        <v/>
      </c>
    </row>
    <row r="13944" spans="5:9" ht="16.5" hidden="1">
      <c r="E13944" s="4" t="str">
        <v/>
      </c>
      <c r="F13944" s="102" t="str">
        <f ca="1">IFERROR(__xludf.DUMMYFUNCTION("IMPORTRANGE(H13944,""IDENTITAS UNIT!D9"")"),"#N/A")</f>
        <v>#N/A</v>
      </c>
      <c r="H13944" s="4" t="str">
        <v/>
      </c>
      <c r="I13944" s="4" t="str">
        <v/>
      </c>
    </row>
    <row r="13945" spans="5:9" ht="16.5" hidden="1">
      <c r="E13945" s="4" t="str">
        <v/>
      </c>
      <c r="F13945" s="102" t="str">
        <f ca="1">IFERROR(__xludf.DUMMYFUNCTION("IMPORTRANGE(H13945,""IDENTITAS UNIT!D9"")"),"#N/A")</f>
        <v>#N/A</v>
      </c>
      <c r="H13945" s="4" t="str">
        <v/>
      </c>
      <c r="I13945" s="4" t="str">
        <v/>
      </c>
    </row>
    <row r="13946" spans="5:9" ht="16.5" hidden="1">
      <c r="E13946" s="4" t="str">
        <v/>
      </c>
      <c r="F13946" s="102" t="str">
        <f ca="1">IFERROR(__xludf.DUMMYFUNCTION("IMPORTRANGE(H13946,""IDENTITAS UNIT!D9"")"),"#N/A")</f>
        <v>#N/A</v>
      </c>
      <c r="H13946" s="4" t="str">
        <v/>
      </c>
      <c r="I13946" s="4" t="str">
        <v/>
      </c>
    </row>
    <row r="13947" spans="5:9" ht="16.5" hidden="1">
      <c r="E13947" s="4" t="str">
        <v/>
      </c>
      <c r="F13947" s="102" t="str">
        <f ca="1">IFERROR(__xludf.DUMMYFUNCTION("IMPORTRANGE(H13947,""IDENTITAS UNIT!D9"")"),"#N/A")</f>
        <v>#N/A</v>
      </c>
      <c r="H13947" s="4" t="str">
        <v/>
      </c>
      <c r="I13947" s="4" t="str">
        <v/>
      </c>
    </row>
    <row r="13948" spans="5:9" ht="16.5" hidden="1">
      <c r="E13948" s="4" t="str">
        <v/>
      </c>
      <c r="F13948" s="102" t="str">
        <f ca="1">IFERROR(__xludf.DUMMYFUNCTION("IMPORTRANGE(H13948,""IDENTITAS UNIT!D9"")"),"#N/A")</f>
        <v>#N/A</v>
      </c>
      <c r="H13948" s="4" t="str">
        <v/>
      </c>
      <c r="I13948" s="4" t="str">
        <v/>
      </c>
    </row>
    <row r="13949" spans="5:9" ht="16.5" hidden="1">
      <c r="E13949" s="4" t="str">
        <v/>
      </c>
      <c r="F13949" s="102" t="str">
        <f ca="1">IFERROR(__xludf.DUMMYFUNCTION("IMPORTRANGE(H13949,""IDENTITAS UNIT!D9"")"),"#N/A")</f>
        <v>#N/A</v>
      </c>
      <c r="H13949" s="4" t="str">
        <v/>
      </c>
      <c r="I13949" s="4" t="str">
        <v/>
      </c>
    </row>
    <row r="13950" spans="5:9" ht="16.5" hidden="1">
      <c r="E13950" s="4" t="str">
        <v/>
      </c>
      <c r="F13950" s="102" t="str">
        <f ca="1">IFERROR(__xludf.DUMMYFUNCTION("IMPORTRANGE(H13950,""IDENTITAS UNIT!D9"")"),"#N/A")</f>
        <v>#N/A</v>
      </c>
      <c r="H13950" s="4" t="str">
        <v/>
      </c>
      <c r="I13950" s="4" t="str">
        <v/>
      </c>
    </row>
    <row r="13951" spans="5:9" ht="16.5" hidden="1">
      <c r="E13951" s="4" t="str">
        <v/>
      </c>
      <c r="F13951" s="102" t="str">
        <f ca="1">IFERROR(__xludf.DUMMYFUNCTION("IMPORTRANGE(H13951,""IDENTITAS UNIT!D9"")"),"#N/A")</f>
        <v>#N/A</v>
      </c>
      <c r="H13951" s="4" t="str">
        <v/>
      </c>
      <c r="I13951" s="4" t="str">
        <v/>
      </c>
    </row>
    <row r="13952" spans="5:9" ht="16.5" hidden="1">
      <c r="E13952" s="4" t="str">
        <v/>
      </c>
      <c r="F13952" s="102" t="str">
        <f ca="1">IFERROR(__xludf.DUMMYFUNCTION("IMPORTRANGE(H13952,""IDENTITAS UNIT!D9"")"),"#N/A")</f>
        <v>#N/A</v>
      </c>
      <c r="H13952" s="4" t="str">
        <v/>
      </c>
      <c r="I13952" s="4" t="str">
        <v/>
      </c>
    </row>
    <row r="13953" spans="5:9" ht="16.5" hidden="1">
      <c r="E13953" s="4" t="str">
        <v/>
      </c>
      <c r="F13953" s="102" t="str">
        <f ca="1">IFERROR(__xludf.DUMMYFUNCTION("IMPORTRANGE(H13953,""IDENTITAS UNIT!D9"")"),"#N/A")</f>
        <v>#N/A</v>
      </c>
      <c r="H13953" s="4" t="str">
        <v/>
      </c>
      <c r="I13953" s="4" t="str">
        <v/>
      </c>
    </row>
    <row r="13954" spans="5:9" ht="16.5" hidden="1">
      <c r="E13954" s="4" t="str">
        <v/>
      </c>
      <c r="F13954" s="102" t="str">
        <f ca="1">IFERROR(__xludf.DUMMYFUNCTION("IMPORTRANGE(H13954,""IDENTITAS UNIT!D9"")"),"#N/A")</f>
        <v>#N/A</v>
      </c>
      <c r="H13954" s="4" t="str">
        <v/>
      </c>
      <c r="I13954" s="4" t="str">
        <v/>
      </c>
    </row>
    <row r="13955" spans="5:9" ht="16.5" hidden="1">
      <c r="E13955" s="4" t="str">
        <v/>
      </c>
      <c r="F13955" s="102" t="str">
        <f ca="1">IFERROR(__xludf.DUMMYFUNCTION("IMPORTRANGE(H13955,""IDENTITAS UNIT!D9"")"),"#N/A")</f>
        <v>#N/A</v>
      </c>
      <c r="H13955" s="4" t="str">
        <v/>
      </c>
      <c r="I13955" s="4" t="str">
        <v/>
      </c>
    </row>
    <row r="13956" spans="5:9" ht="16.5" hidden="1">
      <c r="E13956" s="4" t="str">
        <v/>
      </c>
      <c r="F13956" s="102" t="str">
        <f ca="1">IFERROR(__xludf.DUMMYFUNCTION("IMPORTRANGE(H13956,""IDENTITAS UNIT!D9"")"),"#N/A")</f>
        <v>#N/A</v>
      </c>
      <c r="H13956" s="4" t="str">
        <v/>
      </c>
      <c r="I13956" s="4" t="str">
        <v/>
      </c>
    </row>
    <row r="13957" spans="5:9" ht="16.5" hidden="1">
      <c r="E13957" s="4" t="str">
        <v/>
      </c>
      <c r="F13957" s="102" t="str">
        <f ca="1">IFERROR(__xludf.DUMMYFUNCTION("IMPORTRANGE(H13957,""IDENTITAS UNIT!D9"")"),"#N/A")</f>
        <v>#N/A</v>
      </c>
      <c r="H13957" s="4" t="str">
        <v/>
      </c>
      <c r="I13957" s="4" t="str">
        <v/>
      </c>
    </row>
    <row r="13958" spans="5:9" ht="16.5" hidden="1">
      <c r="E13958" s="4" t="str">
        <v/>
      </c>
      <c r="F13958" s="102" t="str">
        <f ca="1">IFERROR(__xludf.DUMMYFUNCTION("IMPORTRANGE(H13958,""IDENTITAS UNIT!D9"")"),"#N/A")</f>
        <v>#N/A</v>
      </c>
      <c r="H13958" s="4" t="str">
        <v/>
      </c>
      <c r="I13958" s="4" t="str">
        <v/>
      </c>
    </row>
    <row r="13959" spans="5:9" ht="16.5" hidden="1">
      <c r="E13959" s="4" t="str">
        <v/>
      </c>
      <c r="F13959" s="102" t="str">
        <f ca="1">IFERROR(__xludf.DUMMYFUNCTION("IMPORTRANGE(H13959,""IDENTITAS UNIT!D9"")"),"#N/A")</f>
        <v>#N/A</v>
      </c>
      <c r="H13959" s="4" t="str">
        <v/>
      </c>
      <c r="I13959" s="4" t="str">
        <v/>
      </c>
    </row>
    <row r="13960" spans="5:9" ht="16.5" hidden="1">
      <c r="E13960" s="4" t="str">
        <v/>
      </c>
      <c r="F13960" s="102" t="str">
        <f ca="1">IFERROR(__xludf.DUMMYFUNCTION("IMPORTRANGE(H13960,""IDENTITAS UNIT!D9"")"),"#N/A")</f>
        <v>#N/A</v>
      </c>
      <c r="H13960" s="4" t="str">
        <v/>
      </c>
      <c r="I13960" s="4" t="str">
        <v/>
      </c>
    </row>
    <row r="13961" spans="5:9" ht="16.5" hidden="1">
      <c r="E13961" s="4" t="str">
        <v/>
      </c>
      <c r="F13961" s="102" t="str">
        <f ca="1">IFERROR(__xludf.DUMMYFUNCTION("IMPORTRANGE(H13961,""IDENTITAS UNIT!D9"")"),"#N/A")</f>
        <v>#N/A</v>
      </c>
      <c r="H13961" s="4" t="str">
        <v/>
      </c>
      <c r="I13961" s="4" t="str">
        <v/>
      </c>
    </row>
    <row r="13962" spans="5:9" ht="16.5" hidden="1">
      <c r="E13962" s="4" t="str">
        <v/>
      </c>
      <c r="F13962" s="102" t="str">
        <f ca="1">IFERROR(__xludf.DUMMYFUNCTION("IMPORTRANGE(H13962,""IDENTITAS UNIT!D9"")"),"#N/A")</f>
        <v>#N/A</v>
      </c>
      <c r="H13962" s="4" t="str">
        <v/>
      </c>
      <c r="I13962" s="4" t="str">
        <v/>
      </c>
    </row>
    <row r="13963" spans="5:9" ht="16.5" hidden="1">
      <c r="E13963" s="4" t="str">
        <v/>
      </c>
      <c r="F13963" s="102" t="str">
        <f ca="1">IFERROR(__xludf.DUMMYFUNCTION("IMPORTRANGE(H13963,""IDENTITAS UNIT!D9"")"),"#N/A")</f>
        <v>#N/A</v>
      </c>
      <c r="H13963" s="4" t="str">
        <v/>
      </c>
      <c r="I13963" s="4" t="str">
        <v/>
      </c>
    </row>
    <row r="13964" spans="5:9" ht="16.5" hidden="1">
      <c r="E13964" s="4" t="str">
        <v/>
      </c>
      <c r="F13964" s="102" t="str">
        <f ca="1">IFERROR(__xludf.DUMMYFUNCTION("IMPORTRANGE(H13964,""IDENTITAS UNIT!D9"")"),"#N/A")</f>
        <v>#N/A</v>
      </c>
      <c r="H13964" s="4" t="str">
        <v/>
      </c>
      <c r="I13964" s="4" t="str">
        <v/>
      </c>
    </row>
    <row r="13965" spans="5:9" ht="16.5" hidden="1">
      <c r="E13965" s="4" t="str">
        <v/>
      </c>
      <c r="F13965" s="102" t="str">
        <f ca="1">IFERROR(__xludf.DUMMYFUNCTION("IMPORTRANGE(H13965,""IDENTITAS UNIT!D9"")"),"#N/A")</f>
        <v>#N/A</v>
      </c>
      <c r="H13965" s="4" t="str">
        <v/>
      </c>
      <c r="I13965" s="4" t="str">
        <v/>
      </c>
    </row>
    <row r="13966" spans="5:9" ht="16.5" hidden="1">
      <c r="E13966" s="4" t="str">
        <v/>
      </c>
      <c r="F13966" s="102" t="str">
        <f ca="1">IFERROR(__xludf.DUMMYFUNCTION("IMPORTRANGE(H13966,""IDENTITAS UNIT!D9"")"),"#N/A")</f>
        <v>#N/A</v>
      </c>
      <c r="H13966" s="4" t="str">
        <v/>
      </c>
      <c r="I13966" s="4" t="str">
        <v/>
      </c>
    </row>
    <row r="13967" spans="5:9" ht="16.5" hidden="1">
      <c r="E13967" s="4" t="str">
        <v/>
      </c>
      <c r="F13967" s="102" t="str">
        <f ca="1">IFERROR(__xludf.DUMMYFUNCTION("IMPORTRANGE(H13967,""IDENTITAS UNIT!D9"")"),"#N/A")</f>
        <v>#N/A</v>
      </c>
      <c r="H13967" s="4" t="str">
        <v/>
      </c>
      <c r="I13967" s="4" t="str">
        <v/>
      </c>
    </row>
    <row r="13968" spans="5:9" ht="16.5" hidden="1">
      <c r="E13968" s="4" t="str">
        <v/>
      </c>
      <c r="F13968" s="102" t="str">
        <f ca="1">IFERROR(__xludf.DUMMYFUNCTION("IMPORTRANGE(H13968,""IDENTITAS UNIT!D9"")"),"#N/A")</f>
        <v>#N/A</v>
      </c>
      <c r="H13968" s="4" t="str">
        <v/>
      </c>
      <c r="I13968" s="4" t="str">
        <v/>
      </c>
    </row>
    <row r="13969" spans="5:9" ht="16.5" hidden="1">
      <c r="E13969" s="4" t="str">
        <v/>
      </c>
      <c r="F13969" s="102" t="str">
        <f ca="1">IFERROR(__xludf.DUMMYFUNCTION("IMPORTRANGE(H13969,""IDENTITAS UNIT!D9"")"),"#N/A")</f>
        <v>#N/A</v>
      </c>
      <c r="H13969" s="4" t="str">
        <v/>
      </c>
      <c r="I13969" s="4" t="str">
        <v/>
      </c>
    </row>
    <row r="13970" spans="5:9" ht="16.5" hidden="1">
      <c r="E13970" s="4" t="str">
        <v/>
      </c>
      <c r="F13970" s="102" t="str">
        <f ca="1">IFERROR(__xludf.DUMMYFUNCTION("IMPORTRANGE(H13970,""IDENTITAS UNIT!D9"")"),"#N/A")</f>
        <v>#N/A</v>
      </c>
      <c r="H13970" s="4" t="str">
        <v/>
      </c>
      <c r="I13970" s="4" t="str">
        <v/>
      </c>
    </row>
    <row r="13971" spans="5:9" ht="16.5" hidden="1">
      <c r="E13971" s="4" t="str">
        <v/>
      </c>
      <c r="F13971" s="102" t="str">
        <f ca="1">IFERROR(__xludf.DUMMYFUNCTION("IMPORTRANGE(H13971,""IDENTITAS UNIT!D9"")"),"#N/A")</f>
        <v>#N/A</v>
      </c>
      <c r="H13971" s="4" t="str">
        <v/>
      </c>
      <c r="I13971" s="4" t="str">
        <v/>
      </c>
    </row>
    <row r="13972" spans="5:9" ht="16.5" hidden="1">
      <c r="E13972" s="4" t="str">
        <v/>
      </c>
      <c r="F13972" s="102" t="str">
        <f ca="1">IFERROR(__xludf.DUMMYFUNCTION("IMPORTRANGE(H13972,""IDENTITAS UNIT!D9"")"),"#N/A")</f>
        <v>#N/A</v>
      </c>
      <c r="H13972" s="4" t="str">
        <v/>
      </c>
      <c r="I13972" s="4" t="str">
        <v/>
      </c>
    </row>
    <row r="13973" spans="5:9" ht="16.5" hidden="1">
      <c r="E13973" s="4" t="str">
        <v/>
      </c>
      <c r="F13973" s="102" t="str">
        <f ca="1">IFERROR(__xludf.DUMMYFUNCTION("IMPORTRANGE(H13973,""IDENTITAS UNIT!D9"")"),"#N/A")</f>
        <v>#N/A</v>
      </c>
      <c r="H13973" s="4" t="str">
        <v/>
      </c>
      <c r="I13973" s="4" t="str">
        <v/>
      </c>
    </row>
    <row r="13974" spans="5:9" ht="16.5" hidden="1">
      <c r="E13974" s="4" t="str">
        <v/>
      </c>
      <c r="F13974" s="102" t="str">
        <f ca="1">IFERROR(__xludf.DUMMYFUNCTION("IMPORTRANGE(H13974,""IDENTITAS UNIT!D9"")"),"#N/A")</f>
        <v>#N/A</v>
      </c>
      <c r="H13974" s="4" t="str">
        <v/>
      </c>
      <c r="I13974" s="4" t="str">
        <v/>
      </c>
    </row>
    <row r="13975" spans="5:9" ht="16.5" hidden="1">
      <c r="E13975" s="4" t="str">
        <v/>
      </c>
      <c r="F13975" s="102" t="str">
        <f ca="1">IFERROR(__xludf.DUMMYFUNCTION("IMPORTRANGE(H13975,""IDENTITAS UNIT!D9"")"),"#N/A")</f>
        <v>#N/A</v>
      </c>
      <c r="H13975" s="4" t="str">
        <v/>
      </c>
      <c r="I13975" s="4" t="str">
        <v/>
      </c>
    </row>
    <row r="13976" spans="5:9" ht="16.5" hidden="1">
      <c r="E13976" s="4" t="str">
        <v/>
      </c>
      <c r="F13976" s="102" t="str">
        <f ca="1">IFERROR(__xludf.DUMMYFUNCTION("IMPORTRANGE(H13976,""IDENTITAS UNIT!D9"")"),"#N/A")</f>
        <v>#N/A</v>
      </c>
      <c r="H13976" s="4" t="str">
        <v/>
      </c>
      <c r="I13976" s="4" t="str">
        <v/>
      </c>
    </row>
    <row r="13977" spans="5:9" ht="16.5" hidden="1">
      <c r="E13977" s="4" t="str">
        <v/>
      </c>
      <c r="F13977" s="102" t="str">
        <f ca="1">IFERROR(__xludf.DUMMYFUNCTION("IMPORTRANGE(H13977,""IDENTITAS UNIT!D9"")"),"#N/A")</f>
        <v>#N/A</v>
      </c>
      <c r="H13977" s="4" t="str">
        <v/>
      </c>
      <c r="I13977" s="4" t="str">
        <v/>
      </c>
    </row>
    <row r="13978" spans="5:9" ht="16.5" hidden="1">
      <c r="E13978" s="4" t="str">
        <v/>
      </c>
      <c r="F13978" s="102" t="str">
        <f ca="1">IFERROR(__xludf.DUMMYFUNCTION("IMPORTRANGE(H13978,""IDENTITAS UNIT!D9"")"),"#N/A")</f>
        <v>#N/A</v>
      </c>
      <c r="H13978" s="4" t="str">
        <v/>
      </c>
      <c r="I13978" s="4" t="str">
        <v/>
      </c>
    </row>
    <row r="13979" spans="5:9" ht="16.5" hidden="1">
      <c r="E13979" s="4" t="str">
        <v/>
      </c>
      <c r="F13979" s="102" t="str">
        <f ca="1">IFERROR(__xludf.DUMMYFUNCTION("IMPORTRANGE(H13979,""IDENTITAS UNIT!D9"")"),"#N/A")</f>
        <v>#N/A</v>
      </c>
      <c r="H13979" s="4" t="str">
        <v/>
      </c>
      <c r="I13979" s="4" t="str">
        <v/>
      </c>
    </row>
    <row r="13980" spans="5:9" ht="16.5" hidden="1">
      <c r="E13980" s="4" t="str">
        <v/>
      </c>
      <c r="F13980" s="102" t="str">
        <f ca="1">IFERROR(__xludf.DUMMYFUNCTION("IMPORTRANGE(H13980,""IDENTITAS UNIT!D9"")"),"#N/A")</f>
        <v>#N/A</v>
      </c>
      <c r="H13980" s="4" t="str">
        <v/>
      </c>
      <c r="I13980" s="4" t="str">
        <v/>
      </c>
    </row>
    <row r="13981" spans="5:9" ht="16.5" hidden="1">
      <c r="E13981" s="4" t="str">
        <v/>
      </c>
      <c r="F13981" s="102" t="str">
        <f ca="1">IFERROR(__xludf.DUMMYFUNCTION("IMPORTRANGE(H13981,""IDENTITAS UNIT!D9"")"),"#N/A")</f>
        <v>#N/A</v>
      </c>
      <c r="H13981" s="4" t="str">
        <v/>
      </c>
      <c r="I13981" s="4" t="str">
        <v/>
      </c>
    </row>
    <row r="13982" spans="5:9" ht="16.5" hidden="1">
      <c r="E13982" s="4" t="str">
        <v/>
      </c>
      <c r="F13982" s="102" t="str">
        <f ca="1">IFERROR(__xludf.DUMMYFUNCTION("IMPORTRANGE(H13982,""IDENTITAS UNIT!D9"")"),"#N/A")</f>
        <v>#N/A</v>
      </c>
      <c r="H13982" s="4" t="str">
        <v/>
      </c>
      <c r="I13982" s="4" t="str">
        <v/>
      </c>
    </row>
    <row r="13983" spans="5:9" ht="16.5" hidden="1">
      <c r="E13983" s="4" t="str">
        <v/>
      </c>
      <c r="F13983" s="102" t="str">
        <f ca="1">IFERROR(__xludf.DUMMYFUNCTION("IMPORTRANGE(H13983,""IDENTITAS UNIT!D9"")"),"#N/A")</f>
        <v>#N/A</v>
      </c>
      <c r="H13983" s="4" t="str">
        <v/>
      </c>
      <c r="I13983" s="4" t="str">
        <v/>
      </c>
    </row>
    <row r="13984" spans="5:9" ht="16.5" hidden="1">
      <c r="E13984" s="4" t="str">
        <v/>
      </c>
      <c r="F13984" s="102" t="str">
        <f ca="1">IFERROR(__xludf.DUMMYFUNCTION("IMPORTRANGE(H13984,""IDENTITAS UNIT!D9"")"),"#N/A")</f>
        <v>#N/A</v>
      </c>
      <c r="H13984" s="4" t="str">
        <v/>
      </c>
      <c r="I13984" s="4" t="str">
        <v/>
      </c>
    </row>
    <row r="13985" spans="5:9" ht="16.5" hidden="1">
      <c r="E13985" s="4" t="str">
        <v/>
      </c>
      <c r="F13985" s="102" t="str">
        <f ca="1">IFERROR(__xludf.DUMMYFUNCTION("IMPORTRANGE(H13985,""IDENTITAS UNIT!D9"")"),"#N/A")</f>
        <v>#N/A</v>
      </c>
      <c r="H13985" s="4" t="str">
        <v/>
      </c>
      <c r="I13985" s="4" t="str">
        <v/>
      </c>
    </row>
    <row r="13986" spans="5:9" ht="16.5" hidden="1">
      <c r="E13986" s="4" t="str">
        <v/>
      </c>
      <c r="F13986" s="102" t="str">
        <f ca="1">IFERROR(__xludf.DUMMYFUNCTION("IMPORTRANGE(H13986,""IDENTITAS UNIT!D9"")"),"#N/A")</f>
        <v>#N/A</v>
      </c>
      <c r="H13986" s="4" t="str">
        <v/>
      </c>
      <c r="I13986" s="4" t="str">
        <v/>
      </c>
    </row>
    <row r="13987" spans="5:9" ht="16.5" hidden="1">
      <c r="E13987" s="4" t="str">
        <v/>
      </c>
      <c r="F13987" s="102" t="str">
        <f ca="1">IFERROR(__xludf.DUMMYFUNCTION("IMPORTRANGE(H13987,""IDENTITAS UNIT!D9"")"),"#N/A")</f>
        <v>#N/A</v>
      </c>
      <c r="H13987" s="4" t="str">
        <v/>
      </c>
      <c r="I13987" s="4" t="str">
        <v/>
      </c>
    </row>
    <row r="13988" spans="5:9" ht="16.5" hidden="1">
      <c r="E13988" s="4" t="str">
        <v/>
      </c>
      <c r="F13988" s="102" t="str">
        <f ca="1">IFERROR(__xludf.DUMMYFUNCTION("IMPORTRANGE(H13988,""IDENTITAS UNIT!D9"")"),"#N/A")</f>
        <v>#N/A</v>
      </c>
      <c r="H13988" s="4" t="str">
        <v/>
      </c>
      <c r="I13988" s="4" t="str">
        <v/>
      </c>
    </row>
    <row r="13989" spans="5:9" ht="16.5" hidden="1">
      <c r="E13989" s="4" t="str">
        <v/>
      </c>
      <c r="F13989" s="102" t="str">
        <f ca="1">IFERROR(__xludf.DUMMYFUNCTION("IMPORTRANGE(H13989,""IDENTITAS UNIT!D9"")"),"#N/A")</f>
        <v>#N/A</v>
      </c>
      <c r="H13989" s="4" t="str">
        <v/>
      </c>
      <c r="I13989" s="4" t="str">
        <v/>
      </c>
    </row>
    <row r="13990" spans="5:9" ht="16.5" hidden="1">
      <c r="E13990" s="4" t="str">
        <v/>
      </c>
      <c r="F13990" s="102" t="str">
        <f ca="1">IFERROR(__xludf.DUMMYFUNCTION("IMPORTRANGE(H13990,""IDENTITAS UNIT!D9"")"),"#N/A")</f>
        <v>#N/A</v>
      </c>
      <c r="H13990" s="4" t="str">
        <v/>
      </c>
      <c r="I13990" s="4" t="str">
        <v/>
      </c>
    </row>
    <row r="13991" spans="5:9" ht="16.5" hidden="1">
      <c r="E13991" s="4" t="str">
        <v/>
      </c>
      <c r="F13991" s="102" t="str">
        <f ca="1">IFERROR(__xludf.DUMMYFUNCTION("IMPORTRANGE(H13991,""IDENTITAS UNIT!D9"")"),"#N/A")</f>
        <v>#N/A</v>
      </c>
      <c r="H13991" s="4" t="str">
        <v/>
      </c>
      <c r="I13991" s="4" t="str">
        <v/>
      </c>
    </row>
    <row r="13992" spans="5:9" ht="16.5" hidden="1">
      <c r="E13992" s="4" t="str">
        <v/>
      </c>
      <c r="F13992" s="102" t="str">
        <f ca="1">IFERROR(__xludf.DUMMYFUNCTION("IMPORTRANGE(H13992,""IDENTITAS UNIT!D9"")"),"#N/A")</f>
        <v>#N/A</v>
      </c>
      <c r="H13992" s="4" t="str">
        <v/>
      </c>
      <c r="I13992" s="4" t="str">
        <v/>
      </c>
    </row>
    <row r="13993" spans="5:9" ht="16.5" hidden="1">
      <c r="E13993" s="4" t="str">
        <v/>
      </c>
      <c r="F13993" s="102" t="str">
        <f ca="1">IFERROR(__xludf.DUMMYFUNCTION("IMPORTRANGE(H13993,""IDENTITAS UNIT!D9"")"),"#N/A")</f>
        <v>#N/A</v>
      </c>
      <c r="H13993" s="4" t="str">
        <v/>
      </c>
      <c r="I13993" s="4" t="str">
        <v/>
      </c>
    </row>
    <row r="13994" spans="5:9" ht="16.5" hidden="1">
      <c r="E13994" s="4" t="str">
        <v/>
      </c>
      <c r="F13994" s="102" t="str">
        <f ca="1">IFERROR(__xludf.DUMMYFUNCTION("IMPORTRANGE(H13994,""IDENTITAS UNIT!D9"")"),"#N/A")</f>
        <v>#N/A</v>
      </c>
      <c r="H13994" s="4" t="str">
        <v/>
      </c>
      <c r="I13994" s="4" t="str">
        <v/>
      </c>
    </row>
    <row r="13995" spans="5:9" ht="16.5" hidden="1">
      <c r="E13995" s="4" t="str">
        <v/>
      </c>
      <c r="F13995" s="102" t="str">
        <f ca="1">IFERROR(__xludf.DUMMYFUNCTION("IMPORTRANGE(H13995,""IDENTITAS UNIT!D9"")"),"#N/A")</f>
        <v>#N/A</v>
      </c>
      <c r="H13995" s="4" t="str">
        <v/>
      </c>
      <c r="I13995" s="4" t="str">
        <v/>
      </c>
    </row>
    <row r="13996" spans="5:9" ht="16.5" hidden="1">
      <c r="E13996" s="4" t="str">
        <v/>
      </c>
      <c r="F13996" s="102" t="str">
        <f ca="1">IFERROR(__xludf.DUMMYFUNCTION("IMPORTRANGE(H13996,""IDENTITAS UNIT!D9"")"),"#N/A")</f>
        <v>#N/A</v>
      </c>
      <c r="H13996" s="4" t="str">
        <v/>
      </c>
      <c r="I13996" s="4" t="str">
        <v/>
      </c>
    </row>
    <row r="13997" spans="5:9" ht="16.5" hidden="1">
      <c r="E13997" s="4" t="str">
        <v/>
      </c>
      <c r="F13997" s="102" t="str">
        <f ca="1">IFERROR(__xludf.DUMMYFUNCTION("IMPORTRANGE(H13997,""IDENTITAS UNIT!D9"")"),"#N/A")</f>
        <v>#N/A</v>
      </c>
      <c r="H13997" s="4" t="str">
        <v/>
      </c>
      <c r="I13997" s="4" t="str">
        <v/>
      </c>
    </row>
    <row r="13998" spans="5:9" ht="16.5" hidden="1">
      <c r="E13998" s="4" t="str">
        <v/>
      </c>
      <c r="F13998" s="102" t="str">
        <f ca="1">IFERROR(__xludf.DUMMYFUNCTION("IMPORTRANGE(H13998,""IDENTITAS UNIT!D9"")"),"#N/A")</f>
        <v>#N/A</v>
      </c>
      <c r="H13998" s="4" t="str">
        <v/>
      </c>
      <c r="I13998" s="4" t="str">
        <v/>
      </c>
    </row>
    <row r="13999" spans="5:9" ht="16.5" hidden="1">
      <c r="E13999" s="4" t="str">
        <v/>
      </c>
      <c r="F13999" s="102" t="str">
        <f ca="1">IFERROR(__xludf.DUMMYFUNCTION("IMPORTRANGE(H13999,""IDENTITAS UNIT!D9"")"),"#N/A")</f>
        <v>#N/A</v>
      </c>
      <c r="H13999" s="4" t="str">
        <v/>
      </c>
      <c r="I13999" s="4" t="str">
        <v/>
      </c>
    </row>
    <row r="14000" spans="5:9" ht="16.5" hidden="1">
      <c r="E14000" s="4" t="str">
        <v/>
      </c>
      <c r="F14000" s="102" t="str">
        <f ca="1">IFERROR(__xludf.DUMMYFUNCTION("IMPORTRANGE(H14000,""IDENTITAS UNIT!D9"")"),"#N/A")</f>
        <v>#N/A</v>
      </c>
      <c r="H14000" s="4" t="str">
        <v/>
      </c>
      <c r="I14000" s="4" t="str">
        <v/>
      </c>
    </row>
    <row r="14001" spans="5:9" ht="16.5" hidden="1">
      <c r="E14001" s="4" t="str">
        <v/>
      </c>
      <c r="F14001" s="102" t="str">
        <f ca="1">IFERROR(__xludf.DUMMYFUNCTION("IMPORTRANGE(H14001,""IDENTITAS UNIT!D9"")"),"#N/A")</f>
        <v>#N/A</v>
      </c>
      <c r="H14001" s="4" t="str">
        <v/>
      </c>
      <c r="I14001" s="4" t="str">
        <v/>
      </c>
    </row>
    <row r="14002" spans="5:9" ht="16.5" hidden="1">
      <c r="E14002" s="4" t="str">
        <v/>
      </c>
      <c r="F14002" s="102" t="str">
        <f ca="1">IFERROR(__xludf.DUMMYFUNCTION("IMPORTRANGE(H14002,""IDENTITAS UNIT!D9"")"),"#N/A")</f>
        <v>#N/A</v>
      </c>
      <c r="H14002" s="4" t="str">
        <v/>
      </c>
      <c r="I14002" s="4" t="str">
        <v/>
      </c>
    </row>
    <row r="14003" spans="5:9" ht="16.5" hidden="1">
      <c r="E14003" s="4" t="str">
        <v/>
      </c>
      <c r="F14003" s="102" t="str">
        <f ca="1">IFERROR(__xludf.DUMMYFUNCTION("IMPORTRANGE(H14003,""IDENTITAS UNIT!D9"")"),"#N/A")</f>
        <v>#N/A</v>
      </c>
      <c r="H14003" s="4" t="str">
        <v/>
      </c>
      <c r="I14003" s="4" t="str">
        <v/>
      </c>
    </row>
    <row r="14004" spans="5:9" ht="16.5" hidden="1">
      <c r="E14004" s="4" t="str">
        <v/>
      </c>
      <c r="F14004" s="102" t="str">
        <f ca="1">IFERROR(__xludf.DUMMYFUNCTION("IMPORTRANGE(H14004,""IDENTITAS UNIT!D9"")"),"#N/A")</f>
        <v>#N/A</v>
      </c>
      <c r="H14004" s="4" t="str">
        <v/>
      </c>
      <c r="I14004" s="4" t="str">
        <v/>
      </c>
    </row>
    <row r="14005" spans="5:9" ht="16.5" hidden="1">
      <c r="E14005" s="4" t="str">
        <v/>
      </c>
      <c r="F14005" s="102" t="str">
        <f ca="1">IFERROR(__xludf.DUMMYFUNCTION("IMPORTRANGE(H14005,""IDENTITAS UNIT!D9"")"),"#N/A")</f>
        <v>#N/A</v>
      </c>
      <c r="H14005" s="4" t="str">
        <v/>
      </c>
      <c r="I14005" s="4" t="str">
        <v/>
      </c>
    </row>
    <row r="14006" spans="5:9" ht="16.5" hidden="1">
      <c r="E14006" s="4" t="str">
        <v/>
      </c>
      <c r="F14006" s="102" t="str">
        <f ca="1">IFERROR(__xludf.DUMMYFUNCTION("IMPORTRANGE(H14006,""IDENTITAS UNIT!D9"")"),"#N/A")</f>
        <v>#N/A</v>
      </c>
      <c r="H14006" s="4" t="str">
        <v/>
      </c>
      <c r="I14006" s="4" t="str">
        <v/>
      </c>
    </row>
    <row r="14007" spans="5:9" ht="16.5" hidden="1">
      <c r="E14007" s="4" t="str">
        <v/>
      </c>
      <c r="F14007" s="102" t="str">
        <f ca="1">IFERROR(__xludf.DUMMYFUNCTION("IMPORTRANGE(H14007,""IDENTITAS UNIT!D9"")"),"#N/A")</f>
        <v>#N/A</v>
      </c>
      <c r="H14007" s="4" t="str">
        <v/>
      </c>
      <c r="I14007" s="4" t="str">
        <v/>
      </c>
    </row>
    <row r="14008" spans="5:9" ht="16.5" hidden="1">
      <c r="E14008" s="4" t="str">
        <v/>
      </c>
      <c r="F14008" s="102" t="str">
        <f ca="1">IFERROR(__xludf.DUMMYFUNCTION("IMPORTRANGE(H14008,""IDENTITAS UNIT!D9"")"),"#N/A")</f>
        <v>#N/A</v>
      </c>
      <c r="H14008" s="4" t="str">
        <v/>
      </c>
      <c r="I14008" s="4" t="str">
        <v/>
      </c>
    </row>
    <row r="14009" spans="5:9" ht="16.5" hidden="1">
      <c r="E14009" s="4" t="str">
        <v/>
      </c>
      <c r="F14009" s="102" t="str">
        <f ca="1">IFERROR(__xludf.DUMMYFUNCTION("IMPORTRANGE(H14009,""IDENTITAS UNIT!D9"")"),"#N/A")</f>
        <v>#N/A</v>
      </c>
      <c r="H14009" s="4" t="str">
        <v/>
      </c>
      <c r="I14009" s="4" t="str">
        <v/>
      </c>
    </row>
    <row r="14010" spans="5:9" ht="16.5" hidden="1">
      <c r="E14010" s="4" t="str">
        <v/>
      </c>
      <c r="F14010" s="102" t="str">
        <f ca="1">IFERROR(__xludf.DUMMYFUNCTION("IMPORTRANGE(H14010,""IDENTITAS UNIT!D9"")"),"#N/A")</f>
        <v>#N/A</v>
      </c>
      <c r="H14010" s="4" t="str">
        <v/>
      </c>
      <c r="I14010" s="4" t="str">
        <v/>
      </c>
    </row>
    <row r="14011" spans="5:9" ht="16.5" hidden="1">
      <c r="E14011" s="4" t="str">
        <v/>
      </c>
      <c r="F14011" s="102" t="str">
        <f ca="1">IFERROR(__xludf.DUMMYFUNCTION("IMPORTRANGE(H14011,""IDENTITAS UNIT!D9"")"),"#N/A")</f>
        <v>#N/A</v>
      </c>
      <c r="H14011" s="4" t="str">
        <v/>
      </c>
      <c r="I14011" s="4" t="str">
        <v/>
      </c>
    </row>
    <row r="14012" spans="5:9" ht="16.5" hidden="1">
      <c r="E14012" s="4" t="str">
        <v/>
      </c>
      <c r="F14012" s="102" t="str">
        <f ca="1">IFERROR(__xludf.DUMMYFUNCTION("IMPORTRANGE(H14012,""IDENTITAS UNIT!D9"")"),"#N/A")</f>
        <v>#N/A</v>
      </c>
      <c r="H14012" s="4" t="str">
        <v/>
      </c>
      <c r="I14012" s="4" t="str">
        <v/>
      </c>
    </row>
    <row r="14013" spans="5:9" ht="16.5" hidden="1">
      <c r="E14013" s="4" t="str">
        <v/>
      </c>
      <c r="F14013" s="102" t="str">
        <f ca="1">IFERROR(__xludf.DUMMYFUNCTION("IMPORTRANGE(H14013,""IDENTITAS UNIT!D9"")"),"#N/A")</f>
        <v>#N/A</v>
      </c>
      <c r="H14013" s="4" t="str">
        <v/>
      </c>
      <c r="I14013" s="4" t="str">
        <v/>
      </c>
    </row>
    <row r="14014" spans="5:9" ht="16.5" hidden="1">
      <c r="E14014" s="4" t="str">
        <v/>
      </c>
      <c r="F14014" s="102" t="str">
        <f ca="1">IFERROR(__xludf.DUMMYFUNCTION("IMPORTRANGE(H14014,""IDENTITAS UNIT!D9"")"),"#N/A")</f>
        <v>#N/A</v>
      </c>
      <c r="H14014" s="4" t="str">
        <v/>
      </c>
      <c r="I14014" s="4" t="str">
        <v/>
      </c>
    </row>
    <row r="14015" spans="5:9" ht="16.5" hidden="1">
      <c r="E14015" s="4" t="str">
        <v/>
      </c>
      <c r="F14015" s="102" t="str">
        <f ca="1">IFERROR(__xludf.DUMMYFUNCTION("IMPORTRANGE(H14015,""IDENTITAS UNIT!D9"")"),"#N/A")</f>
        <v>#N/A</v>
      </c>
      <c r="H14015" s="4" t="str">
        <v/>
      </c>
      <c r="I14015" s="4" t="str">
        <v/>
      </c>
    </row>
    <row r="14016" spans="5:9" ht="16.5" hidden="1">
      <c r="E14016" s="4" t="str">
        <v/>
      </c>
      <c r="F14016" s="102" t="str">
        <f ca="1">IFERROR(__xludf.DUMMYFUNCTION("IMPORTRANGE(H14016,""IDENTITAS UNIT!D9"")"),"#N/A")</f>
        <v>#N/A</v>
      </c>
      <c r="H14016" s="4" t="str">
        <v/>
      </c>
      <c r="I14016" s="4" t="str">
        <v/>
      </c>
    </row>
    <row r="14017" spans="5:9" ht="16.5" hidden="1">
      <c r="E14017" s="4" t="str">
        <v/>
      </c>
      <c r="F14017" s="102" t="str">
        <f ca="1">IFERROR(__xludf.DUMMYFUNCTION("IMPORTRANGE(H14017,""IDENTITAS UNIT!D9"")"),"#N/A")</f>
        <v>#N/A</v>
      </c>
      <c r="H14017" s="4" t="str">
        <v/>
      </c>
      <c r="I14017" s="4" t="str">
        <v/>
      </c>
    </row>
    <row r="14018" spans="5:9" ht="16.5" hidden="1">
      <c r="E14018" s="4" t="str">
        <v/>
      </c>
      <c r="F14018" s="102" t="str">
        <f ca="1">IFERROR(__xludf.DUMMYFUNCTION("IMPORTRANGE(H14018,""IDENTITAS UNIT!D9"")"),"#N/A")</f>
        <v>#N/A</v>
      </c>
      <c r="H14018" s="4" t="str">
        <v/>
      </c>
      <c r="I14018" s="4" t="str">
        <v/>
      </c>
    </row>
    <row r="14019" spans="5:9" ht="16.5" hidden="1">
      <c r="E14019" s="4" t="str">
        <v/>
      </c>
      <c r="F14019" s="102" t="str">
        <f ca="1">IFERROR(__xludf.DUMMYFUNCTION("IMPORTRANGE(H14019,""IDENTITAS UNIT!D9"")"),"#N/A")</f>
        <v>#N/A</v>
      </c>
      <c r="H14019" s="4" t="str">
        <v/>
      </c>
      <c r="I14019" s="4" t="str">
        <v/>
      </c>
    </row>
    <row r="14020" spans="5:9" ht="16.5" hidden="1">
      <c r="E14020" s="4" t="str">
        <v/>
      </c>
      <c r="F14020" s="102" t="str">
        <f ca="1">IFERROR(__xludf.DUMMYFUNCTION("IMPORTRANGE(H14020,""IDENTITAS UNIT!D9"")"),"#N/A")</f>
        <v>#N/A</v>
      </c>
      <c r="H14020" s="4" t="str">
        <v/>
      </c>
      <c r="I14020" s="4" t="str">
        <v/>
      </c>
    </row>
    <row r="14021" spans="5:9" ht="16.5" hidden="1">
      <c r="E14021" s="4" t="str">
        <v/>
      </c>
      <c r="F14021" s="102" t="str">
        <f ca="1">IFERROR(__xludf.DUMMYFUNCTION("IMPORTRANGE(H14021,""IDENTITAS UNIT!D9"")"),"#N/A")</f>
        <v>#N/A</v>
      </c>
      <c r="H14021" s="4" t="str">
        <v/>
      </c>
      <c r="I14021" s="4" t="str">
        <v/>
      </c>
    </row>
    <row r="14022" spans="5:9" ht="16.5" hidden="1">
      <c r="E14022" s="4" t="str">
        <v/>
      </c>
      <c r="F14022" s="102" t="str">
        <f ca="1">IFERROR(__xludf.DUMMYFUNCTION("IMPORTRANGE(H14022,""IDENTITAS UNIT!D9"")"),"#N/A")</f>
        <v>#N/A</v>
      </c>
      <c r="H14022" s="4" t="str">
        <v/>
      </c>
      <c r="I14022" s="4" t="str">
        <v/>
      </c>
    </row>
    <row r="14023" spans="5:9" ht="16.5" hidden="1">
      <c r="E14023" s="4" t="str">
        <v/>
      </c>
      <c r="F14023" s="102" t="str">
        <f ca="1">IFERROR(__xludf.DUMMYFUNCTION("IMPORTRANGE(H14023,""IDENTITAS UNIT!D9"")"),"#N/A")</f>
        <v>#N/A</v>
      </c>
      <c r="H14023" s="4" t="str">
        <v/>
      </c>
      <c r="I14023" s="4" t="str">
        <v/>
      </c>
    </row>
    <row r="14024" spans="5:9" ht="16.5" hidden="1">
      <c r="E14024" s="4" t="str">
        <v/>
      </c>
      <c r="F14024" s="102" t="str">
        <f ca="1">IFERROR(__xludf.DUMMYFUNCTION("IMPORTRANGE(H14024,""IDENTITAS UNIT!D9"")"),"#N/A")</f>
        <v>#N/A</v>
      </c>
      <c r="H14024" s="4" t="str">
        <v/>
      </c>
      <c r="I14024" s="4" t="str">
        <v/>
      </c>
    </row>
    <row r="14025" spans="5:9" ht="16.5" hidden="1">
      <c r="E14025" s="4" t="str">
        <v/>
      </c>
      <c r="F14025" s="102" t="str">
        <f ca="1">IFERROR(__xludf.DUMMYFUNCTION("IMPORTRANGE(H14025,""IDENTITAS UNIT!D9"")"),"#N/A")</f>
        <v>#N/A</v>
      </c>
      <c r="H14025" s="4" t="str">
        <v/>
      </c>
      <c r="I14025" s="4" t="str">
        <v/>
      </c>
    </row>
    <row r="14026" spans="5:9" ht="16.5" hidden="1">
      <c r="E14026" s="4" t="str">
        <v/>
      </c>
      <c r="F14026" s="102" t="str">
        <f ca="1">IFERROR(__xludf.DUMMYFUNCTION("IMPORTRANGE(H14026,""IDENTITAS UNIT!D9"")"),"#N/A")</f>
        <v>#N/A</v>
      </c>
      <c r="H14026" s="4" t="str">
        <v/>
      </c>
      <c r="I14026" s="4" t="str">
        <v/>
      </c>
    </row>
    <row r="14027" spans="5:9" ht="16.5" hidden="1">
      <c r="E14027" s="4" t="str">
        <v/>
      </c>
      <c r="F14027" s="102" t="str">
        <f ca="1">IFERROR(__xludf.DUMMYFUNCTION("IMPORTRANGE(H14027,""IDENTITAS UNIT!D9"")"),"#N/A")</f>
        <v>#N/A</v>
      </c>
      <c r="H14027" s="4" t="str">
        <v/>
      </c>
      <c r="I14027" s="4" t="str">
        <v/>
      </c>
    </row>
    <row r="14028" spans="5:9" ht="16.5" hidden="1">
      <c r="E14028" s="4" t="str">
        <v/>
      </c>
      <c r="F14028" s="102" t="str">
        <f ca="1">IFERROR(__xludf.DUMMYFUNCTION("IMPORTRANGE(H14028,""IDENTITAS UNIT!D9"")"),"#N/A")</f>
        <v>#N/A</v>
      </c>
      <c r="H14028" s="4" t="str">
        <v/>
      </c>
      <c r="I14028" s="4" t="str">
        <v/>
      </c>
    </row>
    <row r="14029" spans="5:9" ht="16.5" hidden="1">
      <c r="E14029" s="4" t="str">
        <v/>
      </c>
      <c r="F14029" s="102" t="str">
        <f ca="1">IFERROR(__xludf.DUMMYFUNCTION("IMPORTRANGE(H14029,""IDENTITAS UNIT!D9"")"),"#N/A")</f>
        <v>#N/A</v>
      </c>
      <c r="H14029" s="4" t="str">
        <v/>
      </c>
      <c r="I14029" s="4" t="str">
        <v/>
      </c>
    </row>
    <row r="14030" spans="5:9" ht="16.5" hidden="1">
      <c r="E14030" s="4" t="str">
        <v/>
      </c>
      <c r="F14030" s="102" t="str">
        <f ca="1">IFERROR(__xludf.DUMMYFUNCTION("IMPORTRANGE(H14030,""IDENTITAS UNIT!D9"")"),"#N/A")</f>
        <v>#N/A</v>
      </c>
      <c r="H14030" s="4" t="str">
        <v/>
      </c>
      <c r="I14030" s="4" t="str">
        <v/>
      </c>
    </row>
    <row r="14031" spans="5:9" ht="16.5" hidden="1">
      <c r="E14031" s="4" t="str">
        <v/>
      </c>
      <c r="F14031" s="102" t="str">
        <f ca="1">IFERROR(__xludf.DUMMYFUNCTION("IMPORTRANGE(H14031,""IDENTITAS UNIT!D9"")"),"#N/A")</f>
        <v>#N/A</v>
      </c>
      <c r="H14031" s="4" t="str">
        <v/>
      </c>
      <c r="I14031" s="4" t="str">
        <v/>
      </c>
    </row>
    <row r="14032" spans="5:9" ht="16.5" hidden="1">
      <c r="E14032" s="4" t="str">
        <v/>
      </c>
      <c r="F14032" s="102" t="str">
        <f ca="1">IFERROR(__xludf.DUMMYFUNCTION("IMPORTRANGE(H14032,""IDENTITAS UNIT!D9"")"),"#N/A")</f>
        <v>#N/A</v>
      </c>
      <c r="H14032" s="4" t="str">
        <v/>
      </c>
      <c r="I14032" s="4" t="str">
        <v/>
      </c>
    </row>
    <row r="14033" spans="5:9" ht="16.5" hidden="1">
      <c r="E14033" s="4" t="str">
        <v/>
      </c>
      <c r="F14033" s="102" t="str">
        <f ca="1">IFERROR(__xludf.DUMMYFUNCTION("IMPORTRANGE(H14033,""IDENTITAS UNIT!D9"")"),"#N/A")</f>
        <v>#N/A</v>
      </c>
      <c r="H14033" s="4" t="str">
        <v/>
      </c>
      <c r="I14033" s="4" t="str">
        <v/>
      </c>
    </row>
    <row r="14034" spans="5:9" ht="16.5" hidden="1">
      <c r="E14034" s="4" t="str">
        <v/>
      </c>
      <c r="F14034" s="102" t="str">
        <f ca="1">IFERROR(__xludf.DUMMYFUNCTION("IMPORTRANGE(H14034,""IDENTITAS UNIT!D9"")"),"#N/A")</f>
        <v>#N/A</v>
      </c>
      <c r="H14034" s="4" t="str">
        <v/>
      </c>
      <c r="I14034" s="4" t="str">
        <v/>
      </c>
    </row>
    <row r="14035" spans="5:9" ht="16.5" hidden="1">
      <c r="E14035" s="4" t="str">
        <v/>
      </c>
      <c r="F14035" s="102" t="str">
        <f ca="1">IFERROR(__xludf.DUMMYFUNCTION("IMPORTRANGE(H14035,""IDENTITAS UNIT!D9"")"),"#N/A")</f>
        <v>#N/A</v>
      </c>
      <c r="H14035" s="4" t="str">
        <v/>
      </c>
      <c r="I14035" s="4" t="str">
        <v/>
      </c>
    </row>
    <row r="14036" spans="5:9" ht="16.5" hidden="1">
      <c r="E14036" s="4" t="str">
        <v/>
      </c>
      <c r="F14036" s="102" t="str">
        <f ca="1">IFERROR(__xludf.DUMMYFUNCTION("IMPORTRANGE(H14036,""IDENTITAS UNIT!D9"")"),"#N/A")</f>
        <v>#N/A</v>
      </c>
      <c r="H14036" s="4" t="str">
        <v/>
      </c>
      <c r="I14036" s="4" t="str">
        <v/>
      </c>
    </row>
    <row r="14037" spans="5:9" ht="16.5" hidden="1">
      <c r="E14037" s="4" t="str">
        <v/>
      </c>
      <c r="F14037" s="102" t="str">
        <f ca="1">IFERROR(__xludf.DUMMYFUNCTION("IMPORTRANGE(H14037,""IDENTITAS UNIT!D9"")"),"#N/A")</f>
        <v>#N/A</v>
      </c>
      <c r="H14037" s="4" t="str">
        <v/>
      </c>
      <c r="I14037" s="4" t="str">
        <v/>
      </c>
    </row>
    <row r="14038" spans="5:9" ht="16.5" hidden="1">
      <c r="E14038" s="4" t="str">
        <v/>
      </c>
      <c r="F14038" s="102" t="str">
        <f ca="1">IFERROR(__xludf.DUMMYFUNCTION("IMPORTRANGE(H14038,""IDENTITAS UNIT!D9"")"),"#N/A")</f>
        <v>#N/A</v>
      </c>
      <c r="H14038" s="4" t="str">
        <v/>
      </c>
      <c r="I14038" s="4" t="str">
        <v/>
      </c>
    </row>
    <row r="14039" spans="5:9" ht="16.5" hidden="1">
      <c r="E14039" s="4" t="str">
        <v/>
      </c>
      <c r="F14039" s="102" t="str">
        <f ca="1">IFERROR(__xludf.DUMMYFUNCTION("IMPORTRANGE(H14039,""IDENTITAS UNIT!D9"")"),"#N/A")</f>
        <v>#N/A</v>
      </c>
      <c r="H14039" s="4" t="str">
        <v/>
      </c>
      <c r="I14039" s="4" t="str">
        <v/>
      </c>
    </row>
    <row r="14040" spans="5:9" ht="16.5" hidden="1">
      <c r="E14040" s="4" t="str">
        <v/>
      </c>
      <c r="F14040" s="102" t="str">
        <f ca="1">IFERROR(__xludf.DUMMYFUNCTION("IMPORTRANGE(H14040,""IDENTITAS UNIT!D9"")"),"#N/A")</f>
        <v>#N/A</v>
      </c>
      <c r="H14040" s="4" t="str">
        <v/>
      </c>
      <c r="I14040" s="4" t="str">
        <v/>
      </c>
    </row>
    <row r="14041" spans="5:9" ht="16.5" hidden="1">
      <c r="E14041" s="4" t="str">
        <v/>
      </c>
      <c r="F14041" s="102" t="str">
        <f ca="1">IFERROR(__xludf.DUMMYFUNCTION("IMPORTRANGE(H14041,""IDENTITAS UNIT!D9"")"),"#N/A")</f>
        <v>#N/A</v>
      </c>
      <c r="H14041" s="4" t="str">
        <v/>
      </c>
      <c r="I14041" s="4" t="str">
        <v/>
      </c>
    </row>
    <row r="14042" spans="5:9" ht="16.5" hidden="1">
      <c r="E14042" s="4" t="str">
        <v/>
      </c>
      <c r="F14042" s="102" t="str">
        <f ca="1">IFERROR(__xludf.DUMMYFUNCTION("IMPORTRANGE(H14042,""IDENTITAS UNIT!D9"")"),"#N/A")</f>
        <v>#N/A</v>
      </c>
      <c r="H14042" s="4" t="str">
        <v/>
      </c>
      <c r="I14042" s="4" t="str">
        <v/>
      </c>
    </row>
    <row r="14043" spans="5:9" ht="16.5" hidden="1">
      <c r="E14043" s="4" t="str">
        <v/>
      </c>
      <c r="F14043" s="102" t="str">
        <f ca="1">IFERROR(__xludf.DUMMYFUNCTION("IMPORTRANGE(H14043,""IDENTITAS UNIT!D9"")"),"#N/A")</f>
        <v>#N/A</v>
      </c>
      <c r="H14043" s="4" t="str">
        <v/>
      </c>
      <c r="I14043" s="4" t="str">
        <v/>
      </c>
    </row>
    <row r="14044" spans="5:9" ht="16.5" hidden="1">
      <c r="E14044" s="4" t="str">
        <v/>
      </c>
      <c r="F14044" s="102" t="str">
        <f ca="1">IFERROR(__xludf.DUMMYFUNCTION("IMPORTRANGE(H14044,""IDENTITAS UNIT!D9"")"),"#N/A")</f>
        <v>#N/A</v>
      </c>
      <c r="H14044" s="4" t="str">
        <v/>
      </c>
      <c r="I14044" s="4" t="str">
        <v/>
      </c>
    </row>
    <row r="14045" spans="5:9" ht="16.5" hidden="1">
      <c r="E14045" s="4" t="str">
        <v/>
      </c>
      <c r="F14045" s="102" t="str">
        <f ca="1">IFERROR(__xludf.DUMMYFUNCTION("IMPORTRANGE(H14045,""IDENTITAS UNIT!D9"")"),"#N/A")</f>
        <v>#N/A</v>
      </c>
      <c r="H14045" s="4" t="str">
        <v/>
      </c>
      <c r="I14045" s="4" t="str">
        <v/>
      </c>
    </row>
    <row r="14046" spans="5:9" ht="16.5" hidden="1">
      <c r="E14046" s="4" t="str">
        <v/>
      </c>
      <c r="F14046" s="102" t="str">
        <f ca="1">IFERROR(__xludf.DUMMYFUNCTION("IMPORTRANGE(H14046,""IDENTITAS UNIT!D9"")"),"#N/A")</f>
        <v>#N/A</v>
      </c>
      <c r="H14046" s="4" t="str">
        <v/>
      </c>
      <c r="I14046" s="4" t="str">
        <v/>
      </c>
    </row>
    <row r="14047" spans="5:9" ht="16.5" hidden="1">
      <c r="E14047" s="4" t="str">
        <v/>
      </c>
      <c r="F14047" s="102" t="str">
        <f ca="1">IFERROR(__xludf.DUMMYFUNCTION("IMPORTRANGE(H14047,""IDENTITAS UNIT!D9"")"),"#N/A")</f>
        <v>#N/A</v>
      </c>
      <c r="H14047" s="4" t="str">
        <v/>
      </c>
      <c r="I14047" s="4" t="str">
        <v/>
      </c>
    </row>
    <row r="14048" spans="5:9" ht="16.5" hidden="1">
      <c r="E14048" s="4" t="str">
        <v/>
      </c>
      <c r="F14048" s="102" t="str">
        <f ca="1">IFERROR(__xludf.DUMMYFUNCTION("IMPORTRANGE(H14048,""IDENTITAS UNIT!D9"")"),"#N/A")</f>
        <v>#N/A</v>
      </c>
      <c r="H14048" s="4" t="str">
        <v/>
      </c>
      <c r="I14048" s="4" t="str">
        <v/>
      </c>
    </row>
    <row r="14049" spans="5:9" ht="16.5" hidden="1">
      <c r="E14049" s="4" t="str">
        <v/>
      </c>
      <c r="F14049" s="102" t="str">
        <f ca="1">IFERROR(__xludf.DUMMYFUNCTION("IMPORTRANGE(H14049,""IDENTITAS UNIT!D9"")"),"#N/A")</f>
        <v>#N/A</v>
      </c>
      <c r="H14049" s="4" t="str">
        <v/>
      </c>
      <c r="I14049" s="4" t="str">
        <v/>
      </c>
    </row>
    <row r="14050" spans="5:9" ht="16.5" hidden="1">
      <c r="E14050" s="4" t="str">
        <v/>
      </c>
      <c r="F14050" s="102" t="str">
        <f ca="1">IFERROR(__xludf.DUMMYFUNCTION("IMPORTRANGE(H14050,""IDENTITAS UNIT!D9"")"),"#N/A")</f>
        <v>#N/A</v>
      </c>
      <c r="H14050" s="4" t="str">
        <v/>
      </c>
      <c r="I14050" s="4" t="str">
        <v/>
      </c>
    </row>
    <row r="14051" spans="5:9" ht="16.5" hidden="1">
      <c r="E14051" s="4" t="str">
        <v/>
      </c>
      <c r="F14051" s="102" t="str">
        <f ca="1">IFERROR(__xludf.DUMMYFUNCTION("IMPORTRANGE(H14051,""IDENTITAS UNIT!D9"")"),"#N/A")</f>
        <v>#N/A</v>
      </c>
      <c r="H14051" s="4" t="str">
        <v/>
      </c>
      <c r="I14051" s="4" t="str">
        <v/>
      </c>
    </row>
    <row r="14052" spans="5:9" ht="16.5" hidden="1">
      <c r="E14052" s="4" t="str">
        <v/>
      </c>
      <c r="F14052" s="102" t="str">
        <f ca="1">IFERROR(__xludf.DUMMYFUNCTION("IMPORTRANGE(H14052,""IDENTITAS UNIT!D9"")"),"#N/A")</f>
        <v>#N/A</v>
      </c>
      <c r="H14052" s="4" t="str">
        <v/>
      </c>
      <c r="I14052" s="4" t="str">
        <v/>
      </c>
    </row>
    <row r="14053" spans="5:9" ht="16.5" hidden="1">
      <c r="E14053" s="4" t="str">
        <v/>
      </c>
      <c r="F14053" s="102" t="str">
        <f ca="1">IFERROR(__xludf.DUMMYFUNCTION("IMPORTRANGE(H14053,""IDENTITAS UNIT!D9"")"),"#N/A")</f>
        <v>#N/A</v>
      </c>
      <c r="H14053" s="4" t="str">
        <v/>
      </c>
      <c r="I14053" s="4" t="str">
        <v/>
      </c>
    </row>
    <row r="14054" spans="5:9" ht="16.5" hidden="1">
      <c r="E14054" s="4" t="str">
        <v/>
      </c>
      <c r="F14054" s="102" t="str">
        <f ca="1">IFERROR(__xludf.DUMMYFUNCTION("IMPORTRANGE(H14054,""IDENTITAS UNIT!D9"")"),"#N/A")</f>
        <v>#N/A</v>
      </c>
      <c r="H14054" s="4" t="str">
        <v/>
      </c>
      <c r="I14054" s="4" t="str">
        <v/>
      </c>
    </row>
    <row r="14055" spans="5:9" ht="16.5" hidden="1">
      <c r="E14055" s="4" t="str">
        <v/>
      </c>
      <c r="F14055" s="102" t="str">
        <f ca="1">IFERROR(__xludf.DUMMYFUNCTION("IMPORTRANGE(H14055,""IDENTITAS UNIT!D9"")"),"#N/A")</f>
        <v>#N/A</v>
      </c>
      <c r="H14055" s="4" t="str">
        <v/>
      </c>
      <c r="I14055" s="4" t="str">
        <v/>
      </c>
    </row>
    <row r="14056" spans="5:9" ht="16.5" hidden="1">
      <c r="E14056" s="4" t="str">
        <v/>
      </c>
      <c r="F14056" s="102" t="str">
        <f ca="1">IFERROR(__xludf.DUMMYFUNCTION("IMPORTRANGE(H14056,""IDENTITAS UNIT!D9"")"),"#N/A")</f>
        <v>#N/A</v>
      </c>
      <c r="H14056" s="4" t="str">
        <v/>
      </c>
      <c r="I14056" s="4" t="str">
        <v/>
      </c>
    </row>
    <row r="14057" spans="5:9" ht="16.5" hidden="1">
      <c r="E14057" s="4" t="str">
        <v/>
      </c>
      <c r="F14057" s="102" t="str">
        <f ca="1">IFERROR(__xludf.DUMMYFUNCTION("IMPORTRANGE(H14057,""IDENTITAS UNIT!D9"")"),"#N/A")</f>
        <v>#N/A</v>
      </c>
      <c r="H14057" s="4" t="str">
        <v/>
      </c>
      <c r="I14057" s="4" t="str">
        <v/>
      </c>
    </row>
    <row r="14058" spans="5:9" ht="16.5" hidden="1">
      <c r="E14058" s="4" t="str">
        <v/>
      </c>
      <c r="F14058" s="102" t="str">
        <f ca="1">IFERROR(__xludf.DUMMYFUNCTION("IMPORTRANGE(H14058,""IDENTITAS UNIT!D9"")"),"#N/A")</f>
        <v>#N/A</v>
      </c>
      <c r="H14058" s="4" t="str">
        <v/>
      </c>
      <c r="I14058" s="4" t="str">
        <v/>
      </c>
    </row>
    <row r="14059" spans="5:9" ht="16.5" hidden="1">
      <c r="E14059" s="4" t="str">
        <v/>
      </c>
      <c r="F14059" s="102" t="str">
        <f ca="1">IFERROR(__xludf.DUMMYFUNCTION("IMPORTRANGE(H14059,""IDENTITAS UNIT!D9"")"),"#N/A")</f>
        <v>#N/A</v>
      </c>
      <c r="H14059" s="4" t="str">
        <v/>
      </c>
      <c r="I14059" s="4" t="str">
        <v/>
      </c>
    </row>
    <row r="14060" spans="5:9" ht="16.5" hidden="1">
      <c r="E14060" s="4" t="str">
        <v/>
      </c>
      <c r="F14060" s="102" t="str">
        <f ca="1">IFERROR(__xludf.DUMMYFUNCTION("IMPORTRANGE(H14060,""IDENTITAS UNIT!D9"")"),"#N/A")</f>
        <v>#N/A</v>
      </c>
      <c r="H14060" s="4" t="str">
        <v/>
      </c>
      <c r="I14060" s="4" t="str">
        <v/>
      </c>
    </row>
    <row r="14061" spans="5:9" ht="16.5" hidden="1">
      <c r="E14061" s="4" t="str">
        <v/>
      </c>
      <c r="F14061" s="102" t="str">
        <f ca="1">IFERROR(__xludf.DUMMYFUNCTION("IMPORTRANGE(H14061,""IDENTITAS UNIT!D9"")"),"#N/A")</f>
        <v>#N/A</v>
      </c>
      <c r="H14061" s="4" t="str">
        <v/>
      </c>
      <c r="I14061" s="4" t="str">
        <v/>
      </c>
    </row>
    <row r="14062" spans="5:9" ht="16.5" hidden="1">
      <c r="E14062" s="4" t="str">
        <v/>
      </c>
      <c r="F14062" s="102" t="str">
        <f ca="1">IFERROR(__xludf.DUMMYFUNCTION("IMPORTRANGE(H14062,""IDENTITAS UNIT!D9"")"),"#N/A")</f>
        <v>#N/A</v>
      </c>
      <c r="H14062" s="4" t="str">
        <v/>
      </c>
      <c r="I14062" s="4" t="str">
        <v/>
      </c>
    </row>
    <row r="14063" spans="5:9" ht="16.5" hidden="1">
      <c r="E14063" s="4" t="str">
        <v/>
      </c>
      <c r="F14063" s="102" t="str">
        <f ca="1">IFERROR(__xludf.DUMMYFUNCTION("IMPORTRANGE(H14063,""IDENTITAS UNIT!D9"")"),"#N/A")</f>
        <v>#N/A</v>
      </c>
      <c r="H14063" s="4" t="str">
        <v/>
      </c>
      <c r="I14063" s="4" t="str">
        <v/>
      </c>
    </row>
    <row r="14064" spans="5:9" ht="16.5" hidden="1">
      <c r="E14064" s="4" t="str">
        <v/>
      </c>
      <c r="F14064" s="102" t="str">
        <f ca="1">IFERROR(__xludf.DUMMYFUNCTION("IMPORTRANGE(H14064,""IDENTITAS UNIT!D9"")"),"#N/A")</f>
        <v>#N/A</v>
      </c>
      <c r="H14064" s="4" t="str">
        <v/>
      </c>
      <c r="I14064" s="4" t="str">
        <v/>
      </c>
    </row>
    <row r="14065" spans="5:9" ht="16.5" hidden="1">
      <c r="E14065" s="4" t="str">
        <v/>
      </c>
      <c r="F14065" s="102" t="str">
        <f ca="1">IFERROR(__xludf.DUMMYFUNCTION("IMPORTRANGE(H14065,""IDENTITAS UNIT!D9"")"),"#N/A")</f>
        <v>#N/A</v>
      </c>
      <c r="H14065" s="4" t="str">
        <v/>
      </c>
      <c r="I14065" s="4" t="str">
        <v/>
      </c>
    </row>
    <row r="14066" spans="5:9" ht="16.5" hidden="1">
      <c r="E14066" s="4" t="str">
        <v/>
      </c>
      <c r="F14066" s="102" t="str">
        <f ca="1">IFERROR(__xludf.DUMMYFUNCTION("IMPORTRANGE(H14066,""IDENTITAS UNIT!D9"")"),"#N/A")</f>
        <v>#N/A</v>
      </c>
      <c r="H14066" s="4" t="str">
        <v/>
      </c>
      <c r="I14066" s="4" t="str">
        <v/>
      </c>
    </row>
    <row r="14067" spans="5:9" ht="16.5" hidden="1">
      <c r="E14067" s="4" t="str">
        <v/>
      </c>
      <c r="F14067" s="102" t="str">
        <f ca="1">IFERROR(__xludf.DUMMYFUNCTION("IMPORTRANGE(H14067,""IDENTITAS UNIT!D9"")"),"#N/A")</f>
        <v>#N/A</v>
      </c>
      <c r="H14067" s="4" t="str">
        <v/>
      </c>
      <c r="I14067" s="4" t="str">
        <v/>
      </c>
    </row>
    <row r="14068" spans="5:9" ht="16.5" hidden="1">
      <c r="E14068" s="4" t="str">
        <v/>
      </c>
      <c r="F14068" s="102" t="str">
        <f ca="1">IFERROR(__xludf.DUMMYFUNCTION("IMPORTRANGE(H14068,""IDENTITAS UNIT!D9"")"),"#N/A")</f>
        <v>#N/A</v>
      </c>
      <c r="H14068" s="4" t="str">
        <v/>
      </c>
      <c r="I14068" s="4" t="str">
        <v/>
      </c>
    </row>
    <row r="14069" spans="5:9" ht="16.5" hidden="1">
      <c r="E14069" s="4" t="str">
        <v/>
      </c>
      <c r="F14069" s="102" t="str">
        <f ca="1">IFERROR(__xludf.DUMMYFUNCTION("IMPORTRANGE(H14069,""IDENTITAS UNIT!D9"")"),"#N/A")</f>
        <v>#N/A</v>
      </c>
      <c r="H14069" s="4" t="str">
        <v/>
      </c>
      <c r="I14069" s="4" t="str">
        <v/>
      </c>
    </row>
    <row r="14070" spans="5:9" ht="16.5" hidden="1">
      <c r="E14070" s="4" t="str">
        <v/>
      </c>
      <c r="F14070" s="102" t="str">
        <f ca="1">IFERROR(__xludf.DUMMYFUNCTION("IMPORTRANGE(H14070,""IDENTITAS UNIT!D9"")"),"#N/A")</f>
        <v>#N/A</v>
      </c>
      <c r="H14070" s="4" t="str">
        <v/>
      </c>
      <c r="I14070" s="4" t="str">
        <v/>
      </c>
    </row>
    <row r="14071" spans="5:9" ht="16.5" hidden="1">
      <c r="E14071" s="4" t="str">
        <v/>
      </c>
      <c r="F14071" s="102" t="str">
        <f ca="1">IFERROR(__xludf.DUMMYFUNCTION("IMPORTRANGE(H14071,""IDENTITAS UNIT!D9"")"),"#N/A")</f>
        <v>#N/A</v>
      </c>
      <c r="H14071" s="4" t="str">
        <v/>
      </c>
      <c r="I14071" s="4" t="str">
        <v/>
      </c>
    </row>
    <row r="14072" spans="5:9" ht="16.5" hidden="1">
      <c r="E14072" s="4" t="str">
        <v/>
      </c>
      <c r="F14072" s="102" t="str">
        <f ca="1">IFERROR(__xludf.DUMMYFUNCTION("IMPORTRANGE(H14072,""IDENTITAS UNIT!D9"")"),"#N/A")</f>
        <v>#N/A</v>
      </c>
      <c r="H14072" s="4" t="str">
        <v/>
      </c>
      <c r="I14072" s="4" t="str">
        <v/>
      </c>
    </row>
    <row r="14073" spans="5:9" ht="16.5" hidden="1">
      <c r="E14073" s="4" t="str">
        <v/>
      </c>
      <c r="F14073" s="102" t="str">
        <f ca="1">IFERROR(__xludf.DUMMYFUNCTION("IMPORTRANGE(H14073,""IDENTITAS UNIT!D9"")"),"#N/A")</f>
        <v>#N/A</v>
      </c>
      <c r="H14073" s="4" t="str">
        <v/>
      </c>
      <c r="I14073" s="4" t="str">
        <v/>
      </c>
    </row>
    <row r="14074" spans="5:9" ht="16.5" hidden="1">
      <c r="E14074" s="4" t="str">
        <v/>
      </c>
      <c r="F14074" s="102" t="str">
        <f ca="1">IFERROR(__xludf.DUMMYFUNCTION("IMPORTRANGE(H14074,""IDENTITAS UNIT!D9"")"),"#N/A")</f>
        <v>#N/A</v>
      </c>
      <c r="H14074" s="4" t="str">
        <v/>
      </c>
      <c r="I14074" s="4" t="str">
        <v/>
      </c>
    </row>
    <row r="14075" spans="5:9" ht="16.5" hidden="1">
      <c r="E14075" s="4" t="str">
        <v/>
      </c>
      <c r="F14075" s="102" t="str">
        <f ca="1">IFERROR(__xludf.DUMMYFUNCTION("IMPORTRANGE(H14075,""IDENTITAS UNIT!D9"")"),"#N/A")</f>
        <v>#N/A</v>
      </c>
      <c r="H14075" s="4" t="str">
        <v/>
      </c>
      <c r="I14075" s="4" t="str">
        <v/>
      </c>
    </row>
    <row r="14076" spans="5:9" ht="16.5" hidden="1">
      <c r="E14076" s="4" t="str">
        <v/>
      </c>
      <c r="F14076" s="102" t="str">
        <f ca="1">IFERROR(__xludf.DUMMYFUNCTION("IMPORTRANGE(H14076,""IDENTITAS UNIT!D9"")"),"#N/A")</f>
        <v>#N/A</v>
      </c>
      <c r="H14076" s="4" t="str">
        <v/>
      </c>
      <c r="I14076" s="4" t="str">
        <v/>
      </c>
    </row>
    <row r="14077" spans="5:9" ht="16.5" hidden="1">
      <c r="E14077" s="4" t="str">
        <v/>
      </c>
      <c r="F14077" s="102" t="str">
        <f ca="1">IFERROR(__xludf.DUMMYFUNCTION("IMPORTRANGE(H14077,""IDENTITAS UNIT!D9"")"),"#N/A")</f>
        <v>#N/A</v>
      </c>
      <c r="H14077" s="4" t="str">
        <v/>
      </c>
      <c r="I14077" s="4" t="str">
        <v/>
      </c>
    </row>
    <row r="14078" spans="5:9" ht="16.5" hidden="1">
      <c r="E14078" s="4" t="str">
        <v/>
      </c>
      <c r="F14078" s="102" t="str">
        <f ca="1">IFERROR(__xludf.DUMMYFUNCTION("IMPORTRANGE(H14078,""IDENTITAS UNIT!D9"")"),"#N/A")</f>
        <v>#N/A</v>
      </c>
      <c r="H14078" s="4" t="str">
        <v/>
      </c>
      <c r="I14078" s="4" t="str">
        <v/>
      </c>
    </row>
    <row r="14079" spans="5:9" ht="16.5" hidden="1">
      <c r="E14079" s="4" t="str">
        <v/>
      </c>
      <c r="F14079" s="102" t="str">
        <f ca="1">IFERROR(__xludf.DUMMYFUNCTION("IMPORTRANGE(H14079,""IDENTITAS UNIT!D9"")"),"#N/A")</f>
        <v>#N/A</v>
      </c>
      <c r="H14079" s="4" t="str">
        <v/>
      </c>
      <c r="I14079" s="4" t="str">
        <v/>
      </c>
    </row>
    <row r="14080" spans="5:9" ht="16.5" hidden="1">
      <c r="E14080" s="4" t="str">
        <v/>
      </c>
      <c r="F14080" s="102" t="str">
        <f ca="1">IFERROR(__xludf.DUMMYFUNCTION("IMPORTRANGE(H14080,""IDENTITAS UNIT!D9"")"),"#N/A")</f>
        <v>#N/A</v>
      </c>
      <c r="H14080" s="4" t="str">
        <v/>
      </c>
      <c r="I14080" s="4" t="str">
        <v/>
      </c>
    </row>
    <row r="14081" spans="5:9" ht="16.5" hidden="1">
      <c r="E14081" s="4" t="str">
        <v/>
      </c>
      <c r="F14081" s="102" t="str">
        <f ca="1">IFERROR(__xludf.DUMMYFUNCTION("IMPORTRANGE(H14081,""IDENTITAS UNIT!D9"")"),"#N/A")</f>
        <v>#N/A</v>
      </c>
      <c r="H14081" s="4" t="str">
        <v/>
      </c>
      <c r="I14081" s="4" t="str">
        <v/>
      </c>
    </row>
    <row r="14082" spans="5:9" ht="16.5" hidden="1">
      <c r="E14082" s="4" t="str">
        <v/>
      </c>
      <c r="F14082" s="102" t="str">
        <f ca="1">IFERROR(__xludf.DUMMYFUNCTION("IMPORTRANGE(H14082,""IDENTITAS UNIT!D9"")"),"#N/A")</f>
        <v>#N/A</v>
      </c>
      <c r="H14082" s="4" t="str">
        <v/>
      </c>
      <c r="I14082" s="4" t="str">
        <v/>
      </c>
    </row>
    <row r="14083" spans="5:9" ht="16.5" hidden="1">
      <c r="E14083" s="4" t="str">
        <v/>
      </c>
      <c r="F14083" s="102" t="str">
        <f ca="1">IFERROR(__xludf.DUMMYFUNCTION("IMPORTRANGE(H14083,""IDENTITAS UNIT!D9"")"),"#N/A")</f>
        <v>#N/A</v>
      </c>
      <c r="H14083" s="4" t="str">
        <v/>
      </c>
      <c r="I14083" s="4" t="str">
        <v/>
      </c>
    </row>
    <row r="14084" spans="5:9" ht="16.5" hidden="1">
      <c r="E14084" s="4" t="str">
        <v/>
      </c>
      <c r="F14084" s="102" t="str">
        <f ca="1">IFERROR(__xludf.DUMMYFUNCTION("IMPORTRANGE(H14084,""IDENTITAS UNIT!D9"")"),"#N/A")</f>
        <v>#N/A</v>
      </c>
      <c r="H14084" s="4" t="str">
        <v/>
      </c>
      <c r="I14084" s="4" t="str">
        <v/>
      </c>
    </row>
    <row r="14085" spans="5:9" ht="16.5" hidden="1">
      <c r="E14085" s="4" t="str">
        <v/>
      </c>
      <c r="F14085" s="102" t="str">
        <f ca="1">IFERROR(__xludf.DUMMYFUNCTION("IMPORTRANGE(H14085,""IDENTITAS UNIT!D9"")"),"#N/A")</f>
        <v>#N/A</v>
      </c>
      <c r="H14085" s="4" t="str">
        <v/>
      </c>
      <c r="I14085" s="4" t="str">
        <v/>
      </c>
    </row>
    <row r="14086" spans="5:9" ht="16.5" hidden="1">
      <c r="E14086" s="4" t="str">
        <v/>
      </c>
      <c r="F14086" s="102" t="str">
        <f ca="1">IFERROR(__xludf.DUMMYFUNCTION("IMPORTRANGE(H14086,""IDENTITAS UNIT!D9"")"),"#N/A")</f>
        <v>#N/A</v>
      </c>
      <c r="H14086" s="4" t="str">
        <v/>
      </c>
      <c r="I14086" s="4" t="str">
        <v/>
      </c>
    </row>
    <row r="14087" spans="5:9" ht="16.5" hidden="1">
      <c r="E14087" s="4" t="str">
        <v/>
      </c>
      <c r="F14087" s="102" t="str">
        <f ca="1">IFERROR(__xludf.DUMMYFUNCTION("IMPORTRANGE(H14087,""IDENTITAS UNIT!D9"")"),"#N/A")</f>
        <v>#N/A</v>
      </c>
      <c r="H14087" s="4" t="str">
        <v/>
      </c>
      <c r="I14087" s="4" t="str">
        <v/>
      </c>
    </row>
    <row r="14088" spans="5:9" ht="16.5" hidden="1">
      <c r="E14088" s="4" t="str">
        <v/>
      </c>
      <c r="F14088" s="102" t="str">
        <f ca="1">IFERROR(__xludf.DUMMYFUNCTION("IMPORTRANGE(H14088,""IDENTITAS UNIT!D9"")"),"#N/A")</f>
        <v>#N/A</v>
      </c>
      <c r="H14088" s="4" t="str">
        <v/>
      </c>
      <c r="I14088" s="4" t="str">
        <v/>
      </c>
    </row>
    <row r="14089" spans="5:9" ht="16.5" hidden="1">
      <c r="E14089" s="4" t="str">
        <v/>
      </c>
      <c r="F14089" s="102" t="str">
        <f ca="1">IFERROR(__xludf.DUMMYFUNCTION("IMPORTRANGE(H14089,""IDENTITAS UNIT!D9"")"),"#N/A")</f>
        <v>#N/A</v>
      </c>
      <c r="H14089" s="4" t="str">
        <v/>
      </c>
      <c r="I14089" s="4" t="str">
        <v/>
      </c>
    </row>
    <row r="14090" spans="5:9" ht="16.5" hidden="1">
      <c r="E14090" s="4" t="str">
        <v/>
      </c>
      <c r="F14090" s="102" t="str">
        <f ca="1">IFERROR(__xludf.DUMMYFUNCTION("IMPORTRANGE(H14090,""IDENTITAS UNIT!D9"")"),"#N/A")</f>
        <v>#N/A</v>
      </c>
      <c r="H14090" s="4" t="str">
        <v/>
      </c>
      <c r="I14090" s="4" t="str">
        <v/>
      </c>
    </row>
    <row r="14091" spans="5:9" ht="16.5" hidden="1">
      <c r="E14091" s="4" t="str">
        <v/>
      </c>
      <c r="F14091" s="102" t="str">
        <f ca="1">IFERROR(__xludf.DUMMYFUNCTION("IMPORTRANGE(H14091,""IDENTITAS UNIT!D9"")"),"#N/A")</f>
        <v>#N/A</v>
      </c>
      <c r="H14091" s="4" t="str">
        <v/>
      </c>
      <c r="I14091" s="4" t="str">
        <v/>
      </c>
    </row>
    <row r="14092" spans="5:9" ht="16.5" hidden="1">
      <c r="E14092" s="4" t="str">
        <v/>
      </c>
      <c r="F14092" s="102" t="str">
        <f ca="1">IFERROR(__xludf.DUMMYFUNCTION("IMPORTRANGE(H14092,""IDENTITAS UNIT!D9"")"),"#N/A")</f>
        <v>#N/A</v>
      </c>
      <c r="H14092" s="4" t="str">
        <v/>
      </c>
      <c r="I14092" s="4" t="str">
        <v/>
      </c>
    </row>
    <row r="14093" spans="5:9" ht="16.5" hidden="1">
      <c r="E14093" s="4" t="str">
        <v/>
      </c>
      <c r="F14093" s="102" t="str">
        <f ca="1">IFERROR(__xludf.DUMMYFUNCTION("IMPORTRANGE(H14093,""IDENTITAS UNIT!D9"")"),"#N/A")</f>
        <v>#N/A</v>
      </c>
      <c r="H14093" s="4" t="str">
        <v/>
      </c>
      <c r="I14093" s="4" t="str">
        <v/>
      </c>
    </row>
    <row r="14094" spans="5:9" ht="16.5" hidden="1">
      <c r="E14094" s="4" t="str">
        <v/>
      </c>
      <c r="F14094" s="102" t="str">
        <f ca="1">IFERROR(__xludf.DUMMYFUNCTION("IMPORTRANGE(H14094,""IDENTITAS UNIT!D9"")"),"#N/A")</f>
        <v>#N/A</v>
      </c>
      <c r="H14094" s="4" t="str">
        <v/>
      </c>
      <c r="I14094" s="4" t="str">
        <v/>
      </c>
    </row>
    <row r="14095" spans="5:9" ht="16.5" hidden="1">
      <c r="E14095" s="4" t="str">
        <v/>
      </c>
      <c r="F14095" s="102" t="str">
        <f ca="1">IFERROR(__xludf.DUMMYFUNCTION("IMPORTRANGE(H14095,""IDENTITAS UNIT!D9"")"),"#N/A")</f>
        <v>#N/A</v>
      </c>
      <c r="H14095" s="4" t="str">
        <v/>
      </c>
      <c r="I14095" s="4" t="str">
        <v/>
      </c>
    </row>
    <row r="14096" spans="5:9" ht="16.5" hidden="1">
      <c r="E14096" s="4" t="str">
        <v/>
      </c>
      <c r="F14096" s="102" t="str">
        <f ca="1">IFERROR(__xludf.DUMMYFUNCTION("IMPORTRANGE(H14096,""IDENTITAS UNIT!D9"")"),"#N/A")</f>
        <v>#N/A</v>
      </c>
      <c r="H14096" s="4" t="str">
        <v/>
      </c>
      <c r="I14096" s="4" t="str">
        <v/>
      </c>
    </row>
    <row r="14097" spans="5:9" ht="16.5" hidden="1">
      <c r="E14097" s="4" t="str">
        <v/>
      </c>
      <c r="F14097" s="102" t="str">
        <f ca="1">IFERROR(__xludf.DUMMYFUNCTION("IMPORTRANGE(H14097,""IDENTITAS UNIT!D9"")"),"#N/A")</f>
        <v>#N/A</v>
      </c>
      <c r="H14097" s="4" t="str">
        <v/>
      </c>
      <c r="I14097" s="4" t="str">
        <v/>
      </c>
    </row>
    <row r="14098" spans="5:9" ht="16.5" hidden="1">
      <c r="E14098" s="4" t="str">
        <v/>
      </c>
      <c r="F14098" s="102" t="str">
        <f ca="1">IFERROR(__xludf.DUMMYFUNCTION("IMPORTRANGE(H14098,""IDENTITAS UNIT!D9"")"),"#N/A")</f>
        <v>#N/A</v>
      </c>
      <c r="H14098" s="4" t="str">
        <v/>
      </c>
      <c r="I14098" s="4" t="str">
        <v/>
      </c>
    </row>
    <row r="14099" spans="5:9" ht="16.5" hidden="1">
      <c r="E14099" s="4" t="str">
        <v/>
      </c>
      <c r="F14099" s="102" t="str">
        <f ca="1">IFERROR(__xludf.DUMMYFUNCTION("IMPORTRANGE(H14099,""IDENTITAS UNIT!D9"")"),"#N/A")</f>
        <v>#N/A</v>
      </c>
      <c r="H14099" s="4" t="str">
        <v/>
      </c>
      <c r="I14099" s="4" t="str">
        <v/>
      </c>
    </row>
    <row r="14100" spans="5:9" ht="16.5" hidden="1">
      <c r="E14100" s="4" t="str">
        <v/>
      </c>
      <c r="F14100" s="102" t="str">
        <f ca="1">IFERROR(__xludf.DUMMYFUNCTION("IMPORTRANGE(H14100,""IDENTITAS UNIT!D9"")"),"#N/A")</f>
        <v>#N/A</v>
      </c>
      <c r="H14100" s="4" t="str">
        <v/>
      </c>
      <c r="I14100" s="4" t="str">
        <v/>
      </c>
    </row>
    <row r="14101" spans="5:9" ht="16.5" hidden="1">
      <c r="E14101" s="4" t="str">
        <v/>
      </c>
      <c r="F14101" s="102" t="str">
        <f ca="1">IFERROR(__xludf.DUMMYFUNCTION("IMPORTRANGE(H14101,""IDENTITAS UNIT!D9"")"),"#N/A")</f>
        <v>#N/A</v>
      </c>
      <c r="H14101" s="4" t="str">
        <v/>
      </c>
      <c r="I14101" s="4" t="str">
        <v/>
      </c>
    </row>
    <row r="14102" spans="5:9" ht="16.5" hidden="1">
      <c r="E14102" s="4" t="str">
        <v/>
      </c>
      <c r="F14102" s="102" t="str">
        <f ca="1">IFERROR(__xludf.DUMMYFUNCTION("IMPORTRANGE(H14102,""IDENTITAS UNIT!D9"")"),"#N/A")</f>
        <v>#N/A</v>
      </c>
      <c r="H14102" s="4" t="str">
        <v/>
      </c>
      <c r="I14102" s="4" t="str">
        <v/>
      </c>
    </row>
    <row r="14103" spans="5:9" ht="16.5" hidden="1">
      <c r="E14103" s="4" t="str">
        <v/>
      </c>
      <c r="F14103" s="102" t="str">
        <f ca="1">IFERROR(__xludf.DUMMYFUNCTION("IMPORTRANGE(H14103,""IDENTITAS UNIT!D9"")"),"#N/A")</f>
        <v>#N/A</v>
      </c>
      <c r="H14103" s="4" t="str">
        <v/>
      </c>
      <c r="I14103" s="4" t="str">
        <v/>
      </c>
    </row>
    <row r="14104" spans="5:9" ht="16.5" hidden="1">
      <c r="E14104" s="4" t="str">
        <v/>
      </c>
      <c r="F14104" s="102" t="str">
        <f ca="1">IFERROR(__xludf.DUMMYFUNCTION("IMPORTRANGE(H14104,""IDENTITAS UNIT!D9"")"),"#N/A")</f>
        <v>#N/A</v>
      </c>
      <c r="H14104" s="4" t="str">
        <v/>
      </c>
      <c r="I14104" s="4" t="str">
        <v/>
      </c>
    </row>
    <row r="14105" spans="5:9" ht="16.5" hidden="1">
      <c r="E14105" s="4" t="str">
        <v/>
      </c>
      <c r="F14105" s="102" t="str">
        <f ca="1">IFERROR(__xludf.DUMMYFUNCTION("IMPORTRANGE(H14105,""IDENTITAS UNIT!D9"")"),"#N/A")</f>
        <v>#N/A</v>
      </c>
      <c r="H14105" s="4" t="str">
        <v/>
      </c>
      <c r="I14105" s="4" t="str">
        <v/>
      </c>
    </row>
    <row r="14106" spans="5:9" ht="16.5" hidden="1">
      <c r="E14106" s="4" t="str">
        <v/>
      </c>
      <c r="F14106" s="102" t="str">
        <f ca="1">IFERROR(__xludf.DUMMYFUNCTION("IMPORTRANGE(H14106,""IDENTITAS UNIT!D9"")"),"#N/A")</f>
        <v>#N/A</v>
      </c>
      <c r="H14106" s="4" t="str">
        <v/>
      </c>
      <c r="I14106" s="4" t="str">
        <v/>
      </c>
    </row>
    <row r="14107" spans="5:9" ht="16.5" hidden="1">
      <c r="E14107" s="4" t="str">
        <v/>
      </c>
      <c r="F14107" s="102" t="str">
        <f ca="1">IFERROR(__xludf.DUMMYFUNCTION("IMPORTRANGE(H14107,""IDENTITAS UNIT!D9"")"),"#N/A")</f>
        <v>#N/A</v>
      </c>
      <c r="H14107" s="4" t="str">
        <v/>
      </c>
      <c r="I14107" s="4" t="str">
        <v/>
      </c>
    </row>
    <row r="14108" spans="5:9" ht="16.5" hidden="1">
      <c r="E14108" s="4" t="str">
        <v/>
      </c>
      <c r="F14108" s="102" t="str">
        <f ca="1">IFERROR(__xludf.DUMMYFUNCTION("IMPORTRANGE(H14108,""IDENTITAS UNIT!D9"")"),"#N/A")</f>
        <v>#N/A</v>
      </c>
      <c r="H14108" s="4" t="str">
        <v/>
      </c>
      <c r="I14108" s="4" t="str">
        <v/>
      </c>
    </row>
    <row r="14109" spans="5:9" ht="16.5" hidden="1">
      <c r="E14109" s="4" t="str">
        <v/>
      </c>
      <c r="F14109" s="102" t="str">
        <f ca="1">IFERROR(__xludf.DUMMYFUNCTION("IMPORTRANGE(H14109,""IDENTITAS UNIT!D9"")"),"#N/A")</f>
        <v>#N/A</v>
      </c>
      <c r="H14109" s="4" t="str">
        <v/>
      </c>
      <c r="I14109" s="4" t="str">
        <v/>
      </c>
    </row>
    <row r="14110" spans="5:9" ht="16.5" hidden="1">
      <c r="E14110" s="4" t="str">
        <v/>
      </c>
      <c r="F14110" s="102" t="str">
        <f ca="1">IFERROR(__xludf.DUMMYFUNCTION("IMPORTRANGE(H14110,""IDENTITAS UNIT!D9"")"),"#N/A")</f>
        <v>#N/A</v>
      </c>
      <c r="H14110" s="4" t="str">
        <v/>
      </c>
      <c r="I14110" s="4" t="str">
        <v/>
      </c>
    </row>
    <row r="14111" spans="5:9" ht="16.5" hidden="1">
      <c r="E14111" s="4" t="str">
        <v/>
      </c>
      <c r="F14111" s="102" t="str">
        <f ca="1">IFERROR(__xludf.DUMMYFUNCTION("IMPORTRANGE(H14111,""IDENTITAS UNIT!D9"")"),"#N/A")</f>
        <v>#N/A</v>
      </c>
      <c r="H14111" s="4" t="str">
        <v/>
      </c>
      <c r="I14111" s="4" t="str">
        <v/>
      </c>
    </row>
    <row r="14112" spans="5:9" ht="16.5" hidden="1">
      <c r="E14112" s="4" t="str">
        <v/>
      </c>
      <c r="F14112" s="102" t="str">
        <f ca="1">IFERROR(__xludf.DUMMYFUNCTION("IMPORTRANGE(H14112,""IDENTITAS UNIT!D9"")"),"#N/A")</f>
        <v>#N/A</v>
      </c>
      <c r="H14112" s="4" t="str">
        <v/>
      </c>
      <c r="I14112" s="4" t="str">
        <v/>
      </c>
    </row>
    <row r="14113" spans="5:9" ht="16.5" hidden="1">
      <c r="E14113" s="4" t="str">
        <v/>
      </c>
      <c r="F14113" s="102" t="str">
        <f ca="1">IFERROR(__xludf.DUMMYFUNCTION("IMPORTRANGE(H14113,""IDENTITAS UNIT!D9"")"),"#N/A")</f>
        <v>#N/A</v>
      </c>
      <c r="H14113" s="4" t="str">
        <v/>
      </c>
      <c r="I14113" s="4" t="str">
        <v/>
      </c>
    </row>
    <row r="14114" spans="5:9" ht="16.5" hidden="1">
      <c r="E14114" s="4" t="str">
        <v/>
      </c>
      <c r="F14114" s="102" t="str">
        <f ca="1">IFERROR(__xludf.DUMMYFUNCTION("IMPORTRANGE(H14114,""IDENTITAS UNIT!D9"")"),"#N/A")</f>
        <v>#N/A</v>
      </c>
      <c r="H14114" s="4" t="str">
        <v/>
      </c>
      <c r="I14114" s="4" t="str">
        <v/>
      </c>
    </row>
    <row r="14115" spans="5:9" ht="16.5" hidden="1">
      <c r="E14115" s="4" t="str">
        <v/>
      </c>
      <c r="F14115" s="102" t="str">
        <f ca="1">IFERROR(__xludf.DUMMYFUNCTION("IMPORTRANGE(H14115,""IDENTITAS UNIT!D9"")"),"#N/A")</f>
        <v>#N/A</v>
      </c>
      <c r="H14115" s="4" t="str">
        <v/>
      </c>
      <c r="I14115" s="4" t="str">
        <v/>
      </c>
    </row>
    <row r="14116" spans="5:9" ht="16.5" hidden="1">
      <c r="E14116" s="4" t="str">
        <v/>
      </c>
      <c r="F14116" s="102" t="str">
        <f ca="1">IFERROR(__xludf.DUMMYFUNCTION("IMPORTRANGE(H14116,""IDENTITAS UNIT!D9"")"),"#N/A")</f>
        <v>#N/A</v>
      </c>
      <c r="H14116" s="4" t="str">
        <v/>
      </c>
      <c r="I14116" s="4" t="str">
        <v/>
      </c>
    </row>
    <row r="14117" spans="5:9" ht="16.5" hidden="1">
      <c r="E14117" s="4" t="str">
        <v/>
      </c>
      <c r="F14117" s="102" t="str">
        <f ca="1">IFERROR(__xludf.DUMMYFUNCTION("IMPORTRANGE(H14117,""IDENTITAS UNIT!D9"")"),"#N/A")</f>
        <v>#N/A</v>
      </c>
      <c r="H14117" s="4" t="str">
        <v/>
      </c>
      <c r="I14117" s="4" t="str">
        <v/>
      </c>
    </row>
    <row r="14118" spans="5:9" ht="16.5" hidden="1">
      <c r="E14118" s="4" t="str">
        <v/>
      </c>
      <c r="F14118" s="102" t="str">
        <f ca="1">IFERROR(__xludf.DUMMYFUNCTION("IMPORTRANGE(H14118,""IDENTITAS UNIT!D9"")"),"#N/A")</f>
        <v>#N/A</v>
      </c>
      <c r="H14118" s="4" t="str">
        <v/>
      </c>
      <c r="I14118" s="4" t="str">
        <v/>
      </c>
    </row>
    <row r="14119" spans="5:9" ht="16.5" hidden="1">
      <c r="E14119" s="4" t="str">
        <v/>
      </c>
      <c r="F14119" s="102" t="str">
        <f ca="1">IFERROR(__xludf.DUMMYFUNCTION("IMPORTRANGE(H14119,""IDENTITAS UNIT!D9"")"),"#N/A")</f>
        <v>#N/A</v>
      </c>
      <c r="H14119" s="4" t="str">
        <v/>
      </c>
      <c r="I14119" s="4" t="str">
        <v/>
      </c>
    </row>
    <row r="14120" spans="5:9" ht="16.5" hidden="1">
      <c r="E14120" s="4" t="str">
        <v/>
      </c>
      <c r="F14120" s="102" t="str">
        <f ca="1">IFERROR(__xludf.DUMMYFUNCTION("IMPORTRANGE(H14120,""IDENTITAS UNIT!D9"")"),"#N/A")</f>
        <v>#N/A</v>
      </c>
      <c r="H14120" s="4" t="str">
        <v/>
      </c>
      <c r="I14120" s="4" t="str">
        <v/>
      </c>
    </row>
    <row r="14121" spans="5:9" ht="16.5" hidden="1">
      <c r="E14121" s="4" t="str">
        <v/>
      </c>
      <c r="F14121" s="102" t="str">
        <f ca="1">IFERROR(__xludf.DUMMYFUNCTION("IMPORTRANGE(H14121,""IDENTITAS UNIT!D9"")"),"#N/A")</f>
        <v>#N/A</v>
      </c>
      <c r="H14121" s="4" t="str">
        <v/>
      </c>
      <c r="I14121" s="4" t="str">
        <v/>
      </c>
    </row>
    <row r="14122" spans="5:9" ht="16.5" hidden="1">
      <c r="E14122" s="4" t="str">
        <v/>
      </c>
      <c r="F14122" s="102" t="str">
        <f ca="1">IFERROR(__xludf.DUMMYFUNCTION("IMPORTRANGE(H14122,""IDENTITAS UNIT!D9"")"),"#N/A")</f>
        <v>#N/A</v>
      </c>
      <c r="H14122" s="4" t="str">
        <v/>
      </c>
      <c r="I14122" s="4" t="str">
        <v/>
      </c>
    </row>
    <row r="14123" spans="5:9" ht="16.5" hidden="1">
      <c r="E14123" s="4" t="str">
        <v/>
      </c>
      <c r="F14123" s="102" t="str">
        <f ca="1">IFERROR(__xludf.DUMMYFUNCTION("IMPORTRANGE(H14123,""IDENTITAS UNIT!D9"")"),"#N/A")</f>
        <v>#N/A</v>
      </c>
      <c r="H14123" s="4" t="str">
        <v/>
      </c>
      <c r="I14123" s="4" t="str">
        <v/>
      </c>
    </row>
    <row r="14124" spans="5:9" ht="16.5" hidden="1">
      <c r="E14124" s="4" t="str">
        <v/>
      </c>
      <c r="F14124" s="102" t="str">
        <f ca="1">IFERROR(__xludf.DUMMYFUNCTION("IMPORTRANGE(H14124,""IDENTITAS UNIT!D9"")"),"#N/A")</f>
        <v>#N/A</v>
      </c>
      <c r="H14124" s="4" t="str">
        <v/>
      </c>
      <c r="I14124" s="4" t="str">
        <v/>
      </c>
    </row>
    <row r="14125" spans="5:9" ht="16.5" hidden="1">
      <c r="E14125" s="4" t="str">
        <v/>
      </c>
      <c r="F14125" s="102" t="str">
        <f ca="1">IFERROR(__xludf.DUMMYFUNCTION("IMPORTRANGE(H14125,""IDENTITAS UNIT!D9"")"),"#N/A")</f>
        <v>#N/A</v>
      </c>
      <c r="H14125" s="4" t="str">
        <v/>
      </c>
      <c r="I14125" s="4" t="str">
        <v/>
      </c>
    </row>
    <row r="14126" spans="5:9" ht="16.5" hidden="1">
      <c r="E14126" s="4" t="str">
        <v/>
      </c>
      <c r="F14126" s="102" t="str">
        <f ca="1">IFERROR(__xludf.DUMMYFUNCTION("IMPORTRANGE(H14126,""IDENTITAS UNIT!D9"")"),"#N/A")</f>
        <v>#N/A</v>
      </c>
      <c r="H14126" s="4" t="str">
        <v/>
      </c>
      <c r="I14126" s="4" t="str">
        <v/>
      </c>
    </row>
    <row r="14127" spans="5:9" ht="16.5" hidden="1">
      <c r="E14127" s="4" t="str">
        <v/>
      </c>
      <c r="F14127" s="102" t="str">
        <f ca="1">IFERROR(__xludf.DUMMYFUNCTION("IMPORTRANGE(H14127,""IDENTITAS UNIT!D9"")"),"#N/A")</f>
        <v>#N/A</v>
      </c>
      <c r="H14127" s="4" t="str">
        <v/>
      </c>
      <c r="I14127" s="4" t="str">
        <v/>
      </c>
    </row>
    <row r="14128" spans="5:9" ht="16.5" hidden="1">
      <c r="E14128" s="4" t="str">
        <v/>
      </c>
      <c r="F14128" s="102" t="str">
        <f ca="1">IFERROR(__xludf.DUMMYFUNCTION("IMPORTRANGE(H14128,""IDENTITAS UNIT!D9"")"),"#N/A")</f>
        <v>#N/A</v>
      </c>
      <c r="H14128" s="4" t="str">
        <v/>
      </c>
      <c r="I14128" s="4" t="str">
        <v/>
      </c>
    </row>
    <row r="14129" spans="5:9" ht="16.5" hidden="1">
      <c r="E14129" s="4" t="str">
        <v/>
      </c>
      <c r="F14129" s="102" t="str">
        <f ca="1">IFERROR(__xludf.DUMMYFUNCTION("IMPORTRANGE(H14129,""IDENTITAS UNIT!D9"")"),"#N/A")</f>
        <v>#N/A</v>
      </c>
      <c r="H14129" s="4" t="str">
        <v/>
      </c>
      <c r="I14129" s="4" t="str">
        <v/>
      </c>
    </row>
    <row r="14130" spans="5:9" ht="16.5" hidden="1">
      <c r="E14130" s="4" t="str">
        <v/>
      </c>
      <c r="F14130" s="102" t="str">
        <f ca="1">IFERROR(__xludf.DUMMYFUNCTION("IMPORTRANGE(H14130,""IDENTITAS UNIT!D9"")"),"#N/A")</f>
        <v>#N/A</v>
      </c>
      <c r="H14130" s="4" t="str">
        <v/>
      </c>
      <c r="I14130" s="4" t="str">
        <v/>
      </c>
    </row>
    <row r="14131" spans="5:9" ht="16.5" hidden="1">
      <c r="E14131" s="4" t="str">
        <v/>
      </c>
      <c r="F14131" s="102" t="str">
        <f ca="1">IFERROR(__xludf.DUMMYFUNCTION("IMPORTRANGE(H14131,""IDENTITAS UNIT!D9"")"),"#N/A")</f>
        <v>#N/A</v>
      </c>
      <c r="H14131" s="4" t="str">
        <v/>
      </c>
      <c r="I14131" s="4" t="str">
        <v/>
      </c>
    </row>
    <row r="14132" spans="5:9" ht="16.5" hidden="1">
      <c r="E14132" s="4" t="str">
        <v/>
      </c>
      <c r="F14132" s="102" t="str">
        <f ca="1">IFERROR(__xludf.DUMMYFUNCTION("IMPORTRANGE(H14132,""IDENTITAS UNIT!D9"")"),"#N/A")</f>
        <v>#N/A</v>
      </c>
      <c r="H14132" s="4" t="str">
        <v/>
      </c>
      <c r="I14132" s="4" t="str">
        <v/>
      </c>
    </row>
    <row r="14133" spans="5:9" ht="16.5" hidden="1">
      <c r="E14133" s="4" t="str">
        <v/>
      </c>
      <c r="F14133" s="102" t="str">
        <f ca="1">IFERROR(__xludf.DUMMYFUNCTION("IMPORTRANGE(H14133,""IDENTITAS UNIT!D9"")"),"#N/A")</f>
        <v>#N/A</v>
      </c>
      <c r="H14133" s="4" t="str">
        <v/>
      </c>
      <c r="I14133" s="4" t="str">
        <v/>
      </c>
    </row>
    <row r="14134" spans="5:9" ht="16.5" hidden="1">
      <c r="E14134" s="4" t="str">
        <v/>
      </c>
      <c r="F14134" s="102" t="str">
        <f ca="1">IFERROR(__xludf.DUMMYFUNCTION("IMPORTRANGE(H14134,""IDENTITAS UNIT!D9"")"),"#N/A")</f>
        <v>#N/A</v>
      </c>
      <c r="H14134" s="4" t="str">
        <v/>
      </c>
      <c r="I14134" s="4" t="str">
        <v/>
      </c>
    </row>
    <row r="14135" spans="5:9" ht="16.5" hidden="1">
      <c r="E14135" s="4" t="str">
        <v/>
      </c>
      <c r="F14135" s="102" t="str">
        <f ca="1">IFERROR(__xludf.DUMMYFUNCTION("IMPORTRANGE(H14135,""IDENTITAS UNIT!D9"")"),"#N/A")</f>
        <v>#N/A</v>
      </c>
      <c r="H14135" s="4" t="str">
        <v/>
      </c>
      <c r="I14135" s="4" t="str">
        <v/>
      </c>
    </row>
    <row r="14136" spans="5:9" ht="16.5" hidden="1">
      <c r="E14136" s="4" t="str">
        <v/>
      </c>
      <c r="F14136" s="102" t="str">
        <f ca="1">IFERROR(__xludf.DUMMYFUNCTION("IMPORTRANGE(H14136,""IDENTITAS UNIT!D9"")"),"#N/A")</f>
        <v>#N/A</v>
      </c>
      <c r="H14136" s="4" t="str">
        <v/>
      </c>
      <c r="I14136" s="4" t="str">
        <v/>
      </c>
    </row>
    <row r="14137" spans="5:9" ht="16.5" hidden="1">
      <c r="E14137" s="4" t="str">
        <v/>
      </c>
      <c r="F14137" s="102" t="str">
        <f ca="1">IFERROR(__xludf.DUMMYFUNCTION("IMPORTRANGE(H14137,""IDENTITAS UNIT!D9"")"),"#N/A")</f>
        <v>#N/A</v>
      </c>
      <c r="H14137" s="4" t="str">
        <v/>
      </c>
      <c r="I14137" s="4" t="str">
        <v/>
      </c>
    </row>
    <row r="14138" spans="5:9" ht="16.5" hidden="1">
      <c r="E14138" s="4" t="str">
        <v/>
      </c>
      <c r="F14138" s="102" t="str">
        <f ca="1">IFERROR(__xludf.DUMMYFUNCTION("IMPORTRANGE(H14138,""IDENTITAS UNIT!D9"")"),"#N/A")</f>
        <v>#N/A</v>
      </c>
      <c r="H14138" s="4" t="str">
        <v/>
      </c>
      <c r="I14138" s="4" t="str">
        <v/>
      </c>
    </row>
    <row r="14139" spans="5:9" ht="16.5" hidden="1">
      <c r="E14139" s="4" t="str">
        <v/>
      </c>
      <c r="F14139" s="102" t="str">
        <f ca="1">IFERROR(__xludf.DUMMYFUNCTION("IMPORTRANGE(H14139,""IDENTITAS UNIT!D9"")"),"#N/A")</f>
        <v>#N/A</v>
      </c>
      <c r="H14139" s="4" t="str">
        <v/>
      </c>
      <c r="I14139" s="4" t="str">
        <v/>
      </c>
    </row>
    <row r="14140" spans="5:9" ht="16.5" hidden="1">
      <c r="E14140" s="4" t="str">
        <v/>
      </c>
      <c r="F14140" s="102" t="str">
        <f ca="1">IFERROR(__xludf.DUMMYFUNCTION("IMPORTRANGE(H14140,""IDENTITAS UNIT!D9"")"),"#N/A")</f>
        <v>#N/A</v>
      </c>
      <c r="H14140" s="4" t="str">
        <v/>
      </c>
      <c r="I14140" s="4" t="str">
        <v/>
      </c>
    </row>
    <row r="14141" spans="5:9" ht="16.5" hidden="1">
      <c r="E14141" s="4" t="str">
        <v/>
      </c>
      <c r="F14141" s="102" t="str">
        <f ca="1">IFERROR(__xludf.DUMMYFUNCTION("IMPORTRANGE(H14141,""IDENTITAS UNIT!D9"")"),"#N/A")</f>
        <v>#N/A</v>
      </c>
      <c r="H14141" s="4" t="str">
        <v/>
      </c>
      <c r="I14141" s="4" t="str">
        <v/>
      </c>
    </row>
    <row r="14142" spans="5:9" ht="16.5" hidden="1">
      <c r="E14142" s="4" t="str">
        <v/>
      </c>
      <c r="F14142" s="102" t="str">
        <f ca="1">IFERROR(__xludf.DUMMYFUNCTION("IMPORTRANGE(H14142,""IDENTITAS UNIT!D9"")"),"#N/A")</f>
        <v>#N/A</v>
      </c>
      <c r="H14142" s="4" t="str">
        <v/>
      </c>
      <c r="I14142" s="4" t="str">
        <v/>
      </c>
    </row>
    <row r="14143" spans="5:9" ht="16.5" hidden="1">
      <c r="E14143" s="4" t="str">
        <v/>
      </c>
      <c r="F14143" s="102" t="str">
        <f ca="1">IFERROR(__xludf.DUMMYFUNCTION("IMPORTRANGE(H14143,""IDENTITAS UNIT!D9"")"),"#N/A")</f>
        <v>#N/A</v>
      </c>
      <c r="H14143" s="4" t="str">
        <v/>
      </c>
      <c r="I14143" s="4" t="str">
        <v/>
      </c>
    </row>
    <row r="14144" spans="5:9" ht="16.5" hidden="1">
      <c r="E14144" s="4" t="str">
        <v/>
      </c>
      <c r="F14144" s="102" t="str">
        <f ca="1">IFERROR(__xludf.DUMMYFUNCTION("IMPORTRANGE(H14144,""IDENTITAS UNIT!D9"")"),"#N/A")</f>
        <v>#N/A</v>
      </c>
      <c r="H14144" s="4" t="str">
        <v/>
      </c>
      <c r="I14144" s="4" t="str">
        <v/>
      </c>
    </row>
    <row r="14145" spans="5:9" ht="16.5" hidden="1">
      <c r="E14145" s="4" t="str">
        <v/>
      </c>
      <c r="F14145" s="102" t="str">
        <f ca="1">IFERROR(__xludf.DUMMYFUNCTION("IMPORTRANGE(H14145,""IDENTITAS UNIT!D9"")"),"#N/A")</f>
        <v>#N/A</v>
      </c>
      <c r="H14145" s="4" t="str">
        <v/>
      </c>
      <c r="I14145" s="4" t="str">
        <v/>
      </c>
    </row>
    <row r="14146" spans="5:9" ht="16.5" hidden="1">
      <c r="E14146" s="4" t="str">
        <v/>
      </c>
      <c r="F14146" s="102" t="str">
        <f ca="1">IFERROR(__xludf.DUMMYFUNCTION("IMPORTRANGE(H14146,""IDENTITAS UNIT!D9"")"),"#N/A")</f>
        <v>#N/A</v>
      </c>
      <c r="H14146" s="4" t="str">
        <v/>
      </c>
      <c r="I14146" s="4" t="str">
        <v/>
      </c>
    </row>
    <row r="14147" spans="5:9" ht="16.5" hidden="1">
      <c r="E14147" s="4" t="str">
        <v/>
      </c>
      <c r="F14147" s="102" t="str">
        <f ca="1">IFERROR(__xludf.DUMMYFUNCTION("IMPORTRANGE(H14147,""IDENTITAS UNIT!D9"")"),"#N/A")</f>
        <v>#N/A</v>
      </c>
      <c r="H14147" s="4" t="str">
        <v/>
      </c>
      <c r="I14147" s="4" t="str">
        <v/>
      </c>
    </row>
    <row r="14148" spans="5:9" ht="16.5" hidden="1">
      <c r="E14148" s="4" t="str">
        <v/>
      </c>
      <c r="F14148" s="102" t="str">
        <f ca="1">IFERROR(__xludf.DUMMYFUNCTION("IMPORTRANGE(H14148,""IDENTITAS UNIT!D9"")"),"#N/A")</f>
        <v>#N/A</v>
      </c>
      <c r="H14148" s="4" t="str">
        <v/>
      </c>
      <c r="I14148" s="4" t="str">
        <v/>
      </c>
    </row>
    <row r="14149" spans="5:9" ht="16.5" hidden="1">
      <c r="E14149" s="4" t="str">
        <v/>
      </c>
      <c r="F14149" s="102" t="str">
        <f ca="1">IFERROR(__xludf.DUMMYFUNCTION("IMPORTRANGE(H14149,""IDENTITAS UNIT!D9"")"),"#N/A")</f>
        <v>#N/A</v>
      </c>
      <c r="H14149" s="4" t="str">
        <v/>
      </c>
      <c r="I14149" s="4" t="str">
        <v/>
      </c>
    </row>
    <row r="14150" spans="5:9" ht="16.5" hidden="1">
      <c r="E14150" s="4" t="str">
        <v/>
      </c>
      <c r="F14150" s="102" t="str">
        <f ca="1">IFERROR(__xludf.DUMMYFUNCTION("IMPORTRANGE(H14150,""IDENTITAS UNIT!D9"")"),"#N/A")</f>
        <v>#N/A</v>
      </c>
      <c r="H14150" s="4" t="str">
        <v/>
      </c>
      <c r="I14150" s="4" t="str">
        <v/>
      </c>
    </row>
    <row r="14151" spans="5:9" ht="16.5" hidden="1">
      <c r="E14151" s="4" t="str">
        <v/>
      </c>
      <c r="F14151" s="102" t="str">
        <f ca="1">IFERROR(__xludf.DUMMYFUNCTION("IMPORTRANGE(H14151,""IDENTITAS UNIT!D9"")"),"#N/A")</f>
        <v>#N/A</v>
      </c>
      <c r="H14151" s="4" t="str">
        <v/>
      </c>
      <c r="I14151" s="4" t="str">
        <v/>
      </c>
    </row>
    <row r="14152" spans="5:9" ht="16.5" hidden="1">
      <c r="E14152" s="4" t="str">
        <v/>
      </c>
      <c r="F14152" s="102" t="str">
        <f ca="1">IFERROR(__xludf.DUMMYFUNCTION("IMPORTRANGE(H14152,""IDENTITAS UNIT!D9"")"),"#N/A")</f>
        <v>#N/A</v>
      </c>
      <c r="H14152" s="4" t="str">
        <v/>
      </c>
      <c r="I14152" s="4" t="str">
        <v/>
      </c>
    </row>
    <row r="14153" spans="5:9" ht="16.5" hidden="1">
      <c r="E14153" s="4" t="str">
        <v/>
      </c>
      <c r="F14153" s="102" t="str">
        <f ca="1">IFERROR(__xludf.DUMMYFUNCTION("IMPORTRANGE(H14153,""IDENTITAS UNIT!D9"")"),"#N/A")</f>
        <v>#N/A</v>
      </c>
      <c r="H14153" s="4" t="str">
        <v/>
      </c>
      <c r="I14153" s="4" t="str">
        <v/>
      </c>
    </row>
    <row r="14154" spans="5:9" ht="16.5" hidden="1">
      <c r="E14154" s="4" t="str">
        <v/>
      </c>
      <c r="F14154" s="102" t="str">
        <f ca="1">IFERROR(__xludf.DUMMYFUNCTION("IMPORTRANGE(H14154,""IDENTITAS UNIT!D9"")"),"#N/A")</f>
        <v>#N/A</v>
      </c>
      <c r="H14154" s="4" t="str">
        <v/>
      </c>
      <c r="I14154" s="4" t="str">
        <v/>
      </c>
    </row>
    <row r="14155" spans="5:9" ht="16.5" hidden="1">
      <c r="E14155" s="4" t="str">
        <v/>
      </c>
      <c r="F14155" s="102" t="str">
        <f ca="1">IFERROR(__xludf.DUMMYFUNCTION("IMPORTRANGE(H14155,""IDENTITAS UNIT!D9"")"),"#N/A")</f>
        <v>#N/A</v>
      </c>
      <c r="H14155" s="4" t="str">
        <v/>
      </c>
      <c r="I14155" s="4" t="str">
        <v/>
      </c>
    </row>
    <row r="14156" spans="5:9" ht="16.5" hidden="1">
      <c r="E14156" s="4" t="str">
        <v/>
      </c>
      <c r="F14156" s="102" t="str">
        <f ca="1">IFERROR(__xludf.DUMMYFUNCTION("IMPORTRANGE(H14156,""IDENTITAS UNIT!D9"")"),"#N/A")</f>
        <v>#N/A</v>
      </c>
      <c r="H14156" s="4" t="str">
        <v/>
      </c>
      <c r="I14156" s="4" t="str">
        <v/>
      </c>
    </row>
    <row r="14157" spans="5:9" ht="16.5" hidden="1">
      <c r="E14157" s="4" t="str">
        <v/>
      </c>
      <c r="F14157" s="102" t="str">
        <f ca="1">IFERROR(__xludf.DUMMYFUNCTION("IMPORTRANGE(H14157,""IDENTITAS UNIT!D9"")"),"#N/A")</f>
        <v>#N/A</v>
      </c>
      <c r="H14157" s="4" t="str">
        <v/>
      </c>
      <c r="I14157" s="4" t="str">
        <v/>
      </c>
    </row>
    <row r="14158" spans="5:9" ht="16.5" hidden="1">
      <c r="E14158" s="4" t="str">
        <v/>
      </c>
      <c r="F14158" s="102" t="str">
        <f ca="1">IFERROR(__xludf.DUMMYFUNCTION("IMPORTRANGE(H14158,""IDENTITAS UNIT!D9"")"),"#N/A")</f>
        <v>#N/A</v>
      </c>
      <c r="H14158" s="4" t="str">
        <v/>
      </c>
      <c r="I14158" s="4" t="str">
        <v/>
      </c>
    </row>
    <row r="14159" spans="5:9" ht="16.5" hidden="1">
      <c r="E14159" s="4" t="str">
        <v/>
      </c>
      <c r="F14159" s="102" t="str">
        <f ca="1">IFERROR(__xludf.DUMMYFUNCTION("IMPORTRANGE(H14159,""IDENTITAS UNIT!D9"")"),"#N/A")</f>
        <v>#N/A</v>
      </c>
      <c r="H14159" s="4" t="str">
        <v/>
      </c>
      <c r="I14159" s="4" t="str">
        <v/>
      </c>
    </row>
    <row r="14160" spans="5:9" ht="16.5" hidden="1">
      <c r="E14160" s="4" t="str">
        <v/>
      </c>
      <c r="F14160" s="102" t="str">
        <f ca="1">IFERROR(__xludf.DUMMYFUNCTION("IMPORTRANGE(H14160,""IDENTITAS UNIT!D9"")"),"#N/A")</f>
        <v>#N/A</v>
      </c>
      <c r="H14160" s="4" t="str">
        <v/>
      </c>
      <c r="I14160" s="4" t="str">
        <v/>
      </c>
    </row>
    <row r="14161" spans="5:9" ht="16.5" hidden="1">
      <c r="E14161" s="4" t="str">
        <v/>
      </c>
      <c r="F14161" s="102" t="str">
        <f ca="1">IFERROR(__xludf.DUMMYFUNCTION("IMPORTRANGE(H14161,""IDENTITAS UNIT!D9"")"),"#N/A")</f>
        <v>#N/A</v>
      </c>
      <c r="H14161" s="4" t="str">
        <v/>
      </c>
      <c r="I14161" s="4" t="str">
        <v/>
      </c>
    </row>
    <row r="14162" spans="5:9" ht="16.5" hidden="1">
      <c r="E14162" s="4" t="str">
        <v/>
      </c>
      <c r="F14162" s="102" t="str">
        <f ca="1">IFERROR(__xludf.DUMMYFUNCTION("IMPORTRANGE(H14162,""IDENTITAS UNIT!D9"")"),"#N/A")</f>
        <v>#N/A</v>
      </c>
      <c r="H14162" s="4" t="str">
        <v/>
      </c>
      <c r="I14162" s="4" t="str">
        <v/>
      </c>
    </row>
    <row r="14163" spans="5:9" ht="16.5" hidden="1">
      <c r="E14163" s="4" t="str">
        <v/>
      </c>
      <c r="F14163" s="102" t="str">
        <f ca="1">IFERROR(__xludf.DUMMYFUNCTION("IMPORTRANGE(H14163,""IDENTITAS UNIT!D9"")"),"#N/A")</f>
        <v>#N/A</v>
      </c>
      <c r="H14163" s="4" t="str">
        <v/>
      </c>
      <c r="I14163" s="4" t="str">
        <v/>
      </c>
    </row>
    <row r="14164" spans="5:9" ht="16.5" hidden="1">
      <c r="E14164" s="4" t="str">
        <v/>
      </c>
      <c r="F14164" s="102" t="str">
        <f ca="1">IFERROR(__xludf.DUMMYFUNCTION("IMPORTRANGE(H14164,""IDENTITAS UNIT!D9"")"),"#N/A")</f>
        <v>#N/A</v>
      </c>
      <c r="H14164" s="4" t="str">
        <v/>
      </c>
      <c r="I14164" s="4" t="str">
        <v/>
      </c>
    </row>
    <row r="14165" spans="5:9" ht="16.5" hidden="1">
      <c r="E14165" s="4" t="str">
        <v/>
      </c>
      <c r="F14165" s="102" t="str">
        <f ca="1">IFERROR(__xludf.DUMMYFUNCTION("IMPORTRANGE(H14165,""IDENTITAS UNIT!D9"")"),"#N/A")</f>
        <v>#N/A</v>
      </c>
      <c r="H14165" s="4" t="str">
        <v/>
      </c>
      <c r="I14165" s="4" t="str">
        <v/>
      </c>
    </row>
    <row r="14166" spans="5:9" ht="16.5" hidden="1">
      <c r="E14166" s="4" t="str">
        <v/>
      </c>
      <c r="F14166" s="102" t="str">
        <f ca="1">IFERROR(__xludf.DUMMYFUNCTION("IMPORTRANGE(H14166,""IDENTITAS UNIT!D9"")"),"#N/A")</f>
        <v>#N/A</v>
      </c>
      <c r="H14166" s="4" t="str">
        <v/>
      </c>
      <c r="I14166" s="4" t="str">
        <v/>
      </c>
    </row>
    <row r="14167" spans="5:9" ht="16.5" hidden="1">
      <c r="E14167" s="4" t="str">
        <v/>
      </c>
      <c r="F14167" s="102" t="str">
        <f ca="1">IFERROR(__xludf.DUMMYFUNCTION("IMPORTRANGE(H14167,""IDENTITAS UNIT!D9"")"),"#N/A")</f>
        <v>#N/A</v>
      </c>
      <c r="H14167" s="4" t="str">
        <v/>
      </c>
      <c r="I14167" s="4" t="str">
        <v/>
      </c>
    </row>
    <row r="14168" spans="5:9" ht="16.5" hidden="1">
      <c r="E14168" s="4" t="str">
        <v/>
      </c>
      <c r="F14168" s="102" t="str">
        <f ca="1">IFERROR(__xludf.DUMMYFUNCTION("IMPORTRANGE(H14168,""IDENTITAS UNIT!D9"")"),"#N/A")</f>
        <v>#N/A</v>
      </c>
      <c r="H14168" s="4" t="str">
        <v/>
      </c>
      <c r="I14168" s="4" t="str">
        <v/>
      </c>
    </row>
    <row r="14169" spans="5:9" ht="16.5" hidden="1">
      <c r="E14169" s="4" t="str">
        <v/>
      </c>
      <c r="F14169" s="102" t="str">
        <f ca="1">IFERROR(__xludf.DUMMYFUNCTION("IMPORTRANGE(H14169,""IDENTITAS UNIT!D9"")"),"#N/A")</f>
        <v>#N/A</v>
      </c>
      <c r="H14169" s="4" t="str">
        <v/>
      </c>
      <c r="I14169" s="4" t="str">
        <v/>
      </c>
    </row>
    <row r="14170" spans="5:9" ht="16.5" hidden="1">
      <c r="E14170" s="4" t="str">
        <v/>
      </c>
      <c r="F14170" s="102" t="str">
        <f ca="1">IFERROR(__xludf.DUMMYFUNCTION("IMPORTRANGE(H14170,""IDENTITAS UNIT!D9"")"),"#N/A")</f>
        <v>#N/A</v>
      </c>
      <c r="H14170" s="4" t="str">
        <v/>
      </c>
      <c r="I14170" s="4" t="str">
        <v/>
      </c>
    </row>
    <row r="14171" spans="5:9" ht="16.5" hidden="1">
      <c r="E14171" s="4" t="str">
        <v/>
      </c>
      <c r="F14171" s="102" t="str">
        <f ca="1">IFERROR(__xludf.DUMMYFUNCTION("IMPORTRANGE(H14171,""IDENTITAS UNIT!D9"")"),"#N/A")</f>
        <v>#N/A</v>
      </c>
      <c r="H14171" s="4" t="str">
        <v/>
      </c>
      <c r="I14171" s="4" t="str">
        <v/>
      </c>
    </row>
    <row r="14172" spans="5:9" ht="16.5" hidden="1">
      <c r="E14172" s="4" t="str">
        <v/>
      </c>
      <c r="F14172" s="102" t="str">
        <f ca="1">IFERROR(__xludf.DUMMYFUNCTION("IMPORTRANGE(H14172,""IDENTITAS UNIT!D9"")"),"#N/A")</f>
        <v>#N/A</v>
      </c>
      <c r="H14172" s="4" t="str">
        <v/>
      </c>
      <c r="I14172" s="4" t="str">
        <v/>
      </c>
    </row>
    <row r="14173" spans="5:9" ht="16.5" hidden="1">
      <c r="E14173" s="4" t="str">
        <v/>
      </c>
      <c r="F14173" s="102" t="str">
        <f ca="1">IFERROR(__xludf.DUMMYFUNCTION("IMPORTRANGE(H14173,""IDENTITAS UNIT!D9"")"),"#N/A")</f>
        <v>#N/A</v>
      </c>
      <c r="H14173" s="4" t="str">
        <v/>
      </c>
      <c r="I14173" s="4" t="str">
        <v/>
      </c>
    </row>
    <row r="14174" spans="5:9" ht="16.5" hidden="1">
      <c r="E14174" s="4" t="str">
        <v/>
      </c>
      <c r="F14174" s="102" t="str">
        <f ca="1">IFERROR(__xludf.DUMMYFUNCTION("IMPORTRANGE(H14174,""IDENTITAS UNIT!D9"")"),"#N/A")</f>
        <v>#N/A</v>
      </c>
      <c r="H14174" s="4" t="str">
        <v/>
      </c>
      <c r="I14174" s="4" t="str">
        <v/>
      </c>
    </row>
    <row r="14175" spans="5:9" ht="16.5" hidden="1">
      <c r="E14175" s="4" t="str">
        <v/>
      </c>
      <c r="F14175" s="102" t="str">
        <f ca="1">IFERROR(__xludf.DUMMYFUNCTION("IMPORTRANGE(H14175,""IDENTITAS UNIT!D9"")"),"#N/A")</f>
        <v>#N/A</v>
      </c>
      <c r="H14175" s="4" t="str">
        <v/>
      </c>
      <c r="I14175" s="4" t="str">
        <v/>
      </c>
    </row>
    <row r="14176" spans="5:9" ht="16.5" hidden="1">
      <c r="E14176" s="4" t="str">
        <v/>
      </c>
      <c r="F14176" s="102" t="str">
        <f ca="1">IFERROR(__xludf.DUMMYFUNCTION("IMPORTRANGE(H14176,""IDENTITAS UNIT!D9"")"),"#N/A")</f>
        <v>#N/A</v>
      </c>
      <c r="H14176" s="4" t="str">
        <v/>
      </c>
      <c r="I14176" s="4" t="str">
        <v/>
      </c>
    </row>
    <row r="14177" spans="5:9" ht="16.5" hidden="1">
      <c r="E14177" s="4" t="str">
        <v/>
      </c>
      <c r="F14177" s="102" t="str">
        <f ca="1">IFERROR(__xludf.DUMMYFUNCTION("IMPORTRANGE(H14177,""IDENTITAS UNIT!D9"")"),"#N/A")</f>
        <v>#N/A</v>
      </c>
      <c r="H14177" s="4" t="str">
        <v/>
      </c>
      <c r="I14177" s="4" t="str">
        <v/>
      </c>
    </row>
    <row r="14178" spans="5:9" ht="16.5" hidden="1">
      <c r="E14178" s="4" t="str">
        <v/>
      </c>
      <c r="F14178" s="102" t="str">
        <f ca="1">IFERROR(__xludf.DUMMYFUNCTION("IMPORTRANGE(H14178,""IDENTITAS UNIT!D9"")"),"#N/A")</f>
        <v>#N/A</v>
      </c>
      <c r="H14178" s="4" t="str">
        <v/>
      </c>
      <c r="I14178" s="4" t="str">
        <v/>
      </c>
    </row>
    <row r="14179" spans="5:9" ht="16.5" hidden="1">
      <c r="E14179" s="4" t="str">
        <v/>
      </c>
      <c r="F14179" s="102" t="str">
        <f ca="1">IFERROR(__xludf.DUMMYFUNCTION("IMPORTRANGE(H14179,""IDENTITAS UNIT!D9"")"),"#N/A")</f>
        <v>#N/A</v>
      </c>
      <c r="H14179" s="4" t="str">
        <v/>
      </c>
      <c r="I14179" s="4" t="str">
        <v/>
      </c>
    </row>
    <row r="14180" spans="5:9" ht="16.5" hidden="1">
      <c r="E14180" s="4" t="str">
        <v/>
      </c>
      <c r="F14180" s="102" t="str">
        <f ca="1">IFERROR(__xludf.DUMMYFUNCTION("IMPORTRANGE(H14180,""IDENTITAS UNIT!D9"")"),"#N/A")</f>
        <v>#N/A</v>
      </c>
      <c r="H14180" s="4" t="str">
        <v/>
      </c>
      <c r="I14180" s="4" t="str">
        <v/>
      </c>
    </row>
    <row r="14181" spans="5:9" ht="16.5" hidden="1">
      <c r="E14181" s="4" t="str">
        <v/>
      </c>
      <c r="F14181" s="102" t="str">
        <f ca="1">IFERROR(__xludf.DUMMYFUNCTION("IMPORTRANGE(H14181,""IDENTITAS UNIT!D9"")"),"#N/A")</f>
        <v>#N/A</v>
      </c>
      <c r="H14181" s="4" t="str">
        <v/>
      </c>
      <c r="I14181" s="4" t="str">
        <v/>
      </c>
    </row>
    <row r="14182" spans="5:9" ht="16.5" hidden="1">
      <c r="E14182" s="4" t="str">
        <v/>
      </c>
      <c r="F14182" s="102" t="str">
        <f ca="1">IFERROR(__xludf.DUMMYFUNCTION("IMPORTRANGE(H14182,""IDENTITAS UNIT!D9"")"),"#N/A")</f>
        <v>#N/A</v>
      </c>
      <c r="H14182" s="4" t="str">
        <v/>
      </c>
      <c r="I14182" s="4" t="str">
        <v/>
      </c>
    </row>
    <row r="14183" spans="5:9" ht="16.5" hidden="1">
      <c r="E14183" s="4" t="str">
        <v/>
      </c>
      <c r="F14183" s="102" t="str">
        <f ca="1">IFERROR(__xludf.DUMMYFUNCTION("IMPORTRANGE(H14183,""IDENTITAS UNIT!D9"")"),"#N/A")</f>
        <v>#N/A</v>
      </c>
      <c r="H14183" s="4" t="str">
        <v/>
      </c>
      <c r="I14183" s="4" t="str">
        <v/>
      </c>
    </row>
    <row r="14184" spans="5:9" ht="16.5" hidden="1">
      <c r="E14184" s="4" t="str">
        <v/>
      </c>
      <c r="F14184" s="102" t="str">
        <f ca="1">IFERROR(__xludf.DUMMYFUNCTION("IMPORTRANGE(H14184,""IDENTITAS UNIT!D9"")"),"#N/A")</f>
        <v>#N/A</v>
      </c>
      <c r="H14184" s="4" t="str">
        <v/>
      </c>
      <c r="I14184" s="4" t="str">
        <v/>
      </c>
    </row>
    <row r="14185" spans="5:9" ht="16.5" hidden="1">
      <c r="E14185" s="4" t="str">
        <v/>
      </c>
      <c r="F14185" s="102" t="str">
        <f ca="1">IFERROR(__xludf.DUMMYFUNCTION("IMPORTRANGE(H14185,""IDENTITAS UNIT!D9"")"),"#N/A")</f>
        <v>#N/A</v>
      </c>
      <c r="H14185" s="4" t="str">
        <v/>
      </c>
      <c r="I14185" s="4" t="str">
        <v/>
      </c>
    </row>
    <row r="14186" spans="5:9" ht="16.5" hidden="1">
      <c r="E14186" s="4" t="str">
        <v/>
      </c>
      <c r="F14186" s="102" t="str">
        <f ca="1">IFERROR(__xludf.DUMMYFUNCTION("IMPORTRANGE(H14186,""IDENTITAS UNIT!D9"")"),"#N/A")</f>
        <v>#N/A</v>
      </c>
      <c r="H14186" s="4" t="str">
        <v/>
      </c>
      <c r="I14186" s="4" t="str">
        <v/>
      </c>
    </row>
    <row r="14187" spans="5:9" ht="16.5" hidden="1">
      <c r="E14187" s="4" t="str">
        <v/>
      </c>
      <c r="F14187" s="102" t="str">
        <f ca="1">IFERROR(__xludf.DUMMYFUNCTION("IMPORTRANGE(H14187,""IDENTITAS UNIT!D9"")"),"#N/A")</f>
        <v>#N/A</v>
      </c>
      <c r="H14187" s="4" t="str">
        <v/>
      </c>
      <c r="I14187" s="4" t="str">
        <v/>
      </c>
    </row>
    <row r="14188" spans="5:9" ht="16.5" hidden="1">
      <c r="E14188" s="4" t="str">
        <v/>
      </c>
      <c r="F14188" s="102" t="str">
        <f ca="1">IFERROR(__xludf.DUMMYFUNCTION("IMPORTRANGE(H14188,""IDENTITAS UNIT!D9"")"),"#N/A")</f>
        <v>#N/A</v>
      </c>
      <c r="H14188" s="4" t="str">
        <v/>
      </c>
      <c r="I14188" s="4" t="str">
        <v/>
      </c>
    </row>
    <row r="14189" spans="5:9" ht="16.5" hidden="1">
      <c r="E14189" s="4" t="str">
        <v/>
      </c>
      <c r="F14189" s="102" t="str">
        <f ca="1">IFERROR(__xludf.DUMMYFUNCTION("IMPORTRANGE(H14189,""IDENTITAS UNIT!D9"")"),"#N/A")</f>
        <v>#N/A</v>
      </c>
      <c r="H14189" s="4" t="str">
        <v/>
      </c>
      <c r="I14189" s="4" t="str">
        <v/>
      </c>
    </row>
    <row r="14190" spans="5:9" ht="16.5" hidden="1">
      <c r="E14190" s="4" t="str">
        <v/>
      </c>
      <c r="F14190" s="102" t="str">
        <f ca="1">IFERROR(__xludf.DUMMYFUNCTION("IMPORTRANGE(H14190,""IDENTITAS UNIT!D9"")"),"#N/A")</f>
        <v>#N/A</v>
      </c>
      <c r="H14190" s="4" t="str">
        <v/>
      </c>
      <c r="I14190" s="4" t="str">
        <v/>
      </c>
    </row>
    <row r="14191" spans="5:9" ht="16.5" hidden="1">
      <c r="E14191" s="4" t="str">
        <v/>
      </c>
      <c r="F14191" s="102" t="str">
        <f ca="1">IFERROR(__xludf.DUMMYFUNCTION("IMPORTRANGE(H14191,""IDENTITAS UNIT!D9"")"),"#N/A")</f>
        <v>#N/A</v>
      </c>
      <c r="H14191" s="4" t="str">
        <v/>
      </c>
      <c r="I14191" s="4" t="str">
        <v/>
      </c>
    </row>
    <row r="14192" spans="5:9" ht="16.5" hidden="1">
      <c r="E14192" s="4" t="str">
        <v/>
      </c>
      <c r="F14192" s="102" t="str">
        <f ca="1">IFERROR(__xludf.DUMMYFUNCTION("IMPORTRANGE(H14192,""IDENTITAS UNIT!D9"")"),"#N/A")</f>
        <v>#N/A</v>
      </c>
      <c r="H14192" s="4" t="str">
        <v/>
      </c>
      <c r="I14192" s="4" t="str">
        <v/>
      </c>
    </row>
    <row r="14193" spans="5:9" ht="16.5" hidden="1">
      <c r="E14193" s="4" t="str">
        <v/>
      </c>
      <c r="F14193" s="102" t="str">
        <f ca="1">IFERROR(__xludf.DUMMYFUNCTION("IMPORTRANGE(H14193,""IDENTITAS UNIT!D9"")"),"#N/A")</f>
        <v>#N/A</v>
      </c>
      <c r="H14193" s="4" t="str">
        <v/>
      </c>
      <c r="I14193" s="4" t="str">
        <v/>
      </c>
    </row>
    <row r="14194" spans="5:9" ht="16.5" hidden="1">
      <c r="E14194" s="4" t="str">
        <v/>
      </c>
      <c r="F14194" s="102" t="str">
        <f ca="1">IFERROR(__xludf.DUMMYFUNCTION("IMPORTRANGE(H14194,""IDENTITAS UNIT!D9"")"),"#N/A")</f>
        <v>#N/A</v>
      </c>
      <c r="H14194" s="4" t="str">
        <v/>
      </c>
      <c r="I14194" s="4" t="str">
        <v/>
      </c>
    </row>
    <row r="14195" spans="5:9" ht="16.5" hidden="1">
      <c r="E14195" s="4" t="str">
        <v/>
      </c>
      <c r="F14195" s="102" t="str">
        <f ca="1">IFERROR(__xludf.DUMMYFUNCTION("IMPORTRANGE(H14195,""IDENTITAS UNIT!D9"")"),"#N/A")</f>
        <v>#N/A</v>
      </c>
      <c r="H14195" s="4" t="str">
        <v/>
      </c>
      <c r="I14195" s="4" t="str">
        <v/>
      </c>
    </row>
    <row r="14196" spans="5:9" ht="16.5" hidden="1">
      <c r="E14196" s="4" t="str">
        <v/>
      </c>
      <c r="F14196" s="102" t="str">
        <f ca="1">IFERROR(__xludf.DUMMYFUNCTION("IMPORTRANGE(H14196,""IDENTITAS UNIT!D9"")"),"#N/A")</f>
        <v>#N/A</v>
      </c>
      <c r="H14196" s="4" t="str">
        <v/>
      </c>
      <c r="I14196" s="4" t="str">
        <v/>
      </c>
    </row>
    <row r="14197" spans="5:9" ht="16.5" hidden="1">
      <c r="E14197" s="4" t="str">
        <v/>
      </c>
      <c r="F14197" s="102" t="str">
        <f ca="1">IFERROR(__xludf.DUMMYFUNCTION("IMPORTRANGE(H14197,""IDENTITAS UNIT!D9"")"),"#N/A")</f>
        <v>#N/A</v>
      </c>
      <c r="H14197" s="4" t="str">
        <v/>
      </c>
      <c r="I14197" s="4" t="str">
        <v/>
      </c>
    </row>
    <row r="14198" spans="5:9" ht="16.5" hidden="1">
      <c r="E14198" s="4" t="str">
        <v/>
      </c>
      <c r="F14198" s="102" t="str">
        <f ca="1">IFERROR(__xludf.DUMMYFUNCTION("IMPORTRANGE(H14198,""IDENTITAS UNIT!D9"")"),"#N/A")</f>
        <v>#N/A</v>
      </c>
      <c r="H14198" s="4" t="str">
        <v/>
      </c>
      <c r="I14198" s="4" t="str">
        <v/>
      </c>
    </row>
    <row r="14199" spans="5:9" ht="16.5" hidden="1">
      <c r="E14199" s="4" t="str">
        <v/>
      </c>
      <c r="F14199" s="102" t="str">
        <f ca="1">IFERROR(__xludf.DUMMYFUNCTION("IMPORTRANGE(H14199,""IDENTITAS UNIT!D9"")"),"#N/A")</f>
        <v>#N/A</v>
      </c>
      <c r="H14199" s="4" t="str">
        <v/>
      </c>
      <c r="I14199" s="4" t="str">
        <v/>
      </c>
    </row>
    <row r="14200" spans="5:9" ht="16.5" hidden="1">
      <c r="E14200" s="4" t="str">
        <v/>
      </c>
      <c r="F14200" s="102" t="str">
        <f ca="1">IFERROR(__xludf.DUMMYFUNCTION("IMPORTRANGE(H14200,""IDENTITAS UNIT!D9"")"),"#N/A")</f>
        <v>#N/A</v>
      </c>
      <c r="H14200" s="4" t="str">
        <v/>
      </c>
      <c r="I14200" s="4" t="str">
        <v/>
      </c>
    </row>
    <row r="14201" spans="5:9" ht="16.5" hidden="1">
      <c r="E14201" s="4" t="str">
        <v/>
      </c>
      <c r="F14201" s="102" t="str">
        <f ca="1">IFERROR(__xludf.DUMMYFUNCTION("IMPORTRANGE(H14201,""IDENTITAS UNIT!D9"")"),"#N/A")</f>
        <v>#N/A</v>
      </c>
      <c r="H14201" s="4" t="str">
        <v/>
      </c>
      <c r="I14201" s="4" t="str">
        <v/>
      </c>
    </row>
    <row r="14202" spans="5:9" ht="16.5" hidden="1">
      <c r="E14202" s="4" t="str">
        <v/>
      </c>
      <c r="F14202" s="102" t="str">
        <f ca="1">IFERROR(__xludf.DUMMYFUNCTION("IMPORTRANGE(H14202,""IDENTITAS UNIT!D9"")"),"#N/A")</f>
        <v>#N/A</v>
      </c>
      <c r="H14202" s="4" t="str">
        <v/>
      </c>
      <c r="I14202" s="4" t="str">
        <v/>
      </c>
    </row>
    <row r="14203" spans="5:9" ht="16.5" hidden="1">
      <c r="E14203" s="4" t="str">
        <v/>
      </c>
      <c r="F14203" s="102" t="str">
        <f ca="1">IFERROR(__xludf.DUMMYFUNCTION("IMPORTRANGE(H14203,""IDENTITAS UNIT!D9"")"),"#N/A")</f>
        <v>#N/A</v>
      </c>
      <c r="H14203" s="4" t="str">
        <v/>
      </c>
      <c r="I14203" s="4" t="str">
        <v/>
      </c>
    </row>
    <row r="14204" spans="5:9" ht="16.5" hidden="1">
      <c r="E14204" s="4" t="str">
        <v/>
      </c>
      <c r="F14204" s="102" t="str">
        <f ca="1">IFERROR(__xludf.DUMMYFUNCTION("IMPORTRANGE(H14204,""IDENTITAS UNIT!D9"")"),"#N/A")</f>
        <v>#N/A</v>
      </c>
      <c r="H14204" s="4" t="str">
        <v/>
      </c>
      <c r="I14204" s="4" t="str">
        <v/>
      </c>
    </row>
    <row r="14205" spans="5:9" ht="16.5" hidden="1">
      <c r="E14205" s="4" t="str">
        <v/>
      </c>
      <c r="F14205" s="102" t="str">
        <f ca="1">IFERROR(__xludf.DUMMYFUNCTION("IMPORTRANGE(H14205,""IDENTITAS UNIT!D9"")"),"#N/A")</f>
        <v>#N/A</v>
      </c>
      <c r="H14205" s="4" t="str">
        <v/>
      </c>
      <c r="I14205" s="4" t="str">
        <v/>
      </c>
    </row>
    <row r="14206" spans="5:9" ht="16.5" hidden="1">
      <c r="E14206" s="4" t="str">
        <v/>
      </c>
      <c r="F14206" s="102" t="str">
        <f ca="1">IFERROR(__xludf.DUMMYFUNCTION("IMPORTRANGE(H14206,""IDENTITAS UNIT!D9"")"),"#N/A")</f>
        <v>#N/A</v>
      </c>
      <c r="H14206" s="4" t="str">
        <v/>
      </c>
      <c r="I14206" s="4" t="str">
        <v/>
      </c>
    </row>
    <row r="14207" spans="5:9" ht="16.5" hidden="1">
      <c r="E14207" s="4" t="str">
        <v/>
      </c>
      <c r="F14207" s="102" t="str">
        <f ca="1">IFERROR(__xludf.DUMMYFUNCTION("IMPORTRANGE(H14207,""IDENTITAS UNIT!D9"")"),"#N/A")</f>
        <v>#N/A</v>
      </c>
      <c r="H14207" s="4" t="str">
        <v/>
      </c>
      <c r="I14207" s="4" t="str">
        <v/>
      </c>
    </row>
    <row r="14208" spans="5:9" ht="16.5" hidden="1">
      <c r="E14208" s="4" t="str">
        <v/>
      </c>
      <c r="F14208" s="102" t="str">
        <f ca="1">IFERROR(__xludf.DUMMYFUNCTION("IMPORTRANGE(H14208,""IDENTITAS UNIT!D9"")"),"#N/A")</f>
        <v>#N/A</v>
      </c>
      <c r="H14208" s="4" t="str">
        <v/>
      </c>
      <c r="I14208" s="4" t="str">
        <v/>
      </c>
    </row>
    <row r="14209" spans="5:9" ht="16.5" hidden="1">
      <c r="E14209" s="4" t="str">
        <v/>
      </c>
      <c r="F14209" s="102" t="str">
        <f ca="1">IFERROR(__xludf.DUMMYFUNCTION("IMPORTRANGE(H14209,""IDENTITAS UNIT!D9"")"),"#N/A")</f>
        <v>#N/A</v>
      </c>
      <c r="H14209" s="4" t="str">
        <v/>
      </c>
      <c r="I14209" s="4" t="str">
        <v/>
      </c>
    </row>
    <row r="14210" spans="5:9" ht="16.5" hidden="1">
      <c r="E14210" s="4" t="str">
        <v/>
      </c>
      <c r="F14210" s="102" t="str">
        <f ca="1">IFERROR(__xludf.DUMMYFUNCTION("IMPORTRANGE(H14210,""IDENTITAS UNIT!D9"")"),"#N/A")</f>
        <v>#N/A</v>
      </c>
      <c r="H14210" s="4" t="str">
        <v/>
      </c>
      <c r="I14210" s="4" t="str">
        <v/>
      </c>
    </row>
    <row r="14211" spans="5:9" ht="16.5" hidden="1">
      <c r="E14211" s="4" t="str">
        <v/>
      </c>
      <c r="F14211" s="102" t="str">
        <f ca="1">IFERROR(__xludf.DUMMYFUNCTION("IMPORTRANGE(H14211,""IDENTITAS UNIT!D9"")"),"#N/A")</f>
        <v>#N/A</v>
      </c>
      <c r="H14211" s="4" t="str">
        <v/>
      </c>
      <c r="I14211" s="4" t="str">
        <v/>
      </c>
    </row>
    <row r="14212" spans="5:9" ht="16.5" hidden="1">
      <c r="E14212" s="4" t="str">
        <v/>
      </c>
      <c r="F14212" s="102" t="str">
        <f ca="1">IFERROR(__xludf.DUMMYFUNCTION("IMPORTRANGE(H14212,""IDENTITAS UNIT!D9"")"),"#N/A")</f>
        <v>#N/A</v>
      </c>
      <c r="H14212" s="4" t="str">
        <v/>
      </c>
      <c r="I14212" s="4" t="str">
        <v/>
      </c>
    </row>
    <row r="14213" spans="5:9" ht="16.5" hidden="1">
      <c r="E14213" s="4" t="str">
        <v/>
      </c>
      <c r="F14213" s="102" t="str">
        <f ca="1">IFERROR(__xludf.DUMMYFUNCTION("IMPORTRANGE(H14213,""IDENTITAS UNIT!D9"")"),"#N/A")</f>
        <v>#N/A</v>
      </c>
      <c r="H14213" s="4" t="str">
        <v/>
      </c>
      <c r="I14213" s="4" t="str">
        <v/>
      </c>
    </row>
    <row r="14214" spans="5:9" ht="16.5" hidden="1">
      <c r="E14214" s="4" t="str">
        <v/>
      </c>
      <c r="F14214" s="102" t="str">
        <f ca="1">IFERROR(__xludf.DUMMYFUNCTION("IMPORTRANGE(H14214,""IDENTITAS UNIT!D9"")"),"#N/A")</f>
        <v>#N/A</v>
      </c>
      <c r="H14214" s="4" t="str">
        <v/>
      </c>
      <c r="I14214" s="4" t="str">
        <v/>
      </c>
    </row>
    <row r="14215" spans="5:9" ht="16.5" hidden="1">
      <c r="E14215" s="4" t="str">
        <v/>
      </c>
      <c r="F14215" s="102" t="str">
        <f ca="1">IFERROR(__xludf.DUMMYFUNCTION("IMPORTRANGE(H14215,""IDENTITAS UNIT!D9"")"),"#N/A")</f>
        <v>#N/A</v>
      </c>
      <c r="H14215" s="4" t="str">
        <v/>
      </c>
      <c r="I14215" s="4" t="str">
        <v/>
      </c>
    </row>
    <row r="14216" spans="5:9" ht="16.5" hidden="1">
      <c r="E14216" s="4" t="str">
        <v/>
      </c>
      <c r="F14216" s="102" t="str">
        <f ca="1">IFERROR(__xludf.DUMMYFUNCTION("IMPORTRANGE(H14216,""IDENTITAS UNIT!D9"")"),"#N/A")</f>
        <v>#N/A</v>
      </c>
      <c r="H14216" s="4" t="str">
        <v/>
      </c>
      <c r="I14216" s="4" t="str">
        <v/>
      </c>
    </row>
    <row r="14217" spans="5:9" ht="16.5" hidden="1">
      <c r="E14217" s="4" t="str">
        <v/>
      </c>
      <c r="F14217" s="102" t="str">
        <f ca="1">IFERROR(__xludf.DUMMYFUNCTION("IMPORTRANGE(H14217,""IDENTITAS UNIT!D9"")"),"#N/A")</f>
        <v>#N/A</v>
      </c>
      <c r="H14217" s="4" t="str">
        <v/>
      </c>
      <c r="I14217" s="4" t="str">
        <v/>
      </c>
    </row>
    <row r="14218" spans="5:9" ht="16.5" hidden="1">
      <c r="E14218" s="4" t="str">
        <v/>
      </c>
      <c r="F14218" s="102" t="str">
        <f ca="1">IFERROR(__xludf.DUMMYFUNCTION("IMPORTRANGE(H14218,""IDENTITAS UNIT!D9"")"),"#N/A")</f>
        <v>#N/A</v>
      </c>
      <c r="H14218" s="4" t="str">
        <v/>
      </c>
      <c r="I14218" s="4" t="str">
        <v/>
      </c>
    </row>
    <row r="14219" spans="5:9" ht="16.5" hidden="1">
      <c r="E14219" s="4" t="str">
        <v/>
      </c>
      <c r="F14219" s="102" t="str">
        <f ca="1">IFERROR(__xludf.DUMMYFUNCTION("IMPORTRANGE(H14219,""IDENTITAS UNIT!D9"")"),"#N/A")</f>
        <v>#N/A</v>
      </c>
      <c r="H14219" s="4" t="str">
        <v/>
      </c>
      <c r="I14219" s="4" t="str">
        <v/>
      </c>
    </row>
    <row r="14220" spans="5:9" ht="16.5" hidden="1">
      <c r="E14220" s="4" t="str">
        <v/>
      </c>
      <c r="F14220" s="102" t="str">
        <f ca="1">IFERROR(__xludf.DUMMYFUNCTION("IMPORTRANGE(H14220,""IDENTITAS UNIT!D9"")"),"#N/A")</f>
        <v>#N/A</v>
      </c>
      <c r="H14220" s="4" t="str">
        <v/>
      </c>
      <c r="I14220" s="4" t="str">
        <v/>
      </c>
    </row>
    <row r="14221" spans="5:9" ht="16.5" hidden="1">
      <c r="E14221" s="4" t="str">
        <v/>
      </c>
      <c r="F14221" s="102" t="str">
        <f ca="1">IFERROR(__xludf.DUMMYFUNCTION("IMPORTRANGE(H14221,""IDENTITAS UNIT!D9"")"),"#N/A")</f>
        <v>#N/A</v>
      </c>
      <c r="H14221" s="4" t="str">
        <v/>
      </c>
      <c r="I14221" s="4" t="str">
        <v/>
      </c>
    </row>
    <row r="14222" spans="5:9" ht="16.5" hidden="1">
      <c r="E14222" s="4" t="str">
        <v/>
      </c>
      <c r="F14222" s="102" t="str">
        <f ca="1">IFERROR(__xludf.DUMMYFUNCTION("IMPORTRANGE(H14222,""IDENTITAS UNIT!D9"")"),"#N/A")</f>
        <v>#N/A</v>
      </c>
      <c r="H14222" s="4" t="str">
        <v/>
      </c>
      <c r="I14222" s="4" t="str">
        <v/>
      </c>
    </row>
    <row r="14223" spans="5:9" ht="16.5" hidden="1">
      <c r="E14223" s="4" t="str">
        <v/>
      </c>
      <c r="F14223" s="102" t="str">
        <f ca="1">IFERROR(__xludf.DUMMYFUNCTION("IMPORTRANGE(H14223,""IDENTITAS UNIT!D9"")"),"#N/A")</f>
        <v>#N/A</v>
      </c>
      <c r="H14223" s="4" t="str">
        <v/>
      </c>
      <c r="I14223" s="4" t="str">
        <v/>
      </c>
    </row>
    <row r="14224" spans="5:9" ht="16.5" hidden="1">
      <c r="E14224" s="4" t="str">
        <v/>
      </c>
      <c r="F14224" s="102" t="str">
        <f ca="1">IFERROR(__xludf.DUMMYFUNCTION("IMPORTRANGE(H14224,""IDENTITAS UNIT!D9"")"),"#N/A")</f>
        <v>#N/A</v>
      </c>
      <c r="H14224" s="4" t="str">
        <v/>
      </c>
      <c r="I14224" s="4" t="str">
        <v/>
      </c>
    </row>
    <row r="14225" spans="5:9" ht="16.5" hidden="1">
      <c r="E14225" s="4" t="str">
        <v/>
      </c>
      <c r="F14225" s="102" t="str">
        <f ca="1">IFERROR(__xludf.DUMMYFUNCTION("IMPORTRANGE(H14225,""IDENTITAS UNIT!D9"")"),"#N/A")</f>
        <v>#N/A</v>
      </c>
      <c r="H14225" s="4" t="str">
        <v/>
      </c>
      <c r="I14225" s="4" t="str">
        <v/>
      </c>
    </row>
    <row r="14226" spans="5:9" ht="16.5" hidden="1">
      <c r="E14226" s="4" t="str">
        <v/>
      </c>
      <c r="F14226" s="102" t="str">
        <f ca="1">IFERROR(__xludf.DUMMYFUNCTION("IMPORTRANGE(H14226,""IDENTITAS UNIT!D9"")"),"#N/A")</f>
        <v>#N/A</v>
      </c>
      <c r="H14226" s="4" t="str">
        <v/>
      </c>
      <c r="I14226" s="4" t="str">
        <v/>
      </c>
    </row>
    <row r="14227" spans="5:9" ht="16.5" hidden="1">
      <c r="E14227" s="4" t="str">
        <v/>
      </c>
      <c r="F14227" s="102" t="str">
        <f ca="1">IFERROR(__xludf.DUMMYFUNCTION("IMPORTRANGE(H14227,""IDENTITAS UNIT!D9"")"),"#N/A")</f>
        <v>#N/A</v>
      </c>
      <c r="H14227" s="4" t="str">
        <v/>
      </c>
      <c r="I14227" s="4" t="str">
        <v/>
      </c>
    </row>
    <row r="14228" spans="5:9" ht="16.5" hidden="1">
      <c r="E14228" s="4" t="str">
        <v/>
      </c>
      <c r="F14228" s="102" t="str">
        <f ca="1">IFERROR(__xludf.DUMMYFUNCTION("IMPORTRANGE(H14228,""IDENTITAS UNIT!D9"")"),"#N/A")</f>
        <v>#N/A</v>
      </c>
      <c r="H14228" s="4" t="str">
        <v/>
      </c>
      <c r="I14228" s="4" t="str">
        <v/>
      </c>
    </row>
    <row r="14229" spans="5:9" ht="16.5" hidden="1">
      <c r="E14229" s="4" t="str">
        <v/>
      </c>
      <c r="F14229" s="102" t="str">
        <f ca="1">IFERROR(__xludf.DUMMYFUNCTION("IMPORTRANGE(H14229,""IDENTITAS UNIT!D9"")"),"#N/A")</f>
        <v>#N/A</v>
      </c>
      <c r="H14229" s="4" t="str">
        <v/>
      </c>
      <c r="I14229" s="4" t="str">
        <v/>
      </c>
    </row>
    <row r="14230" spans="5:9" ht="16.5" hidden="1">
      <c r="E14230" s="4" t="str">
        <v/>
      </c>
      <c r="F14230" s="102" t="str">
        <f ca="1">IFERROR(__xludf.DUMMYFUNCTION("IMPORTRANGE(H14230,""IDENTITAS UNIT!D9"")"),"#N/A")</f>
        <v>#N/A</v>
      </c>
      <c r="H14230" s="4" t="str">
        <v/>
      </c>
      <c r="I14230" s="4" t="str">
        <v/>
      </c>
    </row>
    <row r="14231" spans="5:9" ht="16.5" hidden="1">
      <c r="E14231" s="4" t="str">
        <v/>
      </c>
      <c r="F14231" s="102" t="str">
        <f ca="1">IFERROR(__xludf.DUMMYFUNCTION("IMPORTRANGE(H14231,""IDENTITAS UNIT!D9"")"),"#N/A")</f>
        <v>#N/A</v>
      </c>
      <c r="H14231" s="4" t="str">
        <v/>
      </c>
      <c r="I14231" s="4" t="str">
        <v/>
      </c>
    </row>
    <row r="14232" spans="5:9" ht="16.5" hidden="1">
      <c r="E14232" s="4" t="str">
        <v/>
      </c>
      <c r="F14232" s="102" t="str">
        <f ca="1">IFERROR(__xludf.DUMMYFUNCTION("IMPORTRANGE(H14232,""IDENTITAS UNIT!D9"")"),"#N/A")</f>
        <v>#N/A</v>
      </c>
      <c r="H14232" s="4" t="str">
        <v/>
      </c>
      <c r="I14232" s="4" t="str">
        <v/>
      </c>
    </row>
    <row r="14233" spans="5:9" ht="16.5" hidden="1">
      <c r="E14233" s="4" t="str">
        <v/>
      </c>
      <c r="F14233" s="102" t="str">
        <f ca="1">IFERROR(__xludf.DUMMYFUNCTION("IMPORTRANGE(H14233,""IDENTITAS UNIT!D9"")"),"#N/A")</f>
        <v>#N/A</v>
      </c>
      <c r="H14233" s="4" t="str">
        <v/>
      </c>
      <c r="I14233" s="4" t="str">
        <v/>
      </c>
    </row>
    <row r="14234" spans="5:9" ht="16.5" hidden="1">
      <c r="E14234" s="4" t="str">
        <v/>
      </c>
      <c r="F14234" s="102" t="str">
        <f ca="1">IFERROR(__xludf.DUMMYFUNCTION("IMPORTRANGE(H14234,""IDENTITAS UNIT!D9"")"),"#N/A")</f>
        <v>#N/A</v>
      </c>
      <c r="H14234" s="4" t="str">
        <v/>
      </c>
      <c r="I14234" s="4" t="str">
        <v/>
      </c>
    </row>
    <row r="14235" spans="5:9" ht="16.5" hidden="1">
      <c r="E14235" s="4" t="str">
        <v/>
      </c>
      <c r="F14235" s="102" t="str">
        <f ca="1">IFERROR(__xludf.DUMMYFUNCTION("IMPORTRANGE(H14235,""IDENTITAS UNIT!D9"")"),"#N/A")</f>
        <v>#N/A</v>
      </c>
      <c r="H14235" s="4" t="str">
        <v/>
      </c>
      <c r="I14235" s="4" t="str">
        <v/>
      </c>
    </row>
    <row r="14236" spans="5:9" ht="16.5" hidden="1">
      <c r="E14236" s="4" t="str">
        <v/>
      </c>
      <c r="F14236" s="102" t="str">
        <f ca="1">IFERROR(__xludf.DUMMYFUNCTION("IMPORTRANGE(H14236,""IDENTITAS UNIT!D9"")"),"#N/A")</f>
        <v>#N/A</v>
      </c>
      <c r="H14236" s="4" t="str">
        <v/>
      </c>
      <c r="I14236" s="4" t="str">
        <v/>
      </c>
    </row>
    <row r="14237" spans="5:9" ht="16.5" hidden="1">
      <c r="E14237" s="4" t="str">
        <v/>
      </c>
      <c r="F14237" s="102" t="str">
        <f ca="1">IFERROR(__xludf.DUMMYFUNCTION("IMPORTRANGE(H14237,""IDENTITAS UNIT!D9"")"),"#N/A")</f>
        <v>#N/A</v>
      </c>
      <c r="H14237" s="4" t="str">
        <v/>
      </c>
      <c r="I14237" s="4" t="str">
        <v/>
      </c>
    </row>
    <row r="14238" spans="5:9" ht="16.5" hidden="1">
      <c r="E14238" s="4" t="str">
        <v/>
      </c>
      <c r="F14238" s="102" t="str">
        <f ca="1">IFERROR(__xludf.DUMMYFUNCTION("IMPORTRANGE(H14238,""IDENTITAS UNIT!D9"")"),"#N/A")</f>
        <v>#N/A</v>
      </c>
      <c r="H14238" s="4" t="str">
        <v/>
      </c>
      <c r="I14238" s="4" t="str">
        <v/>
      </c>
    </row>
    <row r="14239" spans="5:9" ht="16.5" hidden="1">
      <c r="E14239" s="4" t="str">
        <v/>
      </c>
      <c r="F14239" s="102" t="str">
        <f ca="1">IFERROR(__xludf.DUMMYFUNCTION("IMPORTRANGE(H14239,""IDENTITAS UNIT!D9"")"),"#N/A")</f>
        <v>#N/A</v>
      </c>
      <c r="H14239" s="4" t="str">
        <v/>
      </c>
      <c r="I14239" s="4" t="str">
        <v/>
      </c>
    </row>
    <row r="14240" spans="5:9" ht="16.5" hidden="1">
      <c r="E14240" s="4" t="str">
        <v/>
      </c>
      <c r="F14240" s="102" t="str">
        <f ca="1">IFERROR(__xludf.DUMMYFUNCTION("IMPORTRANGE(H14240,""IDENTITAS UNIT!D9"")"),"#N/A")</f>
        <v>#N/A</v>
      </c>
      <c r="H14240" s="4" t="str">
        <v/>
      </c>
      <c r="I14240" s="4" t="str">
        <v/>
      </c>
    </row>
    <row r="14241" spans="5:9" ht="16.5" hidden="1">
      <c r="E14241" s="4" t="str">
        <v/>
      </c>
      <c r="F14241" s="102" t="str">
        <f ca="1">IFERROR(__xludf.DUMMYFUNCTION("IMPORTRANGE(H14241,""IDENTITAS UNIT!D9"")"),"#N/A")</f>
        <v>#N/A</v>
      </c>
      <c r="H14241" s="4" t="str">
        <v/>
      </c>
      <c r="I14241" s="4" t="str">
        <v/>
      </c>
    </row>
    <row r="14242" spans="5:9" ht="16.5" hidden="1">
      <c r="E14242" s="4" t="str">
        <v/>
      </c>
      <c r="F14242" s="102" t="str">
        <f ca="1">IFERROR(__xludf.DUMMYFUNCTION("IMPORTRANGE(H14242,""IDENTITAS UNIT!D9"")"),"#N/A")</f>
        <v>#N/A</v>
      </c>
      <c r="H14242" s="4" t="str">
        <v/>
      </c>
      <c r="I14242" s="4" t="str">
        <v/>
      </c>
    </row>
    <row r="14243" spans="5:9" ht="16.5" hidden="1">
      <c r="E14243" s="4" t="str">
        <v/>
      </c>
      <c r="F14243" s="102" t="str">
        <f ca="1">IFERROR(__xludf.DUMMYFUNCTION("IMPORTRANGE(H14243,""IDENTITAS UNIT!D9"")"),"#N/A")</f>
        <v>#N/A</v>
      </c>
      <c r="H14243" s="4" t="str">
        <v/>
      </c>
      <c r="I14243" s="4" t="str">
        <v/>
      </c>
    </row>
    <row r="14244" spans="5:9" ht="16.5" hidden="1">
      <c r="E14244" s="4" t="str">
        <v/>
      </c>
      <c r="F14244" s="102" t="str">
        <f ca="1">IFERROR(__xludf.DUMMYFUNCTION("IMPORTRANGE(H14244,""IDENTITAS UNIT!D9"")"),"#N/A")</f>
        <v>#N/A</v>
      </c>
      <c r="H14244" s="4" t="str">
        <v/>
      </c>
      <c r="I14244" s="4" t="str">
        <v/>
      </c>
    </row>
    <row r="14245" spans="5:9" ht="16.5" hidden="1">
      <c r="E14245" s="4" t="str">
        <v/>
      </c>
      <c r="F14245" s="102" t="str">
        <f ca="1">IFERROR(__xludf.DUMMYFUNCTION("IMPORTRANGE(H14245,""IDENTITAS UNIT!D9"")"),"#N/A")</f>
        <v>#N/A</v>
      </c>
      <c r="H14245" s="4" t="str">
        <v/>
      </c>
      <c r="I14245" s="4" t="str">
        <v/>
      </c>
    </row>
    <row r="14246" spans="5:9" ht="16.5" hidden="1">
      <c r="E14246" s="4" t="str">
        <v/>
      </c>
      <c r="F14246" s="102" t="str">
        <f ca="1">IFERROR(__xludf.DUMMYFUNCTION("IMPORTRANGE(H14246,""IDENTITAS UNIT!D9"")"),"#N/A")</f>
        <v>#N/A</v>
      </c>
      <c r="H14246" s="4" t="str">
        <v/>
      </c>
      <c r="I14246" s="4" t="str">
        <v/>
      </c>
    </row>
    <row r="14247" spans="5:9" ht="16.5" hidden="1">
      <c r="E14247" s="4" t="str">
        <v/>
      </c>
      <c r="F14247" s="102" t="str">
        <f ca="1">IFERROR(__xludf.DUMMYFUNCTION("IMPORTRANGE(H14247,""IDENTITAS UNIT!D9"")"),"#N/A")</f>
        <v>#N/A</v>
      </c>
      <c r="H14247" s="4" t="str">
        <v/>
      </c>
      <c r="I14247" s="4" t="str">
        <v/>
      </c>
    </row>
    <row r="14248" spans="5:9" ht="16.5" hidden="1">
      <c r="E14248" s="4" t="str">
        <v/>
      </c>
      <c r="F14248" s="102" t="str">
        <f ca="1">IFERROR(__xludf.DUMMYFUNCTION("IMPORTRANGE(H14248,""IDENTITAS UNIT!D9"")"),"#N/A")</f>
        <v>#N/A</v>
      </c>
      <c r="H14248" s="4" t="str">
        <v/>
      </c>
      <c r="I14248" s="4" t="str">
        <v/>
      </c>
    </row>
    <row r="14249" spans="5:9" ht="16.5" hidden="1">
      <c r="E14249" s="4" t="str">
        <v/>
      </c>
      <c r="F14249" s="102" t="str">
        <f ca="1">IFERROR(__xludf.DUMMYFUNCTION("IMPORTRANGE(H14249,""IDENTITAS UNIT!D9"")"),"#N/A")</f>
        <v>#N/A</v>
      </c>
      <c r="H14249" s="4" t="str">
        <v/>
      </c>
      <c r="I14249" s="4" t="str">
        <v/>
      </c>
    </row>
    <row r="14250" spans="5:9" ht="16.5" hidden="1">
      <c r="E14250" s="4" t="str">
        <v/>
      </c>
      <c r="F14250" s="102" t="str">
        <f ca="1">IFERROR(__xludf.DUMMYFUNCTION("IMPORTRANGE(H14250,""IDENTITAS UNIT!D9"")"),"#N/A")</f>
        <v>#N/A</v>
      </c>
      <c r="H14250" s="4" t="str">
        <v/>
      </c>
      <c r="I14250" s="4" t="str">
        <v/>
      </c>
    </row>
    <row r="14251" spans="5:9" ht="16.5" hidden="1">
      <c r="E14251" s="4" t="str">
        <v/>
      </c>
      <c r="F14251" s="102" t="str">
        <f ca="1">IFERROR(__xludf.DUMMYFUNCTION("IMPORTRANGE(H14251,""IDENTITAS UNIT!D9"")"),"#N/A")</f>
        <v>#N/A</v>
      </c>
      <c r="H14251" s="4" t="str">
        <v/>
      </c>
      <c r="I14251" s="4" t="str">
        <v/>
      </c>
    </row>
    <row r="14252" spans="5:9" ht="16.5" hidden="1">
      <c r="E14252" s="4" t="str">
        <v/>
      </c>
      <c r="F14252" s="102" t="str">
        <f ca="1">IFERROR(__xludf.DUMMYFUNCTION("IMPORTRANGE(H14252,""IDENTITAS UNIT!D9"")"),"#N/A")</f>
        <v>#N/A</v>
      </c>
      <c r="H14252" s="4" t="str">
        <v/>
      </c>
      <c r="I14252" s="4" t="str">
        <v/>
      </c>
    </row>
    <row r="14253" spans="5:9" ht="16.5" hidden="1">
      <c r="E14253" s="4" t="str">
        <v/>
      </c>
      <c r="F14253" s="102" t="str">
        <f ca="1">IFERROR(__xludf.DUMMYFUNCTION("IMPORTRANGE(H14253,""IDENTITAS UNIT!D9"")"),"#N/A")</f>
        <v>#N/A</v>
      </c>
      <c r="H14253" s="4" t="str">
        <v/>
      </c>
      <c r="I14253" s="4" t="str">
        <v/>
      </c>
    </row>
    <row r="14254" spans="5:9" ht="16.5" hidden="1">
      <c r="E14254" s="4" t="str">
        <v/>
      </c>
      <c r="F14254" s="102" t="str">
        <f ca="1">IFERROR(__xludf.DUMMYFUNCTION("IMPORTRANGE(H14254,""IDENTITAS UNIT!D9"")"),"#N/A")</f>
        <v>#N/A</v>
      </c>
      <c r="H14254" s="4" t="str">
        <v/>
      </c>
      <c r="I14254" s="4" t="str">
        <v/>
      </c>
    </row>
    <row r="14255" spans="5:9" ht="16.5" hidden="1">
      <c r="E14255" s="4" t="str">
        <v/>
      </c>
      <c r="F14255" s="102" t="str">
        <f ca="1">IFERROR(__xludf.DUMMYFUNCTION("IMPORTRANGE(H14255,""IDENTITAS UNIT!D9"")"),"#N/A")</f>
        <v>#N/A</v>
      </c>
      <c r="H14255" s="4" t="str">
        <v/>
      </c>
      <c r="I14255" s="4" t="str">
        <v/>
      </c>
    </row>
    <row r="14256" spans="5:9" ht="16.5" hidden="1">
      <c r="E14256" s="4" t="str">
        <v/>
      </c>
      <c r="F14256" s="102" t="str">
        <f ca="1">IFERROR(__xludf.DUMMYFUNCTION("IMPORTRANGE(H14256,""IDENTITAS UNIT!D9"")"),"#N/A")</f>
        <v>#N/A</v>
      </c>
      <c r="H14256" s="4" t="str">
        <v/>
      </c>
      <c r="I14256" s="4" t="str">
        <v/>
      </c>
    </row>
    <row r="14257" spans="5:9" ht="16.5" hidden="1">
      <c r="E14257" s="4" t="str">
        <v/>
      </c>
      <c r="F14257" s="102" t="str">
        <f ca="1">IFERROR(__xludf.DUMMYFUNCTION("IMPORTRANGE(H14257,""IDENTITAS UNIT!D9"")"),"#N/A")</f>
        <v>#N/A</v>
      </c>
      <c r="H14257" s="4" t="str">
        <v/>
      </c>
      <c r="I14257" s="4" t="str">
        <v/>
      </c>
    </row>
    <row r="14258" spans="5:9" ht="16.5" hidden="1">
      <c r="E14258" s="4" t="str">
        <v/>
      </c>
      <c r="F14258" s="102" t="str">
        <f ca="1">IFERROR(__xludf.DUMMYFUNCTION("IMPORTRANGE(H14258,""IDENTITAS UNIT!D9"")"),"#N/A")</f>
        <v>#N/A</v>
      </c>
      <c r="H14258" s="4" t="str">
        <v/>
      </c>
      <c r="I14258" s="4" t="str">
        <v/>
      </c>
    </row>
    <row r="14259" spans="5:9" ht="16.5" hidden="1">
      <c r="E14259" s="4" t="str">
        <v/>
      </c>
      <c r="F14259" s="102" t="str">
        <f ca="1">IFERROR(__xludf.DUMMYFUNCTION("IMPORTRANGE(H14259,""IDENTITAS UNIT!D9"")"),"#N/A")</f>
        <v>#N/A</v>
      </c>
      <c r="H14259" s="4" t="str">
        <v/>
      </c>
      <c r="I14259" s="4" t="str">
        <v/>
      </c>
    </row>
    <row r="14260" spans="5:9" ht="16.5" hidden="1">
      <c r="E14260" s="4" t="str">
        <v/>
      </c>
      <c r="F14260" s="102" t="str">
        <f ca="1">IFERROR(__xludf.DUMMYFUNCTION("IMPORTRANGE(H14260,""IDENTITAS UNIT!D9"")"),"#N/A")</f>
        <v>#N/A</v>
      </c>
      <c r="H14260" s="4" t="str">
        <v/>
      </c>
      <c r="I14260" s="4" t="str">
        <v/>
      </c>
    </row>
    <row r="14261" spans="5:9" ht="16.5" hidden="1">
      <c r="E14261" s="4" t="str">
        <v/>
      </c>
      <c r="F14261" s="102" t="str">
        <f ca="1">IFERROR(__xludf.DUMMYFUNCTION("IMPORTRANGE(H14261,""IDENTITAS UNIT!D9"")"),"#N/A")</f>
        <v>#N/A</v>
      </c>
      <c r="H14261" s="4" t="str">
        <v/>
      </c>
      <c r="I14261" s="4" t="str">
        <v/>
      </c>
    </row>
    <row r="14262" spans="5:9" ht="16.5" hidden="1">
      <c r="E14262" s="4" t="str">
        <v/>
      </c>
      <c r="F14262" s="102" t="str">
        <f ca="1">IFERROR(__xludf.DUMMYFUNCTION("IMPORTRANGE(H14262,""IDENTITAS UNIT!D9"")"),"#N/A")</f>
        <v>#N/A</v>
      </c>
      <c r="H14262" s="4" t="str">
        <v/>
      </c>
      <c r="I14262" s="4" t="str">
        <v/>
      </c>
    </row>
    <row r="14263" spans="5:9" ht="16.5" hidden="1">
      <c r="E14263" s="4" t="str">
        <v/>
      </c>
      <c r="F14263" s="102" t="str">
        <f ca="1">IFERROR(__xludf.DUMMYFUNCTION("IMPORTRANGE(H14263,""IDENTITAS UNIT!D9"")"),"#N/A")</f>
        <v>#N/A</v>
      </c>
      <c r="H14263" s="4" t="str">
        <v/>
      </c>
      <c r="I14263" s="4" t="str">
        <v/>
      </c>
    </row>
    <row r="14264" spans="5:9" ht="16.5" hidden="1">
      <c r="E14264" s="4" t="str">
        <v/>
      </c>
      <c r="F14264" s="102" t="str">
        <f ca="1">IFERROR(__xludf.DUMMYFUNCTION("IMPORTRANGE(H14264,""IDENTITAS UNIT!D9"")"),"#N/A")</f>
        <v>#N/A</v>
      </c>
      <c r="H14264" s="4" t="str">
        <v/>
      </c>
      <c r="I14264" s="4" t="str">
        <v/>
      </c>
    </row>
    <row r="14265" spans="5:9" ht="16.5" hidden="1">
      <c r="E14265" s="4" t="str">
        <v/>
      </c>
      <c r="F14265" s="102" t="str">
        <f ca="1">IFERROR(__xludf.DUMMYFUNCTION("IMPORTRANGE(H14265,""IDENTITAS UNIT!D9"")"),"#N/A")</f>
        <v>#N/A</v>
      </c>
      <c r="H14265" s="4" t="str">
        <v/>
      </c>
      <c r="I14265" s="4" t="str">
        <v/>
      </c>
    </row>
    <row r="14266" spans="5:9" ht="16.5" hidden="1">
      <c r="E14266" s="4" t="str">
        <v/>
      </c>
      <c r="F14266" s="102" t="str">
        <f ca="1">IFERROR(__xludf.DUMMYFUNCTION("IMPORTRANGE(H14266,""IDENTITAS UNIT!D9"")"),"#N/A")</f>
        <v>#N/A</v>
      </c>
      <c r="H14266" s="4" t="str">
        <v/>
      </c>
      <c r="I14266" s="4" t="str">
        <v/>
      </c>
    </row>
    <row r="14267" spans="5:9" ht="16.5" hidden="1">
      <c r="E14267" s="4" t="str">
        <v/>
      </c>
      <c r="F14267" s="102" t="str">
        <f ca="1">IFERROR(__xludf.DUMMYFUNCTION("IMPORTRANGE(H14267,""IDENTITAS UNIT!D9"")"),"#N/A")</f>
        <v>#N/A</v>
      </c>
      <c r="H14267" s="4" t="str">
        <v/>
      </c>
      <c r="I14267" s="4" t="str">
        <v/>
      </c>
    </row>
    <row r="14268" spans="5:9" ht="16.5" hidden="1">
      <c r="E14268" s="4" t="str">
        <v/>
      </c>
      <c r="F14268" s="102" t="str">
        <f ca="1">IFERROR(__xludf.DUMMYFUNCTION("IMPORTRANGE(H14268,""IDENTITAS UNIT!D9"")"),"#N/A")</f>
        <v>#N/A</v>
      </c>
      <c r="H14268" s="4" t="str">
        <v/>
      </c>
      <c r="I14268" s="4" t="str">
        <v/>
      </c>
    </row>
    <row r="14269" spans="5:9" ht="16.5" hidden="1">
      <c r="E14269" s="4" t="str">
        <v/>
      </c>
      <c r="F14269" s="102" t="str">
        <f ca="1">IFERROR(__xludf.DUMMYFUNCTION("IMPORTRANGE(H14269,""IDENTITAS UNIT!D9"")"),"#N/A")</f>
        <v>#N/A</v>
      </c>
      <c r="H14269" s="4" t="str">
        <v/>
      </c>
      <c r="I14269" s="4" t="str">
        <v/>
      </c>
    </row>
    <row r="14270" spans="5:9" ht="16.5" hidden="1">
      <c r="E14270" s="4" t="str">
        <v/>
      </c>
      <c r="F14270" s="102" t="str">
        <f ca="1">IFERROR(__xludf.DUMMYFUNCTION("IMPORTRANGE(H14270,""IDENTITAS UNIT!D9"")"),"#N/A")</f>
        <v>#N/A</v>
      </c>
      <c r="H14270" s="4" t="str">
        <v/>
      </c>
      <c r="I14270" s="4" t="str">
        <v/>
      </c>
    </row>
    <row r="14271" spans="5:9" ht="16.5" hidden="1">
      <c r="E14271" s="4" t="str">
        <v/>
      </c>
      <c r="F14271" s="102" t="str">
        <f ca="1">IFERROR(__xludf.DUMMYFUNCTION("IMPORTRANGE(H14271,""IDENTITAS UNIT!D9"")"),"#N/A")</f>
        <v>#N/A</v>
      </c>
      <c r="H14271" s="4" t="str">
        <v/>
      </c>
      <c r="I14271" s="4" t="str">
        <v/>
      </c>
    </row>
    <row r="14272" spans="5:9" ht="16.5" hidden="1">
      <c r="E14272" s="4" t="str">
        <v/>
      </c>
      <c r="F14272" s="102" t="str">
        <f ca="1">IFERROR(__xludf.DUMMYFUNCTION("IMPORTRANGE(H14272,""IDENTITAS UNIT!D9"")"),"#N/A")</f>
        <v>#N/A</v>
      </c>
      <c r="H14272" s="4" t="str">
        <v/>
      </c>
      <c r="I14272" s="4" t="str">
        <v/>
      </c>
    </row>
    <row r="14273" spans="5:9" ht="16.5" hidden="1">
      <c r="E14273" s="4" t="str">
        <v/>
      </c>
      <c r="F14273" s="102" t="str">
        <f ca="1">IFERROR(__xludf.DUMMYFUNCTION("IMPORTRANGE(H14273,""IDENTITAS UNIT!D9"")"),"#N/A")</f>
        <v>#N/A</v>
      </c>
      <c r="H14273" s="4" t="str">
        <v/>
      </c>
      <c r="I14273" s="4" t="str">
        <v/>
      </c>
    </row>
    <row r="14274" spans="5:9" ht="16.5" hidden="1">
      <c r="E14274" s="4" t="str">
        <v/>
      </c>
      <c r="F14274" s="102" t="str">
        <f ca="1">IFERROR(__xludf.DUMMYFUNCTION("IMPORTRANGE(H14274,""IDENTITAS UNIT!D9"")"),"#N/A")</f>
        <v>#N/A</v>
      </c>
      <c r="H14274" s="4" t="str">
        <v/>
      </c>
      <c r="I14274" s="4" t="str">
        <v/>
      </c>
    </row>
    <row r="14275" spans="5:9" ht="16.5" hidden="1">
      <c r="E14275" s="4" t="str">
        <v/>
      </c>
      <c r="F14275" s="102" t="str">
        <f ca="1">IFERROR(__xludf.DUMMYFUNCTION("IMPORTRANGE(H14275,""IDENTITAS UNIT!D9"")"),"#N/A")</f>
        <v>#N/A</v>
      </c>
      <c r="H14275" s="4" t="str">
        <v/>
      </c>
      <c r="I14275" s="4" t="str">
        <v/>
      </c>
    </row>
    <row r="14276" spans="5:9" ht="16.5" hidden="1">
      <c r="E14276" s="4" t="str">
        <v/>
      </c>
      <c r="F14276" s="102" t="str">
        <f ca="1">IFERROR(__xludf.DUMMYFUNCTION("IMPORTRANGE(H14276,""IDENTITAS UNIT!D9"")"),"#N/A")</f>
        <v>#N/A</v>
      </c>
      <c r="H14276" s="4" t="str">
        <v/>
      </c>
      <c r="I14276" s="4" t="str">
        <v/>
      </c>
    </row>
    <row r="14277" spans="5:9" ht="16.5" hidden="1">
      <c r="E14277" s="4" t="str">
        <v/>
      </c>
      <c r="F14277" s="102" t="str">
        <f ca="1">IFERROR(__xludf.DUMMYFUNCTION("IMPORTRANGE(H14277,""IDENTITAS UNIT!D9"")"),"#N/A")</f>
        <v>#N/A</v>
      </c>
      <c r="H14277" s="4" t="str">
        <v/>
      </c>
      <c r="I14277" s="4" t="str">
        <v/>
      </c>
    </row>
    <row r="14278" spans="5:9" ht="16.5" hidden="1">
      <c r="E14278" s="4" t="str">
        <v/>
      </c>
      <c r="F14278" s="102" t="str">
        <f ca="1">IFERROR(__xludf.DUMMYFUNCTION("IMPORTRANGE(H14278,""IDENTITAS UNIT!D9"")"),"#N/A")</f>
        <v>#N/A</v>
      </c>
      <c r="H14278" s="4" t="str">
        <v/>
      </c>
      <c r="I14278" s="4" t="str">
        <v/>
      </c>
    </row>
    <row r="14279" spans="5:9" ht="16.5" hidden="1">
      <c r="E14279" s="4" t="str">
        <v/>
      </c>
      <c r="F14279" s="102" t="str">
        <f ca="1">IFERROR(__xludf.DUMMYFUNCTION("IMPORTRANGE(H14279,""IDENTITAS UNIT!D9"")"),"#N/A")</f>
        <v>#N/A</v>
      </c>
      <c r="H14279" s="4" t="str">
        <v/>
      </c>
      <c r="I14279" s="4" t="str">
        <v/>
      </c>
    </row>
    <row r="14280" spans="5:9" ht="16.5" hidden="1">
      <c r="E14280" s="4" t="str">
        <v/>
      </c>
      <c r="F14280" s="102" t="str">
        <f ca="1">IFERROR(__xludf.DUMMYFUNCTION("IMPORTRANGE(H14280,""IDENTITAS UNIT!D9"")"),"#N/A")</f>
        <v>#N/A</v>
      </c>
      <c r="H14280" s="4" t="str">
        <v/>
      </c>
      <c r="I14280" s="4" t="str">
        <v/>
      </c>
    </row>
    <row r="14281" spans="5:9" ht="16.5" hidden="1">
      <c r="E14281" s="4" t="str">
        <v/>
      </c>
      <c r="F14281" s="102" t="str">
        <f ca="1">IFERROR(__xludf.DUMMYFUNCTION("IMPORTRANGE(H14281,""IDENTITAS UNIT!D9"")"),"#N/A")</f>
        <v>#N/A</v>
      </c>
      <c r="H14281" s="4" t="str">
        <v/>
      </c>
      <c r="I14281" s="4" t="str">
        <v/>
      </c>
    </row>
    <row r="14282" spans="5:9" ht="16.5" hidden="1">
      <c r="E14282" s="4" t="str">
        <v/>
      </c>
      <c r="F14282" s="102" t="str">
        <f ca="1">IFERROR(__xludf.DUMMYFUNCTION("IMPORTRANGE(H14282,""IDENTITAS UNIT!D9"")"),"#N/A")</f>
        <v>#N/A</v>
      </c>
      <c r="H14282" s="4" t="str">
        <v/>
      </c>
      <c r="I14282" s="4" t="str">
        <v/>
      </c>
    </row>
    <row r="14283" spans="5:9" ht="16.5" hidden="1">
      <c r="E14283" s="4" t="str">
        <v/>
      </c>
      <c r="F14283" s="102" t="str">
        <f ca="1">IFERROR(__xludf.DUMMYFUNCTION("IMPORTRANGE(H14283,""IDENTITAS UNIT!D9"")"),"#N/A")</f>
        <v>#N/A</v>
      </c>
      <c r="H14283" s="4" t="str">
        <v/>
      </c>
      <c r="I14283" s="4" t="str">
        <v/>
      </c>
    </row>
    <row r="14284" spans="5:9" ht="16.5" hidden="1">
      <c r="E14284" s="4" t="str">
        <v/>
      </c>
      <c r="F14284" s="102" t="str">
        <f ca="1">IFERROR(__xludf.DUMMYFUNCTION("IMPORTRANGE(H14284,""IDENTITAS UNIT!D9"")"),"#N/A")</f>
        <v>#N/A</v>
      </c>
      <c r="H14284" s="4" t="str">
        <v/>
      </c>
      <c r="I14284" s="4" t="str">
        <v/>
      </c>
    </row>
    <row r="14285" spans="5:9" ht="16.5" hidden="1">
      <c r="E14285" s="4" t="str">
        <v/>
      </c>
      <c r="F14285" s="102" t="str">
        <f ca="1">IFERROR(__xludf.DUMMYFUNCTION("IMPORTRANGE(H14285,""IDENTITAS UNIT!D9"")"),"#N/A")</f>
        <v>#N/A</v>
      </c>
      <c r="H14285" s="4" t="str">
        <v/>
      </c>
      <c r="I14285" s="4" t="str">
        <v/>
      </c>
    </row>
    <row r="14286" spans="5:9" ht="16.5" hidden="1">
      <c r="E14286" s="4" t="str">
        <v/>
      </c>
      <c r="F14286" s="102" t="str">
        <f ca="1">IFERROR(__xludf.DUMMYFUNCTION("IMPORTRANGE(H14286,""IDENTITAS UNIT!D9"")"),"#N/A")</f>
        <v>#N/A</v>
      </c>
      <c r="H14286" s="4" t="str">
        <v/>
      </c>
      <c r="I14286" s="4" t="str">
        <v/>
      </c>
    </row>
    <row r="14287" spans="5:9" ht="16.5" hidden="1">
      <c r="E14287" s="4" t="str">
        <v/>
      </c>
      <c r="F14287" s="102" t="str">
        <f ca="1">IFERROR(__xludf.DUMMYFUNCTION("IMPORTRANGE(H14287,""IDENTITAS UNIT!D9"")"),"#N/A")</f>
        <v>#N/A</v>
      </c>
      <c r="H14287" s="4" t="str">
        <v/>
      </c>
      <c r="I14287" s="4" t="str">
        <v/>
      </c>
    </row>
    <row r="14288" spans="5:9" ht="16.5" hidden="1">
      <c r="E14288" s="4" t="str">
        <v/>
      </c>
      <c r="F14288" s="102" t="str">
        <f ca="1">IFERROR(__xludf.DUMMYFUNCTION("IMPORTRANGE(H14288,""IDENTITAS UNIT!D9"")"),"#N/A")</f>
        <v>#N/A</v>
      </c>
      <c r="H14288" s="4" t="str">
        <v/>
      </c>
      <c r="I14288" s="4" t="str">
        <v/>
      </c>
    </row>
    <row r="14289" spans="5:9" ht="16.5" hidden="1">
      <c r="E14289" s="4" t="str">
        <v/>
      </c>
      <c r="F14289" s="102" t="str">
        <f ca="1">IFERROR(__xludf.DUMMYFUNCTION("IMPORTRANGE(H14289,""IDENTITAS UNIT!D9"")"),"#N/A")</f>
        <v>#N/A</v>
      </c>
      <c r="H14289" s="4" t="str">
        <v/>
      </c>
      <c r="I14289" s="4" t="str">
        <v/>
      </c>
    </row>
    <row r="14290" spans="5:9" ht="16.5" hidden="1">
      <c r="E14290" s="4" t="str">
        <v/>
      </c>
      <c r="F14290" s="102" t="str">
        <f ca="1">IFERROR(__xludf.DUMMYFUNCTION("IMPORTRANGE(H14290,""IDENTITAS UNIT!D9"")"),"#N/A")</f>
        <v>#N/A</v>
      </c>
      <c r="H14290" s="4" t="str">
        <v/>
      </c>
      <c r="I14290" s="4" t="str">
        <v/>
      </c>
    </row>
    <row r="14291" spans="5:9" ht="16.5" hidden="1">
      <c r="E14291" s="4" t="str">
        <v/>
      </c>
      <c r="F14291" s="102" t="str">
        <f ca="1">IFERROR(__xludf.DUMMYFUNCTION("IMPORTRANGE(H14291,""IDENTITAS UNIT!D9"")"),"#N/A")</f>
        <v>#N/A</v>
      </c>
      <c r="H14291" s="4" t="str">
        <v/>
      </c>
      <c r="I14291" s="4" t="str">
        <v/>
      </c>
    </row>
    <row r="14292" spans="5:9" ht="16.5" hidden="1">
      <c r="E14292" s="4" t="str">
        <v/>
      </c>
      <c r="F14292" s="102" t="str">
        <f ca="1">IFERROR(__xludf.DUMMYFUNCTION("IMPORTRANGE(H14292,""IDENTITAS UNIT!D9"")"),"#N/A")</f>
        <v>#N/A</v>
      </c>
      <c r="H14292" s="4" t="str">
        <v/>
      </c>
      <c r="I14292" s="4" t="str">
        <v/>
      </c>
    </row>
    <row r="14293" spans="5:9" ht="16.5" hidden="1">
      <c r="E14293" s="4" t="str">
        <v/>
      </c>
      <c r="F14293" s="102" t="str">
        <f ca="1">IFERROR(__xludf.DUMMYFUNCTION("IMPORTRANGE(H14293,""IDENTITAS UNIT!D9"")"),"#N/A")</f>
        <v>#N/A</v>
      </c>
      <c r="H14293" s="4" t="str">
        <v/>
      </c>
      <c r="I14293" s="4" t="str">
        <v/>
      </c>
    </row>
    <row r="14294" spans="5:9" ht="16.5" hidden="1">
      <c r="E14294" s="4" t="str">
        <v/>
      </c>
      <c r="F14294" s="102" t="str">
        <f ca="1">IFERROR(__xludf.DUMMYFUNCTION("IMPORTRANGE(H14294,""IDENTITAS UNIT!D9"")"),"#N/A")</f>
        <v>#N/A</v>
      </c>
      <c r="H14294" s="4" t="str">
        <v/>
      </c>
      <c r="I14294" s="4" t="str">
        <v/>
      </c>
    </row>
    <row r="14295" spans="5:9" ht="16.5" hidden="1">
      <c r="E14295" s="4" t="str">
        <v/>
      </c>
      <c r="F14295" s="102" t="str">
        <f ca="1">IFERROR(__xludf.DUMMYFUNCTION("IMPORTRANGE(H14295,""IDENTITAS UNIT!D9"")"),"#N/A")</f>
        <v>#N/A</v>
      </c>
      <c r="H14295" s="4" t="str">
        <v/>
      </c>
      <c r="I14295" s="4" t="str">
        <v/>
      </c>
    </row>
    <row r="14296" spans="5:9" ht="16.5" hidden="1">
      <c r="E14296" s="4" t="str">
        <v/>
      </c>
      <c r="F14296" s="102" t="str">
        <f ca="1">IFERROR(__xludf.DUMMYFUNCTION("IMPORTRANGE(H14296,""IDENTITAS UNIT!D9"")"),"#N/A")</f>
        <v>#N/A</v>
      </c>
      <c r="H14296" s="4" t="str">
        <v/>
      </c>
      <c r="I14296" s="4" t="str">
        <v/>
      </c>
    </row>
    <row r="14297" spans="5:9" ht="16.5" hidden="1">
      <c r="E14297" s="4" t="str">
        <v/>
      </c>
      <c r="F14297" s="102" t="str">
        <f ca="1">IFERROR(__xludf.DUMMYFUNCTION("IMPORTRANGE(H14297,""IDENTITAS UNIT!D9"")"),"#N/A")</f>
        <v>#N/A</v>
      </c>
      <c r="H14297" s="4" t="str">
        <v/>
      </c>
      <c r="I14297" s="4" t="str">
        <v/>
      </c>
    </row>
    <row r="14298" spans="5:9" ht="16.5" hidden="1">
      <c r="E14298" s="4" t="str">
        <v/>
      </c>
      <c r="F14298" s="102" t="str">
        <f ca="1">IFERROR(__xludf.DUMMYFUNCTION("IMPORTRANGE(H14298,""IDENTITAS UNIT!D9"")"),"#N/A")</f>
        <v>#N/A</v>
      </c>
      <c r="H14298" s="4" t="str">
        <v/>
      </c>
      <c r="I14298" s="4" t="str">
        <v/>
      </c>
    </row>
    <row r="14299" spans="5:9" ht="16.5" hidden="1">
      <c r="E14299" s="4" t="str">
        <v/>
      </c>
      <c r="F14299" s="102" t="str">
        <f ca="1">IFERROR(__xludf.DUMMYFUNCTION("IMPORTRANGE(H14299,""IDENTITAS UNIT!D9"")"),"#N/A")</f>
        <v>#N/A</v>
      </c>
      <c r="H14299" s="4" t="str">
        <v/>
      </c>
      <c r="I14299" s="4" t="str">
        <v/>
      </c>
    </row>
    <row r="14300" spans="5:9" ht="16.5" hidden="1">
      <c r="E14300" s="4" t="str">
        <v/>
      </c>
      <c r="F14300" s="102" t="str">
        <f ca="1">IFERROR(__xludf.DUMMYFUNCTION("IMPORTRANGE(H14300,""IDENTITAS UNIT!D9"")"),"#N/A")</f>
        <v>#N/A</v>
      </c>
      <c r="H14300" s="4" t="str">
        <v/>
      </c>
      <c r="I14300" s="4" t="str">
        <v/>
      </c>
    </row>
    <row r="14301" spans="5:9" ht="16.5" hidden="1">
      <c r="E14301" s="4" t="str">
        <v/>
      </c>
      <c r="F14301" s="102" t="str">
        <f ca="1">IFERROR(__xludf.DUMMYFUNCTION("IMPORTRANGE(H14301,""IDENTITAS UNIT!D9"")"),"#N/A")</f>
        <v>#N/A</v>
      </c>
      <c r="H14301" s="4" t="str">
        <v/>
      </c>
      <c r="I14301" s="4" t="str">
        <v/>
      </c>
    </row>
    <row r="14302" spans="5:9" ht="16.5" hidden="1">
      <c r="E14302" s="4" t="str">
        <v/>
      </c>
      <c r="F14302" s="102" t="str">
        <f ca="1">IFERROR(__xludf.DUMMYFUNCTION("IMPORTRANGE(H14302,""IDENTITAS UNIT!D9"")"),"#N/A")</f>
        <v>#N/A</v>
      </c>
      <c r="H14302" s="4" t="str">
        <v/>
      </c>
      <c r="I14302" s="4" t="str">
        <v/>
      </c>
    </row>
    <row r="14303" spans="5:9" ht="16.5" hidden="1">
      <c r="E14303" s="4" t="str">
        <v/>
      </c>
      <c r="F14303" s="102" t="str">
        <f ca="1">IFERROR(__xludf.DUMMYFUNCTION("IMPORTRANGE(H14303,""IDENTITAS UNIT!D9"")"),"#N/A")</f>
        <v>#N/A</v>
      </c>
      <c r="H14303" s="4" t="str">
        <v/>
      </c>
      <c r="I14303" s="4" t="str">
        <v/>
      </c>
    </row>
    <row r="14304" spans="5:9" ht="16.5" hidden="1">
      <c r="E14304" s="4" t="str">
        <v/>
      </c>
      <c r="F14304" s="102" t="str">
        <f ca="1">IFERROR(__xludf.DUMMYFUNCTION("IMPORTRANGE(H14304,""IDENTITAS UNIT!D9"")"),"#N/A")</f>
        <v>#N/A</v>
      </c>
      <c r="H14304" s="4" t="str">
        <v/>
      </c>
      <c r="I14304" s="4" t="str">
        <v/>
      </c>
    </row>
    <row r="14305" spans="5:9" ht="16.5" hidden="1">
      <c r="E14305" s="4" t="str">
        <v/>
      </c>
      <c r="F14305" s="102" t="str">
        <f ca="1">IFERROR(__xludf.DUMMYFUNCTION("IMPORTRANGE(H14305,""IDENTITAS UNIT!D9"")"),"#N/A")</f>
        <v>#N/A</v>
      </c>
      <c r="H14305" s="4" t="str">
        <v/>
      </c>
      <c r="I14305" s="4" t="str">
        <v/>
      </c>
    </row>
    <row r="14306" spans="5:9" ht="16.5" hidden="1">
      <c r="E14306" s="4" t="str">
        <v/>
      </c>
      <c r="F14306" s="102" t="str">
        <f ca="1">IFERROR(__xludf.DUMMYFUNCTION("IMPORTRANGE(H14306,""IDENTITAS UNIT!D9"")"),"#N/A")</f>
        <v>#N/A</v>
      </c>
      <c r="H14306" s="4" t="str">
        <v/>
      </c>
      <c r="I14306" s="4" t="str">
        <v/>
      </c>
    </row>
    <row r="14307" spans="5:9" ht="16.5" hidden="1">
      <c r="E14307" s="4" t="str">
        <v/>
      </c>
      <c r="F14307" s="102" t="str">
        <f ca="1">IFERROR(__xludf.DUMMYFUNCTION("IMPORTRANGE(H14307,""IDENTITAS UNIT!D9"")"),"#N/A")</f>
        <v>#N/A</v>
      </c>
      <c r="H14307" s="4" t="str">
        <v/>
      </c>
      <c r="I14307" s="4" t="str">
        <v/>
      </c>
    </row>
    <row r="14308" spans="5:9" ht="16.5" hidden="1">
      <c r="E14308" s="4" t="str">
        <v/>
      </c>
      <c r="F14308" s="102" t="str">
        <f ca="1">IFERROR(__xludf.DUMMYFUNCTION("IMPORTRANGE(H14308,""IDENTITAS UNIT!D9"")"),"#N/A")</f>
        <v>#N/A</v>
      </c>
      <c r="H14308" s="4" t="str">
        <v/>
      </c>
      <c r="I14308" s="4" t="str">
        <v/>
      </c>
    </row>
    <row r="14309" spans="5:9" ht="16.5" hidden="1">
      <c r="E14309" s="4" t="str">
        <v/>
      </c>
      <c r="F14309" s="102" t="str">
        <f ca="1">IFERROR(__xludf.DUMMYFUNCTION("IMPORTRANGE(H14309,""IDENTITAS UNIT!D9"")"),"#N/A")</f>
        <v>#N/A</v>
      </c>
      <c r="H14309" s="4" t="str">
        <v/>
      </c>
      <c r="I14309" s="4" t="str">
        <v/>
      </c>
    </row>
    <row r="14310" spans="5:9" ht="16.5" hidden="1">
      <c r="E14310" s="4" t="str">
        <v/>
      </c>
      <c r="F14310" s="102" t="str">
        <f ca="1">IFERROR(__xludf.DUMMYFUNCTION("IMPORTRANGE(H14310,""IDENTITAS UNIT!D9"")"),"#N/A")</f>
        <v>#N/A</v>
      </c>
      <c r="H14310" s="4" t="str">
        <v/>
      </c>
      <c r="I14310" s="4" t="str">
        <v/>
      </c>
    </row>
    <row r="14311" spans="5:9" ht="16.5" hidden="1">
      <c r="E14311" s="4" t="str">
        <v/>
      </c>
      <c r="F14311" s="102" t="str">
        <f ca="1">IFERROR(__xludf.DUMMYFUNCTION("IMPORTRANGE(H14311,""IDENTITAS UNIT!D9"")"),"#N/A")</f>
        <v>#N/A</v>
      </c>
      <c r="H14311" s="4" t="str">
        <v/>
      </c>
      <c r="I14311" s="4" t="str">
        <v/>
      </c>
    </row>
    <row r="14312" spans="5:9" ht="16.5" hidden="1">
      <c r="E14312" s="4" t="str">
        <v/>
      </c>
      <c r="F14312" s="102" t="str">
        <f ca="1">IFERROR(__xludf.DUMMYFUNCTION("IMPORTRANGE(H14312,""IDENTITAS UNIT!D9"")"),"#N/A")</f>
        <v>#N/A</v>
      </c>
      <c r="H14312" s="4" t="str">
        <v/>
      </c>
      <c r="I14312" s="4" t="str">
        <v/>
      </c>
    </row>
    <row r="14313" spans="5:9" ht="16.5" hidden="1">
      <c r="E14313" s="4" t="str">
        <v/>
      </c>
      <c r="F14313" s="102" t="str">
        <f ca="1">IFERROR(__xludf.DUMMYFUNCTION("IMPORTRANGE(H14313,""IDENTITAS UNIT!D9"")"),"#N/A")</f>
        <v>#N/A</v>
      </c>
      <c r="H14313" s="4" t="str">
        <v/>
      </c>
      <c r="I14313" s="4" t="str">
        <v/>
      </c>
    </row>
    <row r="14314" spans="5:9" ht="16.5" hidden="1">
      <c r="E14314" s="4" t="str">
        <v/>
      </c>
      <c r="F14314" s="102" t="str">
        <f ca="1">IFERROR(__xludf.DUMMYFUNCTION("IMPORTRANGE(H14314,""IDENTITAS UNIT!D9"")"),"#N/A")</f>
        <v>#N/A</v>
      </c>
      <c r="H14314" s="4" t="str">
        <v/>
      </c>
      <c r="I14314" s="4" t="str">
        <v/>
      </c>
    </row>
    <row r="14315" spans="5:9" ht="16.5" hidden="1">
      <c r="E14315" s="4" t="str">
        <v/>
      </c>
      <c r="F14315" s="102" t="str">
        <f ca="1">IFERROR(__xludf.DUMMYFUNCTION("IMPORTRANGE(H14315,""IDENTITAS UNIT!D9"")"),"#N/A")</f>
        <v>#N/A</v>
      </c>
      <c r="H14315" s="4" t="str">
        <v/>
      </c>
      <c r="I14315" s="4" t="str">
        <v/>
      </c>
    </row>
    <row r="14316" spans="5:9" ht="16.5" hidden="1">
      <c r="E14316" s="4" t="str">
        <v/>
      </c>
      <c r="F14316" s="102" t="str">
        <f ca="1">IFERROR(__xludf.DUMMYFUNCTION("IMPORTRANGE(H14316,""IDENTITAS UNIT!D9"")"),"#N/A")</f>
        <v>#N/A</v>
      </c>
      <c r="H14316" s="4" t="str">
        <v/>
      </c>
      <c r="I14316" s="4" t="str">
        <v/>
      </c>
    </row>
    <row r="14317" spans="5:9" ht="16.5" hidden="1">
      <c r="E14317" s="4" t="str">
        <v/>
      </c>
      <c r="F14317" s="102" t="str">
        <f ca="1">IFERROR(__xludf.DUMMYFUNCTION("IMPORTRANGE(H14317,""IDENTITAS UNIT!D9"")"),"#N/A")</f>
        <v>#N/A</v>
      </c>
      <c r="H14317" s="4" t="str">
        <v/>
      </c>
      <c r="I14317" s="4" t="str">
        <v/>
      </c>
    </row>
    <row r="14318" spans="5:9" ht="16.5" hidden="1">
      <c r="E14318" s="4" t="str">
        <v/>
      </c>
      <c r="F14318" s="102" t="str">
        <f ca="1">IFERROR(__xludf.DUMMYFUNCTION("IMPORTRANGE(H14318,""IDENTITAS UNIT!D9"")"),"#N/A")</f>
        <v>#N/A</v>
      </c>
      <c r="H14318" s="4" t="str">
        <v/>
      </c>
      <c r="I14318" s="4" t="str">
        <v/>
      </c>
    </row>
    <row r="14319" spans="5:9" ht="16.5" hidden="1">
      <c r="E14319" s="4" t="str">
        <v/>
      </c>
      <c r="F14319" s="102" t="str">
        <f ca="1">IFERROR(__xludf.DUMMYFUNCTION("IMPORTRANGE(H14319,""IDENTITAS UNIT!D9"")"),"#N/A")</f>
        <v>#N/A</v>
      </c>
      <c r="H14319" s="4" t="str">
        <v/>
      </c>
      <c r="I14319" s="4" t="str">
        <v/>
      </c>
    </row>
    <row r="14320" spans="5:9" ht="16.5" hidden="1">
      <c r="E14320" s="4" t="str">
        <v/>
      </c>
      <c r="F14320" s="102" t="str">
        <f ca="1">IFERROR(__xludf.DUMMYFUNCTION("IMPORTRANGE(H14320,""IDENTITAS UNIT!D9"")"),"#N/A")</f>
        <v>#N/A</v>
      </c>
      <c r="H14320" s="4" t="str">
        <v/>
      </c>
      <c r="I14320" s="4" t="str">
        <v/>
      </c>
    </row>
    <row r="14321" spans="5:9" ht="16.5" hidden="1">
      <c r="E14321" s="4" t="str">
        <v/>
      </c>
      <c r="F14321" s="102" t="str">
        <f ca="1">IFERROR(__xludf.DUMMYFUNCTION("IMPORTRANGE(H14321,""IDENTITAS UNIT!D9"")"),"#N/A")</f>
        <v>#N/A</v>
      </c>
      <c r="H14321" s="4" t="str">
        <v/>
      </c>
      <c r="I14321" s="4" t="str">
        <v/>
      </c>
    </row>
    <row r="14322" spans="5:9" ht="16.5" hidden="1">
      <c r="E14322" s="4" t="str">
        <v/>
      </c>
      <c r="F14322" s="102" t="str">
        <f ca="1">IFERROR(__xludf.DUMMYFUNCTION("IMPORTRANGE(H14322,""IDENTITAS UNIT!D9"")"),"#N/A")</f>
        <v>#N/A</v>
      </c>
      <c r="H14322" s="4" t="str">
        <v/>
      </c>
      <c r="I14322" s="4" t="str">
        <v/>
      </c>
    </row>
    <row r="14323" spans="5:9" ht="16.5" hidden="1">
      <c r="E14323" s="4" t="str">
        <v/>
      </c>
      <c r="F14323" s="102" t="str">
        <f ca="1">IFERROR(__xludf.DUMMYFUNCTION("IMPORTRANGE(H14323,""IDENTITAS UNIT!D9"")"),"#N/A")</f>
        <v>#N/A</v>
      </c>
      <c r="H14323" s="4" t="str">
        <v/>
      </c>
      <c r="I14323" s="4" t="str">
        <v/>
      </c>
    </row>
    <row r="14324" spans="5:9" ht="16.5" hidden="1">
      <c r="E14324" s="4" t="str">
        <v/>
      </c>
      <c r="F14324" s="102" t="str">
        <f ca="1">IFERROR(__xludf.DUMMYFUNCTION("IMPORTRANGE(H14324,""IDENTITAS UNIT!D9"")"),"#N/A")</f>
        <v>#N/A</v>
      </c>
      <c r="H14324" s="4" t="str">
        <v/>
      </c>
      <c r="I14324" s="4" t="str">
        <v/>
      </c>
    </row>
    <row r="14325" spans="5:9" ht="16.5" hidden="1">
      <c r="E14325" s="4" t="str">
        <v/>
      </c>
      <c r="F14325" s="102" t="str">
        <f ca="1">IFERROR(__xludf.DUMMYFUNCTION("IMPORTRANGE(H14325,""IDENTITAS UNIT!D9"")"),"#N/A")</f>
        <v>#N/A</v>
      </c>
      <c r="H14325" s="4" t="str">
        <v/>
      </c>
      <c r="I14325" s="4" t="str">
        <v/>
      </c>
    </row>
    <row r="14326" spans="5:9" ht="16.5" hidden="1">
      <c r="E14326" s="4" t="str">
        <v/>
      </c>
      <c r="F14326" s="102" t="str">
        <f ca="1">IFERROR(__xludf.DUMMYFUNCTION("IMPORTRANGE(H14326,""IDENTITAS UNIT!D9"")"),"#N/A")</f>
        <v>#N/A</v>
      </c>
      <c r="H14326" s="4" t="str">
        <v/>
      </c>
      <c r="I14326" s="4" t="str">
        <v/>
      </c>
    </row>
    <row r="14327" spans="5:9" ht="16.5" hidden="1">
      <c r="E14327" s="4" t="str">
        <v/>
      </c>
      <c r="F14327" s="102" t="str">
        <f ca="1">IFERROR(__xludf.DUMMYFUNCTION("IMPORTRANGE(H14327,""IDENTITAS UNIT!D9"")"),"#N/A")</f>
        <v>#N/A</v>
      </c>
      <c r="H14327" s="4" t="str">
        <v/>
      </c>
      <c r="I14327" s="4" t="str">
        <v/>
      </c>
    </row>
    <row r="14328" spans="5:9" ht="16.5" hidden="1">
      <c r="E14328" s="4" t="str">
        <v/>
      </c>
      <c r="F14328" s="102" t="str">
        <f ca="1">IFERROR(__xludf.DUMMYFUNCTION("IMPORTRANGE(H14328,""IDENTITAS UNIT!D9"")"),"#N/A")</f>
        <v>#N/A</v>
      </c>
      <c r="H14328" s="4" t="str">
        <v/>
      </c>
      <c r="I14328" s="4" t="str">
        <v/>
      </c>
    </row>
    <row r="14329" spans="5:9" ht="16.5" hidden="1">
      <c r="E14329" s="4" t="str">
        <v/>
      </c>
      <c r="F14329" s="102" t="str">
        <f ca="1">IFERROR(__xludf.DUMMYFUNCTION("IMPORTRANGE(H14329,""IDENTITAS UNIT!D9"")"),"#N/A")</f>
        <v>#N/A</v>
      </c>
      <c r="H14329" s="4" t="str">
        <v/>
      </c>
      <c r="I14329" s="4" t="str">
        <v/>
      </c>
    </row>
    <row r="14330" spans="5:9" ht="16.5" hidden="1">
      <c r="E14330" s="4" t="str">
        <v/>
      </c>
      <c r="F14330" s="102" t="str">
        <f ca="1">IFERROR(__xludf.DUMMYFUNCTION("IMPORTRANGE(H14330,""IDENTITAS UNIT!D9"")"),"#N/A")</f>
        <v>#N/A</v>
      </c>
      <c r="H14330" s="4" t="str">
        <v/>
      </c>
      <c r="I14330" s="4" t="str">
        <v/>
      </c>
    </row>
    <row r="14331" spans="5:9" ht="16.5" hidden="1">
      <c r="E14331" s="4" t="str">
        <v/>
      </c>
      <c r="F14331" s="102" t="str">
        <f ca="1">IFERROR(__xludf.DUMMYFUNCTION("IMPORTRANGE(H14331,""IDENTITAS UNIT!D9"")"),"#N/A")</f>
        <v>#N/A</v>
      </c>
      <c r="H14331" s="4" t="str">
        <v/>
      </c>
      <c r="I14331" s="4" t="str">
        <v/>
      </c>
    </row>
    <row r="14332" spans="5:9" ht="16.5" hidden="1">
      <c r="E14332" s="4" t="str">
        <v/>
      </c>
      <c r="F14332" s="102" t="str">
        <f ca="1">IFERROR(__xludf.DUMMYFUNCTION("IMPORTRANGE(H14332,""IDENTITAS UNIT!D9"")"),"#N/A")</f>
        <v>#N/A</v>
      </c>
      <c r="H14332" s="4" t="str">
        <v/>
      </c>
      <c r="I14332" s="4" t="str">
        <v/>
      </c>
    </row>
    <row r="14333" spans="5:9" ht="16.5" hidden="1">
      <c r="E14333" s="4" t="str">
        <v/>
      </c>
      <c r="F14333" s="102" t="str">
        <f ca="1">IFERROR(__xludf.DUMMYFUNCTION("IMPORTRANGE(H14333,""IDENTITAS UNIT!D9"")"),"#N/A")</f>
        <v>#N/A</v>
      </c>
      <c r="H14333" s="4" t="str">
        <v/>
      </c>
      <c r="I14333" s="4" t="str">
        <v/>
      </c>
    </row>
    <row r="14334" spans="5:9" ht="16.5" hidden="1">
      <c r="E14334" s="4" t="str">
        <v/>
      </c>
      <c r="F14334" s="102" t="str">
        <f ca="1">IFERROR(__xludf.DUMMYFUNCTION("IMPORTRANGE(H14334,""IDENTITAS UNIT!D9"")"),"#N/A")</f>
        <v>#N/A</v>
      </c>
      <c r="H14334" s="4" t="str">
        <v/>
      </c>
      <c r="I14334" s="4" t="str">
        <v/>
      </c>
    </row>
    <row r="14335" spans="5:9" ht="16.5" hidden="1">
      <c r="E14335" s="4" t="str">
        <v/>
      </c>
      <c r="F14335" s="102" t="str">
        <f ca="1">IFERROR(__xludf.DUMMYFUNCTION("IMPORTRANGE(H14335,""IDENTITAS UNIT!D9"")"),"#N/A")</f>
        <v>#N/A</v>
      </c>
      <c r="H14335" s="4" t="str">
        <v/>
      </c>
      <c r="I14335" s="4" t="str">
        <v/>
      </c>
    </row>
    <row r="14336" spans="5:9" ht="16.5" hidden="1">
      <c r="E14336" s="4" t="str">
        <v/>
      </c>
      <c r="F14336" s="102" t="str">
        <f ca="1">IFERROR(__xludf.DUMMYFUNCTION("IMPORTRANGE(H14336,""IDENTITAS UNIT!D9"")"),"#N/A")</f>
        <v>#N/A</v>
      </c>
      <c r="H14336" s="4" t="str">
        <v/>
      </c>
      <c r="I14336" s="4" t="str">
        <v/>
      </c>
    </row>
    <row r="14337" spans="5:9" ht="16.5" hidden="1">
      <c r="E14337" s="4" t="str">
        <v/>
      </c>
      <c r="F14337" s="102" t="str">
        <f ca="1">IFERROR(__xludf.DUMMYFUNCTION("IMPORTRANGE(H14337,""IDENTITAS UNIT!D9"")"),"#N/A")</f>
        <v>#N/A</v>
      </c>
      <c r="H14337" s="4" t="str">
        <v/>
      </c>
      <c r="I14337" s="4" t="str">
        <v/>
      </c>
    </row>
    <row r="14338" spans="5:9" ht="16.5" hidden="1">
      <c r="E14338" s="4" t="str">
        <v/>
      </c>
      <c r="F14338" s="102" t="str">
        <f ca="1">IFERROR(__xludf.DUMMYFUNCTION("IMPORTRANGE(H14338,""IDENTITAS UNIT!D9"")"),"#N/A")</f>
        <v>#N/A</v>
      </c>
      <c r="H14338" s="4" t="str">
        <v/>
      </c>
      <c r="I14338" s="4" t="str">
        <v/>
      </c>
    </row>
    <row r="14339" spans="5:9" ht="16.5" hidden="1">
      <c r="E14339" s="4" t="str">
        <v/>
      </c>
      <c r="F14339" s="102" t="str">
        <f ca="1">IFERROR(__xludf.DUMMYFUNCTION("IMPORTRANGE(H14339,""IDENTITAS UNIT!D9"")"),"#N/A")</f>
        <v>#N/A</v>
      </c>
      <c r="H14339" s="4" t="str">
        <v/>
      </c>
      <c r="I14339" s="4" t="str">
        <v/>
      </c>
    </row>
    <row r="14340" spans="5:9" ht="16.5" hidden="1">
      <c r="E14340" s="4" t="str">
        <v/>
      </c>
      <c r="F14340" s="102" t="str">
        <f ca="1">IFERROR(__xludf.DUMMYFUNCTION("IMPORTRANGE(H14340,""IDENTITAS UNIT!D9"")"),"#N/A")</f>
        <v>#N/A</v>
      </c>
      <c r="H14340" s="4" t="str">
        <v/>
      </c>
      <c r="I14340" s="4" t="str">
        <v/>
      </c>
    </row>
    <row r="14341" spans="5:9" ht="16.5" hidden="1">
      <c r="E14341" s="4" t="str">
        <v/>
      </c>
      <c r="F14341" s="102" t="str">
        <f ca="1">IFERROR(__xludf.DUMMYFUNCTION("IMPORTRANGE(H14341,""IDENTITAS UNIT!D9"")"),"#N/A")</f>
        <v>#N/A</v>
      </c>
      <c r="H14341" s="4" t="str">
        <v/>
      </c>
      <c r="I14341" s="4" t="str">
        <v/>
      </c>
    </row>
    <row r="14342" spans="5:9" ht="16.5" hidden="1">
      <c r="E14342" s="4" t="str">
        <v/>
      </c>
      <c r="F14342" s="102" t="str">
        <f ca="1">IFERROR(__xludf.DUMMYFUNCTION("IMPORTRANGE(H14342,""IDENTITAS UNIT!D9"")"),"#N/A")</f>
        <v>#N/A</v>
      </c>
      <c r="H14342" s="4" t="str">
        <v/>
      </c>
      <c r="I14342" s="4" t="str">
        <v/>
      </c>
    </row>
    <row r="14343" spans="5:9" ht="16.5" hidden="1">
      <c r="E14343" s="4" t="str">
        <v/>
      </c>
      <c r="F14343" s="102" t="str">
        <f ca="1">IFERROR(__xludf.DUMMYFUNCTION("IMPORTRANGE(H14343,""IDENTITAS UNIT!D9"")"),"#N/A")</f>
        <v>#N/A</v>
      </c>
      <c r="H14343" s="4" t="str">
        <v/>
      </c>
      <c r="I14343" s="4" t="str">
        <v/>
      </c>
    </row>
    <row r="14344" spans="5:9" ht="16.5" hidden="1">
      <c r="E14344" s="4" t="str">
        <v/>
      </c>
      <c r="F14344" s="102" t="str">
        <f ca="1">IFERROR(__xludf.DUMMYFUNCTION("IMPORTRANGE(H14344,""IDENTITAS UNIT!D9"")"),"#N/A")</f>
        <v>#N/A</v>
      </c>
      <c r="H14344" s="4" t="str">
        <v/>
      </c>
      <c r="I14344" s="4" t="str">
        <v/>
      </c>
    </row>
    <row r="14345" spans="5:9" ht="16.5" hidden="1">
      <c r="E14345" s="4" t="str">
        <v/>
      </c>
      <c r="F14345" s="102" t="str">
        <f ca="1">IFERROR(__xludf.DUMMYFUNCTION("IMPORTRANGE(H14345,""IDENTITAS UNIT!D9"")"),"#N/A")</f>
        <v>#N/A</v>
      </c>
      <c r="H14345" s="4" t="str">
        <v/>
      </c>
      <c r="I14345" s="4" t="str">
        <v/>
      </c>
    </row>
    <row r="14346" spans="5:9" ht="16.5" hidden="1">
      <c r="E14346" s="4" t="str">
        <v/>
      </c>
      <c r="F14346" s="102" t="str">
        <f ca="1">IFERROR(__xludf.DUMMYFUNCTION("IMPORTRANGE(H14346,""IDENTITAS UNIT!D9"")"),"#N/A")</f>
        <v>#N/A</v>
      </c>
      <c r="H14346" s="4" t="str">
        <v/>
      </c>
      <c r="I14346" s="4" t="str">
        <v/>
      </c>
    </row>
    <row r="14347" spans="5:9" ht="16.5" hidden="1">
      <c r="E14347" s="4" t="str">
        <v/>
      </c>
      <c r="F14347" s="102" t="str">
        <f ca="1">IFERROR(__xludf.DUMMYFUNCTION("IMPORTRANGE(H14347,""IDENTITAS UNIT!D9"")"),"#N/A")</f>
        <v>#N/A</v>
      </c>
      <c r="H14347" s="4" t="str">
        <v/>
      </c>
      <c r="I14347" s="4" t="str">
        <v/>
      </c>
    </row>
    <row r="14348" spans="5:9" ht="16.5" hidden="1">
      <c r="E14348" s="4" t="str">
        <v/>
      </c>
      <c r="F14348" s="102" t="str">
        <f ca="1">IFERROR(__xludf.DUMMYFUNCTION("IMPORTRANGE(H14348,""IDENTITAS UNIT!D9"")"),"#N/A")</f>
        <v>#N/A</v>
      </c>
      <c r="H14348" s="4" t="str">
        <v/>
      </c>
      <c r="I14348" s="4" t="str">
        <v/>
      </c>
    </row>
    <row r="14349" spans="5:9" ht="16.5" hidden="1">
      <c r="E14349" s="4" t="str">
        <v/>
      </c>
      <c r="F14349" s="102" t="str">
        <f ca="1">IFERROR(__xludf.DUMMYFUNCTION("IMPORTRANGE(H14349,""IDENTITAS UNIT!D9"")"),"#N/A")</f>
        <v>#N/A</v>
      </c>
      <c r="H14349" s="4" t="str">
        <v/>
      </c>
      <c r="I14349" s="4" t="str">
        <v/>
      </c>
    </row>
    <row r="14350" spans="5:9" ht="16.5" hidden="1">
      <c r="E14350" s="4" t="str">
        <v/>
      </c>
      <c r="F14350" s="102" t="str">
        <f ca="1">IFERROR(__xludf.DUMMYFUNCTION("IMPORTRANGE(H14350,""IDENTITAS UNIT!D9"")"),"#N/A")</f>
        <v>#N/A</v>
      </c>
      <c r="H14350" s="4" t="str">
        <v/>
      </c>
      <c r="I14350" s="4" t="str">
        <v/>
      </c>
    </row>
    <row r="14351" spans="5:9" ht="16.5" hidden="1">
      <c r="E14351" s="4" t="str">
        <v/>
      </c>
      <c r="F14351" s="102" t="str">
        <f ca="1">IFERROR(__xludf.DUMMYFUNCTION("IMPORTRANGE(H14351,""IDENTITAS UNIT!D9"")"),"#N/A")</f>
        <v>#N/A</v>
      </c>
      <c r="H14351" s="4" t="str">
        <v/>
      </c>
      <c r="I14351" s="4" t="str">
        <v/>
      </c>
    </row>
    <row r="14352" spans="5:9" ht="16.5" hidden="1">
      <c r="E14352" s="4" t="str">
        <v/>
      </c>
      <c r="F14352" s="102" t="str">
        <f ca="1">IFERROR(__xludf.DUMMYFUNCTION("IMPORTRANGE(H14352,""IDENTITAS UNIT!D9"")"),"#N/A")</f>
        <v>#N/A</v>
      </c>
      <c r="H14352" s="4" t="str">
        <v/>
      </c>
      <c r="I14352" s="4" t="str">
        <v/>
      </c>
    </row>
    <row r="14353" spans="5:9" ht="16.5" hidden="1">
      <c r="E14353" s="4" t="str">
        <v/>
      </c>
      <c r="F14353" s="102" t="str">
        <f ca="1">IFERROR(__xludf.DUMMYFUNCTION("IMPORTRANGE(H14353,""IDENTITAS UNIT!D9"")"),"#N/A")</f>
        <v>#N/A</v>
      </c>
      <c r="H14353" s="4" t="str">
        <v/>
      </c>
      <c r="I14353" s="4" t="str">
        <v/>
      </c>
    </row>
    <row r="14354" spans="5:9" ht="16.5" hidden="1">
      <c r="E14354" s="4" t="str">
        <v/>
      </c>
      <c r="F14354" s="102" t="str">
        <f ca="1">IFERROR(__xludf.DUMMYFUNCTION("IMPORTRANGE(H14354,""IDENTITAS UNIT!D9"")"),"#N/A")</f>
        <v>#N/A</v>
      </c>
      <c r="H14354" s="4" t="str">
        <v/>
      </c>
      <c r="I14354" s="4" t="str">
        <v/>
      </c>
    </row>
    <row r="14355" spans="5:9" ht="16.5" hidden="1">
      <c r="E14355" s="4" t="str">
        <v/>
      </c>
      <c r="F14355" s="102" t="str">
        <f ca="1">IFERROR(__xludf.DUMMYFUNCTION("IMPORTRANGE(H14355,""IDENTITAS UNIT!D9"")"),"#N/A")</f>
        <v>#N/A</v>
      </c>
      <c r="H14355" s="4" t="str">
        <v/>
      </c>
      <c r="I14355" s="4" t="str">
        <v/>
      </c>
    </row>
    <row r="14356" spans="5:9" ht="16.5" hidden="1">
      <c r="E14356" s="4" t="str">
        <v/>
      </c>
      <c r="F14356" s="102" t="str">
        <f ca="1">IFERROR(__xludf.DUMMYFUNCTION("IMPORTRANGE(H14356,""IDENTITAS UNIT!D9"")"),"#N/A")</f>
        <v>#N/A</v>
      </c>
      <c r="H14356" s="4" t="str">
        <v/>
      </c>
      <c r="I14356" s="4" t="str">
        <v/>
      </c>
    </row>
    <row r="14357" spans="5:9" ht="16.5" hidden="1">
      <c r="E14357" s="4" t="str">
        <v/>
      </c>
      <c r="F14357" s="102" t="str">
        <f ca="1">IFERROR(__xludf.DUMMYFUNCTION("IMPORTRANGE(H14357,""IDENTITAS UNIT!D9"")"),"#N/A")</f>
        <v>#N/A</v>
      </c>
      <c r="H14357" s="4" t="str">
        <v/>
      </c>
      <c r="I14357" s="4" t="str">
        <v/>
      </c>
    </row>
    <row r="14358" spans="5:9" ht="16.5" hidden="1">
      <c r="E14358" s="4" t="str">
        <v/>
      </c>
      <c r="F14358" s="102" t="str">
        <f ca="1">IFERROR(__xludf.DUMMYFUNCTION("IMPORTRANGE(H14358,""IDENTITAS UNIT!D9"")"),"#N/A")</f>
        <v>#N/A</v>
      </c>
      <c r="H14358" s="4" t="str">
        <v/>
      </c>
      <c r="I14358" s="4" t="str">
        <v/>
      </c>
    </row>
    <row r="14359" spans="5:9" ht="16.5" hidden="1">
      <c r="E14359" s="4" t="str">
        <v/>
      </c>
      <c r="F14359" s="102" t="str">
        <f ca="1">IFERROR(__xludf.DUMMYFUNCTION("IMPORTRANGE(H14359,""IDENTITAS UNIT!D9"")"),"#N/A")</f>
        <v>#N/A</v>
      </c>
      <c r="H14359" s="4" t="str">
        <v/>
      </c>
      <c r="I14359" s="4" t="str">
        <v/>
      </c>
    </row>
    <row r="14360" spans="5:9" ht="16.5" hidden="1">
      <c r="E14360" s="4" t="str">
        <v/>
      </c>
      <c r="F14360" s="102" t="str">
        <f ca="1">IFERROR(__xludf.DUMMYFUNCTION("IMPORTRANGE(H14360,""IDENTITAS UNIT!D9"")"),"#N/A")</f>
        <v>#N/A</v>
      </c>
      <c r="H14360" s="4" t="str">
        <v/>
      </c>
      <c r="I14360" s="4" t="str">
        <v/>
      </c>
    </row>
    <row r="14361" spans="5:9" ht="16.5" hidden="1">
      <c r="E14361" s="4" t="str">
        <v/>
      </c>
      <c r="F14361" s="102" t="str">
        <f ca="1">IFERROR(__xludf.DUMMYFUNCTION("IMPORTRANGE(H14361,""IDENTITAS UNIT!D9"")"),"#N/A")</f>
        <v>#N/A</v>
      </c>
      <c r="H14361" s="4" t="str">
        <v/>
      </c>
      <c r="I14361" s="4" t="str">
        <v/>
      </c>
    </row>
    <row r="14362" spans="5:9" ht="16.5" hidden="1">
      <c r="E14362" s="4" t="str">
        <v/>
      </c>
      <c r="F14362" s="102" t="str">
        <f ca="1">IFERROR(__xludf.DUMMYFUNCTION("IMPORTRANGE(H14362,""IDENTITAS UNIT!D9"")"),"#N/A")</f>
        <v>#N/A</v>
      </c>
      <c r="H14362" s="4" t="str">
        <v/>
      </c>
      <c r="I14362" s="4" t="str">
        <v/>
      </c>
    </row>
    <row r="14363" spans="5:9" ht="16.5" hidden="1">
      <c r="E14363" s="4" t="str">
        <v/>
      </c>
      <c r="F14363" s="102" t="str">
        <f ca="1">IFERROR(__xludf.DUMMYFUNCTION("IMPORTRANGE(H14363,""IDENTITAS UNIT!D9"")"),"#N/A")</f>
        <v>#N/A</v>
      </c>
      <c r="H14363" s="4" t="str">
        <v/>
      </c>
      <c r="I14363" s="4" t="str">
        <v/>
      </c>
    </row>
    <row r="14364" spans="5:9" ht="16.5" hidden="1">
      <c r="E14364" s="4" t="str">
        <v/>
      </c>
      <c r="F14364" s="102" t="str">
        <f ca="1">IFERROR(__xludf.DUMMYFUNCTION("IMPORTRANGE(H14364,""IDENTITAS UNIT!D9"")"),"#N/A")</f>
        <v>#N/A</v>
      </c>
      <c r="H14364" s="4" t="str">
        <v/>
      </c>
      <c r="I14364" s="4" t="str">
        <v/>
      </c>
    </row>
    <row r="14365" spans="5:9" ht="16.5" hidden="1">
      <c r="E14365" s="4" t="str">
        <v/>
      </c>
      <c r="F14365" s="102" t="str">
        <f ca="1">IFERROR(__xludf.DUMMYFUNCTION("IMPORTRANGE(H14365,""IDENTITAS UNIT!D9"")"),"#N/A")</f>
        <v>#N/A</v>
      </c>
      <c r="H14365" s="4" t="str">
        <v/>
      </c>
      <c r="I14365" s="4" t="str">
        <v/>
      </c>
    </row>
    <row r="14366" spans="5:9" ht="16.5" hidden="1">
      <c r="E14366" s="4" t="str">
        <v/>
      </c>
      <c r="F14366" s="102" t="str">
        <f ca="1">IFERROR(__xludf.DUMMYFUNCTION("IMPORTRANGE(H14366,""IDENTITAS UNIT!D9"")"),"#N/A")</f>
        <v>#N/A</v>
      </c>
      <c r="H14366" s="4" t="str">
        <v/>
      </c>
      <c r="I14366" s="4" t="str">
        <v/>
      </c>
    </row>
    <row r="14367" spans="5:9" ht="16.5" hidden="1">
      <c r="E14367" s="4" t="str">
        <v/>
      </c>
      <c r="F14367" s="102" t="str">
        <f ca="1">IFERROR(__xludf.DUMMYFUNCTION("IMPORTRANGE(H14367,""IDENTITAS UNIT!D9"")"),"#N/A")</f>
        <v>#N/A</v>
      </c>
      <c r="H14367" s="4" t="str">
        <v/>
      </c>
      <c r="I14367" s="4" t="str">
        <v/>
      </c>
    </row>
    <row r="14368" spans="5:9" ht="16.5" hidden="1">
      <c r="E14368" s="4" t="str">
        <v/>
      </c>
      <c r="F14368" s="102" t="str">
        <f ca="1">IFERROR(__xludf.DUMMYFUNCTION("IMPORTRANGE(H14368,""IDENTITAS UNIT!D9"")"),"#N/A")</f>
        <v>#N/A</v>
      </c>
      <c r="H14368" s="4" t="str">
        <v/>
      </c>
      <c r="I14368" s="4" t="str">
        <v/>
      </c>
    </row>
    <row r="14369" spans="5:9" ht="16.5" hidden="1">
      <c r="E14369" s="4" t="str">
        <v/>
      </c>
      <c r="F14369" s="102" t="str">
        <f ca="1">IFERROR(__xludf.DUMMYFUNCTION("IMPORTRANGE(H14369,""IDENTITAS UNIT!D9"")"),"#N/A")</f>
        <v>#N/A</v>
      </c>
      <c r="H14369" s="4" t="str">
        <v/>
      </c>
      <c r="I14369" s="4" t="str">
        <v/>
      </c>
    </row>
    <row r="14370" spans="5:9" ht="16.5" hidden="1">
      <c r="E14370" s="4" t="str">
        <v/>
      </c>
      <c r="F14370" s="102" t="str">
        <f ca="1">IFERROR(__xludf.DUMMYFUNCTION("IMPORTRANGE(H14370,""IDENTITAS UNIT!D9"")"),"#N/A")</f>
        <v>#N/A</v>
      </c>
      <c r="H14370" s="4" t="str">
        <v/>
      </c>
      <c r="I14370" s="4" t="str">
        <v/>
      </c>
    </row>
    <row r="14371" spans="5:9" ht="16.5" hidden="1">
      <c r="E14371" s="4" t="str">
        <v/>
      </c>
      <c r="F14371" s="102" t="str">
        <f ca="1">IFERROR(__xludf.DUMMYFUNCTION("IMPORTRANGE(H14371,""IDENTITAS UNIT!D9"")"),"#N/A")</f>
        <v>#N/A</v>
      </c>
      <c r="H14371" s="4" t="str">
        <v/>
      </c>
      <c r="I14371" s="4" t="str">
        <v/>
      </c>
    </row>
    <row r="14372" spans="5:9" ht="16.5" hidden="1">
      <c r="E14372" s="4" t="str">
        <v/>
      </c>
      <c r="F14372" s="102" t="str">
        <f ca="1">IFERROR(__xludf.DUMMYFUNCTION("IMPORTRANGE(H14372,""IDENTITAS UNIT!D9"")"),"#N/A")</f>
        <v>#N/A</v>
      </c>
      <c r="H14372" s="4" t="str">
        <v/>
      </c>
      <c r="I14372" s="4" t="str">
        <v/>
      </c>
    </row>
    <row r="14373" spans="5:9" ht="16.5" hidden="1">
      <c r="E14373" s="4" t="str">
        <v/>
      </c>
      <c r="F14373" s="102" t="str">
        <f ca="1">IFERROR(__xludf.DUMMYFUNCTION("IMPORTRANGE(H14373,""IDENTITAS UNIT!D9"")"),"#N/A")</f>
        <v>#N/A</v>
      </c>
      <c r="H14373" s="4" t="str">
        <v/>
      </c>
      <c r="I14373" s="4" t="str">
        <v/>
      </c>
    </row>
    <row r="14374" spans="5:9" ht="16.5" hidden="1">
      <c r="E14374" s="4" t="str">
        <v/>
      </c>
      <c r="F14374" s="102" t="str">
        <f ca="1">IFERROR(__xludf.DUMMYFUNCTION("IMPORTRANGE(H14374,""IDENTITAS UNIT!D9"")"),"#N/A")</f>
        <v>#N/A</v>
      </c>
      <c r="H14374" s="4" t="str">
        <v/>
      </c>
      <c r="I14374" s="4" t="str">
        <v/>
      </c>
    </row>
    <row r="14375" spans="5:9" ht="16.5" hidden="1">
      <c r="E14375" s="4" t="str">
        <v/>
      </c>
      <c r="F14375" s="102" t="str">
        <f ca="1">IFERROR(__xludf.DUMMYFUNCTION("IMPORTRANGE(H14375,""IDENTITAS UNIT!D9"")"),"#N/A")</f>
        <v>#N/A</v>
      </c>
      <c r="H14375" s="4" t="str">
        <v/>
      </c>
      <c r="I14375" s="4" t="str">
        <v/>
      </c>
    </row>
    <row r="14376" spans="5:9" ht="16.5" hidden="1">
      <c r="E14376" s="4" t="str">
        <v/>
      </c>
      <c r="F14376" s="102" t="str">
        <f ca="1">IFERROR(__xludf.DUMMYFUNCTION("IMPORTRANGE(H14376,""IDENTITAS UNIT!D9"")"),"#N/A")</f>
        <v>#N/A</v>
      </c>
      <c r="H14376" s="4" t="str">
        <v/>
      </c>
      <c r="I14376" s="4" t="str">
        <v/>
      </c>
    </row>
    <row r="14377" spans="5:9" ht="16.5" hidden="1">
      <c r="E14377" s="4" t="str">
        <v/>
      </c>
      <c r="F14377" s="102" t="str">
        <f ca="1">IFERROR(__xludf.DUMMYFUNCTION("IMPORTRANGE(H14377,""IDENTITAS UNIT!D9"")"),"#N/A")</f>
        <v>#N/A</v>
      </c>
      <c r="H14377" s="4" t="str">
        <v/>
      </c>
      <c r="I14377" s="4" t="str">
        <v/>
      </c>
    </row>
    <row r="14378" spans="5:9" ht="16.5" hidden="1">
      <c r="E14378" s="4" t="str">
        <v/>
      </c>
      <c r="F14378" s="102" t="str">
        <f ca="1">IFERROR(__xludf.DUMMYFUNCTION("IMPORTRANGE(H14378,""IDENTITAS UNIT!D9"")"),"#N/A")</f>
        <v>#N/A</v>
      </c>
      <c r="H14378" s="4" t="str">
        <v/>
      </c>
      <c r="I14378" s="4" t="str">
        <v/>
      </c>
    </row>
    <row r="14379" spans="5:9" ht="16.5" hidden="1">
      <c r="E14379" s="4" t="str">
        <v/>
      </c>
      <c r="F14379" s="102" t="str">
        <f ca="1">IFERROR(__xludf.DUMMYFUNCTION("IMPORTRANGE(H14379,""IDENTITAS UNIT!D9"")"),"#N/A")</f>
        <v>#N/A</v>
      </c>
      <c r="H14379" s="4" t="str">
        <v/>
      </c>
      <c r="I14379" s="4" t="str">
        <v/>
      </c>
    </row>
    <row r="14380" spans="5:9" ht="16.5" hidden="1">
      <c r="E14380" s="4" t="str">
        <v/>
      </c>
      <c r="F14380" s="102" t="str">
        <f ca="1">IFERROR(__xludf.DUMMYFUNCTION("IMPORTRANGE(H14380,""IDENTITAS UNIT!D9"")"),"#N/A")</f>
        <v>#N/A</v>
      </c>
      <c r="H14380" s="4" t="str">
        <v/>
      </c>
      <c r="I14380" s="4" t="str">
        <v/>
      </c>
    </row>
    <row r="14381" spans="5:9" ht="16.5" hidden="1">
      <c r="E14381" s="4" t="str">
        <v/>
      </c>
      <c r="F14381" s="102" t="str">
        <f ca="1">IFERROR(__xludf.DUMMYFUNCTION("IMPORTRANGE(H14381,""IDENTITAS UNIT!D9"")"),"#N/A")</f>
        <v>#N/A</v>
      </c>
      <c r="H14381" s="4" t="str">
        <v/>
      </c>
      <c r="I14381" s="4" t="str">
        <v/>
      </c>
    </row>
    <row r="14382" spans="5:9" ht="16.5" hidden="1">
      <c r="E14382" s="4" t="str">
        <v/>
      </c>
      <c r="F14382" s="102" t="str">
        <f ca="1">IFERROR(__xludf.DUMMYFUNCTION("IMPORTRANGE(H14382,""IDENTITAS UNIT!D9"")"),"#N/A")</f>
        <v>#N/A</v>
      </c>
      <c r="H14382" s="4" t="str">
        <v/>
      </c>
      <c r="I14382" s="4" t="str">
        <v/>
      </c>
    </row>
    <row r="14383" spans="5:9" ht="16.5" hidden="1">
      <c r="E14383" s="4" t="str">
        <v/>
      </c>
      <c r="F14383" s="102" t="str">
        <f ca="1">IFERROR(__xludf.DUMMYFUNCTION("IMPORTRANGE(H14383,""IDENTITAS UNIT!D9"")"),"#N/A")</f>
        <v>#N/A</v>
      </c>
      <c r="H14383" s="4" t="str">
        <v/>
      </c>
      <c r="I14383" s="4" t="str">
        <v/>
      </c>
    </row>
    <row r="14384" spans="5:9" ht="16.5" hidden="1">
      <c r="E14384" s="4" t="str">
        <v/>
      </c>
      <c r="F14384" s="102" t="str">
        <f ca="1">IFERROR(__xludf.DUMMYFUNCTION("IMPORTRANGE(H14384,""IDENTITAS UNIT!D9"")"),"#N/A")</f>
        <v>#N/A</v>
      </c>
      <c r="H14384" s="4" t="str">
        <v/>
      </c>
      <c r="I14384" s="4" t="str">
        <v/>
      </c>
    </row>
    <row r="14385" spans="5:9" ht="16.5" hidden="1">
      <c r="E14385" s="4" t="str">
        <v/>
      </c>
      <c r="F14385" s="102" t="str">
        <f ca="1">IFERROR(__xludf.DUMMYFUNCTION("IMPORTRANGE(H14385,""IDENTITAS UNIT!D9"")"),"#N/A")</f>
        <v>#N/A</v>
      </c>
      <c r="H14385" s="4" t="str">
        <v/>
      </c>
      <c r="I14385" s="4" t="str">
        <v/>
      </c>
    </row>
    <row r="14386" spans="5:9" ht="16.5" hidden="1">
      <c r="E14386" s="4" t="str">
        <v/>
      </c>
      <c r="F14386" s="102" t="str">
        <f ca="1">IFERROR(__xludf.DUMMYFUNCTION("IMPORTRANGE(H14386,""IDENTITAS UNIT!D9"")"),"#N/A")</f>
        <v>#N/A</v>
      </c>
      <c r="H14386" s="4" t="str">
        <v/>
      </c>
      <c r="I14386" s="4" t="str">
        <v/>
      </c>
    </row>
    <row r="14387" spans="5:9" ht="16.5" hidden="1">
      <c r="E14387" s="4" t="str">
        <v/>
      </c>
      <c r="F14387" s="102" t="str">
        <f ca="1">IFERROR(__xludf.DUMMYFUNCTION("IMPORTRANGE(H14387,""IDENTITAS UNIT!D9"")"),"#N/A")</f>
        <v>#N/A</v>
      </c>
      <c r="H14387" s="4" t="str">
        <v/>
      </c>
      <c r="I14387" s="4" t="str">
        <v/>
      </c>
    </row>
    <row r="14388" spans="5:9" ht="16.5" hidden="1">
      <c r="E14388" s="4" t="str">
        <v/>
      </c>
      <c r="F14388" s="102" t="str">
        <f ca="1">IFERROR(__xludf.DUMMYFUNCTION("IMPORTRANGE(H14388,""IDENTITAS UNIT!D9"")"),"#N/A")</f>
        <v>#N/A</v>
      </c>
      <c r="H14388" s="4" t="str">
        <v/>
      </c>
      <c r="I14388" s="4" t="str">
        <v/>
      </c>
    </row>
    <row r="14389" spans="5:9" ht="16.5" hidden="1">
      <c r="E14389" s="4" t="str">
        <v/>
      </c>
      <c r="F14389" s="102" t="str">
        <f ca="1">IFERROR(__xludf.DUMMYFUNCTION("IMPORTRANGE(H14389,""IDENTITAS UNIT!D9"")"),"#N/A")</f>
        <v>#N/A</v>
      </c>
      <c r="H14389" s="4" t="str">
        <v/>
      </c>
      <c r="I14389" s="4" t="str">
        <v/>
      </c>
    </row>
    <row r="14390" spans="5:9" ht="16.5" hidden="1">
      <c r="E14390" s="4" t="str">
        <v/>
      </c>
      <c r="F14390" s="102" t="str">
        <f ca="1">IFERROR(__xludf.DUMMYFUNCTION("IMPORTRANGE(H14390,""IDENTITAS UNIT!D9"")"),"#N/A")</f>
        <v>#N/A</v>
      </c>
      <c r="H14390" s="4" t="str">
        <v/>
      </c>
      <c r="I14390" s="4" t="str">
        <v/>
      </c>
    </row>
    <row r="14391" spans="5:9" ht="16.5" hidden="1">
      <c r="E14391" s="4" t="str">
        <v/>
      </c>
      <c r="F14391" s="102" t="str">
        <f ca="1">IFERROR(__xludf.DUMMYFUNCTION("IMPORTRANGE(H14391,""IDENTITAS UNIT!D9"")"),"#N/A")</f>
        <v>#N/A</v>
      </c>
      <c r="H14391" s="4" t="str">
        <v/>
      </c>
      <c r="I14391" s="4" t="str">
        <v/>
      </c>
    </row>
    <row r="14392" spans="5:9" ht="16.5" hidden="1">
      <c r="E14392" s="4" t="str">
        <v/>
      </c>
      <c r="F14392" s="102" t="str">
        <f ca="1">IFERROR(__xludf.DUMMYFUNCTION("IMPORTRANGE(H14392,""IDENTITAS UNIT!D9"")"),"#N/A")</f>
        <v>#N/A</v>
      </c>
      <c r="H14392" s="4" t="str">
        <v/>
      </c>
      <c r="I14392" s="4" t="str">
        <v/>
      </c>
    </row>
    <row r="14393" spans="5:9" ht="16.5" hidden="1">
      <c r="E14393" s="4" t="str">
        <v/>
      </c>
      <c r="F14393" s="102" t="str">
        <f ca="1">IFERROR(__xludf.DUMMYFUNCTION("IMPORTRANGE(H14393,""IDENTITAS UNIT!D9"")"),"#N/A")</f>
        <v>#N/A</v>
      </c>
      <c r="H14393" s="4" t="str">
        <v/>
      </c>
      <c r="I14393" s="4" t="str">
        <v/>
      </c>
    </row>
    <row r="14394" spans="5:9" ht="16.5" hidden="1">
      <c r="E14394" s="4" t="str">
        <v/>
      </c>
      <c r="F14394" s="102" t="str">
        <f ca="1">IFERROR(__xludf.DUMMYFUNCTION("IMPORTRANGE(H14394,""IDENTITAS UNIT!D9"")"),"#N/A")</f>
        <v>#N/A</v>
      </c>
      <c r="H14394" s="4" t="str">
        <v/>
      </c>
      <c r="I14394" s="4" t="str">
        <v/>
      </c>
    </row>
    <row r="14395" spans="5:9" ht="16.5" hidden="1">
      <c r="E14395" s="4" t="str">
        <v/>
      </c>
      <c r="F14395" s="102" t="str">
        <f ca="1">IFERROR(__xludf.DUMMYFUNCTION("IMPORTRANGE(H14395,""IDENTITAS UNIT!D9"")"),"#N/A")</f>
        <v>#N/A</v>
      </c>
      <c r="H14395" s="4" t="str">
        <v/>
      </c>
      <c r="I14395" s="4" t="str">
        <v/>
      </c>
    </row>
    <row r="14396" spans="5:9" ht="16.5" hidden="1">
      <c r="E14396" s="4" t="str">
        <v/>
      </c>
      <c r="F14396" s="102" t="str">
        <f ca="1">IFERROR(__xludf.DUMMYFUNCTION("IMPORTRANGE(H14396,""IDENTITAS UNIT!D9"")"),"#N/A")</f>
        <v>#N/A</v>
      </c>
      <c r="H14396" s="4" t="str">
        <v/>
      </c>
      <c r="I14396" s="4" t="str">
        <v/>
      </c>
    </row>
    <row r="14397" spans="5:9" ht="16.5" hidden="1">
      <c r="E14397" s="4" t="str">
        <v/>
      </c>
      <c r="F14397" s="102" t="str">
        <f ca="1">IFERROR(__xludf.DUMMYFUNCTION("IMPORTRANGE(H14397,""IDENTITAS UNIT!D9"")"),"#N/A")</f>
        <v>#N/A</v>
      </c>
      <c r="H14397" s="4" t="str">
        <v/>
      </c>
      <c r="I14397" s="4" t="str">
        <v/>
      </c>
    </row>
    <row r="14398" spans="5:9" ht="16.5" hidden="1">
      <c r="E14398" s="4" t="str">
        <v/>
      </c>
      <c r="F14398" s="102" t="str">
        <f ca="1">IFERROR(__xludf.DUMMYFUNCTION("IMPORTRANGE(H14398,""IDENTITAS UNIT!D9"")"),"#N/A")</f>
        <v>#N/A</v>
      </c>
      <c r="H14398" s="4" t="str">
        <v/>
      </c>
      <c r="I14398" s="4" t="str">
        <v/>
      </c>
    </row>
    <row r="14399" spans="5:9" ht="16.5" hidden="1">
      <c r="E14399" s="4" t="str">
        <v/>
      </c>
      <c r="F14399" s="102" t="str">
        <f ca="1">IFERROR(__xludf.DUMMYFUNCTION("IMPORTRANGE(H14399,""IDENTITAS UNIT!D9"")"),"#N/A")</f>
        <v>#N/A</v>
      </c>
      <c r="H14399" s="4" t="str">
        <v/>
      </c>
      <c r="I14399" s="4" t="str">
        <v/>
      </c>
    </row>
    <row r="14400" spans="5:9" ht="16.5" hidden="1">
      <c r="E14400" s="4" t="str">
        <v/>
      </c>
      <c r="F14400" s="102" t="str">
        <f ca="1">IFERROR(__xludf.DUMMYFUNCTION("IMPORTRANGE(H14400,""IDENTITAS UNIT!D9"")"),"#N/A")</f>
        <v>#N/A</v>
      </c>
      <c r="H14400" s="4" t="str">
        <v/>
      </c>
      <c r="I14400" s="4" t="str">
        <v/>
      </c>
    </row>
    <row r="14401" spans="5:9" ht="16.5" hidden="1">
      <c r="E14401" s="4" t="str">
        <v/>
      </c>
      <c r="F14401" s="102" t="str">
        <f ca="1">IFERROR(__xludf.DUMMYFUNCTION("IMPORTRANGE(H14401,""IDENTITAS UNIT!D9"")"),"#N/A")</f>
        <v>#N/A</v>
      </c>
      <c r="H14401" s="4" t="str">
        <v/>
      </c>
      <c r="I14401" s="4" t="str">
        <v/>
      </c>
    </row>
    <row r="14402" spans="5:9" ht="16.5" hidden="1">
      <c r="E14402" s="4" t="str">
        <v/>
      </c>
      <c r="F14402" s="102" t="str">
        <f ca="1">IFERROR(__xludf.DUMMYFUNCTION("IMPORTRANGE(H14402,""IDENTITAS UNIT!D9"")"),"#N/A")</f>
        <v>#N/A</v>
      </c>
      <c r="H14402" s="4" t="str">
        <v/>
      </c>
      <c r="I14402" s="4" t="str">
        <v/>
      </c>
    </row>
    <row r="14403" spans="5:9" ht="16.5" hidden="1">
      <c r="E14403" s="4" t="str">
        <v/>
      </c>
      <c r="F14403" s="102" t="str">
        <f ca="1">IFERROR(__xludf.DUMMYFUNCTION("IMPORTRANGE(H14403,""IDENTITAS UNIT!D9"")"),"#N/A")</f>
        <v>#N/A</v>
      </c>
      <c r="H14403" s="4" t="str">
        <v/>
      </c>
      <c r="I14403" s="4" t="str">
        <v/>
      </c>
    </row>
    <row r="14404" spans="5:9" ht="16.5" hidden="1">
      <c r="E14404" s="4" t="str">
        <v/>
      </c>
      <c r="F14404" s="102" t="str">
        <f ca="1">IFERROR(__xludf.DUMMYFUNCTION("IMPORTRANGE(H14404,""IDENTITAS UNIT!D9"")"),"#N/A")</f>
        <v>#N/A</v>
      </c>
      <c r="H14404" s="4" t="str">
        <v/>
      </c>
      <c r="I14404" s="4" t="str">
        <v/>
      </c>
    </row>
    <row r="14405" spans="5:9" ht="16.5" hidden="1">
      <c r="E14405" s="4" t="str">
        <v/>
      </c>
      <c r="F14405" s="102" t="str">
        <f ca="1">IFERROR(__xludf.DUMMYFUNCTION("IMPORTRANGE(H14405,""IDENTITAS UNIT!D9"")"),"#N/A")</f>
        <v>#N/A</v>
      </c>
      <c r="H14405" s="4" t="str">
        <v/>
      </c>
      <c r="I14405" s="4" t="str">
        <v/>
      </c>
    </row>
    <row r="14406" spans="5:9" ht="16.5" hidden="1">
      <c r="E14406" s="4" t="str">
        <v/>
      </c>
      <c r="F14406" s="102" t="str">
        <f ca="1">IFERROR(__xludf.DUMMYFUNCTION("IMPORTRANGE(H14406,""IDENTITAS UNIT!D9"")"),"#N/A")</f>
        <v>#N/A</v>
      </c>
      <c r="H14406" s="4" t="str">
        <v/>
      </c>
      <c r="I14406" s="4" t="str">
        <v/>
      </c>
    </row>
    <row r="14407" spans="5:9" ht="16.5" hidden="1">
      <c r="E14407" s="4" t="str">
        <v/>
      </c>
      <c r="F14407" s="102" t="str">
        <f ca="1">IFERROR(__xludf.DUMMYFUNCTION("IMPORTRANGE(H14407,""IDENTITAS UNIT!D9"")"),"#N/A")</f>
        <v>#N/A</v>
      </c>
      <c r="H14407" s="4" t="str">
        <v/>
      </c>
      <c r="I14407" s="4" t="str">
        <v/>
      </c>
    </row>
    <row r="14408" spans="5:9" ht="16.5" hidden="1">
      <c r="E14408" s="4" t="str">
        <v/>
      </c>
      <c r="F14408" s="102" t="str">
        <f ca="1">IFERROR(__xludf.DUMMYFUNCTION("IMPORTRANGE(H14408,""IDENTITAS UNIT!D9"")"),"#N/A")</f>
        <v>#N/A</v>
      </c>
      <c r="H14408" s="4" t="str">
        <v/>
      </c>
      <c r="I14408" s="4" t="str">
        <v/>
      </c>
    </row>
    <row r="14409" spans="5:9" ht="16.5" hidden="1">
      <c r="E14409" s="4" t="str">
        <v/>
      </c>
      <c r="F14409" s="102" t="str">
        <f ca="1">IFERROR(__xludf.DUMMYFUNCTION("IMPORTRANGE(H14409,""IDENTITAS UNIT!D9"")"),"#N/A")</f>
        <v>#N/A</v>
      </c>
      <c r="H14409" s="4" t="str">
        <v/>
      </c>
      <c r="I14409" s="4" t="str">
        <v/>
      </c>
    </row>
    <row r="14410" spans="5:9" ht="16.5" hidden="1">
      <c r="E14410" s="4" t="str">
        <v/>
      </c>
      <c r="F14410" s="102" t="str">
        <f ca="1">IFERROR(__xludf.DUMMYFUNCTION("IMPORTRANGE(H14410,""IDENTITAS UNIT!D9"")"),"#N/A")</f>
        <v>#N/A</v>
      </c>
      <c r="H14410" s="4" t="str">
        <v/>
      </c>
      <c r="I14410" s="4" t="str">
        <v/>
      </c>
    </row>
    <row r="14411" spans="5:9" ht="16.5" hidden="1">
      <c r="E14411" s="4" t="str">
        <v/>
      </c>
      <c r="F14411" s="102" t="str">
        <f ca="1">IFERROR(__xludf.DUMMYFUNCTION("IMPORTRANGE(H14411,""IDENTITAS UNIT!D9"")"),"#N/A")</f>
        <v>#N/A</v>
      </c>
      <c r="H14411" s="4" t="str">
        <v/>
      </c>
      <c r="I14411" s="4" t="str">
        <v/>
      </c>
    </row>
    <row r="14412" spans="5:9" ht="16.5" hidden="1">
      <c r="E14412" s="4" t="str">
        <v/>
      </c>
      <c r="F14412" s="102" t="str">
        <f ca="1">IFERROR(__xludf.DUMMYFUNCTION("IMPORTRANGE(H14412,""IDENTITAS UNIT!D9"")"),"#N/A")</f>
        <v>#N/A</v>
      </c>
      <c r="H14412" s="4" t="str">
        <v/>
      </c>
      <c r="I14412" s="4" t="str">
        <v/>
      </c>
    </row>
    <row r="14413" spans="5:9" ht="16.5" hidden="1">
      <c r="E14413" s="4" t="str">
        <v/>
      </c>
      <c r="F14413" s="102" t="str">
        <f ca="1">IFERROR(__xludf.DUMMYFUNCTION("IMPORTRANGE(H14413,""IDENTITAS UNIT!D9"")"),"#N/A")</f>
        <v>#N/A</v>
      </c>
      <c r="H14413" s="4" t="str">
        <v/>
      </c>
      <c r="I14413" s="4" t="str">
        <v/>
      </c>
    </row>
    <row r="14414" spans="5:9" ht="16.5" hidden="1">
      <c r="E14414" s="4" t="str">
        <v/>
      </c>
      <c r="F14414" s="102" t="str">
        <f ca="1">IFERROR(__xludf.DUMMYFUNCTION("IMPORTRANGE(H14414,""IDENTITAS UNIT!D9"")"),"#N/A")</f>
        <v>#N/A</v>
      </c>
      <c r="H14414" s="4" t="str">
        <v/>
      </c>
      <c r="I14414" s="4" t="str">
        <v/>
      </c>
    </row>
    <row r="14415" spans="5:9" ht="16.5" hidden="1">
      <c r="E14415" s="4" t="str">
        <v/>
      </c>
      <c r="F14415" s="102" t="str">
        <f ca="1">IFERROR(__xludf.DUMMYFUNCTION("IMPORTRANGE(H14415,""IDENTITAS UNIT!D9"")"),"#N/A")</f>
        <v>#N/A</v>
      </c>
      <c r="H14415" s="4" t="str">
        <v/>
      </c>
      <c r="I14415" s="4" t="str">
        <v/>
      </c>
    </row>
    <row r="14416" spans="5:9" ht="16.5" hidden="1">
      <c r="E14416" s="4" t="str">
        <v/>
      </c>
      <c r="F14416" s="102" t="str">
        <f ca="1">IFERROR(__xludf.DUMMYFUNCTION("IMPORTRANGE(H14416,""IDENTITAS UNIT!D9"")"),"#N/A")</f>
        <v>#N/A</v>
      </c>
      <c r="H14416" s="4" t="str">
        <v/>
      </c>
      <c r="I14416" s="4" t="str">
        <v/>
      </c>
    </row>
    <row r="14417" spans="5:9" ht="16.5" hidden="1">
      <c r="E14417" s="4" t="str">
        <v/>
      </c>
      <c r="F14417" s="102" t="str">
        <f ca="1">IFERROR(__xludf.DUMMYFUNCTION("IMPORTRANGE(H14417,""IDENTITAS UNIT!D9"")"),"#N/A")</f>
        <v>#N/A</v>
      </c>
      <c r="H14417" s="4" t="str">
        <v/>
      </c>
      <c r="I14417" s="4" t="str">
        <v/>
      </c>
    </row>
    <row r="14418" spans="5:9" ht="16.5" hidden="1">
      <c r="E14418" s="4" t="str">
        <v/>
      </c>
      <c r="F14418" s="102" t="str">
        <f ca="1">IFERROR(__xludf.DUMMYFUNCTION("IMPORTRANGE(H14418,""IDENTITAS UNIT!D9"")"),"#N/A")</f>
        <v>#N/A</v>
      </c>
      <c r="H14418" s="4" t="str">
        <v/>
      </c>
      <c r="I14418" s="4" t="str">
        <v/>
      </c>
    </row>
    <row r="14419" spans="5:9" ht="16.5" hidden="1">
      <c r="E14419" s="4" t="str">
        <v/>
      </c>
      <c r="F14419" s="102" t="str">
        <f ca="1">IFERROR(__xludf.DUMMYFUNCTION("IMPORTRANGE(H14419,""IDENTITAS UNIT!D9"")"),"#N/A")</f>
        <v>#N/A</v>
      </c>
      <c r="H14419" s="4" t="str">
        <v/>
      </c>
      <c r="I14419" s="4" t="str">
        <v/>
      </c>
    </row>
    <row r="14420" spans="5:9" ht="16.5" hidden="1">
      <c r="E14420" s="4" t="str">
        <v/>
      </c>
      <c r="F14420" s="102" t="str">
        <f ca="1">IFERROR(__xludf.DUMMYFUNCTION("IMPORTRANGE(H14420,""IDENTITAS UNIT!D9"")"),"#N/A")</f>
        <v>#N/A</v>
      </c>
      <c r="H14420" s="4" t="str">
        <v/>
      </c>
      <c r="I14420" s="4" t="str">
        <v/>
      </c>
    </row>
    <row r="14421" spans="5:9" ht="16.5" hidden="1">
      <c r="E14421" s="4" t="str">
        <v/>
      </c>
      <c r="F14421" s="102" t="str">
        <f ca="1">IFERROR(__xludf.DUMMYFUNCTION("IMPORTRANGE(H14421,""IDENTITAS UNIT!D9"")"),"#N/A")</f>
        <v>#N/A</v>
      </c>
      <c r="H14421" s="4" t="str">
        <v/>
      </c>
      <c r="I14421" s="4" t="str">
        <v/>
      </c>
    </row>
    <row r="14422" spans="5:9" ht="16.5" hidden="1">
      <c r="E14422" s="4" t="str">
        <v/>
      </c>
      <c r="F14422" s="102" t="str">
        <f ca="1">IFERROR(__xludf.DUMMYFUNCTION("IMPORTRANGE(H14422,""IDENTITAS UNIT!D9"")"),"#N/A")</f>
        <v>#N/A</v>
      </c>
      <c r="H14422" s="4" t="str">
        <v/>
      </c>
      <c r="I14422" s="4" t="str">
        <v/>
      </c>
    </row>
    <row r="14423" spans="5:9" ht="16.5" hidden="1">
      <c r="E14423" s="4" t="str">
        <v/>
      </c>
      <c r="F14423" s="102" t="str">
        <f ca="1">IFERROR(__xludf.DUMMYFUNCTION("IMPORTRANGE(H14423,""IDENTITAS UNIT!D9"")"),"#N/A")</f>
        <v>#N/A</v>
      </c>
      <c r="H14423" s="4" t="str">
        <v/>
      </c>
      <c r="I14423" s="4" t="str">
        <v/>
      </c>
    </row>
    <row r="14424" spans="5:9" ht="16.5" hidden="1">
      <c r="E14424" s="4" t="str">
        <v/>
      </c>
      <c r="F14424" s="102" t="str">
        <f ca="1">IFERROR(__xludf.DUMMYFUNCTION("IMPORTRANGE(H14424,""IDENTITAS UNIT!D9"")"),"#N/A")</f>
        <v>#N/A</v>
      </c>
      <c r="H14424" s="4" t="str">
        <v/>
      </c>
      <c r="I14424" s="4" t="str">
        <v/>
      </c>
    </row>
    <row r="14425" spans="5:9" ht="16.5" hidden="1">
      <c r="E14425" s="4" t="str">
        <v/>
      </c>
      <c r="F14425" s="102" t="str">
        <f ca="1">IFERROR(__xludf.DUMMYFUNCTION("IMPORTRANGE(H14425,""IDENTITAS UNIT!D9"")"),"#N/A")</f>
        <v>#N/A</v>
      </c>
      <c r="H14425" s="4" t="str">
        <v/>
      </c>
      <c r="I14425" s="4" t="str">
        <v/>
      </c>
    </row>
    <row r="14426" spans="5:9" ht="16.5" hidden="1">
      <c r="E14426" s="4" t="str">
        <v/>
      </c>
      <c r="F14426" s="102" t="str">
        <f ca="1">IFERROR(__xludf.DUMMYFUNCTION("IMPORTRANGE(H14426,""IDENTITAS UNIT!D9"")"),"#N/A")</f>
        <v>#N/A</v>
      </c>
      <c r="H14426" s="4" t="str">
        <v/>
      </c>
      <c r="I14426" s="4" t="str">
        <v/>
      </c>
    </row>
    <row r="14427" spans="5:9" ht="16.5" hidden="1">
      <c r="E14427" s="4" t="str">
        <v/>
      </c>
      <c r="F14427" s="102" t="str">
        <f ca="1">IFERROR(__xludf.DUMMYFUNCTION("IMPORTRANGE(H14427,""IDENTITAS UNIT!D9"")"),"#N/A")</f>
        <v>#N/A</v>
      </c>
      <c r="H14427" s="4" t="str">
        <v/>
      </c>
      <c r="I14427" s="4" t="str">
        <v/>
      </c>
    </row>
    <row r="14428" spans="5:9" ht="16.5" hidden="1">
      <c r="E14428" s="4" t="str">
        <v/>
      </c>
      <c r="F14428" s="102" t="str">
        <f ca="1">IFERROR(__xludf.DUMMYFUNCTION("IMPORTRANGE(H14428,""IDENTITAS UNIT!D9"")"),"#N/A")</f>
        <v>#N/A</v>
      </c>
      <c r="H14428" s="4" t="str">
        <v/>
      </c>
      <c r="I14428" s="4" t="str">
        <v/>
      </c>
    </row>
    <row r="14429" spans="5:9" ht="16.5" hidden="1">
      <c r="E14429" s="4" t="str">
        <v/>
      </c>
      <c r="F14429" s="102" t="str">
        <f ca="1">IFERROR(__xludf.DUMMYFUNCTION("IMPORTRANGE(H14429,""IDENTITAS UNIT!D9"")"),"#N/A")</f>
        <v>#N/A</v>
      </c>
      <c r="H14429" s="4" t="str">
        <v/>
      </c>
      <c r="I14429" s="4" t="str">
        <v/>
      </c>
    </row>
    <row r="14430" spans="5:9" ht="16.5" hidden="1">
      <c r="E14430" s="4" t="str">
        <v/>
      </c>
      <c r="F14430" s="102" t="str">
        <f ca="1">IFERROR(__xludf.DUMMYFUNCTION("IMPORTRANGE(H14430,""IDENTITAS UNIT!D9"")"),"#N/A")</f>
        <v>#N/A</v>
      </c>
      <c r="H14430" s="4" t="str">
        <v/>
      </c>
      <c r="I14430" s="4" t="str">
        <v/>
      </c>
    </row>
    <row r="14431" spans="5:9" ht="16.5" hidden="1">
      <c r="E14431" s="4" t="str">
        <v/>
      </c>
      <c r="F14431" s="102" t="str">
        <f ca="1">IFERROR(__xludf.DUMMYFUNCTION("IMPORTRANGE(H14431,""IDENTITAS UNIT!D9"")"),"#N/A")</f>
        <v>#N/A</v>
      </c>
      <c r="H14431" s="4" t="str">
        <v/>
      </c>
      <c r="I14431" s="4" t="str">
        <v/>
      </c>
    </row>
    <row r="14432" spans="5:9" ht="16.5" hidden="1">
      <c r="E14432" s="4" t="str">
        <v/>
      </c>
      <c r="F14432" s="102" t="str">
        <f ca="1">IFERROR(__xludf.DUMMYFUNCTION("IMPORTRANGE(H14432,""IDENTITAS UNIT!D9"")"),"#N/A")</f>
        <v>#N/A</v>
      </c>
      <c r="H14432" s="4" t="str">
        <v/>
      </c>
      <c r="I14432" s="4" t="str">
        <v/>
      </c>
    </row>
    <row r="14433" spans="5:9" ht="16.5" hidden="1">
      <c r="E14433" s="4" t="str">
        <v/>
      </c>
      <c r="F14433" s="102" t="str">
        <f ca="1">IFERROR(__xludf.DUMMYFUNCTION("IMPORTRANGE(H14433,""IDENTITAS UNIT!D9"")"),"#N/A")</f>
        <v>#N/A</v>
      </c>
      <c r="H14433" s="4" t="str">
        <v/>
      </c>
      <c r="I14433" s="4" t="str">
        <v/>
      </c>
    </row>
    <row r="14434" spans="5:9" ht="16.5" hidden="1">
      <c r="E14434" s="4" t="str">
        <v/>
      </c>
      <c r="F14434" s="102" t="str">
        <f ca="1">IFERROR(__xludf.DUMMYFUNCTION("IMPORTRANGE(H14434,""IDENTITAS UNIT!D9"")"),"#N/A")</f>
        <v>#N/A</v>
      </c>
      <c r="H14434" s="4" t="str">
        <v/>
      </c>
      <c r="I14434" s="4" t="str">
        <v/>
      </c>
    </row>
    <row r="14435" spans="5:9" ht="16.5" hidden="1">
      <c r="E14435" s="4" t="str">
        <v/>
      </c>
      <c r="F14435" s="102" t="str">
        <f ca="1">IFERROR(__xludf.DUMMYFUNCTION("IMPORTRANGE(H14435,""IDENTITAS UNIT!D9"")"),"#N/A")</f>
        <v>#N/A</v>
      </c>
      <c r="H14435" s="4" t="str">
        <v/>
      </c>
      <c r="I14435" s="4" t="str">
        <v/>
      </c>
    </row>
    <row r="14436" spans="5:9" ht="16.5" hidden="1">
      <c r="E14436" s="4" t="str">
        <v/>
      </c>
      <c r="F14436" s="102" t="str">
        <f ca="1">IFERROR(__xludf.DUMMYFUNCTION("IMPORTRANGE(H14436,""IDENTITAS UNIT!D9"")"),"#N/A")</f>
        <v>#N/A</v>
      </c>
      <c r="H14436" s="4" t="str">
        <v/>
      </c>
      <c r="I14436" s="4" t="str">
        <v/>
      </c>
    </row>
    <row r="14437" spans="5:9" ht="16.5" hidden="1">
      <c r="E14437" s="4" t="str">
        <v/>
      </c>
      <c r="F14437" s="102" t="str">
        <f ca="1">IFERROR(__xludf.DUMMYFUNCTION("IMPORTRANGE(H14437,""IDENTITAS UNIT!D9"")"),"#N/A")</f>
        <v>#N/A</v>
      </c>
      <c r="H14437" s="4" t="str">
        <v/>
      </c>
      <c r="I14437" s="4" t="str">
        <v/>
      </c>
    </row>
    <row r="14438" spans="5:9" ht="16.5" hidden="1">
      <c r="E14438" s="4" t="str">
        <v/>
      </c>
      <c r="F14438" s="102" t="str">
        <f ca="1">IFERROR(__xludf.DUMMYFUNCTION("IMPORTRANGE(H14438,""IDENTITAS UNIT!D9"")"),"#N/A")</f>
        <v>#N/A</v>
      </c>
      <c r="H14438" s="4" t="str">
        <v/>
      </c>
      <c r="I14438" s="4" t="str">
        <v/>
      </c>
    </row>
    <row r="14439" spans="5:9" ht="16.5" hidden="1">
      <c r="E14439" s="4" t="str">
        <v/>
      </c>
      <c r="F14439" s="102" t="str">
        <f ca="1">IFERROR(__xludf.DUMMYFUNCTION("IMPORTRANGE(H14439,""IDENTITAS UNIT!D9"")"),"#N/A")</f>
        <v>#N/A</v>
      </c>
      <c r="H14439" s="4" t="str">
        <v/>
      </c>
      <c r="I14439" s="4" t="str">
        <v/>
      </c>
    </row>
    <row r="14440" spans="5:9" ht="16.5" hidden="1">
      <c r="E14440" s="4" t="str">
        <v/>
      </c>
      <c r="F14440" s="102" t="str">
        <f ca="1">IFERROR(__xludf.DUMMYFUNCTION("IMPORTRANGE(H14440,""IDENTITAS UNIT!D9"")"),"#N/A")</f>
        <v>#N/A</v>
      </c>
      <c r="H14440" s="4" t="str">
        <v/>
      </c>
      <c r="I14440" s="4" t="str">
        <v/>
      </c>
    </row>
    <row r="14441" spans="5:9" ht="16.5" hidden="1">
      <c r="E14441" s="4" t="str">
        <v/>
      </c>
      <c r="F14441" s="102" t="str">
        <f ca="1">IFERROR(__xludf.DUMMYFUNCTION("IMPORTRANGE(H14441,""IDENTITAS UNIT!D9"")"),"#N/A")</f>
        <v>#N/A</v>
      </c>
      <c r="H14441" s="4" t="str">
        <v/>
      </c>
      <c r="I14441" s="4" t="str">
        <v/>
      </c>
    </row>
    <row r="14442" spans="5:9" ht="16.5" hidden="1">
      <c r="E14442" s="4" t="str">
        <v/>
      </c>
      <c r="F14442" s="102" t="str">
        <f ca="1">IFERROR(__xludf.DUMMYFUNCTION("IMPORTRANGE(H14442,""IDENTITAS UNIT!D9"")"),"#N/A")</f>
        <v>#N/A</v>
      </c>
      <c r="H14442" s="4" t="str">
        <v/>
      </c>
      <c r="I14442" s="4" t="str">
        <v/>
      </c>
    </row>
    <row r="14443" spans="5:9" ht="16.5" hidden="1">
      <c r="E14443" s="4" t="str">
        <v/>
      </c>
      <c r="F14443" s="102" t="str">
        <f ca="1">IFERROR(__xludf.DUMMYFUNCTION("IMPORTRANGE(H14443,""IDENTITAS UNIT!D9"")"),"#N/A")</f>
        <v>#N/A</v>
      </c>
      <c r="H14443" s="4" t="str">
        <v/>
      </c>
      <c r="I14443" s="4" t="str">
        <v/>
      </c>
    </row>
    <row r="14444" spans="5:9" ht="16.5" hidden="1">
      <c r="E14444" s="4" t="str">
        <v/>
      </c>
      <c r="F14444" s="102" t="str">
        <f ca="1">IFERROR(__xludf.DUMMYFUNCTION("IMPORTRANGE(H14444,""IDENTITAS UNIT!D9"")"),"#N/A")</f>
        <v>#N/A</v>
      </c>
      <c r="H14444" s="4" t="str">
        <v/>
      </c>
      <c r="I14444" s="4" t="str">
        <v/>
      </c>
    </row>
    <row r="14445" spans="5:9" ht="16.5" hidden="1">
      <c r="E14445" s="4" t="str">
        <v/>
      </c>
      <c r="F14445" s="102" t="str">
        <f ca="1">IFERROR(__xludf.DUMMYFUNCTION("IMPORTRANGE(H14445,""IDENTITAS UNIT!D9"")"),"#N/A")</f>
        <v>#N/A</v>
      </c>
      <c r="H14445" s="4" t="str">
        <v/>
      </c>
      <c r="I14445" s="4" t="str">
        <v/>
      </c>
    </row>
    <row r="14446" spans="5:9" ht="16.5" hidden="1">
      <c r="E14446" s="4" t="str">
        <v/>
      </c>
      <c r="F14446" s="102" t="str">
        <f ca="1">IFERROR(__xludf.DUMMYFUNCTION("IMPORTRANGE(H14446,""IDENTITAS UNIT!D9"")"),"#N/A")</f>
        <v>#N/A</v>
      </c>
      <c r="H14446" s="4" t="str">
        <v/>
      </c>
      <c r="I14446" s="4" t="str">
        <v/>
      </c>
    </row>
    <row r="14447" spans="5:9" ht="16.5" hidden="1">
      <c r="E14447" s="4" t="str">
        <v/>
      </c>
      <c r="F14447" s="102" t="str">
        <f ca="1">IFERROR(__xludf.DUMMYFUNCTION("IMPORTRANGE(H14447,""IDENTITAS UNIT!D9"")"),"#N/A")</f>
        <v>#N/A</v>
      </c>
      <c r="H14447" s="4" t="str">
        <v/>
      </c>
      <c r="I14447" s="4" t="str">
        <v/>
      </c>
    </row>
    <row r="14448" spans="5:9" ht="16.5" hidden="1">
      <c r="E14448" s="4" t="str">
        <v/>
      </c>
      <c r="F14448" s="102" t="str">
        <f ca="1">IFERROR(__xludf.DUMMYFUNCTION("IMPORTRANGE(H14448,""IDENTITAS UNIT!D9"")"),"#N/A")</f>
        <v>#N/A</v>
      </c>
      <c r="H14448" s="4" t="str">
        <v/>
      </c>
      <c r="I14448" s="4" t="str">
        <v/>
      </c>
    </row>
    <row r="14449" spans="5:9" ht="16.5" hidden="1">
      <c r="E14449" s="4" t="str">
        <v/>
      </c>
      <c r="F14449" s="102" t="str">
        <f ca="1">IFERROR(__xludf.DUMMYFUNCTION("IMPORTRANGE(H14449,""IDENTITAS UNIT!D9"")"),"#N/A")</f>
        <v>#N/A</v>
      </c>
      <c r="H14449" s="4" t="str">
        <v/>
      </c>
      <c r="I14449" s="4" t="str">
        <v/>
      </c>
    </row>
    <row r="14450" spans="5:9" ht="16.5" hidden="1">
      <c r="E14450" s="4" t="str">
        <v/>
      </c>
      <c r="F14450" s="102" t="str">
        <f ca="1">IFERROR(__xludf.DUMMYFUNCTION("IMPORTRANGE(H14450,""IDENTITAS UNIT!D9"")"),"#N/A")</f>
        <v>#N/A</v>
      </c>
      <c r="H14450" s="4" t="str">
        <v/>
      </c>
      <c r="I14450" s="4" t="str">
        <v/>
      </c>
    </row>
    <row r="14451" spans="5:9" ht="16.5" hidden="1">
      <c r="E14451" s="4" t="str">
        <v/>
      </c>
      <c r="F14451" s="102" t="str">
        <f ca="1">IFERROR(__xludf.DUMMYFUNCTION("IMPORTRANGE(H14451,""IDENTITAS UNIT!D9"")"),"#N/A")</f>
        <v>#N/A</v>
      </c>
      <c r="H14451" s="4" t="str">
        <v/>
      </c>
      <c r="I14451" s="4" t="str">
        <v/>
      </c>
    </row>
    <row r="14452" spans="5:9" ht="16.5" hidden="1">
      <c r="E14452" s="4" t="str">
        <v/>
      </c>
      <c r="F14452" s="102" t="str">
        <f ca="1">IFERROR(__xludf.DUMMYFUNCTION("IMPORTRANGE(H14452,""IDENTITAS UNIT!D9"")"),"#N/A")</f>
        <v>#N/A</v>
      </c>
      <c r="H14452" s="4" t="str">
        <v/>
      </c>
      <c r="I14452" s="4" t="str">
        <v/>
      </c>
    </row>
    <row r="14453" spans="5:9" ht="16.5" hidden="1">
      <c r="E14453" s="4" t="str">
        <v/>
      </c>
      <c r="F14453" s="102" t="str">
        <f ca="1">IFERROR(__xludf.DUMMYFUNCTION("IMPORTRANGE(H14453,""IDENTITAS UNIT!D9"")"),"#N/A")</f>
        <v>#N/A</v>
      </c>
      <c r="H14453" s="4" t="str">
        <v/>
      </c>
      <c r="I14453" s="4" t="str">
        <v/>
      </c>
    </row>
    <row r="14454" spans="5:9" ht="16.5" hidden="1">
      <c r="E14454" s="4" t="str">
        <v/>
      </c>
      <c r="F14454" s="102" t="str">
        <f ca="1">IFERROR(__xludf.DUMMYFUNCTION("IMPORTRANGE(H14454,""IDENTITAS UNIT!D9"")"),"#N/A")</f>
        <v>#N/A</v>
      </c>
      <c r="H14454" s="4" t="str">
        <v/>
      </c>
      <c r="I14454" s="4" t="str">
        <v/>
      </c>
    </row>
    <row r="14455" spans="5:9" ht="16.5" hidden="1">
      <c r="E14455" s="4" t="str">
        <v/>
      </c>
      <c r="F14455" s="102" t="str">
        <f ca="1">IFERROR(__xludf.DUMMYFUNCTION("IMPORTRANGE(H14455,""IDENTITAS UNIT!D9"")"),"#N/A")</f>
        <v>#N/A</v>
      </c>
      <c r="H14455" s="4" t="str">
        <v/>
      </c>
      <c r="I14455" s="4" t="str">
        <v/>
      </c>
    </row>
    <row r="14456" spans="5:9" ht="16.5" hidden="1">
      <c r="E14456" s="4" t="str">
        <v/>
      </c>
      <c r="F14456" s="102" t="str">
        <f ca="1">IFERROR(__xludf.DUMMYFUNCTION("IMPORTRANGE(H14456,""IDENTITAS UNIT!D9"")"),"#N/A")</f>
        <v>#N/A</v>
      </c>
      <c r="H14456" s="4" t="str">
        <v/>
      </c>
      <c r="I14456" s="4" t="str">
        <v/>
      </c>
    </row>
    <row r="14457" spans="5:9" ht="16.5" hidden="1">
      <c r="E14457" s="4" t="str">
        <v/>
      </c>
      <c r="F14457" s="102" t="str">
        <f ca="1">IFERROR(__xludf.DUMMYFUNCTION("IMPORTRANGE(H14457,""IDENTITAS UNIT!D9"")"),"#N/A")</f>
        <v>#N/A</v>
      </c>
      <c r="H14457" s="4" t="str">
        <v/>
      </c>
      <c r="I14457" s="4" t="str">
        <v/>
      </c>
    </row>
    <row r="14458" spans="5:9" ht="16.5" hidden="1">
      <c r="E14458" s="4" t="str">
        <v/>
      </c>
      <c r="F14458" s="102" t="str">
        <f ca="1">IFERROR(__xludf.DUMMYFUNCTION("IMPORTRANGE(H14458,""IDENTITAS UNIT!D9"")"),"#N/A")</f>
        <v>#N/A</v>
      </c>
      <c r="H14458" s="4" t="str">
        <v/>
      </c>
      <c r="I14458" s="4" t="str">
        <v/>
      </c>
    </row>
    <row r="14459" spans="5:9" ht="16.5" hidden="1">
      <c r="E14459" s="4" t="str">
        <v/>
      </c>
      <c r="F14459" s="102" t="str">
        <f ca="1">IFERROR(__xludf.DUMMYFUNCTION("IMPORTRANGE(H14459,""IDENTITAS UNIT!D9"")"),"#N/A")</f>
        <v>#N/A</v>
      </c>
      <c r="H14459" s="4" t="str">
        <v/>
      </c>
      <c r="I14459" s="4" t="str">
        <v/>
      </c>
    </row>
    <row r="14460" spans="5:9" ht="16.5" hidden="1">
      <c r="E14460" s="4" t="str">
        <v/>
      </c>
      <c r="F14460" s="102" t="str">
        <f ca="1">IFERROR(__xludf.DUMMYFUNCTION("IMPORTRANGE(H14460,""IDENTITAS UNIT!D9"")"),"#N/A")</f>
        <v>#N/A</v>
      </c>
      <c r="H14460" s="4" t="str">
        <v/>
      </c>
      <c r="I14460" s="4" t="str">
        <v/>
      </c>
    </row>
    <row r="14461" spans="5:9" ht="16.5" hidden="1">
      <c r="E14461" s="4" t="str">
        <v/>
      </c>
      <c r="F14461" s="102" t="str">
        <f ca="1">IFERROR(__xludf.DUMMYFUNCTION("IMPORTRANGE(H14461,""IDENTITAS UNIT!D9"")"),"#N/A")</f>
        <v>#N/A</v>
      </c>
      <c r="H14461" s="4" t="str">
        <v/>
      </c>
      <c r="I14461" s="4" t="str">
        <v/>
      </c>
    </row>
    <row r="14462" spans="5:9" ht="16.5" hidden="1">
      <c r="E14462" s="4" t="str">
        <v/>
      </c>
      <c r="F14462" s="102" t="str">
        <f ca="1">IFERROR(__xludf.DUMMYFUNCTION("IMPORTRANGE(H14462,""IDENTITAS UNIT!D9"")"),"#N/A")</f>
        <v>#N/A</v>
      </c>
      <c r="H14462" s="4" t="str">
        <v/>
      </c>
      <c r="I14462" s="4" t="str">
        <v/>
      </c>
    </row>
    <row r="14463" spans="5:9" ht="16.5" hidden="1">
      <c r="E14463" s="4" t="str">
        <v/>
      </c>
      <c r="F14463" s="102" t="str">
        <f ca="1">IFERROR(__xludf.DUMMYFUNCTION("IMPORTRANGE(H14463,""IDENTITAS UNIT!D9"")"),"#N/A")</f>
        <v>#N/A</v>
      </c>
      <c r="H14463" s="4" t="str">
        <v/>
      </c>
      <c r="I14463" s="4" t="str">
        <v/>
      </c>
    </row>
    <row r="14464" spans="5:9" ht="16.5" hidden="1">
      <c r="E14464" s="4" t="str">
        <v/>
      </c>
      <c r="F14464" s="102" t="str">
        <f ca="1">IFERROR(__xludf.DUMMYFUNCTION("IMPORTRANGE(H14464,""IDENTITAS UNIT!D9"")"),"#N/A")</f>
        <v>#N/A</v>
      </c>
      <c r="H14464" s="4" t="str">
        <v/>
      </c>
      <c r="I14464" s="4" t="str">
        <v/>
      </c>
    </row>
    <row r="14465" spans="5:9" ht="16.5" hidden="1">
      <c r="E14465" s="4" t="str">
        <v/>
      </c>
      <c r="F14465" s="102" t="str">
        <f ca="1">IFERROR(__xludf.DUMMYFUNCTION("IMPORTRANGE(H14465,""IDENTITAS UNIT!D9"")"),"#N/A")</f>
        <v>#N/A</v>
      </c>
      <c r="H14465" s="4" t="str">
        <v/>
      </c>
      <c r="I14465" s="4" t="str">
        <v/>
      </c>
    </row>
    <row r="14466" spans="5:9" ht="16.5" hidden="1">
      <c r="E14466" s="4" t="str">
        <v/>
      </c>
      <c r="F14466" s="102" t="str">
        <f ca="1">IFERROR(__xludf.DUMMYFUNCTION("IMPORTRANGE(H14466,""IDENTITAS UNIT!D9"")"),"#N/A")</f>
        <v>#N/A</v>
      </c>
      <c r="H14466" s="4" t="str">
        <v/>
      </c>
      <c r="I14466" s="4" t="str">
        <v/>
      </c>
    </row>
    <row r="14467" spans="5:9" ht="16.5" hidden="1">
      <c r="E14467" s="4" t="str">
        <v/>
      </c>
      <c r="F14467" s="102" t="str">
        <f ca="1">IFERROR(__xludf.DUMMYFUNCTION("IMPORTRANGE(H14467,""IDENTITAS UNIT!D9"")"),"#N/A")</f>
        <v>#N/A</v>
      </c>
      <c r="H14467" s="4" t="str">
        <v/>
      </c>
      <c r="I14467" s="4" t="str">
        <v/>
      </c>
    </row>
    <row r="14468" spans="5:9" ht="16.5" hidden="1">
      <c r="E14468" s="4" t="str">
        <v/>
      </c>
      <c r="F14468" s="102" t="str">
        <f ca="1">IFERROR(__xludf.DUMMYFUNCTION("IMPORTRANGE(H14468,""IDENTITAS UNIT!D9"")"),"#N/A")</f>
        <v>#N/A</v>
      </c>
      <c r="H14468" s="4" t="str">
        <v/>
      </c>
      <c r="I14468" s="4" t="str">
        <v/>
      </c>
    </row>
    <row r="14469" spans="5:9" ht="16.5" hidden="1">
      <c r="E14469" s="4" t="str">
        <v/>
      </c>
      <c r="F14469" s="102" t="str">
        <f ca="1">IFERROR(__xludf.DUMMYFUNCTION("IMPORTRANGE(H14469,""IDENTITAS UNIT!D9"")"),"#N/A")</f>
        <v>#N/A</v>
      </c>
      <c r="H14469" s="4" t="str">
        <v/>
      </c>
      <c r="I14469" s="4" t="str">
        <v/>
      </c>
    </row>
    <row r="14470" spans="5:9" ht="16.5" hidden="1">
      <c r="E14470" s="4" t="str">
        <v/>
      </c>
      <c r="F14470" s="102" t="str">
        <f ca="1">IFERROR(__xludf.DUMMYFUNCTION("IMPORTRANGE(H14470,""IDENTITAS UNIT!D9"")"),"#N/A")</f>
        <v>#N/A</v>
      </c>
      <c r="H14470" s="4" t="str">
        <v/>
      </c>
      <c r="I14470" s="4" t="str">
        <v/>
      </c>
    </row>
    <row r="14471" spans="5:9" ht="16.5" hidden="1">
      <c r="E14471" s="4" t="str">
        <v/>
      </c>
      <c r="F14471" s="102" t="str">
        <f ca="1">IFERROR(__xludf.DUMMYFUNCTION("IMPORTRANGE(H14471,""IDENTITAS UNIT!D9"")"),"#N/A")</f>
        <v>#N/A</v>
      </c>
      <c r="H14471" s="4" t="str">
        <v/>
      </c>
      <c r="I14471" s="4" t="str">
        <v/>
      </c>
    </row>
    <row r="14472" spans="5:9" ht="16.5" hidden="1">
      <c r="E14472" s="4" t="str">
        <v/>
      </c>
      <c r="F14472" s="102" t="str">
        <f ca="1">IFERROR(__xludf.DUMMYFUNCTION("IMPORTRANGE(H14472,""IDENTITAS UNIT!D9"")"),"#N/A")</f>
        <v>#N/A</v>
      </c>
      <c r="H14472" s="4" t="str">
        <v/>
      </c>
      <c r="I14472" s="4" t="str">
        <v/>
      </c>
    </row>
    <row r="14473" spans="5:9" ht="16.5" hidden="1">
      <c r="E14473" s="4" t="str">
        <v/>
      </c>
      <c r="F14473" s="102" t="str">
        <f ca="1">IFERROR(__xludf.DUMMYFUNCTION("IMPORTRANGE(H14473,""IDENTITAS UNIT!D9"")"),"#N/A")</f>
        <v>#N/A</v>
      </c>
      <c r="H14473" s="4" t="str">
        <v/>
      </c>
      <c r="I14473" s="4" t="str">
        <v/>
      </c>
    </row>
    <row r="14474" spans="5:9" ht="16.5" hidden="1">
      <c r="E14474" s="4" t="str">
        <v/>
      </c>
      <c r="F14474" s="102" t="str">
        <f ca="1">IFERROR(__xludf.DUMMYFUNCTION("IMPORTRANGE(H14474,""IDENTITAS UNIT!D9"")"),"#N/A")</f>
        <v>#N/A</v>
      </c>
      <c r="H14474" s="4" t="str">
        <v/>
      </c>
      <c r="I14474" s="4" t="str">
        <v/>
      </c>
    </row>
    <row r="14475" spans="5:9" ht="16.5" hidden="1">
      <c r="E14475" s="4" t="str">
        <v/>
      </c>
      <c r="F14475" s="102" t="str">
        <f ca="1">IFERROR(__xludf.DUMMYFUNCTION("IMPORTRANGE(H14475,""IDENTITAS UNIT!D9"")"),"#N/A")</f>
        <v>#N/A</v>
      </c>
      <c r="H14475" s="4" t="str">
        <v/>
      </c>
      <c r="I14475" s="4" t="str">
        <v/>
      </c>
    </row>
    <row r="14476" spans="5:9" ht="16.5" hidden="1">
      <c r="E14476" s="4" t="str">
        <v/>
      </c>
      <c r="F14476" s="102" t="str">
        <f ca="1">IFERROR(__xludf.DUMMYFUNCTION("IMPORTRANGE(H14476,""IDENTITAS UNIT!D9"")"),"#N/A")</f>
        <v>#N/A</v>
      </c>
      <c r="H14476" s="4" t="str">
        <v/>
      </c>
      <c r="I14476" s="4" t="str">
        <v/>
      </c>
    </row>
    <row r="14477" spans="5:9" ht="16.5" hidden="1">
      <c r="E14477" s="4" t="str">
        <v/>
      </c>
      <c r="F14477" s="102" t="str">
        <f ca="1">IFERROR(__xludf.DUMMYFUNCTION("IMPORTRANGE(H14477,""IDENTITAS UNIT!D9"")"),"#N/A")</f>
        <v>#N/A</v>
      </c>
      <c r="H14477" s="4" t="str">
        <v/>
      </c>
      <c r="I14477" s="4" t="str">
        <v/>
      </c>
    </row>
    <row r="14478" spans="5:9" ht="16.5" hidden="1">
      <c r="E14478" s="4" t="str">
        <v/>
      </c>
      <c r="F14478" s="102" t="str">
        <f ca="1">IFERROR(__xludf.DUMMYFUNCTION("IMPORTRANGE(H14478,""IDENTITAS UNIT!D9"")"),"#N/A")</f>
        <v>#N/A</v>
      </c>
      <c r="H14478" s="4" t="str">
        <v/>
      </c>
      <c r="I14478" s="4" t="str">
        <v/>
      </c>
    </row>
    <row r="14479" spans="5:9" ht="16.5" hidden="1">
      <c r="E14479" s="4" t="str">
        <v/>
      </c>
      <c r="F14479" s="102" t="str">
        <f ca="1">IFERROR(__xludf.DUMMYFUNCTION("IMPORTRANGE(H14479,""IDENTITAS UNIT!D9"")"),"#N/A")</f>
        <v>#N/A</v>
      </c>
      <c r="H14479" s="4" t="str">
        <v/>
      </c>
      <c r="I14479" s="4" t="str">
        <v/>
      </c>
    </row>
    <row r="14480" spans="5:9" ht="16.5" hidden="1">
      <c r="E14480" s="4" t="str">
        <v/>
      </c>
      <c r="F14480" s="102" t="str">
        <f ca="1">IFERROR(__xludf.DUMMYFUNCTION("IMPORTRANGE(H14480,""IDENTITAS UNIT!D9"")"),"#N/A")</f>
        <v>#N/A</v>
      </c>
      <c r="H14480" s="4" t="str">
        <v/>
      </c>
      <c r="I14480" s="4" t="str">
        <v/>
      </c>
    </row>
    <row r="14481" spans="5:9" ht="16.5" hidden="1">
      <c r="E14481" s="4" t="str">
        <v/>
      </c>
      <c r="F14481" s="102" t="str">
        <f ca="1">IFERROR(__xludf.DUMMYFUNCTION("IMPORTRANGE(H14481,""IDENTITAS UNIT!D9"")"),"#N/A")</f>
        <v>#N/A</v>
      </c>
      <c r="H14481" s="4" t="str">
        <v/>
      </c>
      <c r="I14481" s="4" t="str">
        <v/>
      </c>
    </row>
    <row r="14482" spans="5:9" ht="16.5" hidden="1">
      <c r="E14482" s="4" t="str">
        <v/>
      </c>
      <c r="F14482" s="102" t="str">
        <f ca="1">IFERROR(__xludf.DUMMYFUNCTION("IMPORTRANGE(H14482,""IDENTITAS UNIT!D9"")"),"#N/A")</f>
        <v>#N/A</v>
      </c>
      <c r="H14482" s="4" t="str">
        <v/>
      </c>
      <c r="I14482" s="4" t="str">
        <v/>
      </c>
    </row>
    <row r="14483" spans="5:9" ht="16.5" hidden="1">
      <c r="E14483" s="4" t="str">
        <v/>
      </c>
      <c r="F14483" s="102" t="str">
        <f ca="1">IFERROR(__xludf.DUMMYFUNCTION("IMPORTRANGE(H14483,""IDENTITAS UNIT!D9"")"),"#N/A")</f>
        <v>#N/A</v>
      </c>
      <c r="H14483" s="4" t="str">
        <v/>
      </c>
      <c r="I14483" s="4" t="str">
        <v/>
      </c>
    </row>
    <row r="14484" spans="5:9" ht="16.5" hidden="1">
      <c r="E14484" s="4" t="str">
        <v/>
      </c>
      <c r="F14484" s="102" t="str">
        <f ca="1">IFERROR(__xludf.DUMMYFUNCTION("IMPORTRANGE(H14484,""IDENTITAS UNIT!D9"")"),"#N/A")</f>
        <v>#N/A</v>
      </c>
      <c r="H14484" s="4" t="str">
        <v/>
      </c>
      <c r="I14484" s="4" t="str">
        <v/>
      </c>
    </row>
    <row r="14485" spans="5:9" ht="16.5" hidden="1">
      <c r="E14485" s="4" t="str">
        <v/>
      </c>
      <c r="F14485" s="102" t="str">
        <f ca="1">IFERROR(__xludf.DUMMYFUNCTION("IMPORTRANGE(H14485,""IDENTITAS UNIT!D9"")"),"#N/A")</f>
        <v>#N/A</v>
      </c>
      <c r="H14485" s="4" t="str">
        <v/>
      </c>
      <c r="I14485" s="4" t="str">
        <v/>
      </c>
    </row>
    <row r="14486" spans="5:9" ht="16.5" hidden="1">
      <c r="E14486" s="4" t="str">
        <v/>
      </c>
      <c r="F14486" s="102" t="str">
        <f ca="1">IFERROR(__xludf.DUMMYFUNCTION("IMPORTRANGE(H14486,""IDENTITAS UNIT!D9"")"),"#N/A")</f>
        <v>#N/A</v>
      </c>
      <c r="H14486" s="4" t="str">
        <v/>
      </c>
      <c r="I14486" s="4" t="str">
        <v/>
      </c>
    </row>
    <row r="14487" spans="5:9" ht="16.5" hidden="1">
      <c r="E14487" s="4" t="str">
        <v/>
      </c>
      <c r="F14487" s="102" t="str">
        <f ca="1">IFERROR(__xludf.DUMMYFUNCTION("IMPORTRANGE(H14487,""IDENTITAS UNIT!D9"")"),"#N/A")</f>
        <v>#N/A</v>
      </c>
      <c r="H14487" s="4" t="str">
        <v/>
      </c>
      <c r="I14487" s="4" t="str">
        <v/>
      </c>
    </row>
    <row r="14488" spans="5:9" ht="16.5" hidden="1">
      <c r="E14488" s="4" t="str">
        <v/>
      </c>
      <c r="F14488" s="102" t="str">
        <f ca="1">IFERROR(__xludf.DUMMYFUNCTION("IMPORTRANGE(H14488,""IDENTITAS UNIT!D9"")"),"#N/A")</f>
        <v>#N/A</v>
      </c>
      <c r="H14488" s="4" t="str">
        <v/>
      </c>
      <c r="I14488" s="4" t="str">
        <v/>
      </c>
    </row>
    <row r="14489" spans="5:9" ht="16.5" hidden="1">
      <c r="E14489" s="4" t="str">
        <v/>
      </c>
      <c r="F14489" s="102" t="str">
        <f ca="1">IFERROR(__xludf.DUMMYFUNCTION("IMPORTRANGE(H14489,""IDENTITAS UNIT!D9"")"),"#N/A")</f>
        <v>#N/A</v>
      </c>
      <c r="H14489" s="4" t="str">
        <v/>
      </c>
      <c r="I14489" s="4" t="str">
        <v/>
      </c>
    </row>
    <row r="14490" spans="5:9" ht="16.5" hidden="1">
      <c r="E14490" s="4" t="str">
        <v/>
      </c>
      <c r="F14490" s="102" t="str">
        <f ca="1">IFERROR(__xludf.DUMMYFUNCTION("IMPORTRANGE(H14490,""IDENTITAS UNIT!D9"")"),"#N/A")</f>
        <v>#N/A</v>
      </c>
      <c r="H14490" s="4" t="str">
        <v/>
      </c>
      <c r="I14490" s="4" t="str">
        <v/>
      </c>
    </row>
    <row r="14491" spans="5:9" ht="16.5" hidden="1">
      <c r="E14491" s="4" t="str">
        <v/>
      </c>
      <c r="F14491" s="102" t="str">
        <f ca="1">IFERROR(__xludf.DUMMYFUNCTION("IMPORTRANGE(H14491,""IDENTITAS UNIT!D9"")"),"#N/A")</f>
        <v>#N/A</v>
      </c>
      <c r="H14491" s="4" t="str">
        <v/>
      </c>
      <c r="I14491" s="4" t="str">
        <v/>
      </c>
    </row>
    <row r="14492" spans="5:9" ht="16.5" hidden="1">
      <c r="E14492" s="4" t="str">
        <v/>
      </c>
      <c r="F14492" s="102" t="str">
        <f ca="1">IFERROR(__xludf.DUMMYFUNCTION("IMPORTRANGE(H14492,""IDENTITAS UNIT!D9"")"),"#N/A")</f>
        <v>#N/A</v>
      </c>
      <c r="H14492" s="4" t="str">
        <v/>
      </c>
      <c r="I14492" s="4" t="str">
        <v/>
      </c>
    </row>
    <row r="14493" spans="5:9" ht="16.5" hidden="1">
      <c r="E14493" s="4" t="str">
        <v/>
      </c>
      <c r="F14493" s="102" t="str">
        <f ca="1">IFERROR(__xludf.DUMMYFUNCTION("IMPORTRANGE(H14493,""IDENTITAS UNIT!D9"")"),"#N/A")</f>
        <v>#N/A</v>
      </c>
      <c r="H14493" s="4" t="str">
        <v/>
      </c>
      <c r="I14493" s="4" t="str">
        <v/>
      </c>
    </row>
    <row r="14494" spans="5:9" ht="16.5" hidden="1">
      <c r="E14494" s="4" t="str">
        <v/>
      </c>
      <c r="F14494" s="102" t="str">
        <f ca="1">IFERROR(__xludf.DUMMYFUNCTION("IMPORTRANGE(H14494,""IDENTITAS UNIT!D9"")"),"#N/A")</f>
        <v>#N/A</v>
      </c>
      <c r="H14494" s="4" t="str">
        <v/>
      </c>
      <c r="I14494" s="4" t="str">
        <v/>
      </c>
    </row>
    <row r="14495" spans="5:9" ht="16.5" hidden="1">
      <c r="E14495" s="4" t="str">
        <v/>
      </c>
      <c r="F14495" s="102" t="str">
        <f ca="1">IFERROR(__xludf.DUMMYFUNCTION("IMPORTRANGE(H14495,""IDENTITAS UNIT!D9"")"),"#N/A")</f>
        <v>#N/A</v>
      </c>
      <c r="H14495" s="4" t="str">
        <v/>
      </c>
      <c r="I14495" s="4" t="str">
        <v/>
      </c>
    </row>
    <row r="14496" spans="5:9" ht="16.5" hidden="1">
      <c r="E14496" s="4" t="str">
        <v/>
      </c>
      <c r="F14496" s="102" t="str">
        <f ca="1">IFERROR(__xludf.DUMMYFUNCTION("IMPORTRANGE(H14496,""IDENTITAS UNIT!D9"")"),"#N/A")</f>
        <v>#N/A</v>
      </c>
      <c r="H14496" s="4" t="str">
        <v/>
      </c>
      <c r="I14496" s="4" t="str">
        <v/>
      </c>
    </row>
    <row r="14497" spans="5:9" ht="16.5" hidden="1">
      <c r="E14497" s="4" t="str">
        <v/>
      </c>
      <c r="F14497" s="102" t="str">
        <f ca="1">IFERROR(__xludf.DUMMYFUNCTION("IMPORTRANGE(H14497,""IDENTITAS UNIT!D9"")"),"#N/A")</f>
        <v>#N/A</v>
      </c>
      <c r="H14497" s="4" t="str">
        <v/>
      </c>
      <c r="I14497" s="4" t="str">
        <v/>
      </c>
    </row>
    <row r="14498" spans="5:9" ht="16.5" hidden="1">
      <c r="E14498" s="4" t="str">
        <v/>
      </c>
      <c r="F14498" s="102" t="str">
        <f ca="1">IFERROR(__xludf.DUMMYFUNCTION("IMPORTRANGE(H14498,""IDENTITAS UNIT!D9"")"),"#N/A")</f>
        <v>#N/A</v>
      </c>
      <c r="H14498" s="4" t="str">
        <v/>
      </c>
      <c r="I14498" s="4" t="str">
        <v/>
      </c>
    </row>
    <row r="14499" spans="5:9" ht="16.5" hidden="1">
      <c r="E14499" s="4" t="str">
        <v/>
      </c>
      <c r="F14499" s="102" t="str">
        <f ca="1">IFERROR(__xludf.DUMMYFUNCTION("IMPORTRANGE(H14499,""IDENTITAS UNIT!D9"")"),"#N/A")</f>
        <v>#N/A</v>
      </c>
      <c r="H14499" s="4" t="str">
        <v/>
      </c>
      <c r="I14499" s="4" t="str">
        <v/>
      </c>
    </row>
    <row r="14500" spans="5:9" ht="16.5" hidden="1">
      <c r="E14500" s="4" t="str">
        <v/>
      </c>
      <c r="F14500" s="102" t="str">
        <f ca="1">IFERROR(__xludf.DUMMYFUNCTION("IMPORTRANGE(H14500,""IDENTITAS UNIT!D9"")"),"#N/A")</f>
        <v>#N/A</v>
      </c>
      <c r="H14500" s="4" t="str">
        <v/>
      </c>
      <c r="I14500" s="4" t="str">
        <v/>
      </c>
    </row>
    <row r="14501" spans="5:9" ht="16.5" hidden="1">
      <c r="E14501" s="4" t="str">
        <v/>
      </c>
      <c r="F14501" s="102" t="str">
        <f ca="1">IFERROR(__xludf.DUMMYFUNCTION("IMPORTRANGE(H14501,""IDENTITAS UNIT!D9"")"),"#N/A")</f>
        <v>#N/A</v>
      </c>
      <c r="H14501" s="4" t="str">
        <v/>
      </c>
      <c r="I14501" s="4" t="str">
        <v/>
      </c>
    </row>
    <row r="14502" spans="5:9" ht="16.5" hidden="1">
      <c r="E14502" s="4" t="str">
        <v/>
      </c>
      <c r="F14502" s="102" t="str">
        <f ca="1">IFERROR(__xludf.DUMMYFUNCTION("IMPORTRANGE(H14502,""IDENTITAS UNIT!D9"")"),"#N/A")</f>
        <v>#N/A</v>
      </c>
      <c r="H14502" s="4" t="str">
        <v/>
      </c>
      <c r="I14502" s="4" t="str">
        <v/>
      </c>
    </row>
    <row r="14503" spans="5:9" ht="16.5" hidden="1">
      <c r="E14503" s="4" t="str">
        <v/>
      </c>
      <c r="F14503" s="102" t="str">
        <f ca="1">IFERROR(__xludf.DUMMYFUNCTION("IMPORTRANGE(H14503,""IDENTITAS UNIT!D9"")"),"#N/A")</f>
        <v>#N/A</v>
      </c>
      <c r="H14503" s="4" t="str">
        <v/>
      </c>
      <c r="I14503" s="4" t="str">
        <v/>
      </c>
    </row>
    <row r="14504" spans="5:9" ht="16.5" hidden="1">
      <c r="E14504" s="4" t="str">
        <v/>
      </c>
      <c r="F14504" s="102" t="str">
        <f ca="1">IFERROR(__xludf.DUMMYFUNCTION("IMPORTRANGE(H14504,""IDENTITAS UNIT!D9"")"),"#N/A")</f>
        <v>#N/A</v>
      </c>
      <c r="H14504" s="4" t="str">
        <v/>
      </c>
      <c r="I14504" s="4" t="str">
        <v/>
      </c>
    </row>
    <row r="14505" spans="5:9" ht="16.5" hidden="1">
      <c r="E14505" s="4" t="str">
        <v/>
      </c>
      <c r="F14505" s="102" t="str">
        <f ca="1">IFERROR(__xludf.DUMMYFUNCTION("IMPORTRANGE(H14505,""IDENTITAS UNIT!D9"")"),"#N/A")</f>
        <v>#N/A</v>
      </c>
      <c r="H14505" s="4" t="str">
        <v/>
      </c>
      <c r="I14505" s="4" t="str">
        <v/>
      </c>
    </row>
    <row r="14506" spans="5:9" ht="16.5" hidden="1">
      <c r="E14506" s="4" t="str">
        <v/>
      </c>
      <c r="F14506" s="102" t="str">
        <f ca="1">IFERROR(__xludf.DUMMYFUNCTION("IMPORTRANGE(H14506,""IDENTITAS UNIT!D9"")"),"#N/A")</f>
        <v>#N/A</v>
      </c>
      <c r="H14506" s="4" t="str">
        <v/>
      </c>
      <c r="I14506" s="4" t="str">
        <v/>
      </c>
    </row>
    <row r="14507" spans="5:9" ht="16.5" hidden="1">
      <c r="E14507" s="4" t="str">
        <v/>
      </c>
      <c r="F14507" s="102" t="str">
        <f ca="1">IFERROR(__xludf.DUMMYFUNCTION("IMPORTRANGE(H14507,""IDENTITAS UNIT!D9"")"),"#N/A")</f>
        <v>#N/A</v>
      </c>
      <c r="H14507" s="4" t="str">
        <v/>
      </c>
      <c r="I14507" s="4" t="str">
        <v/>
      </c>
    </row>
    <row r="14508" spans="5:9" ht="16.5" hidden="1">
      <c r="E14508" s="4" t="str">
        <v/>
      </c>
      <c r="F14508" s="102" t="str">
        <f ca="1">IFERROR(__xludf.DUMMYFUNCTION("IMPORTRANGE(H14508,""IDENTITAS UNIT!D9"")"),"#N/A")</f>
        <v>#N/A</v>
      </c>
      <c r="H14508" s="4" t="str">
        <v/>
      </c>
      <c r="I14508" s="4" t="str">
        <v/>
      </c>
    </row>
    <row r="14509" spans="5:9" ht="16.5" hidden="1">
      <c r="E14509" s="4" t="str">
        <v/>
      </c>
      <c r="F14509" s="102" t="str">
        <f ca="1">IFERROR(__xludf.DUMMYFUNCTION("IMPORTRANGE(H14509,""IDENTITAS UNIT!D9"")"),"#N/A")</f>
        <v>#N/A</v>
      </c>
      <c r="H14509" s="4" t="str">
        <v/>
      </c>
      <c r="I14509" s="4" t="str">
        <v/>
      </c>
    </row>
    <row r="14510" spans="5:9" ht="16.5" hidden="1">
      <c r="E14510" s="4" t="str">
        <v/>
      </c>
      <c r="F14510" s="102" t="str">
        <f ca="1">IFERROR(__xludf.DUMMYFUNCTION("IMPORTRANGE(H14510,""IDENTITAS UNIT!D9"")"),"#N/A")</f>
        <v>#N/A</v>
      </c>
      <c r="H14510" s="4" t="str">
        <v/>
      </c>
      <c r="I14510" s="4" t="str">
        <v/>
      </c>
    </row>
    <row r="14511" spans="5:9" ht="16.5" hidden="1">
      <c r="E14511" s="4" t="str">
        <v/>
      </c>
      <c r="F14511" s="102" t="str">
        <f ca="1">IFERROR(__xludf.DUMMYFUNCTION("IMPORTRANGE(H14511,""IDENTITAS UNIT!D9"")"),"#N/A")</f>
        <v>#N/A</v>
      </c>
      <c r="H14511" s="4" t="str">
        <v/>
      </c>
      <c r="I14511" s="4" t="str">
        <v/>
      </c>
    </row>
    <row r="14512" spans="5:9" ht="16.5" hidden="1">
      <c r="E14512" s="4" t="str">
        <v/>
      </c>
      <c r="F14512" s="102" t="str">
        <f ca="1">IFERROR(__xludf.DUMMYFUNCTION("IMPORTRANGE(H14512,""IDENTITAS UNIT!D9"")"),"#N/A")</f>
        <v>#N/A</v>
      </c>
      <c r="H14512" s="4" t="str">
        <v/>
      </c>
      <c r="I14512" s="4" t="str">
        <v/>
      </c>
    </row>
    <row r="14513" spans="5:9" ht="16.5" hidden="1">
      <c r="E14513" s="4" t="str">
        <v/>
      </c>
      <c r="F14513" s="102" t="str">
        <f ca="1">IFERROR(__xludf.DUMMYFUNCTION("IMPORTRANGE(H14513,""IDENTITAS UNIT!D9"")"),"#N/A")</f>
        <v>#N/A</v>
      </c>
      <c r="H14513" s="4" t="str">
        <v/>
      </c>
      <c r="I14513" s="4" t="str">
        <v/>
      </c>
    </row>
    <row r="14514" spans="5:9" ht="16.5" hidden="1">
      <c r="E14514" s="4" t="str">
        <v/>
      </c>
      <c r="F14514" s="102" t="str">
        <f ca="1">IFERROR(__xludf.DUMMYFUNCTION("IMPORTRANGE(H14514,""IDENTITAS UNIT!D9"")"),"#N/A")</f>
        <v>#N/A</v>
      </c>
      <c r="H14514" s="4" t="str">
        <v/>
      </c>
      <c r="I14514" s="4" t="str">
        <v/>
      </c>
    </row>
    <row r="14515" spans="5:9" ht="16.5" hidden="1">
      <c r="E14515" s="4" t="str">
        <v/>
      </c>
      <c r="F14515" s="102" t="str">
        <f ca="1">IFERROR(__xludf.DUMMYFUNCTION("IMPORTRANGE(H14515,""IDENTITAS UNIT!D9"")"),"#N/A")</f>
        <v>#N/A</v>
      </c>
      <c r="H14515" s="4" t="str">
        <v/>
      </c>
      <c r="I14515" s="4" t="str">
        <v/>
      </c>
    </row>
    <row r="14516" spans="5:9" ht="16.5" hidden="1">
      <c r="E14516" s="4" t="str">
        <v/>
      </c>
      <c r="F14516" s="102" t="str">
        <f ca="1">IFERROR(__xludf.DUMMYFUNCTION("IMPORTRANGE(H14516,""IDENTITAS UNIT!D9"")"),"#N/A")</f>
        <v>#N/A</v>
      </c>
      <c r="H14516" s="4" t="str">
        <v/>
      </c>
      <c r="I14516" s="4" t="str">
        <v/>
      </c>
    </row>
    <row r="14517" spans="5:9" ht="16.5" hidden="1">
      <c r="E14517" s="4" t="str">
        <v/>
      </c>
      <c r="F14517" s="102" t="str">
        <f ca="1">IFERROR(__xludf.DUMMYFUNCTION("IMPORTRANGE(H14517,""IDENTITAS UNIT!D9"")"),"#N/A")</f>
        <v>#N/A</v>
      </c>
      <c r="H14517" s="4" t="str">
        <v/>
      </c>
      <c r="I14517" s="4" t="str">
        <v/>
      </c>
    </row>
    <row r="14518" spans="5:9" ht="16.5" hidden="1">
      <c r="E14518" s="4" t="str">
        <v/>
      </c>
      <c r="F14518" s="102" t="str">
        <f ca="1">IFERROR(__xludf.DUMMYFUNCTION("IMPORTRANGE(H14518,""IDENTITAS UNIT!D9"")"),"#N/A")</f>
        <v>#N/A</v>
      </c>
      <c r="H14518" s="4" t="str">
        <v/>
      </c>
      <c r="I14518" s="4" t="str">
        <v/>
      </c>
    </row>
    <row r="14519" spans="5:9" ht="16.5" hidden="1">
      <c r="E14519" s="4" t="str">
        <v/>
      </c>
      <c r="F14519" s="102" t="str">
        <f ca="1">IFERROR(__xludf.DUMMYFUNCTION("IMPORTRANGE(H14519,""IDENTITAS UNIT!D9"")"),"#N/A")</f>
        <v>#N/A</v>
      </c>
      <c r="H14519" s="4" t="str">
        <v/>
      </c>
      <c r="I14519" s="4" t="str">
        <v/>
      </c>
    </row>
    <row r="14520" spans="5:9" ht="16.5" hidden="1">
      <c r="E14520" s="4" t="str">
        <v/>
      </c>
      <c r="F14520" s="102" t="str">
        <f ca="1">IFERROR(__xludf.DUMMYFUNCTION("IMPORTRANGE(H14520,""IDENTITAS UNIT!D9"")"),"#N/A")</f>
        <v>#N/A</v>
      </c>
      <c r="H14520" s="4" t="str">
        <v/>
      </c>
      <c r="I14520" s="4" t="str">
        <v/>
      </c>
    </row>
    <row r="14521" spans="5:9" ht="16.5" hidden="1">
      <c r="E14521" s="4" t="str">
        <v/>
      </c>
      <c r="F14521" s="102" t="str">
        <f ca="1">IFERROR(__xludf.DUMMYFUNCTION("IMPORTRANGE(H14521,""IDENTITAS UNIT!D9"")"),"#N/A")</f>
        <v>#N/A</v>
      </c>
      <c r="H14521" s="4" t="str">
        <v/>
      </c>
      <c r="I14521" s="4" t="str">
        <v/>
      </c>
    </row>
    <row r="14522" spans="5:9" ht="16.5" hidden="1">
      <c r="E14522" s="4" t="str">
        <v/>
      </c>
      <c r="F14522" s="102" t="str">
        <f ca="1">IFERROR(__xludf.DUMMYFUNCTION("IMPORTRANGE(H14522,""IDENTITAS UNIT!D9"")"),"#N/A")</f>
        <v>#N/A</v>
      </c>
      <c r="H14522" s="4" t="str">
        <v/>
      </c>
      <c r="I14522" s="4" t="str">
        <v/>
      </c>
    </row>
    <row r="14523" spans="5:9" ht="16.5" hidden="1">
      <c r="E14523" s="4" t="str">
        <v/>
      </c>
      <c r="F14523" s="102" t="str">
        <f ca="1">IFERROR(__xludf.DUMMYFUNCTION("IMPORTRANGE(H14523,""IDENTITAS UNIT!D9"")"),"#N/A")</f>
        <v>#N/A</v>
      </c>
      <c r="H14523" s="4" t="str">
        <v/>
      </c>
      <c r="I14523" s="4" t="str">
        <v/>
      </c>
    </row>
    <row r="14524" spans="5:9" ht="16.5" hidden="1">
      <c r="E14524" s="4" t="str">
        <v/>
      </c>
      <c r="F14524" s="102" t="str">
        <f ca="1">IFERROR(__xludf.DUMMYFUNCTION("IMPORTRANGE(H14524,""IDENTITAS UNIT!D9"")"),"#N/A")</f>
        <v>#N/A</v>
      </c>
      <c r="H14524" s="4" t="str">
        <v/>
      </c>
      <c r="I14524" s="4" t="str">
        <v/>
      </c>
    </row>
    <row r="14525" spans="5:9" ht="16.5" hidden="1">
      <c r="E14525" s="4" t="str">
        <v/>
      </c>
      <c r="F14525" s="102" t="str">
        <f ca="1">IFERROR(__xludf.DUMMYFUNCTION("IMPORTRANGE(H14525,""IDENTITAS UNIT!D9"")"),"#N/A")</f>
        <v>#N/A</v>
      </c>
      <c r="H14525" s="4" t="str">
        <v/>
      </c>
      <c r="I14525" s="4" t="str">
        <v/>
      </c>
    </row>
    <row r="14526" spans="5:9" ht="16.5" hidden="1">
      <c r="E14526" s="4" t="str">
        <v/>
      </c>
      <c r="F14526" s="102" t="str">
        <f ca="1">IFERROR(__xludf.DUMMYFUNCTION("IMPORTRANGE(H14526,""IDENTITAS UNIT!D9"")"),"#N/A")</f>
        <v>#N/A</v>
      </c>
      <c r="H14526" s="4" t="str">
        <v/>
      </c>
      <c r="I14526" s="4" t="str">
        <v/>
      </c>
    </row>
    <row r="14527" spans="5:9" ht="16.5" hidden="1">
      <c r="E14527" s="4" t="str">
        <v/>
      </c>
      <c r="F14527" s="102" t="str">
        <f ca="1">IFERROR(__xludf.DUMMYFUNCTION("IMPORTRANGE(H14527,""IDENTITAS UNIT!D9"")"),"#N/A")</f>
        <v>#N/A</v>
      </c>
      <c r="H14527" s="4" t="str">
        <v/>
      </c>
      <c r="I14527" s="4" t="str">
        <v/>
      </c>
    </row>
    <row r="14528" spans="5:9" ht="16.5" hidden="1">
      <c r="E14528" s="4" t="str">
        <v/>
      </c>
      <c r="F14528" s="102" t="str">
        <f ca="1">IFERROR(__xludf.DUMMYFUNCTION("IMPORTRANGE(H14528,""IDENTITAS UNIT!D9"")"),"#N/A")</f>
        <v>#N/A</v>
      </c>
      <c r="H14528" s="4" t="str">
        <v/>
      </c>
      <c r="I14528" s="4" t="str">
        <v/>
      </c>
    </row>
    <row r="14529" spans="5:9" ht="16.5" hidden="1">
      <c r="E14529" s="4" t="str">
        <v/>
      </c>
      <c r="F14529" s="102" t="str">
        <f ca="1">IFERROR(__xludf.DUMMYFUNCTION("IMPORTRANGE(H14529,""IDENTITAS UNIT!D9"")"),"#N/A")</f>
        <v>#N/A</v>
      </c>
      <c r="H14529" s="4" t="str">
        <v/>
      </c>
      <c r="I14529" s="4" t="str">
        <v/>
      </c>
    </row>
    <row r="14530" spans="5:9" ht="16.5" hidden="1">
      <c r="E14530" s="4" t="str">
        <v/>
      </c>
      <c r="F14530" s="102" t="str">
        <f ca="1">IFERROR(__xludf.DUMMYFUNCTION("IMPORTRANGE(H14530,""IDENTITAS UNIT!D9"")"),"#N/A")</f>
        <v>#N/A</v>
      </c>
      <c r="H14530" s="4" t="str">
        <v/>
      </c>
      <c r="I14530" s="4" t="str">
        <v/>
      </c>
    </row>
    <row r="14531" spans="5:9" ht="16.5" hidden="1">
      <c r="E14531" s="4" t="str">
        <v/>
      </c>
      <c r="F14531" s="102" t="str">
        <f ca="1">IFERROR(__xludf.DUMMYFUNCTION("IMPORTRANGE(H14531,""IDENTITAS UNIT!D9"")"),"#N/A")</f>
        <v>#N/A</v>
      </c>
      <c r="H14531" s="4" t="str">
        <v/>
      </c>
      <c r="I14531" s="4" t="str">
        <v/>
      </c>
    </row>
    <row r="14532" spans="5:9" ht="16.5" hidden="1">
      <c r="E14532" s="4" t="str">
        <v/>
      </c>
      <c r="F14532" s="102" t="str">
        <f ca="1">IFERROR(__xludf.DUMMYFUNCTION("IMPORTRANGE(H14532,""IDENTITAS UNIT!D9"")"),"#N/A")</f>
        <v>#N/A</v>
      </c>
      <c r="H14532" s="4" t="str">
        <v/>
      </c>
      <c r="I14532" s="4" t="str">
        <v/>
      </c>
    </row>
    <row r="14533" spans="5:9" ht="16.5" hidden="1">
      <c r="E14533" s="4" t="str">
        <v/>
      </c>
      <c r="F14533" s="102" t="str">
        <f ca="1">IFERROR(__xludf.DUMMYFUNCTION("IMPORTRANGE(H14533,""IDENTITAS UNIT!D9"")"),"#N/A")</f>
        <v>#N/A</v>
      </c>
      <c r="H14533" s="4" t="str">
        <v/>
      </c>
      <c r="I14533" s="4" t="str">
        <v/>
      </c>
    </row>
    <row r="14534" spans="5:9" ht="16.5" hidden="1">
      <c r="E14534" s="4" t="str">
        <v/>
      </c>
      <c r="F14534" s="102" t="str">
        <f ca="1">IFERROR(__xludf.DUMMYFUNCTION("IMPORTRANGE(H14534,""IDENTITAS UNIT!D9"")"),"#N/A")</f>
        <v>#N/A</v>
      </c>
      <c r="H14534" s="4" t="str">
        <v/>
      </c>
      <c r="I14534" s="4" t="str">
        <v/>
      </c>
    </row>
    <row r="14535" spans="5:9" ht="16.5" hidden="1">
      <c r="E14535" s="4" t="str">
        <v/>
      </c>
      <c r="F14535" s="102" t="str">
        <f ca="1">IFERROR(__xludf.DUMMYFUNCTION("IMPORTRANGE(H14535,""IDENTITAS UNIT!D9"")"),"#N/A")</f>
        <v>#N/A</v>
      </c>
      <c r="H14535" s="4" t="str">
        <v/>
      </c>
      <c r="I14535" s="4" t="str">
        <v/>
      </c>
    </row>
    <row r="14536" spans="5:9" ht="16.5" hidden="1">
      <c r="E14536" s="4" t="str">
        <v/>
      </c>
      <c r="F14536" s="102" t="str">
        <f ca="1">IFERROR(__xludf.DUMMYFUNCTION("IMPORTRANGE(H14536,""IDENTITAS UNIT!D9"")"),"#N/A")</f>
        <v>#N/A</v>
      </c>
      <c r="H14536" s="4" t="str">
        <v/>
      </c>
      <c r="I14536" s="4" t="str">
        <v/>
      </c>
    </row>
    <row r="14537" spans="5:9" ht="16.5" hidden="1">
      <c r="E14537" s="4" t="str">
        <v/>
      </c>
      <c r="F14537" s="102" t="str">
        <f ca="1">IFERROR(__xludf.DUMMYFUNCTION("IMPORTRANGE(H14537,""IDENTITAS UNIT!D9"")"),"#N/A")</f>
        <v>#N/A</v>
      </c>
      <c r="H14537" s="4" t="str">
        <v/>
      </c>
      <c r="I14537" s="4" t="str">
        <v/>
      </c>
    </row>
    <row r="14538" spans="5:9" ht="16.5" hidden="1">
      <c r="E14538" s="4" t="str">
        <v/>
      </c>
      <c r="F14538" s="102" t="str">
        <f ca="1">IFERROR(__xludf.DUMMYFUNCTION("IMPORTRANGE(H14538,""IDENTITAS UNIT!D9"")"),"#N/A")</f>
        <v>#N/A</v>
      </c>
      <c r="H14538" s="4" t="str">
        <v/>
      </c>
      <c r="I14538" s="4" t="str">
        <v/>
      </c>
    </row>
    <row r="14539" spans="5:9" ht="16.5" hidden="1">
      <c r="E14539" s="4" t="str">
        <v/>
      </c>
      <c r="F14539" s="102" t="str">
        <f ca="1">IFERROR(__xludf.DUMMYFUNCTION("IMPORTRANGE(H14539,""IDENTITAS UNIT!D9"")"),"#N/A")</f>
        <v>#N/A</v>
      </c>
      <c r="H14539" s="4" t="str">
        <v/>
      </c>
      <c r="I14539" s="4" t="str">
        <v/>
      </c>
    </row>
    <row r="14540" spans="5:9" ht="16.5" hidden="1">
      <c r="E14540" s="4" t="str">
        <v/>
      </c>
      <c r="F14540" s="102" t="str">
        <f ca="1">IFERROR(__xludf.DUMMYFUNCTION("IMPORTRANGE(H14540,""IDENTITAS UNIT!D9"")"),"#N/A")</f>
        <v>#N/A</v>
      </c>
      <c r="H14540" s="4" t="str">
        <v/>
      </c>
      <c r="I14540" s="4" t="str">
        <v/>
      </c>
    </row>
    <row r="14541" spans="5:9" ht="16.5" hidden="1">
      <c r="E14541" s="4" t="str">
        <v/>
      </c>
      <c r="F14541" s="102" t="str">
        <f ca="1">IFERROR(__xludf.DUMMYFUNCTION("IMPORTRANGE(H14541,""IDENTITAS UNIT!D9"")"),"#N/A")</f>
        <v>#N/A</v>
      </c>
      <c r="H14541" s="4" t="str">
        <v/>
      </c>
      <c r="I14541" s="4" t="str">
        <v/>
      </c>
    </row>
    <row r="14542" spans="5:9" ht="16.5" hidden="1">
      <c r="E14542" s="4" t="str">
        <v/>
      </c>
      <c r="F14542" s="102" t="str">
        <f ca="1">IFERROR(__xludf.DUMMYFUNCTION("IMPORTRANGE(H14542,""IDENTITAS UNIT!D9"")"),"#N/A")</f>
        <v>#N/A</v>
      </c>
      <c r="H14542" s="4" t="str">
        <v/>
      </c>
      <c r="I14542" s="4" t="str">
        <v/>
      </c>
    </row>
    <row r="14543" spans="5:9" ht="16.5" hidden="1">
      <c r="E14543" s="4" t="str">
        <v/>
      </c>
      <c r="F14543" s="102" t="str">
        <f ca="1">IFERROR(__xludf.DUMMYFUNCTION("IMPORTRANGE(H14543,""IDENTITAS UNIT!D9"")"),"#N/A")</f>
        <v>#N/A</v>
      </c>
      <c r="H14543" s="4" t="str">
        <v/>
      </c>
      <c r="I14543" s="4" t="str">
        <v/>
      </c>
    </row>
    <row r="14544" spans="5:9" ht="16.5" hidden="1">
      <c r="E14544" s="4" t="str">
        <v/>
      </c>
      <c r="F14544" s="102" t="str">
        <f ca="1">IFERROR(__xludf.DUMMYFUNCTION("IMPORTRANGE(H14544,""IDENTITAS UNIT!D9"")"),"#N/A")</f>
        <v>#N/A</v>
      </c>
      <c r="H14544" s="4" t="str">
        <v/>
      </c>
      <c r="I14544" s="4" t="str">
        <v/>
      </c>
    </row>
    <row r="14545" spans="5:9" ht="16.5" hidden="1">
      <c r="E14545" s="4" t="str">
        <v/>
      </c>
      <c r="F14545" s="102" t="str">
        <f ca="1">IFERROR(__xludf.DUMMYFUNCTION("IMPORTRANGE(H14545,""IDENTITAS UNIT!D9"")"),"#N/A")</f>
        <v>#N/A</v>
      </c>
      <c r="H14545" s="4" t="str">
        <v/>
      </c>
      <c r="I14545" s="4" t="str">
        <v/>
      </c>
    </row>
    <row r="14546" spans="5:9" ht="16.5" hidden="1">
      <c r="E14546" s="4" t="str">
        <v/>
      </c>
      <c r="F14546" s="102" t="str">
        <f ca="1">IFERROR(__xludf.DUMMYFUNCTION("IMPORTRANGE(H14546,""IDENTITAS UNIT!D9"")"),"#N/A")</f>
        <v>#N/A</v>
      </c>
      <c r="H14546" s="4" t="str">
        <v/>
      </c>
      <c r="I14546" s="4" t="str">
        <v/>
      </c>
    </row>
    <row r="14547" spans="5:9" ht="16.5" hidden="1">
      <c r="E14547" s="4" t="str">
        <v/>
      </c>
      <c r="F14547" s="102" t="str">
        <f ca="1">IFERROR(__xludf.DUMMYFUNCTION("IMPORTRANGE(H14547,""IDENTITAS UNIT!D9"")"),"#N/A")</f>
        <v>#N/A</v>
      </c>
      <c r="H14547" s="4" t="str">
        <v/>
      </c>
      <c r="I14547" s="4" t="str">
        <v/>
      </c>
    </row>
    <row r="14548" spans="5:9" ht="16.5" hidden="1">
      <c r="E14548" s="4" t="str">
        <v/>
      </c>
      <c r="F14548" s="102" t="str">
        <f ca="1">IFERROR(__xludf.DUMMYFUNCTION("IMPORTRANGE(H14548,""IDENTITAS UNIT!D9"")"),"#N/A")</f>
        <v>#N/A</v>
      </c>
      <c r="H14548" s="4" t="str">
        <v/>
      </c>
      <c r="I14548" s="4" t="str">
        <v/>
      </c>
    </row>
    <row r="14549" spans="5:9" ht="16.5" hidden="1">
      <c r="E14549" s="4" t="str">
        <v/>
      </c>
      <c r="F14549" s="102" t="str">
        <f ca="1">IFERROR(__xludf.DUMMYFUNCTION("IMPORTRANGE(H14549,""IDENTITAS UNIT!D9"")"),"#N/A")</f>
        <v>#N/A</v>
      </c>
      <c r="H14549" s="4" t="str">
        <v/>
      </c>
      <c r="I14549" s="4" t="str">
        <v/>
      </c>
    </row>
    <row r="14550" spans="5:9" ht="16.5" hidden="1">
      <c r="E14550" s="4" t="str">
        <v/>
      </c>
      <c r="F14550" s="102" t="str">
        <f ca="1">IFERROR(__xludf.DUMMYFUNCTION("IMPORTRANGE(H14550,""IDENTITAS UNIT!D9"")"),"#N/A")</f>
        <v>#N/A</v>
      </c>
      <c r="H14550" s="4" t="str">
        <v/>
      </c>
      <c r="I14550" s="4" t="str">
        <v/>
      </c>
    </row>
    <row r="14551" spans="5:9" ht="16.5" hidden="1">
      <c r="E14551" s="4" t="str">
        <v/>
      </c>
      <c r="F14551" s="102" t="str">
        <f ca="1">IFERROR(__xludf.DUMMYFUNCTION("IMPORTRANGE(H14551,""IDENTITAS UNIT!D9"")"),"#N/A")</f>
        <v>#N/A</v>
      </c>
      <c r="H14551" s="4" t="str">
        <v/>
      </c>
      <c r="I14551" s="4" t="str">
        <v/>
      </c>
    </row>
    <row r="14552" spans="5:9" ht="16.5" hidden="1">
      <c r="E14552" s="4" t="str">
        <v/>
      </c>
      <c r="F14552" s="102" t="str">
        <f ca="1">IFERROR(__xludf.DUMMYFUNCTION("IMPORTRANGE(H14552,""IDENTITAS UNIT!D9"")"),"#N/A")</f>
        <v>#N/A</v>
      </c>
      <c r="H14552" s="4" t="str">
        <v/>
      </c>
      <c r="I14552" s="4" t="str">
        <v/>
      </c>
    </row>
    <row r="14553" spans="5:9" ht="16.5" hidden="1">
      <c r="E14553" s="4" t="str">
        <v/>
      </c>
      <c r="F14553" s="102" t="str">
        <f ca="1">IFERROR(__xludf.DUMMYFUNCTION("IMPORTRANGE(H14553,""IDENTITAS UNIT!D9"")"),"#N/A")</f>
        <v>#N/A</v>
      </c>
      <c r="H14553" s="4" t="str">
        <v/>
      </c>
      <c r="I14553" s="4" t="str">
        <v/>
      </c>
    </row>
    <row r="14554" spans="5:9" ht="16.5" hidden="1">
      <c r="E14554" s="4" t="str">
        <v/>
      </c>
      <c r="F14554" s="102" t="str">
        <f ca="1">IFERROR(__xludf.DUMMYFUNCTION("IMPORTRANGE(H14554,""IDENTITAS UNIT!D9"")"),"#N/A")</f>
        <v>#N/A</v>
      </c>
      <c r="H14554" s="4" t="str">
        <v/>
      </c>
      <c r="I14554" s="4" t="str">
        <v/>
      </c>
    </row>
    <row r="14555" spans="5:9" ht="16.5" hidden="1">
      <c r="E14555" s="4" t="str">
        <v/>
      </c>
      <c r="F14555" s="102" t="str">
        <f ca="1">IFERROR(__xludf.DUMMYFUNCTION("IMPORTRANGE(H14555,""IDENTITAS UNIT!D9"")"),"#N/A")</f>
        <v>#N/A</v>
      </c>
      <c r="H14555" s="4" t="str">
        <v/>
      </c>
      <c r="I14555" s="4" t="str">
        <v/>
      </c>
    </row>
    <row r="14556" spans="5:9" ht="16.5" hidden="1">
      <c r="E14556" s="4" t="str">
        <v/>
      </c>
      <c r="F14556" s="102" t="str">
        <f ca="1">IFERROR(__xludf.DUMMYFUNCTION("IMPORTRANGE(H14556,""IDENTITAS UNIT!D9"")"),"#N/A")</f>
        <v>#N/A</v>
      </c>
      <c r="H14556" s="4" t="str">
        <v/>
      </c>
      <c r="I14556" s="4" t="str">
        <v/>
      </c>
    </row>
    <row r="14557" spans="5:9" ht="16.5" hidden="1">
      <c r="E14557" s="4" t="str">
        <v/>
      </c>
      <c r="F14557" s="102" t="str">
        <f ca="1">IFERROR(__xludf.DUMMYFUNCTION("IMPORTRANGE(H14557,""IDENTITAS UNIT!D9"")"),"#N/A")</f>
        <v>#N/A</v>
      </c>
      <c r="H14557" s="4" t="str">
        <v/>
      </c>
      <c r="I14557" s="4" t="str">
        <v/>
      </c>
    </row>
    <row r="14558" spans="5:9" ht="16.5" hidden="1">
      <c r="E14558" s="4" t="str">
        <v/>
      </c>
      <c r="F14558" s="102" t="str">
        <f ca="1">IFERROR(__xludf.DUMMYFUNCTION("IMPORTRANGE(H14558,""IDENTITAS UNIT!D9"")"),"#N/A")</f>
        <v>#N/A</v>
      </c>
      <c r="H14558" s="4" t="str">
        <v/>
      </c>
      <c r="I14558" s="4" t="str">
        <v/>
      </c>
    </row>
    <row r="14559" spans="5:9" ht="16.5" hidden="1">
      <c r="E14559" s="4" t="str">
        <v/>
      </c>
      <c r="F14559" s="102" t="str">
        <f ca="1">IFERROR(__xludf.DUMMYFUNCTION("IMPORTRANGE(H14559,""IDENTITAS UNIT!D9"")"),"#N/A")</f>
        <v>#N/A</v>
      </c>
      <c r="H14559" s="4" t="str">
        <v/>
      </c>
      <c r="I14559" s="4" t="str">
        <v/>
      </c>
    </row>
    <row r="14560" spans="5:9" ht="16.5" hidden="1">
      <c r="E14560" s="4" t="str">
        <v/>
      </c>
      <c r="F14560" s="102" t="str">
        <f ca="1">IFERROR(__xludf.DUMMYFUNCTION("IMPORTRANGE(H14560,""IDENTITAS UNIT!D9"")"),"#N/A")</f>
        <v>#N/A</v>
      </c>
      <c r="H14560" s="4" t="str">
        <v/>
      </c>
      <c r="I14560" s="4" t="str">
        <v/>
      </c>
    </row>
    <row r="14561" spans="5:9" ht="16.5" hidden="1">
      <c r="E14561" s="4" t="str">
        <v/>
      </c>
      <c r="F14561" s="102" t="str">
        <f ca="1">IFERROR(__xludf.DUMMYFUNCTION("IMPORTRANGE(H14561,""IDENTITAS UNIT!D9"")"),"#N/A")</f>
        <v>#N/A</v>
      </c>
      <c r="H14561" s="4" t="str">
        <v/>
      </c>
      <c r="I14561" s="4" t="str">
        <v/>
      </c>
    </row>
    <row r="14562" spans="5:9" ht="16.5" hidden="1">
      <c r="E14562" s="4" t="str">
        <v/>
      </c>
      <c r="F14562" s="102" t="str">
        <f ca="1">IFERROR(__xludf.DUMMYFUNCTION("IMPORTRANGE(H14562,""IDENTITAS UNIT!D9"")"),"#N/A")</f>
        <v>#N/A</v>
      </c>
      <c r="H14562" s="4" t="str">
        <v/>
      </c>
      <c r="I14562" s="4" t="str">
        <v/>
      </c>
    </row>
    <row r="14563" spans="5:9" ht="16.5" hidden="1">
      <c r="E14563" s="4" t="str">
        <v/>
      </c>
      <c r="F14563" s="102" t="str">
        <f ca="1">IFERROR(__xludf.DUMMYFUNCTION("IMPORTRANGE(H14563,""IDENTITAS UNIT!D9"")"),"#N/A")</f>
        <v>#N/A</v>
      </c>
      <c r="H14563" s="4" t="str">
        <v/>
      </c>
      <c r="I14563" s="4" t="str">
        <v/>
      </c>
    </row>
    <row r="14564" spans="5:9" ht="16.5" hidden="1">
      <c r="E14564" s="4" t="str">
        <v/>
      </c>
      <c r="F14564" s="102" t="str">
        <f ca="1">IFERROR(__xludf.DUMMYFUNCTION("IMPORTRANGE(H14564,""IDENTITAS UNIT!D9"")"),"#N/A")</f>
        <v>#N/A</v>
      </c>
      <c r="H14564" s="4" t="str">
        <v/>
      </c>
      <c r="I14564" s="4" t="str">
        <v/>
      </c>
    </row>
    <row r="14565" spans="5:9" ht="16.5" hidden="1">
      <c r="E14565" s="4" t="str">
        <v/>
      </c>
      <c r="F14565" s="102" t="str">
        <f ca="1">IFERROR(__xludf.DUMMYFUNCTION("IMPORTRANGE(H14565,""IDENTITAS UNIT!D9"")"),"#N/A")</f>
        <v>#N/A</v>
      </c>
      <c r="H14565" s="4" t="str">
        <v/>
      </c>
      <c r="I14565" s="4" t="str">
        <v/>
      </c>
    </row>
    <row r="14566" spans="5:9" ht="16.5" hidden="1">
      <c r="E14566" s="4" t="str">
        <v/>
      </c>
      <c r="F14566" s="102" t="str">
        <f ca="1">IFERROR(__xludf.DUMMYFUNCTION("IMPORTRANGE(H14566,""IDENTITAS UNIT!D9"")"),"#N/A")</f>
        <v>#N/A</v>
      </c>
      <c r="H14566" s="4" t="str">
        <v/>
      </c>
      <c r="I14566" s="4" t="str">
        <v/>
      </c>
    </row>
    <row r="14567" spans="5:9" ht="16.5" hidden="1">
      <c r="E14567" s="4" t="str">
        <v/>
      </c>
      <c r="F14567" s="102" t="str">
        <f ca="1">IFERROR(__xludf.DUMMYFUNCTION("IMPORTRANGE(H14567,""IDENTITAS UNIT!D9"")"),"#N/A")</f>
        <v>#N/A</v>
      </c>
      <c r="H14567" s="4" t="str">
        <v/>
      </c>
      <c r="I14567" s="4" t="str">
        <v/>
      </c>
    </row>
    <row r="14568" spans="5:9" ht="16.5" hidden="1">
      <c r="E14568" s="4" t="str">
        <v/>
      </c>
      <c r="F14568" s="102" t="str">
        <f ca="1">IFERROR(__xludf.DUMMYFUNCTION("IMPORTRANGE(H14568,""IDENTITAS UNIT!D9"")"),"#N/A")</f>
        <v>#N/A</v>
      </c>
      <c r="H14568" s="4" t="str">
        <v/>
      </c>
      <c r="I14568" s="4" t="str">
        <v/>
      </c>
    </row>
    <row r="14569" spans="5:9" ht="16.5" hidden="1">
      <c r="E14569" s="4" t="str">
        <v/>
      </c>
      <c r="F14569" s="102" t="str">
        <f ca="1">IFERROR(__xludf.DUMMYFUNCTION("IMPORTRANGE(H14569,""IDENTITAS UNIT!D9"")"),"#N/A")</f>
        <v>#N/A</v>
      </c>
      <c r="H14569" s="4" t="str">
        <v/>
      </c>
      <c r="I14569" s="4" t="str">
        <v/>
      </c>
    </row>
    <row r="14570" spans="5:9" ht="16.5" hidden="1">
      <c r="E14570" s="4" t="str">
        <v/>
      </c>
      <c r="F14570" s="102" t="str">
        <f ca="1">IFERROR(__xludf.DUMMYFUNCTION("IMPORTRANGE(H14570,""IDENTITAS UNIT!D9"")"),"#N/A")</f>
        <v>#N/A</v>
      </c>
      <c r="H14570" s="4" t="str">
        <v/>
      </c>
      <c r="I14570" s="4" t="str">
        <v/>
      </c>
    </row>
    <row r="14571" spans="5:9" ht="16.5" hidden="1">
      <c r="E14571" s="4" t="str">
        <v/>
      </c>
      <c r="F14571" s="102" t="str">
        <f ca="1">IFERROR(__xludf.DUMMYFUNCTION("IMPORTRANGE(H14571,""IDENTITAS UNIT!D9"")"),"#N/A")</f>
        <v>#N/A</v>
      </c>
      <c r="H14571" s="4" t="str">
        <v/>
      </c>
      <c r="I14571" s="4" t="str">
        <v/>
      </c>
    </row>
    <row r="14572" spans="5:9" ht="16.5" hidden="1">
      <c r="E14572" s="4" t="str">
        <v/>
      </c>
      <c r="F14572" s="102" t="str">
        <f ca="1">IFERROR(__xludf.DUMMYFUNCTION("IMPORTRANGE(H14572,""IDENTITAS UNIT!D9"")"),"#N/A")</f>
        <v>#N/A</v>
      </c>
      <c r="H14572" s="4" t="str">
        <v/>
      </c>
      <c r="I14572" s="4" t="str">
        <v/>
      </c>
    </row>
    <row r="14573" spans="5:9" ht="16.5" hidden="1">
      <c r="E14573" s="4" t="str">
        <v/>
      </c>
      <c r="F14573" s="102" t="str">
        <f ca="1">IFERROR(__xludf.DUMMYFUNCTION("IMPORTRANGE(H14573,""IDENTITAS UNIT!D9"")"),"#N/A")</f>
        <v>#N/A</v>
      </c>
      <c r="H14573" s="4" t="str">
        <v/>
      </c>
      <c r="I14573" s="4" t="str">
        <v/>
      </c>
    </row>
    <row r="14574" spans="5:9" ht="16.5" hidden="1">
      <c r="E14574" s="4" t="str">
        <v/>
      </c>
      <c r="F14574" s="102" t="str">
        <f ca="1">IFERROR(__xludf.DUMMYFUNCTION("IMPORTRANGE(H14574,""IDENTITAS UNIT!D9"")"),"#N/A")</f>
        <v>#N/A</v>
      </c>
      <c r="H14574" s="4" t="str">
        <v/>
      </c>
      <c r="I14574" s="4" t="str">
        <v/>
      </c>
    </row>
    <row r="14575" spans="5:9" ht="16.5" hidden="1">
      <c r="E14575" s="4" t="str">
        <v/>
      </c>
      <c r="F14575" s="102" t="str">
        <f ca="1">IFERROR(__xludf.DUMMYFUNCTION("IMPORTRANGE(H14575,""IDENTITAS UNIT!D9"")"),"#N/A")</f>
        <v>#N/A</v>
      </c>
      <c r="H14575" s="4" t="str">
        <v/>
      </c>
      <c r="I14575" s="4" t="str">
        <v/>
      </c>
    </row>
    <row r="14576" spans="5:9" ht="16.5" hidden="1">
      <c r="E14576" s="4" t="str">
        <v/>
      </c>
      <c r="F14576" s="102" t="str">
        <f ca="1">IFERROR(__xludf.DUMMYFUNCTION("IMPORTRANGE(H14576,""IDENTITAS UNIT!D9"")"),"#N/A")</f>
        <v>#N/A</v>
      </c>
      <c r="H14576" s="4" t="str">
        <v/>
      </c>
      <c r="I14576" s="4" t="str">
        <v/>
      </c>
    </row>
    <row r="14577" spans="5:9" ht="16.5" hidden="1">
      <c r="E14577" s="4" t="str">
        <v/>
      </c>
      <c r="F14577" s="102" t="str">
        <f ca="1">IFERROR(__xludf.DUMMYFUNCTION("IMPORTRANGE(H14577,""IDENTITAS UNIT!D9"")"),"#N/A")</f>
        <v>#N/A</v>
      </c>
      <c r="H14577" s="4" t="str">
        <v/>
      </c>
      <c r="I14577" s="4" t="str">
        <v/>
      </c>
    </row>
    <row r="14578" spans="5:9" ht="16.5" hidden="1">
      <c r="E14578" s="4" t="str">
        <v/>
      </c>
      <c r="F14578" s="102" t="str">
        <f ca="1">IFERROR(__xludf.DUMMYFUNCTION("IMPORTRANGE(H14578,""IDENTITAS UNIT!D9"")"),"#N/A")</f>
        <v>#N/A</v>
      </c>
      <c r="H14578" s="4" t="str">
        <v/>
      </c>
      <c r="I14578" s="4" t="str">
        <v/>
      </c>
    </row>
    <row r="14579" spans="5:9" ht="16.5" hidden="1">
      <c r="E14579" s="4" t="str">
        <v/>
      </c>
      <c r="F14579" s="102" t="str">
        <f ca="1">IFERROR(__xludf.DUMMYFUNCTION("IMPORTRANGE(H14579,""IDENTITAS UNIT!D9"")"),"#N/A")</f>
        <v>#N/A</v>
      </c>
      <c r="H14579" s="4" t="str">
        <v/>
      </c>
      <c r="I14579" s="4" t="str">
        <v/>
      </c>
    </row>
    <row r="14580" spans="5:9" ht="16.5" hidden="1">
      <c r="E14580" s="4" t="str">
        <v/>
      </c>
      <c r="F14580" s="102" t="str">
        <f ca="1">IFERROR(__xludf.DUMMYFUNCTION("IMPORTRANGE(H14580,""IDENTITAS UNIT!D9"")"),"#N/A")</f>
        <v>#N/A</v>
      </c>
      <c r="H14580" s="4" t="str">
        <v/>
      </c>
      <c r="I14580" s="4" t="str">
        <v/>
      </c>
    </row>
    <row r="14581" spans="5:9" ht="16.5" hidden="1">
      <c r="E14581" s="4" t="str">
        <v/>
      </c>
      <c r="F14581" s="102" t="str">
        <f ca="1">IFERROR(__xludf.DUMMYFUNCTION("IMPORTRANGE(H14581,""IDENTITAS UNIT!D9"")"),"#N/A")</f>
        <v>#N/A</v>
      </c>
      <c r="H14581" s="4" t="str">
        <v/>
      </c>
      <c r="I14581" s="4" t="str">
        <v/>
      </c>
    </row>
    <row r="14582" spans="5:9" ht="16.5" hidden="1">
      <c r="E14582" s="4" t="str">
        <v/>
      </c>
      <c r="F14582" s="102" t="str">
        <f ca="1">IFERROR(__xludf.DUMMYFUNCTION("IMPORTRANGE(H14582,""IDENTITAS UNIT!D9"")"),"#N/A")</f>
        <v>#N/A</v>
      </c>
      <c r="H14582" s="4" t="str">
        <v/>
      </c>
      <c r="I14582" s="4" t="str">
        <v/>
      </c>
    </row>
    <row r="14583" spans="5:9" ht="16.5" hidden="1">
      <c r="E14583" s="4" t="str">
        <v/>
      </c>
      <c r="F14583" s="102" t="str">
        <f ca="1">IFERROR(__xludf.DUMMYFUNCTION("IMPORTRANGE(H14583,""IDENTITAS UNIT!D9"")"),"#N/A")</f>
        <v>#N/A</v>
      </c>
      <c r="H14583" s="4" t="str">
        <v/>
      </c>
      <c r="I14583" s="4" t="str">
        <v/>
      </c>
    </row>
    <row r="14584" spans="5:9" ht="16.5" hidden="1">
      <c r="E14584" s="4" t="str">
        <v/>
      </c>
      <c r="F14584" s="102" t="str">
        <f ca="1">IFERROR(__xludf.DUMMYFUNCTION("IMPORTRANGE(H14584,""IDENTITAS UNIT!D9"")"),"#N/A")</f>
        <v>#N/A</v>
      </c>
      <c r="H14584" s="4" t="str">
        <v/>
      </c>
      <c r="I14584" s="4" t="str">
        <v/>
      </c>
    </row>
    <row r="14585" spans="5:9" ht="16.5" hidden="1">
      <c r="E14585" s="4" t="str">
        <v/>
      </c>
      <c r="F14585" s="102" t="str">
        <f ca="1">IFERROR(__xludf.DUMMYFUNCTION("IMPORTRANGE(H14585,""IDENTITAS UNIT!D9"")"),"#N/A")</f>
        <v>#N/A</v>
      </c>
      <c r="H14585" s="4" t="str">
        <v/>
      </c>
      <c r="I14585" s="4" t="str">
        <v/>
      </c>
    </row>
    <row r="14586" spans="5:9" ht="16.5" hidden="1">
      <c r="E14586" s="4" t="str">
        <v/>
      </c>
      <c r="F14586" s="102" t="str">
        <f ca="1">IFERROR(__xludf.DUMMYFUNCTION("IMPORTRANGE(H14586,""IDENTITAS UNIT!D9"")"),"#N/A")</f>
        <v>#N/A</v>
      </c>
      <c r="H14586" s="4" t="str">
        <v/>
      </c>
      <c r="I14586" s="4" t="str">
        <v/>
      </c>
    </row>
    <row r="14587" spans="5:9" ht="16.5" hidden="1">
      <c r="E14587" s="4" t="str">
        <v/>
      </c>
      <c r="F14587" s="102" t="str">
        <f ca="1">IFERROR(__xludf.DUMMYFUNCTION("IMPORTRANGE(H14587,""IDENTITAS UNIT!D9"")"),"#N/A")</f>
        <v>#N/A</v>
      </c>
      <c r="H14587" s="4" t="str">
        <v/>
      </c>
      <c r="I14587" s="4" t="str">
        <v/>
      </c>
    </row>
    <row r="14588" spans="5:9" ht="16.5" hidden="1">
      <c r="E14588" s="4" t="str">
        <v/>
      </c>
      <c r="F14588" s="102" t="str">
        <f ca="1">IFERROR(__xludf.DUMMYFUNCTION("IMPORTRANGE(H14588,""IDENTITAS UNIT!D9"")"),"#N/A")</f>
        <v>#N/A</v>
      </c>
      <c r="H14588" s="4" t="str">
        <v/>
      </c>
      <c r="I14588" s="4" t="str">
        <v/>
      </c>
    </row>
    <row r="14589" spans="5:9" ht="16.5" hidden="1">
      <c r="E14589" s="4" t="str">
        <v/>
      </c>
      <c r="F14589" s="102" t="str">
        <f ca="1">IFERROR(__xludf.DUMMYFUNCTION("IMPORTRANGE(H14589,""IDENTITAS UNIT!D9"")"),"#N/A")</f>
        <v>#N/A</v>
      </c>
      <c r="H14589" s="4" t="str">
        <v/>
      </c>
      <c r="I14589" s="4" t="str">
        <v/>
      </c>
    </row>
    <row r="14590" spans="5:9" ht="16.5" hidden="1">
      <c r="E14590" s="4" t="str">
        <v/>
      </c>
      <c r="F14590" s="102" t="str">
        <f ca="1">IFERROR(__xludf.DUMMYFUNCTION("IMPORTRANGE(H14590,""IDENTITAS UNIT!D9"")"),"#N/A")</f>
        <v>#N/A</v>
      </c>
      <c r="H14590" s="4" t="str">
        <v/>
      </c>
      <c r="I14590" s="4" t="str">
        <v/>
      </c>
    </row>
    <row r="14591" spans="5:9" ht="16.5" hidden="1">
      <c r="E14591" s="4" t="str">
        <v/>
      </c>
      <c r="F14591" s="102" t="str">
        <f ca="1">IFERROR(__xludf.DUMMYFUNCTION("IMPORTRANGE(H14591,""IDENTITAS UNIT!D9"")"),"#N/A")</f>
        <v>#N/A</v>
      </c>
      <c r="H14591" s="4" t="str">
        <v/>
      </c>
      <c r="I14591" s="4" t="str">
        <v/>
      </c>
    </row>
    <row r="14592" spans="5:9" ht="16.5" hidden="1">
      <c r="E14592" s="4" t="str">
        <v/>
      </c>
      <c r="F14592" s="102" t="str">
        <f ca="1">IFERROR(__xludf.DUMMYFUNCTION("IMPORTRANGE(H14592,""IDENTITAS UNIT!D9"")"),"#N/A")</f>
        <v>#N/A</v>
      </c>
      <c r="H14592" s="4" t="str">
        <v/>
      </c>
      <c r="I14592" s="4" t="str">
        <v/>
      </c>
    </row>
    <row r="14593" spans="5:9" ht="16.5" hidden="1">
      <c r="E14593" s="4" t="str">
        <v/>
      </c>
      <c r="F14593" s="102" t="str">
        <f ca="1">IFERROR(__xludf.DUMMYFUNCTION("IMPORTRANGE(H14593,""IDENTITAS UNIT!D9"")"),"#N/A")</f>
        <v>#N/A</v>
      </c>
      <c r="H14593" s="4" t="str">
        <v/>
      </c>
      <c r="I14593" s="4" t="str">
        <v/>
      </c>
    </row>
    <row r="14594" spans="5:9" ht="16.5" hidden="1">
      <c r="E14594" s="4" t="str">
        <v/>
      </c>
      <c r="F14594" s="102" t="str">
        <f ca="1">IFERROR(__xludf.DUMMYFUNCTION("IMPORTRANGE(H14594,""IDENTITAS UNIT!D9"")"),"#N/A")</f>
        <v>#N/A</v>
      </c>
      <c r="H14594" s="4" t="str">
        <v/>
      </c>
      <c r="I14594" s="4" t="str">
        <v/>
      </c>
    </row>
    <row r="14595" spans="5:9" ht="16.5" hidden="1">
      <c r="E14595" s="4" t="str">
        <v/>
      </c>
      <c r="F14595" s="102" t="str">
        <f ca="1">IFERROR(__xludf.DUMMYFUNCTION("IMPORTRANGE(H14595,""IDENTITAS UNIT!D9"")"),"#N/A")</f>
        <v>#N/A</v>
      </c>
      <c r="H14595" s="4" t="str">
        <v/>
      </c>
      <c r="I14595" s="4" t="str">
        <v/>
      </c>
    </row>
    <row r="14596" spans="5:9" ht="16.5" hidden="1">
      <c r="E14596" s="4" t="str">
        <v/>
      </c>
      <c r="F14596" s="102" t="str">
        <f ca="1">IFERROR(__xludf.DUMMYFUNCTION("IMPORTRANGE(H14596,""IDENTITAS UNIT!D9"")"),"#N/A")</f>
        <v>#N/A</v>
      </c>
      <c r="H14596" s="4" t="str">
        <v/>
      </c>
      <c r="I14596" s="4" t="str">
        <v/>
      </c>
    </row>
    <row r="14597" spans="5:9" ht="16.5" hidden="1">
      <c r="E14597" s="4" t="str">
        <v/>
      </c>
      <c r="F14597" s="102" t="str">
        <f ca="1">IFERROR(__xludf.DUMMYFUNCTION("IMPORTRANGE(H14597,""IDENTITAS UNIT!D9"")"),"#N/A")</f>
        <v>#N/A</v>
      </c>
      <c r="H14597" s="4" t="str">
        <v/>
      </c>
      <c r="I14597" s="4" t="str">
        <v/>
      </c>
    </row>
    <row r="14598" spans="5:9" ht="16.5" hidden="1">
      <c r="E14598" s="4" t="str">
        <v/>
      </c>
      <c r="F14598" s="102" t="str">
        <f ca="1">IFERROR(__xludf.DUMMYFUNCTION("IMPORTRANGE(H14598,""IDENTITAS UNIT!D9"")"),"#N/A")</f>
        <v>#N/A</v>
      </c>
      <c r="H14598" s="4" t="str">
        <v/>
      </c>
      <c r="I14598" s="4" t="str">
        <v/>
      </c>
    </row>
    <row r="14599" spans="5:9" ht="16.5" hidden="1">
      <c r="E14599" s="4" t="str">
        <v/>
      </c>
      <c r="F14599" s="102" t="str">
        <f ca="1">IFERROR(__xludf.DUMMYFUNCTION("IMPORTRANGE(H14599,""IDENTITAS UNIT!D9"")"),"#N/A")</f>
        <v>#N/A</v>
      </c>
      <c r="H14599" s="4" t="str">
        <v/>
      </c>
      <c r="I14599" s="4" t="str">
        <v/>
      </c>
    </row>
    <row r="14600" spans="5:9" ht="16.5" hidden="1">
      <c r="E14600" s="4" t="str">
        <v/>
      </c>
      <c r="F14600" s="102" t="str">
        <f ca="1">IFERROR(__xludf.DUMMYFUNCTION("IMPORTRANGE(H14600,""IDENTITAS UNIT!D9"")"),"#N/A")</f>
        <v>#N/A</v>
      </c>
      <c r="H14600" s="4" t="str">
        <v/>
      </c>
      <c r="I14600" s="4" t="str">
        <v/>
      </c>
    </row>
    <row r="14601" spans="5:9" ht="16.5" hidden="1">
      <c r="E14601" s="4" t="str">
        <v/>
      </c>
      <c r="F14601" s="102" t="str">
        <f ca="1">IFERROR(__xludf.DUMMYFUNCTION("IMPORTRANGE(H14601,""IDENTITAS UNIT!D9"")"),"#N/A")</f>
        <v>#N/A</v>
      </c>
      <c r="H14601" s="4" t="str">
        <v/>
      </c>
      <c r="I14601" s="4" t="str">
        <v/>
      </c>
    </row>
    <row r="14602" spans="5:9" ht="16.5" hidden="1">
      <c r="E14602" s="4" t="str">
        <v/>
      </c>
      <c r="F14602" s="102" t="str">
        <f ca="1">IFERROR(__xludf.DUMMYFUNCTION("IMPORTRANGE(H14602,""IDENTITAS UNIT!D9"")"),"#N/A")</f>
        <v>#N/A</v>
      </c>
      <c r="H14602" s="4" t="str">
        <v/>
      </c>
      <c r="I14602" s="4" t="str">
        <v/>
      </c>
    </row>
    <row r="14603" spans="5:9" ht="16.5" hidden="1">
      <c r="E14603" s="4" t="str">
        <v/>
      </c>
      <c r="F14603" s="102" t="str">
        <f ca="1">IFERROR(__xludf.DUMMYFUNCTION("IMPORTRANGE(H14603,""IDENTITAS UNIT!D9"")"),"#N/A")</f>
        <v>#N/A</v>
      </c>
      <c r="H14603" s="4" t="str">
        <v/>
      </c>
      <c r="I14603" s="4" t="str">
        <v/>
      </c>
    </row>
    <row r="14604" spans="5:9" ht="16.5" hidden="1">
      <c r="E14604" s="4" t="str">
        <v/>
      </c>
      <c r="F14604" s="102" t="str">
        <f ca="1">IFERROR(__xludf.DUMMYFUNCTION("IMPORTRANGE(H14604,""IDENTITAS UNIT!D9"")"),"#N/A")</f>
        <v>#N/A</v>
      </c>
      <c r="H14604" s="4" t="str">
        <v/>
      </c>
      <c r="I14604" s="4" t="str">
        <v/>
      </c>
    </row>
    <row r="14605" spans="5:9" ht="16.5" hidden="1">
      <c r="E14605" s="4" t="str">
        <v/>
      </c>
      <c r="F14605" s="102" t="str">
        <f ca="1">IFERROR(__xludf.DUMMYFUNCTION("IMPORTRANGE(H14605,""IDENTITAS UNIT!D9"")"),"#N/A")</f>
        <v>#N/A</v>
      </c>
      <c r="H14605" s="4" t="str">
        <v/>
      </c>
      <c r="I14605" s="4" t="str">
        <v/>
      </c>
    </row>
    <row r="14606" spans="5:9" ht="16.5" hidden="1">
      <c r="E14606" s="4" t="str">
        <v/>
      </c>
      <c r="F14606" s="102" t="str">
        <f ca="1">IFERROR(__xludf.DUMMYFUNCTION("IMPORTRANGE(H14606,""IDENTITAS UNIT!D9"")"),"#N/A")</f>
        <v>#N/A</v>
      </c>
      <c r="H14606" s="4" t="str">
        <v/>
      </c>
      <c r="I14606" s="4" t="str">
        <v/>
      </c>
    </row>
    <row r="14607" spans="5:9" ht="16.5" hidden="1">
      <c r="E14607" s="4" t="str">
        <v/>
      </c>
      <c r="F14607" s="102" t="str">
        <f ca="1">IFERROR(__xludf.DUMMYFUNCTION("IMPORTRANGE(H14607,""IDENTITAS UNIT!D9"")"),"#N/A")</f>
        <v>#N/A</v>
      </c>
      <c r="H14607" s="4" t="str">
        <v/>
      </c>
      <c r="I14607" s="4" t="str">
        <v/>
      </c>
    </row>
    <row r="14608" spans="5:9" ht="16.5" hidden="1">
      <c r="E14608" s="4" t="str">
        <v/>
      </c>
      <c r="F14608" s="102" t="str">
        <f ca="1">IFERROR(__xludf.DUMMYFUNCTION("IMPORTRANGE(H14608,""IDENTITAS UNIT!D9"")"),"#N/A")</f>
        <v>#N/A</v>
      </c>
      <c r="H14608" s="4" t="str">
        <v/>
      </c>
      <c r="I14608" s="4" t="str">
        <v/>
      </c>
    </row>
    <row r="14609" spans="5:9" ht="16.5" hidden="1">
      <c r="E14609" s="4" t="str">
        <v/>
      </c>
      <c r="F14609" s="102" t="str">
        <f ca="1">IFERROR(__xludf.DUMMYFUNCTION("IMPORTRANGE(H14609,""IDENTITAS UNIT!D9"")"),"#N/A")</f>
        <v>#N/A</v>
      </c>
      <c r="H14609" s="4" t="str">
        <v/>
      </c>
      <c r="I14609" s="4" t="str">
        <v/>
      </c>
    </row>
    <row r="14610" spans="5:9" ht="16.5" hidden="1">
      <c r="E14610" s="4" t="str">
        <v/>
      </c>
      <c r="F14610" s="102" t="str">
        <f ca="1">IFERROR(__xludf.DUMMYFUNCTION("IMPORTRANGE(H14610,""IDENTITAS UNIT!D9"")"),"#N/A")</f>
        <v>#N/A</v>
      </c>
      <c r="H14610" s="4" t="str">
        <v/>
      </c>
      <c r="I14610" s="4" t="str">
        <v/>
      </c>
    </row>
    <row r="14611" spans="5:9" ht="16.5" hidden="1">
      <c r="E14611" s="4" t="str">
        <v/>
      </c>
      <c r="F14611" s="102" t="str">
        <f ca="1">IFERROR(__xludf.DUMMYFUNCTION("IMPORTRANGE(H14611,""IDENTITAS UNIT!D9"")"),"#N/A")</f>
        <v>#N/A</v>
      </c>
      <c r="H14611" s="4" t="str">
        <v/>
      </c>
      <c r="I14611" s="4" t="str">
        <v/>
      </c>
    </row>
    <row r="14612" spans="5:9" ht="16.5" hidden="1">
      <c r="E14612" s="4" t="str">
        <v/>
      </c>
      <c r="F14612" s="102" t="str">
        <f ca="1">IFERROR(__xludf.DUMMYFUNCTION("IMPORTRANGE(H14612,""IDENTITAS UNIT!D9"")"),"#N/A")</f>
        <v>#N/A</v>
      </c>
      <c r="H14612" s="4" t="str">
        <v/>
      </c>
      <c r="I14612" s="4" t="str">
        <v/>
      </c>
    </row>
    <row r="14613" spans="5:9" ht="16.5" hidden="1">
      <c r="E14613" s="4" t="str">
        <v/>
      </c>
      <c r="F14613" s="102" t="str">
        <f ca="1">IFERROR(__xludf.DUMMYFUNCTION("IMPORTRANGE(H14613,""IDENTITAS UNIT!D9"")"),"#N/A")</f>
        <v>#N/A</v>
      </c>
      <c r="H14613" s="4" t="str">
        <v/>
      </c>
      <c r="I14613" s="4" t="str">
        <v/>
      </c>
    </row>
    <row r="14614" spans="5:9" ht="16.5" hidden="1">
      <c r="E14614" s="4" t="str">
        <v/>
      </c>
      <c r="F14614" s="102" t="str">
        <f ca="1">IFERROR(__xludf.DUMMYFUNCTION("IMPORTRANGE(H14614,""IDENTITAS UNIT!D9"")"),"#N/A")</f>
        <v>#N/A</v>
      </c>
      <c r="H14614" s="4" t="str">
        <v/>
      </c>
      <c r="I14614" s="4" t="str">
        <v/>
      </c>
    </row>
    <row r="14615" spans="5:9" ht="16.5" hidden="1">
      <c r="E14615" s="4" t="str">
        <v/>
      </c>
      <c r="F14615" s="102" t="str">
        <f ca="1">IFERROR(__xludf.DUMMYFUNCTION("IMPORTRANGE(H14615,""IDENTITAS UNIT!D9"")"),"#N/A")</f>
        <v>#N/A</v>
      </c>
      <c r="H14615" s="4" t="str">
        <v/>
      </c>
      <c r="I14615" s="4" t="str">
        <v/>
      </c>
    </row>
    <row r="14616" spans="5:9" ht="16.5" hidden="1">
      <c r="E14616" s="4" t="str">
        <v/>
      </c>
      <c r="F14616" s="102" t="str">
        <f ca="1">IFERROR(__xludf.DUMMYFUNCTION("IMPORTRANGE(H14616,""IDENTITAS UNIT!D9"")"),"#N/A")</f>
        <v>#N/A</v>
      </c>
      <c r="H14616" s="4" t="str">
        <v/>
      </c>
      <c r="I14616" s="4" t="str">
        <v/>
      </c>
    </row>
    <row r="14617" spans="5:9" ht="16.5" hidden="1">
      <c r="E14617" s="4" t="str">
        <v/>
      </c>
      <c r="F14617" s="102" t="str">
        <f ca="1">IFERROR(__xludf.DUMMYFUNCTION("IMPORTRANGE(H14617,""IDENTITAS UNIT!D9"")"),"#N/A")</f>
        <v>#N/A</v>
      </c>
      <c r="H14617" s="4" t="str">
        <v/>
      </c>
      <c r="I14617" s="4" t="str">
        <v/>
      </c>
    </row>
    <row r="14618" spans="5:9" ht="16.5" hidden="1">
      <c r="E14618" s="4" t="str">
        <v/>
      </c>
      <c r="F14618" s="102" t="str">
        <f ca="1">IFERROR(__xludf.DUMMYFUNCTION("IMPORTRANGE(H14618,""IDENTITAS UNIT!D9"")"),"#N/A")</f>
        <v>#N/A</v>
      </c>
      <c r="H14618" s="4" t="str">
        <v/>
      </c>
      <c r="I14618" s="4" t="str">
        <v/>
      </c>
    </row>
    <row r="14619" spans="5:9" ht="16.5" hidden="1">
      <c r="E14619" s="4" t="str">
        <v/>
      </c>
      <c r="F14619" s="102" t="str">
        <f ca="1">IFERROR(__xludf.DUMMYFUNCTION("IMPORTRANGE(H14619,""IDENTITAS UNIT!D9"")"),"#N/A")</f>
        <v>#N/A</v>
      </c>
      <c r="H14619" s="4" t="str">
        <v/>
      </c>
      <c r="I14619" s="4" t="str">
        <v/>
      </c>
    </row>
    <row r="14620" spans="5:9" ht="16.5" hidden="1">
      <c r="E14620" s="4" t="str">
        <v/>
      </c>
      <c r="F14620" s="102" t="str">
        <f ca="1">IFERROR(__xludf.DUMMYFUNCTION("IMPORTRANGE(H14620,""IDENTITAS UNIT!D9"")"),"#N/A")</f>
        <v>#N/A</v>
      </c>
      <c r="H14620" s="4" t="str">
        <v/>
      </c>
      <c r="I14620" s="4" t="str">
        <v/>
      </c>
    </row>
    <row r="14621" spans="5:9" ht="16.5" hidden="1">
      <c r="E14621" s="4" t="str">
        <v/>
      </c>
      <c r="F14621" s="102" t="str">
        <f ca="1">IFERROR(__xludf.DUMMYFUNCTION("IMPORTRANGE(H14621,""IDENTITAS UNIT!D9"")"),"#N/A")</f>
        <v>#N/A</v>
      </c>
      <c r="H14621" s="4" t="str">
        <v/>
      </c>
      <c r="I14621" s="4" t="str">
        <v/>
      </c>
    </row>
    <row r="14622" spans="5:9" ht="16.5" hidden="1">
      <c r="E14622" s="4" t="str">
        <v/>
      </c>
      <c r="F14622" s="102" t="str">
        <f ca="1">IFERROR(__xludf.DUMMYFUNCTION("IMPORTRANGE(H14622,""IDENTITAS UNIT!D9"")"),"#N/A")</f>
        <v>#N/A</v>
      </c>
      <c r="H14622" s="4" t="str">
        <v/>
      </c>
      <c r="I14622" s="4" t="str">
        <v/>
      </c>
    </row>
    <row r="14623" spans="5:9" ht="16.5" hidden="1">
      <c r="E14623" s="4" t="str">
        <v/>
      </c>
      <c r="F14623" s="102" t="str">
        <f ca="1">IFERROR(__xludf.DUMMYFUNCTION("IMPORTRANGE(H14623,""IDENTITAS UNIT!D9"")"),"#N/A")</f>
        <v>#N/A</v>
      </c>
      <c r="H14623" s="4" t="str">
        <v/>
      </c>
      <c r="I14623" s="4" t="str">
        <v/>
      </c>
    </row>
    <row r="14624" spans="5:9" ht="16.5" hidden="1">
      <c r="E14624" s="4" t="str">
        <v/>
      </c>
      <c r="F14624" s="102" t="str">
        <f ca="1">IFERROR(__xludf.DUMMYFUNCTION("IMPORTRANGE(H14624,""IDENTITAS UNIT!D9"")"),"#N/A")</f>
        <v>#N/A</v>
      </c>
      <c r="H14624" s="4" t="str">
        <v/>
      </c>
      <c r="I14624" s="4" t="str">
        <v/>
      </c>
    </row>
    <row r="14625" spans="5:9" ht="16.5" hidden="1">
      <c r="E14625" s="4" t="str">
        <v/>
      </c>
      <c r="F14625" s="102" t="str">
        <f ca="1">IFERROR(__xludf.DUMMYFUNCTION("IMPORTRANGE(H14625,""IDENTITAS UNIT!D9"")"),"#N/A")</f>
        <v>#N/A</v>
      </c>
      <c r="H14625" s="4" t="str">
        <v/>
      </c>
      <c r="I14625" s="4" t="str">
        <v/>
      </c>
    </row>
    <row r="14626" spans="5:9" ht="16.5" hidden="1">
      <c r="E14626" s="4" t="str">
        <v/>
      </c>
      <c r="F14626" s="102" t="str">
        <f ca="1">IFERROR(__xludf.DUMMYFUNCTION("IMPORTRANGE(H14626,""IDENTITAS UNIT!D9"")"),"#N/A")</f>
        <v>#N/A</v>
      </c>
      <c r="H14626" s="4" t="str">
        <v/>
      </c>
      <c r="I14626" s="4" t="str">
        <v/>
      </c>
    </row>
    <row r="14627" spans="5:9" ht="16.5" hidden="1">
      <c r="E14627" s="4" t="str">
        <v/>
      </c>
      <c r="F14627" s="102" t="str">
        <f ca="1">IFERROR(__xludf.DUMMYFUNCTION("IMPORTRANGE(H14627,""IDENTITAS UNIT!D9"")"),"#N/A")</f>
        <v>#N/A</v>
      </c>
      <c r="H14627" s="4" t="str">
        <v/>
      </c>
      <c r="I14627" s="4" t="str">
        <v/>
      </c>
    </row>
    <row r="14628" spans="5:9" ht="16.5" hidden="1">
      <c r="E14628" s="4" t="str">
        <v/>
      </c>
      <c r="F14628" s="102" t="str">
        <f ca="1">IFERROR(__xludf.DUMMYFUNCTION("IMPORTRANGE(H14628,""IDENTITAS UNIT!D9"")"),"#N/A")</f>
        <v>#N/A</v>
      </c>
      <c r="H14628" s="4" t="str">
        <v/>
      </c>
      <c r="I14628" s="4" t="str">
        <v/>
      </c>
    </row>
    <row r="14629" spans="5:9" ht="16.5" hidden="1">
      <c r="E14629" s="4" t="str">
        <v/>
      </c>
      <c r="F14629" s="102" t="str">
        <f ca="1">IFERROR(__xludf.DUMMYFUNCTION("IMPORTRANGE(H14629,""IDENTITAS UNIT!D9"")"),"#N/A")</f>
        <v>#N/A</v>
      </c>
      <c r="H14629" s="4" t="str">
        <v/>
      </c>
      <c r="I14629" s="4" t="str">
        <v/>
      </c>
    </row>
    <row r="14630" spans="5:9" ht="16.5" hidden="1">
      <c r="E14630" s="4" t="str">
        <v/>
      </c>
      <c r="F14630" s="102" t="str">
        <f ca="1">IFERROR(__xludf.DUMMYFUNCTION("IMPORTRANGE(H14630,""IDENTITAS UNIT!D9"")"),"#N/A")</f>
        <v>#N/A</v>
      </c>
      <c r="H14630" s="4" t="str">
        <v/>
      </c>
      <c r="I14630" s="4" t="str">
        <v/>
      </c>
    </row>
    <row r="14631" spans="5:9" ht="16.5" hidden="1">
      <c r="E14631" s="4" t="str">
        <v/>
      </c>
      <c r="F14631" s="102" t="str">
        <f ca="1">IFERROR(__xludf.DUMMYFUNCTION("IMPORTRANGE(H14631,""IDENTITAS UNIT!D9"")"),"#N/A")</f>
        <v>#N/A</v>
      </c>
      <c r="H14631" s="4" t="str">
        <v/>
      </c>
      <c r="I14631" s="4" t="str">
        <v/>
      </c>
    </row>
    <row r="14632" spans="5:9" ht="16.5" hidden="1">
      <c r="E14632" s="4" t="str">
        <v/>
      </c>
      <c r="F14632" s="102" t="str">
        <f ca="1">IFERROR(__xludf.DUMMYFUNCTION("IMPORTRANGE(H14632,""IDENTITAS UNIT!D9"")"),"#N/A")</f>
        <v>#N/A</v>
      </c>
      <c r="H14632" s="4" t="str">
        <v/>
      </c>
      <c r="I14632" s="4" t="str">
        <v/>
      </c>
    </row>
    <row r="14633" spans="5:9" ht="16.5" hidden="1">
      <c r="E14633" s="4" t="str">
        <v/>
      </c>
      <c r="F14633" s="102" t="str">
        <f ca="1">IFERROR(__xludf.DUMMYFUNCTION("IMPORTRANGE(H14633,""IDENTITAS UNIT!D9"")"),"#N/A")</f>
        <v>#N/A</v>
      </c>
      <c r="H14633" s="4" t="str">
        <v/>
      </c>
      <c r="I14633" s="4" t="str">
        <v/>
      </c>
    </row>
    <row r="14634" spans="5:9" ht="16.5" hidden="1">
      <c r="E14634" s="4" t="str">
        <v/>
      </c>
      <c r="F14634" s="102" t="str">
        <f ca="1">IFERROR(__xludf.DUMMYFUNCTION("IMPORTRANGE(H14634,""IDENTITAS UNIT!D9"")"),"#N/A")</f>
        <v>#N/A</v>
      </c>
      <c r="H14634" s="4" t="str">
        <v/>
      </c>
      <c r="I14634" s="4" t="str">
        <v/>
      </c>
    </row>
    <row r="14635" spans="5:9" ht="16.5" hidden="1">
      <c r="E14635" s="4" t="str">
        <v/>
      </c>
      <c r="F14635" s="102" t="str">
        <f ca="1">IFERROR(__xludf.DUMMYFUNCTION("IMPORTRANGE(H14635,""IDENTITAS UNIT!D9"")"),"#N/A")</f>
        <v>#N/A</v>
      </c>
      <c r="H14635" s="4" t="str">
        <v/>
      </c>
      <c r="I14635" s="4" t="str">
        <v/>
      </c>
    </row>
    <row r="14636" spans="5:9" ht="16.5" hidden="1">
      <c r="E14636" s="4" t="str">
        <v/>
      </c>
      <c r="F14636" s="102" t="str">
        <f ca="1">IFERROR(__xludf.DUMMYFUNCTION("IMPORTRANGE(H14636,""IDENTITAS UNIT!D9"")"),"#N/A")</f>
        <v>#N/A</v>
      </c>
      <c r="H14636" s="4" t="str">
        <v/>
      </c>
      <c r="I14636" s="4" t="str">
        <v/>
      </c>
    </row>
    <row r="14637" spans="5:9" ht="16.5" hidden="1">
      <c r="E14637" s="4" t="str">
        <v/>
      </c>
      <c r="F14637" s="102" t="str">
        <f ca="1">IFERROR(__xludf.DUMMYFUNCTION("IMPORTRANGE(H14637,""IDENTITAS UNIT!D9"")"),"#N/A")</f>
        <v>#N/A</v>
      </c>
      <c r="H14637" s="4" t="str">
        <v/>
      </c>
      <c r="I14637" s="4" t="str">
        <v/>
      </c>
    </row>
    <row r="14638" spans="5:9" ht="16.5" hidden="1">
      <c r="E14638" s="4" t="str">
        <v/>
      </c>
      <c r="F14638" s="102" t="str">
        <f ca="1">IFERROR(__xludf.DUMMYFUNCTION("IMPORTRANGE(H14638,""IDENTITAS UNIT!D9"")"),"#N/A")</f>
        <v>#N/A</v>
      </c>
      <c r="H14638" s="4" t="str">
        <v/>
      </c>
      <c r="I14638" s="4" t="str">
        <v/>
      </c>
    </row>
    <row r="14639" spans="5:9" ht="16.5" hidden="1">
      <c r="E14639" s="4" t="str">
        <v/>
      </c>
      <c r="F14639" s="102" t="str">
        <f ca="1">IFERROR(__xludf.DUMMYFUNCTION("IMPORTRANGE(H14639,""IDENTITAS UNIT!D9"")"),"#N/A")</f>
        <v>#N/A</v>
      </c>
      <c r="H14639" s="4" t="str">
        <v/>
      </c>
      <c r="I14639" s="4" t="str">
        <v/>
      </c>
    </row>
    <row r="14640" spans="5:9" ht="16.5" hidden="1">
      <c r="E14640" s="4" t="str">
        <v/>
      </c>
      <c r="F14640" s="102" t="str">
        <f ca="1">IFERROR(__xludf.DUMMYFUNCTION("IMPORTRANGE(H14640,""IDENTITAS UNIT!D9"")"),"#N/A")</f>
        <v>#N/A</v>
      </c>
      <c r="H14640" s="4" t="str">
        <v/>
      </c>
      <c r="I14640" s="4" t="str">
        <v/>
      </c>
    </row>
    <row r="14641" spans="5:9" ht="16.5" hidden="1">
      <c r="E14641" s="4" t="str">
        <v/>
      </c>
      <c r="F14641" s="102" t="str">
        <f ca="1">IFERROR(__xludf.DUMMYFUNCTION("IMPORTRANGE(H14641,""IDENTITAS UNIT!D9"")"),"#N/A")</f>
        <v>#N/A</v>
      </c>
      <c r="H14641" s="4" t="str">
        <v/>
      </c>
      <c r="I14641" s="4" t="str">
        <v/>
      </c>
    </row>
    <row r="14642" spans="5:9" ht="16.5" hidden="1">
      <c r="E14642" s="4" t="str">
        <v/>
      </c>
      <c r="F14642" s="102" t="str">
        <f ca="1">IFERROR(__xludf.DUMMYFUNCTION("IMPORTRANGE(H14642,""IDENTITAS UNIT!D9"")"),"#N/A")</f>
        <v>#N/A</v>
      </c>
      <c r="H14642" s="4" t="str">
        <v/>
      </c>
      <c r="I14642" s="4" t="str">
        <v/>
      </c>
    </row>
    <row r="14643" spans="5:9" ht="16.5" hidden="1">
      <c r="E14643" s="4" t="str">
        <v/>
      </c>
      <c r="F14643" s="102" t="str">
        <f ca="1">IFERROR(__xludf.DUMMYFUNCTION("IMPORTRANGE(H14643,""IDENTITAS UNIT!D9"")"),"#N/A")</f>
        <v>#N/A</v>
      </c>
      <c r="H14643" s="4" t="str">
        <v/>
      </c>
      <c r="I14643" s="4" t="str">
        <v/>
      </c>
    </row>
    <row r="14644" spans="5:9" ht="16.5" hidden="1">
      <c r="E14644" s="4" t="str">
        <v/>
      </c>
      <c r="F14644" s="102" t="str">
        <f ca="1">IFERROR(__xludf.DUMMYFUNCTION("IMPORTRANGE(H14644,""IDENTITAS UNIT!D9"")"),"#N/A")</f>
        <v>#N/A</v>
      </c>
      <c r="H14644" s="4" t="str">
        <v/>
      </c>
      <c r="I14644" s="4" t="str">
        <v/>
      </c>
    </row>
    <row r="14645" spans="5:9" ht="16.5" hidden="1">
      <c r="E14645" s="4" t="str">
        <v/>
      </c>
      <c r="F14645" s="102" t="str">
        <f ca="1">IFERROR(__xludf.DUMMYFUNCTION("IMPORTRANGE(H14645,""IDENTITAS UNIT!D9"")"),"#N/A")</f>
        <v>#N/A</v>
      </c>
      <c r="H14645" s="4" t="str">
        <v/>
      </c>
      <c r="I14645" s="4" t="str">
        <v/>
      </c>
    </row>
    <row r="14646" spans="5:9" ht="16.5" hidden="1">
      <c r="E14646" s="4" t="str">
        <v/>
      </c>
      <c r="F14646" s="102" t="str">
        <f ca="1">IFERROR(__xludf.DUMMYFUNCTION("IMPORTRANGE(H14646,""IDENTITAS UNIT!D9"")"),"#N/A")</f>
        <v>#N/A</v>
      </c>
      <c r="H14646" s="4" t="str">
        <v/>
      </c>
      <c r="I14646" s="4" t="str">
        <v/>
      </c>
    </row>
    <row r="14647" spans="5:9" ht="16.5" hidden="1">
      <c r="E14647" s="4" t="str">
        <v/>
      </c>
      <c r="F14647" s="102" t="str">
        <f ca="1">IFERROR(__xludf.DUMMYFUNCTION("IMPORTRANGE(H14647,""IDENTITAS UNIT!D9"")"),"#N/A")</f>
        <v>#N/A</v>
      </c>
      <c r="H14647" s="4" t="str">
        <v/>
      </c>
      <c r="I14647" s="4" t="str">
        <v/>
      </c>
    </row>
    <row r="14648" spans="5:9" ht="16.5" hidden="1">
      <c r="E14648" s="4" t="str">
        <v/>
      </c>
      <c r="F14648" s="102" t="str">
        <f ca="1">IFERROR(__xludf.DUMMYFUNCTION("IMPORTRANGE(H14648,""IDENTITAS UNIT!D9"")"),"#N/A")</f>
        <v>#N/A</v>
      </c>
      <c r="H14648" s="4" t="str">
        <v/>
      </c>
      <c r="I14648" s="4" t="str">
        <v/>
      </c>
    </row>
    <row r="14649" spans="5:9" ht="16.5" hidden="1">
      <c r="E14649" s="4" t="str">
        <v/>
      </c>
      <c r="F14649" s="102" t="str">
        <f ca="1">IFERROR(__xludf.DUMMYFUNCTION("IMPORTRANGE(H14649,""IDENTITAS UNIT!D9"")"),"#N/A")</f>
        <v>#N/A</v>
      </c>
      <c r="H14649" s="4" t="str">
        <v/>
      </c>
      <c r="I14649" s="4" t="str">
        <v/>
      </c>
    </row>
    <row r="14650" spans="5:9" ht="16.5" hidden="1">
      <c r="E14650" s="4" t="str">
        <v/>
      </c>
      <c r="F14650" s="102" t="str">
        <f ca="1">IFERROR(__xludf.DUMMYFUNCTION("IMPORTRANGE(H14650,""IDENTITAS UNIT!D9"")"),"#N/A")</f>
        <v>#N/A</v>
      </c>
      <c r="H14650" s="4" t="str">
        <v/>
      </c>
      <c r="I14650" s="4" t="str">
        <v/>
      </c>
    </row>
    <row r="14651" spans="5:9" ht="16.5" hidden="1">
      <c r="E14651" s="4" t="str">
        <v/>
      </c>
      <c r="F14651" s="102" t="str">
        <f ca="1">IFERROR(__xludf.DUMMYFUNCTION("IMPORTRANGE(H14651,""IDENTITAS UNIT!D9"")"),"#N/A")</f>
        <v>#N/A</v>
      </c>
      <c r="H14651" s="4" t="str">
        <v/>
      </c>
      <c r="I14651" s="4" t="str">
        <v/>
      </c>
    </row>
    <row r="14652" spans="5:9" ht="16.5" hidden="1">
      <c r="E14652" s="4" t="str">
        <v/>
      </c>
      <c r="F14652" s="102" t="str">
        <f ca="1">IFERROR(__xludf.DUMMYFUNCTION("IMPORTRANGE(H14652,""IDENTITAS UNIT!D9"")"),"#N/A")</f>
        <v>#N/A</v>
      </c>
      <c r="H14652" s="4" t="str">
        <v/>
      </c>
      <c r="I14652" s="4" t="str">
        <v/>
      </c>
    </row>
    <row r="14653" spans="5:9" ht="16.5" hidden="1">
      <c r="E14653" s="4" t="str">
        <v/>
      </c>
      <c r="F14653" s="102" t="str">
        <f ca="1">IFERROR(__xludf.DUMMYFUNCTION("IMPORTRANGE(H14653,""IDENTITAS UNIT!D9"")"),"#N/A")</f>
        <v>#N/A</v>
      </c>
      <c r="H14653" s="4" t="str">
        <v/>
      </c>
      <c r="I14653" s="4" t="str">
        <v/>
      </c>
    </row>
    <row r="14654" spans="5:9" ht="16.5" hidden="1">
      <c r="E14654" s="4" t="str">
        <v/>
      </c>
      <c r="F14654" s="102" t="str">
        <f ca="1">IFERROR(__xludf.DUMMYFUNCTION("IMPORTRANGE(H14654,""IDENTITAS UNIT!D9"")"),"#N/A")</f>
        <v>#N/A</v>
      </c>
      <c r="H14654" s="4" t="str">
        <v/>
      </c>
      <c r="I14654" s="4" t="str">
        <v/>
      </c>
    </row>
    <row r="14655" spans="5:9" ht="16.5" hidden="1">
      <c r="E14655" s="4" t="str">
        <v/>
      </c>
      <c r="F14655" s="102" t="str">
        <f ca="1">IFERROR(__xludf.DUMMYFUNCTION("IMPORTRANGE(H14655,""IDENTITAS UNIT!D9"")"),"#N/A")</f>
        <v>#N/A</v>
      </c>
      <c r="H14655" s="4" t="str">
        <v/>
      </c>
      <c r="I14655" s="4" t="str">
        <v/>
      </c>
    </row>
    <row r="14656" spans="5:9" ht="16.5" hidden="1">
      <c r="E14656" s="4" t="str">
        <v/>
      </c>
      <c r="F14656" s="102" t="str">
        <f ca="1">IFERROR(__xludf.DUMMYFUNCTION("IMPORTRANGE(H14656,""IDENTITAS UNIT!D9"")"),"#N/A")</f>
        <v>#N/A</v>
      </c>
      <c r="H14656" s="4" t="str">
        <v/>
      </c>
      <c r="I14656" s="4" t="str">
        <v/>
      </c>
    </row>
    <row r="14657" spans="5:9" ht="16.5" hidden="1">
      <c r="E14657" s="4" t="str">
        <v/>
      </c>
      <c r="F14657" s="102" t="str">
        <f ca="1">IFERROR(__xludf.DUMMYFUNCTION("IMPORTRANGE(H14657,""IDENTITAS UNIT!D9"")"),"#N/A")</f>
        <v>#N/A</v>
      </c>
      <c r="H14657" s="4" t="str">
        <v/>
      </c>
      <c r="I14657" s="4" t="str">
        <v/>
      </c>
    </row>
    <row r="14658" spans="5:9" ht="16.5" hidden="1">
      <c r="E14658" s="4" t="str">
        <v/>
      </c>
      <c r="F14658" s="102" t="str">
        <f ca="1">IFERROR(__xludf.DUMMYFUNCTION("IMPORTRANGE(H14658,""IDENTITAS UNIT!D9"")"),"#N/A")</f>
        <v>#N/A</v>
      </c>
      <c r="H14658" s="4" t="str">
        <v/>
      </c>
      <c r="I14658" s="4" t="str">
        <v/>
      </c>
    </row>
    <row r="14659" spans="5:9" ht="16.5" hidden="1">
      <c r="E14659" s="4" t="str">
        <v/>
      </c>
      <c r="F14659" s="102" t="str">
        <f ca="1">IFERROR(__xludf.DUMMYFUNCTION("IMPORTRANGE(H14659,""IDENTITAS UNIT!D9"")"),"#N/A")</f>
        <v>#N/A</v>
      </c>
      <c r="H14659" s="4" t="str">
        <v/>
      </c>
      <c r="I14659" s="4" t="str">
        <v/>
      </c>
    </row>
    <row r="14660" spans="5:9" ht="16.5" hidden="1">
      <c r="E14660" s="4" t="str">
        <v/>
      </c>
      <c r="F14660" s="102" t="str">
        <f ca="1">IFERROR(__xludf.DUMMYFUNCTION("IMPORTRANGE(H14660,""IDENTITAS UNIT!D9"")"),"#N/A")</f>
        <v>#N/A</v>
      </c>
      <c r="H14660" s="4" t="str">
        <v/>
      </c>
      <c r="I14660" s="4" t="str">
        <v/>
      </c>
    </row>
    <row r="14661" spans="5:9" ht="16.5" hidden="1">
      <c r="E14661" s="4" t="str">
        <v/>
      </c>
      <c r="F14661" s="102" t="str">
        <f ca="1">IFERROR(__xludf.DUMMYFUNCTION("IMPORTRANGE(H14661,""IDENTITAS UNIT!D9"")"),"#N/A")</f>
        <v>#N/A</v>
      </c>
      <c r="H14661" s="4" t="str">
        <v/>
      </c>
      <c r="I14661" s="4" t="str">
        <v/>
      </c>
    </row>
    <row r="14662" spans="5:9" ht="16.5" hidden="1">
      <c r="E14662" s="4" t="str">
        <v/>
      </c>
      <c r="F14662" s="102" t="str">
        <f ca="1">IFERROR(__xludf.DUMMYFUNCTION("IMPORTRANGE(H14662,""IDENTITAS UNIT!D9"")"),"#N/A")</f>
        <v>#N/A</v>
      </c>
      <c r="H14662" s="4" t="str">
        <v/>
      </c>
      <c r="I14662" s="4" t="str">
        <v/>
      </c>
    </row>
    <row r="14663" spans="5:9" ht="16.5" hidden="1">
      <c r="E14663" s="4" t="str">
        <v/>
      </c>
      <c r="F14663" s="102" t="str">
        <f ca="1">IFERROR(__xludf.DUMMYFUNCTION("IMPORTRANGE(H14663,""IDENTITAS UNIT!D9"")"),"#N/A")</f>
        <v>#N/A</v>
      </c>
      <c r="H14663" s="4" t="str">
        <v/>
      </c>
      <c r="I14663" s="4" t="str">
        <v/>
      </c>
    </row>
    <row r="14664" spans="5:9" ht="16.5" hidden="1">
      <c r="E14664" s="4" t="str">
        <v/>
      </c>
      <c r="F14664" s="102" t="str">
        <f ca="1">IFERROR(__xludf.DUMMYFUNCTION("IMPORTRANGE(H14664,""IDENTITAS UNIT!D9"")"),"#N/A")</f>
        <v>#N/A</v>
      </c>
      <c r="H14664" s="4" t="str">
        <v/>
      </c>
      <c r="I14664" s="4" t="str">
        <v/>
      </c>
    </row>
    <row r="14665" spans="5:9" ht="16.5" hidden="1">
      <c r="E14665" s="4" t="str">
        <v/>
      </c>
      <c r="F14665" s="102" t="str">
        <f ca="1">IFERROR(__xludf.DUMMYFUNCTION("IMPORTRANGE(H14665,""IDENTITAS UNIT!D9"")"),"#N/A")</f>
        <v>#N/A</v>
      </c>
      <c r="H14665" s="4" t="str">
        <v/>
      </c>
      <c r="I14665" s="4" t="str">
        <v/>
      </c>
    </row>
    <row r="14666" spans="5:9" ht="16.5" hidden="1">
      <c r="E14666" s="4" t="str">
        <v/>
      </c>
      <c r="F14666" s="102" t="str">
        <f ca="1">IFERROR(__xludf.DUMMYFUNCTION("IMPORTRANGE(H14666,""IDENTITAS UNIT!D9"")"),"#N/A")</f>
        <v>#N/A</v>
      </c>
      <c r="H14666" s="4" t="str">
        <v/>
      </c>
      <c r="I14666" s="4" t="str">
        <v/>
      </c>
    </row>
    <row r="14667" spans="5:9" ht="16.5" hidden="1">
      <c r="E14667" s="4" t="str">
        <v/>
      </c>
      <c r="F14667" s="102" t="str">
        <f ca="1">IFERROR(__xludf.DUMMYFUNCTION("IMPORTRANGE(H14667,""IDENTITAS UNIT!D9"")"),"#N/A")</f>
        <v>#N/A</v>
      </c>
      <c r="H14667" s="4" t="str">
        <v/>
      </c>
      <c r="I14667" s="4" t="str">
        <v/>
      </c>
    </row>
    <row r="14668" spans="5:9" ht="16.5" hidden="1">
      <c r="E14668" s="4" t="str">
        <v/>
      </c>
      <c r="F14668" s="102" t="str">
        <f ca="1">IFERROR(__xludf.DUMMYFUNCTION("IMPORTRANGE(H14668,""IDENTITAS UNIT!D9"")"),"#N/A")</f>
        <v>#N/A</v>
      </c>
      <c r="H14668" s="4" t="str">
        <v/>
      </c>
      <c r="I14668" s="4" t="str">
        <v/>
      </c>
    </row>
    <row r="14669" spans="5:9" ht="16.5" hidden="1">
      <c r="E14669" s="4" t="str">
        <v/>
      </c>
      <c r="F14669" s="102" t="str">
        <f ca="1">IFERROR(__xludf.DUMMYFUNCTION("IMPORTRANGE(H14669,""IDENTITAS UNIT!D9"")"),"#N/A")</f>
        <v>#N/A</v>
      </c>
      <c r="H14669" s="4" t="str">
        <v/>
      </c>
      <c r="I14669" s="4" t="str">
        <v/>
      </c>
    </row>
    <row r="14670" spans="5:9" ht="16.5" hidden="1">
      <c r="E14670" s="4" t="str">
        <v/>
      </c>
      <c r="F14670" s="102" t="str">
        <f ca="1">IFERROR(__xludf.DUMMYFUNCTION("IMPORTRANGE(H14670,""IDENTITAS UNIT!D9"")"),"#N/A")</f>
        <v>#N/A</v>
      </c>
      <c r="H14670" s="4" t="str">
        <v/>
      </c>
      <c r="I14670" s="4" t="str">
        <v/>
      </c>
    </row>
    <row r="14671" spans="5:9" ht="16.5" hidden="1">
      <c r="E14671" s="4" t="str">
        <v/>
      </c>
      <c r="F14671" s="102" t="str">
        <f ca="1">IFERROR(__xludf.DUMMYFUNCTION("IMPORTRANGE(H14671,""IDENTITAS UNIT!D9"")"),"#N/A")</f>
        <v>#N/A</v>
      </c>
      <c r="H14671" s="4" t="str">
        <v/>
      </c>
      <c r="I14671" s="4" t="str">
        <v/>
      </c>
    </row>
    <row r="14672" spans="5:9" ht="16.5" hidden="1">
      <c r="E14672" s="4" t="str">
        <v/>
      </c>
      <c r="F14672" s="102" t="str">
        <f ca="1">IFERROR(__xludf.DUMMYFUNCTION("IMPORTRANGE(H14672,""IDENTITAS UNIT!D9"")"),"#N/A")</f>
        <v>#N/A</v>
      </c>
      <c r="H14672" s="4" t="str">
        <v/>
      </c>
      <c r="I14672" s="4" t="str">
        <v/>
      </c>
    </row>
    <row r="14673" spans="5:9" ht="16.5" hidden="1">
      <c r="E14673" s="4" t="str">
        <v/>
      </c>
      <c r="F14673" s="102" t="str">
        <f ca="1">IFERROR(__xludf.DUMMYFUNCTION("IMPORTRANGE(H14673,""IDENTITAS UNIT!D9"")"),"#N/A")</f>
        <v>#N/A</v>
      </c>
      <c r="H14673" s="4" t="str">
        <v/>
      </c>
      <c r="I14673" s="4" t="str">
        <v/>
      </c>
    </row>
    <row r="14674" spans="5:9" ht="16.5" hidden="1">
      <c r="E14674" s="4" t="str">
        <v/>
      </c>
      <c r="F14674" s="102" t="str">
        <f ca="1">IFERROR(__xludf.DUMMYFUNCTION("IMPORTRANGE(H14674,""IDENTITAS UNIT!D9"")"),"#N/A")</f>
        <v>#N/A</v>
      </c>
      <c r="H14674" s="4" t="str">
        <v/>
      </c>
      <c r="I14674" s="4" t="str">
        <v/>
      </c>
    </row>
    <row r="14675" spans="5:9" ht="16.5" hidden="1">
      <c r="E14675" s="4" t="str">
        <v/>
      </c>
      <c r="F14675" s="102" t="str">
        <f ca="1">IFERROR(__xludf.DUMMYFUNCTION("IMPORTRANGE(H14675,""IDENTITAS UNIT!D9"")"),"#N/A")</f>
        <v>#N/A</v>
      </c>
      <c r="H14675" s="4" t="str">
        <v/>
      </c>
      <c r="I14675" s="4" t="str">
        <v/>
      </c>
    </row>
    <row r="14676" spans="5:9" ht="16.5" hidden="1">
      <c r="E14676" s="4" t="str">
        <v/>
      </c>
      <c r="F14676" s="102" t="str">
        <f ca="1">IFERROR(__xludf.DUMMYFUNCTION("IMPORTRANGE(H14676,""IDENTITAS UNIT!D9"")"),"#N/A")</f>
        <v>#N/A</v>
      </c>
      <c r="H14676" s="4" t="str">
        <v/>
      </c>
      <c r="I14676" s="4" t="str">
        <v/>
      </c>
    </row>
    <row r="14677" spans="5:9" ht="16.5" hidden="1">
      <c r="E14677" s="4" t="str">
        <v/>
      </c>
      <c r="F14677" s="102" t="str">
        <f ca="1">IFERROR(__xludf.DUMMYFUNCTION("IMPORTRANGE(H14677,""IDENTITAS UNIT!D9"")"),"#N/A")</f>
        <v>#N/A</v>
      </c>
      <c r="H14677" s="4" t="str">
        <v/>
      </c>
      <c r="I14677" s="4" t="str">
        <v/>
      </c>
    </row>
    <row r="14678" spans="5:9" ht="16.5" hidden="1">
      <c r="E14678" s="4" t="str">
        <v/>
      </c>
      <c r="F14678" s="102" t="str">
        <f ca="1">IFERROR(__xludf.DUMMYFUNCTION("IMPORTRANGE(H14678,""IDENTITAS UNIT!D9"")"),"#N/A")</f>
        <v>#N/A</v>
      </c>
      <c r="H14678" s="4" t="str">
        <v/>
      </c>
      <c r="I14678" s="4" t="str">
        <v/>
      </c>
    </row>
    <row r="14679" spans="5:9" ht="16.5" hidden="1">
      <c r="E14679" s="4" t="str">
        <v/>
      </c>
      <c r="F14679" s="102" t="str">
        <f ca="1">IFERROR(__xludf.DUMMYFUNCTION("IMPORTRANGE(H14679,""IDENTITAS UNIT!D9"")"),"#N/A")</f>
        <v>#N/A</v>
      </c>
      <c r="H14679" s="4" t="str">
        <v/>
      </c>
      <c r="I14679" s="4" t="str">
        <v/>
      </c>
    </row>
    <row r="14680" spans="5:9" ht="16.5" hidden="1">
      <c r="E14680" s="4" t="str">
        <v/>
      </c>
      <c r="F14680" s="102" t="str">
        <f ca="1">IFERROR(__xludf.DUMMYFUNCTION("IMPORTRANGE(H14680,""IDENTITAS UNIT!D9"")"),"#N/A")</f>
        <v>#N/A</v>
      </c>
      <c r="H14680" s="4" t="str">
        <v/>
      </c>
      <c r="I14680" s="4" t="str">
        <v/>
      </c>
    </row>
    <row r="14681" spans="5:9" ht="16.5" hidden="1">
      <c r="E14681" s="4" t="str">
        <v/>
      </c>
      <c r="F14681" s="102" t="str">
        <f ca="1">IFERROR(__xludf.DUMMYFUNCTION("IMPORTRANGE(H14681,""IDENTITAS UNIT!D9"")"),"#N/A")</f>
        <v>#N/A</v>
      </c>
      <c r="H14681" s="4" t="str">
        <v/>
      </c>
      <c r="I14681" s="4" t="str">
        <v/>
      </c>
    </row>
    <row r="14682" spans="5:9" ht="16.5" hidden="1">
      <c r="E14682" s="4" t="str">
        <v/>
      </c>
      <c r="F14682" s="102" t="str">
        <f ca="1">IFERROR(__xludf.DUMMYFUNCTION("IMPORTRANGE(H14682,""IDENTITAS UNIT!D9"")"),"#N/A")</f>
        <v>#N/A</v>
      </c>
      <c r="H14682" s="4" t="str">
        <v/>
      </c>
      <c r="I14682" s="4" t="str">
        <v/>
      </c>
    </row>
    <row r="14683" spans="5:9" ht="16.5" hidden="1">
      <c r="E14683" s="4" t="str">
        <v/>
      </c>
      <c r="F14683" s="102" t="str">
        <f ca="1">IFERROR(__xludf.DUMMYFUNCTION("IMPORTRANGE(H14683,""IDENTITAS UNIT!D9"")"),"#N/A")</f>
        <v>#N/A</v>
      </c>
      <c r="H14683" s="4" t="str">
        <v/>
      </c>
      <c r="I14683" s="4" t="str">
        <v/>
      </c>
    </row>
    <row r="14684" spans="5:9" ht="16.5" hidden="1">
      <c r="E14684" s="4" t="str">
        <v/>
      </c>
      <c r="F14684" s="102" t="str">
        <f ca="1">IFERROR(__xludf.DUMMYFUNCTION("IMPORTRANGE(H14684,""IDENTITAS UNIT!D9"")"),"#N/A")</f>
        <v>#N/A</v>
      </c>
      <c r="H14684" s="4" t="str">
        <v/>
      </c>
      <c r="I14684" s="4" t="str">
        <v/>
      </c>
    </row>
    <row r="14685" spans="5:9" ht="16.5" hidden="1">
      <c r="E14685" s="4" t="str">
        <v/>
      </c>
      <c r="F14685" s="102" t="str">
        <f ca="1">IFERROR(__xludf.DUMMYFUNCTION("IMPORTRANGE(H14685,""IDENTITAS UNIT!D9"")"),"#N/A")</f>
        <v>#N/A</v>
      </c>
      <c r="H14685" s="4" t="str">
        <v/>
      </c>
      <c r="I14685" s="4" t="str">
        <v/>
      </c>
    </row>
    <row r="14686" spans="5:9" ht="16.5" hidden="1">
      <c r="E14686" s="4" t="str">
        <v/>
      </c>
      <c r="F14686" s="102" t="str">
        <f ca="1">IFERROR(__xludf.DUMMYFUNCTION("IMPORTRANGE(H14686,""IDENTITAS UNIT!D9"")"),"#N/A")</f>
        <v>#N/A</v>
      </c>
      <c r="H14686" s="4" t="str">
        <v/>
      </c>
      <c r="I14686" s="4" t="str">
        <v/>
      </c>
    </row>
    <row r="14687" spans="5:9" ht="16.5" hidden="1">
      <c r="E14687" s="4" t="str">
        <v/>
      </c>
      <c r="F14687" s="102" t="str">
        <f ca="1">IFERROR(__xludf.DUMMYFUNCTION("IMPORTRANGE(H14687,""IDENTITAS UNIT!D9"")"),"#N/A")</f>
        <v>#N/A</v>
      </c>
      <c r="H14687" s="4" t="str">
        <v/>
      </c>
      <c r="I14687" s="4" t="str">
        <v/>
      </c>
    </row>
    <row r="14688" spans="5:9" ht="16.5" hidden="1">
      <c r="E14688" s="4" t="str">
        <v/>
      </c>
      <c r="F14688" s="102" t="str">
        <f ca="1">IFERROR(__xludf.DUMMYFUNCTION("IMPORTRANGE(H14688,""IDENTITAS UNIT!D9"")"),"#N/A")</f>
        <v>#N/A</v>
      </c>
      <c r="H14688" s="4" t="str">
        <v/>
      </c>
      <c r="I14688" s="4" t="str">
        <v/>
      </c>
    </row>
    <row r="14689" spans="5:9" ht="16.5" hidden="1">
      <c r="E14689" s="4" t="str">
        <v/>
      </c>
      <c r="F14689" s="102" t="str">
        <f ca="1">IFERROR(__xludf.DUMMYFUNCTION("IMPORTRANGE(H14689,""IDENTITAS UNIT!D9"")"),"#N/A")</f>
        <v>#N/A</v>
      </c>
      <c r="H14689" s="4" t="str">
        <v/>
      </c>
      <c r="I14689" s="4" t="str">
        <v/>
      </c>
    </row>
    <row r="14690" spans="5:9" ht="16.5" hidden="1">
      <c r="E14690" s="4" t="str">
        <v/>
      </c>
      <c r="F14690" s="102" t="str">
        <f ca="1">IFERROR(__xludf.DUMMYFUNCTION("IMPORTRANGE(H14690,""IDENTITAS UNIT!D9"")"),"#N/A")</f>
        <v>#N/A</v>
      </c>
      <c r="H14690" s="4" t="str">
        <v/>
      </c>
      <c r="I14690" s="4" t="str">
        <v/>
      </c>
    </row>
    <row r="14691" spans="5:9" ht="16.5" hidden="1">
      <c r="E14691" s="4" t="str">
        <v/>
      </c>
      <c r="F14691" s="102" t="str">
        <f ca="1">IFERROR(__xludf.DUMMYFUNCTION("IMPORTRANGE(H14691,""IDENTITAS UNIT!D9"")"),"#N/A")</f>
        <v>#N/A</v>
      </c>
      <c r="H14691" s="4" t="str">
        <v/>
      </c>
      <c r="I14691" s="4" t="str">
        <v/>
      </c>
    </row>
    <row r="14692" spans="5:9" ht="16.5" hidden="1">
      <c r="E14692" s="4" t="str">
        <v/>
      </c>
      <c r="F14692" s="102" t="str">
        <f ca="1">IFERROR(__xludf.DUMMYFUNCTION("IMPORTRANGE(H14692,""IDENTITAS UNIT!D9"")"),"#N/A")</f>
        <v>#N/A</v>
      </c>
      <c r="H14692" s="4" t="str">
        <v/>
      </c>
      <c r="I14692" s="4" t="str">
        <v/>
      </c>
    </row>
    <row r="14693" spans="5:9" ht="16.5" hidden="1">
      <c r="E14693" s="4" t="str">
        <v/>
      </c>
      <c r="F14693" s="102" t="str">
        <f ca="1">IFERROR(__xludf.DUMMYFUNCTION("IMPORTRANGE(H14693,""IDENTITAS UNIT!D9"")"),"#N/A")</f>
        <v>#N/A</v>
      </c>
      <c r="H14693" s="4" t="str">
        <v/>
      </c>
      <c r="I14693" s="4" t="str">
        <v/>
      </c>
    </row>
    <row r="14694" spans="5:9" ht="16.5" hidden="1">
      <c r="E14694" s="4" t="str">
        <v/>
      </c>
      <c r="F14694" s="102" t="str">
        <f ca="1">IFERROR(__xludf.DUMMYFUNCTION("IMPORTRANGE(H14694,""IDENTITAS UNIT!D9"")"),"#N/A")</f>
        <v>#N/A</v>
      </c>
      <c r="H14694" s="4" t="str">
        <v/>
      </c>
      <c r="I14694" s="4" t="str">
        <v/>
      </c>
    </row>
    <row r="14695" spans="5:9" ht="16.5" hidden="1">
      <c r="E14695" s="4" t="str">
        <v/>
      </c>
      <c r="F14695" s="102" t="str">
        <f ca="1">IFERROR(__xludf.DUMMYFUNCTION("IMPORTRANGE(H14695,""IDENTITAS UNIT!D9"")"),"#N/A")</f>
        <v>#N/A</v>
      </c>
      <c r="H14695" s="4" t="str">
        <v/>
      </c>
      <c r="I14695" s="4" t="str">
        <v/>
      </c>
    </row>
    <row r="14696" spans="5:9" ht="16.5" hidden="1">
      <c r="E14696" s="4" t="str">
        <v/>
      </c>
      <c r="F14696" s="102" t="str">
        <f ca="1">IFERROR(__xludf.DUMMYFUNCTION("IMPORTRANGE(H14696,""IDENTITAS UNIT!D9"")"),"#N/A")</f>
        <v>#N/A</v>
      </c>
      <c r="H14696" s="4" t="str">
        <v/>
      </c>
      <c r="I14696" s="4" t="str">
        <v/>
      </c>
    </row>
    <row r="14697" spans="5:9" ht="16.5" hidden="1">
      <c r="E14697" s="4" t="str">
        <v/>
      </c>
      <c r="F14697" s="102" t="str">
        <f ca="1">IFERROR(__xludf.DUMMYFUNCTION("IMPORTRANGE(H14697,""IDENTITAS UNIT!D9"")"),"#N/A")</f>
        <v>#N/A</v>
      </c>
      <c r="H14697" s="4" t="str">
        <v/>
      </c>
      <c r="I14697" s="4" t="str">
        <v/>
      </c>
    </row>
    <row r="14698" spans="5:9" ht="16.5" hidden="1">
      <c r="E14698" s="4" t="str">
        <v/>
      </c>
      <c r="F14698" s="102" t="str">
        <f ca="1">IFERROR(__xludf.DUMMYFUNCTION("IMPORTRANGE(H14698,""IDENTITAS UNIT!D9"")"),"#N/A")</f>
        <v>#N/A</v>
      </c>
      <c r="H14698" s="4" t="str">
        <v/>
      </c>
      <c r="I14698" s="4" t="str">
        <v/>
      </c>
    </row>
    <row r="14699" spans="5:9" ht="16.5" hidden="1">
      <c r="E14699" s="4" t="str">
        <v/>
      </c>
      <c r="F14699" s="102" t="str">
        <f ca="1">IFERROR(__xludf.DUMMYFUNCTION("IMPORTRANGE(H14699,""IDENTITAS UNIT!D9"")"),"#N/A")</f>
        <v>#N/A</v>
      </c>
      <c r="H14699" s="4" t="str">
        <v/>
      </c>
      <c r="I14699" s="4" t="str">
        <v/>
      </c>
    </row>
    <row r="14700" spans="5:9" ht="16.5" hidden="1">
      <c r="E14700" s="4" t="str">
        <v/>
      </c>
      <c r="F14700" s="102" t="str">
        <f ca="1">IFERROR(__xludf.DUMMYFUNCTION("IMPORTRANGE(H14700,""IDENTITAS UNIT!D9"")"),"#N/A")</f>
        <v>#N/A</v>
      </c>
      <c r="H14700" s="4" t="str">
        <v/>
      </c>
      <c r="I14700" s="4" t="str">
        <v/>
      </c>
    </row>
    <row r="14701" spans="5:9" ht="16.5" hidden="1">
      <c r="E14701" s="4" t="str">
        <v/>
      </c>
      <c r="F14701" s="102" t="str">
        <f ca="1">IFERROR(__xludf.DUMMYFUNCTION("IMPORTRANGE(H14701,""IDENTITAS UNIT!D9"")"),"#N/A")</f>
        <v>#N/A</v>
      </c>
      <c r="H14701" s="4" t="str">
        <v/>
      </c>
      <c r="I14701" s="4" t="str">
        <v/>
      </c>
    </row>
    <row r="14702" spans="5:9" ht="16.5" hidden="1">
      <c r="E14702" s="4" t="str">
        <v/>
      </c>
      <c r="F14702" s="102" t="str">
        <f ca="1">IFERROR(__xludf.DUMMYFUNCTION("IMPORTRANGE(H14702,""IDENTITAS UNIT!D9"")"),"#N/A")</f>
        <v>#N/A</v>
      </c>
      <c r="H14702" s="4" t="str">
        <v/>
      </c>
      <c r="I14702" s="4" t="str">
        <v/>
      </c>
    </row>
    <row r="14703" spans="5:9" ht="16.5" hidden="1">
      <c r="E14703" s="4" t="str">
        <v/>
      </c>
      <c r="F14703" s="102" t="str">
        <f ca="1">IFERROR(__xludf.DUMMYFUNCTION("IMPORTRANGE(H14703,""IDENTITAS UNIT!D9"")"),"#N/A")</f>
        <v>#N/A</v>
      </c>
      <c r="H14703" s="4" t="str">
        <v/>
      </c>
      <c r="I14703" s="4" t="str">
        <v/>
      </c>
    </row>
    <row r="14704" spans="5:9" ht="16.5" hidden="1">
      <c r="E14704" s="4" t="str">
        <v/>
      </c>
      <c r="F14704" s="102" t="str">
        <f ca="1">IFERROR(__xludf.DUMMYFUNCTION("IMPORTRANGE(H14704,""IDENTITAS UNIT!D9"")"),"#N/A")</f>
        <v>#N/A</v>
      </c>
      <c r="H14704" s="4" t="str">
        <v/>
      </c>
      <c r="I14704" s="4" t="str">
        <v/>
      </c>
    </row>
    <row r="14705" spans="5:9" ht="16.5" hidden="1">
      <c r="E14705" s="4" t="str">
        <v/>
      </c>
      <c r="F14705" s="102" t="str">
        <f ca="1">IFERROR(__xludf.DUMMYFUNCTION("IMPORTRANGE(H14705,""IDENTITAS UNIT!D9"")"),"#N/A")</f>
        <v>#N/A</v>
      </c>
      <c r="H14705" s="4" t="str">
        <v/>
      </c>
      <c r="I14705" s="4" t="str">
        <v/>
      </c>
    </row>
    <row r="14706" spans="5:9" ht="16.5" hidden="1">
      <c r="E14706" s="4" t="str">
        <v/>
      </c>
      <c r="F14706" s="102" t="str">
        <f ca="1">IFERROR(__xludf.DUMMYFUNCTION("IMPORTRANGE(H14706,""IDENTITAS UNIT!D9"")"),"#N/A")</f>
        <v>#N/A</v>
      </c>
      <c r="H14706" s="4" t="str">
        <v/>
      </c>
      <c r="I14706" s="4" t="str">
        <v/>
      </c>
    </row>
    <row r="14707" spans="5:9" ht="16.5" hidden="1">
      <c r="E14707" s="4" t="str">
        <v/>
      </c>
      <c r="F14707" s="102" t="str">
        <f ca="1">IFERROR(__xludf.DUMMYFUNCTION("IMPORTRANGE(H14707,""IDENTITAS UNIT!D9"")"),"#N/A")</f>
        <v>#N/A</v>
      </c>
      <c r="H14707" s="4" t="str">
        <v/>
      </c>
      <c r="I14707" s="4" t="str">
        <v/>
      </c>
    </row>
    <row r="14708" spans="5:9" ht="16.5" hidden="1">
      <c r="E14708" s="4" t="str">
        <v/>
      </c>
      <c r="F14708" s="102" t="str">
        <f ca="1">IFERROR(__xludf.DUMMYFUNCTION("IMPORTRANGE(H14708,""IDENTITAS UNIT!D9"")"),"#N/A")</f>
        <v>#N/A</v>
      </c>
      <c r="H14708" s="4" t="str">
        <v/>
      </c>
      <c r="I14708" s="4" t="str">
        <v/>
      </c>
    </row>
    <row r="14709" spans="5:9" ht="16.5" hidden="1">
      <c r="E14709" s="4" t="str">
        <v/>
      </c>
      <c r="F14709" s="102" t="str">
        <f ca="1">IFERROR(__xludf.DUMMYFUNCTION("IMPORTRANGE(H14709,""IDENTITAS UNIT!D9"")"),"#N/A")</f>
        <v>#N/A</v>
      </c>
      <c r="H14709" s="4" t="str">
        <v/>
      </c>
      <c r="I14709" s="4" t="str">
        <v/>
      </c>
    </row>
    <row r="14710" spans="5:9" ht="16.5" hidden="1">
      <c r="E14710" s="4" t="str">
        <v/>
      </c>
      <c r="F14710" s="102" t="str">
        <f ca="1">IFERROR(__xludf.DUMMYFUNCTION("IMPORTRANGE(H14710,""IDENTITAS UNIT!D9"")"),"#N/A")</f>
        <v>#N/A</v>
      </c>
      <c r="H14710" s="4" t="str">
        <v/>
      </c>
      <c r="I14710" s="4" t="str">
        <v/>
      </c>
    </row>
    <row r="14711" spans="5:9" ht="16.5" hidden="1">
      <c r="E14711" s="4" t="str">
        <v/>
      </c>
      <c r="F14711" s="102" t="str">
        <f ca="1">IFERROR(__xludf.DUMMYFUNCTION("IMPORTRANGE(H14711,""IDENTITAS UNIT!D9"")"),"#N/A")</f>
        <v>#N/A</v>
      </c>
      <c r="H14711" s="4" t="str">
        <v/>
      </c>
      <c r="I14711" s="4" t="str">
        <v/>
      </c>
    </row>
    <row r="14712" spans="5:9" ht="16.5" hidden="1">
      <c r="E14712" s="4" t="str">
        <v/>
      </c>
      <c r="F14712" s="102" t="str">
        <f ca="1">IFERROR(__xludf.DUMMYFUNCTION("IMPORTRANGE(H14712,""IDENTITAS UNIT!D9"")"),"#N/A")</f>
        <v>#N/A</v>
      </c>
      <c r="H14712" s="4" t="str">
        <v/>
      </c>
      <c r="I14712" s="4" t="str">
        <v/>
      </c>
    </row>
    <row r="14713" spans="5:9" ht="16.5" hidden="1">
      <c r="E14713" s="4" t="str">
        <v/>
      </c>
      <c r="F14713" s="102" t="str">
        <f ca="1">IFERROR(__xludf.DUMMYFUNCTION("IMPORTRANGE(H14713,""IDENTITAS UNIT!D9"")"),"#N/A")</f>
        <v>#N/A</v>
      </c>
      <c r="H14713" s="4" t="str">
        <v/>
      </c>
      <c r="I14713" s="4" t="str">
        <v/>
      </c>
    </row>
    <row r="14714" spans="5:9" ht="16.5" hidden="1">
      <c r="E14714" s="4" t="str">
        <v/>
      </c>
      <c r="F14714" s="102" t="str">
        <f ca="1">IFERROR(__xludf.DUMMYFUNCTION("IMPORTRANGE(H14714,""IDENTITAS UNIT!D9"")"),"#N/A")</f>
        <v>#N/A</v>
      </c>
      <c r="H14714" s="4" t="str">
        <v/>
      </c>
      <c r="I14714" s="4" t="str">
        <v/>
      </c>
    </row>
    <row r="14715" spans="5:9" ht="16.5" hidden="1">
      <c r="E14715" s="4" t="str">
        <v/>
      </c>
      <c r="F14715" s="102" t="str">
        <f ca="1">IFERROR(__xludf.DUMMYFUNCTION("IMPORTRANGE(H14715,""IDENTITAS UNIT!D9"")"),"#N/A")</f>
        <v>#N/A</v>
      </c>
      <c r="H14715" s="4" t="str">
        <v/>
      </c>
      <c r="I14715" s="4" t="str">
        <v/>
      </c>
    </row>
    <row r="14716" spans="5:9" ht="16.5" hidden="1">
      <c r="E14716" s="4" t="str">
        <v/>
      </c>
      <c r="F14716" s="102" t="str">
        <f ca="1">IFERROR(__xludf.DUMMYFUNCTION("IMPORTRANGE(H14716,""IDENTITAS UNIT!D9"")"),"#N/A")</f>
        <v>#N/A</v>
      </c>
      <c r="H14716" s="4" t="str">
        <v/>
      </c>
      <c r="I14716" s="4" t="str">
        <v/>
      </c>
    </row>
    <row r="14717" spans="5:9" ht="16.5" hidden="1">
      <c r="E14717" s="4" t="str">
        <v/>
      </c>
      <c r="F14717" s="102" t="str">
        <f ca="1">IFERROR(__xludf.DUMMYFUNCTION("IMPORTRANGE(H14717,""IDENTITAS UNIT!D9"")"),"#N/A")</f>
        <v>#N/A</v>
      </c>
      <c r="H14717" s="4" t="str">
        <v/>
      </c>
      <c r="I14717" s="4" t="str">
        <v/>
      </c>
    </row>
    <row r="14718" spans="5:9" ht="16.5" hidden="1">
      <c r="E14718" s="4" t="str">
        <v/>
      </c>
      <c r="F14718" s="102" t="str">
        <f ca="1">IFERROR(__xludf.DUMMYFUNCTION("IMPORTRANGE(H14718,""IDENTITAS UNIT!D9"")"),"#N/A")</f>
        <v>#N/A</v>
      </c>
      <c r="H14718" s="4" t="str">
        <v/>
      </c>
      <c r="I14718" s="4" t="str">
        <v/>
      </c>
    </row>
    <row r="14719" spans="5:9" ht="16.5" hidden="1">
      <c r="E14719" s="4" t="str">
        <v/>
      </c>
      <c r="F14719" s="102" t="str">
        <f ca="1">IFERROR(__xludf.DUMMYFUNCTION("IMPORTRANGE(H14719,""IDENTITAS UNIT!D9"")"),"#N/A")</f>
        <v>#N/A</v>
      </c>
      <c r="H14719" s="4" t="str">
        <v/>
      </c>
      <c r="I14719" s="4" t="str">
        <v/>
      </c>
    </row>
    <row r="14720" spans="5:9" ht="16.5" hidden="1">
      <c r="E14720" s="4" t="str">
        <v/>
      </c>
      <c r="F14720" s="102" t="str">
        <f ca="1">IFERROR(__xludf.DUMMYFUNCTION("IMPORTRANGE(H14720,""IDENTITAS UNIT!D9"")"),"#N/A")</f>
        <v>#N/A</v>
      </c>
      <c r="H14720" s="4" t="str">
        <v/>
      </c>
      <c r="I14720" s="4" t="str">
        <v/>
      </c>
    </row>
    <row r="14721" spans="5:9" ht="16.5" hidden="1">
      <c r="E14721" s="4" t="str">
        <v/>
      </c>
      <c r="F14721" s="102" t="str">
        <f ca="1">IFERROR(__xludf.DUMMYFUNCTION("IMPORTRANGE(H14721,""IDENTITAS UNIT!D9"")"),"#N/A")</f>
        <v>#N/A</v>
      </c>
      <c r="H14721" s="4" t="str">
        <v/>
      </c>
      <c r="I14721" s="4" t="str">
        <v/>
      </c>
    </row>
    <row r="14722" spans="5:9" ht="16.5" hidden="1">
      <c r="E14722" s="4" t="str">
        <v/>
      </c>
      <c r="F14722" s="102" t="str">
        <f ca="1">IFERROR(__xludf.DUMMYFUNCTION("IMPORTRANGE(H14722,""IDENTITAS UNIT!D9"")"),"#N/A")</f>
        <v>#N/A</v>
      </c>
      <c r="H14722" s="4" t="str">
        <v/>
      </c>
      <c r="I14722" s="4" t="str">
        <v/>
      </c>
    </row>
    <row r="14723" spans="5:9" ht="16.5" hidden="1">
      <c r="E14723" s="4" t="str">
        <v/>
      </c>
      <c r="F14723" s="102" t="str">
        <f ca="1">IFERROR(__xludf.DUMMYFUNCTION("IMPORTRANGE(H14723,""IDENTITAS UNIT!D9"")"),"#N/A")</f>
        <v>#N/A</v>
      </c>
      <c r="H14723" s="4" t="str">
        <v/>
      </c>
      <c r="I14723" s="4" t="str">
        <v/>
      </c>
    </row>
    <row r="14724" spans="5:9" ht="16.5" hidden="1">
      <c r="E14724" s="4" t="str">
        <v/>
      </c>
      <c r="F14724" s="102" t="str">
        <f ca="1">IFERROR(__xludf.DUMMYFUNCTION("IMPORTRANGE(H14724,""IDENTITAS UNIT!D9"")"),"#N/A")</f>
        <v>#N/A</v>
      </c>
      <c r="H14724" s="4" t="str">
        <v/>
      </c>
      <c r="I14724" s="4" t="str">
        <v/>
      </c>
    </row>
    <row r="14725" spans="5:9" ht="16.5" hidden="1">
      <c r="E14725" s="4" t="str">
        <v/>
      </c>
      <c r="F14725" s="102" t="str">
        <f ca="1">IFERROR(__xludf.DUMMYFUNCTION("IMPORTRANGE(H14725,""IDENTITAS UNIT!D9"")"),"#N/A")</f>
        <v>#N/A</v>
      </c>
      <c r="H14725" s="4" t="str">
        <v/>
      </c>
      <c r="I14725" s="4" t="str">
        <v/>
      </c>
    </row>
    <row r="14726" spans="5:9" ht="16.5" hidden="1">
      <c r="E14726" s="4" t="str">
        <v/>
      </c>
      <c r="F14726" s="102" t="str">
        <f ca="1">IFERROR(__xludf.DUMMYFUNCTION("IMPORTRANGE(H14726,""IDENTITAS UNIT!D9"")"),"#N/A")</f>
        <v>#N/A</v>
      </c>
      <c r="H14726" s="4" t="str">
        <v/>
      </c>
      <c r="I14726" s="4" t="str">
        <v/>
      </c>
    </row>
    <row r="14727" spans="5:9" ht="16.5" hidden="1">
      <c r="E14727" s="4" t="str">
        <v/>
      </c>
      <c r="F14727" s="102" t="str">
        <f ca="1">IFERROR(__xludf.DUMMYFUNCTION("IMPORTRANGE(H14727,""IDENTITAS UNIT!D9"")"),"#N/A")</f>
        <v>#N/A</v>
      </c>
      <c r="H14727" s="4" t="str">
        <v/>
      </c>
      <c r="I14727" s="4" t="str">
        <v/>
      </c>
    </row>
    <row r="14728" spans="5:9" ht="16.5" hidden="1">
      <c r="E14728" s="4" t="str">
        <v/>
      </c>
      <c r="F14728" s="102" t="str">
        <f ca="1">IFERROR(__xludf.DUMMYFUNCTION("IMPORTRANGE(H14728,""IDENTITAS UNIT!D9"")"),"#N/A")</f>
        <v>#N/A</v>
      </c>
      <c r="H14728" s="4" t="str">
        <v/>
      </c>
      <c r="I14728" s="4" t="str">
        <v/>
      </c>
    </row>
    <row r="14729" spans="5:9" ht="16.5" hidden="1">
      <c r="E14729" s="4" t="str">
        <v/>
      </c>
      <c r="F14729" s="102" t="str">
        <f ca="1">IFERROR(__xludf.DUMMYFUNCTION("IMPORTRANGE(H14729,""IDENTITAS UNIT!D9"")"),"#N/A")</f>
        <v>#N/A</v>
      </c>
      <c r="H14729" s="4" t="str">
        <v/>
      </c>
      <c r="I14729" s="4" t="str">
        <v/>
      </c>
    </row>
    <row r="14730" spans="5:9" ht="16.5" hidden="1">
      <c r="E14730" s="4" t="str">
        <v/>
      </c>
      <c r="F14730" s="102" t="str">
        <f ca="1">IFERROR(__xludf.DUMMYFUNCTION("IMPORTRANGE(H14730,""IDENTITAS UNIT!D9"")"),"#N/A")</f>
        <v>#N/A</v>
      </c>
      <c r="H14730" s="4" t="str">
        <v/>
      </c>
      <c r="I14730" s="4" t="str">
        <v/>
      </c>
    </row>
    <row r="14731" spans="5:9" ht="16.5" hidden="1">
      <c r="E14731" s="4" t="str">
        <v/>
      </c>
      <c r="F14731" s="102" t="str">
        <f ca="1">IFERROR(__xludf.DUMMYFUNCTION("IMPORTRANGE(H14731,""IDENTITAS UNIT!D9"")"),"#N/A")</f>
        <v>#N/A</v>
      </c>
      <c r="H14731" s="4" t="str">
        <v/>
      </c>
      <c r="I14731" s="4" t="str">
        <v/>
      </c>
    </row>
    <row r="14732" spans="5:9" ht="16.5" hidden="1">
      <c r="E14732" s="4" t="str">
        <v/>
      </c>
      <c r="F14732" s="102" t="str">
        <f ca="1">IFERROR(__xludf.DUMMYFUNCTION("IMPORTRANGE(H14732,""IDENTITAS UNIT!D9"")"),"#N/A")</f>
        <v>#N/A</v>
      </c>
      <c r="H14732" s="4" t="str">
        <v/>
      </c>
      <c r="I14732" s="4" t="str">
        <v/>
      </c>
    </row>
    <row r="14733" spans="5:9" ht="16.5" hidden="1">
      <c r="E14733" s="4" t="str">
        <v/>
      </c>
      <c r="F14733" s="102" t="str">
        <f ca="1">IFERROR(__xludf.DUMMYFUNCTION("IMPORTRANGE(H14733,""IDENTITAS UNIT!D9"")"),"#N/A")</f>
        <v>#N/A</v>
      </c>
      <c r="H14733" s="4" t="str">
        <v/>
      </c>
      <c r="I14733" s="4" t="str">
        <v/>
      </c>
    </row>
    <row r="14734" spans="5:9" ht="16.5" hidden="1">
      <c r="E14734" s="4" t="str">
        <v/>
      </c>
      <c r="F14734" s="102" t="str">
        <f ca="1">IFERROR(__xludf.DUMMYFUNCTION("IMPORTRANGE(H14734,""IDENTITAS UNIT!D9"")"),"#N/A")</f>
        <v>#N/A</v>
      </c>
      <c r="H14734" s="4" t="str">
        <v/>
      </c>
      <c r="I14734" s="4" t="str">
        <v/>
      </c>
    </row>
    <row r="14735" spans="5:9" ht="16.5" hidden="1">
      <c r="E14735" s="4" t="str">
        <v/>
      </c>
      <c r="F14735" s="102" t="str">
        <f ca="1">IFERROR(__xludf.DUMMYFUNCTION("IMPORTRANGE(H14735,""IDENTITAS UNIT!D9"")"),"#N/A")</f>
        <v>#N/A</v>
      </c>
      <c r="H14735" s="4" t="str">
        <v/>
      </c>
      <c r="I14735" s="4" t="str">
        <v/>
      </c>
    </row>
    <row r="14736" spans="5:9" ht="16.5" hidden="1">
      <c r="E14736" s="4" t="str">
        <v/>
      </c>
      <c r="F14736" s="102" t="str">
        <f ca="1">IFERROR(__xludf.DUMMYFUNCTION("IMPORTRANGE(H14736,""IDENTITAS UNIT!D9"")"),"#N/A")</f>
        <v>#N/A</v>
      </c>
      <c r="H14736" s="4" t="str">
        <v/>
      </c>
      <c r="I14736" s="4" t="str">
        <v/>
      </c>
    </row>
    <row r="14737" spans="5:9" ht="16.5" hidden="1">
      <c r="E14737" s="4" t="str">
        <v/>
      </c>
      <c r="F14737" s="102" t="str">
        <f ca="1">IFERROR(__xludf.DUMMYFUNCTION("IMPORTRANGE(H14737,""IDENTITAS UNIT!D9"")"),"#N/A")</f>
        <v>#N/A</v>
      </c>
      <c r="H14737" s="4" t="str">
        <v/>
      </c>
      <c r="I14737" s="4" t="str">
        <v/>
      </c>
    </row>
    <row r="14738" spans="5:9" ht="16.5" hidden="1">
      <c r="E14738" s="4" t="str">
        <v/>
      </c>
      <c r="F14738" s="102" t="str">
        <f ca="1">IFERROR(__xludf.DUMMYFUNCTION("IMPORTRANGE(H14738,""IDENTITAS UNIT!D9"")"),"#N/A")</f>
        <v>#N/A</v>
      </c>
      <c r="H14738" s="4" t="str">
        <v/>
      </c>
      <c r="I14738" s="4" t="str">
        <v/>
      </c>
    </row>
    <row r="14739" spans="5:9" ht="16.5" hidden="1">
      <c r="E14739" s="4" t="str">
        <v/>
      </c>
      <c r="F14739" s="102" t="str">
        <f ca="1">IFERROR(__xludf.DUMMYFUNCTION("IMPORTRANGE(H14739,""IDENTITAS UNIT!D9"")"),"#N/A")</f>
        <v>#N/A</v>
      </c>
      <c r="H14739" s="4" t="str">
        <v/>
      </c>
      <c r="I14739" s="4" t="str">
        <v/>
      </c>
    </row>
    <row r="14740" spans="5:9" ht="16.5" hidden="1">
      <c r="E14740" s="4" t="str">
        <v/>
      </c>
      <c r="F14740" s="102" t="str">
        <f ca="1">IFERROR(__xludf.DUMMYFUNCTION("IMPORTRANGE(H14740,""IDENTITAS UNIT!D9"")"),"#N/A")</f>
        <v>#N/A</v>
      </c>
      <c r="H14740" s="4" t="str">
        <v/>
      </c>
      <c r="I14740" s="4" t="str">
        <v/>
      </c>
    </row>
    <row r="14741" spans="5:9" ht="16.5" hidden="1">
      <c r="E14741" s="4" t="str">
        <v/>
      </c>
      <c r="F14741" s="102" t="str">
        <f ca="1">IFERROR(__xludf.DUMMYFUNCTION("IMPORTRANGE(H14741,""IDENTITAS UNIT!D9"")"),"#N/A")</f>
        <v>#N/A</v>
      </c>
      <c r="H14741" s="4" t="str">
        <v/>
      </c>
      <c r="I14741" s="4" t="str">
        <v/>
      </c>
    </row>
    <row r="14742" spans="5:9" ht="16.5" hidden="1">
      <c r="E14742" s="4" t="str">
        <v/>
      </c>
      <c r="F14742" s="102" t="str">
        <f ca="1">IFERROR(__xludf.DUMMYFUNCTION("IMPORTRANGE(H14742,""IDENTITAS UNIT!D9"")"),"#N/A")</f>
        <v>#N/A</v>
      </c>
      <c r="H14742" s="4" t="str">
        <v/>
      </c>
      <c r="I14742" s="4" t="str">
        <v/>
      </c>
    </row>
    <row r="14743" spans="5:9" ht="16.5" hidden="1">
      <c r="E14743" s="4" t="str">
        <v/>
      </c>
      <c r="F14743" s="102" t="str">
        <f ca="1">IFERROR(__xludf.DUMMYFUNCTION("IMPORTRANGE(H14743,""IDENTITAS UNIT!D9"")"),"#N/A")</f>
        <v>#N/A</v>
      </c>
      <c r="H14743" s="4" t="str">
        <v/>
      </c>
      <c r="I14743" s="4" t="str">
        <v/>
      </c>
    </row>
    <row r="14744" spans="5:9" ht="16.5" hidden="1">
      <c r="E14744" s="4" t="str">
        <v/>
      </c>
      <c r="F14744" s="102" t="str">
        <f ca="1">IFERROR(__xludf.DUMMYFUNCTION("IMPORTRANGE(H14744,""IDENTITAS UNIT!D9"")"),"#N/A")</f>
        <v>#N/A</v>
      </c>
      <c r="H14744" s="4" t="str">
        <v/>
      </c>
      <c r="I14744" s="4" t="str">
        <v/>
      </c>
    </row>
    <row r="14745" spans="5:9" ht="16.5" hidden="1">
      <c r="E14745" s="4" t="str">
        <v/>
      </c>
      <c r="F14745" s="102" t="str">
        <f ca="1">IFERROR(__xludf.DUMMYFUNCTION("IMPORTRANGE(H14745,""IDENTITAS UNIT!D9"")"),"#N/A")</f>
        <v>#N/A</v>
      </c>
      <c r="H14745" s="4" t="str">
        <v/>
      </c>
      <c r="I14745" s="4" t="str">
        <v/>
      </c>
    </row>
    <row r="14746" spans="5:9" ht="16.5" hidden="1">
      <c r="E14746" s="4" t="str">
        <v/>
      </c>
      <c r="F14746" s="102" t="str">
        <f ca="1">IFERROR(__xludf.DUMMYFUNCTION("IMPORTRANGE(H14746,""IDENTITAS UNIT!D9"")"),"#N/A")</f>
        <v>#N/A</v>
      </c>
      <c r="H14746" s="4" t="str">
        <v/>
      </c>
      <c r="I14746" s="4" t="str">
        <v/>
      </c>
    </row>
    <row r="14747" spans="5:9" ht="16.5" hidden="1">
      <c r="E14747" s="4" t="str">
        <v/>
      </c>
      <c r="F14747" s="102" t="str">
        <f ca="1">IFERROR(__xludf.DUMMYFUNCTION("IMPORTRANGE(H14747,""IDENTITAS UNIT!D9"")"),"#N/A")</f>
        <v>#N/A</v>
      </c>
      <c r="H14747" s="4" t="str">
        <v/>
      </c>
      <c r="I14747" s="4" t="str">
        <v/>
      </c>
    </row>
    <row r="14748" spans="5:9" ht="16.5" hidden="1">
      <c r="E14748" s="4" t="str">
        <v/>
      </c>
      <c r="F14748" s="102" t="str">
        <f ca="1">IFERROR(__xludf.DUMMYFUNCTION("IMPORTRANGE(H14748,""IDENTITAS UNIT!D9"")"),"#N/A")</f>
        <v>#N/A</v>
      </c>
      <c r="H14748" s="4" t="str">
        <v/>
      </c>
      <c r="I14748" s="4" t="str">
        <v/>
      </c>
    </row>
    <row r="14749" spans="5:9" ht="16.5" hidden="1">
      <c r="E14749" s="4" t="str">
        <v/>
      </c>
      <c r="F14749" s="102" t="str">
        <f ca="1">IFERROR(__xludf.DUMMYFUNCTION("IMPORTRANGE(H14749,""IDENTITAS UNIT!D9"")"),"#N/A")</f>
        <v>#N/A</v>
      </c>
      <c r="H14749" s="4" t="str">
        <v/>
      </c>
      <c r="I14749" s="4" t="str">
        <v/>
      </c>
    </row>
    <row r="14750" spans="5:9" ht="16.5" hidden="1">
      <c r="E14750" s="4" t="str">
        <v/>
      </c>
      <c r="F14750" s="102" t="str">
        <f ca="1">IFERROR(__xludf.DUMMYFUNCTION("IMPORTRANGE(H14750,""IDENTITAS UNIT!D9"")"),"#N/A")</f>
        <v>#N/A</v>
      </c>
      <c r="H14750" s="4" t="str">
        <v/>
      </c>
      <c r="I14750" s="4" t="str">
        <v/>
      </c>
    </row>
    <row r="14751" spans="5:9" ht="16.5" hidden="1">
      <c r="E14751" s="4" t="str">
        <v/>
      </c>
      <c r="F14751" s="102" t="str">
        <f ca="1">IFERROR(__xludf.DUMMYFUNCTION("IMPORTRANGE(H14751,""IDENTITAS UNIT!D9"")"),"#N/A")</f>
        <v>#N/A</v>
      </c>
      <c r="H14751" s="4" t="str">
        <v/>
      </c>
      <c r="I14751" s="4" t="str">
        <v/>
      </c>
    </row>
    <row r="14752" spans="5:9" ht="16.5" hidden="1">
      <c r="E14752" s="4" t="str">
        <v/>
      </c>
      <c r="F14752" s="102" t="str">
        <f ca="1">IFERROR(__xludf.DUMMYFUNCTION("IMPORTRANGE(H14752,""IDENTITAS UNIT!D9"")"),"#N/A")</f>
        <v>#N/A</v>
      </c>
      <c r="H14752" s="4" t="str">
        <v/>
      </c>
      <c r="I14752" s="4" t="str">
        <v/>
      </c>
    </row>
    <row r="14753" spans="5:9" ht="16.5" hidden="1">
      <c r="E14753" s="4" t="str">
        <v/>
      </c>
      <c r="F14753" s="102" t="str">
        <f ca="1">IFERROR(__xludf.DUMMYFUNCTION("IMPORTRANGE(H14753,""IDENTITAS UNIT!D9"")"),"#N/A")</f>
        <v>#N/A</v>
      </c>
      <c r="H14753" s="4" t="str">
        <v/>
      </c>
      <c r="I14753" s="4" t="str">
        <v/>
      </c>
    </row>
    <row r="14754" spans="5:9" ht="16.5" hidden="1">
      <c r="E14754" s="4" t="str">
        <v/>
      </c>
      <c r="F14754" s="102" t="str">
        <f ca="1">IFERROR(__xludf.DUMMYFUNCTION("IMPORTRANGE(H14754,""IDENTITAS UNIT!D9"")"),"#N/A")</f>
        <v>#N/A</v>
      </c>
      <c r="H14754" s="4" t="str">
        <v/>
      </c>
      <c r="I14754" s="4" t="str">
        <v/>
      </c>
    </row>
    <row r="14755" spans="5:9" ht="16.5" hidden="1">
      <c r="E14755" s="4" t="str">
        <v/>
      </c>
      <c r="F14755" s="102" t="str">
        <f ca="1">IFERROR(__xludf.DUMMYFUNCTION("IMPORTRANGE(H14755,""IDENTITAS UNIT!D9"")"),"#N/A")</f>
        <v>#N/A</v>
      </c>
      <c r="H14755" s="4" t="str">
        <v/>
      </c>
      <c r="I14755" s="4" t="str">
        <v/>
      </c>
    </row>
    <row r="14756" spans="5:9" ht="16.5" hidden="1">
      <c r="E14756" s="4" t="str">
        <v/>
      </c>
      <c r="F14756" s="102" t="str">
        <f ca="1">IFERROR(__xludf.DUMMYFUNCTION("IMPORTRANGE(H14756,""IDENTITAS UNIT!D9"")"),"#N/A")</f>
        <v>#N/A</v>
      </c>
      <c r="H14756" s="4" t="str">
        <v/>
      </c>
      <c r="I14756" s="4" t="str">
        <v/>
      </c>
    </row>
    <row r="14757" spans="5:9" ht="16.5" hidden="1">
      <c r="E14757" s="4" t="str">
        <v/>
      </c>
      <c r="F14757" s="102" t="str">
        <f ca="1">IFERROR(__xludf.DUMMYFUNCTION("IMPORTRANGE(H14757,""IDENTITAS UNIT!D9"")"),"#N/A")</f>
        <v>#N/A</v>
      </c>
      <c r="H14757" s="4" t="str">
        <v/>
      </c>
      <c r="I14757" s="4" t="str">
        <v/>
      </c>
    </row>
    <row r="14758" spans="5:9" ht="16.5" hidden="1">
      <c r="E14758" s="4" t="str">
        <v/>
      </c>
      <c r="F14758" s="102" t="str">
        <f ca="1">IFERROR(__xludf.DUMMYFUNCTION("IMPORTRANGE(H14758,""IDENTITAS UNIT!D9"")"),"#N/A")</f>
        <v>#N/A</v>
      </c>
      <c r="H14758" s="4" t="str">
        <v/>
      </c>
      <c r="I14758" s="4" t="str">
        <v/>
      </c>
    </row>
    <row r="14759" spans="5:9" ht="16.5" hidden="1">
      <c r="E14759" s="4" t="str">
        <v/>
      </c>
      <c r="F14759" s="102" t="str">
        <f ca="1">IFERROR(__xludf.DUMMYFUNCTION("IMPORTRANGE(H14759,""IDENTITAS UNIT!D9"")"),"#N/A")</f>
        <v>#N/A</v>
      </c>
      <c r="H14759" s="4" t="str">
        <v/>
      </c>
      <c r="I14759" s="4" t="str">
        <v/>
      </c>
    </row>
    <row r="14760" spans="5:9" ht="16.5" hidden="1">
      <c r="E14760" s="4" t="str">
        <v/>
      </c>
      <c r="F14760" s="102" t="str">
        <f ca="1">IFERROR(__xludf.DUMMYFUNCTION("IMPORTRANGE(H14760,""IDENTITAS UNIT!D9"")"),"#N/A")</f>
        <v>#N/A</v>
      </c>
      <c r="H14760" s="4" t="str">
        <v/>
      </c>
      <c r="I14760" s="4" t="str">
        <v/>
      </c>
    </row>
    <row r="14761" spans="5:9" ht="16.5" hidden="1">
      <c r="E14761" s="4" t="str">
        <v/>
      </c>
      <c r="F14761" s="102" t="str">
        <f ca="1">IFERROR(__xludf.DUMMYFUNCTION("IMPORTRANGE(H14761,""IDENTITAS UNIT!D9"")"),"#N/A")</f>
        <v>#N/A</v>
      </c>
      <c r="H14761" s="4" t="str">
        <v/>
      </c>
      <c r="I14761" s="4" t="str">
        <v/>
      </c>
    </row>
    <row r="14762" spans="5:9" ht="16.5" hidden="1">
      <c r="E14762" s="4" t="str">
        <v/>
      </c>
      <c r="F14762" s="102" t="str">
        <f ca="1">IFERROR(__xludf.DUMMYFUNCTION("IMPORTRANGE(H14762,""IDENTITAS UNIT!D9"")"),"#N/A")</f>
        <v>#N/A</v>
      </c>
      <c r="H14762" s="4" t="str">
        <v/>
      </c>
      <c r="I14762" s="4" t="str">
        <v/>
      </c>
    </row>
    <row r="14763" spans="5:9" ht="16.5" hidden="1">
      <c r="E14763" s="4" t="str">
        <v/>
      </c>
      <c r="F14763" s="102" t="str">
        <f ca="1">IFERROR(__xludf.DUMMYFUNCTION("IMPORTRANGE(H14763,""IDENTITAS UNIT!D9"")"),"#N/A")</f>
        <v>#N/A</v>
      </c>
      <c r="H14763" s="4" t="str">
        <v/>
      </c>
      <c r="I14763" s="4" t="str">
        <v/>
      </c>
    </row>
    <row r="14764" spans="5:9" ht="16.5" hidden="1">
      <c r="E14764" s="4" t="str">
        <v/>
      </c>
      <c r="F14764" s="102" t="str">
        <f ca="1">IFERROR(__xludf.DUMMYFUNCTION("IMPORTRANGE(H14764,""IDENTITAS UNIT!D9"")"),"#N/A")</f>
        <v>#N/A</v>
      </c>
      <c r="H14764" s="4" t="str">
        <v/>
      </c>
      <c r="I14764" s="4" t="str">
        <v/>
      </c>
    </row>
    <row r="14765" spans="5:9" ht="16.5" hidden="1">
      <c r="E14765" s="4" t="str">
        <v/>
      </c>
      <c r="F14765" s="102" t="str">
        <f ca="1">IFERROR(__xludf.DUMMYFUNCTION("IMPORTRANGE(H14765,""IDENTITAS UNIT!D9"")"),"#N/A")</f>
        <v>#N/A</v>
      </c>
      <c r="H14765" s="4" t="str">
        <v/>
      </c>
      <c r="I14765" s="4" t="str">
        <v/>
      </c>
    </row>
    <row r="14766" spans="5:9" ht="16.5" hidden="1">
      <c r="E14766" s="4" t="str">
        <v/>
      </c>
      <c r="F14766" s="102" t="str">
        <f ca="1">IFERROR(__xludf.DUMMYFUNCTION("IMPORTRANGE(H14766,""IDENTITAS UNIT!D9"")"),"#N/A")</f>
        <v>#N/A</v>
      </c>
      <c r="H14766" s="4" t="str">
        <v/>
      </c>
      <c r="I14766" s="4" t="str">
        <v/>
      </c>
    </row>
    <row r="14767" spans="5:9" ht="16.5" hidden="1">
      <c r="E14767" s="4" t="str">
        <v/>
      </c>
      <c r="F14767" s="102" t="str">
        <f ca="1">IFERROR(__xludf.DUMMYFUNCTION("IMPORTRANGE(H14767,""IDENTITAS UNIT!D9"")"),"#N/A")</f>
        <v>#N/A</v>
      </c>
      <c r="H14767" s="4" t="str">
        <v/>
      </c>
      <c r="I14767" s="4" t="str">
        <v/>
      </c>
    </row>
    <row r="14768" spans="5:9" ht="16.5" hidden="1">
      <c r="E14768" s="4" t="str">
        <v/>
      </c>
      <c r="F14768" s="102" t="str">
        <f ca="1">IFERROR(__xludf.DUMMYFUNCTION("IMPORTRANGE(H14768,""IDENTITAS UNIT!D9"")"),"#N/A")</f>
        <v>#N/A</v>
      </c>
      <c r="H14768" s="4" t="str">
        <v/>
      </c>
      <c r="I14768" s="4" t="str">
        <v/>
      </c>
    </row>
    <row r="14769" spans="5:9" ht="16.5" hidden="1">
      <c r="E14769" s="4" t="str">
        <v/>
      </c>
      <c r="F14769" s="102" t="str">
        <f ca="1">IFERROR(__xludf.DUMMYFUNCTION("IMPORTRANGE(H14769,""IDENTITAS UNIT!D9"")"),"#N/A")</f>
        <v>#N/A</v>
      </c>
      <c r="H14769" s="4" t="str">
        <v/>
      </c>
      <c r="I14769" s="4" t="str">
        <v/>
      </c>
    </row>
    <row r="14770" spans="5:9" ht="16.5" hidden="1">
      <c r="E14770" s="4" t="str">
        <v/>
      </c>
      <c r="F14770" s="102" t="str">
        <f ca="1">IFERROR(__xludf.DUMMYFUNCTION("IMPORTRANGE(H14770,""IDENTITAS UNIT!D9"")"),"#N/A")</f>
        <v>#N/A</v>
      </c>
      <c r="H14770" s="4" t="str">
        <v/>
      </c>
      <c r="I14770" s="4" t="str">
        <v/>
      </c>
    </row>
    <row r="14771" spans="5:9" ht="16.5" hidden="1">
      <c r="E14771" s="4" t="str">
        <v/>
      </c>
      <c r="F14771" s="102" t="str">
        <f ca="1">IFERROR(__xludf.DUMMYFUNCTION("IMPORTRANGE(H14771,""IDENTITAS UNIT!D9"")"),"#N/A")</f>
        <v>#N/A</v>
      </c>
      <c r="H14771" s="4" t="str">
        <v/>
      </c>
      <c r="I14771" s="4" t="str">
        <v/>
      </c>
    </row>
    <row r="14772" spans="5:9" ht="16.5" hidden="1">
      <c r="E14772" s="4" t="str">
        <v/>
      </c>
      <c r="F14772" s="102" t="str">
        <f ca="1">IFERROR(__xludf.DUMMYFUNCTION("IMPORTRANGE(H14772,""IDENTITAS UNIT!D9"")"),"#N/A")</f>
        <v>#N/A</v>
      </c>
      <c r="H14772" s="4" t="str">
        <v/>
      </c>
      <c r="I14772" s="4" t="str">
        <v/>
      </c>
    </row>
    <row r="14773" spans="5:9" ht="16.5" hidden="1">
      <c r="E14773" s="4" t="str">
        <v/>
      </c>
      <c r="F14773" s="102" t="str">
        <f ca="1">IFERROR(__xludf.DUMMYFUNCTION("IMPORTRANGE(H14773,""IDENTITAS UNIT!D9"")"),"#N/A")</f>
        <v>#N/A</v>
      </c>
      <c r="H14773" s="4" t="str">
        <v/>
      </c>
      <c r="I14773" s="4" t="str">
        <v/>
      </c>
    </row>
    <row r="14774" spans="5:9" ht="16.5" hidden="1">
      <c r="E14774" s="4" t="str">
        <v/>
      </c>
      <c r="F14774" s="102" t="str">
        <f ca="1">IFERROR(__xludf.DUMMYFUNCTION("IMPORTRANGE(H14774,""IDENTITAS UNIT!D9"")"),"#N/A")</f>
        <v>#N/A</v>
      </c>
      <c r="H14774" s="4" t="str">
        <v/>
      </c>
      <c r="I14774" s="4" t="str">
        <v/>
      </c>
    </row>
    <row r="14775" spans="5:9" ht="16.5" hidden="1">
      <c r="E14775" s="4" t="str">
        <v/>
      </c>
      <c r="F14775" s="102" t="str">
        <f ca="1">IFERROR(__xludf.DUMMYFUNCTION("IMPORTRANGE(H14775,""IDENTITAS UNIT!D9"")"),"#N/A")</f>
        <v>#N/A</v>
      </c>
      <c r="H14775" s="4" t="str">
        <v/>
      </c>
      <c r="I14775" s="4" t="str">
        <v/>
      </c>
    </row>
    <row r="14776" spans="5:9" ht="16.5" hidden="1">
      <c r="E14776" s="4" t="str">
        <v/>
      </c>
      <c r="F14776" s="102" t="str">
        <f ca="1">IFERROR(__xludf.DUMMYFUNCTION("IMPORTRANGE(H14776,""IDENTITAS UNIT!D9"")"),"#N/A")</f>
        <v>#N/A</v>
      </c>
      <c r="H14776" s="4" t="str">
        <v/>
      </c>
      <c r="I14776" s="4" t="str">
        <v/>
      </c>
    </row>
    <row r="14777" spans="5:9" ht="16.5" hidden="1">
      <c r="E14777" s="4" t="str">
        <v/>
      </c>
      <c r="F14777" s="102" t="str">
        <f ca="1">IFERROR(__xludf.DUMMYFUNCTION("IMPORTRANGE(H14777,""IDENTITAS UNIT!D9"")"),"#N/A")</f>
        <v>#N/A</v>
      </c>
      <c r="H14777" s="4" t="str">
        <v/>
      </c>
      <c r="I14777" s="4" t="str">
        <v/>
      </c>
    </row>
    <row r="14778" spans="5:9" ht="16.5" hidden="1">
      <c r="E14778" s="4" t="str">
        <v/>
      </c>
      <c r="F14778" s="102" t="str">
        <f ca="1">IFERROR(__xludf.DUMMYFUNCTION("IMPORTRANGE(H14778,""IDENTITAS UNIT!D9"")"),"#N/A")</f>
        <v>#N/A</v>
      </c>
      <c r="H14778" s="4" t="str">
        <v/>
      </c>
      <c r="I14778" s="4" t="str">
        <v/>
      </c>
    </row>
    <row r="14779" spans="5:9" ht="16.5" hidden="1">
      <c r="E14779" s="4" t="str">
        <v/>
      </c>
      <c r="F14779" s="102" t="str">
        <f ca="1">IFERROR(__xludf.DUMMYFUNCTION("IMPORTRANGE(H14779,""IDENTITAS UNIT!D9"")"),"#N/A")</f>
        <v>#N/A</v>
      </c>
      <c r="H14779" s="4" t="str">
        <v/>
      </c>
      <c r="I14779" s="4" t="str">
        <v/>
      </c>
    </row>
    <row r="14780" spans="5:9" ht="16.5" hidden="1">
      <c r="E14780" s="4" t="str">
        <v/>
      </c>
      <c r="F14780" s="102" t="str">
        <f ca="1">IFERROR(__xludf.DUMMYFUNCTION("IMPORTRANGE(H14780,""IDENTITAS UNIT!D9"")"),"#N/A")</f>
        <v>#N/A</v>
      </c>
      <c r="H14780" s="4" t="str">
        <v/>
      </c>
      <c r="I14780" s="4" t="str">
        <v/>
      </c>
    </row>
    <row r="14781" spans="5:9" ht="16.5" hidden="1">
      <c r="E14781" s="4" t="str">
        <v/>
      </c>
      <c r="F14781" s="102" t="str">
        <f ca="1">IFERROR(__xludf.DUMMYFUNCTION("IMPORTRANGE(H14781,""IDENTITAS UNIT!D9"")"),"#N/A")</f>
        <v>#N/A</v>
      </c>
      <c r="H14781" s="4" t="str">
        <v/>
      </c>
      <c r="I14781" s="4" t="str">
        <v/>
      </c>
    </row>
    <row r="14782" spans="5:9" ht="16.5" hidden="1">
      <c r="E14782" s="4" t="str">
        <v/>
      </c>
      <c r="F14782" s="102" t="str">
        <f ca="1">IFERROR(__xludf.DUMMYFUNCTION("IMPORTRANGE(H14782,""IDENTITAS UNIT!D9"")"),"#N/A")</f>
        <v>#N/A</v>
      </c>
      <c r="H14782" s="4" t="str">
        <v/>
      </c>
      <c r="I14782" s="4" t="str">
        <v/>
      </c>
    </row>
    <row r="14783" spans="5:9" ht="16.5" hidden="1">
      <c r="E14783" s="4" t="str">
        <v/>
      </c>
      <c r="F14783" s="102" t="str">
        <f ca="1">IFERROR(__xludf.DUMMYFUNCTION("IMPORTRANGE(H14783,""IDENTITAS UNIT!D9"")"),"#N/A")</f>
        <v>#N/A</v>
      </c>
      <c r="H14783" s="4" t="str">
        <v/>
      </c>
      <c r="I14783" s="4" t="str">
        <v/>
      </c>
    </row>
    <row r="14784" spans="5:9" ht="16.5" hidden="1">
      <c r="E14784" s="4" t="str">
        <v/>
      </c>
      <c r="F14784" s="102" t="str">
        <f ca="1">IFERROR(__xludf.DUMMYFUNCTION("IMPORTRANGE(H14784,""IDENTITAS UNIT!D9"")"),"#N/A")</f>
        <v>#N/A</v>
      </c>
      <c r="H14784" s="4" t="str">
        <v/>
      </c>
      <c r="I14784" s="4" t="str">
        <v/>
      </c>
    </row>
    <row r="14785" spans="5:9" ht="16.5" hidden="1">
      <c r="E14785" s="4" t="str">
        <v/>
      </c>
      <c r="F14785" s="102" t="str">
        <f ca="1">IFERROR(__xludf.DUMMYFUNCTION("IMPORTRANGE(H14785,""IDENTITAS UNIT!D9"")"),"#N/A")</f>
        <v>#N/A</v>
      </c>
      <c r="H14785" s="4" t="str">
        <v/>
      </c>
      <c r="I14785" s="4" t="str">
        <v/>
      </c>
    </row>
    <row r="14786" spans="5:9" ht="16.5" hidden="1">
      <c r="E14786" s="4" t="str">
        <v/>
      </c>
      <c r="F14786" s="102" t="str">
        <f ca="1">IFERROR(__xludf.DUMMYFUNCTION("IMPORTRANGE(H14786,""IDENTITAS UNIT!D9"")"),"#N/A")</f>
        <v>#N/A</v>
      </c>
      <c r="H14786" s="4" t="str">
        <v/>
      </c>
      <c r="I14786" s="4" t="str">
        <v/>
      </c>
    </row>
    <row r="14787" spans="5:9" ht="16.5" hidden="1">
      <c r="E14787" s="4" t="str">
        <v/>
      </c>
      <c r="F14787" s="102" t="str">
        <f ca="1">IFERROR(__xludf.DUMMYFUNCTION("IMPORTRANGE(H14787,""IDENTITAS UNIT!D9"")"),"#N/A")</f>
        <v>#N/A</v>
      </c>
      <c r="H14787" s="4" t="str">
        <v/>
      </c>
      <c r="I14787" s="4" t="str">
        <v/>
      </c>
    </row>
    <row r="14788" spans="5:9" ht="16.5" hidden="1">
      <c r="E14788" s="4" t="str">
        <v/>
      </c>
      <c r="F14788" s="102" t="str">
        <f ca="1">IFERROR(__xludf.DUMMYFUNCTION("IMPORTRANGE(H14788,""IDENTITAS UNIT!D9"")"),"#N/A")</f>
        <v>#N/A</v>
      </c>
      <c r="H14788" s="4" t="str">
        <v/>
      </c>
      <c r="I14788" s="4" t="str">
        <v/>
      </c>
    </row>
    <row r="14789" spans="5:9" ht="16.5" hidden="1">
      <c r="E14789" s="4" t="str">
        <v/>
      </c>
      <c r="F14789" s="102" t="str">
        <f ca="1">IFERROR(__xludf.DUMMYFUNCTION("IMPORTRANGE(H14789,""IDENTITAS UNIT!D9"")"),"#N/A")</f>
        <v>#N/A</v>
      </c>
      <c r="H14789" s="4" t="str">
        <v/>
      </c>
      <c r="I14789" s="4" t="str">
        <v/>
      </c>
    </row>
    <row r="14790" spans="5:9" ht="16.5" hidden="1">
      <c r="E14790" s="4" t="str">
        <v/>
      </c>
      <c r="F14790" s="102" t="str">
        <f ca="1">IFERROR(__xludf.DUMMYFUNCTION("IMPORTRANGE(H14790,""IDENTITAS UNIT!D9"")"),"#N/A")</f>
        <v>#N/A</v>
      </c>
      <c r="H14790" s="4" t="str">
        <v/>
      </c>
      <c r="I14790" s="4" t="str">
        <v/>
      </c>
    </row>
    <row r="14791" spans="5:9" ht="16.5" hidden="1">
      <c r="E14791" s="4" t="str">
        <v/>
      </c>
      <c r="F14791" s="102" t="str">
        <f ca="1">IFERROR(__xludf.DUMMYFUNCTION("IMPORTRANGE(H14791,""IDENTITAS UNIT!D9"")"),"#N/A")</f>
        <v>#N/A</v>
      </c>
      <c r="H14791" s="4" t="str">
        <v/>
      </c>
      <c r="I14791" s="4" t="str">
        <v/>
      </c>
    </row>
    <row r="14792" spans="5:9" ht="16.5" hidden="1">
      <c r="E14792" s="4" t="str">
        <v/>
      </c>
      <c r="F14792" s="102" t="str">
        <f ca="1">IFERROR(__xludf.DUMMYFUNCTION("IMPORTRANGE(H14792,""IDENTITAS UNIT!D9"")"),"#N/A")</f>
        <v>#N/A</v>
      </c>
      <c r="H14792" s="4" t="str">
        <v/>
      </c>
      <c r="I14792" s="4" t="str">
        <v/>
      </c>
    </row>
    <row r="14793" spans="5:9" ht="16.5" hidden="1">
      <c r="E14793" s="4" t="str">
        <v/>
      </c>
      <c r="F14793" s="102" t="str">
        <f ca="1">IFERROR(__xludf.DUMMYFUNCTION("IMPORTRANGE(H14793,""IDENTITAS UNIT!D9"")"),"#N/A")</f>
        <v>#N/A</v>
      </c>
      <c r="H14793" s="4" t="str">
        <v/>
      </c>
      <c r="I14793" s="4" t="str">
        <v/>
      </c>
    </row>
    <row r="14794" spans="5:9" ht="16.5" hidden="1">
      <c r="E14794" s="4" t="str">
        <v/>
      </c>
      <c r="F14794" s="102" t="str">
        <f ca="1">IFERROR(__xludf.DUMMYFUNCTION("IMPORTRANGE(H14794,""IDENTITAS UNIT!D9"")"),"#N/A")</f>
        <v>#N/A</v>
      </c>
      <c r="H14794" s="4" t="str">
        <v/>
      </c>
      <c r="I14794" s="4" t="str">
        <v/>
      </c>
    </row>
    <row r="14795" spans="5:9" ht="16.5" hidden="1">
      <c r="E14795" s="4" t="str">
        <v/>
      </c>
      <c r="F14795" s="102" t="str">
        <f ca="1">IFERROR(__xludf.DUMMYFUNCTION("IMPORTRANGE(H14795,""IDENTITAS UNIT!D9"")"),"#N/A")</f>
        <v>#N/A</v>
      </c>
      <c r="H14795" s="4" t="str">
        <v/>
      </c>
      <c r="I14795" s="4" t="str">
        <v/>
      </c>
    </row>
    <row r="14796" spans="5:9" ht="16.5" hidden="1">
      <c r="E14796" s="4" t="str">
        <v/>
      </c>
      <c r="F14796" s="102" t="str">
        <f ca="1">IFERROR(__xludf.DUMMYFUNCTION("IMPORTRANGE(H14796,""IDENTITAS UNIT!D9"")"),"#N/A")</f>
        <v>#N/A</v>
      </c>
      <c r="H14796" s="4" t="str">
        <v/>
      </c>
      <c r="I14796" s="4" t="str">
        <v/>
      </c>
    </row>
    <row r="14797" spans="5:9" ht="16.5" hidden="1">
      <c r="E14797" s="4" t="str">
        <v/>
      </c>
      <c r="F14797" s="102" t="str">
        <f ca="1">IFERROR(__xludf.DUMMYFUNCTION("IMPORTRANGE(H14797,""IDENTITAS UNIT!D9"")"),"#N/A")</f>
        <v>#N/A</v>
      </c>
      <c r="H14797" s="4" t="str">
        <v/>
      </c>
      <c r="I14797" s="4" t="str">
        <v/>
      </c>
    </row>
    <row r="14798" spans="5:9" ht="16.5" hidden="1">
      <c r="E14798" s="4" t="str">
        <v/>
      </c>
      <c r="F14798" s="102" t="str">
        <f ca="1">IFERROR(__xludf.DUMMYFUNCTION("IMPORTRANGE(H14798,""IDENTITAS UNIT!D9"")"),"#N/A")</f>
        <v>#N/A</v>
      </c>
      <c r="H14798" s="4" t="str">
        <v/>
      </c>
      <c r="I14798" s="4" t="str">
        <v/>
      </c>
    </row>
    <row r="14799" spans="5:9" ht="16.5" hidden="1">
      <c r="E14799" s="4" t="str">
        <v/>
      </c>
      <c r="F14799" s="102" t="str">
        <f ca="1">IFERROR(__xludf.DUMMYFUNCTION("IMPORTRANGE(H14799,""IDENTITAS UNIT!D9"")"),"#N/A")</f>
        <v>#N/A</v>
      </c>
      <c r="H14799" s="4" t="str">
        <v/>
      </c>
      <c r="I14799" s="4" t="str">
        <v/>
      </c>
    </row>
    <row r="14800" spans="5:9" ht="16.5" hidden="1">
      <c r="E14800" s="4" t="str">
        <v/>
      </c>
      <c r="F14800" s="102" t="str">
        <f ca="1">IFERROR(__xludf.DUMMYFUNCTION("IMPORTRANGE(H14800,""IDENTITAS UNIT!D9"")"),"#N/A")</f>
        <v>#N/A</v>
      </c>
      <c r="H14800" s="4" t="str">
        <v/>
      </c>
      <c r="I14800" s="4" t="str">
        <v/>
      </c>
    </row>
    <row r="14801" spans="5:9" ht="16.5" hidden="1">
      <c r="E14801" s="4" t="str">
        <v/>
      </c>
      <c r="F14801" s="102" t="str">
        <f ca="1">IFERROR(__xludf.DUMMYFUNCTION("IMPORTRANGE(H14801,""IDENTITAS UNIT!D9"")"),"#N/A")</f>
        <v>#N/A</v>
      </c>
      <c r="H14801" s="4" t="str">
        <v/>
      </c>
      <c r="I14801" s="4" t="str">
        <v/>
      </c>
    </row>
    <row r="14802" spans="5:9" ht="16.5" hidden="1">
      <c r="E14802" s="4" t="str">
        <v/>
      </c>
      <c r="F14802" s="102" t="str">
        <f ca="1">IFERROR(__xludf.DUMMYFUNCTION("IMPORTRANGE(H14802,""IDENTITAS UNIT!D9"")"),"#N/A")</f>
        <v>#N/A</v>
      </c>
      <c r="H14802" s="4" t="str">
        <v/>
      </c>
      <c r="I14802" s="4" t="str">
        <v/>
      </c>
    </row>
    <row r="14803" spans="5:9" ht="16.5" hidden="1">
      <c r="E14803" s="4" t="str">
        <v/>
      </c>
      <c r="F14803" s="102" t="str">
        <f ca="1">IFERROR(__xludf.DUMMYFUNCTION("IMPORTRANGE(H14803,""IDENTITAS UNIT!D9"")"),"#N/A")</f>
        <v>#N/A</v>
      </c>
      <c r="H14803" s="4" t="str">
        <v/>
      </c>
      <c r="I14803" s="4" t="str">
        <v/>
      </c>
    </row>
    <row r="14804" spans="5:9" ht="16.5" hidden="1">
      <c r="E14804" s="4" t="str">
        <v/>
      </c>
      <c r="F14804" s="102" t="str">
        <f ca="1">IFERROR(__xludf.DUMMYFUNCTION("IMPORTRANGE(H14804,""IDENTITAS UNIT!D9"")"),"#N/A")</f>
        <v>#N/A</v>
      </c>
      <c r="H14804" s="4" t="str">
        <v/>
      </c>
      <c r="I14804" s="4" t="str">
        <v/>
      </c>
    </row>
    <row r="14805" spans="5:9" ht="16.5" hidden="1">
      <c r="E14805" s="4" t="str">
        <v/>
      </c>
      <c r="F14805" s="102" t="str">
        <f ca="1">IFERROR(__xludf.DUMMYFUNCTION("IMPORTRANGE(H14805,""IDENTITAS UNIT!D9"")"),"#N/A")</f>
        <v>#N/A</v>
      </c>
      <c r="H14805" s="4" t="str">
        <v/>
      </c>
      <c r="I14805" s="4" t="str">
        <v/>
      </c>
    </row>
    <row r="14806" spans="5:9" ht="16.5" hidden="1">
      <c r="E14806" s="4" t="str">
        <v/>
      </c>
      <c r="F14806" s="102" t="str">
        <f ca="1">IFERROR(__xludf.DUMMYFUNCTION("IMPORTRANGE(H14806,""IDENTITAS UNIT!D9"")"),"#N/A")</f>
        <v>#N/A</v>
      </c>
      <c r="H14806" s="4" t="str">
        <v/>
      </c>
      <c r="I14806" s="4" t="str">
        <v/>
      </c>
    </row>
    <row r="14807" spans="5:9" ht="16.5" hidden="1">
      <c r="E14807" s="4" t="str">
        <v/>
      </c>
      <c r="F14807" s="102" t="str">
        <f ca="1">IFERROR(__xludf.DUMMYFUNCTION("IMPORTRANGE(H14807,""IDENTITAS UNIT!D9"")"),"#N/A")</f>
        <v>#N/A</v>
      </c>
      <c r="H14807" s="4" t="str">
        <v/>
      </c>
      <c r="I14807" s="4" t="str">
        <v/>
      </c>
    </row>
    <row r="14808" spans="5:9" ht="16.5" hidden="1">
      <c r="E14808" s="4" t="str">
        <v/>
      </c>
      <c r="F14808" s="102" t="str">
        <f ca="1">IFERROR(__xludf.DUMMYFUNCTION("IMPORTRANGE(H14808,""IDENTITAS UNIT!D9"")"),"#N/A")</f>
        <v>#N/A</v>
      </c>
      <c r="H14808" s="4" t="str">
        <v/>
      </c>
      <c r="I14808" s="4" t="str">
        <v/>
      </c>
    </row>
    <row r="14809" spans="5:9" ht="16.5" hidden="1">
      <c r="E14809" s="4" t="str">
        <v/>
      </c>
      <c r="F14809" s="102" t="str">
        <f ca="1">IFERROR(__xludf.DUMMYFUNCTION("IMPORTRANGE(H14809,""IDENTITAS UNIT!D9"")"),"#N/A")</f>
        <v>#N/A</v>
      </c>
      <c r="H14809" s="4" t="str">
        <v/>
      </c>
      <c r="I14809" s="4" t="str">
        <v/>
      </c>
    </row>
    <row r="14810" spans="5:9" ht="16.5" hidden="1">
      <c r="E14810" s="4" t="str">
        <v/>
      </c>
      <c r="F14810" s="102" t="str">
        <f ca="1">IFERROR(__xludf.DUMMYFUNCTION("IMPORTRANGE(H14810,""IDENTITAS UNIT!D9"")"),"#N/A")</f>
        <v>#N/A</v>
      </c>
      <c r="H14810" s="4" t="str">
        <v/>
      </c>
      <c r="I14810" s="4" t="str">
        <v/>
      </c>
    </row>
    <row r="14811" spans="5:9" ht="16.5" hidden="1">
      <c r="E14811" s="4" t="str">
        <v/>
      </c>
      <c r="F14811" s="102" t="str">
        <f ca="1">IFERROR(__xludf.DUMMYFUNCTION("IMPORTRANGE(H14811,""IDENTITAS UNIT!D9"")"),"#N/A")</f>
        <v>#N/A</v>
      </c>
      <c r="H14811" s="4" t="str">
        <v/>
      </c>
      <c r="I14811" s="4" t="str">
        <v/>
      </c>
    </row>
    <row r="14812" spans="5:9" ht="16.5" hidden="1">
      <c r="E14812" s="4" t="str">
        <v/>
      </c>
      <c r="F14812" s="102" t="str">
        <f ca="1">IFERROR(__xludf.DUMMYFUNCTION("IMPORTRANGE(H14812,""IDENTITAS UNIT!D9"")"),"#N/A")</f>
        <v>#N/A</v>
      </c>
      <c r="H14812" s="4" t="str">
        <v/>
      </c>
      <c r="I14812" s="4" t="str">
        <v/>
      </c>
    </row>
    <row r="14813" spans="5:9" ht="16.5" hidden="1">
      <c r="E14813" s="4" t="str">
        <v/>
      </c>
      <c r="F14813" s="102" t="str">
        <f ca="1">IFERROR(__xludf.DUMMYFUNCTION("IMPORTRANGE(H14813,""IDENTITAS UNIT!D9"")"),"#N/A")</f>
        <v>#N/A</v>
      </c>
      <c r="H14813" s="4" t="str">
        <v/>
      </c>
      <c r="I14813" s="4" t="str">
        <v/>
      </c>
    </row>
    <row r="14814" spans="5:9" ht="16.5" hidden="1">
      <c r="E14814" s="4" t="str">
        <v/>
      </c>
      <c r="F14814" s="102" t="str">
        <f ca="1">IFERROR(__xludf.DUMMYFUNCTION("IMPORTRANGE(H14814,""IDENTITAS UNIT!D9"")"),"#N/A")</f>
        <v>#N/A</v>
      </c>
      <c r="H14814" s="4" t="str">
        <v/>
      </c>
      <c r="I14814" s="4" t="str">
        <v/>
      </c>
    </row>
    <row r="14815" spans="5:9" ht="16.5" hidden="1">
      <c r="E14815" s="4" t="str">
        <v/>
      </c>
      <c r="F14815" s="102" t="str">
        <f ca="1">IFERROR(__xludf.DUMMYFUNCTION("IMPORTRANGE(H14815,""IDENTITAS UNIT!D9"")"),"#N/A")</f>
        <v>#N/A</v>
      </c>
      <c r="H14815" s="4" t="str">
        <v/>
      </c>
      <c r="I14815" s="4" t="str">
        <v/>
      </c>
    </row>
    <row r="14816" spans="5:9" ht="16.5" hidden="1">
      <c r="E14816" s="4" t="str">
        <v/>
      </c>
      <c r="F14816" s="102" t="str">
        <f ca="1">IFERROR(__xludf.DUMMYFUNCTION("IMPORTRANGE(H14816,""IDENTITAS UNIT!D9"")"),"#N/A")</f>
        <v>#N/A</v>
      </c>
      <c r="H14816" s="4" t="str">
        <v/>
      </c>
      <c r="I14816" s="4" t="str">
        <v/>
      </c>
    </row>
    <row r="14817" spans="5:9" ht="16.5" hidden="1">
      <c r="E14817" s="4" t="str">
        <v/>
      </c>
      <c r="F14817" s="102" t="str">
        <f ca="1">IFERROR(__xludf.DUMMYFUNCTION("IMPORTRANGE(H14817,""IDENTITAS UNIT!D9"")"),"#N/A")</f>
        <v>#N/A</v>
      </c>
      <c r="H14817" s="4" t="str">
        <v/>
      </c>
      <c r="I14817" s="4" t="str">
        <v/>
      </c>
    </row>
    <row r="14818" spans="5:9" ht="16.5" hidden="1">
      <c r="E14818" s="4" t="str">
        <v/>
      </c>
      <c r="F14818" s="102" t="str">
        <f ca="1">IFERROR(__xludf.DUMMYFUNCTION("IMPORTRANGE(H14818,""IDENTITAS UNIT!D9"")"),"#N/A")</f>
        <v>#N/A</v>
      </c>
      <c r="H14818" s="4" t="str">
        <v/>
      </c>
      <c r="I14818" s="4" t="str">
        <v/>
      </c>
    </row>
    <row r="14819" spans="5:9" ht="16.5" hidden="1">
      <c r="E14819" s="4" t="str">
        <v/>
      </c>
      <c r="F14819" s="102" t="str">
        <f ca="1">IFERROR(__xludf.DUMMYFUNCTION("IMPORTRANGE(H14819,""IDENTITAS UNIT!D9"")"),"#N/A")</f>
        <v>#N/A</v>
      </c>
      <c r="H14819" s="4" t="str">
        <v/>
      </c>
      <c r="I14819" s="4" t="str">
        <v/>
      </c>
    </row>
    <row r="14820" spans="5:9" ht="16.5" hidden="1">
      <c r="E14820" s="4" t="str">
        <v/>
      </c>
      <c r="F14820" s="102" t="str">
        <f ca="1">IFERROR(__xludf.DUMMYFUNCTION("IMPORTRANGE(H14820,""IDENTITAS UNIT!D9"")"),"#N/A")</f>
        <v>#N/A</v>
      </c>
      <c r="H14820" s="4" t="str">
        <v/>
      </c>
      <c r="I14820" s="4" t="str">
        <v/>
      </c>
    </row>
    <row r="14821" spans="5:9" ht="16.5" hidden="1">
      <c r="E14821" s="4" t="str">
        <v/>
      </c>
      <c r="F14821" s="102" t="str">
        <f ca="1">IFERROR(__xludf.DUMMYFUNCTION("IMPORTRANGE(H14821,""IDENTITAS UNIT!D9"")"),"#N/A")</f>
        <v>#N/A</v>
      </c>
      <c r="H14821" s="4" t="str">
        <v/>
      </c>
      <c r="I14821" s="4" t="str">
        <v/>
      </c>
    </row>
    <row r="14822" spans="5:9" ht="16.5" hidden="1">
      <c r="E14822" s="4" t="str">
        <v/>
      </c>
      <c r="F14822" s="102" t="str">
        <f ca="1">IFERROR(__xludf.DUMMYFUNCTION("IMPORTRANGE(H14822,""IDENTITAS UNIT!D9"")"),"#N/A")</f>
        <v>#N/A</v>
      </c>
      <c r="H14822" s="4" t="str">
        <v/>
      </c>
      <c r="I14822" s="4" t="str">
        <v/>
      </c>
    </row>
    <row r="14823" spans="5:9" ht="16.5" hidden="1">
      <c r="E14823" s="4" t="str">
        <v/>
      </c>
      <c r="F14823" s="102" t="str">
        <f ca="1">IFERROR(__xludf.DUMMYFUNCTION("IMPORTRANGE(H14823,""IDENTITAS UNIT!D9"")"),"#N/A")</f>
        <v>#N/A</v>
      </c>
      <c r="H14823" s="4" t="str">
        <v/>
      </c>
      <c r="I14823" s="4" t="str">
        <v/>
      </c>
    </row>
    <row r="14824" spans="5:9" ht="16.5" hidden="1">
      <c r="E14824" s="4" t="str">
        <v/>
      </c>
      <c r="F14824" s="102" t="str">
        <f ca="1">IFERROR(__xludf.DUMMYFUNCTION("IMPORTRANGE(H14824,""IDENTITAS UNIT!D9"")"),"#N/A")</f>
        <v>#N/A</v>
      </c>
      <c r="H14824" s="4" t="str">
        <v/>
      </c>
      <c r="I14824" s="4" t="str">
        <v/>
      </c>
    </row>
    <row r="14825" spans="5:9" ht="16.5" hidden="1">
      <c r="E14825" s="4" t="str">
        <v/>
      </c>
      <c r="F14825" s="102" t="str">
        <f ca="1">IFERROR(__xludf.DUMMYFUNCTION("IMPORTRANGE(H14825,""IDENTITAS UNIT!D9"")"),"#N/A")</f>
        <v>#N/A</v>
      </c>
      <c r="H14825" s="4" t="str">
        <v/>
      </c>
      <c r="I14825" s="4" t="str">
        <v/>
      </c>
    </row>
    <row r="14826" spans="5:9" ht="16.5" hidden="1">
      <c r="E14826" s="4" t="str">
        <v/>
      </c>
      <c r="F14826" s="102" t="str">
        <f ca="1">IFERROR(__xludf.DUMMYFUNCTION("IMPORTRANGE(H14826,""IDENTITAS UNIT!D9"")"),"#N/A")</f>
        <v>#N/A</v>
      </c>
      <c r="H14826" s="4" t="str">
        <v/>
      </c>
      <c r="I14826" s="4" t="str">
        <v/>
      </c>
    </row>
    <row r="14827" spans="5:9" ht="16.5" hidden="1">
      <c r="E14827" s="4" t="str">
        <v/>
      </c>
      <c r="F14827" s="102" t="str">
        <f ca="1">IFERROR(__xludf.DUMMYFUNCTION("IMPORTRANGE(H14827,""IDENTITAS UNIT!D9"")"),"#N/A")</f>
        <v>#N/A</v>
      </c>
      <c r="H14827" s="4" t="str">
        <v/>
      </c>
      <c r="I14827" s="4" t="str">
        <v/>
      </c>
    </row>
    <row r="14828" spans="5:9" ht="16.5" hidden="1">
      <c r="E14828" s="4" t="str">
        <v/>
      </c>
      <c r="F14828" s="102" t="str">
        <f ca="1">IFERROR(__xludf.DUMMYFUNCTION("IMPORTRANGE(H14828,""IDENTITAS UNIT!D9"")"),"#N/A")</f>
        <v>#N/A</v>
      </c>
      <c r="H14828" s="4" t="str">
        <v/>
      </c>
      <c r="I14828" s="4" t="str">
        <v/>
      </c>
    </row>
    <row r="14829" spans="5:9" ht="16.5" hidden="1">
      <c r="E14829" s="4" t="str">
        <v/>
      </c>
      <c r="F14829" s="102" t="str">
        <f ca="1">IFERROR(__xludf.DUMMYFUNCTION("IMPORTRANGE(H14829,""IDENTITAS UNIT!D9"")"),"#N/A")</f>
        <v>#N/A</v>
      </c>
      <c r="H14829" s="4" t="str">
        <v/>
      </c>
      <c r="I14829" s="4" t="str">
        <v/>
      </c>
    </row>
    <row r="14830" spans="5:9" ht="16.5" hidden="1">
      <c r="E14830" s="4" t="str">
        <v/>
      </c>
      <c r="F14830" s="102" t="str">
        <f ca="1">IFERROR(__xludf.DUMMYFUNCTION("IMPORTRANGE(H14830,""IDENTITAS UNIT!D9"")"),"#N/A")</f>
        <v>#N/A</v>
      </c>
      <c r="H14830" s="4" t="str">
        <v/>
      </c>
      <c r="I14830" s="4" t="str">
        <v/>
      </c>
    </row>
    <row r="14831" spans="5:9" ht="16.5" hidden="1">
      <c r="E14831" s="4" t="str">
        <v/>
      </c>
      <c r="F14831" s="102" t="str">
        <f ca="1">IFERROR(__xludf.DUMMYFUNCTION("IMPORTRANGE(H14831,""IDENTITAS UNIT!D9"")"),"#N/A")</f>
        <v>#N/A</v>
      </c>
      <c r="H14831" s="4" t="str">
        <v/>
      </c>
      <c r="I14831" s="4" t="str">
        <v/>
      </c>
    </row>
    <row r="14832" spans="5:9" ht="16.5" hidden="1">
      <c r="E14832" s="4" t="str">
        <v/>
      </c>
      <c r="F14832" s="102" t="str">
        <f ca="1">IFERROR(__xludf.DUMMYFUNCTION("IMPORTRANGE(H14832,""IDENTITAS UNIT!D9"")"),"#N/A")</f>
        <v>#N/A</v>
      </c>
      <c r="H14832" s="4" t="str">
        <v/>
      </c>
      <c r="I14832" s="4" t="str">
        <v/>
      </c>
    </row>
    <row r="14833" spans="5:9" ht="16.5" hidden="1">
      <c r="E14833" s="4" t="str">
        <v/>
      </c>
      <c r="F14833" s="102" t="str">
        <f ca="1">IFERROR(__xludf.DUMMYFUNCTION("IMPORTRANGE(H14833,""IDENTITAS UNIT!D9"")"),"#N/A")</f>
        <v>#N/A</v>
      </c>
      <c r="H14833" s="4" t="str">
        <v/>
      </c>
      <c r="I14833" s="4" t="str">
        <v/>
      </c>
    </row>
    <row r="14834" spans="5:9" ht="16.5" hidden="1">
      <c r="E14834" s="4" t="str">
        <v/>
      </c>
      <c r="F14834" s="102" t="str">
        <f ca="1">IFERROR(__xludf.DUMMYFUNCTION("IMPORTRANGE(H14834,""IDENTITAS UNIT!D9"")"),"#N/A")</f>
        <v>#N/A</v>
      </c>
      <c r="H14834" s="4" t="str">
        <v/>
      </c>
      <c r="I14834" s="4" t="str">
        <v/>
      </c>
    </row>
    <row r="14835" spans="5:9" ht="16.5" hidden="1">
      <c r="E14835" s="4" t="str">
        <v/>
      </c>
      <c r="F14835" s="102" t="str">
        <f ca="1">IFERROR(__xludf.DUMMYFUNCTION("IMPORTRANGE(H14835,""IDENTITAS UNIT!D9"")"),"#N/A")</f>
        <v>#N/A</v>
      </c>
      <c r="H14835" s="4" t="str">
        <v/>
      </c>
      <c r="I14835" s="4" t="str">
        <v/>
      </c>
    </row>
    <row r="14836" spans="5:9" ht="16.5" hidden="1">
      <c r="E14836" s="4" t="str">
        <v/>
      </c>
      <c r="F14836" s="102" t="str">
        <f ca="1">IFERROR(__xludf.DUMMYFUNCTION("IMPORTRANGE(H14836,""IDENTITAS UNIT!D9"")"),"#N/A")</f>
        <v>#N/A</v>
      </c>
      <c r="H14836" s="4" t="str">
        <v/>
      </c>
      <c r="I14836" s="4" t="str">
        <v/>
      </c>
    </row>
    <row r="14837" spans="5:9" ht="16.5" hidden="1">
      <c r="E14837" s="4" t="str">
        <v/>
      </c>
      <c r="F14837" s="102" t="str">
        <f ca="1">IFERROR(__xludf.DUMMYFUNCTION("IMPORTRANGE(H14837,""IDENTITAS UNIT!D9"")"),"#N/A")</f>
        <v>#N/A</v>
      </c>
      <c r="H14837" s="4" t="str">
        <v/>
      </c>
      <c r="I14837" s="4" t="str">
        <v/>
      </c>
    </row>
    <row r="14838" spans="5:9" ht="16.5" hidden="1">
      <c r="E14838" s="4" t="str">
        <v/>
      </c>
      <c r="F14838" s="102" t="str">
        <f ca="1">IFERROR(__xludf.DUMMYFUNCTION("IMPORTRANGE(H14838,""IDENTITAS UNIT!D9"")"),"#N/A")</f>
        <v>#N/A</v>
      </c>
      <c r="H14838" s="4" t="str">
        <v/>
      </c>
      <c r="I14838" s="4" t="str">
        <v/>
      </c>
    </row>
    <row r="14839" spans="5:9" ht="16.5" hidden="1">
      <c r="E14839" s="4" t="str">
        <v/>
      </c>
      <c r="F14839" s="102" t="str">
        <f ca="1">IFERROR(__xludf.DUMMYFUNCTION("IMPORTRANGE(H14839,""IDENTITAS UNIT!D9"")"),"#N/A")</f>
        <v>#N/A</v>
      </c>
      <c r="H14839" s="4" t="str">
        <v/>
      </c>
      <c r="I14839" s="4" t="str">
        <v/>
      </c>
    </row>
    <row r="14840" spans="5:9" ht="16.5" hidden="1">
      <c r="E14840" s="4" t="str">
        <v/>
      </c>
      <c r="F14840" s="102" t="str">
        <f ca="1">IFERROR(__xludf.DUMMYFUNCTION("IMPORTRANGE(H14840,""IDENTITAS UNIT!D9"")"),"#N/A")</f>
        <v>#N/A</v>
      </c>
      <c r="H14840" s="4" t="str">
        <v/>
      </c>
      <c r="I14840" s="4" t="str">
        <v/>
      </c>
    </row>
    <row r="14841" spans="5:9" ht="16.5" hidden="1">
      <c r="E14841" s="4" t="str">
        <v/>
      </c>
      <c r="F14841" s="102" t="str">
        <f ca="1">IFERROR(__xludf.DUMMYFUNCTION("IMPORTRANGE(H14841,""IDENTITAS UNIT!D9"")"),"#N/A")</f>
        <v>#N/A</v>
      </c>
      <c r="H14841" s="4" t="str">
        <v/>
      </c>
      <c r="I14841" s="4" t="str">
        <v/>
      </c>
    </row>
    <row r="14842" spans="5:9" ht="16.5" hidden="1">
      <c r="E14842" s="4" t="str">
        <v/>
      </c>
      <c r="F14842" s="102" t="str">
        <f ca="1">IFERROR(__xludf.DUMMYFUNCTION("IMPORTRANGE(H14842,""IDENTITAS UNIT!D9"")"),"#N/A")</f>
        <v>#N/A</v>
      </c>
      <c r="H14842" s="4" t="str">
        <v/>
      </c>
      <c r="I14842" s="4" t="str">
        <v/>
      </c>
    </row>
    <row r="14843" spans="5:9" ht="16.5" hidden="1">
      <c r="E14843" s="4" t="str">
        <v/>
      </c>
      <c r="F14843" s="102" t="str">
        <f ca="1">IFERROR(__xludf.DUMMYFUNCTION("IMPORTRANGE(H14843,""IDENTITAS UNIT!D9"")"),"#N/A")</f>
        <v>#N/A</v>
      </c>
      <c r="H14843" s="4" t="str">
        <v/>
      </c>
      <c r="I14843" s="4" t="str">
        <v/>
      </c>
    </row>
    <row r="14844" spans="5:9" ht="16.5" hidden="1">
      <c r="E14844" s="4" t="str">
        <v/>
      </c>
      <c r="F14844" s="102" t="str">
        <f ca="1">IFERROR(__xludf.DUMMYFUNCTION("IMPORTRANGE(H14844,""IDENTITAS UNIT!D9"")"),"#N/A")</f>
        <v>#N/A</v>
      </c>
      <c r="H14844" s="4" t="str">
        <v/>
      </c>
      <c r="I14844" s="4" t="str">
        <v/>
      </c>
    </row>
    <row r="14845" spans="5:9" ht="16.5" hidden="1">
      <c r="E14845" s="4" t="str">
        <v/>
      </c>
      <c r="F14845" s="102" t="str">
        <f ca="1">IFERROR(__xludf.DUMMYFUNCTION("IMPORTRANGE(H14845,""IDENTITAS UNIT!D9"")"),"#N/A")</f>
        <v>#N/A</v>
      </c>
      <c r="H14845" s="4" t="str">
        <v/>
      </c>
      <c r="I14845" s="4" t="str">
        <v/>
      </c>
    </row>
    <row r="14846" spans="5:9" ht="16.5" hidden="1">
      <c r="E14846" s="4" t="str">
        <v/>
      </c>
      <c r="F14846" s="102" t="str">
        <f ca="1">IFERROR(__xludf.DUMMYFUNCTION("IMPORTRANGE(H14846,""IDENTITAS UNIT!D9"")"),"#N/A")</f>
        <v>#N/A</v>
      </c>
      <c r="H14846" s="4" t="str">
        <v/>
      </c>
      <c r="I14846" s="4" t="str">
        <v/>
      </c>
    </row>
    <row r="14847" spans="5:9" ht="16.5" hidden="1">
      <c r="E14847" s="4" t="str">
        <v/>
      </c>
      <c r="F14847" s="102" t="str">
        <f ca="1">IFERROR(__xludf.DUMMYFUNCTION("IMPORTRANGE(H14847,""IDENTITAS UNIT!D9"")"),"#N/A")</f>
        <v>#N/A</v>
      </c>
      <c r="H14847" s="4" t="str">
        <v/>
      </c>
      <c r="I14847" s="4" t="str">
        <v/>
      </c>
    </row>
    <row r="14848" spans="5:9" ht="16.5" hidden="1">
      <c r="E14848" s="4" t="str">
        <v/>
      </c>
      <c r="F14848" s="102" t="str">
        <f ca="1">IFERROR(__xludf.DUMMYFUNCTION("IMPORTRANGE(H14848,""IDENTITAS UNIT!D9"")"),"#N/A")</f>
        <v>#N/A</v>
      </c>
      <c r="H14848" s="4" t="str">
        <v/>
      </c>
      <c r="I14848" s="4" t="str">
        <v/>
      </c>
    </row>
    <row r="14849" spans="5:9" ht="16.5" hidden="1">
      <c r="E14849" s="4" t="str">
        <v/>
      </c>
      <c r="F14849" s="102" t="str">
        <f ca="1">IFERROR(__xludf.DUMMYFUNCTION("IMPORTRANGE(H14849,""IDENTITAS UNIT!D9"")"),"#N/A")</f>
        <v>#N/A</v>
      </c>
      <c r="H14849" s="4" t="str">
        <v/>
      </c>
      <c r="I14849" s="4" t="str">
        <v/>
      </c>
    </row>
    <row r="14850" spans="5:9" ht="16.5" hidden="1">
      <c r="E14850" s="4" t="str">
        <v/>
      </c>
      <c r="F14850" s="102" t="str">
        <f ca="1">IFERROR(__xludf.DUMMYFUNCTION("IMPORTRANGE(H14850,""IDENTITAS UNIT!D9"")"),"#N/A")</f>
        <v>#N/A</v>
      </c>
      <c r="H14850" s="4" t="str">
        <v/>
      </c>
      <c r="I14850" s="4" t="str">
        <v/>
      </c>
    </row>
    <row r="14851" spans="5:9" ht="16.5" hidden="1">
      <c r="E14851" s="4" t="str">
        <v/>
      </c>
      <c r="F14851" s="102" t="str">
        <f ca="1">IFERROR(__xludf.DUMMYFUNCTION("IMPORTRANGE(H14851,""IDENTITAS UNIT!D9"")"),"#N/A")</f>
        <v>#N/A</v>
      </c>
      <c r="H14851" s="4" t="str">
        <v/>
      </c>
      <c r="I14851" s="4" t="str">
        <v/>
      </c>
    </row>
    <row r="14852" spans="5:9" ht="16.5" hidden="1">
      <c r="E14852" s="4" t="str">
        <v/>
      </c>
      <c r="F14852" s="102" t="str">
        <f ca="1">IFERROR(__xludf.DUMMYFUNCTION("IMPORTRANGE(H14852,""IDENTITAS UNIT!D9"")"),"#N/A")</f>
        <v>#N/A</v>
      </c>
      <c r="H14852" s="4" t="str">
        <v/>
      </c>
      <c r="I14852" s="4" t="str">
        <v/>
      </c>
    </row>
    <row r="14853" spans="5:9" ht="16.5" hidden="1">
      <c r="E14853" s="4" t="str">
        <v/>
      </c>
      <c r="F14853" s="102" t="str">
        <f ca="1">IFERROR(__xludf.DUMMYFUNCTION("IMPORTRANGE(H14853,""IDENTITAS UNIT!D9"")"),"#N/A")</f>
        <v>#N/A</v>
      </c>
      <c r="H14853" s="4" t="str">
        <v/>
      </c>
      <c r="I14853" s="4" t="str">
        <v/>
      </c>
    </row>
    <row r="14854" spans="5:9" ht="16.5" hidden="1">
      <c r="E14854" s="4" t="str">
        <v/>
      </c>
      <c r="F14854" s="102" t="str">
        <f ca="1">IFERROR(__xludf.DUMMYFUNCTION("IMPORTRANGE(H14854,""IDENTITAS UNIT!D9"")"),"#N/A")</f>
        <v>#N/A</v>
      </c>
      <c r="H14854" s="4" t="str">
        <v/>
      </c>
      <c r="I14854" s="4" t="str">
        <v/>
      </c>
    </row>
    <row r="14855" spans="5:9" ht="16.5" hidden="1">
      <c r="E14855" s="4" t="str">
        <v/>
      </c>
      <c r="F14855" s="102" t="str">
        <f ca="1">IFERROR(__xludf.DUMMYFUNCTION("IMPORTRANGE(H14855,""IDENTITAS UNIT!D9"")"),"#N/A")</f>
        <v>#N/A</v>
      </c>
      <c r="H14855" s="4" t="str">
        <v/>
      </c>
      <c r="I14855" s="4" t="str">
        <v/>
      </c>
    </row>
    <row r="14856" spans="5:9" ht="16.5" hidden="1">
      <c r="E14856" s="4" t="str">
        <v/>
      </c>
      <c r="F14856" s="102" t="str">
        <f ca="1">IFERROR(__xludf.DUMMYFUNCTION("IMPORTRANGE(H14856,""IDENTITAS UNIT!D9"")"),"#N/A")</f>
        <v>#N/A</v>
      </c>
      <c r="H14856" s="4" t="str">
        <v/>
      </c>
      <c r="I14856" s="4" t="str">
        <v/>
      </c>
    </row>
    <row r="14857" spans="5:9" ht="16.5" hidden="1">
      <c r="E14857" s="4" t="str">
        <v/>
      </c>
      <c r="F14857" s="102" t="str">
        <f ca="1">IFERROR(__xludf.DUMMYFUNCTION("IMPORTRANGE(H14857,""IDENTITAS UNIT!D9"")"),"#N/A")</f>
        <v>#N/A</v>
      </c>
      <c r="H14857" s="4" t="str">
        <v/>
      </c>
      <c r="I14857" s="4" t="str">
        <v/>
      </c>
    </row>
    <row r="14858" spans="5:9" ht="16.5" hidden="1">
      <c r="E14858" s="4" t="str">
        <v/>
      </c>
      <c r="F14858" s="102" t="str">
        <f ca="1">IFERROR(__xludf.DUMMYFUNCTION("IMPORTRANGE(H14858,""IDENTITAS UNIT!D9"")"),"#N/A")</f>
        <v>#N/A</v>
      </c>
      <c r="H14858" s="4" t="str">
        <v/>
      </c>
      <c r="I14858" s="4" t="str">
        <v/>
      </c>
    </row>
    <row r="14859" spans="5:9" ht="16.5" hidden="1">
      <c r="E14859" s="4" t="str">
        <v/>
      </c>
      <c r="F14859" s="102" t="str">
        <f ca="1">IFERROR(__xludf.DUMMYFUNCTION("IMPORTRANGE(H14859,""IDENTITAS UNIT!D9"")"),"#N/A")</f>
        <v>#N/A</v>
      </c>
      <c r="H14859" s="4" t="str">
        <v/>
      </c>
      <c r="I14859" s="4" t="str">
        <v/>
      </c>
    </row>
    <row r="14860" spans="5:9" ht="16.5" hidden="1">
      <c r="E14860" s="4" t="str">
        <v/>
      </c>
      <c r="F14860" s="102" t="str">
        <f ca="1">IFERROR(__xludf.DUMMYFUNCTION("IMPORTRANGE(H14860,""IDENTITAS UNIT!D9"")"),"#N/A")</f>
        <v>#N/A</v>
      </c>
      <c r="H14860" s="4" t="str">
        <v/>
      </c>
      <c r="I14860" s="4" t="str">
        <v/>
      </c>
    </row>
    <row r="14861" spans="5:9" ht="16.5" hidden="1">
      <c r="E14861" s="4" t="str">
        <v/>
      </c>
      <c r="F14861" s="102" t="str">
        <f ca="1">IFERROR(__xludf.DUMMYFUNCTION("IMPORTRANGE(H14861,""IDENTITAS UNIT!D9"")"),"#N/A")</f>
        <v>#N/A</v>
      </c>
      <c r="H14861" s="4" t="str">
        <v/>
      </c>
      <c r="I14861" s="4" t="str">
        <v/>
      </c>
    </row>
    <row r="14862" spans="5:9" ht="16.5" hidden="1">
      <c r="E14862" s="4" t="str">
        <v/>
      </c>
      <c r="F14862" s="102" t="str">
        <f ca="1">IFERROR(__xludf.DUMMYFUNCTION("IMPORTRANGE(H14862,""IDENTITAS UNIT!D9"")"),"#N/A")</f>
        <v>#N/A</v>
      </c>
      <c r="H14862" s="4" t="str">
        <v/>
      </c>
      <c r="I14862" s="4" t="str">
        <v/>
      </c>
    </row>
    <row r="14863" spans="5:9" ht="16.5" hidden="1">
      <c r="E14863" s="4" t="str">
        <v/>
      </c>
      <c r="F14863" s="102" t="str">
        <f ca="1">IFERROR(__xludf.DUMMYFUNCTION("IMPORTRANGE(H14863,""IDENTITAS UNIT!D9"")"),"#N/A")</f>
        <v>#N/A</v>
      </c>
      <c r="H14863" s="4" t="str">
        <v/>
      </c>
      <c r="I14863" s="4" t="str">
        <v/>
      </c>
    </row>
    <row r="14864" spans="5:9" ht="16.5" hidden="1">
      <c r="E14864" s="4" t="str">
        <v/>
      </c>
      <c r="F14864" s="102" t="str">
        <f ca="1">IFERROR(__xludf.DUMMYFUNCTION("IMPORTRANGE(H14864,""IDENTITAS UNIT!D9"")"),"#N/A")</f>
        <v>#N/A</v>
      </c>
      <c r="H14864" s="4" t="str">
        <v/>
      </c>
      <c r="I14864" s="4" t="str">
        <v/>
      </c>
    </row>
    <row r="14865" spans="5:9" ht="16.5" hidden="1">
      <c r="E14865" s="4" t="str">
        <v/>
      </c>
      <c r="F14865" s="102" t="str">
        <f ca="1">IFERROR(__xludf.DUMMYFUNCTION("IMPORTRANGE(H14865,""IDENTITAS UNIT!D9"")"),"#N/A")</f>
        <v>#N/A</v>
      </c>
      <c r="H14865" s="4" t="str">
        <v/>
      </c>
      <c r="I14865" s="4" t="str">
        <v/>
      </c>
    </row>
    <row r="14866" spans="5:9" ht="16.5" hidden="1">
      <c r="E14866" s="4" t="str">
        <v/>
      </c>
      <c r="F14866" s="102" t="str">
        <f ca="1">IFERROR(__xludf.DUMMYFUNCTION("IMPORTRANGE(H14866,""IDENTITAS UNIT!D9"")"),"#N/A")</f>
        <v>#N/A</v>
      </c>
      <c r="H14866" s="4" t="str">
        <v/>
      </c>
      <c r="I14866" s="4" t="str">
        <v/>
      </c>
    </row>
    <row r="14867" spans="5:9" ht="16.5" hidden="1">
      <c r="E14867" s="4" t="str">
        <v/>
      </c>
      <c r="F14867" s="102" t="str">
        <f ca="1">IFERROR(__xludf.DUMMYFUNCTION("IMPORTRANGE(H14867,""IDENTITAS UNIT!D9"")"),"#N/A")</f>
        <v>#N/A</v>
      </c>
      <c r="H14867" s="4" t="str">
        <v/>
      </c>
      <c r="I14867" s="4" t="str">
        <v/>
      </c>
    </row>
    <row r="14868" spans="5:9" ht="16.5" hidden="1">
      <c r="E14868" s="4" t="str">
        <v/>
      </c>
      <c r="F14868" s="102" t="str">
        <f ca="1">IFERROR(__xludf.DUMMYFUNCTION("IMPORTRANGE(H14868,""IDENTITAS UNIT!D9"")"),"#N/A")</f>
        <v>#N/A</v>
      </c>
      <c r="H14868" s="4" t="str">
        <v/>
      </c>
      <c r="I14868" s="4" t="str">
        <v/>
      </c>
    </row>
    <row r="14869" spans="5:9" ht="16.5" hidden="1">
      <c r="E14869" s="4" t="str">
        <v/>
      </c>
      <c r="F14869" s="102" t="str">
        <f ca="1">IFERROR(__xludf.DUMMYFUNCTION("IMPORTRANGE(H14869,""IDENTITAS UNIT!D9"")"),"#N/A")</f>
        <v>#N/A</v>
      </c>
      <c r="H14869" s="4" t="str">
        <v/>
      </c>
      <c r="I14869" s="4" t="str">
        <v/>
      </c>
    </row>
    <row r="14870" spans="5:9" ht="16.5" hidden="1">
      <c r="E14870" s="4" t="str">
        <v/>
      </c>
      <c r="F14870" s="102" t="str">
        <f ca="1">IFERROR(__xludf.DUMMYFUNCTION("IMPORTRANGE(H14870,""IDENTITAS UNIT!D9"")"),"#N/A")</f>
        <v>#N/A</v>
      </c>
      <c r="H14870" s="4" t="str">
        <v/>
      </c>
      <c r="I14870" s="4" t="str">
        <v/>
      </c>
    </row>
    <row r="14871" spans="5:9" ht="16.5" hidden="1">
      <c r="E14871" s="4" t="str">
        <v/>
      </c>
      <c r="F14871" s="102" t="str">
        <f ca="1">IFERROR(__xludf.DUMMYFUNCTION("IMPORTRANGE(H14871,""IDENTITAS UNIT!D9"")"),"#N/A")</f>
        <v>#N/A</v>
      </c>
      <c r="H14871" s="4" t="str">
        <v/>
      </c>
      <c r="I14871" s="4" t="str">
        <v/>
      </c>
    </row>
    <row r="14872" spans="5:9" ht="16.5" hidden="1">
      <c r="E14872" s="4" t="str">
        <v/>
      </c>
      <c r="F14872" s="102" t="str">
        <f ca="1">IFERROR(__xludf.DUMMYFUNCTION("IMPORTRANGE(H14872,""IDENTITAS UNIT!D9"")"),"#N/A")</f>
        <v>#N/A</v>
      </c>
      <c r="H14872" s="4" t="str">
        <v/>
      </c>
      <c r="I14872" s="4" t="str">
        <v/>
      </c>
    </row>
    <row r="14873" spans="5:9" ht="16.5" hidden="1">
      <c r="E14873" s="4" t="str">
        <v/>
      </c>
      <c r="F14873" s="102" t="str">
        <f ca="1">IFERROR(__xludf.DUMMYFUNCTION("IMPORTRANGE(H14873,""IDENTITAS UNIT!D9"")"),"#N/A")</f>
        <v>#N/A</v>
      </c>
      <c r="H14873" s="4" t="str">
        <v/>
      </c>
      <c r="I14873" s="4" t="str">
        <v/>
      </c>
    </row>
    <row r="14874" spans="5:9" ht="16.5" hidden="1">
      <c r="E14874" s="4" t="str">
        <v/>
      </c>
      <c r="F14874" s="102" t="str">
        <f ca="1">IFERROR(__xludf.DUMMYFUNCTION("IMPORTRANGE(H14874,""IDENTITAS UNIT!D9"")"),"#N/A")</f>
        <v>#N/A</v>
      </c>
      <c r="H14874" s="4" t="str">
        <v/>
      </c>
      <c r="I14874" s="4" t="str">
        <v/>
      </c>
    </row>
    <row r="14875" spans="5:9" ht="16.5" hidden="1">
      <c r="E14875" s="4" t="str">
        <v/>
      </c>
      <c r="F14875" s="102" t="str">
        <f ca="1">IFERROR(__xludf.DUMMYFUNCTION("IMPORTRANGE(H14875,""IDENTITAS UNIT!D9"")"),"#N/A")</f>
        <v>#N/A</v>
      </c>
      <c r="H14875" s="4" t="str">
        <v/>
      </c>
      <c r="I14875" s="4" t="str">
        <v/>
      </c>
    </row>
    <row r="14876" spans="5:9" ht="16.5" hidden="1">
      <c r="E14876" s="4" t="str">
        <v/>
      </c>
      <c r="F14876" s="102" t="str">
        <f ca="1">IFERROR(__xludf.DUMMYFUNCTION("IMPORTRANGE(H14876,""IDENTITAS UNIT!D9"")"),"#N/A")</f>
        <v>#N/A</v>
      </c>
      <c r="H14876" s="4" t="str">
        <v/>
      </c>
      <c r="I14876" s="4" t="str">
        <v/>
      </c>
    </row>
    <row r="14877" spans="5:9" ht="16.5" hidden="1">
      <c r="E14877" s="4" t="str">
        <v/>
      </c>
      <c r="F14877" s="102" t="str">
        <f ca="1">IFERROR(__xludf.DUMMYFUNCTION("IMPORTRANGE(H14877,""IDENTITAS UNIT!D9"")"),"#N/A")</f>
        <v>#N/A</v>
      </c>
      <c r="H14877" s="4" t="str">
        <v/>
      </c>
      <c r="I14877" s="4" t="str">
        <v/>
      </c>
    </row>
    <row r="14878" spans="5:9" ht="16.5" hidden="1">
      <c r="E14878" s="4" t="str">
        <v/>
      </c>
      <c r="F14878" s="102" t="str">
        <f ca="1">IFERROR(__xludf.DUMMYFUNCTION("IMPORTRANGE(H14878,""IDENTITAS UNIT!D9"")"),"#N/A")</f>
        <v>#N/A</v>
      </c>
      <c r="H14878" s="4" t="str">
        <v/>
      </c>
      <c r="I14878" s="4" t="str">
        <v/>
      </c>
    </row>
    <row r="14879" spans="5:9" ht="16.5" hidden="1">
      <c r="E14879" s="4" t="str">
        <v/>
      </c>
      <c r="F14879" s="102" t="str">
        <f ca="1">IFERROR(__xludf.DUMMYFUNCTION("IMPORTRANGE(H14879,""IDENTITAS UNIT!D9"")"),"#N/A")</f>
        <v>#N/A</v>
      </c>
      <c r="H14879" s="4" t="str">
        <v/>
      </c>
      <c r="I14879" s="4" t="str">
        <v/>
      </c>
    </row>
    <row r="14880" spans="5:9" ht="16.5" hidden="1">
      <c r="E14880" s="4" t="str">
        <v/>
      </c>
      <c r="F14880" s="102" t="str">
        <f ca="1">IFERROR(__xludf.DUMMYFUNCTION("IMPORTRANGE(H14880,""IDENTITAS UNIT!D9"")"),"#N/A")</f>
        <v>#N/A</v>
      </c>
      <c r="H14880" s="4" t="str">
        <v/>
      </c>
      <c r="I14880" s="4" t="str">
        <v/>
      </c>
    </row>
    <row r="14881" spans="5:9" ht="16.5" hidden="1">
      <c r="E14881" s="4" t="str">
        <v/>
      </c>
      <c r="F14881" s="102" t="str">
        <f ca="1">IFERROR(__xludf.DUMMYFUNCTION("IMPORTRANGE(H14881,""IDENTITAS UNIT!D9"")"),"#N/A")</f>
        <v>#N/A</v>
      </c>
      <c r="H14881" s="4" t="str">
        <v/>
      </c>
      <c r="I14881" s="4" t="str">
        <v/>
      </c>
    </row>
    <row r="14882" spans="5:9" ht="16.5" hidden="1">
      <c r="E14882" s="4" t="str">
        <v/>
      </c>
      <c r="F14882" s="102" t="str">
        <f ca="1">IFERROR(__xludf.DUMMYFUNCTION("IMPORTRANGE(H14882,""IDENTITAS UNIT!D9"")"),"#N/A")</f>
        <v>#N/A</v>
      </c>
      <c r="H14882" s="4" t="str">
        <v/>
      </c>
      <c r="I14882" s="4" t="str">
        <v/>
      </c>
    </row>
    <row r="14883" spans="5:9" ht="16.5" hidden="1">
      <c r="E14883" s="4" t="str">
        <v/>
      </c>
      <c r="F14883" s="102" t="str">
        <f ca="1">IFERROR(__xludf.DUMMYFUNCTION("IMPORTRANGE(H14883,""IDENTITAS UNIT!D9"")"),"#N/A")</f>
        <v>#N/A</v>
      </c>
      <c r="H14883" s="4" t="str">
        <v/>
      </c>
      <c r="I14883" s="4" t="str">
        <v/>
      </c>
    </row>
    <row r="14884" spans="5:9" ht="16.5" hidden="1">
      <c r="E14884" s="4" t="str">
        <v/>
      </c>
      <c r="F14884" s="102" t="str">
        <f ca="1">IFERROR(__xludf.DUMMYFUNCTION("IMPORTRANGE(H14884,""IDENTITAS UNIT!D9"")"),"#N/A")</f>
        <v>#N/A</v>
      </c>
      <c r="H14884" s="4" t="str">
        <v/>
      </c>
      <c r="I14884" s="4" t="str">
        <v/>
      </c>
    </row>
    <row r="14885" spans="5:9" ht="16.5" hidden="1">
      <c r="E14885" s="4" t="str">
        <v/>
      </c>
      <c r="F14885" s="102" t="str">
        <f ca="1">IFERROR(__xludf.DUMMYFUNCTION("IMPORTRANGE(H14885,""IDENTITAS UNIT!D9"")"),"#N/A")</f>
        <v>#N/A</v>
      </c>
      <c r="H14885" s="4" t="str">
        <v/>
      </c>
      <c r="I14885" s="4" t="str">
        <v/>
      </c>
    </row>
    <row r="14886" spans="5:9" ht="16.5" hidden="1">
      <c r="E14886" s="4" t="str">
        <v/>
      </c>
      <c r="F14886" s="102" t="str">
        <f ca="1">IFERROR(__xludf.DUMMYFUNCTION("IMPORTRANGE(H14886,""IDENTITAS UNIT!D9"")"),"#N/A")</f>
        <v>#N/A</v>
      </c>
      <c r="H14886" s="4" t="str">
        <v/>
      </c>
      <c r="I14886" s="4" t="str">
        <v/>
      </c>
    </row>
    <row r="14887" spans="5:9" ht="16.5" hidden="1">
      <c r="E14887" s="4" t="str">
        <v/>
      </c>
      <c r="F14887" s="102" t="str">
        <f ca="1">IFERROR(__xludf.DUMMYFUNCTION("IMPORTRANGE(H14887,""IDENTITAS UNIT!D9"")"),"#N/A")</f>
        <v>#N/A</v>
      </c>
      <c r="H14887" s="4" t="str">
        <v/>
      </c>
      <c r="I14887" s="4" t="str">
        <v/>
      </c>
    </row>
    <row r="14888" spans="5:9" ht="16.5" hidden="1">
      <c r="E14888" s="4" t="str">
        <v/>
      </c>
      <c r="F14888" s="102" t="str">
        <f ca="1">IFERROR(__xludf.DUMMYFUNCTION("IMPORTRANGE(H14888,""IDENTITAS UNIT!D9"")"),"#N/A")</f>
        <v>#N/A</v>
      </c>
      <c r="H14888" s="4" t="str">
        <v/>
      </c>
      <c r="I14888" s="4" t="str">
        <v/>
      </c>
    </row>
    <row r="14889" spans="5:9" ht="16.5" hidden="1">
      <c r="E14889" s="4" t="str">
        <v/>
      </c>
      <c r="F14889" s="102" t="str">
        <f ca="1">IFERROR(__xludf.DUMMYFUNCTION("IMPORTRANGE(H14889,""IDENTITAS UNIT!D9"")"),"#N/A")</f>
        <v>#N/A</v>
      </c>
      <c r="H14889" s="4" t="str">
        <v/>
      </c>
      <c r="I14889" s="4" t="str">
        <v/>
      </c>
    </row>
    <row r="14890" spans="5:9" ht="16.5" hidden="1">
      <c r="E14890" s="4" t="str">
        <v/>
      </c>
      <c r="F14890" s="102" t="str">
        <f ca="1">IFERROR(__xludf.DUMMYFUNCTION("IMPORTRANGE(H14890,""IDENTITAS UNIT!D9"")"),"#N/A")</f>
        <v>#N/A</v>
      </c>
      <c r="H14890" s="4" t="str">
        <v/>
      </c>
      <c r="I14890" s="4" t="str">
        <v/>
      </c>
    </row>
    <row r="14891" spans="5:9" ht="16.5" hidden="1">
      <c r="E14891" s="4" t="str">
        <v/>
      </c>
      <c r="F14891" s="102" t="str">
        <f ca="1">IFERROR(__xludf.DUMMYFUNCTION("IMPORTRANGE(H14891,""IDENTITAS UNIT!D9"")"),"#N/A")</f>
        <v>#N/A</v>
      </c>
      <c r="H14891" s="4" t="str">
        <v/>
      </c>
      <c r="I14891" s="4" t="str">
        <v/>
      </c>
    </row>
    <row r="14892" spans="5:9" ht="16.5" hidden="1">
      <c r="E14892" s="4" t="str">
        <v/>
      </c>
      <c r="F14892" s="102" t="str">
        <f ca="1">IFERROR(__xludf.DUMMYFUNCTION("IMPORTRANGE(H14892,""IDENTITAS UNIT!D9"")"),"#N/A")</f>
        <v>#N/A</v>
      </c>
      <c r="H14892" s="4" t="str">
        <v/>
      </c>
      <c r="I14892" s="4" t="str">
        <v/>
      </c>
    </row>
    <row r="14893" spans="5:9" ht="16.5" hidden="1">
      <c r="E14893" s="4" t="str">
        <v/>
      </c>
      <c r="F14893" s="102" t="str">
        <f ca="1">IFERROR(__xludf.DUMMYFUNCTION("IMPORTRANGE(H14893,""IDENTITAS UNIT!D9"")"),"#N/A")</f>
        <v>#N/A</v>
      </c>
      <c r="H14893" s="4" t="str">
        <v/>
      </c>
      <c r="I14893" s="4" t="str">
        <v/>
      </c>
    </row>
    <row r="14894" spans="5:9" ht="16.5" hidden="1">
      <c r="E14894" s="4" t="str">
        <v/>
      </c>
      <c r="F14894" s="102" t="str">
        <f ca="1">IFERROR(__xludf.DUMMYFUNCTION("IMPORTRANGE(H14894,""IDENTITAS UNIT!D9"")"),"#N/A")</f>
        <v>#N/A</v>
      </c>
      <c r="H14894" s="4" t="str">
        <v/>
      </c>
      <c r="I14894" s="4" t="str">
        <v/>
      </c>
    </row>
    <row r="14895" spans="5:9" ht="16.5" hidden="1">
      <c r="E14895" s="4" t="str">
        <v/>
      </c>
      <c r="F14895" s="102" t="str">
        <f ca="1">IFERROR(__xludf.DUMMYFUNCTION("IMPORTRANGE(H14895,""IDENTITAS UNIT!D9"")"),"#N/A")</f>
        <v>#N/A</v>
      </c>
      <c r="H14895" s="4" t="str">
        <v/>
      </c>
      <c r="I14895" s="4" t="str">
        <v/>
      </c>
    </row>
    <row r="14896" spans="5:9" ht="16.5" hidden="1">
      <c r="E14896" s="4" t="str">
        <v/>
      </c>
      <c r="F14896" s="102" t="str">
        <f ca="1">IFERROR(__xludf.DUMMYFUNCTION("IMPORTRANGE(H14896,""IDENTITAS UNIT!D9"")"),"#N/A")</f>
        <v>#N/A</v>
      </c>
      <c r="H14896" s="4" t="str">
        <v/>
      </c>
      <c r="I14896" s="4" t="str">
        <v/>
      </c>
    </row>
    <row r="14897" spans="5:9" ht="16.5" hidden="1">
      <c r="E14897" s="4" t="str">
        <v/>
      </c>
      <c r="F14897" s="102" t="str">
        <f ca="1">IFERROR(__xludf.DUMMYFUNCTION("IMPORTRANGE(H14897,""IDENTITAS UNIT!D9"")"),"#N/A")</f>
        <v>#N/A</v>
      </c>
      <c r="H14897" s="4" t="str">
        <v/>
      </c>
      <c r="I14897" s="4" t="str">
        <v/>
      </c>
    </row>
    <row r="14898" spans="5:9" ht="16.5" hidden="1">
      <c r="E14898" s="4" t="str">
        <v/>
      </c>
      <c r="F14898" s="102" t="str">
        <f ca="1">IFERROR(__xludf.DUMMYFUNCTION("IMPORTRANGE(H14898,""IDENTITAS UNIT!D9"")"),"#N/A")</f>
        <v>#N/A</v>
      </c>
      <c r="H14898" s="4" t="str">
        <v/>
      </c>
      <c r="I14898" s="4" t="str">
        <v/>
      </c>
    </row>
    <row r="14899" spans="5:9" ht="16.5" hidden="1">
      <c r="E14899" s="4" t="str">
        <v/>
      </c>
      <c r="F14899" s="102" t="str">
        <f ca="1">IFERROR(__xludf.DUMMYFUNCTION("IMPORTRANGE(H14899,""IDENTITAS UNIT!D9"")"),"#N/A")</f>
        <v>#N/A</v>
      </c>
      <c r="H14899" s="4" t="str">
        <v/>
      </c>
      <c r="I14899" s="4" t="str">
        <v/>
      </c>
    </row>
    <row r="14900" spans="5:9" ht="16.5" hidden="1">
      <c r="E14900" s="4" t="str">
        <v/>
      </c>
      <c r="F14900" s="102" t="str">
        <f ca="1">IFERROR(__xludf.DUMMYFUNCTION("IMPORTRANGE(H14900,""IDENTITAS UNIT!D9"")"),"#N/A")</f>
        <v>#N/A</v>
      </c>
      <c r="H14900" s="4" t="str">
        <v/>
      </c>
      <c r="I14900" s="4" t="str">
        <v/>
      </c>
    </row>
    <row r="14901" spans="5:9" ht="16.5" hidden="1">
      <c r="E14901" s="4" t="str">
        <v/>
      </c>
      <c r="F14901" s="102" t="str">
        <f ca="1">IFERROR(__xludf.DUMMYFUNCTION("IMPORTRANGE(H14901,""IDENTITAS UNIT!D9"")"),"#N/A")</f>
        <v>#N/A</v>
      </c>
      <c r="H14901" s="4" t="str">
        <v/>
      </c>
      <c r="I14901" s="4" t="str">
        <v/>
      </c>
    </row>
    <row r="14902" spans="5:9" ht="16.5" hidden="1">
      <c r="E14902" s="4" t="str">
        <v/>
      </c>
      <c r="F14902" s="102" t="str">
        <f ca="1">IFERROR(__xludf.DUMMYFUNCTION("IMPORTRANGE(H14902,""IDENTITAS UNIT!D9"")"),"#N/A")</f>
        <v>#N/A</v>
      </c>
      <c r="H14902" s="4" t="str">
        <v/>
      </c>
      <c r="I14902" s="4" t="str">
        <v/>
      </c>
    </row>
    <row r="14903" spans="5:9" ht="16.5" hidden="1">
      <c r="E14903" s="4" t="str">
        <v/>
      </c>
      <c r="F14903" s="102" t="str">
        <f ca="1">IFERROR(__xludf.DUMMYFUNCTION("IMPORTRANGE(H14903,""IDENTITAS UNIT!D9"")"),"#N/A")</f>
        <v>#N/A</v>
      </c>
      <c r="H14903" s="4" t="str">
        <v/>
      </c>
      <c r="I14903" s="4" t="str">
        <v/>
      </c>
    </row>
    <row r="14904" spans="5:9" ht="16.5" hidden="1">
      <c r="E14904" s="4" t="str">
        <v/>
      </c>
      <c r="F14904" s="102" t="str">
        <f ca="1">IFERROR(__xludf.DUMMYFUNCTION("IMPORTRANGE(H14904,""IDENTITAS UNIT!D9"")"),"#N/A")</f>
        <v>#N/A</v>
      </c>
      <c r="H14904" s="4" t="str">
        <v/>
      </c>
      <c r="I14904" s="4" t="str">
        <v/>
      </c>
    </row>
    <row r="14905" spans="5:9" ht="16.5" hidden="1">
      <c r="E14905" s="4" t="str">
        <v/>
      </c>
      <c r="F14905" s="102" t="str">
        <f ca="1">IFERROR(__xludf.DUMMYFUNCTION("IMPORTRANGE(H14905,""IDENTITAS UNIT!D9"")"),"#N/A")</f>
        <v>#N/A</v>
      </c>
      <c r="H14905" s="4" t="str">
        <v/>
      </c>
      <c r="I14905" s="4" t="str">
        <v/>
      </c>
    </row>
    <row r="14906" spans="5:9" ht="16.5" hidden="1">
      <c r="E14906" s="4" t="str">
        <v/>
      </c>
      <c r="F14906" s="102" t="str">
        <f ca="1">IFERROR(__xludf.DUMMYFUNCTION("IMPORTRANGE(H14906,""IDENTITAS UNIT!D9"")"),"#N/A")</f>
        <v>#N/A</v>
      </c>
      <c r="H14906" s="4" t="str">
        <v/>
      </c>
      <c r="I14906" s="4" t="str">
        <v/>
      </c>
    </row>
    <row r="14907" spans="5:9" ht="16.5" hidden="1">
      <c r="E14907" s="4" t="str">
        <v/>
      </c>
      <c r="F14907" s="102" t="str">
        <f ca="1">IFERROR(__xludf.DUMMYFUNCTION("IMPORTRANGE(H14907,""IDENTITAS UNIT!D9"")"),"#N/A")</f>
        <v>#N/A</v>
      </c>
      <c r="H14907" s="4" t="str">
        <v/>
      </c>
      <c r="I14907" s="4" t="str">
        <v/>
      </c>
    </row>
    <row r="14908" spans="5:9" ht="16.5" hidden="1">
      <c r="E14908" s="4" t="str">
        <v/>
      </c>
      <c r="F14908" s="102" t="str">
        <f ca="1">IFERROR(__xludf.DUMMYFUNCTION("IMPORTRANGE(H14908,""IDENTITAS UNIT!D9"")"),"#N/A")</f>
        <v>#N/A</v>
      </c>
      <c r="H14908" s="4" t="str">
        <v/>
      </c>
      <c r="I14908" s="4" t="str">
        <v/>
      </c>
    </row>
    <row r="14909" spans="5:9" ht="16.5" hidden="1">
      <c r="E14909" s="4" t="str">
        <v/>
      </c>
      <c r="F14909" s="102" t="str">
        <f ca="1">IFERROR(__xludf.DUMMYFUNCTION("IMPORTRANGE(H14909,""IDENTITAS UNIT!D9"")"),"#N/A")</f>
        <v>#N/A</v>
      </c>
      <c r="H14909" s="4" t="str">
        <v/>
      </c>
      <c r="I14909" s="4" t="str">
        <v/>
      </c>
    </row>
    <row r="14910" spans="5:9" ht="16.5" hidden="1">
      <c r="E14910" s="4" t="str">
        <v/>
      </c>
      <c r="F14910" s="102" t="str">
        <f ca="1">IFERROR(__xludf.DUMMYFUNCTION("IMPORTRANGE(H14910,""IDENTITAS UNIT!D9"")"),"#N/A")</f>
        <v>#N/A</v>
      </c>
      <c r="H14910" s="4" t="str">
        <v/>
      </c>
      <c r="I14910" s="4" t="str">
        <v/>
      </c>
    </row>
    <row r="14911" spans="5:9" ht="16.5" hidden="1">
      <c r="E14911" s="4" t="str">
        <v/>
      </c>
      <c r="F14911" s="102" t="str">
        <f ca="1">IFERROR(__xludf.DUMMYFUNCTION("IMPORTRANGE(H14911,""IDENTITAS UNIT!D9"")"),"#N/A")</f>
        <v>#N/A</v>
      </c>
      <c r="H14911" s="4" t="str">
        <v/>
      </c>
      <c r="I14911" s="4" t="str">
        <v/>
      </c>
    </row>
    <row r="14912" spans="5:9" ht="16.5" hidden="1">
      <c r="E14912" s="4" t="str">
        <v/>
      </c>
      <c r="F14912" s="102" t="str">
        <f ca="1">IFERROR(__xludf.DUMMYFUNCTION("IMPORTRANGE(H14912,""IDENTITAS UNIT!D9"")"),"#N/A")</f>
        <v>#N/A</v>
      </c>
      <c r="H14912" s="4" t="str">
        <v/>
      </c>
      <c r="I14912" s="4" t="str">
        <v/>
      </c>
    </row>
    <row r="14913" spans="5:9" ht="16.5" hidden="1">
      <c r="E14913" s="4" t="str">
        <v/>
      </c>
      <c r="F14913" s="102" t="str">
        <f ca="1">IFERROR(__xludf.DUMMYFUNCTION("IMPORTRANGE(H14913,""IDENTITAS UNIT!D9"")"),"#N/A")</f>
        <v>#N/A</v>
      </c>
      <c r="H14913" s="4" t="str">
        <v/>
      </c>
      <c r="I14913" s="4" t="str">
        <v/>
      </c>
    </row>
    <row r="14914" spans="5:9" ht="16.5" hidden="1">
      <c r="E14914" s="4" t="str">
        <v/>
      </c>
      <c r="F14914" s="102" t="str">
        <f ca="1">IFERROR(__xludf.DUMMYFUNCTION("IMPORTRANGE(H14914,""IDENTITAS UNIT!D9"")"),"#N/A")</f>
        <v>#N/A</v>
      </c>
      <c r="H14914" s="4" t="str">
        <v/>
      </c>
      <c r="I14914" s="4" t="str">
        <v/>
      </c>
    </row>
    <row r="14915" spans="5:9" ht="16.5" hidden="1">
      <c r="E14915" s="4" t="str">
        <v/>
      </c>
      <c r="F14915" s="102" t="str">
        <f ca="1">IFERROR(__xludf.DUMMYFUNCTION("IMPORTRANGE(H14915,""IDENTITAS UNIT!D9"")"),"#N/A")</f>
        <v>#N/A</v>
      </c>
      <c r="H14915" s="4" t="str">
        <v/>
      </c>
      <c r="I14915" s="4" t="str">
        <v/>
      </c>
    </row>
    <row r="14916" spans="5:9" ht="16.5" hidden="1">
      <c r="E14916" s="4" t="str">
        <v/>
      </c>
      <c r="F14916" s="102" t="str">
        <f ca="1">IFERROR(__xludf.DUMMYFUNCTION("IMPORTRANGE(H14916,""IDENTITAS UNIT!D9"")"),"#N/A")</f>
        <v>#N/A</v>
      </c>
      <c r="H14916" s="4" t="str">
        <v/>
      </c>
      <c r="I14916" s="4" t="str">
        <v/>
      </c>
    </row>
    <row r="14917" spans="5:9" ht="16.5" hidden="1">
      <c r="E14917" s="4" t="str">
        <v/>
      </c>
      <c r="F14917" s="102" t="str">
        <f ca="1">IFERROR(__xludf.DUMMYFUNCTION("IMPORTRANGE(H14917,""IDENTITAS UNIT!D9"")"),"#N/A")</f>
        <v>#N/A</v>
      </c>
      <c r="H14917" s="4" t="str">
        <v/>
      </c>
      <c r="I14917" s="4" t="str">
        <v/>
      </c>
    </row>
    <row r="14918" spans="5:9" ht="16.5" hidden="1">
      <c r="E14918" s="4" t="str">
        <v/>
      </c>
      <c r="F14918" s="102" t="str">
        <f ca="1">IFERROR(__xludf.DUMMYFUNCTION("IMPORTRANGE(H14918,""IDENTITAS UNIT!D9"")"),"#N/A")</f>
        <v>#N/A</v>
      </c>
      <c r="H14918" s="4" t="str">
        <v/>
      </c>
      <c r="I14918" s="4" t="str">
        <v/>
      </c>
    </row>
    <row r="14919" spans="5:9" ht="16.5" hidden="1">
      <c r="E14919" s="4" t="str">
        <v/>
      </c>
      <c r="F14919" s="102" t="str">
        <f ca="1">IFERROR(__xludf.DUMMYFUNCTION("IMPORTRANGE(H14919,""IDENTITAS UNIT!D9"")"),"#N/A")</f>
        <v>#N/A</v>
      </c>
      <c r="H14919" s="4" t="str">
        <v/>
      </c>
      <c r="I14919" s="4" t="str">
        <v/>
      </c>
    </row>
    <row r="14920" spans="5:9" ht="16.5" hidden="1">
      <c r="E14920" s="4" t="str">
        <v/>
      </c>
      <c r="F14920" s="102" t="str">
        <f ca="1">IFERROR(__xludf.DUMMYFUNCTION("IMPORTRANGE(H14920,""IDENTITAS UNIT!D9"")"),"#N/A")</f>
        <v>#N/A</v>
      </c>
      <c r="H14920" s="4" t="str">
        <v/>
      </c>
      <c r="I14920" s="4" t="str">
        <v/>
      </c>
    </row>
    <row r="14921" spans="5:9" ht="16.5" hidden="1">
      <c r="E14921" s="4" t="str">
        <v/>
      </c>
      <c r="F14921" s="102" t="str">
        <f ca="1">IFERROR(__xludf.DUMMYFUNCTION("IMPORTRANGE(H14921,""IDENTITAS UNIT!D9"")"),"#N/A")</f>
        <v>#N/A</v>
      </c>
      <c r="H14921" s="4" t="str">
        <v/>
      </c>
      <c r="I14921" s="4" t="str">
        <v/>
      </c>
    </row>
    <row r="14922" spans="5:9" ht="16.5" hidden="1">
      <c r="E14922" s="4" t="str">
        <v/>
      </c>
      <c r="F14922" s="102" t="str">
        <f ca="1">IFERROR(__xludf.DUMMYFUNCTION("IMPORTRANGE(H14922,""IDENTITAS UNIT!D9"")"),"#N/A")</f>
        <v>#N/A</v>
      </c>
      <c r="H14922" s="4" t="str">
        <v/>
      </c>
      <c r="I14922" s="4" t="str">
        <v/>
      </c>
    </row>
    <row r="14923" spans="5:9" ht="16.5" hidden="1">
      <c r="E14923" s="4" t="str">
        <v/>
      </c>
      <c r="F14923" s="102" t="str">
        <f ca="1">IFERROR(__xludf.DUMMYFUNCTION("IMPORTRANGE(H14923,""IDENTITAS UNIT!D9"")"),"#N/A")</f>
        <v>#N/A</v>
      </c>
      <c r="H14923" s="4" t="str">
        <v/>
      </c>
      <c r="I14923" s="4" t="str">
        <v/>
      </c>
    </row>
    <row r="14924" spans="5:9" ht="16.5" hidden="1">
      <c r="E14924" s="4" t="str">
        <v/>
      </c>
      <c r="F14924" s="102" t="str">
        <f ca="1">IFERROR(__xludf.DUMMYFUNCTION("IMPORTRANGE(H14924,""IDENTITAS UNIT!D9"")"),"#N/A")</f>
        <v>#N/A</v>
      </c>
      <c r="H14924" s="4" t="str">
        <v/>
      </c>
      <c r="I14924" s="4" t="str">
        <v/>
      </c>
    </row>
    <row r="14925" spans="5:9" ht="16.5" hidden="1">
      <c r="E14925" s="4" t="str">
        <v/>
      </c>
      <c r="F14925" s="102" t="str">
        <f ca="1">IFERROR(__xludf.DUMMYFUNCTION("IMPORTRANGE(H14925,""IDENTITAS UNIT!D9"")"),"#N/A")</f>
        <v>#N/A</v>
      </c>
      <c r="H14925" s="4" t="str">
        <v/>
      </c>
      <c r="I14925" s="4" t="str">
        <v/>
      </c>
    </row>
    <row r="14926" spans="5:9" ht="16.5" hidden="1">
      <c r="E14926" s="4" t="str">
        <v/>
      </c>
      <c r="F14926" s="102" t="str">
        <f ca="1">IFERROR(__xludf.DUMMYFUNCTION("IMPORTRANGE(H14926,""IDENTITAS UNIT!D9"")"),"#N/A")</f>
        <v>#N/A</v>
      </c>
      <c r="H14926" s="4" t="str">
        <v/>
      </c>
      <c r="I14926" s="4" t="str">
        <v/>
      </c>
    </row>
    <row r="14927" spans="5:9" ht="16.5" hidden="1">
      <c r="E14927" s="4" t="str">
        <v/>
      </c>
      <c r="F14927" s="102" t="str">
        <f ca="1">IFERROR(__xludf.DUMMYFUNCTION("IMPORTRANGE(H14927,""IDENTITAS UNIT!D9"")"),"#N/A")</f>
        <v>#N/A</v>
      </c>
      <c r="H14927" s="4" t="str">
        <v/>
      </c>
      <c r="I14927" s="4" t="str">
        <v/>
      </c>
    </row>
    <row r="14928" spans="5:9" ht="16.5" hidden="1">
      <c r="E14928" s="4" t="str">
        <v/>
      </c>
      <c r="F14928" s="102" t="str">
        <f ca="1">IFERROR(__xludf.DUMMYFUNCTION("IMPORTRANGE(H14928,""IDENTITAS UNIT!D9"")"),"#N/A")</f>
        <v>#N/A</v>
      </c>
      <c r="H14928" s="4" t="str">
        <v/>
      </c>
      <c r="I14928" s="4" t="str">
        <v/>
      </c>
    </row>
    <row r="14929" spans="5:9" ht="16.5" hidden="1">
      <c r="E14929" s="4" t="str">
        <v/>
      </c>
      <c r="F14929" s="102" t="str">
        <f ca="1">IFERROR(__xludf.DUMMYFUNCTION("IMPORTRANGE(H14929,""IDENTITAS UNIT!D9"")"),"#N/A")</f>
        <v>#N/A</v>
      </c>
      <c r="H14929" s="4" t="str">
        <v/>
      </c>
      <c r="I14929" s="4" t="str">
        <v/>
      </c>
    </row>
    <row r="14930" spans="5:9" ht="16.5" hidden="1">
      <c r="E14930" s="4" t="str">
        <v/>
      </c>
      <c r="F14930" s="102" t="str">
        <f ca="1">IFERROR(__xludf.DUMMYFUNCTION("IMPORTRANGE(H14930,""IDENTITAS UNIT!D9"")"),"#N/A")</f>
        <v>#N/A</v>
      </c>
      <c r="H14930" s="4" t="str">
        <v/>
      </c>
      <c r="I14930" s="4" t="str">
        <v/>
      </c>
    </row>
    <row r="14931" spans="5:9" ht="16.5" hidden="1">
      <c r="E14931" s="4" t="str">
        <v/>
      </c>
      <c r="F14931" s="102" t="str">
        <f ca="1">IFERROR(__xludf.DUMMYFUNCTION("IMPORTRANGE(H14931,""IDENTITAS UNIT!D9"")"),"#N/A")</f>
        <v>#N/A</v>
      </c>
      <c r="H14931" s="4" t="str">
        <v/>
      </c>
      <c r="I14931" s="4" t="str">
        <v/>
      </c>
    </row>
    <row r="14932" spans="5:9" ht="16.5" hidden="1">
      <c r="E14932" s="4" t="str">
        <v/>
      </c>
      <c r="F14932" s="102" t="str">
        <f ca="1">IFERROR(__xludf.DUMMYFUNCTION("IMPORTRANGE(H14932,""IDENTITAS UNIT!D9"")"),"#N/A")</f>
        <v>#N/A</v>
      </c>
      <c r="H14932" s="4" t="str">
        <v/>
      </c>
      <c r="I14932" s="4" t="str">
        <v/>
      </c>
    </row>
    <row r="14933" spans="5:9" ht="16.5" hidden="1">
      <c r="E14933" s="4" t="str">
        <v/>
      </c>
      <c r="F14933" s="102" t="str">
        <f ca="1">IFERROR(__xludf.DUMMYFUNCTION("IMPORTRANGE(H14933,""IDENTITAS UNIT!D9"")"),"#N/A")</f>
        <v>#N/A</v>
      </c>
      <c r="H14933" s="4" t="str">
        <v/>
      </c>
      <c r="I14933" s="4" t="str">
        <v/>
      </c>
    </row>
    <row r="14934" spans="5:9" ht="16.5" hidden="1">
      <c r="E14934" s="4" t="str">
        <v/>
      </c>
      <c r="F14934" s="102" t="str">
        <f ca="1">IFERROR(__xludf.DUMMYFUNCTION("IMPORTRANGE(H14934,""IDENTITAS UNIT!D9"")"),"#N/A")</f>
        <v>#N/A</v>
      </c>
      <c r="H14934" s="4" t="str">
        <v/>
      </c>
      <c r="I14934" s="4" t="str">
        <v/>
      </c>
    </row>
    <row r="14935" spans="5:9" ht="16.5" hidden="1">
      <c r="E14935" s="4" t="str">
        <v/>
      </c>
      <c r="F14935" s="102" t="str">
        <f ca="1">IFERROR(__xludf.DUMMYFUNCTION("IMPORTRANGE(H14935,""IDENTITAS UNIT!D9"")"),"#N/A")</f>
        <v>#N/A</v>
      </c>
      <c r="H14935" s="4" t="str">
        <v/>
      </c>
      <c r="I14935" s="4" t="str">
        <v/>
      </c>
    </row>
    <row r="14936" spans="5:9" ht="16.5" hidden="1">
      <c r="E14936" s="4" t="str">
        <v/>
      </c>
      <c r="F14936" s="102" t="str">
        <f ca="1">IFERROR(__xludf.DUMMYFUNCTION("IMPORTRANGE(H14936,""IDENTITAS UNIT!D9"")"),"#N/A")</f>
        <v>#N/A</v>
      </c>
      <c r="H14936" s="4" t="str">
        <v/>
      </c>
      <c r="I14936" s="4" t="str">
        <v/>
      </c>
    </row>
    <row r="14937" spans="5:9" ht="16.5" hidden="1">
      <c r="E14937" s="4" t="str">
        <v/>
      </c>
      <c r="F14937" s="102" t="str">
        <f ca="1">IFERROR(__xludf.DUMMYFUNCTION("IMPORTRANGE(H14937,""IDENTITAS UNIT!D9"")"),"#N/A")</f>
        <v>#N/A</v>
      </c>
      <c r="H14937" s="4" t="str">
        <v/>
      </c>
      <c r="I14937" s="4" t="str">
        <v/>
      </c>
    </row>
    <row r="14938" spans="5:9" ht="16.5" hidden="1">
      <c r="E14938" s="4" t="str">
        <v/>
      </c>
      <c r="F14938" s="102" t="str">
        <f ca="1">IFERROR(__xludf.DUMMYFUNCTION("IMPORTRANGE(H14938,""IDENTITAS UNIT!D9"")"),"#N/A")</f>
        <v>#N/A</v>
      </c>
      <c r="H14938" s="4" t="str">
        <v/>
      </c>
      <c r="I14938" s="4" t="str">
        <v/>
      </c>
    </row>
    <row r="14939" spans="5:9" ht="16.5" hidden="1">
      <c r="E14939" s="4" t="str">
        <v/>
      </c>
      <c r="F14939" s="102" t="str">
        <f ca="1">IFERROR(__xludf.DUMMYFUNCTION("IMPORTRANGE(H14939,""IDENTITAS UNIT!D9"")"),"#N/A")</f>
        <v>#N/A</v>
      </c>
      <c r="H14939" s="4" t="str">
        <v/>
      </c>
      <c r="I14939" s="4" t="str">
        <v/>
      </c>
    </row>
    <row r="14940" spans="5:9" ht="16.5" hidden="1">
      <c r="E14940" s="4" t="str">
        <v/>
      </c>
      <c r="F14940" s="102" t="str">
        <f ca="1">IFERROR(__xludf.DUMMYFUNCTION("IMPORTRANGE(H14940,""IDENTITAS UNIT!D9"")"),"#N/A")</f>
        <v>#N/A</v>
      </c>
      <c r="H14940" s="4" t="str">
        <v/>
      </c>
      <c r="I14940" s="4" t="str">
        <v/>
      </c>
    </row>
    <row r="14941" spans="5:9" ht="16.5" hidden="1">
      <c r="E14941" s="4" t="str">
        <v/>
      </c>
      <c r="F14941" s="102" t="str">
        <f ca="1">IFERROR(__xludf.DUMMYFUNCTION("IMPORTRANGE(H14941,""IDENTITAS UNIT!D9"")"),"#N/A")</f>
        <v>#N/A</v>
      </c>
      <c r="H14941" s="4" t="str">
        <v/>
      </c>
      <c r="I14941" s="4" t="str">
        <v/>
      </c>
    </row>
    <row r="14942" spans="5:9" ht="16.5" hidden="1">
      <c r="E14942" s="4" t="str">
        <v/>
      </c>
      <c r="F14942" s="102" t="str">
        <f ca="1">IFERROR(__xludf.DUMMYFUNCTION("IMPORTRANGE(H14942,""IDENTITAS UNIT!D9"")"),"#N/A")</f>
        <v>#N/A</v>
      </c>
      <c r="H14942" s="4" t="str">
        <v/>
      </c>
      <c r="I14942" s="4" t="str">
        <v/>
      </c>
    </row>
    <row r="14943" spans="5:9" ht="16.5" hidden="1">
      <c r="E14943" s="4" t="str">
        <v/>
      </c>
      <c r="F14943" s="102" t="str">
        <f ca="1">IFERROR(__xludf.DUMMYFUNCTION("IMPORTRANGE(H14943,""IDENTITAS UNIT!D9"")"),"#N/A")</f>
        <v>#N/A</v>
      </c>
      <c r="H14943" s="4" t="str">
        <v/>
      </c>
      <c r="I14943" s="4" t="str">
        <v/>
      </c>
    </row>
    <row r="14944" spans="5:9" ht="16.5" hidden="1">
      <c r="E14944" s="4" t="str">
        <v/>
      </c>
      <c r="F14944" s="102" t="str">
        <f ca="1">IFERROR(__xludf.DUMMYFUNCTION("IMPORTRANGE(H14944,""IDENTITAS UNIT!D9"")"),"#N/A")</f>
        <v>#N/A</v>
      </c>
      <c r="H14944" s="4" t="str">
        <v/>
      </c>
      <c r="I14944" s="4" t="str">
        <v/>
      </c>
    </row>
    <row r="14945" spans="5:9" ht="16.5" hidden="1">
      <c r="E14945" s="4" t="str">
        <v/>
      </c>
      <c r="F14945" s="102" t="str">
        <f ca="1">IFERROR(__xludf.DUMMYFUNCTION("IMPORTRANGE(H14945,""IDENTITAS UNIT!D9"")"),"#N/A")</f>
        <v>#N/A</v>
      </c>
      <c r="H14945" s="4" t="str">
        <v/>
      </c>
      <c r="I14945" s="4" t="str">
        <v/>
      </c>
    </row>
    <row r="14946" spans="5:9" ht="16.5" hidden="1">
      <c r="E14946" s="4" t="str">
        <v/>
      </c>
      <c r="F14946" s="102" t="str">
        <f ca="1">IFERROR(__xludf.DUMMYFUNCTION("IMPORTRANGE(H14946,""IDENTITAS UNIT!D9"")"),"#N/A")</f>
        <v>#N/A</v>
      </c>
      <c r="H14946" s="4" t="str">
        <v/>
      </c>
      <c r="I14946" s="4" t="str">
        <v/>
      </c>
    </row>
    <row r="14947" spans="5:9" ht="16.5" hidden="1">
      <c r="E14947" s="4" t="str">
        <v/>
      </c>
      <c r="F14947" s="102" t="str">
        <f ca="1">IFERROR(__xludf.DUMMYFUNCTION("IMPORTRANGE(H14947,""IDENTITAS UNIT!D9"")"),"#N/A")</f>
        <v>#N/A</v>
      </c>
      <c r="H14947" s="4" t="str">
        <v/>
      </c>
      <c r="I14947" s="4" t="str">
        <v/>
      </c>
    </row>
    <row r="14948" spans="5:9" ht="16.5" hidden="1">
      <c r="E14948" s="4" t="str">
        <v/>
      </c>
      <c r="F14948" s="102" t="str">
        <f ca="1">IFERROR(__xludf.DUMMYFUNCTION("IMPORTRANGE(H14948,""IDENTITAS UNIT!D9"")"),"#N/A")</f>
        <v>#N/A</v>
      </c>
      <c r="H14948" s="4" t="str">
        <v/>
      </c>
      <c r="I14948" s="4" t="str">
        <v/>
      </c>
    </row>
    <row r="14949" spans="5:9" ht="16.5" hidden="1">
      <c r="E14949" s="4" t="str">
        <v/>
      </c>
      <c r="F14949" s="102" t="str">
        <f ca="1">IFERROR(__xludf.DUMMYFUNCTION("IMPORTRANGE(H14949,""IDENTITAS UNIT!D9"")"),"#N/A")</f>
        <v>#N/A</v>
      </c>
      <c r="H14949" s="4" t="str">
        <v/>
      </c>
      <c r="I14949" s="4" t="str">
        <v/>
      </c>
    </row>
    <row r="14950" spans="5:9" ht="16.5" hidden="1">
      <c r="E14950" s="4" t="str">
        <v/>
      </c>
      <c r="F14950" s="102" t="str">
        <f ca="1">IFERROR(__xludf.DUMMYFUNCTION("IMPORTRANGE(H14950,""IDENTITAS UNIT!D9"")"),"#N/A")</f>
        <v>#N/A</v>
      </c>
      <c r="H14950" s="4" t="str">
        <v/>
      </c>
      <c r="I14950" s="4" t="str">
        <v/>
      </c>
    </row>
    <row r="14951" spans="5:9" ht="16.5" hidden="1">
      <c r="E14951" s="4" t="str">
        <v/>
      </c>
      <c r="F14951" s="102" t="str">
        <f ca="1">IFERROR(__xludf.DUMMYFUNCTION("IMPORTRANGE(H14951,""IDENTITAS UNIT!D9"")"),"#N/A")</f>
        <v>#N/A</v>
      </c>
      <c r="H14951" s="4" t="str">
        <v/>
      </c>
      <c r="I14951" s="4" t="str">
        <v/>
      </c>
    </row>
    <row r="14952" spans="5:9" ht="16.5" hidden="1">
      <c r="E14952" s="4" t="str">
        <v/>
      </c>
      <c r="F14952" s="102" t="str">
        <f ca="1">IFERROR(__xludf.DUMMYFUNCTION("IMPORTRANGE(H14952,""IDENTITAS UNIT!D9"")"),"#N/A")</f>
        <v>#N/A</v>
      </c>
      <c r="H14952" s="4" t="str">
        <v/>
      </c>
      <c r="I14952" s="4" t="str">
        <v/>
      </c>
    </row>
    <row r="14953" spans="5:9" ht="16.5" hidden="1">
      <c r="E14953" s="4" t="str">
        <v/>
      </c>
      <c r="F14953" s="102" t="str">
        <f ca="1">IFERROR(__xludf.DUMMYFUNCTION("IMPORTRANGE(H14953,""IDENTITAS UNIT!D9"")"),"#N/A")</f>
        <v>#N/A</v>
      </c>
      <c r="H14953" s="4" t="str">
        <v/>
      </c>
      <c r="I14953" s="4" t="str">
        <v/>
      </c>
    </row>
    <row r="14954" spans="5:9" ht="16.5" hidden="1">
      <c r="E14954" s="4" t="str">
        <v/>
      </c>
      <c r="F14954" s="102" t="str">
        <f ca="1">IFERROR(__xludf.DUMMYFUNCTION("IMPORTRANGE(H14954,""IDENTITAS UNIT!D9"")"),"#N/A")</f>
        <v>#N/A</v>
      </c>
      <c r="H14954" s="4" t="str">
        <v/>
      </c>
      <c r="I14954" s="4" t="str">
        <v/>
      </c>
    </row>
    <row r="14955" spans="5:9" ht="16.5" hidden="1">
      <c r="E14955" s="4" t="str">
        <v/>
      </c>
      <c r="F14955" s="102" t="str">
        <f ca="1">IFERROR(__xludf.DUMMYFUNCTION("IMPORTRANGE(H14955,""IDENTITAS UNIT!D9"")"),"#N/A")</f>
        <v>#N/A</v>
      </c>
      <c r="H14955" s="4" t="str">
        <v/>
      </c>
      <c r="I14955" s="4" t="str">
        <v/>
      </c>
    </row>
    <row r="14956" spans="5:9" ht="16.5" hidden="1">
      <c r="E14956" s="4" t="str">
        <v/>
      </c>
      <c r="F14956" s="102" t="str">
        <f ca="1">IFERROR(__xludf.DUMMYFUNCTION("IMPORTRANGE(H14956,""IDENTITAS UNIT!D9"")"),"#N/A")</f>
        <v>#N/A</v>
      </c>
      <c r="H14956" s="4" t="str">
        <v/>
      </c>
      <c r="I14956" s="4" t="str">
        <v/>
      </c>
    </row>
    <row r="14957" spans="5:9" ht="16.5" hidden="1">
      <c r="E14957" s="4" t="str">
        <v/>
      </c>
      <c r="F14957" s="102" t="str">
        <f ca="1">IFERROR(__xludf.DUMMYFUNCTION("IMPORTRANGE(H14957,""IDENTITAS UNIT!D9"")"),"#N/A")</f>
        <v>#N/A</v>
      </c>
      <c r="H14957" s="4" t="str">
        <v/>
      </c>
      <c r="I14957" s="4" t="str">
        <v/>
      </c>
    </row>
    <row r="14958" spans="5:9" ht="16.5" hidden="1">
      <c r="E14958" s="4" t="str">
        <v/>
      </c>
      <c r="F14958" s="102" t="str">
        <f ca="1">IFERROR(__xludf.DUMMYFUNCTION("IMPORTRANGE(H14958,""IDENTITAS UNIT!D9"")"),"#N/A")</f>
        <v>#N/A</v>
      </c>
      <c r="H14958" s="4" t="str">
        <v/>
      </c>
      <c r="I14958" s="4" t="str">
        <v/>
      </c>
    </row>
    <row r="14959" spans="5:9" ht="16.5" hidden="1">
      <c r="E14959" s="4" t="str">
        <v/>
      </c>
      <c r="F14959" s="102" t="str">
        <f ca="1">IFERROR(__xludf.DUMMYFUNCTION("IMPORTRANGE(H14959,""IDENTITAS UNIT!D9"")"),"#N/A")</f>
        <v>#N/A</v>
      </c>
      <c r="H14959" s="4" t="str">
        <v/>
      </c>
      <c r="I14959" s="4" t="str">
        <v/>
      </c>
    </row>
    <row r="14960" spans="5:9" ht="16.5" hidden="1">
      <c r="E14960" s="4" t="str">
        <v/>
      </c>
      <c r="F14960" s="102" t="str">
        <f ca="1">IFERROR(__xludf.DUMMYFUNCTION("IMPORTRANGE(H14960,""IDENTITAS UNIT!D9"")"),"#N/A")</f>
        <v>#N/A</v>
      </c>
      <c r="H14960" s="4" t="str">
        <v/>
      </c>
      <c r="I14960" s="4" t="str">
        <v/>
      </c>
    </row>
    <row r="14961" spans="5:9" ht="16.5" hidden="1">
      <c r="E14961" s="4" t="str">
        <v/>
      </c>
      <c r="F14961" s="102" t="str">
        <f ca="1">IFERROR(__xludf.DUMMYFUNCTION("IMPORTRANGE(H14961,""IDENTITAS UNIT!D9"")"),"#N/A")</f>
        <v>#N/A</v>
      </c>
      <c r="H14961" s="4" t="str">
        <v/>
      </c>
      <c r="I14961" s="4" t="str">
        <v/>
      </c>
    </row>
    <row r="14962" spans="5:9" ht="16.5" hidden="1">
      <c r="E14962" s="4" t="str">
        <v/>
      </c>
      <c r="F14962" s="102" t="str">
        <f ca="1">IFERROR(__xludf.DUMMYFUNCTION("IMPORTRANGE(H14962,""IDENTITAS UNIT!D9"")"),"#N/A")</f>
        <v>#N/A</v>
      </c>
      <c r="H14962" s="4" t="str">
        <v/>
      </c>
      <c r="I14962" s="4" t="str">
        <v/>
      </c>
    </row>
    <row r="14963" spans="5:9" ht="16.5" hidden="1">
      <c r="E14963" s="4" t="str">
        <v/>
      </c>
      <c r="F14963" s="102" t="str">
        <f ca="1">IFERROR(__xludf.DUMMYFUNCTION("IMPORTRANGE(H14963,""IDENTITAS UNIT!D9"")"),"#N/A")</f>
        <v>#N/A</v>
      </c>
      <c r="H14963" s="4" t="str">
        <v/>
      </c>
      <c r="I14963" s="4" t="str">
        <v/>
      </c>
    </row>
    <row r="14964" spans="5:9" ht="16.5" hidden="1">
      <c r="E14964" s="4" t="str">
        <v/>
      </c>
      <c r="F14964" s="102" t="str">
        <f ca="1">IFERROR(__xludf.DUMMYFUNCTION("IMPORTRANGE(H14964,""IDENTITAS UNIT!D9"")"),"#N/A")</f>
        <v>#N/A</v>
      </c>
      <c r="H14964" s="4" t="str">
        <v/>
      </c>
      <c r="I14964" s="4" t="str">
        <v/>
      </c>
    </row>
    <row r="14965" spans="5:9" ht="16.5" hidden="1">
      <c r="E14965" s="4" t="str">
        <v/>
      </c>
      <c r="F14965" s="102" t="str">
        <f ca="1">IFERROR(__xludf.DUMMYFUNCTION("IMPORTRANGE(H14965,""IDENTITAS UNIT!D9"")"),"#N/A")</f>
        <v>#N/A</v>
      </c>
      <c r="H14965" s="4" t="str">
        <v/>
      </c>
      <c r="I14965" s="4" t="str">
        <v/>
      </c>
    </row>
    <row r="14966" spans="5:9" ht="16.5" hidden="1">
      <c r="E14966" s="4" t="str">
        <v/>
      </c>
      <c r="F14966" s="102" t="str">
        <f ca="1">IFERROR(__xludf.DUMMYFUNCTION("IMPORTRANGE(H14966,""IDENTITAS UNIT!D9"")"),"#N/A")</f>
        <v>#N/A</v>
      </c>
      <c r="H14966" s="4" t="str">
        <v/>
      </c>
      <c r="I14966" s="4" t="str">
        <v/>
      </c>
    </row>
    <row r="14967" spans="5:9" ht="16.5" hidden="1">
      <c r="E14967" s="4" t="str">
        <v/>
      </c>
      <c r="F14967" s="102" t="str">
        <f ca="1">IFERROR(__xludf.DUMMYFUNCTION("IMPORTRANGE(H14967,""IDENTITAS UNIT!D9"")"),"#N/A")</f>
        <v>#N/A</v>
      </c>
      <c r="H14967" s="4" t="str">
        <v/>
      </c>
      <c r="I14967" s="4" t="str">
        <v/>
      </c>
    </row>
    <row r="14968" spans="5:9" ht="16.5" hidden="1">
      <c r="E14968" s="4" t="str">
        <v/>
      </c>
      <c r="F14968" s="102" t="str">
        <f ca="1">IFERROR(__xludf.DUMMYFUNCTION("IMPORTRANGE(H14968,""IDENTITAS UNIT!D9"")"),"#N/A")</f>
        <v>#N/A</v>
      </c>
      <c r="H14968" s="4" t="str">
        <v/>
      </c>
      <c r="I14968" s="4" t="str">
        <v/>
      </c>
    </row>
    <row r="14969" spans="5:9" ht="16.5" hidden="1">
      <c r="E14969" s="4" t="str">
        <v/>
      </c>
      <c r="F14969" s="102" t="str">
        <f ca="1">IFERROR(__xludf.DUMMYFUNCTION("IMPORTRANGE(H14969,""IDENTITAS UNIT!D9"")"),"#N/A")</f>
        <v>#N/A</v>
      </c>
      <c r="H14969" s="4" t="str">
        <v/>
      </c>
      <c r="I14969" s="4" t="str">
        <v/>
      </c>
    </row>
    <row r="14970" spans="5:9" ht="16.5" hidden="1">
      <c r="E14970" s="4" t="str">
        <v/>
      </c>
      <c r="F14970" s="102" t="str">
        <f ca="1">IFERROR(__xludf.DUMMYFUNCTION("IMPORTRANGE(H14970,""IDENTITAS UNIT!D9"")"),"#N/A")</f>
        <v>#N/A</v>
      </c>
      <c r="H14970" s="4" t="str">
        <v/>
      </c>
      <c r="I14970" s="4" t="str">
        <v/>
      </c>
    </row>
    <row r="14971" spans="5:9" ht="16.5" hidden="1">
      <c r="E14971" s="4" t="str">
        <v/>
      </c>
      <c r="F14971" s="102" t="str">
        <f ca="1">IFERROR(__xludf.DUMMYFUNCTION("IMPORTRANGE(H14971,""IDENTITAS UNIT!D9"")"),"#N/A")</f>
        <v>#N/A</v>
      </c>
      <c r="H14971" s="4" t="str">
        <v/>
      </c>
      <c r="I14971" s="4" t="str">
        <v/>
      </c>
    </row>
    <row r="14972" spans="5:9" ht="16.5" hidden="1">
      <c r="E14972" s="4" t="str">
        <v/>
      </c>
      <c r="F14972" s="102" t="str">
        <f ca="1">IFERROR(__xludf.DUMMYFUNCTION("IMPORTRANGE(H14972,""IDENTITAS UNIT!D9"")"),"#N/A")</f>
        <v>#N/A</v>
      </c>
      <c r="H14972" s="4" t="str">
        <v/>
      </c>
      <c r="I14972" s="4" t="str">
        <v/>
      </c>
    </row>
    <row r="14973" spans="5:9" ht="16.5" hidden="1">
      <c r="E14973" s="4" t="str">
        <v/>
      </c>
      <c r="F14973" s="102" t="str">
        <f ca="1">IFERROR(__xludf.DUMMYFUNCTION("IMPORTRANGE(H14973,""IDENTITAS UNIT!D9"")"),"#N/A")</f>
        <v>#N/A</v>
      </c>
      <c r="H14973" s="4" t="str">
        <v/>
      </c>
      <c r="I14973" s="4" t="str">
        <v/>
      </c>
    </row>
    <row r="14974" spans="5:9" ht="16.5" hidden="1">
      <c r="E14974" s="4" t="str">
        <v/>
      </c>
      <c r="F14974" s="102" t="str">
        <f ca="1">IFERROR(__xludf.DUMMYFUNCTION("IMPORTRANGE(H14974,""IDENTITAS UNIT!D9"")"),"#N/A")</f>
        <v>#N/A</v>
      </c>
      <c r="H14974" s="4" t="str">
        <v/>
      </c>
      <c r="I14974" s="4" t="str">
        <v/>
      </c>
    </row>
    <row r="14975" spans="5:9" ht="16.5" hidden="1">
      <c r="E14975" s="4" t="str">
        <v/>
      </c>
      <c r="F14975" s="102" t="str">
        <f ca="1">IFERROR(__xludf.DUMMYFUNCTION("IMPORTRANGE(H14975,""IDENTITAS UNIT!D9"")"),"#N/A")</f>
        <v>#N/A</v>
      </c>
      <c r="H14975" s="4" t="str">
        <v/>
      </c>
      <c r="I14975" s="4" t="str">
        <v/>
      </c>
    </row>
    <row r="14976" spans="5:9" ht="16.5" hidden="1">
      <c r="E14976" s="4" t="str">
        <v/>
      </c>
      <c r="F14976" s="102" t="str">
        <f ca="1">IFERROR(__xludf.DUMMYFUNCTION("IMPORTRANGE(H14976,""IDENTITAS UNIT!D9"")"),"#N/A")</f>
        <v>#N/A</v>
      </c>
      <c r="H14976" s="4" t="str">
        <v/>
      </c>
      <c r="I14976" s="4" t="str">
        <v/>
      </c>
    </row>
    <row r="14977" spans="5:9" ht="16.5" hidden="1">
      <c r="E14977" s="4" t="str">
        <v/>
      </c>
      <c r="F14977" s="102" t="str">
        <f ca="1">IFERROR(__xludf.DUMMYFUNCTION("IMPORTRANGE(H14977,""IDENTITAS UNIT!D9"")"),"#N/A")</f>
        <v>#N/A</v>
      </c>
      <c r="H14977" s="4" t="str">
        <v/>
      </c>
      <c r="I14977" s="4" t="str">
        <v/>
      </c>
    </row>
    <row r="14978" spans="5:9" ht="16.5" hidden="1">
      <c r="E14978" s="4" t="str">
        <v/>
      </c>
      <c r="F14978" s="102" t="str">
        <f ca="1">IFERROR(__xludf.DUMMYFUNCTION("IMPORTRANGE(H14978,""IDENTITAS UNIT!D9"")"),"#N/A")</f>
        <v>#N/A</v>
      </c>
      <c r="H14978" s="4" t="str">
        <v/>
      </c>
      <c r="I14978" s="4" t="str">
        <v/>
      </c>
    </row>
    <row r="14979" spans="5:9" ht="16.5" hidden="1">
      <c r="E14979" s="4" t="str">
        <v/>
      </c>
      <c r="F14979" s="102" t="str">
        <f ca="1">IFERROR(__xludf.DUMMYFUNCTION("IMPORTRANGE(H14979,""IDENTITAS UNIT!D9"")"),"#N/A")</f>
        <v>#N/A</v>
      </c>
      <c r="H14979" s="4" t="str">
        <v/>
      </c>
      <c r="I14979" s="4" t="str">
        <v/>
      </c>
    </row>
    <row r="14980" spans="5:9" ht="16.5" hidden="1">
      <c r="E14980" s="4" t="str">
        <v/>
      </c>
      <c r="F14980" s="102" t="str">
        <f ca="1">IFERROR(__xludf.DUMMYFUNCTION("IMPORTRANGE(H14980,""IDENTITAS UNIT!D9"")"),"#N/A")</f>
        <v>#N/A</v>
      </c>
      <c r="H14980" s="4" t="str">
        <v/>
      </c>
      <c r="I14980" s="4" t="str">
        <v/>
      </c>
    </row>
    <row r="14981" spans="5:9" ht="16.5" hidden="1">
      <c r="E14981" s="4" t="str">
        <v/>
      </c>
      <c r="F14981" s="102" t="str">
        <f ca="1">IFERROR(__xludf.DUMMYFUNCTION("IMPORTRANGE(H14981,""IDENTITAS UNIT!D9"")"),"#N/A")</f>
        <v>#N/A</v>
      </c>
      <c r="H14981" s="4" t="str">
        <v/>
      </c>
      <c r="I14981" s="4" t="str">
        <v/>
      </c>
    </row>
    <row r="14982" spans="5:9" ht="16.5" hidden="1">
      <c r="E14982" s="4" t="str">
        <v/>
      </c>
      <c r="F14982" s="102" t="str">
        <f ca="1">IFERROR(__xludf.DUMMYFUNCTION("IMPORTRANGE(H14982,""IDENTITAS UNIT!D9"")"),"#N/A")</f>
        <v>#N/A</v>
      </c>
      <c r="H14982" s="4" t="str">
        <v/>
      </c>
      <c r="I14982" s="4" t="str">
        <v/>
      </c>
    </row>
    <row r="14983" spans="5:9" ht="16.5" hidden="1">
      <c r="E14983" s="4" t="str">
        <v/>
      </c>
      <c r="F14983" s="102" t="str">
        <f ca="1">IFERROR(__xludf.DUMMYFUNCTION("IMPORTRANGE(H14983,""IDENTITAS UNIT!D9"")"),"#N/A")</f>
        <v>#N/A</v>
      </c>
      <c r="H14983" s="4" t="str">
        <v/>
      </c>
      <c r="I14983" s="4" t="str">
        <v/>
      </c>
    </row>
    <row r="14984" spans="5:9" ht="16.5" hidden="1">
      <c r="E14984" s="4" t="str">
        <v/>
      </c>
      <c r="F14984" s="102" t="str">
        <f ca="1">IFERROR(__xludf.DUMMYFUNCTION("IMPORTRANGE(H14984,""IDENTITAS UNIT!D9"")"),"#N/A")</f>
        <v>#N/A</v>
      </c>
      <c r="H14984" s="4" t="str">
        <v/>
      </c>
      <c r="I14984" s="4" t="str">
        <v/>
      </c>
    </row>
    <row r="14985" spans="5:9" ht="16.5" hidden="1">
      <c r="E14985" s="4" t="str">
        <v/>
      </c>
      <c r="F14985" s="102" t="str">
        <f ca="1">IFERROR(__xludf.DUMMYFUNCTION("IMPORTRANGE(H14985,""IDENTITAS UNIT!D9"")"),"#N/A")</f>
        <v>#N/A</v>
      </c>
      <c r="H14985" s="4" t="str">
        <v/>
      </c>
      <c r="I14985" s="4" t="str">
        <v/>
      </c>
    </row>
    <row r="14986" spans="5:9" ht="16.5" hidden="1">
      <c r="E14986" s="4" t="str">
        <v/>
      </c>
      <c r="F14986" s="102" t="str">
        <f ca="1">IFERROR(__xludf.DUMMYFUNCTION("IMPORTRANGE(H14986,""IDENTITAS UNIT!D9"")"),"#N/A")</f>
        <v>#N/A</v>
      </c>
      <c r="H14986" s="4" t="str">
        <v/>
      </c>
      <c r="I14986" s="4" t="str">
        <v/>
      </c>
    </row>
    <row r="14987" spans="5:9" ht="16.5" hidden="1">
      <c r="E14987" s="4" t="str">
        <v/>
      </c>
      <c r="F14987" s="102" t="str">
        <f ca="1">IFERROR(__xludf.DUMMYFUNCTION("IMPORTRANGE(H14987,""IDENTITAS UNIT!D9"")"),"#N/A")</f>
        <v>#N/A</v>
      </c>
      <c r="H14987" s="4" t="str">
        <v/>
      </c>
      <c r="I14987" s="4" t="str">
        <v/>
      </c>
    </row>
    <row r="14988" spans="5:9" ht="16.5" hidden="1">
      <c r="E14988" s="4" t="str">
        <v/>
      </c>
      <c r="F14988" s="102" t="str">
        <f ca="1">IFERROR(__xludf.DUMMYFUNCTION("IMPORTRANGE(H14988,""IDENTITAS UNIT!D9"")"),"#N/A")</f>
        <v>#N/A</v>
      </c>
      <c r="H14988" s="4" t="str">
        <v/>
      </c>
      <c r="I14988" s="4" t="str">
        <v/>
      </c>
    </row>
    <row r="14989" spans="5:9" ht="16.5" hidden="1">
      <c r="E14989" s="4" t="str">
        <v/>
      </c>
      <c r="F14989" s="102" t="str">
        <f ca="1">IFERROR(__xludf.DUMMYFUNCTION("IMPORTRANGE(H14989,""IDENTITAS UNIT!D9"")"),"#N/A")</f>
        <v>#N/A</v>
      </c>
      <c r="H14989" s="4" t="str">
        <v/>
      </c>
      <c r="I14989" s="4" t="str">
        <v/>
      </c>
    </row>
    <row r="14990" spans="5:9" ht="16.5" hidden="1">
      <c r="E14990" s="4" t="str">
        <v/>
      </c>
      <c r="F14990" s="102" t="str">
        <f ca="1">IFERROR(__xludf.DUMMYFUNCTION("IMPORTRANGE(H14990,""IDENTITAS UNIT!D9"")"),"#N/A")</f>
        <v>#N/A</v>
      </c>
      <c r="H14990" s="4" t="str">
        <v/>
      </c>
      <c r="I14990" s="4" t="str">
        <v/>
      </c>
    </row>
    <row r="14991" spans="5:9" ht="16.5" hidden="1">
      <c r="E14991" s="4" t="str">
        <v/>
      </c>
      <c r="F14991" s="102" t="str">
        <f ca="1">IFERROR(__xludf.DUMMYFUNCTION("IMPORTRANGE(H14991,""IDENTITAS UNIT!D9"")"),"#N/A")</f>
        <v>#N/A</v>
      </c>
      <c r="H14991" s="4" t="str">
        <v/>
      </c>
      <c r="I14991" s="4" t="str">
        <v/>
      </c>
    </row>
    <row r="14992" spans="5:9" ht="16.5" hidden="1">
      <c r="E14992" s="4" t="str">
        <v/>
      </c>
      <c r="F14992" s="102" t="str">
        <f ca="1">IFERROR(__xludf.DUMMYFUNCTION("IMPORTRANGE(H14992,""IDENTITAS UNIT!D9"")"),"#N/A")</f>
        <v>#N/A</v>
      </c>
      <c r="H14992" s="4" t="str">
        <v/>
      </c>
      <c r="I14992" s="4" t="str">
        <v/>
      </c>
    </row>
    <row r="14993" spans="5:9" ht="16.5" hidden="1">
      <c r="E14993" s="4" t="str">
        <v/>
      </c>
      <c r="F14993" s="102" t="str">
        <f ca="1">IFERROR(__xludf.DUMMYFUNCTION("IMPORTRANGE(H14993,""IDENTITAS UNIT!D9"")"),"#N/A")</f>
        <v>#N/A</v>
      </c>
      <c r="H14993" s="4" t="str">
        <v/>
      </c>
      <c r="I14993" s="4" t="str">
        <v/>
      </c>
    </row>
    <row r="14994" spans="5:9" ht="16.5" hidden="1">
      <c r="E14994" s="4" t="str">
        <v/>
      </c>
      <c r="F14994" s="102" t="str">
        <f ca="1">IFERROR(__xludf.DUMMYFUNCTION("IMPORTRANGE(H14994,""IDENTITAS UNIT!D9"")"),"#N/A")</f>
        <v>#N/A</v>
      </c>
      <c r="H14994" s="4" t="str">
        <v/>
      </c>
      <c r="I14994" s="4" t="str">
        <v/>
      </c>
    </row>
    <row r="14995" spans="5:9" ht="16.5" hidden="1">
      <c r="E14995" s="4" t="str">
        <v/>
      </c>
      <c r="F14995" s="102" t="str">
        <f ca="1">IFERROR(__xludf.DUMMYFUNCTION("IMPORTRANGE(H14995,""IDENTITAS UNIT!D9"")"),"#N/A")</f>
        <v>#N/A</v>
      </c>
      <c r="H14995" s="4" t="str">
        <v/>
      </c>
      <c r="I14995" s="4" t="str">
        <v/>
      </c>
    </row>
    <row r="14996" spans="5:9" ht="16.5" hidden="1">
      <c r="E14996" s="4" t="str">
        <v/>
      </c>
      <c r="F14996" s="102" t="str">
        <f ca="1">IFERROR(__xludf.DUMMYFUNCTION("IMPORTRANGE(H14996,""IDENTITAS UNIT!D9"")"),"#N/A")</f>
        <v>#N/A</v>
      </c>
      <c r="H14996" s="4" t="str">
        <v/>
      </c>
      <c r="I14996" s="4" t="str">
        <v/>
      </c>
    </row>
    <row r="14997" spans="5:9" ht="16.5" hidden="1">
      <c r="E14997" s="4" t="str">
        <v/>
      </c>
      <c r="F14997" s="102" t="str">
        <f ca="1">IFERROR(__xludf.DUMMYFUNCTION("IMPORTRANGE(H14997,""IDENTITAS UNIT!D9"")"),"#N/A")</f>
        <v>#N/A</v>
      </c>
      <c r="H14997" s="4" t="str">
        <v/>
      </c>
      <c r="I14997" s="4" t="str">
        <v/>
      </c>
    </row>
    <row r="14998" spans="5:9" ht="16.5" hidden="1">
      <c r="E14998" s="4" t="str">
        <v/>
      </c>
      <c r="F14998" s="102" t="str">
        <f ca="1">IFERROR(__xludf.DUMMYFUNCTION("IMPORTRANGE(H14998,""IDENTITAS UNIT!D9"")"),"#N/A")</f>
        <v>#N/A</v>
      </c>
      <c r="H14998" s="4" t="str">
        <v/>
      </c>
      <c r="I14998" s="4" t="str">
        <v/>
      </c>
    </row>
    <row r="14999" spans="5:9" ht="16.5" hidden="1">
      <c r="E14999" s="4" t="str">
        <v/>
      </c>
      <c r="F14999" s="102" t="str">
        <f ca="1">IFERROR(__xludf.DUMMYFUNCTION("IMPORTRANGE(H14999,""IDENTITAS UNIT!D9"")"),"#N/A")</f>
        <v>#N/A</v>
      </c>
      <c r="H14999" s="4" t="str">
        <v/>
      </c>
      <c r="I14999" s="4" t="str">
        <v/>
      </c>
    </row>
    <row r="15000" spans="5:9" ht="16.5" hidden="1">
      <c r="E15000" s="4" t="str">
        <v/>
      </c>
      <c r="F15000" s="102" t="str">
        <f ca="1">IFERROR(__xludf.DUMMYFUNCTION("IMPORTRANGE(H15000,""IDENTITAS UNIT!D9"")"),"#N/A")</f>
        <v>#N/A</v>
      </c>
      <c r="H15000" s="4" t="str">
        <v/>
      </c>
      <c r="I15000" s="4" t="str">
        <v/>
      </c>
    </row>
    <row r="15001" spans="5:9" ht="16.5" hidden="1">
      <c r="E15001" s="4" t="str">
        <v/>
      </c>
      <c r="F15001" s="102" t="str">
        <f ca="1">IFERROR(__xludf.DUMMYFUNCTION("IMPORTRANGE(H15001,""IDENTITAS UNIT!D9"")"),"#N/A")</f>
        <v>#N/A</v>
      </c>
      <c r="H15001" s="4" t="str">
        <v/>
      </c>
      <c r="I15001" s="4" t="str">
        <v/>
      </c>
    </row>
    <row r="15002" spans="5:9" ht="16.5" hidden="1">
      <c r="E15002" s="4" t="str">
        <v/>
      </c>
      <c r="F15002" s="102" t="str">
        <f ca="1">IFERROR(__xludf.DUMMYFUNCTION("IMPORTRANGE(H15002,""IDENTITAS UNIT!D9"")"),"#N/A")</f>
        <v>#N/A</v>
      </c>
      <c r="H15002" s="4" t="str">
        <v/>
      </c>
      <c r="I15002" s="4" t="str">
        <v/>
      </c>
    </row>
    <row r="15003" spans="5:9" ht="16.5" hidden="1">
      <c r="E15003" s="4" t="str">
        <v/>
      </c>
      <c r="F15003" s="102" t="str">
        <f ca="1">IFERROR(__xludf.DUMMYFUNCTION("IMPORTRANGE(H15003,""IDENTITAS UNIT!D9"")"),"#N/A")</f>
        <v>#N/A</v>
      </c>
      <c r="H15003" s="4" t="str">
        <v/>
      </c>
      <c r="I15003" s="4" t="str">
        <v/>
      </c>
    </row>
    <row r="15004" spans="5:9" ht="16.5" hidden="1">
      <c r="E15004" s="4" t="str">
        <v/>
      </c>
      <c r="F15004" s="102" t="str">
        <f ca="1">IFERROR(__xludf.DUMMYFUNCTION("IMPORTRANGE(H15004,""IDENTITAS UNIT!D9"")"),"#N/A")</f>
        <v>#N/A</v>
      </c>
      <c r="H15004" s="4" t="str">
        <v/>
      </c>
      <c r="I15004" s="4" t="str">
        <v/>
      </c>
    </row>
    <row r="15005" spans="5:9" ht="16.5" hidden="1">
      <c r="E15005" s="4" t="str">
        <v/>
      </c>
      <c r="F15005" s="102" t="str">
        <f ca="1">IFERROR(__xludf.DUMMYFUNCTION("IMPORTRANGE(H15005,""IDENTITAS UNIT!D9"")"),"#N/A")</f>
        <v>#N/A</v>
      </c>
      <c r="H15005" s="4" t="str">
        <v/>
      </c>
      <c r="I15005" s="4" t="str">
        <v/>
      </c>
    </row>
    <row r="15006" spans="5:9" ht="16.5" hidden="1">
      <c r="E15006" s="4" t="str">
        <v/>
      </c>
      <c r="F15006" s="102" t="str">
        <f ca="1">IFERROR(__xludf.DUMMYFUNCTION("IMPORTRANGE(H15006,""IDENTITAS UNIT!D9"")"),"#N/A")</f>
        <v>#N/A</v>
      </c>
      <c r="H15006" s="4" t="str">
        <v/>
      </c>
      <c r="I15006" s="4" t="str">
        <v/>
      </c>
    </row>
    <row r="15007" spans="5:9" ht="16.5" hidden="1">
      <c r="E15007" s="4" t="str">
        <v/>
      </c>
      <c r="F15007" s="102" t="str">
        <f ca="1">IFERROR(__xludf.DUMMYFUNCTION("IMPORTRANGE(H15007,""IDENTITAS UNIT!D9"")"),"#N/A")</f>
        <v>#N/A</v>
      </c>
      <c r="H15007" s="4" t="str">
        <v/>
      </c>
      <c r="I15007" s="4" t="str">
        <v/>
      </c>
    </row>
    <row r="15008" spans="5:9" ht="16.5" hidden="1">
      <c r="E15008" s="4" t="str">
        <v/>
      </c>
      <c r="F15008" s="102" t="str">
        <f ca="1">IFERROR(__xludf.DUMMYFUNCTION("IMPORTRANGE(H15008,""IDENTITAS UNIT!D9"")"),"#N/A")</f>
        <v>#N/A</v>
      </c>
      <c r="H15008" s="4" t="str">
        <v/>
      </c>
      <c r="I15008" s="4" t="str">
        <v/>
      </c>
    </row>
    <row r="15009" spans="5:9" ht="16.5" hidden="1">
      <c r="E15009" s="4" t="str">
        <v/>
      </c>
      <c r="F15009" s="102" t="str">
        <f ca="1">IFERROR(__xludf.DUMMYFUNCTION("IMPORTRANGE(H15009,""IDENTITAS UNIT!D9"")"),"#N/A")</f>
        <v>#N/A</v>
      </c>
      <c r="H15009" s="4" t="str">
        <v/>
      </c>
      <c r="I15009" s="4" t="str">
        <v/>
      </c>
    </row>
    <row r="15010" spans="5:9" ht="16.5" hidden="1">
      <c r="E15010" s="4" t="str">
        <v/>
      </c>
      <c r="F15010" s="102" t="str">
        <f ca="1">IFERROR(__xludf.DUMMYFUNCTION("IMPORTRANGE(H15010,""IDENTITAS UNIT!D9"")"),"#N/A")</f>
        <v>#N/A</v>
      </c>
      <c r="H15010" s="4" t="str">
        <v/>
      </c>
      <c r="I15010" s="4" t="str">
        <v/>
      </c>
    </row>
    <row r="15011" spans="5:9" ht="16.5" hidden="1">
      <c r="E15011" s="4" t="str">
        <v/>
      </c>
      <c r="F15011" s="102" t="str">
        <f ca="1">IFERROR(__xludf.DUMMYFUNCTION("IMPORTRANGE(H15011,""IDENTITAS UNIT!D9"")"),"#N/A")</f>
        <v>#N/A</v>
      </c>
      <c r="H15011" s="4" t="str">
        <v/>
      </c>
      <c r="I15011" s="4" t="str">
        <v/>
      </c>
    </row>
    <row r="15012" spans="5:9" ht="16.5" hidden="1">
      <c r="E15012" s="4" t="str">
        <v/>
      </c>
      <c r="F15012" s="102" t="str">
        <f ca="1">IFERROR(__xludf.DUMMYFUNCTION("IMPORTRANGE(H15012,""IDENTITAS UNIT!D9"")"),"#N/A")</f>
        <v>#N/A</v>
      </c>
      <c r="H15012" s="4" t="str">
        <v/>
      </c>
      <c r="I15012" s="4" t="str">
        <v/>
      </c>
    </row>
    <row r="15013" spans="5:9" ht="16.5" hidden="1">
      <c r="E15013" s="4" t="str">
        <v/>
      </c>
      <c r="F15013" s="102" t="str">
        <f ca="1">IFERROR(__xludf.DUMMYFUNCTION("IMPORTRANGE(H15013,""IDENTITAS UNIT!D9"")"),"#N/A")</f>
        <v>#N/A</v>
      </c>
      <c r="H15013" s="4" t="str">
        <v/>
      </c>
      <c r="I15013" s="4" t="str">
        <v/>
      </c>
    </row>
    <row r="15014" spans="5:9" ht="16.5" hidden="1">
      <c r="E15014" s="4" t="str">
        <v/>
      </c>
      <c r="F15014" s="102" t="str">
        <f ca="1">IFERROR(__xludf.DUMMYFUNCTION("IMPORTRANGE(H15014,""IDENTITAS UNIT!D9"")"),"#N/A")</f>
        <v>#N/A</v>
      </c>
      <c r="H15014" s="4" t="str">
        <v/>
      </c>
      <c r="I15014" s="4" t="str">
        <v/>
      </c>
    </row>
    <row r="15015" spans="5:9" ht="16.5" hidden="1">
      <c r="E15015" s="4" t="str">
        <v/>
      </c>
      <c r="F15015" s="102" t="str">
        <f ca="1">IFERROR(__xludf.DUMMYFUNCTION("IMPORTRANGE(H15015,""IDENTITAS UNIT!D9"")"),"#N/A")</f>
        <v>#N/A</v>
      </c>
      <c r="H15015" s="4" t="str">
        <v/>
      </c>
      <c r="I15015" s="4" t="str">
        <v/>
      </c>
    </row>
    <row r="15016" spans="5:9" ht="16.5" hidden="1">
      <c r="E15016" s="4" t="str">
        <v/>
      </c>
      <c r="F15016" s="102" t="str">
        <f ca="1">IFERROR(__xludf.DUMMYFUNCTION("IMPORTRANGE(H15016,""IDENTITAS UNIT!D9"")"),"#N/A")</f>
        <v>#N/A</v>
      </c>
      <c r="H15016" s="4" t="str">
        <v/>
      </c>
      <c r="I15016" s="4" t="str">
        <v/>
      </c>
    </row>
    <row r="15017" spans="5:9" ht="16.5" hidden="1">
      <c r="E15017" s="4" t="str">
        <v/>
      </c>
      <c r="F15017" s="102" t="str">
        <f ca="1">IFERROR(__xludf.DUMMYFUNCTION("IMPORTRANGE(H15017,""IDENTITAS UNIT!D9"")"),"#N/A")</f>
        <v>#N/A</v>
      </c>
      <c r="H15017" s="4" t="str">
        <v/>
      </c>
      <c r="I15017" s="4" t="str">
        <v/>
      </c>
    </row>
    <row r="15018" spans="5:9" ht="16.5" hidden="1">
      <c r="E15018" s="4" t="str">
        <v/>
      </c>
      <c r="F15018" s="102" t="str">
        <f ca="1">IFERROR(__xludf.DUMMYFUNCTION("IMPORTRANGE(H15018,""IDENTITAS UNIT!D9"")"),"#N/A")</f>
        <v>#N/A</v>
      </c>
      <c r="H15018" s="4" t="str">
        <v/>
      </c>
      <c r="I15018" s="4" t="str">
        <v/>
      </c>
    </row>
    <row r="15019" spans="5:9" ht="16.5" hidden="1">
      <c r="E15019" s="4" t="str">
        <v/>
      </c>
      <c r="F15019" s="102" t="str">
        <f ca="1">IFERROR(__xludf.DUMMYFUNCTION("IMPORTRANGE(H15019,""IDENTITAS UNIT!D9"")"),"#N/A")</f>
        <v>#N/A</v>
      </c>
      <c r="H15019" s="4" t="str">
        <v/>
      </c>
      <c r="I15019" s="4" t="str">
        <v/>
      </c>
    </row>
    <row r="15020" spans="5:9" ht="16.5" hidden="1">
      <c r="E15020" s="4" t="str">
        <v/>
      </c>
      <c r="F15020" s="102" t="str">
        <f ca="1">IFERROR(__xludf.DUMMYFUNCTION("IMPORTRANGE(H15020,""IDENTITAS UNIT!D9"")"),"#N/A")</f>
        <v>#N/A</v>
      </c>
      <c r="H15020" s="4" t="str">
        <v/>
      </c>
      <c r="I15020" s="4" t="str">
        <v/>
      </c>
    </row>
    <row r="15021" spans="5:9" ht="16.5" hidden="1">
      <c r="E15021" s="4" t="str">
        <v/>
      </c>
      <c r="F15021" s="102" t="str">
        <f ca="1">IFERROR(__xludf.DUMMYFUNCTION("IMPORTRANGE(H15021,""IDENTITAS UNIT!D9"")"),"#N/A")</f>
        <v>#N/A</v>
      </c>
      <c r="H15021" s="4" t="str">
        <v/>
      </c>
      <c r="I15021" s="4" t="str">
        <v/>
      </c>
    </row>
    <row r="15022" spans="5:9" ht="16.5" hidden="1">
      <c r="E15022" s="4" t="str">
        <v/>
      </c>
      <c r="F15022" s="102" t="str">
        <f ca="1">IFERROR(__xludf.DUMMYFUNCTION("IMPORTRANGE(H15022,""IDENTITAS UNIT!D9"")"),"#N/A")</f>
        <v>#N/A</v>
      </c>
      <c r="H15022" s="4" t="str">
        <v/>
      </c>
      <c r="I15022" s="4" t="str">
        <v/>
      </c>
    </row>
    <row r="15023" spans="5:9" ht="16.5" hidden="1">
      <c r="E15023" s="4" t="str">
        <v/>
      </c>
      <c r="F15023" s="102" t="str">
        <f ca="1">IFERROR(__xludf.DUMMYFUNCTION("IMPORTRANGE(H15023,""IDENTITAS UNIT!D9"")"),"#N/A")</f>
        <v>#N/A</v>
      </c>
      <c r="H15023" s="4" t="str">
        <v/>
      </c>
      <c r="I15023" s="4" t="str">
        <v/>
      </c>
    </row>
    <row r="15024" spans="5:9" ht="16.5" hidden="1">
      <c r="E15024" s="4" t="str">
        <v/>
      </c>
      <c r="F15024" s="102" t="str">
        <f ca="1">IFERROR(__xludf.DUMMYFUNCTION("IMPORTRANGE(H15024,""IDENTITAS UNIT!D9"")"),"#N/A")</f>
        <v>#N/A</v>
      </c>
      <c r="H15024" s="4" t="str">
        <v/>
      </c>
      <c r="I15024" s="4" t="str">
        <v/>
      </c>
    </row>
    <row r="15025" spans="5:9" ht="16.5" hidden="1">
      <c r="E15025" s="4" t="str">
        <v/>
      </c>
      <c r="F15025" s="102" t="str">
        <f ca="1">IFERROR(__xludf.DUMMYFUNCTION("IMPORTRANGE(H15025,""IDENTITAS UNIT!D9"")"),"#N/A")</f>
        <v>#N/A</v>
      </c>
      <c r="H15025" s="4" t="str">
        <v/>
      </c>
      <c r="I15025" s="4" t="str">
        <v/>
      </c>
    </row>
    <row r="15026" spans="5:9" ht="16.5" hidden="1">
      <c r="E15026" s="4" t="str">
        <v/>
      </c>
      <c r="F15026" s="102" t="str">
        <f ca="1">IFERROR(__xludf.DUMMYFUNCTION("IMPORTRANGE(H15026,""IDENTITAS UNIT!D9"")"),"#N/A")</f>
        <v>#N/A</v>
      </c>
      <c r="H15026" s="4" t="str">
        <v/>
      </c>
      <c r="I15026" s="4" t="str">
        <v/>
      </c>
    </row>
    <row r="15027" spans="5:9" ht="16.5" hidden="1">
      <c r="E15027" s="4" t="str">
        <v/>
      </c>
      <c r="F15027" s="102" t="str">
        <f ca="1">IFERROR(__xludf.DUMMYFUNCTION("IMPORTRANGE(H15027,""IDENTITAS UNIT!D9"")"),"#N/A")</f>
        <v>#N/A</v>
      </c>
      <c r="H15027" s="4" t="str">
        <v/>
      </c>
      <c r="I15027" s="4" t="str">
        <v/>
      </c>
    </row>
    <row r="15028" spans="5:9" ht="16.5" hidden="1">
      <c r="E15028" s="4" t="str">
        <v/>
      </c>
      <c r="F15028" s="102" t="str">
        <f ca="1">IFERROR(__xludf.DUMMYFUNCTION("IMPORTRANGE(H15028,""IDENTITAS UNIT!D9"")"),"#N/A")</f>
        <v>#N/A</v>
      </c>
      <c r="H15028" s="4" t="str">
        <v/>
      </c>
      <c r="I15028" s="4" t="str">
        <v/>
      </c>
    </row>
    <row r="15029" spans="5:9" ht="16.5" hidden="1">
      <c r="E15029" s="4" t="str">
        <v/>
      </c>
      <c r="F15029" s="102" t="str">
        <f ca="1">IFERROR(__xludf.DUMMYFUNCTION("IMPORTRANGE(H15029,""IDENTITAS UNIT!D9"")"),"#N/A")</f>
        <v>#N/A</v>
      </c>
      <c r="H15029" s="4" t="str">
        <v/>
      </c>
      <c r="I15029" s="4" t="str">
        <v/>
      </c>
    </row>
    <row r="15030" spans="5:9" ht="16.5" hidden="1">
      <c r="E15030" s="4" t="str">
        <v/>
      </c>
      <c r="F15030" s="102" t="str">
        <f ca="1">IFERROR(__xludf.DUMMYFUNCTION("IMPORTRANGE(H15030,""IDENTITAS UNIT!D9"")"),"#N/A")</f>
        <v>#N/A</v>
      </c>
      <c r="H15030" s="4" t="str">
        <v/>
      </c>
      <c r="I15030" s="4" t="str">
        <v/>
      </c>
    </row>
    <row r="15031" spans="5:9" ht="16.5" hidden="1">
      <c r="E15031" s="4" t="str">
        <v/>
      </c>
      <c r="F15031" s="102" t="str">
        <f ca="1">IFERROR(__xludf.DUMMYFUNCTION("IMPORTRANGE(H15031,""IDENTITAS UNIT!D9"")"),"#N/A")</f>
        <v>#N/A</v>
      </c>
      <c r="H15031" s="4" t="str">
        <v/>
      </c>
      <c r="I15031" s="4" t="str">
        <v/>
      </c>
    </row>
    <row r="15032" spans="5:9" ht="16.5" hidden="1">
      <c r="E15032" s="4" t="str">
        <v/>
      </c>
      <c r="F15032" s="102" t="str">
        <f ca="1">IFERROR(__xludf.DUMMYFUNCTION("IMPORTRANGE(H15032,""IDENTITAS UNIT!D9"")"),"#N/A")</f>
        <v>#N/A</v>
      </c>
      <c r="H15032" s="4" t="str">
        <v/>
      </c>
      <c r="I15032" s="4" t="str">
        <v/>
      </c>
    </row>
    <row r="15033" spans="5:9" ht="16.5" hidden="1">
      <c r="E15033" s="4" t="str">
        <v/>
      </c>
      <c r="F15033" s="102" t="str">
        <f ca="1">IFERROR(__xludf.DUMMYFUNCTION("IMPORTRANGE(H15033,""IDENTITAS UNIT!D9"")"),"#N/A")</f>
        <v>#N/A</v>
      </c>
      <c r="H15033" s="4" t="str">
        <v/>
      </c>
      <c r="I15033" s="4" t="str">
        <v/>
      </c>
    </row>
    <row r="15034" spans="5:9" ht="16.5" hidden="1">
      <c r="E15034" s="4" t="str">
        <v/>
      </c>
      <c r="F15034" s="102" t="str">
        <f ca="1">IFERROR(__xludf.DUMMYFUNCTION("IMPORTRANGE(H15034,""IDENTITAS UNIT!D9"")"),"#N/A")</f>
        <v>#N/A</v>
      </c>
      <c r="H15034" s="4" t="str">
        <v/>
      </c>
      <c r="I15034" s="4" t="str">
        <v/>
      </c>
    </row>
    <row r="15035" spans="5:9" ht="16.5" hidden="1">
      <c r="E15035" s="4" t="str">
        <v/>
      </c>
      <c r="F15035" s="102" t="str">
        <f ca="1">IFERROR(__xludf.DUMMYFUNCTION("IMPORTRANGE(H15035,""IDENTITAS UNIT!D9"")"),"#N/A")</f>
        <v>#N/A</v>
      </c>
      <c r="H15035" s="4" t="str">
        <v/>
      </c>
      <c r="I15035" s="4" t="str">
        <v/>
      </c>
    </row>
    <row r="15036" spans="5:9" ht="16.5" hidden="1">
      <c r="E15036" s="4" t="str">
        <v/>
      </c>
      <c r="F15036" s="102" t="str">
        <f ca="1">IFERROR(__xludf.DUMMYFUNCTION("IMPORTRANGE(H15036,""IDENTITAS UNIT!D9"")"),"#N/A")</f>
        <v>#N/A</v>
      </c>
      <c r="H15036" s="4" t="str">
        <v/>
      </c>
      <c r="I15036" s="4" t="str">
        <v/>
      </c>
    </row>
    <row r="15037" spans="5:9" ht="16.5" hidden="1">
      <c r="E15037" s="4" t="str">
        <v/>
      </c>
      <c r="F15037" s="102" t="str">
        <f ca="1">IFERROR(__xludf.DUMMYFUNCTION("IMPORTRANGE(H15037,""IDENTITAS UNIT!D9"")"),"#N/A")</f>
        <v>#N/A</v>
      </c>
      <c r="H15037" s="4" t="str">
        <v/>
      </c>
      <c r="I15037" s="4" t="str">
        <v/>
      </c>
    </row>
    <row r="15038" spans="5:9" ht="16.5" hidden="1">
      <c r="E15038" s="4" t="str">
        <v/>
      </c>
      <c r="F15038" s="102" t="str">
        <f ca="1">IFERROR(__xludf.DUMMYFUNCTION("IMPORTRANGE(H15038,""IDENTITAS UNIT!D9"")"),"#N/A")</f>
        <v>#N/A</v>
      </c>
      <c r="H15038" s="4" t="str">
        <v/>
      </c>
      <c r="I15038" s="4" t="str">
        <v/>
      </c>
    </row>
    <row r="15039" spans="5:9" ht="16.5" hidden="1">
      <c r="E15039" s="4" t="str">
        <v/>
      </c>
      <c r="F15039" s="102" t="str">
        <f ca="1">IFERROR(__xludf.DUMMYFUNCTION("IMPORTRANGE(H15039,""IDENTITAS UNIT!D9"")"),"#N/A")</f>
        <v>#N/A</v>
      </c>
      <c r="H15039" s="4" t="str">
        <v/>
      </c>
      <c r="I15039" s="4" t="str">
        <v/>
      </c>
    </row>
    <row r="15040" spans="5:9" ht="16.5" hidden="1">
      <c r="E15040" s="4" t="str">
        <v/>
      </c>
      <c r="F15040" s="102" t="str">
        <f ca="1">IFERROR(__xludf.DUMMYFUNCTION("IMPORTRANGE(H15040,""IDENTITAS UNIT!D9"")"),"#N/A")</f>
        <v>#N/A</v>
      </c>
      <c r="H15040" s="4" t="str">
        <v/>
      </c>
      <c r="I15040" s="4" t="str">
        <v/>
      </c>
    </row>
    <row r="15041" spans="5:9" ht="16.5" hidden="1">
      <c r="E15041" s="4" t="str">
        <v/>
      </c>
      <c r="F15041" s="102" t="str">
        <f ca="1">IFERROR(__xludf.DUMMYFUNCTION("IMPORTRANGE(H15041,""IDENTITAS UNIT!D9"")"),"#N/A")</f>
        <v>#N/A</v>
      </c>
      <c r="H15041" s="4" t="str">
        <v/>
      </c>
      <c r="I15041" s="4" t="str">
        <v/>
      </c>
    </row>
    <row r="15042" spans="5:9" ht="16.5" hidden="1">
      <c r="E15042" s="4" t="str">
        <v/>
      </c>
      <c r="F15042" s="102" t="str">
        <f ca="1">IFERROR(__xludf.DUMMYFUNCTION("IMPORTRANGE(H15042,""IDENTITAS UNIT!D9"")"),"#N/A")</f>
        <v>#N/A</v>
      </c>
      <c r="H15042" s="4" t="str">
        <v/>
      </c>
      <c r="I15042" s="4" t="str">
        <v/>
      </c>
    </row>
    <row r="15043" spans="5:9" ht="16.5" hidden="1">
      <c r="E15043" s="4" t="str">
        <v/>
      </c>
      <c r="F15043" s="102" t="str">
        <f ca="1">IFERROR(__xludf.DUMMYFUNCTION("IMPORTRANGE(H15043,""IDENTITAS UNIT!D9"")"),"#N/A")</f>
        <v>#N/A</v>
      </c>
      <c r="H15043" s="4" t="str">
        <v/>
      </c>
      <c r="I15043" s="4" t="str">
        <v/>
      </c>
    </row>
    <row r="15044" spans="5:9" ht="16.5" hidden="1">
      <c r="E15044" s="4" t="str">
        <v/>
      </c>
      <c r="F15044" s="102" t="str">
        <f ca="1">IFERROR(__xludf.DUMMYFUNCTION("IMPORTRANGE(H15044,""IDENTITAS UNIT!D9"")"),"#N/A")</f>
        <v>#N/A</v>
      </c>
      <c r="H15044" s="4" t="str">
        <v/>
      </c>
      <c r="I15044" s="4" t="str">
        <v/>
      </c>
    </row>
    <row r="15045" spans="5:9" ht="16.5" hidden="1">
      <c r="E15045" s="4" t="str">
        <v/>
      </c>
      <c r="F15045" s="102" t="str">
        <f ca="1">IFERROR(__xludf.DUMMYFUNCTION("IMPORTRANGE(H15045,""IDENTITAS UNIT!D9"")"),"#N/A")</f>
        <v>#N/A</v>
      </c>
      <c r="H15045" s="4" t="str">
        <v/>
      </c>
      <c r="I15045" s="4" t="str">
        <v/>
      </c>
    </row>
    <row r="15046" spans="5:9" ht="16.5" hidden="1">
      <c r="E15046" s="4" t="str">
        <v/>
      </c>
      <c r="F15046" s="102" t="str">
        <f ca="1">IFERROR(__xludf.DUMMYFUNCTION("IMPORTRANGE(H15046,""IDENTITAS UNIT!D9"")"),"#N/A")</f>
        <v>#N/A</v>
      </c>
      <c r="H15046" s="4" t="str">
        <v/>
      </c>
      <c r="I15046" s="4" t="str">
        <v/>
      </c>
    </row>
    <row r="15047" spans="5:9" ht="16.5" hidden="1">
      <c r="E15047" s="4" t="str">
        <v/>
      </c>
      <c r="F15047" s="102" t="str">
        <f ca="1">IFERROR(__xludf.DUMMYFUNCTION("IMPORTRANGE(H15047,""IDENTITAS UNIT!D9"")"),"#N/A")</f>
        <v>#N/A</v>
      </c>
      <c r="H15047" s="4" t="str">
        <v/>
      </c>
      <c r="I15047" s="4" t="str">
        <v/>
      </c>
    </row>
    <row r="15048" spans="5:9" ht="16.5" hidden="1">
      <c r="E15048" s="4" t="str">
        <v/>
      </c>
      <c r="F15048" s="102" t="str">
        <f ca="1">IFERROR(__xludf.DUMMYFUNCTION("IMPORTRANGE(H15048,""IDENTITAS UNIT!D9"")"),"#N/A")</f>
        <v>#N/A</v>
      </c>
      <c r="H15048" s="4" t="str">
        <v/>
      </c>
      <c r="I15048" s="4" t="str">
        <v/>
      </c>
    </row>
    <row r="15049" spans="5:9" ht="16.5" hidden="1">
      <c r="E15049" s="4" t="str">
        <v/>
      </c>
      <c r="F15049" s="102" t="str">
        <f ca="1">IFERROR(__xludf.DUMMYFUNCTION("IMPORTRANGE(H15049,""IDENTITAS UNIT!D9"")"),"#N/A")</f>
        <v>#N/A</v>
      </c>
      <c r="H15049" s="4" t="str">
        <v/>
      </c>
      <c r="I15049" s="4" t="str">
        <v/>
      </c>
    </row>
    <row r="15050" spans="5:9" ht="16.5" hidden="1">
      <c r="E15050" s="4" t="str">
        <v/>
      </c>
      <c r="F15050" s="102" t="str">
        <f ca="1">IFERROR(__xludf.DUMMYFUNCTION("IMPORTRANGE(H15050,""IDENTITAS UNIT!D9"")"),"#N/A")</f>
        <v>#N/A</v>
      </c>
      <c r="H15050" s="4" t="str">
        <v/>
      </c>
      <c r="I15050" s="4" t="str">
        <v/>
      </c>
    </row>
    <row r="15051" spans="5:9" ht="16.5" hidden="1">
      <c r="E15051" s="4" t="str">
        <v/>
      </c>
      <c r="F15051" s="102" t="str">
        <f ca="1">IFERROR(__xludf.DUMMYFUNCTION("IMPORTRANGE(H15051,""IDENTITAS UNIT!D9"")"),"#N/A")</f>
        <v>#N/A</v>
      </c>
      <c r="H15051" s="4" t="str">
        <v/>
      </c>
      <c r="I15051" s="4" t="str">
        <v/>
      </c>
    </row>
    <row r="15052" spans="5:9" ht="16.5" hidden="1">
      <c r="E15052" s="4" t="str">
        <v/>
      </c>
      <c r="F15052" s="102" t="str">
        <f ca="1">IFERROR(__xludf.DUMMYFUNCTION("IMPORTRANGE(H15052,""IDENTITAS UNIT!D9"")"),"#N/A")</f>
        <v>#N/A</v>
      </c>
      <c r="H15052" s="4" t="str">
        <v/>
      </c>
      <c r="I15052" s="4" t="str">
        <v/>
      </c>
    </row>
    <row r="15053" spans="5:9" ht="16.5" hidden="1">
      <c r="E15053" s="4" t="str">
        <v/>
      </c>
      <c r="F15053" s="102" t="str">
        <f ca="1">IFERROR(__xludf.DUMMYFUNCTION("IMPORTRANGE(H15053,""IDENTITAS UNIT!D9"")"),"#N/A")</f>
        <v>#N/A</v>
      </c>
      <c r="H15053" s="4" t="str">
        <v/>
      </c>
      <c r="I15053" s="4" t="str">
        <v/>
      </c>
    </row>
    <row r="15054" spans="5:9" ht="16.5" hidden="1">
      <c r="E15054" s="4" t="str">
        <v/>
      </c>
      <c r="F15054" s="102" t="str">
        <f ca="1">IFERROR(__xludf.DUMMYFUNCTION("IMPORTRANGE(H15054,""IDENTITAS UNIT!D9"")"),"#N/A")</f>
        <v>#N/A</v>
      </c>
      <c r="H15054" s="4" t="str">
        <v/>
      </c>
      <c r="I15054" s="4" t="str">
        <v/>
      </c>
    </row>
    <row r="15055" spans="5:9" ht="16.5" hidden="1">
      <c r="E15055" s="4" t="str">
        <v/>
      </c>
      <c r="F15055" s="102" t="str">
        <f ca="1">IFERROR(__xludf.DUMMYFUNCTION("IMPORTRANGE(H15055,""IDENTITAS UNIT!D9"")"),"#N/A")</f>
        <v>#N/A</v>
      </c>
      <c r="H15055" s="4" t="str">
        <v/>
      </c>
      <c r="I15055" s="4" t="str">
        <v/>
      </c>
    </row>
    <row r="15056" spans="5:9" ht="16.5" hidden="1">
      <c r="E15056" s="4" t="str">
        <v/>
      </c>
      <c r="F15056" s="102" t="str">
        <f ca="1">IFERROR(__xludf.DUMMYFUNCTION("IMPORTRANGE(H15056,""IDENTITAS UNIT!D9"")"),"#N/A")</f>
        <v>#N/A</v>
      </c>
      <c r="H15056" s="4" t="str">
        <v/>
      </c>
      <c r="I15056" s="4" t="str">
        <v/>
      </c>
    </row>
    <row r="15057" spans="5:9" ht="16.5" hidden="1">
      <c r="E15057" s="4" t="str">
        <v/>
      </c>
      <c r="F15057" s="102" t="str">
        <f ca="1">IFERROR(__xludf.DUMMYFUNCTION("IMPORTRANGE(H15057,""IDENTITAS UNIT!D9"")"),"#N/A")</f>
        <v>#N/A</v>
      </c>
      <c r="H15057" s="4" t="str">
        <v/>
      </c>
      <c r="I15057" s="4" t="str">
        <v/>
      </c>
    </row>
    <row r="15058" spans="5:9" ht="16.5" hidden="1">
      <c r="E15058" s="4" t="str">
        <v/>
      </c>
      <c r="F15058" s="102" t="str">
        <f ca="1">IFERROR(__xludf.DUMMYFUNCTION("IMPORTRANGE(H15058,""IDENTITAS UNIT!D9"")"),"#N/A")</f>
        <v>#N/A</v>
      </c>
      <c r="H15058" s="4" t="str">
        <v/>
      </c>
      <c r="I15058" s="4" t="str">
        <v/>
      </c>
    </row>
    <row r="15059" spans="5:9" ht="16.5" hidden="1">
      <c r="E15059" s="4" t="str">
        <v/>
      </c>
      <c r="F15059" s="102" t="str">
        <f ca="1">IFERROR(__xludf.DUMMYFUNCTION("IMPORTRANGE(H15059,""IDENTITAS UNIT!D9"")"),"#N/A")</f>
        <v>#N/A</v>
      </c>
      <c r="H15059" s="4" t="str">
        <v/>
      </c>
      <c r="I15059" s="4" t="str">
        <v/>
      </c>
    </row>
    <row r="15060" spans="5:9" ht="16.5" hidden="1">
      <c r="E15060" s="4" t="str">
        <v/>
      </c>
      <c r="F15060" s="102" t="str">
        <f ca="1">IFERROR(__xludf.DUMMYFUNCTION("IMPORTRANGE(H15060,""IDENTITAS UNIT!D9"")"),"#N/A")</f>
        <v>#N/A</v>
      </c>
      <c r="H15060" s="4" t="str">
        <v/>
      </c>
      <c r="I15060" s="4" t="str">
        <v/>
      </c>
    </row>
    <row r="15061" spans="5:9" ht="16.5" hidden="1">
      <c r="E15061" s="4" t="str">
        <v/>
      </c>
      <c r="F15061" s="102" t="str">
        <f ca="1">IFERROR(__xludf.DUMMYFUNCTION("IMPORTRANGE(H15061,""IDENTITAS UNIT!D9"")"),"#N/A")</f>
        <v>#N/A</v>
      </c>
      <c r="H15061" s="4" t="str">
        <v/>
      </c>
      <c r="I15061" s="4" t="str">
        <v/>
      </c>
    </row>
    <row r="15062" spans="5:9" ht="16.5" hidden="1">
      <c r="E15062" s="4" t="str">
        <v/>
      </c>
      <c r="F15062" s="102" t="str">
        <f ca="1">IFERROR(__xludf.DUMMYFUNCTION("IMPORTRANGE(H15062,""IDENTITAS UNIT!D9"")"),"#N/A")</f>
        <v>#N/A</v>
      </c>
      <c r="H15062" s="4" t="str">
        <v/>
      </c>
      <c r="I15062" s="4" t="str">
        <v/>
      </c>
    </row>
    <row r="15063" spans="5:9" ht="16.5" hidden="1">
      <c r="E15063" s="4" t="str">
        <v/>
      </c>
      <c r="F15063" s="102" t="str">
        <f ca="1">IFERROR(__xludf.DUMMYFUNCTION("IMPORTRANGE(H15063,""IDENTITAS UNIT!D9"")"),"#N/A")</f>
        <v>#N/A</v>
      </c>
      <c r="H15063" s="4" t="str">
        <v/>
      </c>
      <c r="I15063" s="4" t="str">
        <v/>
      </c>
    </row>
    <row r="15064" spans="5:9" ht="16.5" hidden="1">
      <c r="E15064" s="4" t="str">
        <v/>
      </c>
      <c r="F15064" s="102" t="str">
        <f ca="1">IFERROR(__xludf.DUMMYFUNCTION("IMPORTRANGE(H15064,""IDENTITAS UNIT!D9"")"),"#N/A")</f>
        <v>#N/A</v>
      </c>
      <c r="H15064" s="4" t="str">
        <v/>
      </c>
      <c r="I15064" s="4" t="str">
        <v/>
      </c>
    </row>
    <row r="15065" spans="5:9" ht="16.5" hidden="1">
      <c r="E15065" s="4" t="str">
        <v/>
      </c>
      <c r="F15065" s="102" t="str">
        <f ca="1">IFERROR(__xludf.DUMMYFUNCTION("IMPORTRANGE(H15065,""IDENTITAS UNIT!D9"")"),"#N/A")</f>
        <v>#N/A</v>
      </c>
      <c r="H15065" s="4" t="str">
        <v/>
      </c>
      <c r="I15065" s="4" t="str">
        <v/>
      </c>
    </row>
    <row r="15066" spans="5:9" ht="16.5" hidden="1">
      <c r="E15066" s="4" t="str">
        <v/>
      </c>
      <c r="F15066" s="102" t="str">
        <f ca="1">IFERROR(__xludf.DUMMYFUNCTION("IMPORTRANGE(H15066,""IDENTITAS UNIT!D9"")"),"#N/A")</f>
        <v>#N/A</v>
      </c>
      <c r="H15066" s="4" t="str">
        <v/>
      </c>
      <c r="I15066" s="4" t="str">
        <v/>
      </c>
    </row>
    <row r="15067" spans="5:9" ht="16.5" hidden="1">
      <c r="E15067" s="4" t="str">
        <v/>
      </c>
      <c r="F15067" s="102" t="str">
        <f ca="1">IFERROR(__xludf.DUMMYFUNCTION("IMPORTRANGE(H15067,""IDENTITAS UNIT!D9"")"),"#N/A")</f>
        <v>#N/A</v>
      </c>
      <c r="H15067" s="4" t="str">
        <v/>
      </c>
      <c r="I15067" s="4" t="str">
        <v/>
      </c>
    </row>
    <row r="15068" spans="5:9" ht="16.5" hidden="1">
      <c r="E15068" s="4" t="str">
        <v/>
      </c>
      <c r="F15068" s="102" t="str">
        <f ca="1">IFERROR(__xludf.DUMMYFUNCTION("IMPORTRANGE(H15068,""IDENTITAS UNIT!D9"")"),"#N/A")</f>
        <v>#N/A</v>
      </c>
      <c r="H15068" s="4" t="str">
        <v/>
      </c>
      <c r="I15068" s="4" t="str">
        <v/>
      </c>
    </row>
    <row r="15069" spans="5:9" ht="16.5" hidden="1">
      <c r="E15069" s="4" t="str">
        <v/>
      </c>
      <c r="F15069" s="102" t="str">
        <f ca="1">IFERROR(__xludf.DUMMYFUNCTION("IMPORTRANGE(H15069,""IDENTITAS UNIT!D9"")"),"#N/A")</f>
        <v>#N/A</v>
      </c>
      <c r="H15069" s="4" t="str">
        <v/>
      </c>
      <c r="I15069" s="4" t="str">
        <v/>
      </c>
    </row>
    <row r="15070" spans="5:9" ht="16.5" hidden="1">
      <c r="E15070" s="4" t="str">
        <v/>
      </c>
      <c r="F15070" s="102" t="str">
        <f ca="1">IFERROR(__xludf.DUMMYFUNCTION("IMPORTRANGE(H15070,""IDENTITAS UNIT!D9"")"),"#N/A")</f>
        <v>#N/A</v>
      </c>
      <c r="H15070" s="4" t="str">
        <v/>
      </c>
      <c r="I15070" s="4" t="str">
        <v/>
      </c>
    </row>
    <row r="15071" spans="5:9" ht="16.5" hidden="1">
      <c r="E15071" s="4" t="str">
        <v/>
      </c>
      <c r="F15071" s="102" t="str">
        <f ca="1">IFERROR(__xludf.DUMMYFUNCTION("IMPORTRANGE(H15071,""IDENTITAS UNIT!D9"")"),"#N/A")</f>
        <v>#N/A</v>
      </c>
      <c r="H15071" s="4" t="str">
        <v/>
      </c>
      <c r="I15071" s="4" t="str">
        <v/>
      </c>
    </row>
    <row r="15072" spans="5:9" ht="16.5" hidden="1">
      <c r="E15072" s="4" t="str">
        <v/>
      </c>
      <c r="F15072" s="102" t="str">
        <f ca="1">IFERROR(__xludf.DUMMYFUNCTION("IMPORTRANGE(H15072,""IDENTITAS UNIT!D9"")"),"#N/A")</f>
        <v>#N/A</v>
      </c>
      <c r="H15072" s="4" t="str">
        <v/>
      </c>
      <c r="I15072" s="4" t="str">
        <v/>
      </c>
    </row>
    <row r="15073" spans="5:9" ht="16.5" hidden="1">
      <c r="E15073" s="4" t="str">
        <v/>
      </c>
      <c r="F15073" s="102" t="str">
        <f ca="1">IFERROR(__xludf.DUMMYFUNCTION("IMPORTRANGE(H15073,""IDENTITAS UNIT!D9"")"),"#N/A")</f>
        <v>#N/A</v>
      </c>
      <c r="H15073" s="4" t="str">
        <v/>
      </c>
      <c r="I15073" s="4" t="str">
        <v/>
      </c>
    </row>
    <row r="15074" spans="5:9" ht="16.5" hidden="1">
      <c r="E15074" s="4" t="str">
        <v/>
      </c>
      <c r="F15074" s="102" t="str">
        <f ca="1">IFERROR(__xludf.DUMMYFUNCTION("IMPORTRANGE(H15074,""IDENTITAS UNIT!D9"")"),"#N/A")</f>
        <v>#N/A</v>
      </c>
      <c r="H15074" s="4" t="str">
        <v/>
      </c>
      <c r="I15074" s="4" t="str">
        <v/>
      </c>
    </row>
    <row r="15075" spans="5:9" ht="16.5" hidden="1">
      <c r="E15075" s="4" t="str">
        <v/>
      </c>
      <c r="F15075" s="102" t="str">
        <f ca="1">IFERROR(__xludf.DUMMYFUNCTION("IMPORTRANGE(H15075,""IDENTITAS UNIT!D9"")"),"#N/A")</f>
        <v>#N/A</v>
      </c>
      <c r="H15075" s="4" t="str">
        <v/>
      </c>
      <c r="I15075" s="4" t="str">
        <v/>
      </c>
    </row>
    <row r="15076" spans="5:9" ht="16.5" hidden="1">
      <c r="E15076" s="4" t="str">
        <v/>
      </c>
      <c r="F15076" s="102" t="str">
        <f ca="1">IFERROR(__xludf.DUMMYFUNCTION("IMPORTRANGE(H15076,""IDENTITAS UNIT!D9"")"),"#N/A")</f>
        <v>#N/A</v>
      </c>
      <c r="H15076" s="4" t="str">
        <v/>
      </c>
      <c r="I15076" s="4" t="str">
        <v/>
      </c>
    </row>
    <row r="15077" spans="5:9" ht="16.5" hidden="1">
      <c r="E15077" s="4" t="str">
        <v/>
      </c>
      <c r="F15077" s="102" t="str">
        <f ca="1">IFERROR(__xludf.DUMMYFUNCTION("IMPORTRANGE(H15077,""IDENTITAS UNIT!D9"")"),"#N/A")</f>
        <v>#N/A</v>
      </c>
      <c r="H15077" s="4" t="str">
        <v/>
      </c>
      <c r="I15077" s="4" t="str">
        <v/>
      </c>
    </row>
    <row r="15078" spans="5:9" ht="16.5" hidden="1">
      <c r="E15078" s="4" t="str">
        <v/>
      </c>
      <c r="F15078" s="102" t="str">
        <f ca="1">IFERROR(__xludf.DUMMYFUNCTION("IMPORTRANGE(H15078,""IDENTITAS UNIT!D9"")"),"#N/A")</f>
        <v>#N/A</v>
      </c>
      <c r="H15078" s="4" t="str">
        <v/>
      </c>
      <c r="I15078" s="4" t="str">
        <v/>
      </c>
    </row>
    <row r="15079" spans="5:9" ht="16.5" hidden="1">
      <c r="E15079" s="4" t="str">
        <v/>
      </c>
      <c r="F15079" s="102" t="str">
        <f ca="1">IFERROR(__xludf.DUMMYFUNCTION("IMPORTRANGE(H15079,""IDENTITAS UNIT!D9"")"),"#N/A")</f>
        <v>#N/A</v>
      </c>
      <c r="H15079" s="4" t="str">
        <v/>
      </c>
      <c r="I15079" s="4" t="str">
        <v/>
      </c>
    </row>
    <row r="15080" spans="5:9" ht="16.5" hidden="1">
      <c r="E15080" s="4" t="str">
        <v/>
      </c>
      <c r="F15080" s="102" t="str">
        <f ca="1">IFERROR(__xludf.DUMMYFUNCTION("IMPORTRANGE(H15080,""IDENTITAS UNIT!D9"")"),"#N/A")</f>
        <v>#N/A</v>
      </c>
      <c r="H15080" s="4" t="str">
        <v/>
      </c>
      <c r="I15080" s="4" t="str">
        <v/>
      </c>
    </row>
    <row r="15081" spans="5:9" ht="16.5" hidden="1">
      <c r="E15081" s="4" t="str">
        <v/>
      </c>
      <c r="F15081" s="102" t="str">
        <f ca="1">IFERROR(__xludf.DUMMYFUNCTION("IMPORTRANGE(H15081,""IDENTITAS UNIT!D9"")"),"#N/A")</f>
        <v>#N/A</v>
      </c>
      <c r="H15081" s="4" t="str">
        <v/>
      </c>
      <c r="I15081" s="4" t="str">
        <v/>
      </c>
    </row>
    <row r="15082" spans="5:9" ht="16.5" hidden="1">
      <c r="E15082" s="4" t="str">
        <v/>
      </c>
      <c r="F15082" s="102" t="str">
        <f ca="1">IFERROR(__xludf.DUMMYFUNCTION("IMPORTRANGE(H15082,""IDENTITAS UNIT!D9"")"),"#N/A")</f>
        <v>#N/A</v>
      </c>
      <c r="H15082" s="4" t="str">
        <v/>
      </c>
      <c r="I15082" s="4" t="str">
        <v/>
      </c>
    </row>
    <row r="15083" spans="5:9" ht="16.5" hidden="1">
      <c r="E15083" s="4" t="str">
        <v/>
      </c>
      <c r="F15083" s="102" t="str">
        <f ca="1">IFERROR(__xludf.DUMMYFUNCTION("IMPORTRANGE(H15083,""IDENTITAS UNIT!D9"")"),"#N/A")</f>
        <v>#N/A</v>
      </c>
      <c r="H15083" s="4" t="str">
        <v/>
      </c>
      <c r="I15083" s="4" t="str">
        <v/>
      </c>
    </row>
    <row r="15084" spans="5:9" ht="16.5" hidden="1">
      <c r="E15084" s="4" t="str">
        <v/>
      </c>
      <c r="F15084" s="102" t="str">
        <f ca="1">IFERROR(__xludf.DUMMYFUNCTION("IMPORTRANGE(H15084,""IDENTITAS UNIT!D9"")"),"#N/A")</f>
        <v>#N/A</v>
      </c>
      <c r="H15084" s="4" t="str">
        <v/>
      </c>
      <c r="I15084" s="4" t="str">
        <v/>
      </c>
    </row>
    <row r="15085" spans="5:9" ht="16.5" hidden="1">
      <c r="E15085" s="4" t="str">
        <v/>
      </c>
      <c r="F15085" s="102" t="str">
        <f ca="1">IFERROR(__xludf.DUMMYFUNCTION("IMPORTRANGE(H15085,""IDENTITAS UNIT!D9"")"),"#N/A")</f>
        <v>#N/A</v>
      </c>
      <c r="H15085" s="4" t="str">
        <v/>
      </c>
      <c r="I15085" s="4" t="str">
        <v/>
      </c>
    </row>
    <row r="15086" spans="5:9" ht="16.5" hidden="1">
      <c r="E15086" s="4" t="str">
        <v/>
      </c>
      <c r="F15086" s="102" t="str">
        <f ca="1">IFERROR(__xludf.DUMMYFUNCTION("IMPORTRANGE(H15086,""IDENTITAS UNIT!D9"")"),"#N/A")</f>
        <v>#N/A</v>
      </c>
      <c r="H15086" s="4" t="str">
        <v/>
      </c>
      <c r="I15086" s="4" t="str">
        <v/>
      </c>
    </row>
    <row r="15087" spans="5:9" ht="16.5" hidden="1">
      <c r="E15087" s="4" t="str">
        <v/>
      </c>
      <c r="F15087" s="102" t="str">
        <f ca="1">IFERROR(__xludf.DUMMYFUNCTION("IMPORTRANGE(H15087,""IDENTITAS UNIT!D9"")"),"#N/A")</f>
        <v>#N/A</v>
      </c>
      <c r="H15087" s="4" t="str">
        <v/>
      </c>
      <c r="I15087" s="4" t="str">
        <v/>
      </c>
    </row>
    <row r="15088" spans="5:9" ht="16.5" hidden="1">
      <c r="E15088" s="4" t="str">
        <v/>
      </c>
      <c r="F15088" s="102" t="str">
        <f ca="1">IFERROR(__xludf.DUMMYFUNCTION("IMPORTRANGE(H15088,""IDENTITAS UNIT!D9"")"),"#N/A")</f>
        <v>#N/A</v>
      </c>
      <c r="H15088" s="4" t="str">
        <v/>
      </c>
      <c r="I15088" s="4" t="str">
        <v/>
      </c>
    </row>
    <row r="15089" spans="5:9" ht="16.5" hidden="1">
      <c r="E15089" s="4" t="str">
        <v/>
      </c>
      <c r="F15089" s="102" t="str">
        <f ca="1">IFERROR(__xludf.DUMMYFUNCTION("IMPORTRANGE(H15089,""IDENTITAS UNIT!D9"")"),"#N/A")</f>
        <v>#N/A</v>
      </c>
      <c r="H15089" s="4" t="str">
        <v/>
      </c>
      <c r="I15089" s="4" t="str">
        <v/>
      </c>
    </row>
    <row r="15090" spans="5:9" ht="16.5" hidden="1">
      <c r="E15090" s="4" t="str">
        <v/>
      </c>
      <c r="F15090" s="102" t="str">
        <f ca="1">IFERROR(__xludf.DUMMYFUNCTION("IMPORTRANGE(H15090,""IDENTITAS UNIT!D9"")"),"#N/A")</f>
        <v>#N/A</v>
      </c>
      <c r="H15090" s="4" t="str">
        <v/>
      </c>
      <c r="I15090" s="4" t="str">
        <v/>
      </c>
    </row>
    <row r="15091" spans="5:9" ht="16.5" hidden="1">
      <c r="E15091" s="4" t="str">
        <v/>
      </c>
      <c r="F15091" s="102" t="str">
        <f ca="1">IFERROR(__xludf.DUMMYFUNCTION("IMPORTRANGE(H15091,""IDENTITAS UNIT!D9"")"),"#N/A")</f>
        <v>#N/A</v>
      </c>
      <c r="H15091" s="4" t="str">
        <v/>
      </c>
      <c r="I15091" s="4" t="str">
        <v/>
      </c>
    </row>
    <row r="15092" spans="5:9" ht="16.5" hidden="1">
      <c r="E15092" s="4" t="str">
        <v/>
      </c>
      <c r="F15092" s="102" t="str">
        <f ca="1">IFERROR(__xludf.DUMMYFUNCTION("IMPORTRANGE(H15092,""IDENTITAS UNIT!D9"")"),"#N/A")</f>
        <v>#N/A</v>
      </c>
      <c r="H15092" s="4" t="str">
        <v/>
      </c>
      <c r="I15092" s="4" t="str">
        <v/>
      </c>
    </row>
    <row r="15093" spans="5:9" ht="16.5" hidden="1">
      <c r="E15093" s="4" t="str">
        <v/>
      </c>
      <c r="F15093" s="102" t="str">
        <f ca="1">IFERROR(__xludf.DUMMYFUNCTION("IMPORTRANGE(H15093,""IDENTITAS UNIT!D9"")"),"#N/A")</f>
        <v>#N/A</v>
      </c>
      <c r="H15093" s="4" t="str">
        <v/>
      </c>
      <c r="I15093" s="4" t="str">
        <v/>
      </c>
    </row>
    <row r="15094" spans="5:9" ht="16.5" hidden="1">
      <c r="E15094" s="4" t="str">
        <v/>
      </c>
      <c r="F15094" s="102" t="str">
        <f ca="1">IFERROR(__xludf.DUMMYFUNCTION("IMPORTRANGE(H15094,""IDENTITAS UNIT!D9"")"),"#N/A")</f>
        <v>#N/A</v>
      </c>
      <c r="H15094" s="4" t="str">
        <v/>
      </c>
      <c r="I15094" s="4" t="str">
        <v/>
      </c>
    </row>
    <row r="15095" spans="5:9" ht="16.5" hidden="1">
      <c r="E15095" s="4" t="str">
        <v/>
      </c>
      <c r="F15095" s="102" t="str">
        <f ca="1">IFERROR(__xludf.DUMMYFUNCTION("IMPORTRANGE(H15095,""IDENTITAS UNIT!D9"")"),"#N/A")</f>
        <v>#N/A</v>
      </c>
      <c r="H15095" s="4" t="str">
        <v/>
      </c>
      <c r="I15095" s="4" t="str">
        <v/>
      </c>
    </row>
    <row r="15096" spans="5:9" ht="16.5" hidden="1">
      <c r="E15096" s="4" t="str">
        <v/>
      </c>
      <c r="F15096" s="102" t="str">
        <f ca="1">IFERROR(__xludf.DUMMYFUNCTION("IMPORTRANGE(H15096,""IDENTITAS UNIT!D9"")"),"#N/A")</f>
        <v>#N/A</v>
      </c>
      <c r="H15096" s="4" t="str">
        <v/>
      </c>
      <c r="I15096" s="4" t="str">
        <v/>
      </c>
    </row>
    <row r="15097" spans="5:9" ht="16.5" hidden="1">
      <c r="E15097" s="4" t="str">
        <v/>
      </c>
      <c r="F15097" s="102" t="str">
        <f ca="1">IFERROR(__xludf.DUMMYFUNCTION("IMPORTRANGE(H15097,""IDENTITAS UNIT!D9"")"),"#N/A")</f>
        <v>#N/A</v>
      </c>
      <c r="H15097" s="4" t="str">
        <v/>
      </c>
      <c r="I15097" s="4" t="str">
        <v/>
      </c>
    </row>
    <row r="15098" spans="5:9" ht="16.5" hidden="1">
      <c r="E15098" s="4" t="str">
        <v/>
      </c>
      <c r="F15098" s="102" t="str">
        <f ca="1">IFERROR(__xludf.DUMMYFUNCTION("IMPORTRANGE(H15098,""IDENTITAS UNIT!D9"")"),"#N/A")</f>
        <v>#N/A</v>
      </c>
      <c r="H15098" s="4" t="str">
        <v/>
      </c>
      <c r="I15098" s="4" t="str">
        <v/>
      </c>
    </row>
    <row r="15099" spans="5:9" ht="16.5" hidden="1">
      <c r="E15099" s="4" t="str">
        <v/>
      </c>
      <c r="F15099" s="102" t="str">
        <f ca="1">IFERROR(__xludf.DUMMYFUNCTION("IMPORTRANGE(H15099,""IDENTITAS UNIT!D9"")"),"#N/A")</f>
        <v>#N/A</v>
      </c>
      <c r="H15099" s="4" t="str">
        <v/>
      </c>
      <c r="I15099" s="4" t="str">
        <v/>
      </c>
    </row>
    <row r="15100" spans="5:9" ht="16.5" hidden="1">
      <c r="E15100" s="4" t="str">
        <v/>
      </c>
      <c r="F15100" s="102" t="str">
        <f ca="1">IFERROR(__xludf.DUMMYFUNCTION("IMPORTRANGE(H15100,""IDENTITAS UNIT!D9"")"),"#N/A")</f>
        <v>#N/A</v>
      </c>
      <c r="H15100" s="4" t="str">
        <v/>
      </c>
      <c r="I15100" s="4" t="str">
        <v/>
      </c>
    </row>
    <row r="15101" spans="5:9" ht="16.5" hidden="1">
      <c r="E15101" s="4" t="str">
        <v/>
      </c>
      <c r="F15101" s="102" t="str">
        <f ca="1">IFERROR(__xludf.DUMMYFUNCTION("IMPORTRANGE(H15101,""IDENTITAS UNIT!D9"")"),"#N/A")</f>
        <v>#N/A</v>
      </c>
      <c r="H15101" s="4" t="str">
        <v/>
      </c>
      <c r="I15101" s="4" t="str">
        <v/>
      </c>
    </row>
    <row r="15102" spans="5:9" ht="16.5" hidden="1">
      <c r="E15102" s="4" t="str">
        <v/>
      </c>
      <c r="F15102" s="102" t="str">
        <f ca="1">IFERROR(__xludf.DUMMYFUNCTION("IMPORTRANGE(H15102,""IDENTITAS UNIT!D9"")"),"#N/A")</f>
        <v>#N/A</v>
      </c>
      <c r="H15102" s="4" t="str">
        <v/>
      </c>
      <c r="I15102" s="4" t="str">
        <v/>
      </c>
    </row>
    <row r="15103" spans="5:9" ht="16.5" hidden="1">
      <c r="E15103" s="4" t="str">
        <v/>
      </c>
      <c r="F15103" s="102" t="str">
        <f ca="1">IFERROR(__xludf.DUMMYFUNCTION("IMPORTRANGE(H15103,""IDENTITAS UNIT!D9"")"),"#N/A")</f>
        <v>#N/A</v>
      </c>
      <c r="H15103" s="4" t="str">
        <v/>
      </c>
      <c r="I15103" s="4" t="str">
        <v/>
      </c>
    </row>
    <row r="15104" spans="5:9" ht="16.5" hidden="1">
      <c r="E15104" s="4" t="str">
        <v/>
      </c>
      <c r="F15104" s="102" t="str">
        <f ca="1">IFERROR(__xludf.DUMMYFUNCTION("IMPORTRANGE(H15104,""IDENTITAS UNIT!D9"")"),"#N/A")</f>
        <v>#N/A</v>
      </c>
      <c r="H15104" s="4" t="str">
        <v/>
      </c>
      <c r="I15104" s="4" t="str">
        <v/>
      </c>
    </row>
    <row r="15105" spans="5:9" ht="16.5" hidden="1">
      <c r="E15105" s="4" t="str">
        <v/>
      </c>
      <c r="F15105" s="102" t="str">
        <f ca="1">IFERROR(__xludf.DUMMYFUNCTION("IMPORTRANGE(H15105,""IDENTITAS UNIT!D9"")"),"#N/A")</f>
        <v>#N/A</v>
      </c>
      <c r="H15105" s="4" t="str">
        <v/>
      </c>
      <c r="I15105" s="4" t="str">
        <v/>
      </c>
    </row>
    <row r="15106" spans="5:9" ht="16.5" hidden="1">
      <c r="E15106" s="4" t="str">
        <v/>
      </c>
      <c r="F15106" s="102" t="str">
        <f ca="1">IFERROR(__xludf.DUMMYFUNCTION("IMPORTRANGE(H15106,""IDENTITAS UNIT!D9"")"),"#N/A")</f>
        <v>#N/A</v>
      </c>
      <c r="H15106" s="4" t="str">
        <v/>
      </c>
      <c r="I15106" s="4" t="str">
        <v/>
      </c>
    </row>
    <row r="15107" spans="5:9" ht="16.5" hidden="1">
      <c r="E15107" s="4" t="str">
        <v/>
      </c>
      <c r="F15107" s="102" t="str">
        <f ca="1">IFERROR(__xludf.DUMMYFUNCTION("IMPORTRANGE(H15107,""IDENTITAS UNIT!D9"")"),"#N/A")</f>
        <v>#N/A</v>
      </c>
      <c r="H15107" s="4" t="str">
        <v/>
      </c>
      <c r="I15107" s="4" t="str">
        <v/>
      </c>
    </row>
    <row r="15108" spans="5:9" ht="16.5" hidden="1">
      <c r="E15108" s="4" t="str">
        <v/>
      </c>
      <c r="F15108" s="102" t="str">
        <f ca="1">IFERROR(__xludf.DUMMYFUNCTION("IMPORTRANGE(H15108,""IDENTITAS UNIT!D9"")"),"#N/A")</f>
        <v>#N/A</v>
      </c>
      <c r="H15108" s="4" t="str">
        <v/>
      </c>
      <c r="I15108" s="4" t="str">
        <v/>
      </c>
    </row>
    <row r="15109" spans="5:9" ht="16.5" hidden="1">
      <c r="E15109" s="4" t="str">
        <v/>
      </c>
      <c r="F15109" s="102" t="str">
        <f ca="1">IFERROR(__xludf.DUMMYFUNCTION("IMPORTRANGE(H15109,""IDENTITAS UNIT!D9"")"),"#N/A")</f>
        <v>#N/A</v>
      </c>
      <c r="H15109" s="4" t="str">
        <v/>
      </c>
      <c r="I15109" s="4" t="str">
        <v/>
      </c>
    </row>
    <row r="15110" spans="5:9" ht="16.5" hidden="1">
      <c r="E15110" s="4" t="str">
        <v/>
      </c>
      <c r="F15110" s="102" t="str">
        <f ca="1">IFERROR(__xludf.DUMMYFUNCTION("IMPORTRANGE(H15110,""IDENTITAS UNIT!D9"")"),"#N/A")</f>
        <v>#N/A</v>
      </c>
      <c r="H15110" s="4" t="str">
        <v/>
      </c>
      <c r="I15110" s="4" t="str">
        <v/>
      </c>
    </row>
    <row r="15111" spans="5:9" ht="16.5" hidden="1">
      <c r="E15111" s="4" t="str">
        <v/>
      </c>
      <c r="F15111" s="102" t="str">
        <f ca="1">IFERROR(__xludf.DUMMYFUNCTION("IMPORTRANGE(H15111,""IDENTITAS UNIT!D9"")"),"#N/A")</f>
        <v>#N/A</v>
      </c>
      <c r="H15111" s="4" t="str">
        <v/>
      </c>
      <c r="I15111" s="4" t="str">
        <v/>
      </c>
    </row>
    <row r="15112" spans="5:9" ht="16.5" hidden="1">
      <c r="E15112" s="4" t="str">
        <v/>
      </c>
      <c r="F15112" s="102" t="str">
        <f ca="1">IFERROR(__xludf.DUMMYFUNCTION("IMPORTRANGE(H15112,""IDENTITAS UNIT!D9"")"),"#N/A")</f>
        <v>#N/A</v>
      </c>
      <c r="H15112" s="4" t="str">
        <v/>
      </c>
      <c r="I15112" s="4" t="str">
        <v/>
      </c>
    </row>
    <row r="15113" spans="5:9" ht="16.5" hidden="1">
      <c r="E15113" s="4" t="str">
        <v/>
      </c>
      <c r="F15113" s="102" t="str">
        <f ca="1">IFERROR(__xludf.DUMMYFUNCTION("IMPORTRANGE(H15113,""IDENTITAS UNIT!D9"")"),"#N/A")</f>
        <v>#N/A</v>
      </c>
      <c r="H15113" s="4" t="str">
        <v/>
      </c>
      <c r="I15113" s="4" t="str">
        <v/>
      </c>
    </row>
    <row r="15114" spans="5:9" ht="16.5" hidden="1">
      <c r="E15114" s="4" t="str">
        <v/>
      </c>
      <c r="F15114" s="102" t="str">
        <f ca="1">IFERROR(__xludf.DUMMYFUNCTION("IMPORTRANGE(H15114,""IDENTITAS UNIT!D9"")"),"#N/A")</f>
        <v>#N/A</v>
      </c>
      <c r="H15114" s="4" t="str">
        <v/>
      </c>
      <c r="I15114" s="4" t="str">
        <v/>
      </c>
    </row>
    <row r="15115" spans="5:9" ht="16.5" hidden="1">
      <c r="E15115" s="4" t="str">
        <v/>
      </c>
      <c r="F15115" s="102" t="str">
        <f ca="1">IFERROR(__xludf.DUMMYFUNCTION("IMPORTRANGE(H15115,""IDENTITAS UNIT!D9"")"),"#N/A")</f>
        <v>#N/A</v>
      </c>
      <c r="H15115" s="4" t="str">
        <v/>
      </c>
      <c r="I15115" s="4" t="str">
        <v/>
      </c>
    </row>
    <row r="15116" spans="5:9" ht="16.5" hidden="1">
      <c r="E15116" s="4" t="str">
        <v/>
      </c>
      <c r="F15116" s="102" t="str">
        <f ca="1">IFERROR(__xludf.DUMMYFUNCTION("IMPORTRANGE(H15116,""IDENTITAS UNIT!D9"")"),"#N/A")</f>
        <v>#N/A</v>
      </c>
      <c r="H15116" s="4" t="str">
        <v/>
      </c>
      <c r="I15116" s="4" t="str">
        <v/>
      </c>
    </row>
    <row r="15117" spans="5:9" ht="16.5" hidden="1">
      <c r="E15117" s="4" t="str">
        <v/>
      </c>
      <c r="F15117" s="102" t="str">
        <f ca="1">IFERROR(__xludf.DUMMYFUNCTION("IMPORTRANGE(H15117,""IDENTITAS UNIT!D9"")"),"#N/A")</f>
        <v>#N/A</v>
      </c>
      <c r="H15117" s="4" t="str">
        <v/>
      </c>
      <c r="I15117" s="4" t="str">
        <v/>
      </c>
    </row>
    <row r="15118" spans="5:9" ht="16.5" hidden="1">
      <c r="E15118" s="4" t="str">
        <v/>
      </c>
      <c r="F15118" s="102" t="str">
        <f ca="1">IFERROR(__xludf.DUMMYFUNCTION("IMPORTRANGE(H15118,""IDENTITAS UNIT!D9"")"),"#N/A")</f>
        <v>#N/A</v>
      </c>
      <c r="H15118" s="4" t="str">
        <v/>
      </c>
      <c r="I15118" s="4" t="str">
        <v/>
      </c>
    </row>
    <row r="15119" spans="5:9" ht="16.5" hidden="1">
      <c r="E15119" s="4" t="str">
        <v/>
      </c>
      <c r="F15119" s="102" t="str">
        <f ca="1">IFERROR(__xludf.DUMMYFUNCTION("IMPORTRANGE(H15119,""IDENTITAS UNIT!D9"")"),"#N/A")</f>
        <v>#N/A</v>
      </c>
      <c r="H15119" s="4" t="str">
        <v/>
      </c>
      <c r="I15119" s="4" t="str">
        <v/>
      </c>
    </row>
    <row r="15120" spans="5:9" ht="16.5" hidden="1">
      <c r="E15120" s="4" t="str">
        <v/>
      </c>
      <c r="F15120" s="102" t="str">
        <f ca="1">IFERROR(__xludf.DUMMYFUNCTION("IMPORTRANGE(H15120,""IDENTITAS UNIT!D9"")"),"#N/A")</f>
        <v>#N/A</v>
      </c>
      <c r="H15120" s="4" t="str">
        <v/>
      </c>
      <c r="I15120" s="4" t="str">
        <v/>
      </c>
    </row>
    <row r="15121" spans="5:9" ht="16.5" hidden="1">
      <c r="E15121" s="4" t="str">
        <v/>
      </c>
      <c r="F15121" s="102" t="str">
        <f ca="1">IFERROR(__xludf.DUMMYFUNCTION("IMPORTRANGE(H15121,""IDENTITAS UNIT!D9"")"),"#N/A")</f>
        <v>#N/A</v>
      </c>
      <c r="H15121" s="4" t="str">
        <v/>
      </c>
      <c r="I15121" s="4" t="str">
        <v/>
      </c>
    </row>
    <row r="15122" spans="5:9" ht="16.5" hidden="1">
      <c r="E15122" s="4" t="str">
        <v/>
      </c>
      <c r="F15122" s="102" t="str">
        <f ca="1">IFERROR(__xludf.DUMMYFUNCTION("IMPORTRANGE(H15122,""IDENTITAS UNIT!D9"")"),"#N/A")</f>
        <v>#N/A</v>
      </c>
      <c r="H15122" s="4" t="str">
        <v/>
      </c>
      <c r="I15122" s="4" t="str">
        <v/>
      </c>
    </row>
    <row r="15123" spans="5:9" ht="16.5" hidden="1">
      <c r="E15123" s="4" t="str">
        <v/>
      </c>
      <c r="F15123" s="102" t="str">
        <f ca="1">IFERROR(__xludf.DUMMYFUNCTION("IMPORTRANGE(H15123,""IDENTITAS UNIT!D9"")"),"#N/A")</f>
        <v>#N/A</v>
      </c>
      <c r="H15123" s="4" t="str">
        <v/>
      </c>
      <c r="I15123" s="4" t="str">
        <v/>
      </c>
    </row>
    <row r="15124" spans="5:9" ht="16.5" hidden="1">
      <c r="E15124" s="4" t="str">
        <v/>
      </c>
      <c r="F15124" s="102" t="str">
        <f ca="1">IFERROR(__xludf.DUMMYFUNCTION("IMPORTRANGE(H15124,""IDENTITAS UNIT!D9"")"),"#N/A")</f>
        <v>#N/A</v>
      </c>
      <c r="H15124" s="4" t="str">
        <v/>
      </c>
      <c r="I15124" s="4" t="str">
        <v/>
      </c>
    </row>
    <row r="15125" spans="5:9" ht="16.5" hidden="1">
      <c r="E15125" s="4" t="str">
        <v/>
      </c>
      <c r="F15125" s="102" t="str">
        <f ca="1">IFERROR(__xludf.DUMMYFUNCTION("IMPORTRANGE(H15125,""IDENTITAS UNIT!D9"")"),"#N/A")</f>
        <v>#N/A</v>
      </c>
      <c r="H15125" s="4" t="str">
        <v/>
      </c>
      <c r="I15125" s="4" t="str">
        <v/>
      </c>
    </row>
    <row r="15126" spans="5:9" ht="16.5" hidden="1">
      <c r="E15126" s="4" t="str">
        <v/>
      </c>
      <c r="F15126" s="102" t="str">
        <f ca="1">IFERROR(__xludf.DUMMYFUNCTION("IMPORTRANGE(H15126,""IDENTITAS UNIT!D9"")"),"#N/A")</f>
        <v>#N/A</v>
      </c>
      <c r="H15126" s="4" t="str">
        <v/>
      </c>
      <c r="I15126" s="4" t="str">
        <v/>
      </c>
    </row>
    <row r="15127" spans="5:9" ht="16.5" hidden="1">
      <c r="E15127" s="4" t="str">
        <v/>
      </c>
      <c r="F15127" s="102" t="str">
        <f ca="1">IFERROR(__xludf.DUMMYFUNCTION("IMPORTRANGE(H15127,""IDENTITAS UNIT!D9"")"),"#N/A")</f>
        <v>#N/A</v>
      </c>
      <c r="H15127" s="4" t="str">
        <v/>
      </c>
      <c r="I15127" s="4" t="str">
        <v/>
      </c>
    </row>
    <row r="15128" spans="5:9" ht="16.5" hidden="1">
      <c r="E15128" s="4" t="str">
        <v/>
      </c>
      <c r="F15128" s="102" t="str">
        <f ca="1">IFERROR(__xludf.DUMMYFUNCTION("IMPORTRANGE(H15128,""IDENTITAS UNIT!D9"")"),"#N/A")</f>
        <v>#N/A</v>
      </c>
      <c r="H15128" s="4" t="str">
        <v/>
      </c>
      <c r="I15128" s="4" t="str">
        <v/>
      </c>
    </row>
    <row r="15129" spans="5:9" ht="16.5" hidden="1">
      <c r="E15129" s="4" t="str">
        <v/>
      </c>
      <c r="F15129" s="102" t="str">
        <f ca="1">IFERROR(__xludf.DUMMYFUNCTION("IMPORTRANGE(H15129,""IDENTITAS UNIT!D9"")"),"#N/A")</f>
        <v>#N/A</v>
      </c>
      <c r="H15129" s="4" t="str">
        <v/>
      </c>
      <c r="I15129" s="4" t="str">
        <v/>
      </c>
    </row>
    <row r="15130" spans="5:9" ht="16.5" hidden="1">
      <c r="E15130" s="4" t="str">
        <v/>
      </c>
      <c r="F15130" s="102" t="str">
        <f ca="1">IFERROR(__xludf.DUMMYFUNCTION("IMPORTRANGE(H15130,""IDENTITAS UNIT!D9"")"),"#N/A")</f>
        <v>#N/A</v>
      </c>
      <c r="H15130" s="4" t="str">
        <v/>
      </c>
      <c r="I15130" s="4" t="str">
        <v/>
      </c>
    </row>
    <row r="15131" spans="5:9" ht="16.5" hidden="1">
      <c r="E15131" s="4" t="str">
        <v/>
      </c>
      <c r="F15131" s="102" t="str">
        <f ca="1">IFERROR(__xludf.DUMMYFUNCTION("IMPORTRANGE(H15131,""IDENTITAS UNIT!D9"")"),"#N/A")</f>
        <v>#N/A</v>
      </c>
      <c r="H15131" s="4" t="str">
        <v/>
      </c>
      <c r="I15131" s="4" t="str">
        <v/>
      </c>
    </row>
    <row r="15132" spans="5:9" ht="16.5" hidden="1">
      <c r="E15132" s="4" t="str">
        <v/>
      </c>
      <c r="F15132" s="102" t="str">
        <f ca="1">IFERROR(__xludf.DUMMYFUNCTION("IMPORTRANGE(H15132,""IDENTITAS UNIT!D9"")"),"#N/A")</f>
        <v>#N/A</v>
      </c>
      <c r="H15132" s="4" t="str">
        <v/>
      </c>
      <c r="I15132" s="4" t="str">
        <v/>
      </c>
    </row>
    <row r="15133" spans="5:9" ht="16.5" hidden="1">
      <c r="E15133" s="4" t="str">
        <v/>
      </c>
      <c r="F15133" s="102" t="str">
        <f ca="1">IFERROR(__xludf.DUMMYFUNCTION("IMPORTRANGE(H15133,""IDENTITAS UNIT!D9"")"),"#N/A")</f>
        <v>#N/A</v>
      </c>
      <c r="H15133" s="4" t="str">
        <v/>
      </c>
      <c r="I15133" s="4" t="str">
        <v/>
      </c>
    </row>
    <row r="15134" spans="5:9" ht="16.5" hidden="1">
      <c r="E15134" s="4" t="str">
        <v/>
      </c>
      <c r="F15134" s="102" t="str">
        <f ca="1">IFERROR(__xludf.DUMMYFUNCTION("IMPORTRANGE(H15134,""IDENTITAS UNIT!D9"")"),"#N/A")</f>
        <v>#N/A</v>
      </c>
      <c r="H15134" s="4" t="str">
        <v/>
      </c>
      <c r="I15134" s="4" t="str">
        <v/>
      </c>
    </row>
    <row r="15135" spans="5:9" ht="16.5" hidden="1">
      <c r="E15135" s="4" t="str">
        <v/>
      </c>
      <c r="F15135" s="102" t="str">
        <f ca="1">IFERROR(__xludf.DUMMYFUNCTION("IMPORTRANGE(H15135,""IDENTITAS UNIT!D9"")"),"#N/A")</f>
        <v>#N/A</v>
      </c>
      <c r="H15135" s="4" t="str">
        <v/>
      </c>
      <c r="I15135" s="4" t="str">
        <v/>
      </c>
    </row>
    <row r="15136" spans="5:9" ht="16.5" hidden="1">
      <c r="E15136" s="4" t="str">
        <v/>
      </c>
      <c r="F15136" s="102" t="str">
        <f ca="1">IFERROR(__xludf.DUMMYFUNCTION("IMPORTRANGE(H15136,""IDENTITAS UNIT!D9"")"),"#N/A")</f>
        <v>#N/A</v>
      </c>
      <c r="H15136" s="4" t="str">
        <v/>
      </c>
      <c r="I15136" s="4" t="str">
        <v/>
      </c>
    </row>
    <row r="15137" spans="5:9" ht="16.5" hidden="1">
      <c r="E15137" s="4" t="str">
        <v/>
      </c>
      <c r="F15137" s="102" t="str">
        <f ca="1">IFERROR(__xludf.DUMMYFUNCTION("IMPORTRANGE(H15137,""IDENTITAS UNIT!D9"")"),"#N/A")</f>
        <v>#N/A</v>
      </c>
      <c r="H15137" s="4" t="str">
        <v/>
      </c>
      <c r="I15137" s="4" t="str">
        <v/>
      </c>
    </row>
    <row r="15138" spans="5:9" ht="16.5" hidden="1">
      <c r="E15138" s="4" t="str">
        <v/>
      </c>
      <c r="F15138" s="102" t="str">
        <f ca="1">IFERROR(__xludf.DUMMYFUNCTION("IMPORTRANGE(H15138,""IDENTITAS UNIT!D9"")"),"#N/A")</f>
        <v>#N/A</v>
      </c>
      <c r="H15138" s="4" t="str">
        <v/>
      </c>
      <c r="I15138" s="4" t="str">
        <v/>
      </c>
    </row>
    <row r="15139" spans="5:9" ht="16.5" hidden="1">
      <c r="E15139" s="4" t="str">
        <v/>
      </c>
      <c r="F15139" s="102" t="str">
        <f ca="1">IFERROR(__xludf.DUMMYFUNCTION("IMPORTRANGE(H15139,""IDENTITAS UNIT!D9"")"),"#N/A")</f>
        <v>#N/A</v>
      </c>
      <c r="H15139" s="4" t="str">
        <v/>
      </c>
      <c r="I15139" s="4" t="str">
        <v/>
      </c>
    </row>
    <row r="15140" spans="5:9" ht="16.5" hidden="1">
      <c r="E15140" s="4" t="str">
        <v/>
      </c>
      <c r="F15140" s="102" t="str">
        <f ca="1">IFERROR(__xludf.DUMMYFUNCTION("IMPORTRANGE(H15140,""IDENTITAS UNIT!D9"")"),"#N/A")</f>
        <v>#N/A</v>
      </c>
      <c r="H15140" s="4" t="str">
        <v/>
      </c>
      <c r="I15140" s="4" t="str">
        <v/>
      </c>
    </row>
    <row r="15141" spans="5:9" ht="16.5" hidden="1">
      <c r="E15141" s="4" t="str">
        <v/>
      </c>
      <c r="F15141" s="102" t="str">
        <f ca="1">IFERROR(__xludf.DUMMYFUNCTION("IMPORTRANGE(H15141,""IDENTITAS UNIT!D9"")"),"#N/A")</f>
        <v>#N/A</v>
      </c>
      <c r="H15141" s="4" t="str">
        <v/>
      </c>
      <c r="I15141" s="4" t="str">
        <v/>
      </c>
    </row>
    <row r="15142" spans="5:9" ht="16.5" hidden="1">
      <c r="E15142" s="4" t="str">
        <v/>
      </c>
      <c r="F15142" s="102" t="str">
        <f ca="1">IFERROR(__xludf.DUMMYFUNCTION("IMPORTRANGE(H15142,""IDENTITAS UNIT!D9"")"),"#N/A")</f>
        <v>#N/A</v>
      </c>
      <c r="H15142" s="4" t="str">
        <v/>
      </c>
      <c r="I15142" s="4" t="str">
        <v/>
      </c>
    </row>
    <row r="15143" spans="5:9" ht="16.5" hidden="1">
      <c r="E15143" s="4" t="str">
        <v/>
      </c>
      <c r="F15143" s="102" t="str">
        <f ca="1">IFERROR(__xludf.DUMMYFUNCTION("IMPORTRANGE(H15143,""IDENTITAS UNIT!D9"")"),"#N/A")</f>
        <v>#N/A</v>
      </c>
      <c r="H15143" s="4" t="str">
        <v/>
      </c>
      <c r="I15143" s="4" t="str">
        <v/>
      </c>
    </row>
    <row r="15144" spans="5:9" ht="16.5" hidden="1">
      <c r="E15144" s="4" t="str">
        <v/>
      </c>
      <c r="F15144" s="102" t="str">
        <f ca="1">IFERROR(__xludf.DUMMYFUNCTION("IMPORTRANGE(H15144,""IDENTITAS UNIT!D9"")"),"#N/A")</f>
        <v>#N/A</v>
      </c>
      <c r="H15144" s="4" t="str">
        <v/>
      </c>
      <c r="I15144" s="4" t="str">
        <v/>
      </c>
    </row>
    <row r="15145" spans="5:9" ht="16.5" hidden="1">
      <c r="E15145" s="4" t="str">
        <v/>
      </c>
      <c r="F15145" s="102" t="str">
        <f ca="1">IFERROR(__xludf.DUMMYFUNCTION("IMPORTRANGE(H15145,""IDENTITAS UNIT!D9"")"),"#N/A")</f>
        <v>#N/A</v>
      </c>
      <c r="H15145" s="4" t="str">
        <v/>
      </c>
      <c r="I15145" s="4" t="str">
        <v/>
      </c>
    </row>
    <row r="15146" spans="5:9" ht="16.5" hidden="1">
      <c r="E15146" s="4" t="str">
        <v/>
      </c>
      <c r="F15146" s="102" t="str">
        <f ca="1">IFERROR(__xludf.DUMMYFUNCTION("IMPORTRANGE(H15146,""IDENTITAS UNIT!D9"")"),"#N/A")</f>
        <v>#N/A</v>
      </c>
      <c r="H15146" s="4" t="str">
        <v/>
      </c>
      <c r="I15146" s="4" t="str">
        <v/>
      </c>
    </row>
    <row r="15147" spans="5:9" ht="16.5" hidden="1">
      <c r="E15147" s="4" t="str">
        <v/>
      </c>
      <c r="F15147" s="102" t="str">
        <f ca="1">IFERROR(__xludf.DUMMYFUNCTION("IMPORTRANGE(H15147,""IDENTITAS UNIT!D9"")"),"#N/A")</f>
        <v>#N/A</v>
      </c>
      <c r="H15147" s="4" t="str">
        <v/>
      </c>
      <c r="I15147" s="4" t="str">
        <v/>
      </c>
    </row>
    <row r="15148" spans="5:9" ht="16.5" hidden="1">
      <c r="E15148" s="4" t="str">
        <v/>
      </c>
      <c r="F15148" s="102" t="str">
        <f ca="1">IFERROR(__xludf.DUMMYFUNCTION("IMPORTRANGE(H15148,""IDENTITAS UNIT!D9"")"),"#N/A")</f>
        <v>#N/A</v>
      </c>
      <c r="H15148" s="4" t="str">
        <v/>
      </c>
      <c r="I15148" s="4" t="str">
        <v/>
      </c>
    </row>
    <row r="15149" spans="5:9" ht="16.5" hidden="1">
      <c r="E15149" s="4" t="str">
        <v/>
      </c>
      <c r="F15149" s="102" t="str">
        <f ca="1">IFERROR(__xludf.DUMMYFUNCTION("IMPORTRANGE(H15149,""IDENTITAS UNIT!D9"")"),"#N/A")</f>
        <v>#N/A</v>
      </c>
      <c r="H15149" s="4" t="str">
        <v/>
      </c>
      <c r="I15149" s="4" t="str">
        <v/>
      </c>
    </row>
    <row r="15150" spans="5:9" ht="16.5" hidden="1">
      <c r="E15150" s="4" t="str">
        <v/>
      </c>
      <c r="F15150" s="102" t="str">
        <f ca="1">IFERROR(__xludf.DUMMYFUNCTION("IMPORTRANGE(H15150,""IDENTITAS UNIT!D9"")"),"#N/A")</f>
        <v>#N/A</v>
      </c>
      <c r="H15150" s="4" t="str">
        <v/>
      </c>
      <c r="I15150" s="4" t="str">
        <v/>
      </c>
    </row>
    <row r="15151" spans="5:9" ht="16.5" hidden="1">
      <c r="E15151" s="4" t="str">
        <v/>
      </c>
      <c r="F15151" s="102" t="str">
        <f ca="1">IFERROR(__xludf.DUMMYFUNCTION("IMPORTRANGE(H15151,""IDENTITAS UNIT!D9"")"),"#N/A")</f>
        <v>#N/A</v>
      </c>
      <c r="H15151" s="4" t="str">
        <v/>
      </c>
      <c r="I15151" s="4" t="str">
        <v/>
      </c>
    </row>
    <row r="15152" spans="5:9" ht="16.5" hidden="1">
      <c r="E15152" s="4" t="str">
        <v/>
      </c>
      <c r="F15152" s="102" t="str">
        <f ca="1">IFERROR(__xludf.DUMMYFUNCTION("IMPORTRANGE(H15152,""IDENTITAS UNIT!D9"")"),"#N/A")</f>
        <v>#N/A</v>
      </c>
      <c r="H15152" s="4" t="str">
        <v/>
      </c>
      <c r="I15152" s="4" t="str">
        <v/>
      </c>
    </row>
    <row r="15153" spans="5:9" ht="16.5" hidden="1">
      <c r="E15153" s="4" t="str">
        <v/>
      </c>
      <c r="F15153" s="102" t="str">
        <f ca="1">IFERROR(__xludf.DUMMYFUNCTION("IMPORTRANGE(H15153,""IDENTITAS UNIT!D9"")"),"#N/A")</f>
        <v>#N/A</v>
      </c>
      <c r="H15153" s="4" t="str">
        <v/>
      </c>
      <c r="I15153" s="4" t="str">
        <v/>
      </c>
    </row>
    <row r="15154" spans="5:9" ht="16.5" hidden="1">
      <c r="E15154" s="4" t="str">
        <v/>
      </c>
      <c r="F15154" s="102" t="str">
        <f ca="1">IFERROR(__xludf.DUMMYFUNCTION("IMPORTRANGE(H15154,""IDENTITAS UNIT!D9"")"),"#N/A")</f>
        <v>#N/A</v>
      </c>
      <c r="H15154" s="4" t="str">
        <v/>
      </c>
      <c r="I15154" s="4" t="str">
        <v/>
      </c>
    </row>
    <row r="15155" spans="5:9" ht="16.5" hidden="1">
      <c r="E15155" s="4" t="str">
        <v/>
      </c>
      <c r="F15155" s="102" t="str">
        <f ca="1">IFERROR(__xludf.DUMMYFUNCTION("IMPORTRANGE(H15155,""IDENTITAS UNIT!D9"")"),"#N/A")</f>
        <v>#N/A</v>
      </c>
      <c r="H15155" s="4" t="str">
        <v/>
      </c>
      <c r="I15155" s="4" t="str">
        <v/>
      </c>
    </row>
    <row r="15156" spans="5:9" ht="16.5" hidden="1">
      <c r="E15156" s="4" t="str">
        <v/>
      </c>
      <c r="F15156" s="102" t="str">
        <f ca="1">IFERROR(__xludf.DUMMYFUNCTION("IMPORTRANGE(H15156,""IDENTITAS UNIT!D9"")"),"#N/A")</f>
        <v>#N/A</v>
      </c>
      <c r="H15156" s="4" t="str">
        <v/>
      </c>
      <c r="I15156" s="4" t="str">
        <v/>
      </c>
    </row>
    <row r="15157" spans="5:9" ht="16.5" hidden="1">
      <c r="E15157" s="4" t="str">
        <v/>
      </c>
      <c r="F15157" s="102" t="str">
        <f ca="1">IFERROR(__xludf.DUMMYFUNCTION("IMPORTRANGE(H15157,""IDENTITAS UNIT!D9"")"),"#N/A")</f>
        <v>#N/A</v>
      </c>
      <c r="H15157" s="4" t="str">
        <v/>
      </c>
      <c r="I15157" s="4" t="str">
        <v/>
      </c>
    </row>
    <row r="15158" spans="5:9" ht="16.5" hidden="1">
      <c r="E15158" s="4" t="str">
        <v/>
      </c>
      <c r="F15158" s="102" t="str">
        <f ca="1">IFERROR(__xludf.DUMMYFUNCTION("IMPORTRANGE(H15158,""IDENTITAS UNIT!D9"")"),"#N/A")</f>
        <v>#N/A</v>
      </c>
      <c r="H15158" s="4" t="str">
        <v/>
      </c>
      <c r="I15158" s="4" t="str">
        <v/>
      </c>
    </row>
    <row r="15159" spans="5:9" ht="16.5" hidden="1">
      <c r="E15159" s="4" t="str">
        <v/>
      </c>
      <c r="F15159" s="102" t="str">
        <f ca="1">IFERROR(__xludf.DUMMYFUNCTION("IMPORTRANGE(H15159,""IDENTITAS UNIT!D9"")"),"#N/A")</f>
        <v>#N/A</v>
      </c>
      <c r="H15159" s="4" t="str">
        <v/>
      </c>
      <c r="I15159" s="4" t="str">
        <v/>
      </c>
    </row>
    <row r="15160" spans="5:9" ht="16.5" hidden="1">
      <c r="E15160" s="4" t="str">
        <v/>
      </c>
      <c r="F15160" s="102" t="str">
        <f ca="1">IFERROR(__xludf.DUMMYFUNCTION("IMPORTRANGE(H15160,""IDENTITAS UNIT!D9"")"),"#N/A")</f>
        <v>#N/A</v>
      </c>
      <c r="H15160" s="4" t="str">
        <v/>
      </c>
      <c r="I15160" s="4" t="str">
        <v/>
      </c>
    </row>
    <row r="15161" spans="5:9" ht="16.5" hidden="1">
      <c r="E15161" s="4" t="str">
        <v/>
      </c>
      <c r="F15161" s="102" t="str">
        <f ca="1">IFERROR(__xludf.DUMMYFUNCTION("IMPORTRANGE(H15161,""IDENTITAS UNIT!D9"")"),"#N/A")</f>
        <v>#N/A</v>
      </c>
      <c r="H15161" s="4" t="str">
        <v/>
      </c>
      <c r="I15161" s="4" t="str">
        <v/>
      </c>
    </row>
    <row r="15162" spans="5:9" ht="16.5" hidden="1">
      <c r="E15162" s="4" t="str">
        <v/>
      </c>
      <c r="F15162" s="102" t="str">
        <f ca="1">IFERROR(__xludf.DUMMYFUNCTION("IMPORTRANGE(H15162,""IDENTITAS UNIT!D9"")"),"#N/A")</f>
        <v>#N/A</v>
      </c>
      <c r="H15162" s="4" t="str">
        <v/>
      </c>
      <c r="I15162" s="4" t="str">
        <v/>
      </c>
    </row>
    <row r="15163" spans="5:9" ht="16.5" hidden="1">
      <c r="E15163" s="4" t="str">
        <v/>
      </c>
      <c r="F15163" s="102" t="str">
        <f ca="1">IFERROR(__xludf.DUMMYFUNCTION("IMPORTRANGE(H15163,""IDENTITAS UNIT!D9"")"),"#N/A")</f>
        <v>#N/A</v>
      </c>
      <c r="H15163" s="4" t="str">
        <v/>
      </c>
      <c r="I15163" s="4" t="str">
        <v/>
      </c>
    </row>
    <row r="15164" spans="5:9" ht="16.5" hidden="1">
      <c r="E15164" s="4" t="str">
        <v/>
      </c>
      <c r="F15164" s="102" t="str">
        <f ca="1">IFERROR(__xludf.DUMMYFUNCTION("IMPORTRANGE(H15164,""IDENTITAS UNIT!D9"")"),"#N/A")</f>
        <v>#N/A</v>
      </c>
      <c r="H15164" s="4" t="str">
        <v/>
      </c>
      <c r="I15164" s="4" t="str">
        <v/>
      </c>
    </row>
    <row r="15165" spans="5:9" ht="16.5" hidden="1">
      <c r="E15165" s="4" t="str">
        <v/>
      </c>
      <c r="F15165" s="102" t="str">
        <f ca="1">IFERROR(__xludf.DUMMYFUNCTION("IMPORTRANGE(H15165,""IDENTITAS UNIT!D9"")"),"#N/A")</f>
        <v>#N/A</v>
      </c>
      <c r="H15165" s="4" t="str">
        <v/>
      </c>
      <c r="I15165" s="4" t="str">
        <v/>
      </c>
    </row>
    <row r="15166" spans="5:9" ht="16.5" hidden="1">
      <c r="E15166" s="4" t="str">
        <v/>
      </c>
      <c r="F15166" s="102" t="str">
        <f ca="1">IFERROR(__xludf.DUMMYFUNCTION("IMPORTRANGE(H15166,""IDENTITAS UNIT!D9"")"),"#N/A")</f>
        <v>#N/A</v>
      </c>
      <c r="H15166" s="4" t="str">
        <v/>
      </c>
      <c r="I15166" s="4" t="str">
        <v/>
      </c>
    </row>
    <row r="15167" spans="5:9" ht="16.5" hidden="1">
      <c r="E15167" s="4" t="str">
        <v/>
      </c>
      <c r="F15167" s="102" t="str">
        <f ca="1">IFERROR(__xludf.DUMMYFUNCTION("IMPORTRANGE(H15167,""IDENTITAS UNIT!D9"")"),"#N/A")</f>
        <v>#N/A</v>
      </c>
      <c r="H15167" s="4" t="str">
        <v/>
      </c>
      <c r="I15167" s="4" t="str">
        <v/>
      </c>
    </row>
    <row r="15168" spans="5:9" ht="16.5" hidden="1">
      <c r="E15168" s="4" t="str">
        <v/>
      </c>
      <c r="F15168" s="102" t="str">
        <f ca="1">IFERROR(__xludf.DUMMYFUNCTION("IMPORTRANGE(H15168,""IDENTITAS UNIT!D9"")"),"#N/A")</f>
        <v>#N/A</v>
      </c>
      <c r="H15168" s="4" t="str">
        <v/>
      </c>
      <c r="I15168" s="4" t="str">
        <v/>
      </c>
    </row>
    <row r="15169" spans="5:9" ht="16.5" hidden="1">
      <c r="E15169" s="4" t="str">
        <v/>
      </c>
      <c r="F15169" s="102" t="str">
        <f ca="1">IFERROR(__xludf.DUMMYFUNCTION("IMPORTRANGE(H15169,""IDENTITAS UNIT!D9"")"),"#N/A")</f>
        <v>#N/A</v>
      </c>
      <c r="H15169" s="4" t="str">
        <v/>
      </c>
      <c r="I15169" s="4" t="str">
        <v/>
      </c>
    </row>
    <row r="15170" spans="5:9" ht="16.5" hidden="1">
      <c r="E15170" s="4" t="str">
        <v/>
      </c>
      <c r="F15170" s="102" t="str">
        <f ca="1">IFERROR(__xludf.DUMMYFUNCTION("IMPORTRANGE(H15170,""IDENTITAS UNIT!D9"")"),"#N/A")</f>
        <v>#N/A</v>
      </c>
      <c r="H15170" s="4" t="str">
        <v/>
      </c>
      <c r="I15170" s="4" t="str">
        <v/>
      </c>
    </row>
    <row r="15171" spans="5:9" ht="16.5" hidden="1">
      <c r="E15171" s="4" t="str">
        <v/>
      </c>
      <c r="F15171" s="102" t="str">
        <f ca="1">IFERROR(__xludf.DUMMYFUNCTION("IMPORTRANGE(H15171,""IDENTITAS UNIT!D9"")"),"#N/A")</f>
        <v>#N/A</v>
      </c>
      <c r="H15171" s="4" t="str">
        <v/>
      </c>
      <c r="I15171" s="4" t="str">
        <v/>
      </c>
    </row>
    <row r="15172" spans="5:9" ht="16.5" hidden="1">
      <c r="E15172" s="4" t="str">
        <v/>
      </c>
      <c r="F15172" s="102" t="str">
        <f ca="1">IFERROR(__xludf.DUMMYFUNCTION("IMPORTRANGE(H15172,""IDENTITAS UNIT!D9"")"),"#N/A")</f>
        <v>#N/A</v>
      </c>
      <c r="H15172" s="4" t="str">
        <v/>
      </c>
      <c r="I15172" s="4" t="str">
        <v/>
      </c>
    </row>
    <row r="15173" spans="5:9" ht="16.5" hidden="1">
      <c r="E15173" s="4" t="str">
        <v/>
      </c>
      <c r="F15173" s="102" t="str">
        <f ca="1">IFERROR(__xludf.DUMMYFUNCTION("IMPORTRANGE(H15173,""IDENTITAS UNIT!D9"")"),"#N/A")</f>
        <v>#N/A</v>
      </c>
      <c r="H15173" s="4" t="str">
        <v/>
      </c>
      <c r="I15173" s="4" t="str">
        <v/>
      </c>
    </row>
    <row r="15174" spans="5:9" ht="16.5" hidden="1">
      <c r="E15174" s="4" t="str">
        <v/>
      </c>
      <c r="F15174" s="102" t="str">
        <f ca="1">IFERROR(__xludf.DUMMYFUNCTION("IMPORTRANGE(H15174,""IDENTITAS UNIT!D9"")"),"#N/A")</f>
        <v>#N/A</v>
      </c>
      <c r="H15174" s="4" t="str">
        <v/>
      </c>
      <c r="I15174" s="4" t="str">
        <v/>
      </c>
    </row>
    <row r="15175" spans="5:9" ht="16.5" hidden="1">
      <c r="E15175" s="4" t="str">
        <v/>
      </c>
      <c r="F15175" s="102" t="str">
        <f ca="1">IFERROR(__xludf.DUMMYFUNCTION("IMPORTRANGE(H15175,""IDENTITAS UNIT!D9"")"),"#N/A")</f>
        <v>#N/A</v>
      </c>
      <c r="H15175" s="4" t="str">
        <v/>
      </c>
      <c r="I15175" s="4" t="str">
        <v/>
      </c>
    </row>
    <row r="15176" spans="5:9" ht="16.5" hidden="1">
      <c r="E15176" s="4" t="str">
        <v/>
      </c>
      <c r="F15176" s="102" t="str">
        <f ca="1">IFERROR(__xludf.DUMMYFUNCTION("IMPORTRANGE(H15176,""IDENTITAS UNIT!D9"")"),"#N/A")</f>
        <v>#N/A</v>
      </c>
      <c r="H15176" s="4" t="str">
        <v/>
      </c>
      <c r="I15176" s="4" t="str">
        <v/>
      </c>
    </row>
    <row r="15177" spans="5:9" ht="16.5" hidden="1">
      <c r="E15177" s="4" t="str">
        <v/>
      </c>
      <c r="F15177" s="102" t="str">
        <f ca="1">IFERROR(__xludf.DUMMYFUNCTION("IMPORTRANGE(H15177,""IDENTITAS UNIT!D9"")"),"#N/A")</f>
        <v>#N/A</v>
      </c>
      <c r="H15177" s="4" t="str">
        <v/>
      </c>
      <c r="I15177" s="4" t="str">
        <v/>
      </c>
    </row>
    <row r="15178" spans="5:9" ht="16.5" hidden="1">
      <c r="E15178" s="4" t="str">
        <v/>
      </c>
      <c r="F15178" s="102" t="str">
        <f ca="1">IFERROR(__xludf.DUMMYFUNCTION("IMPORTRANGE(H15178,""IDENTITAS UNIT!D9"")"),"#N/A")</f>
        <v>#N/A</v>
      </c>
      <c r="H15178" s="4" t="str">
        <v/>
      </c>
      <c r="I15178" s="4" t="str">
        <v/>
      </c>
    </row>
    <row r="15179" spans="5:9" ht="16.5" hidden="1">
      <c r="E15179" s="4" t="str">
        <v/>
      </c>
      <c r="F15179" s="102" t="str">
        <f ca="1">IFERROR(__xludf.DUMMYFUNCTION("IMPORTRANGE(H15179,""IDENTITAS UNIT!D9"")"),"#N/A")</f>
        <v>#N/A</v>
      </c>
      <c r="H15179" s="4" t="str">
        <v/>
      </c>
      <c r="I15179" s="4" t="str">
        <v/>
      </c>
    </row>
    <row r="15180" spans="5:9" ht="16.5" hidden="1">
      <c r="E15180" s="4" t="str">
        <v/>
      </c>
      <c r="F15180" s="102" t="str">
        <f ca="1">IFERROR(__xludf.DUMMYFUNCTION("IMPORTRANGE(H15180,""IDENTITAS UNIT!D9"")"),"#N/A")</f>
        <v>#N/A</v>
      </c>
      <c r="H15180" s="4" t="str">
        <v/>
      </c>
      <c r="I15180" s="4" t="str">
        <v/>
      </c>
    </row>
    <row r="15181" spans="5:9" ht="16.5" hidden="1">
      <c r="E15181" s="4" t="str">
        <v/>
      </c>
      <c r="F15181" s="102" t="str">
        <f ca="1">IFERROR(__xludf.DUMMYFUNCTION("IMPORTRANGE(H15181,""IDENTITAS UNIT!D9"")"),"#N/A")</f>
        <v>#N/A</v>
      </c>
      <c r="H15181" s="4" t="str">
        <v/>
      </c>
      <c r="I15181" s="4" t="str">
        <v/>
      </c>
    </row>
    <row r="15182" spans="5:9" ht="16.5" hidden="1">
      <c r="E15182" s="4" t="str">
        <v/>
      </c>
      <c r="F15182" s="102" t="str">
        <f ca="1">IFERROR(__xludf.DUMMYFUNCTION("IMPORTRANGE(H15182,""IDENTITAS UNIT!D9"")"),"#N/A")</f>
        <v>#N/A</v>
      </c>
      <c r="H15182" s="4" t="str">
        <v/>
      </c>
      <c r="I15182" s="4" t="str">
        <v/>
      </c>
    </row>
    <row r="15183" spans="5:9" ht="16.5" hidden="1">
      <c r="E15183" s="4" t="str">
        <v/>
      </c>
      <c r="F15183" s="102" t="str">
        <f ca="1">IFERROR(__xludf.DUMMYFUNCTION("IMPORTRANGE(H15183,""IDENTITAS UNIT!D9"")"),"#N/A")</f>
        <v>#N/A</v>
      </c>
      <c r="H15183" s="4" t="str">
        <v/>
      </c>
      <c r="I15183" s="4" t="str">
        <v/>
      </c>
    </row>
    <row r="15184" spans="5:9" ht="16.5" hidden="1">
      <c r="E15184" s="4" t="str">
        <v/>
      </c>
      <c r="F15184" s="102" t="str">
        <f ca="1">IFERROR(__xludf.DUMMYFUNCTION("IMPORTRANGE(H15184,""IDENTITAS UNIT!D9"")"),"#N/A")</f>
        <v>#N/A</v>
      </c>
      <c r="H15184" s="4" t="str">
        <v/>
      </c>
      <c r="I15184" s="4" t="str">
        <v/>
      </c>
    </row>
    <row r="15185" spans="5:9" ht="16.5" hidden="1">
      <c r="E15185" s="4" t="str">
        <v/>
      </c>
      <c r="F15185" s="102" t="str">
        <f ca="1">IFERROR(__xludf.DUMMYFUNCTION("IMPORTRANGE(H15185,""IDENTITAS UNIT!D9"")"),"#N/A")</f>
        <v>#N/A</v>
      </c>
      <c r="H15185" s="4" t="str">
        <v/>
      </c>
      <c r="I15185" s="4" t="str">
        <v/>
      </c>
    </row>
    <row r="15186" spans="5:9" ht="16.5" hidden="1">
      <c r="E15186" s="4" t="str">
        <v/>
      </c>
      <c r="F15186" s="102" t="str">
        <f ca="1">IFERROR(__xludf.DUMMYFUNCTION("IMPORTRANGE(H15186,""IDENTITAS UNIT!D9"")"),"#N/A")</f>
        <v>#N/A</v>
      </c>
      <c r="H15186" s="4" t="str">
        <v/>
      </c>
      <c r="I15186" s="4" t="str">
        <v/>
      </c>
    </row>
    <row r="15187" spans="5:9" ht="16.5" hidden="1">
      <c r="E15187" s="4" t="str">
        <v/>
      </c>
      <c r="F15187" s="102" t="str">
        <f ca="1">IFERROR(__xludf.DUMMYFUNCTION("IMPORTRANGE(H15187,""IDENTITAS UNIT!D9"")"),"#N/A")</f>
        <v>#N/A</v>
      </c>
      <c r="H15187" s="4" t="str">
        <v/>
      </c>
      <c r="I15187" s="4" t="str">
        <v/>
      </c>
    </row>
    <row r="15188" spans="5:9" ht="16.5" hidden="1">
      <c r="E15188" s="4" t="str">
        <v/>
      </c>
      <c r="F15188" s="102" t="str">
        <f ca="1">IFERROR(__xludf.DUMMYFUNCTION("IMPORTRANGE(H15188,""IDENTITAS UNIT!D9"")"),"#N/A")</f>
        <v>#N/A</v>
      </c>
      <c r="H15188" s="4" t="str">
        <v/>
      </c>
      <c r="I15188" s="4" t="str">
        <v/>
      </c>
    </row>
    <row r="15189" spans="5:9" ht="16.5" hidden="1">
      <c r="E15189" s="4" t="str">
        <v/>
      </c>
      <c r="F15189" s="102" t="str">
        <f ca="1">IFERROR(__xludf.DUMMYFUNCTION("IMPORTRANGE(H15189,""IDENTITAS UNIT!D9"")"),"#N/A")</f>
        <v>#N/A</v>
      </c>
      <c r="H15189" s="4" t="str">
        <v/>
      </c>
      <c r="I15189" s="4" t="str">
        <v/>
      </c>
    </row>
    <row r="15190" spans="5:9" ht="16.5" hidden="1">
      <c r="E15190" s="4" t="str">
        <v/>
      </c>
      <c r="F15190" s="102" t="str">
        <f ca="1">IFERROR(__xludf.DUMMYFUNCTION("IMPORTRANGE(H15190,""IDENTITAS UNIT!D9"")"),"#N/A")</f>
        <v>#N/A</v>
      </c>
      <c r="H15190" s="4" t="str">
        <v/>
      </c>
      <c r="I15190" s="4" t="str">
        <v/>
      </c>
    </row>
    <row r="15191" spans="5:9" ht="16.5" hidden="1">
      <c r="E15191" s="4" t="str">
        <v/>
      </c>
      <c r="F15191" s="102" t="str">
        <f ca="1">IFERROR(__xludf.DUMMYFUNCTION("IMPORTRANGE(H15191,""IDENTITAS UNIT!D9"")"),"#N/A")</f>
        <v>#N/A</v>
      </c>
      <c r="H15191" s="4" t="str">
        <v/>
      </c>
      <c r="I15191" s="4" t="str">
        <v/>
      </c>
    </row>
    <row r="15192" spans="5:9" ht="16.5" hidden="1">
      <c r="E15192" s="4" t="str">
        <v/>
      </c>
      <c r="F15192" s="102" t="str">
        <f ca="1">IFERROR(__xludf.DUMMYFUNCTION("IMPORTRANGE(H15192,""IDENTITAS UNIT!D9"")"),"#N/A")</f>
        <v>#N/A</v>
      </c>
      <c r="H15192" s="4" t="str">
        <v/>
      </c>
      <c r="I15192" s="4" t="str">
        <v/>
      </c>
    </row>
    <row r="15193" spans="5:9" ht="16.5" hidden="1">
      <c r="E15193" s="4" t="str">
        <v/>
      </c>
      <c r="F15193" s="102" t="str">
        <f ca="1">IFERROR(__xludf.DUMMYFUNCTION("IMPORTRANGE(H15193,""IDENTITAS UNIT!D9"")"),"#N/A")</f>
        <v>#N/A</v>
      </c>
      <c r="H15193" s="4" t="str">
        <v/>
      </c>
      <c r="I15193" s="4" t="str">
        <v/>
      </c>
    </row>
    <row r="15194" spans="5:9" ht="16.5" hidden="1">
      <c r="E15194" s="4" t="str">
        <v/>
      </c>
      <c r="F15194" s="102" t="str">
        <f ca="1">IFERROR(__xludf.DUMMYFUNCTION("IMPORTRANGE(H15194,""IDENTITAS UNIT!D9"")"),"#N/A")</f>
        <v>#N/A</v>
      </c>
      <c r="H15194" s="4" t="str">
        <v/>
      </c>
      <c r="I15194" s="4" t="str">
        <v/>
      </c>
    </row>
    <row r="15195" spans="5:9" ht="16.5" hidden="1">
      <c r="E15195" s="4" t="str">
        <v/>
      </c>
      <c r="F15195" s="102" t="str">
        <f ca="1">IFERROR(__xludf.DUMMYFUNCTION("IMPORTRANGE(H15195,""IDENTITAS UNIT!D9"")"),"#N/A")</f>
        <v>#N/A</v>
      </c>
      <c r="H15195" s="4" t="str">
        <v/>
      </c>
      <c r="I15195" s="4" t="str">
        <v/>
      </c>
    </row>
    <row r="15196" spans="5:9" ht="16.5" hidden="1">
      <c r="E15196" s="4" t="str">
        <v/>
      </c>
      <c r="F15196" s="102" t="str">
        <f ca="1">IFERROR(__xludf.DUMMYFUNCTION("IMPORTRANGE(H15196,""IDENTITAS UNIT!D9"")"),"#N/A")</f>
        <v>#N/A</v>
      </c>
      <c r="H15196" s="4" t="str">
        <v/>
      </c>
      <c r="I15196" s="4" t="str">
        <v/>
      </c>
    </row>
    <row r="15197" spans="5:9" ht="16.5" hidden="1">
      <c r="E15197" s="4" t="str">
        <v/>
      </c>
      <c r="F15197" s="102" t="str">
        <f ca="1">IFERROR(__xludf.DUMMYFUNCTION("IMPORTRANGE(H15197,""IDENTITAS UNIT!D9"")"),"#N/A")</f>
        <v>#N/A</v>
      </c>
      <c r="H15197" s="4" t="str">
        <v/>
      </c>
      <c r="I15197" s="4" t="str">
        <v/>
      </c>
    </row>
    <row r="15198" spans="5:9" ht="16.5" hidden="1">
      <c r="E15198" s="4" t="str">
        <v/>
      </c>
      <c r="F15198" s="102" t="str">
        <f ca="1">IFERROR(__xludf.DUMMYFUNCTION("IMPORTRANGE(H15198,""IDENTITAS UNIT!D9"")"),"#N/A")</f>
        <v>#N/A</v>
      </c>
      <c r="H15198" s="4" t="str">
        <v/>
      </c>
      <c r="I15198" s="4" t="str">
        <v/>
      </c>
    </row>
    <row r="15199" spans="5:9" ht="16.5" hidden="1">
      <c r="E15199" s="4" t="str">
        <v/>
      </c>
      <c r="F15199" s="102" t="str">
        <f ca="1">IFERROR(__xludf.DUMMYFUNCTION("IMPORTRANGE(H15199,""IDENTITAS UNIT!D9"")"),"#N/A")</f>
        <v>#N/A</v>
      </c>
      <c r="H15199" s="4" t="str">
        <v/>
      </c>
      <c r="I15199" s="4" t="str">
        <v/>
      </c>
    </row>
    <row r="15200" spans="5:9" ht="16.5" hidden="1">
      <c r="E15200" s="4" t="str">
        <v/>
      </c>
      <c r="F15200" s="102" t="str">
        <f ca="1">IFERROR(__xludf.DUMMYFUNCTION("IMPORTRANGE(H15200,""IDENTITAS UNIT!D9"")"),"#N/A")</f>
        <v>#N/A</v>
      </c>
      <c r="H15200" s="4" t="str">
        <v/>
      </c>
      <c r="I15200" s="4" t="str">
        <v/>
      </c>
    </row>
    <row r="15201" spans="5:9" ht="16.5" hidden="1">
      <c r="E15201" s="4" t="str">
        <v/>
      </c>
      <c r="F15201" s="102" t="str">
        <f ca="1">IFERROR(__xludf.DUMMYFUNCTION("IMPORTRANGE(H15201,""IDENTITAS UNIT!D9"")"),"#N/A")</f>
        <v>#N/A</v>
      </c>
      <c r="H15201" s="4" t="str">
        <v/>
      </c>
      <c r="I15201" s="4" t="str">
        <v/>
      </c>
    </row>
    <row r="15202" spans="5:9" ht="16.5" hidden="1">
      <c r="E15202" s="4" t="str">
        <v/>
      </c>
      <c r="F15202" s="102" t="str">
        <f ca="1">IFERROR(__xludf.DUMMYFUNCTION("IMPORTRANGE(H15202,""IDENTITAS UNIT!D9"")"),"#N/A")</f>
        <v>#N/A</v>
      </c>
      <c r="H15202" s="4" t="str">
        <v/>
      </c>
      <c r="I15202" s="4" t="str">
        <v/>
      </c>
    </row>
    <row r="15203" spans="5:9" ht="16.5" hidden="1">
      <c r="E15203" s="4" t="str">
        <v/>
      </c>
      <c r="F15203" s="102" t="str">
        <f ca="1">IFERROR(__xludf.DUMMYFUNCTION("IMPORTRANGE(H15203,""IDENTITAS UNIT!D9"")"),"#N/A")</f>
        <v>#N/A</v>
      </c>
      <c r="H15203" s="4" t="str">
        <v/>
      </c>
      <c r="I15203" s="4" t="str">
        <v/>
      </c>
    </row>
    <row r="15204" spans="5:9" ht="16.5" hidden="1">
      <c r="E15204" s="4" t="str">
        <v/>
      </c>
      <c r="F15204" s="102" t="str">
        <f ca="1">IFERROR(__xludf.DUMMYFUNCTION("IMPORTRANGE(H15204,""IDENTITAS UNIT!D9"")"),"#N/A")</f>
        <v>#N/A</v>
      </c>
      <c r="H15204" s="4" t="str">
        <v/>
      </c>
      <c r="I15204" s="4" t="str">
        <v/>
      </c>
    </row>
    <row r="15205" spans="5:9" ht="16.5" hidden="1">
      <c r="E15205" s="4" t="str">
        <v/>
      </c>
      <c r="F15205" s="102" t="str">
        <f ca="1">IFERROR(__xludf.DUMMYFUNCTION("IMPORTRANGE(H15205,""IDENTITAS UNIT!D9"")"),"#N/A")</f>
        <v>#N/A</v>
      </c>
      <c r="H15205" s="4" t="str">
        <v/>
      </c>
      <c r="I15205" s="4" t="str">
        <v/>
      </c>
    </row>
    <row r="15206" spans="5:9" ht="16.5" hidden="1">
      <c r="E15206" s="4" t="str">
        <v/>
      </c>
      <c r="F15206" s="102" t="str">
        <f ca="1">IFERROR(__xludf.DUMMYFUNCTION("IMPORTRANGE(H15206,""IDENTITAS UNIT!D9"")"),"#N/A")</f>
        <v>#N/A</v>
      </c>
      <c r="H15206" s="4" t="str">
        <v/>
      </c>
      <c r="I15206" s="4" t="str">
        <v/>
      </c>
    </row>
    <row r="15207" spans="5:9" ht="16.5" hidden="1">
      <c r="E15207" s="4" t="str">
        <v/>
      </c>
      <c r="F15207" s="102" t="str">
        <f ca="1">IFERROR(__xludf.DUMMYFUNCTION("IMPORTRANGE(H15207,""IDENTITAS UNIT!D9"")"),"#N/A")</f>
        <v>#N/A</v>
      </c>
      <c r="H15207" s="4" t="str">
        <v/>
      </c>
      <c r="I15207" s="4" t="str">
        <v/>
      </c>
    </row>
    <row r="15208" spans="5:9" ht="16.5" hidden="1">
      <c r="E15208" s="4" t="str">
        <v/>
      </c>
      <c r="F15208" s="102" t="str">
        <f ca="1">IFERROR(__xludf.DUMMYFUNCTION("IMPORTRANGE(H15208,""IDENTITAS UNIT!D9"")"),"#N/A")</f>
        <v>#N/A</v>
      </c>
      <c r="H15208" s="4" t="str">
        <v/>
      </c>
      <c r="I15208" s="4" t="str">
        <v/>
      </c>
    </row>
    <row r="15209" spans="5:9" ht="16.5" hidden="1">
      <c r="E15209" s="4" t="str">
        <v/>
      </c>
      <c r="F15209" s="102" t="str">
        <f ca="1">IFERROR(__xludf.DUMMYFUNCTION("IMPORTRANGE(H15209,""IDENTITAS UNIT!D9"")"),"#N/A")</f>
        <v>#N/A</v>
      </c>
      <c r="H15209" s="4" t="str">
        <v/>
      </c>
      <c r="I15209" s="4" t="str">
        <v/>
      </c>
    </row>
    <row r="15210" spans="5:9" ht="16.5" hidden="1">
      <c r="E15210" s="4" t="str">
        <v/>
      </c>
      <c r="F15210" s="102" t="str">
        <f ca="1">IFERROR(__xludf.DUMMYFUNCTION("IMPORTRANGE(H15210,""IDENTITAS UNIT!D9"")"),"#N/A")</f>
        <v>#N/A</v>
      </c>
      <c r="H15210" s="4" t="str">
        <v/>
      </c>
      <c r="I15210" s="4" t="str">
        <v/>
      </c>
    </row>
    <row r="15211" spans="5:9" ht="16.5" hidden="1">
      <c r="E15211" s="4" t="str">
        <v/>
      </c>
      <c r="F15211" s="102" t="str">
        <f ca="1">IFERROR(__xludf.DUMMYFUNCTION("IMPORTRANGE(H15211,""IDENTITAS UNIT!D9"")"),"#N/A")</f>
        <v>#N/A</v>
      </c>
      <c r="H15211" s="4" t="str">
        <v/>
      </c>
      <c r="I15211" s="4" t="str">
        <v/>
      </c>
    </row>
    <row r="15212" spans="5:9" ht="16.5" hidden="1">
      <c r="E15212" s="4" t="str">
        <v/>
      </c>
      <c r="F15212" s="102" t="str">
        <f ca="1">IFERROR(__xludf.DUMMYFUNCTION("IMPORTRANGE(H15212,""IDENTITAS UNIT!D9"")"),"#N/A")</f>
        <v>#N/A</v>
      </c>
      <c r="H15212" s="4" t="str">
        <v/>
      </c>
      <c r="I15212" s="4" t="str">
        <v/>
      </c>
    </row>
    <row r="15213" spans="5:9" ht="16.5" hidden="1">
      <c r="E15213" s="4" t="str">
        <v/>
      </c>
      <c r="F15213" s="102" t="str">
        <f ca="1">IFERROR(__xludf.DUMMYFUNCTION("IMPORTRANGE(H15213,""IDENTITAS UNIT!D9"")"),"#N/A")</f>
        <v>#N/A</v>
      </c>
      <c r="H15213" s="4" t="str">
        <v/>
      </c>
      <c r="I15213" s="4" t="str">
        <v/>
      </c>
    </row>
    <row r="15214" spans="5:9" ht="16.5" hidden="1">
      <c r="E15214" s="4" t="str">
        <v/>
      </c>
      <c r="F15214" s="102" t="str">
        <f ca="1">IFERROR(__xludf.DUMMYFUNCTION("IMPORTRANGE(H15214,""IDENTITAS UNIT!D9"")"),"#N/A")</f>
        <v>#N/A</v>
      </c>
      <c r="H15214" s="4" t="str">
        <v/>
      </c>
      <c r="I15214" s="4" t="str">
        <v/>
      </c>
    </row>
    <row r="15215" spans="5:9" ht="16.5" hidden="1">
      <c r="E15215" s="4" t="str">
        <v/>
      </c>
      <c r="F15215" s="102" t="str">
        <f ca="1">IFERROR(__xludf.DUMMYFUNCTION("IMPORTRANGE(H15215,""IDENTITAS UNIT!D9"")"),"#N/A")</f>
        <v>#N/A</v>
      </c>
      <c r="H15215" s="4" t="str">
        <v/>
      </c>
      <c r="I15215" s="4" t="str">
        <v/>
      </c>
    </row>
    <row r="15216" spans="5:9" ht="16.5" hidden="1">
      <c r="E15216" s="4" t="str">
        <v/>
      </c>
      <c r="F15216" s="102" t="str">
        <f ca="1">IFERROR(__xludf.DUMMYFUNCTION("IMPORTRANGE(H15216,""IDENTITAS UNIT!D9"")"),"#N/A")</f>
        <v>#N/A</v>
      </c>
      <c r="H15216" s="4" t="str">
        <v/>
      </c>
      <c r="I15216" s="4" t="str">
        <v/>
      </c>
    </row>
    <row r="15217" spans="5:9" ht="16.5" hidden="1">
      <c r="E15217" s="4" t="str">
        <v/>
      </c>
      <c r="F15217" s="102" t="str">
        <f ca="1">IFERROR(__xludf.DUMMYFUNCTION("IMPORTRANGE(H15217,""IDENTITAS UNIT!D9"")"),"#N/A")</f>
        <v>#N/A</v>
      </c>
      <c r="H15217" s="4" t="str">
        <v/>
      </c>
      <c r="I15217" s="4" t="str">
        <v/>
      </c>
    </row>
    <row r="15218" spans="5:9" ht="16.5" hidden="1">
      <c r="E15218" s="4" t="str">
        <v/>
      </c>
      <c r="F15218" s="102" t="str">
        <f ca="1">IFERROR(__xludf.DUMMYFUNCTION("IMPORTRANGE(H15218,""IDENTITAS UNIT!D9"")"),"#N/A")</f>
        <v>#N/A</v>
      </c>
      <c r="H15218" s="4" t="str">
        <v/>
      </c>
      <c r="I15218" s="4" t="str">
        <v/>
      </c>
    </row>
    <row r="15219" spans="5:9" ht="16.5" hidden="1">
      <c r="E15219" s="4" t="str">
        <v/>
      </c>
      <c r="F15219" s="102" t="str">
        <f ca="1">IFERROR(__xludf.DUMMYFUNCTION("IMPORTRANGE(H15219,""IDENTITAS UNIT!D9"")"),"#N/A")</f>
        <v>#N/A</v>
      </c>
      <c r="H15219" s="4" t="str">
        <v/>
      </c>
      <c r="I15219" s="4" t="str">
        <v/>
      </c>
    </row>
    <row r="15220" spans="5:9" ht="16.5" hidden="1">
      <c r="E15220" s="4" t="str">
        <v/>
      </c>
      <c r="F15220" s="102" t="str">
        <f ca="1">IFERROR(__xludf.DUMMYFUNCTION("IMPORTRANGE(H15220,""IDENTITAS UNIT!D9"")"),"#N/A")</f>
        <v>#N/A</v>
      </c>
      <c r="H15220" s="4" t="str">
        <v/>
      </c>
      <c r="I15220" s="4" t="str">
        <v/>
      </c>
    </row>
    <row r="15221" spans="5:9" ht="16.5" hidden="1">
      <c r="E15221" s="4" t="str">
        <v/>
      </c>
      <c r="F15221" s="102" t="str">
        <f ca="1">IFERROR(__xludf.DUMMYFUNCTION("IMPORTRANGE(H15221,""IDENTITAS UNIT!D9"")"),"#N/A")</f>
        <v>#N/A</v>
      </c>
      <c r="H15221" s="4" t="str">
        <v/>
      </c>
      <c r="I15221" s="4" t="str">
        <v/>
      </c>
    </row>
    <row r="15222" spans="5:9" ht="16.5" hidden="1">
      <c r="E15222" s="4" t="str">
        <v/>
      </c>
      <c r="F15222" s="102" t="str">
        <f ca="1">IFERROR(__xludf.DUMMYFUNCTION("IMPORTRANGE(H15222,""IDENTITAS UNIT!D9"")"),"#N/A")</f>
        <v>#N/A</v>
      </c>
      <c r="H15222" s="4" t="str">
        <v/>
      </c>
      <c r="I15222" s="4" t="str">
        <v/>
      </c>
    </row>
    <row r="15223" spans="5:9" ht="16.5" hidden="1">
      <c r="E15223" s="4" t="str">
        <v/>
      </c>
      <c r="F15223" s="102" t="str">
        <f ca="1">IFERROR(__xludf.DUMMYFUNCTION("IMPORTRANGE(H15223,""IDENTITAS UNIT!D9"")"),"#N/A")</f>
        <v>#N/A</v>
      </c>
      <c r="H15223" s="4" t="str">
        <v/>
      </c>
      <c r="I15223" s="4" t="str">
        <v/>
      </c>
    </row>
    <row r="15224" spans="5:9" ht="16.5" hidden="1">
      <c r="E15224" s="4" t="str">
        <v/>
      </c>
      <c r="F15224" s="102" t="str">
        <f ca="1">IFERROR(__xludf.DUMMYFUNCTION("IMPORTRANGE(H15224,""IDENTITAS UNIT!D9"")"),"#N/A")</f>
        <v>#N/A</v>
      </c>
      <c r="H15224" s="4" t="str">
        <v/>
      </c>
      <c r="I15224" s="4" t="str">
        <v/>
      </c>
    </row>
    <row r="15225" spans="5:9" ht="16.5" hidden="1">
      <c r="E15225" s="4" t="str">
        <v/>
      </c>
      <c r="F15225" s="102" t="str">
        <f ca="1">IFERROR(__xludf.DUMMYFUNCTION("IMPORTRANGE(H15225,""IDENTITAS UNIT!D9"")"),"#N/A")</f>
        <v>#N/A</v>
      </c>
      <c r="H15225" s="4" t="str">
        <v/>
      </c>
      <c r="I15225" s="4" t="str">
        <v/>
      </c>
    </row>
    <row r="15226" spans="5:9" ht="16.5" hidden="1">
      <c r="E15226" s="4" t="str">
        <v/>
      </c>
      <c r="F15226" s="102" t="str">
        <f ca="1">IFERROR(__xludf.DUMMYFUNCTION("IMPORTRANGE(H15226,""IDENTITAS UNIT!D9"")"),"#N/A")</f>
        <v>#N/A</v>
      </c>
      <c r="H15226" s="4" t="str">
        <v/>
      </c>
      <c r="I15226" s="4" t="str">
        <v/>
      </c>
    </row>
    <row r="15227" spans="5:9" ht="16.5" hidden="1">
      <c r="E15227" s="4" t="str">
        <v/>
      </c>
      <c r="F15227" s="102" t="str">
        <f ca="1">IFERROR(__xludf.DUMMYFUNCTION("IMPORTRANGE(H15227,""IDENTITAS UNIT!D9"")"),"#N/A")</f>
        <v>#N/A</v>
      </c>
      <c r="H15227" s="4" t="str">
        <v/>
      </c>
      <c r="I15227" s="4" t="str">
        <v/>
      </c>
    </row>
    <row r="15228" spans="5:9" ht="16.5" hidden="1">
      <c r="E15228" s="4" t="str">
        <v/>
      </c>
      <c r="F15228" s="102" t="str">
        <f ca="1">IFERROR(__xludf.DUMMYFUNCTION("IMPORTRANGE(H15228,""IDENTITAS UNIT!D9"")"),"#N/A")</f>
        <v>#N/A</v>
      </c>
      <c r="H15228" s="4" t="str">
        <v/>
      </c>
      <c r="I15228" s="4" t="str">
        <v/>
      </c>
    </row>
    <row r="15229" spans="5:9" ht="16.5" hidden="1">
      <c r="E15229" s="4" t="str">
        <v/>
      </c>
      <c r="F15229" s="102" t="str">
        <f ca="1">IFERROR(__xludf.DUMMYFUNCTION("IMPORTRANGE(H15229,""IDENTITAS UNIT!D9"")"),"#N/A")</f>
        <v>#N/A</v>
      </c>
      <c r="H15229" s="4" t="str">
        <v/>
      </c>
      <c r="I15229" s="4" t="str">
        <v/>
      </c>
    </row>
    <row r="15230" spans="5:9" ht="16.5" hidden="1">
      <c r="E15230" s="4" t="str">
        <v/>
      </c>
      <c r="F15230" s="102" t="str">
        <f ca="1">IFERROR(__xludf.DUMMYFUNCTION("IMPORTRANGE(H15230,""IDENTITAS UNIT!D9"")"),"#N/A")</f>
        <v>#N/A</v>
      </c>
      <c r="H15230" s="4" t="str">
        <v/>
      </c>
      <c r="I15230" s="4" t="str">
        <v/>
      </c>
    </row>
    <row r="15231" spans="5:9" ht="16.5" hidden="1">
      <c r="E15231" s="4" t="str">
        <v/>
      </c>
      <c r="F15231" s="102" t="str">
        <f ca="1">IFERROR(__xludf.DUMMYFUNCTION("IMPORTRANGE(H15231,""IDENTITAS UNIT!D9"")"),"#N/A")</f>
        <v>#N/A</v>
      </c>
      <c r="H15231" s="4" t="str">
        <v/>
      </c>
      <c r="I15231" s="4" t="str">
        <v/>
      </c>
    </row>
    <row r="15232" spans="5:9" ht="16.5" hidden="1">
      <c r="E15232" s="4" t="str">
        <v/>
      </c>
      <c r="F15232" s="102" t="str">
        <f ca="1">IFERROR(__xludf.DUMMYFUNCTION("IMPORTRANGE(H15232,""IDENTITAS UNIT!D9"")"),"#N/A")</f>
        <v>#N/A</v>
      </c>
      <c r="H15232" s="4" t="str">
        <v/>
      </c>
      <c r="I15232" s="4" t="str">
        <v/>
      </c>
    </row>
    <row r="15233" spans="5:9" ht="16.5" hidden="1">
      <c r="E15233" s="4" t="str">
        <v/>
      </c>
      <c r="F15233" s="102" t="str">
        <f ca="1">IFERROR(__xludf.DUMMYFUNCTION("IMPORTRANGE(H15233,""IDENTITAS UNIT!D9"")"),"#N/A")</f>
        <v>#N/A</v>
      </c>
      <c r="H15233" s="4" t="str">
        <v/>
      </c>
      <c r="I15233" s="4" t="str">
        <v/>
      </c>
    </row>
    <row r="15234" spans="5:9" ht="16.5" hidden="1">
      <c r="E15234" s="4" t="str">
        <v/>
      </c>
      <c r="F15234" s="102" t="str">
        <f ca="1">IFERROR(__xludf.DUMMYFUNCTION("IMPORTRANGE(H15234,""IDENTITAS UNIT!D9"")"),"#N/A")</f>
        <v>#N/A</v>
      </c>
      <c r="H15234" s="4" t="str">
        <v/>
      </c>
      <c r="I15234" s="4" t="str">
        <v/>
      </c>
    </row>
    <row r="15235" spans="5:9" ht="16.5" hidden="1">
      <c r="E15235" s="4" t="str">
        <v/>
      </c>
      <c r="F15235" s="102" t="str">
        <f ca="1">IFERROR(__xludf.DUMMYFUNCTION("IMPORTRANGE(H15235,""IDENTITAS UNIT!D9"")"),"#N/A")</f>
        <v>#N/A</v>
      </c>
      <c r="H15235" s="4" t="str">
        <v/>
      </c>
      <c r="I15235" s="4" t="str">
        <v/>
      </c>
    </row>
    <row r="15236" spans="5:9" ht="16.5" hidden="1">
      <c r="E15236" s="4" t="str">
        <v/>
      </c>
      <c r="F15236" s="102" t="str">
        <f ca="1">IFERROR(__xludf.DUMMYFUNCTION("IMPORTRANGE(H15236,""IDENTITAS UNIT!D9"")"),"#N/A")</f>
        <v>#N/A</v>
      </c>
      <c r="H15236" s="4" t="str">
        <v/>
      </c>
      <c r="I15236" s="4" t="str">
        <v/>
      </c>
    </row>
    <row r="15237" spans="5:9" ht="16.5" hidden="1">
      <c r="E15237" s="4" t="str">
        <v/>
      </c>
      <c r="F15237" s="102" t="str">
        <f ca="1">IFERROR(__xludf.DUMMYFUNCTION("IMPORTRANGE(H15237,""IDENTITAS UNIT!D9"")"),"#N/A")</f>
        <v>#N/A</v>
      </c>
      <c r="H15237" s="4" t="str">
        <v/>
      </c>
      <c r="I15237" s="4" t="str">
        <v/>
      </c>
    </row>
    <row r="15238" spans="5:9" ht="16.5" hidden="1">
      <c r="E15238" s="4" t="str">
        <v/>
      </c>
      <c r="F15238" s="102" t="str">
        <f ca="1">IFERROR(__xludf.DUMMYFUNCTION("IMPORTRANGE(H15238,""IDENTITAS UNIT!D9"")"),"#N/A")</f>
        <v>#N/A</v>
      </c>
      <c r="H15238" s="4" t="str">
        <v/>
      </c>
      <c r="I15238" s="4" t="str">
        <v/>
      </c>
    </row>
    <row r="15239" spans="5:9" ht="16.5" hidden="1">
      <c r="E15239" s="4" t="str">
        <v/>
      </c>
      <c r="F15239" s="102" t="str">
        <f ca="1">IFERROR(__xludf.DUMMYFUNCTION("IMPORTRANGE(H15239,""IDENTITAS UNIT!D9"")"),"#N/A")</f>
        <v>#N/A</v>
      </c>
      <c r="H15239" s="4" t="str">
        <v/>
      </c>
      <c r="I15239" s="4" t="str">
        <v/>
      </c>
    </row>
    <row r="15240" spans="5:9" ht="16.5" hidden="1">
      <c r="E15240" s="4" t="str">
        <v/>
      </c>
      <c r="F15240" s="102" t="str">
        <f ca="1">IFERROR(__xludf.DUMMYFUNCTION("IMPORTRANGE(H15240,""IDENTITAS UNIT!D9"")"),"#N/A")</f>
        <v>#N/A</v>
      </c>
      <c r="H15240" s="4" t="str">
        <v/>
      </c>
      <c r="I15240" s="4" t="str">
        <v/>
      </c>
    </row>
    <row r="15241" spans="5:9" ht="16.5" hidden="1">
      <c r="E15241" s="4" t="str">
        <v/>
      </c>
      <c r="F15241" s="102" t="str">
        <f ca="1">IFERROR(__xludf.DUMMYFUNCTION("IMPORTRANGE(H15241,""IDENTITAS UNIT!D9"")"),"#N/A")</f>
        <v>#N/A</v>
      </c>
      <c r="H15241" s="4" t="str">
        <v/>
      </c>
      <c r="I15241" s="4" t="str">
        <v/>
      </c>
    </row>
    <row r="15242" spans="5:9" ht="16.5" hidden="1">
      <c r="E15242" s="4" t="str">
        <v/>
      </c>
      <c r="F15242" s="102" t="str">
        <f ca="1">IFERROR(__xludf.DUMMYFUNCTION("IMPORTRANGE(H15242,""IDENTITAS UNIT!D9"")"),"#N/A")</f>
        <v>#N/A</v>
      </c>
      <c r="H15242" s="4" t="str">
        <v/>
      </c>
      <c r="I15242" s="4" t="str">
        <v/>
      </c>
    </row>
    <row r="15243" spans="5:9" ht="16.5" hidden="1">
      <c r="E15243" s="4" t="str">
        <v/>
      </c>
      <c r="F15243" s="102" t="str">
        <f ca="1">IFERROR(__xludf.DUMMYFUNCTION("IMPORTRANGE(H15243,""IDENTITAS UNIT!D9"")"),"#N/A")</f>
        <v>#N/A</v>
      </c>
      <c r="H15243" s="4" t="str">
        <v/>
      </c>
      <c r="I15243" s="4" t="str">
        <v/>
      </c>
    </row>
    <row r="15244" spans="5:9" ht="16.5" hidden="1">
      <c r="E15244" s="4" t="str">
        <v/>
      </c>
      <c r="F15244" s="102" t="str">
        <f ca="1">IFERROR(__xludf.DUMMYFUNCTION("IMPORTRANGE(H15244,""IDENTITAS UNIT!D9"")"),"#N/A")</f>
        <v>#N/A</v>
      </c>
      <c r="H15244" s="4" t="str">
        <v/>
      </c>
      <c r="I15244" s="4" t="str">
        <v/>
      </c>
    </row>
    <row r="15245" spans="5:9" ht="16.5" hidden="1">
      <c r="E15245" s="4" t="str">
        <v/>
      </c>
      <c r="F15245" s="102" t="str">
        <f ca="1">IFERROR(__xludf.DUMMYFUNCTION("IMPORTRANGE(H15245,""IDENTITAS UNIT!D9"")"),"#N/A")</f>
        <v>#N/A</v>
      </c>
      <c r="H15245" s="4" t="str">
        <v/>
      </c>
      <c r="I15245" s="4" t="str">
        <v/>
      </c>
    </row>
    <row r="15246" spans="5:9" ht="16.5" hidden="1">
      <c r="E15246" s="4" t="str">
        <v/>
      </c>
      <c r="F15246" s="102" t="str">
        <f ca="1">IFERROR(__xludf.DUMMYFUNCTION("IMPORTRANGE(H15246,""IDENTITAS UNIT!D9"")"),"#N/A")</f>
        <v>#N/A</v>
      </c>
      <c r="H15246" s="4" t="str">
        <v/>
      </c>
      <c r="I15246" s="4" t="str">
        <v/>
      </c>
    </row>
    <row r="15247" spans="5:9" ht="16.5" hidden="1">
      <c r="E15247" s="4" t="str">
        <v/>
      </c>
      <c r="F15247" s="102" t="str">
        <f ca="1">IFERROR(__xludf.DUMMYFUNCTION("IMPORTRANGE(H15247,""IDENTITAS UNIT!D9"")"),"#N/A")</f>
        <v>#N/A</v>
      </c>
      <c r="H15247" s="4" t="str">
        <v/>
      </c>
      <c r="I15247" s="4" t="str">
        <v/>
      </c>
    </row>
    <row r="15248" spans="5:9" ht="16.5" hidden="1">
      <c r="E15248" s="4" t="str">
        <v/>
      </c>
      <c r="F15248" s="102" t="str">
        <f ca="1">IFERROR(__xludf.DUMMYFUNCTION("IMPORTRANGE(H15248,""IDENTITAS UNIT!D9"")"),"#N/A")</f>
        <v>#N/A</v>
      </c>
      <c r="H15248" s="4" t="str">
        <v/>
      </c>
      <c r="I15248" s="4" t="str">
        <v/>
      </c>
    </row>
    <row r="15249" spans="5:9" ht="16.5" hidden="1">
      <c r="E15249" s="4" t="str">
        <v/>
      </c>
      <c r="F15249" s="102" t="str">
        <f ca="1">IFERROR(__xludf.DUMMYFUNCTION("IMPORTRANGE(H15249,""IDENTITAS UNIT!D9"")"),"#N/A")</f>
        <v>#N/A</v>
      </c>
      <c r="H15249" s="4" t="str">
        <v/>
      </c>
      <c r="I15249" s="4" t="str">
        <v/>
      </c>
    </row>
    <row r="15250" spans="5:9" ht="16.5" hidden="1">
      <c r="E15250" s="4" t="str">
        <v/>
      </c>
      <c r="F15250" s="102" t="str">
        <f ca="1">IFERROR(__xludf.DUMMYFUNCTION("IMPORTRANGE(H15250,""IDENTITAS UNIT!D9"")"),"#N/A")</f>
        <v>#N/A</v>
      </c>
      <c r="H15250" s="4" t="str">
        <v/>
      </c>
      <c r="I15250" s="4" t="str">
        <v/>
      </c>
    </row>
    <row r="15251" spans="5:9" ht="16.5" hidden="1">
      <c r="E15251" s="4" t="str">
        <v/>
      </c>
      <c r="F15251" s="102" t="str">
        <f ca="1">IFERROR(__xludf.DUMMYFUNCTION("IMPORTRANGE(H15251,""IDENTITAS UNIT!D9"")"),"#N/A")</f>
        <v>#N/A</v>
      </c>
      <c r="H15251" s="4" t="str">
        <v/>
      </c>
      <c r="I15251" s="4" t="str">
        <v/>
      </c>
    </row>
    <row r="15252" spans="5:9" ht="16.5" hidden="1">
      <c r="E15252" s="4" t="str">
        <v/>
      </c>
      <c r="F15252" s="102" t="str">
        <f ca="1">IFERROR(__xludf.DUMMYFUNCTION("IMPORTRANGE(H15252,""IDENTITAS UNIT!D9"")"),"#N/A")</f>
        <v>#N/A</v>
      </c>
      <c r="H15252" s="4" t="str">
        <v/>
      </c>
      <c r="I15252" s="4" t="str">
        <v/>
      </c>
    </row>
    <row r="15253" spans="5:9" ht="16.5" hidden="1">
      <c r="E15253" s="4" t="str">
        <v/>
      </c>
      <c r="F15253" s="102" t="str">
        <f ca="1">IFERROR(__xludf.DUMMYFUNCTION("IMPORTRANGE(H15253,""IDENTITAS UNIT!D9"")"),"#N/A")</f>
        <v>#N/A</v>
      </c>
      <c r="H15253" s="4" t="str">
        <v/>
      </c>
      <c r="I15253" s="4" t="str">
        <v/>
      </c>
    </row>
    <row r="15254" spans="5:9" ht="16.5" hidden="1">
      <c r="E15254" s="4" t="str">
        <v/>
      </c>
      <c r="F15254" s="102" t="str">
        <f ca="1">IFERROR(__xludf.DUMMYFUNCTION("IMPORTRANGE(H15254,""IDENTITAS UNIT!D9"")"),"#N/A")</f>
        <v>#N/A</v>
      </c>
      <c r="H15254" s="4" t="str">
        <v/>
      </c>
      <c r="I15254" s="4" t="str">
        <v/>
      </c>
    </row>
    <row r="15255" spans="5:9" ht="16.5" hidden="1">
      <c r="E15255" s="4" t="str">
        <v/>
      </c>
      <c r="F15255" s="102" t="str">
        <f ca="1">IFERROR(__xludf.DUMMYFUNCTION("IMPORTRANGE(H15255,""IDENTITAS UNIT!D9"")"),"#N/A")</f>
        <v>#N/A</v>
      </c>
      <c r="H15255" s="4" t="str">
        <v/>
      </c>
      <c r="I15255" s="4" t="str">
        <v/>
      </c>
    </row>
    <row r="15256" spans="5:9" ht="16.5" hidden="1">
      <c r="E15256" s="4" t="str">
        <v/>
      </c>
      <c r="F15256" s="102" t="str">
        <f ca="1">IFERROR(__xludf.DUMMYFUNCTION("IMPORTRANGE(H15256,""IDENTITAS UNIT!D9"")"),"#N/A")</f>
        <v>#N/A</v>
      </c>
      <c r="H15256" s="4" t="str">
        <v/>
      </c>
      <c r="I15256" s="4" t="str">
        <v/>
      </c>
    </row>
    <row r="15257" spans="5:9" ht="16.5" hidden="1">
      <c r="E15257" s="4" t="str">
        <v/>
      </c>
      <c r="F15257" s="102" t="str">
        <f ca="1">IFERROR(__xludf.DUMMYFUNCTION("IMPORTRANGE(H15257,""IDENTITAS UNIT!D9"")"),"#N/A")</f>
        <v>#N/A</v>
      </c>
      <c r="H15257" s="4" t="str">
        <v/>
      </c>
      <c r="I15257" s="4" t="str">
        <v/>
      </c>
    </row>
    <row r="15258" spans="5:9" ht="16.5" hidden="1">
      <c r="E15258" s="4" t="str">
        <v/>
      </c>
      <c r="F15258" s="102" t="str">
        <f ca="1">IFERROR(__xludf.DUMMYFUNCTION("IMPORTRANGE(H15258,""IDENTITAS UNIT!D9"")"),"#N/A")</f>
        <v>#N/A</v>
      </c>
      <c r="H15258" s="4" t="str">
        <v/>
      </c>
      <c r="I15258" s="4" t="str">
        <v/>
      </c>
    </row>
    <row r="15259" spans="5:9" ht="16.5" hidden="1">
      <c r="E15259" s="4" t="str">
        <v/>
      </c>
      <c r="F15259" s="102" t="str">
        <f ca="1">IFERROR(__xludf.DUMMYFUNCTION("IMPORTRANGE(H15259,""IDENTITAS UNIT!D9"")"),"#N/A")</f>
        <v>#N/A</v>
      </c>
      <c r="H15259" s="4" t="str">
        <v/>
      </c>
      <c r="I15259" s="4" t="str">
        <v/>
      </c>
    </row>
    <row r="15260" spans="5:9" ht="16.5" hidden="1">
      <c r="E15260" s="4" t="str">
        <v/>
      </c>
      <c r="F15260" s="102" t="str">
        <f ca="1">IFERROR(__xludf.DUMMYFUNCTION("IMPORTRANGE(H15260,""IDENTITAS UNIT!D9"")"),"#N/A")</f>
        <v>#N/A</v>
      </c>
      <c r="H15260" s="4" t="str">
        <v/>
      </c>
      <c r="I15260" s="4" t="str">
        <v/>
      </c>
    </row>
    <row r="15261" spans="5:9" ht="16.5" hidden="1">
      <c r="E15261" s="4" t="str">
        <v/>
      </c>
      <c r="F15261" s="102" t="str">
        <f ca="1">IFERROR(__xludf.DUMMYFUNCTION("IMPORTRANGE(H15261,""IDENTITAS UNIT!D9"")"),"#N/A")</f>
        <v>#N/A</v>
      </c>
      <c r="H15261" s="4" t="str">
        <v/>
      </c>
      <c r="I15261" s="4" t="str">
        <v/>
      </c>
    </row>
    <row r="15262" spans="5:9" ht="16.5" hidden="1">
      <c r="E15262" s="4" t="str">
        <v/>
      </c>
      <c r="F15262" s="102" t="str">
        <f ca="1">IFERROR(__xludf.DUMMYFUNCTION("IMPORTRANGE(H15262,""IDENTITAS UNIT!D9"")"),"#N/A")</f>
        <v>#N/A</v>
      </c>
      <c r="H15262" s="4" t="str">
        <v/>
      </c>
      <c r="I15262" s="4" t="str">
        <v/>
      </c>
    </row>
    <row r="15263" spans="5:9" ht="16.5" hidden="1">
      <c r="E15263" s="4" t="str">
        <v/>
      </c>
      <c r="F15263" s="102" t="str">
        <f ca="1">IFERROR(__xludf.DUMMYFUNCTION("IMPORTRANGE(H15263,""IDENTITAS UNIT!D9"")"),"#N/A")</f>
        <v>#N/A</v>
      </c>
      <c r="H15263" s="4" t="str">
        <v/>
      </c>
      <c r="I15263" s="4" t="str">
        <v/>
      </c>
    </row>
    <row r="15264" spans="5:9" ht="16.5" hidden="1">
      <c r="E15264" s="4" t="str">
        <v/>
      </c>
      <c r="F15264" s="102" t="str">
        <f ca="1">IFERROR(__xludf.DUMMYFUNCTION("IMPORTRANGE(H15264,""IDENTITAS UNIT!D9"")"),"#N/A")</f>
        <v>#N/A</v>
      </c>
      <c r="H15264" s="4" t="str">
        <v/>
      </c>
      <c r="I15264" s="4" t="str">
        <v/>
      </c>
    </row>
    <row r="15265" spans="5:9" ht="16.5" hidden="1">
      <c r="E15265" s="4" t="str">
        <v/>
      </c>
      <c r="F15265" s="102" t="str">
        <f ca="1">IFERROR(__xludf.DUMMYFUNCTION("IMPORTRANGE(H15265,""IDENTITAS UNIT!D9"")"),"#N/A")</f>
        <v>#N/A</v>
      </c>
      <c r="H15265" s="4" t="str">
        <v/>
      </c>
      <c r="I15265" s="4" t="str">
        <v/>
      </c>
    </row>
    <row r="15266" spans="5:9" ht="16.5" hidden="1">
      <c r="E15266" s="4" t="str">
        <v/>
      </c>
      <c r="F15266" s="102" t="str">
        <f ca="1">IFERROR(__xludf.DUMMYFUNCTION("IMPORTRANGE(H15266,""IDENTITAS UNIT!D9"")"),"#N/A")</f>
        <v>#N/A</v>
      </c>
      <c r="H15266" s="4" t="str">
        <v/>
      </c>
      <c r="I15266" s="4" t="str">
        <v/>
      </c>
    </row>
    <row r="15267" spans="5:9" ht="16.5" hidden="1">
      <c r="E15267" s="4" t="str">
        <v/>
      </c>
      <c r="F15267" s="102" t="str">
        <f ca="1">IFERROR(__xludf.DUMMYFUNCTION("IMPORTRANGE(H15267,""IDENTITAS UNIT!D9"")"),"#N/A")</f>
        <v>#N/A</v>
      </c>
      <c r="H15267" s="4" t="str">
        <v/>
      </c>
      <c r="I15267" s="4" t="str">
        <v/>
      </c>
    </row>
    <row r="15268" spans="5:9" ht="16.5" hidden="1">
      <c r="E15268" s="4" t="str">
        <v/>
      </c>
      <c r="F15268" s="102" t="str">
        <f ca="1">IFERROR(__xludf.DUMMYFUNCTION("IMPORTRANGE(H15268,""IDENTITAS UNIT!D9"")"),"#N/A")</f>
        <v>#N/A</v>
      </c>
      <c r="H15268" s="4" t="str">
        <v/>
      </c>
      <c r="I15268" s="4" t="str">
        <v/>
      </c>
    </row>
    <row r="15269" spans="5:9" ht="16.5" hidden="1">
      <c r="E15269" s="4" t="str">
        <v/>
      </c>
      <c r="F15269" s="102" t="str">
        <f ca="1">IFERROR(__xludf.DUMMYFUNCTION("IMPORTRANGE(H15269,""IDENTITAS UNIT!D9"")"),"#N/A")</f>
        <v>#N/A</v>
      </c>
      <c r="H15269" s="4" t="str">
        <v/>
      </c>
      <c r="I15269" s="4" t="str">
        <v/>
      </c>
    </row>
    <row r="15270" spans="5:9" ht="16.5" hidden="1">
      <c r="E15270" s="4" t="str">
        <v/>
      </c>
      <c r="F15270" s="102" t="str">
        <f ca="1">IFERROR(__xludf.DUMMYFUNCTION("IMPORTRANGE(H15270,""IDENTITAS UNIT!D9"")"),"#N/A")</f>
        <v>#N/A</v>
      </c>
      <c r="H15270" s="4" t="str">
        <v/>
      </c>
      <c r="I15270" s="4" t="str">
        <v/>
      </c>
    </row>
    <row r="15271" spans="5:9" ht="16.5" hidden="1">
      <c r="E15271" s="4" t="str">
        <v/>
      </c>
      <c r="F15271" s="102" t="str">
        <f ca="1">IFERROR(__xludf.DUMMYFUNCTION("IMPORTRANGE(H15271,""IDENTITAS UNIT!D9"")"),"#N/A")</f>
        <v>#N/A</v>
      </c>
      <c r="H15271" s="4" t="str">
        <v/>
      </c>
      <c r="I15271" s="4" t="str">
        <v/>
      </c>
    </row>
    <row r="15272" spans="5:9" ht="16.5" hidden="1">
      <c r="E15272" s="4" t="str">
        <v/>
      </c>
      <c r="F15272" s="102" t="str">
        <f ca="1">IFERROR(__xludf.DUMMYFUNCTION("IMPORTRANGE(H15272,""IDENTITAS UNIT!D9"")"),"#N/A")</f>
        <v>#N/A</v>
      </c>
      <c r="H15272" s="4" t="str">
        <v/>
      </c>
      <c r="I15272" s="4" t="str">
        <v/>
      </c>
    </row>
    <row r="15273" spans="5:9" ht="16.5" hidden="1">
      <c r="E15273" s="4" t="str">
        <v/>
      </c>
      <c r="F15273" s="102" t="str">
        <f ca="1">IFERROR(__xludf.DUMMYFUNCTION("IMPORTRANGE(H15273,""IDENTITAS UNIT!D9"")"),"#N/A")</f>
        <v>#N/A</v>
      </c>
      <c r="H15273" s="4" t="str">
        <v/>
      </c>
      <c r="I15273" s="4" t="str">
        <v/>
      </c>
    </row>
    <row r="15274" spans="5:9" ht="16.5" hidden="1">
      <c r="E15274" s="4" t="str">
        <v/>
      </c>
      <c r="F15274" s="102" t="str">
        <f ca="1">IFERROR(__xludf.DUMMYFUNCTION("IMPORTRANGE(H15274,""IDENTITAS UNIT!D9"")"),"#N/A")</f>
        <v>#N/A</v>
      </c>
      <c r="H15274" s="4" t="str">
        <v/>
      </c>
      <c r="I15274" s="4" t="str">
        <v/>
      </c>
    </row>
    <row r="15275" spans="5:9" ht="16.5" hidden="1">
      <c r="E15275" s="4" t="str">
        <v/>
      </c>
      <c r="F15275" s="102" t="str">
        <f ca="1">IFERROR(__xludf.DUMMYFUNCTION("IMPORTRANGE(H15275,""IDENTITAS UNIT!D9"")"),"#N/A")</f>
        <v>#N/A</v>
      </c>
      <c r="H15275" s="4" t="str">
        <v/>
      </c>
      <c r="I15275" s="4" t="str">
        <v/>
      </c>
    </row>
    <row r="15276" spans="5:9" ht="16.5" hidden="1">
      <c r="E15276" s="4" t="str">
        <v/>
      </c>
      <c r="F15276" s="102" t="str">
        <f ca="1">IFERROR(__xludf.DUMMYFUNCTION("IMPORTRANGE(H15276,""IDENTITAS UNIT!D9"")"),"#N/A")</f>
        <v>#N/A</v>
      </c>
      <c r="H15276" s="4" t="str">
        <v/>
      </c>
      <c r="I15276" s="4" t="str">
        <v/>
      </c>
    </row>
    <row r="15277" spans="5:9" ht="16.5" hidden="1">
      <c r="E15277" s="4" t="str">
        <v/>
      </c>
      <c r="F15277" s="102" t="str">
        <f ca="1">IFERROR(__xludf.DUMMYFUNCTION("IMPORTRANGE(H15277,""IDENTITAS UNIT!D9"")"),"#N/A")</f>
        <v>#N/A</v>
      </c>
      <c r="H15277" s="4" t="str">
        <v/>
      </c>
      <c r="I15277" s="4" t="str">
        <v/>
      </c>
    </row>
    <row r="15278" spans="5:9" ht="16.5" hidden="1">
      <c r="E15278" s="4" t="str">
        <v/>
      </c>
      <c r="F15278" s="102" t="str">
        <f ca="1">IFERROR(__xludf.DUMMYFUNCTION("IMPORTRANGE(H15278,""IDENTITAS UNIT!D9"")"),"#N/A")</f>
        <v>#N/A</v>
      </c>
      <c r="H15278" s="4" t="str">
        <v/>
      </c>
      <c r="I15278" s="4" t="str">
        <v/>
      </c>
    </row>
    <row r="15279" spans="5:9" ht="16.5" hidden="1">
      <c r="E15279" s="4" t="str">
        <v/>
      </c>
      <c r="F15279" s="102" t="str">
        <f ca="1">IFERROR(__xludf.DUMMYFUNCTION("IMPORTRANGE(H15279,""IDENTITAS UNIT!D9"")"),"#N/A")</f>
        <v>#N/A</v>
      </c>
      <c r="H15279" s="4" t="str">
        <v/>
      </c>
      <c r="I15279" s="4" t="str">
        <v/>
      </c>
    </row>
    <row r="15280" spans="5:9" ht="16.5" hidden="1">
      <c r="E15280" s="4" t="str">
        <v/>
      </c>
      <c r="F15280" s="102" t="str">
        <f ca="1">IFERROR(__xludf.DUMMYFUNCTION("IMPORTRANGE(H15280,""IDENTITAS UNIT!D9"")"),"#N/A")</f>
        <v>#N/A</v>
      </c>
      <c r="H15280" s="4" t="str">
        <v/>
      </c>
      <c r="I15280" s="4" t="str">
        <v/>
      </c>
    </row>
    <row r="15281" spans="5:9" ht="16.5" hidden="1">
      <c r="E15281" s="4" t="str">
        <v/>
      </c>
      <c r="F15281" s="102" t="str">
        <f ca="1">IFERROR(__xludf.DUMMYFUNCTION("IMPORTRANGE(H15281,""IDENTITAS UNIT!D9"")"),"#N/A")</f>
        <v>#N/A</v>
      </c>
      <c r="H15281" s="4" t="str">
        <v/>
      </c>
      <c r="I15281" s="4" t="str">
        <v/>
      </c>
    </row>
    <row r="15282" spans="5:9" ht="16.5" hidden="1">
      <c r="E15282" s="4" t="str">
        <v/>
      </c>
      <c r="F15282" s="102" t="str">
        <f ca="1">IFERROR(__xludf.DUMMYFUNCTION("IMPORTRANGE(H15282,""IDENTITAS UNIT!D9"")"),"#N/A")</f>
        <v>#N/A</v>
      </c>
      <c r="H15282" s="4" t="str">
        <v/>
      </c>
      <c r="I15282" s="4" t="str">
        <v/>
      </c>
    </row>
    <row r="15283" spans="5:9" ht="16.5" hidden="1">
      <c r="E15283" s="4" t="str">
        <v/>
      </c>
      <c r="F15283" s="102" t="str">
        <f ca="1">IFERROR(__xludf.DUMMYFUNCTION("IMPORTRANGE(H15283,""IDENTITAS UNIT!D9"")"),"#N/A")</f>
        <v>#N/A</v>
      </c>
      <c r="H15283" s="4" t="str">
        <v/>
      </c>
      <c r="I15283" s="4" t="str">
        <v/>
      </c>
    </row>
    <row r="15284" spans="5:9" ht="16.5" hidden="1">
      <c r="E15284" s="4" t="str">
        <v/>
      </c>
      <c r="F15284" s="102" t="str">
        <f ca="1">IFERROR(__xludf.DUMMYFUNCTION("IMPORTRANGE(H15284,""IDENTITAS UNIT!D9"")"),"#N/A")</f>
        <v>#N/A</v>
      </c>
      <c r="H15284" s="4" t="str">
        <v/>
      </c>
      <c r="I15284" s="4" t="str">
        <v/>
      </c>
    </row>
    <row r="15285" spans="5:9" ht="16.5" hidden="1">
      <c r="E15285" s="4" t="str">
        <v/>
      </c>
      <c r="F15285" s="102" t="str">
        <f ca="1">IFERROR(__xludf.DUMMYFUNCTION("IMPORTRANGE(H15285,""IDENTITAS UNIT!D9"")"),"#N/A")</f>
        <v>#N/A</v>
      </c>
      <c r="H15285" s="4" t="str">
        <v/>
      </c>
      <c r="I15285" s="4" t="str">
        <v/>
      </c>
    </row>
    <row r="15286" spans="5:9" ht="16.5" hidden="1">
      <c r="E15286" s="4" t="str">
        <v/>
      </c>
      <c r="F15286" s="102" t="str">
        <f ca="1">IFERROR(__xludf.DUMMYFUNCTION("IMPORTRANGE(H15286,""IDENTITAS UNIT!D9"")"),"#N/A")</f>
        <v>#N/A</v>
      </c>
      <c r="H15286" s="4" t="str">
        <v/>
      </c>
      <c r="I15286" s="4" t="str">
        <v/>
      </c>
    </row>
    <row r="15287" spans="5:9" ht="16.5" hidden="1">
      <c r="E15287" s="4" t="str">
        <v/>
      </c>
      <c r="F15287" s="102" t="str">
        <f ca="1">IFERROR(__xludf.DUMMYFUNCTION("IMPORTRANGE(H15287,""IDENTITAS UNIT!D9"")"),"#N/A")</f>
        <v>#N/A</v>
      </c>
      <c r="H15287" s="4" t="str">
        <v/>
      </c>
      <c r="I15287" s="4" t="str">
        <v/>
      </c>
    </row>
    <row r="15288" spans="5:9" ht="16.5" hidden="1">
      <c r="E15288" s="4" t="str">
        <v/>
      </c>
      <c r="F15288" s="102" t="str">
        <f ca="1">IFERROR(__xludf.DUMMYFUNCTION("IMPORTRANGE(H15288,""IDENTITAS UNIT!D9"")"),"#N/A")</f>
        <v>#N/A</v>
      </c>
      <c r="H15288" s="4" t="str">
        <v/>
      </c>
      <c r="I15288" s="4" t="str">
        <v/>
      </c>
    </row>
    <row r="15289" spans="5:9" ht="16.5" hidden="1">
      <c r="E15289" s="4" t="str">
        <v/>
      </c>
      <c r="F15289" s="102" t="str">
        <f ca="1">IFERROR(__xludf.DUMMYFUNCTION("IMPORTRANGE(H15289,""IDENTITAS UNIT!D9"")"),"#N/A")</f>
        <v>#N/A</v>
      </c>
      <c r="H15289" s="4" t="str">
        <v/>
      </c>
      <c r="I15289" s="4" t="str">
        <v/>
      </c>
    </row>
    <row r="15290" spans="5:9" ht="16.5" hidden="1">
      <c r="E15290" s="4" t="str">
        <v/>
      </c>
      <c r="F15290" s="102" t="str">
        <f ca="1">IFERROR(__xludf.DUMMYFUNCTION("IMPORTRANGE(H15290,""IDENTITAS UNIT!D9"")"),"#N/A")</f>
        <v>#N/A</v>
      </c>
      <c r="H15290" s="4" t="str">
        <v/>
      </c>
      <c r="I15290" s="4" t="str">
        <v/>
      </c>
    </row>
    <row r="15291" spans="5:9" ht="16.5" hidden="1">
      <c r="E15291" s="4" t="str">
        <v/>
      </c>
      <c r="F15291" s="102" t="str">
        <f ca="1">IFERROR(__xludf.DUMMYFUNCTION("IMPORTRANGE(H15291,""IDENTITAS UNIT!D9"")"),"#N/A")</f>
        <v>#N/A</v>
      </c>
      <c r="H15291" s="4" t="str">
        <v/>
      </c>
      <c r="I15291" s="4" t="str">
        <v/>
      </c>
    </row>
    <row r="15292" spans="5:9" ht="16.5" hidden="1">
      <c r="E15292" s="4" t="str">
        <v/>
      </c>
      <c r="F15292" s="102" t="str">
        <f ca="1">IFERROR(__xludf.DUMMYFUNCTION("IMPORTRANGE(H15292,""IDENTITAS UNIT!D9"")"),"#N/A")</f>
        <v>#N/A</v>
      </c>
      <c r="H15292" s="4" t="str">
        <v/>
      </c>
      <c r="I15292" s="4" t="str">
        <v/>
      </c>
    </row>
    <row r="15293" spans="5:9" ht="16.5" hidden="1">
      <c r="E15293" s="4" t="str">
        <v/>
      </c>
      <c r="F15293" s="102" t="str">
        <f ca="1">IFERROR(__xludf.DUMMYFUNCTION("IMPORTRANGE(H15293,""IDENTITAS UNIT!D9"")"),"#N/A")</f>
        <v>#N/A</v>
      </c>
      <c r="H15293" s="4" t="str">
        <v/>
      </c>
      <c r="I15293" s="4" t="str">
        <v/>
      </c>
    </row>
    <row r="15294" spans="5:9" ht="16.5" hidden="1">
      <c r="E15294" s="4" t="str">
        <v/>
      </c>
      <c r="F15294" s="102" t="str">
        <f ca="1">IFERROR(__xludf.DUMMYFUNCTION("IMPORTRANGE(H15294,""IDENTITAS UNIT!D9"")"),"#N/A")</f>
        <v>#N/A</v>
      </c>
      <c r="H15294" s="4" t="str">
        <v/>
      </c>
      <c r="I15294" s="4" t="str">
        <v/>
      </c>
    </row>
    <row r="15295" spans="5:9" ht="16.5" hidden="1">
      <c r="E15295" s="4" t="str">
        <v/>
      </c>
      <c r="F15295" s="102" t="str">
        <f ca="1">IFERROR(__xludf.DUMMYFUNCTION("IMPORTRANGE(H15295,""IDENTITAS UNIT!D9"")"),"#N/A")</f>
        <v>#N/A</v>
      </c>
      <c r="H15295" s="4" t="str">
        <v/>
      </c>
      <c r="I15295" s="4" t="str">
        <v/>
      </c>
    </row>
    <row r="15296" spans="5:9" ht="16.5" hidden="1">
      <c r="E15296" s="4" t="str">
        <v/>
      </c>
      <c r="F15296" s="102" t="str">
        <f ca="1">IFERROR(__xludf.DUMMYFUNCTION("IMPORTRANGE(H15296,""IDENTITAS UNIT!D9"")"),"#N/A")</f>
        <v>#N/A</v>
      </c>
      <c r="H15296" s="4" t="str">
        <v/>
      </c>
      <c r="I15296" s="4" t="str">
        <v/>
      </c>
    </row>
    <row r="15297" spans="5:9" ht="16.5" hidden="1">
      <c r="E15297" s="4" t="str">
        <v/>
      </c>
      <c r="F15297" s="102" t="str">
        <f ca="1">IFERROR(__xludf.DUMMYFUNCTION("IMPORTRANGE(H15297,""IDENTITAS UNIT!D9"")"),"#N/A")</f>
        <v>#N/A</v>
      </c>
      <c r="H15297" s="4" t="str">
        <v/>
      </c>
      <c r="I15297" s="4" t="str">
        <v/>
      </c>
    </row>
    <row r="15298" spans="5:9" ht="16.5" hidden="1">
      <c r="E15298" s="4" t="str">
        <v/>
      </c>
      <c r="F15298" s="102" t="str">
        <f ca="1">IFERROR(__xludf.DUMMYFUNCTION("IMPORTRANGE(H15298,""IDENTITAS UNIT!D9"")"),"#N/A")</f>
        <v>#N/A</v>
      </c>
      <c r="H15298" s="4" t="str">
        <v/>
      </c>
      <c r="I15298" s="4" t="str">
        <v/>
      </c>
    </row>
    <row r="15299" spans="5:9" ht="16.5" hidden="1">
      <c r="E15299" s="4" t="str">
        <v/>
      </c>
      <c r="F15299" s="102" t="str">
        <f ca="1">IFERROR(__xludf.DUMMYFUNCTION("IMPORTRANGE(H15299,""IDENTITAS UNIT!D9"")"),"#N/A")</f>
        <v>#N/A</v>
      </c>
      <c r="H15299" s="4" t="str">
        <v/>
      </c>
      <c r="I15299" s="4" t="str">
        <v/>
      </c>
    </row>
    <row r="15300" spans="5:9" ht="16.5" hidden="1">
      <c r="E15300" s="4" t="str">
        <v/>
      </c>
      <c r="F15300" s="102" t="str">
        <f ca="1">IFERROR(__xludf.DUMMYFUNCTION("IMPORTRANGE(H15300,""IDENTITAS UNIT!D9"")"),"#N/A")</f>
        <v>#N/A</v>
      </c>
      <c r="H15300" s="4" t="str">
        <v/>
      </c>
      <c r="I15300" s="4" t="str">
        <v/>
      </c>
    </row>
    <row r="15301" spans="5:9" ht="16.5" hidden="1">
      <c r="E15301" s="4" t="str">
        <v/>
      </c>
      <c r="F15301" s="102" t="str">
        <f ca="1">IFERROR(__xludf.DUMMYFUNCTION("IMPORTRANGE(H15301,""IDENTITAS UNIT!D9"")"),"#N/A")</f>
        <v>#N/A</v>
      </c>
      <c r="H15301" s="4" t="str">
        <v/>
      </c>
      <c r="I15301" s="4" t="str">
        <v/>
      </c>
    </row>
    <row r="15302" spans="5:9" ht="16.5" hidden="1">
      <c r="E15302" s="4" t="str">
        <v/>
      </c>
      <c r="F15302" s="102" t="str">
        <f ca="1">IFERROR(__xludf.DUMMYFUNCTION("IMPORTRANGE(H15302,""IDENTITAS UNIT!D9"")"),"#N/A")</f>
        <v>#N/A</v>
      </c>
      <c r="H15302" s="4" t="str">
        <v/>
      </c>
      <c r="I15302" s="4" t="str">
        <v/>
      </c>
    </row>
    <row r="15303" spans="5:9" ht="16.5" hidden="1">
      <c r="E15303" s="4" t="str">
        <v/>
      </c>
      <c r="F15303" s="102" t="str">
        <f ca="1">IFERROR(__xludf.DUMMYFUNCTION("IMPORTRANGE(H15303,""IDENTITAS UNIT!D9"")"),"#N/A")</f>
        <v>#N/A</v>
      </c>
      <c r="H15303" s="4" t="str">
        <v/>
      </c>
      <c r="I15303" s="4" t="str">
        <v/>
      </c>
    </row>
    <row r="15304" spans="5:9" ht="16.5" hidden="1">
      <c r="E15304" s="4" t="str">
        <v/>
      </c>
      <c r="F15304" s="102" t="str">
        <f ca="1">IFERROR(__xludf.DUMMYFUNCTION("IMPORTRANGE(H15304,""IDENTITAS UNIT!D9"")"),"#N/A")</f>
        <v>#N/A</v>
      </c>
      <c r="H15304" s="4" t="str">
        <v/>
      </c>
      <c r="I15304" s="4" t="str">
        <v/>
      </c>
    </row>
    <row r="15305" spans="5:9" ht="16.5" hidden="1">
      <c r="E15305" s="4" t="str">
        <v/>
      </c>
      <c r="F15305" s="102" t="str">
        <f ca="1">IFERROR(__xludf.DUMMYFUNCTION("IMPORTRANGE(H15305,""IDENTITAS UNIT!D9"")"),"#N/A")</f>
        <v>#N/A</v>
      </c>
      <c r="H15305" s="4" t="str">
        <v/>
      </c>
      <c r="I15305" s="4" t="str">
        <v/>
      </c>
    </row>
    <row r="15306" spans="5:9" ht="16.5" hidden="1">
      <c r="E15306" s="4" t="str">
        <v/>
      </c>
      <c r="F15306" s="102" t="str">
        <f ca="1">IFERROR(__xludf.DUMMYFUNCTION("IMPORTRANGE(H15306,""IDENTITAS UNIT!D9"")"),"#N/A")</f>
        <v>#N/A</v>
      </c>
      <c r="H15306" s="4" t="str">
        <v/>
      </c>
      <c r="I15306" s="4" t="str">
        <v/>
      </c>
    </row>
    <row r="15307" spans="5:9" ht="16.5" hidden="1">
      <c r="E15307" s="4" t="str">
        <v/>
      </c>
      <c r="F15307" s="102" t="str">
        <f ca="1">IFERROR(__xludf.DUMMYFUNCTION("IMPORTRANGE(H15307,""IDENTITAS UNIT!D9"")"),"#N/A")</f>
        <v>#N/A</v>
      </c>
      <c r="H15307" s="4" t="str">
        <v/>
      </c>
      <c r="I15307" s="4" t="str">
        <v/>
      </c>
    </row>
    <row r="15308" spans="5:9" ht="16.5" hidden="1">
      <c r="E15308" s="4" t="str">
        <v/>
      </c>
      <c r="F15308" s="102" t="str">
        <f ca="1">IFERROR(__xludf.DUMMYFUNCTION("IMPORTRANGE(H15308,""IDENTITAS UNIT!D9"")"),"#N/A")</f>
        <v>#N/A</v>
      </c>
      <c r="H15308" s="4" t="str">
        <v/>
      </c>
      <c r="I15308" s="4" t="str">
        <v/>
      </c>
    </row>
    <row r="15309" spans="5:9" ht="16.5" hidden="1">
      <c r="E15309" s="4" t="str">
        <v/>
      </c>
      <c r="F15309" s="102" t="str">
        <f ca="1">IFERROR(__xludf.DUMMYFUNCTION("IMPORTRANGE(H15309,""IDENTITAS UNIT!D9"")"),"#N/A")</f>
        <v>#N/A</v>
      </c>
      <c r="H15309" s="4" t="str">
        <v/>
      </c>
      <c r="I15309" s="4" t="str">
        <v/>
      </c>
    </row>
    <row r="15310" spans="5:9" ht="16.5" hidden="1">
      <c r="E15310" s="4" t="str">
        <v/>
      </c>
      <c r="F15310" s="102" t="str">
        <f ca="1">IFERROR(__xludf.DUMMYFUNCTION("IMPORTRANGE(H15310,""IDENTITAS UNIT!D9"")"),"#N/A")</f>
        <v>#N/A</v>
      </c>
      <c r="H15310" s="4" t="str">
        <v/>
      </c>
      <c r="I15310" s="4" t="str">
        <v/>
      </c>
    </row>
    <row r="15311" spans="5:9" ht="16.5" hidden="1">
      <c r="E15311" s="4" t="str">
        <v/>
      </c>
      <c r="F15311" s="102" t="str">
        <f ca="1">IFERROR(__xludf.DUMMYFUNCTION("IMPORTRANGE(H15311,""IDENTITAS UNIT!D9"")"),"#N/A")</f>
        <v>#N/A</v>
      </c>
      <c r="H15311" s="4" t="str">
        <v/>
      </c>
      <c r="I15311" s="4" t="str">
        <v/>
      </c>
    </row>
    <row r="15312" spans="5:9" ht="16.5" hidden="1">
      <c r="E15312" s="4" t="str">
        <v/>
      </c>
      <c r="F15312" s="102" t="str">
        <f ca="1">IFERROR(__xludf.DUMMYFUNCTION("IMPORTRANGE(H15312,""IDENTITAS UNIT!D9"")"),"#N/A")</f>
        <v>#N/A</v>
      </c>
      <c r="H15312" s="4" t="str">
        <v/>
      </c>
      <c r="I15312" s="4" t="str">
        <v/>
      </c>
    </row>
    <row r="15313" spans="5:9" ht="16.5" hidden="1">
      <c r="E15313" s="4" t="str">
        <v/>
      </c>
      <c r="F15313" s="102" t="str">
        <f ca="1">IFERROR(__xludf.DUMMYFUNCTION("IMPORTRANGE(H15313,""IDENTITAS UNIT!D9"")"),"#N/A")</f>
        <v>#N/A</v>
      </c>
      <c r="H15313" s="4" t="str">
        <v/>
      </c>
      <c r="I15313" s="4" t="str">
        <v/>
      </c>
    </row>
    <row r="15314" spans="5:9" ht="16.5" hidden="1">
      <c r="E15314" s="4" t="str">
        <v/>
      </c>
      <c r="F15314" s="102" t="str">
        <f ca="1">IFERROR(__xludf.DUMMYFUNCTION("IMPORTRANGE(H15314,""IDENTITAS UNIT!D9"")"),"#N/A")</f>
        <v>#N/A</v>
      </c>
      <c r="H15314" s="4" t="str">
        <v/>
      </c>
      <c r="I15314" s="4" t="str">
        <v/>
      </c>
    </row>
    <row r="15315" spans="5:9" ht="16.5" hidden="1">
      <c r="E15315" s="4" t="str">
        <v/>
      </c>
      <c r="F15315" s="102" t="str">
        <f ca="1">IFERROR(__xludf.DUMMYFUNCTION("IMPORTRANGE(H15315,""IDENTITAS UNIT!D9"")"),"#N/A")</f>
        <v>#N/A</v>
      </c>
      <c r="H15315" s="4" t="str">
        <v/>
      </c>
      <c r="I15315" s="4" t="str">
        <v/>
      </c>
    </row>
    <row r="15316" spans="5:9" ht="16.5" hidden="1">
      <c r="E15316" s="4" t="str">
        <v/>
      </c>
      <c r="F15316" s="102" t="str">
        <f ca="1">IFERROR(__xludf.DUMMYFUNCTION("IMPORTRANGE(H15316,""IDENTITAS UNIT!D9"")"),"#N/A")</f>
        <v>#N/A</v>
      </c>
      <c r="H15316" s="4" t="str">
        <v/>
      </c>
      <c r="I15316" s="4" t="str">
        <v/>
      </c>
    </row>
    <row r="15317" spans="5:9" ht="16.5" hidden="1">
      <c r="E15317" s="4" t="str">
        <v/>
      </c>
      <c r="F15317" s="102" t="str">
        <f ca="1">IFERROR(__xludf.DUMMYFUNCTION("IMPORTRANGE(H15317,""IDENTITAS UNIT!D9"")"),"#N/A")</f>
        <v>#N/A</v>
      </c>
      <c r="H15317" s="4" t="str">
        <v/>
      </c>
      <c r="I15317" s="4" t="str">
        <v/>
      </c>
    </row>
    <row r="15318" spans="5:9" ht="16.5" hidden="1">
      <c r="E15318" s="4" t="str">
        <v/>
      </c>
      <c r="F15318" s="102" t="str">
        <f ca="1">IFERROR(__xludf.DUMMYFUNCTION("IMPORTRANGE(H15318,""IDENTITAS UNIT!D9"")"),"#N/A")</f>
        <v>#N/A</v>
      </c>
      <c r="H15318" s="4" t="str">
        <v/>
      </c>
      <c r="I15318" s="4" t="str">
        <v/>
      </c>
    </row>
    <row r="15319" spans="5:9" ht="16.5" hidden="1">
      <c r="E15319" s="4" t="str">
        <v/>
      </c>
      <c r="F15319" s="102" t="str">
        <f ca="1">IFERROR(__xludf.DUMMYFUNCTION("IMPORTRANGE(H15319,""IDENTITAS UNIT!D9"")"),"#N/A")</f>
        <v>#N/A</v>
      </c>
      <c r="H15319" s="4" t="str">
        <v/>
      </c>
      <c r="I15319" s="4" t="str">
        <v/>
      </c>
    </row>
    <row r="15320" spans="5:9" ht="16.5" hidden="1">
      <c r="E15320" s="4" t="str">
        <v/>
      </c>
      <c r="F15320" s="102" t="str">
        <f ca="1">IFERROR(__xludf.DUMMYFUNCTION("IMPORTRANGE(H15320,""IDENTITAS UNIT!D9"")"),"#N/A")</f>
        <v>#N/A</v>
      </c>
      <c r="H15320" s="4" t="str">
        <v/>
      </c>
      <c r="I15320" s="4" t="str">
        <v/>
      </c>
    </row>
    <row r="15321" spans="5:9" ht="16.5" hidden="1">
      <c r="E15321" s="4" t="str">
        <v/>
      </c>
      <c r="F15321" s="102" t="str">
        <f ca="1">IFERROR(__xludf.DUMMYFUNCTION("IMPORTRANGE(H15321,""IDENTITAS UNIT!D9"")"),"#N/A")</f>
        <v>#N/A</v>
      </c>
      <c r="H15321" s="4" t="str">
        <v/>
      </c>
      <c r="I15321" s="4" t="str">
        <v/>
      </c>
    </row>
    <row r="15322" spans="5:9" ht="16.5" hidden="1">
      <c r="E15322" s="4" t="str">
        <v/>
      </c>
      <c r="F15322" s="102" t="str">
        <f ca="1">IFERROR(__xludf.DUMMYFUNCTION("IMPORTRANGE(H15322,""IDENTITAS UNIT!D9"")"),"#N/A")</f>
        <v>#N/A</v>
      </c>
      <c r="H15322" s="4" t="str">
        <v/>
      </c>
      <c r="I15322" s="4" t="str">
        <v/>
      </c>
    </row>
    <row r="15323" spans="5:9" ht="16.5" hidden="1">
      <c r="E15323" s="4" t="str">
        <v/>
      </c>
      <c r="F15323" s="102" t="str">
        <f ca="1">IFERROR(__xludf.DUMMYFUNCTION("IMPORTRANGE(H15323,""IDENTITAS UNIT!D9"")"),"#N/A")</f>
        <v>#N/A</v>
      </c>
      <c r="H15323" s="4" t="str">
        <v/>
      </c>
      <c r="I15323" s="4" t="str">
        <v/>
      </c>
    </row>
    <row r="15324" spans="5:9" ht="16.5" hidden="1">
      <c r="E15324" s="4" t="str">
        <v/>
      </c>
      <c r="F15324" s="102" t="str">
        <f ca="1">IFERROR(__xludf.DUMMYFUNCTION("IMPORTRANGE(H15324,""IDENTITAS UNIT!D9"")"),"#N/A")</f>
        <v>#N/A</v>
      </c>
      <c r="H15324" s="4" t="str">
        <v/>
      </c>
      <c r="I15324" s="4" t="str">
        <v/>
      </c>
    </row>
    <row r="15325" spans="5:9" ht="16.5" hidden="1">
      <c r="E15325" s="4" t="str">
        <v/>
      </c>
      <c r="F15325" s="102" t="str">
        <f ca="1">IFERROR(__xludf.DUMMYFUNCTION("IMPORTRANGE(H15325,""IDENTITAS UNIT!D9"")"),"#N/A")</f>
        <v>#N/A</v>
      </c>
      <c r="H15325" s="4" t="str">
        <v/>
      </c>
      <c r="I15325" s="4" t="str">
        <v/>
      </c>
    </row>
    <row r="15326" spans="5:9" ht="16.5" hidden="1">
      <c r="E15326" s="4" t="str">
        <v/>
      </c>
      <c r="F15326" s="102" t="str">
        <f ca="1">IFERROR(__xludf.DUMMYFUNCTION("IMPORTRANGE(H15326,""IDENTITAS UNIT!D9"")"),"#N/A")</f>
        <v>#N/A</v>
      </c>
      <c r="H15326" s="4" t="str">
        <v/>
      </c>
      <c r="I15326" s="4" t="str">
        <v/>
      </c>
    </row>
    <row r="15327" spans="5:9" ht="16.5" hidden="1">
      <c r="E15327" s="4" t="str">
        <v/>
      </c>
      <c r="F15327" s="102" t="str">
        <f ca="1">IFERROR(__xludf.DUMMYFUNCTION("IMPORTRANGE(H15327,""IDENTITAS UNIT!D9"")"),"#N/A")</f>
        <v>#N/A</v>
      </c>
      <c r="H15327" s="4" t="str">
        <v/>
      </c>
      <c r="I15327" s="4" t="str">
        <v/>
      </c>
    </row>
    <row r="15328" spans="5:9" ht="16.5" hidden="1">
      <c r="E15328" s="4" t="str">
        <v/>
      </c>
      <c r="F15328" s="102" t="str">
        <f ca="1">IFERROR(__xludf.DUMMYFUNCTION("IMPORTRANGE(H15328,""IDENTITAS UNIT!D9"")"),"#N/A")</f>
        <v>#N/A</v>
      </c>
      <c r="H15328" s="4" t="str">
        <v/>
      </c>
      <c r="I15328" s="4" t="str">
        <v/>
      </c>
    </row>
    <row r="15329" spans="5:9" ht="16.5" hidden="1">
      <c r="E15329" s="4" t="str">
        <v/>
      </c>
      <c r="F15329" s="102" t="str">
        <f ca="1">IFERROR(__xludf.DUMMYFUNCTION("IMPORTRANGE(H15329,""IDENTITAS UNIT!D9"")"),"#N/A")</f>
        <v>#N/A</v>
      </c>
      <c r="H15329" s="4" t="str">
        <v/>
      </c>
      <c r="I15329" s="4" t="str">
        <v/>
      </c>
    </row>
    <row r="15330" spans="5:9" ht="16.5" hidden="1">
      <c r="E15330" s="4" t="str">
        <v/>
      </c>
      <c r="F15330" s="102" t="str">
        <f ca="1">IFERROR(__xludf.DUMMYFUNCTION("IMPORTRANGE(H15330,""IDENTITAS UNIT!D9"")"),"#N/A")</f>
        <v>#N/A</v>
      </c>
      <c r="H15330" s="4" t="str">
        <v/>
      </c>
      <c r="I15330" s="4" t="str">
        <v/>
      </c>
    </row>
    <row r="15331" spans="5:9" ht="16.5" hidden="1">
      <c r="E15331" s="4" t="str">
        <v/>
      </c>
      <c r="F15331" s="102" t="str">
        <f ca="1">IFERROR(__xludf.DUMMYFUNCTION("IMPORTRANGE(H15331,""IDENTITAS UNIT!D9"")"),"#N/A")</f>
        <v>#N/A</v>
      </c>
      <c r="H15331" s="4" t="str">
        <v/>
      </c>
      <c r="I15331" s="4" t="str">
        <v/>
      </c>
    </row>
    <row r="15332" spans="5:9" ht="16.5" hidden="1">
      <c r="E15332" s="4" t="str">
        <v/>
      </c>
      <c r="F15332" s="102" t="str">
        <f ca="1">IFERROR(__xludf.DUMMYFUNCTION("IMPORTRANGE(H15332,""IDENTITAS UNIT!D9"")"),"#N/A")</f>
        <v>#N/A</v>
      </c>
      <c r="H15332" s="4" t="str">
        <v/>
      </c>
      <c r="I15332" s="4" t="str">
        <v/>
      </c>
    </row>
    <row r="15333" spans="5:9" ht="16.5" hidden="1">
      <c r="E15333" s="4" t="str">
        <v/>
      </c>
      <c r="F15333" s="102" t="str">
        <f ca="1">IFERROR(__xludf.DUMMYFUNCTION("IMPORTRANGE(H15333,""IDENTITAS UNIT!D9"")"),"#N/A")</f>
        <v>#N/A</v>
      </c>
      <c r="H15333" s="4" t="str">
        <v/>
      </c>
      <c r="I15333" s="4" t="str">
        <v/>
      </c>
    </row>
    <row r="15334" spans="5:9" ht="16.5" hidden="1">
      <c r="E15334" s="4" t="str">
        <v/>
      </c>
      <c r="F15334" s="102" t="str">
        <f ca="1">IFERROR(__xludf.DUMMYFUNCTION("IMPORTRANGE(H15334,""IDENTITAS UNIT!D9"")"),"#N/A")</f>
        <v>#N/A</v>
      </c>
      <c r="H15334" s="4" t="str">
        <v/>
      </c>
      <c r="I15334" s="4" t="str">
        <v/>
      </c>
    </row>
    <row r="15335" spans="5:9" ht="16.5" hidden="1">
      <c r="E15335" s="4" t="str">
        <v/>
      </c>
      <c r="F15335" s="102" t="str">
        <f ca="1">IFERROR(__xludf.DUMMYFUNCTION("IMPORTRANGE(H15335,""IDENTITAS UNIT!D9"")"),"#N/A")</f>
        <v>#N/A</v>
      </c>
      <c r="H15335" s="4" t="str">
        <v/>
      </c>
      <c r="I15335" s="4" t="str">
        <v/>
      </c>
    </row>
    <row r="15336" spans="5:9" ht="16.5" hidden="1">
      <c r="E15336" s="4" t="str">
        <v/>
      </c>
      <c r="F15336" s="102" t="str">
        <f ca="1">IFERROR(__xludf.DUMMYFUNCTION("IMPORTRANGE(H15336,""IDENTITAS UNIT!D9"")"),"#N/A")</f>
        <v>#N/A</v>
      </c>
      <c r="H15336" s="4" t="str">
        <v/>
      </c>
      <c r="I15336" s="4" t="str">
        <v/>
      </c>
    </row>
    <row r="15337" spans="5:9" ht="16.5" hidden="1">
      <c r="E15337" s="4" t="str">
        <v/>
      </c>
      <c r="F15337" s="102" t="str">
        <f ca="1">IFERROR(__xludf.DUMMYFUNCTION("IMPORTRANGE(H15337,""IDENTITAS UNIT!D9"")"),"#N/A")</f>
        <v>#N/A</v>
      </c>
      <c r="H15337" s="4" t="str">
        <v/>
      </c>
      <c r="I15337" s="4" t="str">
        <v/>
      </c>
    </row>
    <row r="15338" spans="5:9" ht="16.5" hidden="1">
      <c r="E15338" s="4" t="str">
        <v/>
      </c>
      <c r="F15338" s="102" t="str">
        <f ca="1">IFERROR(__xludf.DUMMYFUNCTION("IMPORTRANGE(H15338,""IDENTITAS UNIT!D9"")"),"#N/A")</f>
        <v>#N/A</v>
      </c>
      <c r="H15338" s="4" t="str">
        <v/>
      </c>
      <c r="I15338" s="4" t="str">
        <v/>
      </c>
    </row>
    <row r="15339" spans="5:9" ht="16.5" hidden="1">
      <c r="E15339" s="4" t="str">
        <v/>
      </c>
      <c r="F15339" s="102" t="str">
        <f ca="1">IFERROR(__xludf.DUMMYFUNCTION("IMPORTRANGE(H15339,""IDENTITAS UNIT!D9"")"),"#N/A")</f>
        <v>#N/A</v>
      </c>
      <c r="H15339" s="4" t="str">
        <v/>
      </c>
      <c r="I15339" s="4" t="str">
        <v/>
      </c>
    </row>
    <row r="15340" spans="5:9" ht="16.5" hidden="1">
      <c r="E15340" s="4" t="str">
        <v/>
      </c>
      <c r="F15340" s="102" t="str">
        <f ca="1">IFERROR(__xludf.DUMMYFUNCTION("IMPORTRANGE(H15340,""IDENTITAS UNIT!D9"")"),"#N/A")</f>
        <v>#N/A</v>
      </c>
      <c r="H15340" s="4" t="str">
        <v/>
      </c>
      <c r="I15340" s="4" t="str">
        <v/>
      </c>
    </row>
    <row r="15341" spans="5:9" ht="16.5" hidden="1">
      <c r="E15341" s="4" t="str">
        <v/>
      </c>
      <c r="F15341" s="102" t="str">
        <f ca="1">IFERROR(__xludf.DUMMYFUNCTION("IMPORTRANGE(H15341,""IDENTITAS UNIT!D9"")"),"#N/A")</f>
        <v>#N/A</v>
      </c>
      <c r="H15341" s="4" t="str">
        <v/>
      </c>
      <c r="I15341" s="4" t="str">
        <v/>
      </c>
    </row>
    <row r="15342" spans="5:9" ht="16.5" hidden="1">
      <c r="E15342" s="4" t="str">
        <v/>
      </c>
      <c r="F15342" s="102" t="str">
        <f ca="1">IFERROR(__xludf.DUMMYFUNCTION("IMPORTRANGE(H15342,""IDENTITAS UNIT!D9"")"),"#N/A")</f>
        <v>#N/A</v>
      </c>
      <c r="H15342" s="4" t="str">
        <v/>
      </c>
      <c r="I15342" s="4" t="str">
        <v/>
      </c>
    </row>
    <row r="15343" spans="5:9" ht="16.5" hidden="1">
      <c r="E15343" s="4" t="str">
        <v/>
      </c>
      <c r="F15343" s="102" t="str">
        <f ca="1">IFERROR(__xludf.DUMMYFUNCTION("IMPORTRANGE(H15343,""IDENTITAS UNIT!D9"")"),"#N/A")</f>
        <v>#N/A</v>
      </c>
      <c r="H15343" s="4" t="str">
        <v/>
      </c>
      <c r="I15343" s="4" t="str">
        <v/>
      </c>
    </row>
    <row r="15344" spans="5:9" ht="16.5" hidden="1">
      <c r="E15344" s="4" t="str">
        <v/>
      </c>
      <c r="F15344" s="102" t="str">
        <f ca="1">IFERROR(__xludf.DUMMYFUNCTION("IMPORTRANGE(H15344,""IDENTITAS UNIT!D9"")"),"#N/A")</f>
        <v>#N/A</v>
      </c>
      <c r="H15344" s="4" t="str">
        <v/>
      </c>
      <c r="I15344" s="4" t="str">
        <v/>
      </c>
    </row>
    <row r="15345" spans="5:9" ht="16.5" hidden="1">
      <c r="E15345" s="4" t="str">
        <v/>
      </c>
      <c r="F15345" s="102" t="str">
        <f ca="1">IFERROR(__xludf.DUMMYFUNCTION("IMPORTRANGE(H15345,""IDENTITAS UNIT!D9"")"),"#N/A")</f>
        <v>#N/A</v>
      </c>
      <c r="H15345" s="4" t="str">
        <v/>
      </c>
      <c r="I15345" s="4" t="str">
        <v/>
      </c>
    </row>
    <row r="15346" spans="5:9" ht="16.5" hidden="1">
      <c r="E15346" s="4" t="str">
        <v/>
      </c>
      <c r="F15346" s="102" t="str">
        <f ca="1">IFERROR(__xludf.DUMMYFUNCTION("IMPORTRANGE(H15346,""IDENTITAS UNIT!D9"")"),"#N/A")</f>
        <v>#N/A</v>
      </c>
      <c r="H15346" s="4" t="str">
        <v/>
      </c>
      <c r="I15346" s="4" t="str">
        <v/>
      </c>
    </row>
    <row r="15347" spans="5:9" ht="16.5" hidden="1">
      <c r="E15347" s="4" t="str">
        <v/>
      </c>
      <c r="F15347" s="102" t="str">
        <f ca="1">IFERROR(__xludf.DUMMYFUNCTION("IMPORTRANGE(H15347,""IDENTITAS UNIT!D9"")"),"#N/A")</f>
        <v>#N/A</v>
      </c>
      <c r="H15347" s="4" t="str">
        <v/>
      </c>
      <c r="I15347" s="4" t="str">
        <v/>
      </c>
    </row>
    <row r="15348" spans="5:9" ht="16.5" hidden="1">
      <c r="E15348" s="4" t="str">
        <v/>
      </c>
      <c r="F15348" s="102" t="str">
        <f ca="1">IFERROR(__xludf.DUMMYFUNCTION("IMPORTRANGE(H15348,""IDENTITAS UNIT!D9"")"),"#N/A")</f>
        <v>#N/A</v>
      </c>
      <c r="H15348" s="4" t="str">
        <v/>
      </c>
      <c r="I15348" s="4" t="str">
        <v/>
      </c>
    </row>
    <row r="15349" spans="5:9" ht="16.5" hidden="1">
      <c r="E15349" s="4" t="str">
        <v/>
      </c>
      <c r="F15349" s="102" t="str">
        <f ca="1">IFERROR(__xludf.DUMMYFUNCTION("IMPORTRANGE(H15349,""IDENTITAS UNIT!D9"")"),"#N/A")</f>
        <v>#N/A</v>
      </c>
      <c r="H15349" s="4" t="str">
        <v/>
      </c>
      <c r="I15349" s="4" t="str">
        <v/>
      </c>
    </row>
    <row r="15350" spans="5:9" ht="16.5" hidden="1">
      <c r="E15350" s="4" t="str">
        <v/>
      </c>
      <c r="F15350" s="102" t="str">
        <f ca="1">IFERROR(__xludf.DUMMYFUNCTION("IMPORTRANGE(H15350,""IDENTITAS UNIT!D9"")"),"#N/A")</f>
        <v>#N/A</v>
      </c>
      <c r="H15350" s="4" t="str">
        <v/>
      </c>
      <c r="I15350" s="4" t="str">
        <v/>
      </c>
    </row>
    <row r="15351" spans="5:9" ht="16.5" hidden="1">
      <c r="E15351" s="4" t="str">
        <v/>
      </c>
      <c r="F15351" s="102" t="str">
        <f ca="1">IFERROR(__xludf.DUMMYFUNCTION("IMPORTRANGE(H15351,""IDENTITAS UNIT!D9"")"),"#N/A")</f>
        <v>#N/A</v>
      </c>
      <c r="H15351" s="4" t="str">
        <v/>
      </c>
      <c r="I15351" s="4" t="str">
        <v/>
      </c>
    </row>
    <row r="15352" spans="5:9" ht="16.5" hidden="1">
      <c r="E15352" s="4" t="str">
        <v/>
      </c>
      <c r="F15352" s="102" t="str">
        <f ca="1">IFERROR(__xludf.DUMMYFUNCTION("IMPORTRANGE(H15352,""IDENTITAS UNIT!D9"")"),"#N/A")</f>
        <v>#N/A</v>
      </c>
      <c r="H15352" s="4" t="str">
        <v/>
      </c>
      <c r="I15352" s="4" t="str">
        <v/>
      </c>
    </row>
    <row r="15353" spans="5:9" ht="16.5" hidden="1">
      <c r="E15353" s="4" t="str">
        <v/>
      </c>
      <c r="F15353" s="102" t="str">
        <f ca="1">IFERROR(__xludf.DUMMYFUNCTION("IMPORTRANGE(H15353,""IDENTITAS UNIT!D9"")"),"#N/A")</f>
        <v>#N/A</v>
      </c>
      <c r="H15353" s="4" t="str">
        <v/>
      </c>
      <c r="I15353" s="4" t="str">
        <v/>
      </c>
    </row>
    <row r="15354" spans="5:9" ht="16.5" hidden="1">
      <c r="E15354" s="4" t="str">
        <v/>
      </c>
      <c r="F15354" s="102" t="str">
        <f ca="1">IFERROR(__xludf.DUMMYFUNCTION("IMPORTRANGE(H15354,""IDENTITAS UNIT!D9"")"),"#N/A")</f>
        <v>#N/A</v>
      </c>
      <c r="H15354" s="4" t="str">
        <v/>
      </c>
      <c r="I15354" s="4" t="str">
        <v/>
      </c>
    </row>
    <row r="15355" spans="5:9" ht="16.5" hidden="1">
      <c r="E15355" s="4" t="str">
        <v/>
      </c>
      <c r="F15355" s="102" t="str">
        <f ca="1">IFERROR(__xludf.DUMMYFUNCTION("IMPORTRANGE(H15355,""IDENTITAS UNIT!D9"")"),"#N/A")</f>
        <v>#N/A</v>
      </c>
      <c r="H15355" s="4" t="str">
        <v/>
      </c>
      <c r="I15355" s="4" t="str">
        <v/>
      </c>
    </row>
    <row r="15356" spans="5:9" ht="16.5" hidden="1">
      <c r="E15356" s="4" t="str">
        <v/>
      </c>
      <c r="F15356" s="102" t="str">
        <f ca="1">IFERROR(__xludf.DUMMYFUNCTION("IMPORTRANGE(H15356,""IDENTITAS UNIT!D9"")"),"#N/A")</f>
        <v>#N/A</v>
      </c>
      <c r="H15356" s="4" t="str">
        <v/>
      </c>
      <c r="I15356" s="4" t="str">
        <v/>
      </c>
    </row>
    <row r="15357" spans="5:9" ht="16.5" hidden="1">
      <c r="E15357" s="4" t="str">
        <v/>
      </c>
      <c r="F15357" s="102" t="str">
        <f ca="1">IFERROR(__xludf.DUMMYFUNCTION("IMPORTRANGE(H15357,""IDENTITAS UNIT!D9"")"),"#N/A")</f>
        <v>#N/A</v>
      </c>
      <c r="H15357" s="4" t="str">
        <v/>
      </c>
      <c r="I15357" s="4" t="str">
        <v/>
      </c>
    </row>
    <row r="15358" spans="5:9" ht="16.5" hidden="1">
      <c r="E15358" s="4" t="str">
        <v/>
      </c>
      <c r="F15358" s="102" t="str">
        <f ca="1">IFERROR(__xludf.DUMMYFUNCTION("IMPORTRANGE(H15358,""IDENTITAS UNIT!D9"")"),"#N/A")</f>
        <v>#N/A</v>
      </c>
      <c r="H15358" s="4" t="str">
        <v/>
      </c>
      <c r="I15358" s="4" t="str">
        <v/>
      </c>
    </row>
    <row r="15359" spans="5:9" ht="16.5" hidden="1">
      <c r="E15359" s="4" t="str">
        <v/>
      </c>
      <c r="F15359" s="102" t="str">
        <f ca="1">IFERROR(__xludf.DUMMYFUNCTION("IMPORTRANGE(H15359,""IDENTITAS UNIT!D9"")"),"#N/A")</f>
        <v>#N/A</v>
      </c>
      <c r="H15359" s="4" t="str">
        <v/>
      </c>
      <c r="I15359" s="4" t="str">
        <v/>
      </c>
    </row>
    <row r="15360" spans="5:9" ht="16.5" hidden="1">
      <c r="E15360" s="4" t="str">
        <v/>
      </c>
      <c r="F15360" s="102" t="str">
        <f ca="1">IFERROR(__xludf.DUMMYFUNCTION("IMPORTRANGE(H15360,""IDENTITAS UNIT!D9"")"),"#N/A")</f>
        <v>#N/A</v>
      </c>
      <c r="H15360" s="4" t="str">
        <v/>
      </c>
      <c r="I15360" s="4" t="str">
        <v/>
      </c>
    </row>
    <row r="15361" spans="5:9" ht="16.5" hidden="1">
      <c r="E15361" s="4" t="str">
        <v/>
      </c>
      <c r="F15361" s="102" t="str">
        <f ca="1">IFERROR(__xludf.DUMMYFUNCTION("IMPORTRANGE(H15361,""IDENTITAS UNIT!D9"")"),"#N/A")</f>
        <v>#N/A</v>
      </c>
      <c r="H15361" s="4" t="str">
        <v/>
      </c>
      <c r="I15361" s="4" t="str">
        <v/>
      </c>
    </row>
    <row r="15362" spans="5:9" ht="16.5" hidden="1">
      <c r="E15362" s="4" t="str">
        <v/>
      </c>
      <c r="F15362" s="102" t="str">
        <f ca="1">IFERROR(__xludf.DUMMYFUNCTION("IMPORTRANGE(H15362,""IDENTITAS UNIT!D9"")"),"#N/A")</f>
        <v>#N/A</v>
      </c>
      <c r="H15362" s="4" t="str">
        <v/>
      </c>
      <c r="I15362" s="4" t="str">
        <v/>
      </c>
    </row>
    <row r="15363" spans="5:9" ht="16.5" hidden="1">
      <c r="E15363" s="4" t="str">
        <v/>
      </c>
      <c r="F15363" s="102" t="str">
        <f ca="1">IFERROR(__xludf.DUMMYFUNCTION("IMPORTRANGE(H15363,""IDENTITAS UNIT!D9"")"),"#N/A")</f>
        <v>#N/A</v>
      </c>
      <c r="H15363" s="4" t="str">
        <v/>
      </c>
      <c r="I15363" s="4" t="str">
        <v/>
      </c>
    </row>
    <row r="15364" spans="5:9" ht="16.5" hidden="1">
      <c r="E15364" s="4" t="str">
        <v/>
      </c>
      <c r="F15364" s="102" t="str">
        <f ca="1">IFERROR(__xludf.DUMMYFUNCTION("IMPORTRANGE(H15364,""IDENTITAS UNIT!D9"")"),"#N/A")</f>
        <v>#N/A</v>
      </c>
      <c r="H15364" s="4" t="str">
        <v/>
      </c>
      <c r="I15364" s="4" t="str">
        <v/>
      </c>
    </row>
    <row r="15365" spans="5:9" ht="16.5" hidden="1">
      <c r="E15365" s="4" t="str">
        <v/>
      </c>
      <c r="F15365" s="102" t="str">
        <f ca="1">IFERROR(__xludf.DUMMYFUNCTION("IMPORTRANGE(H15365,""IDENTITAS UNIT!D9"")"),"#N/A")</f>
        <v>#N/A</v>
      </c>
      <c r="H15365" s="4" t="str">
        <v/>
      </c>
      <c r="I15365" s="4" t="str">
        <v/>
      </c>
    </row>
    <row r="15366" spans="5:9" ht="16.5" hidden="1">
      <c r="E15366" s="4" t="str">
        <v/>
      </c>
      <c r="F15366" s="102" t="str">
        <f ca="1">IFERROR(__xludf.DUMMYFUNCTION("IMPORTRANGE(H15366,""IDENTITAS UNIT!D9"")"),"#N/A")</f>
        <v>#N/A</v>
      </c>
      <c r="H15366" s="4" t="str">
        <v/>
      </c>
      <c r="I15366" s="4" t="str">
        <v/>
      </c>
    </row>
    <row r="15367" spans="5:9" ht="16.5" hidden="1">
      <c r="E15367" s="4" t="str">
        <v/>
      </c>
      <c r="F15367" s="102" t="str">
        <f ca="1">IFERROR(__xludf.DUMMYFUNCTION("IMPORTRANGE(H15367,""IDENTITAS UNIT!D9"")"),"#N/A")</f>
        <v>#N/A</v>
      </c>
      <c r="H15367" s="4" t="str">
        <v/>
      </c>
      <c r="I15367" s="4" t="str">
        <v/>
      </c>
    </row>
    <row r="15368" spans="5:9" ht="16.5" hidden="1">
      <c r="E15368" s="4" t="str">
        <v/>
      </c>
      <c r="F15368" s="102" t="str">
        <f ca="1">IFERROR(__xludf.DUMMYFUNCTION("IMPORTRANGE(H15368,""IDENTITAS UNIT!D9"")"),"#N/A")</f>
        <v>#N/A</v>
      </c>
      <c r="H15368" s="4" t="str">
        <v/>
      </c>
      <c r="I15368" s="4" t="str">
        <v/>
      </c>
    </row>
    <row r="15369" spans="5:9" ht="16.5" hidden="1">
      <c r="E15369" s="4" t="str">
        <v/>
      </c>
      <c r="F15369" s="102" t="str">
        <f ca="1">IFERROR(__xludf.DUMMYFUNCTION("IMPORTRANGE(H15369,""IDENTITAS UNIT!D9"")"),"#N/A")</f>
        <v>#N/A</v>
      </c>
      <c r="H15369" s="4" t="str">
        <v/>
      </c>
      <c r="I15369" s="4" t="str">
        <v/>
      </c>
    </row>
    <row r="15370" spans="5:9" ht="16.5" hidden="1">
      <c r="E15370" s="4" t="str">
        <v/>
      </c>
      <c r="F15370" s="102" t="str">
        <f ca="1">IFERROR(__xludf.DUMMYFUNCTION("IMPORTRANGE(H15370,""IDENTITAS UNIT!D9"")"),"#N/A")</f>
        <v>#N/A</v>
      </c>
      <c r="H15370" s="4" t="str">
        <v/>
      </c>
      <c r="I15370" s="4" t="str">
        <v/>
      </c>
    </row>
    <row r="15371" spans="5:9" ht="16.5" hidden="1">
      <c r="E15371" s="4" t="str">
        <v/>
      </c>
      <c r="F15371" s="102" t="str">
        <f ca="1">IFERROR(__xludf.DUMMYFUNCTION("IMPORTRANGE(H15371,""IDENTITAS UNIT!D9"")"),"#N/A")</f>
        <v>#N/A</v>
      </c>
      <c r="H15371" s="4" t="str">
        <v/>
      </c>
      <c r="I15371" s="4" t="str">
        <v/>
      </c>
    </row>
    <row r="15372" spans="5:9" ht="16.5" hidden="1">
      <c r="E15372" s="4" t="str">
        <v/>
      </c>
      <c r="F15372" s="102" t="str">
        <f ca="1">IFERROR(__xludf.DUMMYFUNCTION("IMPORTRANGE(H15372,""IDENTITAS UNIT!D9"")"),"#N/A")</f>
        <v>#N/A</v>
      </c>
      <c r="H15372" s="4" t="str">
        <v/>
      </c>
      <c r="I15372" s="4" t="str">
        <v/>
      </c>
    </row>
    <row r="15373" spans="5:9" ht="16.5" hidden="1">
      <c r="E15373" s="4" t="str">
        <v/>
      </c>
      <c r="F15373" s="102" t="str">
        <f ca="1">IFERROR(__xludf.DUMMYFUNCTION("IMPORTRANGE(H15373,""IDENTITAS UNIT!D9"")"),"#N/A")</f>
        <v>#N/A</v>
      </c>
      <c r="H15373" s="4" t="str">
        <v/>
      </c>
      <c r="I15373" s="4" t="str">
        <v/>
      </c>
    </row>
    <row r="15374" spans="5:9" ht="16.5" hidden="1">
      <c r="E15374" s="4" t="str">
        <v/>
      </c>
      <c r="F15374" s="102" t="str">
        <f ca="1">IFERROR(__xludf.DUMMYFUNCTION("IMPORTRANGE(H15374,""IDENTITAS UNIT!D9"")"),"#N/A")</f>
        <v>#N/A</v>
      </c>
      <c r="H15374" s="4" t="str">
        <v/>
      </c>
      <c r="I15374" s="4" t="str">
        <v/>
      </c>
    </row>
    <row r="15375" spans="5:9" ht="16.5" hidden="1">
      <c r="E15375" s="4" t="str">
        <v/>
      </c>
      <c r="F15375" s="102" t="str">
        <f ca="1">IFERROR(__xludf.DUMMYFUNCTION("IMPORTRANGE(H15375,""IDENTITAS UNIT!D9"")"),"#N/A")</f>
        <v>#N/A</v>
      </c>
      <c r="H15375" s="4" t="str">
        <v/>
      </c>
      <c r="I15375" s="4" t="str">
        <v/>
      </c>
    </row>
    <row r="15376" spans="5:9" ht="16.5" hidden="1">
      <c r="E15376" s="4" t="str">
        <v/>
      </c>
      <c r="F15376" s="102" t="str">
        <f ca="1">IFERROR(__xludf.DUMMYFUNCTION("IMPORTRANGE(H15376,""IDENTITAS UNIT!D9"")"),"#N/A")</f>
        <v>#N/A</v>
      </c>
      <c r="H15376" s="4" t="str">
        <v/>
      </c>
      <c r="I15376" s="4" t="str">
        <v/>
      </c>
    </row>
    <row r="15377" spans="5:9" ht="16.5" hidden="1">
      <c r="E15377" s="4" t="str">
        <v/>
      </c>
      <c r="F15377" s="102" t="str">
        <f ca="1">IFERROR(__xludf.DUMMYFUNCTION("IMPORTRANGE(H15377,""IDENTITAS UNIT!D9"")"),"#N/A")</f>
        <v>#N/A</v>
      </c>
      <c r="H15377" s="4" t="str">
        <v/>
      </c>
      <c r="I15377" s="4" t="str">
        <v/>
      </c>
    </row>
    <row r="15378" spans="5:9" ht="16.5" hidden="1">
      <c r="E15378" s="4" t="str">
        <v/>
      </c>
      <c r="F15378" s="102" t="str">
        <f ca="1">IFERROR(__xludf.DUMMYFUNCTION("IMPORTRANGE(H15378,""IDENTITAS UNIT!D9"")"),"#N/A")</f>
        <v>#N/A</v>
      </c>
      <c r="H15378" s="4" t="str">
        <v/>
      </c>
      <c r="I15378" s="4" t="str">
        <v/>
      </c>
    </row>
    <row r="15379" spans="5:9" ht="16.5" hidden="1">
      <c r="E15379" s="4" t="str">
        <v/>
      </c>
      <c r="F15379" s="102" t="str">
        <f ca="1">IFERROR(__xludf.DUMMYFUNCTION("IMPORTRANGE(H15379,""IDENTITAS UNIT!D9"")"),"#N/A")</f>
        <v>#N/A</v>
      </c>
      <c r="H15379" s="4" t="str">
        <v/>
      </c>
      <c r="I15379" s="4" t="str">
        <v/>
      </c>
    </row>
    <row r="15380" spans="5:9" ht="16.5" hidden="1">
      <c r="E15380" s="4" t="str">
        <v/>
      </c>
      <c r="F15380" s="102" t="str">
        <f ca="1">IFERROR(__xludf.DUMMYFUNCTION("IMPORTRANGE(H15380,""IDENTITAS UNIT!D9"")"),"#N/A")</f>
        <v>#N/A</v>
      </c>
      <c r="H15380" s="4" t="str">
        <v/>
      </c>
      <c r="I15380" s="4" t="str">
        <v/>
      </c>
    </row>
    <row r="15381" spans="5:9" ht="16.5" hidden="1">
      <c r="E15381" s="4" t="str">
        <v/>
      </c>
      <c r="F15381" s="102" t="str">
        <f ca="1">IFERROR(__xludf.DUMMYFUNCTION("IMPORTRANGE(H15381,""IDENTITAS UNIT!D9"")"),"#N/A")</f>
        <v>#N/A</v>
      </c>
      <c r="H15381" s="4" t="str">
        <v/>
      </c>
      <c r="I15381" s="4" t="str">
        <v/>
      </c>
    </row>
    <row r="15382" spans="5:9" ht="16.5" hidden="1">
      <c r="E15382" s="4" t="str">
        <v/>
      </c>
      <c r="F15382" s="102" t="str">
        <f ca="1">IFERROR(__xludf.DUMMYFUNCTION("IMPORTRANGE(H15382,""IDENTITAS UNIT!D9"")"),"#N/A")</f>
        <v>#N/A</v>
      </c>
      <c r="H15382" s="4" t="str">
        <v/>
      </c>
      <c r="I15382" s="4" t="str">
        <v/>
      </c>
    </row>
    <row r="15383" spans="5:9" ht="16.5" hidden="1">
      <c r="E15383" s="4" t="str">
        <v/>
      </c>
      <c r="F15383" s="102" t="str">
        <f ca="1">IFERROR(__xludf.DUMMYFUNCTION("IMPORTRANGE(H15383,""IDENTITAS UNIT!D9"")"),"#N/A")</f>
        <v>#N/A</v>
      </c>
      <c r="H15383" s="4" t="str">
        <v/>
      </c>
      <c r="I15383" s="4" t="str">
        <v/>
      </c>
    </row>
    <row r="15384" spans="5:9" ht="16.5" hidden="1">
      <c r="E15384" s="4" t="str">
        <v/>
      </c>
      <c r="F15384" s="102" t="str">
        <f ca="1">IFERROR(__xludf.DUMMYFUNCTION("IMPORTRANGE(H15384,""IDENTITAS UNIT!D9"")"),"#N/A")</f>
        <v>#N/A</v>
      </c>
      <c r="H15384" s="4" t="str">
        <v/>
      </c>
      <c r="I15384" s="4" t="str">
        <v/>
      </c>
    </row>
    <row r="15385" spans="5:9" ht="16.5" hidden="1">
      <c r="E15385" s="4" t="str">
        <v/>
      </c>
      <c r="F15385" s="102" t="str">
        <f ca="1">IFERROR(__xludf.DUMMYFUNCTION("IMPORTRANGE(H15385,""IDENTITAS UNIT!D9"")"),"#N/A")</f>
        <v>#N/A</v>
      </c>
      <c r="H15385" s="4" t="str">
        <v/>
      </c>
      <c r="I15385" s="4" t="str">
        <v/>
      </c>
    </row>
    <row r="15386" spans="5:9" ht="16.5" hidden="1">
      <c r="E15386" s="4" t="str">
        <v/>
      </c>
      <c r="F15386" s="102" t="str">
        <f ca="1">IFERROR(__xludf.DUMMYFUNCTION("IMPORTRANGE(H15386,""IDENTITAS UNIT!D9"")"),"#N/A")</f>
        <v>#N/A</v>
      </c>
      <c r="H15386" s="4" t="str">
        <v/>
      </c>
      <c r="I15386" s="4" t="str">
        <v/>
      </c>
    </row>
    <row r="15387" spans="5:9" ht="16.5" hidden="1">
      <c r="E15387" s="4" t="str">
        <v/>
      </c>
      <c r="F15387" s="102" t="str">
        <f ca="1">IFERROR(__xludf.DUMMYFUNCTION("IMPORTRANGE(H15387,""IDENTITAS UNIT!D9"")"),"#N/A")</f>
        <v>#N/A</v>
      </c>
      <c r="H15387" s="4" t="str">
        <v/>
      </c>
      <c r="I15387" s="4" t="str">
        <v/>
      </c>
    </row>
    <row r="15388" spans="5:9" ht="16.5" hidden="1">
      <c r="E15388" s="4" t="str">
        <v/>
      </c>
      <c r="F15388" s="102" t="str">
        <f ca="1">IFERROR(__xludf.DUMMYFUNCTION("IMPORTRANGE(H15388,""IDENTITAS UNIT!D9"")"),"#N/A")</f>
        <v>#N/A</v>
      </c>
      <c r="H15388" s="4" t="str">
        <v/>
      </c>
      <c r="I15388" s="4" t="str">
        <v/>
      </c>
    </row>
    <row r="15389" spans="5:9" ht="16.5" hidden="1">
      <c r="E15389" s="4" t="str">
        <v/>
      </c>
      <c r="F15389" s="102" t="str">
        <f ca="1">IFERROR(__xludf.DUMMYFUNCTION("IMPORTRANGE(H15389,""IDENTITAS UNIT!D9"")"),"#N/A")</f>
        <v>#N/A</v>
      </c>
      <c r="H15389" s="4" t="str">
        <v/>
      </c>
      <c r="I15389" s="4" t="str">
        <v/>
      </c>
    </row>
    <row r="15390" spans="5:9" ht="16.5" hidden="1">
      <c r="E15390" s="4" t="str">
        <v/>
      </c>
      <c r="F15390" s="102" t="str">
        <f ca="1">IFERROR(__xludf.DUMMYFUNCTION("IMPORTRANGE(H15390,""IDENTITAS UNIT!D9"")"),"#N/A")</f>
        <v>#N/A</v>
      </c>
      <c r="H15390" s="4" t="str">
        <v/>
      </c>
      <c r="I15390" s="4" t="str">
        <v/>
      </c>
    </row>
    <row r="15391" spans="5:9" ht="16.5" hidden="1">
      <c r="E15391" s="4" t="str">
        <v/>
      </c>
      <c r="F15391" s="102" t="str">
        <f ca="1">IFERROR(__xludf.DUMMYFUNCTION("IMPORTRANGE(H15391,""IDENTITAS UNIT!D9"")"),"#N/A")</f>
        <v>#N/A</v>
      </c>
      <c r="H15391" s="4" t="str">
        <v/>
      </c>
      <c r="I15391" s="4" t="str">
        <v/>
      </c>
    </row>
    <row r="15392" spans="5:9" ht="16.5" hidden="1">
      <c r="E15392" s="4" t="str">
        <v/>
      </c>
      <c r="F15392" s="102" t="str">
        <f ca="1">IFERROR(__xludf.DUMMYFUNCTION("IMPORTRANGE(H15392,""IDENTITAS UNIT!D9"")"),"#N/A")</f>
        <v>#N/A</v>
      </c>
      <c r="H15392" s="4" t="str">
        <v/>
      </c>
      <c r="I15392" s="4" t="str">
        <v/>
      </c>
    </row>
    <row r="15393" spans="5:9" ht="16.5" hidden="1">
      <c r="E15393" s="4" t="str">
        <v/>
      </c>
      <c r="F15393" s="102" t="str">
        <f ca="1">IFERROR(__xludf.DUMMYFUNCTION("IMPORTRANGE(H15393,""IDENTITAS UNIT!D9"")"),"#N/A")</f>
        <v>#N/A</v>
      </c>
      <c r="H15393" s="4" t="str">
        <v/>
      </c>
      <c r="I15393" s="4" t="str">
        <v/>
      </c>
    </row>
    <row r="15394" spans="5:9" ht="16.5" hidden="1">
      <c r="E15394" s="4" t="str">
        <v/>
      </c>
      <c r="F15394" s="102" t="str">
        <f ca="1">IFERROR(__xludf.DUMMYFUNCTION("IMPORTRANGE(H15394,""IDENTITAS UNIT!D9"")"),"#N/A")</f>
        <v>#N/A</v>
      </c>
      <c r="H15394" s="4" t="str">
        <v/>
      </c>
      <c r="I15394" s="4" t="str">
        <v/>
      </c>
    </row>
    <row r="15395" spans="5:9" ht="16.5" hidden="1">
      <c r="E15395" s="4" t="str">
        <v/>
      </c>
      <c r="F15395" s="102" t="str">
        <f ca="1">IFERROR(__xludf.DUMMYFUNCTION("IMPORTRANGE(H15395,""IDENTITAS UNIT!D9"")"),"#N/A")</f>
        <v>#N/A</v>
      </c>
      <c r="H15395" s="4" t="str">
        <v/>
      </c>
      <c r="I15395" s="4" t="str">
        <v/>
      </c>
    </row>
    <row r="15396" spans="5:9" ht="16.5" hidden="1">
      <c r="E15396" s="4" t="str">
        <v/>
      </c>
      <c r="F15396" s="102" t="str">
        <f ca="1">IFERROR(__xludf.DUMMYFUNCTION("IMPORTRANGE(H15396,""IDENTITAS UNIT!D9"")"),"#N/A")</f>
        <v>#N/A</v>
      </c>
      <c r="H15396" s="4" t="str">
        <v/>
      </c>
      <c r="I15396" s="4" t="str">
        <v/>
      </c>
    </row>
    <row r="15397" spans="5:9" ht="16.5" hidden="1">
      <c r="E15397" s="4" t="str">
        <v/>
      </c>
      <c r="F15397" s="102" t="str">
        <f ca="1">IFERROR(__xludf.DUMMYFUNCTION("IMPORTRANGE(H15397,""IDENTITAS UNIT!D9"")"),"#N/A")</f>
        <v>#N/A</v>
      </c>
      <c r="H15397" s="4" t="str">
        <v/>
      </c>
      <c r="I15397" s="4" t="str">
        <v/>
      </c>
    </row>
    <row r="15398" spans="5:9" ht="16.5" hidden="1">
      <c r="E15398" s="4" t="str">
        <v/>
      </c>
      <c r="F15398" s="102" t="str">
        <f ca="1">IFERROR(__xludf.DUMMYFUNCTION("IMPORTRANGE(H15398,""IDENTITAS UNIT!D9"")"),"#N/A")</f>
        <v>#N/A</v>
      </c>
      <c r="H15398" s="4" t="str">
        <v/>
      </c>
      <c r="I15398" s="4" t="str">
        <v/>
      </c>
    </row>
    <row r="15399" spans="5:9" ht="16.5" hidden="1">
      <c r="E15399" s="4" t="str">
        <v/>
      </c>
      <c r="F15399" s="102" t="str">
        <f ca="1">IFERROR(__xludf.DUMMYFUNCTION("IMPORTRANGE(H15399,""IDENTITAS UNIT!D9"")"),"#N/A")</f>
        <v>#N/A</v>
      </c>
      <c r="H15399" s="4" t="str">
        <v/>
      </c>
      <c r="I15399" s="4" t="str">
        <v/>
      </c>
    </row>
    <row r="15400" spans="5:9" ht="16.5" hidden="1">
      <c r="E15400" s="4" t="str">
        <v/>
      </c>
      <c r="F15400" s="102" t="str">
        <f ca="1">IFERROR(__xludf.DUMMYFUNCTION("IMPORTRANGE(H15400,""IDENTITAS UNIT!D9"")"),"#N/A")</f>
        <v>#N/A</v>
      </c>
      <c r="H15400" s="4" t="str">
        <v/>
      </c>
      <c r="I15400" s="4" t="str">
        <v/>
      </c>
    </row>
    <row r="15401" spans="5:9" ht="16.5" hidden="1">
      <c r="E15401" s="4" t="str">
        <v/>
      </c>
      <c r="F15401" s="102" t="str">
        <f ca="1">IFERROR(__xludf.DUMMYFUNCTION("IMPORTRANGE(H15401,""IDENTITAS UNIT!D9"")"),"#N/A")</f>
        <v>#N/A</v>
      </c>
      <c r="H15401" s="4" t="str">
        <v/>
      </c>
      <c r="I15401" s="4" t="str">
        <v/>
      </c>
    </row>
    <row r="15402" spans="5:9" ht="16.5" hidden="1">
      <c r="E15402" s="4" t="str">
        <v/>
      </c>
      <c r="F15402" s="102" t="str">
        <f ca="1">IFERROR(__xludf.DUMMYFUNCTION("IMPORTRANGE(H15402,""IDENTITAS UNIT!D9"")"),"#N/A")</f>
        <v>#N/A</v>
      </c>
      <c r="H15402" s="4" t="str">
        <v/>
      </c>
      <c r="I15402" s="4" t="str">
        <v/>
      </c>
    </row>
    <row r="15403" spans="5:9" ht="16.5" hidden="1">
      <c r="E15403" s="4" t="str">
        <v/>
      </c>
      <c r="F15403" s="102" t="str">
        <f ca="1">IFERROR(__xludf.DUMMYFUNCTION("IMPORTRANGE(H15403,""IDENTITAS UNIT!D9"")"),"#N/A")</f>
        <v>#N/A</v>
      </c>
      <c r="H15403" s="4" t="str">
        <v/>
      </c>
      <c r="I15403" s="4" t="str">
        <v/>
      </c>
    </row>
    <row r="15404" spans="5:9" ht="16.5" hidden="1">
      <c r="E15404" s="4" t="str">
        <v/>
      </c>
      <c r="F15404" s="102" t="str">
        <f ca="1">IFERROR(__xludf.DUMMYFUNCTION("IMPORTRANGE(H15404,""IDENTITAS UNIT!D9"")"),"#N/A")</f>
        <v>#N/A</v>
      </c>
      <c r="H15404" s="4" t="str">
        <v/>
      </c>
      <c r="I15404" s="4" t="str">
        <v/>
      </c>
    </row>
    <row r="15405" spans="5:9" ht="16.5" hidden="1">
      <c r="E15405" s="4" t="str">
        <v/>
      </c>
      <c r="F15405" s="102" t="str">
        <f ca="1">IFERROR(__xludf.DUMMYFUNCTION("IMPORTRANGE(H15405,""IDENTITAS UNIT!D9"")"),"#N/A")</f>
        <v>#N/A</v>
      </c>
      <c r="H15405" s="4" t="str">
        <v/>
      </c>
      <c r="I15405" s="4" t="str">
        <v/>
      </c>
    </row>
    <row r="15406" spans="5:9" ht="16.5" hidden="1">
      <c r="E15406" s="4" t="str">
        <v/>
      </c>
      <c r="F15406" s="102" t="str">
        <f ca="1">IFERROR(__xludf.DUMMYFUNCTION("IMPORTRANGE(H15406,""IDENTITAS UNIT!D9"")"),"#N/A")</f>
        <v>#N/A</v>
      </c>
      <c r="H15406" s="4" t="str">
        <v/>
      </c>
      <c r="I15406" s="4" t="str">
        <v/>
      </c>
    </row>
    <row r="15407" spans="5:9" ht="16.5" hidden="1">
      <c r="E15407" s="4" t="str">
        <v/>
      </c>
      <c r="F15407" s="102" t="str">
        <f ca="1">IFERROR(__xludf.DUMMYFUNCTION("IMPORTRANGE(H15407,""IDENTITAS UNIT!D9"")"),"#N/A")</f>
        <v>#N/A</v>
      </c>
      <c r="H15407" s="4" t="str">
        <v/>
      </c>
      <c r="I15407" s="4" t="str">
        <v/>
      </c>
    </row>
    <row r="15408" spans="5:9" ht="16.5" hidden="1">
      <c r="E15408" s="4" t="str">
        <v/>
      </c>
      <c r="F15408" s="102" t="str">
        <f ca="1">IFERROR(__xludf.DUMMYFUNCTION("IMPORTRANGE(H15408,""IDENTITAS UNIT!D9"")"),"#N/A")</f>
        <v>#N/A</v>
      </c>
      <c r="H15408" s="4" t="str">
        <v/>
      </c>
      <c r="I15408" s="4" t="str">
        <v/>
      </c>
    </row>
    <row r="15409" spans="5:9" ht="16.5" hidden="1">
      <c r="E15409" s="4" t="str">
        <v/>
      </c>
      <c r="F15409" s="102" t="str">
        <f ca="1">IFERROR(__xludf.DUMMYFUNCTION("IMPORTRANGE(H15409,""IDENTITAS UNIT!D9"")"),"#N/A")</f>
        <v>#N/A</v>
      </c>
      <c r="H15409" s="4" t="str">
        <v/>
      </c>
      <c r="I15409" s="4" t="str">
        <v/>
      </c>
    </row>
    <row r="15410" spans="5:9" ht="16.5" hidden="1">
      <c r="E15410" s="4" t="str">
        <v/>
      </c>
      <c r="F15410" s="102" t="str">
        <f ca="1">IFERROR(__xludf.DUMMYFUNCTION("IMPORTRANGE(H15410,""IDENTITAS UNIT!D9"")"),"#N/A")</f>
        <v>#N/A</v>
      </c>
      <c r="H15410" s="4" t="str">
        <v/>
      </c>
      <c r="I15410" s="4" t="str">
        <v/>
      </c>
    </row>
    <row r="15411" spans="5:9" ht="16.5" hidden="1">
      <c r="E15411" s="4" t="str">
        <v/>
      </c>
      <c r="F15411" s="102" t="str">
        <f ca="1">IFERROR(__xludf.DUMMYFUNCTION("IMPORTRANGE(H15411,""IDENTITAS UNIT!D9"")"),"#N/A")</f>
        <v>#N/A</v>
      </c>
      <c r="H15411" s="4" t="str">
        <v/>
      </c>
      <c r="I15411" s="4" t="str">
        <v/>
      </c>
    </row>
    <row r="15412" spans="5:9" ht="16.5" hidden="1">
      <c r="E15412" s="4" t="str">
        <v/>
      </c>
      <c r="F15412" s="102" t="str">
        <f ca="1">IFERROR(__xludf.DUMMYFUNCTION("IMPORTRANGE(H15412,""IDENTITAS UNIT!D9"")"),"#N/A")</f>
        <v>#N/A</v>
      </c>
      <c r="H15412" s="4" t="str">
        <v/>
      </c>
      <c r="I15412" s="4" t="str">
        <v/>
      </c>
    </row>
    <row r="15413" spans="5:9" ht="16.5" hidden="1">
      <c r="E15413" s="4" t="str">
        <v/>
      </c>
      <c r="F15413" s="102" t="str">
        <f ca="1">IFERROR(__xludf.DUMMYFUNCTION("IMPORTRANGE(H15413,""IDENTITAS UNIT!D9"")"),"#N/A")</f>
        <v>#N/A</v>
      </c>
      <c r="H15413" s="4" t="str">
        <v/>
      </c>
      <c r="I15413" s="4" t="str">
        <v/>
      </c>
    </row>
    <row r="15414" spans="5:9" ht="16.5" hidden="1">
      <c r="E15414" s="4" t="str">
        <v/>
      </c>
      <c r="F15414" s="102" t="str">
        <f ca="1">IFERROR(__xludf.DUMMYFUNCTION("IMPORTRANGE(H15414,""IDENTITAS UNIT!D9"")"),"#N/A")</f>
        <v>#N/A</v>
      </c>
      <c r="H15414" s="4" t="str">
        <v/>
      </c>
      <c r="I15414" s="4" t="str">
        <v/>
      </c>
    </row>
    <row r="15415" spans="5:9" ht="16.5" hidden="1">
      <c r="E15415" s="4" t="str">
        <v/>
      </c>
      <c r="F15415" s="102" t="str">
        <f ca="1">IFERROR(__xludf.DUMMYFUNCTION("IMPORTRANGE(H15415,""IDENTITAS UNIT!D9"")"),"#N/A")</f>
        <v>#N/A</v>
      </c>
      <c r="H15415" s="4" t="str">
        <v/>
      </c>
      <c r="I15415" s="4" t="str">
        <v/>
      </c>
    </row>
    <row r="15416" spans="5:9" ht="16.5" hidden="1">
      <c r="E15416" s="4" t="str">
        <v/>
      </c>
      <c r="F15416" s="102" t="str">
        <f ca="1">IFERROR(__xludf.DUMMYFUNCTION("IMPORTRANGE(H15416,""IDENTITAS UNIT!D9"")"),"#N/A")</f>
        <v>#N/A</v>
      </c>
      <c r="H15416" s="4" t="str">
        <v/>
      </c>
      <c r="I15416" s="4" t="str">
        <v/>
      </c>
    </row>
    <row r="15417" spans="5:9" ht="16.5" hidden="1">
      <c r="E15417" s="4" t="str">
        <v/>
      </c>
      <c r="F15417" s="102" t="str">
        <f ca="1">IFERROR(__xludf.DUMMYFUNCTION("IMPORTRANGE(H15417,""IDENTITAS UNIT!D9"")"),"#N/A")</f>
        <v>#N/A</v>
      </c>
      <c r="H15417" s="4" t="str">
        <v/>
      </c>
      <c r="I15417" s="4" t="str">
        <v/>
      </c>
    </row>
    <row r="15418" spans="5:9" ht="16.5" hidden="1">
      <c r="E15418" s="4" t="str">
        <v/>
      </c>
      <c r="F15418" s="102" t="str">
        <f ca="1">IFERROR(__xludf.DUMMYFUNCTION("IMPORTRANGE(H15418,""IDENTITAS UNIT!D9"")"),"#N/A")</f>
        <v>#N/A</v>
      </c>
      <c r="H15418" s="4" t="str">
        <v/>
      </c>
      <c r="I15418" s="4" t="str">
        <v/>
      </c>
    </row>
    <row r="15419" spans="5:9" ht="16.5" hidden="1">
      <c r="E15419" s="4" t="str">
        <v/>
      </c>
      <c r="F15419" s="102" t="str">
        <f ca="1">IFERROR(__xludf.DUMMYFUNCTION("IMPORTRANGE(H15419,""IDENTITAS UNIT!D9"")"),"#N/A")</f>
        <v>#N/A</v>
      </c>
      <c r="H15419" s="4" t="str">
        <v/>
      </c>
      <c r="I15419" s="4" t="str">
        <v/>
      </c>
    </row>
    <row r="15420" spans="5:9" ht="16.5" hidden="1">
      <c r="E15420" s="4" t="str">
        <v/>
      </c>
      <c r="F15420" s="102" t="str">
        <f ca="1">IFERROR(__xludf.DUMMYFUNCTION("IMPORTRANGE(H15420,""IDENTITAS UNIT!D9"")"),"#N/A")</f>
        <v>#N/A</v>
      </c>
      <c r="H15420" s="4" t="str">
        <v/>
      </c>
      <c r="I15420" s="4" t="str">
        <v/>
      </c>
    </row>
    <row r="15421" spans="5:9" ht="16.5" hidden="1">
      <c r="E15421" s="4" t="str">
        <v/>
      </c>
      <c r="F15421" s="102" t="str">
        <f ca="1">IFERROR(__xludf.DUMMYFUNCTION("IMPORTRANGE(H15421,""IDENTITAS UNIT!D9"")"),"#N/A")</f>
        <v>#N/A</v>
      </c>
      <c r="H15421" s="4" t="str">
        <v/>
      </c>
      <c r="I15421" s="4" t="str">
        <v/>
      </c>
    </row>
    <row r="15422" spans="5:9" ht="16.5" hidden="1">
      <c r="E15422" s="4" t="str">
        <v/>
      </c>
      <c r="F15422" s="102" t="str">
        <f ca="1">IFERROR(__xludf.DUMMYFUNCTION("IMPORTRANGE(H15422,""IDENTITAS UNIT!D9"")"),"#N/A")</f>
        <v>#N/A</v>
      </c>
      <c r="H15422" s="4" t="str">
        <v/>
      </c>
      <c r="I15422" s="4" t="str">
        <v/>
      </c>
    </row>
    <row r="15423" spans="5:9" ht="16.5" hidden="1">
      <c r="E15423" s="4" t="str">
        <v/>
      </c>
      <c r="F15423" s="102" t="str">
        <f ca="1">IFERROR(__xludf.DUMMYFUNCTION("IMPORTRANGE(H15423,""IDENTITAS UNIT!D9"")"),"#N/A")</f>
        <v>#N/A</v>
      </c>
      <c r="H15423" s="4" t="str">
        <v/>
      </c>
      <c r="I15423" s="4" t="str">
        <v/>
      </c>
    </row>
    <row r="15424" spans="5:9" ht="16.5" hidden="1">
      <c r="E15424" s="4" t="str">
        <v/>
      </c>
      <c r="F15424" s="102" t="str">
        <f ca="1">IFERROR(__xludf.DUMMYFUNCTION("IMPORTRANGE(H15424,""IDENTITAS UNIT!D9"")"),"#N/A")</f>
        <v>#N/A</v>
      </c>
      <c r="H15424" s="4" t="str">
        <v/>
      </c>
      <c r="I15424" s="4" t="str">
        <v/>
      </c>
    </row>
    <row r="15425" spans="5:9" ht="16.5" hidden="1">
      <c r="E15425" s="4" t="str">
        <v/>
      </c>
      <c r="F15425" s="102" t="str">
        <f ca="1">IFERROR(__xludf.DUMMYFUNCTION("IMPORTRANGE(H15425,""IDENTITAS UNIT!D9"")"),"#N/A")</f>
        <v>#N/A</v>
      </c>
      <c r="H15425" s="4" t="str">
        <v/>
      </c>
      <c r="I15425" s="4" t="str">
        <v/>
      </c>
    </row>
    <row r="15426" spans="5:9" ht="16.5" hidden="1">
      <c r="E15426" s="4" t="str">
        <v/>
      </c>
      <c r="F15426" s="102" t="str">
        <f ca="1">IFERROR(__xludf.DUMMYFUNCTION("IMPORTRANGE(H15426,""IDENTITAS UNIT!D9"")"),"#N/A")</f>
        <v>#N/A</v>
      </c>
      <c r="H15426" s="4" t="str">
        <v/>
      </c>
      <c r="I15426" s="4" t="str">
        <v/>
      </c>
    </row>
    <row r="15427" spans="5:9" ht="16.5" hidden="1">
      <c r="E15427" s="4" t="str">
        <v/>
      </c>
      <c r="F15427" s="102" t="str">
        <f ca="1">IFERROR(__xludf.DUMMYFUNCTION("IMPORTRANGE(H15427,""IDENTITAS UNIT!D9"")"),"#N/A")</f>
        <v>#N/A</v>
      </c>
      <c r="H15427" s="4" t="str">
        <v/>
      </c>
      <c r="I15427" s="4" t="str">
        <v/>
      </c>
    </row>
    <row r="15428" spans="5:9" ht="16.5" hidden="1">
      <c r="E15428" s="4" t="str">
        <v/>
      </c>
      <c r="F15428" s="102" t="str">
        <f ca="1">IFERROR(__xludf.DUMMYFUNCTION("IMPORTRANGE(H15428,""IDENTITAS UNIT!D9"")"),"#N/A")</f>
        <v>#N/A</v>
      </c>
      <c r="H15428" s="4" t="str">
        <v/>
      </c>
      <c r="I15428" s="4" t="str">
        <v/>
      </c>
    </row>
    <row r="15429" spans="5:9" ht="16.5" hidden="1">
      <c r="E15429" s="4" t="str">
        <v/>
      </c>
      <c r="F15429" s="102" t="str">
        <f ca="1">IFERROR(__xludf.DUMMYFUNCTION("IMPORTRANGE(H15429,""IDENTITAS UNIT!D9"")"),"#N/A")</f>
        <v>#N/A</v>
      </c>
      <c r="H15429" s="4" t="str">
        <v/>
      </c>
      <c r="I15429" s="4" t="str">
        <v/>
      </c>
    </row>
    <row r="15430" spans="5:9" ht="16.5" hidden="1">
      <c r="E15430" s="4" t="str">
        <v/>
      </c>
      <c r="F15430" s="102" t="str">
        <f ca="1">IFERROR(__xludf.DUMMYFUNCTION("IMPORTRANGE(H15430,""IDENTITAS UNIT!D9"")"),"#N/A")</f>
        <v>#N/A</v>
      </c>
      <c r="H15430" s="4" t="str">
        <v/>
      </c>
      <c r="I15430" s="4" t="str">
        <v/>
      </c>
    </row>
    <row r="15431" spans="5:9" ht="16.5" hidden="1">
      <c r="E15431" s="4" t="str">
        <v/>
      </c>
      <c r="F15431" s="102" t="str">
        <f ca="1">IFERROR(__xludf.DUMMYFUNCTION("IMPORTRANGE(H15431,""IDENTITAS UNIT!D9"")"),"#N/A")</f>
        <v>#N/A</v>
      </c>
      <c r="H15431" s="4" t="str">
        <v/>
      </c>
      <c r="I15431" s="4" t="str">
        <v/>
      </c>
    </row>
    <row r="15432" spans="5:9" ht="16.5" hidden="1">
      <c r="E15432" s="4" t="str">
        <v/>
      </c>
      <c r="F15432" s="102" t="str">
        <f ca="1">IFERROR(__xludf.DUMMYFUNCTION("IMPORTRANGE(H15432,""IDENTITAS UNIT!D9"")"),"#N/A")</f>
        <v>#N/A</v>
      </c>
      <c r="H15432" s="4" t="str">
        <v/>
      </c>
      <c r="I15432" s="4" t="str">
        <v/>
      </c>
    </row>
    <row r="15433" spans="5:9" ht="16.5" hidden="1">
      <c r="E15433" s="4" t="str">
        <v/>
      </c>
      <c r="F15433" s="102" t="str">
        <f ca="1">IFERROR(__xludf.DUMMYFUNCTION("IMPORTRANGE(H15433,""IDENTITAS UNIT!D9"")"),"#N/A")</f>
        <v>#N/A</v>
      </c>
      <c r="H15433" s="4" t="str">
        <v/>
      </c>
      <c r="I15433" s="4" t="str">
        <v/>
      </c>
    </row>
    <row r="15434" spans="5:9" ht="16.5" hidden="1">
      <c r="E15434" s="4" t="str">
        <v/>
      </c>
      <c r="F15434" s="102" t="str">
        <f ca="1">IFERROR(__xludf.DUMMYFUNCTION("IMPORTRANGE(H15434,""IDENTITAS UNIT!D9"")"),"#N/A")</f>
        <v>#N/A</v>
      </c>
      <c r="H15434" s="4" t="str">
        <v/>
      </c>
      <c r="I15434" s="4" t="str">
        <v/>
      </c>
    </row>
    <row r="15435" spans="5:9" ht="16.5" hidden="1">
      <c r="E15435" s="4" t="str">
        <v/>
      </c>
      <c r="F15435" s="102" t="str">
        <f ca="1">IFERROR(__xludf.DUMMYFUNCTION("IMPORTRANGE(H15435,""IDENTITAS UNIT!D9"")"),"#N/A")</f>
        <v>#N/A</v>
      </c>
      <c r="H15435" s="4" t="str">
        <v/>
      </c>
      <c r="I15435" s="4" t="str">
        <v/>
      </c>
    </row>
    <row r="15436" spans="5:9" ht="16.5" hidden="1">
      <c r="E15436" s="4" t="str">
        <v/>
      </c>
      <c r="F15436" s="102" t="str">
        <f ca="1">IFERROR(__xludf.DUMMYFUNCTION("IMPORTRANGE(H15436,""IDENTITAS UNIT!D9"")"),"#N/A")</f>
        <v>#N/A</v>
      </c>
      <c r="H15436" s="4" t="str">
        <v/>
      </c>
      <c r="I15436" s="4" t="str">
        <v/>
      </c>
    </row>
    <row r="15437" spans="5:9" ht="16.5" hidden="1">
      <c r="E15437" s="4" t="str">
        <v/>
      </c>
      <c r="F15437" s="102" t="str">
        <f ca="1">IFERROR(__xludf.DUMMYFUNCTION("IMPORTRANGE(H15437,""IDENTITAS UNIT!D9"")"),"#N/A")</f>
        <v>#N/A</v>
      </c>
      <c r="H15437" s="4" t="str">
        <v/>
      </c>
      <c r="I15437" s="4" t="str">
        <v/>
      </c>
    </row>
    <row r="15438" spans="5:9" ht="16.5" hidden="1">
      <c r="E15438" s="4" t="str">
        <v/>
      </c>
      <c r="F15438" s="102" t="str">
        <f ca="1">IFERROR(__xludf.DUMMYFUNCTION("IMPORTRANGE(H15438,""IDENTITAS UNIT!D9"")"),"#N/A")</f>
        <v>#N/A</v>
      </c>
      <c r="H15438" s="4" t="str">
        <v/>
      </c>
      <c r="I15438" s="4" t="str">
        <v/>
      </c>
    </row>
    <row r="15439" spans="5:9" ht="16.5" hidden="1">
      <c r="E15439" s="4" t="str">
        <v/>
      </c>
      <c r="F15439" s="102" t="str">
        <f ca="1">IFERROR(__xludf.DUMMYFUNCTION("IMPORTRANGE(H15439,""IDENTITAS UNIT!D9"")"),"#N/A")</f>
        <v>#N/A</v>
      </c>
      <c r="H15439" s="4" t="str">
        <v/>
      </c>
      <c r="I15439" s="4" t="str">
        <v/>
      </c>
    </row>
    <row r="15440" spans="5:9" ht="16.5" hidden="1">
      <c r="E15440" s="4" t="str">
        <v/>
      </c>
      <c r="F15440" s="102" t="str">
        <f ca="1">IFERROR(__xludf.DUMMYFUNCTION("IMPORTRANGE(H15440,""IDENTITAS UNIT!D9"")"),"#N/A")</f>
        <v>#N/A</v>
      </c>
      <c r="H15440" s="4" t="str">
        <v/>
      </c>
      <c r="I15440" s="4" t="str">
        <v/>
      </c>
    </row>
    <row r="15441" spans="5:9" ht="16.5" hidden="1">
      <c r="E15441" s="4" t="str">
        <v/>
      </c>
      <c r="F15441" s="102" t="str">
        <f ca="1">IFERROR(__xludf.DUMMYFUNCTION("IMPORTRANGE(H15441,""IDENTITAS UNIT!D9"")"),"#N/A")</f>
        <v>#N/A</v>
      </c>
      <c r="H15441" s="4" t="str">
        <v/>
      </c>
      <c r="I15441" s="4" t="str">
        <v/>
      </c>
    </row>
    <row r="15442" spans="5:9" ht="16.5" hidden="1">
      <c r="E15442" s="4" t="str">
        <v/>
      </c>
      <c r="F15442" s="102" t="str">
        <f ca="1">IFERROR(__xludf.DUMMYFUNCTION("IMPORTRANGE(H15442,""IDENTITAS UNIT!D9"")"),"#N/A")</f>
        <v>#N/A</v>
      </c>
      <c r="H15442" s="4" t="str">
        <v/>
      </c>
      <c r="I15442" s="4" t="str">
        <v/>
      </c>
    </row>
    <row r="15443" spans="5:9" ht="16.5" hidden="1">
      <c r="E15443" s="4" t="str">
        <v/>
      </c>
      <c r="F15443" s="102" t="str">
        <f ca="1">IFERROR(__xludf.DUMMYFUNCTION("IMPORTRANGE(H15443,""IDENTITAS UNIT!D9"")"),"#N/A")</f>
        <v>#N/A</v>
      </c>
      <c r="H15443" s="4" t="str">
        <v/>
      </c>
      <c r="I15443" s="4" t="str">
        <v/>
      </c>
    </row>
    <row r="15444" spans="5:9" ht="16.5" hidden="1">
      <c r="E15444" s="4" t="str">
        <v/>
      </c>
      <c r="F15444" s="102" t="str">
        <f ca="1">IFERROR(__xludf.DUMMYFUNCTION("IMPORTRANGE(H15444,""IDENTITAS UNIT!D9"")"),"#N/A")</f>
        <v>#N/A</v>
      </c>
      <c r="H15444" s="4" t="str">
        <v/>
      </c>
      <c r="I15444" s="4" t="str">
        <v/>
      </c>
    </row>
    <row r="15445" spans="5:9" ht="16.5" hidden="1">
      <c r="E15445" s="4" t="str">
        <v/>
      </c>
      <c r="F15445" s="102" t="str">
        <f ca="1">IFERROR(__xludf.DUMMYFUNCTION("IMPORTRANGE(H15445,""IDENTITAS UNIT!D9"")"),"#N/A")</f>
        <v>#N/A</v>
      </c>
      <c r="H15445" s="4" t="str">
        <v/>
      </c>
      <c r="I15445" s="4" t="str">
        <v/>
      </c>
    </row>
    <row r="15446" spans="5:9" ht="16.5" hidden="1">
      <c r="E15446" s="4" t="str">
        <v/>
      </c>
      <c r="F15446" s="102" t="str">
        <f ca="1">IFERROR(__xludf.DUMMYFUNCTION("IMPORTRANGE(H15446,""IDENTITAS UNIT!D9"")"),"#N/A")</f>
        <v>#N/A</v>
      </c>
      <c r="H15446" s="4" t="str">
        <v/>
      </c>
      <c r="I15446" s="4" t="str">
        <v/>
      </c>
    </row>
    <row r="15447" spans="5:9" ht="16.5" hidden="1">
      <c r="E15447" s="4" t="str">
        <v/>
      </c>
      <c r="F15447" s="102" t="str">
        <f ca="1">IFERROR(__xludf.DUMMYFUNCTION("IMPORTRANGE(H15447,""IDENTITAS UNIT!D9"")"),"#N/A")</f>
        <v>#N/A</v>
      </c>
      <c r="H15447" s="4" t="str">
        <v/>
      </c>
      <c r="I15447" s="4" t="str">
        <v/>
      </c>
    </row>
    <row r="15448" spans="5:9" ht="16.5" hidden="1">
      <c r="E15448" s="4" t="str">
        <v/>
      </c>
      <c r="F15448" s="102" t="str">
        <f ca="1">IFERROR(__xludf.DUMMYFUNCTION("IMPORTRANGE(H15448,""IDENTITAS UNIT!D9"")"),"#N/A")</f>
        <v>#N/A</v>
      </c>
      <c r="H15448" s="4" t="str">
        <v/>
      </c>
      <c r="I15448" s="4" t="str">
        <v/>
      </c>
    </row>
    <row r="15449" spans="5:9" ht="16.5" hidden="1">
      <c r="E15449" s="4" t="str">
        <v/>
      </c>
      <c r="F15449" s="102" t="str">
        <f ca="1">IFERROR(__xludf.DUMMYFUNCTION("IMPORTRANGE(H15449,""IDENTITAS UNIT!D9"")"),"#N/A")</f>
        <v>#N/A</v>
      </c>
      <c r="H15449" s="4" t="str">
        <v/>
      </c>
      <c r="I15449" s="4" t="str">
        <v/>
      </c>
    </row>
    <row r="15450" spans="5:9" ht="16.5" hidden="1">
      <c r="E15450" s="4" t="str">
        <v/>
      </c>
      <c r="F15450" s="102" t="str">
        <f ca="1">IFERROR(__xludf.DUMMYFUNCTION("IMPORTRANGE(H15450,""IDENTITAS UNIT!D9"")"),"#N/A")</f>
        <v>#N/A</v>
      </c>
      <c r="H15450" s="4" t="str">
        <v/>
      </c>
      <c r="I15450" s="4" t="str">
        <v/>
      </c>
    </row>
    <row r="15451" spans="5:9" ht="16.5" hidden="1">
      <c r="E15451" s="4" t="str">
        <v/>
      </c>
      <c r="F15451" s="102" t="str">
        <f ca="1">IFERROR(__xludf.DUMMYFUNCTION("IMPORTRANGE(H15451,""IDENTITAS UNIT!D9"")"),"#N/A")</f>
        <v>#N/A</v>
      </c>
      <c r="H15451" s="4" t="str">
        <v/>
      </c>
      <c r="I15451" s="4" t="str">
        <v/>
      </c>
    </row>
    <row r="15452" spans="5:9" ht="16.5" hidden="1">
      <c r="E15452" s="4" t="str">
        <v/>
      </c>
      <c r="F15452" s="102" t="str">
        <f ca="1">IFERROR(__xludf.DUMMYFUNCTION("IMPORTRANGE(H15452,""IDENTITAS UNIT!D9"")"),"#N/A")</f>
        <v>#N/A</v>
      </c>
      <c r="H15452" s="4" t="str">
        <v/>
      </c>
      <c r="I15452" s="4" t="str">
        <v/>
      </c>
    </row>
    <row r="15453" spans="5:9" ht="16.5" hidden="1">
      <c r="E15453" s="4" t="str">
        <v/>
      </c>
      <c r="F15453" s="102" t="str">
        <f ca="1">IFERROR(__xludf.DUMMYFUNCTION("IMPORTRANGE(H15453,""IDENTITAS UNIT!D9"")"),"#N/A")</f>
        <v>#N/A</v>
      </c>
      <c r="H15453" s="4" t="str">
        <v/>
      </c>
      <c r="I15453" s="4" t="str">
        <v/>
      </c>
    </row>
    <row r="15454" spans="5:9" ht="16.5" hidden="1">
      <c r="E15454" s="4" t="str">
        <v/>
      </c>
      <c r="F15454" s="102" t="str">
        <f ca="1">IFERROR(__xludf.DUMMYFUNCTION("IMPORTRANGE(H15454,""IDENTITAS UNIT!D9"")"),"#N/A")</f>
        <v>#N/A</v>
      </c>
      <c r="H15454" s="4" t="str">
        <v/>
      </c>
      <c r="I15454" s="4" t="str">
        <v/>
      </c>
    </row>
    <row r="15455" spans="5:9" ht="16.5" hidden="1">
      <c r="E15455" s="4" t="str">
        <v/>
      </c>
      <c r="F15455" s="102" t="str">
        <f ca="1">IFERROR(__xludf.DUMMYFUNCTION("IMPORTRANGE(H15455,""IDENTITAS UNIT!D9"")"),"#N/A")</f>
        <v>#N/A</v>
      </c>
      <c r="H15455" s="4" t="str">
        <v/>
      </c>
      <c r="I15455" s="4" t="str">
        <v/>
      </c>
    </row>
    <row r="15456" spans="5:9" ht="16.5" hidden="1">
      <c r="E15456" s="4" t="str">
        <v/>
      </c>
      <c r="F15456" s="102" t="str">
        <f ca="1">IFERROR(__xludf.DUMMYFUNCTION("IMPORTRANGE(H15456,""IDENTITAS UNIT!D9"")"),"#N/A")</f>
        <v>#N/A</v>
      </c>
      <c r="H15456" s="4" t="str">
        <v/>
      </c>
      <c r="I15456" s="4" t="str">
        <v/>
      </c>
    </row>
    <row r="15457" spans="5:9" ht="16.5" hidden="1">
      <c r="E15457" s="4" t="str">
        <v/>
      </c>
      <c r="F15457" s="102" t="str">
        <f ca="1">IFERROR(__xludf.DUMMYFUNCTION("IMPORTRANGE(H15457,""IDENTITAS UNIT!D9"")"),"#N/A")</f>
        <v>#N/A</v>
      </c>
      <c r="H15457" s="4" t="str">
        <v/>
      </c>
      <c r="I15457" s="4" t="str">
        <v/>
      </c>
    </row>
    <row r="15458" spans="5:9" ht="16.5" hidden="1">
      <c r="E15458" s="4" t="str">
        <v/>
      </c>
      <c r="F15458" s="102" t="str">
        <f ca="1">IFERROR(__xludf.DUMMYFUNCTION("IMPORTRANGE(H15458,""IDENTITAS UNIT!D9"")"),"#N/A")</f>
        <v>#N/A</v>
      </c>
      <c r="H15458" s="4" t="str">
        <v/>
      </c>
      <c r="I15458" s="4" t="str">
        <v/>
      </c>
    </row>
    <row r="15459" spans="5:9" ht="16.5" hidden="1">
      <c r="E15459" s="4" t="str">
        <v/>
      </c>
      <c r="F15459" s="102" t="str">
        <f ca="1">IFERROR(__xludf.DUMMYFUNCTION("IMPORTRANGE(H15459,""IDENTITAS UNIT!D9"")"),"#N/A")</f>
        <v>#N/A</v>
      </c>
      <c r="H15459" s="4" t="str">
        <v/>
      </c>
      <c r="I15459" s="4" t="str">
        <v/>
      </c>
    </row>
    <row r="15460" spans="5:9" ht="16.5" hidden="1">
      <c r="E15460" s="4" t="str">
        <v/>
      </c>
      <c r="F15460" s="102" t="str">
        <f ca="1">IFERROR(__xludf.DUMMYFUNCTION("IMPORTRANGE(H15460,""IDENTITAS UNIT!D9"")"),"#N/A")</f>
        <v>#N/A</v>
      </c>
      <c r="H15460" s="4" t="str">
        <v/>
      </c>
      <c r="I15460" s="4" t="str">
        <v/>
      </c>
    </row>
    <row r="15461" spans="5:9" ht="16.5" hidden="1">
      <c r="E15461" s="4" t="str">
        <v/>
      </c>
      <c r="F15461" s="102" t="str">
        <f ca="1">IFERROR(__xludf.DUMMYFUNCTION("IMPORTRANGE(H15461,""IDENTITAS UNIT!D9"")"),"#N/A")</f>
        <v>#N/A</v>
      </c>
      <c r="H15461" s="4" t="str">
        <v/>
      </c>
      <c r="I15461" s="4" t="str">
        <v/>
      </c>
    </row>
    <row r="15462" spans="5:9" ht="16.5" hidden="1">
      <c r="E15462" s="4" t="str">
        <v/>
      </c>
      <c r="F15462" s="102" t="str">
        <f ca="1">IFERROR(__xludf.DUMMYFUNCTION("IMPORTRANGE(H15462,""IDENTITAS UNIT!D9"")"),"#N/A")</f>
        <v>#N/A</v>
      </c>
      <c r="H15462" s="4" t="str">
        <v/>
      </c>
      <c r="I15462" s="4" t="str">
        <v/>
      </c>
    </row>
    <row r="15463" spans="5:9" ht="16.5" hidden="1">
      <c r="E15463" s="4" t="str">
        <v/>
      </c>
      <c r="F15463" s="102" t="str">
        <f ca="1">IFERROR(__xludf.DUMMYFUNCTION("IMPORTRANGE(H15463,""IDENTITAS UNIT!D9"")"),"#N/A")</f>
        <v>#N/A</v>
      </c>
      <c r="H15463" s="4" t="str">
        <v/>
      </c>
      <c r="I15463" s="4" t="str">
        <v/>
      </c>
    </row>
    <row r="15464" spans="5:9" ht="16.5" hidden="1">
      <c r="E15464" s="4" t="str">
        <v/>
      </c>
      <c r="F15464" s="102" t="str">
        <f ca="1">IFERROR(__xludf.DUMMYFUNCTION("IMPORTRANGE(H15464,""IDENTITAS UNIT!D9"")"),"#N/A")</f>
        <v>#N/A</v>
      </c>
      <c r="H15464" s="4" t="str">
        <v/>
      </c>
      <c r="I15464" s="4" t="str">
        <v/>
      </c>
    </row>
    <row r="15465" spans="5:9" ht="16.5" hidden="1">
      <c r="E15465" s="4" t="str">
        <v/>
      </c>
      <c r="F15465" s="102" t="str">
        <f ca="1">IFERROR(__xludf.DUMMYFUNCTION("IMPORTRANGE(H15465,""IDENTITAS UNIT!D9"")"),"#N/A")</f>
        <v>#N/A</v>
      </c>
      <c r="H15465" s="4" t="str">
        <v/>
      </c>
      <c r="I15465" s="4" t="str">
        <v/>
      </c>
    </row>
    <row r="15466" spans="5:9" ht="16.5" hidden="1">
      <c r="E15466" s="4" t="str">
        <v/>
      </c>
      <c r="F15466" s="102" t="str">
        <f ca="1">IFERROR(__xludf.DUMMYFUNCTION("IMPORTRANGE(H15466,""IDENTITAS UNIT!D9"")"),"#N/A")</f>
        <v>#N/A</v>
      </c>
      <c r="H15466" s="4" t="str">
        <v/>
      </c>
      <c r="I15466" s="4" t="str">
        <v/>
      </c>
    </row>
    <row r="15467" spans="5:9" ht="16.5" hidden="1">
      <c r="E15467" s="4" t="str">
        <v/>
      </c>
      <c r="F15467" s="102" t="str">
        <f ca="1">IFERROR(__xludf.DUMMYFUNCTION("IMPORTRANGE(H15467,""IDENTITAS UNIT!D9"")"),"#N/A")</f>
        <v>#N/A</v>
      </c>
      <c r="H15467" s="4" t="str">
        <v/>
      </c>
      <c r="I15467" s="4" t="str">
        <v/>
      </c>
    </row>
    <row r="15468" spans="5:9" ht="16.5" hidden="1">
      <c r="E15468" s="4" t="str">
        <v/>
      </c>
      <c r="F15468" s="102" t="str">
        <f ca="1">IFERROR(__xludf.DUMMYFUNCTION("IMPORTRANGE(H15468,""IDENTITAS UNIT!D9"")"),"#N/A")</f>
        <v>#N/A</v>
      </c>
      <c r="H15468" s="4" t="str">
        <v/>
      </c>
      <c r="I15468" s="4" t="str">
        <v/>
      </c>
    </row>
    <row r="15469" spans="5:9" ht="16.5" hidden="1">
      <c r="E15469" s="4" t="str">
        <v/>
      </c>
      <c r="F15469" s="102" t="str">
        <f ca="1">IFERROR(__xludf.DUMMYFUNCTION("IMPORTRANGE(H15469,""IDENTITAS UNIT!D9"")"),"#N/A")</f>
        <v>#N/A</v>
      </c>
      <c r="H15469" s="4" t="str">
        <v/>
      </c>
      <c r="I15469" s="4" t="str">
        <v/>
      </c>
    </row>
    <row r="15470" spans="5:9" ht="16.5" hidden="1">
      <c r="E15470" s="4" t="str">
        <v/>
      </c>
      <c r="F15470" s="102" t="str">
        <f ca="1">IFERROR(__xludf.DUMMYFUNCTION("IMPORTRANGE(H15470,""IDENTITAS UNIT!D9"")"),"#N/A")</f>
        <v>#N/A</v>
      </c>
      <c r="H15470" s="4" t="str">
        <v/>
      </c>
      <c r="I15470" s="4" t="str">
        <v/>
      </c>
    </row>
    <row r="15471" spans="5:9" ht="16.5" hidden="1">
      <c r="E15471" s="4" t="str">
        <v/>
      </c>
      <c r="F15471" s="102" t="str">
        <f ca="1">IFERROR(__xludf.DUMMYFUNCTION("IMPORTRANGE(H15471,""IDENTITAS UNIT!D9"")"),"#N/A")</f>
        <v>#N/A</v>
      </c>
      <c r="H15471" s="4" t="str">
        <v/>
      </c>
      <c r="I15471" s="4" t="str">
        <v/>
      </c>
    </row>
    <row r="15472" spans="5:9" ht="16.5" hidden="1">
      <c r="E15472" s="4" t="str">
        <v/>
      </c>
      <c r="F15472" s="102" t="str">
        <f ca="1">IFERROR(__xludf.DUMMYFUNCTION("IMPORTRANGE(H15472,""IDENTITAS UNIT!D9"")"),"#N/A")</f>
        <v>#N/A</v>
      </c>
      <c r="H15472" s="4" t="str">
        <v/>
      </c>
      <c r="I15472" s="4" t="str">
        <v/>
      </c>
    </row>
    <row r="15473" spans="5:9" ht="16.5" hidden="1">
      <c r="E15473" s="4" t="str">
        <v/>
      </c>
      <c r="F15473" s="102" t="str">
        <f ca="1">IFERROR(__xludf.DUMMYFUNCTION("IMPORTRANGE(H15473,""IDENTITAS UNIT!D9"")"),"#N/A")</f>
        <v>#N/A</v>
      </c>
      <c r="H15473" s="4" t="str">
        <v/>
      </c>
      <c r="I15473" s="4" t="str">
        <v/>
      </c>
    </row>
    <row r="15474" spans="5:9" ht="16.5" hidden="1">
      <c r="E15474" s="4" t="str">
        <v/>
      </c>
      <c r="F15474" s="102" t="str">
        <f ca="1">IFERROR(__xludf.DUMMYFUNCTION("IMPORTRANGE(H15474,""IDENTITAS UNIT!D9"")"),"#N/A")</f>
        <v>#N/A</v>
      </c>
      <c r="H15474" s="4" t="str">
        <v/>
      </c>
      <c r="I15474" s="4" t="str">
        <v/>
      </c>
    </row>
    <row r="15475" spans="5:9" ht="16.5" hidden="1">
      <c r="E15475" s="4" t="str">
        <v/>
      </c>
      <c r="F15475" s="102" t="str">
        <f ca="1">IFERROR(__xludf.DUMMYFUNCTION("IMPORTRANGE(H15475,""IDENTITAS UNIT!D9"")"),"#N/A")</f>
        <v>#N/A</v>
      </c>
      <c r="H15475" s="4" t="str">
        <v/>
      </c>
      <c r="I15475" s="4" t="str">
        <v/>
      </c>
    </row>
    <row r="15476" spans="5:9" ht="16.5" hidden="1">
      <c r="E15476" s="4" t="str">
        <v/>
      </c>
      <c r="F15476" s="102" t="str">
        <f ca="1">IFERROR(__xludf.DUMMYFUNCTION("IMPORTRANGE(H15476,""IDENTITAS UNIT!D9"")"),"#N/A")</f>
        <v>#N/A</v>
      </c>
      <c r="H15476" s="4" t="str">
        <v/>
      </c>
      <c r="I15476" s="4" t="str">
        <v/>
      </c>
    </row>
    <row r="15477" spans="5:9" ht="16.5" hidden="1">
      <c r="E15477" s="4" t="str">
        <v/>
      </c>
      <c r="F15477" s="102" t="str">
        <f ca="1">IFERROR(__xludf.DUMMYFUNCTION("IMPORTRANGE(H15477,""IDENTITAS UNIT!D9"")"),"#N/A")</f>
        <v>#N/A</v>
      </c>
      <c r="H15477" s="4" t="str">
        <v/>
      </c>
      <c r="I15477" s="4" t="str">
        <v/>
      </c>
    </row>
    <row r="15478" spans="5:9" ht="16.5" hidden="1">
      <c r="E15478" s="4" t="str">
        <v/>
      </c>
      <c r="F15478" s="102" t="str">
        <f ca="1">IFERROR(__xludf.DUMMYFUNCTION("IMPORTRANGE(H15478,""IDENTITAS UNIT!D9"")"),"#N/A")</f>
        <v>#N/A</v>
      </c>
      <c r="H15478" s="4" t="str">
        <v/>
      </c>
      <c r="I15478" s="4" t="str">
        <v/>
      </c>
    </row>
    <row r="15479" spans="5:9" ht="16.5" hidden="1">
      <c r="E15479" s="4" t="str">
        <v/>
      </c>
      <c r="F15479" s="102" t="str">
        <f ca="1">IFERROR(__xludf.DUMMYFUNCTION("IMPORTRANGE(H15479,""IDENTITAS UNIT!D9"")"),"#N/A")</f>
        <v>#N/A</v>
      </c>
      <c r="H15479" s="4" t="str">
        <v/>
      </c>
      <c r="I15479" s="4" t="str">
        <v/>
      </c>
    </row>
    <row r="15480" spans="5:9" ht="16.5" hidden="1">
      <c r="E15480" s="4" t="str">
        <v/>
      </c>
      <c r="F15480" s="102" t="str">
        <f ca="1">IFERROR(__xludf.DUMMYFUNCTION("IMPORTRANGE(H15480,""IDENTITAS UNIT!D9"")"),"#N/A")</f>
        <v>#N/A</v>
      </c>
      <c r="H15480" s="4" t="str">
        <v/>
      </c>
      <c r="I15480" s="4" t="str">
        <v/>
      </c>
    </row>
    <row r="15481" spans="5:9" ht="16.5" hidden="1">
      <c r="E15481" s="4" t="str">
        <v/>
      </c>
      <c r="F15481" s="102" t="str">
        <f ca="1">IFERROR(__xludf.DUMMYFUNCTION("IMPORTRANGE(H15481,""IDENTITAS UNIT!D9"")"),"#N/A")</f>
        <v>#N/A</v>
      </c>
      <c r="H15481" s="4" t="str">
        <v/>
      </c>
      <c r="I15481" s="4" t="str">
        <v/>
      </c>
    </row>
    <row r="15482" spans="5:9" ht="16.5" hidden="1">
      <c r="E15482" s="4" t="str">
        <v/>
      </c>
      <c r="F15482" s="102" t="str">
        <f ca="1">IFERROR(__xludf.DUMMYFUNCTION("IMPORTRANGE(H15482,""IDENTITAS UNIT!D9"")"),"#N/A")</f>
        <v>#N/A</v>
      </c>
      <c r="H15482" s="4" t="str">
        <v/>
      </c>
      <c r="I15482" s="4" t="str">
        <v/>
      </c>
    </row>
    <row r="15483" spans="5:9" ht="16.5" hidden="1">
      <c r="E15483" s="4" t="str">
        <v/>
      </c>
      <c r="F15483" s="102" t="str">
        <f ca="1">IFERROR(__xludf.DUMMYFUNCTION("IMPORTRANGE(H15483,""IDENTITAS UNIT!D9"")"),"#N/A")</f>
        <v>#N/A</v>
      </c>
      <c r="H15483" s="4" t="str">
        <v/>
      </c>
      <c r="I15483" s="4" t="str">
        <v/>
      </c>
    </row>
    <row r="15484" spans="5:9" ht="16.5" hidden="1">
      <c r="E15484" s="4" t="str">
        <v/>
      </c>
      <c r="F15484" s="102" t="str">
        <f ca="1">IFERROR(__xludf.DUMMYFUNCTION("IMPORTRANGE(H15484,""IDENTITAS UNIT!D9"")"),"#N/A")</f>
        <v>#N/A</v>
      </c>
      <c r="H15484" s="4" t="str">
        <v/>
      </c>
      <c r="I15484" s="4" t="str">
        <v/>
      </c>
    </row>
    <row r="15485" spans="5:9" ht="16.5" hidden="1">
      <c r="E15485" s="4" t="str">
        <v/>
      </c>
      <c r="F15485" s="102" t="str">
        <f ca="1">IFERROR(__xludf.DUMMYFUNCTION("IMPORTRANGE(H15485,""IDENTITAS UNIT!D9"")"),"#N/A")</f>
        <v>#N/A</v>
      </c>
      <c r="H15485" s="4" t="str">
        <v/>
      </c>
      <c r="I15485" s="4" t="str">
        <v/>
      </c>
    </row>
    <row r="15486" spans="5:9" ht="16.5" hidden="1">
      <c r="E15486" s="4" t="str">
        <v/>
      </c>
      <c r="F15486" s="102" t="str">
        <f ca="1">IFERROR(__xludf.DUMMYFUNCTION("IMPORTRANGE(H15486,""IDENTITAS UNIT!D9"")"),"#N/A")</f>
        <v>#N/A</v>
      </c>
      <c r="H15486" s="4" t="str">
        <v/>
      </c>
      <c r="I15486" s="4" t="str">
        <v/>
      </c>
    </row>
    <row r="15487" spans="5:9" ht="16.5" hidden="1">
      <c r="E15487" s="4" t="str">
        <v/>
      </c>
      <c r="F15487" s="102" t="str">
        <f ca="1">IFERROR(__xludf.DUMMYFUNCTION("IMPORTRANGE(H15487,""IDENTITAS UNIT!D9"")"),"#N/A")</f>
        <v>#N/A</v>
      </c>
      <c r="H15487" s="4" t="str">
        <v/>
      </c>
      <c r="I15487" s="4" t="str">
        <v/>
      </c>
    </row>
    <row r="15488" spans="5:9" ht="16.5" hidden="1">
      <c r="E15488" s="4" t="str">
        <v/>
      </c>
      <c r="F15488" s="102" t="str">
        <f ca="1">IFERROR(__xludf.DUMMYFUNCTION("IMPORTRANGE(H15488,""IDENTITAS UNIT!D9"")"),"#N/A")</f>
        <v>#N/A</v>
      </c>
      <c r="H15488" s="4" t="str">
        <v/>
      </c>
      <c r="I15488" s="4" t="str">
        <v/>
      </c>
    </row>
    <row r="15489" spans="5:9" ht="16.5" hidden="1">
      <c r="E15489" s="4" t="str">
        <v/>
      </c>
      <c r="F15489" s="102" t="str">
        <f ca="1">IFERROR(__xludf.DUMMYFUNCTION("IMPORTRANGE(H15489,""IDENTITAS UNIT!D9"")"),"#N/A")</f>
        <v>#N/A</v>
      </c>
      <c r="H15489" s="4" t="str">
        <v/>
      </c>
      <c r="I15489" s="4" t="str">
        <v/>
      </c>
    </row>
    <row r="15490" spans="5:9" ht="16.5" hidden="1">
      <c r="E15490" s="4" t="str">
        <v/>
      </c>
      <c r="F15490" s="102" t="str">
        <f ca="1">IFERROR(__xludf.DUMMYFUNCTION("IMPORTRANGE(H15490,""IDENTITAS UNIT!D9"")"),"#N/A")</f>
        <v>#N/A</v>
      </c>
      <c r="H15490" s="4" t="str">
        <v/>
      </c>
      <c r="I15490" s="4" t="str">
        <v/>
      </c>
    </row>
    <row r="15491" spans="5:9" ht="16.5" hidden="1">
      <c r="E15491" s="4" t="str">
        <v/>
      </c>
      <c r="F15491" s="102" t="str">
        <f ca="1">IFERROR(__xludf.DUMMYFUNCTION("IMPORTRANGE(H15491,""IDENTITAS UNIT!D9"")"),"#N/A")</f>
        <v>#N/A</v>
      </c>
      <c r="H15491" s="4" t="str">
        <v/>
      </c>
      <c r="I15491" s="4" t="str">
        <v/>
      </c>
    </row>
    <row r="15492" spans="5:9" ht="16.5" hidden="1">
      <c r="E15492" s="4" t="str">
        <v/>
      </c>
      <c r="F15492" s="102" t="str">
        <f ca="1">IFERROR(__xludf.DUMMYFUNCTION("IMPORTRANGE(H15492,""IDENTITAS UNIT!D9"")"),"#N/A")</f>
        <v>#N/A</v>
      </c>
      <c r="H15492" s="4" t="str">
        <v/>
      </c>
      <c r="I15492" s="4" t="str">
        <v/>
      </c>
    </row>
    <row r="15493" spans="5:9" ht="16.5" hidden="1">
      <c r="E15493" s="4" t="str">
        <v/>
      </c>
      <c r="F15493" s="102" t="str">
        <f ca="1">IFERROR(__xludf.DUMMYFUNCTION("IMPORTRANGE(H15493,""IDENTITAS UNIT!D9"")"),"#N/A")</f>
        <v>#N/A</v>
      </c>
      <c r="H15493" s="4" t="str">
        <v/>
      </c>
      <c r="I15493" s="4" t="str">
        <v/>
      </c>
    </row>
    <row r="15494" spans="5:9" ht="16.5" hidden="1">
      <c r="E15494" s="4" t="str">
        <v/>
      </c>
      <c r="F15494" s="102" t="str">
        <f ca="1">IFERROR(__xludf.DUMMYFUNCTION("IMPORTRANGE(H15494,""IDENTITAS UNIT!D9"")"),"#N/A")</f>
        <v>#N/A</v>
      </c>
      <c r="H15494" s="4" t="str">
        <v/>
      </c>
      <c r="I15494" s="4" t="str">
        <v/>
      </c>
    </row>
    <row r="15495" spans="5:9" ht="16.5" hidden="1">
      <c r="E15495" s="4" t="str">
        <v/>
      </c>
      <c r="F15495" s="102" t="str">
        <f ca="1">IFERROR(__xludf.DUMMYFUNCTION("IMPORTRANGE(H15495,""IDENTITAS UNIT!D9"")"),"#N/A")</f>
        <v>#N/A</v>
      </c>
      <c r="H15495" s="4" t="str">
        <v/>
      </c>
      <c r="I15495" s="4" t="str">
        <v/>
      </c>
    </row>
    <row r="15496" spans="5:9" ht="16.5" hidden="1">
      <c r="E15496" s="4" t="str">
        <v/>
      </c>
      <c r="F15496" s="102" t="str">
        <f ca="1">IFERROR(__xludf.DUMMYFUNCTION("IMPORTRANGE(H15496,""IDENTITAS UNIT!D9"")"),"#N/A")</f>
        <v>#N/A</v>
      </c>
      <c r="H15496" s="4" t="str">
        <v/>
      </c>
      <c r="I15496" s="4" t="str">
        <v/>
      </c>
    </row>
    <row r="15497" spans="5:9" ht="16.5" hidden="1">
      <c r="E15497" s="4" t="str">
        <v/>
      </c>
      <c r="F15497" s="102" t="str">
        <f ca="1">IFERROR(__xludf.DUMMYFUNCTION("IMPORTRANGE(H15497,""IDENTITAS UNIT!D9"")"),"#N/A")</f>
        <v>#N/A</v>
      </c>
      <c r="H15497" s="4" t="str">
        <v/>
      </c>
      <c r="I15497" s="4" t="str">
        <v/>
      </c>
    </row>
    <row r="15498" spans="5:9" ht="16.5" hidden="1">
      <c r="E15498" s="4" t="str">
        <v/>
      </c>
      <c r="F15498" s="102" t="str">
        <f ca="1">IFERROR(__xludf.DUMMYFUNCTION("IMPORTRANGE(H15498,""IDENTITAS UNIT!D9"")"),"#N/A")</f>
        <v>#N/A</v>
      </c>
      <c r="H15498" s="4" t="str">
        <v/>
      </c>
      <c r="I15498" s="4" t="str">
        <v/>
      </c>
    </row>
    <row r="15499" spans="5:9" ht="16.5" hidden="1">
      <c r="E15499" s="4" t="str">
        <v/>
      </c>
      <c r="F15499" s="102" t="str">
        <f ca="1">IFERROR(__xludf.DUMMYFUNCTION("IMPORTRANGE(H15499,""IDENTITAS UNIT!D9"")"),"#N/A")</f>
        <v>#N/A</v>
      </c>
      <c r="H15499" s="4" t="str">
        <v/>
      </c>
      <c r="I15499" s="4" t="str">
        <v/>
      </c>
    </row>
    <row r="15500" spans="5:9" ht="16.5" hidden="1">
      <c r="E15500" s="4" t="str">
        <v/>
      </c>
      <c r="F15500" s="102" t="str">
        <f ca="1">IFERROR(__xludf.DUMMYFUNCTION("IMPORTRANGE(H15500,""IDENTITAS UNIT!D9"")"),"#N/A")</f>
        <v>#N/A</v>
      </c>
      <c r="H15500" s="4" t="str">
        <v/>
      </c>
      <c r="I15500" s="4" t="str">
        <v/>
      </c>
    </row>
    <row r="15501" spans="5:9" ht="16.5" hidden="1">
      <c r="E15501" s="4" t="str">
        <v/>
      </c>
      <c r="F15501" s="102" t="str">
        <f ca="1">IFERROR(__xludf.DUMMYFUNCTION("IMPORTRANGE(H15501,""IDENTITAS UNIT!D9"")"),"#N/A")</f>
        <v>#N/A</v>
      </c>
      <c r="H15501" s="4" t="str">
        <v/>
      </c>
      <c r="I15501" s="4" t="str">
        <v/>
      </c>
    </row>
    <row r="15502" spans="5:9" ht="16.5" hidden="1">
      <c r="E15502" s="4" t="str">
        <v/>
      </c>
      <c r="F15502" s="102" t="str">
        <f ca="1">IFERROR(__xludf.DUMMYFUNCTION("IMPORTRANGE(H15502,""IDENTITAS UNIT!D9"")"),"#N/A")</f>
        <v>#N/A</v>
      </c>
      <c r="H15502" s="4" t="str">
        <v/>
      </c>
      <c r="I15502" s="4" t="str">
        <v/>
      </c>
    </row>
    <row r="15503" spans="5:9" ht="16.5" hidden="1">
      <c r="E15503" s="4" t="str">
        <v/>
      </c>
      <c r="F15503" s="102" t="str">
        <f ca="1">IFERROR(__xludf.DUMMYFUNCTION("IMPORTRANGE(H15503,""IDENTITAS UNIT!D9"")"),"#N/A")</f>
        <v>#N/A</v>
      </c>
      <c r="H15503" s="4" t="str">
        <v/>
      </c>
      <c r="I15503" s="4" t="str">
        <v/>
      </c>
    </row>
    <row r="15504" spans="5:9" ht="16.5" hidden="1">
      <c r="E15504" s="4" t="str">
        <v/>
      </c>
      <c r="F15504" s="102" t="str">
        <f ca="1">IFERROR(__xludf.DUMMYFUNCTION("IMPORTRANGE(H15504,""IDENTITAS UNIT!D9"")"),"#N/A")</f>
        <v>#N/A</v>
      </c>
      <c r="H15504" s="4" t="str">
        <v/>
      </c>
      <c r="I15504" s="4" t="str">
        <v/>
      </c>
    </row>
    <row r="15505" spans="5:9" ht="16.5" hidden="1">
      <c r="E15505" s="4" t="str">
        <v/>
      </c>
      <c r="F15505" s="102" t="str">
        <f ca="1">IFERROR(__xludf.DUMMYFUNCTION("IMPORTRANGE(H15505,""IDENTITAS UNIT!D9"")"),"#N/A")</f>
        <v>#N/A</v>
      </c>
      <c r="H15505" s="4" t="str">
        <v/>
      </c>
      <c r="I15505" s="4" t="str">
        <v/>
      </c>
    </row>
    <row r="15506" spans="5:9" ht="16.5" hidden="1">
      <c r="E15506" s="4" t="str">
        <v/>
      </c>
      <c r="F15506" s="102" t="str">
        <f ca="1">IFERROR(__xludf.DUMMYFUNCTION("IMPORTRANGE(H15506,""IDENTITAS UNIT!D9"")"),"#N/A")</f>
        <v>#N/A</v>
      </c>
      <c r="H15506" s="4" t="str">
        <v/>
      </c>
      <c r="I15506" s="4" t="str">
        <v/>
      </c>
    </row>
    <row r="15507" spans="5:9" ht="16.5" hidden="1">
      <c r="E15507" s="4" t="str">
        <v/>
      </c>
      <c r="F15507" s="102" t="str">
        <f ca="1">IFERROR(__xludf.DUMMYFUNCTION("IMPORTRANGE(H15507,""IDENTITAS UNIT!D9"")"),"#N/A")</f>
        <v>#N/A</v>
      </c>
      <c r="H15507" s="4" t="str">
        <v/>
      </c>
      <c r="I15507" s="4" t="str">
        <v/>
      </c>
    </row>
    <row r="15508" spans="5:9" ht="16.5" hidden="1">
      <c r="E15508" s="4" t="str">
        <v/>
      </c>
      <c r="F15508" s="102" t="str">
        <f ca="1">IFERROR(__xludf.DUMMYFUNCTION("IMPORTRANGE(H15508,""IDENTITAS UNIT!D9"")"),"#N/A")</f>
        <v>#N/A</v>
      </c>
      <c r="H15508" s="4" t="str">
        <v/>
      </c>
      <c r="I15508" s="4" t="str">
        <v/>
      </c>
    </row>
    <row r="15509" spans="5:9" ht="16.5" hidden="1">
      <c r="E15509" s="4" t="str">
        <v/>
      </c>
      <c r="F15509" s="102" t="str">
        <f ca="1">IFERROR(__xludf.DUMMYFUNCTION("IMPORTRANGE(H15509,""IDENTITAS UNIT!D9"")"),"#N/A")</f>
        <v>#N/A</v>
      </c>
      <c r="H15509" s="4" t="str">
        <v/>
      </c>
      <c r="I15509" s="4" t="str">
        <v/>
      </c>
    </row>
    <row r="15510" spans="5:9" ht="16.5" hidden="1">
      <c r="E15510" s="4" t="str">
        <v/>
      </c>
      <c r="F15510" s="102" t="str">
        <f ca="1">IFERROR(__xludf.DUMMYFUNCTION("IMPORTRANGE(H15510,""IDENTITAS UNIT!D9"")"),"#N/A")</f>
        <v>#N/A</v>
      </c>
      <c r="H15510" s="4" t="str">
        <v/>
      </c>
      <c r="I15510" s="4" t="str">
        <v/>
      </c>
    </row>
    <row r="15511" spans="5:9" ht="16.5" hidden="1">
      <c r="E15511" s="4" t="str">
        <v/>
      </c>
      <c r="F15511" s="102" t="str">
        <f ca="1">IFERROR(__xludf.DUMMYFUNCTION("IMPORTRANGE(H15511,""IDENTITAS UNIT!D9"")"),"#N/A")</f>
        <v>#N/A</v>
      </c>
      <c r="H15511" s="4" t="str">
        <v/>
      </c>
      <c r="I15511" s="4" t="str">
        <v/>
      </c>
    </row>
    <row r="15512" spans="5:9" ht="16.5" hidden="1">
      <c r="E15512" s="4" t="str">
        <v/>
      </c>
      <c r="F15512" s="102" t="str">
        <f ca="1">IFERROR(__xludf.DUMMYFUNCTION("IMPORTRANGE(H15512,""IDENTITAS UNIT!D9"")"),"#N/A")</f>
        <v>#N/A</v>
      </c>
      <c r="H15512" s="4" t="str">
        <v/>
      </c>
      <c r="I15512" s="4" t="str">
        <v/>
      </c>
    </row>
    <row r="15513" spans="5:9" ht="16.5" hidden="1">
      <c r="E15513" s="4" t="str">
        <v/>
      </c>
      <c r="F15513" s="102" t="str">
        <f ca="1">IFERROR(__xludf.DUMMYFUNCTION("IMPORTRANGE(H15513,""IDENTITAS UNIT!D9"")"),"#N/A")</f>
        <v>#N/A</v>
      </c>
      <c r="H15513" s="4" t="str">
        <v/>
      </c>
      <c r="I15513" s="4" t="str">
        <v/>
      </c>
    </row>
    <row r="15514" spans="5:9" ht="16.5" hidden="1">
      <c r="E15514" s="4" t="str">
        <v/>
      </c>
      <c r="F15514" s="102" t="str">
        <f ca="1">IFERROR(__xludf.DUMMYFUNCTION("IMPORTRANGE(H15514,""IDENTITAS UNIT!D9"")"),"#N/A")</f>
        <v>#N/A</v>
      </c>
      <c r="H15514" s="4" t="str">
        <v/>
      </c>
      <c r="I15514" s="4" t="str">
        <v/>
      </c>
    </row>
    <row r="15515" spans="5:9" ht="16.5" hidden="1">
      <c r="E15515" s="4" t="str">
        <v/>
      </c>
      <c r="F15515" s="102" t="str">
        <f ca="1">IFERROR(__xludf.DUMMYFUNCTION("IMPORTRANGE(H15515,""IDENTITAS UNIT!D9"")"),"#N/A")</f>
        <v>#N/A</v>
      </c>
      <c r="H15515" s="4" t="str">
        <v/>
      </c>
      <c r="I15515" s="4" t="str">
        <v/>
      </c>
    </row>
    <row r="15516" spans="5:9" ht="16.5" hidden="1">
      <c r="E15516" s="4" t="str">
        <v/>
      </c>
      <c r="F15516" s="102" t="str">
        <f ca="1">IFERROR(__xludf.DUMMYFUNCTION("IMPORTRANGE(H15516,""IDENTITAS UNIT!D9"")"),"#N/A")</f>
        <v>#N/A</v>
      </c>
      <c r="H15516" s="4" t="str">
        <v/>
      </c>
      <c r="I15516" s="4" t="str">
        <v/>
      </c>
    </row>
    <row r="15517" spans="5:9" ht="16.5" hidden="1">
      <c r="E15517" s="4" t="str">
        <v/>
      </c>
      <c r="F15517" s="102" t="str">
        <f ca="1">IFERROR(__xludf.DUMMYFUNCTION("IMPORTRANGE(H15517,""IDENTITAS UNIT!D9"")"),"#N/A")</f>
        <v>#N/A</v>
      </c>
      <c r="H15517" s="4" t="str">
        <v/>
      </c>
      <c r="I15517" s="4" t="str">
        <v/>
      </c>
    </row>
    <row r="15518" spans="5:9" ht="16.5" hidden="1">
      <c r="E15518" s="4" t="str">
        <v/>
      </c>
      <c r="F15518" s="102" t="str">
        <f ca="1">IFERROR(__xludf.DUMMYFUNCTION("IMPORTRANGE(H15518,""IDENTITAS UNIT!D9"")"),"#N/A")</f>
        <v>#N/A</v>
      </c>
      <c r="H15518" s="4" t="str">
        <v/>
      </c>
      <c r="I15518" s="4" t="str">
        <v/>
      </c>
    </row>
    <row r="15519" spans="5:9" ht="16.5" hidden="1">
      <c r="E15519" s="4" t="str">
        <v/>
      </c>
      <c r="F15519" s="102" t="str">
        <f ca="1">IFERROR(__xludf.DUMMYFUNCTION("IMPORTRANGE(H15519,""IDENTITAS UNIT!D9"")"),"#N/A")</f>
        <v>#N/A</v>
      </c>
      <c r="H15519" s="4" t="str">
        <v/>
      </c>
      <c r="I15519" s="4" t="str">
        <v/>
      </c>
    </row>
    <row r="15520" spans="5:9" ht="16.5" hidden="1">
      <c r="E15520" s="4" t="str">
        <v/>
      </c>
      <c r="F15520" s="102" t="str">
        <f ca="1">IFERROR(__xludf.DUMMYFUNCTION("IMPORTRANGE(H15520,""IDENTITAS UNIT!D9"")"),"#N/A")</f>
        <v>#N/A</v>
      </c>
      <c r="H15520" s="4" t="str">
        <v/>
      </c>
      <c r="I15520" s="4" t="str">
        <v/>
      </c>
    </row>
    <row r="15521" spans="5:9" ht="16.5" hidden="1">
      <c r="E15521" s="4" t="str">
        <v/>
      </c>
      <c r="F15521" s="102" t="str">
        <f ca="1">IFERROR(__xludf.DUMMYFUNCTION("IMPORTRANGE(H15521,""IDENTITAS UNIT!D9"")"),"#N/A")</f>
        <v>#N/A</v>
      </c>
      <c r="H15521" s="4" t="str">
        <v/>
      </c>
      <c r="I15521" s="4" t="str">
        <v/>
      </c>
    </row>
    <row r="15522" spans="5:9" ht="16.5" hidden="1">
      <c r="E15522" s="4" t="str">
        <v/>
      </c>
      <c r="F15522" s="102" t="str">
        <f ca="1">IFERROR(__xludf.DUMMYFUNCTION("IMPORTRANGE(H15522,""IDENTITAS UNIT!D9"")"),"#N/A")</f>
        <v>#N/A</v>
      </c>
      <c r="H15522" s="4" t="str">
        <v/>
      </c>
      <c r="I15522" s="4" t="str">
        <v/>
      </c>
    </row>
    <row r="15523" spans="5:9" ht="16.5" hidden="1">
      <c r="E15523" s="4" t="str">
        <v/>
      </c>
      <c r="F15523" s="102" t="str">
        <f ca="1">IFERROR(__xludf.DUMMYFUNCTION("IMPORTRANGE(H15523,""IDENTITAS UNIT!D9"")"),"#N/A")</f>
        <v>#N/A</v>
      </c>
      <c r="H15523" s="4" t="str">
        <v/>
      </c>
      <c r="I15523" s="4" t="str">
        <v/>
      </c>
    </row>
    <row r="15524" spans="5:9" ht="16.5" hidden="1">
      <c r="E15524" s="4" t="str">
        <v/>
      </c>
      <c r="F15524" s="102" t="str">
        <f ca="1">IFERROR(__xludf.DUMMYFUNCTION("IMPORTRANGE(H15524,""IDENTITAS UNIT!D9"")"),"#N/A")</f>
        <v>#N/A</v>
      </c>
      <c r="H15524" s="4" t="str">
        <v/>
      </c>
      <c r="I15524" s="4" t="str">
        <v/>
      </c>
    </row>
    <row r="15525" spans="5:9" ht="16.5" hidden="1">
      <c r="E15525" s="4" t="str">
        <v/>
      </c>
      <c r="F15525" s="102" t="str">
        <f ca="1">IFERROR(__xludf.DUMMYFUNCTION("IMPORTRANGE(H15525,""IDENTITAS UNIT!D9"")"),"#N/A")</f>
        <v>#N/A</v>
      </c>
      <c r="H15525" s="4" t="str">
        <v/>
      </c>
      <c r="I15525" s="4" t="str">
        <v/>
      </c>
    </row>
    <row r="15526" spans="5:9" ht="16.5" hidden="1">
      <c r="E15526" s="4" t="str">
        <v/>
      </c>
      <c r="F15526" s="102" t="str">
        <f ca="1">IFERROR(__xludf.DUMMYFUNCTION("IMPORTRANGE(H15526,""IDENTITAS UNIT!D9"")"),"#N/A")</f>
        <v>#N/A</v>
      </c>
      <c r="H15526" s="4" t="str">
        <v/>
      </c>
      <c r="I15526" s="4" t="str">
        <v/>
      </c>
    </row>
    <row r="15527" spans="5:9" ht="16.5" hidden="1">
      <c r="E15527" s="4" t="str">
        <v/>
      </c>
      <c r="F15527" s="102" t="str">
        <f ca="1">IFERROR(__xludf.DUMMYFUNCTION("IMPORTRANGE(H15527,""IDENTITAS UNIT!D9"")"),"#N/A")</f>
        <v>#N/A</v>
      </c>
      <c r="H15527" s="4" t="str">
        <v/>
      </c>
      <c r="I15527" s="4" t="str">
        <v/>
      </c>
    </row>
    <row r="15528" spans="5:9" ht="16.5" hidden="1">
      <c r="E15528" s="4" t="str">
        <v/>
      </c>
      <c r="F15528" s="102" t="str">
        <f ca="1">IFERROR(__xludf.DUMMYFUNCTION("IMPORTRANGE(H15528,""IDENTITAS UNIT!D9"")"),"#N/A")</f>
        <v>#N/A</v>
      </c>
      <c r="H15528" s="4" t="str">
        <v/>
      </c>
      <c r="I15528" s="4" t="str">
        <v/>
      </c>
    </row>
    <row r="15529" spans="5:9" ht="16.5" hidden="1">
      <c r="E15529" s="4" t="str">
        <v/>
      </c>
      <c r="F15529" s="102" t="str">
        <f ca="1">IFERROR(__xludf.DUMMYFUNCTION("IMPORTRANGE(H15529,""IDENTITAS UNIT!D9"")"),"#N/A")</f>
        <v>#N/A</v>
      </c>
      <c r="H15529" s="4" t="str">
        <v/>
      </c>
      <c r="I15529" s="4" t="str">
        <v/>
      </c>
    </row>
    <row r="15530" spans="5:9" ht="16.5" hidden="1">
      <c r="E15530" s="4" t="str">
        <v/>
      </c>
      <c r="F15530" s="102" t="str">
        <f ca="1">IFERROR(__xludf.DUMMYFUNCTION("IMPORTRANGE(H15530,""IDENTITAS UNIT!D9"")"),"#N/A")</f>
        <v>#N/A</v>
      </c>
      <c r="H15530" s="4" t="str">
        <v/>
      </c>
      <c r="I15530" s="4" t="str">
        <v/>
      </c>
    </row>
    <row r="15531" spans="5:9" ht="16.5" hidden="1">
      <c r="E15531" s="4" t="str">
        <v/>
      </c>
      <c r="F15531" s="102" t="str">
        <f ca="1">IFERROR(__xludf.DUMMYFUNCTION("IMPORTRANGE(H15531,""IDENTITAS UNIT!D9"")"),"#N/A")</f>
        <v>#N/A</v>
      </c>
      <c r="H15531" s="4" t="str">
        <v/>
      </c>
      <c r="I15531" s="4" t="str">
        <v/>
      </c>
    </row>
    <row r="15532" spans="5:9" ht="16.5" hidden="1">
      <c r="E15532" s="4" t="str">
        <v/>
      </c>
      <c r="F15532" s="102" t="str">
        <f ca="1">IFERROR(__xludf.DUMMYFUNCTION("IMPORTRANGE(H15532,""IDENTITAS UNIT!D9"")"),"#N/A")</f>
        <v>#N/A</v>
      </c>
      <c r="H15532" s="4" t="str">
        <v/>
      </c>
      <c r="I15532" s="4" t="str">
        <v/>
      </c>
    </row>
    <row r="15533" spans="5:9" ht="16.5" hidden="1">
      <c r="E15533" s="4" t="str">
        <v/>
      </c>
      <c r="F15533" s="102" t="str">
        <f ca="1">IFERROR(__xludf.DUMMYFUNCTION("IMPORTRANGE(H15533,""IDENTITAS UNIT!D9"")"),"#N/A")</f>
        <v>#N/A</v>
      </c>
      <c r="H15533" s="4" t="str">
        <v/>
      </c>
      <c r="I15533" s="4" t="str">
        <v/>
      </c>
    </row>
    <row r="15534" spans="5:9" ht="16.5" hidden="1">
      <c r="E15534" s="4" t="str">
        <v/>
      </c>
      <c r="F15534" s="102" t="str">
        <f ca="1">IFERROR(__xludf.DUMMYFUNCTION("IMPORTRANGE(H15534,""IDENTITAS UNIT!D9"")"),"#N/A")</f>
        <v>#N/A</v>
      </c>
      <c r="H15534" s="4" t="str">
        <v/>
      </c>
      <c r="I15534" s="4" t="str">
        <v/>
      </c>
    </row>
    <row r="15535" spans="5:9" ht="16.5" hidden="1">
      <c r="E15535" s="4" t="str">
        <v/>
      </c>
      <c r="F15535" s="102" t="str">
        <f ca="1">IFERROR(__xludf.DUMMYFUNCTION("IMPORTRANGE(H15535,""IDENTITAS UNIT!D9"")"),"#N/A")</f>
        <v>#N/A</v>
      </c>
      <c r="H15535" s="4" t="str">
        <v/>
      </c>
      <c r="I15535" s="4" t="str">
        <v/>
      </c>
    </row>
    <row r="15536" spans="5:9" ht="16.5" hidden="1">
      <c r="E15536" s="4" t="str">
        <v/>
      </c>
      <c r="F15536" s="102" t="str">
        <f ca="1">IFERROR(__xludf.DUMMYFUNCTION("IMPORTRANGE(H15536,""IDENTITAS UNIT!D9"")"),"#N/A")</f>
        <v>#N/A</v>
      </c>
      <c r="H15536" s="4" t="str">
        <v/>
      </c>
      <c r="I15536" s="4" t="str">
        <v/>
      </c>
    </row>
    <row r="15537" spans="5:9" ht="16.5" hidden="1">
      <c r="E15537" s="4" t="str">
        <v/>
      </c>
      <c r="F15537" s="102" t="str">
        <f ca="1">IFERROR(__xludf.DUMMYFUNCTION("IMPORTRANGE(H15537,""IDENTITAS UNIT!D9"")"),"#N/A")</f>
        <v>#N/A</v>
      </c>
      <c r="H15537" s="4" t="str">
        <v/>
      </c>
      <c r="I15537" s="4" t="str">
        <v/>
      </c>
    </row>
    <row r="15538" spans="5:9" ht="16.5" hidden="1">
      <c r="E15538" s="4" t="str">
        <v/>
      </c>
      <c r="F15538" s="102" t="str">
        <f ca="1">IFERROR(__xludf.DUMMYFUNCTION("IMPORTRANGE(H15538,""IDENTITAS UNIT!D9"")"),"#N/A")</f>
        <v>#N/A</v>
      </c>
      <c r="H15538" s="4" t="str">
        <v/>
      </c>
      <c r="I15538" s="4" t="str">
        <v/>
      </c>
    </row>
    <row r="15539" spans="5:9" ht="16.5" hidden="1">
      <c r="E15539" s="4" t="str">
        <v/>
      </c>
      <c r="F15539" s="102" t="str">
        <f ca="1">IFERROR(__xludf.DUMMYFUNCTION("IMPORTRANGE(H15539,""IDENTITAS UNIT!D9"")"),"#N/A")</f>
        <v>#N/A</v>
      </c>
      <c r="H15539" s="4" t="str">
        <v/>
      </c>
      <c r="I15539" s="4" t="str">
        <v/>
      </c>
    </row>
    <row r="15540" spans="5:9" ht="16.5" hidden="1">
      <c r="E15540" s="4" t="str">
        <v/>
      </c>
      <c r="F15540" s="102" t="str">
        <f ca="1">IFERROR(__xludf.DUMMYFUNCTION("IMPORTRANGE(H15540,""IDENTITAS UNIT!D9"")"),"#N/A")</f>
        <v>#N/A</v>
      </c>
      <c r="H15540" s="4" t="str">
        <v/>
      </c>
      <c r="I15540" s="4" t="str">
        <v/>
      </c>
    </row>
    <row r="15541" spans="5:9" ht="16.5" hidden="1">
      <c r="E15541" s="4" t="str">
        <v/>
      </c>
      <c r="F15541" s="102" t="str">
        <f ca="1">IFERROR(__xludf.DUMMYFUNCTION("IMPORTRANGE(H15541,""IDENTITAS UNIT!D9"")"),"#N/A")</f>
        <v>#N/A</v>
      </c>
      <c r="H15541" s="4" t="str">
        <v/>
      </c>
      <c r="I15541" s="4" t="str">
        <v/>
      </c>
    </row>
    <row r="15542" spans="5:9" ht="16.5" hidden="1">
      <c r="E15542" s="4" t="str">
        <v/>
      </c>
      <c r="F15542" s="102" t="str">
        <f ca="1">IFERROR(__xludf.DUMMYFUNCTION("IMPORTRANGE(H15542,""IDENTITAS UNIT!D9"")"),"#N/A")</f>
        <v>#N/A</v>
      </c>
      <c r="H15542" s="4" t="str">
        <v/>
      </c>
      <c r="I15542" s="4" t="str">
        <v/>
      </c>
    </row>
    <row r="15543" spans="5:9" ht="16.5" hidden="1">
      <c r="E15543" s="4" t="str">
        <v/>
      </c>
      <c r="F15543" s="102" t="str">
        <f ca="1">IFERROR(__xludf.DUMMYFUNCTION("IMPORTRANGE(H15543,""IDENTITAS UNIT!D9"")"),"#N/A")</f>
        <v>#N/A</v>
      </c>
      <c r="H15543" s="4" t="str">
        <v/>
      </c>
      <c r="I15543" s="4" t="str">
        <v/>
      </c>
    </row>
    <row r="15544" spans="5:9" ht="16.5" hidden="1">
      <c r="E15544" s="4" t="str">
        <v/>
      </c>
      <c r="F15544" s="102" t="str">
        <f ca="1">IFERROR(__xludf.DUMMYFUNCTION("IMPORTRANGE(H15544,""IDENTITAS UNIT!D9"")"),"#N/A")</f>
        <v>#N/A</v>
      </c>
      <c r="H15544" s="4" t="str">
        <v/>
      </c>
      <c r="I15544" s="4" t="str">
        <v/>
      </c>
    </row>
    <row r="15545" spans="5:9" ht="16.5" hidden="1">
      <c r="E15545" s="4" t="str">
        <v/>
      </c>
      <c r="F15545" s="102" t="str">
        <f ca="1">IFERROR(__xludf.DUMMYFUNCTION("IMPORTRANGE(H15545,""IDENTITAS UNIT!D9"")"),"#N/A")</f>
        <v>#N/A</v>
      </c>
      <c r="H15545" s="4" t="str">
        <v/>
      </c>
      <c r="I15545" s="4" t="str">
        <v/>
      </c>
    </row>
    <row r="15546" spans="5:9" ht="16.5" hidden="1">
      <c r="E15546" s="4" t="str">
        <v/>
      </c>
      <c r="F15546" s="102" t="str">
        <f ca="1">IFERROR(__xludf.DUMMYFUNCTION("IMPORTRANGE(H15546,""IDENTITAS UNIT!D9"")"),"#N/A")</f>
        <v>#N/A</v>
      </c>
      <c r="H15546" s="4" t="str">
        <v/>
      </c>
      <c r="I15546" s="4" t="str">
        <v/>
      </c>
    </row>
    <row r="15547" spans="5:9" ht="16.5" hidden="1">
      <c r="E15547" s="4" t="str">
        <v/>
      </c>
      <c r="F15547" s="102" t="str">
        <f ca="1">IFERROR(__xludf.DUMMYFUNCTION("IMPORTRANGE(H15547,""IDENTITAS UNIT!D9"")"),"#N/A")</f>
        <v>#N/A</v>
      </c>
      <c r="H15547" s="4" t="str">
        <v/>
      </c>
      <c r="I15547" s="4" t="str">
        <v/>
      </c>
    </row>
    <row r="15548" spans="5:9" ht="16.5" hidden="1">
      <c r="E15548" s="4" t="str">
        <v/>
      </c>
      <c r="F15548" s="102" t="str">
        <f ca="1">IFERROR(__xludf.DUMMYFUNCTION("IMPORTRANGE(H15548,""IDENTITAS UNIT!D9"")"),"#N/A")</f>
        <v>#N/A</v>
      </c>
      <c r="H15548" s="4" t="str">
        <v/>
      </c>
      <c r="I15548" s="4" t="str">
        <v/>
      </c>
    </row>
    <row r="15549" spans="5:9" ht="16.5" hidden="1">
      <c r="E15549" s="4" t="str">
        <v/>
      </c>
      <c r="F15549" s="102" t="str">
        <f ca="1">IFERROR(__xludf.DUMMYFUNCTION("IMPORTRANGE(H15549,""IDENTITAS UNIT!D9"")"),"#N/A")</f>
        <v>#N/A</v>
      </c>
      <c r="H15549" s="4" t="str">
        <v/>
      </c>
      <c r="I15549" s="4" t="str">
        <v/>
      </c>
    </row>
    <row r="15550" spans="5:9" ht="16.5" hidden="1">
      <c r="E15550" s="4" t="str">
        <v/>
      </c>
      <c r="F15550" s="102" t="str">
        <f ca="1">IFERROR(__xludf.DUMMYFUNCTION("IMPORTRANGE(H15550,""IDENTITAS UNIT!D9"")"),"#N/A")</f>
        <v>#N/A</v>
      </c>
      <c r="H15550" s="4" t="str">
        <v/>
      </c>
      <c r="I15550" s="4" t="str">
        <v/>
      </c>
    </row>
    <row r="15551" spans="5:9" ht="16.5" hidden="1">
      <c r="E15551" s="4" t="str">
        <v/>
      </c>
      <c r="F15551" s="102" t="str">
        <f ca="1">IFERROR(__xludf.DUMMYFUNCTION("IMPORTRANGE(H15551,""IDENTITAS UNIT!D9"")"),"#N/A")</f>
        <v>#N/A</v>
      </c>
      <c r="H15551" s="4" t="str">
        <v/>
      </c>
      <c r="I15551" s="4" t="str">
        <v/>
      </c>
    </row>
    <row r="15552" spans="5:9" ht="16.5" hidden="1">
      <c r="E15552" s="4" t="str">
        <v/>
      </c>
      <c r="F15552" s="102" t="str">
        <f ca="1">IFERROR(__xludf.DUMMYFUNCTION("IMPORTRANGE(H15552,""IDENTITAS UNIT!D9"")"),"#N/A")</f>
        <v>#N/A</v>
      </c>
      <c r="H15552" s="4" t="str">
        <v/>
      </c>
      <c r="I15552" s="4" t="str">
        <v/>
      </c>
    </row>
    <row r="15553" spans="5:9" ht="16.5" hidden="1">
      <c r="E15553" s="4" t="str">
        <v/>
      </c>
      <c r="F15553" s="102" t="str">
        <f ca="1">IFERROR(__xludf.DUMMYFUNCTION("IMPORTRANGE(H15553,""IDENTITAS UNIT!D9"")"),"#N/A")</f>
        <v>#N/A</v>
      </c>
      <c r="H15553" s="4" t="str">
        <v/>
      </c>
      <c r="I15553" s="4" t="str">
        <v/>
      </c>
    </row>
    <row r="15554" spans="5:9" ht="16.5" hidden="1">
      <c r="E15554" s="4" t="str">
        <v/>
      </c>
      <c r="F15554" s="102" t="str">
        <f ca="1">IFERROR(__xludf.DUMMYFUNCTION("IMPORTRANGE(H15554,""IDENTITAS UNIT!D9"")"),"#N/A")</f>
        <v>#N/A</v>
      </c>
      <c r="H15554" s="4" t="str">
        <v/>
      </c>
      <c r="I15554" s="4" t="str">
        <v/>
      </c>
    </row>
    <row r="15555" spans="5:9" ht="16.5" hidden="1">
      <c r="E15555" s="4" t="str">
        <v/>
      </c>
      <c r="F15555" s="102" t="str">
        <f ca="1">IFERROR(__xludf.DUMMYFUNCTION("IMPORTRANGE(H15555,""IDENTITAS UNIT!D9"")"),"#N/A")</f>
        <v>#N/A</v>
      </c>
      <c r="H15555" s="4" t="str">
        <v/>
      </c>
      <c r="I15555" s="4" t="str">
        <v/>
      </c>
    </row>
    <row r="15556" spans="5:9" ht="16.5" hidden="1">
      <c r="E15556" s="4" t="str">
        <v/>
      </c>
      <c r="F15556" s="102" t="str">
        <f ca="1">IFERROR(__xludf.DUMMYFUNCTION("IMPORTRANGE(H15556,""IDENTITAS UNIT!D9"")"),"#N/A")</f>
        <v>#N/A</v>
      </c>
      <c r="H15556" s="4" t="str">
        <v/>
      </c>
      <c r="I15556" s="4" t="str">
        <v/>
      </c>
    </row>
    <row r="15557" spans="5:9" ht="16.5" hidden="1">
      <c r="E15557" s="4" t="str">
        <v/>
      </c>
      <c r="F15557" s="102" t="str">
        <f ca="1">IFERROR(__xludf.DUMMYFUNCTION("IMPORTRANGE(H15557,""IDENTITAS UNIT!D9"")"),"#N/A")</f>
        <v>#N/A</v>
      </c>
      <c r="H15557" s="4" t="str">
        <v/>
      </c>
      <c r="I15557" s="4" t="str">
        <v/>
      </c>
    </row>
    <row r="15558" spans="5:9" ht="16.5" hidden="1">
      <c r="E15558" s="4" t="str">
        <v/>
      </c>
      <c r="F15558" s="102" t="str">
        <f ca="1">IFERROR(__xludf.DUMMYFUNCTION("IMPORTRANGE(H15558,""IDENTITAS UNIT!D9"")"),"#N/A")</f>
        <v>#N/A</v>
      </c>
      <c r="H15558" s="4" t="str">
        <v/>
      </c>
      <c r="I15558" s="4" t="str">
        <v/>
      </c>
    </row>
    <row r="15559" spans="5:9" ht="16.5" hidden="1">
      <c r="E15559" s="4" t="str">
        <v/>
      </c>
      <c r="F15559" s="102" t="str">
        <f ca="1">IFERROR(__xludf.DUMMYFUNCTION("IMPORTRANGE(H15559,""IDENTITAS UNIT!D9"")"),"#N/A")</f>
        <v>#N/A</v>
      </c>
      <c r="H15559" s="4" t="str">
        <v/>
      </c>
      <c r="I15559" s="4" t="str">
        <v/>
      </c>
    </row>
    <row r="15560" spans="5:9" ht="16.5" hidden="1">
      <c r="E15560" s="4" t="str">
        <v/>
      </c>
      <c r="F15560" s="102" t="str">
        <f ca="1">IFERROR(__xludf.DUMMYFUNCTION("IMPORTRANGE(H15560,""IDENTITAS UNIT!D9"")"),"#N/A")</f>
        <v>#N/A</v>
      </c>
      <c r="H15560" s="4" t="str">
        <v/>
      </c>
      <c r="I15560" s="4" t="str">
        <v/>
      </c>
    </row>
    <row r="15561" spans="5:9" ht="16.5" hidden="1">
      <c r="E15561" s="4" t="str">
        <v/>
      </c>
      <c r="F15561" s="102" t="str">
        <f ca="1">IFERROR(__xludf.DUMMYFUNCTION("IMPORTRANGE(H15561,""IDENTITAS UNIT!D9"")"),"#N/A")</f>
        <v>#N/A</v>
      </c>
      <c r="H15561" s="4" t="str">
        <v/>
      </c>
      <c r="I15561" s="4" t="str">
        <v/>
      </c>
    </row>
    <row r="15562" spans="5:9" ht="16.5" hidden="1">
      <c r="E15562" s="4" t="str">
        <v/>
      </c>
      <c r="F15562" s="102" t="str">
        <f ca="1">IFERROR(__xludf.DUMMYFUNCTION("IMPORTRANGE(H15562,""IDENTITAS UNIT!D9"")"),"#N/A")</f>
        <v>#N/A</v>
      </c>
      <c r="H15562" s="4" t="str">
        <v/>
      </c>
      <c r="I15562" s="4" t="str">
        <v/>
      </c>
    </row>
    <row r="15563" spans="5:9" ht="16.5" hidden="1">
      <c r="E15563" s="4" t="str">
        <v/>
      </c>
      <c r="F15563" s="102" t="str">
        <f ca="1">IFERROR(__xludf.DUMMYFUNCTION("IMPORTRANGE(H15563,""IDENTITAS UNIT!D9"")"),"#N/A")</f>
        <v>#N/A</v>
      </c>
      <c r="H15563" s="4" t="str">
        <v/>
      </c>
      <c r="I15563" s="4" t="str">
        <v/>
      </c>
    </row>
    <row r="15564" spans="5:9" ht="16.5" hidden="1">
      <c r="E15564" s="4" t="str">
        <v/>
      </c>
      <c r="F15564" s="102" t="str">
        <f ca="1">IFERROR(__xludf.DUMMYFUNCTION("IMPORTRANGE(H15564,""IDENTITAS UNIT!D9"")"),"#N/A")</f>
        <v>#N/A</v>
      </c>
      <c r="H15564" s="4" t="str">
        <v/>
      </c>
      <c r="I15564" s="4" t="str">
        <v/>
      </c>
    </row>
    <row r="15565" spans="5:9" ht="16.5" hidden="1">
      <c r="E15565" s="4" t="str">
        <v/>
      </c>
      <c r="F15565" s="102" t="str">
        <f ca="1">IFERROR(__xludf.DUMMYFUNCTION("IMPORTRANGE(H15565,""IDENTITAS UNIT!D9"")"),"#N/A")</f>
        <v>#N/A</v>
      </c>
      <c r="H15565" s="4" t="str">
        <v/>
      </c>
      <c r="I15565" s="4" t="str">
        <v/>
      </c>
    </row>
    <row r="15566" spans="5:9" ht="16.5" hidden="1">
      <c r="E15566" s="4" t="str">
        <v/>
      </c>
      <c r="F15566" s="102" t="str">
        <f ca="1">IFERROR(__xludf.DUMMYFUNCTION("IMPORTRANGE(H15566,""IDENTITAS UNIT!D9"")"),"#N/A")</f>
        <v>#N/A</v>
      </c>
      <c r="H15566" s="4" t="str">
        <v/>
      </c>
      <c r="I15566" s="4" t="str">
        <v/>
      </c>
    </row>
    <row r="15567" spans="5:9" ht="16.5" hidden="1">
      <c r="E15567" s="4" t="str">
        <v/>
      </c>
      <c r="F15567" s="102" t="str">
        <f ca="1">IFERROR(__xludf.DUMMYFUNCTION("IMPORTRANGE(H15567,""IDENTITAS UNIT!D9"")"),"#N/A")</f>
        <v>#N/A</v>
      </c>
      <c r="H15567" s="4" t="str">
        <v/>
      </c>
      <c r="I15567" s="4" t="str">
        <v/>
      </c>
    </row>
    <row r="15568" spans="5:9" ht="16.5" hidden="1">
      <c r="E15568" s="4" t="str">
        <v/>
      </c>
      <c r="F15568" s="102" t="str">
        <f ca="1">IFERROR(__xludf.DUMMYFUNCTION("IMPORTRANGE(H15568,""IDENTITAS UNIT!D9"")"),"#N/A")</f>
        <v>#N/A</v>
      </c>
      <c r="H15568" s="4" t="str">
        <v/>
      </c>
      <c r="I15568" s="4" t="str">
        <v/>
      </c>
    </row>
    <row r="15569" spans="5:9" ht="16.5" hidden="1">
      <c r="E15569" s="4" t="str">
        <v/>
      </c>
      <c r="F15569" s="102" t="str">
        <f ca="1">IFERROR(__xludf.DUMMYFUNCTION("IMPORTRANGE(H15569,""IDENTITAS UNIT!D9"")"),"#N/A")</f>
        <v>#N/A</v>
      </c>
      <c r="H15569" s="4" t="str">
        <v/>
      </c>
      <c r="I15569" s="4" t="str">
        <v/>
      </c>
    </row>
    <row r="15570" spans="5:9" ht="16.5" hidden="1">
      <c r="E15570" s="4" t="str">
        <v/>
      </c>
      <c r="F15570" s="102" t="str">
        <f ca="1">IFERROR(__xludf.DUMMYFUNCTION("IMPORTRANGE(H15570,""IDENTITAS UNIT!D9"")"),"#N/A")</f>
        <v>#N/A</v>
      </c>
      <c r="H15570" s="4" t="str">
        <v/>
      </c>
      <c r="I15570" s="4" t="str">
        <v/>
      </c>
    </row>
    <row r="15571" spans="5:9" ht="16.5" hidden="1">
      <c r="E15571" s="4" t="str">
        <v/>
      </c>
      <c r="F15571" s="102" t="str">
        <f ca="1">IFERROR(__xludf.DUMMYFUNCTION("IMPORTRANGE(H15571,""IDENTITAS UNIT!D9"")"),"#N/A")</f>
        <v>#N/A</v>
      </c>
      <c r="H15571" s="4" t="str">
        <v/>
      </c>
      <c r="I15571" s="4" t="str">
        <v/>
      </c>
    </row>
    <row r="15572" spans="5:9" ht="16.5" hidden="1">
      <c r="E15572" s="4" t="str">
        <v/>
      </c>
      <c r="F15572" s="102" t="str">
        <f ca="1">IFERROR(__xludf.DUMMYFUNCTION("IMPORTRANGE(H15572,""IDENTITAS UNIT!D9"")"),"#N/A")</f>
        <v>#N/A</v>
      </c>
      <c r="H15572" s="4" t="str">
        <v/>
      </c>
      <c r="I15572" s="4" t="str">
        <v/>
      </c>
    </row>
    <row r="15573" spans="5:9" ht="16.5" hidden="1">
      <c r="E15573" s="4" t="str">
        <v/>
      </c>
      <c r="F15573" s="102" t="str">
        <f ca="1">IFERROR(__xludf.DUMMYFUNCTION("IMPORTRANGE(H15573,""IDENTITAS UNIT!D9"")"),"#N/A")</f>
        <v>#N/A</v>
      </c>
      <c r="H15573" s="4" t="str">
        <v/>
      </c>
      <c r="I15573" s="4" t="str">
        <v/>
      </c>
    </row>
    <row r="15574" spans="5:9" ht="16.5" hidden="1">
      <c r="E15574" s="4" t="str">
        <v/>
      </c>
      <c r="F15574" s="102" t="str">
        <f ca="1">IFERROR(__xludf.DUMMYFUNCTION("IMPORTRANGE(H15574,""IDENTITAS UNIT!D9"")"),"#N/A")</f>
        <v>#N/A</v>
      </c>
      <c r="H15574" s="4" t="str">
        <v/>
      </c>
      <c r="I15574" s="4" t="str">
        <v/>
      </c>
    </row>
    <row r="15575" spans="5:9" ht="16.5" hidden="1">
      <c r="E15575" s="4" t="str">
        <v/>
      </c>
      <c r="F15575" s="102" t="str">
        <f ca="1">IFERROR(__xludf.DUMMYFUNCTION("IMPORTRANGE(H15575,""IDENTITAS UNIT!D9"")"),"#N/A")</f>
        <v>#N/A</v>
      </c>
      <c r="H15575" s="4" t="str">
        <v/>
      </c>
      <c r="I15575" s="4" t="str">
        <v/>
      </c>
    </row>
    <row r="15576" spans="5:9" ht="16.5" hidden="1">
      <c r="E15576" s="4" t="str">
        <v/>
      </c>
      <c r="F15576" s="102" t="str">
        <f ca="1">IFERROR(__xludf.DUMMYFUNCTION("IMPORTRANGE(H15576,""IDENTITAS UNIT!D9"")"),"#N/A")</f>
        <v>#N/A</v>
      </c>
      <c r="H15576" s="4" t="str">
        <v/>
      </c>
      <c r="I15576" s="4" t="str">
        <v/>
      </c>
    </row>
    <row r="15577" spans="5:9" ht="16.5" hidden="1">
      <c r="E15577" s="4" t="str">
        <v/>
      </c>
      <c r="F15577" s="102" t="str">
        <f ca="1">IFERROR(__xludf.DUMMYFUNCTION("IMPORTRANGE(H15577,""IDENTITAS UNIT!D9"")"),"#N/A")</f>
        <v>#N/A</v>
      </c>
      <c r="H15577" s="4" t="str">
        <v/>
      </c>
      <c r="I15577" s="4" t="str">
        <v/>
      </c>
    </row>
    <row r="15578" spans="5:9" ht="16.5" hidden="1">
      <c r="E15578" s="4" t="str">
        <v/>
      </c>
      <c r="F15578" s="102" t="str">
        <f ca="1">IFERROR(__xludf.DUMMYFUNCTION("IMPORTRANGE(H15578,""IDENTITAS UNIT!D9"")"),"#N/A")</f>
        <v>#N/A</v>
      </c>
      <c r="H15578" s="4" t="str">
        <v/>
      </c>
      <c r="I15578" s="4" t="str">
        <v/>
      </c>
    </row>
    <row r="15579" spans="5:9" ht="16.5" hidden="1">
      <c r="E15579" s="4" t="str">
        <v/>
      </c>
      <c r="F15579" s="102" t="str">
        <f ca="1">IFERROR(__xludf.DUMMYFUNCTION("IMPORTRANGE(H15579,""IDENTITAS UNIT!D9"")"),"#N/A")</f>
        <v>#N/A</v>
      </c>
      <c r="H15579" s="4" t="str">
        <v/>
      </c>
      <c r="I15579" s="4" t="str">
        <v/>
      </c>
    </row>
    <row r="15580" spans="5:9" ht="16.5" hidden="1">
      <c r="E15580" s="4" t="str">
        <v/>
      </c>
      <c r="F15580" s="102" t="str">
        <f ca="1">IFERROR(__xludf.DUMMYFUNCTION("IMPORTRANGE(H15580,""IDENTITAS UNIT!D9"")"),"#N/A")</f>
        <v>#N/A</v>
      </c>
      <c r="H15580" s="4" t="str">
        <v/>
      </c>
      <c r="I15580" s="4" t="str">
        <v/>
      </c>
    </row>
    <row r="15581" spans="5:9" ht="16.5" hidden="1">
      <c r="E15581" s="4" t="str">
        <v/>
      </c>
      <c r="F15581" s="102" t="str">
        <f ca="1">IFERROR(__xludf.DUMMYFUNCTION("IMPORTRANGE(H15581,""IDENTITAS UNIT!D9"")"),"#N/A")</f>
        <v>#N/A</v>
      </c>
      <c r="H15581" s="4" t="str">
        <v/>
      </c>
      <c r="I15581" s="4" t="str">
        <v/>
      </c>
    </row>
    <row r="15582" spans="5:9" ht="16.5" hidden="1">
      <c r="E15582" s="4" t="str">
        <v/>
      </c>
      <c r="F15582" s="102" t="str">
        <f ca="1">IFERROR(__xludf.DUMMYFUNCTION("IMPORTRANGE(H15582,""IDENTITAS UNIT!D9"")"),"#N/A")</f>
        <v>#N/A</v>
      </c>
      <c r="H15582" s="4" t="str">
        <v/>
      </c>
      <c r="I15582" s="4" t="str">
        <v/>
      </c>
    </row>
    <row r="15583" spans="5:9" ht="16.5" hidden="1">
      <c r="E15583" s="4" t="str">
        <v/>
      </c>
      <c r="F15583" s="102" t="str">
        <f ca="1">IFERROR(__xludf.DUMMYFUNCTION("IMPORTRANGE(H15583,""IDENTITAS UNIT!D9"")"),"#N/A")</f>
        <v>#N/A</v>
      </c>
      <c r="H15583" s="4" t="str">
        <v/>
      </c>
      <c r="I15583" s="4" t="str">
        <v/>
      </c>
    </row>
    <row r="15584" spans="5:9" ht="16.5" hidden="1">
      <c r="E15584" s="4" t="str">
        <v/>
      </c>
      <c r="F15584" s="102" t="str">
        <f ca="1">IFERROR(__xludf.DUMMYFUNCTION("IMPORTRANGE(H15584,""IDENTITAS UNIT!D9"")"),"#N/A")</f>
        <v>#N/A</v>
      </c>
      <c r="H15584" s="4" t="str">
        <v/>
      </c>
      <c r="I15584" s="4" t="str">
        <v/>
      </c>
    </row>
    <row r="15585" spans="5:9" ht="16.5" hidden="1">
      <c r="E15585" s="4" t="str">
        <v/>
      </c>
      <c r="F15585" s="102" t="str">
        <f ca="1">IFERROR(__xludf.DUMMYFUNCTION("IMPORTRANGE(H15585,""IDENTITAS UNIT!D9"")"),"#N/A")</f>
        <v>#N/A</v>
      </c>
      <c r="H15585" s="4" t="str">
        <v/>
      </c>
      <c r="I15585" s="4" t="str">
        <v/>
      </c>
    </row>
    <row r="15586" spans="5:9" ht="16.5" hidden="1">
      <c r="E15586" s="4" t="str">
        <v/>
      </c>
      <c r="F15586" s="102" t="str">
        <f ca="1">IFERROR(__xludf.DUMMYFUNCTION("IMPORTRANGE(H15586,""IDENTITAS UNIT!D9"")"),"#N/A")</f>
        <v>#N/A</v>
      </c>
      <c r="H15586" s="4" t="str">
        <v/>
      </c>
      <c r="I15586" s="4" t="str">
        <v/>
      </c>
    </row>
    <row r="15587" spans="5:9" ht="16.5" hidden="1">
      <c r="E15587" s="4" t="str">
        <v/>
      </c>
      <c r="F15587" s="102" t="str">
        <f ca="1">IFERROR(__xludf.DUMMYFUNCTION("IMPORTRANGE(H15587,""IDENTITAS UNIT!D9"")"),"#N/A")</f>
        <v>#N/A</v>
      </c>
      <c r="H15587" s="4" t="str">
        <v/>
      </c>
      <c r="I15587" s="4" t="str">
        <v/>
      </c>
    </row>
    <row r="15588" spans="5:9" ht="16.5" hidden="1">
      <c r="E15588" s="4" t="str">
        <v/>
      </c>
      <c r="F15588" s="102" t="str">
        <f ca="1">IFERROR(__xludf.DUMMYFUNCTION("IMPORTRANGE(H15588,""IDENTITAS UNIT!D9"")"),"#N/A")</f>
        <v>#N/A</v>
      </c>
      <c r="H15588" s="4" t="str">
        <v/>
      </c>
      <c r="I15588" s="4" t="str">
        <v/>
      </c>
    </row>
    <row r="15589" spans="5:9" ht="16.5" hidden="1">
      <c r="E15589" s="4" t="str">
        <v/>
      </c>
      <c r="F15589" s="102" t="str">
        <f ca="1">IFERROR(__xludf.DUMMYFUNCTION("IMPORTRANGE(H15589,""IDENTITAS UNIT!D9"")"),"#N/A")</f>
        <v>#N/A</v>
      </c>
      <c r="H15589" s="4" t="str">
        <v/>
      </c>
      <c r="I15589" s="4" t="str">
        <v/>
      </c>
    </row>
    <row r="15590" spans="5:9" ht="16.5" hidden="1">
      <c r="E15590" s="4" t="str">
        <v/>
      </c>
      <c r="F15590" s="102" t="str">
        <f ca="1">IFERROR(__xludf.DUMMYFUNCTION("IMPORTRANGE(H15590,""IDENTITAS UNIT!D9"")"),"#N/A")</f>
        <v>#N/A</v>
      </c>
      <c r="H15590" s="4" t="str">
        <v/>
      </c>
      <c r="I15590" s="4" t="str">
        <v/>
      </c>
    </row>
    <row r="15591" spans="5:9" ht="16.5" hidden="1">
      <c r="E15591" s="4" t="str">
        <v/>
      </c>
      <c r="F15591" s="102" t="str">
        <f ca="1">IFERROR(__xludf.DUMMYFUNCTION("IMPORTRANGE(H15591,""IDENTITAS UNIT!D9"")"),"#N/A")</f>
        <v>#N/A</v>
      </c>
      <c r="H15591" s="4" t="str">
        <v/>
      </c>
      <c r="I15591" s="4" t="str">
        <v/>
      </c>
    </row>
    <row r="15592" spans="5:9" ht="16.5" hidden="1">
      <c r="E15592" s="4" t="str">
        <v/>
      </c>
      <c r="F15592" s="102" t="str">
        <f ca="1">IFERROR(__xludf.DUMMYFUNCTION("IMPORTRANGE(H15592,""IDENTITAS UNIT!D9"")"),"#N/A")</f>
        <v>#N/A</v>
      </c>
      <c r="H15592" s="4" t="str">
        <v/>
      </c>
      <c r="I15592" s="4" t="str">
        <v/>
      </c>
    </row>
    <row r="15593" spans="5:9" ht="16.5" hidden="1">
      <c r="E15593" s="4" t="str">
        <v/>
      </c>
      <c r="F15593" s="102" t="str">
        <f ca="1">IFERROR(__xludf.DUMMYFUNCTION("IMPORTRANGE(H15593,""IDENTITAS UNIT!D9"")"),"#N/A")</f>
        <v>#N/A</v>
      </c>
      <c r="H15593" s="4" t="str">
        <v/>
      </c>
      <c r="I15593" s="4" t="str">
        <v/>
      </c>
    </row>
    <row r="15594" spans="5:9" ht="16.5" hidden="1">
      <c r="E15594" s="4" t="str">
        <v/>
      </c>
      <c r="F15594" s="102" t="str">
        <f ca="1">IFERROR(__xludf.DUMMYFUNCTION("IMPORTRANGE(H15594,""IDENTITAS UNIT!D9"")"),"#N/A")</f>
        <v>#N/A</v>
      </c>
      <c r="H15594" s="4" t="str">
        <v/>
      </c>
      <c r="I15594" s="4" t="str">
        <v/>
      </c>
    </row>
    <row r="15595" spans="5:9" ht="16.5" hidden="1">
      <c r="E15595" s="4" t="str">
        <v/>
      </c>
      <c r="F15595" s="102" t="str">
        <f ca="1">IFERROR(__xludf.DUMMYFUNCTION("IMPORTRANGE(H15595,""IDENTITAS UNIT!D9"")"),"#N/A")</f>
        <v>#N/A</v>
      </c>
      <c r="H15595" s="4" t="str">
        <v/>
      </c>
      <c r="I15595" s="4" t="str">
        <v/>
      </c>
    </row>
    <row r="15596" spans="5:9" ht="16.5" hidden="1">
      <c r="E15596" s="4" t="str">
        <v/>
      </c>
      <c r="F15596" s="102" t="str">
        <f ca="1">IFERROR(__xludf.DUMMYFUNCTION("IMPORTRANGE(H15596,""IDENTITAS UNIT!D9"")"),"#N/A")</f>
        <v>#N/A</v>
      </c>
      <c r="H15596" s="4" t="str">
        <v/>
      </c>
      <c r="I15596" s="4" t="str">
        <v/>
      </c>
    </row>
    <row r="15597" spans="5:9" ht="16.5" hidden="1">
      <c r="E15597" s="4" t="str">
        <v/>
      </c>
      <c r="F15597" s="102" t="str">
        <f ca="1">IFERROR(__xludf.DUMMYFUNCTION("IMPORTRANGE(H15597,""IDENTITAS UNIT!D9"")"),"#N/A")</f>
        <v>#N/A</v>
      </c>
      <c r="H15597" s="4" t="str">
        <v/>
      </c>
      <c r="I15597" s="4" t="str">
        <v/>
      </c>
    </row>
    <row r="15598" spans="5:9" ht="16.5" hidden="1">
      <c r="E15598" s="4" t="str">
        <v/>
      </c>
      <c r="F15598" s="102" t="str">
        <f ca="1">IFERROR(__xludf.DUMMYFUNCTION("IMPORTRANGE(H15598,""IDENTITAS UNIT!D9"")"),"#N/A")</f>
        <v>#N/A</v>
      </c>
      <c r="H15598" s="4" t="str">
        <v/>
      </c>
      <c r="I15598" s="4" t="str">
        <v/>
      </c>
    </row>
    <row r="15599" spans="5:9" ht="16.5" hidden="1">
      <c r="E15599" s="4" t="str">
        <v/>
      </c>
      <c r="F15599" s="102" t="str">
        <f ca="1">IFERROR(__xludf.DUMMYFUNCTION("IMPORTRANGE(H15599,""IDENTITAS UNIT!D9"")"),"#N/A")</f>
        <v>#N/A</v>
      </c>
      <c r="H15599" s="4" t="str">
        <v/>
      </c>
      <c r="I15599" s="4" t="str">
        <v/>
      </c>
    </row>
    <row r="15600" spans="5:9" ht="16.5" hidden="1">
      <c r="E15600" s="4" t="str">
        <v/>
      </c>
      <c r="F15600" s="102" t="str">
        <f ca="1">IFERROR(__xludf.DUMMYFUNCTION("IMPORTRANGE(H15600,""IDENTITAS UNIT!D9"")"),"#N/A")</f>
        <v>#N/A</v>
      </c>
      <c r="H15600" s="4" t="str">
        <v/>
      </c>
      <c r="I15600" s="4" t="str">
        <v/>
      </c>
    </row>
    <row r="15601" spans="5:9" ht="16.5" hidden="1">
      <c r="E15601" s="4" t="str">
        <v/>
      </c>
      <c r="F15601" s="102" t="str">
        <f ca="1">IFERROR(__xludf.DUMMYFUNCTION("IMPORTRANGE(H15601,""IDENTITAS UNIT!D9"")"),"#N/A")</f>
        <v>#N/A</v>
      </c>
      <c r="H15601" s="4" t="str">
        <v/>
      </c>
      <c r="I15601" s="4" t="str">
        <v/>
      </c>
    </row>
    <row r="15602" spans="5:9" ht="16.5" hidden="1">
      <c r="E15602" s="4" t="str">
        <v/>
      </c>
      <c r="F15602" s="102" t="str">
        <f ca="1">IFERROR(__xludf.DUMMYFUNCTION("IMPORTRANGE(H15602,""IDENTITAS UNIT!D9"")"),"#N/A")</f>
        <v>#N/A</v>
      </c>
      <c r="H15602" s="4" t="str">
        <v/>
      </c>
      <c r="I15602" s="4" t="str">
        <v/>
      </c>
    </row>
    <row r="15603" spans="5:9" ht="16.5" hidden="1">
      <c r="E15603" s="4" t="str">
        <v/>
      </c>
      <c r="F15603" s="102" t="str">
        <f ca="1">IFERROR(__xludf.DUMMYFUNCTION("IMPORTRANGE(H15603,""IDENTITAS UNIT!D9"")"),"#N/A")</f>
        <v>#N/A</v>
      </c>
      <c r="H15603" s="4" t="str">
        <v/>
      </c>
      <c r="I15603" s="4" t="str">
        <v/>
      </c>
    </row>
    <row r="15604" spans="5:9" ht="16.5" hidden="1">
      <c r="E15604" s="4" t="str">
        <v/>
      </c>
      <c r="F15604" s="102" t="str">
        <f ca="1">IFERROR(__xludf.DUMMYFUNCTION("IMPORTRANGE(H15604,""IDENTITAS UNIT!D9"")"),"#N/A")</f>
        <v>#N/A</v>
      </c>
      <c r="H15604" s="4" t="str">
        <v/>
      </c>
      <c r="I15604" s="4" t="str">
        <v/>
      </c>
    </row>
    <row r="15605" spans="5:9" ht="16.5" hidden="1">
      <c r="E15605" s="4" t="str">
        <v/>
      </c>
      <c r="F15605" s="102" t="str">
        <f ca="1">IFERROR(__xludf.DUMMYFUNCTION("IMPORTRANGE(H15605,""IDENTITAS UNIT!D9"")"),"#N/A")</f>
        <v>#N/A</v>
      </c>
      <c r="H15605" s="4" t="str">
        <v/>
      </c>
      <c r="I15605" s="4" t="str">
        <v/>
      </c>
    </row>
    <row r="15606" spans="5:9" ht="16.5" hidden="1">
      <c r="E15606" s="4" t="str">
        <v/>
      </c>
      <c r="F15606" s="102" t="str">
        <f ca="1">IFERROR(__xludf.DUMMYFUNCTION("IMPORTRANGE(H15606,""IDENTITAS UNIT!D9"")"),"#N/A")</f>
        <v>#N/A</v>
      </c>
      <c r="H15606" s="4" t="str">
        <v/>
      </c>
      <c r="I15606" s="4" t="str">
        <v/>
      </c>
    </row>
    <row r="15607" spans="5:9" ht="16.5" hidden="1">
      <c r="E15607" s="4" t="str">
        <v/>
      </c>
      <c r="F15607" s="102" t="str">
        <f ca="1">IFERROR(__xludf.DUMMYFUNCTION("IMPORTRANGE(H15607,""IDENTITAS UNIT!D9"")"),"#N/A")</f>
        <v>#N/A</v>
      </c>
      <c r="H15607" s="4" t="str">
        <v/>
      </c>
      <c r="I15607" s="4" t="str">
        <v/>
      </c>
    </row>
    <row r="15608" spans="5:9" ht="16.5" hidden="1">
      <c r="E15608" s="4" t="str">
        <v/>
      </c>
      <c r="F15608" s="102" t="str">
        <f ca="1">IFERROR(__xludf.DUMMYFUNCTION("IMPORTRANGE(H15608,""IDENTITAS UNIT!D9"")"),"#N/A")</f>
        <v>#N/A</v>
      </c>
      <c r="H15608" s="4" t="str">
        <v/>
      </c>
      <c r="I15608" s="4" t="str">
        <v/>
      </c>
    </row>
    <row r="15609" spans="5:9" ht="16.5" hidden="1">
      <c r="E15609" s="4" t="str">
        <v/>
      </c>
      <c r="F15609" s="102" t="str">
        <f ca="1">IFERROR(__xludf.DUMMYFUNCTION("IMPORTRANGE(H15609,""IDENTITAS UNIT!D9"")"),"#N/A")</f>
        <v>#N/A</v>
      </c>
      <c r="H15609" s="4" t="str">
        <v/>
      </c>
      <c r="I15609" s="4" t="str">
        <v/>
      </c>
    </row>
    <row r="15610" spans="5:9" ht="16.5" hidden="1">
      <c r="E15610" s="4" t="str">
        <v/>
      </c>
      <c r="F15610" s="102" t="str">
        <f ca="1">IFERROR(__xludf.DUMMYFUNCTION("IMPORTRANGE(H15610,""IDENTITAS UNIT!D9"")"),"#N/A")</f>
        <v>#N/A</v>
      </c>
      <c r="H15610" s="4" t="str">
        <v/>
      </c>
      <c r="I15610" s="4" t="str">
        <v/>
      </c>
    </row>
    <row r="15611" spans="5:9" ht="16.5" hidden="1">
      <c r="E15611" s="4" t="str">
        <v/>
      </c>
      <c r="F15611" s="102" t="str">
        <f ca="1">IFERROR(__xludf.DUMMYFUNCTION("IMPORTRANGE(H15611,""IDENTITAS UNIT!D9"")"),"#N/A")</f>
        <v>#N/A</v>
      </c>
      <c r="H15611" s="4" t="str">
        <v/>
      </c>
      <c r="I15611" s="4" t="str">
        <v/>
      </c>
    </row>
    <row r="15612" spans="5:9" ht="16.5" hidden="1">
      <c r="E15612" s="4" t="str">
        <v/>
      </c>
      <c r="F15612" s="102" t="str">
        <f ca="1">IFERROR(__xludf.DUMMYFUNCTION("IMPORTRANGE(H15612,""IDENTITAS UNIT!D9"")"),"#N/A")</f>
        <v>#N/A</v>
      </c>
      <c r="H15612" s="4" t="str">
        <v/>
      </c>
      <c r="I15612" s="4" t="str">
        <v/>
      </c>
    </row>
    <row r="15613" spans="5:9" ht="16.5" hidden="1">
      <c r="E15613" s="4" t="str">
        <v/>
      </c>
      <c r="F15613" s="102" t="str">
        <f ca="1">IFERROR(__xludf.DUMMYFUNCTION("IMPORTRANGE(H15613,""IDENTITAS UNIT!D9"")"),"#N/A")</f>
        <v>#N/A</v>
      </c>
      <c r="H15613" s="4" t="str">
        <v/>
      </c>
      <c r="I15613" s="4" t="str">
        <v/>
      </c>
    </row>
    <row r="15614" spans="5:9" ht="16.5" hidden="1">
      <c r="E15614" s="4" t="str">
        <v/>
      </c>
      <c r="F15614" s="102" t="str">
        <f ca="1">IFERROR(__xludf.DUMMYFUNCTION("IMPORTRANGE(H15614,""IDENTITAS UNIT!D9"")"),"#N/A")</f>
        <v>#N/A</v>
      </c>
      <c r="H15614" s="4" t="str">
        <v/>
      </c>
      <c r="I15614" s="4" t="str">
        <v/>
      </c>
    </row>
    <row r="15615" spans="5:9" ht="16.5" hidden="1">
      <c r="E15615" s="4" t="str">
        <v/>
      </c>
      <c r="F15615" s="102" t="str">
        <f ca="1">IFERROR(__xludf.DUMMYFUNCTION("IMPORTRANGE(H15615,""IDENTITAS UNIT!D9"")"),"#N/A")</f>
        <v>#N/A</v>
      </c>
      <c r="H15615" s="4" t="str">
        <v/>
      </c>
      <c r="I15615" s="4" t="str">
        <v/>
      </c>
    </row>
    <row r="15616" spans="5:9" ht="16.5" hidden="1">
      <c r="E15616" s="4" t="str">
        <v/>
      </c>
      <c r="F15616" s="102" t="str">
        <f ca="1">IFERROR(__xludf.DUMMYFUNCTION("IMPORTRANGE(H15616,""IDENTITAS UNIT!D9"")"),"#N/A")</f>
        <v>#N/A</v>
      </c>
      <c r="H15616" s="4" t="str">
        <v/>
      </c>
      <c r="I15616" s="4" t="str">
        <v/>
      </c>
    </row>
    <row r="15617" spans="5:9" ht="16.5" hidden="1">
      <c r="E15617" s="4" t="str">
        <v/>
      </c>
      <c r="F15617" s="102" t="str">
        <f ca="1">IFERROR(__xludf.DUMMYFUNCTION("IMPORTRANGE(H15617,""IDENTITAS UNIT!D9"")"),"#N/A")</f>
        <v>#N/A</v>
      </c>
      <c r="H15617" s="4" t="str">
        <v/>
      </c>
      <c r="I15617" s="4" t="str">
        <v/>
      </c>
    </row>
    <row r="15618" spans="5:9" ht="16.5" hidden="1">
      <c r="E15618" s="4" t="str">
        <v/>
      </c>
      <c r="F15618" s="102" t="str">
        <f ca="1">IFERROR(__xludf.DUMMYFUNCTION("IMPORTRANGE(H15618,""IDENTITAS UNIT!D9"")"),"#N/A")</f>
        <v>#N/A</v>
      </c>
      <c r="H15618" s="4" t="str">
        <v/>
      </c>
      <c r="I15618" s="4" t="str">
        <v/>
      </c>
    </row>
    <row r="15619" spans="5:9" ht="16.5" hidden="1">
      <c r="E15619" s="4" t="str">
        <v/>
      </c>
      <c r="F15619" s="102" t="str">
        <f ca="1">IFERROR(__xludf.DUMMYFUNCTION("IMPORTRANGE(H15619,""IDENTITAS UNIT!D9"")"),"#N/A")</f>
        <v>#N/A</v>
      </c>
      <c r="H15619" s="4" t="str">
        <v/>
      </c>
      <c r="I15619" s="4" t="str">
        <v/>
      </c>
    </row>
    <row r="15620" spans="5:9" ht="16.5" hidden="1">
      <c r="E15620" s="4" t="str">
        <v/>
      </c>
      <c r="F15620" s="102" t="str">
        <f ca="1">IFERROR(__xludf.DUMMYFUNCTION("IMPORTRANGE(H15620,""IDENTITAS UNIT!D9"")"),"#N/A")</f>
        <v>#N/A</v>
      </c>
      <c r="H15620" s="4" t="str">
        <v/>
      </c>
      <c r="I15620" s="4" t="str">
        <v/>
      </c>
    </row>
    <row r="15621" spans="5:9" ht="16.5" hidden="1">
      <c r="E15621" s="4" t="str">
        <v/>
      </c>
      <c r="F15621" s="102" t="str">
        <f ca="1">IFERROR(__xludf.DUMMYFUNCTION("IMPORTRANGE(H15621,""IDENTITAS UNIT!D9"")"),"#N/A")</f>
        <v>#N/A</v>
      </c>
      <c r="H15621" s="4" t="str">
        <v/>
      </c>
      <c r="I15621" s="4" t="str">
        <v/>
      </c>
    </row>
    <row r="15622" spans="5:9" ht="16.5" hidden="1">
      <c r="E15622" s="4" t="str">
        <v/>
      </c>
      <c r="F15622" s="102" t="str">
        <f ca="1">IFERROR(__xludf.DUMMYFUNCTION("IMPORTRANGE(H15622,""IDENTITAS UNIT!D9"")"),"#N/A")</f>
        <v>#N/A</v>
      </c>
      <c r="H15622" s="4" t="str">
        <v/>
      </c>
      <c r="I15622" s="4" t="str">
        <v/>
      </c>
    </row>
    <row r="15623" spans="5:9" ht="16.5" hidden="1">
      <c r="E15623" s="4" t="str">
        <v/>
      </c>
      <c r="F15623" s="102" t="str">
        <f ca="1">IFERROR(__xludf.DUMMYFUNCTION("IMPORTRANGE(H15623,""IDENTITAS UNIT!D9"")"),"#N/A")</f>
        <v>#N/A</v>
      </c>
      <c r="H15623" s="4" t="str">
        <v/>
      </c>
      <c r="I15623" s="4" t="str">
        <v/>
      </c>
    </row>
    <row r="15624" spans="5:9" ht="16.5" hidden="1">
      <c r="E15624" s="4" t="str">
        <v/>
      </c>
      <c r="F15624" s="102" t="str">
        <f ca="1">IFERROR(__xludf.DUMMYFUNCTION("IMPORTRANGE(H15624,""IDENTITAS UNIT!D9"")"),"#N/A")</f>
        <v>#N/A</v>
      </c>
      <c r="H15624" s="4" t="str">
        <v/>
      </c>
      <c r="I15624" s="4" t="str">
        <v/>
      </c>
    </row>
    <row r="15625" spans="5:9" ht="16.5" hidden="1">
      <c r="E15625" s="4" t="str">
        <v/>
      </c>
      <c r="F15625" s="102" t="str">
        <f ca="1">IFERROR(__xludf.DUMMYFUNCTION("IMPORTRANGE(H15625,""IDENTITAS UNIT!D9"")"),"#N/A")</f>
        <v>#N/A</v>
      </c>
      <c r="H15625" s="4" t="str">
        <v/>
      </c>
      <c r="I15625" s="4" t="str">
        <v/>
      </c>
    </row>
    <row r="15626" spans="5:9" ht="16.5" hidden="1">
      <c r="E15626" s="4" t="str">
        <v/>
      </c>
      <c r="F15626" s="102" t="str">
        <f ca="1">IFERROR(__xludf.DUMMYFUNCTION("IMPORTRANGE(H15626,""IDENTITAS UNIT!D9"")"),"#N/A")</f>
        <v>#N/A</v>
      </c>
      <c r="H15626" s="4" t="str">
        <v/>
      </c>
      <c r="I15626" s="4" t="str">
        <v/>
      </c>
    </row>
    <row r="15627" spans="5:9" ht="16.5" hidden="1">
      <c r="E15627" s="4" t="str">
        <v/>
      </c>
      <c r="F15627" s="102" t="str">
        <f ca="1">IFERROR(__xludf.DUMMYFUNCTION("IMPORTRANGE(H15627,""IDENTITAS UNIT!D9"")"),"#N/A")</f>
        <v>#N/A</v>
      </c>
      <c r="H15627" s="4" t="str">
        <v/>
      </c>
      <c r="I15627" s="4" t="str">
        <v/>
      </c>
    </row>
    <row r="15628" spans="5:9" ht="16.5" hidden="1">
      <c r="E15628" s="4" t="str">
        <v/>
      </c>
      <c r="F15628" s="102" t="str">
        <f ca="1">IFERROR(__xludf.DUMMYFUNCTION("IMPORTRANGE(H15628,""IDENTITAS UNIT!D9"")"),"#N/A")</f>
        <v>#N/A</v>
      </c>
      <c r="H15628" s="4" t="str">
        <v/>
      </c>
      <c r="I15628" s="4" t="str">
        <v/>
      </c>
    </row>
    <row r="15629" spans="5:9" ht="16.5" hidden="1">
      <c r="E15629" s="4" t="str">
        <v/>
      </c>
      <c r="F15629" s="102" t="str">
        <f ca="1">IFERROR(__xludf.DUMMYFUNCTION("IMPORTRANGE(H15629,""IDENTITAS UNIT!D9"")"),"#N/A")</f>
        <v>#N/A</v>
      </c>
      <c r="H15629" s="4" t="str">
        <v/>
      </c>
      <c r="I15629" s="4" t="str">
        <v/>
      </c>
    </row>
    <row r="15630" spans="5:9" ht="16.5" hidden="1">
      <c r="E15630" s="4" t="str">
        <v/>
      </c>
      <c r="F15630" s="102" t="str">
        <f ca="1">IFERROR(__xludf.DUMMYFUNCTION("IMPORTRANGE(H15630,""IDENTITAS UNIT!D9"")"),"#N/A")</f>
        <v>#N/A</v>
      </c>
      <c r="H15630" s="4" t="str">
        <v/>
      </c>
      <c r="I15630" s="4" t="str">
        <v/>
      </c>
    </row>
    <row r="15631" spans="5:9" ht="16.5" hidden="1">
      <c r="E15631" s="4" t="str">
        <v/>
      </c>
      <c r="F15631" s="102" t="str">
        <f ca="1">IFERROR(__xludf.DUMMYFUNCTION("IMPORTRANGE(H15631,""IDENTITAS UNIT!D9"")"),"#N/A")</f>
        <v>#N/A</v>
      </c>
      <c r="H15631" s="4" t="str">
        <v/>
      </c>
      <c r="I15631" s="4" t="str">
        <v/>
      </c>
    </row>
    <row r="15632" spans="5:9" ht="16.5" hidden="1">
      <c r="E15632" s="4" t="str">
        <v/>
      </c>
      <c r="F15632" s="102" t="str">
        <f ca="1">IFERROR(__xludf.DUMMYFUNCTION("IMPORTRANGE(H15632,""IDENTITAS UNIT!D9"")"),"#N/A")</f>
        <v>#N/A</v>
      </c>
      <c r="H15632" s="4" t="str">
        <v/>
      </c>
      <c r="I15632" s="4" t="str">
        <v/>
      </c>
    </row>
    <row r="15633" spans="5:9" ht="16.5" hidden="1">
      <c r="E15633" s="4" t="str">
        <v/>
      </c>
      <c r="F15633" s="102" t="str">
        <f ca="1">IFERROR(__xludf.DUMMYFUNCTION("IMPORTRANGE(H15633,""IDENTITAS UNIT!D9"")"),"#N/A")</f>
        <v>#N/A</v>
      </c>
      <c r="H15633" s="4" t="str">
        <v/>
      </c>
      <c r="I15633" s="4" t="str">
        <v/>
      </c>
    </row>
    <row r="15634" spans="5:9" ht="16.5" hidden="1">
      <c r="E15634" s="4" t="str">
        <v/>
      </c>
      <c r="F15634" s="102" t="str">
        <f ca="1">IFERROR(__xludf.DUMMYFUNCTION("IMPORTRANGE(H15634,""IDENTITAS UNIT!D9"")"),"#N/A")</f>
        <v>#N/A</v>
      </c>
      <c r="H15634" s="4" t="str">
        <v/>
      </c>
      <c r="I15634" s="4" t="str">
        <v/>
      </c>
    </row>
    <row r="15635" spans="5:9" ht="16.5" hidden="1">
      <c r="E15635" s="4" t="str">
        <v/>
      </c>
      <c r="F15635" s="102" t="str">
        <f ca="1">IFERROR(__xludf.DUMMYFUNCTION("IMPORTRANGE(H15635,""IDENTITAS UNIT!D9"")"),"#N/A")</f>
        <v>#N/A</v>
      </c>
      <c r="H15635" s="4" t="str">
        <v/>
      </c>
      <c r="I15635" s="4" t="str">
        <v/>
      </c>
    </row>
    <row r="15636" spans="5:9" ht="16.5" hidden="1">
      <c r="E15636" s="4" t="str">
        <v/>
      </c>
      <c r="F15636" s="102" t="str">
        <f ca="1">IFERROR(__xludf.DUMMYFUNCTION("IMPORTRANGE(H15636,""IDENTITAS UNIT!D9"")"),"#N/A")</f>
        <v>#N/A</v>
      </c>
      <c r="H15636" s="4" t="str">
        <v/>
      </c>
      <c r="I15636" s="4" t="str">
        <v/>
      </c>
    </row>
    <row r="15637" spans="5:9" ht="16.5" hidden="1">
      <c r="E15637" s="4" t="str">
        <v/>
      </c>
      <c r="F15637" s="102" t="str">
        <f ca="1">IFERROR(__xludf.DUMMYFUNCTION("IMPORTRANGE(H15637,""IDENTITAS UNIT!D9"")"),"#N/A")</f>
        <v>#N/A</v>
      </c>
      <c r="H15637" s="4" t="str">
        <v/>
      </c>
      <c r="I15637" s="4" t="str">
        <v/>
      </c>
    </row>
    <row r="15638" spans="5:9" ht="16.5" hidden="1">
      <c r="E15638" s="4" t="str">
        <v/>
      </c>
      <c r="F15638" s="102" t="str">
        <f ca="1">IFERROR(__xludf.DUMMYFUNCTION("IMPORTRANGE(H15638,""IDENTITAS UNIT!D9"")"),"#N/A")</f>
        <v>#N/A</v>
      </c>
      <c r="H15638" s="4" t="str">
        <v/>
      </c>
      <c r="I15638" s="4" t="str">
        <v/>
      </c>
    </row>
    <row r="15639" spans="5:9" ht="16.5" hidden="1">
      <c r="E15639" s="4" t="str">
        <v/>
      </c>
      <c r="F15639" s="102" t="str">
        <f ca="1">IFERROR(__xludf.DUMMYFUNCTION("IMPORTRANGE(H15639,""IDENTITAS UNIT!D9"")"),"#N/A")</f>
        <v>#N/A</v>
      </c>
      <c r="H15639" s="4" t="str">
        <v/>
      </c>
      <c r="I15639" s="4" t="str">
        <v/>
      </c>
    </row>
    <row r="15640" spans="5:9" ht="16.5" hidden="1">
      <c r="E15640" s="4" t="str">
        <v/>
      </c>
      <c r="F15640" s="102" t="str">
        <f ca="1">IFERROR(__xludf.DUMMYFUNCTION("IMPORTRANGE(H15640,""IDENTITAS UNIT!D9"")"),"#N/A")</f>
        <v>#N/A</v>
      </c>
      <c r="H15640" s="4" t="str">
        <v/>
      </c>
      <c r="I15640" s="4" t="str">
        <v/>
      </c>
    </row>
    <row r="15641" spans="5:9" ht="16.5" hidden="1">
      <c r="E15641" s="4" t="str">
        <v/>
      </c>
      <c r="F15641" s="102" t="str">
        <f ca="1">IFERROR(__xludf.DUMMYFUNCTION("IMPORTRANGE(H15641,""IDENTITAS UNIT!D9"")"),"#N/A")</f>
        <v>#N/A</v>
      </c>
      <c r="H15641" s="4" t="str">
        <v/>
      </c>
      <c r="I15641" s="4" t="str">
        <v/>
      </c>
    </row>
    <row r="15642" spans="5:9" ht="16.5" hidden="1">
      <c r="E15642" s="4" t="str">
        <v/>
      </c>
      <c r="F15642" s="102" t="str">
        <f ca="1">IFERROR(__xludf.DUMMYFUNCTION("IMPORTRANGE(H15642,""IDENTITAS UNIT!D9"")"),"#N/A")</f>
        <v>#N/A</v>
      </c>
      <c r="H15642" s="4" t="str">
        <v/>
      </c>
      <c r="I15642" s="4" t="str">
        <v/>
      </c>
    </row>
    <row r="15643" spans="5:9" ht="16.5" hidden="1">
      <c r="E15643" s="4" t="str">
        <v/>
      </c>
      <c r="F15643" s="102" t="str">
        <f ca="1">IFERROR(__xludf.DUMMYFUNCTION("IMPORTRANGE(H15643,""IDENTITAS UNIT!D9"")"),"#N/A")</f>
        <v>#N/A</v>
      </c>
      <c r="H15643" s="4" t="str">
        <v/>
      </c>
      <c r="I15643" s="4" t="str">
        <v/>
      </c>
    </row>
    <row r="15644" spans="5:9" ht="16.5" hidden="1">
      <c r="E15644" s="4" t="str">
        <v/>
      </c>
      <c r="F15644" s="102" t="str">
        <f ca="1">IFERROR(__xludf.DUMMYFUNCTION("IMPORTRANGE(H15644,""IDENTITAS UNIT!D9"")"),"#N/A")</f>
        <v>#N/A</v>
      </c>
      <c r="H15644" s="4" t="str">
        <v/>
      </c>
      <c r="I15644" s="4" t="str">
        <v/>
      </c>
    </row>
    <row r="15645" spans="5:9" ht="16.5" hidden="1">
      <c r="E15645" s="4" t="str">
        <v/>
      </c>
      <c r="F15645" s="102" t="str">
        <f ca="1">IFERROR(__xludf.DUMMYFUNCTION("IMPORTRANGE(H15645,""IDENTITAS UNIT!D9"")"),"#N/A")</f>
        <v>#N/A</v>
      </c>
      <c r="H15645" s="4" t="str">
        <v/>
      </c>
      <c r="I15645" s="4" t="str">
        <v/>
      </c>
    </row>
    <row r="15646" spans="5:9" ht="16.5" hidden="1">
      <c r="E15646" s="4" t="str">
        <v/>
      </c>
      <c r="F15646" s="102" t="str">
        <f ca="1">IFERROR(__xludf.DUMMYFUNCTION("IMPORTRANGE(H15646,""IDENTITAS UNIT!D9"")"),"#N/A")</f>
        <v>#N/A</v>
      </c>
      <c r="H15646" s="4" t="str">
        <v/>
      </c>
      <c r="I15646" s="4" t="str">
        <v/>
      </c>
    </row>
    <row r="15647" spans="5:9" ht="16.5" hidden="1">
      <c r="E15647" s="4" t="str">
        <v/>
      </c>
      <c r="F15647" s="102" t="str">
        <f ca="1">IFERROR(__xludf.DUMMYFUNCTION("IMPORTRANGE(H15647,""IDENTITAS UNIT!D9"")"),"#N/A")</f>
        <v>#N/A</v>
      </c>
      <c r="H15647" s="4" t="str">
        <v/>
      </c>
      <c r="I15647" s="4" t="str">
        <v/>
      </c>
    </row>
    <row r="15648" spans="5:9" ht="16.5" hidden="1">
      <c r="E15648" s="4" t="str">
        <v/>
      </c>
      <c r="F15648" s="102" t="str">
        <f ca="1">IFERROR(__xludf.DUMMYFUNCTION("IMPORTRANGE(H15648,""IDENTITAS UNIT!D9"")"),"#N/A")</f>
        <v>#N/A</v>
      </c>
      <c r="H15648" s="4" t="str">
        <v/>
      </c>
      <c r="I15648" s="4" t="str">
        <v/>
      </c>
    </row>
    <row r="15649" spans="5:9" ht="16.5" hidden="1">
      <c r="E15649" s="4" t="str">
        <v/>
      </c>
      <c r="F15649" s="102" t="str">
        <f ca="1">IFERROR(__xludf.DUMMYFUNCTION("IMPORTRANGE(H15649,""IDENTITAS UNIT!D9"")"),"#N/A")</f>
        <v>#N/A</v>
      </c>
      <c r="H15649" s="4" t="str">
        <v/>
      </c>
      <c r="I15649" s="4" t="str">
        <v/>
      </c>
    </row>
    <row r="15650" spans="5:9" ht="16.5" hidden="1">
      <c r="E15650" s="4" t="str">
        <v/>
      </c>
      <c r="F15650" s="102" t="str">
        <f ca="1">IFERROR(__xludf.DUMMYFUNCTION("IMPORTRANGE(H15650,""IDENTITAS UNIT!D9"")"),"#N/A")</f>
        <v>#N/A</v>
      </c>
      <c r="H15650" s="4" t="str">
        <v/>
      </c>
      <c r="I15650" s="4" t="str">
        <v/>
      </c>
    </row>
    <row r="15651" spans="5:9" ht="16.5" hidden="1">
      <c r="E15651" s="4" t="str">
        <v/>
      </c>
      <c r="F15651" s="102" t="str">
        <f ca="1">IFERROR(__xludf.DUMMYFUNCTION("IMPORTRANGE(H15651,""IDENTITAS UNIT!D9"")"),"#N/A")</f>
        <v>#N/A</v>
      </c>
      <c r="H15651" s="4" t="str">
        <v/>
      </c>
      <c r="I15651" s="4" t="str">
        <v/>
      </c>
    </row>
    <row r="15652" spans="5:9" ht="16.5" hidden="1">
      <c r="E15652" s="4" t="str">
        <v/>
      </c>
      <c r="F15652" s="102" t="str">
        <f ca="1">IFERROR(__xludf.DUMMYFUNCTION("IMPORTRANGE(H15652,""IDENTITAS UNIT!D9"")"),"#N/A")</f>
        <v>#N/A</v>
      </c>
      <c r="H15652" s="4" t="str">
        <v/>
      </c>
      <c r="I15652" s="4" t="str">
        <v/>
      </c>
    </row>
    <row r="15653" spans="5:9" ht="16.5" hidden="1">
      <c r="E15653" s="4" t="str">
        <v/>
      </c>
      <c r="F15653" s="102" t="str">
        <f ca="1">IFERROR(__xludf.DUMMYFUNCTION("IMPORTRANGE(H15653,""IDENTITAS UNIT!D9"")"),"#N/A")</f>
        <v>#N/A</v>
      </c>
      <c r="H15653" s="4" t="str">
        <v/>
      </c>
      <c r="I15653" s="4" t="str">
        <v/>
      </c>
    </row>
    <row r="15654" spans="5:9" ht="16.5" hidden="1">
      <c r="E15654" s="4" t="str">
        <v/>
      </c>
      <c r="F15654" s="102" t="str">
        <f ca="1">IFERROR(__xludf.DUMMYFUNCTION("IMPORTRANGE(H15654,""IDENTITAS UNIT!D9"")"),"#N/A")</f>
        <v>#N/A</v>
      </c>
      <c r="H15654" s="4" t="str">
        <v/>
      </c>
      <c r="I15654" s="4" t="str">
        <v/>
      </c>
    </row>
    <row r="15655" spans="5:9" ht="16.5" hidden="1">
      <c r="E15655" s="4" t="str">
        <v/>
      </c>
      <c r="F15655" s="102" t="str">
        <f ca="1">IFERROR(__xludf.DUMMYFUNCTION("IMPORTRANGE(H15655,""IDENTITAS UNIT!D9"")"),"#N/A")</f>
        <v>#N/A</v>
      </c>
      <c r="H15655" s="4" t="str">
        <v/>
      </c>
      <c r="I15655" s="4" t="str">
        <v/>
      </c>
    </row>
    <row r="15656" spans="5:9" ht="16.5" hidden="1">
      <c r="E15656" s="4" t="str">
        <v/>
      </c>
      <c r="F15656" s="102" t="str">
        <f ca="1">IFERROR(__xludf.DUMMYFUNCTION("IMPORTRANGE(H15656,""IDENTITAS UNIT!D9"")"),"#N/A")</f>
        <v>#N/A</v>
      </c>
      <c r="H15656" s="4" t="str">
        <v/>
      </c>
      <c r="I15656" s="4" t="str">
        <v/>
      </c>
    </row>
    <row r="15657" spans="5:9" ht="16.5" hidden="1">
      <c r="E15657" s="4" t="str">
        <v/>
      </c>
      <c r="F15657" s="102" t="str">
        <f ca="1">IFERROR(__xludf.DUMMYFUNCTION("IMPORTRANGE(H15657,""IDENTITAS UNIT!D9"")"),"#N/A")</f>
        <v>#N/A</v>
      </c>
      <c r="H15657" s="4" t="str">
        <v/>
      </c>
      <c r="I15657" s="4" t="str">
        <v/>
      </c>
    </row>
    <row r="15658" spans="5:9" ht="16.5" hidden="1">
      <c r="E15658" s="4" t="str">
        <v/>
      </c>
      <c r="F15658" s="102" t="str">
        <f ca="1">IFERROR(__xludf.DUMMYFUNCTION("IMPORTRANGE(H15658,""IDENTITAS UNIT!D9"")"),"#N/A")</f>
        <v>#N/A</v>
      </c>
      <c r="H15658" s="4" t="str">
        <v/>
      </c>
      <c r="I15658" s="4" t="str">
        <v/>
      </c>
    </row>
    <row r="15659" spans="5:9" ht="16.5" hidden="1">
      <c r="E15659" s="4" t="str">
        <v/>
      </c>
      <c r="F15659" s="102" t="str">
        <f ca="1">IFERROR(__xludf.DUMMYFUNCTION("IMPORTRANGE(H15659,""IDENTITAS UNIT!D9"")"),"#N/A")</f>
        <v>#N/A</v>
      </c>
      <c r="H15659" s="4" t="str">
        <v/>
      </c>
      <c r="I15659" s="4" t="str">
        <v/>
      </c>
    </row>
    <row r="15660" spans="5:9" ht="16.5" hidden="1">
      <c r="E15660" s="4" t="str">
        <v/>
      </c>
      <c r="F15660" s="102" t="str">
        <f ca="1">IFERROR(__xludf.DUMMYFUNCTION("IMPORTRANGE(H15660,""IDENTITAS UNIT!D9"")"),"#N/A")</f>
        <v>#N/A</v>
      </c>
      <c r="H15660" s="4" t="str">
        <v/>
      </c>
      <c r="I15660" s="4" t="str">
        <v/>
      </c>
    </row>
    <row r="15661" spans="5:9" ht="16.5" hidden="1">
      <c r="E15661" s="4" t="str">
        <v/>
      </c>
      <c r="F15661" s="102" t="str">
        <f ca="1">IFERROR(__xludf.DUMMYFUNCTION("IMPORTRANGE(H15661,""IDENTITAS UNIT!D9"")"),"#N/A")</f>
        <v>#N/A</v>
      </c>
      <c r="H15661" s="4" t="str">
        <v/>
      </c>
      <c r="I15661" s="4" t="str">
        <v/>
      </c>
    </row>
    <row r="15662" spans="5:9" ht="16.5" hidden="1">
      <c r="E15662" s="4" t="str">
        <v/>
      </c>
      <c r="F15662" s="102" t="str">
        <f ca="1">IFERROR(__xludf.DUMMYFUNCTION("IMPORTRANGE(H15662,""IDENTITAS UNIT!D9"")"),"#N/A")</f>
        <v>#N/A</v>
      </c>
      <c r="H15662" s="4" t="str">
        <v/>
      </c>
      <c r="I15662" s="4" t="str">
        <v/>
      </c>
    </row>
    <row r="15663" spans="5:9" ht="16.5" hidden="1">
      <c r="E15663" s="4" t="str">
        <v/>
      </c>
      <c r="F15663" s="102" t="str">
        <f ca="1">IFERROR(__xludf.DUMMYFUNCTION("IMPORTRANGE(H15663,""IDENTITAS UNIT!D9"")"),"#N/A")</f>
        <v>#N/A</v>
      </c>
      <c r="H15663" s="4" t="str">
        <v/>
      </c>
      <c r="I15663" s="4" t="str">
        <v/>
      </c>
    </row>
    <row r="15664" spans="5:9" ht="16.5" hidden="1">
      <c r="E15664" s="4" t="str">
        <v/>
      </c>
      <c r="F15664" s="102" t="str">
        <f ca="1">IFERROR(__xludf.DUMMYFUNCTION("IMPORTRANGE(H15664,""IDENTITAS UNIT!D9"")"),"#N/A")</f>
        <v>#N/A</v>
      </c>
      <c r="H15664" s="4" t="str">
        <v/>
      </c>
      <c r="I15664" s="4" t="str">
        <v/>
      </c>
    </row>
    <row r="15665" spans="5:9" ht="16.5" hidden="1">
      <c r="E15665" s="4" t="str">
        <v/>
      </c>
      <c r="F15665" s="102" t="str">
        <f ca="1">IFERROR(__xludf.DUMMYFUNCTION("IMPORTRANGE(H15665,""IDENTITAS UNIT!D9"")"),"#N/A")</f>
        <v>#N/A</v>
      </c>
      <c r="H15665" s="4" t="str">
        <v/>
      </c>
      <c r="I15665" s="4" t="str">
        <v/>
      </c>
    </row>
    <row r="15666" spans="5:9" ht="16.5" hidden="1">
      <c r="E15666" s="4" t="str">
        <v/>
      </c>
      <c r="F15666" s="102" t="str">
        <f ca="1">IFERROR(__xludf.DUMMYFUNCTION("IMPORTRANGE(H15666,""IDENTITAS UNIT!D9"")"),"#N/A")</f>
        <v>#N/A</v>
      </c>
      <c r="H15666" s="4" t="str">
        <v/>
      </c>
      <c r="I15666" s="4" t="str">
        <v/>
      </c>
    </row>
    <row r="15667" spans="5:9" ht="16.5" hidden="1">
      <c r="E15667" s="4" t="str">
        <v/>
      </c>
      <c r="F15667" s="102" t="str">
        <f ca="1">IFERROR(__xludf.DUMMYFUNCTION("IMPORTRANGE(H15667,""IDENTITAS UNIT!D9"")"),"#N/A")</f>
        <v>#N/A</v>
      </c>
      <c r="H15667" s="4" t="str">
        <v/>
      </c>
      <c r="I15667" s="4" t="str">
        <v/>
      </c>
    </row>
    <row r="15668" spans="5:9" ht="16.5" hidden="1">
      <c r="E15668" s="4" t="str">
        <v/>
      </c>
      <c r="F15668" s="102" t="str">
        <f ca="1">IFERROR(__xludf.DUMMYFUNCTION("IMPORTRANGE(H15668,""IDENTITAS UNIT!D9"")"),"#N/A")</f>
        <v>#N/A</v>
      </c>
      <c r="H15668" s="4" t="str">
        <v/>
      </c>
      <c r="I15668" s="4" t="str">
        <v/>
      </c>
    </row>
    <row r="15669" spans="5:9" ht="16.5" hidden="1">
      <c r="E15669" s="4" t="str">
        <v/>
      </c>
      <c r="F15669" s="102" t="str">
        <f ca="1">IFERROR(__xludf.DUMMYFUNCTION("IMPORTRANGE(H15669,""IDENTITAS UNIT!D9"")"),"#N/A")</f>
        <v>#N/A</v>
      </c>
      <c r="H15669" s="4" t="str">
        <v/>
      </c>
      <c r="I15669" s="4" t="str">
        <v/>
      </c>
    </row>
    <row r="15670" spans="5:9" ht="16.5" hidden="1">
      <c r="E15670" s="4" t="str">
        <v/>
      </c>
      <c r="F15670" s="102" t="str">
        <f ca="1">IFERROR(__xludf.DUMMYFUNCTION("IMPORTRANGE(H15670,""IDENTITAS UNIT!D9"")"),"#N/A")</f>
        <v>#N/A</v>
      </c>
      <c r="H15670" s="4" t="str">
        <v/>
      </c>
      <c r="I15670" s="4" t="str">
        <v/>
      </c>
    </row>
    <row r="15671" spans="5:9" ht="16.5" hidden="1">
      <c r="E15671" s="4" t="str">
        <v/>
      </c>
      <c r="F15671" s="102" t="str">
        <f ca="1">IFERROR(__xludf.DUMMYFUNCTION("IMPORTRANGE(H15671,""IDENTITAS UNIT!D9"")"),"#N/A")</f>
        <v>#N/A</v>
      </c>
      <c r="H15671" s="4" t="str">
        <v/>
      </c>
      <c r="I15671" s="4" t="str">
        <v/>
      </c>
    </row>
    <row r="15672" spans="5:9" ht="16.5" hidden="1">
      <c r="E15672" s="4" t="str">
        <v/>
      </c>
      <c r="F15672" s="102" t="str">
        <f ca="1">IFERROR(__xludf.DUMMYFUNCTION("IMPORTRANGE(H15672,""IDENTITAS UNIT!D9"")"),"#N/A")</f>
        <v>#N/A</v>
      </c>
      <c r="H15672" s="4" t="str">
        <v/>
      </c>
      <c r="I15672" s="4" t="str">
        <v/>
      </c>
    </row>
    <row r="15673" spans="5:9" ht="16.5" hidden="1">
      <c r="E15673" s="4" t="str">
        <v/>
      </c>
      <c r="F15673" s="102" t="str">
        <f ca="1">IFERROR(__xludf.DUMMYFUNCTION("IMPORTRANGE(H15673,""IDENTITAS UNIT!D9"")"),"#N/A")</f>
        <v>#N/A</v>
      </c>
      <c r="H15673" s="4" t="str">
        <v/>
      </c>
      <c r="I15673" s="4" t="str">
        <v/>
      </c>
    </row>
    <row r="15674" spans="5:9" ht="16.5" hidden="1">
      <c r="E15674" s="4" t="str">
        <v/>
      </c>
      <c r="F15674" s="102" t="str">
        <f ca="1">IFERROR(__xludf.DUMMYFUNCTION("IMPORTRANGE(H15674,""IDENTITAS UNIT!D9"")"),"#N/A")</f>
        <v>#N/A</v>
      </c>
      <c r="H15674" s="4" t="str">
        <v/>
      </c>
      <c r="I15674" s="4" t="str">
        <v/>
      </c>
    </row>
    <row r="15675" spans="5:9" ht="16.5" hidden="1">
      <c r="E15675" s="4" t="str">
        <v/>
      </c>
      <c r="F15675" s="102" t="str">
        <f ca="1">IFERROR(__xludf.DUMMYFUNCTION("IMPORTRANGE(H15675,""IDENTITAS UNIT!D9"")"),"#N/A")</f>
        <v>#N/A</v>
      </c>
      <c r="H15675" s="4" t="str">
        <v/>
      </c>
      <c r="I15675" s="4" t="str">
        <v/>
      </c>
    </row>
    <row r="15676" spans="5:9" ht="16.5" hidden="1">
      <c r="E15676" s="4" t="str">
        <v/>
      </c>
      <c r="F15676" s="102" t="str">
        <f ca="1">IFERROR(__xludf.DUMMYFUNCTION("IMPORTRANGE(H15676,""IDENTITAS UNIT!D9"")"),"#N/A")</f>
        <v>#N/A</v>
      </c>
      <c r="H15676" s="4" t="str">
        <v/>
      </c>
      <c r="I15676" s="4" t="str">
        <v/>
      </c>
    </row>
    <row r="15677" spans="5:9" ht="16.5" hidden="1">
      <c r="E15677" s="4" t="str">
        <v/>
      </c>
      <c r="F15677" s="102" t="str">
        <f ca="1">IFERROR(__xludf.DUMMYFUNCTION("IMPORTRANGE(H15677,""IDENTITAS UNIT!D9"")"),"#N/A")</f>
        <v>#N/A</v>
      </c>
      <c r="H15677" s="4" t="str">
        <v/>
      </c>
      <c r="I15677" s="4" t="str">
        <v/>
      </c>
    </row>
    <row r="15678" spans="5:9" ht="16.5" hidden="1">
      <c r="E15678" s="4" t="str">
        <v/>
      </c>
      <c r="F15678" s="102" t="str">
        <f ca="1">IFERROR(__xludf.DUMMYFUNCTION("IMPORTRANGE(H15678,""IDENTITAS UNIT!D9"")"),"#N/A")</f>
        <v>#N/A</v>
      </c>
      <c r="H15678" s="4" t="str">
        <v/>
      </c>
      <c r="I15678" s="4" t="str">
        <v/>
      </c>
    </row>
    <row r="15679" spans="5:9" ht="16.5" hidden="1">
      <c r="E15679" s="4" t="str">
        <v/>
      </c>
      <c r="F15679" s="102" t="str">
        <f ca="1">IFERROR(__xludf.DUMMYFUNCTION("IMPORTRANGE(H15679,""IDENTITAS UNIT!D9"")"),"#N/A")</f>
        <v>#N/A</v>
      </c>
      <c r="H15679" s="4" t="str">
        <v/>
      </c>
      <c r="I15679" s="4" t="str">
        <v/>
      </c>
    </row>
    <row r="15680" spans="5:9" ht="16.5" hidden="1">
      <c r="E15680" s="4" t="str">
        <v/>
      </c>
      <c r="F15680" s="102" t="str">
        <f ca="1">IFERROR(__xludf.DUMMYFUNCTION("IMPORTRANGE(H15680,""IDENTITAS UNIT!D9"")"),"#N/A")</f>
        <v>#N/A</v>
      </c>
      <c r="H15680" s="4" t="str">
        <v/>
      </c>
      <c r="I15680" s="4" t="str">
        <v/>
      </c>
    </row>
    <row r="15681" spans="5:9" ht="16.5" hidden="1">
      <c r="E15681" s="4" t="str">
        <v/>
      </c>
      <c r="F15681" s="102" t="str">
        <f ca="1">IFERROR(__xludf.DUMMYFUNCTION("IMPORTRANGE(H15681,""IDENTITAS UNIT!D9"")"),"#N/A")</f>
        <v>#N/A</v>
      </c>
      <c r="H15681" s="4" t="str">
        <v/>
      </c>
      <c r="I15681" s="4" t="str">
        <v/>
      </c>
    </row>
    <row r="15682" spans="5:9" ht="16.5" hidden="1">
      <c r="E15682" s="4" t="str">
        <v/>
      </c>
      <c r="F15682" s="102" t="str">
        <f ca="1">IFERROR(__xludf.DUMMYFUNCTION("IMPORTRANGE(H15682,""IDENTITAS UNIT!D9"")"),"#N/A")</f>
        <v>#N/A</v>
      </c>
      <c r="H15682" s="4" t="str">
        <v/>
      </c>
      <c r="I15682" s="4" t="str">
        <v/>
      </c>
    </row>
    <row r="15683" spans="5:9" ht="16.5" hidden="1">
      <c r="E15683" s="4" t="str">
        <v/>
      </c>
      <c r="F15683" s="102" t="str">
        <f ca="1">IFERROR(__xludf.DUMMYFUNCTION("IMPORTRANGE(H15683,""IDENTITAS UNIT!D9"")"),"#N/A")</f>
        <v>#N/A</v>
      </c>
      <c r="H15683" s="4" t="str">
        <v/>
      </c>
      <c r="I15683" s="4" t="str">
        <v/>
      </c>
    </row>
    <row r="15684" spans="5:9" ht="16.5" hidden="1">
      <c r="E15684" s="4" t="str">
        <v/>
      </c>
      <c r="F15684" s="102" t="str">
        <f ca="1">IFERROR(__xludf.DUMMYFUNCTION("IMPORTRANGE(H15684,""IDENTITAS UNIT!D9"")"),"#N/A")</f>
        <v>#N/A</v>
      </c>
      <c r="H15684" s="4" t="str">
        <v/>
      </c>
      <c r="I15684" s="4" t="str">
        <v/>
      </c>
    </row>
    <row r="15685" spans="5:9" ht="16.5" hidden="1">
      <c r="E15685" s="4" t="str">
        <v/>
      </c>
      <c r="F15685" s="102" t="str">
        <f ca="1">IFERROR(__xludf.DUMMYFUNCTION("IMPORTRANGE(H15685,""IDENTITAS UNIT!D9"")"),"#N/A")</f>
        <v>#N/A</v>
      </c>
      <c r="H15685" s="4" t="str">
        <v/>
      </c>
      <c r="I15685" s="4" t="str">
        <v/>
      </c>
    </row>
    <row r="15686" spans="5:9" ht="16.5" hidden="1">
      <c r="E15686" s="4" t="str">
        <v/>
      </c>
      <c r="F15686" s="102" t="str">
        <f ca="1">IFERROR(__xludf.DUMMYFUNCTION("IMPORTRANGE(H15686,""IDENTITAS UNIT!D9"")"),"#N/A")</f>
        <v>#N/A</v>
      </c>
      <c r="H15686" s="4" t="str">
        <v/>
      </c>
      <c r="I15686" s="4" t="str">
        <v/>
      </c>
    </row>
    <row r="15687" spans="5:9" ht="16.5" hidden="1">
      <c r="E15687" s="4" t="str">
        <v/>
      </c>
      <c r="F15687" s="102" t="str">
        <f ca="1">IFERROR(__xludf.DUMMYFUNCTION("IMPORTRANGE(H15687,""IDENTITAS UNIT!D9"")"),"#N/A")</f>
        <v>#N/A</v>
      </c>
      <c r="H15687" s="4" t="str">
        <v/>
      </c>
      <c r="I15687" s="4" t="str">
        <v/>
      </c>
    </row>
    <row r="15688" spans="5:9" ht="16.5" hidden="1">
      <c r="E15688" s="4" t="str">
        <v/>
      </c>
      <c r="F15688" s="102" t="str">
        <f ca="1">IFERROR(__xludf.DUMMYFUNCTION("IMPORTRANGE(H15688,""IDENTITAS UNIT!D9"")"),"#N/A")</f>
        <v>#N/A</v>
      </c>
      <c r="H15688" s="4" t="str">
        <v/>
      </c>
      <c r="I15688" s="4" t="str">
        <v/>
      </c>
    </row>
    <row r="15689" spans="5:9" ht="16.5" hidden="1">
      <c r="E15689" s="4" t="str">
        <v/>
      </c>
      <c r="F15689" s="102" t="str">
        <f ca="1">IFERROR(__xludf.DUMMYFUNCTION("IMPORTRANGE(H15689,""IDENTITAS UNIT!D9"")"),"#N/A")</f>
        <v>#N/A</v>
      </c>
      <c r="H15689" s="4" t="str">
        <v/>
      </c>
      <c r="I15689" s="4" t="str">
        <v/>
      </c>
    </row>
    <row r="15690" spans="5:9" ht="16.5" hidden="1">
      <c r="E15690" s="4" t="str">
        <v/>
      </c>
      <c r="F15690" s="102" t="str">
        <f ca="1">IFERROR(__xludf.DUMMYFUNCTION("IMPORTRANGE(H15690,""IDENTITAS UNIT!D9"")"),"#N/A")</f>
        <v>#N/A</v>
      </c>
      <c r="H15690" s="4" t="str">
        <v/>
      </c>
      <c r="I15690" s="4" t="str">
        <v/>
      </c>
    </row>
    <row r="15691" spans="5:9" ht="16.5" hidden="1">
      <c r="E15691" s="4" t="str">
        <v/>
      </c>
      <c r="F15691" s="102" t="str">
        <f ca="1">IFERROR(__xludf.DUMMYFUNCTION("IMPORTRANGE(H15691,""IDENTITAS UNIT!D9"")"),"#N/A")</f>
        <v>#N/A</v>
      </c>
      <c r="H15691" s="4" t="str">
        <v/>
      </c>
      <c r="I15691" s="4" t="str">
        <v/>
      </c>
    </row>
    <row r="15692" spans="5:9" ht="16.5" hidden="1">
      <c r="E15692" s="4" t="str">
        <v/>
      </c>
      <c r="F15692" s="102" t="str">
        <f ca="1">IFERROR(__xludf.DUMMYFUNCTION("IMPORTRANGE(H15692,""IDENTITAS UNIT!D9"")"),"#N/A")</f>
        <v>#N/A</v>
      </c>
      <c r="H15692" s="4" t="str">
        <v/>
      </c>
      <c r="I15692" s="4" t="str">
        <v/>
      </c>
    </row>
    <row r="15693" spans="5:9" ht="16.5" hidden="1">
      <c r="E15693" s="4" t="str">
        <v/>
      </c>
      <c r="F15693" s="102" t="str">
        <f ca="1">IFERROR(__xludf.DUMMYFUNCTION("IMPORTRANGE(H15693,""IDENTITAS UNIT!D9"")"),"#N/A")</f>
        <v>#N/A</v>
      </c>
      <c r="H15693" s="4" t="str">
        <v/>
      </c>
      <c r="I15693" s="4" t="str">
        <v/>
      </c>
    </row>
    <row r="15694" spans="5:9" ht="16.5" hidden="1">
      <c r="E15694" s="4" t="str">
        <v/>
      </c>
      <c r="F15694" s="102" t="str">
        <f ca="1">IFERROR(__xludf.DUMMYFUNCTION("IMPORTRANGE(H15694,""IDENTITAS UNIT!D9"")"),"#N/A")</f>
        <v>#N/A</v>
      </c>
      <c r="H15694" s="4" t="str">
        <v/>
      </c>
      <c r="I15694" s="4" t="str">
        <v/>
      </c>
    </row>
    <row r="15695" spans="5:9" ht="16.5" hidden="1">
      <c r="E15695" s="4" t="str">
        <v/>
      </c>
      <c r="F15695" s="102" t="str">
        <f ca="1">IFERROR(__xludf.DUMMYFUNCTION("IMPORTRANGE(H15695,""IDENTITAS UNIT!D9"")"),"#N/A")</f>
        <v>#N/A</v>
      </c>
      <c r="H15695" s="4" t="str">
        <v/>
      </c>
      <c r="I15695" s="4" t="str">
        <v/>
      </c>
    </row>
    <row r="15696" spans="5:9" ht="16.5" hidden="1">
      <c r="E15696" s="4" t="str">
        <v/>
      </c>
      <c r="F15696" s="102" t="str">
        <f ca="1">IFERROR(__xludf.DUMMYFUNCTION("IMPORTRANGE(H15696,""IDENTITAS UNIT!D9"")"),"#N/A")</f>
        <v>#N/A</v>
      </c>
      <c r="H15696" s="4" t="str">
        <v/>
      </c>
      <c r="I15696" s="4" t="str">
        <v/>
      </c>
    </row>
    <row r="15697" spans="5:9" ht="16.5" hidden="1">
      <c r="E15697" s="4" t="str">
        <v/>
      </c>
      <c r="F15697" s="102" t="str">
        <f ca="1">IFERROR(__xludf.DUMMYFUNCTION("IMPORTRANGE(H15697,""IDENTITAS UNIT!D9"")"),"#N/A")</f>
        <v>#N/A</v>
      </c>
      <c r="H15697" s="4" t="str">
        <v/>
      </c>
      <c r="I15697" s="4" t="str">
        <v/>
      </c>
    </row>
    <row r="15698" spans="5:9" ht="16.5" hidden="1">
      <c r="E15698" s="4" t="str">
        <v/>
      </c>
      <c r="F15698" s="102" t="str">
        <f ca="1">IFERROR(__xludf.DUMMYFUNCTION("IMPORTRANGE(H15698,""IDENTITAS UNIT!D9"")"),"#N/A")</f>
        <v>#N/A</v>
      </c>
      <c r="H15698" s="4" t="str">
        <v/>
      </c>
      <c r="I15698" s="4" t="str">
        <v/>
      </c>
    </row>
    <row r="15699" spans="5:9" ht="16.5" hidden="1">
      <c r="E15699" s="4" t="str">
        <v/>
      </c>
      <c r="F15699" s="102" t="str">
        <f ca="1">IFERROR(__xludf.DUMMYFUNCTION("IMPORTRANGE(H15699,""IDENTITAS UNIT!D9"")"),"#N/A")</f>
        <v>#N/A</v>
      </c>
      <c r="H15699" s="4" t="str">
        <v/>
      </c>
      <c r="I15699" s="4" t="str">
        <v/>
      </c>
    </row>
    <row r="15700" spans="5:9" ht="16.5" hidden="1">
      <c r="E15700" s="4" t="str">
        <v/>
      </c>
      <c r="F15700" s="102" t="str">
        <f ca="1">IFERROR(__xludf.DUMMYFUNCTION("IMPORTRANGE(H15700,""IDENTITAS UNIT!D9"")"),"#N/A")</f>
        <v>#N/A</v>
      </c>
      <c r="H15700" s="4" t="str">
        <v/>
      </c>
      <c r="I15700" s="4" t="str">
        <v/>
      </c>
    </row>
    <row r="15701" spans="5:9" ht="16.5" hidden="1">
      <c r="E15701" s="4" t="str">
        <v/>
      </c>
      <c r="F15701" s="102" t="str">
        <f ca="1">IFERROR(__xludf.DUMMYFUNCTION("IMPORTRANGE(H15701,""IDENTITAS UNIT!D9"")"),"#N/A")</f>
        <v>#N/A</v>
      </c>
      <c r="H15701" s="4" t="str">
        <v/>
      </c>
      <c r="I15701" s="4" t="str">
        <v/>
      </c>
    </row>
    <row r="15702" spans="5:9" ht="16.5" hidden="1">
      <c r="E15702" s="4" t="str">
        <v/>
      </c>
      <c r="F15702" s="102" t="str">
        <f ca="1">IFERROR(__xludf.DUMMYFUNCTION("IMPORTRANGE(H15702,""IDENTITAS UNIT!D9"")"),"#N/A")</f>
        <v>#N/A</v>
      </c>
      <c r="H15702" s="4" t="str">
        <v/>
      </c>
      <c r="I15702" s="4" t="str">
        <v/>
      </c>
    </row>
    <row r="15703" spans="5:9" ht="16.5" hidden="1">
      <c r="E15703" s="4" t="str">
        <v/>
      </c>
      <c r="F15703" s="102" t="str">
        <f ca="1">IFERROR(__xludf.DUMMYFUNCTION("IMPORTRANGE(H15703,""IDENTITAS UNIT!D9"")"),"#N/A")</f>
        <v>#N/A</v>
      </c>
      <c r="H15703" s="4" t="str">
        <v/>
      </c>
      <c r="I15703" s="4" t="str">
        <v/>
      </c>
    </row>
    <row r="15704" spans="5:9" ht="16.5" hidden="1">
      <c r="E15704" s="4" t="str">
        <v/>
      </c>
      <c r="F15704" s="102" t="str">
        <f ca="1">IFERROR(__xludf.DUMMYFUNCTION("IMPORTRANGE(H15704,""IDENTITAS UNIT!D9"")"),"#N/A")</f>
        <v>#N/A</v>
      </c>
      <c r="H15704" s="4" t="str">
        <v/>
      </c>
      <c r="I15704" s="4" t="str">
        <v/>
      </c>
    </row>
    <row r="15705" spans="5:9" ht="16.5" hidden="1">
      <c r="E15705" s="4" t="str">
        <v/>
      </c>
      <c r="F15705" s="102" t="str">
        <f ca="1">IFERROR(__xludf.DUMMYFUNCTION("IMPORTRANGE(H15705,""IDENTITAS UNIT!D9"")"),"#N/A")</f>
        <v>#N/A</v>
      </c>
      <c r="H15705" s="4" t="str">
        <v/>
      </c>
      <c r="I15705" s="4" t="str">
        <v/>
      </c>
    </row>
    <row r="15706" spans="5:9" ht="16.5" hidden="1">
      <c r="E15706" s="4" t="str">
        <v/>
      </c>
      <c r="F15706" s="102" t="str">
        <f ca="1">IFERROR(__xludf.DUMMYFUNCTION("IMPORTRANGE(H15706,""IDENTITAS UNIT!D9"")"),"#N/A")</f>
        <v>#N/A</v>
      </c>
      <c r="H15706" s="4" t="str">
        <v/>
      </c>
      <c r="I15706" s="4" t="str">
        <v/>
      </c>
    </row>
    <row r="15707" spans="5:9" ht="16.5" hidden="1">
      <c r="E15707" s="4" t="str">
        <v/>
      </c>
      <c r="F15707" s="102" t="str">
        <f ca="1">IFERROR(__xludf.DUMMYFUNCTION("IMPORTRANGE(H15707,""IDENTITAS UNIT!D9"")"),"#N/A")</f>
        <v>#N/A</v>
      </c>
      <c r="H15707" s="4" t="str">
        <v/>
      </c>
      <c r="I15707" s="4" t="str">
        <v/>
      </c>
    </row>
    <row r="15708" spans="5:9" ht="16.5" hidden="1">
      <c r="E15708" s="4" t="str">
        <v/>
      </c>
      <c r="F15708" s="102" t="str">
        <f ca="1">IFERROR(__xludf.DUMMYFUNCTION("IMPORTRANGE(H15708,""IDENTITAS UNIT!D9"")"),"#N/A")</f>
        <v>#N/A</v>
      </c>
      <c r="H15708" s="4" t="str">
        <v/>
      </c>
      <c r="I15708" s="4" t="str">
        <v/>
      </c>
    </row>
    <row r="15709" spans="5:9" ht="16.5" hidden="1">
      <c r="E15709" s="4" t="str">
        <v/>
      </c>
      <c r="F15709" s="102" t="str">
        <f ca="1">IFERROR(__xludf.DUMMYFUNCTION("IMPORTRANGE(H15709,""IDENTITAS UNIT!D9"")"),"#N/A")</f>
        <v>#N/A</v>
      </c>
      <c r="H15709" s="4" t="str">
        <v/>
      </c>
      <c r="I15709" s="4" t="str">
        <v/>
      </c>
    </row>
    <row r="15710" spans="5:9" ht="16.5" hidden="1">
      <c r="E15710" s="4" t="str">
        <v/>
      </c>
      <c r="F15710" s="102" t="str">
        <f ca="1">IFERROR(__xludf.DUMMYFUNCTION("IMPORTRANGE(H15710,""IDENTITAS UNIT!D9"")"),"#N/A")</f>
        <v>#N/A</v>
      </c>
      <c r="H15710" s="4" t="str">
        <v/>
      </c>
      <c r="I15710" s="4" t="str">
        <v/>
      </c>
    </row>
    <row r="15711" spans="5:9" ht="16.5" hidden="1">
      <c r="E15711" s="4" t="str">
        <v/>
      </c>
      <c r="F15711" s="102" t="str">
        <f ca="1">IFERROR(__xludf.DUMMYFUNCTION("IMPORTRANGE(H15711,""IDENTITAS UNIT!D9"")"),"#N/A")</f>
        <v>#N/A</v>
      </c>
      <c r="H15711" s="4" t="str">
        <v/>
      </c>
      <c r="I15711" s="4" t="str">
        <v/>
      </c>
    </row>
    <row r="15712" spans="5:9" ht="16.5" hidden="1">
      <c r="E15712" s="4" t="str">
        <v/>
      </c>
      <c r="F15712" s="102" t="str">
        <f ca="1">IFERROR(__xludf.DUMMYFUNCTION("IMPORTRANGE(H15712,""IDENTITAS UNIT!D9"")"),"#N/A")</f>
        <v>#N/A</v>
      </c>
      <c r="H15712" s="4" t="str">
        <v/>
      </c>
      <c r="I15712" s="4" t="str">
        <v/>
      </c>
    </row>
    <row r="15713" spans="5:9" ht="16.5" hidden="1">
      <c r="E15713" s="4" t="str">
        <v/>
      </c>
      <c r="F15713" s="102" t="str">
        <f ca="1">IFERROR(__xludf.DUMMYFUNCTION("IMPORTRANGE(H15713,""IDENTITAS UNIT!D9"")"),"#N/A")</f>
        <v>#N/A</v>
      </c>
      <c r="H15713" s="4" t="str">
        <v/>
      </c>
      <c r="I15713" s="4" t="str">
        <v/>
      </c>
    </row>
    <row r="15714" spans="5:9" ht="16.5" hidden="1">
      <c r="E15714" s="4" t="str">
        <v/>
      </c>
      <c r="F15714" s="102" t="str">
        <f ca="1">IFERROR(__xludf.DUMMYFUNCTION("IMPORTRANGE(H15714,""IDENTITAS UNIT!D9"")"),"#N/A")</f>
        <v>#N/A</v>
      </c>
      <c r="H15714" s="4" t="str">
        <v/>
      </c>
      <c r="I15714" s="4" t="str">
        <v/>
      </c>
    </row>
    <row r="15715" spans="5:9" ht="16.5" hidden="1">
      <c r="E15715" s="4" t="str">
        <v/>
      </c>
      <c r="F15715" s="102" t="str">
        <f ca="1">IFERROR(__xludf.DUMMYFUNCTION("IMPORTRANGE(H15715,""IDENTITAS UNIT!D9"")"),"#N/A")</f>
        <v>#N/A</v>
      </c>
      <c r="H15715" s="4" t="str">
        <v/>
      </c>
      <c r="I15715" s="4" t="str">
        <v/>
      </c>
    </row>
    <row r="15716" spans="5:9" ht="16.5" hidden="1">
      <c r="E15716" s="4" t="str">
        <v/>
      </c>
      <c r="F15716" s="102" t="str">
        <f ca="1">IFERROR(__xludf.DUMMYFUNCTION("IMPORTRANGE(H15716,""IDENTITAS UNIT!D9"")"),"#N/A")</f>
        <v>#N/A</v>
      </c>
      <c r="H15716" s="4" t="str">
        <v/>
      </c>
      <c r="I15716" s="4" t="str">
        <v/>
      </c>
    </row>
    <row r="15717" spans="5:9" ht="16.5" hidden="1">
      <c r="E15717" s="4" t="str">
        <v/>
      </c>
      <c r="F15717" s="102" t="str">
        <f ca="1">IFERROR(__xludf.DUMMYFUNCTION("IMPORTRANGE(H15717,""IDENTITAS UNIT!D9"")"),"#N/A")</f>
        <v>#N/A</v>
      </c>
      <c r="H15717" s="4" t="str">
        <v/>
      </c>
      <c r="I15717" s="4" t="str">
        <v/>
      </c>
    </row>
    <row r="15718" spans="5:9" ht="16.5" hidden="1">
      <c r="E15718" s="4" t="str">
        <v/>
      </c>
      <c r="F15718" s="102" t="str">
        <f ca="1">IFERROR(__xludf.DUMMYFUNCTION("IMPORTRANGE(H15718,""IDENTITAS UNIT!D9"")"),"#N/A")</f>
        <v>#N/A</v>
      </c>
      <c r="H15718" s="4" t="str">
        <v/>
      </c>
      <c r="I15718" s="4" t="str">
        <v/>
      </c>
    </row>
    <row r="15719" spans="5:9" ht="16.5" hidden="1">
      <c r="E15719" s="4" t="str">
        <v/>
      </c>
      <c r="F15719" s="102" t="str">
        <f ca="1">IFERROR(__xludf.DUMMYFUNCTION("IMPORTRANGE(H15719,""IDENTITAS UNIT!D9"")"),"#N/A")</f>
        <v>#N/A</v>
      </c>
      <c r="H15719" s="4" t="str">
        <v/>
      </c>
      <c r="I15719" s="4" t="str">
        <v/>
      </c>
    </row>
    <row r="15720" spans="5:9" ht="16.5" hidden="1">
      <c r="E15720" s="4" t="str">
        <v/>
      </c>
      <c r="F15720" s="102" t="str">
        <f ca="1">IFERROR(__xludf.DUMMYFUNCTION("IMPORTRANGE(H15720,""IDENTITAS UNIT!D9"")"),"#N/A")</f>
        <v>#N/A</v>
      </c>
      <c r="H15720" s="4" t="str">
        <v/>
      </c>
      <c r="I15720" s="4" t="str">
        <v/>
      </c>
    </row>
    <row r="15721" spans="5:9" ht="16.5" hidden="1">
      <c r="E15721" s="4" t="str">
        <v/>
      </c>
      <c r="F15721" s="102" t="str">
        <f ca="1">IFERROR(__xludf.DUMMYFUNCTION("IMPORTRANGE(H15721,""IDENTITAS UNIT!D9"")"),"#N/A")</f>
        <v>#N/A</v>
      </c>
      <c r="H15721" s="4" t="str">
        <v/>
      </c>
      <c r="I15721" s="4" t="str">
        <v/>
      </c>
    </row>
    <row r="15722" spans="5:9" ht="16.5" hidden="1">
      <c r="E15722" s="4" t="str">
        <v/>
      </c>
      <c r="F15722" s="102" t="str">
        <f ca="1">IFERROR(__xludf.DUMMYFUNCTION("IMPORTRANGE(H15722,""IDENTITAS UNIT!D9"")"),"#N/A")</f>
        <v>#N/A</v>
      </c>
      <c r="H15722" s="4" t="str">
        <v/>
      </c>
      <c r="I15722" s="4" t="str">
        <v/>
      </c>
    </row>
    <row r="15723" spans="5:9" ht="16.5" hidden="1">
      <c r="E15723" s="4" t="str">
        <v/>
      </c>
      <c r="F15723" s="102" t="str">
        <f ca="1">IFERROR(__xludf.DUMMYFUNCTION("IMPORTRANGE(H15723,""IDENTITAS UNIT!D9"")"),"#N/A")</f>
        <v>#N/A</v>
      </c>
      <c r="H15723" s="4" t="str">
        <v/>
      </c>
      <c r="I15723" s="4" t="str">
        <v/>
      </c>
    </row>
    <row r="15724" spans="5:9" ht="16.5" hidden="1">
      <c r="E15724" s="4" t="str">
        <v/>
      </c>
      <c r="F15724" s="102" t="str">
        <f ca="1">IFERROR(__xludf.DUMMYFUNCTION("IMPORTRANGE(H15724,""IDENTITAS UNIT!D9"")"),"#N/A")</f>
        <v>#N/A</v>
      </c>
      <c r="H15724" s="4" t="str">
        <v/>
      </c>
      <c r="I15724" s="4" t="str">
        <v/>
      </c>
    </row>
    <row r="15725" spans="5:9" ht="16.5" hidden="1">
      <c r="E15725" s="4" t="str">
        <v/>
      </c>
      <c r="F15725" s="102" t="str">
        <f ca="1">IFERROR(__xludf.DUMMYFUNCTION("IMPORTRANGE(H15725,""IDENTITAS UNIT!D9"")"),"#N/A")</f>
        <v>#N/A</v>
      </c>
      <c r="H15725" s="4" t="str">
        <v/>
      </c>
      <c r="I15725" s="4" t="str">
        <v/>
      </c>
    </row>
    <row r="15726" spans="5:9" ht="16.5" hidden="1">
      <c r="E15726" s="4" t="str">
        <v/>
      </c>
      <c r="F15726" s="102" t="str">
        <f ca="1">IFERROR(__xludf.DUMMYFUNCTION("IMPORTRANGE(H15726,""IDENTITAS UNIT!D9"")"),"#N/A")</f>
        <v>#N/A</v>
      </c>
      <c r="H15726" s="4" t="str">
        <v/>
      </c>
      <c r="I15726" s="4" t="str">
        <v/>
      </c>
    </row>
    <row r="15727" spans="5:9" ht="16.5" hidden="1">
      <c r="E15727" s="4" t="str">
        <v/>
      </c>
      <c r="F15727" s="102" t="str">
        <f ca="1">IFERROR(__xludf.DUMMYFUNCTION("IMPORTRANGE(H15727,""IDENTITAS UNIT!D9"")"),"#N/A")</f>
        <v>#N/A</v>
      </c>
      <c r="H15727" s="4" t="str">
        <v/>
      </c>
      <c r="I15727" s="4" t="str">
        <v/>
      </c>
    </row>
    <row r="15728" spans="5:9" ht="16.5" hidden="1">
      <c r="E15728" s="4" t="str">
        <v/>
      </c>
      <c r="F15728" s="102" t="str">
        <f ca="1">IFERROR(__xludf.DUMMYFUNCTION("IMPORTRANGE(H15728,""IDENTITAS UNIT!D9"")"),"#N/A")</f>
        <v>#N/A</v>
      </c>
      <c r="H15728" s="4" t="str">
        <v/>
      </c>
      <c r="I15728" s="4" t="str">
        <v/>
      </c>
    </row>
    <row r="15729" spans="5:9" ht="16.5" hidden="1">
      <c r="E15729" s="4" t="str">
        <v/>
      </c>
      <c r="F15729" s="102" t="str">
        <f ca="1">IFERROR(__xludf.DUMMYFUNCTION("IMPORTRANGE(H15729,""IDENTITAS UNIT!D9"")"),"#N/A")</f>
        <v>#N/A</v>
      </c>
      <c r="H15729" s="4" t="str">
        <v/>
      </c>
      <c r="I15729" s="4" t="str">
        <v/>
      </c>
    </row>
    <row r="15730" spans="5:9" ht="16.5" hidden="1">
      <c r="E15730" s="4" t="str">
        <v/>
      </c>
      <c r="F15730" s="102" t="str">
        <f ca="1">IFERROR(__xludf.DUMMYFUNCTION("IMPORTRANGE(H15730,""IDENTITAS UNIT!D9"")"),"#N/A")</f>
        <v>#N/A</v>
      </c>
      <c r="H15730" s="4" t="str">
        <v/>
      </c>
      <c r="I15730" s="4" t="str">
        <v/>
      </c>
    </row>
    <row r="15731" spans="5:9" ht="16.5" hidden="1">
      <c r="E15731" s="4" t="str">
        <v/>
      </c>
      <c r="F15731" s="102" t="str">
        <f ca="1">IFERROR(__xludf.DUMMYFUNCTION("IMPORTRANGE(H15731,""IDENTITAS UNIT!D9"")"),"#N/A")</f>
        <v>#N/A</v>
      </c>
      <c r="H15731" s="4" t="str">
        <v/>
      </c>
      <c r="I15731" s="4" t="str">
        <v/>
      </c>
    </row>
    <row r="15732" spans="5:9" ht="16.5" hidden="1">
      <c r="E15732" s="4" t="str">
        <v/>
      </c>
      <c r="F15732" s="102" t="str">
        <f ca="1">IFERROR(__xludf.DUMMYFUNCTION("IMPORTRANGE(H15732,""IDENTITAS UNIT!D9"")"),"#N/A")</f>
        <v>#N/A</v>
      </c>
      <c r="H15732" s="4" t="str">
        <v/>
      </c>
      <c r="I15732" s="4" t="str">
        <v/>
      </c>
    </row>
    <row r="15733" spans="5:9" ht="16.5" hidden="1">
      <c r="E15733" s="4" t="str">
        <v/>
      </c>
      <c r="F15733" s="102" t="str">
        <f ca="1">IFERROR(__xludf.DUMMYFUNCTION("IMPORTRANGE(H15733,""IDENTITAS UNIT!D9"")"),"#N/A")</f>
        <v>#N/A</v>
      </c>
      <c r="H15733" s="4" t="str">
        <v/>
      </c>
      <c r="I15733" s="4" t="str">
        <v/>
      </c>
    </row>
    <row r="15734" spans="5:9" ht="16.5" hidden="1">
      <c r="E15734" s="4" t="str">
        <v/>
      </c>
      <c r="F15734" s="102" t="str">
        <f ca="1">IFERROR(__xludf.DUMMYFUNCTION("IMPORTRANGE(H15734,""IDENTITAS UNIT!D9"")"),"#N/A")</f>
        <v>#N/A</v>
      </c>
      <c r="H15734" s="4" t="str">
        <v/>
      </c>
      <c r="I15734" s="4" t="str">
        <v/>
      </c>
    </row>
    <row r="15735" spans="5:9" ht="16.5" hidden="1">
      <c r="E15735" s="4" t="str">
        <v/>
      </c>
      <c r="F15735" s="102" t="str">
        <f ca="1">IFERROR(__xludf.DUMMYFUNCTION("IMPORTRANGE(H15735,""IDENTITAS UNIT!D9"")"),"#N/A")</f>
        <v>#N/A</v>
      </c>
      <c r="H15735" s="4" t="str">
        <v/>
      </c>
      <c r="I15735" s="4" t="str">
        <v/>
      </c>
    </row>
    <row r="15736" spans="5:9" ht="16.5" hidden="1">
      <c r="E15736" s="4" t="str">
        <v/>
      </c>
      <c r="F15736" s="102" t="str">
        <f ca="1">IFERROR(__xludf.DUMMYFUNCTION("IMPORTRANGE(H15736,""IDENTITAS UNIT!D9"")"),"#N/A")</f>
        <v>#N/A</v>
      </c>
      <c r="H15736" s="4" t="str">
        <v/>
      </c>
      <c r="I15736" s="4" t="str">
        <v/>
      </c>
    </row>
    <row r="15737" spans="5:9" ht="16.5" hidden="1">
      <c r="E15737" s="4" t="str">
        <v/>
      </c>
      <c r="F15737" s="102" t="str">
        <f ca="1">IFERROR(__xludf.DUMMYFUNCTION("IMPORTRANGE(H15737,""IDENTITAS UNIT!D9"")"),"#N/A")</f>
        <v>#N/A</v>
      </c>
      <c r="H15737" s="4" t="str">
        <v/>
      </c>
      <c r="I15737" s="4" t="str">
        <v/>
      </c>
    </row>
    <row r="15738" spans="5:9" ht="16.5" hidden="1">
      <c r="E15738" s="4" t="str">
        <v/>
      </c>
      <c r="F15738" s="102" t="str">
        <f ca="1">IFERROR(__xludf.DUMMYFUNCTION("IMPORTRANGE(H15738,""IDENTITAS UNIT!D9"")"),"#N/A")</f>
        <v>#N/A</v>
      </c>
      <c r="H15738" s="4" t="str">
        <v/>
      </c>
      <c r="I15738" s="4" t="str">
        <v/>
      </c>
    </row>
    <row r="15739" spans="5:9" ht="16.5" hidden="1">
      <c r="E15739" s="4" t="str">
        <v/>
      </c>
      <c r="F15739" s="102" t="str">
        <f ca="1">IFERROR(__xludf.DUMMYFUNCTION("IMPORTRANGE(H15739,""IDENTITAS UNIT!D9"")"),"#N/A")</f>
        <v>#N/A</v>
      </c>
      <c r="H15739" s="4" t="str">
        <v/>
      </c>
      <c r="I15739" s="4" t="str">
        <v/>
      </c>
    </row>
    <row r="15740" spans="5:9" ht="16.5" hidden="1">
      <c r="E15740" s="4" t="str">
        <v/>
      </c>
      <c r="F15740" s="102" t="str">
        <f ca="1">IFERROR(__xludf.DUMMYFUNCTION("IMPORTRANGE(H15740,""IDENTITAS UNIT!D9"")"),"#N/A")</f>
        <v>#N/A</v>
      </c>
      <c r="H15740" s="4" t="str">
        <v/>
      </c>
      <c r="I15740" s="4" t="str">
        <v/>
      </c>
    </row>
    <row r="15741" spans="5:9" ht="16.5" hidden="1">
      <c r="E15741" s="4" t="str">
        <v/>
      </c>
      <c r="F15741" s="102" t="str">
        <f ca="1">IFERROR(__xludf.DUMMYFUNCTION("IMPORTRANGE(H15741,""IDENTITAS UNIT!D9"")"),"#N/A")</f>
        <v>#N/A</v>
      </c>
      <c r="H15741" s="4" t="str">
        <v/>
      </c>
      <c r="I15741" s="4" t="str">
        <v/>
      </c>
    </row>
    <row r="15742" spans="5:9" ht="16.5" hidden="1">
      <c r="E15742" s="4" t="str">
        <v/>
      </c>
      <c r="F15742" s="102" t="str">
        <f ca="1">IFERROR(__xludf.DUMMYFUNCTION("IMPORTRANGE(H15742,""IDENTITAS UNIT!D9"")"),"#N/A")</f>
        <v>#N/A</v>
      </c>
      <c r="H15742" s="4" t="str">
        <v/>
      </c>
      <c r="I15742" s="4" t="str">
        <v/>
      </c>
    </row>
    <row r="15743" spans="5:9" ht="16.5" hidden="1">
      <c r="E15743" s="4" t="str">
        <v/>
      </c>
      <c r="F15743" s="102" t="str">
        <f ca="1">IFERROR(__xludf.DUMMYFUNCTION("IMPORTRANGE(H15743,""IDENTITAS UNIT!D9"")"),"#N/A")</f>
        <v>#N/A</v>
      </c>
      <c r="H15743" s="4" t="str">
        <v/>
      </c>
      <c r="I15743" s="4" t="str">
        <v/>
      </c>
    </row>
    <row r="15744" spans="5:9" ht="16.5" hidden="1">
      <c r="E15744" s="4" t="str">
        <v/>
      </c>
      <c r="F15744" s="102" t="str">
        <f ca="1">IFERROR(__xludf.DUMMYFUNCTION("IMPORTRANGE(H15744,""IDENTITAS UNIT!D9"")"),"#N/A")</f>
        <v>#N/A</v>
      </c>
      <c r="H15744" s="4" t="str">
        <v/>
      </c>
      <c r="I15744" s="4" t="str">
        <v/>
      </c>
    </row>
    <row r="15745" spans="5:9" ht="16.5" hidden="1">
      <c r="E15745" s="4" t="str">
        <v/>
      </c>
      <c r="F15745" s="102" t="str">
        <f ca="1">IFERROR(__xludf.DUMMYFUNCTION("IMPORTRANGE(H15745,""IDENTITAS UNIT!D9"")"),"#N/A")</f>
        <v>#N/A</v>
      </c>
      <c r="H15745" s="4" t="str">
        <v/>
      </c>
      <c r="I15745" s="4" t="str">
        <v/>
      </c>
    </row>
    <row r="15746" spans="5:9" ht="16.5" hidden="1">
      <c r="E15746" s="4" t="str">
        <v/>
      </c>
      <c r="F15746" s="102" t="str">
        <f ca="1">IFERROR(__xludf.DUMMYFUNCTION("IMPORTRANGE(H15746,""IDENTITAS UNIT!D9"")"),"#N/A")</f>
        <v>#N/A</v>
      </c>
      <c r="H15746" s="4" t="str">
        <v/>
      </c>
      <c r="I15746" s="4" t="str">
        <v/>
      </c>
    </row>
    <row r="15747" spans="5:9" ht="16.5" hidden="1">
      <c r="E15747" s="4" t="str">
        <v/>
      </c>
      <c r="F15747" s="102" t="str">
        <f ca="1">IFERROR(__xludf.DUMMYFUNCTION("IMPORTRANGE(H15747,""IDENTITAS UNIT!D9"")"),"#N/A")</f>
        <v>#N/A</v>
      </c>
      <c r="H15747" s="4" t="str">
        <v/>
      </c>
      <c r="I15747" s="4" t="str">
        <v/>
      </c>
    </row>
    <row r="15748" spans="5:9" ht="16.5" hidden="1">
      <c r="E15748" s="4" t="str">
        <v/>
      </c>
      <c r="F15748" s="102" t="str">
        <f ca="1">IFERROR(__xludf.DUMMYFUNCTION("IMPORTRANGE(H15748,""IDENTITAS UNIT!D9"")"),"#N/A")</f>
        <v>#N/A</v>
      </c>
      <c r="H15748" s="4" t="str">
        <v/>
      </c>
      <c r="I15748" s="4" t="str">
        <v/>
      </c>
    </row>
    <row r="15749" spans="5:9" ht="16.5" hidden="1">
      <c r="E15749" s="4" t="str">
        <v/>
      </c>
      <c r="F15749" s="102" t="str">
        <f ca="1">IFERROR(__xludf.DUMMYFUNCTION("IMPORTRANGE(H15749,""IDENTITAS UNIT!D9"")"),"#N/A")</f>
        <v>#N/A</v>
      </c>
      <c r="H15749" s="4" t="str">
        <v/>
      </c>
      <c r="I15749" s="4" t="str">
        <v/>
      </c>
    </row>
    <row r="15750" spans="5:9" ht="16.5" hidden="1">
      <c r="E15750" s="4" t="str">
        <v/>
      </c>
      <c r="F15750" s="102" t="str">
        <f ca="1">IFERROR(__xludf.DUMMYFUNCTION("IMPORTRANGE(H15750,""IDENTITAS UNIT!D9"")"),"#N/A")</f>
        <v>#N/A</v>
      </c>
      <c r="H15750" s="4" t="str">
        <v/>
      </c>
      <c r="I15750" s="4" t="str">
        <v/>
      </c>
    </row>
    <row r="15751" spans="5:9" ht="16.5" hidden="1">
      <c r="E15751" s="4" t="str">
        <v/>
      </c>
      <c r="F15751" s="102" t="str">
        <f ca="1">IFERROR(__xludf.DUMMYFUNCTION("IMPORTRANGE(H15751,""IDENTITAS UNIT!D9"")"),"#N/A")</f>
        <v>#N/A</v>
      </c>
      <c r="H15751" s="4" t="str">
        <v/>
      </c>
      <c r="I15751" s="4" t="str">
        <v/>
      </c>
    </row>
    <row r="15752" spans="5:9" ht="16.5" hidden="1">
      <c r="E15752" s="4" t="str">
        <v/>
      </c>
      <c r="F15752" s="102" t="str">
        <f ca="1">IFERROR(__xludf.DUMMYFUNCTION("IMPORTRANGE(H15752,""IDENTITAS UNIT!D9"")"),"#N/A")</f>
        <v>#N/A</v>
      </c>
      <c r="H15752" s="4" t="str">
        <v/>
      </c>
      <c r="I15752" s="4" t="str">
        <v/>
      </c>
    </row>
    <row r="15753" spans="5:9" ht="16.5" hidden="1">
      <c r="E15753" s="4" t="str">
        <v/>
      </c>
      <c r="F15753" s="102" t="str">
        <f ca="1">IFERROR(__xludf.DUMMYFUNCTION("IMPORTRANGE(H15753,""IDENTITAS UNIT!D9"")"),"#N/A")</f>
        <v>#N/A</v>
      </c>
      <c r="H15753" s="4" t="str">
        <v/>
      </c>
      <c r="I15753" s="4" t="str">
        <v/>
      </c>
    </row>
    <row r="15754" spans="5:9" ht="16.5" hidden="1">
      <c r="E15754" s="4" t="str">
        <v/>
      </c>
      <c r="F15754" s="102" t="str">
        <f ca="1">IFERROR(__xludf.DUMMYFUNCTION("IMPORTRANGE(H15754,""IDENTITAS UNIT!D9"")"),"#N/A")</f>
        <v>#N/A</v>
      </c>
      <c r="H15754" s="4" t="str">
        <v/>
      </c>
      <c r="I15754" s="4" t="str">
        <v/>
      </c>
    </row>
    <row r="15755" spans="5:9" ht="16.5" hidden="1">
      <c r="E15755" s="4" t="str">
        <v/>
      </c>
      <c r="F15755" s="102" t="str">
        <f ca="1">IFERROR(__xludf.DUMMYFUNCTION("IMPORTRANGE(H15755,""IDENTITAS UNIT!D9"")"),"#N/A")</f>
        <v>#N/A</v>
      </c>
      <c r="H15755" s="4" t="str">
        <v/>
      </c>
      <c r="I15755" s="4" t="str">
        <v/>
      </c>
    </row>
    <row r="15756" spans="5:9" ht="16.5" hidden="1">
      <c r="E15756" s="4" t="str">
        <v/>
      </c>
      <c r="F15756" s="102" t="str">
        <f ca="1">IFERROR(__xludf.DUMMYFUNCTION("IMPORTRANGE(H15756,""IDENTITAS UNIT!D9"")"),"#N/A")</f>
        <v>#N/A</v>
      </c>
      <c r="H15756" s="4" t="str">
        <v/>
      </c>
      <c r="I15756" s="4" t="str">
        <v/>
      </c>
    </row>
    <row r="15757" spans="5:9" ht="16.5" hidden="1">
      <c r="E15757" s="4" t="str">
        <v/>
      </c>
      <c r="F15757" s="102" t="str">
        <f ca="1">IFERROR(__xludf.DUMMYFUNCTION("IMPORTRANGE(H15757,""IDENTITAS UNIT!D9"")"),"#N/A")</f>
        <v>#N/A</v>
      </c>
      <c r="H15757" s="4" t="str">
        <v/>
      </c>
      <c r="I15757" s="4" t="str">
        <v/>
      </c>
    </row>
    <row r="15758" spans="5:9" ht="16.5" hidden="1">
      <c r="E15758" s="4" t="str">
        <v/>
      </c>
      <c r="F15758" s="102" t="str">
        <f ca="1">IFERROR(__xludf.DUMMYFUNCTION("IMPORTRANGE(H15758,""IDENTITAS UNIT!D9"")"),"#N/A")</f>
        <v>#N/A</v>
      </c>
      <c r="H15758" s="4" t="str">
        <v/>
      </c>
      <c r="I15758" s="4" t="str">
        <v/>
      </c>
    </row>
    <row r="15759" spans="5:9" ht="16.5" hidden="1">
      <c r="E15759" s="4" t="str">
        <v/>
      </c>
      <c r="F15759" s="102" t="str">
        <f ca="1">IFERROR(__xludf.DUMMYFUNCTION("IMPORTRANGE(H15759,""IDENTITAS UNIT!D9"")"),"#N/A")</f>
        <v>#N/A</v>
      </c>
      <c r="H15759" s="4" t="str">
        <v/>
      </c>
      <c r="I15759" s="4" t="str">
        <v/>
      </c>
    </row>
    <row r="15760" spans="5:9" ht="16.5" hidden="1">
      <c r="E15760" s="4" t="str">
        <v/>
      </c>
      <c r="F15760" s="102" t="str">
        <f ca="1">IFERROR(__xludf.DUMMYFUNCTION("IMPORTRANGE(H15760,""IDENTITAS UNIT!D9"")"),"#N/A")</f>
        <v>#N/A</v>
      </c>
      <c r="H15760" s="4" t="str">
        <v/>
      </c>
      <c r="I15760" s="4" t="str">
        <v/>
      </c>
    </row>
    <row r="15761" spans="5:9" ht="16.5" hidden="1">
      <c r="E15761" s="4" t="str">
        <v/>
      </c>
      <c r="F15761" s="102" t="str">
        <f ca="1">IFERROR(__xludf.DUMMYFUNCTION("IMPORTRANGE(H15761,""IDENTITAS UNIT!D9"")"),"#N/A")</f>
        <v>#N/A</v>
      </c>
      <c r="H15761" s="4" t="str">
        <v/>
      </c>
      <c r="I15761" s="4" t="str">
        <v/>
      </c>
    </row>
    <row r="15762" spans="5:9" ht="16.5" hidden="1">
      <c r="E15762" s="4" t="str">
        <v/>
      </c>
      <c r="F15762" s="102" t="str">
        <f ca="1">IFERROR(__xludf.DUMMYFUNCTION("IMPORTRANGE(H15762,""IDENTITAS UNIT!D9"")"),"#N/A")</f>
        <v>#N/A</v>
      </c>
      <c r="H15762" s="4" t="str">
        <v/>
      </c>
      <c r="I15762" s="4" t="str">
        <v/>
      </c>
    </row>
    <row r="15763" spans="5:9" ht="16.5" hidden="1">
      <c r="E15763" s="4" t="str">
        <v/>
      </c>
      <c r="F15763" s="102" t="str">
        <f ca="1">IFERROR(__xludf.DUMMYFUNCTION("IMPORTRANGE(H15763,""IDENTITAS UNIT!D9"")"),"#N/A")</f>
        <v>#N/A</v>
      </c>
      <c r="H15763" s="4" t="str">
        <v/>
      </c>
      <c r="I15763" s="4" t="str">
        <v/>
      </c>
    </row>
    <row r="15764" spans="5:9" ht="16.5" hidden="1">
      <c r="E15764" s="4" t="str">
        <v/>
      </c>
      <c r="F15764" s="102" t="str">
        <f ca="1">IFERROR(__xludf.DUMMYFUNCTION("IMPORTRANGE(H15764,""IDENTITAS UNIT!D9"")"),"#N/A")</f>
        <v>#N/A</v>
      </c>
      <c r="H15764" s="4" t="str">
        <v/>
      </c>
      <c r="I15764" s="4" t="str">
        <v/>
      </c>
    </row>
    <row r="15765" spans="5:9" ht="16.5" hidden="1">
      <c r="E15765" s="4" t="str">
        <v/>
      </c>
      <c r="F15765" s="102" t="str">
        <f ca="1">IFERROR(__xludf.DUMMYFUNCTION("IMPORTRANGE(H15765,""IDENTITAS UNIT!D9"")"),"#N/A")</f>
        <v>#N/A</v>
      </c>
      <c r="H15765" s="4" t="str">
        <v/>
      </c>
      <c r="I15765" s="4" t="str">
        <v/>
      </c>
    </row>
    <row r="15766" spans="5:9" ht="16.5" hidden="1">
      <c r="E15766" s="4" t="str">
        <v/>
      </c>
      <c r="F15766" s="102" t="str">
        <f ca="1">IFERROR(__xludf.DUMMYFUNCTION("IMPORTRANGE(H15766,""IDENTITAS UNIT!D9"")"),"#N/A")</f>
        <v>#N/A</v>
      </c>
      <c r="H15766" s="4" t="str">
        <v/>
      </c>
      <c r="I15766" s="4" t="str">
        <v/>
      </c>
    </row>
    <row r="15767" spans="5:9" ht="16.5" hidden="1">
      <c r="E15767" s="4" t="str">
        <v/>
      </c>
      <c r="F15767" s="102" t="str">
        <f ca="1">IFERROR(__xludf.DUMMYFUNCTION("IMPORTRANGE(H15767,""IDENTITAS UNIT!D9"")"),"#N/A")</f>
        <v>#N/A</v>
      </c>
      <c r="H15767" s="4" t="str">
        <v/>
      </c>
      <c r="I15767" s="4" t="str">
        <v/>
      </c>
    </row>
    <row r="15768" spans="5:9" ht="16.5" hidden="1">
      <c r="E15768" s="4" t="str">
        <v/>
      </c>
      <c r="F15768" s="102" t="str">
        <f ca="1">IFERROR(__xludf.DUMMYFUNCTION("IMPORTRANGE(H15768,""IDENTITAS UNIT!D9"")"),"#N/A")</f>
        <v>#N/A</v>
      </c>
      <c r="H15768" s="4" t="str">
        <v/>
      </c>
      <c r="I15768" s="4" t="str">
        <v/>
      </c>
    </row>
    <row r="15769" spans="5:9" ht="16.5" hidden="1">
      <c r="E15769" s="4" t="str">
        <v/>
      </c>
      <c r="F15769" s="102" t="str">
        <f ca="1">IFERROR(__xludf.DUMMYFUNCTION("IMPORTRANGE(H15769,""IDENTITAS UNIT!D9"")"),"#N/A")</f>
        <v>#N/A</v>
      </c>
      <c r="H15769" s="4" t="str">
        <v/>
      </c>
      <c r="I15769" s="4" t="str">
        <v/>
      </c>
    </row>
    <row r="15770" spans="5:9" ht="16.5" hidden="1">
      <c r="E15770" s="4" t="str">
        <v/>
      </c>
      <c r="F15770" s="102" t="str">
        <f ca="1">IFERROR(__xludf.DUMMYFUNCTION("IMPORTRANGE(H15770,""IDENTITAS UNIT!D9"")"),"#N/A")</f>
        <v>#N/A</v>
      </c>
      <c r="H15770" s="4" t="str">
        <v/>
      </c>
      <c r="I15770" s="4" t="str">
        <v/>
      </c>
    </row>
    <row r="15771" spans="5:9" ht="16.5" hidden="1">
      <c r="E15771" s="4" t="str">
        <v/>
      </c>
      <c r="F15771" s="102" t="str">
        <f ca="1">IFERROR(__xludf.DUMMYFUNCTION("IMPORTRANGE(H15771,""IDENTITAS UNIT!D9"")"),"#N/A")</f>
        <v>#N/A</v>
      </c>
      <c r="H15771" s="4" t="str">
        <v/>
      </c>
      <c r="I15771" s="4" t="str">
        <v/>
      </c>
    </row>
    <row r="15772" spans="5:9" ht="16.5" hidden="1">
      <c r="E15772" s="4" t="str">
        <v/>
      </c>
      <c r="F15772" s="102" t="str">
        <f ca="1">IFERROR(__xludf.DUMMYFUNCTION("IMPORTRANGE(H15772,""IDENTITAS UNIT!D9"")"),"#N/A")</f>
        <v>#N/A</v>
      </c>
      <c r="H15772" s="4" t="str">
        <v/>
      </c>
      <c r="I15772" s="4" t="str">
        <v/>
      </c>
    </row>
    <row r="15773" spans="5:9" ht="16.5" hidden="1">
      <c r="E15773" s="4" t="str">
        <v/>
      </c>
      <c r="F15773" s="102" t="str">
        <f ca="1">IFERROR(__xludf.DUMMYFUNCTION("IMPORTRANGE(H15773,""IDENTITAS UNIT!D9"")"),"#N/A")</f>
        <v>#N/A</v>
      </c>
      <c r="H15773" s="4" t="str">
        <v/>
      </c>
      <c r="I15773" s="4" t="str">
        <v/>
      </c>
    </row>
    <row r="15774" spans="5:9" ht="16.5" hidden="1">
      <c r="E15774" s="4" t="str">
        <v/>
      </c>
      <c r="F15774" s="102" t="str">
        <f ca="1">IFERROR(__xludf.DUMMYFUNCTION("IMPORTRANGE(H15774,""IDENTITAS UNIT!D9"")"),"#N/A")</f>
        <v>#N/A</v>
      </c>
      <c r="H15774" s="4" t="str">
        <v/>
      </c>
      <c r="I15774" s="4" t="str">
        <v/>
      </c>
    </row>
    <row r="15775" spans="5:9" ht="16.5" hidden="1">
      <c r="E15775" s="4" t="str">
        <v/>
      </c>
      <c r="F15775" s="102" t="str">
        <f ca="1">IFERROR(__xludf.DUMMYFUNCTION("IMPORTRANGE(H15775,""IDENTITAS UNIT!D9"")"),"#N/A")</f>
        <v>#N/A</v>
      </c>
      <c r="H15775" s="4" t="str">
        <v/>
      </c>
      <c r="I15775" s="4" t="str">
        <v/>
      </c>
    </row>
    <row r="15776" spans="5:9" ht="16.5" hidden="1">
      <c r="E15776" s="4" t="str">
        <v/>
      </c>
      <c r="F15776" s="102" t="str">
        <f ca="1">IFERROR(__xludf.DUMMYFUNCTION("IMPORTRANGE(H15776,""IDENTITAS UNIT!D9"")"),"#N/A")</f>
        <v>#N/A</v>
      </c>
      <c r="H15776" s="4" t="str">
        <v/>
      </c>
      <c r="I15776" s="4" t="str">
        <v/>
      </c>
    </row>
    <row r="15777" spans="5:9" ht="16.5" hidden="1">
      <c r="E15777" s="4" t="str">
        <v/>
      </c>
      <c r="F15777" s="102" t="str">
        <f ca="1">IFERROR(__xludf.DUMMYFUNCTION("IMPORTRANGE(H15777,""IDENTITAS UNIT!D9"")"),"#N/A")</f>
        <v>#N/A</v>
      </c>
      <c r="H15777" s="4" t="str">
        <v/>
      </c>
      <c r="I15777" s="4" t="str">
        <v/>
      </c>
    </row>
    <row r="15778" spans="5:9" ht="16.5" hidden="1">
      <c r="E15778" s="4" t="str">
        <v/>
      </c>
      <c r="F15778" s="102" t="str">
        <f ca="1">IFERROR(__xludf.DUMMYFUNCTION("IMPORTRANGE(H15778,""IDENTITAS UNIT!D9"")"),"#N/A")</f>
        <v>#N/A</v>
      </c>
      <c r="H15778" s="4" t="str">
        <v/>
      </c>
      <c r="I15778" s="4" t="str">
        <v/>
      </c>
    </row>
    <row r="15779" spans="5:9" ht="16.5" hidden="1">
      <c r="E15779" s="4" t="str">
        <v/>
      </c>
      <c r="F15779" s="102" t="str">
        <f ca="1">IFERROR(__xludf.DUMMYFUNCTION("IMPORTRANGE(H15779,""IDENTITAS UNIT!D9"")"),"#N/A")</f>
        <v>#N/A</v>
      </c>
      <c r="H15779" s="4" t="str">
        <v/>
      </c>
      <c r="I15779" s="4" t="str">
        <v/>
      </c>
    </row>
    <row r="15780" spans="5:9" ht="16.5" hidden="1">
      <c r="E15780" s="4" t="str">
        <v/>
      </c>
      <c r="F15780" s="102" t="str">
        <f ca="1">IFERROR(__xludf.DUMMYFUNCTION("IMPORTRANGE(H15780,""IDENTITAS UNIT!D9"")"),"#N/A")</f>
        <v>#N/A</v>
      </c>
      <c r="H15780" s="4" t="str">
        <v/>
      </c>
      <c r="I15780" s="4" t="str">
        <v/>
      </c>
    </row>
    <row r="15781" spans="5:9" ht="16.5" hidden="1">
      <c r="E15781" s="4" t="str">
        <v/>
      </c>
      <c r="F15781" s="102" t="str">
        <f ca="1">IFERROR(__xludf.DUMMYFUNCTION("IMPORTRANGE(H15781,""IDENTITAS UNIT!D9"")"),"#N/A")</f>
        <v>#N/A</v>
      </c>
      <c r="H15781" s="4" t="str">
        <v/>
      </c>
      <c r="I15781" s="4" t="str">
        <v/>
      </c>
    </row>
    <row r="15782" spans="5:9" ht="16.5" hidden="1">
      <c r="E15782" s="4" t="str">
        <v/>
      </c>
      <c r="F15782" s="102" t="str">
        <f ca="1">IFERROR(__xludf.DUMMYFUNCTION("IMPORTRANGE(H15782,""IDENTITAS UNIT!D9"")"),"#N/A")</f>
        <v>#N/A</v>
      </c>
      <c r="H15782" s="4" t="str">
        <v/>
      </c>
      <c r="I15782" s="4" t="str">
        <v/>
      </c>
    </row>
    <row r="15783" spans="5:9" ht="16.5" hidden="1">
      <c r="E15783" s="4" t="str">
        <v/>
      </c>
      <c r="F15783" s="102" t="str">
        <f ca="1">IFERROR(__xludf.DUMMYFUNCTION("IMPORTRANGE(H15783,""IDENTITAS UNIT!D9"")"),"#N/A")</f>
        <v>#N/A</v>
      </c>
      <c r="H15783" s="4" t="str">
        <v/>
      </c>
      <c r="I15783" s="4" t="str">
        <v/>
      </c>
    </row>
    <row r="15784" spans="5:9" ht="16.5" hidden="1">
      <c r="E15784" s="4" t="str">
        <v/>
      </c>
      <c r="F15784" s="102" t="str">
        <f ca="1">IFERROR(__xludf.DUMMYFUNCTION("IMPORTRANGE(H15784,""IDENTITAS UNIT!D9"")"),"#N/A")</f>
        <v>#N/A</v>
      </c>
      <c r="H15784" s="4" t="str">
        <v/>
      </c>
      <c r="I15784" s="4" t="str">
        <v/>
      </c>
    </row>
    <row r="15785" spans="5:9" ht="16.5" hidden="1">
      <c r="E15785" s="4" t="str">
        <v/>
      </c>
      <c r="F15785" s="102" t="str">
        <f ca="1">IFERROR(__xludf.DUMMYFUNCTION("IMPORTRANGE(H15785,""IDENTITAS UNIT!D9"")"),"#N/A")</f>
        <v>#N/A</v>
      </c>
      <c r="H15785" s="4" t="str">
        <v/>
      </c>
      <c r="I15785" s="4" t="str">
        <v/>
      </c>
    </row>
    <row r="15786" spans="5:9" ht="16.5" hidden="1">
      <c r="E15786" s="4" t="str">
        <v/>
      </c>
      <c r="F15786" s="102" t="str">
        <f ca="1">IFERROR(__xludf.DUMMYFUNCTION("IMPORTRANGE(H15786,""IDENTITAS UNIT!D9"")"),"#N/A")</f>
        <v>#N/A</v>
      </c>
      <c r="H15786" s="4" t="str">
        <v/>
      </c>
      <c r="I15786" s="4" t="str">
        <v/>
      </c>
    </row>
    <row r="15787" spans="5:9" ht="16.5" hidden="1">
      <c r="E15787" s="4" t="str">
        <v/>
      </c>
      <c r="F15787" s="102" t="str">
        <f ca="1">IFERROR(__xludf.DUMMYFUNCTION("IMPORTRANGE(H15787,""IDENTITAS UNIT!D9"")"),"#N/A")</f>
        <v>#N/A</v>
      </c>
      <c r="H15787" s="4" t="str">
        <v/>
      </c>
      <c r="I15787" s="4" t="str">
        <v/>
      </c>
    </row>
    <row r="15788" spans="5:9" ht="16.5" hidden="1">
      <c r="E15788" s="4" t="str">
        <v/>
      </c>
      <c r="F15788" s="102" t="str">
        <f ca="1">IFERROR(__xludf.DUMMYFUNCTION("IMPORTRANGE(H15788,""IDENTITAS UNIT!D9"")"),"#N/A")</f>
        <v>#N/A</v>
      </c>
      <c r="H15788" s="4" t="str">
        <v/>
      </c>
      <c r="I15788" s="4" t="str">
        <v/>
      </c>
    </row>
    <row r="15789" spans="5:9" ht="16.5" hidden="1">
      <c r="E15789" s="4" t="str">
        <v/>
      </c>
      <c r="F15789" s="102" t="str">
        <f ca="1">IFERROR(__xludf.DUMMYFUNCTION("IMPORTRANGE(H15789,""IDENTITAS UNIT!D9"")"),"#N/A")</f>
        <v>#N/A</v>
      </c>
      <c r="H15789" s="4" t="str">
        <v/>
      </c>
      <c r="I15789" s="4" t="str">
        <v/>
      </c>
    </row>
    <row r="15790" spans="5:9" ht="16.5" hidden="1">
      <c r="E15790" s="4" t="str">
        <v/>
      </c>
      <c r="F15790" s="102" t="str">
        <f ca="1">IFERROR(__xludf.DUMMYFUNCTION("IMPORTRANGE(H15790,""IDENTITAS UNIT!D9"")"),"#N/A")</f>
        <v>#N/A</v>
      </c>
      <c r="H15790" s="4" t="str">
        <v/>
      </c>
      <c r="I15790" s="4" t="str">
        <v/>
      </c>
    </row>
    <row r="15791" spans="5:9" ht="16.5" hidden="1">
      <c r="E15791" s="4" t="str">
        <v/>
      </c>
      <c r="F15791" s="102" t="str">
        <f ca="1">IFERROR(__xludf.DUMMYFUNCTION("IMPORTRANGE(H15791,""IDENTITAS UNIT!D9"")"),"#N/A")</f>
        <v>#N/A</v>
      </c>
      <c r="H15791" s="4" t="str">
        <v/>
      </c>
      <c r="I15791" s="4" t="str">
        <v/>
      </c>
    </row>
    <row r="15792" spans="5:9" ht="16.5" hidden="1">
      <c r="E15792" s="4" t="str">
        <v/>
      </c>
      <c r="F15792" s="102" t="str">
        <f ca="1">IFERROR(__xludf.DUMMYFUNCTION("IMPORTRANGE(H15792,""IDENTITAS UNIT!D9"")"),"#N/A")</f>
        <v>#N/A</v>
      </c>
      <c r="H15792" s="4" t="str">
        <v/>
      </c>
      <c r="I15792" s="4" t="str">
        <v/>
      </c>
    </row>
    <row r="15793" spans="5:9" ht="16.5" hidden="1">
      <c r="E15793" s="4" t="str">
        <v/>
      </c>
      <c r="F15793" s="102" t="str">
        <f ca="1">IFERROR(__xludf.DUMMYFUNCTION("IMPORTRANGE(H15793,""IDENTITAS UNIT!D9"")"),"#N/A")</f>
        <v>#N/A</v>
      </c>
      <c r="H15793" s="4" t="str">
        <v/>
      </c>
      <c r="I15793" s="4" t="str">
        <v/>
      </c>
    </row>
    <row r="15794" spans="5:9" ht="16.5" hidden="1">
      <c r="E15794" s="4" t="str">
        <v/>
      </c>
      <c r="F15794" s="102" t="str">
        <f ca="1">IFERROR(__xludf.DUMMYFUNCTION("IMPORTRANGE(H15794,""IDENTITAS UNIT!D9"")"),"#N/A")</f>
        <v>#N/A</v>
      </c>
      <c r="H15794" s="4" t="str">
        <v/>
      </c>
      <c r="I15794" s="4" t="str">
        <v/>
      </c>
    </row>
    <row r="15795" spans="5:9" ht="16.5" hidden="1">
      <c r="E15795" s="4" t="str">
        <v/>
      </c>
      <c r="F15795" s="102" t="str">
        <f ca="1">IFERROR(__xludf.DUMMYFUNCTION("IMPORTRANGE(H15795,""IDENTITAS UNIT!D9"")"),"#N/A")</f>
        <v>#N/A</v>
      </c>
      <c r="H15795" s="4" t="str">
        <v/>
      </c>
      <c r="I15795" s="4" t="str">
        <v/>
      </c>
    </row>
    <row r="15796" spans="5:9" ht="16.5" hidden="1">
      <c r="E15796" s="4" t="str">
        <v/>
      </c>
      <c r="F15796" s="102" t="str">
        <f ca="1">IFERROR(__xludf.DUMMYFUNCTION("IMPORTRANGE(H15796,""IDENTITAS UNIT!D9"")"),"#N/A")</f>
        <v>#N/A</v>
      </c>
      <c r="H15796" s="4" t="str">
        <v/>
      </c>
      <c r="I15796" s="4" t="str">
        <v/>
      </c>
    </row>
    <row r="15797" spans="5:9" ht="16.5" hidden="1">
      <c r="E15797" s="4" t="str">
        <v/>
      </c>
      <c r="F15797" s="102" t="str">
        <f ca="1">IFERROR(__xludf.DUMMYFUNCTION("IMPORTRANGE(H15797,""IDENTITAS UNIT!D9"")"),"#N/A")</f>
        <v>#N/A</v>
      </c>
      <c r="H15797" s="4" t="str">
        <v/>
      </c>
      <c r="I15797" s="4" t="str">
        <v/>
      </c>
    </row>
    <row r="15798" spans="5:9" ht="16.5" hidden="1">
      <c r="E15798" s="4" t="str">
        <v/>
      </c>
      <c r="F15798" s="102" t="str">
        <f ca="1">IFERROR(__xludf.DUMMYFUNCTION("IMPORTRANGE(H15798,""IDENTITAS UNIT!D9"")"),"#N/A")</f>
        <v>#N/A</v>
      </c>
      <c r="H15798" s="4" t="str">
        <v/>
      </c>
      <c r="I15798" s="4" t="str">
        <v/>
      </c>
    </row>
    <row r="15799" spans="5:9" ht="16.5" hidden="1">
      <c r="E15799" s="4" t="str">
        <v/>
      </c>
      <c r="F15799" s="102" t="str">
        <f ca="1">IFERROR(__xludf.DUMMYFUNCTION("IMPORTRANGE(H15799,""IDENTITAS UNIT!D9"")"),"#N/A")</f>
        <v>#N/A</v>
      </c>
      <c r="H15799" s="4" t="str">
        <v/>
      </c>
      <c r="I15799" s="4" t="str">
        <v/>
      </c>
    </row>
    <row r="15800" spans="5:9" ht="16.5" hidden="1">
      <c r="E15800" s="4" t="str">
        <v/>
      </c>
      <c r="F15800" s="102" t="str">
        <f ca="1">IFERROR(__xludf.DUMMYFUNCTION("IMPORTRANGE(H15800,""IDENTITAS UNIT!D9"")"),"#N/A")</f>
        <v>#N/A</v>
      </c>
      <c r="H15800" s="4" t="str">
        <v/>
      </c>
      <c r="I15800" s="4" t="str">
        <v/>
      </c>
    </row>
    <row r="15801" spans="5:9" ht="16.5" hidden="1">
      <c r="E15801" s="4" t="str">
        <v/>
      </c>
      <c r="F15801" s="102" t="str">
        <f ca="1">IFERROR(__xludf.DUMMYFUNCTION("IMPORTRANGE(H15801,""IDENTITAS UNIT!D9"")"),"#N/A")</f>
        <v>#N/A</v>
      </c>
      <c r="H15801" s="4" t="str">
        <v/>
      </c>
      <c r="I15801" s="4" t="str">
        <v/>
      </c>
    </row>
    <row r="15802" spans="5:9" ht="16.5" hidden="1">
      <c r="E15802" s="4" t="str">
        <v/>
      </c>
      <c r="F15802" s="102" t="str">
        <f ca="1">IFERROR(__xludf.DUMMYFUNCTION("IMPORTRANGE(H15802,""IDENTITAS UNIT!D9"")"),"#N/A")</f>
        <v>#N/A</v>
      </c>
      <c r="H15802" s="4" t="str">
        <v/>
      </c>
      <c r="I15802" s="4" t="str">
        <v/>
      </c>
    </row>
    <row r="15803" spans="5:9" ht="16.5" hidden="1">
      <c r="E15803" s="4" t="str">
        <v/>
      </c>
      <c r="F15803" s="102" t="str">
        <f ca="1">IFERROR(__xludf.DUMMYFUNCTION("IMPORTRANGE(H15803,""IDENTITAS UNIT!D9"")"),"#N/A")</f>
        <v>#N/A</v>
      </c>
      <c r="H15803" s="4" t="str">
        <v/>
      </c>
      <c r="I15803" s="4" t="str">
        <v/>
      </c>
    </row>
    <row r="15804" spans="5:9" ht="16.5" hidden="1">
      <c r="E15804" s="4" t="str">
        <v/>
      </c>
      <c r="F15804" s="102" t="str">
        <f ca="1">IFERROR(__xludf.DUMMYFUNCTION("IMPORTRANGE(H15804,""IDENTITAS UNIT!D9"")"),"#N/A")</f>
        <v>#N/A</v>
      </c>
      <c r="H15804" s="4" t="str">
        <v/>
      </c>
      <c r="I15804" s="4" t="str">
        <v/>
      </c>
    </row>
    <row r="15805" spans="5:9" ht="16.5" hidden="1">
      <c r="E15805" s="4" t="str">
        <v/>
      </c>
      <c r="F15805" s="102" t="str">
        <f ca="1">IFERROR(__xludf.DUMMYFUNCTION("IMPORTRANGE(H15805,""IDENTITAS UNIT!D9"")"),"#N/A")</f>
        <v>#N/A</v>
      </c>
      <c r="H15805" s="4" t="str">
        <v/>
      </c>
      <c r="I15805" s="4" t="str">
        <v/>
      </c>
    </row>
    <row r="15806" spans="5:9" ht="16.5" hidden="1">
      <c r="E15806" s="4" t="str">
        <v/>
      </c>
      <c r="F15806" s="102" t="str">
        <f ca="1">IFERROR(__xludf.DUMMYFUNCTION("IMPORTRANGE(H15806,""IDENTITAS UNIT!D9"")"),"#N/A")</f>
        <v>#N/A</v>
      </c>
      <c r="H15806" s="4" t="str">
        <v/>
      </c>
      <c r="I15806" s="4" t="str">
        <v/>
      </c>
    </row>
    <row r="15807" spans="5:9" ht="16.5" hidden="1">
      <c r="E15807" s="4" t="str">
        <v/>
      </c>
      <c r="F15807" s="102" t="str">
        <f ca="1">IFERROR(__xludf.DUMMYFUNCTION("IMPORTRANGE(H15807,""IDENTITAS UNIT!D9"")"),"#N/A")</f>
        <v>#N/A</v>
      </c>
      <c r="H15807" s="4" t="str">
        <v/>
      </c>
      <c r="I15807" s="4" t="str">
        <v/>
      </c>
    </row>
    <row r="15808" spans="5:9" ht="16.5" hidden="1">
      <c r="E15808" s="4" t="str">
        <v/>
      </c>
      <c r="F15808" s="102" t="str">
        <f ca="1">IFERROR(__xludf.DUMMYFUNCTION("IMPORTRANGE(H15808,""IDENTITAS UNIT!D9"")"),"#N/A")</f>
        <v>#N/A</v>
      </c>
      <c r="H15808" s="4" t="str">
        <v/>
      </c>
      <c r="I15808" s="4" t="str">
        <v/>
      </c>
    </row>
    <row r="15809" spans="5:9" ht="16.5" hidden="1">
      <c r="E15809" s="4" t="str">
        <v/>
      </c>
      <c r="F15809" s="102" t="str">
        <f ca="1">IFERROR(__xludf.DUMMYFUNCTION("IMPORTRANGE(H15809,""IDENTITAS UNIT!D9"")"),"#N/A")</f>
        <v>#N/A</v>
      </c>
      <c r="H15809" s="4" t="str">
        <v/>
      </c>
      <c r="I15809" s="4" t="str">
        <v/>
      </c>
    </row>
    <row r="15810" spans="5:9" ht="16.5" hidden="1">
      <c r="E15810" s="4" t="str">
        <v/>
      </c>
      <c r="F15810" s="102" t="str">
        <f ca="1">IFERROR(__xludf.DUMMYFUNCTION("IMPORTRANGE(H15810,""IDENTITAS UNIT!D9"")"),"#N/A")</f>
        <v>#N/A</v>
      </c>
      <c r="H15810" s="4" t="str">
        <v/>
      </c>
      <c r="I15810" s="4" t="str">
        <v/>
      </c>
    </row>
    <row r="15811" spans="5:9" ht="16.5" hidden="1">
      <c r="E15811" s="4" t="str">
        <v/>
      </c>
      <c r="F15811" s="102" t="str">
        <f ca="1">IFERROR(__xludf.DUMMYFUNCTION("IMPORTRANGE(H15811,""IDENTITAS UNIT!D9"")"),"#N/A")</f>
        <v>#N/A</v>
      </c>
      <c r="H15811" s="4" t="str">
        <v/>
      </c>
      <c r="I15811" s="4" t="str">
        <v/>
      </c>
    </row>
    <row r="15812" spans="5:9" ht="16.5" hidden="1">
      <c r="E15812" s="4" t="str">
        <v/>
      </c>
      <c r="F15812" s="102" t="str">
        <f ca="1">IFERROR(__xludf.DUMMYFUNCTION("IMPORTRANGE(H15812,""IDENTITAS UNIT!D9"")"),"#N/A")</f>
        <v>#N/A</v>
      </c>
      <c r="H15812" s="4" t="str">
        <v/>
      </c>
      <c r="I15812" s="4" t="str">
        <v/>
      </c>
    </row>
    <row r="15813" spans="5:9" ht="16.5" hidden="1">
      <c r="E15813" s="4" t="str">
        <v/>
      </c>
      <c r="F15813" s="102" t="str">
        <f ca="1">IFERROR(__xludf.DUMMYFUNCTION("IMPORTRANGE(H15813,""IDENTITAS UNIT!D9"")"),"#N/A")</f>
        <v>#N/A</v>
      </c>
      <c r="H15813" s="4" t="str">
        <v/>
      </c>
      <c r="I15813" s="4" t="str">
        <v/>
      </c>
    </row>
    <row r="15814" spans="5:9" ht="16.5" hidden="1">
      <c r="E15814" s="4" t="str">
        <v/>
      </c>
      <c r="F15814" s="102" t="str">
        <f ca="1">IFERROR(__xludf.DUMMYFUNCTION("IMPORTRANGE(H15814,""IDENTITAS UNIT!D9"")"),"#N/A")</f>
        <v>#N/A</v>
      </c>
      <c r="H15814" s="4" t="str">
        <v/>
      </c>
      <c r="I15814" s="4" t="str">
        <v/>
      </c>
    </row>
    <row r="15815" spans="5:9" ht="16.5" hidden="1">
      <c r="E15815" s="4" t="str">
        <v/>
      </c>
      <c r="F15815" s="102" t="str">
        <f ca="1">IFERROR(__xludf.DUMMYFUNCTION("IMPORTRANGE(H15815,""IDENTITAS UNIT!D9"")"),"#N/A")</f>
        <v>#N/A</v>
      </c>
      <c r="H15815" s="4" t="str">
        <v/>
      </c>
      <c r="I15815" s="4" t="str">
        <v/>
      </c>
    </row>
    <row r="15816" spans="5:9" ht="16.5" hidden="1">
      <c r="E15816" s="4" t="str">
        <v/>
      </c>
      <c r="F15816" s="102" t="str">
        <f ca="1">IFERROR(__xludf.DUMMYFUNCTION("IMPORTRANGE(H15816,""IDENTITAS UNIT!D9"")"),"#N/A")</f>
        <v>#N/A</v>
      </c>
      <c r="H15816" s="4" t="str">
        <v/>
      </c>
      <c r="I15816" s="4" t="str">
        <v/>
      </c>
    </row>
    <row r="15817" spans="5:9" ht="16.5" hidden="1">
      <c r="E15817" s="4" t="str">
        <v/>
      </c>
      <c r="F15817" s="102" t="str">
        <f ca="1">IFERROR(__xludf.DUMMYFUNCTION("IMPORTRANGE(H15817,""IDENTITAS UNIT!D9"")"),"#N/A")</f>
        <v>#N/A</v>
      </c>
      <c r="H15817" s="4" t="str">
        <v/>
      </c>
      <c r="I15817" s="4" t="str">
        <v/>
      </c>
    </row>
    <row r="15818" spans="5:9" ht="16.5" hidden="1">
      <c r="E15818" s="4" t="str">
        <v/>
      </c>
      <c r="F15818" s="102" t="str">
        <f ca="1">IFERROR(__xludf.DUMMYFUNCTION("IMPORTRANGE(H15818,""IDENTITAS UNIT!D9"")"),"#N/A")</f>
        <v>#N/A</v>
      </c>
      <c r="H15818" s="4" t="str">
        <v/>
      </c>
      <c r="I15818" s="4" t="str">
        <v/>
      </c>
    </row>
    <row r="15819" spans="5:9" ht="16.5" hidden="1">
      <c r="E15819" s="4" t="str">
        <v/>
      </c>
      <c r="F15819" s="102" t="str">
        <f ca="1">IFERROR(__xludf.DUMMYFUNCTION("IMPORTRANGE(H15819,""IDENTITAS UNIT!D9"")"),"#N/A")</f>
        <v>#N/A</v>
      </c>
      <c r="H15819" s="4" t="str">
        <v/>
      </c>
      <c r="I15819" s="4" t="str">
        <v/>
      </c>
    </row>
    <row r="15820" spans="5:9" ht="16.5" hidden="1">
      <c r="E15820" s="4" t="str">
        <v/>
      </c>
      <c r="F15820" s="102" t="str">
        <f ca="1">IFERROR(__xludf.DUMMYFUNCTION("IMPORTRANGE(H15820,""IDENTITAS UNIT!D9"")"),"#N/A")</f>
        <v>#N/A</v>
      </c>
      <c r="H15820" s="4" t="str">
        <v/>
      </c>
      <c r="I15820" s="4" t="str">
        <v/>
      </c>
    </row>
    <row r="15821" spans="5:9" ht="16.5" hidden="1">
      <c r="E15821" s="4" t="str">
        <v/>
      </c>
      <c r="F15821" s="102" t="str">
        <f ca="1">IFERROR(__xludf.DUMMYFUNCTION("IMPORTRANGE(H15821,""IDENTITAS UNIT!D9"")"),"#N/A")</f>
        <v>#N/A</v>
      </c>
      <c r="H15821" s="4" t="str">
        <v/>
      </c>
      <c r="I15821" s="4" t="str">
        <v/>
      </c>
    </row>
    <row r="15822" spans="5:9" ht="16.5" hidden="1">
      <c r="E15822" s="4" t="str">
        <v/>
      </c>
      <c r="F15822" s="102" t="str">
        <f ca="1">IFERROR(__xludf.DUMMYFUNCTION("IMPORTRANGE(H15822,""IDENTITAS UNIT!D9"")"),"#N/A")</f>
        <v>#N/A</v>
      </c>
      <c r="H15822" s="4" t="str">
        <v/>
      </c>
      <c r="I15822" s="4" t="str">
        <v/>
      </c>
    </row>
    <row r="15823" spans="5:9" ht="16.5" hidden="1">
      <c r="E15823" s="4" t="str">
        <v/>
      </c>
      <c r="F15823" s="102" t="str">
        <f ca="1">IFERROR(__xludf.DUMMYFUNCTION("IMPORTRANGE(H15823,""IDENTITAS UNIT!D9"")"),"#N/A")</f>
        <v>#N/A</v>
      </c>
      <c r="H15823" s="4" t="str">
        <v/>
      </c>
      <c r="I15823" s="4" t="str">
        <v/>
      </c>
    </row>
    <row r="15824" spans="5:9" ht="16.5" hidden="1">
      <c r="E15824" s="4" t="str">
        <v/>
      </c>
      <c r="F15824" s="102" t="str">
        <f ca="1">IFERROR(__xludf.DUMMYFUNCTION("IMPORTRANGE(H15824,""IDENTITAS UNIT!D9"")"),"#N/A")</f>
        <v>#N/A</v>
      </c>
      <c r="H15824" s="4" t="str">
        <v/>
      </c>
      <c r="I15824" s="4" t="str">
        <v/>
      </c>
    </row>
    <row r="15825" spans="5:9" ht="16.5" hidden="1">
      <c r="E15825" s="4" t="str">
        <v/>
      </c>
      <c r="F15825" s="102" t="str">
        <f ca="1">IFERROR(__xludf.DUMMYFUNCTION("IMPORTRANGE(H15825,""IDENTITAS UNIT!D9"")"),"#N/A")</f>
        <v>#N/A</v>
      </c>
      <c r="H15825" s="4" t="str">
        <v/>
      </c>
      <c r="I15825" s="4" t="str">
        <v/>
      </c>
    </row>
    <row r="15826" spans="5:9" ht="16.5" hidden="1">
      <c r="E15826" s="4" t="str">
        <v/>
      </c>
      <c r="F15826" s="102" t="str">
        <f ca="1">IFERROR(__xludf.DUMMYFUNCTION("IMPORTRANGE(H15826,""IDENTITAS UNIT!D9"")"),"#N/A")</f>
        <v>#N/A</v>
      </c>
      <c r="H15826" s="4" t="str">
        <v/>
      </c>
      <c r="I15826" s="4" t="str">
        <v/>
      </c>
    </row>
    <row r="15827" spans="5:9" ht="16.5" hidden="1">
      <c r="E15827" s="4" t="str">
        <v/>
      </c>
      <c r="F15827" s="102" t="str">
        <f ca="1">IFERROR(__xludf.DUMMYFUNCTION("IMPORTRANGE(H15827,""IDENTITAS UNIT!D9"")"),"#N/A")</f>
        <v>#N/A</v>
      </c>
      <c r="H15827" s="4" t="str">
        <v/>
      </c>
      <c r="I15827" s="4" t="str">
        <v/>
      </c>
    </row>
    <row r="15828" spans="5:9" ht="16.5" hidden="1">
      <c r="E15828" s="4" t="str">
        <v/>
      </c>
      <c r="F15828" s="102" t="str">
        <f ca="1">IFERROR(__xludf.DUMMYFUNCTION("IMPORTRANGE(H15828,""IDENTITAS UNIT!D9"")"),"#N/A")</f>
        <v>#N/A</v>
      </c>
      <c r="H15828" s="4" t="str">
        <v/>
      </c>
      <c r="I15828" s="4" t="str">
        <v/>
      </c>
    </row>
    <row r="15829" spans="5:9" ht="16.5" hidden="1">
      <c r="E15829" s="4" t="str">
        <v/>
      </c>
      <c r="F15829" s="102" t="str">
        <f ca="1">IFERROR(__xludf.DUMMYFUNCTION("IMPORTRANGE(H15829,""IDENTITAS UNIT!D9"")"),"#N/A")</f>
        <v>#N/A</v>
      </c>
      <c r="H15829" s="4" t="str">
        <v/>
      </c>
      <c r="I15829" s="4" t="str">
        <v/>
      </c>
    </row>
    <row r="15830" spans="5:9" ht="16.5" hidden="1">
      <c r="E15830" s="4" t="str">
        <v/>
      </c>
      <c r="F15830" s="102" t="str">
        <f ca="1">IFERROR(__xludf.DUMMYFUNCTION("IMPORTRANGE(H15830,""IDENTITAS UNIT!D9"")"),"#N/A")</f>
        <v>#N/A</v>
      </c>
      <c r="H15830" s="4" t="str">
        <v/>
      </c>
      <c r="I15830" s="4" t="str">
        <v/>
      </c>
    </row>
    <row r="15831" spans="5:9" ht="16.5" hidden="1">
      <c r="E15831" s="4" t="str">
        <v/>
      </c>
      <c r="F15831" s="102" t="str">
        <f ca="1">IFERROR(__xludf.DUMMYFUNCTION("IMPORTRANGE(H15831,""IDENTITAS UNIT!D9"")"),"#N/A")</f>
        <v>#N/A</v>
      </c>
      <c r="H15831" s="4" t="str">
        <v/>
      </c>
      <c r="I15831" s="4" t="str">
        <v/>
      </c>
    </row>
    <row r="15832" spans="5:9" ht="16.5" hidden="1">
      <c r="E15832" s="4" t="str">
        <v/>
      </c>
      <c r="F15832" s="102" t="str">
        <f ca="1">IFERROR(__xludf.DUMMYFUNCTION("IMPORTRANGE(H15832,""IDENTITAS UNIT!D9"")"),"#N/A")</f>
        <v>#N/A</v>
      </c>
      <c r="H15832" s="4" t="str">
        <v/>
      </c>
      <c r="I15832" s="4" t="str">
        <v/>
      </c>
    </row>
    <row r="15833" spans="5:9" ht="16.5" hidden="1">
      <c r="E15833" s="4" t="str">
        <v/>
      </c>
      <c r="F15833" s="102" t="str">
        <f ca="1">IFERROR(__xludf.DUMMYFUNCTION("IMPORTRANGE(H15833,""IDENTITAS UNIT!D9"")"),"#N/A")</f>
        <v>#N/A</v>
      </c>
      <c r="H15833" s="4" t="str">
        <v/>
      </c>
      <c r="I15833" s="4" t="str">
        <v/>
      </c>
    </row>
    <row r="15834" spans="5:9" ht="16.5" hidden="1">
      <c r="E15834" s="4" t="str">
        <v/>
      </c>
      <c r="F15834" s="102" t="str">
        <f ca="1">IFERROR(__xludf.DUMMYFUNCTION("IMPORTRANGE(H15834,""IDENTITAS UNIT!D9"")"),"#N/A")</f>
        <v>#N/A</v>
      </c>
      <c r="H15834" s="4" t="str">
        <v/>
      </c>
      <c r="I15834" s="4" t="str">
        <v/>
      </c>
    </row>
    <row r="15835" spans="5:9" ht="16.5" hidden="1">
      <c r="E15835" s="4" t="str">
        <v/>
      </c>
      <c r="F15835" s="102" t="str">
        <f ca="1">IFERROR(__xludf.DUMMYFUNCTION("IMPORTRANGE(H15835,""IDENTITAS UNIT!D9"")"),"#N/A")</f>
        <v>#N/A</v>
      </c>
      <c r="H15835" s="4" t="str">
        <v/>
      </c>
      <c r="I15835" s="4" t="str">
        <v/>
      </c>
    </row>
    <row r="15836" spans="5:9" ht="16.5" hidden="1">
      <c r="E15836" s="4" t="str">
        <v/>
      </c>
      <c r="F15836" s="102" t="str">
        <f ca="1">IFERROR(__xludf.DUMMYFUNCTION("IMPORTRANGE(H15836,""IDENTITAS UNIT!D9"")"),"#N/A")</f>
        <v>#N/A</v>
      </c>
      <c r="H15836" s="4" t="str">
        <v/>
      </c>
      <c r="I15836" s="4" t="str">
        <v/>
      </c>
    </row>
    <row r="15837" spans="5:9" ht="16.5" hidden="1">
      <c r="E15837" s="4" t="str">
        <v/>
      </c>
      <c r="F15837" s="102" t="str">
        <f ca="1">IFERROR(__xludf.DUMMYFUNCTION("IMPORTRANGE(H15837,""IDENTITAS UNIT!D9"")"),"#N/A")</f>
        <v>#N/A</v>
      </c>
      <c r="H15837" s="4" t="str">
        <v/>
      </c>
      <c r="I15837" s="4" t="str">
        <v/>
      </c>
    </row>
    <row r="15838" spans="5:9" ht="16.5" hidden="1">
      <c r="E15838" s="4" t="str">
        <v/>
      </c>
      <c r="F15838" s="102" t="str">
        <f ca="1">IFERROR(__xludf.DUMMYFUNCTION("IMPORTRANGE(H15838,""IDENTITAS UNIT!D9"")"),"#N/A")</f>
        <v>#N/A</v>
      </c>
      <c r="H15838" s="4" t="str">
        <v/>
      </c>
      <c r="I15838" s="4" t="str">
        <v/>
      </c>
    </row>
    <row r="15839" spans="5:9" ht="16.5" hidden="1">
      <c r="E15839" s="4" t="str">
        <v/>
      </c>
      <c r="F15839" s="102" t="str">
        <f ca="1">IFERROR(__xludf.DUMMYFUNCTION("IMPORTRANGE(H15839,""IDENTITAS UNIT!D9"")"),"#N/A")</f>
        <v>#N/A</v>
      </c>
      <c r="H15839" s="4" t="str">
        <v/>
      </c>
      <c r="I15839" s="4" t="str">
        <v/>
      </c>
    </row>
    <row r="15840" spans="5:9" ht="16.5" hidden="1">
      <c r="E15840" s="4" t="str">
        <v/>
      </c>
      <c r="F15840" s="102" t="str">
        <f ca="1">IFERROR(__xludf.DUMMYFUNCTION("IMPORTRANGE(H15840,""IDENTITAS UNIT!D9"")"),"#N/A")</f>
        <v>#N/A</v>
      </c>
      <c r="H15840" s="4" t="str">
        <v/>
      </c>
      <c r="I15840" s="4" t="str">
        <v/>
      </c>
    </row>
    <row r="15841" spans="5:9" ht="16.5" hidden="1">
      <c r="E15841" s="4" t="str">
        <v/>
      </c>
      <c r="F15841" s="102" t="str">
        <f ca="1">IFERROR(__xludf.DUMMYFUNCTION("IMPORTRANGE(H15841,""IDENTITAS UNIT!D9"")"),"#N/A")</f>
        <v>#N/A</v>
      </c>
      <c r="H15841" s="4" t="str">
        <v/>
      </c>
      <c r="I15841" s="4" t="str">
        <v/>
      </c>
    </row>
    <row r="15842" spans="5:9" ht="16.5" hidden="1">
      <c r="E15842" s="4" t="str">
        <v/>
      </c>
      <c r="F15842" s="102" t="str">
        <f ca="1">IFERROR(__xludf.DUMMYFUNCTION("IMPORTRANGE(H15842,""IDENTITAS UNIT!D9"")"),"#N/A")</f>
        <v>#N/A</v>
      </c>
      <c r="H15842" s="4" t="str">
        <v/>
      </c>
      <c r="I15842" s="4" t="str">
        <v/>
      </c>
    </row>
    <row r="15843" spans="5:9" ht="16.5" hidden="1">
      <c r="E15843" s="4" t="str">
        <v/>
      </c>
      <c r="F15843" s="102" t="str">
        <f ca="1">IFERROR(__xludf.DUMMYFUNCTION("IMPORTRANGE(H15843,""IDENTITAS UNIT!D9"")"),"#N/A")</f>
        <v>#N/A</v>
      </c>
      <c r="H15843" s="4" t="str">
        <v/>
      </c>
      <c r="I15843" s="4" t="str">
        <v/>
      </c>
    </row>
    <row r="15844" spans="5:9" ht="16.5" hidden="1">
      <c r="E15844" s="4" t="str">
        <v/>
      </c>
      <c r="F15844" s="102" t="str">
        <f ca="1">IFERROR(__xludf.DUMMYFUNCTION("IMPORTRANGE(H15844,""IDENTITAS UNIT!D9"")"),"#N/A")</f>
        <v>#N/A</v>
      </c>
      <c r="H15844" s="4" t="str">
        <v/>
      </c>
      <c r="I15844" s="4" t="str">
        <v/>
      </c>
    </row>
    <row r="15845" spans="5:9" ht="16.5" hidden="1">
      <c r="E15845" s="4" t="str">
        <v/>
      </c>
      <c r="F15845" s="102" t="str">
        <f ca="1">IFERROR(__xludf.DUMMYFUNCTION("IMPORTRANGE(H15845,""IDENTITAS UNIT!D9"")"),"#N/A")</f>
        <v>#N/A</v>
      </c>
      <c r="H15845" s="4" t="str">
        <v/>
      </c>
      <c r="I15845" s="4" t="str">
        <v/>
      </c>
    </row>
    <row r="15846" spans="5:9" ht="16.5" hidden="1">
      <c r="E15846" s="4" t="str">
        <v/>
      </c>
      <c r="F15846" s="102" t="str">
        <f ca="1">IFERROR(__xludf.DUMMYFUNCTION("IMPORTRANGE(H15846,""IDENTITAS UNIT!D9"")"),"#N/A")</f>
        <v>#N/A</v>
      </c>
      <c r="H15846" s="4" t="str">
        <v/>
      </c>
      <c r="I15846" s="4" t="str">
        <v/>
      </c>
    </row>
    <row r="15847" spans="5:9" ht="16.5" hidden="1">
      <c r="E15847" s="4" t="str">
        <v/>
      </c>
      <c r="F15847" s="102" t="str">
        <f ca="1">IFERROR(__xludf.DUMMYFUNCTION("IMPORTRANGE(H15847,""IDENTITAS UNIT!D9"")"),"#N/A")</f>
        <v>#N/A</v>
      </c>
      <c r="H15847" s="4" t="str">
        <v/>
      </c>
      <c r="I15847" s="4" t="str">
        <v/>
      </c>
    </row>
    <row r="15848" spans="5:9" ht="16.5" hidden="1">
      <c r="E15848" s="4" t="str">
        <v/>
      </c>
      <c r="F15848" s="102" t="str">
        <f ca="1">IFERROR(__xludf.DUMMYFUNCTION("IMPORTRANGE(H15848,""IDENTITAS UNIT!D9"")"),"#N/A")</f>
        <v>#N/A</v>
      </c>
      <c r="H15848" s="4" t="str">
        <v/>
      </c>
      <c r="I15848" s="4" t="str">
        <v/>
      </c>
    </row>
    <row r="15849" spans="5:9" ht="16.5" hidden="1">
      <c r="E15849" s="4" t="str">
        <v/>
      </c>
      <c r="F15849" s="102" t="str">
        <f ca="1">IFERROR(__xludf.DUMMYFUNCTION("IMPORTRANGE(H15849,""IDENTITAS UNIT!D9"")"),"#N/A")</f>
        <v>#N/A</v>
      </c>
      <c r="H15849" s="4" t="str">
        <v/>
      </c>
      <c r="I15849" s="4" t="str">
        <v/>
      </c>
    </row>
    <row r="15850" spans="5:9" ht="16.5" hidden="1">
      <c r="E15850" s="4" t="str">
        <v/>
      </c>
      <c r="F15850" s="102" t="str">
        <f ca="1">IFERROR(__xludf.DUMMYFUNCTION("IMPORTRANGE(H15850,""IDENTITAS UNIT!D9"")"),"#N/A")</f>
        <v>#N/A</v>
      </c>
      <c r="H15850" s="4" t="str">
        <v/>
      </c>
      <c r="I15850" s="4" t="str">
        <v/>
      </c>
    </row>
    <row r="15851" spans="5:9" ht="16.5" hidden="1">
      <c r="E15851" s="4" t="str">
        <v/>
      </c>
      <c r="F15851" s="102" t="str">
        <f ca="1">IFERROR(__xludf.DUMMYFUNCTION("IMPORTRANGE(H15851,""IDENTITAS UNIT!D9"")"),"#N/A")</f>
        <v>#N/A</v>
      </c>
      <c r="H15851" s="4" t="str">
        <v/>
      </c>
      <c r="I15851" s="4" t="str">
        <v/>
      </c>
    </row>
    <row r="15852" spans="5:9" ht="16.5" hidden="1">
      <c r="E15852" s="4" t="str">
        <v/>
      </c>
      <c r="F15852" s="102" t="str">
        <f ca="1">IFERROR(__xludf.DUMMYFUNCTION("IMPORTRANGE(H15852,""IDENTITAS UNIT!D9"")"),"#N/A")</f>
        <v>#N/A</v>
      </c>
      <c r="H15852" s="4" t="str">
        <v/>
      </c>
      <c r="I15852" s="4" t="str">
        <v/>
      </c>
    </row>
    <row r="15853" spans="5:9" ht="16.5" hidden="1">
      <c r="E15853" s="4" t="str">
        <v/>
      </c>
      <c r="F15853" s="102" t="str">
        <f ca="1">IFERROR(__xludf.DUMMYFUNCTION("IMPORTRANGE(H15853,""IDENTITAS UNIT!D9"")"),"#N/A")</f>
        <v>#N/A</v>
      </c>
      <c r="H15853" s="4" t="str">
        <v/>
      </c>
      <c r="I15853" s="4" t="str">
        <v/>
      </c>
    </row>
    <row r="15854" spans="5:9" ht="16.5" hidden="1">
      <c r="E15854" s="4" t="str">
        <v/>
      </c>
      <c r="F15854" s="102" t="str">
        <f ca="1">IFERROR(__xludf.DUMMYFUNCTION("IMPORTRANGE(H15854,""IDENTITAS UNIT!D9"")"),"#N/A")</f>
        <v>#N/A</v>
      </c>
      <c r="H15854" s="4" t="str">
        <v/>
      </c>
      <c r="I15854" s="4" t="str">
        <v/>
      </c>
    </row>
    <row r="15855" spans="5:9" ht="16.5" hidden="1">
      <c r="E15855" s="4" t="str">
        <v/>
      </c>
      <c r="F15855" s="102" t="str">
        <f ca="1">IFERROR(__xludf.DUMMYFUNCTION("IMPORTRANGE(H15855,""IDENTITAS UNIT!D9"")"),"#N/A")</f>
        <v>#N/A</v>
      </c>
      <c r="H15855" s="4" t="str">
        <v/>
      </c>
      <c r="I15855" s="4" t="str">
        <v/>
      </c>
    </row>
    <row r="15856" spans="5:9" ht="16.5" hidden="1">
      <c r="E15856" s="4" t="str">
        <v/>
      </c>
      <c r="F15856" s="102" t="str">
        <f ca="1">IFERROR(__xludf.DUMMYFUNCTION("IMPORTRANGE(H15856,""IDENTITAS UNIT!D9"")"),"#N/A")</f>
        <v>#N/A</v>
      </c>
      <c r="H15856" s="4" t="str">
        <v/>
      </c>
      <c r="I15856" s="4" t="str">
        <v/>
      </c>
    </row>
    <row r="15857" spans="5:9" ht="16.5" hidden="1">
      <c r="E15857" s="4" t="str">
        <v/>
      </c>
      <c r="F15857" s="102" t="str">
        <f ca="1">IFERROR(__xludf.DUMMYFUNCTION("IMPORTRANGE(H15857,""IDENTITAS UNIT!D9"")"),"#N/A")</f>
        <v>#N/A</v>
      </c>
      <c r="H15857" s="4" t="str">
        <v/>
      </c>
      <c r="I15857" s="4" t="str">
        <v/>
      </c>
    </row>
    <row r="15858" spans="5:9" ht="16.5" hidden="1">
      <c r="E15858" s="4" t="str">
        <v/>
      </c>
      <c r="F15858" s="102" t="str">
        <f ca="1">IFERROR(__xludf.DUMMYFUNCTION("IMPORTRANGE(H15858,""IDENTITAS UNIT!D9"")"),"#N/A")</f>
        <v>#N/A</v>
      </c>
      <c r="H15858" s="4" t="str">
        <v/>
      </c>
      <c r="I15858" s="4" t="str">
        <v/>
      </c>
    </row>
    <row r="15859" spans="5:9" ht="16.5" hidden="1">
      <c r="E15859" s="4" t="str">
        <v/>
      </c>
      <c r="F15859" s="102" t="str">
        <f ca="1">IFERROR(__xludf.DUMMYFUNCTION("IMPORTRANGE(H15859,""IDENTITAS UNIT!D9"")"),"#N/A")</f>
        <v>#N/A</v>
      </c>
      <c r="H15859" s="4" t="str">
        <v/>
      </c>
      <c r="I15859" s="4" t="str">
        <v/>
      </c>
    </row>
    <row r="15860" spans="5:9" ht="16.5" hidden="1">
      <c r="E15860" s="4" t="str">
        <v/>
      </c>
      <c r="F15860" s="102" t="str">
        <f ca="1">IFERROR(__xludf.DUMMYFUNCTION("IMPORTRANGE(H15860,""IDENTITAS UNIT!D9"")"),"#N/A")</f>
        <v>#N/A</v>
      </c>
      <c r="H15860" s="4" t="str">
        <v/>
      </c>
      <c r="I15860" s="4" t="str">
        <v/>
      </c>
    </row>
    <row r="15861" spans="5:9" ht="16.5" hidden="1">
      <c r="E15861" s="4" t="str">
        <v/>
      </c>
      <c r="F15861" s="102" t="str">
        <f ca="1">IFERROR(__xludf.DUMMYFUNCTION("IMPORTRANGE(H15861,""IDENTITAS UNIT!D9"")"),"#N/A")</f>
        <v>#N/A</v>
      </c>
      <c r="H15861" s="4" t="str">
        <v/>
      </c>
      <c r="I15861" s="4" t="str">
        <v/>
      </c>
    </row>
    <row r="15862" spans="5:9" ht="16.5" hidden="1">
      <c r="E15862" s="4" t="str">
        <v/>
      </c>
      <c r="F15862" s="102" t="str">
        <f ca="1">IFERROR(__xludf.DUMMYFUNCTION("IMPORTRANGE(H15862,""IDENTITAS UNIT!D9"")"),"#N/A")</f>
        <v>#N/A</v>
      </c>
      <c r="H15862" s="4" t="str">
        <v/>
      </c>
      <c r="I15862" s="4" t="str">
        <v/>
      </c>
    </row>
    <row r="15863" spans="5:9" ht="16.5" hidden="1">
      <c r="E15863" s="4" t="str">
        <v/>
      </c>
      <c r="F15863" s="102" t="str">
        <f ca="1">IFERROR(__xludf.DUMMYFUNCTION("IMPORTRANGE(H15863,""IDENTITAS UNIT!D9"")"),"#N/A")</f>
        <v>#N/A</v>
      </c>
      <c r="H15863" s="4" t="str">
        <v/>
      </c>
      <c r="I15863" s="4" t="str">
        <v/>
      </c>
    </row>
    <row r="15864" spans="5:9" ht="16.5" hidden="1">
      <c r="E15864" s="4" t="str">
        <v/>
      </c>
      <c r="F15864" s="102" t="str">
        <f ca="1">IFERROR(__xludf.DUMMYFUNCTION("IMPORTRANGE(H15864,""IDENTITAS UNIT!D9"")"),"#N/A")</f>
        <v>#N/A</v>
      </c>
      <c r="H15864" s="4" t="str">
        <v/>
      </c>
      <c r="I15864" s="4" t="str">
        <v/>
      </c>
    </row>
    <row r="15865" spans="5:9" ht="16.5" hidden="1">
      <c r="E15865" s="4" t="str">
        <v/>
      </c>
      <c r="F15865" s="102" t="str">
        <f ca="1">IFERROR(__xludf.DUMMYFUNCTION("IMPORTRANGE(H15865,""IDENTITAS UNIT!D9"")"),"#N/A")</f>
        <v>#N/A</v>
      </c>
      <c r="H15865" s="4" t="str">
        <v/>
      </c>
      <c r="I15865" s="4" t="str">
        <v/>
      </c>
    </row>
    <row r="15866" spans="5:9" ht="16.5" hidden="1">
      <c r="E15866" s="4" t="str">
        <v/>
      </c>
      <c r="F15866" s="102" t="str">
        <f ca="1">IFERROR(__xludf.DUMMYFUNCTION("IMPORTRANGE(H15866,""IDENTITAS UNIT!D9"")"),"#N/A")</f>
        <v>#N/A</v>
      </c>
      <c r="H15866" s="4" t="str">
        <v/>
      </c>
      <c r="I15866" s="4" t="str">
        <v/>
      </c>
    </row>
    <row r="15867" spans="5:9" ht="16.5" hidden="1">
      <c r="E15867" s="4" t="str">
        <v/>
      </c>
      <c r="F15867" s="102" t="str">
        <f ca="1">IFERROR(__xludf.DUMMYFUNCTION("IMPORTRANGE(H15867,""IDENTITAS UNIT!D9"")"),"#N/A")</f>
        <v>#N/A</v>
      </c>
      <c r="H15867" s="4" t="str">
        <v/>
      </c>
      <c r="I15867" s="4" t="str">
        <v/>
      </c>
    </row>
    <row r="15868" spans="5:9" ht="16.5" hidden="1">
      <c r="E15868" s="4" t="str">
        <v/>
      </c>
      <c r="F15868" s="102" t="str">
        <f ca="1">IFERROR(__xludf.DUMMYFUNCTION("IMPORTRANGE(H15868,""IDENTITAS UNIT!D9"")"),"#N/A")</f>
        <v>#N/A</v>
      </c>
      <c r="H15868" s="4" t="str">
        <v/>
      </c>
      <c r="I15868" s="4" t="str">
        <v/>
      </c>
    </row>
    <row r="15869" spans="5:9" ht="16.5" hidden="1">
      <c r="E15869" s="4" t="str">
        <v/>
      </c>
      <c r="F15869" s="102" t="str">
        <f ca="1">IFERROR(__xludf.DUMMYFUNCTION("IMPORTRANGE(H15869,""IDENTITAS UNIT!D9"")"),"#N/A")</f>
        <v>#N/A</v>
      </c>
      <c r="H15869" s="4" t="str">
        <v/>
      </c>
      <c r="I15869" s="4" t="str">
        <v/>
      </c>
    </row>
    <row r="15870" spans="5:9" ht="16.5" hidden="1">
      <c r="E15870" s="4" t="str">
        <v/>
      </c>
      <c r="F15870" s="102" t="str">
        <f ca="1">IFERROR(__xludf.DUMMYFUNCTION("IMPORTRANGE(H15870,""IDENTITAS UNIT!D9"")"),"#N/A")</f>
        <v>#N/A</v>
      </c>
      <c r="H15870" s="4" t="str">
        <v/>
      </c>
      <c r="I15870" s="4" t="str">
        <v/>
      </c>
    </row>
    <row r="15871" spans="5:9" ht="16.5" hidden="1">
      <c r="E15871" s="4" t="str">
        <v/>
      </c>
      <c r="F15871" s="102" t="str">
        <f ca="1">IFERROR(__xludf.DUMMYFUNCTION("IMPORTRANGE(H15871,""IDENTITAS UNIT!D9"")"),"#N/A")</f>
        <v>#N/A</v>
      </c>
      <c r="H15871" s="4" t="str">
        <v/>
      </c>
      <c r="I15871" s="4" t="str">
        <v/>
      </c>
    </row>
    <row r="15872" spans="5:9" ht="16.5" hidden="1">
      <c r="E15872" s="4" t="str">
        <v/>
      </c>
      <c r="F15872" s="102" t="str">
        <f ca="1">IFERROR(__xludf.DUMMYFUNCTION("IMPORTRANGE(H15872,""IDENTITAS UNIT!D9"")"),"#N/A")</f>
        <v>#N/A</v>
      </c>
      <c r="H15872" s="4" t="str">
        <v/>
      </c>
      <c r="I15872" s="4" t="str">
        <v/>
      </c>
    </row>
    <row r="15873" spans="5:9" ht="16.5" hidden="1">
      <c r="E15873" s="4" t="str">
        <v/>
      </c>
      <c r="F15873" s="102" t="str">
        <f ca="1">IFERROR(__xludf.DUMMYFUNCTION("IMPORTRANGE(H15873,""IDENTITAS UNIT!D9"")"),"#N/A")</f>
        <v>#N/A</v>
      </c>
      <c r="H15873" s="4" t="str">
        <v/>
      </c>
      <c r="I15873" s="4" t="str">
        <v/>
      </c>
    </row>
    <row r="15874" spans="5:9" ht="16.5" hidden="1">
      <c r="E15874" s="4" t="str">
        <v/>
      </c>
      <c r="F15874" s="102" t="str">
        <f ca="1">IFERROR(__xludf.DUMMYFUNCTION("IMPORTRANGE(H15874,""IDENTITAS UNIT!D9"")"),"#N/A")</f>
        <v>#N/A</v>
      </c>
      <c r="H15874" s="4" t="str">
        <v/>
      </c>
      <c r="I15874" s="4" t="str">
        <v/>
      </c>
    </row>
    <row r="15875" spans="5:9" ht="16.5" hidden="1">
      <c r="E15875" s="4" t="str">
        <v/>
      </c>
      <c r="F15875" s="102" t="str">
        <f ca="1">IFERROR(__xludf.DUMMYFUNCTION("IMPORTRANGE(H15875,""IDENTITAS UNIT!D9"")"),"#N/A")</f>
        <v>#N/A</v>
      </c>
      <c r="H15875" s="4" t="str">
        <v/>
      </c>
      <c r="I15875" s="4" t="str">
        <v/>
      </c>
    </row>
    <row r="15876" spans="5:9" ht="16.5" hidden="1">
      <c r="E15876" s="4" t="str">
        <v/>
      </c>
      <c r="F15876" s="102" t="str">
        <f ca="1">IFERROR(__xludf.DUMMYFUNCTION("IMPORTRANGE(H15876,""IDENTITAS UNIT!D9"")"),"#N/A")</f>
        <v>#N/A</v>
      </c>
      <c r="H15876" s="4" t="str">
        <v/>
      </c>
      <c r="I15876" s="4" t="str">
        <v/>
      </c>
    </row>
    <row r="15877" spans="5:9" ht="16.5" hidden="1">
      <c r="E15877" s="4" t="str">
        <v/>
      </c>
      <c r="F15877" s="102" t="str">
        <f ca="1">IFERROR(__xludf.DUMMYFUNCTION("IMPORTRANGE(H15877,""IDENTITAS UNIT!D9"")"),"#N/A")</f>
        <v>#N/A</v>
      </c>
      <c r="H15877" s="4" t="str">
        <v/>
      </c>
      <c r="I15877" s="4" t="str">
        <v/>
      </c>
    </row>
    <row r="15878" spans="5:9" ht="16.5" hidden="1">
      <c r="E15878" s="4" t="str">
        <v/>
      </c>
      <c r="F15878" s="102" t="str">
        <f ca="1">IFERROR(__xludf.DUMMYFUNCTION("IMPORTRANGE(H15878,""IDENTITAS UNIT!D9"")"),"#N/A")</f>
        <v>#N/A</v>
      </c>
      <c r="H15878" s="4" t="str">
        <v/>
      </c>
      <c r="I15878" s="4" t="str">
        <v/>
      </c>
    </row>
    <row r="15879" spans="5:9" ht="16.5" hidden="1">
      <c r="E15879" s="4" t="str">
        <v/>
      </c>
      <c r="F15879" s="102" t="str">
        <f ca="1">IFERROR(__xludf.DUMMYFUNCTION("IMPORTRANGE(H15879,""IDENTITAS UNIT!D9"")"),"#N/A")</f>
        <v>#N/A</v>
      </c>
      <c r="H15879" s="4" t="str">
        <v/>
      </c>
      <c r="I15879" s="4" t="str">
        <v/>
      </c>
    </row>
    <row r="15880" spans="5:9" ht="16.5" hidden="1">
      <c r="E15880" s="4" t="str">
        <v/>
      </c>
      <c r="F15880" s="102" t="str">
        <f ca="1">IFERROR(__xludf.DUMMYFUNCTION("IMPORTRANGE(H15880,""IDENTITAS UNIT!D9"")"),"#N/A")</f>
        <v>#N/A</v>
      </c>
      <c r="H15880" s="4" t="str">
        <v/>
      </c>
      <c r="I15880" s="4" t="str">
        <v/>
      </c>
    </row>
    <row r="15881" spans="5:9" ht="16.5" hidden="1">
      <c r="E15881" s="4" t="str">
        <v/>
      </c>
      <c r="F15881" s="102" t="str">
        <f ca="1">IFERROR(__xludf.DUMMYFUNCTION("IMPORTRANGE(H15881,""IDENTITAS UNIT!D9"")"),"#N/A")</f>
        <v>#N/A</v>
      </c>
      <c r="H15881" s="4" t="str">
        <v/>
      </c>
      <c r="I15881" s="4" t="str">
        <v/>
      </c>
    </row>
    <row r="15882" spans="5:9" ht="16.5" hidden="1">
      <c r="E15882" s="4" t="str">
        <v/>
      </c>
      <c r="F15882" s="102" t="str">
        <f ca="1">IFERROR(__xludf.DUMMYFUNCTION("IMPORTRANGE(H15882,""IDENTITAS UNIT!D9"")"),"#N/A")</f>
        <v>#N/A</v>
      </c>
      <c r="H15882" s="4" t="str">
        <v/>
      </c>
      <c r="I15882" s="4" t="str">
        <v/>
      </c>
    </row>
    <row r="15883" spans="5:9" ht="16.5" hidden="1">
      <c r="E15883" s="4" t="str">
        <v/>
      </c>
      <c r="F15883" s="102" t="str">
        <f ca="1">IFERROR(__xludf.DUMMYFUNCTION("IMPORTRANGE(H15883,""IDENTITAS UNIT!D9"")"),"#N/A")</f>
        <v>#N/A</v>
      </c>
      <c r="H15883" s="4" t="str">
        <v/>
      </c>
      <c r="I15883" s="4" t="str">
        <v/>
      </c>
    </row>
    <row r="15884" spans="5:9" ht="16.5" hidden="1">
      <c r="E15884" s="4" t="str">
        <v/>
      </c>
      <c r="F15884" s="102" t="str">
        <f ca="1">IFERROR(__xludf.DUMMYFUNCTION("IMPORTRANGE(H15884,""IDENTITAS UNIT!D9"")"),"#N/A")</f>
        <v>#N/A</v>
      </c>
      <c r="H15884" s="4" t="str">
        <v/>
      </c>
      <c r="I15884" s="4" t="str">
        <v/>
      </c>
    </row>
    <row r="15885" spans="5:9" ht="16.5" hidden="1">
      <c r="E15885" s="4" t="str">
        <v/>
      </c>
      <c r="F15885" s="102" t="str">
        <f ca="1">IFERROR(__xludf.DUMMYFUNCTION("IMPORTRANGE(H15885,""IDENTITAS UNIT!D9"")"),"#N/A")</f>
        <v>#N/A</v>
      </c>
      <c r="H15885" s="4" t="str">
        <v/>
      </c>
      <c r="I15885" s="4" t="str">
        <v/>
      </c>
    </row>
    <row r="15886" spans="5:9" ht="16.5" hidden="1">
      <c r="E15886" s="4" t="str">
        <v/>
      </c>
      <c r="F15886" s="102" t="str">
        <f ca="1">IFERROR(__xludf.DUMMYFUNCTION("IMPORTRANGE(H15886,""IDENTITAS UNIT!D9"")"),"#N/A")</f>
        <v>#N/A</v>
      </c>
      <c r="H15886" s="4" t="str">
        <v/>
      </c>
      <c r="I15886" s="4" t="str">
        <v/>
      </c>
    </row>
    <row r="15887" spans="5:9" ht="16.5" hidden="1">
      <c r="E15887" s="4" t="str">
        <v/>
      </c>
      <c r="F15887" s="102" t="str">
        <f ca="1">IFERROR(__xludf.DUMMYFUNCTION("IMPORTRANGE(H15887,""IDENTITAS UNIT!D9"")"),"#N/A")</f>
        <v>#N/A</v>
      </c>
      <c r="H15887" s="4" t="str">
        <v/>
      </c>
      <c r="I15887" s="4" t="str">
        <v/>
      </c>
    </row>
    <row r="15888" spans="5:9" ht="16.5" hidden="1">
      <c r="E15888" s="4" t="str">
        <v/>
      </c>
      <c r="F15888" s="102" t="str">
        <f ca="1">IFERROR(__xludf.DUMMYFUNCTION("IMPORTRANGE(H15888,""IDENTITAS UNIT!D9"")"),"#N/A")</f>
        <v>#N/A</v>
      </c>
      <c r="H15888" s="4" t="str">
        <v/>
      </c>
      <c r="I15888" s="4" t="str">
        <v/>
      </c>
    </row>
    <row r="15889" spans="5:9" ht="16.5" hidden="1">
      <c r="E15889" s="4" t="str">
        <v/>
      </c>
      <c r="F15889" s="102" t="str">
        <f ca="1">IFERROR(__xludf.DUMMYFUNCTION("IMPORTRANGE(H15889,""IDENTITAS UNIT!D9"")"),"#N/A")</f>
        <v>#N/A</v>
      </c>
      <c r="H15889" s="4" t="str">
        <v/>
      </c>
      <c r="I15889" s="4" t="str">
        <v/>
      </c>
    </row>
    <row r="15890" spans="5:9" ht="16.5" hidden="1">
      <c r="E15890" s="4" t="str">
        <v/>
      </c>
      <c r="F15890" s="102" t="str">
        <f ca="1">IFERROR(__xludf.DUMMYFUNCTION("IMPORTRANGE(H15890,""IDENTITAS UNIT!D9"")"),"#N/A")</f>
        <v>#N/A</v>
      </c>
      <c r="H15890" s="4" t="str">
        <v/>
      </c>
      <c r="I15890" s="4" t="str">
        <v/>
      </c>
    </row>
    <row r="15891" spans="5:9" ht="16.5" hidden="1">
      <c r="E15891" s="4" t="str">
        <v/>
      </c>
      <c r="F15891" s="102" t="str">
        <f ca="1">IFERROR(__xludf.DUMMYFUNCTION("IMPORTRANGE(H15891,""IDENTITAS UNIT!D9"")"),"#N/A")</f>
        <v>#N/A</v>
      </c>
      <c r="H15891" s="4" t="str">
        <v/>
      </c>
      <c r="I15891" s="4" t="str">
        <v/>
      </c>
    </row>
    <row r="15892" spans="5:9" ht="16.5" hidden="1">
      <c r="E15892" s="4" t="str">
        <v/>
      </c>
      <c r="F15892" s="102" t="str">
        <f ca="1">IFERROR(__xludf.DUMMYFUNCTION("IMPORTRANGE(H15892,""IDENTITAS UNIT!D9"")"),"#N/A")</f>
        <v>#N/A</v>
      </c>
      <c r="H15892" s="4" t="str">
        <v/>
      </c>
      <c r="I15892" s="4" t="str">
        <v/>
      </c>
    </row>
    <row r="15893" spans="5:9" ht="16.5" hidden="1">
      <c r="E15893" s="4" t="str">
        <v/>
      </c>
      <c r="F15893" s="102" t="str">
        <f ca="1">IFERROR(__xludf.DUMMYFUNCTION("IMPORTRANGE(H15893,""IDENTITAS UNIT!D9"")"),"#N/A")</f>
        <v>#N/A</v>
      </c>
      <c r="H15893" s="4" t="str">
        <v/>
      </c>
      <c r="I15893" s="4" t="str">
        <v/>
      </c>
    </row>
    <row r="15894" spans="5:9" ht="16.5" hidden="1">
      <c r="E15894" s="4" t="str">
        <v/>
      </c>
      <c r="F15894" s="102" t="str">
        <f ca="1">IFERROR(__xludf.DUMMYFUNCTION("IMPORTRANGE(H15894,""IDENTITAS UNIT!D9"")"),"#N/A")</f>
        <v>#N/A</v>
      </c>
      <c r="H15894" s="4" t="str">
        <v/>
      </c>
      <c r="I15894" s="4" t="str">
        <v/>
      </c>
    </row>
    <row r="15895" spans="5:9" ht="16.5" hidden="1">
      <c r="E15895" s="4" t="str">
        <v/>
      </c>
      <c r="F15895" s="102" t="str">
        <f ca="1">IFERROR(__xludf.DUMMYFUNCTION("IMPORTRANGE(H15895,""IDENTITAS UNIT!D9"")"),"#N/A")</f>
        <v>#N/A</v>
      </c>
      <c r="H15895" s="4" t="str">
        <v/>
      </c>
      <c r="I15895" s="4" t="str">
        <v/>
      </c>
    </row>
    <row r="15896" spans="5:9" ht="16.5" hidden="1">
      <c r="E15896" s="4" t="str">
        <v/>
      </c>
      <c r="F15896" s="102" t="str">
        <f ca="1">IFERROR(__xludf.DUMMYFUNCTION("IMPORTRANGE(H15896,""IDENTITAS UNIT!D9"")"),"#N/A")</f>
        <v>#N/A</v>
      </c>
      <c r="H15896" s="4" t="str">
        <v/>
      </c>
      <c r="I15896" s="4" t="str">
        <v/>
      </c>
    </row>
    <row r="15897" spans="5:9" ht="16.5" hidden="1">
      <c r="E15897" s="4" t="str">
        <v/>
      </c>
      <c r="F15897" s="102" t="str">
        <f ca="1">IFERROR(__xludf.DUMMYFUNCTION("IMPORTRANGE(H15897,""IDENTITAS UNIT!D9"")"),"#N/A")</f>
        <v>#N/A</v>
      </c>
      <c r="H15897" s="4" t="str">
        <v/>
      </c>
      <c r="I15897" s="4" t="str">
        <v/>
      </c>
    </row>
    <row r="15898" spans="5:9" ht="16.5" hidden="1">
      <c r="E15898" s="4" t="str">
        <v/>
      </c>
      <c r="F15898" s="102" t="str">
        <f ca="1">IFERROR(__xludf.DUMMYFUNCTION("IMPORTRANGE(H15898,""IDENTITAS UNIT!D9"")"),"#N/A")</f>
        <v>#N/A</v>
      </c>
      <c r="H15898" s="4" t="str">
        <v/>
      </c>
      <c r="I15898" s="4" t="str">
        <v/>
      </c>
    </row>
    <row r="15899" spans="5:9" ht="16.5" hidden="1">
      <c r="E15899" s="4" t="str">
        <v/>
      </c>
      <c r="F15899" s="102" t="str">
        <f ca="1">IFERROR(__xludf.DUMMYFUNCTION("IMPORTRANGE(H15899,""IDENTITAS UNIT!D9"")"),"#N/A")</f>
        <v>#N/A</v>
      </c>
      <c r="H15899" s="4" t="str">
        <v/>
      </c>
      <c r="I15899" s="4" t="str">
        <v/>
      </c>
    </row>
    <row r="15900" spans="5:9" ht="16.5" hidden="1">
      <c r="E15900" s="4" t="str">
        <v/>
      </c>
      <c r="F15900" s="102" t="str">
        <f ca="1">IFERROR(__xludf.DUMMYFUNCTION("IMPORTRANGE(H15900,""IDENTITAS UNIT!D9"")"),"#N/A")</f>
        <v>#N/A</v>
      </c>
      <c r="H15900" s="4" t="str">
        <v/>
      </c>
      <c r="I15900" s="4" t="str">
        <v/>
      </c>
    </row>
    <row r="15901" spans="5:9" ht="16.5" hidden="1">
      <c r="E15901" s="4" t="str">
        <v/>
      </c>
      <c r="F15901" s="102" t="str">
        <f ca="1">IFERROR(__xludf.DUMMYFUNCTION("IMPORTRANGE(H15901,""IDENTITAS UNIT!D9"")"),"#N/A")</f>
        <v>#N/A</v>
      </c>
      <c r="H15901" s="4" t="str">
        <v/>
      </c>
      <c r="I15901" s="4" t="str">
        <v/>
      </c>
    </row>
    <row r="15902" spans="5:9" ht="16.5" hidden="1">
      <c r="E15902" s="4" t="str">
        <v/>
      </c>
      <c r="F15902" s="102" t="str">
        <f ca="1">IFERROR(__xludf.DUMMYFUNCTION("IMPORTRANGE(H15902,""IDENTITAS UNIT!D9"")"),"#N/A")</f>
        <v>#N/A</v>
      </c>
      <c r="H15902" s="4" t="str">
        <v/>
      </c>
      <c r="I15902" s="4" t="str">
        <v/>
      </c>
    </row>
    <row r="15903" spans="5:9" ht="16.5" hidden="1">
      <c r="E15903" s="4" t="str">
        <v/>
      </c>
      <c r="F15903" s="102" t="str">
        <f ca="1">IFERROR(__xludf.DUMMYFUNCTION("IMPORTRANGE(H15903,""IDENTITAS UNIT!D9"")"),"#N/A")</f>
        <v>#N/A</v>
      </c>
      <c r="H15903" s="4" t="str">
        <v/>
      </c>
      <c r="I15903" s="4" t="str">
        <v/>
      </c>
    </row>
    <row r="15904" spans="5:9" ht="16.5" hidden="1">
      <c r="E15904" s="4" t="str">
        <v/>
      </c>
      <c r="F15904" s="102" t="str">
        <f ca="1">IFERROR(__xludf.DUMMYFUNCTION("IMPORTRANGE(H15904,""IDENTITAS UNIT!D9"")"),"#N/A")</f>
        <v>#N/A</v>
      </c>
      <c r="H15904" s="4" t="str">
        <v/>
      </c>
      <c r="I15904" s="4" t="str">
        <v/>
      </c>
    </row>
    <row r="15905" spans="5:9" ht="16.5" hidden="1">
      <c r="E15905" s="4" t="str">
        <v/>
      </c>
      <c r="F15905" s="102" t="str">
        <f ca="1">IFERROR(__xludf.DUMMYFUNCTION("IMPORTRANGE(H15905,""IDENTITAS UNIT!D9"")"),"#N/A")</f>
        <v>#N/A</v>
      </c>
      <c r="H15905" s="4" t="str">
        <v/>
      </c>
      <c r="I15905" s="4" t="str">
        <v/>
      </c>
    </row>
    <row r="15906" spans="5:9" ht="16.5" hidden="1">
      <c r="E15906" s="4" t="str">
        <v/>
      </c>
      <c r="F15906" s="102" t="str">
        <f ca="1">IFERROR(__xludf.DUMMYFUNCTION("IMPORTRANGE(H15906,""IDENTITAS UNIT!D9"")"),"#N/A")</f>
        <v>#N/A</v>
      </c>
      <c r="H15906" s="4" t="str">
        <v/>
      </c>
      <c r="I15906" s="4" t="str">
        <v/>
      </c>
    </row>
    <row r="15907" spans="5:9" ht="16.5" hidden="1">
      <c r="E15907" s="4" t="str">
        <v/>
      </c>
      <c r="F15907" s="102" t="str">
        <f ca="1">IFERROR(__xludf.DUMMYFUNCTION("IMPORTRANGE(H15907,""IDENTITAS UNIT!D9"")"),"#N/A")</f>
        <v>#N/A</v>
      </c>
      <c r="H15907" s="4" t="str">
        <v/>
      </c>
      <c r="I15907" s="4" t="str">
        <v/>
      </c>
    </row>
    <row r="15908" spans="5:9" ht="16.5" hidden="1">
      <c r="E15908" s="4" t="str">
        <v/>
      </c>
      <c r="F15908" s="102" t="str">
        <f ca="1">IFERROR(__xludf.DUMMYFUNCTION("IMPORTRANGE(H15908,""IDENTITAS UNIT!D9"")"),"#N/A")</f>
        <v>#N/A</v>
      </c>
      <c r="H15908" s="4" t="str">
        <v/>
      </c>
      <c r="I15908" s="4" t="str">
        <v/>
      </c>
    </row>
    <row r="15909" spans="5:9" ht="16.5" hidden="1">
      <c r="E15909" s="4" t="str">
        <v/>
      </c>
      <c r="F15909" s="102" t="str">
        <f ca="1">IFERROR(__xludf.DUMMYFUNCTION("IMPORTRANGE(H15909,""IDENTITAS UNIT!D9"")"),"#N/A")</f>
        <v>#N/A</v>
      </c>
      <c r="H15909" s="4" t="str">
        <v/>
      </c>
      <c r="I15909" s="4" t="str">
        <v/>
      </c>
    </row>
    <row r="15910" spans="5:9" ht="16.5" hidden="1">
      <c r="E15910" s="4" t="str">
        <v/>
      </c>
      <c r="F15910" s="102" t="str">
        <f ca="1">IFERROR(__xludf.DUMMYFUNCTION("IMPORTRANGE(H15910,""IDENTITAS UNIT!D9"")"),"#N/A")</f>
        <v>#N/A</v>
      </c>
      <c r="H15910" s="4" t="str">
        <v/>
      </c>
      <c r="I15910" s="4" t="str">
        <v/>
      </c>
    </row>
    <row r="15911" spans="5:9" ht="16.5" hidden="1">
      <c r="E15911" s="4" t="str">
        <v/>
      </c>
      <c r="F15911" s="102" t="str">
        <f ca="1">IFERROR(__xludf.DUMMYFUNCTION("IMPORTRANGE(H15911,""IDENTITAS UNIT!D9"")"),"#N/A")</f>
        <v>#N/A</v>
      </c>
      <c r="H15911" s="4" t="str">
        <v/>
      </c>
      <c r="I15911" s="4" t="str">
        <v/>
      </c>
    </row>
    <row r="15912" spans="5:9" ht="16.5" hidden="1">
      <c r="E15912" s="4" t="str">
        <v/>
      </c>
      <c r="F15912" s="102" t="str">
        <f ca="1">IFERROR(__xludf.DUMMYFUNCTION("IMPORTRANGE(H15912,""IDENTITAS UNIT!D9"")"),"#N/A")</f>
        <v>#N/A</v>
      </c>
      <c r="H15912" s="4" t="str">
        <v/>
      </c>
      <c r="I15912" s="4" t="str">
        <v/>
      </c>
    </row>
    <row r="15913" spans="5:9" ht="16.5" hidden="1">
      <c r="E15913" s="4" t="str">
        <v/>
      </c>
      <c r="F15913" s="102" t="str">
        <f ca="1">IFERROR(__xludf.DUMMYFUNCTION("IMPORTRANGE(H15913,""IDENTITAS UNIT!D9"")"),"#N/A")</f>
        <v>#N/A</v>
      </c>
      <c r="H15913" s="4" t="str">
        <v/>
      </c>
      <c r="I15913" s="4" t="str">
        <v/>
      </c>
    </row>
    <row r="15914" spans="5:9" ht="16.5" hidden="1">
      <c r="E15914" s="4" t="str">
        <v/>
      </c>
      <c r="F15914" s="102" t="str">
        <f ca="1">IFERROR(__xludf.DUMMYFUNCTION("IMPORTRANGE(H15914,""IDENTITAS UNIT!D9"")"),"#N/A")</f>
        <v>#N/A</v>
      </c>
      <c r="H15914" s="4" t="str">
        <v/>
      </c>
      <c r="I15914" s="4" t="str">
        <v/>
      </c>
    </row>
    <row r="15915" spans="5:9" ht="16.5" hidden="1">
      <c r="E15915" s="4" t="str">
        <v/>
      </c>
      <c r="F15915" s="102" t="str">
        <f ca="1">IFERROR(__xludf.DUMMYFUNCTION("IMPORTRANGE(H15915,""IDENTITAS UNIT!D9"")"),"#N/A")</f>
        <v>#N/A</v>
      </c>
      <c r="H15915" s="4" t="str">
        <v/>
      </c>
      <c r="I15915" s="4" t="str">
        <v/>
      </c>
    </row>
    <row r="15916" spans="5:9" ht="16.5" hidden="1">
      <c r="E15916" s="4" t="str">
        <v/>
      </c>
      <c r="F15916" s="102" t="str">
        <f ca="1">IFERROR(__xludf.DUMMYFUNCTION("IMPORTRANGE(H15916,""IDENTITAS UNIT!D9"")"),"#N/A")</f>
        <v>#N/A</v>
      </c>
      <c r="H15916" s="4" t="str">
        <v/>
      </c>
      <c r="I15916" s="4" t="str">
        <v/>
      </c>
    </row>
    <row r="15917" spans="5:9" ht="16.5" hidden="1">
      <c r="E15917" s="4" t="str">
        <v/>
      </c>
      <c r="F15917" s="102" t="str">
        <f ca="1">IFERROR(__xludf.DUMMYFUNCTION("IMPORTRANGE(H15917,""IDENTITAS UNIT!D9"")"),"#N/A")</f>
        <v>#N/A</v>
      </c>
      <c r="H15917" s="4" t="str">
        <v/>
      </c>
      <c r="I15917" s="4" t="str">
        <v/>
      </c>
    </row>
    <row r="15918" spans="5:9" ht="16.5" hidden="1">
      <c r="E15918" s="4" t="str">
        <v/>
      </c>
      <c r="F15918" s="102" t="str">
        <f ca="1">IFERROR(__xludf.DUMMYFUNCTION("IMPORTRANGE(H15918,""IDENTITAS UNIT!D9"")"),"#N/A")</f>
        <v>#N/A</v>
      </c>
      <c r="H15918" s="4" t="str">
        <v/>
      </c>
      <c r="I15918" s="4" t="str">
        <v/>
      </c>
    </row>
    <row r="15919" spans="5:9" ht="16.5" hidden="1">
      <c r="E15919" s="4" t="str">
        <v/>
      </c>
      <c r="F15919" s="102" t="str">
        <f ca="1">IFERROR(__xludf.DUMMYFUNCTION("IMPORTRANGE(H15919,""IDENTITAS UNIT!D9"")"),"#N/A")</f>
        <v>#N/A</v>
      </c>
      <c r="H15919" s="4" t="str">
        <v/>
      </c>
      <c r="I15919" s="4" t="str">
        <v/>
      </c>
    </row>
    <row r="15920" spans="5:9" ht="16.5" hidden="1">
      <c r="E15920" s="4" t="str">
        <v/>
      </c>
      <c r="F15920" s="102" t="str">
        <f ca="1">IFERROR(__xludf.DUMMYFUNCTION("IMPORTRANGE(H15920,""IDENTITAS UNIT!D9"")"),"#N/A")</f>
        <v>#N/A</v>
      </c>
      <c r="H15920" s="4" t="str">
        <v/>
      </c>
      <c r="I15920" s="4" t="str">
        <v/>
      </c>
    </row>
    <row r="15921" spans="5:9" ht="16.5" hidden="1">
      <c r="E15921" s="4" t="str">
        <v/>
      </c>
      <c r="F15921" s="102" t="str">
        <f ca="1">IFERROR(__xludf.DUMMYFUNCTION("IMPORTRANGE(H15921,""IDENTITAS UNIT!D9"")"),"#N/A")</f>
        <v>#N/A</v>
      </c>
      <c r="H15921" s="4" t="str">
        <v/>
      </c>
      <c r="I15921" s="4" t="str">
        <v/>
      </c>
    </row>
    <row r="15922" spans="5:9" ht="16.5" hidden="1">
      <c r="E15922" s="4" t="str">
        <v/>
      </c>
      <c r="F15922" s="102" t="str">
        <f ca="1">IFERROR(__xludf.DUMMYFUNCTION("IMPORTRANGE(H15922,""IDENTITAS UNIT!D9"")"),"#N/A")</f>
        <v>#N/A</v>
      </c>
      <c r="H15922" s="4" t="str">
        <v/>
      </c>
      <c r="I15922" s="4" t="str">
        <v/>
      </c>
    </row>
    <row r="15923" spans="5:9" ht="16.5" hidden="1">
      <c r="E15923" s="4" t="str">
        <v/>
      </c>
      <c r="F15923" s="102" t="str">
        <f ca="1">IFERROR(__xludf.DUMMYFUNCTION("IMPORTRANGE(H15923,""IDENTITAS UNIT!D9"")"),"#N/A")</f>
        <v>#N/A</v>
      </c>
      <c r="H15923" s="4" t="str">
        <v/>
      </c>
      <c r="I15923" s="4" t="str">
        <v/>
      </c>
    </row>
    <row r="15924" spans="5:9" ht="16.5" hidden="1">
      <c r="E15924" s="4" t="str">
        <v/>
      </c>
      <c r="F15924" s="102" t="str">
        <f ca="1">IFERROR(__xludf.DUMMYFUNCTION("IMPORTRANGE(H15924,""IDENTITAS UNIT!D9"")"),"#N/A")</f>
        <v>#N/A</v>
      </c>
      <c r="H15924" s="4" t="str">
        <v/>
      </c>
      <c r="I15924" s="4" t="str">
        <v/>
      </c>
    </row>
    <row r="15925" spans="5:9" ht="16.5" hidden="1">
      <c r="E15925" s="4" t="str">
        <v/>
      </c>
      <c r="F15925" s="102" t="str">
        <f ca="1">IFERROR(__xludf.DUMMYFUNCTION("IMPORTRANGE(H15925,""IDENTITAS UNIT!D9"")"),"#N/A")</f>
        <v>#N/A</v>
      </c>
      <c r="H15925" s="4" t="str">
        <v/>
      </c>
      <c r="I15925" s="4" t="str">
        <v/>
      </c>
    </row>
    <row r="15926" spans="5:9" ht="16.5" hidden="1">
      <c r="E15926" s="4" t="str">
        <v/>
      </c>
      <c r="F15926" s="102" t="str">
        <f ca="1">IFERROR(__xludf.DUMMYFUNCTION("IMPORTRANGE(H15926,""IDENTITAS UNIT!D9"")"),"#N/A")</f>
        <v>#N/A</v>
      </c>
      <c r="H15926" s="4" t="str">
        <v/>
      </c>
      <c r="I15926" s="4" t="str">
        <v/>
      </c>
    </row>
    <row r="15927" spans="5:9" ht="16.5" hidden="1">
      <c r="E15927" s="4" t="str">
        <v/>
      </c>
      <c r="F15927" s="102" t="str">
        <f ca="1">IFERROR(__xludf.DUMMYFUNCTION("IMPORTRANGE(H15927,""IDENTITAS UNIT!D9"")"),"#N/A")</f>
        <v>#N/A</v>
      </c>
      <c r="H15927" s="4" t="str">
        <v/>
      </c>
      <c r="I15927" s="4" t="str">
        <v/>
      </c>
    </row>
    <row r="15928" spans="5:9" ht="16.5" hidden="1">
      <c r="E15928" s="4" t="str">
        <v/>
      </c>
      <c r="F15928" s="102" t="str">
        <f ca="1">IFERROR(__xludf.DUMMYFUNCTION("IMPORTRANGE(H15928,""IDENTITAS UNIT!D9"")"),"#N/A")</f>
        <v>#N/A</v>
      </c>
      <c r="H15928" s="4" t="str">
        <v/>
      </c>
      <c r="I15928" s="4" t="str">
        <v/>
      </c>
    </row>
    <row r="15929" spans="5:9" ht="16.5" hidden="1">
      <c r="E15929" s="4" t="str">
        <v/>
      </c>
      <c r="F15929" s="102" t="str">
        <f ca="1">IFERROR(__xludf.DUMMYFUNCTION("IMPORTRANGE(H15929,""IDENTITAS UNIT!D9"")"),"#N/A")</f>
        <v>#N/A</v>
      </c>
      <c r="H15929" s="4" t="str">
        <v/>
      </c>
      <c r="I15929" s="4" t="str">
        <v/>
      </c>
    </row>
    <row r="15930" spans="5:9" ht="16.5" hidden="1">
      <c r="E15930" s="4" t="str">
        <v/>
      </c>
      <c r="F15930" s="102" t="str">
        <f ca="1">IFERROR(__xludf.DUMMYFUNCTION("IMPORTRANGE(H15930,""IDENTITAS UNIT!D9"")"),"#N/A")</f>
        <v>#N/A</v>
      </c>
      <c r="H15930" s="4" t="str">
        <v/>
      </c>
      <c r="I15930" s="4" t="str">
        <v/>
      </c>
    </row>
    <row r="15931" spans="5:9" ht="16.5" hidden="1">
      <c r="E15931" s="4" t="str">
        <v/>
      </c>
      <c r="F15931" s="102" t="str">
        <f ca="1">IFERROR(__xludf.DUMMYFUNCTION("IMPORTRANGE(H15931,""IDENTITAS UNIT!D9"")"),"#N/A")</f>
        <v>#N/A</v>
      </c>
      <c r="H15931" s="4" t="str">
        <v/>
      </c>
      <c r="I15931" s="4" t="str">
        <v/>
      </c>
    </row>
    <row r="15932" spans="5:9" ht="16.5" hidden="1">
      <c r="E15932" s="4" t="str">
        <v/>
      </c>
      <c r="F15932" s="102" t="str">
        <f ca="1">IFERROR(__xludf.DUMMYFUNCTION("IMPORTRANGE(H15932,""IDENTITAS UNIT!D9"")"),"#N/A")</f>
        <v>#N/A</v>
      </c>
      <c r="H15932" s="4" t="str">
        <v/>
      </c>
      <c r="I15932" s="4" t="str">
        <v/>
      </c>
    </row>
    <row r="15933" spans="5:9" ht="16.5" hidden="1">
      <c r="E15933" s="4" t="str">
        <v/>
      </c>
      <c r="F15933" s="102" t="str">
        <f ca="1">IFERROR(__xludf.DUMMYFUNCTION("IMPORTRANGE(H15933,""IDENTITAS UNIT!D9"")"),"#N/A")</f>
        <v>#N/A</v>
      </c>
      <c r="H15933" s="4" t="str">
        <v/>
      </c>
      <c r="I15933" s="4" t="str">
        <v/>
      </c>
    </row>
    <row r="15934" spans="5:9" ht="16.5" hidden="1">
      <c r="E15934" s="4" t="str">
        <v/>
      </c>
      <c r="F15934" s="102" t="str">
        <f ca="1">IFERROR(__xludf.DUMMYFUNCTION("IMPORTRANGE(H15934,""IDENTITAS UNIT!D9"")"),"#N/A")</f>
        <v>#N/A</v>
      </c>
      <c r="H15934" s="4" t="str">
        <v/>
      </c>
      <c r="I15934" s="4" t="str">
        <v/>
      </c>
    </row>
    <row r="15935" spans="5:9" ht="16.5" hidden="1">
      <c r="E15935" s="4" t="str">
        <v/>
      </c>
      <c r="F15935" s="102" t="str">
        <f ca="1">IFERROR(__xludf.DUMMYFUNCTION("IMPORTRANGE(H15935,""IDENTITAS UNIT!D9"")"),"#N/A")</f>
        <v>#N/A</v>
      </c>
      <c r="H15935" s="4" t="str">
        <v/>
      </c>
      <c r="I15935" s="4" t="str">
        <v/>
      </c>
    </row>
    <row r="15936" spans="5:9" ht="16.5" hidden="1">
      <c r="E15936" s="4" t="str">
        <v/>
      </c>
      <c r="F15936" s="102" t="str">
        <f ca="1">IFERROR(__xludf.DUMMYFUNCTION("IMPORTRANGE(H15936,""IDENTITAS UNIT!D9"")"),"#N/A")</f>
        <v>#N/A</v>
      </c>
      <c r="H15936" s="4" t="str">
        <v/>
      </c>
      <c r="I15936" s="4" t="str">
        <v/>
      </c>
    </row>
    <row r="15937" spans="5:9" ht="16.5" hidden="1">
      <c r="E15937" s="4" t="str">
        <v/>
      </c>
      <c r="F15937" s="102" t="str">
        <f ca="1">IFERROR(__xludf.DUMMYFUNCTION("IMPORTRANGE(H15937,""IDENTITAS UNIT!D9"")"),"#N/A")</f>
        <v>#N/A</v>
      </c>
      <c r="H15937" s="4" t="str">
        <v/>
      </c>
      <c r="I15937" s="4" t="str">
        <v/>
      </c>
    </row>
    <row r="15938" spans="5:9" ht="16.5" hidden="1">
      <c r="E15938" s="4" t="str">
        <v/>
      </c>
      <c r="F15938" s="102" t="str">
        <f ca="1">IFERROR(__xludf.DUMMYFUNCTION("IMPORTRANGE(H15938,""IDENTITAS UNIT!D9"")"),"#N/A")</f>
        <v>#N/A</v>
      </c>
      <c r="H15938" s="4" t="str">
        <v/>
      </c>
      <c r="I15938" s="4" t="str">
        <v/>
      </c>
    </row>
    <row r="15939" spans="5:9" ht="16.5" hidden="1">
      <c r="E15939" s="4" t="str">
        <v/>
      </c>
      <c r="F15939" s="102" t="str">
        <f ca="1">IFERROR(__xludf.DUMMYFUNCTION("IMPORTRANGE(H15939,""IDENTITAS UNIT!D9"")"),"#N/A")</f>
        <v>#N/A</v>
      </c>
      <c r="H15939" s="4" t="str">
        <v/>
      </c>
      <c r="I15939" s="4" t="str">
        <v/>
      </c>
    </row>
    <row r="15940" spans="5:9" ht="16.5" hidden="1">
      <c r="E15940" s="4" t="str">
        <v/>
      </c>
      <c r="F15940" s="102" t="str">
        <f ca="1">IFERROR(__xludf.DUMMYFUNCTION("IMPORTRANGE(H15940,""IDENTITAS UNIT!D9"")"),"#N/A")</f>
        <v>#N/A</v>
      </c>
      <c r="H15940" s="4" t="str">
        <v/>
      </c>
      <c r="I15940" s="4" t="str">
        <v/>
      </c>
    </row>
    <row r="15941" spans="5:9" ht="16.5" hidden="1">
      <c r="E15941" s="4" t="str">
        <v/>
      </c>
      <c r="F15941" s="102" t="str">
        <f ca="1">IFERROR(__xludf.DUMMYFUNCTION("IMPORTRANGE(H15941,""IDENTITAS UNIT!D9"")"),"#N/A")</f>
        <v>#N/A</v>
      </c>
      <c r="H15941" s="4" t="str">
        <v/>
      </c>
      <c r="I15941" s="4" t="str">
        <v/>
      </c>
    </row>
    <row r="15942" spans="5:9" ht="16.5" hidden="1">
      <c r="E15942" s="4" t="str">
        <v/>
      </c>
      <c r="F15942" s="102" t="str">
        <f ca="1">IFERROR(__xludf.DUMMYFUNCTION("IMPORTRANGE(H15942,""IDENTITAS UNIT!D9"")"),"#N/A")</f>
        <v>#N/A</v>
      </c>
      <c r="H15942" s="4" t="str">
        <v/>
      </c>
      <c r="I15942" s="4" t="str">
        <v/>
      </c>
    </row>
    <row r="15943" spans="5:9" ht="16.5" hidden="1">
      <c r="E15943" s="4" t="str">
        <v/>
      </c>
      <c r="F15943" s="102" t="str">
        <f ca="1">IFERROR(__xludf.DUMMYFUNCTION("IMPORTRANGE(H15943,""IDENTITAS UNIT!D9"")"),"#N/A")</f>
        <v>#N/A</v>
      </c>
      <c r="H15943" s="4" t="str">
        <v/>
      </c>
      <c r="I15943" s="4" t="str">
        <v/>
      </c>
    </row>
    <row r="15944" spans="5:9" ht="16.5" hidden="1">
      <c r="E15944" s="4" t="str">
        <v/>
      </c>
      <c r="F15944" s="102" t="str">
        <f ca="1">IFERROR(__xludf.DUMMYFUNCTION("IMPORTRANGE(H15944,""IDENTITAS UNIT!D9"")"),"#N/A")</f>
        <v>#N/A</v>
      </c>
      <c r="H15944" s="4" t="str">
        <v/>
      </c>
      <c r="I15944" s="4" t="str">
        <v/>
      </c>
    </row>
    <row r="15945" spans="5:9" ht="16.5" hidden="1">
      <c r="E15945" s="4" t="str">
        <v/>
      </c>
      <c r="F15945" s="102" t="str">
        <f ca="1">IFERROR(__xludf.DUMMYFUNCTION("IMPORTRANGE(H15945,""IDENTITAS UNIT!D9"")"),"#N/A")</f>
        <v>#N/A</v>
      </c>
      <c r="H15945" s="4" t="str">
        <v/>
      </c>
      <c r="I15945" s="4" t="str">
        <v/>
      </c>
    </row>
    <row r="15946" spans="5:9" ht="16.5" hidden="1">
      <c r="E15946" s="4" t="str">
        <v/>
      </c>
      <c r="F15946" s="102" t="str">
        <f ca="1">IFERROR(__xludf.DUMMYFUNCTION("IMPORTRANGE(H15946,""IDENTITAS UNIT!D9"")"),"#N/A")</f>
        <v>#N/A</v>
      </c>
      <c r="H15946" s="4" t="str">
        <v/>
      </c>
      <c r="I15946" s="4" t="str">
        <v/>
      </c>
    </row>
    <row r="15947" spans="5:9" ht="16.5" hidden="1">
      <c r="E15947" s="4" t="str">
        <v/>
      </c>
      <c r="F15947" s="102" t="str">
        <f ca="1">IFERROR(__xludf.DUMMYFUNCTION("IMPORTRANGE(H15947,""IDENTITAS UNIT!D9"")"),"#N/A")</f>
        <v>#N/A</v>
      </c>
      <c r="H15947" s="4" t="str">
        <v/>
      </c>
      <c r="I15947" s="4" t="str">
        <v/>
      </c>
    </row>
    <row r="15948" spans="5:9" ht="16.5" hidden="1">
      <c r="E15948" s="4" t="str">
        <v/>
      </c>
      <c r="F15948" s="102" t="str">
        <f ca="1">IFERROR(__xludf.DUMMYFUNCTION("IMPORTRANGE(H15948,""IDENTITAS UNIT!D9"")"),"#N/A")</f>
        <v>#N/A</v>
      </c>
      <c r="H15948" s="4" t="str">
        <v/>
      </c>
      <c r="I15948" s="4" t="str">
        <v/>
      </c>
    </row>
    <row r="15949" spans="5:9" ht="16.5" hidden="1">
      <c r="E15949" s="4" t="str">
        <v/>
      </c>
      <c r="F15949" s="102" t="str">
        <f ca="1">IFERROR(__xludf.DUMMYFUNCTION("IMPORTRANGE(H15949,""IDENTITAS UNIT!D9"")"),"#N/A")</f>
        <v>#N/A</v>
      </c>
      <c r="H15949" s="4" t="str">
        <v/>
      </c>
      <c r="I15949" s="4" t="str">
        <v/>
      </c>
    </row>
    <row r="15950" spans="5:9" ht="16.5" hidden="1">
      <c r="E15950" s="4" t="str">
        <v/>
      </c>
      <c r="F15950" s="102" t="str">
        <f ca="1">IFERROR(__xludf.DUMMYFUNCTION("IMPORTRANGE(H15950,""IDENTITAS UNIT!D9"")"),"#N/A")</f>
        <v>#N/A</v>
      </c>
      <c r="H15950" s="4" t="str">
        <v/>
      </c>
      <c r="I15950" s="4" t="str">
        <v/>
      </c>
    </row>
    <row r="15951" spans="5:9" ht="16.5" hidden="1">
      <c r="E15951" s="4" t="str">
        <v/>
      </c>
      <c r="F15951" s="102" t="str">
        <f ca="1">IFERROR(__xludf.DUMMYFUNCTION("IMPORTRANGE(H15951,""IDENTITAS UNIT!D9"")"),"#N/A")</f>
        <v>#N/A</v>
      </c>
      <c r="H15951" s="4" t="str">
        <v/>
      </c>
      <c r="I15951" s="4" t="str">
        <v/>
      </c>
    </row>
    <row r="15952" spans="5:9" ht="16.5" hidden="1">
      <c r="E15952" s="4" t="str">
        <v/>
      </c>
      <c r="F15952" s="102" t="str">
        <f ca="1">IFERROR(__xludf.DUMMYFUNCTION("IMPORTRANGE(H15952,""IDENTITAS UNIT!D9"")"),"#N/A")</f>
        <v>#N/A</v>
      </c>
      <c r="H15952" s="4" t="str">
        <v/>
      </c>
      <c r="I15952" s="4" t="str">
        <v/>
      </c>
    </row>
    <row r="15953" spans="5:9" ht="16.5" hidden="1">
      <c r="E15953" s="4" t="str">
        <v/>
      </c>
      <c r="F15953" s="102" t="str">
        <f ca="1">IFERROR(__xludf.DUMMYFUNCTION("IMPORTRANGE(H15953,""IDENTITAS UNIT!D9"")"),"#N/A")</f>
        <v>#N/A</v>
      </c>
      <c r="H15953" s="4" t="str">
        <v/>
      </c>
      <c r="I15953" s="4" t="str">
        <v/>
      </c>
    </row>
    <row r="15954" spans="5:9" ht="16.5" hidden="1">
      <c r="E15954" s="4" t="str">
        <v/>
      </c>
      <c r="F15954" s="102" t="str">
        <f ca="1">IFERROR(__xludf.DUMMYFUNCTION("IMPORTRANGE(H15954,""IDENTITAS UNIT!D9"")"),"#N/A")</f>
        <v>#N/A</v>
      </c>
      <c r="H15954" s="4" t="str">
        <v/>
      </c>
      <c r="I15954" s="4" t="str">
        <v/>
      </c>
    </row>
    <row r="15955" spans="5:9" ht="16.5" hidden="1">
      <c r="E15955" s="4" t="str">
        <v/>
      </c>
      <c r="F15955" s="102" t="str">
        <f ca="1">IFERROR(__xludf.DUMMYFUNCTION("IMPORTRANGE(H15955,""IDENTITAS UNIT!D9"")"),"#N/A")</f>
        <v>#N/A</v>
      </c>
      <c r="H15955" s="4" t="str">
        <v/>
      </c>
      <c r="I15955" s="4" t="str">
        <v/>
      </c>
    </row>
    <row r="15956" spans="5:9" ht="16.5" hidden="1">
      <c r="E15956" s="4" t="str">
        <v/>
      </c>
      <c r="F15956" s="102" t="str">
        <f ca="1">IFERROR(__xludf.DUMMYFUNCTION("IMPORTRANGE(H15956,""IDENTITAS UNIT!D9"")"),"#N/A")</f>
        <v>#N/A</v>
      </c>
      <c r="H15956" s="4" t="str">
        <v/>
      </c>
      <c r="I15956" s="4" t="str">
        <v/>
      </c>
    </row>
    <row r="15957" spans="5:9" ht="16.5" hidden="1">
      <c r="E15957" s="4" t="str">
        <v/>
      </c>
      <c r="F15957" s="102" t="str">
        <f ca="1">IFERROR(__xludf.DUMMYFUNCTION("IMPORTRANGE(H15957,""IDENTITAS UNIT!D9"")"),"#N/A")</f>
        <v>#N/A</v>
      </c>
      <c r="H15957" s="4" t="str">
        <v/>
      </c>
      <c r="I15957" s="4" t="str">
        <v/>
      </c>
    </row>
    <row r="15958" spans="5:9" ht="16.5" hidden="1">
      <c r="E15958" s="4" t="str">
        <v/>
      </c>
      <c r="F15958" s="102" t="str">
        <f ca="1">IFERROR(__xludf.DUMMYFUNCTION("IMPORTRANGE(H15958,""IDENTITAS UNIT!D9"")"),"#N/A")</f>
        <v>#N/A</v>
      </c>
      <c r="H15958" s="4" t="str">
        <v/>
      </c>
      <c r="I15958" s="4" t="str">
        <v/>
      </c>
    </row>
    <row r="15959" spans="5:9" ht="16.5" hidden="1">
      <c r="E15959" s="4" t="str">
        <v/>
      </c>
      <c r="F15959" s="102" t="str">
        <f ca="1">IFERROR(__xludf.DUMMYFUNCTION("IMPORTRANGE(H15959,""IDENTITAS UNIT!D9"")"),"#N/A")</f>
        <v>#N/A</v>
      </c>
      <c r="H15959" s="4" t="str">
        <v/>
      </c>
      <c r="I15959" s="4" t="str">
        <v/>
      </c>
    </row>
    <row r="15960" spans="5:9" ht="16.5" hidden="1">
      <c r="E15960" s="4" t="str">
        <v/>
      </c>
      <c r="F15960" s="102" t="str">
        <f ca="1">IFERROR(__xludf.DUMMYFUNCTION("IMPORTRANGE(H15960,""IDENTITAS UNIT!D9"")"),"#N/A")</f>
        <v>#N/A</v>
      </c>
      <c r="H15960" s="4" t="str">
        <v/>
      </c>
      <c r="I15960" s="4" t="str">
        <v/>
      </c>
    </row>
    <row r="15961" spans="5:9" ht="16.5" hidden="1">
      <c r="E15961" s="4" t="str">
        <v/>
      </c>
      <c r="F15961" s="102" t="str">
        <f ca="1">IFERROR(__xludf.DUMMYFUNCTION("IMPORTRANGE(H15961,""IDENTITAS UNIT!D9"")"),"#N/A")</f>
        <v>#N/A</v>
      </c>
      <c r="H15961" s="4" t="str">
        <v/>
      </c>
      <c r="I15961" s="4" t="str">
        <v/>
      </c>
    </row>
    <row r="15962" spans="5:9" ht="16.5" hidden="1">
      <c r="E15962" s="4" t="str">
        <v/>
      </c>
      <c r="F15962" s="102" t="str">
        <f ca="1">IFERROR(__xludf.DUMMYFUNCTION("IMPORTRANGE(H15962,""IDENTITAS UNIT!D9"")"),"#N/A")</f>
        <v>#N/A</v>
      </c>
      <c r="H15962" s="4" t="str">
        <v/>
      </c>
      <c r="I15962" s="4" t="str">
        <v/>
      </c>
    </row>
    <row r="15963" spans="5:9" ht="16.5" hidden="1">
      <c r="E15963" s="4" t="str">
        <v/>
      </c>
      <c r="F15963" s="102" t="str">
        <f ca="1">IFERROR(__xludf.DUMMYFUNCTION("IMPORTRANGE(H15963,""IDENTITAS UNIT!D9"")"),"#N/A")</f>
        <v>#N/A</v>
      </c>
      <c r="H15963" s="4" t="str">
        <v/>
      </c>
      <c r="I15963" s="4" t="str">
        <v/>
      </c>
    </row>
    <row r="15964" spans="5:9" ht="16.5" hidden="1">
      <c r="E15964" s="4" t="str">
        <v/>
      </c>
      <c r="F15964" s="102" t="str">
        <f ca="1">IFERROR(__xludf.DUMMYFUNCTION("IMPORTRANGE(H15964,""IDENTITAS UNIT!D9"")"),"#N/A")</f>
        <v>#N/A</v>
      </c>
      <c r="H15964" s="4" t="str">
        <v/>
      </c>
      <c r="I15964" s="4" t="str">
        <v/>
      </c>
    </row>
    <row r="15965" spans="5:9" ht="16.5" hidden="1">
      <c r="E15965" s="4" t="str">
        <v/>
      </c>
      <c r="F15965" s="102" t="str">
        <f ca="1">IFERROR(__xludf.DUMMYFUNCTION("IMPORTRANGE(H15965,""IDENTITAS UNIT!D9"")"),"#N/A")</f>
        <v>#N/A</v>
      </c>
      <c r="H15965" s="4" t="str">
        <v/>
      </c>
      <c r="I15965" s="4" t="str">
        <v/>
      </c>
    </row>
    <row r="15966" spans="5:9" ht="16.5" hidden="1">
      <c r="E15966" s="4" t="str">
        <v/>
      </c>
      <c r="F15966" s="102" t="str">
        <f ca="1">IFERROR(__xludf.DUMMYFUNCTION("IMPORTRANGE(H15966,""IDENTITAS UNIT!D9"")"),"#N/A")</f>
        <v>#N/A</v>
      </c>
      <c r="H15966" s="4" t="str">
        <v/>
      </c>
      <c r="I15966" s="4" t="str">
        <v/>
      </c>
    </row>
    <row r="15967" spans="5:9" ht="16.5" hidden="1">
      <c r="E15967" s="4" t="str">
        <v/>
      </c>
      <c r="F15967" s="102" t="str">
        <f ca="1">IFERROR(__xludf.DUMMYFUNCTION("IMPORTRANGE(H15967,""IDENTITAS UNIT!D9"")"),"#N/A")</f>
        <v>#N/A</v>
      </c>
      <c r="H15967" s="4" t="str">
        <v/>
      </c>
      <c r="I15967" s="4" t="str">
        <v/>
      </c>
    </row>
    <row r="15968" spans="5:9" ht="16.5" hidden="1">
      <c r="E15968" s="4" t="str">
        <v/>
      </c>
      <c r="F15968" s="102" t="str">
        <f ca="1">IFERROR(__xludf.DUMMYFUNCTION("IMPORTRANGE(H15968,""IDENTITAS UNIT!D9"")"),"#N/A")</f>
        <v>#N/A</v>
      </c>
      <c r="H15968" s="4" t="str">
        <v/>
      </c>
      <c r="I15968" s="4" t="str">
        <v/>
      </c>
    </row>
    <row r="15969" spans="5:9" ht="16.5" hidden="1">
      <c r="E15969" s="4" t="str">
        <v/>
      </c>
      <c r="F15969" s="102" t="str">
        <f ca="1">IFERROR(__xludf.DUMMYFUNCTION("IMPORTRANGE(H15969,""IDENTITAS UNIT!D9"")"),"#N/A")</f>
        <v>#N/A</v>
      </c>
      <c r="H15969" s="4" t="str">
        <v/>
      </c>
      <c r="I15969" s="4" t="str">
        <v/>
      </c>
    </row>
    <row r="15970" spans="5:9" ht="16.5" hidden="1">
      <c r="E15970" s="4" t="str">
        <v/>
      </c>
      <c r="F15970" s="102" t="str">
        <f ca="1">IFERROR(__xludf.DUMMYFUNCTION("IMPORTRANGE(H15970,""IDENTITAS UNIT!D9"")"),"#N/A")</f>
        <v>#N/A</v>
      </c>
      <c r="H15970" s="4" t="str">
        <v/>
      </c>
      <c r="I15970" s="4" t="str">
        <v/>
      </c>
    </row>
    <row r="15971" spans="5:9" ht="16.5" hidden="1">
      <c r="E15971" s="4" t="str">
        <v/>
      </c>
      <c r="F15971" s="102" t="str">
        <f ca="1">IFERROR(__xludf.DUMMYFUNCTION("IMPORTRANGE(H15971,""IDENTITAS UNIT!D9"")"),"#N/A")</f>
        <v>#N/A</v>
      </c>
      <c r="H15971" s="4" t="str">
        <v/>
      </c>
      <c r="I15971" s="4" t="str">
        <v/>
      </c>
    </row>
    <row r="15972" spans="5:9" ht="16.5" hidden="1">
      <c r="E15972" s="4" t="str">
        <v/>
      </c>
      <c r="F15972" s="102" t="str">
        <f ca="1">IFERROR(__xludf.DUMMYFUNCTION("IMPORTRANGE(H15972,""IDENTITAS UNIT!D9"")"),"#N/A")</f>
        <v>#N/A</v>
      </c>
      <c r="H15972" s="4" t="str">
        <v/>
      </c>
      <c r="I15972" s="4" t="str">
        <v/>
      </c>
    </row>
    <row r="15973" spans="5:9" ht="16.5" hidden="1">
      <c r="E15973" s="4" t="str">
        <v/>
      </c>
      <c r="F15973" s="102" t="str">
        <f ca="1">IFERROR(__xludf.DUMMYFUNCTION("IMPORTRANGE(H15973,""IDENTITAS UNIT!D9"")"),"#N/A")</f>
        <v>#N/A</v>
      </c>
      <c r="H15973" s="4" t="str">
        <v/>
      </c>
      <c r="I15973" s="4" t="str">
        <v/>
      </c>
    </row>
    <row r="15974" spans="5:9" ht="16.5" hidden="1">
      <c r="E15974" s="4" t="str">
        <v/>
      </c>
      <c r="F15974" s="102" t="str">
        <f ca="1">IFERROR(__xludf.DUMMYFUNCTION("IMPORTRANGE(H15974,""IDENTITAS UNIT!D9"")"),"#N/A")</f>
        <v>#N/A</v>
      </c>
      <c r="H15974" s="4" t="str">
        <v/>
      </c>
      <c r="I15974" s="4" t="str">
        <v/>
      </c>
    </row>
    <row r="15975" spans="5:9" ht="16.5" hidden="1">
      <c r="E15975" s="4" t="str">
        <v/>
      </c>
      <c r="F15975" s="102" t="str">
        <f ca="1">IFERROR(__xludf.DUMMYFUNCTION("IMPORTRANGE(H15975,""IDENTITAS UNIT!D9"")"),"#N/A")</f>
        <v>#N/A</v>
      </c>
      <c r="H15975" s="4" t="str">
        <v/>
      </c>
      <c r="I15975" s="4" t="str">
        <v/>
      </c>
    </row>
    <row r="15976" spans="5:9" ht="16.5" hidden="1">
      <c r="E15976" s="4" t="str">
        <v/>
      </c>
      <c r="F15976" s="102" t="str">
        <f ca="1">IFERROR(__xludf.DUMMYFUNCTION("IMPORTRANGE(H15976,""IDENTITAS UNIT!D9"")"),"#N/A")</f>
        <v>#N/A</v>
      </c>
      <c r="H15976" s="4" t="str">
        <v/>
      </c>
      <c r="I15976" s="4" t="str">
        <v/>
      </c>
    </row>
    <row r="15977" spans="5:9" ht="16.5" hidden="1">
      <c r="E15977" s="4" t="str">
        <v/>
      </c>
      <c r="F15977" s="102" t="str">
        <f ca="1">IFERROR(__xludf.DUMMYFUNCTION("IMPORTRANGE(H15977,""IDENTITAS UNIT!D9"")"),"#N/A")</f>
        <v>#N/A</v>
      </c>
      <c r="H15977" s="4" t="str">
        <v/>
      </c>
      <c r="I15977" s="4" t="str">
        <v/>
      </c>
    </row>
    <row r="15978" spans="5:9" ht="16.5" hidden="1">
      <c r="E15978" s="4" t="str">
        <v/>
      </c>
      <c r="F15978" s="102" t="str">
        <f ca="1">IFERROR(__xludf.DUMMYFUNCTION("IMPORTRANGE(H15978,""IDENTITAS UNIT!D9"")"),"#N/A")</f>
        <v>#N/A</v>
      </c>
      <c r="H15978" s="4" t="str">
        <v/>
      </c>
      <c r="I15978" s="4" t="str">
        <v/>
      </c>
    </row>
    <row r="15979" spans="5:9" ht="16.5" hidden="1">
      <c r="E15979" s="4" t="str">
        <v/>
      </c>
      <c r="F15979" s="102" t="str">
        <f ca="1">IFERROR(__xludf.DUMMYFUNCTION("IMPORTRANGE(H15979,""IDENTITAS UNIT!D9"")"),"#N/A")</f>
        <v>#N/A</v>
      </c>
      <c r="H15979" s="4" t="str">
        <v/>
      </c>
      <c r="I15979" s="4" t="str">
        <v/>
      </c>
    </row>
    <row r="15980" spans="5:9" ht="16.5" hidden="1">
      <c r="E15980" s="4" t="str">
        <v/>
      </c>
      <c r="F15980" s="102" t="str">
        <f ca="1">IFERROR(__xludf.DUMMYFUNCTION("IMPORTRANGE(H15980,""IDENTITAS UNIT!D9"")"),"#N/A")</f>
        <v>#N/A</v>
      </c>
      <c r="H15980" s="4" t="str">
        <v/>
      </c>
      <c r="I15980" s="4" t="str">
        <v/>
      </c>
    </row>
    <row r="15981" spans="5:9" ht="16.5" hidden="1">
      <c r="E15981" s="4" t="str">
        <v/>
      </c>
      <c r="F15981" s="102" t="str">
        <f ca="1">IFERROR(__xludf.DUMMYFUNCTION("IMPORTRANGE(H15981,""IDENTITAS UNIT!D9"")"),"#N/A")</f>
        <v>#N/A</v>
      </c>
      <c r="H15981" s="4" t="str">
        <v/>
      </c>
      <c r="I15981" s="4" t="str">
        <v/>
      </c>
    </row>
    <row r="15982" spans="5:9" ht="16.5" hidden="1">
      <c r="E15982" s="4" t="str">
        <v/>
      </c>
      <c r="F15982" s="102" t="str">
        <f ca="1">IFERROR(__xludf.DUMMYFUNCTION("IMPORTRANGE(H15982,""IDENTITAS UNIT!D9"")"),"#N/A")</f>
        <v>#N/A</v>
      </c>
      <c r="H15982" s="4" t="str">
        <v/>
      </c>
      <c r="I15982" s="4" t="str">
        <v/>
      </c>
    </row>
    <row r="15983" spans="5:9" ht="16.5" hidden="1">
      <c r="E15983" s="4" t="str">
        <v/>
      </c>
      <c r="F15983" s="102" t="str">
        <f ca="1">IFERROR(__xludf.DUMMYFUNCTION("IMPORTRANGE(H15983,""IDENTITAS UNIT!D9"")"),"#N/A")</f>
        <v>#N/A</v>
      </c>
      <c r="H15983" s="4" t="str">
        <v/>
      </c>
      <c r="I15983" s="4" t="str">
        <v/>
      </c>
    </row>
    <row r="15984" spans="5:9" ht="16.5" hidden="1">
      <c r="E15984" s="4" t="str">
        <v/>
      </c>
      <c r="F15984" s="102" t="str">
        <f ca="1">IFERROR(__xludf.DUMMYFUNCTION("IMPORTRANGE(H15984,""IDENTITAS UNIT!D9"")"),"#N/A")</f>
        <v>#N/A</v>
      </c>
      <c r="H15984" s="4" t="str">
        <v/>
      </c>
      <c r="I15984" s="4" t="str">
        <v/>
      </c>
    </row>
    <row r="15985" spans="5:9" ht="16.5" hidden="1">
      <c r="E15985" s="4" t="str">
        <v/>
      </c>
      <c r="F15985" s="102" t="str">
        <f ca="1">IFERROR(__xludf.DUMMYFUNCTION("IMPORTRANGE(H15985,""IDENTITAS UNIT!D9"")"),"#N/A")</f>
        <v>#N/A</v>
      </c>
      <c r="H15985" s="4" t="str">
        <v/>
      </c>
      <c r="I15985" s="4" t="str">
        <v/>
      </c>
    </row>
    <row r="15986" spans="5:9" ht="16.5" hidden="1">
      <c r="E15986" s="4" t="str">
        <v/>
      </c>
      <c r="F15986" s="102" t="str">
        <f ca="1">IFERROR(__xludf.DUMMYFUNCTION("IMPORTRANGE(H15986,""IDENTITAS UNIT!D9"")"),"#N/A")</f>
        <v>#N/A</v>
      </c>
      <c r="H15986" s="4" t="str">
        <v/>
      </c>
      <c r="I15986" s="4" t="str">
        <v/>
      </c>
    </row>
    <row r="15987" spans="5:9" ht="16.5" hidden="1">
      <c r="E15987" s="4" t="str">
        <v/>
      </c>
      <c r="F15987" s="102" t="str">
        <f ca="1">IFERROR(__xludf.DUMMYFUNCTION("IMPORTRANGE(H15987,""IDENTITAS UNIT!D9"")"),"#N/A")</f>
        <v>#N/A</v>
      </c>
      <c r="H15987" s="4" t="str">
        <v/>
      </c>
      <c r="I15987" s="4" t="str">
        <v/>
      </c>
    </row>
    <row r="15988" spans="5:9" ht="16.5" hidden="1">
      <c r="E15988" s="4" t="str">
        <v/>
      </c>
      <c r="F15988" s="102" t="str">
        <f ca="1">IFERROR(__xludf.DUMMYFUNCTION("IMPORTRANGE(H15988,""IDENTITAS UNIT!D9"")"),"#N/A")</f>
        <v>#N/A</v>
      </c>
      <c r="H15988" s="4" t="str">
        <v/>
      </c>
      <c r="I15988" s="4" t="str">
        <v/>
      </c>
    </row>
    <row r="15989" spans="5:9" ht="16.5" hidden="1">
      <c r="E15989" s="4" t="str">
        <v/>
      </c>
      <c r="F15989" s="102" t="str">
        <f ca="1">IFERROR(__xludf.DUMMYFUNCTION("IMPORTRANGE(H15989,""IDENTITAS UNIT!D9"")"),"#N/A")</f>
        <v>#N/A</v>
      </c>
      <c r="H15989" s="4" t="str">
        <v/>
      </c>
      <c r="I15989" s="4" t="str">
        <v/>
      </c>
    </row>
    <row r="15990" spans="5:9" ht="16.5" hidden="1">
      <c r="E15990" s="4" t="str">
        <v/>
      </c>
      <c r="F15990" s="102" t="str">
        <f ca="1">IFERROR(__xludf.DUMMYFUNCTION("IMPORTRANGE(H15990,""IDENTITAS UNIT!D9"")"),"#N/A")</f>
        <v>#N/A</v>
      </c>
      <c r="H15990" s="4" t="str">
        <v/>
      </c>
      <c r="I15990" s="4" t="str">
        <v/>
      </c>
    </row>
    <row r="15991" spans="5:9" ht="16.5" hidden="1">
      <c r="E15991" s="4" t="str">
        <v/>
      </c>
      <c r="F15991" s="102" t="str">
        <f ca="1">IFERROR(__xludf.DUMMYFUNCTION("IMPORTRANGE(H15991,""IDENTITAS UNIT!D9"")"),"#N/A")</f>
        <v>#N/A</v>
      </c>
      <c r="H15991" s="4" t="str">
        <v/>
      </c>
      <c r="I15991" s="4" t="str">
        <v/>
      </c>
    </row>
    <row r="15992" spans="5:9" ht="16.5" hidden="1">
      <c r="E15992" s="4" t="str">
        <v/>
      </c>
      <c r="F15992" s="102" t="str">
        <f ca="1">IFERROR(__xludf.DUMMYFUNCTION("IMPORTRANGE(H15992,""IDENTITAS UNIT!D9"")"),"#N/A")</f>
        <v>#N/A</v>
      </c>
      <c r="H15992" s="4" t="str">
        <v/>
      </c>
      <c r="I15992" s="4" t="str">
        <v/>
      </c>
    </row>
    <row r="15993" spans="5:9" ht="16.5" hidden="1">
      <c r="E15993" s="4" t="str">
        <v/>
      </c>
      <c r="F15993" s="102" t="str">
        <f ca="1">IFERROR(__xludf.DUMMYFUNCTION("IMPORTRANGE(H15993,""IDENTITAS UNIT!D9"")"),"#N/A")</f>
        <v>#N/A</v>
      </c>
      <c r="H15993" s="4" t="str">
        <v/>
      </c>
      <c r="I15993" s="4" t="str">
        <v/>
      </c>
    </row>
    <row r="15994" spans="5:9" ht="16.5" hidden="1">
      <c r="E15994" s="4" t="str">
        <v/>
      </c>
      <c r="F15994" s="102" t="str">
        <f ca="1">IFERROR(__xludf.DUMMYFUNCTION("IMPORTRANGE(H15994,""IDENTITAS UNIT!D9"")"),"#N/A")</f>
        <v>#N/A</v>
      </c>
      <c r="H15994" s="4" t="str">
        <v/>
      </c>
      <c r="I15994" s="4" t="str">
        <v/>
      </c>
    </row>
    <row r="15995" spans="5:9" ht="16.5" hidden="1">
      <c r="E15995" s="4" t="str">
        <v/>
      </c>
      <c r="F15995" s="102" t="str">
        <f ca="1">IFERROR(__xludf.DUMMYFUNCTION("IMPORTRANGE(H15995,""IDENTITAS UNIT!D9"")"),"#N/A")</f>
        <v>#N/A</v>
      </c>
      <c r="H15995" s="4" t="str">
        <v/>
      </c>
      <c r="I15995" s="4" t="str">
        <v/>
      </c>
    </row>
    <row r="15996" spans="5:9" ht="16.5" hidden="1">
      <c r="E15996" s="4" t="str">
        <v/>
      </c>
      <c r="F15996" s="102" t="str">
        <f ca="1">IFERROR(__xludf.DUMMYFUNCTION("IMPORTRANGE(H15996,""IDENTITAS UNIT!D9"")"),"#N/A")</f>
        <v>#N/A</v>
      </c>
      <c r="H15996" s="4" t="str">
        <v/>
      </c>
      <c r="I15996" s="4" t="str">
        <v/>
      </c>
    </row>
    <row r="15997" spans="5:9" ht="16.5" hidden="1">
      <c r="E15997" s="4" t="str">
        <v/>
      </c>
      <c r="F15997" s="102" t="str">
        <f ca="1">IFERROR(__xludf.DUMMYFUNCTION("IMPORTRANGE(H15997,""IDENTITAS UNIT!D9"")"),"#N/A")</f>
        <v>#N/A</v>
      </c>
      <c r="H15997" s="4" t="str">
        <v/>
      </c>
      <c r="I15997" s="4" t="str">
        <v/>
      </c>
    </row>
    <row r="15998" spans="5:9" ht="16.5" hidden="1">
      <c r="E15998" s="4" t="str">
        <v/>
      </c>
      <c r="F15998" s="102" t="str">
        <f ca="1">IFERROR(__xludf.DUMMYFUNCTION("IMPORTRANGE(H15998,""IDENTITAS UNIT!D9"")"),"#N/A")</f>
        <v>#N/A</v>
      </c>
      <c r="H15998" s="4" t="str">
        <v/>
      </c>
      <c r="I15998" s="4" t="str">
        <v/>
      </c>
    </row>
    <row r="15999" spans="5:9" ht="16.5" hidden="1">
      <c r="E15999" s="4" t="str">
        <v/>
      </c>
      <c r="F15999" s="102" t="str">
        <f ca="1">IFERROR(__xludf.DUMMYFUNCTION("IMPORTRANGE(H15999,""IDENTITAS UNIT!D9"")"),"#N/A")</f>
        <v>#N/A</v>
      </c>
      <c r="H15999" s="4" t="str">
        <v/>
      </c>
      <c r="I15999" s="4" t="str">
        <v/>
      </c>
    </row>
    <row r="16000" spans="5:9" ht="16.5" hidden="1">
      <c r="E16000" s="4" t="str">
        <v/>
      </c>
      <c r="F16000" s="102" t="str">
        <f ca="1">IFERROR(__xludf.DUMMYFUNCTION("IMPORTRANGE(H16000,""IDENTITAS UNIT!D9"")"),"#N/A")</f>
        <v>#N/A</v>
      </c>
      <c r="H16000" s="4" t="str">
        <v/>
      </c>
      <c r="I16000" s="4" t="str">
        <v/>
      </c>
    </row>
    <row r="16001" spans="5:9" ht="16.5" hidden="1">
      <c r="E16001" s="4" t="str">
        <v/>
      </c>
      <c r="F16001" s="102" t="str">
        <f ca="1">IFERROR(__xludf.DUMMYFUNCTION("IMPORTRANGE(H16001,""IDENTITAS UNIT!D9"")"),"#N/A")</f>
        <v>#N/A</v>
      </c>
      <c r="H16001" s="4" t="str">
        <v/>
      </c>
      <c r="I16001" s="4" t="str">
        <v/>
      </c>
    </row>
    <row r="16002" spans="5:9" ht="16.5" hidden="1">
      <c r="E16002" s="4" t="str">
        <v/>
      </c>
      <c r="F16002" s="102" t="str">
        <f ca="1">IFERROR(__xludf.DUMMYFUNCTION("IMPORTRANGE(H16002,""IDENTITAS UNIT!D9"")"),"#N/A")</f>
        <v>#N/A</v>
      </c>
      <c r="H16002" s="4" t="str">
        <v/>
      </c>
      <c r="I16002" s="4" t="str">
        <v/>
      </c>
    </row>
    <row r="16003" spans="5:9" ht="16.5" hidden="1">
      <c r="E16003" s="4" t="str">
        <v/>
      </c>
      <c r="F16003" s="102" t="str">
        <f ca="1">IFERROR(__xludf.DUMMYFUNCTION("IMPORTRANGE(H16003,""IDENTITAS UNIT!D9"")"),"#N/A")</f>
        <v>#N/A</v>
      </c>
      <c r="H16003" s="4" t="str">
        <v/>
      </c>
      <c r="I16003" s="4" t="str">
        <v/>
      </c>
    </row>
    <row r="16004" spans="5:9" ht="16.5" hidden="1">
      <c r="E16004" s="4" t="str">
        <v/>
      </c>
      <c r="F16004" s="102" t="str">
        <f ca="1">IFERROR(__xludf.DUMMYFUNCTION("IMPORTRANGE(H16004,""IDENTITAS UNIT!D9"")"),"#N/A")</f>
        <v>#N/A</v>
      </c>
      <c r="H16004" s="4" t="str">
        <v/>
      </c>
      <c r="I16004" s="4" t="str">
        <v/>
      </c>
    </row>
    <row r="16005" spans="5:9" ht="16.5" hidden="1">
      <c r="E16005" s="4" t="str">
        <v/>
      </c>
      <c r="F16005" s="102" t="str">
        <f ca="1">IFERROR(__xludf.DUMMYFUNCTION("IMPORTRANGE(H16005,""IDENTITAS UNIT!D9"")"),"#N/A")</f>
        <v>#N/A</v>
      </c>
      <c r="H16005" s="4" t="str">
        <v/>
      </c>
      <c r="I16005" s="4" t="str">
        <v/>
      </c>
    </row>
    <row r="16006" spans="5:9" ht="16.5" hidden="1">
      <c r="E16006" s="4" t="str">
        <v/>
      </c>
      <c r="F16006" s="102" t="str">
        <f ca="1">IFERROR(__xludf.DUMMYFUNCTION("IMPORTRANGE(H16006,""IDENTITAS UNIT!D9"")"),"#N/A")</f>
        <v>#N/A</v>
      </c>
      <c r="H16006" s="4" t="str">
        <v/>
      </c>
      <c r="I16006" s="4" t="str">
        <v/>
      </c>
    </row>
    <row r="16007" spans="5:9" ht="16.5" hidden="1">
      <c r="E16007" s="4" t="str">
        <v/>
      </c>
      <c r="F16007" s="102" t="str">
        <f ca="1">IFERROR(__xludf.DUMMYFUNCTION("IMPORTRANGE(H16007,""IDENTITAS UNIT!D9"")"),"#N/A")</f>
        <v>#N/A</v>
      </c>
      <c r="H16007" s="4" t="str">
        <v/>
      </c>
      <c r="I16007" s="4" t="str">
        <v/>
      </c>
    </row>
    <row r="16008" spans="5:9" ht="16.5" hidden="1">
      <c r="E16008" s="4" t="str">
        <v/>
      </c>
      <c r="F16008" s="102" t="str">
        <f ca="1">IFERROR(__xludf.DUMMYFUNCTION("IMPORTRANGE(H16008,""IDENTITAS UNIT!D9"")"),"#N/A")</f>
        <v>#N/A</v>
      </c>
      <c r="H16008" s="4" t="str">
        <v/>
      </c>
      <c r="I16008" s="4" t="str">
        <v/>
      </c>
    </row>
    <row r="16009" spans="5:9" ht="16.5" hidden="1">
      <c r="E16009" s="4" t="str">
        <v/>
      </c>
      <c r="F16009" s="102" t="str">
        <f ca="1">IFERROR(__xludf.DUMMYFUNCTION("IMPORTRANGE(H16009,""IDENTITAS UNIT!D9"")"),"#N/A")</f>
        <v>#N/A</v>
      </c>
      <c r="H16009" s="4" t="str">
        <v/>
      </c>
      <c r="I16009" s="4" t="str">
        <v/>
      </c>
    </row>
    <row r="16010" spans="5:9" ht="16.5" hidden="1">
      <c r="E16010" s="4" t="str">
        <v/>
      </c>
      <c r="F16010" s="102" t="str">
        <f ca="1">IFERROR(__xludf.DUMMYFUNCTION("IMPORTRANGE(H16010,""IDENTITAS UNIT!D9"")"),"#N/A")</f>
        <v>#N/A</v>
      </c>
      <c r="H16010" s="4" t="str">
        <v/>
      </c>
      <c r="I16010" s="4" t="str">
        <v/>
      </c>
    </row>
    <row r="16011" spans="5:9" ht="16.5" hidden="1">
      <c r="E16011" s="4" t="str">
        <v/>
      </c>
      <c r="F16011" s="102" t="str">
        <f ca="1">IFERROR(__xludf.DUMMYFUNCTION("IMPORTRANGE(H16011,""IDENTITAS UNIT!D9"")"),"#N/A")</f>
        <v>#N/A</v>
      </c>
      <c r="H16011" s="4" t="str">
        <v/>
      </c>
      <c r="I16011" s="4" t="str">
        <v/>
      </c>
    </row>
    <row r="16012" spans="5:9" ht="16.5" hidden="1">
      <c r="E16012" s="4" t="str">
        <v/>
      </c>
      <c r="F16012" s="102" t="str">
        <f ca="1">IFERROR(__xludf.DUMMYFUNCTION("IMPORTRANGE(H16012,""IDENTITAS UNIT!D9"")"),"#N/A")</f>
        <v>#N/A</v>
      </c>
      <c r="H16012" s="4" t="str">
        <v/>
      </c>
      <c r="I16012" s="4" t="str">
        <v/>
      </c>
    </row>
    <row r="16013" spans="5:9" ht="16.5" hidden="1">
      <c r="E16013" s="4" t="str">
        <v/>
      </c>
      <c r="F16013" s="102" t="str">
        <f ca="1">IFERROR(__xludf.DUMMYFUNCTION("IMPORTRANGE(H16013,""IDENTITAS UNIT!D9"")"),"#N/A")</f>
        <v>#N/A</v>
      </c>
      <c r="H16013" s="4" t="str">
        <v/>
      </c>
      <c r="I16013" s="4" t="str">
        <v/>
      </c>
    </row>
    <row r="16014" spans="5:9" ht="16.5" hidden="1">
      <c r="E16014" s="4" t="str">
        <v/>
      </c>
      <c r="F16014" s="102" t="str">
        <f ca="1">IFERROR(__xludf.DUMMYFUNCTION("IMPORTRANGE(H16014,""IDENTITAS UNIT!D9"")"),"#N/A")</f>
        <v>#N/A</v>
      </c>
      <c r="H16014" s="4" t="str">
        <v/>
      </c>
      <c r="I16014" s="4" t="str">
        <v/>
      </c>
    </row>
    <row r="16015" spans="5:9" ht="16.5" hidden="1">
      <c r="E16015" s="4" t="str">
        <v/>
      </c>
      <c r="F16015" s="102" t="str">
        <f ca="1">IFERROR(__xludf.DUMMYFUNCTION("IMPORTRANGE(H16015,""IDENTITAS UNIT!D9"")"),"#N/A")</f>
        <v>#N/A</v>
      </c>
      <c r="H16015" s="4" t="str">
        <v/>
      </c>
      <c r="I16015" s="4" t="str">
        <v/>
      </c>
    </row>
    <row r="16016" spans="5:9" ht="16.5" hidden="1">
      <c r="E16016" s="4" t="str">
        <v/>
      </c>
      <c r="F16016" s="102" t="str">
        <f ca="1">IFERROR(__xludf.DUMMYFUNCTION("IMPORTRANGE(H16016,""IDENTITAS UNIT!D9"")"),"#N/A")</f>
        <v>#N/A</v>
      </c>
      <c r="H16016" s="4" t="str">
        <v/>
      </c>
      <c r="I16016" s="4" t="str">
        <v/>
      </c>
    </row>
    <row r="16017" spans="5:9" ht="16.5" hidden="1">
      <c r="E16017" s="4" t="str">
        <v/>
      </c>
      <c r="F16017" s="102" t="str">
        <f ca="1">IFERROR(__xludf.DUMMYFUNCTION("IMPORTRANGE(H16017,""IDENTITAS UNIT!D9"")"),"#N/A")</f>
        <v>#N/A</v>
      </c>
      <c r="H16017" s="4" t="str">
        <v/>
      </c>
      <c r="I16017" s="4" t="str">
        <v/>
      </c>
    </row>
    <row r="16018" spans="5:9" ht="16.5" hidden="1">
      <c r="E16018" s="4" t="str">
        <v/>
      </c>
      <c r="F16018" s="102" t="str">
        <f ca="1">IFERROR(__xludf.DUMMYFUNCTION("IMPORTRANGE(H16018,""IDENTITAS UNIT!D9"")"),"#N/A")</f>
        <v>#N/A</v>
      </c>
      <c r="H16018" s="4" t="str">
        <v/>
      </c>
      <c r="I16018" s="4" t="str">
        <v/>
      </c>
    </row>
    <row r="16019" spans="5:9" ht="16.5" hidden="1">
      <c r="E16019" s="4" t="str">
        <v/>
      </c>
      <c r="F16019" s="102" t="str">
        <f ca="1">IFERROR(__xludf.DUMMYFUNCTION("IMPORTRANGE(H16019,""IDENTITAS UNIT!D9"")"),"#N/A")</f>
        <v>#N/A</v>
      </c>
      <c r="H16019" s="4" t="str">
        <v/>
      </c>
      <c r="I16019" s="4" t="str">
        <v/>
      </c>
    </row>
    <row r="16020" spans="5:9" ht="16.5" hidden="1">
      <c r="E16020" s="4" t="str">
        <v/>
      </c>
      <c r="F16020" s="102" t="str">
        <f ca="1">IFERROR(__xludf.DUMMYFUNCTION("IMPORTRANGE(H16020,""IDENTITAS UNIT!D9"")"),"#N/A")</f>
        <v>#N/A</v>
      </c>
      <c r="H16020" s="4" t="str">
        <v/>
      </c>
      <c r="I16020" s="4" t="str">
        <v/>
      </c>
    </row>
    <row r="16021" spans="5:9" ht="16.5" hidden="1">
      <c r="E16021" s="4" t="str">
        <v/>
      </c>
      <c r="F16021" s="102" t="str">
        <f ca="1">IFERROR(__xludf.DUMMYFUNCTION("IMPORTRANGE(H16021,""IDENTITAS UNIT!D9"")"),"#N/A")</f>
        <v>#N/A</v>
      </c>
      <c r="H16021" s="4" t="str">
        <v/>
      </c>
      <c r="I16021" s="4" t="str">
        <v/>
      </c>
    </row>
    <row r="16022" spans="5:9" ht="16.5" hidden="1">
      <c r="E16022" s="4" t="str">
        <v/>
      </c>
      <c r="F16022" s="102" t="str">
        <f ca="1">IFERROR(__xludf.DUMMYFUNCTION("IMPORTRANGE(H16022,""IDENTITAS UNIT!D9"")"),"#N/A")</f>
        <v>#N/A</v>
      </c>
      <c r="H16022" s="4" t="str">
        <v/>
      </c>
      <c r="I16022" s="4" t="str">
        <v/>
      </c>
    </row>
    <row r="16023" spans="5:9" ht="16.5" hidden="1">
      <c r="E16023" s="4" t="str">
        <v/>
      </c>
      <c r="F16023" s="102" t="str">
        <f ca="1">IFERROR(__xludf.DUMMYFUNCTION("IMPORTRANGE(H16023,""IDENTITAS UNIT!D9"")"),"#N/A")</f>
        <v>#N/A</v>
      </c>
      <c r="H16023" s="4" t="str">
        <v/>
      </c>
      <c r="I16023" s="4" t="str">
        <v/>
      </c>
    </row>
    <row r="16024" spans="5:9" ht="16.5" hidden="1">
      <c r="E16024" s="4" t="str">
        <v/>
      </c>
      <c r="F16024" s="102" t="str">
        <f ca="1">IFERROR(__xludf.DUMMYFUNCTION("IMPORTRANGE(H16024,""IDENTITAS UNIT!D9"")"),"#N/A")</f>
        <v>#N/A</v>
      </c>
      <c r="H16024" s="4" t="str">
        <v/>
      </c>
      <c r="I16024" s="4" t="str">
        <v/>
      </c>
    </row>
    <row r="16025" spans="5:9" ht="16.5" hidden="1">
      <c r="E16025" s="4" t="str">
        <v/>
      </c>
      <c r="F16025" s="102" t="str">
        <f ca="1">IFERROR(__xludf.DUMMYFUNCTION("IMPORTRANGE(H16025,""IDENTITAS UNIT!D9"")"),"#N/A")</f>
        <v>#N/A</v>
      </c>
      <c r="H16025" s="4" t="str">
        <v/>
      </c>
      <c r="I16025" s="4" t="str">
        <v/>
      </c>
    </row>
    <row r="16026" spans="5:9" ht="16.5" hidden="1">
      <c r="E16026" s="4" t="str">
        <v/>
      </c>
      <c r="F16026" s="102" t="str">
        <f ca="1">IFERROR(__xludf.DUMMYFUNCTION("IMPORTRANGE(H16026,""IDENTITAS UNIT!D9"")"),"#N/A")</f>
        <v>#N/A</v>
      </c>
      <c r="H16026" s="4" t="str">
        <v/>
      </c>
      <c r="I16026" s="4" t="str">
        <v/>
      </c>
    </row>
    <row r="16027" spans="5:9" ht="16.5" hidden="1">
      <c r="E16027" s="4" t="str">
        <v/>
      </c>
      <c r="F16027" s="102" t="str">
        <f ca="1">IFERROR(__xludf.DUMMYFUNCTION("IMPORTRANGE(H16027,""IDENTITAS UNIT!D9"")"),"#N/A")</f>
        <v>#N/A</v>
      </c>
      <c r="H16027" s="4" t="str">
        <v/>
      </c>
      <c r="I16027" s="4" t="str">
        <v/>
      </c>
    </row>
    <row r="16028" spans="5:9" ht="16.5" hidden="1">
      <c r="E16028" s="4" t="str">
        <v/>
      </c>
      <c r="F16028" s="102" t="str">
        <f ca="1">IFERROR(__xludf.DUMMYFUNCTION("IMPORTRANGE(H16028,""IDENTITAS UNIT!D9"")"),"#N/A")</f>
        <v>#N/A</v>
      </c>
      <c r="H16028" s="4" t="str">
        <v/>
      </c>
      <c r="I16028" s="4" t="str">
        <v/>
      </c>
    </row>
    <row r="16029" spans="5:9" ht="16.5" hidden="1">
      <c r="E16029" s="4" t="str">
        <v/>
      </c>
      <c r="F16029" s="102" t="str">
        <f ca="1">IFERROR(__xludf.DUMMYFUNCTION("IMPORTRANGE(H16029,""IDENTITAS UNIT!D9"")"),"#N/A")</f>
        <v>#N/A</v>
      </c>
      <c r="H16029" s="4" t="str">
        <v/>
      </c>
      <c r="I16029" s="4" t="str">
        <v/>
      </c>
    </row>
    <row r="16030" spans="5:9" ht="16.5" hidden="1">
      <c r="E16030" s="4" t="str">
        <v/>
      </c>
      <c r="F16030" s="102" t="str">
        <f ca="1">IFERROR(__xludf.DUMMYFUNCTION("IMPORTRANGE(H16030,""IDENTITAS UNIT!D9"")"),"#N/A")</f>
        <v>#N/A</v>
      </c>
      <c r="H16030" s="4" t="str">
        <v/>
      </c>
      <c r="I16030" s="4" t="str">
        <v/>
      </c>
    </row>
    <row r="16031" spans="5:9" ht="16.5" hidden="1">
      <c r="E16031" s="4" t="str">
        <v/>
      </c>
      <c r="F16031" s="102" t="str">
        <f ca="1">IFERROR(__xludf.DUMMYFUNCTION("IMPORTRANGE(H16031,""IDENTITAS UNIT!D9"")"),"#N/A")</f>
        <v>#N/A</v>
      </c>
      <c r="H16031" s="4" t="str">
        <v/>
      </c>
      <c r="I16031" s="4" t="str">
        <v/>
      </c>
    </row>
    <row r="16032" spans="5:9" ht="16.5" hidden="1">
      <c r="E16032" s="4" t="str">
        <v/>
      </c>
      <c r="F16032" s="102" t="str">
        <f ca="1">IFERROR(__xludf.DUMMYFUNCTION("IMPORTRANGE(H16032,""IDENTITAS UNIT!D9"")"),"#N/A")</f>
        <v>#N/A</v>
      </c>
      <c r="H16032" s="4" t="str">
        <v/>
      </c>
      <c r="I16032" s="4" t="str">
        <v/>
      </c>
    </row>
    <row r="16033" spans="5:9" ht="16.5" hidden="1">
      <c r="E16033" s="4" t="str">
        <v/>
      </c>
      <c r="F16033" s="102" t="str">
        <f ca="1">IFERROR(__xludf.DUMMYFUNCTION("IMPORTRANGE(H16033,""IDENTITAS UNIT!D9"")"),"#N/A")</f>
        <v>#N/A</v>
      </c>
      <c r="H16033" s="4" t="str">
        <v/>
      </c>
      <c r="I16033" s="4" t="str">
        <v/>
      </c>
    </row>
    <row r="16034" spans="5:9" ht="16.5" hidden="1">
      <c r="E16034" s="4" t="str">
        <v/>
      </c>
      <c r="F16034" s="102" t="str">
        <f ca="1">IFERROR(__xludf.DUMMYFUNCTION("IMPORTRANGE(H16034,""IDENTITAS UNIT!D9"")"),"#N/A")</f>
        <v>#N/A</v>
      </c>
      <c r="H16034" s="4" t="str">
        <v/>
      </c>
      <c r="I16034" s="4" t="str">
        <v/>
      </c>
    </row>
    <row r="16035" spans="5:9" ht="16.5" hidden="1">
      <c r="E16035" s="4" t="str">
        <v/>
      </c>
      <c r="F16035" s="102" t="str">
        <f ca="1">IFERROR(__xludf.DUMMYFUNCTION("IMPORTRANGE(H16035,""IDENTITAS UNIT!D9"")"),"#N/A")</f>
        <v>#N/A</v>
      </c>
      <c r="H16035" s="4" t="str">
        <v/>
      </c>
      <c r="I16035" s="4" t="str">
        <v/>
      </c>
    </row>
    <row r="16036" spans="5:9" ht="16.5" hidden="1">
      <c r="E16036" s="4" t="str">
        <v/>
      </c>
      <c r="F16036" s="102" t="str">
        <f ca="1">IFERROR(__xludf.DUMMYFUNCTION("IMPORTRANGE(H16036,""IDENTITAS UNIT!D9"")"),"#N/A")</f>
        <v>#N/A</v>
      </c>
      <c r="H16036" s="4" t="str">
        <v/>
      </c>
      <c r="I16036" s="4" t="str">
        <v/>
      </c>
    </row>
    <row r="16037" spans="5:9" ht="16.5" hidden="1">
      <c r="E16037" s="4" t="str">
        <v/>
      </c>
      <c r="F16037" s="102" t="str">
        <f ca="1">IFERROR(__xludf.DUMMYFUNCTION("IMPORTRANGE(H16037,""IDENTITAS UNIT!D9"")"),"#N/A")</f>
        <v>#N/A</v>
      </c>
      <c r="H16037" s="4" t="str">
        <v/>
      </c>
      <c r="I16037" s="4" t="str">
        <v/>
      </c>
    </row>
    <row r="16038" spans="5:9" ht="16.5" hidden="1">
      <c r="E16038" s="4" t="str">
        <v/>
      </c>
      <c r="F16038" s="102" t="str">
        <f ca="1">IFERROR(__xludf.DUMMYFUNCTION("IMPORTRANGE(H16038,""IDENTITAS UNIT!D9"")"),"#N/A")</f>
        <v>#N/A</v>
      </c>
      <c r="H16038" s="4" t="str">
        <v/>
      </c>
      <c r="I16038" s="4" t="str">
        <v/>
      </c>
    </row>
    <row r="16039" spans="5:9" ht="16.5" hidden="1">
      <c r="E16039" s="4" t="str">
        <v/>
      </c>
      <c r="F16039" s="102" t="str">
        <f ca="1">IFERROR(__xludf.DUMMYFUNCTION("IMPORTRANGE(H16039,""IDENTITAS UNIT!D9"")"),"#N/A")</f>
        <v>#N/A</v>
      </c>
      <c r="H16039" s="4" t="str">
        <v/>
      </c>
      <c r="I16039" s="4" t="str">
        <v/>
      </c>
    </row>
    <row r="16040" spans="5:9" ht="16.5" hidden="1">
      <c r="E16040" s="4" t="str">
        <v/>
      </c>
      <c r="F16040" s="102" t="str">
        <f ca="1">IFERROR(__xludf.DUMMYFUNCTION("IMPORTRANGE(H16040,""IDENTITAS UNIT!D9"")"),"#N/A")</f>
        <v>#N/A</v>
      </c>
      <c r="H16040" s="4" t="str">
        <v/>
      </c>
      <c r="I16040" s="4" t="str">
        <v/>
      </c>
    </row>
    <row r="16041" spans="5:9" ht="16.5" hidden="1">
      <c r="E16041" s="4" t="str">
        <v/>
      </c>
      <c r="F16041" s="102" t="str">
        <f ca="1">IFERROR(__xludf.DUMMYFUNCTION("IMPORTRANGE(H16041,""IDENTITAS UNIT!D9"")"),"#N/A")</f>
        <v>#N/A</v>
      </c>
      <c r="H16041" s="4" t="str">
        <v/>
      </c>
      <c r="I16041" s="4" t="str">
        <v/>
      </c>
    </row>
    <row r="16042" spans="5:9" ht="16.5" hidden="1">
      <c r="E16042" s="4" t="str">
        <v/>
      </c>
      <c r="F16042" s="102" t="str">
        <f ca="1">IFERROR(__xludf.DUMMYFUNCTION("IMPORTRANGE(H16042,""IDENTITAS UNIT!D9"")"),"#N/A")</f>
        <v>#N/A</v>
      </c>
      <c r="H16042" s="4" t="str">
        <v/>
      </c>
      <c r="I16042" s="4" t="str">
        <v/>
      </c>
    </row>
    <row r="16043" spans="5:9" ht="16.5" hidden="1">
      <c r="E16043" s="4" t="str">
        <v/>
      </c>
      <c r="F16043" s="102" t="str">
        <f ca="1">IFERROR(__xludf.DUMMYFUNCTION("IMPORTRANGE(H16043,""IDENTITAS UNIT!D9"")"),"#N/A")</f>
        <v>#N/A</v>
      </c>
      <c r="H16043" s="4" t="str">
        <v/>
      </c>
      <c r="I16043" s="4" t="str">
        <v/>
      </c>
    </row>
    <row r="16044" spans="5:9" ht="16.5" hidden="1">
      <c r="E16044" s="4" t="str">
        <v/>
      </c>
      <c r="F16044" s="102" t="str">
        <f ca="1">IFERROR(__xludf.DUMMYFUNCTION("IMPORTRANGE(H16044,""IDENTITAS UNIT!D9"")"),"#N/A")</f>
        <v>#N/A</v>
      </c>
      <c r="H16044" s="4" t="str">
        <v/>
      </c>
      <c r="I16044" s="4" t="str">
        <v/>
      </c>
    </row>
    <row r="16045" spans="5:9" ht="16.5" hidden="1">
      <c r="E16045" s="4" t="str">
        <v/>
      </c>
      <c r="F16045" s="102" t="str">
        <f ca="1">IFERROR(__xludf.DUMMYFUNCTION("IMPORTRANGE(H16045,""IDENTITAS UNIT!D9"")"),"#N/A")</f>
        <v>#N/A</v>
      </c>
      <c r="H16045" s="4" t="str">
        <v/>
      </c>
      <c r="I16045" s="4" t="str">
        <v/>
      </c>
    </row>
    <row r="16046" spans="5:9" ht="16.5" hidden="1">
      <c r="E16046" s="4" t="str">
        <v/>
      </c>
      <c r="F16046" s="102" t="str">
        <f ca="1">IFERROR(__xludf.DUMMYFUNCTION("IMPORTRANGE(H16046,""IDENTITAS UNIT!D9"")"),"#N/A")</f>
        <v>#N/A</v>
      </c>
      <c r="H16046" s="4" t="str">
        <v/>
      </c>
      <c r="I16046" s="4" t="str">
        <v/>
      </c>
    </row>
    <row r="16047" spans="5:9" ht="16.5" hidden="1">
      <c r="E16047" s="4" t="str">
        <v/>
      </c>
      <c r="F16047" s="102" t="str">
        <f ca="1">IFERROR(__xludf.DUMMYFUNCTION("IMPORTRANGE(H16047,""IDENTITAS UNIT!D9"")"),"#N/A")</f>
        <v>#N/A</v>
      </c>
      <c r="H16047" s="4" t="str">
        <v/>
      </c>
      <c r="I16047" s="4" t="str">
        <v/>
      </c>
    </row>
    <row r="16048" spans="5:9" ht="16.5" hidden="1">
      <c r="E16048" s="4" t="str">
        <v/>
      </c>
      <c r="F16048" s="102" t="str">
        <f ca="1">IFERROR(__xludf.DUMMYFUNCTION("IMPORTRANGE(H16048,""IDENTITAS UNIT!D9"")"),"#N/A")</f>
        <v>#N/A</v>
      </c>
      <c r="H16048" s="4" t="str">
        <v/>
      </c>
      <c r="I16048" s="4" t="str">
        <v/>
      </c>
    </row>
    <row r="16049" spans="5:9" ht="16.5" hidden="1">
      <c r="E16049" s="4" t="str">
        <v/>
      </c>
      <c r="F16049" s="102" t="str">
        <f ca="1">IFERROR(__xludf.DUMMYFUNCTION("IMPORTRANGE(H16049,""IDENTITAS UNIT!D9"")"),"#N/A")</f>
        <v>#N/A</v>
      </c>
      <c r="H16049" s="4" t="str">
        <v/>
      </c>
      <c r="I16049" s="4" t="str">
        <v/>
      </c>
    </row>
    <row r="16050" spans="5:9" ht="16.5" hidden="1">
      <c r="E16050" s="4" t="str">
        <v/>
      </c>
      <c r="F16050" s="102" t="str">
        <f ca="1">IFERROR(__xludf.DUMMYFUNCTION("IMPORTRANGE(H16050,""IDENTITAS UNIT!D9"")"),"#N/A")</f>
        <v>#N/A</v>
      </c>
      <c r="H16050" s="4" t="str">
        <v/>
      </c>
      <c r="I16050" s="4" t="str">
        <v/>
      </c>
    </row>
    <row r="16051" spans="5:9" ht="16.5" hidden="1">
      <c r="E16051" s="4" t="str">
        <v/>
      </c>
      <c r="F16051" s="102" t="str">
        <f ca="1">IFERROR(__xludf.DUMMYFUNCTION("IMPORTRANGE(H16051,""IDENTITAS UNIT!D9"")"),"#N/A")</f>
        <v>#N/A</v>
      </c>
      <c r="H16051" s="4" t="str">
        <v/>
      </c>
      <c r="I16051" s="4" t="str">
        <v/>
      </c>
    </row>
    <row r="16052" spans="5:9" ht="16.5" hidden="1">
      <c r="E16052" s="4" t="str">
        <v/>
      </c>
      <c r="F16052" s="102" t="str">
        <f ca="1">IFERROR(__xludf.DUMMYFUNCTION("IMPORTRANGE(H16052,""IDENTITAS UNIT!D9"")"),"#N/A")</f>
        <v>#N/A</v>
      </c>
      <c r="H16052" s="4" t="str">
        <v/>
      </c>
      <c r="I16052" s="4" t="str">
        <v/>
      </c>
    </row>
    <row r="16053" spans="5:9" ht="16.5" hidden="1">
      <c r="E16053" s="4" t="str">
        <v/>
      </c>
      <c r="F16053" s="102" t="str">
        <f ca="1">IFERROR(__xludf.DUMMYFUNCTION("IMPORTRANGE(H16053,""IDENTITAS UNIT!D9"")"),"#N/A")</f>
        <v>#N/A</v>
      </c>
      <c r="H16053" s="4" t="str">
        <v/>
      </c>
      <c r="I16053" s="4" t="str">
        <v/>
      </c>
    </row>
    <row r="16054" spans="5:9" ht="16.5" hidden="1">
      <c r="E16054" s="4" t="str">
        <v/>
      </c>
      <c r="F16054" s="102" t="str">
        <f ca="1">IFERROR(__xludf.DUMMYFUNCTION("IMPORTRANGE(H16054,""IDENTITAS UNIT!D9"")"),"#N/A")</f>
        <v>#N/A</v>
      </c>
      <c r="H16054" s="4" t="str">
        <v/>
      </c>
      <c r="I16054" s="4" t="str">
        <v/>
      </c>
    </row>
    <row r="16055" spans="5:9" ht="16.5" hidden="1">
      <c r="E16055" s="4" t="str">
        <v/>
      </c>
      <c r="F16055" s="102" t="str">
        <f ca="1">IFERROR(__xludf.DUMMYFUNCTION("IMPORTRANGE(H16055,""IDENTITAS UNIT!D9"")"),"#N/A")</f>
        <v>#N/A</v>
      </c>
      <c r="H16055" s="4" t="str">
        <v/>
      </c>
      <c r="I16055" s="4" t="str">
        <v/>
      </c>
    </row>
    <row r="16056" spans="5:9" ht="16.5" hidden="1">
      <c r="E16056" s="4" t="str">
        <v/>
      </c>
      <c r="F16056" s="102" t="str">
        <f ca="1">IFERROR(__xludf.DUMMYFUNCTION("IMPORTRANGE(H16056,""IDENTITAS UNIT!D9"")"),"#N/A")</f>
        <v>#N/A</v>
      </c>
      <c r="H16056" s="4" t="str">
        <v/>
      </c>
      <c r="I16056" s="4" t="str">
        <v/>
      </c>
    </row>
    <row r="16057" spans="5:9" ht="16.5" hidden="1">
      <c r="E16057" s="4" t="str">
        <v/>
      </c>
      <c r="F16057" s="102" t="str">
        <f ca="1">IFERROR(__xludf.DUMMYFUNCTION("IMPORTRANGE(H16057,""IDENTITAS UNIT!D9"")"),"#N/A")</f>
        <v>#N/A</v>
      </c>
      <c r="H16057" s="4" t="str">
        <v/>
      </c>
      <c r="I16057" s="4" t="str">
        <v/>
      </c>
    </row>
    <row r="16058" spans="5:9" ht="16.5" hidden="1">
      <c r="E16058" s="4" t="str">
        <v/>
      </c>
      <c r="F16058" s="102" t="str">
        <f ca="1">IFERROR(__xludf.DUMMYFUNCTION("IMPORTRANGE(H16058,""IDENTITAS UNIT!D9"")"),"#N/A")</f>
        <v>#N/A</v>
      </c>
      <c r="H16058" s="4" t="str">
        <v/>
      </c>
      <c r="I16058" s="4" t="str">
        <v/>
      </c>
    </row>
    <row r="16059" spans="5:9" ht="16.5" hidden="1">
      <c r="E16059" s="4" t="str">
        <v/>
      </c>
      <c r="F16059" s="102" t="str">
        <f ca="1">IFERROR(__xludf.DUMMYFUNCTION("IMPORTRANGE(H16059,""IDENTITAS UNIT!D9"")"),"#N/A")</f>
        <v>#N/A</v>
      </c>
      <c r="H16059" s="4" t="str">
        <v/>
      </c>
      <c r="I16059" s="4" t="str">
        <v/>
      </c>
    </row>
    <row r="16060" spans="5:9" ht="16.5" hidden="1">
      <c r="E16060" s="4" t="str">
        <v/>
      </c>
      <c r="F16060" s="102" t="str">
        <f ca="1">IFERROR(__xludf.DUMMYFUNCTION("IMPORTRANGE(H16060,""IDENTITAS UNIT!D9"")"),"#N/A")</f>
        <v>#N/A</v>
      </c>
      <c r="H16060" s="4" t="str">
        <v/>
      </c>
      <c r="I16060" s="4" t="str">
        <v/>
      </c>
    </row>
    <row r="16061" spans="5:9" ht="16.5" hidden="1">
      <c r="E16061" s="4" t="str">
        <v/>
      </c>
      <c r="F16061" s="102" t="str">
        <f ca="1">IFERROR(__xludf.DUMMYFUNCTION("IMPORTRANGE(H16061,""IDENTITAS UNIT!D9"")"),"#N/A")</f>
        <v>#N/A</v>
      </c>
      <c r="H16061" s="4" t="str">
        <v/>
      </c>
      <c r="I16061" s="4" t="str">
        <v/>
      </c>
    </row>
    <row r="16062" spans="5:9" ht="16.5" hidden="1">
      <c r="E16062" s="4" t="str">
        <v/>
      </c>
      <c r="F16062" s="102" t="str">
        <f ca="1">IFERROR(__xludf.DUMMYFUNCTION("IMPORTRANGE(H16062,""IDENTITAS UNIT!D9"")"),"#N/A")</f>
        <v>#N/A</v>
      </c>
      <c r="H16062" s="4" t="str">
        <v/>
      </c>
      <c r="I16062" s="4" t="str">
        <v/>
      </c>
    </row>
    <row r="16063" spans="5:9" ht="16.5" hidden="1">
      <c r="E16063" s="4" t="str">
        <v/>
      </c>
      <c r="F16063" s="102" t="str">
        <f ca="1">IFERROR(__xludf.DUMMYFUNCTION("IMPORTRANGE(H16063,""IDENTITAS UNIT!D9"")"),"#N/A")</f>
        <v>#N/A</v>
      </c>
      <c r="H16063" s="4" t="str">
        <v/>
      </c>
      <c r="I16063" s="4" t="str">
        <v/>
      </c>
    </row>
    <row r="16064" spans="5:9" ht="16.5" hidden="1">
      <c r="E16064" s="4" t="str">
        <v/>
      </c>
      <c r="F16064" s="102" t="str">
        <f ca="1">IFERROR(__xludf.DUMMYFUNCTION("IMPORTRANGE(H16064,""IDENTITAS UNIT!D9"")"),"#N/A")</f>
        <v>#N/A</v>
      </c>
      <c r="H16064" s="4" t="str">
        <v/>
      </c>
      <c r="I16064" s="4" t="str">
        <v/>
      </c>
    </row>
    <row r="16065" spans="5:9" ht="16.5" hidden="1">
      <c r="E16065" s="4" t="str">
        <v/>
      </c>
      <c r="F16065" s="102" t="str">
        <f ca="1">IFERROR(__xludf.DUMMYFUNCTION("IMPORTRANGE(H16065,""IDENTITAS UNIT!D9"")"),"#N/A")</f>
        <v>#N/A</v>
      </c>
      <c r="H16065" s="4" t="str">
        <v/>
      </c>
      <c r="I16065" s="4" t="str">
        <v/>
      </c>
    </row>
    <row r="16066" spans="5:9" ht="16.5" hidden="1">
      <c r="E16066" s="4" t="str">
        <v/>
      </c>
      <c r="F16066" s="102" t="str">
        <f ca="1">IFERROR(__xludf.DUMMYFUNCTION("IMPORTRANGE(H16066,""IDENTITAS UNIT!D9"")"),"#N/A")</f>
        <v>#N/A</v>
      </c>
      <c r="H16066" s="4" t="str">
        <v/>
      </c>
      <c r="I16066" s="4" t="str">
        <v/>
      </c>
    </row>
    <row r="16067" spans="5:9" ht="16.5" hidden="1">
      <c r="E16067" s="4" t="str">
        <v/>
      </c>
      <c r="F16067" s="102" t="str">
        <f ca="1">IFERROR(__xludf.DUMMYFUNCTION("IMPORTRANGE(H16067,""IDENTITAS UNIT!D9"")"),"#N/A")</f>
        <v>#N/A</v>
      </c>
      <c r="H16067" s="4" t="str">
        <v/>
      </c>
      <c r="I16067" s="4" t="str">
        <v/>
      </c>
    </row>
    <row r="16068" spans="5:9" ht="16.5" hidden="1">
      <c r="E16068" s="4" t="str">
        <v/>
      </c>
      <c r="F16068" s="102" t="str">
        <f ca="1">IFERROR(__xludf.DUMMYFUNCTION("IMPORTRANGE(H16068,""IDENTITAS UNIT!D9"")"),"#N/A")</f>
        <v>#N/A</v>
      </c>
      <c r="H16068" s="4" t="str">
        <v/>
      </c>
      <c r="I16068" s="4" t="str">
        <v/>
      </c>
    </row>
    <row r="16069" spans="5:9" ht="16.5" hidden="1">
      <c r="E16069" s="4" t="str">
        <v/>
      </c>
      <c r="F16069" s="102" t="str">
        <f ca="1">IFERROR(__xludf.DUMMYFUNCTION("IMPORTRANGE(H16069,""IDENTITAS UNIT!D9"")"),"#N/A")</f>
        <v>#N/A</v>
      </c>
      <c r="H16069" s="4" t="str">
        <v/>
      </c>
      <c r="I16069" s="4" t="str">
        <v/>
      </c>
    </row>
    <row r="16070" spans="5:9" ht="16.5" hidden="1">
      <c r="E16070" s="4" t="str">
        <v/>
      </c>
      <c r="F16070" s="102" t="str">
        <f ca="1">IFERROR(__xludf.DUMMYFUNCTION("IMPORTRANGE(H16070,""IDENTITAS UNIT!D9"")"),"#N/A")</f>
        <v>#N/A</v>
      </c>
      <c r="H16070" s="4" t="str">
        <v/>
      </c>
      <c r="I16070" s="4" t="str">
        <v/>
      </c>
    </row>
    <row r="16071" spans="5:9" ht="16.5" hidden="1">
      <c r="E16071" s="4" t="str">
        <v/>
      </c>
      <c r="F16071" s="102" t="str">
        <f ca="1">IFERROR(__xludf.DUMMYFUNCTION("IMPORTRANGE(H16071,""IDENTITAS UNIT!D9"")"),"#N/A")</f>
        <v>#N/A</v>
      </c>
      <c r="H16071" s="4" t="str">
        <v/>
      </c>
      <c r="I16071" s="4" t="str">
        <v/>
      </c>
    </row>
    <row r="16072" spans="5:9" ht="16.5" hidden="1">
      <c r="E16072" s="4" t="str">
        <v/>
      </c>
      <c r="F16072" s="102" t="str">
        <f ca="1">IFERROR(__xludf.DUMMYFUNCTION("IMPORTRANGE(H16072,""IDENTITAS UNIT!D9"")"),"#N/A")</f>
        <v>#N/A</v>
      </c>
      <c r="H16072" s="4" t="str">
        <v/>
      </c>
      <c r="I16072" s="4" t="str">
        <v/>
      </c>
    </row>
    <row r="16073" spans="5:9" ht="16.5" hidden="1">
      <c r="E16073" s="4" t="str">
        <v/>
      </c>
      <c r="F16073" s="102" t="str">
        <f ca="1">IFERROR(__xludf.DUMMYFUNCTION("IMPORTRANGE(H16073,""IDENTITAS UNIT!D9"")"),"#N/A")</f>
        <v>#N/A</v>
      </c>
      <c r="H16073" s="4" t="str">
        <v/>
      </c>
      <c r="I16073" s="4" t="str">
        <v/>
      </c>
    </row>
    <row r="16074" spans="5:9" ht="16.5" hidden="1">
      <c r="E16074" s="4" t="str">
        <v/>
      </c>
      <c r="F16074" s="102" t="str">
        <f ca="1">IFERROR(__xludf.DUMMYFUNCTION("IMPORTRANGE(H16074,""IDENTITAS UNIT!D9"")"),"#N/A")</f>
        <v>#N/A</v>
      </c>
      <c r="H16074" s="4" t="str">
        <v/>
      </c>
      <c r="I16074" s="4" t="str">
        <v/>
      </c>
    </row>
    <row r="16075" spans="5:9" ht="16.5" hidden="1">
      <c r="E16075" s="4" t="str">
        <v/>
      </c>
      <c r="F16075" s="102" t="str">
        <f ca="1">IFERROR(__xludf.DUMMYFUNCTION("IMPORTRANGE(H16075,""IDENTITAS UNIT!D9"")"),"#N/A")</f>
        <v>#N/A</v>
      </c>
      <c r="H16075" s="4" t="str">
        <v/>
      </c>
      <c r="I16075" s="4" t="str">
        <v/>
      </c>
    </row>
    <row r="16076" spans="5:9" ht="16.5" hidden="1">
      <c r="E16076" s="4" t="str">
        <v/>
      </c>
      <c r="F16076" s="102" t="str">
        <f ca="1">IFERROR(__xludf.DUMMYFUNCTION("IMPORTRANGE(H16076,""IDENTITAS UNIT!D9"")"),"#N/A")</f>
        <v>#N/A</v>
      </c>
      <c r="H16076" s="4" t="str">
        <v/>
      </c>
      <c r="I16076" s="4" t="str">
        <v/>
      </c>
    </row>
    <row r="16077" spans="5:9" ht="16.5" hidden="1">
      <c r="E16077" s="4" t="str">
        <v/>
      </c>
      <c r="F16077" s="102" t="str">
        <f ca="1">IFERROR(__xludf.DUMMYFUNCTION("IMPORTRANGE(H16077,""IDENTITAS UNIT!D9"")"),"#N/A")</f>
        <v>#N/A</v>
      </c>
      <c r="H16077" s="4" t="str">
        <v/>
      </c>
      <c r="I16077" s="4" t="str">
        <v/>
      </c>
    </row>
    <row r="16078" spans="5:9" ht="16.5" hidden="1">
      <c r="E16078" s="4" t="str">
        <v/>
      </c>
      <c r="F16078" s="102" t="str">
        <f ca="1">IFERROR(__xludf.DUMMYFUNCTION("IMPORTRANGE(H16078,""IDENTITAS UNIT!D9"")"),"#N/A")</f>
        <v>#N/A</v>
      </c>
      <c r="H16078" s="4" t="str">
        <v/>
      </c>
      <c r="I16078" s="4" t="str">
        <v/>
      </c>
    </row>
    <row r="16079" spans="5:9" ht="16.5" hidden="1">
      <c r="E16079" s="4" t="str">
        <v/>
      </c>
      <c r="F16079" s="102" t="str">
        <f ca="1">IFERROR(__xludf.DUMMYFUNCTION("IMPORTRANGE(H16079,""IDENTITAS UNIT!D9"")"),"#N/A")</f>
        <v>#N/A</v>
      </c>
      <c r="H16079" s="4" t="str">
        <v/>
      </c>
      <c r="I16079" s="4" t="str">
        <v/>
      </c>
    </row>
    <row r="16080" spans="5:9" ht="16.5" hidden="1">
      <c r="E16080" s="4" t="str">
        <v/>
      </c>
      <c r="F16080" s="102" t="str">
        <f ca="1">IFERROR(__xludf.DUMMYFUNCTION("IMPORTRANGE(H16080,""IDENTITAS UNIT!D9"")"),"#N/A")</f>
        <v>#N/A</v>
      </c>
      <c r="H16080" s="4" t="str">
        <v/>
      </c>
      <c r="I16080" s="4" t="str">
        <v/>
      </c>
    </row>
    <row r="16081" spans="5:9" ht="16.5" hidden="1">
      <c r="E16081" s="4" t="str">
        <v/>
      </c>
      <c r="F16081" s="102" t="str">
        <f ca="1">IFERROR(__xludf.DUMMYFUNCTION("IMPORTRANGE(H16081,""IDENTITAS UNIT!D9"")"),"#N/A")</f>
        <v>#N/A</v>
      </c>
      <c r="H16081" s="4" t="str">
        <v/>
      </c>
      <c r="I16081" s="4" t="str">
        <v/>
      </c>
    </row>
    <row r="16082" spans="5:9" ht="16.5" hidden="1">
      <c r="E16082" s="4" t="str">
        <v/>
      </c>
      <c r="F16082" s="102" t="str">
        <f ca="1">IFERROR(__xludf.DUMMYFUNCTION("IMPORTRANGE(H16082,""IDENTITAS UNIT!D9"")"),"#N/A")</f>
        <v>#N/A</v>
      </c>
      <c r="H16082" s="4" t="str">
        <v/>
      </c>
      <c r="I16082" s="4" t="str">
        <v/>
      </c>
    </row>
    <row r="16083" spans="5:9" ht="16.5" hidden="1">
      <c r="E16083" s="4" t="str">
        <v/>
      </c>
      <c r="F16083" s="102" t="str">
        <f ca="1">IFERROR(__xludf.DUMMYFUNCTION("IMPORTRANGE(H16083,""IDENTITAS UNIT!D9"")"),"#N/A")</f>
        <v>#N/A</v>
      </c>
      <c r="H16083" s="4" t="str">
        <v/>
      </c>
      <c r="I16083" s="4" t="str">
        <v/>
      </c>
    </row>
    <row r="16084" spans="5:9" ht="16.5" hidden="1">
      <c r="E16084" s="4" t="str">
        <v/>
      </c>
      <c r="F16084" s="102" t="str">
        <f ca="1">IFERROR(__xludf.DUMMYFUNCTION("IMPORTRANGE(H16084,""IDENTITAS UNIT!D9"")"),"#N/A")</f>
        <v>#N/A</v>
      </c>
      <c r="H16084" s="4" t="str">
        <v/>
      </c>
      <c r="I16084" s="4" t="str">
        <v/>
      </c>
    </row>
    <row r="16085" spans="5:9" ht="16.5" hidden="1">
      <c r="E16085" s="4" t="str">
        <v/>
      </c>
      <c r="F16085" s="102" t="str">
        <f ca="1">IFERROR(__xludf.DUMMYFUNCTION("IMPORTRANGE(H16085,""IDENTITAS UNIT!D9"")"),"#N/A")</f>
        <v>#N/A</v>
      </c>
      <c r="H16085" s="4" t="str">
        <v/>
      </c>
      <c r="I16085" s="4" t="str">
        <v/>
      </c>
    </row>
    <row r="16086" spans="5:9" ht="16.5" hidden="1">
      <c r="E16086" s="4" t="str">
        <v/>
      </c>
      <c r="F16086" s="102" t="str">
        <f ca="1">IFERROR(__xludf.DUMMYFUNCTION("IMPORTRANGE(H16086,""IDENTITAS UNIT!D9"")"),"#N/A")</f>
        <v>#N/A</v>
      </c>
      <c r="H16086" s="4" t="str">
        <v/>
      </c>
      <c r="I16086" s="4" t="str">
        <v/>
      </c>
    </row>
    <row r="16087" spans="5:9" ht="16.5" hidden="1">
      <c r="E16087" s="4" t="str">
        <v/>
      </c>
      <c r="F16087" s="102" t="str">
        <f ca="1">IFERROR(__xludf.DUMMYFUNCTION("IMPORTRANGE(H16087,""IDENTITAS UNIT!D9"")"),"#N/A")</f>
        <v>#N/A</v>
      </c>
      <c r="H16087" s="4" t="str">
        <v/>
      </c>
      <c r="I16087" s="4" t="str">
        <v/>
      </c>
    </row>
    <row r="16088" spans="5:9" ht="16.5" hidden="1">
      <c r="E16088" s="4" t="str">
        <v/>
      </c>
      <c r="F16088" s="102" t="str">
        <f ca="1">IFERROR(__xludf.DUMMYFUNCTION("IMPORTRANGE(H16088,""IDENTITAS UNIT!D9"")"),"#N/A")</f>
        <v>#N/A</v>
      </c>
      <c r="H16088" s="4" t="str">
        <v/>
      </c>
      <c r="I16088" s="4" t="str">
        <v/>
      </c>
    </row>
    <row r="16089" spans="5:9" ht="16.5" hidden="1">
      <c r="E16089" s="4" t="str">
        <v/>
      </c>
      <c r="F16089" s="102" t="str">
        <f ca="1">IFERROR(__xludf.DUMMYFUNCTION("IMPORTRANGE(H16089,""IDENTITAS UNIT!D9"")"),"#N/A")</f>
        <v>#N/A</v>
      </c>
      <c r="H16089" s="4" t="str">
        <v/>
      </c>
      <c r="I16089" s="4" t="str">
        <v/>
      </c>
    </row>
    <row r="16090" spans="5:9" ht="16.5" hidden="1">
      <c r="E16090" s="4" t="str">
        <v/>
      </c>
      <c r="F16090" s="102" t="str">
        <f ca="1">IFERROR(__xludf.DUMMYFUNCTION("IMPORTRANGE(H16090,""IDENTITAS UNIT!D9"")"),"#N/A")</f>
        <v>#N/A</v>
      </c>
      <c r="H16090" s="4" t="str">
        <v/>
      </c>
      <c r="I16090" s="4" t="str">
        <v/>
      </c>
    </row>
    <row r="16091" spans="5:9" ht="16.5" hidden="1">
      <c r="E16091" s="4" t="str">
        <v/>
      </c>
      <c r="F16091" s="102" t="str">
        <f ca="1">IFERROR(__xludf.DUMMYFUNCTION("IMPORTRANGE(H16091,""IDENTITAS UNIT!D9"")"),"#N/A")</f>
        <v>#N/A</v>
      </c>
      <c r="H16091" s="4" t="str">
        <v/>
      </c>
      <c r="I16091" s="4" t="str">
        <v/>
      </c>
    </row>
    <row r="16092" spans="5:9" ht="16.5" hidden="1">
      <c r="E16092" s="4" t="str">
        <v/>
      </c>
      <c r="F16092" s="102" t="str">
        <f ca="1">IFERROR(__xludf.DUMMYFUNCTION("IMPORTRANGE(H16092,""IDENTITAS UNIT!D9"")"),"#N/A")</f>
        <v>#N/A</v>
      </c>
      <c r="H16092" s="4" t="str">
        <v/>
      </c>
      <c r="I16092" s="4" t="str">
        <v/>
      </c>
    </row>
    <row r="16093" spans="5:9" ht="16.5" hidden="1">
      <c r="E16093" s="4" t="str">
        <v/>
      </c>
      <c r="F16093" s="102" t="str">
        <f ca="1">IFERROR(__xludf.DUMMYFUNCTION("IMPORTRANGE(H16093,""IDENTITAS UNIT!D9"")"),"#N/A")</f>
        <v>#N/A</v>
      </c>
      <c r="H16093" s="4" t="str">
        <v/>
      </c>
      <c r="I16093" s="4" t="str">
        <v/>
      </c>
    </row>
    <row r="16094" spans="5:9" ht="16.5" hidden="1">
      <c r="E16094" s="4" t="str">
        <v/>
      </c>
      <c r="F16094" s="102" t="str">
        <f ca="1">IFERROR(__xludf.DUMMYFUNCTION("IMPORTRANGE(H16094,""IDENTITAS UNIT!D9"")"),"#N/A")</f>
        <v>#N/A</v>
      </c>
      <c r="H16094" s="4" t="str">
        <v/>
      </c>
      <c r="I16094" s="4" t="str">
        <v/>
      </c>
    </row>
    <row r="16095" spans="5:9" ht="16.5" hidden="1">
      <c r="E16095" s="4" t="str">
        <v/>
      </c>
      <c r="F16095" s="102" t="str">
        <f ca="1">IFERROR(__xludf.DUMMYFUNCTION("IMPORTRANGE(H16095,""IDENTITAS UNIT!D9"")"),"#N/A")</f>
        <v>#N/A</v>
      </c>
      <c r="H16095" s="4" t="str">
        <v/>
      </c>
      <c r="I16095" s="4" t="str">
        <v/>
      </c>
    </row>
    <row r="16096" spans="5:9" ht="16.5" hidden="1">
      <c r="E16096" s="4" t="str">
        <v/>
      </c>
      <c r="F16096" s="102" t="str">
        <f ca="1">IFERROR(__xludf.DUMMYFUNCTION("IMPORTRANGE(H16096,""IDENTITAS UNIT!D9"")"),"#N/A")</f>
        <v>#N/A</v>
      </c>
      <c r="H16096" s="4" t="str">
        <v/>
      </c>
      <c r="I16096" s="4" t="str">
        <v/>
      </c>
    </row>
    <row r="16097" spans="5:9" ht="16.5" hidden="1">
      <c r="E16097" s="4" t="str">
        <v/>
      </c>
      <c r="F16097" s="102" t="str">
        <f ca="1">IFERROR(__xludf.DUMMYFUNCTION("IMPORTRANGE(H16097,""IDENTITAS UNIT!D9"")"),"#N/A")</f>
        <v>#N/A</v>
      </c>
      <c r="H16097" s="4" t="str">
        <v/>
      </c>
      <c r="I16097" s="4" t="str">
        <v/>
      </c>
    </row>
    <row r="16098" spans="5:9" ht="16.5" hidden="1">
      <c r="E16098" s="4" t="str">
        <v/>
      </c>
      <c r="F16098" s="102" t="str">
        <f ca="1">IFERROR(__xludf.DUMMYFUNCTION("IMPORTRANGE(H16098,""IDENTITAS UNIT!D9"")"),"#N/A")</f>
        <v>#N/A</v>
      </c>
      <c r="H16098" s="4" t="str">
        <v/>
      </c>
      <c r="I16098" s="4" t="str">
        <v/>
      </c>
    </row>
    <row r="16099" spans="5:9" ht="16.5" hidden="1">
      <c r="E16099" s="4" t="str">
        <v/>
      </c>
      <c r="F16099" s="102" t="str">
        <f ca="1">IFERROR(__xludf.DUMMYFUNCTION("IMPORTRANGE(H16099,""IDENTITAS UNIT!D9"")"),"#N/A")</f>
        <v>#N/A</v>
      </c>
      <c r="H16099" s="4" t="str">
        <v/>
      </c>
      <c r="I16099" s="4" t="str">
        <v/>
      </c>
    </row>
    <row r="16100" spans="5:9" ht="16.5" hidden="1">
      <c r="E16100" s="4" t="str">
        <v/>
      </c>
      <c r="F16100" s="102" t="str">
        <f ca="1">IFERROR(__xludf.DUMMYFUNCTION("IMPORTRANGE(H16100,""IDENTITAS UNIT!D9"")"),"#N/A")</f>
        <v>#N/A</v>
      </c>
      <c r="H16100" s="4" t="str">
        <v/>
      </c>
      <c r="I16100" s="4" t="str">
        <v/>
      </c>
    </row>
    <row r="16101" spans="5:9" ht="16.5" hidden="1">
      <c r="E16101" s="4" t="str">
        <v/>
      </c>
      <c r="F16101" s="102" t="str">
        <f ca="1">IFERROR(__xludf.DUMMYFUNCTION("IMPORTRANGE(H16101,""IDENTITAS UNIT!D9"")"),"#N/A")</f>
        <v>#N/A</v>
      </c>
      <c r="H16101" s="4" t="str">
        <v/>
      </c>
      <c r="I16101" s="4" t="str">
        <v/>
      </c>
    </row>
    <row r="16102" spans="5:9" ht="16.5" hidden="1">
      <c r="E16102" s="4" t="str">
        <v/>
      </c>
      <c r="F16102" s="102" t="str">
        <f ca="1">IFERROR(__xludf.DUMMYFUNCTION("IMPORTRANGE(H16102,""IDENTITAS UNIT!D9"")"),"#N/A")</f>
        <v>#N/A</v>
      </c>
      <c r="H16102" s="4" t="str">
        <v/>
      </c>
      <c r="I16102" s="4" t="str">
        <v/>
      </c>
    </row>
    <row r="16103" spans="5:9" ht="16.5" hidden="1">
      <c r="E16103" s="4" t="str">
        <v/>
      </c>
      <c r="F16103" s="102" t="str">
        <f ca="1">IFERROR(__xludf.DUMMYFUNCTION("IMPORTRANGE(H16103,""IDENTITAS UNIT!D9"")"),"#N/A")</f>
        <v>#N/A</v>
      </c>
      <c r="H16103" s="4" t="str">
        <v/>
      </c>
      <c r="I16103" s="4" t="str">
        <v/>
      </c>
    </row>
    <row r="16104" spans="5:9" ht="16.5" hidden="1">
      <c r="E16104" s="4" t="str">
        <v/>
      </c>
      <c r="F16104" s="102" t="str">
        <f ca="1">IFERROR(__xludf.DUMMYFUNCTION("IMPORTRANGE(H16104,""IDENTITAS UNIT!D9"")"),"#N/A")</f>
        <v>#N/A</v>
      </c>
      <c r="H16104" s="4" t="str">
        <v/>
      </c>
      <c r="I16104" s="4" t="str">
        <v/>
      </c>
    </row>
    <row r="16105" spans="5:9" ht="16.5" hidden="1">
      <c r="E16105" s="4" t="str">
        <v/>
      </c>
      <c r="F16105" s="102" t="str">
        <f ca="1">IFERROR(__xludf.DUMMYFUNCTION("IMPORTRANGE(H16105,""IDENTITAS UNIT!D9"")"),"#N/A")</f>
        <v>#N/A</v>
      </c>
      <c r="H16105" s="4" t="str">
        <v/>
      </c>
      <c r="I16105" s="4" t="str">
        <v/>
      </c>
    </row>
    <row r="16106" spans="5:9" ht="16.5" hidden="1">
      <c r="E16106" s="4" t="str">
        <v/>
      </c>
      <c r="F16106" s="102" t="str">
        <f ca="1">IFERROR(__xludf.DUMMYFUNCTION("IMPORTRANGE(H16106,""IDENTITAS UNIT!D9"")"),"#N/A")</f>
        <v>#N/A</v>
      </c>
      <c r="H16106" s="4" t="str">
        <v/>
      </c>
      <c r="I16106" s="4" t="str">
        <v/>
      </c>
    </row>
    <row r="16107" spans="5:9" ht="16.5" hidden="1">
      <c r="E16107" s="4" t="str">
        <v/>
      </c>
      <c r="F16107" s="102" t="str">
        <f ca="1">IFERROR(__xludf.DUMMYFUNCTION("IMPORTRANGE(H16107,""IDENTITAS UNIT!D9"")"),"#N/A")</f>
        <v>#N/A</v>
      </c>
      <c r="H16107" s="4" t="str">
        <v/>
      </c>
      <c r="I16107" s="4" t="str">
        <v/>
      </c>
    </row>
    <row r="16108" spans="5:9" ht="16.5" hidden="1">
      <c r="E16108" s="4" t="str">
        <v/>
      </c>
      <c r="F16108" s="102" t="str">
        <f ca="1">IFERROR(__xludf.DUMMYFUNCTION("IMPORTRANGE(H16108,""IDENTITAS UNIT!D9"")"),"#N/A")</f>
        <v>#N/A</v>
      </c>
      <c r="H16108" s="4" t="str">
        <v/>
      </c>
      <c r="I16108" s="4" t="str">
        <v/>
      </c>
    </row>
    <row r="16109" spans="5:9" ht="16.5" hidden="1">
      <c r="E16109" s="4" t="str">
        <v/>
      </c>
      <c r="F16109" s="102" t="str">
        <f ca="1">IFERROR(__xludf.DUMMYFUNCTION("IMPORTRANGE(H16109,""IDENTITAS UNIT!D9"")"),"#N/A")</f>
        <v>#N/A</v>
      </c>
      <c r="H16109" s="4" t="str">
        <v/>
      </c>
      <c r="I16109" s="4" t="str">
        <v/>
      </c>
    </row>
    <row r="16110" spans="5:9" ht="16.5" hidden="1">
      <c r="E16110" s="4" t="str">
        <v/>
      </c>
      <c r="F16110" s="102" t="str">
        <f ca="1">IFERROR(__xludf.DUMMYFUNCTION("IMPORTRANGE(H16110,""IDENTITAS UNIT!D9"")"),"#N/A")</f>
        <v>#N/A</v>
      </c>
      <c r="H16110" s="4" t="str">
        <v/>
      </c>
      <c r="I16110" s="4" t="str">
        <v/>
      </c>
    </row>
    <row r="16111" spans="5:9" ht="16.5" hidden="1">
      <c r="E16111" s="4" t="str">
        <v/>
      </c>
      <c r="F16111" s="102" t="str">
        <f ca="1">IFERROR(__xludf.DUMMYFUNCTION("IMPORTRANGE(H16111,""IDENTITAS UNIT!D9"")"),"#N/A")</f>
        <v>#N/A</v>
      </c>
      <c r="H16111" s="4" t="str">
        <v/>
      </c>
      <c r="I16111" s="4" t="str">
        <v/>
      </c>
    </row>
    <row r="16112" spans="5:9" ht="16.5" hidden="1">
      <c r="E16112" s="4" t="str">
        <v/>
      </c>
      <c r="F16112" s="102" t="str">
        <f ca="1">IFERROR(__xludf.DUMMYFUNCTION("IMPORTRANGE(H16112,""IDENTITAS UNIT!D9"")"),"#N/A")</f>
        <v>#N/A</v>
      </c>
      <c r="H16112" s="4" t="str">
        <v/>
      </c>
      <c r="I16112" s="4" t="str">
        <v/>
      </c>
    </row>
    <row r="16113" spans="5:9" ht="16.5" hidden="1">
      <c r="E16113" s="4" t="str">
        <v/>
      </c>
      <c r="F16113" s="102" t="str">
        <f ca="1">IFERROR(__xludf.DUMMYFUNCTION("IMPORTRANGE(H16113,""IDENTITAS UNIT!D9"")"),"#N/A")</f>
        <v>#N/A</v>
      </c>
      <c r="H16113" s="4" t="str">
        <v/>
      </c>
      <c r="I16113" s="4" t="str">
        <v/>
      </c>
    </row>
    <row r="16114" spans="5:9" ht="16.5" hidden="1">
      <c r="E16114" s="4" t="str">
        <v/>
      </c>
      <c r="F16114" s="102" t="str">
        <f ca="1">IFERROR(__xludf.DUMMYFUNCTION("IMPORTRANGE(H16114,""IDENTITAS UNIT!D9"")"),"#N/A")</f>
        <v>#N/A</v>
      </c>
      <c r="H16114" s="4" t="str">
        <v/>
      </c>
      <c r="I16114" s="4" t="str">
        <v/>
      </c>
    </row>
    <row r="16115" spans="5:9" ht="16.5" hidden="1">
      <c r="E16115" s="4" t="str">
        <v/>
      </c>
      <c r="F16115" s="102" t="str">
        <f ca="1">IFERROR(__xludf.DUMMYFUNCTION("IMPORTRANGE(H16115,""IDENTITAS UNIT!D9"")"),"#N/A")</f>
        <v>#N/A</v>
      </c>
      <c r="H16115" s="4" t="str">
        <v/>
      </c>
      <c r="I16115" s="4" t="str">
        <v/>
      </c>
    </row>
    <row r="16116" spans="5:9" ht="16.5" hidden="1">
      <c r="E16116" s="4" t="str">
        <v/>
      </c>
      <c r="F16116" s="102" t="str">
        <f ca="1">IFERROR(__xludf.DUMMYFUNCTION("IMPORTRANGE(H16116,""IDENTITAS UNIT!D9"")"),"#N/A")</f>
        <v>#N/A</v>
      </c>
      <c r="H16116" s="4" t="str">
        <v/>
      </c>
      <c r="I16116" s="4" t="str">
        <v/>
      </c>
    </row>
    <row r="16117" spans="5:9" ht="16.5" hidden="1">
      <c r="E16117" s="4" t="str">
        <v/>
      </c>
      <c r="F16117" s="102" t="str">
        <f ca="1">IFERROR(__xludf.DUMMYFUNCTION("IMPORTRANGE(H16117,""IDENTITAS UNIT!D9"")"),"#N/A")</f>
        <v>#N/A</v>
      </c>
      <c r="H16117" s="4" t="str">
        <v/>
      </c>
      <c r="I16117" s="4" t="str">
        <v/>
      </c>
    </row>
    <row r="16118" spans="5:9" ht="16.5" hidden="1">
      <c r="E16118" s="4" t="str">
        <v/>
      </c>
      <c r="F16118" s="102" t="str">
        <f ca="1">IFERROR(__xludf.DUMMYFUNCTION("IMPORTRANGE(H16118,""IDENTITAS UNIT!D9"")"),"#N/A")</f>
        <v>#N/A</v>
      </c>
      <c r="H16118" s="4" t="str">
        <v/>
      </c>
      <c r="I16118" s="4" t="str">
        <v/>
      </c>
    </row>
    <row r="16119" spans="5:9" ht="16.5" hidden="1">
      <c r="E16119" s="4" t="str">
        <v/>
      </c>
      <c r="F16119" s="102" t="str">
        <f ca="1">IFERROR(__xludf.DUMMYFUNCTION("IMPORTRANGE(H16119,""IDENTITAS UNIT!D9"")"),"#N/A")</f>
        <v>#N/A</v>
      </c>
      <c r="H16119" s="4" t="str">
        <v/>
      </c>
      <c r="I16119" s="4" t="str">
        <v/>
      </c>
    </row>
    <row r="16120" spans="5:9" ht="16.5" hidden="1">
      <c r="E16120" s="4" t="str">
        <v/>
      </c>
      <c r="F16120" s="102" t="str">
        <f ca="1">IFERROR(__xludf.DUMMYFUNCTION("IMPORTRANGE(H16120,""IDENTITAS UNIT!D9"")"),"#N/A")</f>
        <v>#N/A</v>
      </c>
      <c r="H16120" s="4" t="str">
        <v/>
      </c>
      <c r="I16120" s="4" t="str">
        <v/>
      </c>
    </row>
    <row r="16121" spans="5:9" ht="16.5" hidden="1">
      <c r="E16121" s="4" t="str">
        <v/>
      </c>
      <c r="F16121" s="102" t="str">
        <f ca="1">IFERROR(__xludf.DUMMYFUNCTION("IMPORTRANGE(H16121,""IDENTITAS UNIT!D9"")"),"#N/A")</f>
        <v>#N/A</v>
      </c>
      <c r="H16121" s="4" t="str">
        <v/>
      </c>
      <c r="I16121" s="4" t="str">
        <v/>
      </c>
    </row>
    <row r="16122" spans="5:9" ht="16.5" hidden="1">
      <c r="E16122" s="4" t="str">
        <v/>
      </c>
      <c r="F16122" s="102" t="str">
        <f ca="1">IFERROR(__xludf.DUMMYFUNCTION("IMPORTRANGE(H16122,""IDENTITAS UNIT!D9"")"),"#N/A")</f>
        <v>#N/A</v>
      </c>
      <c r="H16122" s="4" t="str">
        <v/>
      </c>
      <c r="I16122" s="4" t="str">
        <v/>
      </c>
    </row>
    <row r="16123" spans="5:9" ht="16.5" hidden="1">
      <c r="E16123" s="4" t="str">
        <v/>
      </c>
      <c r="F16123" s="102" t="str">
        <f ca="1">IFERROR(__xludf.DUMMYFUNCTION("IMPORTRANGE(H16123,""IDENTITAS UNIT!D9"")"),"#N/A")</f>
        <v>#N/A</v>
      </c>
      <c r="H16123" s="4" t="str">
        <v/>
      </c>
      <c r="I16123" s="4" t="str">
        <v/>
      </c>
    </row>
    <row r="16124" spans="5:9" ht="16.5" hidden="1">
      <c r="E16124" s="4" t="str">
        <v/>
      </c>
      <c r="F16124" s="102" t="str">
        <f ca="1">IFERROR(__xludf.DUMMYFUNCTION("IMPORTRANGE(H16124,""IDENTITAS UNIT!D9"")"),"#N/A")</f>
        <v>#N/A</v>
      </c>
      <c r="H16124" s="4" t="str">
        <v/>
      </c>
      <c r="I16124" s="4" t="str">
        <v/>
      </c>
    </row>
    <row r="16125" spans="5:9" ht="16.5" hidden="1">
      <c r="E16125" s="4" t="str">
        <v/>
      </c>
      <c r="F16125" s="102" t="str">
        <f ca="1">IFERROR(__xludf.DUMMYFUNCTION("IMPORTRANGE(H16125,""IDENTITAS UNIT!D9"")"),"#N/A")</f>
        <v>#N/A</v>
      </c>
      <c r="H16125" s="4" t="str">
        <v/>
      </c>
      <c r="I16125" s="4" t="str">
        <v/>
      </c>
    </row>
    <row r="16126" spans="5:9" ht="16.5" hidden="1">
      <c r="E16126" s="4" t="str">
        <v/>
      </c>
      <c r="F16126" s="102" t="str">
        <f ca="1">IFERROR(__xludf.DUMMYFUNCTION("IMPORTRANGE(H16126,""IDENTITAS UNIT!D9"")"),"#N/A")</f>
        <v>#N/A</v>
      </c>
      <c r="H16126" s="4" t="str">
        <v/>
      </c>
      <c r="I16126" s="4" t="str">
        <v/>
      </c>
    </row>
    <row r="16127" spans="5:9" ht="16.5" hidden="1">
      <c r="E16127" s="4" t="str">
        <v/>
      </c>
      <c r="F16127" s="102" t="str">
        <f ca="1">IFERROR(__xludf.DUMMYFUNCTION("IMPORTRANGE(H16127,""IDENTITAS UNIT!D9"")"),"#N/A")</f>
        <v>#N/A</v>
      </c>
      <c r="H16127" s="4" t="str">
        <v/>
      </c>
      <c r="I16127" s="4" t="str">
        <v/>
      </c>
    </row>
    <row r="16128" spans="5:9" ht="16.5" hidden="1">
      <c r="E16128" s="4" t="str">
        <v/>
      </c>
      <c r="F16128" s="102" t="str">
        <f ca="1">IFERROR(__xludf.DUMMYFUNCTION("IMPORTRANGE(H16128,""IDENTITAS UNIT!D9"")"),"#N/A")</f>
        <v>#N/A</v>
      </c>
      <c r="H16128" s="4" t="str">
        <v/>
      </c>
      <c r="I16128" s="4" t="str">
        <v/>
      </c>
    </row>
    <row r="16129" spans="5:9" ht="16.5" hidden="1">
      <c r="E16129" s="4" t="str">
        <v/>
      </c>
      <c r="F16129" s="102" t="str">
        <f ca="1">IFERROR(__xludf.DUMMYFUNCTION("IMPORTRANGE(H16129,""IDENTITAS UNIT!D9"")"),"#N/A")</f>
        <v>#N/A</v>
      </c>
      <c r="H16129" s="4" t="str">
        <v/>
      </c>
      <c r="I16129" s="4" t="str">
        <v/>
      </c>
    </row>
    <row r="16130" spans="5:9" ht="16.5" hidden="1">
      <c r="E16130" s="4" t="str">
        <v/>
      </c>
      <c r="F16130" s="102" t="str">
        <f ca="1">IFERROR(__xludf.DUMMYFUNCTION("IMPORTRANGE(H16130,""IDENTITAS UNIT!D9"")"),"#N/A")</f>
        <v>#N/A</v>
      </c>
      <c r="H16130" s="4" t="str">
        <v/>
      </c>
      <c r="I16130" s="4" t="str">
        <v/>
      </c>
    </row>
    <row r="16131" spans="5:9" ht="16.5" hidden="1">
      <c r="E16131" s="4" t="str">
        <v/>
      </c>
      <c r="F16131" s="102" t="str">
        <f ca="1">IFERROR(__xludf.DUMMYFUNCTION("IMPORTRANGE(H16131,""IDENTITAS UNIT!D9"")"),"#N/A")</f>
        <v>#N/A</v>
      </c>
      <c r="H16131" s="4" t="str">
        <v/>
      </c>
      <c r="I16131" s="4" t="str">
        <v/>
      </c>
    </row>
    <row r="16132" spans="5:9" ht="16.5" hidden="1">
      <c r="E16132" s="4" t="str">
        <v/>
      </c>
      <c r="F16132" s="102" t="str">
        <f ca="1">IFERROR(__xludf.DUMMYFUNCTION("IMPORTRANGE(H16132,""IDENTITAS UNIT!D9"")"),"#N/A")</f>
        <v>#N/A</v>
      </c>
      <c r="H16132" s="4" t="str">
        <v/>
      </c>
      <c r="I16132" s="4" t="str">
        <v/>
      </c>
    </row>
    <row r="16133" spans="5:9" ht="16.5" hidden="1">
      <c r="E16133" s="4" t="str">
        <v/>
      </c>
      <c r="F16133" s="102" t="str">
        <f ca="1">IFERROR(__xludf.DUMMYFUNCTION("IMPORTRANGE(H16133,""IDENTITAS UNIT!D9"")"),"#N/A")</f>
        <v>#N/A</v>
      </c>
      <c r="H16133" s="4" t="str">
        <v/>
      </c>
      <c r="I16133" s="4" t="str">
        <v/>
      </c>
    </row>
    <row r="16134" spans="5:9" ht="16.5" hidden="1">
      <c r="E16134" s="4" t="str">
        <v/>
      </c>
      <c r="F16134" s="102" t="str">
        <f ca="1">IFERROR(__xludf.DUMMYFUNCTION("IMPORTRANGE(H16134,""IDENTITAS UNIT!D9"")"),"#N/A")</f>
        <v>#N/A</v>
      </c>
      <c r="H16134" s="4" t="str">
        <v/>
      </c>
      <c r="I16134" s="4" t="str">
        <v/>
      </c>
    </row>
    <row r="16135" spans="5:9" ht="16.5" hidden="1">
      <c r="E16135" s="4" t="str">
        <v/>
      </c>
      <c r="F16135" s="102" t="str">
        <f ca="1">IFERROR(__xludf.DUMMYFUNCTION("IMPORTRANGE(H16135,""IDENTITAS UNIT!D9"")"),"#N/A")</f>
        <v>#N/A</v>
      </c>
      <c r="H16135" s="4" t="str">
        <v/>
      </c>
      <c r="I16135" s="4" t="str">
        <v/>
      </c>
    </row>
    <row r="16136" spans="5:9" ht="16.5" hidden="1">
      <c r="E16136" s="4" t="str">
        <v/>
      </c>
      <c r="F16136" s="102" t="str">
        <f ca="1">IFERROR(__xludf.DUMMYFUNCTION("IMPORTRANGE(H16136,""IDENTITAS UNIT!D9"")"),"#N/A")</f>
        <v>#N/A</v>
      </c>
      <c r="H16136" s="4" t="str">
        <v/>
      </c>
      <c r="I16136" s="4" t="str">
        <v/>
      </c>
    </row>
    <row r="16137" spans="5:9" ht="16.5" hidden="1">
      <c r="E16137" s="4" t="str">
        <v/>
      </c>
      <c r="F16137" s="102" t="str">
        <f ca="1">IFERROR(__xludf.DUMMYFUNCTION("IMPORTRANGE(H16137,""IDENTITAS UNIT!D9"")"),"#N/A")</f>
        <v>#N/A</v>
      </c>
      <c r="H16137" s="4" t="str">
        <v/>
      </c>
      <c r="I16137" s="4" t="str">
        <v/>
      </c>
    </row>
    <row r="16138" spans="5:9" ht="16.5" hidden="1">
      <c r="E16138" s="4" t="str">
        <v/>
      </c>
      <c r="F16138" s="102" t="str">
        <f ca="1">IFERROR(__xludf.DUMMYFUNCTION("IMPORTRANGE(H16138,""IDENTITAS UNIT!D9"")"),"#N/A")</f>
        <v>#N/A</v>
      </c>
      <c r="H16138" s="4" t="str">
        <v/>
      </c>
      <c r="I16138" s="4" t="str">
        <v/>
      </c>
    </row>
    <row r="16139" spans="5:9" ht="16.5" hidden="1">
      <c r="E16139" s="4" t="str">
        <v/>
      </c>
      <c r="F16139" s="102" t="str">
        <f ca="1">IFERROR(__xludf.DUMMYFUNCTION("IMPORTRANGE(H16139,""IDENTITAS UNIT!D9"")"),"#N/A")</f>
        <v>#N/A</v>
      </c>
      <c r="H16139" s="4" t="str">
        <v/>
      </c>
      <c r="I16139" s="4" t="str">
        <v/>
      </c>
    </row>
    <row r="16140" spans="5:9" ht="16.5" hidden="1">
      <c r="E16140" s="4" t="str">
        <v/>
      </c>
      <c r="F16140" s="102" t="str">
        <f ca="1">IFERROR(__xludf.DUMMYFUNCTION("IMPORTRANGE(H16140,""IDENTITAS UNIT!D9"")"),"#N/A")</f>
        <v>#N/A</v>
      </c>
      <c r="H16140" s="4" t="str">
        <v/>
      </c>
      <c r="I16140" s="4" t="str">
        <v/>
      </c>
    </row>
    <row r="16141" spans="5:9" ht="16.5" hidden="1">
      <c r="E16141" s="4" t="str">
        <v/>
      </c>
      <c r="F16141" s="102" t="str">
        <f ca="1">IFERROR(__xludf.DUMMYFUNCTION("IMPORTRANGE(H16141,""IDENTITAS UNIT!D9"")"),"#N/A")</f>
        <v>#N/A</v>
      </c>
      <c r="H16141" s="4" t="str">
        <v/>
      </c>
      <c r="I16141" s="4" t="str">
        <v/>
      </c>
    </row>
    <row r="16142" spans="5:9" ht="16.5" hidden="1">
      <c r="E16142" s="4" t="str">
        <v/>
      </c>
      <c r="F16142" s="102" t="str">
        <f ca="1">IFERROR(__xludf.DUMMYFUNCTION("IMPORTRANGE(H16142,""IDENTITAS UNIT!D9"")"),"#N/A")</f>
        <v>#N/A</v>
      </c>
      <c r="H16142" s="4" t="str">
        <v/>
      </c>
      <c r="I16142" s="4" t="str">
        <v/>
      </c>
    </row>
    <row r="16143" spans="5:9" ht="16.5" hidden="1">
      <c r="E16143" s="4" t="str">
        <v/>
      </c>
      <c r="F16143" s="102" t="str">
        <f ca="1">IFERROR(__xludf.DUMMYFUNCTION("IMPORTRANGE(H16143,""IDENTITAS UNIT!D9"")"),"#N/A")</f>
        <v>#N/A</v>
      </c>
      <c r="H16143" s="4" t="str">
        <v/>
      </c>
      <c r="I16143" s="4" t="str">
        <v/>
      </c>
    </row>
    <row r="16144" spans="5:9" ht="16.5" hidden="1">
      <c r="E16144" s="4" t="str">
        <v/>
      </c>
      <c r="F16144" s="102" t="str">
        <f ca="1">IFERROR(__xludf.DUMMYFUNCTION("IMPORTRANGE(H16144,""IDENTITAS UNIT!D9"")"),"#N/A")</f>
        <v>#N/A</v>
      </c>
      <c r="H16144" s="4" t="str">
        <v/>
      </c>
      <c r="I16144" s="4" t="str">
        <v/>
      </c>
    </row>
    <row r="16145" spans="5:9" ht="16.5" hidden="1">
      <c r="E16145" s="4" t="str">
        <v/>
      </c>
      <c r="F16145" s="102" t="str">
        <f ca="1">IFERROR(__xludf.DUMMYFUNCTION("IMPORTRANGE(H16145,""IDENTITAS UNIT!D9"")"),"#N/A")</f>
        <v>#N/A</v>
      </c>
      <c r="H16145" s="4" t="str">
        <v/>
      </c>
      <c r="I16145" s="4" t="str">
        <v/>
      </c>
    </row>
    <row r="16146" spans="5:9" ht="16.5" hidden="1">
      <c r="E16146" s="4" t="str">
        <v/>
      </c>
      <c r="F16146" s="102" t="str">
        <f ca="1">IFERROR(__xludf.DUMMYFUNCTION("IMPORTRANGE(H16146,""IDENTITAS UNIT!D9"")"),"#N/A")</f>
        <v>#N/A</v>
      </c>
      <c r="H16146" s="4" t="str">
        <v/>
      </c>
      <c r="I16146" s="4" t="str">
        <v/>
      </c>
    </row>
    <row r="16147" spans="5:9" ht="16.5" hidden="1">
      <c r="E16147" s="4" t="str">
        <v/>
      </c>
      <c r="F16147" s="102" t="str">
        <f ca="1">IFERROR(__xludf.DUMMYFUNCTION("IMPORTRANGE(H16147,""IDENTITAS UNIT!D9"")"),"#N/A")</f>
        <v>#N/A</v>
      </c>
      <c r="H16147" s="4" t="str">
        <v/>
      </c>
      <c r="I16147" s="4" t="str">
        <v/>
      </c>
    </row>
    <row r="16148" spans="5:9" ht="16.5" hidden="1">
      <c r="E16148" s="4" t="str">
        <v/>
      </c>
      <c r="F16148" s="102" t="str">
        <f ca="1">IFERROR(__xludf.DUMMYFUNCTION("IMPORTRANGE(H16148,""IDENTITAS UNIT!D9"")"),"#N/A")</f>
        <v>#N/A</v>
      </c>
      <c r="H16148" s="4" t="str">
        <v/>
      </c>
      <c r="I16148" s="4" t="str">
        <v/>
      </c>
    </row>
    <row r="16149" spans="5:9" ht="16.5" hidden="1">
      <c r="E16149" s="4" t="str">
        <v/>
      </c>
      <c r="F16149" s="102" t="str">
        <f ca="1">IFERROR(__xludf.DUMMYFUNCTION("IMPORTRANGE(H16149,""IDENTITAS UNIT!D9"")"),"#N/A")</f>
        <v>#N/A</v>
      </c>
      <c r="H16149" s="4" t="str">
        <v/>
      </c>
      <c r="I16149" s="4" t="str">
        <v/>
      </c>
    </row>
    <row r="16150" spans="5:9" ht="16.5" hidden="1">
      <c r="E16150" s="4" t="str">
        <v/>
      </c>
      <c r="F16150" s="102" t="str">
        <f ca="1">IFERROR(__xludf.DUMMYFUNCTION("IMPORTRANGE(H16150,""IDENTITAS UNIT!D9"")"),"#N/A")</f>
        <v>#N/A</v>
      </c>
      <c r="H16150" s="4" t="str">
        <v/>
      </c>
      <c r="I16150" s="4" t="str">
        <v/>
      </c>
    </row>
    <row r="16151" spans="5:9" ht="16.5" hidden="1">
      <c r="E16151" s="4" t="str">
        <v/>
      </c>
      <c r="F16151" s="102" t="str">
        <f ca="1">IFERROR(__xludf.DUMMYFUNCTION("IMPORTRANGE(H16151,""IDENTITAS UNIT!D9"")"),"#N/A")</f>
        <v>#N/A</v>
      </c>
      <c r="H16151" s="4" t="str">
        <v/>
      </c>
      <c r="I16151" s="4" t="str">
        <v/>
      </c>
    </row>
    <row r="16152" spans="5:9" ht="16.5" hidden="1">
      <c r="E16152" s="4" t="str">
        <v/>
      </c>
      <c r="F16152" s="102" t="str">
        <f ca="1">IFERROR(__xludf.DUMMYFUNCTION("IMPORTRANGE(H16152,""IDENTITAS UNIT!D9"")"),"#N/A")</f>
        <v>#N/A</v>
      </c>
      <c r="H16152" s="4" t="str">
        <v/>
      </c>
      <c r="I16152" s="4" t="str">
        <v/>
      </c>
    </row>
    <row r="16153" spans="5:9" ht="16.5" hidden="1">
      <c r="E16153" s="4" t="str">
        <v/>
      </c>
      <c r="F16153" s="102" t="str">
        <f ca="1">IFERROR(__xludf.DUMMYFUNCTION("IMPORTRANGE(H16153,""IDENTITAS UNIT!D9"")"),"#N/A")</f>
        <v>#N/A</v>
      </c>
      <c r="H16153" s="4" t="str">
        <v/>
      </c>
      <c r="I16153" s="4" t="str">
        <v/>
      </c>
    </row>
    <row r="16154" spans="5:9" ht="16.5" hidden="1">
      <c r="E16154" s="4" t="str">
        <v/>
      </c>
      <c r="F16154" s="102" t="str">
        <f ca="1">IFERROR(__xludf.DUMMYFUNCTION("IMPORTRANGE(H16154,""IDENTITAS UNIT!D9"")"),"#N/A")</f>
        <v>#N/A</v>
      </c>
      <c r="H16154" s="4" t="str">
        <v/>
      </c>
      <c r="I16154" s="4" t="str">
        <v/>
      </c>
    </row>
    <row r="16155" spans="5:9" ht="16.5" hidden="1">
      <c r="E16155" s="4" t="str">
        <v/>
      </c>
      <c r="F16155" s="102" t="str">
        <f ca="1">IFERROR(__xludf.DUMMYFUNCTION("IMPORTRANGE(H16155,""IDENTITAS UNIT!D9"")"),"#N/A")</f>
        <v>#N/A</v>
      </c>
      <c r="H16155" s="4" t="str">
        <v/>
      </c>
      <c r="I16155" s="4" t="str">
        <v/>
      </c>
    </row>
    <row r="16156" spans="5:9" ht="16.5" hidden="1">
      <c r="E16156" s="4" t="str">
        <v/>
      </c>
      <c r="F16156" s="102" t="str">
        <f ca="1">IFERROR(__xludf.DUMMYFUNCTION("IMPORTRANGE(H16156,""IDENTITAS UNIT!D9"")"),"#N/A")</f>
        <v>#N/A</v>
      </c>
      <c r="H16156" s="4" t="str">
        <v/>
      </c>
      <c r="I16156" s="4" t="str">
        <v/>
      </c>
    </row>
    <row r="16157" spans="5:9" ht="16.5" hidden="1">
      <c r="E16157" s="4" t="str">
        <v/>
      </c>
      <c r="F16157" s="102" t="str">
        <f ca="1">IFERROR(__xludf.DUMMYFUNCTION("IMPORTRANGE(H16157,""IDENTITAS UNIT!D9"")"),"#N/A")</f>
        <v>#N/A</v>
      </c>
      <c r="H16157" s="4" t="str">
        <v/>
      </c>
      <c r="I16157" s="4" t="str">
        <v/>
      </c>
    </row>
    <row r="16158" spans="5:9" ht="16.5" hidden="1">
      <c r="E16158" s="4" t="str">
        <v/>
      </c>
      <c r="F16158" s="102" t="str">
        <f ca="1">IFERROR(__xludf.DUMMYFUNCTION("IMPORTRANGE(H16158,""IDENTITAS UNIT!D9"")"),"#N/A")</f>
        <v>#N/A</v>
      </c>
      <c r="H16158" s="4" t="str">
        <v/>
      </c>
      <c r="I16158" s="4" t="str">
        <v/>
      </c>
    </row>
    <row r="16159" spans="5:9" ht="16.5" hidden="1">
      <c r="E16159" s="4" t="str">
        <v/>
      </c>
      <c r="F16159" s="102" t="str">
        <f ca="1">IFERROR(__xludf.DUMMYFUNCTION("IMPORTRANGE(H16159,""IDENTITAS UNIT!D9"")"),"#N/A")</f>
        <v>#N/A</v>
      </c>
      <c r="H16159" s="4" t="str">
        <v/>
      </c>
      <c r="I16159" s="4" t="str">
        <v/>
      </c>
    </row>
    <row r="16160" spans="5:9" ht="16.5" hidden="1">
      <c r="E16160" s="4" t="str">
        <v/>
      </c>
      <c r="F16160" s="102" t="str">
        <f ca="1">IFERROR(__xludf.DUMMYFUNCTION("IMPORTRANGE(H16160,""IDENTITAS UNIT!D9"")"),"#N/A")</f>
        <v>#N/A</v>
      </c>
      <c r="H16160" s="4" t="str">
        <v/>
      </c>
      <c r="I16160" s="4" t="str">
        <v/>
      </c>
    </row>
    <row r="16161" spans="5:9" ht="16.5" hidden="1">
      <c r="E16161" s="4" t="str">
        <v/>
      </c>
      <c r="F16161" s="102" t="str">
        <f ca="1">IFERROR(__xludf.DUMMYFUNCTION("IMPORTRANGE(H16161,""IDENTITAS UNIT!D9"")"),"#N/A")</f>
        <v>#N/A</v>
      </c>
      <c r="H16161" s="4" t="str">
        <v/>
      </c>
      <c r="I16161" s="4" t="str">
        <v/>
      </c>
    </row>
    <row r="16162" spans="5:9" ht="16.5" hidden="1">
      <c r="E16162" s="4" t="str">
        <v/>
      </c>
      <c r="F16162" s="102" t="str">
        <f ca="1">IFERROR(__xludf.DUMMYFUNCTION("IMPORTRANGE(H16162,""IDENTITAS UNIT!D9"")"),"#N/A")</f>
        <v>#N/A</v>
      </c>
      <c r="H16162" s="4" t="str">
        <v/>
      </c>
      <c r="I16162" s="4" t="str">
        <v/>
      </c>
    </row>
    <row r="16163" spans="5:9" ht="16.5" hidden="1">
      <c r="E16163" s="4" t="str">
        <v/>
      </c>
      <c r="F16163" s="102" t="str">
        <f ca="1">IFERROR(__xludf.DUMMYFUNCTION("IMPORTRANGE(H16163,""IDENTITAS UNIT!D9"")"),"#N/A")</f>
        <v>#N/A</v>
      </c>
      <c r="H16163" s="4" t="str">
        <v/>
      </c>
      <c r="I16163" s="4" t="str">
        <v/>
      </c>
    </row>
    <row r="16164" spans="5:9" ht="16.5" hidden="1">
      <c r="E16164" s="4" t="str">
        <v/>
      </c>
      <c r="F16164" s="102" t="str">
        <f ca="1">IFERROR(__xludf.DUMMYFUNCTION("IMPORTRANGE(H16164,""IDENTITAS UNIT!D9"")"),"#N/A")</f>
        <v>#N/A</v>
      </c>
      <c r="H16164" s="4" t="str">
        <v/>
      </c>
      <c r="I16164" s="4" t="str">
        <v/>
      </c>
    </row>
    <row r="16165" spans="5:9" ht="16.5" hidden="1">
      <c r="E16165" s="4" t="str">
        <v/>
      </c>
      <c r="F16165" s="102" t="str">
        <f ca="1">IFERROR(__xludf.DUMMYFUNCTION("IMPORTRANGE(H16165,""IDENTITAS UNIT!D9"")"),"#N/A")</f>
        <v>#N/A</v>
      </c>
      <c r="H16165" s="4" t="str">
        <v/>
      </c>
      <c r="I16165" s="4" t="str">
        <v/>
      </c>
    </row>
    <row r="16166" spans="5:9" ht="16.5" hidden="1">
      <c r="E16166" s="4" t="str">
        <v/>
      </c>
      <c r="F16166" s="102" t="str">
        <f ca="1">IFERROR(__xludf.DUMMYFUNCTION("IMPORTRANGE(H16166,""IDENTITAS UNIT!D9"")"),"#N/A")</f>
        <v>#N/A</v>
      </c>
      <c r="H16166" s="4" t="str">
        <v/>
      </c>
      <c r="I16166" s="4" t="str">
        <v/>
      </c>
    </row>
    <row r="16167" spans="5:9" ht="16.5" hidden="1">
      <c r="E16167" s="4" t="str">
        <v/>
      </c>
      <c r="F16167" s="102" t="str">
        <f ca="1">IFERROR(__xludf.DUMMYFUNCTION("IMPORTRANGE(H16167,""IDENTITAS UNIT!D9"")"),"#N/A")</f>
        <v>#N/A</v>
      </c>
      <c r="H16167" s="4" t="str">
        <v/>
      </c>
      <c r="I16167" s="4" t="str">
        <v/>
      </c>
    </row>
    <row r="16168" spans="5:9" ht="16.5" hidden="1">
      <c r="E16168" s="4" t="str">
        <v/>
      </c>
      <c r="F16168" s="102" t="str">
        <f ca="1">IFERROR(__xludf.DUMMYFUNCTION("IMPORTRANGE(H16168,""IDENTITAS UNIT!D9"")"),"#N/A")</f>
        <v>#N/A</v>
      </c>
      <c r="H16168" s="4" t="str">
        <v/>
      </c>
      <c r="I16168" s="4" t="str">
        <v/>
      </c>
    </row>
    <row r="16169" spans="5:9" ht="16.5" hidden="1">
      <c r="E16169" s="4" t="str">
        <v/>
      </c>
      <c r="F16169" s="102" t="str">
        <f ca="1">IFERROR(__xludf.DUMMYFUNCTION("IMPORTRANGE(H16169,""IDENTITAS UNIT!D9"")"),"#N/A")</f>
        <v>#N/A</v>
      </c>
      <c r="H16169" s="4" t="str">
        <v/>
      </c>
      <c r="I16169" s="4" t="str">
        <v/>
      </c>
    </row>
    <row r="16170" spans="5:9" ht="16.5" hidden="1">
      <c r="E16170" s="4" t="str">
        <v/>
      </c>
      <c r="F16170" s="102" t="str">
        <f ca="1">IFERROR(__xludf.DUMMYFUNCTION("IMPORTRANGE(H16170,""IDENTITAS UNIT!D9"")"),"#N/A")</f>
        <v>#N/A</v>
      </c>
      <c r="H16170" s="4" t="str">
        <v/>
      </c>
      <c r="I16170" s="4" t="str">
        <v/>
      </c>
    </row>
    <row r="16171" spans="5:9" ht="16.5" hidden="1">
      <c r="E16171" s="4" t="str">
        <v/>
      </c>
      <c r="F16171" s="102" t="str">
        <f ca="1">IFERROR(__xludf.DUMMYFUNCTION("IMPORTRANGE(H16171,""IDENTITAS UNIT!D9"")"),"#N/A")</f>
        <v>#N/A</v>
      </c>
      <c r="H16171" s="4" t="str">
        <v/>
      </c>
      <c r="I16171" s="4" t="str">
        <v/>
      </c>
    </row>
    <row r="16172" spans="5:9" ht="16.5" hidden="1">
      <c r="E16172" s="4" t="str">
        <v/>
      </c>
      <c r="F16172" s="102" t="str">
        <f ca="1">IFERROR(__xludf.DUMMYFUNCTION("IMPORTRANGE(H16172,""IDENTITAS UNIT!D9"")"),"#N/A")</f>
        <v>#N/A</v>
      </c>
      <c r="H16172" s="4" t="str">
        <v/>
      </c>
      <c r="I16172" s="4" t="str">
        <v/>
      </c>
    </row>
    <row r="16173" spans="5:9" ht="16.5" hidden="1">
      <c r="E16173" s="4" t="str">
        <v/>
      </c>
      <c r="F16173" s="102" t="str">
        <f ca="1">IFERROR(__xludf.DUMMYFUNCTION("IMPORTRANGE(H16173,""IDENTITAS UNIT!D9"")"),"#N/A")</f>
        <v>#N/A</v>
      </c>
      <c r="H16173" s="4" t="str">
        <v/>
      </c>
      <c r="I16173" s="4" t="str">
        <v/>
      </c>
    </row>
    <row r="16174" spans="5:9" ht="16.5" hidden="1">
      <c r="E16174" s="4" t="str">
        <v/>
      </c>
      <c r="F16174" s="102" t="str">
        <f ca="1">IFERROR(__xludf.DUMMYFUNCTION("IMPORTRANGE(H16174,""IDENTITAS UNIT!D9"")"),"#N/A")</f>
        <v>#N/A</v>
      </c>
      <c r="H16174" s="4" t="str">
        <v/>
      </c>
      <c r="I16174" s="4" t="str">
        <v/>
      </c>
    </row>
    <row r="16175" spans="5:9" ht="16.5" hidden="1">
      <c r="E16175" s="4" t="str">
        <v/>
      </c>
      <c r="F16175" s="102" t="str">
        <f ca="1">IFERROR(__xludf.DUMMYFUNCTION("IMPORTRANGE(H16175,""IDENTITAS UNIT!D9"")"),"#N/A")</f>
        <v>#N/A</v>
      </c>
      <c r="H16175" s="4" t="str">
        <v/>
      </c>
      <c r="I16175" s="4" t="str">
        <v/>
      </c>
    </row>
    <row r="16176" spans="5:9" ht="16.5" hidden="1">
      <c r="E16176" s="4" t="str">
        <v/>
      </c>
      <c r="F16176" s="102" t="str">
        <f ca="1">IFERROR(__xludf.DUMMYFUNCTION("IMPORTRANGE(H16176,""IDENTITAS UNIT!D9"")"),"#N/A")</f>
        <v>#N/A</v>
      </c>
      <c r="H16176" s="4" t="str">
        <v/>
      </c>
      <c r="I16176" s="4" t="str">
        <v/>
      </c>
    </row>
    <row r="16177" spans="5:9" ht="16.5" hidden="1">
      <c r="E16177" s="4" t="str">
        <v/>
      </c>
      <c r="F16177" s="102" t="str">
        <f ca="1">IFERROR(__xludf.DUMMYFUNCTION("IMPORTRANGE(H16177,""IDENTITAS UNIT!D9"")"),"#N/A")</f>
        <v>#N/A</v>
      </c>
      <c r="H16177" s="4" t="str">
        <v/>
      </c>
      <c r="I16177" s="4" t="str">
        <v/>
      </c>
    </row>
    <row r="16178" spans="5:9" ht="16.5" hidden="1">
      <c r="E16178" s="4" t="str">
        <v/>
      </c>
      <c r="F16178" s="102" t="str">
        <f ca="1">IFERROR(__xludf.DUMMYFUNCTION("IMPORTRANGE(H16178,""IDENTITAS UNIT!D9"")"),"#N/A")</f>
        <v>#N/A</v>
      </c>
      <c r="H16178" s="4" t="str">
        <v/>
      </c>
      <c r="I16178" s="4" t="str">
        <v/>
      </c>
    </row>
    <row r="16179" spans="5:9" ht="16.5" hidden="1">
      <c r="E16179" s="4" t="str">
        <v/>
      </c>
      <c r="F16179" s="102" t="str">
        <f ca="1">IFERROR(__xludf.DUMMYFUNCTION("IMPORTRANGE(H16179,""IDENTITAS UNIT!D9"")"),"#N/A")</f>
        <v>#N/A</v>
      </c>
      <c r="H16179" s="4" t="str">
        <v/>
      </c>
      <c r="I16179" s="4" t="str">
        <v/>
      </c>
    </row>
    <row r="16180" spans="5:9" ht="16.5" hidden="1">
      <c r="E16180" s="4" t="str">
        <v/>
      </c>
      <c r="F16180" s="102" t="str">
        <f ca="1">IFERROR(__xludf.DUMMYFUNCTION("IMPORTRANGE(H16180,""IDENTITAS UNIT!D9"")"),"#N/A")</f>
        <v>#N/A</v>
      </c>
      <c r="H16180" s="4" t="str">
        <v/>
      </c>
      <c r="I16180" s="4" t="str">
        <v/>
      </c>
    </row>
    <row r="16181" spans="5:9" ht="16.5" hidden="1">
      <c r="E16181" s="4" t="str">
        <v/>
      </c>
      <c r="F16181" s="102" t="str">
        <f ca="1">IFERROR(__xludf.DUMMYFUNCTION("IMPORTRANGE(H16181,""IDENTITAS UNIT!D9"")"),"#N/A")</f>
        <v>#N/A</v>
      </c>
      <c r="H16181" s="4" t="str">
        <v/>
      </c>
      <c r="I16181" s="4" t="str">
        <v/>
      </c>
    </row>
    <row r="16182" spans="5:9" ht="16.5" hidden="1">
      <c r="E16182" s="4" t="str">
        <v/>
      </c>
      <c r="F16182" s="102" t="str">
        <f ca="1">IFERROR(__xludf.DUMMYFUNCTION("IMPORTRANGE(H16182,""IDENTITAS UNIT!D9"")"),"#N/A")</f>
        <v>#N/A</v>
      </c>
      <c r="H16182" s="4" t="str">
        <v/>
      </c>
      <c r="I16182" s="4" t="str">
        <v/>
      </c>
    </row>
    <row r="16183" spans="5:9" ht="16.5" hidden="1">
      <c r="E16183" s="4" t="str">
        <v/>
      </c>
      <c r="F16183" s="102" t="str">
        <f ca="1">IFERROR(__xludf.DUMMYFUNCTION("IMPORTRANGE(H16183,""IDENTITAS UNIT!D9"")"),"#N/A")</f>
        <v>#N/A</v>
      </c>
      <c r="H16183" s="4" t="str">
        <v/>
      </c>
      <c r="I16183" s="4" t="str">
        <v/>
      </c>
    </row>
    <row r="16184" spans="5:9" ht="16.5" hidden="1">
      <c r="E16184" s="4" t="str">
        <v/>
      </c>
      <c r="F16184" s="102" t="str">
        <f ca="1">IFERROR(__xludf.DUMMYFUNCTION("IMPORTRANGE(H16184,""IDENTITAS UNIT!D9"")"),"#N/A")</f>
        <v>#N/A</v>
      </c>
      <c r="H16184" s="4" t="str">
        <v/>
      </c>
      <c r="I16184" s="4" t="str">
        <v/>
      </c>
    </row>
    <row r="16185" spans="5:9" ht="16.5" hidden="1">
      <c r="E16185" s="4" t="str">
        <v/>
      </c>
      <c r="F16185" s="102" t="str">
        <f ca="1">IFERROR(__xludf.DUMMYFUNCTION("IMPORTRANGE(H16185,""IDENTITAS UNIT!D9"")"),"#N/A")</f>
        <v>#N/A</v>
      </c>
      <c r="H16185" s="4" t="str">
        <v/>
      </c>
      <c r="I16185" s="4" t="str">
        <v/>
      </c>
    </row>
    <row r="16186" spans="5:9" ht="16.5" hidden="1">
      <c r="E16186" s="4" t="str">
        <v/>
      </c>
      <c r="F16186" s="102" t="str">
        <f ca="1">IFERROR(__xludf.DUMMYFUNCTION("IMPORTRANGE(H16186,""IDENTITAS UNIT!D9"")"),"#N/A")</f>
        <v>#N/A</v>
      </c>
      <c r="H16186" s="4" t="str">
        <v/>
      </c>
      <c r="I16186" s="4" t="str">
        <v/>
      </c>
    </row>
    <row r="16187" spans="5:9" ht="16.5" hidden="1">
      <c r="E16187" s="4" t="str">
        <v/>
      </c>
      <c r="F16187" s="102" t="str">
        <f ca="1">IFERROR(__xludf.DUMMYFUNCTION("IMPORTRANGE(H16187,""IDENTITAS UNIT!D9"")"),"#N/A")</f>
        <v>#N/A</v>
      </c>
      <c r="H16187" s="4" t="str">
        <v/>
      </c>
      <c r="I16187" s="4" t="str">
        <v/>
      </c>
    </row>
    <row r="16188" spans="5:9" ht="16.5" hidden="1">
      <c r="E16188" s="4" t="str">
        <v/>
      </c>
      <c r="F16188" s="102" t="str">
        <f ca="1">IFERROR(__xludf.DUMMYFUNCTION("IMPORTRANGE(H16188,""IDENTITAS UNIT!D9"")"),"#N/A")</f>
        <v>#N/A</v>
      </c>
      <c r="H16188" s="4" t="str">
        <v/>
      </c>
      <c r="I16188" s="4" t="str">
        <v/>
      </c>
    </row>
    <row r="16189" spans="5:9" ht="16.5" hidden="1">
      <c r="E16189" s="4" t="str">
        <v/>
      </c>
      <c r="F16189" s="102" t="str">
        <f ca="1">IFERROR(__xludf.DUMMYFUNCTION("IMPORTRANGE(H16189,""IDENTITAS UNIT!D9"")"),"#N/A")</f>
        <v>#N/A</v>
      </c>
      <c r="H16189" s="4" t="str">
        <v/>
      </c>
      <c r="I16189" s="4" t="str">
        <v/>
      </c>
    </row>
    <row r="16190" spans="5:9" ht="16.5" hidden="1">
      <c r="E16190" s="4" t="str">
        <v/>
      </c>
      <c r="F16190" s="102" t="str">
        <f ca="1">IFERROR(__xludf.DUMMYFUNCTION("IMPORTRANGE(H16190,""IDENTITAS UNIT!D9"")"),"#N/A")</f>
        <v>#N/A</v>
      </c>
      <c r="H16190" s="4" t="str">
        <v/>
      </c>
      <c r="I16190" s="4" t="str">
        <v/>
      </c>
    </row>
    <row r="16191" spans="5:9" ht="16.5" hidden="1">
      <c r="E16191" s="4" t="str">
        <v/>
      </c>
      <c r="F16191" s="102" t="str">
        <f ca="1">IFERROR(__xludf.DUMMYFUNCTION("IMPORTRANGE(H16191,""IDENTITAS UNIT!D9"")"),"#N/A")</f>
        <v>#N/A</v>
      </c>
      <c r="H16191" s="4" t="str">
        <v/>
      </c>
      <c r="I16191" s="4" t="str">
        <v/>
      </c>
    </row>
    <row r="16192" spans="5:9" ht="16.5" hidden="1">
      <c r="E16192" s="4" t="str">
        <v/>
      </c>
      <c r="F16192" s="102" t="str">
        <f ca="1">IFERROR(__xludf.DUMMYFUNCTION("IMPORTRANGE(H16192,""IDENTITAS UNIT!D9"")"),"#N/A")</f>
        <v>#N/A</v>
      </c>
      <c r="H16192" s="4" t="str">
        <v/>
      </c>
      <c r="I16192" s="4" t="str">
        <v/>
      </c>
    </row>
    <row r="16193" spans="5:9" ht="16.5" hidden="1">
      <c r="E16193" s="4" t="str">
        <v/>
      </c>
      <c r="F16193" s="102" t="str">
        <f ca="1">IFERROR(__xludf.DUMMYFUNCTION("IMPORTRANGE(H16193,""IDENTITAS UNIT!D9"")"),"#N/A")</f>
        <v>#N/A</v>
      </c>
      <c r="H16193" s="4" t="str">
        <v/>
      </c>
      <c r="I16193" s="4" t="str">
        <v/>
      </c>
    </row>
    <row r="16194" spans="5:9" ht="16.5" hidden="1">
      <c r="E16194" s="4" t="str">
        <v/>
      </c>
      <c r="F16194" s="102" t="str">
        <f ca="1">IFERROR(__xludf.DUMMYFUNCTION("IMPORTRANGE(H16194,""IDENTITAS UNIT!D9"")"),"#N/A")</f>
        <v>#N/A</v>
      </c>
      <c r="H16194" s="4" t="str">
        <v/>
      </c>
      <c r="I16194" s="4" t="str">
        <v/>
      </c>
    </row>
    <row r="16195" spans="5:9" ht="16.5" hidden="1">
      <c r="E16195" s="4" t="str">
        <v/>
      </c>
      <c r="F16195" s="102" t="str">
        <f ca="1">IFERROR(__xludf.DUMMYFUNCTION("IMPORTRANGE(H16195,""IDENTITAS UNIT!D9"")"),"#N/A")</f>
        <v>#N/A</v>
      </c>
      <c r="H16195" s="4" t="str">
        <v/>
      </c>
      <c r="I16195" s="4" t="str">
        <v/>
      </c>
    </row>
    <row r="16196" spans="5:9" ht="16.5" hidden="1">
      <c r="E16196" s="4" t="str">
        <v/>
      </c>
      <c r="F16196" s="102" t="str">
        <f ca="1">IFERROR(__xludf.DUMMYFUNCTION("IMPORTRANGE(H16196,""IDENTITAS UNIT!D9"")"),"#N/A")</f>
        <v>#N/A</v>
      </c>
      <c r="H16196" s="4" t="str">
        <v/>
      </c>
      <c r="I16196" s="4" t="str">
        <v/>
      </c>
    </row>
    <row r="16197" spans="5:9" ht="16.5" hidden="1">
      <c r="E16197" s="4" t="str">
        <v/>
      </c>
      <c r="F16197" s="102" t="str">
        <f ca="1">IFERROR(__xludf.DUMMYFUNCTION("IMPORTRANGE(H16197,""IDENTITAS UNIT!D9"")"),"#N/A")</f>
        <v>#N/A</v>
      </c>
      <c r="H16197" s="4" t="str">
        <v/>
      </c>
      <c r="I16197" s="4" t="str">
        <v/>
      </c>
    </row>
    <row r="16198" spans="5:9" ht="16.5" hidden="1">
      <c r="E16198" s="4" t="str">
        <v/>
      </c>
      <c r="F16198" s="102" t="str">
        <f ca="1">IFERROR(__xludf.DUMMYFUNCTION("IMPORTRANGE(H16198,""IDENTITAS UNIT!D9"")"),"#N/A")</f>
        <v>#N/A</v>
      </c>
      <c r="H16198" s="4" t="str">
        <v/>
      </c>
      <c r="I16198" s="4" t="str">
        <v/>
      </c>
    </row>
    <row r="16199" spans="5:9" ht="16.5" hidden="1">
      <c r="E16199" s="4" t="str">
        <v/>
      </c>
      <c r="F16199" s="102" t="str">
        <f ca="1">IFERROR(__xludf.DUMMYFUNCTION("IMPORTRANGE(H16199,""IDENTITAS UNIT!D9"")"),"#N/A")</f>
        <v>#N/A</v>
      </c>
      <c r="H16199" s="4" t="str">
        <v/>
      </c>
      <c r="I16199" s="4" t="str">
        <v/>
      </c>
    </row>
    <row r="16200" spans="5:9" ht="16.5" hidden="1">
      <c r="E16200" s="4" t="str">
        <v/>
      </c>
      <c r="F16200" s="102" t="str">
        <f ca="1">IFERROR(__xludf.DUMMYFUNCTION("IMPORTRANGE(H16200,""IDENTITAS UNIT!D9"")"),"#N/A")</f>
        <v>#N/A</v>
      </c>
      <c r="H16200" s="4" t="str">
        <v/>
      </c>
      <c r="I16200" s="4" t="str">
        <v/>
      </c>
    </row>
    <row r="16201" spans="5:9" ht="16.5" hidden="1">
      <c r="E16201" s="4" t="str">
        <v/>
      </c>
      <c r="F16201" s="102" t="str">
        <f ca="1">IFERROR(__xludf.DUMMYFUNCTION("IMPORTRANGE(H16201,""IDENTITAS UNIT!D9"")"),"#N/A")</f>
        <v>#N/A</v>
      </c>
      <c r="H16201" s="4" t="str">
        <v/>
      </c>
      <c r="I16201" s="4" t="str">
        <v/>
      </c>
    </row>
    <row r="16202" spans="5:9" ht="16.5" hidden="1">
      <c r="E16202" s="4" t="str">
        <v/>
      </c>
      <c r="F16202" s="102" t="str">
        <f ca="1">IFERROR(__xludf.DUMMYFUNCTION("IMPORTRANGE(H16202,""IDENTITAS UNIT!D9"")"),"#N/A")</f>
        <v>#N/A</v>
      </c>
      <c r="H16202" s="4" t="str">
        <v/>
      </c>
      <c r="I16202" s="4" t="str">
        <v/>
      </c>
    </row>
    <row r="16203" spans="5:9" ht="16.5" hidden="1">
      <c r="E16203" s="4" t="str">
        <v/>
      </c>
      <c r="F16203" s="102" t="str">
        <f ca="1">IFERROR(__xludf.DUMMYFUNCTION("IMPORTRANGE(H16203,""IDENTITAS UNIT!D9"")"),"#N/A")</f>
        <v>#N/A</v>
      </c>
      <c r="H16203" s="4" t="str">
        <v/>
      </c>
      <c r="I16203" s="4" t="str">
        <v/>
      </c>
    </row>
    <row r="16204" spans="5:9" ht="16.5" hidden="1">
      <c r="E16204" s="4" t="str">
        <v/>
      </c>
      <c r="F16204" s="102" t="str">
        <f ca="1">IFERROR(__xludf.DUMMYFUNCTION("IMPORTRANGE(H16204,""IDENTITAS UNIT!D9"")"),"#N/A")</f>
        <v>#N/A</v>
      </c>
      <c r="H16204" s="4" t="str">
        <v/>
      </c>
      <c r="I16204" s="4" t="str">
        <v/>
      </c>
    </row>
    <row r="16205" spans="5:9" ht="16.5" hidden="1">
      <c r="E16205" s="4" t="str">
        <v/>
      </c>
      <c r="F16205" s="102" t="str">
        <f ca="1">IFERROR(__xludf.DUMMYFUNCTION("IMPORTRANGE(H16205,""IDENTITAS UNIT!D9"")"),"#N/A")</f>
        <v>#N/A</v>
      </c>
      <c r="H16205" s="4" t="str">
        <v/>
      </c>
      <c r="I16205" s="4" t="str">
        <v/>
      </c>
    </row>
    <row r="16206" spans="5:9" ht="16.5" hidden="1">
      <c r="E16206" s="4" t="str">
        <v/>
      </c>
      <c r="F16206" s="102" t="str">
        <f ca="1">IFERROR(__xludf.DUMMYFUNCTION("IMPORTRANGE(H16206,""IDENTITAS UNIT!D9"")"),"#N/A")</f>
        <v>#N/A</v>
      </c>
      <c r="H16206" s="4" t="str">
        <v/>
      </c>
      <c r="I16206" s="4" t="str">
        <v/>
      </c>
    </row>
    <row r="16207" spans="5:9" ht="16.5" hidden="1">
      <c r="E16207" s="4" t="str">
        <v/>
      </c>
      <c r="F16207" s="102" t="str">
        <f ca="1">IFERROR(__xludf.DUMMYFUNCTION("IMPORTRANGE(H16207,""IDENTITAS UNIT!D9"")"),"#N/A")</f>
        <v>#N/A</v>
      </c>
      <c r="H16207" s="4" t="str">
        <v/>
      </c>
      <c r="I16207" s="4" t="str">
        <v/>
      </c>
    </row>
    <row r="16208" spans="5:9" ht="16.5" hidden="1">
      <c r="E16208" s="4" t="str">
        <v/>
      </c>
      <c r="F16208" s="102" t="str">
        <f ca="1">IFERROR(__xludf.DUMMYFUNCTION("IMPORTRANGE(H16208,""IDENTITAS UNIT!D9"")"),"#N/A")</f>
        <v>#N/A</v>
      </c>
      <c r="H16208" s="4" t="str">
        <v/>
      </c>
      <c r="I16208" s="4" t="str">
        <v/>
      </c>
    </row>
    <row r="16209" spans="5:9" ht="16.5" hidden="1">
      <c r="E16209" s="4" t="str">
        <v/>
      </c>
      <c r="F16209" s="102" t="str">
        <f ca="1">IFERROR(__xludf.DUMMYFUNCTION("IMPORTRANGE(H16209,""IDENTITAS UNIT!D9"")"),"#N/A")</f>
        <v>#N/A</v>
      </c>
      <c r="H16209" s="4" t="str">
        <v/>
      </c>
      <c r="I16209" s="4" t="str">
        <v/>
      </c>
    </row>
    <row r="16210" spans="5:9" ht="16.5" hidden="1">
      <c r="E16210" s="4" t="str">
        <v/>
      </c>
      <c r="F16210" s="102" t="str">
        <f ca="1">IFERROR(__xludf.DUMMYFUNCTION("IMPORTRANGE(H16210,""IDENTITAS UNIT!D9"")"),"#N/A")</f>
        <v>#N/A</v>
      </c>
      <c r="H16210" s="4" t="str">
        <v/>
      </c>
      <c r="I16210" s="4" t="str">
        <v/>
      </c>
    </row>
    <row r="16211" spans="5:9" ht="16.5" hidden="1">
      <c r="E16211" s="4" t="str">
        <v/>
      </c>
      <c r="F16211" s="102" t="str">
        <f ca="1">IFERROR(__xludf.DUMMYFUNCTION("IMPORTRANGE(H16211,""IDENTITAS UNIT!D9"")"),"#N/A")</f>
        <v>#N/A</v>
      </c>
      <c r="H16211" s="4" t="str">
        <v/>
      </c>
      <c r="I16211" s="4" t="str">
        <v/>
      </c>
    </row>
    <row r="16212" spans="5:9" ht="16.5" hidden="1">
      <c r="E16212" s="4" t="str">
        <v/>
      </c>
      <c r="F16212" s="102" t="str">
        <f ca="1">IFERROR(__xludf.DUMMYFUNCTION("IMPORTRANGE(H16212,""IDENTITAS UNIT!D9"")"),"#N/A")</f>
        <v>#N/A</v>
      </c>
      <c r="H16212" s="4" t="str">
        <v/>
      </c>
      <c r="I16212" s="4" t="str">
        <v/>
      </c>
    </row>
    <row r="16213" spans="5:9" ht="16.5" hidden="1">
      <c r="E16213" s="4" t="str">
        <v/>
      </c>
      <c r="F16213" s="102" t="str">
        <f ca="1">IFERROR(__xludf.DUMMYFUNCTION("IMPORTRANGE(H16213,""IDENTITAS UNIT!D9"")"),"#N/A")</f>
        <v>#N/A</v>
      </c>
      <c r="H16213" s="4" t="str">
        <v/>
      </c>
      <c r="I16213" s="4" t="str">
        <v/>
      </c>
    </row>
    <row r="16214" spans="5:9" ht="16.5" hidden="1">
      <c r="E16214" s="4" t="str">
        <v/>
      </c>
      <c r="F16214" s="102" t="str">
        <f ca="1">IFERROR(__xludf.DUMMYFUNCTION("IMPORTRANGE(H16214,""IDENTITAS UNIT!D9"")"),"#N/A")</f>
        <v>#N/A</v>
      </c>
      <c r="H16214" s="4" t="str">
        <v/>
      </c>
      <c r="I16214" s="4" t="str">
        <v/>
      </c>
    </row>
    <row r="16215" spans="5:9" ht="16.5" hidden="1">
      <c r="E16215" s="4" t="str">
        <v/>
      </c>
      <c r="F16215" s="102" t="str">
        <f ca="1">IFERROR(__xludf.DUMMYFUNCTION("IMPORTRANGE(H16215,""IDENTITAS UNIT!D9"")"),"#N/A")</f>
        <v>#N/A</v>
      </c>
      <c r="H16215" s="4" t="str">
        <v/>
      </c>
      <c r="I16215" s="4" t="str">
        <v/>
      </c>
    </row>
    <row r="16216" spans="5:9" ht="16.5" hidden="1">
      <c r="E16216" s="4" t="str">
        <v/>
      </c>
      <c r="F16216" s="102" t="str">
        <f ca="1">IFERROR(__xludf.DUMMYFUNCTION("IMPORTRANGE(H16216,""IDENTITAS UNIT!D9"")"),"#N/A")</f>
        <v>#N/A</v>
      </c>
      <c r="H16216" s="4" t="str">
        <v/>
      </c>
      <c r="I16216" s="4" t="str">
        <v/>
      </c>
    </row>
    <row r="16217" spans="5:9" ht="16.5" hidden="1">
      <c r="E16217" s="4" t="str">
        <v/>
      </c>
      <c r="F16217" s="102" t="str">
        <f ca="1">IFERROR(__xludf.DUMMYFUNCTION("IMPORTRANGE(H16217,""IDENTITAS UNIT!D9"")"),"#N/A")</f>
        <v>#N/A</v>
      </c>
      <c r="H16217" s="4" t="str">
        <v/>
      </c>
      <c r="I16217" s="4" t="str">
        <v/>
      </c>
    </row>
    <row r="16218" spans="5:9" ht="16.5" hidden="1">
      <c r="E16218" s="4" t="str">
        <v/>
      </c>
      <c r="F16218" s="102" t="str">
        <f ca="1">IFERROR(__xludf.DUMMYFUNCTION("IMPORTRANGE(H16218,""IDENTITAS UNIT!D9"")"),"#N/A")</f>
        <v>#N/A</v>
      </c>
      <c r="H16218" s="4" t="str">
        <v/>
      </c>
      <c r="I16218" s="4" t="str">
        <v/>
      </c>
    </row>
    <row r="16219" spans="5:9" ht="16.5" hidden="1">
      <c r="E16219" s="4" t="str">
        <v/>
      </c>
      <c r="F16219" s="102" t="str">
        <f ca="1">IFERROR(__xludf.DUMMYFUNCTION("IMPORTRANGE(H16219,""IDENTITAS UNIT!D9"")"),"#N/A")</f>
        <v>#N/A</v>
      </c>
      <c r="H16219" s="4" t="str">
        <v/>
      </c>
      <c r="I16219" s="4" t="str">
        <v/>
      </c>
    </row>
    <row r="16220" spans="5:9" ht="16.5" hidden="1">
      <c r="E16220" s="4" t="str">
        <v/>
      </c>
      <c r="F16220" s="102" t="str">
        <f ca="1">IFERROR(__xludf.DUMMYFUNCTION("IMPORTRANGE(H16220,""IDENTITAS UNIT!D9"")"),"#N/A")</f>
        <v>#N/A</v>
      </c>
      <c r="H16220" s="4" t="str">
        <v/>
      </c>
      <c r="I16220" s="4" t="str">
        <v/>
      </c>
    </row>
    <row r="16221" spans="5:9" ht="16.5" hidden="1">
      <c r="E16221" s="4" t="str">
        <v/>
      </c>
      <c r="F16221" s="102" t="str">
        <f ca="1">IFERROR(__xludf.DUMMYFUNCTION("IMPORTRANGE(H16221,""IDENTITAS UNIT!D9"")"),"#N/A")</f>
        <v>#N/A</v>
      </c>
      <c r="H16221" s="4" t="str">
        <v/>
      </c>
      <c r="I16221" s="4" t="str">
        <v/>
      </c>
    </row>
    <row r="16222" spans="5:9" ht="16.5" hidden="1">
      <c r="E16222" s="4" t="str">
        <v/>
      </c>
      <c r="F16222" s="102" t="str">
        <f ca="1">IFERROR(__xludf.DUMMYFUNCTION("IMPORTRANGE(H16222,""IDENTITAS UNIT!D9"")"),"#N/A")</f>
        <v>#N/A</v>
      </c>
      <c r="H16222" s="4" t="str">
        <v/>
      </c>
      <c r="I16222" s="4" t="str">
        <v/>
      </c>
    </row>
    <row r="16223" spans="5:9" ht="16.5" hidden="1">
      <c r="E16223" s="4" t="str">
        <v/>
      </c>
      <c r="F16223" s="102" t="str">
        <f ca="1">IFERROR(__xludf.DUMMYFUNCTION("IMPORTRANGE(H16223,""IDENTITAS UNIT!D9"")"),"#N/A")</f>
        <v>#N/A</v>
      </c>
      <c r="H16223" s="4" t="str">
        <v/>
      </c>
      <c r="I16223" s="4" t="str">
        <v/>
      </c>
    </row>
    <row r="16224" spans="5:9" ht="16.5" hidden="1">
      <c r="E16224" s="4" t="str">
        <v/>
      </c>
      <c r="F16224" s="102" t="str">
        <f ca="1">IFERROR(__xludf.DUMMYFUNCTION("IMPORTRANGE(H16224,""IDENTITAS UNIT!D9"")"),"#N/A")</f>
        <v>#N/A</v>
      </c>
      <c r="H16224" s="4" t="str">
        <v/>
      </c>
      <c r="I16224" s="4" t="str">
        <v/>
      </c>
    </row>
    <row r="16225" spans="5:9" ht="16.5" hidden="1">
      <c r="E16225" s="4" t="str">
        <v/>
      </c>
      <c r="F16225" s="102" t="str">
        <f ca="1">IFERROR(__xludf.DUMMYFUNCTION("IMPORTRANGE(H16225,""IDENTITAS UNIT!D9"")"),"#N/A")</f>
        <v>#N/A</v>
      </c>
      <c r="H16225" s="4" t="str">
        <v/>
      </c>
      <c r="I16225" s="4" t="str">
        <v/>
      </c>
    </row>
    <row r="16226" spans="5:9" ht="16.5" hidden="1">
      <c r="E16226" s="4" t="str">
        <v/>
      </c>
      <c r="F16226" s="102" t="str">
        <f ca="1">IFERROR(__xludf.DUMMYFUNCTION("IMPORTRANGE(H16226,""IDENTITAS UNIT!D9"")"),"#N/A")</f>
        <v>#N/A</v>
      </c>
      <c r="H16226" s="4" t="str">
        <v/>
      </c>
      <c r="I16226" s="4" t="str">
        <v/>
      </c>
    </row>
    <row r="16227" spans="5:9" ht="16.5" hidden="1">
      <c r="E16227" s="4" t="str">
        <v/>
      </c>
      <c r="F16227" s="102" t="str">
        <f ca="1">IFERROR(__xludf.DUMMYFUNCTION("IMPORTRANGE(H16227,""IDENTITAS UNIT!D9"")"),"#N/A")</f>
        <v>#N/A</v>
      </c>
      <c r="H16227" s="4" t="str">
        <v/>
      </c>
      <c r="I16227" s="4" t="str">
        <v/>
      </c>
    </row>
    <row r="16228" spans="5:9" ht="16.5" hidden="1">
      <c r="E16228" s="4" t="str">
        <v/>
      </c>
      <c r="F16228" s="102" t="str">
        <f ca="1">IFERROR(__xludf.DUMMYFUNCTION("IMPORTRANGE(H16228,""IDENTITAS UNIT!D9"")"),"#N/A")</f>
        <v>#N/A</v>
      </c>
      <c r="H16228" s="4" t="str">
        <v/>
      </c>
      <c r="I16228" s="4" t="str">
        <v/>
      </c>
    </row>
    <row r="16229" spans="5:9" ht="16.5" hidden="1">
      <c r="E16229" s="4" t="str">
        <v/>
      </c>
      <c r="F16229" s="102" t="str">
        <f ca="1">IFERROR(__xludf.DUMMYFUNCTION("IMPORTRANGE(H16229,""IDENTITAS UNIT!D9"")"),"#N/A")</f>
        <v>#N/A</v>
      </c>
      <c r="H16229" s="4" t="str">
        <v/>
      </c>
      <c r="I16229" s="4" t="str">
        <v/>
      </c>
    </row>
    <row r="16230" spans="5:9" ht="16.5" hidden="1">
      <c r="E16230" s="4" t="str">
        <v/>
      </c>
      <c r="F16230" s="102" t="str">
        <f ca="1">IFERROR(__xludf.DUMMYFUNCTION("IMPORTRANGE(H16230,""IDENTITAS UNIT!D9"")"),"#N/A")</f>
        <v>#N/A</v>
      </c>
      <c r="H16230" s="4" t="str">
        <v/>
      </c>
      <c r="I16230" s="4" t="str">
        <v/>
      </c>
    </row>
    <row r="16231" spans="5:9" ht="16.5" hidden="1">
      <c r="E16231" s="4" t="str">
        <v/>
      </c>
      <c r="F16231" s="102" t="str">
        <f ca="1">IFERROR(__xludf.DUMMYFUNCTION("IMPORTRANGE(H16231,""IDENTITAS UNIT!D9"")"),"#N/A")</f>
        <v>#N/A</v>
      </c>
      <c r="H16231" s="4" t="str">
        <v/>
      </c>
      <c r="I16231" s="4" t="str">
        <v/>
      </c>
    </row>
    <row r="16232" spans="5:9" ht="16.5" hidden="1">
      <c r="E16232" s="4" t="str">
        <v/>
      </c>
      <c r="F16232" s="102" t="str">
        <f ca="1">IFERROR(__xludf.DUMMYFUNCTION("IMPORTRANGE(H16232,""IDENTITAS UNIT!D9"")"),"#N/A")</f>
        <v>#N/A</v>
      </c>
      <c r="H16232" s="4" t="str">
        <v/>
      </c>
      <c r="I16232" s="4" t="str">
        <v/>
      </c>
    </row>
    <row r="16233" spans="5:9" ht="16.5" hidden="1">
      <c r="E16233" s="4" t="str">
        <v/>
      </c>
      <c r="F16233" s="102" t="str">
        <f ca="1">IFERROR(__xludf.DUMMYFUNCTION("IMPORTRANGE(H16233,""IDENTITAS UNIT!D9"")"),"#N/A")</f>
        <v>#N/A</v>
      </c>
      <c r="H16233" s="4" t="str">
        <v/>
      </c>
      <c r="I16233" s="4" t="str">
        <v/>
      </c>
    </row>
    <row r="16234" spans="5:9" ht="16.5" hidden="1">
      <c r="E16234" s="4" t="str">
        <v/>
      </c>
      <c r="F16234" s="102" t="str">
        <f ca="1">IFERROR(__xludf.DUMMYFUNCTION("IMPORTRANGE(H16234,""IDENTITAS UNIT!D9"")"),"#N/A")</f>
        <v>#N/A</v>
      </c>
      <c r="H16234" s="4" t="str">
        <v/>
      </c>
      <c r="I16234" s="4" t="str">
        <v/>
      </c>
    </row>
    <row r="16235" spans="5:9" ht="16.5" hidden="1">
      <c r="E16235" s="4" t="str">
        <v/>
      </c>
      <c r="F16235" s="102" t="str">
        <f ca="1">IFERROR(__xludf.DUMMYFUNCTION("IMPORTRANGE(H16235,""IDENTITAS UNIT!D9"")"),"#N/A")</f>
        <v>#N/A</v>
      </c>
      <c r="H16235" s="4" t="str">
        <v/>
      </c>
      <c r="I16235" s="4" t="str">
        <v/>
      </c>
    </row>
    <row r="16236" spans="5:9" ht="16.5" hidden="1">
      <c r="E16236" s="4" t="str">
        <v/>
      </c>
      <c r="F16236" s="102" t="str">
        <f ca="1">IFERROR(__xludf.DUMMYFUNCTION("IMPORTRANGE(H16236,""IDENTITAS UNIT!D9"")"),"#N/A")</f>
        <v>#N/A</v>
      </c>
      <c r="H16236" s="4" t="str">
        <v/>
      </c>
      <c r="I16236" s="4" t="str">
        <v/>
      </c>
    </row>
    <row r="16237" spans="5:9" ht="16.5" hidden="1">
      <c r="E16237" s="4" t="str">
        <v/>
      </c>
      <c r="F16237" s="102" t="str">
        <f ca="1">IFERROR(__xludf.DUMMYFUNCTION("IMPORTRANGE(H16237,""IDENTITAS UNIT!D9"")"),"#N/A")</f>
        <v>#N/A</v>
      </c>
      <c r="H16237" s="4" t="str">
        <v/>
      </c>
      <c r="I16237" s="4" t="str">
        <v/>
      </c>
    </row>
    <row r="16238" spans="5:9" ht="16.5" hidden="1">
      <c r="E16238" s="4" t="str">
        <v/>
      </c>
      <c r="F16238" s="102" t="str">
        <f ca="1">IFERROR(__xludf.DUMMYFUNCTION("IMPORTRANGE(H16238,""IDENTITAS UNIT!D9"")"),"#N/A")</f>
        <v>#N/A</v>
      </c>
      <c r="H16238" s="4" t="str">
        <v/>
      </c>
      <c r="I16238" s="4" t="str">
        <v/>
      </c>
    </row>
    <row r="16239" spans="5:9" ht="16.5" hidden="1">
      <c r="E16239" s="4" t="str">
        <v/>
      </c>
      <c r="F16239" s="102" t="str">
        <f ca="1">IFERROR(__xludf.DUMMYFUNCTION("IMPORTRANGE(H16239,""IDENTITAS UNIT!D9"")"),"#N/A")</f>
        <v>#N/A</v>
      </c>
      <c r="H16239" s="4" t="str">
        <v/>
      </c>
      <c r="I16239" s="4" t="str">
        <v/>
      </c>
    </row>
    <row r="16240" spans="5:9" ht="16.5" hidden="1">
      <c r="E16240" s="4" t="str">
        <v/>
      </c>
      <c r="F16240" s="102" t="str">
        <f ca="1">IFERROR(__xludf.DUMMYFUNCTION("IMPORTRANGE(H16240,""IDENTITAS UNIT!D9"")"),"#N/A")</f>
        <v>#N/A</v>
      </c>
      <c r="H16240" s="4" t="str">
        <v/>
      </c>
      <c r="I16240" s="4" t="str">
        <v/>
      </c>
    </row>
    <row r="16241" spans="5:9" ht="16.5" hidden="1">
      <c r="E16241" s="4" t="str">
        <v/>
      </c>
      <c r="F16241" s="102" t="str">
        <f ca="1">IFERROR(__xludf.DUMMYFUNCTION("IMPORTRANGE(H16241,""IDENTITAS UNIT!D9"")"),"#N/A")</f>
        <v>#N/A</v>
      </c>
      <c r="H16241" s="4" t="str">
        <v/>
      </c>
      <c r="I16241" s="4" t="str">
        <v/>
      </c>
    </row>
    <row r="16242" spans="5:9" ht="16.5" hidden="1">
      <c r="E16242" s="4" t="str">
        <v/>
      </c>
      <c r="F16242" s="102" t="str">
        <f ca="1">IFERROR(__xludf.DUMMYFUNCTION("IMPORTRANGE(H16242,""IDENTITAS UNIT!D9"")"),"#N/A")</f>
        <v>#N/A</v>
      </c>
      <c r="H16242" s="4" t="str">
        <v/>
      </c>
      <c r="I16242" s="4" t="str">
        <v/>
      </c>
    </row>
    <row r="16243" spans="5:9" ht="16.5" hidden="1">
      <c r="E16243" s="4" t="str">
        <v/>
      </c>
      <c r="F16243" s="102" t="str">
        <f ca="1">IFERROR(__xludf.DUMMYFUNCTION("IMPORTRANGE(H16243,""IDENTITAS UNIT!D9"")"),"#N/A")</f>
        <v>#N/A</v>
      </c>
      <c r="H16243" s="4" t="str">
        <v/>
      </c>
      <c r="I16243" s="4" t="str">
        <v/>
      </c>
    </row>
    <row r="16244" spans="5:9" ht="16.5" hidden="1">
      <c r="E16244" s="4" t="str">
        <v/>
      </c>
      <c r="F16244" s="102" t="str">
        <f ca="1">IFERROR(__xludf.DUMMYFUNCTION("IMPORTRANGE(H16244,""IDENTITAS UNIT!D9"")"),"#N/A")</f>
        <v>#N/A</v>
      </c>
      <c r="H16244" s="4" t="str">
        <v/>
      </c>
      <c r="I16244" s="4" t="str">
        <v/>
      </c>
    </row>
    <row r="16245" spans="5:9" ht="16.5" hidden="1">
      <c r="E16245" s="4" t="str">
        <v/>
      </c>
      <c r="F16245" s="102" t="str">
        <f ca="1">IFERROR(__xludf.DUMMYFUNCTION("IMPORTRANGE(H16245,""IDENTITAS UNIT!D9"")"),"#N/A")</f>
        <v>#N/A</v>
      </c>
      <c r="H16245" s="4" t="str">
        <v/>
      </c>
      <c r="I16245" s="4" t="str">
        <v/>
      </c>
    </row>
    <row r="16246" spans="5:9" ht="16.5" hidden="1">
      <c r="E16246" s="4" t="str">
        <v/>
      </c>
      <c r="F16246" s="102" t="str">
        <f ca="1">IFERROR(__xludf.DUMMYFUNCTION("IMPORTRANGE(H16246,""IDENTITAS UNIT!D9"")"),"#N/A")</f>
        <v>#N/A</v>
      </c>
      <c r="H16246" s="4" t="str">
        <v/>
      </c>
      <c r="I16246" s="4" t="str">
        <v/>
      </c>
    </row>
    <row r="16247" spans="5:9" ht="16.5" hidden="1">
      <c r="E16247" s="4" t="str">
        <v/>
      </c>
      <c r="F16247" s="102" t="str">
        <f ca="1">IFERROR(__xludf.DUMMYFUNCTION("IMPORTRANGE(H16247,""IDENTITAS UNIT!D9"")"),"#N/A")</f>
        <v>#N/A</v>
      </c>
      <c r="H16247" s="4" t="str">
        <v/>
      </c>
      <c r="I16247" s="4" t="str">
        <v/>
      </c>
    </row>
    <row r="16248" spans="5:9" ht="16.5" hidden="1">
      <c r="E16248" s="4" t="str">
        <v/>
      </c>
      <c r="F16248" s="102" t="str">
        <f ca="1">IFERROR(__xludf.DUMMYFUNCTION("IMPORTRANGE(H16248,""IDENTITAS UNIT!D9"")"),"#N/A")</f>
        <v>#N/A</v>
      </c>
      <c r="H16248" s="4" t="str">
        <v/>
      </c>
      <c r="I16248" s="4" t="str">
        <v/>
      </c>
    </row>
    <row r="16249" spans="5:9" ht="16.5" hidden="1">
      <c r="E16249" s="4" t="str">
        <v/>
      </c>
      <c r="F16249" s="102" t="str">
        <f ca="1">IFERROR(__xludf.DUMMYFUNCTION("IMPORTRANGE(H16249,""IDENTITAS UNIT!D9"")"),"#N/A")</f>
        <v>#N/A</v>
      </c>
      <c r="H16249" s="4" t="str">
        <v/>
      </c>
      <c r="I16249" s="4" t="str">
        <v/>
      </c>
    </row>
    <row r="16250" spans="5:9" ht="16.5" hidden="1">
      <c r="E16250" s="4" t="str">
        <v/>
      </c>
      <c r="F16250" s="102" t="str">
        <f ca="1">IFERROR(__xludf.DUMMYFUNCTION("IMPORTRANGE(H16250,""IDENTITAS UNIT!D9"")"),"#N/A")</f>
        <v>#N/A</v>
      </c>
      <c r="H16250" s="4" t="str">
        <v/>
      </c>
      <c r="I16250" s="4" t="str">
        <v/>
      </c>
    </row>
    <row r="16251" spans="5:9" ht="16.5" hidden="1">
      <c r="E16251" s="4" t="str">
        <v/>
      </c>
      <c r="F16251" s="102" t="str">
        <f ca="1">IFERROR(__xludf.DUMMYFUNCTION("IMPORTRANGE(H16251,""IDENTITAS UNIT!D9"")"),"#N/A")</f>
        <v>#N/A</v>
      </c>
      <c r="H16251" s="4" t="str">
        <v/>
      </c>
      <c r="I16251" s="4" t="str">
        <v/>
      </c>
    </row>
    <row r="16252" spans="5:9" ht="16.5" hidden="1">
      <c r="E16252" s="4" t="str">
        <v/>
      </c>
      <c r="F16252" s="102" t="str">
        <f ca="1">IFERROR(__xludf.DUMMYFUNCTION("IMPORTRANGE(H16252,""IDENTITAS UNIT!D9"")"),"#N/A")</f>
        <v>#N/A</v>
      </c>
      <c r="H16252" s="4" t="str">
        <v/>
      </c>
      <c r="I16252" s="4" t="str">
        <v/>
      </c>
    </row>
    <row r="16253" spans="5:9" ht="16.5" hidden="1">
      <c r="E16253" s="4" t="str">
        <v/>
      </c>
      <c r="F16253" s="102" t="str">
        <f ca="1">IFERROR(__xludf.DUMMYFUNCTION("IMPORTRANGE(H16253,""IDENTITAS UNIT!D9"")"),"#N/A")</f>
        <v>#N/A</v>
      </c>
      <c r="H16253" s="4" t="str">
        <v/>
      </c>
      <c r="I16253" s="4" t="str">
        <v/>
      </c>
    </row>
    <row r="16254" spans="5:9" ht="16.5" hidden="1">
      <c r="E16254" s="4" t="str">
        <v/>
      </c>
      <c r="F16254" s="102" t="str">
        <f ca="1">IFERROR(__xludf.DUMMYFUNCTION("IMPORTRANGE(H16254,""IDENTITAS UNIT!D9"")"),"#N/A")</f>
        <v>#N/A</v>
      </c>
      <c r="H16254" s="4" t="str">
        <v/>
      </c>
      <c r="I16254" s="4" t="str">
        <v/>
      </c>
    </row>
    <row r="16255" spans="5:9" ht="16.5" hidden="1">
      <c r="E16255" s="4" t="str">
        <v/>
      </c>
      <c r="F16255" s="102" t="str">
        <f ca="1">IFERROR(__xludf.DUMMYFUNCTION("IMPORTRANGE(H16255,""IDENTITAS UNIT!D9"")"),"#N/A")</f>
        <v>#N/A</v>
      </c>
      <c r="H16255" s="4" t="str">
        <v/>
      </c>
      <c r="I16255" s="4" t="str">
        <v/>
      </c>
    </row>
    <row r="16256" spans="5:9" ht="16.5" hidden="1">
      <c r="E16256" s="4" t="str">
        <v/>
      </c>
      <c r="F16256" s="102" t="str">
        <f ca="1">IFERROR(__xludf.DUMMYFUNCTION("IMPORTRANGE(H16256,""IDENTITAS UNIT!D9"")"),"#N/A")</f>
        <v>#N/A</v>
      </c>
      <c r="H16256" s="4" t="str">
        <v/>
      </c>
      <c r="I16256" s="4" t="str">
        <v/>
      </c>
    </row>
    <row r="16257" spans="5:9" ht="16.5" hidden="1">
      <c r="E16257" s="4" t="str">
        <v/>
      </c>
      <c r="F16257" s="102" t="str">
        <f ca="1">IFERROR(__xludf.DUMMYFUNCTION("IMPORTRANGE(H16257,""IDENTITAS UNIT!D9"")"),"#N/A")</f>
        <v>#N/A</v>
      </c>
      <c r="H16257" s="4" t="str">
        <v/>
      </c>
      <c r="I16257" s="4" t="str">
        <v/>
      </c>
    </row>
    <row r="16258" spans="5:9" ht="16.5" hidden="1">
      <c r="E16258" s="4" t="str">
        <v/>
      </c>
      <c r="F16258" s="102" t="str">
        <f ca="1">IFERROR(__xludf.DUMMYFUNCTION("IMPORTRANGE(H16258,""IDENTITAS UNIT!D9"")"),"#N/A")</f>
        <v>#N/A</v>
      </c>
      <c r="H16258" s="4" t="str">
        <v/>
      </c>
      <c r="I16258" s="4" t="str">
        <v/>
      </c>
    </row>
    <row r="16259" spans="5:9" ht="16.5" hidden="1">
      <c r="E16259" s="4" t="str">
        <v/>
      </c>
      <c r="F16259" s="102" t="str">
        <f ca="1">IFERROR(__xludf.DUMMYFUNCTION("IMPORTRANGE(H16259,""IDENTITAS UNIT!D9"")"),"#N/A")</f>
        <v>#N/A</v>
      </c>
      <c r="H16259" s="4" t="str">
        <v/>
      </c>
      <c r="I16259" s="4" t="str">
        <v/>
      </c>
    </row>
    <row r="16260" spans="5:9" ht="16.5" hidden="1">
      <c r="E16260" s="4" t="str">
        <v/>
      </c>
      <c r="F16260" s="102" t="str">
        <f ca="1">IFERROR(__xludf.DUMMYFUNCTION("IMPORTRANGE(H16260,""IDENTITAS UNIT!D9"")"),"#N/A")</f>
        <v>#N/A</v>
      </c>
      <c r="H16260" s="4" t="str">
        <v/>
      </c>
      <c r="I16260" s="4" t="str">
        <v/>
      </c>
    </row>
    <row r="16261" spans="5:9" ht="16.5" hidden="1">
      <c r="E16261" s="4" t="str">
        <v/>
      </c>
      <c r="F16261" s="102" t="str">
        <f ca="1">IFERROR(__xludf.DUMMYFUNCTION("IMPORTRANGE(H16261,""IDENTITAS UNIT!D9"")"),"#N/A")</f>
        <v>#N/A</v>
      </c>
      <c r="H16261" s="4" t="str">
        <v/>
      </c>
      <c r="I16261" s="4" t="str">
        <v/>
      </c>
    </row>
    <row r="16262" spans="5:9" ht="16.5" hidden="1">
      <c r="E16262" s="4" t="str">
        <v/>
      </c>
      <c r="F16262" s="102" t="str">
        <f ca="1">IFERROR(__xludf.DUMMYFUNCTION("IMPORTRANGE(H16262,""IDENTITAS UNIT!D9"")"),"#N/A")</f>
        <v>#N/A</v>
      </c>
      <c r="H16262" s="4" t="str">
        <v/>
      </c>
      <c r="I16262" s="4" t="str">
        <v/>
      </c>
    </row>
    <row r="16263" spans="5:9" ht="16.5" hidden="1">
      <c r="E16263" s="4" t="str">
        <v/>
      </c>
      <c r="F16263" s="102" t="str">
        <f ca="1">IFERROR(__xludf.DUMMYFUNCTION("IMPORTRANGE(H16263,""IDENTITAS UNIT!D9"")"),"#N/A")</f>
        <v>#N/A</v>
      </c>
      <c r="H16263" s="4" t="str">
        <v/>
      </c>
      <c r="I16263" s="4" t="str">
        <v/>
      </c>
    </row>
    <row r="16264" spans="5:9" ht="16.5" hidden="1">
      <c r="E16264" s="4" t="str">
        <v/>
      </c>
      <c r="F16264" s="102" t="str">
        <f ca="1">IFERROR(__xludf.DUMMYFUNCTION("IMPORTRANGE(H16264,""IDENTITAS UNIT!D9"")"),"#N/A")</f>
        <v>#N/A</v>
      </c>
      <c r="H16264" s="4" t="str">
        <v/>
      </c>
      <c r="I16264" s="4" t="str">
        <v/>
      </c>
    </row>
    <row r="16265" spans="5:9" ht="16.5" hidden="1">
      <c r="E16265" s="4" t="str">
        <v/>
      </c>
      <c r="F16265" s="102" t="str">
        <f ca="1">IFERROR(__xludf.DUMMYFUNCTION("IMPORTRANGE(H16265,""IDENTITAS UNIT!D9"")"),"#N/A")</f>
        <v>#N/A</v>
      </c>
      <c r="H16265" s="4" t="str">
        <v/>
      </c>
      <c r="I16265" s="4" t="str">
        <v/>
      </c>
    </row>
    <row r="16266" spans="5:9" ht="16.5" hidden="1">
      <c r="E16266" s="4" t="str">
        <v/>
      </c>
      <c r="F16266" s="102" t="str">
        <f ca="1">IFERROR(__xludf.DUMMYFUNCTION("IMPORTRANGE(H16266,""IDENTITAS UNIT!D9"")"),"#N/A")</f>
        <v>#N/A</v>
      </c>
      <c r="H16266" s="4" t="str">
        <v/>
      </c>
      <c r="I16266" s="4" t="str">
        <v/>
      </c>
    </row>
    <row r="16267" spans="5:9" ht="16.5" hidden="1">
      <c r="E16267" s="4" t="str">
        <v/>
      </c>
      <c r="F16267" s="102" t="str">
        <f ca="1">IFERROR(__xludf.DUMMYFUNCTION("IMPORTRANGE(H16267,""IDENTITAS UNIT!D9"")"),"#N/A")</f>
        <v>#N/A</v>
      </c>
      <c r="H16267" s="4" t="str">
        <v/>
      </c>
      <c r="I16267" s="4" t="str">
        <v/>
      </c>
    </row>
    <row r="16268" spans="5:9" ht="16.5" hidden="1">
      <c r="E16268" s="4" t="str">
        <v/>
      </c>
      <c r="F16268" s="102" t="str">
        <f ca="1">IFERROR(__xludf.DUMMYFUNCTION("IMPORTRANGE(H16268,""IDENTITAS UNIT!D9"")"),"#N/A")</f>
        <v>#N/A</v>
      </c>
      <c r="H16268" s="4" t="str">
        <v/>
      </c>
      <c r="I16268" s="4" t="str">
        <v/>
      </c>
    </row>
    <row r="16269" spans="5:9" ht="16.5" hidden="1">
      <c r="E16269" s="4" t="str">
        <v/>
      </c>
      <c r="F16269" s="102" t="str">
        <f ca="1">IFERROR(__xludf.DUMMYFUNCTION("IMPORTRANGE(H16269,""IDENTITAS UNIT!D9"")"),"#N/A")</f>
        <v>#N/A</v>
      </c>
      <c r="H16269" s="4" t="str">
        <v/>
      </c>
      <c r="I16269" s="4" t="str">
        <v/>
      </c>
    </row>
    <row r="16270" spans="5:9" ht="16.5" hidden="1">
      <c r="E16270" s="4" t="str">
        <v/>
      </c>
      <c r="F16270" s="102" t="str">
        <f ca="1">IFERROR(__xludf.DUMMYFUNCTION("IMPORTRANGE(H16270,""IDENTITAS UNIT!D9"")"),"#N/A")</f>
        <v>#N/A</v>
      </c>
      <c r="H16270" s="4" t="str">
        <v/>
      </c>
      <c r="I16270" s="4" t="str">
        <v/>
      </c>
    </row>
    <row r="16271" spans="5:9" ht="16.5" hidden="1">
      <c r="E16271" s="4" t="str">
        <v/>
      </c>
      <c r="F16271" s="102" t="str">
        <f ca="1">IFERROR(__xludf.DUMMYFUNCTION("IMPORTRANGE(H16271,""IDENTITAS UNIT!D9"")"),"#N/A")</f>
        <v>#N/A</v>
      </c>
      <c r="H16271" s="4" t="str">
        <v/>
      </c>
      <c r="I16271" s="4" t="str">
        <v/>
      </c>
    </row>
    <row r="16272" spans="5:9" ht="16.5" hidden="1">
      <c r="E16272" s="4" t="str">
        <v/>
      </c>
      <c r="F16272" s="102" t="str">
        <f ca="1">IFERROR(__xludf.DUMMYFUNCTION("IMPORTRANGE(H16272,""IDENTITAS UNIT!D9"")"),"#N/A")</f>
        <v>#N/A</v>
      </c>
      <c r="H16272" s="4" t="str">
        <v/>
      </c>
      <c r="I16272" s="4" t="str">
        <v/>
      </c>
    </row>
    <row r="16273" spans="5:9" ht="16.5" hidden="1">
      <c r="E16273" s="4" t="str">
        <v/>
      </c>
      <c r="F16273" s="102" t="str">
        <f ca="1">IFERROR(__xludf.DUMMYFUNCTION("IMPORTRANGE(H16273,""IDENTITAS UNIT!D9"")"),"#N/A")</f>
        <v>#N/A</v>
      </c>
      <c r="H16273" s="4" t="str">
        <v/>
      </c>
      <c r="I16273" s="4" t="str">
        <v/>
      </c>
    </row>
    <row r="16274" spans="5:9" ht="16.5" hidden="1">
      <c r="E16274" s="4" t="str">
        <v/>
      </c>
      <c r="F16274" s="102" t="str">
        <f ca="1">IFERROR(__xludf.DUMMYFUNCTION("IMPORTRANGE(H16274,""IDENTITAS UNIT!D9"")"),"#N/A")</f>
        <v>#N/A</v>
      </c>
      <c r="H16274" s="4" t="str">
        <v/>
      </c>
      <c r="I16274" s="4" t="str">
        <v/>
      </c>
    </row>
    <row r="16275" spans="5:9" ht="16.5" hidden="1">
      <c r="E16275" s="4" t="str">
        <v/>
      </c>
      <c r="F16275" s="102" t="str">
        <f ca="1">IFERROR(__xludf.DUMMYFUNCTION("IMPORTRANGE(H16275,""IDENTITAS UNIT!D9"")"),"#N/A")</f>
        <v>#N/A</v>
      </c>
      <c r="H16275" s="4" t="str">
        <v/>
      </c>
      <c r="I16275" s="4" t="str">
        <v/>
      </c>
    </row>
    <row r="16276" spans="5:9" ht="16.5" hidden="1">
      <c r="E16276" s="4" t="str">
        <v/>
      </c>
      <c r="F16276" s="102" t="str">
        <f ca="1">IFERROR(__xludf.DUMMYFUNCTION("IMPORTRANGE(H16276,""IDENTITAS UNIT!D9"")"),"#N/A")</f>
        <v>#N/A</v>
      </c>
      <c r="H16276" s="4" t="str">
        <v/>
      </c>
      <c r="I16276" s="4" t="str">
        <v/>
      </c>
    </row>
    <row r="16277" spans="5:9" ht="16.5" hidden="1">
      <c r="E16277" s="4" t="str">
        <v/>
      </c>
      <c r="F16277" s="102" t="str">
        <f ca="1">IFERROR(__xludf.DUMMYFUNCTION("IMPORTRANGE(H16277,""IDENTITAS UNIT!D9"")"),"#N/A")</f>
        <v>#N/A</v>
      </c>
      <c r="H16277" s="4" t="str">
        <v/>
      </c>
      <c r="I16277" s="4" t="str">
        <v/>
      </c>
    </row>
    <row r="16278" spans="5:9" ht="16.5" hidden="1">
      <c r="E16278" s="4" t="str">
        <v/>
      </c>
      <c r="F16278" s="102" t="str">
        <f ca="1">IFERROR(__xludf.DUMMYFUNCTION("IMPORTRANGE(H16278,""IDENTITAS UNIT!D9"")"),"#N/A")</f>
        <v>#N/A</v>
      </c>
      <c r="H16278" s="4" t="str">
        <v/>
      </c>
      <c r="I16278" s="4" t="str">
        <v/>
      </c>
    </row>
    <row r="16279" spans="5:9" ht="16.5" hidden="1">
      <c r="E16279" s="4" t="str">
        <v/>
      </c>
      <c r="F16279" s="102" t="str">
        <f ca="1">IFERROR(__xludf.DUMMYFUNCTION("IMPORTRANGE(H16279,""IDENTITAS UNIT!D9"")"),"#N/A")</f>
        <v>#N/A</v>
      </c>
      <c r="H16279" s="4" t="str">
        <v/>
      </c>
      <c r="I16279" s="4" t="str">
        <v/>
      </c>
    </row>
    <row r="16280" spans="5:9" ht="16.5" hidden="1">
      <c r="E16280" s="4" t="str">
        <v/>
      </c>
      <c r="F16280" s="102" t="str">
        <f ca="1">IFERROR(__xludf.DUMMYFUNCTION("IMPORTRANGE(H16280,""IDENTITAS UNIT!D9"")"),"#N/A")</f>
        <v>#N/A</v>
      </c>
      <c r="H16280" s="4" t="str">
        <v/>
      </c>
      <c r="I16280" s="4" t="str">
        <v/>
      </c>
    </row>
    <row r="16281" spans="5:9" ht="16.5" hidden="1">
      <c r="E16281" s="4" t="str">
        <v/>
      </c>
      <c r="F16281" s="102" t="str">
        <f ca="1">IFERROR(__xludf.DUMMYFUNCTION("IMPORTRANGE(H16281,""IDENTITAS UNIT!D9"")"),"#N/A")</f>
        <v>#N/A</v>
      </c>
      <c r="H16281" s="4" t="str">
        <v/>
      </c>
      <c r="I16281" s="4" t="str">
        <v/>
      </c>
    </row>
    <row r="16282" spans="5:9" ht="16.5" hidden="1">
      <c r="E16282" s="4" t="str">
        <v/>
      </c>
      <c r="F16282" s="102" t="str">
        <f ca="1">IFERROR(__xludf.DUMMYFUNCTION("IMPORTRANGE(H16282,""IDENTITAS UNIT!D9"")"),"#N/A")</f>
        <v>#N/A</v>
      </c>
      <c r="H16282" s="4" t="str">
        <v/>
      </c>
      <c r="I16282" s="4" t="str">
        <v/>
      </c>
    </row>
    <row r="16283" spans="5:9" ht="16.5" hidden="1">
      <c r="E16283" s="4" t="str">
        <v/>
      </c>
      <c r="F16283" s="102" t="str">
        <f ca="1">IFERROR(__xludf.DUMMYFUNCTION("IMPORTRANGE(H16283,""IDENTITAS UNIT!D9"")"),"#N/A")</f>
        <v>#N/A</v>
      </c>
      <c r="H16283" s="4" t="str">
        <v/>
      </c>
      <c r="I16283" s="4" t="str">
        <v/>
      </c>
    </row>
    <row r="16284" spans="5:9" ht="16.5" hidden="1">
      <c r="E16284" s="4" t="str">
        <v/>
      </c>
      <c r="F16284" s="102" t="str">
        <f ca="1">IFERROR(__xludf.DUMMYFUNCTION("IMPORTRANGE(H16284,""IDENTITAS UNIT!D9"")"),"#N/A")</f>
        <v>#N/A</v>
      </c>
      <c r="H16284" s="4" t="str">
        <v/>
      </c>
      <c r="I16284" s="4" t="str">
        <v/>
      </c>
    </row>
    <row r="16285" spans="5:9" ht="16.5" hidden="1">
      <c r="E16285" s="4" t="str">
        <v/>
      </c>
      <c r="F16285" s="102" t="str">
        <f ca="1">IFERROR(__xludf.DUMMYFUNCTION("IMPORTRANGE(H16285,""IDENTITAS UNIT!D9"")"),"#N/A")</f>
        <v>#N/A</v>
      </c>
      <c r="H16285" s="4" t="str">
        <v/>
      </c>
      <c r="I16285" s="4" t="str">
        <v/>
      </c>
    </row>
    <row r="16286" spans="5:9" ht="16.5" hidden="1">
      <c r="E16286" s="4" t="str">
        <v/>
      </c>
      <c r="F16286" s="102" t="str">
        <f ca="1">IFERROR(__xludf.DUMMYFUNCTION("IMPORTRANGE(H16286,""IDENTITAS UNIT!D9"")"),"#N/A")</f>
        <v>#N/A</v>
      </c>
      <c r="H16286" s="4" t="str">
        <v/>
      </c>
      <c r="I16286" s="4" t="str">
        <v/>
      </c>
    </row>
    <row r="16287" spans="5:9" ht="16.5" hidden="1">
      <c r="E16287" s="4" t="str">
        <v/>
      </c>
      <c r="F16287" s="102" t="str">
        <f ca="1">IFERROR(__xludf.DUMMYFUNCTION("IMPORTRANGE(H16287,""IDENTITAS UNIT!D9"")"),"#N/A")</f>
        <v>#N/A</v>
      </c>
      <c r="H16287" s="4" t="str">
        <v/>
      </c>
      <c r="I16287" s="4" t="str">
        <v/>
      </c>
    </row>
    <row r="16288" spans="5:9" ht="16.5" hidden="1">
      <c r="E16288" s="4" t="str">
        <v/>
      </c>
      <c r="F16288" s="102" t="str">
        <f ca="1">IFERROR(__xludf.DUMMYFUNCTION("IMPORTRANGE(H16288,""IDENTITAS UNIT!D9"")"),"#N/A")</f>
        <v>#N/A</v>
      </c>
      <c r="H16288" s="4" t="str">
        <v/>
      </c>
      <c r="I16288" s="4" t="str">
        <v/>
      </c>
    </row>
    <row r="16289" spans="5:9" ht="16.5" hidden="1">
      <c r="E16289" s="4" t="str">
        <v/>
      </c>
      <c r="F16289" s="102" t="str">
        <f ca="1">IFERROR(__xludf.DUMMYFUNCTION("IMPORTRANGE(H16289,""IDENTITAS UNIT!D9"")"),"#N/A")</f>
        <v>#N/A</v>
      </c>
      <c r="H16289" s="4" t="str">
        <v/>
      </c>
      <c r="I16289" s="4" t="str">
        <v/>
      </c>
    </row>
    <row r="16290" spans="5:9" ht="16.5" hidden="1">
      <c r="E16290" s="4" t="str">
        <v/>
      </c>
      <c r="F16290" s="102" t="str">
        <f ca="1">IFERROR(__xludf.DUMMYFUNCTION("IMPORTRANGE(H16290,""IDENTITAS UNIT!D9"")"),"#N/A")</f>
        <v>#N/A</v>
      </c>
      <c r="H16290" s="4" t="str">
        <v/>
      </c>
      <c r="I16290" s="4" t="str">
        <v/>
      </c>
    </row>
    <row r="16291" spans="5:9" ht="16.5" hidden="1">
      <c r="E16291" s="4" t="str">
        <v/>
      </c>
      <c r="F16291" s="102" t="str">
        <f ca="1">IFERROR(__xludf.DUMMYFUNCTION("IMPORTRANGE(H16291,""IDENTITAS UNIT!D9"")"),"#N/A")</f>
        <v>#N/A</v>
      </c>
      <c r="H16291" s="4" t="str">
        <v/>
      </c>
      <c r="I16291" s="4" t="str">
        <v/>
      </c>
    </row>
    <row r="16292" spans="5:9" ht="16.5" hidden="1">
      <c r="E16292" s="4" t="str">
        <v/>
      </c>
      <c r="F16292" s="102" t="str">
        <f ca="1">IFERROR(__xludf.DUMMYFUNCTION("IMPORTRANGE(H16292,""IDENTITAS UNIT!D9"")"),"#N/A")</f>
        <v>#N/A</v>
      </c>
      <c r="H16292" s="4" t="str">
        <v/>
      </c>
      <c r="I16292" s="4" t="str">
        <v/>
      </c>
    </row>
    <row r="16293" spans="5:9" ht="16.5" hidden="1">
      <c r="E16293" s="4" t="str">
        <v/>
      </c>
      <c r="F16293" s="102" t="str">
        <f ca="1">IFERROR(__xludf.DUMMYFUNCTION("IMPORTRANGE(H16293,""IDENTITAS UNIT!D9"")"),"#N/A")</f>
        <v>#N/A</v>
      </c>
      <c r="H16293" s="4" t="str">
        <v/>
      </c>
      <c r="I16293" s="4" t="str">
        <v/>
      </c>
    </row>
    <row r="16294" spans="5:9" ht="16.5" hidden="1">
      <c r="E16294" s="4" t="str">
        <v/>
      </c>
      <c r="F16294" s="102" t="str">
        <f ca="1">IFERROR(__xludf.DUMMYFUNCTION("IMPORTRANGE(H16294,""IDENTITAS UNIT!D9"")"),"#N/A")</f>
        <v>#N/A</v>
      </c>
      <c r="H16294" s="4" t="str">
        <v/>
      </c>
      <c r="I16294" s="4" t="str">
        <v/>
      </c>
    </row>
    <row r="16295" spans="5:9" ht="16.5" hidden="1">
      <c r="E16295" s="4" t="str">
        <v/>
      </c>
      <c r="F16295" s="102" t="str">
        <f ca="1">IFERROR(__xludf.DUMMYFUNCTION("IMPORTRANGE(H16295,""IDENTITAS UNIT!D9"")"),"#N/A")</f>
        <v>#N/A</v>
      </c>
      <c r="H16295" s="4" t="str">
        <v/>
      </c>
      <c r="I16295" s="4" t="str">
        <v/>
      </c>
    </row>
    <row r="16296" spans="5:9" ht="16.5" hidden="1">
      <c r="E16296" s="4" t="str">
        <v/>
      </c>
      <c r="F16296" s="102" t="str">
        <f ca="1">IFERROR(__xludf.DUMMYFUNCTION("IMPORTRANGE(H16296,""IDENTITAS UNIT!D9"")"),"#N/A")</f>
        <v>#N/A</v>
      </c>
      <c r="H16296" s="4" t="str">
        <v/>
      </c>
      <c r="I16296" s="4" t="str">
        <v/>
      </c>
    </row>
    <row r="16297" spans="5:9" ht="16.5" hidden="1">
      <c r="E16297" s="4" t="str">
        <v/>
      </c>
      <c r="F16297" s="102" t="str">
        <f ca="1">IFERROR(__xludf.DUMMYFUNCTION("IMPORTRANGE(H16297,""IDENTITAS UNIT!D9"")"),"#N/A")</f>
        <v>#N/A</v>
      </c>
      <c r="H16297" s="4" t="str">
        <v/>
      </c>
      <c r="I16297" s="4" t="str">
        <v/>
      </c>
    </row>
    <row r="16298" spans="5:9" ht="16.5" hidden="1">
      <c r="E16298" s="4" t="str">
        <v/>
      </c>
      <c r="F16298" s="102" t="str">
        <f ca="1">IFERROR(__xludf.DUMMYFUNCTION("IMPORTRANGE(H16298,""IDENTITAS UNIT!D9"")"),"#N/A")</f>
        <v>#N/A</v>
      </c>
      <c r="H16298" s="4" t="str">
        <v/>
      </c>
      <c r="I16298" s="4" t="str">
        <v/>
      </c>
    </row>
    <row r="16299" spans="5:9" ht="16.5" hidden="1">
      <c r="E16299" s="4" t="str">
        <v/>
      </c>
      <c r="F16299" s="102" t="str">
        <f ca="1">IFERROR(__xludf.DUMMYFUNCTION("IMPORTRANGE(H16299,""IDENTITAS UNIT!D9"")"),"#N/A")</f>
        <v>#N/A</v>
      </c>
      <c r="H16299" s="4" t="str">
        <v/>
      </c>
      <c r="I16299" s="4" t="str">
        <v/>
      </c>
    </row>
    <row r="16300" spans="5:9" ht="16.5" hidden="1">
      <c r="E16300" s="4" t="str">
        <v/>
      </c>
      <c r="F16300" s="102" t="str">
        <f ca="1">IFERROR(__xludf.DUMMYFUNCTION("IMPORTRANGE(H16300,""IDENTITAS UNIT!D9"")"),"#N/A")</f>
        <v>#N/A</v>
      </c>
      <c r="H16300" s="4" t="str">
        <v/>
      </c>
      <c r="I16300" s="4" t="str">
        <v/>
      </c>
    </row>
    <row r="16301" spans="5:9" ht="16.5" hidden="1">
      <c r="E16301" s="4" t="str">
        <v/>
      </c>
      <c r="F16301" s="102" t="str">
        <f ca="1">IFERROR(__xludf.DUMMYFUNCTION("IMPORTRANGE(H16301,""IDENTITAS UNIT!D9"")"),"#N/A")</f>
        <v>#N/A</v>
      </c>
      <c r="H16301" s="4" t="str">
        <v/>
      </c>
      <c r="I16301" s="4" t="str">
        <v/>
      </c>
    </row>
    <row r="16302" spans="5:9" ht="16.5" hidden="1">
      <c r="E16302" s="4" t="str">
        <v/>
      </c>
      <c r="F16302" s="102" t="str">
        <f ca="1">IFERROR(__xludf.DUMMYFUNCTION("IMPORTRANGE(H16302,""IDENTITAS UNIT!D9"")"),"#N/A")</f>
        <v>#N/A</v>
      </c>
      <c r="H16302" s="4" t="str">
        <v/>
      </c>
      <c r="I16302" s="4" t="str">
        <v/>
      </c>
    </row>
    <row r="16303" spans="5:9" ht="16.5" hidden="1">
      <c r="E16303" s="4" t="str">
        <v/>
      </c>
      <c r="F16303" s="102" t="str">
        <f ca="1">IFERROR(__xludf.DUMMYFUNCTION("IMPORTRANGE(H16303,""IDENTITAS UNIT!D9"")"),"#N/A")</f>
        <v>#N/A</v>
      </c>
      <c r="H16303" s="4" t="str">
        <v/>
      </c>
      <c r="I16303" s="4" t="str">
        <v/>
      </c>
    </row>
    <row r="16304" spans="5:9" ht="16.5" hidden="1">
      <c r="E16304" s="4" t="str">
        <v/>
      </c>
      <c r="F16304" s="102" t="str">
        <f ca="1">IFERROR(__xludf.DUMMYFUNCTION("IMPORTRANGE(H16304,""IDENTITAS UNIT!D9"")"),"#N/A")</f>
        <v>#N/A</v>
      </c>
      <c r="H16304" s="4" t="str">
        <v/>
      </c>
      <c r="I16304" s="4" t="str">
        <v/>
      </c>
    </row>
    <row r="16305" spans="5:9" ht="16.5" hidden="1">
      <c r="E16305" s="4" t="str">
        <v/>
      </c>
      <c r="F16305" s="102" t="str">
        <f ca="1">IFERROR(__xludf.DUMMYFUNCTION("IMPORTRANGE(H16305,""IDENTITAS UNIT!D9"")"),"#N/A")</f>
        <v>#N/A</v>
      </c>
      <c r="H16305" s="4" t="str">
        <v/>
      </c>
      <c r="I16305" s="4" t="str">
        <v/>
      </c>
    </row>
    <row r="16306" spans="5:9" ht="16.5" hidden="1">
      <c r="E16306" s="4" t="str">
        <v/>
      </c>
      <c r="F16306" s="102" t="str">
        <f ca="1">IFERROR(__xludf.DUMMYFUNCTION("IMPORTRANGE(H16306,""IDENTITAS UNIT!D9"")"),"#N/A")</f>
        <v>#N/A</v>
      </c>
      <c r="H16306" s="4" t="str">
        <v/>
      </c>
      <c r="I16306" s="4" t="str">
        <v/>
      </c>
    </row>
    <row r="16307" spans="5:9" ht="16.5" hidden="1">
      <c r="E16307" s="4" t="str">
        <v/>
      </c>
      <c r="F16307" s="102" t="str">
        <f ca="1">IFERROR(__xludf.DUMMYFUNCTION("IMPORTRANGE(H16307,""IDENTITAS UNIT!D9"")"),"#N/A")</f>
        <v>#N/A</v>
      </c>
      <c r="H16307" s="4" t="str">
        <v/>
      </c>
      <c r="I16307" s="4" t="str">
        <v/>
      </c>
    </row>
    <row r="16308" spans="5:9" ht="16.5" hidden="1">
      <c r="E16308" s="4" t="str">
        <v/>
      </c>
      <c r="F16308" s="102" t="str">
        <f ca="1">IFERROR(__xludf.DUMMYFUNCTION("IMPORTRANGE(H16308,""IDENTITAS UNIT!D9"")"),"#N/A")</f>
        <v>#N/A</v>
      </c>
      <c r="H16308" s="4" t="str">
        <v/>
      </c>
      <c r="I16308" s="4" t="str">
        <v/>
      </c>
    </row>
    <row r="16309" spans="5:9" ht="16.5" hidden="1">
      <c r="E16309" s="4" t="str">
        <v/>
      </c>
      <c r="F16309" s="102" t="str">
        <f ca="1">IFERROR(__xludf.DUMMYFUNCTION("IMPORTRANGE(H16309,""IDENTITAS UNIT!D9"")"),"#N/A")</f>
        <v>#N/A</v>
      </c>
      <c r="H16309" s="4" t="str">
        <v/>
      </c>
      <c r="I16309" s="4" t="str">
        <v/>
      </c>
    </row>
    <row r="16310" spans="5:9" ht="16.5" hidden="1">
      <c r="E16310" s="4" t="str">
        <v/>
      </c>
      <c r="F16310" s="102" t="str">
        <f ca="1">IFERROR(__xludf.DUMMYFUNCTION("IMPORTRANGE(H16310,""IDENTITAS UNIT!D9"")"),"#N/A")</f>
        <v>#N/A</v>
      </c>
      <c r="H16310" s="4" t="str">
        <v/>
      </c>
      <c r="I16310" s="4" t="str">
        <v/>
      </c>
    </row>
    <row r="16311" spans="5:9" ht="16.5" hidden="1">
      <c r="E16311" s="4" t="str">
        <v/>
      </c>
      <c r="F16311" s="102" t="str">
        <f ca="1">IFERROR(__xludf.DUMMYFUNCTION("IMPORTRANGE(H16311,""IDENTITAS UNIT!D9"")"),"#N/A")</f>
        <v>#N/A</v>
      </c>
      <c r="H16311" s="4" t="str">
        <v/>
      </c>
      <c r="I16311" s="4" t="str">
        <v/>
      </c>
    </row>
    <row r="16312" spans="5:9" ht="16.5" hidden="1">
      <c r="E16312" s="4" t="str">
        <v/>
      </c>
      <c r="F16312" s="102" t="str">
        <f ca="1">IFERROR(__xludf.DUMMYFUNCTION("IMPORTRANGE(H16312,""IDENTITAS UNIT!D9"")"),"#N/A")</f>
        <v>#N/A</v>
      </c>
      <c r="H16312" s="4" t="str">
        <v/>
      </c>
      <c r="I16312" s="4" t="str">
        <v/>
      </c>
    </row>
    <row r="16313" spans="5:9" ht="16.5" hidden="1">
      <c r="E16313" s="4" t="str">
        <v/>
      </c>
      <c r="F16313" s="102" t="str">
        <f ca="1">IFERROR(__xludf.DUMMYFUNCTION("IMPORTRANGE(H16313,""IDENTITAS UNIT!D9"")"),"#N/A")</f>
        <v>#N/A</v>
      </c>
      <c r="H16313" s="4" t="str">
        <v/>
      </c>
      <c r="I16313" s="4" t="str">
        <v/>
      </c>
    </row>
    <row r="16314" spans="5:9" ht="16.5" hidden="1">
      <c r="E16314" s="4" t="str">
        <v/>
      </c>
      <c r="F16314" s="102" t="str">
        <f ca="1">IFERROR(__xludf.DUMMYFUNCTION("IMPORTRANGE(H16314,""IDENTITAS UNIT!D9"")"),"#N/A")</f>
        <v>#N/A</v>
      </c>
      <c r="H16314" s="4" t="str">
        <v/>
      </c>
      <c r="I16314" s="4" t="str">
        <v/>
      </c>
    </row>
    <row r="16315" spans="5:9" ht="16.5" hidden="1">
      <c r="E16315" s="4" t="str">
        <v/>
      </c>
      <c r="F16315" s="102" t="str">
        <f ca="1">IFERROR(__xludf.DUMMYFUNCTION("IMPORTRANGE(H16315,""IDENTITAS UNIT!D9"")"),"#N/A")</f>
        <v>#N/A</v>
      </c>
      <c r="H16315" s="4" t="str">
        <v/>
      </c>
      <c r="I16315" s="4" t="str">
        <v/>
      </c>
    </row>
    <row r="16316" spans="5:9" ht="16.5" hidden="1">
      <c r="E16316" s="4" t="str">
        <v/>
      </c>
      <c r="F16316" s="102" t="str">
        <f ca="1">IFERROR(__xludf.DUMMYFUNCTION("IMPORTRANGE(H16316,""IDENTITAS UNIT!D9"")"),"#N/A")</f>
        <v>#N/A</v>
      </c>
      <c r="H16316" s="4" t="str">
        <v/>
      </c>
      <c r="I16316" s="4" t="str">
        <v/>
      </c>
    </row>
    <row r="16317" spans="5:9" ht="16.5" hidden="1">
      <c r="E16317" s="4" t="str">
        <v/>
      </c>
      <c r="F16317" s="102" t="str">
        <f ca="1">IFERROR(__xludf.DUMMYFUNCTION("IMPORTRANGE(H16317,""IDENTITAS UNIT!D9"")"),"#N/A")</f>
        <v>#N/A</v>
      </c>
      <c r="H16317" s="4" t="str">
        <v/>
      </c>
      <c r="I16317" s="4" t="str">
        <v/>
      </c>
    </row>
    <row r="16318" spans="5:9" ht="16.5" hidden="1">
      <c r="E16318" s="4" t="str">
        <v/>
      </c>
      <c r="F16318" s="102" t="str">
        <f ca="1">IFERROR(__xludf.DUMMYFUNCTION("IMPORTRANGE(H16318,""IDENTITAS UNIT!D9"")"),"#N/A")</f>
        <v>#N/A</v>
      </c>
      <c r="H16318" s="4" t="str">
        <v/>
      </c>
      <c r="I16318" s="4" t="str">
        <v/>
      </c>
    </row>
    <row r="16319" spans="5:9" ht="16.5" hidden="1">
      <c r="E16319" s="4" t="str">
        <v/>
      </c>
      <c r="F16319" s="102" t="str">
        <f ca="1">IFERROR(__xludf.DUMMYFUNCTION("IMPORTRANGE(H16319,""IDENTITAS UNIT!D9"")"),"#N/A")</f>
        <v>#N/A</v>
      </c>
      <c r="H16319" s="4" t="str">
        <v/>
      </c>
      <c r="I16319" s="4" t="str">
        <v/>
      </c>
    </row>
    <row r="16320" spans="5:9" ht="16.5" hidden="1">
      <c r="E16320" s="4" t="str">
        <v/>
      </c>
      <c r="F16320" s="102" t="str">
        <f ca="1">IFERROR(__xludf.DUMMYFUNCTION("IMPORTRANGE(H16320,""IDENTITAS UNIT!D9"")"),"#N/A")</f>
        <v>#N/A</v>
      </c>
      <c r="H16320" s="4" t="str">
        <v/>
      </c>
      <c r="I16320" s="4" t="str">
        <v/>
      </c>
    </row>
    <row r="16321" spans="5:9" ht="16.5" hidden="1">
      <c r="E16321" s="4" t="str">
        <v/>
      </c>
      <c r="F16321" s="102" t="str">
        <f ca="1">IFERROR(__xludf.DUMMYFUNCTION("IMPORTRANGE(H16321,""IDENTITAS UNIT!D9"")"),"#N/A")</f>
        <v>#N/A</v>
      </c>
      <c r="H16321" s="4" t="str">
        <v/>
      </c>
      <c r="I16321" s="4" t="str">
        <v/>
      </c>
    </row>
    <row r="16322" spans="5:9" ht="16.5" hidden="1">
      <c r="E16322" s="4" t="str">
        <v/>
      </c>
      <c r="F16322" s="102" t="str">
        <f ca="1">IFERROR(__xludf.DUMMYFUNCTION("IMPORTRANGE(H16322,""IDENTITAS UNIT!D9"")"),"#N/A")</f>
        <v>#N/A</v>
      </c>
      <c r="H16322" s="4" t="str">
        <v/>
      </c>
      <c r="I16322" s="4" t="str">
        <v/>
      </c>
    </row>
    <row r="16323" spans="5:9" ht="16.5" hidden="1">
      <c r="E16323" s="4" t="str">
        <v/>
      </c>
      <c r="F16323" s="102" t="str">
        <f ca="1">IFERROR(__xludf.DUMMYFUNCTION("IMPORTRANGE(H16323,""IDENTITAS UNIT!D9"")"),"#N/A")</f>
        <v>#N/A</v>
      </c>
      <c r="H16323" s="4" t="str">
        <v/>
      </c>
      <c r="I16323" s="4" t="str">
        <v/>
      </c>
    </row>
    <row r="16324" spans="5:9" ht="16.5" hidden="1">
      <c r="E16324" s="4" t="str">
        <v/>
      </c>
      <c r="F16324" s="102" t="str">
        <f ca="1">IFERROR(__xludf.DUMMYFUNCTION("IMPORTRANGE(H16324,""IDENTITAS UNIT!D9"")"),"#N/A")</f>
        <v>#N/A</v>
      </c>
      <c r="H16324" s="4" t="str">
        <v/>
      </c>
      <c r="I16324" s="4" t="str">
        <v/>
      </c>
    </row>
    <row r="16325" spans="5:9" ht="16.5" hidden="1">
      <c r="E16325" s="4" t="str">
        <v/>
      </c>
      <c r="F16325" s="102" t="str">
        <f ca="1">IFERROR(__xludf.DUMMYFUNCTION("IMPORTRANGE(H16325,""IDENTITAS UNIT!D9"")"),"#N/A")</f>
        <v>#N/A</v>
      </c>
      <c r="H16325" s="4" t="str">
        <v/>
      </c>
      <c r="I16325" s="4" t="str">
        <v/>
      </c>
    </row>
    <row r="16326" spans="5:9" ht="16.5" hidden="1">
      <c r="E16326" s="4" t="str">
        <v/>
      </c>
      <c r="F16326" s="102" t="str">
        <f ca="1">IFERROR(__xludf.DUMMYFUNCTION("IMPORTRANGE(H16326,""IDENTITAS UNIT!D9"")"),"#N/A")</f>
        <v>#N/A</v>
      </c>
      <c r="H16326" s="4" t="str">
        <v/>
      </c>
      <c r="I16326" s="4" t="str">
        <v/>
      </c>
    </row>
    <row r="16327" spans="5:9" ht="16.5" hidden="1">
      <c r="E16327" s="4" t="str">
        <v/>
      </c>
      <c r="F16327" s="102" t="str">
        <f ca="1">IFERROR(__xludf.DUMMYFUNCTION("IMPORTRANGE(H16327,""IDENTITAS UNIT!D9"")"),"#N/A")</f>
        <v>#N/A</v>
      </c>
      <c r="H16327" s="4" t="str">
        <v/>
      </c>
      <c r="I16327" s="4" t="str">
        <v/>
      </c>
    </row>
    <row r="16328" spans="5:9" ht="16.5" hidden="1">
      <c r="E16328" s="4" t="str">
        <v/>
      </c>
      <c r="F16328" s="102" t="str">
        <f ca="1">IFERROR(__xludf.DUMMYFUNCTION("IMPORTRANGE(H16328,""IDENTITAS UNIT!D9"")"),"#N/A")</f>
        <v>#N/A</v>
      </c>
      <c r="H16328" s="4" t="str">
        <v/>
      </c>
      <c r="I16328" s="4" t="str">
        <v/>
      </c>
    </row>
    <row r="16329" spans="5:9" ht="16.5" hidden="1">
      <c r="E16329" s="4" t="str">
        <v/>
      </c>
      <c r="F16329" s="102" t="str">
        <f ca="1">IFERROR(__xludf.DUMMYFUNCTION("IMPORTRANGE(H16329,""IDENTITAS UNIT!D9"")"),"#N/A")</f>
        <v>#N/A</v>
      </c>
      <c r="H16329" s="4" t="str">
        <v/>
      </c>
      <c r="I16329" s="4" t="str">
        <v/>
      </c>
    </row>
    <row r="16330" spans="5:9" ht="16.5" hidden="1">
      <c r="E16330" s="4" t="str">
        <v/>
      </c>
      <c r="F16330" s="102" t="str">
        <f ca="1">IFERROR(__xludf.DUMMYFUNCTION("IMPORTRANGE(H16330,""IDENTITAS UNIT!D9"")"),"#N/A")</f>
        <v>#N/A</v>
      </c>
      <c r="H16330" s="4" t="str">
        <v/>
      </c>
      <c r="I16330" s="4" t="str">
        <v/>
      </c>
    </row>
    <row r="16331" spans="5:9" ht="16.5" hidden="1">
      <c r="E16331" s="4" t="str">
        <v/>
      </c>
      <c r="F16331" s="102" t="str">
        <f ca="1">IFERROR(__xludf.DUMMYFUNCTION("IMPORTRANGE(H16331,""IDENTITAS UNIT!D9"")"),"#N/A")</f>
        <v>#N/A</v>
      </c>
      <c r="H16331" s="4" t="str">
        <v/>
      </c>
      <c r="I16331" s="4" t="str">
        <v/>
      </c>
    </row>
    <row r="16332" spans="5:9" ht="16.5" hidden="1">
      <c r="E16332" s="4" t="str">
        <v/>
      </c>
      <c r="F16332" s="102" t="str">
        <f ca="1">IFERROR(__xludf.DUMMYFUNCTION("IMPORTRANGE(H16332,""IDENTITAS UNIT!D9"")"),"#N/A")</f>
        <v>#N/A</v>
      </c>
      <c r="H16332" s="4" t="str">
        <v/>
      </c>
      <c r="I16332" s="4" t="str">
        <v/>
      </c>
    </row>
    <row r="16333" spans="5:9" ht="16.5" hidden="1">
      <c r="E16333" s="4" t="str">
        <v/>
      </c>
      <c r="F16333" s="102" t="str">
        <f ca="1">IFERROR(__xludf.DUMMYFUNCTION("IMPORTRANGE(H16333,""IDENTITAS UNIT!D9"")"),"#N/A")</f>
        <v>#N/A</v>
      </c>
      <c r="H16333" s="4" t="str">
        <v/>
      </c>
      <c r="I16333" s="4" t="str">
        <v/>
      </c>
    </row>
    <row r="16334" spans="5:9" ht="16.5" hidden="1">
      <c r="E16334" s="4" t="str">
        <v/>
      </c>
      <c r="F16334" s="102" t="str">
        <f ca="1">IFERROR(__xludf.DUMMYFUNCTION("IMPORTRANGE(H16334,""IDENTITAS UNIT!D9"")"),"#N/A")</f>
        <v>#N/A</v>
      </c>
      <c r="H16334" s="4" t="str">
        <v/>
      </c>
      <c r="I16334" s="4" t="str">
        <v/>
      </c>
    </row>
    <row r="16335" spans="5:9" ht="16.5" hidden="1">
      <c r="E16335" s="4" t="str">
        <v/>
      </c>
      <c r="F16335" s="102" t="str">
        <f ca="1">IFERROR(__xludf.DUMMYFUNCTION("IMPORTRANGE(H16335,""IDENTITAS UNIT!D9"")"),"#N/A")</f>
        <v>#N/A</v>
      </c>
      <c r="H16335" s="4" t="str">
        <v/>
      </c>
      <c r="I16335" s="4" t="str">
        <v/>
      </c>
    </row>
    <row r="16336" spans="5:9" ht="16.5" hidden="1">
      <c r="E16336" s="4" t="str">
        <v/>
      </c>
      <c r="F16336" s="102" t="str">
        <f ca="1">IFERROR(__xludf.DUMMYFUNCTION("IMPORTRANGE(H16336,""IDENTITAS UNIT!D9"")"),"#N/A")</f>
        <v>#N/A</v>
      </c>
      <c r="H16336" s="4" t="str">
        <v/>
      </c>
      <c r="I16336" s="4" t="str">
        <v/>
      </c>
    </row>
    <row r="16337" spans="5:9" ht="16.5" hidden="1">
      <c r="E16337" s="4" t="str">
        <v/>
      </c>
      <c r="F16337" s="102" t="str">
        <f ca="1">IFERROR(__xludf.DUMMYFUNCTION("IMPORTRANGE(H16337,""IDENTITAS UNIT!D9"")"),"#N/A")</f>
        <v>#N/A</v>
      </c>
      <c r="H16337" s="4" t="str">
        <v/>
      </c>
      <c r="I16337" s="4" t="str">
        <v/>
      </c>
    </row>
    <row r="16338" spans="5:9" ht="16.5" hidden="1">
      <c r="E16338" s="4" t="str">
        <v/>
      </c>
      <c r="F16338" s="102" t="str">
        <f ca="1">IFERROR(__xludf.DUMMYFUNCTION("IMPORTRANGE(H16338,""IDENTITAS UNIT!D9"")"),"#N/A")</f>
        <v>#N/A</v>
      </c>
      <c r="H16338" s="4" t="str">
        <v/>
      </c>
      <c r="I16338" s="4" t="str">
        <v/>
      </c>
    </row>
    <row r="16339" spans="5:9" ht="16.5" hidden="1">
      <c r="E16339" s="4" t="str">
        <v/>
      </c>
      <c r="F16339" s="102" t="str">
        <f ca="1">IFERROR(__xludf.DUMMYFUNCTION("IMPORTRANGE(H16339,""IDENTITAS UNIT!D9"")"),"#N/A")</f>
        <v>#N/A</v>
      </c>
      <c r="H16339" s="4" t="str">
        <v/>
      </c>
      <c r="I16339" s="4" t="str">
        <v/>
      </c>
    </row>
    <row r="16340" spans="5:9" ht="16.5" hidden="1">
      <c r="E16340" s="4" t="str">
        <v/>
      </c>
      <c r="F16340" s="102" t="str">
        <f ca="1">IFERROR(__xludf.DUMMYFUNCTION("IMPORTRANGE(H16340,""IDENTITAS UNIT!D9"")"),"#N/A")</f>
        <v>#N/A</v>
      </c>
      <c r="H16340" s="4" t="str">
        <v/>
      </c>
      <c r="I16340" s="4" t="str">
        <v/>
      </c>
    </row>
    <row r="16341" spans="5:9" ht="16.5" hidden="1">
      <c r="E16341" s="4" t="str">
        <v/>
      </c>
      <c r="F16341" s="102" t="str">
        <f ca="1">IFERROR(__xludf.DUMMYFUNCTION("IMPORTRANGE(H16341,""IDENTITAS UNIT!D9"")"),"#N/A")</f>
        <v>#N/A</v>
      </c>
      <c r="H16341" s="4" t="str">
        <v/>
      </c>
      <c r="I16341" s="4" t="str">
        <v/>
      </c>
    </row>
    <row r="16342" spans="5:9" ht="16.5" hidden="1">
      <c r="E16342" s="4" t="str">
        <v/>
      </c>
      <c r="F16342" s="102" t="str">
        <f ca="1">IFERROR(__xludf.DUMMYFUNCTION("IMPORTRANGE(H16342,""IDENTITAS UNIT!D9"")"),"#N/A")</f>
        <v>#N/A</v>
      </c>
      <c r="H16342" s="4" t="str">
        <v/>
      </c>
      <c r="I16342" s="4" t="str">
        <v/>
      </c>
    </row>
    <row r="16343" spans="5:9" ht="16.5" hidden="1">
      <c r="E16343" s="4" t="str">
        <v/>
      </c>
      <c r="F16343" s="102" t="str">
        <f ca="1">IFERROR(__xludf.DUMMYFUNCTION("IMPORTRANGE(H16343,""IDENTITAS UNIT!D9"")"),"#N/A")</f>
        <v>#N/A</v>
      </c>
      <c r="H16343" s="4" t="str">
        <v/>
      </c>
      <c r="I16343" s="4" t="str">
        <v/>
      </c>
    </row>
    <row r="16344" spans="5:9" ht="16.5" hidden="1">
      <c r="E16344" s="4" t="str">
        <v/>
      </c>
      <c r="F16344" s="102" t="str">
        <f ca="1">IFERROR(__xludf.DUMMYFUNCTION("IMPORTRANGE(H16344,""IDENTITAS UNIT!D9"")"),"#N/A")</f>
        <v>#N/A</v>
      </c>
      <c r="H16344" s="4" t="str">
        <v/>
      </c>
      <c r="I16344" s="4" t="str">
        <v/>
      </c>
    </row>
    <row r="16345" spans="5:9" ht="16.5" hidden="1">
      <c r="E16345" s="4" t="str">
        <v/>
      </c>
      <c r="F16345" s="102" t="str">
        <f ca="1">IFERROR(__xludf.DUMMYFUNCTION("IMPORTRANGE(H16345,""IDENTITAS UNIT!D9"")"),"#N/A")</f>
        <v>#N/A</v>
      </c>
      <c r="H16345" s="4" t="str">
        <v/>
      </c>
      <c r="I16345" s="4" t="str">
        <v/>
      </c>
    </row>
    <row r="16346" spans="5:9" ht="16.5" hidden="1">
      <c r="E16346" s="4" t="str">
        <v/>
      </c>
      <c r="F16346" s="102" t="str">
        <f ca="1">IFERROR(__xludf.DUMMYFUNCTION("IMPORTRANGE(H16346,""IDENTITAS UNIT!D9"")"),"#N/A")</f>
        <v>#N/A</v>
      </c>
      <c r="H16346" s="4" t="str">
        <v/>
      </c>
      <c r="I16346" s="4" t="str">
        <v/>
      </c>
    </row>
    <row r="16347" spans="5:9" ht="16.5" hidden="1">
      <c r="E16347" s="4" t="str">
        <v/>
      </c>
      <c r="F16347" s="102" t="str">
        <f ca="1">IFERROR(__xludf.DUMMYFUNCTION("IMPORTRANGE(H16347,""IDENTITAS UNIT!D9"")"),"#N/A")</f>
        <v>#N/A</v>
      </c>
      <c r="H16347" s="4" t="str">
        <v/>
      </c>
      <c r="I16347" s="4" t="str">
        <v/>
      </c>
    </row>
    <row r="16348" spans="5:9" ht="16.5" hidden="1">
      <c r="E16348" s="4" t="str">
        <v/>
      </c>
      <c r="F16348" s="102" t="str">
        <f ca="1">IFERROR(__xludf.DUMMYFUNCTION("IMPORTRANGE(H16348,""IDENTITAS UNIT!D9"")"),"#N/A")</f>
        <v>#N/A</v>
      </c>
      <c r="H16348" s="4" t="str">
        <v/>
      </c>
      <c r="I16348" s="4" t="str">
        <v/>
      </c>
    </row>
    <row r="16349" spans="5:9" ht="16.5" hidden="1">
      <c r="E16349" s="4" t="str">
        <v/>
      </c>
      <c r="F16349" s="102" t="str">
        <f ca="1">IFERROR(__xludf.DUMMYFUNCTION("IMPORTRANGE(H16349,""IDENTITAS UNIT!D9"")"),"#N/A")</f>
        <v>#N/A</v>
      </c>
      <c r="H16349" s="4" t="str">
        <v/>
      </c>
      <c r="I16349" s="4" t="str">
        <v/>
      </c>
    </row>
    <row r="16350" spans="5:9" ht="16.5" hidden="1">
      <c r="E16350" s="4" t="str">
        <v/>
      </c>
      <c r="F16350" s="102" t="str">
        <f ca="1">IFERROR(__xludf.DUMMYFUNCTION("IMPORTRANGE(H16350,""IDENTITAS UNIT!D9"")"),"#N/A")</f>
        <v>#N/A</v>
      </c>
      <c r="H16350" s="4" t="str">
        <v/>
      </c>
      <c r="I16350" s="4" t="str">
        <v/>
      </c>
    </row>
    <row r="16351" spans="5:9" ht="16.5" hidden="1">
      <c r="E16351" s="4" t="str">
        <v/>
      </c>
      <c r="F16351" s="102" t="str">
        <f ca="1">IFERROR(__xludf.DUMMYFUNCTION("IMPORTRANGE(H16351,""IDENTITAS UNIT!D9"")"),"#N/A")</f>
        <v>#N/A</v>
      </c>
      <c r="H16351" s="4" t="str">
        <v/>
      </c>
      <c r="I16351" s="4" t="str">
        <v/>
      </c>
    </row>
    <row r="16352" spans="5:9" ht="16.5" hidden="1">
      <c r="E16352" s="4" t="str">
        <v/>
      </c>
      <c r="F16352" s="102" t="str">
        <f ca="1">IFERROR(__xludf.DUMMYFUNCTION("IMPORTRANGE(H16352,""IDENTITAS UNIT!D9"")"),"#N/A")</f>
        <v>#N/A</v>
      </c>
      <c r="H16352" s="4" t="str">
        <v/>
      </c>
      <c r="I16352" s="4" t="str">
        <v/>
      </c>
    </row>
    <row r="16353" spans="5:9" ht="16.5" hidden="1">
      <c r="E16353" s="4" t="str">
        <v/>
      </c>
      <c r="F16353" s="102" t="str">
        <f ca="1">IFERROR(__xludf.DUMMYFUNCTION("IMPORTRANGE(H16353,""IDENTITAS UNIT!D9"")"),"#N/A")</f>
        <v>#N/A</v>
      </c>
      <c r="H16353" s="4" t="str">
        <v/>
      </c>
      <c r="I16353" s="4" t="str">
        <v/>
      </c>
    </row>
    <row r="16354" spans="5:9" ht="16.5" hidden="1">
      <c r="E16354" s="4" t="str">
        <v/>
      </c>
      <c r="F16354" s="102" t="str">
        <f ca="1">IFERROR(__xludf.DUMMYFUNCTION("IMPORTRANGE(H16354,""IDENTITAS UNIT!D9"")"),"#N/A")</f>
        <v>#N/A</v>
      </c>
      <c r="H16354" s="4" t="str">
        <v/>
      </c>
      <c r="I16354" s="4" t="str">
        <v/>
      </c>
    </row>
    <row r="16355" spans="5:9" ht="16.5" hidden="1">
      <c r="E16355" s="4" t="str">
        <v/>
      </c>
      <c r="F16355" s="102" t="str">
        <f ca="1">IFERROR(__xludf.DUMMYFUNCTION("IMPORTRANGE(H16355,""IDENTITAS UNIT!D9"")"),"#N/A")</f>
        <v>#N/A</v>
      </c>
      <c r="H16355" s="4" t="str">
        <v/>
      </c>
      <c r="I16355" s="4" t="str">
        <v/>
      </c>
    </row>
    <row r="16356" spans="5:9" ht="16.5" hidden="1">
      <c r="E16356" s="4" t="str">
        <v/>
      </c>
      <c r="F16356" s="102" t="str">
        <f ca="1">IFERROR(__xludf.DUMMYFUNCTION("IMPORTRANGE(H16356,""IDENTITAS UNIT!D9"")"),"#N/A")</f>
        <v>#N/A</v>
      </c>
      <c r="H16356" s="4" t="str">
        <v/>
      </c>
      <c r="I16356" s="4" t="str">
        <v/>
      </c>
    </row>
    <row r="16357" spans="5:9" ht="16.5" hidden="1">
      <c r="E16357" s="4" t="str">
        <v/>
      </c>
      <c r="F16357" s="102" t="str">
        <f ca="1">IFERROR(__xludf.DUMMYFUNCTION("IMPORTRANGE(H16357,""IDENTITAS UNIT!D9"")"),"#N/A")</f>
        <v>#N/A</v>
      </c>
      <c r="H16357" s="4" t="str">
        <v/>
      </c>
      <c r="I16357" s="4" t="str">
        <v/>
      </c>
    </row>
    <row r="16358" spans="5:9" ht="16.5" hidden="1">
      <c r="E16358" s="4" t="str">
        <v/>
      </c>
      <c r="F16358" s="102" t="str">
        <f ca="1">IFERROR(__xludf.DUMMYFUNCTION("IMPORTRANGE(H16358,""IDENTITAS UNIT!D9"")"),"#N/A")</f>
        <v>#N/A</v>
      </c>
      <c r="H16358" s="4" t="str">
        <v/>
      </c>
      <c r="I16358" s="4" t="str">
        <v/>
      </c>
    </row>
    <row r="16359" spans="5:9" ht="16.5" hidden="1">
      <c r="E16359" s="4" t="str">
        <v/>
      </c>
      <c r="F16359" s="102" t="str">
        <f ca="1">IFERROR(__xludf.DUMMYFUNCTION("IMPORTRANGE(H16359,""IDENTITAS UNIT!D9"")"),"#N/A")</f>
        <v>#N/A</v>
      </c>
      <c r="H16359" s="4" t="str">
        <v/>
      </c>
      <c r="I16359" s="4" t="str">
        <v/>
      </c>
    </row>
    <row r="16360" spans="5:9" ht="16.5" hidden="1">
      <c r="E16360" s="4" t="str">
        <v/>
      </c>
      <c r="F16360" s="102" t="str">
        <f ca="1">IFERROR(__xludf.DUMMYFUNCTION("IMPORTRANGE(H16360,""IDENTITAS UNIT!D9"")"),"#N/A")</f>
        <v>#N/A</v>
      </c>
      <c r="H16360" s="4" t="str">
        <v/>
      </c>
      <c r="I16360" s="4" t="str">
        <v/>
      </c>
    </row>
    <row r="16361" spans="5:9" ht="16.5" hidden="1">
      <c r="E16361" s="4" t="str">
        <v/>
      </c>
      <c r="F16361" s="102" t="str">
        <f ca="1">IFERROR(__xludf.DUMMYFUNCTION("IMPORTRANGE(H16361,""IDENTITAS UNIT!D9"")"),"#N/A")</f>
        <v>#N/A</v>
      </c>
      <c r="H16361" s="4" t="str">
        <v/>
      </c>
      <c r="I16361" s="4" t="str">
        <v/>
      </c>
    </row>
    <row r="16362" spans="5:9" ht="16.5" hidden="1">
      <c r="E16362" s="4" t="str">
        <v/>
      </c>
      <c r="F16362" s="102" t="str">
        <f ca="1">IFERROR(__xludf.DUMMYFUNCTION("IMPORTRANGE(H16362,""IDENTITAS UNIT!D9"")"),"#N/A")</f>
        <v>#N/A</v>
      </c>
      <c r="H16362" s="4" t="str">
        <v/>
      </c>
      <c r="I16362" s="4" t="str">
        <v/>
      </c>
    </row>
    <row r="16363" spans="5:9" ht="16.5" hidden="1">
      <c r="E16363" s="4" t="str">
        <v/>
      </c>
      <c r="F16363" s="102" t="str">
        <f ca="1">IFERROR(__xludf.DUMMYFUNCTION("IMPORTRANGE(H16363,""IDENTITAS UNIT!D9"")"),"#N/A")</f>
        <v>#N/A</v>
      </c>
      <c r="H16363" s="4" t="str">
        <v/>
      </c>
      <c r="I16363" s="4" t="str">
        <v/>
      </c>
    </row>
    <row r="16364" spans="5:9" ht="16.5" hidden="1">
      <c r="E16364" s="4" t="str">
        <v/>
      </c>
      <c r="F16364" s="102" t="str">
        <f ca="1">IFERROR(__xludf.DUMMYFUNCTION("IMPORTRANGE(H16364,""IDENTITAS UNIT!D9"")"),"#N/A")</f>
        <v>#N/A</v>
      </c>
      <c r="H16364" s="4" t="str">
        <v/>
      </c>
      <c r="I16364" s="4" t="str">
        <v/>
      </c>
    </row>
    <row r="16365" spans="5:9" ht="16.5" hidden="1">
      <c r="E16365" s="4" t="str">
        <v/>
      </c>
      <c r="F16365" s="102" t="str">
        <f ca="1">IFERROR(__xludf.DUMMYFUNCTION("IMPORTRANGE(H16365,""IDENTITAS UNIT!D9"")"),"#N/A")</f>
        <v>#N/A</v>
      </c>
      <c r="H16365" s="4" t="str">
        <v/>
      </c>
      <c r="I16365" s="4" t="str">
        <v/>
      </c>
    </row>
    <row r="16366" spans="5:9" ht="16.5" hidden="1">
      <c r="E16366" s="4" t="str">
        <v/>
      </c>
      <c r="F16366" s="102" t="str">
        <f ca="1">IFERROR(__xludf.DUMMYFUNCTION("IMPORTRANGE(H16366,""IDENTITAS UNIT!D9"")"),"#N/A")</f>
        <v>#N/A</v>
      </c>
      <c r="H16366" s="4" t="str">
        <v/>
      </c>
      <c r="I16366" s="4" t="str">
        <v/>
      </c>
    </row>
    <row r="16367" spans="5:9" ht="16.5" hidden="1">
      <c r="E16367" s="4" t="str">
        <v/>
      </c>
      <c r="F16367" s="102" t="str">
        <f ca="1">IFERROR(__xludf.DUMMYFUNCTION("IMPORTRANGE(H16367,""IDENTITAS UNIT!D9"")"),"#N/A")</f>
        <v>#N/A</v>
      </c>
      <c r="H16367" s="4" t="str">
        <v/>
      </c>
      <c r="I16367" s="4" t="str">
        <v/>
      </c>
    </row>
    <row r="16368" spans="5:9" ht="16.5" hidden="1">
      <c r="E16368" s="4" t="str">
        <v/>
      </c>
      <c r="F16368" s="102" t="str">
        <f ca="1">IFERROR(__xludf.DUMMYFUNCTION("IMPORTRANGE(H16368,""IDENTITAS UNIT!D9"")"),"#N/A")</f>
        <v>#N/A</v>
      </c>
      <c r="H16368" s="4" t="str">
        <v/>
      </c>
      <c r="I16368" s="4" t="str">
        <v/>
      </c>
    </row>
    <row r="16369" spans="5:9" ht="16.5" hidden="1">
      <c r="E16369" s="4" t="str">
        <v/>
      </c>
      <c r="F16369" s="102" t="str">
        <f ca="1">IFERROR(__xludf.DUMMYFUNCTION("IMPORTRANGE(H16369,""IDENTITAS UNIT!D9"")"),"#N/A")</f>
        <v>#N/A</v>
      </c>
      <c r="H16369" s="4" t="str">
        <v/>
      </c>
      <c r="I16369" s="4" t="str">
        <v/>
      </c>
    </row>
    <row r="16370" spans="5:9" ht="16.5" hidden="1">
      <c r="E16370" s="4" t="str">
        <v/>
      </c>
      <c r="F16370" s="102" t="str">
        <f ca="1">IFERROR(__xludf.DUMMYFUNCTION("IMPORTRANGE(H16370,""IDENTITAS UNIT!D9"")"),"#N/A")</f>
        <v>#N/A</v>
      </c>
      <c r="H16370" s="4" t="str">
        <v/>
      </c>
      <c r="I16370" s="4" t="str">
        <v/>
      </c>
    </row>
    <row r="16371" spans="5:9" ht="16.5" hidden="1">
      <c r="E16371" s="4" t="str">
        <v/>
      </c>
      <c r="F16371" s="102" t="str">
        <f ca="1">IFERROR(__xludf.DUMMYFUNCTION("IMPORTRANGE(H16371,""IDENTITAS UNIT!D9"")"),"#N/A")</f>
        <v>#N/A</v>
      </c>
      <c r="H16371" s="4" t="str">
        <v/>
      </c>
      <c r="I16371" s="4" t="str">
        <v/>
      </c>
    </row>
    <row r="16372" spans="5:9" ht="16.5" hidden="1">
      <c r="E16372" s="4" t="str">
        <v/>
      </c>
      <c r="F16372" s="102" t="str">
        <f ca="1">IFERROR(__xludf.DUMMYFUNCTION("IMPORTRANGE(H16372,""IDENTITAS UNIT!D9"")"),"#N/A")</f>
        <v>#N/A</v>
      </c>
      <c r="H16372" s="4" t="str">
        <v/>
      </c>
      <c r="I16372" s="4" t="str">
        <v/>
      </c>
    </row>
    <row r="16373" spans="5:9" ht="16.5" hidden="1">
      <c r="E16373" s="4" t="str">
        <v/>
      </c>
      <c r="F16373" s="102" t="str">
        <f ca="1">IFERROR(__xludf.DUMMYFUNCTION("IMPORTRANGE(H16373,""IDENTITAS UNIT!D9"")"),"#N/A")</f>
        <v>#N/A</v>
      </c>
      <c r="H16373" s="4" t="str">
        <v/>
      </c>
      <c r="I16373" s="4" t="str">
        <v/>
      </c>
    </row>
    <row r="16374" spans="5:9" ht="16.5" hidden="1">
      <c r="E16374" s="4" t="str">
        <v/>
      </c>
      <c r="F16374" s="102" t="str">
        <f ca="1">IFERROR(__xludf.DUMMYFUNCTION("IMPORTRANGE(H16374,""IDENTITAS UNIT!D9"")"),"#N/A")</f>
        <v>#N/A</v>
      </c>
      <c r="H16374" s="4" t="str">
        <v/>
      </c>
      <c r="I16374" s="4" t="str">
        <v/>
      </c>
    </row>
    <row r="16375" spans="5:9" ht="16.5" hidden="1">
      <c r="E16375" s="4" t="str">
        <v/>
      </c>
      <c r="F16375" s="102" t="str">
        <f ca="1">IFERROR(__xludf.DUMMYFUNCTION("IMPORTRANGE(H16375,""IDENTITAS UNIT!D9"")"),"#N/A")</f>
        <v>#N/A</v>
      </c>
      <c r="H16375" s="4" t="str">
        <v/>
      </c>
      <c r="I16375" s="4" t="str">
        <v/>
      </c>
    </row>
    <row r="16376" spans="5:9" ht="16.5" hidden="1">
      <c r="E16376" s="4" t="str">
        <v/>
      </c>
      <c r="F16376" s="102" t="str">
        <f ca="1">IFERROR(__xludf.DUMMYFUNCTION("IMPORTRANGE(H16376,""IDENTITAS UNIT!D9"")"),"#N/A")</f>
        <v>#N/A</v>
      </c>
      <c r="H16376" s="4" t="str">
        <v/>
      </c>
      <c r="I16376" s="4" t="str">
        <v/>
      </c>
    </row>
    <row r="16377" spans="5:9" ht="16.5" hidden="1">
      <c r="E16377" s="4" t="str">
        <v/>
      </c>
      <c r="F16377" s="102" t="str">
        <f ca="1">IFERROR(__xludf.DUMMYFUNCTION("IMPORTRANGE(H16377,""IDENTITAS UNIT!D9"")"),"#N/A")</f>
        <v>#N/A</v>
      </c>
      <c r="H16377" s="4" t="str">
        <v/>
      </c>
      <c r="I16377" s="4" t="str">
        <v/>
      </c>
    </row>
    <row r="16378" spans="5:9" ht="16.5" hidden="1">
      <c r="E16378" s="4" t="str">
        <v/>
      </c>
      <c r="F16378" s="102" t="str">
        <f ca="1">IFERROR(__xludf.DUMMYFUNCTION("IMPORTRANGE(H16378,""IDENTITAS UNIT!D9"")"),"#N/A")</f>
        <v>#N/A</v>
      </c>
      <c r="H16378" s="4" t="str">
        <v/>
      </c>
      <c r="I16378" s="4" t="str">
        <v/>
      </c>
    </row>
    <row r="16379" spans="5:9" ht="16.5" hidden="1">
      <c r="E16379" s="4" t="str">
        <v/>
      </c>
      <c r="F16379" s="102" t="str">
        <f ca="1">IFERROR(__xludf.DUMMYFUNCTION("IMPORTRANGE(H16379,""IDENTITAS UNIT!D9"")"),"#N/A")</f>
        <v>#N/A</v>
      </c>
      <c r="H16379" s="4" t="str">
        <v/>
      </c>
      <c r="I16379" s="4" t="str">
        <v/>
      </c>
    </row>
    <row r="16380" spans="5:9" ht="16.5" hidden="1">
      <c r="E16380" s="4" t="str">
        <v/>
      </c>
      <c r="F16380" s="102" t="str">
        <f ca="1">IFERROR(__xludf.DUMMYFUNCTION("IMPORTRANGE(H16380,""IDENTITAS UNIT!D9"")"),"#N/A")</f>
        <v>#N/A</v>
      </c>
      <c r="H16380" s="4" t="str">
        <v/>
      </c>
      <c r="I16380" s="4" t="str">
        <v/>
      </c>
    </row>
    <row r="16381" spans="5:9" ht="16.5" hidden="1">
      <c r="E16381" s="4" t="str">
        <v/>
      </c>
      <c r="F16381" s="102" t="str">
        <f ca="1">IFERROR(__xludf.DUMMYFUNCTION("IMPORTRANGE(H16381,""IDENTITAS UNIT!D9"")"),"#N/A")</f>
        <v>#N/A</v>
      </c>
      <c r="H16381" s="4" t="str">
        <v/>
      </c>
      <c r="I16381" s="4" t="str">
        <v/>
      </c>
    </row>
    <row r="16382" spans="5:9" ht="16.5" hidden="1">
      <c r="E16382" s="4" t="str">
        <v/>
      </c>
      <c r="F16382" s="102" t="str">
        <f ca="1">IFERROR(__xludf.DUMMYFUNCTION("IMPORTRANGE(H16382,""IDENTITAS UNIT!D9"")"),"#N/A")</f>
        <v>#N/A</v>
      </c>
      <c r="H16382" s="4" t="str">
        <v/>
      </c>
      <c r="I16382" s="4" t="str">
        <v/>
      </c>
    </row>
    <row r="16383" spans="5:9" ht="16.5" hidden="1">
      <c r="E16383" s="4" t="str">
        <v/>
      </c>
      <c r="F16383" s="102" t="str">
        <f ca="1">IFERROR(__xludf.DUMMYFUNCTION("IMPORTRANGE(H16383,""IDENTITAS UNIT!D9"")"),"#N/A")</f>
        <v>#N/A</v>
      </c>
      <c r="H16383" s="4" t="str">
        <v/>
      </c>
      <c r="I16383" s="4" t="str">
        <v/>
      </c>
    </row>
    <row r="16384" spans="5:9" ht="16.5" hidden="1">
      <c r="E16384" s="4" t="str">
        <v/>
      </c>
      <c r="F16384" s="102" t="str">
        <f ca="1">IFERROR(__xludf.DUMMYFUNCTION("IMPORTRANGE(H16384,""IDENTITAS UNIT!D9"")"),"#N/A")</f>
        <v>#N/A</v>
      </c>
      <c r="H16384" s="4" t="str">
        <v/>
      </c>
      <c r="I16384" s="4" t="str">
        <v/>
      </c>
    </row>
    <row r="16385" spans="5:9" ht="16.5" hidden="1">
      <c r="E16385" s="4" t="str">
        <v/>
      </c>
      <c r="F16385" s="102" t="str">
        <f ca="1">IFERROR(__xludf.DUMMYFUNCTION("IMPORTRANGE(H16385,""IDENTITAS UNIT!D9"")"),"#N/A")</f>
        <v>#N/A</v>
      </c>
      <c r="H16385" s="4" t="str">
        <v/>
      </c>
      <c r="I16385" s="4" t="str">
        <v/>
      </c>
    </row>
    <row r="16386" spans="5:9" ht="16.5" hidden="1">
      <c r="E16386" s="4" t="str">
        <v/>
      </c>
      <c r="F16386" s="102" t="str">
        <f ca="1">IFERROR(__xludf.DUMMYFUNCTION("IMPORTRANGE(H16386,""IDENTITAS UNIT!D9"")"),"#N/A")</f>
        <v>#N/A</v>
      </c>
      <c r="H16386" s="4" t="str">
        <v/>
      </c>
      <c r="I16386" s="4" t="str">
        <v/>
      </c>
    </row>
    <row r="16387" spans="5:9" ht="16.5" hidden="1">
      <c r="E16387" s="4" t="str">
        <v/>
      </c>
      <c r="F16387" s="102" t="str">
        <f ca="1">IFERROR(__xludf.DUMMYFUNCTION("IMPORTRANGE(H16387,""IDENTITAS UNIT!D9"")"),"#N/A")</f>
        <v>#N/A</v>
      </c>
      <c r="H16387" s="4" t="str">
        <v/>
      </c>
      <c r="I16387" s="4" t="str">
        <v/>
      </c>
    </row>
    <row r="16388" spans="5:9" ht="16.5" hidden="1">
      <c r="E16388" s="4" t="str">
        <v/>
      </c>
      <c r="F16388" s="102" t="str">
        <f ca="1">IFERROR(__xludf.DUMMYFUNCTION("IMPORTRANGE(H16388,""IDENTITAS UNIT!D9"")"),"#N/A")</f>
        <v>#N/A</v>
      </c>
      <c r="H16388" s="4" t="str">
        <v/>
      </c>
      <c r="I16388" s="4" t="str">
        <v/>
      </c>
    </row>
    <row r="16389" spans="5:9" ht="16.5" hidden="1">
      <c r="E16389" s="4" t="str">
        <v/>
      </c>
      <c r="F16389" s="102" t="str">
        <f ca="1">IFERROR(__xludf.DUMMYFUNCTION("IMPORTRANGE(H16389,""IDENTITAS UNIT!D9"")"),"#N/A")</f>
        <v>#N/A</v>
      </c>
      <c r="H16389" s="4" t="str">
        <v/>
      </c>
      <c r="I16389" s="4" t="str">
        <v/>
      </c>
    </row>
    <row r="16390" spans="5:9" ht="16.5" hidden="1">
      <c r="E16390" s="4" t="str">
        <v/>
      </c>
      <c r="F16390" s="102" t="str">
        <f ca="1">IFERROR(__xludf.DUMMYFUNCTION("IMPORTRANGE(H16390,""IDENTITAS UNIT!D9"")"),"#N/A")</f>
        <v>#N/A</v>
      </c>
      <c r="H16390" s="4" t="str">
        <v/>
      </c>
      <c r="I16390" s="4" t="str">
        <v/>
      </c>
    </row>
    <row r="16391" spans="5:9" ht="16.5" hidden="1">
      <c r="E16391" s="4" t="str">
        <v/>
      </c>
      <c r="F16391" s="102" t="str">
        <f ca="1">IFERROR(__xludf.DUMMYFUNCTION("IMPORTRANGE(H16391,""IDENTITAS UNIT!D9"")"),"#N/A")</f>
        <v>#N/A</v>
      </c>
      <c r="H16391" s="4" t="str">
        <v/>
      </c>
      <c r="I16391" s="4" t="str">
        <v/>
      </c>
    </row>
    <row r="16392" spans="5:9" ht="16.5" hidden="1">
      <c r="E16392" s="4" t="str">
        <v/>
      </c>
      <c r="F16392" s="102" t="str">
        <f ca="1">IFERROR(__xludf.DUMMYFUNCTION("IMPORTRANGE(H16392,""IDENTITAS UNIT!D9"")"),"#N/A")</f>
        <v>#N/A</v>
      </c>
      <c r="H16392" s="4" t="str">
        <v/>
      </c>
      <c r="I16392" s="4" t="str">
        <v/>
      </c>
    </row>
    <row r="16393" spans="5:9" ht="16.5" hidden="1">
      <c r="E16393" s="4" t="str">
        <v/>
      </c>
      <c r="F16393" s="102" t="str">
        <f ca="1">IFERROR(__xludf.DUMMYFUNCTION("IMPORTRANGE(H16393,""IDENTITAS UNIT!D9"")"),"#N/A")</f>
        <v>#N/A</v>
      </c>
      <c r="H16393" s="4" t="str">
        <v/>
      </c>
      <c r="I16393" s="4" t="str">
        <v/>
      </c>
    </row>
    <row r="16394" spans="5:9" ht="16.5" hidden="1">
      <c r="E16394" s="4" t="str">
        <v/>
      </c>
      <c r="F16394" s="102" t="str">
        <f ca="1">IFERROR(__xludf.DUMMYFUNCTION("IMPORTRANGE(H16394,""IDENTITAS UNIT!D9"")"),"#N/A")</f>
        <v>#N/A</v>
      </c>
      <c r="H16394" s="4" t="str">
        <v/>
      </c>
      <c r="I16394" s="4" t="str">
        <v/>
      </c>
    </row>
    <row r="16395" spans="5:9" ht="16.5" hidden="1">
      <c r="E16395" s="4" t="str">
        <v/>
      </c>
      <c r="F16395" s="102" t="str">
        <f ca="1">IFERROR(__xludf.DUMMYFUNCTION("IMPORTRANGE(H16395,""IDENTITAS UNIT!D9"")"),"#N/A")</f>
        <v>#N/A</v>
      </c>
      <c r="H16395" s="4" t="str">
        <v/>
      </c>
      <c r="I16395" s="4" t="str">
        <v/>
      </c>
    </row>
    <row r="16396" spans="5:9" ht="16.5" hidden="1">
      <c r="E16396" s="4" t="str">
        <v/>
      </c>
      <c r="F16396" s="102" t="str">
        <f ca="1">IFERROR(__xludf.DUMMYFUNCTION("IMPORTRANGE(H16396,""IDENTITAS UNIT!D9"")"),"#N/A")</f>
        <v>#N/A</v>
      </c>
      <c r="H16396" s="4" t="str">
        <v/>
      </c>
      <c r="I16396" s="4" t="str">
        <v/>
      </c>
    </row>
    <row r="16397" spans="5:9" ht="16.5" hidden="1">
      <c r="E16397" s="4" t="str">
        <v/>
      </c>
      <c r="F16397" s="102" t="str">
        <f ca="1">IFERROR(__xludf.DUMMYFUNCTION("IMPORTRANGE(H16397,""IDENTITAS UNIT!D9"")"),"#N/A")</f>
        <v>#N/A</v>
      </c>
      <c r="H16397" s="4" t="str">
        <v/>
      </c>
      <c r="I16397" s="4" t="str">
        <v/>
      </c>
    </row>
    <row r="16398" spans="5:9" ht="16.5" hidden="1">
      <c r="E16398" s="4" t="str">
        <v/>
      </c>
      <c r="F16398" s="102" t="str">
        <f ca="1">IFERROR(__xludf.DUMMYFUNCTION("IMPORTRANGE(H16398,""IDENTITAS UNIT!D9"")"),"#N/A")</f>
        <v>#N/A</v>
      </c>
      <c r="H16398" s="4" t="str">
        <v/>
      </c>
      <c r="I16398" s="4" t="str">
        <v/>
      </c>
    </row>
    <row r="16399" spans="5:9" ht="16.5" hidden="1">
      <c r="E16399" s="4" t="str">
        <v/>
      </c>
      <c r="F16399" s="102" t="str">
        <f ca="1">IFERROR(__xludf.DUMMYFUNCTION("IMPORTRANGE(H16399,""IDENTITAS UNIT!D9"")"),"#N/A")</f>
        <v>#N/A</v>
      </c>
      <c r="H16399" s="4" t="str">
        <v/>
      </c>
      <c r="I16399" s="4" t="str">
        <v/>
      </c>
    </row>
    <row r="16400" spans="5:9" ht="16.5" hidden="1">
      <c r="E16400" s="4" t="str">
        <v/>
      </c>
      <c r="F16400" s="102" t="str">
        <f ca="1">IFERROR(__xludf.DUMMYFUNCTION("IMPORTRANGE(H16400,""IDENTITAS UNIT!D9"")"),"#N/A")</f>
        <v>#N/A</v>
      </c>
      <c r="H16400" s="4" t="str">
        <v/>
      </c>
      <c r="I16400" s="4" t="str">
        <v/>
      </c>
    </row>
    <row r="16401" spans="5:9" ht="16.5" hidden="1">
      <c r="E16401" s="4" t="str">
        <v/>
      </c>
      <c r="F16401" s="102" t="str">
        <f ca="1">IFERROR(__xludf.DUMMYFUNCTION("IMPORTRANGE(H16401,""IDENTITAS UNIT!D9"")"),"#N/A")</f>
        <v>#N/A</v>
      </c>
      <c r="H16401" s="4" t="str">
        <v/>
      </c>
      <c r="I16401" s="4" t="str">
        <v/>
      </c>
    </row>
    <row r="16402" spans="5:9" ht="16.5" hidden="1">
      <c r="E16402" s="4" t="str">
        <v/>
      </c>
      <c r="F16402" s="102" t="str">
        <f ca="1">IFERROR(__xludf.DUMMYFUNCTION("IMPORTRANGE(H16402,""IDENTITAS UNIT!D9"")"),"#N/A")</f>
        <v>#N/A</v>
      </c>
      <c r="H16402" s="4" t="str">
        <v/>
      </c>
      <c r="I16402" s="4" t="str">
        <v/>
      </c>
    </row>
    <row r="16403" spans="5:9" ht="16.5" hidden="1">
      <c r="E16403" s="4" t="str">
        <v/>
      </c>
      <c r="F16403" s="102" t="str">
        <f ca="1">IFERROR(__xludf.DUMMYFUNCTION("IMPORTRANGE(H16403,""IDENTITAS UNIT!D9"")"),"#N/A")</f>
        <v>#N/A</v>
      </c>
      <c r="H16403" s="4" t="str">
        <v/>
      </c>
      <c r="I16403" s="4" t="str">
        <v/>
      </c>
    </row>
    <row r="16404" spans="5:9" ht="16.5" hidden="1">
      <c r="E16404" s="4" t="str">
        <v/>
      </c>
      <c r="F16404" s="102" t="str">
        <f ca="1">IFERROR(__xludf.DUMMYFUNCTION("IMPORTRANGE(H16404,""IDENTITAS UNIT!D9"")"),"#N/A")</f>
        <v>#N/A</v>
      </c>
      <c r="H16404" s="4" t="str">
        <v/>
      </c>
      <c r="I16404" s="4" t="str">
        <v/>
      </c>
    </row>
    <row r="16405" spans="5:9" ht="16.5" hidden="1">
      <c r="E16405" s="4" t="str">
        <v/>
      </c>
      <c r="F16405" s="102" t="str">
        <f ca="1">IFERROR(__xludf.DUMMYFUNCTION("IMPORTRANGE(H16405,""IDENTITAS UNIT!D9"")"),"#N/A")</f>
        <v>#N/A</v>
      </c>
      <c r="H16405" s="4" t="str">
        <v/>
      </c>
      <c r="I16405" s="4" t="str">
        <v/>
      </c>
    </row>
    <row r="16406" spans="5:9" ht="16.5" hidden="1">
      <c r="E16406" s="4" t="str">
        <v/>
      </c>
      <c r="F16406" s="102" t="str">
        <f ca="1">IFERROR(__xludf.DUMMYFUNCTION("IMPORTRANGE(H16406,""IDENTITAS UNIT!D9"")"),"#N/A")</f>
        <v>#N/A</v>
      </c>
      <c r="H16406" s="4" t="str">
        <v/>
      </c>
      <c r="I16406" s="4" t="str">
        <v/>
      </c>
    </row>
    <row r="16407" spans="5:9" ht="16.5" hidden="1">
      <c r="E16407" s="4" t="str">
        <v/>
      </c>
      <c r="F16407" s="102" t="str">
        <f ca="1">IFERROR(__xludf.DUMMYFUNCTION("IMPORTRANGE(H16407,""IDENTITAS UNIT!D9"")"),"#N/A")</f>
        <v>#N/A</v>
      </c>
      <c r="H16407" s="4" t="str">
        <v/>
      </c>
      <c r="I16407" s="4" t="str">
        <v/>
      </c>
    </row>
    <row r="16408" spans="5:9" ht="16.5" hidden="1">
      <c r="E16408" s="4" t="str">
        <v/>
      </c>
      <c r="F16408" s="102" t="str">
        <f ca="1">IFERROR(__xludf.DUMMYFUNCTION("IMPORTRANGE(H16408,""IDENTITAS UNIT!D9"")"),"#N/A")</f>
        <v>#N/A</v>
      </c>
      <c r="H16408" s="4" t="str">
        <v/>
      </c>
      <c r="I16408" s="4" t="str">
        <v/>
      </c>
    </row>
    <row r="16409" spans="5:9" ht="16.5" hidden="1">
      <c r="E16409" s="4" t="str">
        <v/>
      </c>
      <c r="F16409" s="102" t="str">
        <f ca="1">IFERROR(__xludf.DUMMYFUNCTION("IMPORTRANGE(H16409,""IDENTITAS UNIT!D9"")"),"#N/A")</f>
        <v>#N/A</v>
      </c>
      <c r="H16409" s="4" t="str">
        <v/>
      </c>
      <c r="I16409" s="4" t="str">
        <v/>
      </c>
    </row>
    <row r="16410" spans="5:9" ht="16.5" hidden="1">
      <c r="E16410" s="4" t="str">
        <v/>
      </c>
      <c r="F16410" s="102" t="str">
        <f ca="1">IFERROR(__xludf.DUMMYFUNCTION("IMPORTRANGE(H16410,""IDENTITAS UNIT!D9"")"),"#N/A")</f>
        <v>#N/A</v>
      </c>
      <c r="H16410" s="4" t="str">
        <v/>
      </c>
      <c r="I16410" s="4" t="str">
        <v/>
      </c>
    </row>
    <row r="16411" spans="5:9" ht="16.5" hidden="1">
      <c r="E16411" s="4" t="str">
        <v/>
      </c>
      <c r="F16411" s="102" t="str">
        <f ca="1">IFERROR(__xludf.DUMMYFUNCTION("IMPORTRANGE(H16411,""IDENTITAS UNIT!D9"")"),"#N/A")</f>
        <v>#N/A</v>
      </c>
      <c r="H16411" s="4" t="str">
        <v/>
      </c>
      <c r="I16411" s="4" t="str">
        <v/>
      </c>
    </row>
    <row r="16412" spans="5:9" ht="16.5" hidden="1">
      <c r="E16412" s="4" t="str">
        <v/>
      </c>
      <c r="F16412" s="102" t="str">
        <f ca="1">IFERROR(__xludf.DUMMYFUNCTION("IMPORTRANGE(H16412,""IDENTITAS UNIT!D9"")"),"#N/A")</f>
        <v>#N/A</v>
      </c>
      <c r="H16412" s="4" t="str">
        <v/>
      </c>
      <c r="I16412" s="4" t="str">
        <v/>
      </c>
    </row>
    <row r="16413" spans="5:9" ht="16.5" hidden="1">
      <c r="E16413" s="4" t="str">
        <v/>
      </c>
      <c r="F16413" s="102" t="str">
        <f ca="1">IFERROR(__xludf.DUMMYFUNCTION("IMPORTRANGE(H16413,""IDENTITAS UNIT!D9"")"),"#N/A")</f>
        <v>#N/A</v>
      </c>
      <c r="H16413" s="4" t="str">
        <v/>
      </c>
      <c r="I16413" s="4" t="str">
        <v/>
      </c>
    </row>
    <row r="16414" spans="5:9" ht="16.5" hidden="1">
      <c r="E16414" s="4" t="str">
        <v/>
      </c>
      <c r="F16414" s="102" t="str">
        <f ca="1">IFERROR(__xludf.DUMMYFUNCTION("IMPORTRANGE(H16414,""IDENTITAS UNIT!D9"")"),"#N/A")</f>
        <v>#N/A</v>
      </c>
      <c r="H16414" s="4" t="str">
        <v/>
      </c>
      <c r="I16414" s="4" t="str">
        <v/>
      </c>
    </row>
    <row r="16415" spans="5:9" ht="16.5" hidden="1">
      <c r="E16415" s="4" t="str">
        <v/>
      </c>
      <c r="F16415" s="102" t="str">
        <f ca="1">IFERROR(__xludf.DUMMYFUNCTION("IMPORTRANGE(H16415,""IDENTITAS UNIT!D9"")"),"#N/A")</f>
        <v>#N/A</v>
      </c>
      <c r="H16415" s="4" t="str">
        <v/>
      </c>
      <c r="I16415" s="4" t="str">
        <v/>
      </c>
    </row>
    <row r="16416" spans="5:9" ht="16.5" hidden="1">
      <c r="E16416" s="4" t="str">
        <v/>
      </c>
      <c r="F16416" s="102" t="str">
        <f ca="1">IFERROR(__xludf.DUMMYFUNCTION("IMPORTRANGE(H16416,""IDENTITAS UNIT!D9"")"),"#N/A")</f>
        <v>#N/A</v>
      </c>
      <c r="H16416" s="4" t="str">
        <v/>
      </c>
      <c r="I16416" s="4" t="str">
        <v/>
      </c>
    </row>
    <row r="16417" spans="5:9" ht="16.5" hidden="1">
      <c r="E16417" s="4" t="str">
        <v/>
      </c>
      <c r="F16417" s="102" t="str">
        <f ca="1">IFERROR(__xludf.DUMMYFUNCTION("IMPORTRANGE(H16417,""IDENTITAS UNIT!D9"")"),"#N/A")</f>
        <v>#N/A</v>
      </c>
      <c r="H16417" s="4" t="str">
        <v/>
      </c>
      <c r="I16417" s="4" t="str">
        <v/>
      </c>
    </row>
    <row r="16418" spans="5:9" ht="16.5" hidden="1">
      <c r="E16418" s="4" t="str">
        <v/>
      </c>
      <c r="F16418" s="102" t="str">
        <f ca="1">IFERROR(__xludf.DUMMYFUNCTION("IMPORTRANGE(H16418,""IDENTITAS UNIT!D9"")"),"#N/A")</f>
        <v>#N/A</v>
      </c>
      <c r="H16418" s="4" t="str">
        <v/>
      </c>
      <c r="I16418" s="4" t="str">
        <v/>
      </c>
    </row>
    <row r="16419" spans="5:9" ht="16.5" hidden="1">
      <c r="E16419" s="4" t="str">
        <v/>
      </c>
      <c r="F16419" s="102" t="str">
        <f ca="1">IFERROR(__xludf.DUMMYFUNCTION("IMPORTRANGE(H16419,""IDENTITAS UNIT!D9"")"),"#N/A")</f>
        <v>#N/A</v>
      </c>
      <c r="H16419" s="4" t="str">
        <v/>
      </c>
      <c r="I16419" s="4" t="str">
        <v/>
      </c>
    </row>
    <row r="16420" spans="5:9" ht="16.5" hidden="1">
      <c r="E16420" s="4" t="str">
        <v/>
      </c>
      <c r="F16420" s="102" t="str">
        <f ca="1">IFERROR(__xludf.DUMMYFUNCTION("IMPORTRANGE(H16420,""IDENTITAS UNIT!D9"")"),"#N/A")</f>
        <v>#N/A</v>
      </c>
      <c r="H16420" s="4" t="str">
        <v/>
      </c>
      <c r="I16420" s="4" t="str">
        <v/>
      </c>
    </row>
    <row r="16421" spans="5:9" ht="16.5" hidden="1">
      <c r="E16421" s="4" t="str">
        <v/>
      </c>
      <c r="F16421" s="102" t="str">
        <f ca="1">IFERROR(__xludf.DUMMYFUNCTION("IMPORTRANGE(H16421,""IDENTITAS UNIT!D9"")"),"#N/A")</f>
        <v>#N/A</v>
      </c>
      <c r="H16421" s="4" t="str">
        <v/>
      </c>
      <c r="I16421" s="4" t="str">
        <v/>
      </c>
    </row>
    <row r="16422" spans="5:9" ht="16.5" hidden="1">
      <c r="E16422" s="4" t="str">
        <v/>
      </c>
      <c r="F16422" s="102" t="str">
        <f ca="1">IFERROR(__xludf.DUMMYFUNCTION("IMPORTRANGE(H16422,""IDENTITAS UNIT!D9"")"),"#N/A")</f>
        <v>#N/A</v>
      </c>
      <c r="H16422" s="4" t="str">
        <v/>
      </c>
      <c r="I16422" s="4" t="str">
        <v/>
      </c>
    </row>
    <row r="16423" spans="5:9" ht="16.5" hidden="1">
      <c r="E16423" s="4" t="str">
        <v/>
      </c>
      <c r="F16423" s="102" t="str">
        <f ca="1">IFERROR(__xludf.DUMMYFUNCTION("IMPORTRANGE(H16423,""IDENTITAS UNIT!D9"")"),"#N/A")</f>
        <v>#N/A</v>
      </c>
      <c r="H16423" s="4" t="str">
        <v/>
      </c>
      <c r="I16423" s="4" t="str">
        <v/>
      </c>
    </row>
    <row r="16424" spans="5:9" ht="16.5" hidden="1">
      <c r="E16424" s="4" t="str">
        <v/>
      </c>
      <c r="F16424" s="102" t="str">
        <f ca="1">IFERROR(__xludf.DUMMYFUNCTION("IMPORTRANGE(H16424,""IDENTITAS UNIT!D9"")"),"#N/A")</f>
        <v>#N/A</v>
      </c>
      <c r="H16424" s="4" t="str">
        <v/>
      </c>
      <c r="I16424" s="4" t="str">
        <v/>
      </c>
    </row>
    <row r="16425" spans="5:9" ht="16.5" hidden="1">
      <c r="E16425" s="4" t="str">
        <v/>
      </c>
      <c r="F16425" s="102" t="str">
        <f ca="1">IFERROR(__xludf.DUMMYFUNCTION("IMPORTRANGE(H16425,""IDENTITAS UNIT!D9"")"),"#N/A")</f>
        <v>#N/A</v>
      </c>
      <c r="H16425" s="4" t="str">
        <v/>
      </c>
      <c r="I16425" s="4" t="str">
        <v/>
      </c>
    </row>
    <row r="16426" spans="5:9" ht="16.5" hidden="1">
      <c r="E16426" s="4" t="str">
        <v/>
      </c>
      <c r="F16426" s="102" t="str">
        <f ca="1">IFERROR(__xludf.DUMMYFUNCTION("IMPORTRANGE(H16426,""IDENTITAS UNIT!D9"")"),"#N/A")</f>
        <v>#N/A</v>
      </c>
      <c r="H16426" s="4" t="str">
        <v/>
      </c>
      <c r="I16426" s="4" t="str">
        <v/>
      </c>
    </row>
    <row r="16427" spans="5:9" ht="16.5" hidden="1">
      <c r="E16427" s="4" t="str">
        <v/>
      </c>
      <c r="F16427" s="102" t="str">
        <f ca="1">IFERROR(__xludf.DUMMYFUNCTION("IMPORTRANGE(H16427,""IDENTITAS UNIT!D9"")"),"#N/A")</f>
        <v>#N/A</v>
      </c>
      <c r="H16427" s="4" t="str">
        <v/>
      </c>
      <c r="I16427" s="4" t="str">
        <v/>
      </c>
    </row>
    <row r="16428" spans="5:9" ht="16.5" hidden="1">
      <c r="E16428" s="4" t="str">
        <v/>
      </c>
      <c r="F16428" s="102" t="str">
        <f ca="1">IFERROR(__xludf.DUMMYFUNCTION("IMPORTRANGE(H16428,""IDENTITAS UNIT!D9"")"),"#N/A")</f>
        <v>#N/A</v>
      </c>
      <c r="H16428" s="4" t="str">
        <v/>
      </c>
      <c r="I16428" s="4" t="str">
        <v/>
      </c>
    </row>
    <row r="16429" spans="5:9" ht="16.5" hidden="1">
      <c r="E16429" s="4" t="str">
        <v/>
      </c>
      <c r="F16429" s="102" t="str">
        <f ca="1">IFERROR(__xludf.DUMMYFUNCTION("IMPORTRANGE(H16429,""IDENTITAS UNIT!D9"")"),"#N/A")</f>
        <v>#N/A</v>
      </c>
      <c r="H16429" s="4" t="str">
        <v/>
      </c>
      <c r="I16429" s="4" t="str">
        <v/>
      </c>
    </row>
    <row r="16430" spans="5:9" ht="16.5" hidden="1">
      <c r="E16430" s="4" t="str">
        <v/>
      </c>
      <c r="F16430" s="102" t="str">
        <f ca="1">IFERROR(__xludf.DUMMYFUNCTION("IMPORTRANGE(H16430,""IDENTITAS UNIT!D9"")"),"#N/A")</f>
        <v>#N/A</v>
      </c>
      <c r="H16430" s="4" t="str">
        <v/>
      </c>
      <c r="I16430" s="4" t="str">
        <v/>
      </c>
    </row>
    <row r="16431" spans="5:9" ht="16.5" hidden="1">
      <c r="E16431" s="4" t="str">
        <v/>
      </c>
      <c r="F16431" s="102" t="str">
        <f ca="1">IFERROR(__xludf.DUMMYFUNCTION("IMPORTRANGE(H16431,""IDENTITAS UNIT!D9"")"),"#N/A")</f>
        <v>#N/A</v>
      </c>
      <c r="H16431" s="4" t="str">
        <v/>
      </c>
      <c r="I16431" s="4" t="str">
        <v/>
      </c>
    </row>
    <row r="16432" spans="5:9" ht="16.5" hidden="1">
      <c r="E16432" s="4" t="str">
        <v/>
      </c>
      <c r="F16432" s="102" t="str">
        <f ca="1">IFERROR(__xludf.DUMMYFUNCTION("IMPORTRANGE(H16432,""IDENTITAS UNIT!D9"")"),"#N/A")</f>
        <v>#N/A</v>
      </c>
      <c r="H16432" s="4" t="str">
        <v/>
      </c>
      <c r="I16432" s="4" t="str">
        <v/>
      </c>
    </row>
    <row r="16433" spans="5:9" ht="16.5" hidden="1">
      <c r="E16433" s="4" t="str">
        <v/>
      </c>
      <c r="F16433" s="102" t="str">
        <f ca="1">IFERROR(__xludf.DUMMYFUNCTION("IMPORTRANGE(H16433,""IDENTITAS UNIT!D9"")"),"#N/A")</f>
        <v>#N/A</v>
      </c>
      <c r="H16433" s="4" t="str">
        <v/>
      </c>
      <c r="I16433" s="4" t="str">
        <v/>
      </c>
    </row>
    <row r="16434" spans="5:9" ht="16.5" hidden="1">
      <c r="E16434" s="4" t="str">
        <v/>
      </c>
      <c r="F16434" s="102" t="str">
        <f ca="1">IFERROR(__xludf.DUMMYFUNCTION("IMPORTRANGE(H16434,""IDENTITAS UNIT!D9"")"),"#N/A")</f>
        <v>#N/A</v>
      </c>
      <c r="H16434" s="4" t="str">
        <v/>
      </c>
      <c r="I16434" s="4" t="str">
        <v/>
      </c>
    </row>
    <row r="16435" spans="5:9" ht="16.5" hidden="1">
      <c r="E16435" s="4" t="str">
        <v/>
      </c>
      <c r="F16435" s="102" t="str">
        <f ca="1">IFERROR(__xludf.DUMMYFUNCTION("IMPORTRANGE(H16435,""IDENTITAS UNIT!D9"")"),"#N/A")</f>
        <v>#N/A</v>
      </c>
      <c r="H16435" s="4" t="str">
        <v/>
      </c>
      <c r="I16435" s="4" t="str">
        <v/>
      </c>
    </row>
    <row r="16436" spans="5:9" ht="16.5" hidden="1">
      <c r="E16436" s="4" t="str">
        <v/>
      </c>
      <c r="F16436" s="102" t="str">
        <f ca="1">IFERROR(__xludf.DUMMYFUNCTION("IMPORTRANGE(H16436,""IDENTITAS UNIT!D9"")"),"#N/A")</f>
        <v>#N/A</v>
      </c>
      <c r="H16436" s="4" t="str">
        <v/>
      </c>
      <c r="I16436" s="4" t="str">
        <v/>
      </c>
    </row>
    <row r="16437" spans="5:9" ht="16.5" hidden="1">
      <c r="E16437" s="4" t="str">
        <v/>
      </c>
      <c r="F16437" s="102" t="str">
        <f ca="1">IFERROR(__xludf.DUMMYFUNCTION("IMPORTRANGE(H16437,""IDENTITAS UNIT!D9"")"),"#N/A")</f>
        <v>#N/A</v>
      </c>
      <c r="H16437" s="4" t="str">
        <v/>
      </c>
      <c r="I16437" s="4" t="str">
        <v/>
      </c>
    </row>
    <row r="16438" spans="5:9" ht="16.5" hidden="1">
      <c r="E16438" s="4" t="str">
        <v/>
      </c>
      <c r="F16438" s="102" t="str">
        <f ca="1">IFERROR(__xludf.DUMMYFUNCTION("IMPORTRANGE(H16438,""IDENTITAS UNIT!D9"")"),"#N/A")</f>
        <v>#N/A</v>
      </c>
      <c r="H16438" s="4" t="str">
        <v/>
      </c>
      <c r="I16438" s="4" t="str">
        <v/>
      </c>
    </row>
    <row r="16439" spans="5:9" ht="16.5" hidden="1">
      <c r="E16439" s="4" t="str">
        <v/>
      </c>
      <c r="F16439" s="102" t="str">
        <f ca="1">IFERROR(__xludf.DUMMYFUNCTION("IMPORTRANGE(H16439,""IDENTITAS UNIT!D9"")"),"#N/A")</f>
        <v>#N/A</v>
      </c>
      <c r="H16439" s="4" t="str">
        <v/>
      </c>
      <c r="I16439" s="4" t="str">
        <v/>
      </c>
    </row>
    <row r="16440" spans="5:9" ht="16.5" hidden="1">
      <c r="E16440" s="4" t="str">
        <v/>
      </c>
      <c r="F16440" s="102" t="str">
        <f ca="1">IFERROR(__xludf.DUMMYFUNCTION("IMPORTRANGE(H16440,""IDENTITAS UNIT!D9"")"),"#N/A")</f>
        <v>#N/A</v>
      </c>
      <c r="H16440" s="4" t="str">
        <v/>
      </c>
      <c r="I16440" s="4" t="str">
        <v/>
      </c>
    </row>
    <row r="16441" spans="5:9" ht="16.5" hidden="1">
      <c r="E16441" s="4" t="str">
        <v/>
      </c>
      <c r="F16441" s="102" t="str">
        <f ca="1">IFERROR(__xludf.DUMMYFUNCTION("IMPORTRANGE(H16441,""IDENTITAS UNIT!D9"")"),"#N/A")</f>
        <v>#N/A</v>
      </c>
      <c r="H16441" s="4" t="str">
        <v/>
      </c>
      <c r="I16441" s="4" t="str">
        <v/>
      </c>
    </row>
    <row r="16442" spans="5:9" ht="16.5" hidden="1">
      <c r="E16442" s="4" t="str">
        <v/>
      </c>
      <c r="F16442" s="102" t="str">
        <f ca="1">IFERROR(__xludf.DUMMYFUNCTION("IMPORTRANGE(H16442,""IDENTITAS UNIT!D9"")"),"#N/A")</f>
        <v>#N/A</v>
      </c>
      <c r="H16442" s="4" t="str">
        <v/>
      </c>
      <c r="I16442" s="4" t="str">
        <v/>
      </c>
    </row>
    <row r="16443" spans="5:9" ht="16.5" hidden="1">
      <c r="E16443" s="4" t="str">
        <v/>
      </c>
      <c r="F16443" s="102" t="str">
        <f ca="1">IFERROR(__xludf.DUMMYFUNCTION("IMPORTRANGE(H16443,""IDENTITAS UNIT!D9"")"),"#N/A")</f>
        <v>#N/A</v>
      </c>
      <c r="H16443" s="4" t="str">
        <v/>
      </c>
      <c r="I16443" s="4" t="str">
        <v/>
      </c>
    </row>
    <row r="16444" spans="5:9" ht="16.5" hidden="1">
      <c r="E16444" s="4" t="str">
        <v/>
      </c>
      <c r="F16444" s="102" t="str">
        <f ca="1">IFERROR(__xludf.DUMMYFUNCTION("IMPORTRANGE(H16444,""IDENTITAS UNIT!D9"")"),"#N/A")</f>
        <v>#N/A</v>
      </c>
      <c r="H16444" s="4" t="str">
        <v/>
      </c>
      <c r="I16444" s="4" t="str">
        <v/>
      </c>
    </row>
    <row r="16445" spans="5:9" ht="16.5" hidden="1">
      <c r="E16445" s="4" t="str">
        <v/>
      </c>
      <c r="F16445" s="102" t="str">
        <f ca="1">IFERROR(__xludf.DUMMYFUNCTION("IMPORTRANGE(H16445,""IDENTITAS UNIT!D9"")"),"#N/A")</f>
        <v>#N/A</v>
      </c>
      <c r="H16445" s="4" t="str">
        <v/>
      </c>
      <c r="I16445" s="4" t="str">
        <v/>
      </c>
    </row>
    <row r="16446" spans="5:9" ht="16.5" hidden="1">
      <c r="E16446" s="4" t="str">
        <v/>
      </c>
      <c r="F16446" s="102" t="str">
        <f ca="1">IFERROR(__xludf.DUMMYFUNCTION("IMPORTRANGE(H16446,""IDENTITAS UNIT!D9"")"),"#N/A")</f>
        <v>#N/A</v>
      </c>
      <c r="H16446" s="4" t="str">
        <v/>
      </c>
      <c r="I16446" s="4" t="str">
        <v/>
      </c>
    </row>
    <row r="16447" spans="5:9" ht="16.5" hidden="1">
      <c r="E16447" s="4" t="str">
        <v/>
      </c>
      <c r="F16447" s="102" t="str">
        <f ca="1">IFERROR(__xludf.DUMMYFUNCTION("IMPORTRANGE(H16447,""IDENTITAS UNIT!D9"")"),"#N/A")</f>
        <v>#N/A</v>
      </c>
      <c r="H16447" s="4" t="str">
        <v/>
      </c>
      <c r="I16447" s="4" t="str">
        <v/>
      </c>
    </row>
    <row r="16448" spans="5:9" ht="16.5" hidden="1">
      <c r="E16448" s="4" t="str">
        <v/>
      </c>
      <c r="F16448" s="102" t="str">
        <f ca="1">IFERROR(__xludf.DUMMYFUNCTION("IMPORTRANGE(H16448,""IDENTITAS UNIT!D9"")"),"#N/A")</f>
        <v>#N/A</v>
      </c>
      <c r="H16448" s="4" t="str">
        <v/>
      </c>
      <c r="I16448" s="4" t="str">
        <v/>
      </c>
    </row>
    <row r="16449" spans="5:9" ht="16.5" hidden="1">
      <c r="E16449" s="4" t="str">
        <v/>
      </c>
      <c r="F16449" s="102" t="str">
        <f ca="1">IFERROR(__xludf.DUMMYFUNCTION("IMPORTRANGE(H16449,""IDENTITAS UNIT!D9"")"),"#N/A")</f>
        <v>#N/A</v>
      </c>
      <c r="H16449" s="4" t="str">
        <v/>
      </c>
      <c r="I16449" s="4" t="str">
        <v/>
      </c>
    </row>
    <row r="16450" spans="5:9" ht="16.5" hidden="1">
      <c r="E16450" s="4" t="str">
        <v/>
      </c>
      <c r="F16450" s="102" t="str">
        <f ca="1">IFERROR(__xludf.DUMMYFUNCTION("IMPORTRANGE(H16450,""IDENTITAS UNIT!D9"")"),"#N/A")</f>
        <v>#N/A</v>
      </c>
      <c r="H16450" s="4" t="str">
        <v/>
      </c>
      <c r="I16450" s="4" t="str">
        <v/>
      </c>
    </row>
    <row r="16451" spans="5:9" ht="16.5" hidden="1">
      <c r="E16451" s="4" t="str">
        <v/>
      </c>
      <c r="F16451" s="102" t="str">
        <f ca="1">IFERROR(__xludf.DUMMYFUNCTION("IMPORTRANGE(H16451,""IDENTITAS UNIT!D9"")"),"#N/A")</f>
        <v>#N/A</v>
      </c>
      <c r="H16451" s="4" t="str">
        <v/>
      </c>
      <c r="I16451" s="4" t="str">
        <v/>
      </c>
    </row>
    <row r="16452" spans="5:9" ht="16.5" hidden="1">
      <c r="E16452" s="4" t="str">
        <v/>
      </c>
      <c r="F16452" s="102" t="str">
        <f ca="1">IFERROR(__xludf.DUMMYFUNCTION("IMPORTRANGE(H16452,""IDENTITAS UNIT!D9"")"),"#N/A")</f>
        <v>#N/A</v>
      </c>
      <c r="H16452" s="4" t="str">
        <v/>
      </c>
      <c r="I16452" s="4" t="str">
        <v/>
      </c>
    </row>
    <row r="16453" spans="5:9" ht="16.5" hidden="1">
      <c r="E16453" s="4" t="str">
        <v/>
      </c>
      <c r="F16453" s="102" t="str">
        <f ca="1">IFERROR(__xludf.DUMMYFUNCTION("IMPORTRANGE(H16453,""IDENTITAS UNIT!D9"")"),"#N/A")</f>
        <v>#N/A</v>
      </c>
      <c r="H16453" s="4" t="str">
        <v/>
      </c>
      <c r="I16453" s="4" t="str">
        <v/>
      </c>
    </row>
    <row r="16454" spans="5:9" ht="16.5" hidden="1">
      <c r="E16454" s="4" t="str">
        <v/>
      </c>
      <c r="F16454" s="102" t="str">
        <f ca="1">IFERROR(__xludf.DUMMYFUNCTION("IMPORTRANGE(H16454,""IDENTITAS UNIT!D9"")"),"#N/A")</f>
        <v>#N/A</v>
      </c>
      <c r="H16454" s="4" t="str">
        <v/>
      </c>
      <c r="I16454" s="4" t="str">
        <v/>
      </c>
    </row>
    <row r="16455" spans="5:9" ht="16.5" hidden="1">
      <c r="E16455" s="4" t="str">
        <v/>
      </c>
      <c r="F16455" s="102" t="str">
        <f ca="1">IFERROR(__xludf.DUMMYFUNCTION("IMPORTRANGE(H16455,""IDENTITAS UNIT!D9"")"),"#N/A")</f>
        <v>#N/A</v>
      </c>
      <c r="H16455" s="4" t="str">
        <v/>
      </c>
      <c r="I16455" s="4" t="str">
        <v/>
      </c>
    </row>
    <row r="16456" spans="5:9" ht="16.5" hidden="1">
      <c r="E16456" s="4" t="str">
        <v/>
      </c>
      <c r="F16456" s="102" t="str">
        <f ca="1">IFERROR(__xludf.DUMMYFUNCTION("IMPORTRANGE(H16456,""IDENTITAS UNIT!D9"")"),"#N/A")</f>
        <v>#N/A</v>
      </c>
      <c r="H16456" s="4" t="str">
        <v/>
      </c>
      <c r="I16456" s="4" t="str">
        <v/>
      </c>
    </row>
    <row r="16457" spans="5:9" ht="16.5" hidden="1">
      <c r="E16457" s="4" t="str">
        <v/>
      </c>
      <c r="F16457" s="102" t="str">
        <f ca="1">IFERROR(__xludf.DUMMYFUNCTION("IMPORTRANGE(H16457,""IDENTITAS UNIT!D9"")"),"#N/A")</f>
        <v>#N/A</v>
      </c>
      <c r="H16457" s="4" t="str">
        <v/>
      </c>
      <c r="I16457" s="4" t="str">
        <v/>
      </c>
    </row>
    <row r="16458" spans="5:9" ht="16.5" hidden="1">
      <c r="E16458" s="4" t="str">
        <v/>
      </c>
      <c r="F16458" s="102" t="str">
        <f ca="1">IFERROR(__xludf.DUMMYFUNCTION("IMPORTRANGE(H16458,""IDENTITAS UNIT!D9"")"),"#N/A")</f>
        <v>#N/A</v>
      </c>
      <c r="H16458" s="4" t="str">
        <v/>
      </c>
      <c r="I16458" s="4" t="str">
        <v/>
      </c>
    </row>
    <row r="16459" spans="5:9" ht="16.5" hidden="1">
      <c r="E16459" s="4" t="str">
        <v/>
      </c>
      <c r="F16459" s="102" t="str">
        <f ca="1">IFERROR(__xludf.DUMMYFUNCTION("IMPORTRANGE(H16459,""IDENTITAS UNIT!D9"")"),"#N/A")</f>
        <v>#N/A</v>
      </c>
      <c r="H16459" s="4" t="str">
        <v/>
      </c>
      <c r="I16459" s="4" t="str">
        <v/>
      </c>
    </row>
    <row r="16460" spans="5:9" ht="16.5" hidden="1">
      <c r="E16460" s="4" t="str">
        <v/>
      </c>
      <c r="F16460" s="102" t="str">
        <f ca="1">IFERROR(__xludf.DUMMYFUNCTION("IMPORTRANGE(H16460,""IDENTITAS UNIT!D9"")"),"#N/A")</f>
        <v>#N/A</v>
      </c>
      <c r="H16460" s="4" t="str">
        <v/>
      </c>
      <c r="I16460" s="4" t="str">
        <v/>
      </c>
    </row>
    <row r="16461" spans="5:9" ht="16.5" hidden="1">
      <c r="E16461" s="4" t="str">
        <v/>
      </c>
      <c r="F16461" s="102" t="str">
        <f ca="1">IFERROR(__xludf.DUMMYFUNCTION("IMPORTRANGE(H16461,""IDENTITAS UNIT!D9"")"),"#N/A")</f>
        <v>#N/A</v>
      </c>
      <c r="H16461" s="4" t="str">
        <v/>
      </c>
      <c r="I16461" s="4" t="str">
        <v/>
      </c>
    </row>
    <row r="16462" spans="5:9" ht="16.5" hidden="1">
      <c r="E16462" s="4" t="str">
        <v/>
      </c>
      <c r="F16462" s="102" t="str">
        <f ca="1">IFERROR(__xludf.DUMMYFUNCTION("IMPORTRANGE(H16462,""IDENTITAS UNIT!D9"")"),"#N/A")</f>
        <v>#N/A</v>
      </c>
      <c r="H16462" s="4" t="str">
        <v/>
      </c>
      <c r="I16462" s="4" t="str">
        <v/>
      </c>
    </row>
    <row r="16463" spans="5:9" ht="16.5" hidden="1">
      <c r="E16463" s="4" t="str">
        <v/>
      </c>
      <c r="F16463" s="102" t="str">
        <f ca="1">IFERROR(__xludf.DUMMYFUNCTION("IMPORTRANGE(H16463,""IDENTITAS UNIT!D9"")"),"#N/A")</f>
        <v>#N/A</v>
      </c>
      <c r="H16463" s="4" t="str">
        <v/>
      </c>
      <c r="I16463" s="4" t="str">
        <v/>
      </c>
    </row>
    <row r="16464" spans="5:9" ht="16.5" hidden="1">
      <c r="E16464" s="4" t="str">
        <v/>
      </c>
      <c r="F16464" s="102" t="str">
        <f ca="1">IFERROR(__xludf.DUMMYFUNCTION("IMPORTRANGE(H16464,""IDENTITAS UNIT!D9"")"),"#N/A")</f>
        <v>#N/A</v>
      </c>
      <c r="H16464" s="4" t="str">
        <v/>
      </c>
      <c r="I16464" s="4" t="str">
        <v/>
      </c>
    </row>
    <row r="16465" spans="5:9" ht="16.5" hidden="1">
      <c r="E16465" s="4" t="str">
        <v/>
      </c>
      <c r="F16465" s="102" t="str">
        <f ca="1">IFERROR(__xludf.DUMMYFUNCTION("IMPORTRANGE(H16465,""IDENTITAS UNIT!D9"")"),"#N/A")</f>
        <v>#N/A</v>
      </c>
      <c r="H16465" s="4" t="str">
        <v/>
      </c>
      <c r="I16465" s="4" t="str">
        <v/>
      </c>
    </row>
    <row r="16466" spans="5:9" ht="16.5" hidden="1">
      <c r="E16466" s="4" t="str">
        <v/>
      </c>
      <c r="F16466" s="102" t="str">
        <f ca="1">IFERROR(__xludf.DUMMYFUNCTION("IMPORTRANGE(H16466,""IDENTITAS UNIT!D9"")"),"#N/A")</f>
        <v>#N/A</v>
      </c>
      <c r="H16466" s="4" t="str">
        <v/>
      </c>
      <c r="I16466" s="4" t="str">
        <v/>
      </c>
    </row>
    <row r="16467" spans="5:9" ht="16.5" hidden="1">
      <c r="E16467" s="4" t="str">
        <v/>
      </c>
      <c r="F16467" s="102" t="str">
        <f ca="1">IFERROR(__xludf.DUMMYFUNCTION("IMPORTRANGE(H16467,""IDENTITAS UNIT!D9"")"),"#N/A")</f>
        <v>#N/A</v>
      </c>
      <c r="H16467" s="4" t="str">
        <v/>
      </c>
      <c r="I16467" s="4" t="str">
        <v/>
      </c>
    </row>
    <row r="16468" spans="5:9" ht="16.5" hidden="1">
      <c r="E16468" s="4" t="str">
        <v/>
      </c>
      <c r="F16468" s="102" t="str">
        <f ca="1">IFERROR(__xludf.DUMMYFUNCTION("IMPORTRANGE(H16468,""IDENTITAS UNIT!D9"")"),"#N/A")</f>
        <v>#N/A</v>
      </c>
      <c r="H16468" s="4" t="str">
        <v/>
      </c>
      <c r="I16468" s="4" t="str">
        <v/>
      </c>
    </row>
    <row r="16469" spans="5:9" ht="16.5" hidden="1">
      <c r="E16469" s="4" t="str">
        <v/>
      </c>
      <c r="F16469" s="102" t="str">
        <f ca="1">IFERROR(__xludf.DUMMYFUNCTION("IMPORTRANGE(H16469,""IDENTITAS UNIT!D9"")"),"#N/A")</f>
        <v>#N/A</v>
      </c>
      <c r="H16469" s="4" t="str">
        <v/>
      </c>
      <c r="I16469" s="4" t="str">
        <v/>
      </c>
    </row>
    <row r="16470" spans="5:9" ht="16.5" hidden="1">
      <c r="E16470" s="4" t="str">
        <v/>
      </c>
      <c r="F16470" s="102" t="str">
        <f ca="1">IFERROR(__xludf.DUMMYFUNCTION("IMPORTRANGE(H16470,""IDENTITAS UNIT!D9"")"),"#N/A")</f>
        <v>#N/A</v>
      </c>
      <c r="H16470" s="4" t="str">
        <v/>
      </c>
      <c r="I16470" s="4" t="str">
        <v/>
      </c>
    </row>
    <row r="16471" spans="5:9" ht="16.5" hidden="1">
      <c r="E16471" s="4" t="str">
        <v/>
      </c>
      <c r="F16471" s="102" t="str">
        <f ca="1">IFERROR(__xludf.DUMMYFUNCTION("IMPORTRANGE(H16471,""IDENTITAS UNIT!D9"")"),"#N/A")</f>
        <v>#N/A</v>
      </c>
      <c r="H16471" s="4" t="str">
        <v/>
      </c>
      <c r="I16471" s="4" t="str">
        <v/>
      </c>
    </row>
    <row r="16472" spans="5:9" ht="16.5" hidden="1">
      <c r="E16472" s="4" t="str">
        <v/>
      </c>
      <c r="F16472" s="102" t="str">
        <f ca="1">IFERROR(__xludf.DUMMYFUNCTION("IMPORTRANGE(H16472,""IDENTITAS UNIT!D9"")"),"#N/A")</f>
        <v>#N/A</v>
      </c>
      <c r="H16472" s="4" t="str">
        <v/>
      </c>
      <c r="I16472" s="4" t="str">
        <v/>
      </c>
    </row>
    <row r="16473" spans="5:9" ht="16.5" hidden="1">
      <c r="E16473" s="4" t="str">
        <v/>
      </c>
      <c r="F16473" s="102" t="str">
        <f ca="1">IFERROR(__xludf.DUMMYFUNCTION("IMPORTRANGE(H16473,""IDENTITAS UNIT!D9"")"),"#N/A")</f>
        <v>#N/A</v>
      </c>
      <c r="H16473" s="4" t="str">
        <v/>
      </c>
      <c r="I16473" s="4" t="str">
        <v/>
      </c>
    </row>
    <row r="16474" spans="5:9" ht="16.5" hidden="1">
      <c r="E16474" s="4" t="str">
        <v/>
      </c>
      <c r="F16474" s="102" t="str">
        <f ca="1">IFERROR(__xludf.DUMMYFUNCTION("IMPORTRANGE(H16474,""IDENTITAS UNIT!D9"")"),"#N/A")</f>
        <v>#N/A</v>
      </c>
      <c r="H16474" s="4" t="str">
        <v/>
      </c>
      <c r="I16474" s="4" t="str">
        <v/>
      </c>
    </row>
    <row r="16475" spans="5:9" ht="16.5" hidden="1">
      <c r="E16475" s="4" t="str">
        <v/>
      </c>
      <c r="F16475" s="102" t="str">
        <f ca="1">IFERROR(__xludf.DUMMYFUNCTION("IMPORTRANGE(H16475,""IDENTITAS UNIT!D9"")"),"#N/A")</f>
        <v>#N/A</v>
      </c>
      <c r="H16475" s="4" t="str">
        <v/>
      </c>
      <c r="I16475" s="4" t="str">
        <v/>
      </c>
    </row>
    <row r="16476" spans="5:9" ht="16.5" hidden="1">
      <c r="E16476" s="4" t="str">
        <v/>
      </c>
      <c r="F16476" s="102" t="str">
        <f ca="1">IFERROR(__xludf.DUMMYFUNCTION("IMPORTRANGE(H16476,""IDENTITAS UNIT!D9"")"),"#N/A")</f>
        <v>#N/A</v>
      </c>
      <c r="H16476" s="4" t="str">
        <v/>
      </c>
      <c r="I16476" s="4" t="str">
        <v/>
      </c>
    </row>
    <row r="16477" spans="5:9" ht="16.5" hidden="1">
      <c r="E16477" s="4" t="str">
        <v/>
      </c>
      <c r="F16477" s="102" t="str">
        <f ca="1">IFERROR(__xludf.DUMMYFUNCTION("IMPORTRANGE(H16477,""IDENTITAS UNIT!D9"")"),"#N/A")</f>
        <v>#N/A</v>
      </c>
      <c r="H16477" s="4" t="str">
        <v/>
      </c>
      <c r="I16477" s="4" t="str">
        <v/>
      </c>
    </row>
    <row r="16478" spans="5:9" ht="16.5" hidden="1">
      <c r="E16478" s="4" t="str">
        <v/>
      </c>
      <c r="F16478" s="102" t="str">
        <f ca="1">IFERROR(__xludf.DUMMYFUNCTION("IMPORTRANGE(H16478,""IDENTITAS UNIT!D9"")"),"#N/A")</f>
        <v>#N/A</v>
      </c>
      <c r="H16478" s="4" t="str">
        <v/>
      </c>
      <c r="I16478" s="4" t="str">
        <v/>
      </c>
    </row>
    <row r="16479" spans="5:9" ht="16.5" hidden="1">
      <c r="E16479" s="4" t="str">
        <v/>
      </c>
      <c r="F16479" s="102" t="str">
        <f ca="1">IFERROR(__xludf.DUMMYFUNCTION("IMPORTRANGE(H16479,""IDENTITAS UNIT!D9"")"),"#N/A")</f>
        <v>#N/A</v>
      </c>
      <c r="H16479" s="4" t="str">
        <v/>
      </c>
      <c r="I16479" s="4" t="str">
        <v/>
      </c>
    </row>
    <row r="16480" spans="5:9" ht="16.5" hidden="1">
      <c r="E16480" s="4" t="str">
        <v/>
      </c>
      <c r="F16480" s="102" t="str">
        <f ca="1">IFERROR(__xludf.DUMMYFUNCTION("IMPORTRANGE(H16480,""IDENTITAS UNIT!D9"")"),"#N/A")</f>
        <v>#N/A</v>
      </c>
      <c r="H16480" s="4" t="str">
        <v/>
      </c>
      <c r="I16480" s="4" t="str">
        <v/>
      </c>
    </row>
    <row r="16481" spans="5:9" ht="16.5" hidden="1">
      <c r="E16481" s="4" t="str">
        <v/>
      </c>
      <c r="F16481" s="102" t="str">
        <f ca="1">IFERROR(__xludf.DUMMYFUNCTION("IMPORTRANGE(H16481,""IDENTITAS UNIT!D9"")"),"#N/A")</f>
        <v>#N/A</v>
      </c>
      <c r="H16481" s="4" t="str">
        <v/>
      </c>
      <c r="I16481" s="4" t="str">
        <v/>
      </c>
    </row>
    <row r="16482" spans="5:9" ht="16.5" hidden="1">
      <c r="E16482" s="4" t="str">
        <v/>
      </c>
      <c r="F16482" s="102" t="str">
        <f ca="1">IFERROR(__xludf.DUMMYFUNCTION("IMPORTRANGE(H16482,""IDENTITAS UNIT!D9"")"),"#N/A")</f>
        <v>#N/A</v>
      </c>
      <c r="H16482" s="4" t="str">
        <v/>
      </c>
      <c r="I16482" s="4" t="str">
        <v/>
      </c>
    </row>
    <row r="16483" spans="5:9" ht="16.5" hidden="1">
      <c r="E16483" s="4" t="str">
        <v/>
      </c>
      <c r="F16483" s="102" t="str">
        <f ca="1">IFERROR(__xludf.DUMMYFUNCTION("IMPORTRANGE(H16483,""IDENTITAS UNIT!D9"")"),"#N/A")</f>
        <v>#N/A</v>
      </c>
      <c r="H16483" s="4" t="str">
        <v/>
      </c>
      <c r="I16483" s="4" t="str">
        <v/>
      </c>
    </row>
    <row r="16484" spans="5:9" ht="16.5" hidden="1">
      <c r="E16484" s="4" t="str">
        <v/>
      </c>
      <c r="F16484" s="102" t="str">
        <f ca="1">IFERROR(__xludf.DUMMYFUNCTION("IMPORTRANGE(H16484,""IDENTITAS UNIT!D9"")"),"#N/A")</f>
        <v>#N/A</v>
      </c>
      <c r="H16484" s="4" t="str">
        <v/>
      </c>
      <c r="I16484" s="4" t="str">
        <v/>
      </c>
    </row>
    <row r="16485" spans="5:9" ht="16.5" hidden="1">
      <c r="E16485" s="4" t="str">
        <v/>
      </c>
      <c r="F16485" s="102" t="str">
        <f ca="1">IFERROR(__xludf.DUMMYFUNCTION("IMPORTRANGE(H16485,""IDENTITAS UNIT!D9"")"),"#N/A")</f>
        <v>#N/A</v>
      </c>
      <c r="H16485" s="4" t="str">
        <v/>
      </c>
      <c r="I16485" s="4" t="str">
        <v/>
      </c>
    </row>
    <row r="16486" spans="5:9" ht="16.5" hidden="1">
      <c r="E16486" s="4" t="str">
        <v/>
      </c>
      <c r="F16486" s="102" t="str">
        <f ca="1">IFERROR(__xludf.DUMMYFUNCTION("IMPORTRANGE(H16486,""IDENTITAS UNIT!D9"")"),"#N/A")</f>
        <v>#N/A</v>
      </c>
      <c r="H16486" s="4" t="str">
        <v/>
      </c>
      <c r="I16486" s="4" t="str">
        <v/>
      </c>
    </row>
    <row r="16487" spans="5:9" ht="16.5" hidden="1">
      <c r="E16487" s="4" t="str">
        <v/>
      </c>
      <c r="F16487" s="102" t="str">
        <f ca="1">IFERROR(__xludf.DUMMYFUNCTION("IMPORTRANGE(H16487,""IDENTITAS UNIT!D9"")"),"#N/A")</f>
        <v>#N/A</v>
      </c>
      <c r="H16487" s="4" t="str">
        <v/>
      </c>
      <c r="I16487" s="4" t="str">
        <v/>
      </c>
    </row>
    <row r="16488" spans="5:9" ht="16.5" hidden="1">
      <c r="E16488" s="4" t="str">
        <v/>
      </c>
      <c r="F16488" s="102" t="str">
        <f ca="1">IFERROR(__xludf.DUMMYFUNCTION("IMPORTRANGE(H16488,""IDENTITAS UNIT!D9"")"),"#N/A")</f>
        <v>#N/A</v>
      </c>
      <c r="H16488" s="4" t="str">
        <v/>
      </c>
      <c r="I16488" s="4" t="str">
        <v/>
      </c>
    </row>
    <row r="16489" spans="5:9" ht="16.5" hidden="1">
      <c r="E16489" s="4" t="str">
        <v/>
      </c>
      <c r="F16489" s="102" t="str">
        <f ca="1">IFERROR(__xludf.DUMMYFUNCTION("IMPORTRANGE(H16489,""IDENTITAS UNIT!D9"")"),"#N/A")</f>
        <v>#N/A</v>
      </c>
      <c r="H16489" s="4" t="str">
        <v/>
      </c>
      <c r="I16489" s="4" t="str">
        <v/>
      </c>
    </row>
    <row r="16490" spans="5:9" ht="16.5" hidden="1">
      <c r="E16490" s="4" t="str">
        <v/>
      </c>
      <c r="F16490" s="102" t="str">
        <f ca="1">IFERROR(__xludf.DUMMYFUNCTION("IMPORTRANGE(H16490,""IDENTITAS UNIT!D9"")"),"#N/A")</f>
        <v>#N/A</v>
      </c>
      <c r="H16490" s="4" t="str">
        <v/>
      </c>
      <c r="I16490" s="4" t="str">
        <v/>
      </c>
    </row>
    <row r="16491" spans="5:9" ht="16.5" hidden="1">
      <c r="E16491" s="4" t="str">
        <v/>
      </c>
      <c r="F16491" s="102" t="str">
        <f ca="1">IFERROR(__xludf.DUMMYFUNCTION("IMPORTRANGE(H16491,""IDENTITAS UNIT!D9"")"),"#N/A")</f>
        <v>#N/A</v>
      </c>
      <c r="H16491" s="4" t="str">
        <v/>
      </c>
      <c r="I16491" s="4" t="str">
        <v/>
      </c>
    </row>
    <row r="16492" spans="5:9" ht="16.5" hidden="1">
      <c r="E16492" s="4" t="str">
        <v/>
      </c>
      <c r="F16492" s="102" t="str">
        <f ca="1">IFERROR(__xludf.DUMMYFUNCTION("IMPORTRANGE(H16492,""IDENTITAS UNIT!D9"")"),"#N/A")</f>
        <v>#N/A</v>
      </c>
      <c r="H16492" s="4" t="str">
        <v/>
      </c>
      <c r="I16492" s="4" t="str">
        <v/>
      </c>
    </row>
    <row r="16493" spans="5:9" ht="16.5" hidden="1">
      <c r="E16493" s="4" t="str">
        <v/>
      </c>
      <c r="F16493" s="102" t="str">
        <f ca="1">IFERROR(__xludf.DUMMYFUNCTION("IMPORTRANGE(H16493,""IDENTITAS UNIT!D9"")"),"#N/A")</f>
        <v>#N/A</v>
      </c>
      <c r="H16493" s="4" t="str">
        <v/>
      </c>
      <c r="I16493" s="4" t="str">
        <v/>
      </c>
    </row>
    <row r="16494" spans="5:9" ht="16.5" hidden="1">
      <c r="E16494" s="4" t="str">
        <v/>
      </c>
      <c r="F16494" s="102" t="str">
        <f ca="1">IFERROR(__xludf.DUMMYFUNCTION("IMPORTRANGE(H16494,""IDENTITAS UNIT!D9"")"),"#N/A")</f>
        <v>#N/A</v>
      </c>
      <c r="H16494" s="4" t="str">
        <v/>
      </c>
      <c r="I16494" s="4" t="str">
        <v/>
      </c>
    </row>
    <row r="16495" spans="5:9" ht="16.5" hidden="1">
      <c r="E16495" s="4" t="str">
        <v/>
      </c>
      <c r="F16495" s="102" t="str">
        <f ca="1">IFERROR(__xludf.DUMMYFUNCTION("IMPORTRANGE(H16495,""IDENTITAS UNIT!D9"")"),"#N/A")</f>
        <v>#N/A</v>
      </c>
      <c r="H16495" s="4" t="str">
        <v/>
      </c>
      <c r="I16495" s="4" t="str">
        <v/>
      </c>
    </row>
    <row r="16496" spans="5:9" ht="16.5" hidden="1">
      <c r="E16496" s="4" t="str">
        <v/>
      </c>
      <c r="F16496" s="102" t="str">
        <f ca="1">IFERROR(__xludf.DUMMYFUNCTION("IMPORTRANGE(H16496,""IDENTITAS UNIT!D9"")"),"#N/A")</f>
        <v>#N/A</v>
      </c>
      <c r="H16496" s="4" t="str">
        <v/>
      </c>
      <c r="I16496" s="4" t="str">
        <v/>
      </c>
    </row>
    <row r="16497" spans="5:9" ht="16.5" hidden="1">
      <c r="E16497" s="4" t="str">
        <v/>
      </c>
      <c r="F16497" s="102" t="str">
        <f ca="1">IFERROR(__xludf.DUMMYFUNCTION("IMPORTRANGE(H16497,""IDENTITAS UNIT!D9"")"),"#N/A")</f>
        <v>#N/A</v>
      </c>
      <c r="H16497" s="4" t="str">
        <v/>
      </c>
      <c r="I16497" s="4" t="str">
        <v/>
      </c>
    </row>
    <row r="16498" spans="5:9" ht="16.5" hidden="1">
      <c r="E16498" s="4" t="str">
        <v/>
      </c>
      <c r="F16498" s="102" t="str">
        <f ca="1">IFERROR(__xludf.DUMMYFUNCTION("IMPORTRANGE(H16498,""IDENTITAS UNIT!D9"")"),"#N/A")</f>
        <v>#N/A</v>
      </c>
      <c r="H16498" s="4" t="str">
        <v/>
      </c>
      <c r="I16498" s="4" t="str">
        <v/>
      </c>
    </row>
    <row r="16499" spans="5:9" ht="16.5" hidden="1">
      <c r="E16499" s="4" t="str">
        <v/>
      </c>
      <c r="F16499" s="102" t="str">
        <f ca="1">IFERROR(__xludf.DUMMYFUNCTION("IMPORTRANGE(H16499,""IDENTITAS UNIT!D9"")"),"#N/A")</f>
        <v>#N/A</v>
      </c>
      <c r="H16499" s="4" t="str">
        <v/>
      </c>
      <c r="I16499" s="4" t="str">
        <v/>
      </c>
    </row>
    <row r="16500" spans="5:9" ht="16.5" hidden="1">
      <c r="E16500" s="4" t="str">
        <v/>
      </c>
      <c r="F16500" s="102" t="str">
        <f ca="1">IFERROR(__xludf.DUMMYFUNCTION("IMPORTRANGE(H16500,""IDENTITAS UNIT!D9"")"),"#N/A")</f>
        <v>#N/A</v>
      </c>
      <c r="H16500" s="4" t="str">
        <v/>
      </c>
      <c r="I16500" s="4" t="str">
        <v/>
      </c>
    </row>
    <row r="16501" spans="5:9" ht="16.5" hidden="1">
      <c r="E16501" s="4" t="str">
        <v/>
      </c>
      <c r="F16501" s="102" t="str">
        <f ca="1">IFERROR(__xludf.DUMMYFUNCTION("IMPORTRANGE(H16501,""IDENTITAS UNIT!D9"")"),"#N/A")</f>
        <v>#N/A</v>
      </c>
      <c r="H16501" s="4" t="str">
        <v/>
      </c>
      <c r="I16501" s="4" t="str">
        <v/>
      </c>
    </row>
    <row r="16502" spans="5:9" ht="16.5" hidden="1">
      <c r="E16502" s="4" t="str">
        <v/>
      </c>
      <c r="F16502" s="102" t="str">
        <f ca="1">IFERROR(__xludf.DUMMYFUNCTION("IMPORTRANGE(H16502,""IDENTITAS UNIT!D9"")"),"#N/A")</f>
        <v>#N/A</v>
      </c>
      <c r="H16502" s="4" t="str">
        <v/>
      </c>
      <c r="I16502" s="4" t="str">
        <v/>
      </c>
    </row>
    <row r="16503" spans="5:9" ht="16.5" hidden="1">
      <c r="E16503" s="4" t="str">
        <v/>
      </c>
      <c r="F16503" s="102" t="str">
        <f ca="1">IFERROR(__xludf.DUMMYFUNCTION("IMPORTRANGE(H16503,""IDENTITAS UNIT!D9"")"),"#N/A")</f>
        <v>#N/A</v>
      </c>
      <c r="H16503" s="4" t="str">
        <v/>
      </c>
      <c r="I16503" s="4" t="str">
        <v/>
      </c>
    </row>
    <row r="16504" spans="5:9" ht="16.5" hidden="1">
      <c r="E16504" s="4" t="str">
        <v/>
      </c>
      <c r="F16504" s="102" t="str">
        <f ca="1">IFERROR(__xludf.DUMMYFUNCTION("IMPORTRANGE(H16504,""IDENTITAS UNIT!D9"")"),"#N/A")</f>
        <v>#N/A</v>
      </c>
      <c r="H16504" s="4" t="str">
        <v/>
      </c>
      <c r="I16504" s="4" t="str">
        <v/>
      </c>
    </row>
    <row r="16505" spans="5:9" ht="16.5" hidden="1">
      <c r="E16505" s="4" t="str">
        <v/>
      </c>
      <c r="F16505" s="102" t="str">
        <f ca="1">IFERROR(__xludf.DUMMYFUNCTION("IMPORTRANGE(H16505,""IDENTITAS UNIT!D9"")"),"#N/A")</f>
        <v>#N/A</v>
      </c>
      <c r="H16505" s="4" t="str">
        <v/>
      </c>
      <c r="I16505" s="4" t="str">
        <v/>
      </c>
    </row>
    <row r="16506" spans="5:9" ht="16.5" hidden="1">
      <c r="E16506" s="4" t="str">
        <v/>
      </c>
      <c r="F16506" s="102" t="str">
        <f ca="1">IFERROR(__xludf.DUMMYFUNCTION("IMPORTRANGE(H16506,""IDENTITAS UNIT!D9"")"),"#N/A")</f>
        <v>#N/A</v>
      </c>
      <c r="H16506" s="4" t="str">
        <v/>
      </c>
      <c r="I16506" s="4" t="str">
        <v/>
      </c>
    </row>
    <row r="16507" spans="5:9" ht="16.5" hidden="1">
      <c r="E16507" s="4" t="str">
        <v/>
      </c>
      <c r="F16507" s="102" t="str">
        <f ca="1">IFERROR(__xludf.DUMMYFUNCTION("IMPORTRANGE(H16507,""IDENTITAS UNIT!D9"")"),"#N/A")</f>
        <v>#N/A</v>
      </c>
      <c r="H16507" s="4" t="str">
        <v/>
      </c>
      <c r="I16507" s="4" t="str">
        <v/>
      </c>
    </row>
    <row r="16508" spans="5:9" ht="16.5" hidden="1">
      <c r="E16508" s="4" t="str">
        <v/>
      </c>
      <c r="F16508" s="102" t="str">
        <f ca="1">IFERROR(__xludf.DUMMYFUNCTION("IMPORTRANGE(H16508,""IDENTITAS UNIT!D9"")"),"#N/A")</f>
        <v>#N/A</v>
      </c>
      <c r="H16508" s="4" t="str">
        <v/>
      </c>
      <c r="I16508" s="4" t="str">
        <v/>
      </c>
    </row>
    <row r="16509" spans="5:9" ht="16.5" hidden="1">
      <c r="E16509" s="4" t="str">
        <v/>
      </c>
      <c r="F16509" s="102" t="str">
        <f ca="1">IFERROR(__xludf.DUMMYFUNCTION("IMPORTRANGE(H16509,""IDENTITAS UNIT!D9"")"),"#N/A")</f>
        <v>#N/A</v>
      </c>
      <c r="H16509" s="4" t="str">
        <v/>
      </c>
      <c r="I16509" s="4" t="str">
        <v/>
      </c>
    </row>
    <row r="16510" spans="5:9" ht="16.5" hidden="1">
      <c r="E16510" s="4" t="str">
        <v/>
      </c>
      <c r="F16510" s="102" t="str">
        <f ca="1">IFERROR(__xludf.DUMMYFUNCTION("IMPORTRANGE(H16510,""IDENTITAS UNIT!D9"")"),"#N/A")</f>
        <v>#N/A</v>
      </c>
      <c r="H16510" s="4" t="str">
        <v/>
      </c>
      <c r="I16510" s="4" t="str">
        <v/>
      </c>
    </row>
    <row r="16511" spans="5:9" ht="16.5" hidden="1">
      <c r="E16511" s="4" t="str">
        <v/>
      </c>
      <c r="F16511" s="102" t="str">
        <f ca="1">IFERROR(__xludf.DUMMYFUNCTION("IMPORTRANGE(H16511,""IDENTITAS UNIT!D9"")"),"#N/A")</f>
        <v>#N/A</v>
      </c>
      <c r="H16511" s="4" t="str">
        <v/>
      </c>
      <c r="I16511" s="4" t="str">
        <v/>
      </c>
    </row>
    <row r="16512" spans="5:9" ht="16.5" hidden="1">
      <c r="E16512" s="4" t="str">
        <v/>
      </c>
      <c r="F16512" s="102" t="str">
        <f ca="1">IFERROR(__xludf.DUMMYFUNCTION("IMPORTRANGE(H16512,""IDENTITAS UNIT!D9"")"),"#N/A")</f>
        <v>#N/A</v>
      </c>
      <c r="H16512" s="4" t="str">
        <v/>
      </c>
      <c r="I16512" s="4" t="str">
        <v/>
      </c>
    </row>
    <row r="16513" spans="5:9" ht="16.5" hidden="1">
      <c r="E16513" s="4" t="str">
        <v/>
      </c>
      <c r="F16513" s="102" t="str">
        <f ca="1">IFERROR(__xludf.DUMMYFUNCTION("IMPORTRANGE(H16513,""IDENTITAS UNIT!D9"")"),"#N/A")</f>
        <v>#N/A</v>
      </c>
      <c r="H16513" s="4" t="str">
        <v/>
      </c>
      <c r="I16513" s="4" t="str">
        <v/>
      </c>
    </row>
    <row r="16514" spans="5:9" ht="16.5" hidden="1">
      <c r="E16514" s="4" t="str">
        <v/>
      </c>
      <c r="F16514" s="102" t="str">
        <f ca="1">IFERROR(__xludf.DUMMYFUNCTION("IMPORTRANGE(H16514,""IDENTITAS UNIT!D9"")"),"#N/A")</f>
        <v>#N/A</v>
      </c>
      <c r="H16514" s="4" t="str">
        <v/>
      </c>
      <c r="I16514" s="4" t="str">
        <v/>
      </c>
    </row>
    <row r="16515" spans="5:9" ht="16.5" hidden="1">
      <c r="E16515" s="4" t="str">
        <v/>
      </c>
      <c r="F16515" s="102" t="str">
        <f ca="1">IFERROR(__xludf.DUMMYFUNCTION("IMPORTRANGE(H16515,""IDENTITAS UNIT!D9"")"),"#N/A")</f>
        <v>#N/A</v>
      </c>
      <c r="H16515" s="4" t="str">
        <v/>
      </c>
      <c r="I16515" s="4" t="str">
        <v/>
      </c>
    </row>
    <row r="16516" spans="5:9" ht="16.5" hidden="1">
      <c r="E16516" s="4" t="str">
        <v/>
      </c>
      <c r="F16516" s="102" t="str">
        <f ca="1">IFERROR(__xludf.DUMMYFUNCTION("IMPORTRANGE(H16516,""IDENTITAS UNIT!D9"")"),"#N/A")</f>
        <v>#N/A</v>
      </c>
      <c r="H16516" s="4" t="str">
        <v/>
      </c>
      <c r="I16516" s="4" t="str">
        <v/>
      </c>
    </row>
    <row r="16517" spans="5:9" ht="16.5" hidden="1">
      <c r="E16517" s="4" t="str">
        <v/>
      </c>
      <c r="F16517" s="102" t="str">
        <f ca="1">IFERROR(__xludf.DUMMYFUNCTION("IMPORTRANGE(H16517,""IDENTITAS UNIT!D9"")"),"#N/A")</f>
        <v>#N/A</v>
      </c>
      <c r="H16517" s="4" t="str">
        <v/>
      </c>
      <c r="I16517" s="4" t="str">
        <v/>
      </c>
    </row>
    <row r="16518" spans="5:9" ht="16.5" hidden="1">
      <c r="E16518" s="4" t="str">
        <v/>
      </c>
      <c r="F16518" s="102" t="str">
        <f ca="1">IFERROR(__xludf.DUMMYFUNCTION("IMPORTRANGE(H16518,""IDENTITAS UNIT!D9"")"),"#N/A")</f>
        <v>#N/A</v>
      </c>
      <c r="H16518" s="4" t="str">
        <v/>
      </c>
      <c r="I16518" s="4" t="str">
        <v/>
      </c>
    </row>
    <row r="16519" spans="5:9" ht="16.5" hidden="1">
      <c r="E16519" s="4" t="str">
        <v/>
      </c>
      <c r="F16519" s="102" t="str">
        <f ca="1">IFERROR(__xludf.DUMMYFUNCTION("IMPORTRANGE(H16519,""IDENTITAS UNIT!D9"")"),"#N/A")</f>
        <v>#N/A</v>
      </c>
      <c r="H16519" s="4" t="str">
        <v/>
      </c>
      <c r="I16519" s="4" t="str">
        <v/>
      </c>
    </row>
    <row r="16520" spans="5:9" ht="16.5" hidden="1">
      <c r="E16520" s="4" t="str">
        <v/>
      </c>
      <c r="F16520" s="102" t="str">
        <f ca="1">IFERROR(__xludf.DUMMYFUNCTION("IMPORTRANGE(H16520,""IDENTITAS UNIT!D9"")"),"#N/A")</f>
        <v>#N/A</v>
      </c>
      <c r="H16520" s="4" t="str">
        <v/>
      </c>
      <c r="I16520" s="4" t="str">
        <v/>
      </c>
    </row>
    <row r="16521" spans="5:9" ht="16.5" hidden="1">
      <c r="E16521" s="4" t="str">
        <v/>
      </c>
      <c r="F16521" s="102" t="str">
        <f ca="1">IFERROR(__xludf.DUMMYFUNCTION("IMPORTRANGE(H16521,""IDENTITAS UNIT!D9"")"),"#N/A")</f>
        <v>#N/A</v>
      </c>
      <c r="H16521" s="4" t="str">
        <v/>
      </c>
      <c r="I16521" s="4" t="str">
        <v/>
      </c>
    </row>
    <row r="16522" spans="5:9" ht="16.5" hidden="1">
      <c r="E16522" s="4" t="str">
        <v/>
      </c>
      <c r="F16522" s="102" t="str">
        <f ca="1">IFERROR(__xludf.DUMMYFUNCTION("IMPORTRANGE(H16522,""IDENTITAS UNIT!D9"")"),"#N/A")</f>
        <v>#N/A</v>
      </c>
      <c r="H16522" s="4" t="str">
        <v/>
      </c>
      <c r="I16522" s="4" t="str">
        <v/>
      </c>
    </row>
    <row r="16523" spans="5:9" ht="16.5" hidden="1">
      <c r="E16523" s="4" t="str">
        <v/>
      </c>
      <c r="F16523" s="102" t="str">
        <f ca="1">IFERROR(__xludf.DUMMYFUNCTION("IMPORTRANGE(H16523,""IDENTITAS UNIT!D9"")"),"#N/A")</f>
        <v>#N/A</v>
      </c>
      <c r="H16523" s="4" t="str">
        <v/>
      </c>
      <c r="I16523" s="4" t="str">
        <v/>
      </c>
    </row>
    <row r="16524" spans="5:9" ht="16.5" hidden="1">
      <c r="E16524" s="4" t="str">
        <v/>
      </c>
      <c r="F16524" s="102" t="str">
        <f ca="1">IFERROR(__xludf.DUMMYFUNCTION("IMPORTRANGE(H16524,""IDENTITAS UNIT!D9"")"),"#N/A")</f>
        <v>#N/A</v>
      </c>
      <c r="H16524" s="4" t="str">
        <v/>
      </c>
      <c r="I16524" s="4" t="str">
        <v/>
      </c>
    </row>
    <row r="16525" spans="5:9" ht="16.5" hidden="1">
      <c r="E16525" s="4" t="str">
        <v/>
      </c>
      <c r="F16525" s="102" t="str">
        <f ca="1">IFERROR(__xludf.DUMMYFUNCTION("IMPORTRANGE(H16525,""IDENTITAS UNIT!D9"")"),"#N/A")</f>
        <v>#N/A</v>
      </c>
      <c r="H16525" s="4" t="str">
        <v/>
      </c>
      <c r="I16525" s="4" t="str">
        <v/>
      </c>
    </row>
    <row r="16526" spans="5:9" ht="16.5" hidden="1">
      <c r="E16526" s="4" t="str">
        <v/>
      </c>
      <c r="F16526" s="102" t="str">
        <f ca="1">IFERROR(__xludf.DUMMYFUNCTION("IMPORTRANGE(H16526,""IDENTITAS UNIT!D9"")"),"#N/A")</f>
        <v>#N/A</v>
      </c>
      <c r="H16526" s="4" t="str">
        <v/>
      </c>
      <c r="I16526" s="4" t="str">
        <v/>
      </c>
    </row>
    <row r="16527" spans="5:9" ht="16.5" hidden="1">
      <c r="E16527" s="4" t="str">
        <v/>
      </c>
      <c r="F16527" s="102" t="str">
        <f ca="1">IFERROR(__xludf.DUMMYFUNCTION("IMPORTRANGE(H16527,""IDENTITAS UNIT!D9"")"),"#N/A")</f>
        <v>#N/A</v>
      </c>
      <c r="H16527" s="4" t="str">
        <v/>
      </c>
      <c r="I16527" s="4" t="str">
        <v/>
      </c>
    </row>
    <row r="16528" spans="5:9" ht="16.5" hidden="1">
      <c r="E16528" s="4" t="str">
        <v/>
      </c>
      <c r="F16528" s="102" t="str">
        <f ca="1">IFERROR(__xludf.DUMMYFUNCTION("IMPORTRANGE(H16528,""IDENTITAS UNIT!D9"")"),"#N/A")</f>
        <v>#N/A</v>
      </c>
      <c r="H16528" s="4" t="str">
        <v/>
      </c>
      <c r="I16528" s="4" t="str">
        <v/>
      </c>
    </row>
    <row r="16529" spans="5:9" ht="16.5" hidden="1">
      <c r="E16529" s="4" t="str">
        <v/>
      </c>
      <c r="F16529" s="102" t="str">
        <f ca="1">IFERROR(__xludf.DUMMYFUNCTION("IMPORTRANGE(H16529,""IDENTITAS UNIT!D9"")"),"#N/A")</f>
        <v>#N/A</v>
      </c>
      <c r="H16529" s="4" t="str">
        <v/>
      </c>
      <c r="I16529" s="4" t="str">
        <v/>
      </c>
    </row>
    <row r="16530" spans="5:9" ht="16.5" hidden="1">
      <c r="E16530" s="4" t="str">
        <v/>
      </c>
      <c r="F16530" s="102" t="str">
        <f ca="1">IFERROR(__xludf.DUMMYFUNCTION("IMPORTRANGE(H16530,""IDENTITAS UNIT!D9"")"),"#N/A")</f>
        <v>#N/A</v>
      </c>
      <c r="H16530" s="4" t="str">
        <v/>
      </c>
      <c r="I16530" s="4" t="str">
        <v/>
      </c>
    </row>
    <row r="16531" spans="5:9" ht="16.5" hidden="1">
      <c r="E16531" s="4" t="str">
        <v/>
      </c>
      <c r="F16531" s="102" t="str">
        <f ca="1">IFERROR(__xludf.DUMMYFUNCTION("IMPORTRANGE(H16531,""IDENTITAS UNIT!D9"")"),"#N/A")</f>
        <v>#N/A</v>
      </c>
      <c r="H16531" s="4" t="str">
        <v/>
      </c>
      <c r="I16531" s="4" t="str">
        <v/>
      </c>
    </row>
    <row r="16532" spans="5:9" ht="16.5" hidden="1">
      <c r="E16532" s="4" t="str">
        <v/>
      </c>
      <c r="F16532" s="102" t="str">
        <f ca="1">IFERROR(__xludf.DUMMYFUNCTION("IMPORTRANGE(H16532,""IDENTITAS UNIT!D9"")"),"#N/A")</f>
        <v>#N/A</v>
      </c>
      <c r="H16532" s="4" t="str">
        <v/>
      </c>
      <c r="I16532" s="4" t="str">
        <v/>
      </c>
    </row>
    <row r="16533" spans="5:9" ht="16.5" hidden="1">
      <c r="E16533" s="4" t="str">
        <v/>
      </c>
      <c r="F16533" s="102" t="str">
        <f ca="1">IFERROR(__xludf.DUMMYFUNCTION("IMPORTRANGE(H16533,""IDENTITAS UNIT!D9"")"),"#N/A")</f>
        <v>#N/A</v>
      </c>
      <c r="H16533" s="4" t="str">
        <v/>
      </c>
      <c r="I16533" s="4" t="str">
        <v/>
      </c>
    </row>
    <row r="16534" spans="5:9" ht="16.5" hidden="1">
      <c r="E16534" s="4" t="str">
        <v/>
      </c>
      <c r="F16534" s="102" t="str">
        <f ca="1">IFERROR(__xludf.DUMMYFUNCTION("IMPORTRANGE(H16534,""IDENTITAS UNIT!D9"")"),"#N/A")</f>
        <v>#N/A</v>
      </c>
      <c r="H16534" s="4" t="str">
        <v/>
      </c>
      <c r="I16534" s="4" t="str">
        <v/>
      </c>
    </row>
    <row r="16535" spans="5:9" ht="16.5" hidden="1">
      <c r="E16535" s="4" t="str">
        <v/>
      </c>
      <c r="F16535" s="102" t="str">
        <f ca="1">IFERROR(__xludf.DUMMYFUNCTION("IMPORTRANGE(H16535,""IDENTITAS UNIT!D9"")"),"#N/A")</f>
        <v>#N/A</v>
      </c>
      <c r="H16535" s="4" t="str">
        <v/>
      </c>
      <c r="I16535" s="4" t="str">
        <v/>
      </c>
    </row>
    <row r="16536" spans="5:9" ht="16.5" hidden="1">
      <c r="E16536" s="4" t="str">
        <v/>
      </c>
      <c r="F16536" s="102" t="str">
        <f ca="1">IFERROR(__xludf.DUMMYFUNCTION("IMPORTRANGE(H16536,""IDENTITAS UNIT!D9"")"),"#N/A")</f>
        <v>#N/A</v>
      </c>
      <c r="H16536" s="4" t="str">
        <v/>
      </c>
      <c r="I16536" s="4" t="str">
        <v/>
      </c>
    </row>
    <row r="16537" spans="5:9" ht="16.5" hidden="1">
      <c r="E16537" s="4" t="str">
        <v/>
      </c>
      <c r="F16537" s="102" t="str">
        <f ca="1">IFERROR(__xludf.DUMMYFUNCTION("IMPORTRANGE(H16537,""IDENTITAS UNIT!D9"")"),"#N/A")</f>
        <v>#N/A</v>
      </c>
      <c r="H16537" s="4" t="str">
        <v/>
      </c>
      <c r="I16537" s="4" t="str">
        <v/>
      </c>
    </row>
    <row r="16538" spans="5:9" ht="16.5" hidden="1">
      <c r="E16538" s="4" t="str">
        <v/>
      </c>
      <c r="F16538" s="102" t="str">
        <f ca="1">IFERROR(__xludf.DUMMYFUNCTION("IMPORTRANGE(H16538,""IDENTITAS UNIT!D9"")"),"#N/A")</f>
        <v>#N/A</v>
      </c>
      <c r="H16538" s="4" t="str">
        <v/>
      </c>
      <c r="I16538" s="4" t="str">
        <v/>
      </c>
    </row>
    <row r="16539" spans="5:9" ht="16.5" hidden="1">
      <c r="E16539" s="4" t="str">
        <v/>
      </c>
      <c r="F16539" s="102" t="str">
        <f ca="1">IFERROR(__xludf.DUMMYFUNCTION("IMPORTRANGE(H16539,""IDENTITAS UNIT!D9"")"),"#N/A")</f>
        <v>#N/A</v>
      </c>
      <c r="H16539" s="4" t="str">
        <v/>
      </c>
      <c r="I16539" s="4" t="str">
        <v/>
      </c>
    </row>
    <row r="16540" spans="5:9" ht="16.5" hidden="1">
      <c r="E16540" s="4" t="str">
        <v/>
      </c>
      <c r="F16540" s="102" t="str">
        <f ca="1">IFERROR(__xludf.DUMMYFUNCTION("IMPORTRANGE(H16540,""IDENTITAS UNIT!D9"")"),"#N/A")</f>
        <v>#N/A</v>
      </c>
      <c r="H16540" s="4" t="str">
        <v/>
      </c>
      <c r="I16540" s="4" t="str">
        <v/>
      </c>
    </row>
    <row r="16541" spans="5:9" ht="16.5" hidden="1">
      <c r="E16541" s="4" t="str">
        <v/>
      </c>
      <c r="F16541" s="102" t="str">
        <f ca="1">IFERROR(__xludf.DUMMYFUNCTION("IMPORTRANGE(H16541,""IDENTITAS UNIT!D9"")"),"#N/A")</f>
        <v>#N/A</v>
      </c>
      <c r="H16541" s="4" t="str">
        <v/>
      </c>
      <c r="I16541" s="4" t="str">
        <v/>
      </c>
    </row>
    <row r="16542" spans="5:9" ht="16.5" hidden="1">
      <c r="E16542" s="4" t="str">
        <v/>
      </c>
      <c r="F16542" s="102" t="str">
        <f ca="1">IFERROR(__xludf.DUMMYFUNCTION("IMPORTRANGE(H16542,""IDENTITAS UNIT!D9"")"),"#N/A")</f>
        <v>#N/A</v>
      </c>
      <c r="H16542" s="4" t="str">
        <v/>
      </c>
      <c r="I16542" s="4" t="str">
        <v/>
      </c>
    </row>
    <row r="16543" spans="5:9" ht="16.5" hidden="1">
      <c r="E16543" s="4" t="str">
        <v/>
      </c>
      <c r="F16543" s="102" t="str">
        <f ca="1">IFERROR(__xludf.DUMMYFUNCTION("IMPORTRANGE(H16543,""IDENTITAS UNIT!D9"")"),"#N/A")</f>
        <v>#N/A</v>
      </c>
      <c r="H16543" s="4" t="str">
        <v/>
      </c>
      <c r="I16543" s="4" t="str">
        <v/>
      </c>
    </row>
    <row r="16544" spans="5:9" ht="16.5" hidden="1">
      <c r="E16544" s="4" t="str">
        <v/>
      </c>
      <c r="F16544" s="102" t="str">
        <f ca="1">IFERROR(__xludf.DUMMYFUNCTION("IMPORTRANGE(H16544,""IDENTITAS UNIT!D9"")"),"#N/A")</f>
        <v>#N/A</v>
      </c>
      <c r="H16544" s="4" t="str">
        <v/>
      </c>
      <c r="I16544" s="4" t="str">
        <v/>
      </c>
    </row>
    <row r="16545" spans="5:9" ht="16.5" hidden="1">
      <c r="E16545" s="4" t="str">
        <v/>
      </c>
      <c r="F16545" s="102" t="str">
        <f ca="1">IFERROR(__xludf.DUMMYFUNCTION("IMPORTRANGE(H16545,""IDENTITAS UNIT!D9"")"),"#N/A")</f>
        <v>#N/A</v>
      </c>
      <c r="H16545" s="4" t="str">
        <v/>
      </c>
      <c r="I16545" s="4" t="str">
        <v/>
      </c>
    </row>
    <row r="16546" spans="5:9" ht="16.5" hidden="1">
      <c r="E16546" s="4" t="str">
        <v/>
      </c>
      <c r="F16546" s="102" t="str">
        <f ca="1">IFERROR(__xludf.DUMMYFUNCTION("IMPORTRANGE(H16546,""IDENTITAS UNIT!D9"")"),"#N/A")</f>
        <v>#N/A</v>
      </c>
      <c r="H16546" s="4" t="str">
        <v/>
      </c>
      <c r="I16546" s="4" t="str">
        <v/>
      </c>
    </row>
    <row r="16547" spans="5:9" ht="16.5" hidden="1">
      <c r="E16547" s="4" t="str">
        <v/>
      </c>
      <c r="F16547" s="102" t="str">
        <f ca="1">IFERROR(__xludf.DUMMYFUNCTION("IMPORTRANGE(H16547,""IDENTITAS UNIT!D9"")"),"#N/A")</f>
        <v>#N/A</v>
      </c>
      <c r="H16547" s="4" t="str">
        <v/>
      </c>
      <c r="I16547" s="4" t="str">
        <v/>
      </c>
    </row>
    <row r="16548" spans="5:9" ht="16.5" hidden="1">
      <c r="E16548" s="4" t="str">
        <v/>
      </c>
      <c r="F16548" s="102" t="str">
        <f ca="1">IFERROR(__xludf.DUMMYFUNCTION("IMPORTRANGE(H16548,""IDENTITAS UNIT!D9"")"),"#N/A")</f>
        <v>#N/A</v>
      </c>
      <c r="H16548" s="4" t="str">
        <v/>
      </c>
      <c r="I16548" s="4" t="str">
        <v/>
      </c>
    </row>
    <row r="16549" spans="5:9" ht="16.5" hidden="1">
      <c r="E16549" s="4" t="str">
        <v/>
      </c>
      <c r="F16549" s="102" t="str">
        <f ca="1">IFERROR(__xludf.DUMMYFUNCTION("IMPORTRANGE(H16549,""IDENTITAS UNIT!D9"")"),"#N/A")</f>
        <v>#N/A</v>
      </c>
      <c r="H16549" s="4" t="str">
        <v/>
      </c>
      <c r="I16549" s="4" t="str">
        <v/>
      </c>
    </row>
    <row r="16550" spans="5:9" ht="16.5" hidden="1">
      <c r="E16550" s="4" t="str">
        <v/>
      </c>
      <c r="F16550" s="102" t="str">
        <f ca="1">IFERROR(__xludf.DUMMYFUNCTION("IMPORTRANGE(H16550,""IDENTITAS UNIT!D9"")"),"#N/A")</f>
        <v>#N/A</v>
      </c>
      <c r="H16550" s="4" t="str">
        <v/>
      </c>
      <c r="I16550" s="4" t="str">
        <v/>
      </c>
    </row>
    <row r="16551" spans="5:9" ht="16.5" hidden="1">
      <c r="E16551" s="4" t="str">
        <v/>
      </c>
      <c r="F16551" s="102" t="str">
        <f ca="1">IFERROR(__xludf.DUMMYFUNCTION("IMPORTRANGE(H16551,""IDENTITAS UNIT!D9"")"),"#N/A")</f>
        <v>#N/A</v>
      </c>
      <c r="H16551" s="4" t="str">
        <v/>
      </c>
      <c r="I16551" s="4" t="str">
        <v/>
      </c>
    </row>
    <row r="16552" spans="5:9" ht="16.5" hidden="1">
      <c r="E16552" s="4" t="str">
        <v/>
      </c>
      <c r="F16552" s="102" t="str">
        <f ca="1">IFERROR(__xludf.DUMMYFUNCTION("IMPORTRANGE(H16552,""IDENTITAS UNIT!D9"")"),"#N/A")</f>
        <v>#N/A</v>
      </c>
      <c r="H16552" s="4" t="str">
        <v/>
      </c>
      <c r="I16552" s="4" t="str">
        <v/>
      </c>
    </row>
    <row r="16553" spans="5:9" ht="16.5" hidden="1">
      <c r="E16553" s="4" t="str">
        <v/>
      </c>
      <c r="F16553" s="102" t="str">
        <f ca="1">IFERROR(__xludf.DUMMYFUNCTION("IMPORTRANGE(H16553,""IDENTITAS UNIT!D9"")"),"#N/A")</f>
        <v>#N/A</v>
      </c>
      <c r="H16553" s="4" t="str">
        <v/>
      </c>
      <c r="I16553" s="4" t="str">
        <v/>
      </c>
    </row>
    <row r="16554" spans="5:9" ht="16.5" hidden="1">
      <c r="E16554" s="4" t="str">
        <v/>
      </c>
      <c r="F16554" s="102" t="str">
        <f ca="1">IFERROR(__xludf.DUMMYFUNCTION("IMPORTRANGE(H16554,""IDENTITAS UNIT!D9"")"),"#N/A")</f>
        <v>#N/A</v>
      </c>
      <c r="H16554" s="4" t="str">
        <v/>
      </c>
      <c r="I16554" s="4" t="str">
        <v/>
      </c>
    </row>
    <row r="16555" spans="5:9" ht="16.5" hidden="1">
      <c r="E16555" s="4" t="str">
        <v/>
      </c>
      <c r="F16555" s="102" t="str">
        <f ca="1">IFERROR(__xludf.DUMMYFUNCTION("IMPORTRANGE(H16555,""IDENTITAS UNIT!D9"")"),"#N/A")</f>
        <v>#N/A</v>
      </c>
      <c r="H16555" s="4" t="str">
        <v/>
      </c>
      <c r="I16555" s="4" t="str">
        <v/>
      </c>
    </row>
    <row r="16556" spans="5:9" ht="16.5" hidden="1">
      <c r="E16556" s="4" t="str">
        <v/>
      </c>
      <c r="F16556" s="102" t="str">
        <f ca="1">IFERROR(__xludf.DUMMYFUNCTION("IMPORTRANGE(H16556,""IDENTITAS UNIT!D9"")"),"#N/A")</f>
        <v>#N/A</v>
      </c>
      <c r="H16556" s="4" t="str">
        <v/>
      </c>
      <c r="I16556" s="4" t="str">
        <v/>
      </c>
    </row>
    <row r="16557" spans="5:9" ht="16.5" hidden="1">
      <c r="E16557" s="4" t="str">
        <v/>
      </c>
      <c r="F16557" s="102" t="str">
        <f ca="1">IFERROR(__xludf.DUMMYFUNCTION("IMPORTRANGE(H16557,""IDENTITAS UNIT!D9"")"),"#N/A")</f>
        <v>#N/A</v>
      </c>
      <c r="H16557" s="4" t="str">
        <v/>
      </c>
      <c r="I16557" s="4" t="str">
        <v/>
      </c>
    </row>
    <row r="16558" spans="5:9" ht="16.5" hidden="1">
      <c r="E16558" s="4" t="str">
        <v/>
      </c>
      <c r="F16558" s="102" t="str">
        <f ca="1">IFERROR(__xludf.DUMMYFUNCTION("IMPORTRANGE(H16558,""IDENTITAS UNIT!D9"")"),"#N/A")</f>
        <v>#N/A</v>
      </c>
      <c r="H16558" s="4" t="str">
        <v/>
      </c>
      <c r="I16558" s="4" t="str">
        <v/>
      </c>
    </row>
    <row r="16559" spans="5:9" ht="16.5" hidden="1">
      <c r="E16559" s="4" t="str">
        <v/>
      </c>
      <c r="F16559" s="102" t="str">
        <f ca="1">IFERROR(__xludf.DUMMYFUNCTION("IMPORTRANGE(H16559,""IDENTITAS UNIT!D9"")"),"#N/A")</f>
        <v>#N/A</v>
      </c>
      <c r="H16559" s="4" t="str">
        <v/>
      </c>
      <c r="I16559" s="4" t="str">
        <v/>
      </c>
    </row>
    <row r="16560" spans="5:9" ht="16.5" hidden="1">
      <c r="E16560" s="4" t="str">
        <v/>
      </c>
      <c r="F16560" s="102" t="str">
        <f ca="1">IFERROR(__xludf.DUMMYFUNCTION("IMPORTRANGE(H16560,""IDENTITAS UNIT!D9"")"),"#N/A")</f>
        <v>#N/A</v>
      </c>
      <c r="H16560" s="4" t="str">
        <v/>
      </c>
      <c r="I16560" s="4" t="str">
        <v/>
      </c>
    </row>
    <row r="16561" spans="5:9" ht="16.5" hidden="1">
      <c r="E16561" s="4" t="str">
        <v/>
      </c>
      <c r="F16561" s="102" t="str">
        <f ca="1">IFERROR(__xludf.DUMMYFUNCTION("IMPORTRANGE(H16561,""IDENTITAS UNIT!D9"")"),"#N/A")</f>
        <v>#N/A</v>
      </c>
      <c r="H16561" s="4" t="str">
        <v/>
      </c>
      <c r="I16561" s="4" t="str">
        <v/>
      </c>
    </row>
    <row r="16562" spans="5:9" ht="16.5" hidden="1">
      <c r="E16562" s="4" t="str">
        <v/>
      </c>
      <c r="F16562" s="102" t="str">
        <f ca="1">IFERROR(__xludf.DUMMYFUNCTION("IMPORTRANGE(H16562,""IDENTITAS UNIT!D9"")"),"#N/A")</f>
        <v>#N/A</v>
      </c>
      <c r="H16562" s="4" t="str">
        <v/>
      </c>
      <c r="I16562" s="4" t="str">
        <v/>
      </c>
    </row>
    <row r="16563" spans="5:9" ht="16.5" hidden="1">
      <c r="E16563" s="4" t="str">
        <v/>
      </c>
      <c r="F16563" s="102" t="str">
        <f ca="1">IFERROR(__xludf.DUMMYFUNCTION("IMPORTRANGE(H16563,""IDENTITAS UNIT!D9"")"),"#N/A")</f>
        <v>#N/A</v>
      </c>
      <c r="H16563" s="4" t="str">
        <v/>
      </c>
      <c r="I16563" s="4" t="str">
        <v/>
      </c>
    </row>
    <row r="16564" spans="5:9" ht="16.5" hidden="1">
      <c r="E16564" s="4" t="str">
        <v/>
      </c>
      <c r="F16564" s="102" t="str">
        <f ca="1">IFERROR(__xludf.DUMMYFUNCTION("IMPORTRANGE(H16564,""IDENTITAS UNIT!D9"")"),"#N/A")</f>
        <v>#N/A</v>
      </c>
      <c r="H16564" s="4" t="str">
        <v/>
      </c>
      <c r="I16564" s="4" t="str">
        <v/>
      </c>
    </row>
    <row r="16565" spans="5:9" ht="16.5" hidden="1">
      <c r="E16565" s="4" t="str">
        <v/>
      </c>
      <c r="F16565" s="102" t="str">
        <f ca="1">IFERROR(__xludf.DUMMYFUNCTION("IMPORTRANGE(H16565,""IDENTITAS UNIT!D9"")"),"#N/A")</f>
        <v>#N/A</v>
      </c>
      <c r="H16565" s="4" t="str">
        <v/>
      </c>
      <c r="I16565" s="4" t="str">
        <v/>
      </c>
    </row>
    <row r="16566" spans="5:9" ht="16.5" hidden="1">
      <c r="E16566" s="4" t="str">
        <v/>
      </c>
      <c r="F16566" s="102" t="str">
        <f ca="1">IFERROR(__xludf.DUMMYFUNCTION("IMPORTRANGE(H16566,""IDENTITAS UNIT!D9"")"),"#N/A")</f>
        <v>#N/A</v>
      </c>
      <c r="H16566" s="4" t="str">
        <v/>
      </c>
      <c r="I16566" s="4" t="str">
        <v/>
      </c>
    </row>
    <row r="16567" spans="5:9" ht="16.5" hidden="1">
      <c r="E16567" s="4" t="str">
        <v/>
      </c>
      <c r="F16567" s="102" t="str">
        <f ca="1">IFERROR(__xludf.DUMMYFUNCTION("IMPORTRANGE(H16567,""IDENTITAS UNIT!D9"")"),"#N/A")</f>
        <v>#N/A</v>
      </c>
      <c r="H16567" s="4" t="str">
        <v/>
      </c>
      <c r="I16567" s="4" t="str">
        <v/>
      </c>
    </row>
    <row r="16568" spans="5:9" ht="16.5" hidden="1">
      <c r="E16568" s="4" t="str">
        <v/>
      </c>
      <c r="F16568" s="102" t="str">
        <f ca="1">IFERROR(__xludf.DUMMYFUNCTION("IMPORTRANGE(H16568,""IDENTITAS UNIT!D9"")"),"#N/A")</f>
        <v>#N/A</v>
      </c>
      <c r="H16568" s="4" t="str">
        <v/>
      </c>
      <c r="I16568" s="4" t="str">
        <v/>
      </c>
    </row>
    <row r="16569" spans="5:9" ht="16.5" hidden="1">
      <c r="E16569" s="4" t="str">
        <v/>
      </c>
      <c r="F16569" s="102" t="str">
        <f ca="1">IFERROR(__xludf.DUMMYFUNCTION("IMPORTRANGE(H16569,""IDENTITAS UNIT!D9"")"),"#N/A")</f>
        <v>#N/A</v>
      </c>
      <c r="H16569" s="4" t="str">
        <v/>
      </c>
      <c r="I16569" s="4" t="str">
        <v/>
      </c>
    </row>
    <row r="16570" spans="5:9" ht="16.5" hidden="1">
      <c r="E16570" s="4" t="str">
        <v/>
      </c>
      <c r="F16570" s="102" t="str">
        <f ca="1">IFERROR(__xludf.DUMMYFUNCTION("IMPORTRANGE(H16570,""IDENTITAS UNIT!D9"")"),"#N/A")</f>
        <v>#N/A</v>
      </c>
      <c r="H16570" s="4" t="str">
        <v/>
      </c>
      <c r="I16570" s="4" t="str">
        <v/>
      </c>
    </row>
    <row r="16571" spans="5:9" ht="16.5" hidden="1">
      <c r="E16571" s="4" t="str">
        <v/>
      </c>
      <c r="F16571" s="102" t="str">
        <f ca="1">IFERROR(__xludf.DUMMYFUNCTION("IMPORTRANGE(H16571,""IDENTITAS UNIT!D9"")"),"#N/A")</f>
        <v>#N/A</v>
      </c>
      <c r="H16571" s="4" t="str">
        <v/>
      </c>
      <c r="I16571" s="4" t="str">
        <v/>
      </c>
    </row>
    <row r="16572" spans="5:9" ht="16.5" hidden="1">
      <c r="E16572" s="4" t="str">
        <v/>
      </c>
      <c r="F16572" s="102" t="str">
        <f ca="1">IFERROR(__xludf.DUMMYFUNCTION("IMPORTRANGE(H16572,""IDENTITAS UNIT!D9"")"),"#N/A")</f>
        <v>#N/A</v>
      </c>
      <c r="H16572" s="4" t="str">
        <v/>
      </c>
      <c r="I16572" s="4" t="str">
        <v/>
      </c>
    </row>
    <row r="16573" spans="5:9" ht="16.5" hidden="1">
      <c r="E16573" s="4" t="str">
        <v/>
      </c>
      <c r="F16573" s="102" t="str">
        <f ca="1">IFERROR(__xludf.DUMMYFUNCTION("IMPORTRANGE(H16573,""IDENTITAS UNIT!D9"")"),"#N/A")</f>
        <v>#N/A</v>
      </c>
      <c r="H16573" s="4" t="str">
        <v/>
      </c>
      <c r="I16573" s="4" t="str">
        <v/>
      </c>
    </row>
    <row r="16574" spans="5:9" ht="16.5" hidden="1">
      <c r="E16574" s="4" t="str">
        <v/>
      </c>
      <c r="F16574" s="102" t="str">
        <f ca="1">IFERROR(__xludf.DUMMYFUNCTION("IMPORTRANGE(H16574,""IDENTITAS UNIT!D9"")"),"#N/A")</f>
        <v>#N/A</v>
      </c>
      <c r="H16574" s="4" t="str">
        <v/>
      </c>
      <c r="I16574" s="4" t="str">
        <v/>
      </c>
    </row>
    <row r="16575" spans="5:9" ht="16.5" hidden="1">
      <c r="E16575" s="4" t="str">
        <v/>
      </c>
      <c r="F16575" s="102" t="str">
        <f ca="1">IFERROR(__xludf.DUMMYFUNCTION("IMPORTRANGE(H16575,""IDENTITAS UNIT!D9"")"),"#N/A")</f>
        <v>#N/A</v>
      </c>
      <c r="H16575" s="4" t="str">
        <v/>
      </c>
      <c r="I16575" s="4" t="str">
        <v/>
      </c>
    </row>
    <row r="16576" spans="5:9" ht="16.5" hidden="1">
      <c r="E16576" s="4" t="str">
        <v/>
      </c>
      <c r="F16576" s="102" t="str">
        <f ca="1">IFERROR(__xludf.DUMMYFUNCTION("IMPORTRANGE(H16576,""IDENTITAS UNIT!D9"")"),"#N/A")</f>
        <v>#N/A</v>
      </c>
      <c r="H16576" s="4" t="str">
        <v/>
      </c>
      <c r="I16576" s="4" t="str">
        <v/>
      </c>
    </row>
    <row r="16577" spans="5:9" ht="16.5" hidden="1">
      <c r="E16577" s="4" t="str">
        <v/>
      </c>
      <c r="F16577" s="102" t="str">
        <f ca="1">IFERROR(__xludf.DUMMYFUNCTION("IMPORTRANGE(H16577,""IDENTITAS UNIT!D9"")"),"#N/A")</f>
        <v>#N/A</v>
      </c>
      <c r="H16577" s="4" t="str">
        <v/>
      </c>
      <c r="I16577" s="4" t="str">
        <v/>
      </c>
    </row>
    <row r="16578" spans="5:9" ht="16.5" hidden="1">
      <c r="E16578" s="4" t="str">
        <v/>
      </c>
      <c r="F16578" s="102" t="str">
        <f ca="1">IFERROR(__xludf.DUMMYFUNCTION("IMPORTRANGE(H16578,""IDENTITAS UNIT!D9"")"),"#N/A")</f>
        <v>#N/A</v>
      </c>
      <c r="H16578" s="4" t="str">
        <v/>
      </c>
      <c r="I16578" s="4" t="str">
        <v/>
      </c>
    </row>
    <row r="16579" spans="5:9" ht="16.5" hidden="1">
      <c r="E16579" s="4" t="str">
        <v/>
      </c>
      <c r="F16579" s="102" t="str">
        <f ca="1">IFERROR(__xludf.DUMMYFUNCTION("IMPORTRANGE(H16579,""IDENTITAS UNIT!D9"")"),"#N/A")</f>
        <v>#N/A</v>
      </c>
      <c r="H16579" s="4" t="str">
        <v/>
      </c>
      <c r="I16579" s="4" t="str">
        <v/>
      </c>
    </row>
    <row r="16580" spans="5:9" ht="16.5" hidden="1">
      <c r="E16580" s="4" t="str">
        <v/>
      </c>
      <c r="F16580" s="102" t="str">
        <f ca="1">IFERROR(__xludf.DUMMYFUNCTION("IMPORTRANGE(H16580,""IDENTITAS UNIT!D9"")"),"#N/A")</f>
        <v>#N/A</v>
      </c>
      <c r="H16580" s="4" t="str">
        <v/>
      </c>
      <c r="I16580" s="4" t="str">
        <v/>
      </c>
    </row>
    <row r="16581" spans="5:9" ht="16.5" hidden="1">
      <c r="E16581" s="4" t="str">
        <v/>
      </c>
      <c r="F16581" s="102" t="str">
        <f ca="1">IFERROR(__xludf.DUMMYFUNCTION("IMPORTRANGE(H16581,""IDENTITAS UNIT!D9"")"),"#N/A")</f>
        <v>#N/A</v>
      </c>
      <c r="H16581" s="4" t="str">
        <v/>
      </c>
      <c r="I16581" s="4" t="str">
        <v/>
      </c>
    </row>
    <row r="16582" spans="5:9" ht="16.5" hidden="1">
      <c r="E16582" s="4" t="str">
        <v/>
      </c>
      <c r="F16582" s="102" t="str">
        <f ca="1">IFERROR(__xludf.DUMMYFUNCTION("IMPORTRANGE(H16582,""IDENTITAS UNIT!D9"")"),"#N/A")</f>
        <v>#N/A</v>
      </c>
      <c r="H16582" s="4" t="str">
        <v/>
      </c>
      <c r="I16582" s="4" t="str">
        <v/>
      </c>
    </row>
    <row r="16583" spans="5:9" ht="16.5" hidden="1">
      <c r="E16583" s="4" t="str">
        <v/>
      </c>
      <c r="F16583" s="102" t="str">
        <f ca="1">IFERROR(__xludf.DUMMYFUNCTION("IMPORTRANGE(H16583,""IDENTITAS UNIT!D9"")"),"#N/A")</f>
        <v>#N/A</v>
      </c>
      <c r="H16583" s="4" t="str">
        <v/>
      </c>
      <c r="I16583" s="4" t="str">
        <v/>
      </c>
    </row>
    <row r="16584" spans="5:9" ht="16.5" hidden="1">
      <c r="E16584" s="4" t="str">
        <v/>
      </c>
      <c r="F16584" s="102" t="str">
        <f ca="1">IFERROR(__xludf.DUMMYFUNCTION("IMPORTRANGE(H16584,""IDENTITAS UNIT!D9"")"),"#N/A")</f>
        <v>#N/A</v>
      </c>
      <c r="H16584" s="4" t="str">
        <v/>
      </c>
      <c r="I16584" s="4" t="str">
        <v/>
      </c>
    </row>
    <row r="16585" spans="5:9" ht="16.5" hidden="1">
      <c r="E16585" s="4" t="str">
        <v/>
      </c>
      <c r="F16585" s="102" t="str">
        <f ca="1">IFERROR(__xludf.DUMMYFUNCTION("IMPORTRANGE(H16585,""IDENTITAS UNIT!D9"")"),"#N/A")</f>
        <v>#N/A</v>
      </c>
      <c r="H16585" s="4" t="str">
        <v/>
      </c>
      <c r="I16585" s="4" t="str">
        <v/>
      </c>
    </row>
    <row r="16586" spans="5:9" ht="16.5" hidden="1">
      <c r="E16586" s="4" t="str">
        <v/>
      </c>
      <c r="F16586" s="102" t="str">
        <f ca="1">IFERROR(__xludf.DUMMYFUNCTION("IMPORTRANGE(H16586,""IDENTITAS UNIT!D9"")"),"#N/A")</f>
        <v>#N/A</v>
      </c>
      <c r="H16586" s="4" t="str">
        <v/>
      </c>
      <c r="I16586" s="4" t="str">
        <v/>
      </c>
    </row>
    <row r="16587" spans="5:9" ht="16.5" hidden="1">
      <c r="E16587" s="4" t="str">
        <v/>
      </c>
      <c r="F16587" s="102" t="str">
        <f ca="1">IFERROR(__xludf.DUMMYFUNCTION("IMPORTRANGE(H16587,""IDENTITAS UNIT!D9"")"),"#N/A")</f>
        <v>#N/A</v>
      </c>
      <c r="H16587" s="4" t="str">
        <v/>
      </c>
      <c r="I16587" s="4" t="str">
        <v/>
      </c>
    </row>
    <row r="16588" spans="5:9" ht="16.5" hidden="1">
      <c r="E16588" s="4" t="str">
        <v/>
      </c>
      <c r="F16588" s="102" t="str">
        <f ca="1">IFERROR(__xludf.DUMMYFUNCTION("IMPORTRANGE(H16588,""IDENTITAS UNIT!D9"")"),"#N/A")</f>
        <v>#N/A</v>
      </c>
      <c r="H16588" s="4" t="str">
        <v/>
      </c>
      <c r="I16588" s="4" t="str">
        <v/>
      </c>
    </row>
    <row r="16589" spans="5:9" ht="16.5" hidden="1">
      <c r="E16589" s="4" t="str">
        <v/>
      </c>
      <c r="F16589" s="102" t="str">
        <f ca="1">IFERROR(__xludf.DUMMYFUNCTION("IMPORTRANGE(H16589,""IDENTITAS UNIT!D9"")"),"#N/A")</f>
        <v>#N/A</v>
      </c>
      <c r="H16589" s="4" t="str">
        <v/>
      </c>
      <c r="I16589" s="4" t="str">
        <v/>
      </c>
    </row>
    <row r="16590" spans="5:9" ht="16.5" hidden="1">
      <c r="E16590" s="4" t="str">
        <v/>
      </c>
      <c r="F16590" s="102" t="str">
        <f ca="1">IFERROR(__xludf.DUMMYFUNCTION("IMPORTRANGE(H16590,""IDENTITAS UNIT!D9"")"),"#N/A")</f>
        <v>#N/A</v>
      </c>
      <c r="H16590" s="4" t="str">
        <v/>
      </c>
      <c r="I16590" s="4" t="str">
        <v/>
      </c>
    </row>
    <row r="16591" spans="5:9" ht="16.5" hidden="1">
      <c r="E16591" s="4" t="str">
        <v/>
      </c>
      <c r="F16591" s="102" t="str">
        <f ca="1">IFERROR(__xludf.DUMMYFUNCTION("IMPORTRANGE(H16591,""IDENTITAS UNIT!D9"")"),"#N/A")</f>
        <v>#N/A</v>
      </c>
      <c r="H16591" s="4" t="str">
        <v/>
      </c>
      <c r="I16591" s="4" t="str">
        <v/>
      </c>
    </row>
    <row r="16592" spans="5:9" ht="16.5" hidden="1">
      <c r="E16592" s="4" t="str">
        <v/>
      </c>
      <c r="F16592" s="102" t="str">
        <f ca="1">IFERROR(__xludf.DUMMYFUNCTION("IMPORTRANGE(H16592,""IDENTITAS UNIT!D9"")"),"#N/A")</f>
        <v>#N/A</v>
      </c>
      <c r="H16592" s="4" t="str">
        <v/>
      </c>
      <c r="I16592" s="4" t="str">
        <v/>
      </c>
    </row>
    <row r="16593" spans="5:9" ht="16.5" hidden="1">
      <c r="E16593" s="4" t="str">
        <v/>
      </c>
      <c r="F16593" s="102" t="str">
        <f ca="1">IFERROR(__xludf.DUMMYFUNCTION("IMPORTRANGE(H16593,""IDENTITAS UNIT!D9"")"),"#N/A")</f>
        <v>#N/A</v>
      </c>
      <c r="H16593" s="4" t="str">
        <v/>
      </c>
      <c r="I16593" s="4" t="str">
        <v/>
      </c>
    </row>
    <row r="16594" spans="5:9" ht="16.5" hidden="1">
      <c r="E16594" s="4" t="str">
        <v/>
      </c>
      <c r="F16594" s="102" t="str">
        <f ca="1">IFERROR(__xludf.DUMMYFUNCTION("IMPORTRANGE(H16594,""IDENTITAS UNIT!D9"")"),"#N/A")</f>
        <v>#N/A</v>
      </c>
      <c r="H16594" s="4" t="str">
        <v/>
      </c>
      <c r="I16594" s="4" t="str">
        <v/>
      </c>
    </row>
    <row r="16595" spans="5:9" ht="16.5" hidden="1">
      <c r="E16595" s="4" t="str">
        <v/>
      </c>
      <c r="F16595" s="102" t="str">
        <f ca="1">IFERROR(__xludf.DUMMYFUNCTION("IMPORTRANGE(H16595,""IDENTITAS UNIT!D9"")"),"#N/A")</f>
        <v>#N/A</v>
      </c>
      <c r="H16595" s="4" t="str">
        <v/>
      </c>
      <c r="I16595" s="4" t="str">
        <v/>
      </c>
    </row>
    <row r="16596" spans="5:9" ht="16.5" hidden="1">
      <c r="E16596" s="4" t="str">
        <v/>
      </c>
      <c r="F16596" s="102" t="str">
        <f ca="1">IFERROR(__xludf.DUMMYFUNCTION("IMPORTRANGE(H16596,""IDENTITAS UNIT!D9"")"),"#N/A")</f>
        <v>#N/A</v>
      </c>
      <c r="H16596" s="4" t="str">
        <v/>
      </c>
      <c r="I16596" s="4" t="str">
        <v/>
      </c>
    </row>
    <row r="16597" spans="5:9" ht="16.5" hidden="1">
      <c r="E16597" s="4" t="str">
        <v/>
      </c>
      <c r="F16597" s="102" t="str">
        <f ca="1">IFERROR(__xludf.DUMMYFUNCTION("IMPORTRANGE(H16597,""IDENTITAS UNIT!D9"")"),"#N/A")</f>
        <v>#N/A</v>
      </c>
      <c r="H16597" s="4" t="str">
        <v/>
      </c>
      <c r="I16597" s="4" t="str">
        <v/>
      </c>
    </row>
    <row r="16598" spans="5:9" ht="16.5" hidden="1">
      <c r="E16598" s="4" t="str">
        <v/>
      </c>
      <c r="F16598" s="102" t="str">
        <f ca="1">IFERROR(__xludf.DUMMYFUNCTION("IMPORTRANGE(H16598,""IDENTITAS UNIT!D9"")"),"#N/A")</f>
        <v>#N/A</v>
      </c>
      <c r="H16598" s="4" t="str">
        <v/>
      </c>
      <c r="I16598" s="4" t="str">
        <v/>
      </c>
    </row>
    <row r="16599" spans="5:9" ht="16.5" hidden="1">
      <c r="E16599" s="4" t="str">
        <v/>
      </c>
      <c r="F16599" s="102" t="str">
        <f ca="1">IFERROR(__xludf.DUMMYFUNCTION("IMPORTRANGE(H16599,""IDENTITAS UNIT!D9"")"),"#N/A")</f>
        <v>#N/A</v>
      </c>
      <c r="H16599" s="4" t="str">
        <v/>
      </c>
      <c r="I16599" s="4" t="str">
        <v/>
      </c>
    </row>
    <row r="16600" spans="5:9" ht="16.5" hidden="1">
      <c r="E16600" s="4" t="str">
        <v/>
      </c>
      <c r="F16600" s="102" t="str">
        <f ca="1">IFERROR(__xludf.DUMMYFUNCTION("IMPORTRANGE(H16600,""IDENTITAS UNIT!D9"")"),"#N/A")</f>
        <v>#N/A</v>
      </c>
      <c r="H16600" s="4" t="str">
        <v/>
      </c>
      <c r="I16600" s="4" t="str">
        <v/>
      </c>
    </row>
    <row r="16601" spans="5:9" ht="16.5" hidden="1">
      <c r="E16601" s="4" t="str">
        <v/>
      </c>
      <c r="F16601" s="102" t="str">
        <f ca="1">IFERROR(__xludf.DUMMYFUNCTION("IMPORTRANGE(H16601,""IDENTITAS UNIT!D9"")"),"#N/A")</f>
        <v>#N/A</v>
      </c>
      <c r="H16601" s="4" t="str">
        <v/>
      </c>
      <c r="I16601" s="4" t="str">
        <v/>
      </c>
    </row>
    <row r="16602" spans="5:9" ht="16.5" hidden="1">
      <c r="E16602" s="4" t="str">
        <v/>
      </c>
      <c r="F16602" s="102" t="str">
        <f ca="1">IFERROR(__xludf.DUMMYFUNCTION("IMPORTRANGE(H16602,""IDENTITAS UNIT!D9"")"),"#N/A")</f>
        <v>#N/A</v>
      </c>
      <c r="H16602" s="4" t="str">
        <v/>
      </c>
      <c r="I16602" s="4" t="str">
        <v/>
      </c>
    </row>
    <row r="16603" spans="5:9" ht="16.5" hidden="1">
      <c r="E16603" s="4" t="str">
        <v/>
      </c>
      <c r="F16603" s="102" t="str">
        <f ca="1">IFERROR(__xludf.DUMMYFUNCTION("IMPORTRANGE(H16603,""IDENTITAS UNIT!D9"")"),"#N/A")</f>
        <v>#N/A</v>
      </c>
      <c r="H16603" s="4" t="str">
        <v/>
      </c>
      <c r="I16603" s="4" t="str">
        <v/>
      </c>
    </row>
    <row r="16604" spans="5:9" ht="16.5" hidden="1">
      <c r="E16604" s="4" t="str">
        <v/>
      </c>
      <c r="F16604" s="102" t="str">
        <f ca="1">IFERROR(__xludf.DUMMYFUNCTION("IMPORTRANGE(H16604,""IDENTITAS UNIT!D9"")"),"#N/A")</f>
        <v>#N/A</v>
      </c>
      <c r="H16604" s="4" t="str">
        <v/>
      </c>
      <c r="I16604" s="4" t="str">
        <v/>
      </c>
    </row>
    <row r="16605" spans="5:9" ht="16.5" hidden="1">
      <c r="E16605" s="4" t="str">
        <v/>
      </c>
      <c r="F16605" s="102" t="str">
        <f ca="1">IFERROR(__xludf.DUMMYFUNCTION("IMPORTRANGE(H16605,""IDENTITAS UNIT!D9"")"),"#N/A")</f>
        <v>#N/A</v>
      </c>
      <c r="H16605" s="4" t="str">
        <v/>
      </c>
      <c r="I16605" s="4" t="str">
        <v/>
      </c>
    </row>
    <row r="16606" spans="5:9" ht="16.5" hidden="1">
      <c r="E16606" s="4" t="str">
        <v/>
      </c>
      <c r="F16606" s="102" t="str">
        <f ca="1">IFERROR(__xludf.DUMMYFUNCTION("IMPORTRANGE(H16606,""IDENTITAS UNIT!D9"")"),"#N/A")</f>
        <v>#N/A</v>
      </c>
      <c r="H16606" s="4" t="str">
        <v/>
      </c>
      <c r="I16606" s="4" t="str">
        <v/>
      </c>
    </row>
    <row r="16607" spans="5:9" ht="16.5" hidden="1">
      <c r="E16607" s="4" t="str">
        <v/>
      </c>
      <c r="F16607" s="102" t="str">
        <f ca="1">IFERROR(__xludf.DUMMYFUNCTION("IMPORTRANGE(H16607,""IDENTITAS UNIT!D9"")"),"#N/A")</f>
        <v>#N/A</v>
      </c>
      <c r="H16607" s="4" t="str">
        <v/>
      </c>
      <c r="I16607" s="4" t="str">
        <v/>
      </c>
    </row>
    <row r="16608" spans="5:9" ht="16.5" hidden="1">
      <c r="E16608" s="4" t="str">
        <v/>
      </c>
      <c r="F16608" s="102" t="str">
        <f ca="1">IFERROR(__xludf.DUMMYFUNCTION("IMPORTRANGE(H16608,""IDENTITAS UNIT!D9"")"),"#N/A")</f>
        <v>#N/A</v>
      </c>
      <c r="H16608" s="4" t="str">
        <v/>
      </c>
      <c r="I16608" s="4" t="str">
        <v/>
      </c>
    </row>
    <row r="16609" spans="5:9" ht="16.5" hidden="1">
      <c r="E16609" s="4" t="str">
        <v/>
      </c>
      <c r="F16609" s="102" t="str">
        <f ca="1">IFERROR(__xludf.DUMMYFUNCTION("IMPORTRANGE(H16609,""IDENTITAS UNIT!D9"")"),"#N/A")</f>
        <v>#N/A</v>
      </c>
      <c r="H16609" s="4" t="str">
        <v/>
      </c>
      <c r="I16609" s="4" t="str">
        <v/>
      </c>
    </row>
    <row r="16610" spans="5:9" ht="16.5" hidden="1">
      <c r="E16610" s="4" t="str">
        <v/>
      </c>
      <c r="F16610" s="102" t="str">
        <f ca="1">IFERROR(__xludf.DUMMYFUNCTION("IMPORTRANGE(H16610,""IDENTITAS UNIT!D9"")"),"#N/A")</f>
        <v>#N/A</v>
      </c>
      <c r="H16610" s="4" t="str">
        <v/>
      </c>
      <c r="I16610" s="4" t="str">
        <v/>
      </c>
    </row>
    <row r="16611" spans="5:9" ht="16.5" hidden="1">
      <c r="E16611" s="4" t="str">
        <v/>
      </c>
      <c r="F16611" s="102" t="str">
        <f ca="1">IFERROR(__xludf.DUMMYFUNCTION("IMPORTRANGE(H16611,""IDENTITAS UNIT!D9"")"),"#N/A")</f>
        <v>#N/A</v>
      </c>
      <c r="H16611" s="4" t="str">
        <v/>
      </c>
      <c r="I16611" s="4" t="str">
        <v/>
      </c>
    </row>
    <row r="16612" spans="5:9" ht="16.5" hidden="1">
      <c r="E16612" s="4" t="str">
        <v/>
      </c>
      <c r="F16612" s="102" t="str">
        <f ca="1">IFERROR(__xludf.DUMMYFUNCTION("IMPORTRANGE(H16612,""IDENTITAS UNIT!D9"")"),"#N/A")</f>
        <v>#N/A</v>
      </c>
      <c r="H16612" s="4" t="str">
        <v/>
      </c>
      <c r="I16612" s="4" t="str">
        <v/>
      </c>
    </row>
    <row r="16613" spans="5:9" ht="16.5" hidden="1">
      <c r="E16613" s="4" t="str">
        <v/>
      </c>
      <c r="F16613" s="102" t="str">
        <f ca="1">IFERROR(__xludf.DUMMYFUNCTION("IMPORTRANGE(H16613,""IDENTITAS UNIT!D9"")"),"#N/A")</f>
        <v>#N/A</v>
      </c>
      <c r="H16613" s="4" t="str">
        <v/>
      </c>
      <c r="I16613" s="4" t="str">
        <v/>
      </c>
    </row>
    <row r="16614" spans="5:9" ht="16.5" hidden="1">
      <c r="E16614" s="4" t="str">
        <v/>
      </c>
      <c r="F16614" s="102" t="str">
        <f ca="1">IFERROR(__xludf.DUMMYFUNCTION("IMPORTRANGE(H16614,""IDENTITAS UNIT!D9"")"),"#N/A")</f>
        <v>#N/A</v>
      </c>
      <c r="H16614" s="4" t="str">
        <v/>
      </c>
      <c r="I16614" s="4" t="str">
        <v/>
      </c>
    </row>
    <row r="16615" spans="5:9" ht="16.5" hidden="1">
      <c r="E16615" s="4" t="str">
        <v/>
      </c>
      <c r="F16615" s="102" t="str">
        <f ca="1">IFERROR(__xludf.DUMMYFUNCTION("IMPORTRANGE(H16615,""IDENTITAS UNIT!D9"")"),"#N/A")</f>
        <v>#N/A</v>
      </c>
      <c r="H16615" s="4" t="str">
        <v/>
      </c>
      <c r="I16615" s="4" t="str">
        <v/>
      </c>
    </row>
    <row r="16616" spans="5:9" ht="16.5" hidden="1">
      <c r="E16616" s="4" t="str">
        <v/>
      </c>
      <c r="F16616" s="102" t="str">
        <f ca="1">IFERROR(__xludf.DUMMYFUNCTION("IMPORTRANGE(H16616,""IDENTITAS UNIT!D9"")"),"#N/A")</f>
        <v>#N/A</v>
      </c>
      <c r="H16616" s="4" t="str">
        <v/>
      </c>
      <c r="I16616" s="4" t="str">
        <v/>
      </c>
    </row>
    <row r="16617" spans="5:9" ht="16.5" hidden="1">
      <c r="E16617" s="4" t="str">
        <v/>
      </c>
      <c r="F16617" s="102" t="str">
        <f ca="1">IFERROR(__xludf.DUMMYFUNCTION("IMPORTRANGE(H16617,""IDENTITAS UNIT!D9"")"),"#N/A")</f>
        <v>#N/A</v>
      </c>
      <c r="H16617" s="4" t="str">
        <v/>
      </c>
      <c r="I16617" s="4" t="str">
        <v/>
      </c>
    </row>
    <row r="16618" spans="5:9" ht="16.5" hidden="1">
      <c r="E16618" s="4" t="str">
        <v/>
      </c>
      <c r="F16618" s="102" t="str">
        <f ca="1">IFERROR(__xludf.DUMMYFUNCTION("IMPORTRANGE(H16618,""IDENTITAS UNIT!D9"")"),"#N/A")</f>
        <v>#N/A</v>
      </c>
      <c r="H16618" s="4" t="str">
        <v/>
      </c>
      <c r="I16618" s="4" t="str">
        <v/>
      </c>
    </row>
    <row r="16619" spans="5:9" ht="16.5" hidden="1">
      <c r="E16619" s="4" t="str">
        <v/>
      </c>
      <c r="F16619" s="102" t="str">
        <f ca="1">IFERROR(__xludf.DUMMYFUNCTION("IMPORTRANGE(H16619,""IDENTITAS UNIT!D9"")"),"#N/A")</f>
        <v>#N/A</v>
      </c>
      <c r="H16619" s="4" t="str">
        <v/>
      </c>
      <c r="I16619" s="4" t="str">
        <v/>
      </c>
    </row>
    <row r="16620" spans="5:9" ht="16.5" hidden="1">
      <c r="E16620" s="4" t="str">
        <v/>
      </c>
      <c r="F16620" s="102" t="str">
        <f ca="1">IFERROR(__xludf.DUMMYFUNCTION("IMPORTRANGE(H16620,""IDENTITAS UNIT!D9"")"),"#N/A")</f>
        <v>#N/A</v>
      </c>
      <c r="H16620" s="4" t="str">
        <v/>
      </c>
      <c r="I16620" s="4" t="str">
        <v/>
      </c>
    </row>
    <row r="16621" spans="5:9" ht="16.5" hidden="1">
      <c r="E16621" s="4" t="str">
        <v/>
      </c>
      <c r="F16621" s="102" t="str">
        <f ca="1">IFERROR(__xludf.DUMMYFUNCTION("IMPORTRANGE(H16621,""IDENTITAS UNIT!D9"")"),"#N/A")</f>
        <v>#N/A</v>
      </c>
      <c r="H16621" s="4" t="str">
        <v/>
      </c>
      <c r="I16621" s="4" t="str">
        <v/>
      </c>
    </row>
    <row r="16622" spans="5:9" ht="16.5" hidden="1">
      <c r="E16622" s="4" t="str">
        <v/>
      </c>
      <c r="F16622" s="102" t="str">
        <f ca="1">IFERROR(__xludf.DUMMYFUNCTION("IMPORTRANGE(H16622,""IDENTITAS UNIT!D9"")"),"#N/A")</f>
        <v>#N/A</v>
      </c>
      <c r="H16622" s="4" t="str">
        <v/>
      </c>
      <c r="I16622" s="4" t="str">
        <v/>
      </c>
    </row>
    <row r="16623" spans="5:9" ht="16.5" hidden="1">
      <c r="E16623" s="4" t="str">
        <v/>
      </c>
      <c r="F16623" s="102" t="str">
        <f ca="1">IFERROR(__xludf.DUMMYFUNCTION("IMPORTRANGE(H16623,""IDENTITAS UNIT!D9"")"),"#N/A")</f>
        <v>#N/A</v>
      </c>
      <c r="H16623" s="4" t="str">
        <v/>
      </c>
      <c r="I16623" s="4" t="str">
        <v/>
      </c>
    </row>
    <row r="16624" spans="5:9" ht="16.5" hidden="1">
      <c r="E16624" s="4" t="str">
        <v/>
      </c>
      <c r="F16624" s="102" t="str">
        <f ca="1">IFERROR(__xludf.DUMMYFUNCTION("IMPORTRANGE(H16624,""IDENTITAS UNIT!D9"")"),"#N/A")</f>
        <v>#N/A</v>
      </c>
      <c r="H16624" s="4" t="str">
        <v/>
      </c>
      <c r="I16624" s="4" t="str">
        <v/>
      </c>
    </row>
    <row r="16625" spans="5:9" ht="16.5" hidden="1">
      <c r="E16625" s="4" t="str">
        <v/>
      </c>
      <c r="F16625" s="102" t="str">
        <f ca="1">IFERROR(__xludf.DUMMYFUNCTION("IMPORTRANGE(H16625,""IDENTITAS UNIT!D9"")"),"#N/A")</f>
        <v>#N/A</v>
      </c>
      <c r="H16625" s="4" t="str">
        <v/>
      </c>
      <c r="I16625" s="4" t="str">
        <v/>
      </c>
    </row>
    <row r="16626" spans="5:9" ht="16.5" hidden="1">
      <c r="E16626" s="4" t="str">
        <v/>
      </c>
      <c r="F16626" s="102" t="str">
        <f ca="1">IFERROR(__xludf.DUMMYFUNCTION("IMPORTRANGE(H16626,""IDENTITAS UNIT!D9"")"),"#N/A")</f>
        <v>#N/A</v>
      </c>
      <c r="H16626" s="4" t="str">
        <v/>
      </c>
      <c r="I16626" s="4" t="str">
        <v/>
      </c>
    </row>
    <row r="16627" spans="5:9" ht="16.5" hidden="1">
      <c r="E16627" s="4" t="str">
        <v/>
      </c>
      <c r="F16627" s="102" t="str">
        <f ca="1">IFERROR(__xludf.DUMMYFUNCTION("IMPORTRANGE(H16627,""IDENTITAS UNIT!D9"")"),"#N/A")</f>
        <v>#N/A</v>
      </c>
      <c r="H16627" s="4" t="str">
        <v/>
      </c>
      <c r="I16627" s="4" t="str">
        <v/>
      </c>
    </row>
    <row r="16628" spans="5:9" ht="16.5" hidden="1">
      <c r="E16628" s="4" t="str">
        <v/>
      </c>
      <c r="F16628" s="102" t="str">
        <f ca="1">IFERROR(__xludf.DUMMYFUNCTION("IMPORTRANGE(H16628,""IDENTITAS UNIT!D9"")"),"#N/A")</f>
        <v>#N/A</v>
      </c>
      <c r="H16628" s="4" t="str">
        <v/>
      </c>
      <c r="I16628" s="4" t="str">
        <v/>
      </c>
    </row>
    <row r="16629" spans="5:9" ht="16.5" hidden="1">
      <c r="E16629" s="4" t="str">
        <v/>
      </c>
      <c r="F16629" s="102" t="str">
        <f ca="1">IFERROR(__xludf.DUMMYFUNCTION("IMPORTRANGE(H16629,""IDENTITAS UNIT!D9"")"),"#N/A")</f>
        <v>#N/A</v>
      </c>
      <c r="H16629" s="4" t="str">
        <v/>
      </c>
      <c r="I16629" s="4" t="str">
        <v/>
      </c>
    </row>
    <row r="16630" spans="5:9" ht="16.5" hidden="1">
      <c r="E16630" s="4" t="str">
        <v/>
      </c>
      <c r="F16630" s="102" t="str">
        <f ca="1">IFERROR(__xludf.DUMMYFUNCTION("IMPORTRANGE(H16630,""IDENTITAS UNIT!D9"")"),"#N/A")</f>
        <v>#N/A</v>
      </c>
      <c r="H16630" s="4" t="str">
        <v/>
      </c>
      <c r="I16630" s="4" t="str">
        <v/>
      </c>
    </row>
    <row r="16631" spans="5:9" ht="16.5" hidden="1">
      <c r="E16631" s="4" t="str">
        <v/>
      </c>
      <c r="F16631" s="102" t="str">
        <f ca="1">IFERROR(__xludf.DUMMYFUNCTION("IMPORTRANGE(H16631,""IDENTITAS UNIT!D9"")"),"#N/A")</f>
        <v>#N/A</v>
      </c>
      <c r="H16631" s="4" t="str">
        <v/>
      </c>
      <c r="I16631" s="4" t="str">
        <v/>
      </c>
    </row>
    <row r="16632" spans="5:9" ht="16.5" hidden="1">
      <c r="E16632" s="4" t="str">
        <v/>
      </c>
      <c r="F16632" s="102" t="str">
        <f ca="1">IFERROR(__xludf.DUMMYFUNCTION("IMPORTRANGE(H16632,""IDENTITAS UNIT!D9"")"),"#N/A")</f>
        <v>#N/A</v>
      </c>
      <c r="H16632" s="4" t="str">
        <v/>
      </c>
      <c r="I16632" s="4" t="str">
        <v/>
      </c>
    </row>
    <row r="16633" spans="5:9" ht="16.5" hidden="1">
      <c r="E16633" s="4" t="str">
        <v/>
      </c>
      <c r="F16633" s="102" t="str">
        <f ca="1">IFERROR(__xludf.DUMMYFUNCTION("IMPORTRANGE(H16633,""IDENTITAS UNIT!D9"")"),"#N/A")</f>
        <v>#N/A</v>
      </c>
      <c r="H16633" s="4" t="str">
        <v/>
      </c>
      <c r="I16633" s="4" t="str">
        <v/>
      </c>
    </row>
    <row r="16634" spans="5:9" ht="16.5" hidden="1">
      <c r="E16634" s="4" t="str">
        <v/>
      </c>
      <c r="F16634" s="102" t="str">
        <f ca="1">IFERROR(__xludf.DUMMYFUNCTION("IMPORTRANGE(H16634,""IDENTITAS UNIT!D9"")"),"#N/A")</f>
        <v>#N/A</v>
      </c>
      <c r="H16634" s="4" t="str">
        <v/>
      </c>
      <c r="I16634" s="4" t="str">
        <v/>
      </c>
    </row>
    <row r="16635" spans="5:9" ht="16.5" hidden="1">
      <c r="E16635" s="4" t="str">
        <v/>
      </c>
      <c r="F16635" s="102" t="str">
        <f ca="1">IFERROR(__xludf.DUMMYFUNCTION("IMPORTRANGE(H16635,""IDENTITAS UNIT!D9"")"),"#N/A")</f>
        <v>#N/A</v>
      </c>
      <c r="H16635" s="4" t="str">
        <v/>
      </c>
      <c r="I16635" s="4" t="str">
        <v/>
      </c>
    </row>
    <row r="16636" spans="5:9" ht="16.5" hidden="1">
      <c r="E16636" s="4" t="str">
        <v/>
      </c>
      <c r="F16636" s="102" t="str">
        <f ca="1">IFERROR(__xludf.DUMMYFUNCTION("IMPORTRANGE(H16636,""IDENTITAS UNIT!D9"")"),"#N/A")</f>
        <v>#N/A</v>
      </c>
      <c r="H16636" s="4" t="str">
        <v/>
      </c>
      <c r="I16636" s="4" t="str">
        <v/>
      </c>
    </row>
    <row r="16637" spans="5:9" ht="16.5" hidden="1">
      <c r="E16637" s="4" t="str">
        <v/>
      </c>
      <c r="F16637" s="102" t="str">
        <f ca="1">IFERROR(__xludf.DUMMYFUNCTION("IMPORTRANGE(H16637,""IDENTITAS UNIT!D9"")"),"#N/A")</f>
        <v>#N/A</v>
      </c>
      <c r="H16637" s="4" t="str">
        <v/>
      </c>
      <c r="I16637" s="4" t="str">
        <v/>
      </c>
    </row>
    <row r="16638" spans="5:9" ht="16.5" hidden="1">
      <c r="E16638" s="4" t="str">
        <v/>
      </c>
      <c r="F16638" s="102" t="str">
        <f ca="1">IFERROR(__xludf.DUMMYFUNCTION("IMPORTRANGE(H16638,""IDENTITAS UNIT!D9"")"),"#N/A")</f>
        <v>#N/A</v>
      </c>
      <c r="H16638" s="4" t="str">
        <v/>
      </c>
      <c r="I16638" s="4" t="str">
        <v/>
      </c>
    </row>
    <row r="16639" spans="5:9" ht="16.5" hidden="1">
      <c r="E16639" s="4" t="str">
        <v/>
      </c>
      <c r="F16639" s="102" t="str">
        <f ca="1">IFERROR(__xludf.DUMMYFUNCTION("IMPORTRANGE(H16639,""IDENTITAS UNIT!D9"")"),"#N/A")</f>
        <v>#N/A</v>
      </c>
      <c r="H16639" s="4" t="str">
        <v/>
      </c>
      <c r="I16639" s="4" t="str">
        <v/>
      </c>
    </row>
    <row r="16640" spans="5:9" ht="16.5" hidden="1">
      <c r="E16640" s="4" t="str">
        <v/>
      </c>
      <c r="F16640" s="102" t="str">
        <f ca="1">IFERROR(__xludf.DUMMYFUNCTION("IMPORTRANGE(H16640,""IDENTITAS UNIT!D9"")"),"#N/A")</f>
        <v>#N/A</v>
      </c>
      <c r="H16640" s="4" t="str">
        <v/>
      </c>
      <c r="I16640" s="4" t="str">
        <v/>
      </c>
    </row>
    <row r="16641" spans="5:9" ht="16.5" hidden="1">
      <c r="E16641" s="4" t="str">
        <v/>
      </c>
      <c r="F16641" s="102" t="str">
        <f ca="1">IFERROR(__xludf.DUMMYFUNCTION("IMPORTRANGE(H16641,""IDENTITAS UNIT!D9"")"),"#N/A")</f>
        <v>#N/A</v>
      </c>
      <c r="H16641" s="4" t="str">
        <v/>
      </c>
      <c r="I16641" s="4" t="str">
        <v/>
      </c>
    </row>
    <row r="16642" spans="5:9" ht="16.5" hidden="1">
      <c r="E16642" s="4" t="str">
        <v/>
      </c>
      <c r="F16642" s="102" t="str">
        <f ca="1">IFERROR(__xludf.DUMMYFUNCTION("IMPORTRANGE(H16642,""IDENTITAS UNIT!D9"")"),"#N/A")</f>
        <v>#N/A</v>
      </c>
      <c r="H16642" s="4" t="str">
        <v/>
      </c>
      <c r="I16642" s="4" t="str">
        <v/>
      </c>
    </row>
    <row r="16643" spans="5:9" ht="16.5" hidden="1">
      <c r="E16643" s="4" t="str">
        <v/>
      </c>
      <c r="F16643" s="102" t="str">
        <f ca="1">IFERROR(__xludf.DUMMYFUNCTION("IMPORTRANGE(H16643,""IDENTITAS UNIT!D9"")"),"#N/A")</f>
        <v>#N/A</v>
      </c>
      <c r="H16643" s="4" t="str">
        <v/>
      </c>
      <c r="I16643" s="4" t="str">
        <v/>
      </c>
    </row>
    <row r="16644" spans="5:9" ht="16.5" hidden="1">
      <c r="E16644" s="4" t="str">
        <v/>
      </c>
      <c r="F16644" s="102" t="str">
        <f ca="1">IFERROR(__xludf.DUMMYFUNCTION("IMPORTRANGE(H16644,""IDENTITAS UNIT!D9"")"),"#N/A")</f>
        <v>#N/A</v>
      </c>
      <c r="H16644" s="4" t="str">
        <v/>
      </c>
      <c r="I16644" s="4" t="str">
        <v/>
      </c>
    </row>
    <row r="16645" spans="5:9" ht="16.5" hidden="1">
      <c r="E16645" s="4" t="str">
        <v/>
      </c>
      <c r="F16645" s="102" t="str">
        <f ca="1">IFERROR(__xludf.DUMMYFUNCTION("IMPORTRANGE(H16645,""IDENTITAS UNIT!D9"")"),"#N/A")</f>
        <v>#N/A</v>
      </c>
      <c r="H16645" s="4" t="str">
        <v/>
      </c>
      <c r="I16645" s="4" t="str">
        <v/>
      </c>
    </row>
    <row r="16646" spans="5:9" ht="16.5" hidden="1">
      <c r="E16646" s="4" t="str">
        <v/>
      </c>
      <c r="F16646" s="102" t="str">
        <f ca="1">IFERROR(__xludf.DUMMYFUNCTION("IMPORTRANGE(H16646,""IDENTITAS UNIT!D9"")"),"#N/A")</f>
        <v>#N/A</v>
      </c>
      <c r="H16646" s="4" t="str">
        <v/>
      </c>
      <c r="I16646" s="4" t="str">
        <v/>
      </c>
    </row>
    <row r="16647" spans="5:9" ht="16.5" hidden="1">
      <c r="E16647" s="4" t="str">
        <v/>
      </c>
      <c r="F16647" s="102" t="str">
        <f ca="1">IFERROR(__xludf.DUMMYFUNCTION("IMPORTRANGE(H16647,""IDENTITAS UNIT!D9"")"),"#N/A")</f>
        <v>#N/A</v>
      </c>
      <c r="H16647" s="4" t="str">
        <v/>
      </c>
      <c r="I16647" s="4" t="str">
        <v/>
      </c>
    </row>
    <row r="16648" spans="5:9" ht="16.5" hidden="1">
      <c r="E16648" s="4" t="str">
        <v/>
      </c>
      <c r="F16648" s="102" t="str">
        <f ca="1">IFERROR(__xludf.DUMMYFUNCTION("IMPORTRANGE(H16648,""IDENTITAS UNIT!D9"")"),"#N/A")</f>
        <v>#N/A</v>
      </c>
      <c r="H16648" s="4" t="str">
        <v/>
      </c>
      <c r="I16648" s="4" t="str">
        <v/>
      </c>
    </row>
    <row r="16649" spans="5:9" ht="16.5" hidden="1">
      <c r="E16649" s="4" t="str">
        <v/>
      </c>
      <c r="F16649" s="102" t="str">
        <f ca="1">IFERROR(__xludf.DUMMYFUNCTION("IMPORTRANGE(H16649,""IDENTITAS UNIT!D9"")"),"#N/A")</f>
        <v>#N/A</v>
      </c>
      <c r="H16649" s="4" t="str">
        <v/>
      </c>
      <c r="I16649" s="4" t="str">
        <v/>
      </c>
    </row>
    <row r="16650" spans="5:9" ht="16.5" hidden="1">
      <c r="E16650" s="4" t="str">
        <v/>
      </c>
      <c r="F16650" s="102" t="str">
        <f ca="1">IFERROR(__xludf.DUMMYFUNCTION("IMPORTRANGE(H16650,""IDENTITAS UNIT!D9"")"),"#N/A")</f>
        <v>#N/A</v>
      </c>
      <c r="H16650" s="4" t="str">
        <v/>
      </c>
      <c r="I16650" s="4" t="str">
        <v/>
      </c>
    </row>
    <row r="16651" spans="5:9" ht="16.5" hidden="1">
      <c r="E16651" s="4" t="str">
        <v/>
      </c>
      <c r="F16651" s="102" t="str">
        <f ca="1">IFERROR(__xludf.DUMMYFUNCTION("IMPORTRANGE(H16651,""IDENTITAS UNIT!D9"")"),"#N/A")</f>
        <v>#N/A</v>
      </c>
      <c r="H16651" s="4" t="str">
        <v/>
      </c>
      <c r="I16651" s="4" t="str">
        <v/>
      </c>
    </row>
    <row r="16652" spans="5:9" ht="16.5" hidden="1">
      <c r="E16652" s="4" t="str">
        <v/>
      </c>
      <c r="F16652" s="102" t="str">
        <f ca="1">IFERROR(__xludf.DUMMYFUNCTION("IMPORTRANGE(H16652,""IDENTITAS UNIT!D9"")"),"#N/A")</f>
        <v>#N/A</v>
      </c>
      <c r="H16652" s="4" t="str">
        <v/>
      </c>
      <c r="I16652" s="4" t="str">
        <v/>
      </c>
    </row>
    <row r="16653" spans="5:9" ht="16.5" hidden="1">
      <c r="E16653" s="4" t="str">
        <v/>
      </c>
      <c r="F16653" s="102" t="str">
        <f ca="1">IFERROR(__xludf.DUMMYFUNCTION("IMPORTRANGE(H16653,""IDENTITAS UNIT!D9"")"),"#N/A")</f>
        <v>#N/A</v>
      </c>
      <c r="H16653" s="4" t="str">
        <v/>
      </c>
      <c r="I16653" s="4" t="str">
        <v/>
      </c>
    </row>
    <row r="16654" spans="5:9" ht="16.5" hidden="1">
      <c r="E16654" s="4" t="str">
        <v/>
      </c>
      <c r="F16654" s="102" t="str">
        <f ca="1">IFERROR(__xludf.DUMMYFUNCTION("IMPORTRANGE(H16654,""IDENTITAS UNIT!D9"")"),"#N/A")</f>
        <v>#N/A</v>
      </c>
      <c r="H16654" s="4" t="str">
        <v/>
      </c>
      <c r="I16654" s="4" t="str">
        <v/>
      </c>
    </row>
    <row r="16655" spans="5:9" ht="16.5" hidden="1">
      <c r="E16655" s="4" t="str">
        <v/>
      </c>
      <c r="F16655" s="102" t="str">
        <f ca="1">IFERROR(__xludf.DUMMYFUNCTION("IMPORTRANGE(H16655,""IDENTITAS UNIT!D9"")"),"#N/A")</f>
        <v>#N/A</v>
      </c>
      <c r="H16655" s="4" t="str">
        <v/>
      </c>
      <c r="I16655" s="4" t="str">
        <v/>
      </c>
    </row>
    <row r="16656" spans="5:9" ht="16.5" hidden="1">
      <c r="E16656" s="4" t="str">
        <v/>
      </c>
      <c r="F16656" s="102" t="str">
        <f ca="1">IFERROR(__xludf.DUMMYFUNCTION("IMPORTRANGE(H16656,""IDENTITAS UNIT!D9"")"),"#N/A")</f>
        <v>#N/A</v>
      </c>
      <c r="H16656" s="4" t="str">
        <v/>
      </c>
      <c r="I16656" s="4" t="str">
        <v/>
      </c>
    </row>
    <row r="16657" spans="5:9" ht="16.5" hidden="1">
      <c r="E16657" s="4" t="str">
        <v/>
      </c>
      <c r="F16657" s="102" t="str">
        <f ca="1">IFERROR(__xludf.DUMMYFUNCTION("IMPORTRANGE(H16657,""IDENTITAS UNIT!D9"")"),"#N/A")</f>
        <v>#N/A</v>
      </c>
      <c r="H16657" s="4" t="str">
        <v/>
      </c>
      <c r="I16657" s="4" t="str">
        <v/>
      </c>
    </row>
    <row r="16658" spans="5:9" ht="16.5" hidden="1">
      <c r="E16658" s="4" t="str">
        <v/>
      </c>
      <c r="F16658" s="102" t="str">
        <f ca="1">IFERROR(__xludf.DUMMYFUNCTION("IMPORTRANGE(H16658,""IDENTITAS UNIT!D9"")"),"#N/A")</f>
        <v>#N/A</v>
      </c>
      <c r="H16658" s="4" t="str">
        <v/>
      </c>
      <c r="I16658" s="4" t="str">
        <v/>
      </c>
    </row>
    <row r="16659" spans="5:9" ht="16.5" hidden="1">
      <c r="E16659" s="4" t="str">
        <v/>
      </c>
      <c r="F16659" s="102" t="str">
        <f ca="1">IFERROR(__xludf.DUMMYFUNCTION("IMPORTRANGE(H16659,""IDENTITAS UNIT!D9"")"),"#N/A")</f>
        <v>#N/A</v>
      </c>
      <c r="H16659" s="4" t="str">
        <v/>
      </c>
      <c r="I16659" s="4" t="str">
        <v/>
      </c>
    </row>
    <row r="16660" spans="5:9" ht="16.5" hidden="1">
      <c r="E16660" s="4" t="str">
        <v/>
      </c>
      <c r="F16660" s="102" t="str">
        <f ca="1">IFERROR(__xludf.DUMMYFUNCTION("IMPORTRANGE(H16660,""IDENTITAS UNIT!D9"")"),"#N/A")</f>
        <v>#N/A</v>
      </c>
      <c r="H16660" s="4" t="str">
        <v/>
      </c>
      <c r="I16660" s="4" t="str">
        <v/>
      </c>
    </row>
    <row r="16661" spans="5:9" ht="16.5" hidden="1">
      <c r="E16661" s="4" t="str">
        <v/>
      </c>
      <c r="F16661" s="102" t="str">
        <f ca="1">IFERROR(__xludf.DUMMYFUNCTION("IMPORTRANGE(H16661,""IDENTITAS UNIT!D9"")"),"#N/A")</f>
        <v>#N/A</v>
      </c>
      <c r="H16661" s="4" t="str">
        <v/>
      </c>
      <c r="I16661" s="4" t="str">
        <v/>
      </c>
    </row>
    <row r="16662" spans="5:9" ht="16.5" hidden="1">
      <c r="E16662" s="4" t="str">
        <v/>
      </c>
      <c r="F16662" s="102" t="str">
        <f ca="1">IFERROR(__xludf.DUMMYFUNCTION("IMPORTRANGE(H16662,""IDENTITAS UNIT!D9"")"),"#N/A")</f>
        <v>#N/A</v>
      </c>
      <c r="H16662" s="4" t="str">
        <v/>
      </c>
      <c r="I16662" s="4" t="str">
        <v/>
      </c>
    </row>
    <row r="16663" spans="5:9" ht="16.5" hidden="1">
      <c r="E16663" s="4" t="str">
        <v/>
      </c>
      <c r="F16663" s="102" t="str">
        <f ca="1">IFERROR(__xludf.DUMMYFUNCTION("IMPORTRANGE(H16663,""IDENTITAS UNIT!D9"")"),"#N/A")</f>
        <v>#N/A</v>
      </c>
      <c r="H16663" s="4" t="str">
        <v/>
      </c>
      <c r="I16663" s="4" t="str">
        <v/>
      </c>
    </row>
    <row r="16664" spans="5:9" ht="16.5" hidden="1">
      <c r="E16664" s="4" t="str">
        <v/>
      </c>
      <c r="F16664" s="102" t="str">
        <f ca="1">IFERROR(__xludf.DUMMYFUNCTION("IMPORTRANGE(H16664,""IDENTITAS UNIT!D9"")"),"#N/A")</f>
        <v>#N/A</v>
      </c>
      <c r="H16664" s="4" t="str">
        <v/>
      </c>
      <c r="I16664" s="4" t="str">
        <v/>
      </c>
    </row>
    <row r="16665" spans="5:9" ht="16.5" hidden="1">
      <c r="E16665" s="4" t="str">
        <v/>
      </c>
      <c r="F16665" s="102" t="str">
        <f ca="1">IFERROR(__xludf.DUMMYFUNCTION("IMPORTRANGE(H16665,""IDENTITAS UNIT!D9"")"),"#N/A")</f>
        <v>#N/A</v>
      </c>
      <c r="H16665" s="4" t="str">
        <v/>
      </c>
      <c r="I16665" s="4" t="str">
        <v/>
      </c>
    </row>
    <row r="16666" spans="5:9" ht="16.5" hidden="1">
      <c r="E16666" s="4" t="str">
        <v/>
      </c>
      <c r="F16666" s="102" t="str">
        <f ca="1">IFERROR(__xludf.DUMMYFUNCTION("IMPORTRANGE(H16666,""IDENTITAS UNIT!D9"")"),"#N/A")</f>
        <v>#N/A</v>
      </c>
      <c r="H16666" s="4" t="str">
        <v/>
      </c>
      <c r="I16666" s="4" t="str">
        <v/>
      </c>
    </row>
    <row r="16667" spans="5:9" ht="16.5" hidden="1">
      <c r="E16667" s="4" t="str">
        <v/>
      </c>
      <c r="F16667" s="102" t="str">
        <f ca="1">IFERROR(__xludf.DUMMYFUNCTION("IMPORTRANGE(H16667,""IDENTITAS UNIT!D9"")"),"#N/A")</f>
        <v>#N/A</v>
      </c>
      <c r="H16667" s="4" t="str">
        <v/>
      </c>
      <c r="I16667" s="4" t="str">
        <v/>
      </c>
    </row>
    <row r="16668" spans="5:9" ht="16.5" hidden="1">
      <c r="E16668" s="4" t="str">
        <v/>
      </c>
      <c r="F16668" s="102" t="str">
        <f ca="1">IFERROR(__xludf.DUMMYFUNCTION("IMPORTRANGE(H16668,""IDENTITAS UNIT!D9"")"),"#N/A")</f>
        <v>#N/A</v>
      </c>
      <c r="H16668" s="4" t="str">
        <v/>
      </c>
      <c r="I16668" s="4" t="str">
        <v/>
      </c>
    </row>
    <row r="16669" spans="5:9" ht="16.5" hidden="1">
      <c r="E16669" s="4" t="str">
        <v/>
      </c>
      <c r="F16669" s="102" t="str">
        <f ca="1">IFERROR(__xludf.DUMMYFUNCTION("IMPORTRANGE(H16669,""IDENTITAS UNIT!D9"")"),"#N/A")</f>
        <v>#N/A</v>
      </c>
      <c r="H16669" s="4" t="str">
        <v/>
      </c>
      <c r="I16669" s="4" t="str">
        <v/>
      </c>
    </row>
    <row r="16670" spans="5:9" ht="16.5" hidden="1">
      <c r="E16670" s="4" t="str">
        <v/>
      </c>
      <c r="F16670" s="102" t="str">
        <f ca="1">IFERROR(__xludf.DUMMYFUNCTION("IMPORTRANGE(H16670,""IDENTITAS UNIT!D9"")"),"#N/A")</f>
        <v>#N/A</v>
      </c>
      <c r="H16670" s="4" t="str">
        <v/>
      </c>
      <c r="I16670" s="4" t="str">
        <v/>
      </c>
    </row>
    <row r="16671" spans="5:9" ht="16.5" hidden="1">
      <c r="E16671" s="4" t="str">
        <v/>
      </c>
      <c r="F16671" s="102" t="str">
        <f ca="1">IFERROR(__xludf.DUMMYFUNCTION("IMPORTRANGE(H16671,""IDENTITAS UNIT!D9"")"),"#N/A")</f>
        <v>#N/A</v>
      </c>
      <c r="H16671" s="4" t="str">
        <v/>
      </c>
      <c r="I16671" s="4" t="str">
        <v/>
      </c>
    </row>
    <row r="16672" spans="5:9" ht="16.5" hidden="1">
      <c r="E16672" s="4" t="str">
        <v/>
      </c>
      <c r="F16672" s="102" t="str">
        <f ca="1">IFERROR(__xludf.DUMMYFUNCTION("IMPORTRANGE(H16672,""IDENTITAS UNIT!D9"")"),"#N/A")</f>
        <v>#N/A</v>
      </c>
      <c r="H16672" s="4" t="str">
        <v/>
      </c>
      <c r="I16672" s="4" t="str">
        <v/>
      </c>
    </row>
    <row r="16673" spans="5:9" ht="16.5" hidden="1">
      <c r="E16673" s="4" t="str">
        <v/>
      </c>
      <c r="F16673" s="102" t="str">
        <f ca="1">IFERROR(__xludf.DUMMYFUNCTION("IMPORTRANGE(H16673,""IDENTITAS UNIT!D9"")"),"#N/A")</f>
        <v>#N/A</v>
      </c>
      <c r="H16673" s="4" t="str">
        <v/>
      </c>
      <c r="I16673" s="4" t="str">
        <v/>
      </c>
    </row>
    <row r="16674" spans="5:9" ht="16.5" hidden="1">
      <c r="E16674" s="4" t="str">
        <v/>
      </c>
      <c r="F16674" s="102" t="str">
        <f ca="1">IFERROR(__xludf.DUMMYFUNCTION("IMPORTRANGE(H16674,""IDENTITAS UNIT!D9"")"),"#N/A")</f>
        <v>#N/A</v>
      </c>
      <c r="H16674" s="4" t="str">
        <v/>
      </c>
      <c r="I16674" s="4" t="str">
        <v/>
      </c>
    </row>
    <row r="16675" spans="5:9" ht="16.5" hidden="1">
      <c r="E16675" s="4" t="str">
        <v/>
      </c>
      <c r="F16675" s="102" t="str">
        <f ca="1">IFERROR(__xludf.DUMMYFUNCTION("IMPORTRANGE(H16675,""IDENTITAS UNIT!D9"")"),"#N/A")</f>
        <v>#N/A</v>
      </c>
      <c r="H16675" s="4" t="str">
        <v/>
      </c>
      <c r="I16675" s="4" t="str">
        <v/>
      </c>
    </row>
    <row r="16676" spans="5:9" ht="16.5" hidden="1">
      <c r="E16676" s="4" t="str">
        <v/>
      </c>
      <c r="F16676" s="102" t="str">
        <f ca="1">IFERROR(__xludf.DUMMYFUNCTION("IMPORTRANGE(H16676,""IDENTITAS UNIT!D9"")"),"#N/A")</f>
        <v>#N/A</v>
      </c>
      <c r="H16676" s="4" t="str">
        <v/>
      </c>
      <c r="I16676" s="4" t="str">
        <v/>
      </c>
    </row>
    <row r="16677" spans="5:9" ht="16.5" hidden="1">
      <c r="E16677" s="4" t="str">
        <v/>
      </c>
      <c r="F16677" s="102" t="str">
        <f ca="1">IFERROR(__xludf.DUMMYFUNCTION("IMPORTRANGE(H16677,""IDENTITAS UNIT!D9"")"),"#N/A")</f>
        <v>#N/A</v>
      </c>
      <c r="H16677" s="4" t="str">
        <v/>
      </c>
      <c r="I16677" s="4" t="str">
        <v/>
      </c>
    </row>
    <row r="16678" spans="5:9" ht="16.5" hidden="1">
      <c r="E16678" s="4" t="str">
        <v/>
      </c>
      <c r="F16678" s="102" t="str">
        <f ca="1">IFERROR(__xludf.DUMMYFUNCTION("IMPORTRANGE(H16678,""IDENTITAS UNIT!D9"")"),"#N/A")</f>
        <v>#N/A</v>
      </c>
      <c r="H16678" s="4" t="str">
        <v/>
      </c>
      <c r="I16678" s="4" t="str">
        <v/>
      </c>
    </row>
    <row r="16679" spans="5:9" ht="16.5" hidden="1">
      <c r="E16679" s="4" t="str">
        <v/>
      </c>
      <c r="F16679" s="102" t="str">
        <f ca="1">IFERROR(__xludf.DUMMYFUNCTION("IMPORTRANGE(H16679,""IDENTITAS UNIT!D9"")"),"#N/A")</f>
        <v>#N/A</v>
      </c>
      <c r="H16679" s="4" t="str">
        <v/>
      </c>
      <c r="I16679" s="4" t="str">
        <v/>
      </c>
    </row>
    <row r="16680" spans="5:9" ht="16.5" hidden="1">
      <c r="E16680" s="4" t="str">
        <v/>
      </c>
      <c r="F16680" s="102" t="str">
        <f ca="1">IFERROR(__xludf.DUMMYFUNCTION("IMPORTRANGE(H16680,""IDENTITAS UNIT!D9"")"),"#N/A")</f>
        <v>#N/A</v>
      </c>
      <c r="H16680" s="4" t="str">
        <v/>
      </c>
      <c r="I16680" s="4" t="str">
        <v/>
      </c>
    </row>
    <row r="16681" spans="5:9" ht="16.5" hidden="1">
      <c r="E16681" s="4" t="str">
        <v/>
      </c>
      <c r="F16681" s="102" t="str">
        <f ca="1">IFERROR(__xludf.DUMMYFUNCTION("IMPORTRANGE(H16681,""IDENTITAS UNIT!D9"")"),"#N/A")</f>
        <v>#N/A</v>
      </c>
      <c r="H16681" s="4" t="str">
        <v/>
      </c>
      <c r="I16681" s="4" t="str">
        <v/>
      </c>
    </row>
    <row r="16682" spans="5:9" ht="16.5" hidden="1">
      <c r="E16682" s="4" t="str">
        <v/>
      </c>
      <c r="F16682" s="102" t="str">
        <f ca="1">IFERROR(__xludf.DUMMYFUNCTION("IMPORTRANGE(H16682,""IDENTITAS UNIT!D9"")"),"#N/A")</f>
        <v>#N/A</v>
      </c>
      <c r="H16682" s="4" t="str">
        <v/>
      </c>
      <c r="I16682" s="4" t="str">
        <v/>
      </c>
    </row>
    <row r="16683" spans="5:9" ht="16.5" hidden="1">
      <c r="E16683" s="4" t="str">
        <v/>
      </c>
      <c r="F16683" s="102" t="str">
        <f ca="1">IFERROR(__xludf.DUMMYFUNCTION("IMPORTRANGE(H16683,""IDENTITAS UNIT!D9"")"),"#N/A")</f>
        <v>#N/A</v>
      </c>
      <c r="H16683" s="4" t="str">
        <v/>
      </c>
      <c r="I16683" s="4" t="str">
        <v/>
      </c>
    </row>
    <row r="16684" spans="5:9" ht="16.5" hidden="1">
      <c r="E16684" s="4" t="str">
        <v/>
      </c>
      <c r="F16684" s="102" t="str">
        <f ca="1">IFERROR(__xludf.DUMMYFUNCTION("IMPORTRANGE(H16684,""IDENTITAS UNIT!D9"")"),"#N/A")</f>
        <v>#N/A</v>
      </c>
      <c r="H16684" s="4" t="str">
        <v/>
      </c>
      <c r="I16684" s="4" t="str">
        <v/>
      </c>
    </row>
    <row r="16685" spans="5:9" ht="16.5" hidden="1">
      <c r="E16685" s="4" t="str">
        <v/>
      </c>
      <c r="F16685" s="102" t="str">
        <f ca="1">IFERROR(__xludf.DUMMYFUNCTION("IMPORTRANGE(H16685,""IDENTITAS UNIT!D9"")"),"#N/A")</f>
        <v>#N/A</v>
      </c>
      <c r="H16685" s="4" t="str">
        <v/>
      </c>
      <c r="I16685" s="4" t="str">
        <v/>
      </c>
    </row>
    <row r="16686" spans="5:9" ht="16.5" hidden="1">
      <c r="E16686" s="4" t="str">
        <v/>
      </c>
      <c r="F16686" s="102" t="str">
        <f ca="1">IFERROR(__xludf.DUMMYFUNCTION("IMPORTRANGE(H16686,""IDENTITAS UNIT!D9"")"),"#N/A")</f>
        <v>#N/A</v>
      </c>
      <c r="H16686" s="4" t="str">
        <v/>
      </c>
      <c r="I16686" s="4" t="str">
        <v/>
      </c>
    </row>
    <row r="16687" spans="5:9" ht="16.5" hidden="1">
      <c r="E16687" s="4" t="str">
        <v/>
      </c>
      <c r="F16687" s="102" t="str">
        <f ca="1">IFERROR(__xludf.DUMMYFUNCTION("IMPORTRANGE(H16687,""IDENTITAS UNIT!D9"")"),"#N/A")</f>
        <v>#N/A</v>
      </c>
      <c r="H16687" s="4" t="str">
        <v/>
      </c>
      <c r="I16687" s="4" t="str">
        <v/>
      </c>
    </row>
    <row r="16688" spans="5:9" ht="16.5" hidden="1">
      <c r="E16688" s="4" t="str">
        <v/>
      </c>
      <c r="F16688" s="102" t="str">
        <f ca="1">IFERROR(__xludf.DUMMYFUNCTION("IMPORTRANGE(H16688,""IDENTITAS UNIT!D9"")"),"#N/A")</f>
        <v>#N/A</v>
      </c>
      <c r="H16688" s="4" t="str">
        <v/>
      </c>
      <c r="I16688" s="4" t="str">
        <v/>
      </c>
    </row>
    <row r="16689" spans="5:9" ht="16.5" hidden="1">
      <c r="E16689" s="4" t="str">
        <v/>
      </c>
      <c r="F16689" s="102" t="str">
        <f ca="1">IFERROR(__xludf.DUMMYFUNCTION("IMPORTRANGE(H16689,""IDENTITAS UNIT!D9"")"),"#N/A")</f>
        <v>#N/A</v>
      </c>
      <c r="H16689" s="4" t="str">
        <v/>
      </c>
      <c r="I16689" s="4" t="str">
        <v/>
      </c>
    </row>
    <row r="16690" spans="5:9" ht="16.5" hidden="1">
      <c r="E16690" s="4" t="str">
        <v/>
      </c>
      <c r="F16690" s="102" t="str">
        <f ca="1">IFERROR(__xludf.DUMMYFUNCTION("IMPORTRANGE(H16690,""IDENTITAS UNIT!D9"")"),"#N/A")</f>
        <v>#N/A</v>
      </c>
      <c r="H16690" s="4" t="str">
        <v/>
      </c>
      <c r="I16690" s="4" t="str">
        <v/>
      </c>
    </row>
    <row r="16691" spans="5:9" ht="16.5" hidden="1">
      <c r="E16691" s="4" t="str">
        <v/>
      </c>
      <c r="F16691" s="102" t="str">
        <f ca="1">IFERROR(__xludf.DUMMYFUNCTION("IMPORTRANGE(H16691,""IDENTITAS UNIT!D9"")"),"#N/A")</f>
        <v>#N/A</v>
      </c>
      <c r="H16691" s="4" t="str">
        <v/>
      </c>
      <c r="I16691" s="4" t="str">
        <v/>
      </c>
    </row>
    <row r="16692" spans="5:9" ht="16.5" hidden="1">
      <c r="E16692" s="4" t="str">
        <v/>
      </c>
      <c r="F16692" s="102" t="str">
        <f ca="1">IFERROR(__xludf.DUMMYFUNCTION("IMPORTRANGE(H16692,""IDENTITAS UNIT!D9"")"),"#N/A")</f>
        <v>#N/A</v>
      </c>
      <c r="H16692" s="4" t="str">
        <v/>
      </c>
      <c r="I16692" s="4" t="str">
        <v/>
      </c>
    </row>
    <row r="16693" spans="5:9" ht="16.5" hidden="1">
      <c r="E16693" s="4" t="str">
        <v/>
      </c>
      <c r="F16693" s="102" t="str">
        <f ca="1">IFERROR(__xludf.DUMMYFUNCTION("IMPORTRANGE(H16693,""IDENTITAS UNIT!D9"")"),"#N/A")</f>
        <v>#N/A</v>
      </c>
      <c r="H16693" s="4" t="str">
        <v/>
      </c>
      <c r="I16693" s="4" t="str">
        <v/>
      </c>
    </row>
    <row r="16694" spans="5:9" ht="16.5" hidden="1">
      <c r="E16694" s="4" t="str">
        <v/>
      </c>
      <c r="F16694" s="102" t="str">
        <f ca="1">IFERROR(__xludf.DUMMYFUNCTION("IMPORTRANGE(H16694,""IDENTITAS UNIT!D9"")"),"#N/A")</f>
        <v>#N/A</v>
      </c>
      <c r="H16694" s="4" t="str">
        <v/>
      </c>
      <c r="I16694" s="4" t="str">
        <v/>
      </c>
    </row>
    <row r="16695" spans="5:9" ht="16.5" hidden="1">
      <c r="E16695" s="4" t="str">
        <v/>
      </c>
      <c r="F16695" s="102" t="str">
        <f ca="1">IFERROR(__xludf.DUMMYFUNCTION("IMPORTRANGE(H16695,""IDENTITAS UNIT!D9"")"),"#N/A")</f>
        <v>#N/A</v>
      </c>
      <c r="H16695" s="4" t="str">
        <v/>
      </c>
      <c r="I16695" s="4" t="str">
        <v/>
      </c>
    </row>
    <row r="16696" spans="5:9" ht="16.5" hidden="1">
      <c r="E16696" s="4" t="str">
        <v/>
      </c>
      <c r="F16696" s="102" t="str">
        <f ca="1">IFERROR(__xludf.DUMMYFUNCTION("IMPORTRANGE(H16696,""IDENTITAS UNIT!D9"")"),"#N/A")</f>
        <v>#N/A</v>
      </c>
      <c r="H16696" s="4" t="str">
        <v/>
      </c>
      <c r="I16696" s="4" t="str">
        <v/>
      </c>
    </row>
    <row r="16697" spans="5:9" ht="16.5" hidden="1">
      <c r="E16697" s="4" t="str">
        <v/>
      </c>
      <c r="F16697" s="102" t="str">
        <f ca="1">IFERROR(__xludf.DUMMYFUNCTION("IMPORTRANGE(H16697,""IDENTITAS UNIT!D9"")"),"#N/A")</f>
        <v>#N/A</v>
      </c>
      <c r="H16697" s="4" t="str">
        <v/>
      </c>
      <c r="I16697" s="4" t="str">
        <v/>
      </c>
    </row>
    <row r="16698" spans="5:9" ht="16.5" hidden="1">
      <c r="E16698" s="4" t="str">
        <v/>
      </c>
      <c r="F16698" s="102" t="str">
        <f ca="1">IFERROR(__xludf.DUMMYFUNCTION("IMPORTRANGE(H16698,""IDENTITAS UNIT!D9"")"),"#N/A")</f>
        <v>#N/A</v>
      </c>
      <c r="H16698" s="4" t="str">
        <v/>
      </c>
      <c r="I16698" s="4" t="str">
        <v/>
      </c>
    </row>
    <row r="16699" spans="5:9" ht="16.5" hidden="1">
      <c r="E16699" s="4" t="str">
        <v/>
      </c>
      <c r="F16699" s="102" t="str">
        <f ca="1">IFERROR(__xludf.DUMMYFUNCTION("IMPORTRANGE(H16699,""IDENTITAS UNIT!D9"")"),"#N/A")</f>
        <v>#N/A</v>
      </c>
      <c r="H16699" s="4" t="str">
        <v/>
      </c>
      <c r="I16699" s="4" t="str">
        <v/>
      </c>
    </row>
    <row r="16700" spans="5:9" ht="16.5" hidden="1">
      <c r="E16700" s="4" t="str">
        <v/>
      </c>
      <c r="F16700" s="102" t="str">
        <f ca="1">IFERROR(__xludf.DUMMYFUNCTION("IMPORTRANGE(H16700,""IDENTITAS UNIT!D9"")"),"#N/A")</f>
        <v>#N/A</v>
      </c>
      <c r="H16700" s="4" t="str">
        <v/>
      </c>
      <c r="I16700" s="4" t="str">
        <v/>
      </c>
    </row>
    <row r="16701" spans="5:9" ht="16.5" hidden="1">
      <c r="E16701" s="4" t="str">
        <v/>
      </c>
      <c r="F16701" s="102" t="str">
        <f ca="1">IFERROR(__xludf.DUMMYFUNCTION("IMPORTRANGE(H16701,""IDENTITAS UNIT!D9"")"),"#N/A")</f>
        <v>#N/A</v>
      </c>
      <c r="H16701" s="4" t="str">
        <v/>
      </c>
      <c r="I16701" s="4" t="str">
        <v/>
      </c>
    </row>
    <row r="16702" spans="5:9" ht="16.5" hidden="1">
      <c r="E16702" s="4" t="str">
        <v/>
      </c>
      <c r="F16702" s="102" t="str">
        <f ca="1">IFERROR(__xludf.DUMMYFUNCTION("IMPORTRANGE(H16702,""IDENTITAS UNIT!D9"")"),"#N/A")</f>
        <v>#N/A</v>
      </c>
      <c r="H16702" s="4" t="str">
        <v/>
      </c>
      <c r="I16702" s="4" t="str">
        <v/>
      </c>
    </row>
    <row r="16703" spans="5:9" ht="16.5" hidden="1">
      <c r="E16703" s="4" t="str">
        <v/>
      </c>
      <c r="F16703" s="102" t="str">
        <f ca="1">IFERROR(__xludf.DUMMYFUNCTION("IMPORTRANGE(H16703,""IDENTITAS UNIT!D9"")"),"#N/A")</f>
        <v>#N/A</v>
      </c>
      <c r="H16703" s="4" t="str">
        <v/>
      </c>
      <c r="I16703" s="4" t="str">
        <v/>
      </c>
    </row>
    <row r="16704" spans="5:9" ht="16.5" hidden="1">
      <c r="E16704" s="4" t="str">
        <v/>
      </c>
      <c r="F16704" s="102" t="str">
        <f ca="1">IFERROR(__xludf.DUMMYFUNCTION("IMPORTRANGE(H16704,""IDENTITAS UNIT!D9"")"),"#N/A")</f>
        <v>#N/A</v>
      </c>
      <c r="H16704" s="4" t="str">
        <v/>
      </c>
      <c r="I16704" s="4" t="str">
        <v/>
      </c>
    </row>
    <row r="16705" spans="5:9" ht="16.5" hidden="1">
      <c r="E16705" s="4" t="str">
        <v/>
      </c>
      <c r="F16705" s="102" t="str">
        <f ca="1">IFERROR(__xludf.DUMMYFUNCTION("IMPORTRANGE(H16705,""IDENTITAS UNIT!D9"")"),"#N/A")</f>
        <v>#N/A</v>
      </c>
      <c r="H16705" s="4" t="str">
        <v/>
      </c>
      <c r="I16705" s="4" t="str">
        <v/>
      </c>
    </row>
    <row r="16706" spans="5:9" ht="16.5" hidden="1">
      <c r="E16706" s="4" t="str">
        <v/>
      </c>
      <c r="F16706" s="102" t="str">
        <f ca="1">IFERROR(__xludf.DUMMYFUNCTION("IMPORTRANGE(H16706,""IDENTITAS UNIT!D9"")"),"#N/A")</f>
        <v>#N/A</v>
      </c>
      <c r="H16706" s="4" t="str">
        <v/>
      </c>
      <c r="I16706" s="4" t="str">
        <v/>
      </c>
    </row>
    <row r="16707" spans="5:9" ht="16.5" hidden="1">
      <c r="E16707" s="4" t="str">
        <v/>
      </c>
      <c r="F16707" s="102" t="str">
        <f ca="1">IFERROR(__xludf.DUMMYFUNCTION("IMPORTRANGE(H16707,""IDENTITAS UNIT!D9"")"),"#N/A")</f>
        <v>#N/A</v>
      </c>
      <c r="H16707" s="4" t="str">
        <v/>
      </c>
      <c r="I16707" s="4" t="str">
        <v/>
      </c>
    </row>
    <row r="16708" spans="5:9" ht="16.5" hidden="1">
      <c r="E16708" s="4" t="str">
        <v/>
      </c>
      <c r="F16708" s="102" t="str">
        <f ca="1">IFERROR(__xludf.DUMMYFUNCTION("IMPORTRANGE(H16708,""IDENTITAS UNIT!D9"")"),"#N/A")</f>
        <v>#N/A</v>
      </c>
      <c r="H16708" s="4" t="str">
        <v/>
      </c>
      <c r="I16708" s="4" t="str">
        <v/>
      </c>
    </row>
    <row r="16709" spans="5:9" ht="16.5" hidden="1">
      <c r="E16709" s="4" t="str">
        <v/>
      </c>
      <c r="F16709" s="102" t="str">
        <f ca="1">IFERROR(__xludf.DUMMYFUNCTION("IMPORTRANGE(H16709,""IDENTITAS UNIT!D9"")"),"#N/A")</f>
        <v>#N/A</v>
      </c>
      <c r="H16709" s="4" t="str">
        <v/>
      </c>
      <c r="I16709" s="4" t="str">
        <v/>
      </c>
    </row>
    <row r="16710" spans="5:9" ht="16.5" hidden="1">
      <c r="E16710" s="4" t="str">
        <v/>
      </c>
      <c r="F16710" s="102" t="str">
        <f ca="1">IFERROR(__xludf.DUMMYFUNCTION("IMPORTRANGE(H16710,""IDENTITAS UNIT!D9"")"),"#N/A")</f>
        <v>#N/A</v>
      </c>
      <c r="H16710" s="4" t="str">
        <v/>
      </c>
      <c r="I16710" s="4" t="str">
        <v/>
      </c>
    </row>
    <row r="16711" spans="5:9" ht="16.5" hidden="1">
      <c r="E16711" s="4" t="str">
        <v/>
      </c>
      <c r="F16711" s="102" t="str">
        <f ca="1">IFERROR(__xludf.DUMMYFUNCTION("IMPORTRANGE(H16711,""IDENTITAS UNIT!D9"")"),"#N/A")</f>
        <v>#N/A</v>
      </c>
      <c r="H16711" s="4" t="str">
        <v/>
      </c>
      <c r="I16711" s="4" t="str">
        <v/>
      </c>
    </row>
    <row r="16712" spans="5:9" ht="16.5" hidden="1">
      <c r="E16712" s="4" t="str">
        <v/>
      </c>
      <c r="F16712" s="102" t="str">
        <f ca="1">IFERROR(__xludf.DUMMYFUNCTION("IMPORTRANGE(H16712,""IDENTITAS UNIT!D9"")"),"#N/A")</f>
        <v>#N/A</v>
      </c>
      <c r="H16712" s="4" t="str">
        <v/>
      </c>
      <c r="I16712" s="4" t="str">
        <v/>
      </c>
    </row>
    <row r="16713" spans="5:9" ht="16.5" hidden="1">
      <c r="E16713" s="4" t="str">
        <v/>
      </c>
      <c r="F16713" s="102" t="str">
        <f ca="1">IFERROR(__xludf.DUMMYFUNCTION("IMPORTRANGE(H16713,""IDENTITAS UNIT!D9"")"),"#N/A")</f>
        <v>#N/A</v>
      </c>
      <c r="H16713" s="4" t="str">
        <v/>
      </c>
      <c r="I16713" s="4" t="str">
        <v/>
      </c>
    </row>
    <row r="16714" spans="5:9" ht="16.5" hidden="1">
      <c r="E16714" s="4" t="str">
        <v/>
      </c>
      <c r="F16714" s="102" t="str">
        <f ca="1">IFERROR(__xludf.DUMMYFUNCTION("IMPORTRANGE(H16714,""IDENTITAS UNIT!D9"")"),"#N/A")</f>
        <v>#N/A</v>
      </c>
      <c r="H16714" s="4" t="str">
        <v/>
      </c>
      <c r="I16714" s="4" t="str">
        <v/>
      </c>
    </row>
    <row r="16715" spans="5:9" ht="16.5" hidden="1">
      <c r="E16715" s="4" t="str">
        <v/>
      </c>
      <c r="F16715" s="102" t="str">
        <f ca="1">IFERROR(__xludf.DUMMYFUNCTION("IMPORTRANGE(H16715,""IDENTITAS UNIT!D9"")"),"#N/A")</f>
        <v>#N/A</v>
      </c>
      <c r="H16715" s="4" t="str">
        <v/>
      </c>
      <c r="I16715" s="4" t="str">
        <v/>
      </c>
    </row>
    <row r="16716" spans="5:9" ht="16.5" hidden="1">
      <c r="E16716" s="4" t="str">
        <v/>
      </c>
      <c r="F16716" s="102" t="str">
        <f ca="1">IFERROR(__xludf.DUMMYFUNCTION("IMPORTRANGE(H16716,""IDENTITAS UNIT!D9"")"),"#N/A")</f>
        <v>#N/A</v>
      </c>
      <c r="H16716" s="4" t="str">
        <v/>
      </c>
      <c r="I16716" s="4" t="str">
        <v/>
      </c>
    </row>
    <row r="16717" spans="5:9" ht="16.5" hidden="1">
      <c r="E16717" s="4" t="str">
        <v/>
      </c>
      <c r="F16717" s="102" t="str">
        <f ca="1">IFERROR(__xludf.DUMMYFUNCTION("IMPORTRANGE(H16717,""IDENTITAS UNIT!D9"")"),"#N/A")</f>
        <v>#N/A</v>
      </c>
      <c r="H16717" s="4" t="str">
        <v/>
      </c>
      <c r="I16717" s="4" t="str">
        <v/>
      </c>
    </row>
    <row r="16718" spans="5:9" ht="16.5" hidden="1">
      <c r="E16718" s="4" t="str">
        <v/>
      </c>
      <c r="F16718" s="102" t="str">
        <f ca="1">IFERROR(__xludf.DUMMYFUNCTION("IMPORTRANGE(H16718,""IDENTITAS UNIT!D9"")"),"#N/A")</f>
        <v>#N/A</v>
      </c>
      <c r="H16718" s="4" t="str">
        <v/>
      </c>
      <c r="I16718" s="4" t="str">
        <v/>
      </c>
    </row>
    <row r="16719" spans="5:9" ht="16.5" hidden="1">
      <c r="E16719" s="4" t="str">
        <v/>
      </c>
      <c r="F16719" s="102" t="str">
        <f ca="1">IFERROR(__xludf.DUMMYFUNCTION("IMPORTRANGE(H16719,""IDENTITAS UNIT!D9"")"),"#N/A")</f>
        <v>#N/A</v>
      </c>
      <c r="H16719" s="4" t="str">
        <v/>
      </c>
      <c r="I16719" s="4" t="str">
        <v/>
      </c>
    </row>
    <row r="16720" spans="5:9" ht="16.5" hidden="1">
      <c r="E16720" s="4" t="str">
        <v/>
      </c>
      <c r="F16720" s="102" t="str">
        <f ca="1">IFERROR(__xludf.DUMMYFUNCTION("IMPORTRANGE(H16720,""IDENTITAS UNIT!D9"")"),"#N/A")</f>
        <v>#N/A</v>
      </c>
      <c r="H16720" s="4" t="str">
        <v/>
      </c>
      <c r="I16720" s="4" t="str">
        <v/>
      </c>
    </row>
    <row r="16721" spans="5:9" ht="16.5" hidden="1">
      <c r="E16721" s="4" t="str">
        <v/>
      </c>
      <c r="F16721" s="102" t="str">
        <f ca="1">IFERROR(__xludf.DUMMYFUNCTION("IMPORTRANGE(H16721,""IDENTITAS UNIT!D9"")"),"#N/A")</f>
        <v>#N/A</v>
      </c>
      <c r="H16721" s="4" t="str">
        <v/>
      </c>
      <c r="I16721" s="4" t="str">
        <v/>
      </c>
    </row>
    <row r="16722" spans="5:9" ht="16.5" hidden="1">
      <c r="E16722" s="4" t="str">
        <v/>
      </c>
      <c r="F16722" s="102" t="str">
        <f ca="1">IFERROR(__xludf.DUMMYFUNCTION("IMPORTRANGE(H16722,""IDENTITAS UNIT!D9"")"),"#N/A")</f>
        <v>#N/A</v>
      </c>
      <c r="H16722" s="4" t="str">
        <v/>
      </c>
      <c r="I16722" s="4" t="str">
        <v/>
      </c>
    </row>
    <row r="16723" spans="5:9" ht="16.5" hidden="1">
      <c r="E16723" s="4" t="str">
        <v/>
      </c>
      <c r="F16723" s="102" t="str">
        <f ca="1">IFERROR(__xludf.DUMMYFUNCTION("IMPORTRANGE(H16723,""IDENTITAS UNIT!D9"")"),"#N/A")</f>
        <v>#N/A</v>
      </c>
      <c r="H16723" s="4" t="str">
        <v/>
      </c>
      <c r="I16723" s="4" t="str">
        <v/>
      </c>
    </row>
    <row r="16724" spans="5:9" ht="16.5" hidden="1">
      <c r="E16724" s="4" t="str">
        <v/>
      </c>
      <c r="F16724" s="102" t="str">
        <f ca="1">IFERROR(__xludf.DUMMYFUNCTION("IMPORTRANGE(H16724,""IDENTITAS UNIT!D9"")"),"#N/A")</f>
        <v>#N/A</v>
      </c>
      <c r="H16724" s="4" t="str">
        <v/>
      </c>
      <c r="I16724" s="4" t="str">
        <v/>
      </c>
    </row>
    <row r="16725" spans="5:9" ht="16.5" hidden="1">
      <c r="E16725" s="4" t="str">
        <v/>
      </c>
      <c r="F16725" s="102" t="str">
        <f ca="1">IFERROR(__xludf.DUMMYFUNCTION("IMPORTRANGE(H16725,""IDENTITAS UNIT!D9"")"),"#N/A")</f>
        <v>#N/A</v>
      </c>
      <c r="H16725" s="4" t="str">
        <v/>
      </c>
      <c r="I16725" s="4" t="str">
        <v/>
      </c>
    </row>
    <row r="16726" spans="5:9" ht="16.5" hidden="1">
      <c r="E16726" s="4" t="str">
        <v/>
      </c>
      <c r="F16726" s="102" t="str">
        <f ca="1">IFERROR(__xludf.DUMMYFUNCTION("IMPORTRANGE(H16726,""IDENTITAS UNIT!D9"")"),"#N/A")</f>
        <v>#N/A</v>
      </c>
      <c r="H16726" s="4" t="str">
        <v/>
      </c>
      <c r="I16726" s="4" t="str">
        <v/>
      </c>
    </row>
    <row r="16727" spans="5:9" ht="16.5" hidden="1">
      <c r="E16727" s="4" t="str">
        <v/>
      </c>
      <c r="F16727" s="102" t="str">
        <f ca="1">IFERROR(__xludf.DUMMYFUNCTION("IMPORTRANGE(H16727,""IDENTITAS UNIT!D9"")"),"#N/A")</f>
        <v>#N/A</v>
      </c>
      <c r="H16727" s="4" t="str">
        <v/>
      </c>
      <c r="I16727" s="4" t="str">
        <v/>
      </c>
    </row>
    <row r="16728" spans="5:9" ht="16.5" hidden="1">
      <c r="E16728" s="4" t="str">
        <v/>
      </c>
      <c r="F16728" s="102" t="str">
        <f ca="1">IFERROR(__xludf.DUMMYFUNCTION("IMPORTRANGE(H16728,""IDENTITAS UNIT!D9"")"),"#N/A")</f>
        <v>#N/A</v>
      </c>
      <c r="H16728" s="4" t="str">
        <v/>
      </c>
      <c r="I16728" s="4" t="str">
        <v/>
      </c>
    </row>
    <row r="16729" spans="5:9" ht="16.5" hidden="1">
      <c r="E16729" s="4" t="str">
        <v/>
      </c>
      <c r="F16729" s="102" t="str">
        <f ca="1">IFERROR(__xludf.DUMMYFUNCTION("IMPORTRANGE(H16729,""IDENTITAS UNIT!D9"")"),"#N/A")</f>
        <v>#N/A</v>
      </c>
      <c r="H16729" s="4" t="str">
        <v/>
      </c>
      <c r="I16729" s="4" t="str">
        <v/>
      </c>
    </row>
    <row r="16730" spans="5:9" ht="16.5" hidden="1">
      <c r="E16730" s="4" t="str">
        <v/>
      </c>
      <c r="F16730" s="102" t="str">
        <f ca="1">IFERROR(__xludf.DUMMYFUNCTION("IMPORTRANGE(H16730,""IDENTITAS UNIT!D9"")"),"#N/A")</f>
        <v>#N/A</v>
      </c>
      <c r="H16730" s="4" t="str">
        <v/>
      </c>
      <c r="I16730" s="4" t="str">
        <v/>
      </c>
    </row>
    <row r="16731" spans="5:9" ht="16.5" hidden="1">
      <c r="E16731" s="4" t="str">
        <v/>
      </c>
      <c r="F16731" s="102" t="str">
        <f ca="1">IFERROR(__xludf.DUMMYFUNCTION("IMPORTRANGE(H16731,""IDENTITAS UNIT!D9"")"),"#N/A")</f>
        <v>#N/A</v>
      </c>
      <c r="H16731" s="4" t="str">
        <v/>
      </c>
      <c r="I16731" s="4" t="str">
        <v/>
      </c>
    </row>
    <row r="16732" spans="5:9" ht="16.5" hidden="1">
      <c r="E16732" s="4" t="str">
        <v/>
      </c>
      <c r="F16732" s="102" t="str">
        <f ca="1">IFERROR(__xludf.DUMMYFUNCTION("IMPORTRANGE(H16732,""IDENTITAS UNIT!D9"")"),"#N/A")</f>
        <v>#N/A</v>
      </c>
      <c r="H16732" s="4" t="str">
        <v/>
      </c>
      <c r="I16732" s="4" t="str">
        <v/>
      </c>
    </row>
    <row r="16733" spans="5:9" ht="16.5" hidden="1">
      <c r="E16733" s="4" t="str">
        <v/>
      </c>
      <c r="F16733" s="102" t="str">
        <f ca="1">IFERROR(__xludf.DUMMYFUNCTION("IMPORTRANGE(H16733,""IDENTITAS UNIT!D9"")"),"#N/A")</f>
        <v>#N/A</v>
      </c>
      <c r="H16733" s="4" t="str">
        <v/>
      </c>
      <c r="I16733" s="4" t="str">
        <v/>
      </c>
    </row>
    <row r="16734" spans="5:9" ht="16.5" hidden="1">
      <c r="E16734" s="4" t="str">
        <v/>
      </c>
      <c r="F16734" s="102" t="str">
        <f ca="1">IFERROR(__xludf.DUMMYFUNCTION("IMPORTRANGE(H16734,""IDENTITAS UNIT!D9"")"),"#N/A")</f>
        <v>#N/A</v>
      </c>
      <c r="H16734" s="4" t="str">
        <v/>
      </c>
      <c r="I16734" s="4" t="str">
        <v/>
      </c>
    </row>
    <row r="16735" spans="5:9" ht="16.5" hidden="1">
      <c r="E16735" s="4" t="str">
        <v/>
      </c>
      <c r="F16735" s="102" t="str">
        <f ca="1">IFERROR(__xludf.DUMMYFUNCTION("IMPORTRANGE(H16735,""IDENTITAS UNIT!D9"")"),"#N/A")</f>
        <v>#N/A</v>
      </c>
      <c r="H16735" s="4" t="str">
        <v/>
      </c>
      <c r="I16735" s="4" t="str">
        <v/>
      </c>
    </row>
    <row r="16736" spans="5:9" ht="16.5" hidden="1">
      <c r="E16736" s="4" t="str">
        <v/>
      </c>
      <c r="F16736" s="102" t="str">
        <f ca="1">IFERROR(__xludf.DUMMYFUNCTION("IMPORTRANGE(H16736,""IDENTITAS UNIT!D9"")"),"#N/A")</f>
        <v>#N/A</v>
      </c>
      <c r="H16736" s="4" t="str">
        <v/>
      </c>
      <c r="I16736" s="4" t="str">
        <v/>
      </c>
    </row>
    <row r="16737" spans="5:9" ht="16.5" hidden="1">
      <c r="E16737" s="4" t="str">
        <v/>
      </c>
      <c r="F16737" s="102" t="str">
        <f ca="1">IFERROR(__xludf.DUMMYFUNCTION("IMPORTRANGE(H16737,""IDENTITAS UNIT!D9"")"),"#N/A")</f>
        <v>#N/A</v>
      </c>
      <c r="H16737" s="4" t="str">
        <v/>
      </c>
      <c r="I16737" s="4" t="str">
        <v/>
      </c>
    </row>
    <row r="16738" spans="5:9" ht="16.5" hidden="1">
      <c r="E16738" s="4" t="str">
        <v/>
      </c>
      <c r="F16738" s="102" t="str">
        <f ca="1">IFERROR(__xludf.DUMMYFUNCTION("IMPORTRANGE(H16738,""IDENTITAS UNIT!D9"")"),"#N/A")</f>
        <v>#N/A</v>
      </c>
      <c r="H16738" s="4" t="str">
        <v/>
      </c>
      <c r="I16738" s="4" t="str">
        <v/>
      </c>
    </row>
    <row r="16739" spans="5:9" ht="16.5" hidden="1">
      <c r="E16739" s="4" t="str">
        <v/>
      </c>
      <c r="F16739" s="102" t="str">
        <f ca="1">IFERROR(__xludf.DUMMYFUNCTION("IMPORTRANGE(H16739,""IDENTITAS UNIT!D9"")"),"#N/A")</f>
        <v>#N/A</v>
      </c>
      <c r="H16739" s="4" t="str">
        <v/>
      </c>
      <c r="I16739" s="4" t="str">
        <v/>
      </c>
    </row>
    <row r="16740" spans="5:9" ht="16.5" hidden="1">
      <c r="E16740" s="4" t="str">
        <v/>
      </c>
      <c r="F16740" s="102" t="str">
        <f ca="1">IFERROR(__xludf.DUMMYFUNCTION("IMPORTRANGE(H16740,""IDENTITAS UNIT!D9"")"),"#N/A")</f>
        <v>#N/A</v>
      </c>
      <c r="H16740" s="4" t="str">
        <v/>
      </c>
      <c r="I16740" s="4" t="str">
        <v/>
      </c>
    </row>
    <row r="16741" spans="5:9" ht="16.5" hidden="1">
      <c r="E16741" s="4" t="str">
        <v/>
      </c>
      <c r="F16741" s="102" t="str">
        <f ca="1">IFERROR(__xludf.DUMMYFUNCTION("IMPORTRANGE(H16741,""IDENTITAS UNIT!D9"")"),"#N/A")</f>
        <v>#N/A</v>
      </c>
      <c r="H16741" s="4" t="str">
        <v/>
      </c>
      <c r="I16741" s="4" t="str">
        <v/>
      </c>
    </row>
    <row r="16742" spans="5:9" ht="16.5" hidden="1">
      <c r="E16742" s="4" t="str">
        <v/>
      </c>
      <c r="F16742" s="102" t="str">
        <f ca="1">IFERROR(__xludf.DUMMYFUNCTION("IMPORTRANGE(H16742,""IDENTITAS UNIT!D9"")"),"#N/A")</f>
        <v>#N/A</v>
      </c>
      <c r="H16742" s="4" t="str">
        <v/>
      </c>
      <c r="I16742" s="4" t="str">
        <v/>
      </c>
    </row>
    <row r="16743" spans="5:9" ht="16.5" hidden="1">
      <c r="E16743" s="4" t="str">
        <v/>
      </c>
      <c r="F16743" s="102" t="str">
        <f ca="1">IFERROR(__xludf.DUMMYFUNCTION("IMPORTRANGE(H16743,""IDENTITAS UNIT!D9"")"),"#N/A")</f>
        <v>#N/A</v>
      </c>
      <c r="H16743" s="4" t="str">
        <v/>
      </c>
      <c r="I16743" s="4" t="str">
        <v/>
      </c>
    </row>
    <row r="16744" spans="5:9" ht="16.5" hidden="1">
      <c r="E16744" s="4" t="str">
        <v/>
      </c>
      <c r="F16744" s="102" t="str">
        <f ca="1">IFERROR(__xludf.DUMMYFUNCTION("IMPORTRANGE(H16744,""IDENTITAS UNIT!D9"")"),"#N/A")</f>
        <v>#N/A</v>
      </c>
      <c r="H16744" s="4" t="str">
        <v/>
      </c>
      <c r="I16744" s="4" t="str">
        <v/>
      </c>
    </row>
    <row r="16745" spans="5:9" ht="16.5" hidden="1">
      <c r="E16745" s="4" t="str">
        <v/>
      </c>
      <c r="F16745" s="102" t="str">
        <f ca="1">IFERROR(__xludf.DUMMYFUNCTION("IMPORTRANGE(H16745,""IDENTITAS UNIT!D9"")"),"#N/A")</f>
        <v>#N/A</v>
      </c>
      <c r="H16745" s="4" t="str">
        <v/>
      </c>
      <c r="I16745" s="4" t="str">
        <v/>
      </c>
    </row>
    <row r="16746" spans="5:9" ht="16.5" hidden="1">
      <c r="E16746" s="4" t="str">
        <v/>
      </c>
      <c r="F16746" s="102" t="str">
        <f ca="1">IFERROR(__xludf.DUMMYFUNCTION("IMPORTRANGE(H16746,""IDENTITAS UNIT!D9"")"),"#N/A")</f>
        <v>#N/A</v>
      </c>
      <c r="H16746" s="4" t="str">
        <v/>
      </c>
      <c r="I16746" s="4" t="str">
        <v/>
      </c>
    </row>
    <row r="16747" spans="5:9" ht="16.5" hidden="1">
      <c r="E16747" s="4" t="str">
        <v/>
      </c>
      <c r="F16747" s="102" t="str">
        <f ca="1">IFERROR(__xludf.DUMMYFUNCTION("IMPORTRANGE(H16747,""IDENTITAS UNIT!D9"")"),"#N/A")</f>
        <v>#N/A</v>
      </c>
      <c r="H16747" s="4" t="str">
        <v/>
      </c>
      <c r="I16747" s="4" t="str">
        <v/>
      </c>
    </row>
    <row r="16748" spans="5:9" ht="16.5" hidden="1">
      <c r="E16748" s="4" t="str">
        <v/>
      </c>
      <c r="F16748" s="102" t="str">
        <f ca="1">IFERROR(__xludf.DUMMYFUNCTION("IMPORTRANGE(H16748,""IDENTITAS UNIT!D9"")"),"#N/A")</f>
        <v>#N/A</v>
      </c>
      <c r="H16748" s="4" t="str">
        <v/>
      </c>
      <c r="I16748" s="4" t="str">
        <v/>
      </c>
    </row>
    <row r="16749" spans="5:9" ht="16.5" hidden="1">
      <c r="E16749" s="4" t="str">
        <v/>
      </c>
      <c r="F16749" s="102" t="str">
        <f ca="1">IFERROR(__xludf.DUMMYFUNCTION("IMPORTRANGE(H16749,""IDENTITAS UNIT!D9"")"),"#N/A")</f>
        <v>#N/A</v>
      </c>
      <c r="H16749" s="4" t="str">
        <v/>
      </c>
      <c r="I16749" s="4" t="str">
        <v/>
      </c>
    </row>
    <row r="16750" spans="5:9" ht="16.5" hidden="1">
      <c r="E16750" s="4" t="str">
        <v/>
      </c>
      <c r="F16750" s="102" t="str">
        <f ca="1">IFERROR(__xludf.DUMMYFUNCTION("IMPORTRANGE(H16750,""IDENTITAS UNIT!D9"")"),"#N/A")</f>
        <v>#N/A</v>
      </c>
      <c r="H16750" s="4" t="str">
        <v/>
      </c>
      <c r="I16750" s="4" t="str">
        <v/>
      </c>
    </row>
    <row r="16751" spans="5:9" ht="16.5" hidden="1">
      <c r="E16751" s="4" t="str">
        <v/>
      </c>
      <c r="F16751" s="102" t="str">
        <f ca="1">IFERROR(__xludf.DUMMYFUNCTION("IMPORTRANGE(H16751,""IDENTITAS UNIT!D9"")"),"#N/A")</f>
        <v>#N/A</v>
      </c>
      <c r="H16751" s="4" t="str">
        <v/>
      </c>
      <c r="I16751" s="4" t="str">
        <v/>
      </c>
    </row>
    <row r="16752" spans="5:9" ht="16.5" hidden="1">
      <c r="E16752" s="4" t="str">
        <v/>
      </c>
      <c r="F16752" s="102" t="str">
        <f ca="1">IFERROR(__xludf.DUMMYFUNCTION("IMPORTRANGE(H16752,""IDENTITAS UNIT!D9"")"),"#N/A")</f>
        <v>#N/A</v>
      </c>
      <c r="H16752" s="4" t="str">
        <v/>
      </c>
      <c r="I16752" s="4" t="str">
        <v/>
      </c>
    </row>
    <row r="16753" spans="5:9" ht="16.5" hidden="1">
      <c r="E16753" s="4" t="str">
        <v/>
      </c>
      <c r="F16753" s="102" t="str">
        <f ca="1">IFERROR(__xludf.DUMMYFUNCTION("IMPORTRANGE(H16753,""IDENTITAS UNIT!D9"")"),"#N/A")</f>
        <v>#N/A</v>
      </c>
      <c r="H16753" s="4" t="str">
        <v/>
      </c>
      <c r="I16753" s="4" t="str">
        <v/>
      </c>
    </row>
    <row r="16754" spans="5:9" ht="16.5" hidden="1">
      <c r="E16754" s="4" t="str">
        <v/>
      </c>
      <c r="F16754" s="102" t="str">
        <f ca="1">IFERROR(__xludf.DUMMYFUNCTION("IMPORTRANGE(H16754,""IDENTITAS UNIT!D9"")"),"#N/A")</f>
        <v>#N/A</v>
      </c>
      <c r="H16754" s="4" t="str">
        <v/>
      </c>
      <c r="I16754" s="4" t="str">
        <v/>
      </c>
    </row>
    <row r="16755" spans="5:9" ht="16.5" hidden="1">
      <c r="E16755" s="4" t="str">
        <v/>
      </c>
      <c r="F16755" s="102" t="str">
        <f ca="1">IFERROR(__xludf.DUMMYFUNCTION("IMPORTRANGE(H16755,""IDENTITAS UNIT!D9"")"),"#N/A")</f>
        <v>#N/A</v>
      </c>
      <c r="H16755" s="4" t="str">
        <v/>
      </c>
      <c r="I16755" s="4" t="str">
        <v/>
      </c>
    </row>
    <row r="16756" spans="5:9" ht="16.5" hidden="1">
      <c r="E16756" s="4" t="str">
        <v/>
      </c>
      <c r="F16756" s="102" t="str">
        <f ca="1">IFERROR(__xludf.DUMMYFUNCTION("IMPORTRANGE(H16756,""IDENTITAS UNIT!D9"")"),"#N/A")</f>
        <v>#N/A</v>
      </c>
      <c r="H16756" s="4" t="str">
        <v/>
      </c>
      <c r="I16756" s="4" t="str">
        <v/>
      </c>
    </row>
    <row r="16757" spans="5:9" ht="16.5" hidden="1">
      <c r="E16757" s="4" t="str">
        <v/>
      </c>
      <c r="F16757" s="102" t="str">
        <f ca="1">IFERROR(__xludf.DUMMYFUNCTION("IMPORTRANGE(H16757,""IDENTITAS UNIT!D9"")"),"#N/A")</f>
        <v>#N/A</v>
      </c>
      <c r="H16757" s="4" t="str">
        <v/>
      </c>
      <c r="I16757" s="4" t="str">
        <v/>
      </c>
    </row>
    <row r="16758" spans="5:9" ht="16.5" hidden="1">
      <c r="E16758" s="4" t="str">
        <v/>
      </c>
      <c r="F16758" s="102" t="str">
        <f ca="1">IFERROR(__xludf.DUMMYFUNCTION("IMPORTRANGE(H16758,""IDENTITAS UNIT!D9"")"),"#N/A")</f>
        <v>#N/A</v>
      </c>
      <c r="H16758" s="4" t="str">
        <v/>
      </c>
      <c r="I16758" s="4" t="str">
        <v/>
      </c>
    </row>
    <row r="16759" spans="5:9" ht="16.5" hidden="1">
      <c r="E16759" s="4" t="str">
        <v/>
      </c>
      <c r="F16759" s="102" t="str">
        <f ca="1">IFERROR(__xludf.DUMMYFUNCTION("IMPORTRANGE(H16759,""IDENTITAS UNIT!D9"")"),"#N/A")</f>
        <v>#N/A</v>
      </c>
      <c r="H16759" s="4" t="str">
        <v/>
      </c>
      <c r="I16759" s="4" t="str">
        <v/>
      </c>
    </row>
    <row r="16760" spans="5:9" ht="16.5" hidden="1">
      <c r="E16760" s="4" t="str">
        <v/>
      </c>
      <c r="F16760" s="102" t="str">
        <f ca="1">IFERROR(__xludf.DUMMYFUNCTION("IMPORTRANGE(H16760,""IDENTITAS UNIT!D9"")"),"#N/A")</f>
        <v>#N/A</v>
      </c>
      <c r="H16760" s="4" t="str">
        <v/>
      </c>
      <c r="I16760" s="4" t="str">
        <v/>
      </c>
    </row>
    <row r="16761" spans="5:9" ht="16.5" hidden="1">
      <c r="E16761" s="4" t="str">
        <v/>
      </c>
      <c r="F16761" s="102" t="str">
        <f ca="1">IFERROR(__xludf.DUMMYFUNCTION("IMPORTRANGE(H16761,""IDENTITAS UNIT!D9"")"),"#N/A")</f>
        <v>#N/A</v>
      </c>
      <c r="H16761" s="4" t="str">
        <v/>
      </c>
      <c r="I16761" s="4" t="str">
        <v/>
      </c>
    </row>
    <row r="16762" spans="5:9" ht="16.5" hidden="1">
      <c r="E16762" s="4" t="str">
        <v/>
      </c>
      <c r="F16762" s="102" t="str">
        <f ca="1">IFERROR(__xludf.DUMMYFUNCTION("IMPORTRANGE(H16762,""IDENTITAS UNIT!D9"")"),"#N/A")</f>
        <v>#N/A</v>
      </c>
      <c r="H16762" s="4" t="str">
        <v/>
      </c>
      <c r="I16762" s="4" t="str">
        <v/>
      </c>
    </row>
    <row r="16763" spans="5:9" ht="16.5" hidden="1">
      <c r="E16763" s="4" t="str">
        <v/>
      </c>
      <c r="F16763" s="102" t="str">
        <f ca="1">IFERROR(__xludf.DUMMYFUNCTION("IMPORTRANGE(H16763,""IDENTITAS UNIT!D9"")"),"#N/A")</f>
        <v>#N/A</v>
      </c>
      <c r="H16763" s="4" t="str">
        <v/>
      </c>
      <c r="I16763" s="4" t="str">
        <v/>
      </c>
    </row>
    <row r="16764" spans="5:9" ht="16.5" hidden="1">
      <c r="E16764" s="4" t="str">
        <v/>
      </c>
      <c r="F16764" s="102" t="str">
        <f ca="1">IFERROR(__xludf.DUMMYFUNCTION("IMPORTRANGE(H16764,""IDENTITAS UNIT!D9"")"),"#N/A")</f>
        <v>#N/A</v>
      </c>
      <c r="H16764" s="4" t="str">
        <v/>
      </c>
      <c r="I16764" s="4" t="str">
        <v/>
      </c>
    </row>
    <row r="16765" spans="5:9" ht="16.5" hidden="1">
      <c r="E16765" s="4" t="str">
        <v/>
      </c>
      <c r="F16765" s="102" t="str">
        <f ca="1">IFERROR(__xludf.DUMMYFUNCTION("IMPORTRANGE(H16765,""IDENTITAS UNIT!D9"")"),"#N/A")</f>
        <v>#N/A</v>
      </c>
      <c r="H16765" s="4" t="str">
        <v/>
      </c>
      <c r="I16765" s="4" t="str">
        <v/>
      </c>
    </row>
    <row r="16766" spans="5:9" ht="16.5" hidden="1">
      <c r="E16766" s="4" t="str">
        <v/>
      </c>
      <c r="F16766" s="102" t="str">
        <f ca="1">IFERROR(__xludf.DUMMYFUNCTION("IMPORTRANGE(H16766,""IDENTITAS UNIT!D9"")"),"#N/A")</f>
        <v>#N/A</v>
      </c>
      <c r="H16766" s="4" t="str">
        <v/>
      </c>
      <c r="I16766" s="4" t="str">
        <v/>
      </c>
    </row>
    <row r="16767" spans="5:9" ht="16.5" hidden="1">
      <c r="E16767" s="4" t="str">
        <v/>
      </c>
      <c r="F16767" s="102" t="str">
        <f ca="1">IFERROR(__xludf.DUMMYFUNCTION("IMPORTRANGE(H16767,""IDENTITAS UNIT!D9"")"),"#N/A")</f>
        <v>#N/A</v>
      </c>
      <c r="H16767" s="4" t="str">
        <v/>
      </c>
      <c r="I16767" s="4" t="str">
        <v/>
      </c>
    </row>
    <row r="16768" spans="5:9" ht="16.5" hidden="1">
      <c r="E16768" s="4" t="str">
        <v/>
      </c>
      <c r="F16768" s="102" t="str">
        <f ca="1">IFERROR(__xludf.DUMMYFUNCTION("IMPORTRANGE(H16768,""IDENTITAS UNIT!D9"")"),"#N/A")</f>
        <v>#N/A</v>
      </c>
      <c r="H16768" s="4" t="str">
        <v/>
      </c>
      <c r="I16768" s="4" t="str">
        <v/>
      </c>
    </row>
    <row r="16769" spans="5:9" ht="16.5" hidden="1">
      <c r="E16769" s="4" t="str">
        <v/>
      </c>
      <c r="F16769" s="102" t="str">
        <f ca="1">IFERROR(__xludf.DUMMYFUNCTION("IMPORTRANGE(H16769,""IDENTITAS UNIT!D9"")"),"#N/A")</f>
        <v>#N/A</v>
      </c>
      <c r="H16769" s="4" t="str">
        <v/>
      </c>
      <c r="I16769" s="4" t="str">
        <v/>
      </c>
    </row>
    <row r="16770" spans="5:9" ht="16.5" hidden="1">
      <c r="E16770" s="4" t="str">
        <v/>
      </c>
      <c r="F16770" s="102" t="str">
        <f ca="1">IFERROR(__xludf.DUMMYFUNCTION("IMPORTRANGE(H16770,""IDENTITAS UNIT!D9"")"),"#N/A")</f>
        <v>#N/A</v>
      </c>
      <c r="H16770" s="4" t="str">
        <v/>
      </c>
      <c r="I16770" s="4" t="str">
        <v/>
      </c>
    </row>
    <row r="16771" spans="5:9" ht="16.5" hidden="1">
      <c r="E16771" s="4" t="str">
        <v/>
      </c>
      <c r="F16771" s="102" t="str">
        <f ca="1">IFERROR(__xludf.DUMMYFUNCTION("IMPORTRANGE(H16771,""IDENTITAS UNIT!D9"")"),"#N/A")</f>
        <v>#N/A</v>
      </c>
      <c r="H16771" s="4" t="str">
        <v/>
      </c>
      <c r="I16771" s="4" t="str">
        <v/>
      </c>
    </row>
    <row r="16772" spans="5:9" ht="16.5" hidden="1">
      <c r="E16772" s="4" t="str">
        <v/>
      </c>
      <c r="F16772" s="102" t="str">
        <f ca="1">IFERROR(__xludf.DUMMYFUNCTION("IMPORTRANGE(H16772,""IDENTITAS UNIT!D9"")"),"#N/A")</f>
        <v>#N/A</v>
      </c>
      <c r="H16772" s="4" t="str">
        <v/>
      </c>
      <c r="I16772" s="4" t="str">
        <v/>
      </c>
    </row>
    <row r="16773" spans="5:9" ht="16.5" hidden="1">
      <c r="E16773" s="4" t="str">
        <v/>
      </c>
      <c r="F16773" s="102" t="str">
        <f ca="1">IFERROR(__xludf.DUMMYFUNCTION("IMPORTRANGE(H16773,""IDENTITAS UNIT!D9"")"),"#N/A")</f>
        <v>#N/A</v>
      </c>
      <c r="H16773" s="4" t="str">
        <v/>
      </c>
      <c r="I16773" s="4" t="str">
        <v/>
      </c>
    </row>
    <row r="16774" spans="5:9" ht="16.5" hidden="1">
      <c r="E16774" s="4" t="str">
        <v/>
      </c>
      <c r="F16774" s="102" t="str">
        <f ca="1">IFERROR(__xludf.DUMMYFUNCTION("IMPORTRANGE(H16774,""IDENTITAS UNIT!D9"")"),"#N/A")</f>
        <v>#N/A</v>
      </c>
      <c r="H16774" s="4" t="str">
        <v/>
      </c>
      <c r="I16774" s="4" t="str">
        <v/>
      </c>
    </row>
    <row r="16775" spans="5:9" ht="16.5" hidden="1">
      <c r="E16775" s="4" t="str">
        <v/>
      </c>
      <c r="F16775" s="102" t="str">
        <f ca="1">IFERROR(__xludf.DUMMYFUNCTION("IMPORTRANGE(H16775,""IDENTITAS UNIT!D9"")"),"#N/A")</f>
        <v>#N/A</v>
      </c>
      <c r="H16775" s="4" t="str">
        <v/>
      </c>
      <c r="I16775" s="4" t="str">
        <v/>
      </c>
    </row>
    <row r="16776" spans="5:9" ht="16.5" hidden="1">
      <c r="E16776" s="4" t="str">
        <v/>
      </c>
      <c r="F16776" s="102" t="str">
        <f ca="1">IFERROR(__xludf.DUMMYFUNCTION("IMPORTRANGE(H16776,""IDENTITAS UNIT!D9"")"),"#N/A")</f>
        <v>#N/A</v>
      </c>
      <c r="H16776" s="4" t="str">
        <v/>
      </c>
      <c r="I16776" s="4" t="str">
        <v/>
      </c>
    </row>
    <row r="16777" spans="5:9" ht="16.5" hidden="1">
      <c r="E16777" s="4" t="str">
        <v/>
      </c>
      <c r="F16777" s="102" t="str">
        <f ca="1">IFERROR(__xludf.DUMMYFUNCTION("IMPORTRANGE(H16777,""IDENTITAS UNIT!D9"")"),"#N/A")</f>
        <v>#N/A</v>
      </c>
      <c r="H16777" s="4" t="str">
        <v/>
      </c>
      <c r="I16777" s="4" t="str">
        <v/>
      </c>
    </row>
    <row r="16778" spans="5:9" ht="16.5" hidden="1">
      <c r="E16778" s="4" t="str">
        <v/>
      </c>
      <c r="F16778" s="102" t="str">
        <f ca="1">IFERROR(__xludf.DUMMYFUNCTION("IMPORTRANGE(H16778,""IDENTITAS UNIT!D9"")"),"#N/A")</f>
        <v>#N/A</v>
      </c>
      <c r="H16778" s="4" t="str">
        <v/>
      </c>
      <c r="I16778" s="4" t="str">
        <v/>
      </c>
    </row>
    <row r="16779" spans="5:9" ht="16.5" hidden="1">
      <c r="E16779" s="4" t="str">
        <v/>
      </c>
      <c r="F16779" s="102" t="str">
        <f ca="1">IFERROR(__xludf.DUMMYFUNCTION("IMPORTRANGE(H16779,""IDENTITAS UNIT!D9"")"),"#N/A")</f>
        <v>#N/A</v>
      </c>
      <c r="H16779" s="4" t="str">
        <v/>
      </c>
      <c r="I16779" s="4" t="str">
        <v/>
      </c>
    </row>
    <row r="16780" spans="5:9" ht="16.5" hidden="1">
      <c r="E16780" s="4" t="str">
        <v/>
      </c>
      <c r="F16780" s="102" t="str">
        <f ca="1">IFERROR(__xludf.DUMMYFUNCTION("IMPORTRANGE(H16780,""IDENTITAS UNIT!D9"")"),"#N/A")</f>
        <v>#N/A</v>
      </c>
      <c r="H16780" s="4" t="str">
        <v/>
      </c>
      <c r="I16780" s="4" t="str">
        <v/>
      </c>
    </row>
    <row r="16781" spans="5:9" ht="16.5" hidden="1">
      <c r="E16781" s="4" t="str">
        <v/>
      </c>
      <c r="F16781" s="102" t="str">
        <f ca="1">IFERROR(__xludf.DUMMYFUNCTION("IMPORTRANGE(H16781,""IDENTITAS UNIT!D9"")"),"#N/A")</f>
        <v>#N/A</v>
      </c>
      <c r="H16781" s="4" t="str">
        <v/>
      </c>
      <c r="I16781" s="4" t="str">
        <v/>
      </c>
    </row>
    <row r="16782" spans="5:9" ht="16.5" hidden="1">
      <c r="E16782" s="4" t="str">
        <v/>
      </c>
      <c r="F16782" s="102" t="str">
        <f ca="1">IFERROR(__xludf.DUMMYFUNCTION("IMPORTRANGE(H16782,""IDENTITAS UNIT!D9"")"),"#N/A")</f>
        <v>#N/A</v>
      </c>
      <c r="H16782" s="4" t="str">
        <v/>
      </c>
      <c r="I16782" s="4" t="str">
        <v/>
      </c>
    </row>
    <row r="16783" spans="5:9" ht="16.5" hidden="1">
      <c r="E16783" s="4" t="str">
        <v/>
      </c>
      <c r="F16783" s="102" t="str">
        <f ca="1">IFERROR(__xludf.DUMMYFUNCTION("IMPORTRANGE(H16783,""IDENTITAS UNIT!D9"")"),"#N/A")</f>
        <v>#N/A</v>
      </c>
      <c r="H16783" s="4" t="str">
        <v/>
      </c>
      <c r="I16783" s="4" t="str">
        <v/>
      </c>
    </row>
    <row r="16784" spans="5:9" ht="16.5" hidden="1">
      <c r="E16784" s="4" t="str">
        <v/>
      </c>
      <c r="F16784" s="102" t="str">
        <f ca="1">IFERROR(__xludf.DUMMYFUNCTION("IMPORTRANGE(H16784,""IDENTITAS UNIT!D9"")"),"#N/A")</f>
        <v>#N/A</v>
      </c>
      <c r="H16784" s="4" t="str">
        <v/>
      </c>
      <c r="I16784" s="4" t="str">
        <v/>
      </c>
    </row>
    <row r="16785" spans="5:9" ht="16.5" hidden="1">
      <c r="E16785" s="4" t="str">
        <v/>
      </c>
      <c r="F16785" s="102" t="str">
        <f ca="1">IFERROR(__xludf.DUMMYFUNCTION("IMPORTRANGE(H16785,""IDENTITAS UNIT!D9"")"),"#N/A")</f>
        <v>#N/A</v>
      </c>
      <c r="H16785" s="4" t="str">
        <v/>
      </c>
      <c r="I16785" s="4" t="str">
        <v/>
      </c>
    </row>
    <row r="16786" spans="5:9" ht="16.5" hidden="1">
      <c r="E16786" s="4" t="str">
        <v/>
      </c>
      <c r="F16786" s="102" t="str">
        <f ca="1">IFERROR(__xludf.DUMMYFUNCTION("IMPORTRANGE(H16786,""IDENTITAS UNIT!D9"")"),"#N/A")</f>
        <v>#N/A</v>
      </c>
      <c r="H16786" s="4" t="str">
        <v/>
      </c>
      <c r="I16786" s="4" t="str">
        <v/>
      </c>
    </row>
    <row r="16787" spans="5:9" ht="16.5" hidden="1">
      <c r="E16787" s="4" t="str">
        <v/>
      </c>
      <c r="F16787" s="102" t="str">
        <f ca="1">IFERROR(__xludf.DUMMYFUNCTION("IMPORTRANGE(H16787,""IDENTITAS UNIT!D9"")"),"#N/A")</f>
        <v>#N/A</v>
      </c>
      <c r="H16787" s="4" t="str">
        <v/>
      </c>
      <c r="I16787" s="4" t="str">
        <v/>
      </c>
    </row>
    <row r="16788" spans="5:9" ht="16.5" hidden="1">
      <c r="E16788" s="4" t="str">
        <v/>
      </c>
      <c r="F16788" s="102" t="str">
        <f ca="1">IFERROR(__xludf.DUMMYFUNCTION("IMPORTRANGE(H16788,""IDENTITAS UNIT!D9"")"),"#N/A")</f>
        <v>#N/A</v>
      </c>
      <c r="H16788" s="4" t="str">
        <v/>
      </c>
      <c r="I16788" s="4" t="str">
        <v/>
      </c>
    </row>
    <row r="16789" spans="5:9" ht="16.5" hidden="1">
      <c r="E16789" s="4" t="str">
        <v/>
      </c>
      <c r="F16789" s="102" t="str">
        <f ca="1">IFERROR(__xludf.DUMMYFUNCTION("IMPORTRANGE(H16789,""IDENTITAS UNIT!D9"")"),"#N/A")</f>
        <v>#N/A</v>
      </c>
      <c r="H16789" s="4" t="str">
        <v/>
      </c>
      <c r="I16789" s="4" t="str">
        <v/>
      </c>
    </row>
    <row r="16790" spans="5:9" ht="16.5" hidden="1">
      <c r="E16790" s="4" t="str">
        <v/>
      </c>
      <c r="F16790" s="102" t="str">
        <f ca="1">IFERROR(__xludf.DUMMYFUNCTION("IMPORTRANGE(H16790,""IDENTITAS UNIT!D9"")"),"#N/A")</f>
        <v>#N/A</v>
      </c>
      <c r="H16790" s="4" t="str">
        <v/>
      </c>
      <c r="I16790" s="4" t="str">
        <v/>
      </c>
    </row>
    <row r="16791" spans="5:9" ht="16.5" hidden="1">
      <c r="E16791" s="4" t="str">
        <v/>
      </c>
      <c r="F16791" s="102" t="str">
        <f ca="1">IFERROR(__xludf.DUMMYFUNCTION("IMPORTRANGE(H16791,""IDENTITAS UNIT!D9"")"),"#N/A")</f>
        <v>#N/A</v>
      </c>
      <c r="H16791" s="4" t="str">
        <v/>
      </c>
      <c r="I16791" s="4" t="str">
        <v/>
      </c>
    </row>
    <row r="16792" spans="5:9" ht="16.5" hidden="1">
      <c r="E16792" s="4" t="str">
        <v/>
      </c>
      <c r="F16792" s="102" t="str">
        <f ca="1">IFERROR(__xludf.DUMMYFUNCTION("IMPORTRANGE(H16792,""IDENTITAS UNIT!D9"")"),"#N/A")</f>
        <v>#N/A</v>
      </c>
      <c r="H16792" s="4" t="str">
        <v/>
      </c>
      <c r="I16792" s="4" t="str">
        <v/>
      </c>
    </row>
    <row r="16793" spans="5:9" ht="16.5" hidden="1">
      <c r="E16793" s="4" t="str">
        <v/>
      </c>
      <c r="F16793" s="102" t="str">
        <f ca="1">IFERROR(__xludf.DUMMYFUNCTION("IMPORTRANGE(H16793,""IDENTITAS UNIT!D9"")"),"#N/A")</f>
        <v>#N/A</v>
      </c>
      <c r="H16793" s="4" t="str">
        <v/>
      </c>
      <c r="I16793" s="4" t="str">
        <v/>
      </c>
    </row>
    <row r="16794" spans="5:9" ht="16.5" hidden="1">
      <c r="E16794" s="4" t="str">
        <v/>
      </c>
      <c r="F16794" s="102" t="str">
        <f ca="1">IFERROR(__xludf.DUMMYFUNCTION("IMPORTRANGE(H16794,""IDENTITAS UNIT!D9"")"),"#N/A")</f>
        <v>#N/A</v>
      </c>
      <c r="H16794" s="4" t="str">
        <v/>
      </c>
      <c r="I16794" s="4" t="str">
        <v/>
      </c>
    </row>
    <row r="16795" spans="5:9" ht="16.5" hidden="1">
      <c r="E16795" s="4" t="str">
        <v/>
      </c>
      <c r="F16795" s="102" t="str">
        <f ca="1">IFERROR(__xludf.DUMMYFUNCTION("IMPORTRANGE(H16795,""IDENTITAS UNIT!D9"")"),"#N/A")</f>
        <v>#N/A</v>
      </c>
      <c r="H16795" s="4" t="str">
        <v/>
      </c>
      <c r="I16795" s="4" t="str">
        <v/>
      </c>
    </row>
    <row r="16796" spans="5:9" ht="16.5" hidden="1">
      <c r="E16796" s="4" t="str">
        <v/>
      </c>
      <c r="F16796" s="102" t="str">
        <f ca="1">IFERROR(__xludf.DUMMYFUNCTION("IMPORTRANGE(H16796,""IDENTITAS UNIT!D9"")"),"#N/A")</f>
        <v>#N/A</v>
      </c>
      <c r="H16796" s="4" t="str">
        <v/>
      </c>
      <c r="I16796" s="4" t="str">
        <v/>
      </c>
    </row>
    <row r="16797" spans="5:9" ht="16.5" hidden="1">
      <c r="E16797" s="4" t="str">
        <v/>
      </c>
      <c r="F16797" s="102" t="str">
        <f ca="1">IFERROR(__xludf.DUMMYFUNCTION("IMPORTRANGE(H16797,""IDENTITAS UNIT!D9"")"),"#N/A")</f>
        <v>#N/A</v>
      </c>
      <c r="H16797" s="4" t="str">
        <v/>
      </c>
      <c r="I16797" s="4" t="str">
        <v/>
      </c>
    </row>
    <row r="16798" spans="5:9" ht="16.5" hidden="1">
      <c r="E16798" s="4" t="str">
        <v/>
      </c>
      <c r="F16798" s="102" t="str">
        <f ca="1">IFERROR(__xludf.DUMMYFUNCTION("IMPORTRANGE(H16798,""IDENTITAS UNIT!D9"")"),"#N/A")</f>
        <v>#N/A</v>
      </c>
      <c r="H16798" s="4" t="str">
        <v/>
      </c>
      <c r="I16798" s="4" t="str">
        <v/>
      </c>
    </row>
    <row r="16799" spans="5:9" ht="16.5" hidden="1">
      <c r="E16799" s="4" t="str">
        <v/>
      </c>
      <c r="F16799" s="102" t="str">
        <f ca="1">IFERROR(__xludf.DUMMYFUNCTION("IMPORTRANGE(H16799,""IDENTITAS UNIT!D9"")"),"#N/A")</f>
        <v>#N/A</v>
      </c>
      <c r="H16799" s="4" t="str">
        <v/>
      </c>
      <c r="I16799" s="4" t="str">
        <v/>
      </c>
    </row>
    <row r="16800" spans="5:9" ht="16.5" hidden="1">
      <c r="E16800" s="4" t="str">
        <v/>
      </c>
      <c r="F16800" s="102" t="str">
        <f ca="1">IFERROR(__xludf.DUMMYFUNCTION("IMPORTRANGE(H16800,""IDENTITAS UNIT!D9"")"),"#N/A")</f>
        <v>#N/A</v>
      </c>
      <c r="H16800" s="4" t="str">
        <v/>
      </c>
      <c r="I16800" s="4" t="str">
        <v/>
      </c>
    </row>
    <row r="16801" spans="5:9" ht="16.5" hidden="1">
      <c r="E16801" s="4" t="str">
        <v/>
      </c>
      <c r="F16801" s="102" t="str">
        <f ca="1">IFERROR(__xludf.DUMMYFUNCTION("IMPORTRANGE(H16801,""IDENTITAS UNIT!D9"")"),"#N/A")</f>
        <v>#N/A</v>
      </c>
      <c r="H16801" s="4" t="str">
        <v/>
      </c>
      <c r="I16801" s="4" t="str">
        <v/>
      </c>
    </row>
    <row r="16802" spans="5:9" ht="16.5" hidden="1">
      <c r="E16802" s="4" t="str">
        <v/>
      </c>
      <c r="F16802" s="102" t="str">
        <f ca="1">IFERROR(__xludf.DUMMYFUNCTION("IMPORTRANGE(H16802,""IDENTITAS UNIT!D9"")"),"#N/A")</f>
        <v>#N/A</v>
      </c>
      <c r="H16802" s="4" t="str">
        <v/>
      </c>
      <c r="I16802" s="4" t="str">
        <v/>
      </c>
    </row>
    <row r="16803" spans="5:9" ht="16.5" hidden="1">
      <c r="E16803" s="4" t="str">
        <v/>
      </c>
      <c r="F16803" s="102" t="str">
        <f ca="1">IFERROR(__xludf.DUMMYFUNCTION("IMPORTRANGE(H16803,""IDENTITAS UNIT!D9"")"),"#N/A")</f>
        <v>#N/A</v>
      </c>
      <c r="H16803" s="4" t="str">
        <v/>
      </c>
      <c r="I16803" s="4" t="str">
        <v/>
      </c>
    </row>
    <row r="16804" spans="5:9" ht="16.5" hidden="1">
      <c r="E16804" s="4" t="str">
        <v/>
      </c>
      <c r="F16804" s="102" t="str">
        <f ca="1">IFERROR(__xludf.DUMMYFUNCTION("IMPORTRANGE(H16804,""IDENTITAS UNIT!D9"")"),"#N/A")</f>
        <v>#N/A</v>
      </c>
      <c r="H16804" s="4" t="str">
        <v/>
      </c>
      <c r="I16804" s="4" t="str">
        <v/>
      </c>
    </row>
    <row r="16805" spans="5:9" ht="16.5" hidden="1">
      <c r="E16805" s="4" t="str">
        <v/>
      </c>
      <c r="F16805" s="102" t="str">
        <f ca="1">IFERROR(__xludf.DUMMYFUNCTION("IMPORTRANGE(H16805,""IDENTITAS UNIT!D9"")"),"#N/A")</f>
        <v>#N/A</v>
      </c>
      <c r="H16805" s="4" t="str">
        <v/>
      </c>
      <c r="I16805" s="4" t="str">
        <v/>
      </c>
    </row>
    <row r="16806" spans="5:9" ht="16.5" hidden="1">
      <c r="E16806" s="4" t="str">
        <v/>
      </c>
      <c r="F16806" s="102" t="str">
        <f ca="1">IFERROR(__xludf.DUMMYFUNCTION("IMPORTRANGE(H16806,""IDENTITAS UNIT!D9"")"),"#N/A")</f>
        <v>#N/A</v>
      </c>
      <c r="H16806" s="4" t="str">
        <v/>
      </c>
      <c r="I16806" s="4" t="str">
        <v/>
      </c>
    </row>
    <row r="16807" spans="5:9" ht="16.5" hidden="1">
      <c r="E16807" s="4" t="str">
        <v/>
      </c>
      <c r="F16807" s="102" t="str">
        <f ca="1">IFERROR(__xludf.DUMMYFUNCTION("IMPORTRANGE(H16807,""IDENTITAS UNIT!D9"")"),"#N/A")</f>
        <v>#N/A</v>
      </c>
      <c r="H16807" s="4" t="str">
        <v/>
      </c>
      <c r="I16807" s="4" t="str">
        <v/>
      </c>
    </row>
    <row r="16808" spans="5:9" ht="16.5" hidden="1">
      <c r="E16808" s="4" t="str">
        <v/>
      </c>
      <c r="F16808" s="102" t="str">
        <f ca="1">IFERROR(__xludf.DUMMYFUNCTION("IMPORTRANGE(H16808,""IDENTITAS UNIT!D9"")"),"#N/A")</f>
        <v>#N/A</v>
      </c>
      <c r="H16808" s="4" t="str">
        <v/>
      </c>
      <c r="I16808" s="4" t="str">
        <v/>
      </c>
    </row>
    <row r="16809" spans="5:9" ht="16.5" hidden="1">
      <c r="E16809" s="4" t="str">
        <v/>
      </c>
      <c r="F16809" s="102" t="str">
        <f ca="1">IFERROR(__xludf.DUMMYFUNCTION("IMPORTRANGE(H16809,""IDENTITAS UNIT!D9"")"),"#N/A")</f>
        <v>#N/A</v>
      </c>
      <c r="H16809" s="4" t="str">
        <v/>
      </c>
      <c r="I16809" s="4" t="str">
        <v/>
      </c>
    </row>
    <row r="16810" spans="5:9" ht="16.5" hidden="1">
      <c r="E16810" s="4" t="str">
        <v/>
      </c>
      <c r="F16810" s="102" t="str">
        <f ca="1">IFERROR(__xludf.DUMMYFUNCTION("IMPORTRANGE(H16810,""IDENTITAS UNIT!D9"")"),"#N/A")</f>
        <v>#N/A</v>
      </c>
      <c r="H16810" s="4" t="str">
        <v/>
      </c>
      <c r="I16810" s="4" t="str">
        <v/>
      </c>
    </row>
    <row r="16811" spans="5:9" ht="16.5" hidden="1">
      <c r="E16811" s="4" t="str">
        <v/>
      </c>
      <c r="F16811" s="102" t="str">
        <f ca="1">IFERROR(__xludf.DUMMYFUNCTION("IMPORTRANGE(H16811,""IDENTITAS UNIT!D9"")"),"#N/A")</f>
        <v>#N/A</v>
      </c>
      <c r="H16811" s="4" t="str">
        <v/>
      </c>
      <c r="I16811" s="4" t="str">
        <v/>
      </c>
    </row>
    <row r="16812" spans="5:9" ht="16.5" hidden="1">
      <c r="E16812" s="4" t="str">
        <v/>
      </c>
      <c r="F16812" s="102" t="str">
        <f ca="1">IFERROR(__xludf.DUMMYFUNCTION("IMPORTRANGE(H16812,""IDENTITAS UNIT!D9"")"),"#N/A")</f>
        <v>#N/A</v>
      </c>
      <c r="H16812" s="4" t="str">
        <v/>
      </c>
      <c r="I16812" s="4" t="str">
        <v/>
      </c>
    </row>
    <row r="16813" spans="5:9" ht="16.5" hidden="1">
      <c r="E16813" s="4" t="str">
        <v/>
      </c>
      <c r="F16813" s="102" t="str">
        <f ca="1">IFERROR(__xludf.DUMMYFUNCTION("IMPORTRANGE(H16813,""IDENTITAS UNIT!D9"")"),"#N/A")</f>
        <v>#N/A</v>
      </c>
      <c r="H16813" s="4" t="str">
        <v/>
      </c>
      <c r="I16813" s="4" t="str">
        <v/>
      </c>
    </row>
    <row r="16814" spans="5:9" ht="16.5" hidden="1">
      <c r="E16814" s="4" t="str">
        <v/>
      </c>
      <c r="F16814" s="102" t="str">
        <f ca="1">IFERROR(__xludf.DUMMYFUNCTION("IMPORTRANGE(H16814,""IDENTITAS UNIT!D9"")"),"#N/A")</f>
        <v>#N/A</v>
      </c>
      <c r="H16814" s="4" t="str">
        <v/>
      </c>
      <c r="I16814" s="4" t="str">
        <v/>
      </c>
    </row>
    <row r="16815" spans="5:9" ht="16.5" hidden="1">
      <c r="E16815" s="4" t="str">
        <v/>
      </c>
      <c r="F16815" s="102" t="str">
        <f ca="1">IFERROR(__xludf.DUMMYFUNCTION("IMPORTRANGE(H16815,""IDENTITAS UNIT!D9"")"),"#N/A")</f>
        <v>#N/A</v>
      </c>
      <c r="H16815" s="4" t="str">
        <v/>
      </c>
      <c r="I16815" s="4" t="str">
        <v/>
      </c>
    </row>
    <row r="16816" spans="5:9" ht="16.5" hidden="1">
      <c r="E16816" s="4" t="str">
        <v/>
      </c>
      <c r="F16816" s="102" t="str">
        <f ca="1">IFERROR(__xludf.DUMMYFUNCTION("IMPORTRANGE(H16816,""IDENTITAS UNIT!D9"")"),"#N/A")</f>
        <v>#N/A</v>
      </c>
      <c r="H16816" s="4" t="str">
        <v/>
      </c>
      <c r="I16816" s="4" t="str">
        <v/>
      </c>
    </row>
    <row r="16817" spans="5:9" ht="16.5" hidden="1">
      <c r="E16817" s="4" t="str">
        <v/>
      </c>
      <c r="F16817" s="102" t="str">
        <f ca="1">IFERROR(__xludf.DUMMYFUNCTION("IMPORTRANGE(H16817,""IDENTITAS UNIT!D9"")"),"#N/A")</f>
        <v>#N/A</v>
      </c>
      <c r="H16817" s="4" t="str">
        <v/>
      </c>
      <c r="I16817" s="4" t="str">
        <v/>
      </c>
    </row>
    <row r="16818" spans="5:9" ht="16.5" hidden="1">
      <c r="E16818" s="4" t="str">
        <v/>
      </c>
      <c r="F16818" s="102" t="str">
        <f ca="1">IFERROR(__xludf.DUMMYFUNCTION("IMPORTRANGE(H16818,""IDENTITAS UNIT!D9"")"),"#N/A")</f>
        <v>#N/A</v>
      </c>
      <c r="H16818" s="4" t="str">
        <v/>
      </c>
      <c r="I16818" s="4" t="str">
        <v/>
      </c>
    </row>
    <row r="16819" spans="5:9" ht="16.5" hidden="1">
      <c r="E16819" s="4" t="str">
        <v/>
      </c>
      <c r="F16819" s="102" t="str">
        <f ca="1">IFERROR(__xludf.DUMMYFUNCTION("IMPORTRANGE(H16819,""IDENTITAS UNIT!D9"")"),"#N/A")</f>
        <v>#N/A</v>
      </c>
      <c r="H16819" s="4" t="str">
        <v/>
      </c>
      <c r="I16819" s="4" t="str">
        <v/>
      </c>
    </row>
    <row r="16820" spans="5:9" ht="16.5" hidden="1">
      <c r="E16820" s="4" t="str">
        <v/>
      </c>
      <c r="F16820" s="102" t="str">
        <f ca="1">IFERROR(__xludf.DUMMYFUNCTION("IMPORTRANGE(H16820,""IDENTITAS UNIT!D9"")"),"#N/A")</f>
        <v>#N/A</v>
      </c>
      <c r="H16820" s="4" t="str">
        <v/>
      </c>
      <c r="I16820" s="4" t="str">
        <v/>
      </c>
    </row>
    <row r="16821" spans="5:9" ht="16.5" hidden="1">
      <c r="E16821" s="4" t="str">
        <v/>
      </c>
      <c r="F16821" s="102" t="str">
        <f ca="1">IFERROR(__xludf.DUMMYFUNCTION("IMPORTRANGE(H16821,""IDENTITAS UNIT!D9"")"),"#N/A")</f>
        <v>#N/A</v>
      </c>
      <c r="H16821" s="4" t="str">
        <v/>
      </c>
      <c r="I16821" s="4" t="str">
        <v/>
      </c>
    </row>
    <row r="16822" spans="5:9" ht="16.5" hidden="1">
      <c r="E16822" s="4" t="str">
        <v/>
      </c>
      <c r="F16822" s="102" t="str">
        <f ca="1">IFERROR(__xludf.DUMMYFUNCTION("IMPORTRANGE(H16822,""IDENTITAS UNIT!D9"")"),"#N/A")</f>
        <v>#N/A</v>
      </c>
      <c r="H16822" s="4" t="str">
        <v/>
      </c>
      <c r="I16822" s="4" t="str">
        <v/>
      </c>
    </row>
    <row r="16823" spans="5:9" ht="16.5" hidden="1">
      <c r="E16823" s="4" t="str">
        <v/>
      </c>
      <c r="F16823" s="102" t="str">
        <f ca="1">IFERROR(__xludf.DUMMYFUNCTION("IMPORTRANGE(H16823,""IDENTITAS UNIT!D9"")"),"#N/A")</f>
        <v>#N/A</v>
      </c>
      <c r="H16823" s="4" t="str">
        <v/>
      </c>
      <c r="I16823" s="4" t="str">
        <v/>
      </c>
    </row>
    <row r="16824" spans="5:9" ht="16.5" hidden="1">
      <c r="E16824" s="4" t="str">
        <v/>
      </c>
      <c r="F16824" s="102" t="str">
        <f ca="1">IFERROR(__xludf.DUMMYFUNCTION("IMPORTRANGE(H16824,""IDENTITAS UNIT!D9"")"),"#N/A")</f>
        <v>#N/A</v>
      </c>
      <c r="H16824" s="4" t="str">
        <v/>
      </c>
      <c r="I16824" s="4" t="str">
        <v/>
      </c>
    </row>
    <row r="16825" spans="5:9" ht="16.5" hidden="1">
      <c r="E16825" s="4" t="str">
        <v/>
      </c>
      <c r="F16825" s="102" t="str">
        <f ca="1">IFERROR(__xludf.DUMMYFUNCTION("IMPORTRANGE(H16825,""IDENTITAS UNIT!D9"")"),"#N/A")</f>
        <v>#N/A</v>
      </c>
      <c r="H16825" s="4" t="str">
        <v/>
      </c>
      <c r="I16825" s="4" t="str">
        <v/>
      </c>
    </row>
    <row r="16826" spans="5:9" ht="16.5" hidden="1">
      <c r="E16826" s="4" t="str">
        <v/>
      </c>
      <c r="F16826" s="102" t="str">
        <f ca="1">IFERROR(__xludf.DUMMYFUNCTION("IMPORTRANGE(H16826,""IDENTITAS UNIT!D9"")"),"#N/A")</f>
        <v>#N/A</v>
      </c>
      <c r="H16826" s="4" t="str">
        <v/>
      </c>
      <c r="I16826" s="4" t="str">
        <v/>
      </c>
    </row>
    <row r="16827" spans="5:9" ht="16.5" hidden="1">
      <c r="E16827" s="4" t="str">
        <v/>
      </c>
      <c r="F16827" s="102" t="str">
        <f ca="1">IFERROR(__xludf.DUMMYFUNCTION("IMPORTRANGE(H16827,""IDENTITAS UNIT!D9"")"),"#N/A")</f>
        <v>#N/A</v>
      </c>
      <c r="H16827" s="4" t="str">
        <v/>
      </c>
      <c r="I16827" s="4" t="str">
        <v/>
      </c>
    </row>
    <row r="16828" spans="5:9" ht="16.5" hidden="1">
      <c r="E16828" s="4" t="str">
        <v/>
      </c>
      <c r="F16828" s="102" t="str">
        <f ca="1">IFERROR(__xludf.DUMMYFUNCTION("IMPORTRANGE(H16828,""IDENTITAS UNIT!D9"")"),"#N/A")</f>
        <v>#N/A</v>
      </c>
      <c r="H16828" s="4" t="str">
        <v/>
      </c>
      <c r="I16828" s="4" t="str">
        <v/>
      </c>
    </row>
    <row r="16829" spans="5:9" ht="16.5" hidden="1">
      <c r="E16829" s="4" t="str">
        <v/>
      </c>
      <c r="F16829" s="102" t="str">
        <f ca="1">IFERROR(__xludf.DUMMYFUNCTION("IMPORTRANGE(H16829,""IDENTITAS UNIT!D9"")"),"#N/A")</f>
        <v>#N/A</v>
      </c>
      <c r="H16829" s="4" t="str">
        <v/>
      </c>
      <c r="I16829" s="4" t="str">
        <v/>
      </c>
    </row>
    <row r="16830" spans="5:9" ht="16.5" hidden="1">
      <c r="E16830" s="4" t="str">
        <v/>
      </c>
      <c r="F16830" s="102" t="str">
        <f ca="1">IFERROR(__xludf.DUMMYFUNCTION("IMPORTRANGE(H16830,""IDENTITAS UNIT!D9"")"),"#N/A")</f>
        <v>#N/A</v>
      </c>
      <c r="H16830" s="4" t="str">
        <v/>
      </c>
      <c r="I16830" s="4" t="str">
        <v/>
      </c>
    </row>
    <row r="16831" spans="5:9" ht="16.5" hidden="1">
      <c r="E16831" s="4" t="str">
        <v/>
      </c>
      <c r="F16831" s="102" t="str">
        <f ca="1">IFERROR(__xludf.DUMMYFUNCTION("IMPORTRANGE(H16831,""IDENTITAS UNIT!D9"")"),"#N/A")</f>
        <v>#N/A</v>
      </c>
      <c r="H16831" s="4" t="str">
        <v/>
      </c>
      <c r="I16831" s="4" t="str">
        <v/>
      </c>
    </row>
    <row r="16832" spans="5:9" ht="16.5" hidden="1">
      <c r="E16832" s="4" t="str">
        <v/>
      </c>
      <c r="F16832" s="102" t="str">
        <f ca="1">IFERROR(__xludf.DUMMYFUNCTION("IMPORTRANGE(H16832,""IDENTITAS UNIT!D9"")"),"#N/A")</f>
        <v>#N/A</v>
      </c>
      <c r="H16832" s="4" t="str">
        <v/>
      </c>
      <c r="I16832" s="4" t="str">
        <v/>
      </c>
    </row>
    <row r="16833" spans="5:9" ht="16.5" hidden="1">
      <c r="E16833" s="4" t="str">
        <v/>
      </c>
      <c r="F16833" s="102" t="str">
        <f ca="1">IFERROR(__xludf.DUMMYFUNCTION("IMPORTRANGE(H16833,""IDENTITAS UNIT!D9"")"),"#N/A")</f>
        <v>#N/A</v>
      </c>
      <c r="H16833" s="4" t="str">
        <v/>
      </c>
      <c r="I16833" s="4" t="str">
        <v/>
      </c>
    </row>
    <row r="16834" spans="5:9" ht="16.5" hidden="1">
      <c r="E16834" s="4" t="str">
        <v/>
      </c>
      <c r="F16834" s="102" t="str">
        <f ca="1">IFERROR(__xludf.DUMMYFUNCTION("IMPORTRANGE(H16834,""IDENTITAS UNIT!D9"")"),"#N/A")</f>
        <v>#N/A</v>
      </c>
      <c r="H16834" s="4" t="str">
        <v/>
      </c>
      <c r="I16834" s="4" t="str">
        <v/>
      </c>
    </row>
    <row r="16835" spans="5:9" ht="16.5" hidden="1">
      <c r="E16835" s="4" t="str">
        <v/>
      </c>
      <c r="F16835" s="102" t="str">
        <f ca="1">IFERROR(__xludf.DUMMYFUNCTION("IMPORTRANGE(H16835,""IDENTITAS UNIT!D9"")"),"#N/A")</f>
        <v>#N/A</v>
      </c>
      <c r="H16835" s="4" t="str">
        <v/>
      </c>
      <c r="I16835" s="4" t="str">
        <v/>
      </c>
    </row>
    <row r="16836" spans="5:9" ht="16.5" hidden="1">
      <c r="E16836" s="4" t="str">
        <v/>
      </c>
      <c r="F16836" s="102" t="str">
        <f ca="1">IFERROR(__xludf.DUMMYFUNCTION("IMPORTRANGE(H16836,""IDENTITAS UNIT!D9"")"),"#N/A")</f>
        <v>#N/A</v>
      </c>
      <c r="H16836" s="4" t="str">
        <v/>
      </c>
      <c r="I16836" s="4" t="str">
        <v/>
      </c>
    </row>
    <row r="16837" spans="5:9" ht="16.5" hidden="1">
      <c r="E16837" s="4" t="str">
        <v/>
      </c>
      <c r="F16837" s="102" t="str">
        <f ca="1">IFERROR(__xludf.DUMMYFUNCTION("IMPORTRANGE(H16837,""IDENTITAS UNIT!D9"")"),"#N/A")</f>
        <v>#N/A</v>
      </c>
      <c r="H16837" s="4" t="str">
        <v/>
      </c>
      <c r="I16837" s="4" t="str">
        <v/>
      </c>
    </row>
    <row r="16838" spans="5:9" ht="16.5" hidden="1">
      <c r="E16838" s="4" t="str">
        <v/>
      </c>
      <c r="F16838" s="102" t="str">
        <f ca="1">IFERROR(__xludf.DUMMYFUNCTION("IMPORTRANGE(H16838,""IDENTITAS UNIT!D9"")"),"#N/A")</f>
        <v>#N/A</v>
      </c>
      <c r="H16838" s="4" t="str">
        <v/>
      </c>
      <c r="I16838" s="4" t="str">
        <v/>
      </c>
    </row>
    <row r="16839" spans="5:9" ht="16.5" hidden="1">
      <c r="E16839" s="4" t="str">
        <v/>
      </c>
      <c r="F16839" s="102" t="str">
        <f ca="1">IFERROR(__xludf.DUMMYFUNCTION("IMPORTRANGE(H16839,""IDENTITAS UNIT!D9"")"),"#N/A")</f>
        <v>#N/A</v>
      </c>
      <c r="H16839" s="4" t="str">
        <v/>
      </c>
      <c r="I16839" s="4" t="str">
        <v/>
      </c>
    </row>
    <row r="16840" spans="5:9" ht="16.5" hidden="1">
      <c r="E16840" s="4" t="str">
        <v/>
      </c>
      <c r="F16840" s="102" t="str">
        <f ca="1">IFERROR(__xludf.DUMMYFUNCTION("IMPORTRANGE(H16840,""IDENTITAS UNIT!D9"")"),"#N/A")</f>
        <v>#N/A</v>
      </c>
      <c r="H16840" s="4" t="str">
        <v/>
      </c>
      <c r="I16840" s="4" t="str">
        <v/>
      </c>
    </row>
    <row r="16841" spans="5:9" ht="16.5" hidden="1">
      <c r="E16841" s="4" t="str">
        <v/>
      </c>
      <c r="F16841" s="102" t="str">
        <f ca="1">IFERROR(__xludf.DUMMYFUNCTION("IMPORTRANGE(H16841,""IDENTITAS UNIT!D9"")"),"#N/A")</f>
        <v>#N/A</v>
      </c>
      <c r="H16841" s="4" t="str">
        <v/>
      </c>
      <c r="I16841" s="4" t="str">
        <v/>
      </c>
    </row>
    <row r="16842" spans="5:9" ht="16.5" hidden="1">
      <c r="E16842" s="4" t="str">
        <v/>
      </c>
      <c r="F16842" s="102" t="str">
        <f ca="1">IFERROR(__xludf.DUMMYFUNCTION("IMPORTRANGE(H16842,""IDENTITAS UNIT!D9"")"),"#N/A")</f>
        <v>#N/A</v>
      </c>
      <c r="H16842" s="4" t="str">
        <v/>
      </c>
      <c r="I16842" s="4" t="str">
        <v/>
      </c>
    </row>
    <row r="16843" spans="5:9" ht="16.5" hidden="1">
      <c r="E16843" s="4" t="str">
        <v/>
      </c>
      <c r="F16843" s="102" t="str">
        <f ca="1">IFERROR(__xludf.DUMMYFUNCTION("IMPORTRANGE(H16843,""IDENTITAS UNIT!D9"")"),"#N/A")</f>
        <v>#N/A</v>
      </c>
      <c r="H16843" s="4" t="str">
        <v/>
      </c>
      <c r="I16843" s="4" t="str">
        <v/>
      </c>
    </row>
    <row r="16844" spans="5:9" ht="16.5" hidden="1">
      <c r="E16844" s="4" t="str">
        <v/>
      </c>
      <c r="F16844" s="102" t="str">
        <f ca="1">IFERROR(__xludf.DUMMYFUNCTION("IMPORTRANGE(H16844,""IDENTITAS UNIT!D9"")"),"#N/A")</f>
        <v>#N/A</v>
      </c>
      <c r="H16844" s="4" t="str">
        <v/>
      </c>
      <c r="I16844" s="4" t="str">
        <v/>
      </c>
    </row>
    <row r="16845" spans="5:9" ht="16.5" hidden="1">
      <c r="E16845" s="4" t="str">
        <v/>
      </c>
      <c r="F16845" s="102" t="str">
        <f ca="1">IFERROR(__xludf.DUMMYFUNCTION("IMPORTRANGE(H16845,""IDENTITAS UNIT!D9"")"),"#N/A")</f>
        <v>#N/A</v>
      </c>
      <c r="H16845" s="4" t="str">
        <v/>
      </c>
      <c r="I16845" s="4" t="str">
        <v/>
      </c>
    </row>
    <row r="16846" spans="5:9" ht="16.5" hidden="1">
      <c r="E16846" s="4" t="str">
        <v/>
      </c>
      <c r="F16846" s="102" t="str">
        <f ca="1">IFERROR(__xludf.DUMMYFUNCTION("IMPORTRANGE(H16846,""IDENTITAS UNIT!D9"")"),"#N/A")</f>
        <v>#N/A</v>
      </c>
      <c r="H16846" s="4" t="str">
        <v/>
      </c>
      <c r="I16846" s="4" t="str">
        <v/>
      </c>
    </row>
    <row r="16847" spans="5:9" ht="16.5" hidden="1">
      <c r="E16847" s="4" t="str">
        <v/>
      </c>
      <c r="F16847" s="102" t="str">
        <f ca="1">IFERROR(__xludf.DUMMYFUNCTION("IMPORTRANGE(H16847,""IDENTITAS UNIT!D9"")"),"#N/A")</f>
        <v>#N/A</v>
      </c>
      <c r="H16847" s="4" t="str">
        <v/>
      </c>
      <c r="I16847" s="4" t="str">
        <v/>
      </c>
    </row>
    <row r="16848" spans="5:9" ht="16.5" hidden="1">
      <c r="E16848" s="4" t="str">
        <v/>
      </c>
      <c r="F16848" s="102" t="str">
        <f ca="1">IFERROR(__xludf.DUMMYFUNCTION("IMPORTRANGE(H16848,""IDENTITAS UNIT!D9"")"),"#N/A")</f>
        <v>#N/A</v>
      </c>
      <c r="H16848" s="4" t="str">
        <v/>
      </c>
      <c r="I16848" s="4" t="str">
        <v/>
      </c>
    </row>
    <row r="16849" spans="5:9" ht="16.5" hidden="1">
      <c r="E16849" s="4" t="str">
        <v/>
      </c>
      <c r="F16849" s="102" t="str">
        <f ca="1">IFERROR(__xludf.DUMMYFUNCTION("IMPORTRANGE(H16849,""IDENTITAS UNIT!D9"")"),"#N/A")</f>
        <v>#N/A</v>
      </c>
      <c r="H16849" s="4" t="str">
        <v/>
      </c>
      <c r="I16849" s="4" t="str">
        <v/>
      </c>
    </row>
    <row r="16850" spans="5:9" ht="16.5" hidden="1">
      <c r="E16850" s="4" t="str">
        <v/>
      </c>
      <c r="F16850" s="102" t="str">
        <f ca="1">IFERROR(__xludf.DUMMYFUNCTION("IMPORTRANGE(H16850,""IDENTITAS UNIT!D9"")"),"#N/A")</f>
        <v>#N/A</v>
      </c>
      <c r="H16850" s="4" t="str">
        <v/>
      </c>
      <c r="I16850" s="4" t="str">
        <v/>
      </c>
    </row>
    <row r="16851" spans="5:9" ht="16.5" hidden="1">
      <c r="E16851" s="4" t="str">
        <v/>
      </c>
      <c r="F16851" s="102" t="str">
        <f ca="1">IFERROR(__xludf.DUMMYFUNCTION("IMPORTRANGE(H16851,""IDENTITAS UNIT!D9"")"),"#N/A")</f>
        <v>#N/A</v>
      </c>
      <c r="H16851" s="4" t="str">
        <v/>
      </c>
      <c r="I16851" s="4" t="str">
        <v/>
      </c>
    </row>
    <row r="16852" spans="5:9" ht="16.5" hidden="1">
      <c r="E16852" s="4" t="str">
        <v/>
      </c>
      <c r="F16852" s="102" t="str">
        <f ca="1">IFERROR(__xludf.DUMMYFUNCTION("IMPORTRANGE(H16852,""IDENTITAS UNIT!D9"")"),"#N/A")</f>
        <v>#N/A</v>
      </c>
      <c r="H16852" s="4" t="str">
        <v/>
      </c>
      <c r="I16852" s="4" t="str">
        <v/>
      </c>
    </row>
    <row r="16853" spans="5:9" ht="16.5" hidden="1">
      <c r="E16853" s="4" t="str">
        <v/>
      </c>
      <c r="F16853" s="102" t="str">
        <f ca="1">IFERROR(__xludf.DUMMYFUNCTION("IMPORTRANGE(H16853,""IDENTITAS UNIT!D9"")"),"#N/A")</f>
        <v>#N/A</v>
      </c>
      <c r="H16853" s="4" t="str">
        <v/>
      </c>
      <c r="I16853" s="4" t="str">
        <v/>
      </c>
    </row>
    <row r="16854" spans="5:9" ht="16.5" hidden="1">
      <c r="E16854" s="4" t="str">
        <v/>
      </c>
      <c r="F16854" s="102" t="str">
        <f ca="1">IFERROR(__xludf.DUMMYFUNCTION("IMPORTRANGE(H16854,""IDENTITAS UNIT!D9"")"),"#N/A")</f>
        <v>#N/A</v>
      </c>
      <c r="H16854" s="4" t="str">
        <v/>
      </c>
      <c r="I16854" s="4" t="str">
        <v/>
      </c>
    </row>
    <row r="16855" spans="5:9" ht="16.5" hidden="1">
      <c r="E16855" s="4" t="str">
        <v/>
      </c>
      <c r="F16855" s="102" t="str">
        <f ca="1">IFERROR(__xludf.DUMMYFUNCTION("IMPORTRANGE(H16855,""IDENTITAS UNIT!D9"")"),"#N/A")</f>
        <v>#N/A</v>
      </c>
      <c r="H16855" s="4" t="str">
        <v/>
      </c>
      <c r="I16855" s="4" t="str">
        <v/>
      </c>
    </row>
    <row r="16856" spans="5:9" ht="16.5" hidden="1">
      <c r="E16856" s="4" t="str">
        <v/>
      </c>
      <c r="F16856" s="102" t="str">
        <f ca="1">IFERROR(__xludf.DUMMYFUNCTION("IMPORTRANGE(H16856,""IDENTITAS UNIT!D9"")"),"#N/A")</f>
        <v>#N/A</v>
      </c>
      <c r="H16856" s="4" t="str">
        <v/>
      </c>
      <c r="I16856" s="4" t="str">
        <v/>
      </c>
    </row>
    <row r="16857" spans="5:9" ht="16.5" hidden="1">
      <c r="E16857" s="4" t="str">
        <v/>
      </c>
      <c r="F16857" s="102" t="str">
        <f ca="1">IFERROR(__xludf.DUMMYFUNCTION("IMPORTRANGE(H16857,""IDENTITAS UNIT!D9"")"),"#N/A")</f>
        <v>#N/A</v>
      </c>
      <c r="H16857" s="4" t="str">
        <v/>
      </c>
      <c r="I16857" s="4" t="str">
        <v/>
      </c>
    </row>
    <row r="16858" spans="5:9" ht="16.5" hidden="1">
      <c r="E16858" s="4" t="str">
        <v/>
      </c>
      <c r="F16858" s="102" t="str">
        <f ca="1">IFERROR(__xludf.DUMMYFUNCTION("IMPORTRANGE(H16858,""IDENTITAS UNIT!D9"")"),"#N/A")</f>
        <v>#N/A</v>
      </c>
      <c r="H16858" s="4" t="str">
        <v/>
      </c>
      <c r="I16858" s="4" t="str">
        <v/>
      </c>
    </row>
    <row r="16859" spans="5:9" ht="16.5" hidden="1">
      <c r="E16859" s="4" t="str">
        <v/>
      </c>
      <c r="F16859" s="102" t="str">
        <f ca="1">IFERROR(__xludf.DUMMYFUNCTION("IMPORTRANGE(H16859,""IDENTITAS UNIT!D9"")"),"#N/A")</f>
        <v>#N/A</v>
      </c>
      <c r="H16859" s="4" t="str">
        <v/>
      </c>
      <c r="I16859" s="4" t="str">
        <v/>
      </c>
    </row>
    <row r="16860" spans="5:9" ht="16.5" hidden="1">
      <c r="E16860" s="4" t="str">
        <v/>
      </c>
      <c r="F16860" s="102" t="str">
        <f ca="1">IFERROR(__xludf.DUMMYFUNCTION("IMPORTRANGE(H16860,""IDENTITAS UNIT!D9"")"),"#N/A")</f>
        <v>#N/A</v>
      </c>
      <c r="H16860" s="4" t="str">
        <v/>
      </c>
      <c r="I16860" s="4" t="str">
        <v/>
      </c>
    </row>
    <row r="16861" spans="5:9" ht="16.5" hidden="1">
      <c r="E16861" s="4" t="str">
        <v/>
      </c>
      <c r="F16861" s="102" t="str">
        <f ca="1">IFERROR(__xludf.DUMMYFUNCTION("IMPORTRANGE(H16861,""IDENTITAS UNIT!D9"")"),"#N/A")</f>
        <v>#N/A</v>
      </c>
      <c r="H16861" s="4" t="str">
        <v/>
      </c>
      <c r="I16861" s="4" t="str">
        <v/>
      </c>
    </row>
    <row r="16862" spans="5:9" ht="16.5" hidden="1">
      <c r="E16862" s="4" t="str">
        <v/>
      </c>
      <c r="F16862" s="102" t="str">
        <f ca="1">IFERROR(__xludf.DUMMYFUNCTION("IMPORTRANGE(H16862,""IDENTITAS UNIT!D9"")"),"#N/A")</f>
        <v>#N/A</v>
      </c>
      <c r="H16862" s="4" t="str">
        <v/>
      </c>
      <c r="I16862" s="4" t="str">
        <v/>
      </c>
    </row>
    <row r="16863" spans="5:9" ht="16.5" hidden="1">
      <c r="E16863" s="4" t="str">
        <v/>
      </c>
      <c r="F16863" s="102" t="str">
        <f ca="1">IFERROR(__xludf.DUMMYFUNCTION("IMPORTRANGE(H16863,""IDENTITAS UNIT!D9"")"),"#N/A")</f>
        <v>#N/A</v>
      </c>
      <c r="H16863" s="4" t="str">
        <v/>
      </c>
      <c r="I16863" s="4" t="str">
        <v/>
      </c>
    </row>
    <row r="16864" spans="5:9" ht="16.5" hidden="1">
      <c r="E16864" s="4" t="str">
        <v/>
      </c>
      <c r="F16864" s="102" t="str">
        <f ca="1">IFERROR(__xludf.DUMMYFUNCTION("IMPORTRANGE(H16864,""IDENTITAS UNIT!D9"")"),"#N/A")</f>
        <v>#N/A</v>
      </c>
      <c r="H16864" s="4" t="str">
        <v/>
      </c>
      <c r="I16864" s="4" t="str">
        <v/>
      </c>
    </row>
    <row r="16865" spans="5:9" ht="16.5" hidden="1">
      <c r="E16865" s="4" t="str">
        <v/>
      </c>
      <c r="F16865" s="102" t="str">
        <f ca="1">IFERROR(__xludf.DUMMYFUNCTION("IMPORTRANGE(H16865,""IDENTITAS UNIT!D9"")"),"#N/A")</f>
        <v>#N/A</v>
      </c>
      <c r="H16865" s="4" t="str">
        <v/>
      </c>
      <c r="I16865" s="4" t="str">
        <v/>
      </c>
    </row>
    <row r="16866" spans="5:9" ht="16.5" hidden="1">
      <c r="E16866" s="4" t="str">
        <v/>
      </c>
      <c r="F16866" s="102" t="str">
        <f ca="1">IFERROR(__xludf.DUMMYFUNCTION("IMPORTRANGE(H16866,""IDENTITAS UNIT!D9"")"),"#N/A")</f>
        <v>#N/A</v>
      </c>
      <c r="H16866" s="4" t="str">
        <v/>
      </c>
      <c r="I16866" s="4" t="str">
        <v/>
      </c>
    </row>
    <row r="16867" spans="5:9" ht="16.5" hidden="1">
      <c r="E16867" s="4" t="str">
        <v/>
      </c>
      <c r="F16867" s="102" t="str">
        <f ca="1">IFERROR(__xludf.DUMMYFUNCTION("IMPORTRANGE(H16867,""IDENTITAS UNIT!D9"")"),"#N/A")</f>
        <v>#N/A</v>
      </c>
      <c r="H16867" s="4" t="str">
        <v/>
      </c>
      <c r="I16867" s="4" t="str">
        <v/>
      </c>
    </row>
    <row r="16868" spans="5:9" ht="16.5" hidden="1">
      <c r="E16868" s="4" t="str">
        <v/>
      </c>
      <c r="F16868" s="102" t="str">
        <f ca="1">IFERROR(__xludf.DUMMYFUNCTION("IMPORTRANGE(H16868,""IDENTITAS UNIT!D9"")"),"#N/A")</f>
        <v>#N/A</v>
      </c>
      <c r="H16868" s="4" t="str">
        <v/>
      </c>
      <c r="I16868" s="4" t="str">
        <v/>
      </c>
    </row>
    <row r="16869" spans="5:9" ht="16.5" hidden="1">
      <c r="E16869" s="4" t="str">
        <v/>
      </c>
      <c r="F16869" s="102" t="str">
        <f ca="1">IFERROR(__xludf.DUMMYFUNCTION("IMPORTRANGE(H16869,""IDENTITAS UNIT!D9"")"),"#N/A")</f>
        <v>#N/A</v>
      </c>
      <c r="H16869" s="4" t="str">
        <v/>
      </c>
      <c r="I16869" s="4" t="str">
        <v/>
      </c>
    </row>
    <row r="16870" spans="5:9" ht="16.5" hidden="1">
      <c r="E16870" s="4" t="str">
        <v/>
      </c>
      <c r="F16870" s="102" t="str">
        <f ca="1">IFERROR(__xludf.DUMMYFUNCTION("IMPORTRANGE(H16870,""IDENTITAS UNIT!D9"")"),"#N/A")</f>
        <v>#N/A</v>
      </c>
      <c r="H16870" s="4" t="str">
        <v/>
      </c>
      <c r="I16870" s="4" t="str">
        <v/>
      </c>
    </row>
    <row r="16871" spans="5:9" ht="16.5" hidden="1">
      <c r="E16871" s="4" t="str">
        <v/>
      </c>
      <c r="F16871" s="102" t="str">
        <f ca="1">IFERROR(__xludf.DUMMYFUNCTION("IMPORTRANGE(H16871,""IDENTITAS UNIT!D9"")"),"#N/A")</f>
        <v>#N/A</v>
      </c>
      <c r="H16871" s="4" t="str">
        <v/>
      </c>
      <c r="I16871" s="4" t="str">
        <v/>
      </c>
    </row>
    <row r="16872" spans="5:9" ht="16.5" hidden="1">
      <c r="E16872" s="4" t="str">
        <v/>
      </c>
      <c r="F16872" s="102" t="str">
        <f ca="1">IFERROR(__xludf.DUMMYFUNCTION("IMPORTRANGE(H16872,""IDENTITAS UNIT!D9"")"),"#N/A")</f>
        <v>#N/A</v>
      </c>
      <c r="H16872" s="4" t="str">
        <v/>
      </c>
      <c r="I16872" s="4" t="str">
        <v/>
      </c>
    </row>
    <row r="16873" spans="5:9" ht="16.5" hidden="1">
      <c r="E16873" s="4" t="str">
        <v/>
      </c>
      <c r="F16873" s="102" t="str">
        <f ca="1">IFERROR(__xludf.DUMMYFUNCTION("IMPORTRANGE(H16873,""IDENTITAS UNIT!D9"")"),"#N/A")</f>
        <v>#N/A</v>
      </c>
      <c r="H16873" s="4" t="str">
        <v/>
      </c>
      <c r="I16873" s="4" t="str">
        <v/>
      </c>
    </row>
    <row r="16874" spans="5:9" ht="16.5" hidden="1">
      <c r="E16874" s="4" t="str">
        <v/>
      </c>
      <c r="F16874" s="102" t="str">
        <f ca="1">IFERROR(__xludf.DUMMYFUNCTION("IMPORTRANGE(H16874,""IDENTITAS UNIT!D9"")"),"#N/A")</f>
        <v>#N/A</v>
      </c>
      <c r="H16874" s="4" t="str">
        <v/>
      </c>
      <c r="I16874" s="4" t="str">
        <v/>
      </c>
    </row>
    <row r="16875" spans="5:9" ht="16.5" hidden="1">
      <c r="E16875" s="4" t="str">
        <v/>
      </c>
      <c r="F16875" s="102" t="str">
        <f ca="1">IFERROR(__xludf.DUMMYFUNCTION("IMPORTRANGE(H16875,""IDENTITAS UNIT!D9"")"),"#N/A")</f>
        <v>#N/A</v>
      </c>
      <c r="H16875" s="4" t="str">
        <v/>
      </c>
      <c r="I16875" s="4" t="str">
        <v/>
      </c>
    </row>
    <row r="16876" spans="5:9" ht="16.5" hidden="1">
      <c r="E16876" s="4" t="str">
        <v/>
      </c>
      <c r="F16876" s="102" t="str">
        <f ca="1">IFERROR(__xludf.DUMMYFUNCTION("IMPORTRANGE(H16876,""IDENTITAS UNIT!D9"")"),"#N/A")</f>
        <v>#N/A</v>
      </c>
      <c r="H16876" s="4" t="str">
        <v/>
      </c>
      <c r="I16876" s="4" t="str">
        <v/>
      </c>
    </row>
    <row r="16877" spans="5:9" ht="16.5" hidden="1">
      <c r="E16877" s="4" t="str">
        <v/>
      </c>
      <c r="F16877" s="102" t="str">
        <f ca="1">IFERROR(__xludf.DUMMYFUNCTION("IMPORTRANGE(H16877,""IDENTITAS UNIT!D9"")"),"#N/A")</f>
        <v>#N/A</v>
      </c>
      <c r="H16877" s="4" t="str">
        <v/>
      </c>
      <c r="I16877" s="4" t="str">
        <v/>
      </c>
    </row>
    <row r="16878" spans="5:9" ht="16.5" hidden="1">
      <c r="E16878" s="4" t="str">
        <v/>
      </c>
      <c r="F16878" s="102" t="str">
        <f ca="1">IFERROR(__xludf.DUMMYFUNCTION("IMPORTRANGE(H16878,""IDENTITAS UNIT!D9"")"),"#N/A")</f>
        <v>#N/A</v>
      </c>
      <c r="H16878" s="4" t="str">
        <v/>
      </c>
      <c r="I16878" s="4" t="str">
        <v/>
      </c>
    </row>
    <row r="16879" spans="5:9" ht="16.5" hidden="1">
      <c r="E16879" s="4" t="str">
        <v/>
      </c>
      <c r="F16879" s="102" t="str">
        <f ca="1">IFERROR(__xludf.DUMMYFUNCTION("IMPORTRANGE(H16879,""IDENTITAS UNIT!D9"")"),"#N/A")</f>
        <v>#N/A</v>
      </c>
      <c r="H16879" s="4" t="str">
        <v/>
      </c>
      <c r="I16879" s="4" t="str">
        <v/>
      </c>
    </row>
    <row r="16880" spans="5:9" ht="16.5" hidden="1">
      <c r="E16880" s="4" t="str">
        <v/>
      </c>
      <c r="F16880" s="102" t="str">
        <f ca="1">IFERROR(__xludf.DUMMYFUNCTION("IMPORTRANGE(H16880,""IDENTITAS UNIT!D9"")"),"#N/A")</f>
        <v>#N/A</v>
      </c>
      <c r="H16880" s="4" t="str">
        <v/>
      </c>
      <c r="I16880" s="4" t="str">
        <v/>
      </c>
    </row>
    <row r="16881" spans="5:9" ht="16.5" hidden="1">
      <c r="E16881" s="4" t="str">
        <v/>
      </c>
      <c r="F16881" s="102" t="str">
        <f ca="1">IFERROR(__xludf.DUMMYFUNCTION("IMPORTRANGE(H16881,""IDENTITAS UNIT!D9"")"),"#N/A")</f>
        <v>#N/A</v>
      </c>
      <c r="H16881" s="4" t="str">
        <v/>
      </c>
      <c r="I16881" s="4" t="str">
        <v/>
      </c>
    </row>
    <row r="16882" spans="5:9" ht="16.5" hidden="1">
      <c r="E16882" s="4" t="str">
        <v/>
      </c>
      <c r="F16882" s="102" t="str">
        <f ca="1">IFERROR(__xludf.DUMMYFUNCTION("IMPORTRANGE(H16882,""IDENTITAS UNIT!D9"")"),"#N/A")</f>
        <v>#N/A</v>
      </c>
      <c r="H16882" s="4" t="str">
        <v/>
      </c>
      <c r="I16882" s="4" t="str">
        <v/>
      </c>
    </row>
    <row r="16883" spans="5:9" ht="16.5" hidden="1">
      <c r="E16883" s="4" t="str">
        <v/>
      </c>
      <c r="F16883" s="102" t="str">
        <f ca="1">IFERROR(__xludf.DUMMYFUNCTION("IMPORTRANGE(H16883,""IDENTITAS UNIT!D9"")"),"#N/A")</f>
        <v>#N/A</v>
      </c>
      <c r="H16883" s="4" t="str">
        <v/>
      </c>
      <c r="I16883" s="4" t="str">
        <v/>
      </c>
    </row>
    <row r="16884" spans="5:9" ht="16.5" hidden="1">
      <c r="E16884" s="4" t="str">
        <v/>
      </c>
      <c r="F16884" s="102" t="str">
        <f ca="1">IFERROR(__xludf.DUMMYFUNCTION("IMPORTRANGE(H16884,""IDENTITAS UNIT!D9"")"),"#N/A")</f>
        <v>#N/A</v>
      </c>
      <c r="H16884" s="4" t="str">
        <v/>
      </c>
      <c r="I16884" s="4" t="str">
        <v/>
      </c>
    </row>
    <row r="16885" spans="5:9" ht="16.5" hidden="1">
      <c r="E16885" s="4" t="str">
        <v/>
      </c>
      <c r="F16885" s="102" t="str">
        <f ca="1">IFERROR(__xludf.DUMMYFUNCTION("IMPORTRANGE(H16885,""IDENTITAS UNIT!D9"")"),"#N/A")</f>
        <v>#N/A</v>
      </c>
      <c r="H16885" s="4" t="str">
        <v/>
      </c>
      <c r="I16885" s="4" t="str">
        <v/>
      </c>
    </row>
    <row r="16886" spans="5:9" ht="16.5" hidden="1">
      <c r="E16886" s="4" t="str">
        <v/>
      </c>
      <c r="F16886" s="102" t="str">
        <f ca="1">IFERROR(__xludf.DUMMYFUNCTION("IMPORTRANGE(H16886,""IDENTITAS UNIT!D9"")"),"#N/A")</f>
        <v>#N/A</v>
      </c>
      <c r="H16886" s="4" t="str">
        <v/>
      </c>
      <c r="I16886" s="4" t="str">
        <v/>
      </c>
    </row>
    <row r="16887" spans="5:9" ht="16.5" hidden="1">
      <c r="E16887" s="4" t="str">
        <v/>
      </c>
      <c r="F16887" s="102" t="str">
        <f ca="1">IFERROR(__xludf.DUMMYFUNCTION("IMPORTRANGE(H16887,""IDENTITAS UNIT!D9"")"),"#N/A")</f>
        <v>#N/A</v>
      </c>
      <c r="H16887" s="4" t="str">
        <v/>
      </c>
      <c r="I16887" s="4" t="str">
        <v/>
      </c>
    </row>
    <row r="16888" spans="5:9" ht="16.5" hidden="1">
      <c r="E16888" s="4" t="str">
        <v/>
      </c>
      <c r="F16888" s="102" t="str">
        <f ca="1">IFERROR(__xludf.DUMMYFUNCTION("IMPORTRANGE(H16888,""IDENTITAS UNIT!D9"")"),"#N/A")</f>
        <v>#N/A</v>
      </c>
      <c r="H16888" s="4" t="str">
        <v/>
      </c>
      <c r="I16888" s="4" t="str">
        <v/>
      </c>
    </row>
    <row r="16889" spans="5:9" ht="16.5" hidden="1">
      <c r="E16889" s="4" t="str">
        <v/>
      </c>
      <c r="F16889" s="102" t="str">
        <f ca="1">IFERROR(__xludf.DUMMYFUNCTION("IMPORTRANGE(H16889,""IDENTITAS UNIT!D9"")"),"#N/A")</f>
        <v>#N/A</v>
      </c>
      <c r="H16889" s="4" t="str">
        <v/>
      </c>
      <c r="I16889" s="4" t="str">
        <v/>
      </c>
    </row>
    <row r="16890" spans="5:9" ht="16.5" hidden="1">
      <c r="E16890" s="4" t="str">
        <v/>
      </c>
      <c r="F16890" s="102" t="str">
        <f ca="1">IFERROR(__xludf.DUMMYFUNCTION("IMPORTRANGE(H16890,""IDENTITAS UNIT!D9"")"),"#N/A")</f>
        <v>#N/A</v>
      </c>
      <c r="H16890" s="4" t="str">
        <v/>
      </c>
      <c r="I16890" s="4" t="str">
        <v/>
      </c>
    </row>
    <row r="16891" spans="5:9" ht="16.5" hidden="1">
      <c r="E16891" s="4" t="str">
        <v/>
      </c>
      <c r="F16891" s="102" t="str">
        <f ca="1">IFERROR(__xludf.DUMMYFUNCTION("IMPORTRANGE(H16891,""IDENTITAS UNIT!D9"")"),"#N/A")</f>
        <v>#N/A</v>
      </c>
      <c r="H16891" s="4" t="str">
        <v/>
      </c>
      <c r="I16891" s="4" t="str">
        <v/>
      </c>
    </row>
    <row r="16892" spans="5:9" ht="16.5" hidden="1">
      <c r="E16892" s="4" t="str">
        <v/>
      </c>
      <c r="F16892" s="102" t="str">
        <f ca="1">IFERROR(__xludf.DUMMYFUNCTION("IMPORTRANGE(H16892,""IDENTITAS UNIT!D9"")"),"#N/A")</f>
        <v>#N/A</v>
      </c>
      <c r="H16892" s="4" t="str">
        <v/>
      </c>
      <c r="I16892" s="4" t="str">
        <v/>
      </c>
    </row>
    <row r="16893" spans="5:9" ht="16.5" hidden="1">
      <c r="E16893" s="4" t="str">
        <v/>
      </c>
      <c r="F16893" s="102" t="str">
        <f ca="1">IFERROR(__xludf.DUMMYFUNCTION("IMPORTRANGE(H16893,""IDENTITAS UNIT!D9"")"),"#N/A")</f>
        <v>#N/A</v>
      </c>
      <c r="H16893" s="4" t="str">
        <v/>
      </c>
      <c r="I16893" s="4" t="str">
        <v/>
      </c>
    </row>
    <row r="16894" spans="5:9" ht="16.5" hidden="1">
      <c r="E16894" s="4" t="str">
        <v/>
      </c>
      <c r="F16894" s="102" t="str">
        <f ca="1">IFERROR(__xludf.DUMMYFUNCTION("IMPORTRANGE(H16894,""IDENTITAS UNIT!D9"")"),"#N/A")</f>
        <v>#N/A</v>
      </c>
      <c r="H16894" s="4" t="str">
        <v/>
      </c>
      <c r="I16894" s="4" t="str">
        <v/>
      </c>
    </row>
    <row r="16895" spans="5:9" ht="16.5" hidden="1">
      <c r="E16895" s="4" t="str">
        <v/>
      </c>
      <c r="F16895" s="102" t="str">
        <f ca="1">IFERROR(__xludf.DUMMYFUNCTION("IMPORTRANGE(H16895,""IDENTITAS UNIT!D9"")"),"#N/A")</f>
        <v>#N/A</v>
      </c>
      <c r="H16895" s="4" t="str">
        <v/>
      </c>
      <c r="I16895" s="4" t="str">
        <v/>
      </c>
    </row>
    <row r="16896" spans="5:9" ht="16.5" hidden="1">
      <c r="E16896" s="4" t="str">
        <v/>
      </c>
      <c r="F16896" s="102" t="str">
        <f ca="1">IFERROR(__xludf.DUMMYFUNCTION("IMPORTRANGE(H16896,""IDENTITAS UNIT!D9"")"),"#N/A")</f>
        <v>#N/A</v>
      </c>
      <c r="H16896" s="4" t="str">
        <v/>
      </c>
      <c r="I16896" s="4" t="str">
        <v/>
      </c>
    </row>
    <row r="16897" spans="5:9" ht="16.5" hidden="1">
      <c r="E16897" s="4" t="str">
        <v/>
      </c>
      <c r="F16897" s="102" t="str">
        <f ca="1">IFERROR(__xludf.DUMMYFUNCTION("IMPORTRANGE(H16897,""IDENTITAS UNIT!D9"")"),"#N/A")</f>
        <v>#N/A</v>
      </c>
      <c r="H16897" s="4" t="str">
        <v/>
      </c>
      <c r="I16897" s="4" t="str">
        <v/>
      </c>
    </row>
    <row r="16898" spans="5:9" ht="16.5" hidden="1">
      <c r="E16898" s="4" t="str">
        <v/>
      </c>
      <c r="F16898" s="102" t="str">
        <f ca="1">IFERROR(__xludf.DUMMYFUNCTION("IMPORTRANGE(H16898,""IDENTITAS UNIT!D9"")"),"#N/A")</f>
        <v>#N/A</v>
      </c>
      <c r="H16898" s="4" t="str">
        <v/>
      </c>
      <c r="I16898" s="4" t="str">
        <v/>
      </c>
    </row>
    <row r="16899" spans="5:9" ht="16.5" hidden="1">
      <c r="E16899" s="4" t="str">
        <v/>
      </c>
      <c r="F16899" s="102" t="str">
        <f ca="1">IFERROR(__xludf.DUMMYFUNCTION("IMPORTRANGE(H16899,""IDENTITAS UNIT!D9"")"),"#N/A")</f>
        <v>#N/A</v>
      </c>
      <c r="H16899" s="4" t="str">
        <v/>
      </c>
      <c r="I16899" s="4" t="str">
        <v/>
      </c>
    </row>
    <row r="16900" spans="5:9" ht="16.5" hidden="1">
      <c r="E16900" s="4" t="str">
        <v/>
      </c>
      <c r="F16900" s="102" t="str">
        <f ca="1">IFERROR(__xludf.DUMMYFUNCTION("IMPORTRANGE(H16900,""IDENTITAS UNIT!D9"")"),"#N/A")</f>
        <v>#N/A</v>
      </c>
      <c r="H16900" s="4" t="str">
        <v/>
      </c>
      <c r="I16900" s="4" t="str">
        <v/>
      </c>
    </row>
    <row r="16901" spans="5:9" ht="16.5" hidden="1">
      <c r="E16901" s="4" t="str">
        <v/>
      </c>
      <c r="F16901" s="102" t="str">
        <f ca="1">IFERROR(__xludf.DUMMYFUNCTION("IMPORTRANGE(H16901,""IDENTITAS UNIT!D9"")"),"#N/A")</f>
        <v>#N/A</v>
      </c>
      <c r="H16901" s="4" t="str">
        <v/>
      </c>
      <c r="I16901" s="4" t="str">
        <v/>
      </c>
    </row>
    <row r="16902" spans="5:9" ht="16.5" hidden="1">
      <c r="E16902" s="4" t="str">
        <v/>
      </c>
      <c r="F16902" s="102" t="str">
        <f ca="1">IFERROR(__xludf.DUMMYFUNCTION("IMPORTRANGE(H16902,""IDENTITAS UNIT!D9"")"),"#N/A")</f>
        <v>#N/A</v>
      </c>
      <c r="H16902" s="4" t="str">
        <v/>
      </c>
      <c r="I16902" s="4" t="str">
        <v/>
      </c>
    </row>
    <row r="16903" spans="5:9" ht="16.5" hidden="1">
      <c r="E16903" s="4" t="str">
        <v/>
      </c>
      <c r="F16903" s="102" t="str">
        <f ca="1">IFERROR(__xludf.DUMMYFUNCTION("IMPORTRANGE(H16903,""IDENTITAS UNIT!D9"")"),"#N/A")</f>
        <v>#N/A</v>
      </c>
      <c r="H16903" s="4" t="str">
        <v/>
      </c>
      <c r="I16903" s="4" t="str">
        <v/>
      </c>
    </row>
    <row r="16904" spans="5:9" ht="16.5" hidden="1">
      <c r="E16904" s="4" t="str">
        <v/>
      </c>
      <c r="F16904" s="102" t="str">
        <f ca="1">IFERROR(__xludf.DUMMYFUNCTION("IMPORTRANGE(H16904,""IDENTITAS UNIT!D9"")"),"#N/A")</f>
        <v>#N/A</v>
      </c>
      <c r="H16904" s="4" t="str">
        <v/>
      </c>
      <c r="I16904" s="4" t="str">
        <v/>
      </c>
    </row>
    <row r="16905" spans="5:9" ht="16.5" hidden="1">
      <c r="E16905" s="4" t="str">
        <v/>
      </c>
      <c r="F16905" s="102" t="str">
        <f ca="1">IFERROR(__xludf.DUMMYFUNCTION("IMPORTRANGE(H16905,""IDENTITAS UNIT!D9"")"),"#N/A")</f>
        <v>#N/A</v>
      </c>
      <c r="H16905" s="4" t="str">
        <v/>
      </c>
      <c r="I16905" s="4" t="str">
        <v/>
      </c>
    </row>
    <row r="16906" spans="5:9" ht="16.5" hidden="1">
      <c r="E16906" s="4" t="str">
        <v/>
      </c>
      <c r="F16906" s="102" t="str">
        <f ca="1">IFERROR(__xludf.DUMMYFUNCTION("IMPORTRANGE(H16906,""IDENTITAS UNIT!D9"")"),"#N/A")</f>
        <v>#N/A</v>
      </c>
      <c r="H16906" s="4" t="str">
        <v/>
      </c>
      <c r="I16906" s="4" t="str">
        <v/>
      </c>
    </row>
    <row r="16907" spans="5:9" ht="16.5" hidden="1">
      <c r="E16907" s="4" t="str">
        <v/>
      </c>
      <c r="F16907" s="102" t="str">
        <f ca="1">IFERROR(__xludf.DUMMYFUNCTION("IMPORTRANGE(H16907,""IDENTITAS UNIT!D9"")"),"#N/A")</f>
        <v>#N/A</v>
      </c>
      <c r="H16907" s="4" t="str">
        <v/>
      </c>
      <c r="I16907" s="4" t="str">
        <v/>
      </c>
    </row>
    <row r="16908" spans="5:9" ht="16.5" hidden="1">
      <c r="E16908" s="4" t="str">
        <v/>
      </c>
      <c r="F16908" s="102" t="str">
        <f ca="1">IFERROR(__xludf.DUMMYFUNCTION("IMPORTRANGE(H16908,""IDENTITAS UNIT!D9"")"),"#N/A")</f>
        <v>#N/A</v>
      </c>
      <c r="H16908" s="4" t="str">
        <v/>
      </c>
      <c r="I16908" s="4" t="str">
        <v/>
      </c>
    </row>
    <row r="16909" spans="5:9" ht="16.5" hidden="1">
      <c r="E16909" s="4" t="str">
        <v/>
      </c>
      <c r="F16909" s="102" t="str">
        <f ca="1">IFERROR(__xludf.DUMMYFUNCTION("IMPORTRANGE(H16909,""IDENTITAS UNIT!D9"")"),"#N/A")</f>
        <v>#N/A</v>
      </c>
      <c r="H16909" s="4" t="str">
        <v/>
      </c>
      <c r="I16909" s="4" t="str">
        <v/>
      </c>
    </row>
    <row r="16910" spans="5:9" ht="16.5" hidden="1">
      <c r="E16910" s="4" t="str">
        <v/>
      </c>
      <c r="F16910" s="102" t="str">
        <f ca="1">IFERROR(__xludf.DUMMYFUNCTION("IMPORTRANGE(H16910,""IDENTITAS UNIT!D9"")"),"#N/A")</f>
        <v>#N/A</v>
      </c>
      <c r="H16910" s="4" t="str">
        <v/>
      </c>
      <c r="I16910" s="4" t="str">
        <v/>
      </c>
    </row>
    <row r="16911" spans="5:9" ht="16.5" hidden="1">
      <c r="E16911" s="4" t="str">
        <v/>
      </c>
      <c r="F16911" s="102" t="str">
        <f ca="1">IFERROR(__xludf.DUMMYFUNCTION("IMPORTRANGE(H16911,""IDENTITAS UNIT!D9"")"),"#N/A")</f>
        <v>#N/A</v>
      </c>
      <c r="H16911" s="4" t="str">
        <v/>
      </c>
      <c r="I16911" s="4" t="str">
        <v/>
      </c>
    </row>
    <row r="16912" spans="5:9" ht="16.5" hidden="1">
      <c r="E16912" s="4" t="str">
        <v/>
      </c>
      <c r="F16912" s="102" t="str">
        <f ca="1">IFERROR(__xludf.DUMMYFUNCTION("IMPORTRANGE(H16912,""IDENTITAS UNIT!D9"")"),"#N/A")</f>
        <v>#N/A</v>
      </c>
      <c r="H16912" s="4" t="str">
        <v/>
      </c>
      <c r="I16912" s="4" t="str">
        <v/>
      </c>
    </row>
    <row r="16913" spans="5:9" ht="16.5" hidden="1">
      <c r="E16913" s="4" t="str">
        <v/>
      </c>
      <c r="F16913" s="102" t="str">
        <f ca="1">IFERROR(__xludf.DUMMYFUNCTION("IMPORTRANGE(H16913,""IDENTITAS UNIT!D9"")"),"#N/A")</f>
        <v>#N/A</v>
      </c>
      <c r="H16913" s="4" t="str">
        <v/>
      </c>
      <c r="I16913" s="4" t="str">
        <v/>
      </c>
    </row>
    <row r="16914" spans="5:9" ht="16.5" hidden="1">
      <c r="E16914" s="4" t="str">
        <v/>
      </c>
      <c r="F16914" s="102" t="str">
        <f ca="1">IFERROR(__xludf.DUMMYFUNCTION("IMPORTRANGE(H16914,""IDENTITAS UNIT!D9"")"),"#N/A")</f>
        <v>#N/A</v>
      </c>
      <c r="H16914" s="4" t="str">
        <v/>
      </c>
      <c r="I16914" s="4" t="str">
        <v/>
      </c>
    </row>
    <row r="16915" spans="5:9" ht="16.5" hidden="1">
      <c r="E16915" s="4" t="str">
        <v/>
      </c>
      <c r="F16915" s="102" t="str">
        <f ca="1">IFERROR(__xludf.DUMMYFUNCTION("IMPORTRANGE(H16915,""IDENTITAS UNIT!D9"")"),"#N/A")</f>
        <v>#N/A</v>
      </c>
      <c r="H16915" s="4" t="str">
        <v/>
      </c>
      <c r="I16915" s="4" t="str">
        <v/>
      </c>
    </row>
    <row r="16916" spans="5:9" ht="16.5" hidden="1">
      <c r="E16916" s="4" t="str">
        <v/>
      </c>
      <c r="F16916" s="102" t="str">
        <f ca="1">IFERROR(__xludf.DUMMYFUNCTION("IMPORTRANGE(H16916,""IDENTITAS UNIT!D9"")"),"#N/A")</f>
        <v>#N/A</v>
      </c>
      <c r="H16916" s="4" t="str">
        <v/>
      </c>
      <c r="I16916" s="4" t="str">
        <v/>
      </c>
    </row>
    <row r="16917" spans="5:9" ht="16.5" hidden="1">
      <c r="E16917" s="4" t="str">
        <v/>
      </c>
      <c r="F16917" s="102" t="str">
        <f ca="1">IFERROR(__xludf.DUMMYFUNCTION("IMPORTRANGE(H16917,""IDENTITAS UNIT!D9"")"),"#N/A")</f>
        <v>#N/A</v>
      </c>
      <c r="H16917" s="4" t="str">
        <v/>
      </c>
      <c r="I16917" s="4" t="str">
        <v/>
      </c>
    </row>
    <row r="16918" spans="5:9" ht="16.5" hidden="1">
      <c r="E16918" s="4" t="str">
        <v/>
      </c>
      <c r="F16918" s="102" t="str">
        <f ca="1">IFERROR(__xludf.DUMMYFUNCTION("IMPORTRANGE(H16918,""IDENTITAS UNIT!D9"")"),"#N/A")</f>
        <v>#N/A</v>
      </c>
      <c r="H16918" s="4" t="str">
        <v/>
      </c>
      <c r="I16918" s="4" t="str">
        <v/>
      </c>
    </row>
    <row r="16919" spans="5:9" ht="16.5" hidden="1">
      <c r="E16919" s="4" t="str">
        <v/>
      </c>
      <c r="F16919" s="102" t="str">
        <f ca="1">IFERROR(__xludf.DUMMYFUNCTION("IMPORTRANGE(H16919,""IDENTITAS UNIT!D9"")"),"#N/A")</f>
        <v>#N/A</v>
      </c>
      <c r="H16919" s="4" t="str">
        <v/>
      </c>
      <c r="I16919" s="4" t="str">
        <v/>
      </c>
    </row>
    <row r="16920" spans="5:9" ht="16.5" hidden="1">
      <c r="E16920" s="4" t="str">
        <v/>
      </c>
      <c r="F16920" s="102" t="str">
        <f ca="1">IFERROR(__xludf.DUMMYFUNCTION("IMPORTRANGE(H16920,""IDENTITAS UNIT!D9"")"),"#N/A")</f>
        <v>#N/A</v>
      </c>
      <c r="H16920" s="4" t="str">
        <v/>
      </c>
      <c r="I16920" s="4" t="str">
        <v/>
      </c>
    </row>
    <row r="16921" spans="5:9" ht="16.5" hidden="1">
      <c r="E16921" s="4" t="str">
        <v/>
      </c>
      <c r="F16921" s="102" t="str">
        <f ca="1">IFERROR(__xludf.DUMMYFUNCTION("IMPORTRANGE(H16921,""IDENTITAS UNIT!D9"")"),"#N/A")</f>
        <v>#N/A</v>
      </c>
      <c r="H16921" s="4" t="str">
        <v/>
      </c>
      <c r="I16921" s="4" t="str">
        <v/>
      </c>
    </row>
    <row r="16922" spans="5:9" ht="16.5" hidden="1">
      <c r="E16922" s="4" t="str">
        <v/>
      </c>
      <c r="F16922" s="102" t="str">
        <f ca="1">IFERROR(__xludf.DUMMYFUNCTION("IMPORTRANGE(H16922,""IDENTITAS UNIT!D9"")"),"#N/A")</f>
        <v>#N/A</v>
      </c>
      <c r="H16922" s="4" t="str">
        <v/>
      </c>
      <c r="I16922" s="4" t="str">
        <v/>
      </c>
    </row>
    <row r="16923" spans="5:9" ht="16.5" hidden="1">
      <c r="E16923" s="4" t="str">
        <v/>
      </c>
      <c r="F16923" s="102" t="str">
        <f ca="1">IFERROR(__xludf.DUMMYFUNCTION("IMPORTRANGE(H16923,""IDENTITAS UNIT!D9"")"),"#N/A")</f>
        <v>#N/A</v>
      </c>
      <c r="H16923" s="4" t="str">
        <v/>
      </c>
      <c r="I16923" s="4" t="str">
        <v/>
      </c>
    </row>
    <row r="16924" spans="5:9" ht="16.5" hidden="1">
      <c r="E16924" s="4" t="str">
        <v/>
      </c>
      <c r="F16924" s="102" t="str">
        <f ca="1">IFERROR(__xludf.DUMMYFUNCTION("IMPORTRANGE(H16924,""IDENTITAS UNIT!D9"")"),"#N/A")</f>
        <v>#N/A</v>
      </c>
      <c r="H16924" s="4" t="str">
        <v/>
      </c>
      <c r="I16924" s="4" t="str">
        <v/>
      </c>
    </row>
    <row r="16925" spans="5:9" ht="16.5" hidden="1">
      <c r="E16925" s="4" t="str">
        <v/>
      </c>
      <c r="F16925" s="102" t="str">
        <f ca="1">IFERROR(__xludf.DUMMYFUNCTION("IMPORTRANGE(H16925,""IDENTITAS UNIT!D9"")"),"#N/A")</f>
        <v>#N/A</v>
      </c>
      <c r="H16925" s="4" t="str">
        <v/>
      </c>
      <c r="I16925" s="4" t="str">
        <v/>
      </c>
    </row>
    <row r="16926" spans="5:9" ht="16.5" hidden="1">
      <c r="E16926" s="4" t="str">
        <v/>
      </c>
      <c r="F16926" s="102" t="str">
        <f ca="1">IFERROR(__xludf.DUMMYFUNCTION("IMPORTRANGE(H16926,""IDENTITAS UNIT!D9"")"),"#N/A")</f>
        <v>#N/A</v>
      </c>
      <c r="H16926" s="4" t="str">
        <v/>
      </c>
      <c r="I16926" s="4" t="str">
        <v/>
      </c>
    </row>
    <row r="16927" spans="5:9" ht="16.5" hidden="1">
      <c r="E16927" s="4" t="str">
        <v/>
      </c>
      <c r="F16927" s="102" t="str">
        <f ca="1">IFERROR(__xludf.DUMMYFUNCTION("IMPORTRANGE(H16927,""IDENTITAS UNIT!D9"")"),"#N/A")</f>
        <v>#N/A</v>
      </c>
      <c r="H16927" s="4" t="str">
        <v/>
      </c>
      <c r="I16927" s="4" t="str">
        <v/>
      </c>
    </row>
    <row r="16928" spans="5:9" ht="16.5" hidden="1">
      <c r="E16928" s="4" t="str">
        <v/>
      </c>
      <c r="F16928" s="102" t="str">
        <f ca="1">IFERROR(__xludf.DUMMYFUNCTION("IMPORTRANGE(H16928,""IDENTITAS UNIT!D9"")"),"#N/A")</f>
        <v>#N/A</v>
      </c>
      <c r="H16928" s="4" t="str">
        <v/>
      </c>
      <c r="I16928" s="4" t="str">
        <v/>
      </c>
    </row>
    <row r="16929" spans="5:9" ht="16.5" hidden="1">
      <c r="E16929" s="4" t="str">
        <v/>
      </c>
      <c r="F16929" s="102" t="str">
        <f ca="1">IFERROR(__xludf.DUMMYFUNCTION("IMPORTRANGE(H16929,""IDENTITAS UNIT!D9"")"),"#N/A")</f>
        <v>#N/A</v>
      </c>
      <c r="H16929" s="4" t="str">
        <v/>
      </c>
      <c r="I16929" s="4" t="str">
        <v/>
      </c>
    </row>
    <row r="16930" spans="5:9" ht="16.5" hidden="1">
      <c r="E16930" s="4" t="str">
        <v/>
      </c>
      <c r="F16930" s="102" t="str">
        <f ca="1">IFERROR(__xludf.DUMMYFUNCTION("IMPORTRANGE(H16930,""IDENTITAS UNIT!D9"")"),"#N/A")</f>
        <v>#N/A</v>
      </c>
      <c r="H16930" s="4" t="str">
        <v/>
      </c>
      <c r="I16930" s="4" t="str">
        <v/>
      </c>
    </row>
    <row r="16931" spans="5:9" ht="16.5" hidden="1">
      <c r="E16931" s="4" t="str">
        <v/>
      </c>
      <c r="F16931" s="102" t="str">
        <f ca="1">IFERROR(__xludf.DUMMYFUNCTION("IMPORTRANGE(H16931,""IDENTITAS UNIT!D9"")"),"#N/A")</f>
        <v>#N/A</v>
      </c>
      <c r="H16931" s="4" t="str">
        <v/>
      </c>
      <c r="I16931" s="4" t="str">
        <v/>
      </c>
    </row>
    <row r="16932" spans="5:9" ht="16.5" hidden="1">
      <c r="E16932" s="4" t="str">
        <v/>
      </c>
      <c r="F16932" s="102" t="str">
        <f ca="1">IFERROR(__xludf.DUMMYFUNCTION("IMPORTRANGE(H16932,""IDENTITAS UNIT!D9"")"),"#N/A")</f>
        <v>#N/A</v>
      </c>
      <c r="H16932" s="4" t="str">
        <v/>
      </c>
      <c r="I16932" s="4" t="str">
        <v/>
      </c>
    </row>
    <row r="16933" spans="5:9" ht="16.5" hidden="1">
      <c r="E16933" s="4" t="str">
        <v/>
      </c>
      <c r="F16933" s="102" t="str">
        <f ca="1">IFERROR(__xludf.DUMMYFUNCTION("IMPORTRANGE(H16933,""IDENTITAS UNIT!D9"")"),"#N/A")</f>
        <v>#N/A</v>
      </c>
      <c r="H16933" s="4" t="str">
        <v/>
      </c>
      <c r="I16933" s="4" t="str">
        <v/>
      </c>
    </row>
    <row r="16934" spans="5:9" ht="16.5" hidden="1">
      <c r="E16934" s="4" t="str">
        <v/>
      </c>
      <c r="F16934" s="102" t="str">
        <f ca="1">IFERROR(__xludf.DUMMYFUNCTION("IMPORTRANGE(H16934,""IDENTITAS UNIT!D9"")"),"#N/A")</f>
        <v>#N/A</v>
      </c>
      <c r="H16934" s="4" t="str">
        <v/>
      </c>
      <c r="I16934" s="4" t="str">
        <v/>
      </c>
    </row>
    <row r="16935" spans="5:9" ht="16.5" hidden="1">
      <c r="E16935" s="4" t="str">
        <v/>
      </c>
      <c r="F16935" s="102" t="str">
        <f ca="1">IFERROR(__xludf.DUMMYFUNCTION("IMPORTRANGE(H16935,""IDENTITAS UNIT!D9"")"),"#N/A")</f>
        <v>#N/A</v>
      </c>
      <c r="H16935" s="4" t="str">
        <v/>
      </c>
      <c r="I16935" s="4" t="str">
        <v/>
      </c>
    </row>
    <row r="16936" spans="5:9" ht="16.5" hidden="1">
      <c r="E16936" s="4" t="str">
        <v/>
      </c>
      <c r="F16936" s="102" t="str">
        <f ca="1">IFERROR(__xludf.DUMMYFUNCTION("IMPORTRANGE(H16936,""IDENTITAS UNIT!D9"")"),"#N/A")</f>
        <v>#N/A</v>
      </c>
      <c r="H16936" s="4" t="str">
        <v/>
      </c>
      <c r="I16936" s="4" t="str">
        <v/>
      </c>
    </row>
    <row r="16937" spans="5:9" ht="16.5" hidden="1">
      <c r="E16937" s="4" t="str">
        <v/>
      </c>
      <c r="F16937" s="102" t="str">
        <f ca="1">IFERROR(__xludf.DUMMYFUNCTION("IMPORTRANGE(H16937,""IDENTITAS UNIT!D9"")"),"#N/A")</f>
        <v>#N/A</v>
      </c>
      <c r="H16937" s="4" t="str">
        <v/>
      </c>
      <c r="I16937" s="4" t="str">
        <v/>
      </c>
    </row>
    <row r="16938" spans="5:9" ht="16.5" hidden="1">
      <c r="E16938" s="4" t="str">
        <v/>
      </c>
      <c r="F16938" s="102" t="str">
        <f ca="1">IFERROR(__xludf.DUMMYFUNCTION("IMPORTRANGE(H16938,""IDENTITAS UNIT!D9"")"),"#N/A")</f>
        <v>#N/A</v>
      </c>
      <c r="H16938" s="4" t="str">
        <v/>
      </c>
      <c r="I16938" s="4" t="str">
        <v/>
      </c>
    </row>
    <row r="16939" spans="5:9" ht="16.5" hidden="1">
      <c r="E16939" s="4" t="str">
        <v/>
      </c>
      <c r="F16939" s="102" t="str">
        <f ca="1">IFERROR(__xludf.DUMMYFUNCTION("IMPORTRANGE(H16939,""IDENTITAS UNIT!D9"")"),"#N/A")</f>
        <v>#N/A</v>
      </c>
      <c r="H16939" s="4" t="str">
        <v/>
      </c>
      <c r="I16939" s="4" t="str">
        <v/>
      </c>
    </row>
    <row r="16940" spans="5:9" ht="16.5" hidden="1">
      <c r="E16940" s="4" t="str">
        <v/>
      </c>
      <c r="F16940" s="102" t="str">
        <f ca="1">IFERROR(__xludf.DUMMYFUNCTION("IMPORTRANGE(H16940,""IDENTITAS UNIT!D9"")"),"#N/A")</f>
        <v>#N/A</v>
      </c>
      <c r="H16940" s="4" t="str">
        <v/>
      </c>
      <c r="I16940" s="4" t="str">
        <v/>
      </c>
    </row>
    <row r="16941" spans="5:9" ht="16.5" hidden="1">
      <c r="E16941" s="4" t="str">
        <v/>
      </c>
      <c r="F16941" s="102" t="str">
        <f ca="1">IFERROR(__xludf.DUMMYFUNCTION("IMPORTRANGE(H16941,""IDENTITAS UNIT!D9"")"),"#N/A")</f>
        <v>#N/A</v>
      </c>
      <c r="H16941" s="4" t="str">
        <v/>
      </c>
      <c r="I16941" s="4" t="str">
        <v/>
      </c>
    </row>
    <row r="16942" spans="5:9" ht="16.5" hidden="1">
      <c r="E16942" s="4" t="str">
        <v/>
      </c>
      <c r="F16942" s="102" t="str">
        <f ca="1">IFERROR(__xludf.DUMMYFUNCTION("IMPORTRANGE(H16942,""IDENTITAS UNIT!D9"")"),"#N/A")</f>
        <v>#N/A</v>
      </c>
      <c r="H16942" s="4" t="str">
        <v/>
      </c>
      <c r="I16942" s="4" t="str">
        <v/>
      </c>
    </row>
    <row r="16943" spans="5:9" ht="16.5" hidden="1">
      <c r="E16943" s="4" t="str">
        <v/>
      </c>
      <c r="F16943" s="102" t="str">
        <f ca="1">IFERROR(__xludf.DUMMYFUNCTION("IMPORTRANGE(H16943,""IDENTITAS UNIT!D9"")"),"#N/A")</f>
        <v>#N/A</v>
      </c>
      <c r="H16943" s="4" t="str">
        <v/>
      </c>
      <c r="I16943" s="4" t="str">
        <v/>
      </c>
    </row>
    <row r="16944" spans="5:9" ht="16.5" hidden="1">
      <c r="E16944" s="4" t="str">
        <v/>
      </c>
      <c r="F16944" s="102" t="str">
        <f ca="1">IFERROR(__xludf.DUMMYFUNCTION("IMPORTRANGE(H16944,""IDENTITAS UNIT!D9"")"),"#N/A")</f>
        <v>#N/A</v>
      </c>
      <c r="H16944" s="4" t="str">
        <v/>
      </c>
      <c r="I16944" s="4" t="str">
        <v/>
      </c>
    </row>
    <row r="16945" spans="5:9" ht="16.5" hidden="1">
      <c r="E16945" s="4" t="str">
        <v/>
      </c>
      <c r="F16945" s="102" t="str">
        <f ca="1">IFERROR(__xludf.DUMMYFUNCTION("IMPORTRANGE(H16945,""IDENTITAS UNIT!D9"")"),"#N/A")</f>
        <v>#N/A</v>
      </c>
      <c r="H16945" s="4" t="str">
        <v/>
      </c>
      <c r="I16945" s="4" t="str">
        <v/>
      </c>
    </row>
    <row r="16946" spans="5:9" ht="16.5" hidden="1">
      <c r="E16946" s="4" t="str">
        <v/>
      </c>
      <c r="F16946" s="102" t="str">
        <f ca="1">IFERROR(__xludf.DUMMYFUNCTION("IMPORTRANGE(H16946,""IDENTITAS UNIT!D9"")"),"#N/A")</f>
        <v>#N/A</v>
      </c>
      <c r="H16946" s="4" t="str">
        <v/>
      </c>
      <c r="I16946" s="4" t="str">
        <v/>
      </c>
    </row>
    <row r="16947" spans="5:9" ht="16.5" hidden="1">
      <c r="E16947" s="4" t="str">
        <v/>
      </c>
      <c r="F16947" s="102" t="str">
        <f ca="1">IFERROR(__xludf.DUMMYFUNCTION("IMPORTRANGE(H16947,""IDENTITAS UNIT!D9"")"),"#N/A")</f>
        <v>#N/A</v>
      </c>
      <c r="H16947" s="4" t="str">
        <v/>
      </c>
      <c r="I16947" s="4" t="str">
        <v/>
      </c>
    </row>
    <row r="16948" spans="5:9" ht="16.5" hidden="1">
      <c r="E16948" s="4" t="str">
        <v/>
      </c>
      <c r="F16948" s="102" t="str">
        <f ca="1">IFERROR(__xludf.DUMMYFUNCTION("IMPORTRANGE(H16948,""IDENTITAS UNIT!D9"")"),"#N/A")</f>
        <v>#N/A</v>
      </c>
      <c r="H16948" s="4" t="str">
        <v/>
      </c>
      <c r="I16948" s="4" t="str">
        <v/>
      </c>
    </row>
    <row r="16949" spans="5:9" ht="16.5" hidden="1">
      <c r="E16949" s="4" t="str">
        <v/>
      </c>
      <c r="F16949" s="102" t="str">
        <f ca="1">IFERROR(__xludf.DUMMYFUNCTION("IMPORTRANGE(H16949,""IDENTITAS UNIT!D9"")"),"#N/A")</f>
        <v>#N/A</v>
      </c>
      <c r="H16949" s="4" t="str">
        <v/>
      </c>
      <c r="I16949" s="4" t="str">
        <v/>
      </c>
    </row>
    <row r="16950" spans="5:9" ht="16.5" hidden="1">
      <c r="E16950" s="4" t="str">
        <v/>
      </c>
      <c r="F16950" s="102" t="str">
        <f ca="1">IFERROR(__xludf.DUMMYFUNCTION("IMPORTRANGE(H16950,""IDENTITAS UNIT!D9"")"),"#N/A")</f>
        <v>#N/A</v>
      </c>
      <c r="H16950" s="4" t="str">
        <v/>
      </c>
      <c r="I16950" s="4" t="str">
        <v/>
      </c>
    </row>
    <row r="16951" spans="5:9" ht="16.5" hidden="1">
      <c r="E16951" s="4" t="str">
        <v/>
      </c>
      <c r="F16951" s="102" t="str">
        <f ca="1">IFERROR(__xludf.DUMMYFUNCTION("IMPORTRANGE(H16951,""IDENTITAS UNIT!D9"")"),"#N/A")</f>
        <v>#N/A</v>
      </c>
      <c r="H16951" s="4" t="str">
        <v/>
      </c>
      <c r="I16951" s="4" t="str">
        <v/>
      </c>
    </row>
    <row r="16952" spans="5:9" ht="16.5" hidden="1">
      <c r="E16952" s="4" t="str">
        <v/>
      </c>
      <c r="F16952" s="102" t="str">
        <f ca="1">IFERROR(__xludf.DUMMYFUNCTION("IMPORTRANGE(H16952,""IDENTITAS UNIT!D9"")"),"#N/A")</f>
        <v>#N/A</v>
      </c>
      <c r="H16952" s="4" t="str">
        <v/>
      </c>
      <c r="I16952" s="4" t="str">
        <v/>
      </c>
    </row>
    <row r="16953" spans="5:9" ht="16.5" hidden="1">
      <c r="E16953" s="4" t="str">
        <v/>
      </c>
      <c r="F16953" s="102" t="str">
        <f ca="1">IFERROR(__xludf.DUMMYFUNCTION("IMPORTRANGE(H16953,""IDENTITAS UNIT!D9"")"),"#N/A")</f>
        <v>#N/A</v>
      </c>
      <c r="H16953" s="4" t="str">
        <v/>
      </c>
      <c r="I16953" s="4" t="str">
        <v/>
      </c>
    </row>
    <row r="16954" spans="5:9" ht="16.5" hidden="1">
      <c r="E16954" s="4" t="str">
        <v/>
      </c>
      <c r="F16954" s="102" t="str">
        <f ca="1">IFERROR(__xludf.DUMMYFUNCTION("IMPORTRANGE(H16954,""IDENTITAS UNIT!D9"")"),"#N/A")</f>
        <v>#N/A</v>
      </c>
      <c r="H16954" s="4" t="str">
        <v/>
      </c>
      <c r="I16954" s="4" t="str">
        <v/>
      </c>
    </row>
    <row r="16955" spans="5:9" ht="16.5" hidden="1">
      <c r="E16955" s="4" t="str">
        <v/>
      </c>
      <c r="F16955" s="102" t="str">
        <f ca="1">IFERROR(__xludf.DUMMYFUNCTION("IMPORTRANGE(H16955,""IDENTITAS UNIT!D9"")"),"#N/A")</f>
        <v>#N/A</v>
      </c>
      <c r="H16955" s="4" t="str">
        <v/>
      </c>
      <c r="I16955" s="4" t="str">
        <v/>
      </c>
    </row>
    <row r="16956" spans="5:9" ht="16.5" hidden="1">
      <c r="E16956" s="4" t="str">
        <v/>
      </c>
      <c r="F16956" s="102" t="str">
        <f ca="1">IFERROR(__xludf.DUMMYFUNCTION("IMPORTRANGE(H16956,""IDENTITAS UNIT!D9"")"),"#N/A")</f>
        <v>#N/A</v>
      </c>
      <c r="H16956" s="4" t="str">
        <v/>
      </c>
      <c r="I16956" s="4" t="str">
        <v/>
      </c>
    </row>
    <row r="16957" spans="5:9" ht="16.5" hidden="1">
      <c r="E16957" s="4" t="str">
        <v/>
      </c>
      <c r="F16957" s="102" t="str">
        <f ca="1">IFERROR(__xludf.DUMMYFUNCTION("IMPORTRANGE(H16957,""IDENTITAS UNIT!D9"")"),"#N/A")</f>
        <v>#N/A</v>
      </c>
      <c r="H16957" s="4" t="str">
        <v/>
      </c>
      <c r="I16957" s="4" t="str">
        <v/>
      </c>
    </row>
    <row r="16958" spans="5:9" ht="16.5" hidden="1">
      <c r="E16958" s="4" t="str">
        <v/>
      </c>
      <c r="F16958" s="102" t="str">
        <f ca="1">IFERROR(__xludf.DUMMYFUNCTION("IMPORTRANGE(H16958,""IDENTITAS UNIT!D9"")"),"#N/A")</f>
        <v>#N/A</v>
      </c>
      <c r="H16958" s="4" t="str">
        <v/>
      </c>
      <c r="I16958" s="4" t="str">
        <v/>
      </c>
    </row>
    <row r="16959" spans="5:9" ht="16.5" hidden="1">
      <c r="E16959" s="4" t="str">
        <v/>
      </c>
      <c r="F16959" s="102" t="str">
        <f ca="1">IFERROR(__xludf.DUMMYFUNCTION("IMPORTRANGE(H16959,""IDENTITAS UNIT!D9"")"),"#N/A")</f>
        <v>#N/A</v>
      </c>
      <c r="H16959" s="4" t="str">
        <v/>
      </c>
      <c r="I16959" s="4" t="str">
        <v/>
      </c>
    </row>
    <row r="16960" spans="5:9" ht="16.5" hidden="1">
      <c r="E16960" s="4" t="str">
        <v/>
      </c>
      <c r="F16960" s="102" t="str">
        <f ca="1">IFERROR(__xludf.DUMMYFUNCTION("IMPORTRANGE(H16960,""IDENTITAS UNIT!D9"")"),"#N/A")</f>
        <v>#N/A</v>
      </c>
      <c r="H16960" s="4" t="str">
        <v/>
      </c>
      <c r="I16960" s="4" t="str">
        <v/>
      </c>
    </row>
    <row r="16961" spans="5:9" ht="16.5" hidden="1">
      <c r="E16961" s="4" t="str">
        <v/>
      </c>
      <c r="F16961" s="102" t="str">
        <f ca="1">IFERROR(__xludf.DUMMYFUNCTION("IMPORTRANGE(H16961,""IDENTITAS UNIT!D9"")"),"#N/A")</f>
        <v>#N/A</v>
      </c>
      <c r="H16961" s="4" t="str">
        <v/>
      </c>
      <c r="I16961" s="4" t="str">
        <v/>
      </c>
    </row>
    <row r="16962" spans="5:9" ht="16.5" hidden="1">
      <c r="E16962" s="4" t="str">
        <v/>
      </c>
      <c r="F16962" s="102" t="str">
        <f ca="1">IFERROR(__xludf.DUMMYFUNCTION("IMPORTRANGE(H16962,""IDENTITAS UNIT!D9"")"),"#N/A")</f>
        <v>#N/A</v>
      </c>
      <c r="H16962" s="4" t="str">
        <v/>
      </c>
      <c r="I16962" s="4" t="str">
        <v/>
      </c>
    </row>
    <row r="16963" spans="5:9" ht="16.5" hidden="1">
      <c r="E16963" s="4" t="str">
        <v/>
      </c>
      <c r="F16963" s="102" t="str">
        <f ca="1">IFERROR(__xludf.DUMMYFUNCTION("IMPORTRANGE(H16963,""IDENTITAS UNIT!D9"")"),"#N/A")</f>
        <v>#N/A</v>
      </c>
      <c r="H16963" s="4" t="str">
        <v/>
      </c>
      <c r="I16963" s="4" t="str">
        <v/>
      </c>
    </row>
    <row r="16964" spans="5:9" ht="16.5" hidden="1">
      <c r="E16964" s="4" t="str">
        <v/>
      </c>
      <c r="F16964" s="102" t="str">
        <f ca="1">IFERROR(__xludf.DUMMYFUNCTION("IMPORTRANGE(H16964,""IDENTITAS UNIT!D9"")"),"#N/A")</f>
        <v>#N/A</v>
      </c>
      <c r="H16964" s="4" t="str">
        <v/>
      </c>
      <c r="I16964" s="4" t="str">
        <v/>
      </c>
    </row>
    <row r="16965" spans="5:9" ht="16.5" hidden="1">
      <c r="E16965" s="4" t="str">
        <v/>
      </c>
      <c r="F16965" s="102" t="str">
        <f ca="1">IFERROR(__xludf.DUMMYFUNCTION("IMPORTRANGE(H16965,""IDENTITAS UNIT!D9"")"),"#N/A")</f>
        <v>#N/A</v>
      </c>
      <c r="H16965" s="4" t="str">
        <v/>
      </c>
      <c r="I16965" s="4" t="str">
        <v/>
      </c>
    </row>
    <row r="16966" spans="5:9" ht="16.5" hidden="1">
      <c r="E16966" s="4" t="str">
        <v/>
      </c>
      <c r="F16966" s="102" t="str">
        <f ca="1">IFERROR(__xludf.DUMMYFUNCTION("IMPORTRANGE(H16966,""IDENTITAS UNIT!D9"")"),"#N/A")</f>
        <v>#N/A</v>
      </c>
      <c r="H16966" s="4" t="str">
        <v/>
      </c>
      <c r="I16966" s="4" t="str">
        <v/>
      </c>
    </row>
    <row r="16967" spans="5:9" ht="16.5" hidden="1">
      <c r="E16967" s="4" t="str">
        <v/>
      </c>
      <c r="F16967" s="102" t="str">
        <f ca="1">IFERROR(__xludf.DUMMYFUNCTION("IMPORTRANGE(H16967,""IDENTITAS UNIT!D9"")"),"#N/A")</f>
        <v>#N/A</v>
      </c>
      <c r="H16967" s="4" t="str">
        <v/>
      </c>
      <c r="I16967" s="4" t="str">
        <v/>
      </c>
    </row>
    <row r="16968" spans="5:9" ht="16.5" hidden="1">
      <c r="E16968" s="4" t="str">
        <v/>
      </c>
      <c r="F16968" s="102" t="str">
        <f ca="1">IFERROR(__xludf.DUMMYFUNCTION("IMPORTRANGE(H16968,""IDENTITAS UNIT!D9"")"),"#N/A")</f>
        <v>#N/A</v>
      </c>
      <c r="H16968" s="4" t="str">
        <v/>
      </c>
      <c r="I16968" s="4" t="str">
        <v/>
      </c>
    </row>
    <row r="16969" spans="5:9" ht="16.5" hidden="1">
      <c r="E16969" s="4" t="str">
        <v/>
      </c>
      <c r="F16969" s="102" t="str">
        <f ca="1">IFERROR(__xludf.DUMMYFUNCTION("IMPORTRANGE(H16969,""IDENTITAS UNIT!D9"")"),"#N/A")</f>
        <v>#N/A</v>
      </c>
      <c r="H16969" s="4" t="str">
        <v/>
      </c>
      <c r="I16969" s="4" t="str">
        <v/>
      </c>
    </row>
    <row r="16970" spans="5:9" ht="16.5" hidden="1">
      <c r="E16970" s="4" t="str">
        <v/>
      </c>
      <c r="F16970" s="102" t="str">
        <f ca="1">IFERROR(__xludf.DUMMYFUNCTION("IMPORTRANGE(H16970,""IDENTITAS UNIT!D9"")"),"#N/A")</f>
        <v>#N/A</v>
      </c>
      <c r="H16970" s="4" t="str">
        <v/>
      </c>
      <c r="I16970" s="4" t="str">
        <v/>
      </c>
    </row>
    <row r="16971" spans="5:9" ht="16.5" hidden="1">
      <c r="E16971" s="4" t="str">
        <v/>
      </c>
      <c r="F16971" s="102" t="str">
        <f ca="1">IFERROR(__xludf.DUMMYFUNCTION("IMPORTRANGE(H16971,""IDENTITAS UNIT!D9"")"),"#N/A")</f>
        <v>#N/A</v>
      </c>
      <c r="H16971" s="4" t="str">
        <v/>
      </c>
      <c r="I16971" s="4" t="str">
        <v/>
      </c>
    </row>
    <row r="16972" spans="5:9" ht="16.5" hidden="1">
      <c r="E16972" s="4" t="str">
        <v/>
      </c>
      <c r="F16972" s="102" t="str">
        <f ca="1">IFERROR(__xludf.DUMMYFUNCTION("IMPORTRANGE(H16972,""IDENTITAS UNIT!D9"")"),"#N/A")</f>
        <v>#N/A</v>
      </c>
      <c r="H16972" s="4" t="str">
        <v/>
      </c>
      <c r="I16972" s="4" t="str">
        <v/>
      </c>
    </row>
    <row r="16973" spans="5:9" ht="16.5" hidden="1">
      <c r="E16973" s="4" t="str">
        <v/>
      </c>
      <c r="F16973" s="102" t="str">
        <f ca="1">IFERROR(__xludf.DUMMYFUNCTION("IMPORTRANGE(H16973,""IDENTITAS UNIT!D9"")"),"#N/A")</f>
        <v>#N/A</v>
      </c>
      <c r="H16973" s="4" t="str">
        <v/>
      </c>
      <c r="I16973" s="4" t="str">
        <v/>
      </c>
    </row>
    <row r="16974" spans="5:9" ht="16.5" hidden="1">
      <c r="E16974" s="4" t="str">
        <v/>
      </c>
      <c r="F16974" s="102" t="str">
        <f ca="1">IFERROR(__xludf.DUMMYFUNCTION("IMPORTRANGE(H16974,""IDENTITAS UNIT!D9"")"),"#N/A")</f>
        <v>#N/A</v>
      </c>
      <c r="H16974" s="4" t="str">
        <v/>
      </c>
      <c r="I16974" s="4" t="str">
        <v/>
      </c>
    </row>
    <row r="16975" spans="5:9" ht="16.5" hidden="1">
      <c r="E16975" s="4" t="str">
        <v/>
      </c>
      <c r="F16975" s="102" t="str">
        <f ca="1">IFERROR(__xludf.DUMMYFUNCTION("IMPORTRANGE(H16975,""IDENTITAS UNIT!D9"")"),"#N/A")</f>
        <v>#N/A</v>
      </c>
      <c r="H16975" s="4" t="str">
        <v/>
      </c>
      <c r="I16975" s="4" t="str">
        <v/>
      </c>
    </row>
    <row r="16976" spans="5:9" ht="16.5" hidden="1">
      <c r="E16976" s="4" t="str">
        <v/>
      </c>
      <c r="F16976" s="102" t="str">
        <f ca="1">IFERROR(__xludf.DUMMYFUNCTION("IMPORTRANGE(H16976,""IDENTITAS UNIT!D9"")"),"#N/A")</f>
        <v>#N/A</v>
      </c>
      <c r="H16976" s="4" t="str">
        <v/>
      </c>
      <c r="I16976" s="4" t="str">
        <v/>
      </c>
    </row>
    <row r="16977" spans="5:9" ht="16.5" hidden="1">
      <c r="E16977" s="4" t="str">
        <v/>
      </c>
      <c r="F16977" s="102" t="str">
        <f ca="1">IFERROR(__xludf.DUMMYFUNCTION("IMPORTRANGE(H16977,""IDENTITAS UNIT!D9"")"),"#N/A")</f>
        <v>#N/A</v>
      </c>
      <c r="H16977" s="4" t="str">
        <v/>
      </c>
      <c r="I16977" s="4" t="str">
        <v/>
      </c>
    </row>
    <row r="16978" spans="5:9" ht="16.5" hidden="1">
      <c r="E16978" s="4" t="str">
        <v/>
      </c>
      <c r="F16978" s="102" t="str">
        <f ca="1">IFERROR(__xludf.DUMMYFUNCTION("IMPORTRANGE(H16978,""IDENTITAS UNIT!D9"")"),"#N/A")</f>
        <v>#N/A</v>
      </c>
      <c r="H16978" s="4" t="str">
        <v/>
      </c>
      <c r="I16978" s="4" t="str">
        <v/>
      </c>
    </row>
    <row r="16979" spans="5:9" ht="16.5" hidden="1">
      <c r="E16979" s="4" t="str">
        <v/>
      </c>
      <c r="F16979" s="102" t="str">
        <f ca="1">IFERROR(__xludf.DUMMYFUNCTION("IMPORTRANGE(H16979,""IDENTITAS UNIT!D9"")"),"#N/A")</f>
        <v>#N/A</v>
      </c>
      <c r="H16979" s="4" t="str">
        <v/>
      </c>
      <c r="I16979" s="4" t="str">
        <v/>
      </c>
    </row>
    <row r="16980" spans="5:9" ht="16.5" hidden="1">
      <c r="E16980" s="4" t="str">
        <v/>
      </c>
      <c r="F16980" s="102" t="str">
        <f ca="1">IFERROR(__xludf.DUMMYFUNCTION("IMPORTRANGE(H16980,""IDENTITAS UNIT!D9"")"),"#N/A")</f>
        <v>#N/A</v>
      </c>
      <c r="H16980" s="4" t="str">
        <v/>
      </c>
      <c r="I16980" s="4" t="str">
        <v/>
      </c>
    </row>
    <row r="16981" spans="5:9" ht="16.5" hidden="1">
      <c r="E16981" s="4" t="str">
        <v/>
      </c>
      <c r="F16981" s="102" t="str">
        <f ca="1">IFERROR(__xludf.DUMMYFUNCTION("IMPORTRANGE(H16981,""IDENTITAS UNIT!D9"")"),"#N/A")</f>
        <v>#N/A</v>
      </c>
      <c r="H16981" s="4" t="str">
        <v/>
      </c>
      <c r="I16981" s="4" t="str">
        <v/>
      </c>
    </row>
    <row r="16982" spans="5:9" ht="16.5" hidden="1">
      <c r="E16982" s="4" t="str">
        <v/>
      </c>
      <c r="F16982" s="102" t="str">
        <f ca="1">IFERROR(__xludf.DUMMYFUNCTION("IMPORTRANGE(H16982,""IDENTITAS UNIT!D9"")"),"#N/A")</f>
        <v>#N/A</v>
      </c>
      <c r="H16982" s="4" t="str">
        <v/>
      </c>
      <c r="I16982" s="4" t="str">
        <v/>
      </c>
    </row>
    <row r="16983" spans="5:9" ht="16.5" hidden="1">
      <c r="E16983" s="4" t="str">
        <v/>
      </c>
      <c r="F16983" s="102" t="str">
        <f ca="1">IFERROR(__xludf.DUMMYFUNCTION("IMPORTRANGE(H16983,""IDENTITAS UNIT!D9"")"),"#N/A")</f>
        <v>#N/A</v>
      </c>
      <c r="H16983" s="4" t="str">
        <v/>
      </c>
      <c r="I16983" s="4" t="str">
        <v/>
      </c>
    </row>
    <row r="16984" spans="5:9" ht="16.5" hidden="1">
      <c r="E16984" s="4" t="str">
        <v/>
      </c>
      <c r="F16984" s="102" t="str">
        <f ca="1">IFERROR(__xludf.DUMMYFUNCTION("IMPORTRANGE(H16984,""IDENTITAS UNIT!D9"")"),"#N/A")</f>
        <v>#N/A</v>
      </c>
      <c r="H16984" s="4" t="str">
        <v/>
      </c>
      <c r="I16984" s="4" t="str">
        <v/>
      </c>
    </row>
    <row r="16985" spans="5:9" ht="16.5" hidden="1">
      <c r="E16985" s="4" t="str">
        <v/>
      </c>
      <c r="F16985" s="102" t="str">
        <f ca="1">IFERROR(__xludf.DUMMYFUNCTION("IMPORTRANGE(H16985,""IDENTITAS UNIT!D9"")"),"#N/A")</f>
        <v>#N/A</v>
      </c>
      <c r="H16985" s="4" t="str">
        <v/>
      </c>
      <c r="I16985" s="4" t="str">
        <v/>
      </c>
    </row>
    <row r="16986" spans="5:9" ht="16.5" hidden="1">
      <c r="E16986" s="4" t="str">
        <v/>
      </c>
      <c r="F16986" s="102" t="str">
        <f ca="1">IFERROR(__xludf.DUMMYFUNCTION("IMPORTRANGE(H16986,""IDENTITAS UNIT!D9"")"),"#N/A")</f>
        <v>#N/A</v>
      </c>
      <c r="H16986" s="4" t="str">
        <v/>
      </c>
      <c r="I16986" s="4" t="str">
        <v/>
      </c>
    </row>
    <row r="16987" spans="5:9" ht="16.5" hidden="1">
      <c r="E16987" s="4" t="str">
        <v/>
      </c>
      <c r="F16987" s="102" t="str">
        <f ca="1">IFERROR(__xludf.DUMMYFUNCTION("IMPORTRANGE(H16987,""IDENTITAS UNIT!D9"")"),"#N/A")</f>
        <v>#N/A</v>
      </c>
      <c r="H16987" s="4" t="str">
        <v/>
      </c>
      <c r="I16987" s="4" t="str">
        <v/>
      </c>
    </row>
    <row r="16988" spans="5:9" ht="16.5" hidden="1">
      <c r="E16988" s="4" t="str">
        <v/>
      </c>
      <c r="F16988" s="102" t="str">
        <f ca="1">IFERROR(__xludf.DUMMYFUNCTION("IMPORTRANGE(H16988,""IDENTITAS UNIT!D9"")"),"#N/A")</f>
        <v>#N/A</v>
      </c>
      <c r="H16988" s="4" t="str">
        <v/>
      </c>
      <c r="I16988" s="4" t="str">
        <v/>
      </c>
    </row>
    <row r="16989" spans="5:9" ht="16.5" hidden="1">
      <c r="E16989" s="4" t="str">
        <v/>
      </c>
      <c r="F16989" s="102" t="str">
        <f ca="1">IFERROR(__xludf.DUMMYFUNCTION("IMPORTRANGE(H16989,""IDENTITAS UNIT!D9"")"),"#N/A")</f>
        <v>#N/A</v>
      </c>
      <c r="H16989" s="4" t="str">
        <v/>
      </c>
      <c r="I16989" s="4" t="str">
        <v/>
      </c>
    </row>
    <row r="16990" spans="5:9" ht="16.5" hidden="1">
      <c r="E16990" s="4" t="str">
        <v/>
      </c>
      <c r="F16990" s="102" t="str">
        <f ca="1">IFERROR(__xludf.DUMMYFUNCTION("IMPORTRANGE(H16990,""IDENTITAS UNIT!D9"")"),"#N/A")</f>
        <v>#N/A</v>
      </c>
      <c r="H16990" s="4" t="str">
        <v/>
      </c>
      <c r="I16990" s="4" t="str">
        <v/>
      </c>
    </row>
    <row r="16991" spans="5:9" ht="16.5" hidden="1">
      <c r="E16991" s="4" t="str">
        <v/>
      </c>
      <c r="F16991" s="102" t="str">
        <f ca="1">IFERROR(__xludf.DUMMYFUNCTION("IMPORTRANGE(H16991,""IDENTITAS UNIT!D9"")"),"#N/A")</f>
        <v>#N/A</v>
      </c>
      <c r="H16991" s="4" t="str">
        <v/>
      </c>
      <c r="I16991" s="4" t="str">
        <v/>
      </c>
    </row>
    <row r="16992" spans="5:9" ht="16.5" hidden="1">
      <c r="E16992" s="4" t="str">
        <v/>
      </c>
      <c r="F16992" s="102" t="str">
        <f ca="1">IFERROR(__xludf.DUMMYFUNCTION("IMPORTRANGE(H16992,""IDENTITAS UNIT!D9"")"),"#N/A")</f>
        <v>#N/A</v>
      </c>
      <c r="H16992" s="4" t="str">
        <v/>
      </c>
      <c r="I16992" s="4" t="str">
        <v/>
      </c>
    </row>
    <row r="16993" spans="5:9" ht="16.5" hidden="1">
      <c r="E16993" s="4" t="str">
        <v/>
      </c>
      <c r="F16993" s="102" t="str">
        <f ca="1">IFERROR(__xludf.DUMMYFUNCTION("IMPORTRANGE(H16993,""IDENTITAS UNIT!D9"")"),"#N/A")</f>
        <v>#N/A</v>
      </c>
      <c r="H16993" s="4" t="str">
        <v/>
      </c>
      <c r="I16993" s="4" t="str">
        <v/>
      </c>
    </row>
    <row r="16994" spans="5:9" ht="16.5" hidden="1">
      <c r="E16994" s="4" t="str">
        <v/>
      </c>
      <c r="F16994" s="102" t="str">
        <f ca="1">IFERROR(__xludf.DUMMYFUNCTION("IMPORTRANGE(H16994,""IDENTITAS UNIT!D9"")"),"#N/A")</f>
        <v>#N/A</v>
      </c>
      <c r="H16994" s="4" t="str">
        <v/>
      </c>
      <c r="I16994" s="4" t="str">
        <v/>
      </c>
    </row>
    <row r="16995" spans="5:9" ht="16.5" hidden="1">
      <c r="E16995" s="4" t="str">
        <v/>
      </c>
      <c r="F16995" s="102" t="str">
        <f ca="1">IFERROR(__xludf.DUMMYFUNCTION("IMPORTRANGE(H16995,""IDENTITAS UNIT!D9"")"),"#N/A")</f>
        <v>#N/A</v>
      </c>
      <c r="H16995" s="4" t="str">
        <v/>
      </c>
      <c r="I16995" s="4" t="str">
        <v/>
      </c>
    </row>
    <row r="16996" spans="5:9" ht="16.5" hidden="1">
      <c r="E16996" s="4" t="str">
        <v/>
      </c>
      <c r="F16996" s="102" t="str">
        <f ca="1">IFERROR(__xludf.DUMMYFUNCTION("IMPORTRANGE(H16996,""IDENTITAS UNIT!D9"")"),"#N/A")</f>
        <v>#N/A</v>
      </c>
      <c r="H16996" s="4" t="str">
        <v/>
      </c>
      <c r="I16996" s="4" t="str">
        <v/>
      </c>
    </row>
    <row r="16997" spans="5:9" ht="16.5" hidden="1">
      <c r="E16997" s="4" t="str">
        <v/>
      </c>
      <c r="F16997" s="102" t="str">
        <f ca="1">IFERROR(__xludf.DUMMYFUNCTION("IMPORTRANGE(H16997,""IDENTITAS UNIT!D9"")"),"#N/A")</f>
        <v>#N/A</v>
      </c>
      <c r="H16997" s="4" t="str">
        <v/>
      </c>
      <c r="I16997" s="4" t="str">
        <v/>
      </c>
    </row>
    <row r="16998" spans="5:9" ht="16.5" hidden="1">
      <c r="E16998" s="4" t="str">
        <v/>
      </c>
      <c r="F16998" s="102" t="str">
        <f ca="1">IFERROR(__xludf.DUMMYFUNCTION("IMPORTRANGE(H16998,""IDENTITAS UNIT!D9"")"),"#N/A")</f>
        <v>#N/A</v>
      </c>
      <c r="H16998" s="4" t="str">
        <v/>
      </c>
      <c r="I16998" s="4" t="str">
        <v/>
      </c>
    </row>
    <row r="16999" spans="5:9" ht="16.5" hidden="1">
      <c r="E16999" s="4" t="str">
        <v/>
      </c>
      <c r="F16999" s="102" t="str">
        <f ca="1">IFERROR(__xludf.DUMMYFUNCTION("IMPORTRANGE(H16999,""IDENTITAS UNIT!D9"")"),"#N/A")</f>
        <v>#N/A</v>
      </c>
      <c r="H16999" s="4" t="str">
        <v/>
      </c>
      <c r="I16999" s="4" t="str">
        <v/>
      </c>
    </row>
    <row r="17000" spans="5:9" ht="16.5" hidden="1">
      <c r="E17000" s="4" t="str">
        <v/>
      </c>
      <c r="F17000" s="102" t="str">
        <f ca="1">IFERROR(__xludf.DUMMYFUNCTION("IMPORTRANGE(H17000,""IDENTITAS UNIT!D9"")"),"#N/A")</f>
        <v>#N/A</v>
      </c>
      <c r="H17000" s="4" t="str">
        <v/>
      </c>
      <c r="I17000" s="4" t="str">
        <v/>
      </c>
    </row>
    <row r="17001" spans="5:9" ht="16.5" hidden="1">
      <c r="E17001" s="4" t="str">
        <v/>
      </c>
      <c r="F17001" s="102" t="str">
        <f ca="1">IFERROR(__xludf.DUMMYFUNCTION("IMPORTRANGE(H17001,""IDENTITAS UNIT!D9"")"),"#N/A")</f>
        <v>#N/A</v>
      </c>
      <c r="H17001" s="4" t="str">
        <v/>
      </c>
      <c r="I17001" s="4" t="str">
        <v/>
      </c>
    </row>
    <row r="17002" spans="5:9" ht="16.5" hidden="1">
      <c r="E17002" s="4" t="str">
        <v/>
      </c>
      <c r="F17002" s="102" t="str">
        <f ca="1">IFERROR(__xludf.DUMMYFUNCTION("IMPORTRANGE(H17002,""IDENTITAS UNIT!D9"")"),"#N/A")</f>
        <v>#N/A</v>
      </c>
      <c r="H17002" s="4" t="str">
        <v/>
      </c>
      <c r="I17002" s="4" t="str">
        <v/>
      </c>
    </row>
    <row r="17003" spans="5:9" ht="16.5" hidden="1">
      <c r="E17003" s="4" t="str">
        <v/>
      </c>
      <c r="F17003" s="102" t="str">
        <f ca="1">IFERROR(__xludf.DUMMYFUNCTION("IMPORTRANGE(H17003,""IDENTITAS UNIT!D9"")"),"#N/A")</f>
        <v>#N/A</v>
      </c>
      <c r="H17003" s="4" t="str">
        <v/>
      </c>
      <c r="I17003" s="4" t="str">
        <v/>
      </c>
    </row>
    <row r="17004" spans="5:9" ht="16.5" hidden="1">
      <c r="E17004" s="4" t="str">
        <v/>
      </c>
      <c r="F17004" s="102" t="str">
        <f ca="1">IFERROR(__xludf.DUMMYFUNCTION("IMPORTRANGE(H17004,""IDENTITAS UNIT!D9"")"),"#N/A")</f>
        <v>#N/A</v>
      </c>
      <c r="H17004" s="4" t="str">
        <v/>
      </c>
      <c r="I17004" s="4" t="str">
        <v/>
      </c>
    </row>
    <row r="17005" spans="5:9" ht="16.5" hidden="1">
      <c r="E17005" s="4" t="str">
        <v/>
      </c>
      <c r="F17005" s="102" t="str">
        <f ca="1">IFERROR(__xludf.DUMMYFUNCTION("IMPORTRANGE(H17005,""IDENTITAS UNIT!D9"")"),"#N/A")</f>
        <v>#N/A</v>
      </c>
      <c r="H17005" s="4" t="str">
        <v/>
      </c>
      <c r="I17005" s="4" t="str">
        <v/>
      </c>
    </row>
    <row r="17006" spans="5:9" ht="16.5" hidden="1">
      <c r="E17006" s="4" t="str">
        <v/>
      </c>
      <c r="F17006" s="102" t="str">
        <f ca="1">IFERROR(__xludf.DUMMYFUNCTION("IMPORTRANGE(H17006,""IDENTITAS UNIT!D9"")"),"#N/A")</f>
        <v>#N/A</v>
      </c>
      <c r="H17006" s="4" t="str">
        <v/>
      </c>
      <c r="I17006" s="4" t="str">
        <v/>
      </c>
    </row>
    <row r="17007" spans="5:9" ht="16.5" hidden="1">
      <c r="E17007" s="4" t="str">
        <v/>
      </c>
      <c r="F17007" s="102" t="str">
        <f ca="1">IFERROR(__xludf.DUMMYFUNCTION("IMPORTRANGE(H17007,""IDENTITAS UNIT!D9"")"),"#N/A")</f>
        <v>#N/A</v>
      </c>
      <c r="H17007" s="4" t="str">
        <v/>
      </c>
      <c r="I17007" s="4" t="str">
        <v/>
      </c>
    </row>
    <row r="17008" spans="5:9" ht="16.5" hidden="1">
      <c r="E17008" s="4" t="str">
        <v/>
      </c>
      <c r="F17008" s="102" t="str">
        <f ca="1">IFERROR(__xludf.DUMMYFUNCTION("IMPORTRANGE(H17008,""IDENTITAS UNIT!D9"")"),"#N/A")</f>
        <v>#N/A</v>
      </c>
      <c r="H17008" s="4" t="str">
        <v/>
      </c>
      <c r="I17008" s="4" t="str">
        <v/>
      </c>
    </row>
    <row r="17009" spans="5:9" ht="16.5" hidden="1">
      <c r="E17009" s="4" t="str">
        <v/>
      </c>
      <c r="F17009" s="102" t="str">
        <f ca="1">IFERROR(__xludf.DUMMYFUNCTION("IMPORTRANGE(H17009,""IDENTITAS UNIT!D9"")"),"#N/A")</f>
        <v>#N/A</v>
      </c>
      <c r="H17009" s="4" t="str">
        <v/>
      </c>
      <c r="I17009" s="4" t="str">
        <v/>
      </c>
    </row>
    <row r="17010" spans="5:9" ht="16.5" hidden="1">
      <c r="E17010" s="4" t="str">
        <v/>
      </c>
      <c r="F17010" s="102" t="str">
        <f ca="1">IFERROR(__xludf.DUMMYFUNCTION("IMPORTRANGE(H17010,""IDENTITAS UNIT!D9"")"),"#N/A")</f>
        <v>#N/A</v>
      </c>
      <c r="H17010" s="4" t="str">
        <v/>
      </c>
      <c r="I17010" s="4" t="str">
        <v/>
      </c>
    </row>
    <row r="17011" spans="5:9" ht="16.5" hidden="1">
      <c r="E17011" s="4" t="str">
        <v/>
      </c>
      <c r="F17011" s="102" t="str">
        <f ca="1">IFERROR(__xludf.DUMMYFUNCTION("IMPORTRANGE(H17011,""IDENTITAS UNIT!D9"")"),"#N/A")</f>
        <v>#N/A</v>
      </c>
      <c r="H17011" s="4" t="str">
        <v/>
      </c>
      <c r="I17011" s="4" t="str">
        <v/>
      </c>
    </row>
    <row r="17012" spans="5:9" ht="16.5" hidden="1">
      <c r="E17012" s="4" t="str">
        <v/>
      </c>
      <c r="F17012" s="102" t="str">
        <f ca="1">IFERROR(__xludf.DUMMYFUNCTION("IMPORTRANGE(H17012,""IDENTITAS UNIT!D9"")"),"#N/A")</f>
        <v>#N/A</v>
      </c>
      <c r="H17012" s="4" t="str">
        <v/>
      </c>
      <c r="I17012" s="4" t="str">
        <v/>
      </c>
    </row>
    <row r="17013" spans="5:9" ht="16.5" hidden="1">
      <c r="E17013" s="4" t="str">
        <v/>
      </c>
      <c r="F17013" s="102" t="str">
        <f ca="1">IFERROR(__xludf.DUMMYFUNCTION("IMPORTRANGE(H17013,""IDENTITAS UNIT!D9"")"),"#N/A")</f>
        <v>#N/A</v>
      </c>
      <c r="H17013" s="4" t="str">
        <v/>
      </c>
      <c r="I17013" s="4" t="str">
        <v/>
      </c>
    </row>
    <row r="17014" spans="5:9" ht="16.5" hidden="1">
      <c r="E17014" s="4" t="str">
        <v/>
      </c>
      <c r="F17014" s="102" t="str">
        <f ca="1">IFERROR(__xludf.DUMMYFUNCTION("IMPORTRANGE(H17014,""IDENTITAS UNIT!D9"")"),"#N/A")</f>
        <v>#N/A</v>
      </c>
      <c r="H17014" s="4" t="str">
        <v/>
      </c>
      <c r="I17014" s="4" t="str">
        <v/>
      </c>
    </row>
    <row r="17015" spans="5:9" ht="16.5" hidden="1">
      <c r="E17015" s="4" t="str">
        <v/>
      </c>
      <c r="F17015" s="102" t="str">
        <f ca="1">IFERROR(__xludf.DUMMYFUNCTION("IMPORTRANGE(H17015,""IDENTITAS UNIT!D9"")"),"#N/A")</f>
        <v>#N/A</v>
      </c>
      <c r="H17015" s="4" t="str">
        <v/>
      </c>
      <c r="I17015" s="4" t="str">
        <v/>
      </c>
    </row>
    <row r="17016" spans="5:9" ht="16.5" hidden="1">
      <c r="E17016" s="4" t="str">
        <v/>
      </c>
      <c r="F17016" s="102" t="str">
        <f ca="1">IFERROR(__xludf.DUMMYFUNCTION("IMPORTRANGE(H17016,""IDENTITAS UNIT!D9"")"),"#N/A")</f>
        <v>#N/A</v>
      </c>
      <c r="H17016" s="4" t="str">
        <v/>
      </c>
      <c r="I17016" s="4" t="str">
        <v/>
      </c>
    </row>
    <row r="17017" spans="5:9" ht="16.5" hidden="1">
      <c r="E17017" s="4" t="str">
        <v/>
      </c>
      <c r="F17017" s="102" t="str">
        <f ca="1">IFERROR(__xludf.DUMMYFUNCTION("IMPORTRANGE(H17017,""IDENTITAS UNIT!D9"")"),"#N/A")</f>
        <v>#N/A</v>
      </c>
      <c r="H17017" s="4" t="str">
        <v/>
      </c>
      <c r="I17017" s="4" t="str">
        <v/>
      </c>
    </row>
    <row r="17018" spans="5:9" ht="16.5" hidden="1">
      <c r="E17018" s="4" t="str">
        <v/>
      </c>
      <c r="F17018" s="102" t="str">
        <f ca="1">IFERROR(__xludf.DUMMYFUNCTION("IMPORTRANGE(H17018,""IDENTITAS UNIT!D9"")"),"#N/A")</f>
        <v>#N/A</v>
      </c>
      <c r="H17018" s="4" t="str">
        <v/>
      </c>
      <c r="I17018" s="4" t="str">
        <v/>
      </c>
    </row>
    <row r="17019" spans="5:9" ht="16.5" hidden="1">
      <c r="E17019" s="4" t="str">
        <v/>
      </c>
      <c r="F17019" s="102" t="str">
        <f ca="1">IFERROR(__xludf.DUMMYFUNCTION("IMPORTRANGE(H17019,""IDENTITAS UNIT!D9"")"),"#N/A")</f>
        <v>#N/A</v>
      </c>
      <c r="H17019" s="4" t="str">
        <v/>
      </c>
      <c r="I17019" s="4" t="str">
        <v/>
      </c>
    </row>
    <row r="17020" spans="5:9" ht="16.5" hidden="1">
      <c r="E17020" s="4" t="str">
        <v/>
      </c>
      <c r="F17020" s="102" t="str">
        <f ca="1">IFERROR(__xludf.DUMMYFUNCTION("IMPORTRANGE(H17020,""IDENTITAS UNIT!D9"")"),"#N/A")</f>
        <v>#N/A</v>
      </c>
      <c r="H17020" s="4" t="str">
        <v/>
      </c>
      <c r="I17020" s="4" t="str">
        <v/>
      </c>
    </row>
    <row r="17021" spans="5:9" ht="16.5" hidden="1">
      <c r="E17021" s="4" t="str">
        <v/>
      </c>
      <c r="F17021" s="102" t="str">
        <f ca="1">IFERROR(__xludf.DUMMYFUNCTION("IMPORTRANGE(H17021,""IDENTITAS UNIT!D9"")"),"#N/A")</f>
        <v>#N/A</v>
      </c>
      <c r="H17021" s="4" t="str">
        <v/>
      </c>
      <c r="I17021" s="4" t="str">
        <v/>
      </c>
    </row>
    <row r="17022" spans="5:9" ht="16.5" hidden="1">
      <c r="E17022" s="4" t="str">
        <v/>
      </c>
      <c r="F17022" s="102" t="str">
        <f ca="1">IFERROR(__xludf.DUMMYFUNCTION("IMPORTRANGE(H17022,""IDENTITAS UNIT!D9"")"),"#N/A")</f>
        <v>#N/A</v>
      </c>
      <c r="H17022" s="4" t="str">
        <v/>
      </c>
      <c r="I17022" s="4" t="str">
        <v/>
      </c>
    </row>
    <row r="17023" spans="5:9" ht="16.5" hidden="1">
      <c r="E17023" s="4" t="str">
        <v/>
      </c>
      <c r="F17023" s="102" t="str">
        <f ca="1">IFERROR(__xludf.DUMMYFUNCTION("IMPORTRANGE(H17023,""IDENTITAS UNIT!D9"")"),"#N/A")</f>
        <v>#N/A</v>
      </c>
      <c r="H17023" s="4" t="str">
        <v/>
      </c>
      <c r="I17023" s="4" t="str">
        <v/>
      </c>
    </row>
    <row r="17024" spans="5:9" ht="16.5" hidden="1">
      <c r="E17024" s="4" t="str">
        <v/>
      </c>
      <c r="F17024" s="102" t="str">
        <f ca="1">IFERROR(__xludf.DUMMYFUNCTION("IMPORTRANGE(H17024,""IDENTITAS UNIT!D9"")"),"#N/A")</f>
        <v>#N/A</v>
      </c>
      <c r="H17024" s="4" t="str">
        <v/>
      </c>
      <c r="I17024" s="4" t="str">
        <v/>
      </c>
    </row>
    <row r="17025" spans="5:9" ht="16.5" hidden="1">
      <c r="E17025" s="4" t="str">
        <v/>
      </c>
      <c r="F17025" s="102" t="str">
        <f ca="1">IFERROR(__xludf.DUMMYFUNCTION("IMPORTRANGE(H17025,""IDENTITAS UNIT!D9"")"),"#N/A")</f>
        <v>#N/A</v>
      </c>
      <c r="H17025" s="4" t="str">
        <v/>
      </c>
      <c r="I17025" s="4" t="str">
        <v/>
      </c>
    </row>
    <row r="17026" spans="5:9" ht="16.5" hidden="1">
      <c r="E17026" s="4" t="str">
        <v/>
      </c>
      <c r="F17026" s="102" t="str">
        <f ca="1">IFERROR(__xludf.DUMMYFUNCTION("IMPORTRANGE(H17026,""IDENTITAS UNIT!D9"")"),"#N/A")</f>
        <v>#N/A</v>
      </c>
      <c r="H17026" s="4" t="str">
        <v/>
      </c>
      <c r="I17026" s="4" t="str">
        <v/>
      </c>
    </row>
    <row r="17027" spans="5:9" ht="16.5" hidden="1">
      <c r="E17027" s="4" t="str">
        <v/>
      </c>
      <c r="F17027" s="102" t="str">
        <f ca="1">IFERROR(__xludf.DUMMYFUNCTION("IMPORTRANGE(H17027,""IDENTITAS UNIT!D9"")"),"#N/A")</f>
        <v>#N/A</v>
      </c>
      <c r="H17027" s="4" t="str">
        <v/>
      </c>
      <c r="I17027" s="4" t="str">
        <v/>
      </c>
    </row>
    <row r="17028" spans="5:9" ht="16.5" hidden="1">
      <c r="E17028" s="4" t="str">
        <v/>
      </c>
      <c r="F17028" s="102" t="str">
        <f ca="1">IFERROR(__xludf.DUMMYFUNCTION("IMPORTRANGE(H17028,""IDENTITAS UNIT!D9"")"),"#N/A")</f>
        <v>#N/A</v>
      </c>
      <c r="H17028" s="4" t="str">
        <v/>
      </c>
      <c r="I17028" s="4" t="str">
        <v/>
      </c>
    </row>
    <row r="17029" spans="5:9" ht="16.5" hidden="1">
      <c r="E17029" s="4" t="str">
        <v/>
      </c>
      <c r="F17029" s="102" t="str">
        <f ca="1">IFERROR(__xludf.DUMMYFUNCTION("IMPORTRANGE(H17029,""IDENTITAS UNIT!D9"")"),"#N/A")</f>
        <v>#N/A</v>
      </c>
      <c r="H17029" s="4" t="str">
        <v/>
      </c>
      <c r="I17029" s="4" t="str">
        <v/>
      </c>
    </row>
    <row r="17030" spans="5:9" ht="16.5" hidden="1">
      <c r="E17030" s="4" t="str">
        <v/>
      </c>
      <c r="F17030" s="102" t="str">
        <f ca="1">IFERROR(__xludf.DUMMYFUNCTION("IMPORTRANGE(H17030,""IDENTITAS UNIT!D9"")"),"#N/A")</f>
        <v>#N/A</v>
      </c>
      <c r="H17030" s="4" t="str">
        <v/>
      </c>
      <c r="I17030" s="4" t="str">
        <v/>
      </c>
    </row>
    <row r="17031" spans="5:9" ht="16.5" hidden="1">
      <c r="E17031" s="4" t="str">
        <v/>
      </c>
      <c r="F17031" s="102" t="str">
        <f ca="1">IFERROR(__xludf.DUMMYFUNCTION("IMPORTRANGE(H17031,""IDENTITAS UNIT!D9"")"),"#N/A")</f>
        <v>#N/A</v>
      </c>
      <c r="H17031" s="4" t="str">
        <v/>
      </c>
      <c r="I17031" s="4" t="str">
        <v/>
      </c>
    </row>
    <row r="17032" spans="5:9" ht="16.5" hidden="1">
      <c r="E17032" s="4" t="str">
        <v/>
      </c>
      <c r="F17032" s="102" t="str">
        <f ca="1">IFERROR(__xludf.DUMMYFUNCTION("IMPORTRANGE(H17032,""IDENTITAS UNIT!D9"")"),"#N/A")</f>
        <v>#N/A</v>
      </c>
      <c r="H17032" s="4" t="str">
        <v/>
      </c>
      <c r="I17032" s="4" t="str">
        <v/>
      </c>
    </row>
    <row r="17033" spans="5:9" ht="16.5" hidden="1">
      <c r="E17033" s="4" t="str">
        <v/>
      </c>
      <c r="F17033" s="102" t="str">
        <f ca="1">IFERROR(__xludf.DUMMYFUNCTION("IMPORTRANGE(H17033,""IDENTITAS UNIT!D9"")"),"#N/A")</f>
        <v>#N/A</v>
      </c>
      <c r="H17033" s="4" t="str">
        <v/>
      </c>
      <c r="I17033" s="4" t="str">
        <v/>
      </c>
    </row>
    <row r="17034" spans="5:9" ht="16.5" hidden="1">
      <c r="E17034" s="4" t="str">
        <v/>
      </c>
      <c r="F17034" s="102" t="str">
        <f ca="1">IFERROR(__xludf.DUMMYFUNCTION("IMPORTRANGE(H17034,""IDENTITAS UNIT!D9"")"),"#N/A")</f>
        <v>#N/A</v>
      </c>
      <c r="H17034" s="4" t="str">
        <v/>
      </c>
      <c r="I17034" s="4" t="str">
        <v/>
      </c>
    </row>
    <row r="17035" spans="5:9" ht="16.5" hidden="1">
      <c r="E17035" s="4" t="str">
        <v/>
      </c>
      <c r="F17035" s="102" t="str">
        <f ca="1">IFERROR(__xludf.DUMMYFUNCTION("IMPORTRANGE(H17035,""IDENTITAS UNIT!D9"")"),"#N/A")</f>
        <v>#N/A</v>
      </c>
      <c r="H17035" s="4" t="str">
        <v/>
      </c>
      <c r="I17035" s="4" t="str">
        <v/>
      </c>
    </row>
    <row r="17036" spans="5:9" ht="16.5" hidden="1">
      <c r="E17036" s="4" t="str">
        <v/>
      </c>
      <c r="F17036" s="102" t="str">
        <f ca="1">IFERROR(__xludf.DUMMYFUNCTION("IMPORTRANGE(H17036,""IDENTITAS UNIT!D9"")"),"#N/A")</f>
        <v>#N/A</v>
      </c>
      <c r="H17036" s="4" t="str">
        <v/>
      </c>
      <c r="I17036" s="4" t="str">
        <v/>
      </c>
    </row>
    <row r="17037" spans="5:9" ht="16.5" hidden="1">
      <c r="E17037" s="4" t="str">
        <v/>
      </c>
      <c r="F17037" s="102" t="str">
        <f ca="1">IFERROR(__xludf.DUMMYFUNCTION("IMPORTRANGE(H17037,""IDENTITAS UNIT!D9"")"),"#N/A")</f>
        <v>#N/A</v>
      </c>
      <c r="H17037" s="4" t="str">
        <v/>
      </c>
      <c r="I17037" s="4" t="str">
        <v/>
      </c>
    </row>
    <row r="17038" spans="5:9" ht="16.5" hidden="1">
      <c r="E17038" s="4" t="str">
        <v/>
      </c>
      <c r="F17038" s="102" t="str">
        <f ca="1">IFERROR(__xludf.DUMMYFUNCTION("IMPORTRANGE(H17038,""IDENTITAS UNIT!D9"")"),"#N/A")</f>
        <v>#N/A</v>
      </c>
      <c r="H17038" s="4" t="str">
        <v/>
      </c>
      <c r="I17038" s="4" t="str">
        <v/>
      </c>
    </row>
    <row r="17039" spans="5:9" ht="16.5" hidden="1">
      <c r="E17039" s="4" t="str">
        <v/>
      </c>
      <c r="F17039" s="102" t="str">
        <f ca="1">IFERROR(__xludf.DUMMYFUNCTION("IMPORTRANGE(H17039,""IDENTITAS UNIT!D9"")"),"#N/A")</f>
        <v>#N/A</v>
      </c>
      <c r="H17039" s="4" t="str">
        <v/>
      </c>
      <c r="I17039" s="4" t="str">
        <v/>
      </c>
    </row>
    <row r="17040" spans="5:9" ht="16.5" hidden="1">
      <c r="E17040" s="4" t="str">
        <v/>
      </c>
      <c r="F17040" s="102" t="str">
        <f ca="1">IFERROR(__xludf.DUMMYFUNCTION("IMPORTRANGE(H17040,""IDENTITAS UNIT!D9"")"),"#N/A")</f>
        <v>#N/A</v>
      </c>
      <c r="H17040" s="4" t="str">
        <v/>
      </c>
      <c r="I17040" s="4" t="str">
        <v/>
      </c>
    </row>
    <row r="17041" spans="5:9" ht="16.5" hidden="1">
      <c r="E17041" s="4" t="str">
        <v/>
      </c>
      <c r="F17041" s="102" t="str">
        <f ca="1">IFERROR(__xludf.DUMMYFUNCTION("IMPORTRANGE(H17041,""IDENTITAS UNIT!D9"")"),"#N/A")</f>
        <v>#N/A</v>
      </c>
      <c r="H17041" s="4" t="str">
        <v/>
      </c>
      <c r="I17041" s="4" t="str">
        <v/>
      </c>
    </row>
    <row r="17042" spans="5:9" ht="16.5" hidden="1">
      <c r="E17042" s="4" t="str">
        <v/>
      </c>
      <c r="F17042" s="102" t="str">
        <f ca="1">IFERROR(__xludf.DUMMYFUNCTION("IMPORTRANGE(H17042,""IDENTITAS UNIT!D9"")"),"#N/A")</f>
        <v>#N/A</v>
      </c>
      <c r="H17042" s="4" t="str">
        <v/>
      </c>
      <c r="I17042" s="4" t="str">
        <v/>
      </c>
    </row>
    <row r="17043" spans="5:9" ht="16.5" hidden="1">
      <c r="E17043" s="4" t="str">
        <v/>
      </c>
      <c r="F17043" s="102" t="str">
        <f ca="1">IFERROR(__xludf.DUMMYFUNCTION("IMPORTRANGE(H17043,""IDENTITAS UNIT!D9"")"),"#N/A")</f>
        <v>#N/A</v>
      </c>
      <c r="H17043" s="4" t="str">
        <v/>
      </c>
      <c r="I17043" s="4" t="str">
        <v/>
      </c>
    </row>
    <row r="17044" spans="5:9" ht="16.5" hidden="1">
      <c r="E17044" s="4" t="str">
        <v/>
      </c>
      <c r="F17044" s="102" t="str">
        <f ca="1">IFERROR(__xludf.DUMMYFUNCTION("IMPORTRANGE(H17044,""IDENTITAS UNIT!D9"")"),"#N/A")</f>
        <v>#N/A</v>
      </c>
      <c r="H17044" s="4" t="str">
        <v/>
      </c>
      <c r="I17044" s="4" t="str">
        <v/>
      </c>
    </row>
    <row r="17045" spans="5:9" ht="16.5" hidden="1">
      <c r="E17045" s="4" t="str">
        <v/>
      </c>
      <c r="F17045" s="102" t="str">
        <f ca="1">IFERROR(__xludf.DUMMYFUNCTION("IMPORTRANGE(H17045,""IDENTITAS UNIT!D9"")"),"#N/A")</f>
        <v>#N/A</v>
      </c>
      <c r="H17045" s="4" t="str">
        <v/>
      </c>
      <c r="I17045" s="4" t="str">
        <v/>
      </c>
    </row>
    <row r="17046" spans="5:9" ht="16.5" hidden="1">
      <c r="E17046" s="4" t="str">
        <v/>
      </c>
      <c r="F17046" s="102" t="str">
        <f ca="1">IFERROR(__xludf.DUMMYFUNCTION("IMPORTRANGE(H17046,""IDENTITAS UNIT!D9"")"),"#N/A")</f>
        <v>#N/A</v>
      </c>
      <c r="H17046" s="4" t="str">
        <v/>
      </c>
      <c r="I17046" s="4" t="str">
        <v/>
      </c>
    </row>
    <row r="17047" spans="5:9" ht="16.5" hidden="1">
      <c r="E17047" s="4" t="str">
        <v/>
      </c>
      <c r="F17047" s="102" t="str">
        <f ca="1">IFERROR(__xludf.DUMMYFUNCTION("IMPORTRANGE(H17047,""IDENTITAS UNIT!D9"")"),"#N/A")</f>
        <v>#N/A</v>
      </c>
      <c r="H17047" s="4" t="str">
        <v/>
      </c>
      <c r="I17047" s="4" t="str">
        <v/>
      </c>
    </row>
    <row r="17048" spans="5:9" ht="16.5" hidden="1">
      <c r="E17048" s="4" t="str">
        <v/>
      </c>
      <c r="F17048" s="102" t="str">
        <f ca="1">IFERROR(__xludf.DUMMYFUNCTION("IMPORTRANGE(H17048,""IDENTITAS UNIT!D9"")"),"#N/A")</f>
        <v>#N/A</v>
      </c>
      <c r="H17048" s="4" t="str">
        <v/>
      </c>
      <c r="I17048" s="4" t="str">
        <v/>
      </c>
    </row>
    <row r="17049" spans="5:9" ht="16.5" hidden="1">
      <c r="E17049" s="4" t="str">
        <v/>
      </c>
      <c r="F17049" s="102" t="str">
        <f ca="1">IFERROR(__xludf.DUMMYFUNCTION("IMPORTRANGE(H17049,""IDENTITAS UNIT!D9"")"),"#N/A")</f>
        <v>#N/A</v>
      </c>
      <c r="H17049" s="4" t="str">
        <v/>
      </c>
      <c r="I17049" s="4" t="str">
        <v/>
      </c>
    </row>
    <row r="17050" spans="5:9" ht="16.5" hidden="1">
      <c r="E17050" s="4" t="str">
        <v/>
      </c>
      <c r="F17050" s="102" t="str">
        <f ca="1">IFERROR(__xludf.DUMMYFUNCTION("IMPORTRANGE(H17050,""IDENTITAS UNIT!D9"")"),"#N/A")</f>
        <v>#N/A</v>
      </c>
      <c r="H17050" s="4" t="str">
        <v/>
      </c>
      <c r="I17050" s="4" t="str">
        <v/>
      </c>
    </row>
    <row r="17051" spans="5:9" ht="16.5" hidden="1">
      <c r="E17051" s="4" t="str">
        <v/>
      </c>
      <c r="F17051" s="102" t="str">
        <f ca="1">IFERROR(__xludf.DUMMYFUNCTION("IMPORTRANGE(H17051,""IDENTITAS UNIT!D9"")"),"#N/A")</f>
        <v>#N/A</v>
      </c>
      <c r="H17051" s="4" t="str">
        <v/>
      </c>
      <c r="I17051" s="4" t="str">
        <v/>
      </c>
    </row>
    <row r="17052" spans="5:9" ht="16.5" hidden="1">
      <c r="E17052" s="4" t="str">
        <v/>
      </c>
      <c r="F17052" s="102" t="str">
        <f ca="1">IFERROR(__xludf.DUMMYFUNCTION("IMPORTRANGE(H17052,""IDENTITAS UNIT!D9"")"),"#N/A")</f>
        <v>#N/A</v>
      </c>
      <c r="H17052" s="4" t="str">
        <v/>
      </c>
      <c r="I17052" s="4" t="str">
        <v/>
      </c>
    </row>
    <row r="17053" spans="5:9" ht="16.5" hidden="1">
      <c r="E17053" s="4" t="str">
        <v/>
      </c>
      <c r="F17053" s="102" t="str">
        <f ca="1">IFERROR(__xludf.DUMMYFUNCTION("IMPORTRANGE(H17053,""IDENTITAS UNIT!D9"")"),"#N/A")</f>
        <v>#N/A</v>
      </c>
      <c r="H17053" s="4" t="str">
        <v/>
      </c>
      <c r="I17053" s="4" t="str">
        <v/>
      </c>
    </row>
    <row r="17054" spans="5:9" ht="16.5" hidden="1">
      <c r="E17054" s="4" t="str">
        <v/>
      </c>
      <c r="F17054" s="102" t="str">
        <f ca="1">IFERROR(__xludf.DUMMYFUNCTION("IMPORTRANGE(H17054,""IDENTITAS UNIT!D9"")"),"#N/A")</f>
        <v>#N/A</v>
      </c>
      <c r="H17054" s="4" t="str">
        <v/>
      </c>
      <c r="I17054" s="4" t="str">
        <v/>
      </c>
    </row>
    <row r="17055" spans="5:9" ht="16.5" hidden="1">
      <c r="E17055" s="4" t="str">
        <v/>
      </c>
      <c r="F17055" s="102" t="str">
        <f ca="1">IFERROR(__xludf.DUMMYFUNCTION("IMPORTRANGE(H17055,""IDENTITAS UNIT!D9"")"),"#N/A")</f>
        <v>#N/A</v>
      </c>
      <c r="H17055" s="4" t="str">
        <v/>
      </c>
      <c r="I17055" s="4" t="str">
        <v/>
      </c>
    </row>
    <row r="17056" spans="5:9" ht="16.5" hidden="1">
      <c r="E17056" s="4" t="str">
        <v/>
      </c>
      <c r="F17056" s="102" t="str">
        <f ca="1">IFERROR(__xludf.DUMMYFUNCTION("IMPORTRANGE(H17056,""IDENTITAS UNIT!D9"")"),"#N/A")</f>
        <v>#N/A</v>
      </c>
      <c r="H17056" s="4" t="str">
        <v/>
      </c>
      <c r="I17056" s="4" t="str">
        <v/>
      </c>
    </row>
    <row r="17057" spans="5:9" ht="16.5" hidden="1">
      <c r="E17057" s="4" t="str">
        <v/>
      </c>
      <c r="F17057" s="102" t="str">
        <f ca="1">IFERROR(__xludf.DUMMYFUNCTION("IMPORTRANGE(H17057,""IDENTITAS UNIT!D9"")"),"#N/A")</f>
        <v>#N/A</v>
      </c>
      <c r="H17057" s="4" t="str">
        <v/>
      </c>
      <c r="I17057" s="4" t="str">
        <v/>
      </c>
    </row>
    <row r="17058" spans="5:9" ht="16.5" hidden="1">
      <c r="E17058" s="4" t="str">
        <v/>
      </c>
      <c r="F17058" s="102" t="str">
        <f ca="1">IFERROR(__xludf.DUMMYFUNCTION("IMPORTRANGE(H17058,""IDENTITAS UNIT!D9"")"),"#N/A")</f>
        <v>#N/A</v>
      </c>
      <c r="H17058" s="4" t="str">
        <v/>
      </c>
      <c r="I17058" s="4" t="str">
        <v/>
      </c>
    </row>
    <row r="17059" spans="5:9" ht="16.5" hidden="1">
      <c r="E17059" s="4" t="str">
        <v/>
      </c>
      <c r="F17059" s="102" t="str">
        <f ca="1">IFERROR(__xludf.DUMMYFUNCTION("IMPORTRANGE(H17059,""IDENTITAS UNIT!D9"")"),"#N/A")</f>
        <v>#N/A</v>
      </c>
      <c r="H17059" s="4" t="str">
        <v/>
      </c>
      <c r="I17059" s="4" t="str">
        <v/>
      </c>
    </row>
    <row r="17060" spans="5:9" ht="16.5" hidden="1">
      <c r="E17060" s="4" t="str">
        <v/>
      </c>
      <c r="F17060" s="102" t="str">
        <f ca="1">IFERROR(__xludf.DUMMYFUNCTION("IMPORTRANGE(H17060,""IDENTITAS UNIT!D9"")"),"#N/A")</f>
        <v>#N/A</v>
      </c>
      <c r="H17060" s="4" t="str">
        <v/>
      </c>
      <c r="I17060" s="4" t="str">
        <v/>
      </c>
    </row>
    <row r="17061" spans="5:9" ht="16.5" hidden="1">
      <c r="E17061" s="4" t="str">
        <v/>
      </c>
      <c r="F17061" s="102" t="str">
        <f ca="1">IFERROR(__xludf.DUMMYFUNCTION("IMPORTRANGE(H17061,""IDENTITAS UNIT!D9"")"),"#N/A")</f>
        <v>#N/A</v>
      </c>
      <c r="H17061" s="4" t="str">
        <v/>
      </c>
      <c r="I17061" s="4" t="str">
        <v/>
      </c>
    </row>
    <row r="17062" spans="5:9" ht="16.5" hidden="1">
      <c r="E17062" s="4" t="str">
        <v/>
      </c>
      <c r="F17062" s="102" t="str">
        <f ca="1">IFERROR(__xludf.DUMMYFUNCTION("IMPORTRANGE(H17062,""IDENTITAS UNIT!D9"")"),"#N/A")</f>
        <v>#N/A</v>
      </c>
      <c r="H17062" s="4" t="str">
        <v/>
      </c>
      <c r="I17062" s="4" t="str">
        <v/>
      </c>
    </row>
    <row r="17063" spans="5:9" ht="16.5" hidden="1">
      <c r="E17063" s="4" t="str">
        <v/>
      </c>
      <c r="F17063" s="102" t="str">
        <f ca="1">IFERROR(__xludf.DUMMYFUNCTION("IMPORTRANGE(H17063,""IDENTITAS UNIT!D9"")"),"#N/A")</f>
        <v>#N/A</v>
      </c>
      <c r="H17063" s="4" t="str">
        <v/>
      </c>
      <c r="I17063" s="4" t="str">
        <v/>
      </c>
    </row>
    <row r="17064" spans="5:9" ht="16.5" hidden="1">
      <c r="E17064" s="4" t="str">
        <v/>
      </c>
      <c r="F17064" s="102" t="str">
        <f ca="1">IFERROR(__xludf.DUMMYFUNCTION("IMPORTRANGE(H17064,""IDENTITAS UNIT!D9"")"),"#N/A")</f>
        <v>#N/A</v>
      </c>
      <c r="H17064" s="4" t="str">
        <v/>
      </c>
      <c r="I17064" s="4" t="str">
        <v/>
      </c>
    </row>
    <row r="17065" spans="5:9" ht="16.5" hidden="1">
      <c r="E17065" s="4" t="str">
        <v/>
      </c>
      <c r="F17065" s="102" t="str">
        <f ca="1">IFERROR(__xludf.DUMMYFUNCTION("IMPORTRANGE(H17065,""IDENTITAS UNIT!D9"")"),"#N/A")</f>
        <v>#N/A</v>
      </c>
      <c r="H17065" s="4" t="str">
        <v/>
      </c>
      <c r="I17065" s="4" t="str">
        <v/>
      </c>
    </row>
    <row r="17066" spans="5:9" ht="16.5" hidden="1">
      <c r="E17066" s="4" t="str">
        <v/>
      </c>
      <c r="F17066" s="102" t="str">
        <f ca="1">IFERROR(__xludf.DUMMYFUNCTION("IMPORTRANGE(H17066,""IDENTITAS UNIT!D9"")"),"#N/A")</f>
        <v>#N/A</v>
      </c>
      <c r="H17066" s="4" t="str">
        <v/>
      </c>
      <c r="I17066" s="4" t="str">
        <v/>
      </c>
    </row>
    <row r="17067" spans="5:9" ht="16.5" hidden="1">
      <c r="E17067" s="4" t="str">
        <v/>
      </c>
      <c r="F17067" s="102" t="str">
        <f ca="1">IFERROR(__xludf.DUMMYFUNCTION("IMPORTRANGE(H17067,""IDENTITAS UNIT!D9"")"),"#N/A")</f>
        <v>#N/A</v>
      </c>
      <c r="H17067" s="4" t="str">
        <v/>
      </c>
      <c r="I17067" s="4" t="str">
        <v/>
      </c>
    </row>
    <row r="17068" spans="5:9" ht="16.5" hidden="1">
      <c r="E17068" s="4" t="str">
        <v/>
      </c>
      <c r="F17068" s="102" t="str">
        <f ca="1">IFERROR(__xludf.DUMMYFUNCTION("IMPORTRANGE(H17068,""IDENTITAS UNIT!D9"")"),"#N/A")</f>
        <v>#N/A</v>
      </c>
      <c r="H17068" s="4" t="str">
        <v/>
      </c>
      <c r="I17068" s="4" t="str">
        <v/>
      </c>
    </row>
    <row r="17069" spans="5:9" ht="16.5" hidden="1">
      <c r="E17069" s="4" t="str">
        <v/>
      </c>
      <c r="F17069" s="102" t="str">
        <f ca="1">IFERROR(__xludf.DUMMYFUNCTION("IMPORTRANGE(H17069,""IDENTITAS UNIT!D9"")"),"#N/A")</f>
        <v>#N/A</v>
      </c>
      <c r="H17069" s="4" t="str">
        <v/>
      </c>
      <c r="I17069" s="4" t="str">
        <v/>
      </c>
    </row>
    <row r="17070" spans="5:9" ht="16.5" hidden="1">
      <c r="E17070" s="4" t="str">
        <v/>
      </c>
      <c r="F17070" s="102" t="str">
        <f ca="1">IFERROR(__xludf.DUMMYFUNCTION("IMPORTRANGE(H17070,""IDENTITAS UNIT!D9"")"),"#N/A")</f>
        <v>#N/A</v>
      </c>
      <c r="H17070" s="4" t="str">
        <v/>
      </c>
      <c r="I17070" s="4" t="str">
        <v/>
      </c>
    </row>
    <row r="17071" spans="5:9" ht="16.5" hidden="1">
      <c r="E17071" s="4" t="str">
        <v/>
      </c>
      <c r="F17071" s="102" t="str">
        <f ca="1">IFERROR(__xludf.DUMMYFUNCTION("IMPORTRANGE(H17071,""IDENTITAS UNIT!D9"")"),"#N/A")</f>
        <v>#N/A</v>
      </c>
      <c r="H17071" s="4" t="str">
        <v/>
      </c>
      <c r="I17071" s="4" t="str">
        <v/>
      </c>
    </row>
    <row r="17072" spans="5:9" ht="16.5" hidden="1">
      <c r="E17072" s="4" t="str">
        <v/>
      </c>
      <c r="F17072" s="102" t="str">
        <f ca="1">IFERROR(__xludf.DUMMYFUNCTION("IMPORTRANGE(H17072,""IDENTITAS UNIT!D9"")"),"#N/A")</f>
        <v>#N/A</v>
      </c>
      <c r="H17072" s="4" t="str">
        <v/>
      </c>
      <c r="I17072" s="4" t="str">
        <v/>
      </c>
    </row>
    <row r="17073" spans="5:9" ht="16.5" hidden="1">
      <c r="E17073" s="4" t="str">
        <v/>
      </c>
      <c r="F17073" s="102" t="str">
        <f ca="1">IFERROR(__xludf.DUMMYFUNCTION("IMPORTRANGE(H17073,""IDENTITAS UNIT!D9"")"),"#N/A")</f>
        <v>#N/A</v>
      </c>
      <c r="H17073" s="4" t="str">
        <v/>
      </c>
      <c r="I17073" s="4" t="str">
        <v/>
      </c>
    </row>
    <row r="17074" spans="5:9" ht="16.5" hidden="1">
      <c r="E17074" s="4" t="str">
        <v/>
      </c>
      <c r="F17074" s="102" t="str">
        <f ca="1">IFERROR(__xludf.DUMMYFUNCTION("IMPORTRANGE(H17074,""IDENTITAS UNIT!D9"")"),"#N/A")</f>
        <v>#N/A</v>
      </c>
      <c r="H17074" s="4" t="str">
        <v/>
      </c>
      <c r="I17074" s="4" t="str">
        <v/>
      </c>
    </row>
    <row r="17075" spans="5:9" ht="16.5" hidden="1">
      <c r="E17075" s="4" t="str">
        <v/>
      </c>
      <c r="F17075" s="102" t="str">
        <f ca="1">IFERROR(__xludf.DUMMYFUNCTION("IMPORTRANGE(H17075,""IDENTITAS UNIT!D9"")"),"#N/A")</f>
        <v>#N/A</v>
      </c>
      <c r="H17075" s="4" t="str">
        <v/>
      </c>
      <c r="I17075" s="4" t="str">
        <v/>
      </c>
    </row>
    <row r="17076" spans="5:9" ht="16.5" hidden="1">
      <c r="E17076" s="4" t="str">
        <v/>
      </c>
      <c r="F17076" s="102" t="str">
        <f ca="1">IFERROR(__xludf.DUMMYFUNCTION("IMPORTRANGE(H17076,""IDENTITAS UNIT!D9"")"),"#N/A")</f>
        <v>#N/A</v>
      </c>
      <c r="H17076" s="4" t="str">
        <v/>
      </c>
      <c r="I17076" s="4" t="str">
        <v/>
      </c>
    </row>
    <row r="17077" spans="5:9" ht="16.5" hidden="1">
      <c r="E17077" s="4" t="str">
        <v/>
      </c>
      <c r="F17077" s="102" t="str">
        <f ca="1">IFERROR(__xludf.DUMMYFUNCTION("IMPORTRANGE(H17077,""IDENTITAS UNIT!D9"")"),"#N/A")</f>
        <v>#N/A</v>
      </c>
      <c r="H17077" s="4" t="str">
        <v/>
      </c>
      <c r="I17077" s="4" t="str">
        <v/>
      </c>
    </row>
    <row r="17078" spans="5:9" ht="16.5" hidden="1">
      <c r="E17078" s="4" t="str">
        <v/>
      </c>
      <c r="F17078" s="102" t="str">
        <f ca="1">IFERROR(__xludf.DUMMYFUNCTION("IMPORTRANGE(H17078,""IDENTITAS UNIT!D9"")"),"#N/A")</f>
        <v>#N/A</v>
      </c>
      <c r="H17078" s="4" t="str">
        <v/>
      </c>
      <c r="I17078" s="4" t="str">
        <v/>
      </c>
    </row>
    <row r="17079" spans="5:9" ht="16.5" hidden="1">
      <c r="E17079" s="4" t="str">
        <v/>
      </c>
      <c r="F17079" s="102" t="str">
        <f ca="1">IFERROR(__xludf.DUMMYFUNCTION("IMPORTRANGE(H17079,""IDENTITAS UNIT!D9"")"),"#N/A")</f>
        <v>#N/A</v>
      </c>
      <c r="H17079" s="4" t="str">
        <v/>
      </c>
      <c r="I17079" s="4" t="str">
        <v/>
      </c>
    </row>
    <row r="17080" spans="5:9" ht="16.5" hidden="1">
      <c r="E17080" s="4" t="str">
        <v/>
      </c>
      <c r="F17080" s="102" t="str">
        <f ca="1">IFERROR(__xludf.DUMMYFUNCTION("IMPORTRANGE(H17080,""IDENTITAS UNIT!D9"")"),"#N/A")</f>
        <v>#N/A</v>
      </c>
      <c r="H17080" s="4" t="str">
        <v/>
      </c>
      <c r="I17080" s="4" t="str">
        <v/>
      </c>
    </row>
    <row r="17081" spans="5:9" ht="16.5" hidden="1">
      <c r="E17081" s="4" t="str">
        <v/>
      </c>
      <c r="F17081" s="102" t="str">
        <f ca="1">IFERROR(__xludf.DUMMYFUNCTION("IMPORTRANGE(H17081,""IDENTITAS UNIT!D9"")"),"#N/A")</f>
        <v>#N/A</v>
      </c>
      <c r="H17081" s="4" t="str">
        <v/>
      </c>
      <c r="I17081" s="4" t="str">
        <v/>
      </c>
    </row>
    <row r="17082" spans="5:9" ht="16.5" hidden="1">
      <c r="E17082" s="4" t="str">
        <v/>
      </c>
      <c r="F17082" s="102" t="str">
        <f ca="1">IFERROR(__xludf.DUMMYFUNCTION("IMPORTRANGE(H17082,""IDENTITAS UNIT!D9"")"),"#N/A")</f>
        <v>#N/A</v>
      </c>
      <c r="H17082" s="4" t="str">
        <v/>
      </c>
      <c r="I17082" s="4" t="str">
        <v/>
      </c>
    </row>
    <row r="17083" spans="5:9" ht="16.5" hidden="1">
      <c r="E17083" s="4" t="str">
        <v/>
      </c>
      <c r="F17083" s="102" t="str">
        <f ca="1">IFERROR(__xludf.DUMMYFUNCTION("IMPORTRANGE(H17083,""IDENTITAS UNIT!D9"")"),"#N/A")</f>
        <v>#N/A</v>
      </c>
      <c r="H17083" s="4" t="str">
        <v/>
      </c>
      <c r="I17083" s="4" t="str">
        <v/>
      </c>
    </row>
    <row r="17084" spans="5:9" ht="16.5" hidden="1">
      <c r="E17084" s="4" t="str">
        <v/>
      </c>
      <c r="F17084" s="102" t="str">
        <f ca="1">IFERROR(__xludf.DUMMYFUNCTION("IMPORTRANGE(H17084,""IDENTITAS UNIT!D9"")"),"#N/A")</f>
        <v>#N/A</v>
      </c>
      <c r="H17084" s="4" t="str">
        <v/>
      </c>
      <c r="I17084" s="4" t="str">
        <v/>
      </c>
    </row>
    <row r="17085" spans="5:9" ht="16.5" hidden="1">
      <c r="E17085" s="4" t="str">
        <v/>
      </c>
      <c r="F17085" s="102" t="str">
        <f ca="1">IFERROR(__xludf.DUMMYFUNCTION("IMPORTRANGE(H17085,""IDENTITAS UNIT!D9"")"),"#N/A")</f>
        <v>#N/A</v>
      </c>
      <c r="H17085" s="4" t="str">
        <v/>
      </c>
      <c r="I17085" s="4" t="str">
        <v/>
      </c>
    </row>
    <row r="17086" spans="5:9" ht="16.5" hidden="1">
      <c r="E17086" s="4" t="str">
        <v/>
      </c>
      <c r="F17086" s="102" t="str">
        <f ca="1">IFERROR(__xludf.DUMMYFUNCTION("IMPORTRANGE(H17086,""IDENTITAS UNIT!D9"")"),"#N/A")</f>
        <v>#N/A</v>
      </c>
      <c r="H17086" s="4" t="str">
        <v/>
      </c>
      <c r="I17086" s="4" t="str">
        <v/>
      </c>
    </row>
    <row r="17087" spans="5:9" ht="16.5" hidden="1">
      <c r="E17087" s="4" t="str">
        <v/>
      </c>
      <c r="F17087" s="102" t="str">
        <f ca="1">IFERROR(__xludf.DUMMYFUNCTION("IMPORTRANGE(H17087,""IDENTITAS UNIT!D9"")"),"#N/A")</f>
        <v>#N/A</v>
      </c>
      <c r="H17087" s="4" t="str">
        <v/>
      </c>
      <c r="I17087" s="4" t="str">
        <v/>
      </c>
    </row>
    <row r="17088" spans="5:9" ht="16.5" hidden="1">
      <c r="E17088" s="4" t="str">
        <v/>
      </c>
      <c r="F17088" s="102" t="str">
        <f ca="1">IFERROR(__xludf.DUMMYFUNCTION("IMPORTRANGE(H17088,""IDENTITAS UNIT!D9"")"),"#N/A")</f>
        <v>#N/A</v>
      </c>
      <c r="H17088" s="4" t="str">
        <v/>
      </c>
      <c r="I17088" s="4" t="str">
        <v/>
      </c>
    </row>
    <row r="17089" spans="5:9" ht="16.5" hidden="1">
      <c r="E17089" s="4" t="str">
        <v/>
      </c>
      <c r="F17089" s="102" t="str">
        <f ca="1">IFERROR(__xludf.DUMMYFUNCTION("IMPORTRANGE(H17089,""IDENTITAS UNIT!D9"")"),"#N/A")</f>
        <v>#N/A</v>
      </c>
      <c r="H17089" s="4" t="str">
        <v/>
      </c>
      <c r="I17089" s="4" t="str">
        <v/>
      </c>
    </row>
    <row r="17090" spans="5:9" ht="16.5" hidden="1">
      <c r="E17090" s="4" t="str">
        <v/>
      </c>
      <c r="F17090" s="102" t="str">
        <f ca="1">IFERROR(__xludf.DUMMYFUNCTION("IMPORTRANGE(H17090,""IDENTITAS UNIT!D9"")"),"#N/A")</f>
        <v>#N/A</v>
      </c>
      <c r="H17090" s="4" t="str">
        <v/>
      </c>
      <c r="I17090" s="4" t="str">
        <v/>
      </c>
    </row>
    <row r="17091" spans="5:9" ht="16.5" hidden="1">
      <c r="E17091" s="4" t="str">
        <v/>
      </c>
      <c r="F17091" s="102" t="str">
        <f ca="1">IFERROR(__xludf.DUMMYFUNCTION("IMPORTRANGE(H17091,""IDENTITAS UNIT!D9"")"),"#N/A")</f>
        <v>#N/A</v>
      </c>
      <c r="H17091" s="4" t="str">
        <v/>
      </c>
      <c r="I17091" s="4" t="str">
        <v/>
      </c>
    </row>
    <row r="17092" spans="5:9" ht="16.5" hidden="1">
      <c r="E17092" s="4" t="str">
        <v/>
      </c>
      <c r="F17092" s="102" t="str">
        <f ca="1">IFERROR(__xludf.DUMMYFUNCTION("IMPORTRANGE(H17092,""IDENTITAS UNIT!D9"")"),"#N/A")</f>
        <v>#N/A</v>
      </c>
      <c r="H17092" s="4" t="str">
        <v/>
      </c>
      <c r="I17092" s="4" t="str">
        <v/>
      </c>
    </row>
    <row r="17093" spans="5:9" ht="16.5" hidden="1">
      <c r="E17093" s="4" t="str">
        <v/>
      </c>
      <c r="F17093" s="102" t="str">
        <f ca="1">IFERROR(__xludf.DUMMYFUNCTION("IMPORTRANGE(H17093,""IDENTITAS UNIT!D9"")"),"#N/A")</f>
        <v>#N/A</v>
      </c>
      <c r="H17093" s="4" t="str">
        <v/>
      </c>
      <c r="I17093" s="4" t="str">
        <v/>
      </c>
    </row>
    <row r="17094" spans="5:9" ht="16.5" hidden="1">
      <c r="E17094" s="4" t="str">
        <v/>
      </c>
      <c r="F17094" s="102" t="str">
        <f ca="1">IFERROR(__xludf.DUMMYFUNCTION("IMPORTRANGE(H17094,""IDENTITAS UNIT!D9"")"),"#N/A")</f>
        <v>#N/A</v>
      </c>
      <c r="H17094" s="4" t="str">
        <v/>
      </c>
      <c r="I17094" s="4" t="str">
        <v/>
      </c>
    </row>
    <row r="17095" spans="5:9" ht="16.5" hidden="1">
      <c r="E17095" s="4" t="str">
        <v/>
      </c>
      <c r="F17095" s="102" t="str">
        <f ca="1">IFERROR(__xludf.DUMMYFUNCTION("IMPORTRANGE(H17095,""IDENTITAS UNIT!D9"")"),"#N/A")</f>
        <v>#N/A</v>
      </c>
      <c r="H17095" s="4" t="str">
        <v/>
      </c>
      <c r="I17095" s="4" t="str">
        <v/>
      </c>
    </row>
    <row r="17096" spans="5:9" ht="16.5" hidden="1">
      <c r="E17096" s="4" t="str">
        <v/>
      </c>
      <c r="F17096" s="102" t="str">
        <f ca="1">IFERROR(__xludf.DUMMYFUNCTION("IMPORTRANGE(H17096,""IDENTITAS UNIT!D9"")"),"#N/A")</f>
        <v>#N/A</v>
      </c>
      <c r="H17096" s="4" t="str">
        <v/>
      </c>
      <c r="I17096" s="4" t="str">
        <v/>
      </c>
    </row>
    <row r="17097" spans="5:9" ht="16.5" hidden="1">
      <c r="E17097" s="4" t="str">
        <v/>
      </c>
      <c r="F17097" s="102" t="str">
        <f ca="1">IFERROR(__xludf.DUMMYFUNCTION("IMPORTRANGE(H17097,""IDENTITAS UNIT!D9"")"),"#N/A")</f>
        <v>#N/A</v>
      </c>
      <c r="H17097" s="4" t="str">
        <v/>
      </c>
      <c r="I17097" s="4" t="str">
        <v/>
      </c>
    </row>
    <row r="17098" spans="5:9" ht="16.5" hidden="1">
      <c r="E17098" s="4" t="str">
        <v/>
      </c>
      <c r="F17098" s="102" t="str">
        <f ca="1">IFERROR(__xludf.DUMMYFUNCTION("IMPORTRANGE(H17098,""IDENTITAS UNIT!D9"")"),"#N/A")</f>
        <v>#N/A</v>
      </c>
      <c r="H17098" s="4" t="str">
        <v/>
      </c>
      <c r="I17098" s="4" t="str">
        <v/>
      </c>
    </row>
    <row r="17099" spans="5:9" ht="16.5" hidden="1">
      <c r="E17099" s="4" t="str">
        <v/>
      </c>
      <c r="F17099" s="102" t="str">
        <f ca="1">IFERROR(__xludf.DUMMYFUNCTION("IMPORTRANGE(H17099,""IDENTITAS UNIT!D9"")"),"#N/A")</f>
        <v>#N/A</v>
      </c>
      <c r="H17099" s="4" t="str">
        <v/>
      </c>
      <c r="I17099" s="4" t="str">
        <v/>
      </c>
    </row>
    <row r="17100" spans="5:9" ht="16.5" hidden="1">
      <c r="E17100" s="4" t="str">
        <v/>
      </c>
      <c r="F17100" s="102" t="str">
        <f ca="1">IFERROR(__xludf.DUMMYFUNCTION("IMPORTRANGE(H17100,""IDENTITAS UNIT!D9"")"),"#N/A")</f>
        <v>#N/A</v>
      </c>
      <c r="H17100" s="4" t="str">
        <v/>
      </c>
      <c r="I17100" s="4" t="str">
        <v/>
      </c>
    </row>
    <row r="17101" spans="5:9" ht="16.5" hidden="1">
      <c r="E17101" s="4" t="str">
        <v/>
      </c>
      <c r="F17101" s="102" t="str">
        <f ca="1">IFERROR(__xludf.DUMMYFUNCTION("IMPORTRANGE(H17101,""IDENTITAS UNIT!D9"")"),"#N/A")</f>
        <v>#N/A</v>
      </c>
      <c r="H17101" s="4" t="str">
        <v/>
      </c>
      <c r="I17101" s="4" t="str">
        <v/>
      </c>
    </row>
    <row r="17102" spans="5:9" ht="16.5" hidden="1">
      <c r="E17102" s="4" t="str">
        <v/>
      </c>
      <c r="F17102" s="102" t="str">
        <f ca="1">IFERROR(__xludf.DUMMYFUNCTION("IMPORTRANGE(H17102,""IDENTITAS UNIT!D9"")"),"#N/A")</f>
        <v>#N/A</v>
      </c>
      <c r="H17102" s="4" t="str">
        <v/>
      </c>
      <c r="I17102" s="4" t="str">
        <v/>
      </c>
    </row>
    <row r="17103" spans="5:9" ht="16.5" hidden="1">
      <c r="E17103" s="4" t="str">
        <v/>
      </c>
      <c r="F17103" s="102" t="str">
        <f ca="1">IFERROR(__xludf.DUMMYFUNCTION("IMPORTRANGE(H17103,""IDENTITAS UNIT!D9"")"),"#N/A")</f>
        <v>#N/A</v>
      </c>
      <c r="H17103" s="4" t="str">
        <v/>
      </c>
      <c r="I17103" s="4" t="str">
        <v/>
      </c>
    </row>
    <row r="17104" spans="5:9" ht="16.5" hidden="1">
      <c r="E17104" s="4" t="str">
        <v/>
      </c>
      <c r="F17104" s="102" t="str">
        <f ca="1">IFERROR(__xludf.DUMMYFUNCTION("IMPORTRANGE(H17104,""IDENTITAS UNIT!D9"")"),"#N/A")</f>
        <v>#N/A</v>
      </c>
      <c r="H17104" s="4" t="str">
        <v/>
      </c>
      <c r="I17104" s="4" t="str">
        <v/>
      </c>
    </row>
    <row r="17105" spans="5:9" ht="16.5" hidden="1">
      <c r="E17105" s="4" t="str">
        <v/>
      </c>
      <c r="F17105" s="102" t="str">
        <f ca="1">IFERROR(__xludf.DUMMYFUNCTION("IMPORTRANGE(H17105,""IDENTITAS UNIT!D9"")"),"#N/A")</f>
        <v>#N/A</v>
      </c>
      <c r="H17105" s="4" t="str">
        <v/>
      </c>
      <c r="I17105" s="4" t="str">
        <v/>
      </c>
    </row>
    <row r="17106" spans="5:9" ht="16.5" hidden="1">
      <c r="E17106" s="4" t="str">
        <v/>
      </c>
      <c r="F17106" s="102" t="str">
        <f ca="1">IFERROR(__xludf.DUMMYFUNCTION("IMPORTRANGE(H17106,""IDENTITAS UNIT!D9"")"),"#N/A")</f>
        <v>#N/A</v>
      </c>
      <c r="H17106" s="4" t="str">
        <v/>
      </c>
      <c r="I17106" s="4" t="str">
        <v/>
      </c>
    </row>
    <row r="17107" spans="5:9" ht="16.5" hidden="1">
      <c r="E17107" s="4" t="str">
        <v/>
      </c>
      <c r="F17107" s="102" t="str">
        <f ca="1">IFERROR(__xludf.DUMMYFUNCTION("IMPORTRANGE(H17107,""IDENTITAS UNIT!D9"")"),"#N/A")</f>
        <v>#N/A</v>
      </c>
      <c r="H17107" s="4" t="str">
        <v/>
      </c>
      <c r="I17107" s="4" t="str">
        <v/>
      </c>
    </row>
    <row r="17108" spans="5:9" ht="16.5" hidden="1">
      <c r="E17108" s="4" t="str">
        <v/>
      </c>
      <c r="F17108" s="102" t="str">
        <f ca="1">IFERROR(__xludf.DUMMYFUNCTION("IMPORTRANGE(H17108,""IDENTITAS UNIT!D9"")"),"#N/A")</f>
        <v>#N/A</v>
      </c>
      <c r="H17108" s="4" t="str">
        <v/>
      </c>
      <c r="I17108" s="4" t="str">
        <v/>
      </c>
    </row>
    <row r="17109" spans="5:9" ht="16.5" hidden="1">
      <c r="E17109" s="4" t="str">
        <v/>
      </c>
      <c r="F17109" s="102" t="str">
        <f ca="1">IFERROR(__xludf.DUMMYFUNCTION("IMPORTRANGE(H17109,""IDENTITAS UNIT!D9"")"),"#N/A")</f>
        <v>#N/A</v>
      </c>
      <c r="H17109" s="4" t="str">
        <v/>
      </c>
      <c r="I17109" s="4" t="str">
        <v/>
      </c>
    </row>
    <row r="17110" spans="5:9" ht="16.5" hidden="1">
      <c r="E17110" s="4" t="str">
        <v/>
      </c>
      <c r="F17110" s="102" t="str">
        <f ca="1">IFERROR(__xludf.DUMMYFUNCTION("IMPORTRANGE(H17110,""IDENTITAS UNIT!D9"")"),"#N/A")</f>
        <v>#N/A</v>
      </c>
      <c r="H17110" s="4" t="str">
        <v/>
      </c>
      <c r="I17110" s="4" t="str">
        <v/>
      </c>
    </row>
    <row r="17111" spans="5:9" ht="16.5" hidden="1">
      <c r="E17111" s="4" t="str">
        <v/>
      </c>
      <c r="F17111" s="102" t="str">
        <f ca="1">IFERROR(__xludf.DUMMYFUNCTION("IMPORTRANGE(H17111,""IDENTITAS UNIT!D9"")"),"#N/A")</f>
        <v>#N/A</v>
      </c>
      <c r="H17111" s="4" t="str">
        <v/>
      </c>
      <c r="I17111" s="4" t="str">
        <v/>
      </c>
    </row>
    <row r="17112" spans="5:9" ht="16.5" hidden="1">
      <c r="E17112" s="4" t="str">
        <v/>
      </c>
      <c r="F17112" s="102" t="str">
        <f ca="1">IFERROR(__xludf.DUMMYFUNCTION("IMPORTRANGE(H17112,""IDENTITAS UNIT!D9"")"),"#N/A")</f>
        <v>#N/A</v>
      </c>
      <c r="H17112" s="4" t="str">
        <v/>
      </c>
      <c r="I17112" s="4" t="str">
        <v/>
      </c>
    </row>
    <row r="17113" spans="5:9" ht="16.5" hidden="1">
      <c r="E17113" s="4" t="str">
        <v/>
      </c>
      <c r="F17113" s="102" t="str">
        <f ca="1">IFERROR(__xludf.DUMMYFUNCTION("IMPORTRANGE(H17113,""IDENTITAS UNIT!D9"")"),"#N/A")</f>
        <v>#N/A</v>
      </c>
      <c r="H17113" s="4" t="str">
        <v/>
      </c>
      <c r="I17113" s="4" t="str">
        <v/>
      </c>
    </row>
    <row r="17114" spans="5:9" ht="16.5" hidden="1">
      <c r="E17114" s="4" t="str">
        <v/>
      </c>
      <c r="F17114" s="102" t="str">
        <f ca="1">IFERROR(__xludf.DUMMYFUNCTION("IMPORTRANGE(H17114,""IDENTITAS UNIT!D9"")"),"#N/A")</f>
        <v>#N/A</v>
      </c>
      <c r="H17114" s="4" t="str">
        <v/>
      </c>
      <c r="I17114" s="4" t="str">
        <v/>
      </c>
    </row>
    <row r="17115" spans="5:9" ht="16.5" hidden="1">
      <c r="E17115" s="4" t="str">
        <v/>
      </c>
      <c r="F17115" s="102" t="str">
        <f ca="1">IFERROR(__xludf.DUMMYFUNCTION("IMPORTRANGE(H17115,""IDENTITAS UNIT!D9"")"),"#N/A")</f>
        <v>#N/A</v>
      </c>
      <c r="H17115" s="4" t="str">
        <v/>
      </c>
      <c r="I17115" s="4" t="str">
        <v/>
      </c>
    </row>
    <row r="17116" spans="5:9" ht="16.5" hidden="1">
      <c r="E17116" s="4" t="str">
        <v/>
      </c>
      <c r="F17116" s="102" t="str">
        <f ca="1">IFERROR(__xludf.DUMMYFUNCTION("IMPORTRANGE(H17116,""IDENTITAS UNIT!D9"")"),"#N/A")</f>
        <v>#N/A</v>
      </c>
      <c r="H17116" s="4" t="str">
        <v/>
      </c>
      <c r="I17116" s="4" t="str">
        <v/>
      </c>
    </row>
    <row r="17117" spans="5:9" ht="16.5" hidden="1">
      <c r="E17117" s="4" t="str">
        <v/>
      </c>
      <c r="F17117" s="102" t="str">
        <f ca="1">IFERROR(__xludf.DUMMYFUNCTION("IMPORTRANGE(H17117,""IDENTITAS UNIT!D9"")"),"#N/A")</f>
        <v>#N/A</v>
      </c>
      <c r="H17117" s="4" t="str">
        <v/>
      </c>
      <c r="I17117" s="4" t="str">
        <v/>
      </c>
    </row>
    <row r="17118" spans="5:9" ht="16.5" hidden="1">
      <c r="E17118" s="4" t="str">
        <v/>
      </c>
      <c r="F17118" s="102" t="str">
        <f ca="1">IFERROR(__xludf.DUMMYFUNCTION("IMPORTRANGE(H17118,""IDENTITAS UNIT!D9"")"),"#N/A")</f>
        <v>#N/A</v>
      </c>
      <c r="H17118" s="4" t="str">
        <v/>
      </c>
      <c r="I17118" s="4" t="str">
        <v/>
      </c>
    </row>
    <row r="17119" spans="5:9" ht="16.5" hidden="1">
      <c r="E17119" s="4" t="str">
        <v/>
      </c>
      <c r="F17119" s="102" t="str">
        <f ca="1">IFERROR(__xludf.DUMMYFUNCTION("IMPORTRANGE(H17119,""IDENTITAS UNIT!D9"")"),"#N/A")</f>
        <v>#N/A</v>
      </c>
      <c r="H17119" s="4" t="str">
        <v/>
      </c>
      <c r="I17119" s="4" t="str">
        <v/>
      </c>
    </row>
    <row r="17120" spans="5:9" ht="16.5" hidden="1">
      <c r="E17120" s="4" t="str">
        <v/>
      </c>
      <c r="F17120" s="102" t="str">
        <f ca="1">IFERROR(__xludf.DUMMYFUNCTION("IMPORTRANGE(H17120,""IDENTITAS UNIT!D9"")"),"#N/A")</f>
        <v>#N/A</v>
      </c>
      <c r="H17120" s="4" t="str">
        <v/>
      </c>
      <c r="I17120" s="4" t="str">
        <v/>
      </c>
    </row>
    <row r="17121" spans="5:9" ht="16.5" hidden="1">
      <c r="E17121" s="4" t="str">
        <v/>
      </c>
      <c r="F17121" s="102" t="str">
        <f ca="1">IFERROR(__xludf.DUMMYFUNCTION("IMPORTRANGE(H17121,""IDENTITAS UNIT!D9"")"),"#N/A")</f>
        <v>#N/A</v>
      </c>
      <c r="H17121" s="4" t="str">
        <v/>
      </c>
      <c r="I17121" s="4" t="str">
        <v/>
      </c>
    </row>
    <row r="17122" spans="5:9" ht="16.5" hidden="1">
      <c r="E17122" s="4" t="str">
        <v/>
      </c>
      <c r="F17122" s="102" t="str">
        <f ca="1">IFERROR(__xludf.DUMMYFUNCTION("IMPORTRANGE(H17122,""IDENTITAS UNIT!D9"")"),"#N/A")</f>
        <v>#N/A</v>
      </c>
      <c r="H17122" s="4" t="str">
        <v/>
      </c>
      <c r="I17122" s="4" t="str">
        <v/>
      </c>
    </row>
    <row r="17123" spans="5:9" ht="16.5" hidden="1">
      <c r="E17123" s="4" t="str">
        <v/>
      </c>
      <c r="F17123" s="102" t="str">
        <f ca="1">IFERROR(__xludf.DUMMYFUNCTION("IMPORTRANGE(H17123,""IDENTITAS UNIT!D9"")"),"#N/A")</f>
        <v>#N/A</v>
      </c>
      <c r="H17123" s="4" t="str">
        <v/>
      </c>
      <c r="I17123" s="4" t="str">
        <v/>
      </c>
    </row>
    <row r="17124" spans="5:9" ht="16.5" hidden="1">
      <c r="E17124" s="4" t="str">
        <v/>
      </c>
      <c r="F17124" s="102" t="str">
        <f ca="1">IFERROR(__xludf.DUMMYFUNCTION("IMPORTRANGE(H17124,""IDENTITAS UNIT!D9"")"),"#N/A")</f>
        <v>#N/A</v>
      </c>
      <c r="H17124" s="4" t="str">
        <v/>
      </c>
      <c r="I17124" s="4" t="str">
        <v/>
      </c>
    </row>
    <row r="17125" spans="5:9" ht="16.5" hidden="1">
      <c r="E17125" s="4" t="str">
        <v/>
      </c>
      <c r="F17125" s="102" t="str">
        <f ca="1">IFERROR(__xludf.DUMMYFUNCTION("IMPORTRANGE(H17125,""IDENTITAS UNIT!D9"")"),"#N/A")</f>
        <v>#N/A</v>
      </c>
      <c r="H17125" s="4" t="str">
        <v/>
      </c>
      <c r="I17125" s="4" t="str">
        <v/>
      </c>
    </row>
    <row r="17126" spans="5:9" ht="16.5" hidden="1">
      <c r="E17126" s="4" t="str">
        <v/>
      </c>
      <c r="F17126" s="102" t="str">
        <f ca="1">IFERROR(__xludf.DUMMYFUNCTION("IMPORTRANGE(H17126,""IDENTITAS UNIT!D9"")"),"#N/A")</f>
        <v>#N/A</v>
      </c>
      <c r="H17126" s="4" t="str">
        <v/>
      </c>
      <c r="I17126" s="4" t="str">
        <v/>
      </c>
    </row>
    <row r="17127" spans="5:9" ht="16.5" hidden="1">
      <c r="E17127" s="4" t="str">
        <v/>
      </c>
      <c r="F17127" s="102" t="str">
        <f ca="1">IFERROR(__xludf.DUMMYFUNCTION("IMPORTRANGE(H17127,""IDENTITAS UNIT!D9"")"),"#N/A")</f>
        <v>#N/A</v>
      </c>
      <c r="H17127" s="4" t="str">
        <v/>
      </c>
      <c r="I17127" s="4" t="str">
        <v/>
      </c>
    </row>
    <row r="17128" spans="5:9" ht="16.5" hidden="1">
      <c r="E17128" s="4" t="str">
        <v/>
      </c>
      <c r="F17128" s="102" t="str">
        <f ca="1">IFERROR(__xludf.DUMMYFUNCTION("IMPORTRANGE(H17128,""IDENTITAS UNIT!D9"")"),"#N/A")</f>
        <v>#N/A</v>
      </c>
      <c r="H17128" s="4" t="str">
        <v/>
      </c>
      <c r="I17128" s="4" t="str">
        <v/>
      </c>
    </row>
    <row r="17129" spans="5:9" ht="16.5" hidden="1">
      <c r="E17129" s="4" t="str">
        <v/>
      </c>
      <c r="F17129" s="102" t="str">
        <f ca="1">IFERROR(__xludf.DUMMYFUNCTION("IMPORTRANGE(H17129,""IDENTITAS UNIT!D9"")"),"#N/A")</f>
        <v>#N/A</v>
      </c>
      <c r="H17129" s="4" t="str">
        <v/>
      </c>
      <c r="I17129" s="4" t="str">
        <v/>
      </c>
    </row>
    <row r="17130" spans="5:9" ht="16.5" hidden="1">
      <c r="E17130" s="4" t="str">
        <v/>
      </c>
      <c r="F17130" s="102" t="str">
        <f ca="1">IFERROR(__xludf.DUMMYFUNCTION("IMPORTRANGE(H17130,""IDENTITAS UNIT!D9"")"),"#N/A")</f>
        <v>#N/A</v>
      </c>
      <c r="H17130" s="4" t="str">
        <v/>
      </c>
      <c r="I17130" s="4" t="str">
        <v/>
      </c>
    </row>
    <row r="17131" spans="5:9" ht="16.5" hidden="1">
      <c r="E17131" s="4" t="str">
        <v/>
      </c>
      <c r="F17131" s="102" t="str">
        <f ca="1">IFERROR(__xludf.DUMMYFUNCTION("IMPORTRANGE(H17131,""IDENTITAS UNIT!D9"")"),"#N/A")</f>
        <v>#N/A</v>
      </c>
      <c r="H17131" s="4" t="str">
        <v/>
      </c>
      <c r="I17131" s="4" t="str">
        <v/>
      </c>
    </row>
    <row r="17132" spans="5:9" ht="16.5" hidden="1">
      <c r="E17132" s="4" t="str">
        <v/>
      </c>
      <c r="F17132" s="102" t="str">
        <f ca="1">IFERROR(__xludf.DUMMYFUNCTION("IMPORTRANGE(H17132,""IDENTITAS UNIT!D9"")"),"#N/A")</f>
        <v>#N/A</v>
      </c>
      <c r="H17132" s="4" t="str">
        <v/>
      </c>
      <c r="I17132" s="4" t="str">
        <v/>
      </c>
    </row>
    <row r="17133" spans="5:9" ht="16.5" hidden="1">
      <c r="E17133" s="4" t="str">
        <v/>
      </c>
      <c r="F17133" s="102" t="str">
        <f ca="1">IFERROR(__xludf.DUMMYFUNCTION("IMPORTRANGE(H17133,""IDENTITAS UNIT!D9"")"),"#N/A")</f>
        <v>#N/A</v>
      </c>
      <c r="H17133" s="4" t="str">
        <v/>
      </c>
      <c r="I17133" s="4" t="str">
        <v/>
      </c>
    </row>
    <row r="17134" spans="5:9" ht="16.5" hidden="1">
      <c r="E17134" s="4" t="str">
        <v/>
      </c>
      <c r="F17134" s="102" t="str">
        <f ca="1">IFERROR(__xludf.DUMMYFUNCTION("IMPORTRANGE(H17134,""IDENTITAS UNIT!D9"")"),"#N/A")</f>
        <v>#N/A</v>
      </c>
      <c r="H17134" s="4" t="str">
        <v/>
      </c>
      <c r="I17134" s="4" t="str">
        <v/>
      </c>
    </row>
    <row r="17135" spans="5:9" ht="16.5" hidden="1">
      <c r="E17135" s="4" t="str">
        <v/>
      </c>
      <c r="F17135" s="102" t="str">
        <f ca="1">IFERROR(__xludf.DUMMYFUNCTION("IMPORTRANGE(H17135,""IDENTITAS UNIT!D9"")"),"#N/A")</f>
        <v>#N/A</v>
      </c>
      <c r="H17135" s="4" t="str">
        <v/>
      </c>
      <c r="I17135" s="4" t="str">
        <v/>
      </c>
    </row>
    <row r="17136" spans="5:9" ht="16.5" hidden="1">
      <c r="E17136" s="4" t="str">
        <v/>
      </c>
      <c r="F17136" s="102" t="str">
        <f ca="1">IFERROR(__xludf.DUMMYFUNCTION("IMPORTRANGE(H17136,""IDENTITAS UNIT!D9"")"),"#N/A")</f>
        <v>#N/A</v>
      </c>
      <c r="H17136" s="4" t="str">
        <v/>
      </c>
      <c r="I17136" s="4" t="str">
        <v/>
      </c>
    </row>
    <row r="17137" spans="5:9" ht="16.5" hidden="1">
      <c r="E17137" s="4" t="str">
        <v/>
      </c>
      <c r="F17137" s="102" t="str">
        <f ca="1">IFERROR(__xludf.DUMMYFUNCTION("IMPORTRANGE(H17137,""IDENTITAS UNIT!D9"")"),"#N/A")</f>
        <v>#N/A</v>
      </c>
      <c r="H17137" s="4" t="str">
        <v/>
      </c>
      <c r="I17137" s="4" t="str">
        <v/>
      </c>
    </row>
    <row r="17138" spans="5:9" ht="16.5" hidden="1">
      <c r="E17138" s="4" t="str">
        <v/>
      </c>
      <c r="F17138" s="102" t="str">
        <f ca="1">IFERROR(__xludf.DUMMYFUNCTION("IMPORTRANGE(H17138,""IDENTITAS UNIT!D9"")"),"#N/A")</f>
        <v>#N/A</v>
      </c>
      <c r="H17138" s="4" t="str">
        <v/>
      </c>
      <c r="I17138" s="4" t="str">
        <v/>
      </c>
    </row>
    <row r="17139" spans="5:9" ht="16.5" hidden="1">
      <c r="E17139" s="4" t="str">
        <v/>
      </c>
      <c r="F17139" s="102" t="str">
        <f ca="1">IFERROR(__xludf.DUMMYFUNCTION("IMPORTRANGE(H17139,""IDENTITAS UNIT!D9"")"),"#N/A")</f>
        <v>#N/A</v>
      </c>
      <c r="H17139" s="4" t="str">
        <v/>
      </c>
      <c r="I17139" s="4" t="str">
        <v/>
      </c>
    </row>
    <row r="17140" spans="5:9" ht="16.5" hidden="1">
      <c r="E17140" s="4" t="str">
        <v/>
      </c>
      <c r="F17140" s="102" t="str">
        <f ca="1">IFERROR(__xludf.DUMMYFUNCTION("IMPORTRANGE(H17140,""IDENTITAS UNIT!D9"")"),"#N/A")</f>
        <v>#N/A</v>
      </c>
      <c r="H17140" s="4" t="str">
        <v/>
      </c>
      <c r="I17140" s="4" t="str">
        <v/>
      </c>
    </row>
    <row r="17141" spans="5:9" ht="16.5" hidden="1">
      <c r="E17141" s="4" t="str">
        <v/>
      </c>
      <c r="F17141" s="102" t="str">
        <f ca="1">IFERROR(__xludf.DUMMYFUNCTION("IMPORTRANGE(H17141,""IDENTITAS UNIT!D9"")"),"#N/A")</f>
        <v>#N/A</v>
      </c>
      <c r="H17141" s="4" t="str">
        <v/>
      </c>
      <c r="I17141" s="4" t="str">
        <v/>
      </c>
    </row>
    <row r="17142" spans="5:9" ht="16.5" hidden="1">
      <c r="E17142" s="4" t="str">
        <v/>
      </c>
      <c r="F17142" s="102" t="str">
        <f ca="1">IFERROR(__xludf.DUMMYFUNCTION("IMPORTRANGE(H17142,""IDENTITAS UNIT!D9"")"),"#N/A")</f>
        <v>#N/A</v>
      </c>
      <c r="H17142" s="4" t="str">
        <v/>
      </c>
      <c r="I17142" s="4" t="str">
        <v/>
      </c>
    </row>
    <row r="17143" spans="5:9" ht="16.5" hidden="1">
      <c r="E17143" s="4" t="str">
        <v/>
      </c>
      <c r="F17143" s="102" t="str">
        <f ca="1">IFERROR(__xludf.DUMMYFUNCTION("IMPORTRANGE(H17143,""IDENTITAS UNIT!D9"")"),"#N/A")</f>
        <v>#N/A</v>
      </c>
      <c r="H17143" s="4" t="str">
        <v/>
      </c>
      <c r="I17143" s="4" t="str">
        <v/>
      </c>
    </row>
    <row r="17144" spans="5:9" ht="16.5" hidden="1">
      <c r="E17144" s="4" t="str">
        <v/>
      </c>
      <c r="F17144" s="102" t="str">
        <f ca="1">IFERROR(__xludf.DUMMYFUNCTION("IMPORTRANGE(H17144,""IDENTITAS UNIT!D9"")"),"#N/A")</f>
        <v>#N/A</v>
      </c>
      <c r="H17144" s="4" t="str">
        <v/>
      </c>
      <c r="I17144" s="4" t="str">
        <v/>
      </c>
    </row>
    <row r="17145" spans="5:9" ht="16.5" hidden="1">
      <c r="E17145" s="4" t="str">
        <v/>
      </c>
      <c r="F17145" s="102" t="str">
        <f ca="1">IFERROR(__xludf.DUMMYFUNCTION("IMPORTRANGE(H17145,""IDENTITAS UNIT!D9"")"),"#N/A")</f>
        <v>#N/A</v>
      </c>
      <c r="H17145" s="4" t="str">
        <v/>
      </c>
      <c r="I17145" s="4" t="str">
        <v/>
      </c>
    </row>
    <row r="17146" spans="5:9" ht="16.5" hidden="1">
      <c r="E17146" s="4" t="str">
        <v/>
      </c>
      <c r="F17146" s="102" t="str">
        <f ca="1">IFERROR(__xludf.DUMMYFUNCTION("IMPORTRANGE(H17146,""IDENTITAS UNIT!D9"")"),"#N/A")</f>
        <v>#N/A</v>
      </c>
      <c r="H17146" s="4" t="str">
        <v/>
      </c>
      <c r="I17146" s="4" t="str">
        <v/>
      </c>
    </row>
    <row r="17147" spans="5:9" ht="16.5" hidden="1">
      <c r="E17147" s="4" t="str">
        <v/>
      </c>
      <c r="F17147" s="102" t="str">
        <f ca="1">IFERROR(__xludf.DUMMYFUNCTION("IMPORTRANGE(H17147,""IDENTITAS UNIT!D9"")"),"#N/A")</f>
        <v>#N/A</v>
      </c>
      <c r="H17147" s="4" t="str">
        <v/>
      </c>
      <c r="I17147" s="4" t="str">
        <v/>
      </c>
    </row>
    <row r="17148" spans="5:9" ht="16.5" hidden="1">
      <c r="E17148" s="4" t="str">
        <v/>
      </c>
      <c r="F17148" s="102" t="str">
        <f ca="1">IFERROR(__xludf.DUMMYFUNCTION("IMPORTRANGE(H17148,""IDENTITAS UNIT!D9"")"),"#N/A")</f>
        <v>#N/A</v>
      </c>
      <c r="H17148" s="4" t="str">
        <v/>
      </c>
      <c r="I17148" s="4" t="str">
        <v/>
      </c>
    </row>
    <row r="17149" spans="5:9" ht="16.5" hidden="1">
      <c r="E17149" s="4" t="str">
        <v/>
      </c>
      <c r="F17149" s="102" t="str">
        <f ca="1">IFERROR(__xludf.DUMMYFUNCTION("IMPORTRANGE(H17149,""IDENTITAS UNIT!D9"")"),"#N/A")</f>
        <v>#N/A</v>
      </c>
      <c r="H17149" s="4" t="str">
        <v/>
      </c>
      <c r="I17149" s="4" t="str">
        <v/>
      </c>
    </row>
    <row r="17150" spans="5:9" ht="16.5" hidden="1">
      <c r="E17150" s="4" t="str">
        <v/>
      </c>
      <c r="F17150" s="102" t="str">
        <f ca="1">IFERROR(__xludf.DUMMYFUNCTION("IMPORTRANGE(H17150,""IDENTITAS UNIT!D9"")"),"#N/A")</f>
        <v>#N/A</v>
      </c>
      <c r="H17150" s="4" t="str">
        <v/>
      </c>
      <c r="I17150" s="4" t="str">
        <v/>
      </c>
    </row>
    <row r="17151" spans="5:9" ht="16.5" hidden="1">
      <c r="E17151" s="4" t="str">
        <v/>
      </c>
      <c r="F17151" s="102" t="str">
        <f ca="1">IFERROR(__xludf.DUMMYFUNCTION("IMPORTRANGE(H17151,""IDENTITAS UNIT!D9"")"),"#N/A")</f>
        <v>#N/A</v>
      </c>
      <c r="H17151" s="4" t="str">
        <v/>
      </c>
      <c r="I17151" s="4" t="str">
        <v/>
      </c>
    </row>
    <row r="17152" spans="5:9" ht="16.5" hidden="1">
      <c r="E17152" s="4" t="str">
        <v/>
      </c>
      <c r="F17152" s="102" t="str">
        <f ca="1">IFERROR(__xludf.DUMMYFUNCTION("IMPORTRANGE(H17152,""IDENTITAS UNIT!D9"")"),"#N/A")</f>
        <v>#N/A</v>
      </c>
      <c r="H17152" s="4" t="str">
        <v/>
      </c>
      <c r="I17152" s="4" t="str">
        <v/>
      </c>
    </row>
    <row r="17153" spans="5:9" ht="16.5" hidden="1">
      <c r="E17153" s="4" t="str">
        <v/>
      </c>
      <c r="F17153" s="102" t="str">
        <f ca="1">IFERROR(__xludf.DUMMYFUNCTION("IMPORTRANGE(H17153,""IDENTITAS UNIT!D9"")"),"#N/A")</f>
        <v>#N/A</v>
      </c>
      <c r="H17153" s="4" t="str">
        <v/>
      </c>
      <c r="I17153" s="4" t="str">
        <v/>
      </c>
    </row>
    <row r="17154" spans="5:9" ht="16.5" hidden="1">
      <c r="E17154" s="4" t="str">
        <v/>
      </c>
      <c r="F17154" s="102" t="str">
        <f ca="1">IFERROR(__xludf.DUMMYFUNCTION("IMPORTRANGE(H17154,""IDENTITAS UNIT!D9"")"),"#N/A")</f>
        <v>#N/A</v>
      </c>
      <c r="H17154" s="4" t="str">
        <v/>
      </c>
      <c r="I17154" s="4" t="str">
        <v/>
      </c>
    </row>
    <row r="17155" spans="5:9" ht="16.5" hidden="1">
      <c r="E17155" s="4" t="str">
        <v/>
      </c>
      <c r="F17155" s="102" t="str">
        <f ca="1">IFERROR(__xludf.DUMMYFUNCTION("IMPORTRANGE(H17155,""IDENTITAS UNIT!D9"")"),"#N/A")</f>
        <v>#N/A</v>
      </c>
      <c r="H17155" s="4" t="str">
        <v/>
      </c>
      <c r="I17155" s="4" t="str">
        <v/>
      </c>
    </row>
    <row r="17156" spans="5:9" ht="16.5" hidden="1">
      <c r="E17156" s="4" t="str">
        <v/>
      </c>
      <c r="F17156" s="102" t="str">
        <f ca="1">IFERROR(__xludf.DUMMYFUNCTION("IMPORTRANGE(H17156,""IDENTITAS UNIT!D9"")"),"#N/A")</f>
        <v>#N/A</v>
      </c>
      <c r="H17156" s="4" t="str">
        <v/>
      </c>
      <c r="I17156" s="4" t="str">
        <v/>
      </c>
    </row>
    <row r="17157" spans="5:9" ht="16.5" hidden="1">
      <c r="E17157" s="4" t="str">
        <v/>
      </c>
      <c r="F17157" s="102" t="str">
        <f ca="1">IFERROR(__xludf.DUMMYFUNCTION("IMPORTRANGE(H17157,""IDENTITAS UNIT!D9"")"),"#N/A")</f>
        <v>#N/A</v>
      </c>
      <c r="H17157" s="4" t="str">
        <v/>
      </c>
      <c r="I17157" s="4" t="str">
        <v/>
      </c>
    </row>
    <row r="17158" spans="5:9" ht="16.5" hidden="1">
      <c r="E17158" s="4" t="str">
        <v/>
      </c>
      <c r="F17158" s="102" t="str">
        <f ca="1">IFERROR(__xludf.DUMMYFUNCTION("IMPORTRANGE(H17158,""IDENTITAS UNIT!D9"")"),"#N/A")</f>
        <v>#N/A</v>
      </c>
      <c r="H17158" s="4" t="str">
        <v/>
      </c>
      <c r="I17158" s="4" t="str">
        <v/>
      </c>
    </row>
    <row r="17159" spans="5:9" ht="16.5" hidden="1">
      <c r="E17159" s="4" t="str">
        <v/>
      </c>
      <c r="F17159" s="102" t="str">
        <f ca="1">IFERROR(__xludf.DUMMYFUNCTION("IMPORTRANGE(H17159,""IDENTITAS UNIT!D9"")"),"#N/A")</f>
        <v>#N/A</v>
      </c>
      <c r="H17159" s="4" t="str">
        <v/>
      </c>
      <c r="I17159" s="4" t="str">
        <v/>
      </c>
    </row>
    <row r="17160" spans="5:9" ht="16.5" hidden="1">
      <c r="E17160" s="4" t="str">
        <v/>
      </c>
      <c r="F17160" s="102" t="str">
        <f ca="1">IFERROR(__xludf.DUMMYFUNCTION("IMPORTRANGE(H17160,""IDENTITAS UNIT!D9"")"),"#N/A")</f>
        <v>#N/A</v>
      </c>
      <c r="H17160" s="4" t="str">
        <v/>
      </c>
      <c r="I17160" s="4" t="str">
        <v/>
      </c>
    </row>
    <row r="17161" spans="5:9" ht="16.5" hidden="1">
      <c r="E17161" s="4" t="str">
        <v/>
      </c>
      <c r="F17161" s="102" t="str">
        <f ca="1">IFERROR(__xludf.DUMMYFUNCTION("IMPORTRANGE(H17161,""IDENTITAS UNIT!D9"")"),"#N/A")</f>
        <v>#N/A</v>
      </c>
      <c r="H17161" s="4" t="str">
        <v/>
      </c>
      <c r="I17161" s="4" t="str">
        <v/>
      </c>
    </row>
    <row r="17162" spans="5:9" ht="16.5" hidden="1">
      <c r="E17162" s="4" t="str">
        <v/>
      </c>
      <c r="F17162" s="102" t="str">
        <f ca="1">IFERROR(__xludf.DUMMYFUNCTION("IMPORTRANGE(H17162,""IDENTITAS UNIT!D9"")"),"#N/A")</f>
        <v>#N/A</v>
      </c>
      <c r="H17162" s="4" t="str">
        <v/>
      </c>
      <c r="I17162" s="4" t="str">
        <v/>
      </c>
    </row>
    <row r="17163" spans="5:9" ht="16.5" hidden="1">
      <c r="E17163" s="4" t="str">
        <v/>
      </c>
      <c r="F17163" s="102" t="str">
        <f ca="1">IFERROR(__xludf.DUMMYFUNCTION("IMPORTRANGE(H17163,""IDENTITAS UNIT!D9"")"),"#N/A")</f>
        <v>#N/A</v>
      </c>
      <c r="H17163" s="4" t="str">
        <v/>
      </c>
      <c r="I17163" s="4" t="str">
        <v/>
      </c>
    </row>
    <row r="17164" spans="5:9" ht="16.5" hidden="1">
      <c r="E17164" s="4" t="str">
        <v/>
      </c>
      <c r="F17164" s="102" t="str">
        <f ca="1">IFERROR(__xludf.DUMMYFUNCTION("IMPORTRANGE(H17164,""IDENTITAS UNIT!D9"")"),"#N/A")</f>
        <v>#N/A</v>
      </c>
      <c r="H17164" s="4" t="str">
        <v/>
      </c>
      <c r="I17164" s="4" t="str">
        <v/>
      </c>
    </row>
    <row r="17165" spans="5:9" ht="16.5" hidden="1">
      <c r="E17165" s="4" t="str">
        <v/>
      </c>
      <c r="F17165" s="102" t="str">
        <f ca="1">IFERROR(__xludf.DUMMYFUNCTION("IMPORTRANGE(H17165,""IDENTITAS UNIT!D9"")"),"#N/A")</f>
        <v>#N/A</v>
      </c>
      <c r="H17165" s="4" t="str">
        <v/>
      </c>
      <c r="I17165" s="4" t="str">
        <v/>
      </c>
    </row>
    <row r="17166" spans="5:9" ht="16.5" hidden="1">
      <c r="E17166" s="4" t="str">
        <v/>
      </c>
      <c r="F17166" s="102" t="str">
        <f ca="1">IFERROR(__xludf.DUMMYFUNCTION("IMPORTRANGE(H17166,""IDENTITAS UNIT!D9"")"),"#N/A")</f>
        <v>#N/A</v>
      </c>
      <c r="H17166" s="4" t="str">
        <v/>
      </c>
      <c r="I17166" s="4" t="str">
        <v/>
      </c>
    </row>
    <row r="17167" spans="5:9" ht="16.5" hidden="1">
      <c r="E17167" s="4" t="str">
        <v/>
      </c>
      <c r="F17167" s="102" t="str">
        <f ca="1">IFERROR(__xludf.DUMMYFUNCTION("IMPORTRANGE(H17167,""IDENTITAS UNIT!D9"")"),"#N/A")</f>
        <v>#N/A</v>
      </c>
      <c r="H17167" s="4" t="str">
        <v/>
      </c>
      <c r="I17167" s="4" t="str">
        <v/>
      </c>
    </row>
    <row r="17168" spans="5:9" ht="16.5" hidden="1">
      <c r="E17168" s="4" t="str">
        <v/>
      </c>
      <c r="F17168" s="102" t="str">
        <f ca="1">IFERROR(__xludf.DUMMYFUNCTION("IMPORTRANGE(H17168,""IDENTITAS UNIT!D9"")"),"#N/A")</f>
        <v>#N/A</v>
      </c>
      <c r="H17168" s="4" t="str">
        <v/>
      </c>
      <c r="I17168" s="4" t="str">
        <v/>
      </c>
    </row>
    <row r="17169" spans="5:9" ht="16.5" hidden="1">
      <c r="E17169" s="4" t="str">
        <v/>
      </c>
      <c r="F17169" s="102" t="str">
        <f ca="1">IFERROR(__xludf.DUMMYFUNCTION("IMPORTRANGE(H17169,""IDENTITAS UNIT!D9"")"),"#N/A")</f>
        <v>#N/A</v>
      </c>
      <c r="H17169" s="4" t="str">
        <v/>
      </c>
      <c r="I17169" s="4" t="str">
        <v/>
      </c>
    </row>
    <row r="17170" spans="5:9" ht="16.5" hidden="1">
      <c r="E17170" s="4" t="str">
        <v/>
      </c>
      <c r="F17170" s="102" t="str">
        <f ca="1">IFERROR(__xludf.DUMMYFUNCTION("IMPORTRANGE(H17170,""IDENTITAS UNIT!D9"")"),"#N/A")</f>
        <v>#N/A</v>
      </c>
      <c r="H17170" s="4" t="str">
        <v/>
      </c>
      <c r="I17170" s="4" t="str">
        <v/>
      </c>
    </row>
    <row r="17171" spans="5:9" ht="16.5" hidden="1">
      <c r="E17171" s="4" t="str">
        <v/>
      </c>
      <c r="F17171" s="102" t="str">
        <f ca="1">IFERROR(__xludf.DUMMYFUNCTION("IMPORTRANGE(H17171,""IDENTITAS UNIT!D9"")"),"#N/A")</f>
        <v>#N/A</v>
      </c>
      <c r="H17171" s="4" t="str">
        <v/>
      </c>
      <c r="I17171" s="4" t="str">
        <v/>
      </c>
    </row>
    <row r="17172" spans="5:9" ht="16.5" hidden="1">
      <c r="E17172" s="4" t="str">
        <v/>
      </c>
      <c r="F17172" s="102" t="str">
        <f ca="1">IFERROR(__xludf.DUMMYFUNCTION("IMPORTRANGE(H17172,""IDENTITAS UNIT!D9"")"),"#N/A")</f>
        <v>#N/A</v>
      </c>
      <c r="H17172" s="4" t="str">
        <v/>
      </c>
      <c r="I17172" s="4" t="str">
        <v/>
      </c>
    </row>
    <row r="17173" spans="5:9" ht="16.5" hidden="1">
      <c r="E17173" s="4" t="str">
        <v/>
      </c>
      <c r="F17173" s="102" t="str">
        <f ca="1">IFERROR(__xludf.DUMMYFUNCTION("IMPORTRANGE(H17173,""IDENTITAS UNIT!D9"")"),"#N/A")</f>
        <v>#N/A</v>
      </c>
      <c r="H17173" s="4" t="str">
        <v/>
      </c>
      <c r="I17173" s="4" t="str">
        <v/>
      </c>
    </row>
    <row r="17174" spans="5:9" ht="16.5" hidden="1">
      <c r="E17174" s="4" t="str">
        <v/>
      </c>
      <c r="F17174" s="102" t="str">
        <f ca="1">IFERROR(__xludf.DUMMYFUNCTION("IMPORTRANGE(H17174,""IDENTITAS UNIT!D9"")"),"#N/A")</f>
        <v>#N/A</v>
      </c>
      <c r="H17174" s="4" t="str">
        <v/>
      </c>
      <c r="I17174" s="4" t="str">
        <v/>
      </c>
    </row>
    <row r="17175" spans="5:9" ht="16.5" hidden="1">
      <c r="E17175" s="4" t="str">
        <v/>
      </c>
      <c r="F17175" s="102" t="str">
        <f ca="1">IFERROR(__xludf.DUMMYFUNCTION("IMPORTRANGE(H17175,""IDENTITAS UNIT!D9"")"),"#N/A")</f>
        <v>#N/A</v>
      </c>
      <c r="H17175" s="4" t="str">
        <v/>
      </c>
      <c r="I17175" s="4" t="str">
        <v/>
      </c>
    </row>
    <row r="17176" spans="5:9" ht="16.5" hidden="1">
      <c r="E17176" s="4" t="str">
        <v/>
      </c>
      <c r="F17176" s="102" t="str">
        <f ca="1">IFERROR(__xludf.DUMMYFUNCTION("IMPORTRANGE(H17176,""IDENTITAS UNIT!D9"")"),"#N/A")</f>
        <v>#N/A</v>
      </c>
      <c r="H17176" s="4" t="str">
        <v/>
      </c>
      <c r="I17176" s="4" t="str">
        <v/>
      </c>
    </row>
    <row r="17177" spans="5:9" ht="16.5" hidden="1">
      <c r="E17177" s="4" t="str">
        <v/>
      </c>
      <c r="F17177" s="102" t="str">
        <f ca="1">IFERROR(__xludf.DUMMYFUNCTION("IMPORTRANGE(H17177,""IDENTITAS UNIT!D9"")"),"#N/A")</f>
        <v>#N/A</v>
      </c>
      <c r="H17177" s="4" t="str">
        <v/>
      </c>
      <c r="I17177" s="4" t="str">
        <v/>
      </c>
    </row>
    <row r="17178" spans="5:9" ht="16.5" hidden="1">
      <c r="E17178" s="4" t="str">
        <v/>
      </c>
      <c r="F17178" s="102" t="str">
        <f ca="1">IFERROR(__xludf.DUMMYFUNCTION("IMPORTRANGE(H17178,""IDENTITAS UNIT!D9"")"),"#N/A")</f>
        <v>#N/A</v>
      </c>
      <c r="H17178" s="4" t="str">
        <v/>
      </c>
      <c r="I17178" s="4" t="str">
        <v/>
      </c>
    </row>
    <row r="17179" spans="5:9" ht="16.5" hidden="1">
      <c r="E17179" s="4" t="str">
        <v/>
      </c>
      <c r="F17179" s="102" t="str">
        <f ca="1">IFERROR(__xludf.DUMMYFUNCTION("IMPORTRANGE(H17179,""IDENTITAS UNIT!D9"")"),"#N/A")</f>
        <v>#N/A</v>
      </c>
      <c r="H17179" s="4" t="str">
        <v/>
      </c>
      <c r="I17179" s="4" t="str">
        <v/>
      </c>
    </row>
    <row r="17180" spans="5:9" ht="16.5" hidden="1">
      <c r="E17180" s="4" t="str">
        <v/>
      </c>
      <c r="F17180" s="102" t="str">
        <f ca="1">IFERROR(__xludf.DUMMYFUNCTION("IMPORTRANGE(H17180,""IDENTITAS UNIT!D9"")"),"#N/A")</f>
        <v>#N/A</v>
      </c>
      <c r="H17180" s="4" t="str">
        <v/>
      </c>
      <c r="I17180" s="4" t="str">
        <v/>
      </c>
    </row>
    <row r="17181" spans="5:9" ht="16.5" hidden="1">
      <c r="E17181" s="4" t="str">
        <v/>
      </c>
      <c r="F17181" s="102" t="str">
        <f ca="1">IFERROR(__xludf.DUMMYFUNCTION("IMPORTRANGE(H17181,""IDENTITAS UNIT!D9"")"),"#N/A")</f>
        <v>#N/A</v>
      </c>
      <c r="H17181" s="4" t="str">
        <v/>
      </c>
      <c r="I17181" s="4" t="str">
        <v/>
      </c>
    </row>
    <row r="17182" spans="5:9" ht="16.5" hidden="1">
      <c r="E17182" s="4" t="str">
        <v/>
      </c>
      <c r="F17182" s="102" t="str">
        <f ca="1">IFERROR(__xludf.DUMMYFUNCTION("IMPORTRANGE(H17182,""IDENTITAS UNIT!D9"")"),"#N/A")</f>
        <v>#N/A</v>
      </c>
      <c r="H17182" s="4" t="str">
        <v/>
      </c>
      <c r="I17182" s="4" t="str">
        <v/>
      </c>
    </row>
    <row r="17183" spans="5:9" ht="16.5" hidden="1">
      <c r="E17183" s="4" t="str">
        <v/>
      </c>
      <c r="F17183" s="102" t="str">
        <f ca="1">IFERROR(__xludf.DUMMYFUNCTION("IMPORTRANGE(H17183,""IDENTITAS UNIT!D9"")"),"#N/A")</f>
        <v>#N/A</v>
      </c>
      <c r="H17183" s="4" t="str">
        <v/>
      </c>
      <c r="I17183" s="4" t="str">
        <v/>
      </c>
    </row>
    <row r="17184" spans="5:9" ht="16.5" hidden="1">
      <c r="E17184" s="4" t="str">
        <v/>
      </c>
      <c r="F17184" s="102" t="str">
        <f ca="1">IFERROR(__xludf.DUMMYFUNCTION("IMPORTRANGE(H17184,""IDENTITAS UNIT!D9"")"),"#N/A")</f>
        <v>#N/A</v>
      </c>
      <c r="H17184" s="4" t="str">
        <v/>
      </c>
      <c r="I17184" s="4" t="str">
        <v/>
      </c>
    </row>
    <row r="17185" spans="5:9" ht="16.5" hidden="1">
      <c r="E17185" s="4" t="str">
        <v/>
      </c>
      <c r="F17185" s="102" t="str">
        <f ca="1">IFERROR(__xludf.DUMMYFUNCTION("IMPORTRANGE(H17185,""IDENTITAS UNIT!D9"")"),"#N/A")</f>
        <v>#N/A</v>
      </c>
      <c r="H17185" s="4" t="str">
        <v/>
      </c>
      <c r="I17185" s="4" t="str">
        <v/>
      </c>
    </row>
    <row r="17186" spans="5:9" ht="16.5" hidden="1">
      <c r="E17186" s="4" t="str">
        <v/>
      </c>
      <c r="F17186" s="102" t="str">
        <f ca="1">IFERROR(__xludf.DUMMYFUNCTION("IMPORTRANGE(H17186,""IDENTITAS UNIT!D9"")"),"#N/A")</f>
        <v>#N/A</v>
      </c>
      <c r="H17186" s="4" t="str">
        <v/>
      </c>
      <c r="I17186" s="4" t="str">
        <v/>
      </c>
    </row>
    <row r="17187" spans="5:9" ht="16.5" hidden="1">
      <c r="E17187" s="4" t="str">
        <v/>
      </c>
      <c r="F17187" s="102" t="str">
        <f ca="1">IFERROR(__xludf.DUMMYFUNCTION("IMPORTRANGE(H17187,""IDENTITAS UNIT!D9"")"),"#N/A")</f>
        <v>#N/A</v>
      </c>
      <c r="H17187" s="4" t="str">
        <v/>
      </c>
      <c r="I17187" s="4" t="str">
        <v/>
      </c>
    </row>
    <row r="17188" spans="5:9" ht="16.5" hidden="1">
      <c r="E17188" s="4" t="str">
        <v/>
      </c>
      <c r="F17188" s="102" t="str">
        <f ca="1">IFERROR(__xludf.DUMMYFUNCTION("IMPORTRANGE(H17188,""IDENTITAS UNIT!D9"")"),"#N/A")</f>
        <v>#N/A</v>
      </c>
      <c r="H17188" s="4" t="str">
        <v/>
      </c>
      <c r="I17188" s="4" t="str">
        <v/>
      </c>
    </row>
    <row r="17189" spans="5:9" ht="16.5" hidden="1">
      <c r="E17189" s="4" t="str">
        <v/>
      </c>
      <c r="F17189" s="102" t="str">
        <f ca="1">IFERROR(__xludf.DUMMYFUNCTION("IMPORTRANGE(H17189,""IDENTITAS UNIT!D9"")"),"#N/A")</f>
        <v>#N/A</v>
      </c>
      <c r="H17189" s="4" t="str">
        <v/>
      </c>
      <c r="I17189" s="4" t="str">
        <v/>
      </c>
    </row>
    <row r="17190" spans="5:9" ht="16.5" hidden="1">
      <c r="E17190" s="4" t="str">
        <v/>
      </c>
      <c r="F17190" s="102" t="str">
        <f ca="1">IFERROR(__xludf.DUMMYFUNCTION("IMPORTRANGE(H17190,""IDENTITAS UNIT!D9"")"),"#N/A")</f>
        <v>#N/A</v>
      </c>
      <c r="H17190" s="4" t="str">
        <v/>
      </c>
      <c r="I17190" s="4" t="str">
        <v/>
      </c>
    </row>
    <row r="17191" spans="5:9" ht="16.5" hidden="1">
      <c r="E17191" s="4" t="str">
        <v/>
      </c>
      <c r="F17191" s="102" t="str">
        <f ca="1">IFERROR(__xludf.DUMMYFUNCTION("IMPORTRANGE(H17191,""IDENTITAS UNIT!D9"")"),"#N/A")</f>
        <v>#N/A</v>
      </c>
      <c r="H17191" s="4" t="str">
        <v/>
      </c>
      <c r="I17191" s="4" t="str">
        <v/>
      </c>
    </row>
    <row r="17192" spans="5:9" ht="16.5" hidden="1">
      <c r="E17192" s="4" t="str">
        <v/>
      </c>
      <c r="F17192" s="102" t="str">
        <f ca="1">IFERROR(__xludf.DUMMYFUNCTION("IMPORTRANGE(H17192,""IDENTITAS UNIT!D9"")"),"#N/A")</f>
        <v>#N/A</v>
      </c>
      <c r="H17192" s="4" t="str">
        <v/>
      </c>
      <c r="I17192" s="4" t="str">
        <v/>
      </c>
    </row>
    <row r="17193" spans="5:9" ht="16.5" hidden="1">
      <c r="E17193" s="4" t="str">
        <v/>
      </c>
      <c r="F17193" s="102" t="str">
        <f ca="1">IFERROR(__xludf.DUMMYFUNCTION("IMPORTRANGE(H17193,""IDENTITAS UNIT!D9"")"),"#N/A")</f>
        <v>#N/A</v>
      </c>
      <c r="H17193" s="4" t="str">
        <v/>
      </c>
      <c r="I17193" s="4" t="str">
        <v/>
      </c>
    </row>
    <row r="17194" spans="5:9" ht="16.5" hidden="1">
      <c r="E17194" s="4" t="str">
        <v/>
      </c>
      <c r="F17194" s="102" t="str">
        <f ca="1">IFERROR(__xludf.DUMMYFUNCTION("IMPORTRANGE(H17194,""IDENTITAS UNIT!D9"")"),"#N/A")</f>
        <v>#N/A</v>
      </c>
      <c r="H17194" s="4" t="str">
        <v/>
      </c>
      <c r="I17194" s="4" t="str">
        <v/>
      </c>
    </row>
    <row r="17195" spans="5:9" ht="16.5" hidden="1">
      <c r="E17195" s="4" t="str">
        <v/>
      </c>
      <c r="F17195" s="102" t="str">
        <f ca="1">IFERROR(__xludf.DUMMYFUNCTION("IMPORTRANGE(H17195,""IDENTITAS UNIT!D9"")"),"#N/A")</f>
        <v>#N/A</v>
      </c>
      <c r="H17195" s="4" t="str">
        <v/>
      </c>
      <c r="I17195" s="4" t="str">
        <v/>
      </c>
    </row>
    <row r="17196" spans="5:9" ht="16.5" hidden="1">
      <c r="E17196" s="4" t="str">
        <v/>
      </c>
      <c r="F17196" s="102" t="str">
        <f ca="1">IFERROR(__xludf.DUMMYFUNCTION("IMPORTRANGE(H17196,""IDENTITAS UNIT!D9"")"),"#N/A")</f>
        <v>#N/A</v>
      </c>
      <c r="H17196" s="4" t="str">
        <v/>
      </c>
      <c r="I17196" s="4" t="str">
        <v/>
      </c>
    </row>
    <row r="17197" spans="5:9" ht="16.5" hidden="1">
      <c r="E17197" s="4" t="str">
        <v/>
      </c>
      <c r="F17197" s="102" t="str">
        <f ca="1">IFERROR(__xludf.DUMMYFUNCTION("IMPORTRANGE(H17197,""IDENTITAS UNIT!D9"")"),"#N/A")</f>
        <v>#N/A</v>
      </c>
      <c r="H17197" s="4" t="str">
        <v/>
      </c>
      <c r="I17197" s="4" t="str">
        <v/>
      </c>
    </row>
    <row r="17198" spans="5:9" ht="16.5" hidden="1">
      <c r="E17198" s="4" t="str">
        <v/>
      </c>
      <c r="F17198" s="102" t="str">
        <f ca="1">IFERROR(__xludf.DUMMYFUNCTION("IMPORTRANGE(H17198,""IDENTITAS UNIT!D9"")"),"#N/A")</f>
        <v>#N/A</v>
      </c>
      <c r="H17198" s="4" t="str">
        <v/>
      </c>
      <c r="I17198" s="4" t="str">
        <v/>
      </c>
    </row>
    <row r="17199" spans="5:9" ht="16.5" hidden="1">
      <c r="E17199" s="4" t="str">
        <v/>
      </c>
      <c r="F17199" s="102" t="str">
        <f ca="1">IFERROR(__xludf.DUMMYFUNCTION("IMPORTRANGE(H17199,""IDENTITAS UNIT!D9"")"),"#N/A")</f>
        <v>#N/A</v>
      </c>
      <c r="H17199" s="4" t="str">
        <v/>
      </c>
      <c r="I17199" s="4" t="str">
        <v/>
      </c>
    </row>
    <row r="17200" spans="5:9" ht="16.5" hidden="1">
      <c r="E17200" s="4" t="str">
        <v/>
      </c>
      <c r="F17200" s="102" t="str">
        <f ca="1">IFERROR(__xludf.DUMMYFUNCTION("IMPORTRANGE(H17200,""IDENTITAS UNIT!D9"")"),"#N/A")</f>
        <v>#N/A</v>
      </c>
      <c r="H17200" s="4" t="str">
        <v/>
      </c>
      <c r="I17200" s="4" t="str">
        <v/>
      </c>
    </row>
    <row r="17201" spans="5:9" ht="16.5" hidden="1">
      <c r="E17201" s="4" t="str">
        <v/>
      </c>
      <c r="F17201" s="102" t="str">
        <f ca="1">IFERROR(__xludf.DUMMYFUNCTION("IMPORTRANGE(H17201,""IDENTITAS UNIT!D9"")"),"#N/A")</f>
        <v>#N/A</v>
      </c>
      <c r="H17201" s="4" t="str">
        <v/>
      </c>
      <c r="I17201" s="4" t="str">
        <v/>
      </c>
    </row>
    <row r="17202" spans="5:9" ht="16.5" hidden="1">
      <c r="E17202" s="4" t="str">
        <v/>
      </c>
      <c r="F17202" s="102" t="str">
        <f ca="1">IFERROR(__xludf.DUMMYFUNCTION("IMPORTRANGE(H17202,""IDENTITAS UNIT!D9"")"),"#N/A")</f>
        <v>#N/A</v>
      </c>
      <c r="H17202" s="4" t="str">
        <v/>
      </c>
      <c r="I17202" s="4" t="str">
        <v/>
      </c>
    </row>
    <row r="17203" spans="5:9" ht="16.5" hidden="1">
      <c r="E17203" s="4" t="str">
        <v/>
      </c>
      <c r="F17203" s="102" t="str">
        <f ca="1">IFERROR(__xludf.DUMMYFUNCTION("IMPORTRANGE(H17203,""IDENTITAS UNIT!D9"")"),"#N/A")</f>
        <v>#N/A</v>
      </c>
      <c r="H17203" s="4" t="str">
        <v/>
      </c>
      <c r="I17203" s="4" t="str">
        <v/>
      </c>
    </row>
    <row r="17204" spans="5:9" ht="16.5" hidden="1">
      <c r="E17204" s="4" t="str">
        <v/>
      </c>
      <c r="F17204" s="102" t="str">
        <f ca="1">IFERROR(__xludf.DUMMYFUNCTION("IMPORTRANGE(H17204,""IDENTITAS UNIT!D9"")"),"#N/A")</f>
        <v>#N/A</v>
      </c>
      <c r="H17204" s="4" t="str">
        <v/>
      </c>
      <c r="I17204" s="4" t="str">
        <v/>
      </c>
    </row>
    <row r="17205" spans="5:9" ht="16.5" hidden="1">
      <c r="E17205" s="4" t="str">
        <v/>
      </c>
      <c r="F17205" s="102" t="str">
        <f ca="1">IFERROR(__xludf.DUMMYFUNCTION("IMPORTRANGE(H17205,""IDENTITAS UNIT!D9"")"),"#N/A")</f>
        <v>#N/A</v>
      </c>
      <c r="H17205" s="4" t="str">
        <v/>
      </c>
      <c r="I17205" s="4" t="str">
        <v/>
      </c>
    </row>
    <row r="17206" spans="5:9" ht="16.5" hidden="1">
      <c r="E17206" s="4" t="str">
        <v/>
      </c>
      <c r="F17206" s="102" t="str">
        <f ca="1">IFERROR(__xludf.DUMMYFUNCTION("IMPORTRANGE(H17206,""IDENTITAS UNIT!D9"")"),"#N/A")</f>
        <v>#N/A</v>
      </c>
      <c r="H17206" s="4" t="str">
        <v/>
      </c>
      <c r="I17206" s="4" t="str">
        <v/>
      </c>
    </row>
    <row r="17207" spans="5:9" ht="16.5" hidden="1">
      <c r="E17207" s="4" t="str">
        <v/>
      </c>
      <c r="F17207" s="102" t="str">
        <f ca="1">IFERROR(__xludf.DUMMYFUNCTION("IMPORTRANGE(H17207,""IDENTITAS UNIT!D9"")"),"#N/A")</f>
        <v>#N/A</v>
      </c>
      <c r="H17207" s="4" t="str">
        <v/>
      </c>
      <c r="I17207" s="4" t="str">
        <v/>
      </c>
    </row>
    <row r="17208" spans="5:9" ht="16.5" hidden="1">
      <c r="E17208" s="4" t="str">
        <v/>
      </c>
      <c r="F17208" s="102" t="str">
        <f ca="1">IFERROR(__xludf.DUMMYFUNCTION("IMPORTRANGE(H17208,""IDENTITAS UNIT!D9"")"),"#N/A")</f>
        <v>#N/A</v>
      </c>
      <c r="H17208" s="4" t="str">
        <v/>
      </c>
      <c r="I17208" s="4" t="str">
        <v/>
      </c>
    </row>
    <row r="17209" spans="5:9" ht="16.5" hidden="1">
      <c r="E17209" s="4" t="str">
        <v/>
      </c>
      <c r="F17209" s="102" t="str">
        <f ca="1">IFERROR(__xludf.DUMMYFUNCTION("IMPORTRANGE(H17209,""IDENTITAS UNIT!D9"")"),"#N/A")</f>
        <v>#N/A</v>
      </c>
      <c r="H17209" s="4" t="str">
        <v/>
      </c>
      <c r="I17209" s="4" t="str">
        <v/>
      </c>
    </row>
    <row r="17210" spans="5:9" ht="16.5" hidden="1">
      <c r="E17210" s="4" t="str">
        <v/>
      </c>
      <c r="F17210" s="102" t="str">
        <f ca="1">IFERROR(__xludf.DUMMYFUNCTION("IMPORTRANGE(H17210,""IDENTITAS UNIT!D9"")"),"#N/A")</f>
        <v>#N/A</v>
      </c>
      <c r="H17210" s="4" t="str">
        <v/>
      </c>
      <c r="I17210" s="4" t="str">
        <v/>
      </c>
    </row>
    <row r="17211" spans="5:9" ht="16.5" hidden="1">
      <c r="E17211" s="4" t="str">
        <v/>
      </c>
      <c r="F17211" s="102" t="str">
        <f ca="1">IFERROR(__xludf.DUMMYFUNCTION("IMPORTRANGE(H17211,""IDENTITAS UNIT!D9"")"),"#N/A")</f>
        <v>#N/A</v>
      </c>
      <c r="H17211" s="4" t="str">
        <v/>
      </c>
      <c r="I17211" s="4" t="str">
        <v/>
      </c>
    </row>
    <row r="17212" spans="5:9" ht="16.5" hidden="1">
      <c r="E17212" s="4" t="str">
        <v/>
      </c>
      <c r="F17212" s="102" t="str">
        <f ca="1">IFERROR(__xludf.DUMMYFUNCTION("IMPORTRANGE(H17212,""IDENTITAS UNIT!D9"")"),"#N/A")</f>
        <v>#N/A</v>
      </c>
      <c r="H17212" s="4" t="str">
        <v/>
      </c>
      <c r="I17212" s="4" t="str">
        <v/>
      </c>
    </row>
    <row r="17213" spans="5:9" ht="16.5" hidden="1">
      <c r="E17213" s="4" t="str">
        <v/>
      </c>
      <c r="F17213" s="102" t="str">
        <f ca="1">IFERROR(__xludf.DUMMYFUNCTION("IMPORTRANGE(H17213,""IDENTITAS UNIT!D9"")"),"#N/A")</f>
        <v>#N/A</v>
      </c>
      <c r="H17213" s="4" t="str">
        <v/>
      </c>
      <c r="I17213" s="4" t="str">
        <v/>
      </c>
    </row>
    <row r="17214" spans="5:9" ht="16.5" hidden="1">
      <c r="E17214" s="4" t="str">
        <v/>
      </c>
      <c r="F17214" s="102" t="str">
        <f ca="1">IFERROR(__xludf.DUMMYFUNCTION("IMPORTRANGE(H17214,""IDENTITAS UNIT!D9"")"),"#N/A")</f>
        <v>#N/A</v>
      </c>
      <c r="H17214" s="4" t="str">
        <v/>
      </c>
      <c r="I17214" s="4" t="str">
        <v/>
      </c>
    </row>
    <row r="17215" spans="5:9" ht="16.5" hidden="1">
      <c r="E17215" s="4" t="str">
        <v/>
      </c>
      <c r="F17215" s="102" t="str">
        <f ca="1">IFERROR(__xludf.DUMMYFUNCTION("IMPORTRANGE(H17215,""IDENTITAS UNIT!D9"")"),"#N/A")</f>
        <v>#N/A</v>
      </c>
      <c r="H17215" s="4" t="str">
        <v/>
      </c>
      <c r="I17215" s="4" t="str">
        <v/>
      </c>
    </row>
    <row r="17216" spans="5:9" ht="16.5" hidden="1">
      <c r="E17216" s="4" t="str">
        <v/>
      </c>
      <c r="F17216" s="102" t="str">
        <f ca="1">IFERROR(__xludf.DUMMYFUNCTION("IMPORTRANGE(H17216,""IDENTITAS UNIT!D9"")"),"#N/A")</f>
        <v>#N/A</v>
      </c>
      <c r="H17216" s="4" t="str">
        <v/>
      </c>
      <c r="I17216" s="4" t="str">
        <v/>
      </c>
    </row>
    <row r="17217" spans="5:9" ht="16.5" hidden="1">
      <c r="E17217" s="4" t="str">
        <v/>
      </c>
      <c r="F17217" s="102" t="str">
        <f ca="1">IFERROR(__xludf.DUMMYFUNCTION("IMPORTRANGE(H17217,""IDENTITAS UNIT!D9"")"),"#N/A")</f>
        <v>#N/A</v>
      </c>
      <c r="H17217" s="4" t="str">
        <v/>
      </c>
      <c r="I17217" s="4" t="str">
        <v/>
      </c>
    </row>
    <row r="17218" spans="5:9" ht="16.5" hidden="1">
      <c r="E17218" s="4" t="str">
        <v/>
      </c>
      <c r="F17218" s="102" t="str">
        <f ca="1">IFERROR(__xludf.DUMMYFUNCTION("IMPORTRANGE(H17218,""IDENTITAS UNIT!D9"")"),"#N/A")</f>
        <v>#N/A</v>
      </c>
      <c r="H17218" s="4" t="str">
        <v/>
      </c>
      <c r="I17218" s="4" t="str">
        <v/>
      </c>
    </row>
    <row r="17219" spans="5:9" ht="16.5" hidden="1">
      <c r="E17219" s="4" t="str">
        <v/>
      </c>
      <c r="F17219" s="102" t="str">
        <f ca="1">IFERROR(__xludf.DUMMYFUNCTION("IMPORTRANGE(H17219,""IDENTITAS UNIT!D9"")"),"#N/A")</f>
        <v>#N/A</v>
      </c>
      <c r="H17219" s="4" t="str">
        <v/>
      </c>
      <c r="I17219" s="4" t="str">
        <v/>
      </c>
    </row>
    <row r="17220" spans="5:9" ht="16.5" hidden="1">
      <c r="E17220" s="4" t="str">
        <v/>
      </c>
      <c r="F17220" s="102" t="str">
        <f ca="1">IFERROR(__xludf.DUMMYFUNCTION("IMPORTRANGE(H17220,""IDENTITAS UNIT!D9"")"),"#N/A")</f>
        <v>#N/A</v>
      </c>
      <c r="H17220" s="4" t="str">
        <v/>
      </c>
      <c r="I17220" s="4" t="str">
        <v/>
      </c>
    </row>
    <row r="17221" spans="5:9" ht="16.5" hidden="1">
      <c r="E17221" s="4" t="str">
        <v/>
      </c>
      <c r="F17221" s="102" t="str">
        <f ca="1">IFERROR(__xludf.DUMMYFUNCTION("IMPORTRANGE(H17221,""IDENTITAS UNIT!D9"")"),"#N/A")</f>
        <v>#N/A</v>
      </c>
      <c r="H17221" s="4" t="str">
        <v/>
      </c>
      <c r="I17221" s="4" t="str">
        <v/>
      </c>
    </row>
    <row r="17222" spans="5:9" ht="16.5" hidden="1">
      <c r="E17222" s="4" t="str">
        <v/>
      </c>
      <c r="F17222" s="102" t="str">
        <f ca="1">IFERROR(__xludf.DUMMYFUNCTION("IMPORTRANGE(H17222,""IDENTITAS UNIT!D9"")"),"#N/A")</f>
        <v>#N/A</v>
      </c>
      <c r="H17222" s="4" t="str">
        <v/>
      </c>
      <c r="I17222" s="4" t="str">
        <v/>
      </c>
    </row>
    <row r="17223" spans="5:9" ht="16.5" hidden="1">
      <c r="E17223" s="4" t="str">
        <v/>
      </c>
      <c r="F17223" s="102" t="str">
        <f ca="1">IFERROR(__xludf.DUMMYFUNCTION("IMPORTRANGE(H17223,""IDENTITAS UNIT!D9"")"),"#N/A")</f>
        <v>#N/A</v>
      </c>
      <c r="H17223" s="4" t="str">
        <v/>
      </c>
      <c r="I17223" s="4" t="str">
        <v/>
      </c>
    </row>
    <row r="17224" spans="5:9" ht="16.5" hidden="1">
      <c r="E17224" s="4" t="str">
        <v/>
      </c>
      <c r="F17224" s="102" t="str">
        <f ca="1">IFERROR(__xludf.DUMMYFUNCTION("IMPORTRANGE(H17224,""IDENTITAS UNIT!D9"")"),"#N/A")</f>
        <v>#N/A</v>
      </c>
      <c r="H17224" s="4" t="str">
        <v/>
      </c>
      <c r="I17224" s="4" t="str">
        <v/>
      </c>
    </row>
    <row r="17225" spans="5:9" ht="16.5" hidden="1">
      <c r="E17225" s="4" t="str">
        <v/>
      </c>
      <c r="F17225" s="102" t="str">
        <f ca="1">IFERROR(__xludf.DUMMYFUNCTION("IMPORTRANGE(H17225,""IDENTITAS UNIT!D9"")"),"#N/A")</f>
        <v>#N/A</v>
      </c>
      <c r="H17225" s="4" t="str">
        <v/>
      </c>
      <c r="I17225" s="4" t="str">
        <v/>
      </c>
    </row>
    <row r="17226" spans="5:9" ht="16.5" hidden="1">
      <c r="E17226" s="4" t="str">
        <v/>
      </c>
      <c r="F17226" s="102" t="str">
        <f ca="1">IFERROR(__xludf.DUMMYFUNCTION("IMPORTRANGE(H17226,""IDENTITAS UNIT!D9"")"),"#N/A")</f>
        <v>#N/A</v>
      </c>
      <c r="H17226" s="4" t="str">
        <v/>
      </c>
      <c r="I17226" s="4" t="str">
        <v/>
      </c>
    </row>
    <row r="17227" spans="5:9" ht="16.5" hidden="1">
      <c r="E17227" s="4" t="str">
        <v/>
      </c>
      <c r="F17227" s="102" t="str">
        <f ca="1">IFERROR(__xludf.DUMMYFUNCTION("IMPORTRANGE(H17227,""IDENTITAS UNIT!D9"")"),"#N/A")</f>
        <v>#N/A</v>
      </c>
      <c r="H17227" s="4" t="str">
        <v/>
      </c>
      <c r="I17227" s="4" t="str">
        <v/>
      </c>
    </row>
    <row r="17228" spans="5:9" ht="16.5" hidden="1">
      <c r="E17228" s="4" t="str">
        <v/>
      </c>
      <c r="F17228" s="102" t="str">
        <f ca="1">IFERROR(__xludf.DUMMYFUNCTION("IMPORTRANGE(H17228,""IDENTITAS UNIT!D9"")"),"#N/A")</f>
        <v>#N/A</v>
      </c>
      <c r="H17228" s="4" t="str">
        <v/>
      </c>
      <c r="I17228" s="4" t="str">
        <v/>
      </c>
    </row>
    <row r="17229" spans="5:9" ht="16.5" hidden="1">
      <c r="E17229" s="4" t="str">
        <v/>
      </c>
      <c r="F17229" s="102" t="str">
        <f ca="1">IFERROR(__xludf.DUMMYFUNCTION("IMPORTRANGE(H17229,""IDENTITAS UNIT!D9"")"),"#N/A")</f>
        <v>#N/A</v>
      </c>
      <c r="H17229" s="4" t="str">
        <v/>
      </c>
      <c r="I17229" s="4" t="str">
        <v/>
      </c>
    </row>
    <row r="17230" spans="5:9" ht="16.5" hidden="1">
      <c r="E17230" s="4" t="str">
        <v/>
      </c>
      <c r="F17230" s="102" t="str">
        <f ca="1">IFERROR(__xludf.DUMMYFUNCTION("IMPORTRANGE(H17230,""IDENTITAS UNIT!D9"")"),"#N/A")</f>
        <v>#N/A</v>
      </c>
      <c r="H17230" s="4" t="str">
        <v/>
      </c>
      <c r="I17230" s="4" t="str">
        <v/>
      </c>
    </row>
    <row r="17231" spans="5:9" ht="16.5" hidden="1">
      <c r="E17231" s="4" t="str">
        <v/>
      </c>
      <c r="F17231" s="102" t="str">
        <f ca="1">IFERROR(__xludf.DUMMYFUNCTION("IMPORTRANGE(H17231,""IDENTITAS UNIT!D9"")"),"#N/A")</f>
        <v>#N/A</v>
      </c>
      <c r="H17231" s="4" t="str">
        <v/>
      </c>
      <c r="I17231" s="4" t="str">
        <v/>
      </c>
    </row>
    <row r="17232" spans="5:9" ht="16.5" hidden="1">
      <c r="E17232" s="4" t="str">
        <v/>
      </c>
      <c r="F17232" s="102" t="str">
        <f ca="1">IFERROR(__xludf.DUMMYFUNCTION("IMPORTRANGE(H17232,""IDENTITAS UNIT!D9"")"),"#N/A")</f>
        <v>#N/A</v>
      </c>
      <c r="H17232" s="4" t="str">
        <v/>
      </c>
      <c r="I17232" s="4" t="str">
        <v/>
      </c>
    </row>
    <row r="17233" spans="5:9" ht="16.5" hidden="1">
      <c r="E17233" s="4" t="str">
        <v/>
      </c>
      <c r="F17233" s="102" t="str">
        <f ca="1">IFERROR(__xludf.DUMMYFUNCTION("IMPORTRANGE(H17233,""IDENTITAS UNIT!D9"")"),"#N/A")</f>
        <v>#N/A</v>
      </c>
      <c r="H17233" s="4" t="str">
        <v/>
      </c>
      <c r="I17233" s="4" t="str">
        <v/>
      </c>
    </row>
    <row r="17234" spans="5:9" ht="16.5" hidden="1">
      <c r="E17234" s="4" t="str">
        <v/>
      </c>
      <c r="F17234" s="102" t="str">
        <f ca="1">IFERROR(__xludf.DUMMYFUNCTION("IMPORTRANGE(H17234,""IDENTITAS UNIT!D9"")"),"#N/A")</f>
        <v>#N/A</v>
      </c>
      <c r="H17234" s="4" t="str">
        <v/>
      </c>
      <c r="I17234" s="4" t="str">
        <v/>
      </c>
    </row>
    <row r="17235" spans="5:9" ht="16.5" hidden="1">
      <c r="E17235" s="4" t="str">
        <v/>
      </c>
      <c r="F17235" s="102" t="str">
        <f ca="1">IFERROR(__xludf.DUMMYFUNCTION("IMPORTRANGE(H17235,""IDENTITAS UNIT!D9"")"),"#N/A")</f>
        <v>#N/A</v>
      </c>
      <c r="H17235" s="4" t="str">
        <v/>
      </c>
      <c r="I17235" s="4" t="str">
        <v/>
      </c>
    </row>
    <row r="17236" spans="5:9" ht="16.5" hidden="1">
      <c r="E17236" s="4" t="str">
        <v/>
      </c>
      <c r="F17236" s="102" t="str">
        <f ca="1">IFERROR(__xludf.DUMMYFUNCTION("IMPORTRANGE(H17236,""IDENTITAS UNIT!D9"")"),"#N/A")</f>
        <v>#N/A</v>
      </c>
      <c r="H17236" s="4" t="str">
        <v/>
      </c>
      <c r="I17236" s="4" t="str">
        <v/>
      </c>
    </row>
    <row r="17237" spans="5:9" ht="16.5" hidden="1">
      <c r="E17237" s="4" t="str">
        <v/>
      </c>
      <c r="F17237" s="102" t="str">
        <f ca="1">IFERROR(__xludf.DUMMYFUNCTION("IMPORTRANGE(H17237,""IDENTITAS UNIT!D9"")"),"#N/A")</f>
        <v>#N/A</v>
      </c>
      <c r="H17237" s="4" t="str">
        <v/>
      </c>
      <c r="I17237" s="4" t="str">
        <v/>
      </c>
    </row>
    <row r="17238" spans="5:9" ht="16.5" hidden="1">
      <c r="E17238" s="4" t="str">
        <v/>
      </c>
      <c r="F17238" s="102" t="str">
        <f ca="1">IFERROR(__xludf.DUMMYFUNCTION("IMPORTRANGE(H17238,""IDENTITAS UNIT!D9"")"),"#N/A")</f>
        <v>#N/A</v>
      </c>
      <c r="H17238" s="4" t="str">
        <v/>
      </c>
      <c r="I17238" s="4" t="str">
        <v/>
      </c>
    </row>
    <row r="17239" spans="5:9" ht="16.5" hidden="1">
      <c r="E17239" s="4" t="str">
        <v/>
      </c>
      <c r="F17239" s="102" t="str">
        <f ca="1">IFERROR(__xludf.DUMMYFUNCTION("IMPORTRANGE(H17239,""IDENTITAS UNIT!D9"")"),"#N/A")</f>
        <v>#N/A</v>
      </c>
      <c r="H17239" s="4" t="str">
        <v/>
      </c>
      <c r="I17239" s="4" t="str">
        <v/>
      </c>
    </row>
    <row r="17240" spans="5:9" ht="16.5" hidden="1">
      <c r="E17240" s="4" t="str">
        <v/>
      </c>
      <c r="F17240" s="102" t="str">
        <f ca="1">IFERROR(__xludf.DUMMYFUNCTION("IMPORTRANGE(H17240,""IDENTITAS UNIT!D9"")"),"#N/A")</f>
        <v>#N/A</v>
      </c>
      <c r="H17240" s="4" t="str">
        <v/>
      </c>
      <c r="I17240" s="4" t="str">
        <v/>
      </c>
    </row>
    <row r="17241" spans="5:9" ht="16.5" hidden="1">
      <c r="E17241" s="4" t="str">
        <v/>
      </c>
      <c r="F17241" s="102" t="str">
        <f ca="1">IFERROR(__xludf.DUMMYFUNCTION("IMPORTRANGE(H17241,""IDENTITAS UNIT!D9"")"),"#N/A")</f>
        <v>#N/A</v>
      </c>
      <c r="H17241" s="4" t="str">
        <v/>
      </c>
      <c r="I17241" s="4" t="str">
        <v/>
      </c>
    </row>
    <row r="17242" spans="5:9" ht="16.5" hidden="1">
      <c r="E17242" s="4" t="str">
        <v/>
      </c>
      <c r="F17242" s="102" t="str">
        <f ca="1">IFERROR(__xludf.DUMMYFUNCTION("IMPORTRANGE(H17242,""IDENTITAS UNIT!D9"")"),"#N/A")</f>
        <v>#N/A</v>
      </c>
      <c r="H17242" s="4" t="str">
        <v/>
      </c>
      <c r="I17242" s="4" t="str">
        <v/>
      </c>
    </row>
    <row r="17243" spans="5:9" ht="16.5" hidden="1">
      <c r="E17243" s="4" t="str">
        <v/>
      </c>
      <c r="F17243" s="102" t="str">
        <f ca="1">IFERROR(__xludf.DUMMYFUNCTION("IMPORTRANGE(H17243,""IDENTITAS UNIT!D9"")"),"#N/A")</f>
        <v>#N/A</v>
      </c>
      <c r="H17243" s="4" t="str">
        <v/>
      </c>
      <c r="I17243" s="4" t="str">
        <v/>
      </c>
    </row>
    <row r="17244" spans="5:9" ht="16.5" hidden="1">
      <c r="E17244" s="4" t="str">
        <v/>
      </c>
      <c r="F17244" s="102" t="str">
        <f ca="1">IFERROR(__xludf.DUMMYFUNCTION("IMPORTRANGE(H17244,""IDENTITAS UNIT!D9"")"),"#N/A")</f>
        <v>#N/A</v>
      </c>
      <c r="H17244" s="4" t="str">
        <v/>
      </c>
      <c r="I17244" s="4" t="str">
        <v/>
      </c>
    </row>
    <row r="17245" spans="5:9" ht="16.5" hidden="1">
      <c r="E17245" s="4" t="str">
        <v/>
      </c>
      <c r="F17245" s="102" t="str">
        <f ca="1">IFERROR(__xludf.DUMMYFUNCTION("IMPORTRANGE(H17245,""IDENTITAS UNIT!D9"")"),"#N/A")</f>
        <v>#N/A</v>
      </c>
      <c r="H17245" s="4" t="str">
        <v/>
      </c>
      <c r="I17245" s="4" t="str">
        <v/>
      </c>
    </row>
    <row r="17246" spans="5:9" ht="16.5" hidden="1">
      <c r="E17246" s="4" t="str">
        <v/>
      </c>
      <c r="F17246" s="102" t="str">
        <f ca="1">IFERROR(__xludf.DUMMYFUNCTION("IMPORTRANGE(H17246,""IDENTITAS UNIT!D9"")"),"#N/A")</f>
        <v>#N/A</v>
      </c>
      <c r="H17246" s="4" t="str">
        <v/>
      </c>
      <c r="I17246" s="4" t="str">
        <v/>
      </c>
    </row>
    <row r="17247" spans="5:9" ht="16.5" hidden="1">
      <c r="E17247" s="4" t="str">
        <v/>
      </c>
      <c r="F17247" s="102" t="str">
        <f ca="1">IFERROR(__xludf.DUMMYFUNCTION("IMPORTRANGE(H17247,""IDENTITAS UNIT!D9"")"),"#N/A")</f>
        <v>#N/A</v>
      </c>
      <c r="H17247" s="4" t="str">
        <v/>
      </c>
      <c r="I17247" s="4" t="str">
        <v/>
      </c>
    </row>
    <row r="17248" spans="5:9" ht="16.5" hidden="1">
      <c r="E17248" s="4" t="str">
        <v/>
      </c>
      <c r="F17248" s="102" t="str">
        <f ca="1">IFERROR(__xludf.DUMMYFUNCTION("IMPORTRANGE(H17248,""IDENTITAS UNIT!D9"")"),"#N/A")</f>
        <v>#N/A</v>
      </c>
      <c r="H17248" s="4" t="str">
        <v/>
      </c>
      <c r="I17248" s="4" t="str">
        <v/>
      </c>
    </row>
    <row r="17249" spans="5:9" ht="16.5" hidden="1">
      <c r="E17249" s="4" t="str">
        <v/>
      </c>
      <c r="F17249" s="102" t="str">
        <f ca="1">IFERROR(__xludf.DUMMYFUNCTION("IMPORTRANGE(H17249,""IDENTITAS UNIT!D9"")"),"#N/A")</f>
        <v>#N/A</v>
      </c>
      <c r="H17249" s="4" t="str">
        <v/>
      </c>
      <c r="I17249" s="4" t="str">
        <v/>
      </c>
    </row>
    <row r="17250" spans="5:9" ht="16.5" hidden="1">
      <c r="E17250" s="4" t="str">
        <v/>
      </c>
      <c r="F17250" s="102" t="str">
        <f ca="1">IFERROR(__xludf.DUMMYFUNCTION("IMPORTRANGE(H17250,""IDENTITAS UNIT!D9"")"),"#N/A")</f>
        <v>#N/A</v>
      </c>
      <c r="H17250" s="4" t="str">
        <v/>
      </c>
      <c r="I17250" s="4" t="str">
        <v/>
      </c>
    </row>
    <row r="17251" spans="5:9" ht="16.5" hidden="1">
      <c r="E17251" s="4" t="str">
        <v/>
      </c>
      <c r="F17251" s="102" t="str">
        <f ca="1">IFERROR(__xludf.DUMMYFUNCTION("IMPORTRANGE(H17251,""IDENTITAS UNIT!D9"")"),"#N/A")</f>
        <v>#N/A</v>
      </c>
      <c r="H17251" s="4" t="str">
        <v/>
      </c>
      <c r="I17251" s="4" t="str">
        <v/>
      </c>
    </row>
    <row r="17252" spans="5:9" ht="16.5" hidden="1">
      <c r="E17252" s="4" t="str">
        <v/>
      </c>
      <c r="F17252" s="102" t="str">
        <f ca="1">IFERROR(__xludf.DUMMYFUNCTION("IMPORTRANGE(H17252,""IDENTITAS UNIT!D9"")"),"#N/A")</f>
        <v>#N/A</v>
      </c>
      <c r="H17252" s="4" t="str">
        <v/>
      </c>
      <c r="I17252" s="4" t="str">
        <v/>
      </c>
    </row>
    <row r="17253" spans="5:9" ht="16.5" hidden="1">
      <c r="E17253" s="4" t="str">
        <v/>
      </c>
      <c r="F17253" s="102" t="str">
        <f ca="1">IFERROR(__xludf.DUMMYFUNCTION("IMPORTRANGE(H17253,""IDENTITAS UNIT!D9"")"),"#N/A")</f>
        <v>#N/A</v>
      </c>
      <c r="H17253" s="4" t="str">
        <v/>
      </c>
      <c r="I17253" s="4" t="str">
        <v/>
      </c>
    </row>
    <row r="17254" spans="5:9" ht="16.5" hidden="1">
      <c r="E17254" s="4" t="str">
        <v/>
      </c>
      <c r="F17254" s="102" t="str">
        <f ca="1">IFERROR(__xludf.DUMMYFUNCTION("IMPORTRANGE(H17254,""IDENTITAS UNIT!D9"")"),"#N/A")</f>
        <v>#N/A</v>
      </c>
      <c r="H17254" s="4" t="str">
        <v/>
      </c>
      <c r="I17254" s="4" t="str">
        <v/>
      </c>
    </row>
    <row r="17255" spans="5:9" ht="16.5" hidden="1">
      <c r="E17255" s="4" t="str">
        <v/>
      </c>
      <c r="F17255" s="102" t="str">
        <f ca="1">IFERROR(__xludf.DUMMYFUNCTION("IMPORTRANGE(H17255,""IDENTITAS UNIT!D9"")"),"#N/A")</f>
        <v>#N/A</v>
      </c>
      <c r="H17255" s="4" t="str">
        <v/>
      </c>
      <c r="I17255" s="4" t="str">
        <v/>
      </c>
    </row>
    <row r="17256" spans="5:9" ht="16.5" hidden="1">
      <c r="E17256" s="4" t="str">
        <v/>
      </c>
      <c r="F17256" s="102" t="str">
        <f ca="1">IFERROR(__xludf.DUMMYFUNCTION("IMPORTRANGE(H17256,""IDENTITAS UNIT!D9"")"),"#N/A")</f>
        <v>#N/A</v>
      </c>
      <c r="H17256" s="4" t="str">
        <v/>
      </c>
      <c r="I17256" s="4" t="str">
        <v/>
      </c>
    </row>
    <row r="17257" spans="5:9" ht="16.5" hidden="1">
      <c r="E17257" s="4" t="str">
        <v/>
      </c>
      <c r="F17257" s="102" t="str">
        <f ca="1">IFERROR(__xludf.DUMMYFUNCTION("IMPORTRANGE(H17257,""IDENTITAS UNIT!D9"")"),"#N/A")</f>
        <v>#N/A</v>
      </c>
      <c r="H17257" s="4" t="str">
        <v/>
      </c>
      <c r="I17257" s="4" t="str">
        <v/>
      </c>
    </row>
    <row r="17258" spans="5:9" ht="16.5" hidden="1">
      <c r="E17258" s="4" t="str">
        <v/>
      </c>
      <c r="F17258" s="102" t="str">
        <f ca="1">IFERROR(__xludf.DUMMYFUNCTION("IMPORTRANGE(H17258,""IDENTITAS UNIT!D9"")"),"#N/A")</f>
        <v>#N/A</v>
      </c>
      <c r="H17258" s="4" t="str">
        <v/>
      </c>
      <c r="I17258" s="4" t="str">
        <v/>
      </c>
    </row>
    <row r="17259" spans="5:9" ht="16.5" hidden="1">
      <c r="E17259" s="4" t="str">
        <v/>
      </c>
      <c r="F17259" s="102" t="str">
        <f ca="1">IFERROR(__xludf.DUMMYFUNCTION("IMPORTRANGE(H17259,""IDENTITAS UNIT!D9"")"),"#N/A")</f>
        <v>#N/A</v>
      </c>
      <c r="H17259" s="4" t="str">
        <v/>
      </c>
      <c r="I17259" s="4" t="str">
        <v/>
      </c>
    </row>
    <row r="17260" spans="5:9" ht="16.5" hidden="1">
      <c r="E17260" s="4" t="str">
        <v/>
      </c>
      <c r="F17260" s="102" t="str">
        <f ca="1">IFERROR(__xludf.DUMMYFUNCTION("IMPORTRANGE(H17260,""IDENTITAS UNIT!D9"")"),"#N/A")</f>
        <v>#N/A</v>
      </c>
      <c r="H17260" s="4" t="str">
        <v/>
      </c>
      <c r="I17260" s="4" t="str">
        <v/>
      </c>
    </row>
    <row r="17261" spans="5:9" ht="16.5" hidden="1">
      <c r="E17261" s="4" t="str">
        <v/>
      </c>
      <c r="F17261" s="102" t="str">
        <f ca="1">IFERROR(__xludf.DUMMYFUNCTION("IMPORTRANGE(H17261,""IDENTITAS UNIT!D9"")"),"#N/A")</f>
        <v>#N/A</v>
      </c>
      <c r="H17261" s="4" t="str">
        <v/>
      </c>
      <c r="I17261" s="4" t="str">
        <v/>
      </c>
    </row>
    <row r="17262" spans="5:9" ht="16.5" hidden="1">
      <c r="E17262" s="4" t="str">
        <v/>
      </c>
      <c r="F17262" s="102" t="str">
        <f ca="1">IFERROR(__xludf.DUMMYFUNCTION("IMPORTRANGE(H17262,""IDENTITAS UNIT!D9"")"),"#N/A")</f>
        <v>#N/A</v>
      </c>
      <c r="H17262" s="4" t="str">
        <v/>
      </c>
      <c r="I17262" s="4" t="str">
        <v/>
      </c>
    </row>
    <row r="17263" spans="5:9" ht="16.5" hidden="1">
      <c r="E17263" s="4" t="str">
        <v/>
      </c>
      <c r="F17263" s="102" t="str">
        <f ca="1">IFERROR(__xludf.DUMMYFUNCTION("IMPORTRANGE(H17263,""IDENTITAS UNIT!D9"")"),"#N/A")</f>
        <v>#N/A</v>
      </c>
      <c r="H17263" s="4" t="str">
        <v/>
      </c>
      <c r="I17263" s="4" t="str">
        <v/>
      </c>
    </row>
    <row r="17264" spans="5:9" ht="16.5" hidden="1">
      <c r="E17264" s="4" t="str">
        <v/>
      </c>
      <c r="F17264" s="102" t="str">
        <f ca="1">IFERROR(__xludf.DUMMYFUNCTION("IMPORTRANGE(H17264,""IDENTITAS UNIT!D9"")"),"#N/A")</f>
        <v>#N/A</v>
      </c>
      <c r="H17264" s="4" t="str">
        <v/>
      </c>
      <c r="I17264" s="4" t="str">
        <v/>
      </c>
    </row>
    <row r="17265" spans="5:9" ht="16.5" hidden="1">
      <c r="E17265" s="4" t="str">
        <v/>
      </c>
      <c r="F17265" s="102" t="str">
        <f ca="1">IFERROR(__xludf.DUMMYFUNCTION("IMPORTRANGE(H17265,""IDENTITAS UNIT!D9"")"),"#N/A")</f>
        <v>#N/A</v>
      </c>
      <c r="H17265" s="4" t="str">
        <v/>
      </c>
      <c r="I17265" s="4" t="str">
        <v/>
      </c>
    </row>
    <row r="17266" spans="5:9" ht="16.5" hidden="1">
      <c r="E17266" s="4" t="str">
        <v/>
      </c>
      <c r="F17266" s="102" t="str">
        <f ca="1">IFERROR(__xludf.DUMMYFUNCTION("IMPORTRANGE(H17266,""IDENTITAS UNIT!D9"")"),"#N/A")</f>
        <v>#N/A</v>
      </c>
      <c r="H17266" s="4" t="str">
        <v/>
      </c>
      <c r="I17266" s="4" t="str">
        <v/>
      </c>
    </row>
    <row r="17267" spans="5:9" ht="16.5" hidden="1">
      <c r="E17267" s="4" t="str">
        <v/>
      </c>
      <c r="F17267" s="102" t="str">
        <f ca="1">IFERROR(__xludf.DUMMYFUNCTION("IMPORTRANGE(H17267,""IDENTITAS UNIT!D9"")"),"#N/A")</f>
        <v>#N/A</v>
      </c>
      <c r="H17267" s="4" t="str">
        <v/>
      </c>
      <c r="I17267" s="4" t="str">
        <v/>
      </c>
    </row>
    <row r="17268" spans="5:9" ht="16.5" hidden="1">
      <c r="E17268" s="4" t="str">
        <v/>
      </c>
      <c r="F17268" s="102" t="str">
        <f ca="1">IFERROR(__xludf.DUMMYFUNCTION("IMPORTRANGE(H17268,""IDENTITAS UNIT!D9"")"),"#N/A")</f>
        <v>#N/A</v>
      </c>
      <c r="H17268" s="4" t="str">
        <v/>
      </c>
      <c r="I17268" s="4" t="str">
        <v/>
      </c>
    </row>
    <row r="17269" spans="5:9" ht="16.5" hidden="1">
      <c r="E17269" s="4" t="str">
        <v/>
      </c>
      <c r="F17269" s="102" t="str">
        <f ca="1">IFERROR(__xludf.DUMMYFUNCTION("IMPORTRANGE(H17269,""IDENTITAS UNIT!D9"")"),"#N/A")</f>
        <v>#N/A</v>
      </c>
      <c r="H17269" s="4" t="str">
        <v/>
      </c>
      <c r="I17269" s="4" t="str">
        <v/>
      </c>
    </row>
    <row r="17270" spans="5:9" ht="16.5" hidden="1">
      <c r="E17270" s="4" t="str">
        <v/>
      </c>
      <c r="F17270" s="102" t="str">
        <f ca="1">IFERROR(__xludf.DUMMYFUNCTION("IMPORTRANGE(H17270,""IDENTITAS UNIT!D9"")"),"#N/A")</f>
        <v>#N/A</v>
      </c>
      <c r="H17270" s="4" t="str">
        <v/>
      </c>
      <c r="I17270" s="4" t="str">
        <v/>
      </c>
    </row>
    <row r="17271" spans="5:9" ht="16.5" hidden="1">
      <c r="E17271" s="4" t="str">
        <v/>
      </c>
      <c r="F17271" s="102" t="str">
        <f ca="1">IFERROR(__xludf.DUMMYFUNCTION("IMPORTRANGE(H17271,""IDENTITAS UNIT!D9"")"),"#N/A")</f>
        <v>#N/A</v>
      </c>
      <c r="H17271" s="4" t="str">
        <v/>
      </c>
      <c r="I17271" s="4" t="str">
        <v/>
      </c>
    </row>
    <row r="17272" spans="5:9" ht="16.5" hidden="1">
      <c r="E17272" s="4" t="str">
        <v/>
      </c>
      <c r="F17272" s="102" t="str">
        <f ca="1">IFERROR(__xludf.DUMMYFUNCTION("IMPORTRANGE(H17272,""IDENTITAS UNIT!D9"")"),"#N/A")</f>
        <v>#N/A</v>
      </c>
      <c r="H17272" s="4" t="str">
        <v/>
      </c>
      <c r="I17272" s="4" t="str">
        <v/>
      </c>
    </row>
    <row r="17273" spans="5:9" ht="16.5" hidden="1">
      <c r="E17273" s="4" t="str">
        <v/>
      </c>
      <c r="F17273" s="102" t="str">
        <f ca="1">IFERROR(__xludf.DUMMYFUNCTION("IMPORTRANGE(H17273,""IDENTITAS UNIT!D9"")"),"#N/A")</f>
        <v>#N/A</v>
      </c>
      <c r="H17273" s="4" t="str">
        <v/>
      </c>
      <c r="I17273" s="4" t="str">
        <v/>
      </c>
    </row>
    <row r="17274" spans="5:9" ht="16.5" hidden="1">
      <c r="E17274" s="4" t="str">
        <v/>
      </c>
      <c r="F17274" s="102" t="str">
        <f ca="1">IFERROR(__xludf.DUMMYFUNCTION("IMPORTRANGE(H17274,""IDENTITAS UNIT!D9"")"),"#N/A")</f>
        <v>#N/A</v>
      </c>
      <c r="H17274" s="4" t="str">
        <v/>
      </c>
      <c r="I17274" s="4" t="str">
        <v/>
      </c>
    </row>
    <row r="17275" spans="5:9" ht="16.5" hidden="1">
      <c r="E17275" s="4" t="str">
        <v/>
      </c>
      <c r="F17275" s="102" t="str">
        <f ca="1">IFERROR(__xludf.DUMMYFUNCTION("IMPORTRANGE(H17275,""IDENTITAS UNIT!D9"")"),"#N/A")</f>
        <v>#N/A</v>
      </c>
      <c r="H17275" s="4" t="str">
        <v/>
      </c>
      <c r="I17275" s="4" t="str">
        <v/>
      </c>
    </row>
    <row r="17276" spans="5:9" ht="16.5" hidden="1">
      <c r="E17276" s="4" t="str">
        <v/>
      </c>
      <c r="F17276" s="102" t="str">
        <f ca="1">IFERROR(__xludf.DUMMYFUNCTION("IMPORTRANGE(H17276,""IDENTITAS UNIT!D9"")"),"#N/A")</f>
        <v>#N/A</v>
      </c>
      <c r="H17276" s="4" t="str">
        <v/>
      </c>
      <c r="I17276" s="4" t="str">
        <v/>
      </c>
    </row>
    <row r="17277" spans="5:9" ht="16.5" hidden="1">
      <c r="E17277" s="4" t="str">
        <v/>
      </c>
      <c r="F17277" s="102" t="str">
        <f ca="1">IFERROR(__xludf.DUMMYFUNCTION("IMPORTRANGE(H17277,""IDENTITAS UNIT!D9"")"),"#N/A")</f>
        <v>#N/A</v>
      </c>
      <c r="H17277" s="4" t="str">
        <v/>
      </c>
      <c r="I17277" s="4" t="str">
        <v/>
      </c>
    </row>
    <row r="17278" spans="5:9" ht="16.5" hidden="1">
      <c r="E17278" s="4" t="str">
        <v/>
      </c>
      <c r="F17278" s="102" t="str">
        <f ca="1">IFERROR(__xludf.DUMMYFUNCTION("IMPORTRANGE(H17278,""IDENTITAS UNIT!D9"")"),"#N/A")</f>
        <v>#N/A</v>
      </c>
      <c r="H17278" s="4" t="str">
        <v/>
      </c>
      <c r="I17278" s="4" t="str">
        <v/>
      </c>
    </row>
    <row r="17279" spans="5:9" ht="16.5" hidden="1">
      <c r="E17279" s="4" t="str">
        <v/>
      </c>
      <c r="F17279" s="102" t="str">
        <f ca="1">IFERROR(__xludf.DUMMYFUNCTION("IMPORTRANGE(H17279,""IDENTITAS UNIT!D9"")"),"#N/A")</f>
        <v>#N/A</v>
      </c>
      <c r="H17279" s="4" t="str">
        <v/>
      </c>
      <c r="I17279" s="4" t="str">
        <v/>
      </c>
    </row>
    <row r="17280" spans="5:9" ht="16.5" hidden="1">
      <c r="E17280" s="4" t="str">
        <v/>
      </c>
      <c r="F17280" s="102" t="str">
        <f ca="1">IFERROR(__xludf.DUMMYFUNCTION("IMPORTRANGE(H17280,""IDENTITAS UNIT!D9"")"),"#N/A")</f>
        <v>#N/A</v>
      </c>
      <c r="H17280" s="4" t="str">
        <v/>
      </c>
      <c r="I17280" s="4" t="str">
        <v/>
      </c>
    </row>
    <row r="17281" spans="5:9" ht="16.5" hidden="1">
      <c r="E17281" s="4" t="str">
        <v/>
      </c>
      <c r="F17281" s="102" t="str">
        <f ca="1">IFERROR(__xludf.DUMMYFUNCTION("IMPORTRANGE(H17281,""IDENTITAS UNIT!D9"")"),"#N/A")</f>
        <v>#N/A</v>
      </c>
      <c r="H17281" s="4" t="str">
        <v/>
      </c>
      <c r="I17281" s="4" t="str">
        <v/>
      </c>
    </row>
    <row r="17282" spans="5:9" ht="16.5" hidden="1">
      <c r="E17282" s="4" t="str">
        <v/>
      </c>
      <c r="F17282" s="102" t="str">
        <f ca="1">IFERROR(__xludf.DUMMYFUNCTION("IMPORTRANGE(H17282,""IDENTITAS UNIT!D9"")"),"#N/A")</f>
        <v>#N/A</v>
      </c>
      <c r="H17282" s="4" t="str">
        <v/>
      </c>
      <c r="I17282" s="4" t="str">
        <v/>
      </c>
    </row>
    <row r="17283" spans="5:9" ht="16.5" hidden="1">
      <c r="E17283" s="4" t="str">
        <v/>
      </c>
      <c r="F17283" s="102" t="str">
        <f ca="1">IFERROR(__xludf.DUMMYFUNCTION("IMPORTRANGE(H17283,""IDENTITAS UNIT!D9"")"),"#N/A")</f>
        <v>#N/A</v>
      </c>
      <c r="H17283" s="4" t="str">
        <v/>
      </c>
      <c r="I17283" s="4" t="str">
        <v/>
      </c>
    </row>
    <row r="17284" spans="5:9" ht="16.5" hidden="1">
      <c r="E17284" s="4" t="str">
        <v/>
      </c>
      <c r="F17284" s="102" t="str">
        <f ca="1">IFERROR(__xludf.DUMMYFUNCTION("IMPORTRANGE(H17284,""IDENTITAS UNIT!D9"")"),"#N/A")</f>
        <v>#N/A</v>
      </c>
      <c r="H17284" s="4" t="str">
        <v/>
      </c>
      <c r="I17284" s="4" t="str">
        <v/>
      </c>
    </row>
    <row r="17285" spans="5:9" ht="16.5" hidden="1">
      <c r="E17285" s="4" t="str">
        <v/>
      </c>
      <c r="F17285" s="102" t="str">
        <f ca="1">IFERROR(__xludf.DUMMYFUNCTION("IMPORTRANGE(H17285,""IDENTITAS UNIT!D9"")"),"#N/A")</f>
        <v>#N/A</v>
      </c>
      <c r="H17285" s="4" t="str">
        <v/>
      </c>
      <c r="I17285" s="4" t="str">
        <v/>
      </c>
    </row>
    <row r="17286" spans="5:9" ht="16.5" hidden="1">
      <c r="E17286" s="4" t="str">
        <v/>
      </c>
      <c r="F17286" s="102" t="str">
        <f ca="1">IFERROR(__xludf.DUMMYFUNCTION("IMPORTRANGE(H17286,""IDENTITAS UNIT!D9"")"),"#N/A")</f>
        <v>#N/A</v>
      </c>
      <c r="H17286" s="4" t="str">
        <v/>
      </c>
      <c r="I17286" s="4" t="str">
        <v/>
      </c>
    </row>
    <row r="17287" spans="5:9" ht="16.5" hidden="1">
      <c r="E17287" s="4" t="str">
        <v/>
      </c>
      <c r="F17287" s="102" t="str">
        <f ca="1">IFERROR(__xludf.DUMMYFUNCTION("IMPORTRANGE(H17287,""IDENTITAS UNIT!D9"")"),"#N/A")</f>
        <v>#N/A</v>
      </c>
      <c r="H17287" s="4" t="str">
        <v/>
      </c>
      <c r="I17287" s="4" t="str">
        <v/>
      </c>
    </row>
    <row r="17288" spans="5:9" ht="16.5" hidden="1">
      <c r="E17288" s="4" t="str">
        <v/>
      </c>
      <c r="F17288" s="102" t="str">
        <f ca="1">IFERROR(__xludf.DUMMYFUNCTION("IMPORTRANGE(H17288,""IDENTITAS UNIT!D9"")"),"#N/A")</f>
        <v>#N/A</v>
      </c>
      <c r="H17288" s="4" t="str">
        <v/>
      </c>
      <c r="I17288" s="4" t="str">
        <v/>
      </c>
    </row>
    <row r="17289" spans="5:9" ht="16.5" hidden="1">
      <c r="E17289" s="4" t="str">
        <v/>
      </c>
      <c r="F17289" s="102" t="str">
        <f ca="1">IFERROR(__xludf.DUMMYFUNCTION("IMPORTRANGE(H17289,""IDENTITAS UNIT!D9"")"),"#N/A")</f>
        <v>#N/A</v>
      </c>
      <c r="H17289" s="4" t="str">
        <v/>
      </c>
      <c r="I17289" s="4" t="str">
        <v/>
      </c>
    </row>
    <row r="17290" spans="5:9" ht="16.5" hidden="1">
      <c r="E17290" s="4" t="str">
        <v/>
      </c>
      <c r="F17290" s="102" t="str">
        <f ca="1">IFERROR(__xludf.DUMMYFUNCTION("IMPORTRANGE(H17290,""IDENTITAS UNIT!D9"")"),"#N/A")</f>
        <v>#N/A</v>
      </c>
      <c r="H17290" s="4" t="str">
        <v/>
      </c>
      <c r="I17290" s="4" t="str">
        <v/>
      </c>
    </row>
    <row r="17291" spans="5:9" ht="16.5" hidden="1">
      <c r="E17291" s="4" t="str">
        <v/>
      </c>
      <c r="F17291" s="102" t="str">
        <f ca="1">IFERROR(__xludf.DUMMYFUNCTION("IMPORTRANGE(H17291,""IDENTITAS UNIT!D9"")"),"#N/A")</f>
        <v>#N/A</v>
      </c>
      <c r="H17291" s="4" t="str">
        <v/>
      </c>
      <c r="I17291" s="4" t="str">
        <v/>
      </c>
    </row>
    <row r="17292" spans="5:9" ht="16.5" hidden="1">
      <c r="E17292" s="4" t="str">
        <v/>
      </c>
      <c r="F17292" s="102" t="str">
        <f ca="1">IFERROR(__xludf.DUMMYFUNCTION("IMPORTRANGE(H17292,""IDENTITAS UNIT!D9"")"),"#N/A")</f>
        <v>#N/A</v>
      </c>
      <c r="H17292" s="4" t="str">
        <v/>
      </c>
      <c r="I17292" s="4" t="str">
        <v/>
      </c>
    </row>
    <row r="17293" spans="5:9" ht="16.5" hidden="1">
      <c r="E17293" s="4" t="str">
        <v/>
      </c>
      <c r="F17293" s="102" t="str">
        <f ca="1">IFERROR(__xludf.DUMMYFUNCTION("IMPORTRANGE(H17293,""IDENTITAS UNIT!D9"")"),"#N/A")</f>
        <v>#N/A</v>
      </c>
      <c r="H17293" s="4" t="str">
        <v/>
      </c>
      <c r="I17293" s="4" t="str">
        <v/>
      </c>
    </row>
    <row r="17294" spans="5:9" ht="16.5" hidden="1">
      <c r="E17294" s="4" t="str">
        <v/>
      </c>
      <c r="F17294" s="102" t="str">
        <f ca="1">IFERROR(__xludf.DUMMYFUNCTION("IMPORTRANGE(H17294,""IDENTITAS UNIT!D9"")"),"#N/A")</f>
        <v>#N/A</v>
      </c>
      <c r="H17294" s="4" t="str">
        <v/>
      </c>
      <c r="I17294" s="4" t="str">
        <v/>
      </c>
    </row>
    <row r="17295" spans="5:9" ht="16.5" hidden="1">
      <c r="E17295" s="4" t="str">
        <v/>
      </c>
      <c r="F17295" s="102" t="str">
        <f ca="1">IFERROR(__xludf.DUMMYFUNCTION("IMPORTRANGE(H17295,""IDENTITAS UNIT!D9"")"),"#N/A")</f>
        <v>#N/A</v>
      </c>
      <c r="H17295" s="4" t="str">
        <v/>
      </c>
      <c r="I17295" s="4" t="str">
        <v/>
      </c>
    </row>
    <row r="17296" spans="5:9" ht="16.5" hidden="1">
      <c r="E17296" s="4" t="str">
        <v/>
      </c>
      <c r="F17296" s="102" t="str">
        <f ca="1">IFERROR(__xludf.DUMMYFUNCTION("IMPORTRANGE(H17296,""IDENTITAS UNIT!D9"")"),"#N/A")</f>
        <v>#N/A</v>
      </c>
      <c r="H17296" s="4" t="str">
        <v/>
      </c>
      <c r="I17296" s="4" t="str">
        <v/>
      </c>
    </row>
    <row r="17297" spans="5:9" ht="16.5" hidden="1">
      <c r="E17297" s="4" t="str">
        <v/>
      </c>
      <c r="F17297" s="102" t="str">
        <f ca="1">IFERROR(__xludf.DUMMYFUNCTION("IMPORTRANGE(H17297,""IDENTITAS UNIT!D9"")"),"#N/A")</f>
        <v>#N/A</v>
      </c>
      <c r="H17297" s="4" t="str">
        <v/>
      </c>
      <c r="I17297" s="4" t="str">
        <v/>
      </c>
    </row>
    <row r="17298" spans="5:9" ht="16.5" hidden="1">
      <c r="E17298" s="4" t="str">
        <v/>
      </c>
      <c r="F17298" s="102" t="str">
        <f ca="1">IFERROR(__xludf.DUMMYFUNCTION("IMPORTRANGE(H17298,""IDENTITAS UNIT!D9"")"),"#N/A")</f>
        <v>#N/A</v>
      </c>
      <c r="H17298" s="4" t="str">
        <v/>
      </c>
      <c r="I17298" s="4" t="str">
        <v/>
      </c>
    </row>
    <row r="17299" spans="5:9" ht="16.5" hidden="1">
      <c r="E17299" s="4" t="str">
        <v/>
      </c>
      <c r="F17299" s="102" t="str">
        <f ca="1">IFERROR(__xludf.DUMMYFUNCTION("IMPORTRANGE(H17299,""IDENTITAS UNIT!D9"")"),"#N/A")</f>
        <v>#N/A</v>
      </c>
      <c r="H17299" s="4" t="str">
        <v/>
      </c>
      <c r="I17299" s="4" t="str">
        <v/>
      </c>
    </row>
    <row r="17300" spans="5:9" ht="16.5" hidden="1">
      <c r="E17300" s="4" t="str">
        <v/>
      </c>
      <c r="F17300" s="102" t="str">
        <f ca="1">IFERROR(__xludf.DUMMYFUNCTION("IMPORTRANGE(H17300,""IDENTITAS UNIT!D9"")"),"#N/A")</f>
        <v>#N/A</v>
      </c>
      <c r="H17300" s="4" t="str">
        <v/>
      </c>
      <c r="I17300" s="4" t="str">
        <v/>
      </c>
    </row>
    <row r="17301" spans="5:9" ht="16.5" hidden="1">
      <c r="E17301" s="4" t="str">
        <v/>
      </c>
      <c r="F17301" s="102" t="str">
        <f ca="1">IFERROR(__xludf.DUMMYFUNCTION("IMPORTRANGE(H17301,""IDENTITAS UNIT!D9"")"),"#N/A")</f>
        <v>#N/A</v>
      </c>
      <c r="H17301" s="4" t="str">
        <v/>
      </c>
      <c r="I17301" s="4" t="str">
        <v/>
      </c>
    </row>
    <row r="17302" spans="5:9" ht="16.5" hidden="1">
      <c r="E17302" s="4" t="str">
        <v/>
      </c>
      <c r="F17302" s="102" t="str">
        <f ca="1">IFERROR(__xludf.DUMMYFUNCTION("IMPORTRANGE(H17302,""IDENTITAS UNIT!D9"")"),"#N/A")</f>
        <v>#N/A</v>
      </c>
      <c r="H17302" s="4" t="str">
        <v/>
      </c>
      <c r="I17302" s="4" t="str">
        <v/>
      </c>
    </row>
    <row r="17303" spans="5:9" ht="16.5" hidden="1">
      <c r="E17303" s="4" t="str">
        <v/>
      </c>
      <c r="F17303" s="102" t="str">
        <f ca="1">IFERROR(__xludf.DUMMYFUNCTION("IMPORTRANGE(H17303,""IDENTITAS UNIT!D9"")"),"#N/A")</f>
        <v>#N/A</v>
      </c>
      <c r="H17303" s="4" t="str">
        <v/>
      </c>
      <c r="I17303" s="4" t="str">
        <v/>
      </c>
    </row>
    <row r="17304" spans="5:9" ht="16.5" hidden="1">
      <c r="E17304" s="4" t="str">
        <v/>
      </c>
      <c r="F17304" s="102" t="str">
        <f ca="1">IFERROR(__xludf.DUMMYFUNCTION("IMPORTRANGE(H17304,""IDENTITAS UNIT!D9"")"),"#N/A")</f>
        <v>#N/A</v>
      </c>
      <c r="H17304" s="4" t="str">
        <v/>
      </c>
      <c r="I17304" s="4" t="str">
        <v/>
      </c>
    </row>
    <row r="17305" spans="5:9" ht="16.5" hidden="1">
      <c r="E17305" s="4" t="str">
        <v/>
      </c>
      <c r="F17305" s="102" t="str">
        <f ca="1">IFERROR(__xludf.DUMMYFUNCTION("IMPORTRANGE(H17305,""IDENTITAS UNIT!D9"")"),"#N/A")</f>
        <v>#N/A</v>
      </c>
      <c r="H17305" s="4" t="str">
        <v/>
      </c>
      <c r="I17305" s="4" t="str">
        <v/>
      </c>
    </row>
    <row r="17306" spans="5:9" ht="16.5" hidden="1">
      <c r="E17306" s="4" t="str">
        <v/>
      </c>
      <c r="F17306" s="102" t="str">
        <f ca="1">IFERROR(__xludf.DUMMYFUNCTION("IMPORTRANGE(H17306,""IDENTITAS UNIT!D9"")"),"#N/A")</f>
        <v>#N/A</v>
      </c>
      <c r="H17306" s="4" t="str">
        <v/>
      </c>
      <c r="I17306" s="4" t="str">
        <v/>
      </c>
    </row>
    <row r="17307" spans="5:9" ht="16.5" hidden="1">
      <c r="E17307" s="4" t="str">
        <v/>
      </c>
      <c r="F17307" s="102" t="str">
        <f ca="1">IFERROR(__xludf.DUMMYFUNCTION("IMPORTRANGE(H17307,""IDENTITAS UNIT!D9"")"),"#N/A")</f>
        <v>#N/A</v>
      </c>
      <c r="H17307" s="4" t="str">
        <v/>
      </c>
      <c r="I17307" s="4" t="str">
        <v/>
      </c>
    </row>
    <row r="17308" spans="5:9" ht="16.5" hidden="1">
      <c r="E17308" s="4" t="str">
        <v/>
      </c>
      <c r="F17308" s="102" t="str">
        <f ca="1">IFERROR(__xludf.DUMMYFUNCTION("IMPORTRANGE(H17308,""IDENTITAS UNIT!D9"")"),"#N/A")</f>
        <v>#N/A</v>
      </c>
      <c r="H17308" s="4" t="str">
        <v/>
      </c>
      <c r="I17308" s="4" t="str">
        <v/>
      </c>
    </row>
    <row r="17309" spans="5:9" ht="16.5" hidden="1">
      <c r="E17309" s="4" t="str">
        <v/>
      </c>
      <c r="F17309" s="102" t="str">
        <f ca="1">IFERROR(__xludf.DUMMYFUNCTION("IMPORTRANGE(H17309,""IDENTITAS UNIT!D9"")"),"#N/A")</f>
        <v>#N/A</v>
      </c>
      <c r="H17309" s="4" t="str">
        <v/>
      </c>
      <c r="I17309" s="4" t="str">
        <v/>
      </c>
    </row>
    <row r="17310" spans="5:9" ht="16.5" hidden="1">
      <c r="E17310" s="4" t="str">
        <v/>
      </c>
      <c r="F17310" s="102" t="str">
        <f ca="1">IFERROR(__xludf.DUMMYFUNCTION("IMPORTRANGE(H17310,""IDENTITAS UNIT!D9"")"),"#N/A")</f>
        <v>#N/A</v>
      </c>
      <c r="H17310" s="4" t="str">
        <v/>
      </c>
      <c r="I17310" s="4" t="str">
        <v/>
      </c>
    </row>
    <row r="17311" spans="5:9" ht="16.5" hidden="1">
      <c r="E17311" s="4" t="str">
        <v/>
      </c>
      <c r="F17311" s="102" t="str">
        <f ca="1">IFERROR(__xludf.DUMMYFUNCTION("IMPORTRANGE(H17311,""IDENTITAS UNIT!D9"")"),"#N/A")</f>
        <v>#N/A</v>
      </c>
      <c r="H17311" s="4" t="str">
        <v/>
      </c>
      <c r="I17311" s="4" t="str">
        <v/>
      </c>
    </row>
    <row r="17312" spans="5:9" ht="16.5" hidden="1">
      <c r="E17312" s="4" t="str">
        <v/>
      </c>
      <c r="F17312" s="102" t="str">
        <f ca="1">IFERROR(__xludf.DUMMYFUNCTION("IMPORTRANGE(H17312,""IDENTITAS UNIT!D9"")"),"#N/A")</f>
        <v>#N/A</v>
      </c>
      <c r="H17312" s="4" t="str">
        <v/>
      </c>
      <c r="I17312" s="4" t="str">
        <v/>
      </c>
    </row>
    <row r="17313" spans="5:9" ht="16.5" hidden="1">
      <c r="E17313" s="4" t="str">
        <v/>
      </c>
      <c r="F17313" s="102" t="str">
        <f ca="1">IFERROR(__xludf.DUMMYFUNCTION("IMPORTRANGE(H17313,""IDENTITAS UNIT!D9"")"),"#N/A")</f>
        <v>#N/A</v>
      </c>
      <c r="H17313" s="4" t="str">
        <v/>
      </c>
      <c r="I17313" s="4" t="str">
        <v/>
      </c>
    </row>
    <row r="17314" spans="5:9" ht="16.5" hidden="1">
      <c r="E17314" s="4" t="str">
        <v/>
      </c>
      <c r="F17314" s="102" t="str">
        <f ca="1">IFERROR(__xludf.DUMMYFUNCTION("IMPORTRANGE(H17314,""IDENTITAS UNIT!D9"")"),"#N/A")</f>
        <v>#N/A</v>
      </c>
      <c r="H17314" s="4" t="str">
        <v/>
      </c>
      <c r="I17314" s="4" t="str">
        <v/>
      </c>
    </row>
    <row r="17315" spans="5:9" ht="16.5" hidden="1">
      <c r="E17315" s="4" t="str">
        <v/>
      </c>
      <c r="F17315" s="102" t="str">
        <f ca="1">IFERROR(__xludf.DUMMYFUNCTION("IMPORTRANGE(H17315,""IDENTITAS UNIT!D9"")"),"#N/A")</f>
        <v>#N/A</v>
      </c>
      <c r="H17315" s="4" t="str">
        <v/>
      </c>
      <c r="I17315" s="4" t="str">
        <v/>
      </c>
    </row>
    <row r="17316" spans="5:9" ht="16.5" hidden="1">
      <c r="E17316" s="4" t="str">
        <v/>
      </c>
      <c r="F17316" s="102" t="str">
        <f ca="1">IFERROR(__xludf.DUMMYFUNCTION("IMPORTRANGE(H17316,""IDENTITAS UNIT!D9"")"),"#N/A")</f>
        <v>#N/A</v>
      </c>
      <c r="H17316" s="4" t="str">
        <v/>
      </c>
      <c r="I17316" s="4" t="str">
        <v/>
      </c>
    </row>
    <row r="17317" spans="5:9" ht="16.5" hidden="1">
      <c r="E17317" s="4" t="str">
        <v/>
      </c>
      <c r="F17317" s="102" t="str">
        <f ca="1">IFERROR(__xludf.DUMMYFUNCTION("IMPORTRANGE(H17317,""IDENTITAS UNIT!D9"")"),"#N/A")</f>
        <v>#N/A</v>
      </c>
      <c r="H17317" s="4" t="str">
        <v/>
      </c>
      <c r="I17317" s="4" t="str">
        <v/>
      </c>
    </row>
    <row r="17318" spans="5:9" ht="16.5" hidden="1">
      <c r="E17318" s="4" t="str">
        <v/>
      </c>
      <c r="F17318" s="102" t="str">
        <f ca="1">IFERROR(__xludf.DUMMYFUNCTION("IMPORTRANGE(H17318,""IDENTITAS UNIT!D9"")"),"#N/A")</f>
        <v>#N/A</v>
      </c>
      <c r="H17318" s="4" t="str">
        <v/>
      </c>
      <c r="I17318" s="4" t="str">
        <v/>
      </c>
    </row>
    <row r="17319" spans="5:9" ht="16.5" hidden="1">
      <c r="E17319" s="4" t="str">
        <v/>
      </c>
      <c r="F17319" s="102" t="str">
        <f ca="1">IFERROR(__xludf.DUMMYFUNCTION("IMPORTRANGE(H17319,""IDENTITAS UNIT!D9"")"),"#N/A")</f>
        <v>#N/A</v>
      </c>
      <c r="H17319" s="4" t="str">
        <v/>
      </c>
      <c r="I17319" s="4" t="str">
        <v/>
      </c>
    </row>
    <row r="17320" spans="5:9" ht="16.5" hidden="1">
      <c r="E17320" s="4" t="str">
        <v/>
      </c>
      <c r="F17320" s="102" t="str">
        <f ca="1">IFERROR(__xludf.DUMMYFUNCTION("IMPORTRANGE(H17320,""IDENTITAS UNIT!D9"")"),"#N/A")</f>
        <v>#N/A</v>
      </c>
      <c r="H17320" s="4" t="str">
        <v/>
      </c>
      <c r="I17320" s="4" t="str">
        <v/>
      </c>
    </row>
    <row r="17321" spans="5:9" ht="16.5" hidden="1">
      <c r="E17321" s="4" t="str">
        <v/>
      </c>
      <c r="F17321" s="102" t="str">
        <f ca="1">IFERROR(__xludf.DUMMYFUNCTION("IMPORTRANGE(H17321,""IDENTITAS UNIT!D9"")"),"#N/A")</f>
        <v>#N/A</v>
      </c>
      <c r="H17321" s="4" t="str">
        <v/>
      </c>
      <c r="I17321" s="4" t="str">
        <v/>
      </c>
    </row>
    <row r="17322" spans="5:9" ht="16.5" hidden="1">
      <c r="E17322" s="4" t="str">
        <v/>
      </c>
      <c r="F17322" s="102" t="str">
        <f ca="1">IFERROR(__xludf.DUMMYFUNCTION("IMPORTRANGE(H17322,""IDENTITAS UNIT!D9"")"),"#N/A")</f>
        <v>#N/A</v>
      </c>
      <c r="H17322" s="4" t="str">
        <v/>
      </c>
      <c r="I17322" s="4" t="str">
        <v/>
      </c>
    </row>
    <row r="17323" spans="5:9" ht="16.5" hidden="1">
      <c r="E17323" s="4" t="str">
        <v/>
      </c>
      <c r="F17323" s="102" t="str">
        <f ca="1">IFERROR(__xludf.DUMMYFUNCTION("IMPORTRANGE(H17323,""IDENTITAS UNIT!D9"")"),"#N/A")</f>
        <v>#N/A</v>
      </c>
      <c r="H17323" s="4" t="str">
        <v/>
      </c>
      <c r="I17323" s="4" t="str">
        <v/>
      </c>
    </row>
    <row r="17324" spans="5:9" ht="16.5" hidden="1">
      <c r="E17324" s="4" t="str">
        <v/>
      </c>
      <c r="F17324" s="102" t="str">
        <f ca="1">IFERROR(__xludf.DUMMYFUNCTION("IMPORTRANGE(H17324,""IDENTITAS UNIT!D9"")"),"#N/A")</f>
        <v>#N/A</v>
      </c>
      <c r="H17324" s="4" t="str">
        <v/>
      </c>
      <c r="I17324" s="4" t="str">
        <v/>
      </c>
    </row>
    <row r="17325" spans="5:9" ht="16.5" hidden="1">
      <c r="E17325" s="4" t="str">
        <v/>
      </c>
      <c r="F17325" s="102" t="str">
        <f ca="1">IFERROR(__xludf.DUMMYFUNCTION("IMPORTRANGE(H17325,""IDENTITAS UNIT!D9"")"),"#N/A")</f>
        <v>#N/A</v>
      </c>
      <c r="H17325" s="4" t="str">
        <v/>
      </c>
      <c r="I17325" s="4" t="str">
        <v/>
      </c>
    </row>
    <row r="17326" spans="5:9" ht="16.5" hidden="1">
      <c r="E17326" s="4" t="str">
        <v/>
      </c>
      <c r="F17326" s="102" t="str">
        <f ca="1">IFERROR(__xludf.DUMMYFUNCTION("IMPORTRANGE(H17326,""IDENTITAS UNIT!D9"")"),"#N/A")</f>
        <v>#N/A</v>
      </c>
      <c r="H17326" s="4" t="str">
        <v/>
      </c>
      <c r="I17326" s="4" t="str">
        <v/>
      </c>
    </row>
    <row r="17327" spans="5:9" ht="16.5" hidden="1">
      <c r="E17327" s="4" t="str">
        <v/>
      </c>
      <c r="F17327" s="102" t="str">
        <f ca="1">IFERROR(__xludf.DUMMYFUNCTION("IMPORTRANGE(H17327,""IDENTITAS UNIT!D9"")"),"#N/A")</f>
        <v>#N/A</v>
      </c>
      <c r="H17327" s="4" t="str">
        <v/>
      </c>
      <c r="I17327" s="4" t="str">
        <v/>
      </c>
    </row>
    <row r="17328" spans="5:9" ht="16.5" hidden="1">
      <c r="E17328" s="4" t="str">
        <v/>
      </c>
      <c r="F17328" s="102" t="str">
        <f ca="1">IFERROR(__xludf.DUMMYFUNCTION("IMPORTRANGE(H17328,""IDENTITAS UNIT!D9"")"),"#N/A")</f>
        <v>#N/A</v>
      </c>
      <c r="H17328" s="4" t="str">
        <v/>
      </c>
      <c r="I17328" s="4" t="str">
        <v/>
      </c>
    </row>
    <row r="17329" spans="5:9" ht="16.5" hidden="1">
      <c r="E17329" s="4" t="str">
        <v/>
      </c>
      <c r="F17329" s="102" t="str">
        <f ca="1">IFERROR(__xludf.DUMMYFUNCTION("IMPORTRANGE(H17329,""IDENTITAS UNIT!D9"")"),"#N/A")</f>
        <v>#N/A</v>
      </c>
      <c r="H17329" s="4" t="str">
        <v/>
      </c>
      <c r="I17329" s="4" t="str">
        <v/>
      </c>
    </row>
    <row r="17330" spans="5:9" ht="16.5" hidden="1">
      <c r="E17330" s="4" t="str">
        <v/>
      </c>
      <c r="F17330" s="102" t="str">
        <f ca="1">IFERROR(__xludf.DUMMYFUNCTION("IMPORTRANGE(H17330,""IDENTITAS UNIT!D9"")"),"#N/A")</f>
        <v>#N/A</v>
      </c>
      <c r="H17330" s="4" t="str">
        <v/>
      </c>
      <c r="I17330" s="4" t="str">
        <v/>
      </c>
    </row>
    <row r="17331" spans="5:9" ht="16.5" hidden="1">
      <c r="E17331" s="4" t="str">
        <v/>
      </c>
      <c r="F17331" s="102" t="str">
        <f ca="1">IFERROR(__xludf.DUMMYFUNCTION("IMPORTRANGE(H17331,""IDENTITAS UNIT!D9"")"),"#N/A")</f>
        <v>#N/A</v>
      </c>
      <c r="H17331" s="4" t="str">
        <v/>
      </c>
      <c r="I17331" s="4" t="str">
        <v/>
      </c>
    </row>
    <row r="17332" spans="5:9" ht="16.5" hidden="1">
      <c r="E17332" s="4" t="str">
        <v/>
      </c>
      <c r="F17332" s="102" t="str">
        <f ca="1">IFERROR(__xludf.DUMMYFUNCTION("IMPORTRANGE(H17332,""IDENTITAS UNIT!D9"")"),"#N/A")</f>
        <v>#N/A</v>
      </c>
      <c r="H17332" s="4" t="str">
        <v/>
      </c>
      <c r="I17332" s="4" t="str">
        <v/>
      </c>
    </row>
    <row r="17333" spans="5:9" ht="16.5" hidden="1">
      <c r="E17333" s="4" t="str">
        <v/>
      </c>
      <c r="F17333" s="102" t="str">
        <f ca="1">IFERROR(__xludf.DUMMYFUNCTION("IMPORTRANGE(H17333,""IDENTITAS UNIT!D9"")"),"#N/A")</f>
        <v>#N/A</v>
      </c>
      <c r="H17333" s="4" t="str">
        <v/>
      </c>
      <c r="I17333" s="4" t="str">
        <v/>
      </c>
    </row>
    <row r="17334" spans="5:9" ht="16.5" hidden="1">
      <c r="E17334" s="4" t="str">
        <v/>
      </c>
      <c r="F17334" s="102" t="str">
        <f ca="1">IFERROR(__xludf.DUMMYFUNCTION("IMPORTRANGE(H17334,""IDENTITAS UNIT!D9"")"),"#N/A")</f>
        <v>#N/A</v>
      </c>
      <c r="H17334" s="4" t="str">
        <v/>
      </c>
      <c r="I17334" s="4" t="str">
        <v/>
      </c>
    </row>
    <row r="17335" spans="5:9" ht="16.5" hidden="1">
      <c r="E17335" s="4" t="str">
        <v/>
      </c>
      <c r="F17335" s="102" t="str">
        <f ca="1">IFERROR(__xludf.DUMMYFUNCTION("IMPORTRANGE(H17335,""IDENTITAS UNIT!D9"")"),"#N/A")</f>
        <v>#N/A</v>
      </c>
      <c r="H17335" s="4" t="str">
        <v/>
      </c>
      <c r="I17335" s="4" t="str">
        <v/>
      </c>
    </row>
    <row r="17336" spans="5:9" ht="16.5" hidden="1">
      <c r="E17336" s="4" t="str">
        <v/>
      </c>
      <c r="F17336" s="102" t="str">
        <f ca="1">IFERROR(__xludf.DUMMYFUNCTION("IMPORTRANGE(H17336,""IDENTITAS UNIT!D9"")"),"#N/A")</f>
        <v>#N/A</v>
      </c>
      <c r="H17336" s="4" t="str">
        <v/>
      </c>
      <c r="I17336" s="4" t="str">
        <v/>
      </c>
    </row>
    <row r="17337" spans="5:9" ht="16.5" hidden="1">
      <c r="E17337" s="4" t="str">
        <v/>
      </c>
      <c r="F17337" s="102" t="str">
        <f ca="1">IFERROR(__xludf.DUMMYFUNCTION("IMPORTRANGE(H17337,""IDENTITAS UNIT!D9"")"),"#N/A")</f>
        <v>#N/A</v>
      </c>
      <c r="H17337" s="4" t="str">
        <v/>
      </c>
      <c r="I17337" s="4" t="str">
        <v/>
      </c>
    </row>
    <row r="17338" spans="5:9" ht="16.5" hidden="1">
      <c r="E17338" s="4" t="str">
        <v/>
      </c>
      <c r="F17338" s="102" t="str">
        <f ca="1">IFERROR(__xludf.DUMMYFUNCTION("IMPORTRANGE(H17338,""IDENTITAS UNIT!D9"")"),"#N/A")</f>
        <v>#N/A</v>
      </c>
      <c r="H17338" s="4" t="str">
        <v/>
      </c>
      <c r="I17338" s="4" t="str">
        <v/>
      </c>
    </row>
    <row r="17339" spans="5:9" ht="16.5" hidden="1">
      <c r="E17339" s="4" t="str">
        <v/>
      </c>
      <c r="F17339" s="102" t="str">
        <f ca="1">IFERROR(__xludf.DUMMYFUNCTION("IMPORTRANGE(H17339,""IDENTITAS UNIT!D9"")"),"#N/A")</f>
        <v>#N/A</v>
      </c>
      <c r="H17339" s="4" t="str">
        <v/>
      </c>
      <c r="I17339" s="4" t="str">
        <v/>
      </c>
    </row>
    <row r="17340" spans="5:9" ht="16.5" hidden="1">
      <c r="E17340" s="4" t="str">
        <v/>
      </c>
      <c r="F17340" s="102" t="str">
        <f ca="1">IFERROR(__xludf.DUMMYFUNCTION("IMPORTRANGE(H17340,""IDENTITAS UNIT!D9"")"),"#N/A")</f>
        <v>#N/A</v>
      </c>
      <c r="H17340" s="4" t="str">
        <v/>
      </c>
      <c r="I17340" s="4" t="str">
        <v/>
      </c>
    </row>
    <row r="17341" spans="5:9" ht="16.5" hidden="1">
      <c r="E17341" s="4" t="str">
        <v/>
      </c>
      <c r="F17341" s="102" t="str">
        <f ca="1">IFERROR(__xludf.DUMMYFUNCTION("IMPORTRANGE(H17341,""IDENTITAS UNIT!D9"")"),"#N/A")</f>
        <v>#N/A</v>
      </c>
      <c r="H17341" s="4" t="str">
        <v/>
      </c>
      <c r="I17341" s="4" t="str">
        <v/>
      </c>
    </row>
    <row r="17342" spans="5:9" ht="16.5" hidden="1">
      <c r="E17342" s="4" t="str">
        <v/>
      </c>
      <c r="F17342" s="102" t="str">
        <f ca="1">IFERROR(__xludf.DUMMYFUNCTION("IMPORTRANGE(H17342,""IDENTITAS UNIT!D9"")"),"#N/A")</f>
        <v>#N/A</v>
      </c>
      <c r="H17342" s="4" t="str">
        <v/>
      </c>
      <c r="I17342" s="4" t="str">
        <v/>
      </c>
    </row>
    <row r="17343" spans="5:9" ht="16.5" hidden="1">
      <c r="E17343" s="4" t="str">
        <v/>
      </c>
      <c r="F17343" s="102" t="str">
        <f ca="1">IFERROR(__xludf.DUMMYFUNCTION("IMPORTRANGE(H17343,""IDENTITAS UNIT!D9"")"),"#N/A")</f>
        <v>#N/A</v>
      </c>
      <c r="H17343" s="4" t="str">
        <v/>
      </c>
      <c r="I17343" s="4" t="str">
        <v/>
      </c>
    </row>
    <row r="17344" spans="5:9" ht="16.5" hidden="1">
      <c r="E17344" s="4" t="str">
        <v/>
      </c>
      <c r="F17344" s="102" t="str">
        <f ca="1">IFERROR(__xludf.DUMMYFUNCTION("IMPORTRANGE(H17344,""IDENTITAS UNIT!D9"")"),"#N/A")</f>
        <v>#N/A</v>
      </c>
      <c r="H17344" s="4" t="str">
        <v/>
      </c>
      <c r="I17344" s="4" t="str">
        <v/>
      </c>
    </row>
    <row r="17345" spans="5:9" ht="16.5" hidden="1">
      <c r="E17345" s="4" t="str">
        <v/>
      </c>
      <c r="F17345" s="102" t="str">
        <f ca="1">IFERROR(__xludf.DUMMYFUNCTION("IMPORTRANGE(H17345,""IDENTITAS UNIT!D9"")"),"#N/A")</f>
        <v>#N/A</v>
      </c>
      <c r="H17345" s="4" t="str">
        <v/>
      </c>
      <c r="I17345" s="4" t="str">
        <v/>
      </c>
    </row>
    <row r="17346" spans="5:9" ht="16.5" hidden="1">
      <c r="E17346" s="4" t="str">
        <v/>
      </c>
      <c r="F17346" s="102" t="str">
        <f ca="1">IFERROR(__xludf.DUMMYFUNCTION("IMPORTRANGE(H17346,""IDENTITAS UNIT!D9"")"),"#N/A")</f>
        <v>#N/A</v>
      </c>
      <c r="H17346" s="4" t="str">
        <v/>
      </c>
      <c r="I17346" s="4" t="str">
        <v/>
      </c>
    </row>
    <row r="17347" spans="5:9" ht="16.5" hidden="1">
      <c r="E17347" s="4" t="str">
        <v/>
      </c>
      <c r="F17347" s="102" t="str">
        <f ca="1">IFERROR(__xludf.DUMMYFUNCTION("IMPORTRANGE(H17347,""IDENTITAS UNIT!D9"")"),"#N/A")</f>
        <v>#N/A</v>
      </c>
      <c r="H17347" s="4" t="str">
        <v/>
      </c>
      <c r="I17347" s="4" t="str">
        <v/>
      </c>
    </row>
    <row r="17348" spans="5:9" ht="16.5" hidden="1">
      <c r="E17348" s="4" t="str">
        <v/>
      </c>
      <c r="F17348" s="102" t="str">
        <f ca="1">IFERROR(__xludf.DUMMYFUNCTION("IMPORTRANGE(H17348,""IDENTITAS UNIT!D9"")"),"#N/A")</f>
        <v>#N/A</v>
      </c>
      <c r="H17348" s="4" t="str">
        <v/>
      </c>
      <c r="I17348" s="4" t="str">
        <v/>
      </c>
    </row>
    <row r="17349" spans="5:9" ht="16.5" hidden="1">
      <c r="E17349" s="4" t="str">
        <v/>
      </c>
      <c r="F17349" s="102" t="str">
        <f ca="1">IFERROR(__xludf.DUMMYFUNCTION("IMPORTRANGE(H17349,""IDENTITAS UNIT!D9"")"),"#N/A")</f>
        <v>#N/A</v>
      </c>
      <c r="H17349" s="4" t="str">
        <v/>
      </c>
      <c r="I17349" s="4" t="str">
        <v/>
      </c>
    </row>
    <row r="17350" spans="5:9" ht="16.5" hidden="1">
      <c r="E17350" s="4" t="str">
        <v/>
      </c>
      <c r="F17350" s="102" t="str">
        <f ca="1">IFERROR(__xludf.DUMMYFUNCTION("IMPORTRANGE(H17350,""IDENTITAS UNIT!D9"")"),"#N/A")</f>
        <v>#N/A</v>
      </c>
      <c r="H17350" s="4" t="str">
        <v/>
      </c>
      <c r="I17350" s="4" t="str">
        <v/>
      </c>
    </row>
    <row r="17351" spans="5:9" ht="16.5" hidden="1">
      <c r="E17351" s="4" t="str">
        <v/>
      </c>
      <c r="F17351" s="102" t="str">
        <f ca="1">IFERROR(__xludf.DUMMYFUNCTION("IMPORTRANGE(H17351,""IDENTITAS UNIT!D9"")"),"#N/A")</f>
        <v>#N/A</v>
      </c>
      <c r="H17351" s="4" t="str">
        <v/>
      </c>
      <c r="I17351" s="4" t="str">
        <v/>
      </c>
    </row>
    <row r="17352" spans="5:9" ht="16.5" hidden="1">
      <c r="E17352" s="4" t="str">
        <v/>
      </c>
      <c r="F17352" s="102" t="str">
        <f ca="1">IFERROR(__xludf.DUMMYFUNCTION("IMPORTRANGE(H17352,""IDENTITAS UNIT!D9"")"),"#N/A")</f>
        <v>#N/A</v>
      </c>
      <c r="H17352" s="4" t="str">
        <v/>
      </c>
      <c r="I17352" s="4" t="str">
        <v/>
      </c>
    </row>
    <row r="17353" spans="5:9" ht="16.5" hidden="1">
      <c r="E17353" s="4" t="str">
        <v/>
      </c>
      <c r="F17353" s="102" t="str">
        <f ca="1">IFERROR(__xludf.DUMMYFUNCTION("IMPORTRANGE(H17353,""IDENTITAS UNIT!D9"")"),"#N/A")</f>
        <v>#N/A</v>
      </c>
      <c r="H17353" s="4" t="str">
        <v/>
      </c>
      <c r="I17353" s="4" t="str">
        <v/>
      </c>
    </row>
    <row r="17354" spans="5:9" ht="16.5" hidden="1">
      <c r="E17354" s="4" t="str">
        <v/>
      </c>
      <c r="F17354" s="102" t="str">
        <f ca="1">IFERROR(__xludf.DUMMYFUNCTION("IMPORTRANGE(H17354,""IDENTITAS UNIT!D9"")"),"#N/A")</f>
        <v>#N/A</v>
      </c>
      <c r="H17354" s="4" t="str">
        <v/>
      </c>
      <c r="I17354" s="4" t="str">
        <v/>
      </c>
    </row>
    <row r="17355" spans="5:9" ht="16.5" hidden="1">
      <c r="E17355" s="4" t="str">
        <v/>
      </c>
      <c r="F17355" s="102" t="str">
        <f ca="1">IFERROR(__xludf.DUMMYFUNCTION("IMPORTRANGE(H17355,""IDENTITAS UNIT!D9"")"),"#N/A")</f>
        <v>#N/A</v>
      </c>
      <c r="H17355" s="4" t="str">
        <v/>
      </c>
      <c r="I17355" s="4" t="str">
        <v/>
      </c>
    </row>
    <row r="17356" spans="5:9" ht="16.5" hidden="1">
      <c r="E17356" s="4" t="str">
        <v/>
      </c>
      <c r="F17356" s="102" t="str">
        <f ca="1">IFERROR(__xludf.DUMMYFUNCTION("IMPORTRANGE(H17356,""IDENTITAS UNIT!D9"")"),"#N/A")</f>
        <v>#N/A</v>
      </c>
      <c r="H17356" s="4" t="str">
        <v/>
      </c>
      <c r="I17356" s="4" t="str">
        <v/>
      </c>
    </row>
    <row r="17357" spans="5:9" ht="16.5" hidden="1">
      <c r="E17357" s="4" t="str">
        <v/>
      </c>
      <c r="F17357" s="102" t="str">
        <f ca="1">IFERROR(__xludf.DUMMYFUNCTION("IMPORTRANGE(H17357,""IDENTITAS UNIT!D9"")"),"#N/A")</f>
        <v>#N/A</v>
      </c>
      <c r="H17357" s="4" t="str">
        <v/>
      </c>
      <c r="I17357" s="4" t="str">
        <v/>
      </c>
    </row>
    <row r="17358" spans="5:9" ht="16.5" hidden="1">
      <c r="E17358" s="4" t="str">
        <v/>
      </c>
      <c r="F17358" s="102" t="str">
        <f ca="1">IFERROR(__xludf.DUMMYFUNCTION("IMPORTRANGE(H17358,""IDENTITAS UNIT!D9"")"),"#N/A")</f>
        <v>#N/A</v>
      </c>
      <c r="H17358" s="4" t="str">
        <v/>
      </c>
      <c r="I17358" s="4" t="str">
        <v/>
      </c>
    </row>
    <row r="17359" spans="5:9" ht="16.5" hidden="1">
      <c r="E17359" s="4" t="str">
        <v/>
      </c>
      <c r="F17359" s="102" t="str">
        <f ca="1">IFERROR(__xludf.DUMMYFUNCTION("IMPORTRANGE(H17359,""IDENTITAS UNIT!D9"")"),"#N/A")</f>
        <v>#N/A</v>
      </c>
      <c r="H17359" s="4" t="str">
        <v/>
      </c>
      <c r="I17359" s="4" t="str">
        <v/>
      </c>
    </row>
    <row r="17360" spans="5:9" ht="16.5" hidden="1">
      <c r="E17360" s="4" t="str">
        <v/>
      </c>
      <c r="F17360" s="102" t="str">
        <f ca="1">IFERROR(__xludf.DUMMYFUNCTION("IMPORTRANGE(H17360,""IDENTITAS UNIT!D9"")"),"#N/A")</f>
        <v>#N/A</v>
      </c>
      <c r="H17360" s="4" t="str">
        <v/>
      </c>
      <c r="I17360" s="4" t="str">
        <v/>
      </c>
    </row>
    <row r="17361" spans="5:9" ht="16.5" hidden="1">
      <c r="E17361" s="4" t="str">
        <v/>
      </c>
      <c r="F17361" s="102" t="str">
        <f ca="1">IFERROR(__xludf.DUMMYFUNCTION("IMPORTRANGE(H17361,""IDENTITAS UNIT!D9"")"),"#N/A")</f>
        <v>#N/A</v>
      </c>
      <c r="H17361" s="4" t="str">
        <v/>
      </c>
      <c r="I17361" s="4" t="str">
        <v/>
      </c>
    </row>
    <row r="17362" spans="5:9" ht="16.5" hidden="1">
      <c r="E17362" s="4" t="str">
        <v/>
      </c>
      <c r="F17362" s="102" t="str">
        <f ca="1">IFERROR(__xludf.DUMMYFUNCTION("IMPORTRANGE(H17362,""IDENTITAS UNIT!D9"")"),"#N/A")</f>
        <v>#N/A</v>
      </c>
      <c r="H17362" s="4" t="str">
        <v/>
      </c>
      <c r="I17362" s="4" t="str">
        <v/>
      </c>
    </row>
    <row r="17363" spans="5:9" ht="16.5" hidden="1">
      <c r="E17363" s="4" t="str">
        <v/>
      </c>
      <c r="F17363" s="102" t="str">
        <f ca="1">IFERROR(__xludf.DUMMYFUNCTION("IMPORTRANGE(H17363,""IDENTITAS UNIT!D9"")"),"#N/A")</f>
        <v>#N/A</v>
      </c>
      <c r="H17363" s="4" t="str">
        <v/>
      </c>
      <c r="I17363" s="4" t="str">
        <v/>
      </c>
    </row>
    <row r="17364" spans="5:9" ht="16.5" hidden="1">
      <c r="E17364" s="4" t="str">
        <v/>
      </c>
      <c r="F17364" s="102" t="str">
        <f ca="1">IFERROR(__xludf.DUMMYFUNCTION("IMPORTRANGE(H17364,""IDENTITAS UNIT!D9"")"),"#N/A")</f>
        <v>#N/A</v>
      </c>
      <c r="H17364" s="4" t="str">
        <v/>
      </c>
      <c r="I17364" s="4" t="str">
        <v/>
      </c>
    </row>
    <row r="17365" spans="5:9" ht="16.5" hidden="1">
      <c r="E17365" s="4" t="str">
        <v/>
      </c>
      <c r="F17365" s="102" t="str">
        <f ca="1">IFERROR(__xludf.DUMMYFUNCTION("IMPORTRANGE(H17365,""IDENTITAS UNIT!D9"")"),"#N/A")</f>
        <v>#N/A</v>
      </c>
      <c r="H17365" s="4" t="str">
        <v/>
      </c>
      <c r="I17365" s="4" t="str">
        <v/>
      </c>
    </row>
    <row r="17366" spans="5:9" ht="16.5" hidden="1">
      <c r="E17366" s="4" t="str">
        <v/>
      </c>
      <c r="F17366" s="102" t="str">
        <f ca="1">IFERROR(__xludf.DUMMYFUNCTION("IMPORTRANGE(H17366,""IDENTITAS UNIT!D9"")"),"#N/A")</f>
        <v>#N/A</v>
      </c>
      <c r="H17366" s="4" t="str">
        <v/>
      </c>
      <c r="I17366" s="4" t="str">
        <v/>
      </c>
    </row>
    <row r="17367" spans="5:9" ht="16.5" hidden="1">
      <c r="E17367" s="4" t="str">
        <v/>
      </c>
      <c r="F17367" s="102" t="str">
        <f ca="1">IFERROR(__xludf.DUMMYFUNCTION("IMPORTRANGE(H17367,""IDENTITAS UNIT!D9"")"),"#N/A")</f>
        <v>#N/A</v>
      </c>
      <c r="H17367" s="4" t="str">
        <v/>
      </c>
      <c r="I17367" s="4" t="str">
        <v/>
      </c>
    </row>
    <row r="17368" spans="5:9" ht="16.5" hidden="1">
      <c r="E17368" s="4" t="str">
        <v/>
      </c>
      <c r="F17368" s="102" t="str">
        <f ca="1">IFERROR(__xludf.DUMMYFUNCTION("IMPORTRANGE(H17368,""IDENTITAS UNIT!D9"")"),"#N/A")</f>
        <v>#N/A</v>
      </c>
      <c r="H17368" s="4" t="str">
        <v/>
      </c>
      <c r="I17368" s="4" t="str">
        <v/>
      </c>
    </row>
    <row r="17369" spans="5:9" ht="16.5" hidden="1">
      <c r="E17369" s="4" t="str">
        <v/>
      </c>
      <c r="F17369" s="102" t="str">
        <f ca="1">IFERROR(__xludf.DUMMYFUNCTION("IMPORTRANGE(H17369,""IDENTITAS UNIT!D9"")"),"#N/A")</f>
        <v>#N/A</v>
      </c>
      <c r="H17369" s="4" t="str">
        <v/>
      </c>
      <c r="I17369" s="4" t="str">
        <v/>
      </c>
    </row>
    <row r="17370" spans="5:9" ht="16.5" hidden="1">
      <c r="E17370" s="4" t="str">
        <v/>
      </c>
      <c r="F17370" s="102" t="str">
        <f ca="1">IFERROR(__xludf.DUMMYFUNCTION("IMPORTRANGE(H17370,""IDENTITAS UNIT!D9"")"),"#N/A")</f>
        <v>#N/A</v>
      </c>
      <c r="H17370" s="4" t="str">
        <v/>
      </c>
      <c r="I17370" s="4" t="str">
        <v/>
      </c>
    </row>
    <row r="17371" spans="5:9" ht="16.5" hidden="1">
      <c r="E17371" s="4" t="str">
        <v/>
      </c>
      <c r="F17371" s="102" t="str">
        <f ca="1">IFERROR(__xludf.DUMMYFUNCTION("IMPORTRANGE(H17371,""IDENTITAS UNIT!D9"")"),"#N/A")</f>
        <v>#N/A</v>
      </c>
      <c r="H17371" s="4" t="str">
        <v/>
      </c>
      <c r="I17371" s="4" t="str">
        <v/>
      </c>
    </row>
    <row r="17372" spans="5:9" ht="16.5" hidden="1">
      <c r="E17372" s="4" t="str">
        <v/>
      </c>
      <c r="F17372" s="102" t="str">
        <f ca="1">IFERROR(__xludf.DUMMYFUNCTION("IMPORTRANGE(H17372,""IDENTITAS UNIT!D9"")"),"#N/A")</f>
        <v>#N/A</v>
      </c>
      <c r="H17372" s="4" t="str">
        <v/>
      </c>
      <c r="I17372" s="4" t="str">
        <v/>
      </c>
    </row>
    <row r="17373" spans="5:9" ht="16.5" hidden="1">
      <c r="E17373" s="4" t="str">
        <v/>
      </c>
      <c r="F17373" s="102" t="str">
        <f ca="1">IFERROR(__xludf.DUMMYFUNCTION("IMPORTRANGE(H17373,""IDENTITAS UNIT!D9"")"),"#N/A")</f>
        <v>#N/A</v>
      </c>
      <c r="H17373" s="4" t="str">
        <v/>
      </c>
      <c r="I17373" s="4" t="str">
        <v/>
      </c>
    </row>
    <row r="17374" spans="5:9" ht="16.5" hidden="1">
      <c r="E17374" s="4" t="str">
        <v/>
      </c>
      <c r="F17374" s="102" t="str">
        <f ca="1">IFERROR(__xludf.DUMMYFUNCTION("IMPORTRANGE(H17374,""IDENTITAS UNIT!D9"")"),"#N/A")</f>
        <v>#N/A</v>
      </c>
      <c r="H17374" s="4" t="str">
        <v/>
      </c>
      <c r="I17374" s="4" t="str">
        <v/>
      </c>
    </row>
    <row r="17375" spans="5:9" ht="16.5" hidden="1">
      <c r="E17375" s="4" t="str">
        <v/>
      </c>
      <c r="F17375" s="102" t="str">
        <f ca="1">IFERROR(__xludf.DUMMYFUNCTION("IMPORTRANGE(H17375,""IDENTITAS UNIT!D9"")"),"#N/A")</f>
        <v>#N/A</v>
      </c>
      <c r="H17375" s="4" t="str">
        <v/>
      </c>
      <c r="I17375" s="4" t="str">
        <v/>
      </c>
    </row>
    <row r="17376" spans="5:9" ht="16.5" hidden="1">
      <c r="E17376" s="4" t="str">
        <v/>
      </c>
      <c r="F17376" s="102" t="str">
        <f ca="1">IFERROR(__xludf.DUMMYFUNCTION("IMPORTRANGE(H17376,""IDENTITAS UNIT!D9"")"),"#N/A")</f>
        <v>#N/A</v>
      </c>
      <c r="H17376" s="4" t="str">
        <v/>
      </c>
      <c r="I17376" s="4" t="str">
        <v/>
      </c>
    </row>
    <row r="17377" spans="5:9" ht="16.5" hidden="1">
      <c r="E17377" s="4" t="str">
        <v/>
      </c>
      <c r="F17377" s="102" t="str">
        <f ca="1">IFERROR(__xludf.DUMMYFUNCTION("IMPORTRANGE(H17377,""IDENTITAS UNIT!D9"")"),"#N/A")</f>
        <v>#N/A</v>
      </c>
      <c r="H17377" s="4" t="str">
        <v/>
      </c>
      <c r="I17377" s="4" t="str">
        <v/>
      </c>
    </row>
    <row r="17378" spans="5:9" ht="16.5" hidden="1">
      <c r="E17378" s="4" t="str">
        <v/>
      </c>
      <c r="F17378" s="102" t="str">
        <f ca="1">IFERROR(__xludf.DUMMYFUNCTION("IMPORTRANGE(H17378,""IDENTITAS UNIT!D9"")"),"#N/A")</f>
        <v>#N/A</v>
      </c>
      <c r="H17378" s="4" t="str">
        <v/>
      </c>
      <c r="I17378" s="4" t="str">
        <v/>
      </c>
    </row>
    <row r="17379" spans="5:9" ht="16.5" hidden="1">
      <c r="E17379" s="4" t="str">
        <v/>
      </c>
      <c r="F17379" s="102" t="str">
        <f ca="1">IFERROR(__xludf.DUMMYFUNCTION("IMPORTRANGE(H17379,""IDENTITAS UNIT!D9"")"),"#N/A")</f>
        <v>#N/A</v>
      </c>
      <c r="H17379" s="4" t="str">
        <v/>
      </c>
      <c r="I17379" s="4" t="str">
        <v/>
      </c>
    </row>
    <row r="17380" spans="5:9" ht="16.5" hidden="1">
      <c r="E17380" s="4" t="str">
        <v/>
      </c>
      <c r="F17380" s="102" t="str">
        <f ca="1">IFERROR(__xludf.DUMMYFUNCTION("IMPORTRANGE(H17380,""IDENTITAS UNIT!D9"")"),"#N/A")</f>
        <v>#N/A</v>
      </c>
      <c r="H17380" s="4" t="str">
        <v/>
      </c>
      <c r="I17380" s="4" t="str">
        <v/>
      </c>
    </row>
    <row r="17381" spans="5:9" ht="16.5" hidden="1">
      <c r="E17381" s="4" t="str">
        <v/>
      </c>
      <c r="F17381" s="102" t="str">
        <f ca="1">IFERROR(__xludf.DUMMYFUNCTION("IMPORTRANGE(H17381,""IDENTITAS UNIT!D9"")"),"#N/A")</f>
        <v>#N/A</v>
      </c>
      <c r="H17381" s="4" t="str">
        <v/>
      </c>
      <c r="I17381" s="4" t="str">
        <v/>
      </c>
    </row>
    <row r="17382" spans="5:9" ht="16.5" hidden="1">
      <c r="E17382" s="4" t="str">
        <v/>
      </c>
      <c r="F17382" s="102" t="str">
        <f ca="1">IFERROR(__xludf.DUMMYFUNCTION("IMPORTRANGE(H17382,""IDENTITAS UNIT!D9"")"),"#N/A")</f>
        <v>#N/A</v>
      </c>
      <c r="H17382" s="4" t="str">
        <v/>
      </c>
      <c r="I17382" s="4" t="str">
        <v/>
      </c>
    </row>
    <row r="17383" spans="5:9" ht="16.5" hidden="1">
      <c r="E17383" s="4" t="str">
        <v/>
      </c>
      <c r="F17383" s="102" t="str">
        <f ca="1">IFERROR(__xludf.DUMMYFUNCTION("IMPORTRANGE(H17383,""IDENTITAS UNIT!D9"")"),"#N/A")</f>
        <v>#N/A</v>
      </c>
      <c r="H17383" s="4" t="str">
        <v/>
      </c>
      <c r="I17383" s="4" t="str">
        <v/>
      </c>
    </row>
    <row r="17384" spans="5:9" ht="16.5" hidden="1">
      <c r="E17384" s="4" t="str">
        <v/>
      </c>
      <c r="F17384" s="102" t="str">
        <f ca="1">IFERROR(__xludf.DUMMYFUNCTION("IMPORTRANGE(H17384,""IDENTITAS UNIT!D9"")"),"#N/A")</f>
        <v>#N/A</v>
      </c>
      <c r="H17384" s="4" t="str">
        <v/>
      </c>
      <c r="I17384" s="4" t="str">
        <v/>
      </c>
    </row>
    <row r="17385" spans="5:9" ht="16.5" hidden="1">
      <c r="E17385" s="4" t="str">
        <v/>
      </c>
      <c r="F17385" s="102" t="str">
        <f ca="1">IFERROR(__xludf.DUMMYFUNCTION("IMPORTRANGE(H17385,""IDENTITAS UNIT!D9"")"),"#N/A")</f>
        <v>#N/A</v>
      </c>
      <c r="H17385" s="4" t="str">
        <v/>
      </c>
      <c r="I17385" s="4" t="str">
        <v/>
      </c>
    </row>
    <row r="17386" spans="5:9" ht="16.5" hidden="1">
      <c r="E17386" s="4" t="str">
        <v/>
      </c>
      <c r="F17386" s="102" t="str">
        <f ca="1">IFERROR(__xludf.DUMMYFUNCTION("IMPORTRANGE(H17386,""IDENTITAS UNIT!D9"")"),"#N/A")</f>
        <v>#N/A</v>
      </c>
      <c r="H17386" s="4" t="str">
        <v/>
      </c>
      <c r="I17386" s="4" t="str">
        <v/>
      </c>
    </row>
    <row r="17387" spans="5:9" ht="16.5" hidden="1">
      <c r="E17387" s="4" t="str">
        <v/>
      </c>
      <c r="F17387" s="102" t="str">
        <f ca="1">IFERROR(__xludf.DUMMYFUNCTION("IMPORTRANGE(H17387,""IDENTITAS UNIT!D9"")"),"#N/A")</f>
        <v>#N/A</v>
      </c>
      <c r="H17387" s="4" t="str">
        <v/>
      </c>
      <c r="I17387" s="4" t="str">
        <v/>
      </c>
    </row>
    <row r="17388" spans="5:9" ht="16.5" hidden="1">
      <c r="E17388" s="4" t="str">
        <v/>
      </c>
      <c r="F17388" s="102" t="str">
        <f ca="1">IFERROR(__xludf.DUMMYFUNCTION("IMPORTRANGE(H17388,""IDENTITAS UNIT!D9"")"),"#N/A")</f>
        <v>#N/A</v>
      </c>
      <c r="H17388" s="4" t="str">
        <v/>
      </c>
      <c r="I17388" s="4" t="str">
        <v/>
      </c>
    </row>
    <row r="17389" spans="5:9" ht="16.5" hidden="1">
      <c r="E17389" s="4" t="str">
        <v/>
      </c>
      <c r="F17389" s="102" t="str">
        <f ca="1">IFERROR(__xludf.DUMMYFUNCTION("IMPORTRANGE(H17389,""IDENTITAS UNIT!D9"")"),"#N/A")</f>
        <v>#N/A</v>
      </c>
      <c r="H17389" s="4" t="str">
        <v/>
      </c>
      <c r="I17389" s="4" t="str">
        <v/>
      </c>
    </row>
    <row r="17390" spans="5:9" ht="16.5" hidden="1">
      <c r="E17390" s="4" t="str">
        <v/>
      </c>
      <c r="F17390" s="102" t="str">
        <f ca="1">IFERROR(__xludf.DUMMYFUNCTION("IMPORTRANGE(H17390,""IDENTITAS UNIT!D9"")"),"#N/A")</f>
        <v>#N/A</v>
      </c>
      <c r="H17390" s="4" t="str">
        <v/>
      </c>
      <c r="I17390" s="4" t="str">
        <v/>
      </c>
    </row>
    <row r="17391" spans="5:9" ht="16.5" hidden="1">
      <c r="E17391" s="4" t="str">
        <v/>
      </c>
      <c r="F17391" s="102" t="str">
        <f ca="1">IFERROR(__xludf.DUMMYFUNCTION("IMPORTRANGE(H17391,""IDENTITAS UNIT!D9"")"),"#N/A")</f>
        <v>#N/A</v>
      </c>
      <c r="H17391" s="4" t="str">
        <v/>
      </c>
      <c r="I17391" s="4" t="str">
        <v/>
      </c>
    </row>
    <row r="17392" spans="5:9" ht="16.5" hidden="1">
      <c r="E17392" s="4" t="str">
        <v/>
      </c>
      <c r="F17392" s="102" t="str">
        <f ca="1">IFERROR(__xludf.DUMMYFUNCTION("IMPORTRANGE(H17392,""IDENTITAS UNIT!D9"")"),"#N/A")</f>
        <v>#N/A</v>
      </c>
      <c r="H17392" s="4" t="str">
        <v/>
      </c>
      <c r="I17392" s="4" t="str">
        <v/>
      </c>
    </row>
    <row r="17393" spans="5:9" ht="16.5" hidden="1">
      <c r="E17393" s="4" t="str">
        <v/>
      </c>
      <c r="F17393" s="102" t="str">
        <f ca="1">IFERROR(__xludf.DUMMYFUNCTION("IMPORTRANGE(H17393,""IDENTITAS UNIT!D9"")"),"#N/A")</f>
        <v>#N/A</v>
      </c>
      <c r="H17393" s="4" t="str">
        <v/>
      </c>
      <c r="I17393" s="4" t="str">
        <v/>
      </c>
    </row>
    <row r="17394" spans="5:9" ht="16.5" hidden="1">
      <c r="E17394" s="4" t="str">
        <v/>
      </c>
      <c r="F17394" s="102" t="str">
        <f ca="1">IFERROR(__xludf.DUMMYFUNCTION("IMPORTRANGE(H17394,""IDENTITAS UNIT!D9"")"),"#N/A")</f>
        <v>#N/A</v>
      </c>
      <c r="H17394" s="4" t="str">
        <v/>
      </c>
      <c r="I17394" s="4" t="str">
        <v/>
      </c>
    </row>
    <row r="17395" spans="5:9" ht="16.5" hidden="1">
      <c r="E17395" s="4" t="str">
        <v/>
      </c>
      <c r="F17395" s="102" t="str">
        <f ca="1">IFERROR(__xludf.DUMMYFUNCTION("IMPORTRANGE(H17395,""IDENTITAS UNIT!D9"")"),"#N/A")</f>
        <v>#N/A</v>
      </c>
      <c r="H17395" s="4" t="str">
        <v/>
      </c>
      <c r="I17395" s="4" t="str">
        <v/>
      </c>
    </row>
    <row r="17396" spans="5:9" ht="16.5" hidden="1">
      <c r="E17396" s="4" t="str">
        <v/>
      </c>
      <c r="F17396" s="102" t="str">
        <f ca="1">IFERROR(__xludf.DUMMYFUNCTION("IMPORTRANGE(H17396,""IDENTITAS UNIT!D9"")"),"#N/A")</f>
        <v>#N/A</v>
      </c>
      <c r="H17396" s="4" t="str">
        <v/>
      </c>
      <c r="I17396" s="4" t="str">
        <v/>
      </c>
    </row>
    <row r="17397" spans="5:9" ht="16.5" hidden="1">
      <c r="E17397" s="4" t="str">
        <v/>
      </c>
      <c r="F17397" s="102" t="str">
        <f ca="1">IFERROR(__xludf.DUMMYFUNCTION("IMPORTRANGE(H17397,""IDENTITAS UNIT!D9"")"),"#N/A")</f>
        <v>#N/A</v>
      </c>
      <c r="H17397" s="4" t="str">
        <v/>
      </c>
      <c r="I17397" s="4" t="str">
        <v/>
      </c>
    </row>
    <row r="17398" spans="5:9" ht="16.5" hidden="1">
      <c r="E17398" s="4" t="str">
        <v/>
      </c>
      <c r="F17398" s="102" t="str">
        <f ca="1">IFERROR(__xludf.DUMMYFUNCTION("IMPORTRANGE(H17398,""IDENTITAS UNIT!D9"")"),"#N/A")</f>
        <v>#N/A</v>
      </c>
      <c r="H17398" s="4" t="str">
        <v/>
      </c>
      <c r="I17398" s="4" t="str">
        <v/>
      </c>
    </row>
    <row r="17399" spans="5:9" ht="16.5" hidden="1">
      <c r="E17399" s="4" t="str">
        <v/>
      </c>
      <c r="F17399" s="102" t="str">
        <f ca="1">IFERROR(__xludf.DUMMYFUNCTION("IMPORTRANGE(H17399,""IDENTITAS UNIT!D9"")"),"#N/A")</f>
        <v>#N/A</v>
      </c>
      <c r="H17399" s="4" t="str">
        <v/>
      </c>
      <c r="I17399" s="4" t="str">
        <v/>
      </c>
    </row>
    <row r="17400" spans="5:9" ht="16.5" hidden="1">
      <c r="E17400" s="4" t="str">
        <v/>
      </c>
      <c r="F17400" s="102" t="str">
        <f ca="1">IFERROR(__xludf.DUMMYFUNCTION("IMPORTRANGE(H17400,""IDENTITAS UNIT!D9"")"),"#N/A")</f>
        <v>#N/A</v>
      </c>
      <c r="H17400" s="4" t="str">
        <v/>
      </c>
      <c r="I17400" s="4" t="str">
        <v/>
      </c>
    </row>
    <row r="17401" spans="5:9" ht="16.5" hidden="1">
      <c r="E17401" s="4" t="str">
        <v/>
      </c>
      <c r="F17401" s="102" t="str">
        <f ca="1">IFERROR(__xludf.DUMMYFUNCTION("IMPORTRANGE(H17401,""IDENTITAS UNIT!D9"")"),"#N/A")</f>
        <v>#N/A</v>
      </c>
      <c r="H17401" s="4" t="str">
        <v/>
      </c>
      <c r="I17401" s="4" t="str">
        <v/>
      </c>
    </row>
    <row r="17402" spans="5:9" ht="16.5" hidden="1">
      <c r="E17402" s="4" t="str">
        <v/>
      </c>
      <c r="F17402" s="102" t="str">
        <f ca="1">IFERROR(__xludf.DUMMYFUNCTION("IMPORTRANGE(H17402,""IDENTITAS UNIT!D9"")"),"#N/A")</f>
        <v>#N/A</v>
      </c>
      <c r="H17402" s="4" t="str">
        <v/>
      </c>
      <c r="I17402" s="4" t="str">
        <v/>
      </c>
    </row>
    <row r="17403" spans="5:9" ht="16.5" hidden="1">
      <c r="E17403" s="4" t="str">
        <v/>
      </c>
      <c r="F17403" s="102" t="str">
        <f ca="1">IFERROR(__xludf.DUMMYFUNCTION("IMPORTRANGE(H17403,""IDENTITAS UNIT!D9"")"),"#N/A")</f>
        <v>#N/A</v>
      </c>
      <c r="H17403" s="4" t="str">
        <v/>
      </c>
      <c r="I17403" s="4" t="str">
        <v/>
      </c>
    </row>
    <row r="17404" spans="5:9" ht="16.5" hidden="1">
      <c r="E17404" s="4" t="str">
        <v/>
      </c>
      <c r="F17404" s="102" t="str">
        <f ca="1">IFERROR(__xludf.DUMMYFUNCTION("IMPORTRANGE(H17404,""IDENTITAS UNIT!D9"")"),"#N/A")</f>
        <v>#N/A</v>
      </c>
      <c r="H17404" s="4" t="str">
        <v/>
      </c>
      <c r="I17404" s="4" t="str">
        <v/>
      </c>
    </row>
    <row r="17405" spans="5:9" ht="16.5" hidden="1">
      <c r="E17405" s="4" t="str">
        <v/>
      </c>
      <c r="F17405" s="102" t="str">
        <f ca="1">IFERROR(__xludf.DUMMYFUNCTION("IMPORTRANGE(H17405,""IDENTITAS UNIT!D9"")"),"#N/A")</f>
        <v>#N/A</v>
      </c>
      <c r="H17405" s="4" t="str">
        <v/>
      </c>
      <c r="I17405" s="4" t="str">
        <v/>
      </c>
    </row>
    <row r="17406" spans="5:9" ht="16.5" hidden="1">
      <c r="E17406" s="4" t="str">
        <v/>
      </c>
      <c r="F17406" s="102" t="str">
        <f ca="1">IFERROR(__xludf.DUMMYFUNCTION("IMPORTRANGE(H17406,""IDENTITAS UNIT!D9"")"),"#N/A")</f>
        <v>#N/A</v>
      </c>
      <c r="H17406" s="4" t="str">
        <v/>
      </c>
      <c r="I17406" s="4" t="str">
        <v/>
      </c>
    </row>
    <row r="17407" spans="5:9" ht="16.5" hidden="1">
      <c r="E17407" s="4" t="str">
        <v/>
      </c>
      <c r="F17407" s="102" t="str">
        <f ca="1">IFERROR(__xludf.DUMMYFUNCTION("IMPORTRANGE(H17407,""IDENTITAS UNIT!D9"")"),"#N/A")</f>
        <v>#N/A</v>
      </c>
      <c r="H17407" s="4" t="str">
        <v/>
      </c>
      <c r="I17407" s="4" t="str">
        <v/>
      </c>
    </row>
    <row r="17408" spans="5:9" ht="16.5" hidden="1">
      <c r="E17408" s="4" t="str">
        <v/>
      </c>
      <c r="F17408" s="102" t="str">
        <f ca="1">IFERROR(__xludf.DUMMYFUNCTION("IMPORTRANGE(H17408,""IDENTITAS UNIT!D9"")"),"#N/A")</f>
        <v>#N/A</v>
      </c>
      <c r="H17408" s="4" t="str">
        <v/>
      </c>
      <c r="I17408" s="4" t="str">
        <v/>
      </c>
    </row>
    <row r="17409" spans="5:9" ht="16.5" hidden="1">
      <c r="E17409" s="4" t="str">
        <v/>
      </c>
      <c r="F17409" s="102" t="str">
        <f ca="1">IFERROR(__xludf.DUMMYFUNCTION("IMPORTRANGE(H17409,""IDENTITAS UNIT!D9"")"),"#N/A")</f>
        <v>#N/A</v>
      </c>
      <c r="H17409" s="4" t="str">
        <v/>
      </c>
      <c r="I17409" s="4" t="str">
        <v/>
      </c>
    </row>
    <row r="17410" spans="5:9" ht="16.5" hidden="1">
      <c r="E17410" s="4" t="str">
        <v/>
      </c>
      <c r="F17410" s="102" t="str">
        <f ca="1">IFERROR(__xludf.DUMMYFUNCTION("IMPORTRANGE(H17410,""IDENTITAS UNIT!D9"")"),"#N/A")</f>
        <v>#N/A</v>
      </c>
      <c r="H17410" s="4" t="str">
        <v/>
      </c>
      <c r="I17410" s="4" t="str">
        <v/>
      </c>
    </row>
    <row r="17411" spans="5:9" ht="16.5" hidden="1">
      <c r="E17411" s="4" t="str">
        <v/>
      </c>
      <c r="F17411" s="102" t="str">
        <f ca="1">IFERROR(__xludf.DUMMYFUNCTION("IMPORTRANGE(H17411,""IDENTITAS UNIT!D9"")"),"#N/A")</f>
        <v>#N/A</v>
      </c>
      <c r="H17411" s="4" t="str">
        <v/>
      </c>
      <c r="I17411" s="4" t="str">
        <v/>
      </c>
    </row>
    <row r="17412" spans="5:9" ht="16.5" hidden="1">
      <c r="E17412" s="4" t="str">
        <v/>
      </c>
      <c r="F17412" s="102" t="str">
        <f ca="1">IFERROR(__xludf.DUMMYFUNCTION("IMPORTRANGE(H17412,""IDENTITAS UNIT!D9"")"),"#N/A")</f>
        <v>#N/A</v>
      </c>
      <c r="H17412" s="4" t="str">
        <v/>
      </c>
      <c r="I17412" s="4" t="str">
        <v/>
      </c>
    </row>
    <row r="17413" spans="5:9" ht="16.5" hidden="1">
      <c r="E17413" s="4" t="str">
        <v/>
      </c>
      <c r="F17413" s="102" t="str">
        <f ca="1">IFERROR(__xludf.DUMMYFUNCTION("IMPORTRANGE(H17413,""IDENTITAS UNIT!D9"")"),"#N/A")</f>
        <v>#N/A</v>
      </c>
      <c r="H17413" s="4" t="str">
        <v/>
      </c>
      <c r="I17413" s="4" t="str">
        <v/>
      </c>
    </row>
    <row r="17414" spans="5:9" ht="16.5" hidden="1">
      <c r="E17414" s="4" t="str">
        <v/>
      </c>
      <c r="F17414" s="102" t="str">
        <f ca="1">IFERROR(__xludf.DUMMYFUNCTION("IMPORTRANGE(H17414,""IDENTITAS UNIT!D9"")"),"#N/A")</f>
        <v>#N/A</v>
      </c>
      <c r="H17414" s="4" t="str">
        <v/>
      </c>
      <c r="I17414" s="4" t="str">
        <v/>
      </c>
    </row>
    <row r="17415" spans="5:9" ht="16.5" hidden="1">
      <c r="E17415" s="4" t="str">
        <v/>
      </c>
      <c r="F17415" s="102" t="str">
        <f ca="1">IFERROR(__xludf.DUMMYFUNCTION("IMPORTRANGE(H17415,""IDENTITAS UNIT!D9"")"),"#N/A")</f>
        <v>#N/A</v>
      </c>
      <c r="H17415" s="4" t="str">
        <v/>
      </c>
      <c r="I17415" s="4" t="str">
        <v/>
      </c>
    </row>
    <row r="17416" spans="5:9" ht="16.5" hidden="1">
      <c r="E17416" s="4" t="str">
        <v/>
      </c>
      <c r="F17416" s="102" t="str">
        <f ca="1">IFERROR(__xludf.DUMMYFUNCTION("IMPORTRANGE(H17416,""IDENTITAS UNIT!D9"")"),"#N/A")</f>
        <v>#N/A</v>
      </c>
      <c r="H17416" s="4" t="str">
        <v/>
      </c>
      <c r="I17416" s="4" t="str">
        <v/>
      </c>
    </row>
    <row r="17417" spans="5:9" ht="16.5" hidden="1">
      <c r="E17417" s="4" t="str">
        <v/>
      </c>
      <c r="F17417" s="102" t="str">
        <f ca="1">IFERROR(__xludf.DUMMYFUNCTION("IMPORTRANGE(H17417,""IDENTITAS UNIT!D9"")"),"#N/A")</f>
        <v>#N/A</v>
      </c>
      <c r="H17417" s="4" t="str">
        <v/>
      </c>
      <c r="I17417" s="4" t="str">
        <v/>
      </c>
    </row>
    <row r="17418" spans="5:9" ht="16.5" hidden="1">
      <c r="E17418" s="4" t="str">
        <v/>
      </c>
      <c r="F17418" s="102" t="str">
        <f ca="1">IFERROR(__xludf.DUMMYFUNCTION("IMPORTRANGE(H17418,""IDENTITAS UNIT!D9"")"),"#N/A")</f>
        <v>#N/A</v>
      </c>
      <c r="H17418" s="4" t="str">
        <v/>
      </c>
      <c r="I17418" s="4" t="str">
        <v/>
      </c>
    </row>
    <row r="17419" spans="5:9" ht="16.5" hidden="1">
      <c r="E17419" s="4" t="str">
        <v/>
      </c>
      <c r="F17419" s="102" t="str">
        <f ca="1">IFERROR(__xludf.DUMMYFUNCTION("IMPORTRANGE(H17419,""IDENTITAS UNIT!D9"")"),"#N/A")</f>
        <v>#N/A</v>
      </c>
      <c r="H17419" s="4" t="str">
        <v/>
      </c>
      <c r="I17419" s="4" t="str">
        <v/>
      </c>
    </row>
    <row r="17420" spans="5:9" ht="16.5" hidden="1">
      <c r="E17420" s="4" t="str">
        <v/>
      </c>
      <c r="F17420" s="102" t="str">
        <f ca="1">IFERROR(__xludf.DUMMYFUNCTION("IMPORTRANGE(H17420,""IDENTITAS UNIT!D9"")"),"#N/A")</f>
        <v>#N/A</v>
      </c>
      <c r="H17420" s="4" t="str">
        <v/>
      </c>
      <c r="I17420" s="4" t="str">
        <v/>
      </c>
    </row>
    <row r="17421" spans="5:9" ht="16.5" hidden="1">
      <c r="E17421" s="4" t="str">
        <v/>
      </c>
      <c r="F17421" s="102" t="str">
        <f ca="1">IFERROR(__xludf.DUMMYFUNCTION("IMPORTRANGE(H17421,""IDENTITAS UNIT!D9"")"),"#N/A")</f>
        <v>#N/A</v>
      </c>
      <c r="H17421" s="4" t="str">
        <v/>
      </c>
      <c r="I17421" s="4" t="str">
        <v/>
      </c>
    </row>
    <row r="17422" spans="5:9" ht="16.5" hidden="1">
      <c r="E17422" s="4" t="str">
        <v/>
      </c>
      <c r="F17422" s="102" t="str">
        <f ca="1">IFERROR(__xludf.DUMMYFUNCTION("IMPORTRANGE(H17422,""IDENTITAS UNIT!D9"")"),"#N/A")</f>
        <v>#N/A</v>
      </c>
      <c r="H17422" s="4" t="str">
        <v/>
      </c>
      <c r="I17422" s="4" t="str">
        <v/>
      </c>
    </row>
    <row r="17423" spans="5:9" ht="16.5" hidden="1">
      <c r="E17423" s="4" t="str">
        <v/>
      </c>
      <c r="F17423" s="102" t="str">
        <f ca="1">IFERROR(__xludf.DUMMYFUNCTION("IMPORTRANGE(H17423,""IDENTITAS UNIT!D9"")"),"#N/A")</f>
        <v>#N/A</v>
      </c>
      <c r="H17423" s="4" t="str">
        <v/>
      </c>
      <c r="I17423" s="4" t="str">
        <v/>
      </c>
    </row>
    <row r="17424" spans="5:9" ht="16.5" hidden="1">
      <c r="E17424" s="4" t="str">
        <v/>
      </c>
      <c r="F17424" s="102" t="str">
        <f ca="1">IFERROR(__xludf.DUMMYFUNCTION("IMPORTRANGE(H17424,""IDENTITAS UNIT!D9"")"),"#N/A")</f>
        <v>#N/A</v>
      </c>
      <c r="H17424" s="4" t="str">
        <v/>
      </c>
      <c r="I17424" s="4" t="str">
        <v/>
      </c>
    </row>
    <row r="17425" spans="5:9" ht="16.5" hidden="1">
      <c r="E17425" s="4" t="str">
        <v/>
      </c>
      <c r="F17425" s="102" t="str">
        <f ca="1">IFERROR(__xludf.DUMMYFUNCTION("IMPORTRANGE(H17425,""IDENTITAS UNIT!D9"")"),"#N/A")</f>
        <v>#N/A</v>
      </c>
      <c r="H17425" s="4" t="str">
        <v/>
      </c>
      <c r="I17425" s="4" t="str">
        <v/>
      </c>
    </row>
    <row r="17426" spans="5:9" ht="16.5" hidden="1">
      <c r="E17426" s="4" t="str">
        <v/>
      </c>
      <c r="F17426" s="102" t="str">
        <f ca="1">IFERROR(__xludf.DUMMYFUNCTION("IMPORTRANGE(H17426,""IDENTITAS UNIT!D9"")"),"#N/A")</f>
        <v>#N/A</v>
      </c>
      <c r="H17426" s="4" t="str">
        <v/>
      </c>
      <c r="I17426" s="4" t="str">
        <v/>
      </c>
    </row>
    <row r="17427" spans="5:9" ht="16.5" hidden="1">
      <c r="E17427" s="4" t="str">
        <v/>
      </c>
      <c r="F17427" s="102" t="str">
        <f ca="1">IFERROR(__xludf.DUMMYFUNCTION("IMPORTRANGE(H17427,""IDENTITAS UNIT!D9"")"),"#N/A")</f>
        <v>#N/A</v>
      </c>
      <c r="H17427" s="4" t="str">
        <v/>
      </c>
      <c r="I17427" s="4" t="str">
        <v/>
      </c>
    </row>
    <row r="17428" spans="5:9" ht="16.5" hidden="1">
      <c r="E17428" s="4" t="str">
        <v/>
      </c>
      <c r="F17428" s="102" t="str">
        <f ca="1">IFERROR(__xludf.DUMMYFUNCTION("IMPORTRANGE(H17428,""IDENTITAS UNIT!D9"")"),"#N/A")</f>
        <v>#N/A</v>
      </c>
      <c r="H17428" s="4" t="str">
        <v/>
      </c>
      <c r="I17428" s="4" t="str">
        <v/>
      </c>
    </row>
    <row r="17429" spans="5:9" ht="16.5" hidden="1">
      <c r="E17429" s="4" t="str">
        <v/>
      </c>
      <c r="F17429" s="102" t="str">
        <f ca="1">IFERROR(__xludf.DUMMYFUNCTION("IMPORTRANGE(H17429,""IDENTITAS UNIT!D9"")"),"#N/A")</f>
        <v>#N/A</v>
      </c>
      <c r="H17429" s="4" t="str">
        <v/>
      </c>
      <c r="I17429" s="4" t="str">
        <v/>
      </c>
    </row>
    <row r="17430" spans="5:9" ht="16.5" hidden="1">
      <c r="E17430" s="4" t="str">
        <v/>
      </c>
      <c r="F17430" s="102" t="str">
        <f ca="1">IFERROR(__xludf.DUMMYFUNCTION("IMPORTRANGE(H17430,""IDENTITAS UNIT!D9"")"),"#N/A")</f>
        <v>#N/A</v>
      </c>
      <c r="H17430" s="4" t="str">
        <v/>
      </c>
      <c r="I17430" s="4" t="str">
        <v/>
      </c>
    </row>
    <row r="17431" spans="5:9" ht="16.5" hidden="1">
      <c r="E17431" s="4" t="str">
        <v/>
      </c>
      <c r="F17431" s="102" t="str">
        <f ca="1">IFERROR(__xludf.DUMMYFUNCTION("IMPORTRANGE(H17431,""IDENTITAS UNIT!D9"")"),"#N/A")</f>
        <v>#N/A</v>
      </c>
      <c r="H17431" s="4" t="str">
        <v/>
      </c>
      <c r="I17431" s="4" t="str">
        <v/>
      </c>
    </row>
    <row r="17432" spans="5:9" ht="16.5" hidden="1">
      <c r="E17432" s="4" t="str">
        <v/>
      </c>
      <c r="F17432" s="102" t="str">
        <f ca="1">IFERROR(__xludf.DUMMYFUNCTION("IMPORTRANGE(H17432,""IDENTITAS UNIT!D9"")"),"#N/A")</f>
        <v>#N/A</v>
      </c>
      <c r="H17432" s="4" t="str">
        <v/>
      </c>
      <c r="I17432" s="4" t="str">
        <v/>
      </c>
    </row>
    <row r="17433" spans="5:9" ht="16.5" hidden="1">
      <c r="E17433" s="4" t="str">
        <v/>
      </c>
      <c r="F17433" s="102" t="str">
        <f ca="1">IFERROR(__xludf.DUMMYFUNCTION("IMPORTRANGE(H17433,""IDENTITAS UNIT!D9"")"),"#N/A")</f>
        <v>#N/A</v>
      </c>
      <c r="H17433" s="4" t="str">
        <v/>
      </c>
      <c r="I17433" s="4" t="str">
        <v/>
      </c>
    </row>
    <row r="17434" spans="5:9" ht="16.5" hidden="1">
      <c r="E17434" s="4" t="str">
        <v/>
      </c>
      <c r="F17434" s="102" t="str">
        <f ca="1">IFERROR(__xludf.DUMMYFUNCTION("IMPORTRANGE(H17434,""IDENTITAS UNIT!D9"")"),"#N/A")</f>
        <v>#N/A</v>
      </c>
      <c r="H17434" s="4" t="str">
        <v/>
      </c>
      <c r="I17434" s="4" t="str">
        <v/>
      </c>
    </row>
    <row r="17435" spans="5:9" ht="16.5" hidden="1">
      <c r="E17435" s="4" t="str">
        <v/>
      </c>
      <c r="F17435" s="102" t="str">
        <f ca="1">IFERROR(__xludf.DUMMYFUNCTION("IMPORTRANGE(H17435,""IDENTITAS UNIT!D9"")"),"#N/A")</f>
        <v>#N/A</v>
      </c>
      <c r="H17435" s="4" t="str">
        <v/>
      </c>
      <c r="I17435" s="4" t="str">
        <v/>
      </c>
    </row>
    <row r="17436" spans="5:9" ht="16.5" hidden="1">
      <c r="E17436" s="4" t="str">
        <v/>
      </c>
      <c r="F17436" s="102" t="str">
        <f ca="1">IFERROR(__xludf.DUMMYFUNCTION("IMPORTRANGE(H17436,""IDENTITAS UNIT!D9"")"),"#N/A")</f>
        <v>#N/A</v>
      </c>
      <c r="H17436" s="4" t="str">
        <v/>
      </c>
      <c r="I17436" s="4" t="str">
        <v/>
      </c>
    </row>
    <row r="17437" spans="5:9" ht="16.5" hidden="1">
      <c r="E17437" s="4" t="str">
        <v/>
      </c>
      <c r="F17437" s="102" t="str">
        <f ca="1">IFERROR(__xludf.DUMMYFUNCTION("IMPORTRANGE(H17437,""IDENTITAS UNIT!D9"")"),"#N/A")</f>
        <v>#N/A</v>
      </c>
      <c r="H17437" s="4" t="str">
        <v/>
      </c>
      <c r="I17437" s="4" t="str">
        <v/>
      </c>
    </row>
    <row r="17438" spans="5:9" ht="16.5" hidden="1">
      <c r="E17438" s="4" t="str">
        <v/>
      </c>
      <c r="F17438" s="102" t="str">
        <f ca="1">IFERROR(__xludf.DUMMYFUNCTION("IMPORTRANGE(H17438,""IDENTITAS UNIT!D9"")"),"#N/A")</f>
        <v>#N/A</v>
      </c>
      <c r="H17438" s="4" t="str">
        <v/>
      </c>
      <c r="I17438" s="4" t="str">
        <v/>
      </c>
    </row>
    <row r="17439" spans="5:9" ht="16.5" hidden="1">
      <c r="E17439" s="4" t="str">
        <v/>
      </c>
      <c r="F17439" s="102" t="str">
        <f ca="1">IFERROR(__xludf.DUMMYFUNCTION("IMPORTRANGE(H17439,""IDENTITAS UNIT!D9"")"),"#N/A")</f>
        <v>#N/A</v>
      </c>
      <c r="H17439" s="4" t="str">
        <v/>
      </c>
      <c r="I17439" s="4" t="str">
        <v/>
      </c>
    </row>
    <row r="17440" spans="5:9" ht="16.5" hidden="1">
      <c r="E17440" s="4" t="str">
        <v/>
      </c>
      <c r="F17440" s="102" t="str">
        <f ca="1">IFERROR(__xludf.DUMMYFUNCTION("IMPORTRANGE(H17440,""IDENTITAS UNIT!D9"")"),"#N/A")</f>
        <v>#N/A</v>
      </c>
      <c r="H17440" s="4" t="str">
        <v/>
      </c>
      <c r="I17440" s="4" t="str">
        <v/>
      </c>
    </row>
    <row r="17441" spans="5:9" ht="16.5" hidden="1">
      <c r="E17441" s="4" t="str">
        <v/>
      </c>
      <c r="F17441" s="102" t="str">
        <f ca="1">IFERROR(__xludf.DUMMYFUNCTION("IMPORTRANGE(H17441,""IDENTITAS UNIT!D9"")"),"#N/A")</f>
        <v>#N/A</v>
      </c>
      <c r="H17441" s="4" t="str">
        <v/>
      </c>
      <c r="I17441" s="4" t="str">
        <v/>
      </c>
    </row>
    <row r="17442" spans="5:9" ht="16.5" hidden="1">
      <c r="E17442" s="4" t="str">
        <v/>
      </c>
      <c r="F17442" s="102" t="str">
        <f ca="1">IFERROR(__xludf.DUMMYFUNCTION("IMPORTRANGE(H17442,""IDENTITAS UNIT!D9"")"),"#N/A")</f>
        <v>#N/A</v>
      </c>
      <c r="H17442" s="4" t="str">
        <v/>
      </c>
      <c r="I17442" s="4" t="str">
        <v/>
      </c>
    </row>
    <row r="17443" spans="5:9" ht="16.5" hidden="1">
      <c r="E17443" s="4" t="str">
        <v/>
      </c>
      <c r="F17443" s="102" t="str">
        <f ca="1">IFERROR(__xludf.DUMMYFUNCTION("IMPORTRANGE(H17443,""IDENTITAS UNIT!D9"")"),"#N/A")</f>
        <v>#N/A</v>
      </c>
      <c r="H17443" s="4" t="str">
        <v/>
      </c>
      <c r="I17443" s="4" t="str">
        <v/>
      </c>
    </row>
    <row r="17444" spans="5:9" ht="16.5" hidden="1">
      <c r="E17444" s="4" t="str">
        <v/>
      </c>
      <c r="F17444" s="102" t="str">
        <f ca="1">IFERROR(__xludf.DUMMYFUNCTION("IMPORTRANGE(H17444,""IDENTITAS UNIT!D9"")"),"#N/A")</f>
        <v>#N/A</v>
      </c>
      <c r="H17444" s="4" t="str">
        <v/>
      </c>
      <c r="I17444" s="4" t="str">
        <v/>
      </c>
    </row>
    <row r="17445" spans="5:9" ht="16.5" hidden="1">
      <c r="E17445" s="4" t="str">
        <v/>
      </c>
      <c r="F17445" s="102" t="str">
        <f ca="1">IFERROR(__xludf.DUMMYFUNCTION("IMPORTRANGE(H17445,""IDENTITAS UNIT!D9"")"),"#N/A")</f>
        <v>#N/A</v>
      </c>
      <c r="H17445" s="4" t="str">
        <v/>
      </c>
      <c r="I17445" s="4" t="str">
        <v/>
      </c>
    </row>
    <row r="17446" spans="5:9" ht="16.5" hidden="1">
      <c r="E17446" s="4" t="str">
        <v/>
      </c>
      <c r="F17446" s="102" t="str">
        <f ca="1">IFERROR(__xludf.DUMMYFUNCTION("IMPORTRANGE(H17446,""IDENTITAS UNIT!D9"")"),"#N/A")</f>
        <v>#N/A</v>
      </c>
      <c r="H17446" s="4" t="str">
        <v/>
      </c>
      <c r="I17446" s="4" t="str">
        <v/>
      </c>
    </row>
    <row r="17447" spans="5:9" ht="16.5" hidden="1">
      <c r="E17447" s="4" t="str">
        <v/>
      </c>
      <c r="F17447" s="102" t="str">
        <f ca="1">IFERROR(__xludf.DUMMYFUNCTION("IMPORTRANGE(H17447,""IDENTITAS UNIT!D9"")"),"#N/A")</f>
        <v>#N/A</v>
      </c>
      <c r="H17447" s="4" t="str">
        <v/>
      </c>
      <c r="I17447" s="4" t="str">
        <v/>
      </c>
    </row>
    <row r="17448" spans="5:9" ht="16.5" hidden="1">
      <c r="E17448" s="4" t="str">
        <v/>
      </c>
      <c r="F17448" s="102" t="str">
        <f ca="1">IFERROR(__xludf.DUMMYFUNCTION("IMPORTRANGE(H17448,""IDENTITAS UNIT!D9"")"),"#N/A")</f>
        <v>#N/A</v>
      </c>
      <c r="H17448" s="4" t="str">
        <v/>
      </c>
      <c r="I17448" s="4" t="str">
        <v/>
      </c>
    </row>
    <row r="17449" spans="5:9" ht="16.5" hidden="1">
      <c r="E17449" s="4" t="str">
        <v/>
      </c>
      <c r="F17449" s="102" t="str">
        <f ca="1">IFERROR(__xludf.DUMMYFUNCTION("IMPORTRANGE(H17449,""IDENTITAS UNIT!D9"")"),"#N/A")</f>
        <v>#N/A</v>
      </c>
      <c r="H17449" s="4" t="str">
        <v/>
      </c>
      <c r="I17449" s="4" t="str">
        <v/>
      </c>
    </row>
    <row r="17450" spans="5:9" ht="16.5" hidden="1">
      <c r="E17450" s="4" t="str">
        <v/>
      </c>
      <c r="F17450" s="102" t="str">
        <f ca="1">IFERROR(__xludf.DUMMYFUNCTION("IMPORTRANGE(H17450,""IDENTITAS UNIT!D9"")"),"#N/A")</f>
        <v>#N/A</v>
      </c>
      <c r="H17450" s="4" t="str">
        <v/>
      </c>
      <c r="I17450" s="4" t="str">
        <v/>
      </c>
    </row>
    <row r="17451" spans="5:9" ht="16.5" hidden="1">
      <c r="E17451" s="4" t="str">
        <v/>
      </c>
      <c r="F17451" s="102" t="str">
        <f ca="1">IFERROR(__xludf.DUMMYFUNCTION("IMPORTRANGE(H17451,""IDENTITAS UNIT!D9"")"),"#N/A")</f>
        <v>#N/A</v>
      </c>
      <c r="H17451" s="4" t="str">
        <v/>
      </c>
      <c r="I17451" s="4" t="str">
        <v/>
      </c>
    </row>
    <row r="17452" spans="5:9" ht="16.5" hidden="1">
      <c r="E17452" s="4" t="str">
        <v/>
      </c>
      <c r="F17452" s="102" t="str">
        <f ca="1">IFERROR(__xludf.DUMMYFUNCTION("IMPORTRANGE(H17452,""IDENTITAS UNIT!D9"")"),"#N/A")</f>
        <v>#N/A</v>
      </c>
      <c r="H17452" s="4" t="str">
        <v/>
      </c>
      <c r="I17452" s="4" t="str">
        <v/>
      </c>
    </row>
    <row r="17453" spans="5:9" ht="16.5" hidden="1">
      <c r="E17453" s="4" t="str">
        <v/>
      </c>
      <c r="F17453" s="102" t="str">
        <f ca="1">IFERROR(__xludf.DUMMYFUNCTION("IMPORTRANGE(H17453,""IDENTITAS UNIT!D9"")"),"#N/A")</f>
        <v>#N/A</v>
      </c>
      <c r="H17453" s="4" t="str">
        <v/>
      </c>
      <c r="I17453" s="4" t="str">
        <v/>
      </c>
    </row>
    <row r="17454" spans="5:9" ht="16.5" hidden="1">
      <c r="E17454" s="4" t="str">
        <v/>
      </c>
      <c r="F17454" s="102" t="str">
        <f ca="1">IFERROR(__xludf.DUMMYFUNCTION("IMPORTRANGE(H17454,""IDENTITAS UNIT!D9"")"),"#N/A")</f>
        <v>#N/A</v>
      </c>
      <c r="H17454" s="4" t="str">
        <v/>
      </c>
      <c r="I17454" s="4" t="str">
        <v/>
      </c>
    </row>
    <row r="17455" spans="5:9" ht="16.5" hidden="1">
      <c r="E17455" s="4" t="str">
        <v/>
      </c>
      <c r="F17455" s="102" t="str">
        <f ca="1">IFERROR(__xludf.DUMMYFUNCTION("IMPORTRANGE(H17455,""IDENTITAS UNIT!D9"")"),"#N/A")</f>
        <v>#N/A</v>
      </c>
      <c r="H17455" s="4" t="str">
        <v/>
      </c>
      <c r="I17455" s="4" t="str">
        <v/>
      </c>
    </row>
    <row r="17456" spans="5:9" ht="16.5" hidden="1">
      <c r="E17456" s="4" t="str">
        <v/>
      </c>
      <c r="F17456" s="102" t="str">
        <f ca="1">IFERROR(__xludf.DUMMYFUNCTION("IMPORTRANGE(H17456,""IDENTITAS UNIT!D9"")"),"#N/A")</f>
        <v>#N/A</v>
      </c>
      <c r="H17456" s="4" t="str">
        <v/>
      </c>
      <c r="I17456" s="4" t="str">
        <v/>
      </c>
    </row>
    <row r="17457" spans="5:9" ht="16.5" hidden="1">
      <c r="E17457" s="4" t="str">
        <v/>
      </c>
      <c r="F17457" s="102" t="str">
        <f ca="1">IFERROR(__xludf.DUMMYFUNCTION("IMPORTRANGE(H17457,""IDENTITAS UNIT!D9"")"),"#N/A")</f>
        <v>#N/A</v>
      </c>
      <c r="H17457" s="4" t="str">
        <v/>
      </c>
      <c r="I17457" s="4" t="str">
        <v/>
      </c>
    </row>
    <row r="17458" spans="5:9" ht="16.5" hidden="1">
      <c r="E17458" s="4" t="str">
        <v/>
      </c>
      <c r="F17458" s="102" t="str">
        <f ca="1">IFERROR(__xludf.DUMMYFUNCTION("IMPORTRANGE(H17458,""IDENTITAS UNIT!D9"")"),"#N/A")</f>
        <v>#N/A</v>
      </c>
      <c r="H17458" s="4" t="str">
        <v/>
      </c>
      <c r="I17458" s="4" t="str">
        <v/>
      </c>
    </row>
    <row r="17459" spans="5:9" ht="16.5" hidden="1">
      <c r="E17459" s="4" t="str">
        <v/>
      </c>
      <c r="F17459" s="102" t="str">
        <f ca="1">IFERROR(__xludf.DUMMYFUNCTION("IMPORTRANGE(H17459,""IDENTITAS UNIT!D9"")"),"#N/A")</f>
        <v>#N/A</v>
      </c>
      <c r="H17459" s="4" t="str">
        <v/>
      </c>
      <c r="I17459" s="4" t="str">
        <v/>
      </c>
    </row>
    <row r="17460" spans="5:9" ht="16.5" hidden="1">
      <c r="E17460" s="4" t="str">
        <v/>
      </c>
      <c r="F17460" s="102" t="str">
        <f ca="1">IFERROR(__xludf.DUMMYFUNCTION("IMPORTRANGE(H17460,""IDENTITAS UNIT!D9"")"),"#N/A")</f>
        <v>#N/A</v>
      </c>
      <c r="H17460" s="4" t="str">
        <v/>
      </c>
      <c r="I17460" s="4" t="str">
        <v/>
      </c>
    </row>
    <row r="17461" spans="5:9" ht="16.5" hidden="1">
      <c r="E17461" s="4" t="str">
        <v/>
      </c>
      <c r="F17461" s="102" t="str">
        <f ca="1">IFERROR(__xludf.DUMMYFUNCTION("IMPORTRANGE(H17461,""IDENTITAS UNIT!D9"")"),"#N/A")</f>
        <v>#N/A</v>
      </c>
      <c r="H17461" s="4" t="str">
        <v/>
      </c>
      <c r="I17461" s="4" t="str">
        <v/>
      </c>
    </row>
    <row r="17462" spans="5:9" ht="16.5" hidden="1">
      <c r="E17462" s="4" t="str">
        <v/>
      </c>
      <c r="F17462" s="102" t="str">
        <f ca="1">IFERROR(__xludf.DUMMYFUNCTION("IMPORTRANGE(H17462,""IDENTITAS UNIT!D9"")"),"#N/A")</f>
        <v>#N/A</v>
      </c>
      <c r="H17462" s="4" t="str">
        <v/>
      </c>
      <c r="I17462" s="4" t="str">
        <v/>
      </c>
    </row>
    <row r="17463" spans="5:9" ht="16.5" hidden="1">
      <c r="E17463" s="4" t="str">
        <v/>
      </c>
      <c r="F17463" s="102" t="str">
        <f ca="1">IFERROR(__xludf.DUMMYFUNCTION("IMPORTRANGE(H17463,""IDENTITAS UNIT!D9"")"),"#N/A")</f>
        <v>#N/A</v>
      </c>
      <c r="H17463" s="4" t="str">
        <v/>
      </c>
      <c r="I17463" s="4" t="str">
        <v/>
      </c>
    </row>
    <row r="17464" spans="5:9" ht="16.5" hidden="1">
      <c r="E17464" s="4" t="str">
        <v/>
      </c>
      <c r="F17464" s="102" t="str">
        <f ca="1">IFERROR(__xludf.DUMMYFUNCTION("IMPORTRANGE(H17464,""IDENTITAS UNIT!D9"")"),"#N/A")</f>
        <v>#N/A</v>
      </c>
      <c r="H17464" s="4" t="str">
        <v/>
      </c>
      <c r="I17464" s="4" t="str">
        <v/>
      </c>
    </row>
    <row r="17465" spans="5:9" ht="16.5" hidden="1">
      <c r="E17465" s="4" t="str">
        <v/>
      </c>
      <c r="F17465" s="102" t="str">
        <f ca="1">IFERROR(__xludf.DUMMYFUNCTION("IMPORTRANGE(H17465,""IDENTITAS UNIT!D9"")"),"#N/A")</f>
        <v>#N/A</v>
      </c>
      <c r="H17465" s="4" t="str">
        <v/>
      </c>
      <c r="I17465" s="4" t="str">
        <v/>
      </c>
    </row>
    <row r="17466" spans="5:9" ht="16.5" hidden="1">
      <c r="E17466" s="4" t="str">
        <v/>
      </c>
      <c r="F17466" s="102" t="str">
        <f ca="1">IFERROR(__xludf.DUMMYFUNCTION("IMPORTRANGE(H17466,""IDENTITAS UNIT!D9"")"),"#N/A")</f>
        <v>#N/A</v>
      </c>
      <c r="H17466" s="4" t="str">
        <v/>
      </c>
      <c r="I17466" s="4" t="str">
        <v/>
      </c>
    </row>
    <row r="17467" spans="5:9" ht="16.5" hidden="1">
      <c r="E17467" s="4" t="str">
        <v/>
      </c>
      <c r="F17467" s="102" t="str">
        <f ca="1">IFERROR(__xludf.DUMMYFUNCTION("IMPORTRANGE(H17467,""IDENTITAS UNIT!D9"")"),"#N/A")</f>
        <v>#N/A</v>
      </c>
      <c r="H17467" s="4" t="str">
        <v/>
      </c>
      <c r="I17467" s="4" t="str">
        <v/>
      </c>
    </row>
    <row r="17468" spans="5:9" ht="16.5" hidden="1">
      <c r="E17468" s="4" t="str">
        <v/>
      </c>
      <c r="F17468" s="102" t="str">
        <f ca="1">IFERROR(__xludf.DUMMYFUNCTION("IMPORTRANGE(H17468,""IDENTITAS UNIT!D9"")"),"#N/A")</f>
        <v>#N/A</v>
      </c>
      <c r="H17468" s="4" t="str">
        <v/>
      </c>
      <c r="I17468" s="4" t="str">
        <v/>
      </c>
    </row>
    <row r="17469" spans="5:9" ht="16.5" hidden="1">
      <c r="E17469" s="4" t="str">
        <v/>
      </c>
      <c r="F17469" s="102" t="str">
        <f ca="1">IFERROR(__xludf.DUMMYFUNCTION("IMPORTRANGE(H17469,""IDENTITAS UNIT!D9"")"),"#N/A")</f>
        <v>#N/A</v>
      </c>
      <c r="H17469" s="4" t="str">
        <v/>
      </c>
      <c r="I17469" s="4" t="str">
        <v/>
      </c>
    </row>
    <row r="17470" spans="5:9" ht="16.5" hidden="1">
      <c r="E17470" s="4" t="str">
        <v/>
      </c>
      <c r="F17470" s="102" t="str">
        <f ca="1">IFERROR(__xludf.DUMMYFUNCTION("IMPORTRANGE(H17470,""IDENTITAS UNIT!D9"")"),"#N/A")</f>
        <v>#N/A</v>
      </c>
      <c r="H17470" s="4" t="str">
        <v/>
      </c>
      <c r="I17470" s="4" t="str">
        <v/>
      </c>
    </row>
    <row r="17471" spans="5:9" ht="16.5" hidden="1">
      <c r="E17471" s="4" t="str">
        <v/>
      </c>
      <c r="F17471" s="102" t="str">
        <f ca="1">IFERROR(__xludf.DUMMYFUNCTION("IMPORTRANGE(H17471,""IDENTITAS UNIT!D9"")"),"#N/A")</f>
        <v>#N/A</v>
      </c>
      <c r="H17471" s="4" t="str">
        <v/>
      </c>
      <c r="I17471" s="4" t="str">
        <v/>
      </c>
    </row>
    <row r="17472" spans="5:9" ht="16.5" hidden="1">
      <c r="E17472" s="4" t="str">
        <v/>
      </c>
      <c r="F17472" s="102" t="str">
        <f ca="1">IFERROR(__xludf.DUMMYFUNCTION("IMPORTRANGE(H17472,""IDENTITAS UNIT!D9"")"),"#N/A")</f>
        <v>#N/A</v>
      </c>
      <c r="H17472" s="4" t="str">
        <v/>
      </c>
      <c r="I17472" s="4" t="str">
        <v/>
      </c>
    </row>
    <row r="17473" spans="5:9" ht="16.5" hidden="1">
      <c r="E17473" s="4" t="str">
        <v/>
      </c>
      <c r="F17473" s="102" t="str">
        <f ca="1">IFERROR(__xludf.DUMMYFUNCTION("IMPORTRANGE(H17473,""IDENTITAS UNIT!D9"")"),"#N/A")</f>
        <v>#N/A</v>
      </c>
      <c r="H17473" s="4" t="str">
        <v/>
      </c>
      <c r="I17473" s="4" t="str">
        <v/>
      </c>
    </row>
    <row r="17474" spans="5:9" ht="16.5" hidden="1">
      <c r="E17474" s="4" t="str">
        <v/>
      </c>
      <c r="F17474" s="102" t="str">
        <f ca="1">IFERROR(__xludf.DUMMYFUNCTION("IMPORTRANGE(H17474,""IDENTITAS UNIT!D9"")"),"#N/A")</f>
        <v>#N/A</v>
      </c>
      <c r="H17474" s="4" t="str">
        <v/>
      </c>
      <c r="I17474" s="4" t="str">
        <v/>
      </c>
    </row>
    <row r="17475" spans="5:9" ht="16.5" hidden="1">
      <c r="E17475" s="4" t="str">
        <v/>
      </c>
      <c r="F17475" s="102" t="str">
        <f ca="1">IFERROR(__xludf.DUMMYFUNCTION("IMPORTRANGE(H17475,""IDENTITAS UNIT!D9"")"),"#N/A")</f>
        <v>#N/A</v>
      </c>
      <c r="H17475" s="4" t="str">
        <v/>
      </c>
      <c r="I17475" s="4" t="str">
        <v/>
      </c>
    </row>
    <row r="17476" spans="5:9" ht="16.5" hidden="1">
      <c r="E17476" s="4" t="str">
        <v/>
      </c>
      <c r="F17476" s="102" t="str">
        <f ca="1">IFERROR(__xludf.DUMMYFUNCTION("IMPORTRANGE(H17476,""IDENTITAS UNIT!D9"")"),"#N/A")</f>
        <v>#N/A</v>
      </c>
      <c r="H17476" s="4" t="str">
        <v/>
      </c>
      <c r="I17476" s="4" t="str">
        <v/>
      </c>
    </row>
    <row r="17477" spans="5:9" ht="16.5" hidden="1">
      <c r="E17477" s="4" t="str">
        <v/>
      </c>
      <c r="F17477" s="102" t="str">
        <f ca="1">IFERROR(__xludf.DUMMYFUNCTION("IMPORTRANGE(H17477,""IDENTITAS UNIT!D9"")"),"#N/A")</f>
        <v>#N/A</v>
      </c>
      <c r="H17477" s="4" t="str">
        <v/>
      </c>
      <c r="I17477" s="4" t="str">
        <v/>
      </c>
    </row>
    <row r="17478" spans="5:9" ht="16.5" hidden="1">
      <c r="E17478" s="4" t="str">
        <v/>
      </c>
      <c r="F17478" s="102" t="str">
        <f ca="1">IFERROR(__xludf.DUMMYFUNCTION("IMPORTRANGE(H17478,""IDENTITAS UNIT!D9"")"),"#N/A")</f>
        <v>#N/A</v>
      </c>
      <c r="H17478" s="4" t="str">
        <v/>
      </c>
      <c r="I17478" s="4" t="str">
        <v/>
      </c>
    </row>
    <row r="17479" spans="5:9" ht="16.5" hidden="1">
      <c r="E17479" s="4" t="str">
        <v/>
      </c>
      <c r="F17479" s="102" t="str">
        <f ca="1">IFERROR(__xludf.DUMMYFUNCTION("IMPORTRANGE(H17479,""IDENTITAS UNIT!D9"")"),"#N/A")</f>
        <v>#N/A</v>
      </c>
      <c r="H17479" s="4" t="str">
        <v/>
      </c>
      <c r="I17479" s="4" t="str">
        <v/>
      </c>
    </row>
    <row r="17480" spans="5:9" ht="16.5" hidden="1">
      <c r="E17480" s="4" t="str">
        <v/>
      </c>
      <c r="F17480" s="102" t="str">
        <f ca="1">IFERROR(__xludf.DUMMYFUNCTION("IMPORTRANGE(H17480,""IDENTITAS UNIT!D9"")"),"#N/A")</f>
        <v>#N/A</v>
      </c>
      <c r="H17480" s="4" t="str">
        <v/>
      </c>
      <c r="I17480" s="4" t="str">
        <v/>
      </c>
    </row>
    <row r="17481" spans="5:9" ht="16.5" hidden="1">
      <c r="E17481" s="4" t="str">
        <v/>
      </c>
      <c r="F17481" s="102" t="str">
        <f ca="1">IFERROR(__xludf.DUMMYFUNCTION("IMPORTRANGE(H17481,""IDENTITAS UNIT!D9"")"),"#N/A")</f>
        <v>#N/A</v>
      </c>
      <c r="H17481" s="4" t="str">
        <v/>
      </c>
      <c r="I17481" s="4" t="str">
        <v/>
      </c>
    </row>
    <row r="17482" spans="5:9" ht="16.5" hidden="1">
      <c r="E17482" s="4" t="str">
        <v/>
      </c>
      <c r="F17482" s="102" t="str">
        <f ca="1">IFERROR(__xludf.DUMMYFUNCTION("IMPORTRANGE(H17482,""IDENTITAS UNIT!D9"")"),"#N/A")</f>
        <v>#N/A</v>
      </c>
      <c r="H17482" s="4" t="str">
        <v/>
      </c>
      <c r="I17482" s="4" t="str">
        <v/>
      </c>
    </row>
    <row r="17483" spans="5:9" ht="16.5" hidden="1">
      <c r="E17483" s="4" t="str">
        <v/>
      </c>
      <c r="F17483" s="102" t="str">
        <f ca="1">IFERROR(__xludf.DUMMYFUNCTION("IMPORTRANGE(H17483,""IDENTITAS UNIT!D9"")"),"#N/A")</f>
        <v>#N/A</v>
      </c>
      <c r="H17483" s="4" t="str">
        <v/>
      </c>
      <c r="I17483" s="4" t="str">
        <v/>
      </c>
    </row>
    <row r="17484" spans="5:9" ht="16.5" hidden="1">
      <c r="E17484" s="4" t="str">
        <v/>
      </c>
      <c r="F17484" s="102" t="str">
        <f ca="1">IFERROR(__xludf.DUMMYFUNCTION("IMPORTRANGE(H17484,""IDENTITAS UNIT!D9"")"),"#N/A")</f>
        <v>#N/A</v>
      </c>
      <c r="H17484" s="4" t="str">
        <v/>
      </c>
      <c r="I17484" s="4" t="str">
        <v/>
      </c>
    </row>
    <row r="17485" spans="5:9" ht="16.5" hidden="1">
      <c r="E17485" s="4" t="str">
        <v/>
      </c>
      <c r="F17485" s="102" t="str">
        <f ca="1">IFERROR(__xludf.DUMMYFUNCTION("IMPORTRANGE(H17485,""IDENTITAS UNIT!D9"")"),"#N/A")</f>
        <v>#N/A</v>
      </c>
      <c r="H17485" s="4" t="str">
        <v/>
      </c>
      <c r="I17485" s="4" t="str">
        <v/>
      </c>
    </row>
    <row r="17486" spans="5:9" ht="16.5" hidden="1">
      <c r="E17486" s="4" t="str">
        <v/>
      </c>
      <c r="F17486" s="102" t="str">
        <f ca="1">IFERROR(__xludf.DUMMYFUNCTION("IMPORTRANGE(H17486,""IDENTITAS UNIT!D9"")"),"#N/A")</f>
        <v>#N/A</v>
      </c>
      <c r="H17486" s="4" t="str">
        <v/>
      </c>
      <c r="I17486" s="4" t="str">
        <v/>
      </c>
    </row>
    <row r="17487" spans="5:9" ht="16.5" hidden="1">
      <c r="E17487" s="4" t="str">
        <v/>
      </c>
      <c r="F17487" s="102" t="str">
        <f ca="1">IFERROR(__xludf.DUMMYFUNCTION("IMPORTRANGE(H17487,""IDENTITAS UNIT!D9"")"),"#N/A")</f>
        <v>#N/A</v>
      </c>
      <c r="H17487" s="4" t="str">
        <v/>
      </c>
      <c r="I17487" s="4" t="str">
        <v/>
      </c>
    </row>
    <row r="17488" spans="5:9" ht="16.5" hidden="1">
      <c r="E17488" s="4" t="str">
        <v/>
      </c>
      <c r="F17488" s="102" t="str">
        <f ca="1">IFERROR(__xludf.DUMMYFUNCTION("IMPORTRANGE(H17488,""IDENTITAS UNIT!D9"")"),"#N/A")</f>
        <v>#N/A</v>
      </c>
      <c r="H17488" s="4" t="str">
        <v/>
      </c>
      <c r="I17488" s="4" t="str">
        <v/>
      </c>
    </row>
    <row r="17489" spans="5:9" ht="16.5" hidden="1">
      <c r="E17489" s="4" t="str">
        <v/>
      </c>
      <c r="F17489" s="102" t="str">
        <f ca="1">IFERROR(__xludf.DUMMYFUNCTION("IMPORTRANGE(H17489,""IDENTITAS UNIT!D9"")"),"#N/A")</f>
        <v>#N/A</v>
      </c>
      <c r="H17489" s="4" t="str">
        <v/>
      </c>
      <c r="I17489" s="4" t="str">
        <v/>
      </c>
    </row>
    <row r="17490" spans="5:9" ht="16.5" hidden="1">
      <c r="E17490" s="4" t="str">
        <v/>
      </c>
      <c r="F17490" s="102" t="str">
        <f ca="1">IFERROR(__xludf.DUMMYFUNCTION("IMPORTRANGE(H17490,""IDENTITAS UNIT!D9"")"),"#N/A")</f>
        <v>#N/A</v>
      </c>
      <c r="H17490" s="4" t="str">
        <v/>
      </c>
      <c r="I17490" s="4" t="str">
        <v/>
      </c>
    </row>
    <row r="17491" spans="5:9" ht="16.5" hidden="1">
      <c r="E17491" s="4" t="str">
        <v/>
      </c>
      <c r="F17491" s="102" t="str">
        <f ca="1">IFERROR(__xludf.DUMMYFUNCTION("IMPORTRANGE(H17491,""IDENTITAS UNIT!D9"")"),"#N/A")</f>
        <v>#N/A</v>
      </c>
      <c r="H17491" s="4" t="str">
        <v/>
      </c>
      <c r="I17491" s="4" t="str">
        <v/>
      </c>
    </row>
    <row r="17492" spans="5:9" ht="16.5" hidden="1">
      <c r="E17492" s="4" t="str">
        <v/>
      </c>
      <c r="F17492" s="102" t="str">
        <f ca="1">IFERROR(__xludf.DUMMYFUNCTION("IMPORTRANGE(H17492,""IDENTITAS UNIT!D9"")"),"#N/A")</f>
        <v>#N/A</v>
      </c>
      <c r="H17492" s="4" t="str">
        <v/>
      </c>
      <c r="I17492" s="4" t="str">
        <v/>
      </c>
    </row>
    <row r="17493" spans="5:9" ht="16.5" hidden="1">
      <c r="E17493" s="4" t="str">
        <v/>
      </c>
      <c r="F17493" s="102" t="str">
        <f ca="1">IFERROR(__xludf.DUMMYFUNCTION("IMPORTRANGE(H17493,""IDENTITAS UNIT!D9"")"),"#N/A")</f>
        <v>#N/A</v>
      </c>
      <c r="H17493" s="4" t="str">
        <v/>
      </c>
      <c r="I17493" s="4" t="str">
        <v/>
      </c>
    </row>
    <row r="17494" spans="5:9" ht="16.5" hidden="1">
      <c r="E17494" s="4" t="str">
        <v/>
      </c>
      <c r="F17494" s="102" t="str">
        <f ca="1">IFERROR(__xludf.DUMMYFUNCTION("IMPORTRANGE(H17494,""IDENTITAS UNIT!D9"")"),"#N/A")</f>
        <v>#N/A</v>
      </c>
      <c r="H17494" s="4" t="str">
        <v/>
      </c>
      <c r="I17494" s="4" t="str">
        <v/>
      </c>
    </row>
    <row r="17495" spans="5:9" ht="16.5" hidden="1">
      <c r="E17495" s="4" t="str">
        <v/>
      </c>
      <c r="F17495" s="102" t="str">
        <f ca="1">IFERROR(__xludf.DUMMYFUNCTION("IMPORTRANGE(H17495,""IDENTITAS UNIT!D9"")"),"#N/A")</f>
        <v>#N/A</v>
      </c>
      <c r="H17495" s="4" t="str">
        <v/>
      </c>
      <c r="I17495" s="4" t="str">
        <v/>
      </c>
    </row>
    <row r="17496" spans="5:9" ht="16.5" hidden="1">
      <c r="E17496" s="4" t="str">
        <v/>
      </c>
      <c r="F17496" s="102" t="str">
        <f ca="1">IFERROR(__xludf.DUMMYFUNCTION("IMPORTRANGE(H17496,""IDENTITAS UNIT!D9"")"),"#N/A")</f>
        <v>#N/A</v>
      </c>
      <c r="H17496" s="4" t="str">
        <v/>
      </c>
      <c r="I17496" s="4" t="str">
        <v/>
      </c>
    </row>
    <row r="17497" spans="5:9" ht="16.5" hidden="1">
      <c r="E17497" s="4" t="str">
        <v/>
      </c>
      <c r="F17497" s="102" t="str">
        <f ca="1">IFERROR(__xludf.DUMMYFUNCTION("IMPORTRANGE(H17497,""IDENTITAS UNIT!D9"")"),"#N/A")</f>
        <v>#N/A</v>
      </c>
      <c r="H17497" s="4" t="str">
        <v/>
      </c>
      <c r="I17497" s="4" t="str">
        <v/>
      </c>
    </row>
    <row r="17498" spans="5:9" ht="16.5" hidden="1">
      <c r="E17498" s="4" t="str">
        <v/>
      </c>
      <c r="F17498" s="102" t="str">
        <f ca="1">IFERROR(__xludf.DUMMYFUNCTION("IMPORTRANGE(H17498,""IDENTITAS UNIT!D9"")"),"#N/A")</f>
        <v>#N/A</v>
      </c>
      <c r="H17498" s="4" t="str">
        <v/>
      </c>
      <c r="I17498" s="4" t="str">
        <v/>
      </c>
    </row>
    <row r="17499" spans="5:9" ht="16.5" hidden="1">
      <c r="E17499" s="4" t="str">
        <v/>
      </c>
      <c r="F17499" s="102" t="str">
        <f ca="1">IFERROR(__xludf.DUMMYFUNCTION("IMPORTRANGE(H17499,""IDENTITAS UNIT!D9"")"),"#N/A")</f>
        <v>#N/A</v>
      </c>
      <c r="H17499" s="4" t="str">
        <v/>
      </c>
      <c r="I17499" s="4" t="str">
        <v/>
      </c>
    </row>
    <row r="17500" spans="5:9" ht="16.5" hidden="1">
      <c r="E17500" s="4" t="str">
        <v/>
      </c>
      <c r="F17500" s="102" t="str">
        <f ca="1">IFERROR(__xludf.DUMMYFUNCTION("IMPORTRANGE(H17500,""IDENTITAS UNIT!D9"")"),"#N/A")</f>
        <v>#N/A</v>
      </c>
      <c r="H17500" s="4" t="str">
        <v/>
      </c>
      <c r="I17500" s="4" t="str">
        <v/>
      </c>
    </row>
    <row r="17501" spans="5:9" ht="16.5" hidden="1">
      <c r="E17501" s="4" t="str">
        <v/>
      </c>
      <c r="F17501" s="102" t="str">
        <f ca="1">IFERROR(__xludf.DUMMYFUNCTION("IMPORTRANGE(H17501,""IDENTITAS UNIT!D9"")"),"#N/A")</f>
        <v>#N/A</v>
      </c>
      <c r="H17501" s="4" t="str">
        <v/>
      </c>
      <c r="I17501" s="4" t="str">
        <v/>
      </c>
    </row>
    <row r="17502" spans="5:9" ht="16.5" hidden="1">
      <c r="E17502" s="4" t="str">
        <v/>
      </c>
      <c r="F17502" s="102" t="str">
        <f ca="1">IFERROR(__xludf.DUMMYFUNCTION("IMPORTRANGE(H17502,""IDENTITAS UNIT!D9"")"),"#N/A")</f>
        <v>#N/A</v>
      </c>
      <c r="H17502" s="4" t="str">
        <v/>
      </c>
      <c r="I17502" s="4" t="str">
        <v/>
      </c>
    </row>
    <row r="17503" spans="5:9" ht="16.5" hidden="1">
      <c r="E17503" s="4" t="str">
        <v/>
      </c>
      <c r="F17503" s="102" t="str">
        <f ca="1">IFERROR(__xludf.DUMMYFUNCTION("IMPORTRANGE(H17503,""IDENTITAS UNIT!D9"")"),"#N/A")</f>
        <v>#N/A</v>
      </c>
      <c r="H17503" s="4" t="str">
        <v/>
      </c>
      <c r="I17503" s="4" t="str">
        <v/>
      </c>
    </row>
    <row r="17504" spans="5:9" ht="16.5" hidden="1">
      <c r="E17504" s="4" t="str">
        <v/>
      </c>
      <c r="F17504" s="102" t="str">
        <f ca="1">IFERROR(__xludf.DUMMYFUNCTION("IMPORTRANGE(H17504,""IDENTITAS UNIT!D9"")"),"#N/A")</f>
        <v>#N/A</v>
      </c>
      <c r="H17504" s="4" t="str">
        <v/>
      </c>
      <c r="I17504" s="4" t="str">
        <v/>
      </c>
    </row>
    <row r="17505" spans="5:9" ht="16.5" hidden="1">
      <c r="E17505" s="4" t="str">
        <v/>
      </c>
      <c r="F17505" s="102" t="str">
        <f ca="1">IFERROR(__xludf.DUMMYFUNCTION("IMPORTRANGE(H17505,""IDENTITAS UNIT!D9"")"),"#N/A")</f>
        <v>#N/A</v>
      </c>
      <c r="H17505" s="4" t="str">
        <v/>
      </c>
      <c r="I17505" s="4" t="str">
        <v/>
      </c>
    </row>
    <row r="17506" spans="5:9" ht="16.5" hidden="1">
      <c r="E17506" s="4" t="str">
        <v/>
      </c>
      <c r="F17506" s="102" t="str">
        <f ca="1">IFERROR(__xludf.DUMMYFUNCTION("IMPORTRANGE(H17506,""IDENTITAS UNIT!D9"")"),"#N/A")</f>
        <v>#N/A</v>
      </c>
      <c r="H17506" s="4" t="str">
        <v/>
      </c>
      <c r="I17506" s="4" t="str">
        <v/>
      </c>
    </row>
    <row r="17507" spans="5:9" ht="16.5" hidden="1">
      <c r="E17507" s="4" t="str">
        <v/>
      </c>
      <c r="F17507" s="102" t="str">
        <f ca="1">IFERROR(__xludf.DUMMYFUNCTION("IMPORTRANGE(H17507,""IDENTITAS UNIT!D9"")"),"#N/A")</f>
        <v>#N/A</v>
      </c>
      <c r="H17507" s="4" t="str">
        <v/>
      </c>
      <c r="I17507" s="4" t="str">
        <v/>
      </c>
    </row>
    <row r="17508" spans="5:9" ht="16.5" hidden="1">
      <c r="E17508" s="4" t="str">
        <v/>
      </c>
      <c r="F17508" s="102" t="str">
        <f ca="1">IFERROR(__xludf.DUMMYFUNCTION("IMPORTRANGE(H17508,""IDENTITAS UNIT!D9"")"),"#N/A")</f>
        <v>#N/A</v>
      </c>
      <c r="H17508" s="4" t="str">
        <v/>
      </c>
      <c r="I17508" s="4" t="str">
        <v/>
      </c>
    </row>
    <row r="17509" spans="5:9" ht="16.5" hidden="1">
      <c r="E17509" s="4" t="str">
        <v/>
      </c>
      <c r="F17509" s="102" t="str">
        <f ca="1">IFERROR(__xludf.DUMMYFUNCTION("IMPORTRANGE(H17509,""IDENTITAS UNIT!D9"")"),"#N/A")</f>
        <v>#N/A</v>
      </c>
      <c r="H17509" s="4" t="str">
        <v/>
      </c>
      <c r="I17509" s="4" t="str">
        <v/>
      </c>
    </row>
    <row r="17510" spans="5:9" ht="16.5" hidden="1">
      <c r="E17510" s="4" t="str">
        <v/>
      </c>
      <c r="F17510" s="102" t="str">
        <f ca="1">IFERROR(__xludf.DUMMYFUNCTION("IMPORTRANGE(H17510,""IDENTITAS UNIT!D9"")"),"#N/A")</f>
        <v>#N/A</v>
      </c>
      <c r="H17510" s="4" t="str">
        <v/>
      </c>
      <c r="I17510" s="4" t="str">
        <v/>
      </c>
    </row>
    <row r="17511" spans="5:9" ht="16.5" hidden="1">
      <c r="E17511" s="4" t="str">
        <v/>
      </c>
      <c r="F17511" s="102" t="str">
        <f ca="1">IFERROR(__xludf.DUMMYFUNCTION("IMPORTRANGE(H17511,""IDENTITAS UNIT!D9"")"),"#N/A")</f>
        <v>#N/A</v>
      </c>
      <c r="H17511" s="4" t="str">
        <v/>
      </c>
      <c r="I17511" s="4" t="str">
        <v/>
      </c>
    </row>
    <row r="17512" spans="5:9" ht="16.5" hidden="1">
      <c r="E17512" s="4" t="str">
        <v/>
      </c>
      <c r="F17512" s="102" t="str">
        <f ca="1">IFERROR(__xludf.DUMMYFUNCTION("IMPORTRANGE(H17512,""IDENTITAS UNIT!D9"")"),"#N/A")</f>
        <v>#N/A</v>
      </c>
      <c r="H17512" s="4" t="str">
        <v/>
      </c>
      <c r="I17512" s="4" t="str">
        <v/>
      </c>
    </row>
    <row r="17513" spans="5:9" ht="16.5" hidden="1">
      <c r="E17513" s="4" t="str">
        <v/>
      </c>
      <c r="F17513" s="102" t="str">
        <f ca="1">IFERROR(__xludf.DUMMYFUNCTION("IMPORTRANGE(H17513,""IDENTITAS UNIT!D9"")"),"#N/A")</f>
        <v>#N/A</v>
      </c>
      <c r="H17513" s="4" t="str">
        <v/>
      </c>
      <c r="I17513" s="4" t="str">
        <v/>
      </c>
    </row>
    <row r="17514" spans="5:9" ht="16.5" hidden="1">
      <c r="E17514" s="4" t="str">
        <v/>
      </c>
      <c r="F17514" s="102" t="str">
        <f ca="1">IFERROR(__xludf.DUMMYFUNCTION("IMPORTRANGE(H17514,""IDENTITAS UNIT!D9"")"),"#N/A")</f>
        <v>#N/A</v>
      </c>
      <c r="H17514" s="4" t="str">
        <v/>
      </c>
      <c r="I17514" s="4" t="str">
        <v/>
      </c>
    </row>
    <row r="17515" spans="5:9" ht="16.5" hidden="1">
      <c r="E17515" s="4" t="str">
        <v/>
      </c>
      <c r="F17515" s="102" t="str">
        <f ca="1">IFERROR(__xludf.DUMMYFUNCTION("IMPORTRANGE(H17515,""IDENTITAS UNIT!D9"")"),"#N/A")</f>
        <v>#N/A</v>
      </c>
      <c r="H17515" s="4" t="str">
        <v/>
      </c>
      <c r="I17515" s="4" t="str">
        <v/>
      </c>
    </row>
    <row r="17516" spans="5:9" ht="16.5" hidden="1">
      <c r="E17516" s="4" t="str">
        <v/>
      </c>
      <c r="F17516" s="102" t="str">
        <f ca="1">IFERROR(__xludf.DUMMYFUNCTION("IMPORTRANGE(H17516,""IDENTITAS UNIT!D9"")"),"#N/A")</f>
        <v>#N/A</v>
      </c>
      <c r="H17516" s="4" t="str">
        <v/>
      </c>
      <c r="I17516" s="4" t="str">
        <v/>
      </c>
    </row>
    <row r="17517" spans="5:9" ht="16.5" hidden="1">
      <c r="E17517" s="4" t="str">
        <v/>
      </c>
      <c r="F17517" s="102" t="str">
        <f ca="1">IFERROR(__xludf.DUMMYFUNCTION("IMPORTRANGE(H17517,""IDENTITAS UNIT!D9"")"),"#N/A")</f>
        <v>#N/A</v>
      </c>
      <c r="H17517" s="4" t="str">
        <v/>
      </c>
      <c r="I17517" s="4" t="str">
        <v/>
      </c>
    </row>
    <row r="17518" spans="5:9" ht="16.5" hidden="1">
      <c r="E17518" s="4" t="str">
        <v/>
      </c>
      <c r="F17518" s="102" t="str">
        <f ca="1">IFERROR(__xludf.DUMMYFUNCTION("IMPORTRANGE(H17518,""IDENTITAS UNIT!D9"")"),"#N/A")</f>
        <v>#N/A</v>
      </c>
      <c r="H17518" s="4" t="str">
        <v/>
      </c>
      <c r="I17518" s="4" t="str">
        <v/>
      </c>
    </row>
    <row r="17519" spans="5:9" ht="16.5" hidden="1">
      <c r="E17519" s="4" t="str">
        <v/>
      </c>
      <c r="F17519" s="102" t="str">
        <f ca="1">IFERROR(__xludf.DUMMYFUNCTION("IMPORTRANGE(H17519,""IDENTITAS UNIT!D9"")"),"#N/A")</f>
        <v>#N/A</v>
      </c>
      <c r="H17519" s="4" t="str">
        <v/>
      </c>
      <c r="I17519" s="4" t="str">
        <v/>
      </c>
    </row>
    <row r="17520" spans="5:9" ht="16.5" hidden="1">
      <c r="E17520" s="4" t="str">
        <v/>
      </c>
      <c r="F17520" s="102" t="str">
        <f ca="1">IFERROR(__xludf.DUMMYFUNCTION("IMPORTRANGE(H17520,""IDENTITAS UNIT!D9"")"),"#N/A")</f>
        <v>#N/A</v>
      </c>
      <c r="H17520" s="4" t="str">
        <v/>
      </c>
      <c r="I17520" s="4" t="str">
        <v/>
      </c>
    </row>
    <row r="17521" spans="5:9" ht="16.5" hidden="1">
      <c r="E17521" s="4" t="str">
        <v/>
      </c>
      <c r="F17521" s="102" t="str">
        <f ca="1">IFERROR(__xludf.DUMMYFUNCTION("IMPORTRANGE(H17521,""IDENTITAS UNIT!D9"")"),"#N/A")</f>
        <v>#N/A</v>
      </c>
      <c r="H17521" s="4" t="str">
        <v/>
      </c>
      <c r="I17521" s="4" t="str">
        <v/>
      </c>
    </row>
    <row r="17522" spans="5:9" ht="16.5" hidden="1">
      <c r="E17522" s="4" t="str">
        <v/>
      </c>
      <c r="F17522" s="102" t="str">
        <f ca="1">IFERROR(__xludf.DUMMYFUNCTION("IMPORTRANGE(H17522,""IDENTITAS UNIT!D9"")"),"#N/A")</f>
        <v>#N/A</v>
      </c>
      <c r="H17522" s="4" t="str">
        <v/>
      </c>
      <c r="I17522" s="4" t="str">
        <v/>
      </c>
    </row>
    <row r="17523" spans="5:9" ht="16.5" hidden="1">
      <c r="E17523" s="4" t="str">
        <v/>
      </c>
      <c r="F17523" s="102" t="str">
        <f ca="1">IFERROR(__xludf.DUMMYFUNCTION("IMPORTRANGE(H17523,""IDENTITAS UNIT!D9"")"),"#N/A")</f>
        <v>#N/A</v>
      </c>
      <c r="H17523" s="4" t="str">
        <v/>
      </c>
      <c r="I17523" s="4" t="str">
        <v/>
      </c>
    </row>
    <row r="17524" spans="5:9" ht="16.5" hidden="1">
      <c r="E17524" s="4" t="str">
        <v/>
      </c>
      <c r="F17524" s="102" t="str">
        <f ca="1">IFERROR(__xludf.DUMMYFUNCTION("IMPORTRANGE(H17524,""IDENTITAS UNIT!D9"")"),"#N/A")</f>
        <v>#N/A</v>
      </c>
      <c r="H17524" s="4" t="str">
        <v/>
      </c>
      <c r="I17524" s="4" t="str">
        <v/>
      </c>
    </row>
    <row r="17525" spans="5:9" ht="16.5" hidden="1">
      <c r="E17525" s="4" t="str">
        <v/>
      </c>
      <c r="F17525" s="102" t="str">
        <f ca="1">IFERROR(__xludf.DUMMYFUNCTION("IMPORTRANGE(H17525,""IDENTITAS UNIT!D9"")"),"#N/A")</f>
        <v>#N/A</v>
      </c>
      <c r="H17525" s="4" t="str">
        <v/>
      </c>
      <c r="I17525" s="4" t="str">
        <v/>
      </c>
    </row>
    <row r="17526" spans="5:9" ht="16.5" hidden="1">
      <c r="E17526" s="4" t="str">
        <v/>
      </c>
      <c r="F17526" s="102" t="str">
        <f ca="1">IFERROR(__xludf.DUMMYFUNCTION("IMPORTRANGE(H17526,""IDENTITAS UNIT!D9"")"),"#N/A")</f>
        <v>#N/A</v>
      </c>
      <c r="H17526" s="4" t="str">
        <v/>
      </c>
      <c r="I17526" s="4" t="str">
        <v/>
      </c>
    </row>
    <row r="17527" spans="5:9" ht="16.5" hidden="1">
      <c r="E17527" s="4" t="str">
        <v/>
      </c>
      <c r="F17527" s="102" t="str">
        <f ca="1">IFERROR(__xludf.DUMMYFUNCTION("IMPORTRANGE(H17527,""IDENTITAS UNIT!D9"")"),"#N/A")</f>
        <v>#N/A</v>
      </c>
      <c r="H17527" s="4" t="str">
        <v/>
      </c>
      <c r="I17527" s="4" t="str">
        <v/>
      </c>
    </row>
    <row r="17528" spans="5:9" ht="16.5" hidden="1">
      <c r="E17528" s="4" t="str">
        <v/>
      </c>
      <c r="F17528" s="102" t="str">
        <f ca="1">IFERROR(__xludf.DUMMYFUNCTION("IMPORTRANGE(H17528,""IDENTITAS UNIT!D9"")"),"#N/A")</f>
        <v>#N/A</v>
      </c>
      <c r="H17528" s="4" t="str">
        <v/>
      </c>
      <c r="I17528" s="4" t="str">
        <v/>
      </c>
    </row>
    <row r="17529" spans="5:9" ht="16.5" hidden="1">
      <c r="E17529" s="4" t="str">
        <v/>
      </c>
      <c r="F17529" s="102" t="str">
        <f ca="1">IFERROR(__xludf.DUMMYFUNCTION("IMPORTRANGE(H17529,""IDENTITAS UNIT!D9"")"),"#N/A")</f>
        <v>#N/A</v>
      </c>
      <c r="H17529" s="4" t="str">
        <v/>
      </c>
      <c r="I17529" s="4" t="str">
        <v/>
      </c>
    </row>
    <row r="17530" spans="5:9" ht="16.5" hidden="1">
      <c r="E17530" s="4" t="str">
        <v/>
      </c>
      <c r="F17530" s="102" t="str">
        <f ca="1">IFERROR(__xludf.DUMMYFUNCTION("IMPORTRANGE(H17530,""IDENTITAS UNIT!D9"")"),"#N/A")</f>
        <v>#N/A</v>
      </c>
      <c r="H17530" s="4" t="str">
        <v/>
      </c>
      <c r="I17530" s="4" t="str">
        <v/>
      </c>
    </row>
    <row r="17531" spans="5:9" ht="16.5" hidden="1">
      <c r="E17531" s="4" t="str">
        <v/>
      </c>
      <c r="F17531" s="102" t="str">
        <f ca="1">IFERROR(__xludf.DUMMYFUNCTION("IMPORTRANGE(H17531,""IDENTITAS UNIT!D9"")"),"#N/A")</f>
        <v>#N/A</v>
      </c>
      <c r="H17531" s="4" t="str">
        <v/>
      </c>
      <c r="I17531" s="4" t="str">
        <v/>
      </c>
    </row>
    <row r="17532" spans="5:9" ht="16.5" hidden="1">
      <c r="E17532" s="4" t="str">
        <v/>
      </c>
      <c r="F17532" s="102" t="str">
        <f ca="1">IFERROR(__xludf.DUMMYFUNCTION("IMPORTRANGE(H17532,""IDENTITAS UNIT!D9"")"),"#N/A")</f>
        <v>#N/A</v>
      </c>
      <c r="H17532" s="4" t="str">
        <v/>
      </c>
      <c r="I17532" s="4" t="str">
        <v/>
      </c>
    </row>
    <row r="17533" spans="5:9" ht="16.5" hidden="1">
      <c r="E17533" s="4" t="str">
        <v/>
      </c>
      <c r="F17533" s="102" t="str">
        <f ca="1">IFERROR(__xludf.DUMMYFUNCTION("IMPORTRANGE(H17533,""IDENTITAS UNIT!D9"")"),"#N/A")</f>
        <v>#N/A</v>
      </c>
      <c r="H17533" s="4" t="str">
        <v/>
      </c>
      <c r="I17533" s="4" t="str">
        <v/>
      </c>
    </row>
    <row r="17534" spans="5:9" ht="16.5" hidden="1">
      <c r="E17534" s="4" t="str">
        <v/>
      </c>
      <c r="F17534" s="102" t="str">
        <f ca="1">IFERROR(__xludf.DUMMYFUNCTION("IMPORTRANGE(H17534,""IDENTITAS UNIT!D9"")"),"#N/A")</f>
        <v>#N/A</v>
      </c>
      <c r="H17534" s="4" t="str">
        <v/>
      </c>
      <c r="I17534" s="4" t="str">
        <v/>
      </c>
    </row>
    <row r="17535" spans="5:9" ht="16.5" hidden="1">
      <c r="E17535" s="4" t="str">
        <v/>
      </c>
      <c r="F17535" s="102" t="str">
        <f ca="1">IFERROR(__xludf.DUMMYFUNCTION("IMPORTRANGE(H17535,""IDENTITAS UNIT!D9"")"),"#N/A")</f>
        <v>#N/A</v>
      </c>
      <c r="H17535" s="4" t="str">
        <v/>
      </c>
      <c r="I17535" s="4" t="str">
        <v/>
      </c>
    </row>
    <row r="17536" spans="5:9" ht="16.5" hidden="1">
      <c r="E17536" s="4" t="str">
        <v/>
      </c>
      <c r="F17536" s="102" t="str">
        <f ca="1">IFERROR(__xludf.DUMMYFUNCTION("IMPORTRANGE(H17536,""IDENTITAS UNIT!D9"")"),"#N/A")</f>
        <v>#N/A</v>
      </c>
      <c r="H17536" s="4" t="str">
        <v/>
      </c>
      <c r="I17536" s="4" t="str">
        <v/>
      </c>
    </row>
    <row r="17537" spans="5:9" ht="16.5" hidden="1">
      <c r="E17537" s="4" t="str">
        <v/>
      </c>
      <c r="F17537" s="102" t="str">
        <f ca="1">IFERROR(__xludf.DUMMYFUNCTION("IMPORTRANGE(H17537,""IDENTITAS UNIT!D9"")"),"#N/A")</f>
        <v>#N/A</v>
      </c>
      <c r="H17537" s="4" t="str">
        <v/>
      </c>
      <c r="I17537" s="4" t="str">
        <v/>
      </c>
    </row>
    <row r="17538" spans="5:9" ht="16.5" hidden="1">
      <c r="E17538" s="4" t="str">
        <v/>
      </c>
      <c r="F17538" s="102" t="str">
        <f ca="1">IFERROR(__xludf.DUMMYFUNCTION("IMPORTRANGE(H17538,""IDENTITAS UNIT!D9"")"),"#N/A")</f>
        <v>#N/A</v>
      </c>
      <c r="H17538" s="4" t="str">
        <v/>
      </c>
      <c r="I17538" s="4" t="str">
        <v/>
      </c>
    </row>
    <row r="17539" spans="5:9" ht="16.5" hidden="1">
      <c r="E17539" s="4" t="str">
        <v/>
      </c>
      <c r="F17539" s="102" t="str">
        <f ca="1">IFERROR(__xludf.DUMMYFUNCTION("IMPORTRANGE(H17539,""IDENTITAS UNIT!D9"")"),"#N/A")</f>
        <v>#N/A</v>
      </c>
      <c r="H17539" s="4" t="str">
        <v/>
      </c>
      <c r="I17539" s="4" t="str">
        <v/>
      </c>
    </row>
    <row r="17540" spans="5:9" ht="16.5" hidden="1">
      <c r="E17540" s="4" t="str">
        <v/>
      </c>
      <c r="F17540" s="102" t="str">
        <f ca="1">IFERROR(__xludf.DUMMYFUNCTION("IMPORTRANGE(H17540,""IDENTITAS UNIT!D9"")"),"#N/A")</f>
        <v>#N/A</v>
      </c>
      <c r="H17540" s="4" t="str">
        <v/>
      </c>
      <c r="I17540" s="4" t="str">
        <v/>
      </c>
    </row>
    <row r="17541" spans="5:9" ht="16.5" hidden="1">
      <c r="E17541" s="4" t="str">
        <v/>
      </c>
      <c r="F17541" s="102" t="str">
        <f ca="1">IFERROR(__xludf.DUMMYFUNCTION("IMPORTRANGE(H17541,""IDENTITAS UNIT!D9"")"),"#N/A")</f>
        <v>#N/A</v>
      </c>
      <c r="H17541" s="4" t="str">
        <v/>
      </c>
      <c r="I17541" s="4" t="str">
        <v/>
      </c>
    </row>
    <row r="17542" spans="5:9" ht="16.5" hidden="1">
      <c r="E17542" s="4" t="str">
        <v/>
      </c>
      <c r="F17542" s="102" t="str">
        <f ca="1">IFERROR(__xludf.DUMMYFUNCTION("IMPORTRANGE(H17542,""IDENTITAS UNIT!D9"")"),"#N/A")</f>
        <v>#N/A</v>
      </c>
      <c r="H17542" s="4" t="str">
        <v/>
      </c>
      <c r="I17542" s="4" t="str">
        <v/>
      </c>
    </row>
    <row r="17543" spans="5:9" ht="16.5" hidden="1">
      <c r="E17543" s="4" t="str">
        <v/>
      </c>
      <c r="F17543" s="102" t="str">
        <f ca="1">IFERROR(__xludf.DUMMYFUNCTION("IMPORTRANGE(H17543,""IDENTITAS UNIT!D9"")"),"#N/A")</f>
        <v>#N/A</v>
      </c>
      <c r="H17543" s="4" t="str">
        <v/>
      </c>
      <c r="I17543" s="4" t="str">
        <v/>
      </c>
    </row>
    <row r="17544" spans="5:9" ht="16.5" hidden="1">
      <c r="E17544" s="4" t="str">
        <v/>
      </c>
      <c r="F17544" s="102" t="str">
        <f ca="1">IFERROR(__xludf.DUMMYFUNCTION("IMPORTRANGE(H17544,""IDENTITAS UNIT!D9"")"),"#N/A")</f>
        <v>#N/A</v>
      </c>
      <c r="H17544" s="4" t="str">
        <v/>
      </c>
      <c r="I17544" s="4" t="str">
        <v/>
      </c>
    </row>
    <row r="17545" spans="5:9" ht="16.5" hidden="1">
      <c r="E17545" s="4" t="str">
        <v/>
      </c>
      <c r="F17545" s="102" t="str">
        <f ca="1">IFERROR(__xludf.DUMMYFUNCTION("IMPORTRANGE(H17545,""IDENTITAS UNIT!D9"")"),"#N/A")</f>
        <v>#N/A</v>
      </c>
      <c r="H17545" s="4" t="str">
        <v/>
      </c>
      <c r="I17545" s="4" t="str">
        <v/>
      </c>
    </row>
    <row r="17546" spans="5:9" ht="16.5" hidden="1">
      <c r="E17546" s="4" t="str">
        <v/>
      </c>
      <c r="F17546" s="102" t="str">
        <f ca="1">IFERROR(__xludf.DUMMYFUNCTION("IMPORTRANGE(H17546,""IDENTITAS UNIT!D9"")"),"#N/A")</f>
        <v>#N/A</v>
      </c>
      <c r="H17546" s="4" t="str">
        <v/>
      </c>
      <c r="I17546" s="4" t="str">
        <v/>
      </c>
    </row>
    <row r="17547" spans="5:9" ht="16.5" hidden="1">
      <c r="E17547" s="4" t="str">
        <v/>
      </c>
      <c r="F17547" s="102" t="str">
        <f ca="1">IFERROR(__xludf.DUMMYFUNCTION("IMPORTRANGE(H17547,""IDENTITAS UNIT!D9"")"),"#N/A")</f>
        <v>#N/A</v>
      </c>
      <c r="H17547" s="4" t="str">
        <v/>
      </c>
      <c r="I17547" s="4" t="str">
        <v/>
      </c>
    </row>
    <row r="17548" spans="5:9" ht="16.5" hidden="1">
      <c r="E17548" s="4" t="str">
        <v/>
      </c>
      <c r="F17548" s="102" t="str">
        <f ca="1">IFERROR(__xludf.DUMMYFUNCTION("IMPORTRANGE(H17548,""IDENTITAS UNIT!D9"")"),"#N/A")</f>
        <v>#N/A</v>
      </c>
      <c r="H17548" s="4" t="str">
        <v/>
      </c>
      <c r="I17548" s="4" t="str">
        <v/>
      </c>
    </row>
    <row r="17549" spans="5:9" ht="16.5" hidden="1">
      <c r="E17549" s="4" t="str">
        <v/>
      </c>
      <c r="F17549" s="102" t="str">
        <f ca="1">IFERROR(__xludf.DUMMYFUNCTION("IMPORTRANGE(H17549,""IDENTITAS UNIT!D9"")"),"#N/A")</f>
        <v>#N/A</v>
      </c>
      <c r="H17549" s="4" t="str">
        <v/>
      </c>
      <c r="I17549" s="4" t="str">
        <v/>
      </c>
    </row>
    <row r="17550" spans="5:9" ht="16.5" hidden="1">
      <c r="E17550" s="4" t="str">
        <v/>
      </c>
      <c r="F17550" s="102" t="str">
        <f ca="1">IFERROR(__xludf.DUMMYFUNCTION("IMPORTRANGE(H17550,""IDENTITAS UNIT!D9"")"),"#N/A")</f>
        <v>#N/A</v>
      </c>
      <c r="H17550" s="4" t="str">
        <v/>
      </c>
      <c r="I17550" s="4" t="str">
        <v/>
      </c>
    </row>
    <row r="17551" spans="5:9" ht="16.5" hidden="1">
      <c r="E17551" s="4" t="str">
        <v/>
      </c>
      <c r="F17551" s="102" t="str">
        <f ca="1">IFERROR(__xludf.DUMMYFUNCTION("IMPORTRANGE(H17551,""IDENTITAS UNIT!D9"")"),"#N/A")</f>
        <v>#N/A</v>
      </c>
      <c r="H17551" s="4" t="str">
        <v/>
      </c>
      <c r="I17551" s="4" t="str">
        <v/>
      </c>
    </row>
    <row r="17552" spans="5:9" ht="16.5" hidden="1">
      <c r="E17552" s="4" t="str">
        <v/>
      </c>
      <c r="F17552" s="102" t="str">
        <f ca="1">IFERROR(__xludf.DUMMYFUNCTION("IMPORTRANGE(H17552,""IDENTITAS UNIT!D9"")"),"#N/A")</f>
        <v>#N/A</v>
      </c>
      <c r="H17552" s="4" t="str">
        <v/>
      </c>
      <c r="I17552" s="4" t="str">
        <v/>
      </c>
    </row>
    <row r="17553" spans="5:9" ht="16.5" hidden="1">
      <c r="E17553" s="4" t="str">
        <v/>
      </c>
      <c r="F17553" s="102" t="str">
        <f ca="1">IFERROR(__xludf.DUMMYFUNCTION("IMPORTRANGE(H17553,""IDENTITAS UNIT!D9"")"),"#N/A")</f>
        <v>#N/A</v>
      </c>
      <c r="H17553" s="4" t="str">
        <v/>
      </c>
      <c r="I17553" s="4" t="str">
        <v/>
      </c>
    </row>
    <row r="17554" spans="5:9" ht="16.5" hidden="1">
      <c r="E17554" s="4" t="str">
        <v/>
      </c>
      <c r="F17554" s="102" t="str">
        <f ca="1">IFERROR(__xludf.DUMMYFUNCTION("IMPORTRANGE(H17554,""IDENTITAS UNIT!D9"")"),"#N/A")</f>
        <v>#N/A</v>
      </c>
      <c r="H17554" s="4" t="str">
        <v/>
      </c>
      <c r="I17554" s="4" t="str">
        <v/>
      </c>
    </row>
    <row r="17555" spans="5:9" ht="16.5" hidden="1">
      <c r="E17555" s="4" t="str">
        <v/>
      </c>
      <c r="F17555" s="102" t="str">
        <f ca="1">IFERROR(__xludf.DUMMYFUNCTION("IMPORTRANGE(H17555,""IDENTITAS UNIT!D9"")"),"#N/A")</f>
        <v>#N/A</v>
      </c>
      <c r="H17555" s="4" t="str">
        <v/>
      </c>
      <c r="I17555" s="4" t="str">
        <v/>
      </c>
    </row>
    <row r="17556" spans="5:9" ht="16.5" hidden="1">
      <c r="E17556" s="4" t="str">
        <v/>
      </c>
      <c r="F17556" s="102" t="str">
        <f ca="1">IFERROR(__xludf.DUMMYFUNCTION("IMPORTRANGE(H17556,""IDENTITAS UNIT!D9"")"),"#N/A")</f>
        <v>#N/A</v>
      </c>
      <c r="H17556" s="4" t="str">
        <v/>
      </c>
      <c r="I17556" s="4" t="str">
        <v/>
      </c>
    </row>
    <row r="17557" spans="5:9" ht="16.5" hidden="1">
      <c r="E17557" s="4" t="str">
        <v/>
      </c>
      <c r="F17557" s="102" t="str">
        <f ca="1">IFERROR(__xludf.DUMMYFUNCTION("IMPORTRANGE(H17557,""IDENTITAS UNIT!D9"")"),"#N/A")</f>
        <v>#N/A</v>
      </c>
      <c r="H17557" s="4" t="str">
        <v/>
      </c>
      <c r="I17557" s="4" t="str">
        <v/>
      </c>
    </row>
    <row r="17558" spans="5:9" ht="16.5" hidden="1">
      <c r="E17558" s="4" t="str">
        <v/>
      </c>
      <c r="F17558" s="102" t="str">
        <f ca="1">IFERROR(__xludf.DUMMYFUNCTION("IMPORTRANGE(H17558,""IDENTITAS UNIT!D9"")"),"#N/A")</f>
        <v>#N/A</v>
      </c>
      <c r="H17558" s="4" t="str">
        <v/>
      </c>
      <c r="I17558" s="4" t="str">
        <v/>
      </c>
    </row>
    <row r="17559" spans="5:9" ht="16.5" hidden="1">
      <c r="E17559" s="4" t="str">
        <v/>
      </c>
      <c r="F17559" s="102" t="str">
        <f ca="1">IFERROR(__xludf.DUMMYFUNCTION("IMPORTRANGE(H17559,""IDENTITAS UNIT!D9"")"),"#N/A")</f>
        <v>#N/A</v>
      </c>
      <c r="H17559" s="4" t="str">
        <v/>
      </c>
      <c r="I17559" s="4" t="str">
        <v/>
      </c>
    </row>
    <row r="17560" spans="5:9" ht="16.5" hidden="1">
      <c r="E17560" s="4" t="str">
        <v/>
      </c>
      <c r="F17560" s="102" t="str">
        <f ca="1">IFERROR(__xludf.DUMMYFUNCTION("IMPORTRANGE(H17560,""IDENTITAS UNIT!D9"")"),"#N/A")</f>
        <v>#N/A</v>
      </c>
      <c r="H17560" s="4" t="str">
        <v/>
      </c>
      <c r="I17560" s="4" t="str">
        <v/>
      </c>
    </row>
    <row r="17561" spans="5:9" ht="16.5" hidden="1">
      <c r="E17561" s="4" t="str">
        <v/>
      </c>
      <c r="F17561" s="102" t="str">
        <f ca="1">IFERROR(__xludf.DUMMYFUNCTION("IMPORTRANGE(H17561,""IDENTITAS UNIT!D9"")"),"#N/A")</f>
        <v>#N/A</v>
      </c>
      <c r="H17561" s="4" t="str">
        <v/>
      </c>
      <c r="I17561" s="4" t="str">
        <v/>
      </c>
    </row>
    <row r="17562" spans="5:9" ht="16.5" hidden="1">
      <c r="E17562" s="4" t="str">
        <v/>
      </c>
      <c r="F17562" s="102" t="str">
        <f ca="1">IFERROR(__xludf.DUMMYFUNCTION("IMPORTRANGE(H17562,""IDENTITAS UNIT!D9"")"),"#N/A")</f>
        <v>#N/A</v>
      </c>
      <c r="H17562" s="4" t="str">
        <v/>
      </c>
      <c r="I17562" s="4" t="str">
        <v/>
      </c>
    </row>
    <row r="17563" spans="5:9" ht="16.5" hidden="1">
      <c r="E17563" s="4" t="str">
        <v/>
      </c>
      <c r="F17563" s="102" t="str">
        <f ca="1">IFERROR(__xludf.DUMMYFUNCTION("IMPORTRANGE(H17563,""IDENTITAS UNIT!D9"")"),"#N/A")</f>
        <v>#N/A</v>
      </c>
      <c r="H17563" s="4" t="str">
        <v/>
      </c>
      <c r="I17563" s="4" t="str">
        <v/>
      </c>
    </row>
    <row r="17564" spans="5:9" ht="16.5" hidden="1">
      <c r="E17564" s="4" t="str">
        <v/>
      </c>
      <c r="F17564" s="102" t="str">
        <f ca="1">IFERROR(__xludf.DUMMYFUNCTION("IMPORTRANGE(H17564,""IDENTITAS UNIT!D9"")"),"#N/A")</f>
        <v>#N/A</v>
      </c>
      <c r="H17564" s="4" t="str">
        <v/>
      </c>
      <c r="I17564" s="4" t="str">
        <v/>
      </c>
    </row>
    <row r="17565" spans="5:9" ht="16.5" hidden="1">
      <c r="E17565" s="4" t="str">
        <v/>
      </c>
      <c r="F17565" s="102" t="str">
        <f ca="1">IFERROR(__xludf.DUMMYFUNCTION("IMPORTRANGE(H17565,""IDENTITAS UNIT!D9"")"),"#N/A")</f>
        <v>#N/A</v>
      </c>
      <c r="H17565" s="4" t="str">
        <v/>
      </c>
      <c r="I17565" s="4" t="str">
        <v/>
      </c>
    </row>
    <row r="17566" spans="5:9" ht="16.5" hidden="1">
      <c r="E17566" s="4" t="str">
        <v/>
      </c>
      <c r="F17566" s="102" t="str">
        <f ca="1">IFERROR(__xludf.DUMMYFUNCTION("IMPORTRANGE(H17566,""IDENTITAS UNIT!D9"")"),"#N/A")</f>
        <v>#N/A</v>
      </c>
      <c r="H17566" s="4" t="str">
        <v/>
      </c>
      <c r="I17566" s="4" t="str">
        <v/>
      </c>
    </row>
    <row r="17567" spans="5:9" ht="16.5" hidden="1">
      <c r="E17567" s="4" t="str">
        <v/>
      </c>
      <c r="F17567" s="102" t="str">
        <f ca="1">IFERROR(__xludf.DUMMYFUNCTION("IMPORTRANGE(H17567,""IDENTITAS UNIT!D9"")"),"#N/A")</f>
        <v>#N/A</v>
      </c>
      <c r="H17567" s="4" t="str">
        <v/>
      </c>
      <c r="I17567" s="4" t="str">
        <v/>
      </c>
    </row>
    <row r="17568" spans="5:9" ht="16.5" hidden="1">
      <c r="E17568" s="4" t="str">
        <v/>
      </c>
      <c r="F17568" s="102" t="str">
        <f ca="1">IFERROR(__xludf.DUMMYFUNCTION("IMPORTRANGE(H17568,""IDENTITAS UNIT!D9"")"),"#N/A")</f>
        <v>#N/A</v>
      </c>
      <c r="H17568" s="4" t="str">
        <v/>
      </c>
      <c r="I17568" s="4" t="str">
        <v/>
      </c>
    </row>
    <row r="17569" spans="5:9" ht="16.5" hidden="1">
      <c r="E17569" s="4" t="str">
        <v/>
      </c>
      <c r="F17569" s="102" t="str">
        <f ca="1">IFERROR(__xludf.DUMMYFUNCTION("IMPORTRANGE(H17569,""IDENTITAS UNIT!D9"")"),"#N/A")</f>
        <v>#N/A</v>
      </c>
      <c r="H17569" s="4" t="str">
        <v/>
      </c>
      <c r="I17569" s="4" t="str">
        <v/>
      </c>
    </row>
    <row r="17570" spans="5:9" ht="16.5" hidden="1">
      <c r="E17570" s="4" t="str">
        <v/>
      </c>
      <c r="F17570" s="102" t="str">
        <f ca="1">IFERROR(__xludf.DUMMYFUNCTION("IMPORTRANGE(H17570,""IDENTITAS UNIT!D9"")"),"#N/A")</f>
        <v>#N/A</v>
      </c>
      <c r="H17570" s="4" t="str">
        <v/>
      </c>
      <c r="I17570" s="4" t="str">
        <v/>
      </c>
    </row>
    <row r="17571" spans="5:9" ht="16.5" hidden="1">
      <c r="E17571" s="4" t="str">
        <v/>
      </c>
      <c r="F17571" s="102" t="str">
        <f ca="1">IFERROR(__xludf.DUMMYFUNCTION("IMPORTRANGE(H17571,""IDENTITAS UNIT!D9"")"),"#N/A")</f>
        <v>#N/A</v>
      </c>
      <c r="H17571" s="4" t="str">
        <v/>
      </c>
      <c r="I17571" s="4" t="str">
        <v/>
      </c>
    </row>
    <row r="17572" spans="5:9" ht="16.5" hidden="1">
      <c r="E17572" s="4" t="str">
        <v/>
      </c>
      <c r="F17572" s="102" t="str">
        <f ca="1">IFERROR(__xludf.DUMMYFUNCTION("IMPORTRANGE(H17572,""IDENTITAS UNIT!D9"")"),"#N/A")</f>
        <v>#N/A</v>
      </c>
      <c r="H17572" s="4" t="str">
        <v/>
      </c>
      <c r="I17572" s="4" t="str">
        <v/>
      </c>
    </row>
    <row r="17573" spans="5:9" ht="16.5" hidden="1">
      <c r="E17573" s="4" t="str">
        <v/>
      </c>
      <c r="F17573" s="102" t="str">
        <f ca="1">IFERROR(__xludf.DUMMYFUNCTION("IMPORTRANGE(H17573,""IDENTITAS UNIT!D9"")"),"#N/A")</f>
        <v>#N/A</v>
      </c>
      <c r="H17573" s="4" t="str">
        <v/>
      </c>
      <c r="I17573" s="4" t="str">
        <v/>
      </c>
    </row>
    <row r="17574" spans="5:9" ht="16.5" hidden="1">
      <c r="E17574" s="4" t="str">
        <v/>
      </c>
      <c r="F17574" s="102" t="str">
        <f ca="1">IFERROR(__xludf.DUMMYFUNCTION("IMPORTRANGE(H17574,""IDENTITAS UNIT!D9"")"),"#N/A")</f>
        <v>#N/A</v>
      </c>
      <c r="H17574" s="4" t="str">
        <v/>
      </c>
      <c r="I17574" s="4" t="str">
        <v/>
      </c>
    </row>
    <row r="17575" spans="5:9" ht="16.5" hidden="1">
      <c r="E17575" s="4" t="str">
        <v/>
      </c>
      <c r="F17575" s="102" t="str">
        <f ca="1">IFERROR(__xludf.DUMMYFUNCTION("IMPORTRANGE(H17575,""IDENTITAS UNIT!D9"")"),"#N/A")</f>
        <v>#N/A</v>
      </c>
      <c r="H17575" s="4" t="str">
        <v/>
      </c>
      <c r="I17575" s="4" t="str">
        <v/>
      </c>
    </row>
    <row r="17576" spans="5:9" ht="16.5" hidden="1">
      <c r="E17576" s="4" t="str">
        <v/>
      </c>
      <c r="F17576" s="102" t="str">
        <f ca="1">IFERROR(__xludf.DUMMYFUNCTION("IMPORTRANGE(H17576,""IDENTITAS UNIT!D9"")"),"#N/A")</f>
        <v>#N/A</v>
      </c>
      <c r="H17576" s="4" t="str">
        <v/>
      </c>
      <c r="I17576" s="4" t="str">
        <v/>
      </c>
    </row>
    <row r="17577" spans="5:9" ht="16.5" hidden="1">
      <c r="E17577" s="4" t="str">
        <v/>
      </c>
      <c r="F17577" s="102" t="str">
        <f ca="1">IFERROR(__xludf.DUMMYFUNCTION("IMPORTRANGE(H17577,""IDENTITAS UNIT!D9"")"),"#N/A")</f>
        <v>#N/A</v>
      </c>
      <c r="H17577" s="4" t="str">
        <v/>
      </c>
      <c r="I17577" s="4" t="str">
        <v/>
      </c>
    </row>
    <row r="17578" spans="5:9" ht="16.5" hidden="1">
      <c r="E17578" s="4" t="str">
        <v/>
      </c>
      <c r="F17578" s="102" t="str">
        <f ca="1">IFERROR(__xludf.DUMMYFUNCTION("IMPORTRANGE(H17578,""IDENTITAS UNIT!D9"")"),"#N/A")</f>
        <v>#N/A</v>
      </c>
      <c r="H17578" s="4" t="str">
        <v/>
      </c>
      <c r="I17578" s="4" t="str">
        <v/>
      </c>
    </row>
    <row r="17579" spans="5:9" ht="16.5" hidden="1">
      <c r="E17579" s="4" t="str">
        <v/>
      </c>
      <c r="F17579" s="102" t="str">
        <f ca="1">IFERROR(__xludf.DUMMYFUNCTION("IMPORTRANGE(H17579,""IDENTITAS UNIT!D9"")"),"#N/A")</f>
        <v>#N/A</v>
      </c>
      <c r="H17579" s="4" t="str">
        <v/>
      </c>
      <c r="I17579" s="4" t="str">
        <v/>
      </c>
    </row>
    <row r="17580" spans="5:9" ht="16.5" hidden="1">
      <c r="E17580" s="4" t="str">
        <v/>
      </c>
      <c r="F17580" s="102" t="str">
        <f ca="1">IFERROR(__xludf.DUMMYFUNCTION("IMPORTRANGE(H17580,""IDENTITAS UNIT!D9"")"),"#N/A")</f>
        <v>#N/A</v>
      </c>
      <c r="H17580" s="4" t="str">
        <v/>
      </c>
      <c r="I17580" s="4" t="str">
        <v/>
      </c>
    </row>
    <row r="17581" spans="5:9" ht="16.5" hidden="1">
      <c r="E17581" s="4" t="str">
        <v/>
      </c>
      <c r="F17581" s="102" t="str">
        <f ca="1">IFERROR(__xludf.DUMMYFUNCTION("IMPORTRANGE(H17581,""IDENTITAS UNIT!D9"")"),"#N/A")</f>
        <v>#N/A</v>
      </c>
      <c r="H17581" s="4" t="str">
        <v/>
      </c>
      <c r="I17581" s="4" t="str">
        <v/>
      </c>
    </row>
    <row r="17582" spans="5:9" ht="16.5" hidden="1">
      <c r="E17582" s="4" t="str">
        <v/>
      </c>
      <c r="F17582" s="102" t="str">
        <f ca="1">IFERROR(__xludf.DUMMYFUNCTION("IMPORTRANGE(H17582,""IDENTITAS UNIT!D9"")"),"#N/A")</f>
        <v>#N/A</v>
      </c>
      <c r="H17582" s="4" t="str">
        <v/>
      </c>
      <c r="I17582" s="4" t="str">
        <v/>
      </c>
    </row>
    <row r="17583" spans="5:9" ht="16.5" hidden="1">
      <c r="E17583" s="4" t="str">
        <v/>
      </c>
      <c r="F17583" s="102" t="str">
        <f ca="1">IFERROR(__xludf.DUMMYFUNCTION("IMPORTRANGE(H17583,""IDENTITAS UNIT!D9"")"),"#N/A")</f>
        <v>#N/A</v>
      </c>
      <c r="H17583" s="4" t="str">
        <v/>
      </c>
      <c r="I17583" s="4" t="str">
        <v/>
      </c>
    </row>
    <row r="17584" spans="5:9" ht="16.5" hidden="1">
      <c r="E17584" s="4" t="str">
        <v/>
      </c>
      <c r="F17584" s="102" t="str">
        <f ca="1">IFERROR(__xludf.DUMMYFUNCTION("IMPORTRANGE(H17584,""IDENTITAS UNIT!D9"")"),"#N/A")</f>
        <v>#N/A</v>
      </c>
      <c r="H17584" s="4" t="str">
        <v/>
      </c>
      <c r="I17584" s="4" t="str">
        <v/>
      </c>
    </row>
    <row r="17585" spans="5:9" ht="16.5" hidden="1">
      <c r="E17585" s="4" t="str">
        <v/>
      </c>
      <c r="F17585" s="102" t="str">
        <f ca="1">IFERROR(__xludf.DUMMYFUNCTION("IMPORTRANGE(H17585,""IDENTITAS UNIT!D9"")"),"#N/A")</f>
        <v>#N/A</v>
      </c>
      <c r="H17585" s="4" t="str">
        <v/>
      </c>
      <c r="I17585" s="4" t="str">
        <v/>
      </c>
    </row>
    <row r="17586" spans="5:9" ht="16.5" hidden="1">
      <c r="E17586" s="4" t="str">
        <v/>
      </c>
      <c r="F17586" s="102" t="str">
        <f ca="1">IFERROR(__xludf.DUMMYFUNCTION("IMPORTRANGE(H17586,""IDENTITAS UNIT!D9"")"),"#N/A")</f>
        <v>#N/A</v>
      </c>
      <c r="H17586" s="4" t="str">
        <v/>
      </c>
      <c r="I17586" s="4" t="str">
        <v/>
      </c>
    </row>
    <row r="17587" spans="5:9" ht="16.5" hidden="1">
      <c r="E17587" s="4" t="str">
        <v/>
      </c>
      <c r="F17587" s="102" t="str">
        <f ca="1">IFERROR(__xludf.DUMMYFUNCTION("IMPORTRANGE(H17587,""IDENTITAS UNIT!D9"")"),"#N/A")</f>
        <v>#N/A</v>
      </c>
      <c r="H17587" s="4" t="str">
        <v/>
      </c>
      <c r="I17587" s="4" t="str">
        <v/>
      </c>
    </row>
    <row r="17588" spans="5:9" ht="16.5" hidden="1">
      <c r="E17588" s="4" t="str">
        <v/>
      </c>
      <c r="F17588" s="102" t="str">
        <f ca="1">IFERROR(__xludf.DUMMYFUNCTION("IMPORTRANGE(H17588,""IDENTITAS UNIT!D9"")"),"#N/A")</f>
        <v>#N/A</v>
      </c>
      <c r="H17588" s="4" t="str">
        <v/>
      </c>
      <c r="I17588" s="4" t="str">
        <v/>
      </c>
    </row>
    <row r="17589" spans="5:9" ht="16.5" hidden="1">
      <c r="E17589" s="4" t="str">
        <v/>
      </c>
      <c r="F17589" s="102" t="str">
        <f ca="1">IFERROR(__xludf.DUMMYFUNCTION("IMPORTRANGE(H17589,""IDENTITAS UNIT!D9"")"),"#N/A")</f>
        <v>#N/A</v>
      </c>
      <c r="H17589" s="4" t="str">
        <v/>
      </c>
      <c r="I17589" s="4" t="str">
        <v/>
      </c>
    </row>
    <row r="17590" spans="5:9" ht="16.5" hidden="1">
      <c r="E17590" s="4" t="str">
        <v/>
      </c>
      <c r="F17590" s="102" t="str">
        <f ca="1">IFERROR(__xludf.DUMMYFUNCTION("IMPORTRANGE(H17590,""IDENTITAS UNIT!D9"")"),"#N/A")</f>
        <v>#N/A</v>
      </c>
      <c r="H17590" s="4" t="str">
        <v/>
      </c>
      <c r="I17590" s="4" t="str">
        <v/>
      </c>
    </row>
    <row r="17591" spans="5:9" ht="16.5" hidden="1">
      <c r="E17591" s="4" t="str">
        <v/>
      </c>
      <c r="F17591" s="102" t="str">
        <f ca="1">IFERROR(__xludf.DUMMYFUNCTION("IMPORTRANGE(H17591,""IDENTITAS UNIT!D9"")"),"#N/A")</f>
        <v>#N/A</v>
      </c>
      <c r="H17591" s="4" t="str">
        <v/>
      </c>
      <c r="I17591" s="4" t="str">
        <v/>
      </c>
    </row>
    <row r="17592" spans="5:9" ht="16.5" hidden="1">
      <c r="E17592" s="4" t="str">
        <v/>
      </c>
      <c r="F17592" s="102" t="str">
        <f ca="1">IFERROR(__xludf.DUMMYFUNCTION("IMPORTRANGE(H17592,""IDENTITAS UNIT!D9"")"),"#N/A")</f>
        <v>#N/A</v>
      </c>
      <c r="H17592" s="4" t="str">
        <v/>
      </c>
      <c r="I17592" s="4" t="str">
        <v/>
      </c>
    </row>
    <row r="17593" spans="5:9" ht="16.5" hidden="1">
      <c r="E17593" s="4" t="str">
        <v/>
      </c>
      <c r="F17593" s="102" t="str">
        <f ca="1">IFERROR(__xludf.DUMMYFUNCTION("IMPORTRANGE(H17593,""IDENTITAS UNIT!D9"")"),"#N/A")</f>
        <v>#N/A</v>
      </c>
      <c r="H17593" s="4" t="str">
        <v/>
      </c>
      <c r="I17593" s="4" t="str">
        <v/>
      </c>
    </row>
    <row r="17594" spans="5:9" ht="16.5" hidden="1">
      <c r="E17594" s="4" t="str">
        <v/>
      </c>
      <c r="F17594" s="102" t="str">
        <f ca="1">IFERROR(__xludf.DUMMYFUNCTION("IMPORTRANGE(H17594,""IDENTITAS UNIT!D9"")"),"#N/A")</f>
        <v>#N/A</v>
      </c>
      <c r="H17594" s="4" t="str">
        <v/>
      </c>
      <c r="I17594" s="4" t="str">
        <v/>
      </c>
    </row>
    <row r="17595" spans="5:9" ht="16.5" hidden="1">
      <c r="E17595" s="4" t="str">
        <v/>
      </c>
      <c r="F17595" s="102" t="str">
        <f ca="1">IFERROR(__xludf.DUMMYFUNCTION("IMPORTRANGE(H17595,""IDENTITAS UNIT!D9"")"),"#N/A")</f>
        <v>#N/A</v>
      </c>
      <c r="H17595" s="4" t="str">
        <v/>
      </c>
      <c r="I17595" s="4" t="str">
        <v/>
      </c>
    </row>
    <row r="17596" spans="5:9" ht="16.5" hidden="1">
      <c r="E17596" s="4" t="str">
        <v/>
      </c>
      <c r="F17596" s="102" t="str">
        <f ca="1">IFERROR(__xludf.DUMMYFUNCTION("IMPORTRANGE(H17596,""IDENTITAS UNIT!D9"")"),"#N/A")</f>
        <v>#N/A</v>
      </c>
      <c r="H17596" s="4" t="str">
        <v/>
      </c>
      <c r="I17596" s="4" t="str">
        <v/>
      </c>
    </row>
    <row r="17597" spans="5:9" ht="16.5" hidden="1">
      <c r="E17597" s="4" t="str">
        <v/>
      </c>
      <c r="F17597" s="102" t="str">
        <f ca="1">IFERROR(__xludf.DUMMYFUNCTION("IMPORTRANGE(H17597,""IDENTITAS UNIT!D9"")"),"#N/A")</f>
        <v>#N/A</v>
      </c>
      <c r="H17597" s="4" t="str">
        <v/>
      </c>
      <c r="I17597" s="4" t="str">
        <v/>
      </c>
    </row>
    <row r="17598" spans="5:9" ht="16.5" hidden="1">
      <c r="E17598" s="4" t="str">
        <v/>
      </c>
      <c r="F17598" s="102" t="str">
        <f ca="1">IFERROR(__xludf.DUMMYFUNCTION("IMPORTRANGE(H17598,""IDENTITAS UNIT!D9"")"),"#N/A")</f>
        <v>#N/A</v>
      </c>
      <c r="H17598" s="4" t="str">
        <v/>
      </c>
      <c r="I17598" s="4" t="str">
        <v/>
      </c>
    </row>
    <row r="17599" spans="5:9" ht="16.5" hidden="1">
      <c r="E17599" s="4" t="str">
        <v/>
      </c>
      <c r="F17599" s="102" t="str">
        <f ca="1">IFERROR(__xludf.DUMMYFUNCTION("IMPORTRANGE(H17599,""IDENTITAS UNIT!D9"")"),"#N/A")</f>
        <v>#N/A</v>
      </c>
      <c r="H17599" s="4" t="str">
        <v/>
      </c>
      <c r="I17599" s="4" t="str">
        <v/>
      </c>
    </row>
    <row r="17600" spans="5:9" ht="16.5" hidden="1">
      <c r="E17600" s="4" t="str">
        <v/>
      </c>
      <c r="F17600" s="102" t="str">
        <f ca="1">IFERROR(__xludf.DUMMYFUNCTION("IMPORTRANGE(H17600,""IDENTITAS UNIT!D9"")"),"#N/A")</f>
        <v>#N/A</v>
      </c>
      <c r="H17600" s="4" t="str">
        <v/>
      </c>
      <c r="I17600" s="4" t="str">
        <v/>
      </c>
    </row>
    <row r="17601" spans="5:9" ht="16.5" hidden="1">
      <c r="E17601" s="4" t="str">
        <v/>
      </c>
      <c r="F17601" s="102" t="str">
        <f ca="1">IFERROR(__xludf.DUMMYFUNCTION("IMPORTRANGE(H17601,""IDENTITAS UNIT!D9"")"),"#N/A")</f>
        <v>#N/A</v>
      </c>
      <c r="H17601" s="4" t="str">
        <v/>
      </c>
      <c r="I17601" s="4" t="str">
        <v/>
      </c>
    </row>
    <row r="17602" spans="5:9" ht="16.5" hidden="1">
      <c r="E17602" s="4" t="str">
        <v/>
      </c>
      <c r="F17602" s="102" t="str">
        <f ca="1">IFERROR(__xludf.DUMMYFUNCTION("IMPORTRANGE(H17602,""IDENTITAS UNIT!D9"")"),"#N/A")</f>
        <v>#N/A</v>
      </c>
      <c r="H17602" s="4" t="str">
        <v/>
      </c>
      <c r="I17602" s="4" t="str">
        <v/>
      </c>
    </row>
    <row r="17603" spans="5:9" ht="16.5" hidden="1">
      <c r="E17603" s="4" t="str">
        <v/>
      </c>
      <c r="F17603" s="102" t="str">
        <f ca="1">IFERROR(__xludf.DUMMYFUNCTION("IMPORTRANGE(H17603,""IDENTITAS UNIT!D9"")"),"#N/A")</f>
        <v>#N/A</v>
      </c>
      <c r="H17603" s="4" t="str">
        <v/>
      </c>
      <c r="I17603" s="4" t="str">
        <v/>
      </c>
    </row>
    <row r="17604" spans="5:9" ht="16.5" hidden="1">
      <c r="E17604" s="4" t="str">
        <v/>
      </c>
      <c r="F17604" s="102" t="str">
        <f ca="1">IFERROR(__xludf.DUMMYFUNCTION("IMPORTRANGE(H17604,""IDENTITAS UNIT!D9"")"),"#N/A")</f>
        <v>#N/A</v>
      </c>
      <c r="H17604" s="4" t="str">
        <v/>
      </c>
      <c r="I17604" s="4" t="str">
        <v/>
      </c>
    </row>
    <row r="17605" spans="5:9" ht="16.5" hidden="1">
      <c r="E17605" s="4" t="str">
        <v/>
      </c>
      <c r="F17605" s="102" t="str">
        <f ca="1">IFERROR(__xludf.DUMMYFUNCTION("IMPORTRANGE(H17605,""IDENTITAS UNIT!D9"")"),"#N/A")</f>
        <v>#N/A</v>
      </c>
      <c r="H17605" s="4" t="str">
        <v/>
      </c>
      <c r="I17605" s="4" t="str">
        <v/>
      </c>
    </row>
    <row r="17606" spans="5:9" ht="16.5" hidden="1">
      <c r="E17606" s="4" t="str">
        <v/>
      </c>
      <c r="F17606" s="102" t="str">
        <f ca="1">IFERROR(__xludf.DUMMYFUNCTION("IMPORTRANGE(H17606,""IDENTITAS UNIT!D9"")"),"#N/A")</f>
        <v>#N/A</v>
      </c>
      <c r="H17606" s="4" t="str">
        <v/>
      </c>
      <c r="I17606" s="4" t="str">
        <v/>
      </c>
    </row>
    <row r="17607" spans="5:9" ht="16.5" hidden="1">
      <c r="E17607" s="4" t="str">
        <v/>
      </c>
      <c r="F17607" s="102" t="str">
        <f ca="1">IFERROR(__xludf.DUMMYFUNCTION("IMPORTRANGE(H17607,""IDENTITAS UNIT!D9"")"),"#N/A")</f>
        <v>#N/A</v>
      </c>
      <c r="H17607" s="4" t="str">
        <v/>
      </c>
      <c r="I17607" s="4" t="str">
        <v/>
      </c>
    </row>
    <row r="17608" spans="5:9" ht="16.5" hidden="1">
      <c r="E17608" s="4" t="str">
        <v/>
      </c>
      <c r="F17608" s="102" t="str">
        <f ca="1">IFERROR(__xludf.DUMMYFUNCTION("IMPORTRANGE(H17608,""IDENTITAS UNIT!D9"")"),"#N/A")</f>
        <v>#N/A</v>
      </c>
      <c r="H17608" s="4" t="str">
        <v/>
      </c>
      <c r="I17608" s="4" t="str">
        <v/>
      </c>
    </row>
    <row r="17609" spans="5:9" ht="16.5" hidden="1">
      <c r="E17609" s="4" t="str">
        <v/>
      </c>
      <c r="F17609" s="102" t="str">
        <f ca="1">IFERROR(__xludf.DUMMYFUNCTION("IMPORTRANGE(H17609,""IDENTITAS UNIT!D9"")"),"#N/A")</f>
        <v>#N/A</v>
      </c>
      <c r="H17609" s="4" t="str">
        <v/>
      </c>
      <c r="I17609" s="4" t="str">
        <v/>
      </c>
    </row>
    <row r="17610" spans="5:9" ht="16.5" hidden="1">
      <c r="E17610" s="4" t="str">
        <v/>
      </c>
      <c r="F17610" s="102" t="str">
        <f ca="1">IFERROR(__xludf.DUMMYFUNCTION("IMPORTRANGE(H17610,""IDENTITAS UNIT!D9"")"),"#N/A")</f>
        <v>#N/A</v>
      </c>
      <c r="H17610" s="4" t="str">
        <v/>
      </c>
      <c r="I17610" s="4" t="str">
        <v/>
      </c>
    </row>
    <row r="17611" spans="5:9" ht="16.5" hidden="1">
      <c r="E17611" s="4" t="str">
        <v/>
      </c>
      <c r="F17611" s="102" t="str">
        <f ca="1">IFERROR(__xludf.DUMMYFUNCTION("IMPORTRANGE(H17611,""IDENTITAS UNIT!D9"")"),"#N/A")</f>
        <v>#N/A</v>
      </c>
      <c r="H17611" s="4" t="str">
        <v/>
      </c>
      <c r="I17611" s="4" t="str">
        <v/>
      </c>
    </row>
    <row r="17612" spans="5:9" ht="16.5" hidden="1">
      <c r="E17612" s="4" t="str">
        <v/>
      </c>
      <c r="F17612" s="102" t="str">
        <f ca="1">IFERROR(__xludf.DUMMYFUNCTION("IMPORTRANGE(H17612,""IDENTITAS UNIT!D9"")"),"#N/A")</f>
        <v>#N/A</v>
      </c>
      <c r="H17612" s="4" t="str">
        <v/>
      </c>
      <c r="I17612" s="4" t="str">
        <v/>
      </c>
    </row>
    <row r="17613" spans="5:9" ht="16.5" hidden="1">
      <c r="E17613" s="4" t="str">
        <v/>
      </c>
      <c r="F17613" s="102" t="str">
        <f ca="1">IFERROR(__xludf.DUMMYFUNCTION("IMPORTRANGE(H17613,""IDENTITAS UNIT!D9"")"),"#N/A")</f>
        <v>#N/A</v>
      </c>
      <c r="H17613" s="4" t="str">
        <v/>
      </c>
      <c r="I17613" s="4" t="str">
        <v/>
      </c>
    </row>
    <row r="17614" spans="5:9" ht="16.5" hidden="1">
      <c r="E17614" s="4" t="str">
        <v/>
      </c>
      <c r="F17614" s="102" t="str">
        <f ca="1">IFERROR(__xludf.DUMMYFUNCTION("IMPORTRANGE(H17614,""IDENTITAS UNIT!D9"")"),"#N/A")</f>
        <v>#N/A</v>
      </c>
      <c r="H17614" s="4" t="str">
        <v/>
      </c>
      <c r="I17614" s="4" t="str">
        <v/>
      </c>
    </row>
    <row r="17615" spans="5:9" ht="16.5" hidden="1">
      <c r="E17615" s="4" t="str">
        <v/>
      </c>
      <c r="F17615" s="102" t="str">
        <f ca="1">IFERROR(__xludf.DUMMYFUNCTION("IMPORTRANGE(H17615,""IDENTITAS UNIT!D9"")"),"#N/A")</f>
        <v>#N/A</v>
      </c>
      <c r="H17615" s="4" t="str">
        <v/>
      </c>
      <c r="I17615" s="4" t="str">
        <v/>
      </c>
    </row>
    <row r="17616" spans="5:9" ht="16.5" hidden="1">
      <c r="E17616" s="4" t="str">
        <v/>
      </c>
      <c r="F17616" s="102" t="str">
        <f ca="1">IFERROR(__xludf.DUMMYFUNCTION("IMPORTRANGE(H17616,""IDENTITAS UNIT!D9"")"),"#N/A")</f>
        <v>#N/A</v>
      </c>
      <c r="H17616" s="4" t="str">
        <v/>
      </c>
      <c r="I17616" s="4" t="str">
        <v/>
      </c>
    </row>
    <row r="17617" spans="5:9" ht="16.5" hidden="1">
      <c r="E17617" s="4" t="str">
        <v/>
      </c>
      <c r="F17617" s="102" t="str">
        <f ca="1">IFERROR(__xludf.DUMMYFUNCTION("IMPORTRANGE(H17617,""IDENTITAS UNIT!D9"")"),"#N/A")</f>
        <v>#N/A</v>
      </c>
      <c r="H17617" s="4" t="str">
        <v/>
      </c>
      <c r="I17617" s="4" t="str">
        <v/>
      </c>
    </row>
    <row r="17618" spans="5:9" ht="16.5" hidden="1">
      <c r="E17618" s="4" t="str">
        <v/>
      </c>
      <c r="F17618" s="102" t="str">
        <f ca="1">IFERROR(__xludf.DUMMYFUNCTION("IMPORTRANGE(H17618,""IDENTITAS UNIT!D9"")"),"#N/A")</f>
        <v>#N/A</v>
      </c>
      <c r="H17618" s="4" t="str">
        <v/>
      </c>
      <c r="I17618" s="4" t="str">
        <v/>
      </c>
    </row>
    <row r="17619" spans="5:9" ht="16.5" hidden="1">
      <c r="E17619" s="4" t="str">
        <v/>
      </c>
      <c r="F17619" s="102" t="str">
        <f ca="1">IFERROR(__xludf.DUMMYFUNCTION("IMPORTRANGE(H17619,""IDENTITAS UNIT!D9"")"),"#N/A")</f>
        <v>#N/A</v>
      </c>
      <c r="H17619" s="4" t="str">
        <v/>
      </c>
      <c r="I17619" s="4" t="str">
        <v/>
      </c>
    </row>
    <row r="17620" spans="5:9" ht="16.5" hidden="1">
      <c r="E17620" s="4" t="str">
        <v/>
      </c>
      <c r="F17620" s="102" t="str">
        <f ca="1">IFERROR(__xludf.DUMMYFUNCTION("IMPORTRANGE(H17620,""IDENTITAS UNIT!D9"")"),"#N/A")</f>
        <v>#N/A</v>
      </c>
      <c r="H17620" s="4" t="str">
        <v/>
      </c>
      <c r="I17620" s="4" t="str">
        <v/>
      </c>
    </row>
    <row r="17621" spans="5:9" ht="16.5" hidden="1">
      <c r="E17621" s="4" t="str">
        <v/>
      </c>
      <c r="F17621" s="102" t="str">
        <f ca="1">IFERROR(__xludf.DUMMYFUNCTION("IMPORTRANGE(H17621,""IDENTITAS UNIT!D9"")"),"#N/A")</f>
        <v>#N/A</v>
      </c>
      <c r="H17621" s="4" t="str">
        <v/>
      </c>
      <c r="I17621" s="4" t="str">
        <v/>
      </c>
    </row>
    <row r="17622" spans="5:9" ht="16.5" hidden="1">
      <c r="E17622" s="4" t="str">
        <v/>
      </c>
      <c r="F17622" s="102" t="str">
        <f ca="1">IFERROR(__xludf.DUMMYFUNCTION("IMPORTRANGE(H17622,""IDENTITAS UNIT!D9"")"),"#N/A")</f>
        <v>#N/A</v>
      </c>
      <c r="H17622" s="4" t="str">
        <v/>
      </c>
      <c r="I17622" s="4" t="str">
        <v/>
      </c>
    </row>
    <row r="17623" spans="5:9" ht="16.5" hidden="1">
      <c r="E17623" s="4" t="str">
        <v/>
      </c>
      <c r="F17623" s="102" t="str">
        <f ca="1">IFERROR(__xludf.DUMMYFUNCTION("IMPORTRANGE(H17623,""IDENTITAS UNIT!D9"")"),"#N/A")</f>
        <v>#N/A</v>
      </c>
      <c r="H17623" s="4" t="str">
        <v/>
      </c>
      <c r="I17623" s="4" t="str">
        <v/>
      </c>
    </row>
    <row r="17624" spans="5:9" ht="16.5" hidden="1">
      <c r="E17624" s="4" t="str">
        <v/>
      </c>
      <c r="F17624" s="102" t="str">
        <f ca="1">IFERROR(__xludf.DUMMYFUNCTION("IMPORTRANGE(H17624,""IDENTITAS UNIT!D9"")"),"#N/A")</f>
        <v>#N/A</v>
      </c>
      <c r="H17624" s="4" t="str">
        <v/>
      </c>
      <c r="I17624" s="4" t="str">
        <v/>
      </c>
    </row>
    <row r="17625" spans="5:9" ht="16.5" hidden="1">
      <c r="E17625" s="4" t="str">
        <v/>
      </c>
      <c r="F17625" s="102" t="str">
        <f ca="1">IFERROR(__xludf.DUMMYFUNCTION("IMPORTRANGE(H17625,""IDENTITAS UNIT!D9"")"),"#N/A")</f>
        <v>#N/A</v>
      </c>
      <c r="H17625" s="4" t="str">
        <v/>
      </c>
      <c r="I17625" s="4" t="str">
        <v/>
      </c>
    </row>
    <row r="17626" spans="5:9" ht="16.5" hidden="1">
      <c r="E17626" s="4" t="str">
        <v/>
      </c>
      <c r="F17626" s="102" t="str">
        <f ca="1">IFERROR(__xludf.DUMMYFUNCTION("IMPORTRANGE(H17626,""IDENTITAS UNIT!D9"")"),"#N/A")</f>
        <v>#N/A</v>
      </c>
      <c r="H17626" s="4" t="str">
        <v/>
      </c>
      <c r="I17626" s="4" t="str">
        <v/>
      </c>
    </row>
    <row r="17627" spans="5:9" ht="16.5" hidden="1">
      <c r="E17627" s="4" t="str">
        <v/>
      </c>
      <c r="F17627" s="102" t="str">
        <f ca="1">IFERROR(__xludf.DUMMYFUNCTION("IMPORTRANGE(H17627,""IDENTITAS UNIT!D9"")"),"#N/A")</f>
        <v>#N/A</v>
      </c>
      <c r="H17627" s="4" t="str">
        <v/>
      </c>
      <c r="I17627" s="4" t="str">
        <v/>
      </c>
    </row>
    <row r="17628" spans="5:9" ht="16.5" hidden="1">
      <c r="E17628" s="4" t="str">
        <v/>
      </c>
      <c r="F17628" s="102" t="str">
        <f ca="1">IFERROR(__xludf.DUMMYFUNCTION("IMPORTRANGE(H17628,""IDENTITAS UNIT!D9"")"),"#N/A")</f>
        <v>#N/A</v>
      </c>
      <c r="H17628" s="4" t="str">
        <v/>
      </c>
      <c r="I17628" s="4" t="str">
        <v/>
      </c>
    </row>
    <row r="17629" spans="5:9" ht="16.5" hidden="1">
      <c r="E17629" s="4" t="str">
        <v/>
      </c>
      <c r="F17629" s="102" t="str">
        <f ca="1">IFERROR(__xludf.DUMMYFUNCTION("IMPORTRANGE(H17629,""IDENTITAS UNIT!D9"")"),"#N/A")</f>
        <v>#N/A</v>
      </c>
      <c r="H17629" s="4" t="str">
        <v/>
      </c>
      <c r="I17629" s="4" t="str">
        <v/>
      </c>
    </row>
    <row r="17630" spans="5:9" ht="16.5" hidden="1">
      <c r="E17630" s="4" t="str">
        <v/>
      </c>
      <c r="F17630" s="102" t="str">
        <f ca="1">IFERROR(__xludf.DUMMYFUNCTION("IMPORTRANGE(H17630,""IDENTITAS UNIT!D9"")"),"#N/A")</f>
        <v>#N/A</v>
      </c>
      <c r="H17630" s="4" t="str">
        <v/>
      </c>
      <c r="I17630" s="4" t="str">
        <v/>
      </c>
    </row>
    <row r="17631" spans="5:9" ht="16.5" hidden="1">
      <c r="E17631" s="4" t="str">
        <v/>
      </c>
      <c r="F17631" s="102" t="str">
        <f ca="1">IFERROR(__xludf.DUMMYFUNCTION("IMPORTRANGE(H17631,""IDENTITAS UNIT!D9"")"),"#N/A")</f>
        <v>#N/A</v>
      </c>
      <c r="H17631" s="4" t="str">
        <v/>
      </c>
      <c r="I17631" s="4" t="str">
        <v/>
      </c>
    </row>
    <row r="17632" spans="5:9" ht="16.5" hidden="1">
      <c r="E17632" s="4" t="str">
        <v/>
      </c>
      <c r="F17632" s="102" t="str">
        <f ca="1">IFERROR(__xludf.DUMMYFUNCTION("IMPORTRANGE(H17632,""IDENTITAS UNIT!D9"")"),"#N/A")</f>
        <v>#N/A</v>
      </c>
      <c r="H17632" s="4" t="str">
        <v/>
      </c>
      <c r="I17632" s="4" t="str">
        <v/>
      </c>
    </row>
    <row r="17633" spans="5:9" ht="16.5" hidden="1">
      <c r="E17633" s="4" t="str">
        <v/>
      </c>
      <c r="F17633" s="102" t="str">
        <f ca="1">IFERROR(__xludf.DUMMYFUNCTION("IMPORTRANGE(H17633,""IDENTITAS UNIT!D9"")"),"#N/A")</f>
        <v>#N/A</v>
      </c>
      <c r="H17633" s="4" t="str">
        <v/>
      </c>
      <c r="I17633" s="4" t="str">
        <v/>
      </c>
    </row>
    <row r="17634" spans="5:9" ht="16.5" hidden="1">
      <c r="E17634" s="4" t="str">
        <v/>
      </c>
      <c r="F17634" s="102" t="str">
        <f ca="1">IFERROR(__xludf.DUMMYFUNCTION("IMPORTRANGE(H17634,""IDENTITAS UNIT!D9"")"),"#N/A")</f>
        <v>#N/A</v>
      </c>
      <c r="H17634" s="4" t="str">
        <v/>
      </c>
      <c r="I17634" s="4" t="str">
        <v/>
      </c>
    </row>
    <row r="17635" spans="5:9" ht="16.5" hidden="1">
      <c r="E17635" s="4" t="str">
        <v/>
      </c>
      <c r="F17635" s="102" t="str">
        <f ca="1">IFERROR(__xludf.DUMMYFUNCTION("IMPORTRANGE(H17635,""IDENTITAS UNIT!D9"")"),"#N/A")</f>
        <v>#N/A</v>
      </c>
      <c r="H17635" s="4" t="str">
        <v/>
      </c>
      <c r="I17635" s="4" t="str">
        <v/>
      </c>
    </row>
    <row r="17636" spans="5:9" ht="16.5" hidden="1">
      <c r="E17636" s="4" t="str">
        <v/>
      </c>
      <c r="F17636" s="102" t="str">
        <f ca="1">IFERROR(__xludf.DUMMYFUNCTION("IMPORTRANGE(H17636,""IDENTITAS UNIT!D9"")"),"#N/A")</f>
        <v>#N/A</v>
      </c>
      <c r="H17636" s="4" t="str">
        <v/>
      </c>
      <c r="I17636" s="4" t="str">
        <v/>
      </c>
    </row>
    <row r="17637" spans="5:9" ht="16.5" hidden="1">
      <c r="E17637" s="4" t="str">
        <v/>
      </c>
      <c r="F17637" s="102" t="str">
        <f ca="1">IFERROR(__xludf.DUMMYFUNCTION("IMPORTRANGE(H17637,""IDENTITAS UNIT!D9"")"),"#N/A")</f>
        <v>#N/A</v>
      </c>
      <c r="H17637" s="4" t="str">
        <v/>
      </c>
      <c r="I17637" s="4" t="str">
        <v/>
      </c>
    </row>
    <row r="17638" spans="5:9" ht="16.5" hidden="1">
      <c r="E17638" s="4" t="str">
        <v/>
      </c>
      <c r="F17638" s="102" t="str">
        <f ca="1">IFERROR(__xludf.DUMMYFUNCTION("IMPORTRANGE(H17638,""IDENTITAS UNIT!D9"")"),"#N/A")</f>
        <v>#N/A</v>
      </c>
      <c r="H17638" s="4" t="str">
        <v/>
      </c>
      <c r="I17638" s="4" t="str">
        <v/>
      </c>
    </row>
    <row r="17639" spans="5:9" ht="16.5" hidden="1">
      <c r="E17639" s="4" t="str">
        <v/>
      </c>
      <c r="F17639" s="102" t="str">
        <f ca="1">IFERROR(__xludf.DUMMYFUNCTION("IMPORTRANGE(H17639,""IDENTITAS UNIT!D9"")"),"#N/A")</f>
        <v>#N/A</v>
      </c>
      <c r="H17639" s="4" t="str">
        <v/>
      </c>
      <c r="I17639" s="4" t="str">
        <v/>
      </c>
    </row>
    <row r="17640" spans="5:9" ht="16.5" hidden="1">
      <c r="E17640" s="4" t="str">
        <v/>
      </c>
      <c r="F17640" s="102" t="str">
        <f ca="1">IFERROR(__xludf.DUMMYFUNCTION("IMPORTRANGE(H17640,""IDENTITAS UNIT!D9"")"),"#N/A")</f>
        <v>#N/A</v>
      </c>
      <c r="H17640" s="4" t="str">
        <v/>
      </c>
      <c r="I17640" s="4" t="str">
        <v/>
      </c>
    </row>
    <row r="17641" spans="5:9" ht="16.5" hidden="1">
      <c r="E17641" s="4" t="str">
        <v/>
      </c>
      <c r="F17641" s="102" t="str">
        <f ca="1">IFERROR(__xludf.DUMMYFUNCTION("IMPORTRANGE(H17641,""IDENTITAS UNIT!D9"")"),"#N/A")</f>
        <v>#N/A</v>
      </c>
      <c r="H17641" s="4" t="str">
        <v/>
      </c>
      <c r="I17641" s="4" t="str">
        <v/>
      </c>
    </row>
    <row r="17642" spans="5:9" ht="16.5" hidden="1">
      <c r="E17642" s="4" t="str">
        <v/>
      </c>
      <c r="F17642" s="102" t="str">
        <f ca="1">IFERROR(__xludf.DUMMYFUNCTION("IMPORTRANGE(H17642,""IDENTITAS UNIT!D9"")"),"#N/A")</f>
        <v>#N/A</v>
      </c>
      <c r="H17642" s="4" t="str">
        <v/>
      </c>
      <c r="I17642" s="4" t="str">
        <v/>
      </c>
    </row>
    <row r="17643" spans="5:9" ht="16.5" hidden="1">
      <c r="E17643" s="4" t="str">
        <v/>
      </c>
      <c r="F17643" s="102" t="str">
        <f ca="1">IFERROR(__xludf.DUMMYFUNCTION("IMPORTRANGE(H17643,""IDENTITAS UNIT!D9"")"),"#N/A")</f>
        <v>#N/A</v>
      </c>
      <c r="H17643" s="4" t="str">
        <v/>
      </c>
      <c r="I17643" s="4" t="str">
        <v/>
      </c>
    </row>
    <row r="17644" spans="5:9" ht="16.5" hidden="1">
      <c r="E17644" s="4" t="str">
        <v/>
      </c>
      <c r="F17644" s="102" t="str">
        <f ca="1">IFERROR(__xludf.DUMMYFUNCTION("IMPORTRANGE(H17644,""IDENTITAS UNIT!D9"")"),"#N/A")</f>
        <v>#N/A</v>
      </c>
      <c r="H17644" s="4" t="str">
        <v/>
      </c>
      <c r="I17644" s="4" t="str">
        <v/>
      </c>
    </row>
    <row r="17645" spans="5:9" ht="16.5" hidden="1">
      <c r="E17645" s="4" t="str">
        <v/>
      </c>
      <c r="F17645" s="102" t="str">
        <f ca="1">IFERROR(__xludf.DUMMYFUNCTION("IMPORTRANGE(H17645,""IDENTITAS UNIT!D9"")"),"#N/A")</f>
        <v>#N/A</v>
      </c>
      <c r="H17645" s="4" t="str">
        <v/>
      </c>
      <c r="I17645" s="4" t="str">
        <v/>
      </c>
    </row>
    <row r="17646" spans="5:9" ht="16.5" hidden="1">
      <c r="E17646" s="4" t="str">
        <v/>
      </c>
      <c r="F17646" s="102" t="str">
        <f ca="1">IFERROR(__xludf.DUMMYFUNCTION("IMPORTRANGE(H17646,""IDENTITAS UNIT!D9"")"),"#N/A")</f>
        <v>#N/A</v>
      </c>
      <c r="H17646" s="4" t="str">
        <v/>
      </c>
      <c r="I17646" s="4" t="str">
        <v/>
      </c>
    </row>
    <row r="17647" spans="5:9" ht="16.5" hidden="1">
      <c r="E17647" s="4" t="str">
        <v/>
      </c>
      <c r="F17647" s="102" t="str">
        <f ca="1">IFERROR(__xludf.DUMMYFUNCTION("IMPORTRANGE(H17647,""IDENTITAS UNIT!D9"")"),"#N/A")</f>
        <v>#N/A</v>
      </c>
      <c r="H17647" s="4" t="str">
        <v/>
      </c>
      <c r="I17647" s="4" t="str">
        <v/>
      </c>
    </row>
    <row r="17648" spans="5:9" ht="16.5" hidden="1">
      <c r="E17648" s="4" t="str">
        <v/>
      </c>
      <c r="F17648" s="102" t="str">
        <f ca="1">IFERROR(__xludf.DUMMYFUNCTION("IMPORTRANGE(H17648,""IDENTITAS UNIT!D9"")"),"#N/A")</f>
        <v>#N/A</v>
      </c>
      <c r="H17648" s="4" t="str">
        <v/>
      </c>
      <c r="I17648" s="4" t="str">
        <v/>
      </c>
    </row>
    <row r="17649" spans="5:9" ht="16.5" hidden="1">
      <c r="E17649" s="4" t="str">
        <v/>
      </c>
      <c r="F17649" s="102" t="str">
        <f ca="1">IFERROR(__xludf.DUMMYFUNCTION("IMPORTRANGE(H17649,""IDENTITAS UNIT!D9"")"),"#N/A")</f>
        <v>#N/A</v>
      </c>
      <c r="H17649" s="4" t="str">
        <v/>
      </c>
      <c r="I17649" s="4" t="str">
        <v/>
      </c>
    </row>
    <row r="17650" spans="5:9" ht="16.5" hidden="1">
      <c r="E17650" s="4" t="str">
        <v/>
      </c>
      <c r="F17650" s="102" t="str">
        <f ca="1">IFERROR(__xludf.DUMMYFUNCTION("IMPORTRANGE(H17650,""IDENTITAS UNIT!D9"")"),"#N/A")</f>
        <v>#N/A</v>
      </c>
      <c r="H17650" s="4" t="str">
        <v/>
      </c>
      <c r="I17650" s="4" t="str">
        <v/>
      </c>
    </row>
    <row r="17651" spans="5:9" ht="16.5" hidden="1">
      <c r="E17651" s="4" t="str">
        <v/>
      </c>
      <c r="F17651" s="102" t="str">
        <f ca="1">IFERROR(__xludf.DUMMYFUNCTION("IMPORTRANGE(H17651,""IDENTITAS UNIT!D9"")"),"#N/A")</f>
        <v>#N/A</v>
      </c>
      <c r="H17651" s="4" t="str">
        <v/>
      </c>
      <c r="I17651" s="4" t="str">
        <v/>
      </c>
    </row>
    <row r="17652" spans="5:9" ht="16.5" hidden="1">
      <c r="E17652" s="4" t="str">
        <v/>
      </c>
      <c r="F17652" s="102" t="str">
        <f ca="1">IFERROR(__xludf.DUMMYFUNCTION("IMPORTRANGE(H17652,""IDENTITAS UNIT!D9"")"),"#N/A")</f>
        <v>#N/A</v>
      </c>
      <c r="H17652" s="4" t="str">
        <v/>
      </c>
      <c r="I17652" s="4" t="str">
        <v/>
      </c>
    </row>
    <row r="17653" spans="5:9" ht="16.5" hidden="1">
      <c r="E17653" s="4" t="str">
        <v/>
      </c>
      <c r="F17653" s="102" t="str">
        <f ca="1">IFERROR(__xludf.DUMMYFUNCTION("IMPORTRANGE(H17653,""IDENTITAS UNIT!D9"")"),"#N/A")</f>
        <v>#N/A</v>
      </c>
      <c r="H17653" s="4" t="str">
        <v/>
      </c>
      <c r="I17653" s="4" t="str">
        <v/>
      </c>
    </row>
    <row r="17654" spans="5:9" ht="16.5" hidden="1">
      <c r="E17654" s="4" t="str">
        <v/>
      </c>
      <c r="F17654" s="102" t="str">
        <f ca="1">IFERROR(__xludf.DUMMYFUNCTION("IMPORTRANGE(H17654,""IDENTITAS UNIT!D9"")"),"#N/A")</f>
        <v>#N/A</v>
      </c>
      <c r="H17654" s="4" t="str">
        <v/>
      </c>
      <c r="I17654" s="4" t="str">
        <v/>
      </c>
    </row>
    <row r="17655" spans="5:9" ht="16.5" hidden="1">
      <c r="E17655" s="4" t="str">
        <v/>
      </c>
      <c r="F17655" s="102" t="str">
        <f ca="1">IFERROR(__xludf.DUMMYFUNCTION("IMPORTRANGE(H17655,""IDENTITAS UNIT!D9"")"),"#N/A")</f>
        <v>#N/A</v>
      </c>
      <c r="H17655" s="4" t="str">
        <v/>
      </c>
      <c r="I17655" s="4" t="str">
        <v/>
      </c>
    </row>
    <row r="17656" spans="5:9" ht="16.5" hidden="1">
      <c r="E17656" s="4" t="str">
        <v/>
      </c>
      <c r="F17656" s="102" t="str">
        <f ca="1">IFERROR(__xludf.DUMMYFUNCTION("IMPORTRANGE(H17656,""IDENTITAS UNIT!D9"")"),"#N/A")</f>
        <v>#N/A</v>
      </c>
      <c r="H17656" s="4" t="str">
        <v/>
      </c>
      <c r="I17656" s="4" t="str">
        <v/>
      </c>
    </row>
    <row r="17657" spans="5:9" ht="16.5" hidden="1">
      <c r="E17657" s="4" t="str">
        <v/>
      </c>
      <c r="F17657" s="102" t="str">
        <f ca="1">IFERROR(__xludf.DUMMYFUNCTION("IMPORTRANGE(H17657,""IDENTITAS UNIT!D9"")"),"#N/A")</f>
        <v>#N/A</v>
      </c>
      <c r="H17657" s="4" t="str">
        <v/>
      </c>
      <c r="I17657" s="4" t="str">
        <v/>
      </c>
    </row>
    <row r="17658" spans="5:9" ht="16.5" hidden="1">
      <c r="E17658" s="4" t="str">
        <v/>
      </c>
      <c r="F17658" s="102" t="str">
        <f ca="1">IFERROR(__xludf.DUMMYFUNCTION("IMPORTRANGE(H17658,""IDENTITAS UNIT!D9"")"),"#N/A")</f>
        <v>#N/A</v>
      </c>
      <c r="H17658" s="4" t="str">
        <v/>
      </c>
      <c r="I17658" s="4" t="str">
        <v/>
      </c>
    </row>
    <row r="17659" spans="5:9" ht="16.5" hidden="1">
      <c r="E17659" s="4" t="str">
        <v/>
      </c>
      <c r="F17659" s="102" t="str">
        <f ca="1">IFERROR(__xludf.DUMMYFUNCTION("IMPORTRANGE(H17659,""IDENTITAS UNIT!D9"")"),"#N/A")</f>
        <v>#N/A</v>
      </c>
      <c r="H17659" s="4" t="str">
        <v/>
      </c>
      <c r="I17659" s="4" t="str">
        <v/>
      </c>
    </row>
    <row r="17660" spans="5:9" ht="16.5" hidden="1">
      <c r="E17660" s="4" t="str">
        <v/>
      </c>
      <c r="F17660" s="102" t="str">
        <f ca="1">IFERROR(__xludf.DUMMYFUNCTION("IMPORTRANGE(H17660,""IDENTITAS UNIT!D9"")"),"#N/A")</f>
        <v>#N/A</v>
      </c>
      <c r="H17660" s="4" t="str">
        <v/>
      </c>
      <c r="I17660" s="4" t="str">
        <v/>
      </c>
    </row>
    <row r="17661" spans="5:9" ht="16.5" hidden="1">
      <c r="E17661" s="4" t="str">
        <v/>
      </c>
      <c r="F17661" s="102" t="str">
        <f ca="1">IFERROR(__xludf.DUMMYFUNCTION("IMPORTRANGE(H17661,""IDENTITAS UNIT!D9"")"),"#N/A")</f>
        <v>#N/A</v>
      </c>
      <c r="H17661" s="4" t="str">
        <v/>
      </c>
      <c r="I17661" s="4" t="str">
        <v/>
      </c>
    </row>
    <row r="17662" spans="5:9" ht="16.5" hidden="1">
      <c r="E17662" s="4" t="str">
        <v/>
      </c>
      <c r="F17662" s="102" t="str">
        <f ca="1">IFERROR(__xludf.DUMMYFUNCTION("IMPORTRANGE(H17662,""IDENTITAS UNIT!D9"")"),"#N/A")</f>
        <v>#N/A</v>
      </c>
      <c r="H17662" s="4" t="str">
        <v/>
      </c>
      <c r="I17662" s="4" t="str">
        <v/>
      </c>
    </row>
    <row r="17663" spans="5:9" ht="16.5" hidden="1">
      <c r="E17663" s="4" t="str">
        <v/>
      </c>
      <c r="F17663" s="102" t="str">
        <f ca="1">IFERROR(__xludf.DUMMYFUNCTION("IMPORTRANGE(H17663,""IDENTITAS UNIT!D9"")"),"#N/A")</f>
        <v>#N/A</v>
      </c>
      <c r="H17663" s="4" t="str">
        <v/>
      </c>
      <c r="I17663" s="4" t="str">
        <v/>
      </c>
    </row>
    <row r="17664" spans="5:9" ht="16.5" hidden="1">
      <c r="E17664" s="4" t="str">
        <v/>
      </c>
      <c r="F17664" s="102" t="str">
        <f ca="1">IFERROR(__xludf.DUMMYFUNCTION("IMPORTRANGE(H17664,""IDENTITAS UNIT!D9"")"),"#N/A")</f>
        <v>#N/A</v>
      </c>
      <c r="H17664" s="4" t="str">
        <v/>
      </c>
      <c r="I17664" s="4" t="str">
        <v/>
      </c>
    </row>
    <row r="17665" spans="5:9" ht="16.5" hidden="1">
      <c r="E17665" s="4" t="str">
        <v/>
      </c>
      <c r="F17665" s="102" t="str">
        <f ca="1">IFERROR(__xludf.DUMMYFUNCTION("IMPORTRANGE(H17665,""IDENTITAS UNIT!D9"")"),"#N/A")</f>
        <v>#N/A</v>
      </c>
      <c r="H17665" s="4" t="str">
        <v/>
      </c>
      <c r="I17665" s="4" t="str">
        <v/>
      </c>
    </row>
    <row r="17666" spans="5:9" ht="16.5" hidden="1">
      <c r="E17666" s="4" t="str">
        <v/>
      </c>
      <c r="F17666" s="102" t="str">
        <f ca="1">IFERROR(__xludf.DUMMYFUNCTION("IMPORTRANGE(H17666,""IDENTITAS UNIT!D9"")"),"#N/A")</f>
        <v>#N/A</v>
      </c>
      <c r="H17666" s="4" t="str">
        <v/>
      </c>
      <c r="I17666" s="4" t="str">
        <v/>
      </c>
    </row>
    <row r="17667" spans="5:9" ht="16.5" hidden="1">
      <c r="E17667" s="4" t="str">
        <v/>
      </c>
      <c r="F17667" s="102" t="str">
        <f ca="1">IFERROR(__xludf.DUMMYFUNCTION("IMPORTRANGE(H17667,""IDENTITAS UNIT!D9"")"),"#N/A")</f>
        <v>#N/A</v>
      </c>
      <c r="H17667" s="4" t="str">
        <v/>
      </c>
      <c r="I17667" s="4" t="str">
        <v/>
      </c>
    </row>
    <row r="17668" spans="5:9" ht="16.5" hidden="1">
      <c r="E17668" s="4" t="str">
        <v/>
      </c>
      <c r="F17668" s="102" t="str">
        <f ca="1">IFERROR(__xludf.DUMMYFUNCTION("IMPORTRANGE(H17668,""IDENTITAS UNIT!D9"")"),"#N/A")</f>
        <v>#N/A</v>
      </c>
      <c r="H17668" s="4" t="str">
        <v/>
      </c>
      <c r="I17668" s="4" t="str">
        <v/>
      </c>
    </row>
    <row r="17669" spans="5:9" ht="16.5" hidden="1">
      <c r="E17669" s="4" t="str">
        <v/>
      </c>
      <c r="F17669" s="102" t="str">
        <f ca="1">IFERROR(__xludf.DUMMYFUNCTION("IMPORTRANGE(H17669,""IDENTITAS UNIT!D9"")"),"#N/A")</f>
        <v>#N/A</v>
      </c>
      <c r="H17669" s="4" t="str">
        <v/>
      </c>
      <c r="I17669" s="4" t="str">
        <v/>
      </c>
    </row>
    <row r="17670" spans="5:9" ht="16.5" hidden="1">
      <c r="E17670" s="4" t="str">
        <v/>
      </c>
      <c r="F17670" s="102" t="str">
        <f ca="1">IFERROR(__xludf.DUMMYFUNCTION("IMPORTRANGE(H17670,""IDENTITAS UNIT!D9"")"),"#N/A")</f>
        <v>#N/A</v>
      </c>
      <c r="H17670" s="4" t="str">
        <v/>
      </c>
      <c r="I17670" s="4" t="str">
        <v/>
      </c>
    </row>
    <row r="17671" spans="5:9" ht="16.5" hidden="1">
      <c r="E17671" s="4" t="str">
        <v/>
      </c>
      <c r="F17671" s="102" t="str">
        <f ca="1">IFERROR(__xludf.DUMMYFUNCTION("IMPORTRANGE(H17671,""IDENTITAS UNIT!D9"")"),"#N/A")</f>
        <v>#N/A</v>
      </c>
      <c r="H17671" s="4" t="str">
        <v/>
      </c>
      <c r="I17671" s="4" t="str">
        <v/>
      </c>
    </row>
    <row r="17672" spans="5:9" ht="16.5" hidden="1">
      <c r="E17672" s="4" t="str">
        <v/>
      </c>
      <c r="F17672" s="102" t="str">
        <f ca="1">IFERROR(__xludf.DUMMYFUNCTION("IMPORTRANGE(H17672,""IDENTITAS UNIT!D9"")"),"#N/A")</f>
        <v>#N/A</v>
      </c>
      <c r="H17672" s="4" t="str">
        <v/>
      </c>
      <c r="I17672" s="4" t="str">
        <v/>
      </c>
    </row>
    <row r="17673" spans="5:9" ht="16.5" hidden="1">
      <c r="E17673" s="4" t="str">
        <v/>
      </c>
      <c r="F17673" s="102" t="str">
        <f ca="1">IFERROR(__xludf.DUMMYFUNCTION("IMPORTRANGE(H17673,""IDENTITAS UNIT!D9"")"),"#N/A")</f>
        <v>#N/A</v>
      </c>
      <c r="H17673" s="4" t="str">
        <v/>
      </c>
      <c r="I17673" s="4" t="str">
        <v/>
      </c>
    </row>
    <row r="17674" spans="5:9" ht="16.5" hidden="1">
      <c r="E17674" s="4" t="str">
        <v/>
      </c>
      <c r="F17674" s="102" t="str">
        <f ca="1">IFERROR(__xludf.DUMMYFUNCTION("IMPORTRANGE(H17674,""IDENTITAS UNIT!D9"")"),"#N/A")</f>
        <v>#N/A</v>
      </c>
      <c r="H17674" s="4" t="str">
        <v/>
      </c>
      <c r="I17674" s="4" t="str">
        <v/>
      </c>
    </row>
    <row r="17675" spans="5:9" ht="16.5" hidden="1">
      <c r="E17675" s="4" t="str">
        <v/>
      </c>
      <c r="F17675" s="102" t="str">
        <f ca="1">IFERROR(__xludf.DUMMYFUNCTION("IMPORTRANGE(H17675,""IDENTITAS UNIT!D9"")"),"#N/A")</f>
        <v>#N/A</v>
      </c>
      <c r="H17675" s="4" t="str">
        <v/>
      </c>
      <c r="I17675" s="4" t="str">
        <v/>
      </c>
    </row>
    <row r="17676" spans="5:9" ht="16.5" hidden="1">
      <c r="E17676" s="4" t="str">
        <v/>
      </c>
      <c r="F17676" s="102" t="str">
        <f ca="1">IFERROR(__xludf.DUMMYFUNCTION("IMPORTRANGE(H17676,""IDENTITAS UNIT!D9"")"),"#N/A")</f>
        <v>#N/A</v>
      </c>
      <c r="H17676" s="4" t="str">
        <v/>
      </c>
      <c r="I17676" s="4" t="str">
        <v/>
      </c>
    </row>
    <row r="17677" spans="5:9" ht="16.5" hidden="1">
      <c r="E17677" s="4" t="str">
        <v/>
      </c>
      <c r="F17677" s="102" t="str">
        <f ca="1">IFERROR(__xludf.DUMMYFUNCTION("IMPORTRANGE(H17677,""IDENTITAS UNIT!D9"")"),"#N/A")</f>
        <v>#N/A</v>
      </c>
      <c r="H17677" s="4" t="str">
        <v/>
      </c>
      <c r="I17677" s="4" t="str">
        <v/>
      </c>
    </row>
    <row r="17678" spans="5:9" ht="16.5" hidden="1">
      <c r="E17678" s="4" t="str">
        <v/>
      </c>
      <c r="F17678" s="102" t="str">
        <f ca="1">IFERROR(__xludf.DUMMYFUNCTION("IMPORTRANGE(H17678,""IDENTITAS UNIT!D9"")"),"#N/A")</f>
        <v>#N/A</v>
      </c>
      <c r="H17678" s="4" t="str">
        <v/>
      </c>
      <c r="I17678" s="4" t="str">
        <v/>
      </c>
    </row>
    <row r="17679" spans="5:9" ht="16.5" hidden="1">
      <c r="E17679" s="4" t="str">
        <v/>
      </c>
      <c r="F17679" s="102" t="str">
        <f ca="1">IFERROR(__xludf.DUMMYFUNCTION("IMPORTRANGE(H17679,""IDENTITAS UNIT!D9"")"),"#N/A")</f>
        <v>#N/A</v>
      </c>
      <c r="H17679" s="4" t="str">
        <v/>
      </c>
      <c r="I17679" s="4" t="str">
        <v/>
      </c>
    </row>
    <row r="17680" spans="5:9" ht="16.5" hidden="1">
      <c r="E17680" s="4" t="str">
        <v/>
      </c>
      <c r="F17680" s="102" t="str">
        <f ca="1">IFERROR(__xludf.DUMMYFUNCTION("IMPORTRANGE(H17680,""IDENTITAS UNIT!D9"")"),"#N/A")</f>
        <v>#N/A</v>
      </c>
      <c r="H17680" s="4" t="str">
        <v/>
      </c>
      <c r="I17680" s="4" t="str">
        <v/>
      </c>
    </row>
    <row r="17681" spans="5:9" ht="16.5" hidden="1">
      <c r="E17681" s="4" t="str">
        <v/>
      </c>
      <c r="F17681" s="102" t="str">
        <f ca="1">IFERROR(__xludf.DUMMYFUNCTION("IMPORTRANGE(H17681,""IDENTITAS UNIT!D9"")"),"#N/A")</f>
        <v>#N/A</v>
      </c>
      <c r="H17681" s="4" t="str">
        <v/>
      </c>
      <c r="I17681" s="4" t="str">
        <v/>
      </c>
    </row>
    <row r="17682" spans="5:9" ht="16.5" hidden="1">
      <c r="E17682" s="4" t="str">
        <v/>
      </c>
      <c r="F17682" s="102" t="str">
        <f ca="1">IFERROR(__xludf.DUMMYFUNCTION("IMPORTRANGE(H17682,""IDENTITAS UNIT!D9"")"),"#N/A")</f>
        <v>#N/A</v>
      </c>
      <c r="H17682" s="4" t="str">
        <v/>
      </c>
      <c r="I17682" s="4" t="str">
        <v/>
      </c>
    </row>
    <row r="17683" spans="5:9" ht="16.5" hidden="1">
      <c r="E17683" s="4" t="str">
        <v/>
      </c>
      <c r="F17683" s="102" t="str">
        <f ca="1">IFERROR(__xludf.DUMMYFUNCTION("IMPORTRANGE(H17683,""IDENTITAS UNIT!D9"")"),"#N/A")</f>
        <v>#N/A</v>
      </c>
      <c r="H17683" s="4" t="str">
        <v/>
      </c>
      <c r="I17683" s="4" t="str">
        <v/>
      </c>
    </row>
    <row r="17684" spans="5:9" ht="16.5" hidden="1">
      <c r="E17684" s="4" t="str">
        <v/>
      </c>
      <c r="F17684" s="102" t="str">
        <f ca="1">IFERROR(__xludf.DUMMYFUNCTION("IMPORTRANGE(H17684,""IDENTITAS UNIT!D9"")"),"#N/A")</f>
        <v>#N/A</v>
      </c>
      <c r="H17684" s="4" t="str">
        <v/>
      </c>
      <c r="I17684" s="4" t="str">
        <v/>
      </c>
    </row>
    <row r="17685" spans="5:9" ht="16.5" hidden="1">
      <c r="E17685" s="4" t="str">
        <v/>
      </c>
      <c r="F17685" s="102" t="str">
        <f ca="1">IFERROR(__xludf.DUMMYFUNCTION("IMPORTRANGE(H17685,""IDENTITAS UNIT!D9"")"),"#N/A")</f>
        <v>#N/A</v>
      </c>
      <c r="H17685" s="4" t="str">
        <v/>
      </c>
      <c r="I17685" s="4" t="str">
        <v/>
      </c>
    </row>
    <row r="17686" spans="5:9" ht="16.5" hidden="1">
      <c r="E17686" s="4" t="str">
        <v/>
      </c>
      <c r="F17686" s="102" t="str">
        <f ca="1">IFERROR(__xludf.DUMMYFUNCTION("IMPORTRANGE(H17686,""IDENTITAS UNIT!D9"")"),"#N/A")</f>
        <v>#N/A</v>
      </c>
      <c r="H17686" s="4" t="str">
        <v/>
      </c>
      <c r="I17686" s="4" t="str">
        <v/>
      </c>
    </row>
    <row r="17687" spans="5:9" ht="16.5" hidden="1">
      <c r="E17687" s="4" t="str">
        <v/>
      </c>
      <c r="F17687" s="102" t="str">
        <f ca="1">IFERROR(__xludf.DUMMYFUNCTION("IMPORTRANGE(H17687,""IDENTITAS UNIT!D9"")"),"#N/A")</f>
        <v>#N/A</v>
      </c>
      <c r="H17687" s="4" t="str">
        <v/>
      </c>
      <c r="I17687" s="4" t="str">
        <v/>
      </c>
    </row>
    <row r="17688" spans="5:9" ht="16.5" hidden="1">
      <c r="E17688" s="4" t="str">
        <v/>
      </c>
      <c r="F17688" s="102" t="str">
        <f ca="1">IFERROR(__xludf.DUMMYFUNCTION("IMPORTRANGE(H17688,""IDENTITAS UNIT!D9"")"),"#N/A")</f>
        <v>#N/A</v>
      </c>
      <c r="H17688" s="4" t="str">
        <v/>
      </c>
      <c r="I17688" s="4" t="str">
        <v/>
      </c>
    </row>
    <row r="17689" spans="5:9" ht="16.5" hidden="1">
      <c r="E17689" s="4" t="str">
        <v/>
      </c>
      <c r="F17689" s="102" t="str">
        <f ca="1">IFERROR(__xludf.DUMMYFUNCTION("IMPORTRANGE(H17689,""IDENTITAS UNIT!D9"")"),"#N/A")</f>
        <v>#N/A</v>
      </c>
      <c r="H17689" s="4" t="str">
        <v/>
      </c>
      <c r="I17689" s="4" t="str">
        <v/>
      </c>
    </row>
    <row r="17690" spans="5:9" ht="16.5" hidden="1">
      <c r="E17690" s="4" t="str">
        <v/>
      </c>
      <c r="F17690" s="102" t="str">
        <f ca="1">IFERROR(__xludf.DUMMYFUNCTION("IMPORTRANGE(H17690,""IDENTITAS UNIT!D9"")"),"#N/A")</f>
        <v>#N/A</v>
      </c>
      <c r="H17690" s="4" t="str">
        <v/>
      </c>
      <c r="I17690" s="4" t="str">
        <v/>
      </c>
    </row>
    <row r="17691" spans="5:9" ht="16.5" hidden="1">
      <c r="E17691" s="4" t="str">
        <v/>
      </c>
      <c r="F17691" s="102" t="str">
        <f ca="1">IFERROR(__xludf.DUMMYFUNCTION("IMPORTRANGE(H17691,""IDENTITAS UNIT!D9"")"),"#N/A")</f>
        <v>#N/A</v>
      </c>
      <c r="H17691" s="4" t="str">
        <v/>
      </c>
      <c r="I17691" s="4" t="str">
        <v/>
      </c>
    </row>
    <row r="17692" spans="5:9" ht="16.5" hidden="1">
      <c r="E17692" s="4" t="str">
        <v/>
      </c>
      <c r="F17692" s="102" t="str">
        <f ca="1">IFERROR(__xludf.DUMMYFUNCTION("IMPORTRANGE(H17692,""IDENTITAS UNIT!D9"")"),"#N/A")</f>
        <v>#N/A</v>
      </c>
      <c r="H17692" s="4" t="str">
        <v/>
      </c>
      <c r="I17692" s="4" t="str">
        <v/>
      </c>
    </row>
    <row r="17693" spans="5:9" ht="16.5" hidden="1">
      <c r="E17693" s="4" t="str">
        <v/>
      </c>
      <c r="F17693" s="102" t="str">
        <f ca="1">IFERROR(__xludf.DUMMYFUNCTION("IMPORTRANGE(H17693,""IDENTITAS UNIT!D9"")"),"#N/A")</f>
        <v>#N/A</v>
      </c>
      <c r="H17693" s="4" t="str">
        <v/>
      </c>
      <c r="I17693" s="4" t="str">
        <v/>
      </c>
    </row>
    <row r="17694" spans="5:9" ht="16.5" hidden="1">
      <c r="E17694" s="4" t="str">
        <v/>
      </c>
      <c r="F17694" s="102" t="str">
        <f ca="1">IFERROR(__xludf.DUMMYFUNCTION("IMPORTRANGE(H17694,""IDENTITAS UNIT!D9"")"),"#N/A")</f>
        <v>#N/A</v>
      </c>
      <c r="H17694" s="4" t="str">
        <v/>
      </c>
      <c r="I17694" s="4" t="str">
        <v/>
      </c>
    </row>
    <row r="17695" spans="5:9" ht="16.5" hidden="1">
      <c r="E17695" s="4" t="str">
        <v/>
      </c>
      <c r="F17695" s="102" t="str">
        <f ca="1">IFERROR(__xludf.DUMMYFUNCTION("IMPORTRANGE(H17695,""IDENTITAS UNIT!D9"")"),"#N/A")</f>
        <v>#N/A</v>
      </c>
      <c r="H17695" s="4" t="str">
        <v/>
      </c>
      <c r="I17695" s="4" t="str">
        <v/>
      </c>
    </row>
    <row r="17696" spans="5:9" ht="16.5" hidden="1">
      <c r="E17696" s="4" t="str">
        <v/>
      </c>
      <c r="F17696" s="102" t="str">
        <f ca="1">IFERROR(__xludf.DUMMYFUNCTION("IMPORTRANGE(H17696,""IDENTITAS UNIT!D9"")"),"#N/A")</f>
        <v>#N/A</v>
      </c>
      <c r="H17696" s="4" t="str">
        <v/>
      </c>
      <c r="I17696" s="4" t="str">
        <v/>
      </c>
    </row>
    <row r="17697" spans="5:9" ht="16.5" hidden="1">
      <c r="E17697" s="4" t="str">
        <v/>
      </c>
      <c r="F17697" s="102" t="str">
        <f ca="1">IFERROR(__xludf.DUMMYFUNCTION("IMPORTRANGE(H17697,""IDENTITAS UNIT!D9"")"),"#N/A")</f>
        <v>#N/A</v>
      </c>
      <c r="H17697" s="4" t="str">
        <v/>
      </c>
      <c r="I17697" s="4" t="str">
        <v/>
      </c>
    </row>
    <row r="17698" spans="5:9" ht="16.5" hidden="1">
      <c r="E17698" s="4" t="str">
        <v/>
      </c>
      <c r="F17698" s="102" t="str">
        <f ca="1">IFERROR(__xludf.DUMMYFUNCTION("IMPORTRANGE(H17698,""IDENTITAS UNIT!D9"")"),"#N/A")</f>
        <v>#N/A</v>
      </c>
      <c r="H17698" s="4" t="str">
        <v/>
      </c>
      <c r="I17698" s="4" t="str">
        <v/>
      </c>
    </row>
    <row r="17699" spans="5:9" ht="16.5" hidden="1">
      <c r="E17699" s="4" t="str">
        <v/>
      </c>
      <c r="F17699" s="102" t="str">
        <f ca="1">IFERROR(__xludf.DUMMYFUNCTION("IMPORTRANGE(H17699,""IDENTITAS UNIT!D9"")"),"#N/A")</f>
        <v>#N/A</v>
      </c>
      <c r="H17699" s="4" t="str">
        <v/>
      </c>
      <c r="I17699" s="4" t="str">
        <v/>
      </c>
    </row>
    <row r="17700" spans="5:9" ht="16.5" hidden="1">
      <c r="E17700" s="4" t="str">
        <v/>
      </c>
      <c r="F17700" s="102" t="str">
        <f ca="1">IFERROR(__xludf.DUMMYFUNCTION("IMPORTRANGE(H17700,""IDENTITAS UNIT!D9"")"),"#N/A")</f>
        <v>#N/A</v>
      </c>
      <c r="H17700" s="4" t="str">
        <v/>
      </c>
      <c r="I17700" s="4" t="str">
        <v/>
      </c>
    </row>
    <row r="17701" spans="5:9" ht="16.5" hidden="1">
      <c r="E17701" s="4" t="str">
        <v/>
      </c>
      <c r="F17701" s="102" t="str">
        <f ca="1">IFERROR(__xludf.DUMMYFUNCTION("IMPORTRANGE(H17701,""IDENTITAS UNIT!D9"")"),"#N/A")</f>
        <v>#N/A</v>
      </c>
      <c r="H17701" s="4" t="str">
        <v/>
      </c>
      <c r="I17701" s="4" t="str">
        <v/>
      </c>
    </row>
    <row r="17702" spans="5:9" ht="16.5" hidden="1">
      <c r="E17702" s="4" t="str">
        <v/>
      </c>
      <c r="F17702" s="102" t="str">
        <f ca="1">IFERROR(__xludf.DUMMYFUNCTION("IMPORTRANGE(H17702,""IDENTITAS UNIT!D9"")"),"#N/A")</f>
        <v>#N/A</v>
      </c>
      <c r="H17702" s="4" t="str">
        <v/>
      </c>
      <c r="I17702" s="4" t="str">
        <v/>
      </c>
    </row>
    <row r="17703" spans="5:9" ht="16.5" hidden="1">
      <c r="E17703" s="4" t="str">
        <v/>
      </c>
      <c r="F17703" s="102" t="str">
        <f ca="1">IFERROR(__xludf.DUMMYFUNCTION("IMPORTRANGE(H17703,""IDENTITAS UNIT!D9"")"),"#N/A")</f>
        <v>#N/A</v>
      </c>
      <c r="H17703" s="4" t="str">
        <v/>
      </c>
      <c r="I17703" s="4" t="str">
        <v/>
      </c>
    </row>
    <row r="17704" spans="5:9" ht="16.5" hidden="1">
      <c r="E17704" s="4" t="str">
        <v/>
      </c>
      <c r="F17704" s="102" t="str">
        <f ca="1">IFERROR(__xludf.DUMMYFUNCTION("IMPORTRANGE(H17704,""IDENTITAS UNIT!D9"")"),"#N/A")</f>
        <v>#N/A</v>
      </c>
      <c r="H17704" s="4" t="str">
        <v/>
      </c>
      <c r="I17704" s="4" t="str">
        <v/>
      </c>
    </row>
    <row r="17705" spans="5:9" ht="16.5" hidden="1">
      <c r="E17705" s="4" t="str">
        <v/>
      </c>
      <c r="F17705" s="102" t="str">
        <f ca="1">IFERROR(__xludf.DUMMYFUNCTION("IMPORTRANGE(H17705,""IDENTITAS UNIT!D9"")"),"#N/A")</f>
        <v>#N/A</v>
      </c>
      <c r="H17705" s="4" t="str">
        <v/>
      </c>
      <c r="I17705" s="4" t="str">
        <v/>
      </c>
    </row>
    <row r="17706" spans="5:9" ht="16.5" hidden="1">
      <c r="E17706" s="4" t="str">
        <v/>
      </c>
      <c r="F17706" s="102" t="str">
        <f ca="1">IFERROR(__xludf.DUMMYFUNCTION("IMPORTRANGE(H17706,""IDENTITAS UNIT!D9"")"),"#N/A")</f>
        <v>#N/A</v>
      </c>
      <c r="H17706" s="4" t="str">
        <v/>
      </c>
      <c r="I17706" s="4" t="str">
        <v/>
      </c>
    </row>
    <row r="17707" spans="5:9" ht="16.5" hidden="1">
      <c r="E17707" s="4" t="str">
        <v/>
      </c>
      <c r="F17707" s="102" t="str">
        <f ca="1">IFERROR(__xludf.DUMMYFUNCTION("IMPORTRANGE(H17707,""IDENTITAS UNIT!D9"")"),"#N/A")</f>
        <v>#N/A</v>
      </c>
      <c r="H17707" s="4" t="str">
        <v/>
      </c>
      <c r="I17707" s="4" t="str">
        <v/>
      </c>
    </row>
    <row r="17708" spans="5:9" ht="16.5" hidden="1">
      <c r="E17708" s="4" t="str">
        <v/>
      </c>
      <c r="F17708" s="102" t="str">
        <f ca="1">IFERROR(__xludf.DUMMYFUNCTION("IMPORTRANGE(H17708,""IDENTITAS UNIT!D9"")"),"#N/A")</f>
        <v>#N/A</v>
      </c>
      <c r="H17708" s="4" t="str">
        <v/>
      </c>
      <c r="I17708" s="4" t="str">
        <v/>
      </c>
    </row>
    <row r="17709" spans="5:9" ht="16.5" hidden="1">
      <c r="E17709" s="4" t="str">
        <v/>
      </c>
      <c r="F17709" s="102" t="str">
        <f ca="1">IFERROR(__xludf.DUMMYFUNCTION("IMPORTRANGE(H17709,""IDENTITAS UNIT!D9"")"),"#N/A")</f>
        <v>#N/A</v>
      </c>
      <c r="H17709" s="4" t="str">
        <v/>
      </c>
      <c r="I17709" s="4" t="str">
        <v/>
      </c>
    </row>
    <row r="17710" spans="5:9" ht="16.5" hidden="1">
      <c r="E17710" s="4" t="str">
        <v/>
      </c>
      <c r="F17710" s="102" t="str">
        <f ca="1">IFERROR(__xludf.DUMMYFUNCTION("IMPORTRANGE(H17710,""IDENTITAS UNIT!D9"")"),"#N/A")</f>
        <v>#N/A</v>
      </c>
      <c r="H17710" s="4" t="str">
        <v/>
      </c>
      <c r="I17710" s="4" t="str">
        <v/>
      </c>
    </row>
    <row r="17711" spans="5:9" ht="16.5" hidden="1">
      <c r="E17711" s="4" t="str">
        <v/>
      </c>
      <c r="F17711" s="102" t="str">
        <f ca="1">IFERROR(__xludf.DUMMYFUNCTION("IMPORTRANGE(H17711,""IDENTITAS UNIT!D9"")"),"#N/A")</f>
        <v>#N/A</v>
      </c>
      <c r="H17711" s="4" t="str">
        <v/>
      </c>
      <c r="I17711" s="4" t="str">
        <v/>
      </c>
    </row>
    <row r="17712" spans="5:9" ht="16.5" hidden="1">
      <c r="E17712" s="4" t="str">
        <v/>
      </c>
      <c r="F17712" s="102" t="str">
        <f ca="1">IFERROR(__xludf.DUMMYFUNCTION("IMPORTRANGE(H17712,""IDENTITAS UNIT!D9"")"),"#N/A")</f>
        <v>#N/A</v>
      </c>
      <c r="H17712" s="4" t="str">
        <v/>
      </c>
      <c r="I17712" s="4" t="str">
        <v/>
      </c>
    </row>
    <row r="17713" spans="5:9" ht="16.5" hidden="1">
      <c r="E17713" s="4" t="str">
        <v/>
      </c>
      <c r="F17713" s="102" t="str">
        <f ca="1">IFERROR(__xludf.DUMMYFUNCTION("IMPORTRANGE(H17713,""IDENTITAS UNIT!D9"")"),"#N/A")</f>
        <v>#N/A</v>
      </c>
      <c r="H17713" s="4" t="str">
        <v/>
      </c>
      <c r="I17713" s="4" t="str">
        <v/>
      </c>
    </row>
    <row r="17714" spans="5:9" ht="16.5" hidden="1">
      <c r="E17714" s="4" t="str">
        <v/>
      </c>
      <c r="F17714" s="102" t="str">
        <f ca="1">IFERROR(__xludf.DUMMYFUNCTION("IMPORTRANGE(H17714,""IDENTITAS UNIT!D9"")"),"#N/A")</f>
        <v>#N/A</v>
      </c>
      <c r="H17714" s="4" t="str">
        <v/>
      </c>
      <c r="I17714" s="4" t="str">
        <v/>
      </c>
    </row>
    <row r="17715" spans="5:9" ht="16.5" hidden="1">
      <c r="E17715" s="4" t="str">
        <v/>
      </c>
      <c r="F17715" s="102" t="str">
        <f ca="1">IFERROR(__xludf.DUMMYFUNCTION("IMPORTRANGE(H17715,""IDENTITAS UNIT!D9"")"),"#N/A")</f>
        <v>#N/A</v>
      </c>
      <c r="H17715" s="4" t="str">
        <v/>
      </c>
      <c r="I17715" s="4" t="str">
        <v/>
      </c>
    </row>
    <row r="17716" spans="5:9" ht="16.5" hidden="1">
      <c r="E17716" s="4" t="str">
        <v/>
      </c>
      <c r="F17716" s="102" t="str">
        <f ca="1">IFERROR(__xludf.DUMMYFUNCTION("IMPORTRANGE(H17716,""IDENTITAS UNIT!D9"")"),"#N/A")</f>
        <v>#N/A</v>
      </c>
      <c r="H17716" s="4" t="str">
        <v/>
      </c>
      <c r="I17716" s="4" t="str">
        <v/>
      </c>
    </row>
    <row r="17717" spans="5:9" ht="16.5" hidden="1">
      <c r="E17717" s="4" t="str">
        <v/>
      </c>
      <c r="F17717" s="102" t="str">
        <f ca="1">IFERROR(__xludf.DUMMYFUNCTION("IMPORTRANGE(H17717,""IDENTITAS UNIT!D9"")"),"#N/A")</f>
        <v>#N/A</v>
      </c>
      <c r="H17717" s="4" t="str">
        <v/>
      </c>
      <c r="I17717" s="4" t="str">
        <v/>
      </c>
    </row>
    <row r="17718" spans="5:9" ht="16.5" hidden="1">
      <c r="E17718" s="4" t="str">
        <v/>
      </c>
      <c r="F17718" s="102" t="str">
        <f ca="1">IFERROR(__xludf.DUMMYFUNCTION("IMPORTRANGE(H17718,""IDENTITAS UNIT!D9"")"),"#N/A")</f>
        <v>#N/A</v>
      </c>
      <c r="H17718" s="4" t="str">
        <v/>
      </c>
      <c r="I17718" s="4" t="str">
        <v/>
      </c>
    </row>
    <row r="17719" spans="5:9" ht="16.5" hidden="1">
      <c r="E17719" s="4" t="str">
        <v/>
      </c>
      <c r="F17719" s="102" t="str">
        <f ca="1">IFERROR(__xludf.DUMMYFUNCTION("IMPORTRANGE(H17719,""IDENTITAS UNIT!D9"")"),"#N/A")</f>
        <v>#N/A</v>
      </c>
      <c r="H17719" s="4" t="str">
        <v/>
      </c>
      <c r="I17719" s="4" t="str">
        <v/>
      </c>
    </row>
    <row r="17720" spans="5:9" ht="16.5" hidden="1">
      <c r="E17720" s="4" t="str">
        <v/>
      </c>
      <c r="F17720" s="102" t="str">
        <f ca="1">IFERROR(__xludf.DUMMYFUNCTION("IMPORTRANGE(H17720,""IDENTITAS UNIT!D9"")"),"#N/A")</f>
        <v>#N/A</v>
      </c>
      <c r="H17720" s="4" t="str">
        <v/>
      </c>
      <c r="I17720" s="4" t="str">
        <v/>
      </c>
    </row>
    <row r="17721" spans="5:9" ht="16.5" hidden="1">
      <c r="E17721" s="4" t="str">
        <v/>
      </c>
      <c r="F17721" s="102" t="str">
        <f ca="1">IFERROR(__xludf.DUMMYFUNCTION("IMPORTRANGE(H17721,""IDENTITAS UNIT!D9"")"),"#N/A")</f>
        <v>#N/A</v>
      </c>
      <c r="H17721" s="4" t="str">
        <v/>
      </c>
      <c r="I17721" s="4" t="str">
        <v/>
      </c>
    </row>
    <row r="17722" spans="5:9" ht="16.5" hidden="1">
      <c r="E17722" s="4" t="str">
        <v/>
      </c>
      <c r="F17722" s="102" t="str">
        <f ca="1">IFERROR(__xludf.DUMMYFUNCTION("IMPORTRANGE(H17722,""IDENTITAS UNIT!D9"")"),"#N/A")</f>
        <v>#N/A</v>
      </c>
      <c r="H17722" s="4" t="str">
        <v/>
      </c>
      <c r="I17722" s="4" t="str">
        <v/>
      </c>
    </row>
    <row r="17723" spans="5:9" ht="16.5" hidden="1">
      <c r="E17723" s="4" t="str">
        <v/>
      </c>
      <c r="F17723" s="102" t="str">
        <f ca="1">IFERROR(__xludf.DUMMYFUNCTION("IMPORTRANGE(H17723,""IDENTITAS UNIT!D9"")"),"#N/A")</f>
        <v>#N/A</v>
      </c>
      <c r="H17723" s="4" t="str">
        <v/>
      </c>
      <c r="I17723" s="4" t="str">
        <v/>
      </c>
    </row>
    <row r="17724" spans="5:9" ht="16.5" hidden="1">
      <c r="E17724" s="4" t="str">
        <v/>
      </c>
      <c r="F17724" s="102" t="str">
        <f ca="1">IFERROR(__xludf.DUMMYFUNCTION("IMPORTRANGE(H17724,""IDENTITAS UNIT!D9"")"),"#N/A")</f>
        <v>#N/A</v>
      </c>
      <c r="H17724" s="4" t="str">
        <v/>
      </c>
      <c r="I17724" s="4" t="str">
        <v/>
      </c>
    </row>
    <row r="17725" spans="5:9" ht="16.5" hidden="1">
      <c r="E17725" s="4" t="str">
        <v/>
      </c>
      <c r="F17725" s="102" t="str">
        <f ca="1">IFERROR(__xludf.DUMMYFUNCTION("IMPORTRANGE(H17725,""IDENTITAS UNIT!D9"")"),"#N/A")</f>
        <v>#N/A</v>
      </c>
      <c r="H17725" s="4" t="str">
        <v/>
      </c>
      <c r="I17725" s="4" t="str">
        <v/>
      </c>
    </row>
    <row r="17726" spans="5:9" ht="16.5" hidden="1">
      <c r="E17726" s="4" t="str">
        <v/>
      </c>
      <c r="F17726" s="102" t="str">
        <f ca="1">IFERROR(__xludf.DUMMYFUNCTION("IMPORTRANGE(H17726,""IDENTITAS UNIT!D9"")"),"#N/A")</f>
        <v>#N/A</v>
      </c>
      <c r="H17726" s="4" t="str">
        <v/>
      </c>
      <c r="I17726" s="4" t="str">
        <v/>
      </c>
    </row>
    <row r="17727" spans="5:9" ht="16.5" hidden="1">
      <c r="E17727" s="4" t="str">
        <v/>
      </c>
      <c r="F17727" s="102" t="str">
        <f ca="1">IFERROR(__xludf.DUMMYFUNCTION("IMPORTRANGE(H17727,""IDENTITAS UNIT!D9"")"),"#N/A")</f>
        <v>#N/A</v>
      </c>
      <c r="H17727" s="4" t="str">
        <v/>
      </c>
      <c r="I17727" s="4" t="str">
        <v/>
      </c>
    </row>
    <row r="17728" spans="5:9" ht="16.5" hidden="1">
      <c r="E17728" s="4" t="str">
        <v/>
      </c>
      <c r="F17728" s="102" t="str">
        <f ca="1">IFERROR(__xludf.DUMMYFUNCTION("IMPORTRANGE(H17728,""IDENTITAS UNIT!D9"")"),"#N/A")</f>
        <v>#N/A</v>
      </c>
      <c r="H17728" s="4" t="str">
        <v/>
      </c>
      <c r="I17728" s="4" t="str">
        <v/>
      </c>
    </row>
    <row r="17729" spans="5:9" ht="16.5" hidden="1">
      <c r="E17729" s="4" t="str">
        <v/>
      </c>
      <c r="F17729" s="102" t="str">
        <f ca="1">IFERROR(__xludf.DUMMYFUNCTION("IMPORTRANGE(H17729,""IDENTITAS UNIT!D9"")"),"#N/A")</f>
        <v>#N/A</v>
      </c>
      <c r="H17729" s="4" t="str">
        <v/>
      </c>
      <c r="I17729" s="4" t="str">
        <v/>
      </c>
    </row>
    <row r="17730" spans="5:9" ht="16.5" hidden="1">
      <c r="E17730" s="4" t="str">
        <v/>
      </c>
      <c r="F17730" s="102" t="str">
        <f ca="1">IFERROR(__xludf.DUMMYFUNCTION("IMPORTRANGE(H17730,""IDENTITAS UNIT!D9"")"),"#N/A")</f>
        <v>#N/A</v>
      </c>
      <c r="H17730" s="4" t="str">
        <v/>
      </c>
      <c r="I17730" s="4" t="str">
        <v/>
      </c>
    </row>
    <row r="17731" spans="5:9" ht="16.5" hidden="1">
      <c r="E17731" s="4" t="str">
        <v/>
      </c>
      <c r="F17731" s="102" t="str">
        <f ca="1">IFERROR(__xludf.DUMMYFUNCTION("IMPORTRANGE(H17731,""IDENTITAS UNIT!D9"")"),"#N/A")</f>
        <v>#N/A</v>
      </c>
      <c r="H17731" s="4" t="str">
        <v/>
      </c>
      <c r="I17731" s="4" t="str">
        <v/>
      </c>
    </row>
    <row r="17732" spans="5:9" ht="16.5" hidden="1">
      <c r="E17732" s="4" t="str">
        <v/>
      </c>
      <c r="F17732" s="102" t="str">
        <f ca="1">IFERROR(__xludf.DUMMYFUNCTION("IMPORTRANGE(H17732,""IDENTITAS UNIT!D9"")"),"#N/A")</f>
        <v>#N/A</v>
      </c>
      <c r="H17732" s="4" t="str">
        <v/>
      </c>
      <c r="I17732" s="4" t="str">
        <v/>
      </c>
    </row>
    <row r="17733" spans="5:9" ht="16.5" hidden="1">
      <c r="E17733" s="4" t="str">
        <v/>
      </c>
      <c r="F17733" s="102" t="str">
        <f ca="1">IFERROR(__xludf.DUMMYFUNCTION("IMPORTRANGE(H17733,""IDENTITAS UNIT!D9"")"),"#N/A")</f>
        <v>#N/A</v>
      </c>
      <c r="H17733" s="4" t="str">
        <v/>
      </c>
      <c r="I17733" s="4" t="str">
        <v/>
      </c>
    </row>
    <row r="17734" spans="5:9" ht="16.5" hidden="1">
      <c r="E17734" s="4" t="str">
        <v/>
      </c>
      <c r="F17734" s="102" t="str">
        <f ca="1">IFERROR(__xludf.DUMMYFUNCTION("IMPORTRANGE(H17734,""IDENTITAS UNIT!D9"")"),"#N/A")</f>
        <v>#N/A</v>
      </c>
      <c r="H17734" s="4" t="str">
        <v/>
      </c>
      <c r="I17734" s="4" t="str">
        <v/>
      </c>
    </row>
    <row r="17735" spans="5:9" ht="16.5" hidden="1">
      <c r="E17735" s="4" t="str">
        <v/>
      </c>
      <c r="F17735" s="102" t="str">
        <f ca="1">IFERROR(__xludf.DUMMYFUNCTION("IMPORTRANGE(H17735,""IDENTITAS UNIT!D9"")"),"#N/A")</f>
        <v>#N/A</v>
      </c>
      <c r="H17735" s="4" t="str">
        <v/>
      </c>
      <c r="I17735" s="4" t="str">
        <v/>
      </c>
    </row>
    <row r="17736" spans="5:9" ht="16.5" hidden="1">
      <c r="E17736" s="4" t="str">
        <v/>
      </c>
      <c r="F17736" s="102" t="str">
        <f ca="1">IFERROR(__xludf.DUMMYFUNCTION("IMPORTRANGE(H17736,""IDENTITAS UNIT!D9"")"),"#N/A")</f>
        <v>#N/A</v>
      </c>
      <c r="H17736" s="4" t="str">
        <v/>
      </c>
      <c r="I17736" s="4" t="str">
        <v/>
      </c>
    </row>
    <row r="17737" spans="5:9" ht="16.5" hidden="1">
      <c r="E17737" s="4" t="str">
        <v/>
      </c>
      <c r="F17737" s="102" t="str">
        <f ca="1">IFERROR(__xludf.DUMMYFUNCTION("IMPORTRANGE(H17737,""IDENTITAS UNIT!D9"")"),"#N/A")</f>
        <v>#N/A</v>
      </c>
      <c r="H17737" s="4" t="str">
        <v/>
      </c>
      <c r="I17737" s="4" t="str">
        <v/>
      </c>
    </row>
    <row r="17738" spans="5:9" ht="16.5" hidden="1">
      <c r="E17738" s="4" t="str">
        <v/>
      </c>
      <c r="F17738" s="102" t="str">
        <f ca="1">IFERROR(__xludf.DUMMYFUNCTION("IMPORTRANGE(H17738,""IDENTITAS UNIT!D9"")"),"#N/A")</f>
        <v>#N/A</v>
      </c>
      <c r="H17738" s="4" t="str">
        <v/>
      </c>
      <c r="I17738" s="4" t="str">
        <v/>
      </c>
    </row>
    <row r="17739" spans="5:9" ht="16.5" hidden="1">
      <c r="E17739" s="4" t="str">
        <v/>
      </c>
      <c r="F17739" s="102" t="str">
        <f ca="1">IFERROR(__xludf.DUMMYFUNCTION("IMPORTRANGE(H17739,""IDENTITAS UNIT!D9"")"),"#N/A")</f>
        <v>#N/A</v>
      </c>
      <c r="H17739" s="4" t="str">
        <v/>
      </c>
      <c r="I17739" s="4" t="str">
        <v/>
      </c>
    </row>
    <row r="17740" spans="5:9" ht="16.5" hidden="1">
      <c r="E17740" s="4" t="str">
        <v/>
      </c>
      <c r="F17740" s="102" t="str">
        <f ca="1">IFERROR(__xludf.DUMMYFUNCTION("IMPORTRANGE(H17740,""IDENTITAS UNIT!D9"")"),"#N/A")</f>
        <v>#N/A</v>
      </c>
      <c r="H17740" s="4" t="str">
        <v/>
      </c>
      <c r="I17740" s="4" t="str">
        <v/>
      </c>
    </row>
    <row r="17741" spans="5:9" ht="16.5" hidden="1">
      <c r="E17741" s="4" t="str">
        <v/>
      </c>
      <c r="F17741" s="102" t="str">
        <f ca="1">IFERROR(__xludf.DUMMYFUNCTION("IMPORTRANGE(H17741,""IDENTITAS UNIT!D9"")"),"#N/A")</f>
        <v>#N/A</v>
      </c>
      <c r="H17741" s="4" t="str">
        <v/>
      </c>
      <c r="I17741" s="4" t="str">
        <v/>
      </c>
    </row>
    <row r="17742" spans="5:9" ht="16.5" hidden="1">
      <c r="E17742" s="4" t="str">
        <v/>
      </c>
      <c r="F17742" s="102" t="str">
        <f ca="1">IFERROR(__xludf.DUMMYFUNCTION("IMPORTRANGE(H17742,""IDENTITAS UNIT!D9"")"),"#N/A")</f>
        <v>#N/A</v>
      </c>
      <c r="H17742" s="4" t="str">
        <v/>
      </c>
      <c r="I17742" s="4" t="str">
        <v/>
      </c>
    </row>
    <row r="17743" spans="5:9" ht="16.5" hidden="1">
      <c r="E17743" s="4" t="str">
        <v/>
      </c>
      <c r="F17743" s="102" t="str">
        <f ca="1">IFERROR(__xludf.DUMMYFUNCTION("IMPORTRANGE(H17743,""IDENTITAS UNIT!D9"")"),"#N/A")</f>
        <v>#N/A</v>
      </c>
      <c r="H17743" s="4" t="str">
        <v/>
      </c>
      <c r="I17743" s="4" t="str">
        <v/>
      </c>
    </row>
    <row r="17744" spans="5:9" ht="16.5" hidden="1">
      <c r="E17744" s="4" t="str">
        <v/>
      </c>
      <c r="F17744" s="102" t="str">
        <f ca="1">IFERROR(__xludf.DUMMYFUNCTION("IMPORTRANGE(H17744,""IDENTITAS UNIT!D9"")"),"#N/A")</f>
        <v>#N/A</v>
      </c>
      <c r="H17744" s="4" t="str">
        <v/>
      </c>
      <c r="I17744" s="4" t="str">
        <v/>
      </c>
    </row>
    <row r="17745" spans="5:9" ht="16.5" hidden="1">
      <c r="E17745" s="4" t="str">
        <v/>
      </c>
      <c r="F17745" s="102" t="str">
        <f ca="1">IFERROR(__xludf.DUMMYFUNCTION("IMPORTRANGE(H17745,""IDENTITAS UNIT!D9"")"),"#N/A")</f>
        <v>#N/A</v>
      </c>
      <c r="H17745" s="4" t="str">
        <v/>
      </c>
      <c r="I17745" s="4" t="str">
        <v/>
      </c>
    </row>
    <row r="17746" spans="5:9" ht="16.5" hidden="1">
      <c r="E17746" s="4" t="str">
        <v/>
      </c>
      <c r="F17746" s="102" t="str">
        <f ca="1">IFERROR(__xludf.DUMMYFUNCTION("IMPORTRANGE(H17746,""IDENTITAS UNIT!D9"")"),"#N/A")</f>
        <v>#N/A</v>
      </c>
      <c r="H17746" s="4" t="str">
        <v/>
      </c>
      <c r="I17746" s="4" t="str">
        <v/>
      </c>
    </row>
    <row r="17747" spans="5:9" ht="16.5" hidden="1">
      <c r="E17747" s="4" t="str">
        <v/>
      </c>
      <c r="F17747" s="102" t="str">
        <f ca="1">IFERROR(__xludf.DUMMYFUNCTION("IMPORTRANGE(H17747,""IDENTITAS UNIT!D9"")"),"#N/A")</f>
        <v>#N/A</v>
      </c>
      <c r="H17747" s="4" t="str">
        <v/>
      </c>
      <c r="I17747" s="4" t="str">
        <v/>
      </c>
    </row>
    <row r="17748" spans="5:9" ht="16.5" hidden="1">
      <c r="E17748" s="4" t="str">
        <v/>
      </c>
      <c r="F17748" s="102" t="str">
        <f ca="1">IFERROR(__xludf.DUMMYFUNCTION("IMPORTRANGE(H17748,""IDENTITAS UNIT!D9"")"),"#N/A")</f>
        <v>#N/A</v>
      </c>
      <c r="H17748" s="4" t="str">
        <v/>
      </c>
      <c r="I17748" s="4" t="str">
        <v/>
      </c>
    </row>
    <row r="17749" spans="5:9" ht="16.5" hidden="1">
      <c r="E17749" s="4" t="str">
        <v/>
      </c>
      <c r="F17749" s="102" t="str">
        <f ca="1">IFERROR(__xludf.DUMMYFUNCTION("IMPORTRANGE(H17749,""IDENTITAS UNIT!D9"")"),"#N/A")</f>
        <v>#N/A</v>
      </c>
      <c r="H17749" s="4" t="str">
        <v/>
      </c>
      <c r="I17749" s="4" t="str">
        <v/>
      </c>
    </row>
    <row r="17750" spans="5:9" ht="16.5" hidden="1">
      <c r="E17750" s="4" t="str">
        <v/>
      </c>
      <c r="F17750" s="102" t="str">
        <f ca="1">IFERROR(__xludf.DUMMYFUNCTION("IMPORTRANGE(H17750,""IDENTITAS UNIT!D9"")"),"#N/A")</f>
        <v>#N/A</v>
      </c>
      <c r="H17750" s="4" t="str">
        <v/>
      </c>
      <c r="I17750" s="4" t="str">
        <v/>
      </c>
    </row>
    <row r="17751" spans="5:9" ht="16.5" hidden="1">
      <c r="E17751" s="4" t="str">
        <v/>
      </c>
      <c r="F17751" s="102" t="str">
        <f ca="1">IFERROR(__xludf.DUMMYFUNCTION("IMPORTRANGE(H17751,""IDENTITAS UNIT!D9"")"),"#N/A")</f>
        <v>#N/A</v>
      </c>
      <c r="H17751" s="4" t="str">
        <v/>
      </c>
      <c r="I17751" s="4" t="str">
        <v/>
      </c>
    </row>
    <row r="17752" spans="5:9" ht="16.5" hidden="1">
      <c r="E17752" s="4" t="str">
        <v/>
      </c>
      <c r="F17752" s="102" t="str">
        <f ca="1">IFERROR(__xludf.DUMMYFUNCTION("IMPORTRANGE(H17752,""IDENTITAS UNIT!D9"")"),"#N/A")</f>
        <v>#N/A</v>
      </c>
      <c r="H17752" s="4" t="str">
        <v/>
      </c>
      <c r="I17752" s="4" t="str">
        <v/>
      </c>
    </row>
    <row r="17753" spans="5:9" ht="16.5" hidden="1">
      <c r="E17753" s="4" t="str">
        <v/>
      </c>
      <c r="F17753" s="102" t="str">
        <f ca="1">IFERROR(__xludf.DUMMYFUNCTION("IMPORTRANGE(H17753,""IDENTITAS UNIT!D9"")"),"#N/A")</f>
        <v>#N/A</v>
      </c>
      <c r="H17753" s="4" t="str">
        <v/>
      </c>
      <c r="I17753" s="4" t="str">
        <v/>
      </c>
    </row>
    <row r="17754" spans="5:9" ht="16.5" hidden="1">
      <c r="E17754" s="4" t="str">
        <v/>
      </c>
      <c r="F17754" s="102" t="str">
        <f ca="1">IFERROR(__xludf.DUMMYFUNCTION("IMPORTRANGE(H17754,""IDENTITAS UNIT!D9"")"),"#N/A")</f>
        <v>#N/A</v>
      </c>
      <c r="H17754" s="4" t="str">
        <v/>
      </c>
      <c r="I17754" s="4" t="str">
        <v/>
      </c>
    </row>
    <row r="17755" spans="5:9" ht="16.5" hidden="1">
      <c r="E17755" s="4" t="str">
        <v/>
      </c>
      <c r="F17755" s="102" t="str">
        <f ca="1">IFERROR(__xludf.DUMMYFUNCTION("IMPORTRANGE(H17755,""IDENTITAS UNIT!D9"")"),"#N/A")</f>
        <v>#N/A</v>
      </c>
      <c r="H17755" s="4" t="str">
        <v/>
      </c>
      <c r="I17755" s="4" t="str">
        <v/>
      </c>
    </row>
    <row r="17756" spans="5:9" ht="16.5" hidden="1">
      <c r="E17756" s="4" t="str">
        <v/>
      </c>
      <c r="F17756" s="102" t="str">
        <f ca="1">IFERROR(__xludf.DUMMYFUNCTION("IMPORTRANGE(H17756,""IDENTITAS UNIT!D9"")"),"#N/A")</f>
        <v>#N/A</v>
      </c>
      <c r="H17756" s="4" t="str">
        <v/>
      </c>
      <c r="I17756" s="4" t="str">
        <v/>
      </c>
    </row>
    <row r="17757" spans="5:9" ht="16.5" hidden="1">
      <c r="E17757" s="4" t="str">
        <v/>
      </c>
      <c r="F17757" s="102" t="str">
        <f ca="1">IFERROR(__xludf.DUMMYFUNCTION("IMPORTRANGE(H17757,""IDENTITAS UNIT!D9"")"),"#N/A")</f>
        <v>#N/A</v>
      </c>
      <c r="H17757" s="4" t="str">
        <v/>
      </c>
      <c r="I17757" s="4" t="str">
        <v/>
      </c>
    </row>
    <row r="17758" spans="5:9" ht="16.5" hidden="1">
      <c r="E17758" s="4" t="str">
        <v/>
      </c>
      <c r="F17758" s="102" t="str">
        <f ca="1">IFERROR(__xludf.DUMMYFUNCTION("IMPORTRANGE(H17758,""IDENTITAS UNIT!D9"")"),"#N/A")</f>
        <v>#N/A</v>
      </c>
      <c r="H17758" s="4" t="str">
        <v/>
      </c>
      <c r="I17758" s="4" t="str">
        <v/>
      </c>
    </row>
    <row r="17759" spans="5:9" ht="16.5" hidden="1">
      <c r="E17759" s="4" t="str">
        <v/>
      </c>
      <c r="F17759" s="102" t="str">
        <f ca="1">IFERROR(__xludf.DUMMYFUNCTION("IMPORTRANGE(H17759,""IDENTITAS UNIT!D9"")"),"#N/A")</f>
        <v>#N/A</v>
      </c>
      <c r="H17759" s="4" t="str">
        <v/>
      </c>
      <c r="I17759" s="4" t="str">
        <v/>
      </c>
    </row>
    <row r="17760" spans="5:9" ht="16.5" hidden="1">
      <c r="E17760" s="4" t="str">
        <v/>
      </c>
      <c r="F17760" s="102" t="str">
        <f ca="1">IFERROR(__xludf.DUMMYFUNCTION("IMPORTRANGE(H17760,""IDENTITAS UNIT!D9"")"),"#N/A")</f>
        <v>#N/A</v>
      </c>
      <c r="H17760" s="4" t="str">
        <v/>
      </c>
      <c r="I17760" s="4" t="str">
        <v/>
      </c>
    </row>
    <row r="17761" spans="5:9" ht="16.5" hidden="1">
      <c r="E17761" s="4" t="str">
        <v/>
      </c>
      <c r="F17761" s="102" t="str">
        <f ca="1">IFERROR(__xludf.DUMMYFUNCTION("IMPORTRANGE(H17761,""IDENTITAS UNIT!D9"")"),"#N/A")</f>
        <v>#N/A</v>
      </c>
      <c r="H17761" s="4" t="str">
        <v/>
      </c>
      <c r="I17761" s="4" t="str">
        <v/>
      </c>
    </row>
    <row r="17762" spans="5:9" ht="16.5" hidden="1">
      <c r="E17762" s="4" t="str">
        <v/>
      </c>
      <c r="F17762" s="102" t="str">
        <f ca="1">IFERROR(__xludf.DUMMYFUNCTION("IMPORTRANGE(H17762,""IDENTITAS UNIT!D9"")"),"#N/A")</f>
        <v>#N/A</v>
      </c>
      <c r="H17762" s="4" t="str">
        <v/>
      </c>
      <c r="I17762" s="4" t="str">
        <v/>
      </c>
    </row>
    <row r="17763" spans="5:9" ht="16.5" hidden="1">
      <c r="E17763" s="4" t="str">
        <v/>
      </c>
      <c r="F17763" s="102" t="str">
        <f ca="1">IFERROR(__xludf.DUMMYFUNCTION("IMPORTRANGE(H17763,""IDENTITAS UNIT!D9"")"),"#N/A")</f>
        <v>#N/A</v>
      </c>
      <c r="H17763" s="4" t="str">
        <v/>
      </c>
      <c r="I17763" s="4" t="str">
        <v/>
      </c>
    </row>
    <row r="17764" spans="5:9" ht="16.5" hidden="1">
      <c r="E17764" s="4" t="str">
        <v/>
      </c>
      <c r="F17764" s="102" t="str">
        <f ca="1">IFERROR(__xludf.DUMMYFUNCTION("IMPORTRANGE(H17764,""IDENTITAS UNIT!D9"")"),"#N/A")</f>
        <v>#N/A</v>
      </c>
      <c r="H17764" s="4" t="str">
        <v/>
      </c>
      <c r="I17764" s="4" t="str">
        <v/>
      </c>
    </row>
    <row r="17765" spans="5:9" ht="16.5" hidden="1">
      <c r="E17765" s="4" t="str">
        <v/>
      </c>
      <c r="F17765" s="102" t="str">
        <f ca="1">IFERROR(__xludf.DUMMYFUNCTION("IMPORTRANGE(H17765,""IDENTITAS UNIT!D9"")"),"#N/A")</f>
        <v>#N/A</v>
      </c>
      <c r="H17765" s="4" t="str">
        <v/>
      </c>
      <c r="I17765" s="4" t="str">
        <v/>
      </c>
    </row>
    <row r="17766" spans="5:9" ht="16.5" hidden="1">
      <c r="E17766" s="4" t="str">
        <v/>
      </c>
      <c r="F17766" s="102" t="str">
        <f ca="1">IFERROR(__xludf.DUMMYFUNCTION("IMPORTRANGE(H17766,""IDENTITAS UNIT!D9"")"),"#N/A")</f>
        <v>#N/A</v>
      </c>
      <c r="H17766" s="4" t="str">
        <v/>
      </c>
      <c r="I17766" s="4" t="str">
        <v/>
      </c>
    </row>
    <row r="17767" spans="5:9" ht="16.5" hidden="1">
      <c r="E17767" s="4" t="str">
        <v/>
      </c>
      <c r="F17767" s="102" t="str">
        <f ca="1">IFERROR(__xludf.DUMMYFUNCTION("IMPORTRANGE(H17767,""IDENTITAS UNIT!D9"")"),"#N/A")</f>
        <v>#N/A</v>
      </c>
      <c r="H17767" s="4" t="str">
        <v/>
      </c>
      <c r="I17767" s="4" t="str">
        <v/>
      </c>
    </row>
    <row r="17768" spans="5:9" ht="16.5" hidden="1">
      <c r="E17768" s="4" t="str">
        <v/>
      </c>
      <c r="F17768" s="102" t="str">
        <f ca="1">IFERROR(__xludf.DUMMYFUNCTION("IMPORTRANGE(H17768,""IDENTITAS UNIT!D9"")"),"#N/A")</f>
        <v>#N/A</v>
      </c>
      <c r="H17768" s="4" t="str">
        <v/>
      </c>
      <c r="I17768" s="4" t="str">
        <v/>
      </c>
    </row>
    <row r="17769" spans="5:9" ht="16.5" hidden="1">
      <c r="E17769" s="4" t="str">
        <v/>
      </c>
      <c r="F17769" s="102" t="str">
        <f ca="1">IFERROR(__xludf.DUMMYFUNCTION("IMPORTRANGE(H17769,""IDENTITAS UNIT!D9"")"),"#N/A")</f>
        <v>#N/A</v>
      </c>
      <c r="H17769" s="4" t="str">
        <v/>
      </c>
      <c r="I17769" s="4" t="str">
        <v/>
      </c>
    </row>
    <row r="17770" spans="5:9" ht="16.5" hidden="1">
      <c r="E17770" s="4" t="str">
        <v/>
      </c>
      <c r="F17770" s="102" t="str">
        <f ca="1">IFERROR(__xludf.DUMMYFUNCTION("IMPORTRANGE(H17770,""IDENTITAS UNIT!D9"")"),"#N/A")</f>
        <v>#N/A</v>
      </c>
      <c r="H17770" s="4" t="str">
        <v/>
      </c>
      <c r="I17770" s="4" t="str">
        <v/>
      </c>
    </row>
    <row r="17771" spans="5:9" ht="16.5" hidden="1">
      <c r="E17771" s="4" t="str">
        <v/>
      </c>
      <c r="F17771" s="102" t="str">
        <f ca="1">IFERROR(__xludf.DUMMYFUNCTION("IMPORTRANGE(H17771,""IDENTITAS UNIT!D9"")"),"#N/A")</f>
        <v>#N/A</v>
      </c>
      <c r="H17771" s="4" t="str">
        <v/>
      </c>
      <c r="I17771" s="4" t="str">
        <v/>
      </c>
    </row>
    <row r="17772" spans="5:9" ht="16.5" hidden="1">
      <c r="E17772" s="4" t="str">
        <v/>
      </c>
      <c r="F17772" s="102" t="str">
        <f ca="1">IFERROR(__xludf.DUMMYFUNCTION("IMPORTRANGE(H17772,""IDENTITAS UNIT!D9"")"),"#N/A")</f>
        <v>#N/A</v>
      </c>
      <c r="H17772" s="4" t="str">
        <v/>
      </c>
      <c r="I17772" s="4" t="str">
        <v/>
      </c>
    </row>
    <row r="17773" spans="5:9" ht="16.5" hidden="1">
      <c r="E17773" s="4" t="str">
        <v/>
      </c>
      <c r="F17773" s="102" t="str">
        <f ca="1">IFERROR(__xludf.DUMMYFUNCTION("IMPORTRANGE(H17773,""IDENTITAS UNIT!D9"")"),"#N/A")</f>
        <v>#N/A</v>
      </c>
      <c r="H17773" s="4" t="str">
        <v/>
      </c>
      <c r="I17773" s="4" t="str">
        <v/>
      </c>
    </row>
    <row r="17774" spans="5:9" ht="16.5" hidden="1">
      <c r="E17774" s="4" t="str">
        <v/>
      </c>
      <c r="F17774" s="102" t="str">
        <f ca="1">IFERROR(__xludf.DUMMYFUNCTION("IMPORTRANGE(H17774,""IDENTITAS UNIT!D9"")"),"#N/A")</f>
        <v>#N/A</v>
      </c>
      <c r="H17774" s="4" t="str">
        <v/>
      </c>
      <c r="I17774" s="4" t="str">
        <v/>
      </c>
    </row>
    <row r="17775" spans="5:9" ht="16.5" hidden="1">
      <c r="E17775" s="4" t="str">
        <v/>
      </c>
      <c r="F17775" s="102" t="str">
        <f ca="1">IFERROR(__xludf.DUMMYFUNCTION("IMPORTRANGE(H17775,""IDENTITAS UNIT!D9"")"),"#N/A")</f>
        <v>#N/A</v>
      </c>
      <c r="H17775" s="4" t="str">
        <v/>
      </c>
      <c r="I17775" s="4" t="str">
        <v/>
      </c>
    </row>
    <row r="17776" spans="5:9" ht="16.5" hidden="1">
      <c r="E17776" s="4" t="str">
        <v/>
      </c>
      <c r="F17776" s="102" t="str">
        <f ca="1">IFERROR(__xludf.DUMMYFUNCTION("IMPORTRANGE(H17776,""IDENTITAS UNIT!D9"")"),"#N/A")</f>
        <v>#N/A</v>
      </c>
      <c r="H17776" s="4" t="str">
        <v/>
      </c>
      <c r="I17776" s="4" t="str">
        <v/>
      </c>
    </row>
    <row r="17777" spans="5:9" ht="16.5" hidden="1">
      <c r="E17777" s="4" t="str">
        <v/>
      </c>
      <c r="F17777" s="102" t="str">
        <f ca="1">IFERROR(__xludf.DUMMYFUNCTION("IMPORTRANGE(H17777,""IDENTITAS UNIT!D9"")"),"#N/A")</f>
        <v>#N/A</v>
      </c>
      <c r="H17777" s="4" t="str">
        <v/>
      </c>
      <c r="I17777" s="4" t="str">
        <v/>
      </c>
    </row>
    <row r="17778" spans="5:9" ht="16.5" hidden="1">
      <c r="E17778" s="4" t="str">
        <v/>
      </c>
      <c r="F17778" s="102" t="str">
        <f ca="1">IFERROR(__xludf.DUMMYFUNCTION("IMPORTRANGE(H17778,""IDENTITAS UNIT!D9"")"),"#N/A")</f>
        <v>#N/A</v>
      </c>
      <c r="H17778" s="4" t="str">
        <v/>
      </c>
      <c r="I17778" s="4" t="str">
        <v/>
      </c>
    </row>
    <row r="17779" spans="5:9" ht="16.5" hidden="1">
      <c r="E17779" s="4" t="str">
        <v/>
      </c>
      <c r="F17779" s="102" t="str">
        <f ca="1">IFERROR(__xludf.DUMMYFUNCTION("IMPORTRANGE(H17779,""IDENTITAS UNIT!D9"")"),"#N/A")</f>
        <v>#N/A</v>
      </c>
      <c r="H17779" s="4" t="str">
        <v/>
      </c>
      <c r="I17779" s="4" t="str">
        <v/>
      </c>
    </row>
    <row r="17780" spans="5:9" ht="16.5" hidden="1">
      <c r="E17780" s="4" t="str">
        <v/>
      </c>
      <c r="F17780" s="102" t="str">
        <f ca="1">IFERROR(__xludf.DUMMYFUNCTION("IMPORTRANGE(H17780,""IDENTITAS UNIT!D9"")"),"#N/A")</f>
        <v>#N/A</v>
      </c>
      <c r="H17780" s="4" t="str">
        <v/>
      </c>
      <c r="I17780" s="4" t="str">
        <v/>
      </c>
    </row>
    <row r="17781" spans="5:9" ht="16.5" hidden="1">
      <c r="E17781" s="4" t="str">
        <v/>
      </c>
      <c r="F17781" s="102" t="str">
        <f ca="1">IFERROR(__xludf.DUMMYFUNCTION("IMPORTRANGE(H17781,""IDENTITAS UNIT!D9"")"),"#N/A")</f>
        <v>#N/A</v>
      </c>
      <c r="H17781" s="4" t="str">
        <v/>
      </c>
      <c r="I17781" s="4" t="str">
        <v/>
      </c>
    </row>
    <row r="17782" spans="5:9" ht="16.5" hidden="1">
      <c r="E17782" s="4" t="str">
        <v/>
      </c>
      <c r="F17782" s="102" t="str">
        <f ca="1">IFERROR(__xludf.DUMMYFUNCTION("IMPORTRANGE(H17782,""IDENTITAS UNIT!D9"")"),"#N/A")</f>
        <v>#N/A</v>
      </c>
      <c r="H17782" s="4" t="str">
        <v/>
      </c>
      <c r="I17782" s="4" t="str">
        <v/>
      </c>
    </row>
    <row r="17783" spans="5:9" ht="16.5" hidden="1">
      <c r="E17783" s="4" t="str">
        <v/>
      </c>
      <c r="F17783" s="102" t="str">
        <f ca="1">IFERROR(__xludf.DUMMYFUNCTION("IMPORTRANGE(H17783,""IDENTITAS UNIT!D9"")"),"#N/A")</f>
        <v>#N/A</v>
      </c>
      <c r="H17783" s="4" t="str">
        <v/>
      </c>
      <c r="I17783" s="4" t="str">
        <v/>
      </c>
    </row>
    <row r="17784" spans="5:9" ht="16.5" hidden="1">
      <c r="E17784" s="4" t="str">
        <v/>
      </c>
      <c r="F17784" s="102" t="str">
        <f ca="1">IFERROR(__xludf.DUMMYFUNCTION("IMPORTRANGE(H17784,""IDENTITAS UNIT!D9"")"),"#N/A")</f>
        <v>#N/A</v>
      </c>
      <c r="H17784" s="4" t="str">
        <v/>
      </c>
      <c r="I17784" s="4" t="str">
        <v/>
      </c>
    </row>
    <row r="17785" spans="5:9" ht="16.5" hidden="1">
      <c r="E17785" s="4" t="str">
        <v/>
      </c>
      <c r="F17785" s="102" t="str">
        <f ca="1">IFERROR(__xludf.DUMMYFUNCTION("IMPORTRANGE(H17785,""IDENTITAS UNIT!D9"")"),"#N/A")</f>
        <v>#N/A</v>
      </c>
      <c r="H17785" s="4" t="str">
        <v/>
      </c>
      <c r="I17785" s="4" t="str">
        <v/>
      </c>
    </row>
    <row r="17786" spans="5:9" ht="16.5" hidden="1">
      <c r="E17786" s="4" t="str">
        <v/>
      </c>
      <c r="F17786" s="102" t="str">
        <f ca="1">IFERROR(__xludf.DUMMYFUNCTION("IMPORTRANGE(H17786,""IDENTITAS UNIT!D9"")"),"#N/A")</f>
        <v>#N/A</v>
      </c>
      <c r="H17786" s="4" t="str">
        <v/>
      </c>
      <c r="I17786" s="4" t="str">
        <v/>
      </c>
    </row>
    <row r="17787" spans="5:9" ht="16.5" hidden="1">
      <c r="E17787" s="4" t="str">
        <v/>
      </c>
      <c r="F17787" s="102" t="str">
        <f ca="1">IFERROR(__xludf.DUMMYFUNCTION("IMPORTRANGE(H17787,""IDENTITAS UNIT!D9"")"),"#N/A")</f>
        <v>#N/A</v>
      </c>
      <c r="H17787" s="4" t="str">
        <v/>
      </c>
      <c r="I17787" s="4" t="str">
        <v/>
      </c>
    </row>
    <row r="17788" spans="5:9" ht="16.5" hidden="1">
      <c r="E17788" s="4" t="str">
        <v/>
      </c>
      <c r="F17788" s="102" t="str">
        <f ca="1">IFERROR(__xludf.DUMMYFUNCTION("IMPORTRANGE(H17788,""IDENTITAS UNIT!D9"")"),"#N/A")</f>
        <v>#N/A</v>
      </c>
      <c r="H17788" s="4" t="str">
        <v/>
      </c>
      <c r="I17788" s="4" t="str">
        <v/>
      </c>
    </row>
    <row r="17789" spans="5:9" ht="16.5" hidden="1">
      <c r="E17789" s="4" t="str">
        <v/>
      </c>
      <c r="F17789" s="102" t="str">
        <f ca="1">IFERROR(__xludf.DUMMYFUNCTION("IMPORTRANGE(H17789,""IDENTITAS UNIT!D9"")"),"#N/A")</f>
        <v>#N/A</v>
      </c>
      <c r="H17789" s="4" t="str">
        <v/>
      </c>
      <c r="I17789" s="4" t="str">
        <v/>
      </c>
    </row>
    <row r="17790" spans="5:9" ht="16.5" hidden="1">
      <c r="E17790" s="4" t="str">
        <v/>
      </c>
      <c r="F17790" s="102" t="str">
        <f ca="1">IFERROR(__xludf.DUMMYFUNCTION("IMPORTRANGE(H17790,""IDENTITAS UNIT!D9"")"),"#N/A")</f>
        <v>#N/A</v>
      </c>
      <c r="H17790" s="4" t="str">
        <v/>
      </c>
      <c r="I17790" s="4" t="str">
        <v/>
      </c>
    </row>
    <row r="17791" spans="5:9" ht="16.5" hidden="1">
      <c r="E17791" s="4" t="str">
        <v/>
      </c>
      <c r="F17791" s="102" t="str">
        <f ca="1">IFERROR(__xludf.DUMMYFUNCTION("IMPORTRANGE(H17791,""IDENTITAS UNIT!D9"")"),"#N/A")</f>
        <v>#N/A</v>
      </c>
      <c r="H17791" s="4" t="str">
        <v/>
      </c>
      <c r="I17791" s="4" t="str">
        <v/>
      </c>
    </row>
    <row r="17792" spans="5:9" ht="16.5" hidden="1">
      <c r="E17792" s="4" t="str">
        <v/>
      </c>
      <c r="F17792" s="102" t="str">
        <f ca="1">IFERROR(__xludf.DUMMYFUNCTION("IMPORTRANGE(H17792,""IDENTITAS UNIT!D9"")"),"#N/A")</f>
        <v>#N/A</v>
      </c>
      <c r="H17792" s="4" t="str">
        <v/>
      </c>
      <c r="I17792" s="4" t="str">
        <v/>
      </c>
    </row>
    <row r="17793" spans="5:9" ht="16.5" hidden="1">
      <c r="E17793" s="4" t="str">
        <v/>
      </c>
      <c r="F17793" s="102" t="str">
        <f ca="1">IFERROR(__xludf.DUMMYFUNCTION("IMPORTRANGE(H17793,""IDENTITAS UNIT!D9"")"),"#N/A")</f>
        <v>#N/A</v>
      </c>
      <c r="H17793" s="4" t="str">
        <v/>
      </c>
      <c r="I17793" s="4" t="str">
        <v/>
      </c>
    </row>
    <row r="17794" spans="5:9" ht="16.5" hidden="1">
      <c r="E17794" s="4" t="str">
        <v/>
      </c>
      <c r="F17794" s="102" t="str">
        <f ca="1">IFERROR(__xludf.DUMMYFUNCTION("IMPORTRANGE(H17794,""IDENTITAS UNIT!D9"")"),"#N/A")</f>
        <v>#N/A</v>
      </c>
      <c r="H17794" s="4" t="str">
        <v/>
      </c>
      <c r="I17794" s="4" t="str">
        <v/>
      </c>
    </row>
    <row r="17795" spans="5:9" ht="16.5" hidden="1">
      <c r="E17795" s="4" t="str">
        <v/>
      </c>
      <c r="F17795" s="102" t="str">
        <f ca="1">IFERROR(__xludf.DUMMYFUNCTION("IMPORTRANGE(H17795,""IDENTITAS UNIT!D9"")"),"#N/A")</f>
        <v>#N/A</v>
      </c>
      <c r="H17795" s="4" t="str">
        <v/>
      </c>
      <c r="I17795" s="4" t="str">
        <v/>
      </c>
    </row>
    <row r="17796" spans="5:9" ht="16.5" hidden="1">
      <c r="E17796" s="4" t="str">
        <v/>
      </c>
      <c r="F17796" s="102" t="str">
        <f ca="1">IFERROR(__xludf.DUMMYFUNCTION("IMPORTRANGE(H17796,""IDENTITAS UNIT!D9"")"),"#N/A")</f>
        <v>#N/A</v>
      </c>
      <c r="H17796" s="4" t="str">
        <v/>
      </c>
      <c r="I17796" s="4" t="str">
        <v/>
      </c>
    </row>
    <row r="17797" spans="5:9" ht="16.5" hidden="1">
      <c r="E17797" s="4" t="str">
        <v/>
      </c>
      <c r="F17797" s="102" t="str">
        <f ca="1">IFERROR(__xludf.DUMMYFUNCTION("IMPORTRANGE(H17797,""IDENTITAS UNIT!D9"")"),"#N/A")</f>
        <v>#N/A</v>
      </c>
      <c r="H17797" s="4" t="str">
        <v/>
      </c>
      <c r="I17797" s="4" t="str">
        <v/>
      </c>
    </row>
    <row r="17798" spans="5:9" ht="16.5" hidden="1">
      <c r="E17798" s="4" t="str">
        <v/>
      </c>
      <c r="F17798" s="102" t="str">
        <f ca="1">IFERROR(__xludf.DUMMYFUNCTION("IMPORTRANGE(H17798,""IDENTITAS UNIT!D9"")"),"#N/A")</f>
        <v>#N/A</v>
      </c>
      <c r="H17798" s="4" t="str">
        <v/>
      </c>
      <c r="I17798" s="4" t="str">
        <v/>
      </c>
    </row>
    <row r="17799" spans="5:9" ht="16.5" hidden="1">
      <c r="E17799" s="4" t="str">
        <v/>
      </c>
      <c r="F17799" s="102" t="str">
        <f ca="1">IFERROR(__xludf.DUMMYFUNCTION("IMPORTRANGE(H17799,""IDENTITAS UNIT!D9"")"),"#N/A")</f>
        <v>#N/A</v>
      </c>
      <c r="H17799" s="4" t="str">
        <v/>
      </c>
      <c r="I17799" s="4" t="str">
        <v/>
      </c>
    </row>
    <row r="17800" spans="5:9" ht="16.5" hidden="1">
      <c r="E17800" s="4" t="str">
        <v/>
      </c>
      <c r="F17800" s="102" t="str">
        <f ca="1">IFERROR(__xludf.DUMMYFUNCTION("IMPORTRANGE(H17800,""IDENTITAS UNIT!D9"")"),"#N/A")</f>
        <v>#N/A</v>
      </c>
      <c r="H17800" s="4" t="str">
        <v/>
      </c>
      <c r="I17800" s="4" t="str">
        <v/>
      </c>
    </row>
    <row r="17801" spans="5:9" ht="16.5" hidden="1">
      <c r="E17801" s="4" t="str">
        <v/>
      </c>
      <c r="F17801" s="102" t="str">
        <f ca="1">IFERROR(__xludf.DUMMYFUNCTION("IMPORTRANGE(H17801,""IDENTITAS UNIT!D9"")"),"#N/A")</f>
        <v>#N/A</v>
      </c>
      <c r="H17801" s="4" t="str">
        <v/>
      </c>
      <c r="I17801" s="4" t="str">
        <v/>
      </c>
    </row>
    <row r="17802" spans="5:9" ht="16.5" hidden="1">
      <c r="E17802" s="4" t="str">
        <v/>
      </c>
      <c r="F17802" s="102" t="str">
        <f ca="1">IFERROR(__xludf.DUMMYFUNCTION("IMPORTRANGE(H17802,""IDENTITAS UNIT!D9"")"),"#N/A")</f>
        <v>#N/A</v>
      </c>
      <c r="H17802" s="4" t="str">
        <v/>
      </c>
      <c r="I17802" s="4" t="str">
        <v/>
      </c>
    </row>
    <row r="17803" spans="5:9" ht="16.5" hidden="1">
      <c r="E17803" s="4" t="str">
        <v/>
      </c>
      <c r="F17803" s="102" t="str">
        <f ca="1">IFERROR(__xludf.DUMMYFUNCTION("IMPORTRANGE(H17803,""IDENTITAS UNIT!D9"")"),"#N/A")</f>
        <v>#N/A</v>
      </c>
      <c r="H17803" s="4" t="str">
        <v/>
      </c>
      <c r="I17803" s="4" t="str">
        <v/>
      </c>
    </row>
    <row r="17804" spans="5:9" ht="16.5" hidden="1">
      <c r="E17804" s="4" t="str">
        <v/>
      </c>
      <c r="F17804" s="102" t="str">
        <f ca="1">IFERROR(__xludf.DUMMYFUNCTION("IMPORTRANGE(H17804,""IDENTITAS UNIT!D9"")"),"#N/A")</f>
        <v>#N/A</v>
      </c>
      <c r="H17804" s="4" t="str">
        <v/>
      </c>
      <c r="I17804" s="4" t="str">
        <v/>
      </c>
    </row>
    <row r="17805" spans="5:9" ht="16.5" hidden="1">
      <c r="E17805" s="4" t="str">
        <v/>
      </c>
      <c r="F17805" s="102" t="str">
        <f ca="1">IFERROR(__xludf.DUMMYFUNCTION("IMPORTRANGE(H17805,""IDENTITAS UNIT!D9"")"),"#N/A")</f>
        <v>#N/A</v>
      </c>
      <c r="H17805" s="4" t="str">
        <v/>
      </c>
      <c r="I17805" s="4" t="str">
        <v/>
      </c>
    </row>
    <row r="17806" spans="5:9" ht="16.5" hidden="1">
      <c r="E17806" s="4" t="str">
        <v/>
      </c>
      <c r="F17806" s="102" t="str">
        <f ca="1">IFERROR(__xludf.DUMMYFUNCTION("IMPORTRANGE(H17806,""IDENTITAS UNIT!D9"")"),"#N/A")</f>
        <v>#N/A</v>
      </c>
      <c r="H17806" s="4" t="str">
        <v/>
      </c>
      <c r="I17806" s="4" t="str">
        <v/>
      </c>
    </row>
    <row r="17807" spans="5:9" ht="16.5" hidden="1">
      <c r="E17807" s="4" t="str">
        <v/>
      </c>
      <c r="F17807" s="102" t="str">
        <f ca="1">IFERROR(__xludf.DUMMYFUNCTION("IMPORTRANGE(H17807,""IDENTITAS UNIT!D9"")"),"#N/A")</f>
        <v>#N/A</v>
      </c>
      <c r="H17807" s="4" t="str">
        <v/>
      </c>
      <c r="I17807" s="4" t="str">
        <v/>
      </c>
    </row>
    <row r="17808" spans="5:9" ht="16.5" hidden="1">
      <c r="E17808" s="4" t="str">
        <v/>
      </c>
      <c r="F17808" s="102" t="str">
        <f ca="1">IFERROR(__xludf.DUMMYFUNCTION("IMPORTRANGE(H17808,""IDENTITAS UNIT!D9"")"),"#N/A")</f>
        <v>#N/A</v>
      </c>
      <c r="H17808" s="4" t="str">
        <v/>
      </c>
      <c r="I17808" s="4" t="str">
        <v/>
      </c>
    </row>
    <row r="17809" spans="5:9" ht="16.5" hidden="1">
      <c r="E17809" s="4" t="str">
        <v/>
      </c>
      <c r="F17809" s="102" t="str">
        <f ca="1">IFERROR(__xludf.DUMMYFUNCTION("IMPORTRANGE(H17809,""IDENTITAS UNIT!D9"")"),"#N/A")</f>
        <v>#N/A</v>
      </c>
      <c r="H17809" s="4" t="str">
        <v/>
      </c>
      <c r="I17809" s="4" t="str">
        <v/>
      </c>
    </row>
    <row r="17810" spans="5:9" ht="16.5" hidden="1">
      <c r="E17810" s="4" t="str">
        <v/>
      </c>
      <c r="F17810" s="102" t="str">
        <f ca="1">IFERROR(__xludf.DUMMYFUNCTION("IMPORTRANGE(H17810,""IDENTITAS UNIT!D9"")"),"#N/A")</f>
        <v>#N/A</v>
      </c>
      <c r="H17810" s="4" t="str">
        <v/>
      </c>
      <c r="I17810" s="4" t="str">
        <v/>
      </c>
    </row>
    <row r="17811" spans="5:9" ht="16.5" hidden="1">
      <c r="E17811" s="4" t="str">
        <v/>
      </c>
      <c r="F17811" s="102" t="str">
        <f ca="1">IFERROR(__xludf.DUMMYFUNCTION("IMPORTRANGE(H17811,""IDENTITAS UNIT!D9"")"),"#N/A")</f>
        <v>#N/A</v>
      </c>
      <c r="H17811" s="4" t="str">
        <v/>
      </c>
      <c r="I17811" s="4" t="str">
        <v/>
      </c>
    </row>
    <row r="17812" spans="5:9" ht="16.5" hidden="1">
      <c r="E17812" s="4" t="str">
        <v/>
      </c>
      <c r="F17812" s="102" t="str">
        <f ca="1">IFERROR(__xludf.DUMMYFUNCTION("IMPORTRANGE(H17812,""IDENTITAS UNIT!D9"")"),"#N/A")</f>
        <v>#N/A</v>
      </c>
      <c r="H17812" s="4" t="str">
        <v/>
      </c>
      <c r="I17812" s="4" t="str">
        <v/>
      </c>
    </row>
    <row r="17813" spans="5:9" ht="16.5" hidden="1">
      <c r="E17813" s="4" t="str">
        <v/>
      </c>
      <c r="F17813" s="102" t="str">
        <f ca="1">IFERROR(__xludf.DUMMYFUNCTION("IMPORTRANGE(H17813,""IDENTITAS UNIT!D9"")"),"#N/A")</f>
        <v>#N/A</v>
      </c>
      <c r="H17813" s="4" t="str">
        <v/>
      </c>
      <c r="I17813" s="4" t="str">
        <v/>
      </c>
    </row>
    <row r="17814" spans="5:9" ht="16.5" hidden="1">
      <c r="E17814" s="4" t="str">
        <v/>
      </c>
      <c r="F17814" s="102" t="str">
        <f ca="1">IFERROR(__xludf.DUMMYFUNCTION("IMPORTRANGE(H17814,""IDENTITAS UNIT!D9"")"),"#N/A")</f>
        <v>#N/A</v>
      </c>
      <c r="H17814" s="4" t="str">
        <v/>
      </c>
      <c r="I17814" s="4" t="str">
        <v/>
      </c>
    </row>
    <row r="17815" spans="5:9" ht="16.5" hidden="1">
      <c r="E17815" s="4" t="str">
        <v/>
      </c>
      <c r="F17815" s="102" t="str">
        <f ca="1">IFERROR(__xludf.DUMMYFUNCTION("IMPORTRANGE(H17815,""IDENTITAS UNIT!D9"")"),"#N/A")</f>
        <v>#N/A</v>
      </c>
      <c r="H17815" s="4" t="str">
        <v/>
      </c>
      <c r="I17815" s="4" t="str">
        <v/>
      </c>
    </row>
    <row r="17816" spans="5:9" ht="16.5" hidden="1">
      <c r="E17816" s="4" t="str">
        <v/>
      </c>
      <c r="F17816" s="102" t="str">
        <f ca="1">IFERROR(__xludf.DUMMYFUNCTION("IMPORTRANGE(H17816,""IDENTITAS UNIT!D9"")"),"#N/A")</f>
        <v>#N/A</v>
      </c>
      <c r="H17816" s="4" t="str">
        <v/>
      </c>
      <c r="I17816" s="4" t="str">
        <v/>
      </c>
    </row>
    <row r="17817" spans="5:9" ht="16.5" hidden="1">
      <c r="E17817" s="4" t="str">
        <v/>
      </c>
      <c r="F17817" s="102" t="str">
        <f ca="1">IFERROR(__xludf.DUMMYFUNCTION("IMPORTRANGE(H17817,""IDENTITAS UNIT!D9"")"),"#N/A")</f>
        <v>#N/A</v>
      </c>
      <c r="H17817" s="4" t="str">
        <v/>
      </c>
      <c r="I17817" s="4" t="str">
        <v/>
      </c>
    </row>
    <row r="17818" spans="5:9" ht="16.5" hidden="1">
      <c r="E17818" s="4" t="str">
        <v/>
      </c>
      <c r="F17818" s="102" t="str">
        <f ca="1">IFERROR(__xludf.DUMMYFUNCTION("IMPORTRANGE(H17818,""IDENTITAS UNIT!D9"")"),"#N/A")</f>
        <v>#N/A</v>
      </c>
      <c r="H17818" s="4" t="str">
        <v/>
      </c>
      <c r="I17818" s="4" t="str">
        <v/>
      </c>
    </row>
    <row r="17819" spans="5:9" ht="16.5" hidden="1">
      <c r="E17819" s="4" t="str">
        <v/>
      </c>
      <c r="F17819" s="102" t="str">
        <f ca="1">IFERROR(__xludf.DUMMYFUNCTION("IMPORTRANGE(H17819,""IDENTITAS UNIT!D9"")"),"#N/A")</f>
        <v>#N/A</v>
      </c>
      <c r="H17819" s="4" t="str">
        <v/>
      </c>
      <c r="I17819" s="4" t="str">
        <v/>
      </c>
    </row>
    <row r="17820" spans="5:9" ht="16.5" hidden="1">
      <c r="E17820" s="4" t="str">
        <v/>
      </c>
      <c r="F17820" s="102" t="str">
        <f ca="1">IFERROR(__xludf.DUMMYFUNCTION("IMPORTRANGE(H17820,""IDENTITAS UNIT!D9"")"),"#N/A")</f>
        <v>#N/A</v>
      </c>
      <c r="H17820" s="4" t="str">
        <v/>
      </c>
      <c r="I17820" s="4" t="str">
        <v/>
      </c>
    </row>
    <row r="17821" spans="5:9" ht="16.5" hidden="1">
      <c r="E17821" s="4" t="str">
        <v/>
      </c>
      <c r="F17821" s="102" t="str">
        <f ca="1">IFERROR(__xludf.DUMMYFUNCTION("IMPORTRANGE(H17821,""IDENTITAS UNIT!D9"")"),"#N/A")</f>
        <v>#N/A</v>
      </c>
      <c r="H17821" s="4" t="str">
        <v/>
      </c>
      <c r="I17821" s="4" t="str">
        <v/>
      </c>
    </row>
    <row r="17822" spans="5:9" ht="16.5" hidden="1">
      <c r="E17822" s="4" t="str">
        <v/>
      </c>
      <c r="F17822" s="102" t="str">
        <f ca="1">IFERROR(__xludf.DUMMYFUNCTION("IMPORTRANGE(H17822,""IDENTITAS UNIT!D9"")"),"#N/A")</f>
        <v>#N/A</v>
      </c>
      <c r="H17822" s="4" t="str">
        <v/>
      </c>
      <c r="I17822" s="4" t="str">
        <v/>
      </c>
    </row>
    <row r="17823" spans="5:9" ht="16.5" hidden="1">
      <c r="E17823" s="4" t="str">
        <v/>
      </c>
      <c r="F17823" s="102" t="str">
        <f ca="1">IFERROR(__xludf.DUMMYFUNCTION("IMPORTRANGE(H17823,""IDENTITAS UNIT!D9"")"),"#N/A")</f>
        <v>#N/A</v>
      </c>
      <c r="H17823" s="4" t="str">
        <v/>
      </c>
      <c r="I17823" s="4" t="str">
        <v/>
      </c>
    </row>
    <row r="17824" spans="5:9" ht="16.5" hidden="1">
      <c r="E17824" s="4" t="str">
        <v/>
      </c>
      <c r="F17824" s="102" t="str">
        <f ca="1">IFERROR(__xludf.DUMMYFUNCTION("IMPORTRANGE(H17824,""IDENTITAS UNIT!D9"")"),"#N/A")</f>
        <v>#N/A</v>
      </c>
      <c r="H17824" s="4" t="str">
        <v/>
      </c>
      <c r="I17824" s="4" t="str">
        <v/>
      </c>
    </row>
    <row r="17825" spans="5:9" ht="16.5" hidden="1">
      <c r="E17825" s="4" t="str">
        <v/>
      </c>
      <c r="F17825" s="102" t="str">
        <f ca="1">IFERROR(__xludf.DUMMYFUNCTION("IMPORTRANGE(H17825,""IDENTITAS UNIT!D9"")"),"#N/A")</f>
        <v>#N/A</v>
      </c>
      <c r="H17825" s="4" t="str">
        <v/>
      </c>
      <c r="I17825" s="4" t="str">
        <v/>
      </c>
    </row>
    <row r="17826" spans="5:9" ht="16.5" hidden="1">
      <c r="E17826" s="4" t="str">
        <v/>
      </c>
      <c r="F17826" s="102" t="str">
        <f ca="1">IFERROR(__xludf.DUMMYFUNCTION("IMPORTRANGE(H17826,""IDENTITAS UNIT!D9"")"),"#N/A")</f>
        <v>#N/A</v>
      </c>
      <c r="H17826" s="4" t="str">
        <v/>
      </c>
      <c r="I17826" s="4" t="str">
        <v/>
      </c>
    </row>
    <row r="17827" spans="5:9" ht="16.5" hidden="1">
      <c r="E17827" s="4" t="str">
        <v/>
      </c>
      <c r="F17827" s="102" t="str">
        <f ca="1">IFERROR(__xludf.DUMMYFUNCTION("IMPORTRANGE(H17827,""IDENTITAS UNIT!D9"")"),"#N/A")</f>
        <v>#N/A</v>
      </c>
      <c r="H17827" s="4" t="str">
        <v/>
      </c>
      <c r="I17827" s="4" t="str">
        <v/>
      </c>
    </row>
    <row r="17828" spans="5:9" ht="16.5" hidden="1">
      <c r="E17828" s="4" t="str">
        <v/>
      </c>
      <c r="F17828" s="102" t="str">
        <f ca="1">IFERROR(__xludf.DUMMYFUNCTION("IMPORTRANGE(H17828,""IDENTITAS UNIT!D9"")"),"#N/A")</f>
        <v>#N/A</v>
      </c>
      <c r="H17828" s="4" t="str">
        <v/>
      </c>
      <c r="I17828" s="4" t="str">
        <v/>
      </c>
    </row>
    <row r="17829" spans="5:9" ht="16.5" hidden="1">
      <c r="E17829" s="4" t="str">
        <v/>
      </c>
      <c r="F17829" s="102" t="str">
        <f ca="1">IFERROR(__xludf.DUMMYFUNCTION("IMPORTRANGE(H17829,""IDENTITAS UNIT!D9"")"),"#N/A")</f>
        <v>#N/A</v>
      </c>
      <c r="H17829" s="4" t="str">
        <v/>
      </c>
      <c r="I17829" s="4" t="str">
        <v/>
      </c>
    </row>
    <row r="17830" spans="5:9" ht="16.5" hidden="1">
      <c r="E17830" s="4" t="str">
        <v/>
      </c>
      <c r="F17830" s="102" t="str">
        <f ca="1">IFERROR(__xludf.DUMMYFUNCTION("IMPORTRANGE(H17830,""IDENTITAS UNIT!D9"")"),"#N/A")</f>
        <v>#N/A</v>
      </c>
      <c r="H17830" s="4" t="str">
        <v/>
      </c>
      <c r="I17830" s="4" t="str">
        <v/>
      </c>
    </row>
    <row r="17831" spans="5:9" ht="16.5" hidden="1">
      <c r="E17831" s="4" t="str">
        <v/>
      </c>
      <c r="F17831" s="102" t="str">
        <f ca="1">IFERROR(__xludf.DUMMYFUNCTION("IMPORTRANGE(H17831,""IDENTITAS UNIT!D9"")"),"#N/A")</f>
        <v>#N/A</v>
      </c>
      <c r="H17831" s="4" t="str">
        <v/>
      </c>
      <c r="I17831" s="4" t="str">
        <v/>
      </c>
    </row>
    <row r="17832" spans="5:9" ht="16.5" hidden="1">
      <c r="E17832" s="4" t="str">
        <v/>
      </c>
      <c r="F17832" s="102" t="str">
        <f ca="1">IFERROR(__xludf.DUMMYFUNCTION("IMPORTRANGE(H17832,""IDENTITAS UNIT!D9"")"),"#N/A")</f>
        <v>#N/A</v>
      </c>
      <c r="H17832" s="4" t="str">
        <v/>
      </c>
      <c r="I17832" s="4" t="str">
        <v/>
      </c>
    </row>
    <row r="17833" spans="5:9" ht="16.5" hidden="1">
      <c r="E17833" s="4" t="str">
        <v/>
      </c>
      <c r="F17833" s="102" t="str">
        <f ca="1">IFERROR(__xludf.DUMMYFUNCTION("IMPORTRANGE(H17833,""IDENTITAS UNIT!D9"")"),"#N/A")</f>
        <v>#N/A</v>
      </c>
      <c r="H17833" s="4" t="str">
        <v/>
      </c>
      <c r="I17833" s="4" t="str">
        <v/>
      </c>
    </row>
    <row r="17834" spans="5:9" ht="16.5" hidden="1">
      <c r="E17834" s="4" t="str">
        <v/>
      </c>
      <c r="F17834" s="102" t="str">
        <f ca="1">IFERROR(__xludf.DUMMYFUNCTION("IMPORTRANGE(H17834,""IDENTITAS UNIT!D9"")"),"#N/A")</f>
        <v>#N/A</v>
      </c>
      <c r="H17834" s="4" t="str">
        <v/>
      </c>
      <c r="I17834" s="4" t="str">
        <v/>
      </c>
    </row>
    <row r="17835" spans="5:9" ht="16.5" hidden="1">
      <c r="E17835" s="4" t="str">
        <v/>
      </c>
      <c r="F17835" s="102" t="str">
        <f ca="1">IFERROR(__xludf.DUMMYFUNCTION("IMPORTRANGE(H17835,""IDENTITAS UNIT!D9"")"),"#N/A")</f>
        <v>#N/A</v>
      </c>
      <c r="H17835" s="4" t="str">
        <v/>
      </c>
      <c r="I17835" s="4" t="str">
        <v/>
      </c>
    </row>
    <row r="17836" spans="5:9" ht="16.5" hidden="1">
      <c r="E17836" s="4" t="str">
        <v/>
      </c>
      <c r="F17836" s="102" t="str">
        <f ca="1">IFERROR(__xludf.DUMMYFUNCTION("IMPORTRANGE(H17836,""IDENTITAS UNIT!D9"")"),"#N/A")</f>
        <v>#N/A</v>
      </c>
      <c r="H17836" s="4" t="str">
        <v/>
      </c>
      <c r="I17836" s="4" t="str">
        <v/>
      </c>
    </row>
    <row r="17837" spans="5:9" ht="16.5" hidden="1">
      <c r="E17837" s="4" t="str">
        <v/>
      </c>
      <c r="F17837" s="102" t="str">
        <f ca="1">IFERROR(__xludf.DUMMYFUNCTION("IMPORTRANGE(H17837,""IDENTITAS UNIT!D9"")"),"#N/A")</f>
        <v>#N/A</v>
      </c>
      <c r="H17837" s="4" t="str">
        <v/>
      </c>
      <c r="I17837" s="4" t="str">
        <v/>
      </c>
    </row>
    <row r="17838" spans="5:9" ht="16.5" hidden="1">
      <c r="E17838" s="4" t="str">
        <v/>
      </c>
      <c r="F17838" s="102" t="str">
        <f ca="1">IFERROR(__xludf.DUMMYFUNCTION("IMPORTRANGE(H17838,""IDENTITAS UNIT!D9"")"),"#N/A")</f>
        <v>#N/A</v>
      </c>
      <c r="H17838" s="4" t="str">
        <v/>
      </c>
      <c r="I17838" s="4" t="str">
        <v/>
      </c>
    </row>
    <row r="17839" spans="5:9" ht="16.5" hidden="1">
      <c r="E17839" s="4" t="str">
        <v/>
      </c>
      <c r="F17839" s="102" t="str">
        <f ca="1">IFERROR(__xludf.DUMMYFUNCTION("IMPORTRANGE(H17839,""IDENTITAS UNIT!D9"")"),"#N/A")</f>
        <v>#N/A</v>
      </c>
      <c r="H17839" s="4" t="str">
        <v/>
      </c>
      <c r="I17839" s="4" t="str">
        <v/>
      </c>
    </row>
    <row r="17840" spans="5:9" ht="16.5" hidden="1">
      <c r="E17840" s="4" t="str">
        <v/>
      </c>
      <c r="F17840" s="102" t="str">
        <f ca="1">IFERROR(__xludf.DUMMYFUNCTION("IMPORTRANGE(H17840,""IDENTITAS UNIT!D9"")"),"#N/A")</f>
        <v>#N/A</v>
      </c>
      <c r="H17840" s="4" t="str">
        <v/>
      </c>
      <c r="I17840" s="4" t="str">
        <v/>
      </c>
    </row>
    <row r="17841" spans="5:9" ht="16.5" hidden="1">
      <c r="E17841" s="4" t="str">
        <v/>
      </c>
      <c r="F17841" s="102" t="str">
        <f ca="1">IFERROR(__xludf.DUMMYFUNCTION("IMPORTRANGE(H17841,""IDENTITAS UNIT!D9"")"),"#N/A")</f>
        <v>#N/A</v>
      </c>
      <c r="H17841" s="4" t="str">
        <v/>
      </c>
      <c r="I17841" s="4" t="str">
        <v/>
      </c>
    </row>
    <row r="17842" spans="5:9" ht="16.5" hidden="1">
      <c r="E17842" s="4" t="str">
        <v/>
      </c>
      <c r="F17842" s="102" t="str">
        <f ca="1">IFERROR(__xludf.DUMMYFUNCTION("IMPORTRANGE(H17842,""IDENTITAS UNIT!D9"")"),"#N/A")</f>
        <v>#N/A</v>
      </c>
      <c r="H17842" s="4" t="str">
        <v/>
      </c>
      <c r="I17842" s="4" t="str">
        <v/>
      </c>
    </row>
    <row r="17843" spans="5:9" ht="16.5" hidden="1">
      <c r="E17843" s="4" t="str">
        <v/>
      </c>
      <c r="F17843" s="102" t="str">
        <f ca="1">IFERROR(__xludf.DUMMYFUNCTION("IMPORTRANGE(H17843,""IDENTITAS UNIT!D9"")"),"#N/A")</f>
        <v>#N/A</v>
      </c>
      <c r="H17843" s="4" t="str">
        <v/>
      </c>
      <c r="I17843" s="4" t="str">
        <v/>
      </c>
    </row>
    <row r="17844" spans="5:9" ht="16.5" hidden="1">
      <c r="E17844" s="4" t="str">
        <v/>
      </c>
      <c r="F17844" s="102" t="str">
        <f ca="1">IFERROR(__xludf.DUMMYFUNCTION("IMPORTRANGE(H17844,""IDENTITAS UNIT!D9"")"),"#N/A")</f>
        <v>#N/A</v>
      </c>
      <c r="H17844" s="4" t="str">
        <v/>
      </c>
      <c r="I17844" s="4" t="str">
        <v/>
      </c>
    </row>
    <row r="17845" spans="5:9" ht="16.5" hidden="1">
      <c r="E17845" s="4" t="str">
        <v/>
      </c>
      <c r="F17845" s="102" t="str">
        <f ca="1">IFERROR(__xludf.DUMMYFUNCTION("IMPORTRANGE(H17845,""IDENTITAS UNIT!D9"")"),"#N/A")</f>
        <v>#N/A</v>
      </c>
      <c r="H17845" s="4" t="str">
        <v/>
      </c>
      <c r="I17845" s="4" t="str">
        <v/>
      </c>
    </row>
    <row r="17846" spans="5:9" ht="16.5" hidden="1">
      <c r="E17846" s="4" t="str">
        <v/>
      </c>
      <c r="F17846" s="102" t="str">
        <f ca="1">IFERROR(__xludf.DUMMYFUNCTION("IMPORTRANGE(H17846,""IDENTITAS UNIT!D9"")"),"#N/A")</f>
        <v>#N/A</v>
      </c>
      <c r="H17846" s="4" t="str">
        <v/>
      </c>
      <c r="I17846" s="4" t="str">
        <v/>
      </c>
    </row>
    <row r="17847" spans="5:9" ht="16.5" hidden="1">
      <c r="E17847" s="4" t="str">
        <v/>
      </c>
      <c r="F17847" s="102" t="str">
        <f ca="1">IFERROR(__xludf.DUMMYFUNCTION("IMPORTRANGE(H17847,""IDENTITAS UNIT!D9"")"),"#N/A")</f>
        <v>#N/A</v>
      </c>
      <c r="H17847" s="4" t="str">
        <v/>
      </c>
      <c r="I17847" s="4" t="str">
        <v/>
      </c>
    </row>
    <row r="17848" spans="5:9" ht="16.5" hidden="1">
      <c r="E17848" s="4" t="str">
        <v/>
      </c>
      <c r="F17848" s="102" t="str">
        <f ca="1">IFERROR(__xludf.DUMMYFUNCTION("IMPORTRANGE(H17848,""IDENTITAS UNIT!D9"")"),"#N/A")</f>
        <v>#N/A</v>
      </c>
      <c r="H17848" s="4" t="str">
        <v/>
      </c>
      <c r="I17848" s="4" t="str">
        <v/>
      </c>
    </row>
    <row r="17849" spans="5:9" ht="16.5" hidden="1">
      <c r="E17849" s="4" t="str">
        <v/>
      </c>
      <c r="F17849" s="102" t="str">
        <f ca="1">IFERROR(__xludf.DUMMYFUNCTION("IMPORTRANGE(H17849,""IDENTITAS UNIT!D9"")"),"#N/A")</f>
        <v>#N/A</v>
      </c>
      <c r="H17849" s="4" t="str">
        <v/>
      </c>
      <c r="I17849" s="4" t="str">
        <v/>
      </c>
    </row>
    <row r="17850" spans="5:9" ht="16.5" hidden="1">
      <c r="E17850" s="4" t="str">
        <v/>
      </c>
      <c r="F17850" s="102" t="str">
        <f ca="1">IFERROR(__xludf.DUMMYFUNCTION("IMPORTRANGE(H17850,""IDENTITAS UNIT!D9"")"),"#N/A")</f>
        <v>#N/A</v>
      </c>
      <c r="H17850" s="4" t="str">
        <v/>
      </c>
      <c r="I17850" s="4" t="str">
        <v/>
      </c>
    </row>
    <row r="17851" spans="5:9" ht="16.5" hidden="1">
      <c r="E17851" s="4" t="str">
        <v/>
      </c>
      <c r="F17851" s="102" t="str">
        <f ca="1">IFERROR(__xludf.DUMMYFUNCTION("IMPORTRANGE(H17851,""IDENTITAS UNIT!D9"")"),"#N/A")</f>
        <v>#N/A</v>
      </c>
      <c r="H17851" s="4" t="str">
        <v/>
      </c>
      <c r="I17851" s="4" t="str">
        <v/>
      </c>
    </row>
    <row r="17852" spans="5:9" ht="16.5" hidden="1">
      <c r="E17852" s="4" t="str">
        <v/>
      </c>
      <c r="F17852" s="102" t="str">
        <f ca="1">IFERROR(__xludf.DUMMYFUNCTION("IMPORTRANGE(H17852,""IDENTITAS UNIT!D9"")"),"#N/A")</f>
        <v>#N/A</v>
      </c>
      <c r="H17852" s="4" t="str">
        <v/>
      </c>
      <c r="I17852" s="4" t="str">
        <v/>
      </c>
    </row>
    <row r="17853" spans="5:9" ht="16.5" hidden="1">
      <c r="E17853" s="4" t="str">
        <v/>
      </c>
      <c r="F17853" s="102" t="str">
        <f ca="1">IFERROR(__xludf.DUMMYFUNCTION("IMPORTRANGE(H17853,""IDENTITAS UNIT!D9"")"),"#N/A")</f>
        <v>#N/A</v>
      </c>
      <c r="H17853" s="4" t="str">
        <v/>
      </c>
      <c r="I17853" s="4" t="str">
        <v/>
      </c>
    </row>
    <row r="17854" spans="5:9" ht="16.5" hidden="1">
      <c r="E17854" s="4" t="str">
        <v/>
      </c>
      <c r="F17854" s="102" t="str">
        <f ca="1">IFERROR(__xludf.DUMMYFUNCTION("IMPORTRANGE(H17854,""IDENTITAS UNIT!D9"")"),"#N/A")</f>
        <v>#N/A</v>
      </c>
      <c r="H17854" s="4" t="str">
        <v/>
      </c>
      <c r="I17854" s="4" t="str">
        <v/>
      </c>
    </row>
    <row r="17855" spans="5:9" ht="16.5" hidden="1">
      <c r="E17855" s="4" t="str">
        <v/>
      </c>
      <c r="F17855" s="102" t="str">
        <f ca="1">IFERROR(__xludf.DUMMYFUNCTION("IMPORTRANGE(H17855,""IDENTITAS UNIT!D9"")"),"#N/A")</f>
        <v>#N/A</v>
      </c>
      <c r="H17855" s="4" t="str">
        <v/>
      </c>
      <c r="I17855" s="4" t="str">
        <v/>
      </c>
    </row>
    <row r="17856" spans="5:9" ht="16.5" hidden="1">
      <c r="E17856" s="4" t="str">
        <v/>
      </c>
      <c r="F17856" s="102" t="str">
        <f ca="1">IFERROR(__xludf.DUMMYFUNCTION("IMPORTRANGE(H17856,""IDENTITAS UNIT!D9"")"),"#N/A")</f>
        <v>#N/A</v>
      </c>
      <c r="H17856" s="4" t="str">
        <v/>
      </c>
      <c r="I17856" s="4" t="str">
        <v/>
      </c>
    </row>
    <row r="17857" spans="5:9" ht="16.5" hidden="1">
      <c r="E17857" s="4" t="str">
        <v/>
      </c>
      <c r="F17857" s="102" t="str">
        <f ca="1">IFERROR(__xludf.DUMMYFUNCTION("IMPORTRANGE(H17857,""IDENTITAS UNIT!D9"")"),"#N/A")</f>
        <v>#N/A</v>
      </c>
      <c r="H17857" s="4" t="str">
        <v/>
      </c>
      <c r="I17857" s="4" t="str">
        <v/>
      </c>
    </row>
    <row r="17858" spans="5:9" ht="16.5" hidden="1">
      <c r="E17858" s="4" t="str">
        <v/>
      </c>
      <c r="F17858" s="102" t="str">
        <f ca="1">IFERROR(__xludf.DUMMYFUNCTION("IMPORTRANGE(H17858,""IDENTITAS UNIT!D9"")"),"#N/A")</f>
        <v>#N/A</v>
      </c>
      <c r="H17858" s="4" t="str">
        <v/>
      </c>
      <c r="I17858" s="4" t="str">
        <v/>
      </c>
    </row>
    <row r="17859" spans="5:9" ht="16.5" hidden="1">
      <c r="E17859" s="4" t="str">
        <v/>
      </c>
      <c r="F17859" s="102" t="str">
        <f ca="1">IFERROR(__xludf.DUMMYFUNCTION("IMPORTRANGE(H17859,""IDENTITAS UNIT!D9"")"),"#N/A")</f>
        <v>#N/A</v>
      </c>
      <c r="H17859" s="4" t="str">
        <v/>
      </c>
      <c r="I17859" s="4" t="str">
        <v/>
      </c>
    </row>
    <row r="17860" spans="5:9" ht="16.5" hidden="1">
      <c r="E17860" s="4" t="str">
        <v/>
      </c>
      <c r="F17860" s="102" t="str">
        <f ca="1">IFERROR(__xludf.DUMMYFUNCTION("IMPORTRANGE(H17860,""IDENTITAS UNIT!D9"")"),"#N/A")</f>
        <v>#N/A</v>
      </c>
      <c r="H17860" s="4" t="str">
        <v/>
      </c>
      <c r="I17860" s="4" t="str">
        <v/>
      </c>
    </row>
    <row r="17861" spans="5:9" ht="16.5" hidden="1">
      <c r="E17861" s="4" t="str">
        <v/>
      </c>
      <c r="F17861" s="102" t="str">
        <f ca="1">IFERROR(__xludf.DUMMYFUNCTION("IMPORTRANGE(H17861,""IDENTITAS UNIT!D9"")"),"#N/A")</f>
        <v>#N/A</v>
      </c>
      <c r="H17861" s="4" t="str">
        <v/>
      </c>
      <c r="I17861" s="4" t="str">
        <v/>
      </c>
    </row>
    <row r="17862" spans="5:9" ht="16.5" hidden="1">
      <c r="E17862" s="4" t="str">
        <v/>
      </c>
      <c r="F17862" s="102" t="str">
        <f ca="1">IFERROR(__xludf.DUMMYFUNCTION("IMPORTRANGE(H17862,""IDENTITAS UNIT!D9"")"),"#N/A")</f>
        <v>#N/A</v>
      </c>
      <c r="H17862" s="4" t="str">
        <v/>
      </c>
      <c r="I17862" s="4" t="str">
        <v/>
      </c>
    </row>
    <row r="17863" spans="5:9" ht="16.5" hidden="1">
      <c r="E17863" s="4" t="str">
        <v/>
      </c>
      <c r="F17863" s="102" t="str">
        <f ca="1">IFERROR(__xludf.DUMMYFUNCTION("IMPORTRANGE(H17863,""IDENTITAS UNIT!D9"")"),"#N/A")</f>
        <v>#N/A</v>
      </c>
      <c r="H17863" s="4" t="str">
        <v/>
      </c>
      <c r="I17863" s="4" t="str">
        <v/>
      </c>
    </row>
    <row r="17864" spans="5:9" ht="16.5" hidden="1">
      <c r="E17864" s="4" t="str">
        <v/>
      </c>
      <c r="F17864" s="102" t="str">
        <f ca="1">IFERROR(__xludf.DUMMYFUNCTION("IMPORTRANGE(H17864,""IDENTITAS UNIT!D9"")"),"#N/A")</f>
        <v>#N/A</v>
      </c>
      <c r="H17864" s="4" t="str">
        <v/>
      </c>
      <c r="I17864" s="4" t="str">
        <v/>
      </c>
    </row>
    <row r="17865" spans="5:9" ht="16.5" hidden="1">
      <c r="E17865" s="4" t="str">
        <v/>
      </c>
      <c r="F17865" s="102" t="str">
        <f ca="1">IFERROR(__xludf.DUMMYFUNCTION("IMPORTRANGE(H17865,""IDENTITAS UNIT!D9"")"),"#N/A")</f>
        <v>#N/A</v>
      </c>
      <c r="H17865" s="4" t="str">
        <v/>
      </c>
      <c r="I17865" s="4" t="str">
        <v/>
      </c>
    </row>
    <row r="17866" spans="5:9" ht="16.5" hidden="1">
      <c r="E17866" s="4" t="str">
        <v/>
      </c>
      <c r="F17866" s="102" t="str">
        <f ca="1">IFERROR(__xludf.DUMMYFUNCTION("IMPORTRANGE(H17866,""IDENTITAS UNIT!D9"")"),"#N/A")</f>
        <v>#N/A</v>
      </c>
      <c r="H17866" s="4" t="str">
        <v/>
      </c>
      <c r="I17866" s="4" t="str">
        <v/>
      </c>
    </row>
    <row r="17867" spans="5:9" ht="16.5" hidden="1">
      <c r="E17867" s="4" t="str">
        <v/>
      </c>
      <c r="F17867" s="102" t="str">
        <f ca="1">IFERROR(__xludf.DUMMYFUNCTION("IMPORTRANGE(H17867,""IDENTITAS UNIT!D9"")"),"#N/A")</f>
        <v>#N/A</v>
      </c>
      <c r="H17867" s="4" t="str">
        <v/>
      </c>
      <c r="I17867" s="4" t="str">
        <v/>
      </c>
    </row>
    <row r="17868" spans="5:9" ht="16.5" hidden="1">
      <c r="E17868" s="4" t="str">
        <v/>
      </c>
      <c r="F17868" s="102" t="str">
        <f ca="1">IFERROR(__xludf.DUMMYFUNCTION("IMPORTRANGE(H17868,""IDENTITAS UNIT!D9"")"),"#N/A")</f>
        <v>#N/A</v>
      </c>
      <c r="H17868" s="4" t="str">
        <v/>
      </c>
      <c r="I17868" s="4" t="str">
        <v/>
      </c>
    </row>
    <row r="17869" spans="5:9" ht="16.5" hidden="1">
      <c r="E17869" s="4" t="str">
        <v/>
      </c>
      <c r="F17869" s="102" t="str">
        <f ca="1">IFERROR(__xludf.DUMMYFUNCTION("IMPORTRANGE(H17869,""IDENTITAS UNIT!D9"")"),"#N/A")</f>
        <v>#N/A</v>
      </c>
      <c r="H17869" s="4" t="str">
        <v/>
      </c>
      <c r="I17869" s="4" t="str">
        <v/>
      </c>
    </row>
    <row r="17870" spans="5:9" ht="16.5" hidden="1">
      <c r="E17870" s="4" t="str">
        <v/>
      </c>
      <c r="F17870" s="102" t="str">
        <f ca="1">IFERROR(__xludf.DUMMYFUNCTION("IMPORTRANGE(H17870,""IDENTITAS UNIT!D9"")"),"#N/A")</f>
        <v>#N/A</v>
      </c>
      <c r="H17870" s="4" t="str">
        <v/>
      </c>
      <c r="I17870" s="4" t="str">
        <v/>
      </c>
    </row>
    <row r="17871" spans="5:9" ht="16.5" hidden="1">
      <c r="E17871" s="4" t="str">
        <v/>
      </c>
      <c r="F17871" s="102" t="str">
        <f ca="1">IFERROR(__xludf.DUMMYFUNCTION("IMPORTRANGE(H17871,""IDENTITAS UNIT!D9"")"),"#N/A")</f>
        <v>#N/A</v>
      </c>
      <c r="H17871" s="4" t="str">
        <v/>
      </c>
      <c r="I17871" s="4" t="str">
        <v/>
      </c>
    </row>
    <row r="17872" spans="5:9" ht="16.5" hidden="1">
      <c r="E17872" s="4" t="str">
        <v/>
      </c>
      <c r="F17872" s="102" t="str">
        <f ca="1">IFERROR(__xludf.DUMMYFUNCTION("IMPORTRANGE(H17872,""IDENTITAS UNIT!D9"")"),"#N/A")</f>
        <v>#N/A</v>
      </c>
      <c r="H17872" s="4" t="str">
        <v/>
      </c>
      <c r="I17872" s="4" t="str">
        <v/>
      </c>
    </row>
    <row r="17873" spans="5:9" ht="16.5" hidden="1">
      <c r="E17873" s="4" t="str">
        <v/>
      </c>
      <c r="F17873" s="102" t="str">
        <f ca="1">IFERROR(__xludf.DUMMYFUNCTION("IMPORTRANGE(H17873,""IDENTITAS UNIT!D9"")"),"#N/A")</f>
        <v>#N/A</v>
      </c>
      <c r="H17873" s="4" t="str">
        <v/>
      </c>
      <c r="I17873" s="4" t="str">
        <v/>
      </c>
    </row>
    <row r="17874" spans="5:9" ht="16.5" hidden="1">
      <c r="E17874" s="4" t="str">
        <v/>
      </c>
      <c r="F17874" s="102" t="str">
        <f ca="1">IFERROR(__xludf.DUMMYFUNCTION("IMPORTRANGE(H17874,""IDENTITAS UNIT!D9"")"),"#N/A")</f>
        <v>#N/A</v>
      </c>
      <c r="H17874" s="4" t="str">
        <v/>
      </c>
      <c r="I17874" s="4" t="str">
        <v/>
      </c>
    </row>
    <row r="17875" spans="5:9" ht="16.5" hidden="1">
      <c r="E17875" s="4" t="str">
        <v/>
      </c>
      <c r="F17875" s="102" t="str">
        <f ca="1">IFERROR(__xludf.DUMMYFUNCTION("IMPORTRANGE(H17875,""IDENTITAS UNIT!D9"")"),"#N/A")</f>
        <v>#N/A</v>
      </c>
      <c r="H17875" s="4" t="str">
        <v/>
      </c>
      <c r="I17875" s="4" t="str">
        <v/>
      </c>
    </row>
    <row r="17876" spans="5:9" ht="16.5" hidden="1">
      <c r="E17876" s="4" t="str">
        <v/>
      </c>
      <c r="F17876" s="102" t="str">
        <f ca="1">IFERROR(__xludf.DUMMYFUNCTION("IMPORTRANGE(H17876,""IDENTITAS UNIT!D9"")"),"#N/A")</f>
        <v>#N/A</v>
      </c>
      <c r="H17876" s="4" t="str">
        <v/>
      </c>
      <c r="I17876" s="4" t="str">
        <v/>
      </c>
    </row>
    <row r="17877" spans="5:9" ht="16.5" hidden="1">
      <c r="E17877" s="4" t="str">
        <v/>
      </c>
      <c r="F17877" s="102" t="str">
        <f ca="1">IFERROR(__xludf.DUMMYFUNCTION("IMPORTRANGE(H17877,""IDENTITAS UNIT!D9"")"),"#N/A")</f>
        <v>#N/A</v>
      </c>
      <c r="H17877" s="4" t="str">
        <v/>
      </c>
      <c r="I17877" s="4" t="str">
        <v/>
      </c>
    </row>
    <row r="17878" spans="5:9" ht="16.5" hidden="1">
      <c r="E17878" s="4" t="str">
        <v/>
      </c>
      <c r="F17878" s="102" t="str">
        <f ca="1">IFERROR(__xludf.DUMMYFUNCTION("IMPORTRANGE(H17878,""IDENTITAS UNIT!D9"")"),"#N/A")</f>
        <v>#N/A</v>
      </c>
      <c r="H17878" s="4" t="str">
        <v/>
      </c>
      <c r="I17878" s="4" t="str">
        <v/>
      </c>
    </row>
    <row r="17879" spans="5:9" ht="16.5" hidden="1">
      <c r="E17879" s="4" t="str">
        <v/>
      </c>
      <c r="F17879" s="102" t="str">
        <f ca="1">IFERROR(__xludf.DUMMYFUNCTION("IMPORTRANGE(H17879,""IDENTITAS UNIT!D9"")"),"#N/A")</f>
        <v>#N/A</v>
      </c>
      <c r="H17879" s="4" t="str">
        <v/>
      </c>
      <c r="I17879" s="4" t="str">
        <v/>
      </c>
    </row>
    <row r="17880" spans="5:9" ht="16.5" hidden="1">
      <c r="E17880" s="4" t="str">
        <v/>
      </c>
      <c r="F17880" s="102" t="str">
        <f ca="1">IFERROR(__xludf.DUMMYFUNCTION("IMPORTRANGE(H17880,""IDENTITAS UNIT!D9"")"),"#N/A")</f>
        <v>#N/A</v>
      </c>
      <c r="H17880" s="4" t="str">
        <v/>
      </c>
      <c r="I17880" s="4" t="str">
        <v/>
      </c>
    </row>
    <row r="17881" spans="5:9" ht="16.5" hidden="1">
      <c r="E17881" s="4" t="str">
        <v/>
      </c>
      <c r="F17881" s="102" t="str">
        <f ca="1">IFERROR(__xludf.DUMMYFUNCTION("IMPORTRANGE(H17881,""IDENTITAS UNIT!D9"")"),"#N/A")</f>
        <v>#N/A</v>
      </c>
      <c r="H17881" s="4" t="str">
        <v/>
      </c>
      <c r="I17881" s="4" t="str">
        <v/>
      </c>
    </row>
    <row r="17882" spans="5:9" ht="16.5" hidden="1">
      <c r="E17882" s="4" t="str">
        <v/>
      </c>
      <c r="F17882" s="102" t="str">
        <f ca="1">IFERROR(__xludf.DUMMYFUNCTION("IMPORTRANGE(H17882,""IDENTITAS UNIT!D9"")"),"#N/A")</f>
        <v>#N/A</v>
      </c>
      <c r="H17882" s="4" t="str">
        <v/>
      </c>
      <c r="I17882" s="4" t="str">
        <v/>
      </c>
    </row>
    <row r="17883" spans="5:9" ht="16.5" hidden="1">
      <c r="E17883" s="4" t="str">
        <v/>
      </c>
      <c r="F17883" s="102" t="str">
        <f ca="1">IFERROR(__xludf.DUMMYFUNCTION("IMPORTRANGE(H17883,""IDENTITAS UNIT!D9"")"),"#N/A")</f>
        <v>#N/A</v>
      </c>
      <c r="H17883" s="4" t="str">
        <v/>
      </c>
      <c r="I17883" s="4" t="str">
        <v/>
      </c>
    </row>
    <row r="17884" spans="5:9" ht="16.5" hidden="1">
      <c r="E17884" s="4" t="str">
        <v/>
      </c>
      <c r="F17884" s="102" t="str">
        <f ca="1">IFERROR(__xludf.DUMMYFUNCTION("IMPORTRANGE(H17884,""IDENTITAS UNIT!D9"")"),"#N/A")</f>
        <v>#N/A</v>
      </c>
      <c r="H17884" s="4" t="str">
        <v/>
      </c>
      <c r="I17884" s="4" t="str">
        <v/>
      </c>
    </row>
    <row r="17885" spans="5:9" ht="16.5" hidden="1">
      <c r="E17885" s="4" t="str">
        <v/>
      </c>
      <c r="F17885" s="102" t="str">
        <f ca="1">IFERROR(__xludf.DUMMYFUNCTION("IMPORTRANGE(H17885,""IDENTITAS UNIT!D9"")"),"#N/A")</f>
        <v>#N/A</v>
      </c>
      <c r="H17885" s="4" t="str">
        <v/>
      </c>
      <c r="I17885" s="4" t="str">
        <v/>
      </c>
    </row>
    <row r="17886" spans="5:9" ht="16.5" hidden="1">
      <c r="E17886" s="4" t="str">
        <v/>
      </c>
      <c r="F17886" s="102" t="str">
        <f ca="1">IFERROR(__xludf.DUMMYFUNCTION("IMPORTRANGE(H17886,""IDENTITAS UNIT!D9"")"),"#N/A")</f>
        <v>#N/A</v>
      </c>
      <c r="H17886" s="4" t="str">
        <v/>
      </c>
      <c r="I17886" s="4" t="str">
        <v/>
      </c>
    </row>
    <row r="17887" spans="5:9" ht="16.5" hidden="1">
      <c r="E17887" s="4" t="str">
        <v/>
      </c>
      <c r="F17887" s="102" t="str">
        <f ca="1">IFERROR(__xludf.DUMMYFUNCTION("IMPORTRANGE(H17887,""IDENTITAS UNIT!D9"")"),"#N/A")</f>
        <v>#N/A</v>
      </c>
      <c r="H17887" s="4" t="str">
        <v/>
      </c>
      <c r="I17887" s="4" t="str">
        <v/>
      </c>
    </row>
    <row r="17888" spans="5:9" ht="16.5" hidden="1">
      <c r="E17888" s="4" t="str">
        <v/>
      </c>
      <c r="F17888" s="102" t="str">
        <f ca="1">IFERROR(__xludf.DUMMYFUNCTION("IMPORTRANGE(H17888,""IDENTITAS UNIT!D9"")"),"#N/A")</f>
        <v>#N/A</v>
      </c>
      <c r="H17888" s="4" t="str">
        <v/>
      </c>
      <c r="I17888" s="4" t="str">
        <v/>
      </c>
    </row>
    <row r="17889" spans="5:9" ht="16.5" hidden="1">
      <c r="E17889" s="4" t="str">
        <v/>
      </c>
      <c r="F17889" s="102" t="str">
        <f ca="1">IFERROR(__xludf.DUMMYFUNCTION("IMPORTRANGE(H17889,""IDENTITAS UNIT!D9"")"),"#N/A")</f>
        <v>#N/A</v>
      </c>
      <c r="H17889" s="4" t="str">
        <v/>
      </c>
      <c r="I17889" s="4" t="str">
        <v/>
      </c>
    </row>
    <row r="17890" spans="5:9" ht="16.5" hidden="1">
      <c r="E17890" s="4" t="str">
        <v/>
      </c>
      <c r="F17890" s="102" t="str">
        <f ca="1">IFERROR(__xludf.DUMMYFUNCTION("IMPORTRANGE(H17890,""IDENTITAS UNIT!D9"")"),"#N/A")</f>
        <v>#N/A</v>
      </c>
      <c r="H17890" s="4" t="str">
        <v/>
      </c>
      <c r="I17890" s="4" t="str">
        <v/>
      </c>
    </row>
    <row r="17891" spans="5:9" ht="16.5" hidden="1">
      <c r="E17891" s="4" t="str">
        <v/>
      </c>
      <c r="F17891" s="102" t="str">
        <f ca="1">IFERROR(__xludf.DUMMYFUNCTION("IMPORTRANGE(H17891,""IDENTITAS UNIT!D9"")"),"#N/A")</f>
        <v>#N/A</v>
      </c>
      <c r="H17891" s="4" t="str">
        <v/>
      </c>
      <c r="I17891" s="4" t="str">
        <v/>
      </c>
    </row>
    <row r="17892" spans="5:9" ht="16.5" hidden="1">
      <c r="E17892" s="4" t="str">
        <v/>
      </c>
      <c r="F17892" s="102" t="str">
        <f ca="1">IFERROR(__xludf.DUMMYFUNCTION("IMPORTRANGE(H17892,""IDENTITAS UNIT!D9"")"),"#N/A")</f>
        <v>#N/A</v>
      </c>
      <c r="H17892" s="4" t="str">
        <v/>
      </c>
      <c r="I17892" s="4" t="str">
        <v/>
      </c>
    </row>
    <row r="17893" spans="5:9" ht="16.5" hidden="1">
      <c r="E17893" s="4" t="str">
        <v/>
      </c>
      <c r="F17893" s="102" t="str">
        <f ca="1">IFERROR(__xludf.DUMMYFUNCTION("IMPORTRANGE(H17893,""IDENTITAS UNIT!D9"")"),"#N/A")</f>
        <v>#N/A</v>
      </c>
      <c r="H17893" s="4" t="str">
        <v/>
      </c>
      <c r="I17893" s="4" t="str">
        <v/>
      </c>
    </row>
    <row r="17894" spans="5:9" ht="16.5" hidden="1">
      <c r="E17894" s="4" t="str">
        <v/>
      </c>
      <c r="F17894" s="102" t="str">
        <f ca="1">IFERROR(__xludf.DUMMYFUNCTION("IMPORTRANGE(H17894,""IDENTITAS UNIT!D9"")"),"#N/A")</f>
        <v>#N/A</v>
      </c>
      <c r="H17894" s="4" t="str">
        <v/>
      </c>
      <c r="I17894" s="4" t="str">
        <v/>
      </c>
    </row>
    <row r="17895" spans="5:9" ht="16.5" hidden="1">
      <c r="E17895" s="4" t="str">
        <v/>
      </c>
      <c r="F17895" s="102" t="str">
        <f ca="1">IFERROR(__xludf.DUMMYFUNCTION("IMPORTRANGE(H17895,""IDENTITAS UNIT!D9"")"),"#N/A")</f>
        <v>#N/A</v>
      </c>
      <c r="H17895" s="4" t="str">
        <v/>
      </c>
      <c r="I17895" s="4" t="str">
        <v/>
      </c>
    </row>
    <row r="17896" spans="5:9" ht="16.5" hidden="1">
      <c r="E17896" s="4" t="str">
        <v/>
      </c>
      <c r="F17896" s="102" t="str">
        <f ca="1">IFERROR(__xludf.DUMMYFUNCTION("IMPORTRANGE(H17896,""IDENTITAS UNIT!D9"")"),"#N/A")</f>
        <v>#N/A</v>
      </c>
      <c r="H17896" s="4" t="str">
        <v/>
      </c>
      <c r="I17896" s="4" t="str">
        <v/>
      </c>
    </row>
    <row r="17897" spans="5:9" ht="16.5" hidden="1">
      <c r="E17897" s="4" t="str">
        <v/>
      </c>
      <c r="F17897" s="102" t="str">
        <f ca="1">IFERROR(__xludf.DUMMYFUNCTION("IMPORTRANGE(H17897,""IDENTITAS UNIT!D9"")"),"#N/A")</f>
        <v>#N/A</v>
      </c>
      <c r="H17897" s="4" t="str">
        <v/>
      </c>
      <c r="I17897" s="4" t="str">
        <v/>
      </c>
    </row>
    <row r="17898" spans="5:9" ht="16.5" hidden="1">
      <c r="E17898" s="4" t="str">
        <v/>
      </c>
      <c r="F17898" s="102" t="str">
        <f ca="1">IFERROR(__xludf.DUMMYFUNCTION("IMPORTRANGE(H17898,""IDENTITAS UNIT!D9"")"),"#N/A")</f>
        <v>#N/A</v>
      </c>
      <c r="H17898" s="4" t="str">
        <v/>
      </c>
      <c r="I17898" s="4" t="str">
        <v/>
      </c>
    </row>
    <row r="17899" spans="5:9" ht="16.5" hidden="1">
      <c r="E17899" s="4" t="str">
        <v/>
      </c>
      <c r="F17899" s="102" t="str">
        <f ca="1">IFERROR(__xludf.DUMMYFUNCTION("IMPORTRANGE(H17899,""IDENTITAS UNIT!D9"")"),"#N/A")</f>
        <v>#N/A</v>
      </c>
      <c r="H17899" s="4" t="str">
        <v/>
      </c>
      <c r="I17899" s="4" t="str">
        <v/>
      </c>
    </row>
    <row r="17900" spans="5:9" ht="16.5" hidden="1">
      <c r="E17900" s="4" t="str">
        <v/>
      </c>
      <c r="F17900" s="102" t="str">
        <f ca="1">IFERROR(__xludf.DUMMYFUNCTION("IMPORTRANGE(H17900,""IDENTITAS UNIT!D9"")"),"#N/A")</f>
        <v>#N/A</v>
      </c>
      <c r="H17900" s="4" t="str">
        <v/>
      </c>
      <c r="I17900" s="4" t="str">
        <v/>
      </c>
    </row>
    <row r="17901" spans="5:9" ht="16.5" hidden="1">
      <c r="E17901" s="4" t="str">
        <v/>
      </c>
      <c r="F17901" s="102" t="str">
        <f ca="1">IFERROR(__xludf.DUMMYFUNCTION("IMPORTRANGE(H17901,""IDENTITAS UNIT!D9"")"),"#N/A")</f>
        <v>#N/A</v>
      </c>
      <c r="H17901" s="4" t="str">
        <v/>
      </c>
      <c r="I17901" s="4" t="str">
        <v/>
      </c>
    </row>
    <row r="17902" spans="5:9" ht="16.5" hidden="1">
      <c r="E17902" s="4" t="str">
        <v/>
      </c>
      <c r="F17902" s="102" t="str">
        <f ca="1">IFERROR(__xludf.DUMMYFUNCTION("IMPORTRANGE(H17902,""IDENTITAS UNIT!D9"")"),"#N/A")</f>
        <v>#N/A</v>
      </c>
      <c r="H17902" s="4" t="str">
        <v/>
      </c>
      <c r="I17902" s="4" t="str">
        <v/>
      </c>
    </row>
    <row r="17903" spans="5:9" ht="16.5" hidden="1">
      <c r="E17903" s="4" t="str">
        <v/>
      </c>
      <c r="F17903" s="102" t="str">
        <f ca="1">IFERROR(__xludf.DUMMYFUNCTION("IMPORTRANGE(H17903,""IDENTITAS UNIT!D9"")"),"#N/A")</f>
        <v>#N/A</v>
      </c>
      <c r="H17903" s="4" t="str">
        <v/>
      </c>
      <c r="I17903" s="4" t="str">
        <v/>
      </c>
    </row>
    <row r="17904" spans="5:9" ht="16.5" hidden="1">
      <c r="E17904" s="4" t="str">
        <v/>
      </c>
      <c r="F17904" s="102" t="str">
        <f ca="1">IFERROR(__xludf.DUMMYFUNCTION("IMPORTRANGE(H17904,""IDENTITAS UNIT!D9"")"),"#N/A")</f>
        <v>#N/A</v>
      </c>
      <c r="H17904" s="4" t="str">
        <v/>
      </c>
      <c r="I17904" s="4" t="str">
        <v/>
      </c>
    </row>
    <row r="17905" spans="5:9" ht="16.5" hidden="1">
      <c r="E17905" s="4" t="str">
        <v/>
      </c>
      <c r="F17905" s="102" t="str">
        <f ca="1">IFERROR(__xludf.DUMMYFUNCTION("IMPORTRANGE(H17905,""IDENTITAS UNIT!D9"")"),"#N/A")</f>
        <v>#N/A</v>
      </c>
      <c r="H17905" s="4" t="str">
        <v/>
      </c>
      <c r="I17905" s="4" t="str">
        <v/>
      </c>
    </row>
    <row r="17906" spans="5:9" ht="16.5" hidden="1">
      <c r="E17906" s="4" t="str">
        <v/>
      </c>
      <c r="F17906" s="102" t="str">
        <f ca="1">IFERROR(__xludf.DUMMYFUNCTION("IMPORTRANGE(H17906,""IDENTITAS UNIT!D9"")"),"#N/A")</f>
        <v>#N/A</v>
      </c>
      <c r="H17906" s="4" t="str">
        <v/>
      </c>
      <c r="I17906" s="4" t="str">
        <v/>
      </c>
    </row>
    <row r="17907" spans="5:9" ht="16.5" hidden="1">
      <c r="E17907" s="4" t="str">
        <v/>
      </c>
      <c r="F17907" s="102" t="str">
        <f ca="1">IFERROR(__xludf.DUMMYFUNCTION("IMPORTRANGE(H17907,""IDENTITAS UNIT!D9"")"),"#N/A")</f>
        <v>#N/A</v>
      </c>
      <c r="H17907" s="4" t="str">
        <v/>
      </c>
      <c r="I17907" s="4" t="str">
        <v/>
      </c>
    </row>
    <row r="17908" spans="5:9" ht="16.5" hidden="1">
      <c r="E17908" s="4" t="str">
        <v/>
      </c>
      <c r="F17908" s="102" t="str">
        <f ca="1">IFERROR(__xludf.DUMMYFUNCTION("IMPORTRANGE(H17908,""IDENTITAS UNIT!D9"")"),"#N/A")</f>
        <v>#N/A</v>
      </c>
      <c r="H17908" s="4" t="str">
        <v/>
      </c>
      <c r="I17908" s="4" t="str">
        <v/>
      </c>
    </row>
    <row r="17909" spans="5:9" ht="16.5" hidden="1">
      <c r="E17909" s="4" t="str">
        <v/>
      </c>
      <c r="F17909" s="102" t="str">
        <f ca="1">IFERROR(__xludf.DUMMYFUNCTION("IMPORTRANGE(H17909,""IDENTITAS UNIT!D9"")"),"#N/A")</f>
        <v>#N/A</v>
      </c>
      <c r="H17909" s="4" t="str">
        <v/>
      </c>
      <c r="I17909" s="4" t="str">
        <v/>
      </c>
    </row>
    <row r="17910" spans="5:9" ht="16.5" hidden="1">
      <c r="E17910" s="4" t="str">
        <v/>
      </c>
      <c r="F17910" s="102" t="str">
        <f ca="1">IFERROR(__xludf.DUMMYFUNCTION("IMPORTRANGE(H17910,""IDENTITAS UNIT!D9"")"),"#N/A")</f>
        <v>#N/A</v>
      </c>
      <c r="H17910" s="4" t="str">
        <v/>
      </c>
      <c r="I17910" s="4" t="str">
        <v/>
      </c>
    </row>
    <row r="17911" spans="5:9" ht="16.5" hidden="1">
      <c r="E17911" s="4" t="str">
        <v/>
      </c>
      <c r="F17911" s="102" t="str">
        <f ca="1">IFERROR(__xludf.DUMMYFUNCTION("IMPORTRANGE(H17911,""IDENTITAS UNIT!D9"")"),"#N/A")</f>
        <v>#N/A</v>
      </c>
      <c r="H17911" s="4" t="str">
        <v/>
      </c>
      <c r="I17911" s="4" t="str">
        <v/>
      </c>
    </row>
    <row r="17912" spans="5:9" ht="16.5" hidden="1">
      <c r="E17912" s="4" t="str">
        <v/>
      </c>
      <c r="F17912" s="102" t="str">
        <f ca="1">IFERROR(__xludf.DUMMYFUNCTION("IMPORTRANGE(H17912,""IDENTITAS UNIT!D9"")"),"#N/A")</f>
        <v>#N/A</v>
      </c>
      <c r="H17912" s="4" t="str">
        <v/>
      </c>
      <c r="I17912" s="4" t="str">
        <v/>
      </c>
    </row>
    <row r="17913" spans="5:9" ht="16.5" hidden="1">
      <c r="E17913" s="4" t="str">
        <v/>
      </c>
      <c r="F17913" s="102" t="str">
        <f ca="1">IFERROR(__xludf.DUMMYFUNCTION("IMPORTRANGE(H17913,""IDENTITAS UNIT!D9"")"),"#N/A")</f>
        <v>#N/A</v>
      </c>
      <c r="H17913" s="4" t="str">
        <v/>
      </c>
      <c r="I17913" s="4" t="str">
        <v/>
      </c>
    </row>
    <row r="17914" spans="5:9" ht="16.5" hidden="1">
      <c r="E17914" s="4" t="str">
        <v/>
      </c>
      <c r="F17914" s="102" t="str">
        <f ca="1">IFERROR(__xludf.DUMMYFUNCTION("IMPORTRANGE(H17914,""IDENTITAS UNIT!D9"")"),"#N/A")</f>
        <v>#N/A</v>
      </c>
      <c r="H17914" s="4" t="str">
        <v/>
      </c>
      <c r="I17914" s="4" t="str">
        <v/>
      </c>
    </row>
    <row r="17915" spans="5:9" ht="16.5" hidden="1">
      <c r="E17915" s="4" t="str">
        <v/>
      </c>
      <c r="F17915" s="102" t="str">
        <f ca="1">IFERROR(__xludf.DUMMYFUNCTION("IMPORTRANGE(H17915,""IDENTITAS UNIT!D9"")"),"#N/A")</f>
        <v>#N/A</v>
      </c>
      <c r="H17915" s="4" t="str">
        <v/>
      </c>
      <c r="I17915" s="4" t="str">
        <v/>
      </c>
    </row>
    <row r="17916" spans="5:9" ht="16.5" hidden="1">
      <c r="E17916" s="4" t="str">
        <v/>
      </c>
      <c r="F17916" s="102" t="str">
        <f ca="1">IFERROR(__xludf.DUMMYFUNCTION("IMPORTRANGE(H17916,""IDENTITAS UNIT!D9"")"),"#N/A")</f>
        <v>#N/A</v>
      </c>
      <c r="H17916" s="4" t="str">
        <v/>
      </c>
      <c r="I17916" s="4" t="str">
        <v/>
      </c>
    </row>
    <row r="17917" spans="5:9" ht="16.5" hidden="1">
      <c r="E17917" s="4" t="str">
        <v/>
      </c>
      <c r="F17917" s="102" t="str">
        <f ca="1">IFERROR(__xludf.DUMMYFUNCTION("IMPORTRANGE(H17917,""IDENTITAS UNIT!D9"")"),"#N/A")</f>
        <v>#N/A</v>
      </c>
      <c r="H17917" s="4" t="str">
        <v/>
      </c>
      <c r="I17917" s="4" t="str">
        <v/>
      </c>
    </row>
    <row r="17918" spans="5:9" ht="16.5" hidden="1">
      <c r="E17918" s="4" t="str">
        <v/>
      </c>
      <c r="F17918" s="102" t="str">
        <f ca="1">IFERROR(__xludf.DUMMYFUNCTION("IMPORTRANGE(H17918,""IDENTITAS UNIT!D9"")"),"#N/A")</f>
        <v>#N/A</v>
      </c>
      <c r="H17918" s="4" t="str">
        <v/>
      </c>
      <c r="I17918" s="4" t="str">
        <v/>
      </c>
    </row>
    <row r="17919" spans="5:9" ht="16.5" hidden="1">
      <c r="E17919" s="4" t="str">
        <v/>
      </c>
      <c r="F17919" s="102" t="str">
        <f ca="1">IFERROR(__xludf.DUMMYFUNCTION("IMPORTRANGE(H17919,""IDENTITAS UNIT!D9"")"),"#N/A")</f>
        <v>#N/A</v>
      </c>
      <c r="H17919" s="4" t="str">
        <v/>
      </c>
      <c r="I17919" s="4" t="str">
        <v/>
      </c>
    </row>
    <row r="17920" spans="5:9" ht="16.5" hidden="1">
      <c r="E17920" s="4" t="str">
        <v/>
      </c>
      <c r="F17920" s="102" t="str">
        <f ca="1">IFERROR(__xludf.DUMMYFUNCTION("IMPORTRANGE(H17920,""IDENTITAS UNIT!D9"")"),"#N/A")</f>
        <v>#N/A</v>
      </c>
      <c r="H17920" s="4" t="str">
        <v/>
      </c>
      <c r="I17920" s="4" t="str">
        <v/>
      </c>
    </row>
    <row r="17921" spans="5:9" ht="16.5" hidden="1">
      <c r="E17921" s="4" t="str">
        <v/>
      </c>
      <c r="F17921" s="102" t="str">
        <f ca="1">IFERROR(__xludf.DUMMYFUNCTION("IMPORTRANGE(H17921,""IDENTITAS UNIT!D9"")"),"#N/A")</f>
        <v>#N/A</v>
      </c>
      <c r="H17921" s="4" t="str">
        <v/>
      </c>
      <c r="I17921" s="4" t="str">
        <v/>
      </c>
    </row>
    <row r="17922" spans="5:9" ht="16.5" hidden="1">
      <c r="E17922" s="4" t="str">
        <v/>
      </c>
      <c r="F17922" s="102" t="str">
        <f ca="1">IFERROR(__xludf.DUMMYFUNCTION("IMPORTRANGE(H17922,""IDENTITAS UNIT!D9"")"),"#N/A")</f>
        <v>#N/A</v>
      </c>
      <c r="H17922" s="4" t="str">
        <v/>
      </c>
      <c r="I17922" s="4" t="str">
        <v/>
      </c>
    </row>
    <row r="17923" spans="5:9" ht="16.5" hidden="1">
      <c r="E17923" s="4" t="str">
        <v/>
      </c>
      <c r="F17923" s="102" t="str">
        <f ca="1">IFERROR(__xludf.DUMMYFUNCTION("IMPORTRANGE(H17923,""IDENTITAS UNIT!D9"")"),"#N/A")</f>
        <v>#N/A</v>
      </c>
      <c r="H17923" s="4" t="str">
        <v/>
      </c>
      <c r="I17923" s="4" t="str">
        <v/>
      </c>
    </row>
    <row r="17924" spans="5:9" ht="16.5" hidden="1">
      <c r="E17924" s="4" t="str">
        <v/>
      </c>
      <c r="F17924" s="102" t="str">
        <f ca="1">IFERROR(__xludf.DUMMYFUNCTION("IMPORTRANGE(H17924,""IDENTITAS UNIT!D9"")"),"#N/A")</f>
        <v>#N/A</v>
      </c>
      <c r="H17924" s="4" t="str">
        <v/>
      </c>
      <c r="I17924" s="4" t="str">
        <v/>
      </c>
    </row>
    <row r="17925" spans="5:9" ht="16.5" hidden="1">
      <c r="E17925" s="4" t="str">
        <v/>
      </c>
      <c r="F17925" s="102" t="str">
        <f ca="1">IFERROR(__xludf.DUMMYFUNCTION("IMPORTRANGE(H17925,""IDENTITAS UNIT!D9"")"),"#N/A")</f>
        <v>#N/A</v>
      </c>
      <c r="H17925" s="4" t="str">
        <v/>
      </c>
      <c r="I17925" s="4" t="str">
        <v/>
      </c>
    </row>
    <row r="17926" spans="5:9" ht="16.5" hidden="1">
      <c r="E17926" s="4" t="str">
        <v/>
      </c>
      <c r="F17926" s="102" t="str">
        <f ca="1">IFERROR(__xludf.DUMMYFUNCTION("IMPORTRANGE(H17926,""IDENTITAS UNIT!D9"")"),"#N/A")</f>
        <v>#N/A</v>
      </c>
      <c r="H17926" s="4" t="str">
        <v/>
      </c>
      <c r="I17926" s="4" t="str">
        <v/>
      </c>
    </row>
    <row r="17927" spans="5:9" ht="16.5" hidden="1">
      <c r="E17927" s="4" t="str">
        <v/>
      </c>
      <c r="F17927" s="102" t="str">
        <f ca="1">IFERROR(__xludf.DUMMYFUNCTION("IMPORTRANGE(H17927,""IDENTITAS UNIT!D9"")"),"#N/A")</f>
        <v>#N/A</v>
      </c>
      <c r="H17927" s="4" t="str">
        <v/>
      </c>
      <c r="I17927" s="4" t="str">
        <v/>
      </c>
    </row>
    <row r="17928" spans="5:9" ht="16.5" hidden="1">
      <c r="E17928" s="4" t="str">
        <v/>
      </c>
      <c r="F17928" s="102" t="str">
        <f ca="1">IFERROR(__xludf.DUMMYFUNCTION("IMPORTRANGE(H17928,""IDENTITAS UNIT!D9"")"),"#N/A")</f>
        <v>#N/A</v>
      </c>
      <c r="H17928" s="4" t="str">
        <v/>
      </c>
      <c r="I17928" s="4" t="str">
        <v/>
      </c>
    </row>
    <row r="17929" spans="5:9" ht="16.5" hidden="1">
      <c r="E17929" s="4" t="str">
        <v/>
      </c>
      <c r="F17929" s="102" t="str">
        <f ca="1">IFERROR(__xludf.DUMMYFUNCTION("IMPORTRANGE(H17929,""IDENTITAS UNIT!D9"")"),"#N/A")</f>
        <v>#N/A</v>
      </c>
      <c r="H17929" s="4" t="str">
        <v/>
      </c>
      <c r="I17929" s="4" t="str">
        <v/>
      </c>
    </row>
    <row r="17930" spans="5:9" ht="16.5" hidden="1">
      <c r="E17930" s="4" t="str">
        <v/>
      </c>
      <c r="F17930" s="102" t="str">
        <f ca="1">IFERROR(__xludf.DUMMYFUNCTION("IMPORTRANGE(H17930,""IDENTITAS UNIT!D9"")"),"#N/A")</f>
        <v>#N/A</v>
      </c>
      <c r="H17930" s="4" t="str">
        <v/>
      </c>
      <c r="I17930" s="4" t="str">
        <v/>
      </c>
    </row>
    <row r="17931" spans="5:9" ht="16.5" hidden="1">
      <c r="E17931" s="4" t="str">
        <v/>
      </c>
      <c r="F17931" s="102" t="str">
        <f ca="1">IFERROR(__xludf.DUMMYFUNCTION("IMPORTRANGE(H17931,""IDENTITAS UNIT!D9"")"),"#N/A")</f>
        <v>#N/A</v>
      </c>
      <c r="H17931" s="4" t="str">
        <v/>
      </c>
      <c r="I17931" s="4" t="str">
        <v/>
      </c>
    </row>
    <row r="17932" spans="5:9" ht="16.5" hidden="1">
      <c r="E17932" s="4" t="str">
        <v/>
      </c>
      <c r="F17932" s="102" t="str">
        <f ca="1">IFERROR(__xludf.DUMMYFUNCTION("IMPORTRANGE(H17932,""IDENTITAS UNIT!D9"")"),"#N/A")</f>
        <v>#N/A</v>
      </c>
      <c r="H17932" s="4" t="str">
        <v/>
      </c>
      <c r="I17932" s="4" t="str">
        <v/>
      </c>
    </row>
    <row r="17933" spans="5:9" ht="16.5" hidden="1">
      <c r="E17933" s="4" t="str">
        <v/>
      </c>
      <c r="F17933" s="102" t="str">
        <f ca="1">IFERROR(__xludf.DUMMYFUNCTION("IMPORTRANGE(H17933,""IDENTITAS UNIT!D9"")"),"#N/A")</f>
        <v>#N/A</v>
      </c>
      <c r="H17933" s="4" t="str">
        <v/>
      </c>
      <c r="I17933" s="4" t="str">
        <v/>
      </c>
    </row>
    <row r="17934" spans="5:9" ht="16.5" hidden="1">
      <c r="E17934" s="4" t="str">
        <v/>
      </c>
      <c r="F17934" s="102" t="str">
        <f ca="1">IFERROR(__xludf.DUMMYFUNCTION("IMPORTRANGE(H17934,""IDENTITAS UNIT!D9"")"),"#N/A")</f>
        <v>#N/A</v>
      </c>
      <c r="H17934" s="4" t="str">
        <v/>
      </c>
      <c r="I17934" s="4" t="str">
        <v/>
      </c>
    </row>
    <row r="17935" spans="5:9" ht="16.5" hidden="1">
      <c r="E17935" s="4" t="str">
        <v/>
      </c>
      <c r="F17935" s="102" t="str">
        <f ca="1">IFERROR(__xludf.DUMMYFUNCTION("IMPORTRANGE(H17935,""IDENTITAS UNIT!D9"")"),"#N/A")</f>
        <v>#N/A</v>
      </c>
      <c r="H17935" s="4" t="str">
        <v/>
      </c>
      <c r="I17935" s="4" t="str">
        <v/>
      </c>
    </row>
    <row r="17936" spans="5:9" ht="16.5" hidden="1">
      <c r="E17936" s="4" t="str">
        <v/>
      </c>
      <c r="F17936" s="102" t="str">
        <f ca="1">IFERROR(__xludf.DUMMYFUNCTION("IMPORTRANGE(H17936,""IDENTITAS UNIT!D9"")"),"#N/A")</f>
        <v>#N/A</v>
      </c>
      <c r="H17936" s="4" t="str">
        <v/>
      </c>
      <c r="I17936" s="4" t="str">
        <v/>
      </c>
    </row>
    <row r="17937" spans="5:9" ht="16.5" hidden="1">
      <c r="E17937" s="4" t="str">
        <v/>
      </c>
      <c r="F17937" s="102" t="str">
        <f ca="1">IFERROR(__xludf.DUMMYFUNCTION("IMPORTRANGE(H17937,""IDENTITAS UNIT!D9"")"),"#N/A")</f>
        <v>#N/A</v>
      </c>
      <c r="H17937" s="4" t="str">
        <v/>
      </c>
      <c r="I17937" s="4" t="str">
        <v/>
      </c>
    </row>
    <row r="17938" spans="5:9" ht="16.5" hidden="1">
      <c r="E17938" s="4" t="str">
        <v/>
      </c>
      <c r="F17938" s="102" t="str">
        <f ca="1">IFERROR(__xludf.DUMMYFUNCTION("IMPORTRANGE(H17938,""IDENTITAS UNIT!D9"")"),"#N/A")</f>
        <v>#N/A</v>
      </c>
      <c r="H17938" s="4" t="str">
        <v/>
      </c>
      <c r="I17938" s="4" t="str">
        <v/>
      </c>
    </row>
    <row r="17939" spans="5:9" ht="16.5" hidden="1">
      <c r="E17939" s="4" t="str">
        <v/>
      </c>
      <c r="F17939" s="102" t="str">
        <f ca="1">IFERROR(__xludf.DUMMYFUNCTION("IMPORTRANGE(H17939,""IDENTITAS UNIT!D9"")"),"#N/A")</f>
        <v>#N/A</v>
      </c>
      <c r="H17939" s="4" t="str">
        <v/>
      </c>
      <c r="I17939" s="4" t="str">
        <v/>
      </c>
    </row>
    <row r="17940" spans="5:9" ht="16.5" hidden="1">
      <c r="E17940" s="4" t="str">
        <v/>
      </c>
      <c r="F17940" s="102" t="str">
        <f ca="1">IFERROR(__xludf.DUMMYFUNCTION("IMPORTRANGE(H17940,""IDENTITAS UNIT!D9"")"),"#N/A")</f>
        <v>#N/A</v>
      </c>
      <c r="H17940" s="4" t="str">
        <v/>
      </c>
      <c r="I17940" s="4" t="str">
        <v/>
      </c>
    </row>
    <row r="17941" spans="5:9" ht="16.5" hidden="1">
      <c r="E17941" s="4" t="str">
        <v/>
      </c>
      <c r="F17941" s="102" t="str">
        <f ca="1">IFERROR(__xludf.DUMMYFUNCTION("IMPORTRANGE(H17941,""IDENTITAS UNIT!D9"")"),"#N/A")</f>
        <v>#N/A</v>
      </c>
      <c r="H17941" s="4" t="str">
        <v/>
      </c>
      <c r="I17941" s="4" t="str">
        <v/>
      </c>
    </row>
    <row r="17942" spans="5:9" ht="16.5" hidden="1">
      <c r="E17942" s="4" t="str">
        <v/>
      </c>
      <c r="F17942" s="102" t="str">
        <f ca="1">IFERROR(__xludf.DUMMYFUNCTION("IMPORTRANGE(H17942,""IDENTITAS UNIT!D9"")"),"#N/A")</f>
        <v>#N/A</v>
      </c>
      <c r="H17942" s="4" t="str">
        <v/>
      </c>
      <c r="I17942" s="4" t="str">
        <v/>
      </c>
    </row>
    <row r="17943" spans="5:9" ht="16.5" hidden="1">
      <c r="E17943" s="4" t="str">
        <v/>
      </c>
      <c r="F17943" s="102" t="str">
        <f ca="1">IFERROR(__xludf.DUMMYFUNCTION("IMPORTRANGE(H17943,""IDENTITAS UNIT!D9"")"),"#N/A")</f>
        <v>#N/A</v>
      </c>
      <c r="H17943" s="4" t="str">
        <v/>
      </c>
      <c r="I17943" s="4" t="str">
        <v/>
      </c>
    </row>
    <row r="17944" spans="5:9" ht="16.5" hidden="1">
      <c r="E17944" s="4" t="str">
        <v/>
      </c>
      <c r="F17944" s="102" t="str">
        <f ca="1">IFERROR(__xludf.DUMMYFUNCTION("IMPORTRANGE(H17944,""IDENTITAS UNIT!D9"")"),"#N/A")</f>
        <v>#N/A</v>
      </c>
      <c r="H17944" s="4" t="str">
        <v/>
      </c>
      <c r="I17944" s="4" t="str">
        <v/>
      </c>
    </row>
    <row r="17945" spans="5:9" ht="16.5" hidden="1">
      <c r="E17945" s="4" t="str">
        <v/>
      </c>
      <c r="F17945" s="102" t="str">
        <f ca="1">IFERROR(__xludf.DUMMYFUNCTION("IMPORTRANGE(H17945,""IDENTITAS UNIT!D9"")"),"#N/A")</f>
        <v>#N/A</v>
      </c>
      <c r="H17945" s="4" t="str">
        <v/>
      </c>
      <c r="I17945" s="4" t="str">
        <v/>
      </c>
    </row>
    <row r="17946" spans="5:9" ht="16.5" hidden="1">
      <c r="E17946" s="4" t="str">
        <v/>
      </c>
      <c r="F17946" s="102" t="str">
        <f ca="1">IFERROR(__xludf.DUMMYFUNCTION("IMPORTRANGE(H17946,""IDENTITAS UNIT!D9"")"),"#N/A")</f>
        <v>#N/A</v>
      </c>
      <c r="H17946" s="4" t="str">
        <v/>
      </c>
      <c r="I17946" s="4" t="str">
        <v/>
      </c>
    </row>
    <row r="17947" spans="5:9" ht="16.5" hidden="1">
      <c r="E17947" s="4" t="str">
        <v/>
      </c>
      <c r="F17947" s="102" t="str">
        <f ca="1">IFERROR(__xludf.DUMMYFUNCTION("IMPORTRANGE(H17947,""IDENTITAS UNIT!D9"")"),"#N/A")</f>
        <v>#N/A</v>
      </c>
      <c r="H17947" s="4" t="str">
        <v/>
      </c>
      <c r="I17947" s="4" t="str">
        <v/>
      </c>
    </row>
    <row r="17948" spans="5:9" ht="16.5" hidden="1">
      <c r="E17948" s="4" t="str">
        <v/>
      </c>
      <c r="F17948" s="102" t="str">
        <f ca="1">IFERROR(__xludf.DUMMYFUNCTION("IMPORTRANGE(H17948,""IDENTITAS UNIT!D9"")"),"#N/A")</f>
        <v>#N/A</v>
      </c>
      <c r="H17948" s="4" t="str">
        <v/>
      </c>
      <c r="I17948" s="4" t="str">
        <v/>
      </c>
    </row>
    <row r="17949" spans="5:9" ht="16.5" hidden="1">
      <c r="E17949" s="4" t="str">
        <v/>
      </c>
      <c r="F17949" s="102" t="str">
        <f ca="1">IFERROR(__xludf.DUMMYFUNCTION("IMPORTRANGE(H17949,""IDENTITAS UNIT!D9"")"),"#N/A")</f>
        <v>#N/A</v>
      </c>
      <c r="H17949" s="4" t="str">
        <v/>
      </c>
      <c r="I17949" s="4" t="str">
        <v/>
      </c>
    </row>
    <row r="17950" spans="5:9" ht="16.5" hidden="1">
      <c r="E17950" s="4" t="str">
        <v/>
      </c>
      <c r="F17950" s="102" t="str">
        <f ca="1">IFERROR(__xludf.DUMMYFUNCTION("IMPORTRANGE(H17950,""IDENTITAS UNIT!D9"")"),"#N/A")</f>
        <v>#N/A</v>
      </c>
      <c r="H17950" s="4" t="str">
        <v/>
      </c>
      <c r="I17950" s="4" t="str">
        <v/>
      </c>
    </row>
    <row r="17951" spans="5:9" ht="16.5" hidden="1">
      <c r="E17951" s="4" t="str">
        <v/>
      </c>
      <c r="F17951" s="102" t="str">
        <f ca="1">IFERROR(__xludf.DUMMYFUNCTION("IMPORTRANGE(H17951,""IDENTITAS UNIT!D9"")"),"#N/A")</f>
        <v>#N/A</v>
      </c>
      <c r="H17951" s="4" t="str">
        <v/>
      </c>
      <c r="I17951" s="4" t="str">
        <v/>
      </c>
    </row>
    <row r="17952" spans="5:9" ht="16.5" hidden="1">
      <c r="E17952" s="4" t="str">
        <v/>
      </c>
      <c r="F17952" s="102" t="str">
        <f ca="1">IFERROR(__xludf.DUMMYFUNCTION("IMPORTRANGE(H17952,""IDENTITAS UNIT!D9"")"),"#N/A")</f>
        <v>#N/A</v>
      </c>
      <c r="H17952" s="4" t="str">
        <v/>
      </c>
      <c r="I17952" s="4" t="str">
        <v/>
      </c>
    </row>
    <row r="17953" spans="5:9" ht="16.5" hidden="1">
      <c r="E17953" s="4" t="str">
        <v/>
      </c>
      <c r="F17953" s="102" t="str">
        <f ca="1">IFERROR(__xludf.DUMMYFUNCTION("IMPORTRANGE(H17953,""IDENTITAS UNIT!D9"")"),"#N/A")</f>
        <v>#N/A</v>
      </c>
      <c r="H17953" s="4" t="str">
        <v/>
      </c>
      <c r="I17953" s="4" t="str">
        <v/>
      </c>
    </row>
    <row r="17954" spans="5:9" ht="16.5" hidden="1">
      <c r="E17954" s="4" t="str">
        <v/>
      </c>
      <c r="F17954" s="102" t="str">
        <f ca="1">IFERROR(__xludf.DUMMYFUNCTION("IMPORTRANGE(H17954,""IDENTITAS UNIT!D9"")"),"#N/A")</f>
        <v>#N/A</v>
      </c>
      <c r="H17954" s="4" t="str">
        <v/>
      </c>
      <c r="I17954" s="4" t="str">
        <v/>
      </c>
    </row>
    <row r="17955" spans="5:9" ht="16.5" hidden="1">
      <c r="E17955" s="4" t="str">
        <v/>
      </c>
      <c r="F17955" s="102" t="str">
        <f ca="1">IFERROR(__xludf.DUMMYFUNCTION("IMPORTRANGE(H17955,""IDENTITAS UNIT!D9"")"),"#N/A")</f>
        <v>#N/A</v>
      </c>
      <c r="H17955" s="4" t="str">
        <v/>
      </c>
      <c r="I17955" s="4" t="str">
        <v/>
      </c>
    </row>
    <row r="17956" spans="5:9" ht="16.5" hidden="1">
      <c r="E17956" s="4" t="str">
        <v/>
      </c>
      <c r="F17956" s="102" t="str">
        <f ca="1">IFERROR(__xludf.DUMMYFUNCTION("IMPORTRANGE(H17956,""IDENTITAS UNIT!D9"")"),"#N/A")</f>
        <v>#N/A</v>
      </c>
      <c r="H17956" s="4" t="str">
        <v/>
      </c>
      <c r="I17956" s="4" t="str">
        <v/>
      </c>
    </row>
    <row r="17957" spans="5:9" ht="16.5" hidden="1">
      <c r="E17957" s="4" t="str">
        <v/>
      </c>
      <c r="F17957" s="102" t="str">
        <f ca="1">IFERROR(__xludf.DUMMYFUNCTION("IMPORTRANGE(H17957,""IDENTITAS UNIT!D9"")"),"#N/A")</f>
        <v>#N/A</v>
      </c>
      <c r="H17957" s="4" t="str">
        <v/>
      </c>
      <c r="I17957" s="4" t="str">
        <v/>
      </c>
    </row>
    <row r="17958" spans="5:9" ht="16.5" hidden="1">
      <c r="E17958" s="4" t="str">
        <v/>
      </c>
      <c r="F17958" s="102" t="str">
        <f ca="1">IFERROR(__xludf.DUMMYFUNCTION("IMPORTRANGE(H17958,""IDENTITAS UNIT!D9"")"),"#N/A")</f>
        <v>#N/A</v>
      </c>
      <c r="H17958" s="4" t="str">
        <v/>
      </c>
      <c r="I17958" s="4" t="str">
        <v/>
      </c>
    </row>
    <row r="17959" spans="5:9" ht="16.5" hidden="1">
      <c r="E17959" s="4" t="str">
        <v/>
      </c>
      <c r="F17959" s="102" t="str">
        <f ca="1">IFERROR(__xludf.DUMMYFUNCTION("IMPORTRANGE(H17959,""IDENTITAS UNIT!D9"")"),"#N/A")</f>
        <v>#N/A</v>
      </c>
      <c r="H17959" s="4" t="str">
        <v/>
      </c>
      <c r="I17959" s="4" t="str">
        <v/>
      </c>
    </row>
    <row r="17960" spans="5:9" ht="16.5" hidden="1">
      <c r="E17960" s="4" t="str">
        <v/>
      </c>
      <c r="F17960" s="102" t="str">
        <f ca="1">IFERROR(__xludf.DUMMYFUNCTION("IMPORTRANGE(H17960,""IDENTITAS UNIT!D9"")"),"#N/A")</f>
        <v>#N/A</v>
      </c>
      <c r="H17960" s="4" t="str">
        <v/>
      </c>
      <c r="I17960" s="4" t="str">
        <v/>
      </c>
    </row>
    <row r="17961" spans="5:9" ht="16.5" hidden="1">
      <c r="E17961" s="4" t="str">
        <v/>
      </c>
      <c r="F17961" s="102" t="str">
        <f ca="1">IFERROR(__xludf.DUMMYFUNCTION("IMPORTRANGE(H17961,""IDENTITAS UNIT!D9"")"),"#N/A")</f>
        <v>#N/A</v>
      </c>
      <c r="H17961" s="4" t="str">
        <v/>
      </c>
      <c r="I17961" s="4" t="str">
        <v/>
      </c>
    </row>
    <row r="17962" spans="5:9" ht="16.5" hidden="1">
      <c r="E17962" s="4" t="str">
        <v/>
      </c>
      <c r="F17962" s="102" t="str">
        <f ca="1">IFERROR(__xludf.DUMMYFUNCTION("IMPORTRANGE(H17962,""IDENTITAS UNIT!D9"")"),"#N/A")</f>
        <v>#N/A</v>
      </c>
      <c r="H17962" s="4" t="str">
        <v/>
      </c>
      <c r="I17962" s="4" t="str">
        <v/>
      </c>
    </row>
    <row r="17963" spans="5:9" ht="16.5" hidden="1">
      <c r="E17963" s="4" t="str">
        <v/>
      </c>
      <c r="F17963" s="102" t="str">
        <f ca="1">IFERROR(__xludf.DUMMYFUNCTION("IMPORTRANGE(H17963,""IDENTITAS UNIT!D9"")"),"#N/A")</f>
        <v>#N/A</v>
      </c>
      <c r="H17963" s="4" t="str">
        <v/>
      </c>
      <c r="I17963" s="4" t="str">
        <v/>
      </c>
    </row>
    <row r="17964" spans="5:9" ht="16.5" hidden="1">
      <c r="E17964" s="4" t="str">
        <v/>
      </c>
      <c r="F17964" s="102" t="str">
        <f ca="1">IFERROR(__xludf.DUMMYFUNCTION("IMPORTRANGE(H17964,""IDENTITAS UNIT!D9"")"),"#N/A")</f>
        <v>#N/A</v>
      </c>
      <c r="H17964" s="4" t="str">
        <v/>
      </c>
      <c r="I17964" s="4" t="str">
        <v/>
      </c>
    </row>
    <row r="17965" spans="5:9" ht="16.5" hidden="1">
      <c r="E17965" s="4" t="str">
        <v/>
      </c>
      <c r="F17965" s="102" t="str">
        <f ca="1">IFERROR(__xludf.DUMMYFUNCTION("IMPORTRANGE(H17965,""IDENTITAS UNIT!D9"")"),"#N/A")</f>
        <v>#N/A</v>
      </c>
      <c r="H17965" s="4" t="str">
        <v/>
      </c>
      <c r="I17965" s="4" t="str">
        <v/>
      </c>
    </row>
    <row r="17966" spans="5:9" ht="16.5" hidden="1">
      <c r="E17966" s="4" t="str">
        <v/>
      </c>
      <c r="F17966" s="102" t="str">
        <f ca="1">IFERROR(__xludf.DUMMYFUNCTION("IMPORTRANGE(H17966,""IDENTITAS UNIT!D9"")"),"#N/A")</f>
        <v>#N/A</v>
      </c>
      <c r="H17966" s="4" t="str">
        <v/>
      </c>
      <c r="I17966" s="4" t="str">
        <v/>
      </c>
    </row>
    <row r="17967" spans="5:9" ht="16.5" hidden="1">
      <c r="E17967" s="4" t="str">
        <v/>
      </c>
      <c r="F17967" s="102" t="str">
        <f ca="1">IFERROR(__xludf.DUMMYFUNCTION("IMPORTRANGE(H17967,""IDENTITAS UNIT!D9"")"),"#N/A")</f>
        <v>#N/A</v>
      </c>
      <c r="H17967" s="4" t="str">
        <v/>
      </c>
      <c r="I17967" s="4" t="str">
        <v/>
      </c>
    </row>
    <row r="17968" spans="5:9" ht="16.5" hidden="1">
      <c r="E17968" s="4" t="str">
        <v/>
      </c>
      <c r="F17968" s="102" t="str">
        <f ca="1">IFERROR(__xludf.DUMMYFUNCTION("IMPORTRANGE(H17968,""IDENTITAS UNIT!D9"")"),"#N/A")</f>
        <v>#N/A</v>
      </c>
      <c r="H17968" s="4" t="str">
        <v/>
      </c>
      <c r="I17968" s="4" t="str">
        <v/>
      </c>
    </row>
    <row r="17969" spans="5:9" ht="16.5" hidden="1">
      <c r="E17969" s="4" t="str">
        <v/>
      </c>
      <c r="F17969" s="102" t="str">
        <f ca="1">IFERROR(__xludf.DUMMYFUNCTION("IMPORTRANGE(H17969,""IDENTITAS UNIT!D9"")"),"#N/A")</f>
        <v>#N/A</v>
      </c>
      <c r="H17969" s="4" t="str">
        <v/>
      </c>
      <c r="I17969" s="4" t="str">
        <v/>
      </c>
    </row>
    <row r="17970" spans="5:9" ht="16.5" hidden="1">
      <c r="E17970" s="4" t="str">
        <v/>
      </c>
      <c r="F17970" s="102" t="str">
        <f ca="1">IFERROR(__xludf.DUMMYFUNCTION("IMPORTRANGE(H17970,""IDENTITAS UNIT!D9"")"),"#N/A")</f>
        <v>#N/A</v>
      </c>
      <c r="H17970" s="4" t="str">
        <v/>
      </c>
      <c r="I17970" s="4" t="str">
        <v/>
      </c>
    </row>
    <row r="17971" spans="5:9" ht="16.5" hidden="1">
      <c r="E17971" s="4" t="str">
        <v/>
      </c>
      <c r="F17971" s="102" t="str">
        <f ca="1">IFERROR(__xludf.DUMMYFUNCTION("IMPORTRANGE(H17971,""IDENTITAS UNIT!D9"")"),"#N/A")</f>
        <v>#N/A</v>
      </c>
      <c r="H17971" s="4" t="str">
        <v/>
      </c>
      <c r="I17971" s="4" t="str">
        <v/>
      </c>
    </row>
    <row r="17972" spans="5:9" ht="16.5" hidden="1">
      <c r="E17972" s="4" t="str">
        <v/>
      </c>
      <c r="F17972" s="102" t="str">
        <f ca="1">IFERROR(__xludf.DUMMYFUNCTION("IMPORTRANGE(H17972,""IDENTITAS UNIT!D9"")"),"#N/A")</f>
        <v>#N/A</v>
      </c>
      <c r="H17972" s="4" t="str">
        <v/>
      </c>
      <c r="I17972" s="4" t="str">
        <v/>
      </c>
    </row>
    <row r="17973" spans="5:9" ht="16.5" hidden="1">
      <c r="E17973" s="4" t="str">
        <v/>
      </c>
      <c r="F17973" s="102" t="str">
        <f ca="1">IFERROR(__xludf.DUMMYFUNCTION("IMPORTRANGE(H17973,""IDENTITAS UNIT!D9"")"),"#N/A")</f>
        <v>#N/A</v>
      </c>
      <c r="H17973" s="4" t="str">
        <v/>
      </c>
      <c r="I17973" s="4" t="str">
        <v/>
      </c>
    </row>
    <row r="17974" spans="5:9" ht="16.5" hidden="1">
      <c r="E17974" s="4" t="str">
        <v/>
      </c>
      <c r="F17974" s="102" t="str">
        <f ca="1">IFERROR(__xludf.DUMMYFUNCTION("IMPORTRANGE(H17974,""IDENTITAS UNIT!D9"")"),"#N/A")</f>
        <v>#N/A</v>
      </c>
      <c r="H17974" s="4" t="str">
        <v/>
      </c>
      <c r="I17974" s="4" t="str">
        <v/>
      </c>
    </row>
    <row r="17975" spans="5:9" ht="16.5" hidden="1">
      <c r="E17975" s="4" t="str">
        <v/>
      </c>
      <c r="F17975" s="102" t="str">
        <f ca="1">IFERROR(__xludf.DUMMYFUNCTION("IMPORTRANGE(H17975,""IDENTITAS UNIT!D9"")"),"#N/A")</f>
        <v>#N/A</v>
      </c>
      <c r="H17975" s="4" t="str">
        <v/>
      </c>
      <c r="I17975" s="4" t="str">
        <v/>
      </c>
    </row>
    <row r="17976" spans="5:9" ht="16.5" hidden="1">
      <c r="E17976" s="4" t="str">
        <v/>
      </c>
      <c r="F17976" s="102" t="str">
        <f ca="1">IFERROR(__xludf.DUMMYFUNCTION("IMPORTRANGE(H17976,""IDENTITAS UNIT!D9"")"),"#N/A")</f>
        <v>#N/A</v>
      </c>
      <c r="H17976" s="4" t="str">
        <v/>
      </c>
      <c r="I17976" s="4" t="str">
        <v/>
      </c>
    </row>
    <row r="17977" spans="5:9" ht="16.5" hidden="1">
      <c r="E17977" s="4" t="str">
        <v/>
      </c>
      <c r="F17977" s="102" t="str">
        <f ca="1">IFERROR(__xludf.DUMMYFUNCTION("IMPORTRANGE(H17977,""IDENTITAS UNIT!D9"")"),"#N/A")</f>
        <v>#N/A</v>
      </c>
      <c r="H17977" s="4" t="str">
        <v/>
      </c>
      <c r="I17977" s="4" t="str">
        <v/>
      </c>
    </row>
    <row r="17978" spans="5:9" ht="16.5" hidden="1">
      <c r="E17978" s="4" t="str">
        <v/>
      </c>
      <c r="F17978" s="102" t="str">
        <f ca="1">IFERROR(__xludf.DUMMYFUNCTION("IMPORTRANGE(H17978,""IDENTITAS UNIT!D9"")"),"#N/A")</f>
        <v>#N/A</v>
      </c>
      <c r="H17978" s="4" t="str">
        <v/>
      </c>
      <c r="I17978" s="4" t="str">
        <v/>
      </c>
    </row>
    <row r="17979" spans="5:9" ht="16.5" hidden="1">
      <c r="E17979" s="4" t="str">
        <v/>
      </c>
      <c r="F17979" s="102" t="str">
        <f ca="1">IFERROR(__xludf.DUMMYFUNCTION("IMPORTRANGE(H17979,""IDENTITAS UNIT!D9"")"),"#N/A")</f>
        <v>#N/A</v>
      </c>
      <c r="H17979" s="4" t="str">
        <v/>
      </c>
      <c r="I17979" s="4" t="str">
        <v/>
      </c>
    </row>
    <row r="17980" spans="5:9" ht="16.5" hidden="1">
      <c r="E17980" s="4" t="str">
        <v/>
      </c>
      <c r="F17980" s="102" t="str">
        <f ca="1">IFERROR(__xludf.DUMMYFUNCTION("IMPORTRANGE(H17980,""IDENTITAS UNIT!D9"")"),"#N/A")</f>
        <v>#N/A</v>
      </c>
      <c r="H17980" s="4" t="str">
        <v/>
      </c>
      <c r="I17980" s="4" t="str">
        <v/>
      </c>
    </row>
    <row r="17981" spans="5:9" ht="16.5" hidden="1">
      <c r="E17981" s="4" t="str">
        <v/>
      </c>
      <c r="F17981" s="102" t="str">
        <f ca="1">IFERROR(__xludf.DUMMYFUNCTION("IMPORTRANGE(H17981,""IDENTITAS UNIT!D9"")"),"#N/A")</f>
        <v>#N/A</v>
      </c>
      <c r="H17981" s="4" t="str">
        <v/>
      </c>
      <c r="I17981" s="4" t="str">
        <v/>
      </c>
    </row>
    <row r="17982" spans="5:9" ht="16.5" hidden="1">
      <c r="E17982" s="4" t="str">
        <v/>
      </c>
      <c r="F17982" s="102" t="str">
        <f ca="1">IFERROR(__xludf.DUMMYFUNCTION("IMPORTRANGE(H17982,""IDENTITAS UNIT!D9"")"),"#N/A")</f>
        <v>#N/A</v>
      </c>
      <c r="H17982" s="4" t="str">
        <v/>
      </c>
      <c r="I17982" s="4" t="str">
        <v/>
      </c>
    </row>
    <row r="17983" spans="5:9" ht="16.5" hidden="1">
      <c r="E17983" s="4" t="str">
        <v/>
      </c>
      <c r="F17983" s="102" t="str">
        <f ca="1">IFERROR(__xludf.DUMMYFUNCTION("IMPORTRANGE(H17983,""IDENTITAS UNIT!D9"")"),"#N/A")</f>
        <v>#N/A</v>
      </c>
      <c r="H17983" s="4" t="str">
        <v/>
      </c>
      <c r="I17983" s="4" t="str">
        <v/>
      </c>
    </row>
    <row r="17984" spans="5:9" ht="16.5" hidden="1">
      <c r="E17984" s="4" t="str">
        <v/>
      </c>
      <c r="F17984" s="102" t="str">
        <f ca="1">IFERROR(__xludf.DUMMYFUNCTION("IMPORTRANGE(H17984,""IDENTITAS UNIT!D9"")"),"#N/A")</f>
        <v>#N/A</v>
      </c>
      <c r="H17984" s="4" t="str">
        <v/>
      </c>
      <c r="I17984" s="4" t="str">
        <v/>
      </c>
    </row>
    <row r="17985" spans="5:9" ht="16.5" hidden="1">
      <c r="E17985" s="4" t="str">
        <v/>
      </c>
      <c r="F17985" s="102" t="str">
        <f ca="1">IFERROR(__xludf.DUMMYFUNCTION("IMPORTRANGE(H17985,""IDENTITAS UNIT!D9"")"),"#N/A")</f>
        <v>#N/A</v>
      </c>
      <c r="H17985" s="4" t="str">
        <v/>
      </c>
      <c r="I17985" s="4" t="str">
        <v/>
      </c>
    </row>
    <row r="17986" spans="5:9" ht="16.5" hidden="1">
      <c r="E17986" s="4" t="str">
        <v/>
      </c>
      <c r="F17986" s="102" t="str">
        <f ca="1">IFERROR(__xludf.DUMMYFUNCTION("IMPORTRANGE(H17986,""IDENTITAS UNIT!D9"")"),"#N/A")</f>
        <v>#N/A</v>
      </c>
      <c r="H17986" s="4" t="str">
        <v/>
      </c>
      <c r="I17986" s="4" t="str">
        <v/>
      </c>
    </row>
    <row r="17987" spans="5:9" ht="16.5" hidden="1">
      <c r="E17987" s="4" t="str">
        <v/>
      </c>
      <c r="F17987" s="102" t="str">
        <f ca="1">IFERROR(__xludf.DUMMYFUNCTION("IMPORTRANGE(H17987,""IDENTITAS UNIT!D9"")"),"#N/A")</f>
        <v>#N/A</v>
      </c>
      <c r="H17987" s="4" t="str">
        <v/>
      </c>
      <c r="I17987" s="4" t="str">
        <v/>
      </c>
    </row>
    <row r="17988" spans="5:9" ht="16.5" hidden="1">
      <c r="E17988" s="4" t="str">
        <v/>
      </c>
      <c r="F17988" s="102" t="str">
        <f ca="1">IFERROR(__xludf.DUMMYFUNCTION("IMPORTRANGE(H17988,""IDENTITAS UNIT!D9"")"),"#N/A")</f>
        <v>#N/A</v>
      </c>
      <c r="H17988" s="4" t="str">
        <v/>
      </c>
      <c r="I17988" s="4" t="str">
        <v/>
      </c>
    </row>
    <row r="17989" spans="5:9" ht="16.5" hidden="1">
      <c r="E17989" s="4" t="str">
        <v/>
      </c>
      <c r="F17989" s="102" t="str">
        <f ca="1">IFERROR(__xludf.DUMMYFUNCTION("IMPORTRANGE(H17989,""IDENTITAS UNIT!D9"")"),"#N/A")</f>
        <v>#N/A</v>
      </c>
      <c r="H17989" s="4" t="str">
        <v/>
      </c>
      <c r="I17989" s="4" t="str">
        <v/>
      </c>
    </row>
    <row r="17990" spans="5:9" ht="16.5" hidden="1">
      <c r="E17990" s="4" t="str">
        <v/>
      </c>
      <c r="F17990" s="102" t="str">
        <f ca="1">IFERROR(__xludf.DUMMYFUNCTION("IMPORTRANGE(H17990,""IDENTITAS UNIT!D9"")"),"#N/A")</f>
        <v>#N/A</v>
      </c>
      <c r="H17990" s="4" t="str">
        <v/>
      </c>
      <c r="I17990" s="4" t="str">
        <v/>
      </c>
    </row>
    <row r="17991" spans="5:9" ht="16.5" hidden="1">
      <c r="E17991" s="4" t="str">
        <v/>
      </c>
      <c r="F17991" s="102" t="str">
        <f ca="1">IFERROR(__xludf.DUMMYFUNCTION("IMPORTRANGE(H17991,""IDENTITAS UNIT!D9"")"),"#N/A")</f>
        <v>#N/A</v>
      </c>
      <c r="H17991" s="4" t="str">
        <v/>
      </c>
      <c r="I17991" s="4" t="str">
        <v/>
      </c>
    </row>
    <row r="17992" spans="5:9" ht="16.5" hidden="1">
      <c r="E17992" s="4" t="str">
        <v/>
      </c>
      <c r="F17992" s="102" t="str">
        <f ca="1">IFERROR(__xludf.DUMMYFUNCTION("IMPORTRANGE(H17992,""IDENTITAS UNIT!D9"")"),"#N/A")</f>
        <v>#N/A</v>
      </c>
      <c r="H17992" s="4" t="str">
        <v/>
      </c>
      <c r="I17992" s="4" t="str">
        <v/>
      </c>
    </row>
    <row r="17993" spans="5:9" ht="16.5" hidden="1">
      <c r="E17993" s="4" t="str">
        <v/>
      </c>
      <c r="F17993" s="102" t="str">
        <f ca="1">IFERROR(__xludf.DUMMYFUNCTION("IMPORTRANGE(H17993,""IDENTITAS UNIT!D9"")"),"#N/A")</f>
        <v>#N/A</v>
      </c>
      <c r="H17993" s="4" t="str">
        <v/>
      </c>
      <c r="I17993" s="4" t="str">
        <v/>
      </c>
    </row>
    <row r="17994" spans="5:9" ht="16.5" hidden="1">
      <c r="E17994" s="4" t="str">
        <v/>
      </c>
      <c r="F17994" s="102" t="str">
        <f ca="1">IFERROR(__xludf.DUMMYFUNCTION("IMPORTRANGE(H17994,""IDENTITAS UNIT!D9"")"),"#N/A")</f>
        <v>#N/A</v>
      </c>
      <c r="H17994" s="4" t="str">
        <v/>
      </c>
      <c r="I17994" s="4" t="str">
        <v/>
      </c>
    </row>
    <row r="17995" spans="5:9" ht="16.5" hidden="1">
      <c r="E17995" s="4" t="str">
        <v/>
      </c>
      <c r="F17995" s="102" t="str">
        <f ca="1">IFERROR(__xludf.DUMMYFUNCTION("IMPORTRANGE(H17995,""IDENTITAS UNIT!D9"")"),"#N/A")</f>
        <v>#N/A</v>
      </c>
      <c r="H17995" s="4" t="str">
        <v/>
      </c>
      <c r="I17995" s="4" t="str">
        <v/>
      </c>
    </row>
    <row r="17996" spans="5:9" ht="16.5" hidden="1">
      <c r="E17996" s="4" t="str">
        <v/>
      </c>
      <c r="F17996" s="102" t="str">
        <f ca="1">IFERROR(__xludf.DUMMYFUNCTION("IMPORTRANGE(H17996,""IDENTITAS UNIT!D9"")"),"#N/A")</f>
        <v>#N/A</v>
      </c>
      <c r="H17996" s="4" t="str">
        <v/>
      </c>
      <c r="I17996" s="4" t="str">
        <v/>
      </c>
    </row>
    <row r="17997" spans="5:9" ht="16.5" hidden="1">
      <c r="E17997" s="4" t="str">
        <v/>
      </c>
      <c r="F17997" s="102" t="str">
        <f ca="1">IFERROR(__xludf.DUMMYFUNCTION("IMPORTRANGE(H17997,""IDENTITAS UNIT!D9"")"),"#N/A")</f>
        <v>#N/A</v>
      </c>
      <c r="H17997" s="4" t="str">
        <v/>
      </c>
      <c r="I17997" s="4" t="str">
        <v/>
      </c>
    </row>
    <row r="17998" spans="5:9" ht="16.5" hidden="1">
      <c r="E17998" s="4" t="str">
        <v/>
      </c>
      <c r="F17998" s="102" t="str">
        <f ca="1">IFERROR(__xludf.DUMMYFUNCTION("IMPORTRANGE(H17998,""IDENTITAS UNIT!D9"")"),"#N/A")</f>
        <v>#N/A</v>
      </c>
      <c r="H17998" s="4" t="str">
        <v/>
      </c>
      <c r="I17998" s="4" t="str">
        <v/>
      </c>
    </row>
    <row r="17999" spans="5:9" ht="16.5" hidden="1">
      <c r="E17999" s="4" t="str">
        <v/>
      </c>
      <c r="F17999" s="102" t="str">
        <f ca="1">IFERROR(__xludf.DUMMYFUNCTION("IMPORTRANGE(H17999,""IDENTITAS UNIT!D9"")"),"#N/A")</f>
        <v>#N/A</v>
      </c>
      <c r="H17999" s="4" t="str">
        <v/>
      </c>
      <c r="I17999" s="4" t="str">
        <v/>
      </c>
    </row>
    <row r="18000" spans="5:9" ht="16.5" hidden="1">
      <c r="E18000" s="4" t="str">
        <v/>
      </c>
      <c r="F18000" s="102" t="str">
        <f ca="1">IFERROR(__xludf.DUMMYFUNCTION("IMPORTRANGE(H18000,""IDENTITAS UNIT!D9"")"),"#N/A")</f>
        <v>#N/A</v>
      </c>
      <c r="H18000" s="4" t="str">
        <v/>
      </c>
      <c r="I18000" s="4" t="str">
        <v/>
      </c>
    </row>
    <row r="18001" spans="5:9" ht="16.5" hidden="1">
      <c r="E18001" s="4" t="str">
        <v/>
      </c>
      <c r="F18001" s="102" t="str">
        <f ca="1">IFERROR(__xludf.DUMMYFUNCTION("IMPORTRANGE(H18001,""IDENTITAS UNIT!D9"")"),"#N/A")</f>
        <v>#N/A</v>
      </c>
      <c r="H18001" s="4" t="str">
        <v/>
      </c>
      <c r="I18001" s="4" t="str">
        <v/>
      </c>
    </row>
    <row r="18002" spans="5:9" ht="16.5" hidden="1">
      <c r="E18002" s="4" t="str">
        <v/>
      </c>
      <c r="F18002" s="102" t="str">
        <f ca="1">IFERROR(__xludf.DUMMYFUNCTION("IMPORTRANGE(H18002,""IDENTITAS UNIT!D9"")"),"#N/A")</f>
        <v>#N/A</v>
      </c>
      <c r="H18002" s="4" t="str">
        <v/>
      </c>
      <c r="I18002" s="4" t="str">
        <v/>
      </c>
    </row>
    <row r="18003" spans="5:9" ht="16.5" hidden="1">
      <c r="E18003" s="4" t="str">
        <v/>
      </c>
      <c r="F18003" s="102" t="str">
        <f ca="1">IFERROR(__xludf.DUMMYFUNCTION("IMPORTRANGE(H18003,""IDENTITAS UNIT!D9"")"),"#N/A")</f>
        <v>#N/A</v>
      </c>
      <c r="H18003" s="4" t="str">
        <v/>
      </c>
      <c r="I18003" s="4" t="str">
        <v/>
      </c>
    </row>
    <row r="18004" spans="5:9" ht="16.5" hidden="1">
      <c r="E18004" s="4" t="str">
        <v/>
      </c>
      <c r="F18004" s="102" t="str">
        <f ca="1">IFERROR(__xludf.DUMMYFUNCTION("IMPORTRANGE(H18004,""IDENTITAS UNIT!D9"")"),"#N/A")</f>
        <v>#N/A</v>
      </c>
      <c r="H18004" s="4" t="str">
        <v/>
      </c>
      <c r="I18004" s="4" t="str">
        <v/>
      </c>
    </row>
    <row r="18005" spans="5:9" ht="16.5" hidden="1">
      <c r="E18005" s="4" t="str">
        <v/>
      </c>
      <c r="F18005" s="102" t="str">
        <f ca="1">IFERROR(__xludf.DUMMYFUNCTION("IMPORTRANGE(H18005,""IDENTITAS UNIT!D9"")"),"#N/A")</f>
        <v>#N/A</v>
      </c>
      <c r="H18005" s="4" t="str">
        <v/>
      </c>
      <c r="I18005" s="4" t="str">
        <v/>
      </c>
    </row>
    <row r="18006" spans="5:9" ht="16.5" hidden="1">
      <c r="E18006" s="4" t="str">
        <v/>
      </c>
      <c r="F18006" s="102" t="str">
        <f ca="1">IFERROR(__xludf.DUMMYFUNCTION("IMPORTRANGE(H18006,""IDENTITAS UNIT!D9"")"),"#N/A")</f>
        <v>#N/A</v>
      </c>
      <c r="H18006" s="4" t="str">
        <v/>
      </c>
      <c r="I18006" s="4" t="str">
        <v/>
      </c>
    </row>
    <row r="18007" spans="5:9" ht="16.5" hidden="1">
      <c r="E18007" s="4" t="str">
        <v/>
      </c>
      <c r="F18007" s="102" t="str">
        <f ca="1">IFERROR(__xludf.DUMMYFUNCTION("IMPORTRANGE(H18007,""IDENTITAS UNIT!D9"")"),"#N/A")</f>
        <v>#N/A</v>
      </c>
      <c r="H18007" s="4" t="str">
        <v/>
      </c>
      <c r="I18007" s="4" t="str">
        <v/>
      </c>
    </row>
    <row r="18008" spans="5:9" ht="16.5" hidden="1">
      <c r="E18008" s="4" t="str">
        <v/>
      </c>
      <c r="F18008" s="102" t="str">
        <f ca="1">IFERROR(__xludf.DUMMYFUNCTION("IMPORTRANGE(H18008,""IDENTITAS UNIT!D9"")"),"#N/A")</f>
        <v>#N/A</v>
      </c>
      <c r="H18008" s="4" t="str">
        <v/>
      </c>
      <c r="I18008" s="4" t="str">
        <v/>
      </c>
    </row>
    <row r="18009" spans="5:9" ht="16.5" hidden="1">
      <c r="E18009" s="4" t="str">
        <v/>
      </c>
      <c r="F18009" s="102" t="str">
        <f ca="1">IFERROR(__xludf.DUMMYFUNCTION("IMPORTRANGE(H18009,""IDENTITAS UNIT!D9"")"),"#N/A")</f>
        <v>#N/A</v>
      </c>
      <c r="H18009" s="4" t="str">
        <v/>
      </c>
      <c r="I18009" s="4" t="str">
        <v/>
      </c>
    </row>
    <row r="18010" spans="5:9" ht="16.5" hidden="1">
      <c r="E18010" s="4" t="str">
        <v/>
      </c>
      <c r="F18010" s="102" t="str">
        <f ca="1">IFERROR(__xludf.DUMMYFUNCTION("IMPORTRANGE(H18010,""IDENTITAS UNIT!D9"")"),"#N/A")</f>
        <v>#N/A</v>
      </c>
      <c r="H18010" s="4" t="str">
        <v/>
      </c>
      <c r="I18010" s="4" t="str">
        <v/>
      </c>
    </row>
    <row r="18011" spans="5:9" ht="16.5" hidden="1">
      <c r="E18011" s="4" t="str">
        <v/>
      </c>
      <c r="F18011" s="102" t="str">
        <f ca="1">IFERROR(__xludf.DUMMYFUNCTION("IMPORTRANGE(H18011,""IDENTITAS UNIT!D9"")"),"#N/A")</f>
        <v>#N/A</v>
      </c>
      <c r="H18011" s="4" t="str">
        <v/>
      </c>
      <c r="I18011" s="4" t="str">
        <v/>
      </c>
    </row>
    <row r="18012" spans="5:9" ht="16.5" hidden="1">
      <c r="E18012" s="4" t="str">
        <v/>
      </c>
      <c r="F18012" s="102" t="str">
        <f ca="1">IFERROR(__xludf.DUMMYFUNCTION("IMPORTRANGE(H18012,""IDENTITAS UNIT!D9"")"),"#N/A")</f>
        <v>#N/A</v>
      </c>
      <c r="H18012" s="4" t="str">
        <v/>
      </c>
      <c r="I18012" s="4" t="str">
        <v/>
      </c>
    </row>
    <row r="18013" spans="5:9" ht="16.5" hidden="1">
      <c r="E18013" s="4" t="str">
        <v/>
      </c>
      <c r="F18013" s="102" t="str">
        <f ca="1">IFERROR(__xludf.DUMMYFUNCTION("IMPORTRANGE(H18013,""IDENTITAS UNIT!D9"")"),"#N/A")</f>
        <v>#N/A</v>
      </c>
      <c r="H18013" s="4" t="str">
        <v/>
      </c>
      <c r="I18013" s="4" t="str">
        <v/>
      </c>
    </row>
    <row r="18014" spans="5:9" ht="16.5" hidden="1">
      <c r="E18014" s="4" t="str">
        <v/>
      </c>
      <c r="F18014" s="102" t="str">
        <f ca="1">IFERROR(__xludf.DUMMYFUNCTION("IMPORTRANGE(H18014,""IDENTITAS UNIT!D9"")"),"#N/A")</f>
        <v>#N/A</v>
      </c>
      <c r="H18014" s="4" t="str">
        <v/>
      </c>
      <c r="I18014" s="4" t="str">
        <v/>
      </c>
    </row>
    <row r="18015" spans="5:9" ht="16.5" hidden="1">
      <c r="E18015" s="4" t="str">
        <v/>
      </c>
      <c r="F18015" s="102" t="str">
        <f ca="1">IFERROR(__xludf.DUMMYFUNCTION("IMPORTRANGE(H18015,""IDENTITAS UNIT!D9"")"),"#N/A")</f>
        <v>#N/A</v>
      </c>
      <c r="H18015" s="4" t="str">
        <v/>
      </c>
      <c r="I18015" s="4" t="str">
        <v/>
      </c>
    </row>
    <row r="18016" spans="5:9" ht="16.5" hidden="1">
      <c r="E18016" s="4" t="str">
        <v/>
      </c>
      <c r="F18016" s="102" t="str">
        <f ca="1">IFERROR(__xludf.DUMMYFUNCTION("IMPORTRANGE(H18016,""IDENTITAS UNIT!D9"")"),"#N/A")</f>
        <v>#N/A</v>
      </c>
      <c r="H18016" s="4" t="str">
        <v/>
      </c>
      <c r="I18016" s="4" t="str">
        <v/>
      </c>
    </row>
    <row r="18017" spans="5:9" ht="16.5" hidden="1">
      <c r="E18017" s="4" t="str">
        <v/>
      </c>
      <c r="F18017" s="102" t="str">
        <f ca="1">IFERROR(__xludf.DUMMYFUNCTION("IMPORTRANGE(H18017,""IDENTITAS UNIT!D9"")"),"#N/A")</f>
        <v>#N/A</v>
      </c>
      <c r="H18017" s="4" t="str">
        <v/>
      </c>
      <c r="I18017" s="4" t="str">
        <v/>
      </c>
    </row>
    <row r="18018" spans="5:9" ht="16.5" hidden="1">
      <c r="E18018" s="4" t="str">
        <v/>
      </c>
      <c r="F18018" s="102" t="str">
        <f ca="1">IFERROR(__xludf.DUMMYFUNCTION("IMPORTRANGE(H18018,""IDENTITAS UNIT!D9"")"),"#N/A")</f>
        <v>#N/A</v>
      </c>
      <c r="H18018" s="4" t="str">
        <v/>
      </c>
      <c r="I18018" s="4" t="str">
        <v/>
      </c>
    </row>
    <row r="18019" spans="5:9" ht="16.5" hidden="1">
      <c r="E18019" s="4" t="str">
        <v/>
      </c>
      <c r="F18019" s="102" t="str">
        <f ca="1">IFERROR(__xludf.DUMMYFUNCTION("IMPORTRANGE(H18019,""IDENTITAS UNIT!D9"")"),"#N/A")</f>
        <v>#N/A</v>
      </c>
      <c r="H18019" s="4" t="str">
        <v/>
      </c>
      <c r="I18019" s="4" t="str">
        <v/>
      </c>
    </row>
    <row r="18020" spans="5:9" ht="16.5" hidden="1">
      <c r="E18020" s="4" t="str">
        <v/>
      </c>
      <c r="F18020" s="102" t="str">
        <f ca="1">IFERROR(__xludf.DUMMYFUNCTION("IMPORTRANGE(H18020,""IDENTITAS UNIT!D9"")"),"#N/A")</f>
        <v>#N/A</v>
      </c>
      <c r="H18020" s="4" t="str">
        <v/>
      </c>
      <c r="I18020" s="4" t="str">
        <v/>
      </c>
    </row>
    <row r="18021" spans="5:9" ht="16.5" hidden="1">
      <c r="E18021" s="4" t="str">
        <v/>
      </c>
      <c r="F18021" s="102" t="str">
        <f ca="1">IFERROR(__xludf.DUMMYFUNCTION("IMPORTRANGE(H18021,""IDENTITAS UNIT!D9"")"),"#N/A")</f>
        <v>#N/A</v>
      </c>
      <c r="H18021" s="4" t="str">
        <v/>
      </c>
      <c r="I18021" s="4" t="str">
        <v/>
      </c>
    </row>
    <row r="18022" spans="5:9" ht="16.5" hidden="1">
      <c r="E18022" s="4" t="str">
        <v/>
      </c>
      <c r="F18022" s="102" t="str">
        <f ca="1">IFERROR(__xludf.DUMMYFUNCTION("IMPORTRANGE(H18022,""IDENTITAS UNIT!D9"")"),"#N/A")</f>
        <v>#N/A</v>
      </c>
      <c r="H18022" s="4" t="str">
        <v/>
      </c>
      <c r="I18022" s="4" t="str">
        <v/>
      </c>
    </row>
    <row r="18023" spans="5:9" ht="16.5" hidden="1">
      <c r="E18023" s="4" t="str">
        <v/>
      </c>
      <c r="F18023" s="102" t="str">
        <f ca="1">IFERROR(__xludf.DUMMYFUNCTION("IMPORTRANGE(H18023,""IDENTITAS UNIT!D9"")"),"#N/A")</f>
        <v>#N/A</v>
      </c>
      <c r="H18023" s="4" t="str">
        <v/>
      </c>
      <c r="I18023" s="4" t="str">
        <v/>
      </c>
    </row>
    <row r="18024" spans="5:9" ht="16.5" hidden="1">
      <c r="E18024" s="4" t="str">
        <v/>
      </c>
      <c r="F18024" s="102" t="str">
        <f ca="1">IFERROR(__xludf.DUMMYFUNCTION("IMPORTRANGE(H18024,""IDENTITAS UNIT!D9"")"),"#N/A")</f>
        <v>#N/A</v>
      </c>
      <c r="H18024" s="4" t="str">
        <v/>
      </c>
      <c r="I18024" s="4" t="str">
        <v/>
      </c>
    </row>
    <row r="18025" spans="5:9" ht="16.5" hidden="1">
      <c r="E18025" s="4" t="str">
        <v/>
      </c>
      <c r="F18025" s="102" t="str">
        <f ca="1">IFERROR(__xludf.DUMMYFUNCTION("IMPORTRANGE(H18025,""IDENTITAS UNIT!D9"")"),"#N/A")</f>
        <v>#N/A</v>
      </c>
      <c r="H18025" s="4" t="str">
        <v/>
      </c>
      <c r="I18025" s="4" t="str">
        <v/>
      </c>
    </row>
    <row r="18026" spans="5:9" ht="16.5" hidden="1">
      <c r="E18026" s="4" t="str">
        <v/>
      </c>
      <c r="F18026" s="102" t="str">
        <f ca="1">IFERROR(__xludf.DUMMYFUNCTION("IMPORTRANGE(H18026,""IDENTITAS UNIT!D9"")"),"#N/A")</f>
        <v>#N/A</v>
      </c>
      <c r="H18026" s="4" t="str">
        <v/>
      </c>
      <c r="I18026" s="4" t="str">
        <v/>
      </c>
    </row>
    <row r="18027" spans="5:9" ht="16.5" hidden="1">
      <c r="E18027" s="4" t="str">
        <v/>
      </c>
      <c r="F18027" s="102" t="str">
        <f ca="1">IFERROR(__xludf.DUMMYFUNCTION("IMPORTRANGE(H18027,""IDENTITAS UNIT!D9"")"),"#N/A")</f>
        <v>#N/A</v>
      </c>
      <c r="H18027" s="4" t="str">
        <v/>
      </c>
      <c r="I18027" s="4" t="str">
        <v/>
      </c>
    </row>
    <row r="18028" spans="5:9" ht="16.5" hidden="1">
      <c r="E18028" s="4" t="str">
        <v/>
      </c>
      <c r="F18028" s="102" t="str">
        <f ca="1">IFERROR(__xludf.DUMMYFUNCTION("IMPORTRANGE(H18028,""IDENTITAS UNIT!D9"")"),"#N/A")</f>
        <v>#N/A</v>
      </c>
      <c r="H18028" s="4" t="str">
        <v/>
      </c>
      <c r="I18028" s="4" t="str">
        <v/>
      </c>
    </row>
    <row r="18029" spans="5:9" ht="16.5" hidden="1">
      <c r="E18029" s="4" t="str">
        <v/>
      </c>
      <c r="F18029" s="102" t="str">
        <f ca="1">IFERROR(__xludf.DUMMYFUNCTION("IMPORTRANGE(H18029,""IDENTITAS UNIT!D9"")"),"#N/A")</f>
        <v>#N/A</v>
      </c>
      <c r="H18029" s="4" t="str">
        <v/>
      </c>
      <c r="I18029" s="4" t="str">
        <v/>
      </c>
    </row>
    <row r="18030" spans="5:9" ht="16.5" hidden="1">
      <c r="E18030" s="4" t="str">
        <v/>
      </c>
      <c r="F18030" s="102" t="str">
        <f ca="1">IFERROR(__xludf.DUMMYFUNCTION("IMPORTRANGE(H18030,""IDENTITAS UNIT!D9"")"),"#N/A")</f>
        <v>#N/A</v>
      </c>
      <c r="H18030" s="4" t="str">
        <v/>
      </c>
      <c r="I18030" s="4" t="str">
        <v/>
      </c>
    </row>
    <row r="18031" spans="5:9" ht="16.5" hidden="1">
      <c r="E18031" s="4" t="str">
        <v/>
      </c>
      <c r="F18031" s="102" t="str">
        <f ca="1">IFERROR(__xludf.DUMMYFUNCTION("IMPORTRANGE(H18031,""IDENTITAS UNIT!D9"")"),"#N/A")</f>
        <v>#N/A</v>
      </c>
      <c r="H18031" s="4" t="str">
        <v/>
      </c>
      <c r="I18031" s="4" t="str">
        <v/>
      </c>
    </row>
    <row r="18032" spans="5:9" ht="16.5" hidden="1">
      <c r="E18032" s="4" t="str">
        <v/>
      </c>
      <c r="F18032" s="102" t="str">
        <f ca="1">IFERROR(__xludf.DUMMYFUNCTION("IMPORTRANGE(H18032,""IDENTITAS UNIT!D9"")"),"#N/A")</f>
        <v>#N/A</v>
      </c>
      <c r="H18032" s="4" t="str">
        <v/>
      </c>
      <c r="I18032" s="4" t="str">
        <v/>
      </c>
    </row>
    <row r="18033" spans="5:9" ht="16.5" hidden="1">
      <c r="E18033" s="4" t="str">
        <v/>
      </c>
      <c r="F18033" s="102" t="str">
        <f ca="1">IFERROR(__xludf.DUMMYFUNCTION("IMPORTRANGE(H18033,""IDENTITAS UNIT!D9"")"),"#N/A")</f>
        <v>#N/A</v>
      </c>
      <c r="H18033" s="4" t="str">
        <v/>
      </c>
      <c r="I18033" s="4" t="str">
        <v/>
      </c>
    </row>
    <row r="18034" spans="5:9" ht="16.5" hidden="1">
      <c r="E18034" s="4" t="str">
        <v/>
      </c>
      <c r="F18034" s="102" t="str">
        <f ca="1">IFERROR(__xludf.DUMMYFUNCTION("IMPORTRANGE(H18034,""IDENTITAS UNIT!D9"")"),"#N/A")</f>
        <v>#N/A</v>
      </c>
      <c r="H18034" s="4" t="str">
        <v/>
      </c>
      <c r="I18034" s="4" t="str">
        <v/>
      </c>
    </row>
    <row r="18035" spans="5:9" ht="16.5" hidden="1">
      <c r="E18035" s="4" t="str">
        <v/>
      </c>
      <c r="F18035" s="102" t="str">
        <f ca="1">IFERROR(__xludf.DUMMYFUNCTION("IMPORTRANGE(H18035,""IDENTITAS UNIT!D9"")"),"#N/A")</f>
        <v>#N/A</v>
      </c>
      <c r="H18035" s="4" t="str">
        <v/>
      </c>
      <c r="I18035" s="4" t="str">
        <v/>
      </c>
    </row>
    <row r="18036" spans="5:9" ht="16.5" hidden="1">
      <c r="E18036" s="4" t="str">
        <v/>
      </c>
      <c r="F18036" s="102" t="str">
        <f ca="1">IFERROR(__xludf.DUMMYFUNCTION("IMPORTRANGE(H18036,""IDENTITAS UNIT!D9"")"),"#N/A")</f>
        <v>#N/A</v>
      </c>
      <c r="H18036" s="4" t="str">
        <v/>
      </c>
      <c r="I18036" s="4" t="str">
        <v/>
      </c>
    </row>
    <row r="18037" spans="5:9" ht="16.5" hidden="1">
      <c r="E18037" s="4" t="str">
        <v/>
      </c>
      <c r="F18037" s="102" t="str">
        <f ca="1">IFERROR(__xludf.DUMMYFUNCTION("IMPORTRANGE(H18037,""IDENTITAS UNIT!D9"")"),"#N/A")</f>
        <v>#N/A</v>
      </c>
      <c r="H18037" s="4" t="str">
        <v/>
      </c>
      <c r="I18037" s="4" t="str">
        <v/>
      </c>
    </row>
    <row r="18038" spans="5:9" ht="16.5" hidden="1">
      <c r="E18038" s="4" t="str">
        <v/>
      </c>
      <c r="F18038" s="102" t="str">
        <f ca="1">IFERROR(__xludf.DUMMYFUNCTION("IMPORTRANGE(H18038,""IDENTITAS UNIT!D9"")"),"#N/A")</f>
        <v>#N/A</v>
      </c>
      <c r="H18038" s="4" t="str">
        <v/>
      </c>
      <c r="I18038" s="4" t="str">
        <v/>
      </c>
    </row>
    <row r="18039" spans="5:9" ht="16.5" hidden="1">
      <c r="E18039" s="4" t="str">
        <v/>
      </c>
      <c r="F18039" s="102" t="str">
        <f ca="1">IFERROR(__xludf.DUMMYFUNCTION("IMPORTRANGE(H18039,""IDENTITAS UNIT!D9"")"),"#N/A")</f>
        <v>#N/A</v>
      </c>
      <c r="H18039" s="4" t="str">
        <v/>
      </c>
      <c r="I18039" s="4" t="str">
        <v/>
      </c>
    </row>
    <row r="18040" spans="5:9" ht="16.5" hidden="1">
      <c r="E18040" s="4" t="str">
        <v/>
      </c>
      <c r="F18040" s="102" t="str">
        <f ca="1">IFERROR(__xludf.DUMMYFUNCTION("IMPORTRANGE(H18040,""IDENTITAS UNIT!D9"")"),"#N/A")</f>
        <v>#N/A</v>
      </c>
      <c r="H18040" s="4" t="str">
        <v/>
      </c>
      <c r="I18040" s="4" t="str">
        <v/>
      </c>
    </row>
    <row r="18041" spans="5:9" ht="16.5" hidden="1">
      <c r="E18041" s="4" t="str">
        <v/>
      </c>
      <c r="F18041" s="102" t="str">
        <f ca="1">IFERROR(__xludf.DUMMYFUNCTION("IMPORTRANGE(H18041,""IDENTITAS UNIT!D9"")"),"#N/A")</f>
        <v>#N/A</v>
      </c>
      <c r="H18041" s="4" t="str">
        <v/>
      </c>
      <c r="I18041" s="4" t="str">
        <v/>
      </c>
    </row>
    <row r="18042" spans="5:9" ht="16.5" hidden="1">
      <c r="E18042" s="4" t="str">
        <v/>
      </c>
      <c r="F18042" s="102" t="str">
        <f ca="1">IFERROR(__xludf.DUMMYFUNCTION("IMPORTRANGE(H18042,""IDENTITAS UNIT!D9"")"),"#N/A")</f>
        <v>#N/A</v>
      </c>
      <c r="H18042" s="4" t="str">
        <v/>
      </c>
      <c r="I18042" s="4" t="str">
        <v/>
      </c>
    </row>
    <row r="18043" spans="5:9" ht="16.5" hidden="1">
      <c r="E18043" s="4" t="str">
        <v/>
      </c>
      <c r="F18043" s="102" t="str">
        <f ca="1">IFERROR(__xludf.DUMMYFUNCTION("IMPORTRANGE(H18043,""IDENTITAS UNIT!D9"")"),"#N/A")</f>
        <v>#N/A</v>
      </c>
      <c r="H18043" s="4" t="str">
        <v/>
      </c>
      <c r="I18043" s="4" t="str">
        <v/>
      </c>
    </row>
    <row r="18044" spans="5:9" ht="16.5" hidden="1">
      <c r="E18044" s="4" t="str">
        <v/>
      </c>
      <c r="F18044" s="102" t="str">
        <f ca="1">IFERROR(__xludf.DUMMYFUNCTION("IMPORTRANGE(H18044,""IDENTITAS UNIT!D9"")"),"#N/A")</f>
        <v>#N/A</v>
      </c>
      <c r="H18044" s="4" t="str">
        <v/>
      </c>
      <c r="I18044" s="4" t="str">
        <v/>
      </c>
    </row>
    <row r="18045" spans="5:9" ht="16.5" hidden="1">
      <c r="E18045" s="4" t="str">
        <v/>
      </c>
      <c r="F18045" s="102" t="str">
        <f ca="1">IFERROR(__xludf.DUMMYFUNCTION("IMPORTRANGE(H18045,""IDENTITAS UNIT!D9"")"),"#N/A")</f>
        <v>#N/A</v>
      </c>
      <c r="H18045" s="4" t="str">
        <v/>
      </c>
      <c r="I18045" s="4" t="str">
        <v/>
      </c>
    </row>
    <row r="18046" spans="5:9" ht="16.5" hidden="1">
      <c r="E18046" s="4" t="str">
        <v/>
      </c>
      <c r="F18046" s="102" t="str">
        <f ca="1">IFERROR(__xludf.DUMMYFUNCTION("IMPORTRANGE(H18046,""IDENTITAS UNIT!D9"")"),"#N/A")</f>
        <v>#N/A</v>
      </c>
      <c r="H18046" s="4" t="str">
        <v/>
      </c>
      <c r="I18046" s="4" t="str">
        <v/>
      </c>
    </row>
    <row r="18047" spans="5:9" ht="16.5" hidden="1">
      <c r="E18047" s="4" t="str">
        <v/>
      </c>
      <c r="F18047" s="102" t="str">
        <f ca="1">IFERROR(__xludf.DUMMYFUNCTION("IMPORTRANGE(H18047,""IDENTITAS UNIT!D9"")"),"#N/A")</f>
        <v>#N/A</v>
      </c>
      <c r="H18047" s="4" t="str">
        <v/>
      </c>
      <c r="I18047" s="4" t="str">
        <v/>
      </c>
    </row>
    <row r="18048" spans="5:9" ht="16.5" hidden="1">
      <c r="E18048" s="4" t="str">
        <v/>
      </c>
      <c r="F18048" s="102" t="str">
        <f ca="1">IFERROR(__xludf.DUMMYFUNCTION("IMPORTRANGE(H18048,""IDENTITAS UNIT!D9"")"),"#N/A")</f>
        <v>#N/A</v>
      </c>
      <c r="H18048" s="4" t="str">
        <v/>
      </c>
      <c r="I18048" s="4" t="str">
        <v/>
      </c>
    </row>
    <row r="18049" spans="5:9" ht="16.5" hidden="1">
      <c r="E18049" s="4" t="str">
        <v/>
      </c>
      <c r="F18049" s="102" t="str">
        <f ca="1">IFERROR(__xludf.DUMMYFUNCTION("IMPORTRANGE(H18049,""IDENTITAS UNIT!D9"")"),"#N/A")</f>
        <v>#N/A</v>
      </c>
      <c r="H18049" s="4" t="str">
        <v/>
      </c>
      <c r="I18049" s="4" t="str">
        <v/>
      </c>
    </row>
    <row r="18050" spans="5:9" ht="16.5" hidden="1">
      <c r="E18050" s="4" t="str">
        <v/>
      </c>
      <c r="F18050" s="102" t="str">
        <f ca="1">IFERROR(__xludf.DUMMYFUNCTION("IMPORTRANGE(H18050,""IDENTITAS UNIT!D9"")"),"#N/A")</f>
        <v>#N/A</v>
      </c>
      <c r="H18050" s="4" t="str">
        <v/>
      </c>
      <c r="I18050" s="4" t="str">
        <v/>
      </c>
    </row>
    <row r="18051" spans="5:9" ht="16.5" hidden="1">
      <c r="E18051" s="4" t="str">
        <v/>
      </c>
      <c r="F18051" s="102" t="str">
        <f ca="1">IFERROR(__xludf.DUMMYFUNCTION("IMPORTRANGE(H18051,""IDENTITAS UNIT!D9"")"),"#N/A")</f>
        <v>#N/A</v>
      </c>
      <c r="H18051" s="4" t="str">
        <v/>
      </c>
      <c r="I18051" s="4" t="str">
        <v/>
      </c>
    </row>
    <row r="18052" spans="5:9" ht="16.5" hidden="1">
      <c r="E18052" s="4" t="str">
        <v/>
      </c>
      <c r="F18052" s="102" t="str">
        <f ca="1">IFERROR(__xludf.DUMMYFUNCTION("IMPORTRANGE(H18052,""IDENTITAS UNIT!D9"")"),"#N/A")</f>
        <v>#N/A</v>
      </c>
      <c r="H18052" s="4" t="str">
        <v/>
      </c>
      <c r="I18052" s="4" t="str">
        <v/>
      </c>
    </row>
    <row r="18053" spans="5:9" ht="16.5" hidden="1">
      <c r="E18053" s="4" t="str">
        <v/>
      </c>
      <c r="F18053" s="102" t="str">
        <f ca="1">IFERROR(__xludf.DUMMYFUNCTION("IMPORTRANGE(H18053,""IDENTITAS UNIT!D9"")"),"#N/A")</f>
        <v>#N/A</v>
      </c>
      <c r="H18053" s="4" t="str">
        <v/>
      </c>
      <c r="I18053" s="4" t="str">
        <v/>
      </c>
    </row>
    <row r="18054" spans="5:9" ht="16.5" hidden="1">
      <c r="E18054" s="4" t="str">
        <v/>
      </c>
      <c r="F18054" s="102" t="str">
        <f ca="1">IFERROR(__xludf.DUMMYFUNCTION("IMPORTRANGE(H18054,""IDENTITAS UNIT!D9"")"),"#N/A")</f>
        <v>#N/A</v>
      </c>
      <c r="H18054" s="4" t="str">
        <v/>
      </c>
      <c r="I18054" s="4" t="str">
        <v/>
      </c>
    </row>
    <row r="18055" spans="5:9" ht="16.5" hidden="1">
      <c r="E18055" s="4" t="str">
        <v/>
      </c>
      <c r="F18055" s="102" t="str">
        <f ca="1">IFERROR(__xludf.DUMMYFUNCTION("IMPORTRANGE(H18055,""IDENTITAS UNIT!D9"")"),"#N/A")</f>
        <v>#N/A</v>
      </c>
      <c r="H18055" s="4" t="str">
        <v/>
      </c>
      <c r="I18055" s="4" t="str">
        <v/>
      </c>
    </row>
    <row r="18056" spans="5:9" ht="16.5" hidden="1">
      <c r="E18056" s="4" t="str">
        <v/>
      </c>
      <c r="F18056" s="102" t="str">
        <f ca="1">IFERROR(__xludf.DUMMYFUNCTION("IMPORTRANGE(H18056,""IDENTITAS UNIT!D9"")"),"#N/A")</f>
        <v>#N/A</v>
      </c>
      <c r="H18056" s="4" t="str">
        <v/>
      </c>
      <c r="I18056" s="4" t="str">
        <v/>
      </c>
    </row>
    <row r="18057" spans="5:9" ht="16.5" hidden="1">
      <c r="E18057" s="4" t="str">
        <v/>
      </c>
      <c r="F18057" s="102" t="str">
        <f ca="1">IFERROR(__xludf.DUMMYFUNCTION("IMPORTRANGE(H18057,""IDENTITAS UNIT!D9"")"),"#N/A")</f>
        <v>#N/A</v>
      </c>
      <c r="H18057" s="4" t="str">
        <v/>
      </c>
      <c r="I18057" s="4" t="str">
        <v/>
      </c>
    </row>
    <row r="18058" spans="5:9" ht="16.5" hidden="1">
      <c r="E18058" s="4" t="str">
        <v/>
      </c>
      <c r="F18058" s="102" t="str">
        <f ca="1">IFERROR(__xludf.DUMMYFUNCTION("IMPORTRANGE(H18058,""IDENTITAS UNIT!D9"")"),"#N/A")</f>
        <v>#N/A</v>
      </c>
      <c r="H18058" s="4" t="str">
        <v/>
      </c>
      <c r="I18058" s="4" t="str">
        <v/>
      </c>
    </row>
    <row r="18059" spans="5:9" ht="16.5" hidden="1">
      <c r="E18059" s="4" t="str">
        <v/>
      </c>
      <c r="F18059" s="102" t="str">
        <f ca="1">IFERROR(__xludf.DUMMYFUNCTION("IMPORTRANGE(H18059,""IDENTITAS UNIT!D9"")"),"#N/A")</f>
        <v>#N/A</v>
      </c>
      <c r="H18059" s="4" t="str">
        <v/>
      </c>
      <c r="I18059" s="4" t="str">
        <v/>
      </c>
    </row>
    <row r="18060" spans="5:9" ht="16.5" hidden="1">
      <c r="E18060" s="4" t="str">
        <v/>
      </c>
      <c r="F18060" s="102" t="str">
        <f ca="1">IFERROR(__xludf.DUMMYFUNCTION("IMPORTRANGE(H18060,""IDENTITAS UNIT!D9"")"),"#N/A")</f>
        <v>#N/A</v>
      </c>
      <c r="H18060" s="4" t="str">
        <v/>
      </c>
      <c r="I18060" s="4" t="str">
        <v/>
      </c>
    </row>
    <row r="18061" spans="5:9" ht="16.5" hidden="1">
      <c r="E18061" s="4" t="str">
        <v/>
      </c>
      <c r="F18061" s="102" t="str">
        <f ca="1">IFERROR(__xludf.DUMMYFUNCTION("IMPORTRANGE(H18061,""IDENTITAS UNIT!D9"")"),"#N/A")</f>
        <v>#N/A</v>
      </c>
      <c r="H18061" s="4" t="str">
        <v/>
      </c>
      <c r="I18061" s="4" t="str">
        <v/>
      </c>
    </row>
    <row r="18062" spans="5:9" ht="16.5" hidden="1">
      <c r="E18062" s="4" t="str">
        <v/>
      </c>
      <c r="F18062" s="102" t="str">
        <f ca="1">IFERROR(__xludf.DUMMYFUNCTION("IMPORTRANGE(H18062,""IDENTITAS UNIT!D9"")"),"#N/A")</f>
        <v>#N/A</v>
      </c>
      <c r="H18062" s="4" t="str">
        <v/>
      </c>
      <c r="I18062" s="4" t="str">
        <v/>
      </c>
    </row>
    <row r="18063" spans="5:9" ht="16.5" hidden="1">
      <c r="E18063" s="4" t="str">
        <v/>
      </c>
      <c r="F18063" s="102" t="str">
        <f ca="1">IFERROR(__xludf.DUMMYFUNCTION("IMPORTRANGE(H18063,""IDENTITAS UNIT!D9"")"),"#N/A")</f>
        <v>#N/A</v>
      </c>
      <c r="H18063" s="4" t="str">
        <v/>
      </c>
      <c r="I18063" s="4" t="str">
        <v/>
      </c>
    </row>
    <row r="18064" spans="5:9" ht="16.5" hidden="1">
      <c r="E18064" s="4" t="str">
        <v/>
      </c>
      <c r="F18064" s="102" t="str">
        <f ca="1">IFERROR(__xludf.DUMMYFUNCTION("IMPORTRANGE(H18064,""IDENTITAS UNIT!D9"")"),"#N/A")</f>
        <v>#N/A</v>
      </c>
      <c r="H18064" s="4" t="str">
        <v/>
      </c>
      <c r="I18064" s="4" t="str">
        <v/>
      </c>
    </row>
    <row r="18065" spans="5:9" ht="16.5" hidden="1">
      <c r="E18065" s="4" t="str">
        <v/>
      </c>
      <c r="F18065" s="102" t="str">
        <f ca="1">IFERROR(__xludf.DUMMYFUNCTION("IMPORTRANGE(H18065,""IDENTITAS UNIT!D9"")"),"#N/A")</f>
        <v>#N/A</v>
      </c>
      <c r="H18065" s="4" t="str">
        <v/>
      </c>
      <c r="I18065" s="4" t="str">
        <v/>
      </c>
    </row>
    <row r="18066" spans="5:9" ht="16.5" hidden="1">
      <c r="E18066" s="4" t="str">
        <v/>
      </c>
      <c r="F18066" s="102" t="str">
        <f ca="1">IFERROR(__xludf.DUMMYFUNCTION("IMPORTRANGE(H18066,""IDENTITAS UNIT!D9"")"),"#N/A")</f>
        <v>#N/A</v>
      </c>
      <c r="H18066" s="4" t="str">
        <v/>
      </c>
      <c r="I18066" s="4" t="str">
        <v/>
      </c>
    </row>
    <row r="18067" spans="5:9" ht="16.5" hidden="1">
      <c r="E18067" s="4" t="str">
        <v/>
      </c>
      <c r="F18067" s="102" t="str">
        <f ca="1">IFERROR(__xludf.DUMMYFUNCTION("IMPORTRANGE(H18067,""IDENTITAS UNIT!D9"")"),"#N/A")</f>
        <v>#N/A</v>
      </c>
      <c r="H18067" s="4" t="str">
        <v/>
      </c>
      <c r="I18067" s="4" t="str">
        <v/>
      </c>
    </row>
    <row r="18068" spans="5:9" ht="16.5" hidden="1">
      <c r="E18068" s="4" t="str">
        <v/>
      </c>
      <c r="F18068" s="102" t="str">
        <f ca="1">IFERROR(__xludf.DUMMYFUNCTION("IMPORTRANGE(H18068,""IDENTITAS UNIT!D9"")"),"#N/A")</f>
        <v>#N/A</v>
      </c>
      <c r="H18068" s="4" t="str">
        <v/>
      </c>
      <c r="I18068" s="4" t="str">
        <v/>
      </c>
    </row>
    <row r="18069" spans="5:9" ht="16.5" hidden="1">
      <c r="E18069" s="4" t="str">
        <v/>
      </c>
      <c r="F18069" s="102" t="str">
        <f ca="1">IFERROR(__xludf.DUMMYFUNCTION("IMPORTRANGE(H18069,""IDENTITAS UNIT!D9"")"),"#N/A")</f>
        <v>#N/A</v>
      </c>
      <c r="H18069" s="4" t="str">
        <v/>
      </c>
      <c r="I18069" s="4" t="str">
        <v/>
      </c>
    </row>
    <row r="18070" spans="5:9" ht="16.5" hidden="1">
      <c r="E18070" s="4" t="str">
        <v/>
      </c>
      <c r="F18070" s="102" t="str">
        <f ca="1">IFERROR(__xludf.DUMMYFUNCTION("IMPORTRANGE(H18070,""IDENTITAS UNIT!D9"")"),"#N/A")</f>
        <v>#N/A</v>
      </c>
      <c r="H18070" s="4" t="str">
        <v/>
      </c>
      <c r="I18070" s="4" t="str">
        <v/>
      </c>
    </row>
    <row r="18071" spans="5:9" ht="16.5" hidden="1">
      <c r="E18071" s="4" t="str">
        <v/>
      </c>
      <c r="F18071" s="102" t="str">
        <f ca="1">IFERROR(__xludf.DUMMYFUNCTION("IMPORTRANGE(H18071,""IDENTITAS UNIT!D9"")"),"#N/A")</f>
        <v>#N/A</v>
      </c>
      <c r="H18071" s="4" t="str">
        <v/>
      </c>
      <c r="I18071" s="4" t="str">
        <v/>
      </c>
    </row>
    <row r="18072" spans="5:9" ht="16.5" hidden="1">
      <c r="E18072" s="4" t="str">
        <v/>
      </c>
      <c r="F18072" s="102" t="str">
        <f ca="1">IFERROR(__xludf.DUMMYFUNCTION("IMPORTRANGE(H18072,""IDENTITAS UNIT!D9"")"),"#N/A")</f>
        <v>#N/A</v>
      </c>
      <c r="H18072" s="4" t="str">
        <v/>
      </c>
      <c r="I18072" s="4" t="str">
        <v/>
      </c>
    </row>
    <row r="18073" spans="5:9" ht="16.5" hidden="1">
      <c r="E18073" s="4" t="str">
        <v/>
      </c>
      <c r="F18073" s="102" t="str">
        <f ca="1">IFERROR(__xludf.DUMMYFUNCTION("IMPORTRANGE(H18073,""IDENTITAS UNIT!D9"")"),"#N/A")</f>
        <v>#N/A</v>
      </c>
      <c r="H18073" s="4" t="str">
        <v/>
      </c>
      <c r="I18073" s="4" t="str">
        <v/>
      </c>
    </row>
    <row r="18074" spans="5:9" ht="16.5" hidden="1">
      <c r="E18074" s="4" t="str">
        <v/>
      </c>
      <c r="F18074" s="102" t="str">
        <f ca="1">IFERROR(__xludf.DUMMYFUNCTION("IMPORTRANGE(H18074,""IDENTITAS UNIT!D9"")"),"#N/A")</f>
        <v>#N/A</v>
      </c>
      <c r="H18074" s="4" t="str">
        <v/>
      </c>
      <c r="I18074" s="4" t="str">
        <v/>
      </c>
    </row>
    <row r="18075" spans="5:9" ht="16.5" hidden="1">
      <c r="E18075" s="4" t="str">
        <v/>
      </c>
      <c r="F18075" s="102" t="str">
        <f ca="1">IFERROR(__xludf.DUMMYFUNCTION("IMPORTRANGE(H18075,""IDENTITAS UNIT!D9"")"),"#N/A")</f>
        <v>#N/A</v>
      </c>
      <c r="H18075" s="4" t="str">
        <v/>
      </c>
      <c r="I18075" s="4" t="str">
        <v/>
      </c>
    </row>
    <row r="18076" spans="5:9" ht="16.5" hidden="1">
      <c r="E18076" s="4" t="str">
        <v/>
      </c>
      <c r="F18076" s="102" t="str">
        <f ca="1">IFERROR(__xludf.DUMMYFUNCTION("IMPORTRANGE(H18076,""IDENTITAS UNIT!D9"")"),"#N/A")</f>
        <v>#N/A</v>
      </c>
      <c r="H18076" s="4" t="str">
        <v/>
      </c>
      <c r="I18076" s="4" t="str">
        <v/>
      </c>
    </row>
    <row r="18077" spans="5:9" ht="16.5" hidden="1">
      <c r="E18077" s="4" t="str">
        <v/>
      </c>
      <c r="F18077" s="102" t="str">
        <f ca="1">IFERROR(__xludf.DUMMYFUNCTION("IMPORTRANGE(H18077,""IDENTITAS UNIT!D9"")"),"#N/A")</f>
        <v>#N/A</v>
      </c>
      <c r="H18077" s="4" t="str">
        <v/>
      </c>
      <c r="I18077" s="4" t="str">
        <v/>
      </c>
    </row>
    <row r="18078" spans="5:9" ht="16.5" hidden="1">
      <c r="E18078" s="4" t="str">
        <v/>
      </c>
      <c r="F18078" s="102" t="str">
        <f ca="1">IFERROR(__xludf.DUMMYFUNCTION("IMPORTRANGE(H18078,""IDENTITAS UNIT!D9"")"),"#N/A")</f>
        <v>#N/A</v>
      </c>
      <c r="H18078" s="4" t="str">
        <v/>
      </c>
      <c r="I18078" s="4" t="str">
        <v/>
      </c>
    </row>
    <row r="18079" spans="5:9" ht="16.5" hidden="1">
      <c r="E18079" s="4" t="str">
        <v/>
      </c>
      <c r="F18079" s="102" t="str">
        <f ca="1">IFERROR(__xludf.DUMMYFUNCTION("IMPORTRANGE(H18079,""IDENTITAS UNIT!D9"")"),"#N/A")</f>
        <v>#N/A</v>
      </c>
      <c r="H18079" s="4" t="str">
        <v/>
      </c>
      <c r="I18079" s="4" t="str">
        <v/>
      </c>
    </row>
    <row r="18080" spans="5:9" ht="16.5" hidden="1">
      <c r="E18080" s="4" t="str">
        <v/>
      </c>
      <c r="F18080" s="102" t="str">
        <f ca="1">IFERROR(__xludf.DUMMYFUNCTION("IMPORTRANGE(H18080,""IDENTITAS UNIT!D9"")"),"#N/A")</f>
        <v>#N/A</v>
      </c>
      <c r="H18080" s="4" t="str">
        <v/>
      </c>
      <c r="I18080" s="4" t="str">
        <v/>
      </c>
    </row>
    <row r="18081" spans="5:9" ht="16.5" hidden="1">
      <c r="E18081" s="4" t="str">
        <v/>
      </c>
      <c r="F18081" s="102" t="str">
        <f ca="1">IFERROR(__xludf.DUMMYFUNCTION("IMPORTRANGE(H18081,""IDENTITAS UNIT!D9"")"),"#N/A")</f>
        <v>#N/A</v>
      </c>
      <c r="H18081" s="4" t="str">
        <v/>
      </c>
      <c r="I18081" s="4" t="str">
        <v/>
      </c>
    </row>
    <row r="18082" spans="5:9" ht="16.5" hidden="1">
      <c r="E18082" s="4" t="str">
        <v/>
      </c>
      <c r="F18082" s="102" t="str">
        <f ca="1">IFERROR(__xludf.DUMMYFUNCTION("IMPORTRANGE(H18082,""IDENTITAS UNIT!D9"")"),"#N/A")</f>
        <v>#N/A</v>
      </c>
      <c r="H18082" s="4" t="str">
        <v/>
      </c>
      <c r="I18082" s="4" t="str">
        <v/>
      </c>
    </row>
    <row r="18083" spans="5:9" ht="16.5" hidden="1">
      <c r="E18083" s="4" t="str">
        <v/>
      </c>
      <c r="F18083" s="102" t="str">
        <f ca="1">IFERROR(__xludf.DUMMYFUNCTION("IMPORTRANGE(H18083,""IDENTITAS UNIT!D9"")"),"#N/A")</f>
        <v>#N/A</v>
      </c>
      <c r="H18083" s="4" t="str">
        <v/>
      </c>
      <c r="I18083" s="4" t="str">
        <v/>
      </c>
    </row>
    <row r="18084" spans="5:9" ht="16.5" hidden="1">
      <c r="E18084" s="4" t="str">
        <v/>
      </c>
      <c r="F18084" s="102" t="str">
        <f ca="1">IFERROR(__xludf.DUMMYFUNCTION("IMPORTRANGE(H18084,""IDENTITAS UNIT!D9"")"),"#N/A")</f>
        <v>#N/A</v>
      </c>
      <c r="H18084" s="4" t="str">
        <v/>
      </c>
      <c r="I18084" s="4" t="str">
        <v/>
      </c>
    </row>
    <row r="18085" spans="5:9" ht="16.5" hidden="1">
      <c r="E18085" s="4" t="str">
        <v/>
      </c>
      <c r="F18085" s="102" t="str">
        <f ca="1">IFERROR(__xludf.DUMMYFUNCTION("IMPORTRANGE(H18085,""IDENTITAS UNIT!D9"")"),"#N/A")</f>
        <v>#N/A</v>
      </c>
      <c r="H18085" s="4" t="str">
        <v/>
      </c>
      <c r="I18085" s="4" t="str">
        <v/>
      </c>
    </row>
    <row r="18086" spans="5:9" ht="16.5" hidden="1">
      <c r="E18086" s="4" t="str">
        <v/>
      </c>
      <c r="F18086" s="102" t="str">
        <f ca="1">IFERROR(__xludf.DUMMYFUNCTION("IMPORTRANGE(H18086,""IDENTITAS UNIT!D9"")"),"#N/A")</f>
        <v>#N/A</v>
      </c>
      <c r="H18086" s="4" t="str">
        <v/>
      </c>
      <c r="I18086" s="4" t="str">
        <v/>
      </c>
    </row>
    <row r="18087" spans="5:9" ht="16.5" hidden="1">
      <c r="E18087" s="4" t="str">
        <v/>
      </c>
      <c r="F18087" s="102" t="str">
        <f ca="1">IFERROR(__xludf.DUMMYFUNCTION("IMPORTRANGE(H18087,""IDENTITAS UNIT!D9"")"),"#N/A")</f>
        <v>#N/A</v>
      </c>
      <c r="H18087" s="4" t="str">
        <v/>
      </c>
      <c r="I18087" s="4" t="str">
        <v/>
      </c>
    </row>
    <row r="18088" spans="5:9" ht="16.5" hidden="1">
      <c r="E18088" s="4" t="str">
        <v/>
      </c>
      <c r="F18088" s="102" t="str">
        <f ca="1">IFERROR(__xludf.DUMMYFUNCTION("IMPORTRANGE(H18088,""IDENTITAS UNIT!D9"")"),"#N/A")</f>
        <v>#N/A</v>
      </c>
      <c r="H18088" s="4" t="str">
        <v/>
      </c>
      <c r="I18088" s="4" t="str">
        <v/>
      </c>
    </row>
    <row r="18089" spans="5:9" ht="16.5" hidden="1">
      <c r="E18089" s="4" t="str">
        <v/>
      </c>
      <c r="F18089" s="102" t="str">
        <f ca="1">IFERROR(__xludf.DUMMYFUNCTION("IMPORTRANGE(H18089,""IDENTITAS UNIT!D9"")"),"#N/A")</f>
        <v>#N/A</v>
      </c>
      <c r="H18089" s="4" t="str">
        <v/>
      </c>
      <c r="I18089" s="4" t="str">
        <v/>
      </c>
    </row>
    <row r="18090" spans="5:9" ht="16.5" hidden="1">
      <c r="E18090" s="4" t="str">
        <v/>
      </c>
      <c r="F18090" s="102" t="str">
        <f ca="1">IFERROR(__xludf.DUMMYFUNCTION("IMPORTRANGE(H18090,""IDENTITAS UNIT!D9"")"),"#N/A")</f>
        <v>#N/A</v>
      </c>
      <c r="H18090" s="4" t="str">
        <v/>
      </c>
      <c r="I18090" s="4" t="str">
        <v/>
      </c>
    </row>
    <row r="18091" spans="5:9" ht="16.5" hidden="1">
      <c r="E18091" s="4" t="str">
        <v/>
      </c>
      <c r="F18091" s="102" t="str">
        <f ca="1">IFERROR(__xludf.DUMMYFUNCTION("IMPORTRANGE(H18091,""IDENTITAS UNIT!D9"")"),"#N/A")</f>
        <v>#N/A</v>
      </c>
      <c r="H18091" s="4" t="str">
        <v/>
      </c>
      <c r="I18091" s="4" t="str">
        <v/>
      </c>
    </row>
    <row r="18092" spans="5:9" ht="16.5" hidden="1">
      <c r="E18092" s="4" t="str">
        <v/>
      </c>
      <c r="F18092" s="102" t="str">
        <f ca="1">IFERROR(__xludf.DUMMYFUNCTION("IMPORTRANGE(H18092,""IDENTITAS UNIT!D9"")"),"#N/A")</f>
        <v>#N/A</v>
      </c>
      <c r="H18092" s="4" t="str">
        <v/>
      </c>
      <c r="I18092" s="4" t="str">
        <v/>
      </c>
    </row>
    <row r="18093" spans="5:9" ht="16.5" hidden="1">
      <c r="E18093" s="4" t="str">
        <v/>
      </c>
      <c r="F18093" s="102" t="str">
        <f ca="1">IFERROR(__xludf.DUMMYFUNCTION("IMPORTRANGE(H18093,""IDENTITAS UNIT!D9"")"),"#N/A")</f>
        <v>#N/A</v>
      </c>
      <c r="H18093" s="4" t="str">
        <v/>
      </c>
      <c r="I18093" s="4" t="str">
        <v/>
      </c>
    </row>
    <row r="18094" spans="5:9" ht="16.5" hidden="1">
      <c r="E18094" s="4" t="str">
        <v/>
      </c>
      <c r="F18094" s="102" t="str">
        <f ca="1">IFERROR(__xludf.DUMMYFUNCTION("IMPORTRANGE(H18094,""IDENTITAS UNIT!D9"")"),"#N/A")</f>
        <v>#N/A</v>
      </c>
      <c r="H18094" s="4" t="str">
        <v/>
      </c>
      <c r="I18094" s="4" t="str">
        <v/>
      </c>
    </row>
    <row r="18095" spans="5:9" ht="16.5" hidden="1">
      <c r="E18095" s="4" t="str">
        <v/>
      </c>
      <c r="F18095" s="102" t="str">
        <f ca="1">IFERROR(__xludf.DUMMYFUNCTION("IMPORTRANGE(H18095,""IDENTITAS UNIT!D9"")"),"#N/A")</f>
        <v>#N/A</v>
      </c>
      <c r="H18095" s="4" t="str">
        <v/>
      </c>
      <c r="I18095" s="4" t="str">
        <v/>
      </c>
    </row>
    <row r="18096" spans="5:9" ht="16.5" hidden="1">
      <c r="E18096" s="4" t="str">
        <v/>
      </c>
      <c r="F18096" s="102" t="str">
        <f ca="1">IFERROR(__xludf.DUMMYFUNCTION("IMPORTRANGE(H18096,""IDENTITAS UNIT!D9"")"),"#N/A")</f>
        <v>#N/A</v>
      </c>
      <c r="H18096" s="4" t="str">
        <v/>
      </c>
      <c r="I18096" s="4" t="str">
        <v/>
      </c>
    </row>
    <row r="18097" spans="5:9" ht="16.5" hidden="1">
      <c r="E18097" s="4" t="str">
        <v/>
      </c>
      <c r="F18097" s="102" t="str">
        <f ca="1">IFERROR(__xludf.DUMMYFUNCTION("IMPORTRANGE(H18097,""IDENTITAS UNIT!D9"")"),"#N/A")</f>
        <v>#N/A</v>
      </c>
      <c r="H18097" s="4" t="str">
        <v/>
      </c>
      <c r="I18097" s="4" t="str">
        <v/>
      </c>
    </row>
    <row r="18098" spans="5:9" ht="16.5" hidden="1">
      <c r="E18098" s="4" t="str">
        <v/>
      </c>
      <c r="F18098" s="102" t="str">
        <f ca="1">IFERROR(__xludf.DUMMYFUNCTION("IMPORTRANGE(H18098,""IDENTITAS UNIT!D9"")"),"#N/A")</f>
        <v>#N/A</v>
      </c>
      <c r="H18098" s="4" t="str">
        <v/>
      </c>
      <c r="I18098" s="4" t="str">
        <v/>
      </c>
    </row>
    <row r="18099" spans="5:9" ht="16.5" hidden="1">
      <c r="E18099" s="4" t="str">
        <v/>
      </c>
      <c r="F18099" s="102" t="str">
        <f ca="1">IFERROR(__xludf.DUMMYFUNCTION("IMPORTRANGE(H18099,""IDENTITAS UNIT!D9"")"),"#N/A")</f>
        <v>#N/A</v>
      </c>
      <c r="H18099" s="4" t="str">
        <v/>
      </c>
      <c r="I18099" s="4" t="str">
        <v/>
      </c>
    </row>
    <row r="18100" spans="5:9" ht="16.5" hidden="1">
      <c r="E18100" s="4" t="str">
        <v/>
      </c>
      <c r="F18100" s="102" t="str">
        <f ca="1">IFERROR(__xludf.DUMMYFUNCTION("IMPORTRANGE(H18100,""IDENTITAS UNIT!D9"")"),"#N/A")</f>
        <v>#N/A</v>
      </c>
      <c r="H18100" s="4" t="str">
        <v/>
      </c>
      <c r="I18100" s="4" t="str">
        <v/>
      </c>
    </row>
    <row r="18101" spans="5:9" ht="16.5" hidden="1">
      <c r="E18101" s="4" t="str">
        <v/>
      </c>
      <c r="F18101" s="102" t="str">
        <f ca="1">IFERROR(__xludf.DUMMYFUNCTION("IMPORTRANGE(H18101,""IDENTITAS UNIT!D9"")"),"#N/A")</f>
        <v>#N/A</v>
      </c>
      <c r="H18101" s="4" t="str">
        <v/>
      </c>
      <c r="I18101" s="4" t="str">
        <v/>
      </c>
    </row>
    <row r="18102" spans="5:9" ht="16.5" hidden="1">
      <c r="E18102" s="4" t="str">
        <v/>
      </c>
      <c r="F18102" s="102" t="str">
        <f ca="1">IFERROR(__xludf.DUMMYFUNCTION("IMPORTRANGE(H18102,""IDENTITAS UNIT!D9"")"),"#N/A")</f>
        <v>#N/A</v>
      </c>
      <c r="H18102" s="4" t="str">
        <v/>
      </c>
      <c r="I18102" s="4" t="str">
        <v/>
      </c>
    </row>
    <row r="18103" spans="5:9" ht="16.5" hidden="1">
      <c r="E18103" s="4" t="str">
        <v/>
      </c>
      <c r="F18103" s="102" t="str">
        <f ca="1">IFERROR(__xludf.DUMMYFUNCTION("IMPORTRANGE(H18103,""IDENTITAS UNIT!D9"")"),"#N/A")</f>
        <v>#N/A</v>
      </c>
      <c r="H18103" s="4" t="str">
        <v/>
      </c>
      <c r="I18103" s="4" t="str">
        <v/>
      </c>
    </row>
    <row r="18104" spans="5:9" ht="16.5" hidden="1">
      <c r="E18104" s="4" t="str">
        <v/>
      </c>
      <c r="F18104" s="102" t="str">
        <f ca="1">IFERROR(__xludf.DUMMYFUNCTION("IMPORTRANGE(H18104,""IDENTITAS UNIT!D9"")"),"#N/A")</f>
        <v>#N/A</v>
      </c>
      <c r="H18104" s="4" t="str">
        <v/>
      </c>
      <c r="I18104" s="4" t="str">
        <v/>
      </c>
    </row>
    <row r="18105" spans="5:9" ht="16.5" hidden="1">
      <c r="E18105" s="4" t="str">
        <v/>
      </c>
      <c r="F18105" s="102" t="str">
        <f ca="1">IFERROR(__xludf.DUMMYFUNCTION("IMPORTRANGE(H18105,""IDENTITAS UNIT!D9"")"),"#N/A")</f>
        <v>#N/A</v>
      </c>
      <c r="H18105" s="4" t="str">
        <v/>
      </c>
      <c r="I18105" s="4" t="str">
        <v/>
      </c>
    </row>
    <row r="18106" spans="5:9" ht="16.5" hidden="1">
      <c r="E18106" s="4" t="str">
        <v/>
      </c>
      <c r="F18106" s="102" t="str">
        <f ca="1">IFERROR(__xludf.DUMMYFUNCTION("IMPORTRANGE(H18106,""IDENTITAS UNIT!D9"")"),"#N/A")</f>
        <v>#N/A</v>
      </c>
      <c r="H18106" s="4" t="str">
        <v/>
      </c>
      <c r="I18106" s="4" t="str">
        <v/>
      </c>
    </row>
    <row r="18107" spans="5:9" ht="16.5" hidden="1">
      <c r="E18107" s="4" t="str">
        <v/>
      </c>
      <c r="F18107" s="102" t="str">
        <f ca="1">IFERROR(__xludf.DUMMYFUNCTION("IMPORTRANGE(H18107,""IDENTITAS UNIT!D9"")"),"#N/A")</f>
        <v>#N/A</v>
      </c>
      <c r="H18107" s="4" t="str">
        <v/>
      </c>
      <c r="I18107" s="4" t="str">
        <v/>
      </c>
    </row>
    <row r="18108" spans="5:9" ht="16.5" hidden="1">
      <c r="E18108" s="4" t="str">
        <v/>
      </c>
      <c r="F18108" s="102" t="str">
        <f ca="1">IFERROR(__xludf.DUMMYFUNCTION("IMPORTRANGE(H18108,""IDENTITAS UNIT!D9"")"),"#N/A")</f>
        <v>#N/A</v>
      </c>
      <c r="H18108" s="4" t="str">
        <v/>
      </c>
      <c r="I18108" s="4" t="str">
        <v/>
      </c>
    </row>
    <row r="18109" spans="5:9" ht="16.5" hidden="1">
      <c r="E18109" s="4" t="str">
        <v/>
      </c>
      <c r="F18109" s="102" t="str">
        <f ca="1">IFERROR(__xludf.DUMMYFUNCTION("IMPORTRANGE(H18109,""IDENTITAS UNIT!D9"")"),"#N/A")</f>
        <v>#N/A</v>
      </c>
      <c r="H18109" s="4" t="str">
        <v/>
      </c>
      <c r="I18109" s="4" t="str">
        <v/>
      </c>
    </row>
    <row r="18110" spans="5:9" ht="16.5" hidden="1">
      <c r="E18110" s="4" t="str">
        <v/>
      </c>
      <c r="F18110" s="102" t="str">
        <f ca="1">IFERROR(__xludf.DUMMYFUNCTION("IMPORTRANGE(H18110,""IDENTITAS UNIT!D9"")"),"#N/A")</f>
        <v>#N/A</v>
      </c>
      <c r="H18110" s="4" t="str">
        <v/>
      </c>
      <c r="I18110" s="4" t="str">
        <v/>
      </c>
    </row>
    <row r="18111" spans="5:9" ht="16.5" hidden="1">
      <c r="E18111" s="4" t="str">
        <v/>
      </c>
      <c r="F18111" s="102" t="str">
        <f ca="1">IFERROR(__xludf.DUMMYFUNCTION("IMPORTRANGE(H18111,""IDENTITAS UNIT!D9"")"),"#N/A")</f>
        <v>#N/A</v>
      </c>
      <c r="H18111" s="4" t="str">
        <v/>
      </c>
      <c r="I18111" s="4" t="str">
        <v/>
      </c>
    </row>
    <row r="18112" spans="5:9" ht="16.5" hidden="1">
      <c r="E18112" s="4" t="str">
        <v/>
      </c>
      <c r="F18112" s="102" t="str">
        <f ca="1">IFERROR(__xludf.DUMMYFUNCTION("IMPORTRANGE(H18112,""IDENTITAS UNIT!D9"")"),"#N/A")</f>
        <v>#N/A</v>
      </c>
      <c r="H18112" s="4" t="str">
        <v/>
      </c>
      <c r="I18112" s="4" t="str">
        <v/>
      </c>
    </row>
    <row r="18113" spans="5:9" ht="16.5" hidden="1">
      <c r="E18113" s="4" t="str">
        <v/>
      </c>
      <c r="F18113" s="102" t="str">
        <f ca="1">IFERROR(__xludf.DUMMYFUNCTION("IMPORTRANGE(H18113,""IDENTITAS UNIT!D9"")"),"#N/A")</f>
        <v>#N/A</v>
      </c>
      <c r="H18113" s="4" t="str">
        <v/>
      </c>
      <c r="I18113" s="4" t="str">
        <v/>
      </c>
    </row>
    <row r="18114" spans="5:9" ht="16.5" hidden="1">
      <c r="E18114" s="4" t="str">
        <v/>
      </c>
      <c r="F18114" s="102" t="str">
        <f ca="1">IFERROR(__xludf.DUMMYFUNCTION("IMPORTRANGE(H18114,""IDENTITAS UNIT!D9"")"),"#N/A")</f>
        <v>#N/A</v>
      </c>
      <c r="H18114" s="4" t="str">
        <v/>
      </c>
      <c r="I18114" s="4" t="str">
        <v/>
      </c>
    </row>
    <row r="18115" spans="5:9" ht="16.5" hidden="1">
      <c r="E18115" s="4" t="str">
        <v/>
      </c>
      <c r="F18115" s="102" t="str">
        <f ca="1">IFERROR(__xludf.DUMMYFUNCTION("IMPORTRANGE(H18115,""IDENTITAS UNIT!D9"")"),"#N/A")</f>
        <v>#N/A</v>
      </c>
      <c r="H18115" s="4" t="str">
        <v/>
      </c>
      <c r="I18115" s="4" t="str">
        <v/>
      </c>
    </row>
    <row r="18116" spans="5:9" ht="16.5" hidden="1">
      <c r="E18116" s="4" t="str">
        <v/>
      </c>
      <c r="F18116" s="102" t="str">
        <f ca="1">IFERROR(__xludf.DUMMYFUNCTION("IMPORTRANGE(H18116,""IDENTITAS UNIT!D9"")"),"#N/A")</f>
        <v>#N/A</v>
      </c>
      <c r="H18116" s="4" t="str">
        <v/>
      </c>
      <c r="I18116" s="4" t="str">
        <v/>
      </c>
    </row>
    <row r="18117" spans="5:9" ht="16.5" hidden="1">
      <c r="E18117" s="4" t="str">
        <v/>
      </c>
      <c r="F18117" s="102" t="str">
        <f ca="1">IFERROR(__xludf.DUMMYFUNCTION("IMPORTRANGE(H18117,""IDENTITAS UNIT!D9"")"),"#N/A")</f>
        <v>#N/A</v>
      </c>
      <c r="H18117" s="4" t="str">
        <v/>
      </c>
      <c r="I18117" s="4" t="str">
        <v/>
      </c>
    </row>
    <row r="18118" spans="5:9" ht="16.5" hidden="1">
      <c r="E18118" s="4" t="str">
        <v/>
      </c>
      <c r="F18118" s="102" t="str">
        <f ca="1">IFERROR(__xludf.DUMMYFUNCTION("IMPORTRANGE(H18118,""IDENTITAS UNIT!D9"")"),"#N/A")</f>
        <v>#N/A</v>
      </c>
      <c r="H18118" s="4" t="str">
        <v/>
      </c>
      <c r="I18118" s="4" t="str">
        <v/>
      </c>
    </row>
    <row r="18119" spans="5:9" ht="16.5" hidden="1">
      <c r="E18119" s="4" t="str">
        <v/>
      </c>
      <c r="F18119" s="102" t="str">
        <f ca="1">IFERROR(__xludf.DUMMYFUNCTION("IMPORTRANGE(H18119,""IDENTITAS UNIT!D9"")"),"#N/A")</f>
        <v>#N/A</v>
      </c>
      <c r="H18119" s="4" t="str">
        <v/>
      </c>
      <c r="I18119" s="4" t="str">
        <v/>
      </c>
    </row>
    <row r="18120" spans="5:9" ht="16.5" hidden="1">
      <c r="E18120" s="4" t="str">
        <v/>
      </c>
      <c r="F18120" s="102" t="str">
        <f ca="1">IFERROR(__xludf.DUMMYFUNCTION("IMPORTRANGE(H18120,""IDENTITAS UNIT!D9"")"),"#N/A")</f>
        <v>#N/A</v>
      </c>
      <c r="H18120" s="4" t="str">
        <v/>
      </c>
      <c r="I18120" s="4" t="str">
        <v/>
      </c>
    </row>
    <row r="18121" spans="5:9" ht="16.5" hidden="1">
      <c r="E18121" s="4" t="str">
        <v/>
      </c>
      <c r="F18121" s="102" t="str">
        <f ca="1">IFERROR(__xludf.DUMMYFUNCTION("IMPORTRANGE(H18121,""IDENTITAS UNIT!D9"")"),"#N/A")</f>
        <v>#N/A</v>
      </c>
      <c r="H18121" s="4" t="str">
        <v/>
      </c>
      <c r="I18121" s="4" t="str">
        <v/>
      </c>
    </row>
    <row r="18122" spans="5:9" ht="16.5" hidden="1">
      <c r="E18122" s="4" t="str">
        <v/>
      </c>
      <c r="F18122" s="102" t="str">
        <f ca="1">IFERROR(__xludf.DUMMYFUNCTION("IMPORTRANGE(H18122,""IDENTITAS UNIT!D9"")"),"#N/A")</f>
        <v>#N/A</v>
      </c>
      <c r="H18122" s="4" t="str">
        <v/>
      </c>
      <c r="I18122" s="4" t="str">
        <v/>
      </c>
    </row>
    <row r="18123" spans="5:9" ht="16.5" hidden="1">
      <c r="E18123" s="4" t="str">
        <v/>
      </c>
      <c r="F18123" s="102" t="str">
        <f ca="1">IFERROR(__xludf.DUMMYFUNCTION("IMPORTRANGE(H18123,""IDENTITAS UNIT!D9"")"),"#N/A")</f>
        <v>#N/A</v>
      </c>
      <c r="H18123" s="4" t="str">
        <v/>
      </c>
      <c r="I18123" s="4" t="str">
        <v/>
      </c>
    </row>
    <row r="18124" spans="5:9" ht="16.5" hidden="1">
      <c r="E18124" s="4" t="str">
        <v/>
      </c>
      <c r="F18124" s="102" t="str">
        <f ca="1">IFERROR(__xludf.DUMMYFUNCTION("IMPORTRANGE(H18124,""IDENTITAS UNIT!D9"")"),"#N/A")</f>
        <v>#N/A</v>
      </c>
      <c r="H18124" s="4" t="str">
        <v/>
      </c>
      <c r="I18124" s="4" t="str">
        <v/>
      </c>
    </row>
    <row r="18125" spans="5:9" ht="16.5" hidden="1">
      <c r="E18125" s="4" t="str">
        <v/>
      </c>
      <c r="F18125" s="102" t="str">
        <f ca="1">IFERROR(__xludf.DUMMYFUNCTION("IMPORTRANGE(H18125,""IDENTITAS UNIT!D9"")"),"#N/A")</f>
        <v>#N/A</v>
      </c>
      <c r="H18125" s="4" t="str">
        <v/>
      </c>
      <c r="I18125" s="4" t="str">
        <v/>
      </c>
    </row>
    <row r="18126" spans="5:9" ht="16.5" hidden="1">
      <c r="E18126" s="4" t="str">
        <v/>
      </c>
      <c r="F18126" s="102" t="str">
        <f ca="1">IFERROR(__xludf.DUMMYFUNCTION("IMPORTRANGE(H18126,""IDENTITAS UNIT!D9"")"),"#N/A")</f>
        <v>#N/A</v>
      </c>
      <c r="H18126" s="4" t="str">
        <v/>
      </c>
      <c r="I18126" s="4" t="str">
        <v/>
      </c>
    </row>
    <row r="18127" spans="5:9" ht="16.5" hidden="1">
      <c r="E18127" s="4" t="str">
        <v/>
      </c>
      <c r="F18127" s="102" t="str">
        <f ca="1">IFERROR(__xludf.DUMMYFUNCTION("IMPORTRANGE(H18127,""IDENTITAS UNIT!D9"")"),"#N/A")</f>
        <v>#N/A</v>
      </c>
      <c r="H18127" s="4" t="str">
        <v/>
      </c>
      <c r="I18127" s="4" t="str">
        <v/>
      </c>
    </row>
    <row r="18128" spans="5:9" ht="16.5" hidden="1">
      <c r="E18128" s="4" t="str">
        <v/>
      </c>
      <c r="F18128" s="102" t="str">
        <f ca="1">IFERROR(__xludf.DUMMYFUNCTION("IMPORTRANGE(H18128,""IDENTITAS UNIT!D9"")"),"#N/A")</f>
        <v>#N/A</v>
      </c>
      <c r="H18128" s="4" t="str">
        <v/>
      </c>
      <c r="I18128" s="4" t="str">
        <v/>
      </c>
    </row>
    <row r="18129" spans="5:9" ht="16.5" hidden="1">
      <c r="E18129" s="4" t="str">
        <v/>
      </c>
      <c r="F18129" s="102" t="str">
        <f ca="1">IFERROR(__xludf.DUMMYFUNCTION("IMPORTRANGE(H18129,""IDENTITAS UNIT!D9"")"),"#N/A")</f>
        <v>#N/A</v>
      </c>
      <c r="H18129" s="4" t="str">
        <v/>
      </c>
      <c r="I18129" s="4" t="str">
        <v/>
      </c>
    </row>
    <row r="18130" spans="5:9" ht="16.5" hidden="1">
      <c r="E18130" s="4" t="str">
        <v/>
      </c>
      <c r="F18130" s="102" t="str">
        <f ca="1">IFERROR(__xludf.DUMMYFUNCTION("IMPORTRANGE(H18130,""IDENTITAS UNIT!D9"")"),"#N/A")</f>
        <v>#N/A</v>
      </c>
      <c r="H18130" s="4" t="str">
        <v/>
      </c>
      <c r="I18130" s="4" t="str">
        <v/>
      </c>
    </row>
    <row r="18131" spans="5:9" ht="16.5" hidden="1">
      <c r="E18131" s="4" t="str">
        <v/>
      </c>
      <c r="F18131" s="102" t="str">
        <f ca="1">IFERROR(__xludf.DUMMYFUNCTION("IMPORTRANGE(H18131,""IDENTITAS UNIT!D9"")"),"#N/A")</f>
        <v>#N/A</v>
      </c>
      <c r="H18131" s="4" t="str">
        <v/>
      </c>
      <c r="I18131" s="4" t="str">
        <v/>
      </c>
    </row>
    <row r="18132" spans="5:9" ht="16.5" hidden="1">
      <c r="E18132" s="4" t="str">
        <v/>
      </c>
      <c r="F18132" s="102" t="str">
        <f ca="1">IFERROR(__xludf.DUMMYFUNCTION("IMPORTRANGE(H18132,""IDENTITAS UNIT!D9"")"),"#N/A")</f>
        <v>#N/A</v>
      </c>
      <c r="H18132" s="4" t="str">
        <v/>
      </c>
      <c r="I18132" s="4" t="str">
        <v/>
      </c>
    </row>
    <row r="18133" spans="5:9" ht="16.5" hidden="1">
      <c r="E18133" s="4" t="str">
        <v/>
      </c>
      <c r="F18133" s="102" t="str">
        <f ca="1">IFERROR(__xludf.DUMMYFUNCTION("IMPORTRANGE(H18133,""IDENTITAS UNIT!D9"")"),"#N/A")</f>
        <v>#N/A</v>
      </c>
      <c r="H18133" s="4" t="str">
        <v/>
      </c>
      <c r="I18133" s="4" t="str">
        <v/>
      </c>
    </row>
    <row r="18134" spans="5:9" ht="16.5" hidden="1">
      <c r="E18134" s="4" t="str">
        <v/>
      </c>
      <c r="F18134" s="102" t="str">
        <f ca="1">IFERROR(__xludf.DUMMYFUNCTION("IMPORTRANGE(H18134,""IDENTITAS UNIT!D9"")"),"#N/A")</f>
        <v>#N/A</v>
      </c>
      <c r="H18134" s="4" t="str">
        <v/>
      </c>
      <c r="I18134" s="4" t="str">
        <v/>
      </c>
    </row>
    <row r="18135" spans="5:9" ht="16.5" hidden="1">
      <c r="E18135" s="4" t="str">
        <v/>
      </c>
      <c r="F18135" s="102" t="str">
        <f ca="1">IFERROR(__xludf.DUMMYFUNCTION("IMPORTRANGE(H18135,""IDENTITAS UNIT!D9"")"),"#N/A")</f>
        <v>#N/A</v>
      </c>
      <c r="H18135" s="4" t="str">
        <v/>
      </c>
      <c r="I18135" s="4" t="str">
        <v/>
      </c>
    </row>
    <row r="18136" spans="5:9" ht="16.5" hidden="1">
      <c r="E18136" s="4" t="str">
        <v/>
      </c>
      <c r="F18136" s="102" t="str">
        <f ca="1">IFERROR(__xludf.DUMMYFUNCTION("IMPORTRANGE(H18136,""IDENTITAS UNIT!D9"")"),"#N/A")</f>
        <v>#N/A</v>
      </c>
      <c r="H18136" s="4" t="str">
        <v/>
      </c>
      <c r="I18136" s="4" t="str">
        <v/>
      </c>
    </row>
    <row r="18137" spans="5:9" ht="16.5" hidden="1">
      <c r="E18137" s="4" t="str">
        <v/>
      </c>
      <c r="F18137" s="102" t="str">
        <f ca="1">IFERROR(__xludf.DUMMYFUNCTION("IMPORTRANGE(H18137,""IDENTITAS UNIT!D9"")"),"#N/A")</f>
        <v>#N/A</v>
      </c>
      <c r="H18137" s="4" t="str">
        <v/>
      </c>
      <c r="I18137" s="4" t="str">
        <v/>
      </c>
    </row>
    <row r="18138" spans="5:9" ht="16.5" hidden="1">
      <c r="E18138" s="4" t="str">
        <v/>
      </c>
      <c r="F18138" s="102" t="str">
        <f ca="1">IFERROR(__xludf.DUMMYFUNCTION("IMPORTRANGE(H18138,""IDENTITAS UNIT!D9"")"),"#N/A")</f>
        <v>#N/A</v>
      </c>
      <c r="H18138" s="4" t="str">
        <v/>
      </c>
      <c r="I18138" s="4" t="str">
        <v/>
      </c>
    </row>
    <row r="18139" spans="5:9" ht="16.5" hidden="1">
      <c r="E18139" s="4" t="str">
        <v/>
      </c>
      <c r="F18139" s="102" t="str">
        <f ca="1">IFERROR(__xludf.DUMMYFUNCTION("IMPORTRANGE(H18139,""IDENTITAS UNIT!D9"")"),"#N/A")</f>
        <v>#N/A</v>
      </c>
      <c r="H18139" s="4" t="str">
        <v/>
      </c>
      <c r="I18139" s="4" t="str">
        <v/>
      </c>
    </row>
    <row r="18140" spans="5:9" ht="16.5" hidden="1">
      <c r="E18140" s="4" t="str">
        <v/>
      </c>
      <c r="F18140" s="102" t="str">
        <f ca="1">IFERROR(__xludf.DUMMYFUNCTION("IMPORTRANGE(H18140,""IDENTITAS UNIT!D9"")"),"#N/A")</f>
        <v>#N/A</v>
      </c>
      <c r="H18140" s="4" t="str">
        <v/>
      </c>
      <c r="I18140" s="4" t="str">
        <v/>
      </c>
    </row>
    <row r="18141" spans="5:9" ht="16.5" hidden="1">
      <c r="E18141" s="4" t="str">
        <v/>
      </c>
      <c r="F18141" s="102" t="str">
        <f ca="1">IFERROR(__xludf.DUMMYFUNCTION("IMPORTRANGE(H18141,""IDENTITAS UNIT!D9"")"),"#N/A")</f>
        <v>#N/A</v>
      </c>
      <c r="H18141" s="4" t="str">
        <v/>
      </c>
      <c r="I18141" s="4" t="str">
        <v/>
      </c>
    </row>
    <row r="18142" spans="5:9" ht="16.5" hidden="1">
      <c r="E18142" s="4" t="str">
        <v/>
      </c>
      <c r="F18142" s="102" t="str">
        <f ca="1">IFERROR(__xludf.DUMMYFUNCTION("IMPORTRANGE(H18142,""IDENTITAS UNIT!D9"")"),"#N/A")</f>
        <v>#N/A</v>
      </c>
      <c r="H18142" s="4" t="str">
        <v/>
      </c>
      <c r="I18142" s="4" t="str">
        <v/>
      </c>
    </row>
    <row r="18143" spans="5:9" ht="16.5" hidden="1">
      <c r="E18143" s="4" t="str">
        <v/>
      </c>
      <c r="F18143" s="102" t="str">
        <f ca="1">IFERROR(__xludf.DUMMYFUNCTION("IMPORTRANGE(H18143,""IDENTITAS UNIT!D9"")"),"#N/A")</f>
        <v>#N/A</v>
      </c>
      <c r="H18143" s="4" t="str">
        <v/>
      </c>
      <c r="I18143" s="4" t="str">
        <v/>
      </c>
    </row>
    <row r="18144" spans="5:9" ht="16.5" hidden="1">
      <c r="E18144" s="4" t="str">
        <v/>
      </c>
      <c r="F18144" s="102" t="str">
        <f ca="1">IFERROR(__xludf.DUMMYFUNCTION("IMPORTRANGE(H18144,""IDENTITAS UNIT!D9"")"),"#N/A")</f>
        <v>#N/A</v>
      </c>
      <c r="H18144" s="4" t="str">
        <v/>
      </c>
      <c r="I18144" s="4" t="str">
        <v/>
      </c>
    </row>
    <row r="18145" spans="5:9" ht="16.5" hidden="1">
      <c r="E18145" s="4" t="str">
        <v/>
      </c>
      <c r="F18145" s="102" t="str">
        <f ca="1">IFERROR(__xludf.DUMMYFUNCTION("IMPORTRANGE(H18145,""IDENTITAS UNIT!D9"")"),"#N/A")</f>
        <v>#N/A</v>
      </c>
      <c r="H18145" s="4" t="str">
        <v/>
      </c>
      <c r="I18145" s="4" t="str">
        <v/>
      </c>
    </row>
    <row r="18146" spans="5:9" ht="16.5" hidden="1">
      <c r="E18146" s="4" t="str">
        <v/>
      </c>
      <c r="F18146" s="102" t="str">
        <f ca="1">IFERROR(__xludf.DUMMYFUNCTION("IMPORTRANGE(H18146,""IDENTITAS UNIT!D9"")"),"#N/A")</f>
        <v>#N/A</v>
      </c>
      <c r="H18146" s="4" t="str">
        <v/>
      </c>
      <c r="I18146" s="4" t="str">
        <v/>
      </c>
    </row>
    <row r="18147" spans="5:9" ht="16.5" hidden="1">
      <c r="E18147" s="4" t="str">
        <v/>
      </c>
      <c r="F18147" s="102" t="str">
        <f ca="1">IFERROR(__xludf.DUMMYFUNCTION("IMPORTRANGE(H18147,""IDENTITAS UNIT!D9"")"),"#N/A")</f>
        <v>#N/A</v>
      </c>
      <c r="H18147" s="4" t="str">
        <v/>
      </c>
      <c r="I18147" s="4" t="str">
        <v/>
      </c>
    </row>
    <row r="18148" spans="5:9" ht="16.5" hidden="1">
      <c r="E18148" s="4" t="str">
        <v/>
      </c>
      <c r="F18148" s="102" t="str">
        <f ca="1">IFERROR(__xludf.DUMMYFUNCTION("IMPORTRANGE(H18148,""IDENTITAS UNIT!D9"")"),"#N/A")</f>
        <v>#N/A</v>
      </c>
      <c r="H18148" s="4" t="str">
        <v/>
      </c>
      <c r="I18148" s="4" t="str">
        <v/>
      </c>
    </row>
    <row r="18149" spans="5:9" ht="16.5" hidden="1">
      <c r="E18149" s="4" t="str">
        <v/>
      </c>
      <c r="F18149" s="102" t="str">
        <f ca="1">IFERROR(__xludf.DUMMYFUNCTION("IMPORTRANGE(H18149,""IDENTITAS UNIT!D9"")"),"#N/A")</f>
        <v>#N/A</v>
      </c>
      <c r="H18149" s="4" t="str">
        <v/>
      </c>
      <c r="I18149" s="4" t="str">
        <v/>
      </c>
    </row>
    <row r="18150" spans="5:9" ht="16.5" hidden="1">
      <c r="E18150" s="4" t="str">
        <v/>
      </c>
      <c r="F18150" s="102" t="str">
        <f ca="1">IFERROR(__xludf.DUMMYFUNCTION("IMPORTRANGE(H18150,""IDENTITAS UNIT!D9"")"),"#N/A")</f>
        <v>#N/A</v>
      </c>
      <c r="H18150" s="4" t="str">
        <v/>
      </c>
      <c r="I18150" s="4" t="str">
        <v/>
      </c>
    </row>
    <row r="18151" spans="5:9" ht="16.5" hidden="1">
      <c r="E18151" s="4" t="str">
        <v/>
      </c>
      <c r="F18151" s="102" t="str">
        <f ca="1">IFERROR(__xludf.DUMMYFUNCTION("IMPORTRANGE(H18151,""IDENTITAS UNIT!D9"")"),"#N/A")</f>
        <v>#N/A</v>
      </c>
      <c r="H18151" s="4" t="str">
        <v/>
      </c>
      <c r="I18151" s="4" t="str">
        <v/>
      </c>
    </row>
    <row r="18152" spans="5:9" ht="16.5" hidden="1">
      <c r="E18152" s="4" t="str">
        <v/>
      </c>
      <c r="F18152" s="102" t="str">
        <f ca="1">IFERROR(__xludf.DUMMYFUNCTION("IMPORTRANGE(H18152,""IDENTITAS UNIT!D9"")"),"#N/A")</f>
        <v>#N/A</v>
      </c>
      <c r="H18152" s="4" t="str">
        <v/>
      </c>
      <c r="I18152" s="4" t="str">
        <v/>
      </c>
    </row>
    <row r="18153" spans="5:9" ht="16.5" hidden="1">
      <c r="E18153" s="4" t="str">
        <v/>
      </c>
      <c r="F18153" s="102" t="str">
        <f ca="1">IFERROR(__xludf.DUMMYFUNCTION("IMPORTRANGE(H18153,""IDENTITAS UNIT!D9"")"),"#N/A")</f>
        <v>#N/A</v>
      </c>
      <c r="H18153" s="4" t="str">
        <v/>
      </c>
      <c r="I18153" s="4" t="str">
        <v/>
      </c>
    </row>
    <row r="18154" spans="5:9" ht="16.5" hidden="1">
      <c r="E18154" s="4" t="str">
        <v/>
      </c>
      <c r="F18154" s="102" t="str">
        <f ca="1">IFERROR(__xludf.DUMMYFUNCTION("IMPORTRANGE(H18154,""IDENTITAS UNIT!D9"")"),"#N/A")</f>
        <v>#N/A</v>
      </c>
      <c r="H18154" s="4" t="str">
        <v/>
      </c>
      <c r="I18154" s="4" t="str">
        <v/>
      </c>
    </row>
    <row r="18155" spans="5:9" ht="16.5" hidden="1">
      <c r="E18155" s="4" t="str">
        <v/>
      </c>
      <c r="F18155" s="102" t="str">
        <f ca="1">IFERROR(__xludf.DUMMYFUNCTION("IMPORTRANGE(H18155,""IDENTITAS UNIT!D9"")"),"#N/A")</f>
        <v>#N/A</v>
      </c>
      <c r="H18155" s="4" t="str">
        <v/>
      </c>
      <c r="I18155" s="4" t="str">
        <v/>
      </c>
    </row>
    <row r="18156" spans="5:9" ht="16.5" hidden="1">
      <c r="E18156" s="4" t="str">
        <v/>
      </c>
      <c r="F18156" s="102" t="str">
        <f ca="1">IFERROR(__xludf.DUMMYFUNCTION("IMPORTRANGE(H18156,""IDENTITAS UNIT!D9"")"),"#N/A")</f>
        <v>#N/A</v>
      </c>
      <c r="H18156" s="4" t="str">
        <v/>
      </c>
      <c r="I18156" s="4" t="str">
        <v/>
      </c>
    </row>
    <row r="18157" spans="5:9" ht="16.5" hidden="1">
      <c r="E18157" s="4" t="str">
        <v/>
      </c>
      <c r="F18157" s="102" t="str">
        <f ca="1">IFERROR(__xludf.DUMMYFUNCTION("IMPORTRANGE(H18157,""IDENTITAS UNIT!D9"")"),"#N/A")</f>
        <v>#N/A</v>
      </c>
      <c r="H18157" s="4" t="str">
        <v/>
      </c>
      <c r="I18157" s="4" t="str">
        <v/>
      </c>
    </row>
    <row r="18158" spans="5:9" ht="16.5" hidden="1">
      <c r="E18158" s="4" t="str">
        <v/>
      </c>
      <c r="F18158" s="102" t="str">
        <f ca="1">IFERROR(__xludf.DUMMYFUNCTION("IMPORTRANGE(H18158,""IDENTITAS UNIT!D9"")"),"#N/A")</f>
        <v>#N/A</v>
      </c>
      <c r="H18158" s="4" t="str">
        <v/>
      </c>
      <c r="I18158" s="4" t="str">
        <v/>
      </c>
    </row>
    <row r="18159" spans="5:9" ht="16.5" hidden="1">
      <c r="E18159" s="4" t="str">
        <v/>
      </c>
      <c r="F18159" s="102" t="str">
        <f ca="1">IFERROR(__xludf.DUMMYFUNCTION("IMPORTRANGE(H18159,""IDENTITAS UNIT!D9"")"),"#N/A")</f>
        <v>#N/A</v>
      </c>
      <c r="H18159" s="4" t="str">
        <v/>
      </c>
      <c r="I18159" s="4" t="str">
        <v/>
      </c>
    </row>
    <row r="18160" spans="5:9" ht="16.5" hidden="1">
      <c r="E18160" s="4" t="str">
        <v/>
      </c>
      <c r="F18160" s="102" t="str">
        <f ca="1">IFERROR(__xludf.DUMMYFUNCTION("IMPORTRANGE(H18160,""IDENTITAS UNIT!D9"")"),"#N/A")</f>
        <v>#N/A</v>
      </c>
      <c r="H18160" s="4" t="str">
        <v/>
      </c>
      <c r="I18160" s="4" t="str">
        <v/>
      </c>
    </row>
    <row r="18161" spans="5:9" ht="16.5" hidden="1">
      <c r="E18161" s="4" t="str">
        <v/>
      </c>
      <c r="F18161" s="102" t="str">
        <f ca="1">IFERROR(__xludf.DUMMYFUNCTION("IMPORTRANGE(H18161,""IDENTITAS UNIT!D9"")"),"#N/A")</f>
        <v>#N/A</v>
      </c>
      <c r="H18161" s="4" t="str">
        <v/>
      </c>
      <c r="I18161" s="4" t="str">
        <v/>
      </c>
    </row>
    <row r="18162" spans="5:9" ht="16.5" hidden="1">
      <c r="E18162" s="4" t="str">
        <v/>
      </c>
      <c r="F18162" s="102" t="str">
        <f ca="1">IFERROR(__xludf.DUMMYFUNCTION("IMPORTRANGE(H18162,""IDENTITAS UNIT!D9"")"),"#N/A")</f>
        <v>#N/A</v>
      </c>
      <c r="H18162" s="4" t="str">
        <v/>
      </c>
      <c r="I18162" s="4" t="str">
        <v/>
      </c>
    </row>
    <row r="18163" spans="5:9" ht="16.5" hidden="1">
      <c r="E18163" s="4" t="str">
        <v/>
      </c>
      <c r="F18163" s="102" t="str">
        <f ca="1">IFERROR(__xludf.DUMMYFUNCTION("IMPORTRANGE(H18163,""IDENTITAS UNIT!D9"")"),"#N/A")</f>
        <v>#N/A</v>
      </c>
      <c r="H18163" s="4" t="str">
        <v/>
      </c>
      <c r="I18163" s="4" t="str">
        <v/>
      </c>
    </row>
    <row r="18164" spans="5:9" ht="16.5" hidden="1">
      <c r="E18164" s="4" t="str">
        <v/>
      </c>
      <c r="F18164" s="102" t="str">
        <f ca="1">IFERROR(__xludf.DUMMYFUNCTION("IMPORTRANGE(H18164,""IDENTITAS UNIT!D9"")"),"#N/A")</f>
        <v>#N/A</v>
      </c>
      <c r="H18164" s="4" t="str">
        <v/>
      </c>
      <c r="I18164" s="4" t="str">
        <v/>
      </c>
    </row>
    <row r="18165" spans="5:9" ht="16.5" hidden="1">
      <c r="E18165" s="4" t="str">
        <v/>
      </c>
      <c r="F18165" s="102" t="str">
        <f ca="1">IFERROR(__xludf.DUMMYFUNCTION("IMPORTRANGE(H18165,""IDENTITAS UNIT!D9"")"),"#N/A")</f>
        <v>#N/A</v>
      </c>
      <c r="H18165" s="4" t="str">
        <v/>
      </c>
      <c r="I18165" s="4" t="str">
        <v/>
      </c>
    </row>
    <row r="18166" spans="5:9" ht="16.5" hidden="1">
      <c r="E18166" s="4" t="str">
        <v/>
      </c>
      <c r="F18166" s="102" t="str">
        <f ca="1">IFERROR(__xludf.DUMMYFUNCTION("IMPORTRANGE(H18166,""IDENTITAS UNIT!D9"")"),"#N/A")</f>
        <v>#N/A</v>
      </c>
      <c r="H18166" s="4" t="str">
        <v/>
      </c>
      <c r="I18166" s="4" t="str">
        <v/>
      </c>
    </row>
    <row r="18167" spans="5:9" ht="16.5" hidden="1">
      <c r="E18167" s="4" t="str">
        <v/>
      </c>
      <c r="F18167" s="102" t="str">
        <f ca="1">IFERROR(__xludf.DUMMYFUNCTION("IMPORTRANGE(H18167,""IDENTITAS UNIT!D9"")"),"#N/A")</f>
        <v>#N/A</v>
      </c>
      <c r="H18167" s="4" t="str">
        <v/>
      </c>
      <c r="I18167" s="4" t="str">
        <v/>
      </c>
    </row>
    <row r="18168" spans="5:9" ht="16.5" hidden="1">
      <c r="E18168" s="4" t="str">
        <v/>
      </c>
      <c r="F18168" s="102" t="str">
        <f ca="1">IFERROR(__xludf.DUMMYFUNCTION("IMPORTRANGE(H18168,""IDENTITAS UNIT!D9"")"),"#N/A")</f>
        <v>#N/A</v>
      </c>
      <c r="H18168" s="4" t="str">
        <v/>
      </c>
      <c r="I18168" s="4" t="str">
        <v/>
      </c>
    </row>
    <row r="18169" spans="5:9" ht="16.5" hidden="1">
      <c r="E18169" s="4" t="str">
        <v/>
      </c>
      <c r="F18169" s="102" t="str">
        <f ca="1">IFERROR(__xludf.DUMMYFUNCTION("IMPORTRANGE(H18169,""IDENTITAS UNIT!D9"")"),"#N/A")</f>
        <v>#N/A</v>
      </c>
      <c r="H18169" s="4" t="str">
        <v/>
      </c>
      <c r="I18169" s="4" t="str">
        <v/>
      </c>
    </row>
    <row r="18170" spans="5:9" ht="16.5" hidden="1">
      <c r="E18170" s="4" t="str">
        <v/>
      </c>
      <c r="F18170" s="102" t="str">
        <f ca="1">IFERROR(__xludf.DUMMYFUNCTION("IMPORTRANGE(H18170,""IDENTITAS UNIT!D9"")"),"#N/A")</f>
        <v>#N/A</v>
      </c>
      <c r="H18170" s="4" t="str">
        <v/>
      </c>
      <c r="I18170" s="4" t="str">
        <v/>
      </c>
    </row>
    <row r="18171" spans="5:9" ht="16.5" hidden="1">
      <c r="E18171" s="4" t="str">
        <v/>
      </c>
      <c r="F18171" s="102" t="str">
        <f ca="1">IFERROR(__xludf.DUMMYFUNCTION("IMPORTRANGE(H18171,""IDENTITAS UNIT!D9"")"),"#N/A")</f>
        <v>#N/A</v>
      </c>
      <c r="H18171" s="4" t="str">
        <v/>
      </c>
      <c r="I18171" s="4" t="str">
        <v/>
      </c>
    </row>
    <row r="18172" spans="5:9" ht="16.5" hidden="1">
      <c r="E18172" s="4" t="str">
        <v/>
      </c>
      <c r="F18172" s="102" t="str">
        <f ca="1">IFERROR(__xludf.DUMMYFUNCTION("IMPORTRANGE(H18172,""IDENTITAS UNIT!D9"")"),"#N/A")</f>
        <v>#N/A</v>
      </c>
      <c r="H18172" s="4" t="str">
        <v/>
      </c>
      <c r="I18172" s="4" t="str">
        <v/>
      </c>
    </row>
    <row r="18173" spans="5:9" ht="16.5" hidden="1">
      <c r="E18173" s="4" t="str">
        <v/>
      </c>
      <c r="F18173" s="102" t="str">
        <f ca="1">IFERROR(__xludf.DUMMYFUNCTION("IMPORTRANGE(H18173,""IDENTITAS UNIT!D9"")"),"#N/A")</f>
        <v>#N/A</v>
      </c>
      <c r="H18173" s="4" t="str">
        <v/>
      </c>
      <c r="I18173" s="4" t="str">
        <v/>
      </c>
    </row>
    <row r="18174" spans="5:9" ht="16.5" hidden="1">
      <c r="E18174" s="4" t="str">
        <v/>
      </c>
      <c r="F18174" s="102" t="str">
        <f ca="1">IFERROR(__xludf.DUMMYFUNCTION("IMPORTRANGE(H18174,""IDENTITAS UNIT!D9"")"),"#N/A")</f>
        <v>#N/A</v>
      </c>
      <c r="H18174" s="4" t="str">
        <v/>
      </c>
      <c r="I18174" s="4" t="str">
        <v/>
      </c>
    </row>
    <row r="18175" spans="5:9" ht="16.5" hidden="1">
      <c r="E18175" s="4" t="str">
        <v/>
      </c>
      <c r="F18175" s="102" t="str">
        <f ca="1">IFERROR(__xludf.DUMMYFUNCTION("IMPORTRANGE(H18175,""IDENTITAS UNIT!D9"")"),"#N/A")</f>
        <v>#N/A</v>
      </c>
      <c r="H18175" s="4" t="str">
        <v/>
      </c>
      <c r="I18175" s="4" t="str">
        <v/>
      </c>
    </row>
    <row r="18176" spans="5:9" ht="16.5" hidden="1">
      <c r="E18176" s="4" t="str">
        <v/>
      </c>
      <c r="F18176" s="102" t="str">
        <f ca="1">IFERROR(__xludf.DUMMYFUNCTION("IMPORTRANGE(H18176,""IDENTITAS UNIT!D9"")"),"#N/A")</f>
        <v>#N/A</v>
      </c>
      <c r="H18176" s="4" t="str">
        <v/>
      </c>
      <c r="I18176" s="4" t="str">
        <v/>
      </c>
    </row>
    <row r="18177" spans="5:9" ht="16.5" hidden="1">
      <c r="E18177" s="4" t="str">
        <v/>
      </c>
      <c r="F18177" s="102" t="str">
        <f ca="1">IFERROR(__xludf.DUMMYFUNCTION("IMPORTRANGE(H18177,""IDENTITAS UNIT!D9"")"),"#N/A")</f>
        <v>#N/A</v>
      </c>
      <c r="H18177" s="4" t="str">
        <v/>
      </c>
      <c r="I18177" s="4" t="str">
        <v/>
      </c>
    </row>
    <row r="18178" spans="5:9" ht="16.5" hidden="1">
      <c r="E18178" s="4" t="str">
        <v/>
      </c>
      <c r="F18178" s="102" t="str">
        <f ca="1">IFERROR(__xludf.DUMMYFUNCTION("IMPORTRANGE(H18178,""IDENTITAS UNIT!D9"")"),"#N/A")</f>
        <v>#N/A</v>
      </c>
      <c r="H18178" s="4" t="str">
        <v/>
      </c>
      <c r="I18178" s="4" t="str">
        <v/>
      </c>
    </row>
    <row r="18179" spans="5:9" ht="16.5" hidden="1">
      <c r="E18179" s="4" t="str">
        <v/>
      </c>
      <c r="F18179" s="102" t="str">
        <f ca="1">IFERROR(__xludf.DUMMYFUNCTION("IMPORTRANGE(H18179,""IDENTITAS UNIT!D9"")"),"#N/A")</f>
        <v>#N/A</v>
      </c>
      <c r="H18179" s="4" t="str">
        <v/>
      </c>
      <c r="I18179" s="4" t="str">
        <v/>
      </c>
    </row>
    <row r="18180" spans="5:9" ht="16.5" hidden="1">
      <c r="E18180" s="4" t="str">
        <v/>
      </c>
      <c r="F18180" s="102" t="str">
        <f ca="1">IFERROR(__xludf.DUMMYFUNCTION("IMPORTRANGE(H18180,""IDENTITAS UNIT!D9"")"),"#N/A")</f>
        <v>#N/A</v>
      </c>
      <c r="H18180" s="4" t="str">
        <v/>
      </c>
      <c r="I18180" s="4" t="str">
        <v/>
      </c>
    </row>
    <row r="18181" spans="5:9" ht="16.5" hidden="1">
      <c r="E18181" s="4" t="str">
        <v/>
      </c>
      <c r="F18181" s="102" t="str">
        <f ca="1">IFERROR(__xludf.DUMMYFUNCTION("IMPORTRANGE(H18181,""IDENTITAS UNIT!D9"")"),"#N/A")</f>
        <v>#N/A</v>
      </c>
      <c r="H18181" s="4" t="str">
        <v/>
      </c>
      <c r="I18181" s="4" t="str">
        <v/>
      </c>
    </row>
    <row r="18182" spans="5:9" ht="16.5" hidden="1">
      <c r="E18182" s="4" t="str">
        <v/>
      </c>
      <c r="F18182" s="102" t="str">
        <f ca="1">IFERROR(__xludf.DUMMYFUNCTION("IMPORTRANGE(H18182,""IDENTITAS UNIT!D9"")"),"#N/A")</f>
        <v>#N/A</v>
      </c>
      <c r="H18182" s="4" t="str">
        <v/>
      </c>
      <c r="I18182" s="4" t="str">
        <v/>
      </c>
    </row>
    <row r="18183" spans="5:9" ht="16.5" hidden="1">
      <c r="E18183" s="4" t="str">
        <v/>
      </c>
      <c r="F18183" s="102" t="str">
        <f ca="1">IFERROR(__xludf.DUMMYFUNCTION("IMPORTRANGE(H18183,""IDENTITAS UNIT!D9"")"),"#N/A")</f>
        <v>#N/A</v>
      </c>
      <c r="H18183" s="4" t="str">
        <v/>
      </c>
      <c r="I18183" s="4" t="str">
        <v/>
      </c>
    </row>
    <row r="18184" spans="5:9" ht="16.5" hidden="1">
      <c r="E18184" s="4" t="str">
        <v/>
      </c>
      <c r="F18184" s="102" t="str">
        <f ca="1">IFERROR(__xludf.DUMMYFUNCTION("IMPORTRANGE(H18184,""IDENTITAS UNIT!D9"")"),"#N/A")</f>
        <v>#N/A</v>
      </c>
      <c r="H18184" s="4" t="str">
        <v/>
      </c>
      <c r="I18184" s="4" t="str">
        <v/>
      </c>
    </row>
    <row r="18185" spans="5:9" ht="16.5" hidden="1">
      <c r="E18185" s="4" t="str">
        <v/>
      </c>
      <c r="F18185" s="102" t="str">
        <f ca="1">IFERROR(__xludf.DUMMYFUNCTION("IMPORTRANGE(H18185,""IDENTITAS UNIT!D9"")"),"#N/A")</f>
        <v>#N/A</v>
      </c>
      <c r="H18185" s="4" t="str">
        <v/>
      </c>
      <c r="I18185" s="4" t="str">
        <v/>
      </c>
    </row>
    <row r="18186" spans="5:9" ht="16.5" hidden="1">
      <c r="E18186" s="4" t="str">
        <v/>
      </c>
      <c r="F18186" s="102" t="str">
        <f ca="1">IFERROR(__xludf.DUMMYFUNCTION("IMPORTRANGE(H18186,""IDENTITAS UNIT!D9"")"),"#N/A")</f>
        <v>#N/A</v>
      </c>
      <c r="H18186" s="4" t="str">
        <v/>
      </c>
      <c r="I18186" s="4" t="str">
        <v/>
      </c>
    </row>
    <row r="18187" spans="5:9" ht="16.5" hidden="1">
      <c r="E18187" s="4" t="str">
        <v/>
      </c>
      <c r="F18187" s="102" t="str">
        <f ca="1">IFERROR(__xludf.DUMMYFUNCTION("IMPORTRANGE(H18187,""IDENTITAS UNIT!D9"")"),"#N/A")</f>
        <v>#N/A</v>
      </c>
      <c r="H18187" s="4" t="str">
        <v/>
      </c>
      <c r="I18187" s="4" t="str">
        <v/>
      </c>
    </row>
    <row r="18188" spans="5:9" ht="16.5" hidden="1">
      <c r="E18188" s="4" t="str">
        <v/>
      </c>
      <c r="F18188" s="102" t="str">
        <f ca="1">IFERROR(__xludf.DUMMYFUNCTION("IMPORTRANGE(H18188,""IDENTITAS UNIT!D9"")"),"#N/A")</f>
        <v>#N/A</v>
      </c>
      <c r="H18188" s="4" t="str">
        <v/>
      </c>
      <c r="I18188" s="4" t="str">
        <v/>
      </c>
    </row>
    <row r="18189" spans="5:9" ht="16.5" hidden="1">
      <c r="E18189" s="4" t="str">
        <v/>
      </c>
      <c r="F18189" s="102" t="str">
        <f ca="1">IFERROR(__xludf.DUMMYFUNCTION("IMPORTRANGE(H18189,""IDENTITAS UNIT!D9"")"),"#N/A")</f>
        <v>#N/A</v>
      </c>
      <c r="H18189" s="4" t="str">
        <v/>
      </c>
      <c r="I18189" s="4" t="str">
        <v/>
      </c>
    </row>
    <row r="18190" spans="5:9" ht="16.5" hidden="1">
      <c r="E18190" s="4" t="str">
        <v/>
      </c>
      <c r="F18190" s="102" t="str">
        <f ca="1">IFERROR(__xludf.DUMMYFUNCTION("IMPORTRANGE(H18190,""IDENTITAS UNIT!D9"")"),"#N/A")</f>
        <v>#N/A</v>
      </c>
      <c r="H18190" s="4" t="str">
        <v/>
      </c>
      <c r="I18190" s="4" t="str">
        <v/>
      </c>
    </row>
    <row r="18191" spans="5:9" ht="16.5" hidden="1">
      <c r="E18191" s="4" t="str">
        <v/>
      </c>
      <c r="F18191" s="102" t="str">
        <f ca="1">IFERROR(__xludf.DUMMYFUNCTION("IMPORTRANGE(H18191,""IDENTITAS UNIT!D9"")"),"#N/A")</f>
        <v>#N/A</v>
      </c>
      <c r="H18191" s="4" t="str">
        <v/>
      </c>
      <c r="I18191" s="4" t="str">
        <v/>
      </c>
    </row>
    <row r="18192" spans="5:9" ht="16.5" hidden="1">
      <c r="E18192" s="4" t="str">
        <v/>
      </c>
      <c r="F18192" s="102" t="str">
        <f ca="1">IFERROR(__xludf.DUMMYFUNCTION("IMPORTRANGE(H18192,""IDENTITAS UNIT!D9"")"),"#N/A")</f>
        <v>#N/A</v>
      </c>
      <c r="H18192" s="4" t="str">
        <v/>
      </c>
      <c r="I18192" s="4" t="str">
        <v/>
      </c>
    </row>
    <row r="18193" spans="5:9" ht="16.5" hidden="1">
      <c r="E18193" s="4" t="str">
        <v/>
      </c>
      <c r="F18193" s="102" t="str">
        <f ca="1">IFERROR(__xludf.DUMMYFUNCTION("IMPORTRANGE(H18193,""IDENTITAS UNIT!D9"")"),"#N/A")</f>
        <v>#N/A</v>
      </c>
      <c r="H18193" s="4" t="str">
        <v/>
      </c>
      <c r="I18193" s="4" t="str">
        <v/>
      </c>
    </row>
    <row r="18194" spans="5:9" ht="16.5" hidden="1">
      <c r="E18194" s="4" t="str">
        <v/>
      </c>
      <c r="F18194" s="102" t="str">
        <f ca="1">IFERROR(__xludf.DUMMYFUNCTION("IMPORTRANGE(H18194,""IDENTITAS UNIT!D9"")"),"#N/A")</f>
        <v>#N/A</v>
      </c>
      <c r="H18194" s="4" t="str">
        <v/>
      </c>
      <c r="I18194" s="4" t="str">
        <v/>
      </c>
    </row>
    <row r="18195" spans="5:9" ht="16.5" hidden="1">
      <c r="E18195" s="4" t="str">
        <v/>
      </c>
      <c r="F18195" s="102" t="str">
        <f ca="1">IFERROR(__xludf.DUMMYFUNCTION("IMPORTRANGE(H18195,""IDENTITAS UNIT!D9"")"),"#N/A")</f>
        <v>#N/A</v>
      </c>
      <c r="H18195" s="4" t="str">
        <v/>
      </c>
      <c r="I18195" s="4" t="str">
        <v/>
      </c>
    </row>
    <row r="18196" spans="5:9" ht="16.5" hidden="1">
      <c r="E18196" s="4" t="str">
        <v/>
      </c>
      <c r="F18196" s="102" t="str">
        <f ca="1">IFERROR(__xludf.DUMMYFUNCTION("IMPORTRANGE(H18196,""IDENTITAS UNIT!D9"")"),"#N/A")</f>
        <v>#N/A</v>
      </c>
      <c r="H18196" s="4" t="str">
        <v/>
      </c>
      <c r="I18196" s="4" t="str">
        <v/>
      </c>
    </row>
    <row r="18197" spans="5:9" ht="16.5" hidden="1">
      <c r="E18197" s="4" t="str">
        <v/>
      </c>
      <c r="F18197" s="102" t="str">
        <f ca="1">IFERROR(__xludf.DUMMYFUNCTION("IMPORTRANGE(H18197,""IDENTITAS UNIT!D9"")"),"#N/A")</f>
        <v>#N/A</v>
      </c>
      <c r="H18197" s="4" t="str">
        <v/>
      </c>
      <c r="I18197" s="4" t="str">
        <v/>
      </c>
    </row>
    <row r="18198" spans="5:9" ht="16.5" hidden="1">
      <c r="E18198" s="4" t="str">
        <v/>
      </c>
      <c r="F18198" s="102" t="str">
        <f ca="1">IFERROR(__xludf.DUMMYFUNCTION("IMPORTRANGE(H18198,""IDENTITAS UNIT!D9"")"),"#N/A")</f>
        <v>#N/A</v>
      </c>
      <c r="H18198" s="4" t="str">
        <v/>
      </c>
      <c r="I18198" s="4" t="str">
        <v/>
      </c>
    </row>
    <row r="18199" spans="5:9" ht="16.5" hidden="1">
      <c r="E18199" s="4" t="str">
        <v/>
      </c>
      <c r="F18199" s="102" t="str">
        <f ca="1">IFERROR(__xludf.DUMMYFUNCTION("IMPORTRANGE(H18199,""IDENTITAS UNIT!D9"")"),"#N/A")</f>
        <v>#N/A</v>
      </c>
      <c r="H18199" s="4" t="str">
        <v/>
      </c>
      <c r="I18199" s="4" t="str">
        <v/>
      </c>
    </row>
    <row r="18200" spans="5:9" ht="16.5" hidden="1">
      <c r="E18200" s="4" t="str">
        <v/>
      </c>
      <c r="F18200" s="102" t="str">
        <f ca="1">IFERROR(__xludf.DUMMYFUNCTION("IMPORTRANGE(H18200,""IDENTITAS UNIT!D9"")"),"#N/A")</f>
        <v>#N/A</v>
      </c>
      <c r="H18200" s="4" t="str">
        <v/>
      </c>
      <c r="I18200" s="4" t="str">
        <v/>
      </c>
    </row>
    <row r="18201" spans="5:9" ht="16.5" hidden="1">
      <c r="E18201" s="4" t="str">
        <v/>
      </c>
      <c r="F18201" s="102" t="str">
        <f ca="1">IFERROR(__xludf.DUMMYFUNCTION("IMPORTRANGE(H18201,""IDENTITAS UNIT!D9"")"),"#N/A")</f>
        <v>#N/A</v>
      </c>
      <c r="H18201" s="4" t="str">
        <v/>
      </c>
      <c r="I18201" s="4" t="str">
        <v/>
      </c>
    </row>
    <row r="18202" spans="5:9" ht="16.5" hidden="1">
      <c r="E18202" s="4" t="str">
        <v/>
      </c>
      <c r="F18202" s="102" t="str">
        <f ca="1">IFERROR(__xludf.DUMMYFUNCTION("IMPORTRANGE(H18202,""IDENTITAS UNIT!D9"")"),"#N/A")</f>
        <v>#N/A</v>
      </c>
      <c r="H18202" s="4" t="str">
        <v/>
      </c>
      <c r="I18202" s="4" t="str">
        <v/>
      </c>
    </row>
    <row r="18203" spans="5:9" ht="16.5" hidden="1">
      <c r="E18203" s="4" t="str">
        <v/>
      </c>
      <c r="F18203" s="102" t="str">
        <f ca="1">IFERROR(__xludf.DUMMYFUNCTION("IMPORTRANGE(H18203,""IDENTITAS UNIT!D9"")"),"#N/A")</f>
        <v>#N/A</v>
      </c>
      <c r="H18203" s="4" t="str">
        <v/>
      </c>
      <c r="I18203" s="4" t="str">
        <v/>
      </c>
    </row>
    <row r="18204" spans="5:9" ht="16.5" hidden="1">
      <c r="E18204" s="4" t="str">
        <v/>
      </c>
      <c r="F18204" s="102" t="str">
        <f ca="1">IFERROR(__xludf.DUMMYFUNCTION("IMPORTRANGE(H18204,""IDENTITAS UNIT!D9"")"),"#N/A")</f>
        <v>#N/A</v>
      </c>
      <c r="H18204" s="4" t="str">
        <v/>
      </c>
      <c r="I18204" s="4" t="str">
        <v/>
      </c>
    </row>
    <row r="18205" spans="5:9" ht="16.5" hidden="1">
      <c r="E18205" s="4" t="str">
        <v/>
      </c>
      <c r="F18205" s="102" t="str">
        <f ca="1">IFERROR(__xludf.DUMMYFUNCTION("IMPORTRANGE(H18205,""IDENTITAS UNIT!D9"")"),"#N/A")</f>
        <v>#N/A</v>
      </c>
      <c r="H18205" s="4" t="str">
        <v/>
      </c>
      <c r="I18205" s="4" t="str">
        <v/>
      </c>
    </row>
    <row r="18206" spans="5:9" ht="16.5" hidden="1">
      <c r="E18206" s="4" t="str">
        <v/>
      </c>
      <c r="F18206" s="102" t="str">
        <f ca="1">IFERROR(__xludf.DUMMYFUNCTION("IMPORTRANGE(H18206,""IDENTITAS UNIT!D9"")"),"#N/A")</f>
        <v>#N/A</v>
      </c>
      <c r="H18206" s="4" t="str">
        <v/>
      </c>
      <c r="I18206" s="4" t="str">
        <v/>
      </c>
    </row>
    <row r="18207" spans="5:9" ht="16.5" hidden="1">
      <c r="E18207" s="4" t="str">
        <v/>
      </c>
      <c r="F18207" s="102" t="str">
        <f ca="1">IFERROR(__xludf.DUMMYFUNCTION("IMPORTRANGE(H18207,""IDENTITAS UNIT!D9"")"),"#N/A")</f>
        <v>#N/A</v>
      </c>
      <c r="H18207" s="4" t="str">
        <v/>
      </c>
      <c r="I18207" s="4" t="str">
        <v/>
      </c>
    </row>
    <row r="18208" spans="5:9" ht="16.5" hidden="1">
      <c r="E18208" s="4" t="str">
        <v/>
      </c>
      <c r="F18208" s="102" t="str">
        <f ca="1">IFERROR(__xludf.DUMMYFUNCTION("IMPORTRANGE(H18208,""IDENTITAS UNIT!D9"")"),"#N/A")</f>
        <v>#N/A</v>
      </c>
      <c r="H18208" s="4" t="str">
        <v/>
      </c>
      <c r="I18208" s="4" t="str">
        <v/>
      </c>
    </row>
    <row r="18209" spans="5:9" ht="16.5" hidden="1">
      <c r="E18209" s="4" t="str">
        <v/>
      </c>
      <c r="F18209" s="102" t="str">
        <f ca="1">IFERROR(__xludf.DUMMYFUNCTION("IMPORTRANGE(H18209,""IDENTITAS UNIT!D9"")"),"#N/A")</f>
        <v>#N/A</v>
      </c>
      <c r="H18209" s="4" t="str">
        <v/>
      </c>
      <c r="I18209" s="4" t="str">
        <v/>
      </c>
    </row>
    <row r="18210" spans="5:9" ht="16.5" hidden="1">
      <c r="E18210" s="4" t="str">
        <v/>
      </c>
      <c r="F18210" s="102" t="str">
        <f ca="1">IFERROR(__xludf.DUMMYFUNCTION("IMPORTRANGE(H18210,""IDENTITAS UNIT!D9"")"),"#N/A")</f>
        <v>#N/A</v>
      </c>
      <c r="H18210" s="4" t="str">
        <v/>
      </c>
      <c r="I18210" s="4" t="str">
        <v/>
      </c>
    </row>
    <row r="18211" spans="5:9" ht="16.5" hidden="1">
      <c r="E18211" s="4" t="str">
        <v/>
      </c>
      <c r="F18211" s="102" t="str">
        <f ca="1">IFERROR(__xludf.DUMMYFUNCTION("IMPORTRANGE(H18211,""IDENTITAS UNIT!D9"")"),"#N/A")</f>
        <v>#N/A</v>
      </c>
      <c r="H18211" s="4" t="str">
        <v/>
      </c>
      <c r="I18211" s="4" t="str">
        <v/>
      </c>
    </row>
    <row r="18212" spans="5:9" ht="16.5" hidden="1">
      <c r="E18212" s="4" t="str">
        <v/>
      </c>
      <c r="F18212" s="102" t="str">
        <f ca="1">IFERROR(__xludf.DUMMYFUNCTION("IMPORTRANGE(H18212,""IDENTITAS UNIT!D9"")"),"#N/A")</f>
        <v>#N/A</v>
      </c>
      <c r="H18212" s="4" t="str">
        <v/>
      </c>
      <c r="I18212" s="4" t="str">
        <v/>
      </c>
    </row>
    <row r="18213" spans="5:9" ht="16.5" hidden="1">
      <c r="E18213" s="4" t="str">
        <v/>
      </c>
      <c r="F18213" s="102" t="str">
        <f ca="1">IFERROR(__xludf.DUMMYFUNCTION("IMPORTRANGE(H18213,""IDENTITAS UNIT!D9"")"),"#N/A")</f>
        <v>#N/A</v>
      </c>
      <c r="H18213" s="4" t="str">
        <v/>
      </c>
      <c r="I18213" s="4" t="str">
        <v/>
      </c>
    </row>
    <row r="18214" spans="5:9" ht="16.5" hidden="1">
      <c r="E18214" s="4" t="str">
        <v/>
      </c>
      <c r="F18214" s="102" t="str">
        <f ca="1">IFERROR(__xludf.DUMMYFUNCTION("IMPORTRANGE(H18214,""IDENTITAS UNIT!D9"")"),"#N/A")</f>
        <v>#N/A</v>
      </c>
      <c r="H18214" s="4" t="str">
        <v/>
      </c>
      <c r="I18214" s="4" t="str">
        <v/>
      </c>
    </row>
    <row r="18215" spans="5:9" ht="16.5" hidden="1">
      <c r="E18215" s="4" t="str">
        <v/>
      </c>
      <c r="F18215" s="102" t="str">
        <f ca="1">IFERROR(__xludf.DUMMYFUNCTION("IMPORTRANGE(H18215,""IDENTITAS UNIT!D9"")"),"#N/A")</f>
        <v>#N/A</v>
      </c>
      <c r="H18215" s="4" t="str">
        <v/>
      </c>
      <c r="I18215" s="4" t="str">
        <v/>
      </c>
    </row>
    <row r="18216" spans="5:9" ht="16.5" hidden="1">
      <c r="E18216" s="4" t="str">
        <v/>
      </c>
      <c r="F18216" s="102" t="str">
        <f ca="1">IFERROR(__xludf.DUMMYFUNCTION("IMPORTRANGE(H18216,""IDENTITAS UNIT!D9"")"),"#N/A")</f>
        <v>#N/A</v>
      </c>
      <c r="H18216" s="4" t="str">
        <v/>
      </c>
      <c r="I18216" s="4" t="str">
        <v/>
      </c>
    </row>
    <row r="18217" spans="5:9" ht="16.5" hidden="1">
      <c r="E18217" s="4" t="str">
        <v/>
      </c>
      <c r="F18217" s="102" t="str">
        <f ca="1">IFERROR(__xludf.DUMMYFUNCTION("IMPORTRANGE(H18217,""IDENTITAS UNIT!D9"")"),"#N/A")</f>
        <v>#N/A</v>
      </c>
      <c r="H18217" s="4" t="str">
        <v/>
      </c>
      <c r="I18217" s="4" t="str">
        <v/>
      </c>
    </row>
    <row r="18218" spans="5:9" ht="16.5" hidden="1">
      <c r="E18218" s="4" t="str">
        <v/>
      </c>
      <c r="F18218" s="102" t="str">
        <f ca="1">IFERROR(__xludf.DUMMYFUNCTION("IMPORTRANGE(H18218,""IDENTITAS UNIT!D9"")"),"#N/A")</f>
        <v>#N/A</v>
      </c>
      <c r="H18218" s="4" t="str">
        <v/>
      </c>
      <c r="I18218" s="4" t="str">
        <v/>
      </c>
    </row>
    <row r="18219" spans="5:9" ht="16.5" hidden="1">
      <c r="E18219" s="4" t="str">
        <v/>
      </c>
      <c r="F18219" s="102" t="str">
        <f ca="1">IFERROR(__xludf.DUMMYFUNCTION("IMPORTRANGE(H18219,""IDENTITAS UNIT!D9"")"),"#N/A")</f>
        <v>#N/A</v>
      </c>
      <c r="H18219" s="4" t="str">
        <v/>
      </c>
      <c r="I18219" s="4" t="str">
        <v/>
      </c>
    </row>
    <row r="18220" spans="5:9" ht="16.5" hidden="1">
      <c r="E18220" s="4" t="str">
        <v/>
      </c>
      <c r="F18220" s="102" t="str">
        <f ca="1">IFERROR(__xludf.DUMMYFUNCTION("IMPORTRANGE(H18220,""IDENTITAS UNIT!D9"")"),"#N/A")</f>
        <v>#N/A</v>
      </c>
      <c r="H18220" s="4" t="str">
        <v/>
      </c>
      <c r="I18220" s="4" t="str">
        <v/>
      </c>
    </row>
    <row r="18221" spans="5:9" ht="16.5" hidden="1">
      <c r="E18221" s="4" t="str">
        <v/>
      </c>
      <c r="F18221" s="102" t="str">
        <f ca="1">IFERROR(__xludf.DUMMYFUNCTION("IMPORTRANGE(H18221,""IDENTITAS UNIT!D9"")"),"#N/A")</f>
        <v>#N/A</v>
      </c>
      <c r="H18221" s="4" t="str">
        <v/>
      </c>
      <c r="I18221" s="4" t="str">
        <v/>
      </c>
    </row>
    <row r="18222" spans="5:9" ht="16.5" hidden="1">
      <c r="E18222" s="4" t="str">
        <v/>
      </c>
      <c r="F18222" s="102" t="str">
        <f ca="1">IFERROR(__xludf.DUMMYFUNCTION("IMPORTRANGE(H18222,""IDENTITAS UNIT!D9"")"),"#N/A")</f>
        <v>#N/A</v>
      </c>
      <c r="H18222" s="4" t="str">
        <v/>
      </c>
      <c r="I18222" s="4" t="str">
        <v/>
      </c>
    </row>
    <row r="18223" spans="5:9" ht="16.5" hidden="1">
      <c r="E18223" s="4" t="str">
        <v/>
      </c>
      <c r="F18223" s="102" t="str">
        <f ca="1">IFERROR(__xludf.DUMMYFUNCTION("IMPORTRANGE(H18223,""IDENTITAS UNIT!D9"")"),"#N/A")</f>
        <v>#N/A</v>
      </c>
      <c r="H18223" s="4" t="str">
        <v/>
      </c>
      <c r="I18223" s="4" t="str">
        <v/>
      </c>
    </row>
    <row r="18224" spans="5:9" ht="16.5" hidden="1">
      <c r="E18224" s="4" t="str">
        <v/>
      </c>
      <c r="F18224" s="102" t="str">
        <f ca="1">IFERROR(__xludf.DUMMYFUNCTION("IMPORTRANGE(H18224,""IDENTITAS UNIT!D9"")"),"#N/A")</f>
        <v>#N/A</v>
      </c>
      <c r="H18224" s="4" t="str">
        <v/>
      </c>
      <c r="I18224" s="4" t="str">
        <v/>
      </c>
    </row>
    <row r="18225" spans="5:9" ht="16.5" hidden="1">
      <c r="E18225" s="4" t="str">
        <v/>
      </c>
      <c r="F18225" s="102" t="str">
        <f ca="1">IFERROR(__xludf.DUMMYFUNCTION("IMPORTRANGE(H18225,""IDENTITAS UNIT!D9"")"),"#N/A")</f>
        <v>#N/A</v>
      </c>
      <c r="H18225" s="4" t="str">
        <v/>
      </c>
      <c r="I18225" s="4" t="str">
        <v/>
      </c>
    </row>
    <row r="18226" spans="5:9" ht="16.5" hidden="1">
      <c r="E18226" s="4" t="str">
        <v/>
      </c>
      <c r="F18226" s="102" t="str">
        <f ca="1">IFERROR(__xludf.DUMMYFUNCTION("IMPORTRANGE(H18226,""IDENTITAS UNIT!D9"")"),"#N/A")</f>
        <v>#N/A</v>
      </c>
      <c r="H18226" s="4" t="str">
        <v/>
      </c>
      <c r="I18226" s="4" t="str">
        <v/>
      </c>
    </row>
    <row r="18227" spans="5:9" ht="16.5" hidden="1">
      <c r="E18227" s="4" t="str">
        <v/>
      </c>
      <c r="F18227" s="102" t="str">
        <f ca="1">IFERROR(__xludf.DUMMYFUNCTION("IMPORTRANGE(H18227,""IDENTITAS UNIT!D9"")"),"#N/A")</f>
        <v>#N/A</v>
      </c>
      <c r="H18227" s="4" t="str">
        <v/>
      </c>
      <c r="I18227" s="4" t="str">
        <v/>
      </c>
    </row>
    <row r="18228" spans="5:9" ht="16.5" hidden="1">
      <c r="E18228" s="4" t="str">
        <v/>
      </c>
      <c r="F18228" s="102" t="str">
        <f ca="1">IFERROR(__xludf.DUMMYFUNCTION("IMPORTRANGE(H18228,""IDENTITAS UNIT!D9"")"),"#N/A")</f>
        <v>#N/A</v>
      </c>
      <c r="H18228" s="4" t="str">
        <v/>
      </c>
      <c r="I18228" s="4" t="str">
        <v/>
      </c>
    </row>
    <row r="18229" spans="5:9" ht="16.5" hidden="1">
      <c r="E18229" s="4" t="str">
        <v/>
      </c>
      <c r="F18229" s="102" t="str">
        <f ca="1">IFERROR(__xludf.DUMMYFUNCTION("IMPORTRANGE(H18229,""IDENTITAS UNIT!D9"")"),"#N/A")</f>
        <v>#N/A</v>
      </c>
      <c r="H18229" s="4" t="str">
        <v/>
      </c>
      <c r="I18229" s="4" t="str">
        <v/>
      </c>
    </row>
    <row r="18230" spans="5:9" ht="16.5" hidden="1">
      <c r="E18230" s="4" t="str">
        <v/>
      </c>
      <c r="F18230" s="102" t="str">
        <f ca="1">IFERROR(__xludf.DUMMYFUNCTION("IMPORTRANGE(H18230,""IDENTITAS UNIT!D9"")"),"#N/A")</f>
        <v>#N/A</v>
      </c>
      <c r="H18230" s="4" t="str">
        <v/>
      </c>
      <c r="I18230" s="4" t="str">
        <v/>
      </c>
    </row>
    <row r="18231" spans="5:9" ht="16.5" hidden="1">
      <c r="E18231" s="4" t="str">
        <v/>
      </c>
      <c r="F18231" s="102" t="str">
        <f ca="1">IFERROR(__xludf.DUMMYFUNCTION("IMPORTRANGE(H18231,""IDENTITAS UNIT!D9"")"),"#N/A")</f>
        <v>#N/A</v>
      </c>
      <c r="H18231" s="4" t="str">
        <v/>
      </c>
      <c r="I18231" s="4" t="str">
        <v/>
      </c>
    </row>
    <row r="18232" spans="5:9" ht="16.5" hidden="1">
      <c r="E18232" s="4" t="str">
        <v/>
      </c>
      <c r="F18232" s="102" t="str">
        <f ca="1">IFERROR(__xludf.DUMMYFUNCTION("IMPORTRANGE(H18232,""IDENTITAS UNIT!D9"")"),"#N/A")</f>
        <v>#N/A</v>
      </c>
      <c r="H18232" s="4" t="str">
        <v/>
      </c>
      <c r="I18232" s="4" t="str">
        <v/>
      </c>
    </row>
    <row r="18233" spans="5:9" ht="16.5" hidden="1">
      <c r="E18233" s="4" t="str">
        <v/>
      </c>
      <c r="F18233" s="102" t="str">
        <f ca="1">IFERROR(__xludf.DUMMYFUNCTION("IMPORTRANGE(H18233,""IDENTITAS UNIT!D9"")"),"#N/A")</f>
        <v>#N/A</v>
      </c>
      <c r="H18233" s="4" t="str">
        <v/>
      </c>
      <c r="I18233" s="4" t="str">
        <v/>
      </c>
    </row>
    <row r="18234" spans="5:9" ht="16.5" hidden="1">
      <c r="E18234" s="4" t="str">
        <v/>
      </c>
      <c r="F18234" s="102" t="str">
        <f ca="1">IFERROR(__xludf.DUMMYFUNCTION("IMPORTRANGE(H18234,""IDENTITAS UNIT!D9"")"),"#N/A")</f>
        <v>#N/A</v>
      </c>
      <c r="H18234" s="4" t="str">
        <v/>
      </c>
      <c r="I18234" s="4" t="str">
        <v/>
      </c>
    </row>
    <row r="18235" spans="5:9" ht="16.5" hidden="1">
      <c r="E18235" s="4" t="str">
        <v/>
      </c>
      <c r="F18235" s="102" t="str">
        <f ca="1">IFERROR(__xludf.DUMMYFUNCTION("IMPORTRANGE(H18235,""IDENTITAS UNIT!D9"")"),"#N/A")</f>
        <v>#N/A</v>
      </c>
      <c r="H18235" s="4" t="str">
        <v/>
      </c>
      <c r="I18235" s="4" t="str">
        <v/>
      </c>
    </row>
    <row r="18236" spans="5:9" ht="16.5" hidden="1">
      <c r="E18236" s="4" t="str">
        <v/>
      </c>
      <c r="F18236" s="102" t="str">
        <f ca="1">IFERROR(__xludf.DUMMYFUNCTION("IMPORTRANGE(H18236,""IDENTITAS UNIT!D9"")"),"#N/A")</f>
        <v>#N/A</v>
      </c>
      <c r="H18236" s="4" t="str">
        <v/>
      </c>
      <c r="I18236" s="4" t="str">
        <v/>
      </c>
    </row>
    <row r="18237" spans="5:9" ht="16.5" hidden="1">
      <c r="E18237" s="4" t="str">
        <v/>
      </c>
      <c r="F18237" s="102" t="str">
        <f ca="1">IFERROR(__xludf.DUMMYFUNCTION("IMPORTRANGE(H18237,""IDENTITAS UNIT!D9"")"),"#N/A")</f>
        <v>#N/A</v>
      </c>
      <c r="H18237" s="4" t="str">
        <v/>
      </c>
      <c r="I18237" s="4" t="str">
        <v/>
      </c>
    </row>
    <row r="18238" spans="5:9" ht="16.5" hidden="1">
      <c r="E18238" s="4" t="str">
        <v/>
      </c>
      <c r="F18238" s="102" t="str">
        <f ca="1">IFERROR(__xludf.DUMMYFUNCTION("IMPORTRANGE(H18238,""IDENTITAS UNIT!D9"")"),"#N/A")</f>
        <v>#N/A</v>
      </c>
      <c r="H18238" s="4" t="str">
        <v/>
      </c>
      <c r="I18238" s="4" t="str">
        <v/>
      </c>
    </row>
    <row r="18239" spans="5:9" ht="16.5" hidden="1">
      <c r="E18239" s="4" t="str">
        <v/>
      </c>
      <c r="F18239" s="102" t="str">
        <f ca="1">IFERROR(__xludf.DUMMYFUNCTION("IMPORTRANGE(H18239,""IDENTITAS UNIT!D9"")"),"#N/A")</f>
        <v>#N/A</v>
      </c>
      <c r="H18239" s="4" t="str">
        <v/>
      </c>
      <c r="I18239" s="4" t="str">
        <v/>
      </c>
    </row>
    <row r="18240" spans="5:9" ht="16.5" hidden="1">
      <c r="E18240" s="4" t="str">
        <v/>
      </c>
      <c r="F18240" s="102" t="str">
        <f ca="1">IFERROR(__xludf.DUMMYFUNCTION("IMPORTRANGE(H18240,""IDENTITAS UNIT!D9"")"),"#N/A")</f>
        <v>#N/A</v>
      </c>
      <c r="H18240" s="4" t="str">
        <v/>
      </c>
      <c r="I18240" s="4" t="str">
        <v/>
      </c>
    </row>
    <row r="18241" spans="5:9" ht="16.5" hidden="1">
      <c r="E18241" s="4" t="str">
        <v/>
      </c>
      <c r="F18241" s="102" t="str">
        <f ca="1">IFERROR(__xludf.DUMMYFUNCTION("IMPORTRANGE(H18241,""IDENTITAS UNIT!D9"")"),"#N/A")</f>
        <v>#N/A</v>
      </c>
      <c r="H18241" s="4" t="str">
        <v/>
      </c>
      <c r="I18241" s="4" t="str">
        <v/>
      </c>
    </row>
    <row r="18242" spans="5:9" ht="16.5" hidden="1">
      <c r="E18242" s="4" t="str">
        <v/>
      </c>
      <c r="F18242" s="102" t="str">
        <f ca="1">IFERROR(__xludf.DUMMYFUNCTION("IMPORTRANGE(H18242,""IDENTITAS UNIT!D9"")"),"#N/A")</f>
        <v>#N/A</v>
      </c>
      <c r="H18242" s="4" t="str">
        <v/>
      </c>
      <c r="I18242" s="4" t="str">
        <v/>
      </c>
    </row>
    <row r="18243" spans="5:9" ht="16.5" hidden="1">
      <c r="E18243" s="4" t="str">
        <v/>
      </c>
      <c r="F18243" s="102" t="str">
        <f ca="1">IFERROR(__xludf.DUMMYFUNCTION("IMPORTRANGE(H18243,""IDENTITAS UNIT!D9"")"),"#N/A")</f>
        <v>#N/A</v>
      </c>
      <c r="H18243" s="4" t="str">
        <v/>
      </c>
      <c r="I18243" s="4" t="str">
        <v/>
      </c>
    </row>
    <row r="18244" spans="5:9" ht="16.5" hidden="1">
      <c r="E18244" s="4" t="str">
        <v/>
      </c>
      <c r="F18244" s="102" t="str">
        <f ca="1">IFERROR(__xludf.DUMMYFUNCTION("IMPORTRANGE(H18244,""IDENTITAS UNIT!D9"")"),"#N/A")</f>
        <v>#N/A</v>
      </c>
      <c r="H18244" s="4" t="str">
        <v/>
      </c>
      <c r="I18244" s="4" t="str">
        <v/>
      </c>
    </row>
    <row r="18245" spans="5:9" ht="16.5" hidden="1">
      <c r="E18245" s="4" t="str">
        <v/>
      </c>
      <c r="F18245" s="102" t="str">
        <f ca="1">IFERROR(__xludf.DUMMYFUNCTION("IMPORTRANGE(H18245,""IDENTITAS UNIT!D9"")"),"#N/A")</f>
        <v>#N/A</v>
      </c>
      <c r="H18245" s="4" t="str">
        <v/>
      </c>
      <c r="I18245" s="4" t="str">
        <v/>
      </c>
    </row>
    <row r="18246" spans="5:9" ht="16.5" hidden="1">
      <c r="E18246" s="4" t="str">
        <v/>
      </c>
      <c r="F18246" s="102" t="str">
        <f ca="1">IFERROR(__xludf.DUMMYFUNCTION("IMPORTRANGE(H18246,""IDENTITAS UNIT!D9"")"),"#N/A")</f>
        <v>#N/A</v>
      </c>
      <c r="H18246" s="4" t="str">
        <v/>
      </c>
      <c r="I18246" s="4" t="str">
        <v/>
      </c>
    </row>
    <row r="18247" spans="5:9" ht="16.5" hidden="1">
      <c r="E18247" s="4" t="str">
        <v/>
      </c>
      <c r="F18247" s="102" t="str">
        <f ca="1">IFERROR(__xludf.DUMMYFUNCTION("IMPORTRANGE(H18247,""IDENTITAS UNIT!D9"")"),"#N/A")</f>
        <v>#N/A</v>
      </c>
      <c r="H18247" s="4" t="str">
        <v/>
      </c>
      <c r="I18247" s="4" t="str">
        <v/>
      </c>
    </row>
    <row r="18248" spans="5:9" ht="16.5" hidden="1">
      <c r="E18248" s="4" t="str">
        <v/>
      </c>
      <c r="F18248" s="102" t="str">
        <f ca="1">IFERROR(__xludf.DUMMYFUNCTION("IMPORTRANGE(H18248,""IDENTITAS UNIT!D9"")"),"#N/A")</f>
        <v>#N/A</v>
      </c>
      <c r="H18248" s="4" t="str">
        <v/>
      </c>
      <c r="I18248" s="4" t="str">
        <v/>
      </c>
    </row>
    <row r="18249" spans="5:9" ht="16.5" hidden="1">
      <c r="E18249" s="4" t="str">
        <v/>
      </c>
      <c r="F18249" s="102" t="str">
        <f ca="1">IFERROR(__xludf.DUMMYFUNCTION("IMPORTRANGE(H18249,""IDENTITAS UNIT!D9"")"),"#N/A")</f>
        <v>#N/A</v>
      </c>
      <c r="H18249" s="4" t="str">
        <v/>
      </c>
      <c r="I18249" s="4" t="str">
        <v/>
      </c>
    </row>
    <row r="18250" spans="5:9" ht="16.5" hidden="1">
      <c r="E18250" s="4" t="str">
        <v/>
      </c>
      <c r="F18250" s="102" t="str">
        <f ca="1">IFERROR(__xludf.DUMMYFUNCTION("IMPORTRANGE(H18250,""IDENTITAS UNIT!D9"")"),"#N/A")</f>
        <v>#N/A</v>
      </c>
      <c r="H18250" s="4" t="str">
        <v/>
      </c>
      <c r="I18250" s="4" t="str">
        <v/>
      </c>
    </row>
    <row r="18251" spans="5:9" ht="16.5" hidden="1">
      <c r="E18251" s="4" t="str">
        <v/>
      </c>
      <c r="F18251" s="102" t="str">
        <f ca="1">IFERROR(__xludf.DUMMYFUNCTION("IMPORTRANGE(H18251,""IDENTITAS UNIT!D9"")"),"#N/A")</f>
        <v>#N/A</v>
      </c>
      <c r="H18251" s="4" t="str">
        <v/>
      </c>
      <c r="I18251" s="4" t="str">
        <v/>
      </c>
    </row>
    <row r="18252" spans="5:9" ht="16.5" hidden="1">
      <c r="E18252" s="4" t="str">
        <v/>
      </c>
      <c r="F18252" s="102" t="str">
        <f ca="1">IFERROR(__xludf.DUMMYFUNCTION("IMPORTRANGE(H18252,""IDENTITAS UNIT!D9"")"),"#N/A")</f>
        <v>#N/A</v>
      </c>
      <c r="H18252" s="4" t="str">
        <v/>
      </c>
      <c r="I18252" s="4" t="str">
        <v/>
      </c>
    </row>
    <row r="18253" spans="5:9" ht="16.5" hidden="1">
      <c r="E18253" s="4" t="str">
        <v/>
      </c>
      <c r="F18253" s="102" t="str">
        <f ca="1">IFERROR(__xludf.DUMMYFUNCTION("IMPORTRANGE(H18253,""IDENTITAS UNIT!D9"")"),"#N/A")</f>
        <v>#N/A</v>
      </c>
      <c r="H18253" s="4" t="str">
        <v/>
      </c>
      <c r="I18253" s="4" t="str">
        <v/>
      </c>
    </row>
    <row r="18254" spans="5:9" ht="16.5" hidden="1">
      <c r="E18254" s="4" t="str">
        <v/>
      </c>
      <c r="F18254" s="102" t="str">
        <f ca="1">IFERROR(__xludf.DUMMYFUNCTION("IMPORTRANGE(H18254,""IDENTITAS UNIT!D9"")"),"#N/A")</f>
        <v>#N/A</v>
      </c>
      <c r="H18254" s="4" t="str">
        <v/>
      </c>
      <c r="I18254" s="4" t="str">
        <v/>
      </c>
    </row>
    <row r="18255" spans="5:9" ht="16.5" hidden="1">
      <c r="E18255" s="4" t="str">
        <v/>
      </c>
      <c r="F18255" s="102" t="str">
        <f ca="1">IFERROR(__xludf.DUMMYFUNCTION("IMPORTRANGE(H18255,""IDENTITAS UNIT!D9"")"),"#N/A")</f>
        <v>#N/A</v>
      </c>
      <c r="H18255" s="4" t="str">
        <v/>
      </c>
      <c r="I18255" s="4" t="str">
        <v/>
      </c>
    </row>
    <row r="18256" spans="5:9" ht="16.5" hidden="1">
      <c r="E18256" s="4" t="str">
        <v/>
      </c>
      <c r="F18256" s="102" t="str">
        <f ca="1">IFERROR(__xludf.DUMMYFUNCTION("IMPORTRANGE(H18256,""IDENTITAS UNIT!D9"")"),"#N/A")</f>
        <v>#N/A</v>
      </c>
      <c r="H18256" s="4" t="str">
        <v/>
      </c>
      <c r="I18256" s="4" t="str">
        <v/>
      </c>
    </row>
    <row r="18257" spans="5:9" ht="16.5" hidden="1">
      <c r="E18257" s="4" t="str">
        <v/>
      </c>
      <c r="F18257" s="102" t="str">
        <f ca="1">IFERROR(__xludf.DUMMYFUNCTION("IMPORTRANGE(H18257,""IDENTITAS UNIT!D9"")"),"#N/A")</f>
        <v>#N/A</v>
      </c>
      <c r="H18257" s="4" t="str">
        <v/>
      </c>
      <c r="I18257" s="4" t="str">
        <v/>
      </c>
    </row>
    <row r="18258" spans="5:9" ht="16.5" hidden="1">
      <c r="E18258" s="4" t="str">
        <v/>
      </c>
      <c r="F18258" s="102" t="str">
        <f ca="1">IFERROR(__xludf.DUMMYFUNCTION("IMPORTRANGE(H18258,""IDENTITAS UNIT!D9"")"),"#N/A")</f>
        <v>#N/A</v>
      </c>
      <c r="H18258" s="4" t="str">
        <v/>
      </c>
      <c r="I18258" s="4" t="str">
        <v/>
      </c>
    </row>
    <row r="18259" spans="5:9" ht="16.5" hidden="1">
      <c r="E18259" s="4" t="str">
        <v/>
      </c>
      <c r="F18259" s="102" t="str">
        <f ca="1">IFERROR(__xludf.DUMMYFUNCTION("IMPORTRANGE(H18259,""IDENTITAS UNIT!D9"")"),"#N/A")</f>
        <v>#N/A</v>
      </c>
      <c r="H18259" s="4" t="str">
        <v/>
      </c>
      <c r="I18259" s="4" t="str">
        <v/>
      </c>
    </row>
    <row r="18260" spans="5:9" ht="16.5" hidden="1">
      <c r="E18260" s="4" t="str">
        <v/>
      </c>
      <c r="F18260" s="102" t="str">
        <f ca="1">IFERROR(__xludf.DUMMYFUNCTION("IMPORTRANGE(H18260,""IDENTITAS UNIT!D9"")"),"#N/A")</f>
        <v>#N/A</v>
      </c>
      <c r="H18260" s="4" t="str">
        <v/>
      </c>
      <c r="I18260" s="4" t="str">
        <v/>
      </c>
    </row>
    <row r="18261" spans="5:9" ht="16.5" hidden="1">
      <c r="E18261" s="4" t="str">
        <v/>
      </c>
      <c r="F18261" s="102" t="str">
        <f ca="1">IFERROR(__xludf.DUMMYFUNCTION("IMPORTRANGE(H18261,""IDENTITAS UNIT!D9"")"),"#N/A")</f>
        <v>#N/A</v>
      </c>
      <c r="H18261" s="4" t="str">
        <v/>
      </c>
      <c r="I18261" s="4" t="str">
        <v/>
      </c>
    </row>
    <row r="18262" spans="5:9" ht="16.5" hidden="1">
      <c r="E18262" s="4" t="str">
        <v/>
      </c>
      <c r="F18262" s="102" t="str">
        <f ca="1">IFERROR(__xludf.DUMMYFUNCTION("IMPORTRANGE(H18262,""IDENTITAS UNIT!D9"")"),"#N/A")</f>
        <v>#N/A</v>
      </c>
      <c r="H18262" s="4" t="str">
        <v/>
      </c>
      <c r="I18262" s="4" t="str">
        <v/>
      </c>
    </row>
    <row r="18263" spans="5:9" ht="16.5" hidden="1">
      <c r="E18263" s="4" t="str">
        <v/>
      </c>
      <c r="F18263" s="102" t="str">
        <f ca="1">IFERROR(__xludf.DUMMYFUNCTION("IMPORTRANGE(H18263,""IDENTITAS UNIT!D9"")"),"#N/A")</f>
        <v>#N/A</v>
      </c>
      <c r="H18263" s="4" t="str">
        <v/>
      </c>
      <c r="I18263" s="4" t="str">
        <v/>
      </c>
    </row>
    <row r="18264" spans="5:9" ht="16.5" hidden="1">
      <c r="E18264" s="4" t="str">
        <v/>
      </c>
      <c r="F18264" s="102" t="str">
        <f ca="1">IFERROR(__xludf.DUMMYFUNCTION("IMPORTRANGE(H18264,""IDENTITAS UNIT!D9"")"),"#N/A")</f>
        <v>#N/A</v>
      </c>
      <c r="H18264" s="4" t="str">
        <v/>
      </c>
      <c r="I18264" s="4" t="str">
        <v/>
      </c>
    </row>
    <row r="18265" spans="5:9" ht="16.5" hidden="1">
      <c r="E18265" s="4" t="str">
        <v/>
      </c>
      <c r="F18265" s="102" t="str">
        <f ca="1">IFERROR(__xludf.DUMMYFUNCTION("IMPORTRANGE(H18265,""IDENTITAS UNIT!D9"")"),"#N/A")</f>
        <v>#N/A</v>
      </c>
      <c r="H18265" s="4" t="str">
        <v/>
      </c>
      <c r="I18265" s="4" t="str">
        <v/>
      </c>
    </row>
    <row r="18266" spans="5:9" ht="16.5" hidden="1">
      <c r="E18266" s="4" t="str">
        <v/>
      </c>
      <c r="F18266" s="102" t="str">
        <f ca="1">IFERROR(__xludf.DUMMYFUNCTION("IMPORTRANGE(H18266,""IDENTITAS UNIT!D9"")"),"#N/A")</f>
        <v>#N/A</v>
      </c>
      <c r="H18266" s="4" t="str">
        <v/>
      </c>
      <c r="I18266" s="4" t="str">
        <v/>
      </c>
    </row>
    <row r="18267" spans="5:9" ht="16.5" hidden="1">
      <c r="E18267" s="4" t="str">
        <v/>
      </c>
      <c r="F18267" s="102" t="str">
        <f ca="1">IFERROR(__xludf.DUMMYFUNCTION("IMPORTRANGE(H18267,""IDENTITAS UNIT!D9"")"),"#N/A")</f>
        <v>#N/A</v>
      </c>
      <c r="H18267" s="4" t="str">
        <v/>
      </c>
      <c r="I18267" s="4" t="str">
        <v/>
      </c>
    </row>
    <row r="18268" spans="5:9" ht="16.5" hidden="1">
      <c r="E18268" s="4" t="str">
        <v/>
      </c>
      <c r="F18268" s="102" t="str">
        <f ca="1">IFERROR(__xludf.DUMMYFUNCTION("IMPORTRANGE(H18268,""IDENTITAS UNIT!D9"")"),"#N/A")</f>
        <v>#N/A</v>
      </c>
      <c r="H18268" s="4" t="str">
        <v/>
      </c>
      <c r="I18268" s="4" t="str">
        <v/>
      </c>
    </row>
    <row r="18269" spans="5:9" ht="16.5" hidden="1">
      <c r="E18269" s="4" t="str">
        <v/>
      </c>
      <c r="F18269" s="102" t="str">
        <f ca="1">IFERROR(__xludf.DUMMYFUNCTION("IMPORTRANGE(H18269,""IDENTITAS UNIT!D9"")"),"#N/A")</f>
        <v>#N/A</v>
      </c>
      <c r="H18269" s="4" t="str">
        <v/>
      </c>
      <c r="I18269" s="4" t="str">
        <v/>
      </c>
    </row>
    <row r="18270" spans="5:9" ht="16.5" hidden="1">
      <c r="E18270" s="4" t="str">
        <v/>
      </c>
      <c r="F18270" s="102" t="str">
        <f ca="1">IFERROR(__xludf.DUMMYFUNCTION("IMPORTRANGE(H18270,""IDENTITAS UNIT!D9"")"),"#N/A")</f>
        <v>#N/A</v>
      </c>
      <c r="H18270" s="4" t="str">
        <v/>
      </c>
      <c r="I18270" s="4" t="str">
        <v/>
      </c>
    </row>
    <row r="18271" spans="5:9" ht="16.5" hidden="1">
      <c r="E18271" s="4" t="str">
        <v/>
      </c>
      <c r="F18271" s="102" t="str">
        <f ca="1">IFERROR(__xludf.DUMMYFUNCTION("IMPORTRANGE(H18271,""IDENTITAS UNIT!D9"")"),"#N/A")</f>
        <v>#N/A</v>
      </c>
      <c r="H18271" s="4" t="str">
        <v/>
      </c>
      <c r="I18271" s="4" t="str">
        <v/>
      </c>
    </row>
    <row r="18272" spans="5:9" ht="16.5" hidden="1">
      <c r="E18272" s="4" t="str">
        <v/>
      </c>
      <c r="F18272" s="102" t="str">
        <f ca="1">IFERROR(__xludf.DUMMYFUNCTION("IMPORTRANGE(H18272,""IDENTITAS UNIT!D9"")"),"#N/A")</f>
        <v>#N/A</v>
      </c>
      <c r="H18272" s="4" t="str">
        <v/>
      </c>
      <c r="I18272" s="4" t="str">
        <v/>
      </c>
    </row>
    <row r="18273" spans="5:9" ht="16.5" hidden="1">
      <c r="E18273" s="4" t="str">
        <v/>
      </c>
      <c r="F18273" s="102" t="str">
        <f ca="1">IFERROR(__xludf.DUMMYFUNCTION("IMPORTRANGE(H18273,""IDENTITAS UNIT!D9"")"),"#N/A")</f>
        <v>#N/A</v>
      </c>
      <c r="H18273" s="4" t="str">
        <v/>
      </c>
      <c r="I18273" s="4" t="str">
        <v/>
      </c>
    </row>
    <row r="18274" spans="5:9" ht="16.5" hidden="1">
      <c r="E18274" s="4" t="str">
        <v/>
      </c>
      <c r="F18274" s="102" t="str">
        <f ca="1">IFERROR(__xludf.DUMMYFUNCTION("IMPORTRANGE(H18274,""IDENTITAS UNIT!D9"")"),"#N/A")</f>
        <v>#N/A</v>
      </c>
      <c r="H18274" s="4" t="str">
        <v/>
      </c>
      <c r="I18274" s="4" t="str">
        <v/>
      </c>
    </row>
    <row r="18275" spans="5:9" ht="16.5" hidden="1">
      <c r="E18275" s="4" t="str">
        <v/>
      </c>
      <c r="F18275" s="102" t="str">
        <f ca="1">IFERROR(__xludf.DUMMYFUNCTION("IMPORTRANGE(H18275,""IDENTITAS UNIT!D9"")"),"#N/A")</f>
        <v>#N/A</v>
      </c>
      <c r="H18275" s="4" t="str">
        <v/>
      </c>
      <c r="I18275" s="4" t="str">
        <v/>
      </c>
    </row>
    <row r="18276" spans="5:9" ht="16.5" hidden="1">
      <c r="E18276" s="4" t="str">
        <v/>
      </c>
      <c r="F18276" s="102" t="str">
        <f ca="1">IFERROR(__xludf.DUMMYFUNCTION("IMPORTRANGE(H18276,""IDENTITAS UNIT!D9"")"),"#N/A")</f>
        <v>#N/A</v>
      </c>
      <c r="H18276" s="4" t="str">
        <v/>
      </c>
      <c r="I18276" s="4" t="str">
        <v/>
      </c>
    </row>
    <row r="18277" spans="5:9" ht="16.5" hidden="1">
      <c r="E18277" s="4" t="str">
        <v/>
      </c>
      <c r="F18277" s="102" t="str">
        <f ca="1">IFERROR(__xludf.DUMMYFUNCTION("IMPORTRANGE(H18277,""IDENTITAS UNIT!D9"")"),"#N/A")</f>
        <v>#N/A</v>
      </c>
      <c r="H18277" s="4" t="str">
        <v/>
      </c>
      <c r="I18277" s="4" t="str">
        <v/>
      </c>
    </row>
    <row r="18278" spans="5:9" ht="16.5" hidden="1">
      <c r="E18278" s="4" t="str">
        <v/>
      </c>
      <c r="F18278" s="102" t="str">
        <f ca="1">IFERROR(__xludf.DUMMYFUNCTION("IMPORTRANGE(H18278,""IDENTITAS UNIT!D9"")"),"#N/A")</f>
        <v>#N/A</v>
      </c>
      <c r="H18278" s="4" t="str">
        <v/>
      </c>
      <c r="I18278" s="4" t="str">
        <v/>
      </c>
    </row>
    <row r="18279" spans="5:9" ht="16.5" hidden="1">
      <c r="E18279" s="4" t="str">
        <v/>
      </c>
      <c r="F18279" s="102" t="str">
        <f ca="1">IFERROR(__xludf.DUMMYFUNCTION("IMPORTRANGE(H18279,""IDENTITAS UNIT!D9"")"),"#N/A")</f>
        <v>#N/A</v>
      </c>
      <c r="H18279" s="4" t="str">
        <v/>
      </c>
      <c r="I18279" s="4" t="str">
        <v/>
      </c>
    </row>
    <row r="18280" spans="5:9" ht="16.5" hidden="1">
      <c r="E18280" s="4" t="str">
        <v/>
      </c>
      <c r="F18280" s="102" t="str">
        <f ca="1">IFERROR(__xludf.DUMMYFUNCTION("IMPORTRANGE(H18280,""IDENTITAS UNIT!D9"")"),"#N/A")</f>
        <v>#N/A</v>
      </c>
      <c r="H18280" s="4" t="str">
        <v/>
      </c>
      <c r="I18280" s="4" t="str">
        <v/>
      </c>
    </row>
    <row r="18281" spans="5:9" ht="16.5" hidden="1">
      <c r="E18281" s="4" t="str">
        <v/>
      </c>
      <c r="F18281" s="102" t="str">
        <f ca="1">IFERROR(__xludf.DUMMYFUNCTION("IMPORTRANGE(H18281,""IDENTITAS UNIT!D9"")"),"#N/A")</f>
        <v>#N/A</v>
      </c>
      <c r="H18281" s="4" t="str">
        <v/>
      </c>
      <c r="I18281" s="4" t="str">
        <v/>
      </c>
    </row>
    <row r="18282" spans="5:9" ht="16.5" hidden="1">
      <c r="E18282" s="4" t="str">
        <v/>
      </c>
      <c r="F18282" s="102" t="str">
        <f ca="1">IFERROR(__xludf.DUMMYFUNCTION("IMPORTRANGE(H18282,""IDENTITAS UNIT!D9"")"),"#N/A")</f>
        <v>#N/A</v>
      </c>
      <c r="H18282" s="4" t="str">
        <v/>
      </c>
      <c r="I18282" s="4" t="str">
        <v/>
      </c>
    </row>
    <row r="18283" spans="5:9" ht="16.5" hidden="1">
      <c r="E18283" s="4" t="str">
        <v/>
      </c>
      <c r="F18283" s="102" t="str">
        <f ca="1">IFERROR(__xludf.DUMMYFUNCTION("IMPORTRANGE(H18283,""IDENTITAS UNIT!D9"")"),"#N/A")</f>
        <v>#N/A</v>
      </c>
      <c r="H18283" s="4" t="str">
        <v/>
      </c>
      <c r="I18283" s="4" t="str">
        <v/>
      </c>
    </row>
    <row r="18284" spans="5:9" ht="16.5" hidden="1">
      <c r="E18284" s="4" t="str">
        <v/>
      </c>
      <c r="F18284" s="102" t="str">
        <f ca="1">IFERROR(__xludf.DUMMYFUNCTION("IMPORTRANGE(H18284,""IDENTITAS UNIT!D9"")"),"#N/A")</f>
        <v>#N/A</v>
      </c>
      <c r="H18284" s="4" t="str">
        <v/>
      </c>
      <c r="I18284" s="4" t="str">
        <v/>
      </c>
    </row>
    <row r="18285" spans="5:9" ht="16.5" hidden="1">
      <c r="E18285" s="4" t="str">
        <v/>
      </c>
      <c r="F18285" s="102" t="str">
        <f ca="1">IFERROR(__xludf.DUMMYFUNCTION("IMPORTRANGE(H18285,""IDENTITAS UNIT!D9"")"),"#N/A")</f>
        <v>#N/A</v>
      </c>
      <c r="H18285" s="4" t="str">
        <v/>
      </c>
      <c r="I18285" s="4" t="str">
        <v/>
      </c>
    </row>
    <row r="18286" spans="5:9" ht="16.5" hidden="1">
      <c r="E18286" s="4" t="str">
        <v/>
      </c>
      <c r="F18286" s="102" t="str">
        <f ca="1">IFERROR(__xludf.DUMMYFUNCTION("IMPORTRANGE(H18286,""IDENTITAS UNIT!D9"")"),"#N/A")</f>
        <v>#N/A</v>
      </c>
      <c r="H18286" s="4" t="str">
        <v/>
      </c>
      <c r="I18286" s="4" t="str">
        <v/>
      </c>
    </row>
    <row r="18287" spans="5:9" ht="16.5" hidden="1">
      <c r="E18287" s="4" t="str">
        <v/>
      </c>
      <c r="F18287" s="102" t="str">
        <f ca="1">IFERROR(__xludf.DUMMYFUNCTION("IMPORTRANGE(H18287,""IDENTITAS UNIT!D9"")"),"#N/A")</f>
        <v>#N/A</v>
      </c>
      <c r="H18287" s="4" t="str">
        <v/>
      </c>
      <c r="I18287" s="4" t="str">
        <v/>
      </c>
    </row>
    <row r="18288" spans="5:9" ht="16.5" hidden="1">
      <c r="E18288" s="4" t="str">
        <v/>
      </c>
      <c r="F18288" s="102" t="str">
        <f ca="1">IFERROR(__xludf.DUMMYFUNCTION("IMPORTRANGE(H18288,""IDENTITAS UNIT!D9"")"),"#N/A")</f>
        <v>#N/A</v>
      </c>
      <c r="H18288" s="4" t="str">
        <v/>
      </c>
      <c r="I18288" s="4" t="str">
        <v/>
      </c>
    </row>
    <row r="18289" spans="5:9" ht="16.5" hidden="1">
      <c r="E18289" s="4" t="str">
        <v/>
      </c>
      <c r="F18289" s="102" t="str">
        <f ca="1">IFERROR(__xludf.DUMMYFUNCTION("IMPORTRANGE(H18289,""IDENTITAS UNIT!D9"")"),"#N/A")</f>
        <v>#N/A</v>
      </c>
      <c r="H18289" s="4" t="str">
        <v/>
      </c>
      <c r="I18289" s="4" t="str">
        <v/>
      </c>
    </row>
    <row r="18290" spans="5:9" ht="16.5" hidden="1">
      <c r="E18290" s="4" t="str">
        <v/>
      </c>
      <c r="F18290" s="102" t="str">
        <f ca="1">IFERROR(__xludf.DUMMYFUNCTION("IMPORTRANGE(H18290,""IDENTITAS UNIT!D9"")"),"#N/A")</f>
        <v>#N/A</v>
      </c>
      <c r="H18290" s="4" t="str">
        <v/>
      </c>
      <c r="I18290" s="4" t="str">
        <v/>
      </c>
    </row>
    <row r="18291" spans="5:9" ht="16.5" hidden="1">
      <c r="E18291" s="4" t="str">
        <v/>
      </c>
      <c r="F18291" s="102" t="str">
        <f ca="1">IFERROR(__xludf.DUMMYFUNCTION("IMPORTRANGE(H18291,""IDENTITAS UNIT!D9"")"),"#N/A")</f>
        <v>#N/A</v>
      </c>
      <c r="H18291" s="4" t="str">
        <v/>
      </c>
      <c r="I18291" s="4" t="str">
        <v/>
      </c>
    </row>
    <row r="18292" spans="5:9" ht="16.5" hidden="1">
      <c r="E18292" s="4" t="str">
        <v/>
      </c>
      <c r="F18292" s="102" t="str">
        <f ca="1">IFERROR(__xludf.DUMMYFUNCTION("IMPORTRANGE(H18292,""IDENTITAS UNIT!D9"")"),"#N/A")</f>
        <v>#N/A</v>
      </c>
      <c r="H18292" s="4" t="str">
        <v/>
      </c>
      <c r="I18292" s="4" t="str">
        <v/>
      </c>
    </row>
    <row r="18293" spans="5:9" ht="16.5" hidden="1">
      <c r="E18293" s="4" t="str">
        <v/>
      </c>
      <c r="F18293" s="102" t="str">
        <f ca="1">IFERROR(__xludf.DUMMYFUNCTION("IMPORTRANGE(H18293,""IDENTITAS UNIT!D9"")"),"#N/A")</f>
        <v>#N/A</v>
      </c>
      <c r="H18293" s="4" t="str">
        <v/>
      </c>
      <c r="I18293" s="4" t="str">
        <v/>
      </c>
    </row>
    <row r="18294" spans="5:9" ht="16.5" hidden="1">
      <c r="E18294" s="4" t="str">
        <v/>
      </c>
      <c r="F18294" s="102" t="str">
        <f ca="1">IFERROR(__xludf.DUMMYFUNCTION("IMPORTRANGE(H18294,""IDENTITAS UNIT!D9"")"),"#N/A")</f>
        <v>#N/A</v>
      </c>
      <c r="H18294" s="4" t="str">
        <v/>
      </c>
      <c r="I18294" s="4" t="str">
        <v/>
      </c>
    </row>
    <row r="18295" spans="5:9" ht="16.5" hidden="1">
      <c r="E18295" s="4" t="str">
        <v/>
      </c>
      <c r="F18295" s="102" t="str">
        <f ca="1">IFERROR(__xludf.DUMMYFUNCTION("IMPORTRANGE(H18295,""IDENTITAS UNIT!D9"")"),"#N/A")</f>
        <v>#N/A</v>
      </c>
      <c r="H18295" s="4" t="str">
        <v/>
      </c>
      <c r="I18295" s="4" t="str">
        <v/>
      </c>
    </row>
    <row r="18296" spans="5:9" ht="16.5" hidden="1">
      <c r="E18296" s="4" t="str">
        <v/>
      </c>
      <c r="F18296" s="102" t="str">
        <f ca="1">IFERROR(__xludf.DUMMYFUNCTION("IMPORTRANGE(H18296,""IDENTITAS UNIT!D9"")"),"#N/A")</f>
        <v>#N/A</v>
      </c>
      <c r="H18296" s="4" t="str">
        <v/>
      </c>
      <c r="I18296" s="4" t="str">
        <v/>
      </c>
    </row>
    <row r="18297" spans="5:9" ht="16.5" hidden="1">
      <c r="E18297" s="4" t="str">
        <v/>
      </c>
      <c r="F18297" s="102" t="str">
        <f ca="1">IFERROR(__xludf.DUMMYFUNCTION("IMPORTRANGE(H18297,""IDENTITAS UNIT!D9"")"),"#N/A")</f>
        <v>#N/A</v>
      </c>
      <c r="H18297" s="4" t="str">
        <v/>
      </c>
      <c r="I18297" s="4" t="str">
        <v/>
      </c>
    </row>
    <row r="18298" spans="5:9" ht="16.5" hidden="1">
      <c r="E18298" s="4" t="str">
        <v/>
      </c>
      <c r="F18298" s="102" t="str">
        <f ca="1">IFERROR(__xludf.DUMMYFUNCTION("IMPORTRANGE(H18298,""IDENTITAS UNIT!D9"")"),"#N/A")</f>
        <v>#N/A</v>
      </c>
      <c r="H18298" s="4" t="str">
        <v/>
      </c>
      <c r="I18298" s="4" t="str">
        <v/>
      </c>
    </row>
    <row r="18299" spans="5:9" ht="16.5" hidden="1">
      <c r="E18299" s="4" t="str">
        <v/>
      </c>
      <c r="F18299" s="102" t="str">
        <f ca="1">IFERROR(__xludf.DUMMYFUNCTION("IMPORTRANGE(H18299,""IDENTITAS UNIT!D9"")"),"#N/A")</f>
        <v>#N/A</v>
      </c>
      <c r="H18299" s="4" t="str">
        <v/>
      </c>
      <c r="I18299" s="4" t="str">
        <v/>
      </c>
    </row>
    <row r="18300" spans="5:9" ht="16.5" hidden="1">
      <c r="E18300" s="4" t="str">
        <v/>
      </c>
      <c r="F18300" s="102" t="str">
        <f ca="1">IFERROR(__xludf.DUMMYFUNCTION("IMPORTRANGE(H18300,""IDENTITAS UNIT!D9"")"),"#N/A")</f>
        <v>#N/A</v>
      </c>
      <c r="H18300" s="4" t="str">
        <v/>
      </c>
      <c r="I18300" s="4" t="str">
        <v/>
      </c>
    </row>
    <row r="18301" spans="5:9" ht="16.5" hidden="1">
      <c r="E18301" s="4" t="str">
        <v/>
      </c>
      <c r="F18301" s="102" t="str">
        <f ca="1">IFERROR(__xludf.DUMMYFUNCTION("IMPORTRANGE(H18301,""IDENTITAS UNIT!D9"")"),"#N/A")</f>
        <v>#N/A</v>
      </c>
      <c r="H18301" s="4" t="str">
        <v/>
      </c>
      <c r="I18301" s="4" t="str">
        <v/>
      </c>
    </row>
    <row r="18302" spans="5:9" ht="16.5" hidden="1">
      <c r="E18302" s="4" t="str">
        <v/>
      </c>
      <c r="F18302" s="102" t="str">
        <f ca="1">IFERROR(__xludf.DUMMYFUNCTION("IMPORTRANGE(H18302,""IDENTITAS UNIT!D9"")"),"#N/A")</f>
        <v>#N/A</v>
      </c>
      <c r="H18302" s="4" t="str">
        <v/>
      </c>
      <c r="I18302" s="4" t="str">
        <v/>
      </c>
    </row>
    <row r="18303" spans="5:9" ht="16.5" hidden="1">
      <c r="E18303" s="4" t="str">
        <v/>
      </c>
      <c r="F18303" s="102" t="str">
        <f ca="1">IFERROR(__xludf.DUMMYFUNCTION("IMPORTRANGE(H18303,""IDENTITAS UNIT!D9"")"),"#N/A")</f>
        <v>#N/A</v>
      </c>
      <c r="H18303" s="4" t="str">
        <v/>
      </c>
      <c r="I18303" s="4" t="str">
        <v/>
      </c>
    </row>
    <row r="18304" spans="5:9" ht="16.5" hidden="1">
      <c r="E18304" s="4" t="str">
        <v/>
      </c>
      <c r="F18304" s="102" t="str">
        <f ca="1">IFERROR(__xludf.DUMMYFUNCTION("IMPORTRANGE(H18304,""IDENTITAS UNIT!D9"")"),"#N/A")</f>
        <v>#N/A</v>
      </c>
      <c r="H18304" s="4" t="str">
        <v/>
      </c>
      <c r="I18304" s="4" t="str">
        <v/>
      </c>
    </row>
    <row r="18305" spans="5:9" ht="16.5" hidden="1">
      <c r="E18305" s="4" t="str">
        <v/>
      </c>
      <c r="F18305" s="102" t="str">
        <f ca="1">IFERROR(__xludf.DUMMYFUNCTION("IMPORTRANGE(H18305,""IDENTITAS UNIT!D9"")"),"#N/A")</f>
        <v>#N/A</v>
      </c>
      <c r="H18305" s="4" t="str">
        <v/>
      </c>
      <c r="I18305" s="4" t="str">
        <v/>
      </c>
    </row>
    <row r="18306" spans="5:9" ht="16.5" hidden="1">
      <c r="E18306" s="4" t="str">
        <v/>
      </c>
      <c r="F18306" s="102" t="str">
        <f ca="1">IFERROR(__xludf.DUMMYFUNCTION("IMPORTRANGE(H18306,""IDENTITAS UNIT!D9"")"),"#N/A")</f>
        <v>#N/A</v>
      </c>
      <c r="H18306" s="4" t="str">
        <v/>
      </c>
      <c r="I18306" s="4" t="str">
        <v/>
      </c>
    </row>
    <row r="18307" spans="5:9" ht="16.5" hidden="1">
      <c r="E18307" s="4" t="str">
        <v/>
      </c>
      <c r="F18307" s="102" t="str">
        <f ca="1">IFERROR(__xludf.DUMMYFUNCTION("IMPORTRANGE(H18307,""IDENTITAS UNIT!D9"")"),"#N/A")</f>
        <v>#N/A</v>
      </c>
      <c r="H18307" s="4" t="str">
        <v/>
      </c>
      <c r="I18307" s="4" t="str">
        <v/>
      </c>
    </row>
    <row r="18308" spans="5:9" ht="16.5" hidden="1">
      <c r="E18308" s="4" t="str">
        <v/>
      </c>
      <c r="F18308" s="102" t="str">
        <f ca="1">IFERROR(__xludf.DUMMYFUNCTION("IMPORTRANGE(H18308,""IDENTITAS UNIT!D9"")"),"#N/A")</f>
        <v>#N/A</v>
      </c>
      <c r="H18308" s="4" t="str">
        <v/>
      </c>
      <c r="I18308" s="4" t="str">
        <v/>
      </c>
    </row>
    <row r="18309" spans="5:9" ht="16.5" hidden="1">
      <c r="E18309" s="4" t="str">
        <v/>
      </c>
      <c r="F18309" s="102" t="str">
        <f ca="1">IFERROR(__xludf.DUMMYFUNCTION("IMPORTRANGE(H18309,""IDENTITAS UNIT!D9"")"),"#N/A")</f>
        <v>#N/A</v>
      </c>
      <c r="H18309" s="4" t="str">
        <v/>
      </c>
      <c r="I18309" s="4" t="str">
        <v/>
      </c>
    </row>
    <row r="18310" spans="5:9" ht="16.5" hidden="1">
      <c r="E18310" s="4" t="str">
        <v/>
      </c>
      <c r="F18310" s="102" t="str">
        <f ca="1">IFERROR(__xludf.DUMMYFUNCTION("IMPORTRANGE(H18310,""IDENTITAS UNIT!D9"")"),"#N/A")</f>
        <v>#N/A</v>
      </c>
      <c r="H18310" s="4" t="str">
        <v/>
      </c>
      <c r="I18310" s="4" t="str">
        <v/>
      </c>
    </row>
    <row r="18311" spans="5:9" ht="16.5" hidden="1">
      <c r="E18311" s="4" t="str">
        <v/>
      </c>
      <c r="F18311" s="102" t="str">
        <f ca="1">IFERROR(__xludf.DUMMYFUNCTION("IMPORTRANGE(H18311,""IDENTITAS UNIT!D9"")"),"#N/A")</f>
        <v>#N/A</v>
      </c>
      <c r="H18311" s="4" t="str">
        <v/>
      </c>
      <c r="I18311" s="4" t="str">
        <v/>
      </c>
    </row>
    <row r="18312" spans="5:9" ht="16.5" hidden="1">
      <c r="E18312" s="4" t="str">
        <v/>
      </c>
      <c r="F18312" s="102" t="str">
        <f ca="1">IFERROR(__xludf.DUMMYFUNCTION("IMPORTRANGE(H18312,""IDENTITAS UNIT!D9"")"),"#N/A")</f>
        <v>#N/A</v>
      </c>
      <c r="H18312" s="4" t="str">
        <v/>
      </c>
      <c r="I18312" s="4" t="str">
        <v/>
      </c>
    </row>
    <row r="18313" spans="5:9" ht="16.5" hidden="1">
      <c r="E18313" s="4" t="str">
        <v/>
      </c>
      <c r="F18313" s="102" t="str">
        <f ca="1">IFERROR(__xludf.DUMMYFUNCTION("IMPORTRANGE(H18313,""IDENTITAS UNIT!D9"")"),"#N/A")</f>
        <v>#N/A</v>
      </c>
      <c r="H18313" s="4" t="str">
        <v/>
      </c>
      <c r="I18313" s="4" t="str">
        <v/>
      </c>
    </row>
    <row r="18314" spans="5:9" ht="16.5" hidden="1">
      <c r="E18314" s="4" t="str">
        <v/>
      </c>
      <c r="F18314" s="102" t="str">
        <f ca="1">IFERROR(__xludf.DUMMYFUNCTION("IMPORTRANGE(H18314,""IDENTITAS UNIT!D9"")"),"#N/A")</f>
        <v>#N/A</v>
      </c>
      <c r="H18314" s="4" t="str">
        <v/>
      </c>
      <c r="I18314" s="4" t="str">
        <v/>
      </c>
    </row>
    <row r="18315" spans="5:9" ht="16.5" hidden="1">
      <c r="E18315" s="4" t="str">
        <v/>
      </c>
      <c r="F18315" s="102" t="str">
        <f ca="1">IFERROR(__xludf.DUMMYFUNCTION("IMPORTRANGE(H18315,""IDENTITAS UNIT!D9"")"),"#N/A")</f>
        <v>#N/A</v>
      </c>
      <c r="H18315" s="4" t="str">
        <v/>
      </c>
      <c r="I18315" s="4" t="str">
        <v/>
      </c>
    </row>
    <row r="18316" spans="5:9" ht="16.5" hidden="1">
      <c r="E18316" s="4" t="str">
        <v/>
      </c>
      <c r="F18316" s="102" t="str">
        <f ca="1">IFERROR(__xludf.DUMMYFUNCTION("IMPORTRANGE(H18316,""IDENTITAS UNIT!D9"")"),"#N/A")</f>
        <v>#N/A</v>
      </c>
      <c r="H18316" s="4" t="str">
        <v/>
      </c>
      <c r="I18316" s="4" t="str">
        <v/>
      </c>
    </row>
    <row r="18317" spans="5:9" ht="16.5" hidden="1">
      <c r="E18317" s="4" t="str">
        <v/>
      </c>
      <c r="F18317" s="102" t="str">
        <f ca="1">IFERROR(__xludf.DUMMYFUNCTION("IMPORTRANGE(H18317,""IDENTITAS UNIT!D9"")"),"#N/A")</f>
        <v>#N/A</v>
      </c>
      <c r="H18317" s="4" t="str">
        <v/>
      </c>
      <c r="I18317" s="4" t="str">
        <v/>
      </c>
    </row>
    <row r="18318" spans="5:9" ht="16.5" hidden="1">
      <c r="E18318" s="4" t="str">
        <v/>
      </c>
      <c r="F18318" s="102" t="str">
        <f ca="1">IFERROR(__xludf.DUMMYFUNCTION("IMPORTRANGE(H18318,""IDENTITAS UNIT!D9"")"),"#N/A")</f>
        <v>#N/A</v>
      </c>
      <c r="H18318" s="4" t="str">
        <v/>
      </c>
      <c r="I18318" s="4" t="str">
        <v/>
      </c>
    </row>
    <row r="18319" spans="5:9" ht="16.5" hidden="1">
      <c r="E18319" s="4" t="str">
        <v/>
      </c>
      <c r="F18319" s="102" t="str">
        <f ca="1">IFERROR(__xludf.DUMMYFUNCTION("IMPORTRANGE(H18319,""IDENTITAS UNIT!D9"")"),"#N/A")</f>
        <v>#N/A</v>
      </c>
      <c r="H18319" s="4" t="str">
        <v/>
      </c>
      <c r="I18319" s="4" t="str">
        <v/>
      </c>
    </row>
    <row r="18320" spans="5:9" ht="16.5" hidden="1">
      <c r="E18320" s="4" t="str">
        <v/>
      </c>
      <c r="F18320" s="102" t="str">
        <f ca="1">IFERROR(__xludf.DUMMYFUNCTION("IMPORTRANGE(H18320,""IDENTITAS UNIT!D9"")"),"#N/A")</f>
        <v>#N/A</v>
      </c>
      <c r="H18320" s="4" t="str">
        <v/>
      </c>
      <c r="I18320" s="4" t="str">
        <v/>
      </c>
    </row>
    <row r="18321" spans="5:9" ht="16.5" hidden="1">
      <c r="E18321" s="4" t="str">
        <v/>
      </c>
      <c r="F18321" s="102" t="str">
        <f ca="1">IFERROR(__xludf.DUMMYFUNCTION("IMPORTRANGE(H18321,""IDENTITAS UNIT!D9"")"),"#N/A")</f>
        <v>#N/A</v>
      </c>
      <c r="H18321" s="4" t="str">
        <v/>
      </c>
      <c r="I18321" s="4" t="str">
        <v/>
      </c>
    </row>
    <row r="18322" spans="5:9" ht="16.5" hidden="1">
      <c r="E18322" s="4" t="str">
        <v/>
      </c>
      <c r="F18322" s="102" t="str">
        <f ca="1">IFERROR(__xludf.DUMMYFUNCTION("IMPORTRANGE(H18322,""IDENTITAS UNIT!D9"")"),"#N/A")</f>
        <v>#N/A</v>
      </c>
      <c r="H18322" s="4" t="str">
        <v/>
      </c>
      <c r="I18322" s="4" t="str">
        <v/>
      </c>
    </row>
    <row r="18323" spans="5:9" ht="16.5" hidden="1">
      <c r="E18323" s="4" t="str">
        <v/>
      </c>
      <c r="F18323" s="102" t="str">
        <f ca="1">IFERROR(__xludf.DUMMYFUNCTION("IMPORTRANGE(H18323,""IDENTITAS UNIT!D9"")"),"#N/A")</f>
        <v>#N/A</v>
      </c>
      <c r="H18323" s="4" t="str">
        <v/>
      </c>
      <c r="I18323" s="4" t="str">
        <v/>
      </c>
    </row>
    <row r="18324" spans="5:9" ht="16.5" hidden="1">
      <c r="E18324" s="4" t="str">
        <v/>
      </c>
      <c r="F18324" s="102" t="str">
        <f ca="1">IFERROR(__xludf.DUMMYFUNCTION("IMPORTRANGE(H18324,""IDENTITAS UNIT!D9"")"),"#N/A")</f>
        <v>#N/A</v>
      </c>
      <c r="H18324" s="4" t="str">
        <v/>
      </c>
      <c r="I18324" s="4" t="str">
        <v/>
      </c>
    </row>
    <row r="18325" spans="5:9" ht="16.5" hidden="1">
      <c r="E18325" s="4" t="str">
        <v/>
      </c>
      <c r="F18325" s="102" t="str">
        <f ca="1">IFERROR(__xludf.DUMMYFUNCTION("IMPORTRANGE(H18325,""IDENTITAS UNIT!D9"")"),"#N/A")</f>
        <v>#N/A</v>
      </c>
      <c r="H18325" s="4" t="str">
        <v/>
      </c>
      <c r="I18325" s="4" t="str">
        <v/>
      </c>
    </row>
    <row r="18326" spans="5:9" ht="16.5" hidden="1">
      <c r="E18326" s="4" t="str">
        <v/>
      </c>
      <c r="F18326" s="102" t="str">
        <f ca="1">IFERROR(__xludf.DUMMYFUNCTION("IMPORTRANGE(H18326,""IDENTITAS UNIT!D9"")"),"#N/A")</f>
        <v>#N/A</v>
      </c>
      <c r="H18326" s="4" t="str">
        <v/>
      </c>
      <c r="I18326" s="4" t="str">
        <v/>
      </c>
    </row>
    <row r="18327" spans="5:9" ht="16.5" hidden="1">
      <c r="E18327" s="4" t="str">
        <v/>
      </c>
      <c r="F18327" s="102" t="str">
        <f ca="1">IFERROR(__xludf.DUMMYFUNCTION("IMPORTRANGE(H18327,""IDENTITAS UNIT!D9"")"),"#N/A")</f>
        <v>#N/A</v>
      </c>
      <c r="H18327" s="4" t="str">
        <v/>
      </c>
      <c r="I18327" s="4" t="str">
        <v/>
      </c>
    </row>
    <row r="18328" spans="5:9" ht="16.5" hidden="1">
      <c r="E18328" s="4" t="str">
        <v/>
      </c>
      <c r="F18328" s="102" t="str">
        <f ca="1">IFERROR(__xludf.DUMMYFUNCTION("IMPORTRANGE(H18328,""IDENTITAS UNIT!D9"")"),"#N/A")</f>
        <v>#N/A</v>
      </c>
      <c r="H18328" s="4" t="str">
        <v/>
      </c>
      <c r="I18328" s="4" t="str">
        <v/>
      </c>
    </row>
    <row r="18329" spans="5:9" ht="16.5" hidden="1">
      <c r="E18329" s="4" t="str">
        <v/>
      </c>
      <c r="F18329" s="102" t="str">
        <f ca="1">IFERROR(__xludf.DUMMYFUNCTION("IMPORTRANGE(H18329,""IDENTITAS UNIT!D9"")"),"#N/A")</f>
        <v>#N/A</v>
      </c>
      <c r="H18329" s="4" t="str">
        <v/>
      </c>
      <c r="I18329" s="4" t="str">
        <v/>
      </c>
    </row>
    <row r="18330" spans="5:9" ht="16.5" hidden="1">
      <c r="E18330" s="4" t="str">
        <v/>
      </c>
      <c r="F18330" s="102" t="str">
        <f ca="1">IFERROR(__xludf.DUMMYFUNCTION("IMPORTRANGE(H18330,""IDENTITAS UNIT!D9"")"),"#N/A")</f>
        <v>#N/A</v>
      </c>
      <c r="H18330" s="4" t="str">
        <v/>
      </c>
      <c r="I18330" s="4" t="str">
        <v/>
      </c>
    </row>
    <row r="18331" spans="5:9" ht="16.5" hidden="1">
      <c r="E18331" s="4" t="str">
        <v/>
      </c>
      <c r="F18331" s="102" t="str">
        <f ca="1">IFERROR(__xludf.DUMMYFUNCTION("IMPORTRANGE(H18331,""IDENTITAS UNIT!D9"")"),"#N/A")</f>
        <v>#N/A</v>
      </c>
      <c r="H18331" s="4" t="str">
        <v/>
      </c>
      <c r="I18331" s="4" t="str">
        <v/>
      </c>
    </row>
    <row r="18332" spans="5:9" ht="16.5" hidden="1">
      <c r="E18332" s="4" t="str">
        <v/>
      </c>
      <c r="F18332" s="102" t="str">
        <f ca="1">IFERROR(__xludf.DUMMYFUNCTION("IMPORTRANGE(H18332,""IDENTITAS UNIT!D9"")"),"#N/A")</f>
        <v>#N/A</v>
      </c>
      <c r="H18332" s="4" t="str">
        <v/>
      </c>
      <c r="I18332" s="4" t="str">
        <v/>
      </c>
    </row>
    <row r="18333" spans="5:9" ht="16.5" hidden="1">
      <c r="E18333" s="4" t="str">
        <v/>
      </c>
      <c r="F18333" s="102" t="str">
        <f ca="1">IFERROR(__xludf.DUMMYFUNCTION("IMPORTRANGE(H18333,""IDENTITAS UNIT!D9"")"),"#N/A")</f>
        <v>#N/A</v>
      </c>
      <c r="H18333" s="4" t="str">
        <v/>
      </c>
      <c r="I18333" s="4" t="str">
        <v/>
      </c>
    </row>
    <row r="18334" spans="5:9" ht="16.5" hidden="1">
      <c r="E18334" s="4" t="str">
        <v/>
      </c>
      <c r="F18334" s="102" t="str">
        <f ca="1">IFERROR(__xludf.DUMMYFUNCTION("IMPORTRANGE(H18334,""IDENTITAS UNIT!D9"")"),"#N/A")</f>
        <v>#N/A</v>
      </c>
      <c r="H18334" s="4" t="str">
        <v/>
      </c>
      <c r="I18334" s="4" t="str">
        <v/>
      </c>
    </row>
    <row r="18335" spans="5:9" ht="16.5" hidden="1">
      <c r="E18335" s="4" t="str">
        <v/>
      </c>
      <c r="F18335" s="102" t="str">
        <f ca="1">IFERROR(__xludf.DUMMYFUNCTION("IMPORTRANGE(H18335,""IDENTITAS UNIT!D9"")"),"#N/A")</f>
        <v>#N/A</v>
      </c>
      <c r="H18335" s="4" t="str">
        <v/>
      </c>
      <c r="I18335" s="4" t="str">
        <v/>
      </c>
    </row>
    <row r="18336" spans="5:9" ht="16.5" hidden="1">
      <c r="E18336" s="4" t="str">
        <v/>
      </c>
      <c r="F18336" s="102" t="str">
        <f ca="1">IFERROR(__xludf.DUMMYFUNCTION("IMPORTRANGE(H18336,""IDENTITAS UNIT!D9"")"),"#N/A")</f>
        <v>#N/A</v>
      </c>
      <c r="H18336" s="4" t="str">
        <v/>
      </c>
      <c r="I18336" s="4" t="str">
        <v/>
      </c>
    </row>
    <row r="18337" spans="5:9" ht="16.5" hidden="1">
      <c r="E18337" s="4" t="str">
        <v/>
      </c>
      <c r="F18337" s="102" t="str">
        <f ca="1">IFERROR(__xludf.DUMMYFUNCTION("IMPORTRANGE(H18337,""IDENTITAS UNIT!D9"")"),"#N/A")</f>
        <v>#N/A</v>
      </c>
      <c r="H18337" s="4" t="str">
        <v/>
      </c>
      <c r="I18337" s="4" t="str">
        <v/>
      </c>
    </row>
    <row r="18338" spans="5:9" ht="16.5" hidden="1">
      <c r="E18338" s="4" t="str">
        <v/>
      </c>
      <c r="F18338" s="102" t="str">
        <f ca="1">IFERROR(__xludf.DUMMYFUNCTION("IMPORTRANGE(H18338,""IDENTITAS UNIT!D9"")"),"#N/A")</f>
        <v>#N/A</v>
      </c>
      <c r="H18338" s="4" t="str">
        <v/>
      </c>
      <c r="I18338" s="4" t="str">
        <v/>
      </c>
    </row>
    <row r="18339" spans="5:9" ht="16.5" hidden="1">
      <c r="E18339" s="4" t="str">
        <v/>
      </c>
      <c r="F18339" s="102" t="str">
        <f ca="1">IFERROR(__xludf.DUMMYFUNCTION("IMPORTRANGE(H18339,""IDENTITAS UNIT!D9"")"),"#N/A")</f>
        <v>#N/A</v>
      </c>
      <c r="H18339" s="4" t="str">
        <v/>
      </c>
      <c r="I18339" s="4" t="str">
        <v/>
      </c>
    </row>
    <row r="18340" spans="5:9" ht="16.5" hidden="1">
      <c r="E18340" s="4" t="str">
        <v/>
      </c>
      <c r="F18340" s="102" t="str">
        <f ca="1">IFERROR(__xludf.DUMMYFUNCTION("IMPORTRANGE(H18340,""IDENTITAS UNIT!D9"")"),"#N/A")</f>
        <v>#N/A</v>
      </c>
      <c r="H18340" s="4" t="str">
        <v/>
      </c>
      <c r="I18340" s="4" t="str">
        <v/>
      </c>
    </row>
    <row r="18341" spans="5:9" ht="16.5" hidden="1">
      <c r="E18341" s="4" t="str">
        <v/>
      </c>
      <c r="F18341" s="102" t="str">
        <f ca="1">IFERROR(__xludf.DUMMYFUNCTION("IMPORTRANGE(H18341,""IDENTITAS UNIT!D9"")"),"#N/A")</f>
        <v>#N/A</v>
      </c>
      <c r="H18341" s="4" t="str">
        <v/>
      </c>
      <c r="I18341" s="4" t="str">
        <v/>
      </c>
    </row>
    <row r="18342" spans="5:9" ht="16.5" hidden="1">
      <c r="E18342" s="4" t="str">
        <v/>
      </c>
      <c r="F18342" s="102" t="str">
        <f ca="1">IFERROR(__xludf.DUMMYFUNCTION("IMPORTRANGE(H18342,""IDENTITAS UNIT!D9"")"),"#N/A")</f>
        <v>#N/A</v>
      </c>
      <c r="H18342" s="4" t="str">
        <v/>
      </c>
      <c r="I18342" s="4" t="str">
        <v/>
      </c>
    </row>
    <row r="18343" spans="5:9" ht="16.5" hidden="1">
      <c r="E18343" s="4" t="str">
        <v/>
      </c>
      <c r="F18343" s="102" t="str">
        <f ca="1">IFERROR(__xludf.DUMMYFUNCTION("IMPORTRANGE(H18343,""IDENTITAS UNIT!D9"")"),"#N/A")</f>
        <v>#N/A</v>
      </c>
      <c r="H18343" s="4" t="str">
        <v/>
      </c>
      <c r="I18343" s="4" t="str">
        <v/>
      </c>
    </row>
    <row r="18344" spans="5:9" ht="16.5" hidden="1">
      <c r="E18344" s="4" t="str">
        <v/>
      </c>
      <c r="F18344" s="102" t="str">
        <f ca="1">IFERROR(__xludf.DUMMYFUNCTION("IMPORTRANGE(H18344,""IDENTITAS UNIT!D9"")"),"#N/A")</f>
        <v>#N/A</v>
      </c>
      <c r="H18344" s="4" t="str">
        <v/>
      </c>
      <c r="I18344" s="4" t="str">
        <v/>
      </c>
    </row>
    <row r="18345" spans="5:9" ht="16.5" hidden="1">
      <c r="E18345" s="4" t="str">
        <v/>
      </c>
      <c r="F18345" s="102" t="str">
        <f ca="1">IFERROR(__xludf.DUMMYFUNCTION("IMPORTRANGE(H18345,""IDENTITAS UNIT!D9"")"),"#N/A")</f>
        <v>#N/A</v>
      </c>
      <c r="H18345" s="4" t="str">
        <v/>
      </c>
      <c r="I18345" s="4" t="str">
        <v/>
      </c>
    </row>
    <row r="18346" spans="5:9" ht="16.5" hidden="1">
      <c r="E18346" s="4" t="str">
        <v/>
      </c>
      <c r="F18346" s="102" t="str">
        <f ca="1">IFERROR(__xludf.DUMMYFUNCTION("IMPORTRANGE(H18346,""IDENTITAS UNIT!D9"")"),"#N/A")</f>
        <v>#N/A</v>
      </c>
      <c r="H18346" s="4" t="str">
        <v/>
      </c>
      <c r="I18346" s="4" t="str">
        <v/>
      </c>
    </row>
    <row r="18347" spans="5:9" ht="16.5" hidden="1">
      <c r="E18347" s="4" t="str">
        <v/>
      </c>
      <c r="F18347" s="102" t="str">
        <f ca="1">IFERROR(__xludf.DUMMYFUNCTION("IMPORTRANGE(H18347,""IDENTITAS UNIT!D9"")"),"#N/A")</f>
        <v>#N/A</v>
      </c>
      <c r="H18347" s="4" t="str">
        <v/>
      </c>
      <c r="I18347" s="4" t="str">
        <v/>
      </c>
    </row>
    <row r="18348" spans="5:9" ht="16.5" hidden="1">
      <c r="E18348" s="4" t="str">
        <v/>
      </c>
      <c r="F18348" s="102" t="str">
        <f ca="1">IFERROR(__xludf.DUMMYFUNCTION("IMPORTRANGE(H18348,""IDENTITAS UNIT!D9"")"),"#N/A")</f>
        <v>#N/A</v>
      </c>
      <c r="H18348" s="4" t="str">
        <v/>
      </c>
      <c r="I18348" s="4" t="str">
        <v/>
      </c>
    </row>
    <row r="18349" spans="5:9" ht="16.5" hidden="1">
      <c r="E18349" s="4" t="str">
        <v/>
      </c>
      <c r="F18349" s="102" t="str">
        <f ca="1">IFERROR(__xludf.DUMMYFUNCTION("IMPORTRANGE(H18349,""IDENTITAS UNIT!D9"")"),"#N/A")</f>
        <v>#N/A</v>
      </c>
      <c r="H18349" s="4" t="str">
        <v/>
      </c>
      <c r="I18349" s="4" t="str">
        <v/>
      </c>
    </row>
    <row r="18350" spans="5:9" ht="16.5" hidden="1">
      <c r="E18350" s="4" t="str">
        <v/>
      </c>
      <c r="F18350" s="102" t="str">
        <f ca="1">IFERROR(__xludf.DUMMYFUNCTION("IMPORTRANGE(H18350,""IDENTITAS UNIT!D9"")"),"#N/A")</f>
        <v>#N/A</v>
      </c>
      <c r="H18350" s="4" t="str">
        <v/>
      </c>
      <c r="I18350" s="4" t="str">
        <v/>
      </c>
    </row>
    <row r="18351" spans="5:9" ht="16.5" hidden="1">
      <c r="E18351" s="4" t="str">
        <v/>
      </c>
      <c r="F18351" s="102" t="str">
        <f ca="1">IFERROR(__xludf.DUMMYFUNCTION("IMPORTRANGE(H18351,""IDENTITAS UNIT!D9"")"),"#N/A")</f>
        <v>#N/A</v>
      </c>
      <c r="H18351" s="4" t="str">
        <v/>
      </c>
      <c r="I18351" s="4" t="str">
        <v/>
      </c>
    </row>
    <row r="18352" spans="5:9" ht="16.5" hidden="1">
      <c r="E18352" s="4" t="str">
        <v/>
      </c>
      <c r="F18352" s="102" t="str">
        <f ca="1">IFERROR(__xludf.DUMMYFUNCTION("IMPORTRANGE(H18352,""IDENTITAS UNIT!D9"")"),"#N/A")</f>
        <v>#N/A</v>
      </c>
      <c r="H18352" s="4" t="str">
        <v/>
      </c>
      <c r="I18352" s="4" t="str">
        <v/>
      </c>
    </row>
    <row r="18353" spans="5:9" ht="16.5" hidden="1">
      <c r="E18353" s="4" t="str">
        <v/>
      </c>
      <c r="F18353" s="102" t="str">
        <f ca="1">IFERROR(__xludf.DUMMYFUNCTION("IMPORTRANGE(H18353,""IDENTITAS UNIT!D9"")"),"#N/A")</f>
        <v>#N/A</v>
      </c>
      <c r="H18353" s="4" t="str">
        <v/>
      </c>
      <c r="I18353" s="4" t="str">
        <v/>
      </c>
    </row>
    <row r="18354" spans="5:9" ht="16.5" hidden="1">
      <c r="E18354" s="4" t="str">
        <v/>
      </c>
      <c r="F18354" s="102" t="str">
        <f ca="1">IFERROR(__xludf.DUMMYFUNCTION("IMPORTRANGE(H18354,""IDENTITAS UNIT!D9"")"),"#N/A")</f>
        <v>#N/A</v>
      </c>
      <c r="H18354" s="4" t="str">
        <v/>
      </c>
      <c r="I18354" s="4" t="str">
        <v/>
      </c>
    </row>
    <row r="18355" spans="5:9" ht="16.5" hidden="1">
      <c r="E18355" s="4" t="str">
        <v/>
      </c>
      <c r="F18355" s="102" t="str">
        <f ca="1">IFERROR(__xludf.DUMMYFUNCTION("IMPORTRANGE(H18355,""IDENTITAS UNIT!D9"")"),"#N/A")</f>
        <v>#N/A</v>
      </c>
      <c r="H18355" s="4" t="str">
        <v/>
      </c>
      <c r="I18355" s="4" t="str">
        <v/>
      </c>
    </row>
    <row r="18356" spans="5:9" ht="16.5" hidden="1">
      <c r="E18356" s="4" t="str">
        <v/>
      </c>
      <c r="F18356" s="102" t="str">
        <f ca="1">IFERROR(__xludf.DUMMYFUNCTION("IMPORTRANGE(H18356,""IDENTITAS UNIT!D9"")"),"#N/A")</f>
        <v>#N/A</v>
      </c>
      <c r="H18356" s="4" t="str">
        <v/>
      </c>
      <c r="I18356" s="4" t="str">
        <v/>
      </c>
    </row>
    <row r="18357" spans="5:9" ht="16.5" hidden="1">
      <c r="E18357" s="4" t="str">
        <v/>
      </c>
      <c r="F18357" s="102" t="str">
        <f ca="1">IFERROR(__xludf.DUMMYFUNCTION("IMPORTRANGE(H18357,""IDENTITAS UNIT!D9"")"),"#N/A")</f>
        <v>#N/A</v>
      </c>
      <c r="H18357" s="4" t="str">
        <v/>
      </c>
      <c r="I18357" s="4" t="str">
        <v/>
      </c>
    </row>
    <row r="18358" spans="5:9" ht="16.5" hidden="1">
      <c r="E18358" s="4" t="str">
        <v/>
      </c>
      <c r="F18358" s="102" t="str">
        <f ca="1">IFERROR(__xludf.DUMMYFUNCTION("IMPORTRANGE(H18358,""IDENTITAS UNIT!D9"")"),"#N/A")</f>
        <v>#N/A</v>
      </c>
      <c r="H18358" s="4" t="str">
        <v/>
      </c>
      <c r="I18358" s="4" t="str">
        <v/>
      </c>
    </row>
    <row r="18359" spans="5:9" ht="16.5" hidden="1">
      <c r="E18359" s="4" t="str">
        <v/>
      </c>
      <c r="F18359" s="102" t="str">
        <f ca="1">IFERROR(__xludf.DUMMYFUNCTION("IMPORTRANGE(H18359,""IDENTITAS UNIT!D9"")"),"#N/A")</f>
        <v>#N/A</v>
      </c>
      <c r="H18359" s="4" t="str">
        <v/>
      </c>
      <c r="I18359" s="4" t="str">
        <v/>
      </c>
    </row>
    <row r="18360" spans="5:9" ht="16.5" hidden="1">
      <c r="E18360" s="4" t="str">
        <v/>
      </c>
      <c r="F18360" s="102" t="str">
        <f ca="1">IFERROR(__xludf.DUMMYFUNCTION("IMPORTRANGE(H18360,""IDENTITAS UNIT!D9"")"),"#N/A")</f>
        <v>#N/A</v>
      </c>
      <c r="H18360" s="4" t="str">
        <v/>
      </c>
      <c r="I18360" s="4" t="str">
        <v/>
      </c>
    </row>
    <row r="18361" spans="5:9" ht="16.5" hidden="1">
      <c r="E18361" s="4" t="str">
        <v/>
      </c>
      <c r="F18361" s="102" t="str">
        <f ca="1">IFERROR(__xludf.DUMMYFUNCTION("IMPORTRANGE(H18361,""IDENTITAS UNIT!D9"")"),"#N/A")</f>
        <v>#N/A</v>
      </c>
      <c r="H18361" s="4" t="str">
        <v/>
      </c>
      <c r="I18361" s="4" t="str">
        <v/>
      </c>
    </row>
    <row r="18362" spans="5:9" ht="16.5" hidden="1">
      <c r="E18362" s="4" t="str">
        <v/>
      </c>
      <c r="F18362" s="102" t="str">
        <f ca="1">IFERROR(__xludf.DUMMYFUNCTION("IMPORTRANGE(H18362,""IDENTITAS UNIT!D9"")"),"#N/A")</f>
        <v>#N/A</v>
      </c>
      <c r="H18362" s="4" t="str">
        <v/>
      </c>
      <c r="I18362" s="4" t="str">
        <v/>
      </c>
    </row>
    <row r="18363" spans="5:9" ht="16.5" hidden="1">
      <c r="E18363" s="4" t="str">
        <v/>
      </c>
      <c r="F18363" s="102" t="str">
        <f ca="1">IFERROR(__xludf.DUMMYFUNCTION("IMPORTRANGE(H18363,""IDENTITAS UNIT!D9"")"),"#N/A")</f>
        <v>#N/A</v>
      </c>
      <c r="H18363" s="4" t="str">
        <v/>
      </c>
      <c r="I18363" s="4" t="str">
        <v/>
      </c>
    </row>
    <row r="18364" spans="5:9" ht="16.5" hidden="1">
      <c r="E18364" s="4" t="str">
        <v/>
      </c>
      <c r="F18364" s="102" t="str">
        <f ca="1">IFERROR(__xludf.DUMMYFUNCTION("IMPORTRANGE(H18364,""IDENTITAS UNIT!D9"")"),"#N/A")</f>
        <v>#N/A</v>
      </c>
      <c r="H18364" s="4" t="str">
        <v/>
      </c>
      <c r="I18364" s="4" t="str">
        <v/>
      </c>
    </row>
    <row r="18365" spans="5:9" ht="16.5" hidden="1">
      <c r="E18365" s="4" t="str">
        <v/>
      </c>
      <c r="F18365" s="102" t="str">
        <f ca="1">IFERROR(__xludf.DUMMYFUNCTION("IMPORTRANGE(H18365,""IDENTITAS UNIT!D9"")"),"#N/A")</f>
        <v>#N/A</v>
      </c>
      <c r="H18365" s="4" t="str">
        <v/>
      </c>
      <c r="I18365" s="4" t="str">
        <v/>
      </c>
    </row>
    <row r="18366" spans="5:9" ht="16.5" hidden="1">
      <c r="E18366" s="4" t="str">
        <v/>
      </c>
      <c r="F18366" s="102" t="str">
        <f ca="1">IFERROR(__xludf.DUMMYFUNCTION("IMPORTRANGE(H18366,""IDENTITAS UNIT!D9"")"),"#N/A")</f>
        <v>#N/A</v>
      </c>
      <c r="H18366" s="4" t="str">
        <v/>
      </c>
      <c r="I18366" s="4" t="str">
        <v/>
      </c>
    </row>
    <row r="18367" spans="5:9" ht="16.5" hidden="1">
      <c r="E18367" s="4" t="str">
        <v/>
      </c>
      <c r="F18367" s="102" t="str">
        <f ca="1">IFERROR(__xludf.DUMMYFUNCTION("IMPORTRANGE(H18367,""IDENTITAS UNIT!D9"")"),"#N/A")</f>
        <v>#N/A</v>
      </c>
      <c r="H18367" s="4" t="str">
        <v/>
      </c>
      <c r="I18367" s="4" t="str">
        <v/>
      </c>
    </row>
    <row r="18368" spans="5:9" ht="16.5" hidden="1">
      <c r="E18368" s="4" t="str">
        <v/>
      </c>
      <c r="F18368" s="102" t="str">
        <f ca="1">IFERROR(__xludf.DUMMYFUNCTION("IMPORTRANGE(H18368,""IDENTITAS UNIT!D9"")"),"#N/A")</f>
        <v>#N/A</v>
      </c>
      <c r="H18368" s="4" t="str">
        <v/>
      </c>
      <c r="I18368" s="4" t="str">
        <v/>
      </c>
    </row>
    <row r="18369" spans="5:9" ht="16.5" hidden="1">
      <c r="E18369" s="4" t="str">
        <v/>
      </c>
      <c r="F18369" s="102" t="str">
        <f ca="1">IFERROR(__xludf.DUMMYFUNCTION("IMPORTRANGE(H18369,""IDENTITAS UNIT!D9"")"),"#N/A")</f>
        <v>#N/A</v>
      </c>
      <c r="H18369" s="4" t="str">
        <v/>
      </c>
      <c r="I18369" s="4" t="str">
        <v/>
      </c>
    </row>
    <row r="18370" spans="5:9" ht="16.5" hidden="1">
      <c r="E18370" s="4" t="str">
        <v/>
      </c>
      <c r="F18370" s="102" t="str">
        <f ca="1">IFERROR(__xludf.DUMMYFUNCTION("IMPORTRANGE(H18370,""IDENTITAS UNIT!D9"")"),"#N/A")</f>
        <v>#N/A</v>
      </c>
      <c r="H18370" s="4" t="str">
        <v/>
      </c>
      <c r="I18370" s="4" t="str">
        <v/>
      </c>
    </row>
    <row r="18371" spans="5:9" ht="16.5" hidden="1">
      <c r="E18371" s="4" t="str">
        <v/>
      </c>
      <c r="F18371" s="102" t="str">
        <f ca="1">IFERROR(__xludf.DUMMYFUNCTION("IMPORTRANGE(H18371,""IDENTITAS UNIT!D9"")"),"#N/A")</f>
        <v>#N/A</v>
      </c>
      <c r="H18371" s="4" t="str">
        <v/>
      </c>
      <c r="I18371" s="4" t="str">
        <v/>
      </c>
    </row>
    <row r="18372" spans="5:9" ht="16.5" hidden="1">
      <c r="E18372" s="4" t="str">
        <v/>
      </c>
      <c r="F18372" s="102" t="str">
        <f ca="1">IFERROR(__xludf.DUMMYFUNCTION("IMPORTRANGE(H18372,""IDENTITAS UNIT!D9"")"),"#N/A")</f>
        <v>#N/A</v>
      </c>
      <c r="H18372" s="4" t="str">
        <v/>
      </c>
      <c r="I18372" s="4" t="str">
        <v/>
      </c>
    </row>
    <row r="18373" spans="5:9" ht="16.5" hidden="1">
      <c r="E18373" s="4" t="str">
        <v/>
      </c>
      <c r="F18373" s="102" t="str">
        <f ca="1">IFERROR(__xludf.DUMMYFUNCTION("IMPORTRANGE(H18373,""IDENTITAS UNIT!D9"")"),"#N/A")</f>
        <v>#N/A</v>
      </c>
      <c r="H18373" s="4" t="str">
        <v/>
      </c>
      <c r="I18373" s="4" t="str">
        <v/>
      </c>
    </row>
    <row r="18374" spans="5:9" ht="16.5" hidden="1">
      <c r="E18374" s="4" t="str">
        <v/>
      </c>
      <c r="F18374" s="102" t="str">
        <f ca="1">IFERROR(__xludf.DUMMYFUNCTION("IMPORTRANGE(H18374,""IDENTITAS UNIT!D9"")"),"#N/A")</f>
        <v>#N/A</v>
      </c>
      <c r="H18374" s="4" t="str">
        <v/>
      </c>
      <c r="I18374" s="4" t="str">
        <v/>
      </c>
    </row>
    <row r="18375" spans="5:9" ht="16.5" hidden="1">
      <c r="E18375" s="4" t="str">
        <v/>
      </c>
      <c r="F18375" s="102" t="str">
        <f ca="1">IFERROR(__xludf.DUMMYFUNCTION("IMPORTRANGE(H18375,""IDENTITAS UNIT!D9"")"),"#N/A")</f>
        <v>#N/A</v>
      </c>
      <c r="H18375" s="4" t="str">
        <v/>
      </c>
      <c r="I18375" s="4" t="str">
        <v/>
      </c>
    </row>
    <row r="18376" spans="5:9" ht="16.5" hidden="1">
      <c r="E18376" s="4" t="str">
        <v/>
      </c>
      <c r="F18376" s="102" t="str">
        <f ca="1">IFERROR(__xludf.DUMMYFUNCTION("IMPORTRANGE(H18376,""IDENTITAS UNIT!D9"")"),"#N/A")</f>
        <v>#N/A</v>
      </c>
      <c r="H18376" s="4" t="str">
        <v/>
      </c>
      <c r="I18376" s="4" t="str">
        <v/>
      </c>
    </row>
    <row r="18377" spans="5:9" ht="16.5" hidden="1">
      <c r="E18377" s="4" t="str">
        <v/>
      </c>
      <c r="F18377" s="102" t="str">
        <f ca="1">IFERROR(__xludf.DUMMYFUNCTION("IMPORTRANGE(H18377,""IDENTITAS UNIT!D9"")"),"#N/A")</f>
        <v>#N/A</v>
      </c>
      <c r="H18377" s="4" t="str">
        <v/>
      </c>
      <c r="I18377" s="4" t="str">
        <v/>
      </c>
    </row>
    <row r="18378" spans="5:9" ht="16.5" hidden="1">
      <c r="E18378" s="4" t="str">
        <v/>
      </c>
      <c r="F18378" s="102" t="str">
        <f ca="1">IFERROR(__xludf.DUMMYFUNCTION("IMPORTRANGE(H18378,""IDENTITAS UNIT!D9"")"),"#N/A")</f>
        <v>#N/A</v>
      </c>
      <c r="H18378" s="4" t="str">
        <v/>
      </c>
      <c r="I18378" s="4" t="str">
        <v/>
      </c>
    </row>
    <row r="18379" spans="5:9" ht="16.5" hidden="1">
      <c r="E18379" s="4" t="str">
        <v/>
      </c>
      <c r="F18379" s="102" t="str">
        <f ca="1">IFERROR(__xludf.DUMMYFUNCTION("IMPORTRANGE(H18379,""IDENTITAS UNIT!D9"")"),"#N/A")</f>
        <v>#N/A</v>
      </c>
      <c r="H18379" s="4" t="str">
        <v/>
      </c>
      <c r="I18379" s="4" t="str">
        <v/>
      </c>
    </row>
    <row r="18380" spans="5:9" ht="16.5" hidden="1">
      <c r="E18380" s="4" t="str">
        <v/>
      </c>
      <c r="F18380" s="102" t="str">
        <f ca="1">IFERROR(__xludf.DUMMYFUNCTION("IMPORTRANGE(H18380,""IDENTITAS UNIT!D9"")"),"#N/A")</f>
        <v>#N/A</v>
      </c>
      <c r="H18380" s="4" t="str">
        <v/>
      </c>
      <c r="I18380" s="4" t="str">
        <v/>
      </c>
    </row>
    <row r="18381" spans="5:9" ht="16.5" hidden="1">
      <c r="E18381" s="4" t="str">
        <v/>
      </c>
      <c r="F18381" s="102" t="str">
        <f ca="1">IFERROR(__xludf.DUMMYFUNCTION("IMPORTRANGE(H18381,""IDENTITAS UNIT!D9"")"),"#N/A")</f>
        <v>#N/A</v>
      </c>
      <c r="H18381" s="4" t="str">
        <v/>
      </c>
      <c r="I18381" s="4" t="str">
        <v/>
      </c>
    </row>
    <row r="18382" spans="5:9" ht="16.5" hidden="1">
      <c r="E18382" s="4" t="str">
        <v/>
      </c>
      <c r="F18382" s="102" t="str">
        <f ca="1">IFERROR(__xludf.DUMMYFUNCTION("IMPORTRANGE(H18382,""IDENTITAS UNIT!D9"")"),"#N/A")</f>
        <v>#N/A</v>
      </c>
      <c r="H18382" s="4" t="str">
        <v/>
      </c>
      <c r="I18382" s="4" t="str">
        <v/>
      </c>
    </row>
    <row r="18383" spans="5:9" ht="16.5" hidden="1">
      <c r="E18383" s="4" t="str">
        <v/>
      </c>
      <c r="F18383" s="102" t="str">
        <f ca="1">IFERROR(__xludf.DUMMYFUNCTION("IMPORTRANGE(H18383,""IDENTITAS UNIT!D9"")"),"#N/A")</f>
        <v>#N/A</v>
      </c>
      <c r="H18383" s="4" t="str">
        <v/>
      </c>
      <c r="I18383" s="4" t="str">
        <v/>
      </c>
    </row>
    <row r="18384" spans="5:9" ht="16.5" hidden="1">
      <c r="E18384" s="4" t="str">
        <v/>
      </c>
      <c r="F18384" s="102" t="str">
        <f ca="1">IFERROR(__xludf.DUMMYFUNCTION("IMPORTRANGE(H18384,""IDENTITAS UNIT!D9"")"),"#N/A")</f>
        <v>#N/A</v>
      </c>
      <c r="H18384" s="4" t="str">
        <v/>
      </c>
      <c r="I18384" s="4" t="str">
        <v/>
      </c>
    </row>
    <row r="18385" spans="5:9" ht="16.5" hidden="1">
      <c r="E18385" s="4" t="str">
        <v/>
      </c>
      <c r="F18385" s="102" t="str">
        <f ca="1">IFERROR(__xludf.DUMMYFUNCTION("IMPORTRANGE(H18385,""IDENTITAS UNIT!D9"")"),"#N/A")</f>
        <v>#N/A</v>
      </c>
      <c r="H18385" s="4" t="str">
        <v/>
      </c>
      <c r="I18385" s="4" t="str">
        <v/>
      </c>
    </row>
    <row r="18386" spans="5:9" ht="16.5" hidden="1">
      <c r="E18386" s="4" t="str">
        <v/>
      </c>
      <c r="F18386" s="102" t="str">
        <f ca="1">IFERROR(__xludf.DUMMYFUNCTION("IMPORTRANGE(H18386,""IDENTITAS UNIT!D9"")"),"#N/A")</f>
        <v>#N/A</v>
      </c>
      <c r="H18386" s="4" t="str">
        <v/>
      </c>
      <c r="I18386" s="4" t="str">
        <v/>
      </c>
    </row>
    <row r="18387" spans="5:9" ht="16.5" hidden="1">
      <c r="E18387" s="4" t="str">
        <v/>
      </c>
      <c r="F18387" s="102" t="str">
        <f ca="1">IFERROR(__xludf.DUMMYFUNCTION("IMPORTRANGE(H18387,""IDENTITAS UNIT!D9"")"),"#N/A")</f>
        <v>#N/A</v>
      </c>
      <c r="H18387" s="4" t="str">
        <v/>
      </c>
      <c r="I18387" s="4" t="str">
        <v/>
      </c>
    </row>
    <row r="18388" spans="5:9" ht="16.5" hidden="1">
      <c r="E18388" s="4" t="str">
        <v/>
      </c>
      <c r="F18388" s="102" t="str">
        <f ca="1">IFERROR(__xludf.DUMMYFUNCTION("IMPORTRANGE(H18388,""IDENTITAS UNIT!D9"")"),"#N/A")</f>
        <v>#N/A</v>
      </c>
      <c r="H18388" s="4" t="str">
        <v/>
      </c>
      <c r="I18388" s="4" t="str">
        <v/>
      </c>
    </row>
    <row r="18389" spans="5:9" ht="16.5" hidden="1">
      <c r="E18389" s="4" t="str">
        <v/>
      </c>
      <c r="F18389" s="102" t="str">
        <f ca="1">IFERROR(__xludf.DUMMYFUNCTION("IMPORTRANGE(H18389,""IDENTITAS UNIT!D9"")"),"#N/A")</f>
        <v>#N/A</v>
      </c>
      <c r="H18389" s="4" t="str">
        <v/>
      </c>
      <c r="I18389" s="4" t="str">
        <v/>
      </c>
    </row>
    <row r="18390" spans="5:9" ht="16.5" hidden="1">
      <c r="E18390" s="4" t="str">
        <v/>
      </c>
      <c r="F18390" s="102" t="str">
        <f ca="1">IFERROR(__xludf.DUMMYFUNCTION("IMPORTRANGE(H18390,""IDENTITAS UNIT!D9"")"),"#N/A")</f>
        <v>#N/A</v>
      </c>
      <c r="H18390" s="4" t="str">
        <v/>
      </c>
      <c r="I18390" s="4" t="str">
        <v/>
      </c>
    </row>
    <row r="18391" spans="5:9" ht="16.5" hidden="1">
      <c r="E18391" s="4" t="str">
        <v/>
      </c>
      <c r="F18391" s="102" t="str">
        <f ca="1">IFERROR(__xludf.DUMMYFUNCTION("IMPORTRANGE(H18391,""IDENTITAS UNIT!D9"")"),"#N/A")</f>
        <v>#N/A</v>
      </c>
      <c r="H18391" s="4" t="str">
        <v/>
      </c>
      <c r="I18391" s="4" t="str">
        <v/>
      </c>
    </row>
    <row r="18392" spans="5:9" ht="16.5" hidden="1">
      <c r="E18392" s="4" t="str">
        <v/>
      </c>
      <c r="F18392" s="102" t="str">
        <f ca="1">IFERROR(__xludf.DUMMYFUNCTION("IMPORTRANGE(H18392,""IDENTITAS UNIT!D9"")"),"#N/A")</f>
        <v>#N/A</v>
      </c>
      <c r="H18392" s="4" t="str">
        <v/>
      </c>
      <c r="I18392" s="4" t="str">
        <v/>
      </c>
    </row>
    <row r="18393" spans="5:9" ht="16.5" hidden="1">
      <c r="E18393" s="4" t="str">
        <v/>
      </c>
      <c r="F18393" s="102" t="str">
        <f ca="1">IFERROR(__xludf.DUMMYFUNCTION("IMPORTRANGE(H18393,""IDENTITAS UNIT!D9"")"),"#N/A")</f>
        <v>#N/A</v>
      </c>
      <c r="H18393" s="4" t="str">
        <v/>
      </c>
      <c r="I18393" s="4" t="str">
        <v/>
      </c>
    </row>
    <row r="18394" spans="5:9" ht="16.5" hidden="1">
      <c r="E18394" s="4" t="str">
        <v/>
      </c>
      <c r="F18394" s="102" t="str">
        <f ca="1">IFERROR(__xludf.DUMMYFUNCTION("IMPORTRANGE(H18394,""IDENTITAS UNIT!D9"")"),"#N/A")</f>
        <v>#N/A</v>
      </c>
      <c r="H18394" s="4" t="str">
        <v/>
      </c>
      <c r="I18394" s="4" t="str">
        <v/>
      </c>
    </row>
    <row r="18395" spans="5:9" ht="16.5" hidden="1">
      <c r="E18395" s="4" t="str">
        <v/>
      </c>
      <c r="F18395" s="102" t="str">
        <f ca="1">IFERROR(__xludf.DUMMYFUNCTION("IMPORTRANGE(H18395,""IDENTITAS UNIT!D9"")"),"#N/A")</f>
        <v>#N/A</v>
      </c>
      <c r="H18395" s="4" t="str">
        <v/>
      </c>
      <c r="I18395" s="4" t="str">
        <v/>
      </c>
    </row>
    <row r="18396" spans="5:9" ht="16.5" hidden="1">
      <c r="E18396" s="4" t="str">
        <v/>
      </c>
      <c r="F18396" s="102" t="str">
        <f ca="1">IFERROR(__xludf.DUMMYFUNCTION("IMPORTRANGE(H18396,""IDENTITAS UNIT!D9"")"),"#N/A")</f>
        <v>#N/A</v>
      </c>
      <c r="H18396" s="4" t="str">
        <v/>
      </c>
      <c r="I18396" s="4" t="str">
        <v/>
      </c>
    </row>
    <row r="18397" spans="5:9" ht="16.5" hidden="1">
      <c r="E18397" s="4" t="str">
        <v/>
      </c>
      <c r="F18397" s="102" t="str">
        <f ca="1">IFERROR(__xludf.DUMMYFUNCTION("IMPORTRANGE(H18397,""IDENTITAS UNIT!D9"")"),"#N/A")</f>
        <v>#N/A</v>
      </c>
      <c r="H18397" s="4" t="str">
        <v/>
      </c>
      <c r="I18397" s="4" t="str">
        <v/>
      </c>
    </row>
    <row r="18398" spans="5:9" ht="16.5" hidden="1">
      <c r="E18398" s="4" t="str">
        <v/>
      </c>
      <c r="F18398" s="102" t="str">
        <f ca="1">IFERROR(__xludf.DUMMYFUNCTION("IMPORTRANGE(H18398,""IDENTITAS UNIT!D9"")"),"#N/A")</f>
        <v>#N/A</v>
      </c>
      <c r="H18398" s="4" t="str">
        <v/>
      </c>
      <c r="I18398" s="4" t="str">
        <v/>
      </c>
    </row>
    <row r="18399" spans="5:9" ht="16.5" hidden="1">
      <c r="E18399" s="4" t="str">
        <v/>
      </c>
      <c r="F18399" s="102" t="str">
        <f ca="1">IFERROR(__xludf.DUMMYFUNCTION("IMPORTRANGE(H18399,""IDENTITAS UNIT!D9"")"),"#N/A")</f>
        <v>#N/A</v>
      </c>
      <c r="H18399" s="4" t="str">
        <v/>
      </c>
      <c r="I18399" s="4" t="str">
        <v/>
      </c>
    </row>
    <row r="18400" spans="5:9" ht="16.5" hidden="1">
      <c r="E18400" s="4" t="str">
        <v/>
      </c>
      <c r="F18400" s="102" t="str">
        <f ca="1">IFERROR(__xludf.DUMMYFUNCTION("IMPORTRANGE(H18400,""IDENTITAS UNIT!D9"")"),"#N/A")</f>
        <v>#N/A</v>
      </c>
      <c r="H18400" s="4" t="str">
        <v/>
      </c>
      <c r="I18400" s="4" t="str">
        <v/>
      </c>
    </row>
    <row r="18401" spans="5:9" ht="16.5" hidden="1">
      <c r="E18401" s="4" t="str">
        <v/>
      </c>
      <c r="F18401" s="102" t="str">
        <f ca="1">IFERROR(__xludf.DUMMYFUNCTION("IMPORTRANGE(H18401,""IDENTITAS UNIT!D9"")"),"#N/A")</f>
        <v>#N/A</v>
      </c>
      <c r="H18401" s="4" t="str">
        <v/>
      </c>
      <c r="I18401" s="4" t="str">
        <v/>
      </c>
    </row>
    <row r="18402" spans="5:9" ht="16.5" hidden="1">
      <c r="E18402" s="4" t="str">
        <v/>
      </c>
      <c r="F18402" s="102" t="str">
        <f ca="1">IFERROR(__xludf.DUMMYFUNCTION("IMPORTRANGE(H18402,""IDENTITAS UNIT!D9"")"),"#N/A")</f>
        <v>#N/A</v>
      </c>
      <c r="H18402" s="4" t="str">
        <v/>
      </c>
      <c r="I18402" s="4" t="str">
        <v/>
      </c>
    </row>
    <row r="18403" spans="5:9" ht="16.5" hidden="1">
      <c r="E18403" s="4" t="str">
        <v/>
      </c>
      <c r="F18403" s="102" t="str">
        <f ca="1">IFERROR(__xludf.DUMMYFUNCTION("IMPORTRANGE(H18403,""IDENTITAS UNIT!D9"")"),"#N/A")</f>
        <v>#N/A</v>
      </c>
      <c r="H18403" s="4" t="str">
        <v/>
      </c>
      <c r="I18403" s="4" t="str">
        <v/>
      </c>
    </row>
    <row r="18404" spans="5:9" ht="16.5" hidden="1">
      <c r="E18404" s="4" t="str">
        <v/>
      </c>
      <c r="F18404" s="102" t="str">
        <f ca="1">IFERROR(__xludf.DUMMYFUNCTION("IMPORTRANGE(H18404,""IDENTITAS UNIT!D9"")"),"#N/A")</f>
        <v>#N/A</v>
      </c>
      <c r="H18404" s="4" t="str">
        <v/>
      </c>
      <c r="I18404" s="4" t="str">
        <v/>
      </c>
    </row>
    <row r="18405" spans="5:9" ht="16.5" hidden="1">
      <c r="E18405" s="4" t="str">
        <v/>
      </c>
      <c r="F18405" s="102" t="str">
        <f ca="1">IFERROR(__xludf.DUMMYFUNCTION("IMPORTRANGE(H18405,""IDENTITAS UNIT!D9"")"),"#N/A")</f>
        <v>#N/A</v>
      </c>
      <c r="H18405" s="4" t="str">
        <v/>
      </c>
      <c r="I18405" s="4" t="str">
        <v/>
      </c>
    </row>
    <row r="18406" spans="5:9" ht="16.5" hidden="1">
      <c r="E18406" s="4" t="str">
        <v/>
      </c>
      <c r="F18406" s="102" t="str">
        <f ca="1">IFERROR(__xludf.DUMMYFUNCTION("IMPORTRANGE(H18406,""IDENTITAS UNIT!D9"")"),"#N/A")</f>
        <v>#N/A</v>
      </c>
      <c r="H18406" s="4" t="str">
        <v/>
      </c>
      <c r="I18406" s="4" t="str">
        <v/>
      </c>
    </row>
    <row r="18407" spans="5:9" ht="16.5" hidden="1">
      <c r="E18407" s="4" t="str">
        <v/>
      </c>
      <c r="F18407" s="102" t="str">
        <f ca="1">IFERROR(__xludf.DUMMYFUNCTION("IMPORTRANGE(H18407,""IDENTITAS UNIT!D9"")"),"#N/A")</f>
        <v>#N/A</v>
      </c>
      <c r="H18407" s="4" t="str">
        <v/>
      </c>
      <c r="I18407" s="4" t="str">
        <v/>
      </c>
    </row>
    <row r="18408" spans="5:9" ht="16.5" hidden="1">
      <c r="E18408" s="4" t="str">
        <v/>
      </c>
      <c r="F18408" s="102" t="str">
        <f ca="1">IFERROR(__xludf.DUMMYFUNCTION("IMPORTRANGE(H18408,""IDENTITAS UNIT!D9"")"),"#N/A")</f>
        <v>#N/A</v>
      </c>
      <c r="H18408" s="4" t="str">
        <v/>
      </c>
      <c r="I18408" s="4" t="str">
        <v/>
      </c>
    </row>
    <row r="18409" spans="5:9" ht="16.5" hidden="1">
      <c r="E18409" s="4" t="str">
        <v/>
      </c>
      <c r="F18409" s="102" t="str">
        <f ca="1">IFERROR(__xludf.DUMMYFUNCTION("IMPORTRANGE(H18409,""IDENTITAS UNIT!D9"")"),"#N/A")</f>
        <v>#N/A</v>
      </c>
      <c r="H18409" s="4" t="str">
        <v/>
      </c>
      <c r="I18409" s="4" t="str">
        <v/>
      </c>
    </row>
    <row r="18410" spans="5:9" ht="16.5" hidden="1">
      <c r="E18410" s="4" t="str">
        <v/>
      </c>
      <c r="F18410" s="102" t="str">
        <f ca="1">IFERROR(__xludf.DUMMYFUNCTION("IMPORTRANGE(H18410,""IDENTITAS UNIT!D9"")"),"#N/A")</f>
        <v>#N/A</v>
      </c>
      <c r="H18410" s="4" t="str">
        <v/>
      </c>
      <c r="I18410" s="4" t="str">
        <v/>
      </c>
    </row>
    <row r="18411" spans="5:9" ht="16.5" hidden="1">
      <c r="E18411" s="4" t="str">
        <v/>
      </c>
      <c r="F18411" s="102" t="str">
        <f ca="1">IFERROR(__xludf.DUMMYFUNCTION("IMPORTRANGE(H18411,""IDENTITAS UNIT!D9"")"),"#N/A")</f>
        <v>#N/A</v>
      </c>
      <c r="H18411" s="4" t="str">
        <v/>
      </c>
      <c r="I18411" s="4" t="str">
        <v/>
      </c>
    </row>
    <row r="18412" spans="5:9" ht="16.5" hidden="1">
      <c r="E18412" s="4" t="str">
        <v/>
      </c>
      <c r="F18412" s="102" t="str">
        <f ca="1">IFERROR(__xludf.DUMMYFUNCTION("IMPORTRANGE(H18412,""IDENTITAS UNIT!D9"")"),"#N/A")</f>
        <v>#N/A</v>
      </c>
      <c r="H18412" s="4" t="str">
        <v/>
      </c>
      <c r="I18412" s="4" t="str">
        <v/>
      </c>
    </row>
    <row r="18413" spans="5:9" ht="16.5" hidden="1">
      <c r="E18413" s="4" t="str">
        <v/>
      </c>
      <c r="F18413" s="102" t="str">
        <f ca="1">IFERROR(__xludf.DUMMYFUNCTION("IMPORTRANGE(H18413,""IDENTITAS UNIT!D9"")"),"#N/A")</f>
        <v>#N/A</v>
      </c>
      <c r="H18413" s="4" t="str">
        <v/>
      </c>
      <c r="I18413" s="4" t="str">
        <v/>
      </c>
    </row>
    <row r="18414" spans="5:9" ht="16.5" hidden="1">
      <c r="E18414" s="4" t="str">
        <v/>
      </c>
      <c r="F18414" s="102" t="str">
        <f ca="1">IFERROR(__xludf.DUMMYFUNCTION("IMPORTRANGE(H18414,""IDENTITAS UNIT!D9"")"),"#N/A")</f>
        <v>#N/A</v>
      </c>
      <c r="H18414" s="4" t="str">
        <v/>
      </c>
      <c r="I18414" s="4" t="str">
        <v/>
      </c>
    </row>
    <row r="18415" spans="5:9" ht="16.5" hidden="1">
      <c r="E18415" s="4" t="str">
        <v/>
      </c>
      <c r="F18415" s="102" t="str">
        <f ca="1">IFERROR(__xludf.DUMMYFUNCTION("IMPORTRANGE(H18415,""IDENTITAS UNIT!D9"")"),"#N/A")</f>
        <v>#N/A</v>
      </c>
      <c r="H18415" s="4" t="str">
        <v/>
      </c>
      <c r="I18415" s="4" t="str">
        <v/>
      </c>
    </row>
    <row r="18416" spans="5:9" ht="16.5" hidden="1">
      <c r="E18416" s="4" t="str">
        <v/>
      </c>
      <c r="F18416" s="102" t="str">
        <f ca="1">IFERROR(__xludf.DUMMYFUNCTION("IMPORTRANGE(H18416,""IDENTITAS UNIT!D9"")"),"#N/A")</f>
        <v>#N/A</v>
      </c>
      <c r="H18416" s="4" t="str">
        <v/>
      </c>
      <c r="I18416" s="4" t="str">
        <v/>
      </c>
    </row>
    <row r="18417" spans="5:9" ht="16.5" hidden="1">
      <c r="E18417" s="4" t="str">
        <v/>
      </c>
      <c r="F18417" s="102" t="str">
        <f ca="1">IFERROR(__xludf.DUMMYFUNCTION("IMPORTRANGE(H18417,""IDENTITAS UNIT!D9"")"),"#N/A")</f>
        <v>#N/A</v>
      </c>
      <c r="H18417" s="4" t="str">
        <v/>
      </c>
      <c r="I18417" s="4" t="str">
        <v/>
      </c>
    </row>
    <row r="18418" spans="5:9" ht="16.5" hidden="1">
      <c r="E18418" s="4" t="str">
        <v/>
      </c>
      <c r="F18418" s="102" t="str">
        <f ca="1">IFERROR(__xludf.DUMMYFUNCTION("IMPORTRANGE(H18418,""IDENTITAS UNIT!D9"")"),"#N/A")</f>
        <v>#N/A</v>
      </c>
      <c r="H18418" s="4" t="str">
        <v/>
      </c>
      <c r="I18418" s="4" t="str">
        <v/>
      </c>
    </row>
    <row r="18419" spans="5:9" ht="16.5" hidden="1">
      <c r="E18419" s="4" t="str">
        <v/>
      </c>
      <c r="F18419" s="102" t="str">
        <f ca="1">IFERROR(__xludf.DUMMYFUNCTION("IMPORTRANGE(H18419,""IDENTITAS UNIT!D9"")"),"#N/A")</f>
        <v>#N/A</v>
      </c>
      <c r="H18419" s="4" t="str">
        <v/>
      </c>
      <c r="I18419" s="4" t="str">
        <v/>
      </c>
    </row>
    <row r="18420" spans="5:9" ht="16.5" hidden="1">
      <c r="E18420" s="4" t="str">
        <v/>
      </c>
      <c r="F18420" s="102" t="str">
        <f ca="1">IFERROR(__xludf.DUMMYFUNCTION("IMPORTRANGE(H18420,""IDENTITAS UNIT!D9"")"),"#N/A")</f>
        <v>#N/A</v>
      </c>
      <c r="H18420" s="4" t="str">
        <v/>
      </c>
      <c r="I18420" s="4" t="str">
        <v/>
      </c>
    </row>
    <row r="18421" spans="5:9" ht="16.5" hidden="1">
      <c r="E18421" s="4" t="str">
        <v/>
      </c>
      <c r="F18421" s="102" t="str">
        <f ca="1">IFERROR(__xludf.DUMMYFUNCTION("IMPORTRANGE(H18421,""IDENTITAS UNIT!D9"")"),"#N/A")</f>
        <v>#N/A</v>
      </c>
      <c r="H18421" s="4" t="str">
        <v/>
      </c>
      <c r="I18421" s="4" t="str">
        <v/>
      </c>
    </row>
    <row r="18422" spans="5:9" ht="16.5" hidden="1">
      <c r="E18422" s="4" t="str">
        <v/>
      </c>
      <c r="F18422" s="102" t="str">
        <f ca="1">IFERROR(__xludf.DUMMYFUNCTION("IMPORTRANGE(H18422,""IDENTITAS UNIT!D9"")"),"#N/A")</f>
        <v>#N/A</v>
      </c>
      <c r="H18422" s="4" t="str">
        <v/>
      </c>
      <c r="I18422" s="4" t="str">
        <v/>
      </c>
    </row>
    <row r="18423" spans="5:9" ht="16.5" hidden="1">
      <c r="E18423" s="4" t="str">
        <v/>
      </c>
      <c r="F18423" s="102" t="str">
        <f ca="1">IFERROR(__xludf.DUMMYFUNCTION("IMPORTRANGE(H18423,""IDENTITAS UNIT!D9"")"),"#N/A")</f>
        <v>#N/A</v>
      </c>
      <c r="H18423" s="4" t="str">
        <v/>
      </c>
      <c r="I18423" s="4" t="str">
        <v/>
      </c>
    </row>
    <row r="18424" spans="5:9" ht="16.5" hidden="1">
      <c r="E18424" s="4" t="str">
        <v/>
      </c>
      <c r="F18424" s="102" t="str">
        <f ca="1">IFERROR(__xludf.DUMMYFUNCTION("IMPORTRANGE(H18424,""IDENTITAS UNIT!D9"")"),"#N/A")</f>
        <v>#N/A</v>
      </c>
      <c r="H18424" s="4" t="str">
        <v/>
      </c>
      <c r="I18424" s="4" t="str">
        <v/>
      </c>
    </row>
    <row r="18425" spans="5:9" ht="16.5" hidden="1">
      <c r="E18425" s="4" t="str">
        <v/>
      </c>
      <c r="F18425" s="102" t="str">
        <f ca="1">IFERROR(__xludf.DUMMYFUNCTION("IMPORTRANGE(H18425,""IDENTITAS UNIT!D9"")"),"#N/A")</f>
        <v>#N/A</v>
      </c>
      <c r="H18425" s="4" t="str">
        <v/>
      </c>
      <c r="I18425" s="4" t="str">
        <v/>
      </c>
    </row>
    <row r="18426" spans="5:9" ht="16.5" hidden="1">
      <c r="E18426" s="4" t="str">
        <v/>
      </c>
      <c r="F18426" s="102" t="str">
        <f ca="1">IFERROR(__xludf.DUMMYFUNCTION("IMPORTRANGE(H18426,""IDENTITAS UNIT!D9"")"),"#N/A")</f>
        <v>#N/A</v>
      </c>
      <c r="H18426" s="4" t="str">
        <v/>
      </c>
      <c r="I18426" s="4" t="str">
        <v/>
      </c>
    </row>
    <row r="18427" spans="5:9" ht="16.5" hidden="1">
      <c r="E18427" s="4" t="str">
        <v/>
      </c>
      <c r="F18427" s="102" t="str">
        <f ca="1">IFERROR(__xludf.DUMMYFUNCTION("IMPORTRANGE(H18427,""IDENTITAS UNIT!D9"")"),"#N/A")</f>
        <v>#N/A</v>
      </c>
      <c r="H18427" s="4" t="str">
        <v/>
      </c>
      <c r="I18427" s="4" t="str">
        <v/>
      </c>
    </row>
    <row r="18428" spans="5:9" ht="16.5" hidden="1">
      <c r="E18428" s="4" t="str">
        <v/>
      </c>
      <c r="F18428" s="102" t="str">
        <f ca="1">IFERROR(__xludf.DUMMYFUNCTION("IMPORTRANGE(H18428,""IDENTITAS UNIT!D9"")"),"#N/A")</f>
        <v>#N/A</v>
      </c>
      <c r="H18428" s="4" t="str">
        <v/>
      </c>
      <c r="I18428" s="4" t="str">
        <v/>
      </c>
    </row>
    <row r="18429" spans="5:9" ht="16.5" hidden="1">
      <c r="E18429" s="4" t="str">
        <v/>
      </c>
      <c r="F18429" s="102" t="str">
        <f ca="1">IFERROR(__xludf.DUMMYFUNCTION("IMPORTRANGE(H18429,""IDENTITAS UNIT!D9"")"),"#N/A")</f>
        <v>#N/A</v>
      </c>
      <c r="H18429" s="4" t="str">
        <v/>
      </c>
      <c r="I18429" s="4" t="str">
        <v/>
      </c>
    </row>
    <row r="18430" spans="5:9" ht="16.5" hidden="1">
      <c r="E18430" s="4" t="str">
        <v/>
      </c>
      <c r="F18430" s="102" t="str">
        <f ca="1">IFERROR(__xludf.DUMMYFUNCTION("IMPORTRANGE(H18430,""IDENTITAS UNIT!D9"")"),"#N/A")</f>
        <v>#N/A</v>
      </c>
      <c r="H18430" s="4" t="str">
        <v/>
      </c>
      <c r="I18430" s="4" t="str">
        <v/>
      </c>
    </row>
    <row r="18431" spans="5:9" ht="16.5" hidden="1">
      <c r="E18431" s="4" t="str">
        <v/>
      </c>
      <c r="F18431" s="102" t="str">
        <f ca="1">IFERROR(__xludf.DUMMYFUNCTION("IMPORTRANGE(H18431,""IDENTITAS UNIT!D9"")"),"#N/A")</f>
        <v>#N/A</v>
      </c>
      <c r="H18431" s="4" t="str">
        <v/>
      </c>
      <c r="I18431" s="4" t="str">
        <v/>
      </c>
    </row>
    <row r="18432" spans="5:9" ht="16.5" hidden="1">
      <c r="E18432" s="4" t="str">
        <v/>
      </c>
      <c r="F18432" s="102" t="str">
        <f ca="1">IFERROR(__xludf.DUMMYFUNCTION("IMPORTRANGE(H18432,""IDENTITAS UNIT!D9"")"),"#N/A")</f>
        <v>#N/A</v>
      </c>
      <c r="H18432" s="4" t="str">
        <v/>
      </c>
      <c r="I18432" s="4" t="str">
        <v/>
      </c>
    </row>
    <row r="18433" spans="5:9" ht="16.5" hidden="1">
      <c r="E18433" s="4" t="str">
        <v/>
      </c>
      <c r="F18433" s="102" t="str">
        <f ca="1">IFERROR(__xludf.DUMMYFUNCTION("IMPORTRANGE(H18433,""IDENTITAS UNIT!D9"")"),"#N/A")</f>
        <v>#N/A</v>
      </c>
      <c r="H18433" s="4" t="str">
        <v/>
      </c>
      <c r="I18433" s="4" t="str">
        <v/>
      </c>
    </row>
    <row r="18434" spans="5:9" ht="16.5" hidden="1">
      <c r="E18434" s="4" t="str">
        <v/>
      </c>
      <c r="F18434" s="102" t="str">
        <f ca="1">IFERROR(__xludf.DUMMYFUNCTION("IMPORTRANGE(H18434,""IDENTITAS UNIT!D9"")"),"#N/A")</f>
        <v>#N/A</v>
      </c>
      <c r="H18434" s="4" t="str">
        <v/>
      </c>
      <c r="I18434" s="4" t="str">
        <v/>
      </c>
    </row>
    <row r="18435" spans="5:9" ht="16.5" hidden="1">
      <c r="E18435" s="4" t="str">
        <v/>
      </c>
      <c r="F18435" s="102" t="str">
        <f ca="1">IFERROR(__xludf.DUMMYFUNCTION("IMPORTRANGE(H18435,""IDENTITAS UNIT!D9"")"),"#N/A")</f>
        <v>#N/A</v>
      </c>
      <c r="H18435" s="4" t="str">
        <v/>
      </c>
      <c r="I18435" s="4" t="str">
        <v/>
      </c>
    </row>
    <row r="18436" spans="5:9" ht="16.5" hidden="1">
      <c r="E18436" s="4" t="str">
        <v/>
      </c>
      <c r="F18436" s="102" t="str">
        <f ca="1">IFERROR(__xludf.DUMMYFUNCTION("IMPORTRANGE(H18436,""IDENTITAS UNIT!D9"")"),"#N/A")</f>
        <v>#N/A</v>
      </c>
      <c r="H18436" s="4" t="str">
        <v/>
      </c>
      <c r="I18436" s="4" t="str">
        <v/>
      </c>
    </row>
    <row r="18437" spans="5:9" ht="16.5" hidden="1">
      <c r="E18437" s="4" t="str">
        <v/>
      </c>
      <c r="F18437" s="102" t="str">
        <f ca="1">IFERROR(__xludf.DUMMYFUNCTION("IMPORTRANGE(H18437,""IDENTITAS UNIT!D9"")"),"#N/A")</f>
        <v>#N/A</v>
      </c>
      <c r="H18437" s="4" t="str">
        <v/>
      </c>
      <c r="I18437" s="4" t="str">
        <v/>
      </c>
    </row>
    <row r="18438" spans="5:9" ht="16.5" hidden="1">
      <c r="E18438" s="4" t="str">
        <v/>
      </c>
      <c r="F18438" s="102" t="str">
        <f ca="1">IFERROR(__xludf.DUMMYFUNCTION("IMPORTRANGE(H18438,""IDENTITAS UNIT!D9"")"),"#N/A")</f>
        <v>#N/A</v>
      </c>
      <c r="H18438" s="4" t="str">
        <v/>
      </c>
      <c r="I18438" s="4" t="str">
        <v/>
      </c>
    </row>
    <row r="18439" spans="5:9" ht="16.5" hidden="1">
      <c r="E18439" s="4" t="str">
        <v/>
      </c>
      <c r="F18439" s="102" t="str">
        <f ca="1">IFERROR(__xludf.DUMMYFUNCTION("IMPORTRANGE(H18439,""IDENTITAS UNIT!D9"")"),"#N/A")</f>
        <v>#N/A</v>
      </c>
      <c r="H18439" s="4" t="str">
        <v/>
      </c>
      <c r="I18439" s="4" t="str">
        <v/>
      </c>
    </row>
    <row r="18440" spans="5:9" ht="16.5" hidden="1">
      <c r="E18440" s="4" t="str">
        <v/>
      </c>
      <c r="F18440" s="102" t="str">
        <f ca="1">IFERROR(__xludf.DUMMYFUNCTION("IMPORTRANGE(H18440,""IDENTITAS UNIT!D9"")"),"#N/A")</f>
        <v>#N/A</v>
      </c>
      <c r="H18440" s="4" t="str">
        <v/>
      </c>
      <c r="I18440" s="4" t="str">
        <v/>
      </c>
    </row>
    <row r="18441" spans="5:9" ht="16.5" hidden="1">
      <c r="E18441" s="4" t="str">
        <v/>
      </c>
      <c r="F18441" s="102" t="str">
        <f ca="1">IFERROR(__xludf.DUMMYFUNCTION("IMPORTRANGE(H18441,""IDENTITAS UNIT!D9"")"),"#N/A")</f>
        <v>#N/A</v>
      </c>
      <c r="H18441" s="4" t="str">
        <v/>
      </c>
      <c r="I18441" s="4" t="str">
        <v/>
      </c>
    </row>
    <row r="18442" spans="5:9" ht="16.5" hidden="1">
      <c r="E18442" s="4" t="str">
        <v/>
      </c>
      <c r="F18442" s="102" t="str">
        <f ca="1">IFERROR(__xludf.DUMMYFUNCTION("IMPORTRANGE(H18442,""IDENTITAS UNIT!D9"")"),"#N/A")</f>
        <v>#N/A</v>
      </c>
      <c r="H18442" s="4" t="str">
        <v/>
      </c>
      <c r="I18442" s="4" t="str">
        <v/>
      </c>
    </row>
    <row r="18443" spans="5:9" ht="16.5" hidden="1">
      <c r="E18443" s="4" t="str">
        <v/>
      </c>
      <c r="F18443" s="102" t="str">
        <f ca="1">IFERROR(__xludf.DUMMYFUNCTION("IMPORTRANGE(H18443,""IDENTITAS UNIT!D9"")"),"#N/A")</f>
        <v>#N/A</v>
      </c>
      <c r="H18443" s="4" t="str">
        <v/>
      </c>
      <c r="I18443" s="4" t="str">
        <v/>
      </c>
    </row>
    <row r="18444" spans="5:9" ht="16.5" hidden="1">
      <c r="E18444" s="4" t="str">
        <v/>
      </c>
      <c r="F18444" s="102" t="str">
        <f ca="1">IFERROR(__xludf.DUMMYFUNCTION("IMPORTRANGE(H18444,""IDENTITAS UNIT!D9"")"),"#N/A")</f>
        <v>#N/A</v>
      </c>
      <c r="H18444" s="4" t="str">
        <v/>
      </c>
      <c r="I18444" s="4" t="str">
        <v/>
      </c>
    </row>
    <row r="18445" spans="5:9" ht="16.5" hidden="1">
      <c r="E18445" s="4" t="str">
        <v/>
      </c>
      <c r="F18445" s="102" t="str">
        <f ca="1">IFERROR(__xludf.DUMMYFUNCTION("IMPORTRANGE(H18445,""IDENTITAS UNIT!D9"")"),"#N/A")</f>
        <v>#N/A</v>
      </c>
      <c r="H18445" s="4" t="str">
        <v/>
      </c>
      <c r="I18445" s="4" t="str">
        <v/>
      </c>
    </row>
    <row r="18446" spans="5:9" ht="16.5" hidden="1">
      <c r="E18446" s="4" t="str">
        <v/>
      </c>
      <c r="F18446" s="102" t="str">
        <f ca="1">IFERROR(__xludf.DUMMYFUNCTION("IMPORTRANGE(H18446,""IDENTITAS UNIT!D9"")"),"#N/A")</f>
        <v>#N/A</v>
      </c>
      <c r="H18446" s="4" t="str">
        <v/>
      </c>
      <c r="I18446" s="4" t="str">
        <v/>
      </c>
    </row>
    <row r="18447" spans="5:9" ht="16.5" hidden="1">
      <c r="E18447" s="4" t="str">
        <v/>
      </c>
      <c r="F18447" s="102" t="str">
        <f ca="1">IFERROR(__xludf.DUMMYFUNCTION("IMPORTRANGE(H18447,""IDENTITAS UNIT!D9"")"),"#N/A")</f>
        <v>#N/A</v>
      </c>
      <c r="H18447" s="4" t="str">
        <v/>
      </c>
      <c r="I18447" s="4" t="str">
        <v/>
      </c>
    </row>
    <row r="18448" spans="5:9" ht="16.5" hidden="1">
      <c r="E18448" s="4" t="str">
        <v/>
      </c>
      <c r="F18448" s="102" t="str">
        <f ca="1">IFERROR(__xludf.DUMMYFUNCTION("IMPORTRANGE(H18448,""IDENTITAS UNIT!D9"")"),"#N/A")</f>
        <v>#N/A</v>
      </c>
      <c r="H18448" s="4" t="str">
        <v/>
      </c>
      <c r="I18448" s="4" t="str">
        <v/>
      </c>
    </row>
    <row r="18449" spans="5:9" ht="16.5" hidden="1">
      <c r="E18449" s="4" t="str">
        <v/>
      </c>
      <c r="F18449" s="102" t="str">
        <f ca="1">IFERROR(__xludf.DUMMYFUNCTION("IMPORTRANGE(H18449,""IDENTITAS UNIT!D9"")"),"#N/A")</f>
        <v>#N/A</v>
      </c>
      <c r="H18449" s="4" t="str">
        <v/>
      </c>
      <c r="I18449" s="4" t="str">
        <v/>
      </c>
    </row>
    <row r="18450" spans="5:9" ht="16.5" hidden="1">
      <c r="E18450" s="4" t="str">
        <v/>
      </c>
      <c r="F18450" s="102" t="str">
        <f ca="1">IFERROR(__xludf.DUMMYFUNCTION("IMPORTRANGE(H18450,""IDENTITAS UNIT!D9"")"),"#N/A")</f>
        <v>#N/A</v>
      </c>
      <c r="H18450" s="4" t="str">
        <v/>
      </c>
      <c r="I18450" s="4" t="str">
        <v/>
      </c>
    </row>
    <row r="18451" spans="5:9" ht="16.5" hidden="1">
      <c r="E18451" s="4" t="str">
        <v/>
      </c>
      <c r="F18451" s="102" t="str">
        <f ca="1">IFERROR(__xludf.DUMMYFUNCTION("IMPORTRANGE(H18451,""IDENTITAS UNIT!D9"")"),"#N/A")</f>
        <v>#N/A</v>
      </c>
      <c r="H18451" s="4" t="str">
        <v/>
      </c>
      <c r="I18451" s="4" t="str">
        <v/>
      </c>
    </row>
    <row r="18452" spans="5:9" ht="16.5" hidden="1">
      <c r="E18452" s="4" t="str">
        <v/>
      </c>
      <c r="F18452" s="102" t="str">
        <f ca="1">IFERROR(__xludf.DUMMYFUNCTION("IMPORTRANGE(H18452,""IDENTITAS UNIT!D9"")"),"#N/A")</f>
        <v>#N/A</v>
      </c>
      <c r="H18452" s="4" t="str">
        <v/>
      </c>
      <c r="I18452" s="4" t="str">
        <v/>
      </c>
    </row>
    <row r="18453" spans="5:9" ht="16.5" hidden="1">
      <c r="E18453" s="4" t="str">
        <v/>
      </c>
      <c r="F18453" s="102" t="str">
        <f ca="1">IFERROR(__xludf.DUMMYFUNCTION("IMPORTRANGE(H18453,""IDENTITAS UNIT!D9"")"),"#N/A")</f>
        <v>#N/A</v>
      </c>
      <c r="H18453" s="4" t="str">
        <v/>
      </c>
      <c r="I18453" s="4" t="str">
        <v/>
      </c>
    </row>
    <row r="18454" spans="5:9" ht="16.5" hidden="1">
      <c r="E18454" s="4" t="str">
        <v/>
      </c>
      <c r="F18454" s="102" t="str">
        <f ca="1">IFERROR(__xludf.DUMMYFUNCTION("IMPORTRANGE(H18454,""IDENTITAS UNIT!D9"")"),"#N/A")</f>
        <v>#N/A</v>
      </c>
      <c r="H18454" s="4" t="str">
        <v/>
      </c>
      <c r="I18454" s="4" t="str">
        <v/>
      </c>
    </row>
    <row r="18455" spans="5:9" ht="16.5" hidden="1">
      <c r="E18455" s="4" t="str">
        <v/>
      </c>
      <c r="F18455" s="102" t="str">
        <f ca="1">IFERROR(__xludf.DUMMYFUNCTION("IMPORTRANGE(H18455,""IDENTITAS UNIT!D9"")"),"#N/A")</f>
        <v>#N/A</v>
      </c>
      <c r="H18455" s="4" t="str">
        <v/>
      </c>
      <c r="I18455" s="4" t="str">
        <v/>
      </c>
    </row>
    <row r="18456" spans="5:9" ht="16.5" hidden="1">
      <c r="E18456" s="4" t="str">
        <v/>
      </c>
      <c r="F18456" s="102" t="str">
        <f ca="1">IFERROR(__xludf.DUMMYFUNCTION("IMPORTRANGE(H18456,""IDENTITAS UNIT!D9"")"),"#N/A")</f>
        <v>#N/A</v>
      </c>
      <c r="H18456" s="4" t="str">
        <v/>
      </c>
      <c r="I18456" s="4" t="str">
        <v/>
      </c>
    </row>
    <row r="18457" spans="5:9" ht="16.5" hidden="1">
      <c r="E18457" s="4" t="str">
        <v/>
      </c>
      <c r="F18457" s="102" t="str">
        <f ca="1">IFERROR(__xludf.DUMMYFUNCTION("IMPORTRANGE(H18457,""IDENTITAS UNIT!D9"")"),"#N/A")</f>
        <v>#N/A</v>
      </c>
      <c r="H18457" s="4" t="str">
        <v/>
      </c>
      <c r="I18457" s="4" t="str">
        <v/>
      </c>
    </row>
    <row r="18458" spans="5:9" ht="16.5" hidden="1">
      <c r="E18458" s="4" t="str">
        <v/>
      </c>
      <c r="F18458" s="102" t="str">
        <f ca="1">IFERROR(__xludf.DUMMYFUNCTION("IMPORTRANGE(H18458,""IDENTITAS UNIT!D9"")"),"#N/A")</f>
        <v>#N/A</v>
      </c>
      <c r="H18458" s="4" t="str">
        <v/>
      </c>
      <c r="I18458" s="4" t="str">
        <v/>
      </c>
    </row>
    <row r="18459" spans="5:9" ht="16.5" hidden="1">
      <c r="E18459" s="4" t="str">
        <v/>
      </c>
      <c r="F18459" s="102" t="str">
        <f ca="1">IFERROR(__xludf.DUMMYFUNCTION("IMPORTRANGE(H18459,""IDENTITAS UNIT!D9"")"),"#N/A")</f>
        <v>#N/A</v>
      </c>
      <c r="H18459" s="4" t="str">
        <v/>
      </c>
      <c r="I18459" s="4" t="str">
        <v/>
      </c>
    </row>
    <row r="18460" spans="5:9" ht="16.5" hidden="1">
      <c r="E18460" s="4" t="str">
        <v/>
      </c>
      <c r="F18460" s="102" t="str">
        <f ca="1">IFERROR(__xludf.DUMMYFUNCTION("IMPORTRANGE(H18460,""IDENTITAS UNIT!D9"")"),"#N/A")</f>
        <v>#N/A</v>
      </c>
      <c r="H18460" s="4" t="str">
        <v/>
      </c>
      <c r="I18460" s="4" t="str">
        <v/>
      </c>
    </row>
    <row r="18461" spans="5:9" ht="16.5" hidden="1">
      <c r="E18461" s="4" t="str">
        <v/>
      </c>
      <c r="F18461" s="102" t="str">
        <f ca="1">IFERROR(__xludf.DUMMYFUNCTION("IMPORTRANGE(H18461,""IDENTITAS UNIT!D9"")"),"#N/A")</f>
        <v>#N/A</v>
      </c>
      <c r="H18461" s="4" t="str">
        <v/>
      </c>
      <c r="I18461" s="4" t="str">
        <v/>
      </c>
    </row>
    <row r="18462" spans="5:9" ht="16.5" hidden="1">
      <c r="E18462" s="4" t="str">
        <v/>
      </c>
      <c r="F18462" s="102" t="str">
        <f ca="1">IFERROR(__xludf.DUMMYFUNCTION("IMPORTRANGE(H18462,""IDENTITAS UNIT!D9"")"),"#N/A")</f>
        <v>#N/A</v>
      </c>
      <c r="H18462" s="4" t="str">
        <v/>
      </c>
      <c r="I18462" s="4" t="str">
        <v/>
      </c>
    </row>
    <row r="18463" spans="5:9" ht="16.5" hidden="1">
      <c r="E18463" s="4" t="str">
        <v/>
      </c>
      <c r="F18463" s="102" t="str">
        <f ca="1">IFERROR(__xludf.DUMMYFUNCTION("IMPORTRANGE(H18463,""IDENTITAS UNIT!D9"")"),"#N/A")</f>
        <v>#N/A</v>
      </c>
      <c r="H18463" s="4" t="str">
        <v/>
      </c>
      <c r="I18463" s="4" t="str">
        <v/>
      </c>
    </row>
    <row r="18464" spans="5:9" ht="16.5" hidden="1">
      <c r="E18464" s="4" t="str">
        <v/>
      </c>
      <c r="F18464" s="102" t="str">
        <f ca="1">IFERROR(__xludf.DUMMYFUNCTION("IMPORTRANGE(H18464,""IDENTITAS UNIT!D9"")"),"#N/A")</f>
        <v>#N/A</v>
      </c>
      <c r="H18464" s="4" t="str">
        <v/>
      </c>
      <c r="I18464" s="4" t="str">
        <v/>
      </c>
    </row>
    <row r="18465" spans="5:9" ht="16.5" hidden="1">
      <c r="E18465" s="4" t="str">
        <v/>
      </c>
      <c r="F18465" s="102" t="str">
        <f ca="1">IFERROR(__xludf.DUMMYFUNCTION("IMPORTRANGE(H18465,""IDENTITAS UNIT!D9"")"),"#N/A")</f>
        <v>#N/A</v>
      </c>
      <c r="H18465" s="4" t="str">
        <v/>
      </c>
      <c r="I18465" s="4" t="str">
        <v/>
      </c>
    </row>
    <row r="18466" spans="5:9" ht="16.5" hidden="1">
      <c r="E18466" s="4" t="str">
        <v/>
      </c>
      <c r="F18466" s="102" t="str">
        <f ca="1">IFERROR(__xludf.DUMMYFUNCTION("IMPORTRANGE(H18466,""IDENTITAS UNIT!D9"")"),"#N/A")</f>
        <v>#N/A</v>
      </c>
      <c r="H18466" s="4" t="str">
        <v/>
      </c>
      <c r="I18466" s="4" t="str">
        <v/>
      </c>
    </row>
    <row r="18467" spans="5:9" ht="16.5" hidden="1">
      <c r="E18467" s="4" t="str">
        <v/>
      </c>
      <c r="F18467" s="102" t="str">
        <f ca="1">IFERROR(__xludf.DUMMYFUNCTION("IMPORTRANGE(H18467,""IDENTITAS UNIT!D9"")"),"#N/A")</f>
        <v>#N/A</v>
      </c>
      <c r="H18467" s="4" t="str">
        <v/>
      </c>
      <c r="I18467" s="4" t="str">
        <v/>
      </c>
    </row>
    <row r="18468" spans="5:9" ht="16.5" hidden="1">
      <c r="E18468" s="4" t="str">
        <v/>
      </c>
      <c r="F18468" s="102" t="str">
        <f ca="1">IFERROR(__xludf.DUMMYFUNCTION("IMPORTRANGE(H18468,""IDENTITAS UNIT!D9"")"),"#N/A")</f>
        <v>#N/A</v>
      </c>
      <c r="H18468" s="4" t="str">
        <v/>
      </c>
      <c r="I18468" s="4" t="str">
        <v/>
      </c>
    </row>
    <row r="18469" spans="5:9" ht="16.5" hidden="1">
      <c r="E18469" s="4" t="str">
        <v/>
      </c>
      <c r="F18469" s="102" t="str">
        <f ca="1">IFERROR(__xludf.DUMMYFUNCTION("IMPORTRANGE(H18469,""IDENTITAS UNIT!D9"")"),"#N/A")</f>
        <v>#N/A</v>
      </c>
      <c r="H18469" s="4" t="str">
        <v/>
      </c>
      <c r="I18469" s="4" t="str">
        <v/>
      </c>
    </row>
    <row r="18470" spans="5:9" ht="16.5" hidden="1">
      <c r="E18470" s="4" t="str">
        <v/>
      </c>
      <c r="F18470" s="102" t="str">
        <f ca="1">IFERROR(__xludf.DUMMYFUNCTION("IMPORTRANGE(H18470,""IDENTITAS UNIT!D9"")"),"#N/A")</f>
        <v>#N/A</v>
      </c>
      <c r="H18470" s="4" t="str">
        <v/>
      </c>
      <c r="I18470" s="4" t="str">
        <v/>
      </c>
    </row>
    <row r="18471" spans="5:9" ht="16.5" hidden="1">
      <c r="E18471" s="4" t="str">
        <v/>
      </c>
      <c r="F18471" s="102" t="str">
        <f ca="1">IFERROR(__xludf.DUMMYFUNCTION("IMPORTRANGE(H18471,""IDENTITAS UNIT!D9"")"),"#N/A")</f>
        <v>#N/A</v>
      </c>
      <c r="H18471" s="4" t="str">
        <v/>
      </c>
      <c r="I18471" s="4" t="str">
        <v/>
      </c>
    </row>
    <row r="18472" spans="5:9" ht="16.5" hidden="1">
      <c r="E18472" s="4" t="str">
        <v/>
      </c>
      <c r="F18472" s="102" t="str">
        <f ca="1">IFERROR(__xludf.DUMMYFUNCTION("IMPORTRANGE(H18472,""IDENTITAS UNIT!D9"")"),"#N/A")</f>
        <v>#N/A</v>
      </c>
      <c r="H18472" s="4" t="str">
        <v/>
      </c>
      <c r="I18472" s="4" t="str">
        <v/>
      </c>
    </row>
    <row r="18473" spans="5:9" ht="16.5" hidden="1">
      <c r="E18473" s="4" t="str">
        <v/>
      </c>
      <c r="F18473" s="102" t="str">
        <f ca="1">IFERROR(__xludf.DUMMYFUNCTION("IMPORTRANGE(H18473,""IDENTITAS UNIT!D9"")"),"#N/A")</f>
        <v>#N/A</v>
      </c>
      <c r="H18473" s="4" t="str">
        <v/>
      </c>
      <c r="I18473" s="4" t="str">
        <v/>
      </c>
    </row>
    <row r="18474" spans="5:9" ht="16.5" hidden="1">
      <c r="E18474" s="4" t="str">
        <v/>
      </c>
      <c r="F18474" s="102" t="str">
        <f ca="1">IFERROR(__xludf.DUMMYFUNCTION("IMPORTRANGE(H18474,""IDENTITAS UNIT!D9"")"),"#N/A")</f>
        <v>#N/A</v>
      </c>
      <c r="H18474" s="4" t="str">
        <v/>
      </c>
      <c r="I18474" s="4" t="str">
        <v/>
      </c>
    </row>
    <row r="18475" spans="5:9" ht="16.5" hidden="1">
      <c r="E18475" s="4" t="str">
        <v/>
      </c>
      <c r="F18475" s="102" t="str">
        <f ca="1">IFERROR(__xludf.DUMMYFUNCTION("IMPORTRANGE(H18475,""IDENTITAS UNIT!D9"")"),"#N/A")</f>
        <v>#N/A</v>
      </c>
      <c r="H18475" s="4" t="str">
        <v/>
      </c>
      <c r="I18475" s="4" t="str">
        <v/>
      </c>
    </row>
    <row r="18476" spans="5:9" ht="16.5" hidden="1">
      <c r="E18476" s="4" t="str">
        <v/>
      </c>
      <c r="F18476" s="102" t="str">
        <f ca="1">IFERROR(__xludf.DUMMYFUNCTION("IMPORTRANGE(H18476,""IDENTITAS UNIT!D9"")"),"#N/A")</f>
        <v>#N/A</v>
      </c>
      <c r="H18476" s="4" t="str">
        <v/>
      </c>
      <c r="I18476" s="4" t="str">
        <v/>
      </c>
    </row>
    <row r="18477" spans="5:9" ht="16.5" hidden="1">
      <c r="E18477" s="4" t="str">
        <v/>
      </c>
      <c r="F18477" s="102" t="str">
        <f ca="1">IFERROR(__xludf.DUMMYFUNCTION("IMPORTRANGE(H18477,""IDENTITAS UNIT!D9"")"),"#N/A")</f>
        <v>#N/A</v>
      </c>
      <c r="H18477" s="4" t="str">
        <v/>
      </c>
      <c r="I18477" s="4" t="str">
        <v/>
      </c>
    </row>
    <row r="18478" spans="5:9" ht="16.5" hidden="1">
      <c r="E18478" s="4" t="str">
        <v/>
      </c>
      <c r="F18478" s="102" t="str">
        <f ca="1">IFERROR(__xludf.DUMMYFUNCTION("IMPORTRANGE(H18478,""IDENTITAS UNIT!D9"")"),"#N/A")</f>
        <v>#N/A</v>
      </c>
      <c r="H18478" s="4" t="str">
        <v/>
      </c>
      <c r="I18478" s="4" t="str">
        <v/>
      </c>
    </row>
    <row r="18479" spans="5:9" ht="16.5" hidden="1">
      <c r="E18479" s="4" t="str">
        <v/>
      </c>
      <c r="F18479" s="102" t="str">
        <f ca="1">IFERROR(__xludf.DUMMYFUNCTION("IMPORTRANGE(H18479,""IDENTITAS UNIT!D9"")"),"#N/A")</f>
        <v>#N/A</v>
      </c>
      <c r="H18479" s="4" t="str">
        <v/>
      </c>
      <c r="I18479" s="4" t="str">
        <v/>
      </c>
    </row>
    <row r="18480" spans="5:9" ht="16.5" hidden="1">
      <c r="E18480" s="4" t="str">
        <v/>
      </c>
      <c r="F18480" s="102" t="str">
        <f ca="1">IFERROR(__xludf.DUMMYFUNCTION("IMPORTRANGE(H18480,""IDENTITAS UNIT!D9"")"),"#N/A")</f>
        <v>#N/A</v>
      </c>
      <c r="H18480" s="4" t="str">
        <v/>
      </c>
      <c r="I18480" s="4" t="str">
        <v/>
      </c>
    </row>
    <row r="18481" spans="5:9" ht="16.5" hidden="1">
      <c r="E18481" s="4" t="str">
        <v/>
      </c>
      <c r="F18481" s="102" t="str">
        <f ca="1">IFERROR(__xludf.DUMMYFUNCTION("IMPORTRANGE(H18481,""IDENTITAS UNIT!D9"")"),"#N/A")</f>
        <v>#N/A</v>
      </c>
      <c r="H18481" s="4" t="str">
        <v/>
      </c>
      <c r="I18481" s="4" t="str">
        <v/>
      </c>
    </row>
    <row r="18482" spans="5:9" ht="16.5" hidden="1">
      <c r="E18482" s="4" t="str">
        <v/>
      </c>
      <c r="F18482" s="102" t="str">
        <f ca="1">IFERROR(__xludf.DUMMYFUNCTION("IMPORTRANGE(H18482,""IDENTITAS UNIT!D9"")"),"#N/A")</f>
        <v>#N/A</v>
      </c>
      <c r="H18482" s="4" t="str">
        <v/>
      </c>
      <c r="I18482" s="4" t="str">
        <v/>
      </c>
    </row>
    <row r="18483" spans="5:9" ht="16.5" hidden="1">
      <c r="E18483" s="4" t="str">
        <v/>
      </c>
      <c r="F18483" s="102" t="str">
        <f ca="1">IFERROR(__xludf.DUMMYFUNCTION("IMPORTRANGE(H18483,""IDENTITAS UNIT!D9"")"),"#N/A")</f>
        <v>#N/A</v>
      </c>
      <c r="H18483" s="4" t="str">
        <v/>
      </c>
      <c r="I18483" s="4" t="str">
        <v/>
      </c>
    </row>
    <row r="18484" spans="5:9" ht="16.5" hidden="1">
      <c r="E18484" s="4" t="str">
        <v/>
      </c>
      <c r="F18484" s="102" t="str">
        <f ca="1">IFERROR(__xludf.DUMMYFUNCTION("IMPORTRANGE(H18484,""IDENTITAS UNIT!D9"")"),"#N/A")</f>
        <v>#N/A</v>
      </c>
      <c r="H18484" s="4" t="str">
        <v/>
      </c>
      <c r="I18484" s="4" t="str">
        <v/>
      </c>
    </row>
    <row r="18485" spans="5:9" ht="16.5" hidden="1">
      <c r="E18485" s="4" t="str">
        <v/>
      </c>
      <c r="F18485" s="102" t="str">
        <f ca="1">IFERROR(__xludf.DUMMYFUNCTION("IMPORTRANGE(H18485,""IDENTITAS UNIT!D9"")"),"#N/A")</f>
        <v>#N/A</v>
      </c>
      <c r="H18485" s="4" t="str">
        <v/>
      </c>
      <c r="I18485" s="4" t="str">
        <v/>
      </c>
    </row>
    <row r="18486" spans="5:9" ht="16.5" hidden="1">
      <c r="E18486" s="4" t="str">
        <v/>
      </c>
      <c r="F18486" s="102" t="str">
        <f ca="1">IFERROR(__xludf.DUMMYFUNCTION("IMPORTRANGE(H18486,""IDENTITAS UNIT!D9"")"),"#N/A")</f>
        <v>#N/A</v>
      </c>
      <c r="H18486" s="4" t="str">
        <v/>
      </c>
      <c r="I18486" s="4" t="str">
        <v/>
      </c>
    </row>
    <row r="18487" spans="5:9" ht="16.5" hidden="1">
      <c r="E18487" s="4" t="str">
        <v/>
      </c>
      <c r="F18487" s="102" t="str">
        <f ca="1">IFERROR(__xludf.DUMMYFUNCTION("IMPORTRANGE(H18487,""IDENTITAS UNIT!D9"")"),"#N/A")</f>
        <v>#N/A</v>
      </c>
      <c r="H18487" s="4" t="str">
        <v/>
      </c>
      <c r="I18487" s="4" t="str">
        <v/>
      </c>
    </row>
    <row r="18488" spans="5:9" ht="16.5" hidden="1">
      <c r="E18488" s="4" t="str">
        <v/>
      </c>
      <c r="F18488" s="102" t="str">
        <f ca="1">IFERROR(__xludf.DUMMYFUNCTION("IMPORTRANGE(H18488,""IDENTITAS UNIT!D9"")"),"#N/A")</f>
        <v>#N/A</v>
      </c>
      <c r="H18488" s="4" t="str">
        <v/>
      </c>
      <c r="I18488" s="4" t="str">
        <v/>
      </c>
    </row>
    <row r="18489" spans="5:9" ht="16.5" hidden="1">
      <c r="E18489" s="4" t="str">
        <v/>
      </c>
      <c r="F18489" s="102" t="str">
        <f ca="1">IFERROR(__xludf.DUMMYFUNCTION("IMPORTRANGE(H18489,""IDENTITAS UNIT!D9"")"),"#N/A")</f>
        <v>#N/A</v>
      </c>
      <c r="H18489" s="4" t="str">
        <v/>
      </c>
      <c r="I18489" s="4" t="str">
        <v/>
      </c>
    </row>
    <row r="18490" spans="5:9" ht="16.5" hidden="1">
      <c r="E18490" s="4" t="str">
        <v/>
      </c>
      <c r="F18490" s="102" t="str">
        <f ca="1">IFERROR(__xludf.DUMMYFUNCTION("IMPORTRANGE(H18490,""IDENTITAS UNIT!D9"")"),"#N/A")</f>
        <v>#N/A</v>
      </c>
      <c r="H18490" s="4" t="str">
        <v/>
      </c>
      <c r="I18490" s="4" t="str">
        <v/>
      </c>
    </row>
    <row r="18491" spans="5:9" ht="16.5" hidden="1">
      <c r="E18491" s="4" t="str">
        <v/>
      </c>
      <c r="F18491" s="102" t="str">
        <f ca="1">IFERROR(__xludf.DUMMYFUNCTION("IMPORTRANGE(H18491,""IDENTITAS UNIT!D9"")"),"#N/A")</f>
        <v>#N/A</v>
      </c>
      <c r="H18491" s="4" t="str">
        <v/>
      </c>
      <c r="I18491" s="4" t="str">
        <v/>
      </c>
    </row>
    <row r="18492" spans="5:9" ht="16.5" hidden="1">
      <c r="E18492" s="4" t="str">
        <v/>
      </c>
      <c r="F18492" s="102" t="str">
        <f ca="1">IFERROR(__xludf.DUMMYFUNCTION("IMPORTRANGE(H18492,""IDENTITAS UNIT!D9"")"),"#N/A")</f>
        <v>#N/A</v>
      </c>
      <c r="H18492" s="4" t="str">
        <v/>
      </c>
      <c r="I18492" s="4" t="str">
        <v/>
      </c>
    </row>
    <row r="18493" spans="5:9" ht="16.5" hidden="1">
      <c r="E18493" s="4" t="str">
        <v/>
      </c>
      <c r="F18493" s="102" t="str">
        <f ca="1">IFERROR(__xludf.DUMMYFUNCTION("IMPORTRANGE(H18493,""IDENTITAS UNIT!D9"")"),"#N/A")</f>
        <v>#N/A</v>
      </c>
      <c r="H18493" s="4" t="str">
        <v/>
      </c>
      <c r="I18493" s="4" t="str">
        <v/>
      </c>
    </row>
    <row r="18494" spans="5:9" ht="16.5" hidden="1">
      <c r="E18494" s="4" t="str">
        <v/>
      </c>
      <c r="F18494" s="102" t="str">
        <f ca="1">IFERROR(__xludf.DUMMYFUNCTION("IMPORTRANGE(H18494,""IDENTITAS UNIT!D9"")"),"#N/A")</f>
        <v>#N/A</v>
      </c>
      <c r="H18494" s="4" t="str">
        <v/>
      </c>
      <c r="I18494" s="4" t="str">
        <v/>
      </c>
    </row>
    <row r="18495" spans="5:9" ht="16.5" hidden="1">
      <c r="E18495" s="4" t="str">
        <v/>
      </c>
      <c r="F18495" s="102" t="str">
        <f ca="1">IFERROR(__xludf.DUMMYFUNCTION("IMPORTRANGE(H18495,""IDENTITAS UNIT!D9"")"),"#N/A")</f>
        <v>#N/A</v>
      </c>
      <c r="H18495" s="4" t="str">
        <v/>
      </c>
      <c r="I18495" s="4" t="str">
        <v/>
      </c>
    </row>
    <row r="18496" spans="5:9" ht="16.5" hidden="1">
      <c r="E18496" s="4" t="str">
        <v/>
      </c>
      <c r="F18496" s="102" t="str">
        <f ca="1">IFERROR(__xludf.DUMMYFUNCTION("IMPORTRANGE(H18496,""IDENTITAS UNIT!D9"")"),"#N/A")</f>
        <v>#N/A</v>
      </c>
      <c r="H18496" s="4" t="str">
        <v/>
      </c>
      <c r="I18496" s="4" t="str">
        <v/>
      </c>
    </row>
    <row r="18497" spans="5:9" ht="16.5" hidden="1">
      <c r="E18497" s="4" t="str">
        <v/>
      </c>
      <c r="F18497" s="102" t="str">
        <f ca="1">IFERROR(__xludf.DUMMYFUNCTION("IMPORTRANGE(H18497,""IDENTITAS UNIT!D9"")"),"#N/A")</f>
        <v>#N/A</v>
      </c>
      <c r="H18497" s="4" t="str">
        <v/>
      </c>
      <c r="I18497" s="4" t="str">
        <v/>
      </c>
    </row>
    <row r="18498" spans="5:9" ht="16.5" hidden="1">
      <c r="E18498" s="4" t="str">
        <v/>
      </c>
      <c r="F18498" s="102" t="str">
        <f ca="1">IFERROR(__xludf.DUMMYFUNCTION("IMPORTRANGE(H18498,""IDENTITAS UNIT!D9"")"),"#N/A")</f>
        <v>#N/A</v>
      </c>
      <c r="H18498" s="4" t="str">
        <v/>
      </c>
      <c r="I18498" s="4" t="str">
        <v/>
      </c>
    </row>
    <row r="18499" spans="5:9" ht="16.5" hidden="1">
      <c r="E18499" s="4" t="str">
        <v/>
      </c>
      <c r="F18499" s="102" t="str">
        <f ca="1">IFERROR(__xludf.DUMMYFUNCTION("IMPORTRANGE(H18499,""IDENTITAS UNIT!D9"")"),"#N/A")</f>
        <v>#N/A</v>
      </c>
      <c r="H18499" s="4" t="str">
        <v/>
      </c>
      <c r="I18499" s="4" t="str">
        <v/>
      </c>
    </row>
    <row r="18500" spans="5:9" ht="16.5" hidden="1">
      <c r="E18500" s="4" t="str">
        <v/>
      </c>
      <c r="F18500" s="102" t="str">
        <f ca="1">IFERROR(__xludf.DUMMYFUNCTION("IMPORTRANGE(H18500,""IDENTITAS UNIT!D9"")"),"#N/A")</f>
        <v>#N/A</v>
      </c>
      <c r="H18500" s="4" t="str">
        <v/>
      </c>
      <c r="I18500" s="4" t="str">
        <v/>
      </c>
    </row>
    <row r="18501" spans="5:9" ht="16.5" hidden="1">
      <c r="E18501" s="4" t="str">
        <v/>
      </c>
      <c r="F18501" s="102" t="str">
        <f ca="1">IFERROR(__xludf.DUMMYFUNCTION("IMPORTRANGE(H18501,""IDENTITAS UNIT!D9"")"),"#N/A")</f>
        <v>#N/A</v>
      </c>
      <c r="H18501" s="4" t="str">
        <v/>
      </c>
      <c r="I18501" s="4" t="str">
        <v/>
      </c>
    </row>
    <row r="18502" spans="5:9" ht="16.5" hidden="1">
      <c r="E18502" s="4" t="str">
        <v/>
      </c>
      <c r="F18502" s="102" t="str">
        <f ca="1">IFERROR(__xludf.DUMMYFUNCTION("IMPORTRANGE(H18502,""IDENTITAS UNIT!D9"")"),"#N/A")</f>
        <v>#N/A</v>
      </c>
      <c r="H18502" s="4" t="str">
        <v/>
      </c>
      <c r="I18502" s="4" t="str">
        <v/>
      </c>
    </row>
    <row r="18503" spans="5:9" ht="16.5" hidden="1">
      <c r="E18503" s="4" t="str">
        <v/>
      </c>
      <c r="F18503" s="102" t="str">
        <f ca="1">IFERROR(__xludf.DUMMYFUNCTION("IMPORTRANGE(H18503,""IDENTITAS UNIT!D9"")"),"#N/A")</f>
        <v>#N/A</v>
      </c>
      <c r="H18503" s="4" t="str">
        <v/>
      </c>
      <c r="I18503" s="4" t="str">
        <v/>
      </c>
    </row>
    <row r="18504" spans="5:9" ht="16.5" hidden="1">
      <c r="E18504" s="4" t="str">
        <v/>
      </c>
      <c r="F18504" s="102" t="str">
        <f ca="1">IFERROR(__xludf.DUMMYFUNCTION("IMPORTRANGE(H18504,""IDENTITAS UNIT!D9"")"),"#N/A")</f>
        <v>#N/A</v>
      </c>
      <c r="H18504" s="4" t="str">
        <v/>
      </c>
      <c r="I18504" s="4" t="str">
        <v/>
      </c>
    </row>
    <row r="18505" spans="5:9" ht="16.5" hidden="1">
      <c r="E18505" s="4" t="str">
        <v/>
      </c>
      <c r="F18505" s="102" t="str">
        <f ca="1">IFERROR(__xludf.DUMMYFUNCTION("IMPORTRANGE(H18505,""IDENTITAS UNIT!D9"")"),"#N/A")</f>
        <v>#N/A</v>
      </c>
      <c r="H18505" s="4" t="str">
        <v/>
      </c>
      <c r="I18505" s="4" t="str">
        <v/>
      </c>
    </row>
    <row r="18506" spans="5:9" ht="16.5" hidden="1">
      <c r="E18506" s="4" t="str">
        <v/>
      </c>
      <c r="F18506" s="102" t="str">
        <f ca="1">IFERROR(__xludf.DUMMYFUNCTION("IMPORTRANGE(H18506,""IDENTITAS UNIT!D9"")"),"#N/A")</f>
        <v>#N/A</v>
      </c>
      <c r="H18506" s="4" t="str">
        <v/>
      </c>
      <c r="I18506" s="4" t="str">
        <v/>
      </c>
    </row>
    <row r="18507" spans="5:9" ht="16.5" hidden="1">
      <c r="E18507" s="4" t="str">
        <v/>
      </c>
      <c r="F18507" s="102" t="str">
        <f ca="1">IFERROR(__xludf.DUMMYFUNCTION("IMPORTRANGE(H18507,""IDENTITAS UNIT!D9"")"),"#N/A")</f>
        <v>#N/A</v>
      </c>
      <c r="H18507" s="4" t="str">
        <v/>
      </c>
      <c r="I18507" s="4" t="str">
        <v/>
      </c>
    </row>
    <row r="18508" spans="5:9" ht="16.5" hidden="1">
      <c r="E18508" s="4" t="str">
        <v/>
      </c>
      <c r="F18508" s="102" t="str">
        <f ca="1">IFERROR(__xludf.DUMMYFUNCTION("IMPORTRANGE(H18508,""IDENTITAS UNIT!D9"")"),"#N/A")</f>
        <v>#N/A</v>
      </c>
      <c r="H18508" s="4" t="str">
        <v/>
      </c>
      <c r="I18508" s="4" t="str">
        <v/>
      </c>
    </row>
    <row r="18509" spans="5:9" ht="16.5" hidden="1">
      <c r="E18509" s="4" t="str">
        <v/>
      </c>
      <c r="F18509" s="102" t="str">
        <f ca="1">IFERROR(__xludf.DUMMYFUNCTION("IMPORTRANGE(H18509,""IDENTITAS UNIT!D9"")"),"#N/A")</f>
        <v>#N/A</v>
      </c>
      <c r="H18509" s="4" t="str">
        <v/>
      </c>
      <c r="I18509" s="4" t="str">
        <v/>
      </c>
    </row>
    <row r="18510" spans="5:9" ht="16.5" hidden="1">
      <c r="E18510" s="4" t="str">
        <v/>
      </c>
      <c r="F18510" s="102" t="str">
        <f ca="1">IFERROR(__xludf.DUMMYFUNCTION("IMPORTRANGE(H18510,""IDENTITAS UNIT!D9"")"),"#N/A")</f>
        <v>#N/A</v>
      </c>
      <c r="H18510" s="4" t="str">
        <v/>
      </c>
      <c r="I18510" s="4" t="str">
        <v/>
      </c>
    </row>
    <row r="18511" spans="5:9" ht="16.5" hidden="1">
      <c r="E18511" s="4" t="str">
        <v/>
      </c>
      <c r="F18511" s="102" t="str">
        <f ca="1">IFERROR(__xludf.DUMMYFUNCTION("IMPORTRANGE(H18511,""IDENTITAS UNIT!D9"")"),"#N/A")</f>
        <v>#N/A</v>
      </c>
      <c r="H18511" s="4" t="str">
        <v/>
      </c>
      <c r="I18511" s="4" t="str">
        <v/>
      </c>
    </row>
    <row r="18512" spans="5:9" ht="16.5" hidden="1">
      <c r="E18512" s="4" t="str">
        <v/>
      </c>
      <c r="F18512" s="102" t="str">
        <f ca="1">IFERROR(__xludf.DUMMYFUNCTION("IMPORTRANGE(H18512,""IDENTITAS UNIT!D9"")"),"#N/A")</f>
        <v>#N/A</v>
      </c>
      <c r="H18512" s="4" t="str">
        <v/>
      </c>
      <c r="I18512" s="4" t="str">
        <v/>
      </c>
    </row>
    <row r="18513" spans="5:9" ht="16.5" hidden="1">
      <c r="E18513" s="4" t="str">
        <v/>
      </c>
      <c r="F18513" s="102" t="str">
        <f ca="1">IFERROR(__xludf.DUMMYFUNCTION("IMPORTRANGE(H18513,""IDENTITAS UNIT!D9"")"),"#N/A")</f>
        <v>#N/A</v>
      </c>
      <c r="H18513" s="4" t="str">
        <v/>
      </c>
      <c r="I18513" s="4" t="str">
        <v/>
      </c>
    </row>
    <row r="18514" spans="5:9" ht="16.5" hidden="1">
      <c r="E18514" s="4" t="str">
        <v/>
      </c>
      <c r="F18514" s="102" t="str">
        <f ca="1">IFERROR(__xludf.DUMMYFUNCTION("IMPORTRANGE(H18514,""IDENTITAS UNIT!D9"")"),"#N/A")</f>
        <v>#N/A</v>
      </c>
      <c r="H18514" s="4" t="str">
        <v/>
      </c>
      <c r="I18514" s="4" t="str">
        <v/>
      </c>
    </row>
    <row r="18515" spans="5:9" ht="16.5" hidden="1">
      <c r="E18515" s="4" t="str">
        <v/>
      </c>
      <c r="F18515" s="102" t="str">
        <f ca="1">IFERROR(__xludf.DUMMYFUNCTION("IMPORTRANGE(H18515,""IDENTITAS UNIT!D9"")"),"#N/A")</f>
        <v>#N/A</v>
      </c>
      <c r="H18515" s="4" t="str">
        <v/>
      </c>
      <c r="I18515" s="4" t="str">
        <v/>
      </c>
    </row>
    <row r="18516" spans="5:9" ht="16.5" hidden="1">
      <c r="E18516" s="4" t="str">
        <v/>
      </c>
      <c r="F18516" s="102" t="str">
        <f ca="1">IFERROR(__xludf.DUMMYFUNCTION("IMPORTRANGE(H18516,""IDENTITAS UNIT!D9"")"),"#N/A")</f>
        <v>#N/A</v>
      </c>
      <c r="H18516" s="4" t="str">
        <v/>
      </c>
      <c r="I18516" s="4" t="str">
        <v/>
      </c>
    </row>
    <row r="18517" spans="5:9" ht="16.5" hidden="1">
      <c r="E18517" s="4" t="str">
        <v/>
      </c>
      <c r="F18517" s="102" t="str">
        <f ca="1">IFERROR(__xludf.DUMMYFUNCTION("IMPORTRANGE(H18517,""IDENTITAS UNIT!D9"")"),"#N/A")</f>
        <v>#N/A</v>
      </c>
      <c r="H18517" s="4" t="str">
        <v/>
      </c>
      <c r="I18517" s="4" t="str">
        <v/>
      </c>
    </row>
    <row r="18518" spans="5:9" ht="16.5" hidden="1">
      <c r="E18518" s="4" t="str">
        <v/>
      </c>
      <c r="F18518" s="102" t="str">
        <f ca="1">IFERROR(__xludf.DUMMYFUNCTION("IMPORTRANGE(H18518,""IDENTITAS UNIT!D9"")"),"#N/A")</f>
        <v>#N/A</v>
      </c>
      <c r="H18518" s="4" t="str">
        <v/>
      </c>
      <c r="I18518" s="4" t="str">
        <v/>
      </c>
    </row>
    <row r="18519" spans="5:9" ht="16.5" hidden="1">
      <c r="E18519" s="4" t="str">
        <v/>
      </c>
      <c r="F18519" s="102" t="str">
        <f ca="1">IFERROR(__xludf.DUMMYFUNCTION("IMPORTRANGE(H18519,""IDENTITAS UNIT!D9"")"),"#N/A")</f>
        <v>#N/A</v>
      </c>
      <c r="H18519" s="4" t="str">
        <v/>
      </c>
      <c r="I18519" s="4" t="str">
        <v/>
      </c>
    </row>
    <row r="18520" spans="5:9" ht="16.5" hidden="1">
      <c r="E18520" s="4" t="str">
        <v/>
      </c>
      <c r="F18520" s="102" t="str">
        <f ca="1">IFERROR(__xludf.DUMMYFUNCTION("IMPORTRANGE(H18520,""IDENTITAS UNIT!D9"")"),"#N/A")</f>
        <v>#N/A</v>
      </c>
      <c r="H18520" s="4" t="str">
        <v/>
      </c>
      <c r="I18520" s="4" t="str">
        <v/>
      </c>
    </row>
    <row r="18521" spans="5:9" ht="16.5" hidden="1">
      <c r="E18521" s="4" t="str">
        <v/>
      </c>
      <c r="F18521" s="102" t="str">
        <f ca="1">IFERROR(__xludf.DUMMYFUNCTION("IMPORTRANGE(H18521,""IDENTITAS UNIT!D9"")"),"#N/A")</f>
        <v>#N/A</v>
      </c>
      <c r="H18521" s="4" t="str">
        <v/>
      </c>
      <c r="I18521" s="4" t="str">
        <v/>
      </c>
    </row>
    <row r="18522" spans="5:9" ht="16.5" hidden="1">
      <c r="E18522" s="4" t="str">
        <v/>
      </c>
      <c r="F18522" s="102" t="str">
        <f ca="1">IFERROR(__xludf.DUMMYFUNCTION("IMPORTRANGE(H18522,""IDENTITAS UNIT!D9"")"),"#N/A")</f>
        <v>#N/A</v>
      </c>
      <c r="H18522" s="4" t="str">
        <v/>
      </c>
      <c r="I18522" s="4" t="str">
        <v/>
      </c>
    </row>
    <row r="18523" spans="5:9" ht="16.5" hidden="1">
      <c r="E18523" s="4" t="str">
        <v/>
      </c>
      <c r="F18523" s="102" t="str">
        <f ca="1">IFERROR(__xludf.DUMMYFUNCTION("IMPORTRANGE(H18523,""IDENTITAS UNIT!D9"")"),"#N/A")</f>
        <v>#N/A</v>
      </c>
      <c r="H18523" s="4" t="str">
        <v/>
      </c>
      <c r="I18523" s="4" t="str">
        <v/>
      </c>
    </row>
    <row r="18524" spans="5:9" ht="16.5" hidden="1">
      <c r="E18524" s="4" t="str">
        <v/>
      </c>
      <c r="F18524" s="102" t="str">
        <f ca="1">IFERROR(__xludf.DUMMYFUNCTION("IMPORTRANGE(H18524,""IDENTITAS UNIT!D9"")"),"#N/A")</f>
        <v>#N/A</v>
      </c>
      <c r="H18524" s="4" t="str">
        <v/>
      </c>
      <c r="I18524" s="4" t="str">
        <v/>
      </c>
    </row>
    <row r="18525" spans="5:9" ht="16.5" hidden="1">
      <c r="E18525" s="4" t="str">
        <v/>
      </c>
      <c r="F18525" s="102" t="str">
        <f ca="1">IFERROR(__xludf.DUMMYFUNCTION("IMPORTRANGE(H18525,""IDENTITAS UNIT!D9"")"),"#N/A")</f>
        <v>#N/A</v>
      </c>
      <c r="H18525" s="4" t="str">
        <v/>
      </c>
      <c r="I18525" s="4" t="str">
        <v/>
      </c>
    </row>
    <row r="18526" spans="5:9" ht="16.5" hidden="1">
      <c r="E18526" s="4" t="str">
        <v/>
      </c>
      <c r="F18526" s="102" t="str">
        <f ca="1">IFERROR(__xludf.DUMMYFUNCTION("IMPORTRANGE(H18526,""IDENTITAS UNIT!D9"")"),"#N/A")</f>
        <v>#N/A</v>
      </c>
      <c r="H18526" s="4" t="str">
        <v/>
      </c>
      <c r="I18526" s="4" t="str">
        <v/>
      </c>
    </row>
    <row r="18527" spans="5:9" ht="16.5" hidden="1">
      <c r="E18527" s="4" t="str">
        <v/>
      </c>
      <c r="F18527" s="102" t="str">
        <f ca="1">IFERROR(__xludf.DUMMYFUNCTION("IMPORTRANGE(H18527,""IDENTITAS UNIT!D9"")"),"#N/A")</f>
        <v>#N/A</v>
      </c>
      <c r="H18527" s="4" t="str">
        <v/>
      </c>
      <c r="I18527" s="4" t="str">
        <v/>
      </c>
    </row>
    <row r="18528" spans="5:9" ht="16.5" hidden="1">
      <c r="E18528" s="4" t="str">
        <v/>
      </c>
      <c r="F18528" s="102" t="str">
        <f ca="1">IFERROR(__xludf.DUMMYFUNCTION("IMPORTRANGE(H18528,""IDENTITAS UNIT!D9"")"),"#N/A")</f>
        <v>#N/A</v>
      </c>
      <c r="H18528" s="4" t="str">
        <v/>
      </c>
      <c r="I18528" s="4" t="str">
        <v/>
      </c>
    </row>
    <row r="18529" spans="5:9" ht="16.5" hidden="1">
      <c r="E18529" s="4" t="str">
        <v/>
      </c>
      <c r="F18529" s="102" t="str">
        <f ca="1">IFERROR(__xludf.DUMMYFUNCTION("IMPORTRANGE(H18529,""IDENTITAS UNIT!D9"")"),"#N/A")</f>
        <v>#N/A</v>
      </c>
      <c r="H18529" s="4" t="str">
        <v/>
      </c>
      <c r="I18529" s="4" t="str">
        <v/>
      </c>
    </row>
    <row r="18530" spans="5:9" ht="16.5" hidden="1">
      <c r="E18530" s="4" t="str">
        <v/>
      </c>
      <c r="F18530" s="102" t="str">
        <f ca="1">IFERROR(__xludf.DUMMYFUNCTION("IMPORTRANGE(H18530,""IDENTITAS UNIT!D9"")"),"#N/A")</f>
        <v>#N/A</v>
      </c>
      <c r="H18530" s="4" t="str">
        <v/>
      </c>
      <c r="I18530" s="4" t="str">
        <v/>
      </c>
    </row>
    <row r="18531" spans="5:9" ht="16.5" hidden="1">
      <c r="E18531" s="4" t="str">
        <v/>
      </c>
      <c r="F18531" s="102" t="str">
        <f ca="1">IFERROR(__xludf.DUMMYFUNCTION("IMPORTRANGE(H18531,""IDENTITAS UNIT!D9"")"),"#N/A")</f>
        <v>#N/A</v>
      </c>
      <c r="H18531" s="4" t="str">
        <v/>
      </c>
      <c r="I18531" s="4" t="str">
        <v/>
      </c>
    </row>
    <row r="18532" spans="5:9" ht="16.5" hidden="1">
      <c r="E18532" s="4" t="str">
        <v/>
      </c>
      <c r="F18532" s="102" t="str">
        <f ca="1">IFERROR(__xludf.DUMMYFUNCTION("IMPORTRANGE(H18532,""IDENTITAS UNIT!D9"")"),"#N/A")</f>
        <v>#N/A</v>
      </c>
      <c r="H18532" s="4" t="str">
        <v/>
      </c>
      <c r="I18532" s="4" t="str">
        <v/>
      </c>
    </row>
    <row r="18533" spans="5:9" ht="16.5" hidden="1">
      <c r="E18533" s="4" t="str">
        <v/>
      </c>
      <c r="F18533" s="102" t="str">
        <f ca="1">IFERROR(__xludf.DUMMYFUNCTION("IMPORTRANGE(H18533,""IDENTITAS UNIT!D9"")"),"#N/A")</f>
        <v>#N/A</v>
      </c>
      <c r="H18533" s="4" t="str">
        <v/>
      </c>
      <c r="I18533" s="4" t="str">
        <v/>
      </c>
    </row>
    <row r="18534" spans="5:9" ht="16.5" hidden="1">
      <c r="E18534" s="4" t="str">
        <v/>
      </c>
      <c r="F18534" s="102" t="str">
        <f ca="1">IFERROR(__xludf.DUMMYFUNCTION("IMPORTRANGE(H18534,""IDENTITAS UNIT!D9"")"),"#N/A")</f>
        <v>#N/A</v>
      </c>
      <c r="H18534" s="4" t="str">
        <v/>
      </c>
      <c r="I18534" s="4" t="str">
        <v/>
      </c>
    </row>
    <row r="18535" spans="5:9" ht="16.5" hidden="1">
      <c r="E18535" s="4" t="str">
        <v/>
      </c>
      <c r="F18535" s="102" t="str">
        <f ca="1">IFERROR(__xludf.DUMMYFUNCTION("IMPORTRANGE(H18535,""IDENTITAS UNIT!D9"")"),"#N/A")</f>
        <v>#N/A</v>
      </c>
      <c r="H18535" s="4" t="str">
        <v/>
      </c>
      <c r="I18535" s="4" t="str">
        <v/>
      </c>
    </row>
    <row r="18536" spans="5:9" ht="16.5" hidden="1">
      <c r="E18536" s="4" t="str">
        <v/>
      </c>
      <c r="F18536" s="102" t="str">
        <f ca="1">IFERROR(__xludf.DUMMYFUNCTION("IMPORTRANGE(H18536,""IDENTITAS UNIT!D9"")"),"#N/A")</f>
        <v>#N/A</v>
      </c>
      <c r="H18536" s="4" t="str">
        <v/>
      </c>
      <c r="I18536" s="4" t="str">
        <v/>
      </c>
    </row>
    <row r="18537" spans="5:9" ht="16.5" hidden="1">
      <c r="E18537" s="4" t="str">
        <v/>
      </c>
      <c r="F18537" s="102" t="str">
        <f ca="1">IFERROR(__xludf.DUMMYFUNCTION("IMPORTRANGE(H18537,""IDENTITAS UNIT!D9"")"),"#N/A")</f>
        <v>#N/A</v>
      </c>
      <c r="H18537" s="4" t="str">
        <v/>
      </c>
      <c r="I18537" s="4" t="str">
        <v/>
      </c>
    </row>
    <row r="18538" spans="5:9" ht="16.5" hidden="1">
      <c r="E18538" s="4" t="str">
        <v/>
      </c>
      <c r="F18538" s="102" t="str">
        <f ca="1">IFERROR(__xludf.DUMMYFUNCTION("IMPORTRANGE(H18538,""IDENTITAS UNIT!D9"")"),"#N/A")</f>
        <v>#N/A</v>
      </c>
      <c r="H18538" s="4" t="str">
        <v/>
      </c>
      <c r="I18538" s="4" t="str">
        <v/>
      </c>
    </row>
    <row r="18539" spans="5:9" ht="16.5" hidden="1">
      <c r="E18539" s="4" t="str">
        <v/>
      </c>
      <c r="F18539" s="102" t="str">
        <f ca="1">IFERROR(__xludf.DUMMYFUNCTION("IMPORTRANGE(H18539,""IDENTITAS UNIT!D9"")"),"#N/A")</f>
        <v>#N/A</v>
      </c>
      <c r="H18539" s="4" t="str">
        <v/>
      </c>
      <c r="I18539" s="4" t="str">
        <v/>
      </c>
    </row>
    <row r="18540" spans="5:9" ht="16.5" hidden="1">
      <c r="E18540" s="4" t="str">
        <v/>
      </c>
      <c r="F18540" s="102" t="str">
        <f ca="1">IFERROR(__xludf.DUMMYFUNCTION("IMPORTRANGE(H18540,""IDENTITAS UNIT!D9"")"),"#N/A")</f>
        <v>#N/A</v>
      </c>
      <c r="H18540" s="4" t="str">
        <v/>
      </c>
      <c r="I18540" s="4" t="str">
        <v/>
      </c>
    </row>
    <row r="18541" spans="5:9" ht="16.5" hidden="1">
      <c r="E18541" s="4" t="str">
        <v/>
      </c>
      <c r="F18541" s="102" t="str">
        <f ca="1">IFERROR(__xludf.DUMMYFUNCTION("IMPORTRANGE(H18541,""IDENTITAS UNIT!D9"")"),"#N/A")</f>
        <v>#N/A</v>
      </c>
      <c r="H18541" s="4" t="str">
        <v/>
      </c>
      <c r="I18541" s="4" t="str">
        <v/>
      </c>
    </row>
    <row r="18542" spans="5:9" ht="16.5" hidden="1">
      <c r="E18542" s="4" t="str">
        <v/>
      </c>
      <c r="F18542" s="102" t="str">
        <f ca="1">IFERROR(__xludf.DUMMYFUNCTION("IMPORTRANGE(H18542,""IDENTITAS UNIT!D9"")"),"#N/A")</f>
        <v>#N/A</v>
      </c>
      <c r="H18542" s="4" t="str">
        <v/>
      </c>
      <c r="I18542" s="4" t="str">
        <v/>
      </c>
    </row>
    <row r="18543" spans="5:9" ht="16.5" hidden="1">
      <c r="E18543" s="4" t="str">
        <v/>
      </c>
      <c r="F18543" s="102" t="str">
        <f ca="1">IFERROR(__xludf.DUMMYFUNCTION("IMPORTRANGE(H18543,""IDENTITAS UNIT!D9"")"),"#N/A")</f>
        <v>#N/A</v>
      </c>
      <c r="H18543" s="4" t="str">
        <v/>
      </c>
      <c r="I18543" s="4" t="str">
        <v/>
      </c>
    </row>
    <row r="18544" spans="5:9" ht="16.5" hidden="1">
      <c r="E18544" s="4" t="str">
        <v/>
      </c>
      <c r="F18544" s="102" t="str">
        <f ca="1">IFERROR(__xludf.DUMMYFUNCTION("IMPORTRANGE(H18544,""IDENTITAS UNIT!D9"")"),"#N/A")</f>
        <v>#N/A</v>
      </c>
      <c r="H18544" s="4" t="str">
        <v/>
      </c>
      <c r="I18544" s="4" t="str">
        <v/>
      </c>
    </row>
    <row r="18545" spans="5:9" ht="16.5" hidden="1">
      <c r="E18545" s="4" t="str">
        <v/>
      </c>
      <c r="F18545" s="102" t="str">
        <f ca="1">IFERROR(__xludf.DUMMYFUNCTION("IMPORTRANGE(H18545,""IDENTITAS UNIT!D9"")"),"#N/A")</f>
        <v>#N/A</v>
      </c>
      <c r="H18545" s="4" t="str">
        <v/>
      </c>
      <c r="I18545" s="4" t="str">
        <v/>
      </c>
    </row>
    <row r="18546" spans="5:9" ht="16.5" hidden="1">
      <c r="E18546" s="4" t="str">
        <v/>
      </c>
      <c r="F18546" s="102" t="str">
        <f ca="1">IFERROR(__xludf.DUMMYFUNCTION("IMPORTRANGE(H18546,""IDENTITAS UNIT!D9"")"),"#N/A")</f>
        <v>#N/A</v>
      </c>
      <c r="H18546" s="4" t="str">
        <v/>
      </c>
      <c r="I18546" s="4" t="str">
        <v/>
      </c>
    </row>
    <row r="18547" spans="5:9" ht="16.5" hidden="1">
      <c r="E18547" s="4" t="str">
        <v/>
      </c>
      <c r="F18547" s="102" t="str">
        <f ca="1">IFERROR(__xludf.DUMMYFUNCTION("IMPORTRANGE(H18547,""IDENTITAS UNIT!D9"")"),"#N/A")</f>
        <v>#N/A</v>
      </c>
      <c r="H18547" s="4" t="str">
        <v/>
      </c>
      <c r="I18547" s="4" t="str">
        <v/>
      </c>
    </row>
    <row r="18548" spans="5:9" ht="16.5" hidden="1">
      <c r="E18548" s="4" t="str">
        <v/>
      </c>
      <c r="F18548" s="102" t="str">
        <f ca="1">IFERROR(__xludf.DUMMYFUNCTION("IMPORTRANGE(H18548,""IDENTITAS UNIT!D9"")"),"#N/A")</f>
        <v>#N/A</v>
      </c>
      <c r="H18548" s="4" t="str">
        <v/>
      </c>
      <c r="I18548" s="4" t="str">
        <v/>
      </c>
    </row>
    <row r="18549" spans="5:9" ht="16.5" hidden="1">
      <c r="E18549" s="4" t="str">
        <v/>
      </c>
      <c r="F18549" s="102" t="str">
        <f ca="1">IFERROR(__xludf.DUMMYFUNCTION("IMPORTRANGE(H18549,""IDENTITAS UNIT!D9"")"),"#N/A")</f>
        <v>#N/A</v>
      </c>
      <c r="H18549" s="4" t="str">
        <v/>
      </c>
      <c r="I18549" s="4" t="str">
        <v/>
      </c>
    </row>
    <row r="18550" spans="5:9" ht="16.5" hidden="1">
      <c r="E18550" s="4" t="str">
        <v/>
      </c>
      <c r="F18550" s="102" t="str">
        <f ca="1">IFERROR(__xludf.DUMMYFUNCTION("IMPORTRANGE(H18550,""IDENTITAS UNIT!D9"")"),"#N/A")</f>
        <v>#N/A</v>
      </c>
      <c r="H18550" s="4" t="str">
        <v/>
      </c>
      <c r="I18550" s="4" t="str">
        <v/>
      </c>
    </row>
    <row r="18551" spans="5:9" ht="16.5" hidden="1">
      <c r="E18551" s="4" t="str">
        <v/>
      </c>
      <c r="F18551" s="102" t="str">
        <f ca="1">IFERROR(__xludf.DUMMYFUNCTION("IMPORTRANGE(H18551,""IDENTITAS UNIT!D9"")"),"#N/A")</f>
        <v>#N/A</v>
      </c>
      <c r="H18551" s="4" t="str">
        <v/>
      </c>
      <c r="I18551" s="4" t="str">
        <v/>
      </c>
    </row>
    <row r="18552" spans="5:9" ht="16.5" hidden="1">
      <c r="E18552" s="4" t="str">
        <v/>
      </c>
      <c r="F18552" s="102" t="str">
        <f ca="1">IFERROR(__xludf.DUMMYFUNCTION("IMPORTRANGE(H18552,""IDENTITAS UNIT!D9"")"),"#N/A")</f>
        <v>#N/A</v>
      </c>
      <c r="H18552" s="4" t="str">
        <v/>
      </c>
      <c r="I18552" s="4" t="str">
        <v/>
      </c>
    </row>
    <row r="18553" spans="5:9" ht="16.5" hidden="1">
      <c r="E18553" s="4" t="str">
        <v/>
      </c>
      <c r="F18553" s="102" t="str">
        <f ca="1">IFERROR(__xludf.DUMMYFUNCTION("IMPORTRANGE(H18553,""IDENTITAS UNIT!D9"")"),"#N/A")</f>
        <v>#N/A</v>
      </c>
      <c r="H18553" s="4" t="str">
        <v/>
      </c>
      <c r="I18553" s="4" t="str">
        <v/>
      </c>
    </row>
    <row r="18554" spans="5:9" ht="16.5" hidden="1">
      <c r="E18554" s="4" t="str">
        <v/>
      </c>
      <c r="F18554" s="102" t="str">
        <f ca="1">IFERROR(__xludf.DUMMYFUNCTION("IMPORTRANGE(H18554,""IDENTITAS UNIT!D9"")"),"#N/A")</f>
        <v>#N/A</v>
      </c>
      <c r="H18554" s="4" t="str">
        <v/>
      </c>
      <c r="I18554" s="4" t="str">
        <v/>
      </c>
    </row>
    <row r="18555" spans="5:9" ht="16.5" hidden="1">
      <c r="E18555" s="4" t="str">
        <v/>
      </c>
      <c r="F18555" s="102" t="str">
        <f ca="1">IFERROR(__xludf.DUMMYFUNCTION("IMPORTRANGE(H18555,""IDENTITAS UNIT!D9"")"),"#N/A")</f>
        <v>#N/A</v>
      </c>
      <c r="H18555" s="4" t="str">
        <v/>
      </c>
      <c r="I18555" s="4" t="str">
        <v/>
      </c>
    </row>
    <row r="18556" spans="5:9" ht="16.5" hidden="1">
      <c r="E18556" s="4" t="str">
        <v/>
      </c>
      <c r="F18556" s="102" t="str">
        <f ca="1">IFERROR(__xludf.DUMMYFUNCTION("IMPORTRANGE(H18556,""IDENTITAS UNIT!D9"")"),"#N/A")</f>
        <v>#N/A</v>
      </c>
      <c r="H18556" s="4" t="str">
        <v/>
      </c>
      <c r="I18556" s="4" t="str">
        <v/>
      </c>
    </row>
    <row r="18557" spans="5:9" ht="16.5" hidden="1">
      <c r="E18557" s="4" t="str">
        <v/>
      </c>
      <c r="F18557" s="102" t="str">
        <f ca="1">IFERROR(__xludf.DUMMYFUNCTION("IMPORTRANGE(H18557,""IDENTITAS UNIT!D9"")"),"#N/A")</f>
        <v>#N/A</v>
      </c>
      <c r="H18557" s="4" t="str">
        <v/>
      </c>
      <c r="I18557" s="4" t="str">
        <v/>
      </c>
    </row>
    <row r="18558" spans="5:9" ht="16.5" hidden="1">
      <c r="E18558" s="4" t="str">
        <v/>
      </c>
      <c r="F18558" s="102" t="str">
        <f ca="1">IFERROR(__xludf.DUMMYFUNCTION("IMPORTRANGE(H18558,""IDENTITAS UNIT!D9"")"),"#N/A")</f>
        <v>#N/A</v>
      </c>
      <c r="H18558" s="4" t="str">
        <v/>
      </c>
      <c r="I18558" s="4" t="str">
        <v/>
      </c>
    </row>
    <row r="18559" spans="5:9" ht="16.5" hidden="1">
      <c r="E18559" s="4" t="str">
        <v/>
      </c>
      <c r="F18559" s="102" t="str">
        <f ca="1">IFERROR(__xludf.DUMMYFUNCTION("IMPORTRANGE(H18559,""IDENTITAS UNIT!D9"")"),"#N/A")</f>
        <v>#N/A</v>
      </c>
      <c r="H18559" s="4" t="str">
        <v/>
      </c>
      <c r="I18559" s="4" t="str">
        <v/>
      </c>
    </row>
    <row r="18560" spans="5:9" ht="16.5" hidden="1">
      <c r="E18560" s="4" t="str">
        <v/>
      </c>
      <c r="F18560" s="102" t="str">
        <f ca="1">IFERROR(__xludf.DUMMYFUNCTION("IMPORTRANGE(H18560,""IDENTITAS UNIT!D9"")"),"#N/A")</f>
        <v>#N/A</v>
      </c>
      <c r="H18560" s="4" t="str">
        <v/>
      </c>
      <c r="I18560" s="4" t="str">
        <v/>
      </c>
    </row>
    <row r="18561" spans="5:9" ht="16.5" hidden="1">
      <c r="E18561" s="4" t="str">
        <v/>
      </c>
      <c r="F18561" s="102" t="str">
        <f ca="1">IFERROR(__xludf.DUMMYFUNCTION("IMPORTRANGE(H18561,""IDENTITAS UNIT!D9"")"),"#N/A")</f>
        <v>#N/A</v>
      </c>
      <c r="H18561" s="4" t="str">
        <v/>
      </c>
      <c r="I18561" s="4" t="str">
        <v/>
      </c>
    </row>
    <row r="18562" spans="5:9" ht="16.5" hidden="1">
      <c r="E18562" s="4" t="str">
        <v/>
      </c>
      <c r="F18562" s="102" t="str">
        <f ca="1">IFERROR(__xludf.DUMMYFUNCTION("IMPORTRANGE(H18562,""IDENTITAS UNIT!D9"")"),"#N/A")</f>
        <v>#N/A</v>
      </c>
      <c r="H18562" s="4" t="str">
        <v/>
      </c>
      <c r="I18562" s="4" t="str">
        <v/>
      </c>
    </row>
    <row r="18563" spans="5:9" ht="16.5" hidden="1">
      <c r="E18563" s="4" t="str">
        <v/>
      </c>
      <c r="F18563" s="102" t="str">
        <f ca="1">IFERROR(__xludf.DUMMYFUNCTION("IMPORTRANGE(H18563,""IDENTITAS UNIT!D9"")"),"#N/A")</f>
        <v>#N/A</v>
      </c>
      <c r="H18563" s="4" t="str">
        <v/>
      </c>
      <c r="I18563" s="4" t="str">
        <v/>
      </c>
    </row>
    <row r="18564" spans="5:9" ht="16.5" hidden="1">
      <c r="E18564" s="4" t="str">
        <v/>
      </c>
      <c r="F18564" s="102" t="str">
        <f ca="1">IFERROR(__xludf.DUMMYFUNCTION("IMPORTRANGE(H18564,""IDENTITAS UNIT!D9"")"),"#N/A")</f>
        <v>#N/A</v>
      </c>
      <c r="H18564" s="4" t="str">
        <v/>
      </c>
      <c r="I18564" s="4" t="str">
        <v/>
      </c>
    </row>
    <row r="18565" spans="5:9" ht="16.5" hidden="1">
      <c r="E18565" s="4" t="str">
        <v/>
      </c>
      <c r="F18565" s="102" t="str">
        <f ca="1">IFERROR(__xludf.DUMMYFUNCTION("IMPORTRANGE(H18565,""IDENTITAS UNIT!D9"")"),"#N/A")</f>
        <v>#N/A</v>
      </c>
      <c r="H18565" s="4" t="str">
        <v/>
      </c>
      <c r="I18565" s="4" t="str">
        <v/>
      </c>
    </row>
    <row r="18566" spans="5:9" ht="16.5" hidden="1">
      <c r="E18566" s="4" t="str">
        <v/>
      </c>
      <c r="F18566" s="102" t="str">
        <f ca="1">IFERROR(__xludf.DUMMYFUNCTION("IMPORTRANGE(H18566,""IDENTITAS UNIT!D9"")"),"#N/A")</f>
        <v>#N/A</v>
      </c>
      <c r="H18566" s="4" t="str">
        <v/>
      </c>
      <c r="I18566" s="4" t="str">
        <v/>
      </c>
    </row>
    <row r="18567" spans="5:9" ht="16.5" hidden="1">
      <c r="E18567" s="4" t="str">
        <v/>
      </c>
      <c r="F18567" s="102" t="str">
        <f ca="1">IFERROR(__xludf.DUMMYFUNCTION("IMPORTRANGE(H18567,""IDENTITAS UNIT!D9"")"),"#N/A")</f>
        <v>#N/A</v>
      </c>
      <c r="H18567" s="4" t="str">
        <v/>
      </c>
      <c r="I18567" s="4" t="str">
        <v/>
      </c>
    </row>
    <row r="18568" spans="5:9" ht="16.5" hidden="1">
      <c r="E18568" s="4" t="str">
        <v/>
      </c>
      <c r="F18568" s="102" t="str">
        <f ca="1">IFERROR(__xludf.DUMMYFUNCTION("IMPORTRANGE(H18568,""IDENTITAS UNIT!D9"")"),"#N/A")</f>
        <v>#N/A</v>
      </c>
      <c r="H18568" s="4" t="str">
        <v/>
      </c>
      <c r="I18568" s="4" t="str">
        <v/>
      </c>
    </row>
    <row r="18569" spans="5:9" ht="16.5" hidden="1">
      <c r="E18569" s="4" t="str">
        <v/>
      </c>
      <c r="F18569" s="102" t="str">
        <f ca="1">IFERROR(__xludf.DUMMYFUNCTION("IMPORTRANGE(H18569,""IDENTITAS UNIT!D9"")"),"#N/A")</f>
        <v>#N/A</v>
      </c>
      <c r="H18569" s="4" t="str">
        <v/>
      </c>
      <c r="I18569" s="4" t="str">
        <v/>
      </c>
    </row>
    <row r="18570" spans="5:9" ht="16.5" hidden="1">
      <c r="E18570" s="4" t="str">
        <v/>
      </c>
      <c r="F18570" s="102" t="str">
        <f ca="1">IFERROR(__xludf.DUMMYFUNCTION("IMPORTRANGE(H18570,""IDENTITAS UNIT!D9"")"),"#N/A")</f>
        <v>#N/A</v>
      </c>
      <c r="H18570" s="4" t="str">
        <v/>
      </c>
      <c r="I18570" s="4" t="str">
        <v/>
      </c>
    </row>
    <row r="18571" spans="5:9" ht="16.5" hidden="1">
      <c r="E18571" s="4" t="str">
        <v/>
      </c>
      <c r="F18571" s="102" t="str">
        <f ca="1">IFERROR(__xludf.DUMMYFUNCTION("IMPORTRANGE(H18571,""IDENTITAS UNIT!D9"")"),"#N/A")</f>
        <v>#N/A</v>
      </c>
      <c r="H18571" s="4" t="str">
        <v/>
      </c>
      <c r="I18571" s="4" t="str">
        <v/>
      </c>
    </row>
    <row r="18572" spans="5:9" ht="16.5" hidden="1">
      <c r="E18572" s="4" t="str">
        <v/>
      </c>
      <c r="F18572" s="102" t="str">
        <f ca="1">IFERROR(__xludf.DUMMYFUNCTION("IMPORTRANGE(H18572,""IDENTITAS UNIT!D9"")"),"#N/A")</f>
        <v>#N/A</v>
      </c>
      <c r="H18572" s="4" t="str">
        <v/>
      </c>
      <c r="I18572" s="4" t="str">
        <v/>
      </c>
    </row>
    <row r="18573" spans="5:9" ht="16.5" hidden="1">
      <c r="E18573" s="4" t="str">
        <v/>
      </c>
      <c r="F18573" s="102" t="str">
        <f ca="1">IFERROR(__xludf.DUMMYFUNCTION("IMPORTRANGE(H18573,""IDENTITAS UNIT!D9"")"),"#N/A")</f>
        <v>#N/A</v>
      </c>
      <c r="H18573" s="4" t="str">
        <v/>
      </c>
      <c r="I18573" s="4" t="str">
        <v/>
      </c>
    </row>
    <row r="18574" spans="5:9" ht="16.5" hidden="1">
      <c r="E18574" s="4" t="str">
        <v/>
      </c>
      <c r="F18574" s="102" t="str">
        <f ca="1">IFERROR(__xludf.DUMMYFUNCTION("IMPORTRANGE(H18574,""IDENTITAS UNIT!D9"")"),"#N/A")</f>
        <v>#N/A</v>
      </c>
      <c r="H18574" s="4" t="str">
        <v/>
      </c>
      <c r="I18574" s="4" t="str">
        <v/>
      </c>
    </row>
    <row r="18575" spans="5:9" ht="16.5" hidden="1">
      <c r="E18575" s="4" t="str">
        <v/>
      </c>
      <c r="F18575" s="102" t="str">
        <f ca="1">IFERROR(__xludf.DUMMYFUNCTION("IMPORTRANGE(H18575,""IDENTITAS UNIT!D9"")"),"#N/A")</f>
        <v>#N/A</v>
      </c>
      <c r="H18575" s="4" t="str">
        <v/>
      </c>
      <c r="I18575" s="4" t="str">
        <v/>
      </c>
    </row>
    <row r="18576" spans="5:9" ht="16.5" hidden="1">
      <c r="E18576" s="4" t="str">
        <v/>
      </c>
      <c r="F18576" s="102" t="str">
        <f ca="1">IFERROR(__xludf.DUMMYFUNCTION("IMPORTRANGE(H18576,""IDENTITAS UNIT!D9"")"),"#N/A")</f>
        <v>#N/A</v>
      </c>
      <c r="H18576" s="4" t="str">
        <v/>
      </c>
      <c r="I18576" s="4" t="str">
        <v/>
      </c>
    </row>
    <row r="18577" spans="5:9" ht="16.5" hidden="1">
      <c r="E18577" s="4" t="str">
        <v/>
      </c>
      <c r="F18577" s="102" t="str">
        <f ca="1">IFERROR(__xludf.DUMMYFUNCTION("IMPORTRANGE(H18577,""IDENTITAS UNIT!D9"")"),"#N/A")</f>
        <v>#N/A</v>
      </c>
      <c r="H18577" s="4" t="str">
        <v/>
      </c>
      <c r="I18577" s="4" t="str">
        <v/>
      </c>
    </row>
    <row r="18578" spans="5:9" ht="16.5" hidden="1">
      <c r="E18578" s="4" t="str">
        <v/>
      </c>
      <c r="F18578" s="102" t="str">
        <f ca="1">IFERROR(__xludf.DUMMYFUNCTION("IMPORTRANGE(H18578,""IDENTITAS UNIT!D9"")"),"#N/A")</f>
        <v>#N/A</v>
      </c>
      <c r="H18578" s="4" t="str">
        <v/>
      </c>
      <c r="I18578" s="4" t="str">
        <v/>
      </c>
    </row>
    <row r="18579" spans="5:9" ht="16.5" hidden="1">
      <c r="E18579" s="4" t="str">
        <v/>
      </c>
      <c r="F18579" s="102" t="str">
        <f ca="1">IFERROR(__xludf.DUMMYFUNCTION("IMPORTRANGE(H18579,""IDENTITAS UNIT!D9"")"),"#N/A")</f>
        <v>#N/A</v>
      </c>
      <c r="H18579" s="4" t="str">
        <v/>
      </c>
      <c r="I18579" s="4" t="str">
        <v/>
      </c>
    </row>
    <row r="18580" spans="5:9" ht="16.5" hidden="1">
      <c r="E18580" s="4" t="str">
        <v/>
      </c>
      <c r="F18580" s="102" t="str">
        <f ca="1">IFERROR(__xludf.DUMMYFUNCTION("IMPORTRANGE(H18580,""IDENTITAS UNIT!D9"")"),"#N/A")</f>
        <v>#N/A</v>
      </c>
      <c r="H18580" s="4" t="str">
        <v/>
      </c>
      <c r="I18580" s="4" t="str">
        <v/>
      </c>
    </row>
    <row r="18581" spans="5:9" ht="16.5" hidden="1">
      <c r="E18581" s="4" t="str">
        <v/>
      </c>
      <c r="F18581" s="102" t="str">
        <f ca="1">IFERROR(__xludf.DUMMYFUNCTION("IMPORTRANGE(H18581,""IDENTITAS UNIT!D9"")"),"#N/A")</f>
        <v>#N/A</v>
      </c>
      <c r="H18581" s="4" t="str">
        <v/>
      </c>
      <c r="I18581" s="4" t="str">
        <v/>
      </c>
    </row>
    <row r="18582" spans="5:9" ht="16.5" hidden="1">
      <c r="E18582" s="4" t="str">
        <v/>
      </c>
      <c r="F18582" s="102" t="str">
        <f ca="1">IFERROR(__xludf.DUMMYFUNCTION("IMPORTRANGE(H18582,""IDENTITAS UNIT!D9"")"),"#N/A")</f>
        <v>#N/A</v>
      </c>
      <c r="H18582" s="4" t="str">
        <v/>
      </c>
      <c r="I18582" s="4" t="str">
        <v/>
      </c>
    </row>
    <row r="18583" spans="5:9" ht="16.5" hidden="1">
      <c r="E18583" s="4" t="str">
        <v/>
      </c>
      <c r="F18583" s="102" t="str">
        <f ca="1">IFERROR(__xludf.DUMMYFUNCTION("IMPORTRANGE(H18583,""IDENTITAS UNIT!D9"")"),"#N/A")</f>
        <v>#N/A</v>
      </c>
      <c r="H18583" s="4" t="str">
        <v/>
      </c>
      <c r="I18583" s="4" t="str">
        <v/>
      </c>
    </row>
    <row r="18584" spans="5:9" ht="16.5" hidden="1">
      <c r="E18584" s="4" t="str">
        <v/>
      </c>
      <c r="F18584" s="102" t="str">
        <f ca="1">IFERROR(__xludf.DUMMYFUNCTION("IMPORTRANGE(H18584,""IDENTITAS UNIT!D9"")"),"#N/A")</f>
        <v>#N/A</v>
      </c>
      <c r="H18584" s="4" t="str">
        <v/>
      </c>
      <c r="I18584" s="4" t="str">
        <v/>
      </c>
    </row>
    <row r="18585" spans="5:9" ht="16.5" hidden="1">
      <c r="E18585" s="4" t="str">
        <v/>
      </c>
      <c r="F18585" s="102" t="str">
        <f ca="1">IFERROR(__xludf.DUMMYFUNCTION("IMPORTRANGE(H18585,""IDENTITAS UNIT!D9"")"),"#N/A")</f>
        <v>#N/A</v>
      </c>
      <c r="H18585" s="4" t="str">
        <v/>
      </c>
      <c r="I18585" s="4" t="str">
        <v/>
      </c>
    </row>
    <row r="18586" spans="5:9" ht="16.5" hidden="1">
      <c r="E18586" s="4" t="str">
        <v/>
      </c>
      <c r="F18586" s="102" t="str">
        <f ca="1">IFERROR(__xludf.DUMMYFUNCTION("IMPORTRANGE(H18586,""IDENTITAS UNIT!D9"")"),"#N/A")</f>
        <v>#N/A</v>
      </c>
      <c r="H18586" s="4" t="str">
        <v/>
      </c>
      <c r="I18586" s="4" t="str">
        <v/>
      </c>
    </row>
    <row r="18587" spans="5:9" ht="16.5" hidden="1">
      <c r="E18587" s="4" t="str">
        <v/>
      </c>
      <c r="F18587" s="102" t="str">
        <f ca="1">IFERROR(__xludf.DUMMYFUNCTION("IMPORTRANGE(H18587,""IDENTITAS UNIT!D9"")"),"#N/A")</f>
        <v>#N/A</v>
      </c>
      <c r="H18587" s="4" t="str">
        <v/>
      </c>
      <c r="I18587" s="4" t="str">
        <v/>
      </c>
    </row>
    <row r="18588" spans="5:9" ht="16.5" hidden="1">
      <c r="E18588" s="4" t="str">
        <v/>
      </c>
      <c r="F18588" s="102" t="str">
        <f ca="1">IFERROR(__xludf.DUMMYFUNCTION("IMPORTRANGE(H18588,""IDENTITAS UNIT!D9"")"),"#N/A")</f>
        <v>#N/A</v>
      </c>
      <c r="H18588" s="4" t="str">
        <v/>
      </c>
      <c r="I18588" s="4" t="str">
        <v/>
      </c>
    </row>
    <row r="18589" spans="5:9" ht="16.5" hidden="1">
      <c r="E18589" s="4" t="str">
        <v/>
      </c>
      <c r="F18589" s="102" t="str">
        <f ca="1">IFERROR(__xludf.DUMMYFUNCTION("IMPORTRANGE(H18589,""IDENTITAS UNIT!D9"")"),"#N/A")</f>
        <v>#N/A</v>
      </c>
      <c r="H18589" s="4" t="str">
        <v/>
      </c>
      <c r="I18589" s="4" t="str">
        <v/>
      </c>
    </row>
    <row r="18590" spans="5:9" ht="16.5" hidden="1">
      <c r="E18590" s="4" t="str">
        <v/>
      </c>
      <c r="F18590" s="102" t="str">
        <f ca="1">IFERROR(__xludf.DUMMYFUNCTION("IMPORTRANGE(H18590,""IDENTITAS UNIT!D9"")"),"#N/A")</f>
        <v>#N/A</v>
      </c>
      <c r="H18590" s="4" t="str">
        <v/>
      </c>
      <c r="I18590" s="4" t="str">
        <v/>
      </c>
    </row>
    <row r="18591" spans="5:9" ht="16.5" hidden="1">
      <c r="E18591" s="4" t="str">
        <v/>
      </c>
      <c r="F18591" s="102" t="str">
        <f ca="1">IFERROR(__xludf.DUMMYFUNCTION("IMPORTRANGE(H18591,""IDENTITAS UNIT!D9"")"),"#N/A")</f>
        <v>#N/A</v>
      </c>
      <c r="H18591" s="4" t="str">
        <v/>
      </c>
      <c r="I18591" s="4" t="str">
        <v/>
      </c>
    </row>
    <row r="18592" spans="5:9" ht="16.5" hidden="1">
      <c r="E18592" s="4" t="str">
        <v/>
      </c>
      <c r="F18592" s="102" t="str">
        <f ca="1">IFERROR(__xludf.DUMMYFUNCTION("IMPORTRANGE(H18592,""IDENTITAS UNIT!D9"")"),"#N/A")</f>
        <v>#N/A</v>
      </c>
      <c r="H18592" s="4" t="str">
        <v/>
      </c>
      <c r="I18592" s="4" t="str">
        <v/>
      </c>
    </row>
    <row r="18593" spans="5:9" ht="16.5" hidden="1">
      <c r="E18593" s="4" t="str">
        <v/>
      </c>
      <c r="F18593" s="102" t="str">
        <f ca="1">IFERROR(__xludf.DUMMYFUNCTION("IMPORTRANGE(H18593,""IDENTITAS UNIT!D9"")"),"#N/A")</f>
        <v>#N/A</v>
      </c>
      <c r="H18593" s="4" t="str">
        <v/>
      </c>
      <c r="I18593" s="4" t="str">
        <v/>
      </c>
    </row>
    <row r="18594" spans="5:9" ht="16.5" hidden="1">
      <c r="E18594" s="4" t="str">
        <v/>
      </c>
      <c r="F18594" s="102" t="str">
        <f ca="1">IFERROR(__xludf.DUMMYFUNCTION("IMPORTRANGE(H18594,""IDENTITAS UNIT!D9"")"),"#N/A")</f>
        <v>#N/A</v>
      </c>
      <c r="H18594" s="4" t="str">
        <v/>
      </c>
      <c r="I18594" s="4" t="str">
        <v/>
      </c>
    </row>
    <row r="18595" spans="5:9" ht="16.5" hidden="1">
      <c r="E18595" s="4" t="str">
        <v/>
      </c>
      <c r="F18595" s="102" t="str">
        <f ca="1">IFERROR(__xludf.DUMMYFUNCTION("IMPORTRANGE(H18595,""IDENTITAS UNIT!D9"")"),"#N/A")</f>
        <v>#N/A</v>
      </c>
      <c r="H18595" s="4" t="str">
        <v/>
      </c>
      <c r="I18595" s="4" t="str">
        <v/>
      </c>
    </row>
    <row r="18596" spans="5:9" ht="16.5" hidden="1">
      <c r="E18596" s="4" t="str">
        <v/>
      </c>
      <c r="F18596" s="102" t="str">
        <f ca="1">IFERROR(__xludf.DUMMYFUNCTION("IMPORTRANGE(H18596,""IDENTITAS UNIT!D9"")"),"#N/A")</f>
        <v>#N/A</v>
      </c>
      <c r="H18596" s="4" t="str">
        <v/>
      </c>
      <c r="I18596" s="4" t="str">
        <v/>
      </c>
    </row>
    <row r="18597" spans="5:9" ht="16.5" hidden="1">
      <c r="E18597" s="4" t="str">
        <v/>
      </c>
      <c r="F18597" s="102" t="str">
        <f ca="1">IFERROR(__xludf.DUMMYFUNCTION("IMPORTRANGE(H18597,""IDENTITAS UNIT!D9"")"),"#N/A")</f>
        <v>#N/A</v>
      </c>
      <c r="H18597" s="4" t="str">
        <v/>
      </c>
      <c r="I18597" s="4" t="str">
        <v/>
      </c>
    </row>
    <row r="18598" spans="5:9" ht="16.5" hidden="1">
      <c r="E18598" s="4" t="str">
        <v/>
      </c>
      <c r="F18598" s="102" t="str">
        <f ca="1">IFERROR(__xludf.DUMMYFUNCTION("IMPORTRANGE(H18598,""IDENTITAS UNIT!D9"")"),"#N/A")</f>
        <v>#N/A</v>
      </c>
      <c r="H18598" s="4" t="str">
        <v/>
      </c>
      <c r="I18598" s="4" t="str">
        <v/>
      </c>
    </row>
    <row r="18599" spans="5:9" ht="16.5" hidden="1">
      <c r="E18599" s="4" t="str">
        <v/>
      </c>
      <c r="F18599" s="102" t="str">
        <f ca="1">IFERROR(__xludf.DUMMYFUNCTION("IMPORTRANGE(H18599,""IDENTITAS UNIT!D9"")"),"#N/A")</f>
        <v>#N/A</v>
      </c>
      <c r="H18599" s="4" t="str">
        <v/>
      </c>
      <c r="I18599" s="4" t="str">
        <v/>
      </c>
    </row>
    <row r="18600" spans="5:9" ht="16.5" hidden="1">
      <c r="E18600" s="4" t="str">
        <v/>
      </c>
      <c r="F18600" s="102" t="str">
        <f ca="1">IFERROR(__xludf.DUMMYFUNCTION("IMPORTRANGE(H18600,""IDENTITAS UNIT!D9"")"),"#N/A")</f>
        <v>#N/A</v>
      </c>
      <c r="H18600" s="4" t="str">
        <v/>
      </c>
      <c r="I18600" s="4" t="str">
        <v/>
      </c>
    </row>
    <row r="18601" spans="5:9" ht="16.5" hidden="1">
      <c r="E18601" s="4" t="str">
        <v/>
      </c>
      <c r="F18601" s="102" t="str">
        <f ca="1">IFERROR(__xludf.DUMMYFUNCTION("IMPORTRANGE(H18601,""IDENTITAS UNIT!D9"")"),"#N/A")</f>
        <v>#N/A</v>
      </c>
      <c r="H18601" s="4" t="str">
        <v/>
      </c>
      <c r="I18601" s="4" t="str">
        <v/>
      </c>
    </row>
    <row r="18602" spans="5:9" ht="16.5" hidden="1">
      <c r="E18602" s="4" t="str">
        <v/>
      </c>
      <c r="F18602" s="102" t="str">
        <f ca="1">IFERROR(__xludf.DUMMYFUNCTION("IMPORTRANGE(H18602,""IDENTITAS UNIT!D9"")"),"#N/A")</f>
        <v>#N/A</v>
      </c>
      <c r="H18602" s="4" t="str">
        <v/>
      </c>
      <c r="I18602" s="4" t="str">
        <v/>
      </c>
    </row>
    <row r="18603" spans="5:9" ht="16.5" hidden="1">
      <c r="E18603" s="4" t="str">
        <v/>
      </c>
      <c r="F18603" s="102" t="str">
        <f ca="1">IFERROR(__xludf.DUMMYFUNCTION("IMPORTRANGE(H18603,""IDENTITAS UNIT!D9"")"),"#N/A")</f>
        <v>#N/A</v>
      </c>
      <c r="H18603" s="4" t="str">
        <v/>
      </c>
      <c r="I18603" s="4" t="str">
        <v/>
      </c>
    </row>
    <row r="18604" spans="5:9" ht="16.5" hidden="1">
      <c r="E18604" s="4" t="str">
        <v/>
      </c>
      <c r="F18604" s="102" t="str">
        <f ca="1">IFERROR(__xludf.DUMMYFUNCTION("IMPORTRANGE(H18604,""IDENTITAS UNIT!D9"")"),"#N/A")</f>
        <v>#N/A</v>
      </c>
      <c r="H18604" s="4" t="str">
        <v/>
      </c>
      <c r="I18604" s="4" t="str">
        <v/>
      </c>
    </row>
    <row r="18605" spans="5:9" ht="16.5" hidden="1">
      <c r="E18605" s="4" t="str">
        <v/>
      </c>
      <c r="F18605" s="102" t="str">
        <f ca="1">IFERROR(__xludf.DUMMYFUNCTION("IMPORTRANGE(H18605,""IDENTITAS UNIT!D9"")"),"#N/A")</f>
        <v>#N/A</v>
      </c>
      <c r="H18605" s="4" t="str">
        <v/>
      </c>
      <c r="I18605" s="4" t="str">
        <v/>
      </c>
    </row>
    <row r="18606" spans="5:9" ht="16.5" hidden="1">
      <c r="E18606" s="4" t="str">
        <v/>
      </c>
      <c r="F18606" s="102" t="str">
        <f ca="1">IFERROR(__xludf.DUMMYFUNCTION("IMPORTRANGE(H18606,""IDENTITAS UNIT!D9"")"),"#N/A")</f>
        <v>#N/A</v>
      </c>
      <c r="H18606" s="4" t="str">
        <v/>
      </c>
      <c r="I18606" s="4" t="str">
        <v/>
      </c>
    </row>
    <row r="18607" spans="5:9" ht="16.5" hidden="1">
      <c r="E18607" s="4" t="str">
        <v/>
      </c>
      <c r="F18607" s="102" t="str">
        <f ca="1">IFERROR(__xludf.DUMMYFUNCTION("IMPORTRANGE(H18607,""IDENTITAS UNIT!D9"")"),"#N/A")</f>
        <v>#N/A</v>
      </c>
      <c r="H18607" s="4" t="str">
        <v/>
      </c>
      <c r="I18607" s="4" t="str">
        <v/>
      </c>
    </row>
    <row r="18608" spans="5:9" ht="16.5" hidden="1">
      <c r="E18608" s="4" t="str">
        <v/>
      </c>
      <c r="F18608" s="102" t="str">
        <f ca="1">IFERROR(__xludf.DUMMYFUNCTION("IMPORTRANGE(H18608,""IDENTITAS UNIT!D9"")"),"#N/A")</f>
        <v>#N/A</v>
      </c>
      <c r="H18608" s="4" t="str">
        <v/>
      </c>
      <c r="I18608" s="4" t="str">
        <v/>
      </c>
    </row>
    <row r="18609" spans="5:9" ht="16.5" hidden="1">
      <c r="E18609" s="4" t="str">
        <v/>
      </c>
      <c r="F18609" s="102" t="str">
        <f ca="1">IFERROR(__xludf.DUMMYFUNCTION("IMPORTRANGE(H18609,""IDENTITAS UNIT!D9"")"),"#N/A")</f>
        <v>#N/A</v>
      </c>
      <c r="H18609" s="4" t="str">
        <v/>
      </c>
      <c r="I18609" s="4" t="str">
        <v/>
      </c>
    </row>
    <row r="18610" spans="5:9" ht="16.5" hidden="1">
      <c r="E18610" s="4" t="str">
        <v/>
      </c>
      <c r="F18610" s="102" t="str">
        <f ca="1">IFERROR(__xludf.DUMMYFUNCTION("IMPORTRANGE(H18610,""IDENTITAS UNIT!D9"")"),"#N/A")</f>
        <v>#N/A</v>
      </c>
      <c r="H18610" s="4" t="str">
        <v/>
      </c>
      <c r="I18610" s="4" t="str">
        <v/>
      </c>
    </row>
    <row r="18611" spans="5:9" ht="16.5" hidden="1">
      <c r="E18611" s="4" t="str">
        <v/>
      </c>
      <c r="F18611" s="102" t="str">
        <f ca="1">IFERROR(__xludf.DUMMYFUNCTION("IMPORTRANGE(H18611,""IDENTITAS UNIT!D9"")"),"#N/A")</f>
        <v>#N/A</v>
      </c>
      <c r="H18611" s="4" t="str">
        <v/>
      </c>
      <c r="I18611" s="4" t="str">
        <v/>
      </c>
    </row>
    <row r="18612" spans="5:9" ht="16.5" hidden="1">
      <c r="E18612" s="4" t="str">
        <v/>
      </c>
      <c r="F18612" s="102" t="str">
        <f ca="1">IFERROR(__xludf.DUMMYFUNCTION("IMPORTRANGE(H18612,""IDENTITAS UNIT!D9"")"),"#N/A")</f>
        <v>#N/A</v>
      </c>
      <c r="H18612" s="4" t="str">
        <v/>
      </c>
      <c r="I18612" s="4" t="str">
        <v/>
      </c>
    </row>
    <row r="18613" spans="5:9" ht="16.5" hidden="1">
      <c r="E18613" s="4" t="str">
        <v/>
      </c>
      <c r="F18613" s="102" t="str">
        <f ca="1">IFERROR(__xludf.DUMMYFUNCTION("IMPORTRANGE(H18613,""IDENTITAS UNIT!D9"")"),"#N/A")</f>
        <v>#N/A</v>
      </c>
      <c r="H18613" s="4" t="str">
        <v/>
      </c>
      <c r="I18613" s="4" t="str">
        <v/>
      </c>
    </row>
    <row r="18614" spans="5:9" ht="16.5" hidden="1">
      <c r="E18614" s="4" t="str">
        <v/>
      </c>
      <c r="F18614" s="102" t="str">
        <f ca="1">IFERROR(__xludf.DUMMYFUNCTION("IMPORTRANGE(H18614,""IDENTITAS UNIT!D9"")"),"#N/A")</f>
        <v>#N/A</v>
      </c>
      <c r="H18614" s="4" t="str">
        <v/>
      </c>
      <c r="I18614" s="4" t="str">
        <v/>
      </c>
    </row>
    <row r="18615" spans="5:9" ht="16.5" hidden="1">
      <c r="E18615" s="4" t="str">
        <v/>
      </c>
      <c r="F18615" s="102" t="str">
        <f ca="1">IFERROR(__xludf.DUMMYFUNCTION("IMPORTRANGE(H18615,""IDENTITAS UNIT!D9"")"),"#N/A")</f>
        <v>#N/A</v>
      </c>
      <c r="H18615" s="4" t="str">
        <v/>
      </c>
      <c r="I18615" s="4" t="str">
        <v/>
      </c>
    </row>
    <row r="18616" spans="5:9" ht="16.5" hidden="1">
      <c r="E18616" s="4" t="str">
        <v/>
      </c>
      <c r="F18616" s="102" t="str">
        <f ca="1">IFERROR(__xludf.DUMMYFUNCTION("IMPORTRANGE(H18616,""IDENTITAS UNIT!D9"")"),"#N/A")</f>
        <v>#N/A</v>
      </c>
      <c r="H18616" s="4" t="str">
        <v/>
      </c>
      <c r="I18616" s="4" t="str">
        <v/>
      </c>
    </row>
    <row r="18617" spans="5:9" ht="16.5" hidden="1">
      <c r="E18617" s="4" t="str">
        <v/>
      </c>
      <c r="F18617" s="102" t="str">
        <f ca="1">IFERROR(__xludf.DUMMYFUNCTION("IMPORTRANGE(H18617,""IDENTITAS UNIT!D9"")"),"#N/A")</f>
        <v>#N/A</v>
      </c>
      <c r="H18617" s="4" t="str">
        <v/>
      </c>
      <c r="I18617" s="4" t="str">
        <v/>
      </c>
    </row>
    <row r="18618" spans="5:9" ht="16.5" hidden="1">
      <c r="E18618" s="4" t="str">
        <v/>
      </c>
      <c r="F18618" s="102" t="str">
        <f ca="1">IFERROR(__xludf.DUMMYFUNCTION("IMPORTRANGE(H18618,""IDENTITAS UNIT!D9"")"),"#N/A")</f>
        <v>#N/A</v>
      </c>
      <c r="H18618" s="4" t="str">
        <v/>
      </c>
      <c r="I18618" s="4" t="str">
        <v/>
      </c>
    </row>
    <row r="18619" spans="5:9" ht="16.5" hidden="1">
      <c r="E18619" s="4" t="str">
        <v/>
      </c>
      <c r="F18619" s="102" t="str">
        <f ca="1">IFERROR(__xludf.DUMMYFUNCTION("IMPORTRANGE(H18619,""IDENTITAS UNIT!D9"")"),"#N/A")</f>
        <v>#N/A</v>
      </c>
      <c r="H18619" s="4" t="str">
        <v/>
      </c>
      <c r="I18619" s="4" t="str">
        <v/>
      </c>
    </row>
    <row r="18620" spans="5:9" ht="16.5" hidden="1">
      <c r="E18620" s="4" t="str">
        <v/>
      </c>
      <c r="F18620" s="102" t="str">
        <f ca="1">IFERROR(__xludf.DUMMYFUNCTION("IMPORTRANGE(H18620,""IDENTITAS UNIT!D9"")"),"#N/A")</f>
        <v>#N/A</v>
      </c>
      <c r="H18620" s="4" t="str">
        <v/>
      </c>
      <c r="I18620" s="4" t="str">
        <v/>
      </c>
    </row>
    <row r="18621" spans="5:9" ht="16.5" hidden="1">
      <c r="E18621" s="4" t="str">
        <v/>
      </c>
      <c r="F18621" s="102" t="str">
        <f ca="1">IFERROR(__xludf.DUMMYFUNCTION("IMPORTRANGE(H18621,""IDENTITAS UNIT!D9"")"),"#N/A")</f>
        <v>#N/A</v>
      </c>
      <c r="H18621" s="4" t="str">
        <v/>
      </c>
      <c r="I18621" s="4" t="str">
        <v/>
      </c>
    </row>
    <row r="18622" spans="5:9" ht="16.5" hidden="1">
      <c r="E18622" s="4" t="str">
        <v/>
      </c>
      <c r="F18622" s="102" t="str">
        <f ca="1">IFERROR(__xludf.DUMMYFUNCTION("IMPORTRANGE(H18622,""IDENTITAS UNIT!D9"")"),"#N/A")</f>
        <v>#N/A</v>
      </c>
      <c r="H18622" s="4" t="str">
        <v/>
      </c>
      <c r="I18622" s="4" t="str">
        <v/>
      </c>
    </row>
    <row r="18623" spans="5:9" ht="16.5" hidden="1">
      <c r="E18623" s="4" t="str">
        <v/>
      </c>
      <c r="F18623" s="102" t="str">
        <f ca="1">IFERROR(__xludf.DUMMYFUNCTION("IMPORTRANGE(H18623,""IDENTITAS UNIT!D9"")"),"#N/A")</f>
        <v>#N/A</v>
      </c>
      <c r="H18623" s="4" t="str">
        <v/>
      </c>
      <c r="I18623" s="4" t="str">
        <v/>
      </c>
    </row>
    <row r="18624" spans="5:9" ht="16.5" hidden="1">
      <c r="E18624" s="4" t="str">
        <v/>
      </c>
      <c r="F18624" s="102" t="str">
        <f ca="1">IFERROR(__xludf.DUMMYFUNCTION("IMPORTRANGE(H18624,""IDENTITAS UNIT!D9"")"),"#N/A")</f>
        <v>#N/A</v>
      </c>
      <c r="H18624" s="4" t="str">
        <v/>
      </c>
      <c r="I18624" s="4" t="str">
        <v/>
      </c>
    </row>
    <row r="18625" spans="5:9" ht="16.5" hidden="1">
      <c r="E18625" s="4" t="str">
        <v/>
      </c>
      <c r="F18625" s="102" t="str">
        <f ca="1">IFERROR(__xludf.DUMMYFUNCTION("IMPORTRANGE(H18625,""IDENTITAS UNIT!D9"")"),"#N/A")</f>
        <v>#N/A</v>
      </c>
      <c r="H18625" s="4" t="str">
        <v/>
      </c>
      <c r="I18625" s="4" t="str">
        <v/>
      </c>
    </row>
    <row r="18626" spans="5:9" ht="16.5" hidden="1">
      <c r="E18626" s="4" t="str">
        <v/>
      </c>
      <c r="F18626" s="102" t="str">
        <f ca="1">IFERROR(__xludf.DUMMYFUNCTION("IMPORTRANGE(H18626,""IDENTITAS UNIT!D9"")"),"#N/A")</f>
        <v>#N/A</v>
      </c>
      <c r="H18626" s="4" t="str">
        <v/>
      </c>
      <c r="I18626" s="4" t="str">
        <v/>
      </c>
    </row>
    <row r="18627" spans="5:9" ht="16.5" hidden="1">
      <c r="E18627" s="4" t="str">
        <v/>
      </c>
      <c r="F18627" s="102" t="str">
        <f ca="1">IFERROR(__xludf.DUMMYFUNCTION("IMPORTRANGE(H18627,""IDENTITAS UNIT!D9"")"),"#N/A")</f>
        <v>#N/A</v>
      </c>
      <c r="H18627" s="4" t="str">
        <v/>
      </c>
      <c r="I18627" s="4" t="str">
        <v/>
      </c>
    </row>
    <row r="18628" spans="5:9" ht="16.5" hidden="1">
      <c r="E18628" s="4" t="str">
        <v/>
      </c>
      <c r="F18628" s="102" t="str">
        <f ca="1">IFERROR(__xludf.DUMMYFUNCTION("IMPORTRANGE(H18628,""IDENTITAS UNIT!D9"")"),"#N/A")</f>
        <v>#N/A</v>
      </c>
      <c r="H18628" s="4" t="str">
        <v/>
      </c>
      <c r="I18628" s="4" t="str">
        <v/>
      </c>
    </row>
    <row r="18629" spans="5:9" ht="16.5" hidden="1">
      <c r="E18629" s="4" t="str">
        <v/>
      </c>
      <c r="F18629" s="102" t="str">
        <f ca="1">IFERROR(__xludf.DUMMYFUNCTION("IMPORTRANGE(H18629,""IDENTITAS UNIT!D9"")"),"#N/A")</f>
        <v>#N/A</v>
      </c>
      <c r="H18629" s="4" t="str">
        <v/>
      </c>
      <c r="I18629" s="4" t="str">
        <v/>
      </c>
    </row>
    <row r="18630" spans="5:9" ht="16.5" hidden="1">
      <c r="E18630" s="4" t="str">
        <v/>
      </c>
      <c r="F18630" s="102" t="str">
        <f ca="1">IFERROR(__xludf.DUMMYFUNCTION("IMPORTRANGE(H18630,""IDENTITAS UNIT!D9"")"),"#N/A")</f>
        <v>#N/A</v>
      </c>
      <c r="H18630" s="4" t="str">
        <v/>
      </c>
      <c r="I18630" s="4" t="str">
        <v/>
      </c>
    </row>
    <row r="18631" spans="5:9" ht="16.5" hidden="1">
      <c r="E18631" s="4" t="str">
        <v/>
      </c>
      <c r="F18631" s="102" t="str">
        <f ca="1">IFERROR(__xludf.DUMMYFUNCTION("IMPORTRANGE(H18631,""IDENTITAS UNIT!D9"")"),"#N/A")</f>
        <v>#N/A</v>
      </c>
      <c r="H18631" s="4" t="str">
        <v/>
      </c>
      <c r="I18631" s="4" t="str">
        <v/>
      </c>
    </row>
    <row r="18632" spans="5:9" ht="16.5" hidden="1">
      <c r="E18632" s="4" t="str">
        <v/>
      </c>
      <c r="F18632" s="102" t="str">
        <f ca="1">IFERROR(__xludf.DUMMYFUNCTION("IMPORTRANGE(H18632,""IDENTITAS UNIT!D9"")"),"#N/A")</f>
        <v>#N/A</v>
      </c>
      <c r="H18632" s="4" t="str">
        <v/>
      </c>
      <c r="I18632" s="4" t="str">
        <v/>
      </c>
    </row>
    <row r="18633" spans="5:9" ht="16.5" hidden="1">
      <c r="E18633" s="4" t="str">
        <v/>
      </c>
      <c r="F18633" s="102" t="str">
        <f ca="1">IFERROR(__xludf.DUMMYFUNCTION("IMPORTRANGE(H18633,""IDENTITAS UNIT!D9"")"),"#N/A")</f>
        <v>#N/A</v>
      </c>
      <c r="H18633" s="4" t="str">
        <v/>
      </c>
      <c r="I18633" s="4" t="str">
        <v/>
      </c>
    </row>
    <row r="18634" spans="5:9" ht="16.5" hidden="1">
      <c r="E18634" s="4" t="str">
        <v/>
      </c>
      <c r="F18634" s="102" t="str">
        <f ca="1">IFERROR(__xludf.DUMMYFUNCTION("IMPORTRANGE(H18634,""IDENTITAS UNIT!D9"")"),"#N/A")</f>
        <v>#N/A</v>
      </c>
      <c r="H18634" s="4" t="str">
        <v/>
      </c>
      <c r="I18634" s="4" t="str">
        <v/>
      </c>
    </row>
    <row r="18635" spans="5:9" ht="16.5" hidden="1">
      <c r="E18635" s="4" t="str">
        <v/>
      </c>
      <c r="F18635" s="102" t="str">
        <f ca="1">IFERROR(__xludf.DUMMYFUNCTION("IMPORTRANGE(H18635,""IDENTITAS UNIT!D9"")"),"#N/A")</f>
        <v>#N/A</v>
      </c>
      <c r="H18635" s="4" t="str">
        <v/>
      </c>
      <c r="I18635" s="4" t="str">
        <v/>
      </c>
    </row>
    <row r="18636" spans="5:9" ht="16.5" hidden="1">
      <c r="E18636" s="4" t="str">
        <v/>
      </c>
      <c r="F18636" s="102" t="str">
        <f ca="1">IFERROR(__xludf.DUMMYFUNCTION("IMPORTRANGE(H18636,""IDENTITAS UNIT!D9"")"),"#N/A")</f>
        <v>#N/A</v>
      </c>
      <c r="H18636" s="4" t="str">
        <v/>
      </c>
      <c r="I18636" s="4" t="str">
        <v/>
      </c>
    </row>
    <row r="18637" spans="5:9" ht="16.5" hidden="1">
      <c r="E18637" s="4" t="str">
        <v/>
      </c>
      <c r="F18637" s="102" t="str">
        <f ca="1">IFERROR(__xludf.DUMMYFUNCTION("IMPORTRANGE(H18637,""IDENTITAS UNIT!D9"")"),"#N/A")</f>
        <v>#N/A</v>
      </c>
      <c r="H18637" s="4" t="str">
        <v/>
      </c>
      <c r="I18637" s="4" t="str">
        <v/>
      </c>
    </row>
    <row r="18638" spans="5:9" ht="16.5" hidden="1">
      <c r="E18638" s="4" t="str">
        <v/>
      </c>
      <c r="F18638" s="102" t="str">
        <f ca="1">IFERROR(__xludf.DUMMYFUNCTION("IMPORTRANGE(H18638,""IDENTITAS UNIT!D9"")"),"#N/A")</f>
        <v>#N/A</v>
      </c>
      <c r="H18638" s="4" t="str">
        <v/>
      </c>
      <c r="I18638" s="4" t="str">
        <v/>
      </c>
    </row>
    <row r="18639" spans="5:9" ht="16.5" hidden="1">
      <c r="E18639" s="4" t="str">
        <v/>
      </c>
      <c r="F18639" s="102" t="str">
        <f ca="1">IFERROR(__xludf.DUMMYFUNCTION("IMPORTRANGE(H18639,""IDENTITAS UNIT!D9"")"),"#N/A")</f>
        <v>#N/A</v>
      </c>
      <c r="H18639" s="4" t="str">
        <v/>
      </c>
      <c r="I18639" s="4" t="str">
        <v/>
      </c>
    </row>
    <row r="18640" spans="5:9" ht="16.5" hidden="1">
      <c r="E18640" s="4" t="str">
        <v/>
      </c>
      <c r="F18640" s="102" t="str">
        <f ca="1">IFERROR(__xludf.DUMMYFUNCTION("IMPORTRANGE(H18640,""IDENTITAS UNIT!D9"")"),"#N/A")</f>
        <v>#N/A</v>
      </c>
      <c r="H18640" s="4" t="str">
        <v/>
      </c>
      <c r="I18640" s="4" t="str">
        <v/>
      </c>
    </row>
    <row r="18641" spans="5:9" ht="16.5" hidden="1">
      <c r="E18641" s="4" t="str">
        <v/>
      </c>
      <c r="F18641" s="102" t="str">
        <f ca="1">IFERROR(__xludf.DUMMYFUNCTION("IMPORTRANGE(H18641,""IDENTITAS UNIT!D9"")"),"#N/A")</f>
        <v>#N/A</v>
      </c>
      <c r="H18641" s="4" t="str">
        <v/>
      </c>
      <c r="I18641" s="4" t="str">
        <v/>
      </c>
    </row>
    <row r="18642" spans="5:9" ht="16.5" hidden="1">
      <c r="E18642" s="4" t="str">
        <v/>
      </c>
      <c r="F18642" s="102" t="str">
        <f ca="1">IFERROR(__xludf.DUMMYFUNCTION("IMPORTRANGE(H18642,""IDENTITAS UNIT!D9"")"),"#N/A")</f>
        <v>#N/A</v>
      </c>
      <c r="H18642" s="4" t="str">
        <v/>
      </c>
      <c r="I18642" s="4" t="str">
        <v/>
      </c>
    </row>
    <row r="18643" spans="5:9" ht="16.5" hidden="1">
      <c r="E18643" s="4" t="str">
        <v/>
      </c>
      <c r="F18643" s="102" t="str">
        <f ca="1">IFERROR(__xludf.DUMMYFUNCTION("IMPORTRANGE(H18643,""IDENTITAS UNIT!D9"")"),"#N/A")</f>
        <v>#N/A</v>
      </c>
      <c r="H18643" s="4" t="str">
        <v/>
      </c>
      <c r="I18643" s="4" t="str">
        <v/>
      </c>
    </row>
    <row r="18644" spans="5:9" ht="16.5" hidden="1">
      <c r="E18644" s="4" t="str">
        <v/>
      </c>
      <c r="F18644" s="102" t="str">
        <f ca="1">IFERROR(__xludf.DUMMYFUNCTION("IMPORTRANGE(H18644,""IDENTITAS UNIT!D9"")"),"#N/A")</f>
        <v>#N/A</v>
      </c>
      <c r="H18644" s="4" t="str">
        <v/>
      </c>
      <c r="I18644" s="4" t="str">
        <v/>
      </c>
    </row>
    <row r="18645" spans="5:9" ht="16.5" hidden="1">
      <c r="E18645" s="4" t="str">
        <v/>
      </c>
      <c r="F18645" s="102" t="str">
        <f ca="1">IFERROR(__xludf.DUMMYFUNCTION("IMPORTRANGE(H18645,""IDENTITAS UNIT!D9"")"),"#N/A")</f>
        <v>#N/A</v>
      </c>
      <c r="H18645" s="4" t="str">
        <v/>
      </c>
      <c r="I18645" s="4" t="str">
        <v/>
      </c>
    </row>
    <row r="18646" spans="5:9" ht="16.5" hidden="1">
      <c r="E18646" s="4" t="str">
        <v/>
      </c>
      <c r="F18646" s="102" t="str">
        <f ca="1">IFERROR(__xludf.DUMMYFUNCTION("IMPORTRANGE(H18646,""IDENTITAS UNIT!D9"")"),"#N/A")</f>
        <v>#N/A</v>
      </c>
      <c r="H18646" s="4" t="str">
        <v/>
      </c>
      <c r="I18646" s="4" t="str">
        <v/>
      </c>
    </row>
    <row r="18647" spans="5:9" ht="16.5" hidden="1">
      <c r="E18647" s="4" t="str">
        <v/>
      </c>
      <c r="F18647" s="102" t="str">
        <f ca="1">IFERROR(__xludf.DUMMYFUNCTION("IMPORTRANGE(H18647,""IDENTITAS UNIT!D9"")"),"#N/A")</f>
        <v>#N/A</v>
      </c>
      <c r="H18647" s="4" t="str">
        <v/>
      </c>
      <c r="I18647" s="4" t="str">
        <v/>
      </c>
    </row>
    <row r="18648" spans="5:9" ht="16.5" hidden="1">
      <c r="E18648" s="4" t="str">
        <v/>
      </c>
      <c r="F18648" s="102" t="str">
        <f ca="1">IFERROR(__xludf.DUMMYFUNCTION("IMPORTRANGE(H18648,""IDENTITAS UNIT!D9"")"),"#N/A")</f>
        <v>#N/A</v>
      </c>
      <c r="H18648" s="4" t="str">
        <v/>
      </c>
      <c r="I18648" s="4" t="str">
        <v/>
      </c>
    </row>
    <row r="18649" spans="5:9" ht="16.5" hidden="1">
      <c r="E18649" s="4" t="str">
        <v/>
      </c>
      <c r="F18649" s="102" t="str">
        <f ca="1">IFERROR(__xludf.DUMMYFUNCTION("IMPORTRANGE(H18649,""IDENTITAS UNIT!D9"")"),"#N/A")</f>
        <v>#N/A</v>
      </c>
      <c r="H18649" s="4" t="str">
        <v/>
      </c>
      <c r="I18649" s="4" t="str">
        <v/>
      </c>
    </row>
    <row r="18650" spans="5:9" ht="16.5" hidden="1">
      <c r="E18650" s="4" t="str">
        <v/>
      </c>
      <c r="F18650" s="102" t="str">
        <f ca="1">IFERROR(__xludf.DUMMYFUNCTION("IMPORTRANGE(H18650,""IDENTITAS UNIT!D9"")"),"#N/A")</f>
        <v>#N/A</v>
      </c>
      <c r="H18650" s="4" t="str">
        <v/>
      </c>
      <c r="I18650" s="4" t="str">
        <v/>
      </c>
    </row>
    <row r="18651" spans="5:9" ht="16.5" hidden="1">
      <c r="E18651" s="4" t="str">
        <v/>
      </c>
      <c r="F18651" s="102" t="str">
        <f ca="1">IFERROR(__xludf.DUMMYFUNCTION("IMPORTRANGE(H18651,""IDENTITAS UNIT!D9"")"),"#N/A")</f>
        <v>#N/A</v>
      </c>
      <c r="H18651" s="4" t="str">
        <v/>
      </c>
      <c r="I18651" s="4" t="str">
        <v/>
      </c>
    </row>
    <row r="18652" spans="5:9" ht="16.5" hidden="1">
      <c r="E18652" s="4" t="str">
        <v/>
      </c>
      <c r="F18652" s="102" t="str">
        <f ca="1">IFERROR(__xludf.DUMMYFUNCTION("IMPORTRANGE(H18652,""IDENTITAS UNIT!D9"")"),"#N/A")</f>
        <v>#N/A</v>
      </c>
      <c r="H18652" s="4" t="str">
        <v/>
      </c>
      <c r="I18652" s="4" t="str">
        <v/>
      </c>
    </row>
    <row r="18653" spans="5:9" ht="16.5" hidden="1">
      <c r="E18653" s="4" t="str">
        <v/>
      </c>
      <c r="F18653" s="102" t="str">
        <f ca="1">IFERROR(__xludf.DUMMYFUNCTION("IMPORTRANGE(H18653,""IDENTITAS UNIT!D9"")"),"#N/A")</f>
        <v>#N/A</v>
      </c>
      <c r="H18653" s="4" t="str">
        <v/>
      </c>
      <c r="I18653" s="4" t="str">
        <v/>
      </c>
    </row>
    <row r="18654" spans="5:9" ht="16.5" hidden="1">
      <c r="E18654" s="4" t="str">
        <v/>
      </c>
      <c r="F18654" s="102" t="str">
        <f ca="1">IFERROR(__xludf.DUMMYFUNCTION("IMPORTRANGE(H18654,""IDENTITAS UNIT!D9"")"),"#N/A")</f>
        <v>#N/A</v>
      </c>
      <c r="H18654" s="4" t="str">
        <v/>
      </c>
      <c r="I18654" s="4" t="str">
        <v/>
      </c>
    </row>
    <row r="18655" spans="5:9" ht="16.5" hidden="1">
      <c r="E18655" s="4" t="str">
        <v/>
      </c>
      <c r="F18655" s="102" t="str">
        <f ca="1">IFERROR(__xludf.DUMMYFUNCTION("IMPORTRANGE(H18655,""IDENTITAS UNIT!D9"")"),"#N/A")</f>
        <v>#N/A</v>
      </c>
      <c r="H18655" s="4" t="str">
        <v/>
      </c>
      <c r="I18655" s="4" t="str">
        <v/>
      </c>
    </row>
    <row r="18656" spans="5:9" ht="16.5" hidden="1">
      <c r="E18656" s="4" t="str">
        <v/>
      </c>
      <c r="F18656" s="102" t="str">
        <f ca="1">IFERROR(__xludf.DUMMYFUNCTION("IMPORTRANGE(H18656,""IDENTITAS UNIT!D9"")"),"#N/A")</f>
        <v>#N/A</v>
      </c>
      <c r="H18656" s="4" t="str">
        <v/>
      </c>
      <c r="I18656" s="4" t="str">
        <v/>
      </c>
    </row>
    <row r="18657" spans="5:9" ht="16.5" hidden="1">
      <c r="E18657" s="4" t="str">
        <v/>
      </c>
      <c r="F18657" s="102" t="str">
        <f ca="1">IFERROR(__xludf.DUMMYFUNCTION("IMPORTRANGE(H18657,""IDENTITAS UNIT!D9"")"),"#N/A")</f>
        <v>#N/A</v>
      </c>
      <c r="H18657" s="4" t="str">
        <v/>
      </c>
      <c r="I18657" s="4" t="str">
        <v/>
      </c>
    </row>
    <row r="18658" spans="5:9" ht="16.5" hidden="1">
      <c r="E18658" s="4" t="str">
        <v/>
      </c>
      <c r="F18658" s="102" t="str">
        <f ca="1">IFERROR(__xludf.DUMMYFUNCTION("IMPORTRANGE(H18658,""IDENTITAS UNIT!D9"")"),"#N/A")</f>
        <v>#N/A</v>
      </c>
      <c r="H18658" s="4" t="str">
        <v/>
      </c>
      <c r="I18658" s="4" t="str">
        <v/>
      </c>
    </row>
    <row r="18659" spans="5:9" ht="16.5" hidden="1">
      <c r="E18659" s="4" t="str">
        <v/>
      </c>
      <c r="F18659" s="102" t="str">
        <f ca="1">IFERROR(__xludf.DUMMYFUNCTION("IMPORTRANGE(H18659,""IDENTITAS UNIT!D9"")"),"#N/A")</f>
        <v>#N/A</v>
      </c>
      <c r="H18659" s="4" t="str">
        <v/>
      </c>
      <c r="I18659" s="4" t="str">
        <v/>
      </c>
    </row>
    <row r="18660" spans="5:9" ht="16.5" hidden="1">
      <c r="E18660" s="4" t="str">
        <v/>
      </c>
      <c r="F18660" s="102" t="str">
        <f ca="1">IFERROR(__xludf.DUMMYFUNCTION("IMPORTRANGE(H18660,""IDENTITAS UNIT!D9"")"),"#N/A")</f>
        <v>#N/A</v>
      </c>
      <c r="H18660" s="4" t="str">
        <v/>
      </c>
      <c r="I18660" s="4" t="str">
        <v/>
      </c>
    </row>
    <row r="18661" spans="5:9" ht="16.5" hidden="1">
      <c r="E18661" s="4" t="str">
        <v/>
      </c>
      <c r="F18661" s="102" t="str">
        <f ca="1">IFERROR(__xludf.DUMMYFUNCTION("IMPORTRANGE(H18661,""IDENTITAS UNIT!D9"")"),"#N/A")</f>
        <v>#N/A</v>
      </c>
      <c r="H18661" s="4" t="str">
        <v/>
      </c>
      <c r="I18661" s="4" t="str">
        <v/>
      </c>
    </row>
    <row r="18662" spans="5:9" ht="16.5" hidden="1">
      <c r="E18662" s="4" t="str">
        <v/>
      </c>
      <c r="F18662" s="102" t="str">
        <f ca="1">IFERROR(__xludf.DUMMYFUNCTION("IMPORTRANGE(H18662,""IDENTITAS UNIT!D9"")"),"#N/A")</f>
        <v>#N/A</v>
      </c>
      <c r="H18662" s="4" t="str">
        <v/>
      </c>
      <c r="I18662" s="4" t="str">
        <v/>
      </c>
    </row>
    <row r="18663" spans="5:9" ht="16.5" hidden="1">
      <c r="E18663" s="4" t="str">
        <v/>
      </c>
      <c r="F18663" s="102" t="str">
        <f ca="1">IFERROR(__xludf.DUMMYFUNCTION("IMPORTRANGE(H18663,""IDENTITAS UNIT!D9"")"),"#N/A")</f>
        <v>#N/A</v>
      </c>
      <c r="H18663" s="4" t="str">
        <v/>
      </c>
      <c r="I18663" s="4" t="str">
        <v/>
      </c>
    </row>
    <row r="18664" spans="5:9" ht="16.5" hidden="1">
      <c r="E18664" s="4" t="str">
        <v/>
      </c>
      <c r="F18664" s="102" t="str">
        <f ca="1">IFERROR(__xludf.DUMMYFUNCTION("IMPORTRANGE(H18664,""IDENTITAS UNIT!D9"")"),"#N/A")</f>
        <v>#N/A</v>
      </c>
      <c r="H18664" s="4" t="str">
        <v/>
      </c>
      <c r="I18664" s="4" t="str">
        <v/>
      </c>
    </row>
    <row r="18665" spans="5:9" ht="16.5" hidden="1">
      <c r="E18665" s="4" t="str">
        <v/>
      </c>
      <c r="F18665" s="102" t="str">
        <f ca="1">IFERROR(__xludf.DUMMYFUNCTION("IMPORTRANGE(H18665,""IDENTITAS UNIT!D9"")"),"#N/A")</f>
        <v>#N/A</v>
      </c>
      <c r="H18665" s="4" t="str">
        <v/>
      </c>
      <c r="I18665" s="4" t="str">
        <v/>
      </c>
    </row>
    <row r="18666" spans="5:9" ht="16.5" hidden="1">
      <c r="E18666" s="4" t="str">
        <v/>
      </c>
      <c r="F18666" s="102" t="str">
        <f ca="1">IFERROR(__xludf.DUMMYFUNCTION("IMPORTRANGE(H18666,""IDENTITAS UNIT!D9"")"),"#N/A")</f>
        <v>#N/A</v>
      </c>
      <c r="H18666" s="4" t="str">
        <v/>
      </c>
      <c r="I18666" s="4" t="str">
        <v/>
      </c>
    </row>
    <row r="18667" spans="5:9" ht="16.5" hidden="1">
      <c r="E18667" s="4" t="str">
        <v/>
      </c>
      <c r="F18667" s="102" t="str">
        <f ca="1">IFERROR(__xludf.DUMMYFUNCTION("IMPORTRANGE(H18667,""IDENTITAS UNIT!D9"")"),"#N/A")</f>
        <v>#N/A</v>
      </c>
      <c r="H18667" s="4" t="str">
        <v/>
      </c>
      <c r="I18667" s="4" t="str">
        <v/>
      </c>
    </row>
    <row r="18668" spans="5:9" ht="16.5" hidden="1">
      <c r="E18668" s="4" t="str">
        <v/>
      </c>
      <c r="F18668" s="102" t="str">
        <f ca="1">IFERROR(__xludf.DUMMYFUNCTION("IMPORTRANGE(H18668,""IDENTITAS UNIT!D9"")"),"#N/A")</f>
        <v>#N/A</v>
      </c>
      <c r="H18668" s="4" t="str">
        <v/>
      </c>
      <c r="I18668" s="4" t="str">
        <v/>
      </c>
    </row>
    <row r="18669" spans="5:9" ht="16.5" hidden="1">
      <c r="E18669" s="4" t="str">
        <v/>
      </c>
      <c r="F18669" s="102" t="str">
        <f ca="1">IFERROR(__xludf.DUMMYFUNCTION("IMPORTRANGE(H18669,""IDENTITAS UNIT!D9"")"),"#N/A")</f>
        <v>#N/A</v>
      </c>
      <c r="H18669" s="4" t="str">
        <v/>
      </c>
      <c r="I18669" s="4" t="str">
        <v/>
      </c>
    </row>
    <row r="18670" spans="5:9" ht="16.5" hidden="1">
      <c r="E18670" s="4" t="str">
        <v/>
      </c>
      <c r="F18670" s="102" t="str">
        <f ca="1">IFERROR(__xludf.DUMMYFUNCTION("IMPORTRANGE(H18670,""IDENTITAS UNIT!D9"")"),"#N/A")</f>
        <v>#N/A</v>
      </c>
      <c r="H18670" s="4" t="str">
        <v/>
      </c>
      <c r="I18670" s="4" t="str">
        <v/>
      </c>
    </row>
    <row r="18671" spans="5:9" ht="16.5" hidden="1">
      <c r="E18671" s="4" t="str">
        <v/>
      </c>
      <c r="F18671" s="102" t="str">
        <f ca="1">IFERROR(__xludf.DUMMYFUNCTION("IMPORTRANGE(H18671,""IDENTITAS UNIT!D9"")"),"#N/A")</f>
        <v>#N/A</v>
      </c>
      <c r="H18671" s="4" t="str">
        <v/>
      </c>
      <c r="I18671" s="4" t="str">
        <v/>
      </c>
    </row>
    <row r="18672" spans="5:9" ht="16.5" hidden="1">
      <c r="E18672" s="4" t="str">
        <v/>
      </c>
      <c r="F18672" s="102" t="str">
        <f ca="1">IFERROR(__xludf.DUMMYFUNCTION("IMPORTRANGE(H18672,""IDENTITAS UNIT!D9"")"),"#N/A")</f>
        <v>#N/A</v>
      </c>
      <c r="H18672" s="4" t="str">
        <v/>
      </c>
      <c r="I18672" s="4" t="str">
        <v/>
      </c>
    </row>
    <row r="18673" spans="5:9" ht="16.5" hidden="1">
      <c r="E18673" s="4" t="str">
        <v/>
      </c>
      <c r="F18673" s="102" t="str">
        <f ca="1">IFERROR(__xludf.DUMMYFUNCTION("IMPORTRANGE(H18673,""IDENTITAS UNIT!D9"")"),"#N/A")</f>
        <v>#N/A</v>
      </c>
      <c r="H18673" s="4" t="str">
        <v/>
      </c>
      <c r="I18673" s="4" t="str">
        <v/>
      </c>
    </row>
    <row r="18674" spans="5:9" ht="16.5" hidden="1">
      <c r="E18674" s="4" t="str">
        <v/>
      </c>
      <c r="F18674" s="102" t="str">
        <f ca="1">IFERROR(__xludf.DUMMYFUNCTION("IMPORTRANGE(H18674,""IDENTITAS UNIT!D9"")"),"#N/A")</f>
        <v>#N/A</v>
      </c>
      <c r="H18674" s="4" t="str">
        <v/>
      </c>
      <c r="I18674" s="4" t="str">
        <v/>
      </c>
    </row>
    <row r="18675" spans="5:9" ht="16.5" hidden="1">
      <c r="E18675" s="4" t="str">
        <v/>
      </c>
      <c r="F18675" s="102" t="str">
        <f ca="1">IFERROR(__xludf.DUMMYFUNCTION("IMPORTRANGE(H18675,""IDENTITAS UNIT!D9"")"),"#N/A")</f>
        <v>#N/A</v>
      </c>
      <c r="H18675" s="4" t="str">
        <v/>
      </c>
      <c r="I18675" s="4" t="str">
        <v/>
      </c>
    </row>
    <row r="18676" spans="5:9" ht="16.5" hidden="1">
      <c r="E18676" s="4" t="str">
        <v/>
      </c>
      <c r="F18676" s="102" t="str">
        <f ca="1">IFERROR(__xludf.DUMMYFUNCTION("IMPORTRANGE(H18676,""IDENTITAS UNIT!D9"")"),"#N/A")</f>
        <v>#N/A</v>
      </c>
      <c r="H18676" s="4" t="str">
        <v/>
      </c>
      <c r="I18676" s="4" t="str">
        <v/>
      </c>
    </row>
    <row r="18677" spans="5:9" ht="16.5" hidden="1">
      <c r="E18677" s="4" t="str">
        <v/>
      </c>
      <c r="F18677" s="102" t="str">
        <f ca="1">IFERROR(__xludf.DUMMYFUNCTION("IMPORTRANGE(H18677,""IDENTITAS UNIT!D9"")"),"#N/A")</f>
        <v>#N/A</v>
      </c>
      <c r="H18677" s="4" t="str">
        <v/>
      </c>
      <c r="I18677" s="4" t="str">
        <v/>
      </c>
    </row>
    <row r="18678" spans="5:9" ht="16.5" hidden="1">
      <c r="E18678" s="4" t="str">
        <v/>
      </c>
      <c r="F18678" s="102" t="str">
        <f ca="1">IFERROR(__xludf.DUMMYFUNCTION("IMPORTRANGE(H18678,""IDENTITAS UNIT!D9"")"),"#N/A")</f>
        <v>#N/A</v>
      </c>
      <c r="H18678" s="4" t="str">
        <v/>
      </c>
      <c r="I18678" s="4" t="str">
        <v/>
      </c>
    </row>
    <row r="18679" spans="5:9" ht="16.5" hidden="1">
      <c r="E18679" s="4" t="str">
        <v/>
      </c>
      <c r="F18679" s="102" t="str">
        <f ca="1">IFERROR(__xludf.DUMMYFUNCTION("IMPORTRANGE(H18679,""IDENTITAS UNIT!D9"")"),"#N/A")</f>
        <v>#N/A</v>
      </c>
      <c r="H18679" s="4" t="str">
        <v/>
      </c>
      <c r="I18679" s="4" t="str">
        <v/>
      </c>
    </row>
    <row r="18680" spans="5:9" ht="16.5" hidden="1">
      <c r="E18680" s="4" t="str">
        <v/>
      </c>
      <c r="F18680" s="102" t="str">
        <f ca="1">IFERROR(__xludf.DUMMYFUNCTION("IMPORTRANGE(H18680,""IDENTITAS UNIT!D9"")"),"#N/A")</f>
        <v>#N/A</v>
      </c>
      <c r="H18680" s="4" t="str">
        <v/>
      </c>
      <c r="I18680" s="4" t="str">
        <v/>
      </c>
    </row>
    <row r="18681" spans="5:9" ht="16.5" hidden="1">
      <c r="E18681" s="4" t="str">
        <v/>
      </c>
      <c r="F18681" s="102" t="str">
        <f ca="1">IFERROR(__xludf.DUMMYFUNCTION("IMPORTRANGE(H18681,""IDENTITAS UNIT!D9"")"),"#N/A")</f>
        <v>#N/A</v>
      </c>
      <c r="H18681" s="4" t="str">
        <v/>
      </c>
      <c r="I18681" s="4" t="str">
        <v/>
      </c>
    </row>
    <row r="18682" spans="5:9" ht="16.5" hidden="1">
      <c r="E18682" s="4" t="str">
        <v/>
      </c>
      <c r="F18682" s="102" t="str">
        <f ca="1">IFERROR(__xludf.DUMMYFUNCTION("IMPORTRANGE(H18682,""IDENTITAS UNIT!D9"")"),"#N/A")</f>
        <v>#N/A</v>
      </c>
      <c r="H18682" s="4" t="str">
        <v/>
      </c>
      <c r="I18682" s="4" t="str">
        <v/>
      </c>
    </row>
    <row r="18683" spans="5:9" ht="16.5" hidden="1">
      <c r="E18683" s="4" t="str">
        <v/>
      </c>
      <c r="F18683" s="102" t="str">
        <f ca="1">IFERROR(__xludf.DUMMYFUNCTION("IMPORTRANGE(H18683,""IDENTITAS UNIT!D9"")"),"#N/A")</f>
        <v>#N/A</v>
      </c>
      <c r="H18683" s="4" t="str">
        <v/>
      </c>
      <c r="I18683" s="4" t="str">
        <v/>
      </c>
    </row>
    <row r="18684" spans="5:9" ht="16.5" hidden="1">
      <c r="E18684" s="4" t="str">
        <v/>
      </c>
      <c r="F18684" s="102" t="str">
        <f ca="1">IFERROR(__xludf.DUMMYFUNCTION("IMPORTRANGE(H18684,""IDENTITAS UNIT!D9"")"),"#N/A")</f>
        <v>#N/A</v>
      </c>
      <c r="H18684" s="4" t="str">
        <v/>
      </c>
      <c r="I18684" s="4" t="str">
        <v/>
      </c>
    </row>
    <row r="18685" spans="5:9" ht="16.5" hidden="1">
      <c r="E18685" s="4" t="str">
        <v/>
      </c>
      <c r="F18685" s="102" t="str">
        <f ca="1">IFERROR(__xludf.DUMMYFUNCTION("IMPORTRANGE(H18685,""IDENTITAS UNIT!D9"")"),"#N/A")</f>
        <v>#N/A</v>
      </c>
      <c r="H18685" s="4" t="str">
        <v/>
      </c>
      <c r="I18685" s="4" t="str">
        <v/>
      </c>
    </row>
    <row r="18686" spans="5:9" ht="16.5" hidden="1">
      <c r="E18686" s="4" t="str">
        <v/>
      </c>
      <c r="F18686" s="102" t="str">
        <f ca="1">IFERROR(__xludf.DUMMYFUNCTION("IMPORTRANGE(H18686,""IDENTITAS UNIT!D9"")"),"#N/A")</f>
        <v>#N/A</v>
      </c>
      <c r="H18686" s="4" t="str">
        <v/>
      </c>
      <c r="I18686" s="4" t="str">
        <v/>
      </c>
    </row>
    <row r="18687" spans="5:9" ht="16.5" hidden="1">
      <c r="E18687" s="4" t="str">
        <v/>
      </c>
      <c r="F18687" s="102" t="str">
        <f ca="1">IFERROR(__xludf.DUMMYFUNCTION("IMPORTRANGE(H18687,""IDENTITAS UNIT!D9"")"),"#N/A")</f>
        <v>#N/A</v>
      </c>
      <c r="H18687" s="4" t="str">
        <v/>
      </c>
      <c r="I18687" s="4" t="str">
        <v/>
      </c>
    </row>
    <row r="18688" spans="5:9" ht="16.5" hidden="1">
      <c r="E18688" s="4" t="str">
        <v/>
      </c>
      <c r="F18688" s="102" t="str">
        <f ca="1">IFERROR(__xludf.DUMMYFUNCTION("IMPORTRANGE(H18688,""IDENTITAS UNIT!D9"")"),"#N/A")</f>
        <v>#N/A</v>
      </c>
      <c r="H18688" s="4" t="str">
        <v/>
      </c>
      <c r="I18688" s="4" t="str">
        <v/>
      </c>
    </row>
    <row r="18689" spans="5:9" ht="16.5" hidden="1">
      <c r="E18689" s="4" t="str">
        <v/>
      </c>
      <c r="F18689" s="102" t="str">
        <f ca="1">IFERROR(__xludf.DUMMYFUNCTION("IMPORTRANGE(H18689,""IDENTITAS UNIT!D9"")"),"#N/A")</f>
        <v>#N/A</v>
      </c>
      <c r="H18689" s="4" t="str">
        <v/>
      </c>
      <c r="I18689" s="4" t="str">
        <v/>
      </c>
    </row>
    <row r="18690" spans="5:9" ht="16.5" hidden="1">
      <c r="E18690" s="4" t="str">
        <v/>
      </c>
      <c r="F18690" s="102" t="str">
        <f ca="1">IFERROR(__xludf.DUMMYFUNCTION("IMPORTRANGE(H18690,""IDENTITAS UNIT!D9"")"),"#N/A")</f>
        <v>#N/A</v>
      </c>
      <c r="H18690" s="4" t="str">
        <v/>
      </c>
      <c r="I18690" s="4" t="str">
        <v/>
      </c>
    </row>
    <row r="18691" spans="5:9" ht="16.5" hidden="1">
      <c r="E18691" s="4" t="str">
        <v/>
      </c>
      <c r="F18691" s="102" t="str">
        <f ca="1">IFERROR(__xludf.DUMMYFUNCTION("IMPORTRANGE(H18691,""IDENTITAS UNIT!D9"")"),"#N/A")</f>
        <v>#N/A</v>
      </c>
      <c r="H18691" s="4" t="str">
        <v/>
      </c>
      <c r="I18691" s="4" t="str">
        <v/>
      </c>
    </row>
    <row r="18692" spans="5:9" ht="16.5" hidden="1">
      <c r="E18692" s="4" t="str">
        <v/>
      </c>
      <c r="F18692" s="102" t="str">
        <f ca="1">IFERROR(__xludf.DUMMYFUNCTION("IMPORTRANGE(H18692,""IDENTITAS UNIT!D9"")"),"#N/A")</f>
        <v>#N/A</v>
      </c>
      <c r="H18692" s="4" t="str">
        <v/>
      </c>
      <c r="I18692" s="4" t="str">
        <v/>
      </c>
    </row>
    <row r="18693" spans="5:9" ht="16.5" hidden="1">
      <c r="E18693" s="4" t="str">
        <v/>
      </c>
      <c r="F18693" s="102" t="str">
        <f ca="1">IFERROR(__xludf.DUMMYFUNCTION("IMPORTRANGE(H18693,""IDENTITAS UNIT!D9"")"),"#N/A")</f>
        <v>#N/A</v>
      </c>
      <c r="H18693" s="4" t="str">
        <v/>
      </c>
      <c r="I18693" s="4" t="str">
        <v/>
      </c>
    </row>
    <row r="18694" spans="5:9" ht="16.5" hidden="1">
      <c r="E18694" s="4" t="str">
        <v/>
      </c>
      <c r="F18694" s="102" t="str">
        <f ca="1">IFERROR(__xludf.DUMMYFUNCTION("IMPORTRANGE(H18694,""IDENTITAS UNIT!D9"")"),"#N/A")</f>
        <v>#N/A</v>
      </c>
      <c r="H18694" s="4" t="str">
        <v/>
      </c>
      <c r="I18694" s="4" t="str">
        <v/>
      </c>
    </row>
    <row r="18695" spans="5:9" ht="16.5" hidden="1">
      <c r="E18695" s="4" t="str">
        <v/>
      </c>
      <c r="F18695" s="102" t="str">
        <f ca="1">IFERROR(__xludf.DUMMYFUNCTION("IMPORTRANGE(H18695,""IDENTITAS UNIT!D9"")"),"#N/A")</f>
        <v>#N/A</v>
      </c>
      <c r="H18695" s="4" t="str">
        <v/>
      </c>
      <c r="I18695" s="4" t="str">
        <v/>
      </c>
    </row>
    <row r="18696" spans="5:9" ht="16.5" hidden="1">
      <c r="E18696" s="4" t="str">
        <v/>
      </c>
      <c r="F18696" s="102" t="str">
        <f ca="1">IFERROR(__xludf.DUMMYFUNCTION("IMPORTRANGE(H18696,""IDENTITAS UNIT!D9"")"),"#N/A")</f>
        <v>#N/A</v>
      </c>
      <c r="H18696" s="4" t="str">
        <v/>
      </c>
      <c r="I18696" s="4" t="str">
        <v/>
      </c>
    </row>
    <row r="18697" spans="5:9" ht="16.5" hidden="1">
      <c r="E18697" s="4" t="str">
        <v/>
      </c>
      <c r="F18697" s="102" t="str">
        <f ca="1">IFERROR(__xludf.DUMMYFUNCTION("IMPORTRANGE(H18697,""IDENTITAS UNIT!D9"")"),"#N/A")</f>
        <v>#N/A</v>
      </c>
      <c r="H18697" s="4" t="str">
        <v/>
      </c>
      <c r="I18697" s="4" t="str">
        <v/>
      </c>
    </row>
    <row r="18698" spans="5:9" ht="16.5" hidden="1">
      <c r="E18698" s="4" t="str">
        <v/>
      </c>
      <c r="F18698" s="102" t="str">
        <f ca="1">IFERROR(__xludf.DUMMYFUNCTION("IMPORTRANGE(H18698,""IDENTITAS UNIT!D9"")"),"#N/A")</f>
        <v>#N/A</v>
      </c>
      <c r="H18698" s="4" t="str">
        <v/>
      </c>
      <c r="I18698" s="4" t="str">
        <v/>
      </c>
    </row>
    <row r="18699" spans="5:9" ht="16.5" hidden="1">
      <c r="E18699" s="4" t="str">
        <v/>
      </c>
      <c r="F18699" s="102" t="str">
        <f ca="1">IFERROR(__xludf.DUMMYFUNCTION("IMPORTRANGE(H18699,""IDENTITAS UNIT!D9"")"),"#N/A")</f>
        <v>#N/A</v>
      </c>
      <c r="H18699" s="4" t="str">
        <v/>
      </c>
      <c r="I18699" s="4" t="str">
        <v/>
      </c>
    </row>
    <row r="18700" spans="5:9" ht="16.5" hidden="1">
      <c r="E18700" s="4" t="str">
        <v/>
      </c>
      <c r="F18700" s="102" t="str">
        <f ca="1">IFERROR(__xludf.DUMMYFUNCTION("IMPORTRANGE(H18700,""IDENTITAS UNIT!D9"")"),"#N/A")</f>
        <v>#N/A</v>
      </c>
      <c r="H18700" s="4" t="str">
        <v/>
      </c>
      <c r="I18700" s="4" t="str">
        <v/>
      </c>
    </row>
    <row r="18701" spans="5:9" ht="16.5" hidden="1">
      <c r="E18701" s="4" t="str">
        <v/>
      </c>
      <c r="F18701" s="102" t="str">
        <f ca="1">IFERROR(__xludf.DUMMYFUNCTION("IMPORTRANGE(H18701,""IDENTITAS UNIT!D9"")"),"#N/A")</f>
        <v>#N/A</v>
      </c>
      <c r="H18701" s="4" t="str">
        <v/>
      </c>
      <c r="I18701" s="4" t="str">
        <v/>
      </c>
    </row>
    <row r="18702" spans="5:9" ht="16.5" hidden="1">
      <c r="E18702" s="4" t="str">
        <v/>
      </c>
      <c r="F18702" s="102" t="str">
        <f ca="1">IFERROR(__xludf.DUMMYFUNCTION("IMPORTRANGE(H18702,""IDENTITAS UNIT!D9"")"),"#N/A")</f>
        <v>#N/A</v>
      </c>
      <c r="H18702" s="4" t="str">
        <v/>
      </c>
      <c r="I18702" s="4" t="str">
        <v/>
      </c>
    </row>
    <row r="18703" spans="5:9" ht="16.5" hidden="1">
      <c r="E18703" s="4" t="str">
        <v/>
      </c>
      <c r="F18703" s="102" t="str">
        <f ca="1">IFERROR(__xludf.DUMMYFUNCTION("IMPORTRANGE(H18703,""IDENTITAS UNIT!D9"")"),"#N/A")</f>
        <v>#N/A</v>
      </c>
      <c r="H18703" s="4" t="str">
        <v/>
      </c>
      <c r="I18703" s="4" t="str">
        <v/>
      </c>
    </row>
    <row r="18704" spans="5:9" ht="16.5" hidden="1">
      <c r="E18704" s="4" t="str">
        <v/>
      </c>
      <c r="F18704" s="102" t="str">
        <f ca="1">IFERROR(__xludf.DUMMYFUNCTION("IMPORTRANGE(H18704,""IDENTITAS UNIT!D9"")"),"#N/A")</f>
        <v>#N/A</v>
      </c>
      <c r="H18704" s="4" t="str">
        <v/>
      </c>
      <c r="I18704" s="4" t="str">
        <v/>
      </c>
    </row>
    <row r="18705" spans="5:9" ht="16.5" hidden="1">
      <c r="E18705" s="4" t="str">
        <v/>
      </c>
      <c r="F18705" s="102" t="str">
        <f ca="1">IFERROR(__xludf.DUMMYFUNCTION("IMPORTRANGE(H18705,""IDENTITAS UNIT!D9"")"),"#N/A")</f>
        <v>#N/A</v>
      </c>
      <c r="H18705" s="4" t="str">
        <v/>
      </c>
      <c r="I18705" s="4" t="str">
        <v/>
      </c>
    </row>
    <row r="18706" spans="5:9" ht="16.5" hidden="1">
      <c r="E18706" s="4" t="str">
        <v/>
      </c>
      <c r="F18706" s="102" t="str">
        <f ca="1">IFERROR(__xludf.DUMMYFUNCTION("IMPORTRANGE(H18706,""IDENTITAS UNIT!D9"")"),"#N/A")</f>
        <v>#N/A</v>
      </c>
      <c r="H18706" s="4" t="str">
        <v/>
      </c>
      <c r="I18706" s="4" t="str">
        <v/>
      </c>
    </row>
    <row r="18707" spans="5:9" ht="16.5" hidden="1">
      <c r="E18707" s="4" t="str">
        <v/>
      </c>
      <c r="F18707" s="102" t="str">
        <f ca="1">IFERROR(__xludf.DUMMYFUNCTION("IMPORTRANGE(H18707,""IDENTITAS UNIT!D9"")"),"#N/A")</f>
        <v>#N/A</v>
      </c>
      <c r="H18707" s="4" t="str">
        <v/>
      </c>
      <c r="I18707" s="4" t="str">
        <v/>
      </c>
    </row>
    <row r="18708" spans="5:9" ht="16.5" hidden="1">
      <c r="E18708" s="4" t="str">
        <v/>
      </c>
      <c r="F18708" s="102" t="str">
        <f ca="1">IFERROR(__xludf.DUMMYFUNCTION("IMPORTRANGE(H18708,""IDENTITAS UNIT!D9"")"),"#N/A")</f>
        <v>#N/A</v>
      </c>
      <c r="H18708" s="4" t="str">
        <v/>
      </c>
      <c r="I18708" s="4" t="str">
        <v/>
      </c>
    </row>
    <row r="18709" spans="5:9" ht="16.5" hidden="1">
      <c r="E18709" s="4" t="str">
        <v/>
      </c>
      <c r="F18709" s="102" t="str">
        <f ca="1">IFERROR(__xludf.DUMMYFUNCTION("IMPORTRANGE(H18709,""IDENTITAS UNIT!D9"")"),"#N/A")</f>
        <v>#N/A</v>
      </c>
      <c r="H18709" s="4" t="str">
        <v/>
      </c>
      <c r="I18709" s="4" t="str">
        <v/>
      </c>
    </row>
    <row r="18710" spans="5:9" ht="16.5" hidden="1">
      <c r="E18710" s="4" t="str">
        <v/>
      </c>
      <c r="F18710" s="102" t="str">
        <f ca="1">IFERROR(__xludf.DUMMYFUNCTION("IMPORTRANGE(H18710,""IDENTITAS UNIT!D9"")"),"#N/A")</f>
        <v>#N/A</v>
      </c>
      <c r="H18710" s="4" t="str">
        <v/>
      </c>
      <c r="I18710" s="4" t="str">
        <v/>
      </c>
    </row>
    <row r="18711" spans="5:9" ht="16.5" hidden="1">
      <c r="E18711" s="4" t="str">
        <v/>
      </c>
      <c r="F18711" s="102" t="str">
        <f ca="1">IFERROR(__xludf.DUMMYFUNCTION("IMPORTRANGE(H18711,""IDENTITAS UNIT!D9"")"),"#N/A")</f>
        <v>#N/A</v>
      </c>
      <c r="H18711" s="4" t="str">
        <v/>
      </c>
      <c r="I18711" s="4" t="str">
        <v/>
      </c>
    </row>
    <row r="18712" spans="5:9" ht="16.5" hidden="1">
      <c r="E18712" s="4" t="str">
        <v/>
      </c>
      <c r="F18712" s="102" t="str">
        <f ca="1">IFERROR(__xludf.DUMMYFUNCTION("IMPORTRANGE(H18712,""IDENTITAS UNIT!D9"")"),"#N/A")</f>
        <v>#N/A</v>
      </c>
      <c r="H18712" s="4" t="str">
        <v/>
      </c>
      <c r="I18712" s="4" t="str">
        <v/>
      </c>
    </row>
    <row r="18713" spans="5:9" ht="16.5" hidden="1">
      <c r="E18713" s="4" t="str">
        <v/>
      </c>
      <c r="F18713" s="102" t="str">
        <f ca="1">IFERROR(__xludf.DUMMYFUNCTION("IMPORTRANGE(H18713,""IDENTITAS UNIT!D9"")"),"#N/A")</f>
        <v>#N/A</v>
      </c>
      <c r="H18713" s="4" t="str">
        <v/>
      </c>
      <c r="I18713" s="4" t="str">
        <v/>
      </c>
    </row>
    <row r="18714" spans="5:9" ht="16.5" hidden="1">
      <c r="E18714" s="4" t="str">
        <v/>
      </c>
      <c r="F18714" s="102" t="str">
        <f ca="1">IFERROR(__xludf.DUMMYFUNCTION("IMPORTRANGE(H18714,""IDENTITAS UNIT!D9"")"),"#N/A")</f>
        <v>#N/A</v>
      </c>
      <c r="H18714" s="4" t="str">
        <v/>
      </c>
      <c r="I18714" s="4" t="str">
        <v/>
      </c>
    </row>
    <row r="18715" spans="5:9" ht="16.5" hidden="1">
      <c r="E18715" s="4" t="str">
        <v/>
      </c>
      <c r="F18715" s="102" t="str">
        <f ca="1">IFERROR(__xludf.DUMMYFUNCTION("IMPORTRANGE(H18715,""IDENTITAS UNIT!D9"")"),"#N/A")</f>
        <v>#N/A</v>
      </c>
      <c r="H18715" s="4" t="str">
        <v/>
      </c>
      <c r="I18715" s="4" t="str">
        <v/>
      </c>
    </row>
    <row r="18716" spans="5:9" ht="16.5" hidden="1">
      <c r="E18716" s="4" t="str">
        <v/>
      </c>
      <c r="F18716" s="102" t="str">
        <f ca="1">IFERROR(__xludf.DUMMYFUNCTION("IMPORTRANGE(H18716,""IDENTITAS UNIT!D9"")"),"#N/A")</f>
        <v>#N/A</v>
      </c>
      <c r="H18716" s="4" t="str">
        <v/>
      </c>
      <c r="I18716" s="4" t="str">
        <v/>
      </c>
    </row>
    <row r="18717" spans="5:9" ht="16.5" hidden="1">
      <c r="E18717" s="4" t="str">
        <v/>
      </c>
      <c r="F18717" s="102" t="str">
        <f ca="1">IFERROR(__xludf.DUMMYFUNCTION("IMPORTRANGE(H18717,""IDENTITAS UNIT!D9"")"),"#N/A")</f>
        <v>#N/A</v>
      </c>
      <c r="H18717" s="4" t="str">
        <v/>
      </c>
      <c r="I18717" s="4" t="str">
        <v/>
      </c>
    </row>
    <row r="18718" spans="5:9" ht="16.5" hidden="1">
      <c r="E18718" s="4" t="str">
        <v/>
      </c>
      <c r="F18718" s="102" t="str">
        <f ca="1">IFERROR(__xludf.DUMMYFUNCTION("IMPORTRANGE(H18718,""IDENTITAS UNIT!D9"")"),"#N/A")</f>
        <v>#N/A</v>
      </c>
      <c r="H18718" s="4" t="str">
        <v/>
      </c>
      <c r="I18718" s="4" t="str">
        <v/>
      </c>
    </row>
    <row r="18719" spans="5:9" ht="16.5" hidden="1">
      <c r="E18719" s="4" t="str">
        <v/>
      </c>
      <c r="F18719" s="102" t="str">
        <f ca="1">IFERROR(__xludf.DUMMYFUNCTION("IMPORTRANGE(H18719,""IDENTITAS UNIT!D9"")"),"#N/A")</f>
        <v>#N/A</v>
      </c>
      <c r="H18719" s="4" t="str">
        <v/>
      </c>
      <c r="I18719" s="4" t="str">
        <v/>
      </c>
    </row>
    <row r="18720" spans="5:9" ht="16.5" hidden="1">
      <c r="E18720" s="4" t="str">
        <v/>
      </c>
      <c r="F18720" s="102" t="str">
        <f ca="1">IFERROR(__xludf.DUMMYFUNCTION("IMPORTRANGE(H18720,""IDENTITAS UNIT!D9"")"),"#N/A")</f>
        <v>#N/A</v>
      </c>
      <c r="H18720" s="4" t="str">
        <v/>
      </c>
      <c r="I18720" s="4" t="str">
        <v/>
      </c>
    </row>
    <row r="18721" spans="5:9" ht="16.5" hidden="1">
      <c r="E18721" s="4" t="str">
        <v/>
      </c>
      <c r="F18721" s="102" t="str">
        <f ca="1">IFERROR(__xludf.DUMMYFUNCTION("IMPORTRANGE(H18721,""IDENTITAS UNIT!D9"")"),"#N/A")</f>
        <v>#N/A</v>
      </c>
      <c r="H18721" s="4" t="str">
        <v/>
      </c>
      <c r="I18721" s="4" t="str">
        <v/>
      </c>
    </row>
    <row r="18722" spans="5:9" ht="16.5" hidden="1">
      <c r="E18722" s="4" t="str">
        <v/>
      </c>
      <c r="F18722" s="102" t="str">
        <f ca="1">IFERROR(__xludf.DUMMYFUNCTION("IMPORTRANGE(H18722,""IDENTITAS UNIT!D9"")"),"#N/A")</f>
        <v>#N/A</v>
      </c>
      <c r="H18722" s="4" t="str">
        <v/>
      </c>
      <c r="I18722" s="4" t="str">
        <v/>
      </c>
    </row>
    <row r="18723" spans="5:9" ht="16.5" hidden="1">
      <c r="E18723" s="4" t="str">
        <v/>
      </c>
      <c r="F18723" s="102" t="str">
        <f ca="1">IFERROR(__xludf.DUMMYFUNCTION("IMPORTRANGE(H18723,""IDENTITAS UNIT!D9"")"),"#N/A")</f>
        <v>#N/A</v>
      </c>
      <c r="H18723" s="4" t="str">
        <v/>
      </c>
      <c r="I18723" s="4" t="str">
        <v/>
      </c>
    </row>
    <row r="18724" spans="5:9" ht="16.5" hidden="1">
      <c r="E18724" s="4" t="str">
        <v/>
      </c>
      <c r="F18724" s="102" t="str">
        <f ca="1">IFERROR(__xludf.DUMMYFUNCTION("IMPORTRANGE(H18724,""IDENTITAS UNIT!D9"")"),"#N/A")</f>
        <v>#N/A</v>
      </c>
      <c r="H18724" s="4" t="str">
        <v/>
      </c>
      <c r="I18724" s="4" t="str">
        <v/>
      </c>
    </row>
    <row r="18725" spans="5:9" ht="16.5" hidden="1">
      <c r="E18725" s="4" t="str">
        <v/>
      </c>
      <c r="F18725" s="102" t="str">
        <f ca="1">IFERROR(__xludf.DUMMYFUNCTION("IMPORTRANGE(H18725,""IDENTITAS UNIT!D9"")"),"#N/A")</f>
        <v>#N/A</v>
      </c>
      <c r="H18725" s="4" t="str">
        <v/>
      </c>
      <c r="I18725" s="4" t="str">
        <v/>
      </c>
    </row>
    <row r="18726" spans="5:9" ht="16.5" hidden="1">
      <c r="E18726" s="4" t="str">
        <v/>
      </c>
      <c r="F18726" s="102" t="str">
        <f ca="1">IFERROR(__xludf.DUMMYFUNCTION("IMPORTRANGE(H18726,""IDENTITAS UNIT!D9"")"),"#N/A")</f>
        <v>#N/A</v>
      </c>
      <c r="H18726" s="4" t="str">
        <v/>
      </c>
      <c r="I18726" s="4" t="str">
        <v/>
      </c>
    </row>
    <row r="18727" spans="5:9" ht="16.5" hidden="1">
      <c r="E18727" s="4" t="str">
        <v/>
      </c>
      <c r="F18727" s="102" t="str">
        <f ca="1">IFERROR(__xludf.DUMMYFUNCTION("IMPORTRANGE(H18727,""IDENTITAS UNIT!D9"")"),"#N/A")</f>
        <v>#N/A</v>
      </c>
      <c r="H18727" s="4" t="str">
        <v/>
      </c>
      <c r="I18727" s="4" t="str">
        <v/>
      </c>
    </row>
    <row r="18728" spans="5:9" ht="16.5" hidden="1">
      <c r="E18728" s="4" t="str">
        <v/>
      </c>
      <c r="F18728" s="102" t="str">
        <f ca="1">IFERROR(__xludf.DUMMYFUNCTION("IMPORTRANGE(H18728,""IDENTITAS UNIT!D9"")"),"#N/A")</f>
        <v>#N/A</v>
      </c>
      <c r="H18728" s="4" t="str">
        <v/>
      </c>
      <c r="I18728" s="4" t="str">
        <v/>
      </c>
    </row>
    <row r="18729" spans="5:9" ht="16.5" hidden="1">
      <c r="E18729" s="4" t="str">
        <v/>
      </c>
      <c r="F18729" s="102" t="str">
        <f ca="1">IFERROR(__xludf.DUMMYFUNCTION("IMPORTRANGE(H18729,""IDENTITAS UNIT!D9"")"),"#N/A")</f>
        <v>#N/A</v>
      </c>
      <c r="H18729" s="4" t="str">
        <v/>
      </c>
      <c r="I18729" s="4" t="str">
        <v/>
      </c>
    </row>
    <row r="18730" spans="5:9" ht="16.5" hidden="1">
      <c r="E18730" s="4" t="str">
        <v/>
      </c>
      <c r="F18730" s="102" t="str">
        <f ca="1">IFERROR(__xludf.DUMMYFUNCTION("IMPORTRANGE(H18730,""IDENTITAS UNIT!D9"")"),"#N/A")</f>
        <v>#N/A</v>
      </c>
      <c r="H18730" s="4" t="str">
        <v/>
      </c>
      <c r="I18730" s="4" t="str">
        <v/>
      </c>
    </row>
    <row r="18731" spans="5:9" ht="16.5" hidden="1">
      <c r="E18731" s="4" t="str">
        <v/>
      </c>
      <c r="F18731" s="102" t="str">
        <f ca="1">IFERROR(__xludf.DUMMYFUNCTION("IMPORTRANGE(H18731,""IDENTITAS UNIT!D9"")"),"#N/A")</f>
        <v>#N/A</v>
      </c>
      <c r="H18731" s="4" t="str">
        <v/>
      </c>
      <c r="I18731" s="4" t="str">
        <v/>
      </c>
    </row>
    <row r="18732" spans="5:9" ht="16.5" hidden="1">
      <c r="E18732" s="4" t="str">
        <v/>
      </c>
      <c r="F18732" s="102" t="str">
        <f ca="1">IFERROR(__xludf.DUMMYFUNCTION("IMPORTRANGE(H18732,""IDENTITAS UNIT!D9"")"),"#N/A")</f>
        <v>#N/A</v>
      </c>
      <c r="H18732" s="4" t="str">
        <v/>
      </c>
      <c r="I18732" s="4" t="str">
        <v/>
      </c>
    </row>
    <row r="18733" spans="5:9" ht="16.5" hidden="1">
      <c r="E18733" s="4" t="str">
        <v/>
      </c>
      <c r="F18733" s="102" t="str">
        <f ca="1">IFERROR(__xludf.DUMMYFUNCTION("IMPORTRANGE(H18733,""IDENTITAS UNIT!D9"")"),"#N/A")</f>
        <v>#N/A</v>
      </c>
      <c r="H18733" s="4" t="str">
        <v/>
      </c>
      <c r="I18733" s="4" t="str">
        <v/>
      </c>
    </row>
    <row r="18734" spans="5:9" ht="16.5" hidden="1">
      <c r="E18734" s="4" t="str">
        <v/>
      </c>
      <c r="F18734" s="102" t="str">
        <f ca="1">IFERROR(__xludf.DUMMYFUNCTION("IMPORTRANGE(H18734,""IDENTITAS UNIT!D9"")"),"#N/A")</f>
        <v>#N/A</v>
      </c>
      <c r="H18734" s="4" t="str">
        <v/>
      </c>
      <c r="I18734" s="4" t="str">
        <v/>
      </c>
    </row>
    <row r="18735" spans="5:9" ht="16.5" hidden="1">
      <c r="E18735" s="4" t="str">
        <v/>
      </c>
      <c r="F18735" s="102" t="str">
        <f ca="1">IFERROR(__xludf.DUMMYFUNCTION("IMPORTRANGE(H18735,""IDENTITAS UNIT!D9"")"),"#N/A")</f>
        <v>#N/A</v>
      </c>
      <c r="H18735" s="4" t="str">
        <v/>
      </c>
      <c r="I18735" s="4" t="str">
        <v/>
      </c>
    </row>
    <row r="18736" spans="5:9" ht="16.5" hidden="1">
      <c r="E18736" s="4" t="str">
        <v/>
      </c>
      <c r="F18736" s="102" t="str">
        <f ca="1">IFERROR(__xludf.DUMMYFUNCTION("IMPORTRANGE(H18736,""IDENTITAS UNIT!D9"")"),"#N/A")</f>
        <v>#N/A</v>
      </c>
      <c r="H18736" s="4" t="str">
        <v/>
      </c>
      <c r="I18736" s="4" t="str">
        <v/>
      </c>
    </row>
    <row r="18737" spans="5:9" ht="16.5" hidden="1">
      <c r="E18737" s="4" t="str">
        <v/>
      </c>
      <c r="F18737" s="102" t="str">
        <f ca="1">IFERROR(__xludf.DUMMYFUNCTION("IMPORTRANGE(H18737,""IDENTITAS UNIT!D9"")"),"#N/A")</f>
        <v>#N/A</v>
      </c>
      <c r="H18737" s="4" t="str">
        <v/>
      </c>
      <c r="I18737" s="4" t="str">
        <v/>
      </c>
    </row>
    <row r="18738" spans="5:9" ht="16.5" hidden="1">
      <c r="E18738" s="4" t="str">
        <v/>
      </c>
      <c r="F18738" s="102" t="str">
        <f ca="1">IFERROR(__xludf.DUMMYFUNCTION("IMPORTRANGE(H18738,""IDENTITAS UNIT!D9"")"),"#N/A")</f>
        <v>#N/A</v>
      </c>
      <c r="H18738" s="4" t="str">
        <v/>
      </c>
      <c r="I18738" s="4" t="str">
        <v/>
      </c>
    </row>
    <row r="18739" spans="5:9" ht="16.5" hidden="1">
      <c r="E18739" s="4" t="str">
        <v/>
      </c>
      <c r="F18739" s="102" t="str">
        <f ca="1">IFERROR(__xludf.DUMMYFUNCTION("IMPORTRANGE(H18739,""IDENTITAS UNIT!D9"")"),"#N/A")</f>
        <v>#N/A</v>
      </c>
      <c r="H18739" s="4" t="str">
        <v/>
      </c>
      <c r="I18739" s="4" t="str">
        <v/>
      </c>
    </row>
    <row r="18740" spans="5:9" ht="16.5" hidden="1">
      <c r="E18740" s="4" t="str">
        <v/>
      </c>
      <c r="F18740" s="102" t="str">
        <f ca="1">IFERROR(__xludf.DUMMYFUNCTION("IMPORTRANGE(H18740,""IDENTITAS UNIT!D9"")"),"#N/A")</f>
        <v>#N/A</v>
      </c>
      <c r="H18740" s="4" t="str">
        <v/>
      </c>
      <c r="I18740" s="4" t="str">
        <v/>
      </c>
    </row>
    <row r="18741" spans="5:9" ht="16.5" hidden="1">
      <c r="E18741" s="4" t="str">
        <v/>
      </c>
      <c r="F18741" s="102" t="str">
        <f ca="1">IFERROR(__xludf.DUMMYFUNCTION("IMPORTRANGE(H18741,""IDENTITAS UNIT!D9"")"),"#N/A")</f>
        <v>#N/A</v>
      </c>
      <c r="H18741" s="4" t="str">
        <v/>
      </c>
      <c r="I18741" s="4" t="str">
        <v/>
      </c>
    </row>
    <row r="18742" spans="5:9" ht="16.5" hidden="1">
      <c r="E18742" s="4" t="str">
        <v/>
      </c>
      <c r="F18742" s="102" t="str">
        <f ca="1">IFERROR(__xludf.DUMMYFUNCTION("IMPORTRANGE(H18742,""IDENTITAS UNIT!D9"")"),"#N/A")</f>
        <v>#N/A</v>
      </c>
      <c r="H18742" s="4" t="str">
        <v/>
      </c>
      <c r="I18742" s="4" t="str">
        <v/>
      </c>
    </row>
    <row r="18743" spans="5:9" ht="16.5" hidden="1">
      <c r="E18743" s="4" t="str">
        <v/>
      </c>
      <c r="F18743" s="102" t="str">
        <f ca="1">IFERROR(__xludf.DUMMYFUNCTION("IMPORTRANGE(H18743,""IDENTITAS UNIT!D9"")"),"#N/A")</f>
        <v>#N/A</v>
      </c>
      <c r="H18743" s="4" t="str">
        <v/>
      </c>
      <c r="I18743" s="4" t="str">
        <v/>
      </c>
    </row>
    <row r="18744" spans="5:9" ht="16.5" hidden="1">
      <c r="E18744" s="4" t="str">
        <v/>
      </c>
      <c r="F18744" s="102" t="str">
        <f ca="1">IFERROR(__xludf.DUMMYFUNCTION("IMPORTRANGE(H18744,""IDENTITAS UNIT!D9"")"),"#N/A")</f>
        <v>#N/A</v>
      </c>
      <c r="H18744" s="4" t="str">
        <v/>
      </c>
      <c r="I18744" s="4" t="str">
        <v/>
      </c>
    </row>
    <row r="18745" spans="5:9" ht="16.5" hidden="1">
      <c r="E18745" s="4" t="str">
        <v/>
      </c>
      <c r="F18745" s="102" t="str">
        <f ca="1">IFERROR(__xludf.DUMMYFUNCTION("IMPORTRANGE(H18745,""IDENTITAS UNIT!D9"")"),"#N/A")</f>
        <v>#N/A</v>
      </c>
      <c r="H18745" s="4" t="str">
        <v/>
      </c>
      <c r="I18745" s="4" t="str">
        <v/>
      </c>
    </row>
    <row r="18746" spans="5:9" ht="16.5" hidden="1">
      <c r="E18746" s="4" t="str">
        <v/>
      </c>
      <c r="F18746" s="102" t="str">
        <f ca="1">IFERROR(__xludf.DUMMYFUNCTION("IMPORTRANGE(H18746,""IDENTITAS UNIT!D9"")"),"#N/A")</f>
        <v>#N/A</v>
      </c>
      <c r="H18746" s="4" t="str">
        <v/>
      </c>
      <c r="I18746" s="4" t="str">
        <v/>
      </c>
    </row>
    <row r="18747" spans="5:9" ht="16.5" hidden="1">
      <c r="E18747" s="4" t="str">
        <v/>
      </c>
      <c r="F18747" s="102" t="str">
        <f ca="1">IFERROR(__xludf.DUMMYFUNCTION("IMPORTRANGE(H18747,""IDENTITAS UNIT!D9"")"),"#N/A")</f>
        <v>#N/A</v>
      </c>
      <c r="H18747" s="4" t="str">
        <v/>
      </c>
      <c r="I18747" s="4" t="str">
        <v/>
      </c>
    </row>
    <row r="18748" spans="5:9" ht="16.5" hidden="1">
      <c r="E18748" s="4" t="str">
        <v/>
      </c>
      <c r="F18748" s="102" t="str">
        <f ca="1">IFERROR(__xludf.DUMMYFUNCTION("IMPORTRANGE(H18748,""IDENTITAS UNIT!D9"")"),"#N/A")</f>
        <v>#N/A</v>
      </c>
      <c r="H18748" s="4" t="str">
        <v/>
      </c>
      <c r="I18748" s="4" t="str">
        <v/>
      </c>
    </row>
    <row r="18749" spans="5:9" ht="16.5" hidden="1">
      <c r="E18749" s="4" t="str">
        <v/>
      </c>
      <c r="F18749" s="102" t="str">
        <f ca="1">IFERROR(__xludf.DUMMYFUNCTION("IMPORTRANGE(H18749,""IDENTITAS UNIT!D9"")"),"#N/A")</f>
        <v>#N/A</v>
      </c>
      <c r="H18749" s="4" t="str">
        <v/>
      </c>
      <c r="I18749" s="4" t="str">
        <v/>
      </c>
    </row>
    <row r="18750" spans="5:9" ht="16.5" hidden="1">
      <c r="E18750" s="4" t="str">
        <v/>
      </c>
      <c r="F18750" s="102" t="str">
        <f ca="1">IFERROR(__xludf.DUMMYFUNCTION("IMPORTRANGE(H18750,""IDENTITAS UNIT!D9"")"),"#N/A")</f>
        <v>#N/A</v>
      </c>
      <c r="H18750" s="4" t="str">
        <v/>
      </c>
      <c r="I18750" s="4" t="str">
        <v/>
      </c>
    </row>
    <row r="18751" spans="5:9" ht="16.5" hidden="1">
      <c r="E18751" s="4" t="str">
        <v/>
      </c>
      <c r="F18751" s="102" t="str">
        <f ca="1">IFERROR(__xludf.DUMMYFUNCTION("IMPORTRANGE(H18751,""IDENTITAS UNIT!D9"")"),"#N/A")</f>
        <v>#N/A</v>
      </c>
      <c r="H18751" s="4" t="str">
        <v/>
      </c>
      <c r="I18751" s="4" t="str">
        <v/>
      </c>
    </row>
    <row r="18752" spans="5:9" ht="16.5" hidden="1">
      <c r="E18752" s="4" t="str">
        <v/>
      </c>
      <c r="F18752" s="102" t="str">
        <f ca="1">IFERROR(__xludf.DUMMYFUNCTION("IMPORTRANGE(H18752,""IDENTITAS UNIT!D9"")"),"#N/A")</f>
        <v>#N/A</v>
      </c>
      <c r="H18752" s="4" t="str">
        <v/>
      </c>
      <c r="I18752" s="4" t="str">
        <v/>
      </c>
    </row>
    <row r="18753" spans="5:9" ht="16.5" hidden="1">
      <c r="E18753" s="4" t="str">
        <v/>
      </c>
      <c r="F18753" s="102" t="str">
        <f ca="1">IFERROR(__xludf.DUMMYFUNCTION("IMPORTRANGE(H18753,""IDENTITAS UNIT!D9"")"),"#N/A")</f>
        <v>#N/A</v>
      </c>
      <c r="H18753" s="4" t="str">
        <v/>
      </c>
      <c r="I18753" s="4" t="str">
        <v/>
      </c>
    </row>
    <row r="18754" spans="5:9" ht="16.5" hidden="1">
      <c r="E18754" s="4" t="str">
        <v/>
      </c>
      <c r="F18754" s="102" t="str">
        <f ca="1">IFERROR(__xludf.DUMMYFUNCTION("IMPORTRANGE(H18754,""IDENTITAS UNIT!D9"")"),"#N/A")</f>
        <v>#N/A</v>
      </c>
      <c r="H18754" s="4" t="str">
        <v/>
      </c>
      <c r="I18754" s="4" t="str">
        <v/>
      </c>
    </row>
    <row r="18755" spans="5:9" ht="16.5" hidden="1">
      <c r="E18755" s="4" t="str">
        <v/>
      </c>
      <c r="F18755" s="102" t="str">
        <f ca="1">IFERROR(__xludf.DUMMYFUNCTION("IMPORTRANGE(H18755,""IDENTITAS UNIT!D9"")"),"#N/A")</f>
        <v>#N/A</v>
      </c>
      <c r="H18755" s="4" t="str">
        <v/>
      </c>
      <c r="I18755" s="4" t="str">
        <v/>
      </c>
    </row>
    <row r="18756" spans="5:9" ht="16.5" hidden="1">
      <c r="E18756" s="4" t="str">
        <v/>
      </c>
      <c r="F18756" s="102" t="str">
        <f ca="1">IFERROR(__xludf.DUMMYFUNCTION("IMPORTRANGE(H18756,""IDENTITAS UNIT!D9"")"),"#N/A")</f>
        <v>#N/A</v>
      </c>
      <c r="H18756" s="4" t="str">
        <v/>
      </c>
      <c r="I18756" s="4" t="str">
        <v/>
      </c>
    </row>
    <row r="18757" spans="5:9" ht="16.5" hidden="1">
      <c r="E18757" s="4" t="str">
        <v/>
      </c>
      <c r="F18757" s="102" t="str">
        <f ca="1">IFERROR(__xludf.DUMMYFUNCTION("IMPORTRANGE(H18757,""IDENTITAS UNIT!D9"")"),"#N/A")</f>
        <v>#N/A</v>
      </c>
      <c r="H18757" s="4" t="str">
        <v/>
      </c>
      <c r="I18757" s="4" t="str">
        <v/>
      </c>
    </row>
    <row r="18758" spans="5:9" ht="16.5" hidden="1">
      <c r="E18758" s="4" t="str">
        <v/>
      </c>
      <c r="F18758" s="102" t="str">
        <f ca="1">IFERROR(__xludf.DUMMYFUNCTION("IMPORTRANGE(H18758,""IDENTITAS UNIT!D9"")"),"#N/A")</f>
        <v>#N/A</v>
      </c>
      <c r="H18758" s="4" t="str">
        <v/>
      </c>
      <c r="I18758" s="4" t="str">
        <v/>
      </c>
    </row>
    <row r="18759" spans="5:9" ht="16.5" hidden="1">
      <c r="E18759" s="4" t="str">
        <v/>
      </c>
      <c r="F18759" s="102" t="str">
        <f ca="1">IFERROR(__xludf.DUMMYFUNCTION("IMPORTRANGE(H18759,""IDENTITAS UNIT!D9"")"),"#N/A")</f>
        <v>#N/A</v>
      </c>
      <c r="H18759" s="4" t="str">
        <v/>
      </c>
      <c r="I18759" s="4" t="str">
        <v/>
      </c>
    </row>
    <row r="18760" spans="5:9" ht="16.5" hidden="1">
      <c r="E18760" s="4" t="str">
        <v/>
      </c>
      <c r="F18760" s="102" t="str">
        <f ca="1">IFERROR(__xludf.DUMMYFUNCTION("IMPORTRANGE(H18760,""IDENTITAS UNIT!D9"")"),"#N/A")</f>
        <v>#N/A</v>
      </c>
      <c r="H18760" s="4" t="str">
        <v/>
      </c>
      <c r="I18760" s="4" t="str">
        <v/>
      </c>
    </row>
    <row r="18761" spans="5:9" ht="16.5" hidden="1">
      <c r="E18761" s="4" t="str">
        <v/>
      </c>
      <c r="F18761" s="102" t="str">
        <f ca="1">IFERROR(__xludf.DUMMYFUNCTION("IMPORTRANGE(H18761,""IDENTITAS UNIT!D9"")"),"#N/A")</f>
        <v>#N/A</v>
      </c>
      <c r="H18761" s="4" t="str">
        <v/>
      </c>
      <c r="I18761" s="4" t="str">
        <v/>
      </c>
    </row>
    <row r="18762" spans="5:9" ht="16.5" hidden="1">
      <c r="E18762" s="4" t="str">
        <v/>
      </c>
      <c r="F18762" s="102" t="str">
        <f ca="1">IFERROR(__xludf.DUMMYFUNCTION("IMPORTRANGE(H18762,""IDENTITAS UNIT!D9"")"),"#N/A")</f>
        <v>#N/A</v>
      </c>
      <c r="H18762" s="4" t="str">
        <v/>
      </c>
      <c r="I18762" s="4" t="str">
        <v/>
      </c>
    </row>
    <row r="18763" spans="5:9" ht="16.5" hidden="1">
      <c r="E18763" s="4" t="str">
        <v/>
      </c>
      <c r="F18763" s="102" t="str">
        <f ca="1">IFERROR(__xludf.DUMMYFUNCTION("IMPORTRANGE(H18763,""IDENTITAS UNIT!D9"")"),"#N/A")</f>
        <v>#N/A</v>
      </c>
      <c r="H18763" s="4" t="str">
        <v/>
      </c>
      <c r="I18763" s="4" t="str">
        <v/>
      </c>
    </row>
    <row r="18764" spans="5:9" ht="16.5" hidden="1">
      <c r="E18764" s="4" t="str">
        <v/>
      </c>
      <c r="F18764" s="102" t="str">
        <f ca="1">IFERROR(__xludf.DUMMYFUNCTION("IMPORTRANGE(H18764,""IDENTITAS UNIT!D9"")"),"#N/A")</f>
        <v>#N/A</v>
      </c>
      <c r="H18764" s="4" t="str">
        <v/>
      </c>
      <c r="I18764" s="4" t="str">
        <v/>
      </c>
    </row>
    <row r="18765" spans="5:9" ht="16.5" hidden="1">
      <c r="E18765" s="4" t="str">
        <v/>
      </c>
      <c r="F18765" s="102" t="str">
        <f ca="1">IFERROR(__xludf.DUMMYFUNCTION("IMPORTRANGE(H18765,""IDENTITAS UNIT!D9"")"),"#N/A")</f>
        <v>#N/A</v>
      </c>
      <c r="H18765" s="4" t="str">
        <v/>
      </c>
      <c r="I18765" s="4" t="str">
        <v/>
      </c>
    </row>
    <row r="18766" spans="5:9" ht="16.5" hidden="1">
      <c r="E18766" s="4" t="str">
        <v/>
      </c>
      <c r="F18766" s="102" t="str">
        <f ca="1">IFERROR(__xludf.DUMMYFUNCTION("IMPORTRANGE(H18766,""IDENTITAS UNIT!D9"")"),"#N/A")</f>
        <v>#N/A</v>
      </c>
      <c r="H18766" s="4" t="str">
        <v/>
      </c>
      <c r="I18766" s="4" t="str">
        <v/>
      </c>
    </row>
    <row r="18767" spans="5:9" ht="16.5" hidden="1">
      <c r="E18767" s="4" t="str">
        <v/>
      </c>
      <c r="F18767" s="102" t="str">
        <f ca="1">IFERROR(__xludf.DUMMYFUNCTION("IMPORTRANGE(H18767,""IDENTITAS UNIT!D9"")"),"#N/A")</f>
        <v>#N/A</v>
      </c>
      <c r="H18767" s="4" t="str">
        <v/>
      </c>
      <c r="I18767" s="4" t="str">
        <v/>
      </c>
    </row>
    <row r="18768" spans="5:9" ht="16.5" hidden="1">
      <c r="E18768" s="4" t="str">
        <v/>
      </c>
      <c r="F18768" s="102" t="str">
        <f ca="1">IFERROR(__xludf.DUMMYFUNCTION("IMPORTRANGE(H18768,""IDENTITAS UNIT!D9"")"),"#N/A")</f>
        <v>#N/A</v>
      </c>
      <c r="H18768" s="4" t="str">
        <v/>
      </c>
      <c r="I18768" s="4" t="str">
        <v/>
      </c>
    </row>
    <row r="18769" spans="5:9" ht="16.5" hidden="1">
      <c r="E18769" s="4" t="str">
        <v/>
      </c>
      <c r="F18769" s="102" t="str">
        <f ca="1">IFERROR(__xludf.DUMMYFUNCTION("IMPORTRANGE(H18769,""IDENTITAS UNIT!D9"")"),"#N/A")</f>
        <v>#N/A</v>
      </c>
      <c r="H18769" s="4" t="str">
        <v/>
      </c>
      <c r="I18769" s="4" t="str">
        <v/>
      </c>
    </row>
    <row r="18770" spans="5:9" ht="16.5" hidden="1">
      <c r="E18770" s="4" t="str">
        <v/>
      </c>
      <c r="F18770" s="102" t="str">
        <f ca="1">IFERROR(__xludf.DUMMYFUNCTION("IMPORTRANGE(H18770,""IDENTITAS UNIT!D9"")"),"#N/A")</f>
        <v>#N/A</v>
      </c>
      <c r="H18770" s="4" t="str">
        <v/>
      </c>
      <c r="I18770" s="4" t="str">
        <v/>
      </c>
    </row>
    <row r="18771" spans="5:9" ht="16.5" hidden="1">
      <c r="E18771" s="4" t="str">
        <v/>
      </c>
      <c r="F18771" s="102" t="str">
        <f ca="1">IFERROR(__xludf.DUMMYFUNCTION("IMPORTRANGE(H18771,""IDENTITAS UNIT!D9"")"),"#N/A")</f>
        <v>#N/A</v>
      </c>
      <c r="H18771" s="4" t="str">
        <v/>
      </c>
      <c r="I18771" s="4" t="str">
        <v/>
      </c>
    </row>
    <row r="18772" spans="5:9" ht="16.5" hidden="1">
      <c r="E18772" s="4" t="str">
        <v/>
      </c>
      <c r="F18772" s="102" t="str">
        <f ca="1">IFERROR(__xludf.DUMMYFUNCTION("IMPORTRANGE(H18772,""IDENTITAS UNIT!D9"")"),"#N/A")</f>
        <v>#N/A</v>
      </c>
      <c r="H18772" s="4" t="str">
        <v/>
      </c>
      <c r="I18772" s="4" t="str">
        <v/>
      </c>
    </row>
    <row r="18773" spans="5:9" ht="16.5" hidden="1">
      <c r="E18773" s="4" t="str">
        <v/>
      </c>
      <c r="F18773" s="102" t="str">
        <f ca="1">IFERROR(__xludf.DUMMYFUNCTION("IMPORTRANGE(H18773,""IDENTITAS UNIT!D9"")"),"#N/A")</f>
        <v>#N/A</v>
      </c>
      <c r="H18773" s="4" t="str">
        <v/>
      </c>
      <c r="I18773" s="4" t="str">
        <v/>
      </c>
    </row>
    <row r="18774" spans="5:9" ht="16.5" hidden="1">
      <c r="E18774" s="4" t="str">
        <v/>
      </c>
      <c r="F18774" s="102" t="str">
        <f ca="1">IFERROR(__xludf.DUMMYFUNCTION("IMPORTRANGE(H18774,""IDENTITAS UNIT!D9"")"),"#N/A")</f>
        <v>#N/A</v>
      </c>
      <c r="H18774" s="4" t="str">
        <v/>
      </c>
      <c r="I18774" s="4" t="str">
        <v/>
      </c>
    </row>
    <row r="18775" spans="5:9" ht="16.5" hidden="1">
      <c r="E18775" s="4" t="str">
        <v/>
      </c>
      <c r="F18775" s="102" t="str">
        <f ca="1">IFERROR(__xludf.DUMMYFUNCTION("IMPORTRANGE(H18775,""IDENTITAS UNIT!D9"")"),"#N/A")</f>
        <v>#N/A</v>
      </c>
      <c r="H18775" s="4" t="str">
        <v/>
      </c>
      <c r="I18775" s="4" t="str">
        <v/>
      </c>
    </row>
    <row r="18776" spans="5:9" ht="16.5" hidden="1">
      <c r="E18776" s="4" t="str">
        <v/>
      </c>
      <c r="F18776" s="102" t="str">
        <f ca="1">IFERROR(__xludf.DUMMYFUNCTION("IMPORTRANGE(H18776,""IDENTITAS UNIT!D9"")"),"#N/A")</f>
        <v>#N/A</v>
      </c>
      <c r="H18776" s="4" t="str">
        <v/>
      </c>
      <c r="I18776" s="4" t="str">
        <v/>
      </c>
    </row>
    <row r="18777" spans="5:9" ht="16.5" hidden="1">
      <c r="E18777" s="4" t="str">
        <v/>
      </c>
      <c r="F18777" s="102" t="str">
        <f ca="1">IFERROR(__xludf.DUMMYFUNCTION("IMPORTRANGE(H18777,""IDENTITAS UNIT!D9"")"),"#N/A")</f>
        <v>#N/A</v>
      </c>
      <c r="H18777" s="4" t="str">
        <v/>
      </c>
      <c r="I18777" s="4" t="str">
        <v/>
      </c>
    </row>
    <row r="18778" spans="5:9" ht="16.5" hidden="1">
      <c r="E18778" s="4" t="str">
        <v/>
      </c>
      <c r="F18778" s="102" t="str">
        <f ca="1">IFERROR(__xludf.DUMMYFUNCTION("IMPORTRANGE(H18778,""IDENTITAS UNIT!D9"")"),"#N/A")</f>
        <v>#N/A</v>
      </c>
      <c r="H18778" s="4" t="str">
        <v/>
      </c>
      <c r="I18778" s="4" t="str">
        <v/>
      </c>
    </row>
    <row r="18779" spans="5:9" ht="16.5" hidden="1">
      <c r="E18779" s="4" t="str">
        <v/>
      </c>
      <c r="F18779" s="102" t="str">
        <f ca="1">IFERROR(__xludf.DUMMYFUNCTION("IMPORTRANGE(H18779,""IDENTITAS UNIT!D9"")"),"#N/A")</f>
        <v>#N/A</v>
      </c>
      <c r="H18779" s="4" t="str">
        <v/>
      </c>
      <c r="I18779" s="4" t="str">
        <v/>
      </c>
    </row>
    <row r="18780" spans="5:9" ht="16.5" hidden="1">
      <c r="E18780" s="4" t="str">
        <v/>
      </c>
      <c r="F18780" s="102" t="str">
        <f ca="1">IFERROR(__xludf.DUMMYFUNCTION("IMPORTRANGE(H18780,""IDENTITAS UNIT!D9"")"),"#N/A")</f>
        <v>#N/A</v>
      </c>
      <c r="H18780" s="4" t="str">
        <v/>
      </c>
      <c r="I18780" s="4" t="str">
        <v/>
      </c>
    </row>
    <row r="18781" spans="5:9" ht="16.5" hidden="1">
      <c r="E18781" s="4" t="str">
        <v/>
      </c>
      <c r="F18781" s="102" t="str">
        <f ca="1">IFERROR(__xludf.DUMMYFUNCTION("IMPORTRANGE(H18781,""IDENTITAS UNIT!D9"")"),"#N/A")</f>
        <v>#N/A</v>
      </c>
      <c r="H18781" s="4" t="str">
        <v/>
      </c>
      <c r="I18781" s="4" t="str">
        <v/>
      </c>
    </row>
    <row r="18782" spans="5:9" ht="16.5" hidden="1">
      <c r="E18782" s="4" t="str">
        <v/>
      </c>
      <c r="F18782" s="102" t="str">
        <f ca="1">IFERROR(__xludf.DUMMYFUNCTION("IMPORTRANGE(H18782,""IDENTITAS UNIT!D9"")"),"#N/A")</f>
        <v>#N/A</v>
      </c>
      <c r="H18782" s="4" t="str">
        <v/>
      </c>
      <c r="I18782" s="4" t="str">
        <v/>
      </c>
    </row>
    <row r="18783" spans="5:9" ht="16.5" hidden="1">
      <c r="E18783" s="4" t="str">
        <v/>
      </c>
      <c r="F18783" s="102" t="str">
        <f ca="1">IFERROR(__xludf.DUMMYFUNCTION("IMPORTRANGE(H18783,""IDENTITAS UNIT!D9"")"),"#N/A")</f>
        <v>#N/A</v>
      </c>
      <c r="H18783" s="4" t="str">
        <v/>
      </c>
      <c r="I18783" s="4" t="str">
        <v/>
      </c>
    </row>
    <row r="18784" spans="5:9" ht="16.5" hidden="1">
      <c r="E18784" s="4" t="str">
        <v/>
      </c>
      <c r="F18784" s="102" t="str">
        <f ca="1">IFERROR(__xludf.DUMMYFUNCTION("IMPORTRANGE(H18784,""IDENTITAS UNIT!D9"")"),"#N/A")</f>
        <v>#N/A</v>
      </c>
      <c r="H18784" s="4" t="str">
        <v/>
      </c>
      <c r="I18784" s="4" t="str">
        <v/>
      </c>
    </row>
    <row r="18785" spans="5:9" ht="16.5" hidden="1">
      <c r="E18785" s="4" t="str">
        <v/>
      </c>
      <c r="F18785" s="102" t="str">
        <f ca="1">IFERROR(__xludf.DUMMYFUNCTION("IMPORTRANGE(H18785,""IDENTITAS UNIT!D9"")"),"#N/A")</f>
        <v>#N/A</v>
      </c>
      <c r="H18785" s="4" t="str">
        <v/>
      </c>
      <c r="I18785" s="4" t="str">
        <v/>
      </c>
    </row>
    <row r="18786" spans="5:9" ht="16.5" hidden="1">
      <c r="E18786" s="4" t="str">
        <v/>
      </c>
      <c r="F18786" s="102" t="str">
        <f ca="1">IFERROR(__xludf.DUMMYFUNCTION("IMPORTRANGE(H18786,""IDENTITAS UNIT!D9"")"),"#N/A")</f>
        <v>#N/A</v>
      </c>
      <c r="H18786" s="4" t="str">
        <v/>
      </c>
      <c r="I18786" s="4" t="str">
        <v/>
      </c>
    </row>
    <row r="18787" spans="5:9" ht="16.5" hidden="1">
      <c r="E18787" s="4" t="str">
        <v/>
      </c>
      <c r="F18787" s="102" t="str">
        <f ca="1">IFERROR(__xludf.DUMMYFUNCTION("IMPORTRANGE(H18787,""IDENTITAS UNIT!D9"")"),"#N/A")</f>
        <v>#N/A</v>
      </c>
      <c r="H18787" s="4" t="str">
        <v/>
      </c>
      <c r="I18787" s="4" t="str">
        <v/>
      </c>
    </row>
    <row r="18788" spans="5:9" ht="16.5" hidden="1">
      <c r="E18788" s="4" t="str">
        <v/>
      </c>
      <c r="F18788" s="102" t="str">
        <f ca="1">IFERROR(__xludf.DUMMYFUNCTION("IMPORTRANGE(H18788,""IDENTITAS UNIT!D9"")"),"#N/A")</f>
        <v>#N/A</v>
      </c>
      <c r="H18788" s="4" t="str">
        <v/>
      </c>
      <c r="I18788" s="4" t="str">
        <v/>
      </c>
    </row>
    <row r="18789" spans="5:9" ht="16.5" hidden="1">
      <c r="E18789" s="4" t="str">
        <v/>
      </c>
      <c r="F18789" s="102" t="str">
        <f ca="1">IFERROR(__xludf.DUMMYFUNCTION("IMPORTRANGE(H18789,""IDENTITAS UNIT!D9"")"),"#N/A")</f>
        <v>#N/A</v>
      </c>
      <c r="H18789" s="4" t="str">
        <v/>
      </c>
      <c r="I18789" s="4" t="str">
        <v/>
      </c>
    </row>
    <row r="18790" spans="5:9" ht="16.5" hidden="1">
      <c r="E18790" s="4" t="str">
        <v/>
      </c>
      <c r="F18790" s="102" t="str">
        <f ca="1">IFERROR(__xludf.DUMMYFUNCTION("IMPORTRANGE(H18790,""IDENTITAS UNIT!D9"")"),"#N/A")</f>
        <v>#N/A</v>
      </c>
      <c r="H18790" s="4" t="str">
        <v/>
      </c>
      <c r="I18790" s="4" t="str">
        <v/>
      </c>
    </row>
    <row r="18791" spans="5:9" ht="16.5" hidden="1">
      <c r="E18791" s="4" t="str">
        <v/>
      </c>
      <c r="F18791" s="102" t="str">
        <f ca="1">IFERROR(__xludf.DUMMYFUNCTION("IMPORTRANGE(H18791,""IDENTITAS UNIT!D9"")"),"#N/A")</f>
        <v>#N/A</v>
      </c>
      <c r="H18791" s="4" t="str">
        <v/>
      </c>
      <c r="I18791" s="4" t="str">
        <v/>
      </c>
    </row>
    <row r="18792" spans="5:9" ht="16.5" hidden="1">
      <c r="E18792" s="4" t="str">
        <v/>
      </c>
      <c r="F18792" s="102" t="str">
        <f ca="1">IFERROR(__xludf.DUMMYFUNCTION("IMPORTRANGE(H18792,""IDENTITAS UNIT!D9"")"),"#N/A")</f>
        <v>#N/A</v>
      </c>
      <c r="H18792" s="4" t="str">
        <v/>
      </c>
      <c r="I18792" s="4" t="str">
        <v/>
      </c>
    </row>
    <row r="18793" spans="5:9" ht="16.5" hidden="1">
      <c r="E18793" s="4" t="str">
        <v/>
      </c>
      <c r="F18793" s="102" t="str">
        <f ca="1">IFERROR(__xludf.DUMMYFUNCTION("IMPORTRANGE(H18793,""IDENTITAS UNIT!D9"")"),"#N/A")</f>
        <v>#N/A</v>
      </c>
      <c r="H18793" s="4" t="str">
        <v/>
      </c>
      <c r="I18793" s="4" t="str">
        <v/>
      </c>
    </row>
    <row r="18794" spans="5:9" ht="16.5" hidden="1">
      <c r="E18794" s="4" t="str">
        <v/>
      </c>
      <c r="F18794" s="102" t="str">
        <f ca="1">IFERROR(__xludf.DUMMYFUNCTION("IMPORTRANGE(H18794,""IDENTITAS UNIT!D9"")"),"#N/A")</f>
        <v>#N/A</v>
      </c>
      <c r="H18794" s="4" t="str">
        <v/>
      </c>
      <c r="I18794" s="4" t="str">
        <v/>
      </c>
    </row>
    <row r="18795" spans="5:9" ht="16.5" hidden="1">
      <c r="E18795" s="4" t="str">
        <v/>
      </c>
      <c r="F18795" s="102" t="str">
        <f ca="1">IFERROR(__xludf.DUMMYFUNCTION("IMPORTRANGE(H18795,""IDENTITAS UNIT!D9"")"),"#N/A")</f>
        <v>#N/A</v>
      </c>
      <c r="H18795" s="4" t="str">
        <v/>
      </c>
      <c r="I18795" s="4" t="str">
        <v/>
      </c>
    </row>
    <row r="18796" spans="5:9" ht="16.5" hidden="1">
      <c r="E18796" s="4" t="str">
        <v/>
      </c>
      <c r="F18796" s="102" t="str">
        <f ca="1">IFERROR(__xludf.DUMMYFUNCTION("IMPORTRANGE(H18796,""IDENTITAS UNIT!D9"")"),"#N/A")</f>
        <v>#N/A</v>
      </c>
      <c r="H18796" s="4" t="str">
        <v/>
      </c>
      <c r="I18796" s="4" t="str">
        <v/>
      </c>
    </row>
    <row r="18797" spans="5:9" ht="16.5" hidden="1">
      <c r="E18797" s="4" t="str">
        <v/>
      </c>
      <c r="F18797" s="102" t="str">
        <f ca="1">IFERROR(__xludf.DUMMYFUNCTION("IMPORTRANGE(H18797,""IDENTITAS UNIT!D9"")"),"#N/A")</f>
        <v>#N/A</v>
      </c>
      <c r="H18797" s="4" t="str">
        <v/>
      </c>
      <c r="I18797" s="4" t="str">
        <v/>
      </c>
    </row>
    <row r="18798" spans="5:9" ht="16.5" hidden="1">
      <c r="E18798" s="4" t="str">
        <v/>
      </c>
      <c r="F18798" s="102" t="str">
        <f ca="1">IFERROR(__xludf.DUMMYFUNCTION("IMPORTRANGE(H18798,""IDENTITAS UNIT!D9"")"),"#N/A")</f>
        <v>#N/A</v>
      </c>
      <c r="H18798" s="4" t="str">
        <v/>
      </c>
      <c r="I18798" s="4" t="str">
        <v/>
      </c>
    </row>
    <row r="18799" spans="5:9" ht="16.5" hidden="1">
      <c r="E18799" s="4" t="str">
        <v/>
      </c>
      <c r="F18799" s="102" t="str">
        <f ca="1">IFERROR(__xludf.DUMMYFUNCTION("IMPORTRANGE(H18799,""IDENTITAS UNIT!D9"")"),"#N/A")</f>
        <v>#N/A</v>
      </c>
      <c r="H18799" s="4" t="str">
        <v/>
      </c>
      <c r="I18799" s="4" t="str">
        <v/>
      </c>
    </row>
    <row r="18800" spans="5:9" ht="16.5" hidden="1">
      <c r="E18800" s="4" t="str">
        <v/>
      </c>
      <c r="F18800" s="102" t="str">
        <f ca="1">IFERROR(__xludf.DUMMYFUNCTION("IMPORTRANGE(H18800,""IDENTITAS UNIT!D9"")"),"#N/A")</f>
        <v>#N/A</v>
      </c>
      <c r="H18800" s="4" t="str">
        <v/>
      </c>
      <c r="I18800" s="4" t="str">
        <v/>
      </c>
    </row>
    <row r="18801" spans="5:9" ht="16.5" hidden="1">
      <c r="E18801" s="4" t="str">
        <v/>
      </c>
      <c r="F18801" s="102" t="str">
        <f ca="1">IFERROR(__xludf.DUMMYFUNCTION("IMPORTRANGE(H18801,""IDENTITAS UNIT!D9"")"),"#N/A")</f>
        <v>#N/A</v>
      </c>
      <c r="H18801" s="4" t="str">
        <v/>
      </c>
      <c r="I18801" s="4" t="str">
        <v/>
      </c>
    </row>
    <row r="18802" spans="5:9" ht="16.5" hidden="1">
      <c r="E18802" s="4" t="str">
        <v/>
      </c>
      <c r="F18802" s="102" t="str">
        <f ca="1">IFERROR(__xludf.DUMMYFUNCTION("IMPORTRANGE(H18802,""IDENTITAS UNIT!D9"")"),"#N/A")</f>
        <v>#N/A</v>
      </c>
      <c r="H18802" s="4" t="str">
        <v/>
      </c>
      <c r="I18802" s="4" t="str">
        <v/>
      </c>
    </row>
    <row r="18803" spans="5:9" ht="16.5" hidden="1">
      <c r="E18803" s="4" t="str">
        <v/>
      </c>
      <c r="F18803" s="102" t="str">
        <f ca="1">IFERROR(__xludf.DUMMYFUNCTION("IMPORTRANGE(H18803,""IDENTITAS UNIT!D9"")"),"#N/A")</f>
        <v>#N/A</v>
      </c>
      <c r="H18803" s="4" t="str">
        <v/>
      </c>
      <c r="I18803" s="4" t="str">
        <v/>
      </c>
    </row>
    <row r="18804" spans="5:9" ht="16.5" hidden="1">
      <c r="E18804" s="4" t="str">
        <v/>
      </c>
      <c r="F18804" s="102" t="str">
        <f ca="1">IFERROR(__xludf.DUMMYFUNCTION("IMPORTRANGE(H18804,""IDENTITAS UNIT!D9"")"),"#N/A")</f>
        <v>#N/A</v>
      </c>
      <c r="H18804" s="4" t="str">
        <v/>
      </c>
      <c r="I18804" s="4" t="str">
        <v/>
      </c>
    </row>
    <row r="18805" spans="5:9" ht="16.5" hidden="1">
      <c r="E18805" s="4" t="str">
        <v/>
      </c>
      <c r="F18805" s="102" t="str">
        <f ca="1">IFERROR(__xludf.DUMMYFUNCTION("IMPORTRANGE(H18805,""IDENTITAS UNIT!D9"")"),"#N/A")</f>
        <v>#N/A</v>
      </c>
      <c r="H18805" s="4" t="str">
        <v/>
      </c>
      <c r="I18805" s="4" t="str">
        <v/>
      </c>
    </row>
    <row r="18806" spans="5:9" ht="16.5" hidden="1">
      <c r="E18806" s="4" t="str">
        <v/>
      </c>
      <c r="F18806" s="102" t="str">
        <f ca="1">IFERROR(__xludf.DUMMYFUNCTION("IMPORTRANGE(H18806,""IDENTITAS UNIT!D9"")"),"#N/A")</f>
        <v>#N/A</v>
      </c>
      <c r="H18806" s="4" t="str">
        <v/>
      </c>
      <c r="I18806" s="4" t="str">
        <v/>
      </c>
    </row>
    <row r="18807" spans="5:9" ht="16.5" hidden="1">
      <c r="E18807" s="4" t="str">
        <v/>
      </c>
      <c r="F18807" s="102" t="str">
        <f ca="1">IFERROR(__xludf.DUMMYFUNCTION("IMPORTRANGE(H18807,""IDENTITAS UNIT!D9"")"),"#N/A")</f>
        <v>#N/A</v>
      </c>
      <c r="H18807" s="4" t="str">
        <v/>
      </c>
      <c r="I18807" s="4" t="str">
        <v/>
      </c>
    </row>
    <row r="18808" spans="5:9" ht="16.5" hidden="1">
      <c r="E18808" s="4" t="str">
        <v/>
      </c>
      <c r="F18808" s="102" t="str">
        <f ca="1">IFERROR(__xludf.DUMMYFUNCTION("IMPORTRANGE(H18808,""IDENTITAS UNIT!D9"")"),"#N/A")</f>
        <v>#N/A</v>
      </c>
      <c r="H18808" s="4" t="str">
        <v/>
      </c>
      <c r="I18808" s="4" t="str">
        <v/>
      </c>
    </row>
    <row r="18809" spans="5:9" ht="16.5" hidden="1">
      <c r="E18809" s="4" t="str">
        <v/>
      </c>
      <c r="F18809" s="102" t="str">
        <f ca="1">IFERROR(__xludf.DUMMYFUNCTION("IMPORTRANGE(H18809,""IDENTITAS UNIT!D9"")"),"#N/A")</f>
        <v>#N/A</v>
      </c>
      <c r="H18809" s="4" t="str">
        <v/>
      </c>
      <c r="I18809" s="4" t="str">
        <v/>
      </c>
    </row>
    <row r="18810" spans="5:9" ht="16.5" hidden="1">
      <c r="E18810" s="4" t="str">
        <v/>
      </c>
      <c r="F18810" s="102" t="str">
        <f ca="1">IFERROR(__xludf.DUMMYFUNCTION("IMPORTRANGE(H18810,""IDENTITAS UNIT!D9"")"),"#N/A")</f>
        <v>#N/A</v>
      </c>
      <c r="H18810" s="4" t="str">
        <v/>
      </c>
      <c r="I18810" s="4" t="str">
        <v/>
      </c>
    </row>
    <row r="18811" spans="5:9" ht="16.5" hidden="1">
      <c r="E18811" s="4" t="str">
        <v/>
      </c>
      <c r="F18811" s="102" t="str">
        <f ca="1">IFERROR(__xludf.DUMMYFUNCTION("IMPORTRANGE(H18811,""IDENTITAS UNIT!D9"")"),"#N/A")</f>
        <v>#N/A</v>
      </c>
      <c r="H18811" s="4" t="str">
        <v/>
      </c>
      <c r="I18811" s="4" t="str">
        <v/>
      </c>
    </row>
    <row r="18812" spans="5:9" ht="16.5" hidden="1">
      <c r="E18812" s="4" t="str">
        <v/>
      </c>
      <c r="F18812" s="102" t="str">
        <f ca="1">IFERROR(__xludf.DUMMYFUNCTION("IMPORTRANGE(H18812,""IDENTITAS UNIT!D9"")"),"#N/A")</f>
        <v>#N/A</v>
      </c>
      <c r="H18812" s="4" t="str">
        <v/>
      </c>
      <c r="I18812" s="4" t="str">
        <v/>
      </c>
    </row>
    <row r="18813" spans="5:9" ht="16.5" hidden="1">
      <c r="E18813" s="4" t="str">
        <v/>
      </c>
      <c r="F18813" s="102" t="str">
        <f ca="1">IFERROR(__xludf.DUMMYFUNCTION("IMPORTRANGE(H18813,""IDENTITAS UNIT!D9"")"),"#N/A")</f>
        <v>#N/A</v>
      </c>
      <c r="H18813" s="4" t="str">
        <v/>
      </c>
      <c r="I18813" s="4" t="str">
        <v/>
      </c>
    </row>
    <row r="18814" spans="5:9" ht="16.5" hidden="1">
      <c r="E18814" s="4" t="str">
        <v/>
      </c>
      <c r="F18814" s="102" t="str">
        <f ca="1">IFERROR(__xludf.DUMMYFUNCTION("IMPORTRANGE(H18814,""IDENTITAS UNIT!D9"")"),"#N/A")</f>
        <v>#N/A</v>
      </c>
      <c r="H18814" s="4" t="str">
        <v/>
      </c>
      <c r="I18814" s="4" t="str">
        <v/>
      </c>
    </row>
    <row r="18815" spans="5:9" ht="16.5" hidden="1">
      <c r="E18815" s="4" t="str">
        <v/>
      </c>
      <c r="F18815" s="102" t="str">
        <f ca="1">IFERROR(__xludf.DUMMYFUNCTION("IMPORTRANGE(H18815,""IDENTITAS UNIT!D9"")"),"#N/A")</f>
        <v>#N/A</v>
      </c>
      <c r="H18815" s="4" t="str">
        <v/>
      </c>
      <c r="I18815" s="4" t="str">
        <v/>
      </c>
    </row>
    <row r="18816" spans="5:9" ht="16.5" hidden="1">
      <c r="E18816" s="4" t="str">
        <v/>
      </c>
      <c r="F18816" s="102" t="str">
        <f ca="1">IFERROR(__xludf.DUMMYFUNCTION("IMPORTRANGE(H18816,""IDENTITAS UNIT!D9"")"),"#N/A")</f>
        <v>#N/A</v>
      </c>
      <c r="H18816" s="4" t="str">
        <v/>
      </c>
      <c r="I18816" s="4" t="str">
        <v/>
      </c>
    </row>
    <row r="18817" spans="5:9" ht="16.5" hidden="1">
      <c r="E18817" s="4" t="str">
        <v/>
      </c>
      <c r="F18817" s="102" t="str">
        <f ca="1">IFERROR(__xludf.DUMMYFUNCTION("IMPORTRANGE(H18817,""IDENTITAS UNIT!D9"")"),"#N/A")</f>
        <v>#N/A</v>
      </c>
      <c r="H18817" s="4" t="str">
        <v/>
      </c>
      <c r="I18817" s="4" t="str">
        <v/>
      </c>
    </row>
    <row r="18818" spans="5:9" ht="16.5" hidden="1">
      <c r="E18818" s="4" t="str">
        <v/>
      </c>
      <c r="F18818" s="102" t="str">
        <f ca="1">IFERROR(__xludf.DUMMYFUNCTION("IMPORTRANGE(H18818,""IDENTITAS UNIT!D9"")"),"#N/A")</f>
        <v>#N/A</v>
      </c>
      <c r="H18818" s="4" t="str">
        <v/>
      </c>
      <c r="I18818" s="4" t="str">
        <v/>
      </c>
    </row>
    <row r="18819" spans="5:9" ht="16.5" hidden="1">
      <c r="E18819" s="4" t="str">
        <v/>
      </c>
      <c r="F18819" s="102" t="str">
        <f ca="1">IFERROR(__xludf.DUMMYFUNCTION("IMPORTRANGE(H18819,""IDENTITAS UNIT!D9"")"),"#N/A")</f>
        <v>#N/A</v>
      </c>
      <c r="H18819" s="4" t="str">
        <v/>
      </c>
      <c r="I18819" s="4" t="str">
        <v/>
      </c>
    </row>
    <row r="18820" spans="5:9" ht="16.5" hidden="1">
      <c r="E18820" s="4" t="str">
        <v/>
      </c>
      <c r="F18820" s="102" t="str">
        <f ca="1">IFERROR(__xludf.DUMMYFUNCTION("IMPORTRANGE(H18820,""IDENTITAS UNIT!D9"")"),"#N/A")</f>
        <v>#N/A</v>
      </c>
      <c r="H18820" s="4" t="str">
        <v/>
      </c>
      <c r="I18820" s="4" t="str">
        <v/>
      </c>
    </row>
    <row r="18821" spans="5:9" ht="16.5" hidden="1">
      <c r="E18821" s="4" t="str">
        <v/>
      </c>
      <c r="F18821" s="102" t="str">
        <f ca="1">IFERROR(__xludf.DUMMYFUNCTION("IMPORTRANGE(H18821,""IDENTITAS UNIT!D9"")"),"#N/A")</f>
        <v>#N/A</v>
      </c>
      <c r="H18821" s="4" t="str">
        <v/>
      </c>
      <c r="I18821" s="4" t="str">
        <v/>
      </c>
    </row>
    <row r="18822" spans="5:9" ht="16.5" hidden="1">
      <c r="E18822" s="4" t="str">
        <v/>
      </c>
      <c r="F18822" s="102" t="str">
        <f ca="1">IFERROR(__xludf.DUMMYFUNCTION("IMPORTRANGE(H18822,""IDENTITAS UNIT!D9"")"),"#N/A")</f>
        <v>#N/A</v>
      </c>
      <c r="H18822" s="4" t="str">
        <v/>
      </c>
      <c r="I18822" s="4" t="str">
        <v/>
      </c>
    </row>
    <row r="18823" spans="5:9" ht="16.5" hidden="1">
      <c r="E18823" s="4" t="str">
        <v/>
      </c>
      <c r="F18823" s="102" t="str">
        <f ca="1">IFERROR(__xludf.DUMMYFUNCTION("IMPORTRANGE(H18823,""IDENTITAS UNIT!D9"")"),"#N/A")</f>
        <v>#N/A</v>
      </c>
      <c r="H18823" s="4" t="str">
        <v/>
      </c>
      <c r="I18823" s="4" t="str">
        <v/>
      </c>
    </row>
    <row r="18824" spans="5:9" ht="16.5" hidden="1">
      <c r="E18824" s="4" t="str">
        <v/>
      </c>
      <c r="F18824" s="102" t="str">
        <f ca="1">IFERROR(__xludf.DUMMYFUNCTION("IMPORTRANGE(H18824,""IDENTITAS UNIT!D9"")"),"#N/A")</f>
        <v>#N/A</v>
      </c>
      <c r="H18824" s="4" t="str">
        <v/>
      </c>
      <c r="I18824" s="4" t="str">
        <v/>
      </c>
    </row>
    <row r="18825" spans="5:9" ht="16.5" hidden="1">
      <c r="E18825" s="4" t="str">
        <v/>
      </c>
      <c r="F18825" s="102" t="str">
        <f ca="1">IFERROR(__xludf.DUMMYFUNCTION("IMPORTRANGE(H18825,""IDENTITAS UNIT!D9"")"),"#N/A")</f>
        <v>#N/A</v>
      </c>
      <c r="H18825" s="4" t="str">
        <v/>
      </c>
      <c r="I18825" s="4" t="str">
        <v/>
      </c>
    </row>
    <row r="18826" spans="5:9" ht="16.5" hidden="1">
      <c r="E18826" s="4" t="str">
        <v/>
      </c>
      <c r="F18826" s="102" t="str">
        <f ca="1">IFERROR(__xludf.DUMMYFUNCTION("IMPORTRANGE(H18826,""IDENTITAS UNIT!D9"")"),"#N/A")</f>
        <v>#N/A</v>
      </c>
      <c r="H18826" s="4" t="str">
        <v/>
      </c>
      <c r="I18826" s="4" t="str">
        <v/>
      </c>
    </row>
    <row r="18827" spans="5:9" ht="16.5" hidden="1">
      <c r="E18827" s="4" t="str">
        <v/>
      </c>
      <c r="F18827" s="102" t="str">
        <f ca="1">IFERROR(__xludf.DUMMYFUNCTION("IMPORTRANGE(H18827,""IDENTITAS UNIT!D9"")"),"#N/A")</f>
        <v>#N/A</v>
      </c>
      <c r="H18827" s="4" t="str">
        <v/>
      </c>
      <c r="I18827" s="4" t="str">
        <v/>
      </c>
    </row>
    <row r="18828" spans="5:9" ht="16.5" hidden="1">
      <c r="E18828" s="4" t="str">
        <v/>
      </c>
      <c r="F18828" s="102" t="str">
        <f ca="1">IFERROR(__xludf.DUMMYFUNCTION("IMPORTRANGE(H18828,""IDENTITAS UNIT!D9"")"),"#N/A")</f>
        <v>#N/A</v>
      </c>
      <c r="H18828" s="4" t="str">
        <v/>
      </c>
      <c r="I18828" s="4" t="str">
        <v/>
      </c>
    </row>
    <row r="18829" spans="5:9" ht="16.5" hidden="1">
      <c r="E18829" s="4" t="str">
        <v/>
      </c>
      <c r="F18829" s="102" t="str">
        <f ca="1">IFERROR(__xludf.DUMMYFUNCTION("IMPORTRANGE(H18829,""IDENTITAS UNIT!D9"")"),"#N/A")</f>
        <v>#N/A</v>
      </c>
      <c r="H18829" s="4" t="str">
        <v/>
      </c>
      <c r="I18829" s="4" t="str">
        <v/>
      </c>
    </row>
    <row r="18830" spans="5:9" ht="16.5" hidden="1">
      <c r="E18830" s="4" t="str">
        <v/>
      </c>
      <c r="F18830" s="102" t="str">
        <f ca="1">IFERROR(__xludf.DUMMYFUNCTION("IMPORTRANGE(H18830,""IDENTITAS UNIT!D9"")"),"#N/A")</f>
        <v>#N/A</v>
      </c>
      <c r="H18830" s="4" t="str">
        <v/>
      </c>
      <c r="I18830" s="4" t="str">
        <v/>
      </c>
    </row>
    <row r="18831" spans="5:9" ht="16.5" hidden="1">
      <c r="E18831" s="4" t="str">
        <v/>
      </c>
      <c r="F18831" s="102" t="str">
        <f ca="1">IFERROR(__xludf.DUMMYFUNCTION("IMPORTRANGE(H18831,""IDENTITAS UNIT!D9"")"),"#N/A")</f>
        <v>#N/A</v>
      </c>
      <c r="H18831" s="4" t="str">
        <v/>
      </c>
      <c r="I18831" s="4" t="str">
        <v/>
      </c>
    </row>
    <row r="18832" spans="5:9" ht="16.5" hidden="1">
      <c r="E18832" s="4" t="str">
        <v/>
      </c>
      <c r="F18832" s="102" t="str">
        <f ca="1">IFERROR(__xludf.DUMMYFUNCTION("IMPORTRANGE(H18832,""IDENTITAS UNIT!D9"")"),"#N/A")</f>
        <v>#N/A</v>
      </c>
      <c r="H18832" s="4" t="str">
        <v/>
      </c>
      <c r="I18832" s="4" t="str">
        <v/>
      </c>
    </row>
    <row r="18833" spans="5:9" ht="16.5" hidden="1">
      <c r="E18833" s="4" t="str">
        <v/>
      </c>
      <c r="F18833" s="102" t="str">
        <f ca="1">IFERROR(__xludf.DUMMYFUNCTION("IMPORTRANGE(H18833,""IDENTITAS UNIT!D9"")"),"#N/A")</f>
        <v>#N/A</v>
      </c>
      <c r="H18833" s="4" t="str">
        <v/>
      </c>
      <c r="I18833" s="4" t="str">
        <v/>
      </c>
    </row>
    <row r="18834" spans="5:9" ht="16.5" hidden="1">
      <c r="E18834" s="4" t="str">
        <v/>
      </c>
      <c r="F18834" s="102" t="str">
        <f ca="1">IFERROR(__xludf.DUMMYFUNCTION("IMPORTRANGE(H18834,""IDENTITAS UNIT!D9"")"),"#N/A")</f>
        <v>#N/A</v>
      </c>
      <c r="H18834" s="4" t="str">
        <v/>
      </c>
      <c r="I18834" s="4" t="str">
        <v/>
      </c>
    </row>
    <row r="18835" spans="5:9" ht="16.5" hidden="1">
      <c r="E18835" s="4" t="str">
        <v/>
      </c>
      <c r="F18835" s="102" t="str">
        <f ca="1">IFERROR(__xludf.DUMMYFUNCTION("IMPORTRANGE(H18835,""IDENTITAS UNIT!D9"")"),"#N/A")</f>
        <v>#N/A</v>
      </c>
      <c r="H18835" s="4" t="str">
        <v/>
      </c>
      <c r="I18835" s="4" t="str">
        <v/>
      </c>
    </row>
    <row r="18836" spans="5:9" ht="16.5" hidden="1">
      <c r="E18836" s="4" t="str">
        <v/>
      </c>
      <c r="F18836" s="102" t="str">
        <f ca="1">IFERROR(__xludf.DUMMYFUNCTION("IMPORTRANGE(H18836,""IDENTITAS UNIT!D9"")"),"#N/A")</f>
        <v>#N/A</v>
      </c>
      <c r="H18836" s="4" t="str">
        <v/>
      </c>
      <c r="I18836" s="4" t="str">
        <v/>
      </c>
    </row>
    <row r="18837" spans="5:9" ht="16.5" hidden="1">
      <c r="E18837" s="4" t="str">
        <v/>
      </c>
      <c r="F18837" s="102" t="str">
        <f ca="1">IFERROR(__xludf.DUMMYFUNCTION("IMPORTRANGE(H18837,""IDENTITAS UNIT!D9"")"),"#N/A")</f>
        <v>#N/A</v>
      </c>
      <c r="H18837" s="4" t="str">
        <v/>
      </c>
      <c r="I18837" s="4" t="str">
        <v/>
      </c>
    </row>
    <row r="18838" spans="5:9" ht="16.5" hidden="1">
      <c r="E18838" s="4" t="str">
        <v/>
      </c>
      <c r="F18838" s="102" t="str">
        <f ca="1">IFERROR(__xludf.DUMMYFUNCTION("IMPORTRANGE(H18838,""IDENTITAS UNIT!D9"")"),"#N/A")</f>
        <v>#N/A</v>
      </c>
      <c r="H18838" s="4" t="str">
        <v/>
      </c>
      <c r="I18838" s="4" t="str">
        <v/>
      </c>
    </row>
    <row r="18839" spans="5:9" ht="16.5" hidden="1">
      <c r="E18839" s="4" t="str">
        <v/>
      </c>
      <c r="F18839" s="102" t="str">
        <f ca="1">IFERROR(__xludf.DUMMYFUNCTION("IMPORTRANGE(H18839,""IDENTITAS UNIT!D9"")"),"#N/A")</f>
        <v>#N/A</v>
      </c>
      <c r="H18839" s="4" t="str">
        <v/>
      </c>
      <c r="I18839" s="4" t="str">
        <v/>
      </c>
    </row>
    <row r="18840" spans="5:9" ht="16.5" hidden="1">
      <c r="E18840" s="4" t="str">
        <v/>
      </c>
      <c r="F18840" s="102" t="str">
        <f ca="1">IFERROR(__xludf.DUMMYFUNCTION("IMPORTRANGE(H18840,""IDENTITAS UNIT!D9"")"),"#N/A")</f>
        <v>#N/A</v>
      </c>
      <c r="H18840" s="4" t="str">
        <v/>
      </c>
      <c r="I18840" s="4" t="str">
        <v/>
      </c>
    </row>
    <row r="18841" spans="5:9" ht="16.5" hidden="1">
      <c r="E18841" s="4" t="str">
        <v/>
      </c>
      <c r="F18841" s="102" t="str">
        <f ca="1">IFERROR(__xludf.DUMMYFUNCTION("IMPORTRANGE(H18841,""IDENTITAS UNIT!D9"")"),"#N/A")</f>
        <v>#N/A</v>
      </c>
      <c r="H18841" s="4" t="str">
        <v/>
      </c>
      <c r="I18841" s="4" t="str">
        <v/>
      </c>
    </row>
    <row r="18842" spans="5:9" ht="16.5" hidden="1">
      <c r="E18842" s="4" t="str">
        <v/>
      </c>
      <c r="F18842" s="102" t="str">
        <f ca="1">IFERROR(__xludf.DUMMYFUNCTION("IMPORTRANGE(H18842,""IDENTITAS UNIT!D9"")"),"#N/A")</f>
        <v>#N/A</v>
      </c>
      <c r="H18842" s="4" t="str">
        <v/>
      </c>
      <c r="I18842" s="4" t="str">
        <v/>
      </c>
    </row>
    <row r="18843" spans="5:9" ht="16.5" hidden="1">
      <c r="E18843" s="4" t="str">
        <v/>
      </c>
      <c r="F18843" s="102" t="str">
        <f ca="1">IFERROR(__xludf.DUMMYFUNCTION("IMPORTRANGE(H18843,""IDENTITAS UNIT!D9"")"),"#N/A")</f>
        <v>#N/A</v>
      </c>
      <c r="H18843" s="4" t="str">
        <v/>
      </c>
      <c r="I18843" s="4" t="str">
        <v/>
      </c>
    </row>
    <row r="18844" spans="5:9" ht="16.5" hidden="1">
      <c r="E18844" s="4" t="str">
        <v/>
      </c>
      <c r="F18844" s="102" t="str">
        <f ca="1">IFERROR(__xludf.DUMMYFUNCTION("IMPORTRANGE(H18844,""IDENTITAS UNIT!D9"")"),"#N/A")</f>
        <v>#N/A</v>
      </c>
      <c r="H18844" s="4" t="str">
        <v/>
      </c>
      <c r="I18844" s="4" t="str">
        <v/>
      </c>
    </row>
    <row r="18845" spans="5:9" ht="16.5" hidden="1">
      <c r="E18845" s="4" t="str">
        <v/>
      </c>
      <c r="F18845" s="102" t="str">
        <f ca="1">IFERROR(__xludf.DUMMYFUNCTION("IMPORTRANGE(H18845,""IDENTITAS UNIT!D9"")"),"#N/A")</f>
        <v>#N/A</v>
      </c>
      <c r="H18845" s="4" t="str">
        <v/>
      </c>
      <c r="I18845" s="4" t="str">
        <v/>
      </c>
    </row>
    <row r="18846" spans="5:9" ht="16.5" hidden="1">
      <c r="E18846" s="4" t="str">
        <v/>
      </c>
      <c r="F18846" s="102" t="str">
        <f ca="1">IFERROR(__xludf.DUMMYFUNCTION("IMPORTRANGE(H18846,""IDENTITAS UNIT!D9"")"),"#N/A")</f>
        <v>#N/A</v>
      </c>
      <c r="H18846" s="4" t="str">
        <v/>
      </c>
      <c r="I18846" s="4" t="str">
        <v/>
      </c>
    </row>
    <row r="18847" spans="5:9" ht="16.5" hidden="1">
      <c r="E18847" s="4" t="str">
        <v/>
      </c>
      <c r="F18847" s="102" t="str">
        <f ca="1">IFERROR(__xludf.DUMMYFUNCTION("IMPORTRANGE(H18847,""IDENTITAS UNIT!D9"")"),"#N/A")</f>
        <v>#N/A</v>
      </c>
      <c r="H18847" s="4" t="str">
        <v/>
      </c>
      <c r="I18847" s="4" t="str">
        <v/>
      </c>
    </row>
    <row r="18848" spans="5:9" ht="16.5" hidden="1">
      <c r="E18848" s="4" t="str">
        <v/>
      </c>
      <c r="F18848" s="102" t="str">
        <f ca="1">IFERROR(__xludf.DUMMYFUNCTION("IMPORTRANGE(H18848,""IDENTITAS UNIT!D9"")"),"#N/A")</f>
        <v>#N/A</v>
      </c>
      <c r="H18848" s="4" t="str">
        <v/>
      </c>
      <c r="I18848" s="4" t="str">
        <v/>
      </c>
    </row>
    <row r="18849" spans="5:9" ht="16.5" hidden="1">
      <c r="E18849" s="4" t="str">
        <v/>
      </c>
      <c r="F18849" s="102" t="str">
        <f ca="1">IFERROR(__xludf.DUMMYFUNCTION("IMPORTRANGE(H18849,""IDENTITAS UNIT!D9"")"),"#N/A")</f>
        <v>#N/A</v>
      </c>
      <c r="H18849" s="4" t="str">
        <v/>
      </c>
      <c r="I18849" s="4" t="str">
        <v/>
      </c>
    </row>
    <row r="18850" spans="5:9" ht="16.5" hidden="1">
      <c r="E18850" s="4" t="str">
        <v/>
      </c>
      <c r="F18850" s="102" t="str">
        <f ca="1">IFERROR(__xludf.DUMMYFUNCTION("IMPORTRANGE(H18850,""IDENTITAS UNIT!D9"")"),"#N/A")</f>
        <v>#N/A</v>
      </c>
      <c r="H18850" s="4" t="str">
        <v/>
      </c>
      <c r="I18850" s="4" t="str">
        <v/>
      </c>
    </row>
    <row r="18851" spans="5:9" ht="16.5" hidden="1">
      <c r="E18851" s="4" t="str">
        <v/>
      </c>
      <c r="F18851" s="102" t="str">
        <f ca="1">IFERROR(__xludf.DUMMYFUNCTION("IMPORTRANGE(H18851,""IDENTITAS UNIT!D9"")"),"#N/A")</f>
        <v>#N/A</v>
      </c>
      <c r="H18851" s="4" t="str">
        <v/>
      </c>
      <c r="I18851" s="4" t="str">
        <v/>
      </c>
    </row>
    <row r="18852" spans="5:9" ht="16.5" hidden="1">
      <c r="E18852" s="4" t="str">
        <v/>
      </c>
      <c r="F18852" s="102" t="str">
        <f ca="1">IFERROR(__xludf.DUMMYFUNCTION("IMPORTRANGE(H18852,""IDENTITAS UNIT!D9"")"),"#N/A")</f>
        <v>#N/A</v>
      </c>
      <c r="H18852" s="4" t="str">
        <v/>
      </c>
      <c r="I18852" s="4" t="str">
        <v/>
      </c>
    </row>
    <row r="18853" spans="5:9" ht="16.5" hidden="1">
      <c r="E18853" s="4" t="str">
        <v/>
      </c>
      <c r="F18853" s="102" t="str">
        <f ca="1">IFERROR(__xludf.DUMMYFUNCTION("IMPORTRANGE(H18853,""IDENTITAS UNIT!D9"")"),"#N/A")</f>
        <v>#N/A</v>
      </c>
      <c r="H18853" s="4" t="str">
        <v/>
      </c>
      <c r="I18853" s="4" t="str">
        <v/>
      </c>
    </row>
    <row r="18854" spans="5:9" ht="16.5" hidden="1">
      <c r="E18854" s="4" t="str">
        <v/>
      </c>
      <c r="F18854" s="102" t="str">
        <f ca="1">IFERROR(__xludf.DUMMYFUNCTION("IMPORTRANGE(H18854,""IDENTITAS UNIT!D9"")"),"#N/A")</f>
        <v>#N/A</v>
      </c>
      <c r="H18854" s="4" t="str">
        <v/>
      </c>
      <c r="I18854" s="4" t="str">
        <v/>
      </c>
    </row>
    <row r="18855" spans="5:9" ht="16.5" hidden="1">
      <c r="E18855" s="4" t="str">
        <v/>
      </c>
      <c r="F18855" s="102" t="str">
        <f ca="1">IFERROR(__xludf.DUMMYFUNCTION("IMPORTRANGE(H18855,""IDENTITAS UNIT!D9"")"),"#N/A")</f>
        <v>#N/A</v>
      </c>
      <c r="H18855" s="4" t="str">
        <v/>
      </c>
      <c r="I18855" s="4" t="str">
        <v/>
      </c>
    </row>
    <row r="18856" spans="5:9" ht="16.5" hidden="1">
      <c r="E18856" s="4" t="str">
        <v/>
      </c>
      <c r="F18856" s="102" t="str">
        <f ca="1">IFERROR(__xludf.DUMMYFUNCTION("IMPORTRANGE(H18856,""IDENTITAS UNIT!D9"")"),"#N/A")</f>
        <v>#N/A</v>
      </c>
      <c r="H18856" s="4" t="str">
        <v/>
      </c>
      <c r="I18856" s="4" t="str">
        <v/>
      </c>
    </row>
    <row r="18857" spans="5:9" ht="16.5" hidden="1">
      <c r="E18857" s="4" t="str">
        <v/>
      </c>
      <c r="F18857" s="102" t="str">
        <f ca="1">IFERROR(__xludf.DUMMYFUNCTION("IMPORTRANGE(H18857,""IDENTITAS UNIT!D9"")"),"#N/A")</f>
        <v>#N/A</v>
      </c>
      <c r="H18857" s="4" t="str">
        <v/>
      </c>
      <c r="I18857" s="4" t="str">
        <v/>
      </c>
    </row>
    <row r="18858" spans="5:9" ht="16.5" hidden="1">
      <c r="E18858" s="4" t="str">
        <v/>
      </c>
      <c r="F18858" s="102" t="str">
        <f ca="1">IFERROR(__xludf.DUMMYFUNCTION("IMPORTRANGE(H18858,""IDENTITAS UNIT!D9"")"),"#N/A")</f>
        <v>#N/A</v>
      </c>
      <c r="H18858" s="4" t="str">
        <v/>
      </c>
      <c r="I18858" s="4" t="str">
        <v/>
      </c>
    </row>
    <row r="18859" spans="5:9" ht="16.5" hidden="1">
      <c r="E18859" s="4" t="str">
        <v/>
      </c>
      <c r="F18859" s="102" t="str">
        <f ca="1">IFERROR(__xludf.DUMMYFUNCTION("IMPORTRANGE(H18859,""IDENTITAS UNIT!D9"")"),"#N/A")</f>
        <v>#N/A</v>
      </c>
      <c r="H18859" s="4" t="str">
        <v/>
      </c>
      <c r="I18859" s="4" t="str">
        <v/>
      </c>
    </row>
    <row r="18860" spans="5:9" ht="16.5" hidden="1">
      <c r="E18860" s="4" t="str">
        <v/>
      </c>
      <c r="F18860" s="102" t="str">
        <f ca="1">IFERROR(__xludf.DUMMYFUNCTION("IMPORTRANGE(H18860,""IDENTITAS UNIT!D9"")"),"#N/A")</f>
        <v>#N/A</v>
      </c>
      <c r="H18860" s="4" t="str">
        <v/>
      </c>
      <c r="I18860" s="4" t="str">
        <v/>
      </c>
    </row>
    <row r="18861" spans="5:9" ht="16.5" hidden="1">
      <c r="E18861" s="4" t="str">
        <v/>
      </c>
      <c r="F18861" s="102" t="str">
        <f ca="1">IFERROR(__xludf.DUMMYFUNCTION("IMPORTRANGE(H18861,""IDENTITAS UNIT!D9"")"),"#N/A")</f>
        <v>#N/A</v>
      </c>
      <c r="H18861" s="4" t="str">
        <v/>
      </c>
      <c r="I18861" s="4" t="str">
        <v/>
      </c>
    </row>
    <row r="18862" spans="5:9" ht="16.5" hidden="1">
      <c r="E18862" s="4" t="str">
        <v/>
      </c>
      <c r="F18862" s="102" t="str">
        <f ca="1">IFERROR(__xludf.DUMMYFUNCTION("IMPORTRANGE(H18862,""IDENTITAS UNIT!D9"")"),"#N/A")</f>
        <v>#N/A</v>
      </c>
      <c r="H18862" s="4" t="str">
        <v/>
      </c>
      <c r="I18862" s="4" t="str">
        <v/>
      </c>
    </row>
    <row r="18863" spans="5:9" ht="16.5" hidden="1">
      <c r="E18863" s="4" t="str">
        <v/>
      </c>
      <c r="F18863" s="102" t="str">
        <f ca="1">IFERROR(__xludf.DUMMYFUNCTION("IMPORTRANGE(H18863,""IDENTITAS UNIT!D9"")"),"#N/A")</f>
        <v>#N/A</v>
      </c>
      <c r="H18863" s="4" t="str">
        <v/>
      </c>
      <c r="I18863" s="4" t="str">
        <v/>
      </c>
    </row>
    <row r="18864" spans="5:9" ht="16.5" hidden="1">
      <c r="E18864" s="4" t="str">
        <v/>
      </c>
      <c r="F18864" s="102" t="str">
        <f ca="1">IFERROR(__xludf.DUMMYFUNCTION("IMPORTRANGE(H18864,""IDENTITAS UNIT!D9"")"),"#N/A")</f>
        <v>#N/A</v>
      </c>
      <c r="H18864" s="4" t="str">
        <v/>
      </c>
      <c r="I18864" s="4" t="str">
        <v/>
      </c>
    </row>
    <row r="18865" spans="5:9" ht="16.5" hidden="1">
      <c r="E18865" s="4" t="str">
        <v/>
      </c>
      <c r="F18865" s="102" t="str">
        <f ca="1">IFERROR(__xludf.DUMMYFUNCTION("IMPORTRANGE(H18865,""IDENTITAS UNIT!D9"")"),"#N/A")</f>
        <v>#N/A</v>
      </c>
      <c r="H18865" s="4" t="str">
        <v/>
      </c>
      <c r="I18865" s="4" t="str">
        <v/>
      </c>
    </row>
    <row r="18866" spans="5:9" ht="16.5" hidden="1">
      <c r="E18866" s="4" t="str">
        <v/>
      </c>
      <c r="F18866" s="102" t="str">
        <f ca="1">IFERROR(__xludf.DUMMYFUNCTION("IMPORTRANGE(H18866,""IDENTITAS UNIT!D9"")"),"#N/A")</f>
        <v>#N/A</v>
      </c>
      <c r="H18866" s="4" t="str">
        <v/>
      </c>
      <c r="I18866" s="4" t="str">
        <v/>
      </c>
    </row>
    <row r="18867" spans="5:9" ht="16.5" hidden="1">
      <c r="E18867" s="4" t="str">
        <v/>
      </c>
      <c r="F18867" s="102" t="str">
        <f ca="1">IFERROR(__xludf.DUMMYFUNCTION("IMPORTRANGE(H18867,""IDENTITAS UNIT!D9"")"),"#N/A")</f>
        <v>#N/A</v>
      </c>
      <c r="H18867" s="4" t="str">
        <v/>
      </c>
      <c r="I18867" s="4" t="str">
        <v/>
      </c>
    </row>
    <row r="18868" spans="5:9" ht="16.5" hidden="1">
      <c r="E18868" s="4" t="str">
        <v/>
      </c>
      <c r="F18868" s="102" t="str">
        <f ca="1">IFERROR(__xludf.DUMMYFUNCTION("IMPORTRANGE(H18868,""IDENTITAS UNIT!D9"")"),"#N/A")</f>
        <v>#N/A</v>
      </c>
      <c r="H18868" s="4" t="str">
        <v/>
      </c>
      <c r="I18868" s="4" t="str">
        <v/>
      </c>
    </row>
    <row r="18869" spans="5:9" ht="16.5" hidden="1">
      <c r="E18869" s="4" t="str">
        <v/>
      </c>
      <c r="F18869" s="102" t="str">
        <f ca="1">IFERROR(__xludf.DUMMYFUNCTION("IMPORTRANGE(H18869,""IDENTITAS UNIT!D9"")"),"#N/A")</f>
        <v>#N/A</v>
      </c>
      <c r="H18869" s="4" t="str">
        <v/>
      </c>
      <c r="I18869" s="4" t="str">
        <v/>
      </c>
    </row>
    <row r="18870" spans="5:9" ht="16.5" hidden="1">
      <c r="E18870" s="4" t="str">
        <v/>
      </c>
      <c r="F18870" s="102" t="str">
        <f ca="1">IFERROR(__xludf.DUMMYFUNCTION("IMPORTRANGE(H18870,""IDENTITAS UNIT!D9"")"),"#N/A")</f>
        <v>#N/A</v>
      </c>
      <c r="H18870" s="4" t="str">
        <v/>
      </c>
      <c r="I18870" s="4" t="str">
        <v/>
      </c>
    </row>
    <row r="18871" spans="5:9" ht="16.5" hidden="1">
      <c r="E18871" s="4" t="str">
        <v/>
      </c>
      <c r="F18871" s="102" t="str">
        <f ca="1">IFERROR(__xludf.DUMMYFUNCTION("IMPORTRANGE(H18871,""IDENTITAS UNIT!D9"")"),"#N/A")</f>
        <v>#N/A</v>
      </c>
      <c r="H18871" s="4" t="str">
        <v/>
      </c>
      <c r="I18871" s="4" t="str">
        <v/>
      </c>
    </row>
    <row r="18872" spans="5:9" ht="16.5" hidden="1">
      <c r="E18872" s="4" t="str">
        <v/>
      </c>
      <c r="F18872" s="102" t="str">
        <f ca="1">IFERROR(__xludf.DUMMYFUNCTION("IMPORTRANGE(H18872,""IDENTITAS UNIT!D9"")"),"#N/A")</f>
        <v>#N/A</v>
      </c>
      <c r="H18872" s="4" t="str">
        <v/>
      </c>
      <c r="I18872" s="4" t="str">
        <v/>
      </c>
    </row>
    <row r="18873" spans="5:9" ht="16.5" hidden="1">
      <c r="E18873" s="4" t="str">
        <v/>
      </c>
      <c r="F18873" s="102" t="str">
        <f ca="1">IFERROR(__xludf.DUMMYFUNCTION("IMPORTRANGE(H18873,""IDENTITAS UNIT!D9"")"),"#N/A")</f>
        <v>#N/A</v>
      </c>
      <c r="H18873" s="4" t="str">
        <v/>
      </c>
      <c r="I18873" s="4" t="str">
        <v/>
      </c>
    </row>
    <row r="18874" spans="5:9" ht="16.5" hidden="1">
      <c r="E18874" s="4" t="str">
        <v/>
      </c>
      <c r="F18874" s="102" t="str">
        <f ca="1">IFERROR(__xludf.DUMMYFUNCTION("IMPORTRANGE(H18874,""IDENTITAS UNIT!D9"")"),"#N/A")</f>
        <v>#N/A</v>
      </c>
      <c r="H18874" s="4" t="str">
        <v/>
      </c>
      <c r="I18874" s="4" t="str">
        <v/>
      </c>
    </row>
    <row r="18875" spans="5:9" ht="16.5" hidden="1">
      <c r="E18875" s="4" t="str">
        <v/>
      </c>
      <c r="F18875" s="102" t="str">
        <f ca="1">IFERROR(__xludf.DUMMYFUNCTION("IMPORTRANGE(H18875,""IDENTITAS UNIT!D9"")"),"#N/A")</f>
        <v>#N/A</v>
      </c>
      <c r="H18875" s="4" t="str">
        <v/>
      </c>
      <c r="I18875" s="4" t="str">
        <v/>
      </c>
    </row>
    <row r="18876" spans="5:9" ht="16.5" hidden="1">
      <c r="E18876" s="4" t="str">
        <v/>
      </c>
      <c r="F18876" s="102" t="str">
        <f ca="1">IFERROR(__xludf.DUMMYFUNCTION("IMPORTRANGE(H18876,""IDENTITAS UNIT!D9"")"),"#N/A")</f>
        <v>#N/A</v>
      </c>
      <c r="H18876" s="4" t="str">
        <v/>
      </c>
      <c r="I18876" s="4" t="str">
        <v/>
      </c>
    </row>
    <row r="18877" spans="5:9" ht="16.5" hidden="1">
      <c r="E18877" s="4" t="str">
        <v/>
      </c>
      <c r="F18877" s="102" t="str">
        <f ca="1">IFERROR(__xludf.DUMMYFUNCTION("IMPORTRANGE(H18877,""IDENTITAS UNIT!D9"")"),"#N/A")</f>
        <v>#N/A</v>
      </c>
      <c r="H18877" s="4" t="str">
        <v/>
      </c>
      <c r="I18877" s="4" t="str">
        <v/>
      </c>
    </row>
    <row r="18878" spans="5:9" ht="16.5" hidden="1">
      <c r="E18878" s="4" t="str">
        <v/>
      </c>
      <c r="F18878" s="102" t="str">
        <f ca="1">IFERROR(__xludf.DUMMYFUNCTION("IMPORTRANGE(H18878,""IDENTITAS UNIT!D9"")"),"#N/A")</f>
        <v>#N/A</v>
      </c>
      <c r="H18878" s="4" t="str">
        <v/>
      </c>
      <c r="I18878" s="4" t="str">
        <v/>
      </c>
    </row>
    <row r="18879" spans="5:9" ht="16.5" hidden="1">
      <c r="E18879" s="4" t="str">
        <v/>
      </c>
      <c r="F18879" s="102" t="str">
        <f ca="1">IFERROR(__xludf.DUMMYFUNCTION("IMPORTRANGE(H18879,""IDENTITAS UNIT!D9"")"),"#N/A")</f>
        <v>#N/A</v>
      </c>
      <c r="H18879" s="4" t="str">
        <v/>
      </c>
      <c r="I18879" s="4" t="str">
        <v/>
      </c>
    </row>
    <row r="18880" spans="5:9" ht="16.5" hidden="1">
      <c r="E18880" s="4" t="str">
        <v/>
      </c>
      <c r="F18880" s="102" t="str">
        <f ca="1">IFERROR(__xludf.DUMMYFUNCTION("IMPORTRANGE(H18880,""IDENTITAS UNIT!D9"")"),"#N/A")</f>
        <v>#N/A</v>
      </c>
      <c r="H18880" s="4" t="str">
        <v/>
      </c>
      <c r="I18880" s="4" t="str">
        <v/>
      </c>
    </row>
    <row r="18881" spans="5:9" ht="16.5" hidden="1">
      <c r="E18881" s="4" t="str">
        <v/>
      </c>
      <c r="F18881" s="102" t="str">
        <f ca="1">IFERROR(__xludf.DUMMYFUNCTION("IMPORTRANGE(H18881,""IDENTITAS UNIT!D9"")"),"#N/A")</f>
        <v>#N/A</v>
      </c>
      <c r="H18881" s="4" t="str">
        <v/>
      </c>
      <c r="I18881" s="4" t="str">
        <v/>
      </c>
    </row>
    <row r="18882" spans="5:9" ht="16.5" hidden="1">
      <c r="E18882" s="4" t="str">
        <v/>
      </c>
      <c r="F18882" s="102" t="str">
        <f ca="1">IFERROR(__xludf.DUMMYFUNCTION("IMPORTRANGE(H18882,""IDENTITAS UNIT!D9"")"),"#N/A")</f>
        <v>#N/A</v>
      </c>
      <c r="H18882" s="4" t="str">
        <v/>
      </c>
      <c r="I18882" s="4" t="str">
        <v/>
      </c>
    </row>
    <row r="18883" spans="5:9" ht="16.5" hidden="1">
      <c r="E18883" s="4" t="str">
        <v/>
      </c>
      <c r="F18883" s="102" t="str">
        <f ca="1">IFERROR(__xludf.DUMMYFUNCTION("IMPORTRANGE(H18883,""IDENTITAS UNIT!D9"")"),"#N/A")</f>
        <v>#N/A</v>
      </c>
      <c r="H18883" s="4" t="str">
        <v/>
      </c>
      <c r="I18883" s="4" t="str">
        <v/>
      </c>
    </row>
    <row r="18884" spans="5:9" ht="16.5" hidden="1">
      <c r="E18884" s="4" t="str">
        <v/>
      </c>
      <c r="F18884" s="102" t="str">
        <f ca="1">IFERROR(__xludf.DUMMYFUNCTION("IMPORTRANGE(H18884,""IDENTITAS UNIT!D9"")"),"#N/A")</f>
        <v>#N/A</v>
      </c>
      <c r="H18884" s="4" t="str">
        <v/>
      </c>
      <c r="I18884" s="4" t="str">
        <v/>
      </c>
    </row>
    <row r="18885" spans="5:9" ht="16.5" hidden="1">
      <c r="E18885" s="4" t="str">
        <v/>
      </c>
      <c r="F18885" s="102" t="str">
        <f ca="1">IFERROR(__xludf.DUMMYFUNCTION("IMPORTRANGE(H18885,""IDENTITAS UNIT!D9"")"),"#N/A")</f>
        <v>#N/A</v>
      </c>
      <c r="H18885" s="4" t="str">
        <v/>
      </c>
      <c r="I18885" s="4" t="str">
        <v/>
      </c>
    </row>
    <row r="18886" spans="5:9" ht="16.5" hidden="1">
      <c r="E18886" s="4" t="str">
        <v/>
      </c>
      <c r="F18886" s="102" t="str">
        <f ca="1">IFERROR(__xludf.DUMMYFUNCTION("IMPORTRANGE(H18886,""IDENTITAS UNIT!D9"")"),"#N/A")</f>
        <v>#N/A</v>
      </c>
      <c r="H18886" s="4" t="str">
        <v/>
      </c>
      <c r="I18886" s="4" t="str">
        <v/>
      </c>
    </row>
    <row r="18887" spans="5:9" ht="16.5" hidden="1">
      <c r="E18887" s="4" t="str">
        <v/>
      </c>
      <c r="F18887" s="102" t="str">
        <f ca="1">IFERROR(__xludf.DUMMYFUNCTION("IMPORTRANGE(H18887,""IDENTITAS UNIT!D9"")"),"#N/A")</f>
        <v>#N/A</v>
      </c>
      <c r="H18887" s="4" t="str">
        <v/>
      </c>
      <c r="I18887" s="4" t="str">
        <v/>
      </c>
    </row>
    <row r="18888" spans="5:9" ht="16.5" hidden="1">
      <c r="E18888" s="4" t="str">
        <v/>
      </c>
      <c r="F18888" s="102" t="str">
        <f ca="1">IFERROR(__xludf.DUMMYFUNCTION("IMPORTRANGE(H18888,""IDENTITAS UNIT!D9"")"),"#N/A")</f>
        <v>#N/A</v>
      </c>
      <c r="H18888" s="4" t="str">
        <v/>
      </c>
      <c r="I18888" s="4" t="str">
        <v/>
      </c>
    </row>
    <row r="18889" spans="5:9" ht="16.5" hidden="1">
      <c r="E18889" s="4" t="str">
        <v/>
      </c>
      <c r="F18889" s="102" t="str">
        <f ca="1">IFERROR(__xludf.DUMMYFUNCTION("IMPORTRANGE(H18889,""IDENTITAS UNIT!D9"")"),"#N/A")</f>
        <v>#N/A</v>
      </c>
      <c r="H18889" s="4" t="str">
        <v/>
      </c>
      <c r="I18889" s="4" t="str">
        <v/>
      </c>
    </row>
    <row r="18890" spans="5:9" ht="16.5" hidden="1">
      <c r="E18890" s="4" t="str">
        <v/>
      </c>
      <c r="F18890" s="102" t="str">
        <f ca="1">IFERROR(__xludf.DUMMYFUNCTION("IMPORTRANGE(H18890,""IDENTITAS UNIT!D9"")"),"#N/A")</f>
        <v>#N/A</v>
      </c>
      <c r="H18890" s="4" t="str">
        <v/>
      </c>
      <c r="I18890" s="4" t="str">
        <v/>
      </c>
    </row>
    <row r="18891" spans="5:9" ht="16.5" hidden="1">
      <c r="E18891" s="4" t="str">
        <v/>
      </c>
      <c r="F18891" s="102" t="str">
        <f ca="1">IFERROR(__xludf.DUMMYFUNCTION("IMPORTRANGE(H18891,""IDENTITAS UNIT!D9"")"),"#N/A")</f>
        <v>#N/A</v>
      </c>
      <c r="H18891" s="4" t="str">
        <v/>
      </c>
      <c r="I18891" s="4" t="str">
        <v/>
      </c>
    </row>
    <row r="18892" spans="5:9" ht="16.5" hidden="1">
      <c r="E18892" s="4" t="str">
        <v/>
      </c>
      <c r="F18892" s="102" t="str">
        <f ca="1">IFERROR(__xludf.DUMMYFUNCTION("IMPORTRANGE(H18892,""IDENTITAS UNIT!D9"")"),"#N/A")</f>
        <v>#N/A</v>
      </c>
      <c r="H18892" s="4" t="str">
        <v/>
      </c>
      <c r="I18892" s="4" t="str">
        <v/>
      </c>
    </row>
    <row r="18893" spans="5:9" ht="16.5" hidden="1">
      <c r="E18893" s="4" t="str">
        <v/>
      </c>
      <c r="F18893" s="102" t="str">
        <f ca="1">IFERROR(__xludf.DUMMYFUNCTION("IMPORTRANGE(H18893,""IDENTITAS UNIT!D9"")"),"#N/A")</f>
        <v>#N/A</v>
      </c>
      <c r="H18893" s="4" t="str">
        <v/>
      </c>
      <c r="I18893" s="4" t="str">
        <v/>
      </c>
    </row>
    <row r="18894" spans="5:9" ht="16.5" hidden="1">
      <c r="E18894" s="4" t="str">
        <v/>
      </c>
      <c r="F18894" s="102" t="str">
        <f ca="1">IFERROR(__xludf.DUMMYFUNCTION("IMPORTRANGE(H18894,""IDENTITAS UNIT!D9"")"),"#N/A")</f>
        <v>#N/A</v>
      </c>
      <c r="H18894" s="4" t="str">
        <v/>
      </c>
      <c r="I18894" s="4" t="str">
        <v/>
      </c>
    </row>
    <row r="18895" spans="5:9" ht="16.5" hidden="1">
      <c r="E18895" s="4" t="str">
        <v/>
      </c>
      <c r="F18895" s="102" t="str">
        <f ca="1">IFERROR(__xludf.DUMMYFUNCTION("IMPORTRANGE(H18895,""IDENTITAS UNIT!D9"")"),"#N/A")</f>
        <v>#N/A</v>
      </c>
      <c r="H18895" s="4" t="str">
        <v/>
      </c>
      <c r="I18895" s="4" t="str">
        <v/>
      </c>
    </row>
    <row r="18896" spans="5:9" ht="16.5" hidden="1">
      <c r="E18896" s="4" t="str">
        <v/>
      </c>
      <c r="F18896" s="102" t="str">
        <f ca="1">IFERROR(__xludf.DUMMYFUNCTION("IMPORTRANGE(H18896,""IDENTITAS UNIT!D9"")"),"#N/A")</f>
        <v>#N/A</v>
      </c>
      <c r="H18896" s="4" t="str">
        <v/>
      </c>
      <c r="I18896" s="4" t="str">
        <v/>
      </c>
    </row>
    <row r="18897" spans="5:9" ht="16.5" hidden="1">
      <c r="E18897" s="4" t="str">
        <v/>
      </c>
      <c r="F18897" s="102" t="str">
        <f ca="1">IFERROR(__xludf.DUMMYFUNCTION("IMPORTRANGE(H18897,""IDENTITAS UNIT!D9"")"),"#N/A")</f>
        <v>#N/A</v>
      </c>
      <c r="H18897" s="4" t="str">
        <v/>
      </c>
      <c r="I18897" s="4" t="str">
        <v/>
      </c>
    </row>
    <row r="18898" spans="5:9" ht="16.5" hidden="1">
      <c r="E18898" s="4" t="str">
        <v/>
      </c>
      <c r="F18898" s="102" t="str">
        <f ca="1">IFERROR(__xludf.DUMMYFUNCTION("IMPORTRANGE(H18898,""IDENTITAS UNIT!D9"")"),"#N/A")</f>
        <v>#N/A</v>
      </c>
      <c r="H18898" s="4" t="str">
        <v/>
      </c>
      <c r="I18898" s="4" t="str">
        <v/>
      </c>
    </row>
    <row r="18899" spans="5:9" ht="16.5" hidden="1">
      <c r="E18899" s="4" t="str">
        <v/>
      </c>
      <c r="F18899" s="102" t="str">
        <f ca="1">IFERROR(__xludf.DUMMYFUNCTION("IMPORTRANGE(H18899,""IDENTITAS UNIT!D9"")"),"#N/A")</f>
        <v>#N/A</v>
      </c>
      <c r="H18899" s="4" t="str">
        <v/>
      </c>
      <c r="I18899" s="4" t="str">
        <v/>
      </c>
    </row>
    <row r="18900" spans="5:9" ht="16.5" hidden="1">
      <c r="E18900" s="4" t="str">
        <v/>
      </c>
      <c r="F18900" s="102" t="str">
        <f ca="1">IFERROR(__xludf.DUMMYFUNCTION("IMPORTRANGE(H18900,""IDENTITAS UNIT!D9"")"),"#N/A")</f>
        <v>#N/A</v>
      </c>
      <c r="H18900" s="4" t="str">
        <v/>
      </c>
      <c r="I18900" s="4" t="str">
        <v/>
      </c>
    </row>
    <row r="18901" spans="5:9" ht="16.5" hidden="1">
      <c r="E18901" s="4" t="str">
        <v/>
      </c>
      <c r="F18901" s="102" t="str">
        <f ca="1">IFERROR(__xludf.DUMMYFUNCTION("IMPORTRANGE(H18901,""IDENTITAS UNIT!D9"")"),"#N/A")</f>
        <v>#N/A</v>
      </c>
      <c r="H18901" s="4" t="str">
        <v/>
      </c>
      <c r="I18901" s="4" t="str">
        <v/>
      </c>
    </row>
    <row r="18902" spans="5:9" ht="16.5" hidden="1">
      <c r="E18902" s="4" t="str">
        <v/>
      </c>
      <c r="F18902" s="102" t="str">
        <f ca="1">IFERROR(__xludf.DUMMYFUNCTION("IMPORTRANGE(H18902,""IDENTITAS UNIT!D9"")"),"#N/A")</f>
        <v>#N/A</v>
      </c>
      <c r="H18902" s="4" t="str">
        <v/>
      </c>
      <c r="I18902" s="4" t="str">
        <v/>
      </c>
    </row>
    <row r="18903" spans="5:9" ht="16.5" hidden="1">
      <c r="E18903" s="4" t="str">
        <v/>
      </c>
      <c r="F18903" s="102" t="str">
        <f ca="1">IFERROR(__xludf.DUMMYFUNCTION("IMPORTRANGE(H18903,""IDENTITAS UNIT!D9"")"),"#N/A")</f>
        <v>#N/A</v>
      </c>
      <c r="H18903" s="4" t="str">
        <v/>
      </c>
      <c r="I18903" s="4" t="str">
        <v/>
      </c>
    </row>
    <row r="18904" spans="5:9" ht="16.5" hidden="1">
      <c r="E18904" s="4" t="str">
        <v/>
      </c>
      <c r="F18904" s="102" t="str">
        <f ca="1">IFERROR(__xludf.DUMMYFUNCTION("IMPORTRANGE(H18904,""IDENTITAS UNIT!D9"")"),"#N/A")</f>
        <v>#N/A</v>
      </c>
      <c r="H18904" s="4" t="str">
        <v/>
      </c>
      <c r="I18904" s="4" t="str">
        <v/>
      </c>
    </row>
    <row r="18905" spans="5:9" ht="16.5" hidden="1">
      <c r="E18905" s="4" t="str">
        <v/>
      </c>
      <c r="F18905" s="102" t="str">
        <f ca="1">IFERROR(__xludf.DUMMYFUNCTION("IMPORTRANGE(H18905,""IDENTITAS UNIT!D9"")"),"#N/A")</f>
        <v>#N/A</v>
      </c>
      <c r="H18905" s="4" t="str">
        <v/>
      </c>
      <c r="I18905" s="4" t="str">
        <v/>
      </c>
    </row>
    <row r="18906" spans="5:9" ht="16.5" hidden="1">
      <c r="E18906" s="4" t="str">
        <v/>
      </c>
      <c r="F18906" s="102" t="str">
        <f ca="1">IFERROR(__xludf.DUMMYFUNCTION("IMPORTRANGE(H18906,""IDENTITAS UNIT!D9"")"),"#N/A")</f>
        <v>#N/A</v>
      </c>
      <c r="H18906" s="4" t="str">
        <v/>
      </c>
      <c r="I18906" s="4" t="str">
        <v/>
      </c>
    </row>
    <row r="18907" spans="5:9" ht="16.5" hidden="1">
      <c r="E18907" s="4" t="str">
        <v/>
      </c>
      <c r="F18907" s="102" t="str">
        <f ca="1">IFERROR(__xludf.DUMMYFUNCTION("IMPORTRANGE(H18907,""IDENTITAS UNIT!D9"")"),"#N/A")</f>
        <v>#N/A</v>
      </c>
      <c r="H18907" s="4" t="str">
        <v/>
      </c>
      <c r="I18907" s="4" t="str">
        <v/>
      </c>
    </row>
    <row r="18908" spans="5:9" ht="16.5" hidden="1">
      <c r="E18908" s="4" t="str">
        <v/>
      </c>
      <c r="F18908" s="102" t="str">
        <f ca="1">IFERROR(__xludf.DUMMYFUNCTION("IMPORTRANGE(H18908,""IDENTITAS UNIT!D9"")"),"#N/A")</f>
        <v>#N/A</v>
      </c>
      <c r="H18908" s="4" t="str">
        <v/>
      </c>
      <c r="I18908" s="4" t="str">
        <v/>
      </c>
    </row>
    <row r="18909" spans="5:9" ht="16.5" hidden="1">
      <c r="E18909" s="4" t="str">
        <v/>
      </c>
      <c r="F18909" s="102" t="str">
        <f ca="1">IFERROR(__xludf.DUMMYFUNCTION("IMPORTRANGE(H18909,""IDENTITAS UNIT!D9"")"),"#N/A")</f>
        <v>#N/A</v>
      </c>
      <c r="H18909" s="4" t="str">
        <v/>
      </c>
      <c r="I18909" s="4" t="str">
        <v/>
      </c>
    </row>
    <row r="18910" spans="5:9" ht="16.5" hidden="1">
      <c r="E18910" s="4" t="str">
        <v/>
      </c>
      <c r="F18910" s="102" t="str">
        <f ca="1">IFERROR(__xludf.DUMMYFUNCTION("IMPORTRANGE(H18910,""IDENTITAS UNIT!D9"")"),"#N/A")</f>
        <v>#N/A</v>
      </c>
      <c r="H18910" s="4" t="str">
        <v/>
      </c>
      <c r="I18910" s="4" t="str">
        <v/>
      </c>
    </row>
    <row r="18911" spans="5:9" ht="16.5" hidden="1">
      <c r="E18911" s="4" t="str">
        <v/>
      </c>
      <c r="F18911" s="102" t="str">
        <f ca="1">IFERROR(__xludf.DUMMYFUNCTION("IMPORTRANGE(H18911,""IDENTITAS UNIT!D9"")"),"#N/A")</f>
        <v>#N/A</v>
      </c>
      <c r="H18911" s="4" t="str">
        <v/>
      </c>
      <c r="I18911" s="4" t="str">
        <v/>
      </c>
    </row>
    <row r="18912" spans="5:9" ht="16.5" hidden="1">
      <c r="E18912" s="4" t="str">
        <v/>
      </c>
      <c r="F18912" s="102" t="str">
        <f ca="1">IFERROR(__xludf.DUMMYFUNCTION("IMPORTRANGE(H18912,""IDENTITAS UNIT!D9"")"),"#N/A")</f>
        <v>#N/A</v>
      </c>
      <c r="H18912" s="4" t="str">
        <v/>
      </c>
      <c r="I18912" s="4" t="str">
        <v/>
      </c>
    </row>
    <row r="18913" spans="5:9" ht="16.5" hidden="1">
      <c r="E18913" s="4" t="str">
        <v/>
      </c>
      <c r="F18913" s="102" t="str">
        <f ca="1">IFERROR(__xludf.DUMMYFUNCTION("IMPORTRANGE(H18913,""IDENTITAS UNIT!D9"")"),"#N/A")</f>
        <v>#N/A</v>
      </c>
      <c r="H18913" s="4" t="str">
        <v/>
      </c>
      <c r="I18913" s="4" t="str">
        <v/>
      </c>
    </row>
    <row r="18914" spans="5:9" ht="16.5" hidden="1">
      <c r="E18914" s="4" t="str">
        <v/>
      </c>
      <c r="F18914" s="102" t="str">
        <f ca="1">IFERROR(__xludf.DUMMYFUNCTION("IMPORTRANGE(H18914,""IDENTITAS UNIT!D9"")"),"#N/A")</f>
        <v>#N/A</v>
      </c>
      <c r="H18914" s="4" t="str">
        <v/>
      </c>
      <c r="I18914" s="4" t="str">
        <v/>
      </c>
    </row>
    <row r="18915" spans="5:9" ht="16.5" hidden="1">
      <c r="E18915" s="4" t="str">
        <v/>
      </c>
      <c r="F18915" s="102" t="str">
        <f ca="1">IFERROR(__xludf.DUMMYFUNCTION("IMPORTRANGE(H18915,""IDENTITAS UNIT!D9"")"),"#N/A")</f>
        <v>#N/A</v>
      </c>
      <c r="H18915" s="4" t="str">
        <v/>
      </c>
      <c r="I18915" s="4" t="str">
        <v/>
      </c>
    </row>
    <row r="18916" spans="5:9" ht="16.5" hidden="1">
      <c r="E18916" s="4" t="str">
        <v/>
      </c>
      <c r="F18916" s="102" t="str">
        <f ca="1">IFERROR(__xludf.DUMMYFUNCTION("IMPORTRANGE(H18916,""IDENTITAS UNIT!D9"")"),"#N/A")</f>
        <v>#N/A</v>
      </c>
      <c r="H18916" s="4" t="str">
        <v/>
      </c>
      <c r="I18916" s="4" t="str">
        <v/>
      </c>
    </row>
    <row r="18917" spans="5:9" ht="16.5" hidden="1">
      <c r="E18917" s="4" t="str">
        <v/>
      </c>
      <c r="F18917" s="102" t="str">
        <f ca="1">IFERROR(__xludf.DUMMYFUNCTION("IMPORTRANGE(H18917,""IDENTITAS UNIT!D9"")"),"#N/A")</f>
        <v>#N/A</v>
      </c>
      <c r="H18917" s="4" t="str">
        <v/>
      </c>
      <c r="I18917" s="4" t="str">
        <v/>
      </c>
    </row>
    <row r="18918" spans="5:9" ht="16.5" hidden="1">
      <c r="E18918" s="4" t="str">
        <v/>
      </c>
      <c r="F18918" s="102" t="str">
        <f ca="1">IFERROR(__xludf.DUMMYFUNCTION("IMPORTRANGE(H18918,""IDENTITAS UNIT!D9"")"),"#N/A")</f>
        <v>#N/A</v>
      </c>
      <c r="H18918" s="4" t="str">
        <v/>
      </c>
      <c r="I18918" s="4" t="str">
        <v/>
      </c>
    </row>
    <row r="18919" spans="5:9" ht="16.5" hidden="1">
      <c r="E18919" s="4" t="str">
        <v/>
      </c>
      <c r="F18919" s="102" t="str">
        <f ca="1">IFERROR(__xludf.DUMMYFUNCTION("IMPORTRANGE(H18919,""IDENTITAS UNIT!D9"")"),"#N/A")</f>
        <v>#N/A</v>
      </c>
      <c r="H18919" s="4" t="str">
        <v/>
      </c>
      <c r="I18919" s="4" t="str">
        <v/>
      </c>
    </row>
    <row r="18920" spans="5:9" ht="16.5" hidden="1">
      <c r="E18920" s="4" t="str">
        <v/>
      </c>
      <c r="F18920" s="102" t="str">
        <f ca="1">IFERROR(__xludf.DUMMYFUNCTION("IMPORTRANGE(H18920,""IDENTITAS UNIT!D9"")"),"#N/A")</f>
        <v>#N/A</v>
      </c>
      <c r="H18920" s="4" t="str">
        <v/>
      </c>
      <c r="I18920" s="4" t="str">
        <v/>
      </c>
    </row>
    <row r="18921" spans="5:9" ht="16.5" hidden="1">
      <c r="E18921" s="4" t="str">
        <v/>
      </c>
      <c r="F18921" s="102" t="str">
        <f ca="1">IFERROR(__xludf.DUMMYFUNCTION("IMPORTRANGE(H18921,""IDENTITAS UNIT!D9"")"),"#N/A")</f>
        <v>#N/A</v>
      </c>
      <c r="H18921" s="4" t="str">
        <v/>
      </c>
      <c r="I18921" s="4" t="str">
        <v/>
      </c>
    </row>
    <row r="18922" spans="5:9" ht="16.5" hidden="1">
      <c r="E18922" s="4" t="str">
        <v/>
      </c>
      <c r="F18922" s="102" t="str">
        <f ca="1">IFERROR(__xludf.DUMMYFUNCTION("IMPORTRANGE(H18922,""IDENTITAS UNIT!D9"")"),"#N/A")</f>
        <v>#N/A</v>
      </c>
      <c r="H18922" s="4" t="str">
        <v/>
      </c>
      <c r="I18922" s="4" t="str">
        <v/>
      </c>
    </row>
    <row r="18923" spans="5:9" ht="16.5" hidden="1">
      <c r="E18923" s="4" t="str">
        <v/>
      </c>
      <c r="F18923" s="102" t="str">
        <f ca="1">IFERROR(__xludf.DUMMYFUNCTION("IMPORTRANGE(H18923,""IDENTITAS UNIT!D9"")"),"#N/A")</f>
        <v>#N/A</v>
      </c>
      <c r="H18923" s="4" t="str">
        <v/>
      </c>
      <c r="I18923" s="4" t="str">
        <v/>
      </c>
    </row>
    <row r="18924" spans="5:9" ht="16.5" hidden="1">
      <c r="E18924" s="4" t="str">
        <v/>
      </c>
      <c r="F18924" s="102" t="str">
        <f ca="1">IFERROR(__xludf.DUMMYFUNCTION("IMPORTRANGE(H18924,""IDENTITAS UNIT!D9"")"),"#N/A")</f>
        <v>#N/A</v>
      </c>
      <c r="H18924" s="4" t="str">
        <v/>
      </c>
      <c r="I18924" s="4" t="str">
        <v/>
      </c>
    </row>
    <row r="18925" spans="5:9" ht="16.5" hidden="1">
      <c r="E18925" s="4" t="str">
        <v/>
      </c>
      <c r="F18925" s="102" t="str">
        <f ca="1">IFERROR(__xludf.DUMMYFUNCTION("IMPORTRANGE(H18925,""IDENTITAS UNIT!D9"")"),"#N/A")</f>
        <v>#N/A</v>
      </c>
      <c r="H18925" s="4" t="str">
        <v/>
      </c>
      <c r="I18925" s="4" t="str">
        <v/>
      </c>
    </row>
    <row r="18926" spans="5:9" ht="16.5" hidden="1">
      <c r="E18926" s="4" t="str">
        <v/>
      </c>
      <c r="F18926" s="102" t="str">
        <f ca="1">IFERROR(__xludf.DUMMYFUNCTION("IMPORTRANGE(H18926,""IDENTITAS UNIT!D9"")"),"#N/A")</f>
        <v>#N/A</v>
      </c>
      <c r="H18926" s="4" t="str">
        <v/>
      </c>
      <c r="I18926" s="4" t="str">
        <v/>
      </c>
    </row>
    <row r="18927" spans="5:9" ht="16.5" hidden="1">
      <c r="E18927" s="4" t="str">
        <v/>
      </c>
      <c r="F18927" s="102" t="str">
        <f ca="1">IFERROR(__xludf.DUMMYFUNCTION("IMPORTRANGE(H18927,""IDENTITAS UNIT!D9"")"),"#N/A")</f>
        <v>#N/A</v>
      </c>
      <c r="H18927" s="4" t="str">
        <v/>
      </c>
      <c r="I18927" s="4" t="str">
        <v/>
      </c>
    </row>
    <row r="18928" spans="5:9" ht="16.5" hidden="1">
      <c r="E18928" s="4" t="str">
        <v/>
      </c>
      <c r="F18928" s="102" t="str">
        <f ca="1">IFERROR(__xludf.DUMMYFUNCTION("IMPORTRANGE(H18928,""IDENTITAS UNIT!D9"")"),"#N/A")</f>
        <v>#N/A</v>
      </c>
      <c r="H18928" s="4" t="str">
        <v/>
      </c>
      <c r="I18928" s="4" t="str">
        <v/>
      </c>
    </row>
    <row r="18929" spans="5:9" ht="16.5" hidden="1">
      <c r="E18929" s="4" t="str">
        <v/>
      </c>
      <c r="F18929" s="102" t="str">
        <f ca="1">IFERROR(__xludf.DUMMYFUNCTION("IMPORTRANGE(H18929,""IDENTITAS UNIT!D9"")"),"#N/A")</f>
        <v>#N/A</v>
      </c>
      <c r="H18929" s="4" t="str">
        <v/>
      </c>
      <c r="I18929" s="4" t="str">
        <v/>
      </c>
    </row>
    <row r="18930" spans="5:9" ht="16.5" hidden="1">
      <c r="E18930" s="4" t="str">
        <v/>
      </c>
      <c r="F18930" s="102" t="str">
        <f ca="1">IFERROR(__xludf.DUMMYFUNCTION("IMPORTRANGE(H18930,""IDENTITAS UNIT!D9"")"),"#N/A")</f>
        <v>#N/A</v>
      </c>
      <c r="H18930" s="4" t="str">
        <v/>
      </c>
      <c r="I18930" s="4" t="str">
        <v/>
      </c>
    </row>
    <row r="18931" spans="5:9" ht="16.5" hidden="1">
      <c r="E18931" s="4" t="str">
        <v/>
      </c>
      <c r="F18931" s="102" t="str">
        <f ca="1">IFERROR(__xludf.DUMMYFUNCTION("IMPORTRANGE(H18931,""IDENTITAS UNIT!D9"")"),"#N/A")</f>
        <v>#N/A</v>
      </c>
      <c r="H18931" s="4" t="str">
        <v/>
      </c>
      <c r="I18931" s="4" t="str">
        <v/>
      </c>
    </row>
    <row r="18932" spans="5:9" ht="16.5" hidden="1">
      <c r="E18932" s="4" t="str">
        <v/>
      </c>
      <c r="F18932" s="102" t="str">
        <f ca="1">IFERROR(__xludf.DUMMYFUNCTION("IMPORTRANGE(H18932,""IDENTITAS UNIT!D9"")"),"#N/A")</f>
        <v>#N/A</v>
      </c>
      <c r="H18932" s="4" t="str">
        <v/>
      </c>
      <c r="I18932" s="4" t="str">
        <v/>
      </c>
    </row>
    <row r="18933" spans="5:9" ht="16.5" hidden="1">
      <c r="E18933" s="4" t="str">
        <v/>
      </c>
      <c r="F18933" s="102" t="str">
        <f ca="1">IFERROR(__xludf.DUMMYFUNCTION("IMPORTRANGE(H18933,""IDENTITAS UNIT!D9"")"),"#N/A")</f>
        <v>#N/A</v>
      </c>
      <c r="H18933" s="4" t="str">
        <v/>
      </c>
      <c r="I18933" s="4" t="str">
        <v/>
      </c>
    </row>
    <row r="18934" spans="5:9" ht="16.5" hidden="1">
      <c r="E18934" s="4" t="str">
        <v/>
      </c>
      <c r="F18934" s="102" t="str">
        <f ca="1">IFERROR(__xludf.DUMMYFUNCTION("IMPORTRANGE(H18934,""IDENTITAS UNIT!D9"")"),"#N/A")</f>
        <v>#N/A</v>
      </c>
      <c r="H18934" s="4" t="str">
        <v/>
      </c>
      <c r="I18934" s="4" t="str">
        <v/>
      </c>
    </row>
    <row r="18935" spans="5:9" ht="16.5" hidden="1">
      <c r="E18935" s="4" t="str">
        <v/>
      </c>
      <c r="F18935" s="102" t="str">
        <f ca="1">IFERROR(__xludf.DUMMYFUNCTION("IMPORTRANGE(H18935,""IDENTITAS UNIT!D9"")"),"#N/A")</f>
        <v>#N/A</v>
      </c>
      <c r="H18935" s="4" t="str">
        <v/>
      </c>
      <c r="I18935" s="4" t="str">
        <v/>
      </c>
    </row>
    <row r="18936" spans="5:9" ht="16.5" hidden="1">
      <c r="E18936" s="4" t="str">
        <v/>
      </c>
      <c r="F18936" s="102" t="str">
        <f ca="1">IFERROR(__xludf.DUMMYFUNCTION("IMPORTRANGE(H18936,""IDENTITAS UNIT!D9"")"),"#N/A")</f>
        <v>#N/A</v>
      </c>
      <c r="H18936" s="4" t="str">
        <v/>
      </c>
      <c r="I18936" s="4" t="str">
        <v/>
      </c>
    </row>
    <row r="18937" spans="5:9" ht="16.5" hidden="1">
      <c r="E18937" s="4" t="str">
        <v/>
      </c>
      <c r="F18937" s="102" t="str">
        <f ca="1">IFERROR(__xludf.DUMMYFUNCTION("IMPORTRANGE(H18937,""IDENTITAS UNIT!D9"")"),"#N/A")</f>
        <v>#N/A</v>
      </c>
      <c r="H18937" s="4" t="str">
        <v/>
      </c>
      <c r="I18937" s="4" t="str">
        <v/>
      </c>
    </row>
    <row r="18938" spans="5:9" ht="16.5" hidden="1">
      <c r="E18938" s="4" t="str">
        <v/>
      </c>
      <c r="F18938" s="102" t="str">
        <f ca="1">IFERROR(__xludf.DUMMYFUNCTION("IMPORTRANGE(H18938,""IDENTITAS UNIT!D9"")"),"#N/A")</f>
        <v>#N/A</v>
      </c>
      <c r="H18938" s="4" t="str">
        <v/>
      </c>
      <c r="I18938" s="4" t="str">
        <v/>
      </c>
    </row>
    <row r="18939" spans="5:9" ht="16.5" hidden="1">
      <c r="E18939" s="4" t="str">
        <v/>
      </c>
      <c r="F18939" s="102" t="str">
        <f ca="1">IFERROR(__xludf.DUMMYFUNCTION("IMPORTRANGE(H18939,""IDENTITAS UNIT!D9"")"),"#N/A")</f>
        <v>#N/A</v>
      </c>
      <c r="H18939" s="4" t="str">
        <v/>
      </c>
      <c r="I18939" s="4" t="str">
        <v/>
      </c>
    </row>
    <row r="18940" spans="5:9" ht="16.5" hidden="1">
      <c r="E18940" s="4" t="str">
        <v/>
      </c>
      <c r="F18940" s="102" t="str">
        <f ca="1">IFERROR(__xludf.DUMMYFUNCTION("IMPORTRANGE(H18940,""IDENTITAS UNIT!D9"")"),"#N/A")</f>
        <v>#N/A</v>
      </c>
      <c r="H18940" s="4" t="str">
        <v/>
      </c>
      <c r="I18940" s="4" t="str">
        <v/>
      </c>
    </row>
    <row r="18941" spans="5:9" ht="16.5" hidden="1">
      <c r="E18941" s="4" t="str">
        <v/>
      </c>
      <c r="F18941" s="102" t="str">
        <f ca="1">IFERROR(__xludf.DUMMYFUNCTION("IMPORTRANGE(H18941,""IDENTITAS UNIT!D9"")"),"#N/A")</f>
        <v>#N/A</v>
      </c>
      <c r="H18941" s="4" t="str">
        <v/>
      </c>
      <c r="I18941" s="4" t="str">
        <v/>
      </c>
    </row>
    <row r="18942" spans="5:9" ht="16.5" hidden="1">
      <c r="E18942" s="4" t="str">
        <v/>
      </c>
      <c r="F18942" s="102" t="str">
        <f ca="1">IFERROR(__xludf.DUMMYFUNCTION("IMPORTRANGE(H18942,""IDENTITAS UNIT!D9"")"),"#N/A")</f>
        <v>#N/A</v>
      </c>
      <c r="H18942" s="4" t="str">
        <v/>
      </c>
      <c r="I18942" s="4" t="str">
        <v/>
      </c>
    </row>
    <row r="18943" spans="5:9" ht="16.5" hidden="1">
      <c r="E18943" s="4" t="str">
        <v/>
      </c>
      <c r="F18943" s="102" t="str">
        <f ca="1">IFERROR(__xludf.DUMMYFUNCTION("IMPORTRANGE(H18943,""IDENTITAS UNIT!D9"")"),"#N/A")</f>
        <v>#N/A</v>
      </c>
      <c r="H18943" s="4" t="str">
        <v/>
      </c>
      <c r="I18943" s="4" t="str">
        <v/>
      </c>
    </row>
    <row r="18944" spans="5:9" ht="16.5" hidden="1">
      <c r="E18944" s="4" t="str">
        <v/>
      </c>
      <c r="F18944" s="102" t="str">
        <f ca="1">IFERROR(__xludf.DUMMYFUNCTION("IMPORTRANGE(H18944,""IDENTITAS UNIT!D9"")"),"#N/A")</f>
        <v>#N/A</v>
      </c>
      <c r="H18944" s="4" t="str">
        <v/>
      </c>
      <c r="I18944" s="4" t="str">
        <v/>
      </c>
    </row>
    <row r="18945" spans="5:9" ht="16.5" hidden="1">
      <c r="E18945" s="4" t="str">
        <v/>
      </c>
      <c r="F18945" s="102" t="str">
        <f ca="1">IFERROR(__xludf.DUMMYFUNCTION("IMPORTRANGE(H18945,""IDENTITAS UNIT!D9"")"),"#N/A")</f>
        <v>#N/A</v>
      </c>
      <c r="H18945" s="4" t="str">
        <v/>
      </c>
      <c r="I18945" s="4" t="str">
        <v/>
      </c>
    </row>
    <row r="18946" spans="5:9" ht="16.5" hidden="1">
      <c r="E18946" s="4" t="str">
        <v/>
      </c>
      <c r="F18946" s="102" t="str">
        <f ca="1">IFERROR(__xludf.DUMMYFUNCTION("IMPORTRANGE(H18946,""IDENTITAS UNIT!D9"")"),"#N/A")</f>
        <v>#N/A</v>
      </c>
      <c r="H18946" s="4" t="str">
        <v/>
      </c>
      <c r="I18946" s="4" t="str">
        <v/>
      </c>
    </row>
    <row r="18947" spans="5:9" ht="16.5" hidden="1">
      <c r="E18947" s="4" t="str">
        <v/>
      </c>
      <c r="F18947" s="102" t="str">
        <f ca="1">IFERROR(__xludf.DUMMYFUNCTION("IMPORTRANGE(H18947,""IDENTITAS UNIT!D9"")"),"#N/A")</f>
        <v>#N/A</v>
      </c>
      <c r="H18947" s="4" t="str">
        <v/>
      </c>
      <c r="I18947" s="4" t="str">
        <v/>
      </c>
    </row>
    <row r="18948" spans="5:9" ht="16.5" hidden="1">
      <c r="E18948" s="4" t="str">
        <v/>
      </c>
      <c r="F18948" s="102" t="str">
        <f ca="1">IFERROR(__xludf.DUMMYFUNCTION("IMPORTRANGE(H18948,""IDENTITAS UNIT!D9"")"),"#N/A")</f>
        <v>#N/A</v>
      </c>
      <c r="H18948" s="4" t="str">
        <v/>
      </c>
      <c r="I18948" s="4" t="str">
        <v/>
      </c>
    </row>
    <row r="18949" spans="5:9" ht="16.5" hidden="1">
      <c r="E18949" s="4" t="str">
        <v/>
      </c>
      <c r="F18949" s="102" t="str">
        <f ca="1">IFERROR(__xludf.DUMMYFUNCTION("IMPORTRANGE(H18949,""IDENTITAS UNIT!D9"")"),"#N/A")</f>
        <v>#N/A</v>
      </c>
      <c r="H18949" s="4" t="str">
        <v/>
      </c>
      <c r="I18949" s="4" t="str">
        <v/>
      </c>
    </row>
    <row r="18950" spans="5:9" ht="16.5" hidden="1">
      <c r="E18950" s="4" t="str">
        <v/>
      </c>
      <c r="F18950" s="102" t="str">
        <f ca="1">IFERROR(__xludf.DUMMYFUNCTION("IMPORTRANGE(H18950,""IDENTITAS UNIT!D9"")"),"#N/A")</f>
        <v>#N/A</v>
      </c>
      <c r="H18950" s="4" t="str">
        <v/>
      </c>
      <c r="I18950" s="4" t="str">
        <v/>
      </c>
    </row>
    <row r="18951" spans="5:9" ht="16.5" hidden="1">
      <c r="E18951" s="4" t="str">
        <v/>
      </c>
      <c r="F18951" s="102" t="str">
        <f ca="1">IFERROR(__xludf.DUMMYFUNCTION("IMPORTRANGE(H18951,""IDENTITAS UNIT!D9"")"),"#N/A")</f>
        <v>#N/A</v>
      </c>
      <c r="H18951" s="4" t="str">
        <v/>
      </c>
      <c r="I18951" s="4" t="str">
        <v/>
      </c>
    </row>
    <row r="18952" spans="5:9" ht="16.5" hidden="1">
      <c r="E18952" s="4" t="str">
        <v/>
      </c>
      <c r="F18952" s="102" t="str">
        <f ca="1">IFERROR(__xludf.DUMMYFUNCTION("IMPORTRANGE(H18952,""IDENTITAS UNIT!D9"")"),"#N/A")</f>
        <v>#N/A</v>
      </c>
      <c r="H18952" s="4" t="str">
        <v/>
      </c>
      <c r="I18952" s="4" t="str">
        <v/>
      </c>
    </row>
    <row r="18953" spans="5:9" ht="16.5" hidden="1">
      <c r="E18953" s="4" t="str">
        <v/>
      </c>
      <c r="F18953" s="102" t="str">
        <f ca="1">IFERROR(__xludf.DUMMYFUNCTION("IMPORTRANGE(H18953,""IDENTITAS UNIT!D9"")"),"#N/A")</f>
        <v>#N/A</v>
      </c>
      <c r="H18953" s="4" t="str">
        <v/>
      </c>
      <c r="I18953" s="4" t="str">
        <v/>
      </c>
    </row>
    <row r="18954" spans="5:9" ht="16.5" hidden="1">
      <c r="E18954" s="4" t="str">
        <v/>
      </c>
      <c r="F18954" s="102" t="str">
        <f ca="1">IFERROR(__xludf.DUMMYFUNCTION("IMPORTRANGE(H18954,""IDENTITAS UNIT!D9"")"),"#N/A")</f>
        <v>#N/A</v>
      </c>
      <c r="H18954" s="4" t="str">
        <v/>
      </c>
      <c r="I18954" s="4" t="str">
        <v/>
      </c>
    </row>
    <row r="18955" spans="5:9" ht="16.5" hidden="1">
      <c r="E18955" s="4" t="str">
        <v/>
      </c>
      <c r="F18955" s="102" t="str">
        <f ca="1">IFERROR(__xludf.DUMMYFUNCTION("IMPORTRANGE(H18955,""IDENTITAS UNIT!D9"")"),"#N/A")</f>
        <v>#N/A</v>
      </c>
      <c r="H18955" s="4" t="str">
        <v/>
      </c>
      <c r="I18955" s="4" t="str">
        <v/>
      </c>
    </row>
    <row r="18956" spans="5:9" ht="16.5" hidden="1">
      <c r="E18956" s="4" t="str">
        <v/>
      </c>
      <c r="F18956" s="102" t="str">
        <f ca="1">IFERROR(__xludf.DUMMYFUNCTION("IMPORTRANGE(H18956,""IDENTITAS UNIT!D9"")"),"#N/A")</f>
        <v>#N/A</v>
      </c>
      <c r="H18956" s="4" t="str">
        <v/>
      </c>
      <c r="I18956" s="4" t="str">
        <v/>
      </c>
    </row>
    <row r="18957" spans="5:9" ht="16.5" hidden="1">
      <c r="E18957" s="4" t="str">
        <v/>
      </c>
      <c r="F18957" s="102" t="str">
        <f ca="1">IFERROR(__xludf.DUMMYFUNCTION("IMPORTRANGE(H18957,""IDENTITAS UNIT!D9"")"),"#N/A")</f>
        <v>#N/A</v>
      </c>
      <c r="H18957" s="4" t="str">
        <v/>
      </c>
      <c r="I18957" s="4" t="str">
        <v/>
      </c>
    </row>
    <row r="18958" spans="5:9" ht="16.5" hidden="1">
      <c r="E18958" s="4" t="str">
        <v/>
      </c>
      <c r="F18958" s="102" t="str">
        <f ca="1">IFERROR(__xludf.DUMMYFUNCTION("IMPORTRANGE(H18958,""IDENTITAS UNIT!D9"")"),"#N/A")</f>
        <v>#N/A</v>
      </c>
      <c r="H18958" s="4" t="str">
        <v/>
      </c>
      <c r="I18958" s="4" t="str">
        <v/>
      </c>
    </row>
    <row r="18959" spans="5:9" ht="16.5" hidden="1">
      <c r="E18959" s="4" t="str">
        <v/>
      </c>
      <c r="F18959" s="102" t="str">
        <f ca="1">IFERROR(__xludf.DUMMYFUNCTION("IMPORTRANGE(H18959,""IDENTITAS UNIT!D9"")"),"#N/A")</f>
        <v>#N/A</v>
      </c>
      <c r="H18959" s="4" t="str">
        <v/>
      </c>
      <c r="I18959" s="4" t="str">
        <v/>
      </c>
    </row>
    <row r="18960" spans="5:9" ht="16.5" hidden="1">
      <c r="E18960" s="4" t="str">
        <v/>
      </c>
      <c r="F18960" s="102" t="str">
        <f ca="1">IFERROR(__xludf.DUMMYFUNCTION("IMPORTRANGE(H18960,""IDENTITAS UNIT!D9"")"),"#N/A")</f>
        <v>#N/A</v>
      </c>
      <c r="H18960" s="4" t="str">
        <v/>
      </c>
      <c r="I18960" s="4" t="str">
        <v/>
      </c>
    </row>
    <row r="18961" spans="5:9" ht="16.5" hidden="1">
      <c r="E18961" s="4" t="str">
        <v/>
      </c>
      <c r="F18961" s="102" t="str">
        <f ca="1">IFERROR(__xludf.DUMMYFUNCTION("IMPORTRANGE(H18961,""IDENTITAS UNIT!D9"")"),"#N/A")</f>
        <v>#N/A</v>
      </c>
      <c r="H18961" s="4" t="str">
        <v/>
      </c>
      <c r="I18961" s="4" t="str">
        <v/>
      </c>
    </row>
    <row r="18962" spans="5:9" ht="16.5" hidden="1">
      <c r="E18962" s="4" t="str">
        <v/>
      </c>
      <c r="F18962" s="102" t="str">
        <f ca="1">IFERROR(__xludf.DUMMYFUNCTION("IMPORTRANGE(H18962,""IDENTITAS UNIT!D9"")"),"#N/A")</f>
        <v>#N/A</v>
      </c>
      <c r="H18962" s="4" t="str">
        <v/>
      </c>
      <c r="I18962" s="4" t="str">
        <v/>
      </c>
    </row>
    <row r="18963" spans="5:9" ht="16.5" hidden="1">
      <c r="E18963" s="4" t="str">
        <v/>
      </c>
      <c r="F18963" s="102" t="str">
        <f ca="1">IFERROR(__xludf.DUMMYFUNCTION("IMPORTRANGE(H18963,""IDENTITAS UNIT!D9"")"),"#N/A")</f>
        <v>#N/A</v>
      </c>
      <c r="H18963" s="4" t="str">
        <v/>
      </c>
      <c r="I18963" s="4" t="str">
        <v/>
      </c>
    </row>
    <row r="18964" spans="5:9" ht="16.5" hidden="1">
      <c r="E18964" s="4" t="str">
        <v/>
      </c>
      <c r="F18964" s="102" t="str">
        <f ca="1">IFERROR(__xludf.DUMMYFUNCTION("IMPORTRANGE(H18964,""IDENTITAS UNIT!D9"")"),"#N/A")</f>
        <v>#N/A</v>
      </c>
      <c r="H18964" s="4" t="str">
        <v/>
      </c>
      <c r="I18964" s="4" t="str">
        <v/>
      </c>
    </row>
    <row r="18965" spans="5:9" ht="16.5" hidden="1">
      <c r="E18965" s="4" t="str">
        <v/>
      </c>
      <c r="F18965" s="102" t="str">
        <f ca="1">IFERROR(__xludf.DUMMYFUNCTION("IMPORTRANGE(H18965,""IDENTITAS UNIT!D9"")"),"#N/A")</f>
        <v>#N/A</v>
      </c>
      <c r="H18965" s="4" t="str">
        <v/>
      </c>
      <c r="I18965" s="4" t="str">
        <v/>
      </c>
    </row>
    <row r="18966" spans="5:9" ht="16.5" hidden="1">
      <c r="E18966" s="4" t="str">
        <v/>
      </c>
      <c r="F18966" s="102" t="str">
        <f ca="1">IFERROR(__xludf.DUMMYFUNCTION("IMPORTRANGE(H18966,""IDENTITAS UNIT!D9"")"),"#N/A")</f>
        <v>#N/A</v>
      </c>
      <c r="H18966" s="4" t="str">
        <v/>
      </c>
      <c r="I18966" s="4" t="str">
        <v/>
      </c>
    </row>
    <row r="18967" spans="5:9" ht="16.5" hidden="1">
      <c r="E18967" s="4" t="str">
        <v/>
      </c>
      <c r="F18967" s="102" t="str">
        <f ca="1">IFERROR(__xludf.DUMMYFUNCTION("IMPORTRANGE(H18967,""IDENTITAS UNIT!D9"")"),"#N/A")</f>
        <v>#N/A</v>
      </c>
      <c r="H18967" s="4" t="str">
        <v/>
      </c>
      <c r="I18967" s="4" t="str">
        <v/>
      </c>
    </row>
    <row r="18968" spans="5:9" ht="16.5" hidden="1">
      <c r="E18968" s="4" t="str">
        <v/>
      </c>
      <c r="F18968" s="102" t="str">
        <f ca="1">IFERROR(__xludf.DUMMYFUNCTION("IMPORTRANGE(H18968,""IDENTITAS UNIT!D9"")"),"#N/A")</f>
        <v>#N/A</v>
      </c>
      <c r="H18968" s="4" t="str">
        <v/>
      </c>
      <c r="I18968" s="4" t="str">
        <v/>
      </c>
    </row>
    <row r="18969" spans="5:9" ht="16.5" hidden="1">
      <c r="E18969" s="4" t="str">
        <v/>
      </c>
      <c r="F18969" s="102" t="str">
        <f ca="1">IFERROR(__xludf.DUMMYFUNCTION("IMPORTRANGE(H18969,""IDENTITAS UNIT!D9"")"),"#N/A")</f>
        <v>#N/A</v>
      </c>
      <c r="H18969" s="4" t="str">
        <v/>
      </c>
      <c r="I18969" s="4" t="str">
        <v/>
      </c>
    </row>
    <row r="18970" spans="5:9" ht="16.5" hidden="1">
      <c r="E18970" s="4" t="str">
        <v/>
      </c>
      <c r="F18970" s="102" t="str">
        <f ca="1">IFERROR(__xludf.DUMMYFUNCTION("IMPORTRANGE(H18970,""IDENTITAS UNIT!D9"")"),"#N/A")</f>
        <v>#N/A</v>
      </c>
      <c r="H18970" s="4" t="str">
        <v/>
      </c>
      <c r="I18970" s="4" t="str">
        <v/>
      </c>
    </row>
    <row r="18971" spans="5:9" ht="16.5" hidden="1">
      <c r="E18971" s="4" t="str">
        <v/>
      </c>
      <c r="F18971" s="102" t="str">
        <f ca="1">IFERROR(__xludf.DUMMYFUNCTION("IMPORTRANGE(H18971,""IDENTITAS UNIT!D9"")"),"#N/A")</f>
        <v>#N/A</v>
      </c>
      <c r="H18971" s="4" t="str">
        <v/>
      </c>
      <c r="I18971" s="4" t="str">
        <v/>
      </c>
    </row>
    <row r="18972" spans="5:9" ht="16.5" hidden="1">
      <c r="E18972" s="4" t="str">
        <v/>
      </c>
      <c r="F18972" s="102" t="str">
        <f ca="1">IFERROR(__xludf.DUMMYFUNCTION("IMPORTRANGE(H18972,""IDENTITAS UNIT!D9"")"),"#N/A")</f>
        <v>#N/A</v>
      </c>
      <c r="H18972" s="4" t="str">
        <v/>
      </c>
      <c r="I18972" s="4" t="str">
        <v/>
      </c>
    </row>
    <row r="18973" spans="5:9" ht="16.5" hidden="1">
      <c r="E18973" s="4" t="str">
        <v/>
      </c>
      <c r="F18973" s="102" t="str">
        <f ca="1">IFERROR(__xludf.DUMMYFUNCTION("IMPORTRANGE(H18973,""IDENTITAS UNIT!D9"")"),"#N/A")</f>
        <v>#N/A</v>
      </c>
      <c r="H18973" s="4" t="str">
        <v/>
      </c>
      <c r="I18973" s="4" t="str">
        <v/>
      </c>
    </row>
    <row r="18974" spans="5:9" ht="16.5" hidden="1">
      <c r="E18974" s="4" t="str">
        <v/>
      </c>
      <c r="F18974" s="102" t="str">
        <f ca="1">IFERROR(__xludf.DUMMYFUNCTION("IMPORTRANGE(H18974,""IDENTITAS UNIT!D9"")"),"#N/A")</f>
        <v>#N/A</v>
      </c>
      <c r="H18974" s="4" t="str">
        <v/>
      </c>
      <c r="I18974" s="4" t="str">
        <v/>
      </c>
    </row>
    <row r="18975" spans="5:9" ht="16.5" hidden="1">
      <c r="E18975" s="4" t="str">
        <v/>
      </c>
      <c r="F18975" s="102" t="str">
        <f ca="1">IFERROR(__xludf.DUMMYFUNCTION("IMPORTRANGE(H18975,""IDENTITAS UNIT!D9"")"),"#N/A")</f>
        <v>#N/A</v>
      </c>
      <c r="H18975" s="4" t="str">
        <v/>
      </c>
      <c r="I18975" s="4" t="str">
        <v/>
      </c>
    </row>
    <row r="18976" spans="5:9" ht="16.5" hidden="1">
      <c r="E18976" s="4" t="str">
        <v/>
      </c>
      <c r="F18976" s="102" t="str">
        <f ca="1">IFERROR(__xludf.DUMMYFUNCTION("IMPORTRANGE(H18976,""IDENTITAS UNIT!D9"")"),"#N/A")</f>
        <v>#N/A</v>
      </c>
      <c r="H18976" s="4" t="str">
        <v/>
      </c>
      <c r="I18976" s="4" t="str">
        <v/>
      </c>
    </row>
    <row r="18977" spans="5:9" ht="16.5" hidden="1">
      <c r="E18977" s="4" t="str">
        <v/>
      </c>
      <c r="F18977" s="102" t="str">
        <f ca="1">IFERROR(__xludf.DUMMYFUNCTION("IMPORTRANGE(H18977,""IDENTITAS UNIT!D9"")"),"#N/A")</f>
        <v>#N/A</v>
      </c>
      <c r="H18977" s="4" t="str">
        <v/>
      </c>
      <c r="I18977" s="4" t="str">
        <v/>
      </c>
    </row>
    <row r="18978" spans="5:9" ht="16.5" hidden="1">
      <c r="E18978" s="4" t="str">
        <v/>
      </c>
      <c r="F18978" s="102" t="str">
        <f ca="1">IFERROR(__xludf.DUMMYFUNCTION("IMPORTRANGE(H18978,""IDENTITAS UNIT!D9"")"),"#N/A")</f>
        <v>#N/A</v>
      </c>
      <c r="H18978" s="4" t="str">
        <v/>
      </c>
      <c r="I18978" s="4" t="str">
        <v/>
      </c>
    </row>
    <row r="18979" spans="5:9" ht="16.5" hidden="1">
      <c r="E18979" s="4" t="str">
        <v/>
      </c>
      <c r="F18979" s="102" t="str">
        <f ca="1">IFERROR(__xludf.DUMMYFUNCTION("IMPORTRANGE(H18979,""IDENTITAS UNIT!D9"")"),"#N/A")</f>
        <v>#N/A</v>
      </c>
      <c r="H18979" s="4" t="str">
        <v/>
      </c>
      <c r="I18979" s="4" t="str">
        <v/>
      </c>
    </row>
    <row r="18980" spans="5:9" ht="16.5" hidden="1">
      <c r="E18980" s="4" t="str">
        <v/>
      </c>
      <c r="F18980" s="102" t="str">
        <f ca="1">IFERROR(__xludf.DUMMYFUNCTION("IMPORTRANGE(H18980,""IDENTITAS UNIT!D9"")"),"#N/A")</f>
        <v>#N/A</v>
      </c>
      <c r="H18980" s="4" t="str">
        <v/>
      </c>
      <c r="I18980" s="4" t="str">
        <v/>
      </c>
    </row>
    <row r="18981" spans="5:9" ht="16.5" hidden="1">
      <c r="E18981" s="4" t="str">
        <v/>
      </c>
      <c r="F18981" s="102" t="str">
        <f ca="1">IFERROR(__xludf.DUMMYFUNCTION("IMPORTRANGE(H18981,""IDENTITAS UNIT!D9"")"),"#N/A")</f>
        <v>#N/A</v>
      </c>
      <c r="H18981" s="4" t="str">
        <v/>
      </c>
      <c r="I18981" s="4" t="str">
        <v/>
      </c>
    </row>
    <row r="18982" spans="5:9" ht="16.5" hidden="1">
      <c r="E18982" s="4" t="str">
        <v/>
      </c>
      <c r="F18982" s="102" t="str">
        <f ca="1">IFERROR(__xludf.DUMMYFUNCTION("IMPORTRANGE(H18982,""IDENTITAS UNIT!D9"")"),"#N/A")</f>
        <v>#N/A</v>
      </c>
      <c r="H18982" s="4" t="str">
        <v/>
      </c>
      <c r="I18982" s="4" t="str">
        <v/>
      </c>
    </row>
    <row r="18983" spans="5:9" ht="16.5" hidden="1">
      <c r="E18983" s="4" t="str">
        <v/>
      </c>
      <c r="F18983" s="102" t="str">
        <f ca="1">IFERROR(__xludf.DUMMYFUNCTION("IMPORTRANGE(H18983,""IDENTITAS UNIT!D9"")"),"#N/A")</f>
        <v>#N/A</v>
      </c>
      <c r="H18983" s="4" t="str">
        <v/>
      </c>
      <c r="I18983" s="4" t="str">
        <v/>
      </c>
    </row>
    <row r="18984" spans="5:9" ht="16.5" hidden="1">
      <c r="E18984" s="4" t="str">
        <v/>
      </c>
      <c r="F18984" s="102" t="str">
        <f ca="1">IFERROR(__xludf.DUMMYFUNCTION("IMPORTRANGE(H18984,""IDENTITAS UNIT!D9"")"),"#N/A")</f>
        <v>#N/A</v>
      </c>
      <c r="H18984" s="4" t="str">
        <v/>
      </c>
      <c r="I18984" s="4" t="str">
        <v/>
      </c>
    </row>
    <row r="18985" spans="5:9" ht="16.5" hidden="1">
      <c r="E18985" s="4" t="str">
        <v/>
      </c>
      <c r="F18985" s="102" t="str">
        <f ca="1">IFERROR(__xludf.DUMMYFUNCTION("IMPORTRANGE(H18985,""IDENTITAS UNIT!D9"")"),"#N/A")</f>
        <v>#N/A</v>
      </c>
      <c r="H18985" s="4" t="str">
        <v/>
      </c>
      <c r="I18985" s="4" t="str">
        <v/>
      </c>
    </row>
    <row r="18986" spans="5:9" ht="16.5" hidden="1">
      <c r="E18986" s="4" t="str">
        <v/>
      </c>
      <c r="F18986" s="102" t="str">
        <f ca="1">IFERROR(__xludf.DUMMYFUNCTION("IMPORTRANGE(H18986,""IDENTITAS UNIT!D9"")"),"#N/A")</f>
        <v>#N/A</v>
      </c>
      <c r="H18986" s="4" t="str">
        <v/>
      </c>
      <c r="I18986" s="4" t="str">
        <v/>
      </c>
    </row>
    <row r="18987" spans="5:9" ht="16.5" hidden="1">
      <c r="E18987" s="4" t="str">
        <v/>
      </c>
      <c r="F18987" s="102" t="str">
        <f ca="1">IFERROR(__xludf.DUMMYFUNCTION("IMPORTRANGE(H18987,""IDENTITAS UNIT!D9"")"),"#N/A")</f>
        <v>#N/A</v>
      </c>
      <c r="H18987" s="4" t="str">
        <v/>
      </c>
      <c r="I18987" s="4" t="str">
        <v/>
      </c>
    </row>
    <row r="18988" spans="5:9" ht="16.5" hidden="1">
      <c r="E18988" s="4" t="str">
        <v/>
      </c>
      <c r="F18988" s="102" t="str">
        <f ca="1">IFERROR(__xludf.DUMMYFUNCTION("IMPORTRANGE(H18988,""IDENTITAS UNIT!D9"")"),"#N/A")</f>
        <v>#N/A</v>
      </c>
      <c r="H18988" s="4" t="str">
        <v/>
      </c>
      <c r="I18988" s="4" t="str">
        <v/>
      </c>
    </row>
    <row r="18989" spans="5:9" ht="16.5" hidden="1">
      <c r="E18989" s="4" t="str">
        <v/>
      </c>
      <c r="F18989" s="102" t="str">
        <f ca="1">IFERROR(__xludf.DUMMYFUNCTION("IMPORTRANGE(H18989,""IDENTITAS UNIT!D9"")"),"#N/A")</f>
        <v>#N/A</v>
      </c>
      <c r="H18989" s="4" t="str">
        <v/>
      </c>
      <c r="I18989" s="4" t="str">
        <v/>
      </c>
    </row>
    <row r="18990" spans="5:9" ht="16.5" hidden="1">
      <c r="E18990" s="4" t="str">
        <v/>
      </c>
      <c r="F18990" s="102" t="str">
        <f ca="1">IFERROR(__xludf.DUMMYFUNCTION("IMPORTRANGE(H18990,""IDENTITAS UNIT!D9"")"),"#N/A")</f>
        <v>#N/A</v>
      </c>
      <c r="H18990" s="4" t="str">
        <v/>
      </c>
      <c r="I18990" s="4" t="str">
        <v/>
      </c>
    </row>
    <row r="18991" spans="5:9" ht="16.5" hidden="1">
      <c r="E18991" s="4" t="str">
        <v/>
      </c>
      <c r="F18991" s="102" t="str">
        <f ca="1">IFERROR(__xludf.DUMMYFUNCTION("IMPORTRANGE(H18991,""IDENTITAS UNIT!D9"")"),"#N/A")</f>
        <v>#N/A</v>
      </c>
      <c r="H18991" s="4" t="str">
        <v/>
      </c>
      <c r="I18991" s="4" t="str">
        <v/>
      </c>
    </row>
    <row r="18992" spans="5:9" ht="16.5" hidden="1">
      <c r="E18992" s="4" t="str">
        <v/>
      </c>
      <c r="F18992" s="102" t="str">
        <f ca="1">IFERROR(__xludf.DUMMYFUNCTION("IMPORTRANGE(H18992,""IDENTITAS UNIT!D9"")"),"#N/A")</f>
        <v>#N/A</v>
      </c>
      <c r="H18992" s="4" t="str">
        <v/>
      </c>
      <c r="I18992" s="4" t="str">
        <v/>
      </c>
    </row>
    <row r="18993" spans="5:9" ht="16.5" hidden="1">
      <c r="E18993" s="4" t="str">
        <v/>
      </c>
      <c r="F18993" s="102" t="str">
        <f ca="1">IFERROR(__xludf.DUMMYFUNCTION("IMPORTRANGE(H18993,""IDENTITAS UNIT!D9"")"),"#N/A")</f>
        <v>#N/A</v>
      </c>
      <c r="H18993" s="4" t="str">
        <v/>
      </c>
      <c r="I18993" s="4" t="str">
        <v/>
      </c>
    </row>
    <row r="18994" spans="5:9" ht="16.5" hidden="1">
      <c r="E18994" s="4" t="str">
        <v/>
      </c>
      <c r="F18994" s="102" t="str">
        <f ca="1">IFERROR(__xludf.DUMMYFUNCTION("IMPORTRANGE(H18994,""IDENTITAS UNIT!D9"")"),"#N/A")</f>
        <v>#N/A</v>
      </c>
      <c r="H18994" s="4" t="str">
        <v/>
      </c>
      <c r="I18994" s="4" t="str">
        <v/>
      </c>
    </row>
    <row r="18995" spans="5:9" ht="16.5" hidden="1">
      <c r="E18995" s="4" t="str">
        <v/>
      </c>
      <c r="F18995" s="102" t="str">
        <f ca="1">IFERROR(__xludf.DUMMYFUNCTION("IMPORTRANGE(H18995,""IDENTITAS UNIT!D9"")"),"#N/A")</f>
        <v>#N/A</v>
      </c>
      <c r="H18995" s="4" t="str">
        <v/>
      </c>
      <c r="I18995" s="4" t="str">
        <v/>
      </c>
    </row>
    <row r="18996" spans="5:9" ht="16.5" hidden="1">
      <c r="E18996" s="4" t="str">
        <v/>
      </c>
      <c r="F18996" s="102" t="str">
        <f ca="1">IFERROR(__xludf.DUMMYFUNCTION("IMPORTRANGE(H18996,""IDENTITAS UNIT!D9"")"),"#N/A")</f>
        <v>#N/A</v>
      </c>
      <c r="H18996" s="4" t="str">
        <v/>
      </c>
      <c r="I18996" s="4" t="str">
        <v/>
      </c>
    </row>
    <row r="18997" spans="5:9" ht="16.5" hidden="1">
      <c r="E18997" s="4" t="str">
        <v/>
      </c>
      <c r="F18997" s="102" t="str">
        <f ca="1">IFERROR(__xludf.DUMMYFUNCTION("IMPORTRANGE(H18997,""IDENTITAS UNIT!D9"")"),"#N/A")</f>
        <v>#N/A</v>
      </c>
      <c r="H18997" s="4" t="str">
        <v/>
      </c>
      <c r="I18997" s="4" t="str">
        <v/>
      </c>
    </row>
    <row r="18998" spans="5:9" ht="16.5" hidden="1">
      <c r="E18998" s="4" t="str">
        <v/>
      </c>
      <c r="F18998" s="102" t="str">
        <f ca="1">IFERROR(__xludf.DUMMYFUNCTION("IMPORTRANGE(H18998,""IDENTITAS UNIT!D9"")"),"#N/A")</f>
        <v>#N/A</v>
      </c>
      <c r="H18998" s="4" t="str">
        <v/>
      </c>
      <c r="I18998" s="4" t="str">
        <v/>
      </c>
    </row>
    <row r="18999" spans="5:9" ht="16.5" hidden="1">
      <c r="E18999" s="4" t="str">
        <v/>
      </c>
      <c r="F18999" s="102" t="str">
        <f ca="1">IFERROR(__xludf.DUMMYFUNCTION("IMPORTRANGE(H18999,""IDENTITAS UNIT!D9"")"),"#N/A")</f>
        <v>#N/A</v>
      </c>
      <c r="H18999" s="4" t="str">
        <v/>
      </c>
      <c r="I18999" s="4" t="str">
        <v/>
      </c>
    </row>
    <row r="19000" spans="5:9" ht="16.5" hidden="1">
      <c r="E19000" s="4" t="str">
        <v/>
      </c>
      <c r="F19000" s="102" t="str">
        <f ca="1">IFERROR(__xludf.DUMMYFUNCTION("IMPORTRANGE(H19000,""IDENTITAS UNIT!D9"")"),"#N/A")</f>
        <v>#N/A</v>
      </c>
      <c r="H19000" s="4" t="str">
        <v/>
      </c>
      <c r="I19000" s="4" t="str">
        <v/>
      </c>
    </row>
    <row r="19001" spans="5:9" ht="16.5" hidden="1">
      <c r="E19001" s="4" t="str">
        <v/>
      </c>
      <c r="F19001" s="102" t="str">
        <f ca="1">IFERROR(__xludf.DUMMYFUNCTION("IMPORTRANGE(H19001,""IDENTITAS UNIT!D9"")"),"#N/A")</f>
        <v>#N/A</v>
      </c>
      <c r="H19001" s="4" t="str">
        <v/>
      </c>
      <c r="I19001" s="4" t="str">
        <v/>
      </c>
    </row>
    <row r="19002" spans="5:9" ht="16.5" hidden="1">
      <c r="E19002" s="4" t="str">
        <v/>
      </c>
      <c r="F19002" s="102" t="str">
        <f ca="1">IFERROR(__xludf.DUMMYFUNCTION("IMPORTRANGE(H19002,""IDENTITAS UNIT!D9"")"),"#N/A")</f>
        <v>#N/A</v>
      </c>
      <c r="H19002" s="4" t="str">
        <v/>
      </c>
      <c r="I19002" s="4" t="str">
        <v/>
      </c>
    </row>
    <row r="19003" spans="5:9" ht="16.5" hidden="1">
      <c r="E19003" s="4" t="str">
        <v/>
      </c>
      <c r="F19003" s="102" t="str">
        <f ca="1">IFERROR(__xludf.DUMMYFUNCTION("IMPORTRANGE(H19003,""IDENTITAS UNIT!D9"")"),"#N/A")</f>
        <v>#N/A</v>
      </c>
      <c r="H19003" s="4" t="str">
        <v/>
      </c>
      <c r="I19003" s="4" t="str">
        <v/>
      </c>
    </row>
    <row r="19004" spans="5:9" ht="16.5" hidden="1">
      <c r="E19004" s="4" t="str">
        <v/>
      </c>
      <c r="F19004" s="102" t="str">
        <f ca="1">IFERROR(__xludf.DUMMYFUNCTION("IMPORTRANGE(H19004,""IDENTITAS UNIT!D9"")"),"#N/A")</f>
        <v>#N/A</v>
      </c>
      <c r="H19004" s="4" t="str">
        <v/>
      </c>
      <c r="I19004" s="4" t="str">
        <v/>
      </c>
    </row>
    <row r="19005" spans="5:9" ht="16.5" hidden="1">
      <c r="E19005" s="4" t="str">
        <v/>
      </c>
      <c r="F19005" s="102" t="str">
        <f ca="1">IFERROR(__xludf.DUMMYFUNCTION("IMPORTRANGE(H19005,""IDENTITAS UNIT!D9"")"),"#N/A")</f>
        <v>#N/A</v>
      </c>
      <c r="H19005" s="4" t="str">
        <v/>
      </c>
      <c r="I19005" s="4" t="str">
        <v/>
      </c>
    </row>
    <row r="19006" spans="5:9" ht="16.5" hidden="1">
      <c r="E19006" s="4" t="str">
        <v/>
      </c>
      <c r="F19006" s="102" t="str">
        <f ca="1">IFERROR(__xludf.DUMMYFUNCTION("IMPORTRANGE(H19006,""IDENTITAS UNIT!D9"")"),"#N/A")</f>
        <v>#N/A</v>
      </c>
      <c r="H19006" s="4" t="str">
        <v/>
      </c>
      <c r="I19006" s="4" t="str">
        <v/>
      </c>
    </row>
    <row r="19007" spans="5:9" ht="16.5" hidden="1">
      <c r="E19007" s="4" t="str">
        <v/>
      </c>
      <c r="F19007" s="102" t="str">
        <f ca="1">IFERROR(__xludf.DUMMYFUNCTION("IMPORTRANGE(H19007,""IDENTITAS UNIT!D9"")"),"#N/A")</f>
        <v>#N/A</v>
      </c>
      <c r="H19007" s="4" t="str">
        <v/>
      </c>
      <c r="I19007" s="4" t="str">
        <v/>
      </c>
    </row>
    <row r="19008" spans="5:9" ht="16.5" hidden="1">
      <c r="E19008" s="4" t="str">
        <v/>
      </c>
      <c r="F19008" s="102" t="str">
        <f ca="1">IFERROR(__xludf.DUMMYFUNCTION("IMPORTRANGE(H19008,""IDENTITAS UNIT!D9"")"),"#N/A")</f>
        <v>#N/A</v>
      </c>
      <c r="H19008" s="4" t="str">
        <v/>
      </c>
      <c r="I19008" s="4" t="str">
        <v/>
      </c>
    </row>
    <row r="19009" spans="5:9" ht="16.5" hidden="1">
      <c r="E19009" s="4" t="str">
        <v/>
      </c>
      <c r="F19009" s="102" t="str">
        <f ca="1">IFERROR(__xludf.DUMMYFUNCTION("IMPORTRANGE(H19009,""IDENTITAS UNIT!D9"")"),"#N/A")</f>
        <v>#N/A</v>
      </c>
      <c r="H19009" s="4" t="str">
        <v/>
      </c>
      <c r="I19009" s="4" t="str">
        <v/>
      </c>
    </row>
    <row r="19010" spans="5:9" ht="16.5" hidden="1">
      <c r="E19010" s="4" t="str">
        <v/>
      </c>
      <c r="F19010" s="102" t="str">
        <f ca="1">IFERROR(__xludf.DUMMYFUNCTION("IMPORTRANGE(H19010,""IDENTITAS UNIT!D9"")"),"#N/A")</f>
        <v>#N/A</v>
      </c>
      <c r="H19010" s="4" t="str">
        <v/>
      </c>
      <c r="I19010" s="4" t="str">
        <v/>
      </c>
    </row>
    <row r="19011" spans="5:9" ht="16.5" hidden="1">
      <c r="E19011" s="4" t="str">
        <v/>
      </c>
      <c r="F19011" s="102" t="str">
        <f ca="1">IFERROR(__xludf.DUMMYFUNCTION("IMPORTRANGE(H19011,""IDENTITAS UNIT!D9"")"),"#N/A")</f>
        <v>#N/A</v>
      </c>
      <c r="H19011" s="4" t="str">
        <v/>
      </c>
      <c r="I19011" s="4" t="str">
        <v/>
      </c>
    </row>
    <row r="19012" spans="5:9" ht="16.5" hidden="1">
      <c r="E19012" s="4" t="str">
        <v/>
      </c>
      <c r="F19012" s="102" t="str">
        <f ca="1">IFERROR(__xludf.DUMMYFUNCTION("IMPORTRANGE(H19012,""IDENTITAS UNIT!D9"")"),"#N/A")</f>
        <v>#N/A</v>
      </c>
      <c r="H19012" s="4" t="str">
        <v/>
      </c>
      <c r="I19012" s="4" t="str">
        <v/>
      </c>
    </row>
    <row r="19013" spans="5:9" ht="16.5" hidden="1">
      <c r="E19013" s="4" t="str">
        <v/>
      </c>
      <c r="F19013" s="102" t="str">
        <f ca="1">IFERROR(__xludf.DUMMYFUNCTION("IMPORTRANGE(H19013,""IDENTITAS UNIT!D9"")"),"#N/A")</f>
        <v>#N/A</v>
      </c>
      <c r="H19013" s="4" t="str">
        <v/>
      </c>
      <c r="I19013" s="4" t="str">
        <v/>
      </c>
    </row>
    <row r="19014" spans="5:9" ht="16.5" hidden="1">
      <c r="E19014" s="4" t="str">
        <v/>
      </c>
      <c r="F19014" s="102" t="str">
        <f ca="1">IFERROR(__xludf.DUMMYFUNCTION("IMPORTRANGE(H19014,""IDENTITAS UNIT!D9"")"),"#N/A")</f>
        <v>#N/A</v>
      </c>
      <c r="H19014" s="4" t="str">
        <v/>
      </c>
      <c r="I19014" s="4" t="str">
        <v/>
      </c>
    </row>
    <row r="19015" spans="5:9" ht="16.5" hidden="1">
      <c r="E19015" s="4" t="str">
        <v/>
      </c>
      <c r="F19015" s="102" t="str">
        <f ca="1">IFERROR(__xludf.DUMMYFUNCTION("IMPORTRANGE(H19015,""IDENTITAS UNIT!D9"")"),"#N/A")</f>
        <v>#N/A</v>
      </c>
      <c r="H19015" s="4" t="str">
        <v/>
      </c>
      <c r="I19015" s="4" t="str">
        <v/>
      </c>
    </row>
    <row r="19016" spans="5:9" ht="16.5" hidden="1">
      <c r="E19016" s="4" t="str">
        <v/>
      </c>
      <c r="F19016" s="102" t="str">
        <f ca="1">IFERROR(__xludf.DUMMYFUNCTION("IMPORTRANGE(H19016,""IDENTITAS UNIT!D9"")"),"#N/A")</f>
        <v>#N/A</v>
      </c>
      <c r="H19016" s="4" t="str">
        <v/>
      </c>
      <c r="I19016" s="4" t="str">
        <v/>
      </c>
    </row>
    <row r="19017" spans="5:9" ht="16.5" hidden="1">
      <c r="E19017" s="4" t="str">
        <v/>
      </c>
      <c r="F19017" s="102" t="str">
        <f ca="1">IFERROR(__xludf.DUMMYFUNCTION("IMPORTRANGE(H19017,""IDENTITAS UNIT!D9"")"),"#N/A")</f>
        <v>#N/A</v>
      </c>
      <c r="H19017" s="4" t="str">
        <v/>
      </c>
      <c r="I19017" s="4" t="str">
        <v/>
      </c>
    </row>
    <row r="19018" spans="5:9" ht="16.5" hidden="1">
      <c r="E19018" s="4" t="str">
        <v/>
      </c>
      <c r="F19018" s="102" t="str">
        <f ca="1">IFERROR(__xludf.DUMMYFUNCTION("IMPORTRANGE(H19018,""IDENTITAS UNIT!D9"")"),"#N/A")</f>
        <v>#N/A</v>
      </c>
      <c r="H19018" s="4" t="str">
        <v/>
      </c>
      <c r="I19018" s="4" t="str">
        <v/>
      </c>
    </row>
    <row r="19019" spans="5:9" ht="16.5" hidden="1">
      <c r="E19019" s="4" t="str">
        <v/>
      </c>
      <c r="F19019" s="102" t="str">
        <f ca="1">IFERROR(__xludf.DUMMYFUNCTION("IMPORTRANGE(H19019,""IDENTITAS UNIT!D9"")"),"#N/A")</f>
        <v>#N/A</v>
      </c>
      <c r="H19019" s="4" t="str">
        <v/>
      </c>
      <c r="I19019" s="4" t="str">
        <v/>
      </c>
    </row>
    <row r="19020" spans="5:9" ht="16.5" hidden="1">
      <c r="E19020" s="4" t="str">
        <v/>
      </c>
      <c r="F19020" s="102" t="str">
        <f ca="1">IFERROR(__xludf.DUMMYFUNCTION("IMPORTRANGE(H19020,""IDENTITAS UNIT!D9"")"),"#N/A")</f>
        <v>#N/A</v>
      </c>
      <c r="H19020" s="4" t="str">
        <v/>
      </c>
      <c r="I19020" s="4" t="str">
        <v/>
      </c>
    </row>
    <row r="19021" spans="5:9" ht="16.5" hidden="1">
      <c r="E19021" s="4" t="str">
        <v/>
      </c>
      <c r="F19021" s="102" t="str">
        <f ca="1">IFERROR(__xludf.DUMMYFUNCTION("IMPORTRANGE(H19021,""IDENTITAS UNIT!D9"")"),"#N/A")</f>
        <v>#N/A</v>
      </c>
      <c r="H19021" s="4" t="str">
        <v/>
      </c>
      <c r="I19021" s="4" t="str">
        <v/>
      </c>
    </row>
    <row r="19022" spans="5:9" ht="16.5" hidden="1">
      <c r="E19022" s="4" t="str">
        <v/>
      </c>
      <c r="F19022" s="102" t="str">
        <f ca="1">IFERROR(__xludf.DUMMYFUNCTION("IMPORTRANGE(H19022,""IDENTITAS UNIT!D9"")"),"#N/A")</f>
        <v>#N/A</v>
      </c>
      <c r="H19022" s="4" t="str">
        <v/>
      </c>
      <c r="I19022" s="4" t="str">
        <v/>
      </c>
    </row>
    <row r="19023" spans="5:9" ht="16.5" hidden="1">
      <c r="E19023" s="4" t="str">
        <v/>
      </c>
      <c r="F19023" s="102" t="str">
        <f ca="1">IFERROR(__xludf.DUMMYFUNCTION("IMPORTRANGE(H19023,""IDENTITAS UNIT!D9"")"),"#N/A")</f>
        <v>#N/A</v>
      </c>
      <c r="H19023" s="4" t="str">
        <v/>
      </c>
      <c r="I19023" s="4" t="str">
        <v/>
      </c>
    </row>
    <row r="19024" spans="5:9" ht="16.5" hidden="1">
      <c r="E19024" s="4" t="str">
        <v/>
      </c>
      <c r="F19024" s="102" t="str">
        <f ca="1">IFERROR(__xludf.DUMMYFUNCTION("IMPORTRANGE(H19024,""IDENTITAS UNIT!D9"")"),"#N/A")</f>
        <v>#N/A</v>
      </c>
      <c r="H19024" s="4" t="str">
        <v/>
      </c>
      <c r="I19024" s="4" t="str">
        <v/>
      </c>
    </row>
    <row r="19025" spans="5:9" ht="16.5" hidden="1">
      <c r="E19025" s="4" t="str">
        <v/>
      </c>
      <c r="F19025" s="102" t="str">
        <f ca="1">IFERROR(__xludf.DUMMYFUNCTION("IMPORTRANGE(H19025,""IDENTITAS UNIT!D9"")"),"#N/A")</f>
        <v>#N/A</v>
      </c>
      <c r="H19025" s="4" t="str">
        <v/>
      </c>
      <c r="I19025" s="4" t="str">
        <v/>
      </c>
    </row>
    <row r="19026" spans="5:9" ht="16.5" hidden="1">
      <c r="E19026" s="4" t="str">
        <v/>
      </c>
      <c r="F19026" s="102" t="str">
        <f ca="1">IFERROR(__xludf.DUMMYFUNCTION("IMPORTRANGE(H19026,""IDENTITAS UNIT!D9"")"),"#N/A")</f>
        <v>#N/A</v>
      </c>
      <c r="H19026" s="4" t="str">
        <v/>
      </c>
      <c r="I19026" s="4" t="str">
        <v/>
      </c>
    </row>
    <row r="19027" spans="5:9" ht="16.5" hidden="1">
      <c r="E19027" s="4" t="str">
        <v/>
      </c>
      <c r="F19027" s="102" t="str">
        <f ca="1">IFERROR(__xludf.DUMMYFUNCTION("IMPORTRANGE(H19027,""IDENTITAS UNIT!D9"")"),"#N/A")</f>
        <v>#N/A</v>
      </c>
      <c r="H19027" s="4" t="str">
        <v/>
      </c>
      <c r="I19027" s="4" t="str">
        <v/>
      </c>
    </row>
    <row r="19028" spans="5:9" ht="16.5" hidden="1">
      <c r="E19028" s="4" t="str">
        <v/>
      </c>
      <c r="F19028" s="102" t="str">
        <f ca="1">IFERROR(__xludf.DUMMYFUNCTION("IMPORTRANGE(H19028,""IDENTITAS UNIT!D9"")"),"#N/A")</f>
        <v>#N/A</v>
      </c>
      <c r="H19028" s="4" t="str">
        <v/>
      </c>
      <c r="I19028" s="4" t="str">
        <v/>
      </c>
    </row>
    <row r="19029" spans="5:9" ht="16.5" hidden="1">
      <c r="E19029" s="4" t="str">
        <v/>
      </c>
      <c r="F19029" s="102" t="str">
        <f ca="1">IFERROR(__xludf.DUMMYFUNCTION("IMPORTRANGE(H19029,""IDENTITAS UNIT!D9"")"),"#N/A")</f>
        <v>#N/A</v>
      </c>
      <c r="H19029" s="4" t="str">
        <v/>
      </c>
      <c r="I19029" s="4" t="str">
        <v/>
      </c>
    </row>
    <row r="19030" spans="5:9" ht="16.5" hidden="1">
      <c r="E19030" s="4" t="str">
        <v/>
      </c>
      <c r="F19030" s="102" t="str">
        <f ca="1">IFERROR(__xludf.DUMMYFUNCTION("IMPORTRANGE(H19030,""IDENTITAS UNIT!D9"")"),"#N/A")</f>
        <v>#N/A</v>
      </c>
      <c r="H19030" s="4" t="str">
        <v/>
      </c>
      <c r="I19030" s="4" t="str">
        <v/>
      </c>
    </row>
    <row r="19031" spans="5:9" ht="16.5" hidden="1">
      <c r="E19031" s="4" t="str">
        <v/>
      </c>
      <c r="F19031" s="102" t="str">
        <f ca="1">IFERROR(__xludf.DUMMYFUNCTION("IMPORTRANGE(H19031,""IDENTITAS UNIT!D9"")"),"#N/A")</f>
        <v>#N/A</v>
      </c>
      <c r="H19031" s="4" t="str">
        <v/>
      </c>
      <c r="I19031" s="4" t="str">
        <v/>
      </c>
    </row>
    <row r="19032" spans="5:9" ht="16.5" hidden="1">
      <c r="E19032" s="4" t="str">
        <v/>
      </c>
      <c r="F19032" s="102" t="str">
        <f ca="1">IFERROR(__xludf.DUMMYFUNCTION("IMPORTRANGE(H19032,""IDENTITAS UNIT!D9"")"),"#N/A")</f>
        <v>#N/A</v>
      </c>
      <c r="H19032" s="4" t="str">
        <v/>
      </c>
      <c r="I19032" s="4" t="str">
        <v/>
      </c>
    </row>
    <row r="19033" spans="5:9" ht="16.5" hidden="1">
      <c r="E19033" s="4" t="str">
        <v/>
      </c>
      <c r="F19033" s="102" t="str">
        <f ca="1">IFERROR(__xludf.DUMMYFUNCTION("IMPORTRANGE(H19033,""IDENTITAS UNIT!D9"")"),"#N/A")</f>
        <v>#N/A</v>
      </c>
      <c r="H19033" s="4" t="str">
        <v/>
      </c>
      <c r="I19033" s="4" t="str">
        <v/>
      </c>
    </row>
    <row r="19034" spans="5:9" ht="16.5" hidden="1">
      <c r="E19034" s="4" t="str">
        <v/>
      </c>
      <c r="F19034" s="102" t="str">
        <f ca="1">IFERROR(__xludf.DUMMYFUNCTION("IMPORTRANGE(H19034,""IDENTITAS UNIT!D9"")"),"#N/A")</f>
        <v>#N/A</v>
      </c>
      <c r="H19034" s="4" t="str">
        <v/>
      </c>
      <c r="I19034" s="4" t="str">
        <v/>
      </c>
    </row>
    <row r="19035" spans="5:9" ht="16.5" hidden="1">
      <c r="E19035" s="4" t="str">
        <v/>
      </c>
      <c r="F19035" s="102" t="str">
        <f ca="1">IFERROR(__xludf.DUMMYFUNCTION("IMPORTRANGE(H19035,""IDENTITAS UNIT!D9"")"),"#N/A")</f>
        <v>#N/A</v>
      </c>
      <c r="H19035" s="4" t="str">
        <v/>
      </c>
      <c r="I19035" s="4" t="str">
        <v/>
      </c>
    </row>
    <row r="19036" spans="5:9" ht="16.5" hidden="1">
      <c r="E19036" s="4" t="str">
        <v/>
      </c>
      <c r="F19036" s="102" t="str">
        <f ca="1">IFERROR(__xludf.DUMMYFUNCTION("IMPORTRANGE(H19036,""IDENTITAS UNIT!D9"")"),"#N/A")</f>
        <v>#N/A</v>
      </c>
      <c r="H19036" s="4" t="str">
        <v/>
      </c>
      <c r="I19036" s="4" t="str">
        <v/>
      </c>
    </row>
    <row r="19037" spans="5:9" ht="16.5" hidden="1">
      <c r="E19037" s="4" t="str">
        <v/>
      </c>
      <c r="F19037" s="102" t="str">
        <f ca="1">IFERROR(__xludf.DUMMYFUNCTION("IMPORTRANGE(H19037,""IDENTITAS UNIT!D9"")"),"#N/A")</f>
        <v>#N/A</v>
      </c>
      <c r="H19037" s="4" t="str">
        <v/>
      </c>
      <c r="I19037" s="4" t="str">
        <v/>
      </c>
    </row>
    <row r="19038" spans="5:9" ht="16.5" hidden="1">
      <c r="E19038" s="4" t="str">
        <v/>
      </c>
      <c r="F19038" s="102" t="str">
        <f ca="1">IFERROR(__xludf.DUMMYFUNCTION("IMPORTRANGE(H19038,""IDENTITAS UNIT!D9"")"),"#N/A")</f>
        <v>#N/A</v>
      </c>
      <c r="H19038" s="4" t="str">
        <v/>
      </c>
      <c r="I19038" s="4" t="str">
        <v/>
      </c>
    </row>
    <row r="19039" spans="5:9" ht="16.5" hidden="1">
      <c r="E19039" s="4" t="str">
        <v/>
      </c>
      <c r="F19039" s="102" t="str">
        <f ca="1">IFERROR(__xludf.DUMMYFUNCTION("IMPORTRANGE(H19039,""IDENTITAS UNIT!D9"")"),"#N/A")</f>
        <v>#N/A</v>
      </c>
      <c r="H19039" s="4" t="str">
        <v/>
      </c>
      <c r="I19039" s="4" t="str">
        <v/>
      </c>
    </row>
    <row r="19040" spans="5:9" ht="16.5" hidden="1">
      <c r="E19040" s="4" t="str">
        <v/>
      </c>
      <c r="F19040" s="102" t="str">
        <f ca="1">IFERROR(__xludf.DUMMYFUNCTION("IMPORTRANGE(H19040,""IDENTITAS UNIT!D9"")"),"#N/A")</f>
        <v>#N/A</v>
      </c>
      <c r="H19040" s="4" t="str">
        <v/>
      </c>
      <c r="I19040" s="4" t="str">
        <v/>
      </c>
    </row>
    <row r="19041" spans="5:9" ht="16.5" hidden="1">
      <c r="E19041" s="4" t="str">
        <v/>
      </c>
      <c r="F19041" s="102" t="str">
        <f ca="1">IFERROR(__xludf.DUMMYFUNCTION("IMPORTRANGE(H19041,""IDENTITAS UNIT!D9"")"),"#N/A")</f>
        <v>#N/A</v>
      </c>
      <c r="H19041" s="4" t="str">
        <v/>
      </c>
      <c r="I19041" s="4" t="str">
        <v/>
      </c>
    </row>
    <row r="19042" spans="5:9" ht="16.5" hidden="1">
      <c r="E19042" s="4" t="str">
        <v/>
      </c>
      <c r="F19042" s="102" t="str">
        <f ca="1">IFERROR(__xludf.DUMMYFUNCTION("IMPORTRANGE(H19042,""IDENTITAS UNIT!D9"")"),"#N/A")</f>
        <v>#N/A</v>
      </c>
      <c r="H19042" s="4" t="str">
        <v/>
      </c>
      <c r="I19042" s="4" t="str">
        <v/>
      </c>
    </row>
    <row r="19043" spans="5:9" ht="16.5" hidden="1">
      <c r="E19043" s="4" t="str">
        <v/>
      </c>
      <c r="F19043" s="102" t="str">
        <f ca="1">IFERROR(__xludf.DUMMYFUNCTION("IMPORTRANGE(H19043,""IDENTITAS UNIT!D9"")"),"#N/A")</f>
        <v>#N/A</v>
      </c>
      <c r="H19043" s="4" t="str">
        <v/>
      </c>
      <c r="I19043" s="4" t="str">
        <v/>
      </c>
    </row>
    <row r="19044" spans="5:9" ht="16.5" hidden="1">
      <c r="E19044" s="4" t="str">
        <v/>
      </c>
      <c r="F19044" s="102" t="str">
        <f ca="1">IFERROR(__xludf.DUMMYFUNCTION("IMPORTRANGE(H19044,""IDENTITAS UNIT!D9"")"),"#N/A")</f>
        <v>#N/A</v>
      </c>
      <c r="H19044" s="4" t="str">
        <v/>
      </c>
      <c r="I19044" s="4" t="str">
        <v/>
      </c>
    </row>
    <row r="19045" spans="5:9" ht="16.5" hidden="1">
      <c r="E19045" s="4" t="str">
        <v/>
      </c>
      <c r="F19045" s="102" t="str">
        <f ca="1">IFERROR(__xludf.DUMMYFUNCTION("IMPORTRANGE(H19045,""IDENTITAS UNIT!D9"")"),"#N/A")</f>
        <v>#N/A</v>
      </c>
      <c r="H19045" s="4" t="str">
        <v/>
      </c>
      <c r="I19045" s="4" t="str">
        <v/>
      </c>
    </row>
    <row r="19046" spans="5:9" ht="16.5" hidden="1">
      <c r="E19046" s="4" t="str">
        <v/>
      </c>
      <c r="F19046" s="102" t="str">
        <f ca="1">IFERROR(__xludf.DUMMYFUNCTION("IMPORTRANGE(H19046,""IDENTITAS UNIT!D9"")"),"#N/A")</f>
        <v>#N/A</v>
      </c>
      <c r="H19046" s="4" t="str">
        <v/>
      </c>
      <c r="I19046" s="4" t="str">
        <v/>
      </c>
    </row>
    <row r="19047" spans="5:9" ht="16.5" hidden="1">
      <c r="E19047" s="4" t="str">
        <v/>
      </c>
      <c r="F19047" s="102" t="str">
        <f ca="1">IFERROR(__xludf.DUMMYFUNCTION("IMPORTRANGE(H19047,""IDENTITAS UNIT!D9"")"),"#N/A")</f>
        <v>#N/A</v>
      </c>
      <c r="H19047" s="4" t="str">
        <v/>
      </c>
      <c r="I19047" s="4" t="str">
        <v/>
      </c>
    </row>
    <row r="19048" spans="5:9" ht="16.5" hidden="1">
      <c r="E19048" s="4" t="str">
        <v/>
      </c>
      <c r="F19048" s="102" t="str">
        <f ca="1">IFERROR(__xludf.DUMMYFUNCTION("IMPORTRANGE(H19048,""IDENTITAS UNIT!D9"")"),"#N/A")</f>
        <v>#N/A</v>
      </c>
      <c r="H19048" s="4" t="str">
        <v/>
      </c>
      <c r="I19048" s="4" t="str">
        <v/>
      </c>
    </row>
    <row r="19049" spans="5:9" ht="16.5" hidden="1">
      <c r="E19049" s="4" t="str">
        <v/>
      </c>
      <c r="F19049" s="102" t="str">
        <f ca="1">IFERROR(__xludf.DUMMYFUNCTION("IMPORTRANGE(H19049,""IDENTITAS UNIT!D9"")"),"#N/A")</f>
        <v>#N/A</v>
      </c>
      <c r="H19049" s="4" t="str">
        <v/>
      </c>
      <c r="I19049" s="4" t="str">
        <v/>
      </c>
    </row>
    <row r="19050" spans="5:9" ht="16.5" hidden="1">
      <c r="E19050" s="4" t="str">
        <v/>
      </c>
      <c r="F19050" s="102" t="str">
        <f ca="1">IFERROR(__xludf.DUMMYFUNCTION("IMPORTRANGE(H19050,""IDENTITAS UNIT!D9"")"),"#N/A")</f>
        <v>#N/A</v>
      </c>
      <c r="H19050" s="4" t="str">
        <v/>
      </c>
      <c r="I19050" s="4" t="str">
        <v/>
      </c>
    </row>
    <row r="19051" spans="5:9" ht="16.5" hidden="1">
      <c r="E19051" s="4" t="str">
        <v/>
      </c>
      <c r="F19051" s="102" t="str">
        <f ca="1">IFERROR(__xludf.DUMMYFUNCTION("IMPORTRANGE(H19051,""IDENTITAS UNIT!D9"")"),"#N/A")</f>
        <v>#N/A</v>
      </c>
      <c r="H19051" s="4" t="str">
        <v/>
      </c>
      <c r="I19051" s="4" t="str">
        <v/>
      </c>
    </row>
    <row r="19052" spans="5:9" ht="16.5" hidden="1">
      <c r="E19052" s="4" t="str">
        <v/>
      </c>
      <c r="F19052" s="102" t="str">
        <f ca="1">IFERROR(__xludf.DUMMYFUNCTION("IMPORTRANGE(H19052,""IDENTITAS UNIT!D9"")"),"#N/A")</f>
        <v>#N/A</v>
      </c>
      <c r="H19052" s="4" t="str">
        <v/>
      </c>
      <c r="I19052" s="4" t="str">
        <v/>
      </c>
    </row>
    <row r="19053" spans="5:9" ht="16.5" hidden="1">
      <c r="E19053" s="4" t="str">
        <v/>
      </c>
      <c r="F19053" s="102" t="str">
        <f ca="1">IFERROR(__xludf.DUMMYFUNCTION("IMPORTRANGE(H19053,""IDENTITAS UNIT!D9"")"),"#N/A")</f>
        <v>#N/A</v>
      </c>
      <c r="H19053" s="4" t="str">
        <v/>
      </c>
      <c r="I19053" s="4" t="str">
        <v/>
      </c>
    </row>
    <row r="19054" spans="5:9" ht="16.5" hidden="1">
      <c r="E19054" s="4" t="str">
        <v/>
      </c>
      <c r="F19054" s="102" t="str">
        <f ca="1">IFERROR(__xludf.DUMMYFUNCTION("IMPORTRANGE(H19054,""IDENTITAS UNIT!D9"")"),"#N/A")</f>
        <v>#N/A</v>
      </c>
      <c r="H19054" s="4" t="str">
        <v/>
      </c>
      <c r="I19054" s="4" t="str">
        <v/>
      </c>
    </row>
    <row r="19055" spans="5:9" ht="16.5" hidden="1">
      <c r="E19055" s="4" t="str">
        <v/>
      </c>
      <c r="F19055" s="102" t="str">
        <f ca="1">IFERROR(__xludf.DUMMYFUNCTION("IMPORTRANGE(H19055,""IDENTITAS UNIT!D9"")"),"#N/A")</f>
        <v>#N/A</v>
      </c>
      <c r="H19055" s="4" t="str">
        <v/>
      </c>
      <c r="I19055" s="4" t="str">
        <v/>
      </c>
    </row>
    <row r="19056" spans="5:9" ht="16.5" hidden="1">
      <c r="E19056" s="4" t="str">
        <v/>
      </c>
      <c r="F19056" s="102" t="str">
        <f ca="1">IFERROR(__xludf.DUMMYFUNCTION("IMPORTRANGE(H19056,""IDENTITAS UNIT!D9"")"),"#N/A")</f>
        <v>#N/A</v>
      </c>
      <c r="H19056" s="4" t="str">
        <v/>
      </c>
      <c r="I19056" s="4" t="str">
        <v/>
      </c>
    </row>
    <row r="19057" spans="5:9" ht="16.5" hidden="1">
      <c r="E19057" s="4" t="str">
        <v/>
      </c>
      <c r="F19057" s="102" t="str">
        <f ca="1">IFERROR(__xludf.DUMMYFUNCTION("IMPORTRANGE(H19057,""IDENTITAS UNIT!D9"")"),"#N/A")</f>
        <v>#N/A</v>
      </c>
      <c r="H19057" s="4" t="str">
        <v/>
      </c>
      <c r="I19057" s="4" t="str">
        <v/>
      </c>
    </row>
    <row r="19058" spans="5:9" ht="16.5" hidden="1">
      <c r="E19058" s="4" t="str">
        <v/>
      </c>
      <c r="F19058" s="102" t="str">
        <f ca="1">IFERROR(__xludf.DUMMYFUNCTION("IMPORTRANGE(H19058,""IDENTITAS UNIT!D9"")"),"#N/A")</f>
        <v>#N/A</v>
      </c>
      <c r="H19058" s="4" t="str">
        <v/>
      </c>
      <c r="I19058" s="4" t="str">
        <v/>
      </c>
    </row>
    <row r="19059" spans="5:9" ht="16.5" hidden="1">
      <c r="E19059" s="4" t="str">
        <v/>
      </c>
      <c r="F19059" s="102" t="str">
        <f ca="1">IFERROR(__xludf.DUMMYFUNCTION("IMPORTRANGE(H19059,""IDENTITAS UNIT!D9"")"),"#N/A")</f>
        <v>#N/A</v>
      </c>
      <c r="H19059" s="4" t="str">
        <v/>
      </c>
      <c r="I19059" s="4" t="str">
        <v/>
      </c>
    </row>
    <row r="19060" spans="5:9" ht="16.5" hidden="1">
      <c r="E19060" s="4" t="str">
        <v/>
      </c>
      <c r="F19060" s="102" t="str">
        <f ca="1">IFERROR(__xludf.DUMMYFUNCTION("IMPORTRANGE(H19060,""IDENTITAS UNIT!D9"")"),"#N/A")</f>
        <v>#N/A</v>
      </c>
      <c r="H19060" s="4" t="str">
        <v/>
      </c>
      <c r="I19060" s="4" t="str">
        <v/>
      </c>
    </row>
    <row r="19061" spans="5:9" ht="16.5" hidden="1">
      <c r="E19061" s="4" t="str">
        <v/>
      </c>
      <c r="F19061" s="102" t="str">
        <f ca="1">IFERROR(__xludf.DUMMYFUNCTION("IMPORTRANGE(H19061,""IDENTITAS UNIT!D9"")"),"#N/A")</f>
        <v>#N/A</v>
      </c>
      <c r="H19061" s="4" t="str">
        <v/>
      </c>
      <c r="I19061" s="4" t="str">
        <v/>
      </c>
    </row>
    <row r="19062" spans="5:9" ht="16.5" hidden="1">
      <c r="E19062" s="4" t="str">
        <v/>
      </c>
      <c r="F19062" s="102" t="str">
        <f ca="1">IFERROR(__xludf.DUMMYFUNCTION("IMPORTRANGE(H19062,""IDENTITAS UNIT!D9"")"),"#N/A")</f>
        <v>#N/A</v>
      </c>
      <c r="H19062" s="4" t="str">
        <v/>
      </c>
      <c r="I19062" s="4" t="str">
        <v/>
      </c>
    </row>
    <row r="19063" spans="5:9" ht="16.5" hidden="1">
      <c r="E19063" s="4" t="str">
        <v/>
      </c>
      <c r="F19063" s="102" t="str">
        <f ca="1">IFERROR(__xludf.DUMMYFUNCTION("IMPORTRANGE(H19063,""IDENTITAS UNIT!D9"")"),"#N/A")</f>
        <v>#N/A</v>
      </c>
      <c r="H19063" s="4" t="str">
        <v/>
      </c>
      <c r="I19063" s="4" t="str">
        <v/>
      </c>
    </row>
    <row r="19064" spans="5:9" ht="16.5" hidden="1">
      <c r="E19064" s="4" t="str">
        <v/>
      </c>
      <c r="F19064" s="102" t="str">
        <f ca="1">IFERROR(__xludf.DUMMYFUNCTION("IMPORTRANGE(H19064,""IDENTITAS UNIT!D9"")"),"#N/A")</f>
        <v>#N/A</v>
      </c>
      <c r="H19064" s="4" t="str">
        <v/>
      </c>
      <c r="I19064" s="4" t="str">
        <v/>
      </c>
    </row>
    <row r="19065" spans="5:9" ht="16.5" hidden="1">
      <c r="E19065" s="4" t="str">
        <v/>
      </c>
      <c r="F19065" s="102" t="str">
        <f ca="1">IFERROR(__xludf.DUMMYFUNCTION("IMPORTRANGE(H19065,""IDENTITAS UNIT!D9"")"),"#N/A")</f>
        <v>#N/A</v>
      </c>
      <c r="H19065" s="4" t="str">
        <v/>
      </c>
      <c r="I19065" s="4" t="str">
        <v/>
      </c>
    </row>
    <row r="19066" spans="5:9" ht="16.5" hidden="1">
      <c r="E19066" s="4" t="str">
        <v/>
      </c>
      <c r="F19066" s="102" t="str">
        <f ca="1">IFERROR(__xludf.DUMMYFUNCTION("IMPORTRANGE(H19066,""IDENTITAS UNIT!D9"")"),"#N/A")</f>
        <v>#N/A</v>
      </c>
      <c r="H19066" s="4" t="str">
        <v/>
      </c>
      <c r="I19066" s="4" t="str">
        <v/>
      </c>
    </row>
    <row r="19067" spans="5:9" ht="16.5" hidden="1">
      <c r="E19067" s="4" t="str">
        <v/>
      </c>
      <c r="F19067" s="102" t="str">
        <f ca="1">IFERROR(__xludf.DUMMYFUNCTION("IMPORTRANGE(H19067,""IDENTITAS UNIT!D9"")"),"#N/A")</f>
        <v>#N/A</v>
      </c>
      <c r="H19067" s="4" t="str">
        <v/>
      </c>
      <c r="I19067" s="4" t="str">
        <v/>
      </c>
    </row>
    <row r="19068" spans="5:9" ht="16.5" hidden="1">
      <c r="E19068" s="4" t="str">
        <v/>
      </c>
      <c r="F19068" s="102" t="str">
        <f ca="1">IFERROR(__xludf.DUMMYFUNCTION("IMPORTRANGE(H19068,""IDENTITAS UNIT!D9"")"),"#N/A")</f>
        <v>#N/A</v>
      </c>
      <c r="H19068" s="4" t="str">
        <v/>
      </c>
      <c r="I19068" s="4" t="str">
        <v/>
      </c>
    </row>
    <row r="19069" spans="5:9" ht="16.5" hidden="1">
      <c r="E19069" s="4" t="str">
        <v/>
      </c>
      <c r="F19069" s="102" t="str">
        <f ca="1">IFERROR(__xludf.DUMMYFUNCTION("IMPORTRANGE(H19069,""IDENTITAS UNIT!D9"")"),"#N/A")</f>
        <v>#N/A</v>
      </c>
      <c r="H19069" s="4" t="str">
        <v/>
      </c>
      <c r="I19069" s="4" t="str">
        <v/>
      </c>
    </row>
    <row r="19070" spans="5:9" ht="16.5" hidden="1">
      <c r="E19070" s="4" t="str">
        <v/>
      </c>
      <c r="F19070" s="102" t="str">
        <f ca="1">IFERROR(__xludf.DUMMYFUNCTION("IMPORTRANGE(H19070,""IDENTITAS UNIT!D9"")"),"#N/A")</f>
        <v>#N/A</v>
      </c>
      <c r="H19070" s="4" t="str">
        <v/>
      </c>
      <c r="I19070" s="4" t="str">
        <v/>
      </c>
    </row>
    <row r="19071" spans="5:9" ht="16.5" hidden="1">
      <c r="E19071" s="4" t="str">
        <v/>
      </c>
      <c r="F19071" s="102" t="str">
        <f ca="1">IFERROR(__xludf.DUMMYFUNCTION("IMPORTRANGE(H19071,""IDENTITAS UNIT!D9"")"),"#N/A")</f>
        <v>#N/A</v>
      </c>
      <c r="H19071" s="4" t="str">
        <v/>
      </c>
      <c r="I19071" s="4" t="str">
        <v/>
      </c>
    </row>
    <row r="19072" spans="5:9" ht="16.5" hidden="1">
      <c r="E19072" s="4" t="str">
        <v/>
      </c>
      <c r="F19072" s="102" t="str">
        <f ca="1">IFERROR(__xludf.DUMMYFUNCTION("IMPORTRANGE(H19072,""IDENTITAS UNIT!D9"")"),"#N/A")</f>
        <v>#N/A</v>
      </c>
      <c r="H19072" s="4" t="str">
        <v/>
      </c>
      <c r="I19072" s="4" t="str">
        <v/>
      </c>
    </row>
    <row r="19073" spans="5:9" ht="16.5" hidden="1">
      <c r="E19073" s="4" t="str">
        <v/>
      </c>
      <c r="F19073" s="102" t="str">
        <f ca="1">IFERROR(__xludf.DUMMYFUNCTION("IMPORTRANGE(H19073,""IDENTITAS UNIT!D9"")"),"#N/A")</f>
        <v>#N/A</v>
      </c>
      <c r="H19073" s="4" t="str">
        <v/>
      </c>
      <c r="I19073" s="4" t="str">
        <v/>
      </c>
    </row>
    <row r="19074" spans="5:9" ht="16.5" hidden="1">
      <c r="E19074" s="4" t="str">
        <v/>
      </c>
      <c r="F19074" s="102" t="str">
        <f ca="1">IFERROR(__xludf.DUMMYFUNCTION("IMPORTRANGE(H19074,""IDENTITAS UNIT!D9"")"),"#N/A")</f>
        <v>#N/A</v>
      </c>
      <c r="H19074" s="4" t="str">
        <v/>
      </c>
      <c r="I19074" s="4" t="str">
        <v/>
      </c>
    </row>
    <row r="19075" spans="5:9" ht="16.5" hidden="1">
      <c r="E19075" s="4" t="str">
        <v/>
      </c>
      <c r="F19075" s="102" t="str">
        <f ca="1">IFERROR(__xludf.DUMMYFUNCTION("IMPORTRANGE(H19075,""IDENTITAS UNIT!D9"")"),"#N/A")</f>
        <v>#N/A</v>
      </c>
      <c r="H19075" s="4" t="str">
        <v/>
      </c>
      <c r="I19075" s="4" t="str">
        <v/>
      </c>
    </row>
    <row r="19076" spans="5:9" ht="16.5" hidden="1">
      <c r="E19076" s="4" t="str">
        <v/>
      </c>
      <c r="F19076" s="102" t="str">
        <f ca="1">IFERROR(__xludf.DUMMYFUNCTION("IMPORTRANGE(H19076,""IDENTITAS UNIT!D9"")"),"#N/A")</f>
        <v>#N/A</v>
      </c>
      <c r="H19076" s="4" t="str">
        <v/>
      </c>
      <c r="I19076" s="4" t="str">
        <v/>
      </c>
    </row>
    <row r="19077" spans="5:9" ht="16.5" hidden="1">
      <c r="E19077" s="4" t="str">
        <v/>
      </c>
      <c r="F19077" s="102" t="str">
        <f ca="1">IFERROR(__xludf.DUMMYFUNCTION("IMPORTRANGE(H19077,""IDENTITAS UNIT!D9"")"),"#N/A")</f>
        <v>#N/A</v>
      </c>
      <c r="H19077" s="4" t="str">
        <v/>
      </c>
      <c r="I19077" s="4" t="str">
        <v/>
      </c>
    </row>
    <row r="19078" spans="5:9" ht="16.5" hidden="1">
      <c r="E19078" s="4" t="str">
        <v/>
      </c>
      <c r="F19078" s="102" t="str">
        <f ca="1">IFERROR(__xludf.DUMMYFUNCTION("IMPORTRANGE(H19078,""IDENTITAS UNIT!D9"")"),"#N/A")</f>
        <v>#N/A</v>
      </c>
      <c r="H19078" s="4" t="str">
        <v/>
      </c>
      <c r="I19078" s="4" t="str">
        <v/>
      </c>
    </row>
    <row r="19079" spans="5:9" ht="16.5" hidden="1">
      <c r="E19079" s="4" t="str">
        <v/>
      </c>
      <c r="F19079" s="102" t="str">
        <f ca="1">IFERROR(__xludf.DUMMYFUNCTION("IMPORTRANGE(H19079,""IDENTITAS UNIT!D9"")"),"#N/A")</f>
        <v>#N/A</v>
      </c>
      <c r="H19079" s="4" t="str">
        <v/>
      </c>
      <c r="I19079" s="4" t="str">
        <v/>
      </c>
    </row>
    <row r="19080" spans="5:9" ht="16.5" hidden="1">
      <c r="E19080" s="4" t="str">
        <v/>
      </c>
      <c r="F19080" s="102" t="str">
        <f ca="1">IFERROR(__xludf.DUMMYFUNCTION("IMPORTRANGE(H19080,""IDENTITAS UNIT!D9"")"),"#N/A")</f>
        <v>#N/A</v>
      </c>
      <c r="H19080" s="4" t="str">
        <v/>
      </c>
      <c r="I19080" s="4" t="str">
        <v/>
      </c>
    </row>
    <row r="19081" spans="5:9" ht="16.5" hidden="1">
      <c r="E19081" s="4" t="str">
        <v/>
      </c>
      <c r="F19081" s="102" t="str">
        <f ca="1">IFERROR(__xludf.DUMMYFUNCTION("IMPORTRANGE(H19081,""IDENTITAS UNIT!D9"")"),"#N/A")</f>
        <v>#N/A</v>
      </c>
      <c r="H19081" s="4" t="str">
        <v/>
      </c>
      <c r="I19081" s="4" t="str">
        <v/>
      </c>
    </row>
    <row r="19082" spans="5:9" ht="16.5" hidden="1">
      <c r="E19082" s="4" t="str">
        <v/>
      </c>
      <c r="F19082" s="102" t="str">
        <f ca="1">IFERROR(__xludf.DUMMYFUNCTION("IMPORTRANGE(H19082,""IDENTITAS UNIT!D9"")"),"#N/A")</f>
        <v>#N/A</v>
      </c>
      <c r="H19082" s="4" t="str">
        <v/>
      </c>
      <c r="I19082" s="4" t="str">
        <v/>
      </c>
    </row>
    <row r="19083" spans="5:9" ht="16.5" hidden="1">
      <c r="E19083" s="4" t="str">
        <v/>
      </c>
      <c r="F19083" s="102" t="str">
        <f ca="1">IFERROR(__xludf.DUMMYFUNCTION("IMPORTRANGE(H19083,""IDENTITAS UNIT!D9"")"),"#N/A")</f>
        <v>#N/A</v>
      </c>
      <c r="H19083" s="4" t="str">
        <v/>
      </c>
      <c r="I19083" s="4" t="str">
        <v/>
      </c>
    </row>
    <row r="19084" spans="5:9" ht="16.5" hidden="1">
      <c r="E19084" s="4" t="str">
        <v/>
      </c>
      <c r="F19084" s="102" t="str">
        <f ca="1">IFERROR(__xludf.DUMMYFUNCTION("IMPORTRANGE(H19084,""IDENTITAS UNIT!D9"")"),"#N/A")</f>
        <v>#N/A</v>
      </c>
      <c r="H19084" s="4" t="str">
        <v/>
      </c>
      <c r="I19084" s="4" t="str">
        <v/>
      </c>
    </row>
    <row r="19085" spans="5:9" ht="16.5" hidden="1">
      <c r="E19085" s="4" t="str">
        <v/>
      </c>
      <c r="F19085" s="102" t="str">
        <f ca="1">IFERROR(__xludf.DUMMYFUNCTION("IMPORTRANGE(H19085,""IDENTITAS UNIT!D9"")"),"#N/A")</f>
        <v>#N/A</v>
      </c>
      <c r="H19085" s="4" t="str">
        <v/>
      </c>
      <c r="I19085" s="4" t="str">
        <v/>
      </c>
    </row>
    <row r="19086" spans="5:9" ht="16.5" hidden="1">
      <c r="E19086" s="4" t="str">
        <v/>
      </c>
      <c r="F19086" s="102" t="str">
        <f ca="1">IFERROR(__xludf.DUMMYFUNCTION("IMPORTRANGE(H19086,""IDENTITAS UNIT!D9"")"),"#N/A")</f>
        <v>#N/A</v>
      </c>
      <c r="H19086" s="4" t="str">
        <v/>
      </c>
      <c r="I19086" s="4" t="str">
        <v/>
      </c>
    </row>
    <row r="19087" spans="5:9" ht="16.5" hidden="1">
      <c r="E19087" s="4" t="str">
        <v/>
      </c>
      <c r="F19087" s="102" t="str">
        <f ca="1">IFERROR(__xludf.DUMMYFUNCTION("IMPORTRANGE(H19087,""IDENTITAS UNIT!D9"")"),"#N/A")</f>
        <v>#N/A</v>
      </c>
      <c r="H19087" s="4" t="str">
        <v/>
      </c>
      <c r="I19087" s="4" t="str">
        <v/>
      </c>
    </row>
    <row r="19088" spans="5:9" ht="16.5" hidden="1">
      <c r="E19088" s="4" t="str">
        <v/>
      </c>
      <c r="F19088" s="102" t="str">
        <f ca="1">IFERROR(__xludf.DUMMYFUNCTION("IMPORTRANGE(H19088,""IDENTITAS UNIT!D9"")"),"#N/A")</f>
        <v>#N/A</v>
      </c>
      <c r="H19088" s="4" t="str">
        <v/>
      </c>
      <c r="I19088" s="4" t="str">
        <v/>
      </c>
    </row>
    <row r="19089" spans="5:9" ht="16.5" hidden="1">
      <c r="E19089" s="4" t="str">
        <v/>
      </c>
      <c r="F19089" s="102" t="str">
        <f ca="1">IFERROR(__xludf.DUMMYFUNCTION("IMPORTRANGE(H19089,""IDENTITAS UNIT!D9"")"),"#N/A")</f>
        <v>#N/A</v>
      </c>
      <c r="H19089" s="4" t="str">
        <v/>
      </c>
      <c r="I19089" s="4" t="str">
        <v/>
      </c>
    </row>
    <row r="19090" spans="5:9" ht="16.5" hidden="1">
      <c r="E19090" s="4" t="str">
        <v/>
      </c>
      <c r="F19090" s="102" t="str">
        <f ca="1">IFERROR(__xludf.DUMMYFUNCTION("IMPORTRANGE(H19090,""IDENTITAS UNIT!D9"")"),"#N/A")</f>
        <v>#N/A</v>
      </c>
      <c r="H19090" s="4" t="str">
        <v/>
      </c>
      <c r="I19090" s="4" t="str">
        <v/>
      </c>
    </row>
    <row r="19091" spans="5:9" ht="16.5" hidden="1">
      <c r="E19091" s="4" t="str">
        <v/>
      </c>
      <c r="F19091" s="102" t="str">
        <f ca="1">IFERROR(__xludf.DUMMYFUNCTION("IMPORTRANGE(H19091,""IDENTITAS UNIT!D9"")"),"#N/A")</f>
        <v>#N/A</v>
      </c>
      <c r="H19091" s="4" t="str">
        <v/>
      </c>
      <c r="I19091" s="4" t="str">
        <v/>
      </c>
    </row>
    <row r="19092" spans="5:9" ht="16.5" hidden="1">
      <c r="E19092" s="4" t="str">
        <v/>
      </c>
      <c r="F19092" s="102" t="str">
        <f ca="1">IFERROR(__xludf.DUMMYFUNCTION("IMPORTRANGE(H19092,""IDENTITAS UNIT!D9"")"),"#N/A")</f>
        <v>#N/A</v>
      </c>
      <c r="H19092" s="4" t="str">
        <v/>
      </c>
      <c r="I19092" s="4" t="str">
        <v/>
      </c>
    </row>
    <row r="19093" spans="5:9" ht="16.5" hidden="1">
      <c r="E19093" s="4" t="str">
        <v/>
      </c>
      <c r="F19093" s="102" t="str">
        <f ca="1">IFERROR(__xludf.DUMMYFUNCTION("IMPORTRANGE(H19093,""IDENTITAS UNIT!D9"")"),"#N/A")</f>
        <v>#N/A</v>
      </c>
      <c r="H19093" s="4" t="str">
        <v/>
      </c>
      <c r="I19093" s="4" t="str">
        <v/>
      </c>
    </row>
    <row r="19094" spans="5:9" ht="16.5" hidden="1">
      <c r="E19094" s="4" t="str">
        <v/>
      </c>
      <c r="F19094" s="102" t="str">
        <f ca="1">IFERROR(__xludf.DUMMYFUNCTION("IMPORTRANGE(H19094,""IDENTITAS UNIT!D9"")"),"#N/A")</f>
        <v>#N/A</v>
      </c>
      <c r="H19094" s="4" t="str">
        <v/>
      </c>
      <c r="I19094" s="4" t="str">
        <v/>
      </c>
    </row>
    <row r="19095" spans="5:9" ht="16.5" hidden="1">
      <c r="E19095" s="4" t="str">
        <v/>
      </c>
      <c r="F19095" s="102" t="str">
        <f ca="1">IFERROR(__xludf.DUMMYFUNCTION("IMPORTRANGE(H19095,""IDENTITAS UNIT!D9"")"),"#N/A")</f>
        <v>#N/A</v>
      </c>
      <c r="H19095" s="4" t="str">
        <v/>
      </c>
      <c r="I19095" s="4" t="str">
        <v/>
      </c>
    </row>
    <row r="19096" spans="5:9" ht="16.5" hidden="1">
      <c r="E19096" s="4" t="str">
        <v/>
      </c>
      <c r="F19096" s="102" t="str">
        <f ca="1">IFERROR(__xludf.DUMMYFUNCTION("IMPORTRANGE(H19096,""IDENTITAS UNIT!D9"")"),"#N/A")</f>
        <v>#N/A</v>
      </c>
      <c r="H19096" s="4" t="str">
        <v/>
      </c>
      <c r="I19096" s="4" t="str">
        <v/>
      </c>
    </row>
    <row r="19097" spans="5:9" ht="16.5" hidden="1">
      <c r="E19097" s="4" t="str">
        <v/>
      </c>
      <c r="F19097" s="102" t="str">
        <f ca="1">IFERROR(__xludf.DUMMYFUNCTION("IMPORTRANGE(H19097,""IDENTITAS UNIT!D9"")"),"#N/A")</f>
        <v>#N/A</v>
      </c>
      <c r="H19097" s="4" t="str">
        <v/>
      </c>
      <c r="I19097" s="4" t="str">
        <v/>
      </c>
    </row>
    <row r="19098" spans="5:9" ht="16.5" hidden="1">
      <c r="E19098" s="4" t="str">
        <v/>
      </c>
      <c r="F19098" s="102" t="str">
        <f ca="1">IFERROR(__xludf.DUMMYFUNCTION("IMPORTRANGE(H19098,""IDENTITAS UNIT!D9"")"),"#N/A")</f>
        <v>#N/A</v>
      </c>
      <c r="H19098" s="4" t="str">
        <v/>
      </c>
      <c r="I19098" s="4" t="str">
        <v/>
      </c>
    </row>
    <row r="19099" spans="5:9" ht="16.5" hidden="1">
      <c r="E19099" s="4" t="str">
        <v/>
      </c>
      <c r="F19099" s="102" t="str">
        <f ca="1">IFERROR(__xludf.DUMMYFUNCTION("IMPORTRANGE(H19099,""IDENTITAS UNIT!D9"")"),"#N/A")</f>
        <v>#N/A</v>
      </c>
      <c r="H19099" s="4" t="str">
        <v/>
      </c>
      <c r="I19099" s="4" t="str">
        <v/>
      </c>
    </row>
    <row r="19100" spans="5:9" ht="16.5" hidden="1">
      <c r="E19100" s="4" t="str">
        <v/>
      </c>
      <c r="F19100" s="102" t="str">
        <f ca="1">IFERROR(__xludf.DUMMYFUNCTION("IMPORTRANGE(H19100,""IDENTITAS UNIT!D9"")"),"#N/A")</f>
        <v>#N/A</v>
      </c>
      <c r="H19100" s="4" t="str">
        <v/>
      </c>
      <c r="I19100" s="4" t="str">
        <v/>
      </c>
    </row>
    <row r="19101" spans="5:9" ht="16.5" hidden="1">
      <c r="E19101" s="4" t="str">
        <v/>
      </c>
      <c r="F19101" s="102" t="str">
        <f ca="1">IFERROR(__xludf.DUMMYFUNCTION("IMPORTRANGE(H19101,""IDENTITAS UNIT!D9"")"),"#N/A")</f>
        <v>#N/A</v>
      </c>
      <c r="H19101" s="4" t="str">
        <v/>
      </c>
      <c r="I19101" s="4" t="str">
        <v/>
      </c>
    </row>
    <row r="19102" spans="5:9" ht="16.5" hidden="1">
      <c r="E19102" s="4" t="str">
        <v/>
      </c>
      <c r="F19102" s="102" t="str">
        <f ca="1">IFERROR(__xludf.DUMMYFUNCTION("IMPORTRANGE(H19102,""IDENTITAS UNIT!D9"")"),"#N/A")</f>
        <v>#N/A</v>
      </c>
      <c r="H19102" s="4" t="str">
        <v/>
      </c>
      <c r="I19102" s="4" t="str">
        <v/>
      </c>
    </row>
    <row r="19103" spans="5:9" ht="16.5" hidden="1">
      <c r="E19103" s="4" t="str">
        <v/>
      </c>
      <c r="F19103" s="102" t="str">
        <f ca="1">IFERROR(__xludf.DUMMYFUNCTION("IMPORTRANGE(H19103,""IDENTITAS UNIT!D9"")"),"#N/A")</f>
        <v>#N/A</v>
      </c>
      <c r="H19103" s="4" t="str">
        <v/>
      </c>
      <c r="I19103" s="4" t="str">
        <v/>
      </c>
    </row>
    <row r="19104" spans="5:9" ht="16.5" hidden="1">
      <c r="E19104" s="4" t="str">
        <v/>
      </c>
      <c r="F19104" s="102" t="str">
        <f ca="1">IFERROR(__xludf.DUMMYFUNCTION("IMPORTRANGE(H19104,""IDENTITAS UNIT!D9"")"),"#N/A")</f>
        <v>#N/A</v>
      </c>
      <c r="H19104" s="4" t="str">
        <v/>
      </c>
      <c r="I19104" s="4" t="str">
        <v/>
      </c>
    </row>
    <row r="19105" spans="5:9" ht="16.5" hidden="1">
      <c r="E19105" s="4" t="str">
        <v/>
      </c>
      <c r="F19105" s="102" t="str">
        <f ca="1">IFERROR(__xludf.DUMMYFUNCTION("IMPORTRANGE(H19105,""IDENTITAS UNIT!D9"")"),"#N/A")</f>
        <v>#N/A</v>
      </c>
      <c r="H19105" s="4" t="str">
        <v/>
      </c>
      <c r="I19105" s="4" t="str">
        <v/>
      </c>
    </row>
    <row r="19106" spans="5:9" ht="16.5" hidden="1">
      <c r="E19106" s="4" t="str">
        <v/>
      </c>
      <c r="F19106" s="102" t="str">
        <f ca="1">IFERROR(__xludf.DUMMYFUNCTION("IMPORTRANGE(H19106,""IDENTITAS UNIT!D9"")"),"#N/A")</f>
        <v>#N/A</v>
      </c>
      <c r="H19106" s="4" t="str">
        <v/>
      </c>
      <c r="I19106" s="4" t="str">
        <v/>
      </c>
    </row>
    <row r="19107" spans="5:9" ht="16.5" hidden="1">
      <c r="E19107" s="4" t="str">
        <v/>
      </c>
      <c r="F19107" s="102" t="str">
        <f ca="1">IFERROR(__xludf.DUMMYFUNCTION("IMPORTRANGE(H19107,""IDENTITAS UNIT!D9"")"),"#N/A")</f>
        <v>#N/A</v>
      </c>
      <c r="H19107" s="4" t="str">
        <v/>
      </c>
      <c r="I19107" s="4" t="str">
        <v/>
      </c>
    </row>
    <row r="19108" spans="5:9" ht="16.5" hidden="1">
      <c r="E19108" s="4" t="str">
        <v/>
      </c>
      <c r="F19108" s="102" t="str">
        <f ca="1">IFERROR(__xludf.DUMMYFUNCTION("IMPORTRANGE(H19108,""IDENTITAS UNIT!D9"")"),"#N/A")</f>
        <v>#N/A</v>
      </c>
      <c r="H19108" s="4" t="str">
        <v/>
      </c>
      <c r="I19108" s="4" t="str">
        <v/>
      </c>
    </row>
    <row r="19109" spans="5:9" ht="16.5" hidden="1">
      <c r="E19109" s="4" t="str">
        <v/>
      </c>
      <c r="F19109" s="102" t="str">
        <f ca="1">IFERROR(__xludf.DUMMYFUNCTION("IMPORTRANGE(H19109,""IDENTITAS UNIT!D9"")"),"#N/A")</f>
        <v>#N/A</v>
      </c>
      <c r="H19109" s="4" t="str">
        <v/>
      </c>
      <c r="I19109" s="4" t="str">
        <v/>
      </c>
    </row>
    <row r="19110" spans="5:9" ht="16.5" hidden="1">
      <c r="E19110" s="4" t="str">
        <v/>
      </c>
      <c r="F19110" s="102" t="str">
        <f ca="1">IFERROR(__xludf.DUMMYFUNCTION("IMPORTRANGE(H19110,""IDENTITAS UNIT!D9"")"),"#N/A")</f>
        <v>#N/A</v>
      </c>
      <c r="H19110" s="4" t="str">
        <v/>
      </c>
      <c r="I19110" s="4" t="str">
        <v/>
      </c>
    </row>
    <row r="19111" spans="5:9" ht="16.5" hidden="1">
      <c r="E19111" s="4" t="str">
        <v/>
      </c>
      <c r="F19111" s="102" t="str">
        <f ca="1">IFERROR(__xludf.DUMMYFUNCTION("IMPORTRANGE(H19111,""IDENTITAS UNIT!D9"")"),"#N/A")</f>
        <v>#N/A</v>
      </c>
      <c r="H19111" s="4" t="str">
        <v/>
      </c>
      <c r="I19111" s="4" t="str">
        <v/>
      </c>
    </row>
    <row r="19112" spans="5:9" ht="16.5" hidden="1">
      <c r="E19112" s="4" t="str">
        <v/>
      </c>
      <c r="F19112" s="102" t="str">
        <f ca="1">IFERROR(__xludf.DUMMYFUNCTION("IMPORTRANGE(H19112,""IDENTITAS UNIT!D9"")"),"#N/A")</f>
        <v>#N/A</v>
      </c>
      <c r="H19112" s="4" t="str">
        <v/>
      </c>
      <c r="I19112" s="4" t="str">
        <v/>
      </c>
    </row>
    <row r="19113" spans="5:9" ht="16.5" hidden="1">
      <c r="E19113" s="4" t="str">
        <v/>
      </c>
      <c r="F19113" s="102" t="str">
        <f ca="1">IFERROR(__xludf.DUMMYFUNCTION("IMPORTRANGE(H19113,""IDENTITAS UNIT!D9"")"),"#N/A")</f>
        <v>#N/A</v>
      </c>
      <c r="H19113" s="4" t="str">
        <v/>
      </c>
      <c r="I19113" s="4" t="str">
        <v/>
      </c>
    </row>
    <row r="19114" spans="5:9" ht="16.5" hidden="1">
      <c r="E19114" s="4" t="str">
        <v/>
      </c>
      <c r="F19114" s="102" t="str">
        <f ca="1">IFERROR(__xludf.DUMMYFUNCTION("IMPORTRANGE(H19114,""IDENTITAS UNIT!D9"")"),"#N/A")</f>
        <v>#N/A</v>
      </c>
      <c r="H19114" s="4" t="str">
        <v/>
      </c>
      <c r="I19114" s="4" t="str">
        <v/>
      </c>
    </row>
    <row r="19115" spans="5:9" ht="16.5" hidden="1">
      <c r="E19115" s="4" t="str">
        <v/>
      </c>
      <c r="F19115" s="102" t="str">
        <f ca="1">IFERROR(__xludf.DUMMYFUNCTION("IMPORTRANGE(H19115,""IDENTITAS UNIT!D9"")"),"#N/A")</f>
        <v>#N/A</v>
      </c>
      <c r="H19115" s="4" t="str">
        <v/>
      </c>
      <c r="I19115" s="4" t="str">
        <v/>
      </c>
    </row>
    <row r="19116" spans="5:9" ht="16.5" hidden="1">
      <c r="E19116" s="4" t="str">
        <v/>
      </c>
      <c r="F19116" s="102" t="str">
        <f ca="1">IFERROR(__xludf.DUMMYFUNCTION("IMPORTRANGE(H19116,""IDENTITAS UNIT!D9"")"),"#N/A")</f>
        <v>#N/A</v>
      </c>
      <c r="H19116" s="4" t="str">
        <v/>
      </c>
      <c r="I19116" s="4" t="str">
        <v/>
      </c>
    </row>
    <row r="19117" spans="5:9" ht="16.5" hidden="1">
      <c r="E19117" s="4" t="str">
        <v/>
      </c>
      <c r="F19117" s="102" t="str">
        <f ca="1">IFERROR(__xludf.DUMMYFUNCTION("IMPORTRANGE(H19117,""IDENTITAS UNIT!D9"")"),"#N/A")</f>
        <v>#N/A</v>
      </c>
      <c r="H19117" s="4" t="str">
        <v/>
      </c>
      <c r="I19117" s="4" t="str">
        <v/>
      </c>
    </row>
    <row r="19118" spans="5:9" ht="16.5" hidden="1">
      <c r="E19118" s="4" t="str">
        <v/>
      </c>
      <c r="F19118" s="102" t="str">
        <f ca="1">IFERROR(__xludf.DUMMYFUNCTION("IMPORTRANGE(H19118,""IDENTITAS UNIT!D9"")"),"#N/A")</f>
        <v>#N/A</v>
      </c>
      <c r="H19118" s="4" t="str">
        <v/>
      </c>
      <c r="I19118" s="4" t="str">
        <v/>
      </c>
    </row>
    <row r="19119" spans="5:9" ht="16.5" hidden="1">
      <c r="E19119" s="4" t="str">
        <v/>
      </c>
      <c r="F19119" s="102" t="str">
        <f ca="1">IFERROR(__xludf.DUMMYFUNCTION("IMPORTRANGE(H19119,""IDENTITAS UNIT!D9"")"),"#N/A")</f>
        <v>#N/A</v>
      </c>
      <c r="H19119" s="4" t="str">
        <v/>
      </c>
      <c r="I19119" s="4" t="str">
        <v/>
      </c>
    </row>
    <row r="19120" spans="5:9" ht="16.5" hidden="1">
      <c r="E19120" s="4" t="str">
        <v/>
      </c>
      <c r="F19120" s="102" t="str">
        <f ca="1">IFERROR(__xludf.DUMMYFUNCTION("IMPORTRANGE(H19120,""IDENTITAS UNIT!D9"")"),"#N/A")</f>
        <v>#N/A</v>
      </c>
      <c r="H19120" s="4" t="str">
        <v/>
      </c>
      <c r="I19120" s="4" t="str">
        <v/>
      </c>
    </row>
    <row r="19121" spans="5:9" ht="16.5" hidden="1">
      <c r="E19121" s="4" t="str">
        <v/>
      </c>
      <c r="F19121" s="102" t="str">
        <f ca="1">IFERROR(__xludf.DUMMYFUNCTION("IMPORTRANGE(H19121,""IDENTITAS UNIT!D9"")"),"#N/A")</f>
        <v>#N/A</v>
      </c>
      <c r="H19121" s="4" t="str">
        <v/>
      </c>
      <c r="I19121" s="4" t="str">
        <v/>
      </c>
    </row>
    <row r="19122" spans="5:9" ht="16.5" hidden="1">
      <c r="E19122" s="4" t="str">
        <v/>
      </c>
      <c r="F19122" s="102" t="str">
        <f ca="1">IFERROR(__xludf.DUMMYFUNCTION("IMPORTRANGE(H19122,""IDENTITAS UNIT!D9"")"),"#N/A")</f>
        <v>#N/A</v>
      </c>
      <c r="H19122" s="4" t="str">
        <v/>
      </c>
      <c r="I19122" s="4" t="str">
        <v/>
      </c>
    </row>
    <row r="19123" spans="5:9" ht="16.5" hidden="1">
      <c r="E19123" s="4" t="str">
        <v/>
      </c>
      <c r="F19123" s="102" t="str">
        <f ca="1">IFERROR(__xludf.DUMMYFUNCTION("IMPORTRANGE(H19123,""IDENTITAS UNIT!D9"")"),"#N/A")</f>
        <v>#N/A</v>
      </c>
      <c r="H19123" s="4" t="str">
        <v/>
      </c>
      <c r="I19123" s="4" t="str">
        <v/>
      </c>
    </row>
    <row r="19124" spans="5:9" ht="16.5" hidden="1">
      <c r="E19124" s="4" t="str">
        <v/>
      </c>
      <c r="F19124" s="102" t="str">
        <f ca="1">IFERROR(__xludf.DUMMYFUNCTION("IMPORTRANGE(H19124,""IDENTITAS UNIT!D9"")"),"#N/A")</f>
        <v>#N/A</v>
      </c>
      <c r="H19124" s="4" t="str">
        <v/>
      </c>
      <c r="I19124" s="4" t="str">
        <v/>
      </c>
    </row>
    <row r="19125" spans="5:9" ht="16.5" hidden="1">
      <c r="E19125" s="4" t="str">
        <v/>
      </c>
      <c r="F19125" s="102" t="str">
        <f ca="1">IFERROR(__xludf.DUMMYFUNCTION("IMPORTRANGE(H19125,""IDENTITAS UNIT!D9"")"),"#N/A")</f>
        <v>#N/A</v>
      </c>
      <c r="H19125" s="4" t="str">
        <v/>
      </c>
      <c r="I19125" s="4" t="str">
        <v/>
      </c>
    </row>
    <row r="19126" spans="5:9" ht="16.5" hidden="1">
      <c r="E19126" s="4" t="str">
        <v/>
      </c>
      <c r="F19126" s="102" t="str">
        <f ca="1">IFERROR(__xludf.DUMMYFUNCTION("IMPORTRANGE(H19126,""IDENTITAS UNIT!D9"")"),"#N/A")</f>
        <v>#N/A</v>
      </c>
      <c r="H19126" s="4" t="str">
        <v/>
      </c>
      <c r="I19126" s="4" t="str">
        <v/>
      </c>
    </row>
    <row r="19127" spans="5:9" ht="16.5" hidden="1">
      <c r="E19127" s="4" t="str">
        <v/>
      </c>
      <c r="F19127" s="102" t="str">
        <f ca="1">IFERROR(__xludf.DUMMYFUNCTION("IMPORTRANGE(H19127,""IDENTITAS UNIT!D9"")"),"#N/A")</f>
        <v>#N/A</v>
      </c>
      <c r="H19127" s="4" t="str">
        <v/>
      </c>
      <c r="I19127" s="4" t="str">
        <v/>
      </c>
    </row>
    <row r="19128" spans="5:9" ht="16.5" hidden="1">
      <c r="E19128" s="4" t="str">
        <v/>
      </c>
      <c r="F19128" s="102" t="str">
        <f ca="1">IFERROR(__xludf.DUMMYFUNCTION("IMPORTRANGE(H19128,""IDENTITAS UNIT!D9"")"),"#N/A")</f>
        <v>#N/A</v>
      </c>
      <c r="H19128" s="4" t="str">
        <v/>
      </c>
      <c r="I19128" s="4" t="str">
        <v/>
      </c>
    </row>
    <row r="19129" spans="5:9" ht="16.5" hidden="1">
      <c r="E19129" s="4" t="str">
        <v/>
      </c>
      <c r="F19129" s="102" t="str">
        <f ca="1">IFERROR(__xludf.DUMMYFUNCTION("IMPORTRANGE(H19129,""IDENTITAS UNIT!D9"")"),"#N/A")</f>
        <v>#N/A</v>
      </c>
      <c r="H19129" s="4" t="str">
        <v/>
      </c>
      <c r="I19129" s="4" t="str">
        <v/>
      </c>
    </row>
    <row r="19130" spans="5:9" ht="16.5" hidden="1">
      <c r="E19130" s="4" t="str">
        <v/>
      </c>
      <c r="F19130" s="102" t="str">
        <f ca="1">IFERROR(__xludf.DUMMYFUNCTION("IMPORTRANGE(H19130,""IDENTITAS UNIT!D9"")"),"#N/A")</f>
        <v>#N/A</v>
      </c>
      <c r="H19130" s="4" t="str">
        <v/>
      </c>
      <c r="I19130" s="4" t="str">
        <v/>
      </c>
    </row>
    <row r="19131" spans="5:9" ht="16.5" hidden="1">
      <c r="E19131" s="4" t="str">
        <v/>
      </c>
      <c r="F19131" s="102" t="str">
        <f ca="1">IFERROR(__xludf.DUMMYFUNCTION("IMPORTRANGE(H19131,""IDENTITAS UNIT!D9"")"),"#N/A")</f>
        <v>#N/A</v>
      </c>
      <c r="H19131" s="4" t="str">
        <v/>
      </c>
      <c r="I19131" s="4" t="str">
        <v/>
      </c>
    </row>
    <row r="19132" spans="5:9" ht="16.5" hidden="1">
      <c r="E19132" s="4" t="str">
        <v/>
      </c>
      <c r="F19132" s="102" t="str">
        <f ca="1">IFERROR(__xludf.DUMMYFUNCTION("IMPORTRANGE(H19132,""IDENTITAS UNIT!D9"")"),"#N/A")</f>
        <v>#N/A</v>
      </c>
      <c r="H19132" s="4" t="str">
        <v/>
      </c>
      <c r="I19132" s="4" t="str">
        <v/>
      </c>
    </row>
    <row r="19133" spans="5:9" ht="16.5" hidden="1">
      <c r="E19133" s="4" t="str">
        <v/>
      </c>
      <c r="F19133" s="102" t="str">
        <f ca="1">IFERROR(__xludf.DUMMYFUNCTION("IMPORTRANGE(H19133,""IDENTITAS UNIT!D9"")"),"#N/A")</f>
        <v>#N/A</v>
      </c>
      <c r="H19133" s="4" t="str">
        <v/>
      </c>
      <c r="I19133" s="4" t="str">
        <v/>
      </c>
    </row>
    <row r="19134" spans="5:9" ht="16.5" hidden="1">
      <c r="E19134" s="4" t="str">
        <v/>
      </c>
      <c r="F19134" s="102" t="str">
        <f ca="1">IFERROR(__xludf.DUMMYFUNCTION("IMPORTRANGE(H19134,""IDENTITAS UNIT!D9"")"),"#N/A")</f>
        <v>#N/A</v>
      </c>
      <c r="H19134" s="4" t="str">
        <v/>
      </c>
      <c r="I19134" s="4" t="str">
        <v/>
      </c>
    </row>
    <row r="19135" spans="5:9" ht="16.5" hidden="1">
      <c r="E19135" s="4" t="str">
        <v/>
      </c>
      <c r="F19135" s="102" t="str">
        <f ca="1">IFERROR(__xludf.DUMMYFUNCTION("IMPORTRANGE(H19135,""IDENTITAS UNIT!D9"")"),"#N/A")</f>
        <v>#N/A</v>
      </c>
      <c r="H19135" s="4" t="str">
        <v/>
      </c>
      <c r="I19135" s="4" t="str">
        <v/>
      </c>
    </row>
    <row r="19136" spans="5:9" ht="16.5" hidden="1">
      <c r="E19136" s="4" t="str">
        <v/>
      </c>
      <c r="F19136" s="102" t="str">
        <f ca="1">IFERROR(__xludf.DUMMYFUNCTION("IMPORTRANGE(H19136,""IDENTITAS UNIT!D9"")"),"#N/A")</f>
        <v>#N/A</v>
      </c>
      <c r="H19136" s="4" t="str">
        <v/>
      </c>
      <c r="I19136" s="4" t="str">
        <v/>
      </c>
    </row>
    <row r="19137" spans="5:9" ht="16.5" hidden="1">
      <c r="E19137" s="4" t="str">
        <v/>
      </c>
      <c r="F19137" s="102" t="str">
        <f ca="1">IFERROR(__xludf.DUMMYFUNCTION("IMPORTRANGE(H19137,""IDENTITAS UNIT!D9"")"),"#N/A")</f>
        <v>#N/A</v>
      </c>
      <c r="H19137" s="4" t="str">
        <v/>
      </c>
      <c r="I19137" s="4" t="str">
        <v/>
      </c>
    </row>
    <row r="19138" spans="5:9" ht="16.5" hidden="1">
      <c r="E19138" s="4" t="str">
        <v/>
      </c>
      <c r="F19138" s="102" t="str">
        <f ca="1">IFERROR(__xludf.DUMMYFUNCTION("IMPORTRANGE(H19138,""IDENTITAS UNIT!D9"")"),"#N/A")</f>
        <v>#N/A</v>
      </c>
      <c r="H19138" s="4" t="str">
        <v/>
      </c>
      <c r="I19138" s="4" t="str">
        <v/>
      </c>
    </row>
    <row r="19139" spans="5:9" ht="16.5" hidden="1">
      <c r="E19139" s="4" t="str">
        <v/>
      </c>
      <c r="F19139" s="102" t="str">
        <f ca="1">IFERROR(__xludf.DUMMYFUNCTION("IMPORTRANGE(H19139,""IDENTITAS UNIT!D9"")"),"#N/A")</f>
        <v>#N/A</v>
      </c>
      <c r="H19139" s="4" t="str">
        <v/>
      </c>
      <c r="I19139" s="4" t="str">
        <v/>
      </c>
    </row>
    <row r="19140" spans="5:9" ht="16.5" hidden="1">
      <c r="E19140" s="4" t="str">
        <v/>
      </c>
      <c r="F19140" s="102" t="str">
        <f ca="1">IFERROR(__xludf.DUMMYFUNCTION("IMPORTRANGE(H19140,""IDENTITAS UNIT!D9"")"),"#N/A")</f>
        <v>#N/A</v>
      </c>
      <c r="H19140" s="4" t="str">
        <v/>
      </c>
      <c r="I19140" s="4" t="str">
        <v/>
      </c>
    </row>
    <row r="19141" spans="5:9" ht="16.5" hidden="1">
      <c r="E19141" s="4" t="str">
        <v/>
      </c>
      <c r="F19141" s="102" t="str">
        <f ca="1">IFERROR(__xludf.DUMMYFUNCTION("IMPORTRANGE(H19141,""IDENTITAS UNIT!D9"")"),"#N/A")</f>
        <v>#N/A</v>
      </c>
      <c r="H19141" s="4" t="str">
        <v/>
      </c>
      <c r="I19141" s="4" t="str">
        <v/>
      </c>
    </row>
    <row r="19142" spans="5:9" ht="16.5" hidden="1">
      <c r="E19142" s="4" t="str">
        <v/>
      </c>
      <c r="F19142" s="102" t="str">
        <f ca="1">IFERROR(__xludf.DUMMYFUNCTION("IMPORTRANGE(H19142,""IDENTITAS UNIT!D9"")"),"#N/A")</f>
        <v>#N/A</v>
      </c>
      <c r="H19142" s="4" t="str">
        <v/>
      </c>
      <c r="I19142" s="4" t="str">
        <v/>
      </c>
    </row>
    <row r="19143" spans="5:9" ht="16.5" hidden="1">
      <c r="E19143" s="4" t="str">
        <v/>
      </c>
      <c r="F19143" s="102" t="str">
        <f ca="1">IFERROR(__xludf.DUMMYFUNCTION("IMPORTRANGE(H19143,""IDENTITAS UNIT!D9"")"),"#N/A")</f>
        <v>#N/A</v>
      </c>
      <c r="H19143" s="4" t="str">
        <v/>
      </c>
      <c r="I19143" s="4" t="str">
        <v/>
      </c>
    </row>
    <row r="19144" spans="5:9" ht="16.5" hidden="1">
      <c r="E19144" s="4" t="str">
        <v/>
      </c>
      <c r="F19144" s="102" t="str">
        <f ca="1">IFERROR(__xludf.DUMMYFUNCTION("IMPORTRANGE(H19144,""IDENTITAS UNIT!D9"")"),"#N/A")</f>
        <v>#N/A</v>
      </c>
      <c r="H19144" s="4" t="str">
        <v/>
      </c>
      <c r="I19144" s="4" t="str">
        <v/>
      </c>
    </row>
    <row r="19145" spans="5:9" ht="16.5" hidden="1">
      <c r="E19145" s="4" t="str">
        <v/>
      </c>
      <c r="F19145" s="102" t="str">
        <f ca="1">IFERROR(__xludf.DUMMYFUNCTION("IMPORTRANGE(H19145,""IDENTITAS UNIT!D9"")"),"#N/A")</f>
        <v>#N/A</v>
      </c>
      <c r="H19145" s="4" t="str">
        <v/>
      </c>
      <c r="I19145" s="4" t="str">
        <v/>
      </c>
    </row>
    <row r="19146" spans="5:9" ht="16.5" hidden="1">
      <c r="E19146" s="4" t="str">
        <v/>
      </c>
      <c r="F19146" s="102" t="str">
        <f ca="1">IFERROR(__xludf.DUMMYFUNCTION("IMPORTRANGE(H19146,""IDENTITAS UNIT!D9"")"),"#N/A")</f>
        <v>#N/A</v>
      </c>
      <c r="H19146" s="4" t="str">
        <v/>
      </c>
      <c r="I19146" s="4" t="str">
        <v/>
      </c>
    </row>
    <row r="19147" spans="5:9" ht="16.5" hidden="1">
      <c r="E19147" s="4" t="str">
        <v/>
      </c>
      <c r="F19147" s="102" t="str">
        <f ca="1">IFERROR(__xludf.DUMMYFUNCTION("IMPORTRANGE(H19147,""IDENTITAS UNIT!D9"")"),"#N/A")</f>
        <v>#N/A</v>
      </c>
      <c r="H19147" s="4" t="str">
        <v/>
      </c>
      <c r="I19147" s="4" t="str">
        <v/>
      </c>
    </row>
    <row r="19148" spans="5:9" ht="16.5" hidden="1">
      <c r="E19148" s="4" t="str">
        <v/>
      </c>
      <c r="F19148" s="102" t="str">
        <f ca="1">IFERROR(__xludf.DUMMYFUNCTION("IMPORTRANGE(H19148,""IDENTITAS UNIT!D9"")"),"#N/A")</f>
        <v>#N/A</v>
      </c>
      <c r="H19148" s="4" t="str">
        <v/>
      </c>
      <c r="I19148" s="4" t="str">
        <v/>
      </c>
    </row>
    <row r="19149" spans="5:9" ht="16.5" hidden="1">
      <c r="E19149" s="4" t="str">
        <v/>
      </c>
      <c r="F19149" s="102" t="str">
        <f ca="1">IFERROR(__xludf.DUMMYFUNCTION("IMPORTRANGE(H19149,""IDENTITAS UNIT!D9"")"),"#N/A")</f>
        <v>#N/A</v>
      </c>
      <c r="H19149" s="4" t="str">
        <v/>
      </c>
      <c r="I19149" s="4" t="str">
        <v/>
      </c>
    </row>
    <row r="19150" spans="5:9" ht="16.5" hidden="1">
      <c r="E19150" s="4" t="str">
        <v/>
      </c>
      <c r="F19150" s="102" t="str">
        <f ca="1">IFERROR(__xludf.DUMMYFUNCTION("IMPORTRANGE(H19150,""IDENTITAS UNIT!D9"")"),"#N/A")</f>
        <v>#N/A</v>
      </c>
      <c r="H19150" s="4" t="str">
        <v/>
      </c>
      <c r="I19150" s="4" t="str">
        <v/>
      </c>
    </row>
    <row r="19151" spans="5:9" ht="16.5" hidden="1">
      <c r="E19151" s="4" t="str">
        <v/>
      </c>
      <c r="F19151" s="102" t="str">
        <f ca="1">IFERROR(__xludf.DUMMYFUNCTION("IMPORTRANGE(H19151,""IDENTITAS UNIT!D9"")"),"#N/A")</f>
        <v>#N/A</v>
      </c>
      <c r="H19151" s="4" t="str">
        <v/>
      </c>
      <c r="I19151" s="4" t="str">
        <v/>
      </c>
    </row>
    <row r="19152" spans="5:9" ht="16.5" hidden="1">
      <c r="E19152" s="4" t="str">
        <v/>
      </c>
      <c r="F19152" s="102" t="str">
        <f ca="1">IFERROR(__xludf.DUMMYFUNCTION("IMPORTRANGE(H19152,""IDENTITAS UNIT!D9"")"),"#N/A")</f>
        <v>#N/A</v>
      </c>
      <c r="H19152" s="4" t="str">
        <v/>
      </c>
      <c r="I19152" s="4" t="str">
        <v/>
      </c>
    </row>
    <row r="19153" spans="5:9" ht="16.5" hidden="1">
      <c r="E19153" s="4" t="str">
        <v/>
      </c>
      <c r="F19153" s="102" t="str">
        <f ca="1">IFERROR(__xludf.DUMMYFUNCTION("IMPORTRANGE(H19153,""IDENTITAS UNIT!D9"")"),"#N/A")</f>
        <v>#N/A</v>
      </c>
      <c r="H19153" s="4" t="str">
        <v/>
      </c>
      <c r="I19153" s="4" t="str">
        <v/>
      </c>
    </row>
    <row r="19154" spans="5:9" ht="16.5" hidden="1">
      <c r="E19154" s="4" t="str">
        <v/>
      </c>
      <c r="F19154" s="102" t="str">
        <f ca="1">IFERROR(__xludf.DUMMYFUNCTION("IMPORTRANGE(H19154,""IDENTITAS UNIT!D9"")"),"#N/A")</f>
        <v>#N/A</v>
      </c>
      <c r="H19154" s="4" t="str">
        <v/>
      </c>
      <c r="I19154" s="4" t="str">
        <v/>
      </c>
    </row>
    <row r="19155" spans="5:9" ht="16.5" hidden="1">
      <c r="E19155" s="4" t="str">
        <v/>
      </c>
      <c r="F19155" s="102" t="str">
        <f ca="1">IFERROR(__xludf.DUMMYFUNCTION("IMPORTRANGE(H19155,""IDENTITAS UNIT!D9"")"),"#N/A")</f>
        <v>#N/A</v>
      </c>
      <c r="H19155" s="4" t="str">
        <v/>
      </c>
      <c r="I19155" s="4" t="str">
        <v/>
      </c>
    </row>
    <row r="19156" spans="5:9" ht="16.5" hidden="1">
      <c r="E19156" s="4" t="str">
        <v/>
      </c>
      <c r="F19156" s="102" t="str">
        <f ca="1">IFERROR(__xludf.DUMMYFUNCTION("IMPORTRANGE(H19156,""IDENTITAS UNIT!D9"")"),"#N/A")</f>
        <v>#N/A</v>
      </c>
      <c r="H19156" s="4" t="str">
        <v/>
      </c>
      <c r="I19156" s="4" t="str">
        <v/>
      </c>
    </row>
    <row r="19157" spans="5:9" ht="16.5" hidden="1">
      <c r="E19157" s="4" t="str">
        <v/>
      </c>
      <c r="F19157" s="102" t="str">
        <f ca="1">IFERROR(__xludf.DUMMYFUNCTION("IMPORTRANGE(H19157,""IDENTITAS UNIT!D9"")"),"#N/A")</f>
        <v>#N/A</v>
      </c>
      <c r="H19157" s="4" t="str">
        <v/>
      </c>
      <c r="I19157" s="4" t="str">
        <v/>
      </c>
    </row>
    <row r="19158" spans="5:9" ht="16.5" hidden="1">
      <c r="E19158" s="4" t="str">
        <v/>
      </c>
      <c r="F19158" s="102" t="str">
        <f ca="1">IFERROR(__xludf.DUMMYFUNCTION("IMPORTRANGE(H19158,""IDENTITAS UNIT!D9"")"),"#N/A")</f>
        <v>#N/A</v>
      </c>
      <c r="H19158" s="4" t="str">
        <v/>
      </c>
      <c r="I19158" s="4" t="str">
        <v/>
      </c>
    </row>
    <row r="19159" spans="5:9" ht="16.5" hidden="1">
      <c r="E19159" s="4" t="str">
        <v/>
      </c>
      <c r="F19159" s="102" t="str">
        <f ca="1">IFERROR(__xludf.DUMMYFUNCTION("IMPORTRANGE(H19159,""IDENTITAS UNIT!D9"")"),"#N/A")</f>
        <v>#N/A</v>
      </c>
      <c r="H19159" s="4" t="str">
        <v/>
      </c>
      <c r="I19159" s="4" t="str">
        <v/>
      </c>
    </row>
    <row r="19160" spans="5:9" ht="16.5" hidden="1">
      <c r="E19160" s="4" t="str">
        <v/>
      </c>
      <c r="F19160" s="102" t="str">
        <f ca="1">IFERROR(__xludf.DUMMYFUNCTION("IMPORTRANGE(H19160,""IDENTITAS UNIT!D9"")"),"#N/A")</f>
        <v>#N/A</v>
      </c>
      <c r="H19160" s="4" t="str">
        <v/>
      </c>
      <c r="I19160" s="4" t="str">
        <v/>
      </c>
    </row>
    <row r="19161" spans="5:9" ht="16.5" hidden="1">
      <c r="E19161" s="4" t="str">
        <v/>
      </c>
      <c r="F19161" s="102" t="str">
        <f ca="1">IFERROR(__xludf.DUMMYFUNCTION("IMPORTRANGE(H19161,""IDENTITAS UNIT!D9"")"),"#N/A")</f>
        <v>#N/A</v>
      </c>
      <c r="H19161" s="4" t="str">
        <v/>
      </c>
      <c r="I19161" s="4" t="str">
        <v/>
      </c>
    </row>
    <row r="19162" spans="5:9" ht="16.5" hidden="1">
      <c r="E19162" s="4" t="str">
        <v/>
      </c>
      <c r="F19162" s="102" t="str">
        <f ca="1">IFERROR(__xludf.DUMMYFUNCTION("IMPORTRANGE(H19162,""IDENTITAS UNIT!D9"")"),"#N/A")</f>
        <v>#N/A</v>
      </c>
      <c r="H19162" s="4" t="str">
        <v/>
      </c>
      <c r="I19162" s="4" t="str">
        <v/>
      </c>
    </row>
    <row r="19163" spans="5:9" ht="16.5" hidden="1">
      <c r="E19163" s="4" t="str">
        <v/>
      </c>
      <c r="F19163" s="102" t="str">
        <f ca="1">IFERROR(__xludf.DUMMYFUNCTION("IMPORTRANGE(H19163,""IDENTITAS UNIT!D9"")"),"#N/A")</f>
        <v>#N/A</v>
      </c>
      <c r="H19163" s="4" t="str">
        <v/>
      </c>
      <c r="I19163" s="4" t="str">
        <v/>
      </c>
    </row>
    <row r="19164" spans="5:9" ht="16.5" hidden="1">
      <c r="E19164" s="4" t="str">
        <v/>
      </c>
      <c r="F19164" s="102" t="str">
        <f ca="1">IFERROR(__xludf.DUMMYFUNCTION("IMPORTRANGE(H19164,""IDENTITAS UNIT!D9"")"),"#N/A")</f>
        <v>#N/A</v>
      </c>
      <c r="H19164" s="4" t="str">
        <v/>
      </c>
      <c r="I19164" s="4" t="str">
        <v/>
      </c>
    </row>
    <row r="19165" spans="5:9" ht="16.5" hidden="1">
      <c r="E19165" s="4" t="str">
        <v/>
      </c>
      <c r="F19165" s="102" t="str">
        <f ca="1">IFERROR(__xludf.DUMMYFUNCTION("IMPORTRANGE(H19165,""IDENTITAS UNIT!D9"")"),"#N/A")</f>
        <v>#N/A</v>
      </c>
      <c r="H19165" s="4" t="str">
        <v/>
      </c>
      <c r="I19165" s="4" t="str">
        <v/>
      </c>
    </row>
    <row r="19166" spans="5:9" ht="16.5" hidden="1">
      <c r="E19166" s="4" t="str">
        <v/>
      </c>
      <c r="F19166" s="102" t="str">
        <f ca="1">IFERROR(__xludf.DUMMYFUNCTION("IMPORTRANGE(H19166,""IDENTITAS UNIT!D9"")"),"#N/A")</f>
        <v>#N/A</v>
      </c>
      <c r="H19166" s="4" t="str">
        <v/>
      </c>
      <c r="I19166" s="4" t="str">
        <v/>
      </c>
    </row>
    <row r="19167" spans="5:9" ht="16.5" hidden="1">
      <c r="E19167" s="4" t="str">
        <v/>
      </c>
      <c r="F19167" s="102" t="str">
        <f ca="1">IFERROR(__xludf.DUMMYFUNCTION("IMPORTRANGE(H19167,""IDENTITAS UNIT!D9"")"),"#N/A")</f>
        <v>#N/A</v>
      </c>
      <c r="H19167" s="4" t="str">
        <v/>
      </c>
      <c r="I19167" s="4" t="str">
        <v/>
      </c>
    </row>
    <row r="19168" spans="5:9" ht="16.5" hidden="1">
      <c r="E19168" s="4" t="str">
        <v/>
      </c>
      <c r="F19168" s="102" t="str">
        <f ca="1">IFERROR(__xludf.DUMMYFUNCTION("IMPORTRANGE(H19168,""IDENTITAS UNIT!D9"")"),"#N/A")</f>
        <v>#N/A</v>
      </c>
      <c r="H19168" s="4" t="str">
        <v/>
      </c>
      <c r="I19168" s="4" t="str">
        <v/>
      </c>
    </row>
    <row r="19169" spans="5:9" ht="16.5" hidden="1">
      <c r="E19169" s="4" t="str">
        <v/>
      </c>
      <c r="F19169" s="102" t="str">
        <f ca="1">IFERROR(__xludf.DUMMYFUNCTION("IMPORTRANGE(H19169,""IDENTITAS UNIT!D9"")"),"#N/A")</f>
        <v>#N/A</v>
      </c>
      <c r="H19169" s="4" t="str">
        <v/>
      </c>
      <c r="I19169" s="4" t="str">
        <v/>
      </c>
    </row>
    <row r="19170" spans="5:9" ht="16.5" hidden="1">
      <c r="E19170" s="4" t="str">
        <v/>
      </c>
      <c r="F19170" s="102" t="str">
        <f ca="1">IFERROR(__xludf.DUMMYFUNCTION("IMPORTRANGE(H19170,""IDENTITAS UNIT!D9"")"),"#N/A")</f>
        <v>#N/A</v>
      </c>
      <c r="H19170" s="4" t="str">
        <v/>
      </c>
      <c r="I19170" s="4" t="str">
        <v/>
      </c>
    </row>
    <row r="19171" spans="5:9" ht="16.5" hidden="1">
      <c r="E19171" s="4" t="str">
        <v/>
      </c>
      <c r="F19171" s="102" t="str">
        <f ca="1">IFERROR(__xludf.DUMMYFUNCTION("IMPORTRANGE(H19171,""IDENTITAS UNIT!D9"")"),"#N/A")</f>
        <v>#N/A</v>
      </c>
      <c r="H19171" s="4" t="str">
        <v/>
      </c>
      <c r="I19171" s="4" t="str">
        <v/>
      </c>
    </row>
    <row r="19172" spans="5:9" ht="16.5" hidden="1">
      <c r="E19172" s="4" t="str">
        <v/>
      </c>
      <c r="F19172" s="102" t="str">
        <f ca="1">IFERROR(__xludf.DUMMYFUNCTION("IMPORTRANGE(H19172,""IDENTITAS UNIT!D9"")"),"#N/A")</f>
        <v>#N/A</v>
      </c>
      <c r="H19172" s="4" t="str">
        <v/>
      </c>
      <c r="I19172" s="4" t="str">
        <v/>
      </c>
    </row>
    <row r="19173" spans="5:9" ht="16.5" hidden="1">
      <c r="E19173" s="4" t="str">
        <v/>
      </c>
      <c r="F19173" s="102" t="str">
        <f ca="1">IFERROR(__xludf.DUMMYFUNCTION("IMPORTRANGE(H19173,""IDENTITAS UNIT!D9"")"),"#N/A")</f>
        <v>#N/A</v>
      </c>
      <c r="H19173" s="4" t="str">
        <v/>
      </c>
      <c r="I19173" s="4" t="str">
        <v/>
      </c>
    </row>
    <row r="19174" spans="5:9" ht="16.5" hidden="1">
      <c r="E19174" s="4" t="str">
        <v/>
      </c>
      <c r="F19174" s="102" t="str">
        <f ca="1">IFERROR(__xludf.DUMMYFUNCTION("IMPORTRANGE(H19174,""IDENTITAS UNIT!D9"")"),"#N/A")</f>
        <v>#N/A</v>
      </c>
      <c r="H19174" s="4" t="str">
        <v/>
      </c>
      <c r="I19174" s="4" t="str">
        <v/>
      </c>
    </row>
    <row r="19175" spans="5:9" ht="16.5" hidden="1">
      <c r="E19175" s="4" t="str">
        <v/>
      </c>
      <c r="F19175" s="102" t="str">
        <f ca="1">IFERROR(__xludf.DUMMYFUNCTION("IMPORTRANGE(H19175,""IDENTITAS UNIT!D9"")"),"#N/A")</f>
        <v>#N/A</v>
      </c>
      <c r="H19175" s="4" t="str">
        <v/>
      </c>
      <c r="I19175" s="4" t="str">
        <v/>
      </c>
    </row>
    <row r="19176" spans="5:9" ht="16.5" hidden="1">
      <c r="E19176" s="4" t="str">
        <v/>
      </c>
      <c r="F19176" s="102" t="str">
        <f ca="1">IFERROR(__xludf.DUMMYFUNCTION("IMPORTRANGE(H19176,""IDENTITAS UNIT!D9"")"),"#N/A")</f>
        <v>#N/A</v>
      </c>
      <c r="H19176" s="4" t="str">
        <v/>
      </c>
      <c r="I19176" s="4" t="str">
        <v/>
      </c>
    </row>
    <row r="19177" spans="5:9" ht="16.5" hidden="1">
      <c r="E19177" s="4" t="str">
        <v/>
      </c>
      <c r="F19177" s="102" t="str">
        <f ca="1">IFERROR(__xludf.DUMMYFUNCTION("IMPORTRANGE(H19177,""IDENTITAS UNIT!D9"")"),"#N/A")</f>
        <v>#N/A</v>
      </c>
      <c r="H19177" s="4" t="str">
        <v/>
      </c>
      <c r="I19177" s="4" t="str">
        <v/>
      </c>
    </row>
    <row r="19178" spans="5:9" ht="16.5" hidden="1">
      <c r="E19178" s="4" t="str">
        <v/>
      </c>
      <c r="F19178" s="102" t="str">
        <f ca="1">IFERROR(__xludf.DUMMYFUNCTION("IMPORTRANGE(H19178,""IDENTITAS UNIT!D9"")"),"#N/A")</f>
        <v>#N/A</v>
      </c>
      <c r="H19178" s="4" t="str">
        <v/>
      </c>
      <c r="I19178" s="4" t="str">
        <v/>
      </c>
    </row>
    <row r="19179" spans="5:9" ht="16.5" hidden="1">
      <c r="E19179" s="4" t="str">
        <v/>
      </c>
      <c r="F19179" s="102" t="str">
        <f ca="1">IFERROR(__xludf.DUMMYFUNCTION("IMPORTRANGE(H19179,""IDENTITAS UNIT!D9"")"),"#N/A")</f>
        <v>#N/A</v>
      </c>
      <c r="H19179" s="4" t="str">
        <v/>
      </c>
      <c r="I19179" s="4" t="str">
        <v/>
      </c>
    </row>
    <row r="19180" spans="5:9" ht="16.5" hidden="1">
      <c r="E19180" s="4" t="str">
        <v/>
      </c>
      <c r="F19180" s="102" t="str">
        <f ca="1">IFERROR(__xludf.DUMMYFUNCTION("IMPORTRANGE(H19180,""IDENTITAS UNIT!D9"")"),"#N/A")</f>
        <v>#N/A</v>
      </c>
      <c r="H19180" s="4" t="str">
        <v/>
      </c>
      <c r="I19180" s="4" t="str">
        <v/>
      </c>
    </row>
    <row r="19181" spans="5:9" ht="16.5" hidden="1">
      <c r="E19181" s="4" t="str">
        <v/>
      </c>
      <c r="F19181" s="102" t="str">
        <f ca="1">IFERROR(__xludf.DUMMYFUNCTION("IMPORTRANGE(H19181,""IDENTITAS UNIT!D9"")"),"#N/A")</f>
        <v>#N/A</v>
      </c>
      <c r="H19181" s="4" t="str">
        <v/>
      </c>
      <c r="I19181" s="4" t="str">
        <v/>
      </c>
    </row>
    <row r="19182" spans="5:9" ht="16.5" hidden="1">
      <c r="E19182" s="4" t="str">
        <v/>
      </c>
      <c r="F19182" s="102" t="str">
        <f ca="1">IFERROR(__xludf.DUMMYFUNCTION("IMPORTRANGE(H19182,""IDENTITAS UNIT!D9"")"),"#N/A")</f>
        <v>#N/A</v>
      </c>
      <c r="H19182" s="4" t="str">
        <v/>
      </c>
      <c r="I19182" s="4" t="str">
        <v/>
      </c>
    </row>
    <row r="19183" spans="5:9" ht="16.5" hidden="1">
      <c r="E19183" s="4" t="str">
        <v/>
      </c>
      <c r="F19183" s="102" t="str">
        <f ca="1">IFERROR(__xludf.DUMMYFUNCTION("IMPORTRANGE(H19183,""IDENTITAS UNIT!D9"")"),"#N/A")</f>
        <v>#N/A</v>
      </c>
      <c r="H19183" s="4" t="str">
        <v/>
      </c>
      <c r="I19183" s="4" t="str">
        <v/>
      </c>
    </row>
    <row r="19184" spans="5:9" ht="16.5" hidden="1">
      <c r="E19184" s="4" t="str">
        <v/>
      </c>
      <c r="F19184" s="102" t="str">
        <f ca="1">IFERROR(__xludf.DUMMYFUNCTION("IMPORTRANGE(H19184,""IDENTITAS UNIT!D9"")"),"#N/A")</f>
        <v>#N/A</v>
      </c>
      <c r="H19184" s="4" t="str">
        <v/>
      </c>
      <c r="I19184" s="4" t="str">
        <v/>
      </c>
    </row>
    <row r="19185" spans="5:9" ht="16.5" hidden="1">
      <c r="E19185" s="4" t="str">
        <v/>
      </c>
      <c r="F19185" s="102" t="str">
        <f ca="1">IFERROR(__xludf.DUMMYFUNCTION("IMPORTRANGE(H19185,""IDENTITAS UNIT!D9"")"),"#N/A")</f>
        <v>#N/A</v>
      </c>
      <c r="H19185" s="4" t="str">
        <v/>
      </c>
      <c r="I19185" s="4" t="str">
        <v/>
      </c>
    </row>
    <row r="19186" spans="5:9" ht="16.5" hidden="1">
      <c r="E19186" s="4" t="str">
        <v/>
      </c>
      <c r="F19186" s="102" t="str">
        <f ca="1">IFERROR(__xludf.DUMMYFUNCTION("IMPORTRANGE(H19186,""IDENTITAS UNIT!D9"")"),"#N/A")</f>
        <v>#N/A</v>
      </c>
      <c r="H19186" s="4" t="str">
        <v/>
      </c>
      <c r="I19186" s="4" t="str">
        <v/>
      </c>
    </row>
    <row r="19187" spans="5:9" ht="16.5" hidden="1">
      <c r="E19187" s="4" t="str">
        <v/>
      </c>
      <c r="F19187" s="102" t="str">
        <f ca="1">IFERROR(__xludf.DUMMYFUNCTION("IMPORTRANGE(H19187,""IDENTITAS UNIT!D9"")"),"#N/A")</f>
        <v>#N/A</v>
      </c>
      <c r="H19187" s="4" t="str">
        <v/>
      </c>
      <c r="I19187" s="4" t="str">
        <v/>
      </c>
    </row>
    <row r="19188" spans="5:9" ht="16.5" hidden="1">
      <c r="E19188" s="4" t="str">
        <v/>
      </c>
      <c r="F19188" s="102" t="str">
        <f ca="1">IFERROR(__xludf.DUMMYFUNCTION("IMPORTRANGE(H19188,""IDENTITAS UNIT!D9"")"),"#N/A")</f>
        <v>#N/A</v>
      </c>
      <c r="H19188" s="4" t="str">
        <v/>
      </c>
      <c r="I19188" s="4" t="str">
        <v/>
      </c>
    </row>
    <row r="19189" spans="5:9" ht="16.5" hidden="1">
      <c r="E19189" s="4" t="str">
        <v/>
      </c>
      <c r="F19189" s="102" t="str">
        <f ca="1">IFERROR(__xludf.DUMMYFUNCTION("IMPORTRANGE(H19189,""IDENTITAS UNIT!D9"")"),"#N/A")</f>
        <v>#N/A</v>
      </c>
      <c r="H19189" s="4" t="str">
        <v/>
      </c>
      <c r="I19189" s="4" t="str">
        <v/>
      </c>
    </row>
    <row r="19190" spans="5:9" ht="16.5" hidden="1">
      <c r="E19190" s="4" t="str">
        <v/>
      </c>
      <c r="F19190" s="102" t="str">
        <f ca="1">IFERROR(__xludf.DUMMYFUNCTION("IMPORTRANGE(H19190,""IDENTITAS UNIT!D9"")"),"#N/A")</f>
        <v>#N/A</v>
      </c>
      <c r="H19190" s="4" t="str">
        <v/>
      </c>
      <c r="I19190" s="4" t="str">
        <v/>
      </c>
    </row>
    <row r="19191" spans="5:9" ht="16.5" hidden="1">
      <c r="E19191" s="4" t="str">
        <v/>
      </c>
      <c r="F19191" s="102" t="str">
        <f ca="1">IFERROR(__xludf.DUMMYFUNCTION("IMPORTRANGE(H19191,""IDENTITAS UNIT!D9"")"),"#N/A")</f>
        <v>#N/A</v>
      </c>
      <c r="H19191" s="4" t="str">
        <v/>
      </c>
      <c r="I19191" s="4" t="str">
        <v/>
      </c>
    </row>
    <row r="19192" spans="5:9" ht="16.5" hidden="1">
      <c r="E19192" s="4" t="str">
        <v/>
      </c>
      <c r="F19192" s="102" t="str">
        <f ca="1">IFERROR(__xludf.DUMMYFUNCTION("IMPORTRANGE(H19192,""IDENTITAS UNIT!D9"")"),"#N/A")</f>
        <v>#N/A</v>
      </c>
      <c r="H19192" s="4" t="str">
        <v/>
      </c>
      <c r="I19192" s="4" t="str">
        <v/>
      </c>
    </row>
    <row r="19193" spans="5:9" ht="16.5" hidden="1">
      <c r="E19193" s="4" t="str">
        <v/>
      </c>
      <c r="F19193" s="102" t="str">
        <f ca="1">IFERROR(__xludf.DUMMYFUNCTION("IMPORTRANGE(H19193,""IDENTITAS UNIT!D9"")"),"#N/A")</f>
        <v>#N/A</v>
      </c>
      <c r="H19193" s="4" t="str">
        <v/>
      </c>
      <c r="I19193" s="4" t="str">
        <v/>
      </c>
    </row>
    <row r="19194" spans="5:9" ht="16.5" hidden="1">
      <c r="E19194" s="4" t="str">
        <v/>
      </c>
      <c r="F19194" s="102" t="str">
        <f ca="1">IFERROR(__xludf.DUMMYFUNCTION("IMPORTRANGE(H19194,""IDENTITAS UNIT!D9"")"),"#N/A")</f>
        <v>#N/A</v>
      </c>
      <c r="H19194" s="4" t="str">
        <v/>
      </c>
      <c r="I19194" s="4" t="str">
        <v/>
      </c>
    </row>
    <row r="19195" spans="5:9" ht="16.5" hidden="1">
      <c r="E19195" s="4" t="str">
        <v/>
      </c>
      <c r="F19195" s="102" t="str">
        <f ca="1">IFERROR(__xludf.DUMMYFUNCTION("IMPORTRANGE(H19195,""IDENTITAS UNIT!D9"")"),"#N/A")</f>
        <v>#N/A</v>
      </c>
      <c r="H19195" s="4" t="str">
        <v/>
      </c>
      <c r="I19195" s="4" t="str">
        <v/>
      </c>
    </row>
    <row r="19196" spans="5:9" ht="16.5" hidden="1">
      <c r="E19196" s="4" t="str">
        <v/>
      </c>
      <c r="F19196" s="102" t="str">
        <f ca="1">IFERROR(__xludf.DUMMYFUNCTION("IMPORTRANGE(H19196,""IDENTITAS UNIT!D9"")"),"#N/A")</f>
        <v>#N/A</v>
      </c>
      <c r="H19196" s="4" t="str">
        <v/>
      </c>
      <c r="I19196" s="4" t="str">
        <v/>
      </c>
    </row>
    <row r="19197" spans="5:9" ht="16.5" hidden="1">
      <c r="E19197" s="4" t="str">
        <v/>
      </c>
      <c r="F19197" s="102" t="str">
        <f ca="1">IFERROR(__xludf.DUMMYFUNCTION("IMPORTRANGE(H19197,""IDENTITAS UNIT!D9"")"),"#N/A")</f>
        <v>#N/A</v>
      </c>
      <c r="H19197" s="4" t="str">
        <v/>
      </c>
      <c r="I19197" s="4" t="str">
        <v/>
      </c>
    </row>
    <row r="19198" spans="5:9" ht="16.5" hidden="1">
      <c r="E19198" s="4" t="str">
        <v/>
      </c>
      <c r="F19198" s="102" t="str">
        <f ca="1">IFERROR(__xludf.DUMMYFUNCTION("IMPORTRANGE(H19198,""IDENTITAS UNIT!D9"")"),"#N/A")</f>
        <v>#N/A</v>
      </c>
      <c r="H19198" s="4" t="str">
        <v/>
      </c>
      <c r="I19198" s="4" t="str">
        <v/>
      </c>
    </row>
    <row r="19199" spans="5:9" ht="16.5" hidden="1">
      <c r="E19199" s="4" t="str">
        <v/>
      </c>
      <c r="F19199" s="102" t="str">
        <f ca="1">IFERROR(__xludf.DUMMYFUNCTION("IMPORTRANGE(H19199,""IDENTITAS UNIT!D9"")"),"#N/A")</f>
        <v>#N/A</v>
      </c>
      <c r="H19199" s="4" t="str">
        <v/>
      </c>
      <c r="I19199" s="4" t="str">
        <v/>
      </c>
    </row>
    <row r="19200" spans="5:9" ht="16.5" hidden="1">
      <c r="E19200" s="4" t="str">
        <v/>
      </c>
      <c r="F19200" s="102" t="str">
        <f ca="1">IFERROR(__xludf.DUMMYFUNCTION("IMPORTRANGE(H19200,""IDENTITAS UNIT!D9"")"),"#N/A")</f>
        <v>#N/A</v>
      </c>
      <c r="H19200" s="4" t="str">
        <v/>
      </c>
      <c r="I19200" s="4" t="str">
        <v/>
      </c>
    </row>
    <row r="19201" spans="5:9" ht="16.5" hidden="1">
      <c r="E19201" s="4" t="str">
        <v/>
      </c>
      <c r="F19201" s="102" t="str">
        <f ca="1">IFERROR(__xludf.DUMMYFUNCTION("IMPORTRANGE(H19201,""IDENTITAS UNIT!D9"")"),"#N/A")</f>
        <v>#N/A</v>
      </c>
      <c r="H19201" s="4" t="str">
        <v/>
      </c>
      <c r="I19201" s="4" t="str">
        <v/>
      </c>
    </row>
    <row r="19202" spans="5:9" ht="16.5" hidden="1">
      <c r="E19202" s="4" t="str">
        <v/>
      </c>
      <c r="F19202" s="102" t="str">
        <f ca="1">IFERROR(__xludf.DUMMYFUNCTION("IMPORTRANGE(H19202,""IDENTITAS UNIT!D9"")"),"#N/A")</f>
        <v>#N/A</v>
      </c>
      <c r="H19202" s="4" t="str">
        <v/>
      </c>
      <c r="I19202" s="4" t="str">
        <v/>
      </c>
    </row>
    <row r="19203" spans="5:9" ht="16.5" hidden="1">
      <c r="E19203" s="4" t="str">
        <v/>
      </c>
      <c r="F19203" s="102" t="str">
        <f ca="1">IFERROR(__xludf.DUMMYFUNCTION("IMPORTRANGE(H19203,""IDENTITAS UNIT!D9"")"),"#N/A")</f>
        <v>#N/A</v>
      </c>
      <c r="H19203" s="4" t="str">
        <v/>
      </c>
      <c r="I19203" s="4" t="str">
        <v/>
      </c>
    </row>
    <row r="19204" spans="5:9" ht="16.5" hidden="1">
      <c r="E19204" s="4" t="str">
        <v/>
      </c>
      <c r="F19204" s="102" t="str">
        <f ca="1">IFERROR(__xludf.DUMMYFUNCTION("IMPORTRANGE(H19204,""IDENTITAS UNIT!D9"")"),"#N/A")</f>
        <v>#N/A</v>
      </c>
      <c r="H19204" s="4" t="str">
        <v/>
      </c>
      <c r="I19204" s="4" t="str">
        <v/>
      </c>
    </row>
    <row r="19205" spans="5:9" ht="16.5" hidden="1">
      <c r="E19205" s="4" t="str">
        <v/>
      </c>
      <c r="F19205" s="102" t="str">
        <f ca="1">IFERROR(__xludf.DUMMYFUNCTION("IMPORTRANGE(H19205,""IDENTITAS UNIT!D9"")"),"#N/A")</f>
        <v>#N/A</v>
      </c>
      <c r="H19205" s="4" t="str">
        <v/>
      </c>
      <c r="I19205" s="4" t="str">
        <v/>
      </c>
    </row>
    <row r="19206" spans="5:9" ht="16.5" hidden="1">
      <c r="E19206" s="4" t="str">
        <v/>
      </c>
      <c r="F19206" s="102" t="str">
        <f ca="1">IFERROR(__xludf.DUMMYFUNCTION("IMPORTRANGE(H19206,""IDENTITAS UNIT!D9"")"),"#N/A")</f>
        <v>#N/A</v>
      </c>
      <c r="H19206" s="4" t="str">
        <v/>
      </c>
      <c r="I19206" s="4" t="str">
        <v/>
      </c>
    </row>
    <row r="19207" spans="5:9" ht="16.5" hidden="1">
      <c r="E19207" s="4" t="str">
        <v/>
      </c>
      <c r="F19207" s="102" t="str">
        <f ca="1">IFERROR(__xludf.DUMMYFUNCTION("IMPORTRANGE(H19207,""IDENTITAS UNIT!D9"")"),"#N/A")</f>
        <v>#N/A</v>
      </c>
      <c r="H19207" s="4" t="str">
        <v/>
      </c>
      <c r="I19207" s="4" t="str">
        <v/>
      </c>
    </row>
    <row r="19208" spans="5:9" ht="16.5" hidden="1">
      <c r="E19208" s="4" t="str">
        <v/>
      </c>
      <c r="F19208" s="102" t="str">
        <f ca="1">IFERROR(__xludf.DUMMYFUNCTION("IMPORTRANGE(H19208,""IDENTITAS UNIT!D9"")"),"#N/A")</f>
        <v>#N/A</v>
      </c>
      <c r="H19208" s="4" t="str">
        <v/>
      </c>
      <c r="I19208" s="4" t="str">
        <v/>
      </c>
    </row>
    <row r="19209" spans="5:9" ht="16.5" hidden="1">
      <c r="E19209" s="4" t="str">
        <v/>
      </c>
      <c r="F19209" s="102" t="str">
        <f ca="1">IFERROR(__xludf.DUMMYFUNCTION("IMPORTRANGE(H19209,""IDENTITAS UNIT!D9"")"),"#N/A")</f>
        <v>#N/A</v>
      </c>
      <c r="H19209" s="4" t="str">
        <v/>
      </c>
      <c r="I19209" s="4" t="str">
        <v/>
      </c>
    </row>
    <row r="19210" spans="5:9" ht="16.5" hidden="1">
      <c r="E19210" s="4" t="str">
        <v/>
      </c>
      <c r="F19210" s="102" t="str">
        <f ca="1">IFERROR(__xludf.DUMMYFUNCTION("IMPORTRANGE(H19210,""IDENTITAS UNIT!D9"")"),"#N/A")</f>
        <v>#N/A</v>
      </c>
      <c r="H19210" s="4" t="str">
        <v/>
      </c>
      <c r="I19210" s="4" t="str">
        <v/>
      </c>
    </row>
    <row r="19211" spans="5:9" ht="16.5" hidden="1">
      <c r="E19211" s="4" t="str">
        <v/>
      </c>
      <c r="F19211" s="102" t="str">
        <f ca="1">IFERROR(__xludf.DUMMYFUNCTION("IMPORTRANGE(H19211,""IDENTITAS UNIT!D9"")"),"#N/A")</f>
        <v>#N/A</v>
      </c>
      <c r="H19211" s="4" t="str">
        <v/>
      </c>
      <c r="I19211" s="4" t="str">
        <v/>
      </c>
    </row>
    <row r="19212" spans="5:9" ht="16.5" hidden="1">
      <c r="E19212" s="4" t="str">
        <v/>
      </c>
      <c r="F19212" s="102" t="str">
        <f ca="1">IFERROR(__xludf.DUMMYFUNCTION("IMPORTRANGE(H19212,""IDENTITAS UNIT!D9"")"),"#N/A")</f>
        <v>#N/A</v>
      </c>
      <c r="H19212" s="4" t="str">
        <v/>
      </c>
      <c r="I19212" s="4" t="str">
        <v/>
      </c>
    </row>
    <row r="19213" spans="5:9" ht="16.5" hidden="1">
      <c r="E19213" s="4" t="str">
        <v/>
      </c>
      <c r="F19213" s="102" t="str">
        <f ca="1">IFERROR(__xludf.DUMMYFUNCTION("IMPORTRANGE(H19213,""IDENTITAS UNIT!D9"")"),"#N/A")</f>
        <v>#N/A</v>
      </c>
      <c r="H19213" s="4" t="str">
        <v/>
      </c>
      <c r="I19213" s="4" t="str">
        <v/>
      </c>
    </row>
    <row r="19214" spans="5:9" ht="16.5" hidden="1">
      <c r="E19214" s="4" t="str">
        <v/>
      </c>
      <c r="F19214" s="102" t="str">
        <f ca="1">IFERROR(__xludf.DUMMYFUNCTION("IMPORTRANGE(H19214,""IDENTITAS UNIT!D9"")"),"#N/A")</f>
        <v>#N/A</v>
      </c>
      <c r="H19214" s="4" t="str">
        <v/>
      </c>
      <c r="I19214" s="4" t="str">
        <v/>
      </c>
    </row>
    <row r="19215" spans="5:9" ht="16.5" hidden="1">
      <c r="E19215" s="4" t="str">
        <v/>
      </c>
      <c r="F19215" s="102" t="str">
        <f ca="1">IFERROR(__xludf.DUMMYFUNCTION("IMPORTRANGE(H19215,""IDENTITAS UNIT!D9"")"),"#N/A")</f>
        <v>#N/A</v>
      </c>
      <c r="H19215" s="4" t="str">
        <v/>
      </c>
      <c r="I19215" s="4" t="str">
        <v/>
      </c>
    </row>
    <row r="19216" spans="5:9" ht="16.5" hidden="1">
      <c r="E19216" s="4" t="str">
        <v/>
      </c>
      <c r="F19216" s="102" t="str">
        <f ca="1">IFERROR(__xludf.DUMMYFUNCTION("IMPORTRANGE(H19216,""IDENTITAS UNIT!D9"")"),"#N/A")</f>
        <v>#N/A</v>
      </c>
      <c r="H19216" s="4" t="str">
        <v/>
      </c>
      <c r="I19216" s="4" t="str">
        <v/>
      </c>
    </row>
    <row r="19217" spans="5:9" ht="16.5" hidden="1">
      <c r="E19217" s="4" t="str">
        <v/>
      </c>
      <c r="F19217" s="102" t="str">
        <f ca="1">IFERROR(__xludf.DUMMYFUNCTION("IMPORTRANGE(H19217,""IDENTITAS UNIT!D9"")"),"#N/A")</f>
        <v>#N/A</v>
      </c>
      <c r="H19217" s="4" t="str">
        <v/>
      </c>
      <c r="I19217" s="4" t="str">
        <v/>
      </c>
    </row>
    <row r="19218" spans="5:9" ht="16.5" hidden="1">
      <c r="E19218" s="4" t="str">
        <v/>
      </c>
      <c r="F19218" s="102" t="str">
        <f ca="1">IFERROR(__xludf.DUMMYFUNCTION("IMPORTRANGE(H19218,""IDENTITAS UNIT!D9"")"),"#N/A")</f>
        <v>#N/A</v>
      </c>
      <c r="H19218" s="4" t="str">
        <v/>
      </c>
      <c r="I19218" s="4" t="str">
        <v/>
      </c>
    </row>
    <row r="19219" spans="5:9" ht="16.5" hidden="1">
      <c r="E19219" s="4" t="str">
        <v/>
      </c>
      <c r="F19219" s="102" t="str">
        <f ca="1">IFERROR(__xludf.DUMMYFUNCTION("IMPORTRANGE(H19219,""IDENTITAS UNIT!D9"")"),"#N/A")</f>
        <v>#N/A</v>
      </c>
      <c r="H19219" s="4" t="str">
        <v/>
      </c>
      <c r="I19219" s="4" t="str">
        <v/>
      </c>
    </row>
    <row r="19220" spans="5:9" ht="16.5" hidden="1">
      <c r="E19220" s="4" t="str">
        <v/>
      </c>
      <c r="F19220" s="102" t="str">
        <f ca="1">IFERROR(__xludf.DUMMYFUNCTION("IMPORTRANGE(H19220,""IDENTITAS UNIT!D9"")"),"#N/A")</f>
        <v>#N/A</v>
      </c>
      <c r="H19220" s="4" t="str">
        <v/>
      </c>
      <c r="I19220" s="4" t="str">
        <v/>
      </c>
    </row>
    <row r="19221" spans="5:9" ht="16.5" hidden="1">
      <c r="E19221" s="4" t="str">
        <v/>
      </c>
      <c r="F19221" s="102" t="str">
        <f ca="1">IFERROR(__xludf.DUMMYFUNCTION("IMPORTRANGE(H19221,""IDENTITAS UNIT!D9"")"),"#N/A")</f>
        <v>#N/A</v>
      </c>
      <c r="H19221" s="4" t="str">
        <v/>
      </c>
      <c r="I19221" s="4" t="str">
        <v/>
      </c>
    </row>
    <row r="19222" spans="5:9" ht="16.5" hidden="1">
      <c r="E19222" s="4" t="str">
        <v/>
      </c>
      <c r="F19222" s="102" t="str">
        <f ca="1">IFERROR(__xludf.DUMMYFUNCTION("IMPORTRANGE(H19222,""IDENTITAS UNIT!D9"")"),"#N/A")</f>
        <v>#N/A</v>
      </c>
      <c r="H19222" s="4" t="str">
        <v/>
      </c>
      <c r="I19222" s="4" t="str">
        <v/>
      </c>
    </row>
    <row r="19223" spans="5:9" ht="16.5" hidden="1">
      <c r="E19223" s="4" t="str">
        <v/>
      </c>
      <c r="F19223" s="102" t="str">
        <f ca="1">IFERROR(__xludf.DUMMYFUNCTION("IMPORTRANGE(H19223,""IDENTITAS UNIT!D9"")"),"#N/A")</f>
        <v>#N/A</v>
      </c>
      <c r="H19223" s="4" t="str">
        <v/>
      </c>
      <c r="I19223" s="4" t="str">
        <v/>
      </c>
    </row>
    <row r="19224" spans="5:9" ht="16.5" hidden="1">
      <c r="E19224" s="4" t="str">
        <v/>
      </c>
      <c r="F19224" s="102" t="str">
        <f ca="1">IFERROR(__xludf.DUMMYFUNCTION("IMPORTRANGE(H19224,""IDENTITAS UNIT!D9"")"),"#N/A")</f>
        <v>#N/A</v>
      </c>
      <c r="H19224" s="4" t="str">
        <v/>
      </c>
      <c r="I19224" s="4" t="str">
        <v/>
      </c>
    </row>
    <row r="19225" spans="5:9" ht="16.5" hidden="1">
      <c r="E19225" s="4" t="str">
        <v/>
      </c>
      <c r="F19225" s="102" t="str">
        <f ca="1">IFERROR(__xludf.DUMMYFUNCTION("IMPORTRANGE(H19225,""IDENTITAS UNIT!D9"")"),"#N/A")</f>
        <v>#N/A</v>
      </c>
      <c r="H19225" s="4" t="str">
        <v/>
      </c>
      <c r="I19225" s="4" t="str">
        <v/>
      </c>
    </row>
    <row r="19226" spans="5:9" ht="16.5" hidden="1">
      <c r="E19226" s="4" t="str">
        <v/>
      </c>
      <c r="F19226" s="102" t="str">
        <f ca="1">IFERROR(__xludf.DUMMYFUNCTION("IMPORTRANGE(H19226,""IDENTITAS UNIT!D9"")"),"#N/A")</f>
        <v>#N/A</v>
      </c>
      <c r="H19226" s="4" t="str">
        <v/>
      </c>
      <c r="I19226" s="4" t="str">
        <v/>
      </c>
    </row>
    <row r="19227" spans="5:9" ht="16.5" hidden="1">
      <c r="E19227" s="4" t="str">
        <v/>
      </c>
      <c r="F19227" s="102" t="str">
        <f ca="1">IFERROR(__xludf.DUMMYFUNCTION("IMPORTRANGE(H19227,""IDENTITAS UNIT!D9"")"),"#N/A")</f>
        <v>#N/A</v>
      </c>
      <c r="H19227" s="4" t="str">
        <v/>
      </c>
      <c r="I19227" s="4" t="str">
        <v/>
      </c>
    </row>
    <row r="19228" spans="5:9" ht="16.5" hidden="1">
      <c r="E19228" s="4" t="str">
        <v/>
      </c>
      <c r="F19228" s="102" t="str">
        <f ca="1">IFERROR(__xludf.DUMMYFUNCTION("IMPORTRANGE(H19228,""IDENTITAS UNIT!D9"")"),"#N/A")</f>
        <v>#N/A</v>
      </c>
      <c r="H19228" s="4" t="str">
        <v/>
      </c>
      <c r="I19228" s="4" t="str">
        <v/>
      </c>
    </row>
    <row r="19229" spans="5:9" ht="16.5" hidden="1">
      <c r="E19229" s="4" t="str">
        <v/>
      </c>
      <c r="F19229" s="102" t="str">
        <f ca="1">IFERROR(__xludf.DUMMYFUNCTION("IMPORTRANGE(H19229,""IDENTITAS UNIT!D9"")"),"#N/A")</f>
        <v>#N/A</v>
      </c>
      <c r="H19229" s="4" t="str">
        <v/>
      </c>
      <c r="I19229" s="4" t="str">
        <v/>
      </c>
    </row>
    <row r="19230" spans="5:9" ht="16.5" hidden="1">
      <c r="E19230" s="4" t="str">
        <v/>
      </c>
      <c r="F19230" s="102" t="str">
        <f ca="1">IFERROR(__xludf.DUMMYFUNCTION("IMPORTRANGE(H19230,""IDENTITAS UNIT!D9"")"),"#N/A")</f>
        <v>#N/A</v>
      </c>
      <c r="H19230" s="4" t="str">
        <v/>
      </c>
      <c r="I19230" s="4" t="str">
        <v/>
      </c>
    </row>
    <row r="19231" spans="5:9" ht="16.5" hidden="1">
      <c r="E19231" s="4" t="str">
        <v/>
      </c>
      <c r="F19231" s="102" t="str">
        <f ca="1">IFERROR(__xludf.DUMMYFUNCTION("IMPORTRANGE(H19231,""IDENTITAS UNIT!D9"")"),"#N/A")</f>
        <v>#N/A</v>
      </c>
      <c r="H19231" s="4" t="str">
        <v/>
      </c>
      <c r="I19231" s="4" t="str">
        <v/>
      </c>
    </row>
    <row r="19232" spans="5:9" ht="16.5" hidden="1">
      <c r="E19232" s="4" t="str">
        <v/>
      </c>
      <c r="F19232" s="102" t="str">
        <f ca="1">IFERROR(__xludf.DUMMYFUNCTION("IMPORTRANGE(H19232,""IDENTITAS UNIT!D9"")"),"#N/A")</f>
        <v>#N/A</v>
      </c>
      <c r="H19232" s="4" t="str">
        <v/>
      </c>
      <c r="I19232" s="4" t="str">
        <v/>
      </c>
    </row>
    <row r="19233" spans="5:9" ht="16.5" hidden="1">
      <c r="E19233" s="4" t="str">
        <v/>
      </c>
      <c r="F19233" s="102" t="str">
        <f ca="1">IFERROR(__xludf.DUMMYFUNCTION("IMPORTRANGE(H19233,""IDENTITAS UNIT!D9"")"),"#N/A")</f>
        <v>#N/A</v>
      </c>
      <c r="H19233" s="4" t="str">
        <v/>
      </c>
      <c r="I19233" s="4" t="str">
        <v/>
      </c>
    </row>
    <row r="19234" spans="5:9" ht="16.5" hidden="1">
      <c r="E19234" s="4" t="str">
        <v/>
      </c>
      <c r="F19234" s="102" t="str">
        <f ca="1">IFERROR(__xludf.DUMMYFUNCTION("IMPORTRANGE(H19234,""IDENTITAS UNIT!D9"")"),"#N/A")</f>
        <v>#N/A</v>
      </c>
      <c r="H19234" s="4" t="str">
        <v/>
      </c>
      <c r="I19234" s="4" t="str">
        <v/>
      </c>
    </row>
    <row r="19235" spans="5:9" ht="16.5" hidden="1">
      <c r="E19235" s="4" t="str">
        <v/>
      </c>
      <c r="F19235" s="102" t="str">
        <f ca="1">IFERROR(__xludf.DUMMYFUNCTION("IMPORTRANGE(H19235,""IDENTITAS UNIT!D9"")"),"#N/A")</f>
        <v>#N/A</v>
      </c>
      <c r="H19235" s="4" t="str">
        <v/>
      </c>
      <c r="I19235" s="4" t="str">
        <v/>
      </c>
    </row>
    <row r="19236" spans="5:9" ht="16.5" hidden="1">
      <c r="E19236" s="4" t="str">
        <v/>
      </c>
      <c r="F19236" s="102" t="str">
        <f ca="1">IFERROR(__xludf.DUMMYFUNCTION("IMPORTRANGE(H19236,""IDENTITAS UNIT!D9"")"),"#N/A")</f>
        <v>#N/A</v>
      </c>
      <c r="H19236" s="4" t="str">
        <v/>
      </c>
      <c r="I19236" s="4" t="str">
        <v/>
      </c>
    </row>
    <row r="19237" spans="5:9" ht="16.5" hidden="1">
      <c r="E19237" s="4" t="str">
        <v/>
      </c>
      <c r="F19237" s="102" t="str">
        <f ca="1">IFERROR(__xludf.DUMMYFUNCTION("IMPORTRANGE(H19237,""IDENTITAS UNIT!D9"")"),"#N/A")</f>
        <v>#N/A</v>
      </c>
      <c r="H19237" s="4" t="str">
        <v/>
      </c>
      <c r="I19237" s="4" t="str">
        <v/>
      </c>
    </row>
    <row r="19238" spans="5:9" ht="16.5" hidden="1">
      <c r="E19238" s="4" t="str">
        <v/>
      </c>
      <c r="F19238" s="102" t="str">
        <f ca="1">IFERROR(__xludf.DUMMYFUNCTION("IMPORTRANGE(H19238,""IDENTITAS UNIT!D9"")"),"#N/A")</f>
        <v>#N/A</v>
      </c>
      <c r="H19238" s="4" t="str">
        <v/>
      </c>
      <c r="I19238" s="4" t="str">
        <v/>
      </c>
    </row>
    <row r="19239" spans="5:9" ht="16.5" hidden="1">
      <c r="E19239" s="4" t="str">
        <v/>
      </c>
      <c r="F19239" s="102" t="str">
        <f ca="1">IFERROR(__xludf.DUMMYFUNCTION("IMPORTRANGE(H19239,""IDENTITAS UNIT!D9"")"),"#N/A")</f>
        <v>#N/A</v>
      </c>
      <c r="H19239" s="4" t="str">
        <v/>
      </c>
      <c r="I19239" s="4" t="str">
        <v/>
      </c>
    </row>
    <row r="19240" spans="5:9" ht="16.5" hidden="1">
      <c r="E19240" s="4" t="str">
        <v/>
      </c>
      <c r="F19240" s="102" t="str">
        <f ca="1">IFERROR(__xludf.DUMMYFUNCTION("IMPORTRANGE(H19240,""IDENTITAS UNIT!D9"")"),"#N/A")</f>
        <v>#N/A</v>
      </c>
      <c r="H19240" s="4" t="str">
        <v/>
      </c>
      <c r="I19240" s="4" t="str">
        <v/>
      </c>
    </row>
    <row r="19241" spans="5:9" ht="16.5" hidden="1">
      <c r="E19241" s="4" t="str">
        <v/>
      </c>
      <c r="F19241" s="102" t="str">
        <f ca="1">IFERROR(__xludf.DUMMYFUNCTION("IMPORTRANGE(H19241,""IDENTITAS UNIT!D9"")"),"#N/A")</f>
        <v>#N/A</v>
      </c>
      <c r="H19241" s="4" t="str">
        <v/>
      </c>
      <c r="I19241" s="4" t="str">
        <v/>
      </c>
    </row>
    <row r="19242" spans="5:9" ht="16.5" hidden="1">
      <c r="E19242" s="4" t="str">
        <v/>
      </c>
      <c r="F19242" s="102" t="str">
        <f ca="1">IFERROR(__xludf.DUMMYFUNCTION("IMPORTRANGE(H19242,""IDENTITAS UNIT!D9"")"),"#N/A")</f>
        <v>#N/A</v>
      </c>
      <c r="H19242" s="4" t="str">
        <v/>
      </c>
      <c r="I19242" s="4" t="str">
        <v/>
      </c>
    </row>
    <row r="19243" spans="5:9" ht="16.5" hidden="1">
      <c r="E19243" s="4" t="str">
        <v/>
      </c>
      <c r="F19243" s="102" t="str">
        <f ca="1">IFERROR(__xludf.DUMMYFUNCTION("IMPORTRANGE(H19243,""IDENTITAS UNIT!D9"")"),"#N/A")</f>
        <v>#N/A</v>
      </c>
      <c r="H19243" s="4" t="str">
        <v/>
      </c>
      <c r="I19243" s="4" t="str">
        <v/>
      </c>
    </row>
    <row r="19244" spans="5:9" ht="16.5" hidden="1">
      <c r="E19244" s="4" t="str">
        <v/>
      </c>
      <c r="F19244" s="102" t="str">
        <f ca="1">IFERROR(__xludf.DUMMYFUNCTION("IMPORTRANGE(H19244,""IDENTITAS UNIT!D9"")"),"#N/A")</f>
        <v>#N/A</v>
      </c>
      <c r="H19244" s="4" t="str">
        <v/>
      </c>
      <c r="I19244" s="4" t="str">
        <v/>
      </c>
    </row>
    <row r="19245" spans="5:9" ht="16.5" hidden="1">
      <c r="E19245" s="4" t="str">
        <v/>
      </c>
      <c r="F19245" s="102" t="str">
        <f ca="1">IFERROR(__xludf.DUMMYFUNCTION("IMPORTRANGE(H19245,""IDENTITAS UNIT!D9"")"),"#N/A")</f>
        <v>#N/A</v>
      </c>
      <c r="H19245" s="4" t="str">
        <v/>
      </c>
      <c r="I19245" s="4" t="str">
        <v/>
      </c>
    </row>
    <row r="19246" spans="5:9" ht="16.5" hidden="1">
      <c r="E19246" s="4" t="str">
        <v/>
      </c>
      <c r="F19246" s="102" t="str">
        <f ca="1">IFERROR(__xludf.DUMMYFUNCTION("IMPORTRANGE(H19246,""IDENTITAS UNIT!D9"")"),"#N/A")</f>
        <v>#N/A</v>
      </c>
      <c r="H19246" s="4" t="str">
        <v/>
      </c>
      <c r="I19246" s="4" t="str">
        <v/>
      </c>
    </row>
    <row r="19247" spans="5:9" ht="16.5" hidden="1">
      <c r="E19247" s="4" t="str">
        <v/>
      </c>
      <c r="F19247" s="102" t="str">
        <f ca="1">IFERROR(__xludf.DUMMYFUNCTION("IMPORTRANGE(H19247,""IDENTITAS UNIT!D9"")"),"#N/A")</f>
        <v>#N/A</v>
      </c>
      <c r="H19247" s="4" t="str">
        <v/>
      </c>
      <c r="I19247" s="4" t="str">
        <v/>
      </c>
    </row>
    <row r="19248" spans="5:9" ht="16.5" hidden="1">
      <c r="E19248" s="4" t="str">
        <v/>
      </c>
      <c r="F19248" s="102" t="str">
        <f ca="1">IFERROR(__xludf.DUMMYFUNCTION("IMPORTRANGE(H19248,""IDENTITAS UNIT!D9"")"),"#N/A")</f>
        <v>#N/A</v>
      </c>
      <c r="H19248" s="4" t="str">
        <v/>
      </c>
      <c r="I19248" s="4" t="str">
        <v/>
      </c>
    </row>
    <row r="19249" spans="5:9" ht="16.5" hidden="1">
      <c r="E19249" s="4" t="str">
        <v/>
      </c>
      <c r="F19249" s="102" t="str">
        <f ca="1">IFERROR(__xludf.DUMMYFUNCTION("IMPORTRANGE(H19249,""IDENTITAS UNIT!D9"")"),"#N/A")</f>
        <v>#N/A</v>
      </c>
      <c r="H19249" s="4" t="str">
        <v/>
      </c>
      <c r="I19249" s="4" t="str">
        <v/>
      </c>
    </row>
    <row r="19250" spans="5:9" ht="16.5" hidden="1">
      <c r="E19250" s="4" t="str">
        <v/>
      </c>
      <c r="F19250" s="102" t="str">
        <f ca="1">IFERROR(__xludf.DUMMYFUNCTION("IMPORTRANGE(H19250,""IDENTITAS UNIT!D9"")"),"#N/A")</f>
        <v>#N/A</v>
      </c>
      <c r="H19250" s="4" t="str">
        <v/>
      </c>
      <c r="I19250" s="4" t="str">
        <v/>
      </c>
    </row>
    <row r="19251" spans="5:9" ht="16.5" hidden="1">
      <c r="E19251" s="4" t="str">
        <v/>
      </c>
      <c r="F19251" s="102" t="str">
        <f ca="1">IFERROR(__xludf.DUMMYFUNCTION("IMPORTRANGE(H19251,""IDENTITAS UNIT!D9"")"),"#N/A")</f>
        <v>#N/A</v>
      </c>
      <c r="H19251" s="4" t="str">
        <v/>
      </c>
      <c r="I19251" s="4" t="str">
        <v/>
      </c>
    </row>
    <row r="19252" spans="5:9" ht="16.5" hidden="1">
      <c r="E19252" s="4" t="str">
        <v/>
      </c>
      <c r="F19252" s="102" t="str">
        <f ca="1">IFERROR(__xludf.DUMMYFUNCTION("IMPORTRANGE(H19252,""IDENTITAS UNIT!D9"")"),"#N/A")</f>
        <v>#N/A</v>
      </c>
      <c r="H19252" s="4" t="str">
        <v/>
      </c>
      <c r="I19252" s="4" t="str">
        <v/>
      </c>
    </row>
    <row r="19253" spans="5:9" ht="16.5" hidden="1">
      <c r="E19253" s="4" t="str">
        <v/>
      </c>
      <c r="F19253" s="102" t="str">
        <f ca="1">IFERROR(__xludf.DUMMYFUNCTION("IMPORTRANGE(H19253,""IDENTITAS UNIT!D9"")"),"#N/A")</f>
        <v>#N/A</v>
      </c>
      <c r="H19253" s="4" t="str">
        <v/>
      </c>
      <c r="I19253" s="4" t="str">
        <v/>
      </c>
    </row>
    <row r="19254" spans="5:9" ht="16.5" hidden="1">
      <c r="E19254" s="4" t="str">
        <v/>
      </c>
      <c r="F19254" s="102" t="str">
        <f ca="1">IFERROR(__xludf.DUMMYFUNCTION("IMPORTRANGE(H19254,""IDENTITAS UNIT!D9"")"),"#N/A")</f>
        <v>#N/A</v>
      </c>
      <c r="H19254" s="4" t="str">
        <v/>
      </c>
      <c r="I19254" s="4" t="str">
        <v/>
      </c>
    </row>
    <row r="19255" spans="5:9" ht="16.5" hidden="1">
      <c r="E19255" s="4" t="str">
        <v/>
      </c>
      <c r="F19255" s="102" t="str">
        <f ca="1">IFERROR(__xludf.DUMMYFUNCTION("IMPORTRANGE(H19255,""IDENTITAS UNIT!D9"")"),"#N/A")</f>
        <v>#N/A</v>
      </c>
      <c r="H19255" s="4" t="str">
        <v/>
      </c>
      <c r="I19255" s="4" t="str">
        <v/>
      </c>
    </row>
    <row r="19256" spans="5:9" ht="16.5" hidden="1">
      <c r="E19256" s="4" t="str">
        <v/>
      </c>
      <c r="F19256" s="102" t="str">
        <f ca="1">IFERROR(__xludf.DUMMYFUNCTION("IMPORTRANGE(H19256,""IDENTITAS UNIT!D9"")"),"#N/A")</f>
        <v>#N/A</v>
      </c>
      <c r="H19256" s="4" t="str">
        <v/>
      </c>
      <c r="I19256" s="4" t="str">
        <v/>
      </c>
    </row>
    <row r="19257" spans="5:9" ht="16.5" hidden="1">
      <c r="E19257" s="4" t="str">
        <v/>
      </c>
      <c r="F19257" s="102" t="str">
        <f ca="1">IFERROR(__xludf.DUMMYFUNCTION("IMPORTRANGE(H19257,""IDENTITAS UNIT!D9"")"),"#N/A")</f>
        <v>#N/A</v>
      </c>
      <c r="H19257" s="4" t="str">
        <v/>
      </c>
      <c r="I19257" s="4" t="str">
        <v/>
      </c>
    </row>
    <row r="19258" spans="5:9" ht="16.5" hidden="1">
      <c r="E19258" s="4" t="str">
        <v/>
      </c>
      <c r="F19258" s="102" t="str">
        <f ca="1">IFERROR(__xludf.DUMMYFUNCTION("IMPORTRANGE(H19258,""IDENTITAS UNIT!D9"")"),"#N/A")</f>
        <v>#N/A</v>
      </c>
      <c r="H19258" s="4" t="str">
        <v/>
      </c>
      <c r="I19258" s="4" t="str">
        <v/>
      </c>
    </row>
    <row r="19259" spans="5:9" ht="16.5" hidden="1">
      <c r="E19259" s="4" t="str">
        <v/>
      </c>
      <c r="F19259" s="102" t="str">
        <f ca="1">IFERROR(__xludf.DUMMYFUNCTION("IMPORTRANGE(H19259,""IDENTITAS UNIT!D9"")"),"#N/A")</f>
        <v>#N/A</v>
      </c>
      <c r="H19259" s="4" t="str">
        <v/>
      </c>
      <c r="I19259" s="4" t="str">
        <v/>
      </c>
    </row>
    <row r="19260" spans="5:9" ht="16.5" hidden="1">
      <c r="E19260" s="4" t="str">
        <v/>
      </c>
      <c r="F19260" s="102" t="str">
        <f ca="1">IFERROR(__xludf.DUMMYFUNCTION("IMPORTRANGE(H19260,""IDENTITAS UNIT!D9"")"),"#N/A")</f>
        <v>#N/A</v>
      </c>
      <c r="H19260" s="4" t="str">
        <v/>
      </c>
      <c r="I19260" s="4" t="str">
        <v/>
      </c>
    </row>
    <row r="19261" spans="5:9" ht="16.5" hidden="1">
      <c r="E19261" s="4" t="str">
        <v/>
      </c>
      <c r="F19261" s="102" t="str">
        <f ca="1">IFERROR(__xludf.DUMMYFUNCTION("IMPORTRANGE(H19261,""IDENTITAS UNIT!D9"")"),"#N/A")</f>
        <v>#N/A</v>
      </c>
      <c r="H19261" s="4" t="str">
        <v/>
      </c>
      <c r="I19261" s="4" t="str">
        <v/>
      </c>
    </row>
    <row r="19262" spans="5:9" ht="16.5" hidden="1">
      <c r="E19262" s="4" t="str">
        <v/>
      </c>
      <c r="F19262" s="102" t="str">
        <f ca="1">IFERROR(__xludf.DUMMYFUNCTION("IMPORTRANGE(H19262,""IDENTITAS UNIT!D9"")"),"#N/A")</f>
        <v>#N/A</v>
      </c>
      <c r="H19262" s="4" t="str">
        <v/>
      </c>
      <c r="I19262" s="4" t="str">
        <v/>
      </c>
    </row>
    <row r="19263" spans="5:9" ht="16.5" hidden="1">
      <c r="E19263" s="4" t="str">
        <v/>
      </c>
      <c r="F19263" s="102" t="str">
        <f ca="1">IFERROR(__xludf.DUMMYFUNCTION("IMPORTRANGE(H19263,""IDENTITAS UNIT!D9"")"),"#N/A")</f>
        <v>#N/A</v>
      </c>
      <c r="H19263" s="4" t="str">
        <v/>
      </c>
      <c r="I19263" s="4" t="str">
        <v/>
      </c>
    </row>
    <row r="19264" spans="5:9" ht="16.5" hidden="1">
      <c r="E19264" s="4" t="str">
        <v/>
      </c>
      <c r="F19264" s="102" t="str">
        <f ca="1">IFERROR(__xludf.DUMMYFUNCTION("IMPORTRANGE(H19264,""IDENTITAS UNIT!D9"")"),"#N/A")</f>
        <v>#N/A</v>
      </c>
      <c r="H19264" s="4" t="str">
        <v/>
      </c>
      <c r="I19264" s="4" t="str">
        <v/>
      </c>
    </row>
    <row r="19265" spans="5:9" ht="16.5" hidden="1">
      <c r="E19265" s="4" t="str">
        <v/>
      </c>
      <c r="F19265" s="102" t="str">
        <f ca="1">IFERROR(__xludf.DUMMYFUNCTION("IMPORTRANGE(H19265,""IDENTITAS UNIT!D9"")"),"#N/A")</f>
        <v>#N/A</v>
      </c>
      <c r="H19265" s="4" t="str">
        <v/>
      </c>
      <c r="I19265" s="4" t="str">
        <v/>
      </c>
    </row>
    <row r="19266" spans="5:9" ht="16.5" hidden="1">
      <c r="E19266" s="4" t="str">
        <v/>
      </c>
      <c r="F19266" s="102" t="str">
        <f ca="1">IFERROR(__xludf.DUMMYFUNCTION("IMPORTRANGE(H19266,""IDENTITAS UNIT!D9"")"),"#N/A")</f>
        <v>#N/A</v>
      </c>
      <c r="H19266" s="4" t="str">
        <v/>
      </c>
      <c r="I19266" s="4" t="str">
        <v/>
      </c>
    </row>
    <row r="19267" spans="5:9" ht="16.5" hidden="1">
      <c r="E19267" s="4" t="str">
        <v/>
      </c>
      <c r="F19267" s="102" t="str">
        <f ca="1">IFERROR(__xludf.DUMMYFUNCTION("IMPORTRANGE(H19267,""IDENTITAS UNIT!D9"")"),"#N/A")</f>
        <v>#N/A</v>
      </c>
      <c r="H19267" s="4" t="str">
        <v/>
      </c>
      <c r="I19267" s="4" t="str">
        <v/>
      </c>
    </row>
    <row r="19268" spans="5:9" ht="16.5" hidden="1">
      <c r="E19268" s="4" t="str">
        <v/>
      </c>
      <c r="F19268" s="102" t="str">
        <f ca="1">IFERROR(__xludf.DUMMYFUNCTION("IMPORTRANGE(H19268,""IDENTITAS UNIT!D9"")"),"#N/A")</f>
        <v>#N/A</v>
      </c>
      <c r="H19268" s="4" t="str">
        <v/>
      </c>
      <c r="I19268" s="4" t="str">
        <v/>
      </c>
    </row>
    <row r="19269" spans="5:9" ht="16.5" hidden="1">
      <c r="E19269" s="4" t="str">
        <v/>
      </c>
      <c r="F19269" s="102" t="str">
        <f ca="1">IFERROR(__xludf.DUMMYFUNCTION("IMPORTRANGE(H19269,""IDENTITAS UNIT!D9"")"),"#N/A")</f>
        <v>#N/A</v>
      </c>
      <c r="H19269" s="4" t="str">
        <v/>
      </c>
      <c r="I19269" s="4" t="str">
        <v/>
      </c>
    </row>
    <row r="19270" spans="5:9" ht="16.5" hidden="1">
      <c r="E19270" s="4" t="str">
        <v/>
      </c>
      <c r="F19270" s="102" t="str">
        <f ca="1">IFERROR(__xludf.DUMMYFUNCTION("IMPORTRANGE(H19270,""IDENTITAS UNIT!D9"")"),"#N/A")</f>
        <v>#N/A</v>
      </c>
      <c r="H19270" s="4" t="str">
        <v/>
      </c>
      <c r="I19270" s="4" t="str">
        <v/>
      </c>
    </row>
    <row r="19271" spans="5:9" ht="16.5" hidden="1">
      <c r="E19271" s="4" t="str">
        <v/>
      </c>
      <c r="F19271" s="102" t="str">
        <f ca="1">IFERROR(__xludf.DUMMYFUNCTION("IMPORTRANGE(H19271,""IDENTITAS UNIT!D9"")"),"#N/A")</f>
        <v>#N/A</v>
      </c>
      <c r="H19271" s="4" t="str">
        <v/>
      </c>
      <c r="I19271" s="4" t="str">
        <v/>
      </c>
    </row>
    <row r="19272" spans="5:9" ht="16.5" hidden="1">
      <c r="E19272" s="4" t="str">
        <v/>
      </c>
      <c r="F19272" s="102" t="str">
        <f ca="1">IFERROR(__xludf.DUMMYFUNCTION("IMPORTRANGE(H19272,""IDENTITAS UNIT!D9"")"),"#N/A")</f>
        <v>#N/A</v>
      </c>
      <c r="H19272" s="4" t="str">
        <v/>
      </c>
      <c r="I19272" s="4" t="str">
        <v/>
      </c>
    </row>
    <row r="19273" spans="5:9" ht="16.5" hidden="1">
      <c r="E19273" s="4" t="str">
        <v/>
      </c>
      <c r="F19273" s="102" t="str">
        <f ca="1">IFERROR(__xludf.DUMMYFUNCTION("IMPORTRANGE(H19273,""IDENTITAS UNIT!D9"")"),"#N/A")</f>
        <v>#N/A</v>
      </c>
      <c r="H19273" s="4" t="str">
        <v/>
      </c>
      <c r="I19273" s="4" t="str">
        <v/>
      </c>
    </row>
    <row r="19274" spans="5:9" ht="16.5" hidden="1">
      <c r="E19274" s="4" t="str">
        <v/>
      </c>
      <c r="F19274" s="102" t="str">
        <f ca="1">IFERROR(__xludf.DUMMYFUNCTION("IMPORTRANGE(H19274,""IDENTITAS UNIT!D9"")"),"#N/A")</f>
        <v>#N/A</v>
      </c>
      <c r="H19274" s="4" t="str">
        <v/>
      </c>
      <c r="I19274" s="4" t="str">
        <v/>
      </c>
    </row>
    <row r="19275" spans="5:9" ht="16.5" hidden="1">
      <c r="E19275" s="4" t="str">
        <v/>
      </c>
      <c r="F19275" s="102" t="str">
        <f ca="1">IFERROR(__xludf.DUMMYFUNCTION("IMPORTRANGE(H19275,""IDENTITAS UNIT!D9"")"),"#N/A")</f>
        <v>#N/A</v>
      </c>
      <c r="H19275" s="4" t="str">
        <v/>
      </c>
      <c r="I19275" s="4" t="str">
        <v/>
      </c>
    </row>
    <row r="19276" spans="5:9" ht="16.5" hidden="1">
      <c r="E19276" s="4" t="str">
        <v/>
      </c>
      <c r="F19276" s="102" t="str">
        <f ca="1">IFERROR(__xludf.DUMMYFUNCTION("IMPORTRANGE(H19276,""IDENTITAS UNIT!D9"")"),"#N/A")</f>
        <v>#N/A</v>
      </c>
      <c r="H19276" s="4" t="str">
        <v/>
      </c>
      <c r="I19276" s="4" t="str">
        <v/>
      </c>
    </row>
    <row r="19277" spans="5:9" ht="16.5" hidden="1">
      <c r="E19277" s="4" t="str">
        <v/>
      </c>
      <c r="F19277" s="102" t="str">
        <f ca="1">IFERROR(__xludf.DUMMYFUNCTION("IMPORTRANGE(H19277,""IDENTITAS UNIT!D9"")"),"#N/A")</f>
        <v>#N/A</v>
      </c>
      <c r="H19277" s="4" t="str">
        <v/>
      </c>
      <c r="I19277" s="4" t="str">
        <v/>
      </c>
    </row>
    <row r="19278" spans="5:9" ht="16.5" hidden="1">
      <c r="E19278" s="4" t="str">
        <v/>
      </c>
      <c r="F19278" s="102" t="str">
        <f ca="1">IFERROR(__xludf.DUMMYFUNCTION("IMPORTRANGE(H19278,""IDENTITAS UNIT!D9"")"),"#N/A")</f>
        <v>#N/A</v>
      </c>
      <c r="H19278" s="4" t="str">
        <v/>
      </c>
      <c r="I19278" s="4" t="str">
        <v/>
      </c>
    </row>
    <row r="19279" spans="5:9" ht="16.5" hidden="1">
      <c r="E19279" s="4" t="str">
        <v/>
      </c>
      <c r="F19279" s="102" t="str">
        <f ca="1">IFERROR(__xludf.DUMMYFUNCTION("IMPORTRANGE(H19279,""IDENTITAS UNIT!D9"")"),"#N/A")</f>
        <v>#N/A</v>
      </c>
      <c r="H19279" s="4" t="str">
        <v/>
      </c>
      <c r="I19279" s="4" t="str">
        <v/>
      </c>
    </row>
    <row r="19280" spans="5:9" ht="16.5" hidden="1">
      <c r="E19280" s="4" t="str">
        <v/>
      </c>
      <c r="F19280" s="102" t="str">
        <f ca="1">IFERROR(__xludf.DUMMYFUNCTION("IMPORTRANGE(H19280,""IDENTITAS UNIT!D9"")"),"#N/A")</f>
        <v>#N/A</v>
      </c>
      <c r="H19280" s="4" t="str">
        <v/>
      </c>
      <c r="I19280" s="4" t="str">
        <v/>
      </c>
    </row>
    <row r="19281" spans="5:9" ht="16.5" hidden="1">
      <c r="E19281" s="4" t="str">
        <v/>
      </c>
      <c r="F19281" s="102" t="str">
        <f ca="1">IFERROR(__xludf.DUMMYFUNCTION("IMPORTRANGE(H19281,""IDENTITAS UNIT!D9"")"),"#N/A")</f>
        <v>#N/A</v>
      </c>
      <c r="H19281" s="4" t="str">
        <v/>
      </c>
      <c r="I19281" s="4" t="str">
        <v/>
      </c>
    </row>
    <row r="19282" spans="5:9" ht="16.5" hidden="1">
      <c r="E19282" s="4" t="str">
        <v/>
      </c>
      <c r="F19282" s="102" t="str">
        <f ca="1">IFERROR(__xludf.DUMMYFUNCTION("IMPORTRANGE(H19282,""IDENTITAS UNIT!D9"")"),"#N/A")</f>
        <v>#N/A</v>
      </c>
      <c r="H19282" s="4" t="str">
        <v/>
      </c>
      <c r="I19282" s="4" t="str">
        <v/>
      </c>
    </row>
    <row r="19283" spans="5:9" ht="16.5" hidden="1">
      <c r="E19283" s="4" t="str">
        <v/>
      </c>
      <c r="F19283" s="102" t="str">
        <f ca="1">IFERROR(__xludf.DUMMYFUNCTION("IMPORTRANGE(H19283,""IDENTITAS UNIT!D9"")"),"#N/A")</f>
        <v>#N/A</v>
      </c>
      <c r="H19283" s="4" t="str">
        <v/>
      </c>
      <c r="I19283" s="4" t="str">
        <v/>
      </c>
    </row>
    <row r="19284" spans="5:9" ht="16.5" hidden="1">
      <c r="E19284" s="4" t="str">
        <v/>
      </c>
      <c r="F19284" s="102" t="str">
        <f ca="1">IFERROR(__xludf.DUMMYFUNCTION("IMPORTRANGE(H19284,""IDENTITAS UNIT!D9"")"),"#N/A")</f>
        <v>#N/A</v>
      </c>
      <c r="H19284" s="4" t="str">
        <v/>
      </c>
      <c r="I19284" s="4" t="str">
        <v/>
      </c>
    </row>
    <row r="19285" spans="5:9" ht="16.5" hidden="1">
      <c r="E19285" s="4" t="str">
        <v/>
      </c>
      <c r="F19285" s="102" t="str">
        <f ca="1">IFERROR(__xludf.DUMMYFUNCTION("IMPORTRANGE(H19285,""IDENTITAS UNIT!D9"")"),"#N/A")</f>
        <v>#N/A</v>
      </c>
      <c r="H19285" s="4" t="str">
        <v/>
      </c>
      <c r="I19285" s="4" t="str">
        <v/>
      </c>
    </row>
    <row r="19286" spans="5:9" ht="16.5" hidden="1">
      <c r="E19286" s="4" t="str">
        <v/>
      </c>
      <c r="F19286" s="102" t="str">
        <f ca="1">IFERROR(__xludf.DUMMYFUNCTION("IMPORTRANGE(H19286,""IDENTITAS UNIT!D9"")"),"#N/A")</f>
        <v>#N/A</v>
      </c>
      <c r="H19286" s="4" t="str">
        <v/>
      </c>
      <c r="I19286" s="4" t="str">
        <v/>
      </c>
    </row>
    <row r="19287" spans="5:9" ht="16.5" hidden="1">
      <c r="E19287" s="4" t="str">
        <v/>
      </c>
      <c r="F19287" s="102" t="str">
        <f ca="1">IFERROR(__xludf.DUMMYFUNCTION("IMPORTRANGE(H19287,""IDENTITAS UNIT!D9"")"),"#N/A")</f>
        <v>#N/A</v>
      </c>
      <c r="H19287" s="4" t="str">
        <v/>
      </c>
      <c r="I19287" s="4" t="str">
        <v/>
      </c>
    </row>
    <row r="19288" spans="5:9" ht="16.5" hidden="1">
      <c r="E19288" s="4" t="str">
        <v/>
      </c>
      <c r="F19288" s="102" t="str">
        <f ca="1">IFERROR(__xludf.DUMMYFUNCTION("IMPORTRANGE(H19288,""IDENTITAS UNIT!D9"")"),"#N/A")</f>
        <v>#N/A</v>
      </c>
      <c r="H19288" s="4" t="str">
        <v/>
      </c>
      <c r="I19288" s="4" t="str">
        <v/>
      </c>
    </row>
    <row r="19289" spans="5:9" ht="16.5" hidden="1">
      <c r="E19289" s="4" t="str">
        <v/>
      </c>
      <c r="F19289" s="102" t="str">
        <f ca="1">IFERROR(__xludf.DUMMYFUNCTION("IMPORTRANGE(H19289,""IDENTITAS UNIT!D9"")"),"#N/A")</f>
        <v>#N/A</v>
      </c>
      <c r="H19289" s="4" t="str">
        <v/>
      </c>
      <c r="I19289" s="4" t="str">
        <v/>
      </c>
    </row>
    <row r="19290" spans="5:9" ht="16.5" hidden="1">
      <c r="E19290" s="4" t="str">
        <v/>
      </c>
      <c r="F19290" s="102" t="str">
        <f ca="1">IFERROR(__xludf.DUMMYFUNCTION("IMPORTRANGE(H19290,""IDENTITAS UNIT!D9"")"),"#N/A")</f>
        <v>#N/A</v>
      </c>
      <c r="H19290" s="4" t="str">
        <v/>
      </c>
      <c r="I19290" s="4" t="str">
        <v/>
      </c>
    </row>
    <row r="19291" spans="5:9" ht="16.5" hidden="1">
      <c r="E19291" s="4" t="str">
        <v/>
      </c>
      <c r="F19291" s="102" t="str">
        <f ca="1">IFERROR(__xludf.DUMMYFUNCTION("IMPORTRANGE(H19291,""IDENTITAS UNIT!D9"")"),"#N/A")</f>
        <v>#N/A</v>
      </c>
      <c r="H19291" s="4" t="str">
        <v/>
      </c>
      <c r="I19291" s="4" t="str">
        <v/>
      </c>
    </row>
    <row r="19292" spans="5:9" ht="16.5" hidden="1">
      <c r="E19292" s="4" t="str">
        <v/>
      </c>
      <c r="F19292" s="102" t="str">
        <f ca="1">IFERROR(__xludf.DUMMYFUNCTION("IMPORTRANGE(H19292,""IDENTITAS UNIT!D9"")"),"#N/A")</f>
        <v>#N/A</v>
      </c>
      <c r="H19292" s="4" t="str">
        <v/>
      </c>
      <c r="I19292" s="4" t="str">
        <v/>
      </c>
    </row>
    <row r="19293" spans="5:9" ht="16.5" hidden="1">
      <c r="E19293" s="4" t="str">
        <v/>
      </c>
      <c r="F19293" s="102" t="str">
        <f ca="1">IFERROR(__xludf.DUMMYFUNCTION("IMPORTRANGE(H19293,""IDENTITAS UNIT!D9"")"),"#N/A")</f>
        <v>#N/A</v>
      </c>
      <c r="H19293" s="4" t="str">
        <v/>
      </c>
      <c r="I19293" s="4" t="str">
        <v/>
      </c>
    </row>
    <row r="19294" spans="5:9" ht="16.5" hidden="1">
      <c r="E19294" s="4" t="str">
        <v/>
      </c>
      <c r="F19294" s="102" t="str">
        <f ca="1">IFERROR(__xludf.DUMMYFUNCTION("IMPORTRANGE(H19294,""IDENTITAS UNIT!D9"")"),"#N/A")</f>
        <v>#N/A</v>
      </c>
      <c r="H19294" s="4" t="str">
        <v/>
      </c>
      <c r="I19294" s="4" t="str">
        <v/>
      </c>
    </row>
    <row r="19295" spans="5:9" ht="16.5" hidden="1">
      <c r="E19295" s="4" t="str">
        <v/>
      </c>
      <c r="F19295" s="102" t="str">
        <f ca="1">IFERROR(__xludf.DUMMYFUNCTION("IMPORTRANGE(H19295,""IDENTITAS UNIT!D9"")"),"#N/A")</f>
        <v>#N/A</v>
      </c>
      <c r="H19295" s="4" t="str">
        <v/>
      </c>
      <c r="I19295" s="4" t="str">
        <v/>
      </c>
    </row>
    <row r="19296" spans="5:9" ht="16.5" hidden="1">
      <c r="E19296" s="4" t="str">
        <v/>
      </c>
      <c r="F19296" s="102" t="str">
        <f ca="1">IFERROR(__xludf.DUMMYFUNCTION("IMPORTRANGE(H19296,""IDENTITAS UNIT!D9"")"),"#N/A")</f>
        <v>#N/A</v>
      </c>
      <c r="H19296" s="4" t="str">
        <v/>
      </c>
      <c r="I19296" s="4" t="str">
        <v/>
      </c>
    </row>
    <row r="19297" spans="5:9" ht="16.5" hidden="1">
      <c r="E19297" s="4" t="str">
        <v/>
      </c>
      <c r="F19297" s="102" t="str">
        <f ca="1">IFERROR(__xludf.DUMMYFUNCTION("IMPORTRANGE(H19297,""IDENTITAS UNIT!D9"")"),"#N/A")</f>
        <v>#N/A</v>
      </c>
      <c r="H19297" s="4" t="str">
        <v/>
      </c>
      <c r="I19297" s="4" t="str">
        <v/>
      </c>
    </row>
    <row r="19298" spans="5:9" ht="16.5" hidden="1">
      <c r="E19298" s="4" t="str">
        <v/>
      </c>
      <c r="F19298" s="102" t="str">
        <f ca="1">IFERROR(__xludf.DUMMYFUNCTION("IMPORTRANGE(H19298,""IDENTITAS UNIT!D9"")"),"#N/A")</f>
        <v>#N/A</v>
      </c>
      <c r="H19298" s="4" t="str">
        <v/>
      </c>
      <c r="I19298" s="4" t="str">
        <v/>
      </c>
    </row>
    <row r="19299" spans="5:9" ht="16.5" hidden="1">
      <c r="E19299" s="4" t="str">
        <v/>
      </c>
      <c r="F19299" s="102" t="str">
        <f ca="1">IFERROR(__xludf.DUMMYFUNCTION("IMPORTRANGE(H19299,""IDENTITAS UNIT!D9"")"),"#N/A")</f>
        <v>#N/A</v>
      </c>
      <c r="H19299" s="4" t="str">
        <v/>
      </c>
      <c r="I19299" s="4" t="str">
        <v/>
      </c>
    </row>
    <row r="19300" spans="5:9" ht="16.5" hidden="1">
      <c r="E19300" s="4" t="str">
        <v/>
      </c>
      <c r="F19300" s="102" t="str">
        <f ca="1">IFERROR(__xludf.DUMMYFUNCTION("IMPORTRANGE(H19300,""IDENTITAS UNIT!D9"")"),"#N/A")</f>
        <v>#N/A</v>
      </c>
      <c r="H19300" s="4" t="str">
        <v/>
      </c>
      <c r="I19300" s="4" t="str">
        <v/>
      </c>
    </row>
    <row r="19301" spans="5:9" ht="16.5" hidden="1">
      <c r="E19301" s="4" t="str">
        <v/>
      </c>
      <c r="F19301" s="102" t="str">
        <f ca="1">IFERROR(__xludf.DUMMYFUNCTION("IMPORTRANGE(H19301,""IDENTITAS UNIT!D9"")"),"#N/A")</f>
        <v>#N/A</v>
      </c>
      <c r="H19301" s="4" t="str">
        <v/>
      </c>
      <c r="I19301" s="4" t="str">
        <v/>
      </c>
    </row>
    <row r="19302" spans="5:9" ht="16.5" hidden="1">
      <c r="E19302" s="4" t="str">
        <v/>
      </c>
      <c r="F19302" s="102" t="str">
        <f ca="1">IFERROR(__xludf.DUMMYFUNCTION("IMPORTRANGE(H19302,""IDENTITAS UNIT!D9"")"),"#N/A")</f>
        <v>#N/A</v>
      </c>
      <c r="H19302" s="4" t="str">
        <v/>
      </c>
      <c r="I19302" s="4" t="str">
        <v/>
      </c>
    </row>
    <row r="19303" spans="5:9" ht="16.5" hidden="1">
      <c r="E19303" s="4" t="str">
        <v/>
      </c>
      <c r="F19303" s="102" t="str">
        <f ca="1">IFERROR(__xludf.DUMMYFUNCTION("IMPORTRANGE(H19303,""IDENTITAS UNIT!D9"")"),"#N/A")</f>
        <v>#N/A</v>
      </c>
      <c r="H19303" s="4" t="str">
        <v/>
      </c>
      <c r="I19303" s="4" t="str">
        <v/>
      </c>
    </row>
    <row r="19304" spans="5:9" ht="16.5" hidden="1">
      <c r="E19304" s="4" t="str">
        <v/>
      </c>
      <c r="F19304" s="102" t="str">
        <f ca="1">IFERROR(__xludf.DUMMYFUNCTION("IMPORTRANGE(H19304,""IDENTITAS UNIT!D9"")"),"#N/A")</f>
        <v>#N/A</v>
      </c>
      <c r="H19304" s="4" t="str">
        <v/>
      </c>
      <c r="I19304" s="4" t="str">
        <v/>
      </c>
    </row>
    <row r="19305" spans="5:9" ht="16.5" hidden="1">
      <c r="E19305" s="4" t="str">
        <v/>
      </c>
      <c r="F19305" s="102" t="str">
        <f ca="1">IFERROR(__xludf.DUMMYFUNCTION("IMPORTRANGE(H19305,""IDENTITAS UNIT!D9"")"),"#N/A")</f>
        <v>#N/A</v>
      </c>
      <c r="H19305" s="4" t="str">
        <v/>
      </c>
      <c r="I19305" s="4" t="str">
        <v/>
      </c>
    </row>
    <row r="19306" spans="5:9" ht="16.5" hidden="1">
      <c r="E19306" s="4" t="str">
        <v/>
      </c>
      <c r="F19306" s="102" t="str">
        <f ca="1">IFERROR(__xludf.DUMMYFUNCTION("IMPORTRANGE(H19306,""IDENTITAS UNIT!D9"")"),"#N/A")</f>
        <v>#N/A</v>
      </c>
      <c r="H19306" s="4" t="str">
        <v/>
      </c>
      <c r="I19306" s="4" t="str">
        <v/>
      </c>
    </row>
    <row r="19307" spans="5:9" ht="16.5" hidden="1">
      <c r="E19307" s="4" t="str">
        <v/>
      </c>
      <c r="F19307" s="102" t="str">
        <f ca="1">IFERROR(__xludf.DUMMYFUNCTION("IMPORTRANGE(H19307,""IDENTITAS UNIT!D9"")"),"#N/A")</f>
        <v>#N/A</v>
      </c>
      <c r="H19307" s="4" t="str">
        <v/>
      </c>
      <c r="I19307" s="4" t="str">
        <v/>
      </c>
    </row>
    <row r="19308" spans="5:9" ht="16.5" hidden="1">
      <c r="E19308" s="4" t="str">
        <v/>
      </c>
      <c r="F19308" s="102" t="str">
        <f ca="1">IFERROR(__xludf.DUMMYFUNCTION("IMPORTRANGE(H19308,""IDENTITAS UNIT!D9"")"),"#N/A")</f>
        <v>#N/A</v>
      </c>
      <c r="H19308" s="4" t="str">
        <v/>
      </c>
      <c r="I19308" s="4" t="str">
        <v/>
      </c>
    </row>
    <row r="19309" spans="5:9" ht="16.5" hidden="1">
      <c r="E19309" s="4" t="str">
        <v/>
      </c>
      <c r="F19309" s="102" t="str">
        <f ca="1">IFERROR(__xludf.DUMMYFUNCTION("IMPORTRANGE(H19309,""IDENTITAS UNIT!D9"")"),"#N/A")</f>
        <v>#N/A</v>
      </c>
      <c r="H19309" s="4" t="str">
        <v/>
      </c>
      <c r="I19309" s="4" t="str">
        <v/>
      </c>
    </row>
    <row r="19310" spans="5:9" ht="16.5" hidden="1">
      <c r="E19310" s="4" t="str">
        <v/>
      </c>
      <c r="F19310" s="102" t="str">
        <f ca="1">IFERROR(__xludf.DUMMYFUNCTION("IMPORTRANGE(H19310,""IDENTITAS UNIT!D9"")"),"#N/A")</f>
        <v>#N/A</v>
      </c>
      <c r="H19310" s="4" t="str">
        <v/>
      </c>
      <c r="I19310" s="4" t="str">
        <v/>
      </c>
    </row>
    <row r="19311" spans="5:9" ht="16.5" hidden="1">
      <c r="E19311" s="4" t="str">
        <v/>
      </c>
      <c r="F19311" s="102" t="str">
        <f ca="1">IFERROR(__xludf.DUMMYFUNCTION("IMPORTRANGE(H19311,""IDENTITAS UNIT!D9"")"),"#N/A")</f>
        <v>#N/A</v>
      </c>
      <c r="H19311" s="4" t="str">
        <v/>
      </c>
      <c r="I19311" s="4" t="str">
        <v/>
      </c>
    </row>
    <row r="19312" spans="5:9" ht="16.5" hidden="1">
      <c r="E19312" s="4" t="str">
        <v/>
      </c>
      <c r="F19312" s="102" t="str">
        <f ca="1">IFERROR(__xludf.DUMMYFUNCTION("IMPORTRANGE(H19312,""IDENTITAS UNIT!D9"")"),"#N/A")</f>
        <v>#N/A</v>
      </c>
      <c r="H19312" s="4" t="str">
        <v/>
      </c>
      <c r="I19312" s="4" t="str">
        <v/>
      </c>
    </row>
    <row r="19313" spans="5:9" ht="16.5" hidden="1">
      <c r="E19313" s="4" t="str">
        <v/>
      </c>
      <c r="F19313" s="102" t="str">
        <f ca="1">IFERROR(__xludf.DUMMYFUNCTION("IMPORTRANGE(H19313,""IDENTITAS UNIT!D9"")"),"#N/A")</f>
        <v>#N/A</v>
      </c>
      <c r="H19313" s="4" t="str">
        <v/>
      </c>
      <c r="I19313" s="4" t="str">
        <v/>
      </c>
    </row>
    <row r="19314" spans="5:9" ht="16.5" hidden="1">
      <c r="E19314" s="4" t="str">
        <v/>
      </c>
      <c r="F19314" s="102" t="str">
        <f ca="1">IFERROR(__xludf.DUMMYFUNCTION("IMPORTRANGE(H19314,""IDENTITAS UNIT!D9"")"),"#N/A")</f>
        <v>#N/A</v>
      </c>
      <c r="H19314" s="4" t="str">
        <v/>
      </c>
      <c r="I19314" s="4" t="str">
        <v/>
      </c>
    </row>
    <row r="19315" spans="5:9" ht="16.5" hidden="1">
      <c r="E19315" s="4" t="str">
        <v/>
      </c>
      <c r="F19315" s="102" t="str">
        <f ca="1">IFERROR(__xludf.DUMMYFUNCTION("IMPORTRANGE(H19315,""IDENTITAS UNIT!D9"")"),"#N/A")</f>
        <v>#N/A</v>
      </c>
      <c r="H19315" s="4" t="str">
        <v/>
      </c>
      <c r="I19315" s="4" t="str">
        <v/>
      </c>
    </row>
    <row r="19316" spans="5:9" ht="16.5" hidden="1">
      <c r="E19316" s="4" t="str">
        <v/>
      </c>
      <c r="F19316" s="102" t="str">
        <f ca="1">IFERROR(__xludf.DUMMYFUNCTION("IMPORTRANGE(H19316,""IDENTITAS UNIT!D9"")"),"#N/A")</f>
        <v>#N/A</v>
      </c>
      <c r="H19316" s="4" t="str">
        <v/>
      </c>
      <c r="I19316" s="4" t="str">
        <v/>
      </c>
    </row>
    <row r="19317" spans="5:9" ht="16.5" hidden="1">
      <c r="E19317" s="4" t="str">
        <v/>
      </c>
      <c r="F19317" s="102" t="str">
        <f ca="1">IFERROR(__xludf.DUMMYFUNCTION("IMPORTRANGE(H19317,""IDENTITAS UNIT!D9"")"),"#N/A")</f>
        <v>#N/A</v>
      </c>
      <c r="H19317" s="4" t="str">
        <v/>
      </c>
      <c r="I19317" s="4" t="str">
        <v/>
      </c>
    </row>
    <row r="19318" spans="5:9" ht="16.5" hidden="1">
      <c r="E19318" s="4" t="str">
        <v/>
      </c>
      <c r="F19318" s="102" t="str">
        <f ca="1">IFERROR(__xludf.DUMMYFUNCTION("IMPORTRANGE(H19318,""IDENTITAS UNIT!D9"")"),"#N/A")</f>
        <v>#N/A</v>
      </c>
      <c r="H19318" s="4" t="str">
        <v/>
      </c>
      <c r="I19318" s="4" t="str">
        <v/>
      </c>
    </row>
    <row r="19319" spans="5:9" ht="16.5" hidden="1">
      <c r="E19319" s="4" t="str">
        <v/>
      </c>
      <c r="F19319" s="102" t="str">
        <f ca="1">IFERROR(__xludf.DUMMYFUNCTION("IMPORTRANGE(H19319,""IDENTITAS UNIT!D9"")"),"#N/A")</f>
        <v>#N/A</v>
      </c>
      <c r="H19319" s="4" t="str">
        <v/>
      </c>
      <c r="I19319" s="4" t="str">
        <v/>
      </c>
    </row>
    <row r="19320" spans="5:9" ht="16.5" hidden="1">
      <c r="E19320" s="4" t="str">
        <v/>
      </c>
      <c r="F19320" s="102" t="str">
        <f ca="1">IFERROR(__xludf.DUMMYFUNCTION("IMPORTRANGE(H19320,""IDENTITAS UNIT!D9"")"),"#N/A")</f>
        <v>#N/A</v>
      </c>
      <c r="H19320" s="4" t="str">
        <v/>
      </c>
      <c r="I19320" s="4" t="str">
        <v/>
      </c>
    </row>
    <row r="19321" spans="5:9" ht="16.5" hidden="1">
      <c r="E19321" s="4" t="str">
        <v/>
      </c>
      <c r="F19321" s="102" t="str">
        <f ca="1">IFERROR(__xludf.DUMMYFUNCTION("IMPORTRANGE(H19321,""IDENTITAS UNIT!D9"")"),"#N/A")</f>
        <v>#N/A</v>
      </c>
      <c r="H19321" s="4" t="str">
        <v/>
      </c>
      <c r="I19321" s="4" t="str">
        <v/>
      </c>
    </row>
    <row r="19322" spans="5:9" ht="16.5" hidden="1">
      <c r="E19322" s="4" t="str">
        <v/>
      </c>
      <c r="F19322" s="102" t="str">
        <f ca="1">IFERROR(__xludf.DUMMYFUNCTION("IMPORTRANGE(H19322,""IDENTITAS UNIT!D9"")"),"#N/A")</f>
        <v>#N/A</v>
      </c>
      <c r="H19322" s="4" t="str">
        <v/>
      </c>
      <c r="I19322" s="4" t="str">
        <v/>
      </c>
    </row>
    <row r="19323" spans="5:9" ht="16.5" hidden="1">
      <c r="E19323" s="4" t="str">
        <v/>
      </c>
      <c r="F19323" s="102" t="str">
        <f ca="1">IFERROR(__xludf.DUMMYFUNCTION("IMPORTRANGE(H19323,""IDENTITAS UNIT!D9"")"),"#N/A")</f>
        <v>#N/A</v>
      </c>
      <c r="H19323" s="4" t="str">
        <v/>
      </c>
      <c r="I19323" s="4" t="str">
        <v/>
      </c>
    </row>
    <row r="19324" spans="5:9" ht="16.5" hidden="1">
      <c r="E19324" s="4" t="str">
        <v/>
      </c>
      <c r="F19324" s="102" t="str">
        <f ca="1">IFERROR(__xludf.DUMMYFUNCTION("IMPORTRANGE(H19324,""IDENTITAS UNIT!D9"")"),"#N/A")</f>
        <v>#N/A</v>
      </c>
      <c r="H19324" s="4" t="str">
        <v/>
      </c>
      <c r="I19324" s="4" t="str">
        <v/>
      </c>
    </row>
    <row r="19325" spans="5:9" ht="16.5" hidden="1">
      <c r="E19325" s="4" t="str">
        <v/>
      </c>
      <c r="F19325" s="102" t="str">
        <f ca="1">IFERROR(__xludf.DUMMYFUNCTION("IMPORTRANGE(H19325,""IDENTITAS UNIT!D9"")"),"#N/A")</f>
        <v>#N/A</v>
      </c>
      <c r="H19325" s="4" t="str">
        <v/>
      </c>
      <c r="I19325" s="4" t="str">
        <v/>
      </c>
    </row>
    <row r="19326" spans="5:9" ht="16.5" hidden="1">
      <c r="E19326" s="4" t="str">
        <v/>
      </c>
      <c r="F19326" s="102" t="str">
        <f ca="1">IFERROR(__xludf.DUMMYFUNCTION("IMPORTRANGE(H19326,""IDENTITAS UNIT!D9"")"),"#N/A")</f>
        <v>#N/A</v>
      </c>
      <c r="H19326" s="4" t="str">
        <v/>
      </c>
      <c r="I19326" s="4" t="str">
        <v/>
      </c>
    </row>
    <row r="19327" spans="5:9" ht="16.5" hidden="1">
      <c r="E19327" s="4" t="str">
        <v/>
      </c>
      <c r="F19327" s="102" t="str">
        <f ca="1">IFERROR(__xludf.DUMMYFUNCTION("IMPORTRANGE(H19327,""IDENTITAS UNIT!D9"")"),"#N/A")</f>
        <v>#N/A</v>
      </c>
      <c r="H19327" s="4" t="str">
        <v/>
      </c>
      <c r="I19327" s="4" t="str">
        <v/>
      </c>
    </row>
    <row r="19328" spans="5:9" ht="16.5" hidden="1">
      <c r="E19328" s="4" t="str">
        <v/>
      </c>
      <c r="F19328" s="102" t="str">
        <f ca="1">IFERROR(__xludf.DUMMYFUNCTION("IMPORTRANGE(H19328,""IDENTITAS UNIT!D9"")"),"#N/A")</f>
        <v>#N/A</v>
      </c>
      <c r="H19328" s="4" t="str">
        <v/>
      </c>
      <c r="I19328" s="4" t="str">
        <v/>
      </c>
    </row>
    <row r="19329" spans="5:9" ht="16.5" hidden="1">
      <c r="E19329" s="4" t="str">
        <v/>
      </c>
      <c r="F19329" s="102" t="str">
        <f ca="1">IFERROR(__xludf.DUMMYFUNCTION("IMPORTRANGE(H19329,""IDENTITAS UNIT!D9"")"),"#N/A")</f>
        <v>#N/A</v>
      </c>
      <c r="H19329" s="4" t="str">
        <v/>
      </c>
      <c r="I19329" s="4" t="str">
        <v/>
      </c>
    </row>
    <row r="19330" spans="5:9" ht="16.5" hidden="1">
      <c r="E19330" s="4" t="str">
        <v/>
      </c>
      <c r="F19330" s="102" t="str">
        <f ca="1">IFERROR(__xludf.DUMMYFUNCTION("IMPORTRANGE(H19330,""IDENTITAS UNIT!D9"")"),"#N/A")</f>
        <v>#N/A</v>
      </c>
      <c r="H19330" s="4" t="str">
        <v/>
      </c>
      <c r="I19330" s="4" t="str">
        <v/>
      </c>
    </row>
    <row r="19331" spans="5:9" ht="16.5" hidden="1">
      <c r="E19331" s="4" t="str">
        <v/>
      </c>
      <c r="F19331" s="102" t="str">
        <f ca="1">IFERROR(__xludf.DUMMYFUNCTION("IMPORTRANGE(H19331,""IDENTITAS UNIT!D9"")"),"#N/A")</f>
        <v>#N/A</v>
      </c>
      <c r="H19331" s="4" t="str">
        <v/>
      </c>
      <c r="I19331" s="4" t="str">
        <v/>
      </c>
    </row>
    <row r="19332" spans="5:9" ht="16.5" hidden="1">
      <c r="E19332" s="4" t="str">
        <v/>
      </c>
      <c r="F19332" s="102" t="str">
        <f ca="1">IFERROR(__xludf.DUMMYFUNCTION("IMPORTRANGE(H19332,""IDENTITAS UNIT!D9"")"),"#N/A")</f>
        <v>#N/A</v>
      </c>
      <c r="H19332" s="4" t="str">
        <v/>
      </c>
      <c r="I19332" s="4" t="str">
        <v/>
      </c>
    </row>
    <row r="19333" spans="5:9" ht="16.5" hidden="1">
      <c r="E19333" s="4" t="str">
        <v/>
      </c>
      <c r="F19333" s="102" t="str">
        <f ca="1">IFERROR(__xludf.DUMMYFUNCTION("IMPORTRANGE(H19333,""IDENTITAS UNIT!D9"")"),"#N/A")</f>
        <v>#N/A</v>
      </c>
      <c r="H19333" s="4" t="str">
        <v/>
      </c>
      <c r="I19333" s="4" t="str">
        <v/>
      </c>
    </row>
    <row r="19334" spans="5:9" ht="16.5" hidden="1">
      <c r="E19334" s="4" t="str">
        <v/>
      </c>
      <c r="F19334" s="102" t="str">
        <f ca="1">IFERROR(__xludf.DUMMYFUNCTION("IMPORTRANGE(H19334,""IDENTITAS UNIT!D9"")"),"#N/A")</f>
        <v>#N/A</v>
      </c>
      <c r="H19334" s="4" t="str">
        <v/>
      </c>
      <c r="I19334" s="4" t="str">
        <v/>
      </c>
    </row>
    <row r="19335" spans="5:9" ht="16.5" hidden="1">
      <c r="E19335" s="4" t="str">
        <v/>
      </c>
      <c r="F19335" s="102" t="str">
        <f ca="1">IFERROR(__xludf.DUMMYFUNCTION("IMPORTRANGE(H19335,""IDENTITAS UNIT!D9"")"),"#N/A")</f>
        <v>#N/A</v>
      </c>
      <c r="H19335" s="4" t="str">
        <v/>
      </c>
      <c r="I19335" s="4" t="str">
        <v/>
      </c>
    </row>
    <row r="19336" spans="5:9" ht="16.5" hidden="1">
      <c r="E19336" s="4" t="str">
        <v/>
      </c>
      <c r="F19336" s="102" t="str">
        <f ca="1">IFERROR(__xludf.DUMMYFUNCTION("IMPORTRANGE(H19336,""IDENTITAS UNIT!D9"")"),"#N/A")</f>
        <v>#N/A</v>
      </c>
      <c r="H19336" s="4" t="str">
        <v/>
      </c>
      <c r="I19336" s="4" t="str">
        <v/>
      </c>
    </row>
    <row r="19337" spans="5:9" ht="16.5" hidden="1">
      <c r="E19337" s="4" t="str">
        <v/>
      </c>
      <c r="F19337" s="102" t="str">
        <f ca="1">IFERROR(__xludf.DUMMYFUNCTION("IMPORTRANGE(H19337,""IDENTITAS UNIT!D9"")"),"#N/A")</f>
        <v>#N/A</v>
      </c>
      <c r="H19337" s="4" t="str">
        <v/>
      </c>
      <c r="I19337" s="4" t="str">
        <v/>
      </c>
    </row>
    <row r="19338" spans="5:9" ht="16.5" hidden="1">
      <c r="E19338" s="4" t="str">
        <v/>
      </c>
      <c r="F19338" s="102" t="str">
        <f ca="1">IFERROR(__xludf.DUMMYFUNCTION("IMPORTRANGE(H19338,""IDENTITAS UNIT!D9"")"),"#N/A")</f>
        <v>#N/A</v>
      </c>
      <c r="H19338" s="4" t="str">
        <v/>
      </c>
      <c r="I19338" s="4" t="str">
        <v/>
      </c>
    </row>
    <row r="19339" spans="5:9" ht="16.5" hidden="1">
      <c r="E19339" s="4" t="str">
        <v/>
      </c>
      <c r="F19339" s="102" t="str">
        <f ca="1">IFERROR(__xludf.DUMMYFUNCTION("IMPORTRANGE(H19339,""IDENTITAS UNIT!D9"")"),"#N/A")</f>
        <v>#N/A</v>
      </c>
      <c r="H19339" s="4" t="str">
        <v/>
      </c>
      <c r="I19339" s="4" t="str">
        <v/>
      </c>
    </row>
    <row r="19340" spans="5:9" ht="16.5" hidden="1">
      <c r="E19340" s="4" t="str">
        <v/>
      </c>
      <c r="F19340" s="102" t="str">
        <f ca="1">IFERROR(__xludf.DUMMYFUNCTION("IMPORTRANGE(H19340,""IDENTITAS UNIT!D9"")"),"#N/A")</f>
        <v>#N/A</v>
      </c>
      <c r="H19340" s="4" t="str">
        <v/>
      </c>
      <c r="I19340" s="4" t="str">
        <v/>
      </c>
    </row>
    <row r="19341" spans="5:9" ht="16.5" hidden="1">
      <c r="E19341" s="4" t="str">
        <v/>
      </c>
      <c r="F19341" s="102" t="str">
        <f ca="1">IFERROR(__xludf.DUMMYFUNCTION("IMPORTRANGE(H19341,""IDENTITAS UNIT!D9"")"),"#N/A")</f>
        <v>#N/A</v>
      </c>
      <c r="H19341" s="4" t="str">
        <v/>
      </c>
      <c r="I19341" s="4" t="str">
        <v/>
      </c>
    </row>
    <row r="19342" spans="5:9" ht="16.5" hidden="1">
      <c r="E19342" s="4" t="str">
        <v/>
      </c>
      <c r="F19342" s="102" t="str">
        <f ca="1">IFERROR(__xludf.DUMMYFUNCTION("IMPORTRANGE(H19342,""IDENTITAS UNIT!D9"")"),"#N/A")</f>
        <v>#N/A</v>
      </c>
      <c r="H19342" s="4" t="str">
        <v/>
      </c>
      <c r="I19342" s="4" t="str">
        <v/>
      </c>
    </row>
    <row r="19343" spans="5:9" ht="16.5" hidden="1">
      <c r="E19343" s="4" t="str">
        <v/>
      </c>
      <c r="F19343" s="102" t="str">
        <f ca="1">IFERROR(__xludf.DUMMYFUNCTION("IMPORTRANGE(H19343,""IDENTITAS UNIT!D9"")"),"#N/A")</f>
        <v>#N/A</v>
      </c>
      <c r="H19343" s="4" t="str">
        <v/>
      </c>
      <c r="I19343" s="4" t="str">
        <v/>
      </c>
    </row>
    <row r="19344" spans="5:9" ht="16.5" hidden="1">
      <c r="E19344" s="4" t="str">
        <v/>
      </c>
      <c r="F19344" s="102" t="str">
        <f ca="1">IFERROR(__xludf.DUMMYFUNCTION("IMPORTRANGE(H19344,""IDENTITAS UNIT!D9"")"),"#N/A")</f>
        <v>#N/A</v>
      </c>
      <c r="H19344" s="4" t="str">
        <v/>
      </c>
      <c r="I19344" s="4" t="str">
        <v/>
      </c>
    </row>
    <row r="19345" spans="5:9" ht="16.5" hidden="1">
      <c r="E19345" s="4" t="str">
        <v/>
      </c>
      <c r="F19345" s="102" t="str">
        <f ca="1">IFERROR(__xludf.DUMMYFUNCTION("IMPORTRANGE(H19345,""IDENTITAS UNIT!D9"")"),"#N/A")</f>
        <v>#N/A</v>
      </c>
      <c r="H19345" s="4" t="str">
        <v/>
      </c>
      <c r="I19345" s="4" t="str">
        <v/>
      </c>
    </row>
    <row r="19346" spans="5:9" ht="16.5" hidden="1">
      <c r="E19346" s="4" t="str">
        <v/>
      </c>
      <c r="F19346" s="102" t="str">
        <f ca="1">IFERROR(__xludf.DUMMYFUNCTION("IMPORTRANGE(H19346,""IDENTITAS UNIT!D9"")"),"#N/A")</f>
        <v>#N/A</v>
      </c>
      <c r="H19346" s="4" t="str">
        <v/>
      </c>
      <c r="I19346" s="4" t="str">
        <v/>
      </c>
    </row>
    <row r="19347" spans="5:9" ht="16.5" hidden="1">
      <c r="E19347" s="4" t="str">
        <v/>
      </c>
      <c r="F19347" s="102" t="str">
        <f ca="1">IFERROR(__xludf.DUMMYFUNCTION("IMPORTRANGE(H19347,""IDENTITAS UNIT!D9"")"),"#N/A")</f>
        <v>#N/A</v>
      </c>
      <c r="H19347" s="4" t="str">
        <v/>
      </c>
      <c r="I19347" s="4" t="str">
        <v/>
      </c>
    </row>
    <row r="19348" spans="5:9" ht="16.5" hidden="1">
      <c r="E19348" s="4" t="str">
        <v/>
      </c>
      <c r="F19348" s="102" t="str">
        <f ca="1">IFERROR(__xludf.DUMMYFUNCTION("IMPORTRANGE(H19348,""IDENTITAS UNIT!D9"")"),"#N/A")</f>
        <v>#N/A</v>
      </c>
      <c r="H19348" s="4" t="str">
        <v/>
      </c>
      <c r="I19348" s="4" t="str">
        <v/>
      </c>
    </row>
    <row r="19349" spans="5:9" ht="16.5" hidden="1">
      <c r="E19349" s="4" t="str">
        <v/>
      </c>
      <c r="F19349" s="102" t="str">
        <f ca="1">IFERROR(__xludf.DUMMYFUNCTION("IMPORTRANGE(H19349,""IDENTITAS UNIT!D9"")"),"#N/A")</f>
        <v>#N/A</v>
      </c>
      <c r="H19349" s="4" t="str">
        <v/>
      </c>
      <c r="I19349" s="4" t="str">
        <v/>
      </c>
    </row>
    <row r="19350" spans="5:9" ht="16.5" hidden="1">
      <c r="E19350" s="4" t="str">
        <v/>
      </c>
      <c r="F19350" s="102" t="str">
        <f ca="1">IFERROR(__xludf.DUMMYFUNCTION("IMPORTRANGE(H19350,""IDENTITAS UNIT!D9"")"),"#N/A")</f>
        <v>#N/A</v>
      </c>
      <c r="H19350" s="4" t="str">
        <v/>
      </c>
      <c r="I19350" s="4" t="str">
        <v/>
      </c>
    </row>
    <row r="19351" spans="5:9" ht="16.5" hidden="1">
      <c r="E19351" s="4" t="str">
        <v/>
      </c>
      <c r="F19351" s="102" t="str">
        <f ca="1">IFERROR(__xludf.DUMMYFUNCTION("IMPORTRANGE(H19351,""IDENTITAS UNIT!D9"")"),"#N/A")</f>
        <v>#N/A</v>
      </c>
      <c r="H19351" s="4" t="str">
        <v/>
      </c>
      <c r="I19351" s="4" t="str">
        <v/>
      </c>
    </row>
    <row r="19352" spans="5:9" ht="16.5" hidden="1">
      <c r="E19352" s="4" t="str">
        <v/>
      </c>
      <c r="F19352" s="102" t="str">
        <f ca="1">IFERROR(__xludf.DUMMYFUNCTION("IMPORTRANGE(H19352,""IDENTITAS UNIT!D9"")"),"#N/A")</f>
        <v>#N/A</v>
      </c>
      <c r="H19352" s="4" t="str">
        <v/>
      </c>
      <c r="I19352" s="4" t="str">
        <v/>
      </c>
    </row>
    <row r="19353" spans="5:9" ht="16.5" hidden="1">
      <c r="E19353" s="4" t="str">
        <v/>
      </c>
      <c r="F19353" s="102" t="str">
        <f ca="1">IFERROR(__xludf.DUMMYFUNCTION("IMPORTRANGE(H19353,""IDENTITAS UNIT!D9"")"),"#N/A")</f>
        <v>#N/A</v>
      </c>
      <c r="H19353" s="4" t="str">
        <v/>
      </c>
      <c r="I19353" s="4" t="str">
        <v/>
      </c>
    </row>
    <row r="19354" spans="5:9" ht="16.5" hidden="1">
      <c r="E19354" s="4" t="str">
        <v/>
      </c>
      <c r="F19354" s="102" t="str">
        <f ca="1">IFERROR(__xludf.DUMMYFUNCTION("IMPORTRANGE(H19354,""IDENTITAS UNIT!D9"")"),"#N/A")</f>
        <v>#N/A</v>
      </c>
      <c r="H19354" s="4" t="str">
        <v/>
      </c>
      <c r="I19354" s="4" t="str">
        <v/>
      </c>
    </row>
    <row r="19355" spans="5:9" ht="16.5" hidden="1">
      <c r="E19355" s="4" t="str">
        <v/>
      </c>
      <c r="F19355" s="102" t="str">
        <f ca="1">IFERROR(__xludf.DUMMYFUNCTION("IMPORTRANGE(H19355,""IDENTITAS UNIT!D9"")"),"#N/A")</f>
        <v>#N/A</v>
      </c>
      <c r="H19355" s="4" t="str">
        <v/>
      </c>
      <c r="I19355" s="4" t="str">
        <v/>
      </c>
    </row>
    <row r="19356" spans="5:9" ht="16.5" hidden="1">
      <c r="E19356" s="4" t="str">
        <v/>
      </c>
      <c r="F19356" s="102" t="str">
        <f ca="1">IFERROR(__xludf.DUMMYFUNCTION("IMPORTRANGE(H19356,""IDENTITAS UNIT!D9"")"),"#N/A")</f>
        <v>#N/A</v>
      </c>
      <c r="H19356" s="4" t="str">
        <v/>
      </c>
      <c r="I19356" s="4" t="str">
        <v/>
      </c>
    </row>
    <row r="19357" spans="5:9" ht="16.5" hidden="1">
      <c r="E19357" s="4" t="str">
        <v/>
      </c>
      <c r="F19357" s="102" t="str">
        <f ca="1">IFERROR(__xludf.DUMMYFUNCTION("IMPORTRANGE(H19357,""IDENTITAS UNIT!D9"")"),"#N/A")</f>
        <v>#N/A</v>
      </c>
      <c r="H19357" s="4" t="str">
        <v/>
      </c>
      <c r="I19357" s="4" t="str">
        <v/>
      </c>
    </row>
    <row r="19358" spans="5:9" ht="16.5" hidden="1">
      <c r="E19358" s="4" t="str">
        <v/>
      </c>
      <c r="F19358" s="102" t="str">
        <f ca="1">IFERROR(__xludf.DUMMYFUNCTION("IMPORTRANGE(H19358,""IDENTITAS UNIT!D9"")"),"#N/A")</f>
        <v>#N/A</v>
      </c>
      <c r="H19358" s="4" t="str">
        <v/>
      </c>
      <c r="I19358" s="4" t="str">
        <v/>
      </c>
    </row>
    <row r="19359" spans="5:9" ht="16.5" hidden="1">
      <c r="E19359" s="4" t="str">
        <v/>
      </c>
      <c r="F19359" s="102" t="str">
        <f ca="1">IFERROR(__xludf.DUMMYFUNCTION("IMPORTRANGE(H19359,""IDENTITAS UNIT!D9"")"),"#N/A")</f>
        <v>#N/A</v>
      </c>
      <c r="H19359" s="4" t="str">
        <v/>
      </c>
      <c r="I19359" s="4" t="str">
        <v/>
      </c>
    </row>
    <row r="19360" spans="5:9" ht="16.5" hidden="1">
      <c r="E19360" s="4" t="str">
        <v/>
      </c>
      <c r="F19360" s="102" t="str">
        <f ca="1">IFERROR(__xludf.DUMMYFUNCTION("IMPORTRANGE(H19360,""IDENTITAS UNIT!D9"")"),"#N/A")</f>
        <v>#N/A</v>
      </c>
      <c r="H19360" s="4" t="str">
        <v/>
      </c>
      <c r="I19360" s="4" t="str">
        <v/>
      </c>
    </row>
    <row r="19361" spans="5:9" ht="16.5" hidden="1">
      <c r="E19361" s="4" t="str">
        <v/>
      </c>
      <c r="F19361" s="102" t="str">
        <f ca="1">IFERROR(__xludf.DUMMYFUNCTION("IMPORTRANGE(H19361,""IDENTITAS UNIT!D9"")"),"#N/A")</f>
        <v>#N/A</v>
      </c>
      <c r="H19361" s="4" t="str">
        <v/>
      </c>
      <c r="I19361" s="4" t="str">
        <v/>
      </c>
    </row>
    <row r="19362" spans="5:9" ht="16.5" hidden="1">
      <c r="E19362" s="4" t="str">
        <v/>
      </c>
      <c r="F19362" s="102" t="str">
        <f ca="1">IFERROR(__xludf.DUMMYFUNCTION("IMPORTRANGE(H19362,""IDENTITAS UNIT!D9"")"),"#N/A")</f>
        <v>#N/A</v>
      </c>
      <c r="H19362" s="4" t="str">
        <v/>
      </c>
      <c r="I19362" s="4" t="str">
        <v/>
      </c>
    </row>
    <row r="19363" spans="5:9" ht="16.5" hidden="1">
      <c r="E19363" s="4" t="str">
        <v/>
      </c>
      <c r="F19363" s="102" t="str">
        <f ca="1">IFERROR(__xludf.DUMMYFUNCTION("IMPORTRANGE(H19363,""IDENTITAS UNIT!D9"")"),"#N/A")</f>
        <v>#N/A</v>
      </c>
      <c r="H19363" s="4" t="str">
        <v/>
      </c>
      <c r="I19363" s="4" t="str">
        <v/>
      </c>
    </row>
    <row r="19364" spans="5:9" ht="16.5" hidden="1">
      <c r="E19364" s="4" t="str">
        <v/>
      </c>
      <c r="F19364" s="102" t="str">
        <f ca="1">IFERROR(__xludf.DUMMYFUNCTION("IMPORTRANGE(H19364,""IDENTITAS UNIT!D9"")"),"#N/A")</f>
        <v>#N/A</v>
      </c>
      <c r="H19364" s="4" t="str">
        <v/>
      </c>
      <c r="I19364" s="4" t="str">
        <v/>
      </c>
    </row>
    <row r="19365" spans="5:9" ht="16.5" hidden="1">
      <c r="E19365" s="4" t="str">
        <v/>
      </c>
      <c r="F19365" s="102" t="str">
        <f ca="1">IFERROR(__xludf.DUMMYFUNCTION("IMPORTRANGE(H19365,""IDENTITAS UNIT!D9"")"),"#N/A")</f>
        <v>#N/A</v>
      </c>
      <c r="H19365" s="4" t="str">
        <v/>
      </c>
      <c r="I19365" s="4" t="str">
        <v/>
      </c>
    </row>
    <row r="19366" spans="5:9" ht="16.5" hidden="1">
      <c r="E19366" s="4" t="str">
        <v/>
      </c>
      <c r="F19366" s="102" t="str">
        <f ca="1">IFERROR(__xludf.DUMMYFUNCTION("IMPORTRANGE(H19366,""IDENTITAS UNIT!D9"")"),"#N/A")</f>
        <v>#N/A</v>
      </c>
      <c r="H19366" s="4" t="str">
        <v/>
      </c>
      <c r="I19366" s="4" t="str">
        <v/>
      </c>
    </row>
    <row r="19367" spans="5:9" ht="16.5" hidden="1">
      <c r="E19367" s="4" t="str">
        <v/>
      </c>
      <c r="F19367" s="102" t="str">
        <f ca="1">IFERROR(__xludf.DUMMYFUNCTION("IMPORTRANGE(H19367,""IDENTITAS UNIT!D9"")"),"#N/A")</f>
        <v>#N/A</v>
      </c>
      <c r="H19367" s="4" t="str">
        <v/>
      </c>
      <c r="I19367" s="4" t="str">
        <v/>
      </c>
    </row>
    <row r="19368" spans="5:9" ht="16.5" hidden="1">
      <c r="E19368" s="4" t="str">
        <v/>
      </c>
      <c r="F19368" s="102" t="str">
        <f ca="1">IFERROR(__xludf.DUMMYFUNCTION("IMPORTRANGE(H19368,""IDENTITAS UNIT!D9"")"),"#N/A")</f>
        <v>#N/A</v>
      </c>
      <c r="H19368" s="4" t="str">
        <v/>
      </c>
      <c r="I19368" s="4" t="str">
        <v/>
      </c>
    </row>
    <row r="19369" spans="5:9" ht="16.5" hidden="1">
      <c r="E19369" s="4" t="str">
        <v/>
      </c>
      <c r="F19369" s="102" t="str">
        <f ca="1">IFERROR(__xludf.DUMMYFUNCTION("IMPORTRANGE(H19369,""IDENTITAS UNIT!D9"")"),"#N/A")</f>
        <v>#N/A</v>
      </c>
      <c r="H19369" s="4" t="str">
        <v/>
      </c>
      <c r="I19369" s="4" t="str">
        <v/>
      </c>
    </row>
    <row r="19370" spans="5:9" ht="16.5" hidden="1">
      <c r="E19370" s="4" t="str">
        <v/>
      </c>
      <c r="F19370" s="102" t="str">
        <f ca="1">IFERROR(__xludf.DUMMYFUNCTION("IMPORTRANGE(H19370,""IDENTITAS UNIT!D9"")"),"#N/A")</f>
        <v>#N/A</v>
      </c>
      <c r="H19370" s="4" t="str">
        <v/>
      </c>
      <c r="I19370" s="4" t="str">
        <v/>
      </c>
    </row>
    <row r="19371" spans="5:9" ht="16.5" hidden="1">
      <c r="E19371" s="4" t="str">
        <v/>
      </c>
      <c r="F19371" s="102" t="str">
        <f ca="1">IFERROR(__xludf.DUMMYFUNCTION("IMPORTRANGE(H19371,""IDENTITAS UNIT!D9"")"),"#N/A")</f>
        <v>#N/A</v>
      </c>
      <c r="H19371" s="4" t="str">
        <v/>
      </c>
      <c r="I19371" s="4" t="str">
        <v/>
      </c>
    </row>
    <row r="19372" spans="5:9" ht="16.5" hidden="1">
      <c r="E19372" s="4" t="str">
        <v/>
      </c>
      <c r="F19372" s="102" t="str">
        <f ca="1">IFERROR(__xludf.DUMMYFUNCTION("IMPORTRANGE(H19372,""IDENTITAS UNIT!D9"")"),"#N/A")</f>
        <v>#N/A</v>
      </c>
      <c r="H19372" s="4" t="str">
        <v/>
      </c>
      <c r="I19372" s="4" t="str">
        <v/>
      </c>
    </row>
    <row r="19373" spans="5:9" ht="16.5" hidden="1">
      <c r="E19373" s="4" t="str">
        <v/>
      </c>
      <c r="F19373" s="102" t="str">
        <f ca="1">IFERROR(__xludf.DUMMYFUNCTION("IMPORTRANGE(H19373,""IDENTITAS UNIT!D9"")"),"#N/A")</f>
        <v>#N/A</v>
      </c>
      <c r="H19373" s="4" t="str">
        <v/>
      </c>
      <c r="I19373" s="4" t="str">
        <v/>
      </c>
    </row>
    <row r="19374" spans="5:9" ht="16.5" hidden="1">
      <c r="E19374" s="4" t="str">
        <v/>
      </c>
      <c r="F19374" s="102" t="str">
        <f ca="1">IFERROR(__xludf.DUMMYFUNCTION("IMPORTRANGE(H19374,""IDENTITAS UNIT!D9"")"),"#N/A")</f>
        <v>#N/A</v>
      </c>
      <c r="H19374" s="4" t="str">
        <v/>
      </c>
      <c r="I19374" s="4" t="str">
        <v/>
      </c>
    </row>
    <row r="19375" spans="5:9" ht="16.5" hidden="1">
      <c r="E19375" s="4" t="str">
        <v/>
      </c>
      <c r="F19375" s="102" t="str">
        <f ca="1">IFERROR(__xludf.DUMMYFUNCTION("IMPORTRANGE(H19375,""IDENTITAS UNIT!D9"")"),"#N/A")</f>
        <v>#N/A</v>
      </c>
      <c r="H19375" s="4" t="str">
        <v/>
      </c>
      <c r="I19375" s="4" t="str">
        <v/>
      </c>
    </row>
    <row r="19376" spans="5:9" ht="16.5" hidden="1">
      <c r="E19376" s="4" t="str">
        <v/>
      </c>
      <c r="F19376" s="102" t="str">
        <f ca="1">IFERROR(__xludf.DUMMYFUNCTION("IMPORTRANGE(H19376,""IDENTITAS UNIT!D9"")"),"#N/A")</f>
        <v>#N/A</v>
      </c>
      <c r="H19376" s="4" t="str">
        <v/>
      </c>
      <c r="I19376" s="4" t="str">
        <v/>
      </c>
    </row>
    <row r="19377" spans="5:9" ht="16.5" hidden="1">
      <c r="E19377" s="4" t="str">
        <v/>
      </c>
      <c r="F19377" s="102" t="str">
        <f ca="1">IFERROR(__xludf.DUMMYFUNCTION("IMPORTRANGE(H19377,""IDENTITAS UNIT!D9"")"),"#N/A")</f>
        <v>#N/A</v>
      </c>
      <c r="H19377" s="4" t="str">
        <v/>
      </c>
      <c r="I19377" s="4" t="str">
        <v/>
      </c>
    </row>
    <row r="19378" spans="5:9" ht="16.5" hidden="1">
      <c r="E19378" s="4" t="str">
        <v/>
      </c>
      <c r="F19378" s="102" t="str">
        <f ca="1">IFERROR(__xludf.DUMMYFUNCTION("IMPORTRANGE(H19378,""IDENTITAS UNIT!D9"")"),"#N/A")</f>
        <v>#N/A</v>
      </c>
      <c r="H19378" s="4" t="str">
        <v/>
      </c>
      <c r="I19378" s="4" t="str">
        <v/>
      </c>
    </row>
    <row r="19379" spans="5:9" ht="16.5" hidden="1">
      <c r="E19379" s="4" t="str">
        <v/>
      </c>
      <c r="F19379" s="102" t="str">
        <f ca="1">IFERROR(__xludf.DUMMYFUNCTION("IMPORTRANGE(H19379,""IDENTITAS UNIT!D9"")"),"#N/A")</f>
        <v>#N/A</v>
      </c>
      <c r="H19379" s="4" t="str">
        <v/>
      </c>
      <c r="I19379" s="4" t="str">
        <v/>
      </c>
    </row>
    <row r="19380" spans="5:9" ht="16.5" hidden="1">
      <c r="E19380" s="4" t="str">
        <v/>
      </c>
      <c r="F19380" s="102" t="str">
        <f ca="1">IFERROR(__xludf.DUMMYFUNCTION("IMPORTRANGE(H19380,""IDENTITAS UNIT!D9"")"),"#N/A")</f>
        <v>#N/A</v>
      </c>
      <c r="H19380" s="4" t="str">
        <v/>
      </c>
      <c r="I19380" s="4" t="str">
        <v/>
      </c>
    </row>
    <row r="19381" spans="5:9" ht="16.5" hidden="1">
      <c r="E19381" s="4" t="str">
        <v/>
      </c>
      <c r="F19381" s="102" t="str">
        <f ca="1">IFERROR(__xludf.DUMMYFUNCTION("IMPORTRANGE(H19381,""IDENTITAS UNIT!D9"")"),"#N/A")</f>
        <v>#N/A</v>
      </c>
      <c r="H19381" s="4" t="str">
        <v/>
      </c>
      <c r="I19381" s="4" t="str">
        <v/>
      </c>
    </row>
    <row r="19382" spans="5:9" ht="16.5" hidden="1">
      <c r="E19382" s="4" t="str">
        <v/>
      </c>
      <c r="F19382" s="102" t="str">
        <f ca="1">IFERROR(__xludf.DUMMYFUNCTION("IMPORTRANGE(H19382,""IDENTITAS UNIT!D9"")"),"#N/A")</f>
        <v>#N/A</v>
      </c>
      <c r="H19382" s="4" t="str">
        <v/>
      </c>
      <c r="I19382" s="4" t="str">
        <v/>
      </c>
    </row>
    <row r="19383" spans="5:9" ht="16.5" hidden="1">
      <c r="E19383" s="4" t="str">
        <v/>
      </c>
      <c r="F19383" s="102" t="str">
        <f ca="1">IFERROR(__xludf.DUMMYFUNCTION("IMPORTRANGE(H19383,""IDENTITAS UNIT!D9"")"),"#N/A")</f>
        <v>#N/A</v>
      </c>
      <c r="H19383" s="4" t="str">
        <v/>
      </c>
      <c r="I19383" s="4" t="str">
        <v/>
      </c>
    </row>
    <row r="19384" spans="5:9" ht="16.5" hidden="1">
      <c r="E19384" s="4" t="str">
        <v/>
      </c>
      <c r="F19384" s="102" t="str">
        <f ca="1">IFERROR(__xludf.DUMMYFUNCTION("IMPORTRANGE(H19384,""IDENTITAS UNIT!D9"")"),"#N/A")</f>
        <v>#N/A</v>
      </c>
      <c r="H19384" s="4" t="str">
        <v/>
      </c>
      <c r="I19384" s="4" t="str">
        <v/>
      </c>
    </row>
    <row r="19385" spans="5:9" ht="16.5" hidden="1">
      <c r="E19385" s="4" t="str">
        <v/>
      </c>
      <c r="F19385" s="102" t="str">
        <f ca="1">IFERROR(__xludf.DUMMYFUNCTION("IMPORTRANGE(H19385,""IDENTITAS UNIT!D9"")"),"#N/A")</f>
        <v>#N/A</v>
      </c>
      <c r="H19385" s="4" t="str">
        <v/>
      </c>
      <c r="I19385" s="4" t="str">
        <v/>
      </c>
    </row>
    <row r="19386" spans="5:9" ht="16.5" hidden="1">
      <c r="E19386" s="4" t="str">
        <v/>
      </c>
      <c r="F19386" s="102" t="str">
        <f ca="1">IFERROR(__xludf.DUMMYFUNCTION("IMPORTRANGE(H19386,""IDENTITAS UNIT!D9"")"),"#N/A")</f>
        <v>#N/A</v>
      </c>
      <c r="H19386" s="4" t="str">
        <v/>
      </c>
      <c r="I19386" s="4" t="str">
        <v/>
      </c>
    </row>
    <row r="19387" spans="5:9" ht="16.5" hidden="1">
      <c r="E19387" s="4" t="str">
        <v/>
      </c>
      <c r="F19387" s="102" t="str">
        <f ca="1">IFERROR(__xludf.DUMMYFUNCTION("IMPORTRANGE(H19387,""IDENTITAS UNIT!D9"")"),"#N/A")</f>
        <v>#N/A</v>
      </c>
      <c r="H19387" s="4" t="str">
        <v/>
      </c>
      <c r="I19387" s="4" t="str">
        <v/>
      </c>
    </row>
    <row r="19388" spans="5:9" ht="16.5" hidden="1">
      <c r="E19388" s="4" t="str">
        <v/>
      </c>
      <c r="F19388" s="102" t="str">
        <f ca="1">IFERROR(__xludf.DUMMYFUNCTION("IMPORTRANGE(H19388,""IDENTITAS UNIT!D9"")"),"#N/A")</f>
        <v>#N/A</v>
      </c>
      <c r="H19388" s="4" t="str">
        <v/>
      </c>
      <c r="I19388" s="4" t="str">
        <v/>
      </c>
    </row>
    <row r="19389" spans="5:9" ht="16.5" hidden="1">
      <c r="E19389" s="4" t="str">
        <v/>
      </c>
      <c r="F19389" s="102" t="str">
        <f ca="1">IFERROR(__xludf.DUMMYFUNCTION("IMPORTRANGE(H19389,""IDENTITAS UNIT!D9"")"),"#N/A")</f>
        <v>#N/A</v>
      </c>
      <c r="H19389" s="4" t="str">
        <v/>
      </c>
      <c r="I19389" s="4" t="str">
        <v/>
      </c>
    </row>
    <row r="19390" spans="5:9" ht="16.5" hidden="1">
      <c r="E19390" s="4" t="str">
        <v/>
      </c>
      <c r="F19390" s="102" t="str">
        <f ca="1">IFERROR(__xludf.DUMMYFUNCTION("IMPORTRANGE(H19390,""IDENTITAS UNIT!D9"")"),"#N/A")</f>
        <v>#N/A</v>
      </c>
      <c r="H19390" s="4" t="str">
        <v/>
      </c>
      <c r="I19390" s="4" t="str">
        <v/>
      </c>
    </row>
    <row r="19391" spans="5:9" ht="16.5" hidden="1">
      <c r="E19391" s="4" t="str">
        <v/>
      </c>
      <c r="F19391" s="102" t="str">
        <f ca="1">IFERROR(__xludf.DUMMYFUNCTION("IMPORTRANGE(H19391,""IDENTITAS UNIT!D9"")"),"#N/A")</f>
        <v>#N/A</v>
      </c>
      <c r="H19391" s="4" t="str">
        <v/>
      </c>
      <c r="I19391" s="4" t="str">
        <v/>
      </c>
    </row>
    <row r="19392" spans="5:9" ht="16.5" hidden="1">
      <c r="E19392" s="4" t="str">
        <v/>
      </c>
      <c r="F19392" s="102" t="str">
        <f ca="1">IFERROR(__xludf.DUMMYFUNCTION("IMPORTRANGE(H19392,""IDENTITAS UNIT!D9"")"),"#N/A")</f>
        <v>#N/A</v>
      </c>
      <c r="H19392" s="4" t="str">
        <v/>
      </c>
      <c r="I19392" s="4" t="str">
        <v/>
      </c>
    </row>
    <row r="19393" spans="5:9" ht="16.5" hidden="1">
      <c r="E19393" s="4" t="str">
        <v/>
      </c>
      <c r="F19393" s="102" t="str">
        <f ca="1">IFERROR(__xludf.DUMMYFUNCTION("IMPORTRANGE(H19393,""IDENTITAS UNIT!D9"")"),"#N/A")</f>
        <v>#N/A</v>
      </c>
      <c r="H19393" s="4" t="str">
        <v/>
      </c>
      <c r="I19393" s="4" t="str">
        <v/>
      </c>
    </row>
    <row r="19394" spans="5:9" ht="16.5" hidden="1">
      <c r="E19394" s="4" t="str">
        <v/>
      </c>
      <c r="F19394" s="102" t="str">
        <f ca="1">IFERROR(__xludf.DUMMYFUNCTION("IMPORTRANGE(H19394,""IDENTITAS UNIT!D9"")"),"#N/A")</f>
        <v>#N/A</v>
      </c>
      <c r="H19394" s="4" t="str">
        <v/>
      </c>
      <c r="I19394" s="4" t="str">
        <v/>
      </c>
    </row>
    <row r="19395" spans="5:9" ht="16.5" hidden="1">
      <c r="E19395" s="4" t="str">
        <v/>
      </c>
      <c r="F19395" s="102" t="str">
        <f ca="1">IFERROR(__xludf.DUMMYFUNCTION("IMPORTRANGE(H19395,""IDENTITAS UNIT!D9"")"),"#N/A")</f>
        <v>#N/A</v>
      </c>
      <c r="H19395" s="4" t="str">
        <v/>
      </c>
      <c r="I19395" s="4" t="str">
        <v/>
      </c>
    </row>
    <row r="19396" spans="5:9" ht="16.5" hidden="1">
      <c r="E19396" s="4" t="str">
        <v/>
      </c>
      <c r="F19396" s="102" t="str">
        <f ca="1">IFERROR(__xludf.DUMMYFUNCTION("IMPORTRANGE(H19396,""IDENTITAS UNIT!D9"")"),"#N/A")</f>
        <v>#N/A</v>
      </c>
      <c r="H19396" s="4" t="str">
        <v/>
      </c>
      <c r="I19396" s="4" t="str">
        <v/>
      </c>
    </row>
    <row r="19397" spans="5:9" ht="16.5" hidden="1">
      <c r="E19397" s="4" t="str">
        <v/>
      </c>
      <c r="F19397" s="102" t="str">
        <f ca="1">IFERROR(__xludf.DUMMYFUNCTION("IMPORTRANGE(H19397,""IDENTITAS UNIT!D9"")"),"#N/A")</f>
        <v>#N/A</v>
      </c>
      <c r="H19397" s="4" t="str">
        <v/>
      </c>
      <c r="I19397" s="4" t="str">
        <v/>
      </c>
    </row>
    <row r="19398" spans="5:9" ht="16.5" hidden="1">
      <c r="E19398" s="4" t="str">
        <v/>
      </c>
      <c r="F19398" s="102" t="str">
        <f ca="1">IFERROR(__xludf.DUMMYFUNCTION("IMPORTRANGE(H19398,""IDENTITAS UNIT!D9"")"),"#N/A")</f>
        <v>#N/A</v>
      </c>
      <c r="H19398" s="4" t="str">
        <v/>
      </c>
      <c r="I19398" s="4" t="str">
        <v/>
      </c>
    </row>
    <row r="19399" spans="5:9" ht="16.5" hidden="1">
      <c r="E19399" s="4" t="str">
        <v/>
      </c>
      <c r="F19399" s="102" t="str">
        <f ca="1">IFERROR(__xludf.DUMMYFUNCTION("IMPORTRANGE(H19399,""IDENTITAS UNIT!D9"")"),"#N/A")</f>
        <v>#N/A</v>
      </c>
      <c r="H19399" s="4" t="str">
        <v/>
      </c>
      <c r="I19399" s="4" t="str">
        <v/>
      </c>
    </row>
    <row r="19400" spans="5:9" ht="16.5" hidden="1">
      <c r="E19400" s="4" t="str">
        <v/>
      </c>
      <c r="F19400" s="102" t="str">
        <f ca="1">IFERROR(__xludf.DUMMYFUNCTION("IMPORTRANGE(H19400,""IDENTITAS UNIT!D9"")"),"#N/A")</f>
        <v>#N/A</v>
      </c>
      <c r="H19400" s="4" t="str">
        <v/>
      </c>
      <c r="I19400" s="4" t="str">
        <v/>
      </c>
    </row>
    <row r="19401" spans="5:9" ht="16.5" hidden="1">
      <c r="E19401" s="4" t="str">
        <v/>
      </c>
      <c r="F19401" s="102" t="str">
        <f ca="1">IFERROR(__xludf.DUMMYFUNCTION("IMPORTRANGE(H19401,""IDENTITAS UNIT!D9"")"),"#N/A")</f>
        <v>#N/A</v>
      </c>
      <c r="H19401" s="4" t="str">
        <v/>
      </c>
      <c r="I19401" s="4" t="str">
        <v/>
      </c>
    </row>
    <row r="19402" spans="5:9" ht="16.5" hidden="1">
      <c r="E19402" s="4" t="str">
        <v/>
      </c>
      <c r="F19402" s="102" t="str">
        <f ca="1">IFERROR(__xludf.DUMMYFUNCTION("IMPORTRANGE(H19402,""IDENTITAS UNIT!D9"")"),"#N/A")</f>
        <v>#N/A</v>
      </c>
      <c r="H19402" s="4" t="str">
        <v/>
      </c>
      <c r="I19402" s="4" t="str">
        <v/>
      </c>
    </row>
    <row r="19403" spans="5:9" ht="16.5" hidden="1">
      <c r="E19403" s="4" t="str">
        <v/>
      </c>
      <c r="F19403" s="102" t="str">
        <f ca="1">IFERROR(__xludf.DUMMYFUNCTION("IMPORTRANGE(H19403,""IDENTITAS UNIT!D9"")"),"#N/A")</f>
        <v>#N/A</v>
      </c>
      <c r="H19403" s="4" t="str">
        <v/>
      </c>
      <c r="I19403" s="4" t="str">
        <v/>
      </c>
    </row>
    <row r="19404" spans="5:9" ht="16.5" hidden="1">
      <c r="E19404" s="4" t="str">
        <v/>
      </c>
      <c r="F19404" s="102" t="str">
        <f ca="1">IFERROR(__xludf.DUMMYFUNCTION("IMPORTRANGE(H19404,""IDENTITAS UNIT!D9"")"),"#N/A")</f>
        <v>#N/A</v>
      </c>
      <c r="H19404" s="4" t="str">
        <v/>
      </c>
      <c r="I19404" s="4" t="str">
        <v/>
      </c>
    </row>
    <row r="19405" spans="5:9" ht="16.5" hidden="1">
      <c r="E19405" s="4" t="str">
        <v/>
      </c>
      <c r="F19405" s="102" t="str">
        <f ca="1">IFERROR(__xludf.DUMMYFUNCTION("IMPORTRANGE(H19405,""IDENTITAS UNIT!D9"")"),"#N/A")</f>
        <v>#N/A</v>
      </c>
      <c r="H19405" s="4" t="str">
        <v/>
      </c>
      <c r="I19405" s="4" t="str">
        <v/>
      </c>
    </row>
    <row r="19406" spans="5:9" ht="16.5" hidden="1">
      <c r="E19406" s="4" t="str">
        <v/>
      </c>
      <c r="F19406" s="102" t="str">
        <f ca="1">IFERROR(__xludf.DUMMYFUNCTION("IMPORTRANGE(H19406,""IDENTITAS UNIT!D9"")"),"#N/A")</f>
        <v>#N/A</v>
      </c>
      <c r="H19406" s="4" t="str">
        <v/>
      </c>
      <c r="I19406" s="4" t="str">
        <v/>
      </c>
    </row>
    <row r="19407" spans="5:9" ht="16.5" hidden="1">
      <c r="E19407" s="4" t="str">
        <v/>
      </c>
      <c r="F19407" s="102" t="str">
        <f ca="1">IFERROR(__xludf.DUMMYFUNCTION("IMPORTRANGE(H19407,""IDENTITAS UNIT!D9"")"),"#N/A")</f>
        <v>#N/A</v>
      </c>
      <c r="H19407" s="4" t="str">
        <v/>
      </c>
      <c r="I19407" s="4" t="str">
        <v/>
      </c>
    </row>
    <row r="19408" spans="5:9" ht="16.5" hidden="1">
      <c r="E19408" s="4" t="str">
        <v/>
      </c>
      <c r="F19408" s="102" t="str">
        <f ca="1">IFERROR(__xludf.DUMMYFUNCTION("IMPORTRANGE(H19408,""IDENTITAS UNIT!D9"")"),"#N/A")</f>
        <v>#N/A</v>
      </c>
      <c r="H19408" s="4" t="str">
        <v/>
      </c>
      <c r="I19408" s="4" t="str">
        <v/>
      </c>
    </row>
    <row r="19409" spans="5:9" ht="16.5" hidden="1">
      <c r="E19409" s="4" t="str">
        <v/>
      </c>
      <c r="F19409" s="102" t="str">
        <f ca="1">IFERROR(__xludf.DUMMYFUNCTION("IMPORTRANGE(H19409,""IDENTITAS UNIT!D9"")"),"#N/A")</f>
        <v>#N/A</v>
      </c>
      <c r="H19409" s="4" t="str">
        <v/>
      </c>
      <c r="I19409" s="4" t="str">
        <v/>
      </c>
    </row>
    <row r="19410" spans="5:9" ht="16.5" hidden="1">
      <c r="E19410" s="4" t="str">
        <v/>
      </c>
      <c r="F19410" s="102" t="str">
        <f ca="1">IFERROR(__xludf.DUMMYFUNCTION("IMPORTRANGE(H19410,""IDENTITAS UNIT!D9"")"),"#N/A")</f>
        <v>#N/A</v>
      </c>
      <c r="H19410" s="4" t="str">
        <v/>
      </c>
      <c r="I19410" s="4" t="str">
        <v/>
      </c>
    </row>
    <row r="19411" spans="5:9" ht="16.5" hidden="1">
      <c r="E19411" s="4" t="str">
        <v/>
      </c>
      <c r="F19411" s="102" t="str">
        <f ca="1">IFERROR(__xludf.DUMMYFUNCTION("IMPORTRANGE(H19411,""IDENTITAS UNIT!D9"")"),"#N/A")</f>
        <v>#N/A</v>
      </c>
      <c r="H19411" s="4" t="str">
        <v/>
      </c>
      <c r="I19411" s="4" t="str">
        <v/>
      </c>
    </row>
    <row r="19412" spans="5:9" ht="16.5" hidden="1">
      <c r="E19412" s="4" t="str">
        <v/>
      </c>
      <c r="F19412" s="102" t="str">
        <f ca="1">IFERROR(__xludf.DUMMYFUNCTION("IMPORTRANGE(H19412,""IDENTITAS UNIT!D9"")"),"#N/A")</f>
        <v>#N/A</v>
      </c>
      <c r="H19412" s="4" t="str">
        <v/>
      </c>
      <c r="I19412" s="4" t="str">
        <v/>
      </c>
    </row>
    <row r="19413" spans="5:9" ht="16.5" hidden="1">
      <c r="E19413" s="4" t="str">
        <v/>
      </c>
      <c r="F19413" s="102" t="str">
        <f ca="1">IFERROR(__xludf.DUMMYFUNCTION("IMPORTRANGE(H19413,""IDENTITAS UNIT!D9"")"),"#N/A")</f>
        <v>#N/A</v>
      </c>
      <c r="H19413" s="4" t="str">
        <v/>
      </c>
      <c r="I19413" s="4" t="str">
        <v/>
      </c>
    </row>
    <row r="19414" spans="5:9" ht="16.5" hidden="1">
      <c r="E19414" s="4" t="str">
        <v/>
      </c>
      <c r="F19414" s="102" t="str">
        <f ca="1">IFERROR(__xludf.DUMMYFUNCTION("IMPORTRANGE(H19414,""IDENTITAS UNIT!D9"")"),"#N/A")</f>
        <v>#N/A</v>
      </c>
      <c r="H19414" s="4" t="str">
        <v/>
      </c>
      <c r="I19414" s="4" t="str">
        <v/>
      </c>
    </row>
    <row r="19415" spans="5:9" ht="16.5" hidden="1">
      <c r="E19415" s="4" t="str">
        <v/>
      </c>
      <c r="F19415" s="102" t="str">
        <f ca="1">IFERROR(__xludf.DUMMYFUNCTION("IMPORTRANGE(H19415,""IDENTITAS UNIT!D9"")"),"#N/A")</f>
        <v>#N/A</v>
      </c>
      <c r="H19415" s="4" t="str">
        <v/>
      </c>
      <c r="I19415" s="4" t="str">
        <v/>
      </c>
    </row>
    <row r="19416" spans="5:9" ht="16.5" hidden="1">
      <c r="E19416" s="4" t="str">
        <v/>
      </c>
      <c r="F19416" s="102" t="str">
        <f ca="1">IFERROR(__xludf.DUMMYFUNCTION("IMPORTRANGE(H19416,""IDENTITAS UNIT!D9"")"),"#N/A")</f>
        <v>#N/A</v>
      </c>
      <c r="H19416" s="4" t="str">
        <v/>
      </c>
      <c r="I19416" s="4" t="str">
        <v/>
      </c>
    </row>
    <row r="19417" spans="5:9" ht="16.5" hidden="1">
      <c r="E19417" s="4" t="str">
        <v/>
      </c>
      <c r="F19417" s="102" t="str">
        <f ca="1">IFERROR(__xludf.DUMMYFUNCTION("IMPORTRANGE(H19417,""IDENTITAS UNIT!D9"")"),"#N/A")</f>
        <v>#N/A</v>
      </c>
      <c r="H19417" s="4" t="str">
        <v/>
      </c>
      <c r="I19417" s="4" t="str">
        <v/>
      </c>
    </row>
    <row r="19418" spans="5:9" ht="16.5" hidden="1">
      <c r="E19418" s="4" t="str">
        <v/>
      </c>
      <c r="F19418" s="102" t="str">
        <f ca="1">IFERROR(__xludf.DUMMYFUNCTION("IMPORTRANGE(H19418,""IDENTITAS UNIT!D9"")"),"#N/A")</f>
        <v>#N/A</v>
      </c>
      <c r="H19418" s="4" t="str">
        <v/>
      </c>
      <c r="I19418" s="4" t="str">
        <v/>
      </c>
    </row>
    <row r="19419" spans="5:9" ht="16.5" hidden="1">
      <c r="E19419" s="4" t="str">
        <v/>
      </c>
      <c r="F19419" s="102" t="str">
        <f ca="1">IFERROR(__xludf.DUMMYFUNCTION("IMPORTRANGE(H19419,""IDENTITAS UNIT!D9"")"),"#N/A")</f>
        <v>#N/A</v>
      </c>
      <c r="H19419" s="4" t="str">
        <v/>
      </c>
      <c r="I19419" s="4" t="str">
        <v/>
      </c>
    </row>
    <row r="19420" spans="5:9" ht="16.5" hidden="1">
      <c r="E19420" s="4" t="str">
        <v/>
      </c>
      <c r="F19420" s="102" t="str">
        <f ca="1">IFERROR(__xludf.DUMMYFUNCTION("IMPORTRANGE(H19420,""IDENTITAS UNIT!D9"")"),"#N/A")</f>
        <v>#N/A</v>
      </c>
      <c r="H19420" s="4" t="str">
        <v/>
      </c>
      <c r="I19420" s="4" t="str">
        <v/>
      </c>
    </row>
    <row r="19421" spans="5:9" ht="16.5" hidden="1">
      <c r="E19421" s="4" t="str">
        <v/>
      </c>
      <c r="F19421" s="102" t="str">
        <f ca="1">IFERROR(__xludf.DUMMYFUNCTION("IMPORTRANGE(H19421,""IDENTITAS UNIT!D9"")"),"#N/A")</f>
        <v>#N/A</v>
      </c>
      <c r="H19421" s="4" t="str">
        <v/>
      </c>
      <c r="I19421" s="4" t="str">
        <v/>
      </c>
    </row>
    <row r="19422" spans="5:9" ht="16.5" hidden="1">
      <c r="E19422" s="4" t="str">
        <v/>
      </c>
      <c r="F19422" s="102" t="str">
        <f ca="1">IFERROR(__xludf.DUMMYFUNCTION("IMPORTRANGE(H19422,""IDENTITAS UNIT!D9"")"),"#N/A")</f>
        <v>#N/A</v>
      </c>
      <c r="H19422" s="4" t="str">
        <v/>
      </c>
      <c r="I19422" s="4" t="str">
        <v/>
      </c>
    </row>
    <row r="19423" spans="5:9" ht="16.5" hidden="1">
      <c r="E19423" s="4" t="str">
        <v/>
      </c>
      <c r="F19423" s="102" t="str">
        <f ca="1">IFERROR(__xludf.DUMMYFUNCTION("IMPORTRANGE(H19423,""IDENTITAS UNIT!D9"")"),"#N/A")</f>
        <v>#N/A</v>
      </c>
      <c r="H19423" s="4" t="str">
        <v/>
      </c>
      <c r="I19423" s="4" t="str">
        <v/>
      </c>
    </row>
    <row r="19424" spans="5:9" ht="16.5" hidden="1">
      <c r="E19424" s="4" t="str">
        <v/>
      </c>
      <c r="F19424" s="102" t="str">
        <f ca="1">IFERROR(__xludf.DUMMYFUNCTION("IMPORTRANGE(H19424,""IDENTITAS UNIT!D9"")"),"#N/A")</f>
        <v>#N/A</v>
      </c>
      <c r="H19424" s="4" t="str">
        <v/>
      </c>
      <c r="I19424" s="4" t="str">
        <v/>
      </c>
    </row>
    <row r="19425" spans="5:9" ht="16.5" hidden="1">
      <c r="E19425" s="4" t="str">
        <v/>
      </c>
      <c r="F19425" s="102" t="str">
        <f ca="1">IFERROR(__xludf.DUMMYFUNCTION("IMPORTRANGE(H19425,""IDENTITAS UNIT!D9"")"),"#N/A")</f>
        <v>#N/A</v>
      </c>
      <c r="H19425" s="4" t="str">
        <v/>
      </c>
      <c r="I19425" s="4" t="str">
        <v/>
      </c>
    </row>
    <row r="19426" spans="5:9" ht="16.5" hidden="1">
      <c r="E19426" s="4" t="str">
        <v/>
      </c>
      <c r="F19426" s="102" t="str">
        <f ca="1">IFERROR(__xludf.DUMMYFUNCTION("IMPORTRANGE(H19426,""IDENTITAS UNIT!D9"")"),"#N/A")</f>
        <v>#N/A</v>
      </c>
      <c r="H19426" s="4" t="str">
        <v/>
      </c>
      <c r="I19426" s="4" t="str">
        <v/>
      </c>
    </row>
    <row r="19427" spans="5:9" ht="16.5" hidden="1">
      <c r="E19427" s="4" t="str">
        <v/>
      </c>
      <c r="F19427" s="102" t="str">
        <f ca="1">IFERROR(__xludf.DUMMYFUNCTION("IMPORTRANGE(H19427,""IDENTITAS UNIT!D9"")"),"#N/A")</f>
        <v>#N/A</v>
      </c>
      <c r="H19427" s="4" t="str">
        <v/>
      </c>
      <c r="I19427" s="4" t="str">
        <v/>
      </c>
    </row>
    <row r="19428" spans="5:9" ht="16.5" hidden="1">
      <c r="E19428" s="4" t="str">
        <v/>
      </c>
      <c r="F19428" s="102" t="str">
        <f ca="1">IFERROR(__xludf.DUMMYFUNCTION("IMPORTRANGE(H19428,""IDENTITAS UNIT!D9"")"),"#N/A")</f>
        <v>#N/A</v>
      </c>
      <c r="H19428" s="4" t="str">
        <v/>
      </c>
      <c r="I19428" s="4" t="str">
        <v/>
      </c>
    </row>
    <row r="19429" spans="5:9" ht="16.5" hidden="1">
      <c r="E19429" s="4" t="str">
        <v/>
      </c>
      <c r="F19429" s="102" t="str">
        <f ca="1">IFERROR(__xludf.DUMMYFUNCTION("IMPORTRANGE(H19429,""IDENTITAS UNIT!D9"")"),"#N/A")</f>
        <v>#N/A</v>
      </c>
      <c r="H19429" s="4" t="str">
        <v/>
      </c>
      <c r="I19429" s="4" t="str">
        <v/>
      </c>
    </row>
    <row r="19430" spans="5:9" ht="16.5" hidden="1">
      <c r="E19430" s="4" t="str">
        <v/>
      </c>
      <c r="F19430" s="102" t="str">
        <f ca="1">IFERROR(__xludf.DUMMYFUNCTION("IMPORTRANGE(H19430,""IDENTITAS UNIT!D9"")"),"#N/A")</f>
        <v>#N/A</v>
      </c>
      <c r="H19430" s="4" t="str">
        <v/>
      </c>
      <c r="I19430" s="4" t="str">
        <v/>
      </c>
    </row>
    <row r="19431" spans="5:9" ht="16.5" hidden="1">
      <c r="E19431" s="4" t="str">
        <v/>
      </c>
      <c r="F19431" s="102" t="str">
        <f ca="1">IFERROR(__xludf.DUMMYFUNCTION("IMPORTRANGE(H19431,""IDENTITAS UNIT!D9"")"),"#N/A")</f>
        <v>#N/A</v>
      </c>
      <c r="H19431" s="4" t="str">
        <v/>
      </c>
      <c r="I19431" s="4" t="str">
        <v/>
      </c>
    </row>
    <row r="19432" spans="5:9" ht="16.5" hidden="1">
      <c r="E19432" s="4" t="str">
        <v/>
      </c>
      <c r="F19432" s="102" t="str">
        <f ca="1">IFERROR(__xludf.DUMMYFUNCTION("IMPORTRANGE(H19432,""IDENTITAS UNIT!D9"")"),"#N/A")</f>
        <v>#N/A</v>
      </c>
      <c r="H19432" s="4" t="str">
        <v/>
      </c>
      <c r="I19432" s="4" t="str">
        <v/>
      </c>
    </row>
    <row r="19433" spans="5:9" ht="16.5" hidden="1">
      <c r="E19433" s="4" t="str">
        <v/>
      </c>
      <c r="F19433" s="102" t="str">
        <f ca="1">IFERROR(__xludf.DUMMYFUNCTION("IMPORTRANGE(H19433,""IDENTITAS UNIT!D9"")"),"#N/A")</f>
        <v>#N/A</v>
      </c>
      <c r="H19433" s="4" t="str">
        <v/>
      </c>
      <c r="I19433" s="4" t="str">
        <v/>
      </c>
    </row>
    <row r="19434" spans="5:9" ht="16.5" hidden="1">
      <c r="E19434" s="4" t="str">
        <v/>
      </c>
      <c r="F19434" s="102" t="str">
        <f ca="1">IFERROR(__xludf.DUMMYFUNCTION("IMPORTRANGE(H19434,""IDENTITAS UNIT!D9"")"),"#N/A")</f>
        <v>#N/A</v>
      </c>
      <c r="H19434" s="4" t="str">
        <v/>
      </c>
      <c r="I19434" s="4" t="str">
        <v/>
      </c>
    </row>
    <row r="19435" spans="5:9" ht="16.5" hidden="1">
      <c r="E19435" s="4" t="str">
        <v/>
      </c>
      <c r="F19435" s="102" t="str">
        <f ca="1">IFERROR(__xludf.DUMMYFUNCTION("IMPORTRANGE(H19435,""IDENTITAS UNIT!D9"")"),"#N/A")</f>
        <v>#N/A</v>
      </c>
      <c r="H19435" s="4" t="str">
        <v/>
      </c>
      <c r="I19435" s="4" t="str">
        <v/>
      </c>
    </row>
    <row r="19436" spans="5:9" ht="16.5" hidden="1">
      <c r="E19436" s="4" t="str">
        <v/>
      </c>
      <c r="F19436" s="102" t="str">
        <f ca="1">IFERROR(__xludf.DUMMYFUNCTION("IMPORTRANGE(H19436,""IDENTITAS UNIT!D9"")"),"#N/A")</f>
        <v>#N/A</v>
      </c>
      <c r="H19436" s="4" t="str">
        <v/>
      </c>
      <c r="I19436" s="4" t="str">
        <v/>
      </c>
    </row>
    <row r="19437" spans="5:9" ht="16.5" hidden="1">
      <c r="E19437" s="4" t="str">
        <v/>
      </c>
      <c r="F19437" s="102" t="str">
        <f ca="1">IFERROR(__xludf.DUMMYFUNCTION("IMPORTRANGE(H19437,""IDENTITAS UNIT!D9"")"),"#N/A")</f>
        <v>#N/A</v>
      </c>
      <c r="H19437" s="4" t="str">
        <v/>
      </c>
      <c r="I19437" s="4" t="str">
        <v/>
      </c>
    </row>
    <row r="19438" spans="5:9" ht="16.5" hidden="1">
      <c r="E19438" s="4" t="str">
        <v/>
      </c>
      <c r="F19438" s="102" t="str">
        <f ca="1">IFERROR(__xludf.DUMMYFUNCTION("IMPORTRANGE(H19438,""IDENTITAS UNIT!D9"")"),"#N/A")</f>
        <v>#N/A</v>
      </c>
      <c r="H19438" s="4" t="str">
        <v/>
      </c>
      <c r="I19438" s="4" t="str">
        <v/>
      </c>
    </row>
    <row r="19439" spans="5:9" ht="16.5" hidden="1">
      <c r="E19439" s="4" t="str">
        <v/>
      </c>
      <c r="F19439" s="102" t="str">
        <f ca="1">IFERROR(__xludf.DUMMYFUNCTION("IMPORTRANGE(H19439,""IDENTITAS UNIT!D9"")"),"#N/A")</f>
        <v>#N/A</v>
      </c>
      <c r="H19439" s="4" t="str">
        <v/>
      </c>
      <c r="I19439" s="4" t="str">
        <v/>
      </c>
    </row>
    <row r="19440" spans="5:9" ht="16.5" hidden="1">
      <c r="E19440" s="4" t="str">
        <v/>
      </c>
      <c r="F19440" s="102" t="str">
        <f ca="1">IFERROR(__xludf.DUMMYFUNCTION("IMPORTRANGE(H19440,""IDENTITAS UNIT!D9"")"),"#N/A")</f>
        <v>#N/A</v>
      </c>
      <c r="H19440" s="4" t="str">
        <v/>
      </c>
      <c r="I19440" s="4" t="str">
        <v/>
      </c>
    </row>
    <row r="19441" spans="5:9" ht="16.5" hidden="1">
      <c r="E19441" s="4" t="str">
        <v/>
      </c>
      <c r="F19441" s="102" t="str">
        <f ca="1">IFERROR(__xludf.DUMMYFUNCTION("IMPORTRANGE(H19441,""IDENTITAS UNIT!D9"")"),"#N/A")</f>
        <v>#N/A</v>
      </c>
      <c r="H19441" s="4" t="str">
        <v/>
      </c>
      <c r="I19441" s="4" t="str">
        <v/>
      </c>
    </row>
    <row r="19442" spans="5:9" ht="16.5" hidden="1">
      <c r="E19442" s="4" t="str">
        <v/>
      </c>
      <c r="F19442" s="102" t="str">
        <f ca="1">IFERROR(__xludf.DUMMYFUNCTION("IMPORTRANGE(H19442,""IDENTITAS UNIT!D9"")"),"#N/A")</f>
        <v>#N/A</v>
      </c>
      <c r="H19442" s="4" t="str">
        <v/>
      </c>
      <c r="I19442" s="4" t="str">
        <v/>
      </c>
    </row>
    <row r="19443" spans="5:9" ht="16.5" hidden="1">
      <c r="E19443" s="4" t="str">
        <v/>
      </c>
      <c r="F19443" s="102" t="str">
        <f ca="1">IFERROR(__xludf.DUMMYFUNCTION("IMPORTRANGE(H19443,""IDENTITAS UNIT!D9"")"),"#N/A")</f>
        <v>#N/A</v>
      </c>
      <c r="H19443" s="4" t="str">
        <v/>
      </c>
      <c r="I19443" s="4" t="str">
        <v/>
      </c>
    </row>
    <row r="19444" spans="5:9" ht="16.5" hidden="1">
      <c r="E19444" s="4" t="str">
        <v/>
      </c>
      <c r="F19444" s="102" t="str">
        <f ca="1">IFERROR(__xludf.DUMMYFUNCTION("IMPORTRANGE(H19444,""IDENTITAS UNIT!D9"")"),"#N/A")</f>
        <v>#N/A</v>
      </c>
      <c r="H19444" s="4" t="str">
        <v/>
      </c>
      <c r="I19444" s="4" t="str">
        <v/>
      </c>
    </row>
    <row r="19445" spans="5:9" ht="16.5" hidden="1">
      <c r="E19445" s="4" t="str">
        <v/>
      </c>
      <c r="F19445" s="102" t="str">
        <f ca="1">IFERROR(__xludf.DUMMYFUNCTION("IMPORTRANGE(H19445,""IDENTITAS UNIT!D9"")"),"#N/A")</f>
        <v>#N/A</v>
      </c>
      <c r="H19445" s="4" t="str">
        <v/>
      </c>
      <c r="I19445" s="4" t="str">
        <v/>
      </c>
    </row>
    <row r="19446" spans="5:9" ht="16.5" hidden="1">
      <c r="E19446" s="4" t="str">
        <v/>
      </c>
      <c r="F19446" s="102" t="str">
        <f ca="1">IFERROR(__xludf.DUMMYFUNCTION("IMPORTRANGE(H19446,""IDENTITAS UNIT!D9"")"),"#N/A")</f>
        <v>#N/A</v>
      </c>
      <c r="H19446" s="4" t="str">
        <v/>
      </c>
      <c r="I19446" s="4" t="str">
        <v/>
      </c>
    </row>
    <row r="19447" spans="5:9" ht="16.5" hidden="1">
      <c r="E19447" s="4" t="str">
        <v/>
      </c>
      <c r="F19447" s="102" t="str">
        <f ca="1">IFERROR(__xludf.DUMMYFUNCTION("IMPORTRANGE(H19447,""IDENTITAS UNIT!D9"")"),"#N/A")</f>
        <v>#N/A</v>
      </c>
      <c r="H19447" s="4" t="str">
        <v/>
      </c>
      <c r="I19447" s="4" t="str">
        <v/>
      </c>
    </row>
    <row r="19448" spans="5:9" ht="16.5" hidden="1">
      <c r="E19448" s="4" t="str">
        <v/>
      </c>
      <c r="F19448" s="102" t="str">
        <f ca="1">IFERROR(__xludf.DUMMYFUNCTION("IMPORTRANGE(H19448,""IDENTITAS UNIT!D9"")"),"#N/A")</f>
        <v>#N/A</v>
      </c>
      <c r="H19448" s="4" t="str">
        <v/>
      </c>
      <c r="I19448" s="4" t="str">
        <v/>
      </c>
    </row>
    <row r="19449" spans="5:9" ht="16.5" hidden="1">
      <c r="E19449" s="4" t="str">
        <v/>
      </c>
      <c r="F19449" s="102" t="str">
        <f ca="1">IFERROR(__xludf.DUMMYFUNCTION("IMPORTRANGE(H19449,""IDENTITAS UNIT!D9"")"),"#N/A")</f>
        <v>#N/A</v>
      </c>
      <c r="H19449" s="4" t="str">
        <v/>
      </c>
      <c r="I19449" s="4" t="str">
        <v/>
      </c>
    </row>
    <row r="19450" spans="5:9" ht="16.5" hidden="1">
      <c r="E19450" s="4" t="str">
        <v/>
      </c>
      <c r="F19450" s="102" t="str">
        <f ca="1">IFERROR(__xludf.DUMMYFUNCTION("IMPORTRANGE(H19450,""IDENTITAS UNIT!D9"")"),"#N/A")</f>
        <v>#N/A</v>
      </c>
      <c r="H19450" s="4" t="str">
        <v/>
      </c>
      <c r="I19450" s="4" t="str">
        <v/>
      </c>
    </row>
    <row r="19451" spans="5:9" ht="16.5" hidden="1">
      <c r="E19451" s="4" t="str">
        <v/>
      </c>
      <c r="F19451" s="102" t="str">
        <f ca="1">IFERROR(__xludf.DUMMYFUNCTION("IMPORTRANGE(H19451,""IDENTITAS UNIT!D9"")"),"#N/A")</f>
        <v>#N/A</v>
      </c>
      <c r="H19451" s="4" t="str">
        <v/>
      </c>
      <c r="I19451" s="4" t="str">
        <v/>
      </c>
    </row>
    <row r="19452" spans="5:9" ht="16.5" hidden="1">
      <c r="E19452" s="4" t="str">
        <v/>
      </c>
      <c r="F19452" s="102" t="str">
        <f ca="1">IFERROR(__xludf.DUMMYFUNCTION("IMPORTRANGE(H19452,""IDENTITAS UNIT!D9"")"),"#N/A")</f>
        <v>#N/A</v>
      </c>
      <c r="H19452" s="4" t="str">
        <v/>
      </c>
      <c r="I19452" s="4" t="str">
        <v/>
      </c>
    </row>
    <row r="19453" spans="5:9" ht="16.5" hidden="1">
      <c r="E19453" s="4" t="str">
        <v/>
      </c>
      <c r="F19453" s="102" t="str">
        <f ca="1">IFERROR(__xludf.DUMMYFUNCTION("IMPORTRANGE(H19453,""IDENTITAS UNIT!D9"")"),"#N/A")</f>
        <v>#N/A</v>
      </c>
      <c r="H19453" s="4" t="str">
        <v/>
      </c>
      <c r="I19453" s="4" t="str">
        <v/>
      </c>
    </row>
    <row r="19454" spans="5:9" ht="16.5" hidden="1">
      <c r="E19454" s="4" t="str">
        <v/>
      </c>
      <c r="F19454" s="102" t="str">
        <f ca="1">IFERROR(__xludf.DUMMYFUNCTION("IMPORTRANGE(H19454,""IDENTITAS UNIT!D9"")"),"#N/A")</f>
        <v>#N/A</v>
      </c>
      <c r="H19454" s="4" t="str">
        <v/>
      </c>
      <c r="I19454" s="4" t="str">
        <v/>
      </c>
    </row>
    <row r="19455" spans="5:9" ht="16.5" hidden="1">
      <c r="E19455" s="4" t="str">
        <v/>
      </c>
      <c r="F19455" s="102" t="str">
        <f ca="1">IFERROR(__xludf.DUMMYFUNCTION("IMPORTRANGE(H19455,""IDENTITAS UNIT!D9"")"),"#N/A")</f>
        <v>#N/A</v>
      </c>
      <c r="H19455" s="4" t="str">
        <v/>
      </c>
      <c r="I19455" s="4" t="str">
        <v/>
      </c>
    </row>
    <row r="19456" spans="5:9" ht="16.5" hidden="1">
      <c r="E19456" s="4" t="str">
        <v/>
      </c>
      <c r="F19456" s="102" t="str">
        <f ca="1">IFERROR(__xludf.DUMMYFUNCTION("IMPORTRANGE(H19456,""IDENTITAS UNIT!D9"")"),"#N/A")</f>
        <v>#N/A</v>
      </c>
      <c r="H19456" s="4" t="str">
        <v/>
      </c>
      <c r="I19456" s="4" t="str">
        <v/>
      </c>
    </row>
    <row r="19457" spans="5:9" ht="16.5" hidden="1">
      <c r="E19457" s="4" t="str">
        <v/>
      </c>
      <c r="F19457" s="102" t="str">
        <f ca="1">IFERROR(__xludf.DUMMYFUNCTION("IMPORTRANGE(H19457,""IDENTITAS UNIT!D9"")"),"#N/A")</f>
        <v>#N/A</v>
      </c>
      <c r="H19457" s="4" t="str">
        <v/>
      </c>
      <c r="I19457" s="4" t="str">
        <v/>
      </c>
    </row>
    <row r="19458" spans="5:9" ht="16.5" hidden="1">
      <c r="E19458" s="4" t="str">
        <v/>
      </c>
      <c r="F19458" s="102" t="str">
        <f ca="1">IFERROR(__xludf.DUMMYFUNCTION("IMPORTRANGE(H19458,""IDENTITAS UNIT!D9"")"),"#N/A")</f>
        <v>#N/A</v>
      </c>
      <c r="H19458" s="4" t="str">
        <v/>
      </c>
      <c r="I19458" s="4" t="str">
        <v/>
      </c>
    </row>
    <row r="19459" spans="5:9" ht="16.5" hidden="1">
      <c r="E19459" s="4" t="str">
        <v/>
      </c>
      <c r="F19459" s="102" t="str">
        <f ca="1">IFERROR(__xludf.DUMMYFUNCTION("IMPORTRANGE(H19459,""IDENTITAS UNIT!D9"")"),"#N/A")</f>
        <v>#N/A</v>
      </c>
      <c r="H19459" s="4" t="str">
        <v/>
      </c>
      <c r="I19459" s="4" t="str">
        <v/>
      </c>
    </row>
    <row r="19460" spans="5:9" ht="16.5" hidden="1">
      <c r="E19460" s="4" t="str">
        <v/>
      </c>
      <c r="F19460" s="102" t="str">
        <f ca="1">IFERROR(__xludf.DUMMYFUNCTION("IMPORTRANGE(H19460,""IDENTITAS UNIT!D9"")"),"#N/A")</f>
        <v>#N/A</v>
      </c>
      <c r="H19460" s="4" t="str">
        <v/>
      </c>
      <c r="I19460" s="4" t="str">
        <v/>
      </c>
    </row>
    <row r="19461" spans="5:9" ht="16.5" hidden="1">
      <c r="E19461" s="4" t="str">
        <v/>
      </c>
      <c r="F19461" s="102" t="str">
        <f ca="1">IFERROR(__xludf.DUMMYFUNCTION("IMPORTRANGE(H19461,""IDENTITAS UNIT!D9"")"),"#N/A")</f>
        <v>#N/A</v>
      </c>
      <c r="H19461" s="4" t="str">
        <v/>
      </c>
      <c r="I19461" s="4" t="str">
        <v/>
      </c>
    </row>
    <row r="19462" spans="5:9" ht="16.5" hidden="1">
      <c r="E19462" s="4" t="str">
        <v/>
      </c>
      <c r="F19462" s="102" t="str">
        <f ca="1">IFERROR(__xludf.DUMMYFUNCTION("IMPORTRANGE(H19462,""IDENTITAS UNIT!D9"")"),"#N/A")</f>
        <v>#N/A</v>
      </c>
      <c r="H19462" s="4" t="str">
        <v/>
      </c>
      <c r="I19462" s="4" t="str">
        <v/>
      </c>
    </row>
    <row r="19463" spans="5:9" ht="16.5" hidden="1">
      <c r="E19463" s="4" t="str">
        <v/>
      </c>
      <c r="F19463" s="102" t="str">
        <f ca="1">IFERROR(__xludf.DUMMYFUNCTION("IMPORTRANGE(H19463,""IDENTITAS UNIT!D9"")"),"#N/A")</f>
        <v>#N/A</v>
      </c>
      <c r="H19463" s="4" t="str">
        <v/>
      </c>
      <c r="I19463" s="4" t="str">
        <v/>
      </c>
    </row>
    <row r="19464" spans="5:9" ht="16.5" hidden="1">
      <c r="E19464" s="4" t="str">
        <v/>
      </c>
      <c r="F19464" s="102" t="str">
        <f ca="1">IFERROR(__xludf.DUMMYFUNCTION("IMPORTRANGE(H19464,""IDENTITAS UNIT!D9"")"),"#N/A")</f>
        <v>#N/A</v>
      </c>
      <c r="H19464" s="4" t="str">
        <v/>
      </c>
      <c r="I19464" s="4" t="str">
        <v/>
      </c>
    </row>
    <row r="19465" spans="5:9" ht="16.5" hidden="1">
      <c r="E19465" s="4" t="str">
        <v/>
      </c>
      <c r="F19465" s="102" t="str">
        <f ca="1">IFERROR(__xludf.DUMMYFUNCTION("IMPORTRANGE(H19465,""IDENTITAS UNIT!D9"")"),"#N/A")</f>
        <v>#N/A</v>
      </c>
      <c r="H19465" s="4" t="str">
        <v/>
      </c>
      <c r="I19465" s="4" t="str">
        <v/>
      </c>
    </row>
    <row r="19466" spans="5:9" ht="16.5" hidden="1">
      <c r="E19466" s="4" t="str">
        <v/>
      </c>
      <c r="F19466" s="102" t="str">
        <f ca="1">IFERROR(__xludf.DUMMYFUNCTION("IMPORTRANGE(H19466,""IDENTITAS UNIT!D9"")"),"#N/A")</f>
        <v>#N/A</v>
      </c>
      <c r="H19466" s="4" t="str">
        <v/>
      </c>
      <c r="I19466" s="4" t="str">
        <v/>
      </c>
    </row>
    <row r="19467" spans="5:9" ht="16.5" hidden="1">
      <c r="E19467" s="4" t="str">
        <v/>
      </c>
      <c r="F19467" s="102" t="str">
        <f ca="1">IFERROR(__xludf.DUMMYFUNCTION("IMPORTRANGE(H19467,""IDENTITAS UNIT!D9"")"),"#N/A")</f>
        <v>#N/A</v>
      </c>
      <c r="H19467" s="4" t="str">
        <v/>
      </c>
      <c r="I19467" s="4" t="str">
        <v/>
      </c>
    </row>
    <row r="19468" spans="5:9" ht="16.5" hidden="1">
      <c r="E19468" s="4" t="str">
        <v/>
      </c>
      <c r="F19468" s="102" t="str">
        <f ca="1">IFERROR(__xludf.DUMMYFUNCTION("IMPORTRANGE(H19468,""IDENTITAS UNIT!D9"")"),"#N/A")</f>
        <v>#N/A</v>
      </c>
      <c r="H19468" s="4" t="str">
        <v/>
      </c>
      <c r="I19468" s="4" t="str">
        <v/>
      </c>
    </row>
    <row r="19469" spans="5:9" ht="16.5" hidden="1">
      <c r="E19469" s="4" t="str">
        <v/>
      </c>
      <c r="F19469" s="102" t="str">
        <f ca="1">IFERROR(__xludf.DUMMYFUNCTION("IMPORTRANGE(H19469,""IDENTITAS UNIT!D9"")"),"#N/A")</f>
        <v>#N/A</v>
      </c>
      <c r="H19469" s="4" t="str">
        <v/>
      </c>
      <c r="I19469" s="4" t="str">
        <v/>
      </c>
    </row>
    <row r="19470" spans="5:9" ht="16.5" hidden="1">
      <c r="E19470" s="4" t="str">
        <v/>
      </c>
      <c r="F19470" s="102" t="str">
        <f ca="1">IFERROR(__xludf.DUMMYFUNCTION("IMPORTRANGE(H19470,""IDENTITAS UNIT!D9"")"),"#N/A")</f>
        <v>#N/A</v>
      </c>
      <c r="H19470" s="4" t="str">
        <v/>
      </c>
      <c r="I19470" s="4" t="str">
        <v/>
      </c>
    </row>
    <row r="19471" spans="5:9" ht="16.5" hidden="1">
      <c r="E19471" s="4" t="str">
        <v/>
      </c>
      <c r="F19471" s="102" t="str">
        <f ca="1">IFERROR(__xludf.DUMMYFUNCTION("IMPORTRANGE(H19471,""IDENTITAS UNIT!D9"")"),"#N/A")</f>
        <v>#N/A</v>
      </c>
      <c r="H19471" s="4" t="str">
        <v/>
      </c>
      <c r="I19471" s="4" t="str">
        <v/>
      </c>
    </row>
    <row r="19472" spans="5:9" ht="16.5" hidden="1">
      <c r="E19472" s="4" t="str">
        <v/>
      </c>
      <c r="F19472" s="102" t="str">
        <f ca="1">IFERROR(__xludf.DUMMYFUNCTION("IMPORTRANGE(H19472,""IDENTITAS UNIT!D9"")"),"#N/A")</f>
        <v>#N/A</v>
      </c>
      <c r="H19472" s="4" t="str">
        <v/>
      </c>
      <c r="I19472" s="4" t="str">
        <v/>
      </c>
    </row>
    <row r="19473" spans="5:9" ht="16.5" hidden="1">
      <c r="E19473" s="4" t="str">
        <v/>
      </c>
      <c r="F19473" s="102" t="str">
        <f ca="1">IFERROR(__xludf.DUMMYFUNCTION("IMPORTRANGE(H19473,""IDENTITAS UNIT!D9"")"),"#N/A")</f>
        <v>#N/A</v>
      </c>
      <c r="H19473" s="4" t="str">
        <v/>
      </c>
      <c r="I19473" s="4" t="str">
        <v/>
      </c>
    </row>
    <row r="19474" spans="5:9" ht="16.5" hidden="1">
      <c r="E19474" s="4" t="str">
        <v/>
      </c>
      <c r="F19474" s="102" t="str">
        <f ca="1">IFERROR(__xludf.DUMMYFUNCTION("IMPORTRANGE(H19474,""IDENTITAS UNIT!D9"")"),"#N/A")</f>
        <v>#N/A</v>
      </c>
      <c r="H19474" s="4" t="str">
        <v/>
      </c>
      <c r="I19474" s="4" t="str">
        <v/>
      </c>
    </row>
    <row r="19475" spans="5:9" ht="16.5" hidden="1">
      <c r="E19475" s="4" t="str">
        <v/>
      </c>
      <c r="F19475" s="102" t="str">
        <f ca="1">IFERROR(__xludf.DUMMYFUNCTION("IMPORTRANGE(H19475,""IDENTITAS UNIT!D9"")"),"#N/A")</f>
        <v>#N/A</v>
      </c>
      <c r="H19475" s="4" t="str">
        <v/>
      </c>
      <c r="I19475" s="4" t="str">
        <v/>
      </c>
    </row>
    <row r="19476" spans="5:9" ht="16.5" hidden="1">
      <c r="E19476" s="4" t="str">
        <v/>
      </c>
      <c r="F19476" s="102" t="str">
        <f ca="1">IFERROR(__xludf.DUMMYFUNCTION("IMPORTRANGE(H19476,""IDENTITAS UNIT!D9"")"),"#N/A")</f>
        <v>#N/A</v>
      </c>
      <c r="H19476" s="4" t="str">
        <v/>
      </c>
      <c r="I19476" s="4" t="str">
        <v/>
      </c>
    </row>
    <row r="19477" spans="5:9" ht="16.5" hidden="1">
      <c r="E19477" s="4" t="str">
        <v/>
      </c>
      <c r="F19477" s="102" t="str">
        <f ca="1">IFERROR(__xludf.DUMMYFUNCTION("IMPORTRANGE(H19477,""IDENTITAS UNIT!D9"")"),"#N/A")</f>
        <v>#N/A</v>
      </c>
      <c r="H19477" s="4" t="str">
        <v/>
      </c>
      <c r="I19477" s="4" t="str">
        <v/>
      </c>
    </row>
    <row r="19478" spans="5:9" ht="16.5" hidden="1">
      <c r="E19478" s="4" t="str">
        <v/>
      </c>
      <c r="F19478" s="102" t="str">
        <f ca="1">IFERROR(__xludf.DUMMYFUNCTION("IMPORTRANGE(H19478,""IDENTITAS UNIT!D9"")"),"#N/A")</f>
        <v>#N/A</v>
      </c>
      <c r="H19478" s="4" t="str">
        <v/>
      </c>
      <c r="I19478" s="4" t="str">
        <v/>
      </c>
    </row>
    <row r="19479" spans="5:9" ht="16.5" hidden="1">
      <c r="E19479" s="4" t="str">
        <v/>
      </c>
      <c r="F19479" s="102" t="str">
        <f ca="1">IFERROR(__xludf.DUMMYFUNCTION("IMPORTRANGE(H19479,""IDENTITAS UNIT!D9"")"),"#N/A")</f>
        <v>#N/A</v>
      </c>
      <c r="H19479" s="4" t="str">
        <v/>
      </c>
      <c r="I19479" s="4" t="str">
        <v/>
      </c>
    </row>
    <row r="19480" spans="5:9" ht="16.5" hidden="1">
      <c r="E19480" s="4" t="str">
        <v/>
      </c>
      <c r="F19480" s="102" t="str">
        <f ca="1">IFERROR(__xludf.DUMMYFUNCTION("IMPORTRANGE(H19480,""IDENTITAS UNIT!D9"")"),"#N/A")</f>
        <v>#N/A</v>
      </c>
      <c r="H19480" s="4" t="str">
        <v/>
      </c>
      <c r="I19480" s="4" t="str">
        <v/>
      </c>
    </row>
    <row r="19481" spans="5:9" ht="16.5" hidden="1">
      <c r="E19481" s="4" t="str">
        <v/>
      </c>
      <c r="F19481" s="102" t="str">
        <f ca="1">IFERROR(__xludf.DUMMYFUNCTION("IMPORTRANGE(H19481,""IDENTITAS UNIT!D9"")"),"#N/A")</f>
        <v>#N/A</v>
      </c>
      <c r="H19481" s="4" t="str">
        <v/>
      </c>
      <c r="I19481" s="4" t="str">
        <v/>
      </c>
    </row>
    <row r="19482" spans="5:9" ht="16.5" hidden="1">
      <c r="E19482" s="4" t="str">
        <v/>
      </c>
      <c r="F19482" s="102" t="str">
        <f ca="1">IFERROR(__xludf.DUMMYFUNCTION("IMPORTRANGE(H19482,""IDENTITAS UNIT!D9"")"),"#N/A")</f>
        <v>#N/A</v>
      </c>
      <c r="H19482" s="4" t="str">
        <v/>
      </c>
      <c r="I19482" s="4" t="str">
        <v/>
      </c>
    </row>
    <row r="19483" spans="5:9" ht="16.5" hidden="1">
      <c r="E19483" s="4" t="str">
        <v/>
      </c>
      <c r="F19483" s="102" t="str">
        <f ca="1">IFERROR(__xludf.DUMMYFUNCTION("IMPORTRANGE(H19483,""IDENTITAS UNIT!D9"")"),"#N/A")</f>
        <v>#N/A</v>
      </c>
      <c r="H19483" s="4" t="str">
        <v/>
      </c>
      <c r="I19483" s="4" t="str">
        <v/>
      </c>
    </row>
    <row r="19484" spans="5:9" ht="16.5" hidden="1">
      <c r="E19484" s="4" t="str">
        <v/>
      </c>
      <c r="F19484" s="102" t="str">
        <f ca="1">IFERROR(__xludf.DUMMYFUNCTION("IMPORTRANGE(H19484,""IDENTITAS UNIT!D9"")"),"#N/A")</f>
        <v>#N/A</v>
      </c>
      <c r="H19484" s="4" t="str">
        <v/>
      </c>
      <c r="I19484" s="4" t="str">
        <v/>
      </c>
    </row>
    <row r="19485" spans="5:9" ht="16.5" hidden="1">
      <c r="E19485" s="4" t="str">
        <v/>
      </c>
      <c r="F19485" s="102" t="str">
        <f ca="1">IFERROR(__xludf.DUMMYFUNCTION("IMPORTRANGE(H19485,""IDENTITAS UNIT!D9"")"),"#N/A")</f>
        <v>#N/A</v>
      </c>
      <c r="H19485" s="4" t="str">
        <v/>
      </c>
      <c r="I19485" s="4" t="str">
        <v/>
      </c>
    </row>
    <row r="19486" spans="5:9" ht="16.5" hidden="1">
      <c r="E19486" s="4" t="str">
        <v/>
      </c>
      <c r="F19486" s="102" t="str">
        <f ca="1">IFERROR(__xludf.DUMMYFUNCTION("IMPORTRANGE(H19486,""IDENTITAS UNIT!D9"")"),"#N/A")</f>
        <v>#N/A</v>
      </c>
      <c r="H19486" s="4" t="str">
        <v/>
      </c>
      <c r="I19486" s="4" t="str">
        <v/>
      </c>
    </row>
    <row r="19487" spans="5:9" ht="16.5" hidden="1">
      <c r="E19487" s="4" t="str">
        <v/>
      </c>
      <c r="F19487" s="102" t="str">
        <f ca="1">IFERROR(__xludf.DUMMYFUNCTION("IMPORTRANGE(H19487,""IDENTITAS UNIT!D9"")"),"#N/A")</f>
        <v>#N/A</v>
      </c>
      <c r="H19487" s="4" t="str">
        <v/>
      </c>
      <c r="I19487" s="4" t="str">
        <v/>
      </c>
    </row>
    <row r="19488" spans="5:9" ht="16.5" hidden="1">
      <c r="E19488" s="4" t="str">
        <v/>
      </c>
      <c r="F19488" s="102" t="str">
        <f ca="1">IFERROR(__xludf.DUMMYFUNCTION("IMPORTRANGE(H19488,""IDENTITAS UNIT!D9"")"),"#N/A")</f>
        <v>#N/A</v>
      </c>
      <c r="H19488" s="4" t="str">
        <v/>
      </c>
      <c r="I19488" s="4" t="str">
        <v/>
      </c>
    </row>
    <row r="19489" spans="5:9" ht="16.5" hidden="1">
      <c r="E19489" s="4" t="str">
        <v/>
      </c>
      <c r="F19489" s="102" t="str">
        <f ca="1">IFERROR(__xludf.DUMMYFUNCTION("IMPORTRANGE(H19489,""IDENTITAS UNIT!D9"")"),"#N/A")</f>
        <v>#N/A</v>
      </c>
      <c r="H19489" s="4" t="str">
        <v/>
      </c>
      <c r="I19489" s="4" t="str">
        <v/>
      </c>
    </row>
    <row r="19490" spans="5:9" ht="16.5" hidden="1">
      <c r="E19490" s="4" t="str">
        <v/>
      </c>
      <c r="F19490" s="102" t="str">
        <f ca="1">IFERROR(__xludf.DUMMYFUNCTION("IMPORTRANGE(H19490,""IDENTITAS UNIT!D9"")"),"#N/A")</f>
        <v>#N/A</v>
      </c>
      <c r="H19490" s="4" t="str">
        <v/>
      </c>
      <c r="I19490" s="4" t="str">
        <v/>
      </c>
    </row>
    <row r="19491" spans="5:9" ht="16.5" hidden="1">
      <c r="E19491" s="4" t="str">
        <v/>
      </c>
      <c r="F19491" s="102" t="str">
        <f ca="1">IFERROR(__xludf.DUMMYFUNCTION("IMPORTRANGE(H19491,""IDENTITAS UNIT!D9"")"),"#N/A")</f>
        <v>#N/A</v>
      </c>
      <c r="H19491" s="4" t="str">
        <v/>
      </c>
      <c r="I19491" s="4" t="str">
        <v/>
      </c>
    </row>
    <row r="19492" spans="5:9" ht="16.5" hidden="1">
      <c r="E19492" s="4" t="str">
        <v/>
      </c>
      <c r="F19492" s="102" t="str">
        <f ca="1">IFERROR(__xludf.DUMMYFUNCTION("IMPORTRANGE(H19492,""IDENTITAS UNIT!D9"")"),"#N/A")</f>
        <v>#N/A</v>
      </c>
      <c r="H19492" s="4" t="str">
        <v/>
      </c>
      <c r="I19492" s="4" t="str">
        <v/>
      </c>
    </row>
    <row r="19493" spans="5:9" ht="16.5" hidden="1">
      <c r="E19493" s="4" t="str">
        <v/>
      </c>
      <c r="F19493" s="102" t="str">
        <f ca="1">IFERROR(__xludf.DUMMYFUNCTION("IMPORTRANGE(H19493,""IDENTITAS UNIT!D9"")"),"#N/A")</f>
        <v>#N/A</v>
      </c>
      <c r="H19493" s="4" t="str">
        <v/>
      </c>
      <c r="I19493" s="4" t="str">
        <v/>
      </c>
    </row>
    <row r="19494" spans="5:9" ht="16.5" hidden="1">
      <c r="E19494" s="4" t="str">
        <v/>
      </c>
      <c r="F19494" s="102" t="str">
        <f ca="1">IFERROR(__xludf.DUMMYFUNCTION("IMPORTRANGE(H19494,""IDENTITAS UNIT!D9"")"),"#N/A")</f>
        <v>#N/A</v>
      </c>
      <c r="H19494" s="4" t="str">
        <v/>
      </c>
      <c r="I19494" s="4" t="str">
        <v/>
      </c>
    </row>
    <row r="19495" spans="5:9" ht="16.5" hidden="1">
      <c r="E19495" s="4" t="str">
        <v/>
      </c>
      <c r="F19495" s="102" t="str">
        <f ca="1">IFERROR(__xludf.DUMMYFUNCTION("IMPORTRANGE(H19495,""IDENTITAS UNIT!D9"")"),"#N/A")</f>
        <v>#N/A</v>
      </c>
      <c r="H19495" s="4" t="str">
        <v/>
      </c>
      <c r="I19495" s="4" t="str">
        <v/>
      </c>
    </row>
    <row r="19496" spans="5:9" ht="16.5" hidden="1">
      <c r="E19496" s="4" t="str">
        <v/>
      </c>
      <c r="F19496" s="102" t="str">
        <f ca="1">IFERROR(__xludf.DUMMYFUNCTION("IMPORTRANGE(H19496,""IDENTITAS UNIT!D9"")"),"#N/A")</f>
        <v>#N/A</v>
      </c>
      <c r="H19496" s="4" t="str">
        <v/>
      </c>
      <c r="I19496" s="4" t="str">
        <v/>
      </c>
    </row>
    <row r="19497" spans="5:9" ht="16.5" hidden="1">
      <c r="E19497" s="4" t="str">
        <v/>
      </c>
      <c r="F19497" s="102" t="str">
        <f ca="1">IFERROR(__xludf.DUMMYFUNCTION("IMPORTRANGE(H19497,""IDENTITAS UNIT!D9"")"),"#N/A")</f>
        <v>#N/A</v>
      </c>
      <c r="H19497" s="4" t="str">
        <v/>
      </c>
      <c r="I19497" s="4" t="str">
        <v/>
      </c>
    </row>
    <row r="19498" spans="5:9" ht="16.5" hidden="1">
      <c r="E19498" s="4" t="str">
        <v/>
      </c>
      <c r="F19498" s="102" t="str">
        <f ca="1">IFERROR(__xludf.DUMMYFUNCTION("IMPORTRANGE(H19498,""IDENTITAS UNIT!D9"")"),"#N/A")</f>
        <v>#N/A</v>
      </c>
      <c r="H19498" s="4" t="str">
        <v/>
      </c>
      <c r="I19498" s="4" t="str">
        <v/>
      </c>
    </row>
    <row r="19499" spans="5:9" ht="16.5" hidden="1">
      <c r="E19499" s="4" t="str">
        <v/>
      </c>
      <c r="F19499" s="102" t="str">
        <f ca="1">IFERROR(__xludf.DUMMYFUNCTION("IMPORTRANGE(H19499,""IDENTITAS UNIT!D9"")"),"#N/A")</f>
        <v>#N/A</v>
      </c>
      <c r="H19499" s="4" t="str">
        <v/>
      </c>
      <c r="I19499" s="4" t="str">
        <v/>
      </c>
    </row>
    <row r="19500" spans="5:9" ht="16.5" hidden="1">
      <c r="E19500" s="4" t="str">
        <v/>
      </c>
      <c r="F19500" s="102" t="str">
        <f ca="1">IFERROR(__xludf.DUMMYFUNCTION("IMPORTRANGE(H19500,""IDENTITAS UNIT!D9"")"),"#N/A")</f>
        <v>#N/A</v>
      </c>
      <c r="H19500" s="4" t="str">
        <v/>
      </c>
      <c r="I19500" s="4" t="str">
        <v/>
      </c>
    </row>
    <row r="19501" spans="5:9" ht="16.5" hidden="1">
      <c r="E19501" s="4" t="str">
        <v/>
      </c>
      <c r="F19501" s="102" t="str">
        <f ca="1">IFERROR(__xludf.DUMMYFUNCTION("IMPORTRANGE(H19501,""IDENTITAS UNIT!D9"")"),"#N/A")</f>
        <v>#N/A</v>
      </c>
      <c r="H19501" s="4" t="str">
        <v/>
      </c>
      <c r="I19501" s="4" t="str">
        <v/>
      </c>
    </row>
    <row r="19502" spans="5:9" ht="16.5" hidden="1">
      <c r="E19502" s="4" t="str">
        <v/>
      </c>
      <c r="F19502" s="102" t="str">
        <f ca="1">IFERROR(__xludf.DUMMYFUNCTION("IMPORTRANGE(H19502,""IDENTITAS UNIT!D9"")"),"#N/A")</f>
        <v>#N/A</v>
      </c>
      <c r="H19502" s="4" t="str">
        <v/>
      </c>
      <c r="I19502" s="4" t="str">
        <v/>
      </c>
    </row>
    <row r="19503" spans="5:9" ht="16.5" hidden="1">
      <c r="E19503" s="4" t="str">
        <v/>
      </c>
      <c r="F19503" s="102" t="str">
        <f ca="1">IFERROR(__xludf.DUMMYFUNCTION("IMPORTRANGE(H19503,""IDENTITAS UNIT!D9"")"),"#N/A")</f>
        <v>#N/A</v>
      </c>
      <c r="H19503" s="4" t="str">
        <v/>
      </c>
      <c r="I19503" s="4" t="str">
        <v/>
      </c>
    </row>
    <row r="19504" spans="5:9" ht="16.5" hidden="1">
      <c r="E19504" s="4" t="str">
        <v/>
      </c>
      <c r="F19504" s="102" t="str">
        <f ca="1">IFERROR(__xludf.DUMMYFUNCTION("IMPORTRANGE(H19504,""IDENTITAS UNIT!D9"")"),"#N/A")</f>
        <v>#N/A</v>
      </c>
      <c r="H19504" s="4" t="str">
        <v/>
      </c>
      <c r="I19504" s="4" t="str">
        <v/>
      </c>
    </row>
    <row r="19505" spans="5:9" ht="16.5" hidden="1">
      <c r="E19505" s="4" t="str">
        <v/>
      </c>
      <c r="F19505" s="102" t="str">
        <f ca="1">IFERROR(__xludf.DUMMYFUNCTION("IMPORTRANGE(H19505,""IDENTITAS UNIT!D9"")"),"#N/A")</f>
        <v>#N/A</v>
      </c>
      <c r="H19505" s="4" t="str">
        <v/>
      </c>
      <c r="I19505" s="4" t="str">
        <v/>
      </c>
    </row>
    <row r="19506" spans="5:9" ht="16.5" hidden="1">
      <c r="E19506" s="4" t="str">
        <v/>
      </c>
      <c r="F19506" s="102" t="str">
        <f ca="1">IFERROR(__xludf.DUMMYFUNCTION("IMPORTRANGE(H19506,""IDENTITAS UNIT!D9"")"),"#N/A")</f>
        <v>#N/A</v>
      </c>
      <c r="H19506" s="4" t="str">
        <v/>
      </c>
      <c r="I19506" s="4" t="str">
        <v/>
      </c>
    </row>
    <row r="19507" spans="5:9" ht="16.5" hidden="1">
      <c r="E19507" s="4" t="str">
        <v/>
      </c>
      <c r="F19507" s="102" t="str">
        <f ca="1">IFERROR(__xludf.DUMMYFUNCTION("IMPORTRANGE(H19507,""IDENTITAS UNIT!D9"")"),"#N/A")</f>
        <v>#N/A</v>
      </c>
      <c r="H19507" s="4" t="str">
        <v/>
      </c>
      <c r="I19507" s="4" t="str">
        <v/>
      </c>
    </row>
    <row r="19508" spans="5:9" ht="16.5" hidden="1">
      <c r="E19508" s="4" t="str">
        <v/>
      </c>
      <c r="F19508" s="102" t="str">
        <f ca="1">IFERROR(__xludf.DUMMYFUNCTION("IMPORTRANGE(H19508,""IDENTITAS UNIT!D9"")"),"#N/A")</f>
        <v>#N/A</v>
      </c>
      <c r="H19508" s="4" t="str">
        <v/>
      </c>
      <c r="I19508" s="4" t="str">
        <v/>
      </c>
    </row>
    <row r="19509" spans="5:9" ht="16.5" hidden="1">
      <c r="E19509" s="4" t="str">
        <v/>
      </c>
      <c r="F19509" s="102" t="str">
        <f ca="1">IFERROR(__xludf.DUMMYFUNCTION("IMPORTRANGE(H19509,""IDENTITAS UNIT!D9"")"),"#N/A")</f>
        <v>#N/A</v>
      </c>
      <c r="H19509" s="4" t="str">
        <v/>
      </c>
      <c r="I19509" s="4" t="str">
        <v/>
      </c>
    </row>
    <row r="19510" spans="5:9" ht="16.5" hidden="1">
      <c r="E19510" s="4" t="str">
        <v/>
      </c>
      <c r="F19510" s="102" t="str">
        <f ca="1">IFERROR(__xludf.DUMMYFUNCTION("IMPORTRANGE(H19510,""IDENTITAS UNIT!D9"")"),"#N/A")</f>
        <v>#N/A</v>
      </c>
      <c r="H19510" s="4" t="str">
        <v/>
      </c>
      <c r="I19510" s="4" t="str">
        <v/>
      </c>
    </row>
    <row r="19511" spans="5:9" ht="16.5" hidden="1">
      <c r="E19511" s="4" t="str">
        <v/>
      </c>
      <c r="F19511" s="102" t="str">
        <f ca="1">IFERROR(__xludf.DUMMYFUNCTION("IMPORTRANGE(H19511,""IDENTITAS UNIT!D9"")"),"#N/A")</f>
        <v>#N/A</v>
      </c>
      <c r="H19511" s="4" t="str">
        <v/>
      </c>
      <c r="I19511" s="4" t="str">
        <v/>
      </c>
    </row>
    <row r="19512" spans="5:9" ht="16.5" hidden="1">
      <c r="E19512" s="4" t="str">
        <v/>
      </c>
      <c r="F19512" s="102" t="str">
        <f ca="1">IFERROR(__xludf.DUMMYFUNCTION("IMPORTRANGE(H19512,""IDENTITAS UNIT!D9"")"),"#N/A")</f>
        <v>#N/A</v>
      </c>
      <c r="H19512" s="4" t="str">
        <v/>
      </c>
      <c r="I19512" s="4" t="str">
        <v/>
      </c>
    </row>
    <row r="19513" spans="5:9" ht="16.5" hidden="1">
      <c r="E19513" s="4" t="str">
        <v/>
      </c>
      <c r="F19513" s="102" t="str">
        <f ca="1">IFERROR(__xludf.DUMMYFUNCTION("IMPORTRANGE(H19513,""IDENTITAS UNIT!D9"")"),"#N/A")</f>
        <v>#N/A</v>
      </c>
      <c r="H19513" s="4" t="str">
        <v/>
      </c>
      <c r="I19513" s="4" t="str">
        <v/>
      </c>
    </row>
    <row r="19514" spans="5:9" ht="16.5" hidden="1">
      <c r="E19514" s="4" t="str">
        <v/>
      </c>
      <c r="F19514" s="102" t="str">
        <f ca="1">IFERROR(__xludf.DUMMYFUNCTION("IMPORTRANGE(H19514,""IDENTITAS UNIT!D9"")"),"#N/A")</f>
        <v>#N/A</v>
      </c>
      <c r="H19514" s="4" t="str">
        <v/>
      </c>
      <c r="I19514" s="4" t="str">
        <v/>
      </c>
    </row>
    <row r="19515" spans="5:9" ht="16.5" hidden="1">
      <c r="E19515" s="4" t="str">
        <v/>
      </c>
      <c r="F19515" s="102" t="str">
        <f ca="1">IFERROR(__xludf.DUMMYFUNCTION("IMPORTRANGE(H19515,""IDENTITAS UNIT!D9"")"),"#N/A")</f>
        <v>#N/A</v>
      </c>
      <c r="H19515" s="4" t="str">
        <v/>
      </c>
      <c r="I19515" s="4" t="str">
        <v/>
      </c>
    </row>
    <row r="19516" spans="5:9" ht="16.5" hidden="1">
      <c r="E19516" s="4" t="str">
        <v/>
      </c>
      <c r="F19516" s="102" t="str">
        <f ca="1">IFERROR(__xludf.DUMMYFUNCTION("IMPORTRANGE(H19516,""IDENTITAS UNIT!D9"")"),"#N/A")</f>
        <v>#N/A</v>
      </c>
      <c r="H19516" s="4" t="str">
        <v/>
      </c>
      <c r="I19516" s="4" t="str">
        <v/>
      </c>
    </row>
    <row r="19517" spans="5:9" ht="16.5" hidden="1">
      <c r="E19517" s="4" t="str">
        <v/>
      </c>
      <c r="F19517" s="102" t="str">
        <f ca="1">IFERROR(__xludf.DUMMYFUNCTION("IMPORTRANGE(H19517,""IDENTITAS UNIT!D9"")"),"#N/A")</f>
        <v>#N/A</v>
      </c>
      <c r="H19517" s="4" t="str">
        <v/>
      </c>
      <c r="I19517" s="4" t="str">
        <v/>
      </c>
    </row>
    <row r="19518" spans="5:9" ht="16.5" hidden="1">
      <c r="E19518" s="4" t="str">
        <v/>
      </c>
      <c r="F19518" s="102" t="str">
        <f ca="1">IFERROR(__xludf.DUMMYFUNCTION("IMPORTRANGE(H19518,""IDENTITAS UNIT!D9"")"),"#N/A")</f>
        <v>#N/A</v>
      </c>
      <c r="H19518" s="4" t="str">
        <v/>
      </c>
      <c r="I19518" s="4" t="str">
        <v/>
      </c>
    </row>
    <row r="19519" spans="5:9" ht="16.5" hidden="1">
      <c r="E19519" s="4" t="str">
        <v/>
      </c>
      <c r="F19519" s="102" t="str">
        <f ca="1">IFERROR(__xludf.DUMMYFUNCTION("IMPORTRANGE(H19519,""IDENTITAS UNIT!D9"")"),"#N/A")</f>
        <v>#N/A</v>
      </c>
      <c r="H19519" s="4" t="str">
        <v/>
      </c>
      <c r="I19519" s="4" t="str">
        <v/>
      </c>
    </row>
    <row r="19520" spans="5:9" ht="16.5" hidden="1">
      <c r="E19520" s="4" t="str">
        <v/>
      </c>
      <c r="F19520" s="102" t="str">
        <f ca="1">IFERROR(__xludf.DUMMYFUNCTION("IMPORTRANGE(H19520,""IDENTITAS UNIT!D9"")"),"#N/A")</f>
        <v>#N/A</v>
      </c>
      <c r="H19520" s="4" t="str">
        <v/>
      </c>
      <c r="I19520" s="4" t="str">
        <v/>
      </c>
    </row>
    <row r="19521" spans="5:9" ht="16.5" hidden="1">
      <c r="E19521" s="4" t="str">
        <v/>
      </c>
      <c r="F19521" s="102" t="str">
        <f ca="1">IFERROR(__xludf.DUMMYFUNCTION("IMPORTRANGE(H19521,""IDENTITAS UNIT!D9"")"),"#N/A")</f>
        <v>#N/A</v>
      </c>
      <c r="H19521" s="4" t="str">
        <v/>
      </c>
      <c r="I19521" s="4" t="str">
        <v/>
      </c>
    </row>
    <row r="19522" spans="5:9" ht="16.5" hidden="1">
      <c r="E19522" s="4" t="str">
        <v/>
      </c>
      <c r="F19522" s="102" t="str">
        <f ca="1">IFERROR(__xludf.DUMMYFUNCTION("IMPORTRANGE(H19522,""IDENTITAS UNIT!D9"")"),"#N/A")</f>
        <v>#N/A</v>
      </c>
      <c r="H19522" s="4" t="str">
        <v/>
      </c>
      <c r="I19522" s="4" t="str">
        <v/>
      </c>
    </row>
    <row r="19523" spans="5:9" ht="16.5" hidden="1">
      <c r="E19523" s="4" t="str">
        <v/>
      </c>
      <c r="F19523" s="102" t="str">
        <f ca="1">IFERROR(__xludf.DUMMYFUNCTION("IMPORTRANGE(H19523,""IDENTITAS UNIT!D9"")"),"#N/A")</f>
        <v>#N/A</v>
      </c>
      <c r="H19523" s="4" t="str">
        <v/>
      </c>
      <c r="I19523" s="4" t="str">
        <v/>
      </c>
    </row>
    <row r="19524" spans="5:9" ht="16.5" hidden="1">
      <c r="E19524" s="4" t="str">
        <v/>
      </c>
      <c r="F19524" s="102" t="str">
        <f ca="1">IFERROR(__xludf.DUMMYFUNCTION("IMPORTRANGE(H19524,""IDENTITAS UNIT!D9"")"),"#N/A")</f>
        <v>#N/A</v>
      </c>
      <c r="H19524" s="4" t="str">
        <v/>
      </c>
      <c r="I19524" s="4" t="str">
        <v/>
      </c>
    </row>
    <row r="19525" spans="5:9" ht="16.5" hidden="1">
      <c r="E19525" s="4" t="str">
        <v/>
      </c>
      <c r="F19525" s="102" t="str">
        <f ca="1">IFERROR(__xludf.DUMMYFUNCTION("IMPORTRANGE(H19525,""IDENTITAS UNIT!D9"")"),"#N/A")</f>
        <v>#N/A</v>
      </c>
      <c r="H19525" s="4" t="str">
        <v/>
      </c>
      <c r="I19525" s="4" t="str">
        <v/>
      </c>
    </row>
    <row r="19526" spans="5:9" ht="16.5" hidden="1">
      <c r="E19526" s="4" t="str">
        <v/>
      </c>
      <c r="F19526" s="102" t="str">
        <f ca="1">IFERROR(__xludf.DUMMYFUNCTION("IMPORTRANGE(H19526,""IDENTITAS UNIT!D9"")"),"#N/A")</f>
        <v>#N/A</v>
      </c>
      <c r="H19526" s="4" t="str">
        <v/>
      </c>
      <c r="I19526" s="4" t="str">
        <v/>
      </c>
    </row>
    <row r="19527" spans="5:9" ht="16.5" hidden="1">
      <c r="E19527" s="4" t="str">
        <v/>
      </c>
      <c r="F19527" s="102" t="str">
        <f ca="1">IFERROR(__xludf.DUMMYFUNCTION("IMPORTRANGE(H19527,""IDENTITAS UNIT!D9"")"),"#N/A")</f>
        <v>#N/A</v>
      </c>
      <c r="H19527" s="4" t="str">
        <v/>
      </c>
      <c r="I19527" s="4" t="str">
        <v/>
      </c>
    </row>
    <row r="19528" spans="5:9" ht="16.5" hidden="1">
      <c r="E19528" s="4" t="str">
        <v/>
      </c>
      <c r="F19528" s="102" t="str">
        <f ca="1">IFERROR(__xludf.DUMMYFUNCTION("IMPORTRANGE(H19528,""IDENTITAS UNIT!D9"")"),"#N/A")</f>
        <v>#N/A</v>
      </c>
      <c r="H19528" s="4" t="str">
        <v/>
      </c>
      <c r="I19528" s="4" t="str">
        <v/>
      </c>
    </row>
    <row r="19529" spans="5:9" ht="16.5" hidden="1">
      <c r="E19529" s="4" t="str">
        <v/>
      </c>
      <c r="F19529" s="102" t="str">
        <f ca="1">IFERROR(__xludf.DUMMYFUNCTION("IMPORTRANGE(H19529,""IDENTITAS UNIT!D9"")"),"#N/A")</f>
        <v>#N/A</v>
      </c>
      <c r="H19529" s="4" t="str">
        <v/>
      </c>
      <c r="I19529" s="4" t="str">
        <v/>
      </c>
    </row>
    <row r="19530" spans="5:9" ht="16.5" hidden="1">
      <c r="E19530" s="4" t="str">
        <v/>
      </c>
      <c r="F19530" s="102" t="str">
        <f ca="1">IFERROR(__xludf.DUMMYFUNCTION("IMPORTRANGE(H19530,""IDENTITAS UNIT!D9"")"),"#N/A")</f>
        <v>#N/A</v>
      </c>
      <c r="H19530" s="4" t="str">
        <v/>
      </c>
      <c r="I19530" s="4" t="str">
        <v/>
      </c>
    </row>
    <row r="19531" spans="5:9" ht="16.5" hidden="1">
      <c r="E19531" s="4" t="str">
        <v/>
      </c>
      <c r="F19531" s="102" t="str">
        <f ca="1">IFERROR(__xludf.DUMMYFUNCTION("IMPORTRANGE(H19531,""IDENTITAS UNIT!D9"")"),"#N/A")</f>
        <v>#N/A</v>
      </c>
      <c r="H19531" s="4" t="str">
        <v/>
      </c>
      <c r="I19531" s="4" t="str">
        <v/>
      </c>
    </row>
    <row r="19532" spans="5:9" ht="16.5" hidden="1">
      <c r="E19532" s="4" t="str">
        <v/>
      </c>
      <c r="F19532" s="102" t="str">
        <f ca="1">IFERROR(__xludf.DUMMYFUNCTION("IMPORTRANGE(H19532,""IDENTITAS UNIT!D9"")"),"#N/A")</f>
        <v>#N/A</v>
      </c>
      <c r="H19532" s="4" t="str">
        <v/>
      </c>
      <c r="I19532" s="4" t="str">
        <v/>
      </c>
    </row>
    <row r="19533" spans="5:9" ht="16.5" hidden="1">
      <c r="E19533" s="4" t="str">
        <v/>
      </c>
      <c r="F19533" s="102" t="str">
        <f ca="1">IFERROR(__xludf.DUMMYFUNCTION("IMPORTRANGE(H19533,""IDENTITAS UNIT!D9"")"),"#N/A")</f>
        <v>#N/A</v>
      </c>
      <c r="H19533" s="4" t="str">
        <v/>
      </c>
      <c r="I19533" s="4" t="str">
        <v/>
      </c>
    </row>
    <row r="19534" spans="5:9" ht="16.5" hidden="1">
      <c r="E19534" s="4" t="str">
        <v/>
      </c>
      <c r="F19534" s="102" t="str">
        <f ca="1">IFERROR(__xludf.DUMMYFUNCTION("IMPORTRANGE(H19534,""IDENTITAS UNIT!D9"")"),"#N/A")</f>
        <v>#N/A</v>
      </c>
      <c r="H19534" s="4" t="str">
        <v/>
      </c>
      <c r="I19534" s="4" t="str">
        <v/>
      </c>
    </row>
    <row r="19535" spans="5:9" ht="16.5" hidden="1">
      <c r="E19535" s="4" t="str">
        <v/>
      </c>
      <c r="F19535" s="102" t="str">
        <f ca="1">IFERROR(__xludf.DUMMYFUNCTION("IMPORTRANGE(H19535,""IDENTITAS UNIT!D9"")"),"#N/A")</f>
        <v>#N/A</v>
      </c>
      <c r="H19535" s="4" t="str">
        <v/>
      </c>
      <c r="I19535" s="4" t="str">
        <v/>
      </c>
    </row>
    <row r="19536" spans="5:9" ht="16.5" hidden="1">
      <c r="E19536" s="4" t="str">
        <v/>
      </c>
      <c r="F19536" s="102" t="str">
        <f ca="1">IFERROR(__xludf.DUMMYFUNCTION("IMPORTRANGE(H19536,""IDENTITAS UNIT!D9"")"),"#N/A")</f>
        <v>#N/A</v>
      </c>
      <c r="H19536" s="4" t="str">
        <v/>
      </c>
      <c r="I19536" s="4" t="str">
        <v/>
      </c>
    </row>
    <row r="19537" spans="5:9" ht="16.5" hidden="1">
      <c r="E19537" s="4" t="str">
        <v/>
      </c>
      <c r="F19537" s="102" t="str">
        <f ca="1">IFERROR(__xludf.DUMMYFUNCTION("IMPORTRANGE(H19537,""IDENTITAS UNIT!D9"")"),"#N/A")</f>
        <v>#N/A</v>
      </c>
      <c r="H19537" s="4" t="str">
        <v/>
      </c>
      <c r="I19537" s="4" t="str">
        <v/>
      </c>
    </row>
    <row r="19538" spans="5:9" ht="16.5" hidden="1">
      <c r="E19538" s="4" t="str">
        <v/>
      </c>
      <c r="F19538" s="102" t="str">
        <f ca="1">IFERROR(__xludf.DUMMYFUNCTION("IMPORTRANGE(H19538,""IDENTITAS UNIT!D9"")"),"#N/A")</f>
        <v>#N/A</v>
      </c>
      <c r="H19538" s="4" t="str">
        <v/>
      </c>
      <c r="I19538" s="4" t="str">
        <v/>
      </c>
    </row>
    <row r="19539" spans="5:9" ht="16.5" hidden="1">
      <c r="E19539" s="4" t="str">
        <v/>
      </c>
      <c r="F19539" s="102" t="str">
        <f ca="1">IFERROR(__xludf.DUMMYFUNCTION("IMPORTRANGE(H19539,""IDENTITAS UNIT!D9"")"),"#N/A")</f>
        <v>#N/A</v>
      </c>
      <c r="H19539" s="4" t="str">
        <v/>
      </c>
      <c r="I19539" s="4" t="str">
        <v/>
      </c>
    </row>
    <row r="19540" spans="5:9" ht="16.5" hidden="1">
      <c r="E19540" s="4" t="str">
        <v/>
      </c>
      <c r="F19540" s="102" t="str">
        <f ca="1">IFERROR(__xludf.DUMMYFUNCTION("IMPORTRANGE(H19540,""IDENTITAS UNIT!D9"")"),"#N/A")</f>
        <v>#N/A</v>
      </c>
      <c r="H19540" s="4" t="str">
        <v/>
      </c>
      <c r="I19540" s="4" t="str">
        <v/>
      </c>
    </row>
    <row r="19541" spans="5:9" ht="16.5" hidden="1">
      <c r="E19541" s="4" t="str">
        <v/>
      </c>
      <c r="F19541" s="102" t="str">
        <f ca="1">IFERROR(__xludf.DUMMYFUNCTION("IMPORTRANGE(H19541,""IDENTITAS UNIT!D9"")"),"#N/A")</f>
        <v>#N/A</v>
      </c>
      <c r="H19541" s="4" t="str">
        <v/>
      </c>
      <c r="I19541" s="4" t="str">
        <v/>
      </c>
    </row>
    <row r="19542" spans="5:9" ht="16.5" hidden="1">
      <c r="E19542" s="4" t="str">
        <v/>
      </c>
      <c r="F19542" s="102" t="str">
        <f ca="1">IFERROR(__xludf.DUMMYFUNCTION("IMPORTRANGE(H19542,""IDENTITAS UNIT!D9"")"),"#N/A")</f>
        <v>#N/A</v>
      </c>
      <c r="H19542" s="4" t="str">
        <v/>
      </c>
      <c r="I19542" s="4" t="str">
        <v/>
      </c>
    </row>
    <row r="19543" spans="5:9" ht="16.5" hidden="1">
      <c r="E19543" s="4" t="str">
        <v/>
      </c>
      <c r="F19543" s="102" t="str">
        <f ca="1">IFERROR(__xludf.DUMMYFUNCTION("IMPORTRANGE(H19543,""IDENTITAS UNIT!D9"")"),"#N/A")</f>
        <v>#N/A</v>
      </c>
      <c r="H19543" s="4" t="str">
        <v/>
      </c>
      <c r="I19543" s="4" t="str">
        <v/>
      </c>
    </row>
    <row r="19544" spans="5:9" ht="16.5" hidden="1">
      <c r="E19544" s="4" t="str">
        <v/>
      </c>
      <c r="F19544" s="102" t="str">
        <f ca="1">IFERROR(__xludf.DUMMYFUNCTION("IMPORTRANGE(H19544,""IDENTITAS UNIT!D9"")"),"#N/A")</f>
        <v>#N/A</v>
      </c>
      <c r="H19544" s="4" t="str">
        <v/>
      </c>
      <c r="I19544" s="4" t="str">
        <v/>
      </c>
    </row>
    <row r="19545" spans="5:9" ht="16.5" hidden="1">
      <c r="E19545" s="4" t="str">
        <v/>
      </c>
      <c r="F19545" s="102" t="str">
        <f ca="1">IFERROR(__xludf.DUMMYFUNCTION("IMPORTRANGE(H19545,""IDENTITAS UNIT!D9"")"),"#N/A")</f>
        <v>#N/A</v>
      </c>
      <c r="H19545" s="4" t="str">
        <v/>
      </c>
      <c r="I19545" s="4" t="str">
        <v/>
      </c>
    </row>
    <row r="19546" spans="5:9" ht="16.5" hidden="1">
      <c r="E19546" s="4" t="str">
        <v/>
      </c>
      <c r="F19546" s="102" t="str">
        <f ca="1">IFERROR(__xludf.DUMMYFUNCTION("IMPORTRANGE(H19546,""IDENTITAS UNIT!D9"")"),"#N/A")</f>
        <v>#N/A</v>
      </c>
      <c r="H19546" s="4" t="str">
        <v/>
      </c>
      <c r="I19546" s="4" t="str">
        <v/>
      </c>
    </row>
    <row r="19547" spans="5:9" ht="16.5" hidden="1">
      <c r="E19547" s="4" t="str">
        <v/>
      </c>
      <c r="F19547" s="102" t="str">
        <f ca="1">IFERROR(__xludf.DUMMYFUNCTION("IMPORTRANGE(H19547,""IDENTITAS UNIT!D9"")"),"#N/A")</f>
        <v>#N/A</v>
      </c>
      <c r="H19547" s="4" t="str">
        <v/>
      </c>
      <c r="I19547" s="4" t="str">
        <v/>
      </c>
    </row>
    <row r="19548" spans="5:9" ht="16.5" hidden="1">
      <c r="E19548" s="4" t="str">
        <v/>
      </c>
      <c r="F19548" s="102" t="str">
        <f ca="1">IFERROR(__xludf.DUMMYFUNCTION("IMPORTRANGE(H19548,""IDENTITAS UNIT!D9"")"),"#N/A")</f>
        <v>#N/A</v>
      </c>
      <c r="H19548" s="4" t="str">
        <v/>
      </c>
      <c r="I19548" s="4" t="str">
        <v/>
      </c>
    </row>
    <row r="19549" spans="5:9" ht="16.5" hidden="1">
      <c r="E19549" s="4" t="str">
        <v/>
      </c>
      <c r="F19549" s="102" t="str">
        <f ca="1">IFERROR(__xludf.DUMMYFUNCTION("IMPORTRANGE(H19549,""IDENTITAS UNIT!D9"")"),"#N/A")</f>
        <v>#N/A</v>
      </c>
      <c r="H19549" s="4" t="str">
        <v/>
      </c>
      <c r="I19549" s="4" t="str">
        <v/>
      </c>
    </row>
    <row r="19550" spans="5:9" ht="16.5" hidden="1">
      <c r="E19550" s="4" t="str">
        <v/>
      </c>
      <c r="F19550" s="102" t="str">
        <f ca="1">IFERROR(__xludf.DUMMYFUNCTION("IMPORTRANGE(H19550,""IDENTITAS UNIT!D9"")"),"#N/A")</f>
        <v>#N/A</v>
      </c>
      <c r="H19550" s="4" t="str">
        <v/>
      </c>
      <c r="I19550" s="4" t="str">
        <v/>
      </c>
    </row>
    <row r="19551" spans="5:9" ht="16.5" hidden="1">
      <c r="E19551" s="4" t="str">
        <v/>
      </c>
      <c r="F19551" s="102" t="str">
        <f ca="1">IFERROR(__xludf.DUMMYFUNCTION("IMPORTRANGE(H19551,""IDENTITAS UNIT!D9"")"),"#N/A")</f>
        <v>#N/A</v>
      </c>
      <c r="H19551" s="4" t="str">
        <v/>
      </c>
      <c r="I19551" s="4" t="str">
        <v/>
      </c>
    </row>
    <row r="19552" spans="5:9" ht="16.5" hidden="1">
      <c r="E19552" s="4" t="str">
        <v/>
      </c>
      <c r="F19552" s="102" t="str">
        <f ca="1">IFERROR(__xludf.DUMMYFUNCTION("IMPORTRANGE(H19552,""IDENTITAS UNIT!D9"")"),"#N/A")</f>
        <v>#N/A</v>
      </c>
      <c r="H19552" s="4" t="str">
        <v/>
      </c>
      <c r="I19552" s="4" t="str">
        <v/>
      </c>
    </row>
    <row r="19553" spans="5:9" ht="16.5" hidden="1">
      <c r="E19553" s="4" t="str">
        <v/>
      </c>
      <c r="F19553" s="102" t="str">
        <f ca="1">IFERROR(__xludf.DUMMYFUNCTION("IMPORTRANGE(H19553,""IDENTITAS UNIT!D9"")"),"#N/A")</f>
        <v>#N/A</v>
      </c>
      <c r="H19553" s="4" t="str">
        <v/>
      </c>
      <c r="I19553" s="4" t="str">
        <v/>
      </c>
    </row>
    <row r="19554" spans="5:9" ht="16.5" hidden="1">
      <c r="E19554" s="4" t="str">
        <v/>
      </c>
      <c r="F19554" s="102" t="str">
        <f ca="1">IFERROR(__xludf.DUMMYFUNCTION("IMPORTRANGE(H19554,""IDENTITAS UNIT!D9"")"),"#N/A")</f>
        <v>#N/A</v>
      </c>
      <c r="H19554" s="4" t="str">
        <v/>
      </c>
      <c r="I19554" s="4" t="str">
        <v/>
      </c>
    </row>
    <row r="19555" spans="5:9" ht="16.5" hidden="1">
      <c r="E19555" s="4" t="str">
        <v/>
      </c>
      <c r="F19555" s="102" t="str">
        <f ca="1">IFERROR(__xludf.DUMMYFUNCTION("IMPORTRANGE(H19555,""IDENTITAS UNIT!D9"")"),"#N/A")</f>
        <v>#N/A</v>
      </c>
      <c r="H19555" s="4" t="str">
        <v/>
      </c>
      <c r="I19555" s="4" t="str">
        <v/>
      </c>
    </row>
    <row r="19556" spans="5:9" ht="16.5" hidden="1">
      <c r="E19556" s="4" t="str">
        <v/>
      </c>
      <c r="F19556" s="102" t="str">
        <f ca="1">IFERROR(__xludf.DUMMYFUNCTION("IMPORTRANGE(H19556,""IDENTITAS UNIT!D9"")"),"#N/A")</f>
        <v>#N/A</v>
      </c>
      <c r="H19556" s="4" t="str">
        <v/>
      </c>
      <c r="I19556" s="4" t="str">
        <v/>
      </c>
    </row>
    <row r="19557" spans="5:9" ht="16.5" hidden="1">
      <c r="E19557" s="4" t="str">
        <v/>
      </c>
      <c r="F19557" s="102" t="str">
        <f ca="1">IFERROR(__xludf.DUMMYFUNCTION("IMPORTRANGE(H19557,""IDENTITAS UNIT!D9"")"),"#N/A")</f>
        <v>#N/A</v>
      </c>
      <c r="H19557" s="4" t="str">
        <v/>
      </c>
      <c r="I19557" s="4" t="str">
        <v/>
      </c>
    </row>
    <row r="19558" spans="5:9" ht="16.5" hidden="1">
      <c r="E19558" s="4" t="str">
        <v/>
      </c>
      <c r="F19558" s="102" t="str">
        <f ca="1">IFERROR(__xludf.DUMMYFUNCTION("IMPORTRANGE(H19558,""IDENTITAS UNIT!D9"")"),"#N/A")</f>
        <v>#N/A</v>
      </c>
      <c r="H19558" s="4" t="str">
        <v/>
      </c>
      <c r="I19558" s="4" t="str">
        <v/>
      </c>
    </row>
    <row r="19559" spans="5:9" ht="16.5" hidden="1">
      <c r="E19559" s="4" t="str">
        <v/>
      </c>
      <c r="F19559" s="102" t="str">
        <f ca="1">IFERROR(__xludf.DUMMYFUNCTION("IMPORTRANGE(H19559,""IDENTITAS UNIT!D9"")"),"#N/A")</f>
        <v>#N/A</v>
      </c>
      <c r="H19559" s="4" t="str">
        <v/>
      </c>
      <c r="I19559" s="4" t="str">
        <v/>
      </c>
    </row>
    <row r="19560" spans="5:9" ht="16.5" hidden="1">
      <c r="E19560" s="4" t="str">
        <v/>
      </c>
      <c r="F19560" s="102" t="str">
        <f ca="1">IFERROR(__xludf.DUMMYFUNCTION("IMPORTRANGE(H19560,""IDENTITAS UNIT!D9"")"),"#N/A")</f>
        <v>#N/A</v>
      </c>
      <c r="H19560" s="4" t="str">
        <v/>
      </c>
      <c r="I19560" s="4" t="str">
        <v/>
      </c>
    </row>
    <row r="19561" spans="5:9" ht="16.5" hidden="1">
      <c r="E19561" s="4" t="str">
        <v/>
      </c>
      <c r="F19561" s="102" t="str">
        <f ca="1">IFERROR(__xludf.DUMMYFUNCTION("IMPORTRANGE(H19561,""IDENTITAS UNIT!D9"")"),"#N/A")</f>
        <v>#N/A</v>
      </c>
      <c r="H19561" s="4" t="str">
        <v/>
      </c>
      <c r="I19561" s="4" t="str">
        <v/>
      </c>
    </row>
    <row r="19562" spans="5:9" ht="16.5" hidden="1">
      <c r="E19562" s="4" t="str">
        <v/>
      </c>
      <c r="F19562" s="102" t="str">
        <f ca="1">IFERROR(__xludf.DUMMYFUNCTION("IMPORTRANGE(H19562,""IDENTITAS UNIT!D9"")"),"#N/A")</f>
        <v>#N/A</v>
      </c>
      <c r="H19562" s="4" t="str">
        <v/>
      </c>
      <c r="I19562" s="4" t="str">
        <v/>
      </c>
    </row>
    <row r="19563" spans="5:9" ht="16.5" hidden="1">
      <c r="E19563" s="4" t="str">
        <v/>
      </c>
      <c r="F19563" s="102" t="str">
        <f ca="1">IFERROR(__xludf.DUMMYFUNCTION("IMPORTRANGE(H19563,""IDENTITAS UNIT!D9"")"),"#N/A")</f>
        <v>#N/A</v>
      </c>
      <c r="H19563" s="4" t="str">
        <v/>
      </c>
      <c r="I19563" s="4" t="str">
        <v/>
      </c>
    </row>
    <row r="19564" spans="5:9" ht="16.5" hidden="1">
      <c r="E19564" s="4" t="str">
        <v/>
      </c>
      <c r="F19564" s="102" t="str">
        <f ca="1">IFERROR(__xludf.DUMMYFUNCTION("IMPORTRANGE(H19564,""IDENTITAS UNIT!D9"")"),"#N/A")</f>
        <v>#N/A</v>
      </c>
      <c r="H19564" s="4" t="str">
        <v/>
      </c>
      <c r="I19564" s="4" t="str">
        <v/>
      </c>
    </row>
    <row r="19565" spans="5:9" ht="16.5" hidden="1">
      <c r="E19565" s="4" t="str">
        <v/>
      </c>
      <c r="F19565" s="102" t="str">
        <f ca="1">IFERROR(__xludf.DUMMYFUNCTION("IMPORTRANGE(H19565,""IDENTITAS UNIT!D9"")"),"#N/A")</f>
        <v>#N/A</v>
      </c>
      <c r="H19565" s="4" t="str">
        <v/>
      </c>
      <c r="I19565" s="4" t="str">
        <v/>
      </c>
    </row>
    <row r="19566" spans="5:9" ht="16.5" hidden="1">
      <c r="E19566" s="4" t="str">
        <v/>
      </c>
      <c r="F19566" s="102" t="str">
        <f ca="1">IFERROR(__xludf.DUMMYFUNCTION("IMPORTRANGE(H19566,""IDENTITAS UNIT!D9"")"),"#N/A")</f>
        <v>#N/A</v>
      </c>
      <c r="H19566" s="4" t="str">
        <v/>
      </c>
      <c r="I19566" s="4" t="str">
        <v/>
      </c>
    </row>
    <row r="19567" spans="5:9" ht="16.5" hidden="1">
      <c r="E19567" s="4" t="str">
        <v/>
      </c>
      <c r="F19567" s="102" t="str">
        <f ca="1">IFERROR(__xludf.DUMMYFUNCTION("IMPORTRANGE(H19567,""IDENTITAS UNIT!D9"")"),"#N/A")</f>
        <v>#N/A</v>
      </c>
      <c r="H19567" s="4" t="str">
        <v/>
      </c>
      <c r="I19567" s="4" t="str">
        <v/>
      </c>
    </row>
    <row r="19568" spans="5:9" ht="16.5" hidden="1">
      <c r="E19568" s="4" t="str">
        <v/>
      </c>
      <c r="F19568" s="102" t="str">
        <f ca="1">IFERROR(__xludf.DUMMYFUNCTION("IMPORTRANGE(H19568,""IDENTITAS UNIT!D9"")"),"#N/A")</f>
        <v>#N/A</v>
      </c>
      <c r="H19568" s="4" t="str">
        <v/>
      </c>
      <c r="I19568" s="4" t="str">
        <v/>
      </c>
    </row>
    <row r="19569" spans="5:9" ht="16.5" hidden="1">
      <c r="E19569" s="4" t="str">
        <v/>
      </c>
      <c r="F19569" s="102" t="str">
        <f ca="1">IFERROR(__xludf.DUMMYFUNCTION("IMPORTRANGE(H19569,""IDENTITAS UNIT!D9"")"),"#N/A")</f>
        <v>#N/A</v>
      </c>
      <c r="H19569" s="4" t="str">
        <v/>
      </c>
      <c r="I19569" s="4" t="str">
        <v/>
      </c>
    </row>
    <row r="19570" spans="5:9" ht="16.5" hidden="1">
      <c r="E19570" s="4" t="str">
        <v/>
      </c>
      <c r="F19570" s="102" t="str">
        <f ca="1">IFERROR(__xludf.DUMMYFUNCTION("IMPORTRANGE(H19570,""IDENTITAS UNIT!D9"")"),"#N/A")</f>
        <v>#N/A</v>
      </c>
      <c r="H19570" s="4" t="str">
        <v/>
      </c>
      <c r="I19570" s="4" t="str">
        <v/>
      </c>
    </row>
    <row r="19571" spans="5:9" ht="16.5" hidden="1">
      <c r="E19571" s="4" t="str">
        <v/>
      </c>
      <c r="F19571" s="102" t="str">
        <f ca="1">IFERROR(__xludf.DUMMYFUNCTION("IMPORTRANGE(H19571,""IDENTITAS UNIT!D9"")"),"#N/A")</f>
        <v>#N/A</v>
      </c>
      <c r="H19571" s="4" t="str">
        <v/>
      </c>
      <c r="I19571" s="4" t="str">
        <v/>
      </c>
    </row>
    <row r="19572" spans="5:9" ht="16.5" hidden="1">
      <c r="E19572" s="4" t="str">
        <v/>
      </c>
      <c r="F19572" s="102" t="str">
        <f ca="1">IFERROR(__xludf.DUMMYFUNCTION("IMPORTRANGE(H19572,""IDENTITAS UNIT!D9"")"),"#N/A")</f>
        <v>#N/A</v>
      </c>
      <c r="H19572" s="4" t="str">
        <v/>
      </c>
      <c r="I19572" s="4" t="str">
        <v/>
      </c>
    </row>
    <row r="19573" spans="5:9" ht="16.5" hidden="1">
      <c r="E19573" s="4" t="str">
        <v/>
      </c>
      <c r="F19573" s="102" t="str">
        <f ca="1">IFERROR(__xludf.DUMMYFUNCTION("IMPORTRANGE(H19573,""IDENTITAS UNIT!D9"")"),"#N/A")</f>
        <v>#N/A</v>
      </c>
      <c r="H19573" s="4" t="str">
        <v/>
      </c>
      <c r="I19573" s="4" t="str">
        <v/>
      </c>
    </row>
    <row r="19574" spans="5:9" ht="16.5" hidden="1">
      <c r="E19574" s="4" t="str">
        <v/>
      </c>
      <c r="F19574" s="102" t="str">
        <f ca="1">IFERROR(__xludf.DUMMYFUNCTION("IMPORTRANGE(H19574,""IDENTITAS UNIT!D9"")"),"#N/A")</f>
        <v>#N/A</v>
      </c>
      <c r="H19574" s="4" t="str">
        <v/>
      </c>
      <c r="I19574" s="4" t="str">
        <v/>
      </c>
    </row>
    <row r="19575" spans="5:9" ht="16.5" hidden="1">
      <c r="E19575" s="4" t="str">
        <v/>
      </c>
      <c r="F19575" s="102" t="str">
        <f ca="1">IFERROR(__xludf.DUMMYFUNCTION("IMPORTRANGE(H19575,""IDENTITAS UNIT!D9"")"),"#N/A")</f>
        <v>#N/A</v>
      </c>
      <c r="H19575" s="4" t="str">
        <v/>
      </c>
      <c r="I19575" s="4" t="str">
        <v/>
      </c>
    </row>
    <row r="19576" spans="5:9" ht="16.5" hidden="1">
      <c r="E19576" s="4" t="str">
        <v/>
      </c>
      <c r="F19576" s="102" t="str">
        <f ca="1">IFERROR(__xludf.DUMMYFUNCTION("IMPORTRANGE(H19576,""IDENTITAS UNIT!D9"")"),"#N/A")</f>
        <v>#N/A</v>
      </c>
      <c r="H19576" s="4" t="str">
        <v/>
      </c>
      <c r="I19576" s="4" t="str">
        <v/>
      </c>
    </row>
    <row r="19577" spans="5:9" ht="16.5" hidden="1">
      <c r="E19577" s="4" t="str">
        <v/>
      </c>
      <c r="F19577" s="102" t="str">
        <f ca="1">IFERROR(__xludf.DUMMYFUNCTION("IMPORTRANGE(H19577,""IDENTITAS UNIT!D9"")"),"#N/A")</f>
        <v>#N/A</v>
      </c>
      <c r="H19577" s="4" t="str">
        <v/>
      </c>
      <c r="I19577" s="4" t="str">
        <v/>
      </c>
    </row>
    <row r="19578" spans="5:9" ht="16.5" hidden="1">
      <c r="E19578" s="4" t="str">
        <v/>
      </c>
      <c r="F19578" s="102" t="str">
        <f ca="1">IFERROR(__xludf.DUMMYFUNCTION("IMPORTRANGE(H19578,""IDENTITAS UNIT!D9"")"),"#N/A")</f>
        <v>#N/A</v>
      </c>
      <c r="H19578" s="4" t="str">
        <v/>
      </c>
      <c r="I19578" s="4" t="str">
        <v/>
      </c>
    </row>
    <row r="19579" spans="5:9" ht="16.5" hidden="1">
      <c r="E19579" s="4" t="str">
        <v/>
      </c>
      <c r="F19579" s="102" t="str">
        <f ca="1">IFERROR(__xludf.DUMMYFUNCTION("IMPORTRANGE(H19579,""IDENTITAS UNIT!D9"")"),"#N/A")</f>
        <v>#N/A</v>
      </c>
      <c r="H19579" s="4" t="str">
        <v/>
      </c>
      <c r="I19579" s="4" t="str">
        <v/>
      </c>
    </row>
    <row r="19580" spans="5:9" ht="16.5" hidden="1">
      <c r="E19580" s="4" t="str">
        <v/>
      </c>
      <c r="F19580" s="102" t="str">
        <f ca="1">IFERROR(__xludf.DUMMYFUNCTION("IMPORTRANGE(H19580,""IDENTITAS UNIT!D9"")"),"#N/A")</f>
        <v>#N/A</v>
      </c>
      <c r="H19580" s="4" t="str">
        <v/>
      </c>
      <c r="I19580" s="4" t="str">
        <v/>
      </c>
    </row>
    <row r="19581" spans="5:9" ht="16.5" hidden="1">
      <c r="E19581" s="4" t="str">
        <v/>
      </c>
      <c r="F19581" s="102" t="str">
        <f ca="1">IFERROR(__xludf.DUMMYFUNCTION("IMPORTRANGE(H19581,""IDENTITAS UNIT!D9"")"),"#N/A")</f>
        <v>#N/A</v>
      </c>
      <c r="H19581" s="4" t="str">
        <v/>
      </c>
      <c r="I19581" s="4" t="str">
        <v/>
      </c>
    </row>
    <row r="19582" spans="5:9" ht="16.5" hidden="1">
      <c r="E19582" s="4" t="str">
        <v/>
      </c>
      <c r="F19582" s="102" t="str">
        <f ca="1">IFERROR(__xludf.DUMMYFUNCTION("IMPORTRANGE(H19582,""IDENTITAS UNIT!D9"")"),"#N/A")</f>
        <v>#N/A</v>
      </c>
      <c r="H19582" s="4" t="str">
        <v/>
      </c>
      <c r="I19582" s="4" t="str">
        <v/>
      </c>
    </row>
    <row r="19583" spans="5:9" ht="16.5" hidden="1">
      <c r="E19583" s="4" t="str">
        <v/>
      </c>
      <c r="F19583" s="102" t="str">
        <f ca="1">IFERROR(__xludf.DUMMYFUNCTION("IMPORTRANGE(H19583,""IDENTITAS UNIT!D9"")"),"#N/A")</f>
        <v>#N/A</v>
      </c>
      <c r="H19583" s="4" t="str">
        <v/>
      </c>
      <c r="I19583" s="4" t="str">
        <v/>
      </c>
    </row>
    <row r="19584" spans="5:9" ht="16.5" hidden="1">
      <c r="E19584" s="4" t="str">
        <v/>
      </c>
      <c r="F19584" s="102" t="str">
        <f ca="1">IFERROR(__xludf.DUMMYFUNCTION("IMPORTRANGE(H19584,""IDENTITAS UNIT!D9"")"),"#N/A")</f>
        <v>#N/A</v>
      </c>
      <c r="H19584" s="4" t="str">
        <v/>
      </c>
      <c r="I19584" s="4" t="str">
        <v/>
      </c>
    </row>
    <row r="19585" spans="5:9" ht="16.5" hidden="1">
      <c r="E19585" s="4" t="str">
        <v/>
      </c>
      <c r="F19585" s="102" t="str">
        <f ca="1">IFERROR(__xludf.DUMMYFUNCTION("IMPORTRANGE(H19585,""IDENTITAS UNIT!D9"")"),"#N/A")</f>
        <v>#N/A</v>
      </c>
      <c r="H19585" s="4" t="str">
        <v/>
      </c>
      <c r="I19585" s="4" t="str">
        <v/>
      </c>
    </row>
    <row r="19586" spans="5:9" ht="16.5" hidden="1">
      <c r="E19586" s="4" t="str">
        <v/>
      </c>
      <c r="F19586" s="102" t="str">
        <f ca="1">IFERROR(__xludf.DUMMYFUNCTION("IMPORTRANGE(H19586,""IDENTITAS UNIT!D9"")"),"#N/A")</f>
        <v>#N/A</v>
      </c>
      <c r="H19586" s="4" t="str">
        <v/>
      </c>
      <c r="I19586" s="4" t="str">
        <v/>
      </c>
    </row>
    <row r="19587" spans="5:9" ht="16.5" hidden="1">
      <c r="E19587" s="4" t="str">
        <v/>
      </c>
      <c r="F19587" s="102" t="str">
        <f ca="1">IFERROR(__xludf.DUMMYFUNCTION("IMPORTRANGE(H19587,""IDENTITAS UNIT!D9"")"),"#N/A")</f>
        <v>#N/A</v>
      </c>
      <c r="H19587" s="4" t="str">
        <v/>
      </c>
      <c r="I19587" s="4" t="str">
        <v/>
      </c>
    </row>
    <row r="19588" spans="5:9" ht="16.5" hidden="1">
      <c r="E19588" s="4" t="str">
        <v/>
      </c>
      <c r="F19588" s="102" t="str">
        <f ca="1">IFERROR(__xludf.DUMMYFUNCTION("IMPORTRANGE(H19588,""IDENTITAS UNIT!D9"")"),"#N/A")</f>
        <v>#N/A</v>
      </c>
      <c r="H19588" s="4" t="str">
        <v/>
      </c>
      <c r="I19588" s="4" t="str">
        <v/>
      </c>
    </row>
    <row r="19589" spans="5:9" ht="16.5" hidden="1">
      <c r="E19589" s="4" t="str">
        <v/>
      </c>
      <c r="F19589" s="102" t="str">
        <f ca="1">IFERROR(__xludf.DUMMYFUNCTION("IMPORTRANGE(H19589,""IDENTITAS UNIT!D9"")"),"#N/A")</f>
        <v>#N/A</v>
      </c>
      <c r="H19589" s="4" t="str">
        <v/>
      </c>
      <c r="I19589" s="4" t="str">
        <v/>
      </c>
    </row>
    <row r="19590" spans="5:9" ht="16.5" hidden="1">
      <c r="E19590" s="4" t="str">
        <v/>
      </c>
      <c r="F19590" s="102" t="str">
        <f ca="1">IFERROR(__xludf.DUMMYFUNCTION("IMPORTRANGE(H19590,""IDENTITAS UNIT!D9"")"),"#N/A")</f>
        <v>#N/A</v>
      </c>
      <c r="H19590" s="4" t="str">
        <v/>
      </c>
      <c r="I19590" s="4" t="str">
        <v/>
      </c>
    </row>
    <row r="19591" spans="5:9" ht="16.5" hidden="1">
      <c r="E19591" s="4" t="str">
        <v/>
      </c>
      <c r="F19591" s="102" t="str">
        <f ca="1">IFERROR(__xludf.DUMMYFUNCTION("IMPORTRANGE(H19591,""IDENTITAS UNIT!D9"")"),"#N/A")</f>
        <v>#N/A</v>
      </c>
      <c r="H19591" s="4" t="str">
        <v/>
      </c>
      <c r="I19591" s="4" t="str">
        <v/>
      </c>
    </row>
    <row r="19592" spans="5:9" ht="16.5" hidden="1">
      <c r="E19592" s="4" t="str">
        <v/>
      </c>
      <c r="F19592" s="102" t="str">
        <f ca="1">IFERROR(__xludf.DUMMYFUNCTION("IMPORTRANGE(H19592,""IDENTITAS UNIT!D9"")"),"#N/A")</f>
        <v>#N/A</v>
      </c>
      <c r="H19592" s="4" t="str">
        <v/>
      </c>
      <c r="I19592" s="4" t="str">
        <v/>
      </c>
    </row>
    <row r="19593" spans="5:9" ht="16.5" hidden="1">
      <c r="E19593" s="4" t="str">
        <v/>
      </c>
      <c r="F19593" s="102" t="str">
        <f ca="1">IFERROR(__xludf.DUMMYFUNCTION("IMPORTRANGE(H19593,""IDENTITAS UNIT!D9"")"),"#N/A")</f>
        <v>#N/A</v>
      </c>
      <c r="H19593" s="4" t="str">
        <v/>
      </c>
      <c r="I19593" s="4" t="str">
        <v/>
      </c>
    </row>
    <row r="19594" spans="5:9" ht="16.5" hidden="1">
      <c r="E19594" s="4" t="str">
        <v/>
      </c>
      <c r="F19594" s="102" t="str">
        <f ca="1">IFERROR(__xludf.DUMMYFUNCTION("IMPORTRANGE(H19594,""IDENTITAS UNIT!D9"")"),"#N/A")</f>
        <v>#N/A</v>
      </c>
      <c r="H19594" s="4" t="str">
        <v/>
      </c>
      <c r="I19594" s="4" t="str">
        <v/>
      </c>
    </row>
    <row r="19595" spans="5:9" ht="16.5" hidden="1">
      <c r="E19595" s="4" t="str">
        <v/>
      </c>
      <c r="F19595" s="102" t="str">
        <f ca="1">IFERROR(__xludf.DUMMYFUNCTION("IMPORTRANGE(H19595,""IDENTITAS UNIT!D9"")"),"#N/A")</f>
        <v>#N/A</v>
      </c>
      <c r="H19595" s="4" t="str">
        <v/>
      </c>
      <c r="I19595" s="4" t="str">
        <v/>
      </c>
    </row>
    <row r="19596" spans="5:9" ht="16.5" hidden="1">
      <c r="E19596" s="4" t="str">
        <v/>
      </c>
      <c r="F19596" s="102" t="str">
        <f ca="1">IFERROR(__xludf.DUMMYFUNCTION("IMPORTRANGE(H19596,""IDENTITAS UNIT!D9"")"),"#N/A")</f>
        <v>#N/A</v>
      </c>
      <c r="H19596" s="4" t="str">
        <v/>
      </c>
      <c r="I19596" s="4" t="str">
        <v/>
      </c>
    </row>
    <row r="19597" spans="5:9" ht="16.5" hidden="1">
      <c r="E19597" s="4" t="str">
        <v/>
      </c>
      <c r="F19597" s="102" t="str">
        <f ca="1">IFERROR(__xludf.DUMMYFUNCTION("IMPORTRANGE(H19597,""IDENTITAS UNIT!D9"")"),"#N/A")</f>
        <v>#N/A</v>
      </c>
      <c r="H19597" s="4" t="str">
        <v/>
      </c>
      <c r="I19597" s="4" t="str">
        <v/>
      </c>
    </row>
    <row r="19598" spans="5:9" ht="16.5" hidden="1">
      <c r="E19598" s="4" t="str">
        <v/>
      </c>
      <c r="F19598" s="102" t="str">
        <f ca="1">IFERROR(__xludf.DUMMYFUNCTION("IMPORTRANGE(H19598,""IDENTITAS UNIT!D9"")"),"#N/A")</f>
        <v>#N/A</v>
      </c>
      <c r="H19598" s="4" t="str">
        <v/>
      </c>
      <c r="I19598" s="4" t="str">
        <v/>
      </c>
    </row>
    <row r="19599" spans="5:9" ht="16.5" hidden="1">
      <c r="E19599" s="4" t="str">
        <v/>
      </c>
      <c r="F19599" s="102" t="str">
        <f ca="1">IFERROR(__xludf.DUMMYFUNCTION("IMPORTRANGE(H19599,""IDENTITAS UNIT!D9"")"),"#N/A")</f>
        <v>#N/A</v>
      </c>
      <c r="H19599" s="4" t="str">
        <v/>
      </c>
      <c r="I19599" s="4" t="str">
        <v/>
      </c>
    </row>
    <row r="19600" spans="5:9" ht="16.5" hidden="1">
      <c r="E19600" s="4" t="str">
        <v/>
      </c>
      <c r="F19600" s="102" t="str">
        <f ca="1">IFERROR(__xludf.DUMMYFUNCTION("IMPORTRANGE(H19600,""IDENTITAS UNIT!D9"")"),"#N/A")</f>
        <v>#N/A</v>
      </c>
      <c r="H19600" s="4" t="str">
        <v/>
      </c>
      <c r="I19600" s="4" t="str">
        <v/>
      </c>
    </row>
    <row r="19601" spans="5:9" ht="16.5" hidden="1">
      <c r="E19601" s="4" t="str">
        <v/>
      </c>
      <c r="F19601" s="102" t="str">
        <f ca="1">IFERROR(__xludf.DUMMYFUNCTION("IMPORTRANGE(H19601,""IDENTITAS UNIT!D9"")"),"#N/A")</f>
        <v>#N/A</v>
      </c>
      <c r="H19601" s="4" t="str">
        <v/>
      </c>
      <c r="I19601" s="4" t="str">
        <v/>
      </c>
    </row>
    <row r="19602" spans="5:9" ht="16.5" hidden="1">
      <c r="E19602" s="4" t="str">
        <v/>
      </c>
      <c r="F19602" s="102" t="str">
        <f ca="1">IFERROR(__xludf.DUMMYFUNCTION("IMPORTRANGE(H19602,""IDENTITAS UNIT!D9"")"),"#N/A")</f>
        <v>#N/A</v>
      </c>
      <c r="H19602" s="4" t="str">
        <v/>
      </c>
      <c r="I19602" s="4" t="str">
        <v/>
      </c>
    </row>
    <row r="19603" spans="5:9" ht="16.5" hidden="1">
      <c r="E19603" s="4" t="str">
        <v/>
      </c>
      <c r="F19603" s="102" t="str">
        <f ca="1">IFERROR(__xludf.DUMMYFUNCTION("IMPORTRANGE(H19603,""IDENTITAS UNIT!D9"")"),"#N/A")</f>
        <v>#N/A</v>
      </c>
      <c r="H19603" s="4" t="str">
        <v/>
      </c>
      <c r="I19603" s="4" t="str">
        <v/>
      </c>
    </row>
    <row r="19604" spans="5:9" ht="16.5" hidden="1">
      <c r="E19604" s="4" t="str">
        <v/>
      </c>
      <c r="F19604" s="102" t="str">
        <f ca="1">IFERROR(__xludf.DUMMYFUNCTION("IMPORTRANGE(H19604,""IDENTITAS UNIT!D9"")"),"#N/A")</f>
        <v>#N/A</v>
      </c>
      <c r="H19604" s="4" t="str">
        <v/>
      </c>
      <c r="I19604" s="4" t="str">
        <v/>
      </c>
    </row>
    <row r="19605" spans="5:9" ht="16.5" hidden="1">
      <c r="E19605" s="4" t="str">
        <v/>
      </c>
      <c r="F19605" s="102" t="str">
        <f ca="1">IFERROR(__xludf.DUMMYFUNCTION("IMPORTRANGE(H19605,""IDENTITAS UNIT!D9"")"),"#N/A")</f>
        <v>#N/A</v>
      </c>
      <c r="H19605" s="4" t="str">
        <v/>
      </c>
      <c r="I19605" s="4" t="str">
        <v/>
      </c>
    </row>
    <row r="19606" spans="5:9" ht="16.5" hidden="1">
      <c r="E19606" s="4" t="str">
        <v/>
      </c>
      <c r="F19606" s="102" t="str">
        <f ca="1">IFERROR(__xludf.DUMMYFUNCTION("IMPORTRANGE(H19606,""IDENTITAS UNIT!D9"")"),"#N/A")</f>
        <v>#N/A</v>
      </c>
      <c r="H19606" s="4" t="str">
        <v/>
      </c>
      <c r="I19606" s="4" t="str">
        <v/>
      </c>
    </row>
    <row r="19607" spans="5:9" ht="16.5" hidden="1">
      <c r="E19607" s="4" t="str">
        <v/>
      </c>
      <c r="F19607" s="102" t="str">
        <f ca="1">IFERROR(__xludf.DUMMYFUNCTION("IMPORTRANGE(H19607,""IDENTITAS UNIT!D9"")"),"#N/A")</f>
        <v>#N/A</v>
      </c>
      <c r="H19607" s="4" t="str">
        <v/>
      </c>
      <c r="I19607" s="4" t="str">
        <v/>
      </c>
    </row>
    <row r="19608" spans="5:9" ht="16.5" hidden="1">
      <c r="E19608" s="4" t="str">
        <v/>
      </c>
      <c r="F19608" s="102" t="str">
        <f ca="1">IFERROR(__xludf.DUMMYFUNCTION("IMPORTRANGE(H19608,""IDENTITAS UNIT!D9"")"),"#N/A")</f>
        <v>#N/A</v>
      </c>
      <c r="H19608" s="4" t="str">
        <v/>
      </c>
      <c r="I19608" s="4" t="str">
        <v/>
      </c>
    </row>
    <row r="19609" spans="5:9" ht="16.5" hidden="1">
      <c r="E19609" s="4" t="str">
        <v/>
      </c>
      <c r="F19609" s="102" t="str">
        <f ca="1">IFERROR(__xludf.DUMMYFUNCTION("IMPORTRANGE(H19609,""IDENTITAS UNIT!D9"")"),"#N/A")</f>
        <v>#N/A</v>
      </c>
      <c r="H19609" s="4" t="str">
        <v/>
      </c>
      <c r="I19609" s="4" t="str">
        <v/>
      </c>
    </row>
    <row r="19610" spans="5:9" ht="16.5" hidden="1">
      <c r="E19610" s="4" t="str">
        <v/>
      </c>
      <c r="F19610" s="102" t="str">
        <f ca="1">IFERROR(__xludf.DUMMYFUNCTION("IMPORTRANGE(H19610,""IDENTITAS UNIT!D9"")"),"#N/A")</f>
        <v>#N/A</v>
      </c>
      <c r="H19610" s="4" t="str">
        <v/>
      </c>
      <c r="I19610" s="4" t="str">
        <v/>
      </c>
    </row>
    <row r="19611" spans="5:9" ht="16.5" hidden="1">
      <c r="E19611" s="4" t="str">
        <v/>
      </c>
      <c r="F19611" s="102" t="str">
        <f ca="1">IFERROR(__xludf.DUMMYFUNCTION("IMPORTRANGE(H19611,""IDENTITAS UNIT!D9"")"),"#N/A")</f>
        <v>#N/A</v>
      </c>
      <c r="H19611" s="4" t="str">
        <v/>
      </c>
      <c r="I19611" s="4" t="str">
        <v/>
      </c>
    </row>
    <row r="19612" spans="5:9" ht="16.5" hidden="1">
      <c r="E19612" s="4" t="str">
        <v/>
      </c>
      <c r="F19612" s="102" t="str">
        <f ca="1">IFERROR(__xludf.DUMMYFUNCTION("IMPORTRANGE(H19612,""IDENTITAS UNIT!D9"")"),"#N/A")</f>
        <v>#N/A</v>
      </c>
      <c r="H19612" s="4" t="str">
        <v/>
      </c>
      <c r="I19612" s="4" t="str">
        <v/>
      </c>
    </row>
    <row r="19613" spans="5:9" ht="16.5" hidden="1">
      <c r="E19613" s="4" t="str">
        <v/>
      </c>
      <c r="F19613" s="102" t="str">
        <f ca="1">IFERROR(__xludf.DUMMYFUNCTION("IMPORTRANGE(H19613,""IDENTITAS UNIT!D9"")"),"#N/A")</f>
        <v>#N/A</v>
      </c>
      <c r="H19613" s="4" t="str">
        <v/>
      </c>
      <c r="I19613" s="4" t="str">
        <v/>
      </c>
    </row>
    <row r="19614" spans="5:9" ht="16.5" hidden="1">
      <c r="E19614" s="4" t="str">
        <v/>
      </c>
      <c r="F19614" s="102" t="str">
        <f ca="1">IFERROR(__xludf.DUMMYFUNCTION("IMPORTRANGE(H19614,""IDENTITAS UNIT!D9"")"),"#N/A")</f>
        <v>#N/A</v>
      </c>
      <c r="H19614" s="4" t="str">
        <v/>
      </c>
      <c r="I19614" s="4" t="str">
        <v/>
      </c>
    </row>
    <row r="19615" spans="5:9" ht="16.5" hidden="1">
      <c r="E19615" s="4" t="str">
        <v/>
      </c>
      <c r="F19615" s="102" t="str">
        <f ca="1">IFERROR(__xludf.DUMMYFUNCTION("IMPORTRANGE(H19615,""IDENTITAS UNIT!D9"")"),"#N/A")</f>
        <v>#N/A</v>
      </c>
      <c r="H19615" s="4" t="str">
        <v/>
      </c>
      <c r="I19615" s="4" t="str">
        <v/>
      </c>
    </row>
    <row r="19616" spans="5:9" ht="16.5" hidden="1">
      <c r="E19616" s="4" t="str">
        <v/>
      </c>
      <c r="F19616" s="102" t="str">
        <f ca="1">IFERROR(__xludf.DUMMYFUNCTION("IMPORTRANGE(H19616,""IDENTITAS UNIT!D9"")"),"#N/A")</f>
        <v>#N/A</v>
      </c>
      <c r="H19616" s="4" t="str">
        <v/>
      </c>
      <c r="I19616" s="4" t="str">
        <v/>
      </c>
    </row>
    <row r="19617" spans="5:9" ht="16.5" hidden="1">
      <c r="E19617" s="4" t="str">
        <v/>
      </c>
      <c r="F19617" s="102" t="str">
        <f ca="1">IFERROR(__xludf.DUMMYFUNCTION("IMPORTRANGE(H19617,""IDENTITAS UNIT!D9"")"),"#N/A")</f>
        <v>#N/A</v>
      </c>
      <c r="H19617" s="4" t="str">
        <v/>
      </c>
      <c r="I19617" s="4" t="str">
        <v/>
      </c>
    </row>
    <row r="19618" spans="5:9" ht="16.5" hidden="1">
      <c r="E19618" s="4" t="str">
        <v/>
      </c>
      <c r="F19618" s="102" t="str">
        <f ca="1">IFERROR(__xludf.DUMMYFUNCTION("IMPORTRANGE(H19618,""IDENTITAS UNIT!D9"")"),"#N/A")</f>
        <v>#N/A</v>
      </c>
      <c r="H19618" s="4" t="str">
        <v/>
      </c>
      <c r="I19618" s="4" t="str">
        <v/>
      </c>
    </row>
    <row r="19619" spans="5:9" ht="16.5" hidden="1">
      <c r="E19619" s="4" t="str">
        <v/>
      </c>
      <c r="F19619" s="102" t="str">
        <f ca="1">IFERROR(__xludf.DUMMYFUNCTION("IMPORTRANGE(H19619,""IDENTITAS UNIT!D9"")"),"#N/A")</f>
        <v>#N/A</v>
      </c>
      <c r="H19619" s="4" t="str">
        <v/>
      </c>
      <c r="I19619" s="4" t="str">
        <v/>
      </c>
    </row>
    <row r="19620" spans="5:9" ht="16.5" hidden="1">
      <c r="E19620" s="4" t="str">
        <v/>
      </c>
      <c r="F19620" s="102" t="str">
        <f ca="1">IFERROR(__xludf.DUMMYFUNCTION("IMPORTRANGE(H19620,""IDENTITAS UNIT!D9"")"),"#N/A")</f>
        <v>#N/A</v>
      </c>
      <c r="H19620" s="4" t="str">
        <v/>
      </c>
      <c r="I19620" s="4" t="str">
        <v/>
      </c>
    </row>
    <row r="19621" spans="5:9" ht="16.5" hidden="1">
      <c r="E19621" s="4" t="str">
        <v/>
      </c>
      <c r="F19621" s="102" t="str">
        <f ca="1">IFERROR(__xludf.DUMMYFUNCTION("IMPORTRANGE(H19621,""IDENTITAS UNIT!D9"")"),"#N/A")</f>
        <v>#N/A</v>
      </c>
      <c r="H19621" s="4" t="str">
        <v/>
      </c>
      <c r="I19621" s="4" t="str">
        <v/>
      </c>
    </row>
    <row r="19622" spans="5:9" ht="16.5" hidden="1">
      <c r="E19622" s="4" t="str">
        <v/>
      </c>
      <c r="F19622" s="102" t="str">
        <f ca="1">IFERROR(__xludf.DUMMYFUNCTION("IMPORTRANGE(H19622,""IDENTITAS UNIT!D9"")"),"#N/A")</f>
        <v>#N/A</v>
      </c>
      <c r="H19622" s="4" t="str">
        <v/>
      </c>
      <c r="I19622" s="4" t="str">
        <v/>
      </c>
    </row>
    <row r="19623" spans="5:9" ht="16.5" hidden="1">
      <c r="E19623" s="4" t="str">
        <v/>
      </c>
      <c r="F19623" s="102" t="str">
        <f ca="1">IFERROR(__xludf.DUMMYFUNCTION("IMPORTRANGE(H19623,""IDENTITAS UNIT!D9"")"),"#N/A")</f>
        <v>#N/A</v>
      </c>
      <c r="H19623" s="4" t="str">
        <v/>
      </c>
      <c r="I19623" s="4" t="str">
        <v/>
      </c>
    </row>
    <row r="19624" spans="5:9" ht="16.5" hidden="1">
      <c r="E19624" s="4" t="str">
        <v/>
      </c>
      <c r="F19624" s="102" t="str">
        <f ca="1">IFERROR(__xludf.DUMMYFUNCTION("IMPORTRANGE(H19624,""IDENTITAS UNIT!D9"")"),"#N/A")</f>
        <v>#N/A</v>
      </c>
      <c r="H19624" s="4" t="str">
        <v/>
      </c>
      <c r="I19624" s="4" t="str">
        <v/>
      </c>
    </row>
    <row r="19625" spans="5:9" ht="16.5" hidden="1">
      <c r="E19625" s="4" t="str">
        <v/>
      </c>
      <c r="F19625" s="102" t="str">
        <f ca="1">IFERROR(__xludf.DUMMYFUNCTION("IMPORTRANGE(H19625,""IDENTITAS UNIT!D9"")"),"#N/A")</f>
        <v>#N/A</v>
      </c>
      <c r="H19625" s="4" t="str">
        <v/>
      </c>
      <c r="I19625" s="4" t="str">
        <v/>
      </c>
    </row>
    <row r="19626" spans="5:9" ht="16.5" hidden="1">
      <c r="E19626" s="4" t="str">
        <v/>
      </c>
      <c r="F19626" s="102" t="str">
        <f ca="1">IFERROR(__xludf.DUMMYFUNCTION("IMPORTRANGE(H19626,""IDENTITAS UNIT!D9"")"),"#N/A")</f>
        <v>#N/A</v>
      </c>
      <c r="H19626" s="4" t="str">
        <v/>
      </c>
      <c r="I19626" s="4" t="str">
        <v/>
      </c>
    </row>
    <row r="19627" spans="5:9" ht="16.5" hidden="1">
      <c r="E19627" s="4" t="str">
        <v/>
      </c>
      <c r="F19627" s="102" t="str">
        <f ca="1">IFERROR(__xludf.DUMMYFUNCTION("IMPORTRANGE(H19627,""IDENTITAS UNIT!D9"")"),"#N/A")</f>
        <v>#N/A</v>
      </c>
      <c r="H19627" s="4" t="str">
        <v/>
      </c>
      <c r="I19627" s="4" t="str">
        <v/>
      </c>
    </row>
    <row r="19628" spans="5:9" ht="16.5" hidden="1">
      <c r="E19628" s="4" t="str">
        <v/>
      </c>
      <c r="F19628" s="102" t="str">
        <f ca="1">IFERROR(__xludf.DUMMYFUNCTION("IMPORTRANGE(H19628,""IDENTITAS UNIT!D9"")"),"#N/A")</f>
        <v>#N/A</v>
      </c>
      <c r="H19628" s="4" t="str">
        <v/>
      </c>
      <c r="I19628" s="4" t="str">
        <v/>
      </c>
    </row>
    <row r="19629" spans="5:9" ht="16.5" hidden="1">
      <c r="E19629" s="4" t="str">
        <v/>
      </c>
      <c r="F19629" s="102" t="str">
        <f ca="1">IFERROR(__xludf.DUMMYFUNCTION("IMPORTRANGE(H19629,""IDENTITAS UNIT!D9"")"),"#N/A")</f>
        <v>#N/A</v>
      </c>
      <c r="H19629" s="4" t="str">
        <v/>
      </c>
      <c r="I19629" s="4" t="str">
        <v/>
      </c>
    </row>
    <row r="19630" spans="5:9" ht="16.5" hidden="1">
      <c r="E19630" s="4" t="str">
        <v/>
      </c>
      <c r="F19630" s="102" t="str">
        <f ca="1">IFERROR(__xludf.DUMMYFUNCTION("IMPORTRANGE(H19630,""IDENTITAS UNIT!D9"")"),"#N/A")</f>
        <v>#N/A</v>
      </c>
      <c r="H19630" s="4" t="str">
        <v/>
      </c>
      <c r="I19630" s="4" t="str">
        <v/>
      </c>
    </row>
    <row r="19631" spans="5:9" ht="16.5" hidden="1">
      <c r="E19631" s="4" t="str">
        <v/>
      </c>
      <c r="F19631" s="102" t="str">
        <f ca="1">IFERROR(__xludf.DUMMYFUNCTION("IMPORTRANGE(H19631,""IDENTITAS UNIT!D9"")"),"#N/A")</f>
        <v>#N/A</v>
      </c>
      <c r="H19631" s="4" t="str">
        <v/>
      </c>
      <c r="I19631" s="4" t="str">
        <v/>
      </c>
    </row>
    <row r="19632" spans="5:9" ht="16.5" hidden="1">
      <c r="E19632" s="4" t="str">
        <v/>
      </c>
      <c r="F19632" s="102" t="str">
        <f ca="1">IFERROR(__xludf.DUMMYFUNCTION("IMPORTRANGE(H19632,""IDENTITAS UNIT!D9"")"),"#N/A")</f>
        <v>#N/A</v>
      </c>
      <c r="H19632" s="4" t="str">
        <v/>
      </c>
      <c r="I19632" s="4" t="str">
        <v/>
      </c>
    </row>
    <row r="19633" spans="5:9" ht="16.5" hidden="1">
      <c r="E19633" s="4" t="str">
        <v/>
      </c>
      <c r="F19633" s="102" t="str">
        <f ca="1">IFERROR(__xludf.DUMMYFUNCTION("IMPORTRANGE(H19633,""IDENTITAS UNIT!D9"")"),"#N/A")</f>
        <v>#N/A</v>
      </c>
      <c r="H19633" s="4" t="str">
        <v/>
      </c>
      <c r="I19633" s="4" t="str">
        <v/>
      </c>
    </row>
    <row r="19634" spans="5:9" ht="16.5" hidden="1">
      <c r="E19634" s="4" t="str">
        <v/>
      </c>
      <c r="F19634" s="102" t="str">
        <f ca="1">IFERROR(__xludf.DUMMYFUNCTION("IMPORTRANGE(H19634,""IDENTITAS UNIT!D9"")"),"#N/A")</f>
        <v>#N/A</v>
      </c>
      <c r="H19634" s="4" t="str">
        <v/>
      </c>
      <c r="I19634" s="4" t="str">
        <v/>
      </c>
    </row>
    <row r="19635" spans="5:9" ht="16.5" hidden="1">
      <c r="E19635" s="4" t="str">
        <v/>
      </c>
      <c r="F19635" s="102" t="str">
        <f ca="1">IFERROR(__xludf.DUMMYFUNCTION("IMPORTRANGE(H19635,""IDENTITAS UNIT!D9"")"),"#N/A")</f>
        <v>#N/A</v>
      </c>
      <c r="H19635" s="4" t="str">
        <v/>
      </c>
      <c r="I19635" s="4" t="str">
        <v/>
      </c>
    </row>
    <row r="19636" spans="5:9" ht="16.5" hidden="1">
      <c r="E19636" s="4" t="str">
        <v/>
      </c>
      <c r="F19636" s="102" t="str">
        <f ca="1">IFERROR(__xludf.DUMMYFUNCTION("IMPORTRANGE(H19636,""IDENTITAS UNIT!D9"")"),"#N/A")</f>
        <v>#N/A</v>
      </c>
      <c r="H19636" s="4" t="str">
        <v/>
      </c>
      <c r="I19636" s="4" t="str">
        <v/>
      </c>
    </row>
    <row r="19637" spans="5:9" ht="16.5" hidden="1">
      <c r="E19637" s="4" t="str">
        <v/>
      </c>
      <c r="F19637" s="102" t="str">
        <f ca="1">IFERROR(__xludf.DUMMYFUNCTION("IMPORTRANGE(H19637,""IDENTITAS UNIT!D9"")"),"#N/A")</f>
        <v>#N/A</v>
      </c>
      <c r="H19637" s="4" t="str">
        <v/>
      </c>
      <c r="I19637" s="4" t="str">
        <v/>
      </c>
    </row>
    <row r="19638" spans="5:9" ht="16.5" hidden="1">
      <c r="E19638" s="4" t="str">
        <v/>
      </c>
      <c r="F19638" s="102" t="str">
        <f ca="1">IFERROR(__xludf.DUMMYFUNCTION("IMPORTRANGE(H19638,""IDENTITAS UNIT!D9"")"),"#N/A")</f>
        <v>#N/A</v>
      </c>
      <c r="H19638" s="4" t="str">
        <v/>
      </c>
      <c r="I19638" s="4" t="str">
        <v/>
      </c>
    </row>
    <row r="19639" spans="5:9" ht="16.5" hidden="1">
      <c r="E19639" s="4" t="str">
        <v/>
      </c>
      <c r="F19639" s="102" t="str">
        <f ca="1">IFERROR(__xludf.DUMMYFUNCTION("IMPORTRANGE(H19639,""IDENTITAS UNIT!D9"")"),"#N/A")</f>
        <v>#N/A</v>
      </c>
      <c r="H19639" s="4" t="str">
        <v/>
      </c>
      <c r="I19639" s="4" t="str">
        <v/>
      </c>
    </row>
    <row r="19640" spans="5:9" ht="16.5" hidden="1">
      <c r="E19640" s="4" t="str">
        <v/>
      </c>
      <c r="F19640" s="102" t="str">
        <f ca="1">IFERROR(__xludf.DUMMYFUNCTION("IMPORTRANGE(H19640,""IDENTITAS UNIT!D9"")"),"#N/A")</f>
        <v>#N/A</v>
      </c>
      <c r="H19640" s="4" t="str">
        <v/>
      </c>
      <c r="I19640" s="4" t="str">
        <v/>
      </c>
    </row>
    <row r="19641" spans="5:9" ht="16.5" hidden="1">
      <c r="E19641" s="4" t="str">
        <v/>
      </c>
      <c r="F19641" s="102" t="str">
        <f ca="1">IFERROR(__xludf.DUMMYFUNCTION("IMPORTRANGE(H19641,""IDENTITAS UNIT!D9"")"),"#N/A")</f>
        <v>#N/A</v>
      </c>
      <c r="H19641" s="4" t="str">
        <v/>
      </c>
      <c r="I19641" s="4" t="str">
        <v/>
      </c>
    </row>
    <row r="19642" spans="5:9" ht="16.5" hidden="1">
      <c r="E19642" s="4" t="str">
        <v/>
      </c>
      <c r="F19642" s="102" t="str">
        <f ca="1">IFERROR(__xludf.DUMMYFUNCTION("IMPORTRANGE(H19642,""IDENTITAS UNIT!D9"")"),"#N/A")</f>
        <v>#N/A</v>
      </c>
      <c r="H19642" s="4" t="str">
        <v/>
      </c>
      <c r="I19642" s="4" t="str">
        <v/>
      </c>
    </row>
    <row r="19643" spans="5:9" ht="16.5" hidden="1">
      <c r="E19643" s="4" t="str">
        <v/>
      </c>
      <c r="F19643" s="102" t="str">
        <f ca="1">IFERROR(__xludf.DUMMYFUNCTION("IMPORTRANGE(H19643,""IDENTITAS UNIT!D9"")"),"#N/A")</f>
        <v>#N/A</v>
      </c>
      <c r="H19643" s="4" t="str">
        <v/>
      </c>
      <c r="I19643" s="4" t="str">
        <v/>
      </c>
    </row>
    <row r="19644" spans="5:9" ht="16.5" hidden="1">
      <c r="E19644" s="4" t="str">
        <v/>
      </c>
      <c r="F19644" s="102" t="str">
        <f ca="1">IFERROR(__xludf.DUMMYFUNCTION("IMPORTRANGE(H19644,""IDENTITAS UNIT!D9"")"),"#N/A")</f>
        <v>#N/A</v>
      </c>
      <c r="H19644" s="4" t="str">
        <v/>
      </c>
      <c r="I19644" s="4" t="str">
        <v/>
      </c>
    </row>
    <row r="19645" spans="5:9" ht="16.5" hidden="1">
      <c r="E19645" s="4" t="str">
        <v/>
      </c>
      <c r="F19645" s="102" t="str">
        <f ca="1">IFERROR(__xludf.DUMMYFUNCTION("IMPORTRANGE(H19645,""IDENTITAS UNIT!D9"")"),"#N/A")</f>
        <v>#N/A</v>
      </c>
      <c r="H19645" s="4" t="str">
        <v/>
      </c>
      <c r="I19645" s="4" t="str">
        <v/>
      </c>
    </row>
    <row r="19646" spans="5:9" ht="16.5" hidden="1">
      <c r="E19646" s="4" t="str">
        <v/>
      </c>
      <c r="F19646" s="102" t="str">
        <f ca="1">IFERROR(__xludf.DUMMYFUNCTION("IMPORTRANGE(H19646,""IDENTITAS UNIT!D9"")"),"#N/A")</f>
        <v>#N/A</v>
      </c>
      <c r="H19646" s="4" t="str">
        <v/>
      </c>
      <c r="I19646" s="4" t="str">
        <v/>
      </c>
    </row>
    <row r="19647" spans="5:9" ht="16.5" hidden="1">
      <c r="E19647" s="4" t="str">
        <v/>
      </c>
      <c r="F19647" s="102" t="str">
        <f ca="1">IFERROR(__xludf.DUMMYFUNCTION("IMPORTRANGE(H19647,""IDENTITAS UNIT!D9"")"),"#N/A")</f>
        <v>#N/A</v>
      </c>
      <c r="H19647" s="4" t="str">
        <v/>
      </c>
      <c r="I19647" s="4" t="str">
        <v/>
      </c>
    </row>
    <row r="19648" spans="5:9" ht="16.5" hidden="1">
      <c r="E19648" s="4" t="str">
        <v/>
      </c>
      <c r="F19648" s="102" t="str">
        <f ca="1">IFERROR(__xludf.DUMMYFUNCTION("IMPORTRANGE(H19648,""IDENTITAS UNIT!D9"")"),"#N/A")</f>
        <v>#N/A</v>
      </c>
      <c r="H19648" s="4" t="str">
        <v/>
      </c>
      <c r="I19648" s="4" t="str">
        <v/>
      </c>
    </row>
    <row r="19649" spans="5:9" ht="16.5" hidden="1">
      <c r="E19649" s="4" t="str">
        <v/>
      </c>
      <c r="F19649" s="102" t="str">
        <f ca="1">IFERROR(__xludf.DUMMYFUNCTION("IMPORTRANGE(H19649,""IDENTITAS UNIT!D9"")"),"#N/A")</f>
        <v>#N/A</v>
      </c>
      <c r="H19649" s="4" t="str">
        <v/>
      </c>
      <c r="I19649" s="4" t="str">
        <v/>
      </c>
    </row>
    <row r="19650" spans="5:9" ht="16.5" hidden="1">
      <c r="E19650" s="4" t="str">
        <v/>
      </c>
      <c r="F19650" s="102" t="str">
        <f ca="1">IFERROR(__xludf.DUMMYFUNCTION("IMPORTRANGE(H19650,""IDENTITAS UNIT!D9"")"),"#N/A")</f>
        <v>#N/A</v>
      </c>
      <c r="H19650" s="4" t="str">
        <v/>
      </c>
      <c r="I19650" s="4" t="str">
        <v/>
      </c>
    </row>
    <row r="19651" spans="5:9" ht="16.5" hidden="1">
      <c r="E19651" s="4" t="str">
        <v/>
      </c>
      <c r="F19651" s="102" t="str">
        <f ca="1">IFERROR(__xludf.DUMMYFUNCTION("IMPORTRANGE(H19651,""IDENTITAS UNIT!D9"")"),"#N/A")</f>
        <v>#N/A</v>
      </c>
      <c r="H19651" s="4" t="str">
        <v/>
      </c>
      <c r="I19651" s="4" t="str">
        <v/>
      </c>
    </row>
    <row r="19652" spans="5:9" ht="16.5" hidden="1">
      <c r="E19652" s="4" t="str">
        <v/>
      </c>
      <c r="F19652" s="102" t="str">
        <f ca="1">IFERROR(__xludf.DUMMYFUNCTION("IMPORTRANGE(H19652,""IDENTITAS UNIT!D9"")"),"#N/A")</f>
        <v>#N/A</v>
      </c>
      <c r="H19652" s="4" t="str">
        <v/>
      </c>
      <c r="I19652" s="4" t="str">
        <v/>
      </c>
    </row>
    <row r="19653" spans="5:9" ht="16.5" hidden="1">
      <c r="E19653" s="4" t="str">
        <v/>
      </c>
      <c r="F19653" s="102" t="str">
        <f ca="1">IFERROR(__xludf.DUMMYFUNCTION("IMPORTRANGE(H19653,""IDENTITAS UNIT!D9"")"),"#N/A")</f>
        <v>#N/A</v>
      </c>
      <c r="H19653" s="4" t="str">
        <v/>
      </c>
      <c r="I19653" s="4" t="str">
        <v/>
      </c>
    </row>
    <row r="19654" spans="5:9" ht="16.5" hidden="1">
      <c r="E19654" s="4" t="str">
        <v/>
      </c>
      <c r="F19654" s="102" t="str">
        <f ca="1">IFERROR(__xludf.DUMMYFUNCTION("IMPORTRANGE(H19654,""IDENTITAS UNIT!D9"")"),"#N/A")</f>
        <v>#N/A</v>
      </c>
      <c r="H19654" s="4" t="str">
        <v/>
      </c>
      <c r="I19654" s="4" t="str">
        <v/>
      </c>
    </row>
    <row r="19655" spans="5:9" ht="16.5" hidden="1">
      <c r="E19655" s="4" t="str">
        <v/>
      </c>
      <c r="F19655" s="102" t="str">
        <f ca="1">IFERROR(__xludf.DUMMYFUNCTION("IMPORTRANGE(H19655,""IDENTITAS UNIT!D9"")"),"#N/A")</f>
        <v>#N/A</v>
      </c>
      <c r="H19655" s="4" t="str">
        <v/>
      </c>
      <c r="I19655" s="4" t="str">
        <v/>
      </c>
    </row>
    <row r="19656" spans="5:9" ht="16.5" hidden="1">
      <c r="E19656" s="4" t="str">
        <v/>
      </c>
      <c r="F19656" s="102" t="str">
        <f ca="1">IFERROR(__xludf.DUMMYFUNCTION("IMPORTRANGE(H19656,""IDENTITAS UNIT!D9"")"),"#N/A")</f>
        <v>#N/A</v>
      </c>
      <c r="H19656" s="4" t="str">
        <v/>
      </c>
      <c r="I19656" s="4" t="str">
        <v/>
      </c>
    </row>
    <row r="19657" spans="5:9" ht="16.5" hidden="1">
      <c r="E19657" s="4" t="str">
        <v/>
      </c>
      <c r="F19657" s="102" t="str">
        <f ca="1">IFERROR(__xludf.DUMMYFUNCTION("IMPORTRANGE(H19657,""IDENTITAS UNIT!D9"")"),"#N/A")</f>
        <v>#N/A</v>
      </c>
      <c r="H19657" s="4" t="str">
        <v/>
      </c>
      <c r="I19657" s="4" t="str">
        <v/>
      </c>
    </row>
    <row r="19658" spans="5:9" ht="16.5" hidden="1">
      <c r="E19658" s="4" t="str">
        <v/>
      </c>
      <c r="F19658" s="102" t="str">
        <f ca="1">IFERROR(__xludf.DUMMYFUNCTION("IMPORTRANGE(H19658,""IDENTITAS UNIT!D9"")"),"#N/A")</f>
        <v>#N/A</v>
      </c>
      <c r="H19658" s="4" t="str">
        <v/>
      </c>
      <c r="I19658" s="4" t="str">
        <v/>
      </c>
    </row>
    <row r="19659" spans="5:9" ht="16.5" hidden="1">
      <c r="E19659" s="4" t="str">
        <v/>
      </c>
      <c r="F19659" s="102" t="str">
        <f ca="1">IFERROR(__xludf.DUMMYFUNCTION("IMPORTRANGE(H19659,""IDENTITAS UNIT!D9"")"),"#N/A")</f>
        <v>#N/A</v>
      </c>
      <c r="H19659" s="4" t="str">
        <v/>
      </c>
      <c r="I19659" s="4" t="str">
        <v/>
      </c>
    </row>
    <row r="19660" spans="5:9" ht="16.5" hidden="1">
      <c r="E19660" s="4" t="str">
        <v/>
      </c>
      <c r="F19660" s="102" t="str">
        <f ca="1">IFERROR(__xludf.DUMMYFUNCTION("IMPORTRANGE(H19660,""IDENTITAS UNIT!D9"")"),"#N/A")</f>
        <v>#N/A</v>
      </c>
      <c r="H19660" s="4" t="str">
        <v/>
      </c>
      <c r="I19660" s="4" t="str">
        <v/>
      </c>
    </row>
    <row r="19661" spans="5:9" ht="16.5" hidden="1">
      <c r="E19661" s="4" t="str">
        <v/>
      </c>
      <c r="F19661" s="102" t="str">
        <f ca="1">IFERROR(__xludf.DUMMYFUNCTION("IMPORTRANGE(H19661,""IDENTITAS UNIT!D9"")"),"#N/A")</f>
        <v>#N/A</v>
      </c>
      <c r="H19661" s="4" t="str">
        <v/>
      </c>
      <c r="I19661" s="4" t="str">
        <v/>
      </c>
    </row>
    <row r="19662" spans="5:9" ht="16.5" hidden="1">
      <c r="E19662" s="4" t="str">
        <v/>
      </c>
      <c r="F19662" s="102" t="str">
        <f ca="1">IFERROR(__xludf.DUMMYFUNCTION("IMPORTRANGE(H19662,""IDENTITAS UNIT!D9"")"),"#N/A")</f>
        <v>#N/A</v>
      </c>
      <c r="H19662" s="4" t="str">
        <v/>
      </c>
      <c r="I19662" s="4" t="str">
        <v/>
      </c>
    </row>
    <row r="19663" spans="5:9" ht="16.5" hidden="1">
      <c r="E19663" s="4" t="str">
        <v/>
      </c>
      <c r="F19663" s="102" t="str">
        <f ca="1">IFERROR(__xludf.DUMMYFUNCTION("IMPORTRANGE(H19663,""IDENTITAS UNIT!D9"")"),"#N/A")</f>
        <v>#N/A</v>
      </c>
      <c r="H19663" s="4" t="str">
        <v/>
      </c>
      <c r="I19663" s="4" t="str">
        <v/>
      </c>
    </row>
    <row r="19664" spans="5:9" ht="16.5" hidden="1">
      <c r="E19664" s="4" t="str">
        <v/>
      </c>
      <c r="F19664" s="102" t="str">
        <f ca="1">IFERROR(__xludf.DUMMYFUNCTION("IMPORTRANGE(H19664,""IDENTITAS UNIT!D9"")"),"#N/A")</f>
        <v>#N/A</v>
      </c>
      <c r="H19664" s="4" t="str">
        <v/>
      </c>
      <c r="I19664" s="4" t="str">
        <v/>
      </c>
    </row>
    <row r="19665" spans="5:9" ht="16.5" hidden="1">
      <c r="E19665" s="4" t="str">
        <v/>
      </c>
      <c r="F19665" s="102" t="str">
        <f ca="1">IFERROR(__xludf.DUMMYFUNCTION("IMPORTRANGE(H19665,""IDENTITAS UNIT!D9"")"),"#N/A")</f>
        <v>#N/A</v>
      </c>
      <c r="H19665" s="4" t="str">
        <v/>
      </c>
      <c r="I19665" s="4" t="str">
        <v/>
      </c>
    </row>
    <row r="19666" spans="5:9" ht="16.5" hidden="1">
      <c r="E19666" s="4" t="str">
        <v/>
      </c>
      <c r="F19666" s="102" t="str">
        <f ca="1">IFERROR(__xludf.DUMMYFUNCTION("IMPORTRANGE(H19666,""IDENTITAS UNIT!D9"")"),"#N/A")</f>
        <v>#N/A</v>
      </c>
      <c r="H19666" s="4" t="str">
        <v/>
      </c>
      <c r="I19666" s="4" t="str">
        <v/>
      </c>
    </row>
    <row r="19667" spans="5:9" ht="16.5" hidden="1">
      <c r="E19667" s="4" t="str">
        <v/>
      </c>
      <c r="F19667" s="102" t="str">
        <f ca="1">IFERROR(__xludf.DUMMYFUNCTION("IMPORTRANGE(H19667,""IDENTITAS UNIT!D9"")"),"#N/A")</f>
        <v>#N/A</v>
      </c>
      <c r="H19667" s="4" t="str">
        <v/>
      </c>
      <c r="I19667" s="4" t="str">
        <v/>
      </c>
    </row>
    <row r="19668" spans="5:9" ht="16.5" hidden="1">
      <c r="E19668" s="4" t="str">
        <v/>
      </c>
      <c r="F19668" s="102" t="str">
        <f ca="1">IFERROR(__xludf.DUMMYFUNCTION("IMPORTRANGE(H19668,""IDENTITAS UNIT!D9"")"),"#N/A")</f>
        <v>#N/A</v>
      </c>
      <c r="H19668" s="4" t="str">
        <v/>
      </c>
      <c r="I19668" s="4" t="str">
        <v/>
      </c>
    </row>
    <row r="19669" spans="5:9" ht="16.5" hidden="1">
      <c r="E19669" s="4" t="str">
        <v/>
      </c>
      <c r="F19669" s="102" t="str">
        <f ca="1">IFERROR(__xludf.DUMMYFUNCTION("IMPORTRANGE(H19669,""IDENTITAS UNIT!D9"")"),"#N/A")</f>
        <v>#N/A</v>
      </c>
      <c r="H19669" s="4" t="str">
        <v/>
      </c>
      <c r="I19669" s="4" t="str">
        <v/>
      </c>
    </row>
    <row r="19670" spans="5:9" ht="16.5" hidden="1">
      <c r="E19670" s="4" t="str">
        <v/>
      </c>
      <c r="F19670" s="102" t="str">
        <f ca="1">IFERROR(__xludf.DUMMYFUNCTION("IMPORTRANGE(H19670,""IDENTITAS UNIT!D9"")"),"#N/A")</f>
        <v>#N/A</v>
      </c>
      <c r="H19670" s="4" t="str">
        <v/>
      </c>
      <c r="I19670" s="4" t="str">
        <v/>
      </c>
    </row>
    <row r="19671" spans="5:9" ht="16.5" hidden="1">
      <c r="E19671" s="4" t="str">
        <v/>
      </c>
      <c r="F19671" s="102" t="str">
        <f ca="1">IFERROR(__xludf.DUMMYFUNCTION("IMPORTRANGE(H19671,""IDENTITAS UNIT!D9"")"),"#N/A")</f>
        <v>#N/A</v>
      </c>
      <c r="H19671" s="4" t="str">
        <v/>
      </c>
      <c r="I19671" s="4" t="str">
        <v/>
      </c>
    </row>
    <row r="19672" spans="5:9" ht="16.5" hidden="1">
      <c r="E19672" s="4" t="str">
        <v/>
      </c>
      <c r="F19672" s="102" t="str">
        <f ca="1">IFERROR(__xludf.DUMMYFUNCTION("IMPORTRANGE(H19672,""IDENTITAS UNIT!D9"")"),"#N/A")</f>
        <v>#N/A</v>
      </c>
      <c r="H19672" s="4" t="str">
        <v/>
      </c>
      <c r="I19672" s="4" t="str">
        <v/>
      </c>
    </row>
    <row r="19673" spans="5:9" ht="16.5" hidden="1">
      <c r="E19673" s="4" t="str">
        <v/>
      </c>
      <c r="F19673" s="102" t="str">
        <f ca="1">IFERROR(__xludf.DUMMYFUNCTION("IMPORTRANGE(H19673,""IDENTITAS UNIT!D9"")"),"#N/A")</f>
        <v>#N/A</v>
      </c>
      <c r="H19673" s="4" t="str">
        <v/>
      </c>
      <c r="I19673" s="4" t="str">
        <v/>
      </c>
    </row>
    <row r="19674" spans="5:9" ht="16.5" hidden="1">
      <c r="E19674" s="4" t="str">
        <v/>
      </c>
      <c r="F19674" s="102" t="str">
        <f ca="1">IFERROR(__xludf.DUMMYFUNCTION("IMPORTRANGE(H19674,""IDENTITAS UNIT!D9"")"),"#N/A")</f>
        <v>#N/A</v>
      </c>
      <c r="H19674" s="4" t="str">
        <v/>
      </c>
      <c r="I19674" s="4" t="str">
        <v/>
      </c>
    </row>
    <row r="19675" spans="5:9" ht="16.5" hidden="1">
      <c r="E19675" s="4" t="str">
        <v/>
      </c>
      <c r="F19675" s="102" t="str">
        <f ca="1">IFERROR(__xludf.DUMMYFUNCTION("IMPORTRANGE(H19675,""IDENTITAS UNIT!D9"")"),"#N/A")</f>
        <v>#N/A</v>
      </c>
      <c r="H19675" s="4" t="str">
        <v/>
      </c>
      <c r="I19675" s="4" t="str">
        <v/>
      </c>
    </row>
    <row r="19676" spans="5:9" ht="16.5" hidden="1">
      <c r="E19676" s="4" t="str">
        <v/>
      </c>
      <c r="F19676" s="102" t="str">
        <f ca="1">IFERROR(__xludf.DUMMYFUNCTION("IMPORTRANGE(H19676,""IDENTITAS UNIT!D9"")"),"#N/A")</f>
        <v>#N/A</v>
      </c>
      <c r="H19676" s="4" t="str">
        <v/>
      </c>
      <c r="I19676" s="4" t="str">
        <v/>
      </c>
    </row>
    <row r="19677" spans="5:9" ht="16.5" hidden="1">
      <c r="E19677" s="4" t="str">
        <v/>
      </c>
      <c r="F19677" s="102" t="str">
        <f ca="1">IFERROR(__xludf.DUMMYFUNCTION("IMPORTRANGE(H19677,""IDENTITAS UNIT!D9"")"),"#N/A")</f>
        <v>#N/A</v>
      </c>
      <c r="H19677" s="4" t="str">
        <v/>
      </c>
      <c r="I19677" s="4" t="str">
        <v/>
      </c>
    </row>
    <row r="19678" spans="5:9" ht="16.5" hidden="1">
      <c r="E19678" s="4" t="str">
        <v/>
      </c>
      <c r="F19678" s="102" t="str">
        <f ca="1">IFERROR(__xludf.DUMMYFUNCTION("IMPORTRANGE(H19678,""IDENTITAS UNIT!D9"")"),"#N/A")</f>
        <v>#N/A</v>
      </c>
      <c r="H19678" s="4" t="str">
        <v/>
      </c>
      <c r="I19678" s="4" t="str">
        <v/>
      </c>
    </row>
    <row r="19679" spans="5:9" ht="16.5" hidden="1">
      <c r="E19679" s="4" t="str">
        <v/>
      </c>
      <c r="F19679" s="102" t="str">
        <f ca="1">IFERROR(__xludf.DUMMYFUNCTION("IMPORTRANGE(H19679,""IDENTITAS UNIT!D9"")"),"#N/A")</f>
        <v>#N/A</v>
      </c>
      <c r="H19679" s="4" t="str">
        <v/>
      </c>
      <c r="I19679" s="4" t="str">
        <v/>
      </c>
    </row>
    <row r="19680" spans="5:9" ht="16.5" hidden="1">
      <c r="E19680" s="4" t="str">
        <v/>
      </c>
      <c r="F19680" s="102" t="str">
        <f ca="1">IFERROR(__xludf.DUMMYFUNCTION("IMPORTRANGE(H19680,""IDENTITAS UNIT!D9"")"),"#N/A")</f>
        <v>#N/A</v>
      </c>
      <c r="H19680" s="4" t="str">
        <v/>
      </c>
      <c r="I19680" s="4" t="str">
        <v/>
      </c>
    </row>
    <row r="19681" spans="5:9" ht="16.5" hidden="1">
      <c r="E19681" s="4" t="str">
        <v/>
      </c>
      <c r="F19681" s="102" t="str">
        <f ca="1">IFERROR(__xludf.DUMMYFUNCTION("IMPORTRANGE(H19681,""IDENTITAS UNIT!D9"")"),"#N/A")</f>
        <v>#N/A</v>
      </c>
      <c r="H19681" s="4" t="str">
        <v/>
      </c>
      <c r="I19681" s="4" t="str">
        <v/>
      </c>
    </row>
    <row r="19682" spans="5:9" ht="16.5" hidden="1">
      <c r="E19682" s="4" t="str">
        <v/>
      </c>
      <c r="F19682" s="102" t="str">
        <f ca="1">IFERROR(__xludf.DUMMYFUNCTION("IMPORTRANGE(H19682,""IDENTITAS UNIT!D9"")"),"#N/A")</f>
        <v>#N/A</v>
      </c>
      <c r="H19682" s="4" t="str">
        <v/>
      </c>
      <c r="I19682" s="4" t="str">
        <v/>
      </c>
    </row>
    <row r="19683" spans="5:9" ht="16.5" hidden="1">
      <c r="E19683" s="4" t="str">
        <v/>
      </c>
      <c r="F19683" s="102" t="str">
        <f ca="1">IFERROR(__xludf.DUMMYFUNCTION("IMPORTRANGE(H19683,""IDENTITAS UNIT!D9"")"),"#N/A")</f>
        <v>#N/A</v>
      </c>
      <c r="H19683" s="4" t="str">
        <v/>
      </c>
      <c r="I19683" s="4" t="str">
        <v/>
      </c>
    </row>
    <row r="19684" spans="5:9" ht="16.5" hidden="1">
      <c r="E19684" s="4" t="str">
        <v/>
      </c>
      <c r="F19684" s="102" t="str">
        <f ca="1">IFERROR(__xludf.DUMMYFUNCTION("IMPORTRANGE(H19684,""IDENTITAS UNIT!D9"")"),"#N/A")</f>
        <v>#N/A</v>
      </c>
      <c r="H19684" s="4" t="str">
        <v/>
      </c>
      <c r="I19684" s="4" t="str">
        <v/>
      </c>
    </row>
    <row r="19685" spans="5:9" ht="16.5" hidden="1">
      <c r="E19685" s="4" t="str">
        <v/>
      </c>
      <c r="F19685" s="102" t="str">
        <f ca="1">IFERROR(__xludf.DUMMYFUNCTION("IMPORTRANGE(H19685,""IDENTITAS UNIT!D9"")"),"#N/A")</f>
        <v>#N/A</v>
      </c>
      <c r="H19685" s="4" t="str">
        <v/>
      </c>
      <c r="I19685" s="4" t="str">
        <v/>
      </c>
    </row>
    <row r="19686" spans="5:9" ht="16.5" hidden="1">
      <c r="E19686" s="4" t="str">
        <v/>
      </c>
      <c r="F19686" s="102" t="str">
        <f ca="1">IFERROR(__xludf.DUMMYFUNCTION("IMPORTRANGE(H19686,""IDENTITAS UNIT!D9"")"),"#N/A")</f>
        <v>#N/A</v>
      </c>
      <c r="H19686" s="4" t="str">
        <v/>
      </c>
      <c r="I19686" s="4" t="str">
        <v/>
      </c>
    </row>
    <row r="19687" spans="5:9" ht="16.5" hidden="1">
      <c r="E19687" s="4" t="str">
        <v/>
      </c>
      <c r="F19687" s="102" t="str">
        <f ca="1">IFERROR(__xludf.DUMMYFUNCTION("IMPORTRANGE(H19687,""IDENTITAS UNIT!D9"")"),"#N/A")</f>
        <v>#N/A</v>
      </c>
      <c r="H19687" s="4" t="str">
        <v/>
      </c>
      <c r="I19687" s="4" t="str">
        <v/>
      </c>
    </row>
    <row r="19688" spans="5:9" ht="16.5" hidden="1">
      <c r="E19688" s="4" t="str">
        <v/>
      </c>
      <c r="F19688" s="102" t="str">
        <f ca="1">IFERROR(__xludf.DUMMYFUNCTION("IMPORTRANGE(H19688,""IDENTITAS UNIT!D9"")"),"#N/A")</f>
        <v>#N/A</v>
      </c>
      <c r="H19688" s="4" t="str">
        <v/>
      </c>
      <c r="I19688" s="4" t="str">
        <v/>
      </c>
    </row>
    <row r="19689" spans="5:9" ht="16.5" hidden="1">
      <c r="E19689" s="4" t="str">
        <v/>
      </c>
      <c r="F19689" s="102" t="str">
        <f ca="1">IFERROR(__xludf.DUMMYFUNCTION("IMPORTRANGE(H19689,""IDENTITAS UNIT!D9"")"),"#N/A")</f>
        <v>#N/A</v>
      </c>
      <c r="H19689" s="4" t="str">
        <v/>
      </c>
      <c r="I19689" s="4" t="str">
        <v/>
      </c>
    </row>
    <row r="19690" spans="5:9" ht="16.5" hidden="1">
      <c r="E19690" s="4" t="str">
        <v/>
      </c>
      <c r="F19690" s="102" t="str">
        <f ca="1">IFERROR(__xludf.DUMMYFUNCTION("IMPORTRANGE(H19690,""IDENTITAS UNIT!D9"")"),"#N/A")</f>
        <v>#N/A</v>
      </c>
      <c r="H19690" s="4" t="str">
        <v/>
      </c>
      <c r="I19690" s="4" t="str">
        <v/>
      </c>
    </row>
    <row r="19691" spans="5:9" ht="16.5" hidden="1">
      <c r="E19691" s="4" t="str">
        <v/>
      </c>
      <c r="F19691" s="102" t="str">
        <f ca="1">IFERROR(__xludf.DUMMYFUNCTION("IMPORTRANGE(H19691,""IDENTITAS UNIT!D9"")"),"#N/A")</f>
        <v>#N/A</v>
      </c>
      <c r="H19691" s="4" t="str">
        <v/>
      </c>
      <c r="I19691" s="4" t="str">
        <v/>
      </c>
    </row>
    <row r="19692" spans="5:9" ht="16.5" hidden="1">
      <c r="E19692" s="4" t="str">
        <v/>
      </c>
      <c r="F19692" s="102" t="str">
        <f ca="1">IFERROR(__xludf.DUMMYFUNCTION("IMPORTRANGE(H19692,""IDENTITAS UNIT!D9"")"),"#N/A")</f>
        <v>#N/A</v>
      </c>
      <c r="H19692" s="4" t="str">
        <v/>
      </c>
      <c r="I19692" s="4" t="str">
        <v/>
      </c>
    </row>
    <row r="19693" spans="5:9" ht="16.5" hidden="1">
      <c r="E19693" s="4" t="str">
        <v/>
      </c>
      <c r="F19693" s="102" t="str">
        <f ca="1">IFERROR(__xludf.DUMMYFUNCTION("IMPORTRANGE(H19693,""IDENTITAS UNIT!D9"")"),"#N/A")</f>
        <v>#N/A</v>
      </c>
      <c r="H19693" s="4" t="str">
        <v/>
      </c>
      <c r="I19693" s="4" t="str">
        <v/>
      </c>
    </row>
    <row r="19694" spans="5:9" ht="16.5" hidden="1">
      <c r="E19694" s="4" t="str">
        <v/>
      </c>
      <c r="F19694" s="102" t="str">
        <f ca="1">IFERROR(__xludf.DUMMYFUNCTION("IMPORTRANGE(H19694,""IDENTITAS UNIT!D9"")"),"#N/A")</f>
        <v>#N/A</v>
      </c>
      <c r="H19694" s="4" t="str">
        <v/>
      </c>
      <c r="I19694" s="4" t="str">
        <v/>
      </c>
    </row>
    <row r="19695" spans="5:9" ht="16.5" hidden="1">
      <c r="E19695" s="4" t="str">
        <v/>
      </c>
      <c r="F19695" s="102" t="str">
        <f ca="1">IFERROR(__xludf.DUMMYFUNCTION("IMPORTRANGE(H19695,""IDENTITAS UNIT!D9"")"),"#N/A")</f>
        <v>#N/A</v>
      </c>
      <c r="H19695" s="4" t="str">
        <v/>
      </c>
      <c r="I19695" s="4" t="str">
        <v/>
      </c>
    </row>
    <row r="19696" spans="5:9" ht="16.5" hidden="1">
      <c r="E19696" s="4" t="str">
        <v/>
      </c>
      <c r="F19696" s="102" t="str">
        <f ca="1">IFERROR(__xludf.DUMMYFUNCTION("IMPORTRANGE(H19696,""IDENTITAS UNIT!D9"")"),"#N/A")</f>
        <v>#N/A</v>
      </c>
      <c r="H19696" s="4" t="str">
        <v/>
      </c>
      <c r="I19696" s="4" t="str">
        <v/>
      </c>
    </row>
    <row r="19697" spans="5:9" ht="16.5" hidden="1">
      <c r="E19697" s="4" t="str">
        <v/>
      </c>
      <c r="F19697" s="102" t="str">
        <f ca="1">IFERROR(__xludf.DUMMYFUNCTION("IMPORTRANGE(H19697,""IDENTITAS UNIT!D9"")"),"#N/A")</f>
        <v>#N/A</v>
      </c>
      <c r="H19697" s="4" t="str">
        <v/>
      </c>
      <c r="I19697" s="4" t="str">
        <v/>
      </c>
    </row>
    <row r="19698" spans="5:9" ht="16.5" hidden="1">
      <c r="E19698" s="4" t="str">
        <v/>
      </c>
      <c r="F19698" s="102" t="str">
        <f ca="1">IFERROR(__xludf.DUMMYFUNCTION("IMPORTRANGE(H19698,""IDENTITAS UNIT!D9"")"),"#N/A")</f>
        <v>#N/A</v>
      </c>
      <c r="H19698" s="4" t="str">
        <v/>
      </c>
      <c r="I19698" s="4" t="str">
        <v/>
      </c>
    </row>
    <row r="19699" spans="5:9" ht="16.5" hidden="1">
      <c r="E19699" s="4" t="str">
        <v/>
      </c>
      <c r="F19699" s="102" t="str">
        <f ca="1">IFERROR(__xludf.DUMMYFUNCTION("IMPORTRANGE(H19699,""IDENTITAS UNIT!D9"")"),"#N/A")</f>
        <v>#N/A</v>
      </c>
      <c r="H19699" s="4" t="str">
        <v/>
      </c>
      <c r="I19699" s="4" t="str">
        <v/>
      </c>
    </row>
    <row r="19700" spans="5:9" ht="16.5" hidden="1">
      <c r="E19700" s="4" t="str">
        <v/>
      </c>
      <c r="F19700" s="102" t="str">
        <f ca="1">IFERROR(__xludf.DUMMYFUNCTION("IMPORTRANGE(H19700,""IDENTITAS UNIT!D9"")"),"#N/A")</f>
        <v>#N/A</v>
      </c>
      <c r="H19700" s="4" t="str">
        <v/>
      </c>
      <c r="I19700" s="4" t="str">
        <v/>
      </c>
    </row>
    <row r="19701" spans="5:9" ht="16.5" hidden="1">
      <c r="E19701" s="4" t="str">
        <v/>
      </c>
      <c r="F19701" s="102" t="str">
        <f ca="1">IFERROR(__xludf.DUMMYFUNCTION("IMPORTRANGE(H19701,""IDENTITAS UNIT!D9"")"),"#N/A")</f>
        <v>#N/A</v>
      </c>
      <c r="H19701" s="4" t="str">
        <v/>
      </c>
      <c r="I19701" s="4" t="str">
        <v/>
      </c>
    </row>
    <row r="19702" spans="5:9" ht="16.5" hidden="1">
      <c r="E19702" s="4" t="str">
        <v/>
      </c>
      <c r="F19702" s="102" t="str">
        <f ca="1">IFERROR(__xludf.DUMMYFUNCTION("IMPORTRANGE(H19702,""IDENTITAS UNIT!D9"")"),"#N/A")</f>
        <v>#N/A</v>
      </c>
      <c r="H19702" s="4" t="str">
        <v/>
      </c>
      <c r="I19702" s="4" t="str">
        <v/>
      </c>
    </row>
    <row r="19703" spans="5:9" ht="16.5" hidden="1">
      <c r="E19703" s="4" t="str">
        <v/>
      </c>
      <c r="F19703" s="102" t="str">
        <f ca="1">IFERROR(__xludf.DUMMYFUNCTION("IMPORTRANGE(H19703,""IDENTITAS UNIT!D9"")"),"#N/A")</f>
        <v>#N/A</v>
      </c>
      <c r="H19703" s="4" t="str">
        <v/>
      </c>
      <c r="I19703" s="4" t="str">
        <v/>
      </c>
    </row>
    <row r="19704" spans="5:9" ht="16.5" hidden="1">
      <c r="E19704" s="4" t="str">
        <v/>
      </c>
      <c r="F19704" s="102" t="str">
        <f ca="1">IFERROR(__xludf.DUMMYFUNCTION("IMPORTRANGE(H19704,""IDENTITAS UNIT!D9"")"),"#N/A")</f>
        <v>#N/A</v>
      </c>
      <c r="H19704" s="4" t="str">
        <v/>
      </c>
      <c r="I19704" s="4" t="str">
        <v/>
      </c>
    </row>
    <row r="19705" spans="5:9" ht="16.5" hidden="1">
      <c r="E19705" s="4" t="str">
        <v/>
      </c>
      <c r="F19705" s="102" t="str">
        <f ca="1">IFERROR(__xludf.DUMMYFUNCTION("IMPORTRANGE(H19705,""IDENTITAS UNIT!D9"")"),"#N/A")</f>
        <v>#N/A</v>
      </c>
      <c r="H19705" s="4" t="str">
        <v/>
      </c>
      <c r="I19705" s="4" t="str">
        <v/>
      </c>
    </row>
    <row r="19706" spans="5:9" ht="16.5" hidden="1">
      <c r="E19706" s="4" t="str">
        <v/>
      </c>
      <c r="F19706" s="102" t="str">
        <f ca="1">IFERROR(__xludf.DUMMYFUNCTION("IMPORTRANGE(H19706,""IDENTITAS UNIT!D9"")"),"#N/A")</f>
        <v>#N/A</v>
      </c>
      <c r="H19706" s="4" t="str">
        <v/>
      </c>
      <c r="I19706" s="4" t="str">
        <v/>
      </c>
    </row>
    <row r="19707" spans="5:9" ht="16.5" hidden="1">
      <c r="E19707" s="4" t="str">
        <v/>
      </c>
      <c r="F19707" s="102" t="str">
        <f ca="1">IFERROR(__xludf.DUMMYFUNCTION("IMPORTRANGE(H19707,""IDENTITAS UNIT!D9"")"),"#N/A")</f>
        <v>#N/A</v>
      </c>
      <c r="H19707" s="4" t="str">
        <v/>
      </c>
      <c r="I19707" s="4" t="str">
        <v/>
      </c>
    </row>
    <row r="19708" spans="5:9" ht="16.5" hidden="1">
      <c r="E19708" s="4" t="str">
        <v/>
      </c>
      <c r="F19708" s="102" t="str">
        <f ca="1">IFERROR(__xludf.DUMMYFUNCTION("IMPORTRANGE(H19708,""IDENTITAS UNIT!D9"")"),"#N/A")</f>
        <v>#N/A</v>
      </c>
      <c r="H19708" s="4" t="str">
        <v/>
      </c>
      <c r="I19708" s="4" t="str">
        <v/>
      </c>
    </row>
    <row r="19709" spans="5:9" ht="16.5" hidden="1">
      <c r="E19709" s="4" t="str">
        <v/>
      </c>
      <c r="F19709" s="102" t="str">
        <f ca="1">IFERROR(__xludf.DUMMYFUNCTION("IMPORTRANGE(H19709,""IDENTITAS UNIT!D9"")"),"#N/A")</f>
        <v>#N/A</v>
      </c>
      <c r="H19709" s="4" t="str">
        <v/>
      </c>
      <c r="I19709" s="4" t="str">
        <v/>
      </c>
    </row>
    <row r="19710" spans="5:9" ht="16.5" hidden="1">
      <c r="E19710" s="4" t="str">
        <v/>
      </c>
      <c r="F19710" s="102" t="str">
        <f ca="1">IFERROR(__xludf.DUMMYFUNCTION("IMPORTRANGE(H19710,""IDENTITAS UNIT!D9"")"),"#N/A")</f>
        <v>#N/A</v>
      </c>
      <c r="H19710" s="4" t="str">
        <v/>
      </c>
      <c r="I19710" s="4" t="str">
        <v/>
      </c>
    </row>
    <row r="19711" spans="5:9" ht="16.5" hidden="1">
      <c r="E19711" s="4" t="str">
        <v/>
      </c>
      <c r="F19711" s="102" t="str">
        <f ca="1">IFERROR(__xludf.DUMMYFUNCTION("IMPORTRANGE(H19711,""IDENTITAS UNIT!D9"")"),"#N/A")</f>
        <v>#N/A</v>
      </c>
      <c r="H19711" s="4" t="str">
        <v/>
      </c>
      <c r="I19711" s="4" t="str">
        <v/>
      </c>
    </row>
    <row r="19712" spans="5:9" ht="16.5" hidden="1">
      <c r="E19712" s="4" t="str">
        <v/>
      </c>
      <c r="F19712" s="102" t="str">
        <f ca="1">IFERROR(__xludf.DUMMYFUNCTION("IMPORTRANGE(H19712,""IDENTITAS UNIT!D9"")"),"#N/A")</f>
        <v>#N/A</v>
      </c>
      <c r="H19712" s="4" t="str">
        <v/>
      </c>
      <c r="I19712" s="4" t="str">
        <v/>
      </c>
    </row>
    <row r="19713" spans="5:9" ht="16.5" hidden="1">
      <c r="E19713" s="4" t="str">
        <v/>
      </c>
      <c r="F19713" s="102" t="str">
        <f ca="1">IFERROR(__xludf.DUMMYFUNCTION("IMPORTRANGE(H19713,""IDENTITAS UNIT!D9"")"),"#N/A")</f>
        <v>#N/A</v>
      </c>
      <c r="H19713" s="4" t="str">
        <v/>
      </c>
      <c r="I19713" s="4" t="str">
        <v/>
      </c>
    </row>
    <row r="19714" spans="5:9" ht="16.5" hidden="1">
      <c r="E19714" s="4" t="str">
        <v/>
      </c>
      <c r="F19714" s="102" t="str">
        <f ca="1">IFERROR(__xludf.DUMMYFUNCTION("IMPORTRANGE(H19714,""IDENTITAS UNIT!D9"")"),"#N/A")</f>
        <v>#N/A</v>
      </c>
      <c r="H19714" s="4" t="str">
        <v/>
      </c>
      <c r="I19714" s="4" t="str">
        <v/>
      </c>
    </row>
    <row r="19715" spans="5:9" ht="16.5" hidden="1">
      <c r="E19715" s="4" t="str">
        <v/>
      </c>
      <c r="F19715" s="102" t="str">
        <f ca="1">IFERROR(__xludf.DUMMYFUNCTION("IMPORTRANGE(H19715,""IDENTITAS UNIT!D9"")"),"#N/A")</f>
        <v>#N/A</v>
      </c>
      <c r="H19715" s="4" t="str">
        <v/>
      </c>
      <c r="I19715" s="4" t="str">
        <v/>
      </c>
    </row>
    <row r="19716" spans="5:9" ht="16.5" hidden="1">
      <c r="E19716" s="4" t="str">
        <v/>
      </c>
      <c r="F19716" s="102" t="str">
        <f ca="1">IFERROR(__xludf.DUMMYFUNCTION("IMPORTRANGE(H19716,""IDENTITAS UNIT!D9"")"),"#N/A")</f>
        <v>#N/A</v>
      </c>
      <c r="H19716" s="4" t="str">
        <v/>
      </c>
      <c r="I19716" s="4" t="str">
        <v/>
      </c>
    </row>
    <row r="19717" spans="5:9" ht="16.5" hidden="1">
      <c r="E19717" s="4" t="str">
        <v/>
      </c>
      <c r="F19717" s="102" t="str">
        <f ca="1">IFERROR(__xludf.DUMMYFUNCTION("IMPORTRANGE(H19717,""IDENTITAS UNIT!D9"")"),"#N/A")</f>
        <v>#N/A</v>
      </c>
      <c r="H19717" s="4" t="str">
        <v/>
      </c>
      <c r="I19717" s="4" t="str">
        <v/>
      </c>
    </row>
    <row r="19718" spans="5:9" ht="16.5" hidden="1">
      <c r="E19718" s="4" t="str">
        <v/>
      </c>
      <c r="F19718" s="102" t="str">
        <f ca="1">IFERROR(__xludf.DUMMYFUNCTION("IMPORTRANGE(H19718,""IDENTITAS UNIT!D9"")"),"#N/A")</f>
        <v>#N/A</v>
      </c>
      <c r="H19718" s="4" t="str">
        <v/>
      </c>
      <c r="I19718" s="4" t="str">
        <v/>
      </c>
    </row>
    <row r="19719" spans="5:9" ht="16.5" hidden="1">
      <c r="E19719" s="4" t="str">
        <v/>
      </c>
      <c r="F19719" s="102" t="str">
        <f ca="1">IFERROR(__xludf.DUMMYFUNCTION("IMPORTRANGE(H19719,""IDENTITAS UNIT!D9"")"),"#N/A")</f>
        <v>#N/A</v>
      </c>
      <c r="H19719" s="4" t="str">
        <v/>
      </c>
      <c r="I19719" s="4" t="str">
        <v/>
      </c>
    </row>
    <row r="19720" spans="5:9" ht="16.5" hidden="1">
      <c r="E19720" s="4" t="str">
        <v/>
      </c>
      <c r="F19720" s="102" t="str">
        <f ca="1">IFERROR(__xludf.DUMMYFUNCTION("IMPORTRANGE(H19720,""IDENTITAS UNIT!D9"")"),"#N/A")</f>
        <v>#N/A</v>
      </c>
      <c r="H19720" s="4" t="str">
        <v/>
      </c>
      <c r="I19720" s="4" t="str">
        <v/>
      </c>
    </row>
    <row r="19721" spans="5:9" ht="16.5" hidden="1">
      <c r="E19721" s="4" t="str">
        <v/>
      </c>
      <c r="F19721" s="102" t="str">
        <f ca="1">IFERROR(__xludf.DUMMYFUNCTION("IMPORTRANGE(H19721,""IDENTITAS UNIT!D9"")"),"#N/A")</f>
        <v>#N/A</v>
      </c>
      <c r="H19721" s="4" t="str">
        <v/>
      </c>
      <c r="I19721" s="4" t="str">
        <v/>
      </c>
    </row>
    <row r="19722" spans="5:9" ht="16.5" hidden="1">
      <c r="E19722" s="4" t="str">
        <v/>
      </c>
      <c r="F19722" s="102" t="str">
        <f ca="1">IFERROR(__xludf.DUMMYFUNCTION("IMPORTRANGE(H19722,""IDENTITAS UNIT!D9"")"),"#N/A")</f>
        <v>#N/A</v>
      </c>
      <c r="H19722" s="4" t="str">
        <v/>
      </c>
      <c r="I19722" s="4" t="str">
        <v/>
      </c>
    </row>
    <row r="19723" spans="5:9" ht="16.5" hidden="1">
      <c r="E19723" s="4" t="str">
        <v/>
      </c>
      <c r="F19723" s="102" t="str">
        <f ca="1">IFERROR(__xludf.DUMMYFUNCTION("IMPORTRANGE(H19723,""IDENTITAS UNIT!D9"")"),"#N/A")</f>
        <v>#N/A</v>
      </c>
      <c r="H19723" s="4" t="str">
        <v/>
      </c>
      <c r="I19723" s="4" t="str">
        <v/>
      </c>
    </row>
    <row r="19724" spans="5:9" ht="16.5" hidden="1">
      <c r="E19724" s="4" t="str">
        <v/>
      </c>
      <c r="F19724" s="102" t="str">
        <f ca="1">IFERROR(__xludf.DUMMYFUNCTION("IMPORTRANGE(H19724,""IDENTITAS UNIT!D9"")"),"#N/A")</f>
        <v>#N/A</v>
      </c>
      <c r="H19724" s="4" t="str">
        <v/>
      </c>
      <c r="I19724" s="4" t="str">
        <v/>
      </c>
    </row>
    <row r="19725" spans="5:9" ht="16.5" hidden="1">
      <c r="E19725" s="4" t="str">
        <v/>
      </c>
      <c r="F19725" s="102" t="str">
        <f ca="1">IFERROR(__xludf.DUMMYFUNCTION("IMPORTRANGE(H19725,""IDENTITAS UNIT!D9"")"),"#N/A")</f>
        <v>#N/A</v>
      </c>
      <c r="H19725" s="4" t="str">
        <v/>
      </c>
      <c r="I19725" s="4" t="str">
        <v/>
      </c>
    </row>
    <row r="19726" spans="5:9" ht="16.5" hidden="1">
      <c r="E19726" s="4" t="str">
        <v/>
      </c>
      <c r="F19726" s="102" t="str">
        <f ca="1">IFERROR(__xludf.DUMMYFUNCTION("IMPORTRANGE(H19726,""IDENTITAS UNIT!D9"")"),"#N/A")</f>
        <v>#N/A</v>
      </c>
      <c r="H19726" s="4" t="str">
        <v/>
      </c>
      <c r="I19726" s="4" t="str">
        <v/>
      </c>
    </row>
    <row r="19727" spans="5:9" ht="16.5" hidden="1">
      <c r="E19727" s="4" t="str">
        <v/>
      </c>
      <c r="F19727" s="102" t="str">
        <f ca="1">IFERROR(__xludf.DUMMYFUNCTION("IMPORTRANGE(H19727,""IDENTITAS UNIT!D9"")"),"#N/A")</f>
        <v>#N/A</v>
      </c>
      <c r="H19727" s="4" t="str">
        <v/>
      </c>
      <c r="I19727" s="4" t="str">
        <v/>
      </c>
    </row>
    <row r="19728" spans="5:9" ht="16.5" hidden="1">
      <c r="E19728" s="4" t="str">
        <v/>
      </c>
      <c r="F19728" s="102" t="str">
        <f ca="1">IFERROR(__xludf.DUMMYFUNCTION("IMPORTRANGE(H19728,""IDENTITAS UNIT!D9"")"),"#N/A")</f>
        <v>#N/A</v>
      </c>
      <c r="H19728" s="4" t="str">
        <v/>
      </c>
      <c r="I19728" s="4" t="str">
        <v/>
      </c>
    </row>
    <row r="19729" spans="5:9" ht="16.5" hidden="1">
      <c r="E19729" s="4" t="str">
        <v/>
      </c>
      <c r="F19729" s="102" t="str">
        <f ca="1">IFERROR(__xludf.DUMMYFUNCTION("IMPORTRANGE(H19729,""IDENTITAS UNIT!D9"")"),"#N/A")</f>
        <v>#N/A</v>
      </c>
      <c r="H19729" s="4" t="str">
        <v/>
      </c>
      <c r="I19729" s="4" t="str">
        <v/>
      </c>
    </row>
    <row r="19730" spans="5:9" ht="16.5" hidden="1">
      <c r="E19730" s="4" t="str">
        <v/>
      </c>
      <c r="F19730" s="102" t="str">
        <f ca="1">IFERROR(__xludf.DUMMYFUNCTION("IMPORTRANGE(H19730,""IDENTITAS UNIT!D9"")"),"#N/A")</f>
        <v>#N/A</v>
      </c>
      <c r="H19730" s="4" t="str">
        <v/>
      </c>
      <c r="I19730" s="4" t="str">
        <v/>
      </c>
    </row>
    <row r="19731" spans="5:9" ht="16.5" hidden="1">
      <c r="E19731" s="4" t="str">
        <v/>
      </c>
      <c r="F19731" s="102" t="str">
        <f ca="1">IFERROR(__xludf.DUMMYFUNCTION("IMPORTRANGE(H19731,""IDENTITAS UNIT!D9"")"),"#N/A")</f>
        <v>#N/A</v>
      </c>
      <c r="H19731" s="4" t="str">
        <v/>
      </c>
      <c r="I19731" s="4" t="str">
        <v/>
      </c>
    </row>
    <row r="19732" spans="5:9" ht="16.5" hidden="1">
      <c r="E19732" s="4" t="str">
        <v/>
      </c>
      <c r="F19732" s="102" t="str">
        <f ca="1">IFERROR(__xludf.DUMMYFUNCTION("IMPORTRANGE(H19732,""IDENTITAS UNIT!D9"")"),"#N/A")</f>
        <v>#N/A</v>
      </c>
      <c r="H19732" s="4" t="str">
        <v/>
      </c>
      <c r="I19732" s="4" t="str">
        <v/>
      </c>
    </row>
    <row r="19733" spans="5:9" ht="16.5" hidden="1">
      <c r="E19733" s="4" t="str">
        <v/>
      </c>
      <c r="F19733" s="102" t="str">
        <f ca="1">IFERROR(__xludf.DUMMYFUNCTION("IMPORTRANGE(H19733,""IDENTITAS UNIT!D9"")"),"#N/A")</f>
        <v>#N/A</v>
      </c>
      <c r="H19733" s="4" t="str">
        <v/>
      </c>
      <c r="I19733" s="4" t="str">
        <v/>
      </c>
    </row>
    <row r="19734" spans="5:9" ht="16.5" hidden="1">
      <c r="E19734" s="4" t="str">
        <v/>
      </c>
      <c r="F19734" s="102" t="str">
        <f ca="1">IFERROR(__xludf.DUMMYFUNCTION("IMPORTRANGE(H19734,""IDENTITAS UNIT!D9"")"),"#N/A")</f>
        <v>#N/A</v>
      </c>
      <c r="H19734" s="4" t="str">
        <v/>
      </c>
      <c r="I19734" s="4" t="str">
        <v/>
      </c>
    </row>
    <row r="19735" spans="5:9" ht="16.5" hidden="1">
      <c r="E19735" s="4" t="str">
        <v/>
      </c>
      <c r="F19735" s="102" t="str">
        <f ca="1">IFERROR(__xludf.DUMMYFUNCTION("IMPORTRANGE(H19735,""IDENTITAS UNIT!D9"")"),"#N/A")</f>
        <v>#N/A</v>
      </c>
      <c r="H19735" s="4" t="str">
        <v/>
      </c>
      <c r="I19735" s="4" t="str">
        <v/>
      </c>
    </row>
    <row r="19736" spans="5:9" ht="16.5" hidden="1">
      <c r="E19736" s="4" t="str">
        <v/>
      </c>
      <c r="F19736" s="102" t="str">
        <f ca="1">IFERROR(__xludf.DUMMYFUNCTION("IMPORTRANGE(H19736,""IDENTITAS UNIT!D9"")"),"#N/A")</f>
        <v>#N/A</v>
      </c>
      <c r="H19736" s="4" t="str">
        <v/>
      </c>
      <c r="I19736" s="4" t="str">
        <v/>
      </c>
    </row>
    <row r="19737" spans="5:9" ht="16.5" hidden="1">
      <c r="E19737" s="4" t="str">
        <v/>
      </c>
      <c r="F19737" s="102" t="str">
        <f ca="1">IFERROR(__xludf.DUMMYFUNCTION("IMPORTRANGE(H19737,""IDENTITAS UNIT!D9"")"),"#N/A")</f>
        <v>#N/A</v>
      </c>
      <c r="H19737" s="4" t="str">
        <v/>
      </c>
      <c r="I19737" s="4" t="str">
        <v/>
      </c>
    </row>
    <row r="19738" spans="5:9" ht="16.5" hidden="1">
      <c r="E19738" s="4" t="str">
        <v/>
      </c>
      <c r="F19738" s="102" t="str">
        <f ca="1">IFERROR(__xludf.DUMMYFUNCTION("IMPORTRANGE(H19738,""IDENTITAS UNIT!D9"")"),"#N/A")</f>
        <v>#N/A</v>
      </c>
      <c r="H19738" s="4" t="str">
        <v/>
      </c>
      <c r="I19738" s="4" t="str">
        <v/>
      </c>
    </row>
    <row r="19739" spans="5:9" ht="16.5" hidden="1">
      <c r="E19739" s="4" t="str">
        <v/>
      </c>
      <c r="F19739" s="102" t="str">
        <f ca="1">IFERROR(__xludf.DUMMYFUNCTION("IMPORTRANGE(H19739,""IDENTITAS UNIT!D9"")"),"#N/A")</f>
        <v>#N/A</v>
      </c>
      <c r="H19739" s="4" t="str">
        <v/>
      </c>
      <c r="I19739" s="4" t="str">
        <v/>
      </c>
    </row>
    <row r="19740" spans="5:9" ht="16.5" hidden="1">
      <c r="E19740" s="4" t="str">
        <v/>
      </c>
      <c r="F19740" s="102" t="str">
        <f ca="1">IFERROR(__xludf.DUMMYFUNCTION("IMPORTRANGE(H19740,""IDENTITAS UNIT!D9"")"),"#N/A")</f>
        <v>#N/A</v>
      </c>
      <c r="H19740" s="4" t="str">
        <v/>
      </c>
      <c r="I19740" s="4" t="str">
        <v/>
      </c>
    </row>
    <row r="19741" spans="5:9" ht="16.5" hidden="1">
      <c r="E19741" s="4" t="str">
        <v/>
      </c>
      <c r="F19741" s="102" t="str">
        <f ca="1">IFERROR(__xludf.DUMMYFUNCTION("IMPORTRANGE(H19741,""IDENTITAS UNIT!D9"")"),"#N/A")</f>
        <v>#N/A</v>
      </c>
      <c r="H19741" s="4" t="str">
        <v/>
      </c>
      <c r="I19741" s="4" t="str">
        <v/>
      </c>
    </row>
    <row r="19742" spans="5:9" ht="16.5" hidden="1">
      <c r="E19742" s="4" t="str">
        <v/>
      </c>
      <c r="F19742" s="102" t="str">
        <f ca="1">IFERROR(__xludf.DUMMYFUNCTION("IMPORTRANGE(H19742,""IDENTITAS UNIT!D9"")"),"#N/A")</f>
        <v>#N/A</v>
      </c>
      <c r="H19742" s="4" t="str">
        <v/>
      </c>
      <c r="I19742" s="4" t="str">
        <v/>
      </c>
    </row>
    <row r="19743" spans="5:9" ht="16.5" hidden="1">
      <c r="E19743" s="4" t="str">
        <v/>
      </c>
      <c r="F19743" s="102" t="str">
        <f ca="1">IFERROR(__xludf.DUMMYFUNCTION("IMPORTRANGE(H19743,""IDENTITAS UNIT!D9"")"),"#N/A")</f>
        <v>#N/A</v>
      </c>
      <c r="H19743" s="4" t="str">
        <v/>
      </c>
      <c r="I19743" s="4" t="str">
        <v/>
      </c>
    </row>
    <row r="19744" spans="5:9" ht="16.5" hidden="1">
      <c r="E19744" s="4" t="str">
        <v/>
      </c>
      <c r="F19744" s="102" t="str">
        <f ca="1">IFERROR(__xludf.DUMMYFUNCTION("IMPORTRANGE(H19744,""IDENTITAS UNIT!D9"")"),"#N/A")</f>
        <v>#N/A</v>
      </c>
      <c r="H19744" s="4" t="str">
        <v/>
      </c>
      <c r="I19744" s="4" t="str">
        <v/>
      </c>
    </row>
    <row r="19745" spans="5:9" ht="16.5" hidden="1">
      <c r="E19745" s="4" t="str">
        <v/>
      </c>
      <c r="F19745" s="102" t="str">
        <f ca="1">IFERROR(__xludf.DUMMYFUNCTION("IMPORTRANGE(H19745,""IDENTITAS UNIT!D9"")"),"#N/A")</f>
        <v>#N/A</v>
      </c>
      <c r="H19745" s="4" t="str">
        <v/>
      </c>
      <c r="I19745" s="4" t="str">
        <v/>
      </c>
    </row>
    <row r="19746" spans="5:9" ht="16.5" hidden="1">
      <c r="E19746" s="4" t="str">
        <v/>
      </c>
      <c r="F19746" s="102" t="str">
        <f ca="1">IFERROR(__xludf.DUMMYFUNCTION("IMPORTRANGE(H19746,""IDENTITAS UNIT!D9"")"),"#N/A")</f>
        <v>#N/A</v>
      </c>
      <c r="H19746" s="4" t="str">
        <v/>
      </c>
      <c r="I19746" s="4" t="str">
        <v/>
      </c>
    </row>
    <row r="19747" spans="5:9" ht="16.5" hidden="1">
      <c r="E19747" s="4" t="str">
        <v/>
      </c>
      <c r="F19747" s="102" t="str">
        <f ca="1">IFERROR(__xludf.DUMMYFUNCTION("IMPORTRANGE(H19747,""IDENTITAS UNIT!D9"")"),"#N/A")</f>
        <v>#N/A</v>
      </c>
      <c r="H19747" s="4" t="str">
        <v/>
      </c>
      <c r="I19747" s="4" t="str">
        <v/>
      </c>
    </row>
    <row r="19748" spans="5:9" ht="16.5" hidden="1">
      <c r="E19748" s="4" t="str">
        <v/>
      </c>
      <c r="F19748" s="102" t="str">
        <f ca="1">IFERROR(__xludf.DUMMYFUNCTION("IMPORTRANGE(H19748,""IDENTITAS UNIT!D9"")"),"#N/A")</f>
        <v>#N/A</v>
      </c>
      <c r="H19748" s="4" t="str">
        <v/>
      </c>
      <c r="I19748" s="4" t="str">
        <v/>
      </c>
    </row>
    <row r="19749" spans="5:9" ht="16.5" hidden="1">
      <c r="E19749" s="4" t="str">
        <v/>
      </c>
      <c r="F19749" s="102" t="str">
        <f ca="1">IFERROR(__xludf.DUMMYFUNCTION("IMPORTRANGE(H19749,""IDENTITAS UNIT!D9"")"),"#N/A")</f>
        <v>#N/A</v>
      </c>
      <c r="H19749" s="4" t="str">
        <v/>
      </c>
      <c r="I19749" s="4" t="str">
        <v/>
      </c>
    </row>
    <row r="19750" spans="5:9" ht="16.5" hidden="1">
      <c r="E19750" s="4" t="str">
        <v/>
      </c>
      <c r="F19750" s="102" t="str">
        <f ca="1">IFERROR(__xludf.DUMMYFUNCTION("IMPORTRANGE(H19750,""IDENTITAS UNIT!D9"")"),"#N/A")</f>
        <v>#N/A</v>
      </c>
      <c r="H19750" s="4" t="str">
        <v/>
      </c>
      <c r="I19750" s="4" t="str">
        <v/>
      </c>
    </row>
    <row r="19751" spans="5:9" ht="16.5" hidden="1">
      <c r="E19751" s="4" t="str">
        <v/>
      </c>
      <c r="F19751" s="102" t="str">
        <f ca="1">IFERROR(__xludf.DUMMYFUNCTION("IMPORTRANGE(H19751,""IDENTITAS UNIT!D9"")"),"#N/A")</f>
        <v>#N/A</v>
      </c>
      <c r="H19751" s="4" t="str">
        <v/>
      </c>
      <c r="I19751" s="4" t="str">
        <v/>
      </c>
    </row>
    <row r="19752" spans="5:9" ht="16.5" hidden="1">
      <c r="E19752" s="4" t="str">
        <v/>
      </c>
      <c r="F19752" s="102" t="str">
        <f ca="1">IFERROR(__xludf.DUMMYFUNCTION("IMPORTRANGE(H19752,""IDENTITAS UNIT!D9"")"),"#N/A")</f>
        <v>#N/A</v>
      </c>
      <c r="H19752" s="4" t="str">
        <v/>
      </c>
      <c r="I19752" s="4" t="str">
        <v/>
      </c>
    </row>
    <row r="19753" spans="5:9" ht="16.5" hidden="1">
      <c r="E19753" s="4" t="str">
        <v/>
      </c>
      <c r="F19753" s="102" t="str">
        <f ca="1">IFERROR(__xludf.DUMMYFUNCTION("IMPORTRANGE(H19753,""IDENTITAS UNIT!D9"")"),"#N/A")</f>
        <v>#N/A</v>
      </c>
      <c r="H19753" s="4" t="str">
        <v/>
      </c>
      <c r="I19753" s="4" t="str">
        <v/>
      </c>
    </row>
    <row r="19754" spans="5:9" ht="16.5" hidden="1">
      <c r="E19754" s="4" t="str">
        <v/>
      </c>
      <c r="F19754" s="102" t="str">
        <f ca="1">IFERROR(__xludf.DUMMYFUNCTION("IMPORTRANGE(H19754,""IDENTITAS UNIT!D9"")"),"#N/A")</f>
        <v>#N/A</v>
      </c>
      <c r="H19754" s="4" t="str">
        <v/>
      </c>
      <c r="I19754" s="4" t="str">
        <v/>
      </c>
    </row>
    <row r="19755" spans="5:9" ht="16.5" hidden="1">
      <c r="E19755" s="4" t="str">
        <v/>
      </c>
      <c r="F19755" s="102" t="str">
        <f ca="1">IFERROR(__xludf.DUMMYFUNCTION("IMPORTRANGE(H19755,""IDENTITAS UNIT!D9"")"),"#N/A")</f>
        <v>#N/A</v>
      </c>
      <c r="H19755" s="4" t="str">
        <v/>
      </c>
      <c r="I19755" s="4" t="str">
        <v/>
      </c>
    </row>
    <row r="19756" spans="5:9" ht="16.5" hidden="1">
      <c r="E19756" s="4" t="str">
        <v/>
      </c>
      <c r="F19756" s="102" t="str">
        <f ca="1">IFERROR(__xludf.DUMMYFUNCTION("IMPORTRANGE(H19756,""IDENTITAS UNIT!D9"")"),"#N/A")</f>
        <v>#N/A</v>
      </c>
      <c r="H19756" s="4" t="str">
        <v/>
      </c>
      <c r="I19756" s="4" t="str">
        <v/>
      </c>
    </row>
    <row r="19757" spans="5:9" ht="16.5" hidden="1">
      <c r="E19757" s="4" t="str">
        <v/>
      </c>
      <c r="F19757" s="102" t="str">
        <f ca="1">IFERROR(__xludf.DUMMYFUNCTION("IMPORTRANGE(H19757,""IDENTITAS UNIT!D9"")"),"#N/A")</f>
        <v>#N/A</v>
      </c>
      <c r="H19757" s="4" t="str">
        <v/>
      </c>
      <c r="I19757" s="4" t="str">
        <v/>
      </c>
    </row>
    <row r="19758" spans="5:9" ht="16.5" hidden="1">
      <c r="E19758" s="4" t="str">
        <v/>
      </c>
      <c r="F19758" s="102" t="str">
        <f ca="1">IFERROR(__xludf.DUMMYFUNCTION("IMPORTRANGE(H19758,""IDENTITAS UNIT!D9"")"),"#N/A")</f>
        <v>#N/A</v>
      </c>
      <c r="H19758" s="4" t="str">
        <v/>
      </c>
      <c r="I19758" s="4" t="str">
        <v/>
      </c>
    </row>
    <row r="19759" spans="5:9" ht="16.5" hidden="1">
      <c r="E19759" s="4" t="str">
        <v/>
      </c>
      <c r="F19759" s="102" t="str">
        <f ca="1">IFERROR(__xludf.DUMMYFUNCTION("IMPORTRANGE(H19759,""IDENTITAS UNIT!D9"")"),"#N/A")</f>
        <v>#N/A</v>
      </c>
      <c r="H19759" s="4" t="str">
        <v/>
      </c>
      <c r="I19759" s="4" t="str">
        <v/>
      </c>
    </row>
    <row r="19760" spans="5:9" ht="16.5" hidden="1">
      <c r="E19760" s="4" t="str">
        <v/>
      </c>
      <c r="F19760" s="102" t="str">
        <f ca="1">IFERROR(__xludf.DUMMYFUNCTION("IMPORTRANGE(H19760,""IDENTITAS UNIT!D9"")"),"#N/A")</f>
        <v>#N/A</v>
      </c>
      <c r="H19760" s="4" t="str">
        <v/>
      </c>
      <c r="I19760" s="4" t="str">
        <v/>
      </c>
    </row>
    <row r="19761" spans="5:9" ht="16.5" hidden="1">
      <c r="E19761" s="4" t="str">
        <v/>
      </c>
      <c r="F19761" s="102" t="str">
        <f ca="1">IFERROR(__xludf.DUMMYFUNCTION("IMPORTRANGE(H19761,""IDENTITAS UNIT!D9"")"),"#N/A")</f>
        <v>#N/A</v>
      </c>
      <c r="H19761" s="4" t="str">
        <v/>
      </c>
      <c r="I19761" s="4" t="str">
        <v/>
      </c>
    </row>
    <row r="19762" spans="5:9" ht="16.5" hidden="1">
      <c r="E19762" s="4" t="str">
        <v/>
      </c>
      <c r="F19762" s="102" t="str">
        <f ca="1">IFERROR(__xludf.DUMMYFUNCTION("IMPORTRANGE(H19762,""IDENTITAS UNIT!D9"")"),"#N/A")</f>
        <v>#N/A</v>
      </c>
      <c r="H19762" s="4" t="str">
        <v/>
      </c>
      <c r="I19762" s="4" t="str">
        <v/>
      </c>
    </row>
    <row r="19763" spans="5:9" ht="16.5" hidden="1">
      <c r="E19763" s="4" t="str">
        <v/>
      </c>
      <c r="F19763" s="102" t="str">
        <f ca="1">IFERROR(__xludf.DUMMYFUNCTION("IMPORTRANGE(H19763,""IDENTITAS UNIT!D9"")"),"#N/A")</f>
        <v>#N/A</v>
      </c>
      <c r="H19763" s="4" t="str">
        <v/>
      </c>
      <c r="I19763" s="4" t="str">
        <v/>
      </c>
    </row>
    <row r="19764" spans="5:9" ht="16.5" hidden="1">
      <c r="E19764" s="4" t="str">
        <v/>
      </c>
      <c r="F19764" s="102" t="str">
        <f ca="1">IFERROR(__xludf.DUMMYFUNCTION("IMPORTRANGE(H19764,""IDENTITAS UNIT!D9"")"),"#N/A")</f>
        <v>#N/A</v>
      </c>
      <c r="H19764" s="4" t="str">
        <v/>
      </c>
      <c r="I19764" s="4" t="str">
        <v/>
      </c>
    </row>
    <row r="19765" spans="5:9" ht="16.5" hidden="1">
      <c r="E19765" s="4" t="str">
        <v/>
      </c>
      <c r="F19765" s="102" t="str">
        <f ca="1">IFERROR(__xludf.DUMMYFUNCTION("IMPORTRANGE(H19765,""IDENTITAS UNIT!D9"")"),"#N/A")</f>
        <v>#N/A</v>
      </c>
      <c r="H19765" s="4" t="str">
        <v/>
      </c>
      <c r="I19765" s="4" t="str">
        <v/>
      </c>
    </row>
    <row r="19766" spans="5:9" ht="16.5" hidden="1">
      <c r="E19766" s="4" t="str">
        <v/>
      </c>
      <c r="F19766" s="102" t="str">
        <f ca="1">IFERROR(__xludf.DUMMYFUNCTION("IMPORTRANGE(H19766,""IDENTITAS UNIT!D9"")"),"#N/A")</f>
        <v>#N/A</v>
      </c>
      <c r="H19766" s="4" t="str">
        <v/>
      </c>
      <c r="I19766" s="4" t="str">
        <v/>
      </c>
    </row>
    <row r="19767" spans="5:9" ht="16.5" hidden="1">
      <c r="E19767" s="4" t="str">
        <v/>
      </c>
      <c r="F19767" s="102" t="str">
        <f ca="1">IFERROR(__xludf.DUMMYFUNCTION("IMPORTRANGE(H19767,""IDENTITAS UNIT!D9"")"),"#N/A")</f>
        <v>#N/A</v>
      </c>
      <c r="H19767" s="4" t="str">
        <v/>
      </c>
      <c r="I19767" s="4" t="str">
        <v/>
      </c>
    </row>
    <row r="19768" spans="5:9" ht="16.5" hidden="1">
      <c r="E19768" s="4" t="str">
        <v/>
      </c>
      <c r="F19768" s="102" t="str">
        <f ca="1">IFERROR(__xludf.DUMMYFUNCTION("IMPORTRANGE(H19768,""IDENTITAS UNIT!D9"")"),"#N/A")</f>
        <v>#N/A</v>
      </c>
      <c r="H19768" s="4" t="str">
        <v/>
      </c>
      <c r="I19768" s="4" t="str">
        <v/>
      </c>
    </row>
    <row r="19769" spans="5:9" ht="16.5" hidden="1">
      <c r="E19769" s="4" t="str">
        <v/>
      </c>
      <c r="F19769" s="102" t="str">
        <f ca="1">IFERROR(__xludf.DUMMYFUNCTION("IMPORTRANGE(H19769,""IDENTITAS UNIT!D9"")"),"#N/A")</f>
        <v>#N/A</v>
      </c>
      <c r="H19769" s="4" t="str">
        <v/>
      </c>
      <c r="I19769" s="4" t="str">
        <v/>
      </c>
    </row>
    <row r="19770" spans="5:9" ht="16.5" hidden="1">
      <c r="E19770" s="4" t="str">
        <v/>
      </c>
      <c r="F19770" s="102" t="str">
        <f ca="1">IFERROR(__xludf.DUMMYFUNCTION("IMPORTRANGE(H19770,""IDENTITAS UNIT!D9"")"),"#N/A")</f>
        <v>#N/A</v>
      </c>
      <c r="H19770" s="4" t="str">
        <v/>
      </c>
      <c r="I19770" s="4" t="str">
        <v/>
      </c>
    </row>
    <row r="19771" spans="5:9" ht="16.5" hidden="1">
      <c r="E19771" s="4" t="str">
        <v/>
      </c>
      <c r="F19771" s="102" t="str">
        <f ca="1">IFERROR(__xludf.DUMMYFUNCTION("IMPORTRANGE(H19771,""IDENTITAS UNIT!D9"")"),"#N/A")</f>
        <v>#N/A</v>
      </c>
      <c r="H19771" s="4" t="str">
        <v/>
      </c>
      <c r="I19771" s="4" t="str">
        <v/>
      </c>
    </row>
    <row r="19772" spans="5:9" ht="16.5" hidden="1">
      <c r="E19772" s="4" t="str">
        <v/>
      </c>
      <c r="F19772" s="102" t="str">
        <f ca="1">IFERROR(__xludf.DUMMYFUNCTION("IMPORTRANGE(H19772,""IDENTITAS UNIT!D9"")"),"#N/A")</f>
        <v>#N/A</v>
      </c>
      <c r="H19772" s="4" t="str">
        <v/>
      </c>
      <c r="I19772" s="4" t="str">
        <v/>
      </c>
    </row>
    <row r="19773" spans="5:9" ht="16.5" hidden="1">
      <c r="E19773" s="4" t="str">
        <v/>
      </c>
      <c r="F19773" s="102" t="str">
        <f ca="1">IFERROR(__xludf.DUMMYFUNCTION("IMPORTRANGE(H19773,""IDENTITAS UNIT!D9"")"),"#N/A")</f>
        <v>#N/A</v>
      </c>
      <c r="H19773" s="4" t="str">
        <v/>
      </c>
      <c r="I19773" s="4" t="str">
        <v/>
      </c>
    </row>
    <row r="19774" spans="5:9" ht="16.5" hidden="1">
      <c r="E19774" s="4" t="str">
        <v/>
      </c>
      <c r="F19774" s="102" t="str">
        <f ca="1">IFERROR(__xludf.DUMMYFUNCTION("IMPORTRANGE(H19774,""IDENTITAS UNIT!D9"")"),"#N/A")</f>
        <v>#N/A</v>
      </c>
      <c r="H19774" s="4" t="str">
        <v/>
      </c>
      <c r="I19774" s="4" t="str">
        <v/>
      </c>
    </row>
    <row r="19775" spans="5:9" ht="16.5" hidden="1">
      <c r="E19775" s="4" t="str">
        <v/>
      </c>
      <c r="F19775" s="102" t="str">
        <f ca="1">IFERROR(__xludf.DUMMYFUNCTION("IMPORTRANGE(H19775,""IDENTITAS UNIT!D9"")"),"#N/A")</f>
        <v>#N/A</v>
      </c>
      <c r="H19775" s="4" t="str">
        <v/>
      </c>
      <c r="I19775" s="4" t="str">
        <v/>
      </c>
    </row>
    <row r="19776" spans="5:9" ht="16.5" hidden="1">
      <c r="E19776" s="4" t="str">
        <v/>
      </c>
      <c r="F19776" s="102" t="str">
        <f ca="1">IFERROR(__xludf.DUMMYFUNCTION("IMPORTRANGE(H19776,""IDENTITAS UNIT!D9"")"),"#N/A")</f>
        <v>#N/A</v>
      </c>
      <c r="H19776" s="4" t="str">
        <v/>
      </c>
      <c r="I19776" s="4" t="str">
        <v/>
      </c>
    </row>
    <row r="19777" spans="5:9" ht="16.5" hidden="1">
      <c r="E19777" s="4" t="str">
        <v/>
      </c>
      <c r="F19777" s="102" t="str">
        <f ca="1">IFERROR(__xludf.DUMMYFUNCTION("IMPORTRANGE(H19777,""IDENTITAS UNIT!D9"")"),"#N/A")</f>
        <v>#N/A</v>
      </c>
      <c r="H19777" s="4" t="str">
        <v/>
      </c>
      <c r="I19777" s="4" t="str">
        <v/>
      </c>
    </row>
    <row r="19778" spans="5:9" ht="16.5" hidden="1">
      <c r="E19778" s="4" t="str">
        <v/>
      </c>
      <c r="F19778" s="102" t="str">
        <f ca="1">IFERROR(__xludf.DUMMYFUNCTION("IMPORTRANGE(H19778,""IDENTITAS UNIT!D9"")"),"#N/A")</f>
        <v>#N/A</v>
      </c>
      <c r="H19778" s="4" t="str">
        <v/>
      </c>
      <c r="I19778" s="4" t="str">
        <v/>
      </c>
    </row>
    <row r="19779" spans="5:9" ht="16.5" hidden="1">
      <c r="E19779" s="4" t="str">
        <v/>
      </c>
      <c r="F19779" s="102" t="str">
        <f ca="1">IFERROR(__xludf.DUMMYFUNCTION("IMPORTRANGE(H19779,""IDENTITAS UNIT!D9"")"),"#N/A")</f>
        <v>#N/A</v>
      </c>
      <c r="H19779" s="4" t="str">
        <v/>
      </c>
      <c r="I19779" s="4" t="str">
        <v/>
      </c>
    </row>
    <row r="19780" spans="5:9" ht="16.5" hidden="1">
      <c r="E19780" s="4" t="str">
        <v/>
      </c>
      <c r="F19780" s="102" t="str">
        <f ca="1">IFERROR(__xludf.DUMMYFUNCTION("IMPORTRANGE(H19780,""IDENTITAS UNIT!D9"")"),"#N/A")</f>
        <v>#N/A</v>
      </c>
      <c r="H19780" s="4" t="str">
        <v/>
      </c>
      <c r="I19780" s="4" t="str">
        <v/>
      </c>
    </row>
    <row r="19781" spans="5:9" ht="16.5" hidden="1">
      <c r="E19781" s="4" t="str">
        <v/>
      </c>
      <c r="F19781" s="102" t="str">
        <f ca="1">IFERROR(__xludf.DUMMYFUNCTION("IMPORTRANGE(H19781,""IDENTITAS UNIT!D9"")"),"#N/A")</f>
        <v>#N/A</v>
      </c>
      <c r="H19781" s="4" t="str">
        <v/>
      </c>
      <c r="I19781" s="4" t="str">
        <v/>
      </c>
    </row>
    <row r="19782" spans="5:9" ht="16.5" hidden="1">
      <c r="E19782" s="4" t="str">
        <v/>
      </c>
      <c r="F19782" s="102" t="str">
        <f ca="1">IFERROR(__xludf.DUMMYFUNCTION("IMPORTRANGE(H19782,""IDENTITAS UNIT!D9"")"),"#N/A")</f>
        <v>#N/A</v>
      </c>
      <c r="H19782" s="4" t="str">
        <v/>
      </c>
      <c r="I19782" s="4" t="str">
        <v/>
      </c>
    </row>
    <row r="19783" spans="5:9" ht="16.5" hidden="1">
      <c r="E19783" s="4" t="str">
        <v/>
      </c>
      <c r="F19783" s="102" t="str">
        <f ca="1">IFERROR(__xludf.DUMMYFUNCTION("IMPORTRANGE(H19783,""IDENTITAS UNIT!D9"")"),"#N/A")</f>
        <v>#N/A</v>
      </c>
      <c r="H19783" s="4" t="str">
        <v/>
      </c>
      <c r="I19783" s="4" t="str">
        <v/>
      </c>
    </row>
    <row r="19784" spans="5:9" ht="16.5" hidden="1">
      <c r="E19784" s="4" t="str">
        <v/>
      </c>
      <c r="F19784" s="102" t="str">
        <f ca="1">IFERROR(__xludf.DUMMYFUNCTION("IMPORTRANGE(H19784,""IDENTITAS UNIT!D9"")"),"#N/A")</f>
        <v>#N/A</v>
      </c>
      <c r="H19784" s="4" t="str">
        <v/>
      </c>
      <c r="I19784" s="4" t="str">
        <v/>
      </c>
    </row>
    <row r="19785" spans="5:9" ht="16.5" hidden="1">
      <c r="E19785" s="4" t="str">
        <v/>
      </c>
      <c r="F19785" s="102" t="str">
        <f ca="1">IFERROR(__xludf.DUMMYFUNCTION("IMPORTRANGE(H19785,""IDENTITAS UNIT!D9"")"),"#N/A")</f>
        <v>#N/A</v>
      </c>
      <c r="H19785" s="4" t="str">
        <v/>
      </c>
      <c r="I19785" s="4" t="str">
        <v/>
      </c>
    </row>
    <row r="19786" spans="5:9" ht="16.5" hidden="1">
      <c r="E19786" s="4" t="str">
        <v/>
      </c>
      <c r="F19786" s="102" t="str">
        <f ca="1">IFERROR(__xludf.DUMMYFUNCTION("IMPORTRANGE(H19786,""IDENTITAS UNIT!D9"")"),"#N/A")</f>
        <v>#N/A</v>
      </c>
      <c r="H19786" s="4" t="str">
        <v/>
      </c>
      <c r="I19786" s="4" t="str">
        <v/>
      </c>
    </row>
    <row r="19787" spans="5:9" ht="16.5" hidden="1">
      <c r="E19787" s="4" t="str">
        <v/>
      </c>
      <c r="F19787" s="102" t="str">
        <f ca="1">IFERROR(__xludf.DUMMYFUNCTION("IMPORTRANGE(H19787,""IDENTITAS UNIT!D9"")"),"#N/A")</f>
        <v>#N/A</v>
      </c>
      <c r="H19787" s="4" t="str">
        <v/>
      </c>
      <c r="I19787" s="4" t="str">
        <v/>
      </c>
    </row>
    <row r="19788" spans="5:9" ht="16.5" hidden="1">
      <c r="E19788" s="4" t="str">
        <v/>
      </c>
      <c r="F19788" s="102" t="str">
        <f ca="1">IFERROR(__xludf.DUMMYFUNCTION("IMPORTRANGE(H19788,""IDENTITAS UNIT!D9"")"),"#N/A")</f>
        <v>#N/A</v>
      </c>
      <c r="H19788" s="4" t="str">
        <v/>
      </c>
      <c r="I19788" s="4" t="str">
        <v/>
      </c>
    </row>
    <row r="19789" spans="5:9" ht="16.5" hidden="1">
      <c r="E19789" s="4" t="str">
        <v/>
      </c>
      <c r="F19789" s="102" t="str">
        <f ca="1">IFERROR(__xludf.DUMMYFUNCTION("IMPORTRANGE(H19789,""IDENTITAS UNIT!D9"")"),"#N/A")</f>
        <v>#N/A</v>
      </c>
      <c r="H19789" s="4" t="str">
        <v/>
      </c>
      <c r="I19789" s="4" t="str">
        <v/>
      </c>
    </row>
    <row r="19790" spans="5:9" ht="16.5" hidden="1">
      <c r="E19790" s="4" t="str">
        <v/>
      </c>
      <c r="F19790" s="102" t="str">
        <f ca="1">IFERROR(__xludf.DUMMYFUNCTION("IMPORTRANGE(H19790,""IDENTITAS UNIT!D9"")"),"#N/A")</f>
        <v>#N/A</v>
      </c>
      <c r="H19790" s="4" t="str">
        <v/>
      </c>
      <c r="I19790" s="4" t="str">
        <v/>
      </c>
    </row>
    <row r="19791" spans="5:9" ht="16.5" hidden="1">
      <c r="E19791" s="4" t="str">
        <v/>
      </c>
      <c r="F19791" s="102" t="str">
        <f ca="1">IFERROR(__xludf.DUMMYFUNCTION("IMPORTRANGE(H19791,""IDENTITAS UNIT!D9"")"),"#N/A")</f>
        <v>#N/A</v>
      </c>
      <c r="H19791" s="4" t="str">
        <v/>
      </c>
      <c r="I19791" s="4" t="str">
        <v/>
      </c>
    </row>
    <row r="19792" spans="5:9" ht="16.5" hidden="1">
      <c r="E19792" s="4" t="str">
        <v/>
      </c>
      <c r="F19792" s="102" t="str">
        <f ca="1">IFERROR(__xludf.DUMMYFUNCTION("IMPORTRANGE(H19792,""IDENTITAS UNIT!D9"")"),"#N/A")</f>
        <v>#N/A</v>
      </c>
      <c r="H19792" s="4" t="str">
        <v/>
      </c>
      <c r="I19792" s="4" t="str">
        <v/>
      </c>
    </row>
    <row r="19793" spans="5:9" ht="16.5" hidden="1">
      <c r="E19793" s="4" t="str">
        <v/>
      </c>
      <c r="F19793" s="102" t="str">
        <f ca="1">IFERROR(__xludf.DUMMYFUNCTION("IMPORTRANGE(H19793,""IDENTITAS UNIT!D9"")"),"#N/A")</f>
        <v>#N/A</v>
      </c>
      <c r="H19793" s="4" t="str">
        <v/>
      </c>
      <c r="I19793" s="4" t="str">
        <v/>
      </c>
    </row>
    <row r="19794" spans="5:9" ht="16.5" hidden="1">
      <c r="E19794" s="4" t="str">
        <v/>
      </c>
      <c r="F19794" s="102" t="str">
        <f ca="1">IFERROR(__xludf.DUMMYFUNCTION("IMPORTRANGE(H19794,""IDENTITAS UNIT!D9"")"),"#N/A")</f>
        <v>#N/A</v>
      </c>
      <c r="H19794" s="4" t="str">
        <v/>
      </c>
      <c r="I19794" s="4" t="str">
        <v/>
      </c>
    </row>
    <row r="19795" spans="5:9" ht="16.5" hidden="1">
      <c r="E19795" s="4" t="str">
        <v/>
      </c>
      <c r="F19795" s="102" t="str">
        <f ca="1">IFERROR(__xludf.DUMMYFUNCTION("IMPORTRANGE(H19795,""IDENTITAS UNIT!D9"")"),"#N/A")</f>
        <v>#N/A</v>
      </c>
      <c r="H19795" s="4" t="str">
        <v/>
      </c>
      <c r="I19795" s="4" t="str">
        <v/>
      </c>
    </row>
    <row r="19796" spans="5:9" ht="16.5" hidden="1">
      <c r="E19796" s="4" t="str">
        <v/>
      </c>
      <c r="F19796" s="102" t="str">
        <f ca="1">IFERROR(__xludf.DUMMYFUNCTION("IMPORTRANGE(H19796,""IDENTITAS UNIT!D9"")"),"#N/A")</f>
        <v>#N/A</v>
      </c>
      <c r="H19796" s="4" t="str">
        <v/>
      </c>
      <c r="I19796" s="4" t="str">
        <v/>
      </c>
    </row>
    <row r="19797" spans="5:9" ht="16.5" hidden="1">
      <c r="E19797" s="4" t="str">
        <v/>
      </c>
      <c r="F19797" s="102" t="str">
        <f ca="1">IFERROR(__xludf.DUMMYFUNCTION("IMPORTRANGE(H19797,""IDENTITAS UNIT!D9"")"),"#N/A")</f>
        <v>#N/A</v>
      </c>
      <c r="H19797" s="4" t="str">
        <v/>
      </c>
      <c r="I19797" s="4" t="str">
        <v/>
      </c>
    </row>
    <row r="19798" spans="5:9" ht="16.5" hidden="1">
      <c r="E19798" s="4" t="str">
        <v/>
      </c>
      <c r="F19798" s="102" t="str">
        <f ca="1">IFERROR(__xludf.DUMMYFUNCTION("IMPORTRANGE(H19798,""IDENTITAS UNIT!D9"")"),"#N/A")</f>
        <v>#N/A</v>
      </c>
      <c r="H19798" s="4" t="str">
        <v/>
      </c>
      <c r="I19798" s="4" t="str">
        <v/>
      </c>
    </row>
    <row r="19799" spans="5:9" ht="16.5" hidden="1">
      <c r="E19799" s="4" t="str">
        <v/>
      </c>
      <c r="F19799" s="102" t="str">
        <f ca="1">IFERROR(__xludf.DUMMYFUNCTION("IMPORTRANGE(H19799,""IDENTITAS UNIT!D9"")"),"#N/A")</f>
        <v>#N/A</v>
      </c>
      <c r="H19799" s="4" t="str">
        <v/>
      </c>
      <c r="I19799" s="4" t="str">
        <v/>
      </c>
    </row>
    <row r="19800" spans="5:9" ht="16.5" hidden="1">
      <c r="E19800" s="4" t="str">
        <v/>
      </c>
      <c r="F19800" s="102" t="str">
        <f ca="1">IFERROR(__xludf.DUMMYFUNCTION("IMPORTRANGE(H19800,""IDENTITAS UNIT!D9"")"),"#N/A")</f>
        <v>#N/A</v>
      </c>
      <c r="H19800" s="4" t="str">
        <v/>
      </c>
      <c r="I19800" s="4" t="str">
        <v/>
      </c>
    </row>
    <row r="19801" spans="5:9" ht="16.5" hidden="1">
      <c r="E19801" s="4" t="str">
        <v/>
      </c>
      <c r="F19801" s="102" t="str">
        <f ca="1">IFERROR(__xludf.DUMMYFUNCTION("IMPORTRANGE(H19801,""IDENTITAS UNIT!D9"")"),"#N/A")</f>
        <v>#N/A</v>
      </c>
      <c r="H19801" s="4" t="str">
        <v/>
      </c>
      <c r="I19801" s="4" t="str">
        <v/>
      </c>
    </row>
    <row r="19802" spans="5:9" ht="16.5" hidden="1">
      <c r="E19802" s="4" t="str">
        <v/>
      </c>
      <c r="F19802" s="102" t="str">
        <f ca="1">IFERROR(__xludf.DUMMYFUNCTION("IMPORTRANGE(H19802,""IDENTITAS UNIT!D9"")"),"#N/A")</f>
        <v>#N/A</v>
      </c>
      <c r="H19802" s="4" t="str">
        <v/>
      </c>
      <c r="I19802" s="4" t="str">
        <v/>
      </c>
    </row>
    <row r="19803" spans="5:9" ht="16.5" hidden="1">
      <c r="E19803" s="4" t="str">
        <v/>
      </c>
      <c r="F19803" s="102" t="str">
        <f ca="1">IFERROR(__xludf.DUMMYFUNCTION("IMPORTRANGE(H19803,""IDENTITAS UNIT!D9"")"),"#N/A")</f>
        <v>#N/A</v>
      </c>
      <c r="H19803" s="4" t="str">
        <v/>
      </c>
      <c r="I19803" s="4" t="str">
        <v/>
      </c>
    </row>
    <row r="19804" spans="5:9" ht="16.5" hidden="1">
      <c r="E19804" s="4" t="str">
        <v/>
      </c>
      <c r="F19804" s="102" t="str">
        <f ca="1">IFERROR(__xludf.DUMMYFUNCTION("IMPORTRANGE(H19804,""IDENTITAS UNIT!D9"")"),"#N/A")</f>
        <v>#N/A</v>
      </c>
      <c r="H19804" s="4" t="str">
        <v/>
      </c>
      <c r="I19804" s="4" t="str">
        <v/>
      </c>
    </row>
    <row r="19805" spans="5:9" ht="16.5" hidden="1">
      <c r="E19805" s="4" t="str">
        <v/>
      </c>
      <c r="F19805" s="102" t="str">
        <f ca="1">IFERROR(__xludf.DUMMYFUNCTION("IMPORTRANGE(H19805,""IDENTITAS UNIT!D9"")"),"#N/A")</f>
        <v>#N/A</v>
      </c>
      <c r="H19805" s="4" t="str">
        <v/>
      </c>
      <c r="I19805" s="4" t="str">
        <v/>
      </c>
    </row>
    <row r="19806" spans="5:9" ht="16.5" hidden="1">
      <c r="E19806" s="4" t="str">
        <v/>
      </c>
      <c r="F19806" s="102" t="str">
        <f ca="1">IFERROR(__xludf.DUMMYFUNCTION("IMPORTRANGE(H19806,""IDENTITAS UNIT!D9"")"),"#N/A")</f>
        <v>#N/A</v>
      </c>
      <c r="H19806" s="4" t="str">
        <v/>
      </c>
      <c r="I19806" s="4" t="str">
        <v/>
      </c>
    </row>
    <row r="19807" spans="5:9" ht="16.5" hidden="1">
      <c r="E19807" s="4" t="str">
        <v/>
      </c>
      <c r="F19807" s="102" t="str">
        <f ca="1">IFERROR(__xludf.DUMMYFUNCTION("IMPORTRANGE(H19807,""IDENTITAS UNIT!D9"")"),"#N/A")</f>
        <v>#N/A</v>
      </c>
      <c r="H19807" s="4" t="str">
        <v/>
      </c>
      <c r="I19807" s="4" t="str">
        <v/>
      </c>
    </row>
    <row r="19808" spans="5:9" ht="16.5" hidden="1">
      <c r="E19808" s="4" t="str">
        <v/>
      </c>
      <c r="F19808" s="102" t="str">
        <f ca="1">IFERROR(__xludf.DUMMYFUNCTION("IMPORTRANGE(H19808,""IDENTITAS UNIT!D9"")"),"#N/A")</f>
        <v>#N/A</v>
      </c>
      <c r="H19808" s="4" t="str">
        <v/>
      </c>
      <c r="I19808" s="4" t="str">
        <v/>
      </c>
    </row>
    <row r="19809" spans="5:9" ht="16.5" hidden="1">
      <c r="E19809" s="4" t="str">
        <v/>
      </c>
      <c r="F19809" s="102" t="str">
        <f ca="1">IFERROR(__xludf.DUMMYFUNCTION("IMPORTRANGE(H19809,""IDENTITAS UNIT!D9"")"),"#N/A")</f>
        <v>#N/A</v>
      </c>
      <c r="H19809" s="4" t="str">
        <v/>
      </c>
      <c r="I19809" s="4" t="str">
        <v/>
      </c>
    </row>
    <row r="19810" spans="5:9" ht="16.5" hidden="1">
      <c r="E19810" s="4" t="str">
        <v/>
      </c>
      <c r="F19810" s="102" t="str">
        <f ca="1">IFERROR(__xludf.DUMMYFUNCTION("IMPORTRANGE(H19810,""IDENTITAS UNIT!D9"")"),"#N/A")</f>
        <v>#N/A</v>
      </c>
      <c r="H19810" s="4" t="str">
        <v/>
      </c>
      <c r="I19810" s="4" t="str">
        <v/>
      </c>
    </row>
    <row r="19811" spans="5:9" ht="16.5" hidden="1">
      <c r="E19811" s="4" t="str">
        <v/>
      </c>
      <c r="F19811" s="102" t="str">
        <f ca="1">IFERROR(__xludf.DUMMYFUNCTION("IMPORTRANGE(H19811,""IDENTITAS UNIT!D9"")"),"#N/A")</f>
        <v>#N/A</v>
      </c>
      <c r="H19811" s="4" t="str">
        <v/>
      </c>
      <c r="I19811" s="4" t="str">
        <v/>
      </c>
    </row>
    <row r="19812" spans="5:9" ht="16.5" hidden="1">
      <c r="E19812" s="4" t="str">
        <v/>
      </c>
      <c r="F19812" s="102" t="str">
        <f ca="1">IFERROR(__xludf.DUMMYFUNCTION("IMPORTRANGE(H19812,""IDENTITAS UNIT!D9"")"),"#N/A")</f>
        <v>#N/A</v>
      </c>
      <c r="H19812" s="4" t="str">
        <v/>
      </c>
      <c r="I19812" s="4" t="str">
        <v/>
      </c>
    </row>
    <row r="19813" spans="5:9" ht="16.5" hidden="1">
      <c r="E19813" s="4" t="str">
        <v/>
      </c>
      <c r="F19813" s="102" t="str">
        <f ca="1">IFERROR(__xludf.DUMMYFUNCTION("IMPORTRANGE(H19813,""IDENTITAS UNIT!D9"")"),"#N/A")</f>
        <v>#N/A</v>
      </c>
      <c r="H19813" s="4" t="str">
        <v/>
      </c>
      <c r="I19813" s="4" t="str">
        <v/>
      </c>
    </row>
    <row r="19814" spans="5:9" ht="16.5" hidden="1">
      <c r="E19814" s="4" t="str">
        <v/>
      </c>
      <c r="F19814" s="102" t="str">
        <f ca="1">IFERROR(__xludf.DUMMYFUNCTION("IMPORTRANGE(H19814,""IDENTITAS UNIT!D9"")"),"#N/A")</f>
        <v>#N/A</v>
      </c>
      <c r="H19814" s="4" t="str">
        <v/>
      </c>
      <c r="I19814" s="4" t="str">
        <v/>
      </c>
    </row>
    <row r="19815" spans="5:9" ht="16.5" hidden="1">
      <c r="E19815" s="4" t="str">
        <v/>
      </c>
      <c r="F19815" s="102" t="str">
        <f ca="1">IFERROR(__xludf.DUMMYFUNCTION("IMPORTRANGE(H19815,""IDENTITAS UNIT!D9"")"),"#N/A")</f>
        <v>#N/A</v>
      </c>
      <c r="H19815" s="4" t="str">
        <v/>
      </c>
      <c r="I19815" s="4" t="str">
        <v/>
      </c>
    </row>
    <row r="19816" spans="5:9" ht="16.5" hidden="1">
      <c r="E19816" s="4" t="str">
        <v/>
      </c>
      <c r="F19816" s="102" t="str">
        <f ca="1">IFERROR(__xludf.DUMMYFUNCTION("IMPORTRANGE(H19816,""IDENTITAS UNIT!D9"")"),"#N/A")</f>
        <v>#N/A</v>
      </c>
      <c r="H19816" s="4" t="str">
        <v/>
      </c>
      <c r="I19816" s="4" t="str">
        <v/>
      </c>
    </row>
    <row r="19817" spans="5:9" ht="16.5" hidden="1">
      <c r="E19817" s="4" t="str">
        <v/>
      </c>
      <c r="F19817" s="102" t="str">
        <f ca="1">IFERROR(__xludf.DUMMYFUNCTION("IMPORTRANGE(H19817,""IDENTITAS UNIT!D9"")"),"#N/A")</f>
        <v>#N/A</v>
      </c>
      <c r="H19817" s="4" t="str">
        <v/>
      </c>
      <c r="I19817" s="4" t="str">
        <v/>
      </c>
    </row>
    <row r="19818" spans="5:9" ht="16.5" hidden="1">
      <c r="E19818" s="4" t="str">
        <v/>
      </c>
      <c r="F19818" s="102" t="str">
        <f ca="1">IFERROR(__xludf.DUMMYFUNCTION("IMPORTRANGE(H19818,""IDENTITAS UNIT!D9"")"),"#N/A")</f>
        <v>#N/A</v>
      </c>
      <c r="H19818" s="4" t="str">
        <v/>
      </c>
      <c r="I19818" s="4" t="str">
        <v/>
      </c>
    </row>
    <row r="19819" spans="5:9" ht="16.5" hidden="1">
      <c r="E19819" s="4" t="str">
        <v/>
      </c>
      <c r="F19819" s="102" t="str">
        <f ca="1">IFERROR(__xludf.DUMMYFUNCTION("IMPORTRANGE(H19819,""IDENTITAS UNIT!D9"")"),"#N/A")</f>
        <v>#N/A</v>
      </c>
      <c r="H19819" s="4" t="str">
        <v/>
      </c>
      <c r="I19819" s="4" t="str">
        <v/>
      </c>
    </row>
    <row r="19820" spans="5:9" ht="16.5" hidden="1">
      <c r="E19820" s="4" t="str">
        <v/>
      </c>
      <c r="F19820" s="102" t="str">
        <f ca="1">IFERROR(__xludf.DUMMYFUNCTION("IMPORTRANGE(H19820,""IDENTITAS UNIT!D9"")"),"#N/A")</f>
        <v>#N/A</v>
      </c>
      <c r="H19820" s="4" t="str">
        <v/>
      </c>
      <c r="I19820" s="4" t="str">
        <v/>
      </c>
    </row>
    <row r="19821" spans="5:9" ht="16.5" hidden="1">
      <c r="E19821" s="4" t="str">
        <v/>
      </c>
      <c r="F19821" s="102" t="str">
        <f ca="1">IFERROR(__xludf.DUMMYFUNCTION("IMPORTRANGE(H19821,""IDENTITAS UNIT!D9"")"),"#N/A")</f>
        <v>#N/A</v>
      </c>
      <c r="H19821" s="4" t="str">
        <v/>
      </c>
      <c r="I19821" s="4" t="str">
        <v/>
      </c>
    </row>
    <row r="19822" spans="5:9" ht="16.5" hidden="1">
      <c r="E19822" s="4" t="str">
        <v/>
      </c>
      <c r="F19822" s="102" t="str">
        <f ca="1">IFERROR(__xludf.DUMMYFUNCTION("IMPORTRANGE(H19822,""IDENTITAS UNIT!D9"")"),"#N/A")</f>
        <v>#N/A</v>
      </c>
      <c r="H19822" s="4" t="str">
        <v/>
      </c>
      <c r="I19822" s="4" t="str">
        <v/>
      </c>
    </row>
    <row r="19823" spans="5:9" ht="16.5" hidden="1">
      <c r="E19823" s="4" t="str">
        <v/>
      </c>
      <c r="F19823" s="102" t="str">
        <f ca="1">IFERROR(__xludf.DUMMYFUNCTION("IMPORTRANGE(H19823,""IDENTITAS UNIT!D9"")"),"#N/A")</f>
        <v>#N/A</v>
      </c>
      <c r="H19823" s="4" t="str">
        <v/>
      </c>
      <c r="I19823" s="4" t="str">
        <v/>
      </c>
    </row>
    <row r="19824" spans="5:9" ht="16.5" hidden="1">
      <c r="E19824" s="4" t="str">
        <v/>
      </c>
      <c r="F19824" s="102" t="str">
        <f ca="1">IFERROR(__xludf.DUMMYFUNCTION("IMPORTRANGE(H19824,""IDENTITAS UNIT!D9"")"),"#N/A")</f>
        <v>#N/A</v>
      </c>
      <c r="H19824" s="4" t="str">
        <v/>
      </c>
      <c r="I19824" s="4" t="str">
        <v/>
      </c>
    </row>
    <row r="19825" spans="5:9" ht="16.5" hidden="1">
      <c r="E19825" s="4" t="str">
        <v/>
      </c>
      <c r="F19825" s="102" t="str">
        <f ca="1">IFERROR(__xludf.DUMMYFUNCTION("IMPORTRANGE(H19825,""IDENTITAS UNIT!D9"")"),"#N/A")</f>
        <v>#N/A</v>
      </c>
      <c r="H19825" s="4" t="str">
        <v/>
      </c>
      <c r="I19825" s="4" t="str">
        <v/>
      </c>
    </row>
    <row r="19826" spans="5:9" ht="16.5" hidden="1">
      <c r="E19826" s="4" t="str">
        <v/>
      </c>
      <c r="F19826" s="102" t="str">
        <f ca="1">IFERROR(__xludf.DUMMYFUNCTION("IMPORTRANGE(H19826,""IDENTITAS UNIT!D9"")"),"#N/A")</f>
        <v>#N/A</v>
      </c>
      <c r="H19826" s="4" t="str">
        <v/>
      </c>
      <c r="I19826" s="4" t="str">
        <v/>
      </c>
    </row>
    <row r="19827" spans="5:9" ht="16.5" hidden="1">
      <c r="E19827" s="4" t="str">
        <v/>
      </c>
      <c r="F19827" s="102" t="str">
        <f ca="1">IFERROR(__xludf.DUMMYFUNCTION("IMPORTRANGE(H19827,""IDENTITAS UNIT!D9"")"),"#N/A")</f>
        <v>#N/A</v>
      </c>
      <c r="H19827" s="4" t="str">
        <v/>
      </c>
      <c r="I19827" s="4" t="str">
        <v/>
      </c>
    </row>
    <row r="19828" spans="5:9" ht="16.5" hidden="1">
      <c r="E19828" s="4" t="str">
        <v/>
      </c>
      <c r="F19828" s="102" t="str">
        <f ca="1">IFERROR(__xludf.DUMMYFUNCTION("IMPORTRANGE(H19828,""IDENTITAS UNIT!D9"")"),"#N/A")</f>
        <v>#N/A</v>
      </c>
      <c r="H19828" s="4" t="str">
        <v/>
      </c>
      <c r="I19828" s="4" t="str">
        <v/>
      </c>
    </row>
    <row r="19829" spans="5:9" ht="16.5" hidden="1">
      <c r="E19829" s="4" t="str">
        <v/>
      </c>
      <c r="F19829" s="102" t="str">
        <f ca="1">IFERROR(__xludf.DUMMYFUNCTION("IMPORTRANGE(H19829,""IDENTITAS UNIT!D9"")"),"#N/A")</f>
        <v>#N/A</v>
      </c>
      <c r="H19829" s="4" t="str">
        <v/>
      </c>
      <c r="I19829" s="4" t="str">
        <v/>
      </c>
    </row>
    <row r="19830" spans="5:9" ht="16.5" hidden="1">
      <c r="E19830" s="4" t="str">
        <v/>
      </c>
      <c r="F19830" s="102" t="str">
        <f ca="1">IFERROR(__xludf.DUMMYFUNCTION("IMPORTRANGE(H19830,""IDENTITAS UNIT!D9"")"),"#N/A")</f>
        <v>#N/A</v>
      </c>
      <c r="H19830" s="4" t="str">
        <v/>
      </c>
      <c r="I19830" s="4" t="str">
        <v/>
      </c>
    </row>
    <row r="19831" spans="5:9" ht="16.5" hidden="1">
      <c r="E19831" s="4" t="str">
        <v/>
      </c>
      <c r="F19831" s="102" t="str">
        <f ca="1">IFERROR(__xludf.DUMMYFUNCTION("IMPORTRANGE(H19831,""IDENTITAS UNIT!D9"")"),"#N/A")</f>
        <v>#N/A</v>
      </c>
      <c r="H19831" s="4" t="str">
        <v/>
      </c>
      <c r="I19831" s="4" t="str">
        <v/>
      </c>
    </row>
    <row r="19832" spans="5:9" ht="16.5" hidden="1">
      <c r="E19832" s="4" t="str">
        <v/>
      </c>
      <c r="F19832" s="102" t="str">
        <f ca="1">IFERROR(__xludf.DUMMYFUNCTION("IMPORTRANGE(H19832,""IDENTITAS UNIT!D9"")"),"#N/A")</f>
        <v>#N/A</v>
      </c>
      <c r="H19832" s="4" t="str">
        <v/>
      </c>
      <c r="I19832" s="4" t="str">
        <v/>
      </c>
    </row>
    <row r="19833" spans="5:9" ht="16.5" hidden="1">
      <c r="E19833" s="4" t="str">
        <v/>
      </c>
      <c r="F19833" s="102" t="str">
        <f ca="1">IFERROR(__xludf.DUMMYFUNCTION("IMPORTRANGE(H19833,""IDENTITAS UNIT!D9"")"),"#N/A")</f>
        <v>#N/A</v>
      </c>
      <c r="H19833" s="4" t="str">
        <v/>
      </c>
      <c r="I19833" s="4" t="str">
        <v/>
      </c>
    </row>
    <row r="19834" spans="5:9" ht="16.5" hidden="1">
      <c r="E19834" s="4" t="str">
        <v/>
      </c>
      <c r="F19834" s="102" t="str">
        <f ca="1">IFERROR(__xludf.DUMMYFUNCTION("IMPORTRANGE(H19834,""IDENTITAS UNIT!D9"")"),"#N/A")</f>
        <v>#N/A</v>
      </c>
      <c r="H19834" s="4" t="str">
        <v/>
      </c>
      <c r="I19834" s="4" t="str">
        <v/>
      </c>
    </row>
    <row r="19835" spans="5:9" ht="16.5" hidden="1">
      <c r="E19835" s="4" t="str">
        <v/>
      </c>
      <c r="F19835" s="102" t="str">
        <f ca="1">IFERROR(__xludf.DUMMYFUNCTION("IMPORTRANGE(H19835,""IDENTITAS UNIT!D9"")"),"#N/A")</f>
        <v>#N/A</v>
      </c>
      <c r="H19835" s="4" t="str">
        <v/>
      </c>
      <c r="I19835" s="4" t="str">
        <v/>
      </c>
    </row>
    <row r="19836" spans="5:9" ht="16.5" hidden="1">
      <c r="E19836" s="4" t="str">
        <v/>
      </c>
      <c r="F19836" s="102" t="str">
        <f ca="1">IFERROR(__xludf.DUMMYFUNCTION("IMPORTRANGE(H19836,""IDENTITAS UNIT!D9"")"),"#N/A")</f>
        <v>#N/A</v>
      </c>
      <c r="H19836" s="4" t="str">
        <v/>
      </c>
      <c r="I19836" s="4" t="str">
        <v/>
      </c>
    </row>
    <row r="19837" spans="5:9" ht="16.5" hidden="1">
      <c r="E19837" s="4" t="str">
        <v/>
      </c>
      <c r="F19837" s="102" t="str">
        <f ca="1">IFERROR(__xludf.DUMMYFUNCTION("IMPORTRANGE(H19837,""IDENTITAS UNIT!D9"")"),"#N/A")</f>
        <v>#N/A</v>
      </c>
      <c r="H19837" s="4" t="str">
        <v/>
      </c>
      <c r="I19837" s="4" t="str">
        <v/>
      </c>
    </row>
    <row r="19838" spans="5:9" ht="16.5" hidden="1">
      <c r="E19838" s="4" t="str">
        <v/>
      </c>
      <c r="F19838" s="102" t="str">
        <f ca="1">IFERROR(__xludf.DUMMYFUNCTION("IMPORTRANGE(H19838,""IDENTITAS UNIT!D9"")"),"#N/A")</f>
        <v>#N/A</v>
      </c>
      <c r="H19838" s="4" t="str">
        <v/>
      </c>
      <c r="I19838" s="4" t="str">
        <v/>
      </c>
    </row>
    <row r="19839" spans="5:9" ht="16.5" hidden="1">
      <c r="E19839" s="4" t="str">
        <v/>
      </c>
      <c r="F19839" s="102" t="str">
        <f ca="1">IFERROR(__xludf.DUMMYFUNCTION("IMPORTRANGE(H19839,""IDENTITAS UNIT!D9"")"),"#N/A")</f>
        <v>#N/A</v>
      </c>
      <c r="H19839" s="4" t="str">
        <v/>
      </c>
      <c r="I19839" s="4" t="str">
        <v/>
      </c>
    </row>
    <row r="19840" spans="5:9" ht="16.5" hidden="1">
      <c r="E19840" s="4" t="str">
        <v/>
      </c>
      <c r="F19840" s="102" t="str">
        <f ca="1">IFERROR(__xludf.DUMMYFUNCTION("IMPORTRANGE(H19840,""IDENTITAS UNIT!D9"")"),"#N/A")</f>
        <v>#N/A</v>
      </c>
      <c r="H19840" s="4" t="str">
        <v/>
      </c>
      <c r="I19840" s="4" t="str">
        <v/>
      </c>
    </row>
    <row r="19841" spans="5:9" ht="16.5" hidden="1">
      <c r="E19841" s="4" t="str">
        <v/>
      </c>
      <c r="F19841" s="102" t="str">
        <f ca="1">IFERROR(__xludf.DUMMYFUNCTION("IMPORTRANGE(H19841,""IDENTITAS UNIT!D9"")"),"#N/A")</f>
        <v>#N/A</v>
      </c>
      <c r="H19841" s="4" t="str">
        <v/>
      </c>
      <c r="I19841" s="4" t="str">
        <v/>
      </c>
    </row>
    <row r="19842" spans="5:9" ht="16.5" hidden="1">
      <c r="E19842" s="4" t="str">
        <v/>
      </c>
      <c r="F19842" s="102" t="str">
        <f ca="1">IFERROR(__xludf.DUMMYFUNCTION("IMPORTRANGE(H19842,""IDENTITAS UNIT!D9"")"),"#N/A")</f>
        <v>#N/A</v>
      </c>
      <c r="H19842" s="4" t="str">
        <v/>
      </c>
      <c r="I19842" s="4" t="str">
        <v/>
      </c>
    </row>
    <row r="19843" spans="5:9" ht="16.5" hidden="1">
      <c r="E19843" s="4" t="str">
        <v/>
      </c>
      <c r="F19843" s="102" t="str">
        <f ca="1">IFERROR(__xludf.DUMMYFUNCTION("IMPORTRANGE(H19843,""IDENTITAS UNIT!D9"")"),"#N/A")</f>
        <v>#N/A</v>
      </c>
      <c r="H19843" s="4" t="str">
        <v/>
      </c>
      <c r="I19843" s="4" t="str">
        <v/>
      </c>
    </row>
    <row r="19844" spans="5:9" ht="16.5" hidden="1">
      <c r="E19844" s="4" t="str">
        <v/>
      </c>
      <c r="F19844" s="102" t="str">
        <f ca="1">IFERROR(__xludf.DUMMYFUNCTION("IMPORTRANGE(H19844,""IDENTITAS UNIT!D9"")"),"#N/A")</f>
        <v>#N/A</v>
      </c>
      <c r="H19844" s="4" t="str">
        <v/>
      </c>
      <c r="I19844" s="4" t="str">
        <v/>
      </c>
    </row>
    <row r="19845" spans="5:9" ht="16.5" hidden="1">
      <c r="E19845" s="4" t="str">
        <v/>
      </c>
      <c r="F19845" s="102" t="str">
        <f ca="1">IFERROR(__xludf.DUMMYFUNCTION("IMPORTRANGE(H19845,""IDENTITAS UNIT!D9"")"),"#N/A")</f>
        <v>#N/A</v>
      </c>
      <c r="H19845" s="4" t="str">
        <v/>
      </c>
      <c r="I19845" s="4" t="str">
        <v/>
      </c>
    </row>
    <row r="19846" spans="5:9" ht="16.5" hidden="1">
      <c r="E19846" s="4" t="str">
        <v/>
      </c>
      <c r="F19846" s="102" t="str">
        <f ca="1">IFERROR(__xludf.DUMMYFUNCTION("IMPORTRANGE(H19846,""IDENTITAS UNIT!D9"")"),"#N/A")</f>
        <v>#N/A</v>
      </c>
      <c r="H19846" s="4" t="str">
        <v/>
      </c>
      <c r="I19846" s="4" t="str">
        <v/>
      </c>
    </row>
    <row r="19847" spans="5:9" ht="16.5" hidden="1">
      <c r="E19847" s="4" t="str">
        <v/>
      </c>
      <c r="F19847" s="102" t="str">
        <f ca="1">IFERROR(__xludf.DUMMYFUNCTION("IMPORTRANGE(H19847,""IDENTITAS UNIT!D9"")"),"#N/A")</f>
        <v>#N/A</v>
      </c>
      <c r="H19847" s="4" t="str">
        <v/>
      </c>
      <c r="I19847" s="4" t="str">
        <v/>
      </c>
    </row>
    <row r="19848" spans="5:9" ht="16.5" hidden="1">
      <c r="E19848" s="4" t="str">
        <v/>
      </c>
      <c r="F19848" s="102" t="str">
        <f ca="1">IFERROR(__xludf.DUMMYFUNCTION("IMPORTRANGE(H19848,""IDENTITAS UNIT!D9"")"),"#N/A")</f>
        <v>#N/A</v>
      </c>
      <c r="H19848" s="4" t="str">
        <v/>
      </c>
      <c r="I19848" s="4" t="str">
        <v/>
      </c>
    </row>
    <row r="19849" spans="5:9" ht="16.5" hidden="1">
      <c r="E19849" s="4" t="str">
        <v/>
      </c>
      <c r="F19849" s="102" t="str">
        <f ca="1">IFERROR(__xludf.DUMMYFUNCTION("IMPORTRANGE(H19849,""IDENTITAS UNIT!D9"")"),"#N/A")</f>
        <v>#N/A</v>
      </c>
      <c r="H19849" s="4" t="str">
        <v/>
      </c>
      <c r="I19849" s="4" t="str">
        <v/>
      </c>
    </row>
    <row r="19850" spans="5:9" ht="16.5" hidden="1">
      <c r="E19850" s="4" t="str">
        <v/>
      </c>
      <c r="F19850" s="102" t="str">
        <f ca="1">IFERROR(__xludf.DUMMYFUNCTION("IMPORTRANGE(H19850,""IDENTITAS UNIT!D9"")"),"#N/A")</f>
        <v>#N/A</v>
      </c>
      <c r="H19850" s="4" t="str">
        <v/>
      </c>
      <c r="I19850" s="4" t="str">
        <v/>
      </c>
    </row>
    <row r="19851" spans="5:9" ht="16.5" hidden="1">
      <c r="E19851" s="4" t="str">
        <v/>
      </c>
      <c r="F19851" s="102" t="str">
        <f ca="1">IFERROR(__xludf.DUMMYFUNCTION("IMPORTRANGE(H19851,""IDENTITAS UNIT!D9"")"),"#N/A")</f>
        <v>#N/A</v>
      </c>
      <c r="H19851" s="4" t="str">
        <v/>
      </c>
      <c r="I19851" s="4" t="str">
        <v/>
      </c>
    </row>
    <row r="19852" spans="5:9" ht="16.5" hidden="1">
      <c r="E19852" s="4" t="str">
        <v/>
      </c>
      <c r="F19852" s="102" t="str">
        <f ca="1">IFERROR(__xludf.DUMMYFUNCTION("IMPORTRANGE(H19852,""IDENTITAS UNIT!D9"")"),"#N/A")</f>
        <v>#N/A</v>
      </c>
      <c r="H19852" s="4" t="str">
        <v/>
      </c>
      <c r="I19852" s="4" t="str">
        <v/>
      </c>
    </row>
    <row r="19853" spans="5:9" ht="16.5" hidden="1">
      <c r="E19853" s="4" t="str">
        <v/>
      </c>
      <c r="F19853" s="102" t="str">
        <f ca="1">IFERROR(__xludf.DUMMYFUNCTION("IMPORTRANGE(H19853,""IDENTITAS UNIT!D9"")"),"#N/A")</f>
        <v>#N/A</v>
      </c>
      <c r="H19853" s="4" t="str">
        <v/>
      </c>
      <c r="I19853" s="4" t="str">
        <v/>
      </c>
    </row>
    <row r="19854" spans="5:9" ht="16.5" hidden="1">
      <c r="E19854" s="4" t="str">
        <v/>
      </c>
      <c r="F19854" s="102" t="str">
        <f ca="1">IFERROR(__xludf.DUMMYFUNCTION("IMPORTRANGE(H19854,""IDENTITAS UNIT!D9"")"),"#N/A")</f>
        <v>#N/A</v>
      </c>
      <c r="H19854" s="4" t="str">
        <v/>
      </c>
      <c r="I19854" s="4" t="str">
        <v/>
      </c>
    </row>
    <row r="19855" spans="5:9" ht="16.5" hidden="1">
      <c r="E19855" s="4" t="str">
        <v/>
      </c>
      <c r="F19855" s="102" t="str">
        <f ca="1">IFERROR(__xludf.DUMMYFUNCTION("IMPORTRANGE(H19855,""IDENTITAS UNIT!D9"")"),"#N/A")</f>
        <v>#N/A</v>
      </c>
      <c r="H19855" s="4" t="str">
        <v/>
      </c>
      <c r="I19855" s="4" t="str">
        <v/>
      </c>
    </row>
    <row r="19856" spans="5:9" ht="16.5" hidden="1">
      <c r="E19856" s="4" t="str">
        <v/>
      </c>
      <c r="F19856" s="102" t="str">
        <f ca="1">IFERROR(__xludf.DUMMYFUNCTION("IMPORTRANGE(H19856,""IDENTITAS UNIT!D9"")"),"#N/A")</f>
        <v>#N/A</v>
      </c>
      <c r="H19856" s="4" t="str">
        <v/>
      </c>
      <c r="I19856" s="4" t="str">
        <v/>
      </c>
    </row>
    <row r="19857" spans="5:9" ht="16.5" hidden="1">
      <c r="E19857" s="4" t="str">
        <v/>
      </c>
      <c r="F19857" s="102" t="str">
        <f ca="1">IFERROR(__xludf.DUMMYFUNCTION("IMPORTRANGE(H19857,""IDENTITAS UNIT!D9"")"),"#N/A")</f>
        <v>#N/A</v>
      </c>
      <c r="H19857" s="4" t="str">
        <v/>
      </c>
      <c r="I19857" s="4" t="str">
        <v/>
      </c>
    </row>
    <row r="19858" spans="5:9" ht="16.5" hidden="1">
      <c r="E19858" s="4" t="str">
        <v/>
      </c>
      <c r="F19858" s="102" t="str">
        <f ca="1">IFERROR(__xludf.DUMMYFUNCTION("IMPORTRANGE(H19858,""IDENTITAS UNIT!D9"")"),"#N/A")</f>
        <v>#N/A</v>
      </c>
      <c r="H19858" s="4" t="str">
        <v/>
      </c>
      <c r="I19858" s="4" t="str">
        <v/>
      </c>
    </row>
    <row r="19859" spans="5:9" ht="16.5" hidden="1">
      <c r="E19859" s="4" t="str">
        <v/>
      </c>
      <c r="F19859" s="102" t="str">
        <f ca="1">IFERROR(__xludf.DUMMYFUNCTION("IMPORTRANGE(H19859,""IDENTITAS UNIT!D9"")"),"#N/A")</f>
        <v>#N/A</v>
      </c>
      <c r="H19859" s="4" t="str">
        <v/>
      </c>
      <c r="I19859" s="4" t="str">
        <v/>
      </c>
    </row>
    <row r="19860" spans="5:9" ht="16.5" hidden="1">
      <c r="E19860" s="4" t="str">
        <v/>
      </c>
      <c r="F19860" s="102" t="str">
        <f ca="1">IFERROR(__xludf.DUMMYFUNCTION("IMPORTRANGE(H19860,""IDENTITAS UNIT!D9"")"),"#N/A")</f>
        <v>#N/A</v>
      </c>
      <c r="H19860" s="4" t="str">
        <v/>
      </c>
      <c r="I19860" s="4" t="str">
        <v/>
      </c>
    </row>
    <row r="19861" spans="5:9" ht="16.5" hidden="1">
      <c r="E19861" s="4" t="str">
        <v/>
      </c>
      <c r="F19861" s="102" t="str">
        <f ca="1">IFERROR(__xludf.DUMMYFUNCTION("IMPORTRANGE(H19861,""IDENTITAS UNIT!D9"")"),"#N/A")</f>
        <v>#N/A</v>
      </c>
      <c r="H19861" s="4" t="str">
        <v/>
      </c>
      <c r="I19861" s="4" t="str">
        <v/>
      </c>
    </row>
    <row r="19862" spans="5:9" ht="16.5" hidden="1">
      <c r="E19862" s="4" t="str">
        <v/>
      </c>
      <c r="F19862" s="102" t="str">
        <f ca="1">IFERROR(__xludf.DUMMYFUNCTION("IMPORTRANGE(H19862,""IDENTITAS UNIT!D9"")"),"#N/A")</f>
        <v>#N/A</v>
      </c>
      <c r="H19862" s="4" t="str">
        <v/>
      </c>
      <c r="I19862" s="4" t="str">
        <v/>
      </c>
    </row>
    <row r="19863" spans="5:9" ht="16.5" hidden="1">
      <c r="E19863" s="4" t="str">
        <v/>
      </c>
      <c r="F19863" s="102" t="str">
        <f ca="1">IFERROR(__xludf.DUMMYFUNCTION("IMPORTRANGE(H19863,""IDENTITAS UNIT!D9"")"),"#N/A")</f>
        <v>#N/A</v>
      </c>
      <c r="H19863" s="4" t="str">
        <v/>
      </c>
      <c r="I19863" s="4" t="str">
        <v/>
      </c>
    </row>
    <row r="19864" spans="5:9" ht="16.5" hidden="1">
      <c r="E19864" s="4" t="str">
        <v/>
      </c>
      <c r="F19864" s="102" t="str">
        <f ca="1">IFERROR(__xludf.DUMMYFUNCTION("IMPORTRANGE(H19864,""IDENTITAS UNIT!D9"")"),"#N/A")</f>
        <v>#N/A</v>
      </c>
      <c r="H19864" s="4" t="str">
        <v/>
      </c>
      <c r="I19864" s="4" t="str">
        <v/>
      </c>
    </row>
    <row r="19865" spans="5:9" ht="16.5" hidden="1">
      <c r="E19865" s="4" t="str">
        <v/>
      </c>
      <c r="F19865" s="102" t="str">
        <f ca="1">IFERROR(__xludf.DUMMYFUNCTION("IMPORTRANGE(H19865,""IDENTITAS UNIT!D9"")"),"#N/A")</f>
        <v>#N/A</v>
      </c>
      <c r="H19865" s="4" t="str">
        <v/>
      </c>
      <c r="I19865" s="4" t="str">
        <v/>
      </c>
    </row>
    <row r="19866" spans="5:9" ht="16.5" hidden="1">
      <c r="E19866" s="4" t="str">
        <v/>
      </c>
      <c r="F19866" s="102" t="str">
        <f ca="1">IFERROR(__xludf.DUMMYFUNCTION("IMPORTRANGE(H19866,""IDENTITAS UNIT!D9"")"),"#N/A")</f>
        <v>#N/A</v>
      </c>
      <c r="H19866" s="4" t="str">
        <v/>
      </c>
      <c r="I19866" s="4" t="str">
        <v/>
      </c>
    </row>
    <row r="19867" spans="5:9" ht="16.5" hidden="1">
      <c r="E19867" s="4" t="str">
        <v/>
      </c>
      <c r="F19867" s="102" t="str">
        <f ca="1">IFERROR(__xludf.DUMMYFUNCTION("IMPORTRANGE(H19867,""IDENTITAS UNIT!D9"")"),"#N/A")</f>
        <v>#N/A</v>
      </c>
      <c r="H19867" s="4" t="str">
        <v/>
      </c>
      <c r="I19867" s="4" t="str">
        <v/>
      </c>
    </row>
    <row r="19868" spans="5:9" ht="16.5" hidden="1">
      <c r="E19868" s="4" t="str">
        <v/>
      </c>
      <c r="F19868" s="102" t="str">
        <f ca="1">IFERROR(__xludf.DUMMYFUNCTION("IMPORTRANGE(H19868,""IDENTITAS UNIT!D9"")"),"#N/A")</f>
        <v>#N/A</v>
      </c>
      <c r="H19868" s="4" t="str">
        <v/>
      </c>
      <c r="I19868" s="4" t="str">
        <v/>
      </c>
    </row>
    <row r="19869" spans="5:9" ht="16.5" hidden="1">
      <c r="E19869" s="4" t="str">
        <v/>
      </c>
      <c r="F19869" s="102" t="str">
        <f ca="1">IFERROR(__xludf.DUMMYFUNCTION("IMPORTRANGE(H19869,""IDENTITAS UNIT!D9"")"),"#N/A")</f>
        <v>#N/A</v>
      </c>
      <c r="H19869" s="4" t="str">
        <v/>
      </c>
      <c r="I19869" s="4" t="str">
        <v/>
      </c>
    </row>
    <row r="19870" spans="5:9" ht="16.5" hidden="1">
      <c r="E19870" s="4" t="str">
        <v/>
      </c>
      <c r="F19870" s="102" t="str">
        <f ca="1">IFERROR(__xludf.DUMMYFUNCTION("IMPORTRANGE(H19870,""IDENTITAS UNIT!D9"")"),"#N/A")</f>
        <v>#N/A</v>
      </c>
      <c r="H19870" s="4" t="str">
        <v/>
      </c>
      <c r="I19870" s="4" t="str">
        <v/>
      </c>
    </row>
    <row r="19871" spans="5:9" ht="16.5" hidden="1">
      <c r="E19871" s="4" t="str">
        <v/>
      </c>
      <c r="F19871" s="102" t="str">
        <f ca="1">IFERROR(__xludf.DUMMYFUNCTION("IMPORTRANGE(H19871,""IDENTITAS UNIT!D9"")"),"#N/A")</f>
        <v>#N/A</v>
      </c>
      <c r="H19871" s="4" t="str">
        <v/>
      </c>
      <c r="I19871" s="4" t="str">
        <v/>
      </c>
    </row>
    <row r="19872" spans="5:9" ht="16.5" hidden="1">
      <c r="E19872" s="4" t="str">
        <v/>
      </c>
      <c r="F19872" s="102" t="str">
        <f ca="1">IFERROR(__xludf.DUMMYFUNCTION("IMPORTRANGE(H19872,""IDENTITAS UNIT!D9"")"),"#N/A")</f>
        <v>#N/A</v>
      </c>
      <c r="H19872" s="4" t="str">
        <v/>
      </c>
      <c r="I19872" s="4" t="str">
        <v/>
      </c>
    </row>
    <row r="19873" spans="5:9" ht="16.5" hidden="1">
      <c r="E19873" s="4" t="str">
        <v/>
      </c>
      <c r="F19873" s="102" t="str">
        <f ca="1">IFERROR(__xludf.DUMMYFUNCTION("IMPORTRANGE(H19873,""IDENTITAS UNIT!D9"")"),"#N/A")</f>
        <v>#N/A</v>
      </c>
      <c r="H19873" s="4" t="str">
        <v/>
      </c>
      <c r="I19873" s="4" t="str">
        <v/>
      </c>
    </row>
    <row r="19874" spans="5:9" ht="16.5" hidden="1">
      <c r="E19874" s="4" t="str">
        <v/>
      </c>
      <c r="F19874" s="102" t="str">
        <f ca="1">IFERROR(__xludf.DUMMYFUNCTION("IMPORTRANGE(H19874,""IDENTITAS UNIT!D9"")"),"#N/A")</f>
        <v>#N/A</v>
      </c>
      <c r="H19874" s="4" t="str">
        <v/>
      </c>
      <c r="I19874" s="4" t="str">
        <v/>
      </c>
    </row>
    <row r="19875" spans="5:9" ht="16.5" hidden="1">
      <c r="E19875" s="4" t="str">
        <v/>
      </c>
      <c r="F19875" s="102" t="str">
        <f ca="1">IFERROR(__xludf.DUMMYFUNCTION("IMPORTRANGE(H19875,""IDENTITAS UNIT!D9"")"),"#N/A")</f>
        <v>#N/A</v>
      </c>
      <c r="H19875" s="4" t="str">
        <v/>
      </c>
      <c r="I19875" s="4" t="str">
        <v/>
      </c>
    </row>
    <row r="19876" spans="5:9" ht="16.5" hidden="1">
      <c r="E19876" s="4" t="str">
        <v/>
      </c>
      <c r="F19876" s="102" t="str">
        <f ca="1">IFERROR(__xludf.DUMMYFUNCTION("IMPORTRANGE(H19876,""IDENTITAS UNIT!D9"")"),"#N/A")</f>
        <v>#N/A</v>
      </c>
      <c r="H19876" s="4" t="str">
        <v/>
      </c>
      <c r="I19876" s="4" t="str">
        <v/>
      </c>
    </row>
    <row r="19877" spans="5:9" ht="16.5" hidden="1">
      <c r="E19877" s="4" t="str">
        <v/>
      </c>
      <c r="F19877" s="102" t="str">
        <f ca="1">IFERROR(__xludf.DUMMYFUNCTION("IMPORTRANGE(H19877,""IDENTITAS UNIT!D9"")"),"#N/A")</f>
        <v>#N/A</v>
      </c>
      <c r="H19877" s="4" t="str">
        <v/>
      </c>
      <c r="I19877" s="4" t="str">
        <v/>
      </c>
    </row>
    <row r="19878" spans="5:9" ht="16.5" hidden="1">
      <c r="E19878" s="4" t="str">
        <v/>
      </c>
      <c r="F19878" s="102" t="str">
        <f ca="1">IFERROR(__xludf.DUMMYFUNCTION("IMPORTRANGE(H19878,""IDENTITAS UNIT!D9"")"),"#N/A")</f>
        <v>#N/A</v>
      </c>
      <c r="H19878" s="4" t="str">
        <v/>
      </c>
      <c r="I19878" s="4" t="str">
        <v/>
      </c>
    </row>
    <row r="19879" spans="5:9" ht="16.5" hidden="1">
      <c r="E19879" s="4" t="str">
        <v/>
      </c>
      <c r="F19879" s="102" t="str">
        <f ca="1">IFERROR(__xludf.DUMMYFUNCTION("IMPORTRANGE(H19879,""IDENTITAS UNIT!D9"")"),"#N/A")</f>
        <v>#N/A</v>
      </c>
      <c r="H19879" s="4" t="str">
        <v/>
      </c>
      <c r="I19879" s="4" t="str">
        <v/>
      </c>
    </row>
    <row r="19880" spans="5:9" ht="16.5" hidden="1">
      <c r="E19880" s="4" t="str">
        <v/>
      </c>
      <c r="F19880" s="102" t="str">
        <f ca="1">IFERROR(__xludf.DUMMYFUNCTION("IMPORTRANGE(H19880,""IDENTITAS UNIT!D9"")"),"#N/A")</f>
        <v>#N/A</v>
      </c>
      <c r="H19880" s="4" t="str">
        <v/>
      </c>
      <c r="I19880" s="4" t="str">
        <v/>
      </c>
    </row>
    <row r="19881" spans="5:9" ht="16.5" hidden="1">
      <c r="E19881" s="4" t="str">
        <v/>
      </c>
      <c r="F19881" s="102" t="str">
        <f ca="1">IFERROR(__xludf.DUMMYFUNCTION("IMPORTRANGE(H19881,""IDENTITAS UNIT!D9"")"),"#N/A")</f>
        <v>#N/A</v>
      </c>
      <c r="H19881" s="4" t="str">
        <v/>
      </c>
      <c r="I19881" s="4" t="str">
        <v/>
      </c>
    </row>
    <row r="19882" spans="5:9" ht="16.5" hidden="1">
      <c r="E19882" s="4" t="str">
        <v/>
      </c>
      <c r="F19882" s="102" t="str">
        <f ca="1">IFERROR(__xludf.DUMMYFUNCTION("IMPORTRANGE(H19882,""IDENTITAS UNIT!D9"")"),"#N/A")</f>
        <v>#N/A</v>
      </c>
      <c r="H19882" s="4" t="str">
        <v/>
      </c>
      <c r="I19882" s="4" t="str">
        <v/>
      </c>
    </row>
    <row r="19883" spans="5:9" ht="16.5" hidden="1">
      <c r="E19883" s="4" t="str">
        <v/>
      </c>
      <c r="F19883" s="102" t="str">
        <f ca="1">IFERROR(__xludf.DUMMYFUNCTION("IMPORTRANGE(H19883,""IDENTITAS UNIT!D9"")"),"#N/A")</f>
        <v>#N/A</v>
      </c>
      <c r="H19883" s="4" t="str">
        <v/>
      </c>
      <c r="I19883" s="4" t="str">
        <v/>
      </c>
    </row>
    <row r="19884" spans="5:9" ht="16.5" hidden="1">
      <c r="E19884" s="4" t="str">
        <v/>
      </c>
      <c r="F19884" s="102" t="str">
        <f ca="1">IFERROR(__xludf.DUMMYFUNCTION("IMPORTRANGE(H19884,""IDENTITAS UNIT!D9"")"),"#N/A")</f>
        <v>#N/A</v>
      </c>
      <c r="H19884" s="4" t="str">
        <v/>
      </c>
      <c r="I19884" s="4" t="str">
        <v/>
      </c>
    </row>
    <row r="19885" spans="5:9" ht="16.5" hidden="1">
      <c r="E19885" s="4" t="str">
        <v/>
      </c>
      <c r="F19885" s="102" t="str">
        <f ca="1">IFERROR(__xludf.DUMMYFUNCTION("IMPORTRANGE(H19885,""IDENTITAS UNIT!D9"")"),"#N/A")</f>
        <v>#N/A</v>
      </c>
      <c r="H19885" s="4" t="str">
        <v/>
      </c>
      <c r="I19885" s="4" t="str">
        <v/>
      </c>
    </row>
    <row r="19886" spans="5:9" ht="16.5" hidden="1">
      <c r="E19886" s="4" t="str">
        <v/>
      </c>
      <c r="F19886" s="102" t="str">
        <f ca="1">IFERROR(__xludf.DUMMYFUNCTION("IMPORTRANGE(H19886,""IDENTITAS UNIT!D9"")"),"#N/A")</f>
        <v>#N/A</v>
      </c>
      <c r="H19886" s="4" t="str">
        <v/>
      </c>
      <c r="I19886" s="4" t="str">
        <v/>
      </c>
    </row>
    <row r="19887" spans="5:9" ht="16.5" hidden="1">
      <c r="E19887" s="4" t="str">
        <v/>
      </c>
      <c r="F19887" s="102" t="str">
        <f ca="1">IFERROR(__xludf.DUMMYFUNCTION("IMPORTRANGE(H19887,""IDENTITAS UNIT!D9"")"),"#N/A")</f>
        <v>#N/A</v>
      </c>
      <c r="H19887" s="4" t="str">
        <v/>
      </c>
      <c r="I19887" s="4" t="str">
        <v/>
      </c>
    </row>
    <row r="19888" spans="5:9" ht="16.5" hidden="1">
      <c r="E19888" s="4" t="str">
        <v/>
      </c>
      <c r="F19888" s="102" t="str">
        <f ca="1">IFERROR(__xludf.DUMMYFUNCTION("IMPORTRANGE(H19888,""IDENTITAS UNIT!D9"")"),"#N/A")</f>
        <v>#N/A</v>
      </c>
      <c r="H19888" s="4" t="str">
        <v/>
      </c>
      <c r="I19888" s="4" t="str">
        <v/>
      </c>
    </row>
    <row r="19889" spans="5:9" ht="16.5" hidden="1">
      <c r="E19889" s="4" t="str">
        <v/>
      </c>
      <c r="F19889" s="102" t="str">
        <f ca="1">IFERROR(__xludf.DUMMYFUNCTION("IMPORTRANGE(H19889,""IDENTITAS UNIT!D9"")"),"#N/A")</f>
        <v>#N/A</v>
      </c>
      <c r="H19889" s="4" t="str">
        <v/>
      </c>
      <c r="I19889" s="4" t="str">
        <v/>
      </c>
    </row>
    <row r="19890" spans="5:9" ht="16.5" hidden="1">
      <c r="E19890" s="4" t="str">
        <v/>
      </c>
      <c r="F19890" s="102" t="str">
        <f ca="1">IFERROR(__xludf.DUMMYFUNCTION("IMPORTRANGE(H19890,""IDENTITAS UNIT!D9"")"),"#N/A")</f>
        <v>#N/A</v>
      </c>
      <c r="H19890" s="4" t="str">
        <v/>
      </c>
      <c r="I19890" s="4" t="str">
        <v/>
      </c>
    </row>
    <row r="19891" spans="5:9" ht="16.5" hidden="1">
      <c r="E19891" s="4" t="str">
        <v/>
      </c>
      <c r="F19891" s="102" t="str">
        <f ca="1">IFERROR(__xludf.DUMMYFUNCTION("IMPORTRANGE(H19891,""IDENTITAS UNIT!D9"")"),"#N/A")</f>
        <v>#N/A</v>
      </c>
      <c r="H19891" s="4" t="str">
        <v/>
      </c>
      <c r="I19891" s="4" t="str">
        <v/>
      </c>
    </row>
    <row r="19892" spans="5:9" ht="16.5" hidden="1">
      <c r="E19892" s="4" t="str">
        <v/>
      </c>
      <c r="F19892" s="102" t="str">
        <f ca="1">IFERROR(__xludf.DUMMYFUNCTION("IMPORTRANGE(H19892,""IDENTITAS UNIT!D9"")"),"#N/A")</f>
        <v>#N/A</v>
      </c>
      <c r="H19892" s="4" t="str">
        <v/>
      </c>
      <c r="I19892" s="4" t="str">
        <v/>
      </c>
    </row>
    <row r="19893" spans="5:9" ht="16.5" hidden="1">
      <c r="E19893" s="4" t="str">
        <v/>
      </c>
      <c r="F19893" s="102" t="str">
        <f ca="1">IFERROR(__xludf.DUMMYFUNCTION("IMPORTRANGE(H19893,""IDENTITAS UNIT!D9"")"),"#N/A")</f>
        <v>#N/A</v>
      </c>
      <c r="H19893" s="4" t="str">
        <v/>
      </c>
      <c r="I19893" s="4" t="str">
        <v/>
      </c>
    </row>
    <row r="19894" spans="5:9" ht="16.5" hidden="1">
      <c r="E19894" s="4" t="str">
        <v/>
      </c>
      <c r="F19894" s="102" t="str">
        <f ca="1">IFERROR(__xludf.DUMMYFUNCTION("IMPORTRANGE(H19894,""IDENTITAS UNIT!D9"")"),"#N/A")</f>
        <v>#N/A</v>
      </c>
      <c r="H19894" s="4" t="str">
        <v/>
      </c>
      <c r="I19894" s="4" t="str">
        <v/>
      </c>
    </row>
    <row r="19895" spans="5:9" ht="16.5" hidden="1">
      <c r="E19895" s="4" t="str">
        <v/>
      </c>
      <c r="F19895" s="102" t="str">
        <f ca="1">IFERROR(__xludf.DUMMYFUNCTION("IMPORTRANGE(H19895,""IDENTITAS UNIT!D9"")"),"#N/A")</f>
        <v>#N/A</v>
      </c>
      <c r="H19895" s="4" t="str">
        <v/>
      </c>
      <c r="I19895" s="4" t="str">
        <v/>
      </c>
    </row>
    <row r="19896" spans="5:9" ht="16.5" hidden="1">
      <c r="E19896" s="4" t="str">
        <v/>
      </c>
      <c r="F19896" s="102" t="str">
        <f ca="1">IFERROR(__xludf.DUMMYFUNCTION("IMPORTRANGE(H19896,""IDENTITAS UNIT!D9"")"),"#N/A")</f>
        <v>#N/A</v>
      </c>
      <c r="H19896" s="4" t="str">
        <v/>
      </c>
      <c r="I19896" s="4" t="str">
        <v/>
      </c>
    </row>
    <row r="19897" spans="5:9" ht="16.5" hidden="1">
      <c r="E19897" s="4" t="str">
        <v/>
      </c>
      <c r="F19897" s="102" t="str">
        <f ca="1">IFERROR(__xludf.DUMMYFUNCTION("IMPORTRANGE(H19897,""IDENTITAS UNIT!D9"")"),"#N/A")</f>
        <v>#N/A</v>
      </c>
      <c r="H19897" s="4" t="str">
        <v/>
      </c>
      <c r="I19897" s="4" t="str">
        <v/>
      </c>
    </row>
    <row r="19898" spans="5:9" ht="16.5" hidden="1">
      <c r="E19898" s="4" t="str">
        <v/>
      </c>
      <c r="F19898" s="102" t="str">
        <f ca="1">IFERROR(__xludf.DUMMYFUNCTION("IMPORTRANGE(H19898,""IDENTITAS UNIT!D9"")"),"#N/A")</f>
        <v>#N/A</v>
      </c>
      <c r="H19898" s="4" t="str">
        <v/>
      </c>
      <c r="I19898" s="4" t="str">
        <v/>
      </c>
    </row>
    <row r="19899" spans="5:9" ht="16.5" hidden="1">
      <c r="E19899" s="4" t="str">
        <v/>
      </c>
      <c r="F19899" s="102" t="str">
        <f ca="1">IFERROR(__xludf.DUMMYFUNCTION("IMPORTRANGE(H19899,""IDENTITAS UNIT!D9"")"),"#N/A")</f>
        <v>#N/A</v>
      </c>
      <c r="H19899" s="4" t="str">
        <v/>
      </c>
      <c r="I19899" s="4" t="str">
        <v/>
      </c>
    </row>
    <row r="19900" spans="5:9" ht="16.5" hidden="1">
      <c r="E19900" s="4" t="str">
        <v/>
      </c>
      <c r="F19900" s="102" t="str">
        <f ca="1">IFERROR(__xludf.DUMMYFUNCTION("IMPORTRANGE(H19900,""IDENTITAS UNIT!D9"")"),"#N/A")</f>
        <v>#N/A</v>
      </c>
      <c r="H19900" s="4" t="str">
        <v/>
      </c>
      <c r="I19900" s="4" t="str">
        <v/>
      </c>
    </row>
    <row r="19901" spans="5:9" ht="16.5" hidden="1">
      <c r="E19901" s="4" t="str">
        <v/>
      </c>
      <c r="F19901" s="102" t="str">
        <f ca="1">IFERROR(__xludf.DUMMYFUNCTION("IMPORTRANGE(H19901,""IDENTITAS UNIT!D9"")"),"#N/A")</f>
        <v>#N/A</v>
      </c>
      <c r="H19901" s="4" t="str">
        <v/>
      </c>
      <c r="I19901" s="4" t="str">
        <v/>
      </c>
    </row>
    <row r="19902" spans="5:9" ht="16.5" hidden="1">
      <c r="E19902" s="4" t="str">
        <v/>
      </c>
      <c r="F19902" s="102" t="str">
        <f ca="1">IFERROR(__xludf.DUMMYFUNCTION("IMPORTRANGE(H19902,""IDENTITAS UNIT!D9"")"),"#N/A")</f>
        <v>#N/A</v>
      </c>
      <c r="H19902" s="4" t="str">
        <v/>
      </c>
      <c r="I19902" s="4" t="str">
        <v/>
      </c>
    </row>
    <row r="19903" spans="5:9" ht="16.5" hidden="1">
      <c r="E19903" s="4" t="str">
        <v/>
      </c>
      <c r="F19903" s="102" t="str">
        <f ca="1">IFERROR(__xludf.DUMMYFUNCTION("IMPORTRANGE(H19903,""IDENTITAS UNIT!D9"")"),"#N/A")</f>
        <v>#N/A</v>
      </c>
      <c r="H19903" s="4" t="str">
        <v/>
      </c>
      <c r="I19903" s="4" t="str">
        <v/>
      </c>
    </row>
    <row r="19904" spans="5:9" ht="16.5" hidden="1">
      <c r="E19904" s="4" t="str">
        <v/>
      </c>
      <c r="F19904" s="102" t="str">
        <f ca="1">IFERROR(__xludf.DUMMYFUNCTION("IMPORTRANGE(H19904,""IDENTITAS UNIT!D9"")"),"#N/A")</f>
        <v>#N/A</v>
      </c>
      <c r="H19904" s="4" t="str">
        <v/>
      </c>
      <c r="I19904" s="4" t="str">
        <v/>
      </c>
    </row>
    <row r="19905" spans="5:9" ht="16.5" hidden="1">
      <c r="E19905" s="4" t="str">
        <v/>
      </c>
      <c r="F19905" s="102" t="str">
        <f ca="1">IFERROR(__xludf.DUMMYFUNCTION("IMPORTRANGE(H19905,""IDENTITAS UNIT!D9"")"),"#N/A")</f>
        <v>#N/A</v>
      </c>
      <c r="H19905" s="4" t="str">
        <v/>
      </c>
      <c r="I19905" s="4" t="str">
        <v/>
      </c>
    </row>
    <row r="19906" spans="5:9" ht="16.5" hidden="1">
      <c r="E19906" s="4" t="str">
        <v/>
      </c>
      <c r="F19906" s="102" t="str">
        <f ca="1">IFERROR(__xludf.DUMMYFUNCTION("IMPORTRANGE(H19906,""IDENTITAS UNIT!D9"")"),"#N/A")</f>
        <v>#N/A</v>
      </c>
      <c r="H19906" s="4" t="str">
        <v/>
      </c>
      <c r="I19906" s="4" t="str">
        <v/>
      </c>
    </row>
    <row r="19907" spans="5:9" ht="16.5" hidden="1">
      <c r="E19907" s="4" t="str">
        <v/>
      </c>
      <c r="F19907" s="102" t="str">
        <f ca="1">IFERROR(__xludf.DUMMYFUNCTION("IMPORTRANGE(H19907,""IDENTITAS UNIT!D9"")"),"#N/A")</f>
        <v>#N/A</v>
      </c>
      <c r="H19907" s="4" t="str">
        <v/>
      </c>
      <c r="I19907" s="4" t="str">
        <v/>
      </c>
    </row>
    <row r="19908" spans="5:9" ht="16.5" hidden="1">
      <c r="E19908" s="4" t="str">
        <v/>
      </c>
      <c r="F19908" s="102" t="str">
        <f ca="1">IFERROR(__xludf.DUMMYFUNCTION("IMPORTRANGE(H19908,""IDENTITAS UNIT!D9"")"),"#N/A")</f>
        <v>#N/A</v>
      </c>
      <c r="H19908" s="4" t="str">
        <v/>
      </c>
      <c r="I19908" s="4" t="str">
        <v/>
      </c>
    </row>
    <row r="19909" spans="5:9" ht="16.5" hidden="1">
      <c r="E19909" s="4" t="str">
        <v/>
      </c>
      <c r="F19909" s="102" t="str">
        <f ca="1">IFERROR(__xludf.DUMMYFUNCTION("IMPORTRANGE(H19909,""IDENTITAS UNIT!D9"")"),"#N/A")</f>
        <v>#N/A</v>
      </c>
      <c r="H19909" s="4" t="str">
        <v/>
      </c>
      <c r="I19909" s="4" t="str">
        <v/>
      </c>
    </row>
    <row r="19910" spans="5:9" ht="16.5" hidden="1">
      <c r="E19910" s="4" t="str">
        <v/>
      </c>
      <c r="F19910" s="102" t="str">
        <f ca="1">IFERROR(__xludf.DUMMYFUNCTION("IMPORTRANGE(H19910,""IDENTITAS UNIT!D9"")"),"#N/A")</f>
        <v>#N/A</v>
      </c>
      <c r="H19910" s="4" t="str">
        <v/>
      </c>
      <c r="I19910" s="4" t="str">
        <v/>
      </c>
    </row>
    <row r="19911" spans="5:9" ht="16.5" hidden="1">
      <c r="E19911" s="4" t="str">
        <v/>
      </c>
      <c r="F19911" s="102" t="str">
        <f ca="1">IFERROR(__xludf.DUMMYFUNCTION("IMPORTRANGE(H19911,""IDENTITAS UNIT!D9"")"),"#N/A")</f>
        <v>#N/A</v>
      </c>
      <c r="H19911" s="4" t="str">
        <v/>
      </c>
      <c r="I19911" s="4" t="str">
        <v/>
      </c>
    </row>
    <row r="19912" spans="5:9" ht="16.5" hidden="1">
      <c r="E19912" s="4" t="str">
        <v/>
      </c>
      <c r="F19912" s="102" t="str">
        <f ca="1">IFERROR(__xludf.DUMMYFUNCTION("IMPORTRANGE(H19912,""IDENTITAS UNIT!D9"")"),"#N/A")</f>
        <v>#N/A</v>
      </c>
      <c r="H19912" s="4" t="str">
        <v/>
      </c>
      <c r="I19912" s="4" t="str">
        <v/>
      </c>
    </row>
    <row r="19913" spans="5:9" ht="16.5" hidden="1">
      <c r="E19913" s="4" t="str">
        <v/>
      </c>
      <c r="F19913" s="102" t="str">
        <f ca="1">IFERROR(__xludf.DUMMYFUNCTION("IMPORTRANGE(H19913,""IDENTITAS UNIT!D9"")"),"#N/A")</f>
        <v>#N/A</v>
      </c>
      <c r="H19913" s="4" t="str">
        <v/>
      </c>
      <c r="I19913" s="4" t="str">
        <v/>
      </c>
    </row>
    <row r="19914" spans="5:9" ht="16.5" hidden="1">
      <c r="E19914" s="4" t="str">
        <v/>
      </c>
      <c r="F19914" s="102" t="str">
        <f ca="1">IFERROR(__xludf.DUMMYFUNCTION("IMPORTRANGE(H19914,""IDENTITAS UNIT!D9"")"),"#N/A")</f>
        <v>#N/A</v>
      </c>
      <c r="H19914" s="4" t="str">
        <v/>
      </c>
      <c r="I19914" s="4" t="str">
        <v/>
      </c>
    </row>
    <row r="19915" spans="5:9" ht="16.5" hidden="1">
      <c r="E19915" s="4" t="str">
        <v/>
      </c>
      <c r="F19915" s="102" t="str">
        <f ca="1">IFERROR(__xludf.DUMMYFUNCTION("IMPORTRANGE(H19915,""IDENTITAS UNIT!D9"")"),"#N/A")</f>
        <v>#N/A</v>
      </c>
      <c r="H19915" s="4" t="str">
        <v/>
      </c>
      <c r="I19915" s="4" t="str">
        <v/>
      </c>
    </row>
    <row r="19916" spans="5:9" ht="16.5" hidden="1">
      <c r="E19916" s="4" t="str">
        <v/>
      </c>
      <c r="F19916" s="102" t="str">
        <f ca="1">IFERROR(__xludf.DUMMYFUNCTION("IMPORTRANGE(H19916,""IDENTITAS UNIT!D9"")"),"#N/A")</f>
        <v>#N/A</v>
      </c>
      <c r="H19916" s="4" t="str">
        <v/>
      </c>
      <c r="I19916" s="4" t="str">
        <v/>
      </c>
    </row>
    <row r="19917" spans="5:9" ht="16.5" hidden="1">
      <c r="E19917" s="4" t="str">
        <v/>
      </c>
      <c r="F19917" s="102" t="str">
        <f ca="1">IFERROR(__xludf.DUMMYFUNCTION("IMPORTRANGE(H19917,""IDENTITAS UNIT!D9"")"),"#N/A")</f>
        <v>#N/A</v>
      </c>
      <c r="H19917" s="4" t="str">
        <v/>
      </c>
      <c r="I19917" s="4" t="str">
        <v/>
      </c>
    </row>
    <row r="19918" spans="5:9" ht="16.5" hidden="1">
      <c r="E19918" s="4" t="str">
        <v/>
      </c>
      <c r="F19918" s="102" t="str">
        <f ca="1">IFERROR(__xludf.DUMMYFUNCTION("IMPORTRANGE(H19918,""IDENTITAS UNIT!D9"")"),"#N/A")</f>
        <v>#N/A</v>
      </c>
      <c r="H19918" s="4" t="str">
        <v/>
      </c>
      <c r="I19918" s="4" t="str">
        <v/>
      </c>
    </row>
    <row r="19919" spans="5:9" ht="16.5" hidden="1">
      <c r="E19919" s="4" t="str">
        <v/>
      </c>
      <c r="F19919" s="102" t="str">
        <f ca="1">IFERROR(__xludf.DUMMYFUNCTION("IMPORTRANGE(H19919,""IDENTITAS UNIT!D9"")"),"#N/A")</f>
        <v>#N/A</v>
      </c>
      <c r="H19919" s="4" t="str">
        <v/>
      </c>
      <c r="I19919" s="4" t="str">
        <v/>
      </c>
    </row>
    <row r="19920" spans="5:9" ht="16.5" hidden="1">
      <c r="E19920" s="4" t="str">
        <v/>
      </c>
      <c r="F19920" s="102" t="str">
        <f ca="1">IFERROR(__xludf.DUMMYFUNCTION("IMPORTRANGE(H19920,""IDENTITAS UNIT!D9"")"),"#N/A")</f>
        <v>#N/A</v>
      </c>
      <c r="H19920" s="4" t="str">
        <v/>
      </c>
      <c r="I19920" s="4" t="str">
        <v/>
      </c>
    </row>
    <row r="19921" spans="5:9" ht="16.5" hidden="1">
      <c r="E19921" s="4" t="str">
        <v/>
      </c>
      <c r="F19921" s="102" t="str">
        <f ca="1">IFERROR(__xludf.DUMMYFUNCTION("IMPORTRANGE(H19921,""IDENTITAS UNIT!D9"")"),"#N/A")</f>
        <v>#N/A</v>
      </c>
      <c r="H19921" s="4" t="str">
        <v/>
      </c>
      <c r="I19921" s="4" t="str">
        <v/>
      </c>
    </row>
    <row r="19922" spans="5:9" ht="16.5" hidden="1">
      <c r="E19922" s="4" t="str">
        <v/>
      </c>
      <c r="F19922" s="102" t="str">
        <f ca="1">IFERROR(__xludf.DUMMYFUNCTION("IMPORTRANGE(H19922,""IDENTITAS UNIT!D9"")"),"#N/A")</f>
        <v>#N/A</v>
      </c>
      <c r="H19922" s="4" t="str">
        <v/>
      </c>
      <c r="I19922" s="4" t="str">
        <v/>
      </c>
    </row>
    <row r="19923" spans="5:9" ht="16.5" hidden="1">
      <c r="E19923" s="4" t="str">
        <v/>
      </c>
      <c r="F19923" s="102" t="str">
        <f ca="1">IFERROR(__xludf.DUMMYFUNCTION("IMPORTRANGE(H19923,""IDENTITAS UNIT!D9"")"),"#N/A")</f>
        <v>#N/A</v>
      </c>
      <c r="H19923" s="4" t="str">
        <v/>
      </c>
      <c r="I19923" s="4" t="str">
        <v/>
      </c>
    </row>
    <row r="19924" spans="5:9" ht="16.5" hidden="1">
      <c r="E19924" s="4" t="str">
        <v/>
      </c>
      <c r="F19924" s="102" t="str">
        <f ca="1">IFERROR(__xludf.DUMMYFUNCTION("IMPORTRANGE(H19924,""IDENTITAS UNIT!D9"")"),"#N/A")</f>
        <v>#N/A</v>
      </c>
      <c r="H19924" s="4" t="str">
        <v/>
      </c>
      <c r="I19924" s="4" t="str">
        <v/>
      </c>
    </row>
    <row r="19925" spans="5:9" ht="16.5" hidden="1">
      <c r="E19925" s="4" t="str">
        <v/>
      </c>
      <c r="F19925" s="102" t="str">
        <f ca="1">IFERROR(__xludf.DUMMYFUNCTION("IMPORTRANGE(H19925,""IDENTITAS UNIT!D9"")"),"#N/A")</f>
        <v>#N/A</v>
      </c>
      <c r="H19925" s="4" t="str">
        <v/>
      </c>
      <c r="I19925" s="4" t="str">
        <v/>
      </c>
    </row>
    <row r="19926" spans="5:9" ht="16.5" hidden="1">
      <c r="E19926" s="4" t="str">
        <v/>
      </c>
      <c r="F19926" s="102" t="str">
        <f ca="1">IFERROR(__xludf.DUMMYFUNCTION("IMPORTRANGE(H19926,""IDENTITAS UNIT!D9"")"),"#N/A")</f>
        <v>#N/A</v>
      </c>
      <c r="H19926" s="4" t="str">
        <v/>
      </c>
      <c r="I19926" s="4" t="str">
        <v/>
      </c>
    </row>
    <row r="19927" spans="5:9" ht="16.5" hidden="1">
      <c r="E19927" s="4" t="str">
        <v/>
      </c>
      <c r="F19927" s="102" t="str">
        <f ca="1">IFERROR(__xludf.DUMMYFUNCTION("IMPORTRANGE(H19927,""IDENTITAS UNIT!D9"")"),"#N/A")</f>
        <v>#N/A</v>
      </c>
      <c r="H19927" s="4" t="str">
        <v/>
      </c>
      <c r="I19927" s="4" t="str">
        <v/>
      </c>
    </row>
    <row r="19928" spans="5:9" ht="16.5" hidden="1">
      <c r="E19928" s="4" t="str">
        <v/>
      </c>
      <c r="F19928" s="102" t="str">
        <f ca="1">IFERROR(__xludf.DUMMYFUNCTION("IMPORTRANGE(H19928,""IDENTITAS UNIT!D9"")"),"#N/A")</f>
        <v>#N/A</v>
      </c>
      <c r="H19928" s="4" t="str">
        <v/>
      </c>
      <c r="I19928" s="4" t="str">
        <v/>
      </c>
    </row>
    <row r="19929" spans="5:9" ht="16.5" hidden="1">
      <c r="E19929" s="4" t="str">
        <v/>
      </c>
      <c r="F19929" s="102" t="str">
        <f ca="1">IFERROR(__xludf.DUMMYFUNCTION("IMPORTRANGE(H19929,""IDENTITAS UNIT!D9"")"),"#N/A")</f>
        <v>#N/A</v>
      </c>
      <c r="H19929" s="4" t="str">
        <v/>
      </c>
      <c r="I19929" s="4" t="str">
        <v/>
      </c>
    </row>
    <row r="19930" spans="5:9" ht="16.5" hidden="1">
      <c r="E19930" s="4" t="str">
        <v/>
      </c>
      <c r="F19930" s="102" t="str">
        <f ca="1">IFERROR(__xludf.DUMMYFUNCTION("IMPORTRANGE(H19930,""IDENTITAS UNIT!D9"")"),"#N/A")</f>
        <v>#N/A</v>
      </c>
      <c r="H19930" s="4" t="str">
        <v/>
      </c>
      <c r="I19930" s="4" t="str">
        <v/>
      </c>
    </row>
    <row r="19931" spans="5:9" ht="16.5" hidden="1">
      <c r="E19931" s="4" t="str">
        <v/>
      </c>
      <c r="F19931" s="102" t="str">
        <f ca="1">IFERROR(__xludf.DUMMYFUNCTION("IMPORTRANGE(H19931,""IDENTITAS UNIT!D9"")"),"#N/A")</f>
        <v>#N/A</v>
      </c>
      <c r="H19931" s="4" t="str">
        <v/>
      </c>
      <c r="I19931" s="4" t="str">
        <v/>
      </c>
    </row>
    <row r="19932" spans="5:9" ht="16.5" hidden="1">
      <c r="E19932" s="4" t="str">
        <v/>
      </c>
      <c r="F19932" s="102" t="str">
        <f ca="1">IFERROR(__xludf.DUMMYFUNCTION("IMPORTRANGE(H19932,""IDENTITAS UNIT!D9"")"),"#N/A")</f>
        <v>#N/A</v>
      </c>
      <c r="H19932" s="4" t="str">
        <v/>
      </c>
      <c r="I19932" s="4" t="str">
        <v/>
      </c>
    </row>
    <row r="19933" spans="5:9" ht="16.5" hidden="1">
      <c r="E19933" s="4" t="str">
        <v/>
      </c>
      <c r="F19933" s="102" t="str">
        <f ca="1">IFERROR(__xludf.DUMMYFUNCTION("IMPORTRANGE(H19933,""IDENTITAS UNIT!D9"")"),"#N/A")</f>
        <v>#N/A</v>
      </c>
      <c r="H19933" s="4" t="str">
        <v/>
      </c>
      <c r="I19933" s="4" t="str">
        <v/>
      </c>
    </row>
    <row r="19934" spans="5:9" ht="16.5" hidden="1">
      <c r="E19934" s="4" t="str">
        <v/>
      </c>
      <c r="F19934" s="102" t="str">
        <f ca="1">IFERROR(__xludf.DUMMYFUNCTION("IMPORTRANGE(H19934,""IDENTITAS UNIT!D9"")"),"#N/A")</f>
        <v>#N/A</v>
      </c>
      <c r="H19934" s="4" t="str">
        <v/>
      </c>
      <c r="I19934" s="4" t="str">
        <v/>
      </c>
    </row>
    <row r="19935" spans="5:9" ht="16.5" hidden="1">
      <c r="E19935" s="4" t="str">
        <v/>
      </c>
      <c r="F19935" s="102" t="str">
        <f ca="1">IFERROR(__xludf.DUMMYFUNCTION("IMPORTRANGE(H19935,""IDENTITAS UNIT!D9"")"),"#N/A")</f>
        <v>#N/A</v>
      </c>
      <c r="H19935" s="4" t="str">
        <v/>
      </c>
      <c r="I19935" s="4" t="str">
        <v/>
      </c>
    </row>
    <row r="19936" spans="5:9" ht="16.5" hidden="1">
      <c r="E19936" s="4" t="str">
        <v/>
      </c>
      <c r="F19936" s="102" t="str">
        <f ca="1">IFERROR(__xludf.DUMMYFUNCTION("IMPORTRANGE(H19936,""IDENTITAS UNIT!D9"")"),"#N/A")</f>
        <v>#N/A</v>
      </c>
      <c r="H19936" s="4" t="str">
        <v/>
      </c>
      <c r="I19936" s="4" t="str">
        <v/>
      </c>
    </row>
    <row r="19937" spans="5:9" ht="16.5" hidden="1">
      <c r="E19937" s="4" t="str">
        <v/>
      </c>
      <c r="F19937" s="102" t="str">
        <f ca="1">IFERROR(__xludf.DUMMYFUNCTION("IMPORTRANGE(H19937,""IDENTITAS UNIT!D9"")"),"#N/A")</f>
        <v>#N/A</v>
      </c>
      <c r="H19937" s="4" t="str">
        <v/>
      </c>
      <c r="I19937" s="4" t="str">
        <v/>
      </c>
    </row>
    <row r="19938" spans="5:9" ht="16.5" hidden="1">
      <c r="E19938" s="4" t="str">
        <v/>
      </c>
      <c r="F19938" s="102" t="str">
        <f ca="1">IFERROR(__xludf.DUMMYFUNCTION("IMPORTRANGE(H19938,""IDENTITAS UNIT!D9"")"),"#N/A")</f>
        <v>#N/A</v>
      </c>
      <c r="H19938" s="4" t="str">
        <v/>
      </c>
      <c r="I19938" s="4" t="str">
        <v/>
      </c>
    </row>
    <row r="19939" spans="5:9" ht="16.5" hidden="1">
      <c r="E19939" s="4" t="str">
        <v/>
      </c>
      <c r="F19939" s="102" t="str">
        <f ca="1">IFERROR(__xludf.DUMMYFUNCTION("IMPORTRANGE(H19939,""IDENTITAS UNIT!D9"")"),"#N/A")</f>
        <v>#N/A</v>
      </c>
      <c r="H19939" s="4" t="str">
        <v/>
      </c>
      <c r="I19939" s="4" t="str">
        <v/>
      </c>
    </row>
    <row r="19940" spans="5:9" ht="16.5" hidden="1">
      <c r="E19940" s="4" t="str">
        <v/>
      </c>
      <c r="F19940" s="102" t="str">
        <f ca="1">IFERROR(__xludf.DUMMYFUNCTION("IMPORTRANGE(H19940,""IDENTITAS UNIT!D9"")"),"#N/A")</f>
        <v>#N/A</v>
      </c>
      <c r="H19940" s="4" t="str">
        <v/>
      </c>
      <c r="I19940" s="4" t="str">
        <v/>
      </c>
    </row>
    <row r="19941" spans="5:9" ht="16.5" hidden="1">
      <c r="E19941" s="4" t="str">
        <v/>
      </c>
      <c r="F19941" s="102" t="str">
        <f ca="1">IFERROR(__xludf.DUMMYFUNCTION("IMPORTRANGE(H19941,""IDENTITAS UNIT!D9"")"),"#N/A")</f>
        <v>#N/A</v>
      </c>
      <c r="H19941" s="4" t="str">
        <v/>
      </c>
      <c r="I19941" s="4" t="str">
        <v/>
      </c>
    </row>
    <row r="19942" spans="5:9" ht="16.5" hidden="1">
      <c r="E19942" s="4" t="str">
        <v/>
      </c>
      <c r="F19942" s="102" t="str">
        <f ca="1">IFERROR(__xludf.DUMMYFUNCTION("IMPORTRANGE(H19942,""IDENTITAS UNIT!D9"")"),"#N/A")</f>
        <v>#N/A</v>
      </c>
      <c r="H19942" s="4" t="str">
        <v/>
      </c>
      <c r="I19942" s="4" t="str">
        <v/>
      </c>
    </row>
    <row r="19943" spans="5:9" ht="16.5" hidden="1">
      <c r="E19943" s="4" t="str">
        <v/>
      </c>
      <c r="F19943" s="102" t="str">
        <f ca="1">IFERROR(__xludf.DUMMYFUNCTION("IMPORTRANGE(H19943,""IDENTITAS UNIT!D9"")"),"#N/A")</f>
        <v>#N/A</v>
      </c>
      <c r="H19943" s="4" t="str">
        <v/>
      </c>
      <c r="I19943" s="4" t="str">
        <v/>
      </c>
    </row>
    <row r="19944" spans="5:9" ht="16.5" hidden="1">
      <c r="E19944" s="4" t="str">
        <v/>
      </c>
      <c r="F19944" s="102" t="str">
        <f ca="1">IFERROR(__xludf.DUMMYFUNCTION("IMPORTRANGE(H19944,""IDENTITAS UNIT!D9"")"),"#N/A")</f>
        <v>#N/A</v>
      </c>
      <c r="H19944" s="4" t="str">
        <v/>
      </c>
      <c r="I19944" s="4" t="str">
        <v/>
      </c>
    </row>
    <row r="19945" spans="5:9" ht="16.5" hidden="1">
      <c r="E19945" s="4" t="str">
        <v/>
      </c>
      <c r="F19945" s="102" t="str">
        <f ca="1">IFERROR(__xludf.DUMMYFUNCTION("IMPORTRANGE(H19945,""IDENTITAS UNIT!D9"")"),"#N/A")</f>
        <v>#N/A</v>
      </c>
      <c r="H19945" s="4" t="str">
        <v/>
      </c>
      <c r="I19945" s="4" t="str">
        <v/>
      </c>
    </row>
    <row r="19946" spans="5:9" ht="16.5" hidden="1">
      <c r="E19946" s="4" t="str">
        <v/>
      </c>
      <c r="F19946" s="102" t="str">
        <f ca="1">IFERROR(__xludf.DUMMYFUNCTION("IMPORTRANGE(H19946,""IDENTITAS UNIT!D9"")"),"#N/A")</f>
        <v>#N/A</v>
      </c>
      <c r="H19946" s="4" t="str">
        <v/>
      </c>
      <c r="I19946" s="4" t="str">
        <v/>
      </c>
    </row>
    <row r="19947" spans="5:9" ht="16.5" hidden="1">
      <c r="E19947" s="4" t="str">
        <v/>
      </c>
      <c r="F19947" s="102" t="str">
        <f ca="1">IFERROR(__xludf.DUMMYFUNCTION("IMPORTRANGE(H19947,""IDENTITAS UNIT!D9"")"),"#N/A")</f>
        <v>#N/A</v>
      </c>
      <c r="H19947" s="4" t="str">
        <v/>
      </c>
      <c r="I19947" s="4" t="str">
        <v/>
      </c>
    </row>
    <row r="19948" spans="5:9" ht="16.5" hidden="1">
      <c r="E19948" s="4" t="str">
        <v/>
      </c>
      <c r="F19948" s="102" t="str">
        <f ca="1">IFERROR(__xludf.DUMMYFUNCTION("IMPORTRANGE(H19948,""IDENTITAS UNIT!D9"")"),"#N/A")</f>
        <v>#N/A</v>
      </c>
      <c r="H19948" s="4" t="str">
        <v/>
      </c>
      <c r="I19948" s="4" t="str">
        <v/>
      </c>
    </row>
    <row r="19949" spans="5:9" ht="16.5" hidden="1">
      <c r="E19949" s="4" t="str">
        <v/>
      </c>
      <c r="F19949" s="102" t="str">
        <f ca="1">IFERROR(__xludf.DUMMYFUNCTION("IMPORTRANGE(H19949,""IDENTITAS UNIT!D9"")"),"#N/A")</f>
        <v>#N/A</v>
      </c>
      <c r="H19949" s="4" t="str">
        <v/>
      </c>
      <c r="I19949" s="4" t="str">
        <v/>
      </c>
    </row>
    <row r="19950" spans="5:9" ht="16.5" hidden="1">
      <c r="E19950" s="4" t="str">
        <v/>
      </c>
      <c r="F19950" s="102" t="str">
        <f ca="1">IFERROR(__xludf.DUMMYFUNCTION("IMPORTRANGE(H19950,""IDENTITAS UNIT!D9"")"),"#N/A")</f>
        <v>#N/A</v>
      </c>
      <c r="H19950" s="4" t="str">
        <v/>
      </c>
      <c r="I19950" s="4" t="str">
        <v/>
      </c>
    </row>
    <row r="19951" spans="5:9" ht="16.5" hidden="1">
      <c r="E19951" s="4" t="str">
        <v/>
      </c>
      <c r="F19951" s="102" t="str">
        <f ca="1">IFERROR(__xludf.DUMMYFUNCTION("IMPORTRANGE(H19951,""IDENTITAS UNIT!D9"")"),"#N/A")</f>
        <v>#N/A</v>
      </c>
      <c r="H19951" s="4" t="str">
        <v/>
      </c>
      <c r="I19951" s="4" t="str">
        <v/>
      </c>
    </row>
    <row r="19952" spans="5:9" ht="16.5" hidden="1">
      <c r="E19952" s="4" t="str">
        <v/>
      </c>
      <c r="F19952" s="102" t="str">
        <f ca="1">IFERROR(__xludf.DUMMYFUNCTION("IMPORTRANGE(H19952,""IDENTITAS UNIT!D9"")"),"#N/A")</f>
        <v>#N/A</v>
      </c>
      <c r="H19952" s="4" t="str">
        <v/>
      </c>
      <c r="I19952" s="4" t="str">
        <v/>
      </c>
    </row>
    <row r="19953" spans="5:9" ht="16.5" hidden="1">
      <c r="E19953" s="4" t="str">
        <v/>
      </c>
      <c r="F19953" s="102" t="str">
        <f ca="1">IFERROR(__xludf.DUMMYFUNCTION("IMPORTRANGE(H19953,""IDENTITAS UNIT!D9"")"),"#N/A")</f>
        <v>#N/A</v>
      </c>
      <c r="H19953" s="4" t="str">
        <v/>
      </c>
      <c r="I19953" s="4" t="str">
        <v/>
      </c>
    </row>
    <row r="19954" spans="5:9" ht="16.5" hidden="1">
      <c r="E19954" s="4" t="str">
        <v/>
      </c>
      <c r="F19954" s="102" t="str">
        <f ca="1">IFERROR(__xludf.DUMMYFUNCTION("IMPORTRANGE(H19954,""IDENTITAS UNIT!D9"")"),"#N/A")</f>
        <v>#N/A</v>
      </c>
      <c r="H19954" s="4" t="str">
        <v/>
      </c>
      <c r="I19954" s="4" t="str">
        <v/>
      </c>
    </row>
    <row r="19955" spans="5:9" ht="16.5" hidden="1">
      <c r="E19955" s="4" t="str">
        <v/>
      </c>
      <c r="F19955" s="102" t="str">
        <f ca="1">IFERROR(__xludf.DUMMYFUNCTION("IMPORTRANGE(H19955,""IDENTITAS UNIT!D9"")"),"#N/A")</f>
        <v>#N/A</v>
      </c>
      <c r="H19955" s="4" t="str">
        <v/>
      </c>
      <c r="I19955" s="4" t="str">
        <v/>
      </c>
    </row>
    <row r="19956" spans="5:9" ht="16.5" hidden="1">
      <c r="E19956" s="4" t="str">
        <v/>
      </c>
      <c r="F19956" s="102" t="str">
        <f ca="1">IFERROR(__xludf.DUMMYFUNCTION("IMPORTRANGE(H19956,""IDENTITAS UNIT!D9"")"),"#N/A")</f>
        <v>#N/A</v>
      </c>
      <c r="H19956" s="4" t="str">
        <v/>
      </c>
      <c r="I19956" s="4" t="str">
        <v/>
      </c>
    </row>
    <row r="19957" spans="5:9" ht="16.5" hidden="1">
      <c r="E19957" s="4" t="str">
        <v/>
      </c>
      <c r="F19957" s="102" t="str">
        <f ca="1">IFERROR(__xludf.DUMMYFUNCTION("IMPORTRANGE(H19957,""IDENTITAS UNIT!D9"")"),"#N/A")</f>
        <v>#N/A</v>
      </c>
      <c r="H19957" s="4" t="str">
        <v/>
      </c>
      <c r="I19957" s="4" t="str">
        <v/>
      </c>
    </row>
    <row r="19958" spans="5:9" ht="16.5" hidden="1">
      <c r="E19958" s="4" t="str">
        <v/>
      </c>
      <c r="F19958" s="102" t="str">
        <f ca="1">IFERROR(__xludf.DUMMYFUNCTION("IMPORTRANGE(H19958,""IDENTITAS UNIT!D9"")"),"#N/A")</f>
        <v>#N/A</v>
      </c>
      <c r="H19958" s="4" t="str">
        <v/>
      </c>
      <c r="I19958" s="4" t="str">
        <v/>
      </c>
    </row>
    <row r="19959" spans="5:9" ht="16.5" hidden="1">
      <c r="E19959" s="4" t="str">
        <v/>
      </c>
      <c r="F19959" s="102" t="str">
        <f ca="1">IFERROR(__xludf.DUMMYFUNCTION("IMPORTRANGE(H19959,""IDENTITAS UNIT!D9"")"),"#N/A")</f>
        <v>#N/A</v>
      </c>
      <c r="H19959" s="4" t="str">
        <v/>
      </c>
      <c r="I19959" s="4" t="str">
        <v/>
      </c>
    </row>
    <row r="19960" spans="5:9" ht="16.5" hidden="1">
      <c r="E19960" s="4" t="str">
        <v/>
      </c>
      <c r="F19960" s="102" t="str">
        <f ca="1">IFERROR(__xludf.DUMMYFUNCTION("IMPORTRANGE(H19960,""IDENTITAS UNIT!D9"")"),"#N/A")</f>
        <v>#N/A</v>
      </c>
      <c r="H19960" s="4" t="str">
        <v/>
      </c>
      <c r="I19960" s="4" t="str">
        <v/>
      </c>
    </row>
    <row r="19961" spans="5:9" ht="16.5" hidden="1">
      <c r="E19961" s="4" t="str">
        <v/>
      </c>
      <c r="F19961" s="102" t="str">
        <f ca="1">IFERROR(__xludf.DUMMYFUNCTION("IMPORTRANGE(H19961,""IDENTITAS UNIT!D9"")"),"#N/A")</f>
        <v>#N/A</v>
      </c>
      <c r="H19961" s="4" t="str">
        <v/>
      </c>
      <c r="I19961" s="4" t="str">
        <v/>
      </c>
    </row>
    <row r="19962" spans="5:9" ht="16.5" hidden="1">
      <c r="E19962" s="4" t="str">
        <v/>
      </c>
      <c r="F19962" s="102" t="str">
        <f ca="1">IFERROR(__xludf.DUMMYFUNCTION("IMPORTRANGE(H19962,""IDENTITAS UNIT!D9"")"),"#N/A")</f>
        <v>#N/A</v>
      </c>
      <c r="H19962" s="4" t="str">
        <v/>
      </c>
      <c r="I19962" s="4" t="str">
        <v/>
      </c>
    </row>
    <row r="19963" spans="5:9" ht="16.5" hidden="1">
      <c r="E19963" s="4" t="str">
        <v/>
      </c>
      <c r="F19963" s="102" t="str">
        <f ca="1">IFERROR(__xludf.DUMMYFUNCTION("IMPORTRANGE(H19963,""IDENTITAS UNIT!D9"")"),"#N/A")</f>
        <v>#N/A</v>
      </c>
      <c r="H19963" s="4" t="str">
        <v/>
      </c>
      <c r="I19963" s="4" t="str">
        <v/>
      </c>
    </row>
    <row r="19964" spans="5:9" ht="16.5" hidden="1">
      <c r="E19964" s="4" t="str">
        <v/>
      </c>
      <c r="F19964" s="102" t="str">
        <f ca="1">IFERROR(__xludf.DUMMYFUNCTION("IMPORTRANGE(H19964,""IDENTITAS UNIT!D9"")"),"#N/A")</f>
        <v>#N/A</v>
      </c>
      <c r="H19964" s="4" t="str">
        <v/>
      </c>
      <c r="I19964" s="4" t="str">
        <v/>
      </c>
    </row>
    <row r="19965" spans="5:9" ht="16.5" hidden="1">
      <c r="E19965" s="4" t="str">
        <v/>
      </c>
      <c r="F19965" s="102" t="str">
        <f ca="1">IFERROR(__xludf.DUMMYFUNCTION("IMPORTRANGE(H19965,""IDENTITAS UNIT!D9"")"),"#N/A")</f>
        <v>#N/A</v>
      </c>
      <c r="H19965" s="4" t="str">
        <v/>
      </c>
      <c r="I19965" s="4" t="str">
        <v/>
      </c>
    </row>
    <row r="19966" spans="5:9" ht="16.5" hidden="1">
      <c r="E19966" s="4" t="str">
        <v/>
      </c>
      <c r="F19966" s="102" t="str">
        <f ca="1">IFERROR(__xludf.DUMMYFUNCTION("IMPORTRANGE(H19966,""IDENTITAS UNIT!D9"")"),"#N/A")</f>
        <v>#N/A</v>
      </c>
      <c r="H19966" s="4" t="str">
        <v/>
      </c>
      <c r="I19966" s="4" t="str">
        <v/>
      </c>
    </row>
    <row r="19967" spans="5:9" ht="16.5" hidden="1">
      <c r="E19967" s="4" t="str">
        <v/>
      </c>
      <c r="F19967" s="102" t="str">
        <f ca="1">IFERROR(__xludf.DUMMYFUNCTION("IMPORTRANGE(H19967,""IDENTITAS UNIT!D9"")"),"#N/A")</f>
        <v>#N/A</v>
      </c>
      <c r="H19967" s="4" t="str">
        <v/>
      </c>
      <c r="I19967" s="4" t="str">
        <v/>
      </c>
    </row>
    <row r="19968" spans="5:9" ht="16.5" hidden="1">
      <c r="E19968" s="4" t="str">
        <v/>
      </c>
      <c r="F19968" s="102" t="str">
        <f ca="1">IFERROR(__xludf.DUMMYFUNCTION("IMPORTRANGE(H19968,""IDENTITAS UNIT!D9"")"),"#N/A")</f>
        <v>#N/A</v>
      </c>
      <c r="H19968" s="4" t="str">
        <v/>
      </c>
      <c r="I19968" s="4" t="str">
        <v/>
      </c>
    </row>
    <row r="19969" spans="5:9" ht="16.5" hidden="1">
      <c r="E19969" s="4" t="str">
        <v/>
      </c>
      <c r="F19969" s="102" t="str">
        <f ca="1">IFERROR(__xludf.DUMMYFUNCTION("IMPORTRANGE(H19969,""IDENTITAS UNIT!D9"")"),"#N/A")</f>
        <v>#N/A</v>
      </c>
      <c r="H19969" s="4" t="str">
        <v/>
      </c>
      <c r="I19969" s="4" t="str">
        <v/>
      </c>
    </row>
    <row r="19970" spans="5:9" ht="16.5" hidden="1">
      <c r="E19970" s="4" t="str">
        <v/>
      </c>
      <c r="F19970" s="102" t="str">
        <f ca="1">IFERROR(__xludf.DUMMYFUNCTION("IMPORTRANGE(H19970,""IDENTITAS UNIT!D9"")"),"#N/A")</f>
        <v>#N/A</v>
      </c>
      <c r="H19970" s="4" t="str">
        <v/>
      </c>
      <c r="I19970" s="4" t="str">
        <v/>
      </c>
    </row>
    <row r="19971" spans="5:9" ht="16.5" hidden="1">
      <c r="E19971" s="4" t="str">
        <v/>
      </c>
      <c r="F19971" s="102" t="str">
        <f ca="1">IFERROR(__xludf.DUMMYFUNCTION("IMPORTRANGE(H19971,""IDENTITAS UNIT!D9"")"),"#N/A")</f>
        <v>#N/A</v>
      </c>
      <c r="H19971" s="4" t="str">
        <v/>
      </c>
      <c r="I19971" s="4" t="str">
        <v/>
      </c>
    </row>
    <row r="19972" spans="5:9" ht="16.5" hidden="1">
      <c r="E19972" s="4" t="str">
        <v/>
      </c>
      <c r="F19972" s="102" t="str">
        <f ca="1">IFERROR(__xludf.DUMMYFUNCTION("IMPORTRANGE(H19972,""IDENTITAS UNIT!D9"")"),"#N/A")</f>
        <v>#N/A</v>
      </c>
      <c r="H19972" s="4" t="str">
        <v/>
      </c>
      <c r="I19972" s="4" t="str">
        <v/>
      </c>
    </row>
    <row r="19973" spans="5:9" ht="16.5" hidden="1">
      <c r="E19973" s="4" t="str">
        <v/>
      </c>
      <c r="F19973" s="102" t="str">
        <f ca="1">IFERROR(__xludf.DUMMYFUNCTION("IMPORTRANGE(H19973,""IDENTITAS UNIT!D9"")"),"#N/A")</f>
        <v>#N/A</v>
      </c>
      <c r="H19973" s="4" t="str">
        <v/>
      </c>
      <c r="I19973" s="4" t="str">
        <v/>
      </c>
    </row>
    <row r="19974" spans="5:9" ht="16.5" hidden="1">
      <c r="E19974" s="4" t="str">
        <v/>
      </c>
      <c r="F19974" s="102" t="str">
        <f ca="1">IFERROR(__xludf.DUMMYFUNCTION("IMPORTRANGE(H19974,""IDENTITAS UNIT!D9"")"),"#N/A")</f>
        <v>#N/A</v>
      </c>
      <c r="H19974" s="4" t="str">
        <v/>
      </c>
      <c r="I19974" s="4" t="str">
        <v/>
      </c>
    </row>
    <row r="19975" spans="5:9" ht="16.5" hidden="1">
      <c r="E19975" s="4" t="str">
        <v/>
      </c>
      <c r="F19975" s="102" t="str">
        <f ca="1">IFERROR(__xludf.DUMMYFUNCTION("IMPORTRANGE(H19975,""IDENTITAS UNIT!D9"")"),"#N/A")</f>
        <v>#N/A</v>
      </c>
      <c r="H19975" s="4" t="str">
        <v/>
      </c>
      <c r="I19975" s="4" t="str">
        <v/>
      </c>
    </row>
    <row r="19976" spans="5:9" ht="16.5" hidden="1">
      <c r="E19976" s="4" t="str">
        <v/>
      </c>
      <c r="F19976" s="102" t="str">
        <f ca="1">IFERROR(__xludf.DUMMYFUNCTION("IMPORTRANGE(H19976,""IDENTITAS UNIT!D9"")"),"#N/A")</f>
        <v>#N/A</v>
      </c>
      <c r="H19976" s="4" t="str">
        <v/>
      </c>
      <c r="I19976" s="4" t="str">
        <v/>
      </c>
    </row>
    <row r="19977" spans="5:9" ht="16.5" hidden="1">
      <c r="E19977" s="4" t="str">
        <v/>
      </c>
      <c r="F19977" s="102" t="str">
        <f ca="1">IFERROR(__xludf.DUMMYFUNCTION("IMPORTRANGE(H19977,""IDENTITAS UNIT!D9"")"),"#N/A")</f>
        <v>#N/A</v>
      </c>
      <c r="H19977" s="4" t="str">
        <v/>
      </c>
      <c r="I19977" s="4" t="str">
        <v/>
      </c>
    </row>
    <row r="19978" spans="5:9" ht="16.5" hidden="1">
      <c r="E19978" s="4" t="str">
        <v/>
      </c>
      <c r="F19978" s="102" t="str">
        <f ca="1">IFERROR(__xludf.DUMMYFUNCTION("IMPORTRANGE(H19978,""IDENTITAS UNIT!D9"")"),"#N/A")</f>
        <v>#N/A</v>
      </c>
      <c r="H19978" s="4" t="str">
        <v/>
      </c>
      <c r="I19978" s="4" t="str">
        <v/>
      </c>
    </row>
    <row r="19979" spans="5:9" ht="16.5" hidden="1">
      <c r="E19979" s="4" t="str">
        <v/>
      </c>
      <c r="F19979" s="102" t="str">
        <f ca="1">IFERROR(__xludf.DUMMYFUNCTION("IMPORTRANGE(H19979,""IDENTITAS UNIT!D9"")"),"#N/A")</f>
        <v>#N/A</v>
      </c>
      <c r="H19979" s="4" t="str">
        <v/>
      </c>
      <c r="I19979" s="4" t="str">
        <v/>
      </c>
    </row>
    <row r="19980" spans="5:9" ht="16.5" hidden="1">
      <c r="E19980" s="4" t="str">
        <v/>
      </c>
      <c r="F19980" s="102" t="str">
        <f ca="1">IFERROR(__xludf.DUMMYFUNCTION("IMPORTRANGE(H19980,""IDENTITAS UNIT!D9"")"),"#N/A")</f>
        <v>#N/A</v>
      </c>
      <c r="H19980" s="4" t="str">
        <v/>
      </c>
      <c r="I19980" s="4" t="str">
        <v/>
      </c>
    </row>
    <row r="19981" spans="5:9" ht="16.5" hidden="1">
      <c r="E19981" s="4" t="str">
        <v/>
      </c>
      <c r="F19981" s="102" t="str">
        <f ca="1">IFERROR(__xludf.DUMMYFUNCTION("IMPORTRANGE(H19981,""IDENTITAS UNIT!D9"")"),"#N/A")</f>
        <v>#N/A</v>
      </c>
      <c r="H19981" s="4" t="str">
        <v/>
      </c>
      <c r="I19981" s="4" t="str">
        <v/>
      </c>
    </row>
    <row r="19982" spans="5:9" ht="16.5" hidden="1">
      <c r="E19982" s="4" t="str">
        <v/>
      </c>
      <c r="F19982" s="102" t="str">
        <f ca="1">IFERROR(__xludf.DUMMYFUNCTION("IMPORTRANGE(H19982,""IDENTITAS UNIT!D9"")"),"#N/A")</f>
        <v>#N/A</v>
      </c>
      <c r="H19982" s="4" t="str">
        <v/>
      </c>
      <c r="I19982" s="4" t="str">
        <v/>
      </c>
    </row>
    <row r="19983" spans="5:9" ht="16.5" hidden="1">
      <c r="E19983" s="4" t="str">
        <v/>
      </c>
      <c r="F19983" s="102" t="str">
        <f ca="1">IFERROR(__xludf.DUMMYFUNCTION("IMPORTRANGE(H19983,""IDENTITAS UNIT!D9"")"),"#N/A")</f>
        <v>#N/A</v>
      </c>
      <c r="H19983" s="4" t="str">
        <v/>
      </c>
      <c r="I19983" s="4" t="str">
        <v/>
      </c>
    </row>
    <row r="19984" spans="5:9" ht="16.5" hidden="1">
      <c r="E19984" s="4" t="str">
        <v/>
      </c>
      <c r="F19984" s="102" t="str">
        <f ca="1">IFERROR(__xludf.DUMMYFUNCTION("IMPORTRANGE(H19984,""IDENTITAS UNIT!D9"")"),"#N/A")</f>
        <v>#N/A</v>
      </c>
      <c r="H19984" s="4" t="str">
        <v/>
      </c>
      <c r="I19984" s="4" t="str">
        <v/>
      </c>
    </row>
    <row r="19985" spans="5:9" ht="16.5" hidden="1">
      <c r="E19985" s="4" t="str">
        <v/>
      </c>
      <c r="F19985" s="102" t="str">
        <f ca="1">IFERROR(__xludf.DUMMYFUNCTION("IMPORTRANGE(H19985,""IDENTITAS UNIT!D9"")"),"#N/A")</f>
        <v>#N/A</v>
      </c>
      <c r="H19985" s="4" t="str">
        <v/>
      </c>
      <c r="I19985" s="4" t="str">
        <v/>
      </c>
    </row>
    <row r="19986" spans="5:9" ht="16.5" hidden="1">
      <c r="E19986" s="4" t="str">
        <v/>
      </c>
      <c r="F19986" s="102" t="str">
        <f ca="1">IFERROR(__xludf.DUMMYFUNCTION("IMPORTRANGE(H19986,""IDENTITAS UNIT!D9"")"),"#N/A")</f>
        <v>#N/A</v>
      </c>
      <c r="H19986" s="4" t="str">
        <v/>
      </c>
      <c r="I19986" s="4" t="str">
        <v/>
      </c>
    </row>
    <row r="19987" spans="5:9" ht="16.5" hidden="1">
      <c r="E19987" s="4" t="str">
        <v/>
      </c>
      <c r="F19987" s="102" t="str">
        <f ca="1">IFERROR(__xludf.DUMMYFUNCTION("IMPORTRANGE(H19987,""IDENTITAS UNIT!D9"")"),"#N/A")</f>
        <v>#N/A</v>
      </c>
      <c r="H19987" s="4" t="str">
        <v/>
      </c>
      <c r="I19987" s="4" t="str">
        <v/>
      </c>
    </row>
    <row r="19988" spans="5:9" ht="16.5" hidden="1">
      <c r="E19988" s="4" t="str">
        <v/>
      </c>
      <c r="F19988" s="102" t="str">
        <f ca="1">IFERROR(__xludf.DUMMYFUNCTION("IMPORTRANGE(H19988,""IDENTITAS UNIT!D9"")"),"#N/A")</f>
        <v>#N/A</v>
      </c>
      <c r="H19988" s="4" t="str">
        <v/>
      </c>
      <c r="I19988" s="4" t="str">
        <v/>
      </c>
    </row>
    <row r="19989" spans="5:9" ht="16.5" hidden="1">
      <c r="E19989" s="4" t="str">
        <v/>
      </c>
      <c r="F19989" s="102" t="str">
        <f ca="1">IFERROR(__xludf.DUMMYFUNCTION("IMPORTRANGE(H19989,""IDENTITAS UNIT!D9"")"),"#N/A")</f>
        <v>#N/A</v>
      </c>
      <c r="H19989" s="4" t="str">
        <v/>
      </c>
      <c r="I19989" s="4" t="str">
        <v/>
      </c>
    </row>
    <row r="19990" spans="5:9" ht="16.5" hidden="1">
      <c r="E19990" s="4" t="str">
        <v/>
      </c>
      <c r="F19990" s="102" t="str">
        <f ca="1">IFERROR(__xludf.DUMMYFUNCTION("IMPORTRANGE(H19990,""IDENTITAS UNIT!D9"")"),"#N/A")</f>
        <v>#N/A</v>
      </c>
      <c r="H19990" s="4" t="str">
        <v/>
      </c>
      <c r="I19990" s="4" t="str">
        <v/>
      </c>
    </row>
    <row r="19991" spans="5:9" ht="16.5" hidden="1">
      <c r="E19991" s="4" t="str">
        <v/>
      </c>
      <c r="F19991" s="102" t="str">
        <f ca="1">IFERROR(__xludf.DUMMYFUNCTION("IMPORTRANGE(H19991,""IDENTITAS UNIT!D9"")"),"#N/A")</f>
        <v>#N/A</v>
      </c>
      <c r="H19991" s="4" t="str">
        <v/>
      </c>
      <c r="I19991" s="4" t="str">
        <v/>
      </c>
    </row>
    <row r="19992" spans="5:9" ht="16.5" hidden="1">
      <c r="E19992" s="4" t="str">
        <v/>
      </c>
      <c r="F19992" s="102" t="str">
        <f ca="1">IFERROR(__xludf.DUMMYFUNCTION("IMPORTRANGE(H19992,""IDENTITAS UNIT!D9"")"),"#N/A")</f>
        <v>#N/A</v>
      </c>
      <c r="H19992" s="4" t="str">
        <v/>
      </c>
      <c r="I19992" s="4" t="str">
        <v/>
      </c>
    </row>
    <row r="19993" spans="5:9" ht="16.5" hidden="1">
      <c r="E19993" s="4" t="str">
        <v/>
      </c>
      <c r="F19993" s="102" t="str">
        <f ca="1">IFERROR(__xludf.DUMMYFUNCTION("IMPORTRANGE(H19993,""IDENTITAS UNIT!D9"")"),"#N/A")</f>
        <v>#N/A</v>
      </c>
      <c r="H19993" s="4" t="str">
        <v/>
      </c>
      <c r="I19993" s="4" t="str">
        <v/>
      </c>
    </row>
    <row r="19994" spans="5:9" ht="16.5" hidden="1">
      <c r="E19994" s="4" t="str">
        <v/>
      </c>
      <c r="F19994" s="102" t="str">
        <f ca="1">IFERROR(__xludf.DUMMYFUNCTION("IMPORTRANGE(H19994,""IDENTITAS UNIT!D9"")"),"#N/A")</f>
        <v>#N/A</v>
      </c>
      <c r="H19994" s="4" t="str">
        <v/>
      </c>
      <c r="I19994" s="4" t="str">
        <v/>
      </c>
    </row>
    <row r="19995" spans="5:9" ht="16.5" hidden="1">
      <c r="E19995" s="4" t="str">
        <v/>
      </c>
      <c r="F19995" s="102" t="str">
        <f ca="1">IFERROR(__xludf.DUMMYFUNCTION("IMPORTRANGE(H19995,""IDENTITAS UNIT!D9"")"),"#N/A")</f>
        <v>#N/A</v>
      </c>
      <c r="H19995" s="4" t="str">
        <v/>
      </c>
      <c r="I19995" s="4" t="str">
        <v/>
      </c>
    </row>
    <row r="19996" spans="5:9" ht="16.5" hidden="1">
      <c r="E19996" s="4" t="str">
        <v/>
      </c>
      <c r="F19996" s="102" t="str">
        <f ca="1">IFERROR(__xludf.DUMMYFUNCTION("IMPORTRANGE(H19996,""IDENTITAS UNIT!D9"")"),"#N/A")</f>
        <v>#N/A</v>
      </c>
      <c r="H19996" s="4" t="str">
        <v/>
      </c>
      <c r="I19996" s="4" t="str">
        <v/>
      </c>
    </row>
    <row r="19997" spans="5:9" ht="16.5" hidden="1">
      <c r="E19997" s="4" t="str">
        <v/>
      </c>
      <c r="F19997" s="102" t="str">
        <f ca="1">IFERROR(__xludf.DUMMYFUNCTION("IMPORTRANGE(H19997,""IDENTITAS UNIT!D9"")"),"#N/A")</f>
        <v>#N/A</v>
      </c>
      <c r="H19997" s="4" t="str">
        <v/>
      </c>
      <c r="I19997" s="4" t="str">
        <v/>
      </c>
    </row>
    <row r="19998" spans="5:9" ht="16.5" hidden="1">
      <c r="E19998" s="4" t="str">
        <v/>
      </c>
      <c r="F19998" s="102" t="str">
        <f ca="1">IFERROR(__xludf.DUMMYFUNCTION("IMPORTRANGE(H19998,""IDENTITAS UNIT!D9"")"),"#N/A")</f>
        <v>#N/A</v>
      </c>
      <c r="H19998" s="4" t="str">
        <v/>
      </c>
      <c r="I19998" s="4" t="str">
        <v/>
      </c>
    </row>
    <row r="19999" spans="5:9" ht="16.5" hidden="1">
      <c r="E19999" s="4" t="str">
        <v/>
      </c>
      <c r="F19999" s="102" t="str">
        <f ca="1">IFERROR(__xludf.DUMMYFUNCTION("IMPORTRANGE(H19999,""IDENTITAS UNIT!D9"")"),"#N/A")</f>
        <v>#N/A</v>
      </c>
      <c r="H19999" s="4" t="str">
        <v/>
      </c>
      <c r="I19999" s="4" t="str">
        <v/>
      </c>
    </row>
    <row r="20000" spans="5:9" ht="16.5" hidden="1">
      <c r="E20000" s="4" t="str">
        <v/>
      </c>
      <c r="F20000" s="102" t="str">
        <f ca="1">IFERROR(__xludf.DUMMYFUNCTION("IMPORTRANGE(H20000,""IDENTITAS UNIT!D9"")"),"#N/A")</f>
        <v>#N/A</v>
      </c>
      <c r="H20000" s="4" t="str">
        <v/>
      </c>
      <c r="I20000" s="4" t="str">
        <v/>
      </c>
    </row>
    <row r="20001" spans="5:9" ht="16.5" hidden="1">
      <c r="E20001" s="4" t="str">
        <v/>
      </c>
      <c r="F20001" s="102" t="str">
        <f ca="1">IFERROR(__xludf.DUMMYFUNCTION("IMPORTRANGE(H20001,""IDENTITAS UNIT!D9"")"),"#N/A")</f>
        <v>#N/A</v>
      </c>
      <c r="H20001" s="4" t="str">
        <v/>
      </c>
      <c r="I20001" s="4" t="str">
        <v/>
      </c>
    </row>
    <row r="20002" spans="5:9" ht="16.5" hidden="1">
      <c r="E20002" s="4" t="str">
        <v/>
      </c>
      <c r="F20002" s="102" t="str">
        <f ca="1">IFERROR(__xludf.DUMMYFUNCTION("IMPORTRANGE(H20002,""IDENTITAS UNIT!D9"")"),"#N/A")</f>
        <v>#N/A</v>
      </c>
      <c r="H20002" s="4" t="str">
        <v/>
      </c>
      <c r="I20002" s="4" t="str">
        <v/>
      </c>
    </row>
    <row r="20003" spans="5:9" ht="16.5" hidden="1">
      <c r="E20003" s="4" t="str">
        <v/>
      </c>
      <c r="F20003" s="102" t="str">
        <f ca="1">IFERROR(__xludf.DUMMYFUNCTION("IMPORTRANGE(H20003,""IDENTITAS UNIT!D9"")"),"#N/A")</f>
        <v>#N/A</v>
      </c>
      <c r="H20003" s="4" t="str">
        <v/>
      </c>
      <c r="I20003" s="4" t="str">
        <v/>
      </c>
    </row>
    <row r="20004" spans="5:9" ht="16.5" hidden="1">
      <c r="E20004" s="4" t="str">
        <v/>
      </c>
      <c r="F20004" s="102" t="str">
        <f ca="1">IFERROR(__xludf.DUMMYFUNCTION("IMPORTRANGE(H20004,""IDENTITAS UNIT!D9"")"),"#N/A")</f>
        <v>#N/A</v>
      </c>
      <c r="H20004" s="4" t="str">
        <v/>
      </c>
      <c r="I20004" s="4" t="str">
        <v/>
      </c>
    </row>
    <row r="20005" spans="5:9" ht="16.5" hidden="1">
      <c r="E20005" s="4" t="str">
        <v/>
      </c>
      <c r="F20005" s="102" t="str">
        <f ca="1">IFERROR(__xludf.DUMMYFUNCTION("IMPORTRANGE(H20005,""IDENTITAS UNIT!D9"")"),"#N/A")</f>
        <v>#N/A</v>
      </c>
      <c r="H20005" s="4" t="str">
        <v/>
      </c>
      <c r="I20005" s="4" t="str">
        <v/>
      </c>
    </row>
    <row r="20006" spans="5:9" ht="16.5" hidden="1">
      <c r="E20006" s="4" t="str">
        <v/>
      </c>
      <c r="F20006" s="102" t="str">
        <f ca="1">IFERROR(__xludf.DUMMYFUNCTION("IMPORTRANGE(H20006,""IDENTITAS UNIT!D9"")"),"#N/A")</f>
        <v>#N/A</v>
      </c>
      <c r="H20006" s="4" t="str">
        <v/>
      </c>
      <c r="I20006" s="4" t="str">
        <v/>
      </c>
    </row>
    <row r="20007" spans="5:9" ht="16.5" hidden="1">
      <c r="E20007" s="4" t="str">
        <v/>
      </c>
      <c r="F20007" s="102" t="str">
        <f ca="1">IFERROR(__xludf.DUMMYFUNCTION("IMPORTRANGE(H20007,""IDENTITAS UNIT!D9"")"),"#N/A")</f>
        <v>#N/A</v>
      </c>
      <c r="H20007" s="4" t="str">
        <v/>
      </c>
      <c r="I20007" s="4" t="str">
        <v/>
      </c>
    </row>
    <row r="20008" spans="5:9" ht="16.5" hidden="1">
      <c r="E20008" s="4" t="str">
        <v/>
      </c>
      <c r="F20008" s="102" t="str">
        <f ca="1">IFERROR(__xludf.DUMMYFUNCTION("IMPORTRANGE(H20008,""IDENTITAS UNIT!D9"")"),"#N/A")</f>
        <v>#N/A</v>
      </c>
      <c r="H20008" s="4" t="str">
        <v/>
      </c>
      <c r="I20008" s="4" t="str">
        <v/>
      </c>
    </row>
    <row r="20009" spans="5:9" ht="16.5" hidden="1">
      <c r="E20009" s="4" t="str">
        <v/>
      </c>
      <c r="F20009" s="102" t="str">
        <f ca="1">IFERROR(__xludf.DUMMYFUNCTION("IMPORTRANGE(H20009,""IDENTITAS UNIT!D9"")"),"#N/A")</f>
        <v>#N/A</v>
      </c>
      <c r="H20009" s="4" t="str">
        <v/>
      </c>
      <c r="I20009" s="4" t="str">
        <v/>
      </c>
    </row>
    <row r="20010" spans="5:9" ht="16.5" hidden="1">
      <c r="E20010" s="4" t="str">
        <v/>
      </c>
      <c r="F20010" s="102" t="str">
        <f ca="1">IFERROR(__xludf.DUMMYFUNCTION("IMPORTRANGE(H20010,""IDENTITAS UNIT!D9"")"),"#N/A")</f>
        <v>#N/A</v>
      </c>
      <c r="H20010" s="4" t="str">
        <v/>
      </c>
      <c r="I20010" s="4" t="str">
        <v/>
      </c>
    </row>
    <row r="20011" spans="5:9" ht="16.5" hidden="1">
      <c r="E20011" s="4" t="str">
        <v/>
      </c>
      <c r="F20011" s="102" t="str">
        <f ca="1">IFERROR(__xludf.DUMMYFUNCTION("IMPORTRANGE(H20011,""IDENTITAS UNIT!D9"")"),"#N/A")</f>
        <v>#N/A</v>
      </c>
      <c r="H20011" s="4" t="str">
        <v/>
      </c>
      <c r="I20011" s="4" t="str">
        <v/>
      </c>
    </row>
    <row r="20012" spans="5:9" ht="16.5" hidden="1">
      <c r="E20012" s="4" t="str">
        <v/>
      </c>
      <c r="F20012" s="102" t="str">
        <f ca="1">IFERROR(__xludf.DUMMYFUNCTION("IMPORTRANGE(H20012,""IDENTITAS UNIT!D9"")"),"#N/A")</f>
        <v>#N/A</v>
      </c>
      <c r="H20012" s="4" t="str">
        <v/>
      </c>
      <c r="I20012" s="4" t="str">
        <v/>
      </c>
    </row>
    <row r="20013" spans="5:9" ht="16.5" hidden="1">
      <c r="E20013" s="4" t="str">
        <v/>
      </c>
      <c r="F20013" s="102" t="str">
        <f ca="1">IFERROR(__xludf.DUMMYFUNCTION("IMPORTRANGE(H20013,""IDENTITAS UNIT!D9"")"),"#N/A")</f>
        <v>#N/A</v>
      </c>
      <c r="H20013" s="4" t="str">
        <v/>
      </c>
      <c r="I20013" s="4" t="str">
        <v/>
      </c>
    </row>
    <row r="20014" spans="5:9" ht="16.5" hidden="1">
      <c r="E20014" s="4" t="str">
        <v/>
      </c>
      <c r="F20014" s="102" t="str">
        <f ca="1">IFERROR(__xludf.DUMMYFUNCTION("IMPORTRANGE(H20014,""IDENTITAS UNIT!D9"")"),"#N/A")</f>
        <v>#N/A</v>
      </c>
      <c r="H20014" s="4" t="str">
        <v/>
      </c>
      <c r="I20014" s="4" t="str">
        <v/>
      </c>
    </row>
    <row r="20015" spans="5:9" ht="16.5" hidden="1">
      <c r="E20015" s="4" t="str">
        <v/>
      </c>
      <c r="F20015" s="102" t="str">
        <f ca="1">IFERROR(__xludf.DUMMYFUNCTION("IMPORTRANGE(H20015,""IDENTITAS UNIT!D9"")"),"#N/A")</f>
        <v>#N/A</v>
      </c>
      <c r="H20015" s="4" t="str">
        <v/>
      </c>
      <c r="I20015" s="4" t="str">
        <v/>
      </c>
    </row>
    <row r="20016" spans="5:9" ht="16.5" hidden="1">
      <c r="E20016" s="4" t="str">
        <v/>
      </c>
      <c r="F20016" s="102" t="str">
        <f ca="1">IFERROR(__xludf.DUMMYFUNCTION("IMPORTRANGE(H20016,""IDENTITAS UNIT!D9"")"),"#N/A")</f>
        <v>#N/A</v>
      </c>
      <c r="H20016" s="4" t="str">
        <v/>
      </c>
      <c r="I20016" s="4" t="str">
        <v/>
      </c>
    </row>
    <row r="20017" spans="5:9" ht="16.5" hidden="1">
      <c r="E20017" s="4" t="str">
        <v/>
      </c>
      <c r="F20017" s="102" t="str">
        <f ca="1">IFERROR(__xludf.DUMMYFUNCTION("IMPORTRANGE(H20017,""IDENTITAS UNIT!D9"")"),"#N/A")</f>
        <v>#N/A</v>
      </c>
      <c r="H20017" s="4" t="str">
        <v/>
      </c>
      <c r="I20017" s="4" t="str">
        <v/>
      </c>
    </row>
    <row r="20018" spans="5:9" ht="16.5" hidden="1">
      <c r="E20018" s="4" t="str">
        <v/>
      </c>
      <c r="F20018" s="102" t="str">
        <f ca="1">IFERROR(__xludf.DUMMYFUNCTION("IMPORTRANGE(H20018,""IDENTITAS UNIT!D9"")"),"#N/A")</f>
        <v>#N/A</v>
      </c>
      <c r="H20018" s="4" t="str">
        <v/>
      </c>
      <c r="I20018" s="4" t="str">
        <v/>
      </c>
    </row>
    <row r="20019" spans="5:9" ht="16.5" hidden="1">
      <c r="E20019" s="4" t="str">
        <v/>
      </c>
      <c r="F20019" s="102" t="str">
        <f ca="1">IFERROR(__xludf.DUMMYFUNCTION("IMPORTRANGE(H20019,""IDENTITAS UNIT!D9"")"),"#N/A")</f>
        <v>#N/A</v>
      </c>
      <c r="H20019" s="4" t="str">
        <v/>
      </c>
      <c r="I20019" s="4" t="str">
        <v/>
      </c>
    </row>
    <row r="20020" spans="5:9" ht="16.5" hidden="1">
      <c r="E20020" s="4" t="str">
        <v/>
      </c>
      <c r="F20020" s="102" t="str">
        <f ca="1">IFERROR(__xludf.DUMMYFUNCTION("IMPORTRANGE(H20020,""IDENTITAS UNIT!D9"")"),"#N/A")</f>
        <v>#N/A</v>
      </c>
      <c r="H20020" s="4" t="str">
        <v/>
      </c>
      <c r="I20020" s="4" t="str">
        <v/>
      </c>
    </row>
    <row r="20021" spans="5:9" ht="16.5" hidden="1">
      <c r="E20021" s="4" t="str">
        <v/>
      </c>
      <c r="F20021" s="102" t="str">
        <f ca="1">IFERROR(__xludf.DUMMYFUNCTION("IMPORTRANGE(H20021,""IDENTITAS UNIT!D9"")"),"#N/A")</f>
        <v>#N/A</v>
      </c>
      <c r="H20021" s="4" t="str">
        <v/>
      </c>
      <c r="I20021" s="4" t="str">
        <v/>
      </c>
    </row>
    <row r="20022" spans="5:9" ht="16.5" hidden="1">
      <c r="E20022" s="4" t="str">
        <v/>
      </c>
      <c r="F20022" s="102" t="str">
        <f ca="1">IFERROR(__xludf.DUMMYFUNCTION("IMPORTRANGE(H20022,""IDENTITAS UNIT!D9"")"),"#N/A")</f>
        <v>#N/A</v>
      </c>
      <c r="H20022" s="4" t="str">
        <v/>
      </c>
      <c r="I20022" s="4" t="str">
        <v/>
      </c>
    </row>
    <row r="20023" spans="5:9" ht="16.5" hidden="1">
      <c r="E20023" s="4" t="str">
        <v/>
      </c>
      <c r="F20023" s="102" t="str">
        <f ca="1">IFERROR(__xludf.DUMMYFUNCTION("IMPORTRANGE(H20023,""IDENTITAS UNIT!D9"")"),"#N/A")</f>
        <v>#N/A</v>
      </c>
      <c r="H20023" s="4" t="str">
        <v/>
      </c>
      <c r="I20023" s="4" t="str">
        <v/>
      </c>
    </row>
    <row r="20024" spans="5:9" ht="16.5" hidden="1">
      <c r="E20024" s="4" t="str">
        <v/>
      </c>
      <c r="F20024" s="102" t="str">
        <f ca="1">IFERROR(__xludf.DUMMYFUNCTION("IMPORTRANGE(H20024,""IDENTITAS UNIT!D9"")"),"#N/A")</f>
        <v>#N/A</v>
      </c>
      <c r="H20024" s="4" t="str">
        <v/>
      </c>
      <c r="I20024" s="4" t="str">
        <v/>
      </c>
    </row>
    <row r="20025" spans="5:9" ht="16.5" hidden="1">
      <c r="E20025" s="4" t="str">
        <v/>
      </c>
      <c r="F20025" s="102" t="str">
        <f ca="1">IFERROR(__xludf.DUMMYFUNCTION("IMPORTRANGE(H20025,""IDENTITAS UNIT!D9"")"),"#N/A")</f>
        <v>#N/A</v>
      </c>
      <c r="H20025" s="4" t="str">
        <v/>
      </c>
      <c r="I20025" s="4" t="str">
        <v/>
      </c>
    </row>
    <row r="20026" spans="5:9" ht="16.5" hidden="1">
      <c r="E20026" s="4" t="str">
        <v/>
      </c>
      <c r="F20026" s="102" t="str">
        <f ca="1">IFERROR(__xludf.DUMMYFUNCTION("IMPORTRANGE(H20026,""IDENTITAS UNIT!D9"")"),"#N/A")</f>
        <v>#N/A</v>
      </c>
      <c r="H20026" s="4" t="str">
        <v/>
      </c>
      <c r="I20026" s="4" t="str">
        <v/>
      </c>
    </row>
    <row r="20027" spans="5:9" ht="16.5" hidden="1">
      <c r="E20027" s="4" t="str">
        <v/>
      </c>
      <c r="F20027" s="102" t="str">
        <f ca="1">IFERROR(__xludf.DUMMYFUNCTION("IMPORTRANGE(H20027,""IDENTITAS UNIT!D9"")"),"#N/A")</f>
        <v>#N/A</v>
      </c>
      <c r="H20027" s="4" t="str">
        <v/>
      </c>
      <c r="I20027" s="4" t="str">
        <v/>
      </c>
    </row>
    <row r="20028" spans="5:9" ht="16.5" hidden="1">
      <c r="E20028" s="4" t="str">
        <v/>
      </c>
      <c r="F20028" s="102" t="str">
        <f ca="1">IFERROR(__xludf.DUMMYFUNCTION("IMPORTRANGE(H20028,""IDENTITAS UNIT!D9"")"),"#N/A")</f>
        <v>#N/A</v>
      </c>
      <c r="H20028" s="4" t="str">
        <v/>
      </c>
      <c r="I20028" s="4" t="str">
        <v/>
      </c>
    </row>
    <row r="20029" spans="5:9" ht="16.5" hidden="1">
      <c r="E20029" s="4" t="str">
        <v/>
      </c>
      <c r="F20029" s="102" t="str">
        <f ca="1">IFERROR(__xludf.DUMMYFUNCTION("IMPORTRANGE(H20029,""IDENTITAS UNIT!D9"")"),"#N/A")</f>
        <v>#N/A</v>
      </c>
      <c r="H20029" s="4" t="str">
        <v/>
      </c>
      <c r="I20029" s="4" t="str">
        <v/>
      </c>
    </row>
    <row r="20030" spans="5:9" ht="16.5" hidden="1">
      <c r="E20030" s="4" t="str">
        <v/>
      </c>
      <c r="F20030" s="102" t="str">
        <f ca="1">IFERROR(__xludf.DUMMYFUNCTION("IMPORTRANGE(H20030,""IDENTITAS UNIT!D9"")"),"#N/A")</f>
        <v>#N/A</v>
      </c>
      <c r="H20030" s="4" t="str">
        <v/>
      </c>
      <c r="I20030" s="4" t="str">
        <v/>
      </c>
    </row>
    <row r="20031" spans="5:9" ht="16.5" hidden="1">
      <c r="E20031" s="4" t="str">
        <v/>
      </c>
      <c r="F20031" s="102" t="str">
        <f ca="1">IFERROR(__xludf.DUMMYFUNCTION("IMPORTRANGE(H20031,""IDENTITAS UNIT!D9"")"),"#N/A")</f>
        <v>#N/A</v>
      </c>
      <c r="H20031" s="4" t="str">
        <v/>
      </c>
      <c r="I20031" s="4" t="str">
        <v/>
      </c>
    </row>
    <row r="20032" spans="5:9" ht="16.5" hidden="1">
      <c r="E20032" s="4" t="str">
        <v/>
      </c>
      <c r="F20032" s="102" t="str">
        <f ca="1">IFERROR(__xludf.DUMMYFUNCTION("IMPORTRANGE(H20032,""IDENTITAS UNIT!D9"")"),"#N/A")</f>
        <v>#N/A</v>
      </c>
      <c r="H20032" s="4" t="str">
        <v/>
      </c>
      <c r="I20032" s="4" t="str">
        <v/>
      </c>
    </row>
    <row r="20033" spans="5:9" ht="16.5" hidden="1">
      <c r="E20033" s="4" t="str">
        <v/>
      </c>
      <c r="F20033" s="102" t="str">
        <f ca="1">IFERROR(__xludf.DUMMYFUNCTION("IMPORTRANGE(H20033,""IDENTITAS UNIT!D9"")"),"#N/A")</f>
        <v>#N/A</v>
      </c>
      <c r="H20033" s="4" t="str">
        <v/>
      </c>
      <c r="I20033" s="4" t="str">
        <v/>
      </c>
    </row>
    <row r="20034" spans="5:9" ht="16.5" hidden="1">
      <c r="E20034" s="4" t="str">
        <v/>
      </c>
      <c r="F20034" s="102" t="str">
        <f ca="1">IFERROR(__xludf.DUMMYFUNCTION("IMPORTRANGE(H20034,""IDENTITAS UNIT!D9"")"),"#N/A")</f>
        <v>#N/A</v>
      </c>
      <c r="H20034" s="4" t="str">
        <v/>
      </c>
      <c r="I20034" s="4" t="str">
        <v/>
      </c>
    </row>
    <row r="20035" spans="5:9" ht="16.5" hidden="1">
      <c r="E20035" s="4" t="str">
        <v/>
      </c>
      <c r="F20035" s="102" t="str">
        <f ca="1">IFERROR(__xludf.DUMMYFUNCTION("IMPORTRANGE(H20035,""IDENTITAS UNIT!D9"")"),"#N/A")</f>
        <v>#N/A</v>
      </c>
      <c r="H20035" s="4" t="str">
        <v/>
      </c>
      <c r="I20035" s="4" t="str">
        <v/>
      </c>
    </row>
    <row r="20036" spans="5:9" ht="16.5" hidden="1">
      <c r="E20036" s="4" t="str">
        <v/>
      </c>
      <c r="F20036" s="102" t="str">
        <f ca="1">IFERROR(__xludf.DUMMYFUNCTION("IMPORTRANGE(H20036,""IDENTITAS UNIT!D9"")"),"#N/A")</f>
        <v>#N/A</v>
      </c>
      <c r="H20036" s="4" t="str">
        <v/>
      </c>
      <c r="I20036" s="4" t="str">
        <v/>
      </c>
    </row>
    <row r="20037" spans="5:9" ht="16.5" hidden="1">
      <c r="E20037" s="4" t="str">
        <v/>
      </c>
      <c r="F20037" s="102" t="str">
        <f ca="1">IFERROR(__xludf.DUMMYFUNCTION("IMPORTRANGE(H20037,""IDENTITAS UNIT!D9"")"),"#N/A")</f>
        <v>#N/A</v>
      </c>
      <c r="H20037" s="4" t="str">
        <v/>
      </c>
      <c r="I20037" s="4" t="str">
        <v/>
      </c>
    </row>
    <row r="20038" spans="5:9" ht="16.5" hidden="1">
      <c r="E20038" s="4" t="str">
        <v/>
      </c>
      <c r="F20038" s="102" t="str">
        <f ca="1">IFERROR(__xludf.DUMMYFUNCTION("IMPORTRANGE(H20038,""IDENTITAS UNIT!D9"")"),"#N/A")</f>
        <v>#N/A</v>
      </c>
      <c r="H20038" s="4" t="str">
        <v/>
      </c>
      <c r="I20038" s="4" t="str">
        <v/>
      </c>
    </row>
    <row r="20039" spans="5:9" ht="16.5" hidden="1">
      <c r="E20039" s="4" t="str">
        <v/>
      </c>
      <c r="F20039" s="102" t="str">
        <f ca="1">IFERROR(__xludf.DUMMYFUNCTION("IMPORTRANGE(H20039,""IDENTITAS UNIT!D9"")"),"#N/A")</f>
        <v>#N/A</v>
      </c>
      <c r="H20039" s="4" t="str">
        <v/>
      </c>
      <c r="I20039" s="4" t="str">
        <v/>
      </c>
    </row>
    <row r="20040" spans="5:9" ht="16.5" hidden="1">
      <c r="E20040" s="4" t="str">
        <v/>
      </c>
      <c r="F20040" s="102" t="str">
        <f ca="1">IFERROR(__xludf.DUMMYFUNCTION("IMPORTRANGE(H20040,""IDENTITAS UNIT!D9"")"),"#N/A")</f>
        <v>#N/A</v>
      </c>
      <c r="H20040" s="4" t="str">
        <v/>
      </c>
      <c r="I20040" s="4" t="str">
        <v/>
      </c>
    </row>
    <row r="20041" spans="5:9" ht="16.5" hidden="1">
      <c r="E20041" s="4" t="str">
        <v/>
      </c>
      <c r="F20041" s="102" t="str">
        <f ca="1">IFERROR(__xludf.DUMMYFUNCTION("IMPORTRANGE(H20041,""IDENTITAS UNIT!D9"")"),"#N/A")</f>
        <v>#N/A</v>
      </c>
      <c r="H20041" s="4" t="str">
        <v/>
      </c>
      <c r="I20041" s="4" t="str">
        <v/>
      </c>
    </row>
    <row r="20042" spans="5:9" ht="16.5" hidden="1">
      <c r="E20042" s="4" t="str">
        <v/>
      </c>
      <c r="F20042" s="102" t="str">
        <f ca="1">IFERROR(__xludf.DUMMYFUNCTION("IMPORTRANGE(H20042,""IDENTITAS UNIT!D9"")"),"#N/A")</f>
        <v>#N/A</v>
      </c>
      <c r="H20042" s="4" t="str">
        <v/>
      </c>
      <c r="I20042" s="4" t="str">
        <v/>
      </c>
    </row>
    <row r="20043" spans="5:9" ht="16.5" hidden="1">
      <c r="E20043" s="4" t="str">
        <v/>
      </c>
      <c r="F20043" s="102" t="str">
        <f ca="1">IFERROR(__xludf.DUMMYFUNCTION("IMPORTRANGE(H20043,""IDENTITAS UNIT!D9"")"),"#N/A")</f>
        <v>#N/A</v>
      </c>
      <c r="H20043" s="4" t="str">
        <v/>
      </c>
      <c r="I20043" s="4" t="str">
        <v/>
      </c>
    </row>
    <row r="20044" spans="5:9" ht="16.5" hidden="1">
      <c r="E20044" s="4" t="str">
        <v/>
      </c>
      <c r="F20044" s="102" t="str">
        <f ca="1">IFERROR(__xludf.DUMMYFUNCTION("IMPORTRANGE(H20044,""IDENTITAS UNIT!D9"")"),"#N/A")</f>
        <v>#N/A</v>
      </c>
      <c r="H20044" s="4" t="str">
        <v/>
      </c>
      <c r="I20044" s="4" t="str">
        <v/>
      </c>
    </row>
    <row r="20045" spans="5:9" ht="16.5" hidden="1">
      <c r="E20045" s="4" t="str">
        <v/>
      </c>
      <c r="F20045" s="102" t="str">
        <f ca="1">IFERROR(__xludf.DUMMYFUNCTION("IMPORTRANGE(H20045,""IDENTITAS UNIT!D9"")"),"#N/A")</f>
        <v>#N/A</v>
      </c>
      <c r="H20045" s="4" t="str">
        <v/>
      </c>
      <c r="I20045" s="4" t="str">
        <v/>
      </c>
    </row>
    <row r="20046" spans="5:9" ht="16.5" hidden="1">
      <c r="E20046" s="4" t="str">
        <v/>
      </c>
      <c r="F20046" s="102" t="str">
        <f ca="1">IFERROR(__xludf.DUMMYFUNCTION("IMPORTRANGE(H20046,""IDENTITAS UNIT!D9"")"),"#N/A")</f>
        <v>#N/A</v>
      </c>
      <c r="H20046" s="4" t="str">
        <v/>
      </c>
      <c r="I20046" s="4" t="str">
        <v/>
      </c>
    </row>
    <row r="20047" spans="5:9" ht="16.5" hidden="1">
      <c r="E20047" s="4" t="str">
        <v/>
      </c>
      <c r="F20047" s="102" t="str">
        <f ca="1">IFERROR(__xludf.DUMMYFUNCTION("IMPORTRANGE(H20047,""IDENTITAS UNIT!D9"")"),"#N/A")</f>
        <v>#N/A</v>
      </c>
      <c r="H20047" s="4" t="str">
        <v/>
      </c>
      <c r="I20047" s="4" t="str">
        <v/>
      </c>
    </row>
    <row r="20048" spans="5:9" ht="16.5" hidden="1">
      <c r="E20048" s="4" t="str">
        <v/>
      </c>
      <c r="F20048" s="102" t="str">
        <f ca="1">IFERROR(__xludf.DUMMYFUNCTION("IMPORTRANGE(H20048,""IDENTITAS UNIT!D9"")"),"#N/A")</f>
        <v>#N/A</v>
      </c>
      <c r="H20048" s="4" t="str">
        <v/>
      </c>
      <c r="I20048" s="4" t="str">
        <v/>
      </c>
    </row>
    <row r="20049" spans="5:9" ht="16.5" hidden="1">
      <c r="E20049" s="4" t="str">
        <v/>
      </c>
      <c r="F20049" s="102" t="str">
        <f ca="1">IFERROR(__xludf.DUMMYFUNCTION("IMPORTRANGE(H20049,""IDENTITAS UNIT!D9"")"),"#N/A")</f>
        <v>#N/A</v>
      </c>
      <c r="H20049" s="4" t="str">
        <v/>
      </c>
      <c r="I20049" s="4" t="str">
        <v/>
      </c>
    </row>
    <row r="20050" spans="5:9" ht="16.5" hidden="1">
      <c r="E20050" s="4" t="str">
        <v/>
      </c>
      <c r="F20050" s="102" t="str">
        <f ca="1">IFERROR(__xludf.DUMMYFUNCTION("IMPORTRANGE(H20050,""IDENTITAS UNIT!D9"")"),"#N/A")</f>
        <v>#N/A</v>
      </c>
      <c r="H20050" s="4" t="str">
        <v/>
      </c>
      <c r="I20050" s="4" t="str">
        <v/>
      </c>
    </row>
    <row r="20051" spans="5:9" ht="16.5" hidden="1">
      <c r="E20051" s="4" t="str">
        <v/>
      </c>
      <c r="F20051" s="102" t="str">
        <f ca="1">IFERROR(__xludf.DUMMYFUNCTION("IMPORTRANGE(H20051,""IDENTITAS UNIT!D9"")"),"#N/A")</f>
        <v>#N/A</v>
      </c>
      <c r="H20051" s="4" t="str">
        <v/>
      </c>
      <c r="I20051" s="4" t="str">
        <v/>
      </c>
    </row>
    <row r="20052" spans="5:9" ht="16.5" hidden="1">
      <c r="E20052" s="4" t="str">
        <v/>
      </c>
      <c r="F20052" s="102" t="str">
        <f ca="1">IFERROR(__xludf.DUMMYFUNCTION("IMPORTRANGE(H20052,""IDENTITAS UNIT!D9"")"),"#N/A")</f>
        <v>#N/A</v>
      </c>
      <c r="H20052" s="4" t="str">
        <v/>
      </c>
      <c r="I20052" s="4" t="str">
        <v/>
      </c>
    </row>
    <row r="20053" spans="5:9" ht="16.5" hidden="1">
      <c r="E20053" s="4" t="str">
        <v/>
      </c>
      <c r="F20053" s="102" t="str">
        <f ca="1">IFERROR(__xludf.DUMMYFUNCTION("IMPORTRANGE(H20053,""IDENTITAS UNIT!D9"")"),"#N/A")</f>
        <v>#N/A</v>
      </c>
      <c r="H20053" s="4" t="str">
        <v/>
      </c>
      <c r="I20053" s="4" t="str">
        <v/>
      </c>
    </row>
    <row r="20054" spans="5:9" ht="16.5" hidden="1">
      <c r="E20054" s="4" t="str">
        <v/>
      </c>
      <c r="F20054" s="102" t="str">
        <f ca="1">IFERROR(__xludf.DUMMYFUNCTION("IMPORTRANGE(H20054,""IDENTITAS UNIT!D9"")"),"#N/A")</f>
        <v>#N/A</v>
      </c>
      <c r="H20054" s="4" t="str">
        <v/>
      </c>
      <c r="I20054" s="4" t="str">
        <v/>
      </c>
    </row>
    <row r="20055" spans="5:9" ht="16.5" hidden="1">
      <c r="E20055" s="4" t="str">
        <v/>
      </c>
      <c r="F20055" s="102" t="str">
        <f ca="1">IFERROR(__xludf.DUMMYFUNCTION("IMPORTRANGE(H20055,""IDENTITAS UNIT!D9"")"),"#N/A")</f>
        <v>#N/A</v>
      </c>
      <c r="H20055" s="4" t="str">
        <v/>
      </c>
      <c r="I20055" s="4" t="str">
        <v/>
      </c>
    </row>
    <row r="20056" spans="5:9" ht="16.5" hidden="1">
      <c r="E20056" s="4" t="str">
        <v/>
      </c>
      <c r="F20056" s="102" t="str">
        <f ca="1">IFERROR(__xludf.DUMMYFUNCTION("IMPORTRANGE(H20056,""IDENTITAS UNIT!D9"")"),"#N/A")</f>
        <v>#N/A</v>
      </c>
      <c r="H20056" s="4" t="str">
        <v/>
      </c>
      <c r="I20056" s="4" t="str">
        <v/>
      </c>
    </row>
    <row r="20057" spans="5:9" ht="16.5" hidden="1">
      <c r="E20057" s="4" t="str">
        <v/>
      </c>
      <c r="F20057" s="102" t="str">
        <f ca="1">IFERROR(__xludf.DUMMYFUNCTION("IMPORTRANGE(H20057,""IDENTITAS UNIT!D9"")"),"#N/A")</f>
        <v>#N/A</v>
      </c>
      <c r="H20057" s="4" t="str">
        <v/>
      </c>
      <c r="I20057" s="4" t="str">
        <v/>
      </c>
    </row>
    <row r="20058" spans="5:9" ht="16.5" hidden="1">
      <c r="E20058" s="4" t="str">
        <v/>
      </c>
      <c r="F20058" s="102" t="str">
        <f ca="1">IFERROR(__xludf.DUMMYFUNCTION("IMPORTRANGE(H20058,""IDENTITAS UNIT!D9"")"),"#N/A")</f>
        <v>#N/A</v>
      </c>
      <c r="H20058" s="4" t="str">
        <v/>
      </c>
      <c r="I20058" s="4" t="str">
        <v/>
      </c>
    </row>
    <row r="20059" spans="5:9" ht="16.5" hidden="1">
      <c r="E20059" s="4" t="str">
        <v/>
      </c>
      <c r="F20059" s="102" t="str">
        <f ca="1">IFERROR(__xludf.DUMMYFUNCTION("IMPORTRANGE(H20059,""IDENTITAS UNIT!D9"")"),"#N/A")</f>
        <v>#N/A</v>
      </c>
      <c r="H20059" s="4" t="str">
        <v/>
      </c>
      <c r="I20059" s="4" t="str">
        <v/>
      </c>
    </row>
    <row r="20060" spans="5:9" ht="16.5" hidden="1">
      <c r="E20060" s="4" t="str">
        <v/>
      </c>
      <c r="F20060" s="102" t="str">
        <f ca="1">IFERROR(__xludf.DUMMYFUNCTION("IMPORTRANGE(H20060,""IDENTITAS UNIT!D9"")"),"#N/A")</f>
        <v>#N/A</v>
      </c>
      <c r="H20060" s="4" t="str">
        <v/>
      </c>
      <c r="I20060" s="4" t="str">
        <v/>
      </c>
    </row>
    <row r="20061" spans="5:9" ht="16.5" hidden="1">
      <c r="E20061" s="4" t="str">
        <v/>
      </c>
      <c r="F20061" s="102" t="str">
        <f ca="1">IFERROR(__xludf.DUMMYFUNCTION("IMPORTRANGE(H20061,""IDENTITAS UNIT!D9"")"),"#N/A")</f>
        <v>#N/A</v>
      </c>
      <c r="H20061" s="4" t="str">
        <v/>
      </c>
      <c r="I20061" s="4" t="str">
        <v/>
      </c>
    </row>
    <row r="20062" spans="5:9" ht="16.5" hidden="1">
      <c r="E20062" s="4" t="str">
        <v/>
      </c>
      <c r="F20062" s="102" t="str">
        <f ca="1">IFERROR(__xludf.DUMMYFUNCTION("IMPORTRANGE(H20062,""IDENTITAS UNIT!D9"")"),"#N/A")</f>
        <v>#N/A</v>
      </c>
      <c r="H20062" s="4" t="str">
        <v/>
      </c>
      <c r="I20062" s="4" t="str">
        <v/>
      </c>
    </row>
    <row r="20063" spans="5:9" ht="16.5" hidden="1">
      <c r="E20063" s="4" t="str">
        <v/>
      </c>
      <c r="F20063" s="102" t="str">
        <f ca="1">IFERROR(__xludf.DUMMYFUNCTION("IMPORTRANGE(H20063,""IDENTITAS UNIT!D9"")"),"#N/A")</f>
        <v>#N/A</v>
      </c>
      <c r="H20063" s="4" t="str">
        <v/>
      </c>
      <c r="I20063" s="4" t="str">
        <v/>
      </c>
    </row>
    <row r="20064" spans="5:9" ht="16.5" hidden="1">
      <c r="E20064" s="4" t="str">
        <v/>
      </c>
      <c r="F20064" s="102" t="str">
        <f ca="1">IFERROR(__xludf.DUMMYFUNCTION("IMPORTRANGE(H20064,""IDENTITAS UNIT!D9"")"),"#N/A")</f>
        <v>#N/A</v>
      </c>
      <c r="H20064" s="4" t="str">
        <v/>
      </c>
      <c r="I20064" s="4" t="str">
        <v/>
      </c>
    </row>
    <row r="20065" spans="5:9" ht="16.5" hidden="1">
      <c r="E20065" s="4" t="str">
        <v/>
      </c>
      <c r="F20065" s="102" t="str">
        <f ca="1">IFERROR(__xludf.DUMMYFUNCTION("IMPORTRANGE(H20065,""IDENTITAS UNIT!D9"")"),"#N/A")</f>
        <v>#N/A</v>
      </c>
      <c r="H20065" s="4" t="str">
        <v/>
      </c>
      <c r="I20065" s="4" t="str">
        <v/>
      </c>
    </row>
    <row r="20066" spans="5:9" ht="16.5" hidden="1">
      <c r="E20066" s="4" t="str">
        <v/>
      </c>
      <c r="F20066" s="102" t="str">
        <f ca="1">IFERROR(__xludf.DUMMYFUNCTION("IMPORTRANGE(H20066,""IDENTITAS UNIT!D9"")"),"#N/A")</f>
        <v>#N/A</v>
      </c>
      <c r="H20066" s="4" t="str">
        <v/>
      </c>
      <c r="I20066" s="4" t="str">
        <v/>
      </c>
    </row>
    <row r="20067" spans="5:9" ht="16.5" hidden="1">
      <c r="E20067" s="4" t="str">
        <v/>
      </c>
      <c r="F20067" s="102" t="str">
        <f ca="1">IFERROR(__xludf.DUMMYFUNCTION("IMPORTRANGE(H20067,""IDENTITAS UNIT!D9"")"),"#N/A")</f>
        <v>#N/A</v>
      </c>
      <c r="H20067" s="4" t="str">
        <v/>
      </c>
      <c r="I20067" s="4" t="str">
        <v/>
      </c>
    </row>
    <row r="20068" spans="5:9" ht="16.5" hidden="1">
      <c r="E20068" s="4" t="str">
        <v/>
      </c>
      <c r="F20068" s="102" t="str">
        <f ca="1">IFERROR(__xludf.DUMMYFUNCTION("IMPORTRANGE(H20068,""IDENTITAS UNIT!D9"")"),"#N/A")</f>
        <v>#N/A</v>
      </c>
      <c r="H20068" s="4" t="str">
        <v/>
      </c>
      <c r="I20068" s="4" t="str">
        <v/>
      </c>
    </row>
    <row r="20069" spans="5:9" ht="16.5" hidden="1">
      <c r="E20069" s="4" t="str">
        <v/>
      </c>
      <c r="F20069" s="102" t="str">
        <f ca="1">IFERROR(__xludf.DUMMYFUNCTION("IMPORTRANGE(H20069,""IDENTITAS UNIT!D9"")"),"#N/A")</f>
        <v>#N/A</v>
      </c>
      <c r="H20069" s="4" t="str">
        <v/>
      </c>
      <c r="I20069" s="4" t="str">
        <v/>
      </c>
    </row>
    <row r="20070" spans="5:9" ht="16.5" hidden="1">
      <c r="E20070" s="4" t="str">
        <v/>
      </c>
      <c r="F20070" s="102" t="str">
        <f ca="1">IFERROR(__xludf.DUMMYFUNCTION("IMPORTRANGE(H20070,""IDENTITAS UNIT!D9"")"),"#N/A")</f>
        <v>#N/A</v>
      </c>
      <c r="H20070" s="4" t="str">
        <v/>
      </c>
      <c r="I20070" s="4" t="str">
        <v/>
      </c>
    </row>
    <row r="20071" spans="5:9" ht="16.5" hidden="1">
      <c r="E20071" s="4" t="str">
        <v/>
      </c>
      <c r="F20071" s="102" t="str">
        <f ca="1">IFERROR(__xludf.DUMMYFUNCTION("IMPORTRANGE(H20071,""IDENTITAS UNIT!D9"")"),"#N/A")</f>
        <v>#N/A</v>
      </c>
      <c r="H20071" s="4" t="str">
        <v/>
      </c>
      <c r="I20071" s="4" t="str">
        <v/>
      </c>
    </row>
    <row r="20072" spans="5:9" ht="16.5" hidden="1">
      <c r="E20072" s="4" t="str">
        <v/>
      </c>
      <c r="F20072" s="102" t="str">
        <f ca="1">IFERROR(__xludf.DUMMYFUNCTION("IMPORTRANGE(H20072,""IDENTITAS UNIT!D9"")"),"#N/A")</f>
        <v>#N/A</v>
      </c>
      <c r="H20072" s="4" t="str">
        <v/>
      </c>
      <c r="I20072" s="4" t="str">
        <v/>
      </c>
    </row>
    <row r="20073" spans="5:9" ht="16.5" hidden="1">
      <c r="E20073" s="4" t="str">
        <v/>
      </c>
      <c r="F20073" s="102" t="str">
        <f ca="1">IFERROR(__xludf.DUMMYFUNCTION("IMPORTRANGE(H20073,""IDENTITAS UNIT!D9"")"),"#N/A")</f>
        <v>#N/A</v>
      </c>
      <c r="H20073" s="4" t="str">
        <v/>
      </c>
      <c r="I20073" s="4" t="str">
        <v/>
      </c>
    </row>
    <row r="20074" spans="5:9" ht="16.5" hidden="1">
      <c r="E20074" s="4" t="str">
        <v/>
      </c>
      <c r="F20074" s="102" t="str">
        <f ca="1">IFERROR(__xludf.DUMMYFUNCTION("IMPORTRANGE(H20074,""IDENTITAS UNIT!D9"")"),"#N/A")</f>
        <v>#N/A</v>
      </c>
      <c r="H20074" s="4" t="str">
        <v/>
      </c>
      <c r="I20074" s="4" t="str">
        <v/>
      </c>
    </row>
    <row r="20075" spans="5:9" ht="16.5" hidden="1">
      <c r="E20075" s="4" t="str">
        <v/>
      </c>
      <c r="F20075" s="102" t="str">
        <f ca="1">IFERROR(__xludf.DUMMYFUNCTION("IMPORTRANGE(H20075,""IDENTITAS UNIT!D9"")"),"#N/A")</f>
        <v>#N/A</v>
      </c>
      <c r="H20075" s="4" t="str">
        <v/>
      </c>
      <c r="I20075" s="4" t="str">
        <v/>
      </c>
    </row>
    <row r="20076" spans="5:9" ht="16.5" hidden="1">
      <c r="E20076" s="4" t="str">
        <v/>
      </c>
      <c r="F20076" s="102" t="str">
        <f ca="1">IFERROR(__xludf.DUMMYFUNCTION("IMPORTRANGE(H20076,""IDENTITAS UNIT!D9"")"),"#N/A")</f>
        <v>#N/A</v>
      </c>
      <c r="H20076" s="4" t="str">
        <v/>
      </c>
      <c r="I20076" s="4" t="str">
        <v/>
      </c>
    </row>
    <row r="20077" spans="5:9" ht="16.5" hidden="1">
      <c r="E20077" s="4" t="str">
        <v/>
      </c>
      <c r="F20077" s="102" t="str">
        <f ca="1">IFERROR(__xludf.DUMMYFUNCTION("IMPORTRANGE(H20077,""IDENTITAS UNIT!D9"")"),"#N/A")</f>
        <v>#N/A</v>
      </c>
      <c r="H20077" s="4" t="str">
        <v/>
      </c>
      <c r="I20077" s="4" t="str">
        <v/>
      </c>
    </row>
    <row r="20078" spans="5:9" ht="16.5" hidden="1">
      <c r="E20078" s="4" t="str">
        <v/>
      </c>
      <c r="F20078" s="102" t="str">
        <f ca="1">IFERROR(__xludf.DUMMYFUNCTION("IMPORTRANGE(H20078,""IDENTITAS UNIT!D9"")"),"#N/A")</f>
        <v>#N/A</v>
      </c>
      <c r="H20078" s="4" t="str">
        <v/>
      </c>
      <c r="I20078" s="4" t="str">
        <v/>
      </c>
    </row>
    <row r="20079" spans="5:9" ht="16.5" hidden="1">
      <c r="E20079" s="4" t="str">
        <v/>
      </c>
      <c r="F20079" s="102" t="str">
        <f ca="1">IFERROR(__xludf.DUMMYFUNCTION("IMPORTRANGE(H20079,""IDENTITAS UNIT!D9"")"),"#N/A")</f>
        <v>#N/A</v>
      </c>
      <c r="H20079" s="4" t="str">
        <v/>
      </c>
      <c r="I20079" s="4" t="str">
        <v/>
      </c>
    </row>
    <row r="20080" spans="5:9" ht="16.5" hidden="1">
      <c r="E20080" s="4" t="str">
        <v/>
      </c>
      <c r="F20080" s="102" t="str">
        <f ca="1">IFERROR(__xludf.DUMMYFUNCTION("IMPORTRANGE(H20080,""IDENTITAS UNIT!D9"")"),"#N/A")</f>
        <v>#N/A</v>
      </c>
      <c r="H20080" s="4" t="str">
        <v/>
      </c>
      <c r="I20080" s="4" t="str">
        <v/>
      </c>
    </row>
    <row r="20081" spans="5:9" ht="16.5" hidden="1">
      <c r="E20081" s="4" t="str">
        <v/>
      </c>
      <c r="F20081" s="102" t="str">
        <f ca="1">IFERROR(__xludf.DUMMYFUNCTION("IMPORTRANGE(H20081,""IDENTITAS UNIT!D9"")"),"#N/A")</f>
        <v>#N/A</v>
      </c>
      <c r="H20081" s="4" t="str">
        <v/>
      </c>
      <c r="I20081" s="4" t="str">
        <v/>
      </c>
    </row>
    <row r="20082" spans="5:9" ht="16.5" hidden="1">
      <c r="E20082" s="4" t="str">
        <v/>
      </c>
      <c r="F20082" s="102" t="str">
        <f ca="1">IFERROR(__xludf.DUMMYFUNCTION("IMPORTRANGE(H20082,""IDENTITAS UNIT!D9"")"),"#N/A")</f>
        <v>#N/A</v>
      </c>
      <c r="H20082" s="4" t="str">
        <v/>
      </c>
      <c r="I20082" s="4" t="str">
        <v/>
      </c>
    </row>
    <row r="20083" spans="5:9" ht="16.5" hidden="1">
      <c r="E20083" s="4" t="str">
        <v/>
      </c>
      <c r="F20083" s="102" t="str">
        <f ca="1">IFERROR(__xludf.DUMMYFUNCTION("IMPORTRANGE(H20083,""IDENTITAS UNIT!D9"")"),"#N/A")</f>
        <v>#N/A</v>
      </c>
      <c r="H20083" s="4" t="str">
        <v/>
      </c>
      <c r="I20083" s="4" t="str">
        <v/>
      </c>
    </row>
    <row r="20084" spans="5:9" ht="16.5" hidden="1">
      <c r="E20084" s="4" t="str">
        <v/>
      </c>
      <c r="F20084" s="102" t="str">
        <f ca="1">IFERROR(__xludf.DUMMYFUNCTION("IMPORTRANGE(H20084,""IDENTITAS UNIT!D9"")"),"#N/A")</f>
        <v>#N/A</v>
      </c>
      <c r="H20084" s="4" t="str">
        <v/>
      </c>
      <c r="I20084" s="4" t="str">
        <v/>
      </c>
    </row>
    <row r="20085" spans="5:9" ht="16.5" hidden="1">
      <c r="E20085" s="4" t="str">
        <v/>
      </c>
      <c r="F20085" s="102" t="str">
        <f ca="1">IFERROR(__xludf.DUMMYFUNCTION("IMPORTRANGE(H20085,""IDENTITAS UNIT!D9"")"),"#N/A")</f>
        <v>#N/A</v>
      </c>
      <c r="H20085" s="4" t="str">
        <v/>
      </c>
      <c r="I20085" s="4" t="str">
        <v/>
      </c>
    </row>
    <row r="20086" spans="5:9" ht="16.5" hidden="1">
      <c r="E20086" s="4" t="str">
        <v/>
      </c>
      <c r="F20086" s="102" t="str">
        <f ca="1">IFERROR(__xludf.DUMMYFUNCTION("IMPORTRANGE(H20086,""IDENTITAS UNIT!D9"")"),"#N/A")</f>
        <v>#N/A</v>
      </c>
      <c r="H20086" s="4" t="str">
        <v/>
      </c>
      <c r="I20086" s="4" t="str">
        <v/>
      </c>
    </row>
    <row r="20087" spans="5:9" ht="16.5" hidden="1">
      <c r="E20087" s="4" t="str">
        <v/>
      </c>
      <c r="F20087" s="102" t="str">
        <f ca="1">IFERROR(__xludf.DUMMYFUNCTION("IMPORTRANGE(H20087,""IDENTITAS UNIT!D9"")"),"#N/A")</f>
        <v>#N/A</v>
      </c>
      <c r="H20087" s="4" t="str">
        <v/>
      </c>
      <c r="I20087" s="4" t="str">
        <v/>
      </c>
    </row>
    <row r="20088" spans="5:9" ht="16.5" hidden="1">
      <c r="E20088" s="4" t="str">
        <v/>
      </c>
      <c r="F20088" s="102" t="str">
        <f ca="1">IFERROR(__xludf.DUMMYFUNCTION("IMPORTRANGE(H20088,""IDENTITAS UNIT!D9"")"),"#N/A")</f>
        <v>#N/A</v>
      </c>
      <c r="H20088" s="4" t="str">
        <v/>
      </c>
      <c r="I20088" s="4" t="str">
        <v/>
      </c>
    </row>
    <row r="20089" spans="5:9" ht="16.5" hidden="1">
      <c r="E20089" s="4" t="str">
        <v/>
      </c>
      <c r="F20089" s="102" t="str">
        <f ca="1">IFERROR(__xludf.DUMMYFUNCTION("IMPORTRANGE(H20089,""IDENTITAS UNIT!D9"")"),"#N/A")</f>
        <v>#N/A</v>
      </c>
      <c r="H20089" s="4" t="str">
        <v/>
      </c>
      <c r="I20089" s="4" t="str">
        <v/>
      </c>
    </row>
    <row r="20090" spans="5:9" ht="16.5" hidden="1">
      <c r="E20090" s="4" t="str">
        <v/>
      </c>
      <c r="F20090" s="102" t="str">
        <f ca="1">IFERROR(__xludf.DUMMYFUNCTION("IMPORTRANGE(H20090,""IDENTITAS UNIT!D9"")"),"#N/A")</f>
        <v>#N/A</v>
      </c>
      <c r="H20090" s="4" t="str">
        <v/>
      </c>
      <c r="I20090" s="4" t="str">
        <v/>
      </c>
    </row>
    <row r="20091" spans="5:9" ht="16.5" hidden="1">
      <c r="E20091" s="4" t="str">
        <v/>
      </c>
      <c r="F20091" s="102" t="str">
        <f ca="1">IFERROR(__xludf.DUMMYFUNCTION("IMPORTRANGE(H20091,""IDENTITAS UNIT!D9"")"),"#N/A")</f>
        <v>#N/A</v>
      </c>
      <c r="H20091" s="4" t="str">
        <v/>
      </c>
      <c r="I20091" s="4" t="str">
        <v/>
      </c>
    </row>
    <row r="20092" spans="5:9" ht="16.5" hidden="1">
      <c r="E20092" s="4" t="str">
        <v/>
      </c>
      <c r="F20092" s="102" t="str">
        <f ca="1">IFERROR(__xludf.DUMMYFUNCTION("IMPORTRANGE(H20092,""IDENTITAS UNIT!D9"")"),"#N/A")</f>
        <v>#N/A</v>
      </c>
      <c r="H20092" s="4" t="str">
        <v/>
      </c>
      <c r="I20092" s="4" t="str">
        <v/>
      </c>
    </row>
    <row r="20093" spans="5:9" ht="16.5" hidden="1">
      <c r="E20093" s="4" t="str">
        <v/>
      </c>
      <c r="F20093" s="102" t="str">
        <f ca="1">IFERROR(__xludf.DUMMYFUNCTION("IMPORTRANGE(H20093,""IDENTITAS UNIT!D9"")"),"#N/A")</f>
        <v>#N/A</v>
      </c>
      <c r="H20093" s="4" t="str">
        <v/>
      </c>
      <c r="I20093" s="4" t="str">
        <v/>
      </c>
    </row>
    <row r="20094" spans="5:9" ht="16.5" hidden="1">
      <c r="E20094" s="4" t="str">
        <v/>
      </c>
      <c r="F20094" s="102" t="str">
        <f ca="1">IFERROR(__xludf.DUMMYFUNCTION("IMPORTRANGE(H20094,""IDENTITAS UNIT!D9"")"),"#N/A")</f>
        <v>#N/A</v>
      </c>
      <c r="H20094" s="4" t="str">
        <v/>
      </c>
      <c r="I20094" s="4" t="str">
        <v/>
      </c>
    </row>
    <row r="20095" spans="5:9" ht="16.5" hidden="1">
      <c r="E20095" s="4" t="str">
        <v/>
      </c>
      <c r="F20095" s="102" t="str">
        <f ca="1">IFERROR(__xludf.DUMMYFUNCTION("IMPORTRANGE(H20095,""IDENTITAS UNIT!D9"")"),"#N/A")</f>
        <v>#N/A</v>
      </c>
      <c r="H20095" s="4" t="str">
        <v/>
      </c>
      <c r="I20095" s="4" t="str">
        <v/>
      </c>
    </row>
    <row r="20096" spans="5:9" ht="16.5" hidden="1">
      <c r="E20096" s="4" t="str">
        <v/>
      </c>
      <c r="F20096" s="102" t="str">
        <f ca="1">IFERROR(__xludf.DUMMYFUNCTION("IMPORTRANGE(H20096,""IDENTITAS UNIT!D9"")"),"#N/A")</f>
        <v>#N/A</v>
      </c>
      <c r="H20096" s="4" t="str">
        <v/>
      </c>
      <c r="I20096" s="4" t="str">
        <v/>
      </c>
    </row>
    <row r="20097" spans="5:9" ht="16.5" hidden="1">
      <c r="E20097" s="4" t="str">
        <v/>
      </c>
      <c r="F20097" s="102" t="str">
        <f ca="1">IFERROR(__xludf.DUMMYFUNCTION("IMPORTRANGE(H20097,""IDENTITAS UNIT!D9"")"),"#N/A")</f>
        <v>#N/A</v>
      </c>
      <c r="H20097" s="4" t="str">
        <v/>
      </c>
      <c r="I20097" s="4" t="str">
        <v/>
      </c>
    </row>
    <row r="20098" spans="5:9" ht="16.5" hidden="1">
      <c r="E20098" s="4" t="str">
        <v/>
      </c>
      <c r="F20098" s="102" t="str">
        <f ca="1">IFERROR(__xludf.DUMMYFUNCTION("IMPORTRANGE(H20098,""IDENTITAS UNIT!D9"")"),"#N/A")</f>
        <v>#N/A</v>
      </c>
      <c r="H20098" s="4" t="str">
        <v/>
      </c>
      <c r="I20098" s="4" t="str">
        <v/>
      </c>
    </row>
    <row r="20099" spans="5:9" ht="16.5" hidden="1">
      <c r="E20099" s="4" t="str">
        <v/>
      </c>
      <c r="F20099" s="102" t="str">
        <f ca="1">IFERROR(__xludf.DUMMYFUNCTION("IMPORTRANGE(H20099,""IDENTITAS UNIT!D9"")"),"#N/A")</f>
        <v>#N/A</v>
      </c>
      <c r="H20099" s="4" t="str">
        <v/>
      </c>
      <c r="I20099" s="4" t="str">
        <v/>
      </c>
    </row>
    <row r="20100" spans="5:9" ht="16.5" hidden="1">
      <c r="E20100" s="4" t="str">
        <v/>
      </c>
      <c r="F20100" s="102" t="str">
        <f ca="1">IFERROR(__xludf.DUMMYFUNCTION("IMPORTRANGE(H20100,""IDENTITAS UNIT!D9"")"),"#N/A")</f>
        <v>#N/A</v>
      </c>
      <c r="H20100" s="4" t="str">
        <v/>
      </c>
      <c r="I20100" s="4" t="str">
        <v/>
      </c>
    </row>
    <row r="20101" spans="5:9" ht="16.5" hidden="1">
      <c r="E20101" s="4" t="str">
        <v/>
      </c>
      <c r="F20101" s="102" t="str">
        <f ca="1">IFERROR(__xludf.DUMMYFUNCTION("IMPORTRANGE(H20101,""IDENTITAS UNIT!D9"")"),"#N/A")</f>
        <v>#N/A</v>
      </c>
      <c r="H20101" s="4" t="str">
        <v/>
      </c>
      <c r="I20101" s="4" t="str">
        <v/>
      </c>
    </row>
    <row r="20102" spans="5:9" ht="16.5" hidden="1">
      <c r="E20102" s="4" t="str">
        <v/>
      </c>
      <c r="F20102" s="102" t="str">
        <f ca="1">IFERROR(__xludf.DUMMYFUNCTION("IMPORTRANGE(H20102,""IDENTITAS UNIT!D9"")"),"#N/A")</f>
        <v>#N/A</v>
      </c>
      <c r="H20102" s="4" t="str">
        <v/>
      </c>
      <c r="I20102" s="4" t="str">
        <v/>
      </c>
    </row>
    <row r="20103" spans="5:9" ht="16.5" hidden="1">
      <c r="E20103" s="4" t="str">
        <v/>
      </c>
      <c r="F20103" s="102" t="str">
        <f ca="1">IFERROR(__xludf.DUMMYFUNCTION("IMPORTRANGE(H20103,""IDENTITAS UNIT!D9"")"),"#N/A")</f>
        <v>#N/A</v>
      </c>
      <c r="H20103" s="4" t="str">
        <v/>
      </c>
      <c r="I20103" s="4" t="str">
        <v/>
      </c>
    </row>
    <row r="20104" spans="5:9" ht="16.5" hidden="1">
      <c r="E20104" s="4" t="str">
        <v/>
      </c>
      <c r="F20104" s="102" t="str">
        <f ca="1">IFERROR(__xludf.DUMMYFUNCTION("IMPORTRANGE(H20104,""IDENTITAS UNIT!D9"")"),"#N/A")</f>
        <v>#N/A</v>
      </c>
      <c r="H20104" s="4" t="str">
        <v/>
      </c>
      <c r="I20104" s="4" t="str">
        <v/>
      </c>
    </row>
    <row r="20105" spans="5:9" ht="16.5" hidden="1">
      <c r="E20105" s="4" t="str">
        <v/>
      </c>
      <c r="F20105" s="102" t="str">
        <f ca="1">IFERROR(__xludf.DUMMYFUNCTION("IMPORTRANGE(H20105,""IDENTITAS UNIT!D9"")"),"#N/A")</f>
        <v>#N/A</v>
      </c>
      <c r="H20105" s="4" t="str">
        <v/>
      </c>
      <c r="I20105" s="4" t="str">
        <v/>
      </c>
    </row>
    <row r="20106" spans="5:9" ht="16.5" hidden="1">
      <c r="E20106" s="4" t="str">
        <v/>
      </c>
      <c r="F20106" s="102" t="str">
        <f ca="1">IFERROR(__xludf.DUMMYFUNCTION("IMPORTRANGE(H20106,""IDENTITAS UNIT!D9"")"),"#N/A")</f>
        <v>#N/A</v>
      </c>
      <c r="H20106" s="4" t="str">
        <v/>
      </c>
      <c r="I20106" s="4" t="str">
        <v/>
      </c>
    </row>
    <row r="20107" spans="5:9" ht="16.5" hidden="1">
      <c r="E20107" s="4" t="str">
        <v/>
      </c>
      <c r="F20107" s="102" t="str">
        <f ca="1">IFERROR(__xludf.DUMMYFUNCTION("IMPORTRANGE(H20107,""IDENTITAS UNIT!D9"")"),"#N/A")</f>
        <v>#N/A</v>
      </c>
      <c r="H20107" s="4" t="str">
        <v/>
      </c>
      <c r="I20107" s="4" t="str">
        <v/>
      </c>
    </row>
    <row r="20108" spans="5:9" ht="16.5" hidden="1">
      <c r="E20108" s="4" t="str">
        <v/>
      </c>
      <c r="F20108" s="102" t="str">
        <f ca="1">IFERROR(__xludf.DUMMYFUNCTION("IMPORTRANGE(H20108,""IDENTITAS UNIT!D9"")"),"#N/A")</f>
        <v>#N/A</v>
      </c>
      <c r="H20108" s="4" t="str">
        <v/>
      </c>
      <c r="I20108" s="4" t="str">
        <v/>
      </c>
    </row>
    <row r="20109" spans="5:9" ht="16.5" hidden="1">
      <c r="E20109" s="4" t="str">
        <v/>
      </c>
      <c r="F20109" s="102" t="str">
        <f ca="1">IFERROR(__xludf.DUMMYFUNCTION("IMPORTRANGE(H20109,""IDENTITAS UNIT!D9"")"),"#N/A")</f>
        <v>#N/A</v>
      </c>
      <c r="H20109" s="4" t="str">
        <v/>
      </c>
      <c r="I20109" s="4" t="str">
        <v/>
      </c>
    </row>
    <row r="20110" spans="5:9" ht="16.5" hidden="1">
      <c r="E20110" s="4" t="str">
        <v/>
      </c>
      <c r="F20110" s="102" t="str">
        <f ca="1">IFERROR(__xludf.DUMMYFUNCTION("IMPORTRANGE(H20110,""IDENTITAS UNIT!D9"")"),"#N/A")</f>
        <v>#N/A</v>
      </c>
      <c r="H20110" s="4" t="str">
        <v/>
      </c>
      <c r="I20110" s="4" t="str">
        <v/>
      </c>
    </row>
    <row r="20111" spans="5:9" ht="16.5" hidden="1">
      <c r="E20111" s="4" t="str">
        <v/>
      </c>
      <c r="F20111" s="102" t="str">
        <f ca="1">IFERROR(__xludf.DUMMYFUNCTION("IMPORTRANGE(H20111,""IDENTITAS UNIT!D9"")"),"#N/A")</f>
        <v>#N/A</v>
      </c>
      <c r="H20111" s="4" t="str">
        <v/>
      </c>
      <c r="I20111" s="4" t="str">
        <v/>
      </c>
    </row>
    <row r="20112" spans="5:9" ht="16.5" hidden="1">
      <c r="E20112" s="4" t="str">
        <v/>
      </c>
      <c r="F20112" s="102" t="str">
        <f ca="1">IFERROR(__xludf.DUMMYFUNCTION("IMPORTRANGE(H20112,""IDENTITAS UNIT!D9"")"),"#N/A")</f>
        <v>#N/A</v>
      </c>
      <c r="H20112" s="4" t="str">
        <v/>
      </c>
      <c r="I20112" s="4" t="str">
        <v/>
      </c>
    </row>
    <row r="20113" spans="5:9" ht="16.5" hidden="1">
      <c r="E20113" s="4" t="str">
        <v/>
      </c>
      <c r="F20113" s="102" t="str">
        <f ca="1">IFERROR(__xludf.DUMMYFUNCTION("IMPORTRANGE(H20113,""IDENTITAS UNIT!D9"")"),"#N/A")</f>
        <v>#N/A</v>
      </c>
      <c r="H20113" s="4" t="str">
        <v/>
      </c>
      <c r="I20113" s="4" t="str">
        <v/>
      </c>
    </row>
    <row r="20114" spans="5:9" ht="16.5" hidden="1">
      <c r="E20114" s="4" t="str">
        <v/>
      </c>
      <c r="F20114" s="102" t="str">
        <f ca="1">IFERROR(__xludf.DUMMYFUNCTION("IMPORTRANGE(H20114,""IDENTITAS UNIT!D9"")"),"#N/A")</f>
        <v>#N/A</v>
      </c>
      <c r="H20114" s="4" t="str">
        <v/>
      </c>
      <c r="I20114" s="4" t="str">
        <v/>
      </c>
    </row>
    <row r="20115" spans="5:9" ht="16.5" hidden="1">
      <c r="E20115" s="4" t="str">
        <v/>
      </c>
      <c r="F20115" s="102" t="str">
        <f ca="1">IFERROR(__xludf.DUMMYFUNCTION("IMPORTRANGE(H20115,""IDENTITAS UNIT!D9"")"),"#N/A")</f>
        <v>#N/A</v>
      </c>
      <c r="H20115" s="4" t="str">
        <v/>
      </c>
      <c r="I20115" s="4" t="str">
        <v/>
      </c>
    </row>
    <row r="20116" spans="5:9" ht="16.5" hidden="1">
      <c r="E20116" s="4" t="str">
        <v/>
      </c>
      <c r="F20116" s="102" t="str">
        <f ca="1">IFERROR(__xludf.DUMMYFUNCTION("IMPORTRANGE(H20116,""IDENTITAS UNIT!D9"")"),"#N/A")</f>
        <v>#N/A</v>
      </c>
      <c r="H20116" s="4" t="str">
        <v/>
      </c>
      <c r="I20116" s="4" t="str">
        <v/>
      </c>
    </row>
    <row r="20117" spans="5:9" ht="16.5" hidden="1">
      <c r="E20117" s="4" t="str">
        <v/>
      </c>
      <c r="F20117" s="102" t="str">
        <f ca="1">IFERROR(__xludf.DUMMYFUNCTION("IMPORTRANGE(H20117,""IDENTITAS UNIT!D9"")"),"#N/A")</f>
        <v>#N/A</v>
      </c>
      <c r="H20117" s="4" t="str">
        <v/>
      </c>
      <c r="I20117" s="4" t="str">
        <v/>
      </c>
    </row>
    <row r="20118" spans="5:9" ht="16.5" hidden="1">
      <c r="E20118" s="4" t="str">
        <v/>
      </c>
      <c r="F20118" s="102" t="str">
        <f ca="1">IFERROR(__xludf.DUMMYFUNCTION("IMPORTRANGE(H20118,""IDENTITAS UNIT!D9"")"),"#N/A")</f>
        <v>#N/A</v>
      </c>
      <c r="H20118" s="4" t="str">
        <v/>
      </c>
      <c r="I20118" s="4" t="str">
        <v/>
      </c>
    </row>
    <row r="20119" spans="5:9" ht="16.5" hidden="1">
      <c r="E20119" s="4" t="str">
        <v/>
      </c>
      <c r="F20119" s="102" t="str">
        <f ca="1">IFERROR(__xludf.DUMMYFUNCTION("IMPORTRANGE(H20119,""IDENTITAS UNIT!D9"")"),"#N/A")</f>
        <v>#N/A</v>
      </c>
      <c r="H20119" s="4" t="str">
        <v/>
      </c>
      <c r="I20119" s="4" t="str">
        <v/>
      </c>
    </row>
    <row r="20120" spans="5:9" ht="16.5" hidden="1">
      <c r="E20120" s="4" t="str">
        <v/>
      </c>
      <c r="F20120" s="102" t="str">
        <f ca="1">IFERROR(__xludf.DUMMYFUNCTION("IMPORTRANGE(H20120,""IDENTITAS UNIT!D9"")"),"#N/A")</f>
        <v>#N/A</v>
      </c>
      <c r="H20120" s="4" t="str">
        <v/>
      </c>
      <c r="I20120" s="4" t="str">
        <v/>
      </c>
    </row>
    <row r="20121" spans="5:9" ht="16.5" hidden="1">
      <c r="E20121" s="4" t="str">
        <v/>
      </c>
      <c r="F20121" s="102" t="str">
        <f ca="1">IFERROR(__xludf.DUMMYFUNCTION("IMPORTRANGE(H20121,""IDENTITAS UNIT!D9"")"),"#N/A")</f>
        <v>#N/A</v>
      </c>
      <c r="H20121" s="4" t="str">
        <v/>
      </c>
      <c r="I20121" s="4" t="str">
        <v/>
      </c>
    </row>
    <row r="20122" spans="5:9" ht="16.5" hidden="1">
      <c r="E20122" s="4" t="str">
        <v/>
      </c>
      <c r="F20122" s="102" t="str">
        <f ca="1">IFERROR(__xludf.DUMMYFUNCTION("IMPORTRANGE(H20122,""IDENTITAS UNIT!D9"")"),"#N/A")</f>
        <v>#N/A</v>
      </c>
      <c r="H20122" s="4" t="str">
        <v/>
      </c>
      <c r="I20122" s="4" t="str">
        <v/>
      </c>
    </row>
    <row r="20123" spans="5:9" ht="16.5" hidden="1">
      <c r="E20123" s="4" t="str">
        <v/>
      </c>
      <c r="F20123" s="102" t="str">
        <f ca="1">IFERROR(__xludf.DUMMYFUNCTION("IMPORTRANGE(H20123,""IDENTITAS UNIT!D9"")"),"#N/A")</f>
        <v>#N/A</v>
      </c>
      <c r="H20123" s="4" t="str">
        <v/>
      </c>
      <c r="I20123" s="4" t="str">
        <v/>
      </c>
    </row>
    <row r="20124" spans="5:9" ht="16.5" hidden="1">
      <c r="E20124" s="4" t="str">
        <v/>
      </c>
      <c r="F20124" s="102" t="str">
        <f ca="1">IFERROR(__xludf.DUMMYFUNCTION("IMPORTRANGE(H20124,""IDENTITAS UNIT!D9"")"),"#N/A")</f>
        <v>#N/A</v>
      </c>
      <c r="H20124" s="4" t="str">
        <v/>
      </c>
      <c r="I20124" s="4" t="str">
        <v/>
      </c>
    </row>
    <row r="20125" spans="5:9" ht="16.5" hidden="1">
      <c r="E20125" s="4" t="str">
        <v/>
      </c>
      <c r="F20125" s="102" t="str">
        <f ca="1">IFERROR(__xludf.DUMMYFUNCTION("IMPORTRANGE(H20125,""IDENTITAS UNIT!D9"")"),"#N/A")</f>
        <v>#N/A</v>
      </c>
      <c r="H20125" s="4" t="str">
        <v/>
      </c>
      <c r="I20125" s="4" t="str">
        <v/>
      </c>
    </row>
    <row r="20126" spans="5:9" ht="16.5" hidden="1">
      <c r="E20126" s="4" t="str">
        <v/>
      </c>
      <c r="F20126" s="102" t="str">
        <f ca="1">IFERROR(__xludf.DUMMYFUNCTION("IMPORTRANGE(H20126,""IDENTITAS UNIT!D9"")"),"#N/A")</f>
        <v>#N/A</v>
      </c>
      <c r="H20126" s="4" t="str">
        <v/>
      </c>
      <c r="I20126" s="4" t="str">
        <v/>
      </c>
    </row>
    <row r="20127" spans="5:9" ht="16.5" hidden="1">
      <c r="E20127" s="4" t="str">
        <v/>
      </c>
      <c r="F20127" s="102" t="str">
        <f ca="1">IFERROR(__xludf.DUMMYFUNCTION("IMPORTRANGE(H20127,""IDENTITAS UNIT!D9"")"),"#N/A")</f>
        <v>#N/A</v>
      </c>
      <c r="H20127" s="4" t="str">
        <v/>
      </c>
      <c r="I20127" s="4" t="str">
        <v/>
      </c>
    </row>
    <row r="20128" spans="5:9" ht="16.5" hidden="1">
      <c r="E20128" s="4" t="str">
        <v/>
      </c>
      <c r="F20128" s="102" t="str">
        <f ca="1">IFERROR(__xludf.DUMMYFUNCTION("IMPORTRANGE(H20128,""IDENTITAS UNIT!D9"")"),"#N/A")</f>
        <v>#N/A</v>
      </c>
      <c r="H20128" s="4" t="str">
        <v/>
      </c>
      <c r="I20128" s="4" t="str">
        <v/>
      </c>
    </row>
    <row r="20129" spans="5:9" ht="16.5" hidden="1">
      <c r="E20129" s="4" t="str">
        <v/>
      </c>
      <c r="F20129" s="102" t="str">
        <f ca="1">IFERROR(__xludf.DUMMYFUNCTION("IMPORTRANGE(H20129,""IDENTITAS UNIT!D9"")"),"#N/A")</f>
        <v>#N/A</v>
      </c>
      <c r="H20129" s="4" t="str">
        <v/>
      </c>
      <c r="I20129" s="4" t="str">
        <v/>
      </c>
    </row>
    <row r="20130" spans="5:9" ht="16.5" hidden="1">
      <c r="E20130" s="4" t="str">
        <v/>
      </c>
      <c r="F20130" s="102" t="str">
        <f ca="1">IFERROR(__xludf.DUMMYFUNCTION("IMPORTRANGE(H20130,""IDENTITAS UNIT!D9"")"),"#N/A")</f>
        <v>#N/A</v>
      </c>
      <c r="H20130" s="4" t="str">
        <v/>
      </c>
      <c r="I20130" s="4" t="str">
        <v/>
      </c>
    </row>
    <row r="20131" spans="5:9" ht="16.5" hidden="1">
      <c r="E20131" s="4" t="str">
        <v/>
      </c>
      <c r="F20131" s="102" t="str">
        <f ca="1">IFERROR(__xludf.DUMMYFUNCTION("IMPORTRANGE(H20131,""IDENTITAS UNIT!D9"")"),"#N/A")</f>
        <v>#N/A</v>
      </c>
      <c r="H20131" s="4" t="str">
        <v/>
      </c>
      <c r="I20131" s="4" t="str">
        <v/>
      </c>
    </row>
    <row r="20132" spans="5:9" ht="16.5" hidden="1">
      <c r="E20132" s="4" t="str">
        <v/>
      </c>
      <c r="F20132" s="102" t="str">
        <f ca="1">IFERROR(__xludf.DUMMYFUNCTION("IMPORTRANGE(H20132,""IDENTITAS UNIT!D9"")"),"#N/A")</f>
        <v>#N/A</v>
      </c>
      <c r="H20132" s="4" t="str">
        <v/>
      </c>
      <c r="I20132" s="4" t="str">
        <v/>
      </c>
    </row>
    <row r="20133" spans="5:9" ht="16.5" hidden="1">
      <c r="E20133" s="4" t="str">
        <v/>
      </c>
      <c r="F20133" s="102" t="str">
        <f ca="1">IFERROR(__xludf.DUMMYFUNCTION("IMPORTRANGE(H20133,""IDENTITAS UNIT!D9"")"),"#N/A")</f>
        <v>#N/A</v>
      </c>
      <c r="H20133" s="4" t="str">
        <v/>
      </c>
      <c r="I20133" s="4" t="str">
        <v/>
      </c>
    </row>
    <row r="20134" spans="5:9" ht="16.5" hidden="1">
      <c r="E20134" s="4" t="str">
        <v/>
      </c>
      <c r="F20134" s="102" t="str">
        <f ca="1">IFERROR(__xludf.DUMMYFUNCTION("IMPORTRANGE(H20134,""IDENTITAS UNIT!D9"")"),"#N/A")</f>
        <v>#N/A</v>
      </c>
      <c r="H20134" s="4" t="str">
        <v/>
      </c>
      <c r="I20134" s="4" t="str">
        <v/>
      </c>
    </row>
    <row r="20135" spans="5:9" ht="16.5" hidden="1">
      <c r="E20135" s="4" t="str">
        <v/>
      </c>
      <c r="F20135" s="102" t="str">
        <f ca="1">IFERROR(__xludf.DUMMYFUNCTION("IMPORTRANGE(H20135,""IDENTITAS UNIT!D9"")"),"#N/A")</f>
        <v>#N/A</v>
      </c>
      <c r="H20135" s="4" t="str">
        <v/>
      </c>
      <c r="I20135" s="4" t="str">
        <v/>
      </c>
    </row>
    <row r="20136" spans="5:9" ht="16.5" hidden="1">
      <c r="E20136" s="4" t="str">
        <v/>
      </c>
      <c r="F20136" s="102" t="str">
        <f ca="1">IFERROR(__xludf.DUMMYFUNCTION("IMPORTRANGE(H20136,""IDENTITAS UNIT!D9"")"),"#N/A")</f>
        <v>#N/A</v>
      </c>
      <c r="H20136" s="4" t="str">
        <v/>
      </c>
      <c r="I20136" s="4" t="str">
        <v/>
      </c>
    </row>
    <row r="20137" spans="5:9" ht="16.5" hidden="1">
      <c r="E20137" s="4" t="str">
        <v/>
      </c>
      <c r="F20137" s="102" t="str">
        <f ca="1">IFERROR(__xludf.DUMMYFUNCTION("IMPORTRANGE(H20137,""IDENTITAS UNIT!D9"")"),"#N/A")</f>
        <v>#N/A</v>
      </c>
      <c r="H20137" s="4" t="str">
        <v/>
      </c>
      <c r="I20137" s="4" t="str">
        <v/>
      </c>
    </row>
    <row r="20138" spans="5:9" ht="16.5" hidden="1">
      <c r="E20138" s="4" t="str">
        <v/>
      </c>
      <c r="F20138" s="102" t="str">
        <f ca="1">IFERROR(__xludf.DUMMYFUNCTION("IMPORTRANGE(H20138,""IDENTITAS UNIT!D9"")"),"#N/A")</f>
        <v>#N/A</v>
      </c>
      <c r="H20138" s="4" t="str">
        <v/>
      </c>
      <c r="I20138" s="4" t="str">
        <v/>
      </c>
    </row>
    <row r="20139" spans="5:9" ht="16.5" hidden="1">
      <c r="E20139" s="4" t="str">
        <v/>
      </c>
      <c r="F20139" s="102" t="str">
        <f ca="1">IFERROR(__xludf.DUMMYFUNCTION("IMPORTRANGE(H20139,""IDENTITAS UNIT!D9"")"),"#N/A")</f>
        <v>#N/A</v>
      </c>
      <c r="H20139" s="4" t="str">
        <v/>
      </c>
      <c r="I20139" s="4" t="str">
        <v/>
      </c>
    </row>
    <row r="20140" spans="5:9" ht="16.5" hidden="1">
      <c r="E20140" s="4" t="str">
        <v/>
      </c>
      <c r="F20140" s="102" t="str">
        <f ca="1">IFERROR(__xludf.DUMMYFUNCTION("IMPORTRANGE(H20140,""IDENTITAS UNIT!D9"")"),"#N/A")</f>
        <v>#N/A</v>
      </c>
      <c r="H20140" s="4" t="str">
        <v/>
      </c>
      <c r="I20140" s="4" t="str">
        <v/>
      </c>
    </row>
    <row r="20141" spans="5:9" ht="16.5" hidden="1">
      <c r="E20141" s="4" t="str">
        <v/>
      </c>
      <c r="F20141" s="102" t="str">
        <f ca="1">IFERROR(__xludf.DUMMYFUNCTION("IMPORTRANGE(H20141,""IDENTITAS UNIT!D9"")"),"#N/A")</f>
        <v>#N/A</v>
      </c>
      <c r="H20141" s="4" t="str">
        <v/>
      </c>
      <c r="I20141" s="4" t="str">
        <v/>
      </c>
    </row>
    <row r="20142" spans="5:9" ht="16.5" hidden="1">
      <c r="E20142" s="4" t="str">
        <v/>
      </c>
      <c r="F20142" s="102" t="str">
        <f ca="1">IFERROR(__xludf.DUMMYFUNCTION("IMPORTRANGE(H20142,""IDENTITAS UNIT!D9"")"),"#N/A")</f>
        <v>#N/A</v>
      </c>
      <c r="H20142" s="4" t="str">
        <v/>
      </c>
      <c r="I20142" s="4" t="str">
        <v/>
      </c>
    </row>
    <row r="20143" spans="5:9" ht="16.5" hidden="1">
      <c r="E20143" s="4" t="str">
        <v/>
      </c>
      <c r="F20143" s="102" t="str">
        <f ca="1">IFERROR(__xludf.DUMMYFUNCTION("IMPORTRANGE(H20143,""IDENTITAS UNIT!D9"")"),"#N/A")</f>
        <v>#N/A</v>
      </c>
      <c r="H20143" s="4" t="str">
        <v/>
      </c>
      <c r="I20143" s="4" t="str">
        <v/>
      </c>
    </row>
    <row r="20144" spans="5:9" ht="16.5" hidden="1">
      <c r="E20144" s="4" t="str">
        <v/>
      </c>
      <c r="F20144" s="102" t="str">
        <f ca="1">IFERROR(__xludf.DUMMYFUNCTION("IMPORTRANGE(H20144,""IDENTITAS UNIT!D9"")"),"#N/A")</f>
        <v>#N/A</v>
      </c>
      <c r="H20144" s="4" t="str">
        <v/>
      </c>
      <c r="I20144" s="4" t="str">
        <v/>
      </c>
    </row>
    <row r="20145" spans="5:9" ht="16.5" hidden="1">
      <c r="E20145" s="4" t="str">
        <v/>
      </c>
      <c r="F20145" s="102" t="str">
        <f ca="1">IFERROR(__xludf.DUMMYFUNCTION("IMPORTRANGE(H20145,""IDENTITAS UNIT!D9"")"),"#N/A")</f>
        <v>#N/A</v>
      </c>
      <c r="H20145" s="4" t="str">
        <v/>
      </c>
      <c r="I20145" s="4" t="str">
        <v/>
      </c>
    </row>
    <row r="20146" spans="5:9" ht="16.5" hidden="1">
      <c r="E20146" s="4" t="str">
        <v/>
      </c>
      <c r="F20146" s="102" t="str">
        <f ca="1">IFERROR(__xludf.DUMMYFUNCTION("IMPORTRANGE(H20146,""IDENTITAS UNIT!D9"")"),"#N/A")</f>
        <v>#N/A</v>
      </c>
      <c r="H20146" s="4" t="str">
        <v/>
      </c>
      <c r="I20146" s="4" t="str">
        <v/>
      </c>
    </row>
    <row r="20147" spans="5:9" ht="16.5" hidden="1">
      <c r="E20147" s="4" t="str">
        <v/>
      </c>
      <c r="F20147" s="102" t="str">
        <f ca="1">IFERROR(__xludf.DUMMYFUNCTION("IMPORTRANGE(H20147,""IDENTITAS UNIT!D9"")"),"#N/A")</f>
        <v>#N/A</v>
      </c>
      <c r="H20147" s="4" t="str">
        <v/>
      </c>
      <c r="I20147" s="4" t="str">
        <v/>
      </c>
    </row>
    <row r="20148" spans="5:9" ht="16.5" hidden="1">
      <c r="E20148" s="4" t="str">
        <v/>
      </c>
      <c r="F20148" s="102" t="str">
        <f ca="1">IFERROR(__xludf.DUMMYFUNCTION("IMPORTRANGE(H20148,""IDENTITAS UNIT!D9"")"),"#N/A")</f>
        <v>#N/A</v>
      </c>
      <c r="H20148" s="4" t="str">
        <v/>
      </c>
      <c r="I20148" s="4" t="str">
        <v/>
      </c>
    </row>
    <row r="20149" spans="5:9" ht="16.5" hidden="1">
      <c r="E20149" s="4" t="str">
        <v/>
      </c>
      <c r="F20149" s="102" t="str">
        <f ca="1">IFERROR(__xludf.DUMMYFUNCTION("IMPORTRANGE(H20149,""IDENTITAS UNIT!D9"")"),"#N/A")</f>
        <v>#N/A</v>
      </c>
      <c r="H20149" s="4" t="str">
        <v/>
      </c>
      <c r="I20149" s="4" t="str">
        <v/>
      </c>
    </row>
    <row r="20150" spans="5:9" ht="16.5" hidden="1">
      <c r="E20150" s="4" t="str">
        <v/>
      </c>
      <c r="F20150" s="102" t="str">
        <f ca="1">IFERROR(__xludf.DUMMYFUNCTION("IMPORTRANGE(H20150,""IDENTITAS UNIT!D9"")"),"#N/A")</f>
        <v>#N/A</v>
      </c>
      <c r="H20150" s="4" t="str">
        <v/>
      </c>
      <c r="I20150" s="4" t="str">
        <v/>
      </c>
    </row>
    <row r="20151" spans="5:9" ht="16.5" hidden="1">
      <c r="E20151" s="4" t="str">
        <v/>
      </c>
      <c r="F20151" s="102" t="str">
        <f ca="1">IFERROR(__xludf.DUMMYFUNCTION("IMPORTRANGE(H20151,""IDENTITAS UNIT!D9"")"),"#N/A")</f>
        <v>#N/A</v>
      </c>
      <c r="H20151" s="4" t="str">
        <v/>
      </c>
      <c r="I20151" s="4" t="str">
        <v/>
      </c>
    </row>
    <row r="20152" spans="5:9" ht="16.5" hidden="1">
      <c r="E20152" s="4" t="str">
        <v/>
      </c>
      <c r="F20152" s="102" t="str">
        <f ca="1">IFERROR(__xludf.DUMMYFUNCTION("IMPORTRANGE(H20152,""IDENTITAS UNIT!D9"")"),"#N/A")</f>
        <v>#N/A</v>
      </c>
      <c r="H20152" s="4" t="str">
        <v/>
      </c>
      <c r="I20152" s="4" t="str">
        <v/>
      </c>
    </row>
    <row r="20153" spans="5:9" ht="16.5" hidden="1">
      <c r="E20153" s="4" t="str">
        <v/>
      </c>
      <c r="F20153" s="102" t="str">
        <f ca="1">IFERROR(__xludf.DUMMYFUNCTION("IMPORTRANGE(H20153,""IDENTITAS UNIT!D9"")"),"#N/A")</f>
        <v>#N/A</v>
      </c>
      <c r="H20153" s="4" t="str">
        <v/>
      </c>
      <c r="I20153" s="4" t="str">
        <v/>
      </c>
    </row>
    <row r="20154" spans="5:9" ht="16.5" hidden="1">
      <c r="E20154" s="4" t="str">
        <v/>
      </c>
      <c r="F20154" s="102" t="str">
        <f ca="1">IFERROR(__xludf.DUMMYFUNCTION("IMPORTRANGE(H20154,""IDENTITAS UNIT!D9"")"),"#N/A")</f>
        <v>#N/A</v>
      </c>
      <c r="H20154" s="4" t="str">
        <v/>
      </c>
      <c r="I20154" s="4" t="str">
        <v/>
      </c>
    </row>
    <row r="20155" spans="5:9" ht="16.5" hidden="1">
      <c r="E20155" s="4" t="str">
        <v/>
      </c>
      <c r="F20155" s="102" t="str">
        <f ca="1">IFERROR(__xludf.DUMMYFUNCTION("IMPORTRANGE(H20155,""IDENTITAS UNIT!D9"")"),"#N/A")</f>
        <v>#N/A</v>
      </c>
      <c r="H20155" s="4" t="str">
        <v/>
      </c>
      <c r="I20155" s="4" t="str">
        <v/>
      </c>
    </row>
    <row r="20156" spans="5:9" ht="16.5" hidden="1">
      <c r="E20156" s="4" t="str">
        <v/>
      </c>
      <c r="F20156" s="102" t="str">
        <f ca="1">IFERROR(__xludf.DUMMYFUNCTION("IMPORTRANGE(H20156,""IDENTITAS UNIT!D9"")"),"#N/A")</f>
        <v>#N/A</v>
      </c>
      <c r="H20156" s="4" t="str">
        <v/>
      </c>
      <c r="I20156" s="4" t="str">
        <v/>
      </c>
    </row>
    <row r="20157" spans="5:9" ht="16.5" hidden="1">
      <c r="E20157" s="4" t="str">
        <v/>
      </c>
      <c r="F20157" s="102" t="str">
        <f ca="1">IFERROR(__xludf.DUMMYFUNCTION("IMPORTRANGE(H20157,""IDENTITAS UNIT!D9"")"),"#N/A")</f>
        <v>#N/A</v>
      </c>
      <c r="H20157" s="4" t="str">
        <v/>
      </c>
      <c r="I20157" s="4" t="str">
        <v/>
      </c>
    </row>
    <row r="20158" spans="5:9" ht="16.5" hidden="1">
      <c r="E20158" s="4" t="str">
        <v/>
      </c>
      <c r="F20158" s="102" t="str">
        <f ca="1">IFERROR(__xludf.DUMMYFUNCTION("IMPORTRANGE(H20158,""IDENTITAS UNIT!D9"")"),"#N/A")</f>
        <v>#N/A</v>
      </c>
      <c r="H20158" s="4" t="str">
        <v/>
      </c>
      <c r="I20158" s="4" t="str">
        <v/>
      </c>
    </row>
    <row r="20159" spans="5:9" ht="16.5" hidden="1">
      <c r="E20159" s="4" t="str">
        <v/>
      </c>
      <c r="F20159" s="102" t="str">
        <f ca="1">IFERROR(__xludf.DUMMYFUNCTION("IMPORTRANGE(H20159,""IDENTITAS UNIT!D9"")"),"#N/A")</f>
        <v>#N/A</v>
      </c>
      <c r="H20159" s="4" t="str">
        <v/>
      </c>
      <c r="I20159" s="4" t="str">
        <v/>
      </c>
    </row>
    <row r="20160" spans="5:9" ht="16.5" hidden="1">
      <c r="E20160" s="4" t="str">
        <v/>
      </c>
      <c r="F20160" s="102" t="str">
        <f ca="1">IFERROR(__xludf.DUMMYFUNCTION("IMPORTRANGE(H20160,""IDENTITAS UNIT!D9"")"),"#N/A")</f>
        <v>#N/A</v>
      </c>
      <c r="H20160" s="4" t="str">
        <v/>
      </c>
      <c r="I20160" s="4" t="str">
        <v/>
      </c>
    </row>
    <row r="20161" spans="5:9" ht="16.5" hidden="1">
      <c r="E20161" s="4" t="str">
        <v/>
      </c>
      <c r="F20161" s="102" t="str">
        <f ca="1">IFERROR(__xludf.DUMMYFUNCTION("IMPORTRANGE(H20161,""IDENTITAS UNIT!D9"")"),"#N/A")</f>
        <v>#N/A</v>
      </c>
      <c r="H20161" s="4" t="str">
        <v/>
      </c>
      <c r="I20161" s="4" t="str">
        <v/>
      </c>
    </row>
    <row r="20162" spans="5:9" ht="16.5" hidden="1">
      <c r="E20162" s="4" t="str">
        <v/>
      </c>
      <c r="F20162" s="102" t="str">
        <f ca="1">IFERROR(__xludf.DUMMYFUNCTION("IMPORTRANGE(H20162,""IDENTITAS UNIT!D9"")"),"#N/A")</f>
        <v>#N/A</v>
      </c>
      <c r="H20162" s="4" t="str">
        <v/>
      </c>
      <c r="I20162" s="4" t="str">
        <v/>
      </c>
    </row>
    <row r="20163" spans="5:9" ht="16.5" hidden="1">
      <c r="E20163" s="4" t="str">
        <v/>
      </c>
      <c r="F20163" s="102" t="str">
        <f ca="1">IFERROR(__xludf.DUMMYFUNCTION("IMPORTRANGE(H20163,""IDENTITAS UNIT!D9"")"),"#N/A")</f>
        <v>#N/A</v>
      </c>
      <c r="H20163" s="4" t="str">
        <v/>
      </c>
      <c r="I20163" s="4" t="str">
        <v/>
      </c>
    </row>
    <row r="20164" spans="5:9" ht="16.5" hidden="1">
      <c r="E20164" s="4" t="str">
        <v/>
      </c>
      <c r="F20164" s="102" t="str">
        <f ca="1">IFERROR(__xludf.DUMMYFUNCTION("IMPORTRANGE(H20164,""IDENTITAS UNIT!D9"")"),"#N/A")</f>
        <v>#N/A</v>
      </c>
      <c r="H20164" s="4" t="str">
        <v/>
      </c>
      <c r="I20164" s="4" t="str">
        <v/>
      </c>
    </row>
    <row r="20165" spans="5:9" ht="16.5" hidden="1">
      <c r="E20165" s="4" t="str">
        <v/>
      </c>
      <c r="F20165" s="102" t="str">
        <f ca="1">IFERROR(__xludf.DUMMYFUNCTION("IMPORTRANGE(H20165,""IDENTITAS UNIT!D9"")"),"#N/A")</f>
        <v>#N/A</v>
      </c>
      <c r="H20165" s="4" t="str">
        <v/>
      </c>
      <c r="I20165" s="4" t="str">
        <v/>
      </c>
    </row>
    <row r="20166" spans="5:9" ht="16.5" hidden="1">
      <c r="E20166" s="4" t="str">
        <v/>
      </c>
      <c r="F20166" s="102" t="str">
        <f ca="1">IFERROR(__xludf.DUMMYFUNCTION("IMPORTRANGE(H20166,""IDENTITAS UNIT!D9"")"),"#N/A")</f>
        <v>#N/A</v>
      </c>
      <c r="H20166" s="4" t="str">
        <v/>
      </c>
      <c r="I20166" s="4" t="str">
        <v/>
      </c>
    </row>
    <row r="20167" spans="5:9" ht="16.5" hidden="1">
      <c r="E20167" s="4" t="str">
        <v/>
      </c>
      <c r="F20167" s="102" t="str">
        <f ca="1">IFERROR(__xludf.DUMMYFUNCTION("IMPORTRANGE(H20167,""IDENTITAS UNIT!D9"")"),"#N/A")</f>
        <v>#N/A</v>
      </c>
      <c r="H20167" s="4" t="str">
        <v/>
      </c>
      <c r="I20167" s="4" t="str">
        <v/>
      </c>
    </row>
    <row r="20168" spans="5:9" ht="16.5" hidden="1">
      <c r="E20168" s="4" t="str">
        <v/>
      </c>
      <c r="F20168" s="102" t="str">
        <f ca="1">IFERROR(__xludf.DUMMYFUNCTION("IMPORTRANGE(H20168,""IDENTITAS UNIT!D9"")"),"#N/A")</f>
        <v>#N/A</v>
      </c>
      <c r="H20168" s="4" t="str">
        <v/>
      </c>
      <c r="I20168" s="4" t="str">
        <v/>
      </c>
    </row>
    <row r="20169" spans="5:9" ht="16.5" hidden="1">
      <c r="E20169" s="4" t="str">
        <v/>
      </c>
      <c r="F20169" s="102" t="str">
        <f ca="1">IFERROR(__xludf.DUMMYFUNCTION("IMPORTRANGE(H20169,""IDENTITAS UNIT!D9"")"),"#N/A")</f>
        <v>#N/A</v>
      </c>
      <c r="H20169" s="4" t="str">
        <v/>
      </c>
      <c r="I20169" s="4" t="str">
        <v/>
      </c>
    </row>
    <row r="20170" spans="5:9" ht="16.5" hidden="1">
      <c r="E20170" s="4" t="str">
        <v/>
      </c>
      <c r="F20170" s="102" t="str">
        <f ca="1">IFERROR(__xludf.DUMMYFUNCTION("IMPORTRANGE(H20170,""IDENTITAS UNIT!D9"")"),"#N/A")</f>
        <v>#N/A</v>
      </c>
      <c r="H20170" s="4" t="str">
        <v/>
      </c>
      <c r="I20170" s="4" t="str">
        <v/>
      </c>
    </row>
    <row r="20171" spans="5:9" ht="16.5" hidden="1">
      <c r="E20171" s="4" t="str">
        <v/>
      </c>
      <c r="F20171" s="102" t="str">
        <f ca="1">IFERROR(__xludf.DUMMYFUNCTION("IMPORTRANGE(H20171,""IDENTITAS UNIT!D9"")"),"#N/A")</f>
        <v>#N/A</v>
      </c>
      <c r="H20171" s="4" t="str">
        <v/>
      </c>
      <c r="I20171" s="4" t="str">
        <v/>
      </c>
    </row>
    <row r="20172" spans="5:9" ht="16.5" hidden="1">
      <c r="E20172" s="4" t="str">
        <v/>
      </c>
      <c r="F20172" s="102" t="str">
        <f ca="1">IFERROR(__xludf.DUMMYFUNCTION("IMPORTRANGE(H20172,""IDENTITAS UNIT!D9"")"),"#N/A")</f>
        <v>#N/A</v>
      </c>
      <c r="H20172" s="4" t="str">
        <v/>
      </c>
      <c r="I20172" s="4" t="str">
        <v/>
      </c>
    </row>
    <row r="20173" spans="5:9" ht="16.5" hidden="1">
      <c r="E20173" s="4" t="str">
        <v/>
      </c>
      <c r="F20173" s="102" t="str">
        <f ca="1">IFERROR(__xludf.DUMMYFUNCTION("IMPORTRANGE(H20173,""IDENTITAS UNIT!D9"")"),"#N/A")</f>
        <v>#N/A</v>
      </c>
      <c r="H20173" s="4" t="str">
        <v/>
      </c>
      <c r="I20173" s="4" t="str">
        <v/>
      </c>
    </row>
    <row r="20174" spans="5:9" ht="16.5" hidden="1">
      <c r="E20174" s="4" t="str">
        <v/>
      </c>
      <c r="F20174" s="102" t="str">
        <f ca="1">IFERROR(__xludf.DUMMYFUNCTION("IMPORTRANGE(H20174,""IDENTITAS UNIT!D9"")"),"#N/A")</f>
        <v>#N/A</v>
      </c>
      <c r="H20174" s="4" t="str">
        <v/>
      </c>
      <c r="I20174" s="4" t="str">
        <v/>
      </c>
    </row>
    <row r="20175" spans="5:9" ht="16.5" hidden="1">
      <c r="E20175" s="4" t="str">
        <v/>
      </c>
      <c r="F20175" s="102" t="str">
        <f ca="1">IFERROR(__xludf.DUMMYFUNCTION("IMPORTRANGE(H20175,""IDENTITAS UNIT!D9"")"),"#N/A")</f>
        <v>#N/A</v>
      </c>
      <c r="H20175" s="4" t="str">
        <v/>
      </c>
      <c r="I20175" s="4" t="str">
        <v/>
      </c>
    </row>
    <row r="20176" spans="5:9" ht="16.5" hidden="1">
      <c r="E20176" s="4" t="str">
        <v/>
      </c>
      <c r="F20176" s="102" t="str">
        <f ca="1">IFERROR(__xludf.DUMMYFUNCTION("IMPORTRANGE(H20176,""IDENTITAS UNIT!D9"")"),"#N/A")</f>
        <v>#N/A</v>
      </c>
      <c r="H20176" s="4" t="str">
        <v/>
      </c>
      <c r="I20176" s="4" t="str">
        <v/>
      </c>
    </row>
    <row r="20177" spans="5:9" ht="16.5" hidden="1">
      <c r="E20177" s="4" t="str">
        <v/>
      </c>
      <c r="F20177" s="102" t="str">
        <f ca="1">IFERROR(__xludf.DUMMYFUNCTION("IMPORTRANGE(H20177,""IDENTITAS UNIT!D9"")"),"#N/A")</f>
        <v>#N/A</v>
      </c>
      <c r="H20177" s="4" t="str">
        <v/>
      </c>
      <c r="I20177" s="4" t="str">
        <v/>
      </c>
    </row>
    <row r="20178" spans="5:9" ht="16.5" hidden="1">
      <c r="E20178" s="4" t="str">
        <v/>
      </c>
      <c r="F20178" s="102" t="str">
        <f ca="1">IFERROR(__xludf.DUMMYFUNCTION("IMPORTRANGE(H20178,""IDENTITAS UNIT!D9"")"),"#N/A")</f>
        <v>#N/A</v>
      </c>
      <c r="H20178" s="4" t="str">
        <v/>
      </c>
      <c r="I20178" s="4" t="str">
        <v/>
      </c>
    </row>
    <row r="20179" spans="5:9" ht="16.5" hidden="1">
      <c r="E20179" s="4" t="str">
        <v/>
      </c>
      <c r="F20179" s="102" t="str">
        <f ca="1">IFERROR(__xludf.DUMMYFUNCTION("IMPORTRANGE(H20179,""IDENTITAS UNIT!D9"")"),"#N/A")</f>
        <v>#N/A</v>
      </c>
      <c r="H20179" s="4" t="str">
        <v/>
      </c>
      <c r="I20179" s="4" t="str">
        <v/>
      </c>
    </row>
    <row r="20180" spans="5:9" ht="16.5" hidden="1">
      <c r="E20180" s="4" t="str">
        <v/>
      </c>
      <c r="F20180" s="102" t="str">
        <f ca="1">IFERROR(__xludf.DUMMYFUNCTION("IMPORTRANGE(H20180,""IDENTITAS UNIT!D9"")"),"#N/A")</f>
        <v>#N/A</v>
      </c>
      <c r="H20180" s="4" t="str">
        <v/>
      </c>
      <c r="I20180" s="4" t="str">
        <v/>
      </c>
    </row>
    <row r="20181" spans="5:9" ht="16.5" hidden="1">
      <c r="E20181" s="4" t="str">
        <v/>
      </c>
      <c r="F20181" s="102" t="str">
        <f ca="1">IFERROR(__xludf.DUMMYFUNCTION("IMPORTRANGE(H20181,""IDENTITAS UNIT!D9"")"),"#N/A")</f>
        <v>#N/A</v>
      </c>
      <c r="H20181" s="4" t="str">
        <v/>
      </c>
      <c r="I20181" s="4" t="str">
        <v/>
      </c>
    </row>
    <row r="20182" spans="5:9" ht="16.5" hidden="1">
      <c r="E20182" s="4" t="str">
        <v/>
      </c>
      <c r="F20182" s="102" t="str">
        <f ca="1">IFERROR(__xludf.DUMMYFUNCTION("IMPORTRANGE(H20182,""IDENTITAS UNIT!D9"")"),"#N/A")</f>
        <v>#N/A</v>
      </c>
      <c r="H20182" s="4" t="str">
        <v/>
      </c>
      <c r="I20182" s="4" t="str">
        <v/>
      </c>
    </row>
    <row r="20183" spans="5:9" ht="16.5" hidden="1">
      <c r="E20183" s="4" t="str">
        <v/>
      </c>
      <c r="F20183" s="102" t="str">
        <f ca="1">IFERROR(__xludf.DUMMYFUNCTION("IMPORTRANGE(H20183,""IDENTITAS UNIT!D9"")"),"#N/A")</f>
        <v>#N/A</v>
      </c>
      <c r="H20183" s="4" t="str">
        <v/>
      </c>
      <c r="I20183" s="4" t="str">
        <v/>
      </c>
    </row>
    <row r="20184" spans="5:9" ht="16.5" hidden="1">
      <c r="E20184" s="4" t="str">
        <v/>
      </c>
      <c r="F20184" s="102" t="str">
        <f ca="1">IFERROR(__xludf.DUMMYFUNCTION("IMPORTRANGE(H20184,""IDENTITAS UNIT!D9"")"),"#N/A")</f>
        <v>#N/A</v>
      </c>
      <c r="H20184" s="4" t="str">
        <v/>
      </c>
      <c r="I20184" s="4" t="str">
        <v/>
      </c>
    </row>
    <row r="20185" spans="5:9" ht="16.5" hidden="1">
      <c r="E20185" s="4" t="str">
        <v/>
      </c>
      <c r="F20185" s="102" t="str">
        <f ca="1">IFERROR(__xludf.DUMMYFUNCTION("IMPORTRANGE(H20185,""IDENTITAS UNIT!D9"")"),"#N/A")</f>
        <v>#N/A</v>
      </c>
      <c r="H20185" s="4" t="str">
        <v/>
      </c>
      <c r="I20185" s="4" t="str">
        <v/>
      </c>
    </row>
    <row r="20186" spans="5:9" ht="16.5" hidden="1">
      <c r="E20186" s="4" t="str">
        <v/>
      </c>
      <c r="F20186" s="102" t="str">
        <f ca="1">IFERROR(__xludf.DUMMYFUNCTION("IMPORTRANGE(H20186,""IDENTITAS UNIT!D9"")"),"#N/A")</f>
        <v>#N/A</v>
      </c>
      <c r="H20186" s="4" t="str">
        <v/>
      </c>
      <c r="I20186" s="4" t="str">
        <v/>
      </c>
    </row>
    <row r="20187" spans="5:9" ht="16.5" hidden="1">
      <c r="E20187" s="4" t="str">
        <v/>
      </c>
      <c r="F20187" s="102" t="str">
        <f ca="1">IFERROR(__xludf.DUMMYFUNCTION("IMPORTRANGE(H20187,""IDENTITAS UNIT!D9"")"),"#N/A")</f>
        <v>#N/A</v>
      </c>
      <c r="H20187" s="4" t="str">
        <v/>
      </c>
      <c r="I20187" s="4" t="str">
        <v/>
      </c>
    </row>
    <row r="20188" spans="5:9" ht="16.5" hidden="1">
      <c r="E20188" s="4" t="str">
        <v/>
      </c>
      <c r="F20188" s="102" t="str">
        <f ca="1">IFERROR(__xludf.DUMMYFUNCTION("IMPORTRANGE(H20188,""IDENTITAS UNIT!D9"")"),"#N/A")</f>
        <v>#N/A</v>
      </c>
      <c r="H20188" s="4" t="str">
        <v/>
      </c>
      <c r="I20188" s="4" t="str">
        <v/>
      </c>
    </row>
    <row r="20189" spans="5:9" ht="16.5" hidden="1">
      <c r="E20189" s="4" t="str">
        <v/>
      </c>
      <c r="F20189" s="102" t="str">
        <f ca="1">IFERROR(__xludf.DUMMYFUNCTION("IMPORTRANGE(H20189,""IDENTITAS UNIT!D9"")"),"#N/A")</f>
        <v>#N/A</v>
      </c>
      <c r="H20189" s="4" t="str">
        <v/>
      </c>
      <c r="I20189" s="4" t="str">
        <v/>
      </c>
    </row>
    <row r="20190" spans="5:9" ht="16.5" hidden="1">
      <c r="E20190" s="4" t="str">
        <v/>
      </c>
      <c r="F20190" s="102" t="str">
        <f ca="1">IFERROR(__xludf.DUMMYFUNCTION("IMPORTRANGE(H20190,""IDENTITAS UNIT!D9"")"),"#N/A")</f>
        <v>#N/A</v>
      </c>
      <c r="H20190" s="4" t="str">
        <v/>
      </c>
      <c r="I20190" s="4" t="str">
        <v/>
      </c>
    </row>
    <row r="20191" spans="5:9" ht="16.5" hidden="1">
      <c r="E20191" s="4" t="str">
        <v/>
      </c>
      <c r="F20191" s="102" t="str">
        <f ca="1">IFERROR(__xludf.DUMMYFUNCTION("IMPORTRANGE(H20191,""IDENTITAS UNIT!D9"")"),"#N/A")</f>
        <v>#N/A</v>
      </c>
      <c r="H20191" s="4" t="str">
        <v/>
      </c>
      <c r="I20191" s="4" t="str">
        <v/>
      </c>
    </row>
    <row r="20192" spans="5:9" ht="16.5" hidden="1">
      <c r="E20192" s="4" t="str">
        <v/>
      </c>
      <c r="F20192" s="102" t="str">
        <f ca="1">IFERROR(__xludf.DUMMYFUNCTION("IMPORTRANGE(H20192,""IDENTITAS UNIT!D9"")"),"#N/A")</f>
        <v>#N/A</v>
      </c>
      <c r="H20192" s="4" t="str">
        <v/>
      </c>
      <c r="I20192" s="4" t="str">
        <v/>
      </c>
    </row>
    <row r="20193" spans="5:9" ht="16.5" hidden="1">
      <c r="E20193" s="4" t="str">
        <v/>
      </c>
      <c r="F20193" s="102" t="str">
        <f ca="1">IFERROR(__xludf.DUMMYFUNCTION("IMPORTRANGE(H20193,""IDENTITAS UNIT!D9"")"),"#N/A")</f>
        <v>#N/A</v>
      </c>
      <c r="H20193" s="4" t="str">
        <v/>
      </c>
      <c r="I20193" s="4" t="str">
        <v/>
      </c>
    </row>
    <row r="20194" spans="5:9" ht="16.5" hidden="1">
      <c r="E20194" s="4" t="str">
        <v/>
      </c>
      <c r="F20194" s="102" t="str">
        <f ca="1">IFERROR(__xludf.DUMMYFUNCTION("IMPORTRANGE(H20194,""IDENTITAS UNIT!D9"")"),"#N/A")</f>
        <v>#N/A</v>
      </c>
      <c r="H20194" s="4" t="str">
        <v/>
      </c>
      <c r="I20194" s="4" t="str">
        <v/>
      </c>
    </row>
    <row r="20195" spans="5:9" ht="16.5" hidden="1">
      <c r="E20195" s="4" t="str">
        <v/>
      </c>
      <c r="F20195" s="102" t="str">
        <f ca="1">IFERROR(__xludf.DUMMYFUNCTION("IMPORTRANGE(H20195,""IDENTITAS UNIT!D9"")"),"#N/A")</f>
        <v>#N/A</v>
      </c>
      <c r="H20195" s="4" t="str">
        <v/>
      </c>
      <c r="I20195" s="4" t="str">
        <v/>
      </c>
    </row>
    <row r="20196" spans="5:9" ht="16.5" hidden="1">
      <c r="E20196" s="4" t="str">
        <v/>
      </c>
      <c r="F20196" s="102" t="str">
        <f ca="1">IFERROR(__xludf.DUMMYFUNCTION("IMPORTRANGE(H20196,""IDENTITAS UNIT!D9"")"),"#N/A")</f>
        <v>#N/A</v>
      </c>
      <c r="H20196" s="4" t="str">
        <v/>
      </c>
      <c r="I20196" s="4" t="str">
        <v/>
      </c>
    </row>
    <row r="20197" spans="5:9" ht="16.5" hidden="1">
      <c r="E20197" s="4" t="str">
        <v/>
      </c>
      <c r="F20197" s="102" t="str">
        <f ca="1">IFERROR(__xludf.DUMMYFUNCTION("IMPORTRANGE(H20197,""IDENTITAS UNIT!D9"")"),"#N/A")</f>
        <v>#N/A</v>
      </c>
      <c r="H20197" s="4" t="str">
        <v/>
      </c>
      <c r="I20197" s="4" t="str">
        <v/>
      </c>
    </row>
    <row r="20198" spans="5:9" ht="16.5" hidden="1">
      <c r="E20198" s="4" t="str">
        <v/>
      </c>
      <c r="F20198" s="102" t="str">
        <f ca="1">IFERROR(__xludf.DUMMYFUNCTION("IMPORTRANGE(H20198,""IDENTITAS UNIT!D9"")"),"#N/A")</f>
        <v>#N/A</v>
      </c>
      <c r="H20198" s="4" t="str">
        <v/>
      </c>
      <c r="I20198" s="4" t="str">
        <v/>
      </c>
    </row>
    <row r="20199" spans="5:9" ht="16.5" hidden="1">
      <c r="E20199" s="4" t="str">
        <v/>
      </c>
      <c r="F20199" s="102" t="str">
        <f ca="1">IFERROR(__xludf.DUMMYFUNCTION("IMPORTRANGE(H20199,""IDENTITAS UNIT!D9"")"),"#N/A")</f>
        <v>#N/A</v>
      </c>
      <c r="H20199" s="4" t="str">
        <v/>
      </c>
      <c r="I20199" s="4" t="str">
        <v/>
      </c>
    </row>
    <row r="20200" spans="5:9" ht="16.5" hidden="1">
      <c r="E20200" s="4" t="str">
        <v/>
      </c>
      <c r="F20200" s="102" t="str">
        <f ca="1">IFERROR(__xludf.DUMMYFUNCTION("IMPORTRANGE(H20200,""IDENTITAS UNIT!D9"")"),"#N/A")</f>
        <v>#N/A</v>
      </c>
      <c r="H20200" s="4" t="str">
        <v/>
      </c>
      <c r="I20200" s="4" t="str">
        <v/>
      </c>
    </row>
    <row r="20201" spans="5:9" ht="16.5" hidden="1">
      <c r="E20201" s="4" t="str">
        <v/>
      </c>
      <c r="F20201" s="102" t="str">
        <f ca="1">IFERROR(__xludf.DUMMYFUNCTION("IMPORTRANGE(H20201,""IDENTITAS UNIT!D9"")"),"#N/A")</f>
        <v>#N/A</v>
      </c>
      <c r="H20201" s="4" t="str">
        <v/>
      </c>
      <c r="I20201" s="4" t="str">
        <v/>
      </c>
    </row>
    <row r="20202" spans="5:9" ht="16.5" hidden="1">
      <c r="E20202" s="4" t="str">
        <v/>
      </c>
      <c r="F20202" s="102" t="str">
        <f ca="1">IFERROR(__xludf.DUMMYFUNCTION("IMPORTRANGE(H20202,""IDENTITAS UNIT!D9"")"),"#N/A")</f>
        <v>#N/A</v>
      </c>
      <c r="H20202" s="4" t="str">
        <v/>
      </c>
      <c r="I20202" s="4" t="str">
        <v/>
      </c>
    </row>
    <row r="20203" spans="5:9" ht="16.5" hidden="1">
      <c r="E20203" s="4" t="str">
        <v/>
      </c>
      <c r="F20203" s="102" t="str">
        <f ca="1">IFERROR(__xludf.DUMMYFUNCTION("IMPORTRANGE(H20203,""IDENTITAS UNIT!D9"")"),"#N/A")</f>
        <v>#N/A</v>
      </c>
      <c r="H20203" s="4" t="str">
        <v/>
      </c>
      <c r="I20203" s="4" t="str">
        <v/>
      </c>
    </row>
    <row r="20204" spans="5:9" ht="16.5" hidden="1">
      <c r="E20204" s="4" t="str">
        <v/>
      </c>
      <c r="F20204" s="102" t="str">
        <f ca="1">IFERROR(__xludf.DUMMYFUNCTION("IMPORTRANGE(H20204,""IDENTITAS UNIT!D9"")"),"#N/A")</f>
        <v>#N/A</v>
      </c>
      <c r="H20204" s="4" t="str">
        <v/>
      </c>
      <c r="I20204" s="4" t="str">
        <v/>
      </c>
    </row>
    <row r="20205" spans="5:9" ht="16.5" hidden="1">
      <c r="E20205" s="4" t="str">
        <v/>
      </c>
      <c r="F20205" s="102" t="str">
        <f ca="1">IFERROR(__xludf.DUMMYFUNCTION("IMPORTRANGE(H20205,""IDENTITAS UNIT!D9"")"),"#N/A")</f>
        <v>#N/A</v>
      </c>
      <c r="H20205" s="4" t="str">
        <v/>
      </c>
      <c r="I20205" s="4" t="str">
        <v/>
      </c>
    </row>
    <row r="20206" spans="5:9" ht="16.5" hidden="1">
      <c r="E20206" s="4" t="str">
        <v/>
      </c>
      <c r="F20206" s="102" t="str">
        <f ca="1">IFERROR(__xludf.DUMMYFUNCTION("IMPORTRANGE(H20206,""IDENTITAS UNIT!D9"")"),"#N/A")</f>
        <v>#N/A</v>
      </c>
      <c r="H20206" s="4" t="str">
        <v/>
      </c>
      <c r="I20206" s="4" t="str">
        <v/>
      </c>
    </row>
    <row r="20207" spans="5:9" ht="16.5" hidden="1">
      <c r="E20207" s="4" t="str">
        <v/>
      </c>
      <c r="F20207" s="102" t="str">
        <f ca="1">IFERROR(__xludf.DUMMYFUNCTION("IMPORTRANGE(H20207,""IDENTITAS UNIT!D9"")"),"#N/A")</f>
        <v>#N/A</v>
      </c>
      <c r="H20207" s="4" t="str">
        <v/>
      </c>
      <c r="I20207" s="4" t="str">
        <v/>
      </c>
    </row>
    <row r="20208" spans="5:9" ht="16.5" hidden="1">
      <c r="E20208" s="4" t="str">
        <v/>
      </c>
      <c r="F20208" s="102" t="str">
        <f ca="1">IFERROR(__xludf.DUMMYFUNCTION("IMPORTRANGE(H20208,""IDENTITAS UNIT!D9"")"),"#N/A")</f>
        <v>#N/A</v>
      </c>
      <c r="H20208" s="4" t="str">
        <v/>
      </c>
      <c r="I20208" s="4" t="str">
        <v/>
      </c>
    </row>
    <row r="20209" spans="5:9" ht="16.5" hidden="1">
      <c r="E20209" s="4" t="str">
        <v/>
      </c>
      <c r="F20209" s="102" t="str">
        <f ca="1">IFERROR(__xludf.DUMMYFUNCTION("IMPORTRANGE(H20209,""IDENTITAS UNIT!D9"")"),"#N/A")</f>
        <v>#N/A</v>
      </c>
      <c r="H20209" s="4" t="str">
        <v/>
      </c>
      <c r="I20209" s="4" t="str">
        <v/>
      </c>
    </row>
    <row r="20210" spans="5:9" ht="16.5" hidden="1">
      <c r="E20210" s="4" t="str">
        <v/>
      </c>
      <c r="F20210" s="102" t="str">
        <f ca="1">IFERROR(__xludf.DUMMYFUNCTION("IMPORTRANGE(H20210,""IDENTITAS UNIT!D9"")"),"#N/A")</f>
        <v>#N/A</v>
      </c>
      <c r="H20210" s="4" t="str">
        <v/>
      </c>
      <c r="I20210" s="4" t="str">
        <v/>
      </c>
    </row>
    <row r="20211" spans="5:9" ht="16.5" hidden="1">
      <c r="E20211" s="4" t="str">
        <v/>
      </c>
      <c r="F20211" s="102" t="str">
        <f ca="1">IFERROR(__xludf.DUMMYFUNCTION("IMPORTRANGE(H20211,""IDENTITAS UNIT!D9"")"),"#N/A")</f>
        <v>#N/A</v>
      </c>
      <c r="H20211" s="4" t="str">
        <v/>
      </c>
      <c r="I20211" s="4" t="str">
        <v/>
      </c>
    </row>
    <row r="20212" spans="5:9" ht="16.5" hidden="1">
      <c r="E20212" s="4" t="str">
        <v/>
      </c>
      <c r="F20212" s="102" t="str">
        <f ca="1">IFERROR(__xludf.DUMMYFUNCTION("IMPORTRANGE(H20212,""IDENTITAS UNIT!D9"")"),"#N/A")</f>
        <v>#N/A</v>
      </c>
      <c r="H20212" s="4" t="str">
        <v/>
      </c>
      <c r="I20212" s="4" t="str">
        <v/>
      </c>
    </row>
    <row r="20213" spans="5:9" ht="16.5" hidden="1">
      <c r="E20213" s="4" t="str">
        <v/>
      </c>
      <c r="F20213" s="102" t="str">
        <f ca="1">IFERROR(__xludf.DUMMYFUNCTION("IMPORTRANGE(H20213,""IDENTITAS UNIT!D9"")"),"#N/A")</f>
        <v>#N/A</v>
      </c>
      <c r="H20213" s="4" t="str">
        <v/>
      </c>
      <c r="I20213" s="4" t="str">
        <v/>
      </c>
    </row>
    <row r="20214" spans="5:9" ht="16.5" hidden="1">
      <c r="E20214" s="4" t="str">
        <v/>
      </c>
      <c r="F20214" s="102" t="str">
        <f ca="1">IFERROR(__xludf.DUMMYFUNCTION("IMPORTRANGE(H20214,""IDENTITAS UNIT!D9"")"),"#N/A")</f>
        <v>#N/A</v>
      </c>
      <c r="H20214" s="4" t="str">
        <v/>
      </c>
      <c r="I20214" s="4" t="str">
        <v/>
      </c>
    </row>
    <row r="20215" spans="5:9" ht="16.5" hidden="1">
      <c r="E20215" s="4" t="str">
        <v/>
      </c>
      <c r="F20215" s="102" t="str">
        <f ca="1">IFERROR(__xludf.DUMMYFUNCTION("IMPORTRANGE(H20215,""IDENTITAS UNIT!D9"")"),"#N/A")</f>
        <v>#N/A</v>
      </c>
      <c r="H20215" s="4" t="str">
        <v/>
      </c>
      <c r="I20215" s="4" t="str">
        <v/>
      </c>
    </row>
    <row r="20216" spans="5:9" ht="16.5" hidden="1">
      <c r="E20216" s="4" t="str">
        <v/>
      </c>
      <c r="F20216" s="102" t="str">
        <f ca="1">IFERROR(__xludf.DUMMYFUNCTION("IMPORTRANGE(H20216,""IDENTITAS UNIT!D9"")"),"#N/A")</f>
        <v>#N/A</v>
      </c>
      <c r="H20216" s="4" t="str">
        <v/>
      </c>
      <c r="I20216" s="4" t="str">
        <v/>
      </c>
    </row>
    <row r="20217" spans="5:9" ht="16.5" hidden="1">
      <c r="E20217" s="4" t="str">
        <v/>
      </c>
      <c r="F20217" s="102" t="str">
        <f ca="1">IFERROR(__xludf.DUMMYFUNCTION("IMPORTRANGE(H20217,""IDENTITAS UNIT!D9"")"),"#N/A")</f>
        <v>#N/A</v>
      </c>
      <c r="H20217" s="4" t="str">
        <v/>
      </c>
      <c r="I20217" s="4" t="str">
        <v/>
      </c>
    </row>
    <row r="20218" spans="5:9" ht="16.5" hidden="1">
      <c r="E20218" s="4" t="str">
        <v/>
      </c>
      <c r="F20218" s="102" t="str">
        <f ca="1">IFERROR(__xludf.DUMMYFUNCTION("IMPORTRANGE(H20218,""IDENTITAS UNIT!D9"")"),"#N/A")</f>
        <v>#N/A</v>
      </c>
      <c r="H20218" s="4" t="str">
        <v/>
      </c>
      <c r="I20218" s="4" t="str">
        <v/>
      </c>
    </row>
    <row r="20219" spans="5:9" ht="16.5" hidden="1">
      <c r="E20219" s="4" t="str">
        <v/>
      </c>
      <c r="F20219" s="102" t="str">
        <f ca="1">IFERROR(__xludf.DUMMYFUNCTION("IMPORTRANGE(H20219,""IDENTITAS UNIT!D9"")"),"#N/A")</f>
        <v>#N/A</v>
      </c>
      <c r="H20219" s="4" t="str">
        <v/>
      </c>
      <c r="I20219" s="4" t="str">
        <v/>
      </c>
    </row>
    <row r="20220" spans="5:9" ht="16.5" hidden="1">
      <c r="E20220" s="4" t="str">
        <v/>
      </c>
      <c r="F20220" s="102" t="str">
        <f ca="1">IFERROR(__xludf.DUMMYFUNCTION("IMPORTRANGE(H20220,""IDENTITAS UNIT!D9"")"),"#N/A")</f>
        <v>#N/A</v>
      </c>
      <c r="H20220" s="4" t="str">
        <v/>
      </c>
      <c r="I20220" s="4" t="str">
        <v/>
      </c>
    </row>
    <row r="20221" spans="5:9" ht="16.5" hidden="1">
      <c r="E20221" s="4" t="str">
        <v/>
      </c>
      <c r="F20221" s="102" t="str">
        <f ca="1">IFERROR(__xludf.DUMMYFUNCTION("IMPORTRANGE(H20221,""IDENTITAS UNIT!D9"")"),"#N/A")</f>
        <v>#N/A</v>
      </c>
      <c r="H20221" s="4" t="str">
        <v/>
      </c>
      <c r="I20221" s="4" t="str">
        <v/>
      </c>
    </row>
    <row r="20222" spans="5:9" ht="16.5" hidden="1">
      <c r="E20222" s="4" t="str">
        <v/>
      </c>
      <c r="F20222" s="102" t="str">
        <f ca="1">IFERROR(__xludf.DUMMYFUNCTION("IMPORTRANGE(H20222,""IDENTITAS UNIT!D9"")"),"#N/A")</f>
        <v>#N/A</v>
      </c>
      <c r="H20222" s="4" t="str">
        <v/>
      </c>
      <c r="I20222" s="4" t="str">
        <v/>
      </c>
    </row>
    <row r="20223" spans="5:9" ht="16.5" hidden="1">
      <c r="E20223" s="4" t="str">
        <v/>
      </c>
      <c r="F20223" s="102" t="str">
        <f ca="1">IFERROR(__xludf.DUMMYFUNCTION("IMPORTRANGE(H20223,""IDENTITAS UNIT!D9"")"),"#N/A")</f>
        <v>#N/A</v>
      </c>
      <c r="H20223" s="4" t="str">
        <v/>
      </c>
      <c r="I20223" s="4" t="str">
        <v/>
      </c>
    </row>
    <row r="20224" spans="5:9" ht="16.5" hidden="1">
      <c r="E20224" s="4" t="str">
        <v/>
      </c>
      <c r="F20224" s="102" t="str">
        <f ca="1">IFERROR(__xludf.DUMMYFUNCTION("IMPORTRANGE(H20224,""IDENTITAS UNIT!D9"")"),"#N/A")</f>
        <v>#N/A</v>
      </c>
      <c r="H20224" s="4" t="str">
        <v/>
      </c>
      <c r="I20224" s="4" t="str">
        <v/>
      </c>
    </row>
    <row r="20225" spans="5:9" ht="16.5" hidden="1">
      <c r="E20225" s="4" t="str">
        <v/>
      </c>
      <c r="F20225" s="102" t="str">
        <f ca="1">IFERROR(__xludf.DUMMYFUNCTION("IMPORTRANGE(H20225,""IDENTITAS UNIT!D9"")"),"#N/A")</f>
        <v>#N/A</v>
      </c>
      <c r="H20225" s="4" t="str">
        <v/>
      </c>
      <c r="I20225" s="4" t="str">
        <v/>
      </c>
    </row>
    <row r="20226" spans="5:9" ht="16.5" hidden="1">
      <c r="E20226" s="4" t="str">
        <v/>
      </c>
      <c r="F20226" s="102" t="str">
        <f ca="1">IFERROR(__xludf.DUMMYFUNCTION("IMPORTRANGE(H20226,""IDENTITAS UNIT!D9"")"),"#N/A")</f>
        <v>#N/A</v>
      </c>
      <c r="H20226" s="4" t="str">
        <v/>
      </c>
      <c r="I20226" s="4" t="str">
        <v/>
      </c>
    </row>
    <row r="20227" spans="5:9" ht="16.5" hidden="1">
      <c r="E20227" s="4" t="str">
        <v/>
      </c>
      <c r="F20227" s="102" t="str">
        <f ca="1">IFERROR(__xludf.DUMMYFUNCTION("IMPORTRANGE(H20227,""IDENTITAS UNIT!D9"")"),"#N/A")</f>
        <v>#N/A</v>
      </c>
      <c r="H20227" s="4" t="str">
        <v/>
      </c>
      <c r="I20227" s="4" t="str">
        <v/>
      </c>
    </row>
    <row r="20228" spans="5:9" ht="16.5" hidden="1">
      <c r="E20228" s="4" t="str">
        <v/>
      </c>
      <c r="F20228" s="102" t="str">
        <f ca="1">IFERROR(__xludf.DUMMYFUNCTION("IMPORTRANGE(H20228,""IDENTITAS UNIT!D9"")"),"#N/A")</f>
        <v>#N/A</v>
      </c>
      <c r="H20228" s="4" t="str">
        <v/>
      </c>
      <c r="I20228" s="4" t="str">
        <v/>
      </c>
    </row>
    <row r="20229" spans="5:9" ht="16.5" hidden="1">
      <c r="E20229" s="4" t="str">
        <v/>
      </c>
      <c r="F20229" s="102" t="str">
        <f ca="1">IFERROR(__xludf.DUMMYFUNCTION("IMPORTRANGE(H20229,""IDENTITAS UNIT!D9"")"),"#N/A")</f>
        <v>#N/A</v>
      </c>
      <c r="H20229" s="4" t="str">
        <v/>
      </c>
      <c r="I20229" s="4" t="str">
        <v/>
      </c>
    </row>
    <row r="20230" spans="5:9" ht="16.5" hidden="1">
      <c r="E20230" s="4" t="str">
        <v/>
      </c>
      <c r="F20230" s="102" t="str">
        <f ca="1">IFERROR(__xludf.DUMMYFUNCTION("IMPORTRANGE(H20230,""IDENTITAS UNIT!D9"")"),"#N/A")</f>
        <v>#N/A</v>
      </c>
      <c r="H20230" s="4" t="str">
        <v/>
      </c>
      <c r="I20230" s="4" t="str">
        <v/>
      </c>
    </row>
    <row r="20231" spans="5:9" ht="16.5" hidden="1">
      <c r="E20231" s="4" t="str">
        <v/>
      </c>
      <c r="F20231" s="102" t="str">
        <f ca="1">IFERROR(__xludf.DUMMYFUNCTION("IMPORTRANGE(H20231,""IDENTITAS UNIT!D9"")"),"#N/A")</f>
        <v>#N/A</v>
      </c>
      <c r="H20231" s="4" t="str">
        <v/>
      </c>
      <c r="I20231" s="4" t="str">
        <v/>
      </c>
    </row>
    <row r="20232" spans="5:9" ht="16.5" hidden="1">
      <c r="E20232" s="4" t="str">
        <v/>
      </c>
      <c r="F20232" s="102" t="str">
        <f ca="1">IFERROR(__xludf.DUMMYFUNCTION("IMPORTRANGE(H20232,""IDENTITAS UNIT!D9"")"),"#N/A")</f>
        <v>#N/A</v>
      </c>
      <c r="H20232" s="4" t="str">
        <v/>
      </c>
      <c r="I20232" s="4" t="str">
        <v/>
      </c>
    </row>
    <row r="20233" spans="5:9" ht="16.5" hidden="1">
      <c r="E20233" s="4" t="str">
        <v/>
      </c>
      <c r="F20233" s="102" t="str">
        <f ca="1">IFERROR(__xludf.DUMMYFUNCTION("IMPORTRANGE(H20233,""IDENTITAS UNIT!D9"")"),"#N/A")</f>
        <v>#N/A</v>
      </c>
      <c r="H20233" s="4" t="str">
        <v/>
      </c>
      <c r="I20233" s="4" t="str">
        <v/>
      </c>
    </row>
    <row r="20234" spans="5:9" ht="16.5" hidden="1">
      <c r="E20234" s="4" t="str">
        <v/>
      </c>
      <c r="F20234" s="102" t="str">
        <f ca="1">IFERROR(__xludf.DUMMYFUNCTION("IMPORTRANGE(H20234,""IDENTITAS UNIT!D9"")"),"#N/A")</f>
        <v>#N/A</v>
      </c>
      <c r="H20234" s="4" t="str">
        <v/>
      </c>
      <c r="I20234" s="4" t="str">
        <v/>
      </c>
    </row>
    <row r="20235" spans="5:9" ht="16.5" hidden="1">
      <c r="E20235" s="4" t="str">
        <v/>
      </c>
      <c r="F20235" s="102" t="str">
        <f ca="1">IFERROR(__xludf.DUMMYFUNCTION("IMPORTRANGE(H20235,""IDENTITAS UNIT!D9"")"),"#N/A")</f>
        <v>#N/A</v>
      </c>
      <c r="H20235" s="4" t="str">
        <v/>
      </c>
      <c r="I20235" s="4" t="str">
        <v/>
      </c>
    </row>
    <row r="20236" spans="5:9" ht="16.5" hidden="1">
      <c r="E20236" s="4" t="str">
        <v/>
      </c>
      <c r="F20236" s="102" t="str">
        <f ca="1">IFERROR(__xludf.DUMMYFUNCTION("IMPORTRANGE(H20236,""IDENTITAS UNIT!D9"")"),"#N/A")</f>
        <v>#N/A</v>
      </c>
      <c r="H20236" s="4" t="str">
        <v/>
      </c>
      <c r="I20236" s="4" t="str">
        <v/>
      </c>
    </row>
    <row r="20237" spans="5:9" ht="16.5" hidden="1">
      <c r="E20237" s="4" t="str">
        <v/>
      </c>
      <c r="F20237" s="102" t="str">
        <f ca="1">IFERROR(__xludf.DUMMYFUNCTION("IMPORTRANGE(H20237,""IDENTITAS UNIT!D9"")"),"#N/A")</f>
        <v>#N/A</v>
      </c>
      <c r="H20237" s="4" t="str">
        <v/>
      </c>
      <c r="I20237" s="4" t="str">
        <v/>
      </c>
    </row>
    <row r="20238" spans="5:9" ht="16.5" hidden="1">
      <c r="E20238" s="4" t="str">
        <v/>
      </c>
      <c r="F20238" s="102" t="str">
        <f ca="1">IFERROR(__xludf.DUMMYFUNCTION("IMPORTRANGE(H20238,""IDENTITAS UNIT!D9"")"),"#N/A")</f>
        <v>#N/A</v>
      </c>
      <c r="H20238" s="4" t="str">
        <v/>
      </c>
      <c r="I20238" s="4" t="str">
        <v/>
      </c>
    </row>
    <row r="20239" spans="5:9" ht="16.5" hidden="1">
      <c r="E20239" s="4" t="str">
        <v/>
      </c>
      <c r="F20239" s="102" t="str">
        <f ca="1">IFERROR(__xludf.DUMMYFUNCTION("IMPORTRANGE(H20239,""IDENTITAS UNIT!D9"")"),"#N/A")</f>
        <v>#N/A</v>
      </c>
      <c r="H20239" s="4" t="str">
        <v/>
      </c>
      <c r="I20239" s="4" t="str">
        <v/>
      </c>
    </row>
    <row r="20240" spans="5:9" ht="16.5" hidden="1">
      <c r="E20240" s="4" t="str">
        <v/>
      </c>
      <c r="F20240" s="102" t="str">
        <f ca="1">IFERROR(__xludf.DUMMYFUNCTION("IMPORTRANGE(H20240,""IDENTITAS UNIT!D9"")"),"#N/A")</f>
        <v>#N/A</v>
      </c>
      <c r="H20240" s="4" t="str">
        <v/>
      </c>
      <c r="I20240" s="4" t="str">
        <v/>
      </c>
    </row>
    <row r="20241" spans="5:9" ht="16.5" hidden="1">
      <c r="E20241" s="4" t="str">
        <v/>
      </c>
      <c r="F20241" s="102" t="str">
        <f ca="1">IFERROR(__xludf.DUMMYFUNCTION("IMPORTRANGE(H20241,""IDENTITAS UNIT!D9"")"),"#N/A")</f>
        <v>#N/A</v>
      </c>
      <c r="H20241" s="4" t="str">
        <v/>
      </c>
      <c r="I20241" s="4" t="str">
        <v/>
      </c>
    </row>
    <row r="20242" spans="5:9" ht="16.5" hidden="1">
      <c r="E20242" s="4" t="str">
        <v/>
      </c>
      <c r="F20242" s="102" t="str">
        <f ca="1">IFERROR(__xludf.DUMMYFUNCTION("IMPORTRANGE(H20242,""IDENTITAS UNIT!D9"")"),"#N/A")</f>
        <v>#N/A</v>
      </c>
      <c r="H20242" s="4" t="str">
        <v/>
      </c>
      <c r="I20242" s="4" t="str">
        <v/>
      </c>
    </row>
    <row r="20243" spans="5:9" ht="16.5" hidden="1">
      <c r="E20243" s="4" t="str">
        <v/>
      </c>
      <c r="F20243" s="102" t="str">
        <f ca="1">IFERROR(__xludf.DUMMYFUNCTION("IMPORTRANGE(H20243,""IDENTITAS UNIT!D9"")"),"#N/A")</f>
        <v>#N/A</v>
      </c>
      <c r="H20243" s="4" t="str">
        <v/>
      </c>
      <c r="I20243" s="4" t="str">
        <v/>
      </c>
    </row>
    <row r="20244" spans="5:9" ht="16.5" hidden="1">
      <c r="E20244" s="4" t="str">
        <v/>
      </c>
      <c r="F20244" s="102" t="str">
        <f ca="1">IFERROR(__xludf.DUMMYFUNCTION("IMPORTRANGE(H20244,""IDENTITAS UNIT!D9"")"),"#N/A")</f>
        <v>#N/A</v>
      </c>
      <c r="H20244" s="4" t="str">
        <v/>
      </c>
      <c r="I20244" s="4" t="str">
        <v/>
      </c>
    </row>
    <row r="20245" spans="5:9" ht="16.5" hidden="1">
      <c r="E20245" s="4" t="str">
        <v/>
      </c>
      <c r="F20245" s="102" t="str">
        <f ca="1">IFERROR(__xludf.DUMMYFUNCTION("IMPORTRANGE(H20245,""IDENTITAS UNIT!D9"")"),"#N/A")</f>
        <v>#N/A</v>
      </c>
      <c r="H20245" s="4" t="str">
        <v/>
      </c>
      <c r="I20245" s="4" t="str">
        <v/>
      </c>
    </row>
    <row r="20246" spans="5:9" ht="16.5" hidden="1">
      <c r="E20246" s="4" t="str">
        <v/>
      </c>
      <c r="F20246" s="102" t="str">
        <f ca="1">IFERROR(__xludf.DUMMYFUNCTION("IMPORTRANGE(H20246,""IDENTITAS UNIT!D9"")"),"#N/A")</f>
        <v>#N/A</v>
      </c>
      <c r="H20246" s="4" t="str">
        <v/>
      </c>
      <c r="I20246" s="4" t="str">
        <v/>
      </c>
    </row>
    <row r="20247" spans="5:9" ht="16.5" hidden="1">
      <c r="E20247" s="4" t="str">
        <v/>
      </c>
      <c r="F20247" s="102" t="str">
        <f ca="1">IFERROR(__xludf.DUMMYFUNCTION("IMPORTRANGE(H20247,""IDENTITAS UNIT!D9"")"),"#N/A")</f>
        <v>#N/A</v>
      </c>
      <c r="H20247" s="4" t="str">
        <v/>
      </c>
      <c r="I20247" s="4" t="str">
        <v/>
      </c>
    </row>
    <row r="20248" spans="5:9" ht="16.5" hidden="1">
      <c r="E20248" s="4" t="str">
        <v/>
      </c>
      <c r="F20248" s="102" t="str">
        <f ca="1">IFERROR(__xludf.DUMMYFUNCTION("IMPORTRANGE(H20248,""IDENTITAS UNIT!D9"")"),"#N/A")</f>
        <v>#N/A</v>
      </c>
      <c r="H20248" s="4" t="str">
        <v/>
      </c>
      <c r="I20248" s="4" t="str">
        <v/>
      </c>
    </row>
    <row r="20249" spans="5:9" ht="16.5" hidden="1">
      <c r="E20249" s="4" t="str">
        <v/>
      </c>
      <c r="F20249" s="102" t="str">
        <f ca="1">IFERROR(__xludf.DUMMYFUNCTION("IMPORTRANGE(H20249,""IDENTITAS UNIT!D9"")"),"#N/A")</f>
        <v>#N/A</v>
      </c>
      <c r="H20249" s="4" t="str">
        <v/>
      </c>
      <c r="I20249" s="4" t="str">
        <v/>
      </c>
    </row>
    <row r="20250" spans="5:9" ht="16.5" hidden="1">
      <c r="E20250" s="4" t="str">
        <v/>
      </c>
      <c r="F20250" s="102" t="str">
        <f ca="1">IFERROR(__xludf.DUMMYFUNCTION("IMPORTRANGE(H20250,""IDENTITAS UNIT!D9"")"),"#N/A")</f>
        <v>#N/A</v>
      </c>
      <c r="H20250" s="4" t="str">
        <v/>
      </c>
      <c r="I20250" s="4" t="str">
        <v/>
      </c>
    </row>
    <row r="20251" spans="5:9" ht="16.5" hidden="1">
      <c r="E20251" s="4" t="str">
        <v/>
      </c>
      <c r="F20251" s="102" t="str">
        <f ca="1">IFERROR(__xludf.DUMMYFUNCTION("IMPORTRANGE(H20251,""IDENTITAS UNIT!D9"")"),"#N/A")</f>
        <v>#N/A</v>
      </c>
      <c r="H20251" s="4" t="str">
        <v/>
      </c>
      <c r="I20251" s="4" t="str">
        <v/>
      </c>
    </row>
    <row r="20252" spans="5:9" ht="16.5" hidden="1">
      <c r="E20252" s="4" t="str">
        <v/>
      </c>
      <c r="F20252" s="102" t="str">
        <f ca="1">IFERROR(__xludf.DUMMYFUNCTION("IMPORTRANGE(H20252,""IDENTITAS UNIT!D9"")"),"#N/A")</f>
        <v>#N/A</v>
      </c>
      <c r="H20252" s="4" t="str">
        <v/>
      </c>
      <c r="I20252" s="4" t="str">
        <v/>
      </c>
    </row>
    <row r="20253" spans="5:9" ht="16.5" hidden="1">
      <c r="E20253" s="4" t="str">
        <v/>
      </c>
      <c r="F20253" s="102" t="str">
        <f ca="1">IFERROR(__xludf.DUMMYFUNCTION("IMPORTRANGE(H20253,""IDENTITAS UNIT!D9"")"),"#N/A")</f>
        <v>#N/A</v>
      </c>
      <c r="H20253" s="4" t="str">
        <v/>
      </c>
      <c r="I20253" s="4" t="str">
        <v/>
      </c>
    </row>
    <row r="20254" spans="5:9" ht="16.5" hidden="1">
      <c r="E20254" s="4" t="str">
        <v/>
      </c>
      <c r="F20254" s="102" t="str">
        <f ca="1">IFERROR(__xludf.DUMMYFUNCTION("IMPORTRANGE(H20254,""IDENTITAS UNIT!D9"")"),"#N/A")</f>
        <v>#N/A</v>
      </c>
      <c r="H20254" s="4" t="str">
        <v/>
      </c>
      <c r="I20254" s="4" t="str">
        <v/>
      </c>
    </row>
    <row r="20255" spans="5:9" ht="16.5" hidden="1">
      <c r="E20255" s="4" t="str">
        <v/>
      </c>
      <c r="F20255" s="102" t="str">
        <f ca="1">IFERROR(__xludf.DUMMYFUNCTION("IMPORTRANGE(H20255,""IDENTITAS UNIT!D9"")"),"#N/A")</f>
        <v>#N/A</v>
      </c>
      <c r="H20255" s="4" t="str">
        <v/>
      </c>
      <c r="I20255" s="4" t="str">
        <v/>
      </c>
    </row>
    <row r="20256" spans="5:9" ht="16.5" hidden="1">
      <c r="E20256" s="4" t="str">
        <v/>
      </c>
      <c r="F20256" s="102" t="str">
        <f ca="1">IFERROR(__xludf.DUMMYFUNCTION("IMPORTRANGE(H20256,""IDENTITAS UNIT!D9"")"),"#N/A")</f>
        <v>#N/A</v>
      </c>
      <c r="H20256" s="4" t="str">
        <v/>
      </c>
      <c r="I20256" s="4" t="str">
        <v/>
      </c>
    </row>
    <row r="20257" spans="5:9" ht="16.5" hidden="1">
      <c r="E20257" s="4" t="str">
        <v/>
      </c>
      <c r="F20257" s="102" t="str">
        <f ca="1">IFERROR(__xludf.DUMMYFUNCTION("IMPORTRANGE(H20257,""IDENTITAS UNIT!D9"")"),"#N/A")</f>
        <v>#N/A</v>
      </c>
      <c r="H20257" s="4" t="str">
        <v/>
      </c>
      <c r="I20257" s="4" t="str">
        <v/>
      </c>
    </row>
    <row r="20258" spans="5:9" ht="16.5" hidden="1">
      <c r="E20258" s="4" t="str">
        <v/>
      </c>
      <c r="F20258" s="102" t="str">
        <f ca="1">IFERROR(__xludf.DUMMYFUNCTION("IMPORTRANGE(H20258,""IDENTITAS UNIT!D9"")"),"#N/A")</f>
        <v>#N/A</v>
      </c>
      <c r="H20258" s="4" t="str">
        <v/>
      </c>
      <c r="I20258" s="4" t="str">
        <v/>
      </c>
    </row>
    <row r="20259" spans="5:9" ht="16.5" hidden="1">
      <c r="E20259" s="4" t="str">
        <v/>
      </c>
      <c r="F20259" s="102" t="str">
        <f ca="1">IFERROR(__xludf.DUMMYFUNCTION("IMPORTRANGE(H20259,""IDENTITAS UNIT!D9"")"),"#N/A")</f>
        <v>#N/A</v>
      </c>
      <c r="H20259" s="4" t="str">
        <v/>
      </c>
      <c r="I20259" s="4" t="str">
        <v/>
      </c>
    </row>
    <row r="20260" spans="5:9" ht="16.5" hidden="1">
      <c r="E20260" s="4" t="str">
        <v/>
      </c>
      <c r="F20260" s="102" t="str">
        <f ca="1">IFERROR(__xludf.DUMMYFUNCTION("IMPORTRANGE(H20260,""IDENTITAS UNIT!D9"")"),"#N/A")</f>
        <v>#N/A</v>
      </c>
      <c r="H20260" s="4" t="str">
        <v/>
      </c>
      <c r="I20260" s="4" t="str">
        <v/>
      </c>
    </row>
    <row r="20261" spans="5:9" ht="16.5" hidden="1">
      <c r="E20261" s="4" t="str">
        <v/>
      </c>
      <c r="F20261" s="102" t="str">
        <f ca="1">IFERROR(__xludf.DUMMYFUNCTION("IMPORTRANGE(H20261,""IDENTITAS UNIT!D9"")"),"#N/A")</f>
        <v>#N/A</v>
      </c>
      <c r="H20261" s="4" t="str">
        <v/>
      </c>
      <c r="I20261" s="4" t="str">
        <v/>
      </c>
    </row>
    <row r="20262" spans="5:9" ht="16.5" hidden="1">
      <c r="E20262" s="4" t="str">
        <v/>
      </c>
      <c r="F20262" s="102" t="str">
        <f ca="1">IFERROR(__xludf.DUMMYFUNCTION("IMPORTRANGE(H20262,""IDENTITAS UNIT!D9"")"),"#N/A")</f>
        <v>#N/A</v>
      </c>
      <c r="H20262" s="4" t="str">
        <v/>
      </c>
      <c r="I20262" s="4" t="str">
        <v/>
      </c>
    </row>
    <row r="20263" spans="5:9" ht="16.5" hidden="1">
      <c r="E20263" s="4" t="str">
        <v/>
      </c>
      <c r="F20263" s="102" t="str">
        <f ca="1">IFERROR(__xludf.DUMMYFUNCTION("IMPORTRANGE(H20263,""IDENTITAS UNIT!D9"")"),"#N/A")</f>
        <v>#N/A</v>
      </c>
      <c r="H20263" s="4" t="str">
        <v/>
      </c>
      <c r="I20263" s="4" t="str">
        <v/>
      </c>
    </row>
    <row r="20264" spans="5:9" ht="16.5" hidden="1">
      <c r="E20264" s="4" t="str">
        <v/>
      </c>
      <c r="F20264" s="102" t="str">
        <f ca="1">IFERROR(__xludf.DUMMYFUNCTION("IMPORTRANGE(H20264,""IDENTITAS UNIT!D9"")"),"#N/A")</f>
        <v>#N/A</v>
      </c>
      <c r="H20264" s="4" t="str">
        <v/>
      </c>
      <c r="I20264" s="4" t="str">
        <v/>
      </c>
    </row>
    <row r="20265" spans="5:9" ht="16.5" hidden="1">
      <c r="E20265" s="4" t="str">
        <v/>
      </c>
      <c r="F20265" s="102" t="str">
        <f ca="1">IFERROR(__xludf.DUMMYFUNCTION("IMPORTRANGE(H20265,""IDENTITAS UNIT!D9"")"),"#N/A")</f>
        <v>#N/A</v>
      </c>
      <c r="H20265" s="4" t="str">
        <v/>
      </c>
      <c r="I20265" s="4" t="str">
        <v/>
      </c>
    </row>
    <row r="20266" spans="5:9" ht="16.5" hidden="1">
      <c r="E20266" s="4" t="str">
        <v/>
      </c>
      <c r="F20266" s="102" t="str">
        <f ca="1">IFERROR(__xludf.DUMMYFUNCTION("IMPORTRANGE(H20266,""IDENTITAS UNIT!D9"")"),"#N/A")</f>
        <v>#N/A</v>
      </c>
      <c r="H20266" s="4" t="str">
        <v/>
      </c>
      <c r="I20266" s="4" t="str">
        <v/>
      </c>
    </row>
    <row r="20267" spans="5:9" ht="16.5" hidden="1">
      <c r="E20267" s="4" t="str">
        <v/>
      </c>
      <c r="F20267" s="102" t="str">
        <f ca="1">IFERROR(__xludf.DUMMYFUNCTION("IMPORTRANGE(H20267,""IDENTITAS UNIT!D9"")"),"#N/A")</f>
        <v>#N/A</v>
      </c>
      <c r="H20267" s="4" t="str">
        <v/>
      </c>
      <c r="I20267" s="4" t="str">
        <v/>
      </c>
    </row>
    <row r="20268" spans="5:9" ht="16.5" hidden="1">
      <c r="E20268" s="4" t="str">
        <v/>
      </c>
      <c r="F20268" s="102" t="str">
        <f ca="1">IFERROR(__xludf.DUMMYFUNCTION("IMPORTRANGE(H20268,""IDENTITAS UNIT!D9"")"),"#N/A")</f>
        <v>#N/A</v>
      </c>
      <c r="H20268" s="4" t="str">
        <v/>
      </c>
      <c r="I20268" s="4" t="str">
        <v/>
      </c>
    </row>
    <row r="20269" spans="5:9" ht="16.5" hidden="1">
      <c r="E20269" s="4" t="str">
        <v/>
      </c>
      <c r="F20269" s="102" t="str">
        <f ca="1">IFERROR(__xludf.DUMMYFUNCTION("IMPORTRANGE(H20269,""IDENTITAS UNIT!D9"")"),"#N/A")</f>
        <v>#N/A</v>
      </c>
      <c r="H20269" s="4" t="str">
        <v/>
      </c>
      <c r="I20269" s="4" t="str">
        <v/>
      </c>
    </row>
    <row r="20270" spans="5:9" ht="16.5" hidden="1">
      <c r="E20270" s="4" t="str">
        <v/>
      </c>
      <c r="F20270" s="102" t="str">
        <f ca="1">IFERROR(__xludf.DUMMYFUNCTION("IMPORTRANGE(H20270,""IDENTITAS UNIT!D9"")"),"#N/A")</f>
        <v>#N/A</v>
      </c>
      <c r="H20270" s="4" t="str">
        <v/>
      </c>
      <c r="I20270" s="4" t="str">
        <v/>
      </c>
    </row>
    <row r="20271" spans="5:9" ht="16.5" hidden="1">
      <c r="E20271" s="4" t="str">
        <v/>
      </c>
      <c r="F20271" s="102" t="str">
        <f ca="1">IFERROR(__xludf.DUMMYFUNCTION("IMPORTRANGE(H20271,""IDENTITAS UNIT!D9"")"),"#N/A")</f>
        <v>#N/A</v>
      </c>
      <c r="H20271" s="4" t="str">
        <v/>
      </c>
      <c r="I20271" s="4" t="str">
        <v/>
      </c>
    </row>
    <row r="20272" spans="5:9" ht="16.5" hidden="1">
      <c r="E20272" s="4" t="str">
        <v/>
      </c>
      <c r="F20272" s="102" t="str">
        <f ca="1">IFERROR(__xludf.DUMMYFUNCTION("IMPORTRANGE(H20272,""IDENTITAS UNIT!D9"")"),"#N/A")</f>
        <v>#N/A</v>
      </c>
      <c r="H20272" s="4" t="str">
        <v/>
      </c>
      <c r="I20272" s="4" t="str">
        <v/>
      </c>
    </row>
    <row r="20273" spans="5:9" ht="16.5" hidden="1">
      <c r="E20273" s="4" t="str">
        <v/>
      </c>
      <c r="F20273" s="102" t="str">
        <f ca="1">IFERROR(__xludf.DUMMYFUNCTION("IMPORTRANGE(H20273,""IDENTITAS UNIT!D9"")"),"#N/A")</f>
        <v>#N/A</v>
      </c>
      <c r="H20273" s="4" t="str">
        <v/>
      </c>
      <c r="I20273" s="4" t="str">
        <v/>
      </c>
    </row>
    <row r="20274" spans="5:9" ht="16.5" hidden="1">
      <c r="E20274" s="4" t="str">
        <v/>
      </c>
      <c r="F20274" s="102" t="str">
        <f ca="1">IFERROR(__xludf.DUMMYFUNCTION("IMPORTRANGE(H20274,""IDENTITAS UNIT!D9"")"),"#N/A")</f>
        <v>#N/A</v>
      </c>
      <c r="H20274" s="4" t="str">
        <v/>
      </c>
      <c r="I20274" s="4" t="str">
        <v/>
      </c>
    </row>
    <row r="20275" spans="5:9" ht="16.5" hidden="1">
      <c r="E20275" s="4" t="str">
        <v/>
      </c>
      <c r="F20275" s="102" t="str">
        <f ca="1">IFERROR(__xludf.DUMMYFUNCTION("IMPORTRANGE(H20275,""IDENTITAS UNIT!D9"")"),"#N/A")</f>
        <v>#N/A</v>
      </c>
      <c r="H20275" s="4" t="str">
        <v/>
      </c>
      <c r="I20275" s="4" t="str">
        <v/>
      </c>
    </row>
    <row r="20276" spans="5:9" ht="16.5" hidden="1">
      <c r="E20276" s="4" t="str">
        <v/>
      </c>
      <c r="F20276" s="102" t="str">
        <f ca="1">IFERROR(__xludf.DUMMYFUNCTION("IMPORTRANGE(H20276,""IDENTITAS UNIT!D9"")"),"#N/A")</f>
        <v>#N/A</v>
      </c>
      <c r="H20276" s="4" t="str">
        <v/>
      </c>
      <c r="I20276" s="4" t="str">
        <v/>
      </c>
    </row>
    <row r="20277" spans="5:9" ht="16.5" hidden="1">
      <c r="E20277" s="4" t="str">
        <v/>
      </c>
      <c r="F20277" s="102" t="str">
        <f ca="1">IFERROR(__xludf.DUMMYFUNCTION("IMPORTRANGE(H20277,""IDENTITAS UNIT!D9"")"),"#N/A")</f>
        <v>#N/A</v>
      </c>
      <c r="H20277" s="4" t="str">
        <v/>
      </c>
      <c r="I20277" s="4" t="str">
        <v/>
      </c>
    </row>
    <row r="20278" spans="5:9" ht="16.5" hidden="1">
      <c r="E20278" s="4" t="str">
        <v/>
      </c>
      <c r="F20278" s="102" t="str">
        <f ca="1">IFERROR(__xludf.DUMMYFUNCTION("IMPORTRANGE(H20278,""IDENTITAS UNIT!D9"")"),"#N/A")</f>
        <v>#N/A</v>
      </c>
      <c r="H20278" s="4" t="str">
        <v/>
      </c>
      <c r="I20278" s="4" t="str">
        <v/>
      </c>
    </row>
    <row r="20279" spans="5:9" ht="16.5" hidden="1">
      <c r="E20279" s="4" t="str">
        <v/>
      </c>
      <c r="F20279" s="102" t="str">
        <f ca="1">IFERROR(__xludf.DUMMYFUNCTION("IMPORTRANGE(H20279,""IDENTITAS UNIT!D9"")"),"#N/A")</f>
        <v>#N/A</v>
      </c>
      <c r="H20279" s="4" t="str">
        <v/>
      </c>
      <c r="I20279" s="4" t="str">
        <v/>
      </c>
    </row>
    <row r="20280" spans="5:9" ht="16.5" hidden="1">
      <c r="E20280" s="4" t="str">
        <v/>
      </c>
      <c r="F20280" s="102" t="str">
        <f ca="1">IFERROR(__xludf.DUMMYFUNCTION("IMPORTRANGE(H20280,""IDENTITAS UNIT!D9"")"),"#N/A")</f>
        <v>#N/A</v>
      </c>
      <c r="H20280" s="4" t="str">
        <v/>
      </c>
      <c r="I20280" s="4" t="str">
        <v/>
      </c>
    </row>
    <row r="20281" spans="5:9" ht="16.5" hidden="1">
      <c r="E20281" s="4" t="str">
        <v/>
      </c>
      <c r="F20281" s="102" t="str">
        <f ca="1">IFERROR(__xludf.DUMMYFUNCTION("IMPORTRANGE(H20281,""IDENTITAS UNIT!D9"")"),"#N/A")</f>
        <v>#N/A</v>
      </c>
      <c r="H20281" s="4" t="str">
        <v/>
      </c>
      <c r="I20281" s="4" t="str">
        <v/>
      </c>
    </row>
    <row r="20282" spans="5:9" ht="16.5" hidden="1">
      <c r="E20282" s="4" t="str">
        <v/>
      </c>
      <c r="F20282" s="102" t="str">
        <f ca="1">IFERROR(__xludf.DUMMYFUNCTION("IMPORTRANGE(H20282,""IDENTITAS UNIT!D9"")"),"#N/A")</f>
        <v>#N/A</v>
      </c>
      <c r="H20282" s="4" t="str">
        <v/>
      </c>
      <c r="I20282" s="4" t="str">
        <v/>
      </c>
    </row>
    <row r="20283" spans="5:9" ht="16.5" hidden="1">
      <c r="E20283" s="4" t="str">
        <v/>
      </c>
      <c r="F20283" s="102" t="str">
        <f ca="1">IFERROR(__xludf.DUMMYFUNCTION("IMPORTRANGE(H20283,""IDENTITAS UNIT!D9"")"),"#N/A")</f>
        <v>#N/A</v>
      </c>
      <c r="H20283" s="4" t="str">
        <v/>
      </c>
      <c r="I20283" s="4" t="str">
        <v/>
      </c>
    </row>
    <row r="20284" spans="5:9" ht="16.5" hidden="1">
      <c r="E20284" s="4" t="str">
        <v/>
      </c>
      <c r="F20284" s="102" t="str">
        <f ca="1">IFERROR(__xludf.DUMMYFUNCTION("IMPORTRANGE(H20284,""IDENTITAS UNIT!D9"")"),"#N/A")</f>
        <v>#N/A</v>
      </c>
      <c r="H20284" s="4" t="str">
        <v/>
      </c>
      <c r="I20284" s="4" t="str">
        <v/>
      </c>
    </row>
    <row r="20285" spans="5:9" ht="16.5" hidden="1">
      <c r="E20285" s="4" t="str">
        <v/>
      </c>
      <c r="F20285" s="102" t="str">
        <f ca="1">IFERROR(__xludf.DUMMYFUNCTION("IMPORTRANGE(H20285,""IDENTITAS UNIT!D9"")"),"#N/A")</f>
        <v>#N/A</v>
      </c>
      <c r="H20285" s="4" t="str">
        <v/>
      </c>
      <c r="I20285" s="4" t="str">
        <v/>
      </c>
    </row>
    <row r="20286" spans="5:9" ht="16.5" hidden="1">
      <c r="E20286" s="4" t="str">
        <v/>
      </c>
      <c r="F20286" s="102" t="str">
        <f ca="1">IFERROR(__xludf.DUMMYFUNCTION("IMPORTRANGE(H20286,""IDENTITAS UNIT!D9"")"),"#N/A")</f>
        <v>#N/A</v>
      </c>
      <c r="H20286" s="4" t="str">
        <v/>
      </c>
      <c r="I20286" s="4" t="str">
        <v/>
      </c>
    </row>
    <row r="20287" spans="5:9" ht="16.5" hidden="1">
      <c r="E20287" s="4" t="str">
        <v/>
      </c>
      <c r="F20287" s="102" t="str">
        <f ca="1">IFERROR(__xludf.DUMMYFUNCTION("IMPORTRANGE(H20287,""IDENTITAS UNIT!D9"")"),"#N/A")</f>
        <v>#N/A</v>
      </c>
      <c r="H20287" s="4" t="str">
        <v/>
      </c>
      <c r="I20287" s="4" t="str">
        <v/>
      </c>
    </row>
    <row r="20288" spans="5:9" ht="16.5" hidden="1">
      <c r="E20288" s="4" t="str">
        <v/>
      </c>
      <c r="F20288" s="102" t="str">
        <f ca="1">IFERROR(__xludf.DUMMYFUNCTION("IMPORTRANGE(H20288,""IDENTITAS UNIT!D9"")"),"#N/A")</f>
        <v>#N/A</v>
      </c>
      <c r="H20288" s="4" t="str">
        <v/>
      </c>
      <c r="I20288" s="4" t="str">
        <v/>
      </c>
    </row>
    <row r="20289" spans="5:9" ht="16.5" hidden="1">
      <c r="E20289" s="4" t="str">
        <v/>
      </c>
      <c r="F20289" s="102" t="str">
        <f ca="1">IFERROR(__xludf.DUMMYFUNCTION("IMPORTRANGE(H20289,""IDENTITAS UNIT!D9"")"),"#N/A")</f>
        <v>#N/A</v>
      </c>
      <c r="H20289" s="4" t="str">
        <v/>
      </c>
      <c r="I20289" s="4" t="str">
        <v/>
      </c>
    </row>
    <row r="20290" spans="5:9" ht="16.5" hidden="1">
      <c r="E20290" s="4" t="str">
        <v/>
      </c>
      <c r="F20290" s="102" t="str">
        <f ca="1">IFERROR(__xludf.DUMMYFUNCTION("IMPORTRANGE(H20290,""IDENTITAS UNIT!D9"")"),"#N/A")</f>
        <v>#N/A</v>
      </c>
      <c r="H20290" s="4" t="str">
        <v/>
      </c>
      <c r="I20290" s="4" t="str">
        <v/>
      </c>
    </row>
    <row r="20291" spans="5:9" ht="16.5" hidden="1">
      <c r="E20291" s="4" t="str">
        <v/>
      </c>
      <c r="F20291" s="102" t="str">
        <f ca="1">IFERROR(__xludf.DUMMYFUNCTION("IMPORTRANGE(H20291,""IDENTITAS UNIT!D9"")"),"#N/A")</f>
        <v>#N/A</v>
      </c>
      <c r="H20291" s="4" t="str">
        <v/>
      </c>
      <c r="I20291" s="4" t="str">
        <v/>
      </c>
    </row>
    <row r="20292" spans="5:9" ht="16.5" hidden="1">
      <c r="E20292" s="4" t="str">
        <v/>
      </c>
      <c r="F20292" s="102" t="str">
        <f ca="1">IFERROR(__xludf.DUMMYFUNCTION("IMPORTRANGE(H20292,""IDENTITAS UNIT!D9"")"),"#N/A")</f>
        <v>#N/A</v>
      </c>
      <c r="H20292" s="4" t="str">
        <v/>
      </c>
      <c r="I20292" s="4" t="str">
        <v/>
      </c>
    </row>
    <row r="20293" spans="5:9" ht="16.5" hidden="1">
      <c r="E20293" s="4" t="str">
        <v/>
      </c>
      <c r="F20293" s="102" t="str">
        <f ca="1">IFERROR(__xludf.DUMMYFUNCTION("IMPORTRANGE(H20293,""IDENTITAS UNIT!D9"")"),"#N/A")</f>
        <v>#N/A</v>
      </c>
      <c r="H20293" s="4" t="str">
        <v/>
      </c>
      <c r="I20293" s="4" t="str">
        <v/>
      </c>
    </row>
    <row r="20294" spans="5:9" ht="16.5" hidden="1">
      <c r="E20294" s="4" t="str">
        <v/>
      </c>
      <c r="F20294" s="102" t="str">
        <f ca="1">IFERROR(__xludf.DUMMYFUNCTION("IMPORTRANGE(H20294,""IDENTITAS UNIT!D9"")"),"#N/A")</f>
        <v>#N/A</v>
      </c>
      <c r="H20294" s="4" t="str">
        <v/>
      </c>
      <c r="I20294" s="4" t="str">
        <v/>
      </c>
    </row>
    <row r="20295" spans="5:9" ht="16.5" hidden="1">
      <c r="E20295" s="4" t="str">
        <v/>
      </c>
      <c r="F20295" s="102" t="str">
        <f ca="1">IFERROR(__xludf.DUMMYFUNCTION("IMPORTRANGE(H20295,""IDENTITAS UNIT!D9"")"),"#N/A")</f>
        <v>#N/A</v>
      </c>
      <c r="H20295" s="4" t="str">
        <v/>
      </c>
      <c r="I20295" s="4" t="str">
        <v/>
      </c>
    </row>
    <row r="20296" spans="5:9" ht="16.5" hidden="1">
      <c r="E20296" s="4" t="str">
        <v/>
      </c>
      <c r="F20296" s="102" t="str">
        <f ca="1">IFERROR(__xludf.DUMMYFUNCTION("IMPORTRANGE(H20296,""IDENTITAS UNIT!D9"")"),"#N/A")</f>
        <v>#N/A</v>
      </c>
      <c r="H20296" s="4" t="str">
        <v/>
      </c>
      <c r="I20296" s="4" t="str">
        <v/>
      </c>
    </row>
    <row r="20297" spans="5:9" ht="16.5" hidden="1">
      <c r="E20297" s="4" t="str">
        <v/>
      </c>
      <c r="F20297" s="102" t="str">
        <f ca="1">IFERROR(__xludf.DUMMYFUNCTION("IMPORTRANGE(H20297,""IDENTITAS UNIT!D9"")"),"#N/A")</f>
        <v>#N/A</v>
      </c>
      <c r="H20297" s="4" t="str">
        <v/>
      </c>
      <c r="I20297" s="4" t="str">
        <v/>
      </c>
    </row>
    <row r="20298" spans="5:9" ht="16.5" hidden="1">
      <c r="E20298" s="4" t="str">
        <v/>
      </c>
      <c r="F20298" s="102" t="str">
        <f ca="1">IFERROR(__xludf.DUMMYFUNCTION("IMPORTRANGE(H20298,""IDENTITAS UNIT!D9"")"),"#N/A")</f>
        <v>#N/A</v>
      </c>
      <c r="H20298" s="4" t="str">
        <v/>
      </c>
      <c r="I20298" s="4" t="str">
        <v/>
      </c>
    </row>
    <row r="20299" spans="5:9" ht="16.5" hidden="1">
      <c r="E20299" s="4" t="str">
        <v/>
      </c>
      <c r="F20299" s="102" t="str">
        <f ca="1">IFERROR(__xludf.DUMMYFUNCTION("IMPORTRANGE(H20299,""IDENTITAS UNIT!D9"")"),"#N/A")</f>
        <v>#N/A</v>
      </c>
      <c r="H20299" s="4" t="str">
        <v/>
      </c>
      <c r="I20299" s="4" t="str">
        <v/>
      </c>
    </row>
    <row r="20300" spans="5:9" ht="16.5" hidden="1">
      <c r="E20300" s="4" t="str">
        <v/>
      </c>
      <c r="F20300" s="102" t="str">
        <f ca="1">IFERROR(__xludf.DUMMYFUNCTION("IMPORTRANGE(H20300,""IDENTITAS UNIT!D9"")"),"#N/A")</f>
        <v>#N/A</v>
      </c>
      <c r="H20300" s="4" t="str">
        <v/>
      </c>
      <c r="I20300" s="4" t="str">
        <v/>
      </c>
    </row>
    <row r="20301" spans="5:9" ht="16.5" hidden="1">
      <c r="E20301" s="4" t="str">
        <v/>
      </c>
      <c r="F20301" s="102" t="str">
        <f ca="1">IFERROR(__xludf.DUMMYFUNCTION("IMPORTRANGE(H20301,""IDENTITAS UNIT!D9"")"),"#N/A")</f>
        <v>#N/A</v>
      </c>
      <c r="H20301" s="4" t="str">
        <v/>
      </c>
      <c r="I20301" s="4" t="str">
        <v/>
      </c>
    </row>
    <row r="20302" spans="5:9" ht="16.5" hidden="1">
      <c r="E20302" s="4" t="str">
        <v/>
      </c>
      <c r="F20302" s="102" t="str">
        <f ca="1">IFERROR(__xludf.DUMMYFUNCTION("IMPORTRANGE(H20302,""IDENTITAS UNIT!D9"")"),"#N/A")</f>
        <v>#N/A</v>
      </c>
      <c r="H20302" s="4" t="str">
        <v/>
      </c>
      <c r="I20302" s="4" t="str">
        <v/>
      </c>
    </row>
    <row r="20303" spans="5:9" ht="16.5" hidden="1">
      <c r="E20303" s="4" t="str">
        <v/>
      </c>
      <c r="F20303" s="102" t="str">
        <f ca="1">IFERROR(__xludf.DUMMYFUNCTION("IMPORTRANGE(H20303,""IDENTITAS UNIT!D9"")"),"#N/A")</f>
        <v>#N/A</v>
      </c>
      <c r="H20303" s="4" t="str">
        <v/>
      </c>
      <c r="I20303" s="4" t="str">
        <v/>
      </c>
    </row>
    <row r="20304" spans="5:9" ht="16.5" hidden="1">
      <c r="E20304" s="4" t="str">
        <v/>
      </c>
      <c r="F20304" s="102" t="str">
        <f ca="1">IFERROR(__xludf.DUMMYFUNCTION("IMPORTRANGE(H20304,""IDENTITAS UNIT!D9"")"),"#N/A")</f>
        <v>#N/A</v>
      </c>
      <c r="H20304" s="4" t="str">
        <v/>
      </c>
      <c r="I20304" s="4" t="str">
        <v/>
      </c>
    </row>
    <row r="20305" spans="5:9" ht="16.5" hidden="1">
      <c r="E20305" s="4" t="str">
        <v/>
      </c>
      <c r="F20305" s="102" t="str">
        <f ca="1">IFERROR(__xludf.DUMMYFUNCTION("IMPORTRANGE(H20305,""IDENTITAS UNIT!D9"")"),"#N/A")</f>
        <v>#N/A</v>
      </c>
      <c r="H20305" s="4" t="str">
        <v/>
      </c>
      <c r="I20305" s="4" t="str">
        <v/>
      </c>
    </row>
    <row r="20306" spans="5:9" ht="16.5" hidden="1">
      <c r="E20306" s="4" t="str">
        <v/>
      </c>
      <c r="F20306" s="102" t="str">
        <f ca="1">IFERROR(__xludf.DUMMYFUNCTION("IMPORTRANGE(H20306,""IDENTITAS UNIT!D9"")"),"#N/A")</f>
        <v>#N/A</v>
      </c>
      <c r="H20306" s="4" t="str">
        <v/>
      </c>
      <c r="I20306" s="4" t="str">
        <v/>
      </c>
    </row>
    <row r="20307" spans="5:9" ht="16.5" hidden="1">
      <c r="E20307" s="4" t="str">
        <v/>
      </c>
      <c r="F20307" s="102" t="str">
        <f ca="1">IFERROR(__xludf.DUMMYFUNCTION("IMPORTRANGE(H20307,""IDENTITAS UNIT!D9"")"),"#N/A")</f>
        <v>#N/A</v>
      </c>
      <c r="H20307" s="4" t="str">
        <v/>
      </c>
      <c r="I20307" s="4" t="str">
        <v/>
      </c>
    </row>
    <row r="20308" spans="5:9" ht="16.5" hidden="1">
      <c r="E20308" s="4" t="str">
        <v/>
      </c>
      <c r="F20308" s="102" t="str">
        <f ca="1">IFERROR(__xludf.DUMMYFUNCTION("IMPORTRANGE(H20308,""IDENTITAS UNIT!D9"")"),"#N/A")</f>
        <v>#N/A</v>
      </c>
      <c r="H20308" s="4" t="str">
        <v/>
      </c>
      <c r="I20308" s="4" t="str">
        <v/>
      </c>
    </row>
    <row r="20309" spans="5:9" ht="16.5" hidden="1">
      <c r="E20309" s="4" t="str">
        <v/>
      </c>
      <c r="F20309" s="102" t="str">
        <f ca="1">IFERROR(__xludf.DUMMYFUNCTION("IMPORTRANGE(H20309,""IDENTITAS UNIT!D9"")"),"#N/A")</f>
        <v>#N/A</v>
      </c>
      <c r="H20309" s="4" t="str">
        <v/>
      </c>
      <c r="I20309" s="4" t="str">
        <v/>
      </c>
    </row>
    <row r="20310" spans="5:9" ht="16.5" hidden="1">
      <c r="E20310" s="4" t="str">
        <v/>
      </c>
      <c r="F20310" s="102" t="str">
        <f ca="1">IFERROR(__xludf.DUMMYFUNCTION("IMPORTRANGE(H20310,""IDENTITAS UNIT!D9"")"),"#N/A")</f>
        <v>#N/A</v>
      </c>
      <c r="H20310" s="4" t="str">
        <v/>
      </c>
      <c r="I20310" s="4" t="str">
        <v/>
      </c>
    </row>
    <row r="20311" spans="5:9" ht="16.5" hidden="1">
      <c r="E20311" s="4" t="str">
        <v/>
      </c>
      <c r="F20311" s="102" t="str">
        <f ca="1">IFERROR(__xludf.DUMMYFUNCTION("IMPORTRANGE(H20311,""IDENTITAS UNIT!D9"")"),"#N/A")</f>
        <v>#N/A</v>
      </c>
      <c r="H20311" s="4" t="str">
        <v/>
      </c>
      <c r="I20311" s="4" t="str">
        <v/>
      </c>
    </row>
    <row r="20312" spans="5:9" ht="16.5" hidden="1">
      <c r="E20312" s="4" t="str">
        <v/>
      </c>
      <c r="F20312" s="102" t="str">
        <f ca="1">IFERROR(__xludf.DUMMYFUNCTION("IMPORTRANGE(H20312,""IDENTITAS UNIT!D9"")"),"#N/A")</f>
        <v>#N/A</v>
      </c>
      <c r="H20312" s="4" t="str">
        <v/>
      </c>
      <c r="I20312" s="4" t="str">
        <v/>
      </c>
    </row>
    <row r="20313" spans="5:9" ht="16.5" hidden="1">
      <c r="E20313" s="4" t="str">
        <v/>
      </c>
      <c r="F20313" s="102" t="str">
        <f ca="1">IFERROR(__xludf.DUMMYFUNCTION("IMPORTRANGE(H20313,""IDENTITAS UNIT!D9"")"),"#N/A")</f>
        <v>#N/A</v>
      </c>
      <c r="H20313" s="4" t="str">
        <v/>
      </c>
      <c r="I20313" s="4" t="str">
        <v/>
      </c>
    </row>
    <row r="20314" spans="5:9" ht="16.5" hidden="1">
      <c r="E20314" s="4" t="str">
        <v/>
      </c>
      <c r="F20314" s="102" t="str">
        <f ca="1">IFERROR(__xludf.DUMMYFUNCTION("IMPORTRANGE(H20314,""IDENTITAS UNIT!D9"")"),"#N/A")</f>
        <v>#N/A</v>
      </c>
      <c r="H20314" s="4" t="str">
        <v/>
      </c>
      <c r="I20314" s="4" t="str">
        <v/>
      </c>
    </row>
    <row r="20315" spans="5:9" ht="16.5" hidden="1">
      <c r="E20315" s="4" t="str">
        <v/>
      </c>
      <c r="F20315" s="102" t="str">
        <f ca="1">IFERROR(__xludf.DUMMYFUNCTION("IMPORTRANGE(H20315,""IDENTITAS UNIT!D9"")"),"#N/A")</f>
        <v>#N/A</v>
      </c>
      <c r="H20315" s="4" t="str">
        <v/>
      </c>
      <c r="I20315" s="4" t="str">
        <v/>
      </c>
    </row>
    <row r="20316" spans="5:9" ht="16.5" hidden="1">
      <c r="E20316" s="4" t="str">
        <v/>
      </c>
      <c r="F20316" s="102" t="str">
        <f ca="1">IFERROR(__xludf.DUMMYFUNCTION("IMPORTRANGE(H20316,""IDENTITAS UNIT!D9"")"),"#N/A")</f>
        <v>#N/A</v>
      </c>
      <c r="H20316" s="4" t="str">
        <v/>
      </c>
      <c r="I20316" s="4" t="str">
        <v/>
      </c>
    </row>
    <row r="20317" spans="5:9" ht="16.5" hidden="1">
      <c r="E20317" s="4" t="str">
        <v/>
      </c>
      <c r="F20317" s="102" t="str">
        <f ca="1">IFERROR(__xludf.DUMMYFUNCTION("IMPORTRANGE(H20317,""IDENTITAS UNIT!D9"")"),"#N/A")</f>
        <v>#N/A</v>
      </c>
      <c r="H20317" s="4" t="str">
        <v/>
      </c>
      <c r="I20317" s="4" t="str">
        <v/>
      </c>
    </row>
    <row r="20318" spans="5:9" ht="16.5" hidden="1">
      <c r="E20318" s="4" t="str">
        <v/>
      </c>
      <c r="F20318" s="102" t="str">
        <f ca="1">IFERROR(__xludf.DUMMYFUNCTION("IMPORTRANGE(H20318,""IDENTITAS UNIT!D9"")"),"#N/A")</f>
        <v>#N/A</v>
      </c>
      <c r="H20318" s="4" t="str">
        <v/>
      </c>
      <c r="I20318" s="4" t="str">
        <v/>
      </c>
    </row>
    <row r="20319" spans="5:9" ht="16.5" hidden="1">
      <c r="E20319" s="4" t="str">
        <v/>
      </c>
      <c r="F20319" s="102" t="str">
        <f ca="1">IFERROR(__xludf.DUMMYFUNCTION("IMPORTRANGE(H20319,""IDENTITAS UNIT!D9"")"),"#N/A")</f>
        <v>#N/A</v>
      </c>
      <c r="H20319" s="4" t="str">
        <v/>
      </c>
      <c r="I20319" s="4" t="str">
        <v/>
      </c>
    </row>
    <row r="20320" spans="5:9" ht="16.5" hidden="1">
      <c r="E20320" s="4" t="str">
        <v/>
      </c>
      <c r="F20320" s="102" t="str">
        <f ca="1">IFERROR(__xludf.DUMMYFUNCTION("IMPORTRANGE(H20320,""IDENTITAS UNIT!D9"")"),"#N/A")</f>
        <v>#N/A</v>
      </c>
      <c r="H20320" s="4" t="str">
        <v/>
      </c>
      <c r="I20320" s="4" t="str">
        <v/>
      </c>
    </row>
    <row r="20321" spans="5:9" ht="16.5" hidden="1">
      <c r="E20321" s="4" t="str">
        <v/>
      </c>
      <c r="F20321" s="102" t="str">
        <f ca="1">IFERROR(__xludf.DUMMYFUNCTION("IMPORTRANGE(H20321,""IDENTITAS UNIT!D9"")"),"#N/A")</f>
        <v>#N/A</v>
      </c>
      <c r="H20321" s="4" t="str">
        <v/>
      </c>
      <c r="I20321" s="4" t="str">
        <v/>
      </c>
    </row>
    <row r="20322" spans="5:9" ht="16.5" hidden="1">
      <c r="E20322" s="4" t="str">
        <v/>
      </c>
      <c r="F20322" s="102" t="str">
        <f ca="1">IFERROR(__xludf.DUMMYFUNCTION("IMPORTRANGE(H20322,""IDENTITAS UNIT!D9"")"),"#N/A")</f>
        <v>#N/A</v>
      </c>
      <c r="H20322" s="4" t="str">
        <v/>
      </c>
      <c r="I20322" s="4" t="str">
        <v/>
      </c>
    </row>
    <row r="20323" spans="5:9" ht="16.5" hidden="1">
      <c r="E20323" s="4" t="str">
        <v/>
      </c>
      <c r="F20323" s="102" t="str">
        <f ca="1">IFERROR(__xludf.DUMMYFUNCTION("IMPORTRANGE(H20323,""IDENTITAS UNIT!D9"")"),"#N/A")</f>
        <v>#N/A</v>
      </c>
      <c r="H20323" s="4" t="str">
        <v/>
      </c>
      <c r="I20323" s="4" t="str">
        <v/>
      </c>
    </row>
    <row r="20324" spans="5:9" ht="16.5" hidden="1">
      <c r="E20324" s="4" t="str">
        <v/>
      </c>
      <c r="F20324" s="102" t="str">
        <f ca="1">IFERROR(__xludf.DUMMYFUNCTION("IMPORTRANGE(H20324,""IDENTITAS UNIT!D9"")"),"#N/A")</f>
        <v>#N/A</v>
      </c>
      <c r="H20324" s="4" t="str">
        <v/>
      </c>
      <c r="I20324" s="4" t="str">
        <v/>
      </c>
    </row>
    <row r="20325" spans="5:9" ht="16.5" hidden="1">
      <c r="E20325" s="4" t="str">
        <v/>
      </c>
      <c r="F20325" s="102" t="str">
        <f ca="1">IFERROR(__xludf.DUMMYFUNCTION("IMPORTRANGE(H20325,""IDENTITAS UNIT!D9"")"),"#N/A")</f>
        <v>#N/A</v>
      </c>
      <c r="H20325" s="4" t="str">
        <v/>
      </c>
      <c r="I20325" s="4" t="str">
        <v/>
      </c>
    </row>
    <row r="20326" spans="5:9" ht="16.5" hidden="1">
      <c r="E20326" s="4" t="str">
        <v/>
      </c>
      <c r="F20326" s="102" t="str">
        <f ca="1">IFERROR(__xludf.DUMMYFUNCTION("IMPORTRANGE(H20326,""IDENTITAS UNIT!D9"")"),"#N/A")</f>
        <v>#N/A</v>
      </c>
      <c r="H20326" s="4" t="str">
        <v/>
      </c>
      <c r="I20326" s="4" t="str">
        <v/>
      </c>
    </row>
    <row r="20327" spans="5:9" ht="16.5" hidden="1">
      <c r="E20327" s="4" t="str">
        <v/>
      </c>
      <c r="F20327" s="102" t="str">
        <f ca="1">IFERROR(__xludf.DUMMYFUNCTION("IMPORTRANGE(H20327,""IDENTITAS UNIT!D9"")"),"#N/A")</f>
        <v>#N/A</v>
      </c>
      <c r="H20327" s="4" t="str">
        <v/>
      </c>
      <c r="I20327" s="4" t="str">
        <v/>
      </c>
    </row>
    <row r="20328" spans="5:9" ht="16.5" hidden="1">
      <c r="E20328" s="4" t="str">
        <v/>
      </c>
      <c r="F20328" s="102" t="str">
        <f ca="1">IFERROR(__xludf.DUMMYFUNCTION("IMPORTRANGE(H20328,""IDENTITAS UNIT!D9"")"),"#N/A")</f>
        <v>#N/A</v>
      </c>
      <c r="H20328" s="4" t="str">
        <v/>
      </c>
      <c r="I20328" s="4" t="str">
        <v/>
      </c>
    </row>
    <row r="20329" spans="5:9" ht="16.5" hidden="1">
      <c r="E20329" s="4" t="str">
        <v/>
      </c>
      <c r="F20329" s="102" t="str">
        <f ca="1">IFERROR(__xludf.DUMMYFUNCTION("IMPORTRANGE(H20329,""IDENTITAS UNIT!D9"")"),"#N/A")</f>
        <v>#N/A</v>
      </c>
      <c r="H20329" s="4" t="str">
        <v/>
      </c>
      <c r="I20329" s="4" t="str">
        <v/>
      </c>
    </row>
    <row r="20330" spans="5:9" ht="16.5" hidden="1">
      <c r="E20330" s="4" t="str">
        <v/>
      </c>
      <c r="F20330" s="102" t="str">
        <f ca="1">IFERROR(__xludf.DUMMYFUNCTION("IMPORTRANGE(H20330,""IDENTITAS UNIT!D9"")"),"#N/A")</f>
        <v>#N/A</v>
      </c>
      <c r="H20330" s="4" t="str">
        <v/>
      </c>
      <c r="I20330" s="4" t="str">
        <v/>
      </c>
    </row>
    <row r="20331" spans="5:9" ht="16.5" hidden="1">
      <c r="E20331" s="4" t="str">
        <v/>
      </c>
      <c r="F20331" s="102" t="str">
        <f ca="1">IFERROR(__xludf.DUMMYFUNCTION("IMPORTRANGE(H20331,""IDENTITAS UNIT!D9"")"),"#N/A")</f>
        <v>#N/A</v>
      </c>
      <c r="H20331" s="4" t="str">
        <v/>
      </c>
      <c r="I20331" s="4" t="str">
        <v/>
      </c>
    </row>
    <row r="20332" spans="5:9" ht="16.5" hidden="1">
      <c r="E20332" s="4" t="str">
        <v/>
      </c>
      <c r="F20332" s="102" t="str">
        <f ca="1">IFERROR(__xludf.DUMMYFUNCTION("IMPORTRANGE(H20332,""IDENTITAS UNIT!D9"")"),"#N/A")</f>
        <v>#N/A</v>
      </c>
      <c r="H20332" s="4" t="str">
        <v/>
      </c>
      <c r="I20332" s="4" t="str">
        <v/>
      </c>
    </row>
    <row r="20333" spans="5:9" ht="16.5" hidden="1">
      <c r="E20333" s="4" t="str">
        <v/>
      </c>
      <c r="F20333" s="102" t="str">
        <f ca="1">IFERROR(__xludf.DUMMYFUNCTION("IMPORTRANGE(H20333,""IDENTITAS UNIT!D9"")"),"#N/A")</f>
        <v>#N/A</v>
      </c>
      <c r="H20333" s="4" t="str">
        <v/>
      </c>
      <c r="I20333" s="4" t="str">
        <v/>
      </c>
    </row>
    <row r="20334" spans="5:9" ht="16.5" hidden="1">
      <c r="E20334" s="4" t="str">
        <v/>
      </c>
      <c r="F20334" s="102" t="str">
        <f ca="1">IFERROR(__xludf.DUMMYFUNCTION("IMPORTRANGE(H20334,""IDENTITAS UNIT!D9"")"),"#N/A")</f>
        <v>#N/A</v>
      </c>
      <c r="H20334" s="4" t="str">
        <v/>
      </c>
      <c r="I20334" s="4" t="str">
        <v/>
      </c>
    </row>
    <row r="20335" spans="5:9" ht="16.5" hidden="1">
      <c r="E20335" s="4" t="str">
        <v/>
      </c>
      <c r="F20335" s="102" t="str">
        <f ca="1">IFERROR(__xludf.DUMMYFUNCTION("IMPORTRANGE(H20335,""IDENTITAS UNIT!D9"")"),"#N/A")</f>
        <v>#N/A</v>
      </c>
      <c r="H20335" s="4" t="str">
        <v/>
      </c>
      <c r="I20335" s="4" t="str">
        <v/>
      </c>
    </row>
    <row r="20336" spans="5:9" ht="16.5" hidden="1">
      <c r="E20336" s="4" t="str">
        <v/>
      </c>
      <c r="F20336" s="102" t="str">
        <f ca="1">IFERROR(__xludf.DUMMYFUNCTION("IMPORTRANGE(H20336,""IDENTITAS UNIT!D9"")"),"#N/A")</f>
        <v>#N/A</v>
      </c>
      <c r="H20336" s="4" t="str">
        <v/>
      </c>
      <c r="I20336" s="4" t="str">
        <v/>
      </c>
    </row>
    <row r="20337" spans="5:9" ht="16.5" hidden="1">
      <c r="E20337" s="4" t="str">
        <v/>
      </c>
      <c r="F20337" s="102" t="str">
        <f ca="1">IFERROR(__xludf.DUMMYFUNCTION("IMPORTRANGE(H20337,""IDENTITAS UNIT!D9"")"),"#N/A")</f>
        <v>#N/A</v>
      </c>
      <c r="H20337" s="4" t="str">
        <v/>
      </c>
      <c r="I20337" s="4" t="str">
        <v/>
      </c>
    </row>
    <row r="20338" spans="5:9" ht="16.5" hidden="1">
      <c r="E20338" s="4" t="str">
        <v/>
      </c>
      <c r="F20338" s="102" t="str">
        <f ca="1">IFERROR(__xludf.DUMMYFUNCTION("IMPORTRANGE(H20338,""IDENTITAS UNIT!D9"")"),"#N/A")</f>
        <v>#N/A</v>
      </c>
      <c r="H20338" s="4" t="str">
        <v/>
      </c>
      <c r="I20338" s="4" t="str">
        <v/>
      </c>
    </row>
    <row r="20339" spans="5:9" ht="16.5" hidden="1">
      <c r="E20339" s="4" t="str">
        <v/>
      </c>
      <c r="F20339" s="102" t="str">
        <f ca="1">IFERROR(__xludf.DUMMYFUNCTION("IMPORTRANGE(H20339,""IDENTITAS UNIT!D9"")"),"#N/A")</f>
        <v>#N/A</v>
      </c>
      <c r="H20339" s="4" t="str">
        <v/>
      </c>
      <c r="I20339" s="4" t="str">
        <v/>
      </c>
    </row>
    <row r="20340" spans="5:9" ht="16.5" hidden="1">
      <c r="E20340" s="4" t="str">
        <v/>
      </c>
      <c r="F20340" s="102" t="str">
        <f ca="1">IFERROR(__xludf.DUMMYFUNCTION("IMPORTRANGE(H20340,""IDENTITAS UNIT!D9"")"),"#N/A")</f>
        <v>#N/A</v>
      </c>
      <c r="H20340" s="4" t="str">
        <v/>
      </c>
      <c r="I20340" s="4" t="str">
        <v/>
      </c>
    </row>
    <row r="20341" spans="5:9" ht="16.5" hidden="1">
      <c r="E20341" s="4" t="str">
        <v/>
      </c>
      <c r="F20341" s="102" t="str">
        <f ca="1">IFERROR(__xludf.DUMMYFUNCTION("IMPORTRANGE(H20341,""IDENTITAS UNIT!D9"")"),"#N/A")</f>
        <v>#N/A</v>
      </c>
      <c r="H20341" s="4" t="str">
        <v/>
      </c>
      <c r="I20341" s="4" t="str">
        <v/>
      </c>
    </row>
    <row r="20342" spans="5:9" ht="16.5" hidden="1">
      <c r="E20342" s="4" t="str">
        <v/>
      </c>
      <c r="F20342" s="102" t="str">
        <f ca="1">IFERROR(__xludf.DUMMYFUNCTION("IMPORTRANGE(H20342,""IDENTITAS UNIT!D9"")"),"#N/A")</f>
        <v>#N/A</v>
      </c>
      <c r="H20342" s="4" t="str">
        <v/>
      </c>
      <c r="I20342" s="4" t="str">
        <v/>
      </c>
    </row>
    <row r="20343" spans="5:9" ht="16.5" hidden="1">
      <c r="E20343" s="4" t="str">
        <v/>
      </c>
      <c r="F20343" s="102" t="str">
        <f ca="1">IFERROR(__xludf.DUMMYFUNCTION("IMPORTRANGE(H20343,""IDENTITAS UNIT!D9"")"),"#N/A")</f>
        <v>#N/A</v>
      </c>
      <c r="H20343" s="4" t="str">
        <v/>
      </c>
      <c r="I20343" s="4" t="str">
        <v/>
      </c>
    </row>
    <row r="20344" spans="5:9" ht="16.5" hidden="1">
      <c r="E20344" s="4" t="str">
        <v/>
      </c>
      <c r="F20344" s="102" t="str">
        <f ca="1">IFERROR(__xludf.DUMMYFUNCTION("IMPORTRANGE(H20344,""IDENTITAS UNIT!D9"")"),"#N/A")</f>
        <v>#N/A</v>
      </c>
      <c r="H20344" s="4" t="str">
        <v/>
      </c>
      <c r="I20344" s="4" t="str">
        <v/>
      </c>
    </row>
    <row r="20345" spans="5:9" ht="16.5" hidden="1">
      <c r="E20345" s="4" t="str">
        <v/>
      </c>
      <c r="F20345" s="102" t="str">
        <f ca="1">IFERROR(__xludf.DUMMYFUNCTION("IMPORTRANGE(H20345,""IDENTITAS UNIT!D9"")"),"#N/A")</f>
        <v>#N/A</v>
      </c>
      <c r="H20345" s="4" t="str">
        <v/>
      </c>
      <c r="I20345" s="4" t="str">
        <v/>
      </c>
    </row>
    <row r="20346" spans="5:9" ht="16.5" hidden="1">
      <c r="E20346" s="4" t="str">
        <v/>
      </c>
      <c r="F20346" s="102" t="str">
        <f ca="1">IFERROR(__xludf.DUMMYFUNCTION("IMPORTRANGE(H20346,""IDENTITAS UNIT!D9"")"),"#N/A")</f>
        <v>#N/A</v>
      </c>
      <c r="H20346" s="4" t="str">
        <v/>
      </c>
      <c r="I20346" s="4" t="str">
        <v/>
      </c>
    </row>
    <row r="20347" spans="5:9" ht="16.5" hidden="1">
      <c r="E20347" s="4" t="str">
        <v/>
      </c>
      <c r="F20347" s="102" t="str">
        <f ca="1">IFERROR(__xludf.DUMMYFUNCTION("IMPORTRANGE(H20347,""IDENTITAS UNIT!D9"")"),"#N/A")</f>
        <v>#N/A</v>
      </c>
      <c r="H20347" s="4" t="str">
        <v/>
      </c>
      <c r="I20347" s="4" t="str">
        <v/>
      </c>
    </row>
    <row r="20348" spans="5:9" ht="16.5" hidden="1">
      <c r="E20348" s="4" t="str">
        <v/>
      </c>
      <c r="F20348" s="102" t="str">
        <f ca="1">IFERROR(__xludf.DUMMYFUNCTION("IMPORTRANGE(H20348,""IDENTITAS UNIT!D9"")"),"#N/A")</f>
        <v>#N/A</v>
      </c>
      <c r="H20348" s="4" t="str">
        <v/>
      </c>
      <c r="I20348" s="4" t="str">
        <v/>
      </c>
    </row>
    <row r="20349" spans="5:9" ht="16.5" hidden="1">
      <c r="E20349" s="4" t="str">
        <v/>
      </c>
      <c r="F20349" s="102" t="str">
        <f ca="1">IFERROR(__xludf.DUMMYFUNCTION("IMPORTRANGE(H20349,""IDENTITAS UNIT!D9"")"),"#N/A")</f>
        <v>#N/A</v>
      </c>
      <c r="H20349" s="4" t="str">
        <v/>
      </c>
      <c r="I20349" s="4" t="str">
        <v/>
      </c>
    </row>
    <row r="20350" spans="5:9" ht="16.5" hidden="1">
      <c r="E20350" s="4" t="str">
        <v/>
      </c>
      <c r="F20350" s="102" t="str">
        <f ca="1">IFERROR(__xludf.DUMMYFUNCTION("IMPORTRANGE(H20350,""IDENTITAS UNIT!D9"")"),"#N/A")</f>
        <v>#N/A</v>
      </c>
      <c r="H20350" s="4" t="str">
        <v/>
      </c>
      <c r="I20350" s="4" t="str">
        <v/>
      </c>
    </row>
    <row r="20351" spans="5:9" ht="16.5" hidden="1">
      <c r="E20351" s="4" t="str">
        <v/>
      </c>
      <c r="F20351" s="102" t="str">
        <f ca="1">IFERROR(__xludf.DUMMYFUNCTION("IMPORTRANGE(H20351,""IDENTITAS UNIT!D9"")"),"#N/A")</f>
        <v>#N/A</v>
      </c>
      <c r="H20351" s="4" t="str">
        <v/>
      </c>
      <c r="I20351" s="4" t="str">
        <v/>
      </c>
    </row>
    <row r="20352" spans="5:9" ht="16.5" hidden="1">
      <c r="E20352" s="4" t="str">
        <v/>
      </c>
      <c r="F20352" s="102" t="str">
        <f ca="1">IFERROR(__xludf.DUMMYFUNCTION("IMPORTRANGE(H20352,""IDENTITAS UNIT!D9"")"),"#N/A")</f>
        <v>#N/A</v>
      </c>
      <c r="H20352" s="4" t="str">
        <v/>
      </c>
      <c r="I20352" s="4" t="str">
        <v/>
      </c>
    </row>
    <row r="20353" spans="5:9" ht="16.5" hidden="1">
      <c r="E20353" s="4" t="str">
        <v/>
      </c>
      <c r="F20353" s="102" t="str">
        <f ca="1">IFERROR(__xludf.DUMMYFUNCTION("IMPORTRANGE(H20353,""IDENTITAS UNIT!D9"")"),"#N/A")</f>
        <v>#N/A</v>
      </c>
      <c r="H20353" s="4" t="str">
        <v/>
      </c>
      <c r="I20353" s="4" t="str">
        <v/>
      </c>
    </row>
    <row r="20354" spans="5:9" ht="16.5" hidden="1">
      <c r="E20354" s="4" t="str">
        <v/>
      </c>
      <c r="F20354" s="102" t="str">
        <f ca="1">IFERROR(__xludf.DUMMYFUNCTION("IMPORTRANGE(H20354,""IDENTITAS UNIT!D9"")"),"#N/A")</f>
        <v>#N/A</v>
      </c>
      <c r="H20354" s="4" t="str">
        <v/>
      </c>
      <c r="I20354" s="4" t="str">
        <v/>
      </c>
    </row>
    <row r="20355" spans="5:9" ht="16.5" hidden="1">
      <c r="E20355" s="4" t="str">
        <v/>
      </c>
      <c r="F20355" s="102" t="str">
        <f ca="1">IFERROR(__xludf.DUMMYFUNCTION("IMPORTRANGE(H20355,""IDENTITAS UNIT!D9"")"),"#N/A")</f>
        <v>#N/A</v>
      </c>
      <c r="H20355" s="4" t="str">
        <v/>
      </c>
      <c r="I20355" s="4" t="str">
        <v/>
      </c>
    </row>
    <row r="20356" spans="5:9" ht="16.5" hidden="1">
      <c r="E20356" s="4" t="str">
        <v/>
      </c>
      <c r="F20356" s="102" t="str">
        <f ca="1">IFERROR(__xludf.DUMMYFUNCTION("IMPORTRANGE(H20356,""IDENTITAS UNIT!D9"")"),"#N/A")</f>
        <v>#N/A</v>
      </c>
      <c r="H20356" s="4" t="str">
        <v/>
      </c>
      <c r="I20356" s="4" t="str">
        <v/>
      </c>
    </row>
    <row r="20357" spans="5:9" ht="16.5" hidden="1">
      <c r="E20357" s="4" t="str">
        <v/>
      </c>
      <c r="F20357" s="102" t="str">
        <f ca="1">IFERROR(__xludf.DUMMYFUNCTION("IMPORTRANGE(H20357,""IDENTITAS UNIT!D9"")"),"#N/A")</f>
        <v>#N/A</v>
      </c>
      <c r="H20357" s="4" t="str">
        <v/>
      </c>
      <c r="I20357" s="4" t="str">
        <v/>
      </c>
    </row>
    <row r="20358" spans="5:9" ht="16.5" hidden="1">
      <c r="E20358" s="4" t="str">
        <v/>
      </c>
      <c r="F20358" s="102" t="str">
        <f ca="1">IFERROR(__xludf.DUMMYFUNCTION("IMPORTRANGE(H20358,""IDENTITAS UNIT!D9"")"),"#N/A")</f>
        <v>#N/A</v>
      </c>
      <c r="H20358" s="4" t="str">
        <v/>
      </c>
      <c r="I20358" s="4" t="str">
        <v/>
      </c>
    </row>
    <row r="20359" spans="5:9" ht="16.5" hidden="1">
      <c r="E20359" s="4" t="str">
        <v/>
      </c>
      <c r="F20359" s="102" t="str">
        <f ca="1">IFERROR(__xludf.DUMMYFUNCTION("IMPORTRANGE(H20359,""IDENTITAS UNIT!D9"")"),"#N/A")</f>
        <v>#N/A</v>
      </c>
      <c r="H20359" s="4" t="str">
        <v/>
      </c>
      <c r="I20359" s="4" t="str">
        <v/>
      </c>
    </row>
    <row r="20360" spans="5:9" ht="16.5" hidden="1">
      <c r="E20360" s="4" t="str">
        <v/>
      </c>
      <c r="F20360" s="102" t="str">
        <f ca="1">IFERROR(__xludf.DUMMYFUNCTION("IMPORTRANGE(H20360,""IDENTITAS UNIT!D9"")"),"#N/A")</f>
        <v>#N/A</v>
      </c>
      <c r="H20360" s="4" t="str">
        <v/>
      </c>
      <c r="I20360" s="4" t="str">
        <v/>
      </c>
    </row>
    <row r="20361" spans="5:9" ht="16.5" hidden="1">
      <c r="E20361" s="4" t="str">
        <v/>
      </c>
      <c r="F20361" s="102" t="str">
        <f ca="1">IFERROR(__xludf.DUMMYFUNCTION("IMPORTRANGE(H20361,""IDENTITAS UNIT!D9"")"),"#N/A")</f>
        <v>#N/A</v>
      </c>
      <c r="H20361" s="4" t="str">
        <v/>
      </c>
      <c r="I20361" s="4" t="str">
        <v/>
      </c>
    </row>
    <row r="20362" spans="5:9" ht="16.5" hidden="1">
      <c r="E20362" s="4" t="str">
        <v/>
      </c>
      <c r="F20362" s="102" t="str">
        <f ca="1">IFERROR(__xludf.DUMMYFUNCTION("IMPORTRANGE(H20362,""IDENTITAS UNIT!D9"")"),"#N/A")</f>
        <v>#N/A</v>
      </c>
      <c r="H20362" s="4" t="str">
        <v/>
      </c>
      <c r="I20362" s="4" t="str">
        <v/>
      </c>
    </row>
    <row r="20363" spans="5:9" ht="16.5" hidden="1">
      <c r="E20363" s="4" t="str">
        <v/>
      </c>
      <c r="F20363" s="102" t="str">
        <f ca="1">IFERROR(__xludf.DUMMYFUNCTION("IMPORTRANGE(H20363,""IDENTITAS UNIT!D9"")"),"#N/A")</f>
        <v>#N/A</v>
      </c>
      <c r="H20363" s="4" t="str">
        <v/>
      </c>
      <c r="I20363" s="4" t="str">
        <v/>
      </c>
    </row>
    <row r="20364" spans="5:9" ht="16.5" hidden="1">
      <c r="E20364" s="4" t="str">
        <v/>
      </c>
      <c r="F20364" s="102" t="str">
        <f ca="1">IFERROR(__xludf.DUMMYFUNCTION("IMPORTRANGE(H20364,""IDENTITAS UNIT!D9"")"),"#N/A")</f>
        <v>#N/A</v>
      </c>
      <c r="H20364" s="4" t="str">
        <v/>
      </c>
      <c r="I20364" s="4" t="str">
        <v/>
      </c>
    </row>
    <row r="20365" spans="5:9" ht="16.5" hidden="1">
      <c r="E20365" s="4" t="str">
        <v/>
      </c>
      <c r="F20365" s="102" t="str">
        <f ca="1">IFERROR(__xludf.DUMMYFUNCTION("IMPORTRANGE(H20365,""IDENTITAS UNIT!D9"")"),"#N/A")</f>
        <v>#N/A</v>
      </c>
      <c r="H20365" s="4" t="str">
        <v/>
      </c>
      <c r="I20365" s="4" t="str">
        <v/>
      </c>
    </row>
    <row r="20366" spans="5:9" ht="16.5" hidden="1">
      <c r="E20366" s="4" t="str">
        <v/>
      </c>
      <c r="F20366" s="102" t="str">
        <f ca="1">IFERROR(__xludf.DUMMYFUNCTION("IMPORTRANGE(H20366,""IDENTITAS UNIT!D9"")"),"#N/A")</f>
        <v>#N/A</v>
      </c>
      <c r="H20366" s="4" t="str">
        <v/>
      </c>
      <c r="I20366" s="4" t="str">
        <v/>
      </c>
    </row>
    <row r="20367" spans="5:9" ht="16.5" hidden="1">
      <c r="E20367" s="4" t="str">
        <v/>
      </c>
      <c r="F20367" s="102" t="str">
        <f ca="1">IFERROR(__xludf.DUMMYFUNCTION("IMPORTRANGE(H20367,""IDENTITAS UNIT!D9"")"),"#N/A")</f>
        <v>#N/A</v>
      </c>
      <c r="H20367" s="4" t="str">
        <v/>
      </c>
      <c r="I20367" s="4" t="str">
        <v/>
      </c>
    </row>
    <row r="20368" spans="5:9" ht="16.5" hidden="1">
      <c r="E20368" s="4" t="str">
        <v/>
      </c>
      <c r="F20368" s="102" t="str">
        <f ca="1">IFERROR(__xludf.DUMMYFUNCTION("IMPORTRANGE(H20368,""IDENTITAS UNIT!D9"")"),"#N/A")</f>
        <v>#N/A</v>
      </c>
      <c r="H20368" s="4" t="str">
        <v/>
      </c>
      <c r="I20368" s="4" t="str">
        <v/>
      </c>
    </row>
    <row r="20369" spans="5:9" ht="16.5" hidden="1">
      <c r="E20369" s="4" t="str">
        <v/>
      </c>
      <c r="F20369" s="102" t="str">
        <f ca="1">IFERROR(__xludf.DUMMYFUNCTION("IMPORTRANGE(H20369,""IDENTITAS UNIT!D9"")"),"#N/A")</f>
        <v>#N/A</v>
      </c>
      <c r="H20369" s="4" t="str">
        <v/>
      </c>
      <c r="I20369" s="4" t="str">
        <v/>
      </c>
    </row>
    <row r="20370" spans="5:9" ht="16.5" hidden="1">
      <c r="E20370" s="4" t="str">
        <v/>
      </c>
      <c r="F20370" s="102" t="str">
        <f ca="1">IFERROR(__xludf.DUMMYFUNCTION("IMPORTRANGE(H20370,""IDENTITAS UNIT!D9"")"),"#N/A")</f>
        <v>#N/A</v>
      </c>
      <c r="H20370" s="4" t="str">
        <v/>
      </c>
      <c r="I20370" s="4" t="str">
        <v/>
      </c>
    </row>
    <row r="20371" spans="5:9" ht="16.5" hidden="1">
      <c r="E20371" s="4" t="str">
        <v/>
      </c>
      <c r="F20371" s="102" t="str">
        <f ca="1">IFERROR(__xludf.DUMMYFUNCTION("IMPORTRANGE(H20371,""IDENTITAS UNIT!D9"")"),"#N/A")</f>
        <v>#N/A</v>
      </c>
      <c r="H20371" s="4" t="str">
        <v/>
      </c>
      <c r="I20371" s="4" t="str">
        <v/>
      </c>
    </row>
    <row r="20372" spans="5:9" ht="16.5" hidden="1">
      <c r="E20372" s="4" t="str">
        <v/>
      </c>
      <c r="F20372" s="102" t="str">
        <f ca="1">IFERROR(__xludf.DUMMYFUNCTION("IMPORTRANGE(H20372,""IDENTITAS UNIT!D9"")"),"#N/A")</f>
        <v>#N/A</v>
      </c>
      <c r="H20372" s="4" t="str">
        <v/>
      </c>
      <c r="I20372" s="4" t="str">
        <v/>
      </c>
    </row>
    <row r="20373" spans="5:9" ht="16.5" hidden="1">
      <c r="E20373" s="4" t="str">
        <v/>
      </c>
      <c r="F20373" s="102" t="str">
        <f ca="1">IFERROR(__xludf.DUMMYFUNCTION("IMPORTRANGE(H20373,""IDENTITAS UNIT!D9"")"),"#N/A")</f>
        <v>#N/A</v>
      </c>
      <c r="H20373" s="4" t="str">
        <v/>
      </c>
      <c r="I20373" s="4" t="str">
        <v/>
      </c>
    </row>
    <row r="20374" spans="5:9" ht="16.5" hidden="1">
      <c r="E20374" s="4" t="str">
        <v/>
      </c>
      <c r="F20374" s="102" t="str">
        <f ca="1">IFERROR(__xludf.DUMMYFUNCTION("IMPORTRANGE(H20374,""IDENTITAS UNIT!D9"")"),"#N/A")</f>
        <v>#N/A</v>
      </c>
      <c r="H20374" s="4" t="str">
        <v/>
      </c>
      <c r="I20374" s="4" t="str">
        <v/>
      </c>
    </row>
    <row r="20375" spans="5:9" ht="16.5" hidden="1">
      <c r="E20375" s="4" t="str">
        <v/>
      </c>
      <c r="F20375" s="102" t="str">
        <f ca="1">IFERROR(__xludf.DUMMYFUNCTION("IMPORTRANGE(H20375,""IDENTITAS UNIT!D9"")"),"#N/A")</f>
        <v>#N/A</v>
      </c>
      <c r="H20375" s="4" t="str">
        <v/>
      </c>
      <c r="I20375" s="4" t="str">
        <v/>
      </c>
    </row>
    <row r="20376" spans="5:9" ht="16.5" hidden="1">
      <c r="E20376" s="4" t="str">
        <v/>
      </c>
      <c r="F20376" s="102" t="str">
        <f ca="1">IFERROR(__xludf.DUMMYFUNCTION("IMPORTRANGE(H20376,""IDENTITAS UNIT!D9"")"),"#N/A")</f>
        <v>#N/A</v>
      </c>
      <c r="H20376" s="4" t="str">
        <v/>
      </c>
      <c r="I20376" s="4" t="str">
        <v/>
      </c>
    </row>
    <row r="20377" spans="5:9" ht="16.5" hidden="1">
      <c r="E20377" s="4" t="str">
        <v/>
      </c>
      <c r="F20377" s="102" t="str">
        <f ca="1">IFERROR(__xludf.DUMMYFUNCTION("IMPORTRANGE(H20377,""IDENTITAS UNIT!D9"")"),"#N/A")</f>
        <v>#N/A</v>
      </c>
      <c r="H20377" s="4" t="str">
        <v/>
      </c>
      <c r="I20377" s="4" t="str">
        <v/>
      </c>
    </row>
    <row r="20378" spans="5:9" ht="16.5" hidden="1">
      <c r="E20378" s="4" t="str">
        <v/>
      </c>
      <c r="F20378" s="102" t="str">
        <f ca="1">IFERROR(__xludf.DUMMYFUNCTION("IMPORTRANGE(H20378,""IDENTITAS UNIT!D9"")"),"#N/A")</f>
        <v>#N/A</v>
      </c>
      <c r="H20378" s="4" t="str">
        <v/>
      </c>
      <c r="I20378" s="4" t="str">
        <v/>
      </c>
    </row>
    <row r="20379" spans="5:9" ht="16.5" hidden="1">
      <c r="E20379" s="4" t="str">
        <v/>
      </c>
      <c r="F20379" s="102" t="str">
        <f ca="1">IFERROR(__xludf.DUMMYFUNCTION("IMPORTRANGE(H20379,""IDENTITAS UNIT!D9"")"),"#N/A")</f>
        <v>#N/A</v>
      </c>
      <c r="H20379" s="4" t="str">
        <v/>
      </c>
      <c r="I20379" s="4" t="str">
        <v/>
      </c>
    </row>
    <row r="20380" spans="5:9" ht="16.5" hidden="1">
      <c r="E20380" s="4" t="str">
        <v/>
      </c>
      <c r="F20380" s="102" t="str">
        <f ca="1">IFERROR(__xludf.DUMMYFUNCTION("IMPORTRANGE(H20380,""IDENTITAS UNIT!D9"")"),"#N/A")</f>
        <v>#N/A</v>
      </c>
      <c r="H20380" s="4" t="str">
        <v/>
      </c>
      <c r="I20380" s="4" t="str">
        <v/>
      </c>
    </row>
    <row r="20381" spans="5:9" ht="16.5" hidden="1">
      <c r="E20381" s="4" t="str">
        <v/>
      </c>
      <c r="F20381" s="102" t="str">
        <f ca="1">IFERROR(__xludf.DUMMYFUNCTION("IMPORTRANGE(H20381,""IDENTITAS UNIT!D9"")"),"#N/A")</f>
        <v>#N/A</v>
      </c>
      <c r="H20381" s="4" t="str">
        <v/>
      </c>
      <c r="I20381" s="4" t="str">
        <v/>
      </c>
    </row>
    <row r="20382" spans="5:9" ht="16.5" hidden="1">
      <c r="E20382" s="4" t="str">
        <v/>
      </c>
      <c r="F20382" s="102" t="str">
        <f ca="1">IFERROR(__xludf.DUMMYFUNCTION("IMPORTRANGE(H20382,""IDENTITAS UNIT!D9"")"),"#N/A")</f>
        <v>#N/A</v>
      </c>
      <c r="H20382" s="4" t="str">
        <v/>
      </c>
      <c r="I20382" s="4" t="str">
        <v/>
      </c>
    </row>
    <row r="20383" spans="5:9" ht="16.5" hidden="1">
      <c r="E20383" s="4" t="str">
        <v/>
      </c>
      <c r="F20383" s="102" t="str">
        <f ca="1">IFERROR(__xludf.DUMMYFUNCTION("IMPORTRANGE(H20383,""IDENTITAS UNIT!D9"")"),"#N/A")</f>
        <v>#N/A</v>
      </c>
      <c r="H20383" s="4" t="str">
        <v/>
      </c>
      <c r="I20383" s="4" t="str">
        <v/>
      </c>
    </row>
    <row r="20384" spans="5:9" ht="16.5" hidden="1">
      <c r="E20384" s="4" t="str">
        <v/>
      </c>
      <c r="F20384" s="102" t="str">
        <f ca="1">IFERROR(__xludf.DUMMYFUNCTION("IMPORTRANGE(H20384,""IDENTITAS UNIT!D9"")"),"#N/A")</f>
        <v>#N/A</v>
      </c>
      <c r="H20384" s="4" t="str">
        <v/>
      </c>
      <c r="I20384" s="4" t="str">
        <v/>
      </c>
    </row>
    <row r="20385" spans="5:9" ht="16.5" hidden="1">
      <c r="E20385" s="4" t="str">
        <v/>
      </c>
      <c r="F20385" s="102" t="str">
        <f ca="1">IFERROR(__xludf.DUMMYFUNCTION("IMPORTRANGE(H20385,""IDENTITAS UNIT!D9"")"),"#N/A")</f>
        <v>#N/A</v>
      </c>
      <c r="H20385" s="4" t="str">
        <v/>
      </c>
      <c r="I20385" s="4" t="str">
        <v/>
      </c>
    </row>
    <row r="20386" spans="5:9" ht="16.5" hidden="1">
      <c r="E20386" s="4" t="str">
        <v/>
      </c>
      <c r="F20386" s="102" t="str">
        <f ca="1">IFERROR(__xludf.DUMMYFUNCTION("IMPORTRANGE(H20386,""IDENTITAS UNIT!D9"")"),"#N/A")</f>
        <v>#N/A</v>
      </c>
      <c r="H20386" s="4" t="str">
        <v/>
      </c>
      <c r="I20386" s="4" t="str">
        <v/>
      </c>
    </row>
    <row r="20387" spans="5:9" ht="16.5" hidden="1">
      <c r="E20387" s="4" t="str">
        <v/>
      </c>
      <c r="F20387" s="102" t="str">
        <f ca="1">IFERROR(__xludf.DUMMYFUNCTION("IMPORTRANGE(H20387,""IDENTITAS UNIT!D9"")"),"#N/A")</f>
        <v>#N/A</v>
      </c>
      <c r="H20387" s="4" t="str">
        <v/>
      </c>
      <c r="I20387" s="4" t="str">
        <v/>
      </c>
    </row>
    <row r="20388" spans="5:9" ht="16.5" hidden="1">
      <c r="E20388" s="4" t="str">
        <v/>
      </c>
      <c r="F20388" s="102" t="str">
        <f ca="1">IFERROR(__xludf.DUMMYFUNCTION("IMPORTRANGE(H20388,""IDENTITAS UNIT!D9"")"),"#N/A")</f>
        <v>#N/A</v>
      </c>
      <c r="H20388" s="4" t="str">
        <v/>
      </c>
      <c r="I20388" s="4" t="str">
        <v/>
      </c>
    </row>
    <row r="20389" spans="5:9" ht="16.5" hidden="1">
      <c r="E20389" s="4" t="str">
        <v/>
      </c>
      <c r="F20389" s="102" t="str">
        <f ca="1">IFERROR(__xludf.DUMMYFUNCTION("IMPORTRANGE(H20389,""IDENTITAS UNIT!D9"")"),"#N/A")</f>
        <v>#N/A</v>
      </c>
      <c r="H20389" s="4" t="str">
        <v/>
      </c>
      <c r="I20389" s="4" t="str">
        <v/>
      </c>
    </row>
    <row r="20390" spans="5:9" ht="16.5" hidden="1">
      <c r="E20390" s="4" t="str">
        <v/>
      </c>
      <c r="F20390" s="102" t="str">
        <f ca="1">IFERROR(__xludf.DUMMYFUNCTION("IMPORTRANGE(H20390,""IDENTITAS UNIT!D9"")"),"#N/A")</f>
        <v>#N/A</v>
      </c>
      <c r="H20390" s="4" t="str">
        <v/>
      </c>
      <c r="I20390" s="4" t="str">
        <v/>
      </c>
    </row>
    <row r="20391" spans="5:9" ht="16.5" hidden="1">
      <c r="E20391" s="4" t="str">
        <v/>
      </c>
      <c r="F20391" s="102" t="str">
        <f ca="1">IFERROR(__xludf.DUMMYFUNCTION("IMPORTRANGE(H20391,""IDENTITAS UNIT!D9"")"),"#N/A")</f>
        <v>#N/A</v>
      </c>
      <c r="H20391" s="4" t="str">
        <v/>
      </c>
      <c r="I20391" s="4" t="str">
        <v/>
      </c>
    </row>
    <row r="20392" spans="5:9" ht="16.5" hidden="1">
      <c r="E20392" s="4" t="str">
        <v/>
      </c>
      <c r="F20392" s="102" t="str">
        <f ca="1">IFERROR(__xludf.DUMMYFUNCTION("IMPORTRANGE(H20392,""IDENTITAS UNIT!D9"")"),"#N/A")</f>
        <v>#N/A</v>
      </c>
      <c r="H20392" s="4" t="str">
        <v/>
      </c>
      <c r="I20392" s="4" t="str">
        <v/>
      </c>
    </row>
    <row r="20393" spans="5:9" ht="16.5" hidden="1">
      <c r="E20393" s="4" t="str">
        <v/>
      </c>
      <c r="F20393" s="102" t="str">
        <f ca="1">IFERROR(__xludf.DUMMYFUNCTION("IMPORTRANGE(H20393,""IDENTITAS UNIT!D9"")"),"#N/A")</f>
        <v>#N/A</v>
      </c>
      <c r="H20393" s="4" t="str">
        <v/>
      </c>
      <c r="I20393" s="4" t="str">
        <v/>
      </c>
    </row>
    <row r="20394" spans="5:9" ht="16.5" hidden="1">
      <c r="E20394" s="4" t="str">
        <v/>
      </c>
      <c r="F20394" s="102" t="str">
        <f ca="1">IFERROR(__xludf.DUMMYFUNCTION("IMPORTRANGE(H20394,""IDENTITAS UNIT!D9"")"),"#N/A")</f>
        <v>#N/A</v>
      </c>
      <c r="H20394" s="4" t="str">
        <v/>
      </c>
      <c r="I20394" s="4" t="str">
        <v/>
      </c>
    </row>
    <row r="20395" spans="5:9" ht="16.5" hidden="1">
      <c r="E20395" s="4" t="str">
        <v/>
      </c>
      <c r="F20395" s="102" t="str">
        <f ca="1">IFERROR(__xludf.DUMMYFUNCTION("IMPORTRANGE(H20395,""IDENTITAS UNIT!D9"")"),"#N/A")</f>
        <v>#N/A</v>
      </c>
      <c r="H20395" s="4" t="str">
        <v/>
      </c>
      <c r="I20395" s="4" t="str">
        <v/>
      </c>
    </row>
    <row r="20396" spans="5:9" ht="16.5" hidden="1">
      <c r="E20396" s="4" t="str">
        <v/>
      </c>
      <c r="F20396" s="102" t="str">
        <f ca="1">IFERROR(__xludf.DUMMYFUNCTION("IMPORTRANGE(H20396,""IDENTITAS UNIT!D9"")"),"#N/A")</f>
        <v>#N/A</v>
      </c>
      <c r="H20396" s="4" t="str">
        <v/>
      </c>
      <c r="I20396" s="4" t="str">
        <v/>
      </c>
    </row>
    <row r="20397" spans="5:9" ht="16.5" hidden="1">
      <c r="E20397" s="4" t="str">
        <v/>
      </c>
      <c r="F20397" s="102" t="str">
        <f ca="1">IFERROR(__xludf.DUMMYFUNCTION("IMPORTRANGE(H20397,""IDENTITAS UNIT!D9"")"),"#N/A")</f>
        <v>#N/A</v>
      </c>
      <c r="H20397" s="4" t="str">
        <v/>
      </c>
      <c r="I20397" s="4" t="str">
        <v/>
      </c>
    </row>
    <row r="20398" spans="5:9" ht="16.5" hidden="1">
      <c r="E20398" s="4" t="str">
        <v/>
      </c>
      <c r="F20398" s="102" t="str">
        <f ca="1">IFERROR(__xludf.DUMMYFUNCTION("IMPORTRANGE(H20398,""IDENTITAS UNIT!D9"")"),"#N/A")</f>
        <v>#N/A</v>
      </c>
      <c r="H20398" s="4" t="str">
        <v/>
      </c>
      <c r="I20398" s="4" t="str">
        <v/>
      </c>
    </row>
    <row r="20399" spans="5:9" ht="16.5" hidden="1">
      <c r="E20399" s="4" t="str">
        <v/>
      </c>
      <c r="F20399" s="102" t="str">
        <f ca="1">IFERROR(__xludf.DUMMYFUNCTION("IMPORTRANGE(H20399,""IDENTITAS UNIT!D9"")"),"#N/A")</f>
        <v>#N/A</v>
      </c>
      <c r="H20399" s="4" t="str">
        <v/>
      </c>
      <c r="I20399" s="4" t="str">
        <v/>
      </c>
    </row>
    <row r="20400" spans="5:9" ht="16.5" hidden="1">
      <c r="E20400" s="4" t="str">
        <v/>
      </c>
      <c r="F20400" s="102" t="str">
        <f ca="1">IFERROR(__xludf.DUMMYFUNCTION("IMPORTRANGE(H20400,""IDENTITAS UNIT!D9"")"),"#N/A")</f>
        <v>#N/A</v>
      </c>
      <c r="H20400" s="4" t="str">
        <v/>
      </c>
      <c r="I20400" s="4" t="str">
        <v/>
      </c>
    </row>
    <row r="20401" spans="5:9" ht="16.5" hidden="1">
      <c r="E20401" s="4" t="str">
        <v/>
      </c>
      <c r="F20401" s="102" t="str">
        <f ca="1">IFERROR(__xludf.DUMMYFUNCTION("IMPORTRANGE(H20401,""IDENTITAS UNIT!D9"")"),"#N/A")</f>
        <v>#N/A</v>
      </c>
      <c r="H20401" s="4" t="str">
        <v/>
      </c>
      <c r="I20401" s="4" t="str">
        <v/>
      </c>
    </row>
    <row r="20402" spans="5:9" ht="16.5" hidden="1">
      <c r="E20402" s="4" t="str">
        <v/>
      </c>
      <c r="F20402" s="102" t="str">
        <f ca="1">IFERROR(__xludf.DUMMYFUNCTION("IMPORTRANGE(H20402,""IDENTITAS UNIT!D9"")"),"#N/A")</f>
        <v>#N/A</v>
      </c>
      <c r="H20402" s="4" t="str">
        <v/>
      </c>
      <c r="I20402" s="4" t="str">
        <v/>
      </c>
    </row>
    <row r="20403" spans="5:9" ht="16.5" hidden="1">
      <c r="E20403" s="4" t="str">
        <v/>
      </c>
      <c r="F20403" s="102" t="str">
        <f ca="1">IFERROR(__xludf.DUMMYFUNCTION("IMPORTRANGE(H20403,""IDENTITAS UNIT!D9"")"),"#N/A")</f>
        <v>#N/A</v>
      </c>
      <c r="H20403" s="4" t="str">
        <v/>
      </c>
      <c r="I20403" s="4" t="str">
        <v/>
      </c>
    </row>
    <row r="20404" spans="5:9" ht="16.5" hidden="1">
      <c r="E20404" s="4" t="str">
        <v/>
      </c>
      <c r="F20404" s="102" t="str">
        <f ca="1">IFERROR(__xludf.DUMMYFUNCTION("IMPORTRANGE(H20404,""IDENTITAS UNIT!D9"")"),"#N/A")</f>
        <v>#N/A</v>
      </c>
      <c r="H20404" s="4" t="str">
        <v/>
      </c>
      <c r="I20404" s="4" t="str">
        <v/>
      </c>
    </row>
    <row r="20405" spans="5:9" ht="16.5" hidden="1">
      <c r="E20405" s="4" t="str">
        <v/>
      </c>
      <c r="F20405" s="102" t="str">
        <f ca="1">IFERROR(__xludf.DUMMYFUNCTION("IMPORTRANGE(H20405,""IDENTITAS UNIT!D9"")"),"#N/A")</f>
        <v>#N/A</v>
      </c>
      <c r="H20405" s="4" t="str">
        <v/>
      </c>
      <c r="I20405" s="4" t="str">
        <v/>
      </c>
    </row>
    <row r="20406" spans="5:9" ht="16.5" hidden="1">
      <c r="E20406" s="4" t="str">
        <v/>
      </c>
      <c r="F20406" s="102" t="str">
        <f ca="1">IFERROR(__xludf.DUMMYFUNCTION("IMPORTRANGE(H20406,""IDENTITAS UNIT!D9"")"),"#N/A")</f>
        <v>#N/A</v>
      </c>
      <c r="H20406" s="4" t="str">
        <v/>
      </c>
      <c r="I20406" s="4" t="str">
        <v/>
      </c>
    </row>
    <row r="20407" spans="5:9" ht="16.5" hidden="1">
      <c r="E20407" s="4" t="str">
        <v/>
      </c>
      <c r="F20407" s="102" t="str">
        <f ca="1">IFERROR(__xludf.DUMMYFUNCTION("IMPORTRANGE(H20407,""IDENTITAS UNIT!D9"")"),"#N/A")</f>
        <v>#N/A</v>
      </c>
      <c r="H20407" s="4" t="str">
        <v/>
      </c>
      <c r="I20407" s="4" t="str">
        <v/>
      </c>
    </row>
    <row r="20408" spans="5:9" ht="16.5" hidden="1">
      <c r="E20408" s="4" t="str">
        <v/>
      </c>
      <c r="F20408" s="102" t="str">
        <f ca="1">IFERROR(__xludf.DUMMYFUNCTION("IMPORTRANGE(H20408,""IDENTITAS UNIT!D9"")"),"#N/A")</f>
        <v>#N/A</v>
      </c>
      <c r="H20408" s="4" t="str">
        <v/>
      </c>
      <c r="I20408" s="4" t="str">
        <v/>
      </c>
    </row>
    <row r="20409" spans="5:9" ht="16.5" hidden="1">
      <c r="E20409" s="4" t="str">
        <v/>
      </c>
      <c r="F20409" s="102" t="str">
        <f ca="1">IFERROR(__xludf.DUMMYFUNCTION("IMPORTRANGE(H20409,""IDENTITAS UNIT!D9"")"),"#N/A")</f>
        <v>#N/A</v>
      </c>
      <c r="H20409" s="4" t="str">
        <v/>
      </c>
      <c r="I20409" s="4" t="str">
        <v/>
      </c>
    </row>
    <row r="20410" spans="5:9" ht="16.5" hidden="1">
      <c r="E20410" s="4" t="str">
        <v/>
      </c>
      <c r="F20410" s="102" t="str">
        <f ca="1">IFERROR(__xludf.DUMMYFUNCTION("IMPORTRANGE(H20410,""IDENTITAS UNIT!D9"")"),"#N/A")</f>
        <v>#N/A</v>
      </c>
      <c r="H20410" s="4" t="str">
        <v/>
      </c>
      <c r="I20410" s="4" t="str">
        <v/>
      </c>
    </row>
    <row r="20411" spans="5:9" ht="16.5" hidden="1">
      <c r="E20411" s="4" t="str">
        <v/>
      </c>
      <c r="F20411" s="102" t="str">
        <f ca="1">IFERROR(__xludf.DUMMYFUNCTION("IMPORTRANGE(H20411,""IDENTITAS UNIT!D9"")"),"#N/A")</f>
        <v>#N/A</v>
      </c>
      <c r="H20411" s="4" t="str">
        <v/>
      </c>
      <c r="I20411" s="4" t="str">
        <v/>
      </c>
    </row>
    <row r="20412" spans="5:9" ht="16.5" hidden="1">
      <c r="E20412" s="4" t="str">
        <v/>
      </c>
      <c r="F20412" s="102" t="str">
        <f ca="1">IFERROR(__xludf.DUMMYFUNCTION("IMPORTRANGE(H20412,""IDENTITAS UNIT!D9"")"),"#N/A")</f>
        <v>#N/A</v>
      </c>
      <c r="H20412" s="4" t="str">
        <v/>
      </c>
      <c r="I20412" s="4" t="str">
        <v/>
      </c>
    </row>
    <row r="20413" spans="5:9" ht="16.5" hidden="1">
      <c r="E20413" s="4" t="str">
        <v/>
      </c>
      <c r="F20413" s="102" t="str">
        <f ca="1">IFERROR(__xludf.DUMMYFUNCTION("IMPORTRANGE(H20413,""IDENTITAS UNIT!D9"")"),"#N/A")</f>
        <v>#N/A</v>
      </c>
      <c r="H20413" s="4" t="str">
        <v/>
      </c>
      <c r="I20413" s="4" t="str">
        <v/>
      </c>
    </row>
    <row r="20414" spans="5:9" ht="16.5" hidden="1">
      <c r="E20414" s="4" t="str">
        <v/>
      </c>
      <c r="F20414" s="102" t="str">
        <f ca="1">IFERROR(__xludf.DUMMYFUNCTION("IMPORTRANGE(H20414,""IDENTITAS UNIT!D9"")"),"#N/A")</f>
        <v>#N/A</v>
      </c>
      <c r="H20414" s="4" t="str">
        <v/>
      </c>
      <c r="I20414" s="4" t="str">
        <v/>
      </c>
    </row>
    <row r="20415" spans="5:9" ht="16.5" hidden="1">
      <c r="E20415" s="4" t="str">
        <v/>
      </c>
      <c r="F20415" s="102" t="str">
        <f ca="1">IFERROR(__xludf.DUMMYFUNCTION("IMPORTRANGE(H20415,""IDENTITAS UNIT!D9"")"),"#N/A")</f>
        <v>#N/A</v>
      </c>
      <c r="H20415" s="4" t="str">
        <v/>
      </c>
      <c r="I20415" s="4" t="str">
        <v/>
      </c>
    </row>
    <row r="20416" spans="5:9" ht="16.5" hidden="1">
      <c r="E20416" s="4" t="str">
        <v/>
      </c>
      <c r="F20416" s="102" t="str">
        <f ca="1">IFERROR(__xludf.DUMMYFUNCTION("IMPORTRANGE(H20416,""IDENTITAS UNIT!D9"")"),"#N/A")</f>
        <v>#N/A</v>
      </c>
      <c r="H20416" s="4" t="str">
        <v/>
      </c>
      <c r="I20416" s="4" t="str">
        <v/>
      </c>
    </row>
    <row r="20417" spans="5:9" ht="16.5" hidden="1">
      <c r="E20417" s="4" t="str">
        <v/>
      </c>
      <c r="F20417" s="102" t="str">
        <f ca="1">IFERROR(__xludf.DUMMYFUNCTION("IMPORTRANGE(H20417,""IDENTITAS UNIT!D9"")"),"#N/A")</f>
        <v>#N/A</v>
      </c>
      <c r="H20417" s="4" t="str">
        <v/>
      </c>
      <c r="I20417" s="4" t="str">
        <v/>
      </c>
    </row>
    <row r="20418" spans="5:9" ht="16.5" hidden="1">
      <c r="E20418" s="4" t="str">
        <v/>
      </c>
      <c r="F20418" s="102" t="str">
        <f ca="1">IFERROR(__xludf.DUMMYFUNCTION("IMPORTRANGE(H20418,""IDENTITAS UNIT!D9"")"),"#N/A")</f>
        <v>#N/A</v>
      </c>
      <c r="H20418" s="4" t="str">
        <v/>
      </c>
      <c r="I20418" s="4" t="str">
        <v/>
      </c>
    </row>
    <row r="20419" spans="5:9" ht="16.5" hidden="1">
      <c r="E20419" s="4" t="str">
        <v/>
      </c>
      <c r="F20419" s="102" t="str">
        <f ca="1">IFERROR(__xludf.DUMMYFUNCTION("IMPORTRANGE(H20419,""IDENTITAS UNIT!D9"")"),"#N/A")</f>
        <v>#N/A</v>
      </c>
      <c r="H20419" s="4" t="str">
        <v/>
      </c>
      <c r="I20419" s="4" t="str">
        <v/>
      </c>
    </row>
    <row r="20420" spans="5:9" ht="16.5" hidden="1">
      <c r="E20420" s="4" t="str">
        <v/>
      </c>
      <c r="F20420" s="102" t="str">
        <f ca="1">IFERROR(__xludf.DUMMYFUNCTION("IMPORTRANGE(H20420,""IDENTITAS UNIT!D9"")"),"#N/A")</f>
        <v>#N/A</v>
      </c>
      <c r="H20420" s="4" t="str">
        <v/>
      </c>
      <c r="I20420" s="4" t="str">
        <v/>
      </c>
    </row>
    <row r="20421" spans="5:9" ht="16.5" hidden="1">
      <c r="E20421" s="4" t="str">
        <v/>
      </c>
      <c r="F20421" s="102" t="str">
        <f ca="1">IFERROR(__xludf.DUMMYFUNCTION("IMPORTRANGE(H20421,""IDENTITAS UNIT!D9"")"),"#N/A")</f>
        <v>#N/A</v>
      </c>
      <c r="H20421" s="4" t="str">
        <v/>
      </c>
      <c r="I20421" s="4" t="str">
        <v/>
      </c>
    </row>
    <row r="20422" spans="5:9" ht="16.5" hidden="1">
      <c r="E20422" s="4" t="str">
        <v/>
      </c>
      <c r="F20422" s="102" t="str">
        <f ca="1">IFERROR(__xludf.DUMMYFUNCTION("IMPORTRANGE(H20422,""IDENTITAS UNIT!D9"")"),"#N/A")</f>
        <v>#N/A</v>
      </c>
      <c r="H20422" s="4" t="str">
        <v/>
      </c>
      <c r="I20422" s="4" t="str">
        <v/>
      </c>
    </row>
    <row r="20423" spans="5:9" ht="16.5" hidden="1">
      <c r="E20423" s="4" t="str">
        <v/>
      </c>
      <c r="F20423" s="102" t="str">
        <f ca="1">IFERROR(__xludf.DUMMYFUNCTION("IMPORTRANGE(H20423,""IDENTITAS UNIT!D9"")"),"#N/A")</f>
        <v>#N/A</v>
      </c>
      <c r="H20423" s="4" t="str">
        <v/>
      </c>
      <c r="I20423" s="4" t="str">
        <v/>
      </c>
    </row>
    <row r="20424" spans="5:9" ht="16.5" hidden="1">
      <c r="E20424" s="4" t="str">
        <v/>
      </c>
      <c r="F20424" s="102" t="str">
        <f ca="1">IFERROR(__xludf.DUMMYFUNCTION("IMPORTRANGE(H20424,""IDENTITAS UNIT!D9"")"),"#N/A")</f>
        <v>#N/A</v>
      </c>
      <c r="H20424" s="4" t="str">
        <v/>
      </c>
      <c r="I20424" s="4" t="str">
        <v/>
      </c>
    </row>
    <row r="20425" spans="5:9" ht="16.5" hidden="1">
      <c r="E20425" s="4" t="str">
        <v/>
      </c>
      <c r="F20425" s="102" t="str">
        <f ca="1">IFERROR(__xludf.DUMMYFUNCTION("IMPORTRANGE(H20425,""IDENTITAS UNIT!D9"")"),"#N/A")</f>
        <v>#N/A</v>
      </c>
      <c r="H20425" s="4" t="str">
        <v/>
      </c>
      <c r="I20425" s="4" t="str">
        <v/>
      </c>
    </row>
    <row r="20426" spans="5:9" ht="16.5" hidden="1">
      <c r="E20426" s="4" t="str">
        <v/>
      </c>
      <c r="F20426" s="102" t="str">
        <f ca="1">IFERROR(__xludf.DUMMYFUNCTION("IMPORTRANGE(H20426,""IDENTITAS UNIT!D9"")"),"#N/A")</f>
        <v>#N/A</v>
      </c>
      <c r="H20426" s="4" t="str">
        <v/>
      </c>
      <c r="I20426" s="4" t="str">
        <v/>
      </c>
    </row>
    <row r="20427" spans="5:9" ht="16.5" hidden="1">
      <c r="E20427" s="4" t="str">
        <v/>
      </c>
      <c r="F20427" s="102" t="str">
        <f ca="1">IFERROR(__xludf.DUMMYFUNCTION("IMPORTRANGE(H20427,""IDENTITAS UNIT!D9"")"),"#N/A")</f>
        <v>#N/A</v>
      </c>
      <c r="H20427" s="4" t="str">
        <v/>
      </c>
      <c r="I20427" s="4" t="str">
        <v/>
      </c>
    </row>
    <row r="20428" spans="5:9" ht="16.5" hidden="1">
      <c r="E20428" s="4" t="str">
        <v/>
      </c>
      <c r="F20428" s="102" t="str">
        <f ca="1">IFERROR(__xludf.DUMMYFUNCTION("IMPORTRANGE(H20428,""IDENTITAS UNIT!D9"")"),"#N/A")</f>
        <v>#N/A</v>
      </c>
      <c r="H20428" s="4" t="str">
        <v/>
      </c>
      <c r="I20428" s="4" t="str">
        <v/>
      </c>
    </row>
    <row r="20429" spans="5:9" ht="16.5" hidden="1">
      <c r="E20429" s="4" t="str">
        <v/>
      </c>
      <c r="F20429" s="102" t="str">
        <f ca="1">IFERROR(__xludf.DUMMYFUNCTION("IMPORTRANGE(H20429,""IDENTITAS UNIT!D9"")"),"#N/A")</f>
        <v>#N/A</v>
      </c>
      <c r="H20429" s="4" t="str">
        <v/>
      </c>
      <c r="I20429" s="4" t="str">
        <v/>
      </c>
    </row>
    <row r="20430" spans="5:9" ht="16.5" hidden="1">
      <c r="E20430" s="4" t="str">
        <v/>
      </c>
      <c r="F20430" s="102" t="str">
        <f ca="1">IFERROR(__xludf.DUMMYFUNCTION("IMPORTRANGE(H20430,""IDENTITAS UNIT!D9"")"),"#N/A")</f>
        <v>#N/A</v>
      </c>
      <c r="H20430" s="4" t="str">
        <v/>
      </c>
      <c r="I20430" s="4" t="str">
        <v/>
      </c>
    </row>
    <row r="20431" spans="5:9" ht="16.5" hidden="1">
      <c r="E20431" s="4" t="str">
        <v/>
      </c>
      <c r="F20431" s="102" t="str">
        <f ca="1">IFERROR(__xludf.DUMMYFUNCTION("IMPORTRANGE(H20431,""IDENTITAS UNIT!D9"")"),"#N/A")</f>
        <v>#N/A</v>
      </c>
      <c r="H20431" s="4" t="str">
        <v/>
      </c>
      <c r="I20431" s="4" t="str">
        <v/>
      </c>
    </row>
    <row r="20432" spans="5:9" ht="16.5" hidden="1">
      <c r="E20432" s="4" t="str">
        <v/>
      </c>
      <c r="F20432" s="102" t="str">
        <f ca="1">IFERROR(__xludf.DUMMYFUNCTION("IMPORTRANGE(H20432,""IDENTITAS UNIT!D9"")"),"#N/A")</f>
        <v>#N/A</v>
      </c>
      <c r="H20432" s="4" t="str">
        <v/>
      </c>
      <c r="I20432" s="4" t="str">
        <v/>
      </c>
    </row>
    <row r="20433" spans="5:9" ht="16.5" hidden="1">
      <c r="E20433" s="4" t="str">
        <v/>
      </c>
      <c r="F20433" s="102" t="str">
        <f ca="1">IFERROR(__xludf.DUMMYFUNCTION("IMPORTRANGE(H20433,""IDENTITAS UNIT!D9"")"),"#N/A")</f>
        <v>#N/A</v>
      </c>
      <c r="H20433" s="4" t="str">
        <v/>
      </c>
      <c r="I20433" s="4" t="str">
        <v/>
      </c>
    </row>
    <row r="20434" spans="5:9" ht="16.5" hidden="1">
      <c r="E20434" s="4" t="str">
        <v/>
      </c>
      <c r="F20434" s="102" t="str">
        <f ca="1">IFERROR(__xludf.DUMMYFUNCTION("IMPORTRANGE(H20434,""IDENTITAS UNIT!D9"")"),"#N/A")</f>
        <v>#N/A</v>
      </c>
      <c r="H20434" s="4" t="str">
        <v/>
      </c>
      <c r="I20434" s="4" t="str">
        <v/>
      </c>
    </row>
    <row r="20435" spans="5:9" ht="16.5" hidden="1">
      <c r="E20435" s="4" t="str">
        <v/>
      </c>
      <c r="F20435" s="102" t="str">
        <f ca="1">IFERROR(__xludf.DUMMYFUNCTION("IMPORTRANGE(H20435,""IDENTITAS UNIT!D9"")"),"#N/A")</f>
        <v>#N/A</v>
      </c>
      <c r="H20435" s="4" t="str">
        <v/>
      </c>
      <c r="I20435" s="4" t="str">
        <v/>
      </c>
    </row>
    <row r="20436" spans="5:9" ht="16.5" hidden="1">
      <c r="E20436" s="4" t="str">
        <v/>
      </c>
      <c r="F20436" s="102" t="str">
        <f ca="1">IFERROR(__xludf.DUMMYFUNCTION("IMPORTRANGE(H20436,""IDENTITAS UNIT!D9"")"),"#N/A")</f>
        <v>#N/A</v>
      </c>
      <c r="H20436" s="4" t="str">
        <v/>
      </c>
      <c r="I20436" s="4" t="str">
        <v/>
      </c>
    </row>
    <row r="20437" spans="5:9" ht="16.5" hidden="1">
      <c r="E20437" s="4" t="str">
        <v/>
      </c>
      <c r="F20437" s="102" t="str">
        <f ca="1">IFERROR(__xludf.DUMMYFUNCTION("IMPORTRANGE(H20437,""IDENTITAS UNIT!D9"")"),"#N/A")</f>
        <v>#N/A</v>
      </c>
      <c r="H20437" s="4" t="str">
        <v/>
      </c>
      <c r="I20437" s="4" t="str">
        <v/>
      </c>
    </row>
    <row r="20438" spans="5:9" ht="16.5" hidden="1">
      <c r="E20438" s="4" t="str">
        <v/>
      </c>
      <c r="F20438" s="102" t="str">
        <f ca="1">IFERROR(__xludf.DUMMYFUNCTION("IMPORTRANGE(H20438,""IDENTITAS UNIT!D9"")"),"#N/A")</f>
        <v>#N/A</v>
      </c>
      <c r="H20438" s="4" t="str">
        <v/>
      </c>
      <c r="I20438" s="4" t="str">
        <v/>
      </c>
    </row>
    <row r="20439" spans="5:9" ht="16.5" hidden="1">
      <c r="E20439" s="4" t="str">
        <v/>
      </c>
      <c r="F20439" s="102" t="str">
        <f ca="1">IFERROR(__xludf.DUMMYFUNCTION("IMPORTRANGE(H20439,""IDENTITAS UNIT!D9"")"),"#N/A")</f>
        <v>#N/A</v>
      </c>
      <c r="H20439" s="4" t="str">
        <v/>
      </c>
      <c r="I20439" s="4" t="str">
        <v/>
      </c>
    </row>
    <row r="20440" spans="5:9" ht="16.5" hidden="1">
      <c r="E20440" s="4" t="str">
        <v/>
      </c>
      <c r="F20440" s="102" t="str">
        <f ca="1">IFERROR(__xludf.DUMMYFUNCTION("IMPORTRANGE(H20440,""IDENTITAS UNIT!D9"")"),"#N/A")</f>
        <v>#N/A</v>
      </c>
      <c r="H20440" s="4" t="str">
        <v/>
      </c>
      <c r="I20440" s="4" t="str">
        <v/>
      </c>
    </row>
    <row r="20441" spans="5:9" ht="16.5" hidden="1">
      <c r="E20441" s="4" t="str">
        <v/>
      </c>
      <c r="F20441" s="102" t="str">
        <f ca="1">IFERROR(__xludf.DUMMYFUNCTION("IMPORTRANGE(H20441,""IDENTITAS UNIT!D9"")"),"#N/A")</f>
        <v>#N/A</v>
      </c>
      <c r="H20441" s="4" t="str">
        <v/>
      </c>
      <c r="I20441" s="4" t="str">
        <v/>
      </c>
    </row>
    <row r="20442" spans="5:9" ht="16.5" hidden="1">
      <c r="E20442" s="4" t="str">
        <v/>
      </c>
      <c r="F20442" s="102" t="str">
        <f ca="1">IFERROR(__xludf.DUMMYFUNCTION("IMPORTRANGE(H20442,""IDENTITAS UNIT!D9"")"),"#N/A")</f>
        <v>#N/A</v>
      </c>
      <c r="H20442" s="4" t="str">
        <v/>
      </c>
      <c r="I20442" s="4" t="str">
        <v/>
      </c>
    </row>
    <row r="20443" spans="5:9" ht="16.5" hidden="1">
      <c r="E20443" s="4" t="str">
        <v/>
      </c>
      <c r="F20443" s="102" t="str">
        <f ca="1">IFERROR(__xludf.DUMMYFUNCTION("IMPORTRANGE(H20443,""IDENTITAS UNIT!D9"")"),"#N/A")</f>
        <v>#N/A</v>
      </c>
      <c r="H20443" s="4" t="str">
        <v/>
      </c>
      <c r="I20443" s="4" t="str">
        <v/>
      </c>
    </row>
    <row r="20444" spans="5:9" ht="16.5" hidden="1">
      <c r="E20444" s="4" t="str">
        <v/>
      </c>
      <c r="F20444" s="102" t="str">
        <f ca="1">IFERROR(__xludf.DUMMYFUNCTION("IMPORTRANGE(H20444,""IDENTITAS UNIT!D9"")"),"#N/A")</f>
        <v>#N/A</v>
      </c>
      <c r="H20444" s="4" t="str">
        <v/>
      </c>
      <c r="I20444" s="4" t="str">
        <v/>
      </c>
    </row>
    <row r="20445" spans="5:9" ht="16.5" hidden="1">
      <c r="E20445" s="4" t="str">
        <v/>
      </c>
      <c r="F20445" s="102" t="str">
        <f ca="1">IFERROR(__xludf.DUMMYFUNCTION("IMPORTRANGE(H20445,""IDENTITAS UNIT!D9"")"),"#N/A")</f>
        <v>#N/A</v>
      </c>
      <c r="H20445" s="4" t="str">
        <v/>
      </c>
      <c r="I20445" s="4" t="str">
        <v/>
      </c>
    </row>
    <row r="20446" spans="5:9" ht="16.5" hidden="1">
      <c r="E20446" s="4" t="str">
        <v/>
      </c>
      <c r="F20446" s="102" t="str">
        <f ca="1">IFERROR(__xludf.DUMMYFUNCTION("IMPORTRANGE(H20446,""IDENTITAS UNIT!D9"")"),"#N/A")</f>
        <v>#N/A</v>
      </c>
      <c r="H20446" s="4" t="str">
        <v/>
      </c>
      <c r="I20446" s="4" t="str">
        <v/>
      </c>
    </row>
    <row r="20447" spans="5:9" ht="16.5" hidden="1">
      <c r="E20447" s="4" t="str">
        <v/>
      </c>
      <c r="F20447" s="102" t="str">
        <f ca="1">IFERROR(__xludf.DUMMYFUNCTION("IMPORTRANGE(H20447,""IDENTITAS UNIT!D9"")"),"#N/A")</f>
        <v>#N/A</v>
      </c>
      <c r="H20447" s="4" t="str">
        <v/>
      </c>
      <c r="I20447" s="4" t="str">
        <v/>
      </c>
    </row>
    <row r="20448" spans="5:9" ht="16.5" hidden="1">
      <c r="E20448" s="4" t="str">
        <v/>
      </c>
      <c r="F20448" s="102" t="str">
        <f ca="1">IFERROR(__xludf.DUMMYFUNCTION("IMPORTRANGE(H20448,""IDENTITAS UNIT!D9"")"),"#N/A")</f>
        <v>#N/A</v>
      </c>
      <c r="H20448" s="4" t="str">
        <v/>
      </c>
      <c r="I20448" s="4" t="str">
        <v/>
      </c>
    </row>
    <row r="20449" spans="5:9" ht="16.5" hidden="1">
      <c r="E20449" s="4" t="str">
        <v/>
      </c>
      <c r="F20449" s="102" t="str">
        <f ca="1">IFERROR(__xludf.DUMMYFUNCTION("IMPORTRANGE(H20449,""IDENTITAS UNIT!D9"")"),"#N/A")</f>
        <v>#N/A</v>
      </c>
      <c r="H20449" s="4" t="str">
        <v/>
      </c>
      <c r="I20449" s="4" t="str">
        <v/>
      </c>
    </row>
    <row r="20450" spans="5:9" ht="16.5" hidden="1">
      <c r="E20450" s="4" t="str">
        <v/>
      </c>
      <c r="F20450" s="102" t="str">
        <f ca="1">IFERROR(__xludf.DUMMYFUNCTION("IMPORTRANGE(H20450,""IDENTITAS UNIT!D9"")"),"#N/A")</f>
        <v>#N/A</v>
      </c>
      <c r="H20450" s="4" t="str">
        <v/>
      </c>
      <c r="I20450" s="4" t="str">
        <v/>
      </c>
    </row>
    <row r="20451" spans="5:9" ht="16.5" hidden="1">
      <c r="E20451" s="4" t="str">
        <v/>
      </c>
      <c r="F20451" s="102" t="str">
        <f ca="1">IFERROR(__xludf.DUMMYFUNCTION("IMPORTRANGE(H20451,""IDENTITAS UNIT!D9"")"),"#N/A")</f>
        <v>#N/A</v>
      </c>
      <c r="H20451" s="4" t="str">
        <v/>
      </c>
      <c r="I20451" s="4" t="str">
        <v/>
      </c>
    </row>
    <row r="20452" spans="5:9" ht="16.5" hidden="1">
      <c r="E20452" s="4" t="str">
        <v/>
      </c>
      <c r="F20452" s="102" t="str">
        <f ca="1">IFERROR(__xludf.DUMMYFUNCTION("IMPORTRANGE(H20452,""IDENTITAS UNIT!D9"")"),"#N/A")</f>
        <v>#N/A</v>
      </c>
      <c r="H20452" s="4" t="str">
        <v/>
      </c>
      <c r="I20452" s="4" t="str">
        <v/>
      </c>
    </row>
    <row r="20453" spans="5:9" ht="16.5" hidden="1">
      <c r="E20453" s="4" t="str">
        <v/>
      </c>
      <c r="F20453" s="102" t="str">
        <f ca="1">IFERROR(__xludf.DUMMYFUNCTION("IMPORTRANGE(H20453,""IDENTITAS UNIT!D9"")"),"#N/A")</f>
        <v>#N/A</v>
      </c>
      <c r="H20453" s="4" t="str">
        <v/>
      </c>
      <c r="I20453" s="4" t="str">
        <v/>
      </c>
    </row>
    <row r="20454" spans="5:9" ht="16.5" hidden="1">
      <c r="E20454" s="4" t="str">
        <v/>
      </c>
      <c r="F20454" s="102" t="str">
        <f ca="1">IFERROR(__xludf.DUMMYFUNCTION("IMPORTRANGE(H20454,""IDENTITAS UNIT!D9"")"),"#N/A")</f>
        <v>#N/A</v>
      </c>
      <c r="H20454" s="4" t="str">
        <v/>
      </c>
      <c r="I20454" s="4" t="str">
        <v/>
      </c>
    </row>
    <row r="20455" spans="5:9" ht="16.5" hidden="1">
      <c r="E20455" s="4" t="str">
        <v/>
      </c>
      <c r="F20455" s="102" t="str">
        <f ca="1">IFERROR(__xludf.DUMMYFUNCTION("IMPORTRANGE(H20455,""IDENTITAS UNIT!D9"")"),"#N/A")</f>
        <v>#N/A</v>
      </c>
      <c r="H20455" s="4" t="str">
        <v/>
      </c>
      <c r="I20455" s="4" t="str">
        <v/>
      </c>
    </row>
    <row r="20456" spans="5:9" ht="16.5" hidden="1">
      <c r="E20456" s="4" t="str">
        <v/>
      </c>
      <c r="F20456" s="102" t="str">
        <f ca="1">IFERROR(__xludf.DUMMYFUNCTION("IMPORTRANGE(H20456,""IDENTITAS UNIT!D9"")"),"#N/A")</f>
        <v>#N/A</v>
      </c>
      <c r="H20456" s="4" t="str">
        <v/>
      </c>
      <c r="I20456" s="4" t="str">
        <v/>
      </c>
    </row>
    <row r="20457" spans="5:9" ht="16.5" hidden="1">
      <c r="E20457" s="4" t="str">
        <v/>
      </c>
      <c r="F20457" s="102" t="str">
        <f ca="1">IFERROR(__xludf.DUMMYFUNCTION("IMPORTRANGE(H20457,""IDENTITAS UNIT!D9"")"),"#N/A")</f>
        <v>#N/A</v>
      </c>
      <c r="H20457" s="4" t="str">
        <v/>
      </c>
      <c r="I20457" s="4" t="str">
        <v/>
      </c>
    </row>
    <row r="20458" spans="5:9" ht="16.5" hidden="1">
      <c r="E20458" s="4" t="str">
        <v/>
      </c>
      <c r="F20458" s="102" t="str">
        <f ca="1">IFERROR(__xludf.DUMMYFUNCTION("IMPORTRANGE(H20458,""IDENTITAS UNIT!D9"")"),"#N/A")</f>
        <v>#N/A</v>
      </c>
      <c r="H20458" s="4" t="str">
        <v/>
      </c>
      <c r="I20458" s="4" t="str">
        <v/>
      </c>
    </row>
    <row r="20459" spans="5:9" ht="16.5" hidden="1">
      <c r="E20459" s="4" t="str">
        <v/>
      </c>
      <c r="F20459" s="102" t="str">
        <f ca="1">IFERROR(__xludf.DUMMYFUNCTION("IMPORTRANGE(H20459,""IDENTITAS UNIT!D9"")"),"#N/A")</f>
        <v>#N/A</v>
      </c>
      <c r="H20459" s="4" t="str">
        <v/>
      </c>
      <c r="I20459" s="4" t="str">
        <v/>
      </c>
    </row>
    <row r="20460" spans="5:9" ht="16.5" hidden="1">
      <c r="E20460" s="4" t="str">
        <v/>
      </c>
      <c r="F20460" s="102" t="str">
        <f ca="1">IFERROR(__xludf.DUMMYFUNCTION("IMPORTRANGE(H20460,""IDENTITAS UNIT!D9"")"),"#N/A")</f>
        <v>#N/A</v>
      </c>
      <c r="H20460" s="4" t="str">
        <v/>
      </c>
      <c r="I20460" s="4" t="str">
        <v/>
      </c>
    </row>
    <row r="20461" spans="5:9" ht="16.5" hidden="1">
      <c r="E20461" s="4" t="str">
        <v/>
      </c>
      <c r="F20461" s="102" t="str">
        <f ca="1">IFERROR(__xludf.DUMMYFUNCTION("IMPORTRANGE(H20461,""IDENTITAS UNIT!D9"")"),"#N/A")</f>
        <v>#N/A</v>
      </c>
      <c r="H20461" s="4" t="str">
        <v/>
      </c>
      <c r="I20461" s="4" t="str">
        <v/>
      </c>
    </row>
    <row r="20462" spans="5:9" ht="16.5" hidden="1">
      <c r="E20462" s="4" t="str">
        <v/>
      </c>
      <c r="F20462" s="102" t="str">
        <f ca="1">IFERROR(__xludf.DUMMYFUNCTION("IMPORTRANGE(H20462,""IDENTITAS UNIT!D9"")"),"#N/A")</f>
        <v>#N/A</v>
      </c>
      <c r="H20462" s="4" t="str">
        <v/>
      </c>
      <c r="I20462" s="4" t="str">
        <v/>
      </c>
    </row>
    <row r="20463" spans="5:9" ht="16.5" hidden="1">
      <c r="E20463" s="4" t="str">
        <v/>
      </c>
      <c r="F20463" s="102" t="str">
        <f ca="1">IFERROR(__xludf.DUMMYFUNCTION("IMPORTRANGE(H20463,""IDENTITAS UNIT!D9"")"),"#N/A")</f>
        <v>#N/A</v>
      </c>
      <c r="H20463" s="4" t="str">
        <v/>
      </c>
      <c r="I20463" s="4" t="str">
        <v/>
      </c>
    </row>
    <row r="20464" spans="5:9" ht="16.5" hidden="1">
      <c r="E20464" s="4" t="str">
        <v/>
      </c>
      <c r="F20464" s="102" t="str">
        <f ca="1">IFERROR(__xludf.DUMMYFUNCTION("IMPORTRANGE(H20464,""IDENTITAS UNIT!D9"")"),"#N/A")</f>
        <v>#N/A</v>
      </c>
      <c r="H20464" s="4" t="str">
        <v/>
      </c>
      <c r="I20464" s="4" t="str">
        <v/>
      </c>
    </row>
    <row r="20465" spans="5:9" ht="16.5" hidden="1">
      <c r="E20465" s="4" t="str">
        <v/>
      </c>
      <c r="F20465" s="102" t="str">
        <f ca="1">IFERROR(__xludf.DUMMYFUNCTION("IMPORTRANGE(H20465,""IDENTITAS UNIT!D9"")"),"#N/A")</f>
        <v>#N/A</v>
      </c>
      <c r="H20465" s="4" t="str">
        <v/>
      </c>
      <c r="I20465" s="4" t="str">
        <v/>
      </c>
    </row>
    <row r="20466" spans="5:9" ht="16.5" hidden="1">
      <c r="E20466" s="4" t="str">
        <v/>
      </c>
      <c r="F20466" s="102" t="str">
        <f ca="1">IFERROR(__xludf.DUMMYFUNCTION("IMPORTRANGE(H20466,""IDENTITAS UNIT!D9"")"),"#N/A")</f>
        <v>#N/A</v>
      </c>
      <c r="H20466" s="4" t="str">
        <v/>
      </c>
      <c r="I20466" s="4" t="str">
        <v/>
      </c>
    </row>
    <row r="20467" spans="5:9" ht="16.5" hidden="1">
      <c r="E20467" s="4" t="str">
        <v/>
      </c>
      <c r="F20467" s="102" t="str">
        <f ca="1">IFERROR(__xludf.DUMMYFUNCTION("IMPORTRANGE(H20467,""IDENTITAS UNIT!D9"")"),"#N/A")</f>
        <v>#N/A</v>
      </c>
      <c r="H20467" s="4" t="str">
        <v/>
      </c>
      <c r="I20467" s="4" t="str">
        <v/>
      </c>
    </row>
    <row r="20468" spans="5:9" ht="16.5" hidden="1">
      <c r="E20468" s="4" t="str">
        <v/>
      </c>
      <c r="F20468" s="102" t="str">
        <f ca="1">IFERROR(__xludf.DUMMYFUNCTION("IMPORTRANGE(H20468,""IDENTITAS UNIT!D9"")"),"#N/A")</f>
        <v>#N/A</v>
      </c>
      <c r="H20468" s="4" t="str">
        <v/>
      </c>
      <c r="I20468" s="4" t="str">
        <v/>
      </c>
    </row>
    <row r="20469" spans="5:9" ht="16.5" hidden="1">
      <c r="E20469" s="4" t="str">
        <v/>
      </c>
      <c r="F20469" s="102" t="str">
        <f ca="1">IFERROR(__xludf.DUMMYFUNCTION("IMPORTRANGE(H20469,""IDENTITAS UNIT!D9"")"),"#N/A")</f>
        <v>#N/A</v>
      </c>
      <c r="H20469" s="4" t="str">
        <v/>
      </c>
      <c r="I20469" s="4" t="str">
        <v/>
      </c>
    </row>
    <row r="20470" spans="5:9" ht="16.5" hidden="1">
      <c r="E20470" s="4" t="str">
        <v/>
      </c>
      <c r="F20470" s="102" t="str">
        <f ca="1">IFERROR(__xludf.DUMMYFUNCTION("IMPORTRANGE(H20470,""IDENTITAS UNIT!D9"")"),"#N/A")</f>
        <v>#N/A</v>
      </c>
      <c r="H20470" s="4" t="str">
        <v/>
      </c>
      <c r="I20470" s="4" t="str">
        <v/>
      </c>
    </row>
    <row r="20471" spans="5:9" ht="16.5" hidden="1">
      <c r="E20471" s="4" t="str">
        <v/>
      </c>
      <c r="F20471" s="102" t="str">
        <f ca="1">IFERROR(__xludf.DUMMYFUNCTION("IMPORTRANGE(H20471,""IDENTITAS UNIT!D9"")"),"#N/A")</f>
        <v>#N/A</v>
      </c>
      <c r="H20471" s="4" t="str">
        <v/>
      </c>
      <c r="I20471" s="4" t="str">
        <v/>
      </c>
    </row>
    <row r="20472" spans="5:9" ht="16.5" hidden="1">
      <c r="E20472" s="4" t="str">
        <v/>
      </c>
      <c r="F20472" s="102" t="str">
        <f ca="1">IFERROR(__xludf.DUMMYFUNCTION("IMPORTRANGE(H20472,""IDENTITAS UNIT!D9"")"),"#N/A")</f>
        <v>#N/A</v>
      </c>
      <c r="H20472" s="4" t="str">
        <v/>
      </c>
      <c r="I20472" s="4" t="str">
        <v/>
      </c>
    </row>
    <row r="20473" spans="5:9" ht="16.5" hidden="1">
      <c r="E20473" s="4" t="str">
        <v/>
      </c>
      <c r="F20473" s="102" t="str">
        <f ca="1">IFERROR(__xludf.DUMMYFUNCTION("IMPORTRANGE(H20473,""IDENTITAS UNIT!D9"")"),"#N/A")</f>
        <v>#N/A</v>
      </c>
      <c r="H20473" s="4" t="str">
        <v/>
      </c>
      <c r="I20473" s="4" t="str">
        <v/>
      </c>
    </row>
    <row r="20474" spans="5:9" ht="16.5" hidden="1">
      <c r="E20474" s="4" t="str">
        <v/>
      </c>
      <c r="F20474" s="102" t="str">
        <f ca="1">IFERROR(__xludf.DUMMYFUNCTION("IMPORTRANGE(H20474,""IDENTITAS UNIT!D9"")"),"#N/A")</f>
        <v>#N/A</v>
      </c>
      <c r="H20474" s="4" t="str">
        <v/>
      </c>
      <c r="I20474" s="4" t="str">
        <v/>
      </c>
    </row>
    <row r="20475" spans="5:9" ht="16.5" hidden="1">
      <c r="E20475" s="4" t="str">
        <v/>
      </c>
      <c r="F20475" s="102" t="str">
        <f ca="1">IFERROR(__xludf.DUMMYFUNCTION("IMPORTRANGE(H20475,""IDENTITAS UNIT!D9"")"),"#N/A")</f>
        <v>#N/A</v>
      </c>
      <c r="H20475" s="4" t="str">
        <v/>
      </c>
      <c r="I20475" s="4" t="str">
        <v/>
      </c>
    </row>
    <row r="20476" spans="5:9" ht="16.5" hidden="1">
      <c r="E20476" s="4" t="str">
        <v/>
      </c>
      <c r="F20476" s="102" t="str">
        <f ca="1">IFERROR(__xludf.DUMMYFUNCTION("IMPORTRANGE(H20476,""IDENTITAS UNIT!D9"")"),"#N/A")</f>
        <v>#N/A</v>
      </c>
      <c r="H20476" s="4" t="str">
        <v/>
      </c>
      <c r="I20476" s="4" t="str">
        <v/>
      </c>
    </row>
    <row r="20477" spans="5:9" ht="16.5" hidden="1">
      <c r="E20477" s="4" t="str">
        <v/>
      </c>
      <c r="F20477" s="102" t="str">
        <f ca="1">IFERROR(__xludf.DUMMYFUNCTION("IMPORTRANGE(H20477,""IDENTITAS UNIT!D9"")"),"#N/A")</f>
        <v>#N/A</v>
      </c>
      <c r="H20477" s="4" t="str">
        <v/>
      </c>
      <c r="I20477" s="4" t="str">
        <v/>
      </c>
    </row>
    <row r="20478" spans="5:9" ht="16.5" hidden="1">
      <c r="E20478" s="4" t="str">
        <v/>
      </c>
      <c r="F20478" s="102" t="str">
        <f ca="1">IFERROR(__xludf.DUMMYFUNCTION("IMPORTRANGE(H20478,""IDENTITAS UNIT!D9"")"),"#N/A")</f>
        <v>#N/A</v>
      </c>
      <c r="H20478" s="4" t="str">
        <v/>
      </c>
      <c r="I20478" s="4" t="str">
        <v/>
      </c>
    </row>
    <row r="20479" spans="5:9" ht="16.5" hidden="1">
      <c r="E20479" s="4" t="str">
        <v/>
      </c>
      <c r="F20479" s="102" t="str">
        <f ca="1">IFERROR(__xludf.DUMMYFUNCTION("IMPORTRANGE(H20479,""IDENTITAS UNIT!D9"")"),"#N/A")</f>
        <v>#N/A</v>
      </c>
      <c r="H20479" s="4" t="str">
        <v/>
      </c>
      <c r="I20479" s="4" t="str">
        <v/>
      </c>
    </row>
    <row r="20480" spans="5:9" ht="16.5" hidden="1">
      <c r="E20480" s="4" t="str">
        <v/>
      </c>
      <c r="F20480" s="102" t="str">
        <f ca="1">IFERROR(__xludf.DUMMYFUNCTION("IMPORTRANGE(H20480,""IDENTITAS UNIT!D9"")"),"#N/A")</f>
        <v>#N/A</v>
      </c>
      <c r="H20480" s="4" t="str">
        <v/>
      </c>
      <c r="I20480" s="4" t="str">
        <v/>
      </c>
    </row>
    <row r="20481" spans="5:9" ht="16.5" hidden="1">
      <c r="E20481" s="4" t="str">
        <v/>
      </c>
      <c r="F20481" s="102" t="str">
        <f ca="1">IFERROR(__xludf.DUMMYFUNCTION("IMPORTRANGE(H20481,""IDENTITAS UNIT!D9"")"),"#N/A")</f>
        <v>#N/A</v>
      </c>
      <c r="H20481" s="4" t="str">
        <v/>
      </c>
      <c r="I20481" s="4" t="str">
        <v/>
      </c>
    </row>
    <row r="20482" spans="5:9" ht="16.5" hidden="1">
      <c r="E20482" s="4" t="str">
        <v/>
      </c>
      <c r="F20482" s="102" t="str">
        <f ca="1">IFERROR(__xludf.DUMMYFUNCTION("IMPORTRANGE(H20482,""IDENTITAS UNIT!D9"")"),"#N/A")</f>
        <v>#N/A</v>
      </c>
      <c r="H20482" s="4" t="str">
        <v/>
      </c>
      <c r="I20482" s="4" t="str">
        <v/>
      </c>
    </row>
    <row r="20483" spans="5:9" ht="16.5" hidden="1">
      <c r="E20483" s="4" t="str">
        <v/>
      </c>
      <c r="F20483" s="102" t="str">
        <f ca="1">IFERROR(__xludf.DUMMYFUNCTION("IMPORTRANGE(H20483,""IDENTITAS UNIT!D9"")"),"#N/A")</f>
        <v>#N/A</v>
      </c>
      <c r="H20483" s="4" t="str">
        <v/>
      </c>
      <c r="I20483" s="4" t="str">
        <v/>
      </c>
    </row>
    <row r="20484" spans="5:9" ht="16.5" hidden="1">
      <c r="E20484" s="4" t="str">
        <v/>
      </c>
      <c r="F20484" s="102" t="str">
        <f ca="1">IFERROR(__xludf.DUMMYFUNCTION("IMPORTRANGE(H20484,""IDENTITAS UNIT!D9"")"),"#N/A")</f>
        <v>#N/A</v>
      </c>
      <c r="H20484" s="4" t="str">
        <v/>
      </c>
      <c r="I20484" s="4" t="str">
        <v/>
      </c>
    </row>
    <row r="20485" spans="5:9" ht="16.5" hidden="1">
      <c r="E20485" s="4" t="str">
        <v/>
      </c>
      <c r="F20485" s="102" t="str">
        <f ca="1">IFERROR(__xludf.DUMMYFUNCTION("IMPORTRANGE(H20485,""IDENTITAS UNIT!D9"")"),"#N/A")</f>
        <v>#N/A</v>
      </c>
      <c r="H20485" s="4" t="str">
        <v/>
      </c>
      <c r="I20485" s="4" t="str">
        <v/>
      </c>
    </row>
    <row r="20486" spans="5:9" ht="16.5" hidden="1">
      <c r="E20486" s="4" t="str">
        <v/>
      </c>
      <c r="F20486" s="102" t="str">
        <f ca="1">IFERROR(__xludf.DUMMYFUNCTION("IMPORTRANGE(H20486,""IDENTITAS UNIT!D9"")"),"#N/A")</f>
        <v>#N/A</v>
      </c>
      <c r="H20486" s="4" t="str">
        <v/>
      </c>
      <c r="I20486" s="4" t="str">
        <v/>
      </c>
    </row>
    <row r="20487" spans="5:9" ht="16.5" hidden="1">
      <c r="E20487" s="4" t="str">
        <v/>
      </c>
      <c r="F20487" s="102" t="str">
        <f ca="1">IFERROR(__xludf.DUMMYFUNCTION("IMPORTRANGE(H20487,""IDENTITAS UNIT!D9"")"),"#N/A")</f>
        <v>#N/A</v>
      </c>
      <c r="H20487" s="4" t="str">
        <v/>
      </c>
      <c r="I20487" s="4" t="str">
        <v/>
      </c>
    </row>
    <row r="20488" spans="5:9" ht="16.5" hidden="1">
      <c r="E20488" s="4" t="str">
        <v/>
      </c>
      <c r="F20488" s="102" t="str">
        <f ca="1">IFERROR(__xludf.DUMMYFUNCTION("IMPORTRANGE(H20488,""IDENTITAS UNIT!D9"")"),"#N/A")</f>
        <v>#N/A</v>
      </c>
      <c r="H20488" s="4" t="str">
        <v/>
      </c>
      <c r="I20488" s="4" t="str">
        <v/>
      </c>
    </row>
    <row r="20489" spans="5:9" ht="16.5" hidden="1">
      <c r="E20489" s="4" t="str">
        <v/>
      </c>
      <c r="F20489" s="102" t="str">
        <f ca="1">IFERROR(__xludf.DUMMYFUNCTION("IMPORTRANGE(H20489,""IDENTITAS UNIT!D9"")"),"#N/A")</f>
        <v>#N/A</v>
      </c>
      <c r="H20489" s="4" t="str">
        <v/>
      </c>
      <c r="I20489" s="4" t="str">
        <v/>
      </c>
    </row>
    <row r="20490" spans="5:9" ht="16.5" hidden="1">
      <c r="E20490" s="4" t="str">
        <v/>
      </c>
      <c r="F20490" s="102" t="str">
        <f ca="1">IFERROR(__xludf.DUMMYFUNCTION("IMPORTRANGE(H20490,""IDENTITAS UNIT!D9"")"),"#N/A")</f>
        <v>#N/A</v>
      </c>
      <c r="H20490" s="4" t="str">
        <v/>
      </c>
      <c r="I20490" s="4" t="str">
        <v/>
      </c>
    </row>
    <row r="20491" spans="5:9" ht="16.5" hidden="1">
      <c r="E20491" s="4" t="str">
        <v/>
      </c>
      <c r="F20491" s="102" t="str">
        <f ca="1">IFERROR(__xludf.DUMMYFUNCTION("IMPORTRANGE(H20491,""IDENTITAS UNIT!D9"")"),"#N/A")</f>
        <v>#N/A</v>
      </c>
      <c r="H20491" s="4" t="str">
        <v/>
      </c>
      <c r="I20491" s="4" t="str">
        <v/>
      </c>
    </row>
    <row r="20492" spans="5:9" ht="16.5" hidden="1">
      <c r="E20492" s="4" t="str">
        <v/>
      </c>
      <c r="F20492" s="102" t="str">
        <f ca="1">IFERROR(__xludf.DUMMYFUNCTION("IMPORTRANGE(H20492,""IDENTITAS UNIT!D9"")"),"#N/A")</f>
        <v>#N/A</v>
      </c>
      <c r="H20492" s="4" t="str">
        <v/>
      </c>
      <c r="I20492" s="4" t="str">
        <v/>
      </c>
    </row>
    <row r="20493" spans="5:9" ht="16.5" hidden="1">
      <c r="E20493" s="4" t="str">
        <v/>
      </c>
      <c r="F20493" s="102" t="str">
        <f ca="1">IFERROR(__xludf.DUMMYFUNCTION("IMPORTRANGE(H20493,""IDENTITAS UNIT!D9"")"),"#N/A")</f>
        <v>#N/A</v>
      </c>
      <c r="H20493" s="4" t="str">
        <v/>
      </c>
      <c r="I20493" s="4" t="str">
        <v/>
      </c>
    </row>
    <row r="20494" spans="5:9" ht="16.5" hidden="1">
      <c r="E20494" s="4" t="str">
        <v/>
      </c>
      <c r="F20494" s="102" t="str">
        <f ca="1">IFERROR(__xludf.DUMMYFUNCTION("IMPORTRANGE(H20494,""IDENTITAS UNIT!D9"")"),"#N/A")</f>
        <v>#N/A</v>
      </c>
      <c r="H20494" s="4" t="str">
        <v/>
      </c>
      <c r="I20494" s="4" t="str">
        <v/>
      </c>
    </row>
    <row r="20495" spans="5:9" ht="16.5" hidden="1">
      <c r="E20495" s="4" t="str">
        <v/>
      </c>
      <c r="F20495" s="102" t="str">
        <f ca="1">IFERROR(__xludf.DUMMYFUNCTION("IMPORTRANGE(H20495,""IDENTITAS UNIT!D9"")"),"#N/A")</f>
        <v>#N/A</v>
      </c>
      <c r="H20495" s="4" t="str">
        <v/>
      </c>
      <c r="I20495" s="4" t="str">
        <v/>
      </c>
    </row>
    <row r="20496" spans="5:9" ht="16.5" hidden="1">
      <c r="E20496" s="4" t="str">
        <v/>
      </c>
      <c r="F20496" s="102" t="str">
        <f ca="1">IFERROR(__xludf.DUMMYFUNCTION("IMPORTRANGE(H20496,""IDENTITAS UNIT!D9"")"),"#N/A")</f>
        <v>#N/A</v>
      </c>
      <c r="H20496" s="4" t="str">
        <v/>
      </c>
      <c r="I20496" s="4" t="str">
        <v/>
      </c>
    </row>
    <row r="20497" spans="5:9" ht="16.5" hidden="1">
      <c r="E20497" s="4" t="str">
        <v/>
      </c>
      <c r="F20497" s="102" t="str">
        <f ca="1">IFERROR(__xludf.DUMMYFUNCTION("IMPORTRANGE(H20497,""IDENTITAS UNIT!D9"")"),"#N/A")</f>
        <v>#N/A</v>
      </c>
      <c r="H20497" s="4" t="str">
        <v/>
      </c>
      <c r="I20497" s="4" t="str">
        <v/>
      </c>
    </row>
    <row r="20498" spans="5:9" ht="16.5" hidden="1">
      <c r="E20498" s="4" t="str">
        <v/>
      </c>
      <c r="F20498" s="102" t="str">
        <f ca="1">IFERROR(__xludf.DUMMYFUNCTION("IMPORTRANGE(H20498,""IDENTITAS UNIT!D9"")"),"#N/A")</f>
        <v>#N/A</v>
      </c>
      <c r="H20498" s="4" t="str">
        <v/>
      </c>
      <c r="I20498" s="4" t="str">
        <v/>
      </c>
    </row>
    <row r="20499" spans="5:9" ht="16.5" hidden="1">
      <c r="E20499" s="4" t="str">
        <v/>
      </c>
      <c r="F20499" s="102" t="str">
        <f ca="1">IFERROR(__xludf.DUMMYFUNCTION("IMPORTRANGE(H20499,""IDENTITAS UNIT!D9"")"),"#N/A")</f>
        <v>#N/A</v>
      </c>
      <c r="H20499" s="4" t="str">
        <v/>
      </c>
      <c r="I20499" s="4" t="str">
        <v/>
      </c>
    </row>
    <row r="20500" spans="5:9" ht="16.5" hidden="1">
      <c r="E20500" s="4" t="str">
        <v/>
      </c>
      <c r="F20500" s="102" t="str">
        <f ca="1">IFERROR(__xludf.DUMMYFUNCTION("IMPORTRANGE(H20500,""IDENTITAS UNIT!D9"")"),"#N/A")</f>
        <v>#N/A</v>
      </c>
      <c r="H20500" s="4" t="str">
        <v/>
      </c>
      <c r="I20500" s="4" t="str">
        <v/>
      </c>
    </row>
    <row r="20501" spans="5:9" ht="16.5" hidden="1">
      <c r="E20501" s="4" t="str">
        <v/>
      </c>
      <c r="F20501" s="102" t="str">
        <f ca="1">IFERROR(__xludf.DUMMYFUNCTION("IMPORTRANGE(H20501,""IDENTITAS UNIT!D9"")"),"#N/A")</f>
        <v>#N/A</v>
      </c>
      <c r="H20501" s="4" t="str">
        <v/>
      </c>
      <c r="I20501" s="4" t="str">
        <v/>
      </c>
    </row>
    <row r="20502" spans="5:9" ht="16.5" hidden="1">
      <c r="E20502" s="4" t="str">
        <v/>
      </c>
      <c r="F20502" s="102" t="str">
        <f ca="1">IFERROR(__xludf.DUMMYFUNCTION("IMPORTRANGE(H20502,""IDENTITAS UNIT!D9"")"),"#N/A")</f>
        <v>#N/A</v>
      </c>
      <c r="H20502" s="4" t="str">
        <v/>
      </c>
      <c r="I20502" s="4" t="str">
        <v/>
      </c>
    </row>
    <row r="20503" spans="5:9" ht="16.5" hidden="1">
      <c r="E20503" s="4" t="str">
        <v/>
      </c>
      <c r="F20503" s="102" t="str">
        <f ca="1">IFERROR(__xludf.DUMMYFUNCTION("IMPORTRANGE(H20503,""IDENTITAS UNIT!D9"")"),"#N/A")</f>
        <v>#N/A</v>
      </c>
      <c r="H20503" s="4" t="str">
        <v/>
      </c>
      <c r="I20503" s="4" t="str">
        <v/>
      </c>
    </row>
    <row r="20504" spans="5:9" ht="16.5" hidden="1">
      <c r="E20504" s="4" t="str">
        <v/>
      </c>
      <c r="F20504" s="102" t="str">
        <f ca="1">IFERROR(__xludf.DUMMYFUNCTION("IMPORTRANGE(H20504,""IDENTITAS UNIT!D9"")"),"#N/A")</f>
        <v>#N/A</v>
      </c>
      <c r="H20504" s="4" t="str">
        <v/>
      </c>
      <c r="I20504" s="4" t="str">
        <v/>
      </c>
    </row>
    <row r="20505" spans="5:9" ht="16.5" hidden="1">
      <c r="E20505" s="4" t="str">
        <v/>
      </c>
      <c r="F20505" s="102" t="str">
        <f ca="1">IFERROR(__xludf.DUMMYFUNCTION("IMPORTRANGE(H20505,""IDENTITAS UNIT!D9"")"),"#N/A")</f>
        <v>#N/A</v>
      </c>
      <c r="H20505" s="4" t="str">
        <v/>
      </c>
      <c r="I20505" s="4" t="str">
        <v/>
      </c>
    </row>
    <row r="20506" spans="5:9" ht="16.5" hidden="1">
      <c r="E20506" s="4" t="str">
        <v/>
      </c>
      <c r="F20506" s="102" t="str">
        <f ca="1">IFERROR(__xludf.DUMMYFUNCTION("IMPORTRANGE(H20506,""IDENTITAS UNIT!D9"")"),"#N/A")</f>
        <v>#N/A</v>
      </c>
      <c r="H20506" s="4" t="str">
        <v/>
      </c>
      <c r="I20506" s="4" t="str">
        <v/>
      </c>
    </row>
    <row r="20507" spans="5:9" ht="16.5" hidden="1">
      <c r="E20507" s="4" t="str">
        <v/>
      </c>
      <c r="F20507" s="102" t="str">
        <f ca="1">IFERROR(__xludf.DUMMYFUNCTION("IMPORTRANGE(H20507,""IDENTITAS UNIT!D9"")"),"#N/A")</f>
        <v>#N/A</v>
      </c>
      <c r="H20507" s="4" t="str">
        <v/>
      </c>
      <c r="I20507" s="4" t="str">
        <v/>
      </c>
    </row>
    <row r="20508" spans="5:9" ht="16.5" hidden="1">
      <c r="E20508" s="4" t="str">
        <v/>
      </c>
      <c r="F20508" s="102" t="str">
        <f ca="1">IFERROR(__xludf.DUMMYFUNCTION("IMPORTRANGE(H20508,""IDENTITAS UNIT!D9"")"),"#N/A")</f>
        <v>#N/A</v>
      </c>
      <c r="H20508" s="4" t="str">
        <v/>
      </c>
      <c r="I20508" s="4" t="str">
        <v/>
      </c>
    </row>
    <row r="20509" spans="5:9" ht="16.5" hidden="1">
      <c r="E20509" s="4" t="str">
        <v/>
      </c>
      <c r="F20509" s="102" t="str">
        <f ca="1">IFERROR(__xludf.DUMMYFUNCTION("IMPORTRANGE(H20509,""IDENTITAS UNIT!D9"")"),"#N/A")</f>
        <v>#N/A</v>
      </c>
      <c r="H20509" s="4" t="str">
        <v/>
      </c>
      <c r="I20509" s="4" t="str">
        <v/>
      </c>
    </row>
    <row r="20510" spans="5:9" ht="16.5" hidden="1">
      <c r="E20510" s="4" t="str">
        <v/>
      </c>
      <c r="F20510" s="102" t="str">
        <f ca="1">IFERROR(__xludf.DUMMYFUNCTION("IMPORTRANGE(H20510,""IDENTITAS UNIT!D9"")"),"#N/A")</f>
        <v>#N/A</v>
      </c>
      <c r="H20510" s="4" t="str">
        <v/>
      </c>
      <c r="I20510" s="4" t="str">
        <v/>
      </c>
    </row>
    <row r="20511" spans="5:9" ht="16.5" hidden="1">
      <c r="E20511" s="4" t="str">
        <v/>
      </c>
      <c r="F20511" s="102" t="str">
        <f ca="1">IFERROR(__xludf.DUMMYFUNCTION("IMPORTRANGE(H20511,""IDENTITAS UNIT!D9"")"),"#N/A")</f>
        <v>#N/A</v>
      </c>
      <c r="H20511" s="4" t="str">
        <v/>
      </c>
      <c r="I20511" s="4" t="str">
        <v/>
      </c>
    </row>
    <row r="20512" spans="5:9" ht="16.5" hidden="1">
      <c r="E20512" s="4" t="str">
        <v/>
      </c>
      <c r="F20512" s="102" t="str">
        <f ca="1">IFERROR(__xludf.DUMMYFUNCTION("IMPORTRANGE(H20512,""IDENTITAS UNIT!D9"")"),"#N/A")</f>
        <v>#N/A</v>
      </c>
      <c r="H20512" s="4" t="str">
        <v/>
      </c>
      <c r="I20512" s="4" t="str">
        <v/>
      </c>
    </row>
    <row r="20513" spans="5:9" ht="16.5" hidden="1">
      <c r="E20513" s="4" t="str">
        <v/>
      </c>
      <c r="F20513" s="102" t="str">
        <f ca="1">IFERROR(__xludf.DUMMYFUNCTION("IMPORTRANGE(H20513,""IDENTITAS UNIT!D9"")"),"#N/A")</f>
        <v>#N/A</v>
      </c>
      <c r="H20513" s="4" t="str">
        <v/>
      </c>
      <c r="I20513" s="4" t="str">
        <v/>
      </c>
    </row>
    <row r="20514" spans="5:9" ht="16.5" hidden="1">
      <c r="E20514" s="4" t="str">
        <v/>
      </c>
      <c r="F20514" s="102" t="str">
        <f ca="1">IFERROR(__xludf.DUMMYFUNCTION("IMPORTRANGE(H20514,""IDENTITAS UNIT!D9"")"),"#N/A")</f>
        <v>#N/A</v>
      </c>
      <c r="H20514" s="4" t="str">
        <v/>
      </c>
      <c r="I20514" s="4" t="str">
        <v/>
      </c>
    </row>
    <row r="20515" spans="5:9" ht="16.5" hidden="1">
      <c r="E20515" s="4" t="str">
        <v/>
      </c>
      <c r="F20515" s="102" t="str">
        <f ca="1">IFERROR(__xludf.DUMMYFUNCTION("IMPORTRANGE(H20515,""IDENTITAS UNIT!D9"")"),"#N/A")</f>
        <v>#N/A</v>
      </c>
      <c r="H20515" s="4" t="str">
        <v/>
      </c>
      <c r="I20515" s="4" t="str">
        <v/>
      </c>
    </row>
    <row r="20516" spans="5:9" ht="16.5" hidden="1">
      <c r="E20516" s="4" t="str">
        <v/>
      </c>
      <c r="F20516" s="102" t="str">
        <f ca="1">IFERROR(__xludf.DUMMYFUNCTION("IMPORTRANGE(H20516,""IDENTITAS UNIT!D9"")"),"#N/A")</f>
        <v>#N/A</v>
      </c>
      <c r="H20516" s="4" t="str">
        <v/>
      </c>
      <c r="I20516" s="4" t="str">
        <v/>
      </c>
    </row>
    <row r="20517" spans="5:9" ht="16.5" hidden="1">
      <c r="E20517" s="4" t="str">
        <v/>
      </c>
      <c r="F20517" s="102" t="str">
        <f ca="1">IFERROR(__xludf.DUMMYFUNCTION("IMPORTRANGE(H20517,""IDENTITAS UNIT!D9"")"),"#N/A")</f>
        <v>#N/A</v>
      </c>
      <c r="H20517" s="4" t="str">
        <v/>
      </c>
      <c r="I20517" s="4" t="str">
        <v/>
      </c>
    </row>
    <row r="20518" spans="5:9" ht="16.5" hidden="1">
      <c r="E20518" s="4" t="str">
        <v/>
      </c>
      <c r="F20518" s="102" t="str">
        <f ca="1">IFERROR(__xludf.DUMMYFUNCTION("IMPORTRANGE(H20518,""IDENTITAS UNIT!D9"")"),"#N/A")</f>
        <v>#N/A</v>
      </c>
      <c r="H20518" s="4" t="str">
        <v/>
      </c>
      <c r="I20518" s="4" t="str">
        <v/>
      </c>
    </row>
    <row r="20519" spans="5:9" ht="16.5" hidden="1">
      <c r="E20519" s="4" t="str">
        <v/>
      </c>
      <c r="F20519" s="102" t="str">
        <f ca="1">IFERROR(__xludf.DUMMYFUNCTION("IMPORTRANGE(H20519,""IDENTITAS UNIT!D9"")"),"#N/A")</f>
        <v>#N/A</v>
      </c>
      <c r="H20519" s="4" t="str">
        <v/>
      </c>
      <c r="I20519" s="4" t="str">
        <v/>
      </c>
    </row>
    <row r="20520" spans="5:9" ht="16.5" hidden="1">
      <c r="E20520" s="4" t="str">
        <v/>
      </c>
      <c r="F20520" s="102" t="str">
        <f ca="1">IFERROR(__xludf.DUMMYFUNCTION("IMPORTRANGE(H20520,""IDENTITAS UNIT!D9"")"),"#N/A")</f>
        <v>#N/A</v>
      </c>
      <c r="H20520" s="4" t="str">
        <v/>
      </c>
      <c r="I20520" s="4" t="str">
        <v/>
      </c>
    </row>
    <row r="20521" spans="5:9" ht="16.5" hidden="1">
      <c r="E20521" s="4" t="str">
        <v/>
      </c>
      <c r="F20521" s="102" t="str">
        <f ca="1">IFERROR(__xludf.DUMMYFUNCTION("IMPORTRANGE(H20521,""IDENTITAS UNIT!D9"")"),"#N/A")</f>
        <v>#N/A</v>
      </c>
      <c r="H20521" s="4" t="str">
        <v/>
      </c>
      <c r="I20521" s="4" t="str">
        <v/>
      </c>
    </row>
    <row r="20522" spans="5:9" ht="16.5" hidden="1">
      <c r="E20522" s="4" t="str">
        <v/>
      </c>
      <c r="F20522" s="102" t="str">
        <f ca="1">IFERROR(__xludf.DUMMYFUNCTION("IMPORTRANGE(H20522,""IDENTITAS UNIT!D9"")"),"#N/A")</f>
        <v>#N/A</v>
      </c>
      <c r="H20522" s="4" t="str">
        <v/>
      </c>
      <c r="I20522" s="4" t="str">
        <v/>
      </c>
    </row>
    <row r="20523" spans="5:9" ht="16.5" hidden="1">
      <c r="E20523" s="4" t="str">
        <v/>
      </c>
      <c r="F20523" s="102" t="str">
        <f ca="1">IFERROR(__xludf.DUMMYFUNCTION("IMPORTRANGE(H20523,""IDENTITAS UNIT!D9"")"),"#N/A")</f>
        <v>#N/A</v>
      </c>
      <c r="H20523" s="4" t="str">
        <v/>
      </c>
      <c r="I20523" s="4" t="str">
        <v/>
      </c>
    </row>
    <row r="20524" spans="5:9" ht="16.5" hidden="1">
      <c r="E20524" s="4" t="str">
        <v/>
      </c>
      <c r="F20524" s="102" t="str">
        <f ca="1">IFERROR(__xludf.DUMMYFUNCTION("IMPORTRANGE(H20524,""IDENTITAS UNIT!D9"")"),"#N/A")</f>
        <v>#N/A</v>
      </c>
      <c r="H20524" s="4" t="str">
        <v/>
      </c>
      <c r="I20524" s="4" t="str">
        <v/>
      </c>
    </row>
    <row r="20525" spans="5:9" ht="16.5" hidden="1">
      <c r="E20525" s="4" t="str">
        <v/>
      </c>
      <c r="F20525" s="102" t="str">
        <f ca="1">IFERROR(__xludf.DUMMYFUNCTION("IMPORTRANGE(H20525,""IDENTITAS UNIT!D9"")"),"#N/A")</f>
        <v>#N/A</v>
      </c>
      <c r="H20525" s="4" t="str">
        <v/>
      </c>
      <c r="I20525" s="4" t="str">
        <v/>
      </c>
    </row>
    <row r="20526" spans="5:9" ht="16.5" hidden="1">
      <c r="E20526" s="4" t="str">
        <v/>
      </c>
      <c r="F20526" s="102" t="str">
        <f ca="1">IFERROR(__xludf.DUMMYFUNCTION("IMPORTRANGE(H20526,""IDENTITAS UNIT!D9"")"),"#N/A")</f>
        <v>#N/A</v>
      </c>
      <c r="H20526" s="4" t="str">
        <v/>
      </c>
      <c r="I20526" s="4" t="str">
        <v/>
      </c>
    </row>
    <row r="20527" spans="5:9" ht="16.5" hidden="1">
      <c r="E20527" s="4" t="str">
        <v/>
      </c>
      <c r="F20527" s="102" t="str">
        <f ca="1">IFERROR(__xludf.DUMMYFUNCTION("IMPORTRANGE(H20527,""IDENTITAS UNIT!D9"")"),"#N/A")</f>
        <v>#N/A</v>
      </c>
      <c r="H20527" s="4" t="str">
        <v/>
      </c>
      <c r="I20527" s="4" t="str">
        <v/>
      </c>
    </row>
    <row r="20528" spans="5:9" ht="16.5" hidden="1">
      <c r="E20528" s="4" t="str">
        <v/>
      </c>
      <c r="F20528" s="102" t="str">
        <f ca="1">IFERROR(__xludf.DUMMYFUNCTION("IMPORTRANGE(H20528,""IDENTITAS UNIT!D9"")"),"#N/A")</f>
        <v>#N/A</v>
      </c>
      <c r="H20528" s="4" t="str">
        <v/>
      </c>
      <c r="I20528" s="4" t="str">
        <v/>
      </c>
    </row>
    <row r="20529" spans="5:9" ht="16.5" hidden="1">
      <c r="E20529" s="4" t="str">
        <v/>
      </c>
      <c r="F20529" s="102" t="str">
        <f ca="1">IFERROR(__xludf.DUMMYFUNCTION("IMPORTRANGE(H20529,""IDENTITAS UNIT!D9"")"),"#N/A")</f>
        <v>#N/A</v>
      </c>
      <c r="H20529" s="4" t="str">
        <v/>
      </c>
      <c r="I20529" s="4" t="str">
        <v/>
      </c>
    </row>
    <row r="20530" spans="5:9" ht="16.5" hidden="1">
      <c r="E20530" s="4" t="str">
        <v/>
      </c>
      <c r="F20530" s="102" t="str">
        <f ca="1">IFERROR(__xludf.DUMMYFUNCTION("IMPORTRANGE(H20530,""IDENTITAS UNIT!D9"")"),"#N/A")</f>
        <v>#N/A</v>
      </c>
      <c r="H20530" s="4" t="str">
        <v/>
      </c>
      <c r="I20530" s="4" t="str">
        <v/>
      </c>
    </row>
    <row r="20531" spans="5:9" ht="16.5" hidden="1">
      <c r="E20531" s="4" t="str">
        <v/>
      </c>
      <c r="F20531" s="102" t="str">
        <f ca="1">IFERROR(__xludf.DUMMYFUNCTION("IMPORTRANGE(H20531,""IDENTITAS UNIT!D9"")"),"#N/A")</f>
        <v>#N/A</v>
      </c>
      <c r="H20531" s="4" t="str">
        <v/>
      </c>
      <c r="I20531" s="4" t="str">
        <v/>
      </c>
    </row>
    <row r="20532" spans="5:9" ht="16.5" hidden="1">
      <c r="E20532" s="4" t="str">
        <v/>
      </c>
      <c r="F20532" s="102" t="str">
        <f ca="1">IFERROR(__xludf.DUMMYFUNCTION("IMPORTRANGE(H20532,""IDENTITAS UNIT!D9"")"),"#N/A")</f>
        <v>#N/A</v>
      </c>
      <c r="H20532" s="4" t="str">
        <v/>
      </c>
      <c r="I20532" s="4" t="str">
        <v/>
      </c>
    </row>
    <row r="20533" spans="5:9" ht="16.5" hidden="1">
      <c r="E20533" s="4" t="str">
        <v/>
      </c>
      <c r="F20533" s="102" t="str">
        <f ca="1">IFERROR(__xludf.DUMMYFUNCTION("IMPORTRANGE(H20533,""IDENTITAS UNIT!D9"")"),"#N/A")</f>
        <v>#N/A</v>
      </c>
      <c r="H20533" s="4" t="str">
        <v/>
      </c>
      <c r="I20533" s="4" t="str">
        <v/>
      </c>
    </row>
    <row r="20534" spans="5:9" ht="16.5" hidden="1">
      <c r="E20534" s="4" t="str">
        <v/>
      </c>
      <c r="F20534" s="102" t="str">
        <f ca="1">IFERROR(__xludf.DUMMYFUNCTION("IMPORTRANGE(H20534,""IDENTITAS UNIT!D9"")"),"#N/A")</f>
        <v>#N/A</v>
      </c>
      <c r="H20534" s="4" t="str">
        <v/>
      </c>
      <c r="I20534" s="4" t="str">
        <v/>
      </c>
    </row>
    <row r="20535" spans="5:9" ht="16.5" hidden="1">
      <c r="E20535" s="4" t="str">
        <v/>
      </c>
      <c r="F20535" s="102" t="str">
        <f ca="1">IFERROR(__xludf.DUMMYFUNCTION("IMPORTRANGE(H20535,""IDENTITAS UNIT!D9"")"),"#N/A")</f>
        <v>#N/A</v>
      </c>
      <c r="H20535" s="4" t="str">
        <v/>
      </c>
      <c r="I20535" s="4" t="str">
        <v/>
      </c>
    </row>
    <row r="20536" spans="5:9" ht="16.5" hidden="1">
      <c r="E20536" s="4" t="str">
        <v/>
      </c>
      <c r="F20536" s="102" t="str">
        <f ca="1">IFERROR(__xludf.DUMMYFUNCTION("IMPORTRANGE(H20536,""IDENTITAS UNIT!D9"")"),"#N/A")</f>
        <v>#N/A</v>
      </c>
      <c r="H20536" s="4" t="str">
        <v/>
      </c>
      <c r="I20536" s="4" t="str">
        <v/>
      </c>
    </row>
    <row r="20537" spans="5:9" ht="16.5" hidden="1">
      <c r="E20537" s="4" t="str">
        <v/>
      </c>
      <c r="F20537" s="102" t="str">
        <f ca="1">IFERROR(__xludf.DUMMYFUNCTION("IMPORTRANGE(H20537,""IDENTITAS UNIT!D9"")"),"#N/A")</f>
        <v>#N/A</v>
      </c>
      <c r="H20537" s="4" t="str">
        <v/>
      </c>
      <c r="I20537" s="4" t="str">
        <v/>
      </c>
    </row>
    <row r="20538" spans="5:9" ht="16.5" hidden="1">
      <c r="E20538" s="4" t="str">
        <v/>
      </c>
      <c r="F20538" s="102" t="str">
        <f ca="1">IFERROR(__xludf.DUMMYFUNCTION("IMPORTRANGE(H20538,""IDENTITAS UNIT!D9"")"),"#N/A")</f>
        <v>#N/A</v>
      </c>
      <c r="H20538" s="4" t="str">
        <v/>
      </c>
      <c r="I20538" s="4" t="str">
        <v/>
      </c>
    </row>
    <row r="20539" spans="5:9" ht="16.5" hidden="1">
      <c r="E20539" s="4" t="str">
        <v/>
      </c>
      <c r="F20539" s="102" t="str">
        <f ca="1">IFERROR(__xludf.DUMMYFUNCTION("IMPORTRANGE(H20539,""IDENTITAS UNIT!D9"")"),"#N/A")</f>
        <v>#N/A</v>
      </c>
      <c r="H20539" s="4" t="str">
        <v/>
      </c>
      <c r="I20539" s="4" t="str">
        <v/>
      </c>
    </row>
    <row r="20540" spans="5:9" ht="16.5" hidden="1">
      <c r="E20540" s="4" t="str">
        <v/>
      </c>
      <c r="F20540" s="102" t="str">
        <f ca="1">IFERROR(__xludf.DUMMYFUNCTION("IMPORTRANGE(H20540,""IDENTITAS UNIT!D9"")"),"#N/A")</f>
        <v>#N/A</v>
      </c>
      <c r="H20540" s="4" t="str">
        <v/>
      </c>
      <c r="I20540" s="4" t="str">
        <v/>
      </c>
    </row>
    <row r="20541" spans="5:9" ht="16.5" hidden="1">
      <c r="E20541" s="4" t="str">
        <v/>
      </c>
      <c r="F20541" s="102" t="str">
        <f ca="1">IFERROR(__xludf.DUMMYFUNCTION("IMPORTRANGE(H20541,""IDENTITAS UNIT!D9"")"),"#N/A")</f>
        <v>#N/A</v>
      </c>
      <c r="H20541" s="4" t="str">
        <v/>
      </c>
      <c r="I20541" s="4" t="str">
        <v/>
      </c>
    </row>
    <row r="20542" spans="5:9" ht="16.5" hidden="1">
      <c r="E20542" s="4" t="str">
        <v/>
      </c>
      <c r="F20542" s="102" t="str">
        <f ca="1">IFERROR(__xludf.DUMMYFUNCTION("IMPORTRANGE(H20542,""IDENTITAS UNIT!D9"")"),"#N/A")</f>
        <v>#N/A</v>
      </c>
      <c r="H20542" s="4" t="str">
        <v/>
      </c>
      <c r="I20542" s="4" t="str">
        <v/>
      </c>
    </row>
    <row r="20543" spans="5:9" ht="16.5" hidden="1">
      <c r="E20543" s="4" t="str">
        <v/>
      </c>
      <c r="F20543" s="102" t="str">
        <f ca="1">IFERROR(__xludf.DUMMYFUNCTION("IMPORTRANGE(H20543,""IDENTITAS UNIT!D9"")"),"#N/A")</f>
        <v>#N/A</v>
      </c>
      <c r="H20543" s="4" t="str">
        <v/>
      </c>
      <c r="I20543" s="4" t="str">
        <v/>
      </c>
    </row>
    <row r="20544" spans="5:9" ht="16.5" hidden="1">
      <c r="E20544" s="4" t="str">
        <v/>
      </c>
      <c r="F20544" s="102" t="str">
        <f ca="1">IFERROR(__xludf.DUMMYFUNCTION("IMPORTRANGE(H20544,""IDENTITAS UNIT!D9"")"),"#N/A")</f>
        <v>#N/A</v>
      </c>
      <c r="H20544" s="4" t="str">
        <v/>
      </c>
      <c r="I20544" s="4" t="str">
        <v/>
      </c>
    </row>
    <row r="20545" spans="5:9" ht="16.5" hidden="1">
      <c r="E20545" s="4" t="str">
        <v/>
      </c>
      <c r="F20545" s="102" t="str">
        <f ca="1">IFERROR(__xludf.DUMMYFUNCTION("IMPORTRANGE(H20545,""IDENTITAS UNIT!D9"")"),"#N/A")</f>
        <v>#N/A</v>
      </c>
      <c r="H20545" s="4" t="str">
        <v/>
      </c>
      <c r="I20545" s="4" t="str">
        <v/>
      </c>
    </row>
    <row r="20546" spans="5:9" ht="16.5" hidden="1">
      <c r="E20546" s="4" t="str">
        <v/>
      </c>
      <c r="F20546" s="102" t="str">
        <f ca="1">IFERROR(__xludf.DUMMYFUNCTION("IMPORTRANGE(H20546,""IDENTITAS UNIT!D9"")"),"#N/A")</f>
        <v>#N/A</v>
      </c>
      <c r="H20546" s="4" t="str">
        <v/>
      </c>
      <c r="I20546" s="4" t="str">
        <v/>
      </c>
    </row>
    <row r="20547" spans="5:9" ht="16.5" hidden="1">
      <c r="E20547" s="4" t="str">
        <v/>
      </c>
      <c r="F20547" s="102" t="str">
        <f ca="1">IFERROR(__xludf.DUMMYFUNCTION("IMPORTRANGE(H20547,""IDENTITAS UNIT!D9"")"),"#N/A")</f>
        <v>#N/A</v>
      </c>
      <c r="H20547" s="4" t="str">
        <v/>
      </c>
      <c r="I20547" s="4" t="str">
        <v/>
      </c>
    </row>
    <row r="20548" spans="5:9" ht="16.5" hidden="1">
      <c r="E20548" s="4" t="str">
        <v/>
      </c>
      <c r="F20548" s="102" t="str">
        <f ca="1">IFERROR(__xludf.DUMMYFUNCTION("IMPORTRANGE(H20548,""IDENTITAS UNIT!D9"")"),"#N/A")</f>
        <v>#N/A</v>
      </c>
      <c r="H20548" s="4" t="str">
        <v/>
      </c>
      <c r="I20548" s="4" t="str">
        <v/>
      </c>
    </row>
    <row r="20549" spans="5:9" ht="16.5" hidden="1">
      <c r="E20549" s="4" t="str">
        <v/>
      </c>
      <c r="F20549" s="102" t="str">
        <f ca="1">IFERROR(__xludf.DUMMYFUNCTION("IMPORTRANGE(H20549,""IDENTITAS UNIT!D9"")"),"#N/A")</f>
        <v>#N/A</v>
      </c>
      <c r="H20549" s="4" t="str">
        <v/>
      </c>
      <c r="I20549" s="4" t="str">
        <v/>
      </c>
    </row>
    <row r="20550" spans="5:9" ht="16.5" hidden="1">
      <c r="E20550" s="4" t="str">
        <v/>
      </c>
      <c r="F20550" s="102" t="str">
        <f ca="1">IFERROR(__xludf.DUMMYFUNCTION("IMPORTRANGE(H20550,""IDENTITAS UNIT!D9"")"),"#N/A")</f>
        <v>#N/A</v>
      </c>
      <c r="H20550" s="4" t="str">
        <v/>
      </c>
      <c r="I20550" s="4" t="str">
        <v/>
      </c>
    </row>
    <row r="20551" spans="5:9" ht="16.5" hidden="1">
      <c r="E20551" s="4" t="str">
        <v/>
      </c>
      <c r="F20551" s="102" t="str">
        <f ca="1">IFERROR(__xludf.DUMMYFUNCTION("IMPORTRANGE(H20551,""IDENTITAS UNIT!D9"")"),"#N/A")</f>
        <v>#N/A</v>
      </c>
      <c r="H20551" s="4" t="str">
        <v/>
      </c>
      <c r="I20551" s="4" t="str">
        <v/>
      </c>
    </row>
    <row r="20552" spans="5:9" ht="16.5" hidden="1">
      <c r="E20552" s="4" t="str">
        <v/>
      </c>
      <c r="F20552" s="102" t="str">
        <f ca="1">IFERROR(__xludf.DUMMYFUNCTION("IMPORTRANGE(H20552,""IDENTITAS UNIT!D9"")"),"#N/A")</f>
        <v>#N/A</v>
      </c>
      <c r="H20552" s="4" t="str">
        <v/>
      </c>
      <c r="I20552" s="4" t="str">
        <v/>
      </c>
    </row>
    <row r="20553" spans="5:9" ht="16.5" hidden="1">
      <c r="E20553" s="4" t="str">
        <v/>
      </c>
      <c r="F20553" s="102" t="str">
        <f ca="1">IFERROR(__xludf.DUMMYFUNCTION("IMPORTRANGE(H20553,""IDENTITAS UNIT!D9"")"),"#N/A")</f>
        <v>#N/A</v>
      </c>
      <c r="H20553" s="4" t="str">
        <v/>
      </c>
      <c r="I20553" s="4" t="str">
        <v/>
      </c>
    </row>
    <row r="20554" spans="5:9" ht="16.5" hidden="1">
      <c r="E20554" s="4" t="str">
        <v/>
      </c>
      <c r="F20554" s="102" t="str">
        <f ca="1">IFERROR(__xludf.DUMMYFUNCTION("IMPORTRANGE(H20554,""IDENTITAS UNIT!D9"")"),"#N/A")</f>
        <v>#N/A</v>
      </c>
      <c r="H20554" s="4" t="str">
        <v/>
      </c>
      <c r="I20554" s="4" t="str">
        <v/>
      </c>
    </row>
    <row r="20555" spans="5:9" ht="16.5" hidden="1">
      <c r="E20555" s="4" t="str">
        <v/>
      </c>
      <c r="F20555" s="102" t="str">
        <f ca="1">IFERROR(__xludf.DUMMYFUNCTION("IMPORTRANGE(H20555,""IDENTITAS UNIT!D9"")"),"#N/A")</f>
        <v>#N/A</v>
      </c>
      <c r="H20555" s="4" t="str">
        <v/>
      </c>
      <c r="I20555" s="4" t="str">
        <v/>
      </c>
    </row>
    <row r="20556" spans="5:9" ht="16.5" hidden="1">
      <c r="E20556" s="4" t="str">
        <v/>
      </c>
      <c r="F20556" s="102" t="str">
        <f ca="1">IFERROR(__xludf.DUMMYFUNCTION("IMPORTRANGE(H20556,""IDENTITAS UNIT!D9"")"),"#N/A")</f>
        <v>#N/A</v>
      </c>
      <c r="H20556" s="4" t="str">
        <v/>
      </c>
      <c r="I20556" s="4" t="str">
        <v/>
      </c>
    </row>
    <row r="20557" spans="5:9" ht="16.5" hidden="1">
      <c r="E20557" s="4" t="str">
        <v/>
      </c>
      <c r="F20557" s="102" t="str">
        <f ca="1">IFERROR(__xludf.DUMMYFUNCTION("IMPORTRANGE(H20557,""IDENTITAS UNIT!D9"")"),"#N/A")</f>
        <v>#N/A</v>
      </c>
      <c r="H20557" s="4" t="str">
        <v/>
      </c>
      <c r="I20557" s="4" t="str">
        <v/>
      </c>
    </row>
    <row r="20558" spans="5:9" ht="16.5" hidden="1">
      <c r="E20558" s="4" t="str">
        <v/>
      </c>
      <c r="F20558" s="102" t="str">
        <f ca="1">IFERROR(__xludf.DUMMYFUNCTION("IMPORTRANGE(H20558,""IDENTITAS UNIT!D9"")"),"#N/A")</f>
        <v>#N/A</v>
      </c>
      <c r="H20558" s="4" t="str">
        <v/>
      </c>
      <c r="I20558" s="4" t="str">
        <v/>
      </c>
    </row>
    <row r="20559" spans="5:9" ht="16.5" hidden="1">
      <c r="E20559" s="4" t="str">
        <v/>
      </c>
      <c r="F20559" s="102" t="str">
        <f ca="1">IFERROR(__xludf.DUMMYFUNCTION("IMPORTRANGE(H20559,""IDENTITAS UNIT!D9"")"),"#N/A")</f>
        <v>#N/A</v>
      </c>
      <c r="H20559" s="4" t="str">
        <v/>
      </c>
      <c r="I20559" s="4" t="str">
        <v/>
      </c>
    </row>
    <row r="20560" spans="5:9" ht="16.5" hidden="1">
      <c r="E20560" s="4" t="str">
        <v/>
      </c>
      <c r="F20560" s="102" t="str">
        <f ca="1">IFERROR(__xludf.DUMMYFUNCTION("IMPORTRANGE(H20560,""IDENTITAS UNIT!D9"")"),"#N/A")</f>
        <v>#N/A</v>
      </c>
      <c r="H20560" s="4" t="str">
        <v/>
      </c>
      <c r="I20560" s="4" t="str">
        <v/>
      </c>
    </row>
    <row r="20561" spans="5:9" ht="16.5" hidden="1">
      <c r="E20561" s="4" t="str">
        <v/>
      </c>
      <c r="F20561" s="102" t="str">
        <f ca="1">IFERROR(__xludf.DUMMYFUNCTION("IMPORTRANGE(H20561,""IDENTITAS UNIT!D9"")"),"#N/A")</f>
        <v>#N/A</v>
      </c>
      <c r="H20561" s="4" t="str">
        <v/>
      </c>
      <c r="I20561" s="4" t="str">
        <v/>
      </c>
    </row>
    <row r="20562" spans="5:9" ht="16.5" hidden="1">
      <c r="E20562" s="4" t="str">
        <v/>
      </c>
      <c r="F20562" s="102" t="str">
        <f ca="1">IFERROR(__xludf.DUMMYFUNCTION("IMPORTRANGE(H20562,""IDENTITAS UNIT!D9"")"),"#N/A")</f>
        <v>#N/A</v>
      </c>
      <c r="H20562" s="4" t="str">
        <v/>
      </c>
      <c r="I20562" s="4" t="str">
        <v/>
      </c>
    </row>
    <row r="20563" spans="5:9" ht="16.5" hidden="1">
      <c r="E20563" s="4" t="str">
        <v/>
      </c>
      <c r="F20563" s="102" t="str">
        <f ca="1">IFERROR(__xludf.DUMMYFUNCTION("IMPORTRANGE(H20563,""IDENTITAS UNIT!D9"")"),"#N/A")</f>
        <v>#N/A</v>
      </c>
      <c r="H20563" s="4" t="str">
        <v/>
      </c>
      <c r="I20563" s="4" t="str">
        <v/>
      </c>
    </row>
    <row r="20564" spans="5:9" ht="16.5" hidden="1">
      <c r="E20564" s="4" t="str">
        <v/>
      </c>
      <c r="F20564" s="102" t="str">
        <f ca="1">IFERROR(__xludf.DUMMYFUNCTION("IMPORTRANGE(H20564,""IDENTITAS UNIT!D9"")"),"#N/A")</f>
        <v>#N/A</v>
      </c>
      <c r="H20564" s="4" t="str">
        <v/>
      </c>
      <c r="I20564" s="4" t="str">
        <v/>
      </c>
    </row>
    <row r="20565" spans="5:9" ht="16.5" hidden="1">
      <c r="E20565" s="4" t="str">
        <v/>
      </c>
      <c r="F20565" s="102" t="str">
        <f ca="1">IFERROR(__xludf.DUMMYFUNCTION("IMPORTRANGE(H20565,""IDENTITAS UNIT!D9"")"),"#N/A")</f>
        <v>#N/A</v>
      </c>
      <c r="H20565" s="4" t="str">
        <v/>
      </c>
      <c r="I20565" s="4" t="str">
        <v/>
      </c>
    </row>
    <row r="20566" spans="5:9" ht="16.5" hidden="1">
      <c r="E20566" s="4" t="str">
        <v/>
      </c>
      <c r="F20566" s="102" t="str">
        <f ca="1">IFERROR(__xludf.DUMMYFUNCTION("IMPORTRANGE(H20566,""IDENTITAS UNIT!D9"")"),"#N/A")</f>
        <v>#N/A</v>
      </c>
      <c r="H20566" s="4" t="str">
        <v/>
      </c>
      <c r="I20566" s="4" t="str">
        <v/>
      </c>
    </row>
    <row r="20567" spans="5:9" ht="16.5" hidden="1">
      <c r="E20567" s="4" t="str">
        <v/>
      </c>
      <c r="F20567" s="102" t="str">
        <f ca="1">IFERROR(__xludf.DUMMYFUNCTION("IMPORTRANGE(H20567,""IDENTITAS UNIT!D9"")"),"#N/A")</f>
        <v>#N/A</v>
      </c>
      <c r="H20567" s="4" t="str">
        <v/>
      </c>
      <c r="I20567" s="4" t="str">
        <v/>
      </c>
    </row>
    <row r="20568" spans="5:9" ht="16.5" hidden="1">
      <c r="E20568" s="4" t="str">
        <v/>
      </c>
      <c r="F20568" s="102" t="str">
        <f ca="1">IFERROR(__xludf.DUMMYFUNCTION("IMPORTRANGE(H20568,""IDENTITAS UNIT!D9"")"),"#N/A")</f>
        <v>#N/A</v>
      </c>
      <c r="H20568" s="4" t="str">
        <v/>
      </c>
      <c r="I20568" s="4" t="str">
        <v/>
      </c>
    </row>
    <row r="20569" spans="5:9" ht="16.5" hidden="1">
      <c r="E20569" s="4" t="str">
        <v/>
      </c>
      <c r="F20569" s="102" t="str">
        <f ca="1">IFERROR(__xludf.DUMMYFUNCTION("IMPORTRANGE(H20569,""IDENTITAS UNIT!D9"")"),"#N/A")</f>
        <v>#N/A</v>
      </c>
      <c r="H20569" s="4" t="str">
        <v/>
      </c>
      <c r="I20569" s="4" t="str">
        <v/>
      </c>
    </row>
    <row r="20570" spans="5:9" ht="16.5" hidden="1">
      <c r="E20570" s="4" t="str">
        <v/>
      </c>
      <c r="F20570" s="102" t="str">
        <f ca="1">IFERROR(__xludf.DUMMYFUNCTION("IMPORTRANGE(H20570,""IDENTITAS UNIT!D9"")"),"#N/A")</f>
        <v>#N/A</v>
      </c>
      <c r="H20570" s="4" t="str">
        <v/>
      </c>
      <c r="I20570" s="4" t="str">
        <v/>
      </c>
    </row>
    <row r="20571" spans="5:9" ht="16.5" hidden="1">
      <c r="E20571" s="4" t="str">
        <v/>
      </c>
      <c r="F20571" s="102" t="str">
        <f ca="1">IFERROR(__xludf.DUMMYFUNCTION("IMPORTRANGE(H20571,""IDENTITAS UNIT!D9"")"),"#N/A")</f>
        <v>#N/A</v>
      </c>
      <c r="H20571" s="4" t="str">
        <v/>
      </c>
      <c r="I20571" s="4" t="str">
        <v/>
      </c>
    </row>
    <row r="20572" spans="5:9" ht="16.5" hidden="1">
      <c r="E20572" s="4" t="str">
        <v/>
      </c>
      <c r="F20572" s="102" t="str">
        <f ca="1">IFERROR(__xludf.DUMMYFUNCTION("IMPORTRANGE(H20572,""IDENTITAS UNIT!D9"")"),"#N/A")</f>
        <v>#N/A</v>
      </c>
      <c r="H20572" s="4" t="str">
        <v/>
      </c>
      <c r="I20572" s="4" t="str">
        <v/>
      </c>
    </row>
    <row r="20573" spans="5:9" ht="16.5" hidden="1">
      <c r="E20573" s="4" t="str">
        <v/>
      </c>
      <c r="F20573" s="102" t="str">
        <f ca="1">IFERROR(__xludf.DUMMYFUNCTION("IMPORTRANGE(H20573,""IDENTITAS UNIT!D9"")"),"#N/A")</f>
        <v>#N/A</v>
      </c>
      <c r="H20573" s="4" t="str">
        <v/>
      </c>
      <c r="I20573" s="4" t="str">
        <v/>
      </c>
    </row>
    <row r="20574" spans="5:9" ht="16.5" hidden="1">
      <c r="E20574" s="4" t="str">
        <v/>
      </c>
      <c r="F20574" s="102" t="str">
        <f ca="1">IFERROR(__xludf.DUMMYFUNCTION("IMPORTRANGE(H20574,""IDENTITAS UNIT!D9"")"),"#N/A")</f>
        <v>#N/A</v>
      </c>
      <c r="H20574" s="4" t="str">
        <v/>
      </c>
      <c r="I20574" s="4" t="str">
        <v/>
      </c>
    </row>
    <row r="20575" spans="5:9" ht="16.5" hidden="1">
      <c r="E20575" s="4" t="str">
        <v/>
      </c>
      <c r="F20575" s="102" t="str">
        <f ca="1">IFERROR(__xludf.DUMMYFUNCTION("IMPORTRANGE(H20575,""IDENTITAS UNIT!D9"")"),"#N/A")</f>
        <v>#N/A</v>
      </c>
      <c r="H20575" s="4" t="str">
        <v/>
      </c>
      <c r="I20575" s="4" t="str">
        <v/>
      </c>
    </row>
    <row r="20576" spans="5:9" ht="16.5" hidden="1">
      <c r="E20576" s="4" t="str">
        <v/>
      </c>
      <c r="F20576" s="102" t="str">
        <f ca="1">IFERROR(__xludf.DUMMYFUNCTION("IMPORTRANGE(H20576,""IDENTITAS UNIT!D9"")"),"#N/A")</f>
        <v>#N/A</v>
      </c>
      <c r="H20576" s="4" t="str">
        <v/>
      </c>
      <c r="I20576" s="4" t="str">
        <v/>
      </c>
    </row>
    <row r="20577" spans="5:9" ht="16.5" hidden="1">
      <c r="E20577" s="4" t="str">
        <v/>
      </c>
      <c r="F20577" s="102" t="str">
        <f ca="1">IFERROR(__xludf.DUMMYFUNCTION("IMPORTRANGE(H20577,""IDENTITAS UNIT!D9"")"),"#N/A")</f>
        <v>#N/A</v>
      </c>
      <c r="H20577" s="4" t="str">
        <v/>
      </c>
      <c r="I20577" s="4" t="str">
        <v/>
      </c>
    </row>
    <row r="20578" spans="5:9" ht="16.5" hidden="1">
      <c r="E20578" s="4" t="str">
        <v/>
      </c>
      <c r="F20578" s="102" t="str">
        <f ca="1">IFERROR(__xludf.DUMMYFUNCTION("IMPORTRANGE(H20578,""IDENTITAS UNIT!D9"")"),"#N/A")</f>
        <v>#N/A</v>
      </c>
      <c r="H20578" s="4" t="str">
        <v/>
      </c>
      <c r="I20578" s="4" t="str">
        <v/>
      </c>
    </row>
    <row r="20579" spans="5:9" ht="16.5" hidden="1">
      <c r="E20579" s="4" t="str">
        <v/>
      </c>
      <c r="F20579" s="102" t="str">
        <f ca="1">IFERROR(__xludf.DUMMYFUNCTION("IMPORTRANGE(H20579,""IDENTITAS UNIT!D9"")"),"#N/A")</f>
        <v>#N/A</v>
      </c>
      <c r="H20579" s="4" t="str">
        <v/>
      </c>
      <c r="I20579" s="4" t="str">
        <v/>
      </c>
    </row>
    <row r="20580" spans="5:9" ht="16.5" hidden="1">
      <c r="E20580" s="4" t="str">
        <v/>
      </c>
      <c r="F20580" s="102" t="str">
        <f ca="1">IFERROR(__xludf.DUMMYFUNCTION("IMPORTRANGE(H20580,""IDENTITAS UNIT!D9"")"),"#N/A")</f>
        <v>#N/A</v>
      </c>
      <c r="H20580" s="4" t="str">
        <v/>
      </c>
      <c r="I20580" s="4" t="str">
        <v/>
      </c>
    </row>
    <row r="20581" spans="5:9" ht="16.5" hidden="1">
      <c r="E20581" s="4" t="str">
        <v/>
      </c>
      <c r="F20581" s="102" t="str">
        <f ca="1">IFERROR(__xludf.DUMMYFUNCTION("IMPORTRANGE(H20581,""IDENTITAS UNIT!D9"")"),"#N/A")</f>
        <v>#N/A</v>
      </c>
      <c r="H20581" s="4" t="str">
        <v/>
      </c>
      <c r="I20581" s="4" t="str">
        <v/>
      </c>
    </row>
    <row r="20582" spans="5:9" ht="16.5" hidden="1">
      <c r="E20582" s="4" t="str">
        <v/>
      </c>
      <c r="F20582" s="102" t="str">
        <f ca="1">IFERROR(__xludf.DUMMYFUNCTION("IMPORTRANGE(H20582,""IDENTITAS UNIT!D9"")"),"#N/A")</f>
        <v>#N/A</v>
      </c>
      <c r="H20582" s="4" t="str">
        <v/>
      </c>
      <c r="I20582" s="4" t="str">
        <v/>
      </c>
    </row>
    <row r="20583" spans="5:9" ht="16.5" hidden="1">
      <c r="E20583" s="4" t="str">
        <v/>
      </c>
      <c r="F20583" s="102" t="str">
        <f ca="1">IFERROR(__xludf.DUMMYFUNCTION("IMPORTRANGE(H20583,""IDENTITAS UNIT!D9"")"),"#N/A")</f>
        <v>#N/A</v>
      </c>
      <c r="H20583" s="4" t="str">
        <v/>
      </c>
      <c r="I20583" s="4" t="str">
        <v/>
      </c>
    </row>
    <row r="20584" spans="5:9" ht="16.5" hidden="1">
      <c r="E20584" s="4" t="str">
        <v/>
      </c>
      <c r="F20584" s="102" t="str">
        <f ca="1">IFERROR(__xludf.DUMMYFUNCTION("IMPORTRANGE(H20584,""IDENTITAS UNIT!D9"")"),"#N/A")</f>
        <v>#N/A</v>
      </c>
      <c r="H20584" s="4" t="str">
        <v/>
      </c>
      <c r="I20584" s="4" t="str">
        <v/>
      </c>
    </row>
    <row r="20585" spans="5:9" ht="16.5" hidden="1">
      <c r="E20585" s="4" t="str">
        <v/>
      </c>
      <c r="F20585" s="102" t="str">
        <f ca="1">IFERROR(__xludf.DUMMYFUNCTION("IMPORTRANGE(H20585,""IDENTITAS UNIT!D9"")"),"#N/A")</f>
        <v>#N/A</v>
      </c>
      <c r="H20585" s="4" t="str">
        <v/>
      </c>
      <c r="I20585" s="4" t="str">
        <v/>
      </c>
    </row>
    <row r="20586" spans="5:9" ht="16.5" hidden="1">
      <c r="E20586" s="4" t="str">
        <v/>
      </c>
      <c r="F20586" s="102" t="str">
        <f ca="1">IFERROR(__xludf.DUMMYFUNCTION("IMPORTRANGE(H20586,""IDENTITAS UNIT!D9"")"),"#N/A")</f>
        <v>#N/A</v>
      </c>
      <c r="H20586" s="4" t="str">
        <v/>
      </c>
      <c r="I20586" s="4" t="str">
        <v/>
      </c>
    </row>
    <row r="20587" spans="5:9" ht="16.5" hidden="1">
      <c r="E20587" s="4" t="str">
        <v/>
      </c>
      <c r="F20587" s="102" t="str">
        <f ca="1">IFERROR(__xludf.DUMMYFUNCTION("IMPORTRANGE(H20587,""IDENTITAS UNIT!D9"")"),"#N/A")</f>
        <v>#N/A</v>
      </c>
      <c r="H20587" s="4" t="str">
        <v/>
      </c>
      <c r="I20587" s="4" t="str">
        <v/>
      </c>
    </row>
    <row r="20588" spans="5:9" ht="16.5" hidden="1">
      <c r="E20588" s="4" t="str">
        <v/>
      </c>
      <c r="F20588" s="102" t="str">
        <f ca="1">IFERROR(__xludf.DUMMYFUNCTION("IMPORTRANGE(H20588,""IDENTITAS UNIT!D9"")"),"#N/A")</f>
        <v>#N/A</v>
      </c>
      <c r="H20588" s="4" t="str">
        <v/>
      </c>
      <c r="I20588" s="4" t="str">
        <v/>
      </c>
    </row>
    <row r="20589" spans="5:9" ht="16.5" hidden="1">
      <c r="E20589" s="4" t="str">
        <v/>
      </c>
      <c r="F20589" s="102" t="str">
        <f ca="1">IFERROR(__xludf.DUMMYFUNCTION("IMPORTRANGE(H20589,""IDENTITAS UNIT!D9"")"),"#N/A")</f>
        <v>#N/A</v>
      </c>
      <c r="H20589" s="4" t="str">
        <v/>
      </c>
      <c r="I20589" s="4" t="str">
        <v/>
      </c>
    </row>
    <row r="20590" spans="5:9" ht="16.5" hidden="1">
      <c r="E20590" s="4" t="str">
        <v/>
      </c>
      <c r="F20590" s="102" t="str">
        <f ca="1">IFERROR(__xludf.DUMMYFUNCTION("IMPORTRANGE(H20590,""IDENTITAS UNIT!D9"")"),"#N/A")</f>
        <v>#N/A</v>
      </c>
      <c r="H20590" s="4" t="str">
        <v/>
      </c>
      <c r="I20590" s="4" t="str">
        <v/>
      </c>
    </row>
    <row r="20591" spans="5:9" ht="16.5" hidden="1">
      <c r="E20591" s="4" t="str">
        <v/>
      </c>
      <c r="F20591" s="102" t="str">
        <f ca="1">IFERROR(__xludf.DUMMYFUNCTION("IMPORTRANGE(H20591,""IDENTITAS UNIT!D9"")"),"#N/A")</f>
        <v>#N/A</v>
      </c>
      <c r="H20591" s="4" t="str">
        <v/>
      </c>
      <c r="I20591" s="4" t="str">
        <v/>
      </c>
    </row>
    <row r="20592" spans="5:9" ht="16.5" hidden="1">
      <c r="E20592" s="4" t="str">
        <v/>
      </c>
      <c r="F20592" s="102" t="str">
        <f ca="1">IFERROR(__xludf.DUMMYFUNCTION("IMPORTRANGE(H20592,""IDENTITAS UNIT!D9"")"),"#N/A")</f>
        <v>#N/A</v>
      </c>
      <c r="H20592" s="4" t="str">
        <v/>
      </c>
      <c r="I20592" s="4" t="str">
        <v/>
      </c>
    </row>
    <row r="20593" spans="5:9" ht="16.5" hidden="1">
      <c r="E20593" s="4" t="str">
        <v/>
      </c>
      <c r="F20593" s="102" t="str">
        <f ca="1">IFERROR(__xludf.DUMMYFUNCTION("IMPORTRANGE(H20593,""IDENTITAS UNIT!D9"")"),"#N/A")</f>
        <v>#N/A</v>
      </c>
      <c r="H20593" s="4" t="str">
        <v/>
      </c>
      <c r="I20593" s="4" t="str">
        <v/>
      </c>
    </row>
    <row r="20594" spans="5:9" ht="16.5" hidden="1">
      <c r="E20594" s="4" t="str">
        <v/>
      </c>
      <c r="F20594" s="102" t="str">
        <f ca="1">IFERROR(__xludf.DUMMYFUNCTION("IMPORTRANGE(H20594,""IDENTITAS UNIT!D9"")"),"#N/A")</f>
        <v>#N/A</v>
      </c>
      <c r="H20594" s="4" t="str">
        <v/>
      </c>
      <c r="I20594" s="4" t="str">
        <v/>
      </c>
    </row>
    <row r="20595" spans="5:9" ht="16.5" hidden="1">
      <c r="E20595" s="4" t="str">
        <v/>
      </c>
      <c r="F20595" s="102" t="str">
        <f ca="1">IFERROR(__xludf.DUMMYFUNCTION("IMPORTRANGE(H20595,""IDENTITAS UNIT!D9"")"),"#N/A")</f>
        <v>#N/A</v>
      </c>
      <c r="H20595" s="4" t="str">
        <v/>
      </c>
      <c r="I20595" s="4" t="str">
        <v/>
      </c>
    </row>
    <row r="20596" spans="5:9" ht="16.5" hidden="1">
      <c r="E20596" s="4" t="str">
        <v/>
      </c>
      <c r="F20596" s="102" t="str">
        <f ca="1">IFERROR(__xludf.DUMMYFUNCTION("IMPORTRANGE(H20596,""IDENTITAS UNIT!D9"")"),"#N/A")</f>
        <v>#N/A</v>
      </c>
      <c r="H20596" s="4" t="str">
        <v/>
      </c>
      <c r="I20596" s="4" t="str">
        <v/>
      </c>
    </row>
    <row r="20597" spans="5:9" ht="16.5" hidden="1">
      <c r="E20597" s="4" t="str">
        <v/>
      </c>
      <c r="F20597" s="102" t="str">
        <f ca="1">IFERROR(__xludf.DUMMYFUNCTION("IMPORTRANGE(H20597,""IDENTITAS UNIT!D9"")"),"#N/A")</f>
        <v>#N/A</v>
      </c>
      <c r="H20597" s="4" t="str">
        <v/>
      </c>
      <c r="I20597" s="4" t="str">
        <v/>
      </c>
    </row>
    <row r="20598" spans="5:9" ht="16.5" hidden="1">
      <c r="E20598" s="4" t="str">
        <v/>
      </c>
      <c r="F20598" s="102" t="str">
        <f ca="1">IFERROR(__xludf.DUMMYFUNCTION("IMPORTRANGE(H20598,""IDENTITAS UNIT!D9"")"),"#N/A")</f>
        <v>#N/A</v>
      </c>
      <c r="H20598" s="4" t="str">
        <v/>
      </c>
      <c r="I20598" s="4" t="str">
        <v/>
      </c>
    </row>
    <row r="20599" spans="5:9" ht="16.5" hidden="1">
      <c r="E20599" s="4" t="str">
        <v/>
      </c>
      <c r="F20599" s="102" t="str">
        <f ca="1">IFERROR(__xludf.DUMMYFUNCTION("IMPORTRANGE(H20599,""IDENTITAS UNIT!D9"")"),"#N/A")</f>
        <v>#N/A</v>
      </c>
      <c r="H20599" s="4" t="str">
        <v/>
      </c>
      <c r="I20599" s="4" t="str">
        <v/>
      </c>
    </row>
    <row r="20600" spans="5:9" ht="16.5" hidden="1">
      <c r="E20600" s="4" t="str">
        <v/>
      </c>
      <c r="F20600" s="102" t="str">
        <f ca="1">IFERROR(__xludf.DUMMYFUNCTION("IMPORTRANGE(H20600,""IDENTITAS UNIT!D9"")"),"#N/A")</f>
        <v>#N/A</v>
      </c>
      <c r="H20600" s="4" t="str">
        <v/>
      </c>
      <c r="I20600" s="4" t="str">
        <v/>
      </c>
    </row>
    <row r="20601" spans="5:9" ht="16.5" hidden="1">
      <c r="E20601" s="4" t="str">
        <v/>
      </c>
      <c r="F20601" s="102" t="str">
        <f ca="1">IFERROR(__xludf.DUMMYFUNCTION("IMPORTRANGE(H20601,""IDENTITAS UNIT!D9"")"),"#N/A")</f>
        <v>#N/A</v>
      </c>
      <c r="H20601" s="4" t="str">
        <v/>
      </c>
      <c r="I20601" s="4" t="str">
        <v/>
      </c>
    </row>
    <row r="20602" spans="5:9" ht="16.5" hidden="1">
      <c r="E20602" s="4" t="str">
        <v/>
      </c>
      <c r="F20602" s="102" t="str">
        <f ca="1">IFERROR(__xludf.DUMMYFUNCTION("IMPORTRANGE(H20602,""IDENTITAS UNIT!D9"")"),"#N/A")</f>
        <v>#N/A</v>
      </c>
      <c r="H20602" s="4" t="str">
        <v/>
      </c>
      <c r="I20602" s="4" t="str">
        <v/>
      </c>
    </row>
    <row r="20603" spans="5:9" ht="16.5" hidden="1">
      <c r="E20603" s="4" t="str">
        <v/>
      </c>
      <c r="F20603" s="102" t="str">
        <f ca="1">IFERROR(__xludf.DUMMYFUNCTION("IMPORTRANGE(H20603,""IDENTITAS UNIT!D9"")"),"#N/A")</f>
        <v>#N/A</v>
      </c>
      <c r="H20603" s="4" t="str">
        <v/>
      </c>
      <c r="I20603" s="4" t="str">
        <v/>
      </c>
    </row>
    <row r="20604" spans="5:9" ht="16.5" hidden="1">
      <c r="E20604" s="4" t="str">
        <v/>
      </c>
      <c r="F20604" s="102" t="str">
        <f ca="1">IFERROR(__xludf.DUMMYFUNCTION("IMPORTRANGE(H20604,""IDENTITAS UNIT!D9"")"),"#N/A")</f>
        <v>#N/A</v>
      </c>
      <c r="H20604" s="4" t="str">
        <v/>
      </c>
      <c r="I20604" s="4" t="str">
        <v/>
      </c>
    </row>
    <row r="20605" spans="5:9" ht="16.5" hidden="1">
      <c r="E20605" s="4" t="str">
        <v/>
      </c>
      <c r="F20605" s="102" t="str">
        <f ca="1">IFERROR(__xludf.DUMMYFUNCTION("IMPORTRANGE(H20605,""IDENTITAS UNIT!D9"")"),"#N/A")</f>
        <v>#N/A</v>
      </c>
      <c r="H20605" s="4" t="str">
        <v/>
      </c>
      <c r="I20605" s="4" t="str">
        <v/>
      </c>
    </row>
    <row r="20606" spans="5:9" ht="16.5" hidden="1">
      <c r="E20606" s="4" t="str">
        <v/>
      </c>
      <c r="F20606" s="102" t="str">
        <f ca="1">IFERROR(__xludf.DUMMYFUNCTION("IMPORTRANGE(H20606,""IDENTITAS UNIT!D9"")"),"#N/A")</f>
        <v>#N/A</v>
      </c>
      <c r="H20606" s="4" t="str">
        <v/>
      </c>
      <c r="I20606" s="4" t="str">
        <v/>
      </c>
    </row>
    <row r="20607" spans="5:9" ht="16.5" hidden="1">
      <c r="E20607" s="4" t="str">
        <v/>
      </c>
      <c r="F20607" s="102" t="str">
        <f ca="1">IFERROR(__xludf.DUMMYFUNCTION("IMPORTRANGE(H20607,""IDENTITAS UNIT!D9"")"),"#N/A")</f>
        <v>#N/A</v>
      </c>
      <c r="H20607" s="4" t="str">
        <v/>
      </c>
      <c r="I20607" s="4" t="str">
        <v/>
      </c>
    </row>
    <row r="20608" spans="5:9" ht="16.5" hidden="1">
      <c r="E20608" s="4" t="str">
        <v/>
      </c>
      <c r="F20608" s="102" t="str">
        <f ca="1">IFERROR(__xludf.DUMMYFUNCTION("IMPORTRANGE(H20608,""IDENTITAS UNIT!D9"")"),"#N/A")</f>
        <v>#N/A</v>
      </c>
      <c r="H20608" s="4" t="str">
        <v/>
      </c>
      <c r="I20608" s="4" t="str">
        <v/>
      </c>
    </row>
    <row r="20609" spans="5:9" ht="16.5" hidden="1">
      <c r="E20609" s="4" t="str">
        <v/>
      </c>
      <c r="F20609" s="102" t="str">
        <f ca="1">IFERROR(__xludf.DUMMYFUNCTION("IMPORTRANGE(H20609,""IDENTITAS UNIT!D9"")"),"#N/A")</f>
        <v>#N/A</v>
      </c>
      <c r="H20609" s="4" t="str">
        <v/>
      </c>
      <c r="I20609" s="4" t="str">
        <v/>
      </c>
    </row>
    <row r="20610" spans="5:9" ht="16.5" hidden="1">
      <c r="E20610" s="4" t="str">
        <v/>
      </c>
      <c r="F20610" s="102" t="str">
        <f ca="1">IFERROR(__xludf.DUMMYFUNCTION("IMPORTRANGE(H20610,""IDENTITAS UNIT!D9"")"),"#N/A")</f>
        <v>#N/A</v>
      </c>
      <c r="H20610" s="4" t="str">
        <v/>
      </c>
      <c r="I20610" s="4" t="str">
        <v/>
      </c>
    </row>
    <row r="20611" spans="5:9" ht="16.5" hidden="1">
      <c r="E20611" s="4" t="str">
        <v/>
      </c>
      <c r="F20611" s="102" t="str">
        <f ca="1">IFERROR(__xludf.DUMMYFUNCTION("IMPORTRANGE(H20611,""IDENTITAS UNIT!D9"")"),"#N/A")</f>
        <v>#N/A</v>
      </c>
      <c r="H20611" s="4" t="str">
        <v/>
      </c>
      <c r="I20611" s="4" t="str">
        <v/>
      </c>
    </row>
    <row r="20612" spans="5:9" ht="16.5" hidden="1">
      <c r="E20612" s="4" t="str">
        <v/>
      </c>
      <c r="F20612" s="102" t="str">
        <f ca="1">IFERROR(__xludf.DUMMYFUNCTION("IMPORTRANGE(H20612,""IDENTITAS UNIT!D9"")"),"#N/A")</f>
        <v>#N/A</v>
      </c>
      <c r="H20612" s="4" t="str">
        <v/>
      </c>
      <c r="I20612" s="4" t="str">
        <v/>
      </c>
    </row>
    <row r="20613" spans="5:9" ht="16.5" hidden="1">
      <c r="E20613" s="4" t="str">
        <v/>
      </c>
      <c r="F20613" s="102" t="str">
        <f ca="1">IFERROR(__xludf.DUMMYFUNCTION("IMPORTRANGE(H20613,""IDENTITAS UNIT!D9"")"),"#N/A")</f>
        <v>#N/A</v>
      </c>
      <c r="H20613" s="4" t="str">
        <v/>
      </c>
      <c r="I20613" s="4" t="str">
        <v/>
      </c>
    </row>
    <row r="20614" spans="5:9" ht="16.5" hidden="1">
      <c r="E20614" s="4" t="str">
        <v/>
      </c>
      <c r="F20614" s="102" t="str">
        <f ca="1">IFERROR(__xludf.DUMMYFUNCTION("IMPORTRANGE(H20614,""IDENTITAS UNIT!D9"")"),"#N/A")</f>
        <v>#N/A</v>
      </c>
      <c r="H20614" s="4" t="str">
        <v/>
      </c>
      <c r="I20614" s="4" t="str">
        <v/>
      </c>
    </row>
    <row r="20615" spans="5:9" ht="16.5" hidden="1">
      <c r="E20615" s="4" t="str">
        <v/>
      </c>
      <c r="F20615" s="102" t="str">
        <f ca="1">IFERROR(__xludf.DUMMYFUNCTION("IMPORTRANGE(H20615,""IDENTITAS UNIT!D9"")"),"#N/A")</f>
        <v>#N/A</v>
      </c>
      <c r="H20615" s="4" t="str">
        <v/>
      </c>
      <c r="I20615" s="4" t="str">
        <v/>
      </c>
    </row>
    <row r="20616" spans="5:9" ht="16.5" hidden="1">
      <c r="E20616" s="4" t="str">
        <v/>
      </c>
      <c r="F20616" s="102" t="str">
        <f ca="1">IFERROR(__xludf.DUMMYFUNCTION("IMPORTRANGE(H20616,""IDENTITAS UNIT!D9"")"),"#N/A")</f>
        <v>#N/A</v>
      </c>
      <c r="H20616" s="4" t="str">
        <v/>
      </c>
      <c r="I20616" s="4" t="str">
        <v/>
      </c>
    </row>
    <row r="20617" spans="5:9" ht="16.5" hidden="1">
      <c r="E20617" s="4" t="str">
        <v/>
      </c>
      <c r="F20617" s="102" t="str">
        <f ca="1">IFERROR(__xludf.DUMMYFUNCTION("IMPORTRANGE(H20617,""IDENTITAS UNIT!D9"")"),"#N/A")</f>
        <v>#N/A</v>
      </c>
      <c r="H20617" s="4" t="str">
        <v/>
      </c>
      <c r="I20617" s="4" t="str">
        <v/>
      </c>
    </row>
    <row r="20618" spans="5:9" ht="16.5" hidden="1">
      <c r="E20618" s="4" t="str">
        <v/>
      </c>
      <c r="F20618" s="102" t="str">
        <f ca="1">IFERROR(__xludf.DUMMYFUNCTION("IMPORTRANGE(H20618,""IDENTITAS UNIT!D9"")"),"#N/A")</f>
        <v>#N/A</v>
      </c>
      <c r="H20618" s="4" t="str">
        <v/>
      </c>
      <c r="I20618" s="4" t="str">
        <v/>
      </c>
    </row>
    <row r="20619" spans="5:9" ht="16.5" hidden="1">
      <c r="E20619" s="4" t="str">
        <v/>
      </c>
      <c r="F20619" s="102" t="str">
        <f ca="1">IFERROR(__xludf.DUMMYFUNCTION("IMPORTRANGE(H20619,""IDENTITAS UNIT!D9"")"),"#N/A")</f>
        <v>#N/A</v>
      </c>
      <c r="H20619" s="4" t="str">
        <v/>
      </c>
      <c r="I20619" s="4" t="str">
        <v/>
      </c>
    </row>
    <row r="20620" spans="5:9" ht="16.5" hidden="1">
      <c r="E20620" s="4" t="str">
        <v/>
      </c>
      <c r="F20620" s="102" t="str">
        <f ca="1">IFERROR(__xludf.DUMMYFUNCTION("IMPORTRANGE(H20620,""IDENTITAS UNIT!D9"")"),"#N/A")</f>
        <v>#N/A</v>
      </c>
      <c r="H20620" s="4" t="str">
        <v/>
      </c>
      <c r="I20620" s="4" t="str">
        <v/>
      </c>
    </row>
    <row r="20621" spans="5:9" ht="16.5" hidden="1">
      <c r="E20621" s="4" t="str">
        <v/>
      </c>
      <c r="F20621" s="102" t="str">
        <f ca="1">IFERROR(__xludf.DUMMYFUNCTION("IMPORTRANGE(H20621,""IDENTITAS UNIT!D9"")"),"#N/A")</f>
        <v>#N/A</v>
      </c>
      <c r="H20621" s="4" t="str">
        <v/>
      </c>
      <c r="I20621" s="4" t="str">
        <v/>
      </c>
    </row>
    <row r="20622" spans="5:9" ht="16.5" hidden="1">
      <c r="E20622" s="4" t="str">
        <v/>
      </c>
      <c r="F20622" s="102" t="str">
        <f ca="1">IFERROR(__xludf.DUMMYFUNCTION("IMPORTRANGE(H20622,""IDENTITAS UNIT!D9"")"),"#N/A")</f>
        <v>#N/A</v>
      </c>
      <c r="H20622" s="4" t="str">
        <v/>
      </c>
      <c r="I20622" s="4" t="str">
        <v/>
      </c>
    </row>
    <row r="20623" spans="5:9" ht="16.5" hidden="1">
      <c r="E20623" s="4" t="str">
        <v/>
      </c>
      <c r="F20623" s="102" t="str">
        <f ca="1">IFERROR(__xludf.DUMMYFUNCTION("IMPORTRANGE(H20623,""IDENTITAS UNIT!D9"")"),"#N/A")</f>
        <v>#N/A</v>
      </c>
      <c r="H20623" s="4" t="str">
        <v/>
      </c>
      <c r="I20623" s="4" t="str">
        <v/>
      </c>
    </row>
    <row r="20624" spans="5:9" ht="16.5" hidden="1">
      <c r="E20624" s="4" t="str">
        <v/>
      </c>
      <c r="F20624" s="102" t="str">
        <f ca="1">IFERROR(__xludf.DUMMYFUNCTION("IMPORTRANGE(H20624,""IDENTITAS UNIT!D9"")"),"#N/A")</f>
        <v>#N/A</v>
      </c>
      <c r="H20624" s="4" t="str">
        <v/>
      </c>
      <c r="I20624" s="4" t="str">
        <v/>
      </c>
    </row>
    <row r="20625" spans="5:9" ht="16.5" hidden="1">
      <c r="E20625" s="4" t="str">
        <v/>
      </c>
      <c r="F20625" s="102" t="str">
        <f ca="1">IFERROR(__xludf.DUMMYFUNCTION("IMPORTRANGE(H20625,""IDENTITAS UNIT!D9"")"),"#N/A")</f>
        <v>#N/A</v>
      </c>
      <c r="H20625" s="4" t="str">
        <v/>
      </c>
      <c r="I20625" s="4" t="str">
        <v/>
      </c>
    </row>
    <row r="20626" spans="5:9" ht="16.5" hidden="1">
      <c r="E20626" s="4" t="str">
        <v/>
      </c>
      <c r="F20626" s="102" t="str">
        <f ca="1">IFERROR(__xludf.DUMMYFUNCTION("IMPORTRANGE(H20626,""IDENTITAS UNIT!D9"")"),"#N/A")</f>
        <v>#N/A</v>
      </c>
      <c r="H20626" s="4" t="str">
        <v/>
      </c>
      <c r="I20626" s="4" t="str">
        <v/>
      </c>
    </row>
    <row r="20627" spans="5:9" ht="16.5" hidden="1">
      <c r="E20627" s="4" t="str">
        <v/>
      </c>
      <c r="F20627" s="102" t="str">
        <f ca="1">IFERROR(__xludf.DUMMYFUNCTION("IMPORTRANGE(H20627,""IDENTITAS UNIT!D9"")"),"#N/A")</f>
        <v>#N/A</v>
      </c>
      <c r="H20627" s="4" t="str">
        <v/>
      </c>
      <c r="I20627" s="4" t="str">
        <v/>
      </c>
    </row>
    <row r="20628" spans="5:9" ht="16.5" hidden="1">
      <c r="E20628" s="4" t="str">
        <v/>
      </c>
      <c r="F20628" s="102" t="str">
        <f ca="1">IFERROR(__xludf.DUMMYFUNCTION("IMPORTRANGE(H20628,""IDENTITAS UNIT!D9"")"),"#N/A")</f>
        <v>#N/A</v>
      </c>
      <c r="H20628" s="4" t="str">
        <v/>
      </c>
      <c r="I20628" s="4" t="str">
        <v/>
      </c>
    </row>
    <row r="20629" spans="5:9" ht="16.5" hidden="1">
      <c r="E20629" s="4" t="str">
        <v/>
      </c>
      <c r="F20629" s="102" t="str">
        <f ca="1">IFERROR(__xludf.DUMMYFUNCTION("IMPORTRANGE(H20629,""IDENTITAS UNIT!D9"")"),"#N/A")</f>
        <v>#N/A</v>
      </c>
      <c r="H20629" s="4" t="str">
        <v/>
      </c>
      <c r="I20629" s="4" t="str">
        <v/>
      </c>
    </row>
    <row r="20630" spans="5:9" ht="16.5" hidden="1">
      <c r="E20630" s="4" t="str">
        <v/>
      </c>
      <c r="F20630" s="102" t="str">
        <f ca="1">IFERROR(__xludf.DUMMYFUNCTION("IMPORTRANGE(H20630,""IDENTITAS UNIT!D9"")"),"#N/A")</f>
        <v>#N/A</v>
      </c>
      <c r="H20630" s="4" t="str">
        <v/>
      </c>
      <c r="I20630" s="4" t="str">
        <v/>
      </c>
    </row>
    <row r="20631" spans="5:9" ht="16.5" hidden="1">
      <c r="E20631" s="4" t="str">
        <v/>
      </c>
      <c r="F20631" s="102" t="str">
        <f ca="1">IFERROR(__xludf.DUMMYFUNCTION("IMPORTRANGE(H20631,""IDENTITAS UNIT!D9"")"),"#N/A")</f>
        <v>#N/A</v>
      </c>
      <c r="H20631" s="4" t="str">
        <v/>
      </c>
      <c r="I20631" s="4" t="str">
        <v/>
      </c>
    </row>
    <row r="20632" spans="5:9" ht="16.5" hidden="1">
      <c r="E20632" s="4" t="str">
        <v/>
      </c>
      <c r="F20632" s="102" t="str">
        <f ca="1">IFERROR(__xludf.DUMMYFUNCTION("IMPORTRANGE(H20632,""IDENTITAS UNIT!D9"")"),"#N/A")</f>
        <v>#N/A</v>
      </c>
      <c r="H20632" s="4" t="str">
        <v/>
      </c>
      <c r="I20632" s="4" t="str">
        <v/>
      </c>
    </row>
    <row r="20633" spans="5:9" ht="16.5" hidden="1">
      <c r="E20633" s="4" t="str">
        <v/>
      </c>
      <c r="F20633" s="102" t="str">
        <f ca="1">IFERROR(__xludf.DUMMYFUNCTION("IMPORTRANGE(H20633,""IDENTITAS UNIT!D9"")"),"#N/A")</f>
        <v>#N/A</v>
      </c>
      <c r="H20633" s="4" t="str">
        <v/>
      </c>
      <c r="I20633" s="4" t="str">
        <v/>
      </c>
    </row>
    <row r="20634" spans="5:9" ht="16.5" hidden="1">
      <c r="E20634" s="4" t="str">
        <v/>
      </c>
      <c r="F20634" s="102" t="str">
        <f ca="1">IFERROR(__xludf.DUMMYFUNCTION("IMPORTRANGE(H20634,""IDENTITAS UNIT!D9"")"),"#N/A")</f>
        <v>#N/A</v>
      </c>
      <c r="H20634" s="4" t="str">
        <v/>
      </c>
      <c r="I20634" s="4" t="str">
        <v/>
      </c>
    </row>
    <row r="20635" spans="5:9" ht="16.5" hidden="1">
      <c r="E20635" s="4" t="str">
        <v/>
      </c>
      <c r="F20635" s="102" t="str">
        <f ca="1">IFERROR(__xludf.DUMMYFUNCTION("IMPORTRANGE(H20635,""IDENTITAS UNIT!D9"")"),"#N/A")</f>
        <v>#N/A</v>
      </c>
      <c r="H20635" s="4" t="str">
        <v/>
      </c>
      <c r="I20635" s="4" t="str">
        <v/>
      </c>
    </row>
    <row r="20636" spans="5:9" ht="16.5" hidden="1">
      <c r="E20636" s="4" t="str">
        <v/>
      </c>
      <c r="F20636" s="102" t="str">
        <f ca="1">IFERROR(__xludf.DUMMYFUNCTION("IMPORTRANGE(H20636,""IDENTITAS UNIT!D9"")"),"#N/A")</f>
        <v>#N/A</v>
      </c>
      <c r="H20636" s="4" t="str">
        <v/>
      </c>
      <c r="I20636" s="4" t="str">
        <v/>
      </c>
    </row>
    <row r="20637" spans="5:9" ht="16.5" hidden="1">
      <c r="E20637" s="4" t="str">
        <v/>
      </c>
      <c r="F20637" s="102" t="str">
        <f ca="1">IFERROR(__xludf.DUMMYFUNCTION("IMPORTRANGE(H20637,""IDENTITAS UNIT!D9"")"),"#N/A")</f>
        <v>#N/A</v>
      </c>
      <c r="H20637" s="4" t="str">
        <v/>
      </c>
      <c r="I20637" s="4" t="str">
        <v/>
      </c>
    </row>
    <row r="20638" spans="5:9" ht="16.5" hidden="1">
      <c r="E20638" s="4" t="str">
        <v/>
      </c>
      <c r="F20638" s="102" t="str">
        <f ca="1">IFERROR(__xludf.DUMMYFUNCTION("IMPORTRANGE(H20638,""IDENTITAS UNIT!D9"")"),"#N/A")</f>
        <v>#N/A</v>
      </c>
      <c r="H20638" s="4" t="str">
        <v/>
      </c>
      <c r="I20638" s="4" t="str">
        <v/>
      </c>
    </row>
    <row r="20639" spans="5:9" ht="16.5" hidden="1">
      <c r="E20639" s="4" t="str">
        <v/>
      </c>
      <c r="F20639" s="102" t="str">
        <f ca="1">IFERROR(__xludf.DUMMYFUNCTION("IMPORTRANGE(H20639,""IDENTITAS UNIT!D9"")"),"#N/A")</f>
        <v>#N/A</v>
      </c>
      <c r="H20639" s="4" t="str">
        <v/>
      </c>
      <c r="I20639" s="4" t="str">
        <v/>
      </c>
    </row>
    <row r="20640" spans="5:9" ht="16.5" hidden="1">
      <c r="E20640" s="4" t="str">
        <v/>
      </c>
      <c r="F20640" s="102" t="str">
        <f ca="1">IFERROR(__xludf.DUMMYFUNCTION("IMPORTRANGE(H20640,""IDENTITAS UNIT!D9"")"),"#N/A")</f>
        <v>#N/A</v>
      </c>
      <c r="H20640" s="4" t="str">
        <v/>
      </c>
      <c r="I20640" s="4" t="str">
        <v/>
      </c>
    </row>
    <row r="20641" spans="5:9" ht="16.5" hidden="1">
      <c r="E20641" s="4" t="str">
        <v/>
      </c>
      <c r="F20641" s="102" t="str">
        <f ca="1">IFERROR(__xludf.DUMMYFUNCTION("IMPORTRANGE(H20641,""IDENTITAS UNIT!D9"")"),"#N/A")</f>
        <v>#N/A</v>
      </c>
      <c r="H20641" s="4" t="str">
        <v/>
      </c>
      <c r="I20641" s="4" t="str">
        <v/>
      </c>
    </row>
    <row r="20642" spans="5:9" ht="16.5" hidden="1">
      <c r="E20642" s="4" t="str">
        <v/>
      </c>
      <c r="F20642" s="102" t="str">
        <f ca="1">IFERROR(__xludf.DUMMYFUNCTION("IMPORTRANGE(H20642,""IDENTITAS UNIT!D9"")"),"#N/A")</f>
        <v>#N/A</v>
      </c>
      <c r="H20642" s="4" t="str">
        <v/>
      </c>
      <c r="I20642" s="4" t="str">
        <v/>
      </c>
    </row>
    <row r="20643" spans="5:9" ht="16.5" hidden="1">
      <c r="E20643" s="4" t="str">
        <v/>
      </c>
      <c r="F20643" s="102" t="str">
        <f ca="1">IFERROR(__xludf.DUMMYFUNCTION("IMPORTRANGE(H20643,""IDENTITAS UNIT!D9"")"),"#N/A")</f>
        <v>#N/A</v>
      </c>
      <c r="H20643" s="4" t="str">
        <v/>
      </c>
      <c r="I20643" s="4" t="str">
        <v/>
      </c>
    </row>
    <row r="20644" spans="5:9" ht="16.5" hidden="1">
      <c r="E20644" s="4" t="str">
        <v/>
      </c>
      <c r="F20644" s="102" t="str">
        <f ca="1">IFERROR(__xludf.DUMMYFUNCTION("IMPORTRANGE(H20644,""IDENTITAS UNIT!D9"")"),"#N/A")</f>
        <v>#N/A</v>
      </c>
      <c r="H20644" s="4" t="str">
        <v/>
      </c>
      <c r="I20644" s="4" t="str">
        <v/>
      </c>
    </row>
    <row r="20645" spans="5:9" ht="16.5" hidden="1">
      <c r="E20645" s="4" t="str">
        <v/>
      </c>
      <c r="F20645" s="102" t="str">
        <f ca="1">IFERROR(__xludf.DUMMYFUNCTION("IMPORTRANGE(H20645,""IDENTITAS UNIT!D9"")"),"#N/A")</f>
        <v>#N/A</v>
      </c>
      <c r="H20645" s="4" t="str">
        <v/>
      </c>
      <c r="I20645" s="4" t="str">
        <v/>
      </c>
    </row>
    <row r="20646" spans="5:9" ht="16.5" hidden="1">
      <c r="E20646" s="4" t="str">
        <v/>
      </c>
      <c r="F20646" s="102" t="str">
        <f ca="1">IFERROR(__xludf.DUMMYFUNCTION("IMPORTRANGE(H20646,""IDENTITAS UNIT!D9"")"),"#N/A")</f>
        <v>#N/A</v>
      </c>
      <c r="H20646" s="4" t="str">
        <v/>
      </c>
      <c r="I20646" s="4" t="str">
        <v/>
      </c>
    </row>
    <row r="20647" spans="5:9" ht="16.5" hidden="1">
      <c r="E20647" s="4" t="str">
        <v/>
      </c>
      <c r="F20647" s="102" t="str">
        <f ca="1">IFERROR(__xludf.DUMMYFUNCTION("IMPORTRANGE(H20647,""IDENTITAS UNIT!D9"")"),"#N/A")</f>
        <v>#N/A</v>
      </c>
      <c r="H20647" s="4" t="str">
        <v/>
      </c>
      <c r="I20647" s="4" t="str">
        <v/>
      </c>
    </row>
    <row r="20648" spans="5:9" ht="16.5" hidden="1">
      <c r="E20648" s="4" t="str">
        <v/>
      </c>
      <c r="F20648" s="102" t="str">
        <f ca="1">IFERROR(__xludf.DUMMYFUNCTION("IMPORTRANGE(H20648,""IDENTITAS UNIT!D9"")"),"#N/A")</f>
        <v>#N/A</v>
      </c>
      <c r="H20648" s="4" t="str">
        <v/>
      </c>
      <c r="I20648" s="4" t="str">
        <v/>
      </c>
    </row>
    <row r="20649" spans="5:9" ht="16.5" hidden="1">
      <c r="E20649" s="4" t="str">
        <v/>
      </c>
      <c r="F20649" s="102" t="str">
        <f ca="1">IFERROR(__xludf.DUMMYFUNCTION("IMPORTRANGE(H20649,""IDENTITAS UNIT!D9"")"),"#N/A")</f>
        <v>#N/A</v>
      </c>
      <c r="H20649" s="4" t="str">
        <v/>
      </c>
      <c r="I20649" s="4" t="str">
        <v/>
      </c>
    </row>
    <row r="20650" spans="5:9" ht="16.5" hidden="1">
      <c r="E20650" s="4" t="str">
        <v/>
      </c>
      <c r="F20650" s="102" t="str">
        <f ca="1">IFERROR(__xludf.DUMMYFUNCTION("IMPORTRANGE(H20650,""IDENTITAS UNIT!D9"")"),"#N/A")</f>
        <v>#N/A</v>
      </c>
      <c r="H20650" s="4" t="str">
        <v/>
      </c>
      <c r="I20650" s="4" t="str">
        <v/>
      </c>
    </row>
    <row r="20651" spans="5:9" ht="16.5" hidden="1">
      <c r="E20651" s="4" t="str">
        <v/>
      </c>
      <c r="F20651" s="102" t="str">
        <f ca="1">IFERROR(__xludf.DUMMYFUNCTION("IMPORTRANGE(H20651,""IDENTITAS UNIT!D9"")"),"#N/A")</f>
        <v>#N/A</v>
      </c>
      <c r="H20651" s="4" t="str">
        <v/>
      </c>
      <c r="I20651" s="4" t="str">
        <v/>
      </c>
    </row>
    <row r="20652" spans="5:9" ht="16.5" hidden="1">
      <c r="E20652" s="4" t="str">
        <v/>
      </c>
      <c r="F20652" s="102" t="str">
        <f ca="1">IFERROR(__xludf.DUMMYFUNCTION("IMPORTRANGE(H20652,""IDENTITAS UNIT!D9"")"),"#N/A")</f>
        <v>#N/A</v>
      </c>
      <c r="H20652" s="4" t="str">
        <v/>
      </c>
      <c r="I20652" s="4" t="str">
        <v/>
      </c>
    </row>
    <row r="20653" spans="5:9" ht="16.5" hidden="1">
      <c r="E20653" s="4" t="str">
        <v/>
      </c>
      <c r="F20653" s="102" t="str">
        <f ca="1">IFERROR(__xludf.DUMMYFUNCTION("IMPORTRANGE(H20653,""IDENTITAS UNIT!D9"")"),"#N/A")</f>
        <v>#N/A</v>
      </c>
      <c r="H20653" s="4" t="str">
        <v/>
      </c>
      <c r="I20653" s="4" t="str">
        <v/>
      </c>
    </row>
    <row r="20654" spans="5:9" ht="16.5" hidden="1">
      <c r="E20654" s="4" t="str">
        <v/>
      </c>
      <c r="F20654" s="102" t="str">
        <f ca="1">IFERROR(__xludf.DUMMYFUNCTION("IMPORTRANGE(H20654,""IDENTITAS UNIT!D9"")"),"#N/A")</f>
        <v>#N/A</v>
      </c>
      <c r="H20654" s="4" t="str">
        <v/>
      </c>
      <c r="I20654" s="4" t="str">
        <v/>
      </c>
    </row>
    <row r="20655" spans="5:9" ht="16.5" hidden="1">
      <c r="E20655" s="4" t="str">
        <v/>
      </c>
      <c r="F20655" s="102" t="str">
        <f ca="1">IFERROR(__xludf.DUMMYFUNCTION("IMPORTRANGE(H20655,""IDENTITAS UNIT!D9"")"),"#N/A")</f>
        <v>#N/A</v>
      </c>
      <c r="H20655" s="4" t="str">
        <v/>
      </c>
      <c r="I20655" s="4" t="str">
        <v/>
      </c>
    </row>
    <row r="20656" spans="5:9" ht="16.5" hidden="1">
      <c r="E20656" s="4" t="str">
        <v/>
      </c>
      <c r="F20656" s="102" t="str">
        <f ca="1">IFERROR(__xludf.DUMMYFUNCTION("IMPORTRANGE(H20656,""IDENTITAS UNIT!D9"")"),"#N/A")</f>
        <v>#N/A</v>
      </c>
      <c r="H20656" s="4" t="str">
        <v/>
      </c>
      <c r="I20656" s="4" t="str">
        <v/>
      </c>
    </row>
    <row r="20657" spans="5:9" ht="16.5" hidden="1">
      <c r="E20657" s="4" t="str">
        <v/>
      </c>
      <c r="F20657" s="102" t="str">
        <f ca="1">IFERROR(__xludf.DUMMYFUNCTION("IMPORTRANGE(H20657,""IDENTITAS UNIT!D9"")"),"#N/A")</f>
        <v>#N/A</v>
      </c>
      <c r="H20657" s="4" t="str">
        <v/>
      </c>
      <c r="I20657" s="4" t="str">
        <v/>
      </c>
    </row>
    <row r="20658" spans="5:9" ht="16.5" hidden="1">
      <c r="E20658" s="4" t="str">
        <v/>
      </c>
      <c r="F20658" s="102" t="str">
        <f ca="1">IFERROR(__xludf.DUMMYFUNCTION("IMPORTRANGE(H20658,""IDENTITAS UNIT!D9"")"),"#N/A")</f>
        <v>#N/A</v>
      </c>
      <c r="H20658" s="4" t="str">
        <v/>
      </c>
      <c r="I20658" s="4" t="str">
        <v/>
      </c>
    </row>
    <row r="20659" spans="5:9" ht="16.5" hidden="1">
      <c r="E20659" s="4" t="str">
        <v/>
      </c>
      <c r="F20659" s="102" t="str">
        <f ca="1">IFERROR(__xludf.DUMMYFUNCTION("IMPORTRANGE(H20659,""IDENTITAS UNIT!D9"")"),"#N/A")</f>
        <v>#N/A</v>
      </c>
      <c r="H20659" s="4" t="str">
        <v/>
      </c>
      <c r="I20659" s="4" t="str">
        <v/>
      </c>
    </row>
    <row r="20660" spans="5:9" ht="16.5" hidden="1">
      <c r="E20660" s="4" t="str">
        <v/>
      </c>
      <c r="F20660" s="102" t="str">
        <f ca="1">IFERROR(__xludf.DUMMYFUNCTION("IMPORTRANGE(H20660,""IDENTITAS UNIT!D9"")"),"#N/A")</f>
        <v>#N/A</v>
      </c>
      <c r="H20660" s="4" t="str">
        <v/>
      </c>
      <c r="I20660" s="4" t="str">
        <v/>
      </c>
    </row>
    <row r="20661" spans="5:9" ht="16.5" hidden="1">
      <c r="E20661" s="4" t="str">
        <v/>
      </c>
      <c r="F20661" s="102" t="str">
        <f ca="1">IFERROR(__xludf.DUMMYFUNCTION("IMPORTRANGE(H20661,""IDENTITAS UNIT!D9"")"),"#N/A")</f>
        <v>#N/A</v>
      </c>
      <c r="H20661" s="4" t="str">
        <v/>
      </c>
      <c r="I20661" s="4" t="str">
        <v/>
      </c>
    </row>
    <row r="20662" spans="5:9" ht="16.5" hidden="1">
      <c r="E20662" s="4" t="str">
        <v/>
      </c>
      <c r="F20662" s="102" t="str">
        <f ca="1">IFERROR(__xludf.DUMMYFUNCTION("IMPORTRANGE(H20662,""IDENTITAS UNIT!D9"")"),"#N/A")</f>
        <v>#N/A</v>
      </c>
      <c r="H20662" s="4" t="str">
        <v/>
      </c>
      <c r="I20662" s="4" t="str">
        <v/>
      </c>
    </row>
    <row r="20663" spans="5:9" ht="16.5" hidden="1">
      <c r="E20663" s="4" t="str">
        <v/>
      </c>
      <c r="F20663" s="102" t="str">
        <f ca="1">IFERROR(__xludf.DUMMYFUNCTION("IMPORTRANGE(H20663,""IDENTITAS UNIT!D9"")"),"#N/A")</f>
        <v>#N/A</v>
      </c>
      <c r="H20663" s="4" t="str">
        <v/>
      </c>
      <c r="I20663" s="4" t="str">
        <v/>
      </c>
    </row>
    <row r="20664" spans="5:9" ht="16.5" hidden="1">
      <c r="E20664" s="4" t="str">
        <v/>
      </c>
      <c r="F20664" s="102" t="str">
        <f ca="1">IFERROR(__xludf.DUMMYFUNCTION("IMPORTRANGE(H20664,""IDENTITAS UNIT!D9"")"),"#N/A")</f>
        <v>#N/A</v>
      </c>
      <c r="H20664" s="4" t="str">
        <v/>
      </c>
      <c r="I20664" s="4" t="str">
        <v/>
      </c>
    </row>
    <row r="20665" spans="5:9" ht="16.5" hidden="1">
      <c r="E20665" s="4" t="str">
        <v/>
      </c>
      <c r="F20665" s="102" t="str">
        <f ca="1">IFERROR(__xludf.DUMMYFUNCTION("IMPORTRANGE(H20665,""IDENTITAS UNIT!D9"")"),"#N/A")</f>
        <v>#N/A</v>
      </c>
      <c r="H20665" s="4" t="str">
        <v/>
      </c>
      <c r="I20665" s="4" t="str">
        <v/>
      </c>
    </row>
    <row r="20666" spans="5:9" ht="16.5" hidden="1">
      <c r="E20666" s="4" t="str">
        <v/>
      </c>
      <c r="F20666" s="102" t="str">
        <f ca="1">IFERROR(__xludf.DUMMYFUNCTION("IMPORTRANGE(H20666,""IDENTITAS UNIT!D9"")"),"#N/A")</f>
        <v>#N/A</v>
      </c>
      <c r="H20666" s="4" t="str">
        <v/>
      </c>
      <c r="I20666" s="4" t="str">
        <v/>
      </c>
    </row>
    <row r="20667" spans="5:9" ht="16.5" hidden="1">
      <c r="E20667" s="4" t="str">
        <v/>
      </c>
      <c r="F20667" s="102" t="str">
        <f ca="1">IFERROR(__xludf.DUMMYFUNCTION("IMPORTRANGE(H20667,""IDENTITAS UNIT!D9"")"),"#N/A")</f>
        <v>#N/A</v>
      </c>
      <c r="H20667" s="4" t="str">
        <v/>
      </c>
      <c r="I20667" s="4" t="str">
        <v/>
      </c>
    </row>
    <row r="20668" spans="5:9" ht="16.5" hidden="1">
      <c r="E20668" s="4" t="str">
        <v/>
      </c>
      <c r="F20668" s="102" t="str">
        <f ca="1">IFERROR(__xludf.DUMMYFUNCTION("IMPORTRANGE(H20668,""IDENTITAS UNIT!D9"")"),"#N/A")</f>
        <v>#N/A</v>
      </c>
      <c r="H20668" s="4" t="str">
        <v/>
      </c>
      <c r="I20668" s="4" t="str">
        <v/>
      </c>
    </row>
    <row r="20669" spans="5:9" ht="16.5" hidden="1">
      <c r="E20669" s="4" t="str">
        <v/>
      </c>
      <c r="F20669" s="102" t="str">
        <f ca="1">IFERROR(__xludf.DUMMYFUNCTION("IMPORTRANGE(H20669,""IDENTITAS UNIT!D9"")"),"#N/A")</f>
        <v>#N/A</v>
      </c>
      <c r="H20669" s="4" t="str">
        <v/>
      </c>
      <c r="I20669" s="4" t="str">
        <v/>
      </c>
    </row>
    <row r="20670" spans="5:9" ht="16.5" hidden="1">
      <c r="E20670" s="4" t="str">
        <v/>
      </c>
      <c r="F20670" s="102" t="str">
        <f ca="1">IFERROR(__xludf.DUMMYFUNCTION("IMPORTRANGE(H20670,""IDENTITAS UNIT!D9"")"),"#N/A")</f>
        <v>#N/A</v>
      </c>
      <c r="H20670" s="4" t="str">
        <v/>
      </c>
      <c r="I20670" s="4" t="str">
        <v/>
      </c>
    </row>
    <row r="20671" spans="5:9" ht="16.5" hidden="1">
      <c r="E20671" s="4" t="str">
        <v/>
      </c>
      <c r="F20671" s="102" t="str">
        <f ca="1">IFERROR(__xludf.DUMMYFUNCTION("IMPORTRANGE(H20671,""IDENTITAS UNIT!D9"")"),"#N/A")</f>
        <v>#N/A</v>
      </c>
      <c r="H20671" s="4" t="str">
        <v/>
      </c>
      <c r="I20671" s="4" t="str">
        <v/>
      </c>
    </row>
    <row r="20672" spans="5:9" ht="16.5" hidden="1">
      <c r="E20672" s="4" t="str">
        <v/>
      </c>
      <c r="F20672" s="102" t="str">
        <f ca="1">IFERROR(__xludf.DUMMYFUNCTION("IMPORTRANGE(H20672,""IDENTITAS UNIT!D9"")"),"#N/A")</f>
        <v>#N/A</v>
      </c>
      <c r="H20672" s="4" t="str">
        <v/>
      </c>
      <c r="I20672" s="4" t="str">
        <v/>
      </c>
    </row>
    <row r="20673" spans="5:9" ht="16.5" hidden="1">
      <c r="E20673" s="4" t="str">
        <v/>
      </c>
      <c r="F20673" s="102" t="str">
        <f ca="1">IFERROR(__xludf.DUMMYFUNCTION("IMPORTRANGE(H20673,""IDENTITAS UNIT!D9"")"),"#N/A")</f>
        <v>#N/A</v>
      </c>
      <c r="H20673" s="4" t="str">
        <v/>
      </c>
      <c r="I20673" s="4" t="str">
        <v/>
      </c>
    </row>
    <row r="20674" spans="5:9" ht="16.5" hidden="1">
      <c r="E20674" s="4" t="str">
        <v/>
      </c>
      <c r="F20674" s="102" t="str">
        <f ca="1">IFERROR(__xludf.DUMMYFUNCTION("IMPORTRANGE(H20674,""IDENTITAS UNIT!D9"")"),"#N/A")</f>
        <v>#N/A</v>
      </c>
      <c r="H20674" s="4" t="str">
        <v/>
      </c>
      <c r="I20674" s="4" t="str">
        <v/>
      </c>
    </row>
    <row r="20675" spans="5:9" ht="16.5" hidden="1">
      <c r="E20675" s="4" t="str">
        <v/>
      </c>
      <c r="F20675" s="102" t="str">
        <f ca="1">IFERROR(__xludf.DUMMYFUNCTION("IMPORTRANGE(H20675,""IDENTITAS UNIT!D9"")"),"#N/A")</f>
        <v>#N/A</v>
      </c>
      <c r="H20675" s="4" t="str">
        <v/>
      </c>
      <c r="I20675" s="4" t="str">
        <v/>
      </c>
    </row>
    <row r="20676" spans="5:9" ht="16.5" hidden="1">
      <c r="E20676" s="4" t="str">
        <v/>
      </c>
      <c r="F20676" s="102" t="str">
        <f ca="1">IFERROR(__xludf.DUMMYFUNCTION("IMPORTRANGE(H20676,""IDENTITAS UNIT!D9"")"),"#N/A")</f>
        <v>#N/A</v>
      </c>
      <c r="H20676" s="4" t="str">
        <v/>
      </c>
      <c r="I20676" s="4" t="str">
        <v/>
      </c>
    </row>
    <row r="20677" spans="5:9" ht="16.5" hidden="1">
      <c r="E20677" s="4" t="str">
        <v/>
      </c>
      <c r="F20677" s="102" t="str">
        <f ca="1">IFERROR(__xludf.DUMMYFUNCTION("IMPORTRANGE(H20677,""IDENTITAS UNIT!D9"")"),"#N/A")</f>
        <v>#N/A</v>
      </c>
      <c r="H20677" s="4" t="str">
        <v/>
      </c>
      <c r="I20677" s="4" t="str">
        <v/>
      </c>
    </row>
    <row r="20678" spans="5:9" ht="16.5" hidden="1">
      <c r="E20678" s="4" t="str">
        <v/>
      </c>
      <c r="F20678" s="102" t="str">
        <f ca="1">IFERROR(__xludf.DUMMYFUNCTION("IMPORTRANGE(H20678,""IDENTITAS UNIT!D9"")"),"#N/A")</f>
        <v>#N/A</v>
      </c>
      <c r="H20678" s="4" t="str">
        <v/>
      </c>
      <c r="I20678" s="4" t="str">
        <v/>
      </c>
    </row>
    <row r="20679" spans="5:9" ht="16.5" hidden="1">
      <c r="E20679" s="4" t="str">
        <v/>
      </c>
      <c r="F20679" s="102" t="str">
        <f ca="1">IFERROR(__xludf.DUMMYFUNCTION("IMPORTRANGE(H20679,""IDENTITAS UNIT!D9"")"),"#N/A")</f>
        <v>#N/A</v>
      </c>
      <c r="H20679" s="4" t="str">
        <v/>
      </c>
      <c r="I20679" s="4" t="str">
        <v/>
      </c>
    </row>
    <row r="20680" spans="5:9" ht="16.5" hidden="1">
      <c r="E20680" s="4" t="str">
        <v/>
      </c>
      <c r="F20680" s="102" t="str">
        <f ca="1">IFERROR(__xludf.DUMMYFUNCTION("IMPORTRANGE(H20680,""IDENTITAS UNIT!D9"")"),"#N/A")</f>
        <v>#N/A</v>
      </c>
      <c r="H20680" s="4" t="str">
        <v/>
      </c>
      <c r="I20680" s="4" t="str">
        <v/>
      </c>
    </row>
    <row r="20681" spans="5:9" ht="16.5" hidden="1">
      <c r="E20681" s="4" t="str">
        <v/>
      </c>
      <c r="F20681" s="102" t="str">
        <f ca="1">IFERROR(__xludf.DUMMYFUNCTION("IMPORTRANGE(H20681,""IDENTITAS UNIT!D9"")"),"#N/A")</f>
        <v>#N/A</v>
      </c>
      <c r="H20681" s="4" t="str">
        <v/>
      </c>
      <c r="I20681" s="4" t="str">
        <v/>
      </c>
    </row>
    <row r="20682" spans="5:9" ht="16.5" hidden="1">
      <c r="E20682" s="4" t="str">
        <v/>
      </c>
      <c r="F20682" s="102" t="str">
        <f ca="1">IFERROR(__xludf.DUMMYFUNCTION("IMPORTRANGE(H20682,""IDENTITAS UNIT!D9"")"),"#N/A")</f>
        <v>#N/A</v>
      </c>
      <c r="H20682" s="4" t="str">
        <v/>
      </c>
      <c r="I20682" s="4" t="str">
        <v/>
      </c>
    </row>
    <row r="20683" spans="5:9" ht="16.5" hidden="1">
      <c r="E20683" s="4" t="str">
        <v/>
      </c>
      <c r="F20683" s="102" t="str">
        <f ca="1">IFERROR(__xludf.DUMMYFUNCTION("IMPORTRANGE(H20683,""IDENTITAS UNIT!D9"")"),"#N/A")</f>
        <v>#N/A</v>
      </c>
      <c r="H20683" s="4" t="str">
        <v/>
      </c>
      <c r="I20683" s="4" t="str">
        <v/>
      </c>
    </row>
    <row r="20684" spans="5:9" ht="16.5" hidden="1">
      <c r="E20684" s="4" t="str">
        <v/>
      </c>
      <c r="F20684" s="102" t="str">
        <f ca="1">IFERROR(__xludf.DUMMYFUNCTION("IMPORTRANGE(H20684,""IDENTITAS UNIT!D9"")"),"#N/A")</f>
        <v>#N/A</v>
      </c>
      <c r="H20684" s="4" t="str">
        <v/>
      </c>
      <c r="I20684" s="4" t="str">
        <v/>
      </c>
    </row>
    <row r="20685" spans="5:9" ht="16.5" hidden="1">
      <c r="E20685" s="4" t="str">
        <v/>
      </c>
      <c r="F20685" s="102" t="str">
        <f ca="1">IFERROR(__xludf.DUMMYFUNCTION("IMPORTRANGE(H20685,""IDENTITAS UNIT!D9"")"),"#N/A")</f>
        <v>#N/A</v>
      </c>
      <c r="H20685" s="4" t="str">
        <v/>
      </c>
      <c r="I20685" s="4" t="str">
        <v/>
      </c>
    </row>
    <row r="20686" spans="5:9" ht="16.5" hidden="1">
      <c r="E20686" s="4" t="str">
        <v/>
      </c>
      <c r="F20686" s="102" t="str">
        <f ca="1">IFERROR(__xludf.DUMMYFUNCTION("IMPORTRANGE(H20686,""IDENTITAS UNIT!D9"")"),"#N/A")</f>
        <v>#N/A</v>
      </c>
      <c r="H20686" s="4" t="str">
        <v/>
      </c>
      <c r="I20686" s="4" t="str">
        <v/>
      </c>
    </row>
    <row r="20687" spans="5:9" ht="16.5" hidden="1">
      <c r="E20687" s="4" t="str">
        <v/>
      </c>
      <c r="F20687" s="102" t="str">
        <f ca="1">IFERROR(__xludf.DUMMYFUNCTION("IMPORTRANGE(H20687,""IDENTITAS UNIT!D9"")"),"#N/A")</f>
        <v>#N/A</v>
      </c>
      <c r="H20687" s="4" t="str">
        <v/>
      </c>
      <c r="I20687" s="4" t="str">
        <v/>
      </c>
    </row>
    <row r="20688" spans="5:9" ht="16.5" hidden="1">
      <c r="E20688" s="4" t="str">
        <v/>
      </c>
      <c r="F20688" s="102" t="str">
        <f ca="1">IFERROR(__xludf.DUMMYFUNCTION("IMPORTRANGE(H20688,""IDENTITAS UNIT!D9"")"),"#N/A")</f>
        <v>#N/A</v>
      </c>
      <c r="H20688" s="4" t="str">
        <v/>
      </c>
      <c r="I20688" s="4" t="str">
        <v/>
      </c>
    </row>
    <row r="20689" spans="5:9" ht="16.5" hidden="1">
      <c r="E20689" s="4" t="str">
        <v/>
      </c>
      <c r="F20689" s="102" t="str">
        <f ca="1">IFERROR(__xludf.DUMMYFUNCTION("IMPORTRANGE(H20689,""IDENTITAS UNIT!D9"")"),"#N/A")</f>
        <v>#N/A</v>
      </c>
      <c r="H20689" s="4" t="str">
        <v/>
      </c>
      <c r="I20689" s="4" t="str">
        <v/>
      </c>
    </row>
    <row r="20690" spans="5:9" ht="16.5" hidden="1">
      <c r="E20690" s="4" t="str">
        <v/>
      </c>
      <c r="F20690" s="102" t="str">
        <f ca="1">IFERROR(__xludf.DUMMYFUNCTION("IMPORTRANGE(H20690,""IDENTITAS UNIT!D9"")"),"#N/A")</f>
        <v>#N/A</v>
      </c>
      <c r="H20690" s="4" t="str">
        <v/>
      </c>
      <c r="I20690" s="4" t="str">
        <v/>
      </c>
    </row>
    <row r="20691" spans="5:9" ht="16.5" hidden="1">
      <c r="E20691" s="4" t="str">
        <v/>
      </c>
      <c r="F20691" s="102" t="str">
        <f ca="1">IFERROR(__xludf.DUMMYFUNCTION("IMPORTRANGE(H20691,""IDENTITAS UNIT!D9"")"),"#N/A")</f>
        <v>#N/A</v>
      </c>
      <c r="H20691" s="4" t="str">
        <v/>
      </c>
      <c r="I20691" s="4" t="str">
        <v/>
      </c>
    </row>
    <row r="20692" spans="5:9" ht="16.5" hidden="1">
      <c r="E20692" s="4" t="str">
        <v/>
      </c>
      <c r="F20692" s="102" t="str">
        <f ca="1">IFERROR(__xludf.DUMMYFUNCTION("IMPORTRANGE(H20692,""IDENTITAS UNIT!D9"")"),"#N/A")</f>
        <v>#N/A</v>
      </c>
      <c r="H20692" s="4" t="str">
        <v/>
      </c>
      <c r="I20692" s="4" t="str">
        <v/>
      </c>
    </row>
    <row r="20693" spans="5:9" ht="16.5" hidden="1">
      <c r="E20693" s="4" t="str">
        <v/>
      </c>
      <c r="F20693" s="102" t="str">
        <f ca="1">IFERROR(__xludf.DUMMYFUNCTION("IMPORTRANGE(H20693,""IDENTITAS UNIT!D9"")"),"#N/A")</f>
        <v>#N/A</v>
      </c>
      <c r="H20693" s="4" t="str">
        <v/>
      </c>
      <c r="I20693" s="4" t="str">
        <v/>
      </c>
    </row>
    <row r="20694" spans="5:9" ht="16.5" hidden="1">
      <c r="E20694" s="4" t="str">
        <v/>
      </c>
      <c r="F20694" s="102" t="str">
        <f ca="1">IFERROR(__xludf.DUMMYFUNCTION("IMPORTRANGE(H20694,""IDENTITAS UNIT!D9"")"),"#N/A")</f>
        <v>#N/A</v>
      </c>
      <c r="H20694" s="4" t="str">
        <v/>
      </c>
      <c r="I20694" s="4" t="str">
        <v/>
      </c>
    </row>
    <row r="20695" spans="5:9" ht="16.5" hidden="1">
      <c r="E20695" s="4" t="str">
        <v/>
      </c>
      <c r="F20695" s="102" t="str">
        <f ca="1">IFERROR(__xludf.DUMMYFUNCTION("IMPORTRANGE(H20695,""IDENTITAS UNIT!D9"")"),"#N/A")</f>
        <v>#N/A</v>
      </c>
      <c r="H20695" s="4" t="str">
        <v/>
      </c>
      <c r="I20695" s="4" t="str">
        <v/>
      </c>
    </row>
    <row r="20696" spans="5:9" ht="16.5" hidden="1">
      <c r="E20696" s="4" t="str">
        <v/>
      </c>
      <c r="F20696" s="102" t="str">
        <f ca="1">IFERROR(__xludf.DUMMYFUNCTION("IMPORTRANGE(H20696,""IDENTITAS UNIT!D9"")"),"#N/A")</f>
        <v>#N/A</v>
      </c>
      <c r="H20696" s="4" t="str">
        <v/>
      </c>
      <c r="I20696" s="4" t="str">
        <v/>
      </c>
    </row>
    <row r="20697" spans="5:9" ht="16.5" hidden="1">
      <c r="E20697" s="4" t="str">
        <v/>
      </c>
      <c r="F20697" s="102" t="str">
        <f ca="1">IFERROR(__xludf.DUMMYFUNCTION("IMPORTRANGE(H20697,""IDENTITAS UNIT!D9"")"),"#N/A")</f>
        <v>#N/A</v>
      </c>
      <c r="H20697" s="4" t="str">
        <v/>
      </c>
      <c r="I20697" s="4" t="str">
        <v/>
      </c>
    </row>
    <row r="20698" spans="5:9" ht="16.5" hidden="1">
      <c r="E20698" s="4" t="str">
        <v/>
      </c>
      <c r="F20698" s="102" t="str">
        <f ca="1">IFERROR(__xludf.DUMMYFUNCTION("IMPORTRANGE(H20698,""IDENTITAS UNIT!D9"")"),"#N/A")</f>
        <v>#N/A</v>
      </c>
      <c r="H20698" s="4" t="str">
        <v/>
      </c>
      <c r="I20698" s="4" t="str">
        <v/>
      </c>
    </row>
    <row r="20699" spans="5:9" ht="16.5" hidden="1">
      <c r="E20699" s="4" t="str">
        <v/>
      </c>
      <c r="F20699" s="102" t="str">
        <f ca="1">IFERROR(__xludf.DUMMYFUNCTION("IMPORTRANGE(H20699,""IDENTITAS UNIT!D9"")"),"#N/A")</f>
        <v>#N/A</v>
      </c>
      <c r="H20699" s="4" t="str">
        <v/>
      </c>
      <c r="I20699" s="4" t="str">
        <v/>
      </c>
    </row>
    <row r="20700" spans="5:9" ht="16.5" hidden="1">
      <c r="E20700" s="4" t="str">
        <v/>
      </c>
      <c r="F20700" s="102" t="str">
        <f ca="1">IFERROR(__xludf.DUMMYFUNCTION("IMPORTRANGE(H20700,""IDENTITAS UNIT!D9"")"),"#N/A")</f>
        <v>#N/A</v>
      </c>
      <c r="H20700" s="4" t="str">
        <v/>
      </c>
      <c r="I20700" s="4" t="str">
        <v/>
      </c>
    </row>
    <row r="20701" spans="5:9" ht="16.5" hidden="1">
      <c r="E20701" s="4" t="str">
        <v/>
      </c>
      <c r="F20701" s="102" t="str">
        <f ca="1">IFERROR(__xludf.DUMMYFUNCTION("IMPORTRANGE(H20701,""IDENTITAS UNIT!D9"")"),"#N/A")</f>
        <v>#N/A</v>
      </c>
      <c r="H20701" s="4" t="str">
        <v/>
      </c>
      <c r="I20701" s="4" t="str">
        <v/>
      </c>
    </row>
    <row r="20702" spans="5:9" ht="16.5" hidden="1">
      <c r="E20702" s="4" t="str">
        <v/>
      </c>
      <c r="F20702" s="102" t="str">
        <f ca="1">IFERROR(__xludf.DUMMYFUNCTION("IMPORTRANGE(H20702,""IDENTITAS UNIT!D9"")"),"#N/A")</f>
        <v>#N/A</v>
      </c>
      <c r="H20702" s="4" t="str">
        <v/>
      </c>
      <c r="I20702" s="4" t="str">
        <v/>
      </c>
    </row>
    <row r="20703" spans="5:9" ht="16.5" hidden="1">
      <c r="E20703" s="4" t="str">
        <v/>
      </c>
      <c r="F20703" s="102" t="str">
        <f ca="1">IFERROR(__xludf.DUMMYFUNCTION("IMPORTRANGE(H20703,""IDENTITAS UNIT!D9"")"),"#N/A")</f>
        <v>#N/A</v>
      </c>
      <c r="H20703" s="4" t="str">
        <v/>
      </c>
      <c r="I20703" s="4" t="str">
        <v/>
      </c>
    </row>
    <row r="20704" spans="5:9" ht="16.5" hidden="1">
      <c r="E20704" s="4" t="str">
        <v/>
      </c>
      <c r="F20704" s="102" t="str">
        <f ca="1">IFERROR(__xludf.DUMMYFUNCTION("IMPORTRANGE(H20704,""IDENTITAS UNIT!D9"")"),"#N/A")</f>
        <v>#N/A</v>
      </c>
      <c r="H20704" s="4" t="str">
        <v/>
      </c>
      <c r="I20704" s="4" t="str">
        <v/>
      </c>
    </row>
    <row r="20705" spans="5:9" ht="16.5" hidden="1">
      <c r="E20705" s="4" t="str">
        <v/>
      </c>
      <c r="F20705" s="102" t="str">
        <f ca="1">IFERROR(__xludf.DUMMYFUNCTION("IMPORTRANGE(H20705,""IDENTITAS UNIT!D9"")"),"#N/A")</f>
        <v>#N/A</v>
      </c>
      <c r="H20705" s="4" t="str">
        <v/>
      </c>
      <c r="I20705" s="4" t="str">
        <v/>
      </c>
    </row>
    <row r="20706" spans="5:9" ht="16.5" hidden="1">
      <c r="E20706" s="4" t="str">
        <v/>
      </c>
      <c r="F20706" s="102" t="str">
        <f ca="1">IFERROR(__xludf.DUMMYFUNCTION("IMPORTRANGE(H20706,""IDENTITAS UNIT!D9"")"),"#N/A")</f>
        <v>#N/A</v>
      </c>
      <c r="H20706" s="4" t="str">
        <v/>
      </c>
      <c r="I20706" s="4" t="str">
        <v/>
      </c>
    </row>
    <row r="20707" spans="5:9" ht="16.5" hidden="1">
      <c r="E20707" s="4" t="str">
        <v/>
      </c>
      <c r="F20707" s="102" t="str">
        <f ca="1">IFERROR(__xludf.DUMMYFUNCTION("IMPORTRANGE(H20707,""IDENTITAS UNIT!D9"")"),"#N/A")</f>
        <v>#N/A</v>
      </c>
      <c r="H20707" s="4" t="str">
        <v/>
      </c>
      <c r="I20707" s="4" t="str">
        <v/>
      </c>
    </row>
    <row r="20708" spans="5:9" ht="16.5" hidden="1">
      <c r="E20708" s="4" t="str">
        <v/>
      </c>
      <c r="F20708" s="102" t="str">
        <f ca="1">IFERROR(__xludf.DUMMYFUNCTION("IMPORTRANGE(H20708,""IDENTITAS UNIT!D9"")"),"#N/A")</f>
        <v>#N/A</v>
      </c>
      <c r="H20708" s="4" t="str">
        <v/>
      </c>
      <c r="I20708" s="4" t="str">
        <v/>
      </c>
    </row>
    <row r="20709" spans="5:9" ht="16.5" hidden="1">
      <c r="E20709" s="4" t="str">
        <v/>
      </c>
      <c r="F20709" s="102" t="str">
        <f ca="1">IFERROR(__xludf.DUMMYFUNCTION("IMPORTRANGE(H20709,""IDENTITAS UNIT!D9"")"),"#N/A")</f>
        <v>#N/A</v>
      </c>
      <c r="H20709" s="4" t="str">
        <v/>
      </c>
      <c r="I20709" s="4" t="str">
        <v/>
      </c>
    </row>
    <row r="20710" spans="5:9" ht="16.5" hidden="1">
      <c r="E20710" s="4" t="str">
        <v/>
      </c>
      <c r="F20710" s="102" t="str">
        <f ca="1">IFERROR(__xludf.DUMMYFUNCTION("IMPORTRANGE(H20710,""IDENTITAS UNIT!D9"")"),"#N/A")</f>
        <v>#N/A</v>
      </c>
      <c r="H20710" s="4" t="str">
        <v/>
      </c>
      <c r="I20710" s="4" t="str">
        <v/>
      </c>
    </row>
    <row r="20711" spans="5:9" ht="16.5" hidden="1">
      <c r="E20711" s="4" t="str">
        <v/>
      </c>
      <c r="F20711" s="102" t="str">
        <f ca="1">IFERROR(__xludf.DUMMYFUNCTION("IMPORTRANGE(H20711,""IDENTITAS UNIT!D9"")"),"#N/A")</f>
        <v>#N/A</v>
      </c>
      <c r="H20711" s="4" t="str">
        <v/>
      </c>
      <c r="I20711" s="4" t="str">
        <v/>
      </c>
    </row>
    <row r="20712" spans="5:9" ht="16.5" hidden="1">
      <c r="E20712" s="4" t="str">
        <v/>
      </c>
      <c r="F20712" s="102" t="str">
        <f ca="1">IFERROR(__xludf.DUMMYFUNCTION("IMPORTRANGE(H20712,""IDENTITAS UNIT!D9"")"),"#N/A")</f>
        <v>#N/A</v>
      </c>
      <c r="H20712" s="4" t="str">
        <v/>
      </c>
      <c r="I20712" s="4" t="str">
        <v/>
      </c>
    </row>
    <row r="20713" spans="5:9" ht="16.5" hidden="1">
      <c r="E20713" s="4" t="str">
        <v/>
      </c>
      <c r="F20713" s="102" t="str">
        <f ca="1">IFERROR(__xludf.DUMMYFUNCTION("IMPORTRANGE(H20713,""IDENTITAS UNIT!D9"")"),"#N/A")</f>
        <v>#N/A</v>
      </c>
      <c r="H20713" s="4" t="str">
        <v/>
      </c>
      <c r="I20713" s="4" t="str">
        <v/>
      </c>
    </row>
    <row r="20714" spans="5:9" ht="16.5" hidden="1">
      <c r="E20714" s="4" t="str">
        <v/>
      </c>
      <c r="F20714" s="102" t="str">
        <f ca="1">IFERROR(__xludf.DUMMYFUNCTION("IMPORTRANGE(H20714,""IDENTITAS UNIT!D9"")"),"#N/A")</f>
        <v>#N/A</v>
      </c>
      <c r="H20714" s="4" t="str">
        <v/>
      </c>
      <c r="I20714" s="4" t="str">
        <v/>
      </c>
    </row>
    <row r="20715" spans="5:9" ht="16.5" hidden="1">
      <c r="E20715" s="4" t="str">
        <v/>
      </c>
      <c r="F20715" s="102" t="str">
        <f ca="1">IFERROR(__xludf.DUMMYFUNCTION("IMPORTRANGE(H20715,""IDENTITAS UNIT!D9"")"),"#N/A")</f>
        <v>#N/A</v>
      </c>
      <c r="H20715" s="4" t="str">
        <v/>
      </c>
      <c r="I20715" s="4" t="str">
        <v/>
      </c>
    </row>
    <row r="20716" spans="5:9" ht="16.5" hidden="1">
      <c r="E20716" s="4" t="str">
        <v/>
      </c>
      <c r="F20716" s="102" t="str">
        <f ca="1">IFERROR(__xludf.DUMMYFUNCTION("IMPORTRANGE(H20716,""IDENTITAS UNIT!D9"")"),"#N/A")</f>
        <v>#N/A</v>
      </c>
      <c r="H20716" s="4" t="str">
        <v/>
      </c>
      <c r="I20716" s="4" t="str">
        <v/>
      </c>
    </row>
    <row r="20717" spans="5:9" ht="16.5" hidden="1">
      <c r="E20717" s="4" t="str">
        <v/>
      </c>
      <c r="F20717" s="102" t="str">
        <f ca="1">IFERROR(__xludf.DUMMYFUNCTION("IMPORTRANGE(H20717,""IDENTITAS UNIT!D9"")"),"#N/A")</f>
        <v>#N/A</v>
      </c>
      <c r="H20717" s="4" t="str">
        <v/>
      </c>
      <c r="I20717" s="4" t="str">
        <v/>
      </c>
    </row>
    <row r="20718" spans="5:9" ht="16.5" hidden="1">
      <c r="E20718" s="4" t="str">
        <v/>
      </c>
      <c r="F20718" s="102" t="str">
        <f ca="1">IFERROR(__xludf.DUMMYFUNCTION("IMPORTRANGE(H20718,""IDENTITAS UNIT!D9"")"),"#N/A")</f>
        <v>#N/A</v>
      </c>
      <c r="H20718" s="4" t="str">
        <v/>
      </c>
      <c r="I20718" s="4" t="str">
        <v/>
      </c>
    </row>
    <row r="20719" spans="5:9" ht="16.5" hidden="1">
      <c r="E20719" s="4" t="str">
        <v/>
      </c>
      <c r="F20719" s="102" t="str">
        <f ca="1">IFERROR(__xludf.DUMMYFUNCTION("IMPORTRANGE(H20719,""IDENTITAS UNIT!D9"")"),"#N/A")</f>
        <v>#N/A</v>
      </c>
      <c r="H20719" s="4" t="str">
        <v/>
      </c>
      <c r="I20719" s="4" t="str">
        <v/>
      </c>
    </row>
    <row r="20720" spans="5:9" ht="16.5" hidden="1">
      <c r="E20720" s="4" t="str">
        <v/>
      </c>
      <c r="F20720" s="102" t="str">
        <f ca="1">IFERROR(__xludf.DUMMYFUNCTION("IMPORTRANGE(H20720,""IDENTITAS UNIT!D9"")"),"#N/A")</f>
        <v>#N/A</v>
      </c>
      <c r="H20720" s="4" t="str">
        <v/>
      </c>
      <c r="I20720" s="4" t="str">
        <v/>
      </c>
    </row>
    <row r="20721" spans="5:9" ht="16.5" hidden="1">
      <c r="E20721" s="4" t="str">
        <v/>
      </c>
      <c r="F20721" s="102" t="str">
        <f ca="1">IFERROR(__xludf.DUMMYFUNCTION("IMPORTRANGE(H20721,""IDENTITAS UNIT!D9"")"),"#N/A")</f>
        <v>#N/A</v>
      </c>
      <c r="H20721" s="4" t="str">
        <v/>
      </c>
      <c r="I20721" s="4" t="str">
        <v/>
      </c>
    </row>
    <row r="20722" spans="5:9" ht="16.5" hidden="1">
      <c r="E20722" s="4" t="str">
        <v/>
      </c>
      <c r="F20722" s="102" t="str">
        <f ca="1">IFERROR(__xludf.DUMMYFUNCTION("IMPORTRANGE(H20722,""IDENTITAS UNIT!D9"")"),"#N/A")</f>
        <v>#N/A</v>
      </c>
      <c r="H20722" s="4" t="str">
        <v/>
      </c>
      <c r="I20722" s="4" t="str">
        <v/>
      </c>
    </row>
    <row r="20723" spans="5:9" ht="16.5" hidden="1">
      <c r="E20723" s="4" t="str">
        <v/>
      </c>
      <c r="F20723" s="102" t="str">
        <f ca="1">IFERROR(__xludf.DUMMYFUNCTION("IMPORTRANGE(H20723,""IDENTITAS UNIT!D9"")"),"#N/A")</f>
        <v>#N/A</v>
      </c>
      <c r="H20723" s="4" t="str">
        <v/>
      </c>
      <c r="I20723" s="4" t="str">
        <v/>
      </c>
    </row>
    <row r="20724" spans="5:9" ht="16.5" hidden="1">
      <c r="E20724" s="4" t="str">
        <v/>
      </c>
      <c r="F20724" s="102" t="str">
        <f ca="1">IFERROR(__xludf.DUMMYFUNCTION("IMPORTRANGE(H20724,""IDENTITAS UNIT!D9"")"),"#N/A")</f>
        <v>#N/A</v>
      </c>
      <c r="H20724" s="4" t="str">
        <v/>
      </c>
      <c r="I20724" s="4" t="str">
        <v/>
      </c>
    </row>
    <row r="20725" spans="5:9" ht="16.5" hidden="1">
      <c r="E20725" s="4" t="str">
        <v/>
      </c>
      <c r="F20725" s="102" t="str">
        <f ca="1">IFERROR(__xludf.DUMMYFUNCTION("IMPORTRANGE(H20725,""IDENTITAS UNIT!D9"")"),"#N/A")</f>
        <v>#N/A</v>
      </c>
      <c r="H20725" s="4" t="str">
        <v/>
      </c>
      <c r="I20725" s="4" t="str">
        <v/>
      </c>
    </row>
    <row r="20726" spans="5:9" ht="16.5" hidden="1">
      <c r="E20726" s="4" t="str">
        <v/>
      </c>
      <c r="F20726" s="102" t="str">
        <f ca="1">IFERROR(__xludf.DUMMYFUNCTION("IMPORTRANGE(H20726,""IDENTITAS UNIT!D9"")"),"#N/A")</f>
        <v>#N/A</v>
      </c>
      <c r="H20726" s="4" t="str">
        <v/>
      </c>
      <c r="I20726" s="4" t="str">
        <v/>
      </c>
    </row>
    <row r="20727" spans="5:9" ht="16.5" hidden="1">
      <c r="E20727" s="4" t="str">
        <v/>
      </c>
      <c r="F20727" s="102" t="str">
        <f ca="1">IFERROR(__xludf.DUMMYFUNCTION("IMPORTRANGE(H20727,""IDENTITAS UNIT!D9"")"),"#N/A")</f>
        <v>#N/A</v>
      </c>
      <c r="H20727" s="4" t="str">
        <v/>
      </c>
      <c r="I20727" s="4" t="str">
        <v/>
      </c>
    </row>
    <row r="20728" spans="5:9" ht="16.5" hidden="1">
      <c r="E20728" s="4" t="str">
        <v/>
      </c>
      <c r="F20728" s="102" t="str">
        <f ca="1">IFERROR(__xludf.DUMMYFUNCTION("IMPORTRANGE(H20728,""IDENTITAS UNIT!D9"")"),"#N/A")</f>
        <v>#N/A</v>
      </c>
      <c r="H20728" s="4" t="str">
        <v/>
      </c>
      <c r="I20728" s="4" t="str">
        <v/>
      </c>
    </row>
    <row r="20729" spans="5:9" ht="16.5" hidden="1">
      <c r="E20729" s="4" t="str">
        <v/>
      </c>
      <c r="F20729" s="102" t="str">
        <f ca="1">IFERROR(__xludf.DUMMYFUNCTION("IMPORTRANGE(H20729,""IDENTITAS UNIT!D9"")"),"#N/A")</f>
        <v>#N/A</v>
      </c>
      <c r="H20729" s="4" t="str">
        <v/>
      </c>
      <c r="I20729" s="4" t="str">
        <v/>
      </c>
    </row>
    <row r="20730" spans="5:9" ht="16.5" hidden="1">
      <c r="E20730" s="4" t="str">
        <v/>
      </c>
      <c r="F20730" s="102" t="str">
        <f ca="1">IFERROR(__xludf.DUMMYFUNCTION("IMPORTRANGE(H20730,""IDENTITAS UNIT!D9"")"),"#N/A")</f>
        <v>#N/A</v>
      </c>
      <c r="H20730" s="4" t="str">
        <v/>
      </c>
      <c r="I20730" s="4" t="str">
        <v/>
      </c>
    </row>
    <row r="20731" spans="5:9" ht="16.5" hidden="1">
      <c r="E20731" s="4" t="str">
        <v/>
      </c>
      <c r="F20731" s="102" t="str">
        <f ca="1">IFERROR(__xludf.DUMMYFUNCTION("IMPORTRANGE(H20731,""IDENTITAS UNIT!D9"")"),"#N/A")</f>
        <v>#N/A</v>
      </c>
      <c r="H20731" s="4" t="str">
        <v/>
      </c>
      <c r="I20731" s="4" t="str">
        <v/>
      </c>
    </row>
    <row r="20732" spans="5:9" ht="16.5" hidden="1">
      <c r="E20732" s="4" t="str">
        <v/>
      </c>
      <c r="F20732" s="102" t="str">
        <f ca="1">IFERROR(__xludf.DUMMYFUNCTION("IMPORTRANGE(H20732,""IDENTITAS UNIT!D9"")"),"#N/A")</f>
        <v>#N/A</v>
      </c>
      <c r="H20732" s="4" t="str">
        <v/>
      </c>
      <c r="I20732" s="4" t="str">
        <v/>
      </c>
    </row>
    <row r="20733" spans="5:9" ht="16.5" hidden="1">
      <c r="E20733" s="4" t="str">
        <v/>
      </c>
      <c r="F20733" s="102" t="str">
        <f ca="1">IFERROR(__xludf.DUMMYFUNCTION("IMPORTRANGE(H20733,""IDENTITAS UNIT!D9"")"),"#N/A")</f>
        <v>#N/A</v>
      </c>
      <c r="H20733" s="4" t="str">
        <v/>
      </c>
      <c r="I20733" s="4" t="str">
        <v/>
      </c>
    </row>
    <row r="20734" spans="5:9" ht="16.5" hidden="1">
      <c r="E20734" s="4" t="str">
        <v/>
      </c>
      <c r="F20734" s="102" t="str">
        <f ca="1">IFERROR(__xludf.DUMMYFUNCTION("IMPORTRANGE(H20734,""IDENTITAS UNIT!D9"")"),"#N/A")</f>
        <v>#N/A</v>
      </c>
      <c r="H20734" s="4" t="str">
        <v/>
      </c>
      <c r="I20734" s="4" t="str">
        <v/>
      </c>
    </row>
    <row r="20735" spans="5:9" ht="16.5" hidden="1">
      <c r="E20735" s="4" t="str">
        <v/>
      </c>
      <c r="F20735" s="102" t="str">
        <f ca="1">IFERROR(__xludf.DUMMYFUNCTION("IMPORTRANGE(H20735,""IDENTITAS UNIT!D9"")"),"#N/A")</f>
        <v>#N/A</v>
      </c>
      <c r="H20735" s="4" t="str">
        <v/>
      </c>
      <c r="I20735" s="4" t="str">
        <v/>
      </c>
    </row>
    <row r="20736" spans="5:9" ht="16.5" hidden="1">
      <c r="E20736" s="4" t="str">
        <v/>
      </c>
      <c r="F20736" s="102" t="str">
        <f ca="1">IFERROR(__xludf.DUMMYFUNCTION("IMPORTRANGE(H20736,""IDENTITAS UNIT!D9"")"),"#N/A")</f>
        <v>#N/A</v>
      </c>
      <c r="H20736" s="4" t="str">
        <v/>
      </c>
      <c r="I20736" s="4" t="str">
        <v/>
      </c>
    </row>
    <row r="20737" spans="5:9" ht="16.5" hidden="1">
      <c r="E20737" s="4" t="str">
        <v/>
      </c>
      <c r="F20737" s="102" t="str">
        <f ca="1">IFERROR(__xludf.DUMMYFUNCTION("IMPORTRANGE(H20737,""IDENTITAS UNIT!D9"")"),"#N/A")</f>
        <v>#N/A</v>
      </c>
      <c r="H20737" s="4" t="str">
        <v/>
      </c>
      <c r="I20737" s="4" t="str">
        <v/>
      </c>
    </row>
    <row r="20738" spans="5:9" ht="16.5" hidden="1">
      <c r="E20738" s="4" t="str">
        <v/>
      </c>
      <c r="F20738" s="102" t="str">
        <f ca="1">IFERROR(__xludf.DUMMYFUNCTION("IMPORTRANGE(H20738,""IDENTITAS UNIT!D9"")"),"#N/A")</f>
        <v>#N/A</v>
      </c>
      <c r="H20738" s="4" t="str">
        <v/>
      </c>
      <c r="I20738" s="4" t="str">
        <v/>
      </c>
    </row>
    <row r="20739" spans="5:9" ht="16.5" hidden="1">
      <c r="E20739" s="4" t="str">
        <v/>
      </c>
      <c r="F20739" s="102" t="str">
        <f ca="1">IFERROR(__xludf.DUMMYFUNCTION("IMPORTRANGE(H20739,""IDENTITAS UNIT!D9"")"),"#N/A")</f>
        <v>#N/A</v>
      </c>
      <c r="H20739" s="4" t="str">
        <v/>
      </c>
      <c r="I20739" s="4" t="str">
        <v/>
      </c>
    </row>
    <row r="20740" spans="5:9" ht="16.5" hidden="1">
      <c r="E20740" s="4" t="str">
        <v/>
      </c>
      <c r="F20740" s="102" t="str">
        <f ca="1">IFERROR(__xludf.DUMMYFUNCTION("IMPORTRANGE(H20740,""IDENTITAS UNIT!D9"")"),"#N/A")</f>
        <v>#N/A</v>
      </c>
      <c r="H20740" s="4" t="str">
        <v/>
      </c>
      <c r="I20740" s="4" t="str">
        <v/>
      </c>
    </row>
    <row r="20741" spans="5:9" ht="16.5" hidden="1">
      <c r="E20741" s="4" t="str">
        <v/>
      </c>
      <c r="F20741" s="102" t="str">
        <f ca="1">IFERROR(__xludf.DUMMYFUNCTION("IMPORTRANGE(H20741,""IDENTITAS UNIT!D9"")"),"#N/A")</f>
        <v>#N/A</v>
      </c>
      <c r="H20741" s="4" t="str">
        <v/>
      </c>
      <c r="I20741" s="4" t="str">
        <v/>
      </c>
    </row>
    <row r="20742" spans="5:9" ht="16.5" hidden="1">
      <c r="E20742" s="4" t="str">
        <v/>
      </c>
      <c r="F20742" s="102" t="str">
        <f ca="1">IFERROR(__xludf.DUMMYFUNCTION("IMPORTRANGE(H20742,""IDENTITAS UNIT!D9"")"),"#N/A")</f>
        <v>#N/A</v>
      </c>
      <c r="H20742" s="4" t="str">
        <v/>
      </c>
      <c r="I20742" s="4" t="str">
        <v/>
      </c>
    </row>
    <row r="20743" spans="5:9" ht="16.5" hidden="1">
      <c r="E20743" s="4" t="str">
        <v/>
      </c>
      <c r="F20743" s="102" t="str">
        <f ca="1">IFERROR(__xludf.DUMMYFUNCTION("IMPORTRANGE(H20743,""IDENTITAS UNIT!D9"")"),"#N/A")</f>
        <v>#N/A</v>
      </c>
      <c r="H20743" s="4" t="str">
        <v/>
      </c>
      <c r="I20743" s="4" t="str">
        <v/>
      </c>
    </row>
    <row r="20744" spans="5:9" ht="16.5" hidden="1">
      <c r="E20744" s="4" t="str">
        <v/>
      </c>
      <c r="F20744" s="102" t="str">
        <f ca="1">IFERROR(__xludf.DUMMYFUNCTION("IMPORTRANGE(H20744,""IDENTITAS UNIT!D9"")"),"#N/A")</f>
        <v>#N/A</v>
      </c>
      <c r="H20744" s="4" t="str">
        <v/>
      </c>
      <c r="I20744" s="4" t="str">
        <v/>
      </c>
    </row>
    <row r="20745" spans="5:9" ht="16.5" hidden="1">
      <c r="E20745" s="4" t="str">
        <v/>
      </c>
      <c r="F20745" s="102" t="str">
        <f ca="1">IFERROR(__xludf.DUMMYFUNCTION("IMPORTRANGE(H20745,""IDENTITAS UNIT!D9"")"),"#N/A")</f>
        <v>#N/A</v>
      </c>
      <c r="H20745" s="4" t="str">
        <v/>
      </c>
      <c r="I20745" s="4" t="str">
        <v/>
      </c>
    </row>
    <row r="20746" spans="5:9" ht="16.5" hidden="1">
      <c r="E20746" s="4" t="str">
        <v/>
      </c>
      <c r="F20746" s="102" t="str">
        <f ca="1">IFERROR(__xludf.DUMMYFUNCTION("IMPORTRANGE(H20746,""IDENTITAS UNIT!D9"")"),"#N/A")</f>
        <v>#N/A</v>
      </c>
      <c r="H20746" s="4" t="str">
        <v/>
      </c>
      <c r="I20746" s="4" t="str">
        <v/>
      </c>
    </row>
    <row r="20747" spans="5:9" ht="16.5" hidden="1">
      <c r="E20747" s="4" t="str">
        <v/>
      </c>
      <c r="F20747" s="102" t="str">
        <f ca="1">IFERROR(__xludf.DUMMYFUNCTION("IMPORTRANGE(H20747,""IDENTITAS UNIT!D9"")"),"#N/A")</f>
        <v>#N/A</v>
      </c>
      <c r="H20747" s="4" t="str">
        <v/>
      </c>
      <c r="I20747" s="4" t="str">
        <v/>
      </c>
    </row>
    <row r="20748" spans="5:9" ht="16.5" hidden="1">
      <c r="E20748" s="4" t="str">
        <v/>
      </c>
      <c r="F20748" s="102" t="str">
        <f ca="1">IFERROR(__xludf.DUMMYFUNCTION("IMPORTRANGE(H20748,""IDENTITAS UNIT!D9"")"),"#N/A")</f>
        <v>#N/A</v>
      </c>
      <c r="H20748" s="4" t="str">
        <v/>
      </c>
      <c r="I20748" s="4" t="str">
        <v/>
      </c>
    </row>
    <row r="20749" spans="5:9" ht="16.5" hidden="1">
      <c r="E20749" s="4" t="str">
        <v/>
      </c>
      <c r="F20749" s="102" t="str">
        <f ca="1">IFERROR(__xludf.DUMMYFUNCTION("IMPORTRANGE(H20749,""IDENTITAS UNIT!D9"")"),"#N/A")</f>
        <v>#N/A</v>
      </c>
      <c r="H20749" s="4" t="str">
        <v/>
      </c>
      <c r="I20749" s="4" t="str">
        <v/>
      </c>
    </row>
    <row r="20750" spans="5:9" ht="16.5" hidden="1">
      <c r="E20750" s="4" t="str">
        <v/>
      </c>
      <c r="F20750" s="102" t="str">
        <f ca="1">IFERROR(__xludf.DUMMYFUNCTION("IMPORTRANGE(H20750,""IDENTITAS UNIT!D9"")"),"#N/A")</f>
        <v>#N/A</v>
      </c>
      <c r="H20750" s="4" t="str">
        <v/>
      </c>
      <c r="I20750" s="4" t="str">
        <v/>
      </c>
    </row>
    <row r="20751" spans="5:9" ht="16.5" hidden="1">
      <c r="E20751" s="4" t="str">
        <v/>
      </c>
      <c r="F20751" s="102" t="str">
        <f ca="1">IFERROR(__xludf.DUMMYFUNCTION("IMPORTRANGE(H20751,""IDENTITAS UNIT!D9"")"),"#N/A")</f>
        <v>#N/A</v>
      </c>
      <c r="H20751" s="4" t="str">
        <v/>
      </c>
      <c r="I20751" s="4" t="str">
        <v/>
      </c>
    </row>
    <row r="20752" spans="5:9" ht="16.5" hidden="1">
      <c r="E20752" s="4" t="str">
        <v/>
      </c>
      <c r="F20752" s="102" t="str">
        <f ca="1">IFERROR(__xludf.DUMMYFUNCTION("IMPORTRANGE(H20752,""IDENTITAS UNIT!D9"")"),"#N/A")</f>
        <v>#N/A</v>
      </c>
      <c r="H20752" s="4" t="str">
        <v/>
      </c>
      <c r="I20752" s="4" t="str">
        <v/>
      </c>
    </row>
    <row r="20753" spans="5:9" ht="16.5" hidden="1">
      <c r="E20753" s="4" t="str">
        <v/>
      </c>
      <c r="F20753" s="102" t="str">
        <f ca="1">IFERROR(__xludf.DUMMYFUNCTION("IMPORTRANGE(H20753,""IDENTITAS UNIT!D9"")"),"#N/A")</f>
        <v>#N/A</v>
      </c>
      <c r="H20753" s="4" t="str">
        <v/>
      </c>
      <c r="I20753" s="4" t="str">
        <v/>
      </c>
    </row>
    <row r="20754" spans="5:9" ht="16.5" hidden="1">
      <c r="E20754" s="4" t="str">
        <v/>
      </c>
      <c r="F20754" s="102" t="str">
        <f ca="1">IFERROR(__xludf.DUMMYFUNCTION("IMPORTRANGE(H20754,""IDENTITAS UNIT!D9"")"),"#N/A")</f>
        <v>#N/A</v>
      </c>
      <c r="H20754" s="4" t="str">
        <v/>
      </c>
      <c r="I20754" s="4" t="str">
        <v/>
      </c>
    </row>
    <row r="20755" spans="5:9" ht="16.5" hidden="1">
      <c r="E20755" s="4" t="str">
        <v/>
      </c>
      <c r="F20755" s="102" t="str">
        <f ca="1">IFERROR(__xludf.DUMMYFUNCTION("IMPORTRANGE(H20755,""IDENTITAS UNIT!D9"")"),"#N/A")</f>
        <v>#N/A</v>
      </c>
      <c r="H20755" s="4" t="str">
        <v/>
      </c>
      <c r="I20755" s="4" t="str">
        <v/>
      </c>
    </row>
    <row r="20756" spans="5:9" ht="16.5" hidden="1">
      <c r="E20756" s="4" t="str">
        <v/>
      </c>
      <c r="F20756" s="102" t="str">
        <f ca="1">IFERROR(__xludf.DUMMYFUNCTION("IMPORTRANGE(H20756,""IDENTITAS UNIT!D9"")"),"#N/A")</f>
        <v>#N/A</v>
      </c>
      <c r="H20756" s="4" t="str">
        <v/>
      </c>
      <c r="I20756" s="4" t="str">
        <v/>
      </c>
    </row>
    <row r="20757" spans="5:9" ht="16.5" hidden="1">
      <c r="E20757" s="4" t="str">
        <v/>
      </c>
      <c r="F20757" s="102" t="str">
        <f ca="1">IFERROR(__xludf.DUMMYFUNCTION("IMPORTRANGE(H20757,""IDENTITAS UNIT!D9"")"),"#N/A")</f>
        <v>#N/A</v>
      </c>
      <c r="H20757" s="4" t="str">
        <v/>
      </c>
      <c r="I20757" s="4" t="str">
        <v/>
      </c>
    </row>
    <row r="20758" spans="5:9" ht="16.5" hidden="1">
      <c r="E20758" s="4" t="str">
        <v/>
      </c>
      <c r="F20758" s="102" t="str">
        <f ca="1">IFERROR(__xludf.DUMMYFUNCTION("IMPORTRANGE(H20758,""IDENTITAS UNIT!D9"")"),"#N/A")</f>
        <v>#N/A</v>
      </c>
      <c r="H20758" s="4" t="str">
        <v/>
      </c>
      <c r="I20758" s="4" t="str">
        <v/>
      </c>
    </row>
    <row r="20759" spans="5:9" ht="16.5" hidden="1">
      <c r="E20759" s="4" t="str">
        <v/>
      </c>
      <c r="F20759" s="102" t="str">
        <f ca="1">IFERROR(__xludf.DUMMYFUNCTION("IMPORTRANGE(H20759,""IDENTITAS UNIT!D9"")"),"#N/A")</f>
        <v>#N/A</v>
      </c>
      <c r="H20759" s="4" t="str">
        <v/>
      </c>
      <c r="I20759" s="4" t="str">
        <v/>
      </c>
    </row>
    <row r="20760" spans="5:9" ht="16.5" hidden="1">
      <c r="E20760" s="4" t="str">
        <v/>
      </c>
      <c r="F20760" s="102" t="str">
        <f ca="1">IFERROR(__xludf.DUMMYFUNCTION("IMPORTRANGE(H20760,""IDENTITAS UNIT!D9"")"),"#N/A")</f>
        <v>#N/A</v>
      </c>
      <c r="H20760" s="4" t="str">
        <v/>
      </c>
      <c r="I20760" s="4" t="str">
        <v/>
      </c>
    </row>
    <row r="20761" spans="5:9" ht="16.5" hidden="1">
      <c r="E20761" s="4" t="str">
        <v/>
      </c>
      <c r="F20761" s="102" t="str">
        <f ca="1">IFERROR(__xludf.DUMMYFUNCTION("IMPORTRANGE(H20761,""IDENTITAS UNIT!D9"")"),"#N/A")</f>
        <v>#N/A</v>
      </c>
      <c r="H20761" s="4" t="str">
        <v/>
      </c>
      <c r="I20761" s="4" t="str">
        <v/>
      </c>
    </row>
    <row r="20762" spans="5:9" ht="16.5" hidden="1">
      <c r="E20762" s="4" t="str">
        <v/>
      </c>
      <c r="F20762" s="102" t="str">
        <f ca="1">IFERROR(__xludf.DUMMYFUNCTION("IMPORTRANGE(H20762,""IDENTITAS UNIT!D9"")"),"#N/A")</f>
        <v>#N/A</v>
      </c>
      <c r="H20762" s="4" t="str">
        <v/>
      </c>
      <c r="I20762" s="4" t="str">
        <v/>
      </c>
    </row>
    <row r="20763" spans="5:9" ht="16.5" hidden="1">
      <c r="E20763" s="4" t="str">
        <v/>
      </c>
      <c r="F20763" s="102" t="str">
        <f ca="1">IFERROR(__xludf.DUMMYFUNCTION("IMPORTRANGE(H20763,""IDENTITAS UNIT!D9"")"),"#N/A")</f>
        <v>#N/A</v>
      </c>
      <c r="H20763" s="4" t="str">
        <v/>
      </c>
      <c r="I20763" s="4" t="str">
        <v/>
      </c>
    </row>
    <row r="20764" spans="5:9" ht="16.5" hidden="1">
      <c r="E20764" s="4" t="str">
        <v/>
      </c>
      <c r="F20764" s="102" t="str">
        <f ca="1">IFERROR(__xludf.DUMMYFUNCTION("IMPORTRANGE(H20764,""IDENTITAS UNIT!D9"")"),"#N/A")</f>
        <v>#N/A</v>
      </c>
      <c r="H20764" s="4" t="str">
        <v/>
      </c>
      <c r="I20764" s="4" t="str">
        <v/>
      </c>
    </row>
    <row r="20765" spans="5:9" ht="16.5" hidden="1">
      <c r="E20765" s="4" t="str">
        <v/>
      </c>
      <c r="F20765" s="102" t="str">
        <f ca="1">IFERROR(__xludf.DUMMYFUNCTION("IMPORTRANGE(H20765,""IDENTITAS UNIT!D9"")"),"#N/A")</f>
        <v>#N/A</v>
      </c>
      <c r="H20765" s="4" t="str">
        <v/>
      </c>
      <c r="I20765" s="4" t="str">
        <v/>
      </c>
    </row>
    <row r="20766" spans="5:9" ht="16.5" hidden="1">
      <c r="E20766" s="4" t="str">
        <v/>
      </c>
      <c r="F20766" s="102" t="str">
        <f ca="1">IFERROR(__xludf.DUMMYFUNCTION("IMPORTRANGE(H20766,""IDENTITAS UNIT!D9"")"),"#N/A")</f>
        <v>#N/A</v>
      </c>
      <c r="H20766" s="4" t="str">
        <v/>
      </c>
      <c r="I20766" s="4" t="str">
        <v/>
      </c>
    </row>
    <row r="20767" spans="5:9" ht="16.5" hidden="1">
      <c r="E20767" s="4" t="str">
        <v/>
      </c>
      <c r="F20767" s="102" t="str">
        <f ca="1">IFERROR(__xludf.DUMMYFUNCTION("IMPORTRANGE(H20767,""IDENTITAS UNIT!D9"")"),"#N/A")</f>
        <v>#N/A</v>
      </c>
      <c r="H20767" s="4" t="str">
        <v/>
      </c>
      <c r="I20767" s="4" t="str">
        <v/>
      </c>
    </row>
    <row r="20768" spans="5:9" ht="16.5" hidden="1">
      <c r="E20768" s="4" t="str">
        <v/>
      </c>
      <c r="F20768" s="102" t="str">
        <f ca="1">IFERROR(__xludf.DUMMYFUNCTION("IMPORTRANGE(H20768,""IDENTITAS UNIT!D9"")"),"#N/A")</f>
        <v>#N/A</v>
      </c>
      <c r="H20768" s="4" t="str">
        <v/>
      </c>
      <c r="I20768" s="4" t="str">
        <v/>
      </c>
    </row>
    <row r="20769" spans="5:9" ht="16.5" hidden="1">
      <c r="E20769" s="4" t="str">
        <v/>
      </c>
      <c r="F20769" s="102" t="str">
        <f ca="1">IFERROR(__xludf.DUMMYFUNCTION("IMPORTRANGE(H20769,""IDENTITAS UNIT!D9"")"),"#N/A")</f>
        <v>#N/A</v>
      </c>
      <c r="H20769" s="4" t="str">
        <v/>
      </c>
      <c r="I20769" s="4" t="str">
        <v/>
      </c>
    </row>
    <row r="20770" spans="5:9" ht="16.5" hidden="1">
      <c r="E20770" s="4" t="str">
        <v/>
      </c>
      <c r="F20770" s="102" t="str">
        <f ca="1">IFERROR(__xludf.DUMMYFUNCTION("IMPORTRANGE(H20770,""IDENTITAS UNIT!D9"")"),"#N/A")</f>
        <v>#N/A</v>
      </c>
      <c r="H20770" s="4" t="str">
        <v/>
      </c>
      <c r="I20770" s="4" t="str">
        <v/>
      </c>
    </row>
    <row r="20771" spans="5:9" ht="16.5" hidden="1">
      <c r="E20771" s="4" t="str">
        <v/>
      </c>
      <c r="F20771" s="102" t="str">
        <f ca="1">IFERROR(__xludf.DUMMYFUNCTION("IMPORTRANGE(H20771,""IDENTITAS UNIT!D9"")"),"#N/A")</f>
        <v>#N/A</v>
      </c>
      <c r="H20771" s="4" t="str">
        <v/>
      </c>
      <c r="I20771" s="4" t="str">
        <v/>
      </c>
    </row>
    <row r="20772" spans="5:9" ht="16.5" hidden="1">
      <c r="E20772" s="4" t="str">
        <v/>
      </c>
      <c r="F20772" s="102" t="str">
        <f ca="1">IFERROR(__xludf.DUMMYFUNCTION("IMPORTRANGE(H20772,""IDENTITAS UNIT!D9"")"),"#N/A")</f>
        <v>#N/A</v>
      </c>
      <c r="H20772" s="4" t="str">
        <v/>
      </c>
      <c r="I20772" s="4" t="str">
        <v/>
      </c>
    </row>
    <row r="20773" spans="5:9" ht="16.5" hidden="1">
      <c r="E20773" s="4" t="str">
        <v/>
      </c>
      <c r="F20773" s="102" t="str">
        <f ca="1">IFERROR(__xludf.DUMMYFUNCTION("IMPORTRANGE(H20773,""IDENTITAS UNIT!D9"")"),"#N/A")</f>
        <v>#N/A</v>
      </c>
      <c r="H20773" s="4" t="str">
        <v/>
      </c>
      <c r="I20773" s="4" t="str">
        <v/>
      </c>
    </row>
    <row r="20774" spans="5:9" ht="16.5" hidden="1">
      <c r="E20774" s="4" t="str">
        <v/>
      </c>
      <c r="F20774" s="102" t="str">
        <f ca="1">IFERROR(__xludf.DUMMYFUNCTION("IMPORTRANGE(H20774,""IDENTITAS UNIT!D9"")"),"#N/A")</f>
        <v>#N/A</v>
      </c>
      <c r="H20774" s="4" t="str">
        <v/>
      </c>
      <c r="I20774" s="4" t="str">
        <v/>
      </c>
    </row>
    <row r="20775" spans="5:9" ht="16.5" hidden="1">
      <c r="E20775" s="4" t="str">
        <v/>
      </c>
      <c r="F20775" s="102" t="str">
        <f ca="1">IFERROR(__xludf.DUMMYFUNCTION("IMPORTRANGE(H20775,""IDENTITAS UNIT!D9"")"),"#N/A")</f>
        <v>#N/A</v>
      </c>
      <c r="H20775" s="4" t="str">
        <v/>
      </c>
      <c r="I20775" s="4" t="str">
        <v/>
      </c>
    </row>
    <row r="20776" spans="5:9" ht="16.5" hidden="1">
      <c r="E20776" s="4" t="str">
        <v/>
      </c>
      <c r="F20776" s="102" t="str">
        <f ca="1">IFERROR(__xludf.DUMMYFUNCTION("IMPORTRANGE(H20776,""IDENTITAS UNIT!D9"")"),"#N/A")</f>
        <v>#N/A</v>
      </c>
      <c r="H20776" s="4" t="str">
        <v/>
      </c>
      <c r="I20776" s="4" t="str">
        <v/>
      </c>
    </row>
    <row r="20777" spans="5:9" ht="16.5" hidden="1">
      <c r="E20777" s="4" t="str">
        <v/>
      </c>
      <c r="F20777" s="102" t="str">
        <f ca="1">IFERROR(__xludf.DUMMYFUNCTION("IMPORTRANGE(H20777,""IDENTITAS UNIT!D9"")"),"#N/A")</f>
        <v>#N/A</v>
      </c>
      <c r="H20777" s="4" t="str">
        <v/>
      </c>
      <c r="I20777" s="4" t="str">
        <v/>
      </c>
    </row>
    <row r="20778" spans="5:9" ht="16.5" hidden="1">
      <c r="E20778" s="4" t="str">
        <v/>
      </c>
      <c r="F20778" s="102" t="str">
        <f ca="1">IFERROR(__xludf.DUMMYFUNCTION("IMPORTRANGE(H20778,""IDENTITAS UNIT!D9"")"),"#N/A")</f>
        <v>#N/A</v>
      </c>
      <c r="H20778" s="4" t="str">
        <v/>
      </c>
      <c r="I20778" s="4" t="str">
        <v/>
      </c>
    </row>
    <row r="20779" spans="5:9" ht="16.5" hidden="1">
      <c r="E20779" s="4" t="str">
        <v/>
      </c>
      <c r="F20779" s="102" t="str">
        <f ca="1">IFERROR(__xludf.DUMMYFUNCTION("IMPORTRANGE(H20779,""IDENTITAS UNIT!D9"")"),"#N/A")</f>
        <v>#N/A</v>
      </c>
      <c r="H20779" s="4" t="str">
        <v/>
      </c>
      <c r="I20779" s="4" t="str">
        <v/>
      </c>
    </row>
    <row r="20780" spans="5:9" ht="16.5" hidden="1">
      <c r="E20780" s="4" t="str">
        <v/>
      </c>
      <c r="F20780" s="102" t="str">
        <f ca="1">IFERROR(__xludf.DUMMYFUNCTION("IMPORTRANGE(H20780,""IDENTITAS UNIT!D9"")"),"#N/A")</f>
        <v>#N/A</v>
      </c>
      <c r="H20780" s="4" t="str">
        <v/>
      </c>
      <c r="I20780" s="4" t="str">
        <v/>
      </c>
    </row>
    <row r="20781" spans="5:9" ht="16.5" hidden="1">
      <c r="E20781" s="4" t="str">
        <v/>
      </c>
      <c r="F20781" s="102" t="str">
        <f ca="1">IFERROR(__xludf.DUMMYFUNCTION("IMPORTRANGE(H20781,""IDENTITAS UNIT!D9"")"),"#N/A")</f>
        <v>#N/A</v>
      </c>
      <c r="H20781" s="4" t="str">
        <v/>
      </c>
      <c r="I20781" s="4" t="str">
        <v/>
      </c>
    </row>
    <row r="20782" spans="5:9" ht="16.5" hidden="1">
      <c r="E20782" s="4" t="str">
        <v/>
      </c>
      <c r="F20782" s="102" t="str">
        <f ca="1">IFERROR(__xludf.DUMMYFUNCTION("IMPORTRANGE(H20782,""IDENTITAS UNIT!D9"")"),"#N/A")</f>
        <v>#N/A</v>
      </c>
      <c r="H20782" s="4" t="str">
        <v/>
      </c>
      <c r="I20782" s="4" t="str">
        <v/>
      </c>
    </row>
    <row r="20783" spans="5:9" ht="16.5" hidden="1">
      <c r="E20783" s="4" t="str">
        <v/>
      </c>
      <c r="F20783" s="102" t="str">
        <f ca="1">IFERROR(__xludf.DUMMYFUNCTION("IMPORTRANGE(H20783,""IDENTITAS UNIT!D9"")"),"#N/A")</f>
        <v>#N/A</v>
      </c>
      <c r="H20783" s="4" t="str">
        <v/>
      </c>
      <c r="I20783" s="4" t="str">
        <v/>
      </c>
    </row>
    <row r="20784" spans="5:9" ht="16.5" hidden="1">
      <c r="E20784" s="4" t="str">
        <v/>
      </c>
      <c r="F20784" s="102" t="str">
        <f ca="1">IFERROR(__xludf.DUMMYFUNCTION("IMPORTRANGE(H20784,""IDENTITAS UNIT!D9"")"),"#N/A")</f>
        <v>#N/A</v>
      </c>
      <c r="H20784" s="4" t="str">
        <v/>
      </c>
      <c r="I20784" s="4" t="str">
        <v/>
      </c>
    </row>
    <row r="20785" spans="5:9" ht="16.5" hidden="1">
      <c r="E20785" s="4" t="str">
        <v/>
      </c>
      <c r="F20785" s="102" t="str">
        <f ca="1">IFERROR(__xludf.DUMMYFUNCTION("IMPORTRANGE(H20785,""IDENTITAS UNIT!D9"")"),"#N/A")</f>
        <v>#N/A</v>
      </c>
      <c r="H20785" s="4" t="str">
        <v/>
      </c>
      <c r="I20785" s="4" t="str">
        <v/>
      </c>
    </row>
    <row r="20786" spans="5:9" ht="16.5" hidden="1">
      <c r="E20786" s="4" t="str">
        <v/>
      </c>
      <c r="F20786" s="102" t="str">
        <f ca="1">IFERROR(__xludf.DUMMYFUNCTION("IMPORTRANGE(H20786,""IDENTITAS UNIT!D9"")"),"#N/A")</f>
        <v>#N/A</v>
      </c>
      <c r="H20786" s="4" t="str">
        <v/>
      </c>
      <c r="I20786" s="4" t="str">
        <v/>
      </c>
    </row>
    <row r="20787" spans="5:9" ht="16.5" hidden="1">
      <c r="E20787" s="4" t="str">
        <v/>
      </c>
      <c r="F20787" s="102" t="str">
        <f ca="1">IFERROR(__xludf.DUMMYFUNCTION("IMPORTRANGE(H20787,""IDENTITAS UNIT!D9"")"),"#N/A")</f>
        <v>#N/A</v>
      </c>
      <c r="H20787" s="4" t="str">
        <v/>
      </c>
      <c r="I20787" s="4" t="str">
        <v/>
      </c>
    </row>
    <row r="20788" spans="5:9" ht="16.5" hidden="1">
      <c r="E20788" s="4" t="str">
        <v/>
      </c>
      <c r="F20788" s="102" t="str">
        <f ca="1">IFERROR(__xludf.DUMMYFUNCTION("IMPORTRANGE(H20788,""IDENTITAS UNIT!D9"")"),"#N/A")</f>
        <v>#N/A</v>
      </c>
      <c r="H20788" s="4" t="str">
        <v/>
      </c>
      <c r="I20788" s="4" t="str">
        <v/>
      </c>
    </row>
    <row r="20789" spans="5:9" ht="16.5" hidden="1">
      <c r="E20789" s="4" t="str">
        <v/>
      </c>
      <c r="F20789" s="102" t="str">
        <f ca="1">IFERROR(__xludf.DUMMYFUNCTION("IMPORTRANGE(H20789,""IDENTITAS UNIT!D9"")"),"#N/A")</f>
        <v>#N/A</v>
      </c>
      <c r="H20789" s="4" t="str">
        <v/>
      </c>
      <c r="I20789" s="4" t="str">
        <v/>
      </c>
    </row>
    <row r="20790" spans="5:9" ht="16.5" hidden="1">
      <c r="E20790" s="4" t="str">
        <v/>
      </c>
      <c r="F20790" s="102" t="str">
        <f ca="1">IFERROR(__xludf.DUMMYFUNCTION("IMPORTRANGE(H20790,""IDENTITAS UNIT!D9"")"),"#N/A")</f>
        <v>#N/A</v>
      </c>
      <c r="H20790" s="4" t="str">
        <v/>
      </c>
      <c r="I20790" s="4" t="str">
        <v/>
      </c>
    </row>
    <row r="20791" spans="5:9" ht="16.5" hidden="1">
      <c r="E20791" s="4" t="str">
        <v/>
      </c>
      <c r="F20791" s="102" t="str">
        <f ca="1">IFERROR(__xludf.DUMMYFUNCTION("IMPORTRANGE(H20791,""IDENTITAS UNIT!D9"")"),"#N/A")</f>
        <v>#N/A</v>
      </c>
      <c r="H20791" s="4" t="str">
        <v/>
      </c>
      <c r="I20791" s="4" t="str">
        <v/>
      </c>
    </row>
    <row r="20792" spans="5:9" ht="16.5" hidden="1">
      <c r="E20792" s="4" t="str">
        <v/>
      </c>
      <c r="F20792" s="102" t="str">
        <f ca="1">IFERROR(__xludf.DUMMYFUNCTION("IMPORTRANGE(H20792,""IDENTITAS UNIT!D9"")"),"#N/A")</f>
        <v>#N/A</v>
      </c>
      <c r="H20792" s="4" t="str">
        <v/>
      </c>
      <c r="I20792" s="4" t="str">
        <v/>
      </c>
    </row>
    <row r="20793" spans="5:9" ht="16.5" hidden="1">
      <c r="E20793" s="4" t="str">
        <v/>
      </c>
      <c r="F20793" s="102" t="str">
        <f ca="1">IFERROR(__xludf.DUMMYFUNCTION("IMPORTRANGE(H20793,""IDENTITAS UNIT!D9"")"),"#N/A")</f>
        <v>#N/A</v>
      </c>
      <c r="H20793" s="4" t="str">
        <v/>
      </c>
      <c r="I20793" s="4" t="str">
        <v/>
      </c>
    </row>
    <row r="20794" spans="5:9" ht="16.5" hidden="1">
      <c r="E20794" s="4" t="str">
        <v/>
      </c>
      <c r="F20794" s="102" t="str">
        <f ca="1">IFERROR(__xludf.DUMMYFUNCTION("IMPORTRANGE(H20794,""IDENTITAS UNIT!D9"")"),"#N/A")</f>
        <v>#N/A</v>
      </c>
      <c r="H20794" s="4" t="str">
        <v/>
      </c>
      <c r="I20794" s="4" t="str">
        <v/>
      </c>
    </row>
    <row r="20795" spans="5:9" ht="16.5" hidden="1">
      <c r="E20795" s="4" t="str">
        <v/>
      </c>
      <c r="F20795" s="102" t="str">
        <f ca="1">IFERROR(__xludf.DUMMYFUNCTION("IMPORTRANGE(H20795,""IDENTITAS UNIT!D9"")"),"#N/A")</f>
        <v>#N/A</v>
      </c>
      <c r="H20795" s="4" t="str">
        <v/>
      </c>
      <c r="I20795" s="4" t="str">
        <v/>
      </c>
    </row>
    <row r="20796" spans="5:9" ht="16.5" hidden="1">
      <c r="E20796" s="4" t="str">
        <v/>
      </c>
      <c r="F20796" s="102" t="str">
        <f ca="1">IFERROR(__xludf.DUMMYFUNCTION("IMPORTRANGE(H20796,""IDENTITAS UNIT!D9"")"),"#N/A")</f>
        <v>#N/A</v>
      </c>
      <c r="H20796" s="4" t="str">
        <v/>
      </c>
      <c r="I20796" s="4" t="str">
        <v/>
      </c>
    </row>
    <row r="20797" spans="5:9" ht="16.5" hidden="1">
      <c r="E20797" s="4" t="str">
        <v/>
      </c>
      <c r="F20797" s="102" t="str">
        <f ca="1">IFERROR(__xludf.DUMMYFUNCTION("IMPORTRANGE(H20797,""IDENTITAS UNIT!D9"")"),"#N/A")</f>
        <v>#N/A</v>
      </c>
      <c r="H20797" s="4" t="str">
        <v/>
      </c>
      <c r="I20797" s="4" t="str">
        <v/>
      </c>
    </row>
    <row r="20798" spans="5:9" ht="16.5" hidden="1">
      <c r="E20798" s="4" t="str">
        <v/>
      </c>
      <c r="F20798" s="102" t="str">
        <f ca="1">IFERROR(__xludf.DUMMYFUNCTION("IMPORTRANGE(H20798,""IDENTITAS UNIT!D9"")"),"#N/A")</f>
        <v>#N/A</v>
      </c>
      <c r="H20798" s="4" t="str">
        <v/>
      </c>
      <c r="I20798" s="4" t="str">
        <v/>
      </c>
    </row>
    <row r="20799" spans="5:9" ht="16.5" hidden="1">
      <c r="E20799" s="4" t="str">
        <v/>
      </c>
      <c r="F20799" s="102" t="str">
        <f ca="1">IFERROR(__xludf.DUMMYFUNCTION("IMPORTRANGE(H20799,""IDENTITAS UNIT!D9"")"),"#N/A")</f>
        <v>#N/A</v>
      </c>
      <c r="H20799" s="4" t="str">
        <v/>
      </c>
      <c r="I20799" s="4" t="str">
        <v/>
      </c>
    </row>
    <row r="20800" spans="5:9" ht="16.5" hidden="1">
      <c r="E20800" s="4" t="str">
        <v/>
      </c>
      <c r="F20800" s="102" t="str">
        <f ca="1">IFERROR(__xludf.DUMMYFUNCTION("IMPORTRANGE(H20800,""IDENTITAS UNIT!D9"")"),"#N/A")</f>
        <v>#N/A</v>
      </c>
      <c r="H20800" s="4" t="str">
        <v/>
      </c>
      <c r="I20800" s="4" t="str">
        <v/>
      </c>
    </row>
    <row r="20801" spans="5:9" ht="16.5" hidden="1">
      <c r="E20801" s="4" t="str">
        <v/>
      </c>
      <c r="F20801" s="102" t="str">
        <f ca="1">IFERROR(__xludf.DUMMYFUNCTION("IMPORTRANGE(H20801,""IDENTITAS UNIT!D9"")"),"#N/A")</f>
        <v>#N/A</v>
      </c>
      <c r="H20801" s="4" t="str">
        <v/>
      </c>
      <c r="I20801" s="4" t="str">
        <v/>
      </c>
    </row>
    <row r="20802" spans="5:9" ht="16.5" hidden="1">
      <c r="E20802" s="4" t="str">
        <v/>
      </c>
      <c r="F20802" s="102" t="str">
        <f ca="1">IFERROR(__xludf.DUMMYFUNCTION("IMPORTRANGE(H20802,""IDENTITAS UNIT!D9"")"),"#N/A")</f>
        <v>#N/A</v>
      </c>
      <c r="H20802" s="4" t="str">
        <v/>
      </c>
      <c r="I20802" s="4" t="str">
        <v/>
      </c>
    </row>
    <row r="20803" spans="5:9" ht="16.5" hidden="1">
      <c r="E20803" s="4" t="str">
        <v/>
      </c>
      <c r="F20803" s="102" t="str">
        <f ca="1">IFERROR(__xludf.DUMMYFUNCTION("IMPORTRANGE(H20803,""IDENTITAS UNIT!D9"")"),"#N/A")</f>
        <v>#N/A</v>
      </c>
      <c r="H20803" s="4" t="str">
        <v/>
      </c>
      <c r="I20803" s="4" t="str">
        <v/>
      </c>
    </row>
    <row r="20804" spans="5:9" ht="16.5" hidden="1">
      <c r="E20804" s="4" t="str">
        <v/>
      </c>
      <c r="F20804" s="102" t="str">
        <f ca="1">IFERROR(__xludf.DUMMYFUNCTION("IMPORTRANGE(H20804,""IDENTITAS UNIT!D9"")"),"#N/A")</f>
        <v>#N/A</v>
      </c>
      <c r="H20804" s="4" t="str">
        <v/>
      </c>
      <c r="I20804" s="4" t="str">
        <v/>
      </c>
    </row>
    <row r="20805" spans="5:9" ht="16.5" hidden="1">
      <c r="E20805" s="4" t="str">
        <v/>
      </c>
      <c r="F20805" s="102" t="str">
        <f ca="1">IFERROR(__xludf.DUMMYFUNCTION("IMPORTRANGE(H20805,""IDENTITAS UNIT!D9"")"),"#N/A")</f>
        <v>#N/A</v>
      </c>
      <c r="H20805" s="4" t="str">
        <v/>
      </c>
      <c r="I20805" s="4" t="str">
        <v/>
      </c>
    </row>
    <row r="20806" spans="5:9" ht="16.5" hidden="1">
      <c r="E20806" s="4" t="str">
        <v/>
      </c>
      <c r="F20806" s="102" t="str">
        <f ca="1">IFERROR(__xludf.DUMMYFUNCTION("IMPORTRANGE(H20806,""IDENTITAS UNIT!D9"")"),"#N/A")</f>
        <v>#N/A</v>
      </c>
      <c r="H20806" s="4" t="str">
        <v/>
      </c>
      <c r="I20806" s="4" t="str">
        <v/>
      </c>
    </row>
    <row r="20807" spans="5:9" ht="16.5" hidden="1">
      <c r="E20807" s="4" t="str">
        <v/>
      </c>
      <c r="F20807" s="102" t="str">
        <f ca="1">IFERROR(__xludf.DUMMYFUNCTION("IMPORTRANGE(H20807,""IDENTITAS UNIT!D9"")"),"#N/A")</f>
        <v>#N/A</v>
      </c>
      <c r="H20807" s="4" t="str">
        <v/>
      </c>
      <c r="I20807" s="4" t="str">
        <v/>
      </c>
    </row>
    <row r="20808" spans="5:9" ht="16.5" hidden="1">
      <c r="E20808" s="4" t="str">
        <v/>
      </c>
      <c r="F20808" s="102" t="str">
        <f ca="1">IFERROR(__xludf.DUMMYFUNCTION("IMPORTRANGE(H20808,""IDENTITAS UNIT!D9"")"),"#N/A")</f>
        <v>#N/A</v>
      </c>
      <c r="H20808" s="4" t="str">
        <v/>
      </c>
      <c r="I20808" s="4" t="str">
        <v/>
      </c>
    </row>
    <row r="20809" spans="5:9" ht="16.5" hidden="1">
      <c r="E20809" s="4" t="str">
        <v/>
      </c>
      <c r="F20809" s="102" t="str">
        <f ca="1">IFERROR(__xludf.DUMMYFUNCTION("IMPORTRANGE(H20809,""IDENTITAS UNIT!D9"")"),"#N/A")</f>
        <v>#N/A</v>
      </c>
      <c r="H20809" s="4" t="str">
        <v/>
      </c>
      <c r="I20809" s="4" t="str">
        <v/>
      </c>
    </row>
    <row r="20810" spans="5:9" ht="16.5" hidden="1">
      <c r="E20810" s="4" t="str">
        <v/>
      </c>
      <c r="F20810" s="102" t="str">
        <f ca="1">IFERROR(__xludf.DUMMYFUNCTION("IMPORTRANGE(H20810,""IDENTITAS UNIT!D9"")"),"#N/A")</f>
        <v>#N/A</v>
      </c>
      <c r="H20810" s="4" t="str">
        <v/>
      </c>
      <c r="I20810" s="4" t="str">
        <v/>
      </c>
    </row>
    <row r="20811" spans="5:9" ht="16.5" hidden="1">
      <c r="E20811" s="4" t="str">
        <v/>
      </c>
      <c r="F20811" s="102" t="str">
        <f ca="1">IFERROR(__xludf.DUMMYFUNCTION("IMPORTRANGE(H20811,""IDENTITAS UNIT!D9"")"),"#N/A")</f>
        <v>#N/A</v>
      </c>
      <c r="H20811" s="4" t="str">
        <v/>
      </c>
      <c r="I20811" s="4" t="str">
        <v/>
      </c>
    </row>
    <row r="20812" spans="5:9" ht="16.5" hidden="1">
      <c r="E20812" s="4" t="str">
        <v/>
      </c>
      <c r="F20812" s="102" t="str">
        <f ca="1">IFERROR(__xludf.DUMMYFUNCTION("IMPORTRANGE(H20812,""IDENTITAS UNIT!D9"")"),"#N/A")</f>
        <v>#N/A</v>
      </c>
      <c r="H20812" s="4" t="str">
        <v/>
      </c>
      <c r="I20812" s="4" t="str">
        <v/>
      </c>
    </row>
    <row r="20813" spans="5:9" ht="16.5" hidden="1">
      <c r="E20813" s="4" t="str">
        <v/>
      </c>
      <c r="F20813" s="102" t="str">
        <f ca="1">IFERROR(__xludf.DUMMYFUNCTION("IMPORTRANGE(H20813,""IDENTITAS UNIT!D9"")"),"#N/A")</f>
        <v>#N/A</v>
      </c>
      <c r="H20813" s="4" t="str">
        <v/>
      </c>
      <c r="I20813" s="4" t="str">
        <v/>
      </c>
    </row>
    <row r="20814" spans="5:9" ht="16.5" hidden="1">
      <c r="E20814" s="4" t="str">
        <v/>
      </c>
      <c r="F20814" s="102" t="str">
        <f ca="1">IFERROR(__xludf.DUMMYFUNCTION("IMPORTRANGE(H20814,""IDENTITAS UNIT!D9"")"),"#N/A")</f>
        <v>#N/A</v>
      </c>
      <c r="H20814" s="4" t="str">
        <v/>
      </c>
      <c r="I20814" s="4" t="str">
        <v/>
      </c>
    </row>
    <row r="20815" spans="5:9" ht="16.5" hidden="1">
      <c r="E20815" s="4" t="str">
        <v/>
      </c>
      <c r="F20815" s="102" t="str">
        <f ca="1">IFERROR(__xludf.DUMMYFUNCTION("IMPORTRANGE(H20815,""IDENTITAS UNIT!D9"")"),"#N/A")</f>
        <v>#N/A</v>
      </c>
      <c r="H20815" s="4" t="str">
        <v/>
      </c>
      <c r="I20815" s="4" t="str">
        <v/>
      </c>
    </row>
    <row r="20816" spans="5:9" ht="16.5" hidden="1">
      <c r="E20816" s="4" t="str">
        <v/>
      </c>
      <c r="F20816" s="102" t="str">
        <f ca="1">IFERROR(__xludf.DUMMYFUNCTION("IMPORTRANGE(H20816,""IDENTITAS UNIT!D9"")"),"#N/A")</f>
        <v>#N/A</v>
      </c>
      <c r="H20816" s="4" t="str">
        <v/>
      </c>
      <c r="I20816" s="4" t="str">
        <v/>
      </c>
    </row>
    <row r="20817" spans="5:9" ht="16.5" hidden="1">
      <c r="E20817" s="4" t="str">
        <v/>
      </c>
      <c r="F20817" s="102" t="str">
        <f ca="1">IFERROR(__xludf.DUMMYFUNCTION("IMPORTRANGE(H20817,""IDENTITAS UNIT!D9"")"),"#N/A")</f>
        <v>#N/A</v>
      </c>
      <c r="H20817" s="4" t="str">
        <v/>
      </c>
      <c r="I20817" s="4" t="str">
        <v/>
      </c>
    </row>
    <row r="20818" spans="5:9" ht="16.5" hidden="1">
      <c r="E20818" s="4" t="str">
        <v/>
      </c>
      <c r="F20818" s="102" t="str">
        <f ca="1">IFERROR(__xludf.DUMMYFUNCTION("IMPORTRANGE(H20818,""IDENTITAS UNIT!D9"")"),"#N/A")</f>
        <v>#N/A</v>
      </c>
      <c r="H20818" s="4" t="str">
        <v/>
      </c>
      <c r="I20818" s="4" t="str">
        <v/>
      </c>
    </row>
    <row r="20819" spans="5:9" ht="16.5" hidden="1">
      <c r="E20819" s="4" t="str">
        <v/>
      </c>
      <c r="F20819" s="102" t="str">
        <f ca="1">IFERROR(__xludf.DUMMYFUNCTION("IMPORTRANGE(H20819,""IDENTITAS UNIT!D9"")"),"#N/A")</f>
        <v>#N/A</v>
      </c>
      <c r="H20819" s="4" t="str">
        <v/>
      </c>
      <c r="I20819" s="4" t="str">
        <v/>
      </c>
    </row>
    <row r="20820" spans="5:9" ht="16.5" hidden="1">
      <c r="E20820" s="4" t="str">
        <v/>
      </c>
      <c r="F20820" s="102" t="str">
        <f ca="1">IFERROR(__xludf.DUMMYFUNCTION("IMPORTRANGE(H20820,""IDENTITAS UNIT!D9"")"),"#N/A")</f>
        <v>#N/A</v>
      </c>
      <c r="H20820" s="4" t="str">
        <v/>
      </c>
      <c r="I20820" s="4" t="str">
        <v/>
      </c>
    </row>
    <row r="20821" spans="5:9" ht="16.5" hidden="1">
      <c r="E20821" s="4" t="str">
        <v/>
      </c>
      <c r="F20821" s="102" t="str">
        <f ca="1">IFERROR(__xludf.DUMMYFUNCTION("IMPORTRANGE(H20821,""IDENTITAS UNIT!D9"")"),"#N/A")</f>
        <v>#N/A</v>
      </c>
      <c r="H20821" s="4" t="str">
        <v/>
      </c>
      <c r="I20821" s="4" t="str">
        <v/>
      </c>
    </row>
    <row r="20822" spans="5:9" ht="16.5" hidden="1">
      <c r="E20822" s="4" t="str">
        <v/>
      </c>
      <c r="F20822" s="102" t="str">
        <f ca="1">IFERROR(__xludf.DUMMYFUNCTION("IMPORTRANGE(H20822,""IDENTITAS UNIT!D9"")"),"#N/A")</f>
        <v>#N/A</v>
      </c>
      <c r="H20822" s="4" t="str">
        <v/>
      </c>
      <c r="I20822" s="4" t="str">
        <v/>
      </c>
    </row>
    <row r="20823" spans="5:9" ht="16.5" hidden="1">
      <c r="E20823" s="4" t="str">
        <v/>
      </c>
      <c r="F20823" s="102" t="str">
        <f ca="1">IFERROR(__xludf.DUMMYFUNCTION("IMPORTRANGE(H20823,""IDENTITAS UNIT!D9"")"),"#N/A")</f>
        <v>#N/A</v>
      </c>
      <c r="H20823" s="4" t="str">
        <v/>
      </c>
      <c r="I20823" s="4" t="str">
        <v/>
      </c>
    </row>
    <row r="20824" spans="5:9" ht="16.5" hidden="1">
      <c r="E20824" s="4" t="str">
        <v/>
      </c>
      <c r="F20824" s="102" t="str">
        <f ca="1">IFERROR(__xludf.DUMMYFUNCTION("IMPORTRANGE(H20824,""IDENTITAS UNIT!D9"")"),"#N/A")</f>
        <v>#N/A</v>
      </c>
      <c r="H20824" s="4" t="str">
        <v/>
      </c>
      <c r="I20824" s="4" t="str">
        <v/>
      </c>
    </row>
    <row r="20825" spans="5:9" ht="16.5" hidden="1">
      <c r="E20825" s="4" t="str">
        <v/>
      </c>
      <c r="F20825" s="102" t="str">
        <f ca="1">IFERROR(__xludf.DUMMYFUNCTION("IMPORTRANGE(H20825,""IDENTITAS UNIT!D9"")"),"#N/A")</f>
        <v>#N/A</v>
      </c>
      <c r="H20825" s="4" t="str">
        <v/>
      </c>
      <c r="I20825" s="4" t="str">
        <v/>
      </c>
    </row>
    <row r="20826" spans="5:9" ht="16.5" hidden="1">
      <c r="E20826" s="4" t="str">
        <v/>
      </c>
      <c r="F20826" s="102" t="str">
        <f ca="1">IFERROR(__xludf.DUMMYFUNCTION("IMPORTRANGE(H20826,""IDENTITAS UNIT!D9"")"),"#N/A")</f>
        <v>#N/A</v>
      </c>
      <c r="H20826" s="4" t="str">
        <v/>
      </c>
      <c r="I20826" s="4" t="str">
        <v/>
      </c>
    </row>
    <row r="20827" spans="5:9" ht="16.5" hidden="1">
      <c r="E20827" s="4" t="str">
        <v/>
      </c>
      <c r="F20827" s="102" t="str">
        <f ca="1">IFERROR(__xludf.DUMMYFUNCTION("IMPORTRANGE(H20827,""IDENTITAS UNIT!D9"")"),"#N/A")</f>
        <v>#N/A</v>
      </c>
      <c r="H20827" s="4" t="str">
        <v/>
      </c>
      <c r="I20827" s="4" t="str">
        <v/>
      </c>
    </row>
    <row r="20828" spans="5:9" ht="16.5" hidden="1">
      <c r="E20828" s="4" t="str">
        <v/>
      </c>
      <c r="F20828" s="102" t="str">
        <f ca="1">IFERROR(__xludf.DUMMYFUNCTION("IMPORTRANGE(H20828,""IDENTITAS UNIT!D9"")"),"#N/A")</f>
        <v>#N/A</v>
      </c>
      <c r="H20828" s="4" t="str">
        <v/>
      </c>
      <c r="I20828" s="4" t="str">
        <v/>
      </c>
    </row>
    <row r="20829" spans="5:9" ht="16.5" hidden="1">
      <c r="E20829" s="4" t="str">
        <v/>
      </c>
      <c r="F20829" s="102" t="str">
        <f ca="1">IFERROR(__xludf.DUMMYFUNCTION("IMPORTRANGE(H20829,""IDENTITAS UNIT!D9"")"),"#N/A")</f>
        <v>#N/A</v>
      </c>
      <c r="H20829" s="4" t="str">
        <v/>
      </c>
      <c r="I20829" s="4" t="str">
        <v/>
      </c>
    </row>
    <row r="20830" spans="5:9" ht="16.5" hidden="1">
      <c r="E20830" s="4" t="str">
        <v/>
      </c>
      <c r="F20830" s="102" t="str">
        <f ca="1">IFERROR(__xludf.DUMMYFUNCTION("IMPORTRANGE(H20830,""IDENTITAS UNIT!D9"")"),"#N/A")</f>
        <v>#N/A</v>
      </c>
      <c r="H20830" s="4" t="str">
        <v/>
      </c>
      <c r="I20830" s="4" t="str">
        <v/>
      </c>
    </row>
    <row r="20831" spans="5:9" ht="16.5" hidden="1">
      <c r="E20831" s="4" t="str">
        <v/>
      </c>
      <c r="F20831" s="102" t="str">
        <f ca="1">IFERROR(__xludf.DUMMYFUNCTION("IMPORTRANGE(H20831,""IDENTITAS UNIT!D9"")"),"#N/A")</f>
        <v>#N/A</v>
      </c>
      <c r="H20831" s="4" t="str">
        <v/>
      </c>
      <c r="I20831" s="4" t="str">
        <v/>
      </c>
    </row>
    <row r="20832" spans="5:9" ht="16.5" hidden="1">
      <c r="E20832" s="4" t="str">
        <v/>
      </c>
      <c r="F20832" s="102" t="str">
        <f ca="1">IFERROR(__xludf.DUMMYFUNCTION("IMPORTRANGE(H20832,""IDENTITAS UNIT!D9"")"),"#N/A")</f>
        <v>#N/A</v>
      </c>
      <c r="H20832" s="4" t="str">
        <v/>
      </c>
      <c r="I20832" s="4" t="str">
        <v/>
      </c>
    </row>
    <row r="20833" spans="5:9" ht="16.5" hidden="1">
      <c r="E20833" s="4" t="str">
        <v/>
      </c>
      <c r="F20833" s="102" t="str">
        <f ca="1">IFERROR(__xludf.DUMMYFUNCTION("IMPORTRANGE(H20833,""IDENTITAS UNIT!D9"")"),"#N/A")</f>
        <v>#N/A</v>
      </c>
      <c r="H20833" s="4" t="str">
        <v/>
      </c>
      <c r="I20833" s="4" t="str">
        <v/>
      </c>
    </row>
    <row r="20834" spans="5:9" ht="16.5" hidden="1">
      <c r="E20834" s="4" t="str">
        <v/>
      </c>
      <c r="F20834" s="102" t="str">
        <f ca="1">IFERROR(__xludf.DUMMYFUNCTION("IMPORTRANGE(H20834,""IDENTITAS UNIT!D9"")"),"#N/A")</f>
        <v>#N/A</v>
      </c>
      <c r="H20834" s="4" t="str">
        <v/>
      </c>
      <c r="I20834" s="4" t="str">
        <v/>
      </c>
    </row>
    <row r="20835" spans="5:9" ht="16.5" hidden="1">
      <c r="E20835" s="4" t="str">
        <v/>
      </c>
      <c r="F20835" s="102" t="str">
        <f ca="1">IFERROR(__xludf.DUMMYFUNCTION("IMPORTRANGE(H20835,""IDENTITAS UNIT!D9"")"),"#N/A")</f>
        <v>#N/A</v>
      </c>
      <c r="H20835" s="4" t="str">
        <v/>
      </c>
      <c r="I20835" s="4" t="str">
        <v/>
      </c>
    </row>
    <row r="20836" spans="5:9" ht="16.5" hidden="1">
      <c r="E20836" s="4" t="str">
        <v/>
      </c>
      <c r="F20836" s="102" t="str">
        <f ca="1">IFERROR(__xludf.DUMMYFUNCTION("IMPORTRANGE(H20836,""IDENTITAS UNIT!D9"")"),"#N/A")</f>
        <v>#N/A</v>
      </c>
      <c r="H20836" s="4" t="str">
        <v/>
      </c>
      <c r="I20836" s="4" t="str">
        <v/>
      </c>
    </row>
    <row r="20837" spans="5:9" ht="16.5" hidden="1">
      <c r="E20837" s="4" t="str">
        <v/>
      </c>
      <c r="F20837" s="102" t="str">
        <f ca="1">IFERROR(__xludf.DUMMYFUNCTION("IMPORTRANGE(H20837,""IDENTITAS UNIT!D9"")"),"#N/A")</f>
        <v>#N/A</v>
      </c>
      <c r="H20837" s="4" t="str">
        <v/>
      </c>
      <c r="I20837" s="4" t="str">
        <v/>
      </c>
    </row>
    <row r="20838" spans="5:9" ht="16.5" hidden="1">
      <c r="E20838" s="4" t="str">
        <v/>
      </c>
      <c r="F20838" s="102" t="str">
        <f ca="1">IFERROR(__xludf.DUMMYFUNCTION("IMPORTRANGE(H20838,""IDENTITAS UNIT!D9"")"),"#N/A")</f>
        <v>#N/A</v>
      </c>
      <c r="H20838" s="4" t="str">
        <v/>
      </c>
      <c r="I20838" s="4" t="str">
        <v/>
      </c>
    </row>
    <row r="20839" spans="5:9" ht="16.5" hidden="1">
      <c r="E20839" s="4" t="str">
        <v/>
      </c>
      <c r="F20839" s="102" t="str">
        <f ca="1">IFERROR(__xludf.DUMMYFUNCTION("IMPORTRANGE(H20839,""IDENTITAS UNIT!D9"")"),"#N/A")</f>
        <v>#N/A</v>
      </c>
      <c r="H20839" s="4" t="str">
        <v/>
      </c>
      <c r="I20839" s="4" t="str">
        <v/>
      </c>
    </row>
    <row r="20840" spans="5:9" ht="16.5" hidden="1">
      <c r="E20840" s="4" t="str">
        <v/>
      </c>
      <c r="F20840" s="102" t="str">
        <f ca="1">IFERROR(__xludf.DUMMYFUNCTION("IMPORTRANGE(H20840,""IDENTITAS UNIT!D9"")"),"#N/A")</f>
        <v>#N/A</v>
      </c>
      <c r="H20840" s="4" t="str">
        <v/>
      </c>
      <c r="I20840" s="4" t="str">
        <v/>
      </c>
    </row>
    <row r="20841" spans="5:9" ht="16.5" hidden="1">
      <c r="E20841" s="4" t="str">
        <v/>
      </c>
      <c r="F20841" s="102" t="str">
        <f ca="1">IFERROR(__xludf.DUMMYFUNCTION("IMPORTRANGE(H20841,""IDENTITAS UNIT!D9"")"),"#N/A")</f>
        <v>#N/A</v>
      </c>
      <c r="H20841" s="4" t="str">
        <v/>
      </c>
      <c r="I20841" s="4" t="str">
        <v/>
      </c>
    </row>
    <row r="20842" spans="5:9" ht="16.5" hidden="1">
      <c r="E20842" s="4" t="str">
        <v/>
      </c>
      <c r="F20842" s="102" t="str">
        <f ca="1">IFERROR(__xludf.DUMMYFUNCTION("IMPORTRANGE(H20842,""IDENTITAS UNIT!D9"")"),"#N/A")</f>
        <v>#N/A</v>
      </c>
      <c r="H20842" s="4" t="str">
        <v/>
      </c>
      <c r="I20842" s="4" t="str">
        <v/>
      </c>
    </row>
    <row r="20843" spans="5:9" ht="16.5" hidden="1">
      <c r="E20843" s="4" t="str">
        <v/>
      </c>
      <c r="F20843" s="102" t="str">
        <f ca="1">IFERROR(__xludf.DUMMYFUNCTION("IMPORTRANGE(H20843,""IDENTITAS UNIT!D9"")"),"#N/A")</f>
        <v>#N/A</v>
      </c>
      <c r="H20843" s="4" t="str">
        <v/>
      </c>
      <c r="I20843" s="4" t="str">
        <v/>
      </c>
    </row>
    <row r="20844" spans="5:9" ht="16.5" hidden="1">
      <c r="E20844" s="4" t="str">
        <v/>
      </c>
      <c r="F20844" s="102" t="str">
        <f ca="1">IFERROR(__xludf.DUMMYFUNCTION("IMPORTRANGE(H20844,""IDENTITAS UNIT!D9"")"),"#N/A")</f>
        <v>#N/A</v>
      </c>
      <c r="H20844" s="4" t="str">
        <v/>
      </c>
      <c r="I20844" s="4" t="str">
        <v/>
      </c>
    </row>
    <row r="20845" spans="5:9" ht="16.5" hidden="1">
      <c r="E20845" s="4" t="str">
        <v/>
      </c>
      <c r="F20845" s="102" t="str">
        <f ca="1">IFERROR(__xludf.DUMMYFUNCTION("IMPORTRANGE(H20845,""IDENTITAS UNIT!D9"")"),"#N/A")</f>
        <v>#N/A</v>
      </c>
      <c r="H20845" s="4" t="str">
        <v/>
      </c>
      <c r="I20845" s="4" t="str">
        <v/>
      </c>
    </row>
    <row r="20846" spans="5:9" ht="16.5" hidden="1">
      <c r="E20846" s="4" t="str">
        <v/>
      </c>
      <c r="F20846" s="102" t="str">
        <f ca="1">IFERROR(__xludf.DUMMYFUNCTION("IMPORTRANGE(H20846,""IDENTITAS UNIT!D9"")"),"#N/A")</f>
        <v>#N/A</v>
      </c>
      <c r="H20846" s="4" t="str">
        <v/>
      </c>
      <c r="I20846" s="4" t="str">
        <v/>
      </c>
    </row>
    <row r="20847" spans="5:9" ht="16.5" hidden="1">
      <c r="E20847" s="4" t="str">
        <v/>
      </c>
      <c r="F20847" s="102" t="str">
        <f ca="1">IFERROR(__xludf.DUMMYFUNCTION("IMPORTRANGE(H20847,""IDENTITAS UNIT!D9"")"),"#N/A")</f>
        <v>#N/A</v>
      </c>
      <c r="H20847" s="4" t="str">
        <v/>
      </c>
      <c r="I20847" s="4" t="str">
        <v/>
      </c>
    </row>
    <row r="20848" spans="5:9" ht="16.5" hidden="1">
      <c r="E20848" s="4" t="str">
        <v/>
      </c>
      <c r="F20848" s="102" t="str">
        <f ca="1">IFERROR(__xludf.DUMMYFUNCTION("IMPORTRANGE(H20848,""IDENTITAS UNIT!D9"")"),"#N/A")</f>
        <v>#N/A</v>
      </c>
      <c r="H20848" s="4" t="str">
        <v/>
      </c>
      <c r="I20848" s="4" t="str">
        <v/>
      </c>
    </row>
    <row r="20849" spans="5:9" ht="16.5" hidden="1">
      <c r="E20849" s="4" t="str">
        <v/>
      </c>
      <c r="F20849" s="102" t="str">
        <f ca="1">IFERROR(__xludf.DUMMYFUNCTION("IMPORTRANGE(H20849,""IDENTITAS UNIT!D9"")"),"#N/A")</f>
        <v>#N/A</v>
      </c>
      <c r="H20849" s="4" t="str">
        <v/>
      </c>
      <c r="I20849" s="4" t="str">
        <v/>
      </c>
    </row>
    <row r="20850" spans="5:9" ht="16.5" hidden="1">
      <c r="E20850" s="4" t="str">
        <v/>
      </c>
      <c r="F20850" s="102" t="str">
        <f ca="1">IFERROR(__xludf.DUMMYFUNCTION("IMPORTRANGE(H20850,""IDENTITAS UNIT!D9"")"),"#N/A")</f>
        <v>#N/A</v>
      </c>
      <c r="H20850" s="4" t="str">
        <v/>
      </c>
      <c r="I20850" s="4" t="str">
        <v/>
      </c>
    </row>
    <row r="20851" spans="5:9" ht="16.5" hidden="1">
      <c r="E20851" s="4" t="str">
        <v/>
      </c>
      <c r="F20851" s="102" t="str">
        <f ca="1">IFERROR(__xludf.DUMMYFUNCTION("IMPORTRANGE(H20851,""IDENTITAS UNIT!D9"")"),"#N/A")</f>
        <v>#N/A</v>
      </c>
      <c r="H20851" s="4" t="str">
        <v/>
      </c>
      <c r="I20851" s="4" t="str">
        <v/>
      </c>
    </row>
    <row r="20852" spans="5:9" ht="16.5" hidden="1">
      <c r="E20852" s="4" t="str">
        <v/>
      </c>
      <c r="F20852" s="102" t="str">
        <f ca="1">IFERROR(__xludf.DUMMYFUNCTION("IMPORTRANGE(H20852,""IDENTITAS UNIT!D9"")"),"#N/A")</f>
        <v>#N/A</v>
      </c>
      <c r="H20852" s="4" t="str">
        <v/>
      </c>
      <c r="I20852" s="4" t="str">
        <v/>
      </c>
    </row>
    <row r="20853" spans="5:9" ht="16.5" hidden="1">
      <c r="E20853" s="4" t="str">
        <v/>
      </c>
      <c r="F20853" s="102" t="str">
        <f ca="1">IFERROR(__xludf.DUMMYFUNCTION("IMPORTRANGE(H20853,""IDENTITAS UNIT!D9"")"),"#N/A")</f>
        <v>#N/A</v>
      </c>
      <c r="H20853" s="4" t="str">
        <v/>
      </c>
      <c r="I20853" s="4" t="str">
        <v/>
      </c>
    </row>
    <row r="20854" spans="5:9" ht="16.5" hidden="1">
      <c r="E20854" s="4" t="str">
        <v/>
      </c>
      <c r="F20854" s="102" t="str">
        <f ca="1">IFERROR(__xludf.DUMMYFUNCTION("IMPORTRANGE(H20854,""IDENTITAS UNIT!D9"")"),"#N/A")</f>
        <v>#N/A</v>
      </c>
      <c r="H20854" s="4" t="str">
        <v/>
      </c>
      <c r="I20854" s="4" t="str">
        <v/>
      </c>
    </row>
    <row r="20855" spans="5:9" ht="16.5" hidden="1">
      <c r="E20855" s="4" t="str">
        <v/>
      </c>
      <c r="F20855" s="102" t="str">
        <f ca="1">IFERROR(__xludf.DUMMYFUNCTION("IMPORTRANGE(H20855,""IDENTITAS UNIT!D9"")"),"#N/A")</f>
        <v>#N/A</v>
      </c>
      <c r="H20855" s="4" t="str">
        <v/>
      </c>
      <c r="I20855" s="4" t="str">
        <v/>
      </c>
    </row>
    <row r="20856" spans="5:9" ht="16.5" hidden="1">
      <c r="E20856" s="4" t="str">
        <v/>
      </c>
      <c r="F20856" s="102" t="str">
        <f ca="1">IFERROR(__xludf.DUMMYFUNCTION("IMPORTRANGE(H20856,""IDENTITAS UNIT!D9"")"),"#N/A")</f>
        <v>#N/A</v>
      </c>
      <c r="H20856" s="4" t="str">
        <v/>
      </c>
      <c r="I20856" s="4" t="str">
        <v/>
      </c>
    </row>
    <row r="20857" spans="5:9" ht="16.5" hidden="1">
      <c r="E20857" s="4" t="str">
        <v/>
      </c>
      <c r="F20857" s="102" t="str">
        <f ca="1">IFERROR(__xludf.DUMMYFUNCTION("IMPORTRANGE(H20857,""IDENTITAS UNIT!D9"")"),"#N/A")</f>
        <v>#N/A</v>
      </c>
      <c r="H20857" s="4" t="str">
        <v/>
      </c>
      <c r="I20857" s="4" t="str">
        <v/>
      </c>
    </row>
    <row r="20858" spans="5:9" ht="16.5" hidden="1">
      <c r="E20858" s="4" t="str">
        <v/>
      </c>
      <c r="F20858" s="102" t="str">
        <f ca="1">IFERROR(__xludf.DUMMYFUNCTION("IMPORTRANGE(H20858,""IDENTITAS UNIT!D9"")"),"#N/A")</f>
        <v>#N/A</v>
      </c>
      <c r="H20858" s="4" t="str">
        <v/>
      </c>
      <c r="I20858" s="4" t="str">
        <v/>
      </c>
    </row>
    <row r="20859" spans="5:9" ht="16.5" hidden="1">
      <c r="E20859" s="4" t="str">
        <v/>
      </c>
      <c r="F20859" s="102" t="str">
        <f ca="1">IFERROR(__xludf.DUMMYFUNCTION("IMPORTRANGE(H20859,""IDENTITAS UNIT!D9"")"),"#N/A")</f>
        <v>#N/A</v>
      </c>
      <c r="H20859" s="4" t="str">
        <v/>
      </c>
      <c r="I20859" s="4" t="str">
        <v/>
      </c>
    </row>
    <row r="20860" spans="5:9" ht="16.5" hidden="1">
      <c r="E20860" s="4" t="str">
        <v/>
      </c>
      <c r="F20860" s="102" t="str">
        <f ca="1">IFERROR(__xludf.DUMMYFUNCTION("IMPORTRANGE(H20860,""IDENTITAS UNIT!D9"")"),"#N/A")</f>
        <v>#N/A</v>
      </c>
      <c r="H20860" s="4" t="str">
        <v/>
      </c>
      <c r="I20860" s="4" t="str">
        <v/>
      </c>
    </row>
    <row r="20861" spans="5:9" ht="16.5" hidden="1">
      <c r="E20861" s="4" t="str">
        <v/>
      </c>
      <c r="F20861" s="102" t="str">
        <f ca="1">IFERROR(__xludf.DUMMYFUNCTION("IMPORTRANGE(H20861,""IDENTITAS UNIT!D9"")"),"#N/A")</f>
        <v>#N/A</v>
      </c>
      <c r="H20861" s="4" t="str">
        <v/>
      </c>
      <c r="I20861" s="4" t="str">
        <v/>
      </c>
    </row>
    <row r="20862" spans="5:9" ht="16.5" hidden="1">
      <c r="E20862" s="4" t="str">
        <v/>
      </c>
      <c r="F20862" s="102" t="str">
        <f ca="1">IFERROR(__xludf.DUMMYFUNCTION("IMPORTRANGE(H20862,""IDENTITAS UNIT!D9"")"),"#N/A")</f>
        <v>#N/A</v>
      </c>
      <c r="H20862" s="4" t="str">
        <v/>
      </c>
      <c r="I20862" s="4" t="str">
        <v/>
      </c>
    </row>
    <row r="20863" spans="5:9" ht="16.5" hidden="1">
      <c r="E20863" s="4" t="str">
        <v/>
      </c>
      <c r="F20863" s="102" t="str">
        <f ca="1">IFERROR(__xludf.DUMMYFUNCTION("IMPORTRANGE(H20863,""IDENTITAS UNIT!D9"")"),"#N/A")</f>
        <v>#N/A</v>
      </c>
      <c r="H20863" s="4" t="str">
        <v/>
      </c>
      <c r="I20863" s="4" t="str">
        <v/>
      </c>
    </row>
    <row r="20864" spans="5:9" ht="16.5" hidden="1">
      <c r="E20864" s="4" t="str">
        <v/>
      </c>
      <c r="F20864" s="102" t="str">
        <f ca="1">IFERROR(__xludf.DUMMYFUNCTION("IMPORTRANGE(H20864,""IDENTITAS UNIT!D9"")"),"#N/A")</f>
        <v>#N/A</v>
      </c>
      <c r="H20864" s="4" t="str">
        <v/>
      </c>
      <c r="I20864" s="4" t="str">
        <v/>
      </c>
    </row>
    <row r="20865" spans="5:9" ht="16.5" hidden="1">
      <c r="E20865" s="4" t="str">
        <v/>
      </c>
      <c r="F20865" s="102" t="str">
        <f ca="1">IFERROR(__xludf.DUMMYFUNCTION("IMPORTRANGE(H20865,""IDENTITAS UNIT!D9"")"),"#N/A")</f>
        <v>#N/A</v>
      </c>
      <c r="H20865" s="4" t="str">
        <v/>
      </c>
      <c r="I20865" s="4" t="str">
        <v/>
      </c>
    </row>
    <row r="20866" spans="5:9" ht="16.5" hidden="1">
      <c r="E20866" s="4" t="str">
        <v/>
      </c>
      <c r="F20866" s="102" t="str">
        <f ca="1">IFERROR(__xludf.DUMMYFUNCTION("IMPORTRANGE(H20866,""IDENTITAS UNIT!D9"")"),"#N/A")</f>
        <v>#N/A</v>
      </c>
      <c r="H20866" s="4" t="str">
        <v/>
      </c>
      <c r="I20866" s="4" t="str">
        <v/>
      </c>
    </row>
    <row r="20867" spans="5:9" ht="16.5" hidden="1">
      <c r="E20867" s="4" t="str">
        <v/>
      </c>
      <c r="F20867" s="102" t="str">
        <f ca="1">IFERROR(__xludf.DUMMYFUNCTION("IMPORTRANGE(H20867,""IDENTITAS UNIT!D9"")"),"#N/A")</f>
        <v>#N/A</v>
      </c>
      <c r="H20867" s="4" t="str">
        <v/>
      </c>
      <c r="I20867" s="4" t="str">
        <v/>
      </c>
    </row>
    <row r="20868" spans="5:9" ht="16.5" hidden="1">
      <c r="E20868" s="4" t="str">
        <v/>
      </c>
      <c r="F20868" s="102" t="str">
        <f ca="1">IFERROR(__xludf.DUMMYFUNCTION("IMPORTRANGE(H20868,""IDENTITAS UNIT!D9"")"),"#N/A")</f>
        <v>#N/A</v>
      </c>
      <c r="H20868" s="4" t="str">
        <v/>
      </c>
      <c r="I20868" s="4" t="str">
        <v/>
      </c>
    </row>
    <row r="20869" spans="5:9" ht="16.5" hidden="1">
      <c r="E20869" s="4" t="str">
        <v/>
      </c>
      <c r="F20869" s="102" t="str">
        <f ca="1">IFERROR(__xludf.DUMMYFUNCTION("IMPORTRANGE(H20869,""IDENTITAS UNIT!D9"")"),"#N/A")</f>
        <v>#N/A</v>
      </c>
      <c r="H20869" s="4" t="str">
        <v/>
      </c>
      <c r="I20869" s="4" t="str">
        <v/>
      </c>
    </row>
    <row r="20870" spans="5:9" ht="16.5" hidden="1">
      <c r="E20870" s="4" t="str">
        <v/>
      </c>
      <c r="F20870" s="102" t="str">
        <f ca="1">IFERROR(__xludf.DUMMYFUNCTION("IMPORTRANGE(H20870,""IDENTITAS UNIT!D9"")"),"#N/A")</f>
        <v>#N/A</v>
      </c>
      <c r="H20870" s="4" t="str">
        <v/>
      </c>
      <c r="I20870" s="4" t="str">
        <v/>
      </c>
    </row>
    <row r="20871" spans="5:9" ht="16.5" hidden="1">
      <c r="E20871" s="4" t="str">
        <v/>
      </c>
      <c r="F20871" s="102" t="str">
        <f ca="1">IFERROR(__xludf.DUMMYFUNCTION("IMPORTRANGE(H20871,""IDENTITAS UNIT!D9"")"),"#N/A")</f>
        <v>#N/A</v>
      </c>
      <c r="H20871" s="4" t="str">
        <v/>
      </c>
      <c r="I20871" s="4" t="str">
        <v/>
      </c>
    </row>
    <row r="20872" spans="5:9" ht="16.5" hidden="1">
      <c r="E20872" s="4" t="str">
        <v/>
      </c>
      <c r="F20872" s="102" t="str">
        <f ca="1">IFERROR(__xludf.DUMMYFUNCTION("IMPORTRANGE(H20872,""IDENTITAS UNIT!D9"")"),"#N/A")</f>
        <v>#N/A</v>
      </c>
      <c r="H20872" s="4" t="str">
        <v/>
      </c>
      <c r="I20872" s="4" t="str">
        <v/>
      </c>
    </row>
    <row r="20873" spans="5:9" ht="16.5" hidden="1">
      <c r="E20873" s="4" t="str">
        <v/>
      </c>
      <c r="F20873" s="102" t="str">
        <f ca="1">IFERROR(__xludf.DUMMYFUNCTION("IMPORTRANGE(H20873,""IDENTITAS UNIT!D9"")"),"#N/A")</f>
        <v>#N/A</v>
      </c>
      <c r="H20873" s="4" t="str">
        <v/>
      </c>
      <c r="I20873" s="4" t="str">
        <v/>
      </c>
    </row>
    <row r="20874" spans="5:9" ht="16.5" hidden="1">
      <c r="E20874" s="4" t="str">
        <v/>
      </c>
      <c r="F20874" s="102" t="str">
        <f ca="1">IFERROR(__xludf.DUMMYFUNCTION("IMPORTRANGE(H20874,""IDENTITAS UNIT!D9"")"),"#N/A")</f>
        <v>#N/A</v>
      </c>
      <c r="H20874" s="4" t="str">
        <v/>
      </c>
      <c r="I20874" s="4" t="str">
        <v/>
      </c>
    </row>
    <row r="20875" spans="5:9" ht="16.5" hidden="1">
      <c r="E20875" s="4" t="str">
        <v/>
      </c>
      <c r="F20875" s="102" t="str">
        <f ca="1">IFERROR(__xludf.DUMMYFUNCTION("IMPORTRANGE(H20875,""IDENTITAS UNIT!D9"")"),"#N/A")</f>
        <v>#N/A</v>
      </c>
      <c r="H20875" s="4" t="str">
        <v/>
      </c>
      <c r="I20875" s="4" t="str">
        <v/>
      </c>
    </row>
    <row r="20876" spans="5:9" ht="16.5" hidden="1">
      <c r="E20876" s="4" t="str">
        <v/>
      </c>
      <c r="F20876" s="102" t="str">
        <f ca="1">IFERROR(__xludf.DUMMYFUNCTION("IMPORTRANGE(H20876,""IDENTITAS UNIT!D9"")"),"#N/A")</f>
        <v>#N/A</v>
      </c>
      <c r="H20876" s="4" t="str">
        <v/>
      </c>
      <c r="I20876" s="4" t="str">
        <v/>
      </c>
    </row>
    <row r="20877" spans="5:9" ht="16.5" hidden="1">
      <c r="E20877" s="4" t="str">
        <v/>
      </c>
      <c r="F20877" s="102" t="str">
        <f ca="1">IFERROR(__xludf.DUMMYFUNCTION("IMPORTRANGE(H20877,""IDENTITAS UNIT!D9"")"),"#N/A")</f>
        <v>#N/A</v>
      </c>
      <c r="H20877" s="4" t="str">
        <v/>
      </c>
      <c r="I20877" s="4" t="str">
        <v/>
      </c>
    </row>
    <row r="20878" spans="5:9" ht="16.5" hidden="1">
      <c r="E20878" s="4" t="str">
        <v/>
      </c>
      <c r="F20878" s="102" t="str">
        <f ca="1">IFERROR(__xludf.DUMMYFUNCTION("IMPORTRANGE(H20878,""IDENTITAS UNIT!D9"")"),"#N/A")</f>
        <v>#N/A</v>
      </c>
      <c r="H20878" s="4" t="str">
        <v/>
      </c>
      <c r="I20878" s="4" t="str">
        <v/>
      </c>
    </row>
    <row r="20879" spans="5:9" ht="16.5" hidden="1">
      <c r="E20879" s="4" t="str">
        <v/>
      </c>
      <c r="F20879" s="102" t="str">
        <f ca="1">IFERROR(__xludf.DUMMYFUNCTION("IMPORTRANGE(H20879,""IDENTITAS UNIT!D9"")"),"#N/A")</f>
        <v>#N/A</v>
      </c>
      <c r="H20879" s="4" t="str">
        <v/>
      </c>
      <c r="I20879" s="4" t="str">
        <v/>
      </c>
    </row>
    <row r="20880" spans="5:9" ht="16.5" hidden="1">
      <c r="E20880" s="4" t="str">
        <v/>
      </c>
      <c r="F20880" s="102" t="str">
        <f ca="1">IFERROR(__xludf.DUMMYFUNCTION("IMPORTRANGE(H20880,""IDENTITAS UNIT!D9"")"),"#N/A")</f>
        <v>#N/A</v>
      </c>
      <c r="H20880" s="4" t="str">
        <v/>
      </c>
      <c r="I20880" s="4" t="str">
        <v/>
      </c>
    </row>
    <row r="20881" spans="5:9" ht="16.5" hidden="1">
      <c r="E20881" s="4" t="str">
        <v/>
      </c>
      <c r="F20881" s="102" t="str">
        <f ca="1">IFERROR(__xludf.DUMMYFUNCTION("IMPORTRANGE(H20881,""IDENTITAS UNIT!D9"")"),"#N/A")</f>
        <v>#N/A</v>
      </c>
      <c r="H20881" s="4" t="str">
        <v/>
      </c>
      <c r="I20881" s="4" t="str">
        <v/>
      </c>
    </row>
    <row r="20882" spans="5:9" ht="16.5" hidden="1">
      <c r="E20882" s="4" t="str">
        <v/>
      </c>
      <c r="F20882" s="102" t="str">
        <f ca="1">IFERROR(__xludf.DUMMYFUNCTION("IMPORTRANGE(H20882,""IDENTITAS UNIT!D9"")"),"#N/A")</f>
        <v>#N/A</v>
      </c>
      <c r="H20882" s="4" t="str">
        <v/>
      </c>
      <c r="I20882" s="4" t="str">
        <v/>
      </c>
    </row>
    <row r="20883" spans="5:9" ht="16.5" hidden="1">
      <c r="E20883" s="4" t="str">
        <v/>
      </c>
      <c r="F20883" s="102" t="str">
        <f ca="1">IFERROR(__xludf.DUMMYFUNCTION("IMPORTRANGE(H20883,""IDENTITAS UNIT!D9"")"),"#N/A")</f>
        <v>#N/A</v>
      </c>
      <c r="H20883" s="4" t="str">
        <v/>
      </c>
      <c r="I20883" s="4" t="str">
        <v/>
      </c>
    </row>
    <row r="20884" spans="5:9" ht="16.5" hidden="1">
      <c r="E20884" s="4" t="str">
        <v/>
      </c>
      <c r="F20884" s="102" t="str">
        <f ca="1">IFERROR(__xludf.DUMMYFUNCTION("IMPORTRANGE(H20884,""IDENTITAS UNIT!D9"")"),"#N/A")</f>
        <v>#N/A</v>
      </c>
      <c r="H20884" s="4" t="str">
        <v/>
      </c>
      <c r="I20884" s="4" t="str">
        <v/>
      </c>
    </row>
    <row r="20885" spans="5:9" ht="16.5" hidden="1">
      <c r="E20885" s="4" t="str">
        <v/>
      </c>
      <c r="F20885" s="102" t="str">
        <f ca="1">IFERROR(__xludf.DUMMYFUNCTION("IMPORTRANGE(H20885,""IDENTITAS UNIT!D9"")"),"#N/A")</f>
        <v>#N/A</v>
      </c>
      <c r="H20885" s="4" t="str">
        <v/>
      </c>
      <c r="I20885" s="4" t="str">
        <v/>
      </c>
    </row>
    <row r="20886" spans="5:9" ht="16.5" hidden="1">
      <c r="E20886" s="4" t="str">
        <v/>
      </c>
      <c r="F20886" s="102" t="str">
        <f ca="1">IFERROR(__xludf.DUMMYFUNCTION("IMPORTRANGE(H20886,""IDENTITAS UNIT!D9"")"),"#N/A")</f>
        <v>#N/A</v>
      </c>
      <c r="H20886" s="4" t="str">
        <v/>
      </c>
      <c r="I20886" s="4" t="str">
        <v/>
      </c>
    </row>
    <row r="20887" spans="5:9" ht="16.5" hidden="1">
      <c r="E20887" s="4" t="str">
        <v/>
      </c>
      <c r="F20887" s="102" t="str">
        <f ca="1">IFERROR(__xludf.DUMMYFUNCTION("IMPORTRANGE(H20887,""IDENTITAS UNIT!D9"")"),"#N/A")</f>
        <v>#N/A</v>
      </c>
      <c r="H20887" s="4" t="str">
        <v/>
      </c>
      <c r="I20887" s="4" t="str">
        <v/>
      </c>
    </row>
    <row r="20888" spans="5:9" ht="16.5" hidden="1">
      <c r="E20888" s="4" t="str">
        <v/>
      </c>
      <c r="F20888" s="102" t="str">
        <f ca="1">IFERROR(__xludf.DUMMYFUNCTION("IMPORTRANGE(H20888,""IDENTITAS UNIT!D9"")"),"#N/A")</f>
        <v>#N/A</v>
      </c>
      <c r="H20888" s="4" t="str">
        <v/>
      </c>
      <c r="I20888" s="4" t="str">
        <v/>
      </c>
    </row>
    <row r="20889" spans="5:9" ht="16.5" hidden="1">
      <c r="E20889" s="4" t="str">
        <v/>
      </c>
      <c r="F20889" s="102" t="str">
        <f ca="1">IFERROR(__xludf.DUMMYFUNCTION("IMPORTRANGE(H20889,""IDENTITAS UNIT!D9"")"),"#N/A")</f>
        <v>#N/A</v>
      </c>
      <c r="H20889" s="4" t="str">
        <v/>
      </c>
      <c r="I20889" s="4" t="str">
        <v/>
      </c>
    </row>
    <row r="20890" spans="5:9" ht="16.5" hidden="1">
      <c r="E20890" s="4" t="str">
        <v/>
      </c>
      <c r="F20890" s="102" t="str">
        <f ca="1">IFERROR(__xludf.DUMMYFUNCTION("IMPORTRANGE(H20890,""IDENTITAS UNIT!D9"")"),"#N/A")</f>
        <v>#N/A</v>
      </c>
      <c r="H20890" s="4" t="str">
        <v/>
      </c>
      <c r="I20890" s="4" t="str">
        <v/>
      </c>
    </row>
    <row r="20891" spans="5:9" ht="16.5" hidden="1">
      <c r="E20891" s="4" t="str">
        <v/>
      </c>
      <c r="F20891" s="102" t="str">
        <f ca="1">IFERROR(__xludf.DUMMYFUNCTION("IMPORTRANGE(H20891,""IDENTITAS UNIT!D9"")"),"#N/A")</f>
        <v>#N/A</v>
      </c>
      <c r="H20891" s="4" t="str">
        <v/>
      </c>
      <c r="I20891" s="4" t="str">
        <v/>
      </c>
    </row>
    <row r="20892" spans="5:9" ht="16.5" hidden="1">
      <c r="E20892" s="4" t="str">
        <v/>
      </c>
      <c r="F20892" s="102" t="str">
        <f ca="1">IFERROR(__xludf.DUMMYFUNCTION("IMPORTRANGE(H20892,""IDENTITAS UNIT!D9"")"),"#N/A")</f>
        <v>#N/A</v>
      </c>
      <c r="H20892" s="4" t="str">
        <v/>
      </c>
      <c r="I20892" s="4" t="str">
        <v/>
      </c>
    </row>
    <row r="20893" spans="5:9" ht="16.5" hidden="1">
      <c r="E20893" s="4" t="str">
        <v/>
      </c>
      <c r="F20893" s="102" t="str">
        <f ca="1">IFERROR(__xludf.DUMMYFUNCTION("IMPORTRANGE(H20893,""IDENTITAS UNIT!D9"")"),"#N/A")</f>
        <v>#N/A</v>
      </c>
      <c r="H20893" s="4" t="str">
        <v/>
      </c>
      <c r="I20893" s="4" t="str">
        <v/>
      </c>
    </row>
    <row r="20894" spans="5:9" ht="16.5" hidden="1">
      <c r="E20894" s="4" t="str">
        <v/>
      </c>
      <c r="F20894" s="102" t="str">
        <f ca="1">IFERROR(__xludf.DUMMYFUNCTION("IMPORTRANGE(H20894,""IDENTITAS UNIT!D9"")"),"#N/A")</f>
        <v>#N/A</v>
      </c>
      <c r="H20894" s="4" t="str">
        <v/>
      </c>
      <c r="I20894" s="4" t="str">
        <v/>
      </c>
    </row>
    <row r="20895" spans="5:9" ht="16.5" hidden="1">
      <c r="E20895" s="4" t="str">
        <v/>
      </c>
      <c r="F20895" s="102" t="str">
        <f ca="1">IFERROR(__xludf.DUMMYFUNCTION("IMPORTRANGE(H20895,""IDENTITAS UNIT!D9"")"),"#N/A")</f>
        <v>#N/A</v>
      </c>
      <c r="H20895" s="4" t="str">
        <v/>
      </c>
      <c r="I20895" s="4" t="str">
        <v/>
      </c>
    </row>
    <row r="20896" spans="5:9" ht="16.5" hidden="1">
      <c r="E20896" s="4" t="str">
        <v/>
      </c>
      <c r="F20896" s="102" t="str">
        <f ca="1">IFERROR(__xludf.DUMMYFUNCTION("IMPORTRANGE(H20896,""IDENTITAS UNIT!D9"")"),"#N/A")</f>
        <v>#N/A</v>
      </c>
      <c r="H20896" s="4" t="str">
        <v/>
      </c>
      <c r="I20896" s="4" t="str">
        <v/>
      </c>
    </row>
    <row r="20897" spans="5:9" ht="16.5" hidden="1">
      <c r="E20897" s="4" t="str">
        <v/>
      </c>
      <c r="F20897" s="102" t="str">
        <f ca="1">IFERROR(__xludf.DUMMYFUNCTION("IMPORTRANGE(H20897,""IDENTITAS UNIT!D9"")"),"#N/A")</f>
        <v>#N/A</v>
      </c>
      <c r="H20897" s="4" t="str">
        <v/>
      </c>
      <c r="I20897" s="4" t="str">
        <v/>
      </c>
    </row>
    <row r="20898" spans="5:9" ht="16.5" hidden="1">
      <c r="E20898" s="4" t="str">
        <v/>
      </c>
      <c r="F20898" s="102" t="str">
        <f ca="1">IFERROR(__xludf.DUMMYFUNCTION("IMPORTRANGE(H20898,""IDENTITAS UNIT!D9"")"),"#N/A")</f>
        <v>#N/A</v>
      </c>
      <c r="H20898" s="4" t="str">
        <v/>
      </c>
      <c r="I20898" s="4" t="str">
        <v/>
      </c>
    </row>
    <row r="20899" spans="5:9" ht="16.5" hidden="1">
      <c r="E20899" s="4" t="str">
        <v/>
      </c>
      <c r="F20899" s="102" t="str">
        <f ca="1">IFERROR(__xludf.DUMMYFUNCTION("IMPORTRANGE(H20899,""IDENTITAS UNIT!D9"")"),"#N/A")</f>
        <v>#N/A</v>
      </c>
      <c r="H20899" s="4" t="str">
        <v/>
      </c>
      <c r="I20899" s="4" t="str">
        <v/>
      </c>
    </row>
    <row r="20900" spans="5:9" ht="16.5" hidden="1">
      <c r="E20900" s="4" t="str">
        <v/>
      </c>
      <c r="F20900" s="102" t="str">
        <f ca="1">IFERROR(__xludf.DUMMYFUNCTION("IMPORTRANGE(H20900,""IDENTITAS UNIT!D9"")"),"#N/A")</f>
        <v>#N/A</v>
      </c>
      <c r="H20900" s="4" t="str">
        <v/>
      </c>
      <c r="I20900" s="4" t="str">
        <v/>
      </c>
    </row>
    <row r="20901" spans="5:9" ht="16.5" hidden="1">
      <c r="E20901" s="4" t="str">
        <v/>
      </c>
      <c r="F20901" s="102" t="str">
        <f ca="1">IFERROR(__xludf.DUMMYFUNCTION("IMPORTRANGE(H20901,""IDENTITAS UNIT!D9"")"),"#N/A")</f>
        <v>#N/A</v>
      </c>
      <c r="H20901" s="4" t="str">
        <v/>
      </c>
      <c r="I20901" s="4" t="str">
        <v/>
      </c>
    </row>
    <row r="20902" spans="5:9" ht="16.5" hidden="1">
      <c r="E20902" s="4" t="str">
        <v/>
      </c>
      <c r="F20902" s="102" t="str">
        <f ca="1">IFERROR(__xludf.DUMMYFUNCTION("IMPORTRANGE(H20902,""IDENTITAS UNIT!D9"")"),"#N/A")</f>
        <v>#N/A</v>
      </c>
      <c r="H20902" s="4" t="str">
        <v/>
      </c>
      <c r="I20902" s="4" t="str">
        <v/>
      </c>
    </row>
    <row r="20903" spans="5:9" ht="16.5" hidden="1">
      <c r="E20903" s="4" t="str">
        <v/>
      </c>
      <c r="F20903" s="102" t="str">
        <f ca="1">IFERROR(__xludf.DUMMYFUNCTION("IMPORTRANGE(H20903,""IDENTITAS UNIT!D9"")"),"#N/A")</f>
        <v>#N/A</v>
      </c>
      <c r="H20903" s="4" t="str">
        <v/>
      </c>
      <c r="I20903" s="4" t="str">
        <v/>
      </c>
    </row>
    <row r="20904" spans="5:9" ht="16.5" hidden="1">
      <c r="E20904" s="4" t="str">
        <v/>
      </c>
      <c r="F20904" s="102" t="str">
        <f ca="1">IFERROR(__xludf.DUMMYFUNCTION("IMPORTRANGE(H20904,""IDENTITAS UNIT!D9"")"),"#N/A")</f>
        <v>#N/A</v>
      </c>
      <c r="H20904" s="4" t="str">
        <v/>
      </c>
      <c r="I20904" s="4" t="str">
        <v/>
      </c>
    </row>
    <row r="20905" spans="5:9" ht="16.5" hidden="1">
      <c r="E20905" s="4" t="str">
        <v/>
      </c>
      <c r="F20905" s="102" t="str">
        <f ca="1">IFERROR(__xludf.DUMMYFUNCTION("IMPORTRANGE(H20905,""IDENTITAS UNIT!D9"")"),"#N/A")</f>
        <v>#N/A</v>
      </c>
      <c r="H20905" s="4" t="str">
        <v/>
      </c>
      <c r="I20905" s="4" t="str">
        <v/>
      </c>
    </row>
    <row r="20906" spans="5:9" ht="16.5" hidden="1">
      <c r="E20906" s="4" t="str">
        <v/>
      </c>
      <c r="F20906" s="102" t="str">
        <f ca="1">IFERROR(__xludf.DUMMYFUNCTION("IMPORTRANGE(H20906,""IDENTITAS UNIT!D9"")"),"#N/A")</f>
        <v>#N/A</v>
      </c>
      <c r="H20906" s="4" t="str">
        <v/>
      </c>
      <c r="I20906" s="4" t="str">
        <v/>
      </c>
    </row>
    <row r="20907" spans="5:9" ht="16.5" hidden="1">
      <c r="E20907" s="4" t="str">
        <v/>
      </c>
      <c r="F20907" s="102" t="str">
        <f ca="1">IFERROR(__xludf.DUMMYFUNCTION("IMPORTRANGE(H20907,""IDENTITAS UNIT!D9"")"),"#N/A")</f>
        <v>#N/A</v>
      </c>
      <c r="H20907" s="4" t="str">
        <v/>
      </c>
      <c r="I20907" s="4" t="str">
        <v/>
      </c>
    </row>
    <row r="20908" spans="5:9" ht="16.5" hidden="1">
      <c r="E20908" s="4" t="str">
        <v/>
      </c>
      <c r="F20908" s="102" t="str">
        <f ca="1">IFERROR(__xludf.DUMMYFUNCTION("IMPORTRANGE(H20908,""IDENTITAS UNIT!D9"")"),"#N/A")</f>
        <v>#N/A</v>
      </c>
      <c r="H20908" s="4" t="str">
        <v/>
      </c>
      <c r="I20908" s="4" t="str">
        <v/>
      </c>
    </row>
    <row r="20909" spans="5:9" ht="16.5" hidden="1">
      <c r="E20909" s="4" t="str">
        <v/>
      </c>
      <c r="F20909" s="102" t="str">
        <f ca="1">IFERROR(__xludf.DUMMYFUNCTION("IMPORTRANGE(H20909,""IDENTITAS UNIT!D9"")"),"#N/A")</f>
        <v>#N/A</v>
      </c>
      <c r="H20909" s="4" t="str">
        <v/>
      </c>
      <c r="I20909" s="4" t="str">
        <v/>
      </c>
    </row>
    <row r="20910" spans="5:9" ht="16.5" hidden="1">
      <c r="E20910" s="4" t="str">
        <v/>
      </c>
      <c r="F20910" s="102" t="str">
        <f ca="1">IFERROR(__xludf.DUMMYFUNCTION("IMPORTRANGE(H20910,""IDENTITAS UNIT!D9"")"),"#N/A")</f>
        <v>#N/A</v>
      </c>
      <c r="H20910" s="4" t="str">
        <v/>
      </c>
      <c r="I20910" s="4" t="str">
        <v/>
      </c>
    </row>
    <row r="20911" spans="5:9" ht="16.5" hidden="1">
      <c r="E20911" s="4" t="str">
        <v/>
      </c>
      <c r="F20911" s="102" t="str">
        <f ca="1">IFERROR(__xludf.DUMMYFUNCTION("IMPORTRANGE(H20911,""IDENTITAS UNIT!D9"")"),"#N/A")</f>
        <v>#N/A</v>
      </c>
      <c r="H20911" s="4" t="str">
        <v/>
      </c>
      <c r="I20911" s="4" t="str">
        <v/>
      </c>
    </row>
    <row r="20912" spans="5:9" ht="16.5" hidden="1">
      <c r="E20912" s="4" t="str">
        <v/>
      </c>
      <c r="F20912" s="102" t="str">
        <f ca="1">IFERROR(__xludf.DUMMYFUNCTION("IMPORTRANGE(H20912,""IDENTITAS UNIT!D9"")"),"#N/A")</f>
        <v>#N/A</v>
      </c>
      <c r="H20912" s="4" t="str">
        <v/>
      </c>
      <c r="I20912" s="4" t="str">
        <v/>
      </c>
    </row>
    <row r="20913" spans="5:9" ht="16.5" hidden="1">
      <c r="E20913" s="4" t="str">
        <v/>
      </c>
      <c r="F20913" s="102" t="str">
        <f ca="1">IFERROR(__xludf.DUMMYFUNCTION("IMPORTRANGE(H20913,""IDENTITAS UNIT!D9"")"),"#N/A")</f>
        <v>#N/A</v>
      </c>
      <c r="H20913" s="4" t="str">
        <v/>
      </c>
      <c r="I20913" s="4" t="str">
        <v/>
      </c>
    </row>
    <row r="20914" spans="5:9" ht="16.5" hidden="1">
      <c r="E20914" s="4" t="str">
        <v/>
      </c>
      <c r="F20914" s="102" t="str">
        <f ca="1">IFERROR(__xludf.DUMMYFUNCTION("IMPORTRANGE(H20914,""IDENTITAS UNIT!D9"")"),"#N/A")</f>
        <v>#N/A</v>
      </c>
      <c r="H20914" s="4" t="str">
        <v/>
      </c>
      <c r="I20914" s="4" t="str">
        <v/>
      </c>
    </row>
    <row r="20915" spans="5:9" ht="16.5" hidden="1">
      <c r="E20915" s="4" t="str">
        <v/>
      </c>
      <c r="F20915" s="102" t="str">
        <f ca="1">IFERROR(__xludf.DUMMYFUNCTION("IMPORTRANGE(H20915,""IDENTITAS UNIT!D9"")"),"#N/A")</f>
        <v>#N/A</v>
      </c>
      <c r="H20915" s="4" t="str">
        <v/>
      </c>
      <c r="I20915" s="4" t="str">
        <v/>
      </c>
    </row>
    <row r="20916" spans="5:9" ht="16.5" hidden="1">
      <c r="E20916" s="4" t="str">
        <v/>
      </c>
      <c r="F20916" s="102" t="str">
        <f ca="1">IFERROR(__xludf.DUMMYFUNCTION("IMPORTRANGE(H20916,""IDENTITAS UNIT!D9"")"),"#N/A")</f>
        <v>#N/A</v>
      </c>
      <c r="H20916" s="4" t="str">
        <v/>
      </c>
      <c r="I20916" s="4" t="str">
        <v/>
      </c>
    </row>
    <row r="20917" spans="5:9" ht="16.5" hidden="1">
      <c r="E20917" s="4" t="str">
        <v/>
      </c>
      <c r="F20917" s="102" t="str">
        <f ca="1">IFERROR(__xludf.DUMMYFUNCTION("IMPORTRANGE(H20917,""IDENTITAS UNIT!D9"")"),"#N/A")</f>
        <v>#N/A</v>
      </c>
      <c r="H20917" s="4" t="str">
        <v/>
      </c>
      <c r="I20917" s="4" t="str">
        <v/>
      </c>
    </row>
    <row r="20918" spans="5:9" ht="16.5" hidden="1">
      <c r="E20918" s="4" t="str">
        <v/>
      </c>
      <c r="F20918" s="102" t="str">
        <f ca="1">IFERROR(__xludf.DUMMYFUNCTION("IMPORTRANGE(H20918,""IDENTITAS UNIT!D9"")"),"#N/A")</f>
        <v>#N/A</v>
      </c>
      <c r="H20918" s="4" t="str">
        <v/>
      </c>
      <c r="I20918" s="4" t="str">
        <v/>
      </c>
    </row>
    <row r="20919" spans="5:9" ht="16.5" hidden="1">
      <c r="E20919" s="4" t="str">
        <v/>
      </c>
      <c r="F20919" s="102" t="str">
        <f ca="1">IFERROR(__xludf.DUMMYFUNCTION("IMPORTRANGE(H20919,""IDENTITAS UNIT!D9"")"),"#N/A")</f>
        <v>#N/A</v>
      </c>
      <c r="H20919" s="4" t="str">
        <v/>
      </c>
      <c r="I20919" s="4" t="str">
        <v/>
      </c>
    </row>
    <row r="20920" spans="5:9" ht="16.5" hidden="1">
      <c r="E20920" s="4" t="str">
        <v/>
      </c>
      <c r="F20920" s="102" t="str">
        <f ca="1">IFERROR(__xludf.DUMMYFUNCTION("IMPORTRANGE(H20920,""IDENTITAS UNIT!D9"")"),"#N/A")</f>
        <v>#N/A</v>
      </c>
      <c r="H20920" s="4" t="str">
        <v/>
      </c>
      <c r="I20920" s="4" t="str">
        <v/>
      </c>
    </row>
    <row r="20921" spans="5:9" ht="16.5" hidden="1">
      <c r="E20921" s="4" t="str">
        <v/>
      </c>
      <c r="F20921" s="102" t="str">
        <f ca="1">IFERROR(__xludf.DUMMYFUNCTION("IMPORTRANGE(H20921,""IDENTITAS UNIT!D9"")"),"#N/A")</f>
        <v>#N/A</v>
      </c>
      <c r="H20921" s="4" t="str">
        <v/>
      </c>
      <c r="I20921" s="4" t="str">
        <v/>
      </c>
    </row>
    <row r="20922" spans="5:9" ht="16.5" hidden="1">
      <c r="E20922" s="4" t="str">
        <v/>
      </c>
      <c r="F20922" s="102" t="str">
        <f ca="1">IFERROR(__xludf.DUMMYFUNCTION("IMPORTRANGE(H20922,""IDENTITAS UNIT!D9"")"),"#N/A")</f>
        <v>#N/A</v>
      </c>
      <c r="H20922" s="4" t="str">
        <v/>
      </c>
      <c r="I20922" s="4" t="str">
        <v/>
      </c>
    </row>
    <row r="20923" spans="5:9" ht="16.5" hidden="1">
      <c r="E20923" s="4" t="str">
        <v/>
      </c>
      <c r="F20923" s="102" t="str">
        <f ca="1">IFERROR(__xludf.DUMMYFUNCTION("IMPORTRANGE(H20923,""IDENTITAS UNIT!D9"")"),"#N/A")</f>
        <v>#N/A</v>
      </c>
      <c r="H20923" s="4" t="str">
        <v/>
      </c>
      <c r="I20923" s="4" t="str">
        <v/>
      </c>
    </row>
    <row r="20924" spans="5:9" ht="16.5" hidden="1">
      <c r="E20924" s="4" t="str">
        <v/>
      </c>
      <c r="F20924" s="102" t="str">
        <f ca="1">IFERROR(__xludf.DUMMYFUNCTION("IMPORTRANGE(H20924,""IDENTITAS UNIT!D9"")"),"#N/A")</f>
        <v>#N/A</v>
      </c>
      <c r="H20924" s="4" t="str">
        <v/>
      </c>
      <c r="I20924" s="4" t="str">
        <v/>
      </c>
    </row>
    <row r="20925" spans="5:9" ht="16.5" hidden="1">
      <c r="E20925" s="4" t="str">
        <v/>
      </c>
      <c r="F20925" s="102" t="str">
        <f ca="1">IFERROR(__xludf.DUMMYFUNCTION("IMPORTRANGE(H20925,""IDENTITAS UNIT!D9"")"),"#N/A")</f>
        <v>#N/A</v>
      </c>
      <c r="H20925" s="4" t="str">
        <v/>
      </c>
      <c r="I20925" s="4" t="str">
        <v/>
      </c>
    </row>
    <row r="20926" spans="5:9" ht="16.5" hidden="1">
      <c r="E20926" s="4" t="str">
        <v/>
      </c>
      <c r="F20926" s="102" t="str">
        <f ca="1">IFERROR(__xludf.DUMMYFUNCTION("IMPORTRANGE(H20926,""IDENTITAS UNIT!D9"")"),"#N/A")</f>
        <v>#N/A</v>
      </c>
      <c r="H20926" s="4" t="str">
        <v/>
      </c>
      <c r="I20926" s="4" t="str">
        <v/>
      </c>
    </row>
    <row r="20927" spans="5:9" ht="16.5" hidden="1">
      <c r="E20927" s="4" t="str">
        <v/>
      </c>
      <c r="F20927" s="102" t="str">
        <f ca="1">IFERROR(__xludf.DUMMYFUNCTION("IMPORTRANGE(H20927,""IDENTITAS UNIT!D9"")"),"#N/A")</f>
        <v>#N/A</v>
      </c>
      <c r="H20927" s="4" t="str">
        <v/>
      </c>
      <c r="I20927" s="4" t="str">
        <v/>
      </c>
    </row>
    <row r="20928" spans="5:9" ht="16.5" hidden="1">
      <c r="E20928" s="4" t="str">
        <v/>
      </c>
      <c r="F20928" s="102" t="str">
        <f ca="1">IFERROR(__xludf.DUMMYFUNCTION("IMPORTRANGE(H20928,""IDENTITAS UNIT!D9"")"),"#N/A")</f>
        <v>#N/A</v>
      </c>
      <c r="H20928" s="4" t="str">
        <v/>
      </c>
      <c r="I20928" s="4" t="str">
        <v/>
      </c>
    </row>
    <row r="20929" spans="5:9" ht="16.5" hidden="1">
      <c r="E20929" s="4" t="str">
        <v/>
      </c>
      <c r="F20929" s="102" t="str">
        <f ca="1">IFERROR(__xludf.DUMMYFUNCTION("IMPORTRANGE(H20929,""IDENTITAS UNIT!D9"")"),"#N/A")</f>
        <v>#N/A</v>
      </c>
      <c r="H20929" s="4" t="str">
        <v/>
      </c>
      <c r="I20929" s="4" t="str">
        <v/>
      </c>
    </row>
    <row r="20930" spans="5:9" ht="16.5" hidden="1">
      <c r="E20930" s="4" t="str">
        <v/>
      </c>
      <c r="F20930" s="102" t="str">
        <f ca="1">IFERROR(__xludf.DUMMYFUNCTION("IMPORTRANGE(H20930,""IDENTITAS UNIT!D9"")"),"#N/A")</f>
        <v>#N/A</v>
      </c>
      <c r="H20930" s="4" t="str">
        <v/>
      </c>
      <c r="I20930" s="4" t="str">
        <v/>
      </c>
    </row>
    <row r="20931" spans="5:9" ht="16.5" hidden="1">
      <c r="E20931" s="4" t="str">
        <v/>
      </c>
      <c r="F20931" s="102" t="str">
        <f ca="1">IFERROR(__xludf.DUMMYFUNCTION("IMPORTRANGE(H20931,""IDENTITAS UNIT!D9"")"),"#N/A")</f>
        <v>#N/A</v>
      </c>
      <c r="H20931" s="4" t="str">
        <v/>
      </c>
      <c r="I20931" s="4" t="str">
        <v/>
      </c>
    </row>
    <row r="20932" spans="5:9" ht="16.5" hidden="1">
      <c r="E20932" s="4" t="str">
        <v/>
      </c>
      <c r="F20932" s="102" t="str">
        <f ca="1">IFERROR(__xludf.DUMMYFUNCTION("IMPORTRANGE(H20932,""IDENTITAS UNIT!D9"")"),"#N/A")</f>
        <v>#N/A</v>
      </c>
      <c r="H20932" s="4" t="str">
        <v/>
      </c>
      <c r="I20932" s="4" t="str">
        <v/>
      </c>
    </row>
    <row r="20933" spans="5:9" ht="16.5" hidden="1">
      <c r="E20933" s="4" t="str">
        <v/>
      </c>
      <c r="F20933" s="102" t="str">
        <f ca="1">IFERROR(__xludf.DUMMYFUNCTION("IMPORTRANGE(H20933,""IDENTITAS UNIT!D9"")"),"#N/A")</f>
        <v>#N/A</v>
      </c>
      <c r="H20933" s="4" t="str">
        <v/>
      </c>
      <c r="I20933" s="4" t="str">
        <v/>
      </c>
    </row>
    <row r="20934" spans="5:9" ht="16.5" hidden="1">
      <c r="E20934" s="4" t="str">
        <v/>
      </c>
      <c r="F20934" s="102" t="str">
        <f ca="1">IFERROR(__xludf.DUMMYFUNCTION("IMPORTRANGE(H20934,""IDENTITAS UNIT!D9"")"),"#N/A")</f>
        <v>#N/A</v>
      </c>
      <c r="H20934" s="4" t="str">
        <v/>
      </c>
      <c r="I20934" s="4" t="str">
        <v/>
      </c>
    </row>
    <row r="20935" spans="5:9" ht="16.5" hidden="1">
      <c r="E20935" s="4" t="str">
        <v/>
      </c>
      <c r="F20935" s="102" t="str">
        <f ca="1">IFERROR(__xludf.DUMMYFUNCTION("IMPORTRANGE(H20935,""IDENTITAS UNIT!D9"")"),"#N/A")</f>
        <v>#N/A</v>
      </c>
      <c r="H20935" s="4" t="str">
        <v/>
      </c>
      <c r="I20935" s="4" t="str">
        <v/>
      </c>
    </row>
    <row r="20936" spans="5:9" ht="16.5" hidden="1">
      <c r="E20936" s="4" t="str">
        <v/>
      </c>
      <c r="F20936" s="102" t="str">
        <f ca="1">IFERROR(__xludf.DUMMYFUNCTION("IMPORTRANGE(H20936,""IDENTITAS UNIT!D9"")"),"#N/A")</f>
        <v>#N/A</v>
      </c>
      <c r="H20936" s="4" t="str">
        <v/>
      </c>
      <c r="I20936" s="4" t="str">
        <v/>
      </c>
    </row>
    <row r="20937" spans="5:9" ht="16.5" hidden="1">
      <c r="E20937" s="4" t="str">
        <v/>
      </c>
      <c r="F20937" s="102" t="str">
        <f ca="1">IFERROR(__xludf.DUMMYFUNCTION("IMPORTRANGE(H20937,""IDENTITAS UNIT!D9"")"),"#N/A")</f>
        <v>#N/A</v>
      </c>
      <c r="H20937" s="4" t="str">
        <v/>
      </c>
      <c r="I20937" s="4" t="str">
        <v/>
      </c>
    </row>
    <row r="20938" spans="5:9" ht="16.5" hidden="1">
      <c r="E20938" s="4" t="str">
        <v/>
      </c>
      <c r="F20938" s="102" t="str">
        <f ca="1">IFERROR(__xludf.DUMMYFUNCTION("IMPORTRANGE(H20938,""IDENTITAS UNIT!D9"")"),"#N/A")</f>
        <v>#N/A</v>
      </c>
      <c r="H20938" s="4" t="str">
        <v/>
      </c>
      <c r="I20938" s="4" t="str">
        <v/>
      </c>
    </row>
    <row r="20939" spans="5:9" ht="16.5" hidden="1">
      <c r="E20939" s="4" t="str">
        <v/>
      </c>
      <c r="F20939" s="102" t="str">
        <f ca="1">IFERROR(__xludf.DUMMYFUNCTION("IMPORTRANGE(H20939,""IDENTITAS UNIT!D9"")"),"#N/A")</f>
        <v>#N/A</v>
      </c>
      <c r="H20939" s="4" t="str">
        <v/>
      </c>
      <c r="I20939" s="4" t="str">
        <v/>
      </c>
    </row>
    <row r="20940" spans="5:9" ht="16.5" hidden="1">
      <c r="E20940" s="4" t="str">
        <v/>
      </c>
      <c r="F20940" s="102" t="str">
        <f ca="1">IFERROR(__xludf.DUMMYFUNCTION("IMPORTRANGE(H20940,""IDENTITAS UNIT!D9"")"),"#N/A")</f>
        <v>#N/A</v>
      </c>
      <c r="H20940" s="4" t="str">
        <v/>
      </c>
      <c r="I20940" s="4" t="str">
        <v/>
      </c>
    </row>
    <row r="20941" spans="5:9" ht="16.5" hidden="1">
      <c r="E20941" s="4" t="str">
        <v/>
      </c>
      <c r="F20941" s="102" t="str">
        <f ca="1">IFERROR(__xludf.DUMMYFUNCTION("IMPORTRANGE(H20941,""IDENTITAS UNIT!D9"")"),"#N/A")</f>
        <v>#N/A</v>
      </c>
      <c r="H20941" s="4" t="str">
        <v/>
      </c>
      <c r="I20941" s="4" t="str">
        <v/>
      </c>
    </row>
    <row r="20942" spans="5:9" ht="16.5" hidden="1">
      <c r="E20942" s="4" t="str">
        <v/>
      </c>
      <c r="F20942" s="102" t="str">
        <f ca="1">IFERROR(__xludf.DUMMYFUNCTION("IMPORTRANGE(H20942,""IDENTITAS UNIT!D9"")"),"#N/A")</f>
        <v>#N/A</v>
      </c>
      <c r="H20942" s="4" t="str">
        <v/>
      </c>
      <c r="I20942" s="4" t="str">
        <v/>
      </c>
    </row>
    <row r="20943" spans="5:9" ht="16.5" hidden="1">
      <c r="E20943" s="4" t="str">
        <v/>
      </c>
      <c r="F20943" s="102" t="str">
        <f ca="1">IFERROR(__xludf.DUMMYFUNCTION("IMPORTRANGE(H20943,""IDENTITAS UNIT!D9"")"),"#N/A")</f>
        <v>#N/A</v>
      </c>
      <c r="H20943" s="4" t="str">
        <v/>
      </c>
      <c r="I20943" s="4" t="str">
        <v/>
      </c>
    </row>
    <row r="20944" spans="5:9" ht="16.5" hidden="1">
      <c r="E20944" s="4" t="str">
        <v/>
      </c>
      <c r="F20944" s="102" t="str">
        <f ca="1">IFERROR(__xludf.DUMMYFUNCTION("IMPORTRANGE(H20944,""IDENTITAS UNIT!D9"")"),"#N/A")</f>
        <v>#N/A</v>
      </c>
      <c r="H20944" s="4" t="str">
        <v/>
      </c>
      <c r="I20944" s="4" t="str">
        <v/>
      </c>
    </row>
    <row r="20945" spans="5:9" ht="16.5" hidden="1">
      <c r="E20945" s="4" t="str">
        <v/>
      </c>
      <c r="F20945" s="102" t="str">
        <f ca="1">IFERROR(__xludf.DUMMYFUNCTION("IMPORTRANGE(H20945,""IDENTITAS UNIT!D9"")"),"#N/A")</f>
        <v>#N/A</v>
      </c>
      <c r="H20945" s="4" t="str">
        <v/>
      </c>
      <c r="I20945" s="4" t="str">
        <v/>
      </c>
    </row>
    <row r="20946" spans="5:9" ht="16.5" hidden="1">
      <c r="E20946" s="4" t="str">
        <v/>
      </c>
      <c r="F20946" s="102" t="str">
        <f ca="1">IFERROR(__xludf.DUMMYFUNCTION("IMPORTRANGE(H20946,""IDENTITAS UNIT!D9"")"),"#N/A")</f>
        <v>#N/A</v>
      </c>
      <c r="H20946" s="4" t="str">
        <v/>
      </c>
      <c r="I20946" s="4" t="str">
        <v/>
      </c>
    </row>
    <row r="20947" spans="5:9" ht="16.5" hidden="1">
      <c r="E20947" s="4" t="str">
        <v/>
      </c>
      <c r="F20947" s="102" t="str">
        <f ca="1">IFERROR(__xludf.DUMMYFUNCTION("IMPORTRANGE(H20947,""IDENTITAS UNIT!D9"")"),"#N/A")</f>
        <v>#N/A</v>
      </c>
      <c r="H20947" s="4" t="str">
        <v/>
      </c>
      <c r="I20947" s="4" t="str">
        <v/>
      </c>
    </row>
    <row r="20948" spans="5:9" ht="16.5" hidden="1">
      <c r="E20948" s="4" t="str">
        <v/>
      </c>
      <c r="F20948" s="102" t="str">
        <f ca="1">IFERROR(__xludf.DUMMYFUNCTION("IMPORTRANGE(H20948,""IDENTITAS UNIT!D9"")"),"#N/A")</f>
        <v>#N/A</v>
      </c>
      <c r="H20948" s="4" t="str">
        <v/>
      </c>
      <c r="I20948" s="4" t="str">
        <v/>
      </c>
    </row>
    <row r="20949" spans="5:9" ht="16.5" hidden="1">
      <c r="E20949" s="4" t="str">
        <v/>
      </c>
      <c r="F20949" s="102" t="str">
        <f ca="1">IFERROR(__xludf.DUMMYFUNCTION("IMPORTRANGE(H20949,""IDENTITAS UNIT!D9"")"),"#N/A")</f>
        <v>#N/A</v>
      </c>
      <c r="H20949" s="4" t="str">
        <v/>
      </c>
      <c r="I20949" s="4" t="str">
        <v/>
      </c>
    </row>
    <row r="20950" spans="5:9" ht="16.5" hidden="1">
      <c r="E20950" s="4" t="str">
        <v/>
      </c>
      <c r="F20950" s="102" t="str">
        <f ca="1">IFERROR(__xludf.DUMMYFUNCTION("IMPORTRANGE(H20950,""IDENTITAS UNIT!D9"")"),"#N/A")</f>
        <v>#N/A</v>
      </c>
      <c r="H20950" s="4" t="str">
        <v/>
      </c>
      <c r="I20950" s="4" t="str">
        <v/>
      </c>
    </row>
    <row r="20951" spans="5:9" ht="16.5" hidden="1">
      <c r="E20951" s="4" t="str">
        <v/>
      </c>
      <c r="F20951" s="102" t="str">
        <f ca="1">IFERROR(__xludf.DUMMYFUNCTION("IMPORTRANGE(H20951,""IDENTITAS UNIT!D9"")"),"#N/A")</f>
        <v>#N/A</v>
      </c>
      <c r="H20951" s="4" t="str">
        <v/>
      </c>
      <c r="I20951" s="4" t="str">
        <v/>
      </c>
    </row>
    <row r="20952" spans="5:9" ht="16.5" hidden="1">
      <c r="E20952" s="4" t="str">
        <v/>
      </c>
      <c r="F20952" s="102" t="str">
        <f ca="1">IFERROR(__xludf.DUMMYFUNCTION("IMPORTRANGE(H20952,""IDENTITAS UNIT!D9"")"),"#N/A")</f>
        <v>#N/A</v>
      </c>
      <c r="H20952" s="4" t="str">
        <v/>
      </c>
      <c r="I20952" s="4" t="str">
        <v/>
      </c>
    </row>
    <row r="20953" spans="5:9" ht="16.5" hidden="1">
      <c r="E20953" s="4" t="str">
        <v/>
      </c>
      <c r="F20953" s="102" t="str">
        <f ca="1">IFERROR(__xludf.DUMMYFUNCTION("IMPORTRANGE(H20953,""IDENTITAS UNIT!D9"")"),"#N/A")</f>
        <v>#N/A</v>
      </c>
      <c r="H20953" s="4" t="str">
        <v/>
      </c>
      <c r="I20953" s="4" t="str">
        <v/>
      </c>
    </row>
    <row r="20954" spans="5:9" ht="16.5" hidden="1">
      <c r="E20954" s="4" t="str">
        <v/>
      </c>
      <c r="F20954" s="102" t="str">
        <f ca="1">IFERROR(__xludf.DUMMYFUNCTION("IMPORTRANGE(H20954,""IDENTITAS UNIT!D9"")"),"#N/A")</f>
        <v>#N/A</v>
      </c>
      <c r="H20954" s="4" t="str">
        <v/>
      </c>
      <c r="I20954" s="4" t="str">
        <v/>
      </c>
    </row>
    <row r="20955" spans="5:9" ht="16.5" hidden="1">
      <c r="E20955" s="4" t="str">
        <v/>
      </c>
      <c r="F20955" s="102" t="str">
        <f ca="1">IFERROR(__xludf.DUMMYFUNCTION("IMPORTRANGE(H20955,""IDENTITAS UNIT!D9"")"),"#N/A")</f>
        <v>#N/A</v>
      </c>
      <c r="H20955" s="4" t="str">
        <v/>
      </c>
      <c r="I20955" s="4" t="str">
        <v/>
      </c>
    </row>
    <row r="20956" spans="5:9" ht="16.5" hidden="1">
      <c r="E20956" s="4" t="str">
        <v/>
      </c>
      <c r="F20956" s="102" t="str">
        <f ca="1">IFERROR(__xludf.DUMMYFUNCTION("IMPORTRANGE(H20956,""IDENTITAS UNIT!D9"")"),"#N/A")</f>
        <v>#N/A</v>
      </c>
      <c r="H20956" s="4" t="str">
        <v/>
      </c>
      <c r="I20956" s="4" t="str">
        <v/>
      </c>
    </row>
    <row r="20957" spans="5:9" ht="16.5" hidden="1">
      <c r="E20957" s="4" t="str">
        <v/>
      </c>
      <c r="F20957" s="102" t="str">
        <f ca="1">IFERROR(__xludf.DUMMYFUNCTION("IMPORTRANGE(H20957,""IDENTITAS UNIT!D9"")"),"#N/A")</f>
        <v>#N/A</v>
      </c>
      <c r="H20957" s="4" t="str">
        <v/>
      </c>
      <c r="I20957" s="4" t="str">
        <v/>
      </c>
    </row>
    <row r="20958" spans="5:9" ht="16.5" hidden="1">
      <c r="E20958" s="4" t="str">
        <v/>
      </c>
      <c r="F20958" s="102" t="str">
        <f ca="1">IFERROR(__xludf.DUMMYFUNCTION("IMPORTRANGE(H20958,""IDENTITAS UNIT!D9"")"),"#N/A")</f>
        <v>#N/A</v>
      </c>
      <c r="H20958" s="4" t="str">
        <v/>
      </c>
      <c r="I20958" s="4" t="str">
        <v/>
      </c>
    </row>
    <row r="20959" spans="5:9" ht="16.5" hidden="1">
      <c r="E20959" s="4" t="str">
        <v/>
      </c>
      <c r="F20959" s="102" t="str">
        <f ca="1">IFERROR(__xludf.DUMMYFUNCTION("IMPORTRANGE(H20959,""IDENTITAS UNIT!D9"")"),"#N/A")</f>
        <v>#N/A</v>
      </c>
      <c r="H20959" s="4" t="str">
        <v/>
      </c>
      <c r="I20959" s="4" t="str">
        <v/>
      </c>
    </row>
    <row r="20960" spans="5:9" ht="16.5" hidden="1">
      <c r="E20960" s="4" t="str">
        <v/>
      </c>
      <c r="F20960" s="102" t="str">
        <f ca="1">IFERROR(__xludf.DUMMYFUNCTION("IMPORTRANGE(H20960,""IDENTITAS UNIT!D9"")"),"#N/A")</f>
        <v>#N/A</v>
      </c>
      <c r="H20960" s="4" t="str">
        <v/>
      </c>
      <c r="I20960" s="4" t="str">
        <v/>
      </c>
    </row>
    <row r="20961" spans="5:9" ht="16.5" hidden="1">
      <c r="E20961" s="4" t="str">
        <v/>
      </c>
      <c r="F20961" s="102" t="str">
        <f ca="1">IFERROR(__xludf.DUMMYFUNCTION("IMPORTRANGE(H20961,""IDENTITAS UNIT!D9"")"),"#N/A")</f>
        <v>#N/A</v>
      </c>
      <c r="H20961" s="4" t="str">
        <v/>
      </c>
      <c r="I20961" s="4" t="str">
        <v/>
      </c>
    </row>
    <row r="20962" spans="5:9" ht="16.5" hidden="1">
      <c r="E20962" s="4" t="str">
        <v/>
      </c>
      <c r="F20962" s="102" t="str">
        <f ca="1">IFERROR(__xludf.DUMMYFUNCTION("IMPORTRANGE(H20962,""IDENTITAS UNIT!D9"")"),"#N/A")</f>
        <v>#N/A</v>
      </c>
      <c r="H20962" s="4" t="str">
        <v/>
      </c>
      <c r="I20962" s="4" t="str">
        <v/>
      </c>
    </row>
    <row r="20963" spans="5:9" ht="16.5" hidden="1">
      <c r="E20963" s="4" t="str">
        <v/>
      </c>
      <c r="F20963" s="102" t="str">
        <f ca="1">IFERROR(__xludf.DUMMYFUNCTION("IMPORTRANGE(H20963,""IDENTITAS UNIT!D9"")"),"#N/A")</f>
        <v>#N/A</v>
      </c>
      <c r="H20963" s="4" t="str">
        <v/>
      </c>
      <c r="I20963" s="4" t="str">
        <v/>
      </c>
    </row>
    <row r="20964" spans="5:9" ht="16.5" hidden="1">
      <c r="E20964" s="4" t="str">
        <v/>
      </c>
      <c r="F20964" s="102" t="str">
        <f ca="1">IFERROR(__xludf.DUMMYFUNCTION("IMPORTRANGE(H20964,""IDENTITAS UNIT!D9"")"),"#N/A")</f>
        <v>#N/A</v>
      </c>
      <c r="H20964" s="4" t="str">
        <v/>
      </c>
      <c r="I20964" s="4" t="str">
        <v/>
      </c>
    </row>
    <row r="20965" spans="5:9" ht="16.5" hidden="1">
      <c r="E20965" s="4" t="str">
        <v/>
      </c>
      <c r="F20965" s="102" t="str">
        <f ca="1">IFERROR(__xludf.DUMMYFUNCTION("IMPORTRANGE(H20965,""IDENTITAS UNIT!D9"")"),"#N/A")</f>
        <v>#N/A</v>
      </c>
      <c r="H20965" s="4" t="str">
        <v/>
      </c>
      <c r="I20965" s="4" t="str">
        <v/>
      </c>
    </row>
    <row r="20966" spans="5:9" ht="16.5" hidden="1">
      <c r="E20966" s="4" t="str">
        <v/>
      </c>
      <c r="F20966" s="102" t="str">
        <f ca="1">IFERROR(__xludf.DUMMYFUNCTION("IMPORTRANGE(H20966,""IDENTITAS UNIT!D9"")"),"#N/A")</f>
        <v>#N/A</v>
      </c>
      <c r="H20966" s="4" t="str">
        <v/>
      </c>
      <c r="I20966" s="4" t="str">
        <v/>
      </c>
    </row>
    <row r="20967" spans="5:9" ht="16.5" hidden="1">
      <c r="E20967" s="4" t="str">
        <v/>
      </c>
      <c r="F20967" s="102" t="str">
        <f ca="1">IFERROR(__xludf.DUMMYFUNCTION("IMPORTRANGE(H20967,""IDENTITAS UNIT!D9"")"),"#N/A")</f>
        <v>#N/A</v>
      </c>
      <c r="H20967" s="4" t="str">
        <v/>
      </c>
      <c r="I20967" s="4" t="str">
        <v/>
      </c>
    </row>
    <row r="20968" spans="5:9" ht="16.5" hidden="1">
      <c r="E20968" s="4" t="str">
        <v/>
      </c>
      <c r="F20968" s="102" t="str">
        <f ca="1">IFERROR(__xludf.DUMMYFUNCTION("IMPORTRANGE(H20968,""IDENTITAS UNIT!D9"")"),"#N/A")</f>
        <v>#N/A</v>
      </c>
      <c r="H20968" s="4" t="str">
        <v/>
      </c>
      <c r="I20968" s="4" t="str">
        <v/>
      </c>
    </row>
    <row r="20969" spans="5:9" ht="16.5" hidden="1">
      <c r="E20969" s="4" t="str">
        <v/>
      </c>
      <c r="F20969" s="102" t="str">
        <f ca="1">IFERROR(__xludf.DUMMYFUNCTION("IMPORTRANGE(H20969,""IDENTITAS UNIT!D9"")"),"#N/A")</f>
        <v>#N/A</v>
      </c>
      <c r="H20969" s="4" t="str">
        <v/>
      </c>
      <c r="I20969" s="4" t="str">
        <v/>
      </c>
    </row>
    <row r="20970" spans="5:9" ht="16.5" hidden="1">
      <c r="E20970" s="4" t="str">
        <v/>
      </c>
      <c r="F20970" s="102" t="str">
        <f ca="1">IFERROR(__xludf.DUMMYFUNCTION("IMPORTRANGE(H20970,""IDENTITAS UNIT!D9"")"),"#N/A")</f>
        <v>#N/A</v>
      </c>
      <c r="H20970" s="4" t="str">
        <v/>
      </c>
      <c r="I20970" s="4" t="str">
        <v/>
      </c>
    </row>
    <row r="20971" spans="5:9" ht="16.5" hidden="1">
      <c r="E20971" s="4" t="str">
        <v/>
      </c>
      <c r="F20971" s="102" t="str">
        <f ca="1">IFERROR(__xludf.DUMMYFUNCTION("IMPORTRANGE(H20971,""IDENTITAS UNIT!D9"")"),"#N/A")</f>
        <v>#N/A</v>
      </c>
      <c r="H20971" s="4" t="str">
        <v/>
      </c>
      <c r="I20971" s="4" t="str">
        <v/>
      </c>
    </row>
    <row r="20972" spans="5:9" ht="16.5" hidden="1">
      <c r="E20972" s="4" t="str">
        <v/>
      </c>
      <c r="F20972" s="102" t="str">
        <f ca="1">IFERROR(__xludf.DUMMYFUNCTION("IMPORTRANGE(H20972,""IDENTITAS UNIT!D9"")"),"#N/A")</f>
        <v>#N/A</v>
      </c>
      <c r="H20972" s="4" t="str">
        <v/>
      </c>
      <c r="I20972" s="4" t="str">
        <v/>
      </c>
    </row>
    <row r="20973" spans="5:9" ht="16.5" hidden="1">
      <c r="E20973" s="4" t="str">
        <v/>
      </c>
      <c r="F20973" s="102" t="str">
        <f ca="1">IFERROR(__xludf.DUMMYFUNCTION("IMPORTRANGE(H20973,""IDENTITAS UNIT!D9"")"),"#N/A")</f>
        <v>#N/A</v>
      </c>
      <c r="H20973" s="4" t="str">
        <v/>
      </c>
      <c r="I20973" s="4" t="str">
        <v/>
      </c>
    </row>
    <row r="20974" spans="5:9" ht="16.5" hidden="1">
      <c r="E20974" s="4" t="str">
        <v/>
      </c>
      <c r="F20974" s="102" t="str">
        <f ca="1">IFERROR(__xludf.DUMMYFUNCTION("IMPORTRANGE(H20974,""IDENTITAS UNIT!D9"")"),"#N/A")</f>
        <v>#N/A</v>
      </c>
      <c r="H20974" s="4" t="str">
        <v/>
      </c>
      <c r="I20974" s="4" t="str">
        <v/>
      </c>
    </row>
    <row r="20975" spans="5:9" ht="16.5" hidden="1">
      <c r="E20975" s="4" t="str">
        <v/>
      </c>
      <c r="F20975" s="102" t="str">
        <f ca="1">IFERROR(__xludf.DUMMYFUNCTION("IMPORTRANGE(H20975,""IDENTITAS UNIT!D9"")"),"#N/A")</f>
        <v>#N/A</v>
      </c>
      <c r="H20975" s="4" t="str">
        <v/>
      </c>
      <c r="I20975" s="4" t="str">
        <v/>
      </c>
    </row>
    <row r="20976" spans="5:9" ht="16.5" hidden="1">
      <c r="E20976" s="4" t="str">
        <v/>
      </c>
      <c r="F20976" s="102" t="str">
        <f ca="1">IFERROR(__xludf.DUMMYFUNCTION("IMPORTRANGE(H20976,""IDENTITAS UNIT!D9"")"),"#N/A")</f>
        <v>#N/A</v>
      </c>
      <c r="H20976" s="4" t="str">
        <v/>
      </c>
      <c r="I20976" s="4" t="str">
        <v/>
      </c>
    </row>
    <row r="20977" spans="5:9" ht="16.5" hidden="1">
      <c r="E20977" s="4" t="str">
        <v/>
      </c>
      <c r="F20977" s="102" t="str">
        <f ca="1">IFERROR(__xludf.DUMMYFUNCTION("IMPORTRANGE(H20977,""IDENTITAS UNIT!D9"")"),"#N/A")</f>
        <v>#N/A</v>
      </c>
      <c r="H20977" s="4" t="str">
        <v/>
      </c>
      <c r="I20977" s="4" t="str">
        <v/>
      </c>
    </row>
    <row r="20978" spans="5:9" ht="16.5" hidden="1">
      <c r="E20978" s="4" t="str">
        <v/>
      </c>
      <c r="F20978" s="102" t="str">
        <f ca="1">IFERROR(__xludf.DUMMYFUNCTION("IMPORTRANGE(H20978,""IDENTITAS UNIT!D9"")"),"#N/A")</f>
        <v>#N/A</v>
      </c>
      <c r="H20978" s="4" t="str">
        <v/>
      </c>
      <c r="I20978" s="4" t="str">
        <v/>
      </c>
    </row>
    <row r="20979" spans="5:9" ht="16.5" hidden="1">
      <c r="E20979" s="4" t="str">
        <v/>
      </c>
      <c r="F20979" s="102" t="str">
        <f ca="1">IFERROR(__xludf.DUMMYFUNCTION("IMPORTRANGE(H20979,""IDENTITAS UNIT!D9"")"),"#N/A")</f>
        <v>#N/A</v>
      </c>
      <c r="H20979" s="4" t="str">
        <v/>
      </c>
      <c r="I20979" s="4" t="str">
        <v/>
      </c>
    </row>
    <row r="20980" spans="5:9" ht="16.5" hidden="1">
      <c r="E20980" s="4" t="str">
        <v/>
      </c>
      <c r="F20980" s="102" t="str">
        <f ca="1">IFERROR(__xludf.DUMMYFUNCTION("IMPORTRANGE(H20980,""IDENTITAS UNIT!D9"")"),"#N/A")</f>
        <v>#N/A</v>
      </c>
      <c r="H20980" s="4" t="str">
        <v/>
      </c>
      <c r="I20980" s="4" t="str">
        <v/>
      </c>
    </row>
    <row r="20981" spans="5:9" ht="16.5" hidden="1">
      <c r="E20981" s="4" t="str">
        <v/>
      </c>
      <c r="F20981" s="102" t="str">
        <f ca="1">IFERROR(__xludf.DUMMYFUNCTION("IMPORTRANGE(H20981,""IDENTITAS UNIT!D9"")"),"#N/A")</f>
        <v>#N/A</v>
      </c>
      <c r="H20981" s="4" t="str">
        <v/>
      </c>
      <c r="I20981" s="4" t="str">
        <v/>
      </c>
    </row>
    <row r="20982" spans="5:9" ht="16.5" hidden="1">
      <c r="E20982" s="4" t="str">
        <v/>
      </c>
      <c r="F20982" s="102" t="str">
        <f ca="1">IFERROR(__xludf.DUMMYFUNCTION("IMPORTRANGE(H20982,""IDENTITAS UNIT!D9"")"),"#N/A")</f>
        <v>#N/A</v>
      </c>
      <c r="H20982" s="4" t="str">
        <v/>
      </c>
      <c r="I20982" s="4" t="str">
        <v/>
      </c>
    </row>
    <row r="20983" spans="5:9" ht="16.5" hidden="1">
      <c r="E20983" s="4" t="str">
        <v/>
      </c>
      <c r="F20983" s="102" t="str">
        <f ca="1">IFERROR(__xludf.DUMMYFUNCTION("IMPORTRANGE(H20983,""IDENTITAS UNIT!D9"")"),"#N/A")</f>
        <v>#N/A</v>
      </c>
      <c r="H20983" s="4" t="str">
        <v/>
      </c>
      <c r="I20983" s="4" t="str">
        <v/>
      </c>
    </row>
    <row r="20984" spans="5:9" ht="16.5" hidden="1">
      <c r="E20984" s="4" t="str">
        <v/>
      </c>
      <c r="F20984" s="102" t="str">
        <f ca="1">IFERROR(__xludf.DUMMYFUNCTION("IMPORTRANGE(H20984,""IDENTITAS UNIT!D9"")"),"#N/A")</f>
        <v>#N/A</v>
      </c>
      <c r="H20984" s="4" t="str">
        <v/>
      </c>
      <c r="I20984" s="4" t="str">
        <v/>
      </c>
    </row>
    <row r="20985" spans="5:9" ht="16.5" hidden="1">
      <c r="E20985" s="4" t="str">
        <v/>
      </c>
      <c r="F20985" s="102" t="str">
        <f ca="1">IFERROR(__xludf.DUMMYFUNCTION("IMPORTRANGE(H20985,""IDENTITAS UNIT!D9"")"),"#N/A")</f>
        <v>#N/A</v>
      </c>
      <c r="H20985" s="4" t="str">
        <v/>
      </c>
      <c r="I20985" s="4" t="str">
        <v/>
      </c>
    </row>
    <row r="20986" spans="5:9" ht="16.5" hidden="1">
      <c r="E20986" s="4" t="str">
        <v/>
      </c>
      <c r="F20986" s="102" t="str">
        <f ca="1">IFERROR(__xludf.DUMMYFUNCTION("IMPORTRANGE(H20986,""IDENTITAS UNIT!D9"")"),"#N/A")</f>
        <v>#N/A</v>
      </c>
      <c r="H20986" s="4" t="str">
        <v/>
      </c>
      <c r="I20986" s="4" t="str">
        <v/>
      </c>
    </row>
    <row r="20987" spans="5:9" ht="16.5" hidden="1">
      <c r="E20987" s="4" t="str">
        <v/>
      </c>
      <c r="F20987" s="102" t="str">
        <f ca="1">IFERROR(__xludf.DUMMYFUNCTION("IMPORTRANGE(H20987,""IDENTITAS UNIT!D9"")"),"#N/A")</f>
        <v>#N/A</v>
      </c>
      <c r="H20987" s="4" t="str">
        <v/>
      </c>
      <c r="I20987" s="4" t="str">
        <v/>
      </c>
    </row>
    <row r="20988" spans="5:9" ht="16.5" hidden="1">
      <c r="E20988" s="4" t="str">
        <v/>
      </c>
      <c r="F20988" s="102" t="str">
        <f ca="1">IFERROR(__xludf.DUMMYFUNCTION("IMPORTRANGE(H20988,""IDENTITAS UNIT!D9"")"),"#N/A")</f>
        <v>#N/A</v>
      </c>
      <c r="H20988" s="4" t="str">
        <v/>
      </c>
      <c r="I20988" s="4" t="str">
        <v/>
      </c>
    </row>
    <row r="20989" spans="5:9" ht="16.5" hidden="1">
      <c r="E20989" s="4" t="str">
        <v/>
      </c>
      <c r="F20989" s="102" t="str">
        <f ca="1">IFERROR(__xludf.DUMMYFUNCTION("IMPORTRANGE(H20989,""IDENTITAS UNIT!D9"")"),"#N/A")</f>
        <v>#N/A</v>
      </c>
      <c r="H20989" s="4" t="str">
        <v/>
      </c>
      <c r="I20989" s="4" t="str">
        <v/>
      </c>
    </row>
    <row r="20990" spans="5:9" ht="16.5" hidden="1">
      <c r="E20990" s="4" t="str">
        <v/>
      </c>
      <c r="F20990" s="102" t="str">
        <f ca="1">IFERROR(__xludf.DUMMYFUNCTION("IMPORTRANGE(H20990,""IDENTITAS UNIT!D9"")"),"#N/A")</f>
        <v>#N/A</v>
      </c>
      <c r="H20990" s="4" t="str">
        <v/>
      </c>
      <c r="I20990" s="4" t="str">
        <v/>
      </c>
    </row>
    <row r="20991" spans="5:9" ht="16.5" hidden="1">
      <c r="E20991" s="4" t="str">
        <v/>
      </c>
      <c r="F20991" s="102" t="str">
        <f ca="1">IFERROR(__xludf.DUMMYFUNCTION("IMPORTRANGE(H20991,""IDENTITAS UNIT!D9"")"),"#N/A")</f>
        <v>#N/A</v>
      </c>
      <c r="H20991" s="4" t="str">
        <v/>
      </c>
      <c r="I20991" s="4" t="str">
        <v/>
      </c>
    </row>
    <row r="20992" spans="5:9" ht="16.5" hidden="1">
      <c r="E20992" s="4" t="str">
        <v/>
      </c>
      <c r="F20992" s="102" t="str">
        <f ca="1">IFERROR(__xludf.DUMMYFUNCTION("IMPORTRANGE(H20992,""IDENTITAS UNIT!D9"")"),"#N/A")</f>
        <v>#N/A</v>
      </c>
      <c r="H20992" s="4" t="str">
        <v/>
      </c>
      <c r="I20992" s="4" t="str">
        <v/>
      </c>
    </row>
    <row r="20993" spans="5:9" ht="16.5" hidden="1">
      <c r="E20993" s="4" t="str">
        <v/>
      </c>
      <c r="F20993" s="102" t="str">
        <f ca="1">IFERROR(__xludf.DUMMYFUNCTION("IMPORTRANGE(H20993,""IDENTITAS UNIT!D9"")"),"#N/A")</f>
        <v>#N/A</v>
      </c>
      <c r="H20993" s="4" t="str">
        <v/>
      </c>
      <c r="I20993" s="4" t="str">
        <v/>
      </c>
    </row>
    <row r="20994" spans="5:9" ht="16.5" hidden="1">
      <c r="E20994" s="4" t="str">
        <v/>
      </c>
      <c r="F20994" s="102" t="str">
        <f ca="1">IFERROR(__xludf.DUMMYFUNCTION("IMPORTRANGE(H20994,""IDENTITAS UNIT!D9"")"),"#N/A")</f>
        <v>#N/A</v>
      </c>
      <c r="H20994" s="4" t="str">
        <v/>
      </c>
      <c r="I20994" s="4" t="str">
        <v/>
      </c>
    </row>
    <row r="20995" spans="5:9" ht="16.5" hidden="1">
      <c r="E20995" s="4" t="str">
        <v/>
      </c>
      <c r="F20995" s="102" t="str">
        <f ca="1">IFERROR(__xludf.DUMMYFUNCTION("IMPORTRANGE(H20995,""IDENTITAS UNIT!D9"")"),"#N/A")</f>
        <v>#N/A</v>
      </c>
      <c r="H20995" s="4" t="str">
        <v/>
      </c>
      <c r="I20995" s="4" t="str">
        <v/>
      </c>
    </row>
    <row r="20996" spans="5:9" ht="16.5" hidden="1">
      <c r="E20996" s="4" t="str">
        <v/>
      </c>
      <c r="F20996" s="102" t="str">
        <f ca="1">IFERROR(__xludf.DUMMYFUNCTION("IMPORTRANGE(H20996,""IDENTITAS UNIT!D9"")"),"#N/A")</f>
        <v>#N/A</v>
      </c>
      <c r="H20996" s="4" t="str">
        <v/>
      </c>
      <c r="I20996" s="4" t="str">
        <v/>
      </c>
    </row>
    <row r="20997" spans="5:9" ht="16.5" hidden="1">
      <c r="E20997" s="4" t="str">
        <v/>
      </c>
      <c r="F20997" s="102" t="str">
        <f ca="1">IFERROR(__xludf.DUMMYFUNCTION("IMPORTRANGE(H20997,""IDENTITAS UNIT!D9"")"),"#N/A")</f>
        <v>#N/A</v>
      </c>
      <c r="H20997" s="4" t="str">
        <v/>
      </c>
      <c r="I20997" s="4" t="str">
        <v/>
      </c>
    </row>
    <row r="20998" spans="5:9" ht="16.5" hidden="1">
      <c r="E20998" s="4" t="str">
        <v/>
      </c>
      <c r="F20998" s="102" t="str">
        <f ca="1">IFERROR(__xludf.DUMMYFUNCTION("IMPORTRANGE(H20998,""IDENTITAS UNIT!D9"")"),"#N/A")</f>
        <v>#N/A</v>
      </c>
      <c r="H20998" s="4" t="str">
        <v/>
      </c>
      <c r="I20998" s="4" t="str">
        <v/>
      </c>
    </row>
    <row r="20999" spans="5:9" ht="16.5" hidden="1">
      <c r="E20999" s="4" t="str">
        <v/>
      </c>
      <c r="F20999" s="102" t="str">
        <f ca="1">IFERROR(__xludf.DUMMYFUNCTION("IMPORTRANGE(H20999,""IDENTITAS UNIT!D9"")"),"#N/A")</f>
        <v>#N/A</v>
      </c>
      <c r="H20999" s="4" t="str">
        <v/>
      </c>
      <c r="I20999" s="4" t="str">
        <v/>
      </c>
    </row>
    <row r="21000" spans="5:9" ht="16.5" hidden="1">
      <c r="E21000" s="4" t="str">
        <v/>
      </c>
      <c r="F21000" s="102" t="str">
        <f ca="1">IFERROR(__xludf.DUMMYFUNCTION("IMPORTRANGE(H21000,""IDENTITAS UNIT!D9"")"),"#N/A")</f>
        <v>#N/A</v>
      </c>
      <c r="H21000" s="4" t="str">
        <v/>
      </c>
      <c r="I21000" s="4" t="str">
        <v/>
      </c>
    </row>
    <row r="21001" spans="5:9" ht="16.5" hidden="1">
      <c r="E21001" s="4" t="str">
        <v/>
      </c>
      <c r="F21001" s="102" t="str">
        <f ca="1">IFERROR(__xludf.DUMMYFUNCTION("IMPORTRANGE(H21001,""IDENTITAS UNIT!D9"")"),"#N/A")</f>
        <v>#N/A</v>
      </c>
      <c r="H21001" s="4" t="str">
        <v/>
      </c>
      <c r="I21001" s="4" t="str">
        <v/>
      </c>
    </row>
    <row r="21002" spans="5:9" ht="16.5" hidden="1">
      <c r="E21002" s="4" t="str">
        <v/>
      </c>
      <c r="F21002" s="102" t="str">
        <f ca="1">IFERROR(__xludf.DUMMYFUNCTION("IMPORTRANGE(H21002,""IDENTITAS UNIT!D9"")"),"#N/A")</f>
        <v>#N/A</v>
      </c>
      <c r="H21002" s="4" t="str">
        <v/>
      </c>
      <c r="I21002" s="4" t="str">
        <v/>
      </c>
    </row>
    <row r="21003" spans="5:9" ht="16.5" hidden="1">
      <c r="E21003" s="4" t="str">
        <v/>
      </c>
      <c r="F21003" s="102" t="str">
        <f ca="1">IFERROR(__xludf.DUMMYFUNCTION("IMPORTRANGE(H21003,""IDENTITAS UNIT!D9"")"),"#N/A")</f>
        <v>#N/A</v>
      </c>
      <c r="H21003" s="4" t="str">
        <v/>
      </c>
      <c r="I21003" s="4" t="str">
        <v/>
      </c>
    </row>
    <row r="21004" spans="5:9" ht="16.5" hidden="1">
      <c r="E21004" s="4" t="str">
        <v/>
      </c>
      <c r="F21004" s="102" t="str">
        <f ca="1">IFERROR(__xludf.DUMMYFUNCTION("IMPORTRANGE(H21004,""IDENTITAS UNIT!D9"")"),"#N/A")</f>
        <v>#N/A</v>
      </c>
      <c r="H21004" s="4" t="str">
        <v/>
      </c>
      <c r="I21004" s="4" t="str">
        <v/>
      </c>
    </row>
    <row r="21005" spans="5:9" ht="16.5" hidden="1">
      <c r="E21005" s="4" t="str">
        <v/>
      </c>
      <c r="F21005" s="102" t="str">
        <f ca="1">IFERROR(__xludf.DUMMYFUNCTION("IMPORTRANGE(H21005,""IDENTITAS UNIT!D9"")"),"#N/A")</f>
        <v>#N/A</v>
      </c>
      <c r="H21005" s="4" t="str">
        <v/>
      </c>
      <c r="I21005" s="4" t="str">
        <v/>
      </c>
    </row>
    <row r="21006" spans="5:9" ht="16.5" hidden="1">
      <c r="E21006" s="4" t="str">
        <v/>
      </c>
      <c r="F21006" s="102" t="str">
        <f ca="1">IFERROR(__xludf.DUMMYFUNCTION("IMPORTRANGE(H21006,""IDENTITAS UNIT!D9"")"),"#N/A")</f>
        <v>#N/A</v>
      </c>
      <c r="H21006" s="4" t="str">
        <v/>
      </c>
      <c r="I21006" s="4" t="str">
        <v/>
      </c>
    </row>
    <row r="21007" spans="5:9" ht="16.5" hidden="1">
      <c r="E21007" s="4" t="str">
        <v/>
      </c>
      <c r="F21007" s="102" t="str">
        <f ca="1">IFERROR(__xludf.DUMMYFUNCTION("IMPORTRANGE(H21007,""IDENTITAS UNIT!D9"")"),"#N/A")</f>
        <v>#N/A</v>
      </c>
      <c r="H21007" s="4" t="str">
        <v/>
      </c>
      <c r="I21007" s="4" t="str">
        <v/>
      </c>
    </row>
    <row r="21008" spans="5:9" ht="16.5" hidden="1">
      <c r="E21008" s="4" t="str">
        <v/>
      </c>
      <c r="F21008" s="102" t="str">
        <f ca="1">IFERROR(__xludf.DUMMYFUNCTION("IMPORTRANGE(H21008,""IDENTITAS UNIT!D9"")"),"#N/A")</f>
        <v>#N/A</v>
      </c>
      <c r="H21008" s="4" t="str">
        <v/>
      </c>
      <c r="I21008" s="4" t="str">
        <v/>
      </c>
    </row>
    <row r="21009" spans="5:9" ht="16.5" hidden="1">
      <c r="E21009" s="4" t="str">
        <v/>
      </c>
      <c r="F21009" s="102" t="str">
        <f ca="1">IFERROR(__xludf.DUMMYFUNCTION("IMPORTRANGE(H21009,""IDENTITAS UNIT!D9"")"),"#N/A")</f>
        <v>#N/A</v>
      </c>
      <c r="H21009" s="4" t="str">
        <v/>
      </c>
      <c r="I21009" s="4" t="str">
        <v/>
      </c>
    </row>
    <row r="21010" spans="5:9" ht="16.5" hidden="1">
      <c r="E21010" s="4" t="str">
        <v/>
      </c>
      <c r="F21010" s="102" t="str">
        <f ca="1">IFERROR(__xludf.DUMMYFUNCTION("IMPORTRANGE(H21010,""IDENTITAS UNIT!D9"")"),"#N/A")</f>
        <v>#N/A</v>
      </c>
      <c r="H21010" s="4" t="str">
        <v/>
      </c>
      <c r="I21010" s="4" t="str">
        <v/>
      </c>
    </row>
    <row r="21011" spans="5:9" ht="16.5" hidden="1">
      <c r="E21011" s="4" t="str">
        <v/>
      </c>
      <c r="F21011" s="102" t="str">
        <f ca="1">IFERROR(__xludf.DUMMYFUNCTION("IMPORTRANGE(H21011,""IDENTITAS UNIT!D9"")"),"#N/A")</f>
        <v>#N/A</v>
      </c>
      <c r="H21011" s="4" t="str">
        <v/>
      </c>
      <c r="I21011" s="4" t="str">
        <v/>
      </c>
    </row>
    <row r="21012" spans="5:9" ht="16.5" hidden="1">
      <c r="E21012" s="4" t="str">
        <v/>
      </c>
      <c r="F21012" s="102" t="str">
        <f ca="1">IFERROR(__xludf.DUMMYFUNCTION("IMPORTRANGE(H21012,""IDENTITAS UNIT!D9"")"),"#N/A")</f>
        <v>#N/A</v>
      </c>
      <c r="H21012" s="4" t="str">
        <v/>
      </c>
      <c r="I21012" s="4" t="str">
        <v/>
      </c>
    </row>
    <row r="21013" spans="5:9" ht="16.5" hidden="1">
      <c r="E21013" s="4" t="str">
        <v/>
      </c>
      <c r="F21013" s="102" t="str">
        <f ca="1">IFERROR(__xludf.DUMMYFUNCTION("IMPORTRANGE(H21013,""IDENTITAS UNIT!D9"")"),"#N/A")</f>
        <v>#N/A</v>
      </c>
      <c r="H21013" s="4" t="str">
        <v/>
      </c>
      <c r="I21013" s="4" t="str">
        <v/>
      </c>
    </row>
    <row r="21014" spans="5:9" ht="16.5" hidden="1">
      <c r="E21014" s="4" t="str">
        <v/>
      </c>
      <c r="F21014" s="102" t="str">
        <f ca="1">IFERROR(__xludf.DUMMYFUNCTION("IMPORTRANGE(H21014,""IDENTITAS UNIT!D9"")"),"#N/A")</f>
        <v>#N/A</v>
      </c>
      <c r="H21014" s="4" t="str">
        <v/>
      </c>
      <c r="I21014" s="4" t="str">
        <v/>
      </c>
    </row>
    <row r="21015" spans="5:9" ht="16.5" hidden="1">
      <c r="E21015" s="4" t="str">
        <v/>
      </c>
      <c r="F21015" s="102" t="str">
        <f ca="1">IFERROR(__xludf.DUMMYFUNCTION("IMPORTRANGE(H21015,""IDENTITAS UNIT!D9"")"),"#N/A")</f>
        <v>#N/A</v>
      </c>
      <c r="H21015" s="4" t="str">
        <v/>
      </c>
      <c r="I21015" s="4" t="str">
        <v/>
      </c>
    </row>
    <row r="21016" spans="5:9" ht="16.5" hidden="1">
      <c r="E21016" s="4" t="str">
        <v/>
      </c>
      <c r="F21016" s="102" t="str">
        <f ca="1">IFERROR(__xludf.DUMMYFUNCTION("IMPORTRANGE(H21016,""IDENTITAS UNIT!D9"")"),"#N/A")</f>
        <v>#N/A</v>
      </c>
      <c r="H21016" s="4" t="str">
        <v/>
      </c>
      <c r="I21016" s="4" t="str">
        <v/>
      </c>
    </row>
    <row r="21017" spans="5:9" ht="16.5" hidden="1">
      <c r="E21017" s="4" t="str">
        <v/>
      </c>
      <c r="F21017" s="102" t="str">
        <f ca="1">IFERROR(__xludf.DUMMYFUNCTION("IMPORTRANGE(H21017,""IDENTITAS UNIT!D9"")"),"#N/A")</f>
        <v>#N/A</v>
      </c>
      <c r="H21017" s="4" t="str">
        <v/>
      </c>
      <c r="I21017" s="4" t="str">
        <v/>
      </c>
    </row>
    <row r="21018" spans="5:9" ht="16.5" hidden="1">
      <c r="E21018" s="4" t="str">
        <v/>
      </c>
      <c r="F21018" s="102" t="str">
        <f ca="1">IFERROR(__xludf.DUMMYFUNCTION("IMPORTRANGE(H21018,""IDENTITAS UNIT!D9"")"),"#N/A")</f>
        <v>#N/A</v>
      </c>
      <c r="H21018" s="4" t="str">
        <v/>
      </c>
      <c r="I21018" s="4" t="str">
        <v/>
      </c>
    </row>
    <row r="21019" spans="5:9" ht="16.5" hidden="1">
      <c r="E21019" s="4" t="str">
        <v/>
      </c>
      <c r="F21019" s="102" t="str">
        <f ca="1">IFERROR(__xludf.DUMMYFUNCTION("IMPORTRANGE(H21019,""IDENTITAS UNIT!D9"")"),"#N/A")</f>
        <v>#N/A</v>
      </c>
      <c r="H21019" s="4" t="str">
        <v/>
      </c>
      <c r="I21019" s="4" t="str">
        <v/>
      </c>
    </row>
    <row r="21020" spans="5:9" ht="16.5" hidden="1">
      <c r="E21020" s="4" t="str">
        <v/>
      </c>
      <c r="F21020" s="102" t="str">
        <f ca="1">IFERROR(__xludf.DUMMYFUNCTION("IMPORTRANGE(H21020,""IDENTITAS UNIT!D9"")"),"#N/A")</f>
        <v>#N/A</v>
      </c>
      <c r="H21020" s="4" t="str">
        <v/>
      </c>
      <c r="I21020" s="4" t="str">
        <v/>
      </c>
    </row>
    <row r="21021" spans="5:9" ht="16.5" hidden="1">
      <c r="E21021" s="4" t="str">
        <v/>
      </c>
      <c r="F21021" s="102" t="str">
        <f ca="1">IFERROR(__xludf.DUMMYFUNCTION("IMPORTRANGE(H21021,""IDENTITAS UNIT!D9"")"),"#N/A")</f>
        <v>#N/A</v>
      </c>
      <c r="H21021" s="4" t="str">
        <v/>
      </c>
      <c r="I21021" s="4" t="str">
        <v/>
      </c>
    </row>
    <row r="21022" spans="5:9" ht="16.5" hidden="1">
      <c r="E21022" s="4" t="str">
        <v/>
      </c>
      <c r="F21022" s="102" t="str">
        <f ca="1">IFERROR(__xludf.DUMMYFUNCTION("IMPORTRANGE(H21022,""IDENTITAS UNIT!D9"")"),"#N/A")</f>
        <v>#N/A</v>
      </c>
      <c r="H21022" s="4" t="str">
        <v/>
      </c>
      <c r="I21022" s="4" t="str">
        <v/>
      </c>
    </row>
    <row r="21023" spans="5:9" ht="16.5" hidden="1">
      <c r="E21023" s="4" t="str">
        <v/>
      </c>
      <c r="F21023" s="102" t="str">
        <f ca="1">IFERROR(__xludf.DUMMYFUNCTION("IMPORTRANGE(H21023,""IDENTITAS UNIT!D9"")"),"#N/A")</f>
        <v>#N/A</v>
      </c>
      <c r="H21023" s="4" t="str">
        <v/>
      </c>
      <c r="I21023" s="4" t="str">
        <v/>
      </c>
    </row>
    <row r="21024" spans="5:9" ht="16.5" hidden="1">
      <c r="E21024" s="4" t="str">
        <v/>
      </c>
      <c r="F21024" s="102" t="str">
        <f ca="1">IFERROR(__xludf.DUMMYFUNCTION("IMPORTRANGE(H21024,""IDENTITAS UNIT!D9"")"),"#N/A")</f>
        <v>#N/A</v>
      </c>
      <c r="H21024" s="4" t="str">
        <v/>
      </c>
      <c r="I21024" s="4" t="str">
        <v/>
      </c>
    </row>
    <row r="21025" spans="5:9" ht="16.5" hidden="1">
      <c r="E21025" s="4" t="str">
        <v/>
      </c>
      <c r="F21025" s="102" t="str">
        <f ca="1">IFERROR(__xludf.DUMMYFUNCTION("IMPORTRANGE(H21025,""IDENTITAS UNIT!D9"")"),"#N/A")</f>
        <v>#N/A</v>
      </c>
      <c r="H21025" s="4" t="str">
        <v/>
      </c>
      <c r="I21025" s="4" t="str">
        <v/>
      </c>
    </row>
    <row r="21026" spans="5:9" ht="16.5" hidden="1">
      <c r="E21026" s="4" t="str">
        <v/>
      </c>
      <c r="F21026" s="102" t="str">
        <f ca="1">IFERROR(__xludf.DUMMYFUNCTION("IMPORTRANGE(H21026,""IDENTITAS UNIT!D9"")"),"#N/A")</f>
        <v>#N/A</v>
      </c>
      <c r="H21026" s="4" t="str">
        <v/>
      </c>
      <c r="I21026" s="4" t="str">
        <v/>
      </c>
    </row>
    <row r="21027" spans="5:9" ht="16.5" hidden="1">
      <c r="E21027" s="4" t="str">
        <v/>
      </c>
      <c r="F21027" s="102" t="str">
        <f ca="1">IFERROR(__xludf.DUMMYFUNCTION("IMPORTRANGE(H21027,""IDENTITAS UNIT!D9"")"),"#N/A")</f>
        <v>#N/A</v>
      </c>
      <c r="H21027" s="4" t="str">
        <v/>
      </c>
      <c r="I21027" s="4" t="str">
        <v/>
      </c>
    </row>
    <row r="21028" spans="5:9" ht="16.5" hidden="1">
      <c r="E21028" s="4" t="str">
        <v/>
      </c>
      <c r="F21028" s="102" t="str">
        <f ca="1">IFERROR(__xludf.DUMMYFUNCTION("IMPORTRANGE(H21028,""IDENTITAS UNIT!D9"")"),"#N/A")</f>
        <v>#N/A</v>
      </c>
      <c r="H21028" s="4" t="str">
        <v/>
      </c>
      <c r="I21028" s="4" t="str">
        <v/>
      </c>
    </row>
    <row r="21029" spans="5:9" ht="16.5" hidden="1">
      <c r="E21029" s="4" t="str">
        <v/>
      </c>
      <c r="F21029" s="102" t="str">
        <f ca="1">IFERROR(__xludf.DUMMYFUNCTION("IMPORTRANGE(H21029,""IDENTITAS UNIT!D9"")"),"#N/A")</f>
        <v>#N/A</v>
      </c>
      <c r="H21029" s="4" t="str">
        <v/>
      </c>
      <c r="I21029" s="4" t="str">
        <v/>
      </c>
    </row>
    <row r="21030" spans="5:9" ht="16.5" hidden="1">
      <c r="E21030" s="4" t="str">
        <v/>
      </c>
      <c r="F21030" s="102" t="str">
        <f ca="1">IFERROR(__xludf.DUMMYFUNCTION("IMPORTRANGE(H21030,""IDENTITAS UNIT!D9"")"),"#N/A")</f>
        <v>#N/A</v>
      </c>
      <c r="H21030" s="4" t="str">
        <v/>
      </c>
      <c r="I21030" s="4" t="str">
        <v/>
      </c>
    </row>
    <row r="21031" spans="5:9" ht="16.5" hidden="1">
      <c r="E21031" s="4" t="str">
        <v/>
      </c>
      <c r="F21031" s="102" t="str">
        <f ca="1">IFERROR(__xludf.DUMMYFUNCTION("IMPORTRANGE(H21031,""IDENTITAS UNIT!D9"")"),"#N/A")</f>
        <v>#N/A</v>
      </c>
      <c r="H21031" s="4" t="str">
        <v/>
      </c>
      <c r="I21031" s="4" t="str">
        <v/>
      </c>
    </row>
    <row r="21032" spans="5:9" ht="16.5" hidden="1">
      <c r="E21032" s="4" t="str">
        <v/>
      </c>
      <c r="F21032" s="102" t="str">
        <f ca="1">IFERROR(__xludf.DUMMYFUNCTION("IMPORTRANGE(H21032,""IDENTITAS UNIT!D9"")"),"#N/A")</f>
        <v>#N/A</v>
      </c>
      <c r="H21032" s="4" t="str">
        <v/>
      </c>
      <c r="I21032" s="4" t="str">
        <v/>
      </c>
    </row>
    <row r="21033" spans="5:9" ht="16.5" hidden="1">
      <c r="E21033" s="4" t="str">
        <v/>
      </c>
      <c r="F21033" s="102" t="str">
        <f ca="1">IFERROR(__xludf.DUMMYFUNCTION("IMPORTRANGE(H21033,""IDENTITAS UNIT!D9"")"),"#N/A")</f>
        <v>#N/A</v>
      </c>
      <c r="H21033" s="4" t="str">
        <v/>
      </c>
      <c r="I21033" s="4" t="str">
        <v/>
      </c>
    </row>
    <row r="21034" spans="5:9" ht="16.5" hidden="1">
      <c r="E21034" s="4" t="str">
        <v/>
      </c>
      <c r="F21034" s="102" t="str">
        <f ca="1">IFERROR(__xludf.DUMMYFUNCTION("IMPORTRANGE(H21034,""IDENTITAS UNIT!D9"")"),"#N/A")</f>
        <v>#N/A</v>
      </c>
      <c r="H21034" s="4" t="str">
        <v/>
      </c>
      <c r="I21034" s="4" t="str">
        <v/>
      </c>
    </row>
    <row r="21035" spans="5:9" ht="16.5" hidden="1">
      <c r="E21035" s="4" t="str">
        <v/>
      </c>
      <c r="F21035" s="102" t="str">
        <f ca="1">IFERROR(__xludf.DUMMYFUNCTION("IMPORTRANGE(H21035,""IDENTITAS UNIT!D9"")"),"#N/A")</f>
        <v>#N/A</v>
      </c>
      <c r="H21035" s="4" t="str">
        <v/>
      </c>
      <c r="I21035" s="4" t="str">
        <v/>
      </c>
    </row>
    <row r="21036" spans="5:9" ht="16.5" hidden="1">
      <c r="E21036" s="4" t="str">
        <v/>
      </c>
      <c r="F21036" s="102" t="str">
        <f ca="1">IFERROR(__xludf.DUMMYFUNCTION("IMPORTRANGE(H21036,""IDENTITAS UNIT!D9"")"),"#N/A")</f>
        <v>#N/A</v>
      </c>
      <c r="H21036" s="4" t="str">
        <v/>
      </c>
      <c r="I21036" s="4" t="str">
        <v/>
      </c>
    </row>
    <row r="21037" spans="5:9" ht="16.5" hidden="1">
      <c r="E21037" s="4" t="str">
        <v/>
      </c>
      <c r="F21037" s="102" t="str">
        <f ca="1">IFERROR(__xludf.DUMMYFUNCTION("IMPORTRANGE(H21037,""IDENTITAS UNIT!D9"")"),"#N/A")</f>
        <v>#N/A</v>
      </c>
      <c r="H21037" s="4" t="str">
        <v/>
      </c>
      <c r="I21037" s="4" t="str">
        <v/>
      </c>
    </row>
    <row r="21038" spans="5:9" ht="16.5" hidden="1">
      <c r="E21038" s="4" t="str">
        <v/>
      </c>
      <c r="F21038" s="102" t="str">
        <f ca="1">IFERROR(__xludf.DUMMYFUNCTION("IMPORTRANGE(H21038,""IDENTITAS UNIT!D9"")"),"#N/A")</f>
        <v>#N/A</v>
      </c>
      <c r="H21038" s="4" t="str">
        <v/>
      </c>
      <c r="I21038" s="4" t="str">
        <v/>
      </c>
    </row>
    <row r="21039" spans="5:9" ht="16.5" hidden="1">
      <c r="E21039" s="4" t="str">
        <v/>
      </c>
      <c r="F21039" s="102" t="str">
        <f ca="1">IFERROR(__xludf.DUMMYFUNCTION("IMPORTRANGE(H21039,""IDENTITAS UNIT!D9"")"),"#N/A")</f>
        <v>#N/A</v>
      </c>
      <c r="H21039" s="4" t="str">
        <v/>
      </c>
      <c r="I21039" s="4" t="str">
        <v/>
      </c>
    </row>
    <row r="21040" spans="5:9" ht="16.5" hidden="1">
      <c r="E21040" s="4" t="str">
        <v/>
      </c>
      <c r="F21040" s="102" t="str">
        <f ca="1">IFERROR(__xludf.DUMMYFUNCTION("IMPORTRANGE(H21040,""IDENTITAS UNIT!D9"")"),"#N/A")</f>
        <v>#N/A</v>
      </c>
      <c r="H21040" s="4" t="str">
        <v/>
      </c>
      <c r="I21040" s="4" t="str">
        <v/>
      </c>
    </row>
    <row r="21041" spans="5:9" ht="16.5" hidden="1">
      <c r="E21041" s="4" t="str">
        <v/>
      </c>
      <c r="F21041" s="102" t="str">
        <f ca="1">IFERROR(__xludf.DUMMYFUNCTION("IMPORTRANGE(H21041,""IDENTITAS UNIT!D9"")"),"#N/A")</f>
        <v>#N/A</v>
      </c>
      <c r="H21041" s="4" t="str">
        <v/>
      </c>
      <c r="I21041" s="4" t="str">
        <v/>
      </c>
    </row>
    <row r="21042" spans="5:9" ht="16.5" hidden="1">
      <c r="E21042" s="4" t="str">
        <v/>
      </c>
      <c r="F21042" s="102" t="str">
        <f ca="1">IFERROR(__xludf.DUMMYFUNCTION("IMPORTRANGE(H21042,""IDENTITAS UNIT!D9"")"),"#N/A")</f>
        <v>#N/A</v>
      </c>
      <c r="H21042" s="4" t="str">
        <v/>
      </c>
      <c r="I21042" s="4" t="str">
        <v/>
      </c>
    </row>
    <row r="21043" spans="5:9" ht="16.5" hidden="1">
      <c r="E21043" s="4" t="str">
        <v/>
      </c>
      <c r="F21043" s="102" t="str">
        <f ca="1">IFERROR(__xludf.DUMMYFUNCTION("IMPORTRANGE(H21043,""IDENTITAS UNIT!D9"")"),"#N/A")</f>
        <v>#N/A</v>
      </c>
      <c r="H21043" s="4" t="str">
        <v/>
      </c>
      <c r="I21043" s="4" t="str">
        <v/>
      </c>
    </row>
    <row r="21044" spans="5:9" ht="16.5" hidden="1">
      <c r="E21044" s="4" t="str">
        <v/>
      </c>
      <c r="F21044" s="102" t="str">
        <f ca="1">IFERROR(__xludf.DUMMYFUNCTION("IMPORTRANGE(H21044,""IDENTITAS UNIT!D9"")"),"#N/A")</f>
        <v>#N/A</v>
      </c>
      <c r="H21044" s="4" t="str">
        <v/>
      </c>
      <c r="I21044" s="4" t="str">
        <v/>
      </c>
    </row>
    <row r="21045" spans="5:9" ht="16.5" hidden="1">
      <c r="E21045" s="4" t="str">
        <v/>
      </c>
      <c r="F21045" s="102" t="str">
        <f ca="1">IFERROR(__xludf.DUMMYFUNCTION("IMPORTRANGE(H21045,""IDENTITAS UNIT!D9"")"),"#N/A")</f>
        <v>#N/A</v>
      </c>
      <c r="H21045" s="4" t="str">
        <v/>
      </c>
      <c r="I21045" s="4" t="str">
        <v/>
      </c>
    </row>
    <row r="21046" spans="5:9" ht="16.5" hidden="1">
      <c r="E21046" s="4" t="str">
        <v/>
      </c>
      <c r="F21046" s="102" t="str">
        <f ca="1">IFERROR(__xludf.DUMMYFUNCTION("IMPORTRANGE(H21046,""IDENTITAS UNIT!D9"")"),"#N/A")</f>
        <v>#N/A</v>
      </c>
      <c r="H21046" s="4" t="str">
        <v/>
      </c>
      <c r="I21046" s="4" t="str">
        <v/>
      </c>
    </row>
    <row r="21047" spans="5:9" ht="16.5" hidden="1">
      <c r="E21047" s="4" t="str">
        <v/>
      </c>
      <c r="F21047" s="102" t="str">
        <f ca="1">IFERROR(__xludf.DUMMYFUNCTION("IMPORTRANGE(H21047,""IDENTITAS UNIT!D9"")"),"#N/A")</f>
        <v>#N/A</v>
      </c>
      <c r="H21047" s="4" t="str">
        <v/>
      </c>
      <c r="I21047" s="4" t="str">
        <v/>
      </c>
    </row>
    <row r="21048" spans="5:9" ht="16.5" hidden="1">
      <c r="E21048" s="4" t="str">
        <v/>
      </c>
      <c r="F21048" s="102" t="str">
        <f ca="1">IFERROR(__xludf.DUMMYFUNCTION("IMPORTRANGE(H21048,""IDENTITAS UNIT!D9"")"),"#N/A")</f>
        <v>#N/A</v>
      </c>
      <c r="H21048" s="4" t="str">
        <v/>
      </c>
      <c r="I21048" s="4" t="str">
        <v/>
      </c>
    </row>
    <row r="21049" spans="5:9" ht="16.5" hidden="1">
      <c r="E21049" s="4" t="str">
        <v/>
      </c>
      <c r="F21049" s="102" t="str">
        <f ca="1">IFERROR(__xludf.DUMMYFUNCTION("IMPORTRANGE(H21049,""IDENTITAS UNIT!D9"")"),"#N/A")</f>
        <v>#N/A</v>
      </c>
      <c r="H21049" s="4" t="str">
        <v/>
      </c>
      <c r="I21049" s="4" t="str">
        <v/>
      </c>
    </row>
    <row r="21050" spans="5:9" ht="16.5" hidden="1">
      <c r="E21050" s="4" t="str">
        <v/>
      </c>
      <c r="F21050" s="102" t="str">
        <f ca="1">IFERROR(__xludf.DUMMYFUNCTION("IMPORTRANGE(H21050,""IDENTITAS UNIT!D9"")"),"#N/A")</f>
        <v>#N/A</v>
      </c>
      <c r="H21050" s="4" t="str">
        <v/>
      </c>
      <c r="I21050" s="4" t="str">
        <v/>
      </c>
    </row>
    <row r="21051" spans="5:9" ht="16.5" hidden="1">
      <c r="E21051" s="4" t="str">
        <v/>
      </c>
      <c r="F21051" s="102" t="str">
        <f ca="1">IFERROR(__xludf.DUMMYFUNCTION("IMPORTRANGE(H21051,""IDENTITAS UNIT!D9"")"),"#N/A")</f>
        <v>#N/A</v>
      </c>
      <c r="H21051" s="4" t="str">
        <v/>
      </c>
      <c r="I21051" s="4" t="str">
        <v/>
      </c>
    </row>
    <row r="21052" spans="5:9" ht="16.5" hidden="1">
      <c r="E21052" s="4" t="str">
        <v/>
      </c>
      <c r="F21052" s="102" t="str">
        <f ca="1">IFERROR(__xludf.DUMMYFUNCTION("IMPORTRANGE(H21052,""IDENTITAS UNIT!D9"")"),"#N/A")</f>
        <v>#N/A</v>
      </c>
      <c r="H21052" s="4" t="str">
        <v/>
      </c>
      <c r="I21052" s="4" t="str">
        <v/>
      </c>
    </row>
    <row r="21053" spans="5:9" ht="16.5" hidden="1">
      <c r="E21053" s="4" t="str">
        <v/>
      </c>
      <c r="F21053" s="102" t="str">
        <f ca="1">IFERROR(__xludf.DUMMYFUNCTION("IMPORTRANGE(H21053,""IDENTITAS UNIT!D9"")"),"#N/A")</f>
        <v>#N/A</v>
      </c>
      <c r="H21053" s="4" t="str">
        <v/>
      </c>
      <c r="I21053" s="4" t="str">
        <v/>
      </c>
    </row>
    <row r="21054" spans="5:9" ht="16.5" hidden="1">
      <c r="E21054" s="4" t="str">
        <v/>
      </c>
      <c r="F21054" s="102" t="str">
        <f ca="1">IFERROR(__xludf.DUMMYFUNCTION("IMPORTRANGE(H21054,""IDENTITAS UNIT!D9"")"),"#N/A")</f>
        <v>#N/A</v>
      </c>
      <c r="H21054" s="4" t="str">
        <v/>
      </c>
      <c r="I21054" s="4" t="str">
        <v/>
      </c>
    </row>
    <row r="21055" spans="5:9" ht="16.5" hidden="1">
      <c r="E21055" s="4" t="str">
        <v/>
      </c>
      <c r="F21055" s="102" t="str">
        <f ca="1">IFERROR(__xludf.DUMMYFUNCTION("IMPORTRANGE(H21055,""IDENTITAS UNIT!D9"")"),"#N/A")</f>
        <v>#N/A</v>
      </c>
      <c r="H21055" s="4" t="str">
        <v/>
      </c>
      <c r="I21055" s="4" t="str">
        <v/>
      </c>
    </row>
    <row r="21056" spans="5:9" ht="16.5" hidden="1">
      <c r="E21056" s="4" t="str">
        <v/>
      </c>
      <c r="F21056" s="102" t="str">
        <f ca="1">IFERROR(__xludf.DUMMYFUNCTION("IMPORTRANGE(H21056,""IDENTITAS UNIT!D9"")"),"#N/A")</f>
        <v>#N/A</v>
      </c>
      <c r="H21056" s="4" t="str">
        <v/>
      </c>
      <c r="I21056" s="4" t="str">
        <v/>
      </c>
    </row>
    <row r="21057" spans="5:9" ht="16.5" hidden="1">
      <c r="E21057" s="4" t="str">
        <v/>
      </c>
      <c r="F21057" s="102" t="str">
        <f ca="1">IFERROR(__xludf.DUMMYFUNCTION("IMPORTRANGE(H21057,""IDENTITAS UNIT!D9"")"),"#N/A")</f>
        <v>#N/A</v>
      </c>
      <c r="H21057" s="4" t="str">
        <v/>
      </c>
      <c r="I21057" s="4" t="str">
        <v/>
      </c>
    </row>
    <row r="21058" spans="5:9" ht="16.5" hidden="1">
      <c r="E21058" s="4" t="str">
        <v/>
      </c>
      <c r="F21058" s="102" t="str">
        <f ca="1">IFERROR(__xludf.DUMMYFUNCTION("IMPORTRANGE(H21058,""IDENTITAS UNIT!D9"")"),"#N/A")</f>
        <v>#N/A</v>
      </c>
      <c r="H21058" s="4" t="str">
        <v/>
      </c>
      <c r="I21058" s="4" t="str">
        <v/>
      </c>
    </row>
    <row r="21059" spans="5:9" ht="16.5" hidden="1">
      <c r="E21059" s="4" t="str">
        <v/>
      </c>
      <c r="F21059" s="102" t="str">
        <f ca="1">IFERROR(__xludf.DUMMYFUNCTION("IMPORTRANGE(H21059,""IDENTITAS UNIT!D9"")"),"#N/A")</f>
        <v>#N/A</v>
      </c>
      <c r="H21059" s="4" t="str">
        <v/>
      </c>
      <c r="I21059" s="4" t="str">
        <v/>
      </c>
    </row>
    <row r="21060" spans="5:9" ht="16.5" hidden="1">
      <c r="E21060" s="4" t="str">
        <v/>
      </c>
      <c r="F21060" s="102" t="str">
        <f ca="1">IFERROR(__xludf.DUMMYFUNCTION("IMPORTRANGE(H21060,""IDENTITAS UNIT!D9"")"),"#N/A")</f>
        <v>#N/A</v>
      </c>
      <c r="H21060" s="4" t="str">
        <v/>
      </c>
      <c r="I21060" s="4" t="str">
        <v/>
      </c>
    </row>
    <row r="21061" spans="5:9" ht="16.5" hidden="1">
      <c r="E21061" s="4" t="str">
        <v/>
      </c>
      <c r="F21061" s="102" t="str">
        <f ca="1">IFERROR(__xludf.DUMMYFUNCTION("IMPORTRANGE(H21061,""IDENTITAS UNIT!D9"")"),"#N/A")</f>
        <v>#N/A</v>
      </c>
      <c r="H21061" s="4" t="str">
        <v/>
      </c>
      <c r="I21061" s="4" t="str">
        <v/>
      </c>
    </row>
    <row r="21062" spans="5:9" ht="16.5" hidden="1">
      <c r="E21062" s="4" t="str">
        <v/>
      </c>
      <c r="F21062" s="102" t="str">
        <f ca="1">IFERROR(__xludf.DUMMYFUNCTION("IMPORTRANGE(H21062,""IDENTITAS UNIT!D9"")"),"#N/A")</f>
        <v>#N/A</v>
      </c>
      <c r="H21062" s="4" t="str">
        <v/>
      </c>
      <c r="I21062" s="4" t="str">
        <v/>
      </c>
    </row>
    <row r="21063" spans="5:9" ht="16.5" hidden="1">
      <c r="E21063" s="4" t="str">
        <v/>
      </c>
      <c r="F21063" s="102" t="str">
        <f ca="1">IFERROR(__xludf.DUMMYFUNCTION("IMPORTRANGE(H21063,""IDENTITAS UNIT!D9"")"),"#N/A")</f>
        <v>#N/A</v>
      </c>
      <c r="H21063" s="4" t="str">
        <v/>
      </c>
      <c r="I21063" s="4" t="str">
        <v/>
      </c>
    </row>
    <row r="21064" spans="5:9" ht="16.5" hidden="1">
      <c r="E21064" s="4" t="str">
        <v/>
      </c>
      <c r="F21064" s="102" t="str">
        <f ca="1">IFERROR(__xludf.DUMMYFUNCTION("IMPORTRANGE(H21064,""IDENTITAS UNIT!D9"")"),"#N/A")</f>
        <v>#N/A</v>
      </c>
      <c r="H21064" s="4" t="str">
        <v/>
      </c>
      <c r="I21064" s="4" t="str">
        <v/>
      </c>
    </row>
    <row r="21065" spans="5:9" ht="16.5" hidden="1">
      <c r="E21065" s="4" t="str">
        <v/>
      </c>
      <c r="F21065" s="102" t="str">
        <f ca="1">IFERROR(__xludf.DUMMYFUNCTION("IMPORTRANGE(H21065,""IDENTITAS UNIT!D9"")"),"#N/A")</f>
        <v>#N/A</v>
      </c>
      <c r="H21065" s="4" t="str">
        <v/>
      </c>
      <c r="I21065" s="4" t="str">
        <v/>
      </c>
    </row>
    <row r="21066" spans="5:9" ht="16.5" hidden="1">
      <c r="E21066" s="4" t="str">
        <v/>
      </c>
      <c r="F21066" s="102" t="str">
        <f ca="1">IFERROR(__xludf.DUMMYFUNCTION("IMPORTRANGE(H21066,""IDENTITAS UNIT!D9"")"),"#N/A")</f>
        <v>#N/A</v>
      </c>
      <c r="H21066" s="4" t="str">
        <v/>
      </c>
      <c r="I21066" s="4" t="str">
        <v/>
      </c>
    </row>
    <row r="21067" spans="5:9" ht="16.5" hidden="1">
      <c r="E21067" s="4" t="str">
        <v/>
      </c>
      <c r="F21067" s="102" t="str">
        <f ca="1">IFERROR(__xludf.DUMMYFUNCTION("IMPORTRANGE(H21067,""IDENTITAS UNIT!D9"")"),"#N/A")</f>
        <v>#N/A</v>
      </c>
      <c r="H21067" s="4" t="str">
        <v/>
      </c>
      <c r="I21067" s="4" t="str">
        <v/>
      </c>
    </row>
    <row r="21068" spans="5:9" ht="16.5" hidden="1">
      <c r="E21068" s="4" t="str">
        <v/>
      </c>
      <c r="F21068" s="102" t="str">
        <f ca="1">IFERROR(__xludf.DUMMYFUNCTION("IMPORTRANGE(H21068,""IDENTITAS UNIT!D9"")"),"#N/A")</f>
        <v>#N/A</v>
      </c>
      <c r="H21068" s="4" t="str">
        <v/>
      </c>
      <c r="I21068" s="4" t="str">
        <v/>
      </c>
    </row>
    <row r="21069" spans="5:9" ht="16.5" hidden="1">
      <c r="E21069" s="4" t="str">
        <v/>
      </c>
      <c r="F21069" s="102" t="str">
        <f ca="1">IFERROR(__xludf.DUMMYFUNCTION("IMPORTRANGE(H21069,""IDENTITAS UNIT!D9"")"),"#N/A")</f>
        <v>#N/A</v>
      </c>
      <c r="H21069" s="4" t="str">
        <v/>
      </c>
      <c r="I21069" s="4" t="str">
        <v/>
      </c>
    </row>
    <row r="21070" spans="5:9" ht="16.5" hidden="1">
      <c r="E21070" s="4" t="str">
        <v/>
      </c>
      <c r="F21070" s="102" t="str">
        <f ca="1">IFERROR(__xludf.DUMMYFUNCTION("IMPORTRANGE(H21070,""IDENTITAS UNIT!D9"")"),"#N/A")</f>
        <v>#N/A</v>
      </c>
      <c r="H21070" s="4" t="str">
        <v/>
      </c>
      <c r="I21070" s="4" t="str">
        <v/>
      </c>
    </row>
    <row r="21071" spans="5:9" ht="16.5" hidden="1">
      <c r="E21071" s="4" t="str">
        <v/>
      </c>
      <c r="F21071" s="102" t="str">
        <f ca="1">IFERROR(__xludf.DUMMYFUNCTION("IMPORTRANGE(H21071,""IDENTITAS UNIT!D9"")"),"#N/A")</f>
        <v>#N/A</v>
      </c>
      <c r="H21071" s="4" t="str">
        <v/>
      </c>
      <c r="I21071" s="4" t="str">
        <v/>
      </c>
    </row>
    <row r="21072" spans="5:9" ht="16.5" hidden="1">
      <c r="E21072" s="4" t="str">
        <v/>
      </c>
      <c r="F21072" s="102" t="str">
        <f ca="1">IFERROR(__xludf.DUMMYFUNCTION("IMPORTRANGE(H21072,""IDENTITAS UNIT!D9"")"),"#N/A")</f>
        <v>#N/A</v>
      </c>
      <c r="H21072" s="4" t="str">
        <v/>
      </c>
      <c r="I21072" s="4" t="str">
        <v/>
      </c>
    </row>
    <row r="21073" spans="5:9" ht="16.5" hidden="1">
      <c r="E21073" s="4" t="str">
        <v/>
      </c>
      <c r="F21073" s="102" t="str">
        <f ca="1">IFERROR(__xludf.DUMMYFUNCTION("IMPORTRANGE(H21073,""IDENTITAS UNIT!D9"")"),"#N/A")</f>
        <v>#N/A</v>
      </c>
      <c r="H21073" s="4" t="str">
        <v/>
      </c>
      <c r="I21073" s="4" t="str">
        <v/>
      </c>
    </row>
    <row r="21074" spans="5:9" ht="16.5" hidden="1">
      <c r="E21074" s="4" t="str">
        <v/>
      </c>
      <c r="F21074" s="102" t="str">
        <f ca="1">IFERROR(__xludf.DUMMYFUNCTION("IMPORTRANGE(H21074,""IDENTITAS UNIT!D9"")"),"#N/A")</f>
        <v>#N/A</v>
      </c>
      <c r="H21074" s="4" t="str">
        <v/>
      </c>
      <c r="I21074" s="4" t="str">
        <v/>
      </c>
    </row>
    <row r="21075" spans="5:9" ht="16.5" hidden="1">
      <c r="E21075" s="4" t="str">
        <v/>
      </c>
      <c r="F21075" s="102" t="str">
        <f ca="1">IFERROR(__xludf.DUMMYFUNCTION("IMPORTRANGE(H21075,""IDENTITAS UNIT!D9"")"),"#N/A")</f>
        <v>#N/A</v>
      </c>
      <c r="H21075" s="4" t="str">
        <v/>
      </c>
      <c r="I21075" s="4" t="str">
        <v/>
      </c>
    </row>
    <row r="21076" spans="5:9" ht="16.5" hidden="1">
      <c r="E21076" s="4" t="str">
        <v/>
      </c>
      <c r="F21076" s="102" t="str">
        <f ca="1">IFERROR(__xludf.DUMMYFUNCTION("IMPORTRANGE(H21076,""IDENTITAS UNIT!D9"")"),"#N/A")</f>
        <v>#N/A</v>
      </c>
      <c r="H21076" s="4" t="str">
        <v/>
      </c>
      <c r="I21076" s="4" t="str">
        <v/>
      </c>
    </row>
    <row r="21077" spans="5:9" ht="16.5" hidden="1">
      <c r="E21077" s="4" t="str">
        <v/>
      </c>
      <c r="F21077" s="102" t="str">
        <f ca="1">IFERROR(__xludf.DUMMYFUNCTION("IMPORTRANGE(H21077,""IDENTITAS UNIT!D9"")"),"#N/A")</f>
        <v>#N/A</v>
      </c>
      <c r="H21077" s="4" t="str">
        <v/>
      </c>
      <c r="I21077" s="4" t="str">
        <v/>
      </c>
    </row>
    <row r="21078" spans="5:9" ht="16.5" hidden="1">
      <c r="E21078" s="4" t="str">
        <v/>
      </c>
      <c r="F21078" s="102" t="str">
        <f ca="1">IFERROR(__xludf.DUMMYFUNCTION("IMPORTRANGE(H21078,""IDENTITAS UNIT!D9"")"),"#N/A")</f>
        <v>#N/A</v>
      </c>
      <c r="H21078" s="4" t="str">
        <v/>
      </c>
      <c r="I21078" s="4" t="str">
        <v/>
      </c>
    </row>
    <row r="21079" spans="5:9" ht="16.5" hidden="1">
      <c r="E21079" s="4" t="str">
        <v/>
      </c>
      <c r="F21079" s="102" t="str">
        <f ca="1">IFERROR(__xludf.DUMMYFUNCTION("IMPORTRANGE(H21079,""IDENTITAS UNIT!D9"")"),"#N/A")</f>
        <v>#N/A</v>
      </c>
      <c r="H21079" s="4" t="str">
        <v/>
      </c>
      <c r="I21079" s="4" t="str">
        <v/>
      </c>
    </row>
    <row r="21080" spans="5:9" ht="16.5" hidden="1">
      <c r="E21080" s="4" t="str">
        <v/>
      </c>
      <c r="F21080" s="102" t="str">
        <f ca="1">IFERROR(__xludf.DUMMYFUNCTION("IMPORTRANGE(H21080,""IDENTITAS UNIT!D9"")"),"#N/A")</f>
        <v>#N/A</v>
      </c>
      <c r="H21080" s="4" t="str">
        <v/>
      </c>
      <c r="I21080" s="4" t="str">
        <v/>
      </c>
    </row>
    <row r="21081" spans="5:9" ht="16.5" hidden="1">
      <c r="E21081" s="4" t="str">
        <v/>
      </c>
      <c r="F21081" s="102" t="str">
        <f ca="1">IFERROR(__xludf.DUMMYFUNCTION("IMPORTRANGE(H21081,""IDENTITAS UNIT!D9"")"),"#N/A")</f>
        <v>#N/A</v>
      </c>
      <c r="H21081" s="4" t="str">
        <v/>
      </c>
      <c r="I21081" s="4" t="str">
        <v/>
      </c>
    </row>
    <row r="21082" spans="5:9" ht="16.5" hidden="1">
      <c r="E21082" s="4" t="str">
        <v/>
      </c>
      <c r="F21082" s="102" t="str">
        <f ca="1">IFERROR(__xludf.DUMMYFUNCTION("IMPORTRANGE(H21082,""IDENTITAS UNIT!D9"")"),"#N/A")</f>
        <v>#N/A</v>
      </c>
      <c r="H21082" s="4" t="str">
        <v/>
      </c>
      <c r="I21082" s="4" t="str">
        <v/>
      </c>
    </row>
    <row r="21083" spans="5:9" ht="16.5" hidden="1">
      <c r="E21083" s="4" t="str">
        <v/>
      </c>
      <c r="F21083" s="102" t="str">
        <f ca="1">IFERROR(__xludf.DUMMYFUNCTION("IMPORTRANGE(H21083,""IDENTITAS UNIT!D9"")"),"#N/A")</f>
        <v>#N/A</v>
      </c>
      <c r="H21083" s="4" t="str">
        <v/>
      </c>
      <c r="I21083" s="4" t="str">
        <v/>
      </c>
    </row>
    <row r="21084" spans="5:9" ht="16.5" hidden="1">
      <c r="E21084" s="4" t="str">
        <v/>
      </c>
      <c r="F21084" s="102" t="str">
        <f ca="1">IFERROR(__xludf.DUMMYFUNCTION("IMPORTRANGE(H21084,""IDENTITAS UNIT!D9"")"),"#N/A")</f>
        <v>#N/A</v>
      </c>
      <c r="H21084" s="4" t="str">
        <v/>
      </c>
      <c r="I21084" s="4" t="str">
        <v/>
      </c>
    </row>
    <row r="21085" spans="5:9" ht="16.5" hidden="1">
      <c r="E21085" s="4" t="str">
        <v/>
      </c>
      <c r="F21085" s="102" t="str">
        <f ca="1">IFERROR(__xludf.DUMMYFUNCTION("IMPORTRANGE(H21085,""IDENTITAS UNIT!D9"")"),"#N/A")</f>
        <v>#N/A</v>
      </c>
      <c r="H21085" s="4" t="str">
        <v/>
      </c>
      <c r="I21085" s="4" t="str">
        <v/>
      </c>
    </row>
    <row r="21086" spans="5:9" ht="16.5" hidden="1">
      <c r="E21086" s="4" t="str">
        <v/>
      </c>
      <c r="F21086" s="102" t="str">
        <f ca="1">IFERROR(__xludf.DUMMYFUNCTION("IMPORTRANGE(H21086,""IDENTITAS UNIT!D9"")"),"#N/A")</f>
        <v>#N/A</v>
      </c>
      <c r="H21086" s="4" t="str">
        <v/>
      </c>
      <c r="I21086" s="4" t="str">
        <v/>
      </c>
    </row>
    <row r="21087" spans="5:9" ht="16.5" hidden="1">
      <c r="E21087" s="4" t="str">
        <v/>
      </c>
      <c r="F21087" s="102" t="str">
        <f ca="1">IFERROR(__xludf.DUMMYFUNCTION("IMPORTRANGE(H21087,""IDENTITAS UNIT!D9"")"),"#N/A")</f>
        <v>#N/A</v>
      </c>
      <c r="H21087" s="4" t="str">
        <v/>
      </c>
      <c r="I21087" s="4" t="str">
        <v/>
      </c>
    </row>
    <row r="21088" spans="5:9" ht="16.5" hidden="1">
      <c r="E21088" s="4" t="str">
        <v/>
      </c>
      <c r="F21088" s="102" t="str">
        <f ca="1">IFERROR(__xludf.DUMMYFUNCTION("IMPORTRANGE(H21088,""IDENTITAS UNIT!D9"")"),"#N/A")</f>
        <v>#N/A</v>
      </c>
      <c r="H21088" s="4" t="str">
        <v/>
      </c>
      <c r="I21088" s="4" t="str">
        <v/>
      </c>
    </row>
    <row r="21089" spans="5:9" ht="16.5" hidden="1">
      <c r="E21089" s="4" t="str">
        <v/>
      </c>
      <c r="F21089" s="102" t="str">
        <f ca="1">IFERROR(__xludf.DUMMYFUNCTION("IMPORTRANGE(H21089,""IDENTITAS UNIT!D9"")"),"#N/A")</f>
        <v>#N/A</v>
      </c>
      <c r="H21089" s="4" t="str">
        <v/>
      </c>
      <c r="I21089" s="4" t="str">
        <v/>
      </c>
    </row>
    <row r="21090" spans="5:9" ht="16.5" hidden="1">
      <c r="E21090" s="4" t="str">
        <v/>
      </c>
      <c r="F21090" s="102" t="str">
        <f ca="1">IFERROR(__xludf.DUMMYFUNCTION("IMPORTRANGE(H21090,""IDENTITAS UNIT!D9"")"),"#N/A")</f>
        <v>#N/A</v>
      </c>
      <c r="H21090" s="4" t="str">
        <v/>
      </c>
      <c r="I21090" s="4" t="str">
        <v/>
      </c>
    </row>
    <row r="21091" spans="5:9" ht="16.5" hidden="1">
      <c r="E21091" s="4" t="str">
        <v/>
      </c>
      <c r="F21091" s="102" t="str">
        <f ca="1">IFERROR(__xludf.DUMMYFUNCTION("IMPORTRANGE(H21091,""IDENTITAS UNIT!D9"")"),"#N/A")</f>
        <v>#N/A</v>
      </c>
      <c r="H21091" s="4" t="str">
        <v/>
      </c>
      <c r="I21091" s="4" t="str">
        <v/>
      </c>
    </row>
    <row r="21092" spans="5:9" ht="16.5" hidden="1">
      <c r="E21092" s="4" t="str">
        <v/>
      </c>
      <c r="F21092" s="102" t="str">
        <f ca="1">IFERROR(__xludf.DUMMYFUNCTION("IMPORTRANGE(H21092,""IDENTITAS UNIT!D9"")"),"#N/A")</f>
        <v>#N/A</v>
      </c>
      <c r="H21092" s="4" t="str">
        <v/>
      </c>
      <c r="I21092" s="4" t="str">
        <v/>
      </c>
    </row>
    <row r="21093" spans="5:9" ht="16.5" hidden="1">
      <c r="E21093" s="4" t="str">
        <v/>
      </c>
      <c r="F21093" s="102" t="str">
        <f ca="1">IFERROR(__xludf.DUMMYFUNCTION("IMPORTRANGE(H21093,""IDENTITAS UNIT!D9"")"),"#N/A")</f>
        <v>#N/A</v>
      </c>
      <c r="H21093" s="4" t="str">
        <v/>
      </c>
      <c r="I21093" s="4" t="str">
        <v/>
      </c>
    </row>
    <row r="21094" spans="5:9" ht="16.5" hidden="1">
      <c r="E21094" s="4" t="str">
        <v/>
      </c>
      <c r="F21094" s="102" t="str">
        <f ca="1">IFERROR(__xludf.DUMMYFUNCTION("IMPORTRANGE(H21094,""IDENTITAS UNIT!D9"")"),"#N/A")</f>
        <v>#N/A</v>
      </c>
      <c r="H21094" s="4" t="str">
        <v/>
      </c>
      <c r="I21094" s="4" t="str">
        <v/>
      </c>
    </row>
    <row r="21095" spans="5:9" ht="16.5" hidden="1">
      <c r="E21095" s="4" t="str">
        <v/>
      </c>
      <c r="F21095" s="102" t="str">
        <f ca="1">IFERROR(__xludf.DUMMYFUNCTION("IMPORTRANGE(H21095,""IDENTITAS UNIT!D9"")"),"#N/A")</f>
        <v>#N/A</v>
      </c>
      <c r="H21095" s="4" t="str">
        <v/>
      </c>
      <c r="I21095" s="4" t="str">
        <v/>
      </c>
    </row>
    <row r="21096" spans="5:9" ht="16.5" hidden="1">
      <c r="E21096" s="4" t="str">
        <v/>
      </c>
      <c r="F21096" s="102" t="str">
        <f ca="1">IFERROR(__xludf.DUMMYFUNCTION("IMPORTRANGE(H21096,""IDENTITAS UNIT!D9"")"),"#N/A")</f>
        <v>#N/A</v>
      </c>
      <c r="H21096" s="4" t="str">
        <v/>
      </c>
      <c r="I21096" s="4" t="str">
        <v/>
      </c>
    </row>
    <row r="21097" spans="5:9" ht="16.5" hidden="1">
      <c r="E21097" s="4" t="str">
        <v/>
      </c>
      <c r="F21097" s="102" t="str">
        <f ca="1">IFERROR(__xludf.DUMMYFUNCTION("IMPORTRANGE(H21097,""IDENTITAS UNIT!D9"")"),"#N/A")</f>
        <v>#N/A</v>
      </c>
      <c r="H21097" s="4" t="str">
        <v/>
      </c>
      <c r="I21097" s="4" t="str">
        <v/>
      </c>
    </row>
    <row r="21098" spans="5:9" ht="16.5" hidden="1">
      <c r="E21098" s="4" t="str">
        <v/>
      </c>
      <c r="F21098" s="102" t="str">
        <f ca="1">IFERROR(__xludf.DUMMYFUNCTION("IMPORTRANGE(H21098,""IDENTITAS UNIT!D9"")"),"#N/A")</f>
        <v>#N/A</v>
      </c>
      <c r="H21098" s="4" t="str">
        <v/>
      </c>
      <c r="I21098" s="4" t="str">
        <v/>
      </c>
    </row>
    <row r="21099" spans="5:9" ht="16.5" hidden="1">
      <c r="E21099" s="4" t="str">
        <v/>
      </c>
      <c r="F21099" s="102" t="str">
        <f ca="1">IFERROR(__xludf.DUMMYFUNCTION("IMPORTRANGE(H21099,""IDENTITAS UNIT!D9"")"),"#N/A")</f>
        <v>#N/A</v>
      </c>
      <c r="H21099" s="4" t="str">
        <v/>
      </c>
      <c r="I21099" s="4" t="str">
        <v/>
      </c>
    </row>
    <row r="21100" spans="5:9" ht="16.5" hidden="1">
      <c r="E21100" s="4" t="str">
        <v/>
      </c>
      <c r="F21100" s="102" t="str">
        <f ca="1">IFERROR(__xludf.DUMMYFUNCTION("IMPORTRANGE(H21100,""IDENTITAS UNIT!D9"")"),"#N/A")</f>
        <v>#N/A</v>
      </c>
      <c r="H21100" s="4" t="str">
        <v/>
      </c>
      <c r="I21100" s="4" t="str">
        <v/>
      </c>
    </row>
    <row r="21101" spans="5:9" ht="16.5" hidden="1">
      <c r="E21101" s="4" t="str">
        <v/>
      </c>
      <c r="F21101" s="102" t="str">
        <f ca="1">IFERROR(__xludf.DUMMYFUNCTION("IMPORTRANGE(H21101,""IDENTITAS UNIT!D9"")"),"#N/A")</f>
        <v>#N/A</v>
      </c>
      <c r="H21101" s="4" t="str">
        <v/>
      </c>
      <c r="I21101" s="4" t="str">
        <v/>
      </c>
    </row>
    <row r="21102" spans="5:9" ht="16.5" hidden="1">
      <c r="E21102" s="4" t="str">
        <v/>
      </c>
      <c r="F21102" s="102" t="str">
        <f ca="1">IFERROR(__xludf.DUMMYFUNCTION("IMPORTRANGE(H21102,""IDENTITAS UNIT!D9"")"),"#N/A")</f>
        <v>#N/A</v>
      </c>
      <c r="H21102" s="4" t="str">
        <v/>
      </c>
      <c r="I21102" s="4" t="str">
        <v/>
      </c>
    </row>
    <row r="21103" spans="5:9" ht="16.5" hidden="1">
      <c r="E21103" s="4" t="str">
        <v/>
      </c>
      <c r="F21103" s="102" t="str">
        <f ca="1">IFERROR(__xludf.DUMMYFUNCTION("IMPORTRANGE(H21103,""IDENTITAS UNIT!D9"")"),"#N/A")</f>
        <v>#N/A</v>
      </c>
      <c r="H21103" s="4" t="str">
        <v/>
      </c>
      <c r="I21103" s="4" t="str">
        <v/>
      </c>
    </row>
    <row r="21104" spans="5:9" ht="16.5" hidden="1">
      <c r="E21104" s="4" t="str">
        <v/>
      </c>
      <c r="F21104" s="102" t="str">
        <f ca="1">IFERROR(__xludf.DUMMYFUNCTION("IMPORTRANGE(H21104,""IDENTITAS UNIT!D9"")"),"#N/A")</f>
        <v>#N/A</v>
      </c>
      <c r="H21104" s="4" t="str">
        <v/>
      </c>
      <c r="I21104" s="4" t="str">
        <v/>
      </c>
    </row>
    <row r="21105" spans="5:9" ht="16.5" hidden="1">
      <c r="E21105" s="4" t="str">
        <v/>
      </c>
      <c r="F21105" s="102" t="str">
        <f ca="1">IFERROR(__xludf.DUMMYFUNCTION("IMPORTRANGE(H21105,""IDENTITAS UNIT!D9"")"),"#N/A")</f>
        <v>#N/A</v>
      </c>
      <c r="H21105" s="4" t="str">
        <v/>
      </c>
      <c r="I21105" s="4" t="str">
        <v/>
      </c>
    </row>
    <row r="21106" spans="5:9" ht="16.5" hidden="1">
      <c r="E21106" s="4" t="str">
        <v/>
      </c>
      <c r="F21106" s="102" t="str">
        <f ca="1">IFERROR(__xludf.DUMMYFUNCTION("IMPORTRANGE(H21106,""IDENTITAS UNIT!D9"")"),"#N/A")</f>
        <v>#N/A</v>
      </c>
      <c r="H21106" s="4" t="str">
        <v/>
      </c>
      <c r="I21106" s="4" t="str">
        <v/>
      </c>
    </row>
    <row r="21107" spans="5:9" ht="16.5" hidden="1">
      <c r="E21107" s="4" t="str">
        <v/>
      </c>
      <c r="F21107" s="102" t="str">
        <f ca="1">IFERROR(__xludf.DUMMYFUNCTION("IMPORTRANGE(H21107,""IDENTITAS UNIT!D9"")"),"#N/A")</f>
        <v>#N/A</v>
      </c>
      <c r="H21107" s="4" t="str">
        <v/>
      </c>
      <c r="I21107" s="4" t="str">
        <v/>
      </c>
    </row>
    <row r="21108" spans="5:9" ht="16.5" hidden="1">
      <c r="E21108" s="4" t="str">
        <v/>
      </c>
      <c r="F21108" s="102" t="str">
        <f ca="1">IFERROR(__xludf.DUMMYFUNCTION("IMPORTRANGE(H21108,""IDENTITAS UNIT!D9"")"),"#N/A")</f>
        <v>#N/A</v>
      </c>
      <c r="H21108" s="4" t="str">
        <v/>
      </c>
      <c r="I21108" s="4" t="str">
        <v/>
      </c>
    </row>
    <row r="21109" spans="5:9" ht="16.5" hidden="1">
      <c r="E21109" s="4" t="str">
        <v/>
      </c>
      <c r="F21109" s="102" t="str">
        <f ca="1">IFERROR(__xludf.DUMMYFUNCTION("IMPORTRANGE(H21109,""IDENTITAS UNIT!D9"")"),"#N/A")</f>
        <v>#N/A</v>
      </c>
      <c r="H21109" s="4" t="str">
        <v/>
      </c>
      <c r="I21109" s="4" t="str">
        <v/>
      </c>
    </row>
    <row r="21110" spans="5:9" ht="16.5" hidden="1">
      <c r="E21110" s="4" t="str">
        <v/>
      </c>
      <c r="F21110" s="102" t="str">
        <f ca="1">IFERROR(__xludf.DUMMYFUNCTION("IMPORTRANGE(H21110,""IDENTITAS UNIT!D9"")"),"#N/A")</f>
        <v>#N/A</v>
      </c>
      <c r="H21110" s="4" t="str">
        <v/>
      </c>
      <c r="I21110" s="4" t="str">
        <v/>
      </c>
    </row>
    <row r="21111" spans="5:9" ht="16.5" hidden="1">
      <c r="E21111" s="4" t="str">
        <v/>
      </c>
      <c r="F21111" s="102" t="str">
        <f ca="1">IFERROR(__xludf.DUMMYFUNCTION("IMPORTRANGE(H21111,""IDENTITAS UNIT!D9"")"),"#N/A")</f>
        <v>#N/A</v>
      </c>
      <c r="H21111" s="4" t="str">
        <v/>
      </c>
      <c r="I21111" s="4" t="str">
        <v/>
      </c>
    </row>
    <row r="21112" spans="5:9" ht="16.5" hidden="1">
      <c r="E21112" s="4" t="str">
        <v/>
      </c>
      <c r="F21112" s="102" t="str">
        <f ca="1">IFERROR(__xludf.DUMMYFUNCTION("IMPORTRANGE(H21112,""IDENTITAS UNIT!D9"")"),"#N/A")</f>
        <v>#N/A</v>
      </c>
      <c r="H21112" s="4" t="str">
        <v/>
      </c>
      <c r="I21112" s="4" t="str">
        <v/>
      </c>
    </row>
    <row r="21113" spans="5:9" ht="16.5" hidden="1">
      <c r="E21113" s="4" t="str">
        <v/>
      </c>
      <c r="F21113" s="102" t="str">
        <f ca="1">IFERROR(__xludf.DUMMYFUNCTION("IMPORTRANGE(H21113,""IDENTITAS UNIT!D9"")"),"#N/A")</f>
        <v>#N/A</v>
      </c>
      <c r="H21113" s="4" t="str">
        <v/>
      </c>
      <c r="I21113" s="4" t="str">
        <v/>
      </c>
    </row>
    <row r="21114" spans="5:9" ht="16.5" hidden="1">
      <c r="E21114" s="4" t="str">
        <v/>
      </c>
      <c r="F21114" s="102" t="str">
        <f ca="1">IFERROR(__xludf.DUMMYFUNCTION("IMPORTRANGE(H21114,""IDENTITAS UNIT!D9"")"),"#N/A")</f>
        <v>#N/A</v>
      </c>
      <c r="H21114" s="4" t="str">
        <v/>
      </c>
      <c r="I21114" s="4" t="str">
        <v/>
      </c>
    </row>
    <row r="21115" spans="5:9" ht="16.5" hidden="1">
      <c r="E21115" s="4" t="str">
        <v/>
      </c>
      <c r="F21115" s="102" t="str">
        <f ca="1">IFERROR(__xludf.DUMMYFUNCTION("IMPORTRANGE(H21115,""IDENTITAS UNIT!D9"")"),"#N/A")</f>
        <v>#N/A</v>
      </c>
      <c r="H21115" s="4" t="str">
        <v/>
      </c>
      <c r="I21115" s="4" t="str">
        <v/>
      </c>
    </row>
    <row r="21116" spans="5:9" ht="16.5" hidden="1">
      <c r="E21116" s="4" t="str">
        <v/>
      </c>
      <c r="F21116" s="102" t="str">
        <f ca="1">IFERROR(__xludf.DUMMYFUNCTION("IMPORTRANGE(H21116,""IDENTITAS UNIT!D9"")"),"#N/A")</f>
        <v>#N/A</v>
      </c>
      <c r="H21116" s="4" t="str">
        <v/>
      </c>
      <c r="I21116" s="4" t="str">
        <v/>
      </c>
    </row>
    <row r="21117" spans="5:9" ht="16.5" hidden="1">
      <c r="E21117" s="4" t="str">
        <v/>
      </c>
      <c r="F21117" s="102" t="str">
        <f ca="1">IFERROR(__xludf.DUMMYFUNCTION("IMPORTRANGE(H21117,""IDENTITAS UNIT!D9"")"),"#N/A")</f>
        <v>#N/A</v>
      </c>
      <c r="H21117" s="4" t="str">
        <v/>
      </c>
      <c r="I21117" s="4" t="str">
        <v/>
      </c>
    </row>
    <row r="21118" spans="5:9" ht="16.5" hidden="1">
      <c r="E21118" s="4" t="str">
        <v/>
      </c>
      <c r="F21118" s="102" t="str">
        <f ca="1">IFERROR(__xludf.DUMMYFUNCTION("IMPORTRANGE(H21118,""IDENTITAS UNIT!D9"")"),"#N/A")</f>
        <v>#N/A</v>
      </c>
      <c r="H21118" s="4" t="str">
        <v/>
      </c>
      <c r="I21118" s="4" t="str">
        <v/>
      </c>
    </row>
    <row r="21119" spans="5:9" ht="16.5" hidden="1">
      <c r="E21119" s="4" t="str">
        <v/>
      </c>
      <c r="F21119" s="102" t="str">
        <f ca="1">IFERROR(__xludf.DUMMYFUNCTION("IMPORTRANGE(H21119,""IDENTITAS UNIT!D9"")"),"#N/A")</f>
        <v>#N/A</v>
      </c>
      <c r="H21119" s="4" t="str">
        <v/>
      </c>
      <c r="I21119" s="4" t="str">
        <v/>
      </c>
    </row>
    <row r="21120" spans="5:9" ht="16.5" hidden="1">
      <c r="E21120" s="4" t="str">
        <v/>
      </c>
      <c r="F21120" s="102" t="str">
        <f ca="1">IFERROR(__xludf.DUMMYFUNCTION("IMPORTRANGE(H21120,""IDENTITAS UNIT!D9"")"),"#N/A")</f>
        <v>#N/A</v>
      </c>
      <c r="H21120" s="4" t="str">
        <v/>
      </c>
      <c r="I21120" s="4" t="str">
        <v/>
      </c>
    </row>
    <row r="21121" spans="5:9" ht="16.5" hidden="1">
      <c r="E21121" s="4" t="str">
        <v/>
      </c>
      <c r="F21121" s="102" t="str">
        <f ca="1">IFERROR(__xludf.DUMMYFUNCTION("IMPORTRANGE(H21121,""IDENTITAS UNIT!D9"")"),"#N/A")</f>
        <v>#N/A</v>
      </c>
      <c r="H21121" s="4" t="str">
        <v/>
      </c>
      <c r="I21121" s="4" t="str">
        <v/>
      </c>
    </row>
    <row r="21122" spans="5:9" ht="16.5" hidden="1">
      <c r="E21122" s="4" t="str">
        <v/>
      </c>
      <c r="F21122" s="102" t="str">
        <f ca="1">IFERROR(__xludf.DUMMYFUNCTION("IMPORTRANGE(H21122,""IDENTITAS UNIT!D9"")"),"#N/A")</f>
        <v>#N/A</v>
      </c>
      <c r="H21122" s="4" t="str">
        <v/>
      </c>
      <c r="I21122" s="4" t="str">
        <v/>
      </c>
    </row>
    <row r="21123" spans="5:9" ht="16.5" hidden="1">
      <c r="E21123" s="4" t="str">
        <v/>
      </c>
      <c r="F21123" s="102" t="str">
        <f ca="1">IFERROR(__xludf.DUMMYFUNCTION("IMPORTRANGE(H21123,""IDENTITAS UNIT!D9"")"),"#N/A")</f>
        <v>#N/A</v>
      </c>
      <c r="H21123" s="4" t="str">
        <v/>
      </c>
      <c r="I21123" s="4" t="str">
        <v/>
      </c>
    </row>
    <row r="21124" spans="5:9" ht="16.5" hidden="1">
      <c r="E21124" s="4" t="str">
        <v/>
      </c>
      <c r="F21124" s="102" t="str">
        <f ca="1">IFERROR(__xludf.DUMMYFUNCTION("IMPORTRANGE(H21124,""IDENTITAS UNIT!D9"")"),"#N/A")</f>
        <v>#N/A</v>
      </c>
      <c r="H21124" s="4" t="str">
        <v/>
      </c>
      <c r="I21124" s="4" t="str">
        <v/>
      </c>
    </row>
    <row r="21125" spans="5:9" ht="16.5" hidden="1">
      <c r="E21125" s="4" t="str">
        <v/>
      </c>
      <c r="F21125" s="102" t="str">
        <f ca="1">IFERROR(__xludf.DUMMYFUNCTION("IMPORTRANGE(H21125,""IDENTITAS UNIT!D9"")"),"#N/A")</f>
        <v>#N/A</v>
      </c>
      <c r="H21125" s="4" t="str">
        <v/>
      </c>
      <c r="I21125" s="4" t="str">
        <v/>
      </c>
    </row>
    <row r="21126" spans="5:9" ht="16.5" hidden="1">
      <c r="E21126" s="4" t="str">
        <v/>
      </c>
      <c r="F21126" s="102" t="str">
        <f ca="1">IFERROR(__xludf.DUMMYFUNCTION("IMPORTRANGE(H21126,""IDENTITAS UNIT!D9"")"),"#N/A")</f>
        <v>#N/A</v>
      </c>
      <c r="H21126" s="4" t="str">
        <v/>
      </c>
      <c r="I21126" s="4" t="str">
        <v/>
      </c>
    </row>
    <row r="21127" spans="5:9" ht="16.5" hidden="1">
      <c r="E21127" s="4" t="str">
        <v/>
      </c>
      <c r="F21127" s="102" t="str">
        <f ca="1">IFERROR(__xludf.DUMMYFUNCTION("IMPORTRANGE(H21127,""IDENTITAS UNIT!D9"")"),"#N/A")</f>
        <v>#N/A</v>
      </c>
      <c r="H21127" s="4" t="str">
        <v/>
      </c>
      <c r="I21127" s="4" t="str">
        <v/>
      </c>
    </row>
    <row r="21128" spans="5:9" ht="16.5" hidden="1">
      <c r="E21128" s="4" t="str">
        <v/>
      </c>
      <c r="F21128" s="102" t="str">
        <f ca="1">IFERROR(__xludf.DUMMYFUNCTION("IMPORTRANGE(H21128,""IDENTITAS UNIT!D9"")"),"#N/A")</f>
        <v>#N/A</v>
      </c>
      <c r="H21128" s="4" t="str">
        <v/>
      </c>
      <c r="I21128" s="4" t="str">
        <v/>
      </c>
    </row>
    <row r="21129" spans="5:9" ht="16.5" hidden="1">
      <c r="E21129" s="4" t="str">
        <v/>
      </c>
      <c r="F21129" s="102" t="str">
        <f ca="1">IFERROR(__xludf.DUMMYFUNCTION("IMPORTRANGE(H21129,""IDENTITAS UNIT!D9"")"),"#N/A")</f>
        <v>#N/A</v>
      </c>
      <c r="H21129" s="4" t="str">
        <v/>
      </c>
      <c r="I21129" s="4" t="str">
        <v/>
      </c>
    </row>
    <row r="21130" spans="5:9" ht="16.5" hidden="1">
      <c r="E21130" s="4" t="str">
        <v/>
      </c>
      <c r="F21130" s="102" t="str">
        <f ca="1">IFERROR(__xludf.DUMMYFUNCTION("IMPORTRANGE(H21130,""IDENTITAS UNIT!D9"")"),"#N/A")</f>
        <v>#N/A</v>
      </c>
      <c r="H21130" s="4" t="str">
        <v/>
      </c>
      <c r="I21130" s="4" t="str">
        <v/>
      </c>
    </row>
    <row r="21131" spans="5:9" ht="16.5" hidden="1">
      <c r="E21131" s="4" t="str">
        <v/>
      </c>
      <c r="F21131" s="102" t="str">
        <f ca="1">IFERROR(__xludf.DUMMYFUNCTION("IMPORTRANGE(H21131,""IDENTITAS UNIT!D9"")"),"#N/A")</f>
        <v>#N/A</v>
      </c>
      <c r="H21131" s="4" t="str">
        <v/>
      </c>
      <c r="I21131" s="4" t="str">
        <v/>
      </c>
    </row>
    <row r="21132" spans="5:9" ht="16.5" hidden="1">
      <c r="E21132" s="4" t="str">
        <v/>
      </c>
      <c r="F21132" s="102" t="str">
        <f ca="1">IFERROR(__xludf.DUMMYFUNCTION("IMPORTRANGE(H21132,""IDENTITAS UNIT!D9"")"),"#N/A")</f>
        <v>#N/A</v>
      </c>
      <c r="H21132" s="4" t="str">
        <v/>
      </c>
      <c r="I21132" s="4" t="str">
        <v/>
      </c>
    </row>
    <row r="21133" spans="5:9" ht="16.5" hidden="1">
      <c r="E21133" s="4" t="str">
        <v/>
      </c>
      <c r="F21133" s="102" t="str">
        <f ca="1">IFERROR(__xludf.DUMMYFUNCTION("IMPORTRANGE(H21133,""IDENTITAS UNIT!D9"")"),"#N/A")</f>
        <v>#N/A</v>
      </c>
      <c r="H21133" s="4" t="str">
        <v/>
      </c>
      <c r="I21133" s="4" t="str">
        <v/>
      </c>
    </row>
    <row r="21134" spans="5:9" ht="16.5" hidden="1">
      <c r="E21134" s="4" t="str">
        <v/>
      </c>
      <c r="F21134" s="102" t="str">
        <f ca="1">IFERROR(__xludf.DUMMYFUNCTION("IMPORTRANGE(H21134,""IDENTITAS UNIT!D9"")"),"#N/A")</f>
        <v>#N/A</v>
      </c>
      <c r="H21134" s="4" t="str">
        <v/>
      </c>
      <c r="I21134" s="4" t="str">
        <v/>
      </c>
    </row>
    <row r="21135" spans="5:9" ht="16.5" hidden="1">
      <c r="E21135" s="4" t="str">
        <v/>
      </c>
      <c r="F21135" s="102" t="str">
        <f ca="1">IFERROR(__xludf.DUMMYFUNCTION("IMPORTRANGE(H21135,""IDENTITAS UNIT!D9"")"),"#N/A")</f>
        <v>#N/A</v>
      </c>
      <c r="H21135" s="4" t="str">
        <v/>
      </c>
      <c r="I21135" s="4" t="str">
        <v/>
      </c>
    </row>
    <row r="21136" spans="5:9" ht="16.5" hidden="1">
      <c r="E21136" s="4" t="str">
        <v/>
      </c>
      <c r="F21136" s="102" t="str">
        <f ca="1">IFERROR(__xludf.DUMMYFUNCTION("IMPORTRANGE(H21136,""IDENTITAS UNIT!D9"")"),"#N/A")</f>
        <v>#N/A</v>
      </c>
      <c r="H21136" s="4" t="str">
        <v/>
      </c>
      <c r="I21136" s="4" t="str">
        <v/>
      </c>
    </row>
    <row r="21137" spans="5:9" ht="16.5" hidden="1">
      <c r="E21137" s="4" t="str">
        <v/>
      </c>
      <c r="F21137" s="102" t="str">
        <f ca="1">IFERROR(__xludf.DUMMYFUNCTION("IMPORTRANGE(H21137,""IDENTITAS UNIT!D9"")"),"#N/A")</f>
        <v>#N/A</v>
      </c>
      <c r="H21137" s="4" t="str">
        <v/>
      </c>
      <c r="I21137" s="4" t="str">
        <v/>
      </c>
    </row>
    <row r="21138" spans="5:9" ht="16.5" hidden="1">
      <c r="E21138" s="4" t="str">
        <v/>
      </c>
      <c r="F21138" s="102" t="str">
        <f ca="1">IFERROR(__xludf.DUMMYFUNCTION("IMPORTRANGE(H21138,""IDENTITAS UNIT!D9"")"),"#N/A")</f>
        <v>#N/A</v>
      </c>
      <c r="H21138" s="4" t="str">
        <v/>
      </c>
      <c r="I21138" s="4" t="str">
        <v/>
      </c>
    </row>
    <row r="21139" spans="5:9" ht="16.5" hidden="1">
      <c r="E21139" s="4" t="str">
        <v/>
      </c>
      <c r="F21139" s="102" t="str">
        <f ca="1">IFERROR(__xludf.DUMMYFUNCTION("IMPORTRANGE(H21139,""IDENTITAS UNIT!D9"")"),"#N/A")</f>
        <v>#N/A</v>
      </c>
      <c r="H21139" s="4" t="str">
        <v/>
      </c>
      <c r="I21139" s="4" t="str">
        <v/>
      </c>
    </row>
    <row r="21140" spans="5:9" ht="16.5" hidden="1">
      <c r="E21140" s="4" t="str">
        <v/>
      </c>
      <c r="F21140" s="102" t="str">
        <f ca="1">IFERROR(__xludf.DUMMYFUNCTION("IMPORTRANGE(H21140,""IDENTITAS UNIT!D9"")"),"#N/A")</f>
        <v>#N/A</v>
      </c>
      <c r="H21140" s="4" t="str">
        <v/>
      </c>
      <c r="I21140" s="4" t="str">
        <v/>
      </c>
    </row>
    <row r="21141" spans="5:9" ht="16.5" hidden="1">
      <c r="E21141" s="4" t="str">
        <v/>
      </c>
      <c r="F21141" s="102" t="str">
        <f ca="1">IFERROR(__xludf.DUMMYFUNCTION("IMPORTRANGE(H21141,""IDENTITAS UNIT!D9"")"),"#N/A")</f>
        <v>#N/A</v>
      </c>
      <c r="H21141" s="4" t="str">
        <v/>
      </c>
      <c r="I21141" s="4" t="str">
        <v/>
      </c>
    </row>
    <row r="21142" spans="5:9" ht="16.5" hidden="1">
      <c r="E21142" s="4" t="str">
        <v/>
      </c>
      <c r="F21142" s="102" t="str">
        <f ca="1">IFERROR(__xludf.DUMMYFUNCTION("IMPORTRANGE(H21142,""IDENTITAS UNIT!D9"")"),"#N/A")</f>
        <v>#N/A</v>
      </c>
      <c r="H21142" s="4" t="str">
        <v/>
      </c>
      <c r="I21142" s="4" t="str">
        <v/>
      </c>
    </row>
    <row r="21143" spans="5:9" ht="16.5" hidden="1">
      <c r="E21143" s="4" t="str">
        <v/>
      </c>
      <c r="F21143" s="102" t="str">
        <f ca="1">IFERROR(__xludf.DUMMYFUNCTION("IMPORTRANGE(H21143,""IDENTITAS UNIT!D9"")"),"#N/A")</f>
        <v>#N/A</v>
      </c>
      <c r="H21143" s="4" t="str">
        <v/>
      </c>
      <c r="I21143" s="4" t="str">
        <v/>
      </c>
    </row>
    <row r="21144" spans="5:9" ht="16.5" hidden="1">
      <c r="E21144" s="4" t="str">
        <v/>
      </c>
      <c r="F21144" s="102" t="str">
        <f ca="1">IFERROR(__xludf.DUMMYFUNCTION("IMPORTRANGE(H21144,""IDENTITAS UNIT!D9"")"),"#N/A")</f>
        <v>#N/A</v>
      </c>
      <c r="H21144" s="4" t="str">
        <v/>
      </c>
      <c r="I21144" s="4" t="str">
        <v/>
      </c>
    </row>
    <row r="21145" spans="5:9" ht="16.5" hidden="1">
      <c r="E21145" s="4" t="str">
        <v/>
      </c>
      <c r="F21145" s="102" t="str">
        <f ca="1">IFERROR(__xludf.DUMMYFUNCTION("IMPORTRANGE(H21145,""IDENTITAS UNIT!D9"")"),"#N/A")</f>
        <v>#N/A</v>
      </c>
      <c r="H21145" s="4" t="str">
        <v/>
      </c>
      <c r="I21145" s="4" t="str">
        <v/>
      </c>
    </row>
    <row r="21146" spans="5:9" ht="16.5" hidden="1">
      <c r="E21146" s="4" t="str">
        <v/>
      </c>
      <c r="F21146" s="102" t="str">
        <f ca="1">IFERROR(__xludf.DUMMYFUNCTION("IMPORTRANGE(H21146,""IDENTITAS UNIT!D9"")"),"#N/A")</f>
        <v>#N/A</v>
      </c>
      <c r="H21146" s="4" t="str">
        <v/>
      </c>
      <c r="I21146" s="4" t="str">
        <v/>
      </c>
    </row>
    <row r="21147" spans="5:9" ht="16.5" hidden="1">
      <c r="E21147" s="4" t="str">
        <v/>
      </c>
      <c r="F21147" s="102" t="str">
        <f ca="1">IFERROR(__xludf.DUMMYFUNCTION("IMPORTRANGE(H21147,""IDENTITAS UNIT!D9"")"),"#N/A")</f>
        <v>#N/A</v>
      </c>
      <c r="H21147" s="4" t="str">
        <v/>
      </c>
      <c r="I21147" s="4" t="str">
        <v/>
      </c>
    </row>
    <row r="21148" spans="5:9" ht="16.5" hidden="1">
      <c r="E21148" s="4" t="str">
        <v/>
      </c>
      <c r="F21148" s="102" t="str">
        <f ca="1">IFERROR(__xludf.DUMMYFUNCTION("IMPORTRANGE(H21148,""IDENTITAS UNIT!D9"")"),"#N/A")</f>
        <v>#N/A</v>
      </c>
      <c r="H21148" s="4" t="str">
        <v/>
      </c>
      <c r="I21148" s="4" t="str">
        <v/>
      </c>
    </row>
    <row r="21149" spans="5:9" ht="16.5" hidden="1">
      <c r="E21149" s="4" t="str">
        <v/>
      </c>
      <c r="F21149" s="102" t="str">
        <f ca="1">IFERROR(__xludf.DUMMYFUNCTION("IMPORTRANGE(H21149,""IDENTITAS UNIT!D9"")"),"#N/A")</f>
        <v>#N/A</v>
      </c>
      <c r="H21149" s="4" t="str">
        <v/>
      </c>
      <c r="I21149" s="4" t="str">
        <v/>
      </c>
    </row>
    <row r="21150" spans="5:9" ht="16.5" hidden="1">
      <c r="E21150" s="4" t="str">
        <v/>
      </c>
      <c r="F21150" s="102" t="str">
        <f ca="1">IFERROR(__xludf.DUMMYFUNCTION("IMPORTRANGE(H21150,""IDENTITAS UNIT!D9"")"),"#N/A")</f>
        <v>#N/A</v>
      </c>
      <c r="H21150" s="4" t="str">
        <v/>
      </c>
      <c r="I21150" s="4" t="str">
        <v/>
      </c>
    </row>
    <row r="21151" spans="5:9" ht="16.5" hidden="1">
      <c r="E21151" s="4" t="str">
        <v/>
      </c>
      <c r="F21151" s="102" t="str">
        <f ca="1">IFERROR(__xludf.DUMMYFUNCTION("IMPORTRANGE(H21151,""IDENTITAS UNIT!D9"")"),"#N/A")</f>
        <v>#N/A</v>
      </c>
      <c r="H21151" s="4" t="str">
        <v/>
      </c>
      <c r="I21151" s="4" t="str">
        <v/>
      </c>
    </row>
    <row r="21152" spans="5:9" ht="16.5" hidden="1">
      <c r="E21152" s="4" t="str">
        <v/>
      </c>
      <c r="F21152" s="102" t="str">
        <f ca="1">IFERROR(__xludf.DUMMYFUNCTION("IMPORTRANGE(H21152,""IDENTITAS UNIT!D9"")"),"#N/A")</f>
        <v>#N/A</v>
      </c>
      <c r="H21152" s="4" t="str">
        <v/>
      </c>
      <c r="I21152" s="4" t="str">
        <v/>
      </c>
    </row>
    <row r="21153" spans="5:9" ht="16.5" hidden="1">
      <c r="E21153" s="4" t="str">
        <v/>
      </c>
      <c r="F21153" s="102" t="str">
        <f ca="1">IFERROR(__xludf.DUMMYFUNCTION("IMPORTRANGE(H21153,""IDENTITAS UNIT!D9"")"),"#N/A")</f>
        <v>#N/A</v>
      </c>
      <c r="H21153" s="4" t="str">
        <v/>
      </c>
      <c r="I21153" s="4" t="str">
        <v/>
      </c>
    </row>
    <row r="21154" spans="5:9" ht="16.5" hidden="1">
      <c r="E21154" s="4" t="str">
        <v/>
      </c>
      <c r="F21154" s="102" t="str">
        <f ca="1">IFERROR(__xludf.DUMMYFUNCTION("IMPORTRANGE(H21154,""IDENTITAS UNIT!D9"")"),"#N/A")</f>
        <v>#N/A</v>
      </c>
      <c r="H21154" s="4" t="str">
        <v/>
      </c>
      <c r="I21154" s="4" t="str">
        <v/>
      </c>
    </row>
    <row r="21155" spans="5:9" ht="16.5" hidden="1">
      <c r="E21155" s="4" t="str">
        <v/>
      </c>
      <c r="F21155" s="102" t="str">
        <f ca="1">IFERROR(__xludf.DUMMYFUNCTION("IMPORTRANGE(H21155,""IDENTITAS UNIT!D9"")"),"#N/A")</f>
        <v>#N/A</v>
      </c>
      <c r="H21155" s="4" t="str">
        <v/>
      </c>
      <c r="I21155" s="4" t="str">
        <v/>
      </c>
    </row>
    <row r="21156" spans="5:9" ht="16.5" hidden="1">
      <c r="E21156" s="4" t="str">
        <v/>
      </c>
      <c r="F21156" s="102" t="str">
        <f ca="1">IFERROR(__xludf.DUMMYFUNCTION("IMPORTRANGE(H21156,""IDENTITAS UNIT!D9"")"),"#N/A")</f>
        <v>#N/A</v>
      </c>
      <c r="H21156" s="4" t="str">
        <v/>
      </c>
      <c r="I21156" s="4" t="str">
        <v/>
      </c>
    </row>
    <row r="21157" spans="5:9" ht="16.5" hidden="1">
      <c r="E21157" s="4" t="str">
        <v/>
      </c>
      <c r="F21157" s="102" t="str">
        <f ca="1">IFERROR(__xludf.DUMMYFUNCTION("IMPORTRANGE(H21157,""IDENTITAS UNIT!D9"")"),"#N/A")</f>
        <v>#N/A</v>
      </c>
      <c r="H21157" s="4" t="str">
        <v/>
      </c>
      <c r="I21157" s="4" t="str">
        <v/>
      </c>
    </row>
    <row r="21158" spans="5:9" ht="16.5" hidden="1">
      <c r="E21158" s="4" t="str">
        <v/>
      </c>
      <c r="F21158" s="102" t="str">
        <f ca="1">IFERROR(__xludf.DUMMYFUNCTION("IMPORTRANGE(H21158,""IDENTITAS UNIT!D9"")"),"#N/A")</f>
        <v>#N/A</v>
      </c>
      <c r="H21158" s="4" t="str">
        <v/>
      </c>
      <c r="I21158" s="4" t="str">
        <v/>
      </c>
    </row>
    <row r="21159" spans="5:9" ht="16.5" hidden="1">
      <c r="E21159" s="4" t="str">
        <v/>
      </c>
      <c r="F21159" s="102" t="str">
        <f ca="1">IFERROR(__xludf.DUMMYFUNCTION("IMPORTRANGE(H21159,""IDENTITAS UNIT!D9"")"),"#N/A")</f>
        <v>#N/A</v>
      </c>
      <c r="H21159" s="4" t="str">
        <v/>
      </c>
      <c r="I21159" s="4" t="str">
        <v/>
      </c>
    </row>
    <row r="21160" spans="5:9" ht="16.5" hidden="1">
      <c r="E21160" s="4" t="str">
        <v/>
      </c>
      <c r="F21160" s="102" t="str">
        <f ca="1">IFERROR(__xludf.DUMMYFUNCTION("IMPORTRANGE(H21160,""IDENTITAS UNIT!D9"")"),"#N/A")</f>
        <v>#N/A</v>
      </c>
      <c r="H21160" s="4" t="str">
        <v/>
      </c>
      <c r="I21160" s="4" t="str">
        <v/>
      </c>
    </row>
    <row r="21161" spans="5:9" ht="16.5" hidden="1">
      <c r="E21161" s="4" t="str">
        <v/>
      </c>
      <c r="F21161" s="102" t="str">
        <f ca="1">IFERROR(__xludf.DUMMYFUNCTION("IMPORTRANGE(H21161,""IDENTITAS UNIT!D9"")"),"#N/A")</f>
        <v>#N/A</v>
      </c>
      <c r="H21161" s="4" t="str">
        <v/>
      </c>
      <c r="I21161" s="4" t="str">
        <v/>
      </c>
    </row>
    <row r="21162" spans="5:9" ht="16.5" hidden="1">
      <c r="E21162" s="4" t="str">
        <v/>
      </c>
      <c r="F21162" s="102" t="str">
        <f ca="1">IFERROR(__xludf.DUMMYFUNCTION("IMPORTRANGE(H21162,""IDENTITAS UNIT!D9"")"),"#N/A")</f>
        <v>#N/A</v>
      </c>
      <c r="H21162" s="4" t="str">
        <v/>
      </c>
      <c r="I21162" s="4" t="str">
        <v/>
      </c>
    </row>
    <row r="21163" spans="5:9" ht="16.5" hidden="1">
      <c r="E21163" s="4" t="str">
        <v/>
      </c>
      <c r="F21163" s="102" t="str">
        <f ca="1">IFERROR(__xludf.DUMMYFUNCTION("IMPORTRANGE(H21163,""IDENTITAS UNIT!D9"")"),"#N/A")</f>
        <v>#N/A</v>
      </c>
      <c r="H21163" s="4" t="str">
        <v/>
      </c>
      <c r="I21163" s="4" t="str">
        <v/>
      </c>
    </row>
    <row r="21164" spans="5:9" ht="16.5" hidden="1">
      <c r="E21164" s="4" t="str">
        <v/>
      </c>
      <c r="F21164" s="102" t="str">
        <f ca="1">IFERROR(__xludf.DUMMYFUNCTION("IMPORTRANGE(H21164,""IDENTITAS UNIT!D9"")"),"#N/A")</f>
        <v>#N/A</v>
      </c>
      <c r="H21164" s="4" t="str">
        <v/>
      </c>
      <c r="I21164" s="4" t="str">
        <v/>
      </c>
    </row>
    <row r="21165" spans="5:9" ht="16.5" hidden="1">
      <c r="E21165" s="4" t="str">
        <v/>
      </c>
      <c r="F21165" s="102" t="str">
        <f ca="1">IFERROR(__xludf.DUMMYFUNCTION("IMPORTRANGE(H21165,""IDENTITAS UNIT!D9"")"),"#N/A")</f>
        <v>#N/A</v>
      </c>
      <c r="H21165" s="4" t="str">
        <v/>
      </c>
      <c r="I21165" s="4" t="str">
        <v/>
      </c>
    </row>
    <row r="21166" spans="5:9" ht="16.5" hidden="1">
      <c r="E21166" s="4" t="str">
        <v/>
      </c>
      <c r="F21166" s="102" t="str">
        <f ca="1">IFERROR(__xludf.DUMMYFUNCTION("IMPORTRANGE(H21166,""IDENTITAS UNIT!D9"")"),"#N/A")</f>
        <v>#N/A</v>
      </c>
      <c r="H21166" s="4" t="str">
        <v/>
      </c>
      <c r="I21166" s="4" t="str">
        <v/>
      </c>
    </row>
    <row r="21167" spans="5:9" ht="16.5" hidden="1">
      <c r="E21167" s="4" t="str">
        <v/>
      </c>
      <c r="F21167" s="102" t="str">
        <f ca="1">IFERROR(__xludf.DUMMYFUNCTION("IMPORTRANGE(H21167,""IDENTITAS UNIT!D9"")"),"#N/A")</f>
        <v>#N/A</v>
      </c>
      <c r="H21167" s="4" t="str">
        <v/>
      </c>
      <c r="I21167" s="4" t="str">
        <v/>
      </c>
    </row>
    <row r="21168" spans="5:9" ht="16.5" hidden="1">
      <c r="E21168" s="4" t="str">
        <v/>
      </c>
      <c r="F21168" s="102" t="str">
        <f ca="1">IFERROR(__xludf.DUMMYFUNCTION("IMPORTRANGE(H21168,""IDENTITAS UNIT!D9"")"),"#N/A")</f>
        <v>#N/A</v>
      </c>
      <c r="H21168" s="4" t="str">
        <v/>
      </c>
      <c r="I21168" s="4" t="str">
        <v/>
      </c>
    </row>
    <row r="21169" spans="5:9" ht="16.5" hidden="1">
      <c r="E21169" s="4" t="str">
        <v/>
      </c>
      <c r="F21169" s="102" t="str">
        <f ca="1">IFERROR(__xludf.DUMMYFUNCTION("IMPORTRANGE(H21169,""IDENTITAS UNIT!D9"")"),"#N/A")</f>
        <v>#N/A</v>
      </c>
      <c r="H21169" s="4" t="str">
        <v/>
      </c>
      <c r="I21169" s="4" t="str">
        <v/>
      </c>
    </row>
    <row r="21170" spans="5:9" ht="16.5" hidden="1">
      <c r="E21170" s="4" t="str">
        <v/>
      </c>
      <c r="F21170" s="102" t="str">
        <f ca="1">IFERROR(__xludf.DUMMYFUNCTION("IMPORTRANGE(H21170,""IDENTITAS UNIT!D9"")"),"#N/A")</f>
        <v>#N/A</v>
      </c>
      <c r="H21170" s="4" t="str">
        <v/>
      </c>
      <c r="I21170" s="4" t="str">
        <v/>
      </c>
    </row>
    <row r="21171" spans="5:9" ht="16.5" hidden="1">
      <c r="E21171" s="4" t="str">
        <v/>
      </c>
      <c r="F21171" s="102" t="str">
        <f ca="1">IFERROR(__xludf.DUMMYFUNCTION("IMPORTRANGE(H21171,""IDENTITAS UNIT!D9"")"),"#N/A")</f>
        <v>#N/A</v>
      </c>
      <c r="H21171" s="4" t="str">
        <v/>
      </c>
      <c r="I21171" s="4" t="str">
        <v/>
      </c>
    </row>
    <row r="21172" spans="5:9" ht="16.5" hidden="1">
      <c r="E21172" s="4" t="str">
        <v/>
      </c>
      <c r="F21172" s="102" t="str">
        <f ca="1">IFERROR(__xludf.DUMMYFUNCTION("IMPORTRANGE(H21172,""IDENTITAS UNIT!D9"")"),"#N/A")</f>
        <v>#N/A</v>
      </c>
      <c r="H21172" s="4" t="str">
        <v/>
      </c>
      <c r="I21172" s="4" t="str">
        <v/>
      </c>
    </row>
    <row r="21173" spans="5:9" ht="16.5" hidden="1">
      <c r="E21173" s="4" t="str">
        <v/>
      </c>
      <c r="F21173" s="102" t="str">
        <f ca="1">IFERROR(__xludf.DUMMYFUNCTION("IMPORTRANGE(H21173,""IDENTITAS UNIT!D9"")"),"#N/A")</f>
        <v>#N/A</v>
      </c>
      <c r="H21173" s="4" t="str">
        <v/>
      </c>
      <c r="I21173" s="4" t="str">
        <v/>
      </c>
    </row>
    <row r="21174" spans="5:9" ht="16.5" hidden="1">
      <c r="E21174" s="4" t="str">
        <v/>
      </c>
      <c r="F21174" s="102" t="str">
        <f ca="1">IFERROR(__xludf.DUMMYFUNCTION("IMPORTRANGE(H21174,""IDENTITAS UNIT!D9"")"),"#N/A")</f>
        <v>#N/A</v>
      </c>
      <c r="H21174" s="4" t="str">
        <v/>
      </c>
      <c r="I21174" s="4" t="str">
        <v/>
      </c>
    </row>
    <row r="21175" spans="5:9" ht="16.5" hidden="1">
      <c r="E21175" s="4" t="str">
        <v/>
      </c>
      <c r="F21175" s="102" t="str">
        <f ca="1">IFERROR(__xludf.DUMMYFUNCTION("IMPORTRANGE(H21175,""IDENTITAS UNIT!D9"")"),"#N/A")</f>
        <v>#N/A</v>
      </c>
      <c r="H21175" s="4" t="str">
        <v/>
      </c>
      <c r="I21175" s="4" t="str">
        <v/>
      </c>
    </row>
    <row r="21176" spans="5:9" ht="16.5" hidden="1">
      <c r="E21176" s="4" t="str">
        <v/>
      </c>
      <c r="F21176" s="102" t="str">
        <f ca="1">IFERROR(__xludf.DUMMYFUNCTION("IMPORTRANGE(H21176,""IDENTITAS UNIT!D9"")"),"#N/A")</f>
        <v>#N/A</v>
      </c>
      <c r="H21176" s="4" t="str">
        <v/>
      </c>
      <c r="I21176" s="4" t="str">
        <v/>
      </c>
    </row>
    <row r="21177" spans="5:9" ht="16.5" hidden="1">
      <c r="E21177" s="4" t="str">
        <v/>
      </c>
      <c r="F21177" s="102" t="str">
        <f ca="1">IFERROR(__xludf.DUMMYFUNCTION("IMPORTRANGE(H21177,""IDENTITAS UNIT!D9"")"),"#N/A")</f>
        <v>#N/A</v>
      </c>
      <c r="H21177" s="4" t="str">
        <v/>
      </c>
      <c r="I21177" s="4" t="str">
        <v/>
      </c>
    </row>
    <row r="21178" spans="5:9" ht="16.5" hidden="1">
      <c r="E21178" s="4" t="str">
        <v/>
      </c>
      <c r="F21178" s="102" t="str">
        <f ca="1">IFERROR(__xludf.DUMMYFUNCTION("IMPORTRANGE(H21178,""IDENTITAS UNIT!D9"")"),"#N/A")</f>
        <v>#N/A</v>
      </c>
      <c r="H21178" s="4" t="str">
        <v/>
      </c>
      <c r="I21178" s="4" t="str">
        <v/>
      </c>
    </row>
    <row r="21179" spans="5:9" ht="16.5" hidden="1">
      <c r="E21179" s="4" t="str">
        <v/>
      </c>
      <c r="F21179" s="102" t="str">
        <f ca="1">IFERROR(__xludf.DUMMYFUNCTION("IMPORTRANGE(H21179,""IDENTITAS UNIT!D9"")"),"#N/A")</f>
        <v>#N/A</v>
      </c>
      <c r="H21179" s="4" t="str">
        <v/>
      </c>
      <c r="I21179" s="4" t="str">
        <v/>
      </c>
    </row>
    <row r="21180" spans="5:9" ht="16.5" hidden="1">
      <c r="E21180" s="4" t="str">
        <v/>
      </c>
      <c r="F21180" s="102" t="str">
        <f ca="1">IFERROR(__xludf.DUMMYFUNCTION("IMPORTRANGE(H21180,""IDENTITAS UNIT!D9"")"),"#N/A")</f>
        <v>#N/A</v>
      </c>
      <c r="H21180" s="4" t="str">
        <v/>
      </c>
      <c r="I21180" s="4" t="str">
        <v/>
      </c>
    </row>
    <row r="21181" spans="5:9" ht="16.5" hidden="1">
      <c r="E21181" s="4" t="str">
        <v/>
      </c>
      <c r="F21181" s="102" t="str">
        <f ca="1">IFERROR(__xludf.DUMMYFUNCTION("IMPORTRANGE(H21181,""IDENTITAS UNIT!D9"")"),"#N/A")</f>
        <v>#N/A</v>
      </c>
      <c r="H21181" s="4" t="str">
        <v/>
      </c>
      <c r="I21181" s="4" t="str">
        <v/>
      </c>
    </row>
    <row r="21182" spans="5:9" ht="16.5" hidden="1">
      <c r="E21182" s="4" t="str">
        <v/>
      </c>
      <c r="F21182" s="102" t="str">
        <f ca="1">IFERROR(__xludf.DUMMYFUNCTION("IMPORTRANGE(H21182,""IDENTITAS UNIT!D9"")"),"#N/A")</f>
        <v>#N/A</v>
      </c>
      <c r="H21182" s="4" t="str">
        <v/>
      </c>
      <c r="I21182" s="4" t="str">
        <v/>
      </c>
    </row>
    <row r="21183" spans="5:9" ht="16.5" hidden="1">
      <c r="E21183" s="4" t="str">
        <v/>
      </c>
      <c r="F21183" s="102" t="str">
        <f ca="1">IFERROR(__xludf.DUMMYFUNCTION("IMPORTRANGE(H21183,""IDENTITAS UNIT!D9"")"),"#N/A")</f>
        <v>#N/A</v>
      </c>
      <c r="H21183" s="4" t="str">
        <v/>
      </c>
      <c r="I21183" s="4" t="str">
        <v/>
      </c>
    </row>
    <row r="21184" spans="5:9" ht="16.5" hidden="1">
      <c r="E21184" s="4" t="str">
        <v/>
      </c>
      <c r="F21184" s="102" t="str">
        <f ca="1">IFERROR(__xludf.DUMMYFUNCTION("IMPORTRANGE(H21184,""IDENTITAS UNIT!D9"")"),"#N/A")</f>
        <v>#N/A</v>
      </c>
      <c r="H21184" s="4" t="str">
        <v/>
      </c>
      <c r="I21184" s="4" t="str">
        <v/>
      </c>
    </row>
    <row r="21185" spans="5:9" ht="16.5" hidden="1">
      <c r="E21185" s="4" t="str">
        <v/>
      </c>
      <c r="F21185" s="102" t="str">
        <f ca="1">IFERROR(__xludf.DUMMYFUNCTION("IMPORTRANGE(H21185,""IDENTITAS UNIT!D9"")"),"#N/A")</f>
        <v>#N/A</v>
      </c>
      <c r="H21185" s="4" t="str">
        <v/>
      </c>
      <c r="I21185" s="4" t="str">
        <v/>
      </c>
    </row>
    <row r="21186" spans="5:9" ht="16.5" hidden="1">
      <c r="E21186" s="4" t="str">
        <v/>
      </c>
      <c r="F21186" s="102" t="str">
        <f ca="1">IFERROR(__xludf.DUMMYFUNCTION("IMPORTRANGE(H21186,""IDENTITAS UNIT!D9"")"),"#N/A")</f>
        <v>#N/A</v>
      </c>
      <c r="H21186" s="4" t="str">
        <v/>
      </c>
      <c r="I21186" s="4" t="str">
        <v/>
      </c>
    </row>
    <row r="21187" spans="5:9" ht="16.5" hidden="1">
      <c r="E21187" s="4" t="str">
        <v/>
      </c>
      <c r="F21187" s="102" t="str">
        <f ca="1">IFERROR(__xludf.DUMMYFUNCTION("IMPORTRANGE(H21187,""IDENTITAS UNIT!D9"")"),"#N/A")</f>
        <v>#N/A</v>
      </c>
      <c r="H21187" s="4" t="str">
        <v/>
      </c>
      <c r="I21187" s="4" t="str">
        <v/>
      </c>
    </row>
    <row r="21188" spans="5:9" ht="16.5" hidden="1">
      <c r="E21188" s="4" t="str">
        <v/>
      </c>
      <c r="F21188" s="102" t="str">
        <f ca="1">IFERROR(__xludf.DUMMYFUNCTION("IMPORTRANGE(H21188,""IDENTITAS UNIT!D9"")"),"#N/A")</f>
        <v>#N/A</v>
      </c>
      <c r="H21188" s="4" t="str">
        <v/>
      </c>
      <c r="I21188" s="4" t="str">
        <v/>
      </c>
    </row>
    <row r="21189" spans="5:9" ht="16.5" hidden="1">
      <c r="E21189" s="4" t="str">
        <v/>
      </c>
      <c r="F21189" s="102" t="str">
        <f ca="1">IFERROR(__xludf.DUMMYFUNCTION("IMPORTRANGE(H21189,""IDENTITAS UNIT!D9"")"),"#N/A")</f>
        <v>#N/A</v>
      </c>
      <c r="H21189" s="4" t="str">
        <v/>
      </c>
      <c r="I21189" s="4" t="str">
        <v/>
      </c>
    </row>
    <row r="21190" spans="5:9" ht="16.5" hidden="1">
      <c r="E21190" s="4" t="str">
        <v/>
      </c>
      <c r="F21190" s="102" t="str">
        <f ca="1">IFERROR(__xludf.DUMMYFUNCTION("IMPORTRANGE(H21190,""IDENTITAS UNIT!D9"")"),"#N/A")</f>
        <v>#N/A</v>
      </c>
      <c r="H21190" s="4" t="str">
        <v/>
      </c>
      <c r="I21190" s="4" t="str">
        <v/>
      </c>
    </row>
    <row r="21191" spans="5:9" ht="16.5" hidden="1">
      <c r="E21191" s="4" t="str">
        <v/>
      </c>
      <c r="F21191" s="102" t="str">
        <f ca="1">IFERROR(__xludf.DUMMYFUNCTION("IMPORTRANGE(H21191,""IDENTITAS UNIT!D9"")"),"#N/A")</f>
        <v>#N/A</v>
      </c>
      <c r="H21191" s="4" t="str">
        <v/>
      </c>
      <c r="I21191" s="4" t="str">
        <v/>
      </c>
    </row>
    <row r="21192" spans="5:9" ht="16.5" hidden="1">
      <c r="E21192" s="4" t="str">
        <v/>
      </c>
      <c r="F21192" s="102" t="str">
        <f ca="1">IFERROR(__xludf.DUMMYFUNCTION("IMPORTRANGE(H21192,""IDENTITAS UNIT!D9"")"),"#N/A")</f>
        <v>#N/A</v>
      </c>
      <c r="H21192" s="4" t="str">
        <v/>
      </c>
      <c r="I21192" s="4" t="str">
        <v/>
      </c>
    </row>
    <row r="21193" spans="5:9" ht="16.5" hidden="1">
      <c r="E21193" s="4" t="str">
        <v/>
      </c>
      <c r="F21193" s="102" t="str">
        <f ca="1">IFERROR(__xludf.DUMMYFUNCTION("IMPORTRANGE(H21193,""IDENTITAS UNIT!D9"")"),"#N/A")</f>
        <v>#N/A</v>
      </c>
      <c r="H21193" s="4" t="str">
        <v/>
      </c>
      <c r="I21193" s="4" t="str">
        <v/>
      </c>
    </row>
    <row r="21194" spans="5:9" ht="16.5" hidden="1">
      <c r="E21194" s="4" t="str">
        <v/>
      </c>
      <c r="F21194" s="102" t="str">
        <f ca="1">IFERROR(__xludf.DUMMYFUNCTION("IMPORTRANGE(H21194,""IDENTITAS UNIT!D9"")"),"#N/A")</f>
        <v>#N/A</v>
      </c>
      <c r="H21194" s="4" t="str">
        <v/>
      </c>
      <c r="I21194" s="4" t="str">
        <v/>
      </c>
    </row>
    <row r="21195" spans="5:9" ht="16.5" hidden="1">
      <c r="E21195" s="4" t="str">
        <v/>
      </c>
      <c r="F21195" s="102" t="str">
        <f ca="1">IFERROR(__xludf.DUMMYFUNCTION("IMPORTRANGE(H21195,""IDENTITAS UNIT!D9"")"),"#N/A")</f>
        <v>#N/A</v>
      </c>
      <c r="H21195" s="4" t="str">
        <v/>
      </c>
      <c r="I21195" s="4" t="str">
        <v/>
      </c>
    </row>
    <row r="21196" spans="5:9" ht="16.5" hidden="1">
      <c r="E21196" s="4" t="str">
        <v/>
      </c>
      <c r="F21196" s="102" t="str">
        <f ca="1">IFERROR(__xludf.DUMMYFUNCTION("IMPORTRANGE(H21196,""IDENTITAS UNIT!D9"")"),"#N/A")</f>
        <v>#N/A</v>
      </c>
      <c r="H21196" s="4" t="str">
        <v/>
      </c>
      <c r="I21196" s="4" t="str">
        <v/>
      </c>
    </row>
    <row r="21197" spans="5:9" ht="16.5" hidden="1">
      <c r="E21197" s="4" t="str">
        <v/>
      </c>
      <c r="F21197" s="102" t="str">
        <f ca="1">IFERROR(__xludf.DUMMYFUNCTION("IMPORTRANGE(H21197,""IDENTITAS UNIT!D9"")"),"#N/A")</f>
        <v>#N/A</v>
      </c>
      <c r="H21197" s="4" t="str">
        <v/>
      </c>
      <c r="I21197" s="4" t="str">
        <v/>
      </c>
    </row>
    <row r="21198" spans="5:9" ht="16.5" hidden="1">
      <c r="E21198" s="4" t="str">
        <v/>
      </c>
      <c r="F21198" s="102" t="str">
        <f ca="1">IFERROR(__xludf.DUMMYFUNCTION("IMPORTRANGE(H21198,""IDENTITAS UNIT!D9"")"),"#N/A")</f>
        <v>#N/A</v>
      </c>
      <c r="H21198" s="4" t="str">
        <v/>
      </c>
      <c r="I21198" s="4" t="str">
        <v/>
      </c>
    </row>
    <row r="21199" spans="5:9" ht="16.5" hidden="1">
      <c r="E21199" s="4" t="str">
        <v/>
      </c>
      <c r="F21199" s="102" t="str">
        <f ca="1">IFERROR(__xludf.DUMMYFUNCTION("IMPORTRANGE(H21199,""IDENTITAS UNIT!D9"")"),"#N/A")</f>
        <v>#N/A</v>
      </c>
      <c r="H21199" s="4" t="str">
        <v/>
      </c>
      <c r="I21199" s="4" t="str">
        <v/>
      </c>
    </row>
    <row r="21200" spans="5:9" ht="16.5" hidden="1">
      <c r="E21200" s="4" t="str">
        <v/>
      </c>
      <c r="F21200" s="102" t="str">
        <f ca="1">IFERROR(__xludf.DUMMYFUNCTION("IMPORTRANGE(H21200,""IDENTITAS UNIT!D9"")"),"#N/A")</f>
        <v>#N/A</v>
      </c>
      <c r="H21200" s="4" t="str">
        <v/>
      </c>
      <c r="I21200" s="4" t="str">
        <v/>
      </c>
    </row>
    <row r="21201" spans="5:9" ht="16.5" hidden="1">
      <c r="E21201" s="4" t="str">
        <v/>
      </c>
      <c r="F21201" s="102" t="str">
        <f ca="1">IFERROR(__xludf.DUMMYFUNCTION("IMPORTRANGE(H21201,""IDENTITAS UNIT!D9"")"),"#N/A")</f>
        <v>#N/A</v>
      </c>
      <c r="H21201" s="4" t="str">
        <v/>
      </c>
      <c r="I21201" s="4" t="str">
        <v/>
      </c>
    </row>
    <row r="21202" spans="5:9" ht="16.5" hidden="1">
      <c r="E21202" s="4" t="str">
        <v/>
      </c>
      <c r="F21202" s="102" t="str">
        <f ca="1">IFERROR(__xludf.DUMMYFUNCTION("IMPORTRANGE(H21202,""IDENTITAS UNIT!D9"")"),"#N/A")</f>
        <v>#N/A</v>
      </c>
      <c r="H21202" s="4" t="str">
        <v/>
      </c>
      <c r="I21202" s="4" t="str">
        <v/>
      </c>
    </row>
    <row r="21203" spans="5:9" ht="16.5" hidden="1">
      <c r="E21203" s="4" t="str">
        <v/>
      </c>
      <c r="F21203" s="102" t="str">
        <f ca="1">IFERROR(__xludf.DUMMYFUNCTION("IMPORTRANGE(H21203,""IDENTITAS UNIT!D9"")"),"#N/A")</f>
        <v>#N/A</v>
      </c>
      <c r="H21203" s="4" t="str">
        <v/>
      </c>
      <c r="I21203" s="4" t="str">
        <v/>
      </c>
    </row>
    <row r="21204" spans="5:9" ht="16.5" hidden="1">
      <c r="E21204" s="4" t="str">
        <v/>
      </c>
      <c r="F21204" s="102" t="str">
        <f ca="1">IFERROR(__xludf.DUMMYFUNCTION("IMPORTRANGE(H21204,""IDENTITAS UNIT!D9"")"),"#N/A")</f>
        <v>#N/A</v>
      </c>
      <c r="H21204" s="4" t="str">
        <v/>
      </c>
      <c r="I21204" s="4" t="str">
        <v/>
      </c>
    </row>
    <row r="21205" spans="5:9" ht="16.5" hidden="1">
      <c r="E21205" s="4" t="str">
        <v/>
      </c>
      <c r="F21205" s="102" t="str">
        <f ca="1">IFERROR(__xludf.DUMMYFUNCTION("IMPORTRANGE(H21205,""IDENTITAS UNIT!D9"")"),"#N/A")</f>
        <v>#N/A</v>
      </c>
      <c r="H21205" s="4" t="str">
        <v/>
      </c>
      <c r="I21205" s="4" t="str">
        <v/>
      </c>
    </row>
    <row r="21206" spans="5:9" ht="16.5" hidden="1">
      <c r="E21206" s="4" t="str">
        <v/>
      </c>
      <c r="F21206" s="102" t="str">
        <f ca="1">IFERROR(__xludf.DUMMYFUNCTION("IMPORTRANGE(H21206,""IDENTITAS UNIT!D9"")"),"#N/A")</f>
        <v>#N/A</v>
      </c>
      <c r="H21206" s="4" t="str">
        <v/>
      </c>
      <c r="I21206" s="4" t="str">
        <v/>
      </c>
    </row>
    <row r="21207" spans="5:9" ht="16.5" hidden="1">
      <c r="E21207" s="4" t="str">
        <v/>
      </c>
      <c r="F21207" s="102" t="str">
        <f ca="1">IFERROR(__xludf.DUMMYFUNCTION("IMPORTRANGE(H21207,""IDENTITAS UNIT!D9"")"),"#N/A")</f>
        <v>#N/A</v>
      </c>
      <c r="H21207" s="4" t="str">
        <v/>
      </c>
      <c r="I21207" s="4" t="str">
        <v/>
      </c>
    </row>
    <row r="21208" spans="5:9" ht="16.5" hidden="1">
      <c r="E21208" s="4" t="str">
        <v/>
      </c>
      <c r="F21208" s="102" t="str">
        <f ca="1">IFERROR(__xludf.DUMMYFUNCTION("IMPORTRANGE(H21208,""IDENTITAS UNIT!D9"")"),"#N/A")</f>
        <v>#N/A</v>
      </c>
      <c r="H21208" s="4" t="str">
        <v/>
      </c>
      <c r="I21208" s="4" t="str">
        <v/>
      </c>
    </row>
    <row r="21209" spans="5:9" ht="16.5" hidden="1">
      <c r="E21209" s="4" t="str">
        <v/>
      </c>
      <c r="F21209" s="102" t="str">
        <f ca="1">IFERROR(__xludf.DUMMYFUNCTION("IMPORTRANGE(H21209,""IDENTITAS UNIT!D9"")"),"#N/A")</f>
        <v>#N/A</v>
      </c>
      <c r="H21209" s="4" t="str">
        <v/>
      </c>
      <c r="I21209" s="4" t="str">
        <v/>
      </c>
    </row>
    <row r="21210" spans="5:9" ht="16.5" hidden="1">
      <c r="E21210" s="4" t="str">
        <v/>
      </c>
      <c r="F21210" s="102" t="str">
        <f ca="1">IFERROR(__xludf.DUMMYFUNCTION("IMPORTRANGE(H21210,""IDENTITAS UNIT!D9"")"),"#N/A")</f>
        <v>#N/A</v>
      </c>
      <c r="H21210" s="4" t="str">
        <v/>
      </c>
      <c r="I21210" s="4" t="str">
        <v/>
      </c>
    </row>
    <row r="21211" spans="5:9" ht="16.5" hidden="1">
      <c r="E21211" s="4" t="str">
        <v/>
      </c>
      <c r="F21211" s="102" t="str">
        <f ca="1">IFERROR(__xludf.DUMMYFUNCTION("IMPORTRANGE(H21211,""IDENTITAS UNIT!D9"")"),"#N/A")</f>
        <v>#N/A</v>
      </c>
      <c r="H21211" s="4" t="str">
        <v/>
      </c>
      <c r="I21211" s="4" t="str">
        <v/>
      </c>
    </row>
    <row r="21212" spans="5:9" ht="16.5" hidden="1">
      <c r="E21212" s="4" t="str">
        <v/>
      </c>
      <c r="F21212" s="102" t="str">
        <f ca="1">IFERROR(__xludf.DUMMYFUNCTION("IMPORTRANGE(H21212,""IDENTITAS UNIT!D9"")"),"#N/A")</f>
        <v>#N/A</v>
      </c>
      <c r="H21212" s="4" t="str">
        <v/>
      </c>
      <c r="I21212" s="4" t="str">
        <v/>
      </c>
    </row>
    <row r="21213" spans="5:9" ht="16.5" hidden="1">
      <c r="E21213" s="4" t="str">
        <v/>
      </c>
      <c r="F21213" s="102" t="str">
        <f ca="1">IFERROR(__xludf.DUMMYFUNCTION("IMPORTRANGE(H21213,""IDENTITAS UNIT!D9"")"),"#N/A")</f>
        <v>#N/A</v>
      </c>
      <c r="H21213" s="4" t="str">
        <v/>
      </c>
      <c r="I21213" s="4" t="str">
        <v/>
      </c>
    </row>
    <row r="21214" spans="5:9" ht="16.5" hidden="1">
      <c r="E21214" s="4" t="str">
        <v/>
      </c>
      <c r="F21214" s="102" t="str">
        <f ca="1">IFERROR(__xludf.DUMMYFUNCTION("IMPORTRANGE(H21214,""IDENTITAS UNIT!D9"")"),"#N/A")</f>
        <v>#N/A</v>
      </c>
      <c r="H21214" s="4" t="str">
        <v/>
      </c>
      <c r="I21214" s="4" t="str">
        <v/>
      </c>
    </row>
    <row r="21215" spans="5:9" ht="16.5" hidden="1">
      <c r="E21215" s="4" t="str">
        <v/>
      </c>
      <c r="F21215" s="102" t="str">
        <f ca="1">IFERROR(__xludf.DUMMYFUNCTION("IMPORTRANGE(H21215,""IDENTITAS UNIT!D9"")"),"#N/A")</f>
        <v>#N/A</v>
      </c>
      <c r="H21215" s="4" t="str">
        <v/>
      </c>
      <c r="I21215" s="4" t="str">
        <v/>
      </c>
    </row>
    <row r="21216" spans="5:9" ht="16.5" hidden="1">
      <c r="E21216" s="4" t="str">
        <v/>
      </c>
      <c r="F21216" s="102" t="str">
        <f ca="1">IFERROR(__xludf.DUMMYFUNCTION("IMPORTRANGE(H21216,""IDENTITAS UNIT!D9"")"),"#N/A")</f>
        <v>#N/A</v>
      </c>
      <c r="H21216" s="4" t="str">
        <v/>
      </c>
      <c r="I21216" s="4" t="str">
        <v/>
      </c>
    </row>
    <row r="21217" spans="5:9" ht="16.5" hidden="1">
      <c r="E21217" s="4" t="str">
        <v/>
      </c>
      <c r="F21217" s="102" t="str">
        <f ca="1">IFERROR(__xludf.DUMMYFUNCTION("IMPORTRANGE(H21217,""IDENTITAS UNIT!D9"")"),"#N/A")</f>
        <v>#N/A</v>
      </c>
      <c r="H21217" s="4" t="str">
        <v/>
      </c>
      <c r="I21217" s="4" t="str">
        <v/>
      </c>
    </row>
    <row r="21218" spans="5:9" ht="16.5" hidden="1">
      <c r="E21218" s="4" t="str">
        <v/>
      </c>
      <c r="F21218" s="102" t="str">
        <f ca="1">IFERROR(__xludf.DUMMYFUNCTION("IMPORTRANGE(H21218,""IDENTITAS UNIT!D9"")"),"#N/A")</f>
        <v>#N/A</v>
      </c>
      <c r="H21218" s="4" t="str">
        <v/>
      </c>
      <c r="I21218" s="4" t="str">
        <v/>
      </c>
    </row>
    <row r="21219" spans="5:9" ht="16.5" hidden="1">
      <c r="E21219" s="4" t="str">
        <v/>
      </c>
      <c r="F21219" s="102" t="str">
        <f ca="1">IFERROR(__xludf.DUMMYFUNCTION("IMPORTRANGE(H21219,""IDENTITAS UNIT!D9"")"),"#N/A")</f>
        <v>#N/A</v>
      </c>
      <c r="H21219" s="4" t="str">
        <v/>
      </c>
      <c r="I21219" s="4" t="str">
        <v/>
      </c>
    </row>
    <row r="21220" spans="5:9" ht="16.5" hidden="1">
      <c r="E21220" s="4" t="str">
        <v/>
      </c>
      <c r="F21220" s="102" t="str">
        <f ca="1">IFERROR(__xludf.DUMMYFUNCTION("IMPORTRANGE(H21220,""IDENTITAS UNIT!D9"")"),"#N/A")</f>
        <v>#N/A</v>
      </c>
      <c r="H21220" s="4" t="str">
        <v/>
      </c>
      <c r="I21220" s="4" t="str">
        <v/>
      </c>
    </row>
    <row r="21221" spans="5:9" ht="16.5" hidden="1">
      <c r="E21221" s="4" t="str">
        <v/>
      </c>
      <c r="F21221" s="102" t="str">
        <f ca="1">IFERROR(__xludf.DUMMYFUNCTION("IMPORTRANGE(H21221,""IDENTITAS UNIT!D9"")"),"#N/A")</f>
        <v>#N/A</v>
      </c>
      <c r="H21221" s="4" t="str">
        <v/>
      </c>
      <c r="I21221" s="4" t="str">
        <v/>
      </c>
    </row>
    <row r="21222" spans="5:9" ht="16.5" hidden="1">
      <c r="E21222" s="4" t="str">
        <v/>
      </c>
      <c r="F21222" s="102" t="str">
        <f ca="1">IFERROR(__xludf.DUMMYFUNCTION("IMPORTRANGE(H21222,""IDENTITAS UNIT!D9"")"),"#N/A")</f>
        <v>#N/A</v>
      </c>
      <c r="H21222" s="4" t="str">
        <v/>
      </c>
      <c r="I21222" s="4" t="str">
        <v/>
      </c>
    </row>
    <row r="21223" spans="5:9" ht="16.5" hidden="1">
      <c r="E21223" s="4" t="str">
        <v/>
      </c>
      <c r="F21223" s="102" t="str">
        <f ca="1">IFERROR(__xludf.DUMMYFUNCTION("IMPORTRANGE(H21223,""IDENTITAS UNIT!D9"")"),"#N/A")</f>
        <v>#N/A</v>
      </c>
      <c r="H21223" s="4" t="str">
        <v/>
      </c>
      <c r="I21223" s="4" t="str">
        <v/>
      </c>
    </row>
    <row r="21224" spans="5:9" ht="16.5" hidden="1">
      <c r="E21224" s="4" t="str">
        <v/>
      </c>
      <c r="F21224" s="102" t="str">
        <f ca="1">IFERROR(__xludf.DUMMYFUNCTION("IMPORTRANGE(H21224,""IDENTITAS UNIT!D9"")"),"#N/A")</f>
        <v>#N/A</v>
      </c>
      <c r="H21224" s="4" t="str">
        <v/>
      </c>
      <c r="I21224" s="4" t="str">
        <v/>
      </c>
    </row>
    <row r="21225" spans="5:9" ht="16.5" hidden="1">
      <c r="E21225" s="4" t="str">
        <v/>
      </c>
      <c r="F21225" s="102" t="str">
        <f ca="1">IFERROR(__xludf.DUMMYFUNCTION("IMPORTRANGE(H21225,""IDENTITAS UNIT!D9"")"),"#N/A")</f>
        <v>#N/A</v>
      </c>
      <c r="H21225" s="4" t="str">
        <v/>
      </c>
      <c r="I21225" s="4" t="str">
        <v/>
      </c>
    </row>
    <row r="21226" spans="5:9" ht="16.5" hidden="1">
      <c r="E21226" s="4" t="str">
        <v/>
      </c>
      <c r="F21226" s="102" t="str">
        <f ca="1">IFERROR(__xludf.DUMMYFUNCTION("IMPORTRANGE(H21226,""IDENTITAS UNIT!D9"")"),"#N/A")</f>
        <v>#N/A</v>
      </c>
      <c r="H21226" s="4" t="str">
        <v/>
      </c>
      <c r="I21226" s="4" t="str">
        <v/>
      </c>
    </row>
    <row r="21227" spans="5:9" ht="16.5" hidden="1">
      <c r="E21227" s="4" t="str">
        <v/>
      </c>
      <c r="F21227" s="102" t="str">
        <f ca="1">IFERROR(__xludf.DUMMYFUNCTION("IMPORTRANGE(H21227,""IDENTITAS UNIT!D9"")"),"#N/A")</f>
        <v>#N/A</v>
      </c>
      <c r="H21227" s="4" t="str">
        <v/>
      </c>
      <c r="I21227" s="4" t="str">
        <v/>
      </c>
    </row>
    <row r="21228" spans="5:9" ht="16.5" hidden="1">
      <c r="E21228" s="4" t="str">
        <v/>
      </c>
      <c r="F21228" s="102" t="str">
        <f ca="1">IFERROR(__xludf.DUMMYFUNCTION("IMPORTRANGE(H21228,""IDENTITAS UNIT!D9"")"),"#N/A")</f>
        <v>#N/A</v>
      </c>
      <c r="H21228" s="4" t="str">
        <v/>
      </c>
      <c r="I21228" s="4" t="str">
        <v/>
      </c>
    </row>
    <row r="21229" spans="5:9" ht="16.5" hidden="1">
      <c r="E21229" s="4" t="str">
        <v/>
      </c>
      <c r="F21229" s="102" t="str">
        <f ca="1">IFERROR(__xludf.DUMMYFUNCTION("IMPORTRANGE(H21229,""IDENTITAS UNIT!D9"")"),"#N/A")</f>
        <v>#N/A</v>
      </c>
      <c r="H21229" s="4" t="str">
        <v/>
      </c>
      <c r="I21229" s="4" t="str">
        <v/>
      </c>
    </row>
    <row r="21230" spans="5:9" ht="16.5" hidden="1">
      <c r="E21230" s="4" t="str">
        <v/>
      </c>
      <c r="F21230" s="102" t="str">
        <f ca="1">IFERROR(__xludf.DUMMYFUNCTION("IMPORTRANGE(H21230,""IDENTITAS UNIT!D9"")"),"#N/A")</f>
        <v>#N/A</v>
      </c>
      <c r="H21230" s="4" t="str">
        <v/>
      </c>
      <c r="I21230" s="4" t="str">
        <v/>
      </c>
    </row>
    <row r="21231" spans="5:9" ht="16.5" hidden="1">
      <c r="E21231" s="4" t="str">
        <v/>
      </c>
      <c r="F21231" s="102" t="str">
        <f ca="1">IFERROR(__xludf.DUMMYFUNCTION("IMPORTRANGE(H21231,""IDENTITAS UNIT!D9"")"),"#N/A")</f>
        <v>#N/A</v>
      </c>
      <c r="H21231" s="4" t="str">
        <v/>
      </c>
      <c r="I21231" s="4" t="str">
        <v/>
      </c>
    </row>
    <row r="21232" spans="5:9" ht="16.5" hidden="1">
      <c r="E21232" s="4" t="str">
        <v/>
      </c>
      <c r="F21232" s="102" t="str">
        <f ca="1">IFERROR(__xludf.DUMMYFUNCTION("IMPORTRANGE(H21232,""IDENTITAS UNIT!D9"")"),"#N/A")</f>
        <v>#N/A</v>
      </c>
      <c r="H21232" s="4" t="str">
        <v/>
      </c>
      <c r="I21232" s="4" t="str">
        <v/>
      </c>
    </row>
    <row r="21233" spans="5:9" ht="16.5" hidden="1">
      <c r="E21233" s="4" t="str">
        <v/>
      </c>
      <c r="F21233" s="102" t="str">
        <f ca="1">IFERROR(__xludf.DUMMYFUNCTION("IMPORTRANGE(H21233,""IDENTITAS UNIT!D9"")"),"#N/A")</f>
        <v>#N/A</v>
      </c>
      <c r="H21233" s="4" t="str">
        <v/>
      </c>
      <c r="I21233" s="4" t="str">
        <v/>
      </c>
    </row>
    <row r="21234" spans="5:9" ht="16.5" hidden="1">
      <c r="E21234" s="4" t="str">
        <v/>
      </c>
      <c r="F21234" s="102" t="str">
        <f ca="1">IFERROR(__xludf.DUMMYFUNCTION("IMPORTRANGE(H21234,""IDENTITAS UNIT!D9"")"),"#N/A")</f>
        <v>#N/A</v>
      </c>
      <c r="H21234" s="4" t="str">
        <v/>
      </c>
      <c r="I21234" s="4" t="str">
        <v/>
      </c>
    </row>
    <row r="21235" spans="5:9" ht="16.5" hidden="1">
      <c r="E21235" s="4" t="str">
        <v/>
      </c>
      <c r="F21235" s="102" t="str">
        <f ca="1">IFERROR(__xludf.DUMMYFUNCTION("IMPORTRANGE(H21235,""IDENTITAS UNIT!D9"")"),"#N/A")</f>
        <v>#N/A</v>
      </c>
      <c r="H21235" s="4" t="str">
        <v/>
      </c>
      <c r="I21235" s="4" t="str">
        <v/>
      </c>
    </row>
    <row r="21236" spans="5:9" ht="16.5" hidden="1">
      <c r="E21236" s="4" t="str">
        <v/>
      </c>
      <c r="F21236" s="102" t="str">
        <f ca="1">IFERROR(__xludf.DUMMYFUNCTION("IMPORTRANGE(H21236,""IDENTITAS UNIT!D9"")"),"#N/A")</f>
        <v>#N/A</v>
      </c>
      <c r="H21236" s="4" t="str">
        <v/>
      </c>
      <c r="I21236" s="4" t="str">
        <v/>
      </c>
    </row>
    <row r="21237" spans="5:9" ht="16.5" hidden="1">
      <c r="E21237" s="4" t="str">
        <v/>
      </c>
      <c r="F21237" s="102" t="str">
        <f ca="1">IFERROR(__xludf.DUMMYFUNCTION("IMPORTRANGE(H21237,""IDENTITAS UNIT!D9"")"),"#N/A")</f>
        <v>#N/A</v>
      </c>
      <c r="H21237" s="4" t="str">
        <v/>
      </c>
      <c r="I21237" s="4" t="str">
        <v/>
      </c>
    </row>
    <row r="21238" spans="5:9" ht="16.5" hidden="1">
      <c r="E21238" s="4" t="str">
        <v/>
      </c>
      <c r="F21238" s="102" t="str">
        <f ca="1">IFERROR(__xludf.DUMMYFUNCTION("IMPORTRANGE(H21238,""IDENTITAS UNIT!D9"")"),"#N/A")</f>
        <v>#N/A</v>
      </c>
      <c r="H21238" s="4" t="str">
        <v/>
      </c>
      <c r="I21238" s="4" t="str">
        <v/>
      </c>
    </row>
    <row r="21239" spans="5:9" ht="16.5" hidden="1">
      <c r="E21239" s="4" t="str">
        <v/>
      </c>
      <c r="F21239" s="102" t="str">
        <f ca="1">IFERROR(__xludf.DUMMYFUNCTION("IMPORTRANGE(H21239,""IDENTITAS UNIT!D9"")"),"#N/A")</f>
        <v>#N/A</v>
      </c>
      <c r="H21239" s="4" t="str">
        <v/>
      </c>
      <c r="I21239" s="4" t="str">
        <v/>
      </c>
    </row>
    <row r="21240" spans="5:9" ht="16.5" hidden="1">
      <c r="E21240" s="4" t="str">
        <v/>
      </c>
      <c r="F21240" s="102" t="str">
        <f ca="1">IFERROR(__xludf.DUMMYFUNCTION("IMPORTRANGE(H21240,""IDENTITAS UNIT!D9"")"),"#N/A")</f>
        <v>#N/A</v>
      </c>
      <c r="H21240" s="4" t="str">
        <v/>
      </c>
      <c r="I21240" s="4" t="str">
        <v/>
      </c>
    </row>
    <row r="21241" spans="5:9" ht="16.5" hidden="1">
      <c r="E21241" s="4" t="str">
        <v/>
      </c>
      <c r="F21241" s="102" t="str">
        <f ca="1">IFERROR(__xludf.DUMMYFUNCTION("IMPORTRANGE(H21241,""IDENTITAS UNIT!D9"")"),"#N/A")</f>
        <v>#N/A</v>
      </c>
      <c r="H21241" s="4" t="str">
        <v/>
      </c>
      <c r="I21241" s="4" t="str">
        <v/>
      </c>
    </row>
    <row r="21242" spans="5:9" ht="16.5" hidden="1">
      <c r="E21242" s="4" t="str">
        <v/>
      </c>
      <c r="F21242" s="102" t="str">
        <f ca="1">IFERROR(__xludf.DUMMYFUNCTION("IMPORTRANGE(H21242,""IDENTITAS UNIT!D9"")"),"#N/A")</f>
        <v>#N/A</v>
      </c>
      <c r="H21242" s="4" t="str">
        <v/>
      </c>
      <c r="I21242" s="4" t="str">
        <v/>
      </c>
    </row>
    <row r="21243" spans="5:9" ht="16.5" hidden="1">
      <c r="E21243" s="4" t="str">
        <v/>
      </c>
      <c r="F21243" s="102" t="str">
        <f ca="1">IFERROR(__xludf.DUMMYFUNCTION("IMPORTRANGE(H21243,""IDENTITAS UNIT!D9"")"),"#N/A")</f>
        <v>#N/A</v>
      </c>
      <c r="H21243" s="4" t="str">
        <v/>
      </c>
      <c r="I21243" s="4" t="str">
        <v/>
      </c>
    </row>
    <row r="21244" spans="5:9" ht="16.5" hidden="1">
      <c r="E21244" s="4" t="str">
        <v/>
      </c>
      <c r="F21244" s="102" t="str">
        <f ca="1">IFERROR(__xludf.DUMMYFUNCTION("IMPORTRANGE(H21244,""IDENTITAS UNIT!D9"")"),"#N/A")</f>
        <v>#N/A</v>
      </c>
      <c r="H21244" s="4" t="str">
        <v/>
      </c>
      <c r="I21244" s="4" t="str">
        <v/>
      </c>
    </row>
    <row r="21245" spans="5:9" ht="16.5" hidden="1">
      <c r="E21245" s="4" t="str">
        <v/>
      </c>
      <c r="F21245" s="102" t="str">
        <f ca="1">IFERROR(__xludf.DUMMYFUNCTION("IMPORTRANGE(H21245,""IDENTITAS UNIT!D9"")"),"#N/A")</f>
        <v>#N/A</v>
      </c>
      <c r="H21245" s="4" t="str">
        <v/>
      </c>
      <c r="I21245" s="4" t="str">
        <v/>
      </c>
    </row>
    <row r="21246" spans="5:9" ht="16.5" hidden="1">
      <c r="E21246" s="4" t="str">
        <v/>
      </c>
      <c r="F21246" s="102" t="str">
        <f ca="1">IFERROR(__xludf.DUMMYFUNCTION("IMPORTRANGE(H21246,""IDENTITAS UNIT!D9"")"),"#N/A")</f>
        <v>#N/A</v>
      </c>
      <c r="H21246" s="4" t="str">
        <v/>
      </c>
      <c r="I21246" s="4" t="str">
        <v/>
      </c>
    </row>
    <row r="21247" spans="5:9" ht="16.5" hidden="1">
      <c r="E21247" s="4" t="str">
        <v/>
      </c>
      <c r="F21247" s="102" t="str">
        <f ca="1">IFERROR(__xludf.DUMMYFUNCTION("IMPORTRANGE(H21247,""IDENTITAS UNIT!D9"")"),"#N/A")</f>
        <v>#N/A</v>
      </c>
      <c r="H21247" s="4" t="str">
        <v/>
      </c>
      <c r="I21247" s="4" t="str">
        <v/>
      </c>
    </row>
    <row r="21248" spans="5:9" ht="16.5" hidden="1">
      <c r="E21248" s="4" t="str">
        <v/>
      </c>
      <c r="F21248" s="102" t="str">
        <f ca="1">IFERROR(__xludf.DUMMYFUNCTION("IMPORTRANGE(H21248,""IDENTITAS UNIT!D9"")"),"#N/A")</f>
        <v>#N/A</v>
      </c>
      <c r="H21248" s="4" t="str">
        <v/>
      </c>
      <c r="I21248" s="4" t="str">
        <v/>
      </c>
    </row>
    <row r="21249" spans="5:9" ht="16.5" hidden="1">
      <c r="E21249" s="4" t="str">
        <v/>
      </c>
      <c r="F21249" s="102" t="str">
        <f ca="1">IFERROR(__xludf.DUMMYFUNCTION("IMPORTRANGE(H21249,""IDENTITAS UNIT!D9"")"),"#N/A")</f>
        <v>#N/A</v>
      </c>
      <c r="H21249" s="4" t="str">
        <v/>
      </c>
      <c r="I21249" s="4" t="str">
        <v/>
      </c>
    </row>
    <row r="21250" spans="5:9" ht="16.5" hidden="1">
      <c r="E21250" s="4" t="str">
        <v/>
      </c>
      <c r="F21250" s="102" t="str">
        <f ca="1">IFERROR(__xludf.DUMMYFUNCTION("IMPORTRANGE(H21250,""IDENTITAS UNIT!D9"")"),"#N/A")</f>
        <v>#N/A</v>
      </c>
      <c r="H21250" s="4" t="str">
        <v/>
      </c>
      <c r="I21250" s="4" t="str">
        <v/>
      </c>
    </row>
    <row r="21251" spans="5:9" ht="16.5" hidden="1">
      <c r="E21251" s="4" t="str">
        <v/>
      </c>
      <c r="F21251" s="102" t="str">
        <f ca="1">IFERROR(__xludf.DUMMYFUNCTION("IMPORTRANGE(H21251,""IDENTITAS UNIT!D9"")"),"#N/A")</f>
        <v>#N/A</v>
      </c>
      <c r="H21251" s="4" t="str">
        <v/>
      </c>
      <c r="I21251" s="4" t="str">
        <v/>
      </c>
    </row>
    <row r="21252" spans="5:9" ht="16.5" hidden="1">
      <c r="E21252" s="4" t="str">
        <v/>
      </c>
      <c r="F21252" s="102" t="str">
        <f ca="1">IFERROR(__xludf.DUMMYFUNCTION("IMPORTRANGE(H21252,""IDENTITAS UNIT!D9"")"),"#N/A")</f>
        <v>#N/A</v>
      </c>
      <c r="H21252" s="4" t="str">
        <v/>
      </c>
      <c r="I21252" s="4" t="str">
        <v/>
      </c>
    </row>
    <row r="21253" spans="5:9" ht="16.5" hidden="1">
      <c r="E21253" s="4" t="str">
        <v/>
      </c>
      <c r="F21253" s="102" t="str">
        <f ca="1">IFERROR(__xludf.DUMMYFUNCTION("IMPORTRANGE(H21253,""IDENTITAS UNIT!D9"")"),"#N/A")</f>
        <v>#N/A</v>
      </c>
      <c r="H21253" s="4" t="str">
        <v/>
      </c>
      <c r="I21253" s="4" t="str">
        <v/>
      </c>
    </row>
    <row r="21254" spans="5:9" ht="16.5" hidden="1">
      <c r="E21254" s="4" t="str">
        <v/>
      </c>
      <c r="F21254" s="102" t="str">
        <f ca="1">IFERROR(__xludf.DUMMYFUNCTION("IMPORTRANGE(H21254,""IDENTITAS UNIT!D9"")"),"#N/A")</f>
        <v>#N/A</v>
      </c>
      <c r="H21254" s="4" t="str">
        <v/>
      </c>
      <c r="I21254" s="4" t="str">
        <v/>
      </c>
    </row>
    <row r="21255" spans="5:9" ht="16.5" hidden="1">
      <c r="E21255" s="4" t="str">
        <v/>
      </c>
      <c r="F21255" s="102" t="str">
        <f ca="1">IFERROR(__xludf.DUMMYFUNCTION("IMPORTRANGE(H21255,""IDENTITAS UNIT!D9"")"),"#N/A")</f>
        <v>#N/A</v>
      </c>
      <c r="H21255" s="4" t="str">
        <v/>
      </c>
      <c r="I21255" s="4" t="str">
        <v/>
      </c>
    </row>
    <row r="21256" spans="5:9" ht="16.5" hidden="1">
      <c r="E21256" s="4" t="str">
        <v/>
      </c>
      <c r="F21256" s="102" t="str">
        <f ca="1">IFERROR(__xludf.DUMMYFUNCTION("IMPORTRANGE(H21256,""IDENTITAS UNIT!D9"")"),"#N/A")</f>
        <v>#N/A</v>
      </c>
      <c r="H21256" s="4" t="str">
        <v/>
      </c>
      <c r="I21256" s="4" t="str">
        <v/>
      </c>
    </row>
    <row r="21257" spans="5:9" ht="16.5" hidden="1">
      <c r="E21257" s="4" t="str">
        <v/>
      </c>
      <c r="F21257" s="102" t="str">
        <f ca="1">IFERROR(__xludf.DUMMYFUNCTION("IMPORTRANGE(H21257,""IDENTITAS UNIT!D9"")"),"#N/A")</f>
        <v>#N/A</v>
      </c>
      <c r="H21257" s="4" t="str">
        <v/>
      </c>
      <c r="I21257" s="4" t="str">
        <v/>
      </c>
    </row>
    <row r="21258" spans="5:9" ht="16.5" hidden="1">
      <c r="E21258" s="4" t="str">
        <v/>
      </c>
      <c r="F21258" s="102" t="str">
        <f ca="1">IFERROR(__xludf.DUMMYFUNCTION("IMPORTRANGE(H21258,""IDENTITAS UNIT!D9"")"),"#N/A")</f>
        <v>#N/A</v>
      </c>
      <c r="H21258" s="4" t="str">
        <v/>
      </c>
      <c r="I21258" s="4" t="str">
        <v/>
      </c>
    </row>
    <row r="21259" spans="5:9" ht="16.5" hidden="1">
      <c r="E21259" s="4" t="str">
        <v/>
      </c>
      <c r="F21259" s="102" t="str">
        <f ca="1">IFERROR(__xludf.DUMMYFUNCTION("IMPORTRANGE(H21259,""IDENTITAS UNIT!D9"")"),"#N/A")</f>
        <v>#N/A</v>
      </c>
      <c r="H21259" s="4" t="str">
        <v/>
      </c>
      <c r="I21259" s="4" t="str">
        <v/>
      </c>
    </row>
    <row r="21260" spans="5:9" ht="16.5" hidden="1">
      <c r="E21260" s="4" t="str">
        <v/>
      </c>
      <c r="F21260" s="102" t="str">
        <f ca="1">IFERROR(__xludf.DUMMYFUNCTION("IMPORTRANGE(H21260,""IDENTITAS UNIT!D9"")"),"#N/A")</f>
        <v>#N/A</v>
      </c>
      <c r="H21260" s="4" t="str">
        <v/>
      </c>
      <c r="I21260" s="4" t="str">
        <v/>
      </c>
    </row>
    <row r="21261" spans="5:9" ht="16.5" hidden="1">
      <c r="E21261" s="4" t="str">
        <v/>
      </c>
      <c r="F21261" s="102" t="str">
        <f ca="1">IFERROR(__xludf.DUMMYFUNCTION("IMPORTRANGE(H21261,""IDENTITAS UNIT!D9"")"),"#N/A")</f>
        <v>#N/A</v>
      </c>
      <c r="H21261" s="4" t="str">
        <v/>
      </c>
      <c r="I21261" s="4" t="str">
        <v/>
      </c>
    </row>
    <row r="21262" spans="5:9" ht="16.5" hidden="1">
      <c r="E21262" s="4" t="str">
        <v/>
      </c>
      <c r="F21262" s="102" t="str">
        <f ca="1">IFERROR(__xludf.DUMMYFUNCTION("IMPORTRANGE(H21262,""IDENTITAS UNIT!D9"")"),"#N/A")</f>
        <v>#N/A</v>
      </c>
      <c r="H21262" s="4" t="str">
        <v/>
      </c>
      <c r="I21262" s="4" t="str">
        <v/>
      </c>
    </row>
    <row r="21263" spans="5:9" ht="16.5" hidden="1">
      <c r="E21263" s="4" t="str">
        <v/>
      </c>
      <c r="F21263" s="102" t="str">
        <f ca="1">IFERROR(__xludf.DUMMYFUNCTION("IMPORTRANGE(H21263,""IDENTITAS UNIT!D9"")"),"#N/A")</f>
        <v>#N/A</v>
      </c>
      <c r="H21263" s="4" t="str">
        <v/>
      </c>
      <c r="I21263" s="4" t="str">
        <v/>
      </c>
    </row>
    <row r="21264" spans="5:9" ht="16.5" hidden="1">
      <c r="E21264" s="4" t="str">
        <v/>
      </c>
      <c r="F21264" s="102" t="str">
        <f ca="1">IFERROR(__xludf.DUMMYFUNCTION("IMPORTRANGE(H21264,""IDENTITAS UNIT!D9"")"),"#N/A")</f>
        <v>#N/A</v>
      </c>
      <c r="H21264" s="4" t="str">
        <v/>
      </c>
      <c r="I21264" s="4" t="str">
        <v/>
      </c>
    </row>
    <row r="21265" spans="5:9" ht="16.5" hidden="1">
      <c r="E21265" s="4" t="str">
        <v/>
      </c>
      <c r="F21265" s="102" t="str">
        <f ca="1">IFERROR(__xludf.DUMMYFUNCTION("IMPORTRANGE(H21265,""IDENTITAS UNIT!D9"")"),"#N/A")</f>
        <v>#N/A</v>
      </c>
      <c r="H21265" s="4" t="str">
        <v/>
      </c>
      <c r="I21265" s="4" t="str">
        <v/>
      </c>
    </row>
    <row r="21266" spans="5:9" ht="16.5" hidden="1">
      <c r="E21266" s="4" t="str">
        <v/>
      </c>
      <c r="F21266" s="102" t="str">
        <f ca="1">IFERROR(__xludf.DUMMYFUNCTION("IMPORTRANGE(H21266,""IDENTITAS UNIT!D9"")"),"#N/A")</f>
        <v>#N/A</v>
      </c>
      <c r="H21266" s="4" t="str">
        <v/>
      </c>
      <c r="I21266" s="4" t="str">
        <v/>
      </c>
    </row>
    <row r="21267" spans="5:9" ht="16.5" hidden="1">
      <c r="E21267" s="4" t="str">
        <v/>
      </c>
      <c r="F21267" s="102" t="str">
        <f ca="1">IFERROR(__xludf.DUMMYFUNCTION("IMPORTRANGE(H21267,""IDENTITAS UNIT!D9"")"),"#N/A")</f>
        <v>#N/A</v>
      </c>
      <c r="H21267" s="4" t="str">
        <v/>
      </c>
      <c r="I21267" s="4" t="str">
        <v/>
      </c>
    </row>
    <row r="21268" spans="5:9" ht="16.5" hidden="1">
      <c r="E21268" s="4" t="str">
        <v/>
      </c>
      <c r="F21268" s="102" t="str">
        <f ca="1">IFERROR(__xludf.DUMMYFUNCTION("IMPORTRANGE(H21268,""IDENTITAS UNIT!D9"")"),"#N/A")</f>
        <v>#N/A</v>
      </c>
      <c r="H21268" s="4" t="str">
        <v/>
      </c>
      <c r="I21268" s="4" t="str">
        <v/>
      </c>
    </row>
    <row r="21269" spans="5:9" ht="16.5" hidden="1">
      <c r="E21269" s="4" t="str">
        <v/>
      </c>
      <c r="F21269" s="102" t="str">
        <f ca="1">IFERROR(__xludf.DUMMYFUNCTION("IMPORTRANGE(H21269,""IDENTITAS UNIT!D9"")"),"#N/A")</f>
        <v>#N/A</v>
      </c>
      <c r="H21269" s="4" t="str">
        <v/>
      </c>
      <c r="I21269" s="4" t="str">
        <v/>
      </c>
    </row>
    <row r="21270" spans="5:9" ht="16.5" hidden="1">
      <c r="E21270" s="4" t="str">
        <v/>
      </c>
      <c r="F21270" s="102" t="str">
        <f ca="1">IFERROR(__xludf.DUMMYFUNCTION("IMPORTRANGE(H21270,""IDENTITAS UNIT!D9"")"),"#N/A")</f>
        <v>#N/A</v>
      </c>
      <c r="H21270" s="4" t="str">
        <v/>
      </c>
      <c r="I21270" s="4" t="str">
        <v/>
      </c>
    </row>
    <row r="21271" spans="5:9" ht="16.5" hidden="1">
      <c r="E21271" s="4" t="str">
        <v/>
      </c>
      <c r="F21271" s="102" t="str">
        <f ca="1">IFERROR(__xludf.DUMMYFUNCTION("IMPORTRANGE(H21271,""IDENTITAS UNIT!D9"")"),"#N/A")</f>
        <v>#N/A</v>
      </c>
      <c r="H21271" s="4" t="str">
        <v/>
      </c>
      <c r="I21271" s="4" t="str">
        <v/>
      </c>
    </row>
    <row r="21272" spans="5:9" ht="16.5" hidden="1">
      <c r="E21272" s="4" t="str">
        <v/>
      </c>
      <c r="F21272" s="102" t="str">
        <f ca="1">IFERROR(__xludf.DUMMYFUNCTION("IMPORTRANGE(H21272,""IDENTITAS UNIT!D9"")"),"#N/A")</f>
        <v>#N/A</v>
      </c>
      <c r="H21272" s="4" t="str">
        <v/>
      </c>
      <c r="I21272" s="4" t="str">
        <v/>
      </c>
    </row>
    <row r="21273" spans="5:9" ht="16.5" hidden="1">
      <c r="E21273" s="4" t="str">
        <v/>
      </c>
      <c r="F21273" s="102" t="str">
        <f ca="1">IFERROR(__xludf.DUMMYFUNCTION("IMPORTRANGE(H21273,""IDENTITAS UNIT!D9"")"),"#N/A")</f>
        <v>#N/A</v>
      </c>
      <c r="H21273" s="4" t="str">
        <v/>
      </c>
      <c r="I21273" s="4" t="str">
        <v/>
      </c>
    </row>
    <row r="21274" spans="5:9" ht="16.5" hidden="1">
      <c r="E21274" s="4" t="str">
        <v/>
      </c>
      <c r="F21274" s="102" t="str">
        <f ca="1">IFERROR(__xludf.DUMMYFUNCTION("IMPORTRANGE(H21274,""IDENTITAS UNIT!D9"")"),"#N/A")</f>
        <v>#N/A</v>
      </c>
      <c r="H21274" s="4" t="str">
        <v/>
      </c>
      <c r="I21274" s="4" t="str">
        <v/>
      </c>
    </row>
    <row r="21275" spans="5:9" ht="16.5" hidden="1">
      <c r="E21275" s="4" t="str">
        <v/>
      </c>
      <c r="F21275" s="102" t="str">
        <f ca="1">IFERROR(__xludf.DUMMYFUNCTION("IMPORTRANGE(H21275,""IDENTITAS UNIT!D9"")"),"#N/A")</f>
        <v>#N/A</v>
      </c>
      <c r="H21275" s="4" t="str">
        <v/>
      </c>
      <c r="I21275" s="4" t="str">
        <v/>
      </c>
    </row>
    <row r="21276" spans="5:9" ht="16.5" hidden="1">
      <c r="E21276" s="4" t="str">
        <v/>
      </c>
      <c r="F21276" s="102" t="str">
        <f ca="1">IFERROR(__xludf.DUMMYFUNCTION("IMPORTRANGE(H21276,""IDENTITAS UNIT!D9"")"),"#N/A")</f>
        <v>#N/A</v>
      </c>
      <c r="H21276" s="4" t="str">
        <v/>
      </c>
      <c r="I21276" s="4" t="str">
        <v/>
      </c>
    </row>
    <row r="21277" spans="5:9" ht="16.5" hidden="1">
      <c r="E21277" s="4" t="str">
        <v/>
      </c>
      <c r="F21277" s="102" t="str">
        <f ca="1">IFERROR(__xludf.DUMMYFUNCTION("IMPORTRANGE(H21277,""IDENTITAS UNIT!D9"")"),"#N/A")</f>
        <v>#N/A</v>
      </c>
      <c r="H21277" s="4" t="str">
        <v/>
      </c>
      <c r="I21277" s="4" t="str">
        <v/>
      </c>
    </row>
    <row r="21278" spans="5:9" ht="16.5" hidden="1">
      <c r="E21278" s="4" t="str">
        <v/>
      </c>
      <c r="F21278" s="102" t="str">
        <f ca="1">IFERROR(__xludf.DUMMYFUNCTION("IMPORTRANGE(H21278,""IDENTITAS UNIT!D9"")"),"#N/A")</f>
        <v>#N/A</v>
      </c>
      <c r="H21278" s="4" t="str">
        <v/>
      </c>
      <c r="I21278" s="4" t="str">
        <v/>
      </c>
    </row>
    <row r="21279" spans="5:9" ht="16.5" hidden="1">
      <c r="E21279" s="4" t="str">
        <v/>
      </c>
      <c r="F21279" s="102" t="str">
        <f ca="1">IFERROR(__xludf.DUMMYFUNCTION("IMPORTRANGE(H21279,""IDENTITAS UNIT!D9"")"),"#N/A")</f>
        <v>#N/A</v>
      </c>
      <c r="H21279" s="4" t="str">
        <v/>
      </c>
      <c r="I21279" s="4" t="str">
        <v/>
      </c>
    </row>
    <row r="21280" spans="5:9" ht="16.5" hidden="1">
      <c r="E21280" s="4" t="str">
        <v/>
      </c>
      <c r="F21280" s="102" t="str">
        <f ca="1">IFERROR(__xludf.DUMMYFUNCTION("IMPORTRANGE(H21280,""IDENTITAS UNIT!D9"")"),"#N/A")</f>
        <v>#N/A</v>
      </c>
      <c r="H21280" s="4" t="str">
        <v/>
      </c>
      <c r="I21280" s="4" t="str">
        <v/>
      </c>
    </row>
    <row r="21281" spans="5:9" ht="16.5" hidden="1">
      <c r="E21281" s="4" t="str">
        <v/>
      </c>
      <c r="F21281" s="102" t="str">
        <f ca="1">IFERROR(__xludf.DUMMYFUNCTION("IMPORTRANGE(H21281,""IDENTITAS UNIT!D9"")"),"#N/A")</f>
        <v>#N/A</v>
      </c>
      <c r="H21281" s="4" t="str">
        <v/>
      </c>
      <c r="I21281" s="4" t="str">
        <v/>
      </c>
    </row>
    <row r="21282" spans="5:9" ht="16.5" hidden="1">
      <c r="E21282" s="4" t="str">
        <v/>
      </c>
      <c r="F21282" s="102" t="str">
        <f ca="1">IFERROR(__xludf.DUMMYFUNCTION("IMPORTRANGE(H21282,""IDENTITAS UNIT!D9"")"),"#N/A")</f>
        <v>#N/A</v>
      </c>
      <c r="H21282" s="4" t="str">
        <v/>
      </c>
      <c r="I21282" s="4" t="str">
        <v/>
      </c>
    </row>
    <row r="21283" spans="5:9" ht="16.5" hidden="1">
      <c r="E21283" s="4" t="str">
        <v/>
      </c>
      <c r="F21283" s="102" t="str">
        <f ca="1">IFERROR(__xludf.DUMMYFUNCTION("IMPORTRANGE(H21283,""IDENTITAS UNIT!D9"")"),"#N/A")</f>
        <v>#N/A</v>
      </c>
      <c r="H21283" s="4" t="str">
        <v/>
      </c>
      <c r="I21283" s="4" t="str">
        <v/>
      </c>
    </row>
    <row r="21284" spans="5:9" ht="16.5" hidden="1">
      <c r="E21284" s="4" t="str">
        <v/>
      </c>
      <c r="F21284" s="102" t="str">
        <f ca="1">IFERROR(__xludf.DUMMYFUNCTION("IMPORTRANGE(H21284,""IDENTITAS UNIT!D9"")"),"#N/A")</f>
        <v>#N/A</v>
      </c>
      <c r="H21284" s="4" t="str">
        <v/>
      </c>
      <c r="I21284" s="4" t="str">
        <v/>
      </c>
    </row>
    <row r="21285" spans="5:9" ht="16.5" hidden="1">
      <c r="E21285" s="4" t="str">
        <v/>
      </c>
      <c r="F21285" s="102" t="str">
        <f ca="1">IFERROR(__xludf.DUMMYFUNCTION("IMPORTRANGE(H21285,""IDENTITAS UNIT!D9"")"),"#N/A")</f>
        <v>#N/A</v>
      </c>
      <c r="H21285" s="4" t="str">
        <v/>
      </c>
      <c r="I21285" s="4" t="str">
        <v/>
      </c>
    </row>
    <row r="21286" spans="5:9" ht="16.5" hidden="1">
      <c r="E21286" s="4" t="str">
        <v/>
      </c>
      <c r="F21286" s="102" t="str">
        <f ca="1">IFERROR(__xludf.DUMMYFUNCTION("IMPORTRANGE(H21286,""IDENTITAS UNIT!D9"")"),"#N/A")</f>
        <v>#N/A</v>
      </c>
      <c r="H21286" s="4" t="str">
        <v/>
      </c>
      <c r="I21286" s="4" t="str">
        <v/>
      </c>
    </row>
    <row r="21287" spans="5:9" ht="16.5" hidden="1">
      <c r="E21287" s="4" t="str">
        <v/>
      </c>
      <c r="F21287" s="102" t="str">
        <f ca="1">IFERROR(__xludf.DUMMYFUNCTION("IMPORTRANGE(H21287,""IDENTITAS UNIT!D9"")"),"#N/A")</f>
        <v>#N/A</v>
      </c>
      <c r="H21287" s="4" t="str">
        <v/>
      </c>
      <c r="I21287" s="4" t="str">
        <v/>
      </c>
    </row>
    <row r="21288" spans="5:9" ht="16.5" hidden="1">
      <c r="E21288" s="4" t="str">
        <v/>
      </c>
      <c r="F21288" s="102" t="str">
        <f ca="1">IFERROR(__xludf.DUMMYFUNCTION("IMPORTRANGE(H21288,""IDENTITAS UNIT!D9"")"),"#N/A")</f>
        <v>#N/A</v>
      </c>
      <c r="H21288" s="4" t="str">
        <v/>
      </c>
      <c r="I21288" s="4" t="str">
        <v/>
      </c>
    </row>
    <row r="21289" spans="5:9" ht="16.5" hidden="1">
      <c r="E21289" s="4" t="str">
        <v/>
      </c>
      <c r="F21289" s="102" t="str">
        <f ca="1">IFERROR(__xludf.DUMMYFUNCTION("IMPORTRANGE(H21289,""IDENTITAS UNIT!D9"")"),"#N/A")</f>
        <v>#N/A</v>
      </c>
      <c r="H21289" s="4" t="str">
        <v/>
      </c>
      <c r="I21289" s="4" t="str">
        <v/>
      </c>
    </row>
    <row r="21290" spans="5:9" ht="16.5" hidden="1">
      <c r="E21290" s="4" t="str">
        <v/>
      </c>
      <c r="F21290" s="102" t="str">
        <f ca="1">IFERROR(__xludf.DUMMYFUNCTION("IMPORTRANGE(H21290,""IDENTITAS UNIT!D9"")"),"#N/A")</f>
        <v>#N/A</v>
      </c>
      <c r="H21290" s="4" t="str">
        <v/>
      </c>
      <c r="I21290" s="4" t="str">
        <v/>
      </c>
    </row>
    <row r="21291" spans="5:9" ht="16.5" hidden="1">
      <c r="E21291" s="4" t="str">
        <v/>
      </c>
      <c r="F21291" s="102" t="str">
        <f ca="1">IFERROR(__xludf.DUMMYFUNCTION("IMPORTRANGE(H21291,""IDENTITAS UNIT!D9"")"),"#N/A")</f>
        <v>#N/A</v>
      </c>
      <c r="H21291" s="4" t="str">
        <v/>
      </c>
      <c r="I21291" s="4" t="str">
        <v/>
      </c>
    </row>
    <row r="21292" spans="5:9" ht="16.5" hidden="1">
      <c r="E21292" s="4" t="str">
        <v/>
      </c>
      <c r="F21292" s="102" t="str">
        <f ca="1">IFERROR(__xludf.DUMMYFUNCTION("IMPORTRANGE(H21292,""IDENTITAS UNIT!D9"")"),"#N/A")</f>
        <v>#N/A</v>
      </c>
      <c r="H21292" s="4" t="str">
        <v/>
      </c>
      <c r="I21292" s="4" t="str">
        <v/>
      </c>
    </row>
    <row r="21293" spans="5:9" ht="16.5" hidden="1">
      <c r="E21293" s="4" t="str">
        <v/>
      </c>
      <c r="F21293" s="102" t="str">
        <f ca="1">IFERROR(__xludf.DUMMYFUNCTION("IMPORTRANGE(H21293,""IDENTITAS UNIT!D9"")"),"#N/A")</f>
        <v>#N/A</v>
      </c>
      <c r="H21293" s="4" t="str">
        <v/>
      </c>
      <c r="I21293" s="4" t="str">
        <v/>
      </c>
    </row>
    <row r="21294" spans="5:9" ht="16.5" hidden="1">
      <c r="E21294" s="4" t="str">
        <v/>
      </c>
      <c r="F21294" s="102" t="str">
        <f ca="1">IFERROR(__xludf.DUMMYFUNCTION("IMPORTRANGE(H21294,""IDENTITAS UNIT!D9"")"),"#N/A")</f>
        <v>#N/A</v>
      </c>
      <c r="H21294" s="4" t="str">
        <v/>
      </c>
      <c r="I21294" s="4" t="str">
        <v/>
      </c>
    </row>
    <row r="21295" spans="5:9" ht="16.5" hidden="1">
      <c r="E21295" s="4" t="str">
        <v/>
      </c>
      <c r="F21295" s="102" t="str">
        <f ca="1">IFERROR(__xludf.DUMMYFUNCTION("IMPORTRANGE(H21295,""IDENTITAS UNIT!D9"")"),"#N/A")</f>
        <v>#N/A</v>
      </c>
      <c r="H21295" s="4" t="str">
        <v/>
      </c>
      <c r="I21295" s="4" t="str">
        <v/>
      </c>
    </row>
    <row r="21296" spans="5:9" ht="16.5" hidden="1">
      <c r="E21296" s="4" t="str">
        <v/>
      </c>
      <c r="F21296" s="102" t="str">
        <f ca="1">IFERROR(__xludf.DUMMYFUNCTION("IMPORTRANGE(H21296,""IDENTITAS UNIT!D9"")"),"#N/A")</f>
        <v>#N/A</v>
      </c>
      <c r="H21296" s="4" t="str">
        <v/>
      </c>
      <c r="I21296" s="4" t="str">
        <v/>
      </c>
    </row>
    <row r="21297" spans="5:9" ht="16.5" hidden="1">
      <c r="E21297" s="4" t="str">
        <v/>
      </c>
      <c r="F21297" s="102" t="str">
        <f ca="1">IFERROR(__xludf.DUMMYFUNCTION("IMPORTRANGE(H21297,""IDENTITAS UNIT!D9"")"),"#N/A")</f>
        <v>#N/A</v>
      </c>
      <c r="H21297" s="4" t="str">
        <v/>
      </c>
      <c r="I21297" s="4" t="str">
        <v/>
      </c>
    </row>
    <row r="21298" spans="5:9" ht="16.5" hidden="1">
      <c r="E21298" s="4" t="str">
        <v/>
      </c>
      <c r="F21298" s="102" t="str">
        <f ca="1">IFERROR(__xludf.DUMMYFUNCTION("IMPORTRANGE(H21298,""IDENTITAS UNIT!D9"")"),"#N/A")</f>
        <v>#N/A</v>
      </c>
      <c r="H21298" s="4" t="str">
        <v/>
      </c>
      <c r="I21298" s="4" t="str">
        <v/>
      </c>
    </row>
    <row r="21299" spans="5:9" ht="16.5" hidden="1">
      <c r="E21299" s="4" t="str">
        <v/>
      </c>
      <c r="F21299" s="102" t="str">
        <f ca="1">IFERROR(__xludf.DUMMYFUNCTION("IMPORTRANGE(H21299,""IDENTITAS UNIT!D9"")"),"#N/A")</f>
        <v>#N/A</v>
      </c>
      <c r="H21299" s="4" t="str">
        <v/>
      </c>
      <c r="I21299" s="4" t="str">
        <v/>
      </c>
    </row>
    <row r="21300" spans="5:9" ht="16.5" hidden="1">
      <c r="E21300" s="4" t="str">
        <v/>
      </c>
      <c r="F21300" s="102" t="str">
        <f ca="1">IFERROR(__xludf.DUMMYFUNCTION("IMPORTRANGE(H21300,""IDENTITAS UNIT!D9"")"),"#N/A")</f>
        <v>#N/A</v>
      </c>
      <c r="H21300" s="4" t="str">
        <v/>
      </c>
      <c r="I21300" s="4" t="str">
        <v/>
      </c>
    </row>
    <row r="21301" spans="5:9" ht="16.5" hidden="1">
      <c r="E21301" s="4" t="str">
        <v/>
      </c>
      <c r="F21301" s="102" t="str">
        <f ca="1">IFERROR(__xludf.DUMMYFUNCTION("IMPORTRANGE(H21301,""IDENTITAS UNIT!D9"")"),"#N/A")</f>
        <v>#N/A</v>
      </c>
      <c r="H21301" s="4" t="str">
        <v/>
      </c>
      <c r="I21301" s="4" t="str">
        <v/>
      </c>
    </row>
    <row r="21302" spans="5:9" ht="16.5" hidden="1">
      <c r="E21302" s="4" t="str">
        <v/>
      </c>
      <c r="F21302" s="102" t="str">
        <f ca="1">IFERROR(__xludf.DUMMYFUNCTION("IMPORTRANGE(H21302,""IDENTITAS UNIT!D9"")"),"#N/A")</f>
        <v>#N/A</v>
      </c>
      <c r="H21302" s="4" t="str">
        <v/>
      </c>
      <c r="I21302" s="4" t="str">
        <v/>
      </c>
    </row>
    <row r="21303" spans="5:9" ht="16.5" hidden="1">
      <c r="E21303" s="4" t="str">
        <v/>
      </c>
      <c r="F21303" s="102" t="str">
        <f ca="1">IFERROR(__xludf.DUMMYFUNCTION("IMPORTRANGE(H21303,""IDENTITAS UNIT!D9"")"),"#N/A")</f>
        <v>#N/A</v>
      </c>
      <c r="H21303" s="4" t="str">
        <v/>
      </c>
      <c r="I21303" s="4" t="str">
        <v/>
      </c>
    </row>
    <row r="21304" spans="5:9" ht="16.5" hidden="1">
      <c r="E21304" s="4" t="str">
        <v/>
      </c>
      <c r="F21304" s="102" t="str">
        <f ca="1">IFERROR(__xludf.DUMMYFUNCTION("IMPORTRANGE(H21304,""IDENTITAS UNIT!D9"")"),"#N/A")</f>
        <v>#N/A</v>
      </c>
      <c r="H21304" s="4" t="str">
        <v/>
      </c>
      <c r="I21304" s="4" t="str">
        <v/>
      </c>
    </row>
    <row r="21305" spans="5:9" ht="16.5" hidden="1">
      <c r="E21305" s="4" t="str">
        <v/>
      </c>
      <c r="F21305" s="102" t="str">
        <f ca="1">IFERROR(__xludf.DUMMYFUNCTION("IMPORTRANGE(H21305,""IDENTITAS UNIT!D9"")"),"#N/A")</f>
        <v>#N/A</v>
      </c>
      <c r="H21305" s="4" t="str">
        <v/>
      </c>
      <c r="I21305" s="4" t="str">
        <v/>
      </c>
    </row>
    <row r="21306" spans="5:9" ht="16.5" hidden="1">
      <c r="E21306" s="4" t="str">
        <v/>
      </c>
      <c r="F21306" s="102" t="str">
        <f ca="1">IFERROR(__xludf.DUMMYFUNCTION("IMPORTRANGE(H21306,""IDENTITAS UNIT!D9"")"),"#N/A")</f>
        <v>#N/A</v>
      </c>
      <c r="H21306" s="4" t="str">
        <v/>
      </c>
      <c r="I21306" s="4" t="str">
        <v/>
      </c>
    </row>
    <row r="21307" spans="5:9" ht="16.5" hidden="1">
      <c r="E21307" s="4" t="str">
        <v/>
      </c>
      <c r="F21307" s="102" t="str">
        <f ca="1">IFERROR(__xludf.DUMMYFUNCTION("IMPORTRANGE(H21307,""IDENTITAS UNIT!D9"")"),"#N/A")</f>
        <v>#N/A</v>
      </c>
      <c r="H21307" s="4" t="str">
        <v/>
      </c>
      <c r="I21307" s="4" t="str">
        <v/>
      </c>
    </row>
    <row r="21308" spans="5:9" ht="16.5" hidden="1">
      <c r="E21308" s="4" t="str">
        <v/>
      </c>
      <c r="F21308" s="102" t="str">
        <f ca="1">IFERROR(__xludf.DUMMYFUNCTION("IMPORTRANGE(H21308,""IDENTITAS UNIT!D9"")"),"#N/A")</f>
        <v>#N/A</v>
      </c>
      <c r="H21308" s="4" t="str">
        <v/>
      </c>
      <c r="I21308" s="4" t="str">
        <v/>
      </c>
    </row>
    <row r="21309" spans="5:9" ht="16.5" hidden="1">
      <c r="E21309" s="4" t="str">
        <v/>
      </c>
      <c r="F21309" s="102" t="str">
        <f ca="1">IFERROR(__xludf.DUMMYFUNCTION("IMPORTRANGE(H21309,""IDENTITAS UNIT!D9"")"),"#N/A")</f>
        <v>#N/A</v>
      </c>
      <c r="H21309" s="4" t="str">
        <v/>
      </c>
      <c r="I21309" s="4" t="str">
        <v/>
      </c>
    </row>
    <row r="21310" spans="5:9" ht="16.5" hidden="1">
      <c r="E21310" s="4" t="str">
        <v/>
      </c>
      <c r="F21310" s="102" t="str">
        <f ca="1">IFERROR(__xludf.DUMMYFUNCTION("IMPORTRANGE(H21310,""IDENTITAS UNIT!D9"")"),"#N/A")</f>
        <v>#N/A</v>
      </c>
      <c r="H21310" s="4" t="str">
        <v/>
      </c>
      <c r="I21310" s="4" t="str">
        <v/>
      </c>
    </row>
    <row r="21311" spans="5:9" ht="16.5" hidden="1">
      <c r="E21311" s="4" t="str">
        <v/>
      </c>
      <c r="F21311" s="102" t="str">
        <f ca="1">IFERROR(__xludf.DUMMYFUNCTION("IMPORTRANGE(H21311,""IDENTITAS UNIT!D9"")"),"#N/A")</f>
        <v>#N/A</v>
      </c>
      <c r="H21311" s="4" t="str">
        <v/>
      </c>
      <c r="I21311" s="4" t="str">
        <v/>
      </c>
    </row>
    <row r="21312" spans="5:9" ht="16.5" hidden="1">
      <c r="E21312" s="4" t="str">
        <v/>
      </c>
      <c r="F21312" s="102" t="str">
        <f ca="1">IFERROR(__xludf.DUMMYFUNCTION("IMPORTRANGE(H21312,""IDENTITAS UNIT!D9"")"),"#N/A")</f>
        <v>#N/A</v>
      </c>
      <c r="H21312" s="4" t="str">
        <v/>
      </c>
      <c r="I21312" s="4" t="str">
        <v/>
      </c>
    </row>
    <row r="21313" spans="5:9" ht="16.5" hidden="1">
      <c r="E21313" s="4" t="str">
        <v/>
      </c>
      <c r="F21313" s="102" t="str">
        <f ca="1">IFERROR(__xludf.DUMMYFUNCTION("IMPORTRANGE(H21313,""IDENTITAS UNIT!D9"")"),"#N/A")</f>
        <v>#N/A</v>
      </c>
      <c r="H21313" s="4" t="str">
        <v/>
      </c>
      <c r="I21313" s="4" t="str">
        <v/>
      </c>
    </row>
    <row r="21314" spans="5:9" ht="16.5" hidden="1">
      <c r="E21314" s="4" t="str">
        <v/>
      </c>
      <c r="F21314" s="102" t="str">
        <f ca="1">IFERROR(__xludf.DUMMYFUNCTION("IMPORTRANGE(H21314,""IDENTITAS UNIT!D9"")"),"#N/A")</f>
        <v>#N/A</v>
      </c>
      <c r="H21314" s="4" t="str">
        <v/>
      </c>
      <c r="I21314" s="4" t="str">
        <v/>
      </c>
    </row>
    <row r="21315" spans="5:9" ht="16.5" hidden="1">
      <c r="E21315" s="4" t="str">
        <v/>
      </c>
      <c r="F21315" s="102" t="str">
        <f ca="1">IFERROR(__xludf.DUMMYFUNCTION("IMPORTRANGE(H21315,""IDENTITAS UNIT!D9"")"),"#N/A")</f>
        <v>#N/A</v>
      </c>
      <c r="H21315" s="4" t="str">
        <v/>
      </c>
      <c r="I21315" s="4" t="str">
        <v/>
      </c>
    </row>
    <row r="21316" spans="5:9" ht="16.5" hidden="1">
      <c r="E21316" s="4" t="str">
        <v/>
      </c>
      <c r="F21316" s="102" t="str">
        <f ca="1">IFERROR(__xludf.DUMMYFUNCTION("IMPORTRANGE(H21316,""IDENTITAS UNIT!D9"")"),"#N/A")</f>
        <v>#N/A</v>
      </c>
      <c r="H21316" s="4" t="str">
        <v/>
      </c>
      <c r="I21316" s="4" t="str">
        <v/>
      </c>
    </row>
    <row r="21317" spans="5:9" ht="16.5" hidden="1">
      <c r="E21317" s="4" t="str">
        <v/>
      </c>
      <c r="F21317" s="102" t="str">
        <f ca="1">IFERROR(__xludf.DUMMYFUNCTION("IMPORTRANGE(H21317,""IDENTITAS UNIT!D9"")"),"#N/A")</f>
        <v>#N/A</v>
      </c>
      <c r="H21317" s="4" t="str">
        <v/>
      </c>
      <c r="I21317" s="4" t="str">
        <v/>
      </c>
    </row>
    <row r="21318" spans="5:9" ht="16.5" hidden="1">
      <c r="E21318" s="4" t="str">
        <v/>
      </c>
      <c r="F21318" s="102" t="str">
        <f ca="1">IFERROR(__xludf.DUMMYFUNCTION("IMPORTRANGE(H21318,""IDENTITAS UNIT!D9"")"),"#N/A")</f>
        <v>#N/A</v>
      </c>
      <c r="H21318" s="4" t="str">
        <v/>
      </c>
      <c r="I21318" s="4" t="str">
        <v/>
      </c>
    </row>
    <row r="21319" spans="5:9" ht="16.5" hidden="1">
      <c r="E21319" s="4" t="str">
        <v/>
      </c>
      <c r="F21319" s="102" t="str">
        <f ca="1">IFERROR(__xludf.DUMMYFUNCTION("IMPORTRANGE(H21319,""IDENTITAS UNIT!D9"")"),"#N/A")</f>
        <v>#N/A</v>
      </c>
      <c r="H21319" s="4" t="str">
        <v/>
      </c>
      <c r="I21319" s="4" t="str">
        <v/>
      </c>
    </row>
    <row r="21320" spans="5:9" ht="16.5" hidden="1">
      <c r="E21320" s="4" t="str">
        <v/>
      </c>
      <c r="F21320" s="102" t="str">
        <f ca="1">IFERROR(__xludf.DUMMYFUNCTION("IMPORTRANGE(H21320,""IDENTITAS UNIT!D9"")"),"#N/A")</f>
        <v>#N/A</v>
      </c>
      <c r="H21320" s="4" t="str">
        <v/>
      </c>
      <c r="I21320" s="4" t="str">
        <v/>
      </c>
    </row>
    <row r="21321" spans="5:9" ht="16.5" hidden="1">
      <c r="E21321" s="4" t="str">
        <v/>
      </c>
      <c r="F21321" s="102" t="str">
        <f ca="1">IFERROR(__xludf.DUMMYFUNCTION("IMPORTRANGE(H21321,""IDENTITAS UNIT!D9"")"),"#N/A")</f>
        <v>#N/A</v>
      </c>
      <c r="H21321" s="4" t="str">
        <v/>
      </c>
      <c r="I21321" s="4" t="str">
        <v/>
      </c>
    </row>
    <row r="21322" spans="5:9" ht="16.5" hidden="1">
      <c r="E21322" s="4" t="str">
        <v/>
      </c>
      <c r="F21322" s="102" t="str">
        <f ca="1">IFERROR(__xludf.DUMMYFUNCTION("IMPORTRANGE(H21322,""IDENTITAS UNIT!D9"")"),"#N/A")</f>
        <v>#N/A</v>
      </c>
      <c r="H21322" s="4" t="str">
        <v/>
      </c>
      <c r="I21322" s="4" t="str">
        <v/>
      </c>
    </row>
    <row r="21323" spans="5:9" ht="16.5" hidden="1">
      <c r="E21323" s="4" t="str">
        <v/>
      </c>
      <c r="F21323" s="102" t="str">
        <f ca="1">IFERROR(__xludf.DUMMYFUNCTION("IMPORTRANGE(H21323,""IDENTITAS UNIT!D9"")"),"#N/A")</f>
        <v>#N/A</v>
      </c>
      <c r="H21323" s="4" t="str">
        <v/>
      </c>
      <c r="I21323" s="4" t="str">
        <v/>
      </c>
    </row>
    <row r="21324" spans="5:9" ht="16.5" hidden="1">
      <c r="E21324" s="4" t="str">
        <v/>
      </c>
      <c r="F21324" s="102" t="str">
        <f ca="1">IFERROR(__xludf.DUMMYFUNCTION("IMPORTRANGE(H21324,""IDENTITAS UNIT!D9"")"),"#N/A")</f>
        <v>#N/A</v>
      </c>
      <c r="H21324" s="4" t="str">
        <v/>
      </c>
      <c r="I21324" s="4" t="str">
        <v/>
      </c>
    </row>
    <row r="21325" spans="5:9" ht="16.5" hidden="1">
      <c r="E21325" s="4" t="str">
        <v/>
      </c>
      <c r="F21325" s="102" t="str">
        <f ca="1">IFERROR(__xludf.DUMMYFUNCTION("IMPORTRANGE(H21325,""IDENTITAS UNIT!D9"")"),"#N/A")</f>
        <v>#N/A</v>
      </c>
      <c r="H21325" s="4" t="str">
        <v/>
      </c>
      <c r="I21325" s="4" t="str">
        <v/>
      </c>
    </row>
    <row r="21326" spans="5:9" ht="16.5" hidden="1">
      <c r="E21326" s="4" t="str">
        <v/>
      </c>
      <c r="F21326" s="102" t="str">
        <f ca="1">IFERROR(__xludf.DUMMYFUNCTION("IMPORTRANGE(H21326,""IDENTITAS UNIT!D9"")"),"#N/A")</f>
        <v>#N/A</v>
      </c>
      <c r="H21326" s="4" t="str">
        <v/>
      </c>
      <c r="I21326" s="4" t="str">
        <v/>
      </c>
    </row>
    <row r="21327" spans="5:9" ht="16.5" hidden="1">
      <c r="E21327" s="4" t="str">
        <v/>
      </c>
      <c r="F21327" s="102" t="str">
        <f ca="1">IFERROR(__xludf.DUMMYFUNCTION("IMPORTRANGE(H21327,""IDENTITAS UNIT!D9"")"),"#N/A")</f>
        <v>#N/A</v>
      </c>
      <c r="H21327" s="4" t="str">
        <v/>
      </c>
      <c r="I21327" s="4" t="str">
        <v/>
      </c>
    </row>
    <row r="21328" spans="5:9" ht="16.5" hidden="1">
      <c r="E21328" s="4" t="str">
        <v/>
      </c>
      <c r="F21328" s="102" t="str">
        <f ca="1">IFERROR(__xludf.DUMMYFUNCTION("IMPORTRANGE(H21328,""IDENTITAS UNIT!D9"")"),"#N/A")</f>
        <v>#N/A</v>
      </c>
      <c r="H21328" s="4" t="str">
        <v/>
      </c>
      <c r="I21328" s="4" t="str">
        <v/>
      </c>
    </row>
    <row r="21329" spans="5:9" ht="16.5" hidden="1">
      <c r="E21329" s="4" t="str">
        <v/>
      </c>
      <c r="F21329" s="102" t="str">
        <f ca="1">IFERROR(__xludf.DUMMYFUNCTION("IMPORTRANGE(H21329,""IDENTITAS UNIT!D9"")"),"#N/A")</f>
        <v>#N/A</v>
      </c>
      <c r="H21329" s="4" t="str">
        <v/>
      </c>
      <c r="I21329" s="4" t="str">
        <v/>
      </c>
    </row>
    <row r="21330" spans="5:9" ht="16.5" hidden="1">
      <c r="E21330" s="4" t="str">
        <v/>
      </c>
      <c r="F21330" s="102" t="str">
        <f ca="1">IFERROR(__xludf.DUMMYFUNCTION("IMPORTRANGE(H21330,""IDENTITAS UNIT!D9"")"),"#N/A")</f>
        <v>#N/A</v>
      </c>
      <c r="H21330" s="4" t="str">
        <v/>
      </c>
      <c r="I21330" s="4" t="str">
        <v/>
      </c>
    </row>
    <row r="21331" spans="5:9" ht="16.5" hidden="1">
      <c r="E21331" s="4" t="str">
        <v/>
      </c>
      <c r="F21331" s="102" t="str">
        <f ca="1">IFERROR(__xludf.DUMMYFUNCTION("IMPORTRANGE(H21331,""IDENTITAS UNIT!D9"")"),"#N/A")</f>
        <v>#N/A</v>
      </c>
      <c r="H21331" s="4" t="str">
        <v/>
      </c>
      <c r="I21331" s="4" t="str">
        <v/>
      </c>
    </row>
    <row r="21332" spans="5:9" ht="16.5" hidden="1">
      <c r="E21332" s="4" t="str">
        <v/>
      </c>
      <c r="F21332" s="102" t="str">
        <f ca="1">IFERROR(__xludf.DUMMYFUNCTION("IMPORTRANGE(H21332,""IDENTITAS UNIT!D9"")"),"#N/A")</f>
        <v>#N/A</v>
      </c>
      <c r="H21332" s="4" t="str">
        <v/>
      </c>
      <c r="I21332" s="4" t="str">
        <v/>
      </c>
    </row>
    <row r="21333" spans="5:9" ht="16.5" hidden="1">
      <c r="E21333" s="4" t="str">
        <v/>
      </c>
      <c r="F21333" s="102" t="str">
        <f ca="1">IFERROR(__xludf.DUMMYFUNCTION("IMPORTRANGE(H21333,""IDENTITAS UNIT!D9"")"),"#N/A")</f>
        <v>#N/A</v>
      </c>
      <c r="H21333" s="4" t="str">
        <v/>
      </c>
      <c r="I21333" s="4" t="str">
        <v/>
      </c>
    </row>
    <row r="21334" spans="5:9" ht="16.5" hidden="1">
      <c r="E21334" s="4" t="str">
        <v/>
      </c>
      <c r="F21334" s="102" t="str">
        <f ca="1">IFERROR(__xludf.DUMMYFUNCTION("IMPORTRANGE(H21334,""IDENTITAS UNIT!D9"")"),"#N/A")</f>
        <v>#N/A</v>
      </c>
      <c r="H21334" s="4" t="str">
        <v/>
      </c>
      <c r="I21334" s="4" t="str">
        <v/>
      </c>
    </row>
    <row r="21335" spans="5:9" ht="16.5" hidden="1">
      <c r="E21335" s="4" t="str">
        <v/>
      </c>
      <c r="F21335" s="102" t="str">
        <f ca="1">IFERROR(__xludf.DUMMYFUNCTION("IMPORTRANGE(H21335,""IDENTITAS UNIT!D9"")"),"#N/A")</f>
        <v>#N/A</v>
      </c>
      <c r="H21335" s="4" t="str">
        <v/>
      </c>
      <c r="I21335" s="4" t="str">
        <v/>
      </c>
    </row>
    <row r="21336" spans="5:9" ht="16.5" hidden="1">
      <c r="E21336" s="4" t="str">
        <v/>
      </c>
      <c r="F21336" s="102" t="str">
        <f ca="1">IFERROR(__xludf.DUMMYFUNCTION("IMPORTRANGE(H21336,""IDENTITAS UNIT!D9"")"),"#N/A")</f>
        <v>#N/A</v>
      </c>
      <c r="H21336" s="4" t="str">
        <v/>
      </c>
      <c r="I21336" s="4" t="str">
        <v/>
      </c>
    </row>
    <row r="21337" spans="5:9" ht="16.5" hidden="1">
      <c r="E21337" s="4" t="str">
        <v/>
      </c>
      <c r="F21337" s="102" t="str">
        <f ca="1">IFERROR(__xludf.DUMMYFUNCTION("IMPORTRANGE(H21337,""IDENTITAS UNIT!D9"")"),"#N/A")</f>
        <v>#N/A</v>
      </c>
      <c r="H21337" s="4" t="str">
        <v/>
      </c>
      <c r="I21337" s="4" t="str">
        <v/>
      </c>
    </row>
    <row r="21338" spans="5:9" ht="16.5" hidden="1">
      <c r="E21338" s="4" t="str">
        <v/>
      </c>
      <c r="F21338" s="102" t="str">
        <f ca="1">IFERROR(__xludf.DUMMYFUNCTION("IMPORTRANGE(H21338,""IDENTITAS UNIT!D9"")"),"#N/A")</f>
        <v>#N/A</v>
      </c>
      <c r="H21338" s="4" t="str">
        <v/>
      </c>
      <c r="I21338" s="4" t="str">
        <v/>
      </c>
    </row>
    <row r="21339" spans="5:9" ht="16.5" hidden="1">
      <c r="E21339" s="4" t="str">
        <v/>
      </c>
      <c r="F21339" s="102" t="str">
        <f ca="1">IFERROR(__xludf.DUMMYFUNCTION("IMPORTRANGE(H21339,""IDENTITAS UNIT!D9"")"),"#N/A")</f>
        <v>#N/A</v>
      </c>
      <c r="H21339" s="4" t="str">
        <v/>
      </c>
      <c r="I21339" s="4" t="str">
        <v/>
      </c>
    </row>
    <row r="21340" spans="5:9" ht="16.5" hidden="1">
      <c r="E21340" s="4" t="str">
        <v/>
      </c>
      <c r="F21340" s="102" t="str">
        <f ca="1">IFERROR(__xludf.DUMMYFUNCTION("IMPORTRANGE(H21340,""IDENTITAS UNIT!D9"")"),"#N/A")</f>
        <v>#N/A</v>
      </c>
      <c r="H21340" s="4" t="str">
        <v/>
      </c>
      <c r="I21340" s="4" t="str">
        <v/>
      </c>
    </row>
    <row r="21341" spans="5:9" ht="16.5" hidden="1">
      <c r="E21341" s="4" t="str">
        <v/>
      </c>
      <c r="F21341" s="102" t="str">
        <f ca="1">IFERROR(__xludf.DUMMYFUNCTION("IMPORTRANGE(H21341,""IDENTITAS UNIT!D9"")"),"#N/A")</f>
        <v>#N/A</v>
      </c>
      <c r="H21341" s="4" t="str">
        <v/>
      </c>
      <c r="I21341" s="4" t="str">
        <v/>
      </c>
    </row>
    <row r="21342" spans="5:9" ht="16.5" hidden="1">
      <c r="E21342" s="4" t="str">
        <v/>
      </c>
      <c r="F21342" s="102" t="str">
        <f ca="1">IFERROR(__xludf.DUMMYFUNCTION("IMPORTRANGE(H21342,""IDENTITAS UNIT!D9"")"),"#N/A")</f>
        <v>#N/A</v>
      </c>
      <c r="H21342" s="4" t="str">
        <v/>
      </c>
      <c r="I21342" s="4" t="str">
        <v/>
      </c>
    </row>
    <row r="21343" spans="5:9" ht="16.5" hidden="1">
      <c r="E21343" s="4" t="str">
        <v/>
      </c>
      <c r="F21343" s="102" t="str">
        <f ca="1">IFERROR(__xludf.DUMMYFUNCTION("IMPORTRANGE(H21343,""IDENTITAS UNIT!D9"")"),"#N/A")</f>
        <v>#N/A</v>
      </c>
      <c r="H21343" s="4" t="str">
        <v/>
      </c>
      <c r="I21343" s="4" t="str">
        <v/>
      </c>
    </row>
    <row r="21344" spans="5:9" ht="16.5" hidden="1">
      <c r="E21344" s="4" t="str">
        <v/>
      </c>
      <c r="F21344" s="102" t="str">
        <f ca="1">IFERROR(__xludf.DUMMYFUNCTION("IMPORTRANGE(H21344,""IDENTITAS UNIT!D9"")"),"#N/A")</f>
        <v>#N/A</v>
      </c>
      <c r="H21344" s="4" t="str">
        <v/>
      </c>
      <c r="I21344" s="4" t="str">
        <v/>
      </c>
    </row>
    <row r="21345" spans="5:9" ht="16.5" hidden="1">
      <c r="E21345" s="4" t="str">
        <v/>
      </c>
      <c r="F21345" s="102" t="str">
        <f ca="1">IFERROR(__xludf.DUMMYFUNCTION("IMPORTRANGE(H21345,""IDENTITAS UNIT!D9"")"),"#N/A")</f>
        <v>#N/A</v>
      </c>
      <c r="H21345" s="4" t="str">
        <v/>
      </c>
      <c r="I21345" s="4" t="str">
        <v/>
      </c>
    </row>
    <row r="21346" spans="5:9" ht="16.5" hidden="1">
      <c r="E21346" s="4" t="str">
        <v/>
      </c>
      <c r="F21346" s="102" t="str">
        <f ca="1">IFERROR(__xludf.DUMMYFUNCTION("IMPORTRANGE(H21346,""IDENTITAS UNIT!D9"")"),"#N/A")</f>
        <v>#N/A</v>
      </c>
      <c r="H21346" s="4" t="str">
        <v/>
      </c>
      <c r="I21346" s="4" t="str">
        <v/>
      </c>
    </row>
    <row r="21347" spans="5:9" ht="16.5" hidden="1">
      <c r="E21347" s="4" t="str">
        <v/>
      </c>
      <c r="F21347" s="102" t="str">
        <f ca="1">IFERROR(__xludf.DUMMYFUNCTION("IMPORTRANGE(H21347,""IDENTITAS UNIT!D9"")"),"#N/A")</f>
        <v>#N/A</v>
      </c>
      <c r="H21347" s="4" t="str">
        <v/>
      </c>
      <c r="I21347" s="4" t="str">
        <v/>
      </c>
    </row>
    <row r="21348" spans="5:9" ht="16.5" hidden="1">
      <c r="E21348" s="4" t="str">
        <v/>
      </c>
      <c r="F21348" s="102" t="str">
        <f ca="1">IFERROR(__xludf.DUMMYFUNCTION("IMPORTRANGE(H21348,""IDENTITAS UNIT!D9"")"),"#N/A")</f>
        <v>#N/A</v>
      </c>
      <c r="H21348" s="4" t="str">
        <v/>
      </c>
      <c r="I21348" s="4" t="str">
        <v/>
      </c>
    </row>
    <row r="21349" spans="5:9" ht="16.5" hidden="1">
      <c r="E21349" s="4" t="str">
        <v/>
      </c>
      <c r="F21349" s="102" t="str">
        <f ca="1">IFERROR(__xludf.DUMMYFUNCTION("IMPORTRANGE(H21349,""IDENTITAS UNIT!D9"")"),"#N/A")</f>
        <v>#N/A</v>
      </c>
      <c r="H21349" s="4" t="str">
        <v/>
      </c>
      <c r="I21349" s="4" t="str">
        <v/>
      </c>
    </row>
    <row r="21350" spans="5:9" ht="16.5" hidden="1">
      <c r="E21350" s="4" t="str">
        <v/>
      </c>
      <c r="F21350" s="102" t="str">
        <f ca="1">IFERROR(__xludf.DUMMYFUNCTION("IMPORTRANGE(H21350,""IDENTITAS UNIT!D9"")"),"#N/A")</f>
        <v>#N/A</v>
      </c>
      <c r="H21350" s="4" t="str">
        <v/>
      </c>
      <c r="I21350" s="4" t="str">
        <v/>
      </c>
    </row>
    <row r="21351" spans="5:9" ht="16.5" hidden="1">
      <c r="E21351" s="4" t="str">
        <v/>
      </c>
      <c r="F21351" s="102" t="str">
        <f ca="1">IFERROR(__xludf.DUMMYFUNCTION("IMPORTRANGE(H21351,""IDENTITAS UNIT!D9"")"),"#N/A")</f>
        <v>#N/A</v>
      </c>
      <c r="H21351" s="4" t="str">
        <v/>
      </c>
      <c r="I21351" s="4" t="str">
        <v/>
      </c>
    </row>
    <row r="21352" spans="5:9" ht="16.5" hidden="1">
      <c r="E21352" s="4" t="str">
        <v/>
      </c>
      <c r="F21352" s="102" t="str">
        <f ca="1">IFERROR(__xludf.DUMMYFUNCTION("IMPORTRANGE(H21352,""IDENTITAS UNIT!D9"")"),"#N/A")</f>
        <v>#N/A</v>
      </c>
      <c r="H21352" s="4" t="str">
        <v/>
      </c>
      <c r="I21352" s="4" t="str">
        <v/>
      </c>
    </row>
    <row r="21353" spans="5:9" ht="16.5" hidden="1">
      <c r="E21353" s="4" t="str">
        <v/>
      </c>
      <c r="F21353" s="102" t="str">
        <f ca="1">IFERROR(__xludf.DUMMYFUNCTION("IMPORTRANGE(H21353,""IDENTITAS UNIT!D9"")"),"#N/A")</f>
        <v>#N/A</v>
      </c>
      <c r="H21353" s="4" t="str">
        <v/>
      </c>
      <c r="I21353" s="4" t="str">
        <v/>
      </c>
    </row>
    <row r="21354" spans="5:9" ht="16.5" hidden="1">
      <c r="E21354" s="4" t="str">
        <v/>
      </c>
      <c r="F21354" s="102" t="str">
        <f ca="1">IFERROR(__xludf.DUMMYFUNCTION("IMPORTRANGE(H21354,""IDENTITAS UNIT!D9"")"),"#N/A")</f>
        <v>#N/A</v>
      </c>
      <c r="H21354" s="4" t="str">
        <v/>
      </c>
      <c r="I21354" s="4" t="str">
        <v/>
      </c>
    </row>
    <row r="21355" spans="5:9" ht="16.5" hidden="1">
      <c r="E21355" s="4" t="str">
        <v/>
      </c>
      <c r="F21355" s="102" t="str">
        <f ca="1">IFERROR(__xludf.DUMMYFUNCTION("IMPORTRANGE(H21355,""IDENTITAS UNIT!D9"")"),"#N/A")</f>
        <v>#N/A</v>
      </c>
      <c r="H21355" s="4" t="str">
        <v/>
      </c>
      <c r="I21355" s="4" t="str">
        <v/>
      </c>
    </row>
    <row r="21356" spans="5:9" ht="16.5" hidden="1">
      <c r="E21356" s="4" t="str">
        <v/>
      </c>
      <c r="F21356" s="102" t="str">
        <f ca="1">IFERROR(__xludf.DUMMYFUNCTION("IMPORTRANGE(H21356,""IDENTITAS UNIT!D9"")"),"#N/A")</f>
        <v>#N/A</v>
      </c>
      <c r="H21356" s="4" t="str">
        <v/>
      </c>
      <c r="I21356" s="4" t="str">
        <v/>
      </c>
    </row>
    <row r="21357" spans="5:9" ht="16.5" hidden="1">
      <c r="E21357" s="4" t="str">
        <v/>
      </c>
      <c r="F21357" s="102" t="str">
        <f ca="1">IFERROR(__xludf.DUMMYFUNCTION("IMPORTRANGE(H21357,""IDENTITAS UNIT!D9"")"),"#N/A")</f>
        <v>#N/A</v>
      </c>
      <c r="H21357" s="4" t="str">
        <v/>
      </c>
      <c r="I21357" s="4" t="str">
        <v/>
      </c>
    </row>
    <row r="21358" spans="5:9" ht="16.5" hidden="1">
      <c r="E21358" s="4" t="str">
        <v/>
      </c>
      <c r="F21358" s="102" t="str">
        <f ca="1">IFERROR(__xludf.DUMMYFUNCTION("IMPORTRANGE(H21358,""IDENTITAS UNIT!D9"")"),"#N/A")</f>
        <v>#N/A</v>
      </c>
      <c r="H21358" s="4" t="str">
        <v/>
      </c>
      <c r="I21358" s="4" t="str">
        <v/>
      </c>
    </row>
    <row r="21359" spans="5:9" ht="16.5" hidden="1">
      <c r="E21359" s="4" t="str">
        <v/>
      </c>
      <c r="F21359" s="102" t="str">
        <f ca="1">IFERROR(__xludf.DUMMYFUNCTION("IMPORTRANGE(H21359,""IDENTITAS UNIT!D9"")"),"#N/A")</f>
        <v>#N/A</v>
      </c>
      <c r="H21359" s="4" t="str">
        <v/>
      </c>
      <c r="I21359" s="4" t="str">
        <v/>
      </c>
    </row>
    <row r="21360" spans="5:9" ht="16.5" hidden="1">
      <c r="E21360" s="4" t="str">
        <v/>
      </c>
      <c r="F21360" s="102" t="str">
        <f ca="1">IFERROR(__xludf.DUMMYFUNCTION("IMPORTRANGE(H21360,""IDENTITAS UNIT!D9"")"),"#N/A")</f>
        <v>#N/A</v>
      </c>
      <c r="H21360" s="4" t="str">
        <v/>
      </c>
      <c r="I21360" s="4" t="str">
        <v/>
      </c>
    </row>
    <row r="21361" spans="5:9" ht="16.5" hidden="1">
      <c r="E21361" s="4" t="str">
        <v/>
      </c>
      <c r="F21361" s="102" t="str">
        <f ca="1">IFERROR(__xludf.DUMMYFUNCTION("IMPORTRANGE(H21361,""IDENTITAS UNIT!D9"")"),"#N/A")</f>
        <v>#N/A</v>
      </c>
      <c r="H21361" s="4" t="str">
        <v/>
      </c>
      <c r="I21361" s="4" t="str">
        <v/>
      </c>
    </row>
    <row r="21362" spans="5:9" ht="16.5" hidden="1">
      <c r="E21362" s="4" t="str">
        <v/>
      </c>
      <c r="F21362" s="102" t="str">
        <f ca="1">IFERROR(__xludf.DUMMYFUNCTION("IMPORTRANGE(H21362,""IDENTITAS UNIT!D9"")"),"#N/A")</f>
        <v>#N/A</v>
      </c>
      <c r="H21362" s="4" t="str">
        <v/>
      </c>
      <c r="I21362" s="4" t="str">
        <v/>
      </c>
    </row>
    <row r="21363" spans="5:9" ht="16.5" hidden="1">
      <c r="E21363" s="4" t="str">
        <v/>
      </c>
      <c r="F21363" s="102" t="str">
        <f ca="1">IFERROR(__xludf.DUMMYFUNCTION("IMPORTRANGE(H21363,""IDENTITAS UNIT!D9"")"),"#N/A")</f>
        <v>#N/A</v>
      </c>
      <c r="H21363" s="4" t="str">
        <v/>
      </c>
      <c r="I21363" s="4" t="str">
        <v/>
      </c>
    </row>
    <row r="21364" spans="5:9" ht="16.5" hidden="1">
      <c r="E21364" s="4" t="str">
        <v/>
      </c>
      <c r="F21364" s="102" t="str">
        <f ca="1">IFERROR(__xludf.DUMMYFUNCTION("IMPORTRANGE(H21364,""IDENTITAS UNIT!D9"")"),"#N/A")</f>
        <v>#N/A</v>
      </c>
      <c r="H21364" s="4" t="str">
        <v/>
      </c>
      <c r="I21364" s="4" t="str">
        <v/>
      </c>
    </row>
    <row r="21365" spans="5:9" ht="16.5" hidden="1">
      <c r="E21365" s="4" t="str">
        <v/>
      </c>
      <c r="F21365" s="102" t="str">
        <f ca="1">IFERROR(__xludf.DUMMYFUNCTION("IMPORTRANGE(H21365,""IDENTITAS UNIT!D9"")"),"#N/A")</f>
        <v>#N/A</v>
      </c>
      <c r="H21365" s="4" t="str">
        <v/>
      </c>
      <c r="I21365" s="4" t="str">
        <v/>
      </c>
    </row>
    <row r="21366" spans="5:9" ht="16.5" hidden="1">
      <c r="E21366" s="4" t="str">
        <v/>
      </c>
      <c r="F21366" s="102" t="str">
        <f ca="1">IFERROR(__xludf.DUMMYFUNCTION("IMPORTRANGE(H21366,""IDENTITAS UNIT!D9"")"),"#N/A")</f>
        <v>#N/A</v>
      </c>
      <c r="H21366" s="4" t="str">
        <v/>
      </c>
      <c r="I21366" s="4" t="str">
        <v/>
      </c>
    </row>
    <row r="21367" spans="5:9" ht="16.5" hidden="1">
      <c r="E21367" s="4" t="str">
        <v/>
      </c>
      <c r="F21367" s="102" t="str">
        <f ca="1">IFERROR(__xludf.DUMMYFUNCTION("IMPORTRANGE(H21367,""IDENTITAS UNIT!D9"")"),"#N/A")</f>
        <v>#N/A</v>
      </c>
      <c r="H21367" s="4" t="str">
        <v/>
      </c>
      <c r="I21367" s="4" t="str">
        <v/>
      </c>
    </row>
    <row r="21368" spans="5:9" ht="16.5" hidden="1">
      <c r="E21368" s="4" t="str">
        <v/>
      </c>
      <c r="F21368" s="102" t="str">
        <f ca="1">IFERROR(__xludf.DUMMYFUNCTION("IMPORTRANGE(H21368,""IDENTITAS UNIT!D9"")"),"#N/A")</f>
        <v>#N/A</v>
      </c>
      <c r="H21368" s="4" t="str">
        <v/>
      </c>
      <c r="I21368" s="4" t="str">
        <v/>
      </c>
    </row>
    <row r="21369" spans="5:9" ht="16.5" hidden="1">
      <c r="E21369" s="4" t="str">
        <v/>
      </c>
      <c r="F21369" s="102" t="str">
        <f ca="1">IFERROR(__xludf.DUMMYFUNCTION("IMPORTRANGE(H21369,""IDENTITAS UNIT!D9"")"),"#N/A")</f>
        <v>#N/A</v>
      </c>
      <c r="H21369" s="4" t="str">
        <v/>
      </c>
      <c r="I21369" s="4" t="str">
        <v/>
      </c>
    </row>
    <row r="21370" spans="5:9" ht="16.5" hidden="1">
      <c r="E21370" s="4" t="str">
        <v/>
      </c>
      <c r="F21370" s="102" t="str">
        <f ca="1">IFERROR(__xludf.DUMMYFUNCTION("IMPORTRANGE(H21370,""IDENTITAS UNIT!D9"")"),"#N/A")</f>
        <v>#N/A</v>
      </c>
      <c r="H21370" s="4" t="str">
        <v/>
      </c>
      <c r="I21370" s="4" t="str">
        <v/>
      </c>
    </row>
    <row r="21371" spans="5:9" ht="16.5" hidden="1">
      <c r="E21371" s="4" t="str">
        <v/>
      </c>
      <c r="F21371" s="102" t="str">
        <f ca="1">IFERROR(__xludf.DUMMYFUNCTION("IMPORTRANGE(H21371,""IDENTITAS UNIT!D9"")"),"#N/A")</f>
        <v>#N/A</v>
      </c>
      <c r="H21371" s="4" t="str">
        <v/>
      </c>
      <c r="I21371" s="4" t="str">
        <v/>
      </c>
    </row>
    <row r="21372" spans="5:9" ht="16.5" hidden="1">
      <c r="E21372" s="4" t="str">
        <v/>
      </c>
      <c r="F21372" s="102" t="str">
        <f ca="1">IFERROR(__xludf.DUMMYFUNCTION("IMPORTRANGE(H21372,""IDENTITAS UNIT!D9"")"),"#N/A")</f>
        <v>#N/A</v>
      </c>
      <c r="H21372" s="4" t="str">
        <v/>
      </c>
      <c r="I21372" s="4" t="str">
        <v/>
      </c>
    </row>
    <row r="21373" spans="5:9" ht="16.5" hidden="1">
      <c r="E21373" s="4" t="str">
        <v/>
      </c>
      <c r="F21373" s="102" t="str">
        <f ca="1">IFERROR(__xludf.DUMMYFUNCTION("IMPORTRANGE(H21373,""IDENTITAS UNIT!D9"")"),"#N/A")</f>
        <v>#N/A</v>
      </c>
      <c r="H21373" s="4" t="str">
        <v/>
      </c>
      <c r="I21373" s="4" t="str">
        <v/>
      </c>
    </row>
    <row r="21374" spans="5:9" ht="16.5" hidden="1">
      <c r="E21374" s="4" t="str">
        <v/>
      </c>
      <c r="F21374" s="102" t="str">
        <f ca="1">IFERROR(__xludf.DUMMYFUNCTION("IMPORTRANGE(H21374,""IDENTITAS UNIT!D9"")"),"#N/A")</f>
        <v>#N/A</v>
      </c>
      <c r="H21374" s="4" t="str">
        <v/>
      </c>
      <c r="I21374" s="4" t="str">
        <v/>
      </c>
    </row>
    <row r="21375" spans="5:9" ht="16.5" hidden="1">
      <c r="E21375" s="4" t="str">
        <v/>
      </c>
      <c r="F21375" s="102" t="str">
        <f ca="1">IFERROR(__xludf.DUMMYFUNCTION("IMPORTRANGE(H21375,""IDENTITAS UNIT!D9"")"),"#N/A")</f>
        <v>#N/A</v>
      </c>
      <c r="H21375" s="4" t="str">
        <v/>
      </c>
      <c r="I21375" s="4" t="str">
        <v/>
      </c>
    </row>
    <row r="21376" spans="5:9" ht="16.5" hidden="1">
      <c r="E21376" s="4" t="str">
        <v/>
      </c>
      <c r="F21376" s="102" t="str">
        <f ca="1">IFERROR(__xludf.DUMMYFUNCTION("IMPORTRANGE(H21376,""IDENTITAS UNIT!D9"")"),"#N/A")</f>
        <v>#N/A</v>
      </c>
      <c r="H21376" s="4" t="str">
        <v/>
      </c>
      <c r="I21376" s="4" t="str">
        <v/>
      </c>
    </row>
    <row r="21377" spans="5:9" ht="16.5" hidden="1">
      <c r="E21377" s="4" t="str">
        <v/>
      </c>
      <c r="F21377" s="102" t="str">
        <f ca="1">IFERROR(__xludf.DUMMYFUNCTION("IMPORTRANGE(H21377,""IDENTITAS UNIT!D9"")"),"#N/A")</f>
        <v>#N/A</v>
      </c>
      <c r="H21377" s="4" t="str">
        <v/>
      </c>
      <c r="I21377" s="4" t="str">
        <v/>
      </c>
    </row>
    <row r="21378" spans="5:9" ht="16.5" hidden="1">
      <c r="E21378" s="4" t="str">
        <v/>
      </c>
      <c r="F21378" s="102" t="str">
        <f ca="1">IFERROR(__xludf.DUMMYFUNCTION("IMPORTRANGE(H21378,""IDENTITAS UNIT!D9"")"),"#N/A")</f>
        <v>#N/A</v>
      </c>
      <c r="H21378" s="4" t="str">
        <v/>
      </c>
      <c r="I21378" s="4" t="str">
        <v/>
      </c>
    </row>
    <row r="21379" spans="5:9" ht="16.5" hidden="1">
      <c r="E21379" s="4" t="str">
        <v/>
      </c>
      <c r="F21379" s="102" t="str">
        <f ca="1">IFERROR(__xludf.DUMMYFUNCTION("IMPORTRANGE(H21379,""IDENTITAS UNIT!D9"")"),"#N/A")</f>
        <v>#N/A</v>
      </c>
      <c r="H21379" s="4" t="str">
        <v/>
      </c>
      <c r="I21379" s="4" t="str">
        <v/>
      </c>
    </row>
    <row r="21380" spans="5:9" ht="16.5" hidden="1">
      <c r="E21380" s="4" t="str">
        <v/>
      </c>
      <c r="F21380" s="102" t="str">
        <f ca="1">IFERROR(__xludf.DUMMYFUNCTION("IMPORTRANGE(H21380,""IDENTITAS UNIT!D9"")"),"#N/A")</f>
        <v>#N/A</v>
      </c>
      <c r="H21380" s="4" t="str">
        <v/>
      </c>
      <c r="I21380" s="4" t="str">
        <v/>
      </c>
    </row>
    <row r="21381" spans="5:9" ht="16.5" hidden="1">
      <c r="E21381" s="4" t="str">
        <v/>
      </c>
      <c r="F21381" s="102" t="str">
        <f ca="1">IFERROR(__xludf.DUMMYFUNCTION("IMPORTRANGE(H21381,""IDENTITAS UNIT!D9"")"),"#N/A")</f>
        <v>#N/A</v>
      </c>
      <c r="H21381" s="4" t="str">
        <v/>
      </c>
      <c r="I21381" s="4" t="str">
        <v/>
      </c>
    </row>
    <row r="21382" spans="5:9" ht="16.5" hidden="1">
      <c r="E21382" s="4" t="str">
        <v/>
      </c>
      <c r="F21382" s="102" t="str">
        <f ca="1">IFERROR(__xludf.DUMMYFUNCTION("IMPORTRANGE(H21382,""IDENTITAS UNIT!D9"")"),"#N/A")</f>
        <v>#N/A</v>
      </c>
      <c r="H21382" s="4" t="str">
        <v/>
      </c>
      <c r="I21382" s="4" t="str">
        <v/>
      </c>
    </row>
    <row r="21383" spans="5:9" ht="16.5" hidden="1">
      <c r="E21383" s="4" t="str">
        <v/>
      </c>
      <c r="F21383" s="102" t="str">
        <f ca="1">IFERROR(__xludf.DUMMYFUNCTION("IMPORTRANGE(H21383,""IDENTITAS UNIT!D9"")"),"#N/A")</f>
        <v>#N/A</v>
      </c>
      <c r="H21383" s="4" t="str">
        <v/>
      </c>
      <c r="I21383" s="4" t="str">
        <v/>
      </c>
    </row>
    <row r="21384" spans="5:9" ht="16.5" hidden="1">
      <c r="E21384" s="4" t="str">
        <v/>
      </c>
      <c r="F21384" s="102" t="str">
        <f ca="1">IFERROR(__xludf.DUMMYFUNCTION("IMPORTRANGE(H21384,""IDENTITAS UNIT!D9"")"),"#N/A")</f>
        <v>#N/A</v>
      </c>
      <c r="H21384" s="4" t="str">
        <v/>
      </c>
      <c r="I21384" s="4" t="str">
        <v/>
      </c>
    </row>
    <row r="21385" spans="5:9" ht="16.5" hidden="1">
      <c r="E21385" s="4" t="str">
        <v/>
      </c>
      <c r="F21385" s="102" t="str">
        <f ca="1">IFERROR(__xludf.DUMMYFUNCTION("IMPORTRANGE(H21385,""IDENTITAS UNIT!D9"")"),"#N/A")</f>
        <v>#N/A</v>
      </c>
      <c r="H21385" s="4" t="str">
        <v/>
      </c>
      <c r="I21385" s="4" t="str">
        <v/>
      </c>
    </row>
    <row r="21386" spans="5:9" ht="16.5" hidden="1">
      <c r="E21386" s="4" t="str">
        <v/>
      </c>
      <c r="F21386" s="102" t="str">
        <f ca="1">IFERROR(__xludf.DUMMYFUNCTION("IMPORTRANGE(H21386,""IDENTITAS UNIT!D9"")"),"#N/A")</f>
        <v>#N/A</v>
      </c>
      <c r="H21386" s="4" t="str">
        <v/>
      </c>
      <c r="I21386" s="4" t="str">
        <v/>
      </c>
    </row>
    <row r="21387" spans="5:9" ht="16.5" hidden="1">
      <c r="E21387" s="4" t="str">
        <v/>
      </c>
      <c r="F21387" s="102" t="str">
        <f ca="1">IFERROR(__xludf.DUMMYFUNCTION("IMPORTRANGE(H21387,""IDENTITAS UNIT!D9"")"),"#N/A")</f>
        <v>#N/A</v>
      </c>
      <c r="H21387" s="4" t="str">
        <v/>
      </c>
      <c r="I21387" s="4" t="str">
        <v/>
      </c>
    </row>
    <row r="21388" spans="5:9" ht="16.5" hidden="1">
      <c r="E21388" s="4" t="str">
        <v/>
      </c>
      <c r="F21388" s="102" t="str">
        <f ca="1">IFERROR(__xludf.DUMMYFUNCTION("IMPORTRANGE(H21388,""IDENTITAS UNIT!D9"")"),"#N/A")</f>
        <v>#N/A</v>
      </c>
      <c r="H21388" s="4" t="str">
        <v/>
      </c>
      <c r="I21388" s="4" t="str">
        <v/>
      </c>
    </row>
    <row r="21389" spans="5:9" ht="16.5" hidden="1">
      <c r="E21389" s="4" t="str">
        <v/>
      </c>
      <c r="F21389" s="102" t="str">
        <f ca="1">IFERROR(__xludf.DUMMYFUNCTION("IMPORTRANGE(H21389,""IDENTITAS UNIT!D9"")"),"#N/A")</f>
        <v>#N/A</v>
      </c>
      <c r="H21389" s="4" t="str">
        <v/>
      </c>
      <c r="I21389" s="4" t="str">
        <v/>
      </c>
    </row>
    <row r="21390" spans="5:9" ht="16.5" hidden="1">
      <c r="E21390" s="4" t="str">
        <v/>
      </c>
      <c r="F21390" s="102" t="str">
        <f ca="1">IFERROR(__xludf.DUMMYFUNCTION("IMPORTRANGE(H21390,""IDENTITAS UNIT!D9"")"),"#N/A")</f>
        <v>#N/A</v>
      </c>
      <c r="H21390" s="4" t="str">
        <v/>
      </c>
      <c r="I21390" s="4" t="str">
        <v/>
      </c>
    </row>
    <row r="21391" spans="5:9" ht="16.5" hidden="1">
      <c r="E21391" s="4" t="str">
        <v/>
      </c>
      <c r="F21391" s="102" t="str">
        <f ca="1">IFERROR(__xludf.DUMMYFUNCTION("IMPORTRANGE(H21391,""IDENTITAS UNIT!D9"")"),"#N/A")</f>
        <v>#N/A</v>
      </c>
      <c r="H21391" s="4" t="str">
        <v/>
      </c>
      <c r="I21391" s="4" t="str">
        <v/>
      </c>
    </row>
    <row r="21392" spans="5:9" ht="16.5" hidden="1">
      <c r="E21392" s="4" t="str">
        <v/>
      </c>
      <c r="F21392" s="102" t="str">
        <f ca="1">IFERROR(__xludf.DUMMYFUNCTION("IMPORTRANGE(H21392,""IDENTITAS UNIT!D9"")"),"#N/A")</f>
        <v>#N/A</v>
      </c>
      <c r="H21392" s="4" t="str">
        <v/>
      </c>
      <c r="I21392" s="4" t="str">
        <v/>
      </c>
    </row>
    <row r="21393" spans="5:9" ht="16.5" hidden="1">
      <c r="E21393" s="4" t="str">
        <v/>
      </c>
      <c r="F21393" s="102" t="str">
        <f ca="1">IFERROR(__xludf.DUMMYFUNCTION("IMPORTRANGE(H21393,""IDENTITAS UNIT!D9"")"),"#N/A")</f>
        <v>#N/A</v>
      </c>
      <c r="H21393" s="4" t="str">
        <v/>
      </c>
      <c r="I21393" s="4" t="str">
        <v/>
      </c>
    </row>
    <row r="21394" spans="5:9" ht="16.5" hidden="1">
      <c r="E21394" s="4" t="str">
        <v/>
      </c>
      <c r="F21394" s="102" t="str">
        <f ca="1">IFERROR(__xludf.DUMMYFUNCTION("IMPORTRANGE(H21394,""IDENTITAS UNIT!D9"")"),"#N/A")</f>
        <v>#N/A</v>
      </c>
      <c r="H21394" s="4" t="str">
        <v/>
      </c>
      <c r="I21394" s="4" t="str">
        <v/>
      </c>
    </row>
    <row r="21395" spans="5:9" ht="16.5" hidden="1">
      <c r="E21395" s="4" t="str">
        <v/>
      </c>
      <c r="F21395" s="102" t="str">
        <f ca="1">IFERROR(__xludf.DUMMYFUNCTION("IMPORTRANGE(H21395,""IDENTITAS UNIT!D9"")"),"#N/A")</f>
        <v>#N/A</v>
      </c>
      <c r="H21395" s="4" t="str">
        <v/>
      </c>
      <c r="I21395" s="4" t="str">
        <v/>
      </c>
    </row>
    <row r="21396" spans="5:9" ht="16.5" hidden="1">
      <c r="E21396" s="4" t="str">
        <v/>
      </c>
      <c r="F21396" s="102" t="str">
        <f ca="1">IFERROR(__xludf.DUMMYFUNCTION("IMPORTRANGE(H21396,""IDENTITAS UNIT!D9"")"),"#N/A")</f>
        <v>#N/A</v>
      </c>
      <c r="H21396" s="4" t="str">
        <v/>
      </c>
      <c r="I21396" s="4" t="str">
        <v/>
      </c>
    </row>
    <row r="21397" spans="5:9" ht="16.5" hidden="1">
      <c r="E21397" s="4" t="str">
        <v/>
      </c>
      <c r="F21397" s="102" t="str">
        <f ca="1">IFERROR(__xludf.DUMMYFUNCTION("IMPORTRANGE(H21397,""IDENTITAS UNIT!D9"")"),"#N/A")</f>
        <v>#N/A</v>
      </c>
      <c r="H21397" s="4" t="str">
        <v/>
      </c>
      <c r="I21397" s="4" t="str">
        <v/>
      </c>
    </row>
    <row r="21398" spans="5:9" ht="16.5" hidden="1">
      <c r="E21398" s="4" t="str">
        <v/>
      </c>
      <c r="F21398" s="102" t="str">
        <f ca="1">IFERROR(__xludf.DUMMYFUNCTION("IMPORTRANGE(H21398,""IDENTITAS UNIT!D9"")"),"#N/A")</f>
        <v>#N/A</v>
      </c>
      <c r="H21398" s="4" t="str">
        <v/>
      </c>
      <c r="I21398" s="4" t="str">
        <v/>
      </c>
    </row>
    <row r="21399" spans="5:9" ht="16.5" hidden="1">
      <c r="E21399" s="4" t="str">
        <v/>
      </c>
      <c r="F21399" s="102" t="str">
        <f ca="1">IFERROR(__xludf.DUMMYFUNCTION("IMPORTRANGE(H21399,""IDENTITAS UNIT!D9"")"),"#N/A")</f>
        <v>#N/A</v>
      </c>
      <c r="H21399" s="4" t="str">
        <v/>
      </c>
      <c r="I21399" s="4" t="str">
        <v/>
      </c>
    </row>
    <row r="21400" spans="5:9" ht="16.5" hidden="1">
      <c r="E21400" s="4" t="str">
        <v/>
      </c>
      <c r="F21400" s="102" t="str">
        <f ca="1">IFERROR(__xludf.DUMMYFUNCTION("IMPORTRANGE(H21400,""IDENTITAS UNIT!D9"")"),"#N/A")</f>
        <v>#N/A</v>
      </c>
      <c r="H21400" s="4" t="str">
        <v/>
      </c>
      <c r="I21400" s="4" t="str">
        <v/>
      </c>
    </row>
    <row r="21401" spans="5:9" ht="16.5" hidden="1">
      <c r="E21401" s="4" t="str">
        <v/>
      </c>
      <c r="F21401" s="102" t="str">
        <f ca="1">IFERROR(__xludf.DUMMYFUNCTION("IMPORTRANGE(H21401,""IDENTITAS UNIT!D9"")"),"#N/A")</f>
        <v>#N/A</v>
      </c>
      <c r="H21401" s="4" t="str">
        <v/>
      </c>
      <c r="I21401" s="4" t="str">
        <v/>
      </c>
    </row>
    <row r="21402" spans="5:9" ht="16.5" hidden="1">
      <c r="E21402" s="4" t="str">
        <v/>
      </c>
      <c r="F21402" s="102" t="str">
        <f ca="1">IFERROR(__xludf.DUMMYFUNCTION("IMPORTRANGE(H21402,""IDENTITAS UNIT!D9"")"),"#N/A")</f>
        <v>#N/A</v>
      </c>
      <c r="H21402" s="4" t="str">
        <v/>
      </c>
      <c r="I21402" s="4" t="str">
        <v/>
      </c>
    </row>
    <row r="21403" spans="5:9" ht="16.5" hidden="1">
      <c r="E21403" s="4" t="str">
        <v/>
      </c>
      <c r="F21403" s="102" t="str">
        <f ca="1">IFERROR(__xludf.DUMMYFUNCTION("IMPORTRANGE(H21403,""IDENTITAS UNIT!D9"")"),"#N/A")</f>
        <v>#N/A</v>
      </c>
      <c r="H21403" s="4" t="str">
        <v/>
      </c>
      <c r="I21403" s="4" t="str">
        <v/>
      </c>
    </row>
    <row r="21404" spans="5:9" ht="16.5" hidden="1">
      <c r="E21404" s="4" t="str">
        <v/>
      </c>
      <c r="F21404" s="102" t="str">
        <f ca="1">IFERROR(__xludf.DUMMYFUNCTION("IMPORTRANGE(H21404,""IDENTITAS UNIT!D9"")"),"#N/A")</f>
        <v>#N/A</v>
      </c>
      <c r="H21404" s="4" t="str">
        <v/>
      </c>
      <c r="I21404" s="4" t="str">
        <v/>
      </c>
    </row>
    <row r="21405" spans="5:9" ht="16.5" hidden="1">
      <c r="E21405" s="4" t="str">
        <v/>
      </c>
      <c r="F21405" s="102" t="str">
        <f ca="1">IFERROR(__xludf.DUMMYFUNCTION("IMPORTRANGE(H21405,""IDENTITAS UNIT!D9"")"),"#N/A")</f>
        <v>#N/A</v>
      </c>
      <c r="H21405" s="4" t="str">
        <v/>
      </c>
      <c r="I21405" s="4" t="str">
        <v/>
      </c>
    </row>
    <row r="21406" spans="5:9" ht="16.5" hidden="1">
      <c r="E21406" s="4" t="str">
        <v/>
      </c>
      <c r="F21406" s="102" t="str">
        <f ca="1">IFERROR(__xludf.DUMMYFUNCTION("IMPORTRANGE(H21406,""IDENTITAS UNIT!D9"")"),"#N/A")</f>
        <v>#N/A</v>
      </c>
      <c r="H21406" s="4" t="str">
        <v/>
      </c>
      <c r="I21406" s="4" t="str">
        <v/>
      </c>
    </row>
    <row r="21407" spans="5:9" ht="16.5" hidden="1">
      <c r="E21407" s="4" t="str">
        <v/>
      </c>
      <c r="F21407" s="102" t="str">
        <f ca="1">IFERROR(__xludf.DUMMYFUNCTION("IMPORTRANGE(H21407,""IDENTITAS UNIT!D9"")"),"#N/A")</f>
        <v>#N/A</v>
      </c>
      <c r="H21407" s="4" t="str">
        <v/>
      </c>
      <c r="I21407" s="4" t="str">
        <v/>
      </c>
    </row>
    <row r="21408" spans="5:9" ht="16.5" hidden="1">
      <c r="E21408" s="4" t="str">
        <v/>
      </c>
      <c r="F21408" s="102" t="str">
        <f ca="1">IFERROR(__xludf.DUMMYFUNCTION("IMPORTRANGE(H21408,""IDENTITAS UNIT!D9"")"),"#N/A")</f>
        <v>#N/A</v>
      </c>
      <c r="H21408" s="4" t="str">
        <v/>
      </c>
      <c r="I21408" s="4" t="str">
        <v/>
      </c>
    </row>
    <row r="21409" spans="5:9" ht="16.5" hidden="1">
      <c r="E21409" s="4" t="str">
        <v/>
      </c>
      <c r="F21409" s="102" t="str">
        <f ca="1">IFERROR(__xludf.DUMMYFUNCTION("IMPORTRANGE(H21409,""IDENTITAS UNIT!D9"")"),"#N/A")</f>
        <v>#N/A</v>
      </c>
      <c r="H21409" s="4" t="str">
        <v/>
      </c>
      <c r="I21409" s="4" t="str">
        <v/>
      </c>
    </row>
    <row r="21410" spans="5:9" ht="16.5" hidden="1">
      <c r="E21410" s="4" t="str">
        <v/>
      </c>
      <c r="F21410" s="102" t="str">
        <f ca="1">IFERROR(__xludf.DUMMYFUNCTION("IMPORTRANGE(H21410,""IDENTITAS UNIT!D9"")"),"#N/A")</f>
        <v>#N/A</v>
      </c>
      <c r="H21410" s="4" t="str">
        <v/>
      </c>
      <c r="I21410" s="4" t="str">
        <v/>
      </c>
    </row>
    <row r="21411" spans="5:9" ht="16.5" hidden="1">
      <c r="E21411" s="4" t="str">
        <v/>
      </c>
      <c r="F21411" s="102" t="str">
        <f ca="1">IFERROR(__xludf.DUMMYFUNCTION("IMPORTRANGE(H21411,""IDENTITAS UNIT!D9"")"),"#N/A")</f>
        <v>#N/A</v>
      </c>
      <c r="H21411" s="4" t="str">
        <v/>
      </c>
      <c r="I21411" s="4" t="str">
        <v/>
      </c>
    </row>
    <row r="21412" spans="5:9" ht="16.5" hidden="1">
      <c r="E21412" s="4" t="str">
        <v/>
      </c>
      <c r="F21412" s="102" t="str">
        <f ca="1">IFERROR(__xludf.DUMMYFUNCTION("IMPORTRANGE(H21412,""IDENTITAS UNIT!D9"")"),"#N/A")</f>
        <v>#N/A</v>
      </c>
      <c r="H21412" s="4" t="str">
        <v/>
      </c>
      <c r="I21412" s="4" t="str">
        <v/>
      </c>
    </row>
    <row r="21413" spans="5:9" ht="16.5" hidden="1">
      <c r="E21413" s="4" t="str">
        <v/>
      </c>
      <c r="F21413" s="102" t="str">
        <f ca="1">IFERROR(__xludf.DUMMYFUNCTION("IMPORTRANGE(H21413,""IDENTITAS UNIT!D9"")"),"#N/A")</f>
        <v>#N/A</v>
      </c>
      <c r="H21413" s="4" t="str">
        <v/>
      </c>
      <c r="I21413" s="4" t="str">
        <v/>
      </c>
    </row>
    <row r="21414" spans="5:9" ht="16.5" hidden="1">
      <c r="E21414" s="4" t="str">
        <v/>
      </c>
      <c r="F21414" s="102" t="str">
        <f ca="1">IFERROR(__xludf.DUMMYFUNCTION("IMPORTRANGE(H21414,""IDENTITAS UNIT!D9"")"),"#N/A")</f>
        <v>#N/A</v>
      </c>
      <c r="H21414" s="4" t="str">
        <v/>
      </c>
      <c r="I21414" s="4" t="str">
        <v/>
      </c>
    </row>
    <row r="21415" spans="5:9" ht="16.5" hidden="1">
      <c r="E21415" s="4" t="str">
        <v/>
      </c>
      <c r="F21415" s="102" t="str">
        <f ca="1">IFERROR(__xludf.DUMMYFUNCTION("IMPORTRANGE(H21415,""IDENTITAS UNIT!D9"")"),"#N/A")</f>
        <v>#N/A</v>
      </c>
      <c r="H21415" s="4" t="str">
        <v/>
      </c>
      <c r="I21415" s="4" t="str">
        <v/>
      </c>
    </row>
    <row r="21416" spans="5:9" ht="16.5" hidden="1">
      <c r="E21416" s="4" t="str">
        <v/>
      </c>
      <c r="F21416" s="102" t="str">
        <f ca="1">IFERROR(__xludf.DUMMYFUNCTION("IMPORTRANGE(H21416,""IDENTITAS UNIT!D9"")"),"#N/A")</f>
        <v>#N/A</v>
      </c>
      <c r="H21416" s="4" t="str">
        <v/>
      </c>
      <c r="I21416" s="4" t="str">
        <v/>
      </c>
    </row>
    <row r="21417" spans="5:9" ht="16.5" hidden="1">
      <c r="E21417" s="4" t="str">
        <v/>
      </c>
      <c r="F21417" s="102" t="str">
        <f ca="1">IFERROR(__xludf.DUMMYFUNCTION("IMPORTRANGE(H21417,""IDENTITAS UNIT!D9"")"),"#N/A")</f>
        <v>#N/A</v>
      </c>
      <c r="H21417" s="4" t="str">
        <v/>
      </c>
      <c r="I21417" s="4" t="str">
        <v/>
      </c>
    </row>
    <row r="21418" spans="5:9" ht="16.5" hidden="1">
      <c r="E21418" s="4" t="str">
        <v/>
      </c>
      <c r="F21418" s="102" t="str">
        <f ca="1">IFERROR(__xludf.DUMMYFUNCTION("IMPORTRANGE(H21418,""IDENTITAS UNIT!D9"")"),"#N/A")</f>
        <v>#N/A</v>
      </c>
      <c r="H21418" s="4" t="str">
        <v/>
      </c>
      <c r="I21418" s="4" t="str">
        <v/>
      </c>
    </row>
    <row r="21419" spans="5:9" ht="16.5" hidden="1">
      <c r="E21419" s="4" t="str">
        <v/>
      </c>
      <c r="F21419" s="102" t="str">
        <f ca="1">IFERROR(__xludf.DUMMYFUNCTION("IMPORTRANGE(H21419,""IDENTITAS UNIT!D9"")"),"#N/A")</f>
        <v>#N/A</v>
      </c>
      <c r="H21419" s="4" t="str">
        <v/>
      </c>
      <c r="I21419" s="4" t="str">
        <v/>
      </c>
    </row>
    <row r="21420" spans="5:9" ht="16.5" hidden="1">
      <c r="E21420" s="4" t="str">
        <v/>
      </c>
      <c r="F21420" s="102" t="str">
        <f ca="1">IFERROR(__xludf.DUMMYFUNCTION("IMPORTRANGE(H21420,""IDENTITAS UNIT!D9"")"),"#N/A")</f>
        <v>#N/A</v>
      </c>
      <c r="H21420" s="4" t="str">
        <v/>
      </c>
      <c r="I21420" s="4" t="str">
        <v/>
      </c>
    </row>
    <row r="21421" spans="5:9" ht="16.5" hidden="1">
      <c r="E21421" s="4" t="str">
        <v/>
      </c>
      <c r="F21421" s="102" t="str">
        <f ca="1">IFERROR(__xludf.DUMMYFUNCTION("IMPORTRANGE(H21421,""IDENTITAS UNIT!D9"")"),"#N/A")</f>
        <v>#N/A</v>
      </c>
      <c r="H21421" s="4" t="str">
        <v/>
      </c>
      <c r="I21421" s="4" t="str">
        <v/>
      </c>
    </row>
    <row r="21422" spans="5:9" ht="16.5" hidden="1">
      <c r="E21422" s="4" t="str">
        <v/>
      </c>
      <c r="F21422" s="102" t="str">
        <f ca="1">IFERROR(__xludf.DUMMYFUNCTION("IMPORTRANGE(H21422,""IDENTITAS UNIT!D9"")"),"#N/A")</f>
        <v>#N/A</v>
      </c>
      <c r="H21422" s="4" t="str">
        <v/>
      </c>
      <c r="I21422" s="4" t="str">
        <v/>
      </c>
    </row>
    <row r="21423" spans="5:9" ht="16.5" hidden="1">
      <c r="E21423" s="4" t="str">
        <v/>
      </c>
      <c r="F21423" s="102" t="str">
        <f ca="1">IFERROR(__xludf.DUMMYFUNCTION("IMPORTRANGE(H21423,""IDENTITAS UNIT!D9"")"),"#N/A")</f>
        <v>#N/A</v>
      </c>
      <c r="H21423" s="4" t="str">
        <v/>
      </c>
      <c r="I21423" s="4" t="str">
        <v/>
      </c>
    </row>
    <row r="21424" spans="5:9" ht="16.5" hidden="1">
      <c r="E21424" s="4" t="str">
        <v/>
      </c>
      <c r="F21424" s="102" t="str">
        <f ca="1">IFERROR(__xludf.DUMMYFUNCTION("IMPORTRANGE(H21424,""IDENTITAS UNIT!D9"")"),"#N/A")</f>
        <v>#N/A</v>
      </c>
      <c r="H21424" s="4" t="str">
        <v/>
      </c>
      <c r="I21424" s="4" t="str">
        <v/>
      </c>
    </row>
    <row r="21425" spans="5:9" ht="16.5" hidden="1">
      <c r="E21425" s="4" t="str">
        <v/>
      </c>
      <c r="F21425" s="102" t="str">
        <f ca="1">IFERROR(__xludf.DUMMYFUNCTION("IMPORTRANGE(H21425,""IDENTITAS UNIT!D9"")"),"#N/A")</f>
        <v>#N/A</v>
      </c>
      <c r="H21425" s="4" t="str">
        <v/>
      </c>
      <c r="I21425" s="4" t="str">
        <v/>
      </c>
    </row>
    <row r="21426" spans="5:9" ht="16.5" hidden="1">
      <c r="E21426" s="4" t="str">
        <v/>
      </c>
      <c r="F21426" s="102" t="str">
        <f ca="1">IFERROR(__xludf.DUMMYFUNCTION("IMPORTRANGE(H21426,""IDENTITAS UNIT!D9"")"),"#N/A")</f>
        <v>#N/A</v>
      </c>
      <c r="H21426" s="4" t="str">
        <v/>
      </c>
      <c r="I21426" s="4" t="str">
        <v/>
      </c>
    </row>
    <row r="21427" spans="5:9" ht="16.5" hidden="1">
      <c r="E21427" s="4" t="str">
        <v/>
      </c>
      <c r="F21427" s="102" t="str">
        <f ca="1">IFERROR(__xludf.DUMMYFUNCTION("IMPORTRANGE(H21427,""IDENTITAS UNIT!D9"")"),"#N/A")</f>
        <v>#N/A</v>
      </c>
      <c r="H21427" s="4" t="str">
        <v/>
      </c>
      <c r="I21427" s="4" t="str">
        <v/>
      </c>
    </row>
    <row r="21428" spans="5:9" ht="16.5" hidden="1">
      <c r="E21428" s="4" t="str">
        <v/>
      </c>
      <c r="F21428" s="102" t="str">
        <f ca="1">IFERROR(__xludf.DUMMYFUNCTION("IMPORTRANGE(H21428,""IDENTITAS UNIT!D9"")"),"#N/A")</f>
        <v>#N/A</v>
      </c>
      <c r="H21428" s="4" t="str">
        <v/>
      </c>
      <c r="I21428" s="4" t="str">
        <v/>
      </c>
    </row>
    <row r="21429" spans="5:9" ht="16.5" hidden="1">
      <c r="E21429" s="4" t="str">
        <v/>
      </c>
      <c r="F21429" s="102" t="str">
        <f ca="1">IFERROR(__xludf.DUMMYFUNCTION("IMPORTRANGE(H21429,""IDENTITAS UNIT!D9"")"),"#N/A")</f>
        <v>#N/A</v>
      </c>
      <c r="H21429" s="4" t="str">
        <v/>
      </c>
      <c r="I21429" s="4" t="str">
        <v/>
      </c>
    </row>
    <row r="21430" spans="5:9" ht="16.5" hidden="1">
      <c r="E21430" s="4" t="str">
        <v/>
      </c>
      <c r="F21430" s="102" t="str">
        <f ca="1">IFERROR(__xludf.DUMMYFUNCTION("IMPORTRANGE(H21430,""IDENTITAS UNIT!D9"")"),"#N/A")</f>
        <v>#N/A</v>
      </c>
      <c r="H21430" s="4" t="str">
        <v/>
      </c>
      <c r="I21430" s="4" t="str">
        <v/>
      </c>
    </row>
    <row r="21431" spans="5:9" ht="16.5" hidden="1">
      <c r="E21431" s="4" t="str">
        <v/>
      </c>
      <c r="F21431" s="102" t="str">
        <f ca="1">IFERROR(__xludf.DUMMYFUNCTION("IMPORTRANGE(H21431,""IDENTITAS UNIT!D9"")"),"#N/A")</f>
        <v>#N/A</v>
      </c>
      <c r="H21431" s="4" t="str">
        <v/>
      </c>
      <c r="I21431" s="4" t="str">
        <v/>
      </c>
    </row>
    <row r="21432" spans="5:9" ht="16.5" hidden="1">
      <c r="E21432" s="4" t="str">
        <v/>
      </c>
      <c r="F21432" s="102" t="str">
        <f ca="1">IFERROR(__xludf.DUMMYFUNCTION("IMPORTRANGE(H21432,""IDENTITAS UNIT!D9"")"),"#N/A")</f>
        <v>#N/A</v>
      </c>
      <c r="H21432" s="4" t="str">
        <v/>
      </c>
      <c r="I21432" s="4" t="str">
        <v/>
      </c>
    </row>
    <row r="21433" spans="5:9" ht="16.5" hidden="1">
      <c r="E21433" s="4" t="str">
        <v/>
      </c>
      <c r="F21433" s="102" t="str">
        <f ca="1">IFERROR(__xludf.DUMMYFUNCTION("IMPORTRANGE(H21433,""IDENTITAS UNIT!D9"")"),"#N/A")</f>
        <v>#N/A</v>
      </c>
      <c r="H21433" s="4" t="str">
        <v/>
      </c>
      <c r="I21433" s="4" t="str">
        <v/>
      </c>
    </row>
    <row r="21434" spans="5:9" ht="16.5" hidden="1">
      <c r="E21434" s="4" t="str">
        <v/>
      </c>
      <c r="F21434" s="102" t="str">
        <f ca="1">IFERROR(__xludf.DUMMYFUNCTION("IMPORTRANGE(H21434,""IDENTITAS UNIT!D9"")"),"#N/A")</f>
        <v>#N/A</v>
      </c>
      <c r="H21434" s="4" t="str">
        <v/>
      </c>
      <c r="I21434" s="4" t="str">
        <v/>
      </c>
    </row>
    <row r="21435" spans="5:9" ht="16.5" hidden="1">
      <c r="E21435" s="4" t="str">
        <v/>
      </c>
      <c r="F21435" s="102" t="str">
        <f ca="1">IFERROR(__xludf.DUMMYFUNCTION("IMPORTRANGE(H21435,""IDENTITAS UNIT!D9"")"),"#N/A")</f>
        <v>#N/A</v>
      </c>
      <c r="H21435" s="4" t="str">
        <v/>
      </c>
      <c r="I21435" s="4" t="str">
        <v/>
      </c>
    </row>
    <row r="21436" spans="5:9" ht="16.5" hidden="1">
      <c r="E21436" s="4" t="str">
        <v/>
      </c>
      <c r="F21436" s="102" t="str">
        <f ca="1">IFERROR(__xludf.DUMMYFUNCTION("IMPORTRANGE(H21436,""IDENTITAS UNIT!D9"")"),"#N/A")</f>
        <v>#N/A</v>
      </c>
      <c r="H21436" s="4" t="str">
        <v/>
      </c>
      <c r="I21436" s="4" t="str">
        <v/>
      </c>
    </row>
    <row r="21437" spans="5:9" ht="16.5" hidden="1">
      <c r="E21437" s="4" t="str">
        <v/>
      </c>
      <c r="F21437" s="102" t="str">
        <f ca="1">IFERROR(__xludf.DUMMYFUNCTION("IMPORTRANGE(H21437,""IDENTITAS UNIT!D9"")"),"#N/A")</f>
        <v>#N/A</v>
      </c>
      <c r="H21437" s="4" t="str">
        <v/>
      </c>
      <c r="I21437" s="4" t="str">
        <v/>
      </c>
    </row>
    <row r="21438" spans="5:9" ht="16.5" hidden="1">
      <c r="E21438" s="4" t="str">
        <v/>
      </c>
      <c r="F21438" s="102" t="str">
        <f ca="1">IFERROR(__xludf.DUMMYFUNCTION("IMPORTRANGE(H21438,""IDENTITAS UNIT!D9"")"),"#N/A")</f>
        <v>#N/A</v>
      </c>
      <c r="H21438" s="4" t="str">
        <v/>
      </c>
      <c r="I21438" s="4" t="str">
        <v/>
      </c>
    </row>
    <row r="21439" spans="5:9" ht="16.5" hidden="1">
      <c r="E21439" s="4" t="str">
        <v/>
      </c>
      <c r="F21439" s="102" t="str">
        <f ca="1">IFERROR(__xludf.DUMMYFUNCTION("IMPORTRANGE(H21439,""IDENTITAS UNIT!D9"")"),"#N/A")</f>
        <v>#N/A</v>
      </c>
      <c r="H21439" s="4" t="str">
        <v/>
      </c>
      <c r="I21439" s="4" t="str">
        <v/>
      </c>
    </row>
    <row r="21440" spans="5:9" ht="16.5" hidden="1">
      <c r="E21440" s="4" t="str">
        <v/>
      </c>
      <c r="F21440" s="102" t="str">
        <f ca="1">IFERROR(__xludf.DUMMYFUNCTION("IMPORTRANGE(H21440,""IDENTITAS UNIT!D9"")"),"#N/A")</f>
        <v>#N/A</v>
      </c>
      <c r="H21440" s="4" t="str">
        <v/>
      </c>
      <c r="I21440" s="4" t="str">
        <v/>
      </c>
    </row>
    <row r="21441" spans="5:9" ht="16.5" hidden="1">
      <c r="E21441" s="4" t="str">
        <v/>
      </c>
      <c r="F21441" s="102" t="str">
        <f ca="1">IFERROR(__xludf.DUMMYFUNCTION("IMPORTRANGE(H21441,""IDENTITAS UNIT!D9"")"),"#N/A")</f>
        <v>#N/A</v>
      </c>
      <c r="H21441" s="4" t="str">
        <v/>
      </c>
      <c r="I21441" s="4" t="str">
        <v/>
      </c>
    </row>
    <row r="21442" spans="5:9" ht="16.5" hidden="1">
      <c r="E21442" s="4" t="str">
        <v/>
      </c>
      <c r="F21442" s="102" t="str">
        <f ca="1">IFERROR(__xludf.DUMMYFUNCTION("IMPORTRANGE(H21442,""IDENTITAS UNIT!D9"")"),"#N/A")</f>
        <v>#N/A</v>
      </c>
      <c r="H21442" s="4" t="str">
        <v/>
      </c>
      <c r="I21442" s="4" t="str">
        <v/>
      </c>
    </row>
    <row r="21443" spans="5:9" ht="16.5" hidden="1">
      <c r="E21443" s="4" t="str">
        <v/>
      </c>
      <c r="F21443" s="102" t="str">
        <f ca="1">IFERROR(__xludf.DUMMYFUNCTION("IMPORTRANGE(H21443,""IDENTITAS UNIT!D9"")"),"#N/A")</f>
        <v>#N/A</v>
      </c>
      <c r="H21443" s="4" t="str">
        <v/>
      </c>
      <c r="I21443" s="4" t="str">
        <v/>
      </c>
    </row>
    <row r="21444" spans="5:9" ht="16.5" hidden="1">
      <c r="E21444" s="4" t="str">
        <v/>
      </c>
      <c r="F21444" s="102" t="str">
        <f ca="1">IFERROR(__xludf.DUMMYFUNCTION("IMPORTRANGE(H21444,""IDENTITAS UNIT!D9"")"),"#N/A")</f>
        <v>#N/A</v>
      </c>
      <c r="H21444" s="4" t="str">
        <v/>
      </c>
      <c r="I21444" s="4" t="str">
        <v/>
      </c>
    </row>
    <row r="21445" spans="5:9" ht="16.5" hidden="1">
      <c r="E21445" s="4" t="str">
        <v/>
      </c>
      <c r="F21445" s="102" t="str">
        <f ca="1">IFERROR(__xludf.DUMMYFUNCTION("IMPORTRANGE(H21445,""IDENTITAS UNIT!D9"")"),"#N/A")</f>
        <v>#N/A</v>
      </c>
      <c r="H21445" s="4" t="str">
        <v/>
      </c>
      <c r="I21445" s="4" t="str">
        <v/>
      </c>
    </row>
    <row r="21446" spans="5:9" ht="16.5" hidden="1">
      <c r="E21446" s="4" t="str">
        <v/>
      </c>
      <c r="F21446" s="102" t="str">
        <f ca="1">IFERROR(__xludf.DUMMYFUNCTION("IMPORTRANGE(H21446,""IDENTITAS UNIT!D9"")"),"#N/A")</f>
        <v>#N/A</v>
      </c>
      <c r="H21446" s="4" t="str">
        <v/>
      </c>
      <c r="I21446" s="4" t="str">
        <v/>
      </c>
    </row>
    <row r="21447" spans="5:9" ht="16.5" hidden="1">
      <c r="E21447" s="4" t="str">
        <v/>
      </c>
      <c r="F21447" s="102" t="str">
        <f ca="1">IFERROR(__xludf.DUMMYFUNCTION("IMPORTRANGE(H21447,""IDENTITAS UNIT!D9"")"),"#N/A")</f>
        <v>#N/A</v>
      </c>
      <c r="H21447" s="4" t="str">
        <v/>
      </c>
      <c r="I21447" s="4" t="str">
        <v/>
      </c>
    </row>
    <row r="21448" spans="5:9" ht="16.5" hidden="1">
      <c r="E21448" s="4" t="str">
        <v/>
      </c>
      <c r="F21448" s="102" t="str">
        <f ca="1">IFERROR(__xludf.DUMMYFUNCTION("IMPORTRANGE(H21448,""IDENTITAS UNIT!D9"")"),"#N/A")</f>
        <v>#N/A</v>
      </c>
      <c r="H21448" s="4" t="str">
        <v/>
      </c>
      <c r="I21448" s="4" t="str">
        <v/>
      </c>
    </row>
    <row r="21449" spans="5:9" ht="16.5" hidden="1">
      <c r="E21449" s="4" t="str">
        <v/>
      </c>
      <c r="F21449" s="102" t="str">
        <f ca="1">IFERROR(__xludf.DUMMYFUNCTION("IMPORTRANGE(H21449,""IDENTITAS UNIT!D9"")"),"#N/A")</f>
        <v>#N/A</v>
      </c>
      <c r="H21449" s="4" t="str">
        <v/>
      </c>
      <c r="I21449" s="4" t="str">
        <v/>
      </c>
    </row>
    <row r="21450" spans="5:9" ht="16.5" hidden="1">
      <c r="E21450" s="4" t="str">
        <v/>
      </c>
      <c r="F21450" s="102" t="str">
        <f ca="1">IFERROR(__xludf.DUMMYFUNCTION("IMPORTRANGE(H21450,""IDENTITAS UNIT!D9"")"),"#N/A")</f>
        <v>#N/A</v>
      </c>
      <c r="H21450" s="4" t="str">
        <v/>
      </c>
      <c r="I21450" s="4" t="str">
        <v/>
      </c>
    </row>
    <row r="21451" spans="5:9" ht="16.5" hidden="1">
      <c r="E21451" s="4" t="str">
        <v/>
      </c>
      <c r="F21451" s="102" t="str">
        <f ca="1">IFERROR(__xludf.DUMMYFUNCTION("IMPORTRANGE(H21451,""IDENTITAS UNIT!D9"")"),"#N/A")</f>
        <v>#N/A</v>
      </c>
      <c r="H21451" s="4" t="str">
        <v/>
      </c>
      <c r="I21451" s="4" t="str">
        <v/>
      </c>
    </row>
    <row r="21452" spans="5:9" ht="16.5" hidden="1">
      <c r="E21452" s="4" t="str">
        <v/>
      </c>
      <c r="F21452" s="102" t="str">
        <f ca="1">IFERROR(__xludf.DUMMYFUNCTION("IMPORTRANGE(H21452,""IDENTITAS UNIT!D9"")"),"#N/A")</f>
        <v>#N/A</v>
      </c>
      <c r="H21452" s="4" t="str">
        <v/>
      </c>
      <c r="I21452" s="4" t="str">
        <v/>
      </c>
    </row>
    <row r="21453" spans="5:9" ht="16.5" hidden="1">
      <c r="E21453" s="4" t="str">
        <v/>
      </c>
      <c r="F21453" s="102" t="str">
        <f ca="1">IFERROR(__xludf.DUMMYFUNCTION("IMPORTRANGE(H21453,""IDENTITAS UNIT!D9"")"),"#N/A")</f>
        <v>#N/A</v>
      </c>
      <c r="H21453" s="4" t="str">
        <v/>
      </c>
      <c r="I21453" s="4" t="str">
        <v/>
      </c>
    </row>
    <row r="21454" spans="5:9" ht="16.5" hidden="1">
      <c r="E21454" s="4" t="str">
        <v/>
      </c>
      <c r="F21454" s="102" t="str">
        <f ca="1">IFERROR(__xludf.DUMMYFUNCTION("IMPORTRANGE(H21454,""IDENTITAS UNIT!D9"")"),"#N/A")</f>
        <v>#N/A</v>
      </c>
      <c r="H21454" s="4" t="str">
        <v/>
      </c>
      <c r="I21454" s="4" t="str">
        <v/>
      </c>
    </row>
    <row r="21455" spans="5:9" ht="16.5" hidden="1">
      <c r="E21455" s="4" t="str">
        <v/>
      </c>
      <c r="F21455" s="102" t="str">
        <f ca="1">IFERROR(__xludf.DUMMYFUNCTION("IMPORTRANGE(H21455,""IDENTITAS UNIT!D9"")"),"#N/A")</f>
        <v>#N/A</v>
      </c>
      <c r="H21455" s="4" t="str">
        <v/>
      </c>
      <c r="I21455" s="4" t="str">
        <v/>
      </c>
    </row>
    <row r="21456" spans="5:9" ht="16.5" hidden="1">
      <c r="E21456" s="4" t="str">
        <v/>
      </c>
      <c r="F21456" s="102" t="str">
        <f ca="1">IFERROR(__xludf.DUMMYFUNCTION("IMPORTRANGE(H21456,""IDENTITAS UNIT!D9"")"),"#N/A")</f>
        <v>#N/A</v>
      </c>
      <c r="H21456" s="4" t="str">
        <v/>
      </c>
      <c r="I21456" s="4" t="str">
        <v/>
      </c>
    </row>
    <row r="21457" spans="5:9" ht="16.5" hidden="1">
      <c r="E21457" s="4" t="str">
        <v/>
      </c>
      <c r="F21457" s="102" t="str">
        <f ca="1">IFERROR(__xludf.DUMMYFUNCTION("IMPORTRANGE(H21457,""IDENTITAS UNIT!D9"")"),"#N/A")</f>
        <v>#N/A</v>
      </c>
      <c r="H21457" s="4" t="str">
        <v/>
      </c>
      <c r="I21457" s="4" t="str">
        <v/>
      </c>
    </row>
    <row r="21458" spans="5:9" ht="16.5" hidden="1">
      <c r="E21458" s="4" t="str">
        <v/>
      </c>
      <c r="F21458" s="102" t="str">
        <f ca="1">IFERROR(__xludf.DUMMYFUNCTION("IMPORTRANGE(H21458,""IDENTITAS UNIT!D9"")"),"#N/A")</f>
        <v>#N/A</v>
      </c>
      <c r="H21458" s="4" t="str">
        <v/>
      </c>
      <c r="I21458" s="4" t="str">
        <v/>
      </c>
    </row>
    <row r="21459" spans="5:9" ht="16.5" hidden="1">
      <c r="E21459" s="4" t="str">
        <v/>
      </c>
      <c r="F21459" s="102" t="str">
        <f ca="1">IFERROR(__xludf.DUMMYFUNCTION("IMPORTRANGE(H21459,""IDENTITAS UNIT!D9"")"),"#N/A")</f>
        <v>#N/A</v>
      </c>
      <c r="H21459" s="4" t="str">
        <v/>
      </c>
      <c r="I21459" s="4" t="str">
        <v/>
      </c>
    </row>
    <row r="21460" spans="5:9" ht="16.5" hidden="1">
      <c r="E21460" s="4" t="str">
        <v/>
      </c>
      <c r="F21460" s="102" t="str">
        <f ca="1">IFERROR(__xludf.DUMMYFUNCTION("IMPORTRANGE(H21460,""IDENTITAS UNIT!D9"")"),"#N/A")</f>
        <v>#N/A</v>
      </c>
      <c r="H21460" s="4" t="str">
        <v/>
      </c>
      <c r="I21460" s="4" t="str">
        <v/>
      </c>
    </row>
    <row r="21461" spans="5:9" ht="16.5" hidden="1">
      <c r="E21461" s="4" t="str">
        <v/>
      </c>
      <c r="F21461" s="102" t="str">
        <f ca="1">IFERROR(__xludf.DUMMYFUNCTION("IMPORTRANGE(H21461,""IDENTITAS UNIT!D9"")"),"#N/A")</f>
        <v>#N/A</v>
      </c>
      <c r="H21461" s="4" t="str">
        <v/>
      </c>
      <c r="I21461" s="4" t="str">
        <v/>
      </c>
    </row>
    <row r="21462" spans="5:9" ht="16.5" hidden="1">
      <c r="E21462" s="4" t="str">
        <v/>
      </c>
      <c r="F21462" s="102" t="str">
        <f ca="1">IFERROR(__xludf.DUMMYFUNCTION("IMPORTRANGE(H21462,""IDENTITAS UNIT!D9"")"),"#N/A")</f>
        <v>#N/A</v>
      </c>
      <c r="H21462" s="4" t="str">
        <v/>
      </c>
      <c r="I21462" s="4" t="str">
        <v/>
      </c>
    </row>
    <row r="21463" spans="5:9" ht="16.5" hidden="1">
      <c r="E21463" s="4" t="str">
        <v/>
      </c>
      <c r="F21463" s="102" t="str">
        <f ca="1">IFERROR(__xludf.DUMMYFUNCTION("IMPORTRANGE(H21463,""IDENTITAS UNIT!D9"")"),"#N/A")</f>
        <v>#N/A</v>
      </c>
      <c r="H21463" s="4" t="str">
        <v/>
      </c>
      <c r="I21463" s="4" t="str">
        <v/>
      </c>
    </row>
    <row r="21464" spans="5:9" ht="16.5" hidden="1">
      <c r="E21464" s="4" t="str">
        <v/>
      </c>
      <c r="F21464" s="102" t="str">
        <f ca="1">IFERROR(__xludf.DUMMYFUNCTION("IMPORTRANGE(H21464,""IDENTITAS UNIT!D9"")"),"#N/A")</f>
        <v>#N/A</v>
      </c>
      <c r="H21464" s="4" t="str">
        <v/>
      </c>
      <c r="I21464" s="4" t="str">
        <v/>
      </c>
    </row>
    <row r="21465" spans="5:9" ht="16.5" hidden="1">
      <c r="E21465" s="4" t="str">
        <v/>
      </c>
      <c r="F21465" s="102" t="str">
        <f ca="1">IFERROR(__xludf.DUMMYFUNCTION("IMPORTRANGE(H21465,""IDENTITAS UNIT!D9"")"),"#N/A")</f>
        <v>#N/A</v>
      </c>
      <c r="H21465" s="4" t="str">
        <v/>
      </c>
      <c r="I21465" s="4" t="str">
        <v/>
      </c>
    </row>
    <row r="21466" spans="5:9" ht="16.5" hidden="1">
      <c r="E21466" s="4" t="str">
        <v/>
      </c>
      <c r="F21466" s="102" t="str">
        <f ca="1">IFERROR(__xludf.DUMMYFUNCTION("IMPORTRANGE(H21466,""IDENTITAS UNIT!D9"")"),"#N/A")</f>
        <v>#N/A</v>
      </c>
      <c r="H21466" s="4" t="str">
        <v/>
      </c>
      <c r="I21466" s="4" t="str">
        <v/>
      </c>
    </row>
    <row r="21467" spans="5:9" ht="16.5" hidden="1">
      <c r="E21467" s="4" t="str">
        <v/>
      </c>
      <c r="F21467" s="102" t="str">
        <f ca="1">IFERROR(__xludf.DUMMYFUNCTION("IMPORTRANGE(H21467,""IDENTITAS UNIT!D9"")"),"#N/A")</f>
        <v>#N/A</v>
      </c>
      <c r="H21467" s="4" t="str">
        <v/>
      </c>
      <c r="I21467" s="4" t="str">
        <v/>
      </c>
    </row>
    <row r="21468" spans="5:9" ht="16.5" hidden="1">
      <c r="E21468" s="4" t="str">
        <v/>
      </c>
      <c r="F21468" s="102" t="str">
        <f ca="1">IFERROR(__xludf.DUMMYFUNCTION("IMPORTRANGE(H21468,""IDENTITAS UNIT!D9"")"),"#N/A")</f>
        <v>#N/A</v>
      </c>
      <c r="H21468" s="4" t="str">
        <v/>
      </c>
      <c r="I21468" s="4" t="str">
        <v/>
      </c>
    </row>
    <row r="21469" spans="5:9" ht="16.5" hidden="1">
      <c r="E21469" s="4" t="str">
        <v/>
      </c>
      <c r="F21469" s="102" t="str">
        <f ca="1">IFERROR(__xludf.DUMMYFUNCTION("IMPORTRANGE(H21469,""IDENTITAS UNIT!D9"")"),"#N/A")</f>
        <v>#N/A</v>
      </c>
      <c r="H21469" s="4" t="str">
        <v/>
      </c>
      <c r="I21469" s="4" t="str">
        <v/>
      </c>
    </row>
    <row r="21470" spans="5:9" ht="16.5" hidden="1">
      <c r="E21470" s="4" t="str">
        <v/>
      </c>
      <c r="F21470" s="102" t="str">
        <f ca="1">IFERROR(__xludf.DUMMYFUNCTION("IMPORTRANGE(H21470,""IDENTITAS UNIT!D9"")"),"#N/A")</f>
        <v>#N/A</v>
      </c>
      <c r="H21470" s="4" t="str">
        <v/>
      </c>
      <c r="I21470" s="4" t="str">
        <v/>
      </c>
    </row>
    <row r="21471" spans="5:9" ht="16.5" hidden="1">
      <c r="E21471" s="4" t="str">
        <v/>
      </c>
      <c r="F21471" s="102" t="str">
        <f ca="1">IFERROR(__xludf.DUMMYFUNCTION("IMPORTRANGE(H21471,""IDENTITAS UNIT!D9"")"),"#N/A")</f>
        <v>#N/A</v>
      </c>
      <c r="H21471" s="4" t="str">
        <v/>
      </c>
      <c r="I21471" s="4" t="str">
        <v/>
      </c>
    </row>
    <row r="21472" spans="5:9" ht="16.5" hidden="1">
      <c r="E21472" s="4" t="str">
        <v/>
      </c>
      <c r="F21472" s="102" t="str">
        <f ca="1">IFERROR(__xludf.DUMMYFUNCTION("IMPORTRANGE(H21472,""IDENTITAS UNIT!D9"")"),"#N/A")</f>
        <v>#N/A</v>
      </c>
      <c r="H21472" s="4" t="str">
        <v/>
      </c>
      <c r="I21472" s="4" t="str">
        <v/>
      </c>
    </row>
    <row r="21473" spans="5:9" ht="16.5" hidden="1">
      <c r="E21473" s="4" t="str">
        <v/>
      </c>
      <c r="F21473" s="102" t="str">
        <f ca="1">IFERROR(__xludf.DUMMYFUNCTION("IMPORTRANGE(H21473,""IDENTITAS UNIT!D9"")"),"#N/A")</f>
        <v>#N/A</v>
      </c>
      <c r="H21473" s="4" t="str">
        <v/>
      </c>
      <c r="I21473" s="4" t="str">
        <v/>
      </c>
    </row>
    <row r="21474" spans="5:9" ht="16.5" hidden="1">
      <c r="E21474" s="4" t="str">
        <v/>
      </c>
      <c r="F21474" s="102" t="str">
        <f ca="1">IFERROR(__xludf.DUMMYFUNCTION("IMPORTRANGE(H21474,""IDENTITAS UNIT!D9"")"),"#N/A")</f>
        <v>#N/A</v>
      </c>
      <c r="H21474" s="4" t="str">
        <v/>
      </c>
      <c r="I21474" s="4" t="str">
        <v/>
      </c>
    </row>
    <row r="21475" spans="5:9" ht="16.5" hidden="1">
      <c r="E21475" s="4" t="str">
        <v/>
      </c>
      <c r="F21475" s="102" t="str">
        <f ca="1">IFERROR(__xludf.DUMMYFUNCTION("IMPORTRANGE(H21475,""IDENTITAS UNIT!D9"")"),"#N/A")</f>
        <v>#N/A</v>
      </c>
      <c r="H21475" s="4" t="str">
        <v/>
      </c>
      <c r="I21475" s="4" t="str">
        <v/>
      </c>
    </row>
    <row r="21476" spans="5:9" ht="16.5" hidden="1">
      <c r="E21476" s="4" t="str">
        <v/>
      </c>
      <c r="F21476" s="102" t="str">
        <f ca="1">IFERROR(__xludf.DUMMYFUNCTION("IMPORTRANGE(H21476,""IDENTITAS UNIT!D9"")"),"#N/A")</f>
        <v>#N/A</v>
      </c>
      <c r="H21476" s="4" t="str">
        <v/>
      </c>
      <c r="I21476" s="4" t="str">
        <v/>
      </c>
    </row>
    <row r="21477" spans="5:9" ht="16.5" hidden="1">
      <c r="E21477" s="4" t="str">
        <v/>
      </c>
      <c r="F21477" s="102" t="str">
        <f ca="1">IFERROR(__xludf.DUMMYFUNCTION("IMPORTRANGE(H21477,""IDENTITAS UNIT!D9"")"),"#N/A")</f>
        <v>#N/A</v>
      </c>
      <c r="H21477" s="4" t="str">
        <v/>
      </c>
      <c r="I21477" s="4" t="str">
        <v/>
      </c>
    </row>
    <row r="21478" spans="5:9" ht="16.5" hidden="1">
      <c r="E21478" s="4" t="str">
        <v/>
      </c>
      <c r="F21478" s="102" t="str">
        <f ca="1">IFERROR(__xludf.DUMMYFUNCTION("IMPORTRANGE(H21478,""IDENTITAS UNIT!D9"")"),"#N/A")</f>
        <v>#N/A</v>
      </c>
      <c r="H21478" s="4" t="str">
        <v/>
      </c>
      <c r="I21478" s="4" t="str">
        <v/>
      </c>
    </row>
    <row r="21479" spans="5:9" ht="16.5" hidden="1">
      <c r="E21479" s="4" t="str">
        <v/>
      </c>
      <c r="F21479" s="102" t="str">
        <f ca="1">IFERROR(__xludf.DUMMYFUNCTION("IMPORTRANGE(H21479,""IDENTITAS UNIT!D9"")"),"#N/A")</f>
        <v>#N/A</v>
      </c>
      <c r="H21479" s="4" t="str">
        <v/>
      </c>
      <c r="I21479" s="4" t="str">
        <v/>
      </c>
    </row>
    <row r="21480" spans="5:9" ht="16.5" hidden="1">
      <c r="E21480" s="4" t="str">
        <v/>
      </c>
      <c r="F21480" s="102" t="str">
        <f ca="1">IFERROR(__xludf.DUMMYFUNCTION("IMPORTRANGE(H21480,""IDENTITAS UNIT!D9"")"),"#N/A")</f>
        <v>#N/A</v>
      </c>
      <c r="H21480" s="4" t="str">
        <v/>
      </c>
      <c r="I21480" s="4" t="str">
        <v/>
      </c>
    </row>
    <row r="21481" spans="5:9" ht="16.5" hidden="1">
      <c r="E21481" s="4" t="str">
        <v/>
      </c>
      <c r="F21481" s="102" t="str">
        <f ca="1">IFERROR(__xludf.DUMMYFUNCTION("IMPORTRANGE(H21481,""IDENTITAS UNIT!D9"")"),"#N/A")</f>
        <v>#N/A</v>
      </c>
      <c r="H21481" s="4" t="str">
        <v/>
      </c>
      <c r="I21481" s="4" t="str">
        <v/>
      </c>
    </row>
    <row r="21482" spans="5:9" ht="16.5" hidden="1">
      <c r="E21482" s="4" t="str">
        <v/>
      </c>
      <c r="F21482" s="102" t="str">
        <f ca="1">IFERROR(__xludf.DUMMYFUNCTION("IMPORTRANGE(H21482,""IDENTITAS UNIT!D9"")"),"#N/A")</f>
        <v>#N/A</v>
      </c>
      <c r="H21482" s="4" t="str">
        <v/>
      </c>
      <c r="I21482" s="4" t="str">
        <v/>
      </c>
    </row>
    <row r="21483" spans="5:9" ht="16.5" hidden="1">
      <c r="E21483" s="4" t="str">
        <v/>
      </c>
      <c r="F21483" s="102" t="str">
        <f ca="1">IFERROR(__xludf.DUMMYFUNCTION("IMPORTRANGE(H21483,""IDENTITAS UNIT!D9"")"),"#N/A")</f>
        <v>#N/A</v>
      </c>
      <c r="H21483" s="4" t="str">
        <v/>
      </c>
      <c r="I21483" s="4" t="str">
        <v/>
      </c>
    </row>
    <row r="21484" spans="5:9" ht="16.5" hidden="1">
      <c r="E21484" s="4" t="str">
        <v/>
      </c>
      <c r="F21484" s="102" t="str">
        <f ca="1">IFERROR(__xludf.DUMMYFUNCTION("IMPORTRANGE(H21484,""IDENTITAS UNIT!D9"")"),"#N/A")</f>
        <v>#N/A</v>
      </c>
      <c r="H21484" s="4" t="str">
        <v/>
      </c>
      <c r="I21484" s="4" t="str">
        <v/>
      </c>
    </row>
    <row r="21485" spans="5:9" ht="16.5" hidden="1">
      <c r="E21485" s="4" t="str">
        <v/>
      </c>
      <c r="F21485" s="102" t="str">
        <f ca="1">IFERROR(__xludf.DUMMYFUNCTION("IMPORTRANGE(H21485,""IDENTITAS UNIT!D9"")"),"#N/A")</f>
        <v>#N/A</v>
      </c>
      <c r="H21485" s="4" t="str">
        <v/>
      </c>
      <c r="I21485" s="4" t="str">
        <v/>
      </c>
    </row>
    <row r="21486" spans="5:9" ht="16.5" hidden="1">
      <c r="E21486" s="4" t="str">
        <v/>
      </c>
      <c r="F21486" s="102" t="str">
        <f ca="1">IFERROR(__xludf.DUMMYFUNCTION("IMPORTRANGE(H21486,""IDENTITAS UNIT!D9"")"),"#N/A")</f>
        <v>#N/A</v>
      </c>
      <c r="H21486" s="4" t="str">
        <v/>
      </c>
      <c r="I21486" s="4" t="str">
        <v/>
      </c>
    </row>
    <row r="21487" spans="5:9" ht="16.5" hidden="1">
      <c r="E21487" s="4" t="str">
        <v/>
      </c>
      <c r="F21487" s="102" t="str">
        <f ca="1">IFERROR(__xludf.DUMMYFUNCTION("IMPORTRANGE(H21487,""IDENTITAS UNIT!D9"")"),"#N/A")</f>
        <v>#N/A</v>
      </c>
      <c r="H21487" s="4" t="str">
        <v/>
      </c>
      <c r="I21487" s="4" t="str">
        <v/>
      </c>
    </row>
    <row r="21488" spans="5:9" ht="16.5" hidden="1">
      <c r="E21488" s="4" t="str">
        <v/>
      </c>
      <c r="F21488" s="102" t="str">
        <f ca="1">IFERROR(__xludf.DUMMYFUNCTION("IMPORTRANGE(H21488,""IDENTITAS UNIT!D9"")"),"#N/A")</f>
        <v>#N/A</v>
      </c>
      <c r="H21488" s="4" t="str">
        <v/>
      </c>
      <c r="I21488" s="4" t="str">
        <v/>
      </c>
    </row>
    <row r="21489" spans="5:9" ht="16.5" hidden="1">
      <c r="E21489" s="4" t="str">
        <v/>
      </c>
      <c r="F21489" s="102" t="str">
        <f ca="1">IFERROR(__xludf.DUMMYFUNCTION("IMPORTRANGE(H21489,""IDENTITAS UNIT!D9"")"),"#N/A")</f>
        <v>#N/A</v>
      </c>
      <c r="H21489" s="4" t="str">
        <v/>
      </c>
      <c r="I21489" s="4" t="str">
        <v/>
      </c>
    </row>
    <row r="21490" spans="5:9" ht="16.5" hidden="1">
      <c r="E21490" s="4" t="str">
        <v/>
      </c>
      <c r="F21490" s="102" t="str">
        <f ca="1">IFERROR(__xludf.DUMMYFUNCTION("IMPORTRANGE(H21490,""IDENTITAS UNIT!D9"")"),"#N/A")</f>
        <v>#N/A</v>
      </c>
      <c r="H21490" s="4" t="str">
        <v/>
      </c>
      <c r="I21490" s="4" t="str">
        <v/>
      </c>
    </row>
    <row r="21491" spans="5:9" ht="16.5" hidden="1">
      <c r="E21491" s="4" t="str">
        <v/>
      </c>
      <c r="F21491" s="102" t="str">
        <f ca="1">IFERROR(__xludf.DUMMYFUNCTION("IMPORTRANGE(H21491,""IDENTITAS UNIT!D9"")"),"#N/A")</f>
        <v>#N/A</v>
      </c>
      <c r="H21491" s="4" t="str">
        <v/>
      </c>
      <c r="I21491" s="4" t="str">
        <v/>
      </c>
    </row>
    <row r="21492" spans="5:9" ht="16.5" hidden="1">
      <c r="E21492" s="4" t="str">
        <v/>
      </c>
      <c r="F21492" s="102" t="str">
        <f ca="1">IFERROR(__xludf.DUMMYFUNCTION("IMPORTRANGE(H21492,""IDENTITAS UNIT!D9"")"),"#N/A")</f>
        <v>#N/A</v>
      </c>
      <c r="H21492" s="4" t="str">
        <v/>
      </c>
      <c r="I21492" s="4" t="str">
        <v/>
      </c>
    </row>
    <row r="21493" spans="5:9" ht="16.5" hidden="1">
      <c r="E21493" s="4" t="str">
        <v/>
      </c>
      <c r="F21493" s="102" t="str">
        <f ca="1">IFERROR(__xludf.DUMMYFUNCTION("IMPORTRANGE(H21493,""IDENTITAS UNIT!D9"")"),"#N/A")</f>
        <v>#N/A</v>
      </c>
      <c r="H21493" s="4" t="str">
        <v/>
      </c>
      <c r="I21493" s="4" t="str">
        <v/>
      </c>
    </row>
    <row r="21494" spans="5:9" ht="16.5" hidden="1">
      <c r="E21494" s="4" t="str">
        <v/>
      </c>
      <c r="F21494" s="102" t="str">
        <f ca="1">IFERROR(__xludf.DUMMYFUNCTION("IMPORTRANGE(H21494,""IDENTITAS UNIT!D9"")"),"#N/A")</f>
        <v>#N/A</v>
      </c>
      <c r="H21494" s="4" t="str">
        <v/>
      </c>
      <c r="I21494" s="4" t="str">
        <v/>
      </c>
    </row>
    <row r="21495" spans="5:9" ht="16.5" hidden="1">
      <c r="E21495" s="4" t="str">
        <v/>
      </c>
      <c r="F21495" s="102" t="str">
        <f ca="1">IFERROR(__xludf.DUMMYFUNCTION("IMPORTRANGE(H21495,""IDENTITAS UNIT!D9"")"),"#N/A")</f>
        <v>#N/A</v>
      </c>
      <c r="H21495" s="4" t="str">
        <v/>
      </c>
      <c r="I21495" s="4" t="str">
        <v/>
      </c>
    </row>
    <row r="21496" spans="5:9" ht="16.5" hidden="1">
      <c r="E21496" s="4" t="str">
        <v/>
      </c>
      <c r="F21496" s="102" t="str">
        <f ca="1">IFERROR(__xludf.DUMMYFUNCTION("IMPORTRANGE(H21496,""IDENTITAS UNIT!D9"")"),"#N/A")</f>
        <v>#N/A</v>
      </c>
      <c r="H21496" s="4" t="str">
        <v/>
      </c>
      <c r="I21496" s="4" t="str">
        <v/>
      </c>
    </row>
    <row r="21497" spans="5:9" ht="16.5" hidden="1">
      <c r="E21497" s="4" t="str">
        <v/>
      </c>
      <c r="F21497" s="102" t="str">
        <f ca="1">IFERROR(__xludf.DUMMYFUNCTION("IMPORTRANGE(H21497,""IDENTITAS UNIT!D9"")"),"#N/A")</f>
        <v>#N/A</v>
      </c>
      <c r="H21497" s="4" t="str">
        <v/>
      </c>
      <c r="I21497" s="4" t="str">
        <v/>
      </c>
    </row>
    <row r="21498" spans="5:9" ht="16.5" hidden="1">
      <c r="E21498" s="4" t="str">
        <v/>
      </c>
      <c r="F21498" s="102" t="str">
        <f ca="1">IFERROR(__xludf.DUMMYFUNCTION("IMPORTRANGE(H21498,""IDENTITAS UNIT!D9"")"),"#N/A")</f>
        <v>#N/A</v>
      </c>
      <c r="H21498" s="4" t="str">
        <v/>
      </c>
      <c r="I21498" s="4" t="str">
        <v/>
      </c>
    </row>
    <row r="21499" spans="5:9" ht="16.5" hidden="1">
      <c r="E21499" s="4" t="str">
        <v/>
      </c>
      <c r="F21499" s="102" t="str">
        <f ca="1">IFERROR(__xludf.DUMMYFUNCTION("IMPORTRANGE(H21499,""IDENTITAS UNIT!D9"")"),"#N/A")</f>
        <v>#N/A</v>
      </c>
      <c r="H21499" s="4" t="str">
        <v/>
      </c>
      <c r="I21499" s="4" t="str">
        <v/>
      </c>
    </row>
    <row r="21500" spans="5:9" ht="16.5" hidden="1">
      <c r="E21500" s="4" t="str">
        <v/>
      </c>
      <c r="F21500" s="102" t="str">
        <f ca="1">IFERROR(__xludf.DUMMYFUNCTION("IMPORTRANGE(H21500,""IDENTITAS UNIT!D9"")"),"#N/A")</f>
        <v>#N/A</v>
      </c>
      <c r="H21500" s="4" t="str">
        <v/>
      </c>
      <c r="I21500" s="4" t="str">
        <v/>
      </c>
    </row>
    <row r="21501" spans="5:9" ht="16.5" hidden="1">
      <c r="E21501" s="4" t="str">
        <v/>
      </c>
      <c r="F21501" s="102" t="str">
        <f ca="1">IFERROR(__xludf.DUMMYFUNCTION("IMPORTRANGE(H21501,""IDENTITAS UNIT!D9"")"),"#N/A")</f>
        <v>#N/A</v>
      </c>
      <c r="H21501" s="4" t="str">
        <v/>
      </c>
      <c r="I21501" s="4" t="str">
        <v/>
      </c>
    </row>
    <row r="21502" spans="5:9" ht="16.5" hidden="1">
      <c r="E21502" s="4" t="str">
        <v/>
      </c>
      <c r="F21502" s="102" t="str">
        <f ca="1">IFERROR(__xludf.DUMMYFUNCTION("IMPORTRANGE(H21502,""IDENTITAS UNIT!D9"")"),"#N/A")</f>
        <v>#N/A</v>
      </c>
      <c r="H21502" s="4" t="str">
        <v/>
      </c>
      <c r="I21502" s="4" t="str">
        <v/>
      </c>
    </row>
    <row r="21503" spans="5:9" ht="16.5" hidden="1">
      <c r="E21503" s="4" t="str">
        <v/>
      </c>
      <c r="F21503" s="102" t="str">
        <f ca="1">IFERROR(__xludf.DUMMYFUNCTION("IMPORTRANGE(H21503,""IDENTITAS UNIT!D9"")"),"#N/A")</f>
        <v>#N/A</v>
      </c>
      <c r="H21503" s="4" t="str">
        <v/>
      </c>
      <c r="I21503" s="4" t="str">
        <v/>
      </c>
    </row>
    <row r="21504" spans="5:9" ht="16.5" hidden="1">
      <c r="E21504" s="4" t="str">
        <v/>
      </c>
      <c r="F21504" s="102" t="str">
        <f ca="1">IFERROR(__xludf.DUMMYFUNCTION("IMPORTRANGE(H21504,""IDENTITAS UNIT!D9"")"),"#N/A")</f>
        <v>#N/A</v>
      </c>
      <c r="H21504" s="4" t="str">
        <v/>
      </c>
      <c r="I21504" s="4" t="str">
        <v/>
      </c>
    </row>
    <row r="21505" spans="5:9" ht="16.5" hidden="1">
      <c r="E21505" s="4" t="str">
        <v/>
      </c>
      <c r="F21505" s="102" t="str">
        <f ca="1">IFERROR(__xludf.DUMMYFUNCTION("IMPORTRANGE(H21505,""IDENTITAS UNIT!D9"")"),"#N/A")</f>
        <v>#N/A</v>
      </c>
      <c r="H21505" s="4" t="str">
        <v/>
      </c>
      <c r="I21505" s="4" t="str">
        <v/>
      </c>
    </row>
    <row r="21506" spans="5:9" ht="16.5" hidden="1">
      <c r="E21506" s="4" t="str">
        <v/>
      </c>
      <c r="F21506" s="102" t="str">
        <f ca="1">IFERROR(__xludf.DUMMYFUNCTION("IMPORTRANGE(H21506,""IDENTITAS UNIT!D9"")"),"#N/A")</f>
        <v>#N/A</v>
      </c>
      <c r="H21506" s="4" t="str">
        <v/>
      </c>
      <c r="I21506" s="4" t="str">
        <v/>
      </c>
    </row>
    <row r="21507" spans="5:9" ht="16.5" hidden="1">
      <c r="E21507" s="4" t="str">
        <v/>
      </c>
      <c r="F21507" s="102" t="str">
        <f ca="1">IFERROR(__xludf.DUMMYFUNCTION("IMPORTRANGE(H21507,""IDENTITAS UNIT!D9"")"),"#N/A")</f>
        <v>#N/A</v>
      </c>
      <c r="H21507" s="4" t="str">
        <v/>
      </c>
      <c r="I21507" s="4" t="str">
        <v/>
      </c>
    </row>
    <row r="21508" spans="5:9" ht="16.5" hidden="1">
      <c r="E21508" s="4" t="str">
        <v/>
      </c>
      <c r="F21508" s="102" t="str">
        <f ca="1">IFERROR(__xludf.DUMMYFUNCTION("IMPORTRANGE(H21508,""IDENTITAS UNIT!D9"")"),"#N/A")</f>
        <v>#N/A</v>
      </c>
      <c r="H21508" s="4" t="str">
        <v/>
      </c>
      <c r="I21508" s="4" t="str">
        <v/>
      </c>
    </row>
    <row r="21509" spans="5:9" ht="16.5" hidden="1">
      <c r="E21509" s="4" t="str">
        <v/>
      </c>
      <c r="F21509" s="102" t="str">
        <f ca="1">IFERROR(__xludf.DUMMYFUNCTION("IMPORTRANGE(H21509,""IDENTITAS UNIT!D9"")"),"#N/A")</f>
        <v>#N/A</v>
      </c>
      <c r="H21509" s="4" t="str">
        <v/>
      </c>
      <c r="I21509" s="4" t="str">
        <v/>
      </c>
    </row>
    <row r="21510" spans="5:9" ht="16.5" hidden="1">
      <c r="E21510" s="4" t="str">
        <v/>
      </c>
      <c r="F21510" s="102" t="str">
        <f ca="1">IFERROR(__xludf.DUMMYFUNCTION("IMPORTRANGE(H21510,""IDENTITAS UNIT!D9"")"),"#N/A")</f>
        <v>#N/A</v>
      </c>
      <c r="H21510" s="4" t="str">
        <v/>
      </c>
      <c r="I21510" s="4" t="str">
        <v/>
      </c>
    </row>
    <row r="21511" spans="5:9" ht="16.5" hidden="1">
      <c r="E21511" s="4" t="str">
        <v/>
      </c>
      <c r="F21511" s="102" t="str">
        <f ca="1">IFERROR(__xludf.DUMMYFUNCTION("IMPORTRANGE(H21511,""IDENTITAS UNIT!D9"")"),"#N/A")</f>
        <v>#N/A</v>
      </c>
      <c r="H21511" s="4" t="str">
        <v/>
      </c>
      <c r="I21511" s="4" t="str">
        <v/>
      </c>
    </row>
    <row r="21512" spans="5:9" ht="16.5" hidden="1">
      <c r="E21512" s="4" t="str">
        <v/>
      </c>
      <c r="F21512" s="102" t="str">
        <f ca="1">IFERROR(__xludf.DUMMYFUNCTION("IMPORTRANGE(H21512,""IDENTITAS UNIT!D9"")"),"#N/A")</f>
        <v>#N/A</v>
      </c>
      <c r="H21512" s="4" t="str">
        <v/>
      </c>
      <c r="I21512" s="4" t="str">
        <v/>
      </c>
    </row>
    <row r="21513" spans="5:9" ht="16.5" hidden="1">
      <c r="E21513" s="4" t="str">
        <v/>
      </c>
      <c r="F21513" s="102" t="str">
        <f ca="1">IFERROR(__xludf.DUMMYFUNCTION("IMPORTRANGE(H21513,""IDENTITAS UNIT!D9"")"),"#N/A")</f>
        <v>#N/A</v>
      </c>
      <c r="H21513" s="4" t="str">
        <v/>
      </c>
      <c r="I21513" s="4" t="str">
        <v/>
      </c>
    </row>
    <row r="21514" spans="5:9" ht="16.5" hidden="1">
      <c r="E21514" s="4" t="str">
        <v/>
      </c>
      <c r="F21514" s="102" t="str">
        <f ca="1">IFERROR(__xludf.DUMMYFUNCTION("IMPORTRANGE(H21514,""IDENTITAS UNIT!D9"")"),"#N/A")</f>
        <v>#N/A</v>
      </c>
      <c r="H21514" s="4" t="str">
        <v/>
      </c>
      <c r="I21514" s="4" t="str">
        <v/>
      </c>
    </row>
    <row r="21515" spans="5:9" ht="16.5" hidden="1">
      <c r="E21515" s="4" t="str">
        <v/>
      </c>
      <c r="F21515" s="102" t="str">
        <f ca="1">IFERROR(__xludf.DUMMYFUNCTION("IMPORTRANGE(H21515,""IDENTITAS UNIT!D9"")"),"#N/A")</f>
        <v>#N/A</v>
      </c>
      <c r="H21515" s="4" t="str">
        <v/>
      </c>
      <c r="I21515" s="4" t="str">
        <v/>
      </c>
    </row>
    <row r="21516" spans="5:9" ht="16.5" hidden="1">
      <c r="E21516" s="4" t="str">
        <v/>
      </c>
      <c r="F21516" s="102" t="str">
        <f ca="1">IFERROR(__xludf.DUMMYFUNCTION("IMPORTRANGE(H21516,""IDENTITAS UNIT!D9"")"),"#N/A")</f>
        <v>#N/A</v>
      </c>
      <c r="H21516" s="4" t="str">
        <v/>
      </c>
      <c r="I21516" s="4" t="str">
        <v/>
      </c>
    </row>
    <row r="21517" spans="5:9" ht="16.5" hidden="1">
      <c r="E21517" s="4" t="str">
        <v/>
      </c>
      <c r="F21517" s="102" t="str">
        <f ca="1">IFERROR(__xludf.DUMMYFUNCTION("IMPORTRANGE(H21517,""IDENTITAS UNIT!D9"")"),"#N/A")</f>
        <v>#N/A</v>
      </c>
      <c r="H21517" s="4" t="str">
        <v/>
      </c>
      <c r="I21517" s="4" t="str">
        <v/>
      </c>
    </row>
    <row r="21518" spans="5:9" ht="16.5" hidden="1">
      <c r="E21518" s="4" t="str">
        <v/>
      </c>
      <c r="F21518" s="102" t="str">
        <f ca="1">IFERROR(__xludf.DUMMYFUNCTION("IMPORTRANGE(H21518,""IDENTITAS UNIT!D9"")"),"#N/A")</f>
        <v>#N/A</v>
      </c>
      <c r="H21518" s="4" t="str">
        <v/>
      </c>
      <c r="I21518" s="4" t="str">
        <v/>
      </c>
    </row>
    <row r="21519" spans="5:9" ht="16.5" hidden="1">
      <c r="E21519" s="4" t="str">
        <v/>
      </c>
      <c r="F21519" s="102" t="str">
        <f ca="1">IFERROR(__xludf.DUMMYFUNCTION("IMPORTRANGE(H21519,""IDENTITAS UNIT!D9"")"),"#N/A")</f>
        <v>#N/A</v>
      </c>
      <c r="H21519" s="4" t="str">
        <v/>
      </c>
      <c r="I21519" s="4" t="str">
        <v/>
      </c>
    </row>
    <row r="21520" spans="5:9" ht="16.5" hidden="1">
      <c r="E21520" s="4" t="str">
        <v/>
      </c>
      <c r="F21520" s="102" t="str">
        <f ca="1">IFERROR(__xludf.DUMMYFUNCTION("IMPORTRANGE(H21520,""IDENTITAS UNIT!D9"")"),"#N/A")</f>
        <v>#N/A</v>
      </c>
      <c r="H21520" s="4" t="str">
        <v/>
      </c>
      <c r="I21520" s="4" t="str">
        <v/>
      </c>
    </row>
    <row r="21521" spans="5:9" ht="16.5" hidden="1">
      <c r="E21521" s="4" t="str">
        <v/>
      </c>
      <c r="F21521" s="102" t="str">
        <f ca="1">IFERROR(__xludf.DUMMYFUNCTION("IMPORTRANGE(H21521,""IDENTITAS UNIT!D9"")"),"#N/A")</f>
        <v>#N/A</v>
      </c>
      <c r="H21521" s="4" t="str">
        <v/>
      </c>
      <c r="I21521" s="4" t="str">
        <v/>
      </c>
    </row>
    <row r="21522" spans="5:9" ht="16.5" hidden="1">
      <c r="E21522" s="4" t="str">
        <v/>
      </c>
      <c r="F21522" s="102" t="str">
        <f ca="1">IFERROR(__xludf.DUMMYFUNCTION("IMPORTRANGE(H21522,""IDENTITAS UNIT!D9"")"),"#N/A")</f>
        <v>#N/A</v>
      </c>
      <c r="H21522" s="4" t="str">
        <v/>
      </c>
      <c r="I21522" s="4" t="str">
        <v/>
      </c>
    </row>
    <row r="21523" spans="5:9" ht="16.5" hidden="1">
      <c r="E21523" s="4" t="str">
        <v/>
      </c>
      <c r="F21523" s="102" t="str">
        <f ca="1">IFERROR(__xludf.DUMMYFUNCTION("IMPORTRANGE(H21523,""IDENTITAS UNIT!D9"")"),"#N/A")</f>
        <v>#N/A</v>
      </c>
      <c r="H21523" s="4" t="str">
        <v/>
      </c>
      <c r="I21523" s="4" t="str">
        <v/>
      </c>
    </row>
    <row r="21524" spans="5:9" ht="16.5" hidden="1">
      <c r="E21524" s="4" t="str">
        <v/>
      </c>
      <c r="F21524" s="102" t="str">
        <f ca="1">IFERROR(__xludf.DUMMYFUNCTION("IMPORTRANGE(H21524,""IDENTITAS UNIT!D9"")"),"#N/A")</f>
        <v>#N/A</v>
      </c>
      <c r="H21524" s="4" t="str">
        <v/>
      </c>
      <c r="I21524" s="4" t="str">
        <v/>
      </c>
    </row>
    <row r="21525" spans="5:9" ht="16.5" hidden="1">
      <c r="E21525" s="4" t="str">
        <v/>
      </c>
      <c r="F21525" s="102" t="str">
        <f ca="1">IFERROR(__xludf.DUMMYFUNCTION("IMPORTRANGE(H21525,""IDENTITAS UNIT!D9"")"),"#N/A")</f>
        <v>#N/A</v>
      </c>
      <c r="H21525" s="4" t="str">
        <v/>
      </c>
      <c r="I21525" s="4" t="str">
        <v/>
      </c>
    </row>
    <row r="21526" spans="5:9" ht="16.5" hidden="1">
      <c r="E21526" s="4" t="str">
        <v/>
      </c>
      <c r="F21526" s="102" t="str">
        <f ca="1">IFERROR(__xludf.DUMMYFUNCTION("IMPORTRANGE(H21526,""IDENTITAS UNIT!D9"")"),"#N/A")</f>
        <v>#N/A</v>
      </c>
      <c r="H21526" s="4" t="str">
        <v/>
      </c>
      <c r="I21526" s="4" t="str">
        <v/>
      </c>
    </row>
    <row r="21527" spans="5:9" ht="16.5" hidden="1">
      <c r="E21527" s="4" t="str">
        <v/>
      </c>
      <c r="F21527" s="102" t="str">
        <f ca="1">IFERROR(__xludf.DUMMYFUNCTION("IMPORTRANGE(H21527,""IDENTITAS UNIT!D9"")"),"#N/A")</f>
        <v>#N/A</v>
      </c>
      <c r="H21527" s="4" t="str">
        <v/>
      </c>
      <c r="I21527" s="4" t="str">
        <v/>
      </c>
    </row>
    <row r="21528" spans="5:9" ht="16.5" hidden="1">
      <c r="E21528" s="4" t="str">
        <v/>
      </c>
      <c r="F21528" s="102" t="str">
        <f ca="1">IFERROR(__xludf.DUMMYFUNCTION("IMPORTRANGE(H21528,""IDENTITAS UNIT!D9"")"),"#N/A")</f>
        <v>#N/A</v>
      </c>
      <c r="H21528" s="4" t="str">
        <v/>
      </c>
      <c r="I21528" s="4" t="str">
        <v/>
      </c>
    </row>
    <row r="21529" spans="5:9" ht="16.5" hidden="1">
      <c r="E21529" s="4" t="str">
        <v/>
      </c>
      <c r="F21529" s="102" t="str">
        <f ca="1">IFERROR(__xludf.DUMMYFUNCTION("IMPORTRANGE(H21529,""IDENTITAS UNIT!D9"")"),"#N/A")</f>
        <v>#N/A</v>
      </c>
      <c r="H21529" s="4" t="str">
        <v/>
      </c>
      <c r="I21529" s="4" t="str">
        <v/>
      </c>
    </row>
    <row r="21530" spans="5:9" ht="16.5" hidden="1">
      <c r="E21530" s="4" t="str">
        <v/>
      </c>
      <c r="F21530" s="102" t="str">
        <f ca="1">IFERROR(__xludf.DUMMYFUNCTION("IMPORTRANGE(H21530,""IDENTITAS UNIT!D9"")"),"#N/A")</f>
        <v>#N/A</v>
      </c>
      <c r="H21530" s="4" t="str">
        <v/>
      </c>
      <c r="I21530" s="4" t="str">
        <v/>
      </c>
    </row>
    <row r="21531" spans="5:9" ht="16.5" hidden="1">
      <c r="E21531" s="4" t="str">
        <v/>
      </c>
      <c r="F21531" s="102" t="str">
        <f ca="1">IFERROR(__xludf.DUMMYFUNCTION("IMPORTRANGE(H21531,""IDENTITAS UNIT!D9"")"),"#N/A")</f>
        <v>#N/A</v>
      </c>
      <c r="H21531" s="4" t="str">
        <v/>
      </c>
      <c r="I21531" s="4" t="str">
        <v/>
      </c>
    </row>
    <row r="21532" spans="5:9" ht="16.5" hidden="1">
      <c r="E21532" s="4" t="str">
        <v/>
      </c>
      <c r="F21532" s="102" t="str">
        <f ca="1">IFERROR(__xludf.DUMMYFUNCTION("IMPORTRANGE(H21532,""IDENTITAS UNIT!D9"")"),"#N/A")</f>
        <v>#N/A</v>
      </c>
      <c r="H21532" s="4" t="str">
        <v/>
      </c>
      <c r="I21532" s="4" t="str">
        <v/>
      </c>
    </row>
    <row r="21533" spans="5:9" ht="16.5" hidden="1">
      <c r="E21533" s="4" t="str">
        <v/>
      </c>
      <c r="F21533" s="102" t="str">
        <f ca="1">IFERROR(__xludf.DUMMYFUNCTION("IMPORTRANGE(H21533,""IDENTITAS UNIT!D9"")"),"#N/A")</f>
        <v>#N/A</v>
      </c>
      <c r="H21533" s="4" t="str">
        <v/>
      </c>
      <c r="I21533" s="4" t="str">
        <v/>
      </c>
    </row>
    <row r="21534" spans="5:9" ht="16.5" hidden="1">
      <c r="E21534" s="4" t="str">
        <v/>
      </c>
      <c r="F21534" s="102" t="str">
        <f ca="1">IFERROR(__xludf.DUMMYFUNCTION("IMPORTRANGE(H21534,""IDENTITAS UNIT!D9"")"),"#N/A")</f>
        <v>#N/A</v>
      </c>
      <c r="H21534" s="4" t="str">
        <v/>
      </c>
      <c r="I21534" s="4" t="str">
        <v/>
      </c>
    </row>
    <row r="21535" spans="5:9" ht="16.5" hidden="1">
      <c r="E21535" s="4" t="str">
        <v/>
      </c>
      <c r="F21535" s="102" t="str">
        <f ca="1">IFERROR(__xludf.DUMMYFUNCTION("IMPORTRANGE(H21535,""IDENTITAS UNIT!D9"")"),"#N/A")</f>
        <v>#N/A</v>
      </c>
      <c r="H21535" s="4" t="str">
        <v/>
      </c>
      <c r="I21535" s="4" t="str">
        <v/>
      </c>
    </row>
    <row r="21536" spans="5:9" ht="16.5" hidden="1">
      <c r="E21536" s="4" t="str">
        <v/>
      </c>
      <c r="F21536" s="102" t="str">
        <f ca="1">IFERROR(__xludf.DUMMYFUNCTION("IMPORTRANGE(H21536,""IDENTITAS UNIT!D9"")"),"#N/A")</f>
        <v>#N/A</v>
      </c>
      <c r="H21536" s="4" t="str">
        <v/>
      </c>
      <c r="I21536" s="4" t="str">
        <v/>
      </c>
    </row>
    <row r="21537" spans="5:9" ht="16.5" hidden="1">
      <c r="E21537" s="4" t="str">
        <v/>
      </c>
      <c r="F21537" s="102" t="str">
        <f ca="1">IFERROR(__xludf.DUMMYFUNCTION("IMPORTRANGE(H21537,""IDENTITAS UNIT!D9"")"),"#N/A")</f>
        <v>#N/A</v>
      </c>
      <c r="H21537" s="4" t="str">
        <v/>
      </c>
      <c r="I21537" s="4" t="str">
        <v/>
      </c>
    </row>
    <row r="21538" spans="5:9" ht="16.5" hidden="1">
      <c r="E21538" s="4" t="str">
        <v/>
      </c>
      <c r="F21538" s="102" t="str">
        <f ca="1">IFERROR(__xludf.DUMMYFUNCTION("IMPORTRANGE(H21538,""IDENTITAS UNIT!D9"")"),"#N/A")</f>
        <v>#N/A</v>
      </c>
      <c r="H21538" s="4" t="str">
        <v/>
      </c>
      <c r="I21538" s="4" t="str">
        <v/>
      </c>
    </row>
    <row r="21539" spans="5:9" ht="16.5" hidden="1">
      <c r="E21539" s="4" t="str">
        <v/>
      </c>
      <c r="F21539" s="102" t="str">
        <f ca="1">IFERROR(__xludf.DUMMYFUNCTION("IMPORTRANGE(H21539,""IDENTITAS UNIT!D9"")"),"#N/A")</f>
        <v>#N/A</v>
      </c>
      <c r="H21539" s="4" t="str">
        <v/>
      </c>
      <c r="I21539" s="4" t="str">
        <v/>
      </c>
    </row>
    <row r="21540" spans="5:9" ht="16.5" hidden="1">
      <c r="E21540" s="4" t="str">
        <v/>
      </c>
      <c r="F21540" s="102" t="str">
        <f ca="1">IFERROR(__xludf.DUMMYFUNCTION("IMPORTRANGE(H21540,""IDENTITAS UNIT!D9"")"),"#N/A")</f>
        <v>#N/A</v>
      </c>
      <c r="H21540" s="4" t="str">
        <v/>
      </c>
      <c r="I21540" s="4" t="str">
        <v/>
      </c>
    </row>
    <row r="21541" spans="5:9" ht="16.5" hidden="1">
      <c r="E21541" s="4" t="str">
        <v/>
      </c>
      <c r="F21541" s="102" t="str">
        <f ca="1">IFERROR(__xludf.DUMMYFUNCTION("IMPORTRANGE(H21541,""IDENTITAS UNIT!D9"")"),"#N/A")</f>
        <v>#N/A</v>
      </c>
      <c r="H21541" s="4" t="str">
        <v/>
      </c>
      <c r="I21541" s="4" t="str">
        <v/>
      </c>
    </row>
    <row r="21542" spans="5:9" ht="16.5" hidden="1">
      <c r="E21542" s="4" t="str">
        <v/>
      </c>
      <c r="F21542" s="102" t="str">
        <f ca="1">IFERROR(__xludf.DUMMYFUNCTION("IMPORTRANGE(H21542,""IDENTITAS UNIT!D9"")"),"#N/A")</f>
        <v>#N/A</v>
      </c>
      <c r="H21542" s="4" t="str">
        <v/>
      </c>
      <c r="I21542" s="4" t="str">
        <v/>
      </c>
    </row>
    <row r="21543" spans="5:9" ht="16.5" hidden="1">
      <c r="E21543" s="4" t="str">
        <v/>
      </c>
      <c r="F21543" s="102" t="str">
        <f ca="1">IFERROR(__xludf.DUMMYFUNCTION("IMPORTRANGE(H21543,""IDENTITAS UNIT!D9"")"),"#N/A")</f>
        <v>#N/A</v>
      </c>
      <c r="H21543" s="4" t="str">
        <v/>
      </c>
      <c r="I21543" s="4" t="str">
        <v/>
      </c>
    </row>
    <row r="21544" spans="5:9" ht="16.5" hidden="1">
      <c r="E21544" s="4" t="str">
        <v/>
      </c>
      <c r="F21544" s="102" t="str">
        <f ca="1">IFERROR(__xludf.DUMMYFUNCTION("IMPORTRANGE(H21544,""IDENTITAS UNIT!D9"")"),"#N/A")</f>
        <v>#N/A</v>
      </c>
      <c r="H21544" s="4" t="str">
        <v/>
      </c>
      <c r="I21544" s="4" t="str">
        <v/>
      </c>
    </row>
    <row r="21545" spans="5:9" ht="16.5" hidden="1">
      <c r="E21545" s="4" t="str">
        <v/>
      </c>
      <c r="F21545" s="102" t="str">
        <f ca="1">IFERROR(__xludf.DUMMYFUNCTION("IMPORTRANGE(H21545,""IDENTITAS UNIT!D9"")"),"#N/A")</f>
        <v>#N/A</v>
      </c>
      <c r="H21545" s="4" t="str">
        <v/>
      </c>
      <c r="I21545" s="4" t="str">
        <v/>
      </c>
    </row>
    <row r="21546" spans="5:9" ht="16.5" hidden="1">
      <c r="E21546" s="4" t="str">
        <v/>
      </c>
      <c r="F21546" s="102" t="str">
        <f ca="1">IFERROR(__xludf.DUMMYFUNCTION("IMPORTRANGE(H21546,""IDENTITAS UNIT!D9"")"),"#N/A")</f>
        <v>#N/A</v>
      </c>
      <c r="H21546" s="4" t="str">
        <v/>
      </c>
      <c r="I21546" s="4" t="str">
        <v/>
      </c>
    </row>
    <row r="21547" spans="5:9" ht="16.5" hidden="1">
      <c r="E21547" s="4" t="str">
        <v/>
      </c>
      <c r="F21547" s="102" t="str">
        <f ca="1">IFERROR(__xludf.DUMMYFUNCTION("IMPORTRANGE(H21547,""IDENTITAS UNIT!D9"")"),"#N/A")</f>
        <v>#N/A</v>
      </c>
      <c r="H21547" s="4" t="str">
        <v/>
      </c>
      <c r="I21547" s="4" t="str">
        <v/>
      </c>
    </row>
    <row r="21548" spans="5:9" ht="16.5" hidden="1">
      <c r="E21548" s="4" t="str">
        <v/>
      </c>
      <c r="F21548" s="102" t="str">
        <f ca="1">IFERROR(__xludf.DUMMYFUNCTION("IMPORTRANGE(H21548,""IDENTITAS UNIT!D9"")"),"#N/A")</f>
        <v>#N/A</v>
      </c>
      <c r="H21548" s="4" t="str">
        <v/>
      </c>
      <c r="I21548" s="4" t="str">
        <v/>
      </c>
    </row>
    <row r="21549" spans="5:9" ht="16.5" hidden="1">
      <c r="E21549" s="4" t="str">
        <v/>
      </c>
      <c r="F21549" s="102" t="str">
        <f ca="1">IFERROR(__xludf.DUMMYFUNCTION("IMPORTRANGE(H21549,""IDENTITAS UNIT!D9"")"),"#N/A")</f>
        <v>#N/A</v>
      </c>
      <c r="H21549" s="4" t="str">
        <v/>
      </c>
      <c r="I21549" s="4" t="str">
        <v/>
      </c>
    </row>
    <row r="21550" spans="5:9" ht="16.5" hidden="1">
      <c r="E21550" s="4" t="str">
        <v/>
      </c>
      <c r="F21550" s="102" t="str">
        <f ca="1">IFERROR(__xludf.DUMMYFUNCTION("IMPORTRANGE(H21550,""IDENTITAS UNIT!D9"")"),"#N/A")</f>
        <v>#N/A</v>
      </c>
      <c r="H21550" s="4" t="str">
        <v/>
      </c>
      <c r="I21550" s="4" t="str">
        <v/>
      </c>
    </row>
    <row r="21551" spans="5:9" ht="16.5" hidden="1">
      <c r="E21551" s="4" t="str">
        <v/>
      </c>
      <c r="F21551" s="102" t="str">
        <f ca="1">IFERROR(__xludf.DUMMYFUNCTION("IMPORTRANGE(H21551,""IDENTITAS UNIT!D9"")"),"#N/A")</f>
        <v>#N/A</v>
      </c>
      <c r="H21551" s="4" t="str">
        <v/>
      </c>
      <c r="I21551" s="4" t="str">
        <v/>
      </c>
    </row>
    <row r="21552" spans="5:9" ht="16.5" hidden="1">
      <c r="E21552" s="4" t="str">
        <v/>
      </c>
      <c r="F21552" s="102" t="str">
        <f ca="1">IFERROR(__xludf.DUMMYFUNCTION("IMPORTRANGE(H21552,""IDENTITAS UNIT!D9"")"),"#N/A")</f>
        <v>#N/A</v>
      </c>
      <c r="H21552" s="4" t="str">
        <v/>
      </c>
      <c r="I21552" s="4" t="str">
        <v/>
      </c>
    </row>
    <row r="21553" spans="5:9" ht="16.5" hidden="1">
      <c r="E21553" s="4" t="str">
        <v/>
      </c>
      <c r="F21553" s="102" t="str">
        <f ca="1">IFERROR(__xludf.DUMMYFUNCTION("IMPORTRANGE(H21553,""IDENTITAS UNIT!D9"")"),"#N/A")</f>
        <v>#N/A</v>
      </c>
      <c r="H21553" s="4" t="str">
        <v/>
      </c>
      <c r="I21553" s="4" t="str">
        <v/>
      </c>
    </row>
    <row r="21554" spans="5:9" ht="16.5" hidden="1">
      <c r="E21554" s="4" t="str">
        <v/>
      </c>
      <c r="F21554" s="102" t="str">
        <f ca="1">IFERROR(__xludf.DUMMYFUNCTION("IMPORTRANGE(H21554,""IDENTITAS UNIT!D9"")"),"#N/A")</f>
        <v>#N/A</v>
      </c>
      <c r="H21554" s="4" t="str">
        <v/>
      </c>
      <c r="I21554" s="4" t="str">
        <v/>
      </c>
    </row>
    <row r="21555" spans="5:9" ht="16.5" hidden="1">
      <c r="E21555" s="4" t="str">
        <v/>
      </c>
      <c r="F21555" s="102" t="str">
        <f ca="1">IFERROR(__xludf.DUMMYFUNCTION("IMPORTRANGE(H21555,""IDENTITAS UNIT!D9"")"),"#N/A")</f>
        <v>#N/A</v>
      </c>
      <c r="H21555" s="4" t="str">
        <v/>
      </c>
      <c r="I21555" s="4" t="str">
        <v/>
      </c>
    </row>
    <row r="21556" spans="5:9" ht="16.5" hidden="1">
      <c r="E21556" s="4" t="str">
        <v/>
      </c>
      <c r="F21556" s="102" t="str">
        <f ca="1">IFERROR(__xludf.DUMMYFUNCTION("IMPORTRANGE(H21556,""IDENTITAS UNIT!D9"")"),"#N/A")</f>
        <v>#N/A</v>
      </c>
      <c r="H21556" s="4" t="str">
        <v/>
      </c>
      <c r="I21556" s="4" t="str">
        <v/>
      </c>
    </row>
    <row r="21557" spans="5:9" ht="16.5" hidden="1">
      <c r="E21557" s="4" t="str">
        <v/>
      </c>
      <c r="F21557" s="102" t="str">
        <f ca="1">IFERROR(__xludf.DUMMYFUNCTION("IMPORTRANGE(H21557,""IDENTITAS UNIT!D9"")"),"#N/A")</f>
        <v>#N/A</v>
      </c>
      <c r="H21557" s="4" t="str">
        <v/>
      </c>
      <c r="I21557" s="4" t="str">
        <v/>
      </c>
    </row>
    <row r="21558" spans="5:9" ht="16.5" hidden="1">
      <c r="E21558" s="4" t="str">
        <v/>
      </c>
      <c r="F21558" s="102" t="str">
        <f ca="1">IFERROR(__xludf.DUMMYFUNCTION("IMPORTRANGE(H21558,""IDENTITAS UNIT!D9"")"),"#N/A")</f>
        <v>#N/A</v>
      </c>
      <c r="H21558" s="4" t="str">
        <v/>
      </c>
      <c r="I21558" s="4" t="str">
        <v/>
      </c>
    </row>
    <row r="21559" spans="5:9" ht="16.5" hidden="1">
      <c r="E21559" s="4" t="str">
        <v/>
      </c>
      <c r="F21559" s="102" t="str">
        <f ca="1">IFERROR(__xludf.DUMMYFUNCTION("IMPORTRANGE(H21559,""IDENTITAS UNIT!D9"")"),"#N/A")</f>
        <v>#N/A</v>
      </c>
      <c r="H21559" s="4" t="str">
        <v/>
      </c>
      <c r="I21559" s="4" t="str">
        <v/>
      </c>
    </row>
    <row r="21560" spans="5:9" ht="16.5" hidden="1">
      <c r="E21560" s="4" t="str">
        <v/>
      </c>
      <c r="F21560" s="102" t="str">
        <f ca="1">IFERROR(__xludf.DUMMYFUNCTION("IMPORTRANGE(H21560,""IDENTITAS UNIT!D9"")"),"#N/A")</f>
        <v>#N/A</v>
      </c>
      <c r="H21560" s="4" t="str">
        <v/>
      </c>
      <c r="I21560" s="4" t="str">
        <v/>
      </c>
    </row>
    <row r="21561" spans="5:9" ht="16.5" hidden="1">
      <c r="E21561" s="4" t="str">
        <v/>
      </c>
      <c r="F21561" s="102" t="str">
        <f ca="1">IFERROR(__xludf.DUMMYFUNCTION("IMPORTRANGE(H21561,""IDENTITAS UNIT!D9"")"),"#N/A")</f>
        <v>#N/A</v>
      </c>
      <c r="H21561" s="4" t="str">
        <v/>
      </c>
      <c r="I21561" s="4" t="str">
        <v/>
      </c>
    </row>
    <row r="21562" spans="5:9" ht="16.5" hidden="1">
      <c r="E21562" s="4" t="str">
        <v/>
      </c>
      <c r="F21562" s="102" t="str">
        <f ca="1">IFERROR(__xludf.DUMMYFUNCTION("IMPORTRANGE(H21562,""IDENTITAS UNIT!D9"")"),"#N/A")</f>
        <v>#N/A</v>
      </c>
      <c r="H21562" s="4" t="str">
        <v/>
      </c>
      <c r="I21562" s="4" t="str">
        <v/>
      </c>
    </row>
    <row r="21563" spans="5:9" ht="16.5" hidden="1">
      <c r="E21563" s="4" t="str">
        <v/>
      </c>
      <c r="F21563" s="102" t="str">
        <f ca="1">IFERROR(__xludf.DUMMYFUNCTION("IMPORTRANGE(H21563,""IDENTITAS UNIT!D9"")"),"#N/A")</f>
        <v>#N/A</v>
      </c>
      <c r="H21563" s="4" t="str">
        <v/>
      </c>
      <c r="I21563" s="4" t="str">
        <v/>
      </c>
    </row>
    <row r="21564" spans="5:9" ht="16.5" hidden="1">
      <c r="E21564" s="4" t="str">
        <v/>
      </c>
      <c r="F21564" s="102" t="str">
        <f ca="1">IFERROR(__xludf.DUMMYFUNCTION("IMPORTRANGE(H21564,""IDENTITAS UNIT!D9"")"),"#N/A")</f>
        <v>#N/A</v>
      </c>
      <c r="H21564" s="4" t="str">
        <v/>
      </c>
      <c r="I21564" s="4" t="str">
        <v/>
      </c>
    </row>
    <row r="21565" spans="5:9" ht="16.5" hidden="1">
      <c r="E21565" s="4" t="str">
        <v/>
      </c>
      <c r="F21565" s="102" t="str">
        <f ca="1">IFERROR(__xludf.DUMMYFUNCTION("IMPORTRANGE(H21565,""IDENTITAS UNIT!D9"")"),"#N/A")</f>
        <v>#N/A</v>
      </c>
      <c r="H21565" s="4" t="str">
        <v/>
      </c>
      <c r="I21565" s="4" t="str">
        <v/>
      </c>
    </row>
    <row r="21566" spans="5:9" ht="16.5" hidden="1">
      <c r="E21566" s="4" t="str">
        <v/>
      </c>
      <c r="F21566" s="102" t="str">
        <f ca="1">IFERROR(__xludf.DUMMYFUNCTION("IMPORTRANGE(H21566,""IDENTITAS UNIT!D9"")"),"#N/A")</f>
        <v>#N/A</v>
      </c>
      <c r="H21566" s="4" t="str">
        <v/>
      </c>
      <c r="I21566" s="4" t="str">
        <v/>
      </c>
    </row>
    <row r="21567" spans="5:9" ht="16.5" hidden="1">
      <c r="E21567" s="4" t="str">
        <v/>
      </c>
      <c r="F21567" s="102" t="str">
        <f ca="1">IFERROR(__xludf.DUMMYFUNCTION("IMPORTRANGE(H21567,""IDENTITAS UNIT!D9"")"),"#N/A")</f>
        <v>#N/A</v>
      </c>
      <c r="H21567" s="4" t="str">
        <v/>
      </c>
      <c r="I21567" s="4" t="str">
        <v/>
      </c>
    </row>
    <row r="21568" spans="5:9" ht="16.5" hidden="1">
      <c r="E21568" s="4" t="str">
        <v/>
      </c>
      <c r="F21568" s="102" t="str">
        <f ca="1">IFERROR(__xludf.DUMMYFUNCTION("IMPORTRANGE(H21568,""IDENTITAS UNIT!D9"")"),"#N/A")</f>
        <v>#N/A</v>
      </c>
      <c r="H21568" s="4" t="str">
        <v/>
      </c>
      <c r="I21568" s="4" t="str">
        <v/>
      </c>
    </row>
    <row r="21569" spans="5:9" ht="16.5" hidden="1">
      <c r="E21569" s="4" t="str">
        <v/>
      </c>
      <c r="F21569" s="102" t="str">
        <f ca="1">IFERROR(__xludf.DUMMYFUNCTION("IMPORTRANGE(H21569,""IDENTITAS UNIT!D9"")"),"#N/A")</f>
        <v>#N/A</v>
      </c>
      <c r="H21569" s="4" t="str">
        <v/>
      </c>
      <c r="I21569" s="4" t="str">
        <v/>
      </c>
    </row>
    <row r="21570" spans="5:9" ht="16.5" hidden="1">
      <c r="E21570" s="4" t="str">
        <v/>
      </c>
      <c r="F21570" s="102" t="str">
        <f ca="1">IFERROR(__xludf.DUMMYFUNCTION("IMPORTRANGE(H21570,""IDENTITAS UNIT!D9"")"),"#N/A")</f>
        <v>#N/A</v>
      </c>
      <c r="H21570" s="4" t="str">
        <v/>
      </c>
      <c r="I21570" s="4" t="str">
        <v/>
      </c>
    </row>
    <row r="21571" spans="5:9" ht="16.5" hidden="1">
      <c r="E21571" s="4" t="str">
        <v/>
      </c>
      <c r="F21571" s="102" t="str">
        <f ca="1">IFERROR(__xludf.DUMMYFUNCTION("IMPORTRANGE(H21571,""IDENTITAS UNIT!D9"")"),"#N/A")</f>
        <v>#N/A</v>
      </c>
      <c r="H21571" s="4" t="str">
        <v/>
      </c>
      <c r="I21571" s="4" t="str">
        <v/>
      </c>
    </row>
    <row r="21572" spans="5:9" ht="16.5" hidden="1">
      <c r="E21572" s="4" t="str">
        <v/>
      </c>
      <c r="F21572" s="102" t="str">
        <f ca="1">IFERROR(__xludf.DUMMYFUNCTION("IMPORTRANGE(H21572,""IDENTITAS UNIT!D9"")"),"#N/A")</f>
        <v>#N/A</v>
      </c>
      <c r="H21572" s="4" t="str">
        <v/>
      </c>
      <c r="I21572" s="4" t="str">
        <v/>
      </c>
    </row>
    <row r="21573" spans="5:9" ht="16.5" hidden="1">
      <c r="E21573" s="4" t="str">
        <v/>
      </c>
      <c r="F21573" s="102" t="str">
        <f ca="1">IFERROR(__xludf.DUMMYFUNCTION("IMPORTRANGE(H21573,""IDENTITAS UNIT!D9"")"),"#N/A")</f>
        <v>#N/A</v>
      </c>
      <c r="H21573" s="4" t="str">
        <v/>
      </c>
      <c r="I21573" s="4" t="str">
        <v/>
      </c>
    </row>
    <row r="21574" spans="5:9" ht="16.5" hidden="1">
      <c r="E21574" s="4" t="str">
        <v/>
      </c>
      <c r="F21574" s="102" t="str">
        <f ca="1">IFERROR(__xludf.DUMMYFUNCTION("IMPORTRANGE(H21574,""IDENTITAS UNIT!D9"")"),"#N/A")</f>
        <v>#N/A</v>
      </c>
      <c r="H21574" s="4" t="str">
        <v/>
      </c>
      <c r="I21574" s="4" t="str">
        <v/>
      </c>
    </row>
    <row r="21575" spans="5:9" ht="16.5" hidden="1">
      <c r="E21575" s="4" t="str">
        <v/>
      </c>
      <c r="F21575" s="102" t="str">
        <f ca="1">IFERROR(__xludf.DUMMYFUNCTION("IMPORTRANGE(H21575,""IDENTITAS UNIT!D9"")"),"#N/A")</f>
        <v>#N/A</v>
      </c>
      <c r="H21575" s="4" t="str">
        <v/>
      </c>
      <c r="I21575" s="4" t="str">
        <v/>
      </c>
    </row>
    <row r="21576" spans="5:9" ht="16.5" hidden="1">
      <c r="E21576" s="4" t="str">
        <v/>
      </c>
      <c r="F21576" s="102" t="str">
        <f ca="1">IFERROR(__xludf.DUMMYFUNCTION("IMPORTRANGE(H21576,""IDENTITAS UNIT!D9"")"),"#N/A")</f>
        <v>#N/A</v>
      </c>
      <c r="H21576" s="4" t="str">
        <v/>
      </c>
      <c r="I21576" s="4" t="str">
        <v/>
      </c>
    </row>
    <row r="21577" spans="5:9" ht="16.5" hidden="1">
      <c r="E21577" s="4" t="str">
        <v/>
      </c>
      <c r="F21577" s="102" t="str">
        <f ca="1">IFERROR(__xludf.DUMMYFUNCTION("IMPORTRANGE(H21577,""IDENTITAS UNIT!D9"")"),"#N/A")</f>
        <v>#N/A</v>
      </c>
      <c r="H21577" s="4" t="str">
        <v/>
      </c>
      <c r="I21577" s="4" t="str">
        <v/>
      </c>
    </row>
    <row r="21578" spans="5:9" ht="16.5" hidden="1">
      <c r="E21578" s="4" t="str">
        <v/>
      </c>
      <c r="F21578" s="102" t="str">
        <f ca="1">IFERROR(__xludf.DUMMYFUNCTION("IMPORTRANGE(H21578,""IDENTITAS UNIT!D9"")"),"#N/A")</f>
        <v>#N/A</v>
      </c>
      <c r="H21578" s="4" t="str">
        <v/>
      </c>
      <c r="I21578" s="4" t="str">
        <v/>
      </c>
    </row>
    <row r="21579" spans="5:9" ht="16.5" hidden="1">
      <c r="E21579" s="4" t="str">
        <v/>
      </c>
      <c r="F21579" s="102" t="str">
        <f ca="1">IFERROR(__xludf.DUMMYFUNCTION("IMPORTRANGE(H21579,""IDENTITAS UNIT!D9"")"),"#N/A")</f>
        <v>#N/A</v>
      </c>
      <c r="H21579" s="4" t="str">
        <v/>
      </c>
      <c r="I21579" s="4" t="str">
        <v/>
      </c>
    </row>
    <row r="21580" spans="5:9" ht="16.5" hidden="1">
      <c r="E21580" s="4" t="str">
        <v/>
      </c>
      <c r="F21580" s="102" t="str">
        <f ca="1">IFERROR(__xludf.DUMMYFUNCTION("IMPORTRANGE(H21580,""IDENTITAS UNIT!D9"")"),"#N/A")</f>
        <v>#N/A</v>
      </c>
      <c r="H21580" s="4" t="str">
        <v/>
      </c>
      <c r="I21580" s="4" t="str">
        <v/>
      </c>
    </row>
    <row r="21581" spans="5:9" ht="16.5" hidden="1">
      <c r="E21581" s="4" t="str">
        <v/>
      </c>
      <c r="F21581" s="102" t="str">
        <f ca="1">IFERROR(__xludf.DUMMYFUNCTION("IMPORTRANGE(H21581,""IDENTITAS UNIT!D9"")"),"#N/A")</f>
        <v>#N/A</v>
      </c>
      <c r="H21581" s="4" t="str">
        <v/>
      </c>
      <c r="I21581" s="4" t="str">
        <v/>
      </c>
    </row>
    <row r="21582" spans="5:9" ht="16.5" hidden="1">
      <c r="E21582" s="4" t="str">
        <v/>
      </c>
      <c r="F21582" s="102" t="str">
        <f ca="1">IFERROR(__xludf.DUMMYFUNCTION("IMPORTRANGE(H21582,""IDENTITAS UNIT!D9"")"),"#N/A")</f>
        <v>#N/A</v>
      </c>
      <c r="H21582" s="4" t="str">
        <v/>
      </c>
      <c r="I21582" s="4" t="str">
        <v/>
      </c>
    </row>
    <row r="21583" spans="5:9" ht="16.5" hidden="1">
      <c r="E21583" s="4" t="str">
        <v/>
      </c>
      <c r="F21583" s="102" t="str">
        <f ca="1">IFERROR(__xludf.DUMMYFUNCTION("IMPORTRANGE(H21583,""IDENTITAS UNIT!D9"")"),"#N/A")</f>
        <v>#N/A</v>
      </c>
      <c r="H21583" s="4" t="str">
        <v/>
      </c>
      <c r="I21583" s="4" t="str">
        <v/>
      </c>
    </row>
    <row r="21584" spans="5:9" ht="16.5" hidden="1">
      <c r="E21584" s="4" t="str">
        <v/>
      </c>
      <c r="F21584" s="102" t="str">
        <f ca="1">IFERROR(__xludf.DUMMYFUNCTION("IMPORTRANGE(H21584,""IDENTITAS UNIT!D9"")"),"#N/A")</f>
        <v>#N/A</v>
      </c>
      <c r="H21584" s="4" t="str">
        <v/>
      </c>
      <c r="I21584" s="4" t="str">
        <v/>
      </c>
    </row>
    <row r="21585" spans="5:9" ht="16.5" hidden="1">
      <c r="E21585" s="4" t="str">
        <v/>
      </c>
      <c r="F21585" s="102" t="str">
        <f ca="1">IFERROR(__xludf.DUMMYFUNCTION("IMPORTRANGE(H21585,""IDENTITAS UNIT!D9"")"),"#N/A")</f>
        <v>#N/A</v>
      </c>
      <c r="H21585" s="4" t="str">
        <v/>
      </c>
      <c r="I21585" s="4" t="str">
        <v/>
      </c>
    </row>
    <row r="21586" spans="5:9" ht="16.5" hidden="1">
      <c r="E21586" s="4" t="str">
        <v/>
      </c>
      <c r="F21586" s="102" t="str">
        <f ca="1">IFERROR(__xludf.DUMMYFUNCTION("IMPORTRANGE(H21586,""IDENTITAS UNIT!D9"")"),"#N/A")</f>
        <v>#N/A</v>
      </c>
      <c r="H21586" s="4" t="str">
        <v/>
      </c>
      <c r="I21586" s="4" t="str">
        <v/>
      </c>
    </row>
    <row r="21587" spans="5:9" ht="16.5" hidden="1">
      <c r="E21587" s="4" t="str">
        <v/>
      </c>
      <c r="F21587" s="102" t="str">
        <f ca="1">IFERROR(__xludf.DUMMYFUNCTION("IMPORTRANGE(H21587,""IDENTITAS UNIT!D9"")"),"#N/A")</f>
        <v>#N/A</v>
      </c>
      <c r="H21587" s="4" t="str">
        <v/>
      </c>
      <c r="I21587" s="4" t="str">
        <v/>
      </c>
    </row>
    <row r="21588" spans="5:9" ht="16.5" hidden="1">
      <c r="E21588" s="4" t="str">
        <v/>
      </c>
      <c r="F21588" s="102" t="str">
        <f ca="1">IFERROR(__xludf.DUMMYFUNCTION("IMPORTRANGE(H21588,""IDENTITAS UNIT!D9"")"),"#N/A")</f>
        <v>#N/A</v>
      </c>
      <c r="H21588" s="4" t="str">
        <v/>
      </c>
      <c r="I21588" s="4" t="str">
        <v/>
      </c>
    </row>
    <row r="21589" spans="5:9" ht="16.5" hidden="1">
      <c r="E21589" s="4" t="str">
        <v/>
      </c>
      <c r="F21589" s="102" t="str">
        <f ca="1">IFERROR(__xludf.DUMMYFUNCTION("IMPORTRANGE(H21589,""IDENTITAS UNIT!D9"")"),"#N/A")</f>
        <v>#N/A</v>
      </c>
      <c r="H21589" s="4" t="str">
        <v/>
      </c>
      <c r="I21589" s="4" t="str">
        <v/>
      </c>
    </row>
    <row r="21590" spans="5:9" ht="16.5" hidden="1">
      <c r="E21590" s="4" t="str">
        <v/>
      </c>
      <c r="F21590" s="102" t="str">
        <f ca="1">IFERROR(__xludf.DUMMYFUNCTION("IMPORTRANGE(H21590,""IDENTITAS UNIT!D9"")"),"#N/A")</f>
        <v>#N/A</v>
      </c>
      <c r="H21590" s="4" t="str">
        <v/>
      </c>
      <c r="I21590" s="4" t="str">
        <v/>
      </c>
    </row>
    <row r="21591" spans="5:9" ht="16.5" hidden="1">
      <c r="E21591" s="4" t="str">
        <v/>
      </c>
      <c r="F21591" s="102" t="str">
        <f ca="1">IFERROR(__xludf.DUMMYFUNCTION("IMPORTRANGE(H21591,""IDENTITAS UNIT!D9"")"),"#N/A")</f>
        <v>#N/A</v>
      </c>
      <c r="H21591" s="4" t="str">
        <v/>
      </c>
      <c r="I21591" s="4" t="str">
        <v/>
      </c>
    </row>
    <row r="21592" spans="5:9" ht="16.5" hidden="1">
      <c r="E21592" s="4" t="str">
        <v/>
      </c>
      <c r="F21592" s="102" t="str">
        <f ca="1">IFERROR(__xludf.DUMMYFUNCTION("IMPORTRANGE(H21592,""IDENTITAS UNIT!D9"")"),"#N/A")</f>
        <v>#N/A</v>
      </c>
      <c r="H21592" s="4" t="str">
        <v/>
      </c>
      <c r="I21592" s="4" t="str">
        <v/>
      </c>
    </row>
    <row r="21593" spans="5:9" ht="16.5" hidden="1">
      <c r="E21593" s="4" t="str">
        <v/>
      </c>
      <c r="F21593" s="102" t="str">
        <f ca="1">IFERROR(__xludf.DUMMYFUNCTION("IMPORTRANGE(H21593,""IDENTITAS UNIT!D9"")"),"#N/A")</f>
        <v>#N/A</v>
      </c>
      <c r="H21593" s="4" t="str">
        <v/>
      </c>
      <c r="I21593" s="4" t="str">
        <v/>
      </c>
    </row>
    <row r="21594" spans="5:9" ht="16.5" hidden="1">
      <c r="E21594" s="4" t="str">
        <v/>
      </c>
      <c r="F21594" s="102" t="str">
        <f ca="1">IFERROR(__xludf.DUMMYFUNCTION("IMPORTRANGE(H21594,""IDENTITAS UNIT!D9"")"),"#N/A")</f>
        <v>#N/A</v>
      </c>
      <c r="H21594" s="4" t="str">
        <v/>
      </c>
      <c r="I21594" s="4" t="str">
        <v/>
      </c>
    </row>
    <row r="21595" spans="5:9" ht="16.5" hidden="1">
      <c r="E21595" s="4" t="str">
        <v/>
      </c>
      <c r="F21595" s="102" t="str">
        <f ca="1">IFERROR(__xludf.DUMMYFUNCTION("IMPORTRANGE(H21595,""IDENTITAS UNIT!D9"")"),"#N/A")</f>
        <v>#N/A</v>
      </c>
      <c r="H21595" s="4" t="str">
        <v/>
      </c>
      <c r="I21595" s="4" t="str">
        <v/>
      </c>
    </row>
    <row r="21596" spans="5:9" ht="16.5" hidden="1">
      <c r="E21596" s="4" t="str">
        <v/>
      </c>
      <c r="F21596" s="102" t="str">
        <f ca="1">IFERROR(__xludf.DUMMYFUNCTION("IMPORTRANGE(H21596,""IDENTITAS UNIT!D9"")"),"#N/A")</f>
        <v>#N/A</v>
      </c>
      <c r="H21596" s="4" t="str">
        <v/>
      </c>
      <c r="I21596" s="4" t="str">
        <v/>
      </c>
    </row>
    <row r="21597" spans="5:9" ht="16.5" hidden="1">
      <c r="E21597" s="4" t="str">
        <v/>
      </c>
      <c r="F21597" s="102" t="str">
        <f ca="1">IFERROR(__xludf.DUMMYFUNCTION("IMPORTRANGE(H21597,""IDENTITAS UNIT!D9"")"),"#N/A")</f>
        <v>#N/A</v>
      </c>
      <c r="H21597" s="4" t="str">
        <v/>
      </c>
      <c r="I21597" s="4" t="str">
        <v/>
      </c>
    </row>
    <row r="21598" spans="5:9" ht="16.5" hidden="1">
      <c r="E21598" s="4" t="str">
        <v/>
      </c>
      <c r="F21598" s="102" t="str">
        <f ca="1">IFERROR(__xludf.DUMMYFUNCTION("IMPORTRANGE(H21598,""IDENTITAS UNIT!D9"")"),"#N/A")</f>
        <v>#N/A</v>
      </c>
      <c r="H21598" s="4" t="str">
        <v/>
      </c>
      <c r="I21598" s="4" t="str">
        <v/>
      </c>
    </row>
    <row r="21599" spans="5:9" ht="16.5" hidden="1">
      <c r="E21599" s="4" t="str">
        <v/>
      </c>
      <c r="F21599" s="102" t="str">
        <f ca="1">IFERROR(__xludf.DUMMYFUNCTION("IMPORTRANGE(H21599,""IDENTITAS UNIT!D9"")"),"#N/A")</f>
        <v>#N/A</v>
      </c>
      <c r="H21599" s="4" t="str">
        <v/>
      </c>
      <c r="I21599" s="4" t="str">
        <v/>
      </c>
    </row>
    <row r="21600" spans="5:9" ht="16.5" hidden="1">
      <c r="E21600" s="4" t="str">
        <v/>
      </c>
      <c r="F21600" s="102" t="str">
        <f ca="1">IFERROR(__xludf.DUMMYFUNCTION("IMPORTRANGE(H21600,""IDENTITAS UNIT!D9"")"),"#N/A")</f>
        <v>#N/A</v>
      </c>
      <c r="H21600" s="4" t="str">
        <v/>
      </c>
      <c r="I21600" s="4" t="str">
        <v/>
      </c>
    </row>
    <row r="21601" spans="5:9" ht="16.5" hidden="1">
      <c r="E21601" s="4" t="str">
        <v/>
      </c>
      <c r="F21601" s="102" t="str">
        <f ca="1">IFERROR(__xludf.DUMMYFUNCTION("IMPORTRANGE(H21601,""IDENTITAS UNIT!D9"")"),"#N/A")</f>
        <v>#N/A</v>
      </c>
      <c r="H21601" s="4" t="str">
        <v/>
      </c>
      <c r="I21601" s="4" t="str">
        <v/>
      </c>
    </row>
    <row r="21602" spans="5:9" ht="16.5" hidden="1">
      <c r="E21602" s="4" t="str">
        <v/>
      </c>
      <c r="F21602" s="102" t="str">
        <f ca="1">IFERROR(__xludf.DUMMYFUNCTION("IMPORTRANGE(H21602,""IDENTITAS UNIT!D9"")"),"#N/A")</f>
        <v>#N/A</v>
      </c>
      <c r="H21602" s="4" t="str">
        <v/>
      </c>
      <c r="I21602" s="4" t="str">
        <v/>
      </c>
    </row>
    <row r="21603" spans="5:9" ht="16.5" hidden="1">
      <c r="E21603" s="4" t="str">
        <v/>
      </c>
      <c r="F21603" s="102" t="str">
        <f ca="1">IFERROR(__xludf.DUMMYFUNCTION("IMPORTRANGE(H21603,""IDENTITAS UNIT!D9"")"),"#N/A")</f>
        <v>#N/A</v>
      </c>
      <c r="H21603" s="4" t="str">
        <v/>
      </c>
      <c r="I21603" s="4" t="str">
        <v/>
      </c>
    </row>
    <row r="21604" spans="5:9" ht="16.5" hidden="1">
      <c r="E21604" s="4" t="str">
        <v/>
      </c>
      <c r="F21604" s="102" t="str">
        <f ca="1">IFERROR(__xludf.DUMMYFUNCTION("IMPORTRANGE(H21604,""IDENTITAS UNIT!D9"")"),"#N/A")</f>
        <v>#N/A</v>
      </c>
      <c r="H21604" s="4" t="str">
        <v/>
      </c>
      <c r="I21604" s="4" t="str">
        <v/>
      </c>
    </row>
    <row r="21605" spans="5:9" ht="16.5" hidden="1">
      <c r="E21605" s="4" t="str">
        <v/>
      </c>
      <c r="F21605" s="102" t="str">
        <f ca="1">IFERROR(__xludf.DUMMYFUNCTION("IMPORTRANGE(H21605,""IDENTITAS UNIT!D9"")"),"#N/A")</f>
        <v>#N/A</v>
      </c>
      <c r="H21605" s="4" t="str">
        <v/>
      </c>
      <c r="I21605" s="4" t="str">
        <v/>
      </c>
    </row>
    <row r="21606" spans="5:9" ht="16.5" hidden="1">
      <c r="E21606" s="4" t="str">
        <v/>
      </c>
      <c r="F21606" s="102" t="str">
        <f ca="1">IFERROR(__xludf.DUMMYFUNCTION("IMPORTRANGE(H21606,""IDENTITAS UNIT!D9"")"),"#N/A")</f>
        <v>#N/A</v>
      </c>
      <c r="H21606" s="4" t="str">
        <v/>
      </c>
      <c r="I21606" s="4" t="str">
        <v/>
      </c>
    </row>
    <row r="21607" spans="5:9" ht="16.5" hidden="1">
      <c r="E21607" s="4" t="str">
        <v/>
      </c>
      <c r="F21607" s="102" t="str">
        <f ca="1">IFERROR(__xludf.DUMMYFUNCTION("IMPORTRANGE(H21607,""IDENTITAS UNIT!D9"")"),"#N/A")</f>
        <v>#N/A</v>
      </c>
      <c r="H21607" s="4" t="str">
        <v/>
      </c>
      <c r="I21607" s="4" t="str">
        <v/>
      </c>
    </row>
    <row r="21608" spans="5:9" ht="16.5" hidden="1">
      <c r="E21608" s="4" t="str">
        <v/>
      </c>
      <c r="F21608" s="102" t="str">
        <f ca="1">IFERROR(__xludf.DUMMYFUNCTION("IMPORTRANGE(H21608,""IDENTITAS UNIT!D9"")"),"#N/A")</f>
        <v>#N/A</v>
      </c>
      <c r="H21608" s="4" t="str">
        <v/>
      </c>
      <c r="I21608" s="4" t="str">
        <v/>
      </c>
    </row>
    <row r="21609" spans="5:9" ht="16.5" hidden="1">
      <c r="E21609" s="4" t="str">
        <v/>
      </c>
      <c r="F21609" s="102" t="str">
        <f ca="1">IFERROR(__xludf.DUMMYFUNCTION("IMPORTRANGE(H21609,""IDENTITAS UNIT!D9"")"),"#N/A")</f>
        <v>#N/A</v>
      </c>
      <c r="H21609" s="4" t="str">
        <v/>
      </c>
      <c r="I21609" s="4" t="str">
        <v/>
      </c>
    </row>
    <row r="21610" spans="5:9" ht="16.5" hidden="1">
      <c r="E21610" s="4" t="str">
        <v/>
      </c>
      <c r="F21610" s="102" t="str">
        <f ca="1">IFERROR(__xludf.DUMMYFUNCTION("IMPORTRANGE(H21610,""IDENTITAS UNIT!D9"")"),"#N/A")</f>
        <v>#N/A</v>
      </c>
      <c r="H21610" s="4" t="str">
        <v/>
      </c>
      <c r="I21610" s="4" t="str">
        <v/>
      </c>
    </row>
    <row r="21611" spans="5:9" ht="16.5" hidden="1">
      <c r="E21611" s="4" t="str">
        <v/>
      </c>
      <c r="F21611" s="102" t="str">
        <f ca="1">IFERROR(__xludf.DUMMYFUNCTION("IMPORTRANGE(H21611,""IDENTITAS UNIT!D9"")"),"#N/A")</f>
        <v>#N/A</v>
      </c>
      <c r="H21611" s="4" t="str">
        <v/>
      </c>
      <c r="I21611" s="4" t="str">
        <v/>
      </c>
    </row>
    <row r="21612" spans="5:9" ht="16.5" hidden="1">
      <c r="E21612" s="4" t="str">
        <v/>
      </c>
      <c r="F21612" s="102" t="str">
        <f ca="1">IFERROR(__xludf.DUMMYFUNCTION("IMPORTRANGE(H21612,""IDENTITAS UNIT!D9"")"),"#N/A")</f>
        <v>#N/A</v>
      </c>
      <c r="H21612" s="4" t="str">
        <v/>
      </c>
      <c r="I21612" s="4" t="str">
        <v/>
      </c>
    </row>
    <row r="21613" spans="5:9" ht="16.5" hidden="1">
      <c r="E21613" s="4" t="str">
        <v/>
      </c>
      <c r="F21613" s="102" t="str">
        <f ca="1">IFERROR(__xludf.DUMMYFUNCTION("IMPORTRANGE(H21613,""IDENTITAS UNIT!D9"")"),"#N/A")</f>
        <v>#N/A</v>
      </c>
      <c r="H21613" s="4" t="str">
        <v/>
      </c>
      <c r="I21613" s="4" t="str">
        <v/>
      </c>
    </row>
    <row r="21614" spans="5:9" ht="16.5" hidden="1">
      <c r="E21614" s="4" t="str">
        <v/>
      </c>
      <c r="F21614" s="102" t="str">
        <f ca="1">IFERROR(__xludf.DUMMYFUNCTION("IMPORTRANGE(H21614,""IDENTITAS UNIT!D9"")"),"#N/A")</f>
        <v>#N/A</v>
      </c>
      <c r="H21614" s="4" t="str">
        <v/>
      </c>
      <c r="I21614" s="4" t="str">
        <v/>
      </c>
    </row>
    <row r="21615" spans="5:9" ht="16.5" hidden="1">
      <c r="E21615" s="4" t="str">
        <v/>
      </c>
      <c r="F21615" s="102" t="str">
        <f ca="1">IFERROR(__xludf.DUMMYFUNCTION("IMPORTRANGE(H21615,""IDENTITAS UNIT!D9"")"),"#N/A")</f>
        <v>#N/A</v>
      </c>
      <c r="H21615" s="4" t="str">
        <v/>
      </c>
      <c r="I21615" s="4" t="str">
        <v/>
      </c>
    </row>
    <row r="21616" spans="5:9" ht="16.5" hidden="1">
      <c r="E21616" s="4" t="str">
        <v/>
      </c>
      <c r="F21616" s="102" t="str">
        <f ca="1">IFERROR(__xludf.DUMMYFUNCTION("IMPORTRANGE(H21616,""IDENTITAS UNIT!D9"")"),"#N/A")</f>
        <v>#N/A</v>
      </c>
      <c r="H21616" s="4" t="str">
        <v/>
      </c>
      <c r="I21616" s="4" t="str">
        <v/>
      </c>
    </row>
    <row r="21617" spans="5:9" ht="16.5" hidden="1">
      <c r="E21617" s="4" t="str">
        <v/>
      </c>
      <c r="F21617" s="102" t="str">
        <f ca="1">IFERROR(__xludf.DUMMYFUNCTION("IMPORTRANGE(H21617,""IDENTITAS UNIT!D9"")"),"#N/A")</f>
        <v>#N/A</v>
      </c>
      <c r="H21617" s="4" t="str">
        <v/>
      </c>
      <c r="I21617" s="4" t="str">
        <v/>
      </c>
    </row>
    <row r="21618" spans="5:9" ht="16.5" hidden="1">
      <c r="E21618" s="4" t="str">
        <v/>
      </c>
      <c r="F21618" s="102" t="str">
        <f ca="1">IFERROR(__xludf.DUMMYFUNCTION("IMPORTRANGE(H21618,""IDENTITAS UNIT!D9"")"),"#N/A")</f>
        <v>#N/A</v>
      </c>
      <c r="H21618" s="4" t="str">
        <v/>
      </c>
      <c r="I21618" s="4" t="str">
        <v/>
      </c>
    </row>
    <row r="21619" spans="5:9" ht="16.5" hidden="1">
      <c r="E21619" s="4" t="str">
        <v/>
      </c>
      <c r="F21619" s="102" t="str">
        <f ca="1">IFERROR(__xludf.DUMMYFUNCTION("IMPORTRANGE(H21619,""IDENTITAS UNIT!D9"")"),"#N/A")</f>
        <v>#N/A</v>
      </c>
      <c r="H21619" s="4" t="str">
        <v/>
      </c>
      <c r="I21619" s="4" t="str">
        <v/>
      </c>
    </row>
    <row r="21620" spans="5:9" ht="16.5" hidden="1">
      <c r="E21620" s="4" t="str">
        <v/>
      </c>
      <c r="F21620" s="102" t="str">
        <f ca="1">IFERROR(__xludf.DUMMYFUNCTION("IMPORTRANGE(H21620,""IDENTITAS UNIT!D9"")"),"#N/A")</f>
        <v>#N/A</v>
      </c>
      <c r="H21620" s="4" t="str">
        <v/>
      </c>
      <c r="I21620" s="4" t="str">
        <v/>
      </c>
    </row>
    <row r="21621" spans="5:9" ht="16.5" hidden="1">
      <c r="E21621" s="4" t="str">
        <v/>
      </c>
      <c r="F21621" s="102" t="str">
        <f ca="1">IFERROR(__xludf.DUMMYFUNCTION("IMPORTRANGE(H21621,""IDENTITAS UNIT!D9"")"),"#N/A")</f>
        <v>#N/A</v>
      </c>
      <c r="H21621" s="4" t="str">
        <v/>
      </c>
      <c r="I21621" s="4" t="str">
        <v/>
      </c>
    </row>
    <row r="21622" spans="5:9" ht="16.5" hidden="1">
      <c r="E21622" s="4" t="str">
        <v/>
      </c>
      <c r="F21622" s="102" t="str">
        <f ca="1">IFERROR(__xludf.DUMMYFUNCTION("IMPORTRANGE(H21622,""IDENTITAS UNIT!D9"")"),"#N/A")</f>
        <v>#N/A</v>
      </c>
      <c r="H21622" s="4" t="str">
        <v/>
      </c>
      <c r="I21622" s="4" t="str">
        <v/>
      </c>
    </row>
    <row r="21623" spans="5:9" ht="16.5" hidden="1">
      <c r="E21623" s="4" t="str">
        <v/>
      </c>
      <c r="F21623" s="102" t="str">
        <f ca="1">IFERROR(__xludf.DUMMYFUNCTION("IMPORTRANGE(H21623,""IDENTITAS UNIT!D9"")"),"#N/A")</f>
        <v>#N/A</v>
      </c>
      <c r="H21623" s="4" t="str">
        <v/>
      </c>
      <c r="I21623" s="4" t="str">
        <v/>
      </c>
    </row>
    <row r="21624" spans="5:9" ht="16.5" hidden="1">
      <c r="E21624" s="4" t="str">
        <v/>
      </c>
      <c r="F21624" s="102" t="str">
        <f ca="1">IFERROR(__xludf.DUMMYFUNCTION("IMPORTRANGE(H21624,""IDENTITAS UNIT!D9"")"),"#N/A")</f>
        <v>#N/A</v>
      </c>
      <c r="H21624" s="4" t="str">
        <v/>
      </c>
      <c r="I21624" s="4" t="str">
        <v/>
      </c>
    </row>
    <row r="21625" spans="5:9" ht="16.5" hidden="1">
      <c r="E21625" s="4" t="str">
        <v/>
      </c>
      <c r="F21625" s="102" t="str">
        <f ca="1">IFERROR(__xludf.DUMMYFUNCTION("IMPORTRANGE(H21625,""IDENTITAS UNIT!D9"")"),"#N/A")</f>
        <v>#N/A</v>
      </c>
      <c r="H21625" s="4" t="str">
        <v/>
      </c>
      <c r="I21625" s="4" t="str">
        <v/>
      </c>
    </row>
    <row r="21626" spans="5:9" ht="16.5" hidden="1">
      <c r="E21626" s="4" t="str">
        <v/>
      </c>
      <c r="F21626" s="102" t="str">
        <f ca="1">IFERROR(__xludf.DUMMYFUNCTION("IMPORTRANGE(H21626,""IDENTITAS UNIT!D9"")"),"#N/A")</f>
        <v>#N/A</v>
      </c>
      <c r="H21626" s="4" t="str">
        <v/>
      </c>
      <c r="I21626" s="4" t="str">
        <v/>
      </c>
    </row>
    <row r="21627" spans="5:9" ht="16.5" hidden="1">
      <c r="E21627" s="4" t="str">
        <v/>
      </c>
      <c r="F21627" s="102" t="str">
        <f ca="1">IFERROR(__xludf.DUMMYFUNCTION("IMPORTRANGE(H21627,""IDENTITAS UNIT!D9"")"),"#N/A")</f>
        <v>#N/A</v>
      </c>
      <c r="H21627" s="4" t="str">
        <v/>
      </c>
      <c r="I21627" s="4" t="str">
        <v/>
      </c>
    </row>
    <row r="21628" spans="5:9" ht="16.5" hidden="1">
      <c r="E21628" s="4" t="str">
        <v/>
      </c>
      <c r="F21628" s="102" t="str">
        <f ca="1">IFERROR(__xludf.DUMMYFUNCTION("IMPORTRANGE(H21628,""IDENTITAS UNIT!D9"")"),"#N/A")</f>
        <v>#N/A</v>
      </c>
      <c r="H21628" s="4" t="str">
        <v/>
      </c>
      <c r="I21628" s="4" t="str">
        <v/>
      </c>
    </row>
    <row r="21629" spans="5:9" ht="16.5" hidden="1">
      <c r="E21629" s="4" t="str">
        <v/>
      </c>
      <c r="F21629" s="102" t="str">
        <f ca="1">IFERROR(__xludf.DUMMYFUNCTION("IMPORTRANGE(H21629,""IDENTITAS UNIT!D9"")"),"#N/A")</f>
        <v>#N/A</v>
      </c>
      <c r="H21629" s="4" t="str">
        <v/>
      </c>
      <c r="I21629" s="4" t="str">
        <v/>
      </c>
    </row>
    <row r="21630" spans="5:9" ht="16.5" hidden="1">
      <c r="E21630" s="4" t="str">
        <v/>
      </c>
      <c r="F21630" s="102" t="str">
        <f ca="1">IFERROR(__xludf.DUMMYFUNCTION("IMPORTRANGE(H21630,""IDENTITAS UNIT!D9"")"),"#N/A")</f>
        <v>#N/A</v>
      </c>
      <c r="H21630" s="4" t="str">
        <v/>
      </c>
      <c r="I21630" s="4" t="str">
        <v/>
      </c>
    </row>
    <row r="21631" spans="5:9" ht="16.5" hidden="1">
      <c r="E21631" s="4" t="str">
        <v/>
      </c>
      <c r="F21631" s="102" t="str">
        <f ca="1">IFERROR(__xludf.DUMMYFUNCTION("IMPORTRANGE(H21631,""IDENTITAS UNIT!D9"")"),"#N/A")</f>
        <v>#N/A</v>
      </c>
      <c r="H21631" s="4" t="str">
        <v/>
      </c>
      <c r="I21631" s="4" t="str">
        <v/>
      </c>
    </row>
    <row r="21632" spans="5:9" ht="16.5" hidden="1">
      <c r="E21632" s="4" t="str">
        <v/>
      </c>
      <c r="F21632" s="102" t="str">
        <f ca="1">IFERROR(__xludf.DUMMYFUNCTION("IMPORTRANGE(H21632,""IDENTITAS UNIT!D9"")"),"#N/A")</f>
        <v>#N/A</v>
      </c>
      <c r="H21632" s="4" t="str">
        <v/>
      </c>
      <c r="I21632" s="4" t="str">
        <v/>
      </c>
    </row>
    <row r="21633" spans="5:9" ht="16.5" hidden="1">
      <c r="E21633" s="4" t="str">
        <v/>
      </c>
      <c r="F21633" s="102" t="str">
        <f ca="1">IFERROR(__xludf.DUMMYFUNCTION("IMPORTRANGE(H21633,""IDENTITAS UNIT!D9"")"),"#N/A")</f>
        <v>#N/A</v>
      </c>
      <c r="H21633" s="4" t="str">
        <v/>
      </c>
      <c r="I21633" s="4" t="str">
        <v/>
      </c>
    </row>
    <row r="21634" spans="5:9" ht="16.5" hidden="1">
      <c r="E21634" s="4" t="str">
        <v/>
      </c>
      <c r="F21634" s="102" t="str">
        <f ca="1">IFERROR(__xludf.DUMMYFUNCTION("IMPORTRANGE(H21634,""IDENTITAS UNIT!D9"")"),"#N/A")</f>
        <v>#N/A</v>
      </c>
      <c r="H21634" s="4" t="str">
        <v/>
      </c>
      <c r="I21634" s="4" t="str">
        <v/>
      </c>
    </row>
    <row r="21635" spans="5:9" ht="16.5" hidden="1">
      <c r="E21635" s="4" t="str">
        <v/>
      </c>
      <c r="F21635" s="102" t="str">
        <f ca="1">IFERROR(__xludf.DUMMYFUNCTION("IMPORTRANGE(H21635,""IDENTITAS UNIT!D9"")"),"#N/A")</f>
        <v>#N/A</v>
      </c>
      <c r="H21635" s="4" t="str">
        <v/>
      </c>
      <c r="I21635" s="4" t="str">
        <v/>
      </c>
    </row>
    <row r="21636" spans="5:9" ht="16.5" hidden="1">
      <c r="E21636" s="4" t="str">
        <v/>
      </c>
      <c r="F21636" s="102" t="str">
        <f ca="1">IFERROR(__xludf.DUMMYFUNCTION("IMPORTRANGE(H21636,""IDENTITAS UNIT!D9"")"),"#N/A")</f>
        <v>#N/A</v>
      </c>
      <c r="H21636" s="4" t="str">
        <v/>
      </c>
      <c r="I21636" s="4" t="str">
        <v/>
      </c>
    </row>
    <row r="21637" spans="5:9" ht="16.5" hidden="1">
      <c r="E21637" s="4" t="str">
        <v/>
      </c>
      <c r="F21637" s="102" t="str">
        <f ca="1">IFERROR(__xludf.DUMMYFUNCTION("IMPORTRANGE(H21637,""IDENTITAS UNIT!D9"")"),"#N/A")</f>
        <v>#N/A</v>
      </c>
      <c r="H21637" s="4" t="str">
        <v/>
      </c>
      <c r="I21637" s="4" t="str">
        <v/>
      </c>
    </row>
    <row r="21638" spans="5:9" ht="16.5" hidden="1">
      <c r="E21638" s="4" t="str">
        <v/>
      </c>
      <c r="F21638" s="102" t="str">
        <f ca="1">IFERROR(__xludf.DUMMYFUNCTION("IMPORTRANGE(H21638,""IDENTITAS UNIT!D9"")"),"#N/A")</f>
        <v>#N/A</v>
      </c>
      <c r="H21638" s="4" t="str">
        <v/>
      </c>
      <c r="I21638" s="4" t="str">
        <v/>
      </c>
    </row>
    <row r="21639" spans="5:9" ht="16.5" hidden="1">
      <c r="E21639" s="4" t="str">
        <v/>
      </c>
      <c r="F21639" s="102" t="str">
        <f ca="1">IFERROR(__xludf.DUMMYFUNCTION("IMPORTRANGE(H21639,""IDENTITAS UNIT!D9"")"),"#N/A")</f>
        <v>#N/A</v>
      </c>
      <c r="H21639" s="4" t="str">
        <v/>
      </c>
      <c r="I21639" s="4" t="str">
        <v/>
      </c>
    </row>
    <row r="21640" spans="5:9" ht="16.5" hidden="1">
      <c r="E21640" s="4" t="str">
        <v/>
      </c>
      <c r="F21640" s="102" t="str">
        <f ca="1">IFERROR(__xludf.DUMMYFUNCTION("IMPORTRANGE(H21640,""IDENTITAS UNIT!D9"")"),"#N/A")</f>
        <v>#N/A</v>
      </c>
      <c r="H21640" s="4" t="str">
        <v/>
      </c>
      <c r="I21640" s="4" t="str">
        <v/>
      </c>
    </row>
    <row r="21641" spans="5:9" ht="16.5" hidden="1">
      <c r="E21641" s="4" t="str">
        <v/>
      </c>
      <c r="F21641" s="102" t="str">
        <f ca="1">IFERROR(__xludf.DUMMYFUNCTION("IMPORTRANGE(H21641,""IDENTITAS UNIT!D9"")"),"#N/A")</f>
        <v>#N/A</v>
      </c>
      <c r="H21641" s="4" t="str">
        <v/>
      </c>
      <c r="I21641" s="4" t="str">
        <v/>
      </c>
    </row>
    <row r="21642" spans="5:9" ht="16.5" hidden="1">
      <c r="E21642" s="4" t="str">
        <v/>
      </c>
      <c r="F21642" s="102" t="str">
        <f ca="1">IFERROR(__xludf.DUMMYFUNCTION("IMPORTRANGE(H21642,""IDENTITAS UNIT!D9"")"),"#N/A")</f>
        <v>#N/A</v>
      </c>
      <c r="H21642" s="4" t="str">
        <v/>
      </c>
      <c r="I21642" s="4" t="str">
        <v/>
      </c>
    </row>
    <row r="21643" spans="5:9" ht="16.5" hidden="1">
      <c r="E21643" s="4" t="str">
        <v/>
      </c>
      <c r="F21643" s="102" t="str">
        <f ca="1">IFERROR(__xludf.DUMMYFUNCTION("IMPORTRANGE(H21643,""IDENTITAS UNIT!D9"")"),"#N/A")</f>
        <v>#N/A</v>
      </c>
      <c r="H21643" s="4" t="str">
        <v/>
      </c>
      <c r="I21643" s="4" t="str">
        <v/>
      </c>
    </row>
    <row r="21644" spans="5:9" ht="16.5" hidden="1">
      <c r="E21644" s="4" t="str">
        <v/>
      </c>
      <c r="F21644" s="102" t="str">
        <f ca="1">IFERROR(__xludf.DUMMYFUNCTION("IMPORTRANGE(H21644,""IDENTITAS UNIT!D9"")"),"#N/A")</f>
        <v>#N/A</v>
      </c>
      <c r="H21644" s="4" t="str">
        <v/>
      </c>
      <c r="I21644" s="4" t="str">
        <v/>
      </c>
    </row>
    <row r="21645" spans="5:9" ht="16.5" hidden="1">
      <c r="E21645" s="4" t="str">
        <v/>
      </c>
      <c r="F21645" s="102" t="str">
        <f ca="1">IFERROR(__xludf.DUMMYFUNCTION("IMPORTRANGE(H21645,""IDENTITAS UNIT!D9"")"),"#N/A")</f>
        <v>#N/A</v>
      </c>
      <c r="H21645" s="4" t="str">
        <v/>
      </c>
      <c r="I21645" s="4" t="str">
        <v/>
      </c>
    </row>
    <row r="21646" spans="5:9" ht="16.5" hidden="1">
      <c r="E21646" s="4" t="str">
        <v/>
      </c>
      <c r="F21646" s="102" t="str">
        <f ca="1">IFERROR(__xludf.DUMMYFUNCTION("IMPORTRANGE(H21646,""IDENTITAS UNIT!D9"")"),"#N/A")</f>
        <v>#N/A</v>
      </c>
      <c r="H21646" s="4" t="str">
        <v/>
      </c>
      <c r="I21646" s="4" t="str">
        <v/>
      </c>
    </row>
    <row r="21647" spans="5:9" ht="16.5" hidden="1">
      <c r="E21647" s="4" t="str">
        <v/>
      </c>
      <c r="F21647" s="102" t="str">
        <f ca="1">IFERROR(__xludf.DUMMYFUNCTION("IMPORTRANGE(H21647,""IDENTITAS UNIT!D9"")"),"#N/A")</f>
        <v>#N/A</v>
      </c>
      <c r="H21647" s="4" t="str">
        <v/>
      </c>
      <c r="I21647" s="4" t="str">
        <v/>
      </c>
    </row>
    <row r="21648" spans="5:9" ht="16.5" hidden="1">
      <c r="E21648" s="4" t="str">
        <v/>
      </c>
      <c r="F21648" s="102" t="str">
        <f ca="1">IFERROR(__xludf.DUMMYFUNCTION("IMPORTRANGE(H21648,""IDENTITAS UNIT!D9"")"),"#N/A")</f>
        <v>#N/A</v>
      </c>
      <c r="H21648" s="4" t="str">
        <v/>
      </c>
      <c r="I21648" s="4" t="str">
        <v/>
      </c>
    </row>
    <row r="21649" spans="5:9" ht="16.5" hidden="1">
      <c r="E21649" s="4" t="str">
        <v/>
      </c>
      <c r="F21649" s="102" t="str">
        <f ca="1">IFERROR(__xludf.DUMMYFUNCTION("IMPORTRANGE(H21649,""IDENTITAS UNIT!D9"")"),"#N/A")</f>
        <v>#N/A</v>
      </c>
      <c r="H21649" s="4" t="str">
        <v/>
      </c>
      <c r="I21649" s="4" t="str">
        <v/>
      </c>
    </row>
    <row r="21650" spans="5:9" ht="16.5" hidden="1">
      <c r="E21650" s="4" t="str">
        <v/>
      </c>
      <c r="F21650" s="102" t="str">
        <f ca="1">IFERROR(__xludf.DUMMYFUNCTION("IMPORTRANGE(H21650,""IDENTITAS UNIT!D9"")"),"#N/A")</f>
        <v>#N/A</v>
      </c>
      <c r="H21650" s="4" t="str">
        <v/>
      </c>
      <c r="I21650" s="4" t="str">
        <v/>
      </c>
    </row>
    <row r="21651" spans="5:9" ht="16.5" hidden="1">
      <c r="E21651" s="4" t="str">
        <v/>
      </c>
      <c r="F21651" s="102" t="str">
        <f ca="1">IFERROR(__xludf.DUMMYFUNCTION("IMPORTRANGE(H21651,""IDENTITAS UNIT!D9"")"),"#N/A")</f>
        <v>#N/A</v>
      </c>
      <c r="H21651" s="4" t="str">
        <v/>
      </c>
      <c r="I21651" s="4" t="str">
        <v/>
      </c>
    </row>
    <row r="21652" spans="5:9" ht="16.5" hidden="1">
      <c r="E21652" s="4" t="str">
        <v/>
      </c>
      <c r="F21652" s="102" t="str">
        <f ca="1">IFERROR(__xludf.DUMMYFUNCTION("IMPORTRANGE(H21652,""IDENTITAS UNIT!D9"")"),"#N/A")</f>
        <v>#N/A</v>
      </c>
      <c r="H21652" s="4" t="str">
        <v/>
      </c>
      <c r="I21652" s="4" t="str">
        <v/>
      </c>
    </row>
    <row r="21653" spans="5:9" ht="16.5" hidden="1">
      <c r="E21653" s="4" t="str">
        <v/>
      </c>
      <c r="F21653" s="102" t="str">
        <f ca="1">IFERROR(__xludf.DUMMYFUNCTION("IMPORTRANGE(H21653,""IDENTITAS UNIT!D9"")"),"#N/A")</f>
        <v>#N/A</v>
      </c>
      <c r="H21653" s="4" t="str">
        <v/>
      </c>
      <c r="I21653" s="4" t="str">
        <v/>
      </c>
    </row>
    <row r="21654" spans="5:9" ht="16.5" hidden="1">
      <c r="E21654" s="4" t="str">
        <v/>
      </c>
      <c r="F21654" s="102" t="str">
        <f ca="1">IFERROR(__xludf.DUMMYFUNCTION("IMPORTRANGE(H21654,""IDENTITAS UNIT!D9"")"),"#N/A")</f>
        <v>#N/A</v>
      </c>
      <c r="H21654" s="4" t="str">
        <v/>
      </c>
      <c r="I21654" s="4" t="str">
        <v/>
      </c>
    </row>
    <row r="21655" spans="5:9" ht="16.5" hidden="1">
      <c r="E21655" s="4" t="str">
        <v/>
      </c>
      <c r="F21655" s="102" t="str">
        <f ca="1">IFERROR(__xludf.DUMMYFUNCTION("IMPORTRANGE(H21655,""IDENTITAS UNIT!D9"")"),"#N/A")</f>
        <v>#N/A</v>
      </c>
      <c r="H21655" s="4" t="str">
        <v/>
      </c>
      <c r="I21655" s="4" t="str">
        <v/>
      </c>
    </row>
    <row r="21656" spans="5:9" ht="16.5" hidden="1">
      <c r="E21656" s="4" t="str">
        <v/>
      </c>
      <c r="F21656" s="102" t="str">
        <f ca="1">IFERROR(__xludf.DUMMYFUNCTION("IMPORTRANGE(H21656,""IDENTITAS UNIT!D9"")"),"#N/A")</f>
        <v>#N/A</v>
      </c>
      <c r="H21656" s="4" t="str">
        <v/>
      </c>
      <c r="I21656" s="4" t="str">
        <v/>
      </c>
    </row>
    <row r="21657" spans="5:9" ht="16.5" hidden="1">
      <c r="E21657" s="4" t="str">
        <v/>
      </c>
      <c r="F21657" s="102" t="str">
        <f ca="1">IFERROR(__xludf.DUMMYFUNCTION("IMPORTRANGE(H21657,""IDENTITAS UNIT!D9"")"),"#N/A")</f>
        <v>#N/A</v>
      </c>
      <c r="H21657" s="4" t="str">
        <v/>
      </c>
      <c r="I21657" s="4" t="str">
        <v/>
      </c>
    </row>
    <row r="21658" spans="5:9" ht="16.5" hidden="1">
      <c r="E21658" s="4" t="str">
        <v/>
      </c>
      <c r="F21658" s="102" t="str">
        <f ca="1">IFERROR(__xludf.DUMMYFUNCTION("IMPORTRANGE(H21658,""IDENTITAS UNIT!D9"")"),"#N/A")</f>
        <v>#N/A</v>
      </c>
      <c r="H21658" s="4" t="str">
        <v/>
      </c>
      <c r="I21658" s="4" t="str">
        <v/>
      </c>
    </row>
    <row r="21659" spans="5:9" ht="16.5" hidden="1">
      <c r="E21659" s="4" t="str">
        <v/>
      </c>
      <c r="F21659" s="102" t="str">
        <f ca="1">IFERROR(__xludf.DUMMYFUNCTION("IMPORTRANGE(H21659,""IDENTITAS UNIT!D9"")"),"#N/A")</f>
        <v>#N/A</v>
      </c>
      <c r="H21659" s="4" t="str">
        <v/>
      </c>
      <c r="I21659" s="4" t="str">
        <v/>
      </c>
    </row>
    <row r="21660" spans="5:9" ht="16.5" hidden="1">
      <c r="E21660" s="4" t="str">
        <v/>
      </c>
      <c r="F21660" s="102" t="str">
        <f ca="1">IFERROR(__xludf.DUMMYFUNCTION("IMPORTRANGE(H21660,""IDENTITAS UNIT!D9"")"),"#N/A")</f>
        <v>#N/A</v>
      </c>
      <c r="H21660" s="4" t="str">
        <v/>
      </c>
      <c r="I21660" s="4" t="str">
        <v/>
      </c>
    </row>
    <row r="21661" spans="5:9" ht="16.5" hidden="1">
      <c r="E21661" s="4" t="str">
        <v/>
      </c>
      <c r="F21661" s="102" t="str">
        <f ca="1">IFERROR(__xludf.DUMMYFUNCTION("IMPORTRANGE(H21661,""IDENTITAS UNIT!D9"")"),"#N/A")</f>
        <v>#N/A</v>
      </c>
      <c r="H21661" s="4" t="str">
        <v/>
      </c>
      <c r="I21661" s="4" t="str">
        <v/>
      </c>
    </row>
    <row r="21662" spans="5:9" ht="16.5" hidden="1">
      <c r="E21662" s="4" t="str">
        <v/>
      </c>
      <c r="F21662" s="102" t="str">
        <f ca="1">IFERROR(__xludf.DUMMYFUNCTION("IMPORTRANGE(H21662,""IDENTITAS UNIT!D9"")"),"#N/A")</f>
        <v>#N/A</v>
      </c>
      <c r="H21662" s="4" t="str">
        <v/>
      </c>
      <c r="I21662" s="4" t="str">
        <v/>
      </c>
    </row>
    <row r="21663" spans="5:9" ht="16.5" hidden="1">
      <c r="E21663" s="4" t="str">
        <v/>
      </c>
      <c r="F21663" s="102" t="str">
        <f ca="1">IFERROR(__xludf.DUMMYFUNCTION("IMPORTRANGE(H21663,""IDENTITAS UNIT!D9"")"),"#N/A")</f>
        <v>#N/A</v>
      </c>
      <c r="H21663" s="4" t="str">
        <v/>
      </c>
      <c r="I21663" s="4" t="str">
        <v/>
      </c>
    </row>
    <row r="21664" spans="5:9" ht="16.5" hidden="1">
      <c r="E21664" s="4" t="str">
        <v/>
      </c>
      <c r="F21664" s="102" t="str">
        <f ca="1">IFERROR(__xludf.DUMMYFUNCTION("IMPORTRANGE(H21664,""IDENTITAS UNIT!D9"")"),"#N/A")</f>
        <v>#N/A</v>
      </c>
      <c r="H21664" s="4" t="str">
        <v/>
      </c>
      <c r="I21664" s="4" t="str">
        <v/>
      </c>
    </row>
    <row r="21665" spans="5:9" ht="16.5" hidden="1">
      <c r="E21665" s="4" t="str">
        <v/>
      </c>
      <c r="F21665" s="102" t="str">
        <f ca="1">IFERROR(__xludf.DUMMYFUNCTION("IMPORTRANGE(H21665,""IDENTITAS UNIT!D9"")"),"#N/A")</f>
        <v>#N/A</v>
      </c>
      <c r="H21665" s="4" t="str">
        <v/>
      </c>
      <c r="I21665" s="4" t="str">
        <v/>
      </c>
    </row>
    <row r="21666" spans="5:9" ht="16.5" hidden="1">
      <c r="E21666" s="4" t="str">
        <v/>
      </c>
      <c r="F21666" s="102" t="str">
        <f ca="1">IFERROR(__xludf.DUMMYFUNCTION("IMPORTRANGE(H21666,""IDENTITAS UNIT!D9"")"),"#N/A")</f>
        <v>#N/A</v>
      </c>
      <c r="H21666" s="4" t="str">
        <v/>
      </c>
      <c r="I21666" s="4" t="str">
        <v/>
      </c>
    </row>
    <row r="21667" spans="5:9" ht="16.5" hidden="1">
      <c r="E21667" s="4" t="str">
        <v/>
      </c>
      <c r="F21667" s="102" t="str">
        <f ca="1">IFERROR(__xludf.DUMMYFUNCTION("IMPORTRANGE(H21667,""IDENTITAS UNIT!D9"")"),"#N/A")</f>
        <v>#N/A</v>
      </c>
      <c r="H21667" s="4" t="str">
        <v/>
      </c>
      <c r="I21667" s="4" t="str">
        <v/>
      </c>
    </row>
    <row r="21668" spans="5:9" ht="16.5" hidden="1">
      <c r="E21668" s="4" t="str">
        <v/>
      </c>
      <c r="F21668" s="102" t="str">
        <f ca="1">IFERROR(__xludf.DUMMYFUNCTION("IMPORTRANGE(H21668,""IDENTITAS UNIT!D9"")"),"#N/A")</f>
        <v>#N/A</v>
      </c>
      <c r="H21668" s="4" t="str">
        <v/>
      </c>
      <c r="I21668" s="4" t="str">
        <v/>
      </c>
    </row>
    <row r="21669" spans="5:9" ht="16.5" hidden="1">
      <c r="E21669" s="4" t="str">
        <v/>
      </c>
      <c r="F21669" s="102" t="str">
        <f ca="1">IFERROR(__xludf.DUMMYFUNCTION("IMPORTRANGE(H21669,""IDENTITAS UNIT!D9"")"),"#N/A")</f>
        <v>#N/A</v>
      </c>
      <c r="H21669" s="4" t="str">
        <v/>
      </c>
      <c r="I21669" s="4" t="str">
        <v/>
      </c>
    </row>
    <row r="21670" spans="5:9" ht="16.5" hidden="1">
      <c r="E21670" s="4" t="str">
        <v/>
      </c>
      <c r="F21670" s="102" t="str">
        <f ca="1">IFERROR(__xludf.DUMMYFUNCTION("IMPORTRANGE(H21670,""IDENTITAS UNIT!D9"")"),"#N/A")</f>
        <v>#N/A</v>
      </c>
      <c r="H21670" s="4" t="str">
        <v/>
      </c>
      <c r="I21670" s="4" t="str">
        <v/>
      </c>
    </row>
    <row r="21671" spans="5:9" ht="16.5" hidden="1">
      <c r="E21671" s="4" t="str">
        <v/>
      </c>
      <c r="F21671" s="102" t="str">
        <f ca="1">IFERROR(__xludf.DUMMYFUNCTION("IMPORTRANGE(H21671,""IDENTITAS UNIT!D9"")"),"#N/A")</f>
        <v>#N/A</v>
      </c>
      <c r="H21671" s="4" t="str">
        <v/>
      </c>
      <c r="I21671" s="4" t="str">
        <v/>
      </c>
    </row>
    <row r="21672" spans="5:9" ht="16.5" hidden="1">
      <c r="E21672" s="4" t="str">
        <v/>
      </c>
      <c r="F21672" s="102" t="str">
        <f ca="1">IFERROR(__xludf.DUMMYFUNCTION("IMPORTRANGE(H21672,""IDENTITAS UNIT!D9"")"),"#N/A")</f>
        <v>#N/A</v>
      </c>
      <c r="H21672" s="4" t="str">
        <v/>
      </c>
      <c r="I21672" s="4" t="str">
        <v/>
      </c>
    </row>
    <row r="21673" spans="5:9" ht="16.5" hidden="1">
      <c r="E21673" s="4" t="str">
        <v/>
      </c>
      <c r="F21673" s="102" t="str">
        <f ca="1">IFERROR(__xludf.DUMMYFUNCTION("IMPORTRANGE(H21673,""IDENTITAS UNIT!D9"")"),"#N/A")</f>
        <v>#N/A</v>
      </c>
      <c r="H21673" s="4" t="str">
        <v/>
      </c>
      <c r="I21673" s="4" t="str">
        <v/>
      </c>
    </row>
    <row r="21674" spans="5:9" ht="16.5" hidden="1">
      <c r="E21674" s="4" t="str">
        <v/>
      </c>
      <c r="F21674" s="102" t="str">
        <f ca="1">IFERROR(__xludf.DUMMYFUNCTION("IMPORTRANGE(H21674,""IDENTITAS UNIT!D9"")"),"#N/A")</f>
        <v>#N/A</v>
      </c>
      <c r="H21674" s="4" t="str">
        <v/>
      </c>
      <c r="I21674" s="4" t="str">
        <v/>
      </c>
    </row>
    <row r="21675" spans="5:9" ht="16.5" hidden="1">
      <c r="E21675" s="4" t="str">
        <v/>
      </c>
      <c r="F21675" s="102" t="str">
        <f ca="1">IFERROR(__xludf.DUMMYFUNCTION("IMPORTRANGE(H21675,""IDENTITAS UNIT!D9"")"),"#N/A")</f>
        <v>#N/A</v>
      </c>
      <c r="H21675" s="4" t="str">
        <v/>
      </c>
      <c r="I21675" s="4" t="str">
        <v/>
      </c>
    </row>
    <row r="21676" spans="5:9" ht="16.5" hidden="1">
      <c r="E21676" s="4" t="str">
        <v/>
      </c>
      <c r="F21676" s="102" t="str">
        <f ca="1">IFERROR(__xludf.DUMMYFUNCTION("IMPORTRANGE(H21676,""IDENTITAS UNIT!D9"")"),"#N/A")</f>
        <v>#N/A</v>
      </c>
      <c r="H21676" s="4" t="str">
        <v/>
      </c>
      <c r="I21676" s="4" t="str">
        <v/>
      </c>
    </row>
    <row r="21677" spans="5:9" ht="16.5" hidden="1">
      <c r="E21677" s="4" t="str">
        <v/>
      </c>
      <c r="F21677" s="102" t="str">
        <f ca="1">IFERROR(__xludf.DUMMYFUNCTION("IMPORTRANGE(H21677,""IDENTITAS UNIT!D9"")"),"#N/A")</f>
        <v>#N/A</v>
      </c>
      <c r="H21677" s="4" t="str">
        <v/>
      </c>
      <c r="I21677" s="4" t="str">
        <v/>
      </c>
    </row>
    <row r="21678" spans="5:9" ht="16.5" hidden="1">
      <c r="E21678" s="4" t="str">
        <v/>
      </c>
      <c r="F21678" s="102" t="str">
        <f ca="1">IFERROR(__xludf.DUMMYFUNCTION("IMPORTRANGE(H21678,""IDENTITAS UNIT!D9"")"),"#N/A")</f>
        <v>#N/A</v>
      </c>
      <c r="H21678" s="4" t="str">
        <v/>
      </c>
      <c r="I21678" s="4" t="str">
        <v/>
      </c>
    </row>
    <row r="21679" spans="5:9" ht="16.5" hidden="1">
      <c r="E21679" s="4" t="str">
        <v/>
      </c>
      <c r="F21679" s="102" t="str">
        <f ca="1">IFERROR(__xludf.DUMMYFUNCTION("IMPORTRANGE(H21679,""IDENTITAS UNIT!D9"")"),"#N/A")</f>
        <v>#N/A</v>
      </c>
      <c r="H21679" s="4" t="str">
        <v/>
      </c>
      <c r="I21679" s="4" t="str">
        <v/>
      </c>
    </row>
    <row r="21680" spans="5:9" ht="16.5" hidden="1">
      <c r="E21680" s="4" t="str">
        <v/>
      </c>
      <c r="F21680" s="102" t="str">
        <f ca="1">IFERROR(__xludf.DUMMYFUNCTION("IMPORTRANGE(H21680,""IDENTITAS UNIT!D9"")"),"#N/A")</f>
        <v>#N/A</v>
      </c>
      <c r="H21680" s="4" t="str">
        <v/>
      </c>
      <c r="I21680" s="4" t="str">
        <v/>
      </c>
    </row>
    <row r="21681" spans="5:9" ht="16.5" hidden="1">
      <c r="E21681" s="4" t="str">
        <v/>
      </c>
      <c r="F21681" s="102" t="str">
        <f ca="1">IFERROR(__xludf.DUMMYFUNCTION("IMPORTRANGE(H21681,""IDENTITAS UNIT!D9"")"),"#N/A")</f>
        <v>#N/A</v>
      </c>
      <c r="H21681" s="4" t="str">
        <v/>
      </c>
      <c r="I21681" s="4" t="str">
        <v/>
      </c>
    </row>
    <row r="21682" spans="5:9" ht="16.5" hidden="1">
      <c r="E21682" s="4" t="str">
        <v/>
      </c>
      <c r="F21682" s="102" t="str">
        <f ca="1">IFERROR(__xludf.DUMMYFUNCTION("IMPORTRANGE(H21682,""IDENTITAS UNIT!D9"")"),"#N/A")</f>
        <v>#N/A</v>
      </c>
      <c r="H21682" s="4" t="str">
        <v/>
      </c>
      <c r="I21682" s="4" t="str">
        <v/>
      </c>
    </row>
    <row r="21683" spans="5:9" ht="16.5" hidden="1">
      <c r="E21683" s="4" t="str">
        <v/>
      </c>
      <c r="F21683" s="102" t="str">
        <f ca="1">IFERROR(__xludf.DUMMYFUNCTION("IMPORTRANGE(H21683,""IDENTITAS UNIT!D9"")"),"#N/A")</f>
        <v>#N/A</v>
      </c>
      <c r="H21683" s="4" t="str">
        <v/>
      </c>
      <c r="I21683" s="4" t="str">
        <v/>
      </c>
    </row>
    <row r="21684" spans="5:9" ht="16.5" hidden="1">
      <c r="E21684" s="4" t="str">
        <v/>
      </c>
      <c r="F21684" s="102" t="str">
        <f ca="1">IFERROR(__xludf.DUMMYFUNCTION("IMPORTRANGE(H21684,""IDENTITAS UNIT!D9"")"),"#N/A")</f>
        <v>#N/A</v>
      </c>
      <c r="H21684" s="4" t="str">
        <v/>
      </c>
      <c r="I21684" s="4" t="str">
        <v/>
      </c>
    </row>
    <row r="21685" spans="5:9" ht="16.5" hidden="1">
      <c r="E21685" s="4" t="str">
        <v/>
      </c>
      <c r="F21685" s="102" t="str">
        <f ca="1">IFERROR(__xludf.DUMMYFUNCTION("IMPORTRANGE(H21685,""IDENTITAS UNIT!D9"")"),"#N/A")</f>
        <v>#N/A</v>
      </c>
      <c r="H21685" s="4" t="str">
        <v/>
      </c>
      <c r="I21685" s="4" t="str">
        <v/>
      </c>
    </row>
    <row r="21686" spans="5:9" ht="16.5" hidden="1">
      <c r="E21686" s="4" t="str">
        <v/>
      </c>
      <c r="F21686" s="102" t="str">
        <f ca="1">IFERROR(__xludf.DUMMYFUNCTION("IMPORTRANGE(H21686,""IDENTITAS UNIT!D9"")"),"#N/A")</f>
        <v>#N/A</v>
      </c>
      <c r="H21686" s="4" t="str">
        <v/>
      </c>
      <c r="I21686" s="4" t="str">
        <v/>
      </c>
    </row>
    <row r="21687" spans="5:9" ht="16.5" hidden="1">
      <c r="E21687" s="4" t="str">
        <v/>
      </c>
      <c r="F21687" s="102" t="str">
        <f ca="1">IFERROR(__xludf.DUMMYFUNCTION("IMPORTRANGE(H21687,""IDENTITAS UNIT!D9"")"),"#N/A")</f>
        <v>#N/A</v>
      </c>
      <c r="H21687" s="4" t="str">
        <v/>
      </c>
      <c r="I21687" s="4" t="str">
        <v/>
      </c>
    </row>
    <row r="21688" spans="5:9" ht="16.5" hidden="1">
      <c r="E21688" s="4" t="str">
        <v/>
      </c>
      <c r="F21688" s="102" t="str">
        <f ca="1">IFERROR(__xludf.DUMMYFUNCTION("IMPORTRANGE(H21688,""IDENTITAS UNIT!D9"")"),"#N/A")</f>
        <v>#N/A</v>
      </c>
      <c r="H21688" s="4" t="str">
        <v/>
      </c>
      <c r="I21688" s="4" t="str">
        <v/>
      </c>
    </row>
    <row r="21689" spans="5:9" ht="16.5" hidden="1">
      <c r="E21689" s="4" t="str">
        <v/>
      </c>
      <c r="F21689" s="102" t="str">
        <f ca="1">IFERROR(__xludf.DUMMYFUNCTION("IMPORTRANGE(H21689,""IDENTITAS UNIT!D9"")"),"#N/A")</f>
        <v>#N/A</v>
      </c>
      <c r="H21689" s="4" t="str">
        <v/>
      </c>
      <c r="I21689" s="4" t="str">
        <v/>
      </c>
    </row>
    <row r="21690" spans="5:9" ht="16.5" hidden="1">
      <c r="E21690" s="4" t="str">
        <v/>
      </c>
      <c r="F21690" s="102" t="str">
        <f ca="1">IFERROR(__xludf.DUMMYFUNCTION("IMPORTRANGE(H21690,""IDENTITAS UNIT!D9"")"),"#N/A")</f>
        <v>#N/A</v>
      </c>
      <c r="H21690" s="4" t="str">
        <v/>
      </c>
      <c r="I21690" s="4" t="str">
        <v/>
      </c>
    </row>
    <row r="21691" spans="5:9" ht="16.5" hidden="1">
      <c r="E21691" s="4" t="str">
        <v/>
      </c>
      <c r="F21691" s="102" t="str">
        <f ca="1">IFERROR(__xludf.DUMMYFUNCTION("IMPORTRANGE(H21691,""IDENTITAS UNIT!D9"")"),"#N/A")</f>
        <v>#N/A</v>
      </c>
      <c r="H21691" s="4" t="str">
        <v/>
      </c>
      <c r="I21691" s="4" t="str">
        <v/>
      </c>
    </row>
    <row r="21692" spans="5:9" ht="16.5" hidden="1">
      <c r="E21692" s="4" t="str">
        <v/>
      </c>
      <c r="F21692" s="102" t="str">
        <f ca="1">IFERROR(__xludf.DUMMYFUNCTION("IMPORTRANGE(H21692,""IDENTITAS UNIT!D9"")"),"#N/A")</f>
        <v>#N/A</v>
      </c>
      <c r="H21692" s="4" t="str">
        <v/>
      </c>
      <c r="I21692" s="4" t="str">
        <v/>
      </c>
    </row>
    <row r="21693" spans="5:9" ht="16.5" hidden="1">
      <c r="E21693" s="4" t="str">
        <v/>
      </c>
      <c r="F21693" s="102" t="str">
        <f ca="1">IFERROR(__xludf.DUMMYFUNCTION("IMPORTRANGE(H21693,""IDENTITAS UNIT!D9"")"),"#N/A")</f>
        <v>#N/A</v>
      </c>
      <c r="H21693" s="4" t="str">
        <v/>
      </c>
      <c r="I21693" s="4" t="str">
        <v/>
      </c>
    </row>
    <row r="21694" spans="5:9" ht="16.5" hidden="1">
      <c r="E21694" s="4" t="str">
        <v/>
      </c>
      <c r="F21694" s="102" t="str">
        <f ca="1">IFERROR(__xludf.DUMMYFUNCTION("IMPORTRANGE(H21694,""IDENTITAS UNIT!D9"")"),"#N/A")</f>
        <v>#N/A</v>
      </c>
      <c r="H21694" s="4" t="str">
        <v/>
      </c>
      <c r="I21694" s="4" t="str">
        <v/>
      </c>
    </row>
    <row r="21695" spans="5:9" ht="16.5" hidden="1">
      <c r="E21695" s="4" t="str">
        <v/>
      </c>
      <c r="F21695" s="102" t="str">
        <f ca="1">IFERROR(__xludf.DUMMYFUNCTION("IMPORTRANGE(H21695,""IDENTITAS UNIT!D9"")"),"#N/A")</f>
        <v>#N/A</v>
      </c>
      <c r="H21695" s="4" t="str">
        <v/>
      </c>
      <c r="I21695" s="4" t="str">
        <v/>
      </c>
    </row>
    <row r="21696" spans="5:9" ht="16.5" hidden="1">
      <c r="E21696" s="4" t="str">
        <v/>
      </c>
      <c r="F21696" s="102" t="str">
        <f ca="1">IFERROR(__xludf.DUMMYFUNCTION("IMPORTRANGE(H21696,""IDENTITAS UNIT!D9"")"),"#N/A")</f>
        <v>#N/A</v>
      </c>
      <c r="H21696" s="4" t="str">
        <v/>
      </c>
      <c r="I21696" s="4" t="str">
        <v/>
      </c>
    </row>
    <row r="21697" spans="5:9" ht="16.5" hidden="1">
      <c r="E21697" s="4" t="str">
        <v/>
      </c>
      <c r="F21697" s="102" t="str">
        <f ca="1">IFERROR(__xludf.DUMMYFUNCTION("IMPORTRANGE(H21697,""IDENTITAS UNIT!D9"")"),"#N/A")</f>
        <v>#N/A</v>
      </c>
      <c r="H21697" s="4" t="str">
        <v/>
      </c>
      <c r="I21697" s="4" t="str">
        <v/>
      </c>
    </row>
    <row r="21698" spans="5:9" ht="16.5" hidden="1">
      <c r="E21698" s="4" t="str">
        <v/>
      </c>
      <c r="F21698" s="102" t="str">
        <f ca="1">IFERROR(__xludf.DUMMYFUNCTION("IMPORTRANGE(H21698,""IDENTITAS UNIT!D9"")"),"#N/A")</f>
        <v>#N/A</v>
      </c>
      <c r="H21698" s="4" t="str">
        <v/>
      </c>
      <c r="I21698" s="4" t="str">
        <v/>
      </c>
    </row>
    <row r="21699" spans="5:9" ht="16.5" hidden="1">
      <c r="E21699" s="4" t="str">
        <v/>
      </c>
      <c r="F21699" s="102" t="str">
        <f ca="1">IFERROR(__xludf.DUMMYFUNCTION("IMPORTRANGE(H21699,""IDENTITAS UNIT!D9"")"),"#N/A")</f>
        <v>#N/A</v>
      </c>
      <c r="H21699" s="4" t="str">
        <v/>
      </c>
      <c r="I21699" s="4" t="str">
        <v/>
      </c>
    </row>
    <row r="21700" spans="5:9" ht="16.5" hidden="1">
      <c r="E21700" s="4" t="str">
        <v/>
      </c>
      <c r="F21700" s="102" t="str">
        <f ca="1">IFERROR(__xludf.DUMMYFUNCTION("IMPORTRANGE(H21700,""IDENTITAS UNIT!D9"")"),"#N/A")</f>
        <v>#N/A</v>
      </c>
      <c r="H21700" s="4" t="str">
        <v/>
      </c>
      <c r="I21700" s="4" t="str">
        <v/>
      </c>
    </row>
    <row r="21701" spans="5:9" ht="16.5" hidden="1">
      <c r="E21701" s="4" t="str">
        <v/>
      </c>
      <c r="F21701" s="102" t="str">
        <f ca="1">IFERROR(__xludf.DUMMYFUNCTION("IMPORTRANGE(H21701,""IDENTITAS UNIT!D9"")"),"#N/A")</f>
        <v>#N/A</v>
      </c>
      <c r="H21701" s="4" t="str">
        <v/>
      </c>
      <c r="I21701" s="4" t="str">
        <v/>
      </c>
    </row>
    <row r="21702" spans="5:9" ht="16.5" hidden="1">
      <c r="E21702" s="4" t="str">
        <v/>
      </c>
      <c r="F21702" s="102" t="str">
        <f ca="1">IFERROR(__xludf.DUMMYFUNCTION("IMPORTRANGE(H21702,""IDENTITAS UNIT!D9"")"),"#N/A")</f>
        <v>#N/A</v>
      </c>
      <c r="H21702" s="4" t="str">
        <v/>
      </c>
      <c r="I21702" s="4" t="str">
        <v/>
      </c>
    </row>
    <row r="21703" spans="5:9" ht="16.5" hidden="1">
      <c r="E21703" s="4" t="str">
        <v/>
      </c>
      <c r="F21703" s="102" t="str">
        <f ca="1">IFERROR(__xludf.DUMMYFUNCTION("IMPORTRANGE(H21703,""IDENTITAS UNIT!D9"")"),"#N/A")</f>
        <v>#N/A</v>
      </c>
      <c r="H21703" s="4" t="str">
        <v/>
      </c>
      <c r="I21703" s="4" t="str">
        <v/>
      </c>
    </row>
    <row r="21704" spans="5:9" ht="16.5" hidden="1">
      <c r="E21704" s="4" t="str">
        <v/>
      </c>
      <c r="F21704" s="102" t="str">
        <f ca="1">IFERROR(__xludf.DUMMYFUNCTION("IMPORTRANGE(H21704,""IDENTITAS UNIT!D9"")"),"#N/A")</f>
        <v>#N/A</v>
      </c>
      <c r="H21704" s="4" t="str">
        <v/>
      </c>
      <c r="I21704" s="4" t="str">
        <v/>
      </c>
    </row>
    <row r="21705" spans="5:9" ht="16.5" hidden="1">
      <c r="E21705" s="4" t="str">
        <v/>
      </c>
      <c r="F21705" s="102" t="str">
        <f ca="1">IFERROR(__xludf.DUMMYFUNCTION("IMPORTRANGE(H21705,""IDENTITAS UNIT!D9"")"),"#N/A")</f>
        <v>#N/A</v>
      </c>
      <c r="H21705" s="4" t="str">
        <v/>
      </c>
      <c r="I21705" s="4" t="str">
        <v/>
      </c>
    </row>
    <row r="21706" spans="5:9" ht="16.5" hidden="1">
      <c r="E21706" s="4" t="str">
        <v/>
      </c>
      <c r="F21706" s="102" t="str">
        <f ca="1">IFERROR(__xludf.DUMMYFUNCTION("IMPORTRANGE(H21706,""IDENTITAS UNIT!D9"")"),"#N/A")</f>
        <v>#N/A</v>
      </c>
      <c r="H21706" s="4" t="str">
        <v/>
      </c>
      <c r="I21706" s="4" t="str">
        <v/>
      </c>
    </row>
    <row r="21707" spans="5:9" ht="16.5" hidden="1">
      <c r="E21707" s="4" t="str">
        <v/>
      </c>
      <c r="F21707" s="102" t="str">
        <f ca="1">IFERROR(__xludf.DUMMYFUNCTION("IMPORTRANGE(H21707,""IDENTITAS UNIT!D9"")"),"#N/A")</f>
        <v>#N/A</v>
      </c>
      <c r="H21707" s="4" t="str">
        <v/>
      </c>
      <c r="I21707" s="4" t="str">
        <v/>
      </c>
    </row>
    <row r="21708" spans="5:9" ht="16.5" hidden="1">
      <c r="E21708" s="4" t="str">
        <v/>
      </c>
      <c r="F21708" s="102" t="str">
        <f ca="1">IFERROR(__xludf.DUMMYFUNCTION("IMPORTRANGE(H21708,""IDENTITAS UNIT!D9"")"),"#N/A")</f>
        <v>#N/A</v>
      </c>
      <c r="H21708" s="4" t="str">
        <v/>
      </c>
      <c r="I21708" s="4" t="str">
        <v/>
      </c>
    </row>
    <row r="21709" spans="5:9" ht="16.5" hidden="1">
      <c r="E21709" s="4" t="str">
        <v/>
      </c>
      <c r="F21709" s="102" t="str">
        <f ca="1">IFERROR(__xludf.DUMMYFUNCTION("IMPORTRANGE(H21709,""IDENTITAS UNIT!D9"")"),"#N/A")</f>
        <v>#N/A</v>
      </c>
      <c r="H21709" s="4" t="str">
        <v/>
      </c>
      <c r="I21709" s="4" t="str">
        <v/>
      </c>
    </row>
    <row r="21710" spans="5:9" ht="16.5" hidden="1">
      <c r="E21710" s="4" t="str">
        <v/>
      </c>
      <c r="F21710" s="102" t="str">
        <f ca="1">IFERROR(__xludf.DUMMYFUNCTION("IMPORTRANGE(H21710,""IDENTITAS UNIT!D9"")"),"#N/A")</f>
        <v>#N/A</v>
      </c>
      <c r="H21710" s="4" t="str">
        <v/>
      </c>
      <c r="I21710" s="4" t="str">
        <v/>
      </c>
    </row>
    <row r="21711" spans="5:9" ht="16.5" hidden="1">
      <c r="E21711" s="4" t="str">
        <v/>
      </c>
      <c r="F21711" s="102" t="str">
        <f ca="1">IFERROR(__xludf.DUMMYFUNCTION("IMPORTRANGE(H21711,""IDENTITAS UNIT!D9"")"),"#N/A")</f>
        <v>#N/A</v>
      </c>
      <c r="H21711" s="4" t="str">
        <v/>
      </c>
      <c r="I21711" s="4" t="str">
        <v/>
      </c>
    </row>
    <row r="21712" spans="5:9" ht="16.5" hidden="1">
      <c r="E21712" s="4" t="str">
        <v/>
      </c>
      <c r="F21712" s="102" t="str">
        <f ca="1">IFERROR(__xludf.DUMMYFUNCTION("IMPORTRANGE(H21712,""IDENTITAS UNIT!D9"")"),"#N/A")</f>
        <v>#N/A</v>
      </c>
      <c r="H21712" s="4" t="str">
        <v/>
      </c>
      <c r="I21712" s="4" t="str">
        <v/>
      </c>
    </row>
    <row r="21713" spans="5:9" ht="16.5" hidden="1">
      <c r="E21713" s="4" t="str">
        <v/>
      </c>
      <c r="F21713" s="102" t="str">
        <f ca="1">IFERROR(__xludf.DUMMYFUNCTION("IMPORTRANGE(H21713,""IDENTITAS UNIT!D9"")"),"#N/A")</f>
        <v>#N/A</v>
      </c>
      <c r="H21713" s="4" t="str">
        <v/>
      </c>
      <c r="I21713" s="4" t="str">
        <v/>
      </c>
    </row>
    <row r="21714" spans="5:9" ht="16.5" hidden="1">
      <c r="E21714" s="4" t="str">
        <v/>
      </c>
      <c r="F21714" s="102" t="str">
        <f ca="1">IFERROR(__xludf.DUMMYFUNCTION("IMPORTRANGE(H21714,""IDENTITAS UNIT!D9"")"),"#N/A")</f>
        <v>#N/A</v>
      </c>
      <c r="H21714" s="4" t="str">
        <v/>
      </c>
      <c r="I21714" s="4" t="str">
        <v/>
      </c>
    </row>
    <row r="21715" spans="5:9" ht="16.5" hidden="1">
      <c r="E21715" s="4" t="str">
        <v/>
      </c>
      <c r="F21715" s="102" t="str">
        <f ca="1">IFERROR(__xludf.DUMMYFUNCTION("IMPORTRANGE(H21715,""IDENTITAS UNIT!D9"")"),"#N/A")</f>
        <v>#N/A</v>
      </c>
      <c r="H21715" s="4" t="str">
        <v/>
      </c>
      <c r="I21715" s="4" t="str">
        <v/>
      </c>
    </row>
    <row r="21716" spans="5:9" ht="16.5" hidden="1">
      <c r="E21716" s="4" t="str">
        <v/>
      </c>
      <c r="F21716" s="102" t="str">
        <f ca="1">IFERROR(__xludf.DUMMYFUNCTION("IMPORTRANGE(H21716,""IDENTITAS UNIT!D9"")"),"#N/A")</f>
        <v>#N/A</v>
      </c>
      <c r="H21716" s="4" t="str">
        <v/>
      </c>
      <c r="I21716" s="4" t="str">
        <v/>
      </c>
    </row>
    <row r="21717" spans="5:9" ht="16.5" hidden="1">
      <c r="E21717" s="4" t="str">
        <v/>
      </c>
      <c r="F21717" s="102" t="str">
        <f ca="1">IFERROR(__xludf.DUMMYFUNCTION("IMPORTRANGE(H21717,""IDENTITAS UNIT!D9"")"),"#N/A")</f>
        <v>#N/A</v>
      </c>
      <c r="H21717" s="4" t="str">
        <v/>
      </c>
      <c r="I21717" s="4" t="str">
        <v/>
      </c>
    </row>
    <row r="21718" spans="5:9" ht="16.5" hidden="1">
      <c r="E21718" s="4" t="str">
        <v/>
      </c>
      <c r="F21718" s="102" t="str">
        <f ca="1">IFERROR(__xludf.DUMMYFUNCTION("IMPORTRANGE(H21718,""IDENTITAS UNIT!D9"")"),"#N/A")</f>
        <v>#N/A</v>
      </c>
      <c r="H21718" s="4" t="str">
        <v/>
      </c>
      <c r="I21718" s="4" t="str">
        <v/>
      </c>
    </row>
    <row r="21719" spans="5:9" ht="16.5" hidden="1">
      <c r="E21719" s="4" t="str">
        <v/>
      </c>
      <c r="F21719" s="102" t="str">
        <f ca="1">IFERROR(__xludf.DUMMYFUNCTION("IMPORTRANGE(H21719,""IDENTITAS UNIT!D9"")"),"#N/A")</f>
        <v>#N/A</v>
      </c>
      <c r="H21719" s="4" t="str">
        <v/>
      </c>
      <c r="I21719" s="4" t="str">
        <v/>
      </c>
    </row>
    <row r="21720" spans="5:9" ht="16.5" hidden="1">
      <c r="E21720" s="4" t="str">
        <v/>
      </c>
      <c r="F21720" s="102" t="str">
        <f ca="1">IFERROR(__xludf.DUMMYFUNCTION("IMPORTRANGE(H21720,""IDENTITAS UNIT!D9"")"),"#N/A")</f>
        <v>#N/A</v>
      </c>
      <c r="H21720" s="4" t="str">
        <v/>
      </c>
      <c r="I21720" s="4" t="str">
        <v/>
      </c>
    </row>
    <row r="21721" spans="5:9" ht="16.5" hidden="1">
      <c r="E21721" s="4" t="str">
        <v/>
      </c>
      <c r="F21721" s="102" t="str">
        <f ca="1">IFERROR(__xludf.DUMMYFUNCTION("IMPORTRANGE(H21721,""IDENTITAS UNIT!D9"")"),"#N/A")</f>
        <v>#N/A</v>
      </c>
      <c r="H21721" s="4" t="str">
        <v/>
      </c>
      <c r="I21721" s="4" t="str">
        <v/>
      </c>
    </row>
    <row r="21722" spans="5:9" ht="16.5" hidden="1">
      <c r="E21722" s="4" t="str">
        <v/>
      </c>
      <c r="F21722" s="102" t="str">
        <f ca="1">IFERROR(__xludf.DUMMYFUNCTION("IMPORTRANGE(H21722,""IDENTITAS UNIT!D9"")"),"#N/A")</f>
        <v>#N/A</v>
      </c>
      <c r="H21722" s="4" t="str">
        <v/>
      </c>
      <c r="I21722" s="4" t="str">
        <v/>
      </c>
    </row>
    <row r="21723" spans="5:9" ht="16.5" hidden="1">
      <c r="E21723" s="4" t="str">
        <v/>
      </c>
      <c r="F21723" s="102" t="str">
        <f ca="1">IFERROR(__xludf.DUMMYFUNCTION("IMPORTRANGE(H21723,""IDENTITAS UNIT!D9"")"),"#N/A")</f>
        <v>#N/A</v>
      </c>
      <c r="H21723" s="4" t="str">
        <v/>
      </c>
      <c r="I21723" s="4" t="str">
        <v/>
      </c>
    </row>
    <row r="21724" spans="5:9" ht="16.5" hidden="1">
      <c r="E21724" s="4" t="str">
        <v/>
      </c>
      <c r="F21724" s="102" t="str">
        <f ca="1">IFERROR(__xludf.DUMMYFUNCTION("IMPORTRANGE(H21724,""IDENTITAS UNIT!D9"")"),"#N/A")</f>
        <v>#N/A</v>
      </c>
      <c r="H21724" s="4" t="str">
        <v/>
      </c>
      <c r="I21724" s="4" t="str">
        <v/>
      </c>
    </row>
    <row r="21725" spans="5:9" ht="16.5" hidden="1">
      <c r="E21725" s="4" t="str">
        <v/>
      </c>
      <c r="F21725" s="102" t="str">
        <f ca="1">IFERROR(__xludf.DUMMYFUNCTION("IMPORTRANGE(H21725,""IDENTITAS UNIT!D9"")"),"#N/A")</f>
        <v>#N/A</v>
      </c>
      <c r="H21725" s="4" t="str">
        <v/>
      </c>
      <c r="I21725" s="4" t="str">
        <v/>
      </c>
    </row>
    <row r="21726" spans="5:9" ht="16.5" hidden="1">
      <c r="E21726" s="4" t="str">
        <v/>
      </c>
      <c r="F21726" s="102" t="str">
        <f ca="1">IFERROR(__xludf.DUMMYFUNCTION("IMPORTRANGE(H21726,""IDENTITAS UNIT!D9"")"),"#N/A")</f>
        <v>#N/A</v>
      </c>
      <c r="H21726" s="4" t="str">
        <v/>
      </c>
      <c r="I21726" s="4" t="str">
        <v/>
      </c>
    </row>
    <row r="21727" spans="5:9" ht="16.5" hidden="1">
      <c r="E21727" s="4" t="str">
        <v/>
      </c>
      <c r="F21727" s="102" t="str">
        <f ca="1">IFERROR(__xludf.DUMMYFUNCTION("IMPORTRANGE(H21727,""IDENTITAS UNIT!D9"")"),"#N/A")</f>
        <v>#N/A</v>
      </c>
      <c r="H21727" s="4" t="str">
        <v/>
      </c>
      <c r="I21727" s="4" t="str">
        <v/>
      </c>
    </row>
    <row r="21728" spans="5:9" ht="16.5" hidden="1">
      <c r="E21728" s="4" t="str">
        <v/>
      </c>
      <c r="F21728" s="102" t="str">
        <f ca="1">IFERROR(__xludf.DUMMYFUNCTION("IMPORTRANGE(H21728,""IDENTITAS UNIT!D9"")"),"#N/A")</f>
        <v>#N/A</v>
      </c>
      <c r="H21728" s="4" t="str">
        <v/>
      </c>
      <c r="I21728" s="4" t="str">
        <v/>
      </c>
    </row>
    <row r="21729" spans="5:9" ht="16.5" hidden="1">
      <c r="E21729" s="4" t="str">
        <v/>
      </c>
      <c r="F21729" s="102" t="str">
        <f ca="1">IFERROR(__xludf.DUMMYFUNCTION("IMPORTRANGE(H21729,""IDENTITAS UNIT!D9"")"),"#N/A")</f>
        <v>#N/A</v>
      </c>
      <c r="H21729" s="4" t="str">
        <v/>
      </c>
      <c r="I21729" s="4" t="str">
        <v/>
      </c>
    </row>
    <row r="21730" spans="5:9" ht="16.5" hidden="1">
      <c r="E21730" s="4" t="str">
        <v/>
      </c>
      <c r="F21730" s="102" t="str">
        <f ca="1">IFERROR(__xludf.DUMMYFUNCTION("IMPORTRANGE(H21730,""IDENTITAS UNIT!D9"")"),"#N/A")</f>
        <v>#N/A</v>
      </c>
      <c r="H21730" s="4" t="str">
        <v/>
      </c>
      <c r="I21730" s="4" t="str">
        <v/>
      </c>
    </row>
    <row r="21731" spans="5:9" ht="16.5" hidden="1">
      <c r="E21731" s="4" t="str">
        <v/>
      </c>
      <c r="F21731" s="102" t="str">
        <f ca="1">IFERROR(__xludf.DUMMYFUNCTION("IMPORTRANGE(H21731,""IDENTITAS UNIT!D9"")"),"#N/A")</f>
        <v>#N/A</v>
      </c>
      <c r="H21731" s="4" t="str">
        <v/>
      </c>
      <c r="I21731" s="4" t="str">
        <v/>
      </c>
    </row>
    <row r="21732" spans="5:9" ht="16.5" hidden="1">
      <c r="E21732" s="4" t="str">
        <v/>
      </c>
      <c r="F21732" s="102" t="str">
        <f ca="1">IFERROR(__xludf.DUMMYFUNCTION("IMPORTRANGE(H21732,""IDENTITAS UNIT!D9"")"),"#N/A")</f>
        <v>#N/A</v>
      </c>
      <c r="H21732" s="4" t="str">
        <v/>
      </c>
      <c r="I21732" s="4" t="str">
        <v/>
      </c>
    </row>
    <row r="21733" spans="5:9" ht="16.5" hidden="1">
      <c r="E21733" s="4" t="str">
        <v/>
      </c>
      <c r="F21733" s="102" t="str">
        <f ca="1">IFERROR(__xludf.DUMMYFUNCTION("IMPORTRANGE(H21733,""IDENTITAS UNIT!D9"")"),"#N/A")</f>
        <v>#N/A</v>
      </c>
      <c r="H21733" s="4" t="str">
        <v/>
      </c>
      <c r="I21733" s="4" t="str">
        <v/>
      </c>
    </row>
    <row r="21734" spans="5:9" ht="16.5" hidden="1">
      <c r="E21734" s="4" t="str">
        <v/>
      </c>
      <c r="F21734" s="102" t="str">
        <f ca="1">IFERROR(__xludf.DUMMYFUNCTION("IMPORTRANGE(H21734,""IDENTITAS UNIT!D9"")"),"#N/A")</f>
        <v>#N/A</v>
      </c>
      <c r="H21734" s="4" t="str">
        <v/>
      </c>
      <c r="I21734" s="4" t="str">
        <v/>
      </c>
    </row>
    <row r="21735" spans="5:9" ht="16.5" hidden="1">
      <c r="E21735" s="4" t="str">
        <v/>
      </c>
      <c r="F21735" s="102" t="str">
        <f ca="1">IFERROR(__xludf.DUMMYFUNCTION("IMPORTRANGE(H21735,""IDENTITAS UNIT!D9"")"),"#N/A")</f>
        <v>#N/A</v>
      </c>
      <c r="H21735" s="4" t="str">
        <v/>
      </c>
      <c r="I21735" s="4" t="str">
        <v/>
      </c>
    </row>
    <row r="21736" spans="5:9" ht="16.5" hidden="1">
      <c r="E21736" s="4" t="str">
        <v/>
      </c>
      <c r="F21736" s="102" t="str">
        <f ca="1">IFERROR(__xludf.DUMMYFUNCTION("IMPORTRANGE(H21736,""IDENTITAS UNIT!D9"")"),"#N/A")</f>
        <v>#N/A</v>
      </c>
      <c r="H21736" s="4" t="str">
        <v/>
      </c>
      <c r="I21736" s="4" t="str">
        <v/>
      </c>
    </row>
    <row r="21737" spans="5:9" ht="16.5" hidden="1">
      <c r="E21737" s="4" t="str">
        <v/>
      </c>
      <c r="F21737" s="102" t="str">
        <f ca="1">IFERROR(__xludf.DUMMYFUNCTION("IMPORTRANGE(H21737,""IDENTITAS UNIT!D9"")"),"#N/A")</f>
        <v>#N/A</v>
      </c>
      <c r="H21737" s="4" t="str">
        <v/>
      </c>
      <c r="I21737" s="4" t="str">
        <v/>
      </c>
    </row>
    <row r="21738" spans="5:9" ht="16.5" hidden="1">
      <c r="E21738" s="4" t="str">
        <v/>
      </c>
      <c r="F21738" s="102" t="str">
        <f ca="1">IFERROR(__xludf.DUMMYFUNCTION("IMPORTRANGE(H21738,""IDENTITAS UNIT!D9"")"),"#N/A")</f>
        <v>#N/A</v>
      </c>
      <c r="H21738" s="4" t="str">
        <v/>
      </c>
      <c r="I21738" s="4" t="str">
        <v/>
      </c>
    </row>
    <row r="21739" spans="5:9" ht="16.5" hidden="1">
      <c r="E21739" s="4" t="str">
        <v/>
      </c>
      <c r="F21739" s="102" t="str">
        <f ca="1">IFERROR(__xludf.DUMMYFUNCTION("IMPORTRANGE(H21739,""IDENTITAS UNIT!D9"")"),"#N/A")</f>
        <v>#N/A</v>
      </c>
      <c r="H21739" s="4" t="str">
        <v/>
      </c>
      <c r="I21739" s="4" t="str">
        <v/>
      </c>
    </row>
    <row r="21740" spans="5:9" ht="16.5" hidden="1">
      <c r="E21740" s="4" t="str">
        <v/>
      </c>
      <c r="F21740" s="102" t="str">
        <f ca="1">IFERROR(__xludf.DUMMYFUNCTION("IMPORTRANGE(H21740,""IDENTITAS UNIT!D9"")"),"#N/A")</f>
        <v>#N/A</v>
      </c>
      <c r="H21740" s="4" t="str">
        <v/>
      </c>
      <c r="I21740" s="4" t="str">
        <v/>
      </c>
    </row>
    <row r="21741" spans="5:9" ht="16.5" hidden="1">
      <c r="E21741" s="4" t="str">
        <v/>
      </c>
      <c r="F21741" s="102" t="str">
        <f ca="1">IFERROR(__xludf.DUMMYFUNCTION("IMPORTRANGE(H21741,""IDENTITAS UNIT!D9"")"),"#N/A")</f>
        <v>#N/A</v>
      </c>
      <c r="H21741" s="4" t="str">
        <v/>
      </c>
      <c r="I21741" s="4" t="str">
        <v/>
      </c>
    </row>
    <row r="21742" spans="5:9" ht="16.5" hidden="1">
      <c r="E21742" s="4" t="str">
        <v/>
      </c>
      <c r="F21742" s="102" t="str">
        <f ca="1">IFERROR(__xludf.DUMMYFUNCTION("IMPORTRANGE(H21742,""IDENTITAS UNIT!D9"")"),"#N/A")</f>
        <v>#N/A</v>
      </c>
      <c r="H21742" s="4" t="str">
        <v/>
      </c>
      <c r="I21742" s="4" t="str">
        <v/>
      </c>
    </row>
    <row r="21743" spans="5:9" ht="16.5" hidden="1">
      <c r="E21743" s="4" t="str">
        <v/>
      </c>
      <c r="F21743" s="102" t="str">
        <f ca="1">IFERROR(__xludf.DUMMYFUNCTION("IMPORTRANGE(H21743,""IDENTITAS UNIT!D9"")"),"#N/A")</f>
        <v>#N/A</v>
      </c>
      <c r="H21743" s="4" t="str">
        <v/>
      </c>
      <c r="I21743" s="4" t="str">
        <v/>
      </c>
    </row>
    <row r="21744" spans="5:9" ht="16.5" hidden="1">
      <c r="E21744" s="4" t="str">
        <v/>
      </c>
      <c r="F21744" s="102" t="str">
        <f ca="1">IFERROR(__xludf.DUMMYFUNCTION("IMPORTRANGE(H21744,""IDENTITAS UNIT!D9"")"),"#N/A")</f>
        <v>#N/A</v>
      </c>
      <c r="H21744" s="4" t="str">
        <v/>
      </c>
      <c r="I21744" s="4" t="str">
        <v/>
      </c>
    </row>
    <row r="21745" spans="5:9" ht="16.5" hidden="1">
      <c r="E21745" s="4" t="str">
        <v/>
      </c>
      <c r="F21745" s="102" t="str">
        <f ca="1">IFERROR(__xludf.DUMMYFUNCTION("IMPORTRANGE(H21745,""IDENTITAS UNIT!D9"")"),"#N/A")</f>
        <v>#N/A</v>
      </c>
      <c r="H21745" s="4" t="str">
        <v/>
      </c>
      <c r="I21745" s="4" t="str">
        <v/>
      </c>
    </row>
    <row r="21746" spans="5:9" ht="16.5" hidden="1">
      <c r="E21746" s="4" t="str">
        <v/>
      </c>
      <c r="F21746" s="102" t="str">
        <f ca="1">IFERROR(__xludf.DUMMYFUNCTION("IMPORTRANGE(H21746,""IDENTITAS UNIT!D9"")"),"#N/A")</f>
        <v>#N/A</v>
      </c>
      <c r="H21746" s="4" t="str">
        <v/>
      </c>
      <c r="I21746" s="4" t="str">
        <v/>
      </c>
    </row>
    <row r="21747" spans="5:9" ht="16.5" hidden="1">
      <c r="E21747" s="4" t="str">
        <v/>
      </c>
      <c r="F21747" s="102" t="str">
        <f ca="1">IFERROR(__xludf.DUMMYFUNCTION("IMPORTRANGE(H21747,""IDENTITAS UNIT!D9"")"),"#N/A")</f>
        <v>#N/A</v>
      </c>
      <c r="H21747" s="4" t="str">
        <v/>
      </c>
      <c r="I21747" s="4" t="str">
        <v/>
      </c>
    </row>
    <row r="21748" spans="5:9" ht="16.5" hidden="1">
      <c r="E21748" s="4" t="str">
        <v/>
      </c>
      <c r="F21748" s="102" t="str">
        <f ca="1">IFERROR(__xludf.DUMMYFUNCTION("IMPORTRANGE(H21748,""IDENTITAS UNIT!D9"")"),"#N/A")</f>
        <v>#N/A</v>
      </c>
      <c r="H21748" s="4" t="str">
        <v/>
      </c>
      <c r="I21748" s="4" t="str">
        <v/>
      </c>
    </row>
    <row r="21749" spans="5:9" ht="16.5" hidden="1">
      <c r="E21749" s="4" t="str">
        <v/>
      </c>
      <c r="F21749" s="102" t="str">
        <f ca="1">IFERROR(__xludf.DUMMYFUNCTION("IMPORTRANGE(H21749,""IDENTITAS UNIT!D9"")"),"#N/A")</f>
        <v>#N/A</v>
      </c>
      <c r="H21749" s="4" t="str">
        <v/>
      </c>
      <c r="I21749" s="4" t="str">
        <v/>
      </c>
    </row>
    <row r="21750" spans="5:9" ht="16.5" hidden="1">
      <c r="E21750" s="4" t="str">
        <v/>
      </c>
      <c r="F21750" s="102" t="str">
        <f ca="1">IFERROR(__xludf.DUMMYFUNCTION("IMPORTRANGE(H21750,""IDENTITAS UNIT!D9"")"),"#N/A")</f>
        <v>#N/A</v>
      </c>
      <c r="H21750" s="4" t="str">
        <v/>
      </c>
      <c r="I21750" s="4" t="str">
        <v/>
      </c>
    </row>
    <row r="21751" spans="5:9" ht="16.5" hidden="1">
      <c r="E21751" s="4" t="str">
        <v/>
      </c>
      <c r="F21751" s="102" t="str">
        <f ca="1">IFERROR(__xludf.DUMMYFUNCTION("IMPORTRANGE(H21751,""IDENTITAS UNIT!D9"")"),"#N/A")</f>
        <v>#N/A</v>
      </c>
      <c r="H21751" s="4" t="str">
        <v/>
      </c>
      <c r="I21751" s="4" t="str">
        <v/>
      </c>
    </row>
    <row r="21752" spans="5:9" ht="16.5" hidden="1">
      <c r="E21752" s="4" t="str">
        <v/>
      </c>
      <c r="F21752" s="102" t="str">
        <f ca="1">IFERROR(__xludf.DUMMYFUNCTION("IMPORTRANGE(H21752,""IDENTITAS UNIT!D9"")"),"#N/A")</f>
        <v>#N/A</v>
      </c>
      <c r="H21752" s="4" t="str">
        <v/>
      </c>
      <c r="I21752" s="4" t="str">
        <v/>
      </c>
    </row>
    <row r="21753" spans="5:9" ht="16.5" hidden="1">
      <c r="E21753" s="4" t="str">
        <v/>
      </c>
      <c r="F21753" s="102" t="str">
        <f ca="1">IFERROR(__xludf.DUMMYFUNCTION("IMPORTRANGE(H21753,""IDENTITAS UNIT!D9"")"),"#N/A")</f>
        <v>#N/A</v>
      </c>
      <c r="H21753" s="4" t="str">
        <v/>
      </c>
      <c r="I21753" s="4" t="str">
        <v/>
      </c>
    </row>
    <row r="21754" spans="5:9" ht="16.5" hidden="1">
      <c r="E21754" s="4" t="str">
        <v/>
      </c>
      <c r="F21754" s="102" t="str">
        <f ca="1">IFERROR(__xludf.DUMMYFUNCTION("IMPORTRANGE(H21754,""IDENTITAS UNIT!D9"")"),"#N/A")</f>
        <v>#N/A</v>
      </c>
      <c r="H21754" s="4" t="str">
        <v/>
      </c>
      <c r="I21754" s="4" t="str">
        <v/>
      </c>
    </row>
    <row r="21755" spans="5:9" ht="16.5" hidden="1">
      <c r="E21755" s="4" t="str">
        <v/>
      </c>
      <c r="F21755" s="102" t="str">
        <f ca="1">IFERROR(__xludf.DUMMYFUNCTION("IMPORTRANGE(H21755,""IDENTITAS UNIT!D9"")"),"#N/A")</f>
        <v>#N/A</v>
      </c>
      <c r="H21755" s="4" t="str">
        <v/>
      </c>
      <c r="I21755" s="4" t="str">
        <v/>
      </c>
    </row>
    <row r="21756" spans="5:9" ht="16.5" hidden="1">
      <c r="E21756" s="4" t="str">
        <v/>
      </c>
      <c r="F21756" s="102" t="str">
        <f ca="1">IFERROR(__xludf.DUMMYFUNCTION("IMPORTRANGE(H21756,""IDENTITAS UNIT!D9"")"),"#N/A")</f>
        <v>#N/A</v>
      </c>
      <c r="H21756" s="4" t="str">
        <v/>
      </c>
      <c r="I21756" s="4" t="str">
        <v/>
      </c>
    </row>
    <row r="21757" spans="5:9" ht="16.5" hidden="1">
      <c r="E21757" s="4" t="str">
        <v/>
      </c>
      <c r="F21757" s="102" t="str">
        <f ca="1">IFERROR(__xludf.DUMMYFUNCTION("IMPORTRANGE(H21757,""IDENTITAS UNIT!D9"")"),"#N/A")</f>
        <v>#N/A</v>
      </c>
      <c r="H21757" s="4" t="str">
        <v/>
      </c>
      <c r="I21757" s="4" t="str">
        <v/>
      </c>
    </row>
    <row r="21758" spans="5:9" ht="16.5" hidden="1">
      <c r="E21758" s="4" t="str">
        <v/>
      </c>
      <c r="F21758" s="102" t="str">
        <f ca="1">IFERROR(__xludf.DUMMYFUNCTION("IMPORTRANGE(H21758,""IDENTITAS UNIT!D9"")"),"#N/A")</f>
        <v>#N/A</v>
      </c>
      <c r="H21758" s="4" t="str">
        <v/>
      </c>
      <c r="I21758" s="4" t="str">
        <v/>
      </c>
    </row>
    <row r="21759" spans="5:9" ht="16.5" hidden="1">
      <c r="E21759" s="4" t="str">
        <v/>
      </c>
      <c r="F21759" s="102" t="str">
        <f ca="1">IFERROR(__xludf.DUMMYFUNCTION("IMPORTRANGE(H21759,""IDENTITAS UNIT!D9"")"),"#N/A")</f>
        <v>#N/A</v>
      </c>
      <c r="H21759" s="4" t="str">
        <v/>
      </c>
      <c r="I21759" s="4" t="str">
        <v/>
      </c>
    </row>
    <row r="21760" spans="5:9" ht="16.5" hidden="1">
      <c r="E21760" s="4" t="str">
        <v/>
      </c>
      <c r="F21760" s="102" t="str">
        <f ca="1">IFERROR(__xludf.DUMMYFUNCTION("IMPORTRANGE(H21760,""IDENTITAS UNIT!D9"")"),"#N/A")</f>
        <v>#N/A</v>
      </c>
      <c r="H21760" s="4" t="str">
        <v/>
      </c>
      <c r="I21760" s="4" t="str">
        <v/>
      </c>
    </row>
    <row r="21761" spans="5:9" ht="16.5" hidden="1">
      <c r="E21761" s="4" t="str">
        <v/>
      </c>
      <c r="F21761" s="102" t="str">
        <f ca="1">IFERROR(__xludf.DUMMYFUNCTION("IMPORTRANGE(H21761,""IDENTITAS UNIT!D9"")"),"#N/A")</f>
        <v>#N/A</v>
      </c>
      <c r="H21761" s="4" t="str">
        <v/>
      </c>
      <c r="I21761" s="4" t="str">
        <v/>
      </c>
    </row>
    <row r="21762" spans="5:9" ht="16.5" hidden="1">
      <c r="E21762" s="4" t="str">
        <v/>
      </c>
      <c r="F21762" s="102" t="str">
        <f ca="1">IFERROR(__xludf.DUMMYFUNCTION("IMPORTRANGE(H21762,""IDENTITAS UNIT!D9"")"),"#N/A")</f>
        <v>#N/A</v>
      </c>
      <c r="H21762" s="4" t="str">
        <v/>
      </c>
      <c r="I21762" s="4" t="str">
        <v/>
      </c>
    </row>
    <row r="21763" spans="5:9" ht="16.5" hidden="1">
      <c r="E21763" s="4" t="str">
        <v/>
      </c>
      <c r="F21763" s="102" t="str">
        <f ca="1">IFERROR(__xludf.DUMMYFUNCTION("IMPORTRANGE(H21763,""IDENTITAS UNIT!D9"")"),"#N/A")</f>
        <v>#N/A</v>
      </c>
      <c r="H21763" s="4" t="str">
        <v/>
      </c>
      <c r="I21763" s="4" t="str">
        <v/>
      </c>
    </row>
    <row r="21764" spans="5:9" ht="16.5" hidden="1">
      <c r="E21764" s="4" t="str">
        <v/>
      </c>
      <c r="F21764" s="102" t="str">
        <f ca="1">IFERROR(__xludf.DUMMYFUNCTION("IMPORTRANGE(H21764,""IDENTITAS UNIT!D9"")"),"#N/A")</f>
        <v>#N/A</v>
      </c>
      <c r="H21764" s="4" t="str">
        <v/>
      </c>
      <c r="I21764" s="4" t="str">
        <v/>
      </c>
    </row>
    <row r="21765" spans="5:9" ht="16.5" hidden="1">
      <c r="E21765" s="4" t="str">
        <v/>
      </c>
      <c r="F21765" s="102" t="str">
        <f ca="1">IFERROR(__xludf.DUMMYFUNCTION("IMPORTRANGE(H21765,""IDENTITAS UNIT!D9"")"),"#N/A")</f>
        <v>#N/A</v>
      </c>
      <c r="H21765" s="4" t="str">
        <v/>
      </c>
      <c r="I21765" s="4" t="str">
        <v/>
      </c>
    </row>
    <row r="21766" spans="5:9" ht="16.5" hidden="1">
      <c r="E21766" s="4" t="str">
        <v/>
      </c>
      <c r="F21766" s="102" t="str">
        <f ca="1">IFERROR(__xludf.DUMMYFUNCTION("IMPORTRANGE(H21766,""IDENTITAS UNIT!D9"")"),"#N/A")</f>
        <v>#N/A</v>
      </c>
      <c r="H21766" s="4" t="str">
        <v/>
      </c>
      <c r="I21766" s="4" t="str">
        <v/>
      </c>
    </row>
    <row r="21767" spans="5:9" ht="16.5" hidden="1">
      <c r="E21767" s="4" t="str">
        <v/>
      </c>
      <c r="F21767" s="102" t="str">
        <f ca="1">IFERROR(__xludf.DUMMYFUNCTION("IMPORTRANGE(H21767,""IDENTITAS UNIT!D9"")"),"#N/A")</f>
        <v>#N/A</v>
      </c>
      <c r="H21767" s="4" t="str">
        <v/>
      </c>
      <c r="I21767" s="4" t="str">
        <v/>
      </c>
    </row>
    <row r="21768" spans="5:9" ht="16.5" hidden="1">
      <c r="E21768" s="4" t="str">
        <v/>
      </c>
      <c r="F21768" s="102" t="str">
        <f ca="1">IFERROR(__xludf.DUMMYFUNCTION("IMPORTRANGE(H21768,""IDENTITAS UNIT!D9"")"),"#N/A")</f>
        <v>#N/A</v>
      </c>
      <c r="H21768" s="4" t="str">
        <v/>
      </c>
      <c r="I21768" s="4" t="str">
        <v/>
      </c>
    </row>
    <row r="21769" spans="5:9" ht="16.5" hidden="1">
      <c r="E21769" s="4" t="str">
        <v/>
      </c>
      <c r="F21769" s="102" t="str">
        <f ca="1">IFERROR(__xludf.DUMMYFUNCTION("IMPORTRANGE(H21769,""IDENTITAS UNIT!D9"")"),"#N/A")</f>
        <v>#N/A</v>
      </c>
      <c r="H21769" s="4" t="str">
        <v/>
      </c>
      <c r="I21769" s="4" t="str">
        <v/>
      </c>
    </row>
    <row r="21770" spans="5:9" ht="16.5" hidden="1">
      <c r="E21770" s="4" t="str">
        <v/>
      </c>
      <c r="F21770" s="102" t="str">
        <f ca="1">IFERROR(__xludf.DUMMYFUNCTION("IMPORTRANGE(H21770,""IDENTITAS UNIT!D9"")"),"#N/A")</f>
        <v>#N/A</v>
      </c>
      <c r="H21770" s="4" t="str">
        <v/>
      </c>
      <c r="I21770" s="4" t="str">
        <v/>
      </c>
    </row>
    <row r="21771" spans="5:9" ht="16.5" hidden="1">
      <c r="E21771" s="4" t="str">
        <v/>
      </c>
      <c r="F21771" s="102" t="str">
        <f ca="1">IFERROR(__xludf.DUMMYFUNCTION("IMPORTRANGE(H21771,""IDENTITAS UNIT!D9"")"),"#N/A")</f>
        <v>#N/A</v>
      </c>
      <c r="H21771" s="4" t="str">
        <v/>
      </c>
      <c r="I21771" s="4" t="str">
        <v/>
      </c>
    </row>
    <row r="21772" spans="5:9" ht="16.5" hidden="1">
      <c r="E21772" s="4" t="str">
        <v/>
      </c>
      <c r="F21772" s="102" t="str">
        <f ca="1">IFERROR(__xludf.DUMMYFUNCTION("IMPORTRANGE(H21772,""IDENTITAS UNIT!D9"")"),"#N/A")</f>
        <v>#N/A</v>
      </c>
      <c r="H21772" s="4" t="str">
        <v/>
      </c>
      <c r="I21772" s="4" t="str">
        <v/>
      </c>
    </row>
    <row r="21773" spans="5:9" ht="16.5" hidden="1">
      <c r="E21773" s="4" t="str">
        <v/>
      </c>
      <c r="F21773" s="102" t="str">
        <f ca="1">IFERROR(__xludf.DUMMYFUNCTION("IMPORTRANGE(H21773,""IDENTITAS UNIT!D9"")"),"#N/A")</f>
        <v>#N/A</v>
      </c>
      <c r="H21773" s="4" t="str">
        <v/>
      </c>
      <c r="I21773" s="4" t="str">
        <v/>
      </c>
    </row>
    <row r="21774" spans="5:9" ht="16.5" hidden="1">
      <c r="E21774" s="4" t="str">
        <v/>
      </c>
      <c r="F21774" s="102" t="str">
        <f ca="1">IFERROR(__xludf.DUMMYFUNCTION("IMPORTRANGE(H21774,""IDENTITAS UNIT!D9"")"),"#N/A")</f>
        <v>#N/A</v>
      </c>
      <c r="H21774" s="4" t="str">
        <v/>
      </c>
      <c r="I21774" s="4" t="str">
        <v/>
      </c>
    </row>
    <row r="21775" spans="5:9" ht="16.5" hidden="1">
      <c r="E21775" s="4" t="str">
        <v/>
      </c>
      <c r="F21775" s="102" t="str">
        <f ca="1">IFERROR(__xludf.DUMMYFUNCTION("IMPORTRANGE(H21775,""IDENTITAS UNIT!D9"")"),"#N/A")</f>
        <v>#N/A</v>
      </c>
      <c r="H21775" s="4" t="str">
        <v/>
      </c>
      <c r="I21775" s="4" t="str">
        <v/>
      </c>
    </row>
    <row r="21776" spans="5:9" ht="16.5" hidden="1">
      <c r="E21776" s="4" t="str">
        <v/>
      </c>
      <c r="F21776" s="102" t="str">
        <f ca="1">IFERROR(__xludf.DUMMYFUNCTION("IMPORTRANGE(H21776,""IDENTITAS UNIT!D9"")"),"#N/A")</f>
        <v>#N/A</v>
      </c>
      <c r="H21776" s="4" t="str">
        <v/>
      </c>
      <c r="I21776" s="4" t="str">
        <v/>
      </c>
    </row>
    <row r="21777" spans="5:9" ht="16.5" hidden="1">
      <c r="E21777" s="4" t="str">
        <v/>
      </c>
      <c r="F21777" s="102" t="str">
        <f ca="1">IFERROR(__xludf.DUMMYFUNCTION("IMPORTRANGE(H21777,""IDENTITAS UNIT!D9"")"),"#N/A")</f>
        <v>#N/A</v>
      </c>
      <c r="H21777" s="4" t="str">
        <v/>
      </c>
      <c r="I21777" s="4" t="str">
        <v/>
      </c>
    </row>
    <row r="21778" spans="5:9" ht="16.5" hidden="1">
      <c r="E21778" s="4" t="str">
        <v/>
      </c>
      <c r="F21778" s="102" t="str">
        <f ca="1">IFERROR(__xludf.DUMMYFUNCTION("IMPORTRANGE(H21778,""IDENTITAS UNIT!D9"")"),"#N/A")</f>
        <v>#N/A</v>
      </c>
      <c r="H21778" s="4" t="str">
        <v/>
      </c>
      <c r="I21778" s="4" t="str">
        <v/>
      </c>
    </row>
    <row r="21779" spans="5:9" ht="16.5" hidden="1">
      <c r="E21779" s="4" t="str">
        <v/>
      </c>
      <c r="F21779" s="102" t="str">
        <f ca="1">IFERROR(__xludf.DUMMYFUNCTION("IMPORTRANGE(H21779,""IDENTITAS UNIT!D9"")"),"#N/A")</f>
        <v>#N/A</v>
      </c>
      <c r="H21779" s="4" t="str">
        <v/>
      </c>
      <c r="I21779" s="4" t="str">
        <v/>
      </c>
    </row>
    <row r="21780" spans="5:9" ht="16.5" hidden="1">
      <c r="E21780" s="4" t="str">
        <v/>
      </c>
      <c r="F21780" s="102" t="str">
        <f ca="1">IFERROR(__xludf.DUMMYFUNCTION("IMPORTRANGE(H21780,""IDENTITAS UNIT!D9"")"),"#N/A")</f>
        <v>#N/A</v>
      </c>
      <c r="H21780" s="4" t="str">
        <v/>
      </c>
      <c r="I21780" s="4" t="str">
        <v/>
      </c>
    </row>
    <row r="21781" spans="5:9" ht="16.5" hidden="1">
      <c r="E21781" s="4" t="str">
        <v/>
      </c>
      <c r="F21781" s="102" t="str">
        <f ca="1">IFERROR(__xludf.DUMMYFUNCTION("IMPORTRANGE(H21781,""IDENTITAS UNIT!D9"")"),"#N/A")</f>
        <v>#N/A</v>
      </c>
      <c r="H21781" s="4" t="str">
        <v/>
      </c>
      <c r="I21781" s="4" t="str">
        <v/>
      </c>
    </row>
    <row r="21782" spans="5:9" ht="16.5" hidden="1">
      <c r="E21782" s="4" t="str">
        <v/>
      </c>
      <c r="F21782" s="102" t="str">
        <f ca="1">IFERROR(__xludf.DUMMYFUNCTION("IMPORTRANGE(H21782,""IDENTITAS UNIT!D9"")"),"#N/A")</f>
        <v>#N/A</v>
      </c>
      <c r="H21782" s="4" t="str">
        <v/>
      </c>
      <c r="I21782" s="4" t="str">
        <v/>
      </c>
    </row>
    <row r="21783" spans="5:9" ht="16.5" hidden="1">
      <c r="E21783" s="4" t="str">
        <v/>
      </c>
      <c r="F21783" s="102" t="str">
        <f ca="1">IFERROR(__xludf.DUMMYFUNCTION("IMPORTRANGE(H21783,""IDENTITAS UNIT!D9"")"),"#N/A")</f>
        <v>#N/A</v>
      </c>
      <c r="H21783" s="4" t="str">
        <v/>
      </c>
      <c r="I21783" s="4" t="str">
        <v/>
      </c>
    </row>
    <row r="21784" spans="5:9" ht="16.5" hidden="1">
      <c r="E21784" s="4" t="str">
        <v/>
      </c>
      <c r="F21784" s="102" t="str">
        <f ca="1">IFERROR(__xludf.DUMMYFUNCTION("IMPORTRANGE(H21784,""IDENTITAS UNIT!D9"")"),"#N/A")</f>
        <v>#N/A</v>
      </c>
      <c r="H21784" s="4" t="str">
        <v/>
      </c>
      <c r="I21784" s="4" t="str">
        <v/>
      </c>
    </row>
    <row r="21785" spans="5:9" ht="16.5" hidden="1">
      <c r="E21785" s="4" t="str">
        <v/>
      </c>
      <c r="F21785" s="102" t="str">
        <f ca="1">IFERROR(__xludf.DUMMYFUNCTION("IMPORTRANGE(H21785,""IDENTITAS UNIT!D9"")"),"#N/A")</f>
        <v>#N/A</v>
      </c>
      <c r="H21785" s="4" t="str">
        <v/>
      </c>
      <c r="I21785" s="4" t="str">
        <v/>
      </c>
    </row>
    <row r="21786" spans="5:9" ht="16.5" hidden="1">
      <c r="E21786" s="4" t="str">
        <v/>
      </c>
      <c r="F21786" s="102" t="str">
        <f ca="1">IFERROR(__xludf.DUMMYFUNCTION("IMPORTRANGE(H21786,""IDENTITAS UNIT!D9"")"),"#N/A")</f>
        <v>#N/A</v>
      </c>
      <c r="H21786" s="4" t="str">
        <v/>
      </c>
      <c r="I21786" s="4" t="str">
        <v/>
      </c>
    </row>
    <row r="21787" spans="5:9" ht="16.5" hidden="1">
      <c r="E21787" s="4" t="str">
        <v/>
      </c>
      <c r="F21787" s="102" t="str">
        <f ca="1">IFERROR(__xludf.DUMMYFUNCTION("IMPORTRANGE(H21787,""IDENTITAS UNIT!D9"")"),"#N/A")</f>
        <v>#N/A</v>
      </c>
      <c r="H21787" s="4" t="str">
        <v/>
      </c>
      <c r="I21787" s="4" t="str">
        <v/>
      </c>
    </row>
    <row r="21788" spans="5:9" ht="16.5" hidden="1">
      <c r="E21788" s="4" t="str">
        <v/>
      </c>
      <c r="F21788" s="102" t="str">
        <f ca="1">IFERROR(__xludf.DUMMYFUNCTION("IMPORTRANGE(H21788,""IDENTITAS UNIT!D9"")"),"#N/A")</f>
        <v>#N/A</v>
      </c>
      <c r="H21788" s="4" t="str">
        <v/>
      </c>
      <c r="I21788" s="4" t="str">
        <v/>
      </c>
    </row>
    <row r="21789" spans="5:9" ht="16.5" hidden="1">
      <c r="E21789" s="4" t="str">
        <v/>
      </c>
      <c r="F21789" s="102" t="str">
        <f ca="1">IFERROR(__xludf.DUMMYFUNCTION("IMPORTRANGE(H21789,""IDENTITAS UNIT!D9"")"),"#N/A")</f>
        <v>#N/A</v>
      </c>
      <c r="H21789" s="4" t="str">
        <v/>
      </c>
      <c r="I21789" s="4" t="str">
        <v/>
      </c>
    </row>
    <row r="21790" spans="5:9" ht="16.5" hidden="1">
      <c r="E21790" s="4" t="str">
        <v/>
      </c>
      <c r="F21790" s="102" t="str">
        <f ca="1">IFERROR(__xludf.DUMMYFUNCTION("IMPORTRANGE(H21790,""IDENTITAS UNIT!D9"")"),"#N/A")</f>
        <v>#N/A</v>
      </c>
      <c r="H21790" s="4" t="str">
        <v/>
      </c>
      <c r="I21790" s="4" t="str">
        <v/>
      </c>
    </row>
    <row r="21791" spans="5:9" ht="16.5" hidden="1">
      <c r="E21791" s="4" t="str">
        <v/>
      </c>
      <c r="F21791" s="102" t="str">
        <f ca="1">IFERROR(__xludf.DUMMYFUNCTION("IMPORTRANGE(H21791,""IDENTITAS UNIT!D9"")"),"#N/A")</f>
        <v>#N/A</v>
      </c>
      <c r="H21791" s="4" t="str">
        <v/>
      </c>
      <c r="I21791" s="4" t="str">
        <v/>
      </c>
    </row>
    <row r="21792" spans="5:9" ht="16.5" hidden="1">
      <c r="E21792" s="4" t="str">
        <v/>
      </c>
      <c r="F21792" s="102" t="str">
        <f ca="1">IFERROR(__xludf.DUMMYFUNCTION("IMPORTRANGE(H21792,""IDENTITAS UNIT!D9"")"),"#N/A")</f>
        <v>#N/A</v>
      </c>
      <c r="H21792" s="4" t="str">
        <v/>
      </c>
      <c r="I21792" s="4" t="str">
        <v/>
      </c>
    </row>
    <row r="21793" spans="5:9" ht="16.5" hidden="1">
      <c r="E21793" s="4" t="str">
        <v/>
      </c>
      <c r="F21793" s="102" t="str">
        <f ca="1">IFERROR(__xludf.DUMMYFUNCTION("IMPORTRANGE(H21793,""IDENTITAS UNIT!D9"")"),"#N/A")</f>
        <v>#N/A</v>
      </c>
      <c r="H21793" s="4" t="str">
        <v/>
      </c>
      <c r="I21793" s="4" t="str">
        <v/>
      </c>
    </row>
    <row r="21794" spans="5:9" ht="16.5" hidden="1">
      <c r="E21794" s="4" t="str">
        <v/>
      </c>
      <c r="F21794" s="102" t="str">
        <f ca="1">IFERROR(__xludf.DUMMYFUNCTION("IMPORTRANGE(H21794,""IDENTITAS UNIT!D9"")"),"#N/A")</f>
        <v>#N/A</v>
      </c>
      <c r="H21794" s="4" t="str">
        <v/>
      </c>
      <c r="I21794" s="4" t="str">
        <v/>
      </c>
    </row>
    <row r="21795" spans="5:9" ht="16.5" hidden="1">
      <c r="E21795" s="4" t="str">
        <v/>
      </c>
      <c r="F21795" s="102" t="str">
        <f ca="1">IFERROR(__xludf.DUMMYFUNCTION("IMPORTRANGE(H21795,""IDENTITAS UNIT!D9"")"),"#N/A")</f>
        <v>#N/A</v>
      </c>
      <c r="H21795" s="4" t="str">
        <v/>
      </c>
      <c r="I21795" s="4" t="str">
        <v/>
      </c>
    </row>
    <row r="21796" spans="5:9" ht="16.5" hidden="1">
      <c r="E21796" s="4" t="str">
        <v/>
      </c>
      <c r="F21796" s="102" t="str">
        <f ca="1">IFERROR(__xludf.DUMMYFUNCTION("IMPORTRANGE(H21796,""IDENTITAS UNIT!D9"")"),"#N/A")</f>
        <v>#N/A</v>
      </c>
      <c r="H21796" s="4" t="str">
        <v/>
      </c>
      <c r="I21796" s="4" t="str">
        <v/>
      </c>
    </row>
    <row r="21797" spans="5:9" ht="16.5" hidden="1">
      <c r="E21797" s="4" t="str">
        <v/>
      </c>
      <c r="F21797" s="102" t="str">
        <f ca="1">IFERROR(__xludf.DUMMYFUNCTION("IMPORTRANGE(H21797,""IDENTITAS UNIT!D9"")"),"#N/A")</f>
        <v>#N/A</v>
      </c>
      <c r="H21797" s="4" t="str">
        <v/>
      </c>
      <c r="I21797" s="4" t="str">
        <v/>
      </c>
    </row>
    <row r="21798" spans="5:9" ht="16.5" hidden="1">
      <c r="E21798" s="4" t="str">
        <v/>
      </c>
      <c r="F21798" s="102" t="str">
        <f ca="1">IFERROR(__xludf.DUMMYFUNCTION("IMPORTRANGE(H21798,""IDENTITAS UNIT!D9"")"),"#N/A")</f>
        <v>#N/A</v>
      </c>
      <c r="H21798" s="4" t="str">
        <v/>
      </c>
      <c r="I21798" s="4" t="str">
        <v/>
      </c>
    </row>
    <row r="21799" spans="5:9" ht="16.5" hidden="1">
      <c r="E21799" s="4" t="str">
        <v/>
      </c>
      <c r="F21799" s="102" t="str">
        <f ca="1">IFERROR(__xludf.DUMMYFUNCTION("IMPORTRANGE(H21799,""IDENTITAS UNIT!D9"")"),"#N/A")</f>
        <v>#N/A</v>
      </c>
      <c r="H21799" s="4" t="str">
        <v/>
      </c>
      <c r="I21799" s="4" t="str">
        <v/>
      </c>
    </row>
    <row r="21800" spans="5:9" ht="16.5" hidden="1">
      <c r="E21800" s="4" t="str">
        <v/>
      </c>
      <c r="F21800" s="102" t="str">
        <f ca="1">IFERROR(__xludf.DUMMYFUNCTION("IMPORTRANGE(H21800,""IDENTITAS UNIT!D9"")"),"#N/A")</f>
        <v>#N/A</v>
      </c>
      <c r="H21800" s="4" t="str">
        <v/>
      </c>
      <c r="I21800" s="4" t="str">
        <v/>
      </c>
    </row>
    <row r="21801" spans="5:9" ht="16.5" hidden="1">
      <c r="E21801" s="4" t="str">
        <v/>
      </c>
      <c r="F21801" s="102" t="str">
        <f ca="1">IFERROR(__xludf.DUMMYFUNCTION("IMPORTRANGE(H21801,""IDENTITAS UNIT!D9"")"),"#N/A")</f>
        <v>#N/A</v>
      </c>
      <c r="H21801" s="4" t="str">
        <v/>
      </c>
      <c r="I21801" s="4" t="str">
        <v/>
      </c>
    </row>
    <row r="21802" spans="5:9" ht="16.5" hidden="1">
      <c r="E21802" s="4" t="str">
        <v/>
      </c>
      <c r="F21802" s="102" t="str">
        <f ca="1">IFERROR(__xludf.DUMMYFUNCTION("IMPORTRANGE(H21802,""IDENTITAS UNIT!D9"")"),"#N/A")</f>
        <v>#N/A</v>
      </c>
      <c r="H21802" s="4" t="str">
        <v/>
      </c>
      <c r="I21802" s="4" t="str">
        <v/>
      </c>
    </row>
    <row r="21803" spans="5:9" ht="16.5" hidden="1">
      <c r="E21803" s="4" t="str">
        <v/>
      </c>
      <c r="F21803" s="102" t="str">
        <f ca="1">IFERROR(__xludf.DUMMYFUNCTION("IMPORTRANGE(H21803,""IDENTITAS UNIT!D9"")"),"#N/A")</f>
        <v>#N/A</v>
      </c>
      <c r="H21803" s="4" t="str">
        <v/>
      </c>
      <c r="I21803" s="4" t="str">
        <v/>
      </c>
    </row>
    <row r="21804" spans="5:9" ht="16.5" hidden="1">
      <c r="E21804" s="4" t="str">
        <v/>
      </c>
      <c r="F21804" s="102" t="str">
        <f ca="1">IFERROR(__xludf.DUMMYFUNCTION("IMPORTRANGE(H21804,""IDENTITAS UNIT!D9"")"),"#N/A")</f>
        <v>#N/A</v>
      </c>
      <c r="H21804" s="4" t="str">
        <v/>
      </c>
      <c r="I21804" s="4" t="str">
        <v/>
      </c>
    </row>
    <row r="21805" spans="5:9" ht="16.5" hidden="1">
      <c r="E21805" s="4" t="str">
        <v/>
      </c>
      <c r="F21805" s="102" t="str">
        <f ca="1">IFERROR(__xludf.DUMMYFUNCTION("IMPORTRANGE(H21805,""IDENTITAS UNIT!D9"")"),"#N/A")</f>
        <v>#N/A</v>
      </c>
      <c r="H21805" s="4" t="str">
        <v/>
      </c>
      <c r="I21805" s="4" t="str">
        <v/>
      </c>
    </row>
    <row r="21806" spans="5:9" ht="16.5" hidden="1">
      <c r="E21806" s="4" t="str">
        <v/>
      </c>
      <c r="F21806" s="102" t="str">
        <f ca="1">IFERROR(__xludf.DUMMYFUNCTION("IMPORTRANGE(H21806,""IDENTITAS UNIT!D9"")"),"#N/A")</f>
        <v>#N/A</v>
      </c>
      <c r="H21806" s="4" t="str">
        <v/>
      </c>
      <c r="I21806" s="4" t="str">
        <v/>
      </c>
    </row>
    <row r="21807" spans="5:9" ht="16.5" hidden="1">
      <c r="E21807" s="4" t="str">
        <v/>
      </c>
      <c r="F21807" s="102" t="str">
        <f ca="1">IFERROR(__xludf.DUMMYFUNCTION("IMPORTRANGE(H21807,""IDENTITAS UNIT!D9"")"),"#N/A")</f>
        <v>#N/A</v>
      </c>
      <c r="H21807" s="4" t="str">
        <v/>
      </c>
      <c r="I21807" s="4" t="str">
        <v/>
      </c>
    </row>
    <row r="21808" spans="5:9" ht="16.5" hidden="1">
      <c r="E21808" s="4" t="str">
        <v/>
      </c>
      <c r="F21808" s="102" t="str">
        <f ca="1">IFERROR(__xludf.DUMMYFUNCTION("IMPORTRANGE(H21808,""IDENTITAS UNIT!D9"")"),"#N/A")</f>
        <v>#N/A</v>
      </c>
      <c r="H21808" s="4" t="str">
        <v/>
      </c>
      <c r="I21808" s="4" t="str">
        <v/>
      </c>
    </row>
    <row r="21809" spans="5:9" ht="16.5" hidden="1">
      <c r="E21809" s="4" t="str">
        <v/>
      </c>
      <c r="F21809" s="102" t="str">
        <f ca="1">IFERROR(__xludf.DUMMYFUNCTION("IMPORTRANGE(H21809,""IDENTITAS UNIT!D9"")"),"#N/A")</f>
        <v>#N/A</v>
      </c>
      <c r="H21809" s="4" t="str">
        <v/>
      </c>
      <c r="I21809" s="4" t="str">
        <v/>
      </c>
    </row>
    <row r="21810" spans="5:9" ht="16.5" hidden="1">
      <c r="E21810" s="4" t="str">
        <v/>
      </c>
      <c r="F21810" s="102" t="str">
        <f ca="1">IFERROR(__xludf.DUMMYFUNCTION("IMPORTRANGE(H21810,""IDENTITAS UNIT!D9"")"),"#N/A")</f>
        <v>#N/A</v>
      </c>
      <c r="H21810" s="4" t="str">
        <v/>
      </c>
      <c r="I21810" s="4" t="str">
        <v/>
      </c>
    </row>
    <row r="21811" spans="5:9" ht="16.5" hidden="1">
      <c r="E21811" s="4" t="str">
        <v/>
      </c>
      <c r="F21811" s="102" t="str">
        <f ca="1">IFERROR(__xludf.DUMMYFUNCTION("IMPORTRANGE(H21811,""IDENTITAS UNIT!D9"")"),"#N/A")</f>
        <v>#N/A</v>
      </c>
      <c r="H21811" s="4" t="str">
        <v/>
      </c>
      <c r="I21811" s="4" t="str">
        <v/>
      </c>
    </row>
    <row r="21812" spans="5:9" ht="16.5" hidden="1">
      <c r="E21812" s="4" t="str">
        <v/>
      </c>
      <c r="F21812" s="102" t="str">
        <f ca="1">IFERROR(__xludf.DUMMYFUNCTION("IMPORTRANGE(H21812,""IDENTITAS UNIT!D9"")"),"#N/A")</f>
        <v>#N/A</v>
      </c>
      <c r="H21812" s="4" t="str">
        <v/>
      </c>
      <c r="I21812" s="4" t="str">
        <v/>
      </c>
    </row>
    <row r="21813" spans="5:9" ht="16.5" hidden="1">
      <c r="E21813" s="4" t="str">
        <v/>
      </c>
      <c r="F21813" s="102" t="str">
        <f ca="1">IFERROR(__xludf.DUMMYFUNCTION("IMPORTRANGE(H21813,""IDENTITAS UNIT!D9"")"),"#N/A")</f>
        <v>#N/A</v>
      </c>
      <c r="H21813" s="4" t="str">
        <v/>
      </c>
      <c r="I21813" s="4" t="str">
        <v/>
      </c>
    </row>
    <row r="21814" spans="5:9" ht="16.5" hidden="1">
      <c r="E21814" s="4" t="str">
        <v/>
      </c>
      <c r="F21814" s="102" t="str">
        <f ca="1">IFERROR(__xludf.DUMMYFUNCTION("IMPORTRANGE(H21814,""IDENTITAS UNIT!D9"")"),"#N/A")</f>
        <v>#N/A</v>
      </c>
      <c r="H21814" s="4" t="str">
        <v/>
      </c>
      <c r="I21814" s="4" t="str">
        <v/>
      </c>
    </row>
    <row r="21815" spans="5:9" ht="16.5" hidden="1">
      <c r="E21815" s="4" t="str">
        <v/>
      </c>
      <c r="F21815" s="102" t="str">
        <f ca="1">IFERROR(__xludf.DUMMYFUNCTION("IMPORTRANGE(H21815,""IDENTITAS UNIT!D9"")"),"#N/A")</f>
        <v>#N/A</v>
      </c>
      <c r="H21815" s="4" t="str">
        <v/>
      </c>
      <c r="I21815" s="4" t="str">
        <v/>
      </c>
    </row>
    <row r="21816" spans="5:9" ht="16.5" hidden="1">
      <c r="E21816" s="4" t="str">
        <v/>
      </c>
      <c r="F21816" s="102" t="str">
        <f ca="1">IFERROR(__xludf.DUMMYFUNCTION("IMPORTRANGE(H21816,""IDENTITAS UNIT!D9"")"),"#N/A")</f>
        <v>#N/A</v>
      </c>
      <c r="H21816" s="4" t="str">
        <v/>
      </c>
      <c r="I21816" s="4" t="str">
        <v/>
      </c>
    </row>
    <row r="21817" spans="5:9" ht="16.5" hidden="1">
      <c r="E21817" s="4" t="str">
        <v/>
      </c>
      <c r="F21817" s="102" t="str">
        <f ca="1">IFERROR(__xludf.DUMMYFUNCTION("IMPORTRANGE(H21817,""IDENTITAS UNIT!D9"")"),"#N/A")</f>
        <v>#N/A</v>
      </c>
      <c r="H21817" s="4" t="str">
        <v/>
      </c>
      <c r="I21817" s="4" t="str">
        <v/>
      </c>
    </row>
    <row r="21818" spans="5:9" ht="16.5" hidden="1">
      <c r="E21818" s="4" t="str">
        <v/>
      </c>
      <c r="F21818" s="102" t="str">
        <f ca="1">IFERROR(__xludf.DUMMYFUNCTION("IMPORTRANGE(H21818,""IDENTITAS UNIT!D9"")"),"#N/A")</f>
        <v>#N/A</v>
      </c>
      <c r="H21818" s="4" t="str">
        <v/>
      </c>
      <c r="I21818" s="4" t="str">
        <v/>
      </c>
    </row>
    <row r="21819" spans="5:9" ht="16.5" hidden="1">
      <c r="E21819" s="4" t="str">
        <v/>
      </c>
      <c r="F21819" s="102" t="str">
        <f ca="1">IFERROR(__xludf.DUMMYFUNCTION("IMPORTRANGE(H21819,""IDENTITAS UNIT!D9"")"),"#N/A")</f>
        <v>#N/A</v>
      </c>
      <c r="H21819" s="4" t="str">
        <v/>
      </c>
      <c r="I21819" s="4" t="str">
        <v/>
      </c>
    </row>
    <row r="21820" spans="5:9" ht="16.5" hidden="1">
      <c r="E21820" s="4" t="str">
        <v/>
      </c>
      <c r="F21820" s="102" t="str">
        <f ca="1">IFERROR(__xludf.DUMMYFUNCTION("IMPORTRANGE(H21820,""IDENTITAS UNIT!D9"")"),"#N/A")</f>
        <v>#N/A</v>
      </c>
      <c r="H21820" s="4" t="str">
        <v/>
      </c>
      <c r="I21820" s="4" t="str">
        <v/>
      </c>
    </row>
    <row r="21821" spans="5:9" ht="16.5" hidden="1">
      <c r="E21821" s="4" t="str">
        <v/>
      </c>
      <c r="F21821" s="102" t="str">
        <f ca="1">IFERROR(__xludf.DUMMYFUNCTION("IMPORTRANGE(H21821,""IDENTITAS UNIT!D9"")"),"#N/A")</f>
        <v>#N/A</v>
      </c>
      <c r="H21821" s="4" t="str">
        <v/>
      </c>
      <c r="I21821" s="4" t="str">
        <v/>
      </c>
    </row>
    <row r="21822" spans="5:9" ht="16.5" hidden="1">
      <c r="E21822" s="4" t="str">
        <v/>
      </c>
      <c r="F21822" s="102" t="str">
        <f ca="1">IFERROR(__xludf.DUMMYFUNCTION("IMPORTRANGE(H21822,""IDENTITAS UNIT!D9"")"),"#N/A")</f>
        <v>#N/A</v>
      </c>
      <c r="H21822" s="4" t="str">
        <v/>
      </c>
      <c r="I21822" s="4" t="str">
        <v/>
      </c>
    </row>
    <row r="21823" spans="5:9" ht="16.5" hidden="1">
      <c r="E21823" s="4" t="str">
        <v/>
      </c>
      <c r="F21823" s="102" t="str">
        <f ca="1">IFERROR(__xludf.DUMMYFUNCTION("IMPORTRANGE(H21823,""IDENTITAS UNIT!D9"")"),"#N/A")</f>
        <v>#N/A</v>
      </c>
      <c r="H21823" s="4" t="str">
        <v/>
      </c>
      <c r="I21823" s="4" t="str">
        <v/>
      </c>
    </row>
    <row r="21824" spans="5:9" ht="16.5" hidden="1">
      <c r="E21824" s="4" t="str">
        <v/>
      </c>
      <c r="F21824" s="102" t="str">
        <f ca="1">IFERROR(__xludf.DUMMYFUNCTION("IMPORTRANGE(H21824,""IDENTITAS UNIT!D9"")"),"#N/A")</f>
        <v>#N/A</v>
      </c>
      <c r="H21824" s="4" t="str">
        <v/>
      </c>
      <c r="I21824" s="4" t="str">
        <v/>
      </c>
    </row>
    <row r="21825" spans="5:9" ht="16.5" hidden="1">
      <c r="E21825" s="4" t="str">
        <v/>
      </c>
      <c r="F21825" s="102" t="str">
        <f ca="1">IFERROR(__xludf.DUMMYFUNCTION("IMPORTRANGE(H21825,""IDENTITAS UNIT!D9"")"),"#N/A")</f>
        <v>#N/A</v>
      </c>
      <c r="H21825" s="4" t="str">
        <v/>
      </c>
      <c r="I21825" s="4" t="str">
        <v/>
      </c>
    </row>
    <row r="21826" spans="5:9" ht="16.5" hidden="1">
      <c r="E21826" s="4" t="str">
        <v/>
      </c>
      <c r="F21826" s="102" t="str">
        <f ca="1">IFERROR(__xludf.DUMMYFUNCTION("IMPORTRANGE(H21826,""IDENTITAS UNIT!D9"")"),"#N/A")</f>
        <v>#N/A</v>
      </c>
      <c r="H21826" s="4" t="str">
        <v/>
      </c>
      <c r="I21826" s="4" t="str">
        <v/>
      </c>
    </row>
    <row r="21827" spans="5:9" ht="16.5" hidden="1">
      <c r="E21827" s="4" t="str">
        <v/>
      </c>
      <c r="F21827" s="102" t="str">
        <f ca="1">IFERROR(__xludf.DUMMYFUNCTION("IMPORTRANGE(H21827,""IDENTITAS UNIT!D9"")"),"#N/A")</f>
        <v>#N/A</v>
      </c>
      <c r="H21827" s="4" t="str">
        <v/>
      </c>
      <c r="I21827" s="4" t="str">
        <v/>
      </c>
    </row>
    <row r="21828" spans="5:9" ht="16.5" hidden="1">
      <c r="E21828" s="4" t="str">
        <v/>
      </c>
      <c r="F21828" s="102" t="str">
        <f ca="1">IFERROR(__xludf.DUMMYFUNCTION("IMPORTRANGE(H21828,""IDENTITAS UNIT!D9"")"),"#N/A")</f>
        <v>#N/A</v>
      </c>
      <c r="H21828" s="4" t="str">
        <v/>
      </c>
      <c r="I21828" s="4" t="str">
        <v/>
      </c>
    </row>
    <row r="21829" spans="5:9" ht="16.5" hidden="1">
      <c r="E21829" s="4" t="str">
        <v/>
      </c>
      <c r="F21829" s="102" t="str">
        <f ca="1">IFERROR(__xludf.DUMMYFUNCTION("IMPORTRANGE(H21829,""IDENTITAS UNIT!D9"")"),"#N/A")</f>
        <v>#N/A</v>
      </c>
      <c r="H21829" s="4" t="str">
        <v/>
      </c>
      <c r="I21829" s="4" t="str">
        <v/>
      </c>
    </row>
    <row r="21830" spans="5:9" ht="16.5" hidden="1">
      <c r="E21830" s="4" t="str">
        <v/>
      </c>
      <c r="F21830" s="102" t="str">
        <f ca="1">IFERROR(__xludf.DUMMYFUNCTION("IMPORTRANGE(H21830,""IDENTITAS UNIT!D9"")"),"#N/A")</f>
        <v>#N/A</v>
      </c>
      <c r="H21830" s="4" t="str">
        <v/>
      </c>
      <c r="I21830" s="4" t="str">
        <v/>
      </c>
    </row>
    <row r="21831" spans="5:9" ht="16.5" hidden="1">
      <c r="E21831" s="4" t="str">
        <v/>
      </c>
      <c r="F21831" s="102" t="str">
        <f ca="1">IFERROR(__xludf.DUMMYFUNCTION("IMPORTRANGE(H21831,""IDENTITAS UNIT!D9"")"),"#N/A")</f>
        <v>#N/A</v>
      </c>
      <c r="H21831" s="4" t="str">
        <v/>
      </c>
      <c r="I21831" s="4" t="str">
        <v/>
      </c>
    </row>
    <row r="21832" spans="5:9" ht="16.5" hidden="1">
      <c r="E21832" s="4" t="str">
        <v/>
      </c>
      <c r="F21832" s="102" t="str">
        <f ca="1">IFERROR(__xludf.DUMMYFUNCTION("IMPORTRANGE(H21832,""IDENTITAS UNIT!D9"")"),"#N/A")</f>
        <v>#N/A</v>
      </c>
      <c r="H21832" s="4" t="str">
        <v/>
      </c>
      <c r="I21832" s="4" t="str">
        <v/>
      </c>
    </row>
    <row r="21833" spans="5:9" ht="16.5" hidden="1">
      <c r="E21833" s="4" t="str">
        <v/>
      </c>
      <c r="F21833" s="102" t="str">
        <f ca="1">IFERROR(__xludf.DUMMYFUNCTION("IMPORTRANGE(H21833,""IDENTITAS UNIT!D9"")"),"#N/A")</f>
        <v>#N/A</v>
      </c>
      <c r="H21833" s="4" t="str">
        <v/>
      </c>
      <c r="I21833" s="4" t="str">
        <v/>
      </c>
    </row>
    <row r="21834" spans="5:9" ht="16.5" hidden="1">
      <c r="E21834" s="4" t="str">
        <v/>
      </c>
      <c r="F21834" s="102" t="str">
        <f ca="1">IFERROR(__xludf.DUMMYFUNCTION("IMPORTRANGE(H21834,""IDENTITAS UNIT!D9"")"),"#N/A")</f>
        <v>#N/A</v>
      </c>
      <c r="H21834" s="4" t="str">
        <v/>
      </c>
      <c r="I21834" s="4" t="str">
        <v/>
      </c>
    </row>
    <row r="21835" spans="5:9" ht="16.5" hidden="1">
      <c r="E21835" s="4" t="str">
        <v/>
      </c>
      <c r="F21835" s="102" t="str">
        <f ca="1">IFERROR(__xludf.DUMMYFUNCTION("IMPORTRANGE(H21835,""IDENTITAS UNIT!D9"")"),"#N/A")</f>
        <v>#N/A</v>
      </c>
      <c r="H21835" s="4" t="str">
        <v/>
      </c>
      <c r="I21835" s="4" t="str">
        <v/>
      </c>
    </row>
    <row r="21836" spans="5:9" ht="16.5" hidden="1">
      <c r="E21836" s="4" t="str">
        <v/>
      </c>
      <c r="F21836" s="102" t="str">
        <f ca="1">IFERROR(__xludf.DUMMYFUNCTION("IMPORTRANGE(H21836,""IDENTITAS UNIT!D9"")"),"#N/A")</f>
        <v>#N/A</v>
      </c>
      <c r="H21836" s="4" t="str">
        <v/>
      </c>
      <c r="I21836" s="4" t="str">
        <v/>
      </c>
    </row>
    <row r="21837" spans="5:9" ht="16.5" hidden="1">
      <c r="E21837" s="4" t="str">
        <v/>
      </c>
      <c r="F21837" s="102" t="str">
        <f ca="1">IFERROR(__xludf.DUMMYFUNCTION("IMPORTRANGE(H21837,""IDENTITAS UNIT!D9"")"),"#N/A")</f>
        <v>#N/A</v>
      </c>
      <c r="H21837" s="4" t="str">
        <v/>
      </c>
      <c r="I21837" s="4" t="str">
        <v/>
      </c>
    </row>
    <row r="21838" spans="5:9" ht="16.5" hidden="1">
      <c r="E21838" s="4" t="str">
        <v/>
      </c>
      <c r="F21838" s="102" t="str">
        <f ca="1">IFERROR(__xludf.DUMMYFUNCTION("IMPORTRANGE(H21838,""IDENTITAS UNIT!D9"")"),"#N/A")</f>
        <v>#N/A</v>
      </c>
      <c r="H21838" s="4" t="str">
        <v/>
      </c>
      <c r="I21838" s="4" t="str">
        <v/>
      </c>
    </row>
    <row r="21839" spans="5:9" ht="16.5" hidden="1">
      <c r="E21839" s="4" t="str">
        <v/>
      </c>
      <c r="F21839" s="102" t="str">
        <f ca="1">IFERROR(__xludf.DUMMYFUNCTION("IMPORTRANGE(H21839,""IDENTITAS UNIT!D9"")"),"#N/A")</f>
        <v>#N/A</v>
      </c>
      <c r="H21839" s="4" t="str">
        <v/>
      </c>
      <c r="I21839" s="4" t="str">
        <v/>
      </c>
    </row>
    <row r="21840" spans="5:9" ht="16.5" hidden="1">
      <c r="E21840" s="4" t="str">
        <v/>
      </c>
      <c r="F21840" s="102" t="str">
        <f ca="1">IFERROR(__xludf.DUMMYFUNCTION("IMPORTRANGE(H21840,""IDENTITAS UNIT!D9"")"),"#N/A")</f>
        <v>#N/A</v>
      </c>
      <c r="H21840" s="4" t="str">
        <v/>
      </c>
      <c r="I21840" s="4" t="str">
        <v/>
      </c>
    </row>
    <row r="21841" spans="5:9" ht="16.5" hidden="1">
      <c r="E21841" s="4" t="str">
        <v/>
      </c>
      <c r="F21841" s="102" t="str">
        <f ca="1">IFERROR(__xludf.DUMMYFUNCTION("IMPORTRANGE(H21841,""IDENTITAS UNIT!D9"")"),"#N/A")</f>
        <v>#N/A</v>
      </c>
      <c r="H21841" s="4" t="str">
        <v/>
      </c>
      <c r="I21841" s="4" t="str">
        <v/>
      </c>
    </row>
    <row r="21842" spans="5:9" ht="16.5" hidden="1">
      <c r="E21842" s="4" t="str">
        <v/>
      </c>
      <c r="F21842" s="102" t="str">
        <f ca="1">IFERROR(__xludf.DUMMYFUNCTION("IMPORTRANGE(H21842,""IDENTITAS UNIT!D9"")"),"#N/A")</f>
        <v>#N/A</v>
      </c>
      <c r="H21842" s="4" t="str">
        <v/>
      </c>
      <c r="I21842" s="4" t="str">
        <v/>
      </c>
    </row>
    <row r="21843" spans="5:9" ht="16.5" hidden="1">
      <c r="E21843" s="4" t="str">
        <v/>
      </c>
      <c r="F21843" s="102" t="str">
        <f ca="1">IFERROR(__xludf.DUMMYFUNCTION("IMPORTRANGE(H21843,""IDENTITAS UNIT!D9"")"),"#N/A")</f>
        <v>#N/A</v>
      </c>
      <c r="H21843" s="4" t="str">
        <v/>
      </c>
      <c r="I21843" s="4" t="str">
        <v/>
      </c>
    </row>
    <row r="21844" spans="5:9" ht="16.5" hidden="1">
      <c r="E21844" s="4" t="str">
        <v/>
      </c>
      <c r="F21844" s="102" t="str">
        <f ca="1">IFERROR(__xludf.DUMMYFUNCTION("IMPORTRANGE(H21844,""IDENTITAS UNIT!D9"")"),"#N/A")</f>
        <v>#N/A</v>
      </c>
      <c r="H21844" s="4" t="str">
        <v/>
      </c>
      <c r="I21844" s="4" t="str">
        <v/>
      </c>
    </row>
    <row r="21845" spans="5:9" ht="16.5" hidden="1">
      <c r="E21845" s="4" t="str">
        <v/>
      </c>
      <c r="F21845" s="102" t="str">
        <f ca="1">IFERROR(__xludf.DUMMYFUNCTION("IMPORTRANGE(H21845,""IDENTITAS UNIT!D9"")"),"#N/A")</f>
        <v>#N/A</v>
      </c>
      <c r="H21845" s="4" t="str">
        <v/>
      </c>
      <c r="I21845" s="4" t="str">
        <v/>
      </c>
    </row>
    <row r="21846" spans="5:9" ht="16.5" hidden="1">
      <c r="E21846" s="4" t="str">
        <v/>
      </c>
      <c r="F21846" s="102" t="str">
        <f ca="1">IFERROR(__xludf.DUMMYFUNCTION("IMPORTRANGE(H21846,""IDENTITAS UNIT!D9"")"),"#N/A")</f>
        <v>#N/A</v>
      </c>
      <c r="H21846" s="4" t="str">
        <v/>
      </c>
      <c r="I21846" s="4" t="str">
        <v/>
      </c>
    </row>
    <row r="21847" spans="5:9" ht="16.5" hidden="1">
      <c r="E21847" s="4" t="str">
        <v/>
      </c>
      <c r="F21847" s="102" t="str">
        <f ca="1">IFERROR(__xludf.DUMMYFUNCTION("IMPORTRANGE(H21847,""IDENTITAS UNIT!D9"")"),"#N/A")</f>
        <v>#N/A</v>
      </c>
      <c r="H21847" s="4" t="str">
        <v/>
      </c>
      <c r="I21847" s="4" t="str">
        <v/>
      </c>
    </row>
    <row r="21848" spans="5:9" ht="16.5" hidden="1">
      <c r="E21848" s="4" t="str">
        <v/>
      </c>
      <c r="F21848" s="102" t="str">
        <f ca="1">IFERROR(__xludf.DUMMYFUNCTION("IMPORTRANGE(H21848,""IDENTITAS UNIT!D9"")"),"#N/A")</f>
        <v>#N/A</v>
      </c>
      <c r="H21848" s="4" t="str">
        <v/>
      </c>
      <c r="I21848" s="4" t="str">
        <v/>
      </c>
    </row>
    <row r="21849" spans="5:9" ht="16.5" hidden="1">
      <c r="E21849" s="4" t="str">
        <v/>
      </c>
      <c r="F21849" s="102" t="str">
        <f ca="1">IFERROR(__xludf.DUMMYFUNCTION("IMPORTRANGE(H21849,""IDENTITAS UNIT!D9"")"),"#N/A")</f>
        <v>#N/A</v>
      </c>
      <c r="H21849" s="4" t="str">
        <v/>
      </c>
      <c r="I21849" s="4" t="str">
        <v/>
      </c>
    </row>
    <row r="21850" spans="5:9" ht="16.5" hidden="1">
      <c r="E21850" s="4" t="str">
        <v/>
      </c>
      <c r="F21850" s="102" t="str">
        <f ca="1">IFERROR(__xludf.DUMMYFUNCTION("IMPORTRANGE(H21850,""IDENTITAS UNIT!D9"")"),"#N/A")</f>
        <v>#N/A</v>
      </c>
      <c r="H21850" s="4" t="str">
        <v/>
      </c>
      <c r="I21850" s="4" t="str">
        <v/>
      </c>
    </row>
    <row r="21851" spans="5:9" ht="16.5" hidden="1">
      <c r="E21851" s="4" t="str">
        <v/>
      </c>
      <c r="F21851" s="102" t="str">
        <f ca="1">IFERROR(__xludf.DUMMYFUNCTION("IMPORTRANGE(H21851,""IDENTITAS UNIT!D9"")"),"#N/A")</f>
        <v>#N/A</v>
      </c>
      <c r="H21851" s="4" t="str">
        <v/>
      </c>
      <c r="I21851" s="4" t="str">
        <v/>
      </c>
    </row>
    <row r="21852" spans="5:9" ht="16.5" hidden="1">
      <c r="E21852" s="4" t="str">
        <v/>
      </c>
      <c r="F21852" s="102" t="str">
        <f ca="1">IFERROR(__xludf.DUMMYFUNCTION("IMPORTRANGE(H21852,""IDENTITAS UNIT!D9"")"),"#N/A")</f>
        <v>#N/A</v>
      </c>
      <c r="H21852" s="4" t="str">
        <v/>
      </c>
      <c r="I21852" s="4" t="str">
        <v/>
      </c>
    </row>
    <row r="21853" spans="5:9" ht="16.5" hidden="1">
      <c r="E21853" s="4" t="str">
        <v/>
      </c>
      <c r="F21853" s="102" t="str">
        <f ca="1">IFERROR(__xludf.DUMMYFUNCTION("IMPORTRANGE(H21853,""IDENTITAS UNIT!D9"")"),"#N/A")</f>
        <v>#N/A</v>
      </c>
      <c r="H21853" s="4" t="str">
        <v/>
      </c>
      <c r="I21853" s="4" t="str">
        <v/>
      </c>
    </row>
    <row r="21854" spans="5:9" ht="16.5" hidden="1">
      <c r="E21854" s="4" t="str">
        <v/>
      </c>
      <c r="F21854" s="102" t="str">
        <f ca="1">IFERROR(__xludf.DUMMYFUNCTION("IMPORTRANGE(H21854,""IDENTITAS UNIT!D9"")"),"#N/A")</f>
        <v>#N/A</v>
      </c>
      <c r="H21854" s="4" t="str">
        <v/>
      </c>
      <c r="I21854" s="4" t="str">
        <v/>
      </c>
    </row>
    <row r="21855" spans="5:9" ht="16.5" hidden="1">
      <c r="E21855" s="4" t="str">
        <v/>
      </c>
      <c r="F21855" s="102" t="str">
        <f ca="1">IFERROR(__xludf.DUMMYFUNCTION("IMPORTRANGE(H21855,""IDENTITAS UNIT!D9"")"),"#N/A")</f>
        <v>#N/A</v>
      </c>
      <c r="H21855" s="4" t="str">
        <v/>
      </c>
      <c r="I21855" s="4" t="str">
        <v/>
      </c>
    </row>
    <row r="21856" spans="5:9" ht="16.5" hidden="1">
      <c r="E21856" s="4" t="str">
        <v/>
      </c>
      <c r="F21856" s="102" t="str">
        <f ca="1">IFERROR(__xludf.DUMMYFUNCTION("IMPORTRANGE(H21856,""IDENTITAS UNIT!D9"")"),"#N/A")</f>
        <v>#N/A</v>
      </c>
      <c r="H21856" s="4" t="str">
        <v/>
      </c>
      <c r="I21856" s="4" t="str">
        <v/>
      </c>
    </row>
    <row r="21857" spans="5:9" ht="16.5" hidden="1">
      <c r="E21857" s="4" t="str">
        <v/>
      </c>
      <c r="F21857" s="102" t="str">
        <f ca="1">IFERROR(__xludf.DUMMYFUNCTION("IMPORTRANGE(H21857,""IDENTITAS UNIT!D9"")"),"#N/A")</f>
        <v>#N/A</v>
      </c>
      <c r="H21857" s="4" t="str">
        <v/>
      </c>
      <c r="I21857" s="4" t="str">
        <v/>
      </c>
    </row>
    <row r="21858" spans="5:9" ht="16.5" hidden="1">
      <c r="E21858" s="4" t="str">
        <v/>
      </c>
      <c r="F21858" s="102" t="str">
        <f ca="1">IFERROR(__xludf.DUMMYFUNCTION("IMPORTRANGE(H21858,""IDENTITAS UNIT!D9"")"),"#N/A")</f>
        <v>#N/A</v>
      </c>
      <c r="H21858" s="4" t="str">
        <v/>
      </c>
      <c r="I21858" s="4" t="str">
        <v/>
      </c>
    </row>
    <row r="21859" spans="5:9" ht="16.5" hidden="1">
      <c r="E21859" s="4" t="str">
        <v/>
      </c>
      <c r="F21859" s="102" t="str">
        <f ca="1">IFERROR(__xludf.DUMMYFUNCTION("IMPORTRANGE(H21859,""IDENTITAS UNIT!D9"")"),"#N/A")</f>
        <v>#N/A</v>
      </c>
      <c r="H21859" s="4" t="str">
        <v/>
      </c>
      <c r="I21859" s="4" t="str">
        <v/>
      </c>
    </row>
    <row r="21860" spans="5:9" ht="16.5" hidden="1">
      <c r="E21860" s="4" t="str">
        <v/>
      </c>
      <c r="F21860" s="102" t="str">
        <f ca="1">IFERROR(__xludf.DUMMYFUNCTION("IMPORTRANGE(H21860,""IDENTITAS UNIT!D9"")"),"#N/A")</f>
        <v>#N/A</v>
      </c>
      <c r="H21860" s="4" t="str">
        <v/>
      </c>
      <c r="I21860" s="4" t="str">
        <v/>
      </c>
    </row>
    <row r="21861" spans="5:9" ht="16.5" hidden="1">
      <c r="E21861" s="4" t="str">
        <v/>
      </c>
      <c r="F21861" s="102" t="str">
        <f ca="1">IFERROR(__xludf.DUMMYFUNCTION("IMPORTRANGE(H21861,""IDENTITAS UNIT!D9"")"),"#N/A")</f>
        <v>#N/A</v>
      </c>
      <c r="H21861" s="4" t="str">
        <v/>
      </c>
      <c r="I21861" s="4" t="str">
        <v/>
      </c>
    </row>
    <row r="21862" spans="5:9" ht="16.5" hidden="1">
      <c r="E21862" s="4" t="str">
        <v/>
      </c>
      <c r="F21862" s="102" t="str">
        <f ca="1">IFERROR(__xludf.DUMMYFUNCTION("IMPORTRANGE(H21862,""IDENTITAS UNIT!D9"")"),"#N/A")</f>
        <v>#N/A</v>
      </c>
      <c r="H21862" s="4" t="str">
        <v/>
      </c>
      <c r="I21862" s="4" t="str">
        <v/>
      </c>
    </row>
    <row r="21863" spans="5:9" ht="16.5" hidden="1">
      <c r="E21863" s="4" t="str">
        <v/>
      </c>
      <c r="F21863" s="102" t="str">
        <f ca="1">IFERROR(__xludf.DUMMYFUNCTION("IMPORTRANGE(H21863,""IDENTITAS UNIT!D9"")"),"#N/A")</f>
        <v>#N/A</v>
      </c>
      <c r="H21863" s="4" t="str">
        <v/>
      </c>
      <c r="I21863" s="4" t="str">
        <v/>
      </c>
    </row>
    <row r="21864" spans="5:9" ht="16.5" hidden="1">
      <c r="E21864" s="4" t="str">
        <v/>
      </c>
      <c r="F21864" s="102" t="str">
        <f ca="1">IFERROR(__xludf.DUMMYFUNCTION("IMPORTRANGE(H21864,""IDENTITAS UNIT!D9"")"),"#N/A")</f>
        <v>#N/A</v>
      </c>
      <c r="H21864" s="4" t="str">
        <v/>
      </c>
      <c r="I21864" s="4" t="str">
        <v/>
      </c>
    </row>
    <row r="21865" spans="5:9" ht="16.5" hidden="1">
      <c r="E21865" s="4" t="str">
        <v/>
      </c>
      <c r="F21865" s="102" t="str">
        <f ca="1">IFERROR(__xludf.DUMMYFUNCTION("IMPORTRANGE(H21865,""IDENTITAS UNIT!D9"")"),"#N/A")</f>
        <v>#N/A</v>
      </c>
      <c r="H21865" s="4" t="str">
        <v/>
      </c>
      <c r="I21865" s="4" t="str">
        <v/>
      </c>
    </row>
    <row r="21866" spans="5:9" ht="16.5" hidden="1">
      <c r="E21866" s="4" t="str">
        <v/>
      </c>
      <c r="F21866" s="102" t="str">
        <f ca="1">IFERROR(__xludf.DUMMYFUNCTION("IMPORTRANGE(H21866,""IDENTITAS UNIT!D9"")"),"#N/A")</f>
        <v>#N/A</v>
      </c>
      <c r="H21866" s="4" t="str">
        <v/>
      </c>
      <c r="I21866" s="4" t="str">
        <v/>
      </c>
    </row>
    <row r="21867" spans="5:9" ht="16.5" hidden="1">
      <c r="E21867" s="4" t="str">
        <v/>
      </c>
      <c r="F21867" s="102" t="str">
        <f ca="1">IFERROR(__xludf.DUMMYFUNCTION("IMPORTRANGE(H21867,""IDENTITAS UNIT!D9"")"),"#N/A")</f>
        <v>#N/A</v>
      </c>
      <c r="H21867" s="4" t="str">
        <v/>
      </c>
      <c r="I21867" s="4" t="str">
        <v/>
      </c>
    </row>
    <row r="21868" spans="5:9" ht="16.5" hidden="1">
      <c r="E21868" s="4" t="str">
        <v/>
      </c>
      <c r="F21868" s="102" t="str">
        <f ca="1">IFERROR(__xludf.DUMMYFUNCTION("IMPORTRANGE(H21868,""IDENTITAS UNIT!D9"")"),"#N/A")</f>
        <v>#N/A</v>
      </c>
      <c r="H21868" s="4" t="str">
        <v/>
      </c>
      <c r="I21868" s="4" t="str">
        <v/>
      </c>
    </row>
    <row r="21869" spans="5:9" ht="16.5" hidden="1">
      <c r="E21869" s="4" t="str">
        <v/>
      </c>
      <c r="F21869" s="102" t="str">
        <f ca="1">IFERROR(__xludf.DUMMYFUNCTION("IMPORTRANGE(H21869,""IDENTITAS UNIT!D9"")"),"#N/A")</f>
        <v>#N/A</v>
      </c>
      <c r="H21869" s="4" t="str">
        <v/>
      </c>
      <c r="I21869" s="4" t="str">
        <v/>
      </c>
    </row>
    <row r="21870" spans="5:9" ht="16.5" hidden="1">
      <c r="E21870" s="4" t="str">
        <v/>
      </c>
      <c r="F21870" s="102" t="str">
        <f ca="1">IFERROR(__xludf.DUMMYFUNCTION("IMPORTRANGE(H21870,""IDENTITAS UNIT!D9"")"),"#N/A")</f>
        <v>#N/A</v>
      </c>
      <c r="H21870" s="4" t="str">
        <v/>
      </c>
      <c r="I21870" s="4" t="str">
        <v/>
      </c>
    </row>
    <row r="21871" spans="5:9" ht="16.5" hidden="1">
      <c r="E21871" s="4" t="str">
        <v/>
      </c>
      <c r="F21871" s="102" t="str">
        <f ca="1">IFERROR(__xludf.DUMMYFUNCTION("IMPORTRANGE(H21871,""IDENTITAS UNIT!D9"")"),"#N/A")</f>
        <v>#N/A</v>
      </c>
      <c r="H21871" s="4" t="str">
        <v/>
      </c>
      <c r="I21871" s="4" t="str">
        <v/>
      </c>
    </row>
    <row r="21872" spans="5:9" ht="16.5" hidden="1">
      <c r="E21872" s="4" t="str">
        <v/>
      </c>
      <c r="F21872" s="102" t="str">
        <f ca="1">IFERROR(__xludf.DUMMYFUNCTION("IMPORTRANGE(H21872,""IDENTITAS UNIT!D9"")"),"#N/A")</f>
        <v>#N/A</v>
      </c>
      <c r="H21872" s="4" t="str">
        <v/>
      </c>
      <c r="I21872" s="4" t="str">
        <v/>
      </c>
    </row>
    <row r="21873" spans="5:9" ht="16.5" hidden="1">
      <c r="E21873" s="4" t="str">
        <v/>
      </c>
      <c r="F21873" s="102" t="str">
        <f ca="1">IFERROR(__xludf.DUMMYFUNCTION("IMPORTRANGE(H21873,""IDENTITAS UNIT!D9"")"),"#N/A")</f>
        <v>#N/A</v>
      </c>
      <c r="H21873" s="4" t="str">
        <v/>
      </c>
      <c r="I21873" s="4" t="str">
        <v/>
      </c>
    </row>
    <row r="21874" spans="5:9" ht="16.5" hidden="1">
      <c r="E21874" s="4" t="str">
        <v/>
      </c>
      <c r="F21874" s="102" t="str">
        <f ca="1">IFERROR(__xludf.DUMMYFUNCTION("IMPORTRANGE(H21874,""IDENTITAS UNIT!D9"")"),"#N/A")</f>
        <v>#N/A</v>
      </c>
      <c r="H21874" s="4" t="str">
        <v/>
      </c>
      <c r="I21874" s="4" t="str">
        <v/>
      </c>
    </row>
    <row r="21875" spans="5:9" ht="16.5" hidden="1">
      <c r="E21875" s="4" t="str">
        <v/>
      </c>
      <c r="F21875" s="102" t="str">
        <f ca="1">IFERROR(__xludf.DUMMYFUNCTION("IMPORTRANGE(H21875,""IDENTITAS UNIT!D9"")"),"#N/A")</f>
        <v>#N/A</v>
      </c>
      <c r="H21875" s="4" t="str">
        <v/>
      </c>
      <c r="I21875" s="4" t="str">
        <v/>
      </c>
    </row>
    <row r="21876" spans="5:9" ht="16.5" hidden="1">
      <c r="E21876" s="4" t="str">
        <v/>
      </c>
      <c r="F21876" s="102" t="str">
        <f ca="1">IFERROR(__xludf.DUMMYFUNCTION("IMPORTRANGE(H21876,""IDENTITAS UNIT!D9"")"),"#N/A")</f>
        <v>#N/A</v>
      </c>
      <c r="H21876" s="4" t="str">
        <v/>
      </c>
      <c r="I21876" s="4" t="str">
        <v/>
      </c>
    </row>
    <row r="21877" spans="5:9" ht="16.5" hidden="1">
      <c r="E21877" s="4" t="str">
        <v/>
      </c>
      <c r="F21877" s="102" t="str">
        <f ca="1">IFERROR(__xludf.DUMMYFUNCTION("IMPORTRANGE(H21877,""IDENTITAS UNIT!D9"")"),"#N/A")</f>
        <v>#N/A</v>
      </c>
      <c r="H21877" s="4" t="str">
        <v/>
      </c>
      <c r="I21877" s="4" t="str">
        <v/>
      </c>
    </row>
    <row r="21878" spans="5:9" ht="16.5" hidden="1">
      <c r="E21878" s="4" t="str">
        <v/>
      </c>
      <c r="F21878" s="102" t="str">
        <f ca="1">IFERROR(__xludf.DUMMYFUNCTION("IMPORTRANGE(H21878,""IDENTITAS UNIT!D9"")"),"#N/A")</f>
        <v>#N/A</v>
      </c>
      <c r="H21878" s="4" t="str">
        <v/>
      </c>
      <c r="I21878" s="4" t="str">
        <v/>
      </c>
    </row>
    <row r="21879" spans="5:9" ht="16.5" hidden="1">
      <c r="E21879" s="4" t="str">
        <v/>
      </c>
      <c r="F21879" s="102" t="str">
        <f ca="1">IFERROR(__xludf.DUMMYFUNCTION("IMPORTRANGE(H21879,""IDENTITAS UNIT!D9"")"),"#N/A")</f>
        <v>#N/A</v>
      </c>
      <c r="H21879" s="4" t="str">
        <v/>
      </c>
      <c r="I21879" s="4" t="str">
        <v/>
      </c>
    </row>
    <row r="21880" spans="5:9" ht="16.5" hidden="1">
      <c r="E21880" s="4" t="str">
        <v/>
      </c>
      <c r="F21880" s="102" t="str">
        <f ca="1">IFERROR(__xludf.DUMMYFUNCTION("IMPORTRANGE(H21880,""IDENTITAS UNIT!D9"")"),"#N/A")</f>
        <v>#N/A</v>
      </c>
      <c r="H21880" s="4" t="str">
        <v/>
      </c>
      <c r="I21880" s="4" t="str">
        <v/>
      </c>
    </row>
    <row r="21881" spans="5:9" ht="16.5" hidden="1">
      <c r="E21881" s="4" t="str">
        <v/>
      </c>
      <c r="F21881" s="102" t="str">
        <f ca="1">IFERROR(__xludf.DUMMYFUNCTION("IMPORTRANGE(H21881,""IDENTITAS UNIT!D9"")"),"#N/A")</f>
        <v>#N/A</v>
      </c>
      <c r="H21881" s="4" t="str">
        <v/>
      </c>
      <c r="I21881" s="4" t="str">
        <v/>
      </c>
    </row>
    <row r="21882" spans="5:9" ht="16.5" hidden="1">
      <c r="E21882" s="4" t="str">
        <v/>
      </c>
      <c r="F21882" s="102" t="str">
        <f ca="1">IFERROR(__xludf.DUMMYFUNCTION("IMPORTRANGE(H21882,""IDENTITAS UNIT!D9"")"),"#N/A")</f>
        <v>#N/A</v>
      </c>
      <c r="H21882" s="4" t="str">
        <v/>
      </c>
      <c r="I21882" s="4" t="str">
        <v/>
      </c>
    </row>
    <row r="21883" spans="5:9" ht="16.5" hidden="1">
      <c r="E21883" s="4" t="str">
        <v/>
      </c>
      <c r="F21883" s="102" t="str">
        <f ca="1">IFERROR(__xludf.DUMMYFUNCTION("IMPORTRANGE(H21883,""IDENTITAS UNIT!D9"")"),"#N/A")</f>
        <v>#N/A</v>
      </c>
      <c r="H21883" s="4" t="str">
        <v/>
      </c>
      <c r="I21883" s="4" t="str">
        <v/>
      </c>
    </row>
    <row r="21884" spans="5:9" ht="16.5" hidden="1">
      <c r="E21884" s="4" t="str">
        <v/>
      </c>
      <c r="F21884" s="102" t="str">
        <f ca="1">IFERROR(__xludf.DUMMYFUNCTION("IMPORTRANGE(H21884,""IDENTITAS UNIT!D9"")"),"#N/A")</f>
        <v>#N/A</v>
      </c>
      <c r="H21884" s="4" t="str">
        <v/>
      </c>
      <c r="I21884" s="4" t="str">
        <v/>
      </c>
    </row>
    <row r="21885" spans="5:9" ht="16.5" hidden="1">
      <c r="E21885" s="4" t="str">
        <v/>
      </c>
      <c r="F21885" s="102" t="str">
        <f ca="1">IFERROR(__xludf.DUMMYFUNCTION("IMPORTRANGE(H21885,""IDENTITAS UNIT!D9"")"),"#N/A")</f>
        <v>#N/A</v>
      </c>
      <c r="H21885" s="4" t="str">
        <v/>
      </c>
      <c r="I21885" s="4" t="str">
        <v/>
      </c>
    </row>
    <row r="21886" spans="5:9" ht="16.5" hidden="1">
      <c r="E21886" s="4" t="str">
        <v/>
      </c>
      <c r="F21886" s="102" t="str">
        <f ca="1">IFERROR(__xludf.DUMMYFUNCTION("IMPORTRANGE(H21886,""IDENTITAS UNIT!D9"")"),"#N/A")</f>
        <v>#N/A</v>
      </c>
      <c r="H21886" s="4" t="str">
        <v/>
      </c>
      <c r="I21886" s="4" t="str">
        <v/>
      </c>
    </row>
    <row r="21887" spans="5:9" ht="16.5" hidden="1">
      <c r="E21887" s="4" t="str">
        <v/>
      </c>
      <c r="F21887" s="102" t="str">
        <f ca="1">IFERROR(__xludf.DUMMYFUNCTION("IMPORTRANGE(H21887,""IDENTITAS UNIT!D9"")"),"#N/A")</f>
        <v>#N/A</v>
      </c>
      <c r="H21887" s="4" t="str">
        <v/>
      </c>
      <c r="I21887" s="4" t="str">
        <v/>
      </c>
    </row>
    <row r="21888" spans="5:9" ht="16.5" hidden="1">
      <c r="E21888" s="4" t="str">
        <v/>
      </c>
      <c r="F21888" s="102" t="str">
        <f ca="1">IFERROR(__xludf.DUMMYFUNCTION("IMPORTRANGE(H21888,""IDENTITAS UNIT!D9"")"),"#N/A")</f>
        <v>#N/A</v>
      </c>
      <c r="H21888" s="4" t="str">
        <v/>
      </c>
      <c r="I21888" s="4" t="str">
        <v/>
      </c>
    </row>
    <row r="21889" spans="5:9" ht="16.5" hidden="1">
      <c r="E21889" s="4" t="str">
        <v/>
      </c>
      <c r="F21889" s="102" t="str">
        <f ca="1">IFERROR(__xludf.DUMMYFUNCTION("IMPORTRANGE(H21889,""IDENTITAS UNIT!D9"")"),"#N/A")</f>
        <v>#N/A</v>
      </c>
      <c r="H21889" s="4" t="str">
        <v/>
      </c>
      <c r="I21889" s="4" t="str">
        <v/>
      </c>
    </row>
    <row r="21890" spans="5:9" ht="16.5" hidden="1">
      <c r="E21890" s="4" t="str">
        <v/>
      </c>
      <c r="F21890" s="102" t="str">
        <f ca="1">IFERROR(__xludf.DUMMYFUNCTION("IMPORTRANGE(H21890,""IDENTITAS UNIT!D9"")"),"#N/A")</f>
        <v>#N/A</v>
      </c>
      <c r="H21890" s="4" t="str">
        <v/>
      </c>
      <c r="I21890" s="4" t="str">
        <v/>
      </c>
    </row>
    <row r="21891" spans="5:9" ht="16.5" hidden="1">
      <c r="E21891" s="4" t="str">
        <v/>
      </c>
      <c r="F21891" s="102" t="str">
        <f ca="1">IFERROR(__xludf.DUMMYFUNCTION("IMPORTRANGE(H21891,""IDENTITAS UNIT!D9"")"),"#N/A")</f>
        <v>#N/A</v>
      </c>
      <c r="H21891" s="4" t="str">
        <v/>
      </c>
      <c r="I21891" s="4" t="str">
        <v/>
      </c>
    </row>
    <row r="21892" spans="5:9" ht="16.5" hidden="1">
      <c r="E21892" s="4" t="str">
        <v/>
      </c>
      <c r="F21892" s="102" t="str">
        <f ca="1">IFERROR(__xludf.DUMMYFUNCTION("IMPORTRANGE(H21892,""IDENTITAS UNIT!D9"")"),"#N/A")</f>
        <v>#N/A</v>
      </c>
      <c r="H21892" s="4" t="str">
        <v/>
      </c>
      <c r="I21892" s="4" t="str">
        <v/>
      </c>
    </row>
    <row r="21893" spans="5:9" ht="16.5" hidden="1">
      <c r="E21893" s="4" t="str">
        <v/>
      </c>
      <c r="F21893" s="102" t="str">
        <f ca="1">IFERROR(__xludf.DUMMYFUNCTION("IMPORTRANGE(H21893,""IDENTITAS UNIT!D9"")"),"#N/A")</f>
        <v>#N/A</v>
      </c>
      <c r="H21893" s="4" t="str">
        <v/>
      </c>
      <c r="I21893" s="4" t="str">
        <v/>
      </c>
    </row>
    <row r="21894" spans="5:9" ht="16.5" hidden="1">
      <c r="E21894" s="4" t="str">
        <v/>
      </c>
      <c r="F21894" s="102" t="str">
        <f ca="1">IFERROR(__xludf.DUMMYFUNCTION("IMPORTRANGE(H21894,""IDENTITAS UNIT!D9"")"),"#N/A")</f>
        <v>#N/A</v>
      </c>
      <c r="H21894" s="4" t="str">
        <v/>
      </c>
      <c r="I21894" s="4" t="str">
        <v/>
      </c>
    </row>
    <row r="21895" spans="5:9" ht="16.5" hidden="1">
      <c r="E21895" s="4" t="str">
        <v/>
      </c>
      <c r="F21895" s="102" t="str">
        <f ca="1">IFERROR(__xludf.DUMMYFUNCTION("IMPORTRANGE(H21895,""IDENTITAS UNIT!D9"")"),"#N/A")</f>
        <v>#N/A</v>
      </c>
      <c r="H21895" s="4" t="str">
        <v/>
      </c>
      <c r="I21895" s="4" t="str">
        <v/>
      </c>
    </row>
    <row r="21896" spans="5:9" ht="16.5" hidden="1">
      <c r="E21896" s="4" t="str">
        <v/>
      </c>
      <c r="F21896" s="102" t="str">
        <f ca="1">IFERROR(__xludf.DUMMYFUNCTION("IMPORTRANGE(H21896,""IDENTITAS UNIT!D9"")"),"#N/A")</f>
        <v>#N/A</v>
      </c>
      <c r="H21896" s="4" t="str">
        <v/>
      </c>
      <c r="I21896" s="4" t="str">
        <v/>
      </c>
    </row>
    <row r="21897" spans="5:9" ht="16.5" hidden="1">
      <c r="E21897" s="4" t="str">
        <v/>
      </c>
      <c r="F21897" s="102" t="str">
        <f ca="1">IFERROR(__xludf.DUMMYFUNCTION("IMPORTRANGE(H21897,""IDENTITAS UNIT!D9"")"),"#N/A")</f>
        <v>#N/A</v>
      </c>
      <c r="H21897" s="4" t="str">
        <v/>
      </c>
      <c r="I21897" s="4" t="str">
        <v/>
      </c>
    </row>
    <row r="21898" spans="5:9" ht="16.5" hidden="1">
      <c r="E21898" s="4" t="str">
        <v/>
      </c>
      <c r="F21898" s="102" t="str">
        <f ca="1">IFERROR(__xludf.DUMMYFUNCTION("IMPORTRANGE(H21898,""IDENTITAS UNIT!D9"")"),"#N/A")</f>
        <v>#N/A</v>
      </c>
      <c r="H21898" s="4" t="str">
        <v/>
      </c>
      <c r="I21898" s="4" t="str">
        <v/>
      </c>
    </row>
    <row r="21899" spans="5:9" ht="16.5" hidden="1">
      <c r="E21899" s="4" t="str">
        <v/>
      </c>
      <c r="F21899" s="102" t="str">
        <f ca="1">IFERROR(__xludf.DUMMYFUNCTION("IMPORTRANGE(H21899,""IDENTITAS UNIT!D9"")"),"#N/A")</f>
        <v>#N/A</v>
      </c>
      <c r="H21899" s="4" t="str">
        <v/>
      </c>
      <c r="I21899" s="4" t="str">
        <v/>
      </c>
    </row>
    <row r="21900" spans="5:9" ht="16.5" hidden="1">
      <c r="E21900" s="4" t="str">
        <v/>
      </c>
      <c r="F21900" s="102" t="str">
        <f ca="1">IFERROR(__xludf.DUMMYFUNCTION("IMPORTRANGE(H21900,""IDENTITAS UNIT!D9"")"),"#N/A")</f>
        <v>#N/A</v>
      </c>
      <c r="H21900" s="4" t="str">
        <v/>
      </c>
      <c r="I21900" s="4" t="str">
        <v/>
      </c>
    </row>
    <row r="21901" spans="5:9" ht="16.5" hidden="1">
      <c r="E21901" s="4" t="str">
        <v/>
      </c>
      <c r="F21901" s="102" t="str">
        <f ca="1">IFERROR(__xludf.DUMMYFUNCTION("IMPORTRANGE(H21901,""IDENTITAS UNIT!D9"")"),"#N/A")</f>
        <v>#N/A</v>
      </c>
      <c r="H21901" s="4" t="str">
        <v/>
      </c>
      <c r="I21901" s="4" t="str">
        <v/>
      </c>
    </row>
    <row r="21902" spans="5:9" ht="16.5" hidden="1">
      <c r="E21902" s="4" t="str">
        <v/>
      </c>
      <c r="F21902" s="102" t="str">
        <f ca="1">IFERROR(__xludf.DUMMYFUNCTION("IMPORTRANGE(H21902,""IDENTITAS UNIT!D9"")"),"#N/A")</f>
        <v>#N/A</v>
      </c>
      <c r="H21902" s="4" t="str">
        <v/>
      </c>
      <c r="I21902" s="4" t="str">
        <v/>
      </c>
    </row>
    <row r="21903" spans="5:9" ht="16.5" hidden="1">
      <c r="E21903" s="4" t="str">
        <v/>
      </c>
      <c r="F21903" s="102" t="str">
        <f ca="1">IFERROR(__xludf.DUMMYFUNCTION("IMPORTRANGE(H21903,""IDENTITAS UNIT!D9"")"),"#N/A")</f>
        <v>#N/A</v>
      </c>
      <c r="H21903" s="4" t="str">
        <v/>
      </c>
      <c r="I21903" s="4" t="str">
        <v/>
      </c>
    </row>
    <row r="21904" spans="5:9" ht="16.5" hidden="1">
      <c r="E21904" s="4" t="str">
        <v/>
      </c>
      <c r="F21904" s="102" t="str">
        <f ca="1">IFERROR(__xludf.DUMMYFUNCTION("IMPORTRANGE(H21904,""IDENTITAS UNIT!D9"")"),"#N/A")</f>
        <v>#N/A</v>
      </c>
      <c r="H21904" s="4" t="str">
        <v/>
      </c>
      <c r="I21904" s="4" t="str">
        <v/>
      </c>
    </row>
    <row r="21905" spans="5:9" ht="16.5" hidden="1">
      <c r="E21905" s="4" t="str">
        <v/>
      </c>
      <c r="F21905" s="102" t="str">
        <f ca="1">IFERROR(__xludf.DUMMYFUNCTION("IMPORTRANGE(H21905,""IDENTITAS UNIT!D9"")"),"#N/A")</f>
        <v>#N/A</v>
      </c>
      <c r="H21905" s="4" t="str">
        <v/>
      </c>
      <c r="I21905" s="4" t="str">
        <v/>
      </c>
    </row>
    <row r="21906" spans="5:9" ht="16.5" hidden="1">
      <c r="E21906" s="4" t="str">
        <v/>
      </c>
      <c r="F21906" s="102" t="str">
        <f ca="1">IFERROR(__xludf.DUMMYFUNCTION("IMPORTRANGE(H21906,""IDENTITAS UNIT!D9"")"),"#N/A")</f>
        <v>#N/A</v>
      </c>
      <c r="H21906" s="4" t="str">
        <v/>
      </c>
      <c r="I21906" s="4" t="str">
        <v/>
      </c>
    </row>
    <row r="21907" spans="5:9" ht="16.5" hidden="1">
      <c r="E21907" s="4" t="str">
        <v/>
      </c>
      <c r="F21907" s="102" t="str">
        <f ca="1">IFERROR(__xludf.DUMMYFUNCTION("IMPORTRANGE(H21907,""IDENTITAS UNIT!D9"")"),"#N/A")</f>
        <v>#N/A</v>
      </c>
      <c r="H21907" s="4" t="str">
        <v/>
      </c>
      <c r="I21907" s="4" t="str">
        <v/>
      </c>
    </row>
    <row r="21908" spans="5:9" ht="16.5" hidden="1">
      <c r="E21908" s="4" t="str">
        <v/>
      </c>
      <c r="F21908" s="102" t="str">
        <f ca="1">IFERROR(__xludf.DUMMYFUNCTION("IMPORTRANGE(H21908,""IDENTITAS UNIT!D9"")"),"#N/A")</f>
        <v>#N/A</v>
      </c>
      <c r="H21908" s="4" t="str">
        <v/>
      </c>
      <c r="I21908" s="4" t="str">
        <v/>
      </c>
    </row>
    <row r="21909" spans="5:9" ht="16.5" hidden="1">
      <c r="E21909" s="4" t="str">
        <v/>
      </c>
      <c r="F21909" s="102" t="str">
        <f ca="1">IFERROR(__xludf.DUMMYFUNCTION("IMPORTRANGE(H21909,""IDENTITAS UNIT!D9"")"),"#N/A")</f>
        <v>#N/A</v>
      </c>
      <c r="H21909" s="4" t="str">
        <v/>
      </c>
      <c r="I21909" s="4" t="str">
        <v/>
      </c>
    </row>
    <row r="21910" spans="5:9" ht="16.5" hidden="1">
      <c r="E21910" s="4" t="str">
        <v/>
      </c>
      <c r="F21910" s="102" t="str">
        <f ca="1">IFERROR(__xludf.DUMMYFUNCTION("IMPORTRANGE(H21910,""IDENTITAS UNIT!D9"")"),"#N/A")</f>
        <v>#N/A</v>
      </c>
      <c r="H21910" s="4" t="str">
        <v/>
      </c>
      <c r="I21910" s="4" t="str">
        <v/>
      </c>
    </row>
    <row r="21911" spans="5:9" ht="16.5" hidden="1">
      <c r="E21911" s="4" t="str">
        <v/>
      </c>
      <c r="F21911" s="102" t="str">
        <f ca="1">IFERROR(__xludf.DUMMYFUNCTION("IMPORTRANGE(H21911,""IDENTITAS UNIT!D9"")"),"#N/A")</f>
        <v>#N/A</v>
      </c>
      <c r="H21911" s="4" t="str">
        <v/>
      </c>
      <c r="I21911" s="4" t="str">
        <v/>
      </c>
    </row>
    <row r="21912" spans="5:9" ht="16.5" hidden="1">
      <c r="E21912" s="4" t="str">
        <v/>
      </c>
      <c r="F21912" s="102" t="str">
        <f ca="1">IFERROR(__xludf.DUMMYFUNCTION("IMPORTRANGE(H21912,""IDENTITAS UNIT!D9"")"),"#N/A")</f>
        <v>#N/A</v>
      </c>
      <c r="H21912" s="4" t="str">
        <v/>
      </c>
      <c r="I21912" s="4" t="str">
        <v/>
      </c>
    </row>
    <row r="21913" spans="5:9" ht="16.5" hidden="1">
      <c r="E21913" s="4" t="str">
        <v/>
      </c>
      <c r="F21913" s="102" t="str">
        <f ca="1">IFERROR(__xludf.DUMMYFUNCTION("IMPORTRANGE(H21913,""IDENTITAS UNIT!D9"")"),"#N/A")</f>
        <v>#N/A</v>
      </c>
      <c r="H21913" s="4" t="str">
        <v/>
      </c>
      <c r="I21913" s="4" t="str">
        <v/>
      </c>
    </row>
    <row r="21914" spans="5:9" ht="16.5" hidden="1">
      <c r="E21914" s="4" t="str">
        <v/>
      </c>
      <c r="F21914" s="102" t="str">
        <f ca="1">IFERROR(__xludf.DUMMYFUNCTION("IMPORTRANGE(H21914,""IDENTITAS UNIT!D9"")"),"#N/A")</f>
        <v>#N/A</v>
      </c>
      <c r="H21914" s="4" t="str">
        <v/>
      </c>
      <c r="I21914" s="4" t="str">
        <v/>
      </c>
    </row>
    <row r="21915" spans="5:9" ht="16.5" hidden="1">
      <c r="E21915" s="4" t="str">
        <v/>
      </c>
      <c r="F21915" s="102" t="str">
        <f ca="1">IFERROR(__xludf.DUMMYFUNCTION("IMPORTRANGE(H21915,""IDENTITAS UNIT!D9"")"),"#N/A")</f>
        <v>#N/A</v>
      </c>
      <c r="H21915" s="4" t="str">
        <v/>
      </c>
      <c r="I21915" s="4" t="str">
        <v/>
      </c>
    </row>
    <row r="21916" spans="5:9" ht="16.5" hidden="1">
      <c r="E21916" s="4" t="str">
        <v/>
      </c>
      <c r="F21916" s="102" t="str">
        <f ca="1">IFERROR(__xludf.DUMMYFUNCTION("IMPORTRANGE(H21916,""IDENTITAS UNIT!D9"")"),"#N/A")</f>
        <v>#N/A</v>
      </c>
      <c r="H21916" s="4" t="str">
        <v/>
      </c>
      <c r="I21916" s="4" t="str">
        <v/>
      </c>
    </row>
    <row r="21917" spans="5:9" ht="16.5" hidden="1">
      <c r="E21917" s="4" t="str">
        <v/>
      </c>
      <c r="F21917" s="102" t="str">
        <f ca="1">IFERROR(__xludf.DUMMYFUNCTION("IMPORTRANGE(H21917,""IDENTITAS UNIT!D9"")"),"#N/A")</f>
        <v>#N/A</v>
      </c>
      <c r="H21917" s="4" t="str">
        <v/>
      </c>
      <c r="I21917" s="4" t="str">
        <v/>
      </c>
    </row>
    <row r="21918" spans="5:9" ht="16.5" hidden="1">
      <c r="E21918" s="4" t="str">
        <v/>
      </c>
      <c r="F21918" s="102" t="str">
        <f ca="1">IFERROR(__xludf.DUMMYFUNCTION("IMPORTRANGE(H21918,""IDENTITAS UNIT!D9"")"),"#N/A")</f>
        <v>#N/A</v>
      </c>
      <c r="H21918" s="4" t="str">
        <v/>
      </c>
      <c r="I21918" s="4" t="str">
        <v/>
      </c>
    </row>
    <row r="21919" spans="5:9" ht="16.5" hidden="1">
      <c r="E21919" s="4" t="str">
        <v/>
      </c>
      <c r="F21919" s="102" t="str">
        <f ca="1">IFERROR(__xludf.DUMMYFUNCTION("IMPORTRANGE(H21919,""IDENTITAS UNIT!D9"")"),"#N/A")</f>
        <v>#N/A</v>
      </c>
      <c r="H21919" s="4" t="str">
        <v/>
      </c>
      <c r="I21919" s="4" t="str">
        <v/>
      </c>
    </row>
    <row r="21920" spans="5:9" ht="16.5" hidden="1">
      <c r="E21920" s="4" t="str">
        <v/>
      </c>
      <c r="F21920" s="102" t="str">
        <f ca="1">IFERROR(__xludf.DUMMYFUNCTION("IMPORTRANGE(H21920,""IDENTITAS UNIT!D9"")"),"#N/A")</f>
        <v>#N/A</v>
      </c>
      <c r="H21920" s="4" t="str">
        <v/>
      </c>
      <c r="I21920" s="4" t="str">
        <v/>
      </c>
    </row>
    <row r="21921" spans="5:9" ht="16.5" hidden="1">
      <c r="E21921" s="4" t="str">
        <v/>
      </c>
      <c r="F21921" s="102" t="str">
        <f ca="1">IFERROR(__xludf.DUMMYFUNCTION("IMPORTRANGE(H21921,""IDENTITAS UNIT!D9"")"),"#N/A")</f>
        <v>#N/A</v>
      </c>
      <c r="H21921" s="4" t="str">
        <v/>
      </c>
      <c r="I21921" s="4" t="str">
        <v/>
      </c>
    </row>
    <row r="21922" spans="5:9" ht="16.5" hidden="1">
      <c r="E21922" s="4" t="str">
        <v/>
      </c>
      <c r="F21922" s="102" t="str">
        <f ca="1">IFERROR(__xludf.DUMMYFUNCTION("IMPORTRANGE(H21922,""IDENTITAS UNIT!D9"")"),"#N/A")</f>
        <v>#N/A</v>
      </c>
      <c r="H21922" s="4" t="str">
        <v/>
      </c>
      <c r="I21922" s="4" t="str">
        <v/>
      </c>
    </row>
    <row r="21923" spans="5:9" ht="16.5" hidden="1">
      <c r="E21923" s="4" t="str">
        <v/>
      </c>
      <c r="F21923" s="102" t="str">
        <f ca="1">IFERROR(__xludf.DUMMYFUNCTION("IMPORTRANGE(H21923,""IDENTITAS UNIT!D9"")"),"#N/A")</f>
        <v>#N/A</v>
      </c>
      <c r="H21923" s="4" t="str">
        <v/>
      </c>
      <c r="I21923" s="4" t="str">
        <v/>
      </c>
    </row>
    <row r="21924" spans="5:9" ht="16.5" hidden="1">
      <c r="E21924" s="4" t="str">
        <v/>
      </c>
      <c r="F21924" s="102" t="str">
        <f ca="1">IFERROR(__xludf.DUMMYFUNCTION("IMPORTRANGE(H21924,""IDENTITAS UNIT!D9"")"),"#N/A")</f>
        <v>#N/A</v>
      </c>
      <c r="H21924" s="4" t="str">
        <v/>
      </c>
      <c r="I21924" s="4" t="str">
        <v/>
      </c>
    </row>
    <row r="21925" spans="5:9" ht="16.5" hidden="1">
      <c r="E21925" s="4" t="str">
        <v/>
      </c>
      <c r="F21925" s="102" t="str">
        <f ca="1">IFERROR(__xludf.DUMMYFUNCTION("IMPORTRANGE(H21925,""IDENTITAS UNIT!D9"")"),"#N/A")</f>
        <v>#N/A</v>
      </c>
      <c r="H21925" s="4" t="str">
        <v/>
      </c>
      <c r="I21925" s="4" t="str">
        <v/>
      </c>
    </row>
    <row r="21926" spans="5:9" ht="16.5" hidden="1">
      <c r="E21926" s="4" t="str">
        <v/>
      </c>
      <c r="F21926" s="102" t="str">
        <f ca="1">IFERROR(__xludf.DUMMYFUNCTION("IMPORTRANGE(H21926,""IDENTITAS UNIT!D9"")"),"#N/A")</f>
        <v>#N/A</v>
      </c>
      <c r="H21926" s="4" t="str">
        <v/>
      </c>
      <c r="I21926" s="4" t="str">
        <v/>
      </c>
    </row>
    <row r="21927" spans="5:9" ht="16.5" hidden="1">
      <c r="E21927" s="4" t="str">
        <v/>
      </c>
      <c r="F21927" s="102" t="str">
        <f ca="1">IFERROR(__xludf.DUMMYFUNCTION("IMPORTRANGE(H21927,""IDENTITAS UNIT!D9"")"),"#N/A")</f>
        <v>#N/A</v>
      </c>
      <c r="H21927" s="4" t="str">
        <v/>
      </c>
      <c r="I21927" s="4" t="str">
        <v/>
      </c>
    </row>
    <row r="21928" spans="5:9" ht="16.5" hidden="1">
      <c r="E21928" s="4" t="str">
        <v/>
      </c>
      <c r="F21928" s="102" t="str">
        <f ca="1">IFERROR(__xludf.DUMMYFUNCTION("IMPORTRANGE(H21928,""IDENTITAS UNIT!D9"")"),"#N/A")</f>
        <v>#N/A</v>
      </c>
      <c r="H21928" s="4" t="str">
        <v/>
      </c>
      <c r="I21928" s="4" t="str">
        <v/>
      </c>
    </row>
    <row r="21929" spans="5:9" ht="16.5" hidden="1">
      <c r="E21929" s="4" t="str">
        <v/>
      </c>
      <c r="F21929" s="102" t="str">
        <f ca="1">IFERROR(__xludf.DUMMYFUNCTION("IMPORTRANGE(H21929,""IDENTITAS UNIT!D9"")"),"#N/A")</f>
        <v>#N/A</v>
      </c>
      <c r="H21929" s="4" t="str">
        <v/>
      </c>
      <c r="I21929" s="4" t="str">
        <v/>
      </c>
    </row>
    <row r="21930" spans="5:9" ht="16.5" hidden="1">
      <c r="E21930" s="4" t="str">
        <v/>
      </c>
      <c r="F21930" s="102" t="str">
        <f ca="1">IFERROR(__xludf.DUMMYFUNCTION("IMPORTRANGE(H21930,""IDENTITAS UNIT!D9"")"),"#N/A")</f>
        <v>#N/A</v>
      </c>
      <c r="H21930" s="4" t="str">
        <v/>
      </c>
      <c r="I21930" s="4" t="str">
        <v/>
      </c>
    </row>
    <row r="21931" spans="5:9" ht="16.5" hidden="1">
      <c r="E21931" s="4" t="str">
        <v/>
      </c>
      <c r="F21931" s="102" t="str">
        <f ca="1">IFERROR(__xludf.DUMMYFUNCTION("IMPORTRANGE(H21931,""IDENTITAS UNIT!D9"")"),"#N/A")</f>
        <v>#N/A</v>
      </c>
      <c r="H21931" s="4" t="str">
        <v/>
      </c>
      <c r="I21931" s="4" t="str">
        <v/>
      </c>
    </row>
    <row r="21932" spans="5:9" ht="16.5" hidden="1">
      <c r="E21932" s="4" t="str">
        <v/>
      </c>
      <c r="F21932" s="102" t="str">
        <f ca="1">IFERROR(__xludf.DUMMYFUNCTION("IMPORTRANGE(H21932,""IDENTITAS UNIT!D9"")"),"#N/A")</f>
        <v>#N/A</v>
      </c>
      <c r="H21932" s="4" t="str">
        <v/>
      </c>
      <c r="I21932" s="4" t="str">
        <v/>
      </c>
    </row>
    <row r="21933" spans="5:9" ht="16.5" hidden="1">
      <c r="E21933" s="4" t="str">
        <v/>
      </c>
      <c r="F21933" s="102" t="str">
        <f ca="1">IFERROR(__xludf.DUMMYFUNCTION("IMPORTRANGE(H21933,""IDENTITAS UNIT!D9"")"),"#N/A")</f>
        <v>#N/A</v>
      </c>
      <c r="H21933" s="4" t="str">
        <v/>
      </c>
      <c r="I21933" s="4" t="str">
        <v/>
      </c>
    </row>
    <row r="21934" spans="5:9" ht="16.5" hidden="1">
      <c r="E21934" s="4" t="str">
        <v/>
      </c>
      <c r="F21934" s="102" t="str">
        <f ca="1">IFERROR(__xludf.DUMMYFUNCTION("IMPORTRANGE(H21934,""IDENTITAS UNIT!D9"")"),"#N/A")</f>
        <v>#N/A</v>
      </c>
      <c r="H21934" s="4" t="str">
        <v/>
      </c>
      <c r="I21934" s="4" t="str">
        <v/>
      </c>
    </row>
    <row r="21935" spans="5:9" ht="16.5" hidden="1">
      <c r="E21935" s="4" t="str">
        <v/>
      </c>
      <c r="F21935" s="102" t="str">
        <f ca="1">IFERROR(__xludf.DUMMYFUNCTION("IMPORTRANGE(H21935,""IDENTITAS UNIT!D9"")"),"#N/A")</f>
        <v>#N/A</v>
      </c>
      <c r="H21935" s="4" t="str">
        <v/>
      </c>
      <c r="I21935" s="4" t="str">
        <v/>
      </c>
    </row>
    <row r="21936" spans="5:9" ht="16.5" hidden="1">
      <c r="E21936" s="4" t="str">
        <v/>
      </c>
      <c r="F21936" s="102" t="str">
        <f ca="1">IFERROR(__xludf.DUMMYFUNCTION("IMPORTRANGE(H21936,""IDENTITAS UNIT!D9"")"),"#N/A")</f>
        <v>#N/A</v>
      </c>
      <c r="H21936" s="4" t="str">
        <v/>
      </c>
      <c r="I21936" s="4" t="str">
        <v/>
      </c>
    </row>
    <row r="21937" spans="5:9" ht="16.5" hidden="1">
      <c r="E21937" s="4" t="str">
        <v/>
      </c>
      <c r="F21937" s="102" t="str">
        <f ca="1">IFERROR(__xludf.DUMMYFUNCTION("IMPORTRANGE(H21937,""IDENTITAS UNIT!D9"")"),"#N/A")</f>
        <v>#N/A</v>
      </c>
      <c r="H21937" s="4" t="str">
        <v/>
      </c>
      <c r="I21937" s="4" t="str">
        <v/>
      </c>
    </row>
    <row r="21938" spans="5:9" ht="16.5" hidden="1">
      <c r="E21938" s="4" t="str">
        <v/>
      </c>
      <c r="F21938" s="102" t="str">
        <f ca="1">IFERROR(__xludf.DUMMYFUNCTION("IMPORTRANGE(H21938,""IDENTITAS UNIT!D9"")"),"#N/A")</f>
        <v>#N/A</v>
      </c>
      <c r="H21938" s="4" t="str">
        <v/>
      </c>
      <c r="I21938" s="4" t="str">
        <v/>
      </c>
    </row>
    <row r="21939" spans="5:9" ht="16.5" hidden="1">
      <c r="E21939" s="4" t="str">
        <v/>
      </c>
      <c r="F21939" s="102" t="str">
        <f ca="1">IFERROR(__xludf.DUMMYFUNCTION("IMPORTRANGE(H21939,""IDENTITAS UNIT!D9"")"),"#N/A")</f>
        <v>#N/A</v>
      </c>
      <c r="H21939" s="4" t="str">
        <v/>
      </c>
      <c r="I21939" s="4" t="str">
        <v/>
      </c>
    </row>
    <row r="21940" spans="5:9" ht="16.5" hidden="1">
      <c r="E21940" s="4" t="str">
        <v/>
      </c>
      <c r="F21940" s="102" t="str">
        <f ca="1">IFERROR(__xludf.DUMMYFUNCTION("IMPORTRANGE(H21940,""IDENTITAS UNIT!D9"")"),"#N/A")</f>
        <v>#N/A</v>
      </c>
      <c r="H21940" s="4" t="str">
        <v/>
      </c>
      <c r="I21940" s="4" t="str">
        <v/>
      </c>
    </row>
    <row r="21941" spans="5:9" ht="16.5" hidden="1">
      <c r="E21941" s="4" t="str">
        <v/>
      </c>
      <c r="F21941" s="102" t="str">
        <f ca="1">IFERROR(__xludf.DUMMYFUNCTION("IMPORTRANGE(H21941,""IDENTITAS UNIT!D9"")"),"#N/A")</f>
        <v>#N/A</v>
      </c>
      <c r="H21941" s="4" t="str">
        <v/>
      </c>
      <c r="I21941" s="4" t="str">
        <v/>
      </c>
    </row>
    <row r="21942" spans="5:9" ht="16.5" hidden="1">
      <c r="E21942" s="4" t="str">
        <v/>
      </c>
      <c r="F21942" s="102" t="str">
        <f ca="1">IFERROR(__xludf.DUMMYFUNCTION("IMPORTRANGE(H21942,""IDENTITAS UNIT!D9"")"),"#N/A")</f>
        <v>#N/A</v>
      </c>
      <c r="H21942" s="4" t="str">
        <v/>
      </c>
      <c r="I21942" s="4" t="str">
        <v/>
      </c>
    </row>
    <row r="21943" spans="5:9" ht="16.5" hidden="1">
      <c r="E21943" s="4" t="str">
        <v/>
      </c>
      <c r="F21943" s="102" t="str">
        <f ca="1">IFERROR(__xludf.DUMMYFUNCTION("IMPORTRANGE(H21943,""IDENTITAS UNIT!D9"")"),"#N/A")</f>
        <v>#N/A</v>
      </c>
      <c r="H21943" s="4" t="str">
        <v/>
      </c>
      <c r="I21943" s="4" t="str">
        <v/>
      </c>
    </row>
    <row r="21944" spans="5:9" ht="16.5" hidden="1">
      <c r="E21944" s="4" t="str">
        <v/>
      </c>
      <c r="F21944" s="102" t="str">
        <f ca="1">IFERROR(__xludf.DUMMYFUNCTION("IMPORTRANGE(H21944,""IDENTITAS UNIT!D9"")"),"#N/A")</f>
        <v>#N/A</v>
      </c>
      <c r="H21944" s="4" t="str">
        <v/>
      </c>
      <c r="I21944" s="4" t="str">
        <v/>
      </c>
    </row>
    <row r="21945" spans="5:9" ht="16.5" hidden="1">
      <c r="E21945" s="4" t="str">
        <v/>
      </c>
      <c r="F21945" s="102" t="str">
        <f ca="1">IFERROR(__xludf.DUMMYFUNCTION("IMPORTRANGE(H21945,""IDENTITAS UNIT!D9"")"),"#N/A")</f>
        <v>#N/A</v>
      </c>
      <c r="H21945" s="4" t="str">
        <v/>
      </c>
      <c r="I21945" s="4" t="str">
        <v/>
      </c>
    </row>
    <row r="21946" spans="5:9" ht="16.5" hidden="1">
      <c r="E21946" s="4" t="str">
        <v/>
      </c>
      <c r="F21946" s="102" t="str">
        <f ca="1">IFERROR(__xludf.DUMMYFUNCTION("IMPORTRANGE(H21946,""IDENTITAS UNIT!D9"")"),"#N/A")</f>
        <v>#N/A</v>
      </c>
      <c r="H21946" s="4" t="str">
        <v/>
      </c>
      <c r="I21946" s="4" t="str">
        <v/>
      </c>
    </row>
    <row r="21947" spans="5:9" ht="16.5" hidden="1">
      <c r="E21947" s="4" t="str">
        <v/>
      </c>
      <c r="F21947" s="102" t="str">
        <f ca="1">IFERROR(__xludf.DUMMYFUNCTION("IMPORTRANGE(H21947,""IDENTITAS UNIT!D9"")"),"#N/A")</f>
        <v>#N/A</v>
      </c>
      <c r="H21947" s="4" t="str">
        <v/>
      </c>
      <c r="I21947" s="4" t="str">
        <v/>
      </c>
    </row>
    <row r="21948" spans="5:9" ht="16.5" hidden="1">
      <c r="E21948" s="4" t="str">
        <v/>
      </c>
      <c r="F21948" s="102" t="str">
        <f ca="1">IFERROR(__xludf.DUMMYFUNCTION("IMPORTRANGE(H21948,""IDENTITAS UNIT!D9"")"),"#N/A")</f>
        <v>#N/A</v>
      </c>
      <c r="H21948" s="4" t="str">
        <v/>
      </c>
      <c r="I21948" s="4" t="str">
        <v/>
      </c>
    </row>
    <row r="21949" spans="5:9" ht="16.5" hidden="1">
      <c r="E21949" s="4" t="str">
        <v/>
      </c>
      <c r="F21949" s="102" t="str">
        <f ca="1">IFERROR(__xludf.DUMMYFUNCTION("IMPORTRANGE(H21949,""IDENTITAS UNIT!D9"")"),"#N/A")</f>
        <v>#N/A</v>
      </c>
      <c r="H21949" s="4" t="str">
        <v/>
      </c>
      <c r="I21949" s="4" t="str">
        <v/>
      </c>
    </row>
    <row r="21950" spans="5:9" ht="16.5" hidden="1">
      <c r="E21950" s="4" t="str">
        <v/>
      </c>
      <c r="F21950" s="102" t="str">
        <f ca="1">IFERROR(__xludf.DUMMYFUNCTION("IMPORTRANGE(H21950,""IDENTITAS UNIT!D9"")"),"#N/A")</f>
        <v>#N/A</v>
      </c>
      <c r="H21950" s="4" t="str">
        <v/>
      </c>
      <c r="I21950" s="4" t="str">
        <v/>
      </c>
    </row>
    <row r="21951" spans="5:9" ht="16.5" hidden="1">
      <c r="E21951" s="4" t="str">
        <v/>
      </c>
      <c r="F21951" s="102" t="str">
        <f ca="1">IFERROR(__xludf.DUMMYFUNCTION("IMPORTRANGE(H21951,""IDENTITAS UNIT!D9"")"),"#N/A")</f>
        <v>#N/A</v>
      </c>
      <c r="H21951" s="4" t="str">
        <v/>
      </c>
      <c r="I21951" s="4" t="str">
        <v/>
      </c>
    </row>
    <row r="21952" spans="5:9" ht="16.5" hidden="1">
      <c r="E21952" s="4" t="str">
        <v/>
      </c>
      <c r="F21952" s="102" t="str">
        <f ca="1">IFERROR(__xludf.DUMMYFUNCTION("IMPORTRANGE(H21952,""IDENTITAS UNIT!D9"")"),"#N/A")</f>
        <v>#N/A</v>
      </c>
      <c r="H21952" s="4" t="str">
        <v/>
      </c>
      <c r="I21952" s="4" t="str">
        <v/>
      </c>
    </row>
    <row r="21953" spans="5:9" ht="16.5" hidden="1">
      <c r="E21953" s="4" t="str">
        <v/>
      </c>
      <c r="F21953" s="102" t="str">
        <f ca="1">IFERROR(__xludf.DUMMYFUNCTION("IMPORTRANGE(H21953,""IDENTITAS UNIT!D9"")"),"#N/A")</f>
        <v>#N/A</v>
      </c>
      <c r="H21953" s="4" t="str">
        <v/>
      </c>
      <c r="I21953" s="4" t="str">
        <v/>
      </c>
    </row>
    <row r="21954" spans="5:9" ht="16.5" hidden="1">
      <c r="E21954" s="4" t="str">
        <v/>
      </c>
      <c r="F21954" s="102" t="str">
        <f ca="1">IFERROR(__xludf.DUMMYFUNCTION("IMPORTRANGE(H21954,""IDENTITAS UNIT!D9"")"),"#N/A")</f>
        <v>#N/A</v>
      </c>
      <c r="H21954" s="4" t="str">
        <v/>
      </c>
      <c r="I21954" s="4" t="str">
        <v/>
      </c>
    </row>
    <row r="21955" spans="5:9" ht="16.5" hidden="1">
      <c r="E21955" s="4" t="str">
        <v/>
      </c>
      <c r="F21955" s="102" t="str">
        <f ca="1">IFERROR(__xludf.DUMMYFUNCTION("IMPORTRANGE(H21955,""IDENTITAS UNIT!D9"")"),"#N/A")</f>
        <v>#N/A</v>
      </c>
      <c r="H21955" s="4" t="str">
        <v/>
      </c>
      <c r="I21955" s="4" t="str">
        <v/>
      </c>
    </row>
    <row r="21956" spans="5:9" ht="16.5" hidden="1">
      <c r="E21956" s="4" t="str">
        <v/>
      </c>
      <c r="F21956" s="102" t="str">
        <f ca="1">IFERROR(__xludf.DUMMYFUNCTION("IMPORTRANGE(H21956,""IDENTITAS UNIT!D9"")"),"#N/A")</f>
        <v>#N/A</v>
      </c>
      <c r="H21956" s="4" t="str">
        <v/>
      </c>
      <c r="I21956" s="4" t="str">
        <v/>
      </c>
    </row>
    <row r="21957" spans="5:9" ht="16.5" hidden="1">
      <c r="E21957" s="4" t="str">
        <v/>
      </c>
      <c r="F21957" s="102" t="str">
        <f ca="1">IFERROR(__xludf.DUMMYFUNCTION("IMPORTRANGE(H21957,""IDENTITAS UNIT!D9"")"),"#N/A")</f>
        <v>#N/A</v>
      </c>
      <c r="H21957" s="4" t="str">
        <v/>
      </c>
      <c r="I21957" s="4" t="str">
        <v/>
      </c>
    </row>
    <row r="21958" spans="5:9" ht="16.5" hidden="1">
      <c r="E21958" s="4" t="str">
        <v/>
      </c>
      <c r="F21958" s="102" t="str">
        <f ca="1">IFERROR(__xludf.DUMMYFUNCTION("IMPORTRANGE(H21958,""IDENTITAS UNIT!D9"")"),"#N/A")</f>
        <v>#N/A</v>
      </c>
      <c r="H21958" s="4" t="str">
        <v/>
      </c>
      <c r="I21958" s="4" t="str">
        <v/>
      </c>
    </row>
    <row r="21959" spans="5:9" ht="16.5" hidden="1">
      <c r="E21959" s="4" t="str">
        <v/>
      </c>
      <c r="F21959" s="102" t="str">
        <f ca="1">IFERROR(__xludf.DUMMYFUNCTION("IMPORTRANGE(H21959,""IDENTITAS UNIT!D9"")"),"#N/A")</f>
        <v>#N/A</v>
      </c>
      <c r="H21959" s="4" t="str">
        <v/>
      </c>
      <c r="I21959" s="4" t="str">
        <v/>
      </c>
    </row>
    <row r="21960" spans="5:9" ht="16.5" hidden="1">
      <c r="E21960" s="4" t="str">
        <v/>
      </c>
      <c r="F21960" s="102" t="str">
        <f ca="1">IFERROR(__xludf.DUMMYFUNCTION("IMPORTRANGE(H21960,""IDENTITAS UNIT!D9"")"),"#N/A")</f>
        <v>#N/A</v>
      </c>
      <c r="H21960" s="4" t="str">
        <v/>
      </c>
      <c r="I21960" s="4" t="str">
        <v/>
      </c>
    </row>
    <row r="21961" spans="5:9" ht="16.5" hidden="1">
      <c r="E21961" s="4" t="str">
        <v/>
      </c>
      <c r="F21961" s="102" t="str">
        <f ca="1">IFERROR(__xludf.DUMMYFUNCTION("IMPORTRANGE(H21961,""IDENTITAS UNIT!D9"")"),"#N/A")</f>
        <v>#N/A</v>
      </c>
      <c r="H21961" s="4" t="str">
        <v/>
      </c>
      <c r="I21961" s="4" t="str">
        <v/>
      </c>
    </row>
    <row r="21962" spans="5:9" ht="16.5" hidden="1">
      <c r="E21962" s="4" t="str">
        <v/>
      </c>
      <c r="F21962" s="102" t="str">
        <f ca="1">IFERROR(__xludf.DUMMYFUNCTION("IMPORTRANGE(H21962,""IDENTITAS UNIT!D9"")"),"#N/A")</f>
        <v>#N/A</v>
      </c>
      <c r="H21962" s="4" t="str">
        <v/>
      </c>
      <c r="I21962" s="4" t="str">
        <v/>
      </c>
    </row>
    <row r="21963" spans="5:9" ht="16.5" hidden="1">
      <c r="E21963" s="4" t="str">
        <v/>
      </c>
      <c r="F21963" s="102" t="str">
        <f ca="1">IFERROR(__xludf.DUMMYFUNCTION("IMPORTRANGE(H21963,""IDENTITAS UNIT!D9"")"),"#N/A")</f>
        <v>#N/A</v>
      </c>
      <c r="H21963" s="4" t="str">
        <v/>
      </c>
      <c r="I21963" s="4" t="str">
        <v/>
      </c>
    </row>
    <row r="21964" spans="5:9" ht="16.5" hidden="1">
      <c r="E21964" s="4" t="str">
        <v/>
      </c>
      <c r="F21964" s="102" t="str">
        <f ca="1">IFERROR(__xludf.DUMMYFUNCTION("IMPORTRANGE(H21964,""IDENTITAS UNIT!D9"")"),"#N/A")</f>
        <v>#N/A</v>
      </c>
      <c r="H21964" s="4" t="str">
        <v/>
      </c>
      <c r="I21964" s="4" t="str">
        <v/>
      </c>
    </row>
    <row r="21965" spans="5:9" ht="16.5" hidden="1">
      <c r="E21965" s="4" t="str">
        <v/>
      </c>
      <c r="F21965" s="102" t="str">
        <f ca="1">IFERROR(__xludf.DUMMYFUNCTION("IMPORTRANGE(H21965,""IDENTITAS UNIT!D9"")"),"#N/A")</f>
        <v>#N/A</v>
      </c>
      <c r="H21965" s="4" t="str">
        <v/>
      </c>
      <c r="I21965" s="4" t="str">
        <v/>
      </c>
    </row>
    <row r="21966" spans="5:9" ht="16.5" hidden="1">
      <c r="E21966" s="4" t="str">
        <v/>
      </c>
      <c r="F21966" s="102" t="str">
        <f ca="1">IFERROR(__xludf.DUMMYFUNCTION("IMPORTRANGE(H21966,""IDENTITAS UNIT!D9"")"),"#N/A")</f>
        <v>#N/A</v>
      </c>
      <c r="H21966" s="4" t="str">
        <v/>
      </c>
      <c r="I21966" s="4" t="str">
        <v/>
      </c>
    </row>
    <row r="21967" spans="5:9" ht="16.5" hidden="1">
      <c r="E21967" s="4" t="str">
        <v/>
      </c>
      <c r="F21967" s="102" t="str">
        <f ca="1">IFERROR(__xludf.DUMMYFUNCTION("IMPORTRANGE(H21967,""IDENTITAS UNIT!D9"")"),"#N/A")</f>
        <v>#N/A</v>
      </c>
      <c r="H21967" s="4" t="str">
        <v/>
      </c>
      <c r="I21967" s="4" t="str">
        <v/>
      </c>
    </row>
    <row r="21968" spans="5:9" ht="16.5" hidden="1">
      <c r="E21968" s="4" t="str">
        <v/>
      </c>
      <c r="F21968" s="102" t="str">
        <f ca="1">IFERROR(__xludf.DUMMYFUNCTION("IMPORTRANGE(H21968,""IDENTITAS UNIT!D9"")"),"#N/A")</f>
        <v>#N/A</v>
      </c>
      <c r="H21968" s="4" t="str">
        <v/>
      </c>
      <c r="I21968" s="4" t="str">
        <v/>
      </c>
    </row>
    <row r="21969" spans="5:9" ht="16.5" hidden="1">
      <c r="E21969" s="4" t="str">
        <v/>
      </c>
      <c r="F21969" s="102" t="str">
        <f ca="1">IFERROR(__xludf.DUMMYFUNCTION("IMPORTRANGE(H21969,""IDENTITAS UNIT!D9"")"),"#N/A")</f>
        <v>#N/A</v>
      </c>
      <c r="H21969" s="4" t="str">
        <v/>
      </c>
      <c r="I21969" s="4" t="str">
        <v/>
      </c>
    </row>
    <row r="21970" spans="5:9" ht="16.5" hidden="1">
      <c r="E21970" s="4" t="str">
        <v/>
      </c>
      <c r="F21970" s="102" t="str">
        <f ca="1">IFERROR(__xludf.DUMMYFUNCTION("IMPORTRANGE(H21970,""IDENTITAS UNIT!D9"")"),"#N/A")</f>
        <v>#N/A</v>
      </c>
      <c r="H21970" s="4" t="str">
        <v/>
      </c>
      <c r="I21970" s="4" t="str">
        <v/>
      </c>
    </row>
    <row r="21971" spans="5:9" ht="16.5" hidden="1">
      <c r="E21971" s="4" t="str">
        <v/>
      </c>
      <c r="F21971" s="102" t="str">
        <f ca="1">IFERROR(__xludf.DUMMYFUNCTION("IMPORTRANGE(H21971,""IDENTITAS UNIT!D9"")"),"#N/A")</f>
        <v>#N/A</v>
      </c>
      <c r="H21971" s="4" t="str">
        <v/>
      </c>
      <c r="I21971" s="4" t="str">
        <v/>
      </c>
    </row>
    <row r="21972" spans="5:9" ht="16.5" hidden="1">
      <c r="E21972" s="4" t="str">
        <v/>
      </c>
      <c r="F21972" s="102" t="str">
        <f ca="1">IFERROR(__xludf.DUMMYFUNCTION("IMPORTRANGE(H21972,""IDENTITAS UNIT!D9"")"),"#N/A")</f>
        <v>#N/A</v>
      </c>
      <c r="H21972" s="4" t="str">
        <v/>
      </c>
      <c r="I21972" s="4" t="str">
        <v/>
      </c>
    </row>
    <row r="21973" spans="5:9" ht="16.5" hidden="1">
      <c r="E21973" s="4" t="str">
        <v/>
      </c>
      <c r="F21973" s="102" t="str">
        <f ca="1">IFERROR(__xludf.DUMMYFUNCTION("IMPORTRANGE(H21973,""IDENTITAS UNIT!D9"")"),"#N/A")</f>
        <v>#N/A</v>
      </c>
      <c r="H21973" s="4" t="str">
        <v/>
      </c>
      <c r="I21973" s="4" t="str">
        <v/>
      </c>
    </row>
    <row r="21974" spans="5:9" ht="16.5" hidden="1">
      <c r="E21974" s="4" t="str">
        <v/>
      </c>
      <c r="F21974" s="102" t="str">
        <f ca="1">IFERROR(__xludf.DUMMYFUNCTION("IMPORTRANGE(H21974,""IDENTITAS UNIT!D9"")"),"#N/A")</f>
        <v>#N/A</v>
      </c>
      <c r="H21974" s="4" t="str">
        <v/>
      </c>
      <c r="I21974" s="4" t="str">
        <v/>
      </c>
    </row>
    <row r="21975" spans="5:9" ht="16.5" hidden="1">
      <c r="E21975" s="4" t="str">
        <v/>
      </c>
      <c r="F21975" s="102" t="str">
        <f ca="1">IFERROR(__xludf.DUMMYFUNCTION("IMPORTRANGE(H21975,""IDENTITAS UNIT!D9"")"),"#N/A")</f>
        <v>#N/A</v>
      </c>
      <c r="H21975" s="4" t="str">
        <v/>
      </c>
      <c r="I21975" s="4" t="str">
        <v/>
      </c>
    </row>
    <row r="21976" spans="5:9" ht="16.5" hidden="1">
      <c r="E21976" s="4" t="str">
        <v/>
      </c>
      <c r="F21976" s="102" t="str">
        <f ca="1">IFERROR(__xludf.DUMMYFUNCTION("IMPORTRANGE(H21976,""IDENTITAS UNIT!D9"")"),"#N/A")</f>
        <v>#N/A</v>
      </c>
      <c r="H21976" s="4" t="str">
        <v/>
      </c>
      <c r="I21976" s="4" t="str">
        <v/>
      </c>
    </row>
    <row r="21977" spans="5:9" ht="16.5" hidden="1">
      <c r="E21977" s="4" t="str">
        <v/>
      </c>
      <c r="F21977" s="102" t="str">
        <f ca="1">IFERROR(__xludf.DUMMYFUNCTION("IMPORTRANGE(H21977,""IDENTITAS UNIT!D9"")"),"#N/A")</f>
        <v>#N/A</v>
      </c>
      <c r="H21977" s="4" t="str">
        <v/>
      </c>
      <c r="I21977" s="4" t="str">
        <v/>
      </c>
    </row>
    <row r="21978" spans="5:9" ht="16.5" hidden="1">
      <c r="E21978" s="4" t="str">
        <v/>
      </c>
      <c r="F21978" s="102" t="str">
        <f ca="1">IFERROR(__xludf.DUMMYFUNCTION("IMPORTRANGE(H21978,""IDENTITAS UNIT!D9"")"),"#N/A")</f>
        <v>#N/A</v>
      </c>
      <c r="H21978" s="4" t="str">
        <v/>
      </c>
      <c r="I21978" s="4" t="str">
        <v/>
      </c>
    </row>
    <row r="21979" spans="5:9" ht="16.5" hidden="1">
      <c r="E21979" s="4" t="str">
        <v/>
      </c>
      <c r="F21979" s="102" t="str">
        <f ca="1">IFERROR(__xludf.DUMMYFUNCTION("IMPORTRANGE(H21979,""IDENTITAS UNIT!D9"")"),"#N/A")</f>
        <v>#N/A</v>
      </c>
      <c r="H21979" s="4" t="str">
        <v/>
      </c>
      <c r="I21979" s="4" t="str">
        <v/>
      </c>
    </row>
    <row r="21980" spans="5:9" ht="16.5" hidden="1">
      <c r="E21980" s="4" t="str">
        <v/>
      </c>
      <c r="F21980" s="102" t="str">
        <f ca="1">IFERROR(__xludf.DUMMYFUNCTION("IMPORTRANGE(H21980,""IDENTITAS UNIT!D9"")"),"#N/A")</f>
        <v>#N/A</v>
      </c>
      <c r="H21980" s="4" t="str">
        <v/>
      </c>
      <c r="I21980" s="4" t="str">
        <v/>
      </c>
    </row>
    <row r="21981" spans="5:9" ht="16.5" hidden="1">
      <c r="E21981" s="4" t="str">
        <v/>
      </c>
      <c r="F21981" s="102" t="str">
        <f ca="1">IFERROR(__xludf.DUMMYFUNCTION("IMPORTRANGE(H21981,""IDENTITAS UNIT!D9"")"),"#N/A")</f>
        <v>#N/A</v>
      </c>
      <c r="H21981" s="4" t="str">
        <v/>
      </c>
      <c r="I21981" s="4" t="str">
        <v/>
      </c>
    </row>
    <row r="21982" spans="5:9" ht="16.5" hidden="1">
      <c r="E21982" s="4" t="str">
        <v/>
      </c>
      <c r="F21982" s="102" t="str">
        <f ca="1">IFERROR(__xludf.DUMMYFUNCTION("IMPORTRANGE(H21982,""IDENTITAS UNIT!D9"")"),"#N/A")</f>
        <v>#N/A</v>
      </c>
      <c r="H21982" s="4" t="str">
        <v/>
      </c>
      <c r="I21982" s="4" t="str">
        <v/>
      </c>
    </row>
    <row r="21983" spans="5:9" ht="16.5" hidden="1">
      <c r="E21983" s="4" t="str">
        <v/>
      </c>
      <c r="F21983" s="102" t="str">
        <f ca="1">IFERROR(__xludf.DUMMYFUNCTION("IMPORTRANGE(H21983,""IDENTITAS UNIT!D9"")"),"#N/A")</f>
        <v>#N/A</v>
      </c>
      <c r="H21983" s="4" t="str">
        <v/>
      </c>
      <c r="I21983" s="4" t="str">
        <v/>
      </c>
    </row>
    <row r="21984" spans="5:9" ht="16.5" hidden="1">
      <c r="E21984" s="4" t="str">
        <v/>
      </c>
      <c r="F21984" s="102" t="str">
        <f ca="1">IFERROR(__xludf.DUMMYFUNCTION("IMPORTRANGE(H21984,""IDENTITAS UNIT!D9"")"),"#N/A")</f>
        <v>#N/A</v>
      </c>
      <c r="H21984" s="4" t="str">
        <v/>
      </c>
      <c r="I21984" s="4" t="str">
        <v/>
      </c>
    </row>
    <row r="21985" spans="5:9" ht="16.5" hidden="1">
      <c r="E21985" s="4" t="str">
        <v/>
      </c>
      <c r="F21985" s="102" t="str">
        <f ca="1">IFERROR(__xludf.DUMMYFUNCTION("IMPORTRANGE(H21985,""IDENTITAS UNIT!D9"")"),"#N/A")</f>
        <v>#N/A</v>
      </c>
      <c r="H21985" s="4" t="str">
        <v/>
      </c>
      <c r="I21985" s="4" t="str">
        <v/>
      </c>
    </row>
    <row r="21986" spans="5:9" ht="16.5" hidden="1">
      <c r="E21986" s="4" t="str">
        <v/>
      </c>
      <c r="F21986" s="102" t="str">
        <f ca="1">IFERROR(__xludf.DUMMYFUNCTION("IMPORTRANGE(H21986,""IDENTITAS UNIT!D9"")"),"#N/A")</f>
        <v>#N/A</v>
      </c>
      <c r="H21986" s="4" t="str">
        <v/>
      </c>
      <c r="I21986" s="4" t="str">
        <v/>
      </c>
    </row>
    <row r="21987" spans="5:9" ht="16.5" hidden="1">
      <c r="E21987" s="4" t="str">
        <v/>
      </c>
      <c r="F21987" s="102" t="str">
        <f ca="1">IFERROR(__xludf.DUMMYFUNCTION("IMPORTRANGE(H21987,""IDENTITAS UNIT!D9"")"),"#N/A")</f>
        <v>#N/A</v>
      </c>
      <c r="H21987" s="4" t="str">
        <v/>
      </c>
      <c r="I21987" s="4" t="str">
        <v/>
      </c>
    </row>
    <row r="21988" spans="5:9" ht="16.5" hidden="1">
      <c r="E21988" s="4" t="str">
        <v/>
      </c>
      <c r="F21988" s="102" t="str">
        <f ca="1">IFERROR(__xludf.DUMMYFUNCTION("IMPORTRANGE(H21988,""IDENTITAS UNIT!D9"")"),"#N/A")</f>
        <v>#N/A</v>
      </c>
      <c r="H21988" s="4" t="str">
        <v/>
      </c>
      <c r="I21988" s="4" t="str">
        <v/>
      </c>
    </row>
    <row r="21989" spans="5:9" ht="16.5" hidden="1">
      <c r="E21989" s="4" t="str">
        <v/>
      </c>
      <c r="F21989" s="102" t="str">
        <f ca="1">IFERROR(__xludf.DUMMYFUNCTION("IMPORTRANGE(H21989,""IDENTITAS UNIT!D9"")"),"#N/A")</f>
        <v>#N/A</v>
      </c>
      <c r="H21989" s="4" t="str">
        <v/>
      </c>
      <c r="I21989" s="4" t="str">
        <v/>
      </c>
    </row>
    <row r="21990" spans="5:9" ht="16.5" hidden="1">
      <c r="E21990" s="4" t="str">
        <v/>
      </c>
      <c r="F21990" s="102" t="str">
        <f ca="1">IFERROR(__xludf.DUMMYFUNCTION("IMPORTRANGE(H21990,""IDENTITAS UNIT!D9"")"),"#N/A")</f>
        <v>#N/A</v>
      </c>
      <c r="H21990" s="4" t="str">
        <v/>
      </c>
      <c r="I21990" s="4" t="str">
        <v/>
      </c>
    </row>
    <row r="21991" spans="5:9" ht="16.5" hidden="1">
      <c r="E21991" s="4" t="str">
        <v/>
      </c>
      <c r="F21991" s="102" t="str">
        <f ca="1">IFERROR(__xludf.DUMMYFUNCTION("IMPORTRANGE(H21991,""IDENTITAS UNIT!D9"")"),"#N/A")</f>
        <v>#N/A</v>
      </c>
      <c r="H21991" s="4" t="str">
        <v/>
      </c>
      <c r="I21991" s="4" t="str">
        <v/>
      </c>
    </row>
    <row r="21992" spans="5:9" ht="16.5" hidden="1">
      <c r="E21992" s="4" t="str">
        <v/>
      </c>
      <c r="F21992" s="102" t="str">
        <f ca="1">IFERROR(__xludf.DUMMYFUNCTION("IMPORTRANGE(H21992,""IDENTITAS UNIT!D9"")"),"#N/A")</f>
        <v>#N/A</v>
      </c>
      <c r="H21992" s="4" t="str">
        <v/>
      </c>
      <c r="I21992" s="4" t="str">
        <v/>
      </c>
    </row>
    <row r="21993" spans="5:9" ht="16.5" hidden="1">
      <c r="E21993" s="4" t="str">
        <v/>
      </c>
      <c r="F21993" s="102" t="str">
        <f ca="1">IFERROR(__xludf.DUMMYFUNCTION("IMPORTRANGE(H21993,""IDENTITAS UNIT!D9"")"),"#N/A")</f>
        <v>#N/A</v>
      </c>
      <c r="H21993" s="4" t="str">
        <v/>
      </c>
      <c r="I21993" s="4" t="str">
        <v/>
      </c>
    </row>
    <row r="21994" spans="5:9" ht="16.5" hidden="1">
      <c r="E21994" s="4" t="str">
        <v/>
      </c>
      <c r="F21994" s="102" t="str">
        <f ca="1">IFERROR(__xludf.DUMMYFUNCTION("IMPORTRANGE(H21994,""IDENTITAS UNIT!D9"")"),"#N/A")</f>
        <v>#N/A</v>
      </c>
      <c r="H21994" s="4" t="str">
        <v/>
      </c>
      <c r="I21994" s="4" t="str">
        <v/>
      </c>
    </row>
    <row r="21995" spans="5:9" ht="16.5" hidden="1">
      <c r="E21995" s="4" t="str">
        <v/>
      </c>
      <c r="F21995" s="102" t="str">
        <f ca="1">IFERROR(__xludf.DUMMYFUNCTION("IMPORTRANGE(H21995,""IDENTITAS UNIT!D9"")"),"#N/A")</f>
        <v>#N/A</v>
      </c>
      <c r="H21995" s="4" t="str">
        <v/>
      </c>
      <c r="I21995" s="4" t="str">
        <v/>
      </c>
    </row>
    <row r="21996" spans="5:9" ht="16.5" hidden="1">
      <c r="E21996" s="4" t="str">
        <v/>
      </c>
      <c r="F21996" s="102" t="str">
        <f ca="1">IFERROR(__xludf.DUMMYFUNCTION("IMPORTRANGE(H21996,""IDENTITAS UNIT!D9"")"),"#N/A")</f>
        <v>#N/A</v>
      </c>
      <c r="H21996" s="4" t="str">
        <v/>
      </c>
      <c r="I21996" s="4" t="str">
        <v/>
      </c>
    </row>
    <row r="21997" spans="5:9" ht="16.5" hidden="1">
      <c r="E21997" s="4" t="str">
        <v/>
      </c>
      <c r="F21997" s="102" t="str">
        <f ca="1">IFERROR(__xludf.DUMMYFUNCTION("IMPORTRANGE(H21997,""IDENTITAS UNIT!D9"")"),"#N/A")</f>
        <v>#N/A</v>
      </c>
      <c r="H21997" s="4" t="str">
        <v/>
      </c>
      <c r="I21997" s="4" t="str">
        <v/>
      </c>
    </row>
    <row r="21998" spans="5:9" ht="16.5" hidden="1">
      <c r="E21998" s="4" t="str">
        <v/>
      </c>
      <c r="F21998" s="102" t="str">
        <f ca="1">IFERROR(__xludf.DUMMYFUNCTION("IMPORTRANGE(H21998,""IDENTITAS UNIT!D9"")"),"#N/A")</f>
        <v>#N/A</v>
      </c>
      <c r="H21998" s="4" t="str">
        <v/>
      </c>
      <c r="I21998" s="4" t="str">
        <v/>
      </c>
    </row>
    <row r="21999" spans="5:9" ht="16.5" hidden="1">
      <c r="E21999" s="4" t="str">
        <v/>
      </c>
      <c r="F21999" s="102" t="str">
        <f ca="1">IFERROR(__xludf.DUMMYFUNCTION("IMPORTRANGE(H21999,""IDENTITAS UNIT!D9"")"),"#N/A")</f>
        <v>#N/A</v>
      </c>
      <c r="H21999" s="4" t="str">
        <v/>
      </c>
      <c r="I21999" s="4" t="str">
        <v/>
      </c>
    </row>
    <row r="22000" spans="5:9" ht="16.5" hidden="1">
      <c r="E22000" s="4" t="str">
        <v/>
      </c>
      <c r="F22000" s="102" t="str">
        <f ca="1">IFERROR(__xludf.DUMMYFUNCTION("IMPORTRANGE(H22000,""IDENTITAS UNIT!D9"")"),"#N/A")</f>
        <v>#N/A</v>
      </c>
      <c r="H22000" s="4" t="str">
        <v/>
      </c>
      <c r="I22000" s="4" t="str">
        <v/>
      </c>
    </row>
    <row r="22001" spans="5:9" ht="16.5" hidden="1">
      <c r="E22001" s="4" t="str">
        <v/>
      </c>
      <c r="F22001" s="102" t="str">
        <f ca="1">IFERROR(__xludf.DUMMYFUNCTION("IMPORTRANGE(H22001,""IDENTITAS UNIT!D9"")"),"#N/A")</f>
        <v>#N/A</v>
      </c>
      <c r="H22001" s="4" t="str">
        <v/>
      </c>
      <c r="I22001" s="4" t="str">
        <v/>
      </c>
    </row>
    <row r="22002" spans="5:9" ht="16.5" hidden="1">
      <c r="E22002" s="4" t="str">
        <v/>
      </c>
      <c r="F22002" s="102" t="str">
        <f ca="1">IFERROR(__xludf.DUMMYFUNCTION("IMPORTRANGE(H22002,""IDENTITAS UNIT!D9"")"),"#N/A")</f>
        <v>#N/A</v>
      </c>
      <c r="H22002" s="4" t="str">
        <v/>
      </c>
      <c r="I22002" s="4" t="str">
        <v/>
      </c>
    </row>
    <row r="22003" spans="5:9" ht="16.5" hidden="1">
      <c r="E22003" s="4" t="str">
        <v/>
      </c>
      <c r="F22003" s="102" t="str">
        <f ca="1">IFERROR(__xludf.DUMMYFUNCTION("IMPORTRANGE(H22003,""IDENTITAS UNIT!D9"")"),"#N/A")</f>
        <v>#N/A</v>
      </c>
      <c r="H22003" s="4" t="str">
        <v/>
      </c>
      <c r="I22003" s="4" t="str">
        <v/>
      </c>
    </row>
    <row r="22004" spans="5:9" ht="16.5" hidden="1">
      <c r="E22004" s="4" t="str">
        <v/>
      </c>
      <c r="F22004" s="102" t="str">
        <f ca="1">IFERROR(__xludf.DUMMYFUNCTION("IMPORTRANGE(H22004,""IDENTITAS UNIT!D9"")"),"#N/A")</f>
        <v>#N/A</v>
      </c>
      <c r="H22004" s="4" t="str">
        <v/>
      </c>
      <c r="I22004" s="4" t="str">
        <v/>
      </c>
    </row>
    <row r="22005" spans="5:9" ht="16.5" hidden="1">
      <c r="E22005" s="4" t="str">
        <v/>
      </c>
      <c r="F22005" s="102" t="str">
        <f ca="1">IFERROR(__xludf.DUMMYFUNCTION("IMPORTRANGE(H22005,""IDENTITAS UNIT!D9"")"),"#N/A")</f>
        <v>#N/A</v>
      </c>
      <c r="H22005" s="4" t="str">
        <v/>
      </c>
      <c r="I22005" s="4" t="str">
        <v/>
      </c>
    </row>
    <row r="22006" spans="5:9" ht="16.5" hidden="1">
      <c r="E22006" s="4" t="str">
        <v/>
      </c>
      <c r="F22006" s="102" t="str">
        <f ca="1">IFERROR(__xludf.DUMMYFUNCTION("IMPORTRANGE(H22006,""IDENTITAS UNIT!D9"")"),"#N/A")</f>
        <v>#N/A</v>
      </c>
      <c r="H22006" s="4" t="str">
        <v/>
      </c>
      <c r="I22006" s="4" t="str">
        <v/>
      </c>
    </row>
    <row r="22007" spans="5:9" ht="16.5" hidden="1">
      <c r="E22007" s="4" t="str">
        <v/>
      </c>
      <c r="F22007" s="102" t="str">
        <f ca="1">IFERROR(__xludf.DUMMYFUNCTION("IMPORTRANGE(H22007,""IDENTITAS UNIT!D9"")"),"#N/A")</f>
        <v>#N/A</v>
      </c>
      <c r="H22007" s="4" t="str">
        <v/>
      </c>
      <c r="I22007" s="4" t="str">
        <v/>
      </c>
    </row>
    <row r="22008" spans="5:9" ht="16.5" hidden="1">
      <c r="E22008" s="4" t="str">
        <v/>
      </c>
      <c r="F22008" s="102" t="str">
        <f ca="1">IFERROR(__xludf.DUMMYFUNCTION("IMPORTRANGE(H22008,""IDENTITAS UNIT!D9"")"),"#N/A")</f>
        <v>#N/A</v>
      </c>
      <c r="H22008" s="4" t="str">
        <v/>
      </c>
      <c r="I22008" s="4" t="str">
        <v/>
      </c>
    </row>
    <row r="22009" spans="5:9" ht="16.5" hidden="1">
      <c r="E22009" s="4" t="str">
        <v/>
      </c>
      <c r="F22009" s="102" t="str">
        <f ca="1">IFERROR(__xludf.DUMMYFUNCTION("IMPORTRANGE(H22009,""IDENTITAS UNIT!D9"")"),"#N/A")</f>
        <v>#N/A</v>
      </c>
      <c r="H22009" s="4" t="str">
        <v/>
      </c>
      <c r="I22009" s="4" t="str">
        <v/>
      </c>
    </row>
    <row r="22010" spans="5:9" ht="16.5" hidden="1">
      <c r="E22010" s="4" t="str">
        <v/>
      </c>
      <c r="F22010" s="102" t="str">
        <f ca="1">IFERROR(__xludf.DUMMYFUNCTION("IMPORTRANGE(H22010,""IDENTITAS UNIT!D9"")"),"#N/A")</f>
        <v>#N/A</v>
      </c>
      <c r="H22010" s="4" t="str">
        <v/>
      </c>
      <c r="I22010" s="4" t="str">
        <v/>
      </c>
    </row>
    <row r="22011" spans="5:9" ht="16.5" hidden="1">
      <c r="E22011" s="4" t="str">
        <v/>
      </c>
      <c r="F22011" s="102" t="str">
        <f ca="1">IFERROR(__xludf.DUMMYFUNCTION("IMPORTRANGE(H22011,""IDENTITAS UNIT!D9"")"),"#N/A")</f>
        <v>#N/A</v>
      </c>
      <c r="H22011" s="4" t="str">
        <v/>
      </c>
      <c r="I22011" s="4" t="str">
        <v/>
      </c>
    </row>
    <row r="22012" spans="5:9" ht="16.5" hidden="1">
      <c r="E22012" s="4" t="str">
        <v/>
      </c>
      <c r="F22012" s="102" t="str">
        <f ca="1">IFERROR(__xludf.DUMMYFUNCTION("IMPORTRANGE(H22012,""IDENTITAS UNIT!D9"")"),"#N/A")</f>
        <v>#N/A</v>
      </c>
      <c r="H22012" s="4" t="str">
        <v/>
      </c>
      <c r="I22012" s="4" t="str">
        <v/>
      </c>
    </row>
    <row r="22013" spans="5:9" ht="16.5" hidden="1">
      <c r="E22013" s="4" t="str">
        <v/>
      </c>
      <c r="F22013" s="102" t="str">
        <f ca="1">IFERROR(__xludf.DUMMYFUNCTION("IMPORTRANGE(H22013,""IDENTITAS UNIT!D9"")"),"#N/A")</f>
        <v>#N/A</v>
      </c>
      <c r="H22013" s="4" t="str">
        <v/>
      </c>
      <c r="I22013" s="4" t="str">
        <v/>
      </c>
    </row>
    <row r="22014" spans="5:9" ht="16.5" hidden="1">
      <c r="E22014" s="4" t="str">
        <v/>
      </c>
      <c r="F22014" s="102" t="str">
        <f ca="1">IFERROR(__xludf.DUMMYFUNCTION("IMPORTRANGE(H22014,""IDENTITAS UNIT!D9"")"),"#N/A")</f>
        <v>#N/A</v>
      </c>
      <c r="H22014" s="4" t="str">
        <v/>
      </c>
      <c r="I22014" s="4" t="str">
        <v/>
      </c>
    </row>
    <row r="22015" spans="5:9" ht="16.5" hidden="1">
      <c r="E22015" s="4" t="str">
        <v/>
      </c>
      <c r="F22015" s="102" t="str">
        <f ca="1">IFERROR(__xludf.DUMMYFUNCTION("IMPORTRANGE(H22015,""IDENTITAS UNIT!D9"")"),"#N/A")</f>
        <v>#N/A</v>
      </c>
      <c r="H22015" s="4" t="str">
        <v/>
      </c>
      <c r="I22015" s="4" t="str">
        <v/>
      </c>
    </row>
    <row r="22016" spans="5:9" ht="16.5" hidden="1">
      <c r="E22016" s="4" t="str">
        <v/>
      </c>
      <c r="F22016" s="102" t="str">
        <f ca="1">IFERROR(__xludf.DUMMYFUNCTION("IMPORTRANGE(H22016,""IDENTITAS UNIT!D9"")"),"#N/A")</f>
        <v>#N/A</v>
      </c>
      <c r="H22016" s="4" t="str">
        <v/>
      </c>
      <c r="I22016" s="4" t="str">
        <v/>
      </c>
    </row>
    <row r="22017" spans="5:9" ht="16.5" hidden="1">
      <c r="E22017" s="4" t="str">
        <v/>
      </c>
      <c r="F22017" s="102" t="str">
        <f ca="1">IFERROR(__xludf.DUMMYFUNCTION("IMPORTRANGE(H22017,""IDENTITAS UNIT!D9"")"),"#N/A")</f>
        <v>#N/A</v>
      </c>
      <c r="H22017" s="4" t="str">
        <v/>
      </c>
      <c r="I22017" s="4" t="str">
        <v/>
      </c>
    </row>
    <row r="22018" spans="5:9" ht="16.5" hidden="1">
      <c r="E22018" s="4" t="str">
        <v/>
      </c>
      <c r="F22018" s="102" t="str">
        <f ca="1">IFERROR(__xludf.DUMMYFUNCTION("IMPORTRANGE(H22018,""IDENTITAS UNIT!D9"")"),"#N/A")</f>
        <v>#N/A</v>
      </c>
      <c r="H22018" s="4" t="str">
        <v/>
      </c>
      <c r="I22018" s="4" t="str">
        <v/>
      </c>
    </row>
    <row r="22019" spans="5:9" ht="16.5" hidden="1">
      <c r="E22019" s="4" t="str">
        <v/>
      </c>
      <c r="F22019" s="102" t="str">
        <f ca="1">IFERROR(__xludf.DUMMYFUNCTION("IMPORTRANGE(H22019,""IDENTITAS UNIT!D9"")"),"#N/A")</f>
        <v>#N/A</v>
      </c>
      <c r="H22019" s="4" t="str">
        <v/>
      </c>
      <c r="I22019" s="4" t="str">
        <v/>
      </c>
    </row>
    <row r="22020" spans="5:9" ht="16.5" hidden="1">
      <c r="E22020" s="4" t="str">
        <v/>
      </c>
      <c r="F22020" s="102" t="str">
        <f ca="1">IFERROR(__xludf.DUMMYFUNCTION("IMPORTRANGE(H22020,""IDENTITAS UNIT!D9"")"),"#N/A")</f>
        <v>#N/A</v>
      </c>
      <c r="H22020" s="4" t="str">
        <v/>
      </c>
      <c r="I22020" s="4" t="str">
        <v/>
      </c>
    </row>
    <row r="22021" spans="5:9" ht="16.5" hidden="1">
      <c r="E22021" s="4" t="str">
        <v/>
      </c>
      <c r="F22021" s="102" t="str">
        <f ca="1">IFERROR(__xludf.DUMMYFUNCTION("IMPORTRANGE(H22021,""IDENTITAS UNIT!D9"")"),"#N/A")</f>
        <v>#N/A</v>
      </c>
      <c r="H22021" s="4" t="str">
        <v/>
      </c>
      <c r="I22021" s="4" t="str">
        <v/>
      </c>
    </row>
    <row r="22022" spans="5:9" ht="16.5" hidden="1">
      <c r="E22022" s="4" t="str">
        <v/>
      </c>
      <c r="F22022" s="102" t="str">
        <f ca="1">IFERROR(__xludf.DUMMYFUNCTION("IMPORTRANGE(H22022,""IDENTITAS UNIT!D9"")"),"#N/A")</f>
        <v>#N/A</v>
      </c>
      <c r="H22022" s="4" t="str">
        <v/>
      </c>
      <c r="I22022" s="4" t="str">
        <v/>
      </c>
    </row>
    <row r="22023" spans="5:9" ht="16.5" hidden="1">
      <c r="E22023" s="4" t="str">
        <v/>
      </c>
      <c r="F22023" s="102" t="str">
        <f ca="1">IFERROR(__xludf.DUMMYFUNCTION("IMPORTRANGE(H22023,""IDENTITAS UNIT!D9"")"),"#N/A")</f>
        <v>#N/A</v>
      </c>
      <c r="H22023" s="4" t="str">
        <v/>
      </c>
      <c r="I22023" s="4" t="str">
        <v/>
      </c>
    </row>
    <row r="22024" spans="5:9" ht="16.5" hidden="1">
      <c r="E22024" s="4" t="str">
        <v/>
      </c>
      <c r="F22024" s="102" t="str">
        <f ca="1">IFERROR(__xludf.DUMMYFUNCTION("IMPORTRANGE(H22024,""IDENTITAS UNIT!D9"")"),"#N/A")</f>
        <v>#N/A</v>
      </c>
      <c r="H22024" s="4" t="str">
        <v/>
      </c>
      <c r="I22024" s="4" t="str">
        <v/>
      </c>
    </row>
    <row r="22025" spans="5:9" ht="16.5" hidden="1">
      <c r="E22025" s="4" t="str">
        <v/>
      </c>
      <c r="F22025" s="102" t="str">
        <f ca="1">IFERROR(__xludf.DUMMYFUNCTION("IMPORTRANGE(H22025,""IDENTITAS UNIT!D9"")"),"#N/A")</f>
        <v>#N/A</v>
      </c>
      <c r="H22025" s="4" t="str">
        <v/>
      </c>
      <c r="I22025" s="4" t="str">
        <v/>
      </c>
    </row>
    <row r="22026" spans="5:9" ht="16.5" hidden="1">
      <c r="E22026" s="4" t="str">
        <v/>
      </c>
      <c r="F22026" s="102" t="str">
        <f ca="1">IFERROR(__xludf.DUMMYFUNCTION("IMPORTRANGE(H22026,""IDENTITAS UNIT!D9"")"),"#N/A")</f>
        <v>#N/A</v>
      </c>
      <c r="H22026" s="4" t="str">
        <v/>
      </c>
      <c r="I22026" s="4" t="str">
        <v/>
      </c>
    </row>
    <row r="22027" spans="5:9" ht="16.5" hidden="1">
      <c r="E22027" s="4" t="str">
        <v/>
      </c>
      <c r="F22027" s="102" t="str">
        <f ca="1">IFERROR(__xludf.DUMMYFUNCTION("IMPORTRANGE(H22027,""IDENTITAS UNIT!D9"")"),"#N/A")</f>
        <v>#N/A</v>
      </c>
      <c r="H22027" s="4" t="str">
        <v/>
      </c>
      <c r="I22027" s="4" t="str">
        <v/>
      </c>
    </row>
    <row r="22028" spans="5:9" ht="16.5" hidden="1">
      <c r="E22028" s="4" t="str">
        <v/>
      </c>
      <c r="F22028" s="102" t="str">
        <f ca="1">IFERROR(__xludf.DUMMYFUNCTION("IMPORTRANGE(H22028,""IDENTITAS UNIT!D9"")"),"#N/A")</f>
        <v>#N/A</v>
      </c>
      <c r="H22028" s="4" t="str">
        <v/>
      </c>
      <c r="I22028" s="4" t="str">
        <v/>
      </c>
    </row>
    <row r="22029" spans="5:9" ht="16.5" hidden="1">
      <c r="E22029" s="4" t="str">
        <v/>
      </c>
      <c r="F22029" s="102" t="str">
        <f ca="1">IFERROR(__xludf.DUMMYFUNCTION("IMPORTRANGE(H22029,""IDENTITAS UNIT!D9"")"),"#N/A")</f>
        <v>#N/A</v>
      </c>
      <c r="H22029" s="4" t="str">
        <v/>
      </c>
      <c r="I22029" s="4" t="str">
        <v/>
      </c>
    </row>
    <row r="22030" spans="5:9" ht="16.5" hidden="1">
      <c r="E22030" s="4" t="str">
        <v/>
      </c>
      <c r="F22030" s="102" t="str">
        <f ca="1">IFERROR(__xludf.DUMMYFUNCTION("IMPORTRANGE(H22030,""IDENTITAS UNIT!D9"")"),"#N/A")</f>
        <v>#N/A</v>
      </c>
      <c r="H22030" s="4" t="str">
        <v/>
      </c>
      <c r="I22030" s="4" t="str">
        <v/>
      </c>
    </row>
    <row r="22031" spans="5:9" ht="16.5" hidden="1">
      <c r="E22031" s="4" t="str">
        <v/>
      </c>
      <c r="F22031" s="102" t="str">
        <f ca="1">IFERROR(__xludf.DUMMYFUNCTION("IMPORTRANGE(H22031,""IDENTITAS UNIT!D9"")"),"#N/A")</f>
        <v>#N/A</v>
      </c>
      <c r="H22031" s="4" t="str">
        <v/>
      </c>
      <c r="I22031" s="4" t="str">
        <v/>
      </c>
    </row>
    <row r="22032" spans="5:9" ht="16.5" hidden="1">
      <c r="E22032" s="4" t="str">
        <v/>
      </c>
      <c r="F22032" s="102" t="str">
        <f ca="1">IFERROR(__xludf.DUMMYFUNCTION("IMPORTRANGE(H22032,""IDENTITAS UNIT!D9"")"),"#N/A")</f>
        <v>#N/A</v>
      </c>
      <c r="H22032" s="4" t="str">
        <v/>
      </c>
      <c r="I22032" s="4" t="str">
        <v/>
      </c>
    </row>
    <row r="22033" spans="5:9" ht="16.5" hidden="1">
      <c r="E22033" s="4" t="str">
        <v/>
      </c>
      <c r="F22033" s="102" t="str">
        <f ca="1">IFERROR(__xludf.DUMMYFUNCTION("IMPORTRANGE(H22033,""IDENTITAS UNIT!D9"")"),"#N/A")</f>
        <v>#N/A</v>
      </c>
      <c r="H22033" s="4" t="str">
        <v/>
      </c>
      <c r="I22033" s="4" t="str">
        <v/>
      </c>
    </row>
    <row r="22034" spans="5:9" ht="16.5" hidden="1">
      <c r="E22034" s="4" t="str">
        <v/>
      </c>
      <c r="F22034" s="102" t="str">
        <f ca="1">IFERROR(__xludf.DUMMYFUNCTION("IMPORTRANGE(H22034,""IDENTITAS UNIT!D9"")"),"#N/A")</f>
        <v>#N/A</v>
      </c>
      <c r="H22034" s="4" t="str">
        <v/>
      </c>
      <c r="I22034" s="4" t="str">
        <v/>
      </c>
    </row>
    <row r="22035" spans="5:9" ht="16.5" hidden="1">
      <c r="E22035" s="4" t="str">
        <v/>
      </c>
      <c r="F22035" s="102" t="str">
        <f ca="1">IFERROR(__xludf.DUMMYFUNCTION("IMPORTRANGE(H22035,""IDENTITAS UNIT!D9"")"),"#N/A")</f>
        <v>#N/A</v>
      </c>
      <c r="H22035" s="4" t="str">
        <v/>
      </c>
      <c r="I22035" s="4" t="str">
        <v/>
      </c>
    </row>
    <row r="22036" spans="5:9" ht="16.5" hidden="1">
      <c r="E22036" s="4" t="str">
        <v/>
      </c>
      <c r="F22036" s="102" t="str">
        <f ca="1">IFERROR(__xludf.DUMMYFUNCTION("IMPORTRANGE(H22036,""IDENTITAS UNIT!D9"")"),"#N/A")</f>
        <v>#N/A</v>
      </c>
      <c r="H22036" s="4" t="str">
        <v/>
      </c>
      <c r="I22036" s="4" t="str">
        <v/>
      </c>
    </row>
    <row r="22037" spans="5:9" ht="16.5" hidden="1">
      <c r="E22037" s="4" t="str">
        <v/>
      </c>
      <c r="F22037" s="102" t="str">
        <f ca="1">IFERROR(__xludf.DUMMYFUNCTION("IMPORTRANGE(H22037,""IDENTITAS UNIT!D9"")"),"#N/A")</f>
        <v>#N/A</v>
      </c>
      <c r="H22037" s="4" t="str">
        <v/>
      </c>
      <c r="I22037" s="4" t="str">
        <v/>
      </c>
    </row>
    <row r="22038" spans="5:9" ht="16.5" hidden="1">
      <c r="E22038" s="4" t="str">
        <v/>
      </c>
      <c r="F22038" s="102" t="str">
        <f ca="1">IFERROR(__xludf.DUMMYFUNCTION("IMPORTRANGE(H22038,""IDENTITAS UNIT!D9"")"),"#N/A")</f>
        <v>#N/A</v>
      </c>
      <c r="H22038" s="4" t="str">
        <v/>
      </c>
      <c r="I22038" s="4" t="str">
        <v/>
      </c>
    </row>
    <row r="22039" spans="5:9" ht="16.5" hidden="1">
      <c r="E22039" s="4" t="str">
        <v/>
      </c>
      <c r="F22039" s="102" t="str">
        <f ca="1">IFERROR(__xludf.DUMMYFUNCTION("IMPORTRANGE(H22039,""IDENTITAS UNIT!D9"")"),"#N/A")</f>
        <v>#N/A</v>
      </c>
      <c r="H22039" s="4" t="str">
        <v/>
      </c>
      <c r="I22039" s="4" t="str">
        <v/>
      </c>
    </row>
    <row r="22040" spans="5:9" ht="16.5" hidden="1">
      <c r="E22040" s="4" t="str">
        <v/>
      </c>
      <c r="F22040" s="102" t="str">
        <f ca="1">IFERROR(__xludf.DUMMYFUNCTION("IMPORTRANGE(H22040,""IDENTITAS UNIT!D9"")"),"#N/A")</f>
        <v>#N/A</v>
      </c>
      <c r="H22040" s="4" t="str">
        <v/>
      </c>
      <c r="I22040" s="4" t="str">
        <v/>
      </c>
    </row>
    <row r="22041" spans="5:9" ht="16.5" hidden="1">
      <c r="E22041" s="4" t="str">
        <v/>
      </c>
      <c r="F22041" s="102" t="str">
        <f ca="1">IFERROR(__xludf.DUMMYFUNCTION("IMPORTRANGE(H22041,""IDENTITAS UNIT!D9"")"),"#N/A")</f>
        <v>#N/A</v>
      </c>
      <c r="H22041" s="4" t="str">
        <v/>
      </c>
      <c r="I22041" s="4" t="str">
        <v/>
      </c>
    </row>
    <row r="22042" spans="5:9" ht="16.5" hidden="1">
      <c r="E22042" s="4" t="str">
        <v/>
      </c>
      <c r="F22042" s="102" t="str">
        <f ca="1">IFERROR(__xludf.DUMMYFUNCTION("IMPORTRANGE(H22042,""IDENTITAS UNIT!D9"")"),"#N/A")</f>
        <v>#N/A</v>
      </c>
      <c r="H22042" s="4" t="str">
        <v/>
      </c>
      <c r="I22042" s="4" t="str">
        <v/>
      </c>
    </row>
    <row r="22043" spans="5:9" ht="16.5" hidden="1">
      <c r="E22043" s="4" t="str">
        <v/>
      </c>
      <c r="F22043" s="102" t="str">
        <f ca="1">IFERROR(__xludf.DUMMYFUNCTION("IMPORTRANGE(H22043,""IDENTITAS UNIT!D9"")"),"#N/A")</f>
        <v>#N/A</v>
      </c>
      <c r="H22043" s="4" t="str">
        <v/>
      </c>
      <c r="I22043" s="4" t="str">
        <v/>
      </c>
    </row>
    <row r="22044" spans="5:9" ht="16.5" hidden="1">
      <c r="E22044" s="4" t="str">
        <v/>
      </c>
      <c r="F22044" s="102" t="str">
        <f ca="1">IFERROR(__xludf.DUMMYFUNCTION("IMPORTRANGE(H22044,""IDENTITAS UNIT!D9"")"),"#N/A")</f>
        <v>#N/A</v>
      </c>
      <c r="H22044" s="4" t="str">
        <v/>
      </c>
      <c r="I22044" s="4" t="str">
        <v/>
      </c>
    </row>
    <row r="22045" spans="5:9" ht="16.5" hidden="1">
      <c r="E22045" s="4" t="str">
        <v/>
      </c>
      <c r="F22045" s="102" t="str">
        <f ca="1">IFERROR(__xludf.DUMMYFUNCTION("IMPORTRANGE(H22045,""IDENTITAS UNIT!D9"")"),"#N/A")</f>
        <v>#N/A</v>
      </c>
      <c r="H22045" s="4" t="str">
        <v/>
      </c>
      <c r="I22045" s="4" t="str">
        <v/>
      </c>
    </row>
    <row r="22046" spans="5:9" ht="16.5" hidden="1">
      <c r="E22046" s="4" t="str">
        <v/>
      </c>
      <c r="F22046" s="102" t="str">
        <f ca="1">IFERROR(__xludf.DUMMYFUNCTION("IMPORTRANGE(H22046,""IDENTITAS UNIT!D9"")"),"#N/A")</f>
        <v>#N/A</v>
      </c>
      <c r="H22046" s="4" t="str">
        <v/>
      </c>
      <c r="I22046" s="4" t="str">
        <v/>
      </c>
    </row>
    <row r="22047" spans="5:9" ht="16.5" hidden="1">
      <c r="E22047" s="4" t="str">
        <v/>
      </c>
      <c r="F22047" s="102" t="str">
        <f ca="1">IFERROR(__xludf.DUMMYFUNCTION("IMPORTRANGE(H22047,""IDENTITAS UNIT!D9"")"),"#N/A")</f>
        <v>#N/A</v>
      </c>
      <c r="H22047" s="4" t="str">
        <v/>
      </c>
      <c r="I22047" s="4" t="str">
        <v/>
      </c>
    </row>
    <row r="22048" spans="5:9" ht="16.5" hidden="1">
      <c r="E22048" s="4" t="str">
        <v/>
      </c>
      <c r="F22048" s="102" t="str">
        <f ca="1">IFERROR(__xludf.DUMMYFUNCTION("IMPORTRANGE(H22048,""IDENTITAS UNIT!D9"")"),"#N/A")</f>
        <v>#N/A</v>
      </c>
      <c r="H22048" s="4" t="str">
        <v/>
      </c>
      <c r="I22048" s="4" t="str">
        <v/>
      </c>
    </row>
    <row r="22049" spans="5:9" ht="16.5" hidden="1">
      <c r="E22049" s="4" t="str">
        <v/>
      </c>
      <c r="F22049" s="102" t="str">
        <f ca="1">IFERROR(__xludf.DUMMYFUNCTION("IMPORTRANGE(H22049,""IDENTITAS UNIT!D9"")"),"#N/A")</f>
        <v>#N/A</v>
      </c>
      <c r="H22049" s="4" t="str">
        <v/>
      </c>
      <c r="I22049" s="4" t="str">
        <v/>
      </c>
    </row>
    <row r="22050" spans="5:9" ht="16.5" hidden="1">
      <c r="E22050" s="4" t="str">
        <v/>
      </c>
      <c r="F22050" s="102" t="str">
        <f ca="1">IFERROR(__xludf.DUMMYFUNCTION("IMPORTRANGE(H22050,""IDENTITAS UNIT!D9"")"),"#N/A")</f>
        <v>#N/A</v>
      </c>
      <c r="H22050" s="4" t="str">
        <v/>
      </c>
      <c r="I22050" s="4" t="str">
        <v/>
      </c>
    </row>
    <row r="22051" spans="5:9" ht="16.5" hidden="1">
      <c r="E22051" s="4" t="str">
        <v/>
      </c>
      <c r="F22051" s="102" t="str">
        <f ca="1">IFERROR(__xludf.DUMMYFUNCTION("IMPORTRANGE(H22051,""IDENTITAS UNIT!D9"")"),"#N/A")</f>
        <v>#N/A</v>
      </c>
      <c r="H22051" s="4" t="str">
        <v/>
      </c>
      <c r="I22051" s="4" t="str">
        <v/>
      </c>
    </row>
    <row r="22052" spans="5:9" ht="16.5" hidden="1">
      <c r="E22052" s="4" t="str">
        <v/>
      </c>
      <c r="F22052" s="102" t="str">
        <f ca="1">IFERROR(__xludf.DUMMYFUNCTION("IMPORTRANGE(H22052,""IDENTITAS UNIT!D9"")"),"#N/A")</f>
        <v>#N/A</v>
      </c>
      <c r="H22052" s="4" t="str">
        <v/>
      </c>
      <c r="I22052" s="4" t="str">
        <v/>
      </c>
    </row>
    <row r="22053" spans="5:9" ht="16.5" hidden="1">
      <c r="E22053" s="4" t="str">
        <v/>
      </c>
      <c r="F22053" s="102" t="str">
        <f ca="1">IFERROR(__xludf.DUMMYFUNCTION("IMPORTRANGE(H22053,""IDENTITAS UNIT!D9"")"),"#N/A")</f>
        <v>#N/A</v>
      </c>
      <c r="H22053" s="4" t="str">
        <v/>
      </c>
      <c r="I22053" s="4" t="str">
        <v/>
      </c>
    </row>
    <row r="22054" spans="5:9" ht="16.5" hidden="1">
      <c r="E22054" s="4" t="str">
        <v/>
      </c>
      <c r="F22054" s="102" t="str">
        <f ca="1">IFERROR(__xludf.DUMMYFUNCTION("IMPORTRANGE(H22054,""IDENTITAS UNIT!D9"")"),"#N/A")</f>
        <v>#N/A</v>
      </c>
      <c r="H22054" s="4" t="str">
        <v/>
      </c>
      <c r="I22054" s="4" t="str">
        <v/>
      </c>
    </row>
    <row r="22055" spans="5:9" ht="16.5" hidden="1">
      <c r="E22055" s="4" t="str">
        <v/>
      </c>
      <c r="F22055" s="102" t="str">
        <f ca="1">IFERROR(__xludf.DUMMYFUNCTION("IMPORTRANGE(H22055,""IDENTITAS UNIT!D9"")"),"#N/A")</f>
        <v>#N/A</v>
      </c>
      <c r="H22055" s="4" t="str">
        <v/>
      </c>
      <c r="I22055" s="4" t="str">
        <v/>
      </c>
    </row>
    <row r="22056" spans="5:9" ht="16.5" hidden="1">
      <c r="E22056" s="4" t="str">
        <v/>
      </c>
      <c r="F22056" s="102" t="str">
        <f ca="1">IFERROR(__xludf.DUMMYFUNCTION("IMPORTRANGE(H22056,""IDENTITAS UNIT!D9"")"),"#N/A")</f>
        <v>#N/A</v>
      </c>
      <c r="H22056" s="4" t="str">
        <v/>
      </c>
      <c r="I22056" s="4" t="str">
        <v/>
      </c>
    </row>
    <row r="22057" spans="5:9" ht="16.5" hidden="1">
      <c r="E22057" s="4" t="str">
        <v/>
      </c>
      <c r="F22057" s="102" t="str">
        <f ca="1">IFERROR(__xludf.DUMMYFUNCTION("IMPORTRANGE(H22057,""IDENTITAS UNIT!D9"")"),"#N/A")</f>
        <v>#N/A</v>
      </c>
      <c r="H22057" s="4" t="str">
        <v/>
      </c>
      <c r="I22057" s="4" t="str">
        <v/>
      </c>
    </row>
    <row r="22058" spans="5:9" ht="16.5" hidden="1">
      <c r="E22058" s="4" t="str">
        <v/>
      </c>
      <c r="F22058" s="102" t="str">
        <f ca="1">IFERROR(__xludf.DUMMYFUNCTION("IMPORTRANGE(H22058,""IDENTITAS UNIT!D9"")"),"#N/A")</f>
        <v>#N/A</v>
      </c>
      <c r="H22058" s="4" t="str">
        <v/>
      </c>
      <c r="I22058" s="4" t="str">
        <v/>
      </c>
    </row>
    <row r="22059" spans="5:9" ht="16.5" hidden="1">
      <c r="E22059" s="4" t="str">
        <v/>
      </c>
      <c r="F22059" s="102" t="str">
        <f ca="1">IFERROR(__xludf.DUMMYFUNCTION("IMPORTRANGE(H22059,""IDENTITAS UNIT!D9"")"),"#N/A")</f>
        <v>#N/A</v>
      </c>
      <c r="H22059" s="4" t="str">
        <v/>
      </c>
      <c r="I22059" s="4" t="str">
        <v/>
      </c>
    </row>
    <row r="22060" spans="5:9" ht="16.5" hidden="1">
      <c r="E22060" s="4" t="str">
        <v/>
      </c>
      <c r="F22060" s="102" t="str">
        <f ca="1">IFERROR(__xludf.DUMMYFUNCTION("IMPORTRANGE(H22060,""IDENTITAS UNIT!D9"")"),"#N/A")</f>
        <v>#N/A</v>
      </c>
      <c r="H22060" s="4" t="str">
        <v/>
      </c>
      <c r="I22060" s="4" t="str">
        <v/>
      </c>
    </row>
    <row r="22061" spans="5:9" ht="16.5" hidden="1">
      <c r="E22061" s="4" t="str">
        <v/>
      </c>
      <c r="F22061" s="102" t="str">
        <f ca="1">IFERROR(__xludf.DUMMYFUNCTION("IMPORTRANGE(H22061,""IDENTITAS UNIT!D9"")"),"#N/A")</f>
        <v>#N/A</v>
      </c>
      <c r="H22061" s="4" t="str">
        <v/>
      </c>
      <c r="I22061" s="4" t="str">
        <v/>
      </c>
    </row>
    <row r="22062" spans="5:9" ht="16.5" hidden="1">
      <c r="E22062" s="4" t="str">
        <v/>
      </c>
      <c r="F22062" s="102" t="str">
        <f ca="1">IFERROR(__xludf.DUMMYFUNCTION("IMPORTRANGE(H22062,""IDENTITAS UNIT!D9"")"),"#N/A")</f>
        <v>#N/A</v>
      </c>
      <c r="H22062" s="4" t="str">
        <v/>
      </c>
      <c r="I22062" s="4" t="str">
        <v/>
      </c>
    </row>
    <row r="22063" spans="5:9" ht="16.5" hidden="1">
      <c r="E22063" s="4" t="str">
        <v/>
      </c>
      <c r="F22063" s="102" t="str">
        <f ca="1">IFERROR(__xludf.DUMMYFUNCTION("IMPORTRANGE(H22063,""IDENTITAS UNIT!D9"")"),"#N/A")</f>
        <v>#N/A</v>
      </c>
      <c r="H22063" s="4" t="str">
        <v/>
      </c>
      <c r="I22063" s="4" t="str">
        <v/>
      </c>
    </row>
    <row r="22064" spans="5:9" ht="16.5" hidden="1">
      <c r="E22064" s="4" t="str">
        <v/>
      </c>
      <c r="F22064" s="102" t="str">
        <f ca="1">IFERROR(__xludf.DUMMYFUNCTION("IMPORTRANGE(H22064,""IDENTITAS UNIT!D9"")"),"#N/A")</f>
        <v>#N/A</v>
      </c>
      <c r="H22064" s="4" t="str">
        <v/>
      </c>
      <c r="I22064" s="4" t="str">
        <v/>
      </c>
    </row>
    <row r="22065" spans="5:9" ht="16.5" hidden="1">
      <c r="E22065" s="4" t="str">
        <v/>
      </c>
      <c r="F22065" s="102" t="str">
        <f ca="1">IFERROR(__xludf.DUMMYFUNCTION("IMPORTRANGE(H22065,""IDENTITAS UNIT!D9"")"),"#N/A")</f>
        <v>#N/A</v>
      </c>
      <c r="H22065" s="4" t="str">
        <v/>
      </c>
      <c r="I22065" s="4" t="str">
        <v/>
      </c>
    </row>
    <row r="22066" spans="5:9" ht="16.5" hidden="1">
      <c r="E22066" s="4" t="str">
        <v/>
      </c>
      <c r="F22066" s="102" t="str">
        <f ca="1">IFERROR(__xludf.DUMMYFUNCTION("IMPORTRANGE(H22066,""IDENTITAS UNIT!D9"")"),"#N/A")</f>
        <v>#N/A</v>
      </c>
      <c r="H22066" s="4" t="str">
        <v/>
      </c>
      <c r="I22066" s="4" t="str">
        <v/>
      </c>
    </row>
    <row r="22067" spans="5:9" ht="16.5" hidden="1">
      <c r="E22067" s="4" t="str">
        <v/>
      </c>
      <c r="F22067" s="102" t="str">
        <f ca="1">IFERROR(__xludf.DUMMYFUNCTION("IMPORTRANGE(H22067,""IDENTITAS UNIT!D9"")"),"#N/A")</f>
        <v>#N/A</v>
      </c>
      <c r="H22067" s="4" t="str">
        <v/>
      </c>
      <c r="I22067" s="4" t="str">
        <v/>
      </c>
    </row>
    <row r="22068" spans="5:9" ht="16.5" hidden="1">
      <c r="E22068" s="4" t="str">
        <v/>
      </c>
      <c r="F22068" s="102" t="str">
        <f ca="1">IFERROR(__xludf.DUMMYFUNCTION("IMPORTRANGE(H22068,""IDENTITAS UNIT!D9"")"),"#N/A")</f>
        <v>#N/A</v>
      </c>
      <c r="H22068" s="4" t="str">
        <v/>
      </c>
      <c r="I22068" s="4" t="str">
        <v/>
      </c>
    </row>
    <row r="22069" spans="5:9" ht="16.5" hidden="1">
      <c r="E22069" s="4" t="str">
        <v/>
      </c>
      <c r="F22069" s="102" t="str">
        <f ca="1">IFERROR(__xludf.DUMMYFUNCTION("IMPORTRANGE(H22069,""IDENTITAS UNIT!D9"")"),"#N/A")</f>
        <v>#N/A</v>
      </c>
      <c r="H22069" s="4" t="str">
        <v/>
      </c>
      <c r="I22069" s="4" t="str">
        <v/>
      </c>
    </row>
    <row r="22070" spans="5:9" ht="16.5" hidden="1">
      <c r="E22070" s="4" t="str">
        <v/>
      </c>
      <c r="F22070" s="102" t="str">
        <f ca="1">IFERROR(__xludf.DUMMYFUNCTION("IMPORTRANGE(H22070,""IDENTITAS UNIT!D9"")"),"#N/A")</f>
        <v>#N/A</v>
      </c>
      <c r="H22070" s="4" t="str">
        <v/>
      </c>
      <c r="I22070" s="4" t="str">
        <v/>
      </c>
    </row>
    <row r="22071" spans="5:9" ht="16.5" hidden="1">
      <c r="E22071" s="4" t="str">
        <v/>
      </c>
      <c r="F22071" s="102" t="str">
        <f ca="1">IFERROR(__xludf.DUMMYFUNCTION("IMPORTRANGE(H22071,""IDENTITAS UNIT!D9"")"),"#N/A")</f>
        <v>#N/A</v>
      </c>
      <c r="H22071" s="4" t="str">
        <v/>
      </c>
      <c r="I22071" s="4" t="str">
        <v/>
      </c>
    </row>
    <row r="22072" spans="5:9" ht="16.5" hidden="1">
      <c r="E22072" s="4" t="str">
        <v/>
      </c>
      <c r="F22072" s="102" t="str">
        <f ca="1">IFERROR(__xludf.DUMMYFUNCTION("IMPORTRANGE(H22072,""IDENTITAS UNIT!D9"")"),"#N/A")</f>
        <v>#N/A</v>
      </c>
      <c r="H22072" s="4" t="str">
        <v/>
      </c>
      <c r="I22072" s="4" t="str">
        <v/>
      </c>
    </row>
    <row r="22073" spans="5:9" ht="16.5" hidden="1">
      <c r="E22073" s="4" t="str">
        <v/>
      </c>
      <c r="F22073" s="102" t="str">
        <f ca="1">IFERROR(__xludf.DUMMYFUNCTION("IMPORTRANGE(H22073,""IDENTITAS UNIT!D9"")"),"#N/A")</f>
        <v>#N/A</v>
      </c>
      <c r="H22073" s="4" t="str">
        <v/>
      </c>
      <c r="I22073" s="4" t="str">
        <v/>
      </c>
    </row>
    <row r="22074" spans="5:9" ht="16.5" hidden="1">
      <c r="E22074" s="4" t="str">
        <v/>
      </c>
      <c r="F22074" s="102" t="str">
        <f ca="1">IFERROR(__xludf.DUMMYFUNCTION("IMPORTRANGE(H22074,""IDENTITAS UNIT!D9"")"),"#N/A")</f>
        <v>#N/A</v>
      </c>
      <c r="H22074" s="4" t="str">
        <v/>
      </c>
      <c r="I22074" s="4" t="str">
        <v/>
      </c>
    </row>
    <row r="22075" spans="5:9" ht="16.5" hidden="1">
      <c r="E22075" s="4" t="str">
        <v/>
      </c>
      <c r="F22075" s="102" t="str">
        <f ca="1">IFERROR(__xludf.DUMMYFUNCTION("IMPORTRANGE(H22075,""IDENTITAS UNIT!D9"")"),"#N/A")</f>
        <v>#N/A</v>
      </c>
      <c r="H22075" s="4" t="str">
        <v/>
      </c>
      <c r="I22075" s="4" t="str">
        <v/>
      </c>
    </row>
    <row r="22076" spans="5:9" ht="16.5" hidden="1">
      <c r="E22076" s="4" t="str">
        <v/>
      </c>
      <c r="F22076" s="102" t="str">
        <f ca="1">IFERROR(__xludf.DUMMYFUNCTION("IMPORTRANGE(H22076,""IDENTITAS UNIT!D9"")"),"#N/A")</f>
        <v>#N/A</v>
      </c>
      <c r="H22076" s="4" t="str">
        <v/>
      </c>
      <c r="I22076" s="4" t="str">
        <v/>
      </c>
    </row>
    <row r="22077" spans="5:9" ht="16.5" hidden="1">
      <c r="E22077" s="4" t="str">
        <v/>
      </c>
      <c r="F22077" s="102" t="str">
        <f ca="1">IFERROR(__xludf.DUMMYFUNCTION("IMPORTRANGE(H22077,""IDENTITAS UNIT!D9"")"),"#N/A")</f>
        <v>#N/A</v>
      </c>
      <c r="H22077" s="4" t="str">
        <v/>
      </c>
      <c r="I22077" s="4" t="str">
        <v/>
      </c>
    </row>
    <row r="22078" spans="5:9" ht="16.5" hidden="1">
      <c r="E22078" s="4" t="str">
        <v/>
      </c>
      <c r="F22078" s="102" t="str">
        <f ca="1">IFERROR(__xludf.DUMMYFUNCTION("IMPORTRANGE(H22078,""IDENTITAS UNIT!D9"")"),"#N/A")</f>
        <v>#N/A</v>
      </c>
      <c r="H22078" s="4" t="str">
        <v/>
      </c>
      <c r="I22078" s="4" t="str">
        <v/>
      </c>
    </row>
    <row r="22079" spans="5:9" ht="16.5" hidden="1">
      <c r="E22079" s="4" t="str">
        <v/>
      </c>
      <c r="F22079" s="102" t="str">
        <f ca="1">IFERROR(__xludf.DUMMYFUNCTION("IMPORTRANGE(H22079,""IDENTITAS UNIT!D9"")"),"#N/A")</f>
        <v>#N/A</v>
      </c>
      <c r="H22079" s="4" t="str">
        <v/>
      </c>
      <c r="I22079" s="4" t="str">
        <v/>
      </c>
    </row>
    <row r="22080" spans="5:9" ht="16.5" hidden="1">
      <c r="E22080" s="4" t="str">
        <v/>
      </c>
      <c r="F22080" s="102" t="str">
        <f ca="1">IFERROR(__xludf.DUMMYFUNCTION("IMPORTRANGE(H22080,""IDENTITAS UNIT!D9"")"),"#N/A")</f>
        <v>#N/A</v>
      </c>
      <c r="H22080" s="4" t="str">
        <v/>
      </c>
      <c r="I22080" s="4" t="str">
        <v/>
      </c>
    </row>
    <row r="22081" spans="5:9" ht="16.5" hidden="1">
      <c r="E22081" s="4" t="str">
        <v/>
      </c>
      <c r="F22081" s="102" t="str">
        <f ca="1">IFERROR(__xludf.DUMMYFUNCTION("IMPORTRANGE(H22081,""IDENTITAS UNIT!D9"")"),"#N/A")</f>
        <v>#N/A</v>
      </c>
      <c r="H22081" s="4" t="str">
        <v/>
      </c>
      <c r="I22081" s="4" t="str">
        <v/>
      </c>
    </row>
    <row r="22082" spans="5:9" ht="16.5" hidden="1">
      <c r="E22082" s="4" t="str">
        <v/>
      </c>
      <c r="F22082" s="102" t="str">
        <f ca="1">IFERROR(__xludf.DUMMYFUNCTION("IMPORTRANGE(H22082,""IDENTITAS UNIT!D9"")"),"#N/A")</f>
        <v>#N/A</v>
      </c>
      <c r="H22082" s="4" t="str">
        <v/>
      </c>
      <c r="I22082" s="4" t="str">
        <v/>
      </c>
    </row>
    <row r="22083" spans="5:9" ht="16.5" hidden="1">
      <c r="E22083" s="4" t="str">
        <v/>
      </c>
      <c r="F22083" s="102" t="str">
        <f ca="1">IFERROR(__xludf.DUMMYFUNCTION("IMPORTRANGE(H22083,""IDENTITAS UNIT!D9"")"),"#N/A")</f>
        <v>#N/A</v>
      </c>
      <c r="H22083" s="4" t="str">
        <v/>
      </c>
      <c r="I22083" s="4" t="str">
        <v/>
      </c>
    </row>
    <row r="22084" spans="5:9" ht="16.5" hidden="1">
      <c r="E22084" s="4" t="str">
        <v/>
      </c>
      <c r="F22084" s="102" t="str">
        <f ca="1">IFERROR(__xludf.DUMMYFUNCTION("IMPORTRANGE(H22084,""IDENTITAS UNIT!D9"")"),"#N/A")</f>
        <v>#N/A</v>
      </c>
      <c r="H22084" s="4" t="str">
        <v/>
      </c>
      <c r="I22084" s="4" t="str">
        <v/>
      </c>
    </row>
    <row r="22085" spans="5:9" ht="16.5" hidden="1">
      <c r="E22085" s="4" t="str">
        <v/>
      </c>
      <c r="F22085" s="102" t="str">
        <f ca="1">IFERROR(__xludf.DUMMYFUNCTION("IMPORTRANGE(H22085,""IDENTITAS UNIT!D9"")"),"#N/A")</f>
        <v>#N/A</v>
      </c>
      <c r="H22085" s="4" t="str">
        <v/>
      </c>
      <c r="I22085" s="4" t="str">
        <v/>
      </c>
    </row>
    <row r="22086" spans="5:9" ht="16.5" hidden="1">
      <c r="E22086" s="4" t="str">
        <v/>
      </c>
      <c r="F22086" s="102" t="str">
        <f ca="1">IFERROR(__xludf.DUMMYFUNCTION("IMPORTRANGE(H22086,""IDENTITAS UNIT!D9"")"),"#N/A")</f>
        <v>#N/A</v>
      </c>
      <c r="H22086" s="4" t="str">
        <v/>
      </c>
      <c r="I22086" s="4" t="str">
        <v/>
      </c>
    </row>
    <row r="22087" spans="5:9" ht="16.5" hidden="1">
      <c r="E22087" s="4" t="str">
        <v/>
      </c>
      <c r="F22087" s="102" t="str">
        <f ca="1">IFERROR(__xludf.DUMMYFUNCTION("IMPORTRANGE(H22087,""IDENTITAS UNIT!D9"")"),"#N/A")</f>
        <v>#N/A</v>
      </c>
      <c r="H22087" s="4" t="str">
        <v/>
      </c>
      <c r="I22087" s="4" t="str">
        <v/>
      </c>
    </row>
    <row r="22088" spans="5:9" ht="16.5" hidden="1">
      <c r="E22088" s="4" t="str">
        <v/>
      </c>
      <c r="F22088" s="102" t="str">
        <f ca="1">IFERROR(__xludf.DUMMYFUNCTION("IMPORTRANGE(H22088,""IDENTITAS UNIT!D9"")"),"#N/A")</f>
        <v>#N/A</v>
      </c>
      <c r="H22088" s="4" t="str">
        <v/>
      </c>
      <c r="I22088" s="4" t="str">
        <v/>
      </c>
    </row>
    <row r="22089" spans="5:9" ht="16.5" hidden="1">
      <c r="E22089" s="4" t="str">
        <v/>
      </c>
      <c r="F22089" s="102" t="str">
        <f ca="1">IFERROR(__xludf.DUMMYFUNCTION("IMPORTRANGE(H22089,""IDENTITAS UNIT!D9"")"),"#N/A")</f>
        <v>#N/A</v>
      </c>
      <c r="H22089" s="4" t="str">
        <v/>
      </c>
      <c r="I22089" s="4" t="str">
        <v/>
      </c>
    </row>
    <row r="22090" spans="5:9" ht="16.5" hidden="1">
      <c r="E22090" s="4" t="str">
        <v/>
      </c>
      <c r="F22090" s="102" t="str">
        <f ca="1">IFERROR(__xludf.DUMMYFUNCTION("IMPORTRANGE(H22090,""IDENTITAS UNIT!D9"")"),"#N/A")</f>
        <v>#N/A</v>
      </c>
      <c r="H22090" s="4" t="str">
        <v/>
      </c>
      <c r="I22090" s="4" t="str">
        <v/>
      </c>
    </row>
    <row r="22091" spans="5:9" ht="16.5" hidden="1">
      <c r="E22091" s="4" t="str">
        <v/>
      </c>
      <c r="F22091" s="102" t="str">
        <f ca="1">IFERROR(__xludf.DUMMYFUNCTION("IMPORTRANGE(H22091,""IDENTITAS UNIT!D9"")"),"#N/A")</f>
        <v>#N/A</v>
      </c>
      <c r="H22091" s="4" t="str">
        <v/>
      </c>
      <c r="I22091" s="4" t="str">
        <v/>
      </c>
    </row>
    <row r="22092" spans="5:9" ht="16.5" hidden="1">
      <c r="E22092" s="4" t="str">
        <v/>
      </c>
      <c r="F22092" s="102" t="str">
        <f ca="1">IFERROR(__xludf.DUMMYFUNCTION("IMPORTRANGE(H22092,""IDENTITAS UNIT!D9"")"),"#N/A")</f>
        <v>#N/A</v>
      </c>
      <c r="H22092" s="4" t="str">
        <v/>
      </c>
      <c r="I22092" s="4" t="str">
        <v/>
      </c>
    </row>
    <row r="22093" spans="5:9" ht="16.5" hidden="1">
      <c r="E22093" s="4" t="str">
        <v/>
      </c>
      <c r="F22093" s="102" t="str">
        <f ca="1">IFERROR(__xludf.DUMMYFUNCTION("IMPORTRANGE(H22093,""IDENTITAS UNIT!D9"")"),"#N/A")</f>
        <v>#N/A</v>
      </c>
      <c r="H22093" s="4" t="str">
        <v/>
      </c>
      <c r="I22093" s="4" t="str">
        <v/>
      </c>
    </row>
    <row r="22094" spans="5:9" ht="16.5" hidden="1">
      <c r="E22094" s="4" t="str">
        <v/>
      </c>
      <c r="F22094" s="102" t="str">
        <f ca="1">IFERROR(__xludf.DUMMYFUNCTION("IMPORTRANGE(H22094,""IDENTITAS UNIT!D9"")"),"#N/A")</f>
        <v>#N/A</v>
      </c>
      <c r="H22094" s="4" t="str">
        <v/>
      </c>
      <c r="I22094" s="4" t="str">
        <v/>
      </c>
    </row>
    <row r="22095" spans="5:9" ht="16.5" hidden="1">
      <c r="E22095" s="4" t="str">
        <v/>
      </c>
      <c r="F22095" s="102" t="str">
        <f ca="1">IFERROR(__xludf.DUMMYFUNCTION("IMPORTRANGE(H22095,""IDENTITAS UNIT!D9"")"),"#N/A")</f>
        <v>#N/A</v>
      </c>
      <c r="H22095" s="4" t="str">
        <v/>
      </c>
      <c r="I22095" s="4" t="str">
        <v/>
      </c>
    </row>
    <row r="22096" spans="5:9" ht="16.5" hidden="1">
      <c r="E22096" s="4" t="str">
        <v/>
      </c>
      <c r="F22096" s="102" t="str">
        <f ca="1">IFERROR(__xludf.DUMMYFUNCTION("IMPORTRANGE(H22096,""IDENTITAS UNIT!D9"")"),"#N/A")</f>
        <v>#N/A</v>
      </c>
      <c r="H22096" s="4" t="str">
        <v/>
      </c>
      <c r="I22096" s="4" t="str">
        <v/>
      </c>
    </row>
    <row r="22097" spans="5:9" ht="16.5" hidden="1">
      <c r="E22097" s="4" t="str">
        <v/>
      </c>
      <c r="F22097" s="102" t="str">
        <f ca="1">IFERROR(__xludf.DUMMYFUNCTION("IMPORTRANGE(H22097,""IDENTITAS UNIT!D9"")"),"#N/A")</f>
        <v>#N/A</v>
      </c>
      <c r="H22097" s="4" t="str">
        <v/>
      </c>
      <c r="I22097" s="4" t="str">
        <v/>
      </c>
    </row>
    <row r="22098" spans="5:9" ht="16.5" hidden="1">
      <c r="E22098" s="4" t="str">
        <v/>
      </c>
      <c r="F22098" s="102" t="str">
        <f ca="1">IFERROR(__xludf.DUMMYFUNCTION("IMPORTRANGE(H22098,""IDENTITAS UNIT!D9"")"),"#N/A")</f>
        <v>#N/A</v>
      </c>
      <c r="H22098" s="4" t="str">
        <v/>
      </c>
      <c r="I22098" s="4" t="str">
        <v/>
      </c>
    </row>
    <row r="22099" spans="5:9" ht="16.5" hidden="1">
      <c r="E22099" s="4" t="str">
        <v/>
      </c>
      <c r="F22099" s="102" t="str">
        <f ca="1">IFERROR(__xludf.DUMMYFUNCTION("IMPORTRANGE(H22099,""IDENTITAS UNIT!D9"")"),"#N/A")</f>
        <v>#N/A</v>
      </c>
      <c r="H22099" s="4" t="str">
        <v/>
      </c>
      <c r="I22099" s="4" t="str">
        <v/>
      </c>
    </row>
    <row r="22100" spans="5:9" ht="16.5" hidden="1">
      <c r="E22100" s="4" t="str">
        <v/>
      </c>
      <c r="F22100" s="102" t="str">
        <f ca="1">IFERROR(__xludf.DUMMYFUNCTION("IMPORTRANGE(H22100,""IDENTITAS UNIT!D9"")"),"#N/A")</f>
        <v>#N/A</v>
      </c>
      <c r="H22100" s="4" t="str">
        <v/>
      </c>
      <c r="I22100" s="4" t="str">
        <v/>
      </c>
    </row>
    <row r="22101" spans="5:9" ht="16.5" hidden="1">
      <c r="E22101" s="4" t="str">
        <v/>
      </c>
      <c r="F22101" s="102" t="str">
        <f ca="1">IFERROR(__xludf.DUMMYFUNCTION("IMPORTRANGE(H22101,""IDENTITAS UNIT!D9"")"),"#N/A")</f>
        <v>#N/A</v>
      </c>
      <c r="H22101" s="4" t="str">
        <v/>
      </c>
      <c r="I22101" s="4" t="str">
        <v/>
      </c>
    </row>
    <row r="22102" spans="5:9" ht="16.5" hidden="1">
      <c r="E22102" s="4" t="str">
        <v/>
      </c>
      <c r="F22102" s="102" t="str">
        <f ca="1">IFERROR(__xludf.DUMMYFUNCTION("IMPORTRANGE(H22102,""IDENTITAS UNIT!D9"")"),"#N/A")</f>
        <v>#N/A</v>
      </c>
      <c r="H22102" s="4" t="str">
        <v/>
      </c>
      <c r="I22102" s="4" t="str">
        <v/>
      </c>
    </row>
    <row r="22103" spans="5:9" ht="16.5" hidden="1">
      <c r="E22103" s="4" t="str">
        <v/>
      </c>
      <c r="F22103" s="102" t="str">
        <f ca="1">IFERROR(__xludf.DUMMYFUNCTION("IMPORTRANGE(H22103,""IDENTITAS UNIT!D9"")"),"#N/A")</f>
        <v>#N/A</v>
      </c>
      <c r="H22103" s="4" t="str">
        <v/>
      </c>
      <c r="I22103" s="4" t="str">
        <v/>
      </c>
    </row>
    <row r="22104" spans="5:9" ht="16.5" hidden="1">
      <c r="E22104" s="4" t="str">
        <v/>
      </c>
      <c r="F22104" s="102" t="str">
        <f ca="1">IFERROR(__xludf.DUMMYFUNCTION("IMPORTRANGE(H22104,""IDENTITAS UNIT!D9"")"),"#N/A")</f>
        <v>#N/A</v>
      </c>
      <c r="H22104" s="4" t="str">
        <v/>
      </c>
      <c r="I22104" s="4" t="str">
        <v/>
      </c>
    </row>
    <row r="22105" spans="5:9" ht="16.5" hidden="1">
      <c r="E22105" s="4" t="str">
        <v/>
      </c>
      <c r="F22105" s="102" t="str">
        <f ca="1">IFERROR(__xludf.DUMMYFUNCTION("IMPORTRANGE(H22105,""IDENTITAS UNIT!D9"")"),"#N/A")</f>
        <v>#N/A</v>
      </c>
      <c r="H22105" s="4" t="str">
        <v/>
      </c>
      <c r="I22105" s="4" t="str">
        <v/>
      </c>
    </row>
    <row r="22106" spans="5:9" ht="16.5" hidden="1">
      <c r="E22106" s="4" t="str">
        <v/>
      </c>
      <c r="F22106" s="102" t="str">
        <f ca="1">IFERROR(__xludf.DUMMYFUNCTION("IMPORTRANGE(H22106,""IDENTITAS UNIT!D9"")"),"#N/A")</f>
        <v>#N/A</v>
      </c>
      <c r="H22106" s="4" t="str">
        <v/>
      </c>
      <c r="I22106" s="4" t="str">
        <v/>
      </c>
    </row>
    <row r="22107" spans="5:9" ht="16.5" hidden="1">
      <c r="E22107" s="4" t="str">
        <v/>
      </c>
      <c r="F22107" s="102" t="str">
        <f ca="1">IFERROR(__xludf.DUMMYFUNCTION("IMPORTRANGE(H22107,""IDENTITAS UNIT!D9"")"),"#N/A")</f>
        <v>#N/A</v>
      </c>
      <c r="H22107" s="4" t="str">
        <v/>
      </c>
      <c r="I22107" s="4" t="str">
        <v/>
      </c>
    </row>
    <row r="22108" spans="5:9" ht="16.5" hidden="1">
      <c r="E22108" s="4" t="str">
        <v/>
      </c>
      <c r="F22108" s="102" t="str">
        <f ca="1">IFERROR(__xludf.DUMMYFUNCTION("IMPORTRANGE(H22108,""IDENTITAS UNIT!D9"")"),"#N/A")</f>
        <v>#N/A</v>
      </c>
      <c r="H22108" s="4" t="str">
        <v/>
      </c>
      <c r="I22108" s="4" t="str">
        <v/>
      </c>
    </row>
    <row r="22109" spans="5:9" ht="16.5" hidden="1">
      <c r="E22109" s="4" t="str">
        <v/>
      </c>
      <c r="F22109" s="102" t="str">
        <f ca="1">IFERROR(__xludf.DUMMYFUNCTION("IMPORTRANGE(H22109,""IDENTITAS UNIT!D9"")"),"#N/A")</f>
        <v>#N/A</v>
      </c>
      <c r="H22109" s="4" t="str">
        <v/>
      </c>
      <c r="I22109" s="4" t="str">
        <v/>
      </c>
    </row>
    <row r="22110" spans="5:9" ht="16.5" hidden="1">
      <c r="E22110" s="4" t="str">
        <v/>
      </c>
      <c r="F22110" s="102" t="str">
        <f ca="1">IFERROR(__xludf.DUMMYFUNCTION("IMPORTRANGE(H22110,""IDENTITAS UNIT!D9"")"),"#N/A")</f>
        <v>#N/A</v>
      </c>
      <c r="H22110" s="4" t="str">
        <v/>
      </c>
      <c r="I22110" s="4" t="str">
        <v/>
      </c>
    </row>
    <row r="22111" spans="5:9" ht="16.5" hidden="1">
      <c r="E22111" s="4" t="str">
        <v/>
      </c>
      <c r="F22111" s="102" t="str">
        <f ca="1">IFERROR(__xludf.DUMMYFUNCTION("IMPORTRANGE(H22111,""IDENTITAS UNIT!D9"")"),"#N/A")</f>
        <v>#N/A</v>
      </c>
      <c r="H22111" s="4" t="str">
        <v/>
      </c>
      <c r="I22111" s="4" t="str">
        <v/>
      </c>
    </row>
    <row r="22112" spans="5:9" ht="16.5" hidden="1">
      <c r="E22112" s="4" t="str">
        <v/>
      </c>
      <c r="F22112" s="102" t="str">
        <f ca="1">IFERROR(__xludf.DUMMYFUNCTION("IMPORTRANGE(H22112,""IDENTITAS UNIT!D9"")"),"#N/A")</f>
        <v>#N/A</v>
      </c>
      <c r="H22112" s="4" t="str">
        <v/>
      </c>
      <c r="I22112" s="4" t="str">
        <v/>
      </c>
    </row>
    <row r="22113" spans="5:9" ht="16.5" hidden="1">
      <c r="E22113" s="4" t="str">
        <v/>
      </c>
      <c r="F22113" s="102" t="str">
        <f ca="1">IFERROR(__xludf.DUMMYFUNCTION("IMPORTRANGE(H22113,""IDENTITAS UNIT!D9"")"),"#N/A")</f>
        <v>#N/A</v>
      </c>
      <c r="H22113" s="4" t="str">
        <v/>
      </c>
      <c r="I22113" s="4" t="str">
        <v/>
      </c>
    </row>
    <row r="22114" spans="5:9" ht="16.5" hidden="1">
      <c r="E22114" s="4" t="str">
        <v/>
      </c>
      <c r="F22114" s="102" t="str">
        <f ca="1">IFERROR(__xludf.DUMMYFUNCTION("IMPORTRANGE(H22114,""IDENTITAS UNIT!D9"")"),"#N/A")</f>
        <v>#N/A</v>
      </c>
      <c r="H22114" s="4" t="str">
        <v/>
      </c>
      <c r="I22114" s="4" t="str">
        <v/>
      </c>
    </row>
    <row r="22115" spans="5:9" ht="16.5" hidden="1">
      <c r="E22115" s="4" t="str">
        <v/>
      </c>
      <c r="F22115" s="102" t="str">
        <f ca="1">IFERROR(__xludf.DUMMYFUNCTION("IMPORTRANGE(H22115,""IDENTITAS UNIT!D9"")"),"#N/A")</f>
        <v>#N/A</v>
      </c>
      <c r="H22115" s="4" t="str">
        <v/>
      </c>
      <c r="I22115" s="4" t="str">
        <v/>
      </c>
    </row>
    <row r="22116" spans="5:9" ht="16.5" hidden="1">
      <c r="E22116" s="4" t="str">
        <v/>
      </c>
      <c r="F22116" s="102" t="str">
        <f ca="1">IFERROR(__xludf.DUMMYFUNCTION("IMPORTRANGE(H22116,""IDENTITAS UNIT!D9"")"),"#N/A")</f>
        <v>#N/A</v>
      </c>
      <c r="H22116" s="4" t="str">
        <v/>
      </c>
      <c r="I22116" s="4" t="str">
        <v/>
      </c>
    </row>
    <row r="22117" spans="5:9" ht="16.5" hidden="1">
      <c r="E22117" s="4" t="str">
        <v/>
      </c>
      <c r="F22117" s="102" t="str">
        <f ca="1">IFERROR(__xludf.DUMMYFUNCTION("IMPORTRANGE(H22117,""IDENTITAS UNIT!D9"")"),"#N/A")</f>
        <v>#N/A</v>
      </c>
      <c r="H22117" s="4" t="str">
        <v/>
      </c>
      <c r="I22117" s="4" t="str">
        <v/>
      </c>
    </row>
    <row r="22118" spans="5:9" ht="16.5" hidden="1">
      <c r="E22118" s="4" t="str">
        <v/>
      </c>
      <c r="F22118" s="102" t="str">
        <f ca="1">IFERROR(__xludf.DUMMYFUNCTION("IMPORTRANGE(H22118,""IDENTITAS UNIT!D9"")"),"#N/A")</f>
        <v>#N/A</v>
      </c>
      <c r="H22118" s="4" t="str">
        <v/>
      </c>
      <c r="I22118" s="4" t="str">
        <v/>
      </c>
    </row>
    <row r="22119" spans="5:9" ht="16.5" hidden="1">
      <c r="E22119" s="4" t="str">
        <v/>
      </c>
      <c r="F22119" s="102" t="str">
        <f ca="1">IFERROR(__xludf.DUMMYFUNCTION("IMPORTRANGE(H22119,""IDENTITAS UNIT!D9"")"),"#N/A")</f>
        <v>#N/A</v>
      </c>
      <c r="H22119" s="4" t="str">
        <v/>
      </c>
      <c r="I22119" s="4" t="str">
        <v/>
      </c>
    </row>
    <row r="22120" spans="5:9" ht="16.5" hidden="1">
      <c r="E22120" s="4" t="str">
        <v/>
      </c>
      <c r="F22120" s="102" t="str">
        <f ca="1">IFERROR(__xludf.DUMMYFUNCTION("IMPORTRANGE(H22120,""IDENTITAS UNIT!D9"")"),"#N/A")</f>
        <v>#N/A</v>
      </c>
      <c r="H22120" s="4" t="str">
        <v/>
      </c>
      <c r="I22120" s="4" t="str">
        <v/>
      </c>
    </row>
    <row r="22121" spans="5:9" ht="16.5" hidden="1">
      <c r="E22121" s="4" t="str">
        <v/>
      </c>
      <c r="F22121" s="102" t="str">
        <f ca="1">IFERROR(__xludf.DUMMYFUNCTION("IMPORTRANGE(H22121,""IDENTITAS UNIT!D9"")"),"#N/A")</f>
        <v>#N/A</v>
      </c>
      <c r="H22121" s="4" t="str">
        <v/>
      </c>
      <c r="I22121" s="4" t="str">
        <v/>
      </c>
    </row>
    <row r="22122" spans="5:9" ht="16.5" hidden="1">
      <c r="E22122" s="4" t="str">
        <v/>
      </c>
      <c r="F22122" s="102" t="str">
        <f ca="1">IFERROR(__xludf.DUMMYFUNCTION("IMPORTRANGE(H22122,""IDENTITAS UNIT!D9"")"),"#N/A")</f>
        <v>#N/A</v>
      </c>
      <c r="H22122" s="4" t="str">
        <v/>
      </c>
      <c r="I22122" s="4" t="str">
        <v/>
      </c>
    </row>
    <row r="22123" spans="5:9" ht="16.5" hidden="1">
      <c r="E22123" s="4" t="str">
        <v/>
      </c>
      <c r="F22123" s="102" t="str">
        <f ca="1">IFERROR(__xludf.DUMMYFUNCTION("IMPORTRANGE(H22123,""IDENTITAS UNIT!D9"")"),"#N/A")</f>
        <v>#N/A</v>
      </c>
      <c r="H22123" s="4" t="str">
        <v/>
      </c>
      <c r="I22123" s="4" t="str">
        <v/>
      </c>
    </row>
    <row r="22124" spans="5:9" ht="16.5" hidden="1">
      <c r="E22124" s="4" t="str">
        <v/>
      </c>
      <c r="F22124" s="102" t="str">
        <f ca="1">IFERROR(__xludf.DUMMYFUNCTION("IMPORTRANGE(H22124,""IDENTITAS UNIT!D9"")"),"#N/A")</f>
        <v>#N/A</v>
      </c>
      <c r="H22124" s="4" t="str">
        <v/>
      </c>
      <c r="I22124" s="4" t="str">
        <v/>
      </c>
    </row>
    <row r="22125" spans="5:9" ht="16.5" hidden="1">
      <c r="E22125" s="4" t="str">
        <v/>
      </c>
      <c r="F22125" s="102" t="str">
        <f ca="1">IFERROR(__xludf.DUMMYFUNCTION("IMPORTRANGE(H22125,""IDENTITAS UNIT!D9"")"),"#N/A")</f>
        <v>#N/A</v>
      </c>
      <c r="H22125" s="4" t="str">
        <v/>
      </c>
      <c r="I22125" s="4" t="str">
        <v/>
      </c>
    </row>
    <row r="22126" spans="5:9" ht="16.5" hidden="1">
      <c r="E22126" s="4" t="str">
        <v/>
      </c>
      <c r="F22126" s="102" t="str">
        <f ca="1">IFERROR(__xludf.DUMMYFUNCTION("IMPORTRANGE(H22126,""IDENTITAS UNIT!D9"")"),"#N/A")</f>
        <v>#N/A</v>
      </c>
      <c r="H22126" s="4" t="str">
        <v/>
      </c>
      <c r="I22126" s="4" t="str">
        <v/>
      </c>
    </row>
    <row r="22127" spans="5:9" ht="16.5" hidden="1">
      <c r="E22127" s="4" t="str">
        <v/>
      </c>
      <c r="F22127" s="102" t="str">
        <f ca="1">IFERROR(__xludf.DUMMYFUNCTION("IMPORTRANGE(H22127,""IDENTITAS UNIT!D9"")"),"#N/A")</f>
        <v>#N/A</v>
      </c>
      <c r="H22127" s="4" t="str">
        <v/>
      </c>
      <c r="I22127" s="4" t="str">
        <v/>
      </c>
    </row>
    <row r="22128" spans="5:9" ht="16.5" hidden="1">
      <c r="E22128" s="4" t="str">
        <v/>
      </c>
      <c r="F22128" s="102" t="str">
        <f ca="1">IFERROR(__xludf.DUMMYFUNCTION("IMPORTRANGE(H22128,""IDENTITAS UNIT!D9"")"),"#N/A")</f>
        <v>#N/A</v>
      </c>
      <c r="H22128" s="4" t="str">
        <v/>
      </c>
      <c r="I22128" s="4" t="str">
        <v/>
      </c>
    </row>
    <row r="22129" spans="5:9" ht="16.5" hidden="1">
      <c r="E22129" s="4" t="str">
        <v/>
      </c>
      <c r="F22129" s="102" t="str">
        <f ca="1">IFERROR(__xludf.DUMMYFUNCTION("IMPORTRANGE(H22129,""IDENTITAS UNIT!D9"")"),"#N/A")</f>
        <v>#N/A</v>
      </c>
      <c r="H22129" s="4" t="str">
        <v/>
      </c>
      <c r="I22129" s="4" t="str">
        <v/>
      </c>
    </row>
    <row r="22130" spans="5:9" ht="16.5" hidden="1">
      <c r="E22130" s="4" t="str">
        <v/>
      </c>
      <c r="F22130" s="102" t="str">
        <f ca="1">IFERROR(__xludf.DUMMYFUNCTION("IMPORTRANGE(H22130,""IDENTITAS UNIT!D9"")"),"#N/A")</f>
        <v>#N/A</v>
      </c>
      <c r="H22130" s="4" t="str">
        <v/>
      </c>
      <c r="I22130" s="4" t="str">
        <v/>
      </c>
    </row>
    <row r="22131" spans="5:9" ht="16.5" hidden="1">
      <c r="E22131" s="4" t="str">
        <v/>
      </c>
      <c r="F22131" s="102" t="str">
        <f ca="1">IFERROR(__xludf.DUMMYFUNCTION("IMPORTRANGE(H22131,""IDENTITAS UNIT!D9"")"),"#N/A")</f>
        <v>#N/A</v>
      </c>
      <c r="H22131" s="4" t="str">
        <v/>
      </c>
      <c r="I22131" s="4" t="str">
        <v/>
      </c>
    </row>
    <row r="22132" spans="5:9" ht="16.5" hidden="1">
      <c r="E22132" s="4" t="str">
        <v/>
      </c>
      <c r="F22132" s="102" t="str">
        <f ca="1">IFERROR(__xludf.DUMMYFUNCTION("IMPORTRANGE(H22132,""IDENTITAS UNIT!D9"")"),"#N/A")</f>
        <v>#N/A</v>
      </c>
      <c r="H22132" s="4" t="str">
        <v/>
      </c>
      <c r="I22132" s="4" t="str">
        <v/>
      </c>
    </row>
    <row r="22133" spans="5:9" ht="16.5" hidden="1">
      <c r="E22133" s="4" t="str">
        <v/>
      </c>
      <c r="F22133" s="102" t="str">
        <f ca="1">IFERROR(__xludf.DUMMYFUNCTION("IMPORTRANGE(H22133,""IDENTITAS UNIT!D9"")"),"#N/A")</f>
        <v>#N/A</v>
      </c>
      <c r="H22133" s="4" t="str">
        <v/>
      </c>
      <c r="I22133" s="4" t="str">
        <v/>
      </c>
    </row>
    <row r="22134" spans="5:9" ht="16.5" hidden="1">
      <c r="E22134" s="4" t="str">
        <v/>
      </c>
      <c r="F22134" s="102" t="str">
        <f ca="1">IFERROR(__xludf.DUMMYFUNCTION("IMPORTRANGE(H22134,""IDENTITAS UNIT!D9"")"),"#N/A")</f>
        <v>#N/A</v>
      </c>
      <c r="H22134" s="4" t="str">
        <v/>
      </c>
      <c r="I22134" s="4" t="str">
        <v/>
      </c>
    </row>
    <row r="22135" spans="5:9" ht="16.5" hidden="1">
      <c r="E22135" s="4" t="str">
        <v/>
      </c>
      <c r="F22135" s="102" t="str">
        <f ca="1">IFERROR(__xludf.DUMMYFUNCTION("IMPORTRANGE(H22135,""IDENTITAS UNIT!D9"")"),"#N/A")</f>
        <v>#N/A</v>
      </c>
      <c r="H22135" s="4" t="str">
        <v/>
      </c>
      <c r="I22135" s="4" t="str">
        <v/>
      </c>
    </row>
    <row r="22136" spans="5:9" ht="16.5" hidden="1">
      <c r="E22136" s="4" t="str">
        <v/>
      </c>
      <c r="F22136" s="102" t="str">
        <f ca="1">IFERROR(__xludf.DUMMYFUNCTION("IMPORTRANGE(H22136,""IDENTITAS UNIT!D9"")"),"#N/A")</f>
        <v>#N/A</v>
      </c>
      <c r="H22136" s="4" t="str">
        <v/>
      </c>
      <c r="I22136" s="4" t="str">
        <v/>
      </c>
    </row>
    <row r="22137" spans="5:9" ht="16.5" hidden="1">
      <c r="E22137" s="4" t="str">
        <v/>
      </c>
      <c r="F22137" s="102" t="str">
        <f ca="1">IFERROR(__xludf.DUMMYFUNCTION("IMPORTRANGE(H22137,""IDENTITAS UNIT!D9"")"),"#N/A")</f>
        <v>#N/A</v>
      </c>
      <c r="H22137" s="4" t="str">
        <v/>
      </c>
      <c r="I22137" s="4" t="str">
        <v/>
      </c>
    </row>
    <row r="22138" spans="5:9" ht="16.5" hidden="1">
      <c r="E22138" s="4" t="str">
        <v/>
      </c>
      <c r="F22138" s="102" t="str">
        <f ca="1">IFERROR(__xludf.DUMMYFUNCTION("IMPORTRANGE(H22138,""IDENTITAS UNIT!D9"")"),"#N/A")</f>
        <v>#N/A</v>
      </c>
      <c r="H22138" s="4" t="str">
        <v/>
      </c>
      <c r="I22138" s="4" t="str">
        <v/>
      </c>
    </row>
    <row r="22139" spans="5:9" ht="16.5" hidden="1">
      <c r="E22139" s="4" t="str">
        <v/>
      </c>
      <c r="F22139" s="102" t="str">
        <f ca="1">IFERROR(__xludf.DUMMYFUNCTION("IMPORTRANGE(H22139,""IDENTITAS UNIT!D9"")"),"#N/A")</f>
        <v>#N/A</v>
      </c>
      <c r="H22139" s="4" t="str">
        <v/>
      </c>
      <c r="I22139" s="4" t="str">
        <v/>
      </c>
    </row>
    <row r="22140" spans="5:9" ht="16.5" hidden="1">
      <c r="E22140" s="4" t="str">
        <v/>
      </c>
      <c r="F22140" s="102" t="str">
        <f ca="1">IFERROR(__xludf.DUMMYFUNCTION("IMPORTRANGE(H22140,""IDENTITAS UNIT!D9"")"),"#N/A")</f>
        <v>#N/A</v>
      </c>
      <c r="H22140" s="4" t="str">
        <v/>
      </c>
      <c r="I22140" s="4" t="str">
        <v/>
      </c>
    </row>
    <row r="22141" spans="5:9" ht="16.5" hidden="1">
      <c r="E22141" s="4" t="str">
        <v/>
      </c>
      <c r="F22141" s="102" t="str">
        <f ca="1">IFERROR(__xludf.DUMMYFUNCTION("IMPORTRANGE(H22141,""IDENTITAS UNIT!D9"")"),"#N/A")</f>
        <v>#N/A</v>
      </c>
      <c r="H22141" s="4" t="str">
        <v/>
      </c>
      <c r="I22141" s="4" t="str">
        <v/>
      </c>
    </row>
    <row r="22142" spans="5:9" ht="16.5" hidden="1">
      <c r="E22142" s="4" t="str">
        <v/>
      </c>
      <c r="F22142" s="102" t="str">
        <f ca="1">IFERROR(__xludf.DUMMYFUNCTION("IMPORTRANGE(H22142,""IDENTITAS UNIT!D9"")"),"#N/A")</f>
        <v>#N/A</v>
      </c>
      <c r="H22142" s="4" t="str">
        <v/>
      </c>
      <c r="I22142" s="4" t="str">
        <v/>
      </c>
    </row>
    <row r="22143" spans="5:9" ht="16.5" hidden="1">
      <c r="E22143" s="4" t="str">
        <v/>
      </c>
      <c r="F22143" s="102" t="str">
        <f ca="1">IFERROR(__xludf.DUMMYFUNCTION("IMPORTRANGE(H22143,""IDENTITAS UNIT!D9"")"),"#N/A")</f>
        <v>#N/A</v>
      </c>
      <c r="H22143" s="4" t="str">
        <v/>
      </c>
      <c r="I22143" s="4" t="str">
        <v/>
      </c>
    </row>
    <row r="22144" spans="5:9" ht="16.5" hidden="1">
      <c r="E22144" s="4" t="str">
        <v/>
      </c>
      <c r="F22144" s="102" t="str">
        <f ca="1">IFERROR(__xludf.DUMMYFUNCTION("IMPORTRANGE(H22144,""IDENTITAS UNIT!D9"")"),"#N/A")</f>
        <v>#N/A</v>
      </c>
      <c r="H22144" s="4" t="str">
        <v/>
      </c>
      <c r="I22144" s="4" t="str">
        <v/>
      </c>
    </row>
    <row r="22145" spans="5:9" ht="16.5" hidden="1">
      <c r="E22145" s="4" t="str">
        <v/>
      </c>
      <c r="F22145" s="102" t="str">
        <f ca="1">IFERROR(__xludf.DUMMYFUNCTION("IMPORTRANGE(H22145,""IDENTITAS UNIT!D9"")"),"#N/A")</f>
        <v>#N/A</v>
      </c>
      <c r="H22145" s="4" t="str">
        <v/>
      </c>
      <c r="I22145" s="4" t="str">
        <v/>
      </c>
    </row>
    <row r="22146" spans="5:9" ht="16.5" hidden="1">
      <c r="E22146" s="4" t="str">
        <v/>
      </c>
      <c r="F22146" s="102" t="str">
        <f ca="1">IFERROR(__xludf.DUMMYFUNCTION("IMPORTRANGE(H22146,""IDENTITAS UNIT!D9"")"),"#N/A")</f>
        <v>#N/A</v>
      </c>
      <c r="H22146" s="4" t="str">
        <v/>
      </c>
      <c r="I22146" s="4" t="str">
        <v/>
      </c>
    </row>
    <row r="22147" spans="5:9" ht="16.5" hidden="1">
      <c r="E22147" s="4" t="str">
        <v/>
      </c>
      <c r="F22147" s="102" t="str">
        <f ca="1">IFERROR(__xludf.DUMMYFUNCTION("IMPORTRANGE(H22147,""IDENTITAS UNIT!D9"")"),"#N/A")</f>
        <v>#N/A</v>
      </c>
      <c r="H22147" s="4" t="str">
        <v/>
      </c>
      <c r="I22147" s="4" t="str">
        <v/>
      </c>
    </row>
    <row r="22148" spans="5:9" ht="16.5" hidden="1">
      <c r="E22148" s="4" t="str">
        <v/>
      </c>
      <c r="F22148" s="102" t="str">
        <f ca="1">IFERROR(__xludf.DUMMYFUNCTION("IMPORTRANGE(H22148,""IDENTITAS UNIT!D9"")"),"#N/A")</f>
        <v>#N/A</v>
      </c>
      <c r="H22148" s="4" t="str">
        <v/>
      </c>
      <c r="I22148" s="4" t="str">
        <v/>
      </c>
    </row>
    <row r="22149" spans="5:9" ht="16.5" hidden="1">
      <c r="E22149" s="4" t="str">
        <v/>
      </c>
      <c r="F22149" s="102" t="str">
        <f ca="1">IFERROR(__xludf.DUMMYFUNCTION("IMPORTRANGE(H22149,""IDENTITAS UNIT!D9"")"),"#N/A")</f>
        <v>#N/A</v>
      </c>
      <c r="H22149" s="4" t="str">
        <v/>
      </c>
      <c r="I22149" s="4" t="str">
        <v/>
      </c>
    </row>
    <row r="22150" spans="5:9" ht="16.5" hidden="1">
      <c r="E22150" s="4" t="str">
        <v/>
      </c>
      <c r="F22150" s="102" t="str">
        <f ca="1">IFERROR(__xludf.DUMMYFUNCTION("IMPORTRANGE(H22150,""IDENTITAS UNIT!D9"")"),"#N/A")</f>
        <v>#N/A</v>
      </c>
      <c r="H22150" s="4" t="str">
        <v/>
      </c>
      <c r="I22150" s="4" t="str">
        <v/>
      </c>
    </row>
    <row r="22151" spans="5:9" ht="16.5" hidden="1">
      <c r="E22151" s="4" t="str">
        <v/>
      </c>
      <c r="F22151" s="102" t="str">
        <f ca="1">IFERROR(__xludf.DUMMYFUNCTION("IMPORTRANGE(H22151,""IDENTITAS UNIT!D9"")"),"#N/A")</f>
        <v>#N/A</v>
      </c>
      <c r="H22151" s="4" t="str">
        <v/>
      </c>
      <c r="I22151" s="4" t="str">
        <v/>
      </c>
    </row>
    <row r="22152" spans="5:9" ht="16.5" hidden="1">
      <c r="E22152" s="4" t="str">
        <v/>
      </c>
      <c r="F22152" s="102" t="str">
        <f ca="1">IFERROR(__xludf.DUMMYFUNCTION("IMPORTRANGE(H22152,""IDENTITAS UNIT!D9"")"),"#N/A")</f>
        <v>#N/A</v>
      </c>
      <c r="H22152" s="4" t="str">
        <v/>
      </c>
      <c r="I22152" s="4" t="str">
        <v/>
      </c>
    </row>
    <row r="22153" spans="5:9" ht="16.5" hidden="1">
      <c r="E22153" s="4" t="str">
        <v/>
      </c>
      <c r="F22153" s="102" t="str">
        <f ca="1">IFERROR(__xludf.DUMMYFUNCTION("IMPORTRANGE(H22153,""IDENTITAS UNIT!D9"")"),"#N/A")</f>
        <v>#N/A</v>
      </c>
      <c r="H22153" s="4" t="str">
        <v/>
      </c>
      <c r="I22153" s="4" t="str">
        <v/>
      </c>
    </row>
    <row r="22154" spans="5:9" ht="16.5" hidden="1">
      <c r="E22154" s="4" t="str">
        <v/>
      </c>
      <c r="F22154" s="102" t="str">
        <f ca="1">IFERROR(__xludf.DUMMYFUNCTION("IMPORTRANGE(H22154,""IDENTITAS UNIT!D9"")"),"#N/A")</f>
        <v>#N/A</v>
      </c>
      <c r="H22154" s="4" t="str">
        <v/>
      </c>
      <c r="I22154" s="4" t="str">
        <v/>
      </c>
    </row>
    <row r="22155" spans="5:9" ht="16.5" hidden="1">
      <c r="E22155" s="4" t="str">
        <v/>
      </c>
      <c r="F22155" s="102" t="str">
        <f ca="1">IFERROR(__xludf.DUMMYFUNCTION("IMPORTRANGE(H22155,""IDENTITAS UNIT!D9"")"),"#N/A")</f>
        <v>#N/A</v>
      </c>
      <c r="H22155" s="4" t="str">
        <v/>
      </c>
      <c r="I22155" s="4" t="str">
        <v/>
      </c>
    </row>
    <row r="22156" spans="5:9" ht="16.5" hidden="1">
      <c r="E22156" s="4" t="str">
        <v/>
      </c>
      <c r="F22156" s="102" t="str">
        <f ca="1">IFERROR(__xludf.DUMMYFUNCTION("IMPORTRANGE(H22156,""IDENTITAS UNIT!D9"")"),"#N/A")</f>
        <v>#N/A</v>
      </c>
      <c r="H22156" s="4" t="str">
        <v/>
      </c>
      <c r="I22156" s="4" t="str">
        <v/>
      </c>
    </row>
    <row r="22157" spans="5:9" ht="16.5" hidden="1">
      <c r="E22157" s="4" t="str">
        <v/>
      </c>
      <c r="F22157" s="102" t="str">
        <f ca="1">IFERROR(__xludf.DUMMYFUNCTION("IMPORTRANGE(H22157,""IDENTITAS UNIT!D9"")"),"#N/A")</f>
        <v>#N/A</v>
      </c>
      <c r="H22157" s="4" t="str">
        <v/>
      </c>
      <c r="I22157" s="4" t="str">
        <v/>
      </c>
    </row>
    <row r="22158" spans="5:9" ht="16.5" hidden="1">
      <c r="E22158" s="4" t="str">
        <v/>
      </c>
      <c r="F22158" s="102" t="str">
        <f ca="1">IFERROR(__xludf.DUMMYFUNCTION("IMPORTRANGE(H22158,""IDENTITAS UNIT!D9"")"),"#N/A")</f>
        <v>#N/A</v>
      </c>
      <c r="H22158" s="4" t="str">
        <v/>
      </c>
      <c r="I22158" s="4" t="str">
        <v/>
      </c>
    </row>
    <row r="22159" spans="5:9" ht="16.5" hidden="1">
      <c r="E22159" s="4" t="str">
        <v/>
      </c>
      <c r="F22159" s="102" t="str">
        <f ca="1">IFERROR(__xludf.DUMMYFUNCTION("IMPORTRANGE(H22159,""IDENTITAS UNIT!D9"")"),"#N/A")</f>
        <v>#N/A</v>
      </c>
      <c r="H22159" s="4" t="str">
        <v/>
      </c>
      <c r="I22159" s="4" t="str">
        <v/>
      </c>
    </row>
    <row r="22160" spans="5:9" ht="16.5" hidden="1">
      <c r="E22160" s="4" t="str">
        <v/>
      </c>
      <c r="F22160" s="102" t="str">
        <f ca="1">IFERROR(__xludf.DUMMYFUNCTION("IMPORTRANGE(H22160,""IDENTITAS UNIT!D9"")"),"#N/A")</f>
        <v>#N/A</v>
      </c>
      <c r="H22160" s="4" t="str">
        <v/>
      </c>
      <c r="I22160" s="4" t="str">
        <v/>
      </c>
    </row>
    <row r="22161" spans="5:9" ht="16.5" hidden="1">
      <c r="E22161" s="4" t="str">
        <v/>
      </c>
      <c r="F22161" s="102" t="str">
        <f ca="1">IFERROR(__xludf.DUMMYFUNCTION("IMPORTRANGE(H22161,""IDENTITAS UNIT!D9"")"),"#N/A")</f>
        <v>#N/A</v>
      </c>
      <c r="H22161" s="4" t="str">
        <v/>
      </c>
      <c r="I22161" s="4" t="str">
        <v/>
      </c>
    </row>
    <row r="22162" spans="5:9" ht="16.5" hidden="1">
      <c r="E22162" s="4" t="str">
        <v/>
      </c>
      <c r="F22162" s="102" t="str">
        <f ca="1">IFERROR(__xludf.DUMMYFUNCTION("IMPORTRANGE(H22162,""IDENTITAS UNIT!D9"")"),"#N/A")</f>
        <v>#N/A</v>
      </c>
      <c r="H22162" s="4" t="str">
        <v/>
      </c>
      <c r="I22162" s="4" t="str">
        <v/>
      </c>
    </row>
    <row r="22163" spans="5:9" ht="16.5" hidden="1">
      <c r="E22163" s="4" t="str">
        <v/>
      </c>
      <c r="F22163" s="102" t="str">
        <f ca="1">IFERROR(__xludf.DUMMYFUNCTION("IMPORTRANGE(H22163,""IDENTITAS UNIT!D9"")"),"#N/A")</f>
        <v>#N/A</v>
      </c>
      <c r="H22163" s="4" t="str">
        <v/>
      </c>
      <c r="I22163" s="4" t="str">
        <v/>
      </c>
    </row>
    <row r="22164" spans="5:9" ht="16.5" hidden="1">
      <c r="E22164" s="4" t="str">
        <v/>
      </c>
      <c r="F22164" s="102" t="str">
        <f ca="1">IFERROR(__xludf.DUMMYFUNCTION("IMPORTRANGE(H22164,""IDENTITAS UNIT!D9"")"),"#N/A")</f>
        <v>#N/A</v>
      </c>
      <c r="H22164" s="4" t="str">
        <v/>
      </c>
      <c r="I22164" s="4" t="str">
        <v/>
      </c>
    </row>
    <row r="22165" spans="5:9" ht="16.5" hidden="1">
      <c r="E22165" s="4" t="str">
        <v/>
      </c>
      <c r="F22165" s="102" t="str">
        <f ca="1">IFERROR(__xludf.DUMMYFUNCTION("IMPORTRANGE(H22165,""IDENTITAS UNIT!D9"")"),"#N/A")</f>
        <v>#N/A</v>
      </c>
      <c r="H22165" s="4" t="str">
        <v/>
      </c>
      <c r="I22165" s="4" t="str">
        <v/>
      </c>
    </row>
    <row r="22166" spans="5:9" ht="16.5" hidden="1">
      <c r="E22166" s="4" t="str">
        <v/>
      </c>
      <c r="F22166" s="102" t="str">
        <f ca="1">IFERROR(__xludf.DUMMYFUNCTION("IMPORTRANGE(H22166,""IDENTITAS UNIT!D9"")"),"#N/A")</f>
        <v>#N/A</v>
      </c>
      <c r="H22166" s="4" t="str">
        <v/>
      </c>
      <c r="I22166" s="4" t="str">
        <v/>
      </c>
    </row>
    <row r="22167" spans="5:9" ht="16.5" hidden="1">
      <c r="E22167" s="4" t="str">
        <v/>
      </c>
      <c r="F22167" s="102" t="str">
        <f ca="1">IFERROR(__xludf.DUMMYFUNCTION("IMPORTRANGE(H22167,""IDENTITAS UNIT!D9"")"),"#N/A")</f>
        <v>#N/A</v>
      </c>
      <c r="H22167" s="4" t="str">
        <v/>
      </c>
      <c r="I22167" s="4" t="str">
        <v/>
      </c>
    </row>
    <row r="22168" spans="5:9" ht="16.5" hidden="1">
      <c r="E22168" s="4" t="str">
        <v/>
      </c>
      <c r="F22168" s="102" t="str">
        <f ca="1">IFERROR(__xludf.DUMMYFUNCTION("IMPORTRANGE(H22168,""IDENTITAS UNIT!D9"")"),"#N/A")</f>
        <v>#N/A</v>
      </c>
      <c r="H22168" s="4" t="str">
        <v/>
      </c>
      <c r="I22168" s="4" t="str">
        <v/>
      </c>
    </row>
    <row r="22169" spans="5:9" ht="16.5" hidden="1">
      <c r="E22169" s="4" t="str">
        <v/>
      </c>
      <c r="F22169" s="102" t="str">
        <f ca="1">IFERROR(__xludf.DUMMYFUNCTION("IMPORTRANGE(H22169,""IDENTITAS UNIT!D9"")"),"#N/A")</f>
        <v>#N/A</v>
      </c>
      <c r="H22169" s="4" t="str">
        <v/>
      </c>
      <c r="I22169" s="4" t="str">
        <v/>
      </c>
    </row>
    <row r="22170" spans="5:9" ht="16.5" hidden="1">
      <c r="E22170" s="4" t="str">
        <v/>
      </c>
      <c r="F22170" s="102" t="str">
        <f ca="1">IFERROR(__xludf.DUMMYFUNCTION("IMPORTRANGE(H22170,""IDENTITAS UNIT!D9"")"),"#N/A")</f>
        <v>#N/A</v>
      </c>
      <c r="H22170" s="4" t="str">
        <v/>
      </c>
      <c r="I22170" s="4" t="str">
        <v/>
      </c>
    </row>
    <row r="22171" spans="5:9" ht="16.5" hidden="1">
      <c r="E22171" s="4" t="str">
        <v/>
      </c>
      <c r="F22171" s="102" t="str">
        <f ca="1">IFERROR(__xludf.DUMMYFUNCTION("IMPORTRANGE(H22171,""IDENTITAS UNIT!D9"")"),"#N/A")</f>
        <v>#N/A</v>
      </c>
      <c r="H22171" s="4" t="str">
        <v/>
      </c>
      <c r="I22171" s="4" t="str">
        <v/>
      </c>
    </row>
    <row r="22172" spans="5:9" ht="16.5" hidden="1">
      <c r="E22172" s="4" t="str">
        <v/>
      </c>
      <c r="F22172" s="102" t="str">
        <f ca="1">IFERROR(__xludf.DUMMYFUNCTION("IMPORTRANGE(H22172,""IDENTITAS UNIT!D9"")"),"#N/A")</f>
        <v>#N/A</v>
      </c>
      <c r="H22172" s="4" t="str">
        <v/>
      </c>
      <c r="I22172" s="4" t="str">
        <v/>
      </c>
    </row>
    <row r="22173" spans="5:9" ht="16.5" hidden="1">
      <c r="E22173" s="4" t="str">
        <v/>
      </c>
      <c r="F22173" s="102" t="str">
        <f ca="1">IFERROR(__xludf.DUMMYFUNCTION("IMPORTRANGE(H22173,""IDENTITAS UNIT!D9"")"),"#N/A")</f>
        <v>#N/A</v>
      </c>
      <c r="H22173" s="4" t="str">
        <v/>
      </c>
      <c r="I22173" s="4" t="str">
        <v/>
      </c>
    </row>
    <row r="22174" spans="5:9" ht="16.5" hidden="1">
      <c r="E22174" s="4" t="str">
        <v/>
      </c>
      <c r="F22174" s="102" t="str">
        <f ca="1">IFERROR(__xludf.DUMMYFUNCTION("IMPORTRANGE(H22174,""IDENTITAS UNIT!D9"")"),"#N/A")</f>
        <v>#N/A</v>
      </c>
      <c r="H22174" s="4" t="str">
        <v/>
      </c>
      <c r="I22174" s="4" t="str">
        <v/>
      </c>
    </row>
    <row r="22175" spans="5:9" ht="16.5" hidden="1">
      <c r="E22175" s="4" t="str">
        <v/>
      </c>
      <c r="F22175" s="102" t="str">
        <f ca="1">IFERROR(__xludf.DUMMYFUNCTION("IMPORTRANGE(H22175,""IDENTITAS UNIT!D9"")"),"#N/A")</f>
        <v>#N/A</v>
      </c>
      <c r="H22175" s="4" t="str">
        <v/>
      </c>
      <c r="I22175" s="4" t="str">
        <v/>
      </c>
    </row>
    <row r="22176" spans="5:9" ht="16.5" hidden="1">
      <c r="E22176" s="4" t="str">
        <v/>
      </c>
      <c r="F22176" s="102" t="str">
        <f ca="1">IFERROR(__xludf.DUMMYFUNCTION("IMPORTRANGE(H22176,""IDENTITAS UNIT!D9"")"),"#N/A")</f>
        <v>#N/A</v>
      </c>
      <c r="H22176" s="4" t="str">
        <v/>
      </c>
      <c r="I22176" s="4" t="str">
        <v/>
      </c>
    </row>
    <row r="22177" spans="5:9" ht="16.5" hidden="1">
      <c r="E22177" s="4" t="str">
        <v/>
      </c>
      <c r="F22177" s="102" t="str">
        <f ca="1">IFERROR(__xludf.DUMMYFUNCTION("IMPORTRANGE(H22177,""IDENTITAS UNIT!D9"")"),"#N/A")</f>
        <v>#N/A</v>
      </c>
      <c r="H22177" s="4" t="str">
        <v/>
      </c>
      <c r="I22177" s="4" t="str">
        <v/>
      </c>
    </row>
    <row r="22178" spans="5:9" ht="16.5" hidden="1">
      <c r="E22178" s="4" t="str">
        <v/>
      </c>
      <c r="F22178" s="102" t="str">
        <f ca="1">IFERROR(__xludf.DUMMYFUNCTION("IMPORTRANGE(H22178,""IDENTITAS UNIT!D9"")"),"#N/A")</f>
        <v>#N/A</v>
      </c>
      <c r="H22178" s="4" t="str">
        <v/>
      </c>
      <c r="I22178" s="4" t="str">
        <v/>
      </c>
    </row>
    <row r="22179" spans="5:9" ht="16.5" hidden="1">
      <c r="E22179" s="4" t="str">
        <v/>
      </c>
      <c r="F22179" s="102" t="str">
        <f ca="1">IFERROR(__xludf.DUMMYFUNCTION("IMPORTRANGE(H22179,""IDENTITAS UNIT!D9"")"),"#N/A")</f>
        <v>#N/A</v>
      </c>
      <c r="H22179" s="4" t="str">
        <v/>
      </c>
      <c r="I22179" s="4" t="str">
        <v/>
      </c>
    </row>
    <row r="22180" spans="5:9" ht="16.5" hidden="1">
      <c r="E22180" s="4" t="str">
        <v/>
      </c>
      <c r="F22180" s="102" t="str">
        <f ca="1">IFERROR(__xludf.DUMMYFUNCTION("IMPORTRANGE(H22180,""IDENTITAS UNIT!D9"")"),"#N/A")</f>
        <v>#N/A</v>
      </c>
      <c r="H22180" s="4" t="str">
        <v/>
      </c>
      <c r="I22180" s="4" t="str">
        <v/>
      </c>
    </row>
    <row r="22181" spans="5:9" ht="16.5" hidden="1">
      <c r="E22181" s="4" t="str">
        <v/>
      </c>
      <c r="F22181" s="102" t="str">
        <f ca="1">IFERROR(__xludf.DUMMYFUNCTION("IMPORTRANGE(H22181,""IDENTITAS UNIT!D9"")"),"#N/A")</f>
        <v>#N/A</v>
      </c>
      <c r="H22181" s="4" t="str">
        <v/>
      </c>
      <c r="I22181" s="4" t="str">
        <v/>
      </c>
    </row>
    <row r="22182" spans="5:9" ht="16.5" hidden="1">
      <c r="E22182" s="4" t="str">
        <v/>
      </c>
      <c r="F22182" s="102" t="str">
        <f ca="1">IFERROR(__xludf.DUMMYFUNCTION("IMPORTRANGE(H22182,""IDENTITAS UNIT!D9"")"),"#N/A")</f>
        <v>#N/A</v>
      </c>
      <c r="H22182" s="4" t="str">
        <v/>
      </c>
      <c r="I22182" s="4" t="str">
        <v/>
      </c>
    </row>
    <row r="22183" spans="5:9" ht="16.5" hidden="1">
      <c r="E22183" s="4" t="str">
        <v/>
      </c>
      <c r="F22183" s="102" t="str">
        <f ca="1">IFERROR(__xludf.DUMMYFUNCTION("IMPORTRANGE(H22183,""IDENTITAS UNIT!D9"")"),"#N/A")</f>
        <v>#N/A</v>
      </c>
      <c r="H22183" s="4" t="str">
        <v/>
      </c>
      <c r="I22183" s="4" t="str">
        <v/>
      </c>
    </row>
    <row r="22184" spans="5:9" ht="16.5" hidden="1">
      <c r="E22184" s="4" t="str">
        <v/>
      </c>
      <c r="F22184" s="102" t="str">
        <f ca="1">IFERROR(__xludf.DUMMYFUNCTION("IMPORTRANGE(H22184,""IDENTITAS UNIT!D9"")"),"#N/A")</f>
        <v>#N/A</v>
      </c>
      <c r="H22184" s="4" t="str">
        <v/>
      </c>
      <c r="I22184" s="4" t="str">
        <v/>
      </c>
    </row>
    <row r="22185" spans="5:9" ht="16.5" hidden="1">
      <c r="E22185" s="4" t="str">
        <v/>
      </c>
      <c r="F22185" s="102" t="str">
        <f ca="1">IFERROR(__xludf.DUMMYFUNCTION("IMPORTRANGE(H22185,""IDENTITAS UNIT!D9"")"),"#N/A")</f>
        <v>#N/A</v>
      </c>
      <c r="H22185" s="4" t="str">
        <v/>
      </c>
      <c r="I22185" s="4" t="str">
        <v/>
      </c>
    </row>
    <row r="22186" spans="5:9" ht="16.5" hidden="1">
      <c r="E22186" s="4" t="str">
        <v/>
      </c>
      <c r="F22186" s="102" t="str">
        <f ca="1">IFERROR(__xludf.DUMMYFUNCTION("IMPORTRANGE(H22186,""IDENTITAS UNIT!D9"")"),"#N/A")</f>
        <v>#N/A</v>
      </c>
      <c r="H22186" s="4" t="str">
        <v/>
      </c>
      <c r="I22186" s="4" t="str">
        <v/>
      </c>
    </row>
    <row r="22187" spans="5:9" ht="16.5" hidden="1">
      <c r="E22187" s="4" t="str">
        <v/>
      </c>
      <c r="F22187" s="102" t="str">
        <f ca="1">IFERROR(__xludf.DUMMYFUNCTION("IMPORTRANGE(H22187,""IDENTITAS UNIT!D9"")"),"#N/A")</f>
        <v>#N/A</v>
      </c>
      <c r="H22187" s="4" t="str">
        <v/>
      </c>
      <c r="I22187" s="4" t="str">
        <v/>
      </c>
    </row>
    <row r="22188" spans="5:9" ht="16.5" hidden="1">
      <c r="E22188" s="4" t="str">
        <v/>
      </c>
      <c r="F22188" s="102" t="str">
        <f ca="1">IFERROR(__xludf.DUMMYFUNCTION("IMPORTRANGE(H22188,""IDENTITAS UNIT!D9"")"),"#N/A")</f>
        <v>#N/A</v>
      </c>
      <c r="H22188" s="4" t="str">
        <v/>
      </c>
      <c r="I22188" s="4" t="str">
        <v/>
      </c>
    </row>
    <row r="22189" spans="5:9" ht="16.5" hidden="1">
      <c r="E22189" s="4" t="str">
        <v/>
      </c>
      <c r="F22189" s="102" t="str">
        <f ca="1">IFERROR(__xludf.DUMMYFUNCTION("IMPORTRANGE(H22189,""IDENTITAS UNIT!D9"")"),"#N/A")</f>
        <v>#N/A</v>
      </c>
      <c r="H22189" s="4" t="str">
        <v/>
      </c>
      <c r="I22189" s="4" t="str">
        <v/>
      </c>
    </row>
    <row r="22190" spans="5:9" ht="16.5" hidden="1">
      <c r="E22190" s="4" t="str">
        <v/>
      </c>
      <c r="F22190" s="102" t="str">
        <f ca="1">IFERROR(__xludf.DUMMYFUNCTION("IMPORTRANGE(H22190,""IDENTITAS UNIT!D9"")"),"#N/A")</f>
        <v>#N/A</v>
      </c>
      <c r="H22190" s="4" t="str">
        <v/>
      </c>
      <c r="I22190" s="4" t="str">
        <v/>
      </c>
    </row>
    <row r="22191" spans="5:9" ht="16.5" hidden="1">
      <c r="E22191" s="4" t="str">
        <v/>
      </c>
      <c r="F22191" s="102" t="str">
        <f ca="1">IFERROR(__xludf.DUMMYFUNCTION("IMPORTRANGE(H22191,""IDENTITAS UNIT!D9"")"),"#N/A")</f>
        <v>#N/A</v>
      </c>
      <c r="H22191" s="4" t="str">
        <v/>
      </c>
      <c r="I22191" s="4" t="str">
        <v/>
      </c>
    </row>
    <row r="22192" spans="5:9" ht="16.5" hidden="1">
      <c r="E22192" s="4" t="str">
        <v/>
      </c>
      <c r="F22192" s="102" t="str">
        <f ca="1">IFERROR(__xludf.DUMMYFUNCTION("IMPORTRANGE(H22192,""IDENTITAS UNIT!D9"")"),"#N/A")</f>
        <v>#N/A</v>
      </c>
      <c r="H22192" s="4" t="str">
        <v/>
      </c>
      <c r="I22192" s="4" t="str">
        <v/>
      </c>
    </row>
    <row r="22193" spans="5:9" ht="16.5" hidden="1">
      <c r="E22193" s="4" t="str">
        <v/>
      </c>
      <c r="F22193" s="102" t="str">
        <f ca="1">IFERROR(__xludf.DUMMYFUNCTION("IMPORTRANGE(H22193,""IDENTITAS UNIT!D9"")"),"#N/A")</f>
        <v>#N/A</v>
      </c>
      <c r="H22193" s="4" t="str">
        <v/>
      </c>
      <c r="I22193" s="4" t="str">
        <v/>
      </c>
    </row>
    <row r="22194" spans="5:9" ht="16.5" hidden="1">
      <c r="E22194" s="4" t="str">
        <v/>
      </c>
      <c r="F22194" s="102" t="str">
        <f ca="1">IFERROR(__xludf.DUMMYFUNCTION("IMPORTRANGE(H22194,""IDENTITAS UNIT!D9"")"),"#N/A")</f>
        <v>#N/A</v>
      </c>
      <c r="H22194" s="4" t="str">
        <v/>
      </c>
      <c r="I22194" s="4" t="str">
        <v/>
      </c>
    </row>
    <row r="22195" spans="5:9" ht="16.5" hidden="1">
      <c r="E22195" s="4" t="str">
        <v/>
      </c>
      <c r="F22195" s="102" t="str">
        <f ca="1">IFERROR(__xludf.DUMMYFUNCTION("IMPORTRANGE(H22195,""IDENTITAS UNIT!D9"")"),"#N/A")</f>
        <v>#N/A</v>
      </c>
      <c r="H22195" s="4" t="str">
        <v/>
      </c>
      <c r="I22195" s="4" t="str">
        <v/>
      </c>
    </row>
    <row r="22196" spans="5:9" ht="16.5" hidden="1">
      <c r="E22196" s="4" t="str">
        <v/>
      </c>
      <c r="F22196" s="102" t="str">
        <f ca="1">IFERROR(__xludf.DUMMYFUNCTION("IMPORTRANGE(H22196,""IDENTITAS UNIT!D9"")"),"#N/A")</f>
        <v>#N/A</v>
      </c>
      <c r="H22196" s="4" t="str">
        <v/>
      </c>
      <c r="I22196" s="4" t="str">
        <v/>
      </c>
    </row>
    <row r="22197" spans="5:9" ht="16.5" hidden="1">
      <c r="E22197" s="4" t="str">
        <v/>
      </c>
      <c r="F22197" s="102" t="str">
        <f ca="1">IFERROR(__xludf.DUMMYFUNCTION("IMPORTRANGE(H22197,""IDENTITAS UNIT!D9"")"),"#N/A")</f>
        <v>#N/A</v>
      </c>
      <c r="H22197" s="4" t="str">
        <v/>
      </c>
      <c r="I22197" s="4" t="str">
        <v/>
      </c>
    </row>
    <row r="22198" spans="5:9" ht="16.5" hidden="1">
      <c r="E22198" s="4" t="str">
        <v/>
      </c>
      <c r="F22198" s="102" t="str">
        <f ca="1">IFERROR(__xludf.DUMMYFUNCTION("IMPORTRANGE(H22198,""IDENTITAS UNIT!D9"")"),"#N/A")</f>
        <v>#N/A</v>
      </c>
      <c r="H22198" s="4" t="str">
        <v/>
      </c>
      <c r="I22198" s="4" t="str">
        <v/>
      </c>
    </row>
    <row r="22199" spans="5:9" ht="16.5" hidden="1">
      <c r="E22199" s="4" t="str">
        <v/>
      </c>
      <c r="F22199" s="102" t="str">
        <f ca="1">IFERROR(__xludf.DUMMYFUNCTION("IMPORTRANGE(H22199,""IDENTITAS UNIT!D9"")"),"#N/A")</f>
        <v>#N/A</v>
      </c>
      <c r="H22199" s="4" t="str">
        <v/>
      </c>
      <c r="I22199" s="4" t="str">
        <v/>
      </c>
    </row>
    <row r="22200" spans="5:9" ht="16.5" hidden="1">
      <c r="E22200" s="4" t="str">
        <v/>
      </c>
      <c r="F22200" s="102" t="str">
        <f ca="1">IFERROR(__xludf.DUMMYFUNCTION("IMPORTRANGE(H22200,""IDENTITAS UNIT!D9"")"),"#N/A")</f>
        <v>#N/A</v>
      </c>
      <c r="H22200" s="4" t="str">
        <v/>
      </c>
      <c r="I22200" s="4" t="str">
        <v/>
      </c>
    </row>
    <row r="22201" spans="5:9" ht="16.5" hidden="1">
      <c r="E22201" s="4" t="str">
        <v/>
      </c>
      <c r="F22201" s="102" t="str">
        <f ca="1">IFERROR(__xludf.DUMMYFUNCTION("IMPORTRANGE(H22201,""IDENTITAS UNIT!D9"")"),"#N/A")</f>
        <v>#N/A</v>
      </c>
      <c r="H22201" s="4" t="str">
        <v/>
      </c>
      <c r="I22201" s="4" t="str">
        <v/>
      </c>
    </row>
    <row r="22202" spans="5:9" ht="16.5" hidden="1">
      <c r="E22202" s="4" t="str">
        <v/>
      </c>
      <c r="F22202" s="102" t="str">
        <f ca="1">IFERROR(__xludf.DUMMYFUNCTION("IMPORTRANGE(H22202,""IDENTITAS UNIT!D9"")"),"#N/A")</f>
        <v>#N/A</v>
      </c>
      <c r="H22202" s="4" t="str">
        <v/>
      </c>
      <c r="I22202" s="4" t="str">
        <v/>
      </c>
    </row>
    <row r="22203" spans="5:9" ht="16.5" hidden="1">
      <c r="E22203" s="4" t="str">
        <v/>
      </c>
      <c r="F22203" s="102" t="str">
        <f ca="1">IFERROR(__xludf.DUMMYFUNCTION("IMPORTRANGE(H22203,""IDENTITAS UNIT!D9"")"),"#N/A")</f>
        <v>#N/A</v>
      </c>
      <c r="H22203" s="4" t="str">
        <v/>
      </c>
      <c r="I22203" s="4" t="str">
        <v/>
      </c>
    </row>
    <row r="22204" spans="5:9" ht="16.5" hidden="1">
      <c r="E22204" s="4" t="str">
        <v/>
      </c>
      <c r="F22204" s="102" t="str">
        <f ca="1">IFERROR(__xludf.DUMMYFUNCTION("IMPORTRANGE(H22204,""IDENTITAS UNIT!D9"")"),"#N/A")</f>
        <v>#N/A</v>
      </c>
      <c r="H22204" s="4" t="str">
        <v/>
      </c>
      <c r="I22204" s="4" t="str">
        <v/>
      </c>
    </row>
    <row r="22205" spans="5:9" ht="16.5" hidden="1">
      <c r="E22205" s="4" t="str">
        <v/>
      </c>
      <c r="F22205" s="102" t="str">
        <f ca="1">IFERROR(__xludf.DUMMYFUNCTION("IMPORTRANGE(H22205,""IDENTITAS UNIT!D9"")"),"#N/A")</f>
        <v>#N/A</v>
      </c>
      <c r="H22205" s="4" t="str">
        <v/>
      </c>
      <c r="I22205" s="4" t="str">
        <v/>
      </c>
    </row>
    <row r="22206" spans="5:9" ht="16.5" hidden="1">
      <c r="E22206" s="4" t="str">
        <v/>
      </c>
      <c r="F22206" s="102" t="str">
        <f ca="1">IFERROR(__xludf.DUMMYFUNCTION("IMPORTRANGE(H22206,""IDENTITAS UNIT!D9"")"),"#N/A")</f>
        <v>#N/A</v>
      </c>
      <c r="H22206" s="4" t="str">
        <v/>
      </c>
      <c r="I22206" s="4" t="str">
        <v/>
      </c>
    </row>
    <row r="22207" spans="5:9" ht="16.5" hidden="1">
      <c r="E22207" s="4" t="str">
        <v/>
      </c>
      <c r="F22207" s="102" t="str">
        <f ca="1">IFERROR(__xludf.DUMMYFUNCTION("IMPORTRANGE(H22207,""IDENTITAS UNIT!D9"")"),"#N/A")</f>
        <v>#N/A</v>
      </c>
      <c r="H22207" s="4" t="str">
        <v/>
      </c>
      <c r="I22207" s="4" t="str">
        <v/>
      </c>
    </row>
    <row r="22208" spans="5:9" ht="16.5" hidden="1">
      <c r="E22208" s="4" t="str">
        <v/>
      </c>
      <c r="F22208" s="102" t="str">
        <f ca="1">IFERROR(__xludf.DUMMYFUNCTION("IMPORTRANGE(H22208,""IDENTITAS UNIT!D9"")"),"#N/A")</f>
        <v>#N/A</v>
      </c>
      <c r="H22208" s="4" t="str">
        <v/>
      </c>
      <c r="I22208" s="4" t="str">
        <v/>
      </c>
    </row>
    <row r="22209" spans="5:9" ht="16.5" hidden="1">
      <c r="E22209" s="4" t="str">
        <v/>
      </c>
      <c r="F22209" s="102" t="str">
        <f ca="1">IFERROR(__xludf.DUMMYFUNCTION("IMPORTRANGE(H22209,""IDENTITAS UNIT!D9"")"),"#N/A")</f>
        <v>#N/A</v>
      </c>
      <c r="H22209" s="4" t="str">
        <v/>
      </c>
      <c r="I22209" s="4" t="str">
        <v/>
      </c>
    </row>
    <row r="22210" spans="5:9" ht="16.5" hidden="1">
      <c r="E22210" s="4" t="str">
        <v/>
      </c>
      <c r="F22210" s="102" t="str">
        <f ca="1">IFERROR(__xludf.DUMMYFUNCTION("IMPORTRANGE(H22210,""IDENTITAS UNIT!D9"")"),"#N/A")</f>
        <v>#N/A</v>
      </c>
      <c r="H22210" s="4" t="str">
        <v/>
      </c>
      <c r="I22210" s="4" t="str">
        <v/>
      </c>
    </row>
    <row r="22211" spans="5:9" ht="16.5" hidden="1">
      <c r="E22211" s="4" t="str">
        <v/>
      </c>
      <c r="F22211" s="102" t="str">
        <f ca="1">IFERROR(__xludf.DUMMYFUNCTION("IMPORTRANGE(H22211,""IDENTITAS UNIT!D9"")"),"#N/A")</f>
        <v>#N/A</v>
      </c>
      <c r="H22211" s="4" t="str">
        <v/>
      </c>
      <c r="I22211" s="4" t="str">
        <v/>
      </c>
    </row>
    <row r="22212" spans="5:9" ht="16.5" hidden="1">
      <c r="E22212" s="4" t="str">
        <v/>
      </c>
      <c r="F22212" s="102" t="str">
        <f ca="1">IFERROR(__xludf.DUMMYFUNCTION("IMPORTRANGE(H22212,""IDENTITAS UNIT!D9"")"),"#N/A")</f>
        <v>#N/A</v>
      </c>
      <c r="H22212" s="4" t="str">
        <v/>
      </c>
      <c r="I22212" s="4" t="str">
        <v/>
      </c>
    </row>
    <row r="22213" spans="5:9" ht="16.5" hidden="1">
      <c r="E22213" s="4" t="str">
        <v/>
      </c>
      <c r="F22213" s="102" t="str">
        <f ca="1">IFERROR(__xludf.DUMMYFUNCTION("IMPORTRANGE(H22213,""IDENTITAS UNIT!D9"")"),"#N/A")</f>
        <v>#N/A</v>
      </c>
      <c r="H22213" s="4" t="str">
        <v/>
      </c>
      <c r="I22213" s="4" t="str">
        <v/>
      </c>
    </row>
    <row r="22214" spans="5:9" ht="16.5" hidden="1">
      <c r="E22214" s="4" t="str">
        <v/>
      </c>
      <c r="F22214" s="102" t="str">
        <f ca="1">IFERROR(__xludf.DUMMYFUNCTION("IMPORTRANGE(H22214,""IDENTITAS UNIT!D9"")"),"#N/A")</f>
        <v>#N/A</v>
      </c>
      <c r="H22214" s="4" t="str">
        <v/>
      </c>
      <c r="I22214" s="4" t="str">
        <v/>
      </c>
    </row>
    <row r="22215" spans="5:9" ht="16.5" hidden="1">
      <c r="E22215" s="4" t="str">
        <v/>
      </c>
      <c r="F22215" s="102" t="str">
        <f ca="1">IFERROR(__xludf.DUMMYFUNCTION("IMPORTRANGE(H22215,""IDENTITAS UNIT!D9"")"),"#N/A")</f>
        <v>#N/A</v>
      </c>
      <c r="H22215" s="4" t="str">
        <v/>
      </c>
      <c r="I22215" s="4" t="str">
        <v/>
      </c>
    </row>
    <row r="22216" spans="5:9" ht="16.5" hidden="1">
      <c r="E22216" s="4" t="str">
        <v/>
      </c>
      <c r="F22216" s="102" t="str">
        <f ca="1">IFERROR(__xludf.DUMMYFUNCTION("IMPORTRANGE(H22216,""IDENTITAS UNIT!D9"")"),"#N/A")</f>
        <v>#N/A</v>
      </c>
      <c r="H22216" s="4" t="str">
        <v/>
      </c>
      <c r="I22216" s="4" t="str">
        <v/>
      </c>
    </row>
    <row r="22217" spans="5:9" ht="16.5" hidden="1">
      <c r="E22217" s="4" t="str">
        <v/>
      </c>
      <c r="F22217" s="102" t="str">
        <f ca="1">IFERROR(__xludf.DUMMYFUNCTION("IMPORTRANGE(H22217,""IDENTITAS UNIT!D9"")"),"#N/A")</f>
        <v>#N/A</v>
      </c>
      <c r="H22217" s="4" t="str">
        <v/>
      </c>
      <c r="I22217" s="4" t="str">
        <v/>
      </c>
    </row>
    <row r="22218" spans="5:9" ht="16.5" hidden="1">
      <c r="E22218" s="4" t="str">
        <v/>
      </c>
      <c r="F22218" s="102" t="str">
        <f ca="1">IFERROR(__xludf.DUMMYFUNCTION("IMPORTRANGE(H22218,""IDENTITAS UNIT!D9"")"),"#N/A")</f>
        <v>#N/A</v>
      </c>
      <c r="H22218" s="4" t="str">
        <v/>
      </c>
      <c r="I22218" s="4" t="str">
        <v/>
      </c>
    </row>
    <row r="22219" spans="5:9" ht="16.5" hidden="1">
      <c r="E22219" s="4" t="str">
        <v/>
      </c>
      <c r="F22219" s="102" t="str">
        <f ca="1">IFERROR(__xludf.DUMMYFUNCTION("IMPORTRANGE(H22219,""IDENTITAS UNIT!D9"")"),"#N/A")</f>
        <v>#N/A</v>
      </c>
      <c r="H22219" s="4" t="str">
        <v/>
      </c>
      <c r="I22219" s="4" t="str">
        <v/>
      </c>
    </row>
    <row r="22220" spans="5:9" ht="16.5" hidden="1">
      <c r="E22220" s="4" t="str">
        <v/>
      </c>
      <c r="F22220" s="102" t="str">
        <f ca="1">IFERROR(__xludf.DUMMYFUNCTION("IMPORTRANGE(H22220,""IDENTITAS UNIT!D9"")"),"#N/A")</f>
        <v>#N/A</v>
      </c>
      <c r="H22220" s="4" t="str">
        <v/>
      </c>
      <c r="I22220" s="4" t="str">
        <v/>
      </c>
    </row>
    <row r="22221" spans="5:9" ht="16.5" hidden="1">
      <c r="E22221" s="4" t="str">
        <v/>
      </c>
      <c r="F22221" s="102" t="str">
        <f ca="1">IFERROR(__xludf.DUMMYFUNCTION("IMPORTRANGE(H22221,""IDENTITAS UNIT!D9"")"),"#N/A")</f>
        <v>#N/A</v>
      </c>
      <c r="H22221" s="4" t="str">
        <v/>
      </c>
      <c r="I22221" s="4" t="str">
        <v/>
      </c>
    </row>
    <row r="22222" spans="5:9" ht="16.5" hidden="1">
      <c r="E22222" s="4" t="str">
        <v/>
      </c>
      <c r="F22222" s="102" t="str">
        <f ca="1">IFERROR(__xludf.DUMMYFUNCTION("IMPORTRANGE(H22222,""IDENTITAS UNIT!D9"")"),"#N/A")</f>
        <v>#N/A</v>
      </c>
      <c r="H22222" s="4" t="str">
        <v/>
      </c>
      <c r="I22222" s="4" t="str">
        <v/>
      </c>
    </row>
    <row r="22223" spans="5:9" ht="16.5" hidden="1">
      <c r="E22223" s="4" t="str">
        <v/>
      </c>
      <c r="F22223" s="102" t="str">
        <f ca="1">IFERROR(__xludf.DUMMYFUNCTION("IMPORTRANGE(H22223,""IDENTITAS UNIT!D9"")"),"#N/A")</f>
        <v>#N/A</v>
      </c>
      <c r="H22223" s="4" t="str">
        <v/>
      </c>
      <c r="I22223" s="4" t="str">
        <v/>
      </c>
    </row>
    <row r="22224" spans="5:9" ht="16.5" hidden="1">
      <c r="E22224" s="4" t="str">
        <v/>
      </c>
      <c r="F22224" s="102" t="str">
        <f ca="1">IFERROR(__xludf.DUMMYFUNCTION("IMPORTRANGE(H22224,""IDENTITAS UNIT!D9"")"),"#N/A")</f>
        <v>#N/A</v>
      </c>
      <c r="H22224" s="4" t="str">
        <v/>
      </c>
      <c r="I22224" s="4" t="str">
        <v/>
      </c>
    </row>
    <row r="22225" spans="5:9" ht="16.5" hidden="1">
      <c r="E22225" s="4" t="str">
        <v/>
      </c>
      <c r="F22225" s="102" t="str">
        <f ca="1">IFERROR(__xludf.DUMMYFUNCTION("IMPORTRANGE(H22225,""IDENTITAS UNIT!D9"")"),"#N/A")</f>
        <v>#N/A</v>
      </c>
      <c r="H22225" s="4" t="str">
        <v/>
      </c>
      <c r="I22225" s="4" t="str">
        <v/>
      </c>
    </row>
    <row r="22226" spans="5:9" ht="16.5" hidden="1">
      <c r="E22226" s="4" t="str">
        <v/>
      </c>
      <c r="F22226" s="102" t="str">
        <f ca="1">IFERROR(__xludf.DUMMYFUNCTION("IMPORTRANGE(H22226,""IDENTITAS UNIT!D9"")"),"#N/A")</f>
        <v>#N/A</v>
      </c>
      <c r="H22226" s="4" t="str">
        <v/>
      </c>
      <c r="I22226" s="4" t="str">
        <v/>
      </c>
    </row>
    <row r="22227" spans="5:9" ht="16.5" hidden="1">
      <c r="E22227" s="4" t="str">
        <v/>
      </c>
      <c r="F22227" s="102" t="str">
        <f ca="1">IFERROR(__xludf.DUMMYFUNCTION("IMPORTRANGE(H22227,""IDENTITAS UNIT!D9"")"),"#N/A")</f>
        <v>#N/A</v>
      </c>
      <c r="H22227" s="4" t="str">
        <v/>
      </c>
      <c r="I22227" s="4" t="str">
        <v/>
      </c>
    </row>
    <row r="22228" spans="5:9" ht="16.5" hidden="1">
      <c r="E22228" s="4" t="str">
        <v/>
      </c>
      <c r="F22228" s="102" t="str">
        <f ca="1">IFERROR(__xludf.DUMMYFUNCTION("IMPORTRANGE(H22228,""IDENTITAS UNIT!D9"")"),"#N/A")</f>
        <v>#N/A</v>
      </c>
      <c r="H22228" s="4" t="str">
        <v/>
      </c>
      <c r="I22228" s="4" t="str">
        <v/>
      </c>
    </row>
    <row r="22229" spans="5:9" ht="16.5" hidden="1">
      <c r="E22229" s="4" t="str">
        <v/>
      </c>
      <c r="F22229" s="102" t="str">
        <f ca="1">IFERROR(__xludf.DUMMYFUNCTION("IMPORTRANGE(H22229,""IDENTITAS UNIT!D9"")"),"#N/A")</f>
        <v>#N/A</v>
      </c>
      <c r="H22229" s="4" t="str">
        <v/>
      </c>
      <c r="I22229" s="4" t="str">
        <v/>
      </c>
    </row>
    <row r="22230" spans="5:9" ht="16.5" hidden="1">
      <c r="E22230" s="4" t="str">
        <v/>
      </c>
      <c r="F22230" s="102" t="str">
        <f ca="1">IFERROR(__xludf.DUMMYFUNCTION("IMPORTRANGE(H22230,""IDENTITAS UNIT!D9"")"),"#N/A")</f>
        <v>#N/A</v>
      </c>
      <c r="H22230" s="4" t="str">
        <v/>
      </c>
      <c r="I22230" s="4" t="str">
        <v/>
      </c>
    </row>
    <row r="22231" spans="5:9" ht="16.5" hidden="1">
      <c r="E22231" s="4" t="str">
        <v/>
      </c>
      <c r="F22231" s="102" t="str">
        <f ca="1">IFERROR(__xludf.DUMMYFUNCTION("IMPORTRANGE(H22231,""IDENTITAS UNIT!D9"")"),"#N/A")</f>
        <v>#N/A</v>
      </c>
      <c r="H22231" s="4" t="str">
        <v/>
      </c>
      <c r="I22231" s="4" t="str">
        <v/>
      </c>
    </row>
    <row r="22232" spans="5:9" ht="16.5" hidden="1">
      <c r="E22232" s="4" t="str">
        <v/>
      </c>
      <c r="F22232" s="102" t="str">
        <f ca="1">IFERROR(__xludf.DUMMYFUNCTION("IMPORTRANGE(H22232,""IDENTITAS UNIT!D9"")"),"#N/A")</f>
        <v>#N/A</v>
      </c>
      <c r="H22232" s="4" t="str">
        <v/>
      </c>
      <c r="I22232" s="4" t="str">
        <v/>
      </c>
    </row>
    <row r="22233" spans="5:9" ht="16.5" hidden="1">
      <c r="E22233" s="4" t="str">
        <v/>
      </c>
      <c r="F22233" s="102" t="str">
        <f ca="1">IFERROR(__xludf.DUMMYFUNCTION("IMPORTRANGE(H22233,""IDENTITAS UNIT!D9"")"),"#N/A")</f>
        <v>#N/A</v>
      </c>
      <c r="H22233" s="4" t="str">
        <v/>
      </c>
      <c r="I22233" s="4" t="str">
        <v/>
      </c>
    </row>
    <row r="22234" spans="5:9" ht="16.5" hidden="1">
      <c r="E22234" s="4" t="str">
        <v/>
      </c>
      <c r="F22234" s="102" t="str">
        <f ca="1">IFERROR(__xludf.DUMMYFUNCTION("IMPORTRANGE(H22234,""IDENTITAS UNIT!D9"")"),"#N/A")</f>
        <v>#N/A</v>
      </c>
      <c r="H22234" s="4" t="str">
        <v/>
      </c>
      <c r="I22234" s="4" t="str">
        <v/>
      </c>
    </row>
    <row r="22235" spans="5:9" ht="16.5" hidden="1">
      <c r="E22235" s="4" t="str">
        <v/>
      </c>
      <c r="F22235" s="102" t="str">
        <f ca="1">IFERROR(__xludf.DUMMYFUNCTION("IMPORTRANGE(H22235,""IDENTITAS UNIT!D9"")"),"#N/A")</f>
        <v>#N/A</v>
      </c>
      <c r="H22235" s="4" t="str">
        <v/>
      </c>
      <c r="I22235" s="4" t="str">
        <v/>
      </c>
    </row>
    <row r="22236" spans="5:9" ht="16.5" hidden="1">
      <c r="E22236" s="4" t="str">
        <v/>
      </c>
      <c r="F22236" s="102" t="str">
        <f ca="1">IFERROR(__xludf.DUMMYFUNCTION("IMPORTRANGE(H22236,""IDENTITAS UNIT!D9"")"),"#N/A")</f>
        <v>#N/A</v>
      </c>
      <c r="H22236" s="4" t="str">
        <v/>
      </c>
      <c r="I22236" s="4" t="str">
        <v/>
      </c>
    </row>
    <row r="22237" spans="5:9" ht="16.5" hidden="1">
      <c r="E22237" s="4" t="str">
        <v/>
      </c>
      <c r="F22237" s="102" t="str">
        <f ca="1">IFERROR(__xludf.DUMMYFUNCTION("IMPORTRANGE(H22237,""IDENTITAS UNIT!D9"")"),"#N/A")</f>
        <v>#N/A</v>
      </c>
      <c r="H22237" s="4" t="str">
        <v/>
      </c>
      <c r="I22237" s="4" t="str">
        <v/>
      </c>
    </row>
    <row r="22238" spans="5:9" ht="16.5" hidden="1">
      <c r="E22238" s="4" t="str">
        <v/>
      </c>
      <c r="F22238" s="102" t="str">
        <f ca="1">IFERROR(__xludf.DUMMYFUNCTION("IMPORTRANGE(H22238,""IDENTITAS UNIT!D9"")"),"#N/A")</f>
        <v>#N/A</v>
      </c>
      <c r="H22238" s="4" t="str">
        <v/>
      </c>
      <c r="I22238" s="4" t="str">
        <v/>
      </c>
    </row>
    <row r="22239" spans="5:9" ht="16.5" hidden="1">
      <c r="E22239" s="4" t="str">
        <v/>
      </c>
      <c r="F22239" s="102" t="str">
        <f ca="1">IFERROR(__xludf.DUMMYFUNCTION("IMPORTRANGE(H22239,""IDENTITAS UNIT!D9"")"),"#N/A")</f>
        <v>#N/A</v>
      </c>
      <c r="H22239" s="4" t="str">
        <v/>
      </c>
      <c r="I22239" s="4" t="str">
        <v/>
      </c>
    </row>
    <row r="22240" spans="5:9" ht="16.5" hidden="1">
      <c r="E22240" s="4" t="str">
        <v/>
      </c>
      <c r="F22240" s="102" t="str">
        <f ca="1">IFERROR(__xludf.DUMMYFUNCTION("IMPORTRANGE(H22240,""IDENTITAS UNIT!D9"")"),"#N/A")</f>
        <v>#N/A</v>
      </c>
      <c r="H22240" s="4" t="str">
        <v/>
      </c>
      <c r="I22240" s="4" t="str">
        <v/>
      </c>
    </row>
    <row r="22241" spans="5:9" ht="16.5" hidden="1">
      <c r="E22241" s="4" t="str">
        <v/>
      </c>
      <c r="F22241" s="102" t="str">
        <f ca="1">IFERROR(__xludf.DUMMYFUNCTION("IMPORTRANGE(H22241,""IDENTITAS UNIT!D9"")"),"#N/A")</f>
        <v>#N/A</v>
      </c>
      <c r="H22241" s="4" t="str">
        <v/>
      </c>
      <c r="I22241" s="4" t="str">
        <v/>
      </c>
    </row>
    <row r="22242" spans="5:9" ht="16.5" hidden="1">
      <c r="E22242" s="4" t="str">
        <v/>
      </c>
      <c r="F22242" s="102" t="str">
        <f ca="1">IFERROR(__xludf.DUMMYFUNCTION("IMPORTRANGE(H22242,""IDENTITAS UNIT!D9"")"),"#N/A")</f>
        <v>#N/A</v>
      </c>
      <c r="H22242" s="4" t="str">
        <v/>
      </c>
      <c r="I22242" s="4" t="str">
        <v/>
      </c>
    </row>
    <row r="22243" spans="5:9" ht="16.5" hidden="1">
      <c r="E22243" s="4" t="str">
        <v/>
      </c>
      <c r="F22243" s="102" t="str">
        <f ca="1">IFERROR(__xludf.DUMMYFUNCTION("IMPORTRANGE(H22243,""IDENTITAS UNIT!D9"")"),"#N/A")</f>
        <v>#N/A</v>
      </c>
      <c r="H22243" s="4" t="str">
        <v/>
      </c>
      <c r="I22243" s="4" t="str">
        <v/>
      </c>
    </row>
    <row r="22244" spans="5:9" ht="16.5" hidden="1">
      <c r="E22244" s="4" t="str">
        <v/>
      </c>
      <c r="F22244" s="102" t="str">
        <f ca="1">IFERROR(__xludf.DUMMYFUNCTION("IMPORTRANGE(H22244,""IDENTITAS UNIT!D9"")"),"#N/A")</f>
        <v>#N/A</v>
      </c>
      <c r="H22244" s="4" t="str">
        <v/>
      </c>
      <c r="I22244" s="4" t="str">
        <v/>
      </c>
    </row>
    <row r="22245" spans="5:9" ht="16.5" hidden="1">
      <c r="E22245" s="4" t="str">
        <v/>
      </c>
      <c r="F22245" s="102" t="str">
        <f ca="1">IFERROR(__xludf.DUMMYFUNCTION("IMPORTRANGE(H22245,""IDENTITAS UNIT!D9"")"),"#N/A")</f>
        <v>#N/A</v>
      </c>
      <c r="H22245" s="4" t="str">
        <v/>
      </c>
      <c r="I22245" s="4" t="str">
        <v/>
      </c>
    </row>
    <row r="22246" spans="5:9" ht="16.5" hidden="1">
      <c r="E22246" s="4" t="str">
        <v/>
      </c>
      <c r="F22246" s="102" t="str">
        <f ca="1">IFERROR(__xludf.DUMMYFUNCTION("IMPORTRANGE(H22246,""IDENTITAS UNIT!D9"")"),"#N/A")</f>
        <v>#N/A</v>
      </c>
      <c r="H22246" s="4" t="str">
        <v/>
      </c>
      <c r="I22246" s="4" t="str">
        <v/>
      </c>
    </row>
    <row r="22247" spans="5:9" ht="16.5" hidden="1">
      <c r="E22247" s="4" t="str">
        <v/>
      </c>
      <c r="F22247" s="102" t="str">
        <f ca="1">IFERROR(__xludf.DUMMYFUNCTION("IMPORTRANGE(H22247,""IDENTITAS UNIT!D9"")"),"#N/A")</f>
        <v>#N/A</v>
      </c>
      <c r="H22247" s="4" t="str">
        <v/>
      </c>
      <c r="I22247" s="4" t="str">
        <v/>
      </c>
    </row>
    <row r="22248" spans="5:9" ht="16.5" hidden="1">
      <c r="E22248" s="4" t="str">
        <v/>
      </c>
      <c r="F22248" s="102" t="str">
        <f ca="1">IFERROR(__xludf.DUMMYFUNCTION("IMPORTRANGE(H22248,""IDENTITAS UNIT!D9"")"),"#N/A")</f>
        <v>#N/A</v>
      </c>
      <c r="H22248" s="4" t="str">
        <v/>
      </c>
      <c r="I22248" s="4" t="str">
        <v/>
      </c>
    </row>
    <row r="22249" spans="5:9" ht="16.5" hidden="1">
      <c r="E22249" s="4" t="str">
        <v/>
      </c>
      <c r="F22249" s="102" t="str">
        <f ca="1">IFERROR(__xludf.DUMMYFUNCTION("IMPORTRANGE(H22249,""IDENTITAS UNIT!D9"")"),"#N/A")</f>
        <v>#N/A</v>
      </c>
      <c r="H22249" s="4" t="str">
        <v/>
      </c>
      <c r="I22249" s="4" t="str">
        <v/>
      </c>
    </row>
    <row r="22250" spans="5:9" ht="16.5" hidden="1">
      <c r="E22250" s="4" t="str">
        <v/>
      </c>
      <c r="F22250" s="102" t="str">
        <f ca="1">IFERROR(__xludf.DUMMYFUNCTION("IMPORTRANGE(H22250,""IDENTITAS UNIT!D9"")"),"#N/A")</f>
        <v>#N/A</v>
      </c>
      <c r="H22250" s="4" t="str">
        <v/>
      </c>
      <c r="I22250" s="4" t="str">
        <v/>
      </c>
    </row>
    <row r="22251" spans="5:9" ht="16.5" hidden="1">
      <c r="E22251" s="4" t="str">
        <v/>
      </c>
      <c r="F22251" s="102" t="str">
        <f ca="1">IFERROR(__xludf.DUMMYFUNCTION("IMPORTRANGE(H22251,""IDENTITAS UNIT!D9"")"),"#N/A")</f>
        <v>#N/A</v>
      </c>
      <c r="H22251" s="4" t="str">
        <v/>
      </c>
      <c r="I22251" s="4" t="str">
        <v/>
      </c>
    </row>
    <row r="22252" spans="5:9" ht="16.5" hidden="1">
      <c r="E22252" s="4" t="str">
        <v/>
      </c>
      <c r="F22252" s="102" t="str">
        <f ca="1">IFERROR(__xludf.DUMMYFUNCTION("IMPORTRANGE(H22252,""IDENTITAS UNIT!D9"")"),"#N/A")</f>
        <v>#N/A</v>
      </c>
      <c r="H22252" s="4" t="str">
        <v/>
      </c>
      <c r="I22252" s="4" t="str">
        <v/>
      </c>
    </row>
    <row r="22253" spans="5:9" ht="16.5" hidden="1">
      <c r="E22253" s="4" t="str">
        <v/>
      </c>
      <c r="F22253" s="102" t="str">
        <f ca="1">IFERROR(__xludf.DUMMYFUNCTION("IMPORTRANGE(H22253,""IDENTITAS UNIT!D9"")"),"#N/A")</f>
        <v>#N/A</v>
      </c>
      <c r="H22253" s="4" t="str">
        <v/>
      </c>
      <c r="I22253" s="4" t="str">
        <v/>
      </c>
    </row>
    <row r="22254" spans="5:9" ht="16.5" hidden="1">
      <c r="E22254" s="4" t="str">
        <v/>
      </c>
      <c r="F22254" s="102" t="str">
        <f ca="1">IFERROR(__xludf.DUMMYFUNCTION("IMPORTRANGE(H22254,""IDENTITAS UNIT!D9"")"),"#N/A")</f>
        <v>#N/A</v>
      </c>
      <c r="H22254" s="4" t="str">
        <v/>
      </c>
      <c r="I22254" s="4" t="str">
        <v/>
      </c>
    </row>
    <row r="22255" spans="5:9" ht="16.5" hidden="1">
      <c r="E22255" s="4" t="str">
        <v/>
      </c>
      <c r="F22255" s="102" t="str">
        <f ca="1">IFERROR(__xludf.DUMMYFUNCTION("IMPORTRANGE(H22255,""IDENTITAS UNIT!D9"")"),"#N/A")</f>
        <v>#N/A</v>
      </c>
      <c r="H22255" s="4" t="str">
        <v/>
      </c>
      <c r="I22255" s="4" t="str">
        <v/>
      </c>
    </row>
    <row r="22256" spans="5:9" ht="16.5" hidden="1">
      <c r="E22256" s="4" t="str">
        <v/>
      </c>
      <c r="F22256" s="102" t="str">
        <f ca="1">IFERROR(__xludf.DUMMYFUNCTION("IMPORTRANGE(H22256,""IDENTITAS UNIT!D9"")"),"#N/A")</f>
        <v>#N/A</v>
      </c>
      <c r="H22256" s="4" t="str">
        <v/>
      </c>
      <c r="I22256" s="4" t="str">
        <v/>
      </c>
    </row>
    <row r="22257" spans="5:9" ht="16.5" hidden="1">
      <c r="E22257" s="4" t="str">
        <v/>
      </c>
      <c r="F22257" s="102" t="str">
        <f ca="1">IFERROR(__xludf.DUMMYFUNCTION("IMPORTRANGE(H22257,""IDENTITAS UNIT!D9"")"),"#N/A")</f>
        <v>#N/A</v>
      </c>
      <c r="H22257" s="4" t="str">
        <v/>
      </c>
      <c r="I22257" s="4" t="str">
        <v/>
      </c>
    </row>
    <row r="22258" spans="5:9" ht="16.5" hidden="1">
      <c r="E22258" s="4" t="str">
        <v/>
      </c>
      <c r="F22258" s="102" t="str">
        <f ca="1">IFERROR(__xludf.DUMMYFUNCTION("IMPORTRANGE(H22258,""IDENTITAS UNIT!D9"")"),"#N/A")</f>
        <v>#N/A</v>
      </c>
      <c r="H22258" s="4" t="str">
        <v/>
      </c>
      <c r="I22258" s="4" t="str">
        <v/>
      </c>
    </row>
    <row r="22259" spans="5:9" ht="16.5" hidden="1">
      <c r="E22259" s="4" t="str">
        <v/>
      </c>
      <c r="F22259" s="102" t="str">
        <f ca="1">IFERROR(__xludf.DUMMYFUNCTION("IMPORTRANGE(H22259,""IDENTITAS UNIT!D9"")"),"#N/A")</f>
        <v>#N/A</v>
      </c>
      <c r="H22259" s="4" t="str">
        <v/>
      </c>
      <c r="I22259" s="4" t="str">
        <v/>
      </c>
    </row>
    <row r="22260" spans="5:9" ht="16.5" hidden="1">
      <c r="E22260" s="4" t="str">
        <v/>
      </c>
      <c r="F22260" s="102" t="str">
        <f ca="1">IFERROR(__xludf.DUMMYFUNCTION("IMPORTRANGE(H22260,""IDENTITAS UNIT!D9"")"),"#N/A")</f>
        <v>#N/A</v>
      </c>
      <c r="H22260" s="4" t="str">
        <v/>
      </c>
      <c r="I22260" s="4" t="str">
        <v/>
      </c>
    </row>
    <row r="22261" spans="5:9" ht="16.5" hidden="1">
      <c r="E22261" s="4" t="str">
        <v/>
      </c>
      <c r="F22261" s="102" t="str">
        <f ca="1">IFERROR(__xludf.DUMMYFUNCTION("IMPORTRANGE(H22261,""IDENTITAS UNIT!D9"")"),"#N/A")</f>
        <v>#N/A</v>
      </c>
      <c r="H22261" s="4" t="str">
        <v/>
      </c>
      <c r="I22261" s="4" t="str">
        <v/>
      </c>
    </row>
    <row r="22262" spans="5:9" ht="16.5" hidden="1">
      <c r="E22262" s="4" t="str">
        <v/>
      </c>
      <c r="F22262" s="102" t="str">
        <f ca="1">IFERROR(__xludf.DUMMYFUNCTION("IMPORTRANGE(H22262,""IDENTITAS UNIT!D9"")"),"#N/A")</f>
        <v>#N/A</v>
      </c>
      <c r="H22262" s="4" t="str">
        <v/>
      </c>
      <c r="I22262" s="4" t="str">
        <v/>
      </c>
    </row>
    <row r="22263" spans="5:9" ht="16.5" hidden="1">
      <c r="E22263" s="4" t="str">
        <v/>
      </c>
      <c r="F22263" s="102" t="str">
        <f ca="1">IFERROR(__xludf.DUMMYFUNCTION("IMPORTRANGE(H22263,""IDENTITAS UNIT!D9"")"),"#N/A")</f>
        <v>#N/A</v>
      </c>
      <c r="H22263" s="4" t="str">
        <v/>
      </c>
      <c r="I22263" s="4" t="str">
        <v/>
      </c>
    </row>
    <row r="22264" spans="5:9" ht="16.5" hidden="1">
      <c r="E22264" s="4" t="str">
        <v/>
      </c>
      <c r="F22264" s="102" t="str">
        <f ca="1">IFERROR(__xludf.DUMMYFUNCTION("IMPORTRANGE(H22264,""IDENTITAS UNIT!D9"")"),"#N/A")</f>
        <v>#N/A</v>
      </c>
      <c r="H22264" s="4" t="str">
        <v/>
      </c>
      <c r="I22264" s="4" t="str">
        <v/>
      </c>
    </row>
    <row r="22265" spans="5:9" ht="16.5" hidden="1">
      <c r="E22265" s="4" t="str">
        <v/>
      </c>
      <c r="F22265" s="102" t="str">
        <f ca="1">IFERROR(__xludf.DUMMYFUNCTION("IMPORTRANGE(H22265,""IDENTITAS UNIT!D9"")"),"#N/A")</f>
        <v>#N/A</v>
      </c>
      <c r="H22265" s="4" t="str">
        <v/>
      </c>
      <c r="I22265" s="4" t="str">
        <v/>
      </c>
    </row>
    <row r="22266" spans="5:9" ht="16.5" hidden="1">
      <c r="E22266" s="4" t="str">
        <v/>
      </c>
      <c r="F22266" s="102" t="str">
        <f ca="1">IFERROR(__xludf.DUMMYFUNCTION("IMPORTRANGE(H22266,""IDENTITAS UNIT!D9"")"),"#N/A")</f>
        <v>#N/A</v>
      </c>
      <c r="H22266" s="4" t="str">
        <v/>
      </c>
      <c r="I22266" s="4" t="str">
        <v/>
      </c>
    </row>
    <row r="22267" spans="5:9" ht="16.5" hidden="1">
      <c r="E22267" s="4" t="str">
        <v/>
      </c>
      <c r="F22267" s="102" t="str">
        <f ca="1">IFERROR(__xludf.DUMMYFUNCTION("IMPORTRANGE(H22267,""IDENTITAS UNIT!D9"")"),"#N/A")</f>
        <v>#N/A</v>
      </c>
      <c r="H22267" s="4" t="str">
        <v/>
      </c>
      <c r="I22267" s="4" t="str">
        <v/>
      </c>
    </row>
    <row r="22268" spans="5:9" ht="16.5" hidden="1">
      <c r="E22268" s="4" t="str">
        <v/>
      </c>
      <c r="F22268" s="102" t="str">
        <f ca="1">IFERROR(__xludf.DUMMYFUNCTION("IMPORTRANGE(H22268,""IDENTITAS UNIT!D9"")"),"#N/A")</f>
        <v>#N/A</v>
      </c>
      <c r="H22268" s="4" t="str">
        <v/>
      </c>
      <c r="I22268" s="4" t="str">
        <v/>
      </c>
    </row>
    <row r="22269" spans="5:9" ht="16.5" hidden="1">
      <c r="E22269" s="4" t="str">
        <v/>
      </c>
      <c r="F22269" s="102" t="str">
        <f ca="1">IFERROR(__xludf.DUMMYFUNCTION("IMPORTRANGE(H22269,""IDENTITAS UNIT!D9"")"),"#N/A")</f>
        <v>#N/A</v>
      </c>
      <c r="H22269" s="4" t="str">
        <v/>
      </c>
      <c r="I22269" s="4" t="str">
        <v/>
      </c>
    </row>
    <row r="22270" spans="5:9" ht="16.5" hidden="1">
      <c r="E22270" s="4" t="str">
        <v/>
      </c>
      <c r="F22270" s="102" t="str">
        <f ca="1">IFERROR(__xludf.DUMMYFUNCTION("IMPORTRANGE(H22270,""IDENTITAS UNIT!D9"")"),"#N/A")</f>
        <v>#N/A</v>
      </c>
      <c r="H22270" s="4" t="str">
        <v/>
      </c>
      <c r="I22270" s="4" t="str">
        <v/>
      </c>
    </row>
    <row r="22271" spans="5:9" ht="16.5" hidden="1">
      <c r="E22271" s="4" t="str">
        <v/>
      </c>
      <c r="F22271" s="102" t="str">
        <f ca="1">IFERROR(__xludf.DUMMYFUNCTION("IMPORTRANGE(H22271,""IDENTITAS UNIT!D9"")"),"#N/A")</f>
        <v>#N/A</v>
      </c>
      <c r="H22271" s="4" t="str">
        <v/>
      </c>
      <c r="I22271" s="4" t="str">
        <v/>
      </c>
    </row>
    <row r="22272" spans="5:9" ht="16.5" hidden="1">
      <c r="E22272" s="4" t="str">
        <v/>
      </c>
      <c r="F22272" s="102" t="str">
        <f ca="1">IFERROR(__xludf.DUMMYFUNCTION("IMPORTRANGE(H22272,""IDENTITAS UNIT!D9"")"),"#N/A")</f>
        <v>#N/A</v>
      </c>
      <c r="H22272" s="4" t="str">
        <v/>
      </c>
      <c r="I22272" s="4" t="str">
        <v/>
      </c>
    </row>
    <row r="22273" spans="5:9" ht="16.5" hidden="1">
      <c r="E22273" s="4" t="str">
        <v/>
      </c>
      <c r="F22273" s="102" t="str">
        <f ca="1">IFERROR(__xludf.DUMMYFUNCTION("IMPORTRANGE(H22273,""IDENTITAS UNIT!D9"")"),"#N/A")</f>
        <v>#N/A</v>
      </c>
      <c r="H22273" s="4" t="str">
        <v/>
      </c>
      <c r="I22273" s="4" t="str">
        <v/>
      </c>
    </row>
    <row r="22274" spans="5:9" ht="16.5" hidden="1">
      <c r="E22274" s="4" t="str">
        <v/>
      </c>
      <c r="F22274" s="102" t="str">
        <f ca="1">IFERROR(__xludf.DUMMYFUNCTION("IMPORTRANGE(H22274,""IDENTITAS UNIT!D9"")"),"#N/A")</f>
        <v>#N/A</v>
      </c>
      <c r="H22274" s="4" t="str">
        <v/>
      </c>
      <c r="I22274" s="4" t="str">
        <v/>
      </c>
    </row>
    <row r="22275" spans="5:9" ht="16.5" hidden="1">
      <c r="E22275" s="4" t="str">
        <v/>
      </c>
      <c r="F22275" s="102" t="str">
        <f ca="1">IFERROR(__xludf.DUMMYFUNCTION("IMPORTRANGE(H22275,""IDENTITAS UNIT!D9"")"),"#N/A")</f>
        <v>#N/A</v>
      </c>
      <c r="H22275" s="4" t="str">
        <v/>
      </c>
      <c r="I22275" s="4" t="str">
        <v/>
      </c>
    </row>
    <row r="22276" spans="5:9" ht="16.5" hidden="1">
      <c r="E22276" s="4" t="str">
        <v/>
      </c>
      <c r="F22276" s="102" t="str">
        <f ca="1">IFERROR(__xludf.DUMMYFUNCTION("IMPORTRANGE(H22276,""IDENTITAS UNIT!D9"")"),"#N/A")</f>
        <v>#N/A</v>
      </c>
      <c r="H22276" s="4" t="str">
        <v/>
      </c>
      <c r="I22276" s="4" t="str">
        <v/>
      </c>
    </row>
    <row r="22277" spans="5:9" ht="16.5" hidden="1">
      <c r="E22277" s="4" t="str">
        <v/>
      </c>
      <c r="F22277" s="102" t="str">
        <f ca="1">IFERROR(__xludf.DUMMYFUNCTION("IMPORTRANGE(H22277,""IDENTITAS UNIT!D9"")"),"#N/A")</f>
        <v>#N/A</v>
      </c>
      <c r="H22277" s="4" t="str">
        <v/>
      </c>
      <c r="I22277" s="4" t="str">
        <v/>
      </c>
    </row>
    <row r="22278" spans="5:9" ht="16.5" hidden="1">
      <c r="E22278" s="4" t="str">
        <v/>
      </c>
      <c r="F22278" s="102" t="str">
        <f ca="1">IFERROR(__xludf.DUMMYFUNCTION("IMPORTRANGE(H22278,""IDENTITAS UNIT!D9"")"),"#N/A")</f>
        <v>#N/A</v>
      </c>
      <c r="H22278" s="4" t="str">
        <v/>
      </c>
      <c r="I22278" s="4" t="str">
        <v/>
      </c>
    </row>
    <row r="22279" spans="5:9" ht="16.5" hidden="1">
      <c r="E22279" s="4" t="str">
        <v/>
      </c>
      <c r="F22279" s="102" t="str">
        <f ca="1">IFERROR(__xludf.DUMMYFUNCTION("IMPORTRANGE(H22279,""IDENTITAS UNIT!D9"")"),"#N/A")</f>
        <v>#N/A</v>
      </c>
      <c r="H22279" s="4" t="str">
        <v/>
      </c>
      <c r="I22279" s="4" t="str">
        <v/>
      </c>
    </row>
    <row r="22280" spans="5:9" ht="16.5" hidden="1">
      <c r="E22280" s="4" t="str">
        <v/>
      </c>
      <c r="F22280" s="102" t="str">
        <f ca="1">IFERROR(__xludf.DUMMYFUNCTION("IMPORTRANGE(H22280,""IDENTITAS UNIT!D9"")"),"#N/A")</f>
        <v>#N/A</v>
      </c>
      <c r="H22280" s="4" t="str">
        <v/>
      </c>
      <c r="I22280" s="4" t="str">
        <v/>
      </c>
    </row>
    <row r="22281" spans="5:9" ht="16.5" hidden="1">
      <c r="E22281" s="4" t="str">
        <v/>
      </c>
      <c r="F22281" s="102" t="str">
        <f ca="1">IFERROR(__xludf.DUMMYFUNCTION("IMPORTRANGE(H22281,""IDENTITAS UNIT!D9"")"),"#N/A")</f>
        <v>#N/A</v>
      </c>
      <c r="H22281" s="4" t="str">
        <v/>
      </c>
      <c r="I22281" s="4" t="str">
        <v/>
      </c>
    </row>
    <row r="22282" spans="5:9" ht="16.5" hidden="1">
      <c r="E22282" s="4" t="str">
        <v/>
      </c>
      <c r="F22282" s="102" t="str">
        <f ca="1">IFERROR(__xludf.DUMMYFUNCTION("IMPORTRANGE(H22282,""IDENTITAS UNIT!D9"")"),"#N/A")</f>
        <v>#N/A</v>
      </c>
      <c r="H22282" s="4" t="str">
        <v/>
      </c>
      <c r="I22282" s="4" t="str">
        <v/>
      </c>
    </row>
    <row r="22283" spans="5:9" ht="16.5" hidden="1">
      <c r="E22283" s="4" t="str">
        <v/>
      </c>
      <c r="F22283" s="102" t="str">
        <f ca="1">IFERROR(__xludf.DUMMYFUNCTION("IMPORTRANGE(H22283,""IDENTITAS UNIT!D9"")"),"#N/A")</f>
        <v>#N/A</v>
      </c>
      <c r="H22283" s="4" t="str">
        <v/>
      </c>
      <c r="I22283" s="4" t="str">
        <v/>
      </c>
    </row>
    <row r="22284" spans="5:9" ht="16.5" hidden="1">
      <c r="E22284" s="4" t="str">
        <v/>
      </c>
      <c r="F22284" s="102" t="str">
        <f ca="1">IFERROR(__xludf.DUMMYFUNCTION("IMPORTRANGE(H22284,""IDENTITAS UNIT!D9"")"),"#N/A")</f>
        <v>#N/A</v>
      </c>
      <c r="H22284" s="4" t="str">
        <v/>
      </c>
      <c r="I22284" s="4" t="str">
        <v/>
      </c>
    </row>
    <row r="22285" spans="5:9" ht="16.5" hidden="1">
      <c r="E22285" s="4" t="str">
        <v/>
      </c>
      <c r="F22285" s="102" t="str">
        <f ca="1">IFERROR(__xludf.DUMMYFUNCTION("IMPORTRANGE(H22285,""IDENTITAS UNIT!D9"")"),"#N/A")</f>
        <v>#N/A</v>
      </c>
      <c r="H22285" s="4" t="str">
        <v/>
      </c>
      <c r="I22285" s="4" t="str">
        <v/>
      </c>
    </row>
    <row r="22286" spans="5:9" ht="16.5" hidden="1">
      <c r="E22286" s="4" t="str">
        <v/>
      </c>
      <c r="F22286" s="102" t="str">
        <f ca="1">IFERROR(__xludf.DUMMYFUNCTION("IMPORTRANGE(H22286,""IDENTITAS UNIT!D9"")"),"#N/A")</f>
        <v>#N/A</v>
      </c>
      <c r="H22286" s="4" t="str">
        <v/>
      </c>
      <c r="I22286" s="4" t="str">
        <v/>
      </c>
    </row>
    <row r="22287" spans="5:9" ht="16.5" hidden="1">
      <c r="E22287" s="4" t="str">
        <v/>
      </c>
      <c r="F22287" s="102" t="str">
        <f ca="1">IFERROR(__xludf.DUMMYFUNCTION("IMPORTRANGE(H22287,""IDENTITAS UNIT!D9"")"),"#N/A")</f>
        <v>#N/A</v>
      </c>
      <c r="H22287" s="4" t="str">
        <v/>
      </c>
      <c r="I22287" s="4" t="str">
        <v/>
      </c>
    </row>
    <row r="22288" spans="5:9" ht="16.5" hidden="1">
      <c r="E22288" s="4" t="str">
        <v/>
      </c>
      <c r="F22288" s="102" t="str">
        <f ca="1">IFERROR(__xludf.DUMMYFUNCTION("IMPORTRANGE(H22288,""IDENTITAS UNIT!D9"")"),"#N/A")</f>
        <v>#N/A</v>
      </c>
      <c r="H22288" s="4" t="str">
        <v/>
      </c>
      <c r="I22288" s="4" t="str">
        <v/>
      </c>
    </row>
    <row r="22289" spans="5:9" ht="16.5" hidden="1">
      <c r="E22289" s="4" t="str">
        <v/>
      </c>
      <c r="F22289" s="102" t="str">
        <f ca="1">IFERROR(__xludf.DUMMYFUNCTION("IMPORTRANGE(H22289,""IDENTITAS UNIT!D9"")"),"#N/A")</f>
        <v>#N/A</v>
      </c>
      <c r="H22289" s="4" t="str">
        <v/>
      </c>
      <c r="I22289" s="4" t="str">
        <v/>
      </c>
    </row>
    <row r="22290" spans="5:9" ht="16.5" hidden="1">
      <c r="E22290" s="4" t="str">
        <v/>
      </c>
      <c r="F22290" s="102" t="str">
        <f ca="1">IFERROR(__xludf.DUMMYFUNCTION("IMPORTRANGE(H22290,""IDENTITAS UNIT!D9"")"),"#N/A")</f>
        <v>#N/A</v>
      </c>
      <c r="H22290" s="4" t="str">
        <v/>
      </c>
      <c r="I22290" s="4" t="str">
        <v/>
      </c>
    </row>
    <row r="22291" spans="5:9" ht="16.5" hidden="1">
      <c r="E22291" s="4" t="str">
        <v/>
      </c>
      <c r="F22291" s="102" t="str">
        <f ca="1">IFERROR(__xludf.DUMMYFUNCTION("IMPORTRANGE(H22291,""IDENTITAS UNIT!D9"")"),"#N/A")</f>
        <v>#N/A</v>
      </c>
      <c r="H22291" s="4" t="str">
        <v/>
      </c>
      <c r="I22291" s="4" t="str">
        <v/>
      </c>
    </row>
    <row r="22292" spans="5:9" ht="16.5" hidden="1">
      <c r="E22292" s="4" t="str">
        <v/>
      </c>
      <c r="F22292" s="102" t="str">
        <f ca="1">IFERROR(__xludf.DUMMYFUNCTION("IMPORTRANGE(H22292,""IDENTITAS UNIT!D9"")"),"#N/A")</f>
        <v>#N/A</v>
      </c>
      <c r="H22292" s="4" t="str">
        <v/>
      </c>
      <c r="I22292" s="4" t="str">
        <v/>
      </c>
    </row>
    <row r="22293" spans="5:9" ht="16.5" hidden="1">
      <c r="E22293" s="4" t="str">
        <v/>
      </c>
      <c r="F22293" s="102" t="str">
        <f ca="1">IFERROR(__xludf.DUMMYFUNCTION("IMPORTRANGE(H22293,""IDENTITAS UNIT!D9"")"),"#N/A")</f>
        <v>#N/A</v>
      </c>
      <c r="H22293" s="4" t="str">
        <v/>
      </c>
      <c r="I22293" s="4" t="str">
        <v/>
      </c>
    </row>
    <row r="22294" spans="5:9" ht="16.5" hidden="1">
      <c r="E22294" s="4" t="str">
        <v/>
      </c>
      <c r="F22294" s="102" t="str">
        <f ca="1">IFERROR(__xludf.DUMMYFUNCTION("IMPORTRANGE(H22294,""IDENTITAS UNIT!D9"")"),"#N/A")</f>
        <v>#N/A</v>
      </c>
      <c r="H22294" s="4" t="str">
        <v/>
      </c>
      <c r="I22294" s="4" t="str">
        <v/>
      </c>
    </row>
    <row r="22295" spans="5:9" ht="16.5" hidden="1">
      <c r="E22295" s="4" t="str">
        <v/>
      </c>
      <c r="F22295" s="102" t="str">
        <f ca="1">IFERROR(__xludf.DUMMYFUNCTION("IMPORTRANGE(H22295,""IDENTITAS UNIT!D9"")"),"#N/A")</f>
        <v>#N/A</v>
      </c>
      <c r="H22295" s="4" t="str">
        <v/>
      </c>
      <c r="I22295" s="4" t="str">
        <v/>
      </c>
    </row>
    <row r="22296" spans="5:9" ht="16.5" hidden="1">
      <c r="E22296" s="4" t="str">
        <v/>
      </c>
      <c r="F22296" s="102" t="str">
        <f ca="1">IFERROR(__xludf.DUMMYFUNCTION("IMPORTRANGE(H22296,""IDENTITAS UNIT!D9"")"),"#N/A")</f>
        <v>#N/A</v>
      </c>
      <c r="H22296" s="4" t="str">
        <v/>
      </c>
      <c r="I22296" s="4" t="str">
        <v/>
      </c>
    </row>
    <row r="22297" spans="5:9" ht="16.5" hidden="1">
      <c r="E22297" s="4" t="str">
        <v/>
      </c>
      <c r="F22297" s="102" t="str">
        <f ca="1">IFERROR(__xludf.DUMMYFUNCTION("IMPORTRANGE(H22297,""IDENTITAS UNIT!D9"")"),"#N/A")</f>
        <v>#N/A</v>
      </c>
      <c r="H22297" s="4" t="str">
        <v/>
      </c>
      <c r="I22297" s="4" t="str">
        <v/>
      </c>
    </row>
    <row r="22298" spans="5:9" ht="16.5" hidden="1">
      <c r="E22298" s="4" t="str">
        <v/>
      </c>
      <c r="F22298" s="102" t="str">
        <f ca="1">IFERROR(__xludf.DUMMYFUNCTION("IMPORTRANGE(H22298,""IDENTITAS UNIT!D9"")"),"#N/A")</f>
        <v>#N/A</v>
      </c>
      <c r="H22298" s="4" t="str">
        <v/>
      </c>
      <c r="I22298" s="4" t="str">
        <v/>
      </c>
    </row>
    <row r="22299" spans="5:9" ht="16.5" hidden="1">
      <c r="E22299" s="4" t="str">
        <v/>
      </c>
      <c r="F22299" s="102" t="str">
        <f ca="1">IFERROR(__xludf.DUMMYFUNCTION("IMPORTRANGE(H22299,""IDENTITAS UNIT!D9"")"),"#N/A")</f>
        <v>#N/A</v>
      </c>
      <c r="H22299" s="4" t="str">
        <v/>
      </c>
      <c r="I22299" s="4" t="str">
        <v/>
      </c>
    </row>
    <row r="22300" spans="5:9" ht="16.5" hidden="1">
      <c r="E22300" s="4" t="str">
        <v/>
      </c>
      <c r="F22300" s="102" t="str">
        <f ca="1">IFERROR(__xludf.DUMMYFUNCTION("IMPORTRANGE(H22300,""IDENTITAS UNIT!D9"")"),"#N/A")</f>
        <v>#N/A</v>
      </c>
      <c r="H22300" s="4" t="str">
        <v/>
      </c>
      <c r="I22300" s="4" t="str">
        <v/>
      </c>
    </row>
    <row r="22301" spans="5:9" ht="16.5" hidden="1">
      <c r="E22301" s="4" t="str">
        <v/>
      </c>
      <c r="F22301" s="102" t="str">
        <f ca="1">IFERROR(__xludf.DUMMYFUNCTION("IMPORTRANGE(H22301,""IDENTITAS UNIT!D9"")"),"#N/A")</f>
        <v>#N/A</v>
      </c>
      <c r="H22301" s="4" t="str">
        <v/>
      </c>
      <c r="I22301" s="4" t="str">
        <v/>
      </c>
    </row>
    <row r="22302" spans="5:9" ht="16.5" hidden="1">
      <c r="E22302" s="4" t="str">
        <v/>
      </c>
      <c r="F22302" s="102" t="str">
        <f ca="1">IFERROR(__xludf.DUMMYFUNCTION("IMPORTRANGE(H22302,""IDENTITAS UNIT!D9"")"),"#N/A")</f>
        <v>#N/A</v>
      </c>
      <c r="H22302" s="4" t="str">
        <v/>
      </c>
      <c r="I22302" s="4" t="str">
        <v/>
      </c>
    </row>
    <row r="22303" spans="5:9" ht="16.5" hidden="1">
      <c r="E22303" s="4" t="str">
        <v/>
      </c>
      <c r="F22303" s="102" t="str">
        <f ca="1">IFERROR(__xludf.DUMMYFUNCTION("IMPORTRANGE(H22303,""IDENTITAS UNIT!D9"")"),"#N/A")</f>
        <v>#N/A</v>
      </c>
      <c r="H22303" s="4" t="str">
        <v/>
      </c>
      <c r="I22303" s="4" t="str">
        <v/>
      </c>
    </row>
    <row r="22304" spans="5:9" ht="16.5" hidden="1">
      <c r="E22304" s="4" t="str">
        <v/>
      </c>
      <c r="F22304" s="102" t="str">
        <f ca="1">IFERROR(__xludf.DUMMYFUNCTION("IMPORTRANGE(H22304,""IDENTITAS UNIT!D9"")"),"#N/A")</f>
        <v>#N/A</v>
      </c>
      <c r="H22304" s="4" t="str">
        <v/>
      </c>
      <c r="I22304" s="4" t="str">
        <v/>
      </c>
    </row>
    <row r="22305" spans="5:9" ht="16.5" hidden="1">
      <c r="E22305" s="4" t="str">
        <v/>
      </c>
      <c r="F22305" s="102" t="str">
        <f ca="1">IFERROR(__xludf.DUMMYFUNCTION("IMPORTRANGE(H22305,""IDENTITAS UNIT!D9"")"),"#N/A")</f>
        <v>#N/A</v>
      </c>
      <c r="H22305" s="4" t="str">
        <v/>
      </c>
      <c r="I22305" s="4" t="str">
        <v/>
      </c>
    </row>
    <row r="22306" spans="5:9" ht="16.5" hidden="1">
      <c r="E22306" s="4" t="str">
        <v/>
      </c>
      <c r="F22306" s="102" t="str">
        <f ca="1">IFERROR(__xludf.DUMMYFUNCTION("IMPORTRANGE(H22306,""IDENTITAS UNIT!D9"")"),"#N/A")</f>
        <v>#N/A</v>
      </c>
      <c r="H22306" s="4" t="str">
        <v/>
      </c>
      <c r="I22306" s="4" t="str">
        <v/>
      </c>
    </row>
    <row r="22307" spans="5:9" ht="16.5" hidden="1">
      <c r="E22307" s="4" t="str">
        <v/>
      </c>
      <c r="F22307" s="102" t="str">
        <f ca="1">IFERROR(__xludf.DUMMYFUNCTION("IMPORTRANGE(H22307,""IDENTITAS UNIT!D9"")"),"#N/A")</f>
        <v>#N/A</v>
      </c>
      <c r="H22307" s="4" t="str">
        <v/>
      </c>
      <c r="I22307" s="4" t="str">
        <v/>
      </c>
    </row>
    <row r="22308" spans="5:9" ht="16.5" hidden="1">
      <c r="E22308" s="4" t="str">
        <v/>
      </c>
      <c r="F22308" s="102" t="str">
        <f ca="1">IFERROR(__xludf.DUMMYFUNCTION("IMPORTRANGE(H22308,""IDENTITAS UNIT!D9"")"),"#N/A")</f>
        <v>#N/A</v>
      </c>
      <c r="H22308" s="4" t="str">
        <v/>
      </c>
      <c r="I22308" s="4" t="str">
        <v/>
      </c>
    </row>
    <row r="22309" spans="5:9" ht="16.5" hidden="1">
      <c r="E22309" s="4" t="str">
        <v/>
      </c>
      <c r="F22309" s="102" t="str">
        <f ca="1">IFERROR(__xludf.DUMMYFUNCTION("IMPORTRANGE(H22309,""IDENTITAS UNIT!D9"")"),"#N/A")</f>
        <v>#N/A</v>
      </c>
      <c r="H22309" s="4" t="str">
        <v/>
      </c>
      <c r="I22309" s="4" t="str">
        <v/>
      </c>
    </row>
    <row r="22310" spans="5:9" ht="16.5" hidden="1">
      <c r="E22310" s="4" t="str">
        <v/>
      </c>
      <c r="F22310" s="102" t="str">
        <f ca="1">IFERROR(__xludf.DUMMYFUNCTION("IMPORTRANGE(H22310,""IDENTITAS UNIT!D9"")"),"#N/A")</f>
        <v>#N/A</v>
      </c>
      <c r="H22310" s="4" t="str">
        <v/>
      </c>
      <c r="I22310" s="4" t="str">
        <v/>
      </c>
    </row>
    <row r="22311" spans="5:9" ht="16.5" hidden="1">
      <c r="E22311" s="4" t="str">
        <v/>
      </c>
      <c r="F22311" s="102" t="str">
        <f ca="1">IFERROR(__xludf.DUMMYFUNCTION("IMPORTRANGE(H22311,""IDENTITAS UNIT!D9"")"),"#N/A")</f>
        <v>#N/A</v>
      </c>
      <c r="H22311" s="4" t="str">
        <v/>
      </c>
      <c r="I22311" s="4" t="str">
        <v/>
      </c>
    </row>
    <row r="22312" spans="5:9" ht="16.5" hidden="1">
      <c r="E22312" s="4" t="str">
        <v/>
      </c>
      <c r="F22312" s="102" t="str">
        <f ca="1">IFERROR(__xludf.DUMMYFUNCTION("IMPORTRANGE(H22312,""IDENTITAS UNIT!D9"")"),"#N/A")</f>
        <v>#N/A</v>
      </c>
      <c r="H22312" s="4" t="str">
        <v/>
      </c>
      <c r="I22312" s="4" t="str">
        <v/>
      </c>
    </row>
    <row r="22313" spans="5:9" ht="16.5" hidden="1">
      <c r="E22313" s="4" t="str">
        <v/>
      </c>
      <c r="F22313" s="102" t="str">
        <f ca="1">IFERROR(__xludf.DUMMYFUNCTION("IMPORTRANGE(H22313,""IDENTITAS UNIT!D9"")"),"#N/A")</f>
        <v>#N/A</v>
      </c>
      <c r="H22313" s="4" t="str">
        <v/>
      </c>
      <c r="I22313" s="4" t="str">
        <v/>
      </c>
    </row>
    <row r="22314" spans="5:9" ht="16.5" hidden="1">
      <c r="E22314" s="4" t="str">
        <v/>
      </c>
      <c r="F22314" s="102" t="str">
        <f ca="1">IFERROR(__xludf.DUMMYFUNCTION("IMPORTRANGE(H22314,""IDENTITAS UNIT!D9"")"),"#N/A")</f>
        <v>#N/A</v>
      </c>
      <c r="H22314" s="4" t="str">
        <v/>
      </c>
      <c r="I22314" s="4" t="str">
        <v/>
      </c>
    </row>
    <row r="22315" spans="5:9" ht="16.5" hidden="1">
      <c r="E22315" s="4" t="str">
        <v/>
      </c>
      <c r="F22315" s="102" t="str">
        <f ca="1">IFERROR(__xludf.DUMMYFUNCTION("IMPORTRANGE(H22315,""IDENTITAS UNIT!D9"")"),"#N/A")</f>
        <v>#N/A</v>
      </c>
      <c r="H22315" s="4" t="str">
        <v/>
      </c>
      <c r="I22315" s="4" t="str">
        <v/>
      </c>
    </row>
    <row r="22316" spans="5:9" ht="16.5" hidden="1">
      <c r="E22316" s="4" t="str">
        <v/>
      </c>
      <c r="F22316" s="102" t="str">
        <f ca="1">IFERROR(__xludf.DUMMYFUNCTION("IMPORTRANGE(H22316,""IDENTITAS UNIT!D9"")"),"#N/A")</f>
        <v>#N/A</v>
      </c>
      <c r="H22316" s="4" t="str">
        <v/>
      </c>
      <c r="I22316" s="4" t="str">
        <v/>
      </c>
    </row>
    <row r="22317" spans="5:9" ht="16.5" hidden="1">
      <c r="E22317" s="4" t="str">
        <v/>
      </c>
      <c r="F22317" s="102" t="str">
        <f ca="1">IFERROR(__xludf.DUMMYFUNCTION("IMPORTRANGE(H22317,""IDENTITAS UNIT!D9"")"),"#N/A")</f>
        <v>#N/A</v>
      </c>
      <c r="H22317" s="4" t="str">
        <v/>
      </c>
      <c r="I22317" s="4" t="str">
        <v/>
      </c>
    </row>
    <row r="22318" spans="5:9" ht="16.5" hidden="1">
      <c r="E22318" s="4" t="str">
        <v/>
      </c>
      <c r="F22318" s="102" t="str">
        <f ca="1">IFERROR(__xludf.DUMMYFUNCTION("IMPORTRANGE(H22318,""IDENTITAS UNIT!D9"")"),"#N/A")</f>
        <v>#N/A</v>
      </c>
      <c r="H22318" s="4" t="str">
        <v/>
      </c>
      <c r="I22318" s="4" t="str">
        <v/>
      </c>
    </row>
    <row r="22319" spans="5:9" ht="16.5" hidden="1">
      <c r="E22319" s="4" t="str">
        <v/>
      </c>
      <c r="F22319" s="102" t="str">
        <f ca="1">IFERROR(__xludf.DUMMYFUNCTION("IMPORTRANGE(H22319,""IDENTITAS UNIT!D9"")"),"#N/A")</f>
        <v>#N/A</v>
      </c>
      <c r="H22319" s="4" t="str">
        <v/>
      </c>
      <c r="I22319" s="4" t="str">
        <v/>
      </c>
    </row>
    <row r="22320" spans="5:9" ht="16.5" hidden="1">
      <c r="E22320" s="4" t="str">
        <v/>
      </c>
      <c r="F22320" s="102" t="str">
        <f ca="1">IFERROR(__xludf.DUMMYFUNCTION("IMPORTRANGE(H22320,""IDENTITAS UNIT!D9"")"),"#N/A")</f>
        <v>#N/A</v>
      </c>
      <c r="H22320" s="4" t="str">
        <v/>
      </c>
      <c r="I22320" s="4" t="str">
        <v/>
      </c>
    </row>
    <row r="22321" spans="5:9" ht="16.5" hidden="1">
      <c r="E22321" s="4" t="str">
        <v/>
      </c>
      <c r="F22321" s="102" t="str">
        <f ca="1">IFERROR(__xludf.DUMMYFUNCTION("IMPORTRANGE(H22321,""IDENTITAS UNIT!D9"")"),"#N/A")</f>
        <v>#N/A</v>
      </c>
      <c r="H22321" s="4" t="str">
        <v/>
      </c>
      <c r="I22321" s="4" t="str">
        <v/>
      </c>
    </row>
    <row r="22322" spans="5:9" ht="16.5" hidden="1">
      <c r="E22322" s="4" t="str">
        <v/>
      </c>
      <c r="F22322" s="102" t="str">
        <f ca="1">IFERROR(__xludf.DUMMYFUNCTION("IMPORTRANGE(H22322,""IDENTITAS UNIT!D9"")"),"#N/A")</f>
        <v>#N/A</v>
      </c>
      <c r="H22322" s="4" t="str">
        <v/>
      </c>
      <c r="I22322" s="4" t="str">
        <v/>
      </c>
    </row>
    <row r="22323" spans="5:9" ht="16.5" hidden="1">
      <c r="E22323" s="4" t="str">
        <v/>
      </c>
      <c r="F22323" s="102" t="str">
        <f ca="1">IFERROR(__xludf.DUMMYFUNCTION("IMPORTRANGE(H22323,""IDENTITAS UNIT!D9"")"),"#N/A")</f>
        <v>#N/A</v>
      </c>
      <c r="H22323" s="4" t="str">
        <v/>
      </c>
      <c r="I22323" s="4" t="str">
        <v/>
      </c>
    </row>
    <row r="22324" spans="5:9" ht="16.5" hidden="1">
      <c r="E22324" s="4" t="str">
        <v/>
      </c>
      <c r="F22324" s="102" t="str">
        <f ca="1">IFERROR(__xludf.DUMMYFUNCTION("IMPORTRANGE(H22324,""IDENTITAS UNIT!D9"")"),"#N/A")</f>
        <v>#N/A</v>
      </c>
      <c r="H22324" s="4" t="str">
        <v/>
      </c>
      <c r="I22324" s="4" t="str">
        <v/>
      </c>
    </row>
    <row r="22325" spans="5:9" ht="16.5" hidden="1">
      <c r="E22325" s="4" t="str">
        <v/>
      </c>
      <c r="F22325" s="102" t="str">
        <f ca="1">IFERROR(__xludf.DUMMYFUNCTION("IMPORTRANGE(H22325,""IDENTITAS UNIT!D9"")"),"#N/A")</f>
        <v>#N/A</v>
      </c>
      <c r="H22325" s="4" t="str">
        <v/>
      </c>
      <c r="I22325" s="4" t="str">
        <v/>
      </c>
    </row>
    <row r="22326" spans="5:9" ht="16.5" hidden="1">
      <c r="E22326" s="4" t="str">
        <v/>
      </c>
      <c r="F22326" s="102" t="str">
        <f ca="1">IFERROR(__xludf.DUMMYFUNCTION("IMPORTRANGE(H22326,""IDENTITAS UNIT!D9"")"),"#N/A")</f>
        <v>#N/A</v>
      </c>
      <c r="H22326" s="4" t="str">
        <v/>
      </c>
      <c r="I22326" s="4" t="str">
        <v/>
      </c>
    </row>
    <row r="22327" spans="5:9" ht="16.5" hidden="1">
      <c r="E22327" s="4" t="str">
        <v/>
      </c>
      <c r="F22327" s="102" t="str">
        <f ca="1">IFERROR(__xludf.DUMMYFUNCTION("IMPORTRANGE(H22327,""IDENTITAS UNIT!D9"")"),"#N/A")</f>
        <v>#N/A</v>
      </c>
      <c r="H22327" s="4" t="str">
        <v/>
      </c>
      <c r="I22327" s="4" t="str">
        <v/>
      </c>
    </row>
    <row r="22328" spans="5:9" ht="16.5" hidden="1">
      <c r="E22328" s="4" t="str">
        <v/>
      </c>
      <c r="F22328" s="102" t="str">
        <f ca="1">IFERROR(__xludf.DUMMYFUNCTION("IMPORTRANGE(H22328,""IDENTITAS UNIT!D9"")"),"#N/A")</f>
        <v>#N/A</v>
      </c>
      <c r="H22328" s="4" t="str">
        <v/>
      </c>
      <c r="I22328" s="4" t="str">
        <v/>
      </c>
    </row>
    <row r="22329" spans="5:9" ht="16.5" hidden="1">
      <c r="E22329" s="4" t="str">
        <v/>
      </c>
      <c r="F22329" s="102" t="str">
        <f ca="1">IFERROR(__xludf.DUMMYFUNCTION("IMPORTRANGE(H22329,""IDENTITAS UNIT!D9"")"),"#N/A")</f>
        <v>#N/A</v>
      </c>
      <c r="H22329" s="4" t="str">
        <v/>
      </c>
      <c r="I22329" s="4" t="str">
        <v/>
      </c>
    </row>
    <row r="22330" spans="5:9" ht="16.5" hidden="1">
      <c r="E22330" s="4" t="str">
        <v/>
      </c>
      <c r="F22330" s="102" t="str">
        <f ca="1">IFERROR(__xludf.DUMMYFUNCTION("IMPORTRANGE(H22330,""IDENTITAS UNIT!D9"")"),"#N/A")</f>
        <v>#N/A</v>
      </c>
      <c r="H22330" s="4" t="str">
        <v/>
      </c>
      <c r="I22330" s="4" t="str">
        <v/>
      </c>
    </row>
    <row r="22331" spans="5:9" ht="16.5" hidden="1">
      <c r="E22331" s="4" t="str">
        <v/>
      </c>
      <c r="F22331" s="102" t="str">
        <f ca="1">IFERROR(__xludf.DUMMYFUNCTION("IMPORTRANGE(H22331,""IDENTITAS UNIT!D9"")"),"#N/A")</f>
        <v>#N/A</v>
      </c>
      <c r="H22331" s="4" t="str">
        <v/>
      </c>
      <c r="I22331" s="4" t="str">
        <v/>
      </c>
    </row>
    <row r="22332" spans="5:9" ht="16.5" hidden="1">
      <c r="E22332" s="4" t="str">
        <v/>
      </c>
      <c r="F22332" s="102" t="str">
        <f ca="1">IFERROR(__xludf.DUMMYFUNCTION("IMPORTRANGE(H22332,""IDENTITAS UNIT!D9"")"),"#N/A")</f>
        <v>#N/A</v>
      </c>
      <c r="H22332" s="4" t="str">
        <v/>
      </c>
      <c r="I22332" s="4" t="str">
        <v/>
      </c>
    </row>
    <row r="22333" spans="5:9" ht="16.5" hidden="1">
      <c r="E22333" s="4" t="str">
        <v/>
      </c>
      <c r="F22333" s="102" t="str">
        <f ca="1">IFERROR(__xludf.DUMMYFUNCTION("IMPORTRANGE(H22333,""IDENTITAS UNIT!D9"")"),"#N/A")</f>
        <v>#N/A</v>
      </c>
      <c r="H22333" s="4" t="str">
        <v/>
      </c>
      <c r="I22333" s="4" t="str">
        <v/>
      </c>
    </row>
    <row r="22334" spans="5:9" ht="16.5" hidden="1">
      <c r="E22334" s="4" t="str">
        <v/>
      </c>
      <c r="F22334" s="102" t="str">
        <f ca="1">IFERROR(__xludf.DUMMYFUNCTION("IMPORTRANGE(H22334,""IDENTITAS UNIT!D9"")"),"#N/A")</f>
        <v>#N/A</v>
      </c>
      <c r="H22334" s="4" t="str">
        <v/>
      </c>
      <c r="I22334" s="4" t="str">
        <v/>
      </c>
    </row>
    <row r="22335" spans="5:9" ht="16.5" hidden="1">
      <c r="E22335" s="4" t="str">
        <v/>
      </c>
      <c r="F22335" s="102" t="str">
        <f ca="1">IFERROR(__xludf.DUMMYFUNCTION("IMPORTRANGE(H22335,""IDENTITAS UNIT!D9"")"),"#N/A")</f>
        <v>#N/A</v>
      </c>
      <c r="H22335" s="4" t="str">
        <v/>
      </c>
      <c r="I22335" s="4" t="str">
        <v/>
      </c>
    </row>
    <row r="22336" spans="5:9" ht="16.5" hidden="1">
      <c r="E22336" s="4" t="str">
        <v/>
      </c>
      <c r="F22336" s="102" t="str">
        <f ca="1">IFERROR(__xludf.DUMMYFUNCTION("IMPORTRANGE(H22336,""IDENTITAS UNIT!D9"")"),"#N/A")</f>
        <v>#N/A</v>
      </c>
      <c r="H22336" s="4" t="str">
        <v/>
      </c>
      <c r="I22336" s="4" t="str">
        <v/>
      </c>
    </row>
    <row r="22337" spans="5:9" ht="16.5" hidden="1">
      <c r="E22337" s="4" t="str">
        <v/>
      </c>
      <c r="F22337" s="102" t="str">
        <f ca="1">IFERROR(__xludf.DUMMYFUNCTION("IMPORTRANGE(H22337,""IDENTITAS UNIT!D9"")"),"#N/A")</f>
        <v>#N/A</v>
      </c>
      <c r="H22337" s="4" t="str">
        <v/>
      </c>
      <c r="I22337" s="4" t="str">
        <v/>
      </c>
    </row>
    <row r="22338" spans="5:9" ht="16.5" hidden="1">
      <c r="E22338" s="4" t="str">
        <v/>
      </c>
      <c r="F22338" s="102" t="str">
        <f ca="1">IFERROR(__xludf.DUMMYFUNCTION("IMPORTRANGE(H22338,""IDENTITAS UNIT!D9"")"),"#N/A")</f>
        <v>#N/A</v>
      </c>
      <c r="H22338" s="4" t="str">
        <v/>
      </c>
      <c r="I22338" s="4" t="str">
        <v/>
      </c>
    </row>
    <row r="22339" spans="5:9" ht="16.5" hidden="1">
      <c r="E22339" s="4" t="str">
        <v/>
      </c>
      <c r="F22339" s="102" t="str">
        <f ca="1">IFERROR(__xludf.DUMMYFUNCTION("IMPORTRANGE(H22339,""IDENTITAS UNIT!D9"")"),"#N/A")</f>
        <v>#N/A</v>
      </c>
      <c r="H22339" s="4" t="str">
        <v/>
      </c>
      <c r="I22339" s="4" t="str">
        <v/>
      </c>
    </row>
    <row r="22340" spans="5:9" ht="16.5" hidden="1">
      <c r="E22340" s="4" t="str">
        <v/>
      </c>
      <c r="F22340" s="102" t="str">
        <f ca="1">IFERROR(__xludf.DUMMYFUNCTION("IMPORTRANGE(H22340,""IDENTITAS UNIT!D9"")"),"#N/A")</f>
        <v>#N/A</v>
      </c>
      <c r="H22340" s="4" t="str">
        <v/>
      </c>
      <c r="I22340" s="4" t="str">
        <v/>
      </c>
    </row>
    <row r="22341" spans="5:9" ht="16.5" hidden="1">
      <c r="E22341" s="4" t="str">
        <v/>
      </c>
      <c r="F22341" s="102" t="str">
        <f ca="1">IFERROR(__xludf.DUMMYFUNCTION("IMPORTRANGE(H22341,""IDENTITAS UNIT!D9"")"),"#N/A")</f>
        <v>#N/A</v>
      </c>
      <c r="H22341" s="4" t="str">
        <v/>
      </c>
      <c r="I22341" s="4" t="str">
        <v/>
      </c>
    </row>
    <row r="22342" spans="5:9" ht="16.5" hidden="1">
      <c r="E22342" s="4" t="str">
        <v/>
      </c>
      <c r="F22342" s="102" t="str">
        <f ca="1">IFERROR(__xludf.DUMMYFUNCTION("IMPORTRANGE(H22342,""IDENTITAS UNIT!D9"")"),"#N/A")</f>
        <v>#N/A</v>
      </c>
      <c r="H22342" s="4" t="str">
        <v/>
      </c>
      <c r="I22342" s="4" t="str">
        <v/>
      </c>
    </row>
    <row r="22343" spans="5:9" ht="16.5" hidden="1">
      <c r="E22343" s="4" t="str">
        <v/>
      </c>
      <c r="F22343" s="102" t="str">
        <f ca="1">IFERROR(__xludf.DUMMYFUNCTION("IMPORTRANGE(H22343,""IDENTITAS UNIT!D9"")"),"#N/A")</f>
        <v>#N/A</v>
      </c>
      <c r="H22343" s="4" t="str">
        <v/>
      </c>
      <c r="I22343" s="4" t="str">
        <v/>
      </c>
    </row>
    <row r="22344" spans="5:9" ht="16.5" hidden="1">
      <c r="E22344" s="4" t="str">
        <v/>
      </c>
      <c r="F22344" s="102" t="str">
        <f ca="1">IFERROR(__xludf.DUMMYFUNCTION("IMPORTRANGE(H22344,""IDENTITAS UNIT!D9"")"),"#N/A")</f>
        <v>#N/A</v>
      </c>
      <c r="H22344" s="4" t="str">
        <v/>
      </c>
      <c r="I22344" s="4" t="str">
        <v/>
      </c>
    </row>
    <row r="22345" spans="5:9" ht="16.5" hidden="1">
      <c r="E22345" s="4" t="str">
        <v/>
      </c>
      <c r="F22345" s="102" t="str">
        <f ca="1">IFERROR(__xludf.DUMMYFUNCTION("IMPORTRANGE(H22345,""IDENTITAS UNIT!D9"")"),"#N/A")</f>
        <v>#N/A</v>
      </c>
      <c r="H22345" s="4" t="str">
        <v/>
      </c>
      <c r="I22345" s="4" t="str">
        <v/>
      </c>
    </row>
    <row r="22346" spans="5:9" ht="16.5" hidden="1">
      <c r="E22346" s="4" t="str">
        <v/>
      </c>
      <c r="F22346" s="102" t="str">
        <f ca="1">IFERROR(__xludf.DUMMYFUNCTION("IMPORTRANGE(H22346,""IDENTITAS UNIT!D9"")"),"#N/A")</f>
        <v>#N/A</v>
      </c>
      <c r="H22346" s="4" t="str">
        <v/>
      </c>
      <c r="I22346" s="4" t="str">
        <v/>
      </c>
    </row>
    <row r="22347" spans="5:9" ht="16.5" hidden="1">
      <c r="E22347" s="4" t="str">
        <v/>
      </c>
      <c r="F22347" s="102" t="str">
        <f ca="1">IFERROR(__xludf.DUMMYFUNCTION("IMPORTRANGE(H22347,""IDENTITAS UNIT!D9"")"),"#N/A")</f>
        <v>#N/A</v>
      </c>
      <c r="H22347" s="4" t="str">
        <v/>
      </c>
      <c r="I22347" s="4" t="str">
        <v/>
      </c>
    </row>
    <row r="22348" spans="5:9" ht="16.5" hidden="1">
      <c r="E22348" s="4" t="str">
        <v/>
      </c>
      <c r="F22348" s="102" t="str">
        <f ca="1">IFERROR(__xludf.DUMMYFUNCTION("IMPORTRANGE(H22348,""IDENTITAS UNIT!D9"")"),"#N/A")</f>
        <v>#N/A</v>
      </c>
      <c r="H22348" s="4" t="str">
        <v/>
      </c>
      <c r="I22348" s="4" t="str">
        <v/>
      </c>
    </row>
    <row r="22349" spans="5:9" ht="16.5" hidden="1">
      <c r="E22349" s="4" t="str">
        <v/>
      </c>
      <c r="F22349" s="102" t="str">
        <f ca="1">IFERROR(__xludf.DUMMYFUNCTION("IMPORTRANGE(H22349,""IDENTITAS UNIT!D9"")"),"#N/A")</f>
        <v>#N/A</v>
      </c>
      <c r="H22349" s="4" t="str">
        <v/>
      </c>
      <c r="I22349" s="4" t="str">
        <v/>
      </c>
    </row>
    <row r="22350" spans="5:9" ht="16.5" hidden="1">
      <c r="E22350" s="4" t="str">
        <v/>
      </c>
      <c r="F22350" s="102" t="str">
        <f ca="1">IFERROR(__xludf.DUMMYFUNCTION("IMPORTRANGE(H22350,""IDENTITAS UNIT!D9"")"),"#N/A")</f>
        <v>#N/A</v>
      </c>
      <c r="H22350" s="4" t="str">
        <v/>
      </c>
      <c r="I22350" s="4" t="str">
        <v/>
      </c>
    </row>
    <row r="22351" spans="5:9" ht="16.5" hidden="1">
      <c r="E22351" s="4" t="str">
        <v/>
      </c>
      <c r="F22351" s="102" t="str">
        <f ca="1">IFERROR(__xludf.DUMMYFUNCTION("IMPORTRANGE(H22351,""IDENTITAS UNIT!D9"")"),"#N/A")</f>
        <v>#N/A</v>
      </c>
      <c r="H22351" s="4" t="str">
        <v/>
      </c>
      <c r="I22351" s="4" t="str">
        <v/>
      </c>
    </row>
    <row r="22352" spans="5:9" ht="16.5" hidden="1">
      <c r="E22352" s="4" t="str">
        <v/>
      </c>
      <c r="F22352" s="102" t="str">
        <f ca="1">IFERROR(__xludf.DUMMYFUNCTION("IMPORTRANGE(H22352,""IDENTITAS UNIT!D9"")"),"#N/A")</f>
        <v>#N/A</v>
      </c>
      <c r="H22352" s="4" t="str">
        <v/>
      </c>
      <c r="I22352" s="4" t="str">
        <v/>
      </c>
    </row>
    <row r="22353" spans="5:9" ht="16.5" hidden="1">
      <c r="E22353" s="4" t="str">
        <v/>
      </c>
      <c r="F22353" s="102" t="str">
        <f ca="1">IFERROR(__xludf.DUMMYFUNCTION("IMPORTRANGE(H22353,""IDENTITAS UNIT!D9"")"),"#N/A")</f>
        <v>#N/A</v>
      </c>
      <c r="H22353" s="4" t="str">
        <v/>
      </c>
      <c r="I22353" s="4" t="str">
        <v/>
      </c>
    </row>
    <row r="22354" spans="5:9" ht="16.5" hidden="1">
      <c r="E22354" s="4" t="str">
        <v/>
      </c>
      <c r="F22354" s="102" t="str">
        <f ca="1">IFERROR(__xludf.DUMMYFUNCTION("IMPORTRANGE(H22354,""IDENTITAS UNIT!D9"")"),"#N/A")</f>
        <v>#N/A</v>
      </c>
      <c r="H22354" s="4" t="str">
        <v/>
      </c>
      <c r="I22354" s="4" t="str">
        <v/>
      </c>
    </row>
    <row r="22355" spans="5:9" ht="16.5" hidden="1">
      <c r="E22355" s="4" t="str">
        <v/>
      </c>
      <c r="F22355" s="102" t="str">
        <f ca="1">IFERROR(__xludf.DUMMYFUNCTION("IMPORTRANGE(H22355,""IDENTITAS UNIT!D9"")"),"#N/A")</f>
        <v>#N/A</v>
      </c>
      <c r="H22355" s="4" t="str">
        <v/>
      </c>
      <c r="I22355" s="4" t="str">
        <v/>
      </c>
    </row>
    <row r="22356" spans="5:9" ht="16.5" hidden="1">
      <c r="E22356" s="4" t="str">
        <v/>
      </c>
      <c r="F22356" s="102" t="str">
        <f ca="1">IFERROR(__xludf.DUMMYFUNCTION("IMPORTRANGE(H22356,""IDENTITAS UNIT!D9"")"),"#N/A")</f>
        <v>#N/A</v>
      </c>
      <c r="H22356" s="4" t="str">
        <v/>
      </c>
      <c r="I22356" s="4" t="str">
        <v/>
      </c>
    </row>
    <row r="22357" spans="5:9" ht="16.5" hidden="1">
      <c r="E22357" s="4" t="str">
        <v/>
      </c>
      <c r="F22357" s="102" t="str">
        <f ca="1">IFERROR(__xludf.DUMMYFUNCTION("IMPORTRANGE(H22357,""IDENTITAS UNIT!D9"")"),"#N/A")</f>
        <v>#N/A</v>
      </c>
      <c r="H22357" s="4" t="str">
        <v/>
      </c>
      <c r="I22357" s="4" t="str">
        <v/>
      </c>
    </row>
    <row r="22358" spans="5:9" ht="16.5" hidden="1">
      <c r="E22358" s="4" t="str">
        <v/>
      </c>
      <c r="F22358" s="102" t="str">
        <f ca="1">IFERROR(__xludf.DUMMYFUNCTION("IMPORTRANGE(H22358,""IDENTITAS UNIT!D9"")"),"#N/A")</f>
        <v>#N/A</v>
      </c>
      <c r="H22358" s="4" t="str">
        <v/>
      </c>
      <c r="I22358" s="4" t="str">
        <v/>
      </c>
    </row>
    <row r="22359" spans="5:9" ht="16.5" hidden="1">
      <c r="E22359" s="4" t="str">
        <v/>
      </c>
      <c r="F22359" s="102" t="str">
        <f ca="1">IFERROR(__xludf.DUMMYFUNCTION("IMPORTRANGE(H22359,""IDENTITAS UNIT!D9"")"),"#N/A")</f>
        <v>#N/A</v>
      </c>
      <c r="H22359" s="4" t="str">
        <v/>
      </c>
      <c r="I22359" s="4" t="str">
        <v/>
      </c>
    </row>
    <row r="22360" spans="5:9" ht="16.5" hidden="1">
      <c r="E22360" s="4" t="str">
        <v/>
      </c>
      <c r="F22360" s="102" t="str">
        <f ca="1">IFERROR(__xludf.DUMMYFUNCTION("IMPORTRANGE(H22360,""IDENTITAS UNIT!D9"")"),"#N/A")</f>
        <v>#N/A</v>
      </c>
      <c r="H22360" s="4" t="str">
        <v/>
      </c>
      <c r="I22360" s="4" t="str">
        <v/>
      </c>
    </row>
    <row r="22361" spans="5:9" ht="16.5" hidden="1">
      <c r="E22361" s="4" t="str">
        <v/>
      </c>
      <c r="F22361" s="102" t="str">
        <f ca="1">IFERROR(__xludf.DUMMYFUNCTION("IMPORTRANGE(H22361,""IDENTITAS UNIT!D9"")"),"#N/A")</f>
        <v>#N/A</v>
      </c>
      <c r="H22361" s="4" t="str">
        <v/>
      </c>
      <c r="I22361" s="4" t="str">
        <v/>
      </c>
    </row>
    <row r="22362" spans="5:9" ht="16.5" hidden="1">
      <c r="E22362" s="4" t="str">
        <v/>
      </c>
      <c r="F22362" s="102" t="str">
        <f ca="1">IFERROR(__xludf.DUMMYFUNCTION("IMPORTRANGE(H22362,""IDENTITAS UNIT!D9"")"),"#N/A")</f>
        <v>#N/A</v>
      </c>
      <c r="H22362" s="4" t="str">
        <v/>
      </c>
      <c r="I22362" s="4" t="str">
        <v/>
      </c>
    </row>
    <row r="22363" spans="5:9" ht="16.5" hidden="1">
      <c r="E22363" s="4" t="str">
        <v/>
      </c>
      <c r="F22363" s="102" t="str">
        <f ca="1">IFERROR(__xludf.DUMMYFUNCTION("IMPORTRANGE(H22363,""IDENTITAS UNIT!D9"")"),"#N/A")</f>
        <v>#N/A</v>
      </c>
      <c r="H22363" s="4" t="str">
        <v/>
      </c>
      <c r="I22363" s="4" t="str">
        <v/>
      </c>
    </row>
    <row r="22364" spans="5:9" ht="16.5" hidden="1">
      <c r="E22364" s="4" t="str">
        <v/>
      </c>
      <c r="F22364" s="102" t="str">
        <f ca="1">IFERROR(__xludf.DUMMYFUNCTION("IMPORTRANGE(H22364,""IDENTITAS UNIT!D9"")"),"#N/A")</f>
        <v>#N/A</v>
      </c>
      <c r="H22364" s="4" t="str">
        <v/>
      </c>
      <c r="I22364" s="4" t="str">
        <v/>
      </c>
    </row>
    <row r="22365" spans="5:9" ht="16.5" hidden="1">
      <c r="E22365" s="4" t="str">
        <v/>
      </c>
      <c r="F22365" s="102" t="str">
        <f ca="1">IFERROR(__xludf.DUMMYFUNCTION("IMPORTRANGE(H22365,""IDENTITAS UNIT!D9"")"),"#N/A")</f>
        <v>#N/A</v>
      </c>
      <c r="H22365" s="4" t="str">
        <v/>
      </c>
      <c r="I22365" s="4" t="str">
        <v/>
      </c>
    </row>
    <row r="22366" spans="5:9" ht="16.5" hidden="1">
      <c r="E22366" s="4" t="str">
        <v/>
      </c>
      <c r="F22366" s="102" t="str">
        <f ca="1">IFERROR(__xludf.DUMMYFUNCTION("IMPORTRANGE(H22366,""IDENTITAS UNIT!D9"")"),"#N/A")</f>
        <v>#N/A</v>
      </c>
      <c r="H22366" s="4" t="str">
        <v/>
      </c>
      <c r="I22366" s="4" t="str">
        <v/>
      </c>
    </row>
    <row r="22367" spans="5:9" ht="16.5" hidden="1">
      <c r="E22367" s="4" t="str">
        <v/>
      </c>
      <c r="F22367" s="102" t="str">
        <f ca="1">IFERROR(__xludf.DUMMYFUNCTION("IMPORTRANGE(H22367,""IDENTITAS UNIT!D9"")"),"#N/A")</f>
        <v>#N/A</v>
      </c>
      <c r="H22367" s="4" t="str">
        <v/>
      </c>
      <c r="I22367" s="4" t="str">
        <v/>
      </c>
    </row>
    <row r="22368" spans="5:9" ht="16.5" hidden="1">
      <c r="E22368" s="4" t="str">
        <v/>
      </c>
      <c r="F22368" s="102" t="str">
        <f ca="1">IFERROR(__xludf.DUMMYFUNCTION("IMPORTRANGE(H22368,""IDENTITAS UNIT!D9"")"),"#N/A")</f>
        <v>#N/A</v>
      </c>
      <c r="H22368" s="4" t="str">
        <v/>
      </c>
      <c r="I22368" s="4" t="str">
        <v/>
      </c>
    </row>
    <row r="22369" spans="5:9" ht="16.5" hidden="1">
      <c r="E22369" s="4" t="str">
        <v/>
      </c>
      <c r="F22369" s="102" t="str">
        <f ca="1">IFERROR(__xludf.DUMMYFUNCTION("IMPORTRANGE(H22369,""IDENTITAS UNIT!D9"")"),"#N/A")</f>
        <v>#N/A</v>
      </c>
      <c r="H22369" s="4" t="str">
        <v/>
      </c>
      <c r="I22369" s="4" t="str">
        <v/>
      </c>
    </row>
    <row r="22370" spans="5:9" ht="16.5" hidden="1">
      <c r="E22370" s="4" t="str">
        <v/>
      </c>
      <c r="F22370" s="102" t="str">
        <f ca="1">IFERROR(__xludf.DUMMYFUNCTION("IMPORTRANGE(H22370,""IDENTITAS UNIT!D9"")"),"#N/A")</f>
        <v>#N/A</v>
      </c>
      <c r="H22370" s="4" t="str">
        <v/>
      </c>
      <c r="I22370" s="4" t="str">
        <v/>
      </c>
    </row>
    <row r="22371" spans="5:9" ht="16.5" hidden="1">
      <c r="E22371" s="4" t="str">
        <v/>
      </c>
      <c r="F22371" s="102" t="str">
        <f ca="1">IFERROR(__xludf.DUMMYFUNCTION("IMPORTRANGE(H22371,""IDENTITAS UNIT!D9"")"),"#N/A")</f>
        <v>#N/A</v>
      </c>
      <c r="H22371" s="4" t="str">
        <v/>
      </c>
      <c r="I22371" s="4" t="str">
        <v/>
      </c>
    </row>
    <row r="22372" spans="5:9" ht="16.5" hidden="1">
      <c r="E22372" s="4" t="str">
        <v/>
      </c>
      <c r="F22372" s="102" t="str">
        <f ca="1">IFERROR(__xludf.DUMMYFUNCTION("IMPORTRANGE(H22372,""IDENTITAS UNIT!D9"")"),"#N/A")</f>
        <v>#N/A</v>
      </c>
      <c r="H22372" s="4" t="str">
        <v/>
      </c>
      <c r="I22372" s="4" t="str">
        <v/>
      </c>
    </row>
    <row r="22373" spans="5:9" ht="16.5" hidden="1">
      <c r="E22373" s="4" t="str">
        <v/>
      </c>
      <c r="F22373" s="102" t="str">
        <f ca="1">IFERROR(__xludf.DUMMYFUNCTION("IMPORTRANGE(H22373,""IDENTITAS UNIT!D9"")"),"#N/A")</f>
        <v>#N/A</v>
      </c>
      <c r="H22373" s="4" t="str">
        <v/>
      </c>
      <c r="I22373" s="4" t="str">
        <v/>
      </c>
    </row>
    <row r="22374" spans="5:9" ht="16.5" hidden="1">
      <c r="E22374" s="4" t="str">
        <v/>
      </c>
      <c r="F22374" s="102" t="str">
        <f ca="1">IFERROR(__xludf.DUMMYFUNCTION("IMPORTRANGE(H22374,""IDENTITAS UNIT!D9"")"),"#N/A")</f>
        <v>#N/A</v>
      </c>
      <c r="H22374" s="4" t="str">
        <v/>
      </c>
      <c r="I22374" s="4" t="str">
        <v/>
      </c>
    </row>
    <row r="22375" spans="5:9" ht="16.5" hidden="1">
      <c r="E22375" s="4" t="str">
        <v/>
      </c>
      <c r="F22375" s="102" t="str">
        <f ca="1">IFERROR(__xludf.DUMMYFUNCTION("IMPORTRANGE(H22375,""IDENTITAS UNIT!D9"")"),"#N/A")</f>
        <v>#N/A</v>
      </c>
      <c r="H22375" s="4" t="str">
        <v/>
      </c>
      <c r="I22375" s="4" t="str">
        <v/>
      </c>
    </row>
    <row r="22376" spans="5:9" ht="16.5" hidden="1">
      <c r="E22376" s="4" t="str">
        <v/>
      </c>
      <c r="F22376" s="102" t="str">
        <f ca="1">IFERROR(__xludf.DUMMYFUNCTION("IMPORTRANGE(H22376,""IDENTITAS UNIT!D9"")"),"#N/A")</f>
        <v>#N/A</v>
      </c>
      <c r="H22376" s="4" t="str">
        <v/>
      </c>
      <c r="I22376" s="4" t="str">
        <v/>
      </c>
    </row>
    <row r="22377" spans="5:9" ht="16.5" hidden="1">
      <c r="E22377" s="4" t="str">
        <v/>
      </c>
      <c r="F22377" s="102" t="str">
        <f ca="1">IFERROR(__xludf.DUMMYFUNCTION("IMPORTRANGE(H22377,""IDENTITAS UNIT!D9"")"),"#N/A")</f>
        <v>#N/A</v>
      </c>
      <c r="H22377" s="4" t="str">
        <v/>
      </c>
      <c r="I22377" s="4" t="str">
        <v/>
      </c>
    </row>
    <row r="22378" spans="5:9" ht="16.5" hidden="1">
      <c r="E22378" s="4" t="str">
        <v/>
      </c>
      <c r="F22378" s="102" t="str">
        <f ca="1">IFERROR(__xludf.DUMMYFUNCTION("IMPORTRANGE(H22378,""IDENTITAS UNIT!D9"")"),"#N/A")</f>
        <v>#N/A</v>
      </c>
      <c r="H22378" s="4" t="str">
        <v/>
      </c>
      <c r="I22378" s="4" t="str">
        <v/>
      </c>
    </row>
    <row r="22379" spans="5:9" ht="16.5" hidden="1">
      <c r="E22379" s="4" t="str">
        <v/>
      </c>
      <c r="F22379" s="102" t="str">
        <f ca="1">IFERROR(__xludf.DUMMYFUNCTION("IMPORTRANGE(H22379,""IDENTITAS UNIT!D9"")"),"#N/A")</f>
        <v>#N/A</v>
      </c>
      <c r="H22379" s="4" t="str">
        <v/>
      </c>
      <c r="I22379" s="4" t="str">
        <v/>
      </c>
    </row>
    <row r="22380" spans="5:9" ht="16.5" hidden="1">
      <c r="E22380" s="4" t="str">
        <v/>
      </c>
      <c r="F22380" s="102" t="str">
        <f ca="1">IFERROR(__xludf.DUMMYFUNCTION("IMPORTRANGE(H22380,""IDENTITAS UNIT!D9"")"),"#N/A")</f>
        <v>#N/A</v>
      </c>
      <c r="H22380" s="4" t="str">
        <v/>
      </c>
      <c r="I22380" s="4" t="str">
        <v/>
      </c>
    </row>
    <row r="22381" spans="5:9" ht="16.5" hidden="1">
      <c r="E22381" s="4" t="str">
        <v/>
      </c>
      <c r="F22381" s="102" t="str">
        <f ca="1">IFERROR(__xludf.DUMMYFUNCTION("IMPORTRANGE(H22381,""IDENTITAS UNIT!D9"")"),"#N/A")</f>
        <v>#N/A</v>
      </c>
      <c r="H22381" s="4" t="str">
        <v/>
      </c>
      <c r="I22381" s="4" t="str">
        <v/>
      </c>
    </row>
    <row r="22382" spans="5:9" ht="16.5" hidden="1">
      <c r="E22382" s="4" t="str">
        <v/>
      </c>
      <c r="F22382" s="102" t="str">
        <f ca="1">IFERROR(__xludf.DUMMYFUNCTION("IMPORTRANGE(H22382,""IDENTITAS UNIT!D9"")"),"#N/A")</f>
        <v>#N/A</v>
      </c>
      <c r="H22382" s="4" t="str">
        <v/>
      </c>
      <c r="I22382" s="4" t="str">
        <v/>
      </c>
    </row>
    <row r="22383" spans="5:9" ht="16.5" hidden="1">
      <c r="E22383" s="4" t="str">
        <v/>
      </c>
      <c r="F22383" s="102" t="str">
        <f ca="1">IFERROR(__xludf.DUMMYFUNCTION("IMPORTRANGE(H22383,""IDENTITAS UNIT!D9"")"),"#N/A")</f>
        <v>#N/A</v>
      </c>
      <c r="H22383" s="4" t="str">
        <v/>
      </c>
      <c r="I22383" s="4" t="str">
        <v/>
      </c>
    </row>
    <row r="22384" spans="5:9" ht="16.5" hidden="1">
      <c r="E22384" s="4" t="str">
        <v/>
      </c>
      <c r="F22384" s="102" t="str">
        <f ca="1">IFERROR(__xludf.DUMMYFUNCTION("IMPORTRANGE(H22384,""IDENTITAS UNIT!D9"")"),"#N/A")</f>
        <v>#N/A</v>
      </c>
      <c r="H22384" s="4" t="str">
        <v/>
      </c>
      <c r="I22384" s="4" t="str">
        <v/>
      </c>
    </row>
    <row r="22385" spans="5:9" ht="16.5" hidden="1">
      <c r="E22385" s="4" t="str">
        <v/>
      </c>
      <c r="F22385" s="102" t="str">
        <f ca="1">IFERROR(__xludf.DUMMYFUNCTION("IMPORTRANGE(H22385,""IDENTITAS UNIT!D9"")"),"#N/A")</f>
        <v>#N/A</v>
      </c>
      <c r="H22385" s="4" t="str">
        <v/>
      </c>
      <c r="I22385" s="4" t="str">
        <v/>
      </c>
    </row>
    <row r="22386" spans="5:9" ht="16.5" hidden="1">
      <c r="E22386" s="4" t="str">
        <v/>
      </c>
      <c r="F22386" s="102" t="str">
        <f ca="1">IFERROR(__xludf.DUMMYFUNCTION("IMPORTRANGE(H22386,""IDENTITAS UNIT!D9"")"),"#N/A")</f>
        <v>#N/A</v>
      </c>
      <c r="H22386" s="4" t="str">
        <v/>
      </c>
      <c r="I22386" s="4" t="str">
        <v/>
      </c>
    </row>
    <row r="22387" spans="5:9" ht="16.5" hidden="1">
      <c r="E22387" s="4" t="str">
        <v/>
      </c>
      <c r="F22387" s="102" t="str">
        <f ca="1">IFERROR(__xludf.DUMMYFUNCTION("IMPORTRANGE(H22387,""IDENTITAS UNIT!D9"")"),"#N/A")</f>
        <v>#N/A</v>
      </c>
      <c r="H22387" s="4" t="str">
        <v/>
      </c>
      <c r="I22387" s="4" t="str">
        <v/>
      </c>
    </row>
    <row r="22388" spans="5:9" ht="16.5" hidden="1">
      <c r="E22388" s="4" t="str">
        <v/>
      </c>
      <c r="F22388" s="102" t="str">
        <f ca="1">IFERROR(__xludf.DUMMYFUNCTION("IMPORTRANGE(H22388,""IDENTITAS UNIT!D9"")"),"#N/A")</f>
        <v>#N/A</v>
      </c>
      <c r="H22388" s="4" t="str">
        <v/>
      </c>
      <c r="I22388" s="4" t="str">
        <v/>
      </c>
    </row>
    <row r="22389" spans="5:9" ht="16.5" hidden="1">
      <c r="E22389" s="4" t="str">
        <v/>
      </c>
      <c r="F22389" s="102" t="str">
        <f ca="1">IFERROR(__xludf.DUMMYFUNCTION("IMPORTRANGE(H22389,""IDENTITAS UNIT!D9"")"),"#N/A")</f>
        <v>#N/A</v>
      </c>
      <c r="H22389" s="4" t="str">
        <v/>
      </c>
      <c r="I22389" s="4" t="str">
        <v/>
      </c>
    </row>
    <row r="22390" spans="5:9" ht="16.5" hidden="1">
      <c r="E22390" s="4" t="str">
        <v/>
      </c>
      <c r="F22390" s="102" t="str">
        <f ca="1">IFERROR(__xludf.DUMMYFUNCTION("IMPORTRANGE(H22390,""IDENTITAS UNIT!D9"")"),"#N/A")</f>
        <v>#N/A</v>
      </c>
      <c r="H22390" s="4" t="str">
        <v/>
      </c>
      <c r="I22390" s="4" t="str">
        <v/>
      </c>
    </row>
    <row r="22391" spans="5:9" ht="16.5" hidden="1">
      <c r="E22391" s="4" t="str">
        <v/>
      </c>
      <c r="F22391" s="102" t="str">
        <f ca="1">IFERROR(__xludf.DUMMYFUNCTION("IMPORTRANGE(H22391,""IDENTITAS UNIT!D9"")"),"#N/A")</f>
        <v>#N/A</v>
      </c>
      <c r="H22391" s="4" t="str">
        <v/>
      </c>
      <c r="I22391" s="4" t="str">
        <v/>
      </c>
    </row>
    <row r="22392" spans="5:9" ht="16.5" hidden="1">
      <c r="E22392" s="4" t="str">
        <v/>
      </c>
      <c r="F22392" s="102" t="str">
        <f ca="1">IFERROR(__xludf.DUMMYFUNCTION("IMPORTRANGE(H22392,""IDENTITAS UNIT!D9"")"),"#N/A")</f>
        <v>#N/A</v>
      </c>
      <c r="H22392" s="4" t="str">
        <v/>
      </c>
      <c r="I22392" s="4" t="str">
        <v/>
      </c>
    </row>
    <row r="22393" spans="5:9" ht="16.5" hidden="1">
      <c r="E22393" s="4" t="str">
        <v/>
      </c>
      <c r="F22393" s="102" t="str">
        <f ca="1">IFERROR(__xludf.DUMMYFUNCTION("IMPORTRANGE(H22393,""IDENTITAS UNIT!D9"")"),"#N/A")</f>
        <v>#N/A</v>
      </c>
      <c r="H22393" s="4" t="str">
        <v/>
      </c>
      <c r="I22393" s="4" t="str">
        <v/>
      </c>
    </row>
    <row r="22394" spans="5:9" ht="16.5" hidden="1">
      <c r="E22394" s="4" t="str">
        <v/>
      </c>
      <c r="F22394" s="102" t="str">
        <f ca="1">IFERROR(__xludf.DUMMYFUNCTION("IMPORTRANGE(H22394,""IDENTITAS UNIT!D9"")"),"#N/A")</f>
        <v>#N/A</v>
      </c>
      <c r="H22394" s="4" t="str">
        <v/>
      </c>
      <c r="I22394" s="4" t="str">
        <v/>
      </c>
    </row>
    <row r="22395" spans="5:9" ht="16.5" hidden="1">
      <c r="E22395" s="4" t="str">
        <v/>
      </c>
      <c r="F22395" s="102" t="str">
        <f ca="1">IFERROR(__xludf.DUMMYFUNCTION("IMPORTRANGE(H22395,""IDENTITAS UNIT!D9"")"),"#N/A")</f>
        <v>#N/A</v>
      </c>
      <c r="H22395" s="4" t="str">
        <v/>
      </c>
      <c r="I22395" s="4" t="str">
        <v/>
      </c>
    </row>
    <row r="22396" spans="5:9" ht="16.5" hidden="1">
      <c r="E22396" s="4" t="str">
        <v/>
      </c>
      <c r="F22396" s="102" t="str">
        <f ca="1">IFERROR(__xludf.DUMMYFUNCTION("IMPORTRANGE(H22396,""IDENTITAS UNIT!D9"")"),"#N/A")</f>
        <v>#N/A</v>
      </c>
      <c r="H22396" s="4" t="str">
        <v/>
      </c>
      <c r="I22396" s="4" t="str">
        <v/>
      </c>
    </row>
    <row r="22397" spans="5:9" ht="16.5" hidden="1">
      <c r="E22397" s="4" t="str">
        <v/>
      </c>
      <c r="F22397" s="102" t="str">
        <f ca="1">IFERROR(__xludf.DUMMYFUNCTION("IMPORTRANGE(H22397,""IDENTITAS UNIT!D9"")"),"#N/A")</f>
        <v>#N/A</v>
      </c>
      <c r="H22397" s="4" t="str">
        <v/>
      </c>
      <c r="I22397" s="4" t="str">
        <v/>
      </c>
    </row>
    <row r="22398" spans="5:9" ht="16.5" hidden="1">
      <c r="E22398" s="4" t="str">
        <v/>
      </c>
      <c r="F22398" s="102" t="str">
        <f ca="1">IFERROR(__xludf.DUMMYFUNCTION("IMPORTRANGE(H22398,""IDENTITAS UNIT!D9"")"),"#N/A")</f>
        <v>#N/A</v>
      </c>
      <c r="H22398" s="4" t="str">
        <v/>
      </c>
      <c r="I22398" s="4" t="str">
        <v/>
      </c>
    </row>
    <row r="22399" spans="5:9" ht="16.5" hidden="1">
      <c r="E22399" s="4" t="str">
        <v/>
      </c>
      <c r="F22399" s="102" t="str">
        <f ca="1">IFERROR(__xludf.DUMMYFUNCTION("IMPORTRANGE(H22399,""IDENTITAS UNIT!D9"")"),"#N/A")</f>
        <v>#N/A</v>
      </c>
      <c r="H22399" s="4" t="str">
        <v/>
      </c>
      <c r="I22399" s="4" t="str">
        <v/>
      </c>
    </row>
    <row r="22400" spans="5:9" ht="16.5" hidden="1">
      <c r="E22400" s="4" t="str">
        <v/>
      </c>
      <c r="F22400" s="102" t="str">
        <f ca="1">IFERROR(__xludf.DUMMYFUNCTION("IMPORTRANGE(H22400,""IDENTITAS UNIT!D9"")"),"#N/A")</f>
        <v>#N/A</v>
      </c>
      <c r="H22400" s="4" t="str">
        <v/>
      </c>
      <c r="I22400" s="4" t="str">
        <v/>
      </c>
    </row>
    <row r="22401" spans="5:9" ht="16.5" hidden="1">
      <c r="E22401" s="4" t="str">
        <v/>
      </c>
      <c r="F22401" s="102" t="str">
        <f ca="1">IFERROR(__xludf.DUMMYFUNCTION("IMPORTRANGE(H22401,""IDENTITAS UNIT!D9"")"),"#N/A")</f>
        <v>#N/A</v>
      </c>
      <c r="H22401" s="4" t="str">
        <v/>
      </c>
      <c r="I22401" s="4" t="str">
        <v/>
      </c>
    </row>
    <row r="22402" spans="5:9" ht="16.5" hidden="1">
      <c r="E22402" s="4" t="str">
        <v/>
      </c>
      <c r="F22402" s="102" t="str">
        <f ca="1">IFERROR(__xludf.DUMMYFUNCTION("IMPORTRANGE(H22402,""IDENTITAS UNIT!D9"")"),"#N/A")</f>
        <v>#N/A</v>
      </c>
      <c r="H22402" s="4" t="str">
        <v/>
      </c>
      <c r="I22402" s="4" t="str">
        <v/>
      </c>
    </row>
    <row r="22403" spans="5:9" ht="16.5" hidden="1">
      <c r="E22403" s="4" t="str">
        <v/>
      </c>
      <c r="F22403" s="102" t="str">
        <f ca="1">IFERROR(__xludf.DUMMYFUNCTION("IMPORTRANGE(H22403,""IDENTITAS UNIT!D9"")"),"#N/A")</f>
        <v>#N/A</v>
      </c>
      <c r="H22403" s="4" t="str">
        <v/>
      </c>
      <c r="I22403" s="4" t="str">
        <v/>
      </c>
    </row>
    <row r="22404" spans="5:9" ht="16.5" hidden="1">
      <c r="E22404" s="4" t="str">
        <v/>
      </c>
      <c r="F22404" s="102" t="str">
        <f ca="1">IFERROR(__xludf.DUMMYFUNCTION("IMPORTRANGE(H22404,""IDENTITAS UNIT!D9"")"),"#N/A")</f>
        <v>#N/A</v>
      </c>
      <c r="H22404" s="4" t="str">
        <v/>
      </c>
      <c r="I22404" s="4" t="str">
        <v/>
      </c>
    </row>
    <row r="22405" spans="5:9" ht="16.5" hidden="1">
      <c r="E22405" s="4" t="str">
        <v/>
      </c>
      <c r="F22405" s="102" t="str">
        <f ca="1">IFERROR(__xludf.DUMMYFUNCTION("IMPORTRANGE(H22405,""IDENTITAS UNIT!D9"")"),"#N/A")</f>
        <v>#N/A</v>
      </c>
      <c r="H22405" s="4" t="str">
        <v/>
      </c>
      <c r="I22405" s="4" t="str">
        <v/>
      </c>
    </row>
    <row r="22406" spans="5:9" ht="16.5" hidden="1">
      <c r="E22406" s="4" t="str">
        <v/>
      </c>
      <c r="F22406" s="102" t="str">
        <f ca="1">IFERROR(__xludf.DUMMYFUNCTION("IMPORTRANGE(H22406,""IDENTITAS UNIT!D9"")"),"#N/A")</f>
        <v>#N/A</v>
      </c>
      <c r="H22406" s="4" t="str">
        <v/>
      </c>
      <c r="I22406" s="4" t="str">
        <v/>
      </c>
    </row>
    <row r="22407" spans="5:9" ht="16.5" hidden="1">
      <c r="E22407" s="4" t="str">
        <v/>
      </c>
      <c r="F22407" s="102" t="str">
        <f ca="1">IFERROR(__xludf.DUMMYFUNCTION("IMPORTRANGE(H22407,""IDENTITAS UNIT!D9"")"),"#N/A")</f>
        <v>#N/A</v>
      </c>
      <c r="H22407" s="4" t="str">
        <v/>
      </c>
      <c r="I22407" s="4" t="str">
        <v/>
      </c>
    </row>
    <row r="22408" spans="5:9" ht="16.5" hidden="1">
      <c r="E22408" s="4" t="str">
        <v/>
      </c>
      <c r="F22408" s="102" t="str">
        <f ca="1">IFERROR(__xludf.DUMMYFUNCTION("IMPORTRANGE(H22408,""IDENTITAS UNIT!D9"")"),"#N/A")</f>
        <v>#N/A</v>
      </c>
      <c r="H22408" s="4" t="str">
        <v/>
      </c>
      <c r="I22408" s="4" t="str">
        <v/>
      </c>
    </row>
    <row r="22409" spans="5:9" ht="16.5" hidden="1">
      <c r="E22409" s="4" t="str">
        <v/>
      </c>
      <c r="F22409" s="102" t="str">
        <f ca="1">IFERROR(__xludf.DUMMYFUNCTION("IMPORTRANGE(H22409,""IDENTITAS UNIT!D9"")"),"#N/A")</f>
        <v>#N/A</v>
      </c>
      <c r="H22409" s="4" t="str">
        <v/>
      </c>
      <c r="I22409" s="4" t="str">
        <v/>
      </c>
    </row>
    <row r="22410" spans="5:9" ht="16.5" hidden="1">
      <c r="E22410" s="4" t="str">
        <v/>
      </c>
      <c r="F22410" s="102" t="str">
        <f ca="1">IFERROR(__xludf.DUMMYFUNCTION("IMPORTRANGE(H22410,""IDENTITAS UNIT!D9"")"),"#N/A")</f>
        <v>#N/A</v>
      </c>
      <c r="H22410" s="4" t="str">
        <v/>
      </c>
      <c r="I22410" s="4" t="str">
        <v/>
      </c>
    </row>
    <row r="22411" spans="5:9" ht="16.5" hidden="1">
      <c r="E22411" s="4" t="str">
        <v/>
      </c>
      <c r="F22411" s="102" t="str">
        <f ca="1">IFERROR(__xludf.DUMMYFUNCTION("IMPORTRANGE(H22411,""IDENTITAS UNIT!D9"")"),"#N/A")</f>
        <v>#N/A</v>
      </c>
      <c r="H22411" s="4" t="str">
        <v/>
      </c>
      <c r="I22411" s="4" t="str">
        <v/>
      </c>
    </row>
    <row r="22412" spans="5:9" ht="16.5" hidden="1">
      <c r="E22412" s="4" t="str">
        <v/>
      </c>
      <c r="F22412" s="102" t="str">
        <f ca="1">IFERROR(__xludf.DUMMYFUNCTION("IMPORTRANGE(H22412,""IDENTITAS UNIT!D9"")"),"#N/A")</f>
        <v>#N/A</v>
      </c>
      <c r="H22412" s="4" t="str">
        <v/>
      </c>
      <c r="I22412" s="4" t="str">
        <v/>
      </c>
    </row>
    <row r="22413" spans="5:9" ht="16.5" hidden="1">
      <c r="E22413" s="4" t="str">
        <v/>
      </c>
      <c r="F22413" s="102" t="str">
        <f ca="1">IFERROR(__xludf.DUMMYFUNCTION("IMPORTRANGE(H22413,""IDENTITAS UNIT!D9"")"),"#N/A")</f>
        <v>#N/A</v>
      </c>
      <c r="H22413" s="4" t="str">
        <v/>
      </c>
      <c r="I22413" s="4" t="str">
        <v/>
      </c>
    </row>
    <row r="22414" spans="5:9" ht="16.5" hidden="1">
      <c r="E22414" s="4" t="str">
        <v/>
      </c>
      <c r="F22414" s="102" t="str">
        <f ca="1">IFERROR(__xludf.DUMMYFUNCTION("IMPORTRANGE(H22414,""IDENTITAS UNIT!D9"")"),"#N/A")</f>
        <v>#N/A</v>
      </c>
      <c r="H22414" s="4" t="str">
        <v/>
      </c>
      <c r="I22414" s="4" t="str">
        <v/>
      </c>
    </row>
    <row r="22415" spans="5:9" ht="16.5" hidden="1">
      <c r="E22415" s="4" t="str">
        <v/>
      </c>
      <c r="F22415" s="102" t="str">
        <f ca="1">IFERROR(__xludf.DUMMYFUNCTION("IMPORTRANGE(H22415,""IDENTITAS UNIT!D9"")"),"#N/A")</f>
        <v>#N/A</v>
      </c>
      <c r="H22415" s="4" t="str">
        <v/>
      </c>
      <c r="I22415" s="4" t="str">
        <v/>
      </c>
    </row>
    <row r="22416" spans="5:9" ht="16.5" hidden="1">
      <c r="E22416" s="4" t="str">
        <v/>
      </c>
      <c r="F22416" s="102" t="str">
        <f ca="1">IFERROR(__xludf.DUMMYFUNCTION("IMPORTRANGE(H22416,""IDENTITAS UNIT!D9"")"),"#N/A")</f>
        <v>#N/A</v>
      </c>
      <c r="H22416" s="4" t="str">
        <v/>
      </c>
      <c r="I22416" s="4" t="str">
        <v/>
      </c>
    </row>
    <row r="22417" spans="5:9" ht="16.5" hidden="1">
      <c r="E22417" s="4" t="str">
        <v/>
      </c>
      <c r="F22417" s="102" t="str">
        <f ca="1">IFERROR(__xludf.DUMMYFUNCTION("IMPORTRANGE(H22417,""IDENTITAS UNIT!D9"")"),"#N/A")</f>
        <v>#N/A</v>
      </c>
      <c r="H22417" s="4" t="str">
        <v/>
      </c>
      <c r="I22417" s="4" t="str">
        <v/>
      </c>
    </row>
    <row r="22418" spans="5:9" ht="16.5" hidden="1">
      <c r="E22418" s="4" t="str">
        <v/>
      </c>
      <c r="F22418" s="102" t="str">
        <f ca="1">IFERROR(__xludf.DUMMYFUNCTION("IMPORTRANGE(H22418,""IDENTITAS UNIT!D9"")"),"#N/A")</f>
        <v>#N/A</v>
      </c>
      <c r="H22418" s="4" t="str">
        <v/>
      </c>
      <c r="I22418" s="4" t="str">
        <v/>
      </c>
    </row>
    <row r="22419" spans="5:9" ht="16.5" hidden="1">
      <c r="E22419" s="4" t="str">
        <v/>
      </c>
      <c r="F22419" s="102" t="str">
        <f ca="1">IFERROR(__xludf.DUMMYFUNCTION("IMPORTRANGE(H22419,""IDENTITAS UNIT!D9"")"),"#N/A")</f>
        <v>#N/A</v>
      </c>
      <c r="H22419" s="4" t="str">
        <v/>
      </c>
      <c r="I22419" s="4" t="str">
        <v/>
      </c>
    </row>
    <row r="22420" spans="5:9" ht="16.5" hidden="1">
      <c r="E22420" s="4" t="str">
        <v/>
      </c>
      <c r="F22420" s="102" t="str">
        <f ca="1">IFERROR(__xludf.DUMMYFUNCTION("IMPORTRANGE(H22420,""IDENTITAS UNIT!D9"")"),"#N/A")</f>
        <v>#N/A</v>
      </c>
      <c r="H22420" s="4" t="str">
        <v/>
      </c>
      <c r="I22420" s="4" t="str">
        <v/>
      </c>
    </row>
    <row r="22421" spans="5:9" ht="16.5" hidden="1">
      <c r="E22421" s="4" t="str">
        <v/>
      </c>
      <c r="F22421" s="102" t="str">
        <f ca="1">IFERROR(__xludf.DUMMYFUNCTION("IMPORTRANGE(H22421,""IDENTITAS UNIT!D9"")"),"#N/A")</f>
        <v>#N/A</v>
      </c>
      <c r="H22421" s="4" t="str">
        <v/>
      </c>
      <c r="I22421" s="4" t="str">
        <v/>
      </c>
    </row>
    <row r="22422" spans="5:9" ht="16.5" hidden="1">
      <c r="E22422" s="4" t="str">
        <v/>
      </c>
      <c r="F22422" s="102" t="str">
        <f ca="1">IFERROR(__xludf.DUMMYFUNCTION("IMPORTRANGE(H22422,""IDENTITAS UNIT!D9"")"),"#N/A")</f>
        <v>#N/A</v>
      </c>
      <c r="H22422" s="4" t="str">
        <v/>
      </c>
      <c r="I22422" s="4" t="str">
        <v/>
      </c>
    </row>
    <row r="22423" spans="5:9" ht="16.5" hidden="1">
      <c r="E22423" s="4" t="str">
        <v/>
      </c>
      <c r="F22423" s="102" t="str">
        <f ca="1">IFERROR(__xludf.DUMMYFUNCTION("IMPORTRANGE(H22423,""IDENTITAS UNIT!D9"")"),"#N/A")</f>
        <v>#N/A</v>
      </c>
      <c r="H22423" s="4" t="str">
        <v/>
      </c>
      <c r="I22423" s="4" t="str">
        <v/>
      </c>
    </row>
    <row r="22424" spans="5:9" ht="16.5" hidden="1">
      <c r="E22424" s="4" t="str">
        <v/>
      </c>
      <c r="F22424" s="102" t="str">
        <f ca="1">IFERROR(__xludf.DUMMYFUNCTION("IMPORTRANGE(H22424,""IDENTITAS UNIT!D9"")"),"#N/A")</f>
        <v>#N/A</v>
      </c>
      <c r="H22424" s="4" t="str">
        <v/>
      </c>
      <c r="I22424" s="4" t="str">
        <v/>
      </c>
    </row>
    <row r="22425" spans="5:9" ht="16.5" hidden="1">
      <c r="E22425" s="4" t="str">
        <v/>
      </c>
      <c r="F22425" s="102" t="str">
        <f ca="1">IFERROR(__xludf.DUMMYFUNCTION("IMPORTRANGE(H22425,""IDENTITAS UNIT!D9"")"),"#N/A")</f>
        <v>#N/A</v>
      </c>
      <c r="H22425" s="4" t="str">
        <v/>
      </c>
      <c r="I22425" s="4" t="str">
        <v/>
      </c>
    </row>
    <row r="22426" spans="5:9" ht="16.5" hidden="1">
      <c r="E22426" s="4" t="str">
        <v/>
      </c>
      <c r="F22426" s="102" t="str">
        <f ca="1">IFERROR(__xludf.DUMMYFUNCTION("IMPORTRANGE(H22426,""IDENTITAS UNIT!D9"")"),"#N/A")</f>
        <v>#N/A</v>
      </c>
      <c r="H22426" s="4" t="str">
        <v/>
      </c>
      <c r="I22426" s="4" t="str">
        <v/>
      </c>
    </row>
    <row r="22427" spans="5:9" ht="16.5" hidden="1">
      <c r="E22427" s="4" t="str">
        <v/>
      </c>
      <c r="F22427" s="102" t="str">
        <f ca="1">IFERROR(__xludf.DUMMYFUNCTION("IMPORTRANGE(H22427,""IDENTITAS UNIT!D9"")"),"#N/A")</f>
        <v>#N/A</v>
      </c>
      <c r="H22427" s="4" t="str">
        <v/>
      </c>
      <c r="I22427" s="4" t="str">
        <v/>
      </c>
    </row>
    <row r="22428" spans="5:9" ht="16.5" hidden="1">
      <c r="E22428" s="4" t="str">
        <v/>
      </c>
      <c r="F22428" s="102" t="str">
        <f ca="1">IFERROR(__xludf.DUMMYFUNCTION("IMPORTRANGE(H22428,""IDENTITAS UNIT!D9"")"),"#N/A")</f>
        <v>#N/A</v>
      </c>
      <c r="H22428" s="4" t="str">
        <v/>
      </c>
      <c r="I22428" s="4" t="str">
        <v/>
      </c>
    </row>
    <row r="22429" spans="5:9" ht="16.5" hidden="1">
      <c r="E22429" s="4" t="str">
        <v/>
      </c>
      <c r="F22429" s="102" t="str">
        <f ca="1">IFERROR(__xludf.DUMMYFUNCTION("IMPORTRANGE(H22429,""IDENTITAS UNIT!D9"")"),"#N/A")</f>
        <v>#N/A</v>
      </c>
      <c r="H22429" s="4" t="str">
        <v/>
      </c>
      <c r="I22429" s="4" t="str">
        <v/>
      </c>
    </row>
    <row r="22430" spans="5:9" ht="16.5" hidden="1">
      <c r="E22430" s="4" t="str">
        <v/>
      </c>
      <c r="F22430" s="102" t="str">
        <f ca="1">IFERROR(__xludf.DUMMYFUNCTION("IMPORTRANGE(H22430,""IDENTITAS UNIT!D9"")"),"#N/A")</f>
        <v>#N/A</v>
      </c>
      <c r="H22430" s="4" t="str">
        <v/>
      </c>
      <c r="I22430" s="4" t="str">
        <v/>
      </c>
    </row>
    <row r="22431" spans="5:9" ht="16.5" hidden="1">
      <c r="E22431" s="4" t="str">
        <v/>
      </c>
      <c r="F22431" s="102" t="str">
        <f ca="1">IFERROR(__xludf.DUMMYFUNCTION("IMPORTRANGE(H22431,""IDENTITAS UNIT!D9"")"),"#N/A")</f>
        <v>#N/A</v>
      </c>
      <c r="H22431" s="4" t="str">
        <v/>
      </c>
      <c r="I22431" s="4" t="str">
        <v/>
      </c>
    </row>
    <row r="22432" spans="5:9" ht="16.5" hidden="1">
      <c r="E22432" s="4" t="str">
        <v/>
      </c>
      <c r="F22432" s="102" t="str">
        <f ca="1">IFERROR(__xludf.DUMMYFUNCTION("IMPORTRANGE(H22432,""IDENTITAS UNIT!D9"")"),"#N/A")</f>
        <v>#N/A</v>
      </c>
      <c r="H22432" s="4" t="str">
        <v/>
      </c>
      <c r="I22432" s="4" t="str">
        <v/>
      </c>
    </row>
    <row r="22433" spans="5:9" ht="16.5" hidden="1">
      <c r="E22433" s="4" t="str">
        <v/>
      </c>
      <c r="F22433" s="102" t="str">
        <f ca="1">IFERROR(__xludf.DUMMYFUNCTION("IMPORTRANGE(H22433,""IDENTITAS UNIT!D9"")"),"#N/A")</f>
        <v>#N/A</v>
      </c>
      <c r="H22433" s="4" t="str">
        <v/>
      </c>
      <c r="I22433" s="4" t="str">
        <v/>
      </c>
    </row>
    <row r="22434" spans="5:9" ht="16.5" hidden="1">
      <c r="E22434" s="4" t="str">
        <v/>
      </c>
      <c r="F22434" s="102" t="str">
        <f ca="1">IFERROR(__xludf.DUMMYFUNCTION("IMPORTRANGE(H22434,""IDENTITAS UNIT!D9"")"),"#N/A")</f>
        <v>#N/A</v>
      </c>
      <c r="H22434" s="4" t="str">
        <v/>
      </c>
      <c r="I22434" s="4" t="str">
        <v/>
      </c>
    </row>
    <row r="22435" spans="5:9" ht="16.5" hidden="1">
      <c r="E22435" s="4" t="str">
        <v/>
      </c>
      <c r="F22435" s="102" t="str">
        <f ca="1">IFERROR(__xludf.DUMMYFUNCTION("IMPORTRANGE(H22435,""IDENTITAS UNIT!D9"")"),"#N/A")</f>
        <v>#N/A</v>
      </c>
      <c r="H22435" s="4" t="str">
        <v/>
      </c>
      <c r="I22435" s="4" t="str">
        <v/>
      </c>
    </row>
    <row r="22436" spans="5:9" ht="16.5" hidden="1">
      <c r="E22436" s="4" t="str">
        <v/>
      </c>
      <c r="F22436" s="102" t="str">
        <f ca="1">IFERROR(__xludf.DUMMYFUNCTION("IMPORTRANGE(H22436,""IDENTITAS UNIT!D9"")"),"#N/A")</f>
        <v>#N/A</v>
      </c>
      <c r="H22436" s="4" t="str">
        <v/>
      </c>
      <c r="I22436" s="4" t="str">
        <v/>
      </c>
    </row>
    <row r="22437" spans="5:9" ht="16.5" hidden="1">
      <c r="E22437" s="4" t="str">
        <v/>
      </c>
      <c r="F22437" s="102" t="str">
        <f ca="1">IFERROR(__xludf.DUMMYFUNCTION("IMPORTRANGE(H22437,""IDENTITAS UNIT!D9"")"),"#N/A")</f>
        <v>#N/A</v>
      </c>
      <c r="H22437" s="4" t="str">
        <v/>
      </c>
      <c r="I22437" s="4" t="str">
        <v/>
      </c>
    </row>
    <row r="22438" spans="5:9" ht="16.5" hidden="1">
      <c r="E22438" s="4" t="str">
        <v/>
      </c>
      <c r="F22438" s="102" t="str">
        <f ca="1">IFERROR(__xludf.DUMMYFUNCTION("IMPORTRANGE(H22438,""IDENTITAS UNIT!D9"")"),"#N/A")</f>
        <v>#N/A</v>
      </c>
      <c r="H22438" s="4" t="str">
        <v/>
      </c>
      <c r="I22438" s="4" t="str">
        <v/>
      </c>
    </row>
    <row r="22439" spans="5:9" ht="16.5" hidden="1">
      <c r="E22439" s="4" t="str">
        <v/>
      </c>
      <c r="F22439" s="102" t="str">
        <f ca="1">IFERROR(__xludf.DUMMYFUNCTION("IMPORTRANGE(H22439,""IDENTITAS UNIT!D9"")"),"#N/A")</f>
        <v>#N/A</v>
      </c>
      <c r="H22439" s="4" t="str">
        <v/>
      </c>
      <c r="I22439" s="4" t="str">
        <v/>
      </c>
    </row>
    <row r="22440" spans="5:9" ht="16.5" hidden="1">
      <c r="E22440" s="4" t="str">
        <v/>
      </c>
      <c r="F22440" s="102" t="str">
        <f ca="1">IFERROR(__xludf.DUMMYFUNCTION("IMPORTRANGE(H22440,""IDENTITAS UNIT!D9"")"),"#N/A")</f>
        <v>#N/A</v>
      </c>
      <c r="H22440" s="4" t="str">
        <v/>
      </c>
      <c r="I22440" s="4" t="str">
        <v/>
      </c>
    </row>
    <row r="22441" spans="5:9" ht="16.5" hidden="1">
      <c r="E22441" s="4" t="str">
        <v/>
      </c>
      <c r="F22441" s="102" t="str">
        <f ca="1">IFERROR(__xludf.DUMMYFUNCTION("IMPORTRANGE(H22441,""IDENTITAS UNIT!D9"")"),"#N/A")</f>
        <v>#N/A</v>
      </c>
      <c r="H22441" s="4" t="str">
        <v/>
      </c>
      <c r="I22441" s="4" t="str">
        <v/>
      </c>
    </row>
    <row r="22442" spans="5:9" ht="16.5" hidden="1">
      <c r="E22442" s="4" t="str">
        <v/>
      </c>
      <c r="F22442" s="102" t="str">
        <f ca="1">IFERROR(__xludf.DUMMYFUNCTION("IMPORTRANGE(H22442,""IDENTITAS UNIT!D9"")"),"#N/A")</f>
        <v>#N/A</v>
      </c>
      <c r="H22442" s="4" t="str">
        <v/>
      </c>
      <c r="I22442" s="4" t="str">
        <v/>
      </c>
    </row>
    <row r="22443" spans="5:9" ht="16.5" hidden="1">
      <c r="E22443" s="4" t="str">
        <v/>
      </c>
      <c r="F22443" s="102" t="str">
        <f ca="1">IFERROR(__xludf.DUMMYFUNCTION("IMPORTRANGE(H22443,""IDENTITAS UNIT!D9"")"),"#N/A")</f>
        <v>#N/A</v>
      </c>
      <c r="H22443" s="4" t="str">
        <v/>
      </c>
      <c r="I22443" s="4" t="str">
        <v/>
      </c>
    </row>
    <row r="22444" spans="5:9" ht="16.5" hidden="1">
      <c r="E22444" s="4" t="str">
        <v/>
      </c>
      <c r="F22444" s="102" t="str">
        <f ca="1">IFERROR(__xludf.DUMMYFUNCTION("IMPORTRANGE(H22444,""IDENTITAS UNIT!D9"")"),"#N/A")</f>
        <v>#N/A</v>
      </c>
      <c r="H22444" s="4" t="str">
        <v/>
      </c>
      <c r="I22444" s="4" t="str">
        <v/>
      </c>
    </row>
    <row r="22445" spans="5:9" ht="16.5" hidden="1">
      <c r="E22445" s="4" t="str">
        <v/>
      </c>
      <c r="F22445" s="102" t="str">
        <f ca="1">IFERROR(__xludf.DUMMYFUNCTION("IMPORTRANGE(H22445,""IDENTITAS UNIT!D9"")"),"#N/A")</f>
        <v>#N/A</v>
      </c>
      <c r="H22445" s="4" t="str">
        <v/>
      </c>
      <c r="I22445" s="4" t="str">
        <v/>
      </c>
    </row>
    <row r="22446" spans="5:9" ht="16.5" hidden="1">
      <c r="E22446" s="4" t="str">
        <v/>
      </c>
      <c r="F22446" s="102" t="str">
        <f ca="1">IFERROR(__xludf.DUMMYFUNCTION("IMPORTRANGE(H22446,""IDENTITAS UNIT!D9"")"),"#N/A")</f>
        <v>#N/A</v>
      </c>
      <c r="H22446" s="4" t="str">
        <v/>
      </c>
      <c r="I22446" s="4" t="str">
        <v/>
      </c>
    </row>
    <row r="22447" spans="5:9" ht="16.5" hidden="1">
      <c r="E22447" s="4" t="str">
        <v/>
      </c>
      <c r="F22447" s="102" t="str">
        <f ca="1">IFERROR(__xludf.DUMMYFUNCTION("IMPORTRANGE(H22447,""IDENTITAS UNIT!D9"")"),"#N/A")</f>
        <v>#N/A</v>
      </c>
      <c r="H22447" s="4" t="str">
        <v/>
      </c>
      <c r="I22447" s="4" t="str">
        <v/>
      </c>
    </row>
    <row r="22448" spans="5:9" ht="16.5" hidden="1">
      <c r="E22448" s="4" t="str">
        <v/>
      </c>
      <c r="F22448" s="102" t="str">
        <f ca="1">IFERROR(__xludf.DUMMYFUNCTION("IMPORTRANGE(H22448,""IDENTITAS UNIT!D9"")"),"#N/A")</f>
        <v>#N/A</v>
      </c>
      <c r="H22448" s="4" t="str">
        <v/>
      </c>
      <c r="I22448" s="4" t="str">
        <v/>
      </c>
    </row>
    <row r="22449" spans="5:9" ht="16.5" hidden="1">
      <c r="E22449" s="4" t="str">
        <v/>
      </c>
      <c r="F22449" s="102" t="str">
        <f ca="1">IFERROR(__xludf.DUMMYFUNCTION("IMPORTRANGE(H22449,""IDENTITAS UNIT!D9"")"),"#N/A")</f>
        <v>#N/A</v>
      </c>
      <c r="H22449" s="4" t="str">
        <v/>
      </c>
      <c r="I22449" s="4" t="str">
        <v/>
      </c>
    </row>
    <row r="22450" spans="5:9" ht="16.5" hidden="1">
      <c r="E22450" s="4" t="str">
        <v/>
      </c>
      <c r="F22450" s="102" t="str">
        <f ca="1">IFERROR(__xludf.DUMMYFUNCTION("IMPORTRANGE(H22450,""IDENTITAS UNIT!D9"")"),"#N/A")</f>
        <v>#N/A</v>
      </c>
      <c r="H22450" s="4" t="str">
        <v/>
      </c>
      <c r="I22450" s="4" t="str">
        <v/>
      </c>
    </row>
    <row r="22451" spans="5:9" ht="16.5" hidden="1">
      <c r="E22451" s="4" t="str">
        <v/>
      </c>
      <c r="F22451" s="102" t="str">
        <f ca="1">IFERROR(__xludf.DUMMYFUNCTION("IMPORTRANGE(H22451,""IDENTITAS UNIT!D9"")"),"#N/A")</f>
        <v>#N/A</v>
      </c>
      <c r="H22451" s="4" t="str">
        <v/>
      </c>
      <c r="I22451" s="4" t="str">
        <v/>
      </c>
    </row>
    <row r="22452" spans="5:9" ht="16.5" hidden="1">
      <c r="E22452" s="4" t="str">
        <v/>
      </c>
      <c r="F22452" s="102" t="str">
        <f ca="1">IFERROR(__xludf.DUMMYFUNCTION("IMPORTRANGE(H22452,""IDENTITAS UNIT!D9"")"),"#N/A")</f>
        <v>#N/A</v>
      </c>
      <c r="H22452" s="4" t="str">
        <v/>
      </c>
      <c r="I22452" s="4" t="str">
        <v/>
      </c>
    </row>
    <row r="22453" spans="5:9" ht="16.5" hidden="1">
      <c r="E22453" s="4" t="str">
        <v/>
      </c>
      <c r="F22453" s="102" t="str">
        <f ca="1">IFERROR(__xludf.DUMMYFUNCTION("IMPORTRANGE(H22453,""IDENTITAS UNIT!D9"")"),"#N/A")</f>
        <v>#N/A</v>
      </c>
      <c r="H22453" s="4" t="str">
        <v/>
      </c>
      <c r="I22453" s="4" t="str">
        <v/>
      </c>
    </row>
    <row r="22454" spans="5:9" ht="16.5" hidden="1">
      <c r="E22454" s="4" t="str">
        <v/>
      </c>
      <c r="F22454" s="102" t="str">
        <f ca="1">IFERROR(__xludf.DUMMYFUNCTION("IMPORTRANGE(H22454,""IDENTITAS UNIT!D9"")"),"#N/A")</f>
        <v>#N/A</v>
      </c>
      <c r="H22454" s="4" t="str">
        <v/>
      </c>
      <c r="I22454" s="4" t="str">
        <v/>
      </c>
    </row>
    <row r="22455" spans="5:9" ht="16.5" hidden="1">
      <c r="E22455" s="4" t="str">
        <v/>
      </c>
      <c r="F22455" s="102" t="str">
        <f ca="1">IFERROR(__xludf.DUMMYFUNCTION("IMPORTRANGE(H22455,""IDENTITAS UNIT!D9"")"),"#N/A")</f>
        <v>#N/A</v>
      </c>
      <c r="H22455" s="4" t="str">
        <v/>
      </c>
      <c r="I22455" s="4" t="str">
        <v/>
      </c>
    </row>
    <row r="22456" spans="5:9" ht="16.5" hidden="1">
      <c r="E22456" s="4" t="str">
        <v/>
      </c>
      <c r="F22456" s="102" t="str">
        <f ca="1">IFERROR(__xludf.DUMMYFUNCTION("IMPORTRANGE(H22456,""IDENTITAS UNIT!D9"")"),"#N/A")</f>
        <v>#N/A</v>
      </c>
      <c r="H22456" s="4" t="str">
        <v/>
      </c>
      <c r="I22456" s="4" t="str">
        <v/>
      </c>
    </row>
    <row r="22457" spans="5:9" ht="16.5" hidden="1">
      <c r="E22457" s="4" t="str">
        <v/>
      </c>
      <c r="F22457" s="102" t="str">
        <f ca="1">IFERROR(__xludf.DUMMYFUNCTION("IMPORTRANGE(H22457,""IDENTITAS UNIT!D9"")"),"#N/A")</f>
        <v>#N/A</v>
      </c>
      <c r="H22457" s="4" t="str">
        <v/>
      </c>
      <c r="I22457" s="4" t="str">
        <v/>
      </c>
    </row>
    <row r="22458" spans="5:9" ht="16.5" hidden="1">
      <c r="E22458" s="4" t="str">
        <v/>
      </c>
      <c r="F22458" s="102" t="str">
        <f ca="1">IFERROR(__xludf.DUMMYFUNCTION("IMPORTRANGE(H22458,""IDENTITAS UNIT!D9"")"),"#N/A")</f>
        <v>#N/A</v>
      </c>
      <c r="H22458" s="4" t="str">
        <v/>
      </c>
      <c r="I22458" s="4" t="str">
        <v/>
      </c>
    </row>
    <row r="22459" spans="5:9" ht="16.5" hidden="1">
      <c r="E22459" s="4" t="str">
        <v/>
      </c>
      <c r="F22459" s="102" t="str">
        <f ca="1">IFERROR(__xludf.DUMMYFUNCTION("IMPORTRANGE(H22459,""IDENTITAS UNIT!D9"")"),"#N/A")</f>
        <v>#N/A</v>
      </c>
      <c r="H22459" s="4" t="str">
        <v/>
      </c>
      <c r="I22459" s="4" t="str">
        <v/>
      </c>
    </row>
    <row r="22460" spans="5:9" ht="16.5" hidden="1">
      <c r="E22460" s="4" t="str">
        <v/>
      </c>
      <c r="F22460" s="102" t="str">
        <f ca="1">IFERROR(__xludf.DUMMYFUNCTION("IMPORTRANGE(H22460,""IDENTITAS UNIT!D9"")"),"#N/A")</f>
        <v>#N/A</v>
      </c>
      <c r="H22460" s="4" t="str">
        <v/>
      </c>
      <c r="I22460" s="4" t="str">
        <v/>
      </c>
    </row>
    <row r="22461" spans="5:9" ht="16.5" hidden="1">
      <c r="E22461" s="4" t="str">
        <v/>
      </c>
      <c r="F22461" s="102" t="str">
        <f ca="1">IFERROR(__xludf.DUMMYFUNCTION("IMPORTRANGE(H22461,""IDENTITAS UNIT!D9"")"),"#N/A")</f>
        <v>#N/A</v>
      </c>
      <c r="H22461" s="4" t="str">
        <v/>
      </c>
      <c r="I22461" s="4" t="str">
        <v/>
      </c>
    </row>
    <row r="22462" spans="5:9" ht="16.5" hidden="1">
      <c r="E22462" s="4" t="str">
        <v/>
      </c>
      <c r="F22462" s="102" t="str">
        <f ca="1">IFERROR(__xludf.DUMMYFUNCTION("IMPORTRANGE(H22462,""IDENTITAS UNIT!D9"")"),"#N/A")</f>
        <v>#N/A</v>
      </c>
      <c r="H22462" s="4" t="str">
        <v/>
      </c>
      <c r="I22462" s="4" t="str">
        <v/>
      </c>
    </row>
    <row r="22463" spans="5:9" ht="16.5" hidden="1">
      <c r="E22463" s="4" t="str">
        <v/>
      </c>
      <c r="F22463" s="102" t="str">
        <f ca="1">IFERROR(__xludf.DUMMYFUNCTION("IMPORTRANGE(H22463,""IDENTITAS UNIT!D9"")"),"#N/A")</f>
        <v>#N/A</v>
      </c>
      <c r="H22463" s="4" t="str">
        <v/>
      </c>
      <c r="I22463" s="4" t="str">
        <v/>
      </c>
    </row>
    <row r="22464" spans="5:9" ht="16.5" hidden="1">
      <c r="E22464" s="4" t="str">
        <v/>
      </c>
      <c r="F22464" s="102" t="str">
        <f ca="1">IFERROR(__xludf.DUMMYFUNCTION("IMPORTRANGE(H22464,""IDENTITAS UNIT!D9"")"),"#N/A")</f>
        <v>#N/A</v>
      </c>
      <c r="H22464" s="4" t="str">
        <v/>
      </c>
      <c r="I22464" s="4" t="str">
        <v/>
      </c>
    </row>
    <row r="22465" spans="5:9" ht="16.5" hidden="1">
      <c r="E22465" s="4" t="str">
        <v/>
      </c>
      <c r="F22465" s="102" t="str">
        <f ca="1">IFERROR(__xludf.DUMMYFUNCTION("IMPORTRANGE(H22465,""IDENTITAS UNIT!D9"")"),"#N/A")</f>
        <v>#N/A</v>
      </c>
      <c r="H22465" s="4" t="str">
        <v/>
      </c>
      <c r="I22465" s="4" t="str">
        <v/>
      </c>
    </row>
    <row r="22466" spans="5:9" ht="16.5" hidden="1">
      <c r="E22466" s="4" t="str">
        <v/>
      </c>
      <c r="F22466" s="102" t="str">
        <f ca="1">IFERROR(__xludf.DUMMYFUNCTION("IMPORTRANGE(H22466,""IDENTITAS UNIT!D9"")"),"#N/A")</f>
        <v>#N/A</v>
      </c>
      <c r="H22466" s="4" t="str">
        <v/>
      </c>
      <c r="I22466" s="4" t="str">
        <v/>
      </c>
    </row>
    <row r="22467" spans="5:9" ht="16.5" hidden="1">
      <c r="E22467" s="4" t="str">
        <v/>
      </c>
      <c r="F22467" s="102" t="str">
        <f ca="1">IFERROR(__xludf.DUMMYFUNCTION("IMPORTRANGE(H22467,""IDENTITAS UNIT!D9"")"),"#N/A")</f>
        <v>#N/A</v>
      </c>
      <c r="H22467" s="4" t="str">
        <v/>
      </c>
      <c r="I22467" s="4" t="str">
        <v/>
      </c>
    </row>
    <row r="22468" spans="5:9" ht="16.5" hidden="1">
      <c r="E22468" s="4" t="str">
        <v/>
      </c>
      <c r="F22468" s="102" t="str">
        <f ca="1">IFERROR(__xludf.DUMMYFUNCTION("IMPORTRANGE(H22468,""IDENTITAS UNIT!D9"")"),"#N/A")</f>
        <v>#N/A</v>
      </c>
      <c r="H22468" s="4" t="str">
        <v/>
      </c>
      <c r="I22468" s="4" t="str">
        <v/>
      </c>
    </row>
    <row r="22469" spans="5:9" ht="16.5" hidden="1">
      <c r="E22469" s="4" t="str">
        <v/>
      </c>
      <c r="F22469" s="102" t="str">
        <f ca="1">IFERROR(__xludf.DUMMYFUNCTION("IMPORTRANGE(H22469,""IDENTITAS UNIT!D9"")"),"#N/A")</f>
        <v>#N/A</v>
      </c>
      <c r="H22469" s="4" t="str">
        <v/>
      </c>
      <c r="I22469" s="4" t="str">
        <v/>
      </c>
    </row>
    <row r="22470" spans="5:9" ht="16.5" hidden="1">
      <c r="E22470" s="4" t="str">
        <v/>
      </c>
      <c r="F22470" s="102" t="str">
        <f ca="1">IFERROR(__xludf.DUMMYFUNCTION("IMPORTRANGE(H22470,""IDENTITAS UNIT!D9"")"),"#N/A")</f>
        <v>#N/A</v>
      </c>
      <c r="H22470" s="4" t="str">
        <v/>
      </c>
      <c r="I22470" s="4" t="str">
        <v/>
      </c>
    </row>
    <row r="22471" spans="5:9" ht="16.5" hidden="1">
      <c r="E22471" s="4" t="str">
        <v/>
      </c>
      <c r="F22471" s="102" t="str">
        <f ca="1">IFERROR(__xludf.DUMMYFUNCTION("IMPORTRANGE(H22471,""IDENTITAS UNIT!D9"")"),"#N/A")</f>
        <v>#N/A</v>
      </c>
      <c r="H22471" s="4" t="str">
        <v/>
      </c>
      <c r="I22471" s="4" t="str">
        <v/>
      </c>
    </row>
    <row r="22472" spans="5:9" ht="16.5" hidden="1">
      <c r="E22472" s="4" t="str">
        <v/>
      </c>
      <c r="F22472" s="102" t="str">
        <f ca="1">IFERROR(__xludf.DUMMYFUNCTION("IMPORTRANGE(H22472,""IDENTITAS UNIT!D9"")"),"#N/A")</f>
        <v>#N/A</v>
      </c>
      <c r="H22472" s="4" t="str">
        <v/>
      </c>
      <c r="I22472" s="4" t="str">
        <v/>
      </c>
    </row>
    <row r="22473" spans="5:9" ht="16.5" hidden="1">
      <c r="E22473" s="4" t="str">
        <v/>
      </c>
      <c r="F22473" s="102" t="str">
        <f ca="1">IFERROR(__xludf.DUMMYFUNCTION("IMPORTRANGE(H22473,""IDENTITAS UNIT!D9"")"),"#N/A")</f>
        <v>#N/A</v>
      </c>
      <c r="H22473" s="4" t="str">
        <v/>
      </c>
      <c r="I22473" s="4" t="str">
        <v/>
      </c>
    </row>
    <row r="22474" spans="5:9" ht="16.5" hidden="1">
      <c r="E22474" s="4" t="str">
        <v/>
      </c>
      <c r="F22474" s="102" t="str">
        <f ca="1">IFERROR(__xludf.DUMMYFUNCTION("IMPORTRANGE(H22474,""IDENTITAS UNIT!D9"")"),"#N/A")</f>
        <v>#N/A</v>
      </c>
      <c r="H22474" s="4" t="str">
        <v/>
      </c>
      <c r="I22474" s="4" t="str">
        <v/>
      </c>
    </row>
    <row r="22475" spans="5:9" ht="16.5" hidden="1">
      <c r="E22475" s="4" t="str">
        <v/>
      </c>
      <c r="F22475" s="102" t="str">
        <f ca="1">IFERROR(__xludf.DUMMYFUNCTION("IMPORTRANGE(H22475,""IDENTITAS UNIT!D9"")"),"#N/A")</f>
        <v>#N/A</v>
      </c>
      <c r="H22475" s="4" t="str">
        <v/>
      </c>
      <c r="I22475" s="4" t="str">
        <v/>
      </c>
    </row>
    <row r="22476" spans="5:9" ht="16.5" hidden="1">
      <c r="E22476" s="4" t="str">
        <v/>
      </c>
      <c r="F22476" s="102" t="str">
        <f ca="1">IFERROR(__xludf.DUMMYFUNCTION("IMPORTRANGE(H22476,""IDENTITAS UNIT!D9"")"),"#N/A")</f>
        <v>#N/A</v>
      </c>
      <c r="H22476" s="4" t="str">
        <v/>
      </c>
      <c r="I22476" s="4" t="str">
        <v/>
      </c>
    </row>
    <row r="22477" spans="5:9" ht="16.5" hidden="1">
      <c r="E22477" s="4" t="str">
        <v/>
      </c>
      <c r="F22477" s="102" t="str">
        <f ca="1">IFERROR(__xludf.DUMMYFUNCTION("IMPORTRANGE(H22477,""IDENTITAS UNIT!D9"")"),"#N/A")</f>
        <v>#N/A</v>
      </c>
      <c r="H22477" s="4" t="str">
        <v/>
      </c>
      <c r="I22477" s="4" t="str">
        <v/>
      </c>
    </row>
    <row r="22478" spans="5:9" ht="16.5" hidden="1">
      <c r="E22478" s="4" t="str">
        <v/>
      </c>
      <c r="F22478" s="102" t="str">
        <f ca="1">IFERROR(__xludf.DUMMYFUNCTION("IMPORTRANGE(H22478,""IDENTITAS UNIT!D9"")"),"#N/A")</f>
        <v>#N/A</v>
      </c>
      <c r="H22478" s="4" t="str">
        <v/>
      </c>
      <c r="I22478" s="4" t="str">
        <v/>
      </c>
    </row>
    <row r="22479" spans="5:9" ht="16.5" hidden="1">
      <c r="E22479" s="4" t="str">
        <v/>
      </c>
      <c r="F22479" s="102" t="str">
        <f ca="1">IFERROR(__xludf.DUMMYFUNCTION("IMPORTRANGE(H22479,""IDENTITAS UNIT!D9"")"),"#N/A")</f>
        <v>#N/A</v>
      </c>
      <c r="H22479" s="4" t="str">
        <v/>
      </c>
      <c r="I22479" s="4" t="str">
        <v/>
      </c>
    </row>
    <row r="22480" spans="5:9" ht="16.5" hidden="1">
      <c r="E22480" s="4" t="str">
        <v/>
      </c>
      <c r="F22480" s="102" t="str">
        <f ca="1">IFERROR(__xludf.DUMMYFUNCTION("IMPORTRANGE(H22480,""IDENTITAS UNIT!D9"")"),"#N/A")</f>
        <v>#N/A</v>
      </c>
      <c r="H22480" s="4" t="str">
        <v/>
      </c>
      <c r="I22480" s="4" t="str">
        <v/>
      </c>
    </row>
    <row r="22481" spans="5:9" ht="16.5" hidden="1">
      <c r="E22481" s="4" t="str">
        <v/>
      </c>
      <c r="F22481" s="102" t="str">
        <f ca="1">IFERROR(__xludf.DUMMYFUNCTION("IMPORTRANGE(H22481,""IDENTITAS UNIT!D9"")"),"#N/A")</f>
        <v>#N/A</v>
      </c>
      <c r="H22481" s="4" t="str">
        <v/>
      </c>
      <c r="I22481" s="4" t="str">
        <v/>
      </c>
    </row>
    <row r="22482" spans="5:9" ht="16.5" hidden="1">
      <c r="E22482" s="4" t="str">
        <v/>
      </c>
      <c r="F22482" s="102" t="str">
        <f ca="1">IFERROR(__xludf.DUMMYFUNCTION("IMPORTRANGE(H22482,""IDENTITAS UNIT!D9"")"),"#N/A")</f>
        <v>#N/A</v>
      </c>
      <c r="H22482" s="4" t="str">
        <v/>
      </c>
      <c r="I22482" s="4" t="str">
        <v/>
      </c>
    </row>
    <row r="22483" spans="5:9" ht="16.5" hidden="1">
      <c r="E22483" s="4" t="str">
        <v/>
      </c>
      <c r="F22483" s="102" t="str">
        <f ca="1">IFERROR(__xludf.DUMMYFUNCTION("IMPORTRANGE(H22483,""IDENTITAS UNIT!D9"")"),"#N/A")</f>
        <v>#N/A</v>
      </c>
      <c r="H22483" s="4" t="str">
        <v/>
      </c>
      <c r="I22483" s="4" t="str">
        <v/>
      </c>
    </row>
    <row r="22484" spans="5:9" ht="16.5" hidden="1">
      <c r="E22484" s="4" t="str">
        <v/>
      </c>
      <c r="F22484" s="102" t="str">
        <f ca="1">IFERROR(__xludf.DUMMYFUNCTION("IMPORTRANGE(H22484,""IDENTITAS UNIT!D9"")"),"#N/A")</f>
        <v>#N/A</v>
      </c>
      <c r="H22484" s="4" t="str">
        <v/>
      </c>
      <c r="I22484" s="4" t="str">
        <v/>
      </c>
    </row>
    <row r="22485" spans="5:9" ht="16.5" hidden="1">
      <c r="E22485" s="4" t="str">
        <v/>
      </c>
      <c r="F22485" s="102" t="str">
        <f ca="1">IFERROR(__xludf.DUMMYFUNCTION("IMPORTRANGE(H22485,""IDENTITAS UNIT!D9"")"),"#N/A")</f>
        <v>#N/A</v>
      </c>
      <c r="H22485" s="4" t="str">
        <v/>
      </c>
      <c r="I22485" s="4" t="str">
        <v/>
      </c>
    </row>
    <row r="22486" spans="5:9" ht="16.5" hidden="1">
      <c r="E22486" s="4" t="str">
        <v/>
      </c>
      <c r="F22486" s="102" t="str">
        <f ca="1">IFERROR(__xludf.DUMMYFUNCTION("IMPORTRANGE(H22486,""IDENTITAS UNIT!D9"")"),"#N/A")</f>
        <v>#N/A</v>
      </c>
      <c r="H22486" s="4" t="str">
        <v/>
      </c>
      <c r="I22486" s="4" t="str">
        <v/>
      </c>
    </row>
    <row r="22487" spans="5:9" ht="16.5" hidden="1">
      <c r="E22487" s="4" t="str">
        <v/>
      </c>
      <c r="F22487" s="102" t="str">
        <f ca="1">IFERROR(__xludf.DUMMYFUNCTION("IMPORTRANGE(H22487,""IDENTITAS UNIT!D9"")"),"#N/A")</f>
        <v>#N/A</v>
      </c>
      <c r="H22487" s="4" t="str">
        <v/>
      </c>
      <c r="I22487" s="4" t="str">
        <v/>
      </c>
    </row>
    <row r="22488" spans="5:9" ht="16.5" hidden="1">
      <c r="E22488" s="4" t="str">
        <v/>
      </c>
      <c r="F22488" s="102" t="str">
        <f ca="1">IFERROR(__xludf.DUMMYFUNCTION("IMPORTRANGE(H22488,""IDENTITAS UNIT!D9"")"),"#N/A")</f>
        <v>#N/A</v>
      </c>
      <c r="H22488" s="4" t="str">
        <v/>
      </c>
      <c r="I22488" s="4" t="str">
        <v/>
      </c>
    </row>
    <row r="22489" spans="5:9" ht="16.5" hidden="1">
      <c r="E22489" s="4" t="str">
        <v/>
      </c>
      <c r="F22489" s="102" t="str">
        <f ca="1">IFERROR(__xludf.DUMMYFUNCTION("IMPORTRANGE(H22489,""IDENTITAS UNIT!D9"")"),"#N/A")</f>
        <v>#N/A</v>
      </c>
      <c r="H22489" s="4" t="str">
        <v/>
      </c>
      <c r="I22489" s="4" t="str">
        <v/>
      </c>
    </row>
    <row r="22490" spans="5:9" ht="16.5" hidden="1">
      <c r="E22490" s="4" t="str">
        <v/>
      </c>
      <c r="F22490" s="102" t="str">
        <f ca="1">IFERROR(__xludf.DUMMYFUNCTION("IMPORTRANGE(H22490,""IDENTITAS UNIT!D9"")"),"#N/A")</f>
        <v>#N/A</v>
      </c>
      <c r="H22490" s="4" t="str">
        <v/>
      </c>
      <c r="I22490" s="4" t="str">
        <v/>
      </c>
    </row>
    <row r="22491" spans="5:9" ht="16.5" hidden="1">
      <c r="E22491" s="4" t="str">
        <v/>
      </c>
      <c r="F22491" s="102" t="str">
        <f ca="1">IFERROR(__xludf.DUMMYFUNCTION("IMPORTRANGE(H22491,""IDENTITAS UNIT!D9"")"),"#N/A")</f>
        <v>#N/A</v>
      </c>
      <c r="H22491" s="4" t="str">
        <v/>
      </c>
      <c r="I22491" s="4" t="str">
        <v/>
      </c>
    </row>
    <row r="22492" spans="5:9" ht="16.5" hidden="1">
      <c r="E22492" s="4" t="str">
        <v/>
      </c>
      <c r="F22492" s="102" t="str">
        <f ca="1">IFERROR(__xludf.DUMMYFUNCTION("IMPORTRANGE(H22492,""IDENTITAS UNIT!D9"")"),"#N/A")</f>
        <v>#N/A</v>
      </c>
      <c r="H22492" s="4" t="str">
        <v/>
      </c>
      <c r="I22492" s="4" t="str">
        <v/>
      </c>
    </row>
    <row r="22493" spans="5:9" ht="16.5" hidden="1">
      <c r="E22493" s="4" t="str">
        <v/>
      </c>
      <c r="F22493" s="102" t="str">
        <f ca="1">IFERROR(__xludf.DUMMYFUNCTION("IMPORTRANGE(H22493,""IDENTITAS UNIT!D9"")"),"#N/A")</f>
        <v>#N/A</v>
      </c>
      <c r="H22493" s="4" t="str">
        <v/>
      </c>
      <c r="I22493" s="4" t="str">
        <v/>
      </c>
    </row>
    <row r="22494" spans="5:9" ht="16.5" hidden="1">
      <c r="E22494" s="4" t="str">
        <v/>
      </c>
      <c r="F22494" s="102" t="str">
        <f ca="1">IFERROR(__xludf.DUMMYFUNCTION("IMPORTRANGE(H22494,""IDENTITAS UNIT!D9"")"),"#N/A")</f>
        <v>#N/A</v>
      </c>
      <c r="H22494" s="4" t="str">
        <v/>
      </c>
      <c r="I22494" s="4" t="str">
        <v/>
      </c>
    </row>
    <row r="22495" spans="5:9" ht="16.5" hidden="1">
      <c r="E22495" s="4" t="str">
        <v/>
      </c>
      <c r="F22495" s="102" t="str">
        <f ca="1">IFERROR(__xludf.DUMMYFUNCTION("IMPORTRANGE(H22495,""IDENTITAS UNIT!D9"")"),"#N/A")</f>
        <v>#N/A</v>
      </c>
      <c r="H22495" s="4" t="str">
        <v/>
      </c>
      <c r="I22495" s="4" t="str">
        <v/>
      </c>
    </row>
    <row r="22496" spans="5:9" ht="16.5" hidden="1">
      <c r="E22496" s="4" t="str">
        <v/>
      </c>
      <c r="F22496" s="102" t="str">
        <f ca="1">IFERROR(__xludf.DUMMYFUNCTION("IMPORTRANGE(H22496,""IDENTITAS UNIT!D9"")"),"#N/A")</f>
        <v>#N/A</v>
      </c>
      <c r="H22496" s="4" t="str">
        <v/>
      </c>
      <c r="I22496" s="4" t="str">
        <v/>
      </c>
    </row>
    <row r="22497" spans="5:9" ht="16.5" hidden="1">
      <c r="E22497" s="4" t="str">
        <v/>
      </c>
      <c r="F22497" s="102" t="str">
        <f ca="1">IFERROR(__xludf.DUMMYFUNCTION("IMPORTRANGE(H22497,""IDENTITAS UNIT!D9"")"),"#N/A")</f>
        <v>#N/A</v>
      </c>
      <c r="H22497" s="4" t="str">
        <v/>
      </c>
      <c r="I22497" s="4" t="str">
        <v/>
      </c>
    </row>
    <row r="22498" spans="5:9" ht="16.5" hidden="1">
      <c r="E22498" s="4" t="str">
        <v/>
      </c>
      <c r="F22498" s="102" t="str">
        <f ca="1">IFERROR(__xludf.DUMMYFUNCTION("IMPORTRANGE(H22498,""IDENTITAS UNIT!D9"")"),"#N/A")</f>
        <v>#N/A</v>
      </c>
      <c r="H22498" s="4" t="str">
        <v/>
      </c>
      <c r="I22498" s="4" t="str">
        <v/>
      </c>
    </row>
    <row r="22499" spans="5:9" ht="16.5" hidden="1">
      <c r="E22499" s="4" t="str">
        <v/>
      </c>
      <c r="F22499" s="102" t="str">
        <f ca="1">IFERROR(__xludf.DUMMYFUNCTION("IMPORTRANGE(H22499,""IDENTITAS UNIT!D9"")"),"#N/A")</f>
        <v>#N/A</v>
      </c>
      <c r="H22499" s="4" t="str">
        <v/>
      </c>
      <c r="I22499" s="4" t="str">
        <v/>
      </c>
    </row>
    <row r="22500" spans="5:9" ht="16.5" hidden="1">
      <c r="E22500" s="4" t="str">
        <v/>
      </c>
      <c r="F22500" s="102" t="str">
        <f ca="1">IFERROR(__xludf.DUMMYFUNCTION("IMPORTRANGE(H22500,""IDENTITAS UNIT!D9"")"),"#N/A")</f>
        <v>#N/A</v>
      </c>
      <c r="H22500" s="4" t="str">
        <v/>
      </c>
      <c r="I22500" s="4" t="str">
        <v/>
      </c>
    </row>
    <row r="22501" spans="5:9" ht="16.5" hidden="1">
      <c r="E22501" s="4" t="str">
        <v/>
      </c>
      <c r="F22501" s="102" t="str">
        <f ca="1">IFERROR(__xludf.DUMMYFUNCTION("IMPORTRANGE(H22501,""IDENTITAS UNIT!D9"")"),"#N/A")</f>
        <v>#N/A</v>
      </c>
      <c r="H22501" s="4" t="str">
        <v/>
      </c>
      <c r="I22501" s="4" t="str">
        <v/>
      </c>
    </row>
    <row r="22502" spans="5:9" ht="16.5" hidden="1">
      <c r="E22502" s="4" t="str">
        <v/>
      </c>
      <c r="F22502" s="102" t="str">
        <f ca="1">IFERROR(__xludf.DUMMYFUNCTION("IMPORTRANGE(H22502,""IDENTITAS UNIT!D9"")"),"#N/A")</f>
        <v>#N/A</v>
      </c>
      <c r="H22502" s="4" t="str">
        <v/>
      </c>
      <c r="I22502" s="4" t="str">
        <v/>
      </c>
    </row>
    <row r="22503" spans="5:9" ht="16.5" hidden="1">
      <c r="E22503" s="4" t="str">
        <v/>
      </c>
      <c r="F22503" s="102" t="str">
        <f ca="1">IFERROR(__xludf.DUMMYFUNCTION("IMPORTRANGE(H22503,""IDENTITAS UNIT!D9"")"),"#N/A")</f>
        <v>#N/A</v>
      </c>
      <c r="H22503" s="4" t="str">
        <v/>
      </c>
      <c r="I22503" s="4" t="str">
        <v/>
      </c>
    </row>
    <row r="22504" spans="5:9" ht="16.5" hidden="1">
      <c r="E22504" s="4" t="str">
        <v/>
      </c>
      <c r="F22504" s="102" t="str">
        <f ca="1">IFERROR(__xludf.DUMMYFUNCTION("IMPORTRANGE(H22504,""IDENTITAS UNIT!D9"")"),"#N/A")</f>
        <v>#N/A</v>
      </c>
      <c r="H22504" s="4" t="str">
        <v/>
      </c>
      <c r="I22504" s="4" t="str">
        <v/>
      </c>
    </row>
    <row r="22505" spans="5:9" ht="16.5" hidden="1">
      <c r="E22505" s="4" t="str">
        <v/>
      </c>
      <c r="F22505" s="102" t="str">
        <f ca="1">IFERROR(__xludf.DUMMYFUNCTION("IMPORTRANGE(H22505,""IDENTITAS UNIT!D9"")"),"#N/A")</f>
        <v>#N/A</v>
      </c>
      <c r="H22505" s="4" t="str">
        <v/>
      </c>
      <c r="I22505" s="4" t="str">
        <v/>
      </c>
    </row>
    <row r="22506" spans="5:9" ht="16.5" hidden="1">
      <c r="E22506" s="4" t="str">
        <v/>
      </c>
      <c r="F22506" s="102" t="str">
        <f ca="1">IFERROR(__xludf.DUMMYFUNCTION("IMPORTRANGE(H22506,""IDENTITAS UNIT!D9"")"),"#N/A")</f>
        <v>#N/A</v>
      </c>
      <c r="H22506" s="4" t="str">
        <v/>
      </c>
      <c r="I22506" s="4" t="str">
        <v/>
      </c>
    </row>
    <row r="22507" spans="5:9" ht="16.5" hidden="1">
      <c r="E22507" s="4" t="str">
        <v/>
      </c>
      <c r="F22507" s="102" t="str">
        <f ca="1">IFERROR(__xludf.DUMMYFUNCTION("IMPORTRANGE(H22507,""IDENTITAS UNIT!D9"")"),"#N/A")</f>
        <v>#N/A</v>
      </c>
      <c r="H22507" s="4" t="str">
        <v/>
      </c>
      <c r="I22507" s="4" t="str">
        <v/>
      </c>
    </row>
    <row r="22508" spans="5:9" ht="16.5" hidden="1">
      <c r="E22508" s="4" t="str">
        <v/>
      </c>
      <c r="F22508" s="102" t="str">
        <f ca="1">IFERROR(__xludf.DUMMYFUNCTION("IMPORTRANGE(H22508,""IDENTITAS UNIT!D9"")"),"#N/A")</f>
        <v>#N/A</v>
      </c>
      <c r="H22508" s="4" t="str">
        <v/>
      </c>
      <c r="I22508" s="4" t="str">
        <v/>
      </c>
    </row>
    <row r="22509" spans="5:9" ht="16.5" hidden="1">
      <c r="E22509" s="4" t="str">
        <v/>
      </c>
      <c r="F22509" s="102" t="str">
        <f ca="1">IFERROR(__xludf.DUMMYFUNCTION("IMPORTRANGE(H22509,""IDENTITAS UNIT!D9"")"),"#N/A")</f>
        <v>#N/A</v>
      </c>
      <c r="H22509" s="4" t="str">
        <v/>
      </c>
      <c r="I22509" s="4" t="str">
        <v/>
      </c>
    </row>
    <row r="22510" spans="5:9" ht="16.5" hidden="1">
      <c r="E22510" s="4" t="str">
        <v/>
      </c>
      <c r="F22510" s="102" t="str">
        <f ca="1">IFERROR(__xludf.DUMMYFUNCTION("IMPORTRANGE(H22510,""IDENTITAS UNIT!D9"")"),"#N/A")</f>
        <v>#N/A</v>
      </c>
      <c r="H22510" s="4" t="str">
        <v/>
      </c>
      <c r="I22510" s="4" t="str">
        <v/>
      </c>
    </row>
    <row r="22511" spans="5:9" ht="16.5" hidden="1">
      <c r="E22511" s="4" t="str">
        <v/>
      </c>
      <c r="F22511" s="102" t="str">
        <f ca="1">IFERROR(__xludf.DUMMYFUNCTION("IMPORTRANGE(H22511,""IDENTITAS UNIT!D9"")"),"#N/A")</f>
        <v>#N/A</v>
      </c>
      <c r="H22511" s="4" t="str">
        <v/>
      </c>
      <c r="I22511" s="4" t="str">
        <v/>
      </c>
    </row>
    <row r="22512" spans="5:9" ht="16.5" hidden="1">
      <c r="E22512" s="4" t="str">
        <v/>
      </c>
      <c r="F22512" s="102" t="str">
        <f ca="1">IFERROR(__xludf.DUMMYFUNCTION("IMPORTRANGE(H22512,""IDENTITAS UNIT!D9"")"),"#N/A")</f>
        <v>#N/A</v>
      </c>
      <c r="H22512" s="4" t="str">
        <v/>
      </c>
      <c r="I22512" s="4" t="str">
        <v/>
      </c>
    </row>
    <row r="22513" spans="5:9" ht="16.5" hidden="1">
      <c r="E22513" s="4" t="str">
        <v/>
      </c>
      <c r="F22513" s="102" t="str">
        <f ca="1">IFERROR(__xludf.DUMMYFUNCTION("IMPORTRANGE(H22513,""IDENTITAS UNIT!D9"")"),"#N/A")</f>
        <v>#N/A</v>
      </c>
      <c r="H22513" s="4" t="str">
        <v/>
      </c>
      <c r="I22513" s="4" t="str">
        <v/>
      </c>
    </row>
    <row r="22514" spans="5:9" ht="16.5" hidden="1">
      <c r="E22514" s="4" t="str">
        <v/>
      </c>
      <c r="F22514" s="102" t="str">
        <f ca="1">IFERROR(__xludf.DUMMYFUNCTION("IMPORTRANGE(H22514,""IDENTITAS UNIT!D9"")"),"#N/A")</f>
        <v>#N/A</v>
      </c>
      <c r="H22514" s="4" t="str">
        <v/>
      </c>
      <c r="I22514" s="4" t="str">
        <v/>
      </c>
    </row>
    <row r="22515" spans="5:9" ht="16.5" hidden="1">
      <c r="E22515" s="4" t="str">
        <v/>
      </c>
      <c r="F22515" s="102" t="str">
        <f ca="1">IFERROR(__xludf.DUMMYFUNCTION("IMPORTRANGE(H22515,""IDENTITAS UNIT!D9"")"),"#N/A")</f>
        <v>#N/A</v>
      </c>
      <c r="H22515" s="4" t="str">
        <v/>
      </c>
      <c r="I22515" s="4" t="str">
        <v/>
      </c>
    </row>
    <row r="22516" spans="5:9" ht="16.5" hidden="1">
      <c r="E22516" s="4" t="str">
        <v/>
      </c>
      <c r="F22516" s="102" t="str">
        <f ca="1">IFERROR(__xludf.DUMMYFUNCTION("IMPORTRANGE(H22516,""IDENTITAS UNIT!D9"")"),"#N/A")</f>
        <v>#N/A</v>
      </c>
      <c r="H22516" s="4" t="str">
        <v/>
      </c>
      <c r="I22516" s="4" t="str">
        <v/>
      </c>
    </row>
    <row r="22517" spans="5:9" ht="16.5" hidden="1">
      <c r="E22517" s="4" t="str">
        <v/>
      </c>
      <c r="F22517" s="102" t="str">
        <f ca="1">IFERROR(__xludf.DUMMYFUNCTION("IMPORTRANGE(H22517,""IDENTITAS UNIT!D9"")"),"#N/A")</f>
        <v>#N/A</v>
      </c>
      <c r="H22517" s="4" t="str">
        <v/>
      </c>
      <c r="I22517" s="4" t="str">
        <v/>
      </c>
    </row>
    <row r="22518" spans="5:9" ht="16.5" hidden="1">
      <c r="E22518" s="4" t="str">
        <v/>
      </c>
      <c r="F22518" s="102" t="str">
        <f ca="1">IFERROR(__xludf.DUMMYFUNCTION("IMPORTRANGE(H22518,""IDENTITAS UNIT!D9"")"),"#N/A")</f>
        <v>#N/A</v>
      </c>
      <c r="H22518" s="4" t="str">
        <v/>
      </c>
      <c r="I22518" s="4" t="str">
        <v/>
      </c>
    </row>
    <row r="22519" spans="5:9" ht="16.5" hidden="1">
      <c r="E22519" s="4" t="str">
        <v/>
      </c>
      <c r="F22519" s="102" t="str">
        <f ca="1">IFERROR(__xludf.DUMMYFUNCTION("IMPORTRANGE(H22519,""IDENTITAS UNIT!D9"")"),"#N/A")</f>
        <v>#N/A</v>
      </c>
      <c r="H22519" s="4" t="str">
        <v/>
      </c>
      <c r="I22519" s="4" t="str">
        <v/>
      </c>
    </row>
    <row r="22520" spans="5:9" ht="16.5" hidden="1">
      <c r="E22520" s="4" t="str">
        <v/>
      </c>
      <c r="F22520" s="102" t="str">
        <f ca="1">IFERROR(__xludf.DUMMYFUNCTION("IMPORTRANGE(H22520,""IDENTITAS UNIT!D9"")"),"#N/A")</f>
        <v>#N/A</v>
      </c>
      <c r="H22520" s="4" t="str">
        <v/>
      </c>
      <c r="I22520" s="4" t="str">
        <v/>
      </c>
    </row>
    <row r="22521" spans="5:9" ht="16.5" hidden="1">
      <c r="E22521" s="4" t="str">
        <v/>
      </c>
      <c r="F22521" s="102" t="str">
        <f ca="1">IFERROR(__xludf.DUMMYFUNCTION("IMPORTRANGE(H22521,""IDENTITAS UNIT!D9"")"),"#N/A")</f>
        <v>#N/A</v>
      </c>
      <c r="H22521" s="4" t="str">
        <v/>
      </c>
      <c r="I22521" s="4" t="str">
        <v/>
      </c>
    </row>
    <row r="22522" spans="5:9" ht="16.5" hidden="1">
      <c r="E22522" s="4" t="str">
        <v/>
      </c>
      <c r="F22522" s="102" t="str">
        <f ca="1">IFERROR(__xludf.DUMMYFUNCTION("IMPORTRANGE(H22522,""IDENTITAS UNIT!D9"")"),"#N/A")</f>
        <v>#N/A</v>
      </c>
      <c r="H22522" s="4" t="str">
        <v/>
      </c>
      <c r="I22522" s="4" t="str">
        <v/>
      </c>
    </row>
    <row r="22523" spans="5:9" ht="16.5" hidden="1">
      <c r="E22523" s="4" t="str">
        <v/>
      </c>
      <c r="F22523" s="102" t="str">
        <f ca="1">IFERROR(__xludf.DUMMYFUNCTION("IMPORTRANGE(H22523,""IDENTITAS UNIT!D9"")"),"#N/A")</f>
        <v>#N/A</v>
      </c>
      <c r="H22523" s="4" t="str">
        <v/>
      </c>
      <c r="I22523" s="4" t="str">
        <v/>
      </c>
    </row>
    <row r="22524" spans="5:9" ht="16.5" hidden="1">
      <c r="E22524" s="4" t="str">
        <v/>
      </c>
      <c r="F22524" s="102" t="str">
        <f ca="1">IFERROR(__xludf.DUMMYFUNCTION("IMPORTRANGE(H22524,""IDENTITAS UNIT!D9"")"),"#N/A")</f>
        <v>#N/A</v>
      </c>
      <c r="H22524" s="4" t="str">
        <v/>
      </c>
      <c r="I22524" s="4" t="str">
        <v/>
      </c>
    </row>
    <row r="22525" spans="5:9" ht="16.5" hidden="1">
      <c r="E22525" s="4" t="str">
        <v/>
      </c>
      <c r="F22525" s="102" t="str">
        <f ca="1">IFERROR(__xludf.DUMMYFUNCTION("IMPORTRANGE(H22525,""IDENTITAS UNIT!D9"")"),"#N/A")</f>
        <v>#N/A</v>
      </c>
      <c r="H22525" s="4" t="str">
        <v/>
      </c>
      <c r="I22525" s="4" t="str">
        <v/>
      </c>
    </row>
    <row r="22526" spans="5:9" ht="16.5" hidden="1">
      <c r="E22526" s="4" t="str">
        <v/>
      </c>
      <c r="F22526" s="102" t="str">
        <f ca="1">IFERROR(__xludf.DUMMYFUNCTION("IMPORTRANGE(H22526,""IDENTITAS UNIT!D9"")"),"#N/A")</f>
        <v>#N/A</v>
      </c>
      <c r="H22526" s="4" t="str">
        <v/>
      </c>
      <c r="I22526" s="4" t="str">
        <v/>
      </c>
    </row>
    <row r="22527" spans="5:9" ht="16.5" hidden="1">
      <c r="E22527" s="4" t="str">
        <v/>
      </c>
      <c r="F22527" s="102" t="str">
        <f ca="1">IFERROR(__xludf.DUMMYFUNCTION("IMPORTRANGE(H22527,""IDENTITAS UNIT!D9"")"),"#N/A")</f>
        <v>#N/A</v>
      </c>
      <c r="H22527" s="4" t="str">
        <v/>
      </c>
      <c r="I22527" s="4" t="str">
        <v/>
      </c>
    </row>
    <row r="22528" spans="5:9" ht="16.5" hidden="1">
      <c r="E22528" s="4" t="str">
        <v/>
      </c>
      <c r="F22528" s="102" t="str">
        <f ca="1">IFERROR(__xludf.DUMMYFUNCTION("IMPORTRANGE(H22528,""IDENTITAS UNIT!D9"")"),"#N/A")</f>
        <v>#N/A</v>
      </c>
      <c r="H22528" s="4" t="str">
        <v/>
      </c>
      <c r="I22528" s="4" t="str">
        <v/>
      </c>
    </row>
    <row r="22529" spans="5:9" ht="16.5" hidden="1">
      <c r="E22529" s="4" t="str">
        <v/>
      </c>
      <c r="F22529" s="102" t="str">
        <f ca="1">IFERROR(__xludf.DUMMYFUNCTION("IMPORTRANGE(H22529,""IDENTITAS UNIT!D9"")"),"#N/A")</f>
        <v>#N/A</v>
      </c>
      <c r="H22529" s="4" t="str">
        <v/>
      </c>
      <c r="I22529" s="4" t="str">
        <v/>
      </c>
    </row>
    <row r="22530" spans="5:9" ht="16.5" hidden="1">
      <c r="E22530" s="4" t="str">
        <v/>
      </c>
      <c r="F22530" s="102" t="str">
        <f ca="1">IFERROR(__xludf.DUMMYFUNCTION("IMPORTRANGE(H22530,""IDENTITAS UNIT!D9"")"),"#N/A")</f>
        <v>#N/A</v>
      </c>
      <c r="H22530" s="4" t="str">
        <v/>
      </c>
      <c r="I22530" s="4" t="str">
        <v/>
      </c>
    </row>
    <row r="22531" spans="5:9" ht="16.5" hidden="1">
      <c r="E22531" s="4" t="str">
        <v/>
      </c>
      <c r="F22531" s="102" t="str">
        <f ca="1">IFERROR(__xludf.DUMMYFUNCTION("IMPORTRANGE(H22531,""IDENTITAS UNIT!D9"")"),"#N/A")</f>
        <v>#N/A</v>
      </c>
      <c r="H22531" s="4" t="str">
        <v/>
      </c>
      <c r="I22531" s="4" t="str">
        <v/>
      </c>
    </row>
    <row r="22532" spans="5:9" ht="16.5" hidden="1">
      <c r="E22532" s="4" t="str">
        <v/>
      </c>
      <c r="F22532" s="102" t="str">
        <f ca="1">IFERROR(__xludf.DUMMYFUNCTION("IMPORTRANGE(H22532,""IDENTITAS UNIT!D9"")"),"#N/A")</f>
        <v>#N/A</v>
      </c>
      <c r="H22532" s="4" t="str">
        <v/>
      </c>
      <c r="I22532" s="4" t="str">
        <v/>
      </c>
    </row>
    <row r="22533" spans="5:9" ht="16.5" hidden="1">
      <c r="E22533" s="4" t="str">
        <v/>
      </c>
      <c r="F22533" s="102" t="str">
        <f ca="1">IFERROR(__xludf.DUMMYFUNCTION("IMPORTRANGE(H22533,""IDENTITAS UNIT!D9"")"),"#N/A")</f>
        <v>#N/A</v>
      </c>
      <c r="H22533" s="4" t="str">
        <v/>
      </c>
      <c r="I22533" s="4" t="str">
        <v/>
      </c>
    </row>
    <row r="22534" spans="5:9" ht="16.5" hidden="1">
      <c r="E22534" s="4" t="str">
        <v/>
      </c>
      <c r="F22534" s="102" t="str">
        <f ca="1">IFERROR(__xludf.DUMMYFUNCTION("IMPORTRANGE(H22534,""IDENTITAS UNIT!D9"")"),"#N/A")</f>
        <v>#N/A</v>
      </c>
      <c r="H22534" s="4" t="str">
        <v/>
      </c>
      <c r="I22534" s="4" t="str">
        <v/>
      </c>
    </row>
    <row r="22535" spans="5:9" ht="16.5" hidden="1">
      <c r="E22535" s="4" t="str">
        <v/>
      </c>
      <c r="F22535" s="102" t="str">
        <f ca="1">IFERROR(__xludf.DUMMYFUNCTION("IMPORTRANGE(H22535,""IDENTITAS UNIT!D9"")"),"#N/A")</f>
        <v>#N/A</v>
      </c>
      <c r="H22535" s="4" t="str">
        <v/>
      </c>
      <c r="I22535" s="4" t="str">
        <v/>
      </c>
    </row>
    <row r="22536" spans="5:9" ht="16.5" hidden="1">
      <c r="E22536" s="4" t="str">
        <v/>
      </c>
      <c r="F22536" s="102" t="str">
        <f ca="1">IFERROR(__xludf.DUMMYFUNCTION("IMPORTRANGE(H22536,""IDENTITAS UNIT!D9"")"),"#N/A")</f>
        <v>#N/A</v>
      </c>
      <c r="H22536" s="4" t="str">
        <v/>
      </c>
      <c r="I22536" s="4" t="str">
        <v/>
      </c>
    </row>
    <row r="22537" spans="5:9" ht="16.5" hidden="1">
      <c r="E22537" s="4" t="str">
        <v/>
      </c>
      <c r="F22537" s="102" t="str">
        <f ca="1">IFERROR(__xludf.DUMMYFUNCTION("IMPORTRANGE(H22537,""IDENTITAS UNIT!D9"")"),"#N/A")</f>
        <v>#N/A</v>
      </c>
      <c r="H22537" s="4" t="str">
        <v/>
      </c>
      <c r="I22537" s="4" t="str">
        <v/>
      </c>
    </row>
    <row r="22538" spans="5:9" ht="16.5" hidden="1">
      <c r="E22538" s="4" t="str">
        <v/>
      </c>
      <c r="F22538" s="102" t="str">
        <f ca="1">IFERROR(__xludf.DUMMYFUNCTION("IMPORTRANGE(H22538,""IDENTITAS UNIT!D9"")"),"#N/A")</f>
        <v>#N/A</v>
      </c>
      <c r="H22538" s="4" t="str">
        <v/>
      </c>
      <c r="I22538" s="4" t="str">
        <v/>
      </c>
    </row>
    <row r="22539" spans="5:9" ht="16.5" hidden="1">
      <c r="E22539" s="4" t="str">
        <v/>
      </c>
      <c r="F22539" s="102" t="str">
        <f ca="1">IFERROR(__xludf.DUMMYFUNCTION("IMPORTRANGE(H22539,""IDENTITAS UNIT!D9"")"),"#N/A")</f>
        <v>#N/A</v>
      </c>
      <c r="H22539" s="4" t="str">
        <v/>
      </c>
      <c r="I22539" s="4" t="str">
        <v/>
      </c>
    </row>
    <row r="22540" spans="5:9" ht="16.5" hidden="1">
      <c r="E22540" s="4" t="str">
        <v/>
      </c>
      <c r="F22540" s="102" t="str">
        <f ca="1">IFERROR(__xludf.DUMMYFUNCTION("IMPORTRANGE(H22540,""IDENTITAS UNIT!D9"")"),"#N/A")</f>
        <v>#N/A</v>
      </c>
      <c r="H22540" s="4" t="str">
        <v/>
      </c>
      <c r="I22540" s="4" t="str">
        <v/>
      </c>
    </row>
    <row r="22541" spans="5:9" ht="16.5" hidden="1">
      <c r="E22541" s="4" t="str">
        <v/>
      </c>
      <c r="F22541" s="102" t="str">
        <f ca="1">IFERROR(__xludf.DUMMYFUNCTION("IMPORTRANGE(H22541,""IDENTITAS UNIT!D9"")"),"#N/A")</f>
        <v>#N/A</v>
      </c>
      <c r="H22541" s="4" t="str">
        <v/>
      </c>
      <c r="I22541" s="4" t="str">
        <v/>
      </c>
    </row>
    <row r="22542" spans="5:9" ht="16.5" hidden="1">
      <c r="E22542" s="4" t="str">
        <v/>
      </c>
      <c r="F22542" s="102" t="str">
        <f ca="1">IFERROR(__xludf.DUMMYFUNCTION("IMPORTRANGE(H22542,""IDENTITAS UNIT!D9"")"),"#N/A")</f>
        <v>#N/A</v>
      </c>
      <c r="H22542" s="4" t="str">
        <v/>
      </c>
      <c r="I22542" s="4" t="str">
        <v/>
      </c>
    </row>
    <row r="22543" spans="5:9" ht="16.5" hidden="1">
      <c r="E22543" s="4" t="str">
        <v/>
      </c>
      <c r="F22543" s="102" t="str">
        <f ca="1">IFERROR(__xludf.DUMMYFUNCTION("IMPORTRANGE(H22543,""IDENTITAS UNIT!D9"")"),"#N/A")</f>
        <v>#N/A</v>
      </c>
      <c r="H22543" s="4" t="str">
        <v/>
      </c>
      <c r="I22543" s="4" t="str">
        <v/>
      </c>
    </row>
    <row r="22544" spans="5:9" ht="16.5" hidden="1">
      <c r="E22544" s="4" t="str">
        <v/>
      </c>
      <c r="F22544" s="102" t="str">
        <f ca="1">IFERROR(__xludf.DUMMYFUNCTION("IMPORTRANGE(H22544,""IDENTITAS UNIT!D9"")"),"#N/A")</f>
        <v>#N/A</v>
      </c>
      <c r="H22544" s="4" t="str">
        <v/>
      </c>
      <c r="I22544" s="4" t="str">
        <v/>
      </c>
    </row>
    <row r="22545" spans="5:9" ht="16.5" hidden="1">
      <c r="E22545" s="4" t="str">
        <v/>
      </c>
      <c r="F22545" s="102" t="str">
        <f ca="1">IFERROR(__xludf.DUMMYFUNCTION("IMPORTRANGE(H22545,""IDENTITAS UNIT!D9"")"),"#N/A")</f>
        <v>#N/A</v>
      </c>
      <c r="H22545" s="4" t="str">
        <v/>
      </c>
      <c r="I22545" s="4" t="str">
        <v/>
      </c>
    </row>
    <row r="22546" spans="5:9" ht="16.5" hidden="1">
      <c r="E22546" s="4" t="str">
        <v/>
      </c>
      <c r="F22546" s="102" t="str">
        <f ca="1">IFERROR(__xludf.DUMMYFUNCTION("IMPORTRANGE(H22546,""IDENTITAS UNIT!D9"")"),"#N/A")</f>
        <v>#N/A</v>
      </c>
      <c r="H22546" s="4" t="str">
        <v/>
      </c>
      <c r="I22546" s="4" t="str">
        <v/>
      </c>
    </row>
    <row r="22547" spans="5:9" ht="16.5" hidden="1">
      <c r="E22547" s="4" t="str">
        <v/>
      </c>
      <c r="F22547" s="102" t="str">
        <f ca="1">IFERROR(__xludf.DUMMYFUNCTION("IMPORTRANGE(H22547,""IDENTITAS UNIT!D9"")"),"#N/A")</f>
        <v>#N/A</v>
      </c>
      <c r="H22547" s="4" t="str">
        <v/>
      </c>
      <c r="I22547" s="4" t="str">
        <v/>
      </c>
    </row>
    <row r="22548" spans="5:9" ht="16.5" hidden="1">
      <c r="E22548" s="4" t="str">
        <v/>
      </c>
      <c r="F22548" s="102" t="str">
        <f ca="1">IFERROR(__xludf.DUMMYFUNCTION("IMPORTRANGE(H22548,""IDENTITAS UNIT!D9"")"),"#N/A")</f>
        <v>#N/A</v>
      </c>
      <c r="H22548" s="4" t="str">
        <v/>
      </c>
      <c r="I22548" s="4" t="str">
        <v/>
      </c>
    </row>
    <row r="22549" spans="5:9" ht="16.5" hidden="1">
      <c r="E22549" s="4" t="str">
        <v/>
      </c>
      <c r="F22549" s="102" t="str">
        <f ca="1">IFERROR(__xludf.DUMMYFUNCTION("IMPORTRANGE(H22549,""IDENTITAS UNIT!D9"")"),"#N/A")</f>
        <v>#N/A</v>
      </c>
      <c r="H22549" s="4" t="str">
        <v/>
      </c>
      <c r="I22549" s="4" t="str">
        <v/>
      </c>
    </row>
    <row r="22550" spans="5:9" ht="16.5" hidden="1">
      <c r="E22550" s="4" t="str">
        <v/>
      </c>
      <c r="F22550" s="102" t="str">
        <f ca="1">IFERROR(__xludf.DUMMYFUNCTION("IMPORTRANGE(H22550,""IDENTITAS UNIT!D9"")"),"#N/A")</f>
        <v>#N/A</v>
      </c>
      <c r="H22550" s="4" t="str">
        <v/>
      </c>
      <c r="I22550" s="4" t="str">
        <v/>
      </c>
    </row>
    <row r="22551" spans="5:9" ht="16.5" hidden="1">
      <c r="E22551" s="4" t="str">
        <v/>
      </c>
      <c r="F22551" s="102" t="str">
        <f ca="1">IFERROR(__xludf.DUMMYFUNCTION("IMPORTRANGE(H22551,""IDENTITAS UNIT!D9"")"),"#N/A")</f>
        <v>#N/A</v>
      </c>
      <c r="H22551" s="4" t="str">
        <v/>
      </c>
      <c r="I22551" s="4" t="str">
        <v/>
      </c>
    </row>
    <row r="22552" spans="5:9" ht="16.5" hidden="1">
      <c r="E22552" s="4" t="str">
        <v/>
      </c>
      <c r="F22552" s="102" t="str">
        <f ca="1">IFERROR(__xludf.DUMMYFUNCTION("IMPORTRANGE(H22552,""IDENTITAS UNIT!D9"")"),"#N/A")</f>
        <v>#N/A</v>
      </c>
      <c r="H22552" s="4" t="str">
        <v/>
      </c>
      <c r="I22552" s="4" t="str">
        <v/>
      </c>
    </row>
    <row r="22553" spans="5:9" ht="16.5" hidden="1">
      <c r="E22553" s="4" t="str">
        <v/>
      </c>
      <c r="F22553" s="102" t="str">
        <f ca="1">IFERROR(__xludf.DUMMYFUNCTION("IMPORTRANGE(H22553,""IDENTITAS UNIT!D9"")"),"#N/A")</f>
        <v>#N/A</v>
      </c>
      <c r="H22553" s="4" t="str">
        <v/>
      </c>
      <c r="I22553" s="4" t="str">
        <v/>
      </c>
    </row>
    <row r="22554" spans="5:9" ht="16.5" hidden="1">
      <c r="E22554" s="4" t="str">
        <v/>
      </c>
      <c r="F22554" s="102" t="str">
        <f ca="1">IFERROR(__xludf.DUMMYFUNCTION("IMPORTRANGE(H22554,""IDENTITAS UNIT!D9"")"),"#N/A")</f>
        <v>#N/A</v>
      </c>
      <c r="H22554" s="4" t="str">
        <v/>
      </c>
      <c r="I22554" s="4" t="str">
        <v/>
      </c>
    </row>
    <row r="22555" spans="5:9" ht="16.5" hidden="1">
      <c r="E22555" s="4" t="str">
        <v/>
      </c>
      <c r="F22555" s="102" t="str">
        <f ca="1">IFERROR(__xludf.DUMMYFUNCTION("IMPORTRANGE(H22555,""IDENTITAS UNIT!D9"")"),"#N/A")</f>
        <v>#N/A</v>
      </c>
      <c r="H22555" s="4" t="str">
        <v/>
      </c>
      <c r="I22555" s="4" t="str">
        <v/>
      </c>
    </row>
    <row r="22556" spans="5:9" ht="16.5" hidden="1">
      <c r="E22556" s="4" t="str">
        <v/>
      </c>
      <c r="F22556" s="102" t="str">
        <f ca="1">IFERROR(__xludf.DUMMYFUNCTION("IMPORTRANGE(H22556,""IDENTITAS UNIT!D9"")"),"#N/A")</f>
        <v>#N/A</v>
      </c>
      <c r="H22556" s="4" t="str">
        <v/>
      </c>
      <c r="I22556" s="4" t="str">
        <v/>
      </c>
    </row>
    <row r="22557" spans="5:9" ht="16.5" hidden="1">
      <c r="E22557" s="4" t="str">
        <v/>
      </c>
      <c r="F22557" s="102" t="str">
        <f ca="1">IFERROR(__xludf.DUMMYFUNCTION("IMPORTRANGE(H22557,""IDENTITAS UNIT!D9"")"),"#N/A")</f>
        <v>#N/A</v>
      </c>
      <c r="H22557" s="4" t="str">
        <v/>
      </c>
      <c r="I22557" s="4" t="str">
        <v/>
      </c>
    </row>
    <row r="22558" spans="5:9" ht="16.5" hidden="1">
      <c r="E22558" s="4" t="str">
        <v/>
      </c>
      <c r="F22558" s="102" t="str">
        <f ca="1">IFERROR(__xludf.DUMMYFUNCTION("IMPORTRANGE(H22558,""IDENTITAS UNIT!D9"")"),"#N/A")</f>
        <v>#N/A</v>
      </c>
      <c r="H22558" s="4" t="str">
        <v/>
      </c>
      <c r="I22558" s="4" t="str">
        <v/>
      </c>
    </row>
    <row r="22559" spans="5:9" ht="16.5" hidden="1">
      <c r="E22559" s="4" t="str">
        <v/>
      </c>
      <c r="F22559" s="102" t="str">
        <f ca="1">IFERROR(__xludf.DUMMYFUNCTION("IMPORTRANGE(H22559,""IDENTITAS UNIT!D9"")"),"#N/A")</f>
        <v>#N/A</v>
      </c>
      <c r="H22559" s="4" t="str">
        <v/>
      </c>
      <c r="I22559" s="4" t="str">
        <v/>
      </c>
    </row>
    <row r="22560" spans="5:9" ht="16.5" hidden="1">
      <c r="E22560" s="4" t="str">
        <v/>
      </c>
      <c r="F22560" s="102" t="str">
        <f ca="1">IFERROR(__xludf.DUMMYFUNCTION("IMPORTRANGE(H22560,""IDENTITAS UNIT!D9"")"),"#N/A")</f>
        <v>#N/A</v>
      </c>
      <c r="H22560" s="4" t="str">
        <v/>
      </c>
      <c r="I22560" s="4" t="str">
        <v/>
      </c>
    </row>
    <row r="22561" spans="5:9" ht="16.5" hidden="1">
      <c r="E22561" s="4" t="str">
        <v/>
      </c>
      <c r="F22561" s="102" t="str">
        <f ca="1">IFERROR(__xludf.DUMMYFUNCTION("IMPORTRANGE(H22561,""IDENTITAS UNIT!D9"")"),"#N/A")</f>
        <v>#N/A</v>
      </c>
      <c r="H22561" s="4" t="str">
        <v/>
      </c>
      <c r="I22561" s="4" t="str">
        <v/>
      </c>
    </row>
    <row r="22562" spans="5:9" ht="16.5" hidden="1">
      <c r="E22562" s="4" t="str">
        <v/>
      </c>
      <c r="F22562" s="102" t="str">
        <f ca="1">IFERROR(__xludf.DUMMYFUNCTION("IMPORTRANGE(H22562,""IDENTITAS UNIT!D9"")"),"#N/A")</f>
        <v>#N/A</v>
      </c>
      <c r="H22562" s="4" t="str">
        <v/>
      </c>
      <c r="I22562" s="4" t="str">
        <v/>
      </c>
    </row>
    <row r="22563" spans="5:9" ht="16.5" hidden="1">
      <c r="E22563" s="4" t="str">
        <v/>
      </c>
      <c r="F22563" s="102" t="str">
        <f ca="1">IFERROR(__xludf.DUMMYFUNCTION("IMPORTRANGE(H22563,""IDENTITAS UNIT!D9"")"),"#N/A")</f>
        <v>#N/A</v>
      </c>
      <c r="H22563" s="4" t="str">
        <v/>
      </c>
      <c r="I22563" s="4" t="str">
        <v/>
      </c>
    </row>
    <row r="22564" spans="5:9" ht="16.5" hidden="1">
      <c r="E22564" s="4" t="str">
        <v/>
      </c>
      <c r="F22564" s="102" t="str">
        <f ca="1">IFERROR(__xludf.DUMMYFUNCTION("IMPORTRANGE(H22564,""IDENTITAS UNIT!D9"")"),"#N/A")</f>
        <v>#N/A</v>
      </c>
      <c r="H22564" s="4" t="str">
        <v/>
      </c>
      <c r="I22564" s="4" t="str">
        <v/>
      </c>
    </row>
    <row r="22565" spans="5:9" ht="16.5" hidden="1">
      <c r="E22565" s="4" t="str">
        <v/>
      </c>
      <c r="F22565" s="102" t="str">
        <f ca="1">IFERROR(__xludf.DUMMYFUNCTION("IMPORTRANGE(H22565,""IDENTITAS UNIT!D9"")"),"#N/A")</f>
        <v>#N/A</v>
      </c>
      <c r="H22565" s="4" t="str">
        <v/>
      </c>
      <c r="I22565" s="4" t="str">
        <v/>
      </c>
    </row>
    <row r="22566" spans="5:9" ht="16.5" hidden="1">
      <c r="E22566" s="4" t="str">
        <v/>
      </c>
      <c r="F22566" s="102" t="str">
        <f ca="1">IFERROR(__xludf.DUMMYFUNCTION("IMPORTRANGE(H22566,""IDENTITAS UNIT!D9"")"),"#N/A")</f>
        <v>#N/A</v>
      </c>
      <c r="H22566" s="4" t="str">
        <v/>
      </c>
      <c r="I22566" s="4" t="str">
        <v/>
      </c>
    </row>
    <row r="22567" spans="5:9" ht="16.5" hidden="1">
      <c r="E22567" s="4" t="str">
        <v/>
      </c>
      <c r="F22567" s="102" t="str">
        <f ca="1">IFERROR(__xludf.DUMMYFUNCTION("IMPORTRANGE(H22567,""IDENTITAS UNIT!D9"")"),"#N/A")</f>
        <v>#N/A</v>
      </c>
      <c r="H22567" s="4" t="str">
        <v/>
      </c>
      <c r="I22567" s="4" t="str">
        <v/>
      </c>
    </row>
    <row r="22568" spans="5:9" ht="16.5" hidden="1">
      <c r="E22568" s="4" t="str">
        <v/>
      </c>
      <c r="F22568" s="102" t="str">
        <f ca="1">IFERROR(__xludf.DUMMYFUNCTION("IMPORTRANGE(H22568,""IDENTITAS UNIT!D9"")"),"#N/A")</f>
        <v>#N/A</v>
      </c>
      <c r="H22568" s="4" t="str">
        <v/>
      </c>
      <c r="I22568" s="4" t="str">
        <v/>
      </c>
    </row>
    <row r="22569" spans="5:9" ht="16.5" hidden="1">
      <c r="E22569" s="4" t="str">
        <v/>
      </c>
      <c r="F22569" s="102" t="str">
        <f ca="1">IFERROR(__xludf.DUMMYFUNCTION("IMPORTRANGE(H22569,""IDENTITAS UNIT!D9"")"),"#N/A")</f>
        <v>#N/A</v>
      </c>
      <c r="H22569" s="4" t="str">
        <v/>
      </c>
      <c r="I22569" s="4" t="str">
        <v/>
      </c>
    </row>
    <row r="22570" spans="5:9" ht="16.5" hidden="1">
      <c r="E22570" s="4" t="str">
        <v/>
      </c>
      <c r="F22570" s="102" t="str">
        <f ca="1">IFERROR(__xludf.DUMMYFUNCTION("IMPORTRANGE(H22570,""IDENTITAS UNIT!D9"")"),"#N/A")</f>
        <v>#N/A</v>
      </c>
      <c r="H22570" s="4" t="str">
        <v/>
      </c>
      <c r="I22570" s="4" t="str">
        <v/>
      </c>
    </row>
    <row r="22571" spans="5:9" ht="16.5" hidden="1">
      <c r="E22571" s="4" t="str">
        <v/>
      </c>
      <c r="F22571" s="102" t="str">
        <f ca="1">IFERROR(__xludf.DUMMYFUNCTION("IMPORTRANGE(H22571,""IDENTITAS UNIT!D9"")"),"#N/A")</f>
        <v>#N/A</v>
      </c>
      <c r="H22571" s="4" t="str">
        <v/>
      </c>
      <c r="I22571" s="4" t="str">
        <v/>
      </c>
    </row>
    <row r="22572" spans="5:9" ht="16.5" hidden="1">
      <c r="E22572" s="4" t="str">
        <v/>
      </c>
      <c r="F22572" s="102" t="str">
        <f ca="1">IFERROR(__xludf.DUMMYFUNCTION("IMPORTRANGE(H22572,""IDENTITAS UNIT!D9"")"),"#N/A")</f>
        <v>#N/A</v>
      </c>
      <c r="H22572" s="4" t="str">
        <v/>
      </c>
      <c r="I22572" s="4" t="str">
        <v/>
      </c>
    </row>
    <row r="22573" spans="5:9" ht="16.5" hidden="1">
      <c r="E22573" s="4" t="str">
        <v/>
      </c>
      <c r="F22573" s="102" t="str">
        <f ca="1">IFERROR(__xludf.DUMMYFUNCTION("IMPORTRANGE(H22573,""IDENTITAS UNIT!D9"")"),"#N/A")</f>
        <v>#N/A</v>
      </c>
      <c r="H22573" s="4" t="str">
        <v/>
      </c>
      <c r="I22573" s="4" t="str">
        <v/>
      </c>
    </row>
    <row r="22574" spans="5:9" ht="16.5" hidden="1">
      <c r="E22574" s="4" t="str">
        <v/>
      </c>
      <c r="F22574" s="102" t="str">
        <f ca="1">IFERROR(__xludf.DUMMYFUNCTION("IMPORTRANGE(H22574,""IDENTITAS UNIT!D9"")"),"#N/A")</f>
        <v>#N/A</v>
      </c>
      <c r="H22574" s="4" t="str">
        <v/>
      </c>
      <c r="I22574" s="4" t="str">
        <v/>
      </c>
    </row>
    <row r="22575" spans="5:9" ht="16.5" hidden="1">
      <c r="E22575" s="4" t="str">
        <v/>
      </c>
      <c r="F22575" s="102" t="str">
        <f ca="1">IFERROR(__xludf.DUMMYFUNCTION("IMPORTRANGE(H22575,""IDENTITAS UNIT!D9"")"),"#N/A")</f>
        <v>#N/A</v>
      </c>
      <c r="H22575" s="4" t="str">
        <v/>
      </c>
      <c r="I22575" s="4" t="str">
        <v/>
      </c>
    </row>
    <row r="22576" spans="5:9" ht="16.5" hidden="1">
      <c r="E22576" s="4" t="str">
        <v/>
      </c>
      <c r="F22576" s="102" t="str">
        <f ca="1">IFERROR(__xludf.DUMMYFUNCTION("IMPORTRANGE(H22576,""IDENTITAS UNIT!D9"")"),"#N/A")</f>
        <v>#N/A</v>
      </c>
      <c r="H22576" s="4" t="str">
        <v/>
      </c>
      <c r="I22576" s="4" t="str">
        <v/>
      </c>
    </row>
    <row r="22577" spans="5:9" ht="16.5" hidden="1">
      <c r="E22577" s="4" t="str">
        <v/>
      </c>
      <c r="F22577" s="102" t="str">
        <f ca="1">IFERROR(__xludf.DUMMYFUNCTION("IMPORTRANGE(H22577,""IDENTITAS UNIT!D9"")"),"#N/A")</f>
        <v>#N/A</v>
      </c>
      <c r="H22577" s="4" t="str">
        <v/>
      </c>
      <c r="I22577" s="4" t="str">
        <v/>
      </c>
    </row>
    <row r="22578" spans="5:9" ht="16.5" hidden="1">
      <c r="E22578" s="4" t="str">
        <v/>
      </c>
      <c r="F22578" s="102" t="str">
        <f ca="1">IFERROR(__xludf.DUMMYFUNCTION("IMPORTRANGE(H22578,""IDENTITAS UNIT!D9"")"),"#N/A")</f>
        <v>#N/A</v>
      </c>
      <c r="H22578" s="4" t="str">
        <v/>
      </c>
      <c r="I22578" s="4" t="str">
        <v/>
      </c>
    </row>
    <row r="22579" spans="5:9" ht="16.5" hidden="1">
      <c r="E22579" s="4" t="str">
        <v/>
      </c>
      <c r="F22579" s="102" t="str">
        <f ca="1">IFERROR(__xludf.DUMMYFUNCTION("IMPORTRANGE(H22579,""IDENTITAS UNIT!D9"")"),"#N/A")</f>
        <v>#N/A</v>
      </c>
      <c r="H22579" s="4" t="str">
        <v/>
      </c>
      <c r="I22579" s="4" t="str">
        <v/>
      </c>
    </row>
    <row r="22580" spans="5:9" ht="16.5" hidden="1">
      <c r="E22580" s="4" t="str">
        <v/>
      </c>
      <c r="F22580" s="102" t="str">
        <f ca="1">IFERROR(__xludf.DUMMYFUNCTION("IMPORTRANGE(H22580,""IDENTITAS UNIT!D9"")"),"#N/A")</f>
        <v>#N/A</v>
      </c>
      <c r="H22580" s="4" t="str">
        <v/>
      </c>
      <c r="I22580" s="4" t="str">
        <v/>
      </c>
    </row>
    <row r="22581" spans="5:9" ht="16.5" hidden="1">
      <c r="E22581" s="4" t="str">
        <v/>
      </c>
      <c r="F22581" s="102" t="str">
        <f ca="1">IFERROR(__xludf.DUMMYFUNCTION("IMPORTRANGE(H22581,""IDENTITAS UNIT!D9"")"),"#N/A")</f>
        <v>#N/A</v>
      </c>
      <c r="H22581" s="4" t="str">
        <v/>
      </c>
      <c r="I22581" s="4" t="str">
        <v/>
      </c>
    </row>
    <row r="22582" spans="5:9" ht="16.5" hidden="1">
      <c r="E22582" s="4" t="str">
        <v/>
      </c>
      <c r="F22582" s="102" t="str">
        <f ca="1">IFERROR(__xludf.DUMMYFUNCTION("IMPORTRANGE(H22582,""IDENTITAS UNIT!D9"")"),"#N/A")</f>
        <v>#N/A</v>
      </c>
      <c r="H22582" s="4" t="str">
        <v/>
      </c>
      <c r="I22582" s="4" t="str">
        <v/>
      </c>
    </row>
    <row r="22583" spans="5:9" ht="16.5" hidden="1">
      <c r="E22583" s="4" t="str">
        <v/>
      </c>
      <c r="F22583" s="102" t="str">
        <f ca="1">IFERROR(__xludf.DUMMYFUNCTION("IMPORTRANGE(H22583,""IDENTITAS UNIT!D9"")"),"#N/A")</f>
        <v>#N/A</v>
      </c>
      <c r="H22583" s="4" t="str">
        <v/>
      </c>
      <c r="I22583" s="4" t="str">
        <v/>
      </c>
    </row>
    <row r="22584" spans="5:9" ht="16.5" hidden="1">
      <c r="E22584" s="4" t="str">
        <v/>
      </c>
      <c r="F22584" s="102" t="str">
        <f ca="1">IFERROR(__xludf.DUMMYFUNCTION("IMPORTRANGE(H22584,""IDENTITAS UNIT!D9"")"),"#N/A")</f>
        <v>#N/A</v>
      </c>
      <c r="H22584" s="4" t="str">
        <v/>
      </c>
      <c r="I22584" s="4" t="str">
        <v/>
      </c>
    </row>
    <row r="22585" spans="5:9" ht="16.5" hidden="1">
      <c r="E22585" s="4" t="str">
        <v/>
      </c>
      <c r="F22585" s="102" t="str">
        <f ca="1">IFERROR(__xludf.DUMMYFUNCTION("IMPORTRANGE(H22585,""IDENTITAS UNIT!D9"")"),"#N/A")</f>
        <v>#N/A</v>
      </c>
      <c r="H22585" s="4" t="str">
        <v/>
      </c>
      <c r="I22585" s="4" t="str">
        <v/>
      </c>
    </row>
    <row r="22586" spans="5:9" ht="16.5" hidden="1">
      <c r="E22586" s="4" t="str">
        <v/>
      </c>
      <c r="F22586" s="102" t="str">
        <f ca="1">IFERROR(__xludf.DUMMYFUNCTION("IMPORTRANGE(H22586,""IDENTITAS UNIT!D9"")"),"#N/A")</f>
        <v>#N/A</v>
      </c>
      <c r="H22586" s="4" t="str">
        <v/>
      </c>
      <c r="I22586" s="4" t="str">
        <v/>
      </c>
    </row>
    <row r="22587" spans="5:9" ht="16.5" hidden="1">
      <c r="E22587" s="4" t="str">
        <v/>
      </c>
      <c r="F22587" s="102" t="str">
        <f ca="1">IFERROR(__xludf.DUMMYFUNCTION("IMPORTRANGE(H22587,""IDENTITAS UNIT!D9"")"),"#N/A")</f>
        <v>#N/A</v>
      </c>
      <c r="H22587" s="4" t="str">
        <v/>
      </c>
      <c r="I22587" s="4" t="str">
        <v/>
      </c>
    </row>
    <row r="22588" spans="5:9" ht="16.5" hidden="1">
      <c r="E22588" s="4" t="str">
        <v/>
      </c>
      <c r="F22588" s="102" t="str">
        <f ca="1">IFERROR(__xludf.DUMMYFUNCTION("IMPORTRANGE(H22588,""IDENTITAS UNIT!D9"")"),"#N/A")</f>
        <v>#N/A</v>
      </c>
      <c r="H22588" s="4" t="str">
        <v/>
      </c>
      <c r="I22588" s="4" t="str">
        <v/>
      </c>
    </row>
    <row r="22589" spans="5:9" ht="16.5" hidden="1">
      <c r="E22589" s="4" t="str">
        <v/>
      </c>
      <c r="F22589" s="102" t="str">
        <f ca="1">IFERROR(__xludf.DUMMYFUNCTION("IMPORTRANGE(H22589,""IDENTITAS UNIT!D9"")"),"#N/A")</f>
        <v>#N/A</v>
      </c>
      <c r="H22589" s="4" t="str">
        <v/>
      </c>
      <c r="I22589" s="4" t="str">
        <v/>
      </c>
    </row>
    <row r="22590" spans="5:9" ht="16.5" hidden="1">
      <c r="E22590" s="4" t="str">
        <v/>
      </c>
      <c r="F22590" s="102" t="str">
        <f ca="1">IFERROR(__xludf.DUMMYFUNCTION("IMPORTRANGE(H22590,""IDENTITAS UNIT!D9"")"),"#N/A")</f>
        <v>#N/A</v>
      </c>
      <c r="H22590" s="4" t="str">
        <v/>
      </c>
      <c r="I22590" s="4" t="str">
        <v/>
      </c>
    </row>
    <row r="22591" spans="5:9" ht="16.5" hidden="1">
      <c r="E22591" s="4" t="str">
        <v/>
      </c>
      <c r="F22591" s="102" t="str">
        <f ca="1">IFERROR(__xludf.DUMMYFUNCTION("IMPORTRANGE(H22591,""IDENTITAS UNIT!D9"")"),"#N/A")</f>
        <v>#N/A</v>
      </c>
      <c r="H22591" s="4" t="str">
        <v/>
      </c>
      <c r="I22591" s="4" t="str">
        <v/>
      </c>
    </row>
    <row r="22592" spans="5:9" ht="16.5" hidden="1">
      <c r="E22592" s="4" t="str">
        <v/>
      </c>
      <c r="F22592" s="102" t="str">
        <f ca="1">IFERROR(__xludf.DUMMYFUNCTION("IMPORTRANGE(H22592,""IDENTITAS UNIT!D9"")"),"#N/A")</f>
        <v>#N/A</v>
      </c>
      <c r="H22592" s="4" t="str">
        <v/>
      </c>
      <c r="I22592" s="4" t="str">
        <v/>
      </c>
    </row>
    <row r="22593" spans="5:9" ht="16.5" hidden="1">
      <c r="E22593" s="4" t="str">
        <v/>
      </c>
      <c r="F22593" s="102" t="str">
        <f ca="1">IFERROR(__xludf.DUMMYFUNCTION("IMPORTRANGE(H22593,""IDENTITAS UNIT!D9"")"),"#N/A")</f>
        <v>#N/A</v>
      </c>
      <c r="H22593" s="4" t="str">
        <v/>
      </c>
      <c r="I22593" s="4" t="str">
        <v/>
      </c>
    </row>
    <row r="22594" spans="5:9" ht="16.5" hidden="1">
      <c r="E22594" s="4" t="str">
        <v/>
      </c>
      <c r="F22594" s="102" t="str">
        <f ca="1">IFERROR(__xludf.DUMMYFUNCTION("IMPORTRANGE(H22594,""IDENTITAS UNIT!D9"")"),"#N/A")</f>
        <v>#N/A</v>
      </c>
      <c r="H22594" s="4" t="str">
        <v/>
      </c>
      <c r="I22594" s="4" t="str">
        <v/>
      </c>
    </row>
    <row r="22595" spans="5:9" ht="16.5" hidden="1">
      <c r="E22595" s="4" t="str">
        <v/>
      </c>
      <c r="F22595" s="102" t="str">
        <f ca="1">IFERROR(__xludf.DUMMYFUNCTION("IMPORTRANGE(H22595,""IDENTITAS UNIT!D9"")"),"#N/A")</f>
        <v>#N/A</v>
      </c>
      <c r="H22595" s="4" t="str">
        <v/>
      </c>
      <c r="I22595" s="4" t="str">
        <v/>
      </c>
    </row>
    <row r="22596" spans="5:9" ht="16.5" hidden="1">
      <c r="E22596" s="4" t="str">
        <v/>
      </c>
      <c r="F22596" s="102" t="str">
        <f ca="1">IFERROR(__xludf.DUMMYFUNCTION("IMPORTRANGE(H22596,""IDENTITAS UNIT!D9"")"),"#N/A")</f>
        <v>#N/A</v>
      </c>
      <c r="H22596" s="4" t="str">
        <v/>
      </c>
      <c r="I22596" s="4" t="str">
        <v/>
      </c>
    </row>
    <row r="22597" spans="5:9" ht="16.5" hidden="1">
      <c r="E22597" s="4" t="str">
        <v/>
      </c>
      <c r="F22597" s="102" t="str">
        <f ca="1">IFERROR(__xludf.DUMMYFUNCTION("IMPORTRANGE(H22597,""IDENTITAS UNIT!D9"")"),"#N/A")</f>
        <v>#N/A</v>
      </c>
      <c r="H22597" s="4" t="str">
        <v/>
      </c>
      <c r="I22597" s="4" t="str">
        <v/>
      </c>
    </row>
    <row r="22598" spans="5:9" ht="16.5" hidden="1">
      <c r="E22598" s="4" t="str">
        <v/>
      </c>
      <c r="F22598" s="102" t="str">
        <f ca="1">IFERROR(__xludf.DUMMYFUNCTION("IMPORTRANGE(H22598,""IDENTITAS UNIT!D9"")"),"#N/A")</f>
        <v>#N/A</v>
      </c>
      <c r="H22598" s="4" t="str">
        <v/>
      </c>
      <c r="I22598" s="4" t="str">
        <v/>
      </c>
    </row>
    <row r="22599" spans="5:9" ht="16.5" hidden="1">
      <c r="E22599" s="4" t="str">
        <v/>
      </c>
      <c r="F22599" s="102" t="str">
        <f ca="1">IFERROR(__xludf.DUMMYFUNCTION("IMPORTRANGE(H22599,""IDENTITAS UNIT!D9"")"),"#N/A")</f>
        <v>#N/A</v>
      </c>
      <c r="H22599" s="4" t="str">
        <v/>
      </c>
      <c r="I22599" s="4" t="str">
        <v/>
      </c>
    </row>
    <row r="22600" spans="5:9" ht="16.5" hidden="1">
      <c r="E22600" s="4" t="str">
        <v/>
      </c>
      <c r="F22600" s="102" t="str">
        <f ca="1">IFERROR(__xludf.DUMMYFUNCTION("IMPORTRANGE(H22600,""IDENTITAS UNIT!D9"")"),"#N/A")</f>
        <v>#N/A</v>
      </c>
      <c r="H22600" s="4" t="str">
        <v/>
      </c>
      <c r="I22600" s="4" t="str">
        <v/>
      </c>
    </row>
    <row r="22601" spans="5:9" ht="16.5" hidden="1">
      <c r="E22601" s="4" t="str">
        <v/>
      </c>
      <c r="F22601" s="102" t="str">
        <f ca="1">IFERROR(__xludf.DUMMYFUNCTION("IMPORTRANGE(H22601,""IDENTITAS UNIT!D9"")"),"#N/A")</f>
        <v>#N/A</v>
      </c>
      <c r="H22601" s="4" t="str">
        <v/>
      </c>
      <c r="I22601" s="4" t="str">
        <v/>
      </c>
    </row>
    <row r="22602" spans="5:9" ht="16.5" hidden="1">
      <c r="E22602" s="4" t="str">
        <v/>
      </c>
      <c r="F22602" s="102" t="str">
        <f ca="1">IFERROR(__xludf.DUMMYFUNCTION("IMPORTRANGE(H22602,""IDENTITAS UNIT!D9"")"),"#N/A")</f>
        <v>#N/A</v>
      </c>
      <c r="H22602" s="4" t="str">
        <v/>
      </c>
      <c r="I22602" s="4" t="str">
        <v/>
      </c>
    </row>
    <row r="22603" spans="5:9" ht="16.5" hidden="1">
      <c r="E22603" s="4" t="str">
        <v/>
      </c>
      <c r="F22603" s="102" t="str">
        <f ca="1">IFERROR(__xludf.DUMMYFUNCTION("IMPORTRANGE(H22603,""IDENTITAS UNIT!D9"")"),"#N/A")</f>
        <v>#N/A</v>
      </c>
      <c r="H22603" s="4" t="str">
        <v/>
      </c>
      <c r="I22603" s="4" t="str">
        <v/>
      </c>
    </row>
    <row r="22604" spans="5:9" ht="16.5" hidden="1">
      <c r="E22604" s="4" t="str">
        <v/>
      </c>
      <c r="F22604" s="102" t="str">
        <f ca="1">IFERROR(__xludf.DUMMYFUNCTION("IMPORTRANGE(H22604,""IDENTITAS UNIT!D9"")"),"#N/A")</f>
        <v>#N/A</v>
      </c>
      <c r="H22604" s="4" t="str">
        <v/>
      </c>
      <c r="I22604" s="4" t="str">
        <v/>
      </c>
    </row>
    <row r="22605" spans="5:9" ht="16.5" hidden="1">
      <c r="E22605" s="4" t="str">
        <v/>
      </c>
      <c r="F22605" s="102" t="str">
        <f ca="1">IFERROR(__xludf.DUMMYFUNCTION("IMPORTRANGE(H22605,""IDENTITAS UNIT!D9"")"),"#N/A")</f>
        <v>#N/A</v>
      </c>
      <c r="H22605" s="4" t="str">
        <v/>
      </c>
      <c r="I22605" s="4" t="str">
        <v/>
      </c>
    </row>
    <row r="22606" spans="5:9" ht="16.5" hidden="1">
      <c r="E22606" s="4" t="str">
        <v/>
      </c>
      <c r="F22606" s="102" t="str">
        <f ca="1">IFERROR(__xludf.DUMMYFUNCTION("IMPORTRANGE(H22606,""IDENTITAS UNIT!D9"")"),"#N/A")</f>
        <v>#N/A</v>
      </c>
      <c r="H22606" s="4" t="str">
        <v/>
      </c>
      <c r="I22606" s="4" t="str">
        <v/>
      </c>
    </row>
    <row r="22607" spans="5:9" ht="16.5" hidden="1">
      <c r="E22607" s="4" t="str">
        <v/>
      </c>
      <c r="F22607" s="102" t="str">
        <f ca="1">IFERROR(__xludf.DUMMYFUNCTION("IMPORTRANGE(H22607,""IDENTITAS UNIT!D9"")"),"#N/A")</f>
        <v>#N/A</v>
      </c>
      <c r="H22607" s="4" t="str">
        <v/>
      </c>
      <c r="I22607" s="4" t="str">
        <v/>
      </c>
    </row>
    <row r="22608" spans="5:9" ht="16.5" hidden="1">
      <c r="E22608" s="4" t="str">
        <v/>
      </c>
      <c r="F22608" s="102" t="str">
        <f ca="1">IFERROR(__xludf.DUMMYFUNCTION("IMPORTRANGE(H22608,""IDENTITAS UNIT!D9"")"),"#N/A")</f>
        <v>#N/A</v>
      </c>
      <c r="H22608" s="4" t="str">
        <v/>
      </c>
      <c r="I22608" s="4" t="str">
        <v/>
      </c>
    </row>
    <row r="22609" spans="5:9" ht="16.5" hidden="1">
      <c r="E22609" s="4" t="str">
        <v/>
      </c>
      <c r="F22609" s="102" t="str">
        <f ca="1">IFERROR(__xludf.DUMMYFUNCTION("IMPORTRANGE(H22609,""IDENTITAS UNIT!D9"")"),"#N/A")</f>
        <v>#N/A</v>
      </c>
      <c r="H22609" s="4" t="str">
        <v/>
      </c>
      <c r="I22609" s="4" t="str">
        <v/>
      </c>
    </row>
    <row r="22610" spans="5:9" ht="16.5" hidden="1">
      <c r="E22610" s="4" t="str">
        <v/>
      </c>
      <c r="F22610" s="102" t="str">
        <f ca="1">IFERROR(__xludf.DUMMYFUNCTION("IMPORTRANGE(H22610,""IDENTITAS UNIT!D9"")"),"#N/A")</f>
        <v>#N/A</v>
      </c>
      <c r="H22610" s="4" t="str">
        <v/>
      </c>
      <c r="I22610" s="4" t="str">
        <v/>
      </c>
    </row>
    <row r="22611" spans="5:9" ht="16.5" hidden="1">
      <c r="E22611" s="4" t="str">
        <v/>
      </c>
      <c r="F22611" s="102" t="str">
        <f ca="1">IFERROR(__xludf.DUMMYFUNCTION("IMPORTRANGE(H22611,""IDENTITAS UNIT!D9"")"),"#N/A")</f>
        <v>#N/A</v>
      </c>
      <c r="H22611" s="4" t="str">
        <v/>
      </c>
      <c r="I22611" s="4" t="str">
        <v/>
      </c>
    </row>
    <row r="22612" spans="5:9" ht="16.5" hidden="1">
      <c r="E22612" s="4" t="str">
        <v/>
      </c>
      <c r="F22612" s="102" t="str">
        <f ca="1">IFERROR(__xludf.DUMMYFUNCTION("IMPORTRANGE(H22612,""IDENTITAS UNIT!D9"")"),"#N/A")</f>
        <v>#N/A</v>
      </c>
      <c r="H22612" s="4" t="str">
        <v/>
      </c>
      <c r="I22612" s="4" t="str">
        <v/>
      </c>
    </row>
    <row r="22613" spans="5:9" ht="16.5" hidden="1">
      <c r="E22613" s="4" t="str">
        <v/>
      </c>
      <c r="F22613" s="102" t="str">
        <f ca="1">IFERROR(__xludf.DUMMYFUNCTION("IMPORTRANGE(H22613,""IDENTITAS UNIT!D9"")"),"#N/A")</f>
        <v>#N/A</v>
      </c>
      <c r="H22613" s="4" t="str">
        <v/>
      </c>
      <c r="I22613" s="4" t="str">
        <v/>
      </c>
    </row>
    <row r="22614" spans="5:9" ht="16.5" hidden="1">
      <c r="E22614" s="4" t="str">
        <v/>
      </c>
      <c r="F22614" s="102" t="str">
        <f ca="1">IFERROR(__xludf.DUMMYFUNCTION("IMPORTRANGE(H22614,""IDENTITAS UNIT!D9"")"),"#N/A")</f>
        <v>#N/A</v>
      </c>
      <c r="H22614" s="4" t="str">
        <v/>
      </c>
      <c r="I22614" s="4" t="str">
        <v/>
      </c>
    </row>
    <row r="22615" spans="5:9" ht="16.5" hidden="1">
      <c r="E22615" s="4" t="str">
        <v/>
      </c>
      <c r="F22615" s="102" t="str">
        <f ca="1">IFERROR(__xludf.DUMMYFUNCTION("IMPORTRANGE(H22615,""IDENTITAS UNIT!D9"")"),"#N/A")</f>
        <v>#N/A</v>
      </c>
      <c r="H22615" s="4" t="str">
        <v/>
      </c>
      <c r="I22615" s="4" t="str">
        <v/>
      </c>
    </row>
    <row r="22616" spans="5:9" ht="16.5" hidden="1">
      <c r="E22616" s="4" t="str">
        <v/>
      </c>
      <c r="F22616" s="102" t="str">
        <f ca="1">IFERROR(__xludf.DUMMYFUNCTION("IMPORTRANGE(H22616,""IDENTITAS UNIT!D9"")"),"#N/A")</f>
        <v>#N/A</v>
      </c>
      <c r="H22616" s="4" t="str">
        <v/>
      </c>
      <c r="I22616" s="4" t="str">
        <v/>
      </c>
    </row>
    <row r="22617" spans="5:9" ht="16.5" hidden="1">
      <c r="E22617" s="4" t="str">
        <v/>
      </c>
      <c r="F22617" s="102" t="str">
        <f ca="1">IFERROR(__xludf.DUMMYFUNCTION("IMPORTRANGE(H22617,""IDENTITAS UNIT!D9"")"),"#N/A")</f>
        <v>#N/A</v>
      </c>
      <c r="H22617" s="4" t="str">
        <v/>
      </c>
      <c r="I22617" s="4" t="str">
        <v/>
      </c>
    </row>
    <row r="22618" spans="5:9" ht="16.5" hidden="1">
      <c r="E22618" s="4" t="str">
        <v/>
      </c>
      <c r="F22618" s="102" t="str">
        <f ca="1">IFERROR(__xludf.DUMMYFUNCTION("IMPORTRANGE(H22618,""IDENTITAS UNIT!D9"")"),"#N/A")</f>
        <v>#N/A</v>
      </c>
      <c r="H22618" s="4" t="str">
        <v/>
      </c>
      <c r="I22618" s="4" t="str">
        <v/>
      </c>
    </row>
    <row r="22619" spans="5:9" ht="16.5" hidden="1">
      <c r="E22619" s="4" t="str">
        <v/>
      </c>
      <c r="F22619" s="102" t="str">
        <f ca="1">IFERROR(__xludf.DUMMYFUNCTION("IMPORTRANGE(H22619,""IDENTITAS UNIT!D9"")"),"#N/A")</f>
        <v>#N/A</v>
      </c>
      <c r="H22619" s="4" t="str">
        <v/>
      </c>
      <c r="I22619" s="4" t="str">
        <v/>
      </c>
    </row>
    <row r="22620" spans="5:9" ht="16.5" hidden="1">
      <c r="E22620" s="4" t="str">
        <v/>
      </c>
      <c r="F22620" s="102" t="str">
        <f ca="1">IFERROR(__xludf.DUMMYFUNCTION("IMPORTRANGE(H22620,""IDENTITAS UNIT!D9"")"),"#N/A")</f>
        <v>#N/A</v>
      </c>
      <c r="H22620" s="4" t="str">
        <v/>
      </c>
      <c r="I22620" s="4" t="str">
        <v/>
      </c>
    </row>
    <row r="22621" spans="5:9" ht="16.5" hidden="1">
      <c r="E22621" s="4" t="str">
        <v/>
      </c>
      <c r="F22621" s="102" t="str">
        <f ca="1">IFERROR(__xludf.DUMMYFUNCTION("IMPORTRANGE(H22621,""IDENTITAS UNIT!D9"")"),"#N/A")</f>
        <v>#N/A</v>
      </c>
      <c r="H22621" s="4" t="str">
        <v/>
      </c>
      <c r="I22621" s="4" t="str">
        <v/>
      </c>
    </row>
    <row r="22622" spans="5:9" ht="16.5" hidden="1">
      <c r="E22622" s="4" t="str">
        <v/>
      </c>
      <c r="F22622" s="102" t="str">
        <f ca="1">IFERROR(__xludf.DUMMYFUNCTION("IMPORTRANGE(H22622,""IDENTITAS UNIT!D9"")"),"#N/A")</f>
        <v>#N/A</v>
      </c>
      <c r="H22622" s="4" t="str">
        <v/>
      </c>
      <c r="I22622" s="4" t="str">
        <v/>
      </c>
    </row>
    <row r="22623" spans="5:9" ht="16.5" hidden="1">
      <c r="E22623" s="4" t="str">
        <v/>
      </c>
      <c r="F22623" s="102" t="str">
        <f ca="1">IFERROR(__xludf.DUMMYFUNCTION("IMPORTRANGE(H22623,""IDENTITAS UNIT!D9"")"),"#N/A")</f>
        <v>#N/A</v>
      </c>
      <c r="H22623" s="4" t="str">
        <v/>
      </c>
      <c r="I22623" s="4" t="str">
        <v/>
      </c>
    </row>
    <row r="22624" spans="5:9" ht="16.5" hidden="1">
      <c r="E22624" s="4" t="str">
        <v/>
      </c>
      <c r="F22624" s="102" t="str">
        <f ca="1">IFERROR(__xludf.DUMMYFUNCTION("IMPORTRANGE(H22624,""IDENTITAS UNIT!D9"")"),"#N/A")</f>
        <v>#N/A</v>
      </c>
      <c r="H22624" s="4" t="str">
        <v/>
      </c>
      <c r="I22624" s="4" t="str">
        <v/>
      </c>
    </row>
    <row r="22625" spans="5:9" ht="16.5" hidden="1">
      <c r="E22625" s="4" t="str">
        <v/>
      </c>
      <c r="F22625" s="102" t="str">
        <f ca="1">IFERROR(__xludf.DUMMYFUNCTION("IMPORTRANGE(H22625,""IDENTITAS UNIT!D9"")"),"#N/A")</f>
        <v>#N/A</v>
      </c>
      <c r="H22625" s="4" t="str">
        <v/>
      </c>
      <c r="I22625" s="4" t="str">
        <v/>
      </c>
    </row>
    <row r="22626" spans="5:9" ht="16.5" hidden="1">
      <c r="E22626" s="4" t="str">
        <v/>
      </c>
      <c r="F22626" s="102" t="str">
        <f ca="1">IFERROR(__xludf.DUMMYFUNCTION("IMPORTRANGE(H22626,""IDENTITAS UNIT!D9"")"),"#N/A")</f>
        <v>#N/A</v>
      </c>
      <c r="H22626" s="4" t="str">
        <v/>
      </c>
      <c r="I22626" s="4" t="str">
        <v/>
      </c>
    </row>
    <row r="22627" spans="5:9" ht="16.5" hidden="1">
      <c r="E22627" s="4" t="str">
        <v/>
      </c>
      <c r="F22627" s="102" t="str">
        <f ca="1">IFERROR(__xludf.DUMMYFUNCTION("IMPORTRANGE(H22627,""IDENTITAS UNIT!D9"")"),"#N/A")</f>
        <v>#N/A</v>
      </c>
      <c r="H22627" s="4" t="str">
        <v/>
      </c>
      <c r="I22627" s="4" t="str">
        <v/>
      </c>
    </row>
    <row r="22628" spans="5:9" ht="16.5" hidden="1">
      <c r="E22628" s="4" t="str">
        <v/>
      </c>
      <c r="F22628" s="102" t="str">
        <f ca="1">IFERROR(__xludf.DUMMYFUNCTION("IMPORTRANGE(H22628,""IDENTITAS UNIT!D9"")"),"#N/A")</f>
        <v>#N/A</v>
      </c>
      <c r="H22628" s="4" t="str">
        <v/>
      </c>
      <c r="I22628" s="4" t="str">
        <v/>
      </c>
    </row>
    <row r="22629" spans="5:9" ht="16.5" hidden="1">
      <c r="E22629" s="4" t="str">
        <v/>
      </c>
      <c r="F22629" s="102" t="str">
        <f ca="1">IFERROR(__xludf.DUMMYFUNCTION("IMPORTRANGE(H22629,""IDENTITAS UNIT!D9"")"),"#N/A")</f>
        <v>#N/A</v>
      </c>
      <c r="H22629" s="4" t="str">
        <v/>
      </c>
      <c r="I22629" s="4" t="str">
        <v/>
      </c>
    </row>
    <row r="22630" spans="5:9" ht="16.5" hidden="1">
      <c r="E22630" s="4" t="str">
        <v/>
      </c>
      <c r="F22630" s="102" t="str">
        <f ca="1">IFERROR(__xludf.DUMMYFUNCTION("IMPORTRANGE(H22630,""IDENTITAS UNIT!D9"")"),"#N/A")</f>
        <v>#N/A</v>
      </c>
      <c r="H22630" s="4" t="str">
        <v/>
      </c>
      <c r="I22630" s="4" t="str">
        <v/>
      </c>
    </row>
    <row r="22631" spans="5:9" ht="16.5" hidden="1">
      <c r="E22631" s="4" t="str">
        <v/>
      </c>
      <c r="F22631" s="102" t="str">
        <f ca="1">IFERROR(__xludf.DUMMYFUNCTION("IMPORTRANGE(H22631,""IDENTITAS UNIT!D9"")"),"#N/A")</f>
        <v>#N/A</v>
      </c>
      <c r="H22631" s="4" t="str">
        <v/>
      </c>
      <c r="I22631" s="4" t="str">
        <v/>
      </c>
    </row>
    <row r="22632" spans="5:9" ht="16.5" hidden="1">
      <c r="E22632" s="4" t="str">
        <v/>
      </c>
      <c r="F22632" s="102" t="str">
        <f ca="1">IFERROR(__xludf.DUMMYFUNCTION("IMPORTRANGE(H22632,""IDENTITAS UNIT!D9"")"),"#N/A")</f>
        <v>#N/A</v>
      </c>
      <c r="H22632" s="4" t="str">
        <v/>
      </c>
      <c r="I22632" s="4" t="str">
        <v/>
      </c>
    </row>
    <row r="22633" spans="5:9" ht="16.5" hidden="1">
      <c r="E22633" s="4" t="str">
        <v/>
      </c>
      <c r="F22633" s="102" t="str">
        <f ca="1">IFERROR(__xludf.DUMMYFUNCTION("IMPORTRANGE(H22633,""IDENTITAS UNIT!D9"")"),"#N/A")</f>
        <v>#N/A</v>
      </c>
      <c r="H22633" s="4" t="str">
        <v/>
      </c>
      <c r="I22633" s="4" t="str">
        <v/>
      </c>
    </row>
    <row r="22634" spans="5:9" ht="16.5" hidden="1">
      <c r="E22634" s="4" t="str">
        <v/>
      </c>
      <c r="F22634" s="102" t="str">
        <f ca="1">IFERROR(__xludf.DUMMYFUNCTION("IMPORTRANGE(H22634,""IDENTITAS UNIT!D9"")"),"#N/A")</f>
        <v>#N/A</v>
      </c>
      <c r="H22634" s="4" t="str">
        <v/>
      </c>
      <c r="I22634" s="4" t="str">
        <v/>
      </c>
    </row>
    <row r="22635" spans="5:9" ht="16.5" hidden="1">
      <c r="E22635" s="4" t="str">
        <v/>
      </c>
      <c r="F22635" s="102" t="str">
        <f ca="1">IFERROR(__xludf.DUMMYFUNCTION("IMPORTRANGE(H22635,""IDENTITAS UNIT!D9"")"),"#N/A")</f>
        <v>#N/A</v>
      </c>
      <c r="H22635" s="4" t="str">
        <v/>
      </c>
      <c r="I22635" s="4" t="str">
        <v/>
      </c>
    </row>
    <row r="22636" spans="5:9" ht="16.5" hidden="1">
      <c r="E22636" s="4" t="str">
        <v/>
      </c>
      <c r="F22636" s="102" t="str">
        <f ca="1">IFERROR(__xludf.DUMMYFUNCTION("IMPORTRANGE(H22636,""IDENTITAS UNIT!D9"")"),"#N/A")</f>
        <v>#N/A</v>
      </c>
      <c r="H22636" s="4" t="str">
        <v/>
      </c>
      <c r="I22636" s="4" t="str">
        <v/>
      </c>
    </row>
    <row r="22637" spans="5:9" ht="16.5" hidden="1">
      <c r="E22637" s="4" t="str">
        <v/>
      </c>
      <c r="F22637" s="102" t="str">
        <f ca="1">IFERROR(__xludf.DUMMYFUNCTION("IMPORTRANGE(H22637,""IDENTITAS UNIT!D9"")"),"#N/A")</f>
        <v>#N/A</v>
      </c>
      <c r="H22637" s="4" t="str">
        <v/>
      </c>
      <c r="I22637" s="4" t="str">
        <v/>
      </c>
    </row>
    <row r="22638" spans="5:9" ht="16.5" hidden="1">
      <c r="E22638" s="4" t="str">
        <v/>
      </c>
      <c r="F22638" s="102" t="str">
        <f ca="1">IFERROR(__xludf.DUMMYFUNCTION("IMPORTRANGE(H22638,""IDENTITAS UNIT!D9"")"),"#N/A")</f>
        <v>#N/A</v>
      </c>
      <c r="H22638" s="4" t="str">
        <v/>
      </c>
      <c r="I22638" s="4" t="str">
        <v/>
      </c>
    </row>
    <row r="22639" spans="5:9" ht="16.5" hidden="1">
      <c r="E22639" s="4" t="str">
        <v/>
      </c>
      <c r="F22639" s="102" t="str">
        <f ca="1">IFERROR(__xludf.DUMMYFUNCTION("IMPORTRANGE(H22639,""IDENTITAS UNIT!D9"")"),"#N/A")</f>
        <v>#N/A</v>
      </c>
      <c r="H22639" s="4" t="str">
        <v/>
      </c>
      <c r="I22639" s="4" t="str">
        <v/>
      </c>
    </row>
    <row r="22640" spans="5:9" ht="16.5" hidden="1">
      <c r="E22640" s="4" t="str">
        <v/>
      </c>
      <c r="F22640" s="102" t="str">
        <f ca="1">IFERROR(__xludf.DUMMYFUNCTION("IMPORTRANGE(H22640,""IDENTITAS UNIT!D9"")"),"#N/A")</f>
        <v>#N/A</v>
      </c>
      <c r="H22640" s="4" t="str">
        <v/>
      </c>
      <c r="I22640" s="4" t="str">
        <v/>
      </c>
    </row>
    <row r="22641" spans="5:9" ht="16.5" hidden="1">
      <c r="E22641" s="4" t="str">
        <v/>
      </c>
      <c r="F22641" s="102" t="str">
        <f ca="1">IFERROR(__xludf.DUMMYFUNCTION("IMPORTRANGE(H22641,""IDENTITAS UNIT!D9"")"),"#N/A")</f>
        <v>#N/A</v>
      </c>
      <c r="H22641" s="4" t="str">
        <v/>
      </c>
      <c r="I22641" s="4" t="str">
        <v/>
      </c>
    </row>
    <row r="22642" spans="5:9" ht="16.5" hidden="1">
      <c r="E22642" s="4" t="str">
        <v/>
      </c>
      <c r="F22642" s="102" t="str">
        <f ca="1">IFERROR(__xludf.DUMMYFUNCTION("IMPORTRANGE(H22642,""IDENTITAS UNIT!D9"")"),"#N/A")</f>
        <v>#N/A</v>
      </c>
      <c r="H22642" s="4" t="str">
        <v/>
      </c>
      <c r="I22642" s="4" t="str">
        <v/>
      </c>
    </row>
    <row r="22643" spans="5:9" ht="16.5" hidden="1">
      <c r="E22643" s="4" t="str">
        <v/>
      </c>
      <c r="F22643" s="102" t="str">
        <f ca="1">IFERROR(__xludf.DUMMYFUNCTION("IMPORTRANGE(H22643,""IDENTITAS UNIT!D9"")"),"#N/A")</f>
        <v>#N/A</v>
      </c>
      <c r="H22643" s="4" t="str">
        <v/>
      </c>
      <c r="I22643" s="4" t="str">
        <v/>
      </c>
    </row>
    <row r="22644" spans="5:9" ht="16.5" hidden="1">
      <c r="E22644" s="4" t="str">
        <v/>
      </c>
      <c r="F22644" s="102" t="str">
        <f ca="1">IFERROR(__xludf.DUMMYFUNCTION("IMPORTRANGE(H22644,""IDENTITAS UNIT!D9"")"),"#N/A")</f>
        <v>#N/A</v>
      </c>
      <c r="H22644" s="4" t="str">
        <v/>
      </c>
      <c r="I22644" s="4" t="str">
        <v/>
      </c>
    </row>
    <row r="22645" spans="5:9" ht="16.5" hidden="1">
      <c r="E22645" s="4" t="str">
        <v/>
      </c>
      <c r="F22645" s="102" t="str">
        <f ca="1">IFERROR(__xludf.DUMMYFUNCTION("IMPORTRANGE(H22645,""IDENTITAS UNIT!D9"")"),"#N/A")</f>
        <v>#N/A</v>
      </c>
      <c r="H22645" s="4" t="str">
        <v/>
      </c>
      <c r="I22645" s="4" t="str">
        <v/>
      </c>
    </row>
    <row r="22646" spans="5:9" ht="16.5" hidden="1">
      <c r="E22646" s="4" t="str">
        <v/>
      </c>
      <c r="F22646" s="102" t="str">
        <f ca="1">IFERROR(__xludf.DUMMYFUNCTION("IMPORTRANGE(H22646,""IDENTITAS UNIT!D9"")"),"#N/A")</f>
        <v>#N/A</v>
      </c>
      <c r="H22646" s="4" t="str">
        <v/>
      </c>
      <c r="I22646" s="4" t="str">
        <v/>
      </c>
    </row>
    <row r="22647" spans="5:9" ht="16.5" hidden="1">
      <c r="E22647" s="4" t="str">
        <v/>
      </c>
      <c r="F22647" s="102" t="str">
        <f ca="1">IFERROR(__xludf.DUMMYFUNCTION("IMPORTRANGE(H22647,""IDENTITAS UNIT!D9"")"),"#N/A")</f>
        <v>#N/A</v>
      </c>
      <c r="H22647" s="4" t="str">
        <v/>
      </c>
      <c r="I22647" s="4" t="str">
        <v/>
      </c>
    </row>
    <row r="22648" spans="5:9" ht="16.5" hidden="1">
      <c r="E22648" s="4" t="str">
        <v/>
      </c>
      <c r="F22648" s="102" t="str">
        <f ca="1">IFERROR(__xludf.DUMMYFUNCTION("IMPORTRANGE(H22648,""IDENTITAS UNIT!D9"")"),"#N/A")</f>
        <v>#N/A</v>
      </c>
      <c r="H22648" s="4" t="str">
        <v/>
      </c>
      <c r="I22648" s="4" t="str">
        <v/>
      </c>
    </row>
    <row r="22649" spans="5:9" ht="16.5" hidden="1">
      <c r="E22649" s="4" t="str">
        <v/>
      </c>
      <c r="F22649" s="102" t="str">
        <f ca="1">IFERROR(__xludf.DUMMYFUNCTION("IMPORTRANGE(H22649,""IDENTITAS UNIT!D9"")"),"#N/A")</f>
        <v>#N/A</v>
      </c>
      <c r="H22649" s="4" t="str">
        <v/>
      </c>
      <c r="I22649" s="4" t="str">
        <v/>
      </c>
    </row>
    <row r="22650" spans="5:9" ht="16.5" hidden="1">
      <c r="E22650" s="4" t="str">
        <v/>
      </c>
      <c r="F22650" s="102" t="str">
        <f ca="1">IFERROR(__xludf.DUMMYFUNCTION("IMPORTRANGE(H22650,""IDENTITAS UNIT!D9"")"),"#N/A")</f>
        <v>#N/A</v>
      </c>
      <c r="H22650" s="4" t="str">
        <v/>
      </c>
      <c r="I22650" s="4" t="str">
        <v/>
      </c>
    </row>
    <row r="22651" spans="5:9" ht="16.5" hidden="1">
      <c r="E22651" s="4" t="str">
        <v/>
      </c>
      <c r="F22651" s="102" t="str">
        <f ca="1">IFERROR(__xludf.DUMMYFUNCTION("IMPORTRANGE(H22651,""IDENTITAS UNIT!D9"")"),"#N/A")</f>
        <v>#N/A</v>
      </c>
      <c r="H22651" s="4" t="str">
        <v/>
      </c>
      <c r="I22651" s="4" t="str">
        <v/>
      </c>
    </row>
    <row r="22652" spans="5:9" ht="16.5" hidden="1">
      <c r="E22652" s="4" t="str">
        <v/>
      </c>
      <c r="F22652" s="102" t="str">
        <f ca="1">IFERROR(__xludf.DUMMYFUNCTION("IMPORTRANGE(H22652,""IDENTITAS UNIT!D9"")"),"#N/A")</f>
        <v>#N/A</v>
      </c>
      <c r="H22652" s="4" t="str">
        <v/>
      </c>
      <c r="I22652" s="4" t="str">
        <v/>
      </c>
    </row>
    <row r="22653" spans="5:9" ht="16.5" hidden="1">
      <c r="E22653" s="4" t="str">
        <v/>
      </c>
      <c r="F22653" s="102" t="str">
        <f ca="1">IFERROR(__xludf.DUMMYFUNCTION("IMPORTRANGE(H22653,""IDENTITAS UNIT!D9"")"),"#N/A")</f>
        <v>#N/A</v>
      </c>
      <c r="H22653" s="4" t="str">
        <v/>
      </c>
      <c r="I22653" s="4" t="str">
        <v/>
      </c>
    </row>
    <row r="22654" spans="5:9" ht="16.5" hidden="1">
      <c r="E22654" s="4" t="str">
        <v/>
      </c>
      <c r="F22654" s="102" t="str">
        <f ca="1">IFERROR(__xludf.DUMMYFUNCTION("IMPORTRANGE(H22654,""IDENTITAS UNIT!D9"")"),"#N/A")</f>
        <v>#N/A</v>
      </c>
      <c r="H22654" s="4" t="str">
        <v/>
      </c>
      <c r="I22654" s="4" t="str">
        <v/>
      </c>
    </row>
    <row r="22655" spans="5:9" ht="16.5" hidden="1">
      <c r="E22655" s="4" t="str">
        <v/>
      </c>
      <c r="F22655" s="102" t="str">
        <f ca="1">IFERROR(__xludf.DUMMYFUNCTION("IMPORTRANGE(H22655,""IDENTITAS UNIT!D9"")"),"#N/A")</f>
        <v>#N/A</v>
      </c>
      <c r="H22655" s="4" t="str">
        <v/>
      </c>
      <c r="I22655" s="4" t="str">
        <v/>
      </c>
    </row>
    <row r="22656" spans="5:9" ht="16.5" hidden="1">
      <c r="E22656" s="4" t="str">
        <v/>
      </c>
      <c r="F22656" s="102" t="str">
        <f ca="1">IFERROR(__xludf.DUMMYFUNCTION("IMPORTRANGE(H22656,""IDENTITAS UNIT!D9"")"),"#N/A")</f>
        <v>#N/A</v>
      </c>
      <c r="H22656" s="4" t="str">
        <v/>
      </c>
      <c r="I22656" s="4" t="str">
        <v/>
      </c>
    </row>
    <row r="22657" spans="5:9" ht="16.5" hidden="1">
      <c r="E22657" s="4" t="str">
        <v/>
      </c>
      <c r="F22657" s="102" t="str">
        <f ca="1">IFERROR(__xludf.DUMMYFUNCTION("IMPORTRANGE(H22657,""IDENTITAS UNIT!D9"")"),"#N/A")</f>
        <v>#N/A</v>
      </c>
      <c r="H22657" s="4" t="str">
        <v/>
      </c>
      <c r="I22657" s="4" t="str">
        <v/>
      </c>
    </row>
    <row r="22658" spans="5:9" ht="16.5" hidden="1">
      <c r="E22658" s="4" t="str">
        <v/>
      </c>
      <c r="F22658" s="102" t="str">
        <f ca="1">IFERROR(__xludf.DUMMYFUNCTION("IMPORTRANGE(H22658,""IDENTITAS UNIT!D9"")"),"#N/A")</f>
        <v>#N/A</v>
      </c>
      <c r="H22658" s="4" t="str">
        <v/>
      </c>
      <c r="I22658" s="4" t="str">
        <v/>
      </c>
    </row>
    <row r="22659" spans="5:9" ht="16.5" hidden="1">
      <c r="E22659" s="4" t="str">
        <v/>
      </c>
      <c r="F22659" s="102" t="str">
        <f ca="1">IFERROR(__xludf.DUMMYFUNCTION("IMPORTRANGE(H22659,""IDENTITAS UNIT!D9"")"),"#N/A")</f>
        <v>#N/A</v>
      </c>
      <c r="H22659" s="4" t="str">
        <v/>
      </c>
      <c r="I22659" s="4" t="str">
        <v/>
      </c>
    </row>
    <row r="22660" spans="5:9" ht="16.5" hidden="1">
      <c r="E22660" s="4" t="str">
        <v/>
      </c>
      <c r="F22660" s="102" t="str">
        <f ca="1">IFERROR(__xludf.DUMMYFUNCTION("IMPORTRANGE(H22660,""IDENTITAS UNIT!D9"")"),"#N/A")</f>
        <v>#N/A</v>
      </c>
      <c r="H22660" s="4" t="str">
        <v/>
      </c>
      <c r="I22660" s="4" t="str">
        <v/>
      </c>
    </row>
    <row r="22661" spans="5:9" ht="16.5" hidden="1">
      <c r="E22661" s="4" t="str">
        <v/>
      </c>
      <c r="F22661" s="102" t="str">
        <f ca="1">IFERROR(__xludf.DUMMYFUNCTION("IMPORTRANGE(H22661,""IDENTITAS UNIT!D9"")"),"#N/A")</f>
        <v>#N/A</v>
      </c>
      <c r="H22661" s="4" t="str">
        <v/>
      </c>
      <c r="I22661" s="4" t="str">
        <v/>
      </c>
    </row>
    <row r="22662" spans="5:9" ht="16.5" hidden="1">
      <c r="E22662" s="4" t="str">
        <v/>
      </c>
      <c r="F22662" s="102" t="str">
        <f ca="1">IFERROR(__xludf.DUMMYFUNCTION("IMPORTRANGE(H22662,""IDENTITAS UNIT!D9"")"),"#N/A")</f>
        <v>#N/A</v>
      </c>
      <c r="H22662" s="4" t="str">
        <v/>
      </c>
      <c r="I22662" s="4" t="str">
        <v/>
      </c>
    </row>
    <row r="22663" spans="5:9" ht="16.5" hidden="1">
      <c r="E22663" s="4" t="str">
        <v/>
      </c>
      <c r="F22663" s="102" t="str">
        <f ca="1">IFERROR(__xludf.DUMMYFUNCTION("IMPORTRANGE(H22663,""IDENTITAS UNIT!D9"")"),"#N/A")</f>
        <v>#N/A</v>
      </c>
      <c r="H22663" s="4" t="str">
        <v/>
      </c>
      <c r="I22663" s="4" t="str">
        <v/>
      </c>
    </row>
    <row r="22664" spans="5:9" ht="16.5" hidden="1">
      <c r="E22664" s="4" t="str">
        <v/>
      </c>
      <c r="F22664" s="102" t="str">
        <f ca="1">IFERROR(__xludf.DUMMYFUNCTION("IMPORTRANGE(H22664,""IDENTITAS UNIT!D9"")"),"#N/A")</f>
        <v>#N/A</v>
      </c>
      <c r="H22664" s="4" t="str">
        <v/>
      </c>
      <c r="I22664" s="4" t="str">
        <v/>
      </c>
    </row>
    <row r="22665" spans="5:9" ht="16.5" hidden="1">
      <c r="E22665" s="4" t="str">
        <v/>
      </c>
      <c r="F22665" s="102" t="str">
        <f ca="1">IFERROR(__xludf.DUMMYFUNCTION("IMPORTRANGE(H22665,""IDENTITAS UNIT!D9"")"),"#N/A")</f>
        <v>#N/A</v>
      </c>
      <c r="H22665" s="4" t="str">
        <v/>
      </c>
      <c r="I22665" s="4" t="str">
        <v/>
      </c>
    </row>
    <row r="22666" spans="5:9" ht="16.5" hidden="1">
      <c r="E22666" s="4" t="str">
        <v/>
      </c>
      <c r="F22666" s="102" t="str">
        <f ca="1">IFERROR(__xludf.DUMMYFUNCTION("IMPORTRANGE(H22666,""IDENTITAS UNIT!D9"")"),"#N/A")</f>
        <v>#N/A</v>
      </c>
      <c r="H22666" s="4" t="str">
        <v/>
      </c>
      <c r="I22666" s="4" t="str">
        <v/>
      </c>
    </row>
    <row r="22667" spans="5:9" ht="16.5" hidden="1">
      <c r="E22667" s="4" t="str">
        <v/>
      </c>
      <c r="F22667" s="102" t="str">
        <f ca="1">IFERROR(__xludf.DUMMYFUNCTION("IMPORTRANGE(H22667,""IDENTITAS UNIT!D9"")"),"#N/A")</f>
        <v>#N/A</v>
      </c>
      <c r="H22667" s="4" t="str">
        <v/>
      </c>
      <c r="I22667" s="4" t="str">
        <v/>
      </c>
    </row>
    <row r="22668" spans="5:9" ht="16.5" hidden="1">
      <c r="E22668" s="4" t="str">
        <v/>
      </c>
      <c r="F22668" s="102" t="str">
        <f ca="1">IFERROR(__xludf.DUMMYFUNCTION("IMPORTRANGE(H22668,""IDENTITAS UNIT!D9"")"),"#N/A")</f>
        <v>#N/A</v>
      </c>
      <c r="H22668" s="4" t="str">
        <v/>
      </c>
      <c r="I22668" s="4" t="str">
        <v/>
      </c>
    </row>
    <row r="22669" spans="5:9" ht="16.5" hidden="1">
      <c r="E22669" s="4" t="str">
        <v/>
      </c>
      <c r="F22669" s="102" t="str">
        <f ca="1">IFERROR(__xludf.DUMMYFUNCTION("IMPORTRANGE(H22669,""IDENTITAS UNIT!D9"")"),"#N/A")</f>
        <v>#N/A</v>
      </c>
      <c r="H22669" s="4" t="str">
        <v/>
      </c>
      <c r="I22669" s="4" t="str">
        <v/>
      </c>
    </row>
    <row r="22670" spans="5:9" ht="16.5" hidden="1">
      <c r="E22670" s="4" t="str">
        <v/>
      </c>
      <c r="F22670" s="102" t="str">
        <f ca="1">IFERROR(__xludf.DUMMYFUNCTION("IMPORTRANGE(H22670,""IDENTITAS UNIT!D9"")"),"#N/A")</f>
        <v>#N/A</v>
      </c>
      <c r="H22670" s="4" t="str">
        <v/>
      </c>
      <c r="I22670" s="4" t="str">
        <v/>
      </c>
    </row>
    <row r="22671" spans="5:9" ht="16.5" hidden="1">
      <c r="E22671" s="4" t="str">
        <v/>
      </c>
      <c r="F22671" s="102" t="str">
        <f ca="1">IFERROR(__xludf.DUMMYFUNCTION("IMPORTRANGE(H22671,""IDENTITAS UNIT!D9"")"),"#N/A")</f>
        <v>#N/A</v>
      </c>
      <c r="H22671" s="4" t="str">
        <v/>
      </c>
      <c r="I22671" s="4" t="str">
        <v/>
      </c>
    </row>
    <row r="22672" spans="5:9" ht="16.5" hidden="1">
      <c r="E22672" s="4" t="str">
        <v/>
      </c>
      <c r="F22672" s="102" t="str">
        <f ca="1">IFERROR(__xludf.DUMMYFUNCTION("IMPORTRANGE(H22672,""IDENTITAS UNIT!D9"")"),"#N/A")</f>
        <v>#N/A</v>
      </c>
      <c r="H22672" s="4" t="str">
        <v/>
      </c>
      <c r="I22672" s="4" t="str">
        <v/>
      </c>
    </row>
    <row r="22673" spans="5:9" ht="16.5" hidden="1">
      <c r="E22673" s="4" t="str">
        <v/>
      </c>
      <c r="F22673" s="102" t="str">
        <f ca="1">IFERROR(__xludf.DUMMYFUNCTION("IMPORTRANGE(H22673,""IDENTITAS UNIT!D9"")"),"#N/A")</f>
        <v>#N/A</v>
      </c>
      <c r="H22673" s="4" t="str">
        <v/>
      </c>
      <c r="I22673" s="4" t="str">
        <v/>
      </c>
    </row>
    <row r="22674" spans="5:9" ht="16.5" hidden="1">
      <c r="E22674" s="4" t="str">
        <v/>
      </c>
      <c r="F22674" s="102" t="str">
        <f ca="1">IFERROR(__xludf.DUMMYFUNCTION("IMPORTRANGE(H22674,""IDENTITAS UNIT!D9"")"),"#N/A")</f>
        <v>#N/A</v>
      </c>
      <c r="H22674" s="4" t="str">
        <v/>
      </c>
      <c r="I22674" s="4" t="str">
        <v/>
      </c>
    </row>
    <row r="22675" spans="5:9" ht="16.5" hidden="1">
      <c r="E22675" s="4" t="str">
        <v/>
      </c>
      <c r="F22675" s="102" t="str">
        <f ca="1">IFERROR(__xludf.DUMMYFUNCTION("IMPORTRANGE(H22675,""IDENTITAS UNIT!D9"")"),"#N/A")</f>
        <v>#N/A</v>
      </c>
      <c r="H22675" s="4" t="str">
        <v/>
      </c>
      <c r="I22675" s="4" t="str">
        <v/>
      </c>
    </row>
    <row r="22676" spans="5:9" ht="16.5" hidden="1">
      <c r="E22676" s="4" t="str">
        <v/>
      </c>
      <c r="F22676" s="102" t="str">
        <f ca="1">IFERROR(__xludf.DUMMYFUNCTION("IMPORTRANGE(H22676,""IDENTITAS UNIT!D9"")"),"#N/A")</f>
        <v>#N/A</v>
      </c>
      <c r="H22676" s="4" t="str">
        <v/>
      </c>
      <c r="I22676" s="4" t="str">
        <v/>
      </c>
    </row>
    <row r="22677" spans="5:9" ht="16.5" hidden="1">
      <c r="E22677" s="4" t="str">
        <v/>
      </c>
      <c r="F22677" s="102" t="str">
        <f ca="1">IFERROR(__xludf.DUMMYFUNCTION("IMPORTRANGE(H22677,""IDENTITAS UNIT!D9"")"),"#N/A")</f>
        <v>#N/A</v>
      </c>
      <c r="H22677" s="4" t="str">
        <v/>
      </c>
      <c r="I22677" s="4" t="str">
        <v/>
      </c>
    </row>
    <row r="22678" spans="5:9" ht="16.5" hidden="1">
      <c r="E22678" s="4" t="str">
        <v/>
      </c>
      <c r="F22678" s="102" t="str">
        <f ca="1">IFERROR(__xludf.DUMMYFUNCTION("IMPORTRANGE(H22678,""IDENTITAS UNIT!D9"")"),"#N/A")</f>
        <v>#N/A</v>
      </c>
      <c r="H22678" s="4" t="str">
        <v/>
      </c>
      <c r="I22678" s="4" t="str">
        <v/>
      </c>
    </row>
    <row r="22679" spans="5:9" ht="16.5" hidden="1">
      <c r="E22679" s="4" t="str">
        <v/>
      </c>
      <c r="F22679" s="102" t="str">
        <f ca="1">IFERROR(__xludf.DUMMYFUNCTION("IMPORTRANGE(H22679,""IDENTITAS UNIT!D9"")"),"#N/A")</f>
        <v>#N/A</v>
      </c>
      <c r="H22679" s="4" t="str">
        <v/>
      </c>
      <c r="I22679" s="4" t="str">
        <v/>
      </c>
    </row>
    <row r="22680" spans="5:9" ht="16.5" hidden="1">
      <c r="E22680" s="4" t="str">
        <v/>
      </c>
      <c r="F22680" s="102" t="str">
        <f ca="1">IFERROR(__xludf.DUMMYFUNCTION("IMPORTRANGE(H22680,""IDENTITAS UNIT!D9"")"),"#N/A")</f>
        <v>#N/A</v>
      </c>
      <c r="H22680" s="4" t="str">
        <v/>
      </c>
      <c r="I22680" s="4" t="str">
        <v/>
      </c>
    </row>
    <row r="22681" spans="5:9" ht="16.5" hidden="1">
      <c r="E22681" s="4" t="str">
        <v/>
      </c>
      <c r="F22681" s="102" t="str">
        <f ca="1">IFERROR(__xludf.DUMMYFUNCTION("IMPORTRANGE(H22681,""IDENTITAS UNIT!D9"")"),"#N/A")</f>
        <v>#N/A</v>
      </c>
      <c r="H22681" s="4" t="str">
        <v/>
      </c>
      <c r="I22681" s="4" t="str">
        <v/>
      </c>
    </row>
    <row r="22682" spans="5:9" ht="16.5" hidden="1">
      <c r="E22682" s="4" t="str">
        <v/>
      </c>
      <c r="F22682" s="102" t="str">
        <f ca="1">IFERROR(__xludf.DUMMYFUNCTION("IMPORTRANGE(H22682,""IDENTITAS UNIT!D9"")"),"#N/A")</f>
        <v>#N/A</v>
      </c>
      <c r="H22682" s="4" t="str">
        <v/>
      </c>
      <c r="I22682" s="4" t="str">
        <v/>
      </c>
    </row>
    <row r="22683" spans="5:9" ht="16.5" hidden="1">
      <c r="E22683" s="4" t="str">
        <v/>
      </c>
      <c r="F22683" s="102" t="str">
        <f ca="1">IFERROR(__xludf.DUMMYFUNCTION("IMPORTRANGE(H22683,""IDENTITAS UNIT!D9"")"),"#N/A")</f>
        <v>#N/A</v>
      </c>
      <c r="H22683" s="4" t="str">
        <v/>
      </c>
      <c r="I22683" s="4" t="str">
        <v/>
      </c>
    </row>
    <row r="22684" spans="5:9" ht="16.5" hidden="1">
      <c r="E22684" s="4" t="str">
        <v/>
      </c>
      <c r="F22684" s="102" t="str">
        <f ca="1">IFERROR(__xludf.DUMMYFUNCTION("IMPORTRANGE(H22684,""IDENTITAS UNIT!D9"")"),"#N/A")</f>
        <v>#N/A</v>
      </c>
      <c r="H22684" s="4" t="str">
        <v/>
      </c>
      <c r="I22684" s="4" t="str">
        <v/>
      </c>
    </row>
    <row r="22685" spans="5:9" ht="16.5" hidden="1">
      <c r="E22685" s="4" t="str">
        <v/>
      </c>
      <c r="F22685" s="102" t="str">
        <f ca="1">IFERROR(__xludf.DUMMYFUNCTION("IMPORTRANGE(H22685,""IDENTITAS UNIT!D9"")"),"#N/A")</f>
        <v>#N/A</v>
      </c>
      <c r="H22685" s="4" t="str">
        <v/>
      </c>
      <c r="I22685" s="4" t="str">
        <v/>
      </c>
    </row>
    <row r="22686" spans="5:9" ht="16.5" hidden="1">
      <c r="E22686" s="4" t="str">
        <v/>
      </c>
      <c r="F22686" s="102" t="str">
        <f ca="1">IFERROR(__xludf.DUMMYFUNCTION("IMPORTRANGE(H22686,""IDENTITAS UNIT!D9"")"),"#N/A")</f>
        <v>#N/A</v>
      </c>
      <c r="H22686" s="4" t="str">
        <v/>
      </c>
      <c r="I22686" s="4" t="str">
        <v/>
      </c>
    </row>
    <row r="22687" spans="5:9" ht="16.5" hidden="1">
      <c r="E22687" s="4" t="str">
        <v/>
      </c>
      <c r="F22687" s="102" t="str">
        <f ca="1">IFERROR(__xludf.DUMMYFUNCTION("IMPORTRANGE(H22687,""IDENTITAS UNIT!D9"")"),"#N/A")</f>
        <v>#N/A</v>
      </c>
      <c r="H22687" s="4" t="str">
        <v/>
      </c>
      <c r="I22687" s="4" t="str">
        <v/>
      </c>
    </row>
    <row r="22688" spans="5:9" ht="16.5" hidden="1">
      <c r="E22688" s="4" t="str">
        <v/>
      </c>
      <c r="F22688" s="102" t="str">
        <f ca="1">IFERROR(__xludf.DUMMYFUNCTION("IMPORTRANGE(H22688,""IDENTITAS UNIT!D9"")"),"#N/A")</f>
        <v>#N/A</v>
      </c>
      <c r="H22688" s="4" t="str">
        <v/>
      </c>
      <c r="I22688" s="4" t="str">
        <v/>
      </c>
    </row>
    <row r="22689" spans="5:9" ht="16.5" hidden="1">
      <c r="E22689" s="4" t="str">
        <v/>
      </c>
      <c r="F22689" s="102" t="str">
        <f ca="1">IFERROR(__xludf.DUMMYFUNCTION("IMPORTRANGE(H22689,""IDENTITAS UNIT!D9"")"),"#N/A")</f>
        <v>#N/A</v>
      </c>
      <c r="H22689" s="4" t="str">
        <v/>
      </c>
      <c r="I22689" s="4" t="str">
        <v/>
      </c>
    </row>
    <row r="22690" spans="5:9" ht="16.5" hidden="1">
      <c r="E22690" s="4" t="str">
        <v/>
      </c>
      <c r="F22690" s="102" t="str">
        <f ca="1">IFERROR(__xludf.DUMMYFUNCTION("IMPORTRANGE(H22690,""IDENTITAS UNIT!D9"")"),"#N/A")</f>
        <v>#N/A</v>
      </c>
      <c r="H22690" s="4" t="str">
        <v/>
      </c>
      <c r="I22690" s="4" t="str">
        <v/>
      </c>
    </row>
    <row r="22691" spans="5:9" ht="16.5" hidden="1">
      <c r="E22691" s="4" t="str">
        <v/>
      </c>
      <c r="F22691" s="102" t="str">
        <f ca="1">IFERROR(__xludf.DUMMYFUNCTION("IMPORTRANGE(H22691,""IDENTITAS UNIT!D9"")"),"#N/A")</f>
        <v>#N/A</v>
      </c>
      <c r="H22691" s="4" t="str">
        <v/>
      </c>
      <c r="I22691" s="4" t="str">
        <v/>
      </c>
    </row>
    <row r="22692" spans="5:9" ht="16.5" hidden="1">
      <c r="E22692" s="4" t="str">
        <v/>
      </c>
      <c r="F22692" s="102" t="str">
        <f ca="1">IFERROR(__xludf.DUMMYFUNCTION("IMPORTRANGE(H22692,""IDENTITAS UNIT!D9"")"),"#N/A")</f>
        <v>#N/A</v>
      </c>
      <c r="H22692" s="4" t="str">
        <v/>
      </c>
      <c r="I22692" s="4" t="str">
        <v/>
      </c>
    </row>
    <row r="22693" spans="5:9" ht="16.5" hidden="1">
      <c r="E22693" s="4" t="str">
        <v/>
      </c>
      <c r="F22693" s="102" t="str">
        <f ca="1">IFERROR(__xludf.DUMMYFUNCTION("IMPORTRANGE(H22693,""IDENTITAS UNIT!D9"")"),"#N/A")</f>
        <v>#N/A</v>
      </c>
      <c r="H22693" s="4" t="str">
        <v/>
      </c>
      <c r="I22693" s="4" t="str">
        <v/>
      </c>
    </row>
    <row r="22694" spans="5:9" ht="16.5" hidden="1">
      <c r="E22694" s="4" t="str">
        <v/>
      </c>
      <c r="F22694" s="102" t="str">
        <f ca="1">IFERROR(__xludf.DUMMYFUNCTION("IMPORTRANGE(H22694,""IDENTITAS UNIT!D9"")"),"#N/A")</f>
        <v>#N/A</v>
      </c>
      <c r="H22694" s="4" t="str">
        <v/>
      </c>
      <c r="I22694" s="4" t="str">
        <v/>
      </c>
    </row>
    <row r="22695" spans="5:9" ht="16.5" hidden="1">
      <c r="E22695" s="4" t="str">
        <v/>
      </c>
      <c r="F22695" s="102" t="str">
        <f ca="1">IFERROR(__xludf.DUMMYFUNCTION("IMPORTRANGE(H22695,""IDENTITAS UNIT!D9"")"),"#N/A")</f>
        <v>#N/A</v>
      </c>
      <c r="H22695" s="4" t="str">
        <v/>
      </c>
      <c r="I22695" s="4" t="str">
        <v/>
      </c>
    </row>
    <row r="22696" spans="5:9" ht="16.5" hidden="1">
      <c r="E22696" s="4" t="str">
        <v/>
      </c>
      <c r="F22696" s="102" t="str">
        <f ca="1">IFERROR(__xludf.DUMMYFUNCTION("IMPORTRANGE(H22696,""IDENTITAS UNIT!D9"")"),"#N/A")</f>
        <v>#N/A</v>
      </c>
      <c r="H22696" s="4" t="str">
        <v/>
      </c>
      <c r="I22696" s="4" t="str">
        <v/>
      </c>
    </row>
    <row r="22697" spans="5:9" ht="16.5" hidden="1">
      <c r="E22697" s="4" t="str">
        <v/>
      </c>
      <c r="F22697" s="102" t="str">
        <f ca="1">IFERROR(__xludf.DUMMYFUNCTION("IMPORTRANGE(H22697,""IDENTITAS UNIT!D9"")"),"#N/A")</f>
        <v>#N/A</v>
      </c>
      <c r="H22697" s="4" t="str">
        <v/>
      </c>
      <c r="I22697" s="4" t="str">
        <v/>
      </c>
    </row>
    <row r="22698" spans="5:9" ht="16.5" hidden="1">
      <c r="E22698" s="4" t="str">
        <v/>
      </c>
      <c r="F22698" s="102" t="str">
        <f ca="1">IFERROR(__xludf.DUMMYFUNCTION("IMPORTRANGE(H22698,""IDENTITAS UNIT!D9"")"),"#N/A")</f>
        <v>#N/A</v>
      </c>
      <c r="H22698" s="4" t="str">
        <v/>
      </c>
      <c r="I22698" s="4" t="str">
        <v/>
      </c>
    </row>
    <row r="22699" spans="5:9" ht="16.5" hidden="1">
      <c r="E22699" s="4" t="str">
        <v/>
      </c>
      <c r="F22699" s="102" t="str">
        <f ca="1">IFERROR(__xludf.DUMMYFUNCTION("IMPORTRANGE(H22699,""IDENTITAS UNIT!D9"")"),"#N/A")</f>
        <v>#N/A</v>
      </c>
      <c r="H22699" s="4" t="str">
        <v/>
      </c>
      <c r="I22699" s="4" t="str">
        <v/>
      </c>
    </row>
    <row r="22700" spans="5:9" ht="16.5" hidden="1">
      <c r="E22700" s="4" t="str">
        <v/>
      </c>
      <c r="F22700" s="102" t="str">
        <f ca="1">IFERROR(__xludf.DUMMYFUNCTION("IMPORTRANGE(H22700,""IDENTITAS UNIT!D9"")"),"#N/A")</f>
        <v>#N/A</v>
      </c>
      <c r="H22700" s="4" t="str">
        <v/>
      </c>
      <c r="I22700" s="4" t="str">
        <v/>
      </c>
    </row>
    <row r="22701" spans="5:9" ht="16.5" hidden="1">
      <c r="E22701" s="4" t="str">
        <v/>
      </c>
      <c r="F22701" s="102" t="str">
        <f ca="1">IFERROR(__xludf.DUMMYFUNCTION("IMPORTRANGE(H22701,""IDENTITAS UNIT!D9"")"),"#N/A")</f>
        <v>#N/A</v>
      </c>
      <c r="H22701" s="4" t="str">
        <v/>
      </c>
      <c r="I22701" s="4" t="str">
        <v/>
      </c>
    </row>
    <row r="22702" spans="5:9" ht="16.5" hidden="1">
      <c r="E22702" s="4" t="str">
        <v/>
      </c>
      <c r="F22702" s="102" t="str">
        <f ca="1">IFERROR(__xludf.DUMMYFUNCTION("IMPORTRANGE(H22702,""IDENTITAS UNIT!D9"")"),"#N/A")</f>
        <v>#N/A</v>
      </c>
      <c r="H22702" s="4" t="str">
        <v/>
      </c>
      <c r="I22702" s="4" t="str">
        <v/>
      </c>
    </row>
    <row r="22703" spans="5:9" ht="16.5" hidden="1">
      <c r="E22703" s="4" t="str">
        <v/>
      </c>
      <c r="F22703" s="102" t="str">
        <f ca="1">IFERROR(__xludf.DUMMYFUNCTION("IMPORTRANGE(H22703,""IDENTITAS UNIT!D9"")"),"#N/A")</f>
        <v>#N/A</v>
      </c>
      <c r="H22703" s="4" t="str">
        <v/>
      </c>
      <c r="I22703" s="4" t="str">
        <v/>
      </c>
    </row>
    <row r="22704" spans="5:9" ht="16.5" hidden="1">
      <c r="E22704" s="4" t="str">
        <v/>
      </c>
      <c r="F22704" s="102" t="str">
        <f ca="1">IFERROR(__xludf.DUMMYFUNCTION("IMPORTRANGE(H22704,""IDENTITAS UNIT!D9"")"),"#N/A")</f>
        <v>#N/A</v>
      </c>
      <c r="H22704" s="4" t="str">
        <v/>
      </c>
      <c r="I22704" s="4" t="str">
        <v/>
      </c>
    </row>
    <row r="22705" spans="5:9" ht="16.5" hidden="1">
      <c r="E22705" s="4" t="str">
        <v/>
      </c>
      <c r="F22705" s="102" t="str">
        <f ca="1">IFERROR(__xludf.DUMMYFUNCTION("IMPORTRANGE(H22705,""IDENTITAS UNIT!D9"")"),"#N/A")</f>
        <v>#N/A</v>
      </c>
      <c r="H22705" s="4" t="str">
        <v/>
      </c>
      <c r="I22705" s="4" t="str">
        <v/>
      </c>
    </row>
    <row r="22706" spans="5:9" ht="16.5" hidden="1">
      <c r="E22706" s="4" t="str">
        <v/>
      </c>
      <c r="F22706" s="102" t="str">
        <f ca="1">IFERROR(__xludf.DUMMYFUNCTION("IMPORTRANGE(H22706,""IDENTITAS UNIT!D9"")"),"#N/A")</f>
        <v>#N/A</v>
      </c>
      <c r="H22706" s="4" t="str">
        <v/>
      </c>
      <c r="I22706" s="4" t="str">
        <v/>
      </c>
    </row>
    <row r="22707" spans="5:9" ht="16.5" hidden="1">
      <c r="E22707" s="4" t="str">
        <v/>
      </c>
      <c r="F22707" s="102" t="str">
        <f ca="1">IFERROR(__xludf.DUMMYFUNCTION("IMPORTRANGE(H22707,""IDENTITAS UNIT!D9"")"),"#N/A")</f>
        <v>#N/A</v>
      </c>
      <c r="H22707" s="4" t="str">
        <v/>
      </c>
      <c r="I22707" s="4" t="str">
        <v/>
      </c>
    </row>
    <row r="22708" spans="5:9" ht="16.5" hidden="1">
      <c r="E22708" s="4" t="str">
        <v/>
      </c>
      <c r="F22708" s="102" t="str">
        <f ca="1">IFERROR(__xludf.DUMMYFUNCTION("IMPORTRANGE(H22708,""IDENTITAS UNIT!D9"")"),"#N/A")</f>
        <v>#N/A</v>
      </c>
      <c r="H22708" s="4" t="str">
        <v/>
      </c>
      <c r="I22708" s="4" t="str">
        <v/>
      </c>
    </row>
    <row r="22709" spans="5:9" ht="16.5" hidden="1">
      <c r="E22709" s="4" t="str">
        <v/>
      </c>
      <c r="F22709" s="102" t="str">
        <f ca="1">IFERROR(__xludf.DUMMYFUNCTION("IMPORTRANGE(H22709,""IDENTITAS UNIT!D9"")"),"#N/A")</f>
        <v>#N/A</v>
      </c>
      <c r="H22709" s="4" t="str">
        <v/>
      </c>
      <c r="I22709" s="4" t="str">
        <v/>
      </c>
    </row>
    <row r="22710" spans="5:9" ht="16.5" hidden="1">
      <c r="E22710" s="4" t="str">
        <v/>
      </c>
      <c r="F22710" s="102" t="str">
        <f ca="1">IFERROR(__xludf.DUMMYFUNCTION("IMPORTRANGE(H22710,""IDENTITAS UNIT!D9"")"),"#N/A")</f>
        <v>#N/A</v>
      </c>
      <c r="H22710" s="4" t="str">
        <v/>
      </c>
      <c r="I22710" s="4" t="str">
        <v/>
      </c>
    </row>
    <row r="22711" spans="5:9" ht="16.5" hidden="1">
      <c r="E22711" s="4" t="str">
        <v/>
      </c>
      <c r="F22711" s="102" t="str">
        <f ca="1">IFERROR(__xludf.DUMMYFUNCTION("IMPORTRANGE(H22711,""IDENTITAS UNIT!D9"")"),"#N/A")</f>
        <v>#N/A</v>
      </c>
      <c r="H22711" s="4" t="str">
        <v/>
      </c>
      <c r="I22711" s="4" t="str">
        <v/>
      </c>
    </row>
    <row r="22712" spans="5:9" ht="16.5" hidden="1">
      <c r="E22712" s="4" t="str">
        <v/>
      </c>
      <c r="F22712" s="102" t="str">
        <f ca="1">IFERROR(__xludf.DUMMYFUNCTION("IMPORTRANGE(H22712,""IDENTITAS UNIT!D9"")"),"#N/A")</f>
        <v>#N/A</v>
      </c>
      <c r="H22712" s="4" t="str">
        <v/>
      </c>
      <c r="I22712" s="4" t="str">
        <v/>
      </c>
    </row>
    <row r="22713" spans="5:9" ht="16.5" hidden="1">
      <c r="E22713" s="4" t="str">
        <v/>
      </c>
      <c r="F22713" s="102" t="str">
        <f ca="1">IFERROR(__xludf.DUMMYFUNCTION("IMPORTRANGE(H22713,""IDENTITAS UNIT!D9"")"),"#N/A")</f>
        <v>#N/A</v>
      </c>
      <c r="H22713" s="4" t="str">
        <v/>
      </c>
      <c r="I22713" s="4" t="str">
        <v/>
      </c>
    </row>
    <row r="22714" spans="5:9" ht="16.5" hidden="1">
      <c r="E22714" s="4" t="str">
        <v/>
      </c>
      <c r="F22714" s="102" t="str">
        <f ca="1">IFERROR(__xludf.DUMMYFUNCTION("IMPORTRANGE(H22714,""IDENTITAS UNIT!D9"")"),"#N/A")</f>
        <v>#N/A</v>
      </c>
      <c r="H22714" s="4" t="str">
        <v/>
      </c>
      <c r="I22714" s="4" t="str">
        <v/>
      </c>
    </row>
    <row r="22715" spans="5:9" ht="16.5" hidden="1">
      <c r="E22715" s="4" t="str">
        <v/>
      </c>
      <c r="F22715" s="102" t="str">
        <f ca="1">IFERROR(__xludf.DUMMYFUNCTION("IMPORTRANGE(H22715,""IDENTITAS UNIT!D9"")"),"#N/A")</f>
        <v>#N/A</v>
      </c>
      <c r="H22715" s="4" t="str">
        <v/>
      </c>
      <c r="I22715" s="4" t="str">
        <v/>
      </c>
    </row>
    <row r="22716" spans="5:9" ht="16.5" hidden="1">
      <c r="E22716" s="4" t="str">
        <v/>
      </c>
      <c r="F22716" s="102" t="str">
        <f ca="1">IFERROR(__xludf.DUMMYFUNCTION("IMPORTRANGE(H22716,""IDENTITAS UNIT!D9"")"),"#N/A")</f>
        <v>#N/A</v>
      </c>
      <c r="H22716" s="4" t="str">
        <v/>
      </c>
      <c r="I22716" s="4" t="str">
        <v/>
      </c>
    </row>
    <row r="22717" spans="5:9" ht="16.5" hidden="1">
      <c r="E22717" s="4" t="str">
        <v/>
      </c>
      <c r="F22717" s="102" t="str">
        <f ca="1">IFERROR(__xludf.DUMMYFUNCTION("IMPORTRANGE(H22717,""IDENTITAS UNIT!D9"")"),"#N/A")</f>
        <v>#N/A</v>
      </c>
      <c r="H22717" s="4" t="str">
        <v/>
      </c>
      <c r="I22717" s="4" t="str">
        <v/>
      </c>
    </row>
    <row r="22718" spans="5:9" ht="16.5" hidden="1">
      <c r="E22718" s="4" t="str">
        <v/>
      </c>
      <c r="F22718" s="102" t="str">
        <f ca="1">IFERROR(__xludf.DUMMYFUNCTION("IMPORTRANGE(H22718,""IDENTITAS UNIT!D9"")"),"#N/A")</f>
        <v>#N/A</v>
      </c>
      <c r="H22718" s="4" t="str">
        <v/>
      </c>
      <c r="I22718" s="4" t="str">
        <v/>
      </c>
    </row>
    <row r="22719" spans="5:9" ht="16.5" hidden="1">
      <c r="E22719" s="4" t="str">
        <v/>
      </c>
      <c r="F22719" s="102" t="str">
        <f ca="1">IFERROR(__xludf.DUMMYFUNCTION("IMPORTRANGE(H22719,""IDENTITAS UNIT!D9"")"),"#N/A")</f>
        <v>#N/A</v>
      </c>
      <c r="H22719" s="4" t="str">
        <v/>
      </c>
      <c r="I22719" s="4" t="str">
        <v/>
      </c>
    </row>
    <row r="22720" spans="5:9" ht="16.5" hidden="1">
      <c r="E22720" s="4" t="str">
        <v/>
      </c>
      <c r="F22720" s="102" t="str">
        <f ca="1">IFERROR(__xludf.DUMMYFUNCTION("IMPORTRANGE(H22720,""IDENTITAS UNIT!D9"")"),"#N/A")</f>
        <v>#N/A</v>
      </c>
      <c r="H22720" s="4" t="str">
        <v/>
      </c>
      <c r="I22720" s="4" t="str">
        <v/>
      </c>
    </row>
    <row r="22721" spans="5:9" ht="16.5" hidden="1">
      <c r="E22721" s="4" t="str">
        <v/>
      </c>
      <c r="F22721" s="102" t="str">
        <f ca="1">IFERROR(__xludf.DUMMYFUNCTION("IMPORTRANGE(H22721,""IDENTITAS UNIT!D9"")"),"#N/A")</f>
        <v>#N/A</v>
      </c>
      <c r="H22721" s="4" t="str">
        <v/>
      </c>
      <c r="I22721" s="4" t="str">
        <v/>
      </c>
    </row>
    <row r="22722" spans="5:9" ht="16.5" hidden="1">
      <c r="E22722" s="4" t="str">
        <v/>
      </c>
      <c r="F22722" s="102" t="str">
        <f ca="1">IFERROR(__xludf.DUMMYFUNCTION("IMPORTRANGE(H22722,""IDENTITAS UNIT!D9"")"),"#N/A")</f>
        <v>#N/A</v>
      </c>
      <c r="H22722" s="4" t="str">
        <v/>
      </c>
      <c r="I22722" s="4" t="str">
        <v/>
      </c>
    </row>
    <row r="22723" spans="5:9" ht="16.5" hidden="1">
      <c r="E22723" s="4" t="str">
        <v/>
      </c>
      <c r="F22723" s="102" t="str">
        <f ca="1">IFERROR(__xludf.DUMMYFUNCTION("IMPORTRANGE(H22723,""IDENTITAS UNIT!D9"")"),"#N/A")</f>
        <v>#N/A</v>
      </c>
      <c r="H22723" s="4" t="str">
        <v/>
      </c>
      <c r="I22723" s="4" t="str">
        <v/>
      </c>
    </row>
    <row r="22724" spans="5:9" ht="16.5" hidden="1">
      <c r="E22724" s="4" t="str">
        <v/>
      </c>
      <c r="F22724" s="102" t="str">
        <f ca="1">IFERROR(__xludf.DUMMYFUNCTION("IMPORTRANGE(H22724,""IDENTITAS UNIT!D9"")"),"#N/A")</f>
        <v>#N/A</v>
      </c>
      <c r="H22724" s="4" t="str">
        <v/>
      </c>
      <c r="I22724" s="4" t="str">
        <v/>
      </c>
    </row>
    <row r="22725" spans="5:9" ht="16.5" hidden="1">
      <c r="E22725" s="4" t="str">
        <v/>
      </c>
      <c r="F22725" s="102" t="str">
        <f ca="1">IFERROR(__xludf.DUMMYFUNCTION("IMPORTRANGE(H22725,""IDENTITAS UNIT!D9"")"),"#N/A")</f>
        <v>#N/A</v>
      </c>
      <c r="H22725" s="4" t="str">
        <v/>
      </c>
      <c r="I22725" s="4" t="str">
        <v/>
      </c>
    </row>
    <row r="22726" spans="5:9" ht="16.5" hidden="1">
      <c r="E22726" s="4" t="str">
        <v/>
      </c>
      <c r="F22726" s="102" t="str">
        <f ca="1">IFERROR(__xludf.DUMMYFUNCTION("IMPORTRANGE(H22726,""IDENTITAS UNIT!D9"")"),"#N/A")</f>
        <v>#N/A</v>
      </c>
      <c r="H22726" s="4" t="str">
        <v/>
      </c>
      <c r="I22726" s="4" t="str">
        <v/>
      </c>
    </row>
    <row r="22727" spans="5:9" ht="16.5" hidden="1">
      <c r="E22727" s="4" t="str">
        <v/>
      </c>
      <c r="F22727" s="102" t="str">
        <f ca="1">IFERROR(__xludf.DUMMYFUNCTION("IMPORTRANGE(H22727,""IDENTITAS UNIT!D9"")"),"#N/A")</f>
        <v>#N/A</v>
      </c>
      <c r="H22727" s="4" t="str">
        <v/>
      </c>
      <c r="I22727" s="4" t="str">
        <v/>
      </c>
    </row>
    <row r="22728" spans="5:9" ht="16.5" hidden="1">
      <c r="E22728" s="4" t="str">
        <v/>
      </c>
      <c r="F22728" s="102" t="str">
        <f ca="1">IFERROR(__xludf.DUMMYFUNCTION("IMPORTRANGE(H22728,""IDENTITAS UNIT!D9"")"),"#N/A")</f>
        <v>#N/A</v>
      </c>
      <c r="H22728" s="4" t="str">
        <v/>
      </c>
      <c r="I22728" s="4" t="str">
        <v/>
      </c>
    </row>
    <row r="22729" spans="5:9" ht="16.5" hidden="1">
      <c r="E22729" s="4" t="str">
        <v/>
      </c>
      <c r="F22729" s="102" t="str">
        <f ca="1">IFERROR(__xludf.DUMMYFUNCTION("IMPORTRANGE(H22729,""IDENTITAS UNIT!D9"")"),"#N/A")</f>
        <v>#N/A</v>
      </c>
      <c r="H22729" s="4" t="str">
        <v/>
      </c>
      <c r="I22729" s="4" t="str">
        <v/>
      </c>
    </row>
    <row r="22730" spans="5:9" ht="16.5" hidden="1">
      <c r="E22730" s="4" t="str">
        <v/>
      </c>
      <c r="F22730" s="102" t="str">
        <f ca="1">IFERROR(__xludf.DUMMYFUNCTION("IMPORTRANGE(H22730,""IDENTITAS UNIT!D9"")"),"#N/A")</f>
        <v>#N/A</v>
      </c>
      <c r="H22730" s="4" t="str">
        <v/>
      </c>
      <c r="I22730" s="4" t="str">
        <v/>
      </c>
    </row>
    <row r="22731" spans="5:9" ht="16.5" hidden="1">
      <c r="E22731" s="4" t="str">
        <v/>
      </c>
      <c r="F22731" s="102" t="str">
        <f ca="1">IFERROR(__xludf.DUMMYFUNCTION("IMPORTRANGE(H22731,""IDENTITAS UNIT!D9"")"),"#N/A")</f>
        <v>#N/A</v>
      </c>
      <c r="H22731" s="4" t="str">
        <v/>
      </c>
      <c r="I22731" s="4" t="str">
        <v/>
      </c>
    </row>
    <row r="22732" spans="5:9" ht="16.5" hidden="1">
      <c r="E22732" s="4" t="str">
        <v/>
      </c>
      <c r="F22732" s="102" t="str">
        <f ca="1">IFERROR(__xludf.DUMMYFUNCTION("IMPORTRANGE(H22732,""IDENTITAS UNIT!D9"")"),"#N/A")</f>
        <v>#N/A</v>
      </c>
      <c r="H22732" s="4" t="str">
        <v/>
      </c>
      <c r="I22732" s="4" t="str">
        <v/>
      </c>
    </row>
    <row r="22733" spans="5:9" ht="16.5" hidden="1">
      <c r="E22733" s="4" t="str">
        <v/>
      </c>
      <c r="F22733" s="102" t="str">
        <f ca="1">IFERROR(__xludf.DUMMYFUNCTION("IMPORTRANGE(H22733,""IDENTITAS UNIT!D9"")"),"#N/A")</f>
        <v>#N/A</v>
      </c>
      <c r="H22733" s="4" t="str">
        <v/>
      </c>
      <c r="I22733" s="4" t="str">
        <v/>
      </c>
    </row>
    <row r="22734" spans="5:9" ht="16.5" hidden="1">
      <c r="E22734" s="4" t="str">
        <v/>
      </c>
      <c r="F22734" s="102" t="str">
        <f ca="1">IFERROR(__xludf.DUMMYFUNCTION("IMPORTRANGE(H22734,""IDENTITAS UNIT!D9"")"),"#N/A")</f>
        <v>#N/A</v>
      </c>
      <c r="H22734" s="4" t="str">
        <v/>
      </c>
      <c r="I22734" s="4" t="str">
        <v/>
      </c>
    </row>
    <row r="22735" spans="5:9" ht="16.5" hidden="1">
      <c r="E22735" s="4" t="str">
        <v/>
      </c>
      <c r="F22735" s="102" t="str">
        <f ca="1">IFERROR(__xludf.DUMMYFUNCTION("IMPORTRANGE(H22735,""IDENTITAS UNIT!D9"")"),"#N/A")</f>
        <v>#N/A</v>
      </c>
      <c r="H22735" s="4" t="str">
        <v/>
      </c>
      <c r="I22735" s="4" t="str">
        <v/>
      </c>
    </row>
    <row r="22736" spans="5:9" ht="16.5" hidden="1">
      <c r="E22736" s="4" t="str">
        <v/>
      </c>
      <c r="F22736" s="102" t="str">
        <f ca="1">IFERROR(__xludf.DUMMYFUNCTION("IMPORTRANGE(H22736,""IDENTITAS UNIT!D9"")"),"#N/A")</f>
        <v>#N/A</v>
      </c>
      <c r="H22736" s="4" t="str">
        <v/>
      </c>
      <c r="I22736" s="4" t="str">
        <v/>
      </c>
    </row>
    <row r="22737" spans="5:9" ht="16.5" hidden="1">
      <c r="E22737" s="4" t="str">
        <v/>
      </c>
      <c r="F22737" s="102" t="str">
        <f ca="1">IFERROR(__xludf.DUMMYFUNCTION("IMPORTRANGE(H22737,""IDENTITAS UNIT!D9"")"),"#N/A")</f>
        <v>#N/A</v>
      </c>
      <c r="H22737" s="4" t="str">
        <v/>
      </c>
      <c r="I22737" s="4" t="str">
        <v/>
      </c>
    </row>
    <row r="22738" spans="5:9" ht="16.5" hidden="1">
      <c r="E22738" s="4" t="str">
        <v/>
      </c>
      <c r="F22738" s="102" t="str">
        <f ca="1">IFERROR(__xludf.DUMMYFUNCTION("IMPORTRANGE(H22738,""IDENTITAS UNIT!D9"")"),"#N/A")</f>
        <v>#N/A</v>
      </c>
      <c r="H22738" s="4" t="str">
        <v/>
      </c>
      <c r="I22738" s="4" t="str">
        <v/>
      </c>
    </row>
    <row r="22739" spans="5:9" ht="16.5" hidden="1">
      <c r="E22739" s="4" t="str">
        <v/>
      </c>
      <c r="F22739" s="102" t="str">
        <f ca="1">IFERROR(__xludf.DUMMYFUNCTION("IMPORTRANGE(H22739,""IDENTITAS UNIT!D9"")"),"#N/A")</f>
        <v>#N/A</v>
      </c>
      <c r="H22739" s="4" t="str">
        <v/>
      </c>
      <c r="I22739" s="4" t="str">
        <v/>
      </c>
    </row>
    <row r="22740" spans="5:9" ht="16.5" hidden="1">
      <c r="E22740" s="4" t="str">
        <v/>
      </c>
      <c r="F22740" s="102" t="str">
        <f ca="1">IFERROR(__xludf.DUMMYFUNCTION("IMPORTRANGE(H22740,""IDENTITAS UNIT!D9"")"),"#N/A")</f>
        <v>#N/A</v>
      </c>
      <c r="H22740" s="4" t="str">
        <v/>
      </c>
      <c r="I22740" s="4" t="str">
        <v/>
      </c>
    </row>
    <row r="22741" spans="5:9" ht="16.5" hidden="1">
      <c r="E22741" s="4" t="str">
        <v/>
      </c>
      <c r="F22741" s="102" t="str">
        <f ca="1">IFERROR(__xludf.DUMMYFUNCTION("IMPORTRANGE(H22741,""IDENTITAS UNIT!D9"")"),"#N/A")</f>
        <v>#N/A</v>
      </c>
      <c r="H22741" s="4" t="str">
        <v/>
      </c>
      <c r="I22741" s="4" t="str">
        <v/>
      </c>
    </row>
    <row r="22742" spans="5:9" ht="16.5" hidden="1">
      <c r="E22742" s="4" t="str">
        <v/>
      </c>
      <c r="F22742" s="102" t="str">
        <f ca="1">IFERROR(__xludf.DUMMYFUNCTION("IMPORTRANGE(H22742,""IDENTITAS UNIT!D9"")"),"#N/A")</f>
        <v>#N/A</v>
      </c>
      <c r="H22742" s="4" t="str">
        <v/>
      </c>
      <c r="I22742" s="4" t="str">
        <v/>
      </c>
    </row>
    <row r="22743" spans="5:9" ht="16.5" hidden="1">
      <c r="E22743" s="4" t="str">
        <v/>
      </c>
      <c r="F22743" s="102" t="str">
        <f ca="1">IFERROR(__xludf.DUMMYFUNCTION("IMPORTRANGE(H22743,""IDENTITAS UNIT!D9"")"),"#N/A")</f>
        <v>#N/A</v>
      </c>
      <c r="H22743" s="4" t="str">
        <v/>
      </c>
      <c r="I22743" s="4" t="str">
        <v/>
      </c>
    </row>
    <row r="22744" spans="5:9" ht="16.5" hidden="1">
      <c r="E22744" s="4" t="str">
        <v/>
      </c>
      <c r="F22744" s="102" t="str">
        <f ca="1">IFERROR(__xludf.DUMMYFUNCTION("IMPORTRANGE(H22744,""IDENTITAS UNIT!D9"")"),"#N/A")</f>
        <v>#N/A</v>
      </c>
      <c r="H22744" s="4" t="str">
        <v/>
      </c>
      <c r="I22744" s="4" t="str">
        <v/>
      </c>
    </row>
    <row r="22745" spans="5:9" ht="16.5" hidden="1">
      <c r="E22745" s="4" t="str">
        <v/>
      </c>
      <c r="F22745" s="102" t="str">
        <f ca="1">IFERROR(__xludf.DUMMYFUNCTION("IMPORTRANGE(H22745,""IDENTITAS UNIT!D9"")"),"#N/A")</f>
        <v>#N/A</v>
      </c>
      <c r="H22745" s="4" t="str">
        <v/>
      </c>
      <c r="I22745" s="4" t="str">
        <v/>
      </c>
    </row>
    <row r="22746" spans="5:9" ht="16.5" hidden="1">
      <c r="E22746" s="4" t="str">
        <v/>
      </c>
      <c r="F22746" s="102" t="str">
        <f ca="1">IFERROR(__xludf.DUMMYFUNCTION("IMPORTRANGE(H22746,""IDENTITAS UNIT!D9"")"),"#N/A")</f>
        <v>#N/A</v>
      </c>
      <c r="H22746" s="4" t="str">
        <v/>
      </c>
      <c r="I22746" s="4" t="str">
        <v/>
      </c>
    </row>
    <row r="22747" spans="5:9" ht="16.5" hidden="1">
      <c r="E22747" s="4" t="str">
        <v/>
      </c>
      <c r="F22747" s="102" t="str">
        <f ca="1">IFERROR(__xludf.DUMMYFUNCTION("IMPORTRANGE(H22747,""IDENTITAS UNIT!D9"")"),"#N/A")</f>
        <v>#N/A</v>
      </c>
      <c r="H22747" s="4" t="str">
        <v/>
      </c>
      <c r="I22747" s="4" t="str">
        <v/>
      </c>
    </row>
    <row r="22748" spans="5:9" ht="16.5" hidden="1">
      <c r="E22748" s="4" t="str">
        <v/>
      </c>
      <c r="F22748" s="102" t="str">
        <f ca="1">IFERROR(__xludf.DUMMYFUNCTION("IMPORTRANGE(H22748,""IDENTITAS UNIT!D9"")"),"#N/A")</f>
        <v>#N/A</v>
      </c>
      <c r="H22748" s="4" t="str">
        <v/>
      </c>
      <c r="I22748" s="4" t="str">
        <v/>
      </c>
    </row>
    <row r="22749" spans="5:9" ht="16.5" hidden="1">
      <c r="E22749" s="4" t="str">
        <v/>
      </c>
      <c r="F22749" s="102" t="str">
        <f ca="1">IFERROR(__xludf.DUMMYFUNCTION("IMPORTRANGE(H22749,""IDENTITAS UNIT!D9"")"),"#N/A")</f>
        <v>#N/A</v>
      </c>
      <c r="H22749" s="4" t="str">
        <v/>
      </c>
      <c r="I22749" s="4" t="str">
        <v/>
      </c>
    </row>
    <row r="22750" spans="5:9" ht="16.5" hidden="1">
      <c r="E22750" s="4" t="str">
        <v/>
      </c>
      <c r="F22750" s="102" t="str">
        <f ca="1">IFERROR(__xludf.DUMMYFUNCTION("IMPORTRANGE(H22750,""IDENTITAS UNIT!D9"")"),"#N/A")</f>
        <v>#N/A</v>
      </c>
      <c r="H22750" s="4" t="str">
        <v/>
      </c>
      <c r="I22750" s="4" t="str">
        <v/>
      </c>
    </row>
    <row r="22751" spans="5:9" ht="16.5" hidden="1">
      <c r="E22751" s="4" t="str">
        <v/>
      </c>
      <c r="F22751" s="102" t="str">
        <f ca="1">IFERROR(__xludf.DUMMYFUNCTION("IMPORTRANGE(H22751,""IDENTITAS UNIT!D9"")"),"#N/A")</f>
        <v>#N/A</v>
      </c>
      <c r="H22751" s="4" t="str">
        <v/>
      </c>
      <c r="I22751" s="4" t="str">
        <v/>
      </c>
    </row>
    <row r="22752" spans="5:9" ht="16.5" hidden="1">
      <c r="E22752" s="4" t="str">
        <v/>
      </c>
      <c r="F22752" s="102" t="str">
        <f ca="1">IFERROR(__xludf.DUMMYFUNCTION("IMPORTRANGE(H22752,""IDENTITAS UNIT!D9"")"),"#N/A")</f>
        <v>#N/A</v>
      </c>
      <c r="H22752" s="4" t="str">
        <v/>
      </c>
      <c r="I22752" s="4" t="str">
        <v/>
      </c>
    </row>
    <row r="22753" spans="5:9" ht="16.5" hidden="1">
      <c r="E22753" s="4" t="str">
        <v/>
      </c>
      <c r="F22753" s="102" t="str">
        <f ca="1">IFERROR(__xludf.DUMMYFUNCTION("IMPORTRANGE(H22753,""IDENTITAS UNIT!D9"")"),"#N/A")</f>
        <v>#N/A</v>
      </c>
      <c r="H22753" s="4" t="str">
        <v/>
      </c>
      <c r="I22753" s="4" t="str">
        <v/>
      </c>
    </row>
    <row r="22754" spans="5:9" ht="16.5" hidden="1">
      <c r="E22754" s="4" t="str">
        <v/>
      </c>
      <c r="F22754" s="102" t="str">
        <f ca="1">IFERROR(__xludf.DUMMYFUNCTION("IMPORTRANGE(H22754,""IDENTITAS UNIT!D9"")"),"#N/A")</f>
        <v>#N/A</v>
      </c>
      <c r="H22754" s="4" t="str">
        <v/>
      </c>
      <c r="I22754" s="4" t="str">
        <v/>
      </c>
    </row>
    <row r="22755" spans="5:9" ht="16.5" hidden="1">
      <c r="E22755" s="4" t="str">
        <v/>
      </c>
      <c r="F22755" s="102" t="str">
        <f ca="1">IFERROR(__xludf.DUMMYFUNCTION("IMPORTRANGE(H22755,""IDENTITAS UNIT!D9"")"),"#N/A")</f>
        <v>#N/A</v>
      </c>
      <c r="H22755" s="4" t="str">
        <v/>
      </c>
      <c r="I22755" s="4" t="str">
        <v/>
      </c>
    </row>
    <row r="22756" spans="5:9" ht="16.5" hidden="1">
      <c r="E22756" s="4" t="str">
        <v/>
      </c>
      <c r="F22756" s="102" t="str">
        <f ca="1">IFERROR(__xludf.DUMMYFUNCTION("IMPORTRANGE(H22756,""IDENTITAS UNIT!D9"")"),"#N/A")</f>
        <v>#N/A</v>
      </c>
      <c r="H22756" s="4" t="str">
        <v/>
      </c>
      <c r="I22756" s="4" t="str">
        <v/>
      </c>
    </row>
    <row r="22757" spans="5:9" ht="16.5" hidden="1">
      <c r="E22757" s="4" t="str">
        <v/>
      </c>
      <c r="F22757" s="102" t="str">
        <f ca="1">IFERROR(__xludf.DUMMYFUNCTION("IMPORTRANGE(H22757,""IDENTITAS UNIT!D9"")"),"#N/A")</f>
        <v>#N/A</v>
      </c>
      <c r="H22757" s="4" t="str">
        <v/>
      </c>
      <c r="I22757" s="4" t="str">
        <v/>
      </c>
    </row>
    <row r="22758" spans="5:9" ht="16.5" hidden="1">
      <c r="E22758" s="4" t="str">
        <v/>
      </c>
      <c r="F22758" s="102" t="str">
        <f ca="1">IFERROR(__xludf.DUMMYFUNCTION("IMPORTRANGE(H22758,""IDENTITAS UNIT!D9"")"),"#N/A")</f>
        <v>#N/A</v>
      </c>
      <c r="H22758" s="4" t="str">
        <v/>
      </c>
      <c r="I22758" s="4" t="str">
        <v/>
      </c>
    </row>
    <row r="22759" spans="5:9" ht="16.5" hidden="1">
      <c r="E22759" s="4" t="str">
        <v/>
      </c>
      <c r="F22759" s="102" t="str">
        <f ca="1">IFERROR(__xludf.DUMMYFUNCTION("IMPORTRANGE(H22759,""IDENTITAS UNIT!D9"")"),"#N/A")</f>
        <v>#N/A</v>
      </c>
      <c r="H22759" s="4" t="str">
        <v/>
      </c>
      <c r="I22759" s="4" t="str">
        <v/>
      </c>
    </row>
    <row r="22760" spans="5:9" ht="16.5" hidden="1">
      <c r="E22760" s="4" t="str">
        <v/>
      </c>
      <c r="F22760" s="102" t="str">
        <f ca="1">IFERROR(__xludf.DUMMYFUNCTION("IMPORTRANGE(H22760,""IDENTITAS UNIT!D9"")"),"#N/A")</f>
        <v>#N/A</v>
      </c>
      <c r="H22760" s="4" t="str">
        <v/>
      </c>
      <c r="I22760" s="4" t="str">
        <v/>
      </c>
    </row>
    <row r="22761" spans="5:9" ht="16.5" hidden="1">
      <c r="E22761" s="4" t="str">
        <v/>
      </c>
      <c r="F22761" s="102" t="str">
        <f ca="1">IFERROR(__xludf.DUMMYFUNCTION("IMPORTRANGE(H22761,""IDENTITAS UNIT!D9"")"),"#N/A")</f>
        <v>#N/A</v>
      </c>
      <c r="H22761" s="4" t="str">
        <v/>
      </c>
      <c r="I22761" s="4" t="str">
        <v/>
      </c>
    </row>
    <row r="22762" spans="5:9" ht="16.5" hidden="1">
      <c r="E22762" s="4" t="str">
        <v/>
      </c>
      <c r="F22762" s="102" t="str">
        <f ca="1">IFERROR(__xludf.DUMMYFUNCTION("IMPORTRANGE(H22762,""IDENTITAS UNIT!D9"")"),"#N/A")</f>
        <v>#N/A</v>
      </c>
      <c r="H22762" s="4" t="str">
        <v/>
      </c>
      <c r="I22762" s="4" t="str">
        <v/>
      </c>
    </row>
    <row r="22763" spans="5:9" ht="16.5" hidden="1">
      <c r="E22763" s="4" t="str">
        <v/>
      </c>
      <c r="F22763" s="102" t="str">
        <f ca="1">IFERROR(__xludf.DUMMYFUNCTION("IMPORTRANGE(H22763,""IDENTITAS UNIT!D9"")"),"#N/A")</f>
        <v>#N/A</v>
      </c>
      <c r="H22763" s="4" t="str">
        <v/>
      </c>
      <c r="I22763" s="4" t="str">
        <v/>
      </c>
    </row>
    <row r="22764" spans="5:9" ht="16.5" hidden="1">
      <c r="E22764" s="4" t="str">
        <v/>
      </c>
      <c r="F22764" s="102" t="str">
        <f ca="1">IFERROR(__xludf.DUMMYFUNCTION("IMPORTRANGE(H22764,""IDENTITAS UNIT!D9"")"),"#N/A")</f>
        <v>#N/A</v>
      </c>
      <c r="H22764" s="4" t="str">
        <v/>
      </c>
      <c r="I22764" s="4" t="str">
        <v/>
      </c>
    </row>
    <row r="22765" spans="5:9" ht="16.5" hidden="1">
      <c r="E22765" s="4" t="str">
        <v/>
      </c>
      <c r="F22765" s="102" t="str">
        <f ca="1">IFERROR(__xludf.DUMMYFUNCTION("IMPORTRANGE(H22765,""IDENTITAS UNIT!D9"")"),"#N/A")</f>
        <v>#N/A</v>
      </c>
      <c r="H22765" s="4" t="str">
        <v/>
      </c>
      <c r="I22765" s="4" t="str">
        <v/>
      </c>
    </row>
    <row r="22766" spans="5:9" ht="16.5" hidden="1">
      <c r="E22766" s="4" t="str">
        <v/>
      </c>
      <c r="F22766" s="102" t="str">
        <f ca="1">IFERROR(__xludf.DUMMYFUNCTION("IMPORTRANGE(H22766,""IDENTITAS UNIT!D9"")"),"#N/A")</f>
        <v>#N/A</v>
      </c>
      <c r="H22766" s="4" t="str">
        <v/>
      </c>
      <c r="I22766" s="4" t="str">
        <v/>
      </c>
    </row>
    <row r="22767" spans="5:9" ht="16.5" hidden="1">
      <c r="E22767" s="4" t="str">
        <v/>
      </c>
      <c r="F22767" s="102" t="str">
        <f ca="1">IFERROR(__xludf.DUMMYFUNCTION("IMPORTRANGE(H22767,""IDENTITAS UNIT!D9"")"),"#N/A")</f>
        <v>#N/A</v>
      </c>
      <c r="H22767" s="4" t="str">
        <v/>
      </c>
      <c r="I22767" s="4" t="str">
        <v/>
      </c>
    </row>
    <row r="22768" spans="5:9" ht="16.5" hidden="1">
      <c r="E22768" s="4" t="str">
        <v/>
      </c>
      <c r="F22768" s="102" t="str">
        <f ca="1">IFERROR(__xludf.DUMMYFUNCTION("IMPORTRANGE(H22768,""IDENTITAS UNIT!D9"")"),"#N/A")</f>
        <v>#N/A</v>
      </c>
      <c r="H22768" s="4" t="str">
        <v/>
      </c>
      <c r="I22768" s="4" t="str">
        <v/>
      </c>
    </row>
    <row r="22769" spans="5:9" ht="16.5" hidden="1">
      <c r="E22769" s="4" t="str">
        <v/>
      </c>
      <c r="F22769" s="102" t="str">
        <f ca="1">IFERROR(__xludf.DUMMYFUNCTION("IMPORTRANGE(H22769,""IDENTITAS UNIT!D9"")"),"#N/A")</f>
        <v>#N/A</v>
      </c>
      <c r="H22769" s="4" t="str">
        <v/>
      </c>
      <c r="I22769" s="4" t="str">
        <v/>
      </c>
    </row>
    <row r="22770" spans="5:9" ht="16.5" hidden="1">
      <c r="E22770" s="4" t="str">
        <v/>
      </c>
      <c r="F22770" s="102" t="str">
        <f ca="1">IFERROR(__xludf.DUMMYFUNCTION("IMPORTRANGE(H22770,""IDENTITAS UNIT!D9"")"),"#N/A")</f>
        <v>#N/A</v>
      </c>
      <c r="H22770" s="4" t="str">
        <v/>
      </c>
      <c r="I22770" s="4" t="str">
        <v/>
      </c>
    </row>
    <row r="22771" spans="5:9" ht="16.5" hidden="1">
      <c r="E22771" s="4" t="str">
        <v/>
      </c>
      <c r="F22771" s="102" t="str">
        <f ca="1">IFERROR(__xludf.DUMMYFUNCTION("IMPORTRANGE(H22771,""IDENTITAS UNIT!D9"")"),"#N/A")</f>
        <v>#N/A</v>
      </c>
      <c r="H22771" s="4" t="str">
        <v/>
      </c>
      <c r="I22771" s="4" t="str">
        <v/>
      </c>
    </row>
    <row r="22772" spans="5:9" ht="16.5" hidden="1">
      <c r="E22772" s="4" t="str">
        <v/>
      </c>
      <c r="F22772" s="102" t="str">
        <f ca="1">IFERROR(__xludf.DUMMYFUNCTION("IMPORTRANGE(H22772,""IDENTITAS UNIT!D9"")"),"#N/A")</f>
        <v>#N/A</v>
      </c>
      <c r="H22772" s="4" t="str">
        <v/>
      </c>
      <c r="I22772" s="4" t="str">
        <v/>
      </c>
    </row>
    <row r="22773" spans="5:9" ht="16.5" hidden="1">
      <c r="E22773" s="4" t="str">
        <v/>
      </c>
      <c r="F22773" s="102" t="str">
        <f ca="1">IFERROR(__xludf.DUMMYFUNCTION("IMPORTRANGE(H22773,""IDENTITAS UNIT!D9"")"),"#N/A")</f>
        <v>#N/A</v>
      </c>
      <c r="H22773" s="4" t="str">
        <v/>
      </c>
      <c r="I22773" s="4" t="str">
        <v/>
      </c>
    </row>
    <row r="22774" spans="5:9" ht="16.5" hidden="1">
      <c r="E22774" s="4" t="str">
        <v/>
      </c>
      <c r="F22774" s="102" t="str">
        <f ca="1">IFERROR(__xludf.DUMMYFUNCTION("IMPORTRANGE(H22774,""IDENTITAS UNIT!D9"")"),"#N/A")</f>
        <v>#N/A</v>
      </c>
      <c r="H22774" s="4" t="str">
        <v/>
      </c>
      <c r="I22774" s="4" t="str">
        <v/>
      </c>
    </row>
    <row r="22775" spans="5:9" ht="16.5" hidden="1">
      <c r="E22775" s="4" t="str">
        <v/>
      </c>
      <c r="F22775" s="102" t="str">
        <f ca="1">IFERROR(__xludf.DUMMYFUNCTION("IMPORTRANGE(H22775,""IDENTITAS UNIT!D9"")"),"#N/A")</f>
        <v>#N/A</v>
      </c>
      <c r="H22775" s="4" t="str">
        <v/>
      </c>
      <c r="I22775" s="4" t="str">
        <v/>
      </c>
    </row>
    <row r="22776" spans="5:9" ht="16.5" hidden="1">
      <c r="E22776" s="4" t="str">
        <v/>
      </c>
      <c r="F22776" s="102" t="str">
        <f ca="1">IFERROR(__xludf.DUMMYFUNCTION("IMPORTRANGE(H22776,""IDENTITAS UNIT!D9"")"),"#N/A")</f>
        <v>#N/A</v>
      </c>
      <c r="H22776" s="4" t="str">
        <v/>
      </c>
      <c r="I22776" s="4" t="str">
        <v/>
      </c>
    </row>
    <row r="22777" spans="5:9" ht="16.5" hidden="1">
      <c r="E22777" s="4" t="str">
        <v/>
      </c>
      <c r="F22777" s="102" t="str">
        <f ca="1">IFERROR(__xludf.DUMMYFUNCTION("IMPORTRANGE(H22777,""IDENTITAS UNIT!D9"")"),"#N/A")</f>
        <v>#N/A</v>
      </c>
      <c r="H22777" s="4" t="str">
        <v/>
      </c>
      <c r="I22777" s="4" t="str">
        <v/>
      </c>
    </row>
    <row r="22778" spans="5:9" ht="16.5" hidden="1">
      <c r="E22778" s="4" t="str">
        <v/>
      </c>
      <c r="F22778" s="102" t="str">
        <f ca="1">IFERROR(__xludf.DUMMYFUNCTION("IMPORTRANGE(H22778,""IDENTITAS UNIT!D9"")"),"#N/A")</f>
        <v>#N/A</v>
      </c>
      <c r="H22778" s="4" t="str">
        <v/>
      </c>
      <c r="I22778" s="4" t="str">
        <v/>
      </c>
    </row>
    <row r="22779" spans="5:9" ht="16.5" hidden="1">
      <c r="E22779" s="4" t="str">
        <v/>
      </c>
      <c r="F22779" s="102" t="str">
        <f ca="1">IFERROR(__xludf.DUMMYFUNCTION("IMPORTRANGE(H22779,""IDENTITAS UNIT!D9"")"),"#N/A")</f>
        <v>#N/A</v>
      </c>
      <c r="H22779" s="4" t="str">
        <v/>
      </c>
      <c r="I22779" s="4" t="str">
        <v/>
      </c>
    </row>
    <row r="22780" spans="5:9" ht="16.5" hidden="1">
      <c r="E22780" s="4" t="str">
        <v/>
      </c>
      <c r="F22780" s="102" t="str">
        <f ca="1">IFERROR(__xludf.DUMMYFUNCTION("IMPORTRANGE(H22780,""IDENTITAS UNIT!D9"")"),"#N/A")</f>
        <v>#N/A</v>
      </c>
      <c r="H22780" s="4" t="str">
        <v/>
      </c>
      <c r="I22780" s="4" t="str">
        <v/>
      </c>
    </row>
    <row r="22781" spans="5:9" ht="16.5" hidden="1">
      <c r="E22781" s="4" t="str">
        <v/>
      </c>
      <c r="F22781" s="102" t="str">
        <f ca="1">IFERROR(__xludf.DUMMYFUNCTION("IMPORTRANGE(H22781,""IDENTITAS UNIT!D9"")"),"#N/A")</f>
        <v>#N/A</v>
      </c>
      <c r="H22781" s="4" t="str">
        <v/>
      </c>
      <c r="I22781" s="4" t="str">
        <v/>
      </c>
    </row>
    <row r="22782" spans="5:9" ht="16.5" hidden="1">
      <c r="E22782" s="4" t="str">
        <v/>
      </c>
      <c r="F22782" s="102" t="str">
        <f ca="1">IFERROR(__xludf.DUMMYFUNCTION("IMPORTRANGE(H22782,""IDENTITAS UNIT!D9"")"),"#N/A")</f>
        <v>#N/A</v>
      </c>
      <c r="H22782" s="4" t="str">
        <v/>
      </c>
      <c r="I22782" s="4" t="str">
        <v/>
      </c>
    </row>
    <row r="22783" spans="5:9" ht="16.5" hidden="1">
      <c r="E22783" s="4" t="str">
        <v/>
      </c>
      <c r="F22783" s="102" t="str">
        <f ca="1">IFERROR(__xludf.DUMMYFUNCTION("IMPORTRANGE(H22783,""IDENTITAS UNIT!D9"")"),"#N/A")</f>
        <v>#N/A</v>
      </c>
      <c r="H22783" s="4" t="str">
        <v/>
      </c>
      <c r="I22783" s="4" t="str">
        <v/>
      </c>
    </row>
    <row r="22784" spans="5:9" ht="16.5" hidden="1">
      <c r="E22784" s="4" t="str">
        <v/>
      </c>
      <c r="F22784" s="102" t="str">
        <f ca="1">IFERROR(__xludf.DUMMYFUNCTION("IMPORTRANGE(H22784,""IDENTITAS UNIT!D9"")"),"#N/A")</f>
        <v>#N/A</v>
      </c>
      <c r="H22784" s="4" t="str">
        <v/>
      </c>
      <c r="I22784" s="4" t="str">
        <v/>
      </c>
    </row>
    <row r="22785" spans="5:9" ht="16.5" hidden="1">
      <c r="E22785" s="4" t="str">
        <v/>
      </c>
      <c r="F22785" s="102" t="str">
        <f ca="1">IFERROR(__xludf.DUMMYFUNCTION("IMPORTRANGE(H22785,""IDENTITAS UNIT!D9"")"),"#N/A")</f>
        <v>#N/A</v>
      </c>
      <c r="H22785" s="4" t="str">
        <v/>
      </c>
      <c r="I22785" s="4" t="str">
        <v/>
      </c>
    </row>
    <row r="22786" spans="5:9" ht="16.5" hidden="1">
      <c r="E22786" s="4" t="str">
        <v/>
      </c>
      <c r="F22786" s="102" t="str">
        <f ca="1">IFERROR(__xludf.DUMMYFUNCTION("IMPORTRANGE(H22786,""IDENTITAS UNIT!D9"")"),"#N/A")</f>
        <v>#N/A</v>
      </c>
      <c r="H22786" s="4" t="str">
        <v/>
      </c>
      <c r="I22786" s="4" t="str">
        <v/>
      </c>
    </row>
    <row r="22787" spans="5:9" ht="16.5" hidden="1">
      <c r="E22787" s="4" t="str">
        <v/>
      </c>
      <c r="F22787" s="102" t="str">
        <f ca="1">IFERROR(__xludf.DUMMYFUNCTION("IMPORTRANGE(H22787,""IDENTITAS UNIT!D9"")"),"#N/A")</f>
        <v>#N/A</v>
      </c>
      <c r="H22787" s="4" t="str">
        <v/>
      </c>
      <c r="I22787" s="4" t="str">
        <v/>
      </c>
    </row>
    <row r="22788" spans="5:9" ht="16.5" hidden="1">
      <c r="E22788" s="4" t="str">
        <v/>
      </c>
      <c r="F22788" s="102" t="str">
        <f ca="1">IFERROR(__xludf.DUMMYFUNCTION("IMPORTRANGE(H22788,""IDENTITAS UNIT!D9"")"),"#N/A")</f>
        <v>#N/A</v>
      </c>
      <c r="H22788" s="4" t="str">
        <v/>
      </c>
      <c r="I22788" s="4" t="str">
        <v/>
      </c>
    </row>
    <row r="22789" spans="5:9" ht="16.5" hidden="1">
      <c r="E22789" s="4" t="str">
        <v/>
      </c>
      <c r="F22789" s="102" t="str">
        <f ca="1">IFERROR(__xludf.DUMMYFUNCTION("IMPORTRANGE(H22789,""IDENTITAS UNIT!D9"")"),"#N/A")</f>
        <v>#N/A</v>
      </c>
      <c r="H22789" s="4" t="str">
        <v/>
      </c>
      <c r="I22789" s="4" t="str">
        <v/>
      </c>
    </row>
    <row r="22790" spans="5:9" ht="16.5" hidden="1">
      <c r="E22790" s="4" t="str">
        <v/>
      </c>
      <c r="F22790" s="102" t="str">
        <f ca="1">IFERROR(__xludf.DUMMYFUNCTION("IMPORTRANGE(H22790,""IDENTITAS UNIT!D9"")"),"#N/A")</f>
        <v>#N/A</v>
      </c>
      <c r="H22790" s="4" t="str">
        <v/>
      </c>
      <c r="I22790" s="4" t="str">
        <v/>
      </c>
    </row>
    <row r="22791" spans="5:9" ht="16.5" hidden="1">
      <c r="E22791" s="4" t="str">
        <v/>
      </c>
      <c r="F22791" s="102" t="str">
        <f ca="1">IFERROR(__xludf.DUMMYFUNCTION("IMPORTRANGE(H22791,""IDENTITAS UNIT!D9"")"),"#N/A")</f>
        <v>#N/A</v>
      </c>
      <c r="H22791" s="4" t="str">
        <v/>
      </c>
      <c r="I22791" s="4" t="str">
        <v/>
      </c>
    </row>
    <row r="22792" spans="5:9" ht="16.5" hidden="1">
      <c r="E22792" s="4" t="str">
        <v/>
      </c>
      <c r="F22792" s="102" t="str">
        <f ca="1">IFERROR(__xludf.DUMMYFUNCTION("IMPORTRANGE(H22792,""IDENTITAS UNIT!D9"")"),"#N/A")</f>
        <v>#N/A</v>
      </c>
      <c r="H22792" s="4" t="str">
        <v/>
      </c>
      <c r="I22792" s="4" t="str">
        <v/>
      </c>
    </row>
    <row r="22793" spans="5:9" ht="16.5" hidden="1">
      <c r="E22793" s="4" t="str">
        <v/>
      </c>
      <c r="F22793" s="102" t="str">
        <f ca="1">IFERROR(__xludf.DUMMYFUNCTION("IMPORTRANGE(H22793,""IDENTITAS UNIT!D9"")"),"#N/A")</f>
        <v>#N/A</v>
      </c>
      <c r="H22793" s="4" t="str">
        <v/>
      </c>
      <c r="I22793" s="4" t="str">
        <v/>
      </c>
    </row>
    <row r="22794" spans="5:9" ht="16.5" hidden="1">
      <c r="E22794" s="4" t="str">
        <v/>
      </c>
      <c r="F22794" s="102" t="str">
        <f ca="1">IFERROR(__xludf.DUMMYFUNCTION("IMPORTRANGE(H22794,""IDENTITAS UNIT!D9"")"),"#N/A")</f>
        <v>#N/A</v>
      </c>
      <c r="H22794" s="4" t="str">
        <v/>
      </c>
      <c r="I22794" s="4" t="str">
        <v/>
      </c>
    </row>
    <row r="22795" spans="5:9" ht="16.5" hidden="1">
      <c r="E22795" s="4" t="str">
        <v/>
      </c>
      <c r="F22795" s="102" t="str">
        <f ca="1">IFERROR(__xludf.DUMMYFUNCTION("IMPORTRANGE(H22795,""IDENTITAS UNIT!D9"")"),"#N/A")</f>
        <v>#N/A</v>
      </c>
      <c r="H22795" s="4" t="str">
        <v/>
      </c>
      <c r="I22795" s="4" t="str">
        <v/>
      </c>
    </row>
    <row r="22796" spans="5:9" ht="16.5" hidden="1">
      <c r="E22796" s="4" t="str">
        <v/>
      </c>
      <c r="F22796" s="102" t="str">
        <f ca="1">IFERROR(__xludf.DUMMYFUNCTION("IMPORTRANGE(H22796,""IDENTITAS UNIT!D9"")"),"#N/A")</f>
        <v>#N/A</v>
      </c>
      <c r="H22796" s="4" t="str">
        <v/>
      </c>
      <c r="I22796" s="4" t="str">
        <v/>
      </c>
    </row>
    <row r="22797" spans="5:9" ht="16.5" hidden="1">
      <c r="E22797" s="4" t="str">
        <v/>
      </c>
      <c r="F22797" s="102" t="str">
        <f ca="1">IFERROR(__xludf.DUMMYFUNCTION("IMPORTRANGE(H22797,""IDENTITAS UNIT!D9"")"),"#N/A")</f>
        <v>#N/A</v>
      </c>
      <c r="H22797" s="4" t="str">
        <v/>
      </c>
      <c r="I22797" s="4" t="str">
        <v/>
      </c>
    </row>
    <row r="22798" spans="5:9" ht="16.5" hidden="1">
      <c r="E22798" s="4" t="str">
        <v/>
      </c>
      <c r="F22798" s="102" t="str">
        <f ca="1">IFERROR(__xludf.DUMMYFUNCTION("IMPORTRANGE(H22798,""IDENTITAS UNIT!D9"")"),"#N/A")</f>
        <v>#N/A</v>
      </c>
      <c r="H22798" s="4" t="str">
        <v/>
      </c>
      <c r="I22798" s="4" t="str">
        <v/>
      </c>
    </row>
    <row r="22799" spans="5:9" ht="16.5" hidden="1">
      <c r="E22799" s="4" t="str">
        <v/>
      </c>
      <c r="F22799" s="102" t="str">
        <f ca="1">IFERROR(__xludf.DUMMYFUNCTION("IMPORTRANGE(H22799,""IDENTITAS UNIT!D9"")"),"#N/A")</f>
        <v>#N/A</v>
      </c>
      <c r="H22799" s="4" t="str">
        <v/>
      </c>
      <c r="I22799" s="4" t="str">
        <v/>
      </c>
    </row>
    <row r="22800" spans="5:9" ht="16.5" hidden="1">
      <c r="E22800" s="4" t="str">
        <v/>
      </c>
      <c r="F22800" s="102" t="str">
        <f ca="1">IFERROR(__xludf.DUMMYFUNCTION("IMPORTRANGE(H22800,""IDENTITAS UNIT!D9"")"),"#N/A")</f>
        <v>#N/A</v>
      </c>
      <c r="H22800" s="4" t="str">
        <v/>
      </c>
      <c r="I22800" s="4" t="str">
        <v/>
      </c>
    </row>
    <row r="22801" spans="5:9" ht="16.5" hidden="1">
      <c r="E22801" s="4" t="str">
        <v/>
      </c>
      <c r="F22801" s="102" t="str">
        <f ca="1">IFERROR(__xludf.DUMMYFUNCTION("IMPORTRANGE(H22801,""IDENTITAS UNIT!D9"")"),"#N/A")</f>
        <v>#N/A</v>
      </c>
      <c r="H22801" s="4" t="str">
        <v/>
      </c>
      <c r="I22801" s="4" t="str">
        <v/>
      </c>
    </row>
    <row r="22802" spans="5:9" ht="16.5" hidden="1">
      <c r="E22802" s="4" t="str">
        <v/>
      </c>
      <c r="F22802" s="102" t="str">
        <f ca="1">IFERROR(__xludf.DUMMYFUNCTION("IMPORTRANGE(H22802,""IDENTITAS UNIT!D9"")"),"#N/A")</f>
        <v>#N/A</v>
      </c>
      <c r="H22802" s="4" t="str">
        <v/>
      </c>
      <c r="I22802" s="4" t="str">
        <v/>
      </c>
    </row>
    <row r="22803" spans="5:9" ht="16.5" hidden="1">
      <c r="E22803" s="4" t="str">
        <v/>
      </c>
      <c r="F22803" s="102" t="str">
        <f ca="1">IFERROR(__xludf.DUMMYFUNCTION("IMPORTRANGE(H22803,""IDENTITAS UNIT!D9"")"),"#N/A")</f>
        <v>#N/A</v>
      </c>
      <c r="H22803" s="4" t="str">
        <v/>
      </c>
      <c r="I22803" s="4" t="str">
        <v/>
      </c>
    </row>
    <row r="22804" spans="5:9" ht="16.5" hidden="1">
      <c r="E22804" s="4" t="str">
        <v/>
      </c>
      <c r="F22804" s="102" t="str">
        <f ca="1">IFERROR(__xludf.DUMMYFUNCTION("IMPORTRANGE(H22804,""IDENTITAS UNIT!D9"")"),"#N/A")</f>
        <v>#N/A</v>
      </c>
      <c r="H22804" s="4" t="str">
        <v/>
      </c>
      <c r="I22804" s="4" t="str">
        <v/>
      </c>
    </row>
    <row r="22805" spans="5:9" ht="16.5" hidden="1">
      <c r="E22805" s="4" t="str">
        <v/>
      </c>
      <c r="F22805" s="102" t="str">
        <f ca="1">IFERROR(__xludf.DUMMYFUNCTION("IMPORTRANGE(H22805,""IDENTITAS UNIT!D9"")"),"#N/A")</f>
        <v>#N/A</v>
      </c>
      <c r="H22805" s="4" t="str">
        <v/>
      </c>
      <c r="I22805" s="4" t="str">
        <v/>
      </c>
    </row>
    <row r="22806" spans="5:9" ht="16.5" hidden="1">
      <c r="E22806" s="4" t="str">
        <v/>
      </c>
      <c r="F22806" s="102" t="str">
        <f ca="1">IFERROR(__xludf.DUMMYFUNCTION("IMPORTRANGE(H22806,""IDENTITAS UNIT!D9"")"),"#N/A")</f>
        <v>#N/A</v>
      </c>
      <c r="H22806" s="4" t="str">
        <v/>
      </c>
      <c r="I22806" s="4" t="str">
        <v/>
      </c>
    </row>
    <row r="22807" spans="5:9" ht="16.5" hidden="1">
      <c r="E22807" s="4" t="str">
        <v/>
      </c>
      <c r="F22807" s="102" t="str">
        <f ca="1">IFERROR(__xludf.DUMMYFUNCTION("IMPORTRANGE(H22807,""IDENTITAS UNIT!D9"")"),"#N/A")</f>
        <v>#N/A</v>
      </c>
      <c r="H22807" s="4" t="str">
        <v/>
      </c>
      <c r="I22807" s="4" t="str">
        <v/>
      </c>
    </row>
    <row r="22808" spans="5:9" ht="16.5" hidden="1">
      <c r="E22808" s="4" t="str">
        <v/>
      </c>
      <c r="F22808" s="102" t="str">
        <f ca="1">IFERROR(__xludf.DUMMYFUNCTION("IMPORTRANGE(H22808,""IDENTITAS UNIT!D9"")"),"#N/A")</f>
        <v>#N/A</v>
      </c>
      <c r="H22808" s="4" t="str">
        <v/>
      </c>
      <c r="I22808" s="4" t="str">
        <v/>
      </c>
    </row>
    <row r="22809" spans="5:9" ht="16.5" hidden="1">
      <c r="E22809" s="4" t="str">
        <v/>
      </c>
      <c r="F22809" s="102" t="str">
        <f ca="1">IFERROR(__xludf.DUMMYFUNCTION("IMPORTRANGE(H22809,""IDENTITAS UNIT!D9"")"),"#N/A")</f>
        <v>#N/A</v>
      </c>
      <c r="H22809" s="4" t="str">
        <v/>
      </c>
      <c r="I22809" s="4" t="str">
        <v/>
      </c>
    </row>
    <row r="22810" spans="5:9" ht="16.5" hidden="1">
      <c r="E22810" s="4" t="str">
        <v/>
      </c>
      <c r="F22810" s="102" t="str">
        <f ca="1">IFERROR(__xludf.DUMMYFUNCTION("IMPORTRANGE(H22810,""IDENTITAS UNIT!D9"")"),"#N/A")</f>
        <v>#N/A</v>
      </c>
      <c r="H22810" s="4" t="str">
        <v/>
      </c>
      <c r="I22810" s="4" t="str">
        <v/>
      </c>
    </row>
    <row r="22811" spans="5:9" ht="16.5" hidden="1">
      <c r="E22811" s="4" t="str">
        <v/>
      </c>
      <c r="F22811" s="102" t="str">
        <f ca="1">IFERROR(__xludf.DUMMYFUNCTION("IMPORTRANGE(H22811,""IDENTITAS UNIT!D9"")"),"#N/A")</f>
        <v>#N/A</v>
      </c>
      <c r="H22811" s="4" t="str">
        <v/>
      </c>
      <c r="I22811" s="4" t="str">
        <v/>
      </c>
    </row>
    <row r="22812" spans="5:9" ht="16.5" hidden="1">
      <c r="E22812" s="4" t="str">
        <v/>
      </c>
      <c r="F22812" s="102" t="str">
        <f ca="1">IFERROR(__xludf.DUMMYFUNCTION("IMPORTRANGE(H22812,""IDENTITAS UNIT!D9"")"),"#N/A")</f>
        <v>#N/A</v>
      </c>
      <c r="H22812" s="4" t="str">
        <v/>
      </c>
      <c r="I22812" s="4" t="str">
        <v/>
      </c>
    </row>
    <row r="22813" spans="5:9" ht="16.5" hidden="1">
      <c r="E22813" s="4" t="str">
        <v/>
      </c>
      <c r="F22813" s="102" t="str">
        <f ca="1">IFERROR(__xludf.DUMMYFUNCTION("IMPORTRANGE(H22813,""IDENTITAS UNIT!D9"")"),"#N/A")</f>
        <v>#N/A</v>
      </c>
      <c r="H22813" s="4" t="str">
        <v/>
      </c>
      <c r="I22813" s="4" t="str">
        <v/>
      </c>
    </row>
    <row r="22814" spans="5:9" ht="16.5" hidden="1">
      <c r="E22814" s="4" t="str">
        <v/>
      </c>
      <c r="F22814" s="102" t="str">
        <f ca="1">IFERROR(__xludf.DUMMYFUNCTION("IMPORTRANGE(H22814,""IDENTITAS UNIT!D9"")"),"#N/A")</f>
        <v>#N/A</v>
      </c>
      <c r="H22814" s="4" t="str">
        <v/>
      </c>
      <c r="I22814" s="4" t="str">
        <v/>
      </c>
    </row>
    <row r="22815" spans="5:9" ht="16.5" hidden="1">
      <c r="E22815" s="4" t="str">
        <v/>
      </c>
      <c r="F22815" s="102" t="str">
        <f ca="1">IFERROR(__xludf.DUMMYFUNCTION("IMPORTRANGE(H22815,""IDENTITAS UNIT!D9"")"),"#N/A")</f>
        <v>#N/A</v>
      </c>
      <c r="H22815" s="4" t="str">
        <v/>
      </c>
      <c r="I22815" s="4" t="str">
        <v/>
      </c>
    </row>
    <row r="22816" spans="5:9" ht="16.5" hidden="1">
      <c r="E22816" s="4" t="str">
        <v/>
      </c>
      <c r="F22816" s="102" t="str">
        <f ca="1">IFERROR(__xludf.DUMMYFUNCTION("IMPORTRANGE(H22816,""IDENTITAS UNIT!D9"")"),"#N/A")</f>
        <v>#N/A</v>
      </c>
      <c r="H22816" s="4" t="str">
        <v/>
      </c>
      <c r="I22816" s="4" t="str">
        <v/>
      </c>
    </row>
    <row r="22817" spans="5:9" ht="16.5" hidden="1">
      <c r="E22817" s="4" t="str">
        <v/>
      </c>
      <c r="F22817" s="102" t="str">
        <f ca="1">IFERROR(__xludf.DUMMYFUNCTION("IMPORTRANGE(H22817,""IDENTITAS UNIT!D9"")"),"#N/A")</f>
        <v>#N/A</v>
      </c>
      <c r="H22817" s="4" t="str">
        <v/>
      </c>
      <c r="I22817" s="4" t="str">
        <v/>
      </c>
    </row>
    <row r="22818" spans="5:9" ht="16.5" hidden="1">
      <c r="E22818" s="4" t="str">
        <v/>
      </c>
      <c r="F22818" s="102" t="str">
        <f ca="1">IFERROR(__xludf.DUMMYFUNCTION("IMPORTRANGE(H22818,""IDENTITAS UNIT!D9"")"),"#N/A")</f>
        <v>#N/A</v>
      </c>
      <c r="H22818" s="4" t="str">
        <v/>
      </c>
      <c r="I22818" s="4" t="str">
        <v/>
      </c>
    </row>
    <row r="22819" spans="5:9" ht="16.5" hidden="1">
      <c r="E22819" s="4" t="str">
        <v/>
      </c>
      <c r="F22819" s="102" t="str">
        <f ca="1">IFERROR(__xludf.DUMMYFUNCTION("IMPORTRANGE(H22819,""IDENTITAS UNIT!D9"")"),"#N/A")</f>
        <v>#N/A</v>
      </c>
      <c r="H22819" s="4" t="str">
        <v/>
      </c>
      <c r="I22819" s="4" t="str">
        <v/>
      </c>
    </row>
    <row r="22820" spans="5:9" ht="16.5" hidden="1">
      <c r="E22820" s="4" t="str">
        <v/>
      </c>
      <c r="F22820" s="102" t="str">
        <f ca="1">IFERROR(__xludf.DUMMYFUNCTION("IMPORTRANGE(H22820,""IDENTITAS UNIT!D9"")"),"#N/A")</f>
        <v>#N/A</v>
      </c>
      <c r="H22820" s="4" t="str">
        <v/>
      </c>
      <c r="I22820" s="4" t="str">
        <v/>
      </c>
    </row>
    <row r="22821" spans="5:9" ht="16.5" hidden="1">
      <c r="E22821" s="4" t="str">
        <v/>
      </c>
      <c r="F22821" s="102" t="str">
        <f ca="1">IFERROR(__xludf.DUMMYFUNCTION("IMPORTRANGE(H22821,""IDENTITAS UNIT!D9"")"),"#N/A")</f>
        <v>#N/A</v>
      </c>
      <c r="H22821" s="4" t="str">
        <v/>
      </c>
      <c r="I22821" s="4" t="str">
        <v/>
      </c>
    </row>
    <row r="22822" spans="5:9" ht="16.5" hidden="1">
      <c r="E22822" s="4" t="str">
        <v/>
      </c>
      <c r="F22822" s="102" t="str">
        <f ca="1">IFERROR(__xludf.DUMMYFUNCTION("IMPORTRANGE(H22822,""IDENTITAS UNIT!D9"")"),"#N/A")</f>
        <v>#N/A</v>
      </c>
      <c r="H22822" s="4" t="str">
        <v/>
      </c>
      <c r="I22822" s="4" t="str">
        <v/>
      </c>
    </row>
    <row r="22823" spans="5:9" ht="16.5" hidden="1">
      <c r="E22823" s="4" t="str">
        <v/>
      </c>
      <c r="F22823" s="102" t="str">
        <f ca="1">IFERROR(__xludf.DUMMYFUNCTION("IMPORTRANGE(H22823,""IDENTITAS UNIT!D9"")"),"#N/A")</f>
        <v>#N/A</v>
      </c>
      <c r="H22823" s="4" t="str">
        <v/>
      </c>
      <c r="I22823" s="4" t="str">
        <v/>
      </c>
    </row>
    <row r="22824" spans="5:9" ht="16.5" hidden="1">
      <c r="E22824" s="4" t="str">
        <v/>
      </c>
      <c r="F22824" s="102" t="str">
        <f ca="1">IFERROR(__xludf.DUMMYFUNCTION("IMPORTRANGE(H22824,""IDENTITAS UNIT!D9"")"),"#N/A")</f>
        <v>#N/A</v>
      </c>
      <c r="H22824" s="4" t="str">
        <v/>
      </c>
      <c r="I22824" s="4" t="str">
        <v/>
      </c>
    </row>
    <row r="22825" spans="5:9" ht="16.5" hidden="1">
      <c r="E22825" s="4" t="str">
        <v/>
      </c>
      <c r="F22825" s="102" t="str">
        <f ca="1">IFERROR(__xludf.DUMMYFUNCTION("IMPORTRANGE(H22825,""IDENTITAS UNIT!D9"")"),"#N/A")</f>
        <v>#N/A</v>
      </c>
      <c r="H22825" s="4" t="str">
        <v/>
      </c>
      <c r="I22825" s="4" t="str">
        <v/>
      </c>
    </row>
    <row r="22826" spans="5:9" ht="16.5" hidden="1">
      <c r="E22826" s="4" t="str">
        <v/>
      </c>
      <c r="F22826" s="102" t="str">
        <f ca="1">IFERROR(__xludf.DUMMYFUNCTION("IMPORTRANGE(H22826,""IDENTITAS UNIT!D9"")"),"#N/A")</f>
        <v>#N/A</v>
      </c>
      <c r="H22826" s="4" t="str">
        <v/>
      </c>
      <c r="I22826" s="4" t="str">
        <v/>
      </c>
    </row>
    <row r="22827" spans="5:9" ht="16.5" hidden="1">
      <c r="E22827" s="4" t="str">
        <v/>
      </c>
      <c r="F22827" s="102" t="str">
        <f ca="1">IFERROR(__xludf.DUMMYFUNCTION("IMPORTRANGE(H22827,""IDENTITAS UNIT!D9"")"),"#N/A")</f>
        <v>#N/A</v>
      </c>
      <c r="H22827" s="4" t="str">
        <v/>
      </c>
      <c r="I22827" s="4" t="str">
        <v/>
      </c>
    </row>
    <row r="22828" spans="5:9" ht="16.5" hidden="1">
      <c r="E22828" s="4" t="str">
        <v/>
      </c>
      <c r="F22828" s="102" t="str">
        <f ca="1">IFERROR(__xludf.DUMMYFUNCTION("IMPORTRANGE(H22828,""IDENTITAS UNIT!D9"")"),"#N/A")</f>
        <v>#N/A</v>
      </c>
      <c r="H22828" s="4" t="str">
        <v/>
      </c>
      <c r="I22828" s="4" t="str">
        <v/>
      </c>
    </row>
    <row r="22829" spans="5:9" ht="16.5" hidden="1">
      <c r="E22829" s="4" t="str">
        <v/>
      </c>
      <c r="F22829" s="102" t="str">
        <f ca="1">IFERROR(__xludf.DUMMYFUNCTION("IMPORTRANGE(H22829,""IDENTITAS UNIT!D9"")"),"#N/A")</f>
        <v>#N/A</v>
      </c>
      <c r="H22829" s="4" t="str">
        <v/>
      </c>
      <c r="I22829" s="4" t="str">
        <v/>
      </c>
    </row>
    <row r="22830" spans="5:9" ht="16.5" hidden="1">
      <c r="E22830" s="4" t="str">
        <v/>
      </c>
      <c r="F22830" s="102" t="str">
        <f ca="1">IFERROR(__xludf.DUMMYFUNCTION("IMPORTRANGE(H22830,""IDENTITAS UNIT!D9"")"),"#N/A")</f>
        <v>#N/A</v>
      </c>
      <c r="H22830" s="4" t="str">
        <v/>
      </c>
      <c r="I22830" s="4" t="str">
        <v/>
      </c>
    </row>
    <row r="22831" spans="5:9" ht="16.5" hidden="1">
      <c r="E22831" s="4" t="str">
        <v/>
      </c>
      <c r="F22831" s="102" t="str">
        <f ca="1">IFERROR(__xludf.DUMMYFUNCTION("IMPORTRANGE(H22831,""IDENTITAS UNIT!D9"")"),"#N/A")</f>
        <v>#N/A</v>
      </c>
      <c r="H22831" s="4" t="str">
        <v/>
      </c>
      <c r="I22831" s="4" t="str">
        <v/>
      </c>
    </row>
    <row r="22832" spans="5:9" ht="16.5" hidden="1">
      <c r="E22832" s="4" t="str">
        <v/>
      </c>
      <c r="F22832" s="102" t="str">
        <f ca="1">IFERROR(__xludf.DUMMYFUNCTION("IMPORTRANGE(H22832,""IDENTITAS UNIT!D9"")"),"#N/A")</f>
        <v>#N/A</v>
      </c>
      <c r="H22832" s="4" t="str">
        <v/>
      </c>
      <c r="I22832" s="4" t="str">
        <v/>
      </c>
    </row>
    <row r="22833" spans="5:9" ht="16.5" hidden="1">
      <c r="E22833" s="4" t="str">
        <v/>
      </c>
      <c r="F22833" s="102" t="str">
        <f ca="1">IFERROR(__xludf.DUMMYFUNCTION("IMPORTRANGE(H22833,""IDENTITAS UNIT!D9"")"),"#N/A")</f>
        <v>#N/A</v>
      </c>
      <c r="H22833" s="4" t="str">
        <v/>
      </c>
      <c r="I22833" s="4" t="str">
        <v/>
      </c>
    </row>
    <row r="22834" spans="5:9" ht="16.5" hidden="1">
      <c r="E22834" s="4" t="str">
        <v/>
      </c>
      <c r="F22834" s="102" t="str">
        <f ca="1">IFERROR(__xludf.DUMMYFUNCTION("IMPORTRANGE(H22834,""IDENTITAS UNIT!D9"")"),"#N/A")</f>
        <v>#N/A</v>
      </c>
      <c r="H22834" s="4" t="str">
        <v/>
      </c>
      <c r="I22834" s="4" t="str">
        <v/>
      </c>
    </row>
    <row r="22835" spans="5:9" ht="16.5" hidden="1">
      <c r="E22835" s="4" t="str">
        <v/>
      </c>
      <c r="F22835" s="102" t="str">
        <f ca="1">IFERROR(__xludf.DUMMYFUNCTION("IMPORTRANGE(H22835,""IDENTITAS UNIT!D9"")"),"#N/A")</f>
        <v>#N/A</v>
      </c>
      <c r="H22835" s="4" t="str">
        <v/>
      </c>
      <c r="I22835" s="4" t="str">
        <v/>
      </c>
    </row>
    <row r="22836" spans="5:9" ht="16.5" hidden="1">
      <c r="E22836" s="4" t="str">
        <v/>
      </c>
      <c r="F22836" s="102" t="str">
        <f ca="1">IFERROR(__xludf.DUMMYFUNCTION("IMPORTRANGE(H22836,""IDENTITAS UNIT!D9"")"),"#N/A")</f>
        <v>#N/A</v>
      </c>
      <c r="H22836" s="4" t="str">
        <v/>
      </c>
      <c r="I22836" s="4" t="str">
        <v/>
      </c>
    </row>
    <row r="22837" spans="5:9" ht="16.5" hidden="1">
      <c r="E22837" s="4" t="str">
        <v/>
      </c>
      <c r="F22837" s="102" t="str">
        <f ca="1">IFERROR(__xludf.DUMMYFUNCTION("IMPORTRANGE(H22837,""IDENTITAS UNIT!D9"")"),"#N/A")</f>
        <v>#N/A</v>
      </c>
      <c r="H22837" s="4" t="str">
        <v/>
      </c>
      <c r="I22837" s="4" t="str">
        <v/>
      </c>
    </row>
    <row r="22838" spans="5:9" ht="16.5" hidden="1">
      <c r="E22838" s="4" t="str">
        <v/>
      </c>
      <c r="F22838" s="102" t="str">
        <f ca="1">IFERROR(__xludf.DUMMYFUNCTION("IMPORTRANGE(H22838,""IDENTITAS UNIT!D9"")"),"#N/A")</f>
        <v>#N/A</v>
      </c>
      <c r="H22838" s="4" t="str">
        <v/>
      </c>
      <c r="I22838" s="4" t="str">
        <v/>
      </c>
    </row>
    <row r="22839" spans="5:9" ht="16.5" hidden="1">
      <c r="E22839" s="4" t="str">
        <v/>
      </c>
      <c r="F22839" s="102" t="str">
        <f ca="1">IFERROR(__xludf.DUMMYFUNCTION("IMPORTRANGE(H22839,""IDENTITAS UNIT!D9"")"),"#N/A")</f>
        <v>#N/A</v>
      </c>
      <c r="H22839" s="4" t="str">
        <v/>
      </c>
      <c r="I22839" s="4" t="str">
        <v/>
      </c>
    </row>
    <row r="22840" spans="5:9" ht="16.5" hidden="1">
      <c r="E22840" s="4" t="str">
        <v/>
      </c>
      <c r="F22840" s="102" t="str">
        <f ca="1">IFERROR(__xludf.DUMMYFUNCTION("IMPORTRANGE(H22840,""IDENTITAS UNIT!D9"")"),"#N/A")</f>
        <v>#N/A</v>
      </c>
      <c r="H22840" s="4" t="str">
        <v/>
      </c>
      <c r="I22840" s="4" t="str">
        <v/>
      </c>
    </row>
    <row r="22841" spans="5:9" ht="16.5" hidden="1">
      <c r="E22841" s="4" t="str">
        <v/>
      </c>
      <c r="F22841" s="102" t="str">
        <f ca="1">IFERROR(__xludf.DUMMYFUNCTION("IMPORTRANGE(H22841,""IDENTITAS UNIT!D9"")"),"#N/A")</f>
        <v>#N/A</v>
      </c>
      <c r="H22841" s="4" t="str">
        <v/>
      </c>
      <c r="I22841" s="4" t="str">
        <v/>
      </c>
    </row>
    <row r="22842" spans="5:9" ht="16.5" hidden="1">
      <c r="E22842" s="4" t="str">
        <v/>
      </c>
      <c r="F22842" s="102" t="str">
        <f ca="1">IFERROR(__xludf.DUMMYFUNCTION("IMPORTRANGE(H22842,""IDENTITAS UNIT!D9"")"),"#N/A")</f>
        <v>#N/A</v>
      </c>
      <c r="H22842" s="4" t="str">
        <v/>
      </c>
      <c r="I22842" s="4" t="str">
        <v/>
      </c>
    </row>
    <row r="22843" spans="5:9" ht="16.5" hidden="1">
      <c r="E22843" s="4" t="str">
        <v/>
      </c>
      <c r="F22843" s="102" t="str">
        <f ca="1">IFERROR(__xludf.DUMMYFUNCTION("IMPORTRANGE(H22843,""IDENTITAS UNIT!D9"")"),"#N/A")</f>
        <v>#N/A</v>
      </c>
      <c r="H22843" s="4" t="str">
        <v/>
      </c>
      <c r="I22843" s="4" t="str">
        <v/>
      </c>
    </row>
    <row r="22844" spans="5:9" ht="16.5" hidden="1">
      <c r="E22844" s="4" t="str">
        <v/>
      </c>
      <c r="F22844" s="102" t="str">
        <f ca="1">IFERROR(__xludf.DUMMYFUNCTION("IMPORTRANGE(H22844,""IDENTITAS UNIT!D9"")"),"#N/A")</f>
        <v>#N/A</v>
      </c>
      <c r="H22844" s="4" t="str">
        <v/>
      </c>
      <c r="I22844" s="4" t="str">
        <v/>
      </c>
    </row>
    <row r="22845" spans="5:9" ht="16.5" hidden="1">
      <c r="E22845" s="4" t="str">
        <v/>
      </c>
      <c r="F22845" s="102" t="str">
        <f ca="1">IFERROR(__xludf.DUMMYFUNCTION("IMPORTRANGE(H22845,""IDENTITAS UNIT!D9"")"),"#N/A")</f>
        <v>#N/A</v>
      </c>
      <c r="H22845" s="4" t="str">
        <v/>
      </c>
      <c r="I22845" s="4" t="str">
        <v/>
      </c>
    </row>
    <row r="22846" spans="5:9" ht="16.5" hidden="1">
      <c r="E22846" s="4" t="str">
        <v/>
      </c>
      <c r="F22846" s="102" t="str">
        <f ca="1">IFERROR(__xludf.DUMMYFUNCTION("IMPORTRANGE(H22846,""IDENTITAS UNIT!D9"")"),"#N/A")</f>
        <v>#N/A</v>
      </c>
      <c r="H22846" s="4" t="str">
        <v/>
      </c>
      <c r="I22846" s="4" t="str">
        <v/>
      </c>
    </row>
    <row r="22847" spans="5:9" ht="16.5" hidden="1">
      <c r="E22847" s="4" t="str">
        <v/>
      </c>
      <c r="F22847" s="102" t="str">
        <f ca="1">IFERROR(__xludf.DUMMYFUNCTION("IMPORTRANGE(H22847,""IDENTITAS UNIT!D9"")"),"#N/A")</f>
        <v>#N/A</v>
      </c>
      <c r="H22847" s="4" t="str">
        <v/>
      </c>
      <c r="I22847" s="4" t="str">
        <v/>
      </c>
    </row>
    <row r="22848" spans="5:9" ht="16.5" hidden="1">
      <c r="E22848" s="4" t="str">
        <v/>
      </c>
      <c r="F22848" s="102" t="str">
        <f ca="1">IFERROR(__xludf.DUMMYFUNCTION("IMPORTRANGE(H22848,""IDENTITAS UNIT!D9"")"),"#N/A")</f>
        <v>#N/A</v>
      </c>
      <c r="H22848" s="4" t="str">
        <v/>
      </c>
      <c r="I22848" s="4" t="str">
        <v/>
      </c>
    </row>
    <row r="22849" spans="5:9" ht="16.5" hidden="1">
      <c r="E22849" s="4" t="str">
        <v/>
      </c>
      <c r="F22849" s="102" t="str">
        <f ca="1">IFERROR(__xludf.DUMMYFUNCTION("IMPORTRANGE(H22849,""IDENTITAS UNIT!D9"")"),"#N/A")</f>
        <v>#N/A</v>
      </c>
      <c r="H22849" s="4" t="str">
        <v/>
      </c>
      <c r="I22849" s="4" t="str">
        <v/>
      </c>
    </row>
    <row r="22850" spans="5:9" ht="16.5" hidden="1">
      <c r="E22850" s="4" t="str">
        <v/>
      </c>
      <c r="F22850" s="102" t="str">
        <f ca="1">IFERROR(__xludf.DUMMYFUNCTION("IMPORTRANGE(H22850,""IDENTITAS UNIT!D9"")"),"#N/A")</f>
        <v>#N/A</v>
      </c>
      <c r="H22850" s="4" t="str">
        <v/>
      </c>
      <c r="I22850" s="4" t="str">
        <v/>
      </c>
    </row>
    <row r="22851" spans="5:9" ht="16.5" hidden="1">
      <c r="E22851" s="4" t="str">
        <v/>
      </c>
      <c r="F22851" s="102" t="str">
        <f ca="1">IFERROR(__xludf.DUMMYFUNCTION("IMPORTRANGE(H22851,""IDENTITAS UNIT!D9"")"),"#N/A")</f>
        <v>#N/A</v>
      </c>
      <c r="H22851" s="4" t="str">
        <v/>
      </c>
      <c r="I22851" s="4" t="str">
        <v/>
      </c>
    </row>
    <row r="22852" spans="5:9" ht="16.5" hidden="1">
      <c r="E22852" s="4" t="str">
        <v/>
      </c>
      <c r="F22852" s="102" t="str">
        <f ca="1">IFERROR(__xludf.DUMMYFUNCTION("IMPORTRANGE(H22852,""IDENTITAS UNIT!D9"")"),"#N/A")</f>
        <v>#N/A</v>
      </c>
      <c r="H22852" s="4" t="str">
        <v/>
      </c>
      <c r="I22852" s="4" t="str">
        <v/>
      </c>
    </row>
    <row r="22853" spans="5:9" ht="16.5" hidden="1">
      <c r="E22853" s="4" t="str">
        <v/>
      </c>
      <c r="F22853" s="102" t="str">
        <f ca="1">IFERROR(__xludf.DUMMYFUNCTION("IMPORTRANGE(H22853,""IDENTITAS UNIT!D9"")"),"#N/A")</f>
        <v>#N/A</v>
      </c>
      <c r="H22853" s="4" t="str">
        <v/>
      </c>
      <c r="I22853" s="4" t="str">
        <v/>
      </c>
    </row>
    <row r="22854" spans="5:9" ht="16.5" hidden="1">
      <c r="E22854" s="4" t="str">
        <v/>
      </c>
      <c r="F22854" s="102" t="str">
        <f ca="1">IFERROR(__xludf.DUMMYFUNCTION("IMPORTRANGE(H22854,""IDENTITAS UNIT!D9"")"),"#N/A")</f>
        <v>#N/A</v>
      </c>
      <c r="H22854" s="4" t="str">
        <v/>
      </c>
      <c r="I22854" s="4" t="str">
        <v/>
      </c>
    </row>
    <row r="22855" spans="5:9" ht="16.5" hidden="1">
      <c r="E22855" s="4" t="str">
        <v/>
      </c>
      <c r="F22855" s="102" t="str">
        <f ca="1">IFERROR(__xludf.DUMMYFUNCTION("IMPORTRANGE(H22855,""IDENTITAS UNIT!D9"")"),"#N/A")</f>
        <v>#N/A</v>
      </c>
      <c r="H22855" s="4" t="str">
        <v/>
      </c>
      <c r="I22855" s="4" t="str">
        <v/>
      </c>
    </row>
    <row r="22856" spans="5:9" ht="16.5" hidden="1">
      <c r="E22856" s="4" t="str">
        <v/>
      </c>
      <c r="F22856" s="102" t="str">
        <f ca="1">IFERROR(__xludf.DUMMYFUNCTION("IMPORTRANGE(H22856,""IDENTITAS UNIT!D9"")"),"#N/A")</f>
        <v>#N/A</v>
      </c>
      <c r="H22856" s="4" t="str">
        <v/>
      </c>
      <c r="I22856" s="4" t="str">
        <v/>
      </c>
    </row>
    <row r="22857" spans="5:9" ht="16.5" hidden="1">
      <c r="E22857" s="4" t="str">
        <v/>
      </c>
      <c r="F22857" s="102" t="str">
        <f ca="1">IFERROR(__xludf.DUMMYFUNCTION("IMPORTRANGE(H22857,""IDENTITAS UNIT!D9"")"),"#N/A")</f>
        <v>#N/A</v>
      </c>
      <c r="H22857" s="4" t="str">
        <v/>
      </c>
      <c r="I22857" s="4" t="str">
        <v/>
      </c>
    </row>
    <row r="22858" spans="5:9" ht="16.5" hidden="1">
      <c r="E22858" s="4" t="str">
        <v/>
      </c>
      <c r="F22858" s="102" t="str">
        <f ca="1">IFERROR(__xludf.DUMMYFUNCTION("IMPORTRANGE(H22858,""IDENTITAS UNIT!D9"")"),"#N/A")</f>
        <v>#N/A</v>
      </c>
      <c r="H22858" s="4" t="str">
        <v/>
      </c>
      <c r="I22858" s="4" t="str">
        <v/>
      </c>
    </row>
    <row r="22859" spans="5:9" ht="16.5" hidden="1">
      <c r="E22859" s="4" t="str">
        <v/>
      </c>
      <c r="F22859" s="102" t="str">
        <f ca="1">IFERROR(__xludf.DUMMYFUNCTION("IMPORTRANGE(H22859,""IDENTITAS UNIT!D9"")"),"#N/A")</f>
        <v>#N/A</v>
      </c>
      <c r="H22859" s="4" t="str">
        <v/>
      </c>
      <c r="I22859" s="4" t="str">
        <v/>
      </c>
    </row>
    <row r="22860" spans="5:9" ht="16.5" hidden="1">
      <c r="E22860" s="4" t="str">
        <v/>
      </c>
      <c r="F22860" s="102" t="str">
        <f ca="1">IFERROR(__xludf.DUMMYFUNCTION("IMPORTRANGE(H22860,""IDENTITAS UNIT!D9"")"),"#N/A")</f>
        <v>#N/A</v>
      </c>
      <c r="H22860" s="4" t="str">
        <v/>
      </c>
      <c r="I22860" s="4" t="str">
        <v/>
      </c>
    </row>
    <row r="22861" spans="5:9" ht="16.5" hidden="1">
      <c r="E22861" s="4" t="str">
        <v/>
      </c>
      <c r="F22861" s="102" t="str">
        <f ca="1">IFERROR(__xludf.DUMMYFUNCTION("IMPORTRANGE(H22861,""IDENTITAS UNIT!D9"")"),"#N/A")</f>
        <v>#N/A</v>
      </c>
      <c r="H22861" s="4" t="str">
        <v/>
      </c>
      <c r="I22861" s="4" t="str">
        <v/>
      </c>
    </row>
    <row r="22862" spans="5:9" ht="16.5" hidden="1">
      <c r="E22862" s="4" t="str">
        <v/>
      </c>
      <c r="F22862" s="102" t="str">
        <f ca="1">IFERROR(__xludf.DUMMYFUNCTION("IMPORTRANGE(H22862,""IDENTITAS UNIT!D9"")"),"#N/A")</f>
        <v>#N/A</v>
      </c>
      <c r="H22862" s="4" t="str">
        <v/>
      </c>
      <c r="I22862" s="4" t="str">
        <v/>
      </c>
    </row>
    <row r="22863" spans="5:9" ht="16.5" hidden="1">
      <c r="E22863" s="4" t="str">
        <v/>
      </c>
      <c r="F22863" s="102" t="str">
        <f ca="1">IFERROR(__xludf.DUMMYFUNCTION("IMPORTRANGE(H22863,""IDENTITAS UNIT!D9"")"),"#N/A")</f>
        <v>#N/A</v>
      </c>
      <c r="H22863" s="4" t="str">
        <v/>
      </c>
      <c r="I22863" s="4" t="str">
        <v/>
      </c>
    </row>
    <row r="22864" spans="5:9" ht="16.5" hidden="1">
      <c r="E22864" s="4" t="str">
        <v/>
      </c>
      <c r="F22864" s="102" t="str">
        <f ca="1">IFERROR(__xludf.DUMMYFUNCTION("IMPORTRANGE(H22864,""IDENTITAS UNIT!D9"")"),"#N/A")</f>
        <v>#N/A</v>
      </c>
      <c r="H22864" s="4" t="str">
        <v/>
      </c>
      <c r="I22864" s="4" t="str">
        <v/>
      </c>
    </row>
    <row r="22865" spans="5:9" ht="16.5" hidden="1">
      <c r="E22865" s="4" t="str">
        <v/>
      </c>
      <c r="F22865" s="102" t="str">
        <f ca="1">IFERROR(__xludf.DUMMYFUNCTION("IMPORTRANGE(H22865,""IDENTITAS UNIT!D9"")"),"#N/A")</f>
        <v>#N/A</v>
      </c>
      <c r="H22865" s="4" t="str">
        <v/>
      </c>
      <c r="I22865" s="4" t="str">
        <v/>
      </c>
    </row>
    <row r="22866" spans="5:9" ht="16.5" hidden="1">
      <c r="E22866" s="4" t="str">
        <v/>
      </c>
      <c r="F22866" s="102" t="str">
        <f ca="1">IFERROR(__xludf.DUMMYFUNCTION("IMPORTRANGE(H22866,""IDENTITAS UNIT!D9"")"),"#N/A")</f>
        <v>#N/A</v>
      </c>
      <c r="H22866" s="4" t="str">
        <v/>
      </c>
      <c r="I22866" s="4" t="str">
        <v/>
      </c>
    </row>
    <row r="22867" spans="5:9" ht="16.5" hidden="1">
      <c r="E22867" s="4" t="str">
        <v/>
      </c>
      <c r="F22867" s="102" t="str">
        <f ca="1">IFERROR(__xludf.DUMMYFUNCTION("IMPORTRANGE(H22867,""IDENTITAS UNIT!D9"")"),"#N/A")</f>
        <v>#N/A</v>
      </c>
      <c r="H22867" s="4" t="str">
        <v/>
      </c>
      <c r="I22867" s="4" t="str">
        <v/>
      </c>
    </row>
    <row r="22868" spans="5:9" ht="16.5" hidden="1">
      <c r="E22868" s="4" t="str">
        <v/>
      </c>
      <c r="F22868" s="102" t="str">
        <f ca="1">IFERROR(__xludf.DUMMYFUNCTION("IMPORTRANGE(H22868,""IDENTITAS UNIT!D9"")"),"#N/A")</f>
        <v>#N/A</v>
      </c>
      <c r="H22868" s="4" t="str">
        <v/>
      </c>
      <c r="I22868" s="4" t="str">
        <v/>
      </c>
    </row>
    <row r="22869" spans="5:9" ht="16.5" hidden="1">
      <c r="E22869" s="4" t="str">
        <v/>
      </c>
      <c r="F22869" s="102" t="str">
        <f ca="1">IFERROR(__xludf.DUMMYFUNCTION("IMPORTRANGE(H22869,""IDENTITAS UNIT!D9"")"),"#N/A")</f>
        <v>#N/A</v>
      </c>
      <c r="H22869" s="4" t="str">
        <v/>
      </c>
      <c r="I22869" s="4" t="str">
        <v/>
      </c>
    </row>
    <row r="22870" spans="5:9" ht="16.5" hidden="1">
      <c r="E22870" s="4" t="str">
        <v/>
      </c>
      <c r="F22870" s="102" t="str">
        <f ca="1">IFERROR(__xludf.DUMMYFUNCTION("IMPORTRANGE(H22870,""IDENTITAS UNIT!D9"")"),"#N/A")</f>
        <v>#N/A</v>
      </c>
      <c r="H22870" s="4" t="str">
        <v/>
      </c>
      <c r="I22870" s="4" t="str">
        <v/>
      </c>
    </row>
    <row r="22871" spans="5:9" ht="16.5" hidden="1">
      <c r="E22871" s="4" t="str">
        <v/>
      </c>
      <c r="F22871" s="102" t="str">
        <f ca="1">IFERROR(__xludf.DUMMYFUNCTION("IMPORTRANGE(H22871,""IDENTITAS UNIT!D9"")"),"#N/A")</f>
        <v>#N/A</v>
      </c>
      <c r="H22871" s="4" t="str">
        <v/>
      </c>
      <c r="I22871" s="4" t="str">
        <v/>
      </c>
    </row>
    <row r="22872" spans="5:9" ht="16.5" hidden="1">
      <c r="E22872" s="4" t="str">
        <v/>
      </c>
      <c r="F22872" s="102" t="str">
        <f ca="1">IFERROR(__xludf.DUMMYFUNCTION("IMPORTRANGE(H22872,""IDENTITAS UNIT!D9"")"),"#N/A")</f>
        <v>#N/A</v>
      </c>
      <c r="H22872" s="4" t="str">
        <v/>
      </c>
      <c r="I22872" s="4" t="str">
        <v/>
      </c>
    </row>
    <row r="22873" spans="5:9" ht="16.5" hidden="1">
      <c r="E22873" s="4" t="str">
        <v/>
      </c>
      <c r="F22873" s="102" t="str">
        <f ca="1">IFERROR(__xludf.DUMMYFUNCTION("IMPORTRANGE(H22873,""IDENTITAS UNIT!D9"")"),"#N/A")</f>
        <v>#N/A</v>
      </c>
      <c r="H22873" s="4" t="str">
        <v/>
      </c>
      <c r="I22873" s="4" t="str">
        <v/>
      </c>
    </row>
    <row r="22874" spans="5:9" ht="16.5" hidden="1">
      <c r="E22874" s="4" t="str">
        <v/>
      </c>
      <c r="F22874" s="102" t="str">
        <f ca="1">IFERROR(__xludf.DUMMYFUNCTION("IMPORTRANGE(H22874,""IDENTITAS UNIT!D9"")"),"#N/A")</f>
        <v>#N/A</v>
      </c>
      <c r="H22874" s="4" t="str">
        <v/>
      </c>
      <c r="I22874" s="4" t="str">
        <v/>
      </c>
    </row>
    <row r="22875" spans="5:9" ht="16.5" hidden="1">
      <c r="E22875" s="4" t="str">
        <v/>
      </c>
      <c r="F22875" s="102" t="str">
        <f ca="1">IFERROR(__xludf.DUMMYFUNCTION("IMPORTRANGE(H22875,""IDENTITAS UNIT!D9"")"),"#N/A")</f>
        <v>#N/A</v>
      </c>
      <c r="H22875" s="4" t="str">
        <v/>
      </c>
      <c r="I22875" s="4" t="str">
        <v/>
      </c>
    </row>
    <row r="22876" spans="5:9" ht="16.5" hidden="1">
      <c r="E22876" s="4" t="str">
        <v/>
      </c>
      <c r="F22876" s="102" t="str">
        <f ca="1">IFERROR(__xludf.DUMMYFUNCTION("IMPORTRANGE(H22876,""IDENTITAS UNIT!D9"")"),"#N/A")</f>
        <v>#N/A</v>
      </c>
      <c r="H22876" s="4" t="str">
        <v/>
      </c>
      <c r="I22876" s="4" t="str">
        <v/>
      </c>
    </row>
    <row r="22877" spans="5:9" ht="16.5" hidden="1">
      <c r="E22877" s="4" t="str">
        <v/>
      </c>
      <c r="F22877" s="102" t="str">
        <f ca="1">IFERROR(__xludf.DUMMYFUNCTION("IMPORTRANGE(H22877,""IDENTITAS UNIT!D9"")"),"#N/A")</f>
        <v>#N/A</v>
      </c>
      <c r="H22877" s="4" t="str">
        <v/>
      </c>
      <c r="I22877" s="4" t="str">
        <v/>
      </c>
    </row>
    <row r="22878" spans="5:9" ht="16.5" hidden="1">
      <c r="E22878" s="4" t="str">
        <v/>
      </c>
      <c r="F22878" s="102" t="str">
        <f ca="1">IFERROR(__xludf.DUMMYFUNCTION("IMPORTRANGE(H22878,""IDENTITAS UNIT!D9"")"),"#N/A")</f>
        <v>#N/A</v>
      </c>
      <c r="H22878" s="4" t="str">
        <v/>
      </c>
      <c r="I22878" s="4" t="str">
        <v/>
      </c>
    </row>
    <row r="22879" spans="5:9" ht="16.5" hidden="1">
      <c r="E22879" s="4" t="str">
        <v/>
      </c>
      <c r="F22879" s="102" t="str">
        <f ca="1">IFERROR(__xludf.DUMMYFUNCTION("IMPORTRANGE(H22879,""IDENTITAS UNIT!D9"")"),"#N/A")</f>
        <v>#N/A</v>
      </c>
      <c r="H22879" s="4" t="str">
        <v/>
      </c>
      <c r="I22879" s="4" t="str">
        <v/>
      </c>
    </row>
    <row r="22880" spans="5:9" ht="16.5" hidden="1">
      <c r="E22880" s="4" t="str">
        <v/>
      </c>
      <c r="F22880" s="102" t="str">
        <f ca="1">IFERROR(__xludf.DUMMYFUNCTION("IMPORTRANGE(H22880,""IDENTITAS UNIT!D9"")"),"#N/A")</f>
        <v>#N/A</v>
      </c>
      <c r="H22880" s="4" t="str">
        <v/>
      </c>
      <c r="I22880" s="4" t="str">
        <v/>
      </c>
    </row>
    <row r="22881" spans="5:9" ht="16.5" hidden="1">
      <c r="E22881" s="4" t="str">
        <v/>
      </c>
      <c r="F22881" s="102" t="str">
        <f ca="1">IFERROR(__xludf.DUMMYFUNCTION("IMPORTRANGE(H22881,""IDENTITAS UNIT!D9"")"),"#N/A")</f>
        <v>#N/A</v>
      </c>
      <c r="H22881" s="4" t="str">
        <v/>
      </c>
      <c r="I22881" s="4" t="str">
        <v/>
      </c>
    </row>
    <row r="22882" spans="5:9" ht="16.5" hidden="1">
      <c r="E22882" s="4" t="str">
        <v/>
      </c>
      <c r="F22882" s="102" t="str">
        <f ca="1">IFERROR(__xludf.DUMMYFUNCTION("IMPORTRANGE(H22882,""IDENTITAS UNIT!D9"")"),"#N/A")</f>
        <v>#N/A</v>
      </c>
      <c r="H22882" s="4" t="str">
        <v/>
      </c>
      <c r="I22882" s="4" t="str">
        <v/>
      </c>
    </row>
    <row r="22883" spans="5:9" ht="16.5" hidden="1">
      <c r="E22883" s="4" t="str">
        <v/>
      </c>
      <c r="F22883" s="102" t="str">
        <f ca="1">IFERROR(__xludf.DUMMYFUNCTION("IMPORTRANGE(H22883,""IDENTITAS UNIT!D9"")"),"#N/A")</f>
        <v>#N/A</v>
      </c>
      <c r="H22883" s="4" t="str">
        <v/>
      </c>
      <c r="I22883" s="4" t="str">
        <v/>
      </c>
    </row>
    <row r="22884" spans="5:9" ht="16.5" hidden="1">
      <c r="E22884" s="4" t="str">
        <v/>
      </c>
      <c r="F22884" s="102" t="str">
        <f ca="1">IFERROR(__xludf.DUMMYFUNCTION("IMPORTRANGE(H22884,""IDENTITAS UNIT!D9"")"),"#N/A")</f>
        <v>#N/A</v>
      </c>
      <c r="H22884" s="4" t="str">
        <v/>
      </c>
      <c r="I22884" s="4" t="str">
        <v/>
      </c>
    </row>
    <row r="22885" spans="5:9" ht="16.5" hidden="1">
      <c r="E22885" s="4" t="str">
        <v/>
      </c>
      <c r="F22885" s="102" t="str">
        <f ca="1">IFERROR(__xludf.DUMMYFUNCTION("IMPORTRANGE(H22885,""IDENTITAS UNIT!D9"")"),"#N/A")</f>
        <v>#N/A</v>
      </c>
      <c r="H22885" s="4" t="str">
        <v/>
      </c>
      <c r="I22885" s="4" t="str">
        <v/>
      </c>
    </row>
    <row r="22886" spans="5:9" ht="16.5" hidden="1">
      <c r="E22886" s="4" t="str">
        <v/>
      </c>
      <c r="F22886" s="102" t="str">
        <f ca="1">IFERROR(__xludf.DUMMYFUNCTION("IMPORTRANGE(H22886,""IDENTITAS UNIT!D9"")"),"#N/A")</f>
        <v>#N/A</v>
      </c>
      <c r="H22886" s="4" t="str">
        <v/>
      </c>
      <c r="I22886" s="4" t="str">
        <v/>
      </c>
    </row>
    <row r="22887" spans="5:9" ht="16.5" hidden="1">
      <c r="E22887" s="4" t="str">
        <v/>
      </c>
      <c r="F22887" s="102" t="str">
        <f ca="1">IFERROR(__xludf.DUMMYFUNCTION("IMPORTRANGE(H22887,""IDENTITAS UNIT!D9"")"),"#N/A")</f>
        <v>#N/A</v>
      </c>
      <c r="H22887" s="4" t="str">
        <v/>
      </c>
      <c r="I22887" s="4" t="str">
        <v/>
      </c>
    </row>
    <row r="22888" spans="5:9" ht="16.5" hidden="1">
      <c r="E22888" s="4" t="str">
        <v/>
      </c>
      <c r="F22888" s="102" t="str">
        <f ca="1">IFERROR(__xludf.DUMMYFUNCTION("IMPORTRANGE(H22888,""IDENTITAS UNIT!D9"")"),"#N/A")</f>
        <v>#N/A</v>
      </c>
      <c r="H22888" s="4" t="str">
        <v/>
      </c>
      <c r="I22888" s="4" t="str">
        <v/>
      </c>
    </row>
    <row r="22889" spans="5:9" ht="16.5" hidden="1">
      <c r="E22889" s="4" t="str">
        <v/>
      </c>
      <c r="F22889" s="102" t="str">
        <f ca="1">IFERROR(__xludf.DUMMYFUNCTION("IMPORTRANGE(H22889,""IDENTITAS UNIT!D9"")"),"#N/A")</f>
        <v>#N/A</v>
      </c>
      <c r="H22889" s="4" t="str">
        <v/>
      </c>
      <c r="I22889" s="4" t="str">
        <v/>
      </c>
    </row>
    <row r="22890" spans="5:9" ht="16.5" hidden="1">
      <c r="E22890" s="4" t="str">
        <v/>
      </c>
      <c r="F22890" s="102" t="str">
        <f ca="1">IFERROR(__xludf.DUMMYFUNCTION("IMPORTRANGE(H22890,""IDENTITAS UNIT!D9"")"),"#N/A")</f>
        <v>#N/A</v>
      </c>
      <c r="H22890" s="4" t="str">
        <v/>
      </c>
      <c r="I22890" s="4" t="str">
        <v/>
      </c>
    </row>
    <row r="22891" spans="5:9" ht="16.5" hidden="1">
      <c r="E22891" s="4" t="str">
        <v/>
      </c>
      <c r="F22891" s="102" t="str">
        <f ca="1">IFERROR(__xludf.DUMMYFUNCTION("IMPORTRANGE(H22891,""IDENTITAS UNIT!D9"")"),"#N/A")</f>
        <v>#N/A</v>
      </c>
      <c r="H22891" s="4" t="str">
        <v/>
      </c>
      <c r="I22891" s="4" t="str">
        <v/>
      </c>
    </row>
    <row r="22892" spans="5:9" ht="16.5" hidden="1">
      <c r="E22892" s="4" t="str">
        <v/>
      </c>
      <c r="F22892" s="102" t="str">
        <f ca="1">IFERROR(__xludf.DUMMYFUNCTION("IMPORTRANGE(H22892,""IDENTITAS UNIT!D9"")"),"#N/A")</f>
        <v>#N/A</v>
      </c>
      <c r="H22892" s="4" t="str">
        <v/>
      </c>
      <c r="I22892" s="4" t="str">
        <v/>
      </c>
    </row>
    <row r="22893" spans="5:9" ht="16.5" hidden="1">
      <c r="E22893" s="4" t="str">
        <v/>
      </c>
      <c r="F22893" s="102" t="str">
        <f ca="1">IFERROR(__xludf.DUMMYFUNCTION("IMPORTRANGE(H22893,""IDENTITAS UNIT!D9"")"),"#N/A")</f>
        <v>#N/A</v>
      </c>
      <c r="H22893" s="4" t="str">
        <v/>
      </c>
      <c r="I22893" s="4" t="str">
        <v/>
      </c>
    </row>
    <row r="22894" spans="5:9" ht="16.5" hidden="1">
      <c r="E22894" s="4" t="str">
        <v/>
      </c>
      <c r="F22894" s="102" t="str">
        <f ca="1">IFERROR(__xludf.DUMMYFUNCTION("IMPORTRANGE(H22894,""IDENTITAS UNIT!D9"")"),"#N/A")</f>
        <v>#N/A</v>
      </c>
      <c r="H22894" s="4" t="str">
        <v/>
      </c>
      <c r="I22894" s="4" t="str">
        <v/>
      </c>
    </row>
    <row r="22895" spans="5:9" ht="16.5" hidden="1">
      <c r="E22895" s="4" t="str">
        <v/>
      </c>
      <c r="F22895" s="102" t="str">
        <f ca="1">IFERROR(__xludf.DUMMYFUNCTION("IMPORTRANGE(H22895,""IDENTITAS UNIT!D9"")"),"#N/A")</f>
        <v>#N/A</v>
      </c>
      <c r="H22895" s="4" t="str">
        <v/>
      </c>
      <c r="I22895" s="4" t="str">
        <v/>
      </c>
    </row>
    <row r="22896" spans="5:9" ht="16.5" hidden="1">
      <c r="E22896" s="4" t="str">
        <v/>
      </c>
      <c r="F22896" s="102" t="str">
        <f ca="1">IFERROR(__xludf.DUMMYFUNCTION("IMPORTRANGE(H22896,""IDENTITAS UNIT!D9"")"),"#N/A")</f>
        <v>#N/A</v>
      </c>
      <c r="H22896" s="4" t="str">
        <v/>
      </c>
      <c r="I22896" s="4" t="str">
        <v/>
      </c>
    </row>
    <row r="22897" spans="5:9" ht="16.5" hidden="1">
      <c r="E22897" s="4" t="str">
        <v/>
      </c>
      <c r="F22897" s="102" t="str">
        <f ca="1">IFERROR(__xludf.DUMMYFUNCTION("IMPORTRANGE(H22897,""IDENTITAS UNIT!D9"")"),"#N/A")</f>
        <v>#N/A</v>
      </c>
      <c r="H22897" s="4" t="str">
        <v/>
      </c>
      <c r="I22897" s="4" t="str">
        <v/>
      </c>
    </row>
    <row r="22898" spans="5:9" ht="16.5" hidden="1">
      <c r="E22898" s="4" t="str">
        <v/>
      </c>
      <c r="F22898" s="102" t="str">
        <f ca="1">IFERROR(__xludf.DUMMYFUNCTION("IMPORTRANGE(H22898,""IDENTITAS UNIT!D9"")"),"#N/A")</f>
        <v>#N/A</v>
      </c>
      <c r="H22898" s="4" t="str">
        <v/>
      </c>
      <c r="I22898" s="4" t="str">
        <v/>
      </c>
    </row>
    <row r="22899" spans="5:9" ht="16.5" hidden="1">
      <c r="E22899" s="4" t="str">
        <v/>
      </c>
      <c r="F22899" s="102" t="str">
        <f ca="1">IFERROR(__xludf.DUMMYFUNCTION("IMPORTRANGE(H22899,""IDENTITAS UNIT!D9"")"),"#N/A")</f>
        <v>#N/A</v>
      </c>
      <c r="H22899" s="4" t="str">
        <v/>
      </c>
      <c r="I22899" s="4" t="str">
        <v/>
      </c>
    </row>
    <row r="22900" spans="5:9" ht="16.5" hidden="1">
      <c r="E22900" s="4" t="str">
        <v/>
      </c>
      <c r="F22900" s="102" t="str">
        <f ca="1">IFERROR(__xludf.DUMMYFUNCTION("IMPORTRANGE(H22900,""IDENTITAS UNIT!D9"")"),"#N/A")</f>
        <v>#N/A</v>
      </c>
      <c r="H22900" s="4" t="str">
        <v/>
      </c>
      <c r="I22900" s="4" t="str">
        <v/>
      </c>
    </row>
    <row r="22901" spans="5:9" ht="16.5" hidden="1">
      <c r="E22901" s="4" t="str">
        <v/>
      </c>
      <c r="F22901" s="102" t="str">
        <f ca="1">IFERROR(__xludf.DUMMYFUNCTION("IMPORTRANGE(H22901,""IDENTITAS UNIT!D9"")"),"#N/A")</f>
        <v>#N/A</v>
      </c>
      <c r="H22901" s="4" t="str">
        <v/>
      </c>
      <c r="I22901" s="4" t="str">
        <v/>
      </c>
    </row>
    <row r="22902" spans="5:9" ht="16.5" hidden="1">
      <c r="E22902" s="4" t="str">
        <v/>
      </c>
      <c r="F22902" s="102" t="str">
        <f ca="1">IFERROR(__xludf.DUMMYFUNCTION("IMPORTRANGE(H22902,""IDENTITAS UNIT!D9"")"),"#N/A")</f>
        <v>#N/A</v>
      </c>
      <c r="H22902" s="4" t="str">
        <v/>
      </c>
      <c r="I22902" s="4" t="str">
        <v/>
      </c>
    </row>
    <row r="22903" spans="5:9" ht="16.5" hidden="1">
      <c r="E22903" s="4" t="str">
        <v/>
      </c>
      <c r="F22903" s="102" t="str">
        <f ca="1">IFERROR(__xludf.DUMMYFUNCTION("IMPORTRANGE(H22903,""IDENTITAS UNIT!D9"")"),"#N/A")</f>
        <v>#N/A</v>
      </c>
      <c r="H22903" s="4" t="str">
        <v/>
      </c>
      <c r="I22903" s="4" t="str">
        <v/>
      </c>
    </row>
    <row r="22904" spans="5:9" ht="16.5" hidden="1">
      <c r="E22904" s="4" t="str">
        <v/>
      </c>
      <c r="F22904" s="102" t="str">
        <f ca="1">IFERROR(__xludf.DUMMYFUNCTION("IMPORTRANGE(H22904,""IDENTITAS UNIT!D9"")"),"#N/A")</f>
        <v>#N/A</v>
      </c>
      <c r="H22904" s="4" t="str">
        <v/>
      </c>
      <c r="I22904" s="4" t="str">
        <v/>
      </c>
    </row>
    <row r="22905" spans="5:9" ht="16.5" hidden="1">
      <c r="E22905" s="4" t="str">
        <v/>
      </c>
      <c r="F22905" s="102" t="str">
        <f ca="1">IFERROR(__xludf.DUMMYFUNCTION("IMPORTRANGE(H22905,""IDENTITAS UNIT!D9"")"),"#N/A")</f>
        <v>#N/A</v>
      </c>
      <c r="H22905" s="4" t="str">
        <v/>
      </c>
      <c r="I22905" s="4" t="str">
        <v/>
      </c>
    </row>
    <row r="22906" spans="5:9" ht="16.5" hidden="1">
      <c r="E22906" s="4" t="str">
        <v/>
      </c>
      <c r="F22906" s="102" t="str">
        <f ca="1">IFERROR(__xludf.DUMMYFUNCTION("IMPORTRANGE(H22906,""IDENTITAS UNIT!D9"")"),"#N/A")</f>
        <v>#N/A</v>
      </c>
      <c r="H22906" s="4" t="str">
        <v/>
      </c>
      <c r="I22906" s="4" t="str">
        <v/>
      </c>
    </row>
    <row r="22907" spans="5:9" ht="16.5" hidden="1">
      <c r="E22907" s="4" t="str">
        <v/>
      </c>
      <c r="F22907" s="102" t="str">
        <f ca="1">IFERROR(__xludf.DUMMYFUNCTION("IMPORTRANGE(H22907,""IDENTITAS UNIT!D9"")"),"#N/A")</f>
        <v>#N/A</v>
      </c>
      <c r="H22907" s="4" t="str">
        <v/>
      </c>
      <c r="I22907" s="4" t="str">
        <v/>
      </c>
    </row>
    <row r="22908" spans="5:9" ht="16.5" hidden="1">
      <c r="E22908" s="4" t="str">
        <v/>
      </c>
      <c r="F22908" s="102" t="str">
        <f ca="1">IFERROR(__xludf.DUMMYFUNCTION("IMPORTRANGE(H22908,""IDENTITAS UNIT!D9"")"),"#N/A")</f>
        <v>#N/A</v>
      </c>
      <c r="H22908" s="4" t="str">
        <v/>
      </c>
      <c r="I22908" s="4" t="str">
        <v/>
      </c>
    </row>
    <row r="22909" spans="5:9" ht="16.5" hidden="1">
      <c r="E22909" s="4" t="str">
        <v/>
      </c>
      <c r="F22909" s="102" t="str">
        <f ca="1">IFERROR(__xludf.DUMMYFUNCTION("IMPORTRANGE(H22909,""IDENTITAS UNIT!D9"")"),"#N/A")</f>
        <v>#N/A</v>
      </c>
      <c r="H22909" s="4" t="str">
        <v/>
      </c>
      <c r="I22909" s="4" t="str">
        <v/>
      </c>
    </row>
    <row r="22910" spans="5:9" ht="16.5" hidden="1">
      <c r="E22910" s="4" t="str">
        <v/>
      </c>
      <c r="F22910" s="102" t="str">
        <f ca="1">IFERROR(__xludf.DUMMYFUNCTION("IMPORTRANGE(H22910,""IDENTITAS UNIT!D9"")"),"#N/A")</f>
        <v>#N/A</v>
      </c>
      <c r="H22910" s="4" t="str">
        <v/>
      </c>
      <c r="I22910" s="4" t="str">
        <v/>
      </c>
    </row>
    <row r="22911" spans="5:9" ht="16.5" hidden="1">
      <c r="E22911" s="4" t="str">
        <v/>
      </c>
      <c r="F22911" s="102" t="str">
        <f ca="1">IFERROR(__xludf.DUMMYFUNCTION("IMPORTRANGE(H22911,""IDENTITAS UNIT!D9"")"),"#N/A")</f>
        <v>#N/A</v>
      </c>
      <c r="H22911" s="4" t="str">
        <v/>
      </c>
      <c r="I22911" s="4" t="str">
        <v/>
      </c>
    </row>
    <row r="22912" spans="5:9" ht="16.5" hidden="1">
      <c r="E22912" s="4" t="str">
        <v/>
      </c>
      <c r="F22912" s="102" t="str">
        <f ca="1">IFERROR(__xludf.DUMMYFUNCTION("IMPORTRANGE(H22912,""IDENTITAS UNIT!D9"")"),"#N/A")</f>
        <v>#N/A</v>
      </c>
      <c r="H22912" s="4" t="str">
        <v/>
      </c>
      <c r="I22912" s="4" t="str">
        <v/>
      </c>
    </row>
    <row r="22913" spans="5:9" ht="16.5" hidden="1">
      <c r="E22913" s="4" t="str">
        <v/>
      </c>
      <c r="F22913" s="102" t="str">
        <f ca="1">IFERROR(__xludf.DUMMYFUNCTION("IMPORTRANGE(H22913,""IDENTITAS UNIT!D9"")"),"#N/A")</f>
        <v>#N/A</v>
      </c>
      <c r="H22913" s="4" t="str">
        <v/>
      </c>
      <c r="I22913" s="4" t="str">
        <v/>
      </c>
    </row>
    <row r="22914" spans="5:9" ht="16.5" hidden="1">
      <c r="E22914" s="4" t="str">
        <v/>
      </c>
      <c r="F22914" s="102" t="str">
        <f ca="1">IFERROR(__xludf.DUMMYFUNCTION("IMPORTRANGE(H22914,""IDENTITAS UNIT!D9"")"),"#N/A")</f>
        <v>#N/A</v>
      </c>
      <c r="H22914" s="4" t="str">
        <v/>
      </c>
      <c r="I22914" s="4" t="str">
        <v/>
      </c>
    </row>
    <row r="22915" spans="5:9" ht="16.5" hidden="1">
      <c r="E22915" s="4" t="str">
        <v/>
      </c>
      <c r="F22915" s="102" t="str">
        <f ca="1">IFERROR(__xludf.DUMMYFUNCTION("IMPORTRANGE(H22915,""IDENTITAS UNIT!D9"")"),"#N/A")</f>
        <v>#N/A</v>
      </c>
      <c r="H22915" s="4" t="str">
        <v/>
      </c>
      <c r="I22915" s="4" t="str">
        <v/>
      </c>
    </row>
    <row r="22916" spans="5:9" ht="16.5" hidden="1">
      <c r="E22916" s="4" t="str">
        <v/>
      </c>
      <c r="F22916" s="102" t="str">
        <f ca="1">IFERROR(__xludf.DUMMYFUNCTION("IMPORTRANGE(H22916,""IDENTITAS UNIT!D9"")"),"#N/A")</f>
        <v>#N/A</v>
      </c>
      <c r="H22916" s="4" t="str">
        <v/>
      </c>
      <c r="I22916" s="4" t="str">
        <v/>
      </c>
    </row>
    <row r="22917" spans="5:9" ht="16.5" hidden="1">
      <c r="E22917" s="4" t="str">
        <v/>
      </c>
      <c r="F22917" s="102" t="str">
        <f ca="1">IFERROR(__xludf.DUMMYFUNCTION("IMPORTRANGE(H22917,""IDENTITAS UNIT!D9"")"),"#N/A")</f>
        <v>#N/A</v>
      </c>
      <c r="H22917" s="4" t="str">
        <v/>
      </c>
      <c r="I22917" s="4" t="str">
        <v/>
      </c>
    </row>
    <row r="22918" spans="5:9" ht="16.5" hidden="1">
      <c r="E22918" s="4" t="str">
        <v/>
      </c>
      <c r="F22918" s="102" t="str">
        <f ca="1">IFERROR(__xludf.DUMMYFUNCTION("IMPORTRANGE(H22918,""IDENTITAS UNIT!D9"")"),"#N/A")</f>
        <v>#N/A</v>
      </c>
      <c r="H22918" s="4" t="str">
        <v/>
      </c>
      <c r="I22918" s="4" t="str">
        <v/>
      </c>
    </row>
    <row r="22919" spans="5:9" ht="16.5" hidden="1">
      <c r="E22919" s="4" t="str">
        <v/>
      </c>
      <c r="F22919" s="102" t="str">
        <f ca="1">IFERROR(__xludf.DUMMYFUNCTION("IMPORTRANGE(H22919,""IDENTITAS UNIT!D9"")"),"#N/A")</f>
        <v>#N/A</v>
      </c>
      <c r="H22919" s="4" t="str">
        <v/>
      </c>
      <c r="I22919" s="4" t="str">
        <v/>
      </c>
    </row>
    <row r="22920" spans="5:9" ht="16.5" hidden="1">
      <c r="E22920" s="4" t="str">
        <v/>
      </c>
      <c r="F22920" s="102" t="str">
        <f ca="1">IFERROR(__xludf.DUMMYFUNCTION("IMPORTRANGE(H22920,""IDENTITAS UNIT!D9"")"),"#N/A")</f>
        <v>#N/A</v>
      </c>
      <c r="H22920" s="4" t="str">
        <v/>
      </c>
      <c r="I22920" s="4" t="str">
        <v/>
      </c>
    </row>
    <row r="22921" spans="5:9" ht="16.5" hidden="1">
      <c r="E22921" s="4" t="str">
        <v/>
      </c>
      <c r="F22921" s="102" t="str">
        <f ca="1">IFERROR(__xludf.DUMMYFUNCTION("IMPORTRANGE(H22921,""IDENTITAS UNIT!D9"")"),"#N/A")</f>
        <v>#N/A</v>
      </c>
      <c r="H22921" s="4" t="str">
        <v/>
      </c>
      <c r="I22921" s="4" t="str">
        <v/>
      </c>
    </row>
    <row r="22922" spans="5:9" ht="16.5" hidden="1">
      <c r="E22922" s="4" t="str">
        <v/>
      </c>
      <c r="F22922" s="102" t="str">
        <f ca="1">IFERROR(__xludf.DUMMYFUNCTION("IMPORTRANGE(H22922,""IDENTITAS UNIT!D9"")"),"#N/A")</f>
        <v>#N/A</v>
      </c>
      <c r="H22922" s="4" t="str">
        <v/>
      </c>
      <c r="I22922" s="4" t="str">
        <v/>
      </c>
    </row>
    <row r="22923" spans="5:9" ht="16.5" hidden="1">
      <c r="E22923" s="4" t="str">
        <v/>
      </c>
      <c r="F22923" s="102" t="str">
        <f ca="1">IFERROR(__xludf.DUMMYFUNCTION("IMPORTRANGE(H22923,""IDENTITAS UNIT!D9"")"),"#N/A")</f>
        <v>#N/A</v>
      </c>
      <c r="H22923" s="4" t="str">
        <v/>
      </c>
      <c r="I22923" s="4" t="str">
        <v/>
      </c>
    </row>
    <row r="22924" spans="5:9" ht="16.5" hidden="1">
      <c r="E22924" s="4" t="str">
        <v/>
      </c>
      <c r="F22924" s="102" t="str">
        <f ca="1">IFERROR(__xludf.DUMMYFUNCTION("IMPORTRANGE(H22924,""IDENTITAS UNIT!D9"")"),"#N/A")</f>
        <v>#N/A</v>
      </c>
      <c r="H22924" s="4" t="str">
        <v/>
      </c>
      <c r="I22924" s="4" t="str">
        <v/>
      </c>
    </row>
    <row r="22925" spans="5:9" ht="16.5" hidden="1">
      <c r="E22925" s="4" t="str">
        <v/>
      </c>
      <c r="F22925" s="102" t="str">
        <f ca="1">IFERROR(__xludf.DUMMYFUNCTION("IMPORTRANGE(H22925,""IDENTITAS UNIT!D9"")"),"#N/A")</f>
        <v>#N/A</v>
      </c>
      <c r="H22925" s="4" t="str">
        <v/>
      </c>
      <c r="I22925" s="4" t="str">
        <v/>
      </c>
    </row>
    <row r="22926" spans="5:9" ht="16.5" hidden="1">
      <c r="E22926" s="4" t="str">
        <v/>
      </c>
      <c r="F22926" s="102" t="str">
        <f ca="1">IFERROR(__xludf.DUMMYFUNCTION("IMPORTRANGE(H22926,""IDENTITAS UNIT!D9"")"),"#N/A")</f>
        <v>#N/A</v>
      </c>
      <c r="H22926" s="4" t="str">
        <v/>
      </c>
      <c r="I22926" s="4" t="str">
        <v/>
      </c>
    </row>
    <row r="22927" spans="5:9" ht="16.5" hidden="1">
      <c r="E22927" s="4" t="str">
        <v/>
      </c>
      <c r="F22927" s="102" t="str">
        <f ca="1">IFERROR(__xludf.DUMMYFUNCTION("IMPORTRANGE(H22927,""IDENTITAS UNIT!D9"")"),"#N/A")</f>
        <v>#N/A</v>
      </c>
      <c r="H22927" s="4" t="str">
        <v/>
      </c>
      <c r="I22927" s="4" t="str">
        <v/>
      </c>
    </row>
    <row r="22928" spans="5:9" ht="16.5" hidden="1">
      <c r="E22928" s="4" t="str">
        <v/>
      </c>
      <c r="F22928" s="102" t="str">
        <f ca="1">IFERROR(__xludf.DUMMYFUNCTION("IMPORTRANGE(H22928,""IDENTITAS UNIT!D9"")"),"#N/A")</f>
        <v>#N/A</v>
      </c>
      <c r="H22928" s="4" t="str">
        <v/>
      </c>
      <c r="I22928" s="4" t="str">
        <v/>
      </c>
    </row>
    <row r="22929" spans="5:9" ht="16.5" hidden="1">
      <c r="E22929" s="4" t="str">
        <v/>
      </c>
      <c r="F22929" s="102" t="str">
        <f ca="1">IFERROR(__xludf.DUMMYFUNCTION("IMPORTRANGE(H22929,""IDENTITAS UNIT!D9"")"),"#N/A")</f>
        <v>#N/A</v>
      </c>
      <c r="H22929" s="4" t="str">
        <v/>
      </c>
      <c r="I22929" s="4" t="str">
        <v/>
      </c>
    </row>
    <row r="22930" spans="5:9" ht="16.5" hidden="1">
      <c r="E22930" s="4" t="str">
        <v/>
      </c>
      <c r="F22930" s="102" t="str">
        <f ca="1">IFERROR(__xludf.DUMMYFUNCTION("IMPORTRANGE(H22930,""IDENTITAS UNIT!D9"")"),"#N/A")</f>
        <v>#N/A</v>
      </c>
      <c r="H22930" s="4" t="str">
        <v/>
      </c>
      <c r="I22930" s="4" t="str">
        <v/>
      </c>
    </row>
    <row r="22931" spans="5:9" ht="16.5" hidden="1">
      <c r="E22931" s="4" t="str">
        <v/>
      </c>
      <c r="F22931" s="102" t="str">
        <f ca="1">IFERROR(__xludf.DUMMYFUNCTION("IMPORTRANGE(H22931,""IDENTITAS UNIT!D9"")"),"#N/A")</f>
        <v>#N/A</v>
      </c>
      <c r="H22931" s="4" t="str">
        <v/>
      </c>
      <c r="I22931" s="4" t="str">
        <v/>
      </c>
    </row>
    <row r="22932" spans="5:9" ht="16.5" hidden="1">
      <c r="E22932" s="4" t="str">
        <v/>
      </c>
      <c r="F22932" s="102" t="str">
        <f ca="1">IFERROR(__xludf.DUMMYFUNCTION("IMPORTRANGE(H22932,""IDENTITAS UNIT!D9"")"),"#N/A")</f>
        <v>#N/A</v>
      </c>
      <c r="H22932" s="4" t="str">
        <v/>
      </c>
      <c r="I22932" s="4" t="str">
        <v/>
      </c>
    </row>
    <row r="22933" spans="5:9" ht="16.5" hidden="1">
      <c r="E22933" s="4" t="str">
        <v/>
      </c>
      <c r="F22933" s="102" t="str">
        <f ca="1">IFERROR(__xludf.DUMMYFUNCTION("IMPORTRANGE(H22933,""IDENTITAS UNIT!D9"")"),"#N/A")</f>
        <v>#N/A</v>
      </c>
      <c r="H22933" s="4" t="str">
        <v/>
      </c>
      <c r="I22933" s="4" t="str">
        <v/>
      </c>
    </row>
    <row r="22934" spans="5:9" ht="16.5" hidden="1">
      <c r="E22934" s="4" t="str">
        <v/>
      </c>
      <c r="F22934" s="102" t="str">
        <f ca="1">IFERROR(__xludf.DUMMYFUNCTION("IMPORTRANGE(H22934,""IDENTITAS UNIT!D9"")"),"#N/A")</f>
        <v>#N/A</v>
      </c>
      <c r="H22934" s="4" t="str">
        <v/>
      </c>
      <c r="I22934" s="4" t="str">
        <v/>
      </c>
    </row>
    <row r="22935" spans="5:9" ht="16.5" hidden="1">
      <c r="E22935" s="4" t="str">
        <v/>
      </c>
      <c r="F22935" s="102" t="str">
        <f ca="1">IFERROR(__xludf.DUMMYFUNCTION("IMPORTRANGE(H22935,""IDENTITAS UNIT!D9"")"),"#N/A")</f>
        <v>#N/A</v>
      </c>
      <c r="H22935" s="4" t="str">
        <v/>
      </c>
      <c r="I22935" s="4" t="str">
        <v/>
      </c>
    </row>
    <row r="22936" spans="5:9" ht="16.5" hidden="1">
      <c r="E22936" s="4" t="str">
        <v/>
      </c>
      <c r="F22936" s="102" t="str">
        <f ca="1">IFERROR(__xludf.DUMMYFUNCTION("IMPORTRANGE(H22936,""IDENTITAS UNIT!D9"")"),"#N/A")</f>
        <v>#N/A</v>
      </c>
      <c r="H22936" s="4" t="str">
        <v/>
      </c>
      <c r="I22936" s="4" t="str">
        <v/>
      </c>
    </row>
    <row r="22937" spans="5:9" ht="16.5" hidden="1">
      <c r="E22937" s="4" t="str">
        <v/>
      </c>
      <c r="F22937" s="102" t="str">
        <f ca="1">IFERROR(__xludf.DUMMYFUNCTION("IMPORTRANGE(H22937,""IDENTITAS UNIT!D9"")"),"#N/A")</f>
        <v>#N/A</v>
      </c>
      <c r="H22937" s="4" t="str">
        <v/>
      </c>
      <c r="I22937" s="4" t="str">
        <v/>
      </c>
    </row>
    <row r="22938" spans="5:9" ht="16.5" hidden="1">
      <c r="E22938" s="4" t="str">
        <v/>
      </c>
      <c r="F22938" s="102" t="str">
        <f ca="1">IFERROR(__xludf.DUMMYFUNCTION("IMPORTRANGE(H22938,""IDENTITAS UNIT!D9"")"),"#N/A")</f>
        <v>#N/A</v>
      </c>
      <c r="H22938" s="4" t="str">
        <v/>
      </c>
      <c r="I22938" s="4" t="str">
        <v/>
      </c>
    </row>
    <row r="22939" spans="5:9" ht="16.5" hidden="1">
      <c r="E22939" s="4" t="str">
        <v/>
      </c>
      <c r="F22939" s="102" t="str">
        <f ca="1">IFERROR(__xludf.DUMMYFUNCTION("IMPORTRANGE(H22939,""IDENTITAS UNIT!D9"")"),"#N/A")</f>
        <v>#N/A</v>
      </c>
      <c r="H22939" s="4" t="str">
        <v/>
      </c>
      <c r="I22939" s="4" t="str">
        <v/>
      </c>
    </row>
    <row r="22940" spans="5:9" ht="16.5" hidden="1">
      <c r="E22940" s="4" t="str">
        <v/>
      </c>
      <c r="F22940" s="102" t="str">
        <f ca="1">IFERROR(__xludf.DUMMYFUNCTION("IMPORTRANGE(H22940,""IDENTITAS UNIT!D9"")"),"#N/A")</f>
        <v>#N/A</v>
      </c>
      <c r="H22940" s="4" t="str">
        <v/>
      </c>
      <c r="I22940" s="4" t="str">
        <v/>
      </c>
    </row>
    <row r="22941" spans="5:9" ht="16.5" hidden="1">
      <c r="E22941" s="4" t="str">
        <v/>
      </c>
      <c r="F22941" s="102" t="str">
        <f ca="1">IFERROR(__xludf.DUMMYFUNCTION("IMPORTRANGE(H22941,""IDENTITAS UNIT!D9"")"),"#N/A")</f>
        <v>#N/A</v>
      </c>
      <c r="H22941" s="4" t="str">
        <v/>
      </c>
      <c r="I22941" s="4" t="str">
        <v/>
      </c>
    </row>
    <row r="22942" spans="5:9" ht="16.5" hidden="1">
      <c r="E22942" s="4" t="str">
        <v/>
      </c>
      <c r="F22942" s="102" t="str">
        <f ca="1">IFERROR(__xludf.DUMMYFUNCTION("IMPORTRANGE(H22942,""IDENTITAS UNIT!D9"")"),"#N/A")</f>
        <v>#N/A</v>
      </c>
      <c r="H22942" s="4" t="str">
        <v/>
      </c>
      <c r="I22942" s="4" t="str">
        <v/>
      </c>
    </row>
    <row r="22943" spans="5:9" ht="16.5" hidden="1">
      <c r="E22943" s="4" t="str">
        <v/>
      </c>
      <c r="F22943" s="102" t="str">
        <f ca="1">IFERROR(__xludf.DUMMYFUNCTION("IMPORTRANGE(H22943,""IDENTITAS UNIT!D9"")"),"#N/A")</f>
        <v>#N/A</v>
      </c>
      <c r="H22943" s="4" t="str">
        <v/>
      </c>
      <c r="I22943" s="4" t="str">
        <v/>
      </c>
    </row>
    <row r="22944" spans="5:9" ht="16.5" hidden="1">
      <c r="E22944" s="4" t="str">
        <v/>
      </c>
      <c r="F22944" s="102" t="str">
        <f ca="1">IFERROR(__xludf.DUMMYFUNCTION("IMPORTRANGE(H22944,""IDENTITAS UNIT!D9"")"),"#N/A")</f>
        <v>#N/A</v>
      </c>
      <c r="H22944" s="4" t="str">
        <v/>
      </c>
      <c r="I22944" s="4" t="str">
        <v/>
      </c>
    </row>
    <row r="22945" spans="5:9" ht="16.5" hidden="1">
      <c r="E22945" s="4" t="str">
        <v/>
      </c>
      <c r="F22945" s="102" t="str">
        <f ca="1">IFERROR(__xludf.DUMMYFUNCTION("IMPORTRANGE(H22945,""IDENTITAS UNIT!D9"")"),"#N/A")</f>
        <v>#N/A</v>
      </c>
      <c r="H22945" s="4" t="str">
        <v/>
      </c>
      <c r="I22945" s="4" t="str">
        <v/>
      </c>
    </row>
    <row r="22946" spans="5:9" ht="16.5" hidden="1">
      <c r="E22946" s="4" t="str">
        <v/>
      </c>
      <c r="F22946" s="102" t="str">
        <f ca="1">IFERROR(__xludf.DUMMYFUNCTION("IMPORTRANGE(H22946,""IDENTITAS UNIT!D9"")"),"#N/A")</f>
        <v>#N/A</v>
      </c>
      <c r="H22946" s="4" t="str">
        <v/>
      </c>
      <c r="I22946" s="4" t="str">
        <v/>
      </c>
    </row>
    <row r="22947" spans="5:9" ht="16.5" hidden="1">
      <c r="E22947" s="4" t="str">
        <v/>
      </c>
      <c r="F22947" s="102" t="str">
        <f ca="1">IFERROR(__xludf.DUMMYFUNCTION("IMPORTRANGE(H22947,""IDENTITAS UNIT!D9"")"),"#N/A")</f>
        <v>#N/A</v>
      </c>
      <c r="H22947" s="4" t="str">
        <v/>
      </c>
      <c r="I22947" s="4" t="str">
        <v/>
      </c>
    </row>
    <row r="22948" spans="5:9" ht="16.5" hidden="1">
      <c r="E22948" s="4" t="str">
        <v/>
      </c>
      <c r="F22948" s="102" t="str">
        <f ca="1">IFERROR(__xludf.DUMMYFUNCTION("IMPORTRANGE(H22948,""IDENTITAS UNIT!D9"")"),"#N/A")</f>
        <v>#N/A</v>
      </c>
      <c r="H22948" s="4" t="str">
        <v/>
      </c>
      <c r="I22948" s="4" t="str">
        <v/>
      </c>
    </row>
    <row r="22949" spans="5:9" ht="16.5" hidden="1">
      <c r="E22949" s="4" t="str">
        <v/>
      </c>
      <c r="F22949" s="102" t="str">
        <f ca="1">IFERROR(__xludf.DUMMYFUNCTION("IMPORTRANGE(H22949,""IDENTITAS UNIT!D9"")"),"#N/A")</f>
        <v>#N/A</v>
      </c>
      <c r="H22949" s="4" t="str">
        <v/>
      </c>
      <c r="I22949" s="4" t="str">
        <v/>
      </c>
    </row>
    <row r="22950" spans="5:9" ht="16.5" hidden="1">
      <c r="E22950" s="4" t="str">
        <v/>
      </c>
      <c r="F22950" s="102" t="str">
        <f ca="1">IFERROR(__xludf.DUMMYFUNCTION("IMPORTRANGE(H22950,""IDENTITAS UNIT!D9"")"),"#N/A")</f>
        <v>#N/A</v>
      </c>
      <c r="H22950" s="4" t="str">
        <v/>
      </c>
      <c r="I22950" s="4" t="str">
        <v/>
      </c>
    </row>
    <row r="22951" spans="5:9" ht="16.5" hidden="1">
      <c r="E22951" s="4" t="str">
        <v/>
      </c>
      <c r="F22951" s="102" t="str">
        <f ca="1">IFERROR(__xludf.DUMMYFUNCTION("IMPORTRANGE(H22951,""IDENTITAS UNIT!D9"")"),"#N/A")</f>
        <v>#N/A</v>
      </c>
      <c r="H22951" s="4" t="str">
        <v/>
      </c>
      <c r="I22951" s="4" t="str">
        <v/>
      </c>
    </row>
    <row r="22952" spans="5:9" ht="16.5" hidden="1">
      <c r="E22952" s="4" t="str">
        <v/>
      </c>
      <c r="F22952" s="102" t="str">
        <f ca="1">IFERROR(__xludf.DUMMYFUNCTION("IMPORTRANGE(H22952,""IDENTITAS UNIT!D9"")"),"#N/A")</f>
        <v>#N/A</v>
      </c>
      <c r="H22952" s="4" t="str">
        <v/>
      </c>
      <c r="I22952" s="4" t="str">
        <v/>
      </c>
    </row>
    <row r="22953" spans="5:9" ht="16.5" hidden="1">
      <c r="E22953" s="4" t="str">
        <v/>
      </c>
      <c r="F22953" s="102" t="str">
        <f ca="1">IFERROR(__xludf.DUMMYFUNCTION("IMPORTRANGE(H22953,""IDENTITAS UNIT!D9"")"),"#N/A")</f>
        <v>#N/A</v>
      </c>
      <c r="H22953" s="4" t="str">
        <v/>
      </c>
      <c r="I22953" s="4" t="str">
        <v/>
      </c>
    </row>
    <row r="22954" spans="5:9" ht="16.5" hidden="1">
      <c r="E22954" s="4" t="str">
        <v/>
      </c>
      <c r="F22954" s="102" t="str">
        <f ca="1">IFERROR(__xludf.DUMMYFUNCTION("IMPORTRANGE(H22954,""IDENTITAS UNIT!D9"")"),"#N/A")</f>
        <v>#N/A</v>
      </c>
      <c r="H22954" s="4" t="str">
        <v/>
      </c>
      <c r="I22954" s="4" t="str">
        <v/>
      </c>
    </row>
    <row r="22955" spans="5:9" ht="16.5" hidden="1">
      <c r="E22955" s="4" t="str">
        <v/>
      </c>
      <c r="F22955" s="102" t="str">
        <f ca="1">IFERROR(__xludf.DUMMYFUNCTION("IMPORTRANGE(H22955,""IDENTITAS UNIT!D9"")"),"#N/A")</f>
        <v>#N/A</v>
      </c>
      <c r="H22955" s="4" t="str">
        <v/>
      </c>
      <c r="I22955" s="4" t="str">
        <v/>
      </c>
    </row>
    <row r="22956" spans="5:9" ht="16.5" hidden="1">
      <c r="E22956" s="4" t="str">
        <v/>
      </c>
      <c r="F22956" s="102" t="str">
        <f ca="1">IFERROR(__xludf.DUMMYFUNCTION("IMPORTRANGE(H22956,""IDENTITAS UNIT!D9"")"),"#N/A")</f>
        <v>#N/A</v>
      </c>
      <c r="H22956" s="4" t="str">
        <v/>
      </c>
      <c r="I22956" s="4" t="str">
        <v/>
      </c>
    </row>
    <row r="22957" spans="5:9" ht="16.5" hidden="1">
      <c r="E22957" s="4" t="str">
        <v/>
      </c>
      <c r="F22957" s="102" t="str">
        <f ca="1">IFERROR(__xludf.DUMMYFUNCTION("IMPORTRANGE(H22957,""IDENTITAS UNIT!D9"")"),"#N/A")</f>
        <v>#N/A</v>
      </c>
      <c r="H22957" s="4" t="str">
        <v/>
      </c>
      <c r="I22957" s="4" t="str">
        <v/>
      </c>
    </row>
    <row r="22958" spans="5:9" ht="16.5" hidden="1">
      <c r="E22958" s="4" t="str">
        <v/>
      </c>
      <c r="F22958" s="102" t="str">
        <f ca="1">IFERROR(__xludf.DUMMYFUNCTION("IMPORTRANGE(H22958,""IDENTITAS UNIT!D9"")"),"#N/A")</f>
        <v>#N/A</v>
      </c>
      <c r="H22958" s="4" t="str">
        <v/>
      </c>
      <c r="I22958" s="4" t="str">
        <v/>
      </c>
    </row>
    <row r="22959" spans="5:9" ht="16.5" hidden="1">
      <c r="E22959" s="4" t="str">
        <v/>
      </c>
      <c r="F22959" s="102" t="str">
        <f ca="1">IFERROR(__xludf.DUMMYFUNCTION("IMPORTRANGE(H22959,""IDENTITAS UNIT!D9"")"),"#N/A")</f>
        <v>#N/A</v>
      </c>
      <c r="H22959" s="4" t="str">
        <v/>
      </c>
      <c r="I22959" s="4" t="str">
        <v/>
      </c>
    </row>
    <row r="22960" spans="5:9" ht="16.5" hidden="1">
      <c r="E22960" s="4" t="str">
        <v/>
      </c>
      <c r="F22960" s="102" t="str">
        <f ca="1">IFERROR(__xludf.DUMMYFUNCTION("IMPORTRANGE(H22960,""IDENTITAS UNIT!D9"")"),"#N/A")</f>
        <v>#N/A</v>
      </c>
      <c r="H22960" s="4" t="str">
        <v/>
      </c>
      <c r="I22960" s="4" t="str">
        <v/>
      </c>
    </row>
    <row r="22961" spans="5:9" ht="16.5" hidden="1">
      <c r="E22961" s="4" t="str">
        <v/>
      </c>
      <c r="F22961" s="102" t="str">
        <f ca="1">IFERROR(__xludf.DUMMYFUNCTION("IMPORTRANGE(H22961,""IDENTITAS UNIT!D9"")"),"#N/A")</f>
        <v>#N/A</v>
      </c>
      <c r="H22961" s="4" t="str">
        <v/>
      </c>
      <c r="I22961" s="4" t="str">
        <v/>
      </c>
    </row>
    <row r="22962" spans="5:9" ht="16.5" hidden="1">
      <c r="E22962" s="4" t="str">
        <v/>
      </c>
      <c r="F22962" s="102" t="str">
        <f ca="1">IFERROR(__xludf.DUMMYFUNCTION("IMPORTRANGE(H22962,""IDENTITAS UNIT!D9"")"),"#N/A")</f>
        <v>#N/A</v>
      </c>
      <c r="H22962" s="4" t="str">
        <v/>
      </c>
      <c r="I22962" s="4" t="str">
        <v/>
      </c>
    </row>
    <row r="22963" spans="5:9" ht="16.5" hidden="1">
      <c r="E22963" s="4" t="str">
        <v/>
      </c>
      <c r="F22963" s="102" t="str">
        <f ca="1">IFERROR(__xludf.DUMMYFUNCTION("IMPORTRANGE(H22963,""IDENTITAS UNIT!D9"")"),"#N/A")</f>
        <v>#N/A</v>
      </c>
      <c r="H22963" s="4" t="str">
        <v/>
      </c>
      <c r="I22963" s="4" t="str">
        <v/>
      </c>
    </row>
    <row r="22964" spans="5:9" ht="16.5" hidden="1">
      <c r="E22964" s="4" t="str">
        <v/>
      </c>
      <c r="F22964" s="102" t="str">
        <f ca="1">IFERROR(__xludf.DUMMYFUNCTION("IMPORTRANGE(H22964,""IDENTITAS UNIT!D9"")"),"#N/A")</f>
        <v>#N/A</v>
      </c>
      <c r="H22964" s="4" t="str">
        <v/>
      </c>
      <c r="I22964" s="4" t="str">
        <v/>
      </c>
    </row>
    <row r="22965" spans="5:9" ht="16.5" hidden="1">
      <c r="E22965" s="4" t="str">
        <v/>
      </c>
      <c r="F22965" s="102" t="str">
        <f ca="1">IFERROR(__xludf.DUMMYFUNCTION("IMPORTRANGE(H22965,""IDENTITAS UNIT!D9"")"),"#N/A")</f>
        <v>#N/A</v>
      </c>
      <c r="H22965" s="4" t="str">
        <v/>
      </c>
      <c r="I22965" s="4" t="str">
        <v/>
      </c>
    </row>
    <row r="22966" spans="5:9" ht="16.5" hidden="1">
      <c r="E22966" s="4" t="str">
        <v/>
      </c>
      <c r="F22966" s="102" t="str">
        <f ca="1">IFERROR(__xludf.DUMMYFUNCTION("IMPORTRANGE(H22966,""IDENTITAS UNIT!D9"")"),"#N/A")</f>
        <v>#N/A</v>
      </c>
      <c r="H22966" s="4" t="str">
        <v/>
      </c>
      <c r="I22966" s="4" t="str">
        <v/>
      </c>
    </row>
    <row r="22967" spans="5:9" ht="16.5" hidden="1">
      <c r="E22967" s="4" t="str">
        <v/>
      </c>
      <c r="F22967" s="102" t="str">
        <f ca="1">IFERROR(__xludf.DUMMYFUNCTION("IMPORTRANGE(H22967,""IDENTITAS UNIT!D9"")"),"#N/A")</f>
        <v>#N/A</v>
      </c>
      <c r="H22967" s="4" t="str">
        <v/>
      </c>
      <c r="I22967" s="4" t="str">
        <v/>
      </c>
    </row>
    <row r="22968" spans="5:9" ht="16.5" hidden="1">
      <c r="E22968" s="4" t="str">
        <v/>
      </c>
      <c r="F22968" s="102" t="str">
        <f ca="1">IFERROR(__xludf.DUMMYFUNCTION("IMPORTRANGE(H22968,""IDENTITAS UNIT!D9"")"),"#N/A")</f>
        <v>#N/A</v>
      </c>
      <c r="H22968" s="4" t="str">
        <v/>
      </c>
      <c r="I22968" s="4" t="str">
        <v/>
      </c>
    </row>
    <row r="22969" spans="5:9" ht="16.5" hidden="1">
      <c r="E22969" s="4" t="str">
        <v/>
      </c>
      <c r="F22969" s="102" t="str">
        <f ca="1">IFERROR(__xludf.DUMMYFUNCTION("IMPORTRANGE(H22969,""IDENTITAS UNIT!D9"")"),"#N/A")</f>
        <v>#N/A</v>
      </c>
      <c r="H22969" s="4" t="str">
        <v/>
      </c>
      <c r="I22969" s="4" t="str">
        <v/>
      </c>
    </row>
    <row r="22970" spans="5:9" ht="16.5" hidden="1">
      <c r="E22970" s="4" t="str">
        <v/>
      </c>
      <c r="F22970" s="102" t="str">
        <f ca="1">IFERROR(__xludf.DUMMYFUNCTION("IMPORTRANGE(H22970,""IDENTITAS UNIT!D9"")"),"#N/A")</f>
        <v>#N/A</v>
      </c>
      <c r="H22970" s="4" t="str">
        <v/>
      </c>
      <c r="I22970" s="4" t="str">
        <v/>
      </c>
    </row>
    <row r="22971" spans="5:9" ht="16.5" hidden="1">
      <c r="E22971" s="4" t="str">
        <v/>
      </c>
      <c r="F22971" s="102" t="str">
        <f ca="1">IFERROR(__xludf.DUMMYFUNCTION("IMPORTRANGE(H22971,""IDENTITAS UNIT!D9"")"),"#N/A")</f>
        <v>#N/A</v>
      </c>
      <c r="H22971" s="4" t="str">
        <v/>
      </c>
      <c r="I22971" s="4" t="str">
        <v/>
      </c>
    </row>
    <row r="22972" spans="5:9" ht="16.5" hidden="1">
      <c r="E22972" s="4" t="str">
        <v/>
      </c>
      <c r="F22972" s="102" t="str">
        <f ca="1">IFERROR(__xludf.DUMMYFUNCTION("IMPORTRANGE(H22972,""IDENTITAS UNIT!D9"")"),"#N/A")</f>
        <v>#N/A</v>
      </c>
      <c r="H22972" s="4" t="str">
        <v/>
      </c>
      <c r="I22972" s="4" t="str">
        <v/>
      </c>
    </row>
    <row r="22973" spans="5:9" ht="16.5" hidden="1">
      <c r="E22973" s="4" t="str">
        <v/>
      </c>
      <c r="F22973" s="102" t="str">
        <f ca="1">IFERROR(__xludf.DUMMYFUNCTION("IMPORTRANGE(H22973,""IDENTITAS UNIT!D9"")"),"#N/A")</f>
        <v>#N/A</v>
      </c>
      <c r="H22973" s="4" t="str">
        <v/>
      </c>
      <c r="I22973" s="4" t="str">
        <v/>
      </c>
    </row>
    <row r="22974" spans="5:9" ht="16.5" hidden="1">
      <c r="E22974" s="4" t="str">
        <v/>
      </c>
      <c r="F22974" s="102" t="str">
        <f ca="1">IFERROR(__xludf.DUMMYFUNCTION("IMPORTRANGE(H22974,""IDENTITAS UNIT!D9"")"),"#N/A")</f>
        <v>#N/A</v>
      </c>
      <c r="H22974" s="4" t="str">
        <v/>
      </c>
      <c r="I22974" s="4" t="str">
        <v/>
      </c>
    </row>
    <row r="22975" spans="5:9" ht="16.5" hidden="1">
      <c r="E22975" s="4" t="str">
        <v/>
      </c>
      <c r="F22975" s="102" t="str">
        <f ca="1">IFERROR(__xludf.DUMMYFUNCTION("IMPORTRANGE(H22975,""IDENTITAS UNIT!D9"")"),"#N/A")</f>
        <v>#N/A</v>
      </c>
      <c r="H22975" s="4" t="str">
        <v/>
      </c>
      <c r="I22975" s="4" t="str">
        <v/>
      </c>
    </row>
    <row r="22976" spans="5:9" ht="16.5" hidden="1">
      <c r="E22976" s="4" t="str">
        <v/>
      </c>
      <c r="F22976" s="102" t="str">
        <f ca="1">IFERROR(__xludf.DUMMYFUNCTION("IMPORTRANGE(H22976,""IDENTITAS UNIT!D9"")"),"#N/A")</f>
        <v>#N/A</v>
      </c>
      <c r="H22976" s="4" t="str">
        <v/>
      </c>
      <c r="I22976" s="4" t="str">
        <v/>
      </c>
    </row>
    <row r="22977" spans="5:9" ht="16.5" hidden="1">
      <c r="E22977" s="4" t="str">
        <v/>
      </c>
      <c r="F22977" s="102" t="str">
        <f ca="1">IFERROR(__xludf.DUMMYFUNCTION("IMPORTRANGE(H22977,""IDENTITAS UNIT!D9"")"),"#N/A")</f>
        <v>#N/A</v>
      </c>
      <c r="H22977" s="4" t="str">
        <v/>
      </c>
      <c r="I22977" s="4" t="str">
        <v/>
      </c>
    </row>
    <row r="22978" spans="5:9" ht="16.5" hidden="1">
      <c r="E22978" s="4" t="str">
        <v/>
      </c>
      <c r="F22978" s="102" t="str">
        <f ca="1">IFERROR(__xludf.DUMMYFUNCTION("IMPORTRANGE(H22978,""IDENTITAS UNIT!D9"")"),"#N/A")</f>
        <v>#N/A</v>
      </c>
      <c r="H22978" s="4" t="str">
        <v/>
      </c>
      <c r="I22978" s="4" t="str">
        <v/>
      </c>
    </row>
    <row r="22979" spans="5:9" ht="16.5" hidden="1">
      <c r="E22979" s="4" t="str">
        <v/>
      </c>
      <c r="F22979" s="102" t="str">
        <f ca="1">IFERROR(__xludf.DUMMYFUNCTION("IMPORTRANGE(H22979,""IDENTITAS UNIT!D9"")"),"#N/A")</f>
        <v>#N/A</v>
      </c>
      <c r="H22979" s="4" t="str">
        <v/>
      </c>
      <c r="I22979" s="4" t="str">
        <v/>
      </c>
    </row>
    <row r="22980" spans="5:9" ht="16.5" hidden="1">
      <c r="E22980" s="4" t="str">
        <v/>
      </c>
      <c r="F22980" s="102" t="str">
        <f ca="1">IFERROR(__xludf.DUMMYFUNCTION("IMPORTRANGE(H22980,""IDENTITAS UNIT!D9"")"),"#N/A")</f>
        <v>#N/A</v>
      </c>
      <c r="H22980" s="4" t="str">
        <v/>
      </c>
      <c r="I22980" s="4" t="str">
        <v/>
      </c>
    </row>
    <row r="22981" spans="5:9" ht="16.5" hidden="1">
      <c r="E22981" s="4" t="str">
        <v/>
      </c>
      <c r="F22981" s="102" t="str">
        <f ca="1">IFERROR(__xludf.DUMMYFUNCTION("IMPORTRANGE(H22981,""IDENTITAS UNIT!D9"")"),"#N/A")</f>
        <v>#N/A</v>
      </c>
      <c r="H22981" s="4" t="str">
        <v/>
      </c>
      <c r="I22981" s="4" t="str">
        <v/>
      </c>
    </row>
    <row r="22982" spans="5:9" ht="16.5" hidden="1">
      <c r="E22982" s="4" t="str">
        <v/>
      </c>
      <c r="F22982" s="102" t="str">
        <f ca="1">IFERROR(__xludf.DUMMYFUNCTION("IMPORTRANGE(H22982,""IDENTITAS UNIT!D9"")"),"#N/A")</f>
        <v>#N/A</v>
      </c>
      <c r="H22982" s="4" t="str">
        <v/>
      </c>
      <c r="I22982" s="4" t="str">
        <v/>
      </c>
    </row>
    <row r="22983" spans="5:9" ht="16.5" hidden="1">
      <c r="E22983" s="4" t="str">
        <v/>
      </c>
      <c r="F22983" s="102" t="str">
        <f ca="1">IFERROR(__xludf.DUMMYFUNCTION("IMPORTRANGE(H22983,""IDENTITAS UNIT!D9"")"),"#N/A")</f>
        <v>#N/A</v>
      </c>
      <c r="H22983" s="4" t="str">
        <v/>
      </c>
      <c r="I22983" s="4" t="str">
        <v/>
      </c>
    </row>
    <row r="22984" spans="5:9" ht="16.5" hidden="1">
      <c r="E22984" s="4" t="str">
        <v/>
      </c>
      <c r="F22984" s="102" t="str">
        <f ca="1">IFERROR(__xludf.DUMMYFUNCTION("IMPORTRANGE(H22984,""IDENTITAS UNIT!D9"")"),"#N/A")</f>
        <v>#N/A</v>
      </c>
      <c r="H22984" s="4" t="str">
        <v/>
      </c>
      <c r="I22984" s="4" t="str">
        <v/>
      </c>
    </row>
    <row r="22985" spans="5:9" ht="16.5" hidden="1">
      <c r="E22985" s="4" t="str">
        <v/>
      </c>
      <c r="F22985" s="102" t="str">
        <f ca="1">IFERROR(__xludf.DUMMYFUNCTION("IMPORTRANGE(H22985,""IDENTITAS UNIT!D9"")"),"#N/A")</f>
        <v>#N/A</v>
      </c>
      <c r="H22985" s="4" t="str">
        <v/>
      </c>
      <c r="I22985" s="4" t="str">
        <v/>
      </c>
    </row>
    <row r="22986" spans="5:9" ht="16.5" hidden="1">
      <c r="E22986" s="4" t="str">
        <v/>
      </c>
      <c r="F22986" s="102" t="str">
        <f ca="1">IFERROR(__xludf.DUMMYFUNCTION("IMPORTRANGE(H22986,""IDENTITAS UNIT!D9"")"),"#N/A")</f>
        <v>#N/A</v>
      </c>
      <c r="H22986" s="4" t="str">
        <v/>
      </c>
      <c r="I22986" s="4" t="str">
        <v/>
      </c>
    </row>
    <row r="22987" spans="5:9" ht="16.5" hidden="1">
      <c r="E22987" s="4" t="str">
        <v/>
      </c>
      <c r="F22987" s="102" t="str">
        <f ca="1">IFERROR(__xludf.DUMMYFUNCTION("IMPORTRANGE(H22987,""IDENTITAS UNIT!D9"")"),"#N/A")</f>
        <v>#N/A</v>
      </c>
      <c r="H22987" s="4" t="str">
        <v/>
      </c>
      <c r="I22987" s="4" t="str">
        <v/>
      </c>
    </row>
    <row r="22988" spans="5:9" ht="16.5" hidden="1">
      <c r="E22988" s="4" t="str">
        <v/>
      </c>
      <c r="F22988" s="102" t="str">
        <f ca="1">IFERROR(__xludf.DUMMYFUNCTION("IMPORTRANGE(H22988,""IDENTITAS UNIT!D9"")"),"#N/A")</f>
        <v>#N/A</v>
      </c>
      <c r="H22988" s="4" t="str">
        <v/>
      </c>
      <c r="I22988" s="4" t="str">
        <v/>
      </c>
    </row>
    <row r="22989" spans="5:9" ht="16.5" hidden="1">
      <c r="E22989" s="4" t="str">
        <v/>
      </c>
      <c r="F22989" s="102" t="str">
        <f ca="1">IFERROR(__xludf.DUMMYFUNCTION("IMPORTRANGE(H22989,""IDENTITAS UNIT!D9"")"),"#N/A")</f>
        <v>#N/A</v>
      </c>
      <c r="H22989" s="4" t="str">
        <v/>
      </c>
      <c r="I22989" s="4" t="str">
        <v/>
      </c>
    </row>
    <row r="22990" spans="5:9" ht="16.5" hidden="1">
      <c r="E22990" s="4" t="str">
        <v/>
      </c>
      <c r="F22990" s="102" t="str">
        <f ca="1">IFERROR(__xludf.DUMMYFUNCTION("IMPORTRANGE(H22990,""IDENTITAS UNIT!D9"")"),"#N/A")</f>
        <v>#N/A</v>
      </c>
      <c r="H22990" s="4" t="str">
        <v/>
      </c>
      <c r="I22990" s="4" t="str">
        <v/>
      </c>
    </row>
    <row r="22991" spans="5:9" ht="16.5" hidden="1">
      <c r="E22991" s="4" t="str">
        <v/>
      </c>
      <c r="F22991" s="102" t="str">
        <f ca="1">IFERROR(__xludf.DUMMYFUNCTION("IMPORTRANGE(H22991,""IDENTITAS UNIT!D9"")"),"#N/A")</f>
        <v>#N/A</v>
      </c>
      <c r="H22991" s="4" t="str">
        <v/>
      </c>
      <c r="I22991" s="4" t="str">
        <v/>
      </c>
    </row>
    <row r="22992" spans="5:9" ht="16.5" hidden="1">
      <c r="E22992" s="4" t="str">
        <v/>
      </c>
      <c r="F22992" s="102" t="str">
        <f ca="1">IFERROR(__xludf.DUMMYFUNCTION("IMPORTRANGE(H22992,""IDENTITAS UNIT!D9"")"),"#N/A")</f>
        <v>#N/A</v>
      </c>
      <c r="H22992" s="4" t="str">
        <v/>
      </c>
      <c r="I22992" s="4" t="str">
        <v/>
      </c>
    </row>
    <row r="22993" spans="5:9" ht="16.5" hidden="1">
      <c r="E22993" s="4" t="str">
        <v/>
      </c>
      <c r="F22993" s="102" t="str">
        <f ca="1">IFERROR(__xludf.DUMMYFUNCTION("IMPORTRANGE(H22993,""IDENTITAS UNIT!D9"")"),"#N/A")</f>
        <v>#N/A</v>
      </c>
      <c r="H22993" s="4" t="str">
        <v/>
      </c>
      <c r="I22993" s="4" t="str">
        <v/>
      </c>
    </row>
    <row r="22994" spans="5:9" ht="16.5" hidden="1">
      <c r="E22994" s="4" t="str">
        <v/>
      </c>
      <c r="F22994" s="102" t="str">
        <f ca="1">IFERROR(__xludf.DUMMYFUNCTION("IMPORTRANGE(H22994,""IDENTITAS UNIT!D9"")"),"#N/A")</f>
        <v>#N/A</v>
      </c>
      <c r="H22994" s="4" t="str">
        <v/>
      </c>
      <c r="I22994" s="4" t="str">
        <v/>
      </c>
    </row>
    <row r="22995" spans="5:9" ht="16.5" hidden="1">
      <c r="E22995" s="4" t="str">
        <v/>
      </c>
      <c r="F22995" s="102" t="str">
        <f ca="1">IFERROR(__xludf.DUMMYFUNCTION("IMPORTRANGE(H22995,""IDENTITAS UNIT!D9"")"),"#N/A")</f>
        <v>#N/A</v>
      </c>
      <c r="H22995" s="4" t="str">
        <v/>
      </c>
      <c r="I22995" s="4" t="str">
        <v/>
      </c>
    </row>
    <row r="22996" spans="5:9" ht="16.5" hidden="1">
      <c r="E22996" s="4" t="str">
        <v/>
      </c>
      <c r="F22996" s="102" t="str">
        <f ca="1">IFERROR(__xludf.DUMMYFUNCTION("IMPORTRANGE(H22996,""IDENTITAS UNIT!D9"")"),"#N/A")</f>
        <v>#N/A</v>
      </c>
      <c r="H22996" s="4" t="str">
        <v/>
      </c>
      <c r="I22996" s="4" t="str">
        <v/>
      </c>
    </row>
    <row r="22997" spans="5:9" ht="16.5" hidden="1">
      <c r="E22997" s="4" t="str">
        <v/>
      </c>
      <c r="F22997" s="102" t="str">
        <f ca="1">IFERROR(__xludf.DUMMYFUNCTION("IMPORTRANGE(H22997,""IDENTITAS UNIT!D9"")"),"#N/A")</f>
        <v>#N/A</v>
      </c>
      <c r="H22997" s="4" t="str">
        <v/>
      </c>
      <c r="I22997" s="4" t="str">
        <v/>
      </c>
    </row>
    <row r="22998" spans="5:9" ht="16.5" hidden="1">
      <c r="E22998" s="4" t="str">
        <v/>
      </c>
      <c r="F22998" s="102" t="str">
        <f ca="1">IFERROR(__xludf.DUMMYFUNCTION("IMPORTRANGE(H22998,""IDENTITAS UNIT!D9"")"),"#N/A")</f>
        <v>#N/A</v>
      </c>
      <c r="H22998" s="4" t="str">
        <v/>
      </c>
      <c r="I22998" s="4" t="str">
        <v/>
      </c>
    </row>
    <row r="22999" spans="5:9" ht="16.5" hidden="1">
      <c r="E22999" s="4" t="str">
        <v/>
      </c>
      <c r="F22999" s="102" t="str">
        <f ca="1">IFERROR(__xludf.DUMMYFUNCTION("IMPORTRANGE(H22999,""IDENTITAS UNIT!D9"")"),"#N/A")</f>
        <v>#N/A</v>
      </c>
      <c r="H22999" s="4" t="str">
        <v/>
      </c>
      <c r="I22999" s="4" t="str">
        <v/>
      </c>
    </row>
    <row r="23000" spans="5:9" ht="16.5" hidden="1">
      <c r="E23000" s="4" t="str">
        <v/>
      </c>
      <c r="F23000" s="102" t="str">
        <f ca="1">IFERROR(__xludf.DUMMYFUNCTION("IMPORTRANGE(H23000,""IDENTITAS UNIT!D9"")"),"#N/A")</f>
        <v>#N/A</v>
      </c>
      <c r="H23000" s="4" t="str">
        <v/>
      </c>
      <c r="I23000" s="4" t="str">
        <v/>
      </c>
    </row>
    <row r="23001" spans="5:9" ht="16.5" hidden="1">
      <c r="E23001" s="4" t="str">
        <v/>
      </c>
      <c r="F23001" s="102" t="str">
        <f ca="1">IFERROR(__xludf.DUMMYFUNCTION("IMPORTRANGE(H23001,""IDENTITAS UNIT!D9"")"),"#N/A")</f>
        <v>#N/A</v>
      </c>
      <c r="H23001" s="4" t="str">
        <v/>
      </c>
      <c r="I23001" s="4" t="str">
        <v/>
      </c>
    </row>
    <row r="23002" spans="5:9" ht="16.5" hidden="1">
      <c r="E23002" s="4" t="str">
        <v/>
      </c>
      <c r="F23002" s="102" t="str">
        <f ca="1">IFERROR(__xludf.DUMMYFUNCTION("IMPORTRANGE(H23002,""IDENTITAS UNIT!D9"")"),"#N/A")</f>
        <v>#N/A</v>
      </c>
      <c r="H23002" s="4" t="str">
        <v/>
      </c>
      <c r="I23002" s="4" t="str">
        <v/>
      </c>
    </row>
    <row r="23003" spans="5:9" ht="16.5" hidden="1">
      <c r="E23003" s="4" t="str">
        <v/>
      </c>
      <c r="F23003" s="102" t="str">
        <f ca="1">IFERROR(__xludf.DUMMYFUNCTION("IMPORTRANGE(H23003,""IDENTITAS UNIT!D9"")"),"#N/A")</f>
        <v>#N/A</v>
      </c>
      <c r="H23003" s="4" t="str">
        <v/>
      </c>
      <c r="I23003" s="4" t="str">
        <v/>
      </c>
    </row>
    <row r="23004" spans="5:9" ht="16.5" hidden="1">
      <c r="E23004" s="4" t="str">
        <v/>
      </c>
      <c r="F23004" s="102" t="str">
        <f ca="1">IFERROR(__xludf.DUMMYFUNCTION("IMPORTRANGE(H23004,""IDENTITAS UNIT!D9"")"),"#N/A")</f>
        <v>#N/A</v>
      </c>
      <c r="H23004" s="4" t="str">
        <v/>
      </c>
      <c r="I23004" s="4" t="str">
        <v/>
      </c>
    </row>
    <row r="23005" spans="5:9" ht="16.5" hidden="1">
      <c r="E23005" s="4" t="str">
        <v/>
      </c>
      <c r="F23005" s="102" t="str">
        <f ca="1">IFERROR(__xludf.DUMMYFUNCTION("IMPORTRANGE(H23005,""IDENTITAS UNIT!D9"")"),"#N/A")</f>
        <v>#N/A</v>
      </c>
      <c r="H23005" s="4" t="str">
        <v/>
      </c>
      <c r="I23005" s="4" t="str">
        <v/>
      </c>
    </row>
    <row r="23006" spans="5:9" ht="16.5" hidden="1">
      <c r="E23006" s="4" t="str">
        <v/>
      </c>
      <c r="F23006" s="102" t="str">
        <f ca="1">IFERROR(__xludf.DUMMYFUNCTION("IMPORTRANGE(H23006,""IDENTITAS UNIT!D9"")"),"#N/A")</f>
        <v>#N/A</v>
      </c>
      <c r="H23006" s="4" t="str">
        <v/>
      </c>
      <c r="I23006" s="4" t="str">
        <v/>
      </c>
    </row>
    <row r="23007" spans="5:9" ht="16.5" hidden="1">
      <c r="E23007" s="4" t="str">
        <v/>
      </c>
      <c r="F23007" s="102" t="str">
        <f ca="1">IFERROR(__xludf.DUMMYFUNCTION("IMPORTRANGE(H23007,""IDENTITAS UNIT!D9"")"),"#N/A")</f>
        <v>#N/A</v>
      </c>
      <c r="H23007" s="4" t="str">
        <v/>
      </c>
      <c r="I23007" s="4" t="str">
        <v/>
      </c>
    </row>
    <row r="23008" spans="5:9" ht="16.5" hidden="1">
      <c r="E23008" s="4" t="str">
        <v/>
      </c>
      <c r="F23008" s="102" t="str">
        <f ca="1">IFERROR(__xludf.DUMMYFUNCTION("IMPORTRANGE(H23008,""IDENTITAS UNIT!D9"")"),"#N/A")</f>
        <v>#N/A</v>
      </c>
      <c r="H23008" s="4" t="str">
        <v/>
      </c>
      <c r="I23008" s="4" t="str">
        <v/>
      </c>
    </row>
    <row r="23009" spans="5:9" ht="16.5" hidden="1">
      <c r="E23009" s="4" t="str">
        <v/>
      </c>
      <c r="F23009" s="102" t="str">
        <f ca="1">IFERROR(__xludf.DUMMYFUNCTION("IMPORTRANGE(H23009,""IDENTITAS UNIT!D9"")"),"#N/A")</f>
        <v>#N/A</v>
      </c>
      <c r="H23009" s="4" t="str">
        <v/>
      </c>
      <c r="I23009" s="4" t="str">
        <v/>
      </c>
    </row>
    <row r="23010" spans="5:9" ht="16.5" hidden="1">
      <c r="E23010" s="4" t="str">
        <v/>
      </c>
      <c r="F23010" s="102" t="str">
        <f ca="1">IFERROR(__xludf.DUMMYFUNCTION("IMPORTRANGE(H23010,""IDENTITAS UNIT!D9"")"),"#N/A")</f>
        <v>#N/A</v>
      </c>
      <c r="H23010" s="4" t="str">
        <v/>
      </c>
      <c r="I23010" s="4" t="str">
        <v/>
      </c>
    </row>
    <row r="23011" spans="5:9" ht="16.5" hidden="1">
      <c r="E23011" s="4" t="str">
        <v/>
      </c>
      <c r="F23011" s="102" t="str">
        <f ca="1">IFERROR(__xludf.DUMMYFUNCTION("IMPORTRANGE(H23011,""IDENTITAS UNIT!D9"")"),"#N/A")</f>
        <v>#N/A</v>
      </c>
      <c r="H23011" s="4" t="str">
        <v/>
      </c>
      <c r="I23011" s="4" t="str">
        <v/>
      </c>
    </row>
    <row r="23012" spans="5:9" ht="16.5" hidden="1">
      <c r="E23012" s="4" t="str">
        <v/>
      </c>
      <c r="F23012" s="102" t="str">
        <f ca="1">IFERROR(__xludf.DUMMYFUNCTION("IMPORTRANGE(H23012,""IDENTITAS UNIT!D9"")"),"#N/A")</f>
        <v>#N/A</v>
      </c>
      <c r="H23012" s="4" t="str">
        <v/>
      </c>
      <c r="I23012" s="4" t="str">
        <v/>
      </c>
    </row>
    <row r="23013" spans="5:9" ht="16.5" hidden="1">
      <c r="E23013" s="4" t="str">
        <v/>
      </c>
      <c r="F23013" s="102" t="str">
        <f ca="1">IFERROR(__xludf.DUMMYFUNCTION("IMPORTRANGE(H23013,""IDENTITAS UNIT!D9"")"),"#N/A")</f>
        <v>#N/A</v>
      </c>
      <c r="H23013" s="4" t="str">
        <v/>
      </c>
      <c r="I23013" s="4" t="str">
        <v/>
      </c>
    </row>
    <row r="23014" spans="5:9" ht="16.5" hidden="1">
      <c r="E23014" s="4" t="str">
        <v/>
      </c>
      <c r="F23014" s="102" t="str">
        <f ca="1">IFERROR(__xludf.DUMMYFUNCTION("IMPORTRANGE(H23014,""IDENTITAS UNIT!D9"")"),"#N/A")</f>
        <v>#N/A</v>
      </c>
      <c r="H23014" s="4" t="str">
        <v/>
      </c>
      <c r="I23014" s="4" t="str">
        <v/>
      </c>
    </row>
    <row r="23015" spans="5:9" ht="16.5" hidden="1">
      <c r="E23015" s="4" t="str">
        <v/>
      </c>
      <c r="F23015" s="102" t="str">
        <f ca="1">IFERROR(__xludf.DUMMYFUNCTION("IMPORTRANGE(H23015,""IDENTITAS UNIT!D9"")"),"#N/A")</f>
        <v>#N/A</v>
      </c>
      <c r="H23015" s="4" t="str">
        <v/>
      </c>
      <c r="I23015" s="4" t="str">
        <v/>
      </c>
    </row>
    <row r="23016" spans="5:9" ht="16.5" hidden="1">
      <c r="E23016" s="4" t="str">
        <v/>
      </c>
      <c r="F23016" s="102" t="str">
        <f ca="1">IFERROR(__xludf.DUMMYFUNCTION("IMPORTRANGE(H23016,""IDENTITAS UNIT!D9"")"),"#N/A")</f>
        <v>#N/A</v>
      </c>
      <c r="H23016" s="4" t="str">
        <v/>
      </c>
      <c r="I23016" s="4" t="str">
        <v/>
      </c>
    </row>
    <row r="23017" spans="5:9" ht="16.5" hidden="1">
      <c r="E23017" s="4" t="str">
        <v/>
      </c>
      <c r="F23017" s="102" t="str">
        <f ca="1">IFERROR(__xludf.DUMMYFUNCTION("IMPORTRANGE(H23017,""IDENTITAS UNIT!D9"")"),"#N/A")</f>
        <v>#N/A</v>
      </c>
      <c r="H23017" s="4" t="str">
        <v/>
      </c>
      <c r="I23017" s="4" t="str">
        <v/>
      </c>
    </row>
    <row r="23018" spans="5:9" ht="16.5" hidden="1">
      <c r="E23018" s="4" t="str">
        <v/>
      </c>
      <c r="F23018" s="102" t="str">
        <f ca="1">IFERROR(__xludf.DUMMYFUNCTION("IMPORTRANGE(H23018,""IDENTITAS UNIT!D9"")"),"#N/A")</f>
        <v>#N/A</v>
      </c>
      <c r="H23018" s="4" t="str">
        <v/>
      </c>
      <c r="I23018" s="4" t="str">
        <v/>
      </c>
    </row>
    <row r="23019" spans="5:9" ht="16.5" hidden="1">
      <c r="E23019" s="4" t="str">
        <v/>
      </c>
      <c r="F23019" s="102" t="str">
        <f ca="1">IFERROR(__xludf.DUMMYFUNCTION("IMPORTRANGE(H23019,""IDENTITAS UNIT!D9"")"),"#N/A")</f>
        <v>#N/A</v>
      </c>
      <c r="H23019" s="4" t="str">
        <v/>
      </c>
      <c r="I23019" s="4" t="str">
        <v/>
      </c>
    </row>
    <row r="23020" spans="5:9" ht="16.5" hidden="1">
      <c r="E23020" s="4" t="str">
        <v/>
      </c>
      <c r="F23020" s="102" t="str">
        <f ca="1">IFERROR(__xludf.DUMMYFUNCTION("IMPORTRANGE(H23020,""IDENTITAS UNIT!D9"")"),"#N/A")</f>
        <v>#N/A</v>
      </c>
      <c r="H23020" s="4" t="str">
        <v/>
      </c>
      <c r="I23020" s="4" t="str">
        <v/>
      </c>
    </row>
    <row r="23021" spans="5:9" ht="16.5" hidden="1">
      <c r="E23021" s="4" t="str">
        <v/>
      </c>
      <c r="F23021" s="102" t="str">
        <f ca="1">IFERROR(__xludf.DUMMYFUNCTION("IMPORTRANGE(H23021,""IDENTITAS UNIT!D9"")"),"#N/A")</f>
        <v>#N/A</v>
      </c>
      <c r="H23021" s="4" t="str">
        <v/>
      </c>
      <c r="I23021" s="4" t="str">
        <v/>
      </c>
    </row>
    <row r="23022" spans="5:9" ht="16.5" hidden="1">
      <c r="E23022" s="4" t="str">
        <v/>
      </c>
      <c r="F23022" s="102" t="str">
        <f ca="1">IFERROR(__xludf.DUMMYFUNCTION("IMPORTRANGE(H23022,""IDENTITAS UNIT!D9"")"),"#N/A")</f>
        <v>#N/A</v>
      </c>
      <c r="H23022" s="4" t="str">
        <v/>
      </c>
      <c r="I23022" s="4" t="str">
        <v/>
      </c>
    </row>
    <row r="23023" spans="5:9" ht="16.5" hidden="1">
      <c r="E23023" s="4" t="str">
        <v/>
      </c>
      <c r="F23023" s="102" t="str">
        <f ca="1">IFERROR(__xludf.DUMMYFUNCTION("IMPORTRANGE(H23023,""IDENTITAS UNIT!D9"")"),"#N/A")</f>
        <v>#N/A</v>
      </c>
      <c r="H23023" s="4" t="str">
        <v/>
      </c>
      <c r="I23023" s="4" t="str">
        <v/>
      </c>
    </row>
    <row r="23024" spans="5:9" ht="16.5" hidden="1">
      <c r="E23024" s="4" t="str">
        <v/>
      </c>
      <c r="F23024" s="102" t="str">
        <f ca="1">IFERROR(__xludf.DUMMYFUNCTION("IMPORTRANGE(H23024,""IDENTITAS UNIT!D9"")"),"#N/A")</f>
        <v>#N/A</v>
      </c>
      <c r="H23024" s="4" t="str">
        <v/>
      </c>
      <c r="I23024" s="4" t="str">
        <v/>
      </c>
    </row>
    <row r="23025" spans="5:9" ht="16.5" hidden="1">
      <c r="E23025" s="4" t="str">
        <v/>
      </c>
      <c r="F23025" s="102" t="str">
        <f ca="1">IFERROR(__xludf.DUMMYFUNCTION("IMPORTRANGE(H23025,""IDENTITAS UNIT!D9"")"),"#N/A")</f>
        <v>#N/A</v>
      </c>
      <c r="H23025" s="4" t="str">
        <v/>
      </c>
      <c r="I23025" s="4" t="str">
        <v/>
      </c>
    </row>
    <row r="23026" spans="5:9" ht="16.5" hidden="1">
      <c r="E23026" s="4" t="str">
        <v/>
      </c>
      <c r="F23026" s="102" t="str">
        <f ca="1">IFERROR(__xludf.DUMMYFUNCTION("IMPORTRANGE(H23026,""IDENTITAS UNIT!D9"")"),"#N/A")</f>
        <v>#N/A</v>
      </c>
      <c r="H23026" s="4" t="str">
        <v/>
      </c>
      <c r="I23026" s="4" t="str">
        <v/>
      </c>
    </row>
    <row r="23027" spans="5:9" ht="16.5" hidden="1">
      <c r="E23027" s="4" t="str">
        <v/>
      </c>
      <c r="F23027" s="102" t="str">
        <f ca="1">IFERROR(__xludf.DUMMYFUNCTION("IMPORTRANGE(H23027,""IDENTITAS UNIT!D9"")"),"#N/A")</f>
        <v>#N/A</v>
      </c>
      <c r="H23027" s="4" t="str">
        <v/>
      </c>
      <c r="I23027" s="4" t="str">
        <v/>
      </c>
    </row>
    <row r="23028" spans="5:9" ht="16.5" hidden="1">
      <c r="E23028" s="4" t="str">
        <v/>
      </c>
      <c r="F23028" s="102" t="str">
        <f ca="1">IFERROR(__xludf.DUMMYFUNCTION("IMPORTRANGE(H23028,""IDENTITAS UNIT!D9"")"),"#N/A")</f>
        <v>#N/A</v>
      </c>
      <c r="H23028" s="4" t="str">
        <v/>
      </c>
      <c r="I23028" s="4" t="str">
        <v/>
      </c>
    </row>
    <row r="23029" spans="5:9" ht="16.5" hidden="1">
      <c r="E23029" s="4" t="str">
        <v/>
      </c>
      <c r="F23029" s="102" t="str">
        <f ca="1">IFERROR(__xludf.DUMMYFUNCTION("IMPORTRANGE(H23029,""IDENTITAS UNIT!D9"")"),"#N/A")</f>
        <v>#N/A</v>
      </c>
      <c r="H23029" s="4" t="str">
        <v/>
      </c>
      <c r="I23029" s="4" t="str">
        <v/>
      </c>
    </row>
    <row r="23030" spans="5:9" ht="16.5" hidden="1">
      <c r="E23030" s="4" t="str">
        <v/>
      </c>
      <c r="F23030" s="102" t="str">
        <f ca="1">IFERROR(__xludf.DUMMYFUNCTION("IMPORTRANGE(H23030,""IDENTITAS UNIT!D9"")"),"#N/A")</f>
        <v>#N/A</v>
      </c>
      <c r="H23030" s="4" t="str">
        <v/>
      </c>
      <c r="I23030" s="4" t="str">
        <v/>
      </c>
    </row>
    <row r="23031" spans="5:9" ht="16.5" hidden="1">
      <c r="E23031" s="4" t="str">
        <v/>
      </c>
      <c r="F23031" s="102" t="str">
        <f ca="1">IFERROR(__xludf.DUMMYFUNCTION("IMPORTRANGE(H23031,""IDENTITAS UNIT!D9"")"),"#N/A")</f>
        <v>#N/A</v>
      </c>
      <c r="H23031" s="4" t="str">
        <v/>
      </c>
      <c r="I23031" s="4" t="str">
        <v/>
      </c>
    </row>
    <row r="23032" spans="5:9" ht="16.5" hidden="1">
      <c r="E23032" s="4" t="str">
        <v/>
      </c>
      <c r="F23032" s="102" t="str">
        <f ca="1">IFERROR(__xludf.DUMMYFUNCTION("IMPORTRANGE(H23032,""IDENTITAS UNIT!D9"")"),"#N/A")</f>
        <v>#N/A</v>
      </c>
      <c r="H23032" s="4" t="str">
        <v/>
      </c>
      <c r="I23032" s="4" t="str">
        <v/>
      </c>
    </row>
    <row r="23033" spans="5:9" ht="16.5" hidden="1">
      <c r="E23033" s="4" t="str">
        <v/>
      </c>
      <c r="F23033" s="102" t="str">
        <f ca="1">IFERROR(__xludf.DUMMYFUNCTION("IMPORTRANGE(H23033,""IDENTITAS UNIT!D9"")"),"#N/A")</f>
        <v>#N/A</v>
      </c>
      <c r="H23033" s="4" t="str">
        <v/>
      </c>
      <c r="I23033" s="4" t="str">
        <v/>
      </c>
    </row>
    <row r="23034" spans="5:9" ht="16.5" hidden="1">
      <c r="E23034" s="4" t="str">
        <v/>
      </c>
      <c r="F23034" s="102" t="str">
        <f ca="1">IFERROR(__xludf.DUMMYFUNCTION("IMPORTRANGE(H23034,""IDENTITAS UNIT!D9"")"),"#N/A")</f>
        <v>#N/A</v>
      </c>
      <c r="H23034" s="4" t="str">
        <v/>
      </c>
      <c r="I23034" s="4" t="str">
        <v/>
      </c>
    </row>
    <row r="23035" spans="5:9" ht="16.5" hidden="1">
      <c r="E23035" s="4" t="str">
        <v/>
      </c>
      <c r="F23035" s="102" t="str">
        <f ca="1">IFERROR(__xludf.DUMMYFUNCTION("IMPORTRANGE(H23035,""IDENTITAS UNIT!D9"")"),"#N/A")</f>
        <v>#N/A</v>
      </c>
      <c r="H23035" s="4" t="str">
        <v/>
      </c>
      <c r="I23035" s="4" t="str">
        <v/>
      </c>
    </row>
    <row r="23036" spans="5:9" ht="16.5" hidden="1">
      <c r="E23036" s="4" t="str">
        <v/>
      </c>
      <c r="F23036" s="102" t="str">
        <f ca="1">IFERROR(__xludf.DUMMYFUNCTION("IMPORTRANGE(H23036,""IDENTITAS UNIT!D9"")"),"#N/A")</f>
        <v>#N/A</v>
      </c>
      <c r="H23036" s="4" t="str">
        <v/>
      </c>
      <c r="I23036" s="4" t="str">
        <v/>
      </c>
    </row>
    <row r="23037" spans="5:9" ht="16.5" hidden="1">
      <c r="E23037" s="4" t="str">
        <v/>
      </c>
      <c r="F23037" s="102" t="str">
        <f ca="1">IFERROR(__xludf.DUMMYFUNCTION("IMPORTRANGE(H23037,""IDENTITAS UNIT!D9"")"),"#N/A")</f>
        <v>#N/A</v>
      </c>
      <c r="H23037" s="4" t="str">
        <v/>
      </c>
      <c r="I23037" s="4" t="str">
        <v/>
      </c>
    </row>
    <row r="23038" spans="5:9" ht="16.5" hidden="1">
      <c r="E23038" s="4" t="str">
        <v/>
      </c>
      <c r="F23038" s="102" t="str">
        <f ca="1">IFERROR(__xludf.DUMMYFUNCTION("IMPORTRANGE(H23038,""IDENTITAS UNIT!D9"")"),"#N/A")</f>
        <v>#N/A</v>
      </c>
      <c r="H23038" s="4" t="str">
        <v/>
      </c>
      <c r="I23038" s="4" t="str">
        <v/>
      </c>
    </row>
    <row r="23039" spans="5:9" ht="16.5" hidden="1">
      <c r="E23039" s="4" t="str">
        <v/>
      </c>
      <c r="F23039" s="102" t="str">
        <f ca="1">IFERROR(__xludf.DUMMYFUNCTION("IMPORTRANGE(H23039,""IDENTITAS UNIT!D9"")"),"#N/A")</f>
        <v>#N/A</v>
      </c>
      <c r="H23039" s="4" t="str">
        <v/>
      </c>
      <c r="I23039" s="4" t="str">
        <v/>
      </c>
    </row>
    <row r="23040" spans="5:9" ht="16.5" hidden="1">
      <c r="E23040" s="4" t="str">
        <v/>
      </c>
      <c r="F23040" s="102" t="str">
        <f ca="1">IFERROR(__xludf.DUMMYFUNCTION("IMPORTRANGE(H23040,""IDENTITAS UNIT!D9"")"),"#N/A")</f>
        <v>#N/A</v>
      </c>
      <c r="H23040" s="4" t="str">
        <v/>
      </c>
      <c r="I23040" s="4" t="str">
        <v/>
      </c>
    </row>
    <row r="23041" spans="5:9" ht="16.5" hidden="1">
      <c r="E23041" s="4" t="str">
        <v/>
      </c>
      <c r="F23041" s="102" t="str">
        <f ca="1">IFERROR(__xludf.DUMMYFUNCTION("IMPORTRANGE(H23041,""IDENTITAS UNIT!D9"")"),"#N/A")</f>
        <v>#N/A</v>
      </c>
      <c r="H23041" s="4" t="str">
        <v/>
      </c>
      <c r="I23041" s="4" t="str">
        <v/>
      </c>
    </row>
    <row r="23042" spans="5:9" ht="16.5" hidden="1">
      <c r="E23042" s="4" t="str">
        <v/>
      </c>
      <c r="F23042" s="102" t="str">
        <f ca="1">IFERROR(__xludf.DUMMYFUNCTION("IMPORTRANGE(H23042,""IDENTITAS UNIT!D9"")"),"#N/A")</f>
        <v>#N/A</v>
      </c>
      <c r="H23042" s="4" t="str">
        <v/>
      </c>
      <c r="I23042" s="4" t="str">
        <v/>
      </c>
    </row>
    <row r="23043" spans="5:9" ht="16.5" hidden="1">
      <c r="E23043" s="4" t="str">
        <v/>
      </c>
      <c r="F23043" s="102" t="str">
        <f ca="1">IFERROR(__xludf.DUMMYFUNCTION("IMPORTRANGE(H23043,""IDENTITAS UNIT!D9"")"),"#N/A")</f>
        <v>#N/A</v>
      </c>
      <c r="H23043" s="4" t="str">
        <v/>
      </c>
      <c r="I23043" s="4" t="str">
        <v/>
      </c>
    </row>
    <row r="23044" spans="5:9" ht="16.5" hidden="1">
      <c r="E23044" s="4" t="str">
        <v/>
      </c>
      <c r="F23044" s="102" t="str">
        <f ca="1">IFERROR(__xludf.DUMMYFUNCTION("IMPORTRANGE(H23044,""IDENTITAS UNIT!D9"")"),"#N/A")</f>
        <v>#N/A</v>
      </c>
      <c r="H23044" s="4" t="str">
        <v/>
      </c>
      <c r="I23044" s="4" t="str">
        <v/>
      </c>
    </row>
    <row r="23045" spans="5:9" ht="16.5" hidden="1">
      <c r="E23045" s="4" t="str">
        <v/>
      </c>
      <c r="F23045" s="102" t="str">
        <f ca="1">IFERROR(__xludf.DUMMYFUNCTION("IMPORTRANGE(H23045,""IDENTITAS UNIT!D9"")"),"#N/A")</f>
        <v>#N/A</v>
      </c>
      <c r="H23045" s="4" t="str">
        <v/>
      </c>
      <c r="I23045" s="4" t="str">
        <v/>
      </c>
    </row>
    <row r="23046" spans="5:9" ht="16.5" hidden="1">
      <c r="E23046" s="4" t="str">
        <v/>
      </c>
      <c r="F23046" s="102" t="str">
        <f ca="1">IFERROR(__xludf.DUMMYFUNCTION("IMPORTRANGE(H23046,""IDENTITAS UNIT!D9"")"),"#N/A")</f>
        <v>#N/A</v>
      </c>
      <c r="H23046" s="4" t="str">
        <v/>
      </c>
      <c r="I23046" s="4" t="str">
        <v/>
      </c>
    </row>
    <row r="23047" spans="5:9" ht="16.5" hidden="1">
      <c r="E23047" s="4" t="str">
        <v/>
      </c>
      <c r="F23047" s="102" t="str">
        <f ca="1">IFERROR(__xludf.DUMMYFUNCTION("IMPORTRANGE(H23047,""IDENTITAS UNIT!D9"")"),"#N/A")</f>
        <v>#N/A</v>
      </c>
      <c r="H23047" s="4" t="str">
        <v/>
      </c>
      <c r="I23047" s="4" t="str">
        <v/>
      </c>
    </row>
    <row r="23048" spans="5:9" ht="16.5" hidden="1">
      <c r="E23048" s="4" t="str">
        <v/>
      </c>
      <c r="F23048" s="102" t="str">
        <f ca="1">IFERROR(__xludf.DUMMYFUNCTION("IMPORTRANGE(H23048,""IDENTITAS UNIT!D9"")"),"#N/A")</f>
        <v>#N/A</v>
      </c>
      <c r="H23048" s="4" t="str">
        <v/>
      </c>
      <c r="I23048" s="4" t="str">
        <v/>
      </c>
    </row>
    <row r="23049" spans="5:9" ht="16.5" hidden="1">
      <c r="E23049" s="4" t="str">
        <v/>
      </c>
      <c r="F23049" s="102" t="str">
        <f ca="1">IFERROR(__xludf.DUMMYFUNCTION("IMPORTRANGE(H23049,""IDENTITAS UNIT!D9"")"),"#N/A")</f>
        <v>#N/A</v>
      </c>
      <c r="H23049" s="4" t="str">
        <v/>
      </c>
      <c r="I23049" s="4" t="str">
        <v/>
      </c>
    </row>
    <row r="23050" spans="5:9" ht="16.5" hidden="1">
      <c r="E23050" s="4" t="str">
        <v/>
      </c>
      <c r="F23050" s="102" t="str">
        <f ca="1">IFERROR(__xludf.DUMMYFUNCTION("IMPORTRANGE(H23050,""IDENTITAS UNIT!D9"")"),"#N/A")</f>
        <v>#N/A</v>
      </c>
      <c r="H23050" s="4" t="str">
        <v/>
      </c>
      <c r="I23050" s="4" t="str">
        <v/>
      </c>
    </row>
    <row r="23051" spans="5:9" ht="16.5" hidden="1">
      <c r="E23051" s="4" t="str">
        <v/>
      </c>
      <c r="F23051" s="102" t="str">
        <f ca="1">IFERROR(__xludf.DUMMYFUNCTION("IMPORTRANGE(H23051,""IDENTITAS UNIT!D9"")"),"#N/A")</f>
        <v>#N/A</v>
      </c>
      <c r="H23051" s="4" t="str">
        <v/>
      </c>
      <c r="I23051" s="4" t="str">
        <v/>
      </c>
    </row>
    <row r="23052" spans="5:9" ht="16.5" hidden="1">
      <c r="E23052" s="4" t="str">
        <v/>
      </c>
      <c r="F23052" s="102" t="str">
        <f ca="1">IFERROR(__xludf.DUMMYFUNCTION("IMPORTRANGE(H23052,""IDENTITAS UNIT!D9"")"),"#N/A")</f>
        <v>#N/A</v>
      </c>
      <c r="H23052" s="4" t="str">
        <v/>
      </c>
      <c r="I23052" s="4" t="str">
        <v/>
      </c>
    </row>
    <row r="23053" spans="5:9" ht="16.5" hidden="1">
      <c r="E23053" s="4" t="str">
        <v/>
      </c>
      <c r="F23053" s="102" t="str">
        <f ca="1">IFERROR(__xludf.DUMMYFUNCTION("IMPORTRANGE(H23053,""IDENTITAS UNIT!D9"")"),"#N/A")</f>
        <v>#N/A</v>
      </c>
      <c r="H23053" s="4" t="str">
        <v/>
      </c>
      <c r="I23053" s="4" t="str">
        <v/>
      </c>
    </row>
    <row r="23054" spans="5:9" ht="16.5" hidden="1">
      <c r="E23054" s="4" t="str">
        <v/>
      </c>
      <c r="F23054" s="102" t="str">
        <f ca="1">IFERROR(__xludf.DUMMYFUNCTION("IMPORTRANGE(H23054,""IDENTITAS UNIT!D9"")"),"#N/A")</f>
        <v>#N/A</v>
      </c>
      <c r="H23054" s="4" t="str">
        <v/>
      </c>
      <c r="I23054" s="4" t="str">
        <v/>
      </c>
    </row>
    <row r="23055" spans="5:9" ht="16.5" hidden="1">
      <c r="E23055" s="4" t="str">
        <v/>
      </c>
      <c r="F23055" s="102" t="str">
        <f ca="1">IFERROR(__xludf.DUMMYFUNCTION("IMPORTRANGE(H23055,""IDENTITAS UNIT!D9"")"),"#N/A")</f>
        <v>#N/A</v>
      </c>
      <c r="H23055" s="4" t="str">
        <v/>
      </c>
      <c r="I23055" s="4" t="str">
        <v/>
      </c>
    </row>
    <row r="23056" spans="5:9" ht="16.5" hidden="1">
      <c r="E23056" s="4" t="str">
        <v/>
      </c>
      <c r="F23056" s="102" t="str">
        <f ca="1">IFERROR(__xludf.DUMMYFUNCTION("IMPORTRANGE(H23056,""IDENTITAS UNIT!D9"")"),"#N/A")</f>
        <v>#N/A</v>
      </c>
      <c r="H23056" s="4" t="str">
        <v/>
      </c>
      <c r="I23056" s="4" t="str">
        <v/>
      </c>
    </row>
    <row r="23057" spans="5:9" ht="16.5" hidden="1">
      <c r="E23057" s="4" t="str">
        <v/>
      </c>
      <c r="F23057" s="102" t="str">
        <f ca="1">IFERROR(__xludf.DUMMYFUNCTION("IMPORTRANGE(H23057,""IDENTITAS UNIT!D9"")"),"#N/A")</f>
        <v>#N/A</v>
      </c>
      <c r="H23057" s="4" t="str">
        <v/>
      </c>
      <c r="I23057" s="4" t="str">
        <v/>
      </c>
    </row>
    <row r="23058" spans="5:9" ht="16.5" hidden="1">
      <c r="E23058" s="4" t="str">
        <v/>
      </c>
      <c r="F23058" s="102" t="str">
        <f ca="1">IFERROR(__xludf.DUMMYFUNCTION("IMPORTRANGE(H23058,""IDENTITAS UNIT!D9"")"),"#N/A")</f>
        <v>#N/A</v>
      </c>
      <c r="H23058" s="4" t="str">
        <v/>
      </c>
      <c r="I23058" s="4" t="str">
        <v/>
      </c>
    </row>
    <row r="23059" spans="5:9" ht="16.5" hidden="1">
      <c r="E23059" s="4" t="str">
        <v/>
      </c>
      <c r="F23059" s="102" t="str">
        <f ca="1">IFERROR(__xludf.DUMMYFUNCTION("IMPORTRANGE(H23059,""IDENTITAS UNIT!D9"")"),"#N/A")</f>
        <v>#N/A</v>
      </c>
      <c r="H23059" s="4" t="str">
        <v/>
      </c>
      <c r="I23059" s="4" t="str">
        <v/>
      </c>
    </row>
    <row r="23060" spans="5:9" ht="16.5" hidden="1">
      <c r="E23060" s="4" t="str">
        <v/>
      </c>
      <c r="F23060" s="102" t="str">
        <f ca="1">IFERROR(__xludf.DUMMYFUNCTION("IMPORTRANGE(H23060,""IDENTITAS UNIT!D9"")"),"#N/A")</f>
        <v>#N/A</v>
      </c>
      <c r="H23060" s="4" t="str">
        <v/>
      </c>
      <c r="I23060" s="4" t="str">
        <v/>
      </c>
    </row>
    <row r="23061" spans="5:9" ht="16.5" hidden="1">
      <c r="E23061" s="4" t="str">
        <v/>
      </c>
      <c r="F23061" s="102" t="str">
        <f ca="1">IFERROR(__xludf.DUMMYFUNCTION("IMPORTRANGE(H23061,""IDENTITAS UNIT!D9"")"),"#N/A")</f>
        <v>#N/A</v>
      </c>
      <c r="H23061" s="4" t="str">
        <v/>
      </c>
      <c r="I23061" s="4" t="str">
        <v/>
      </c>
    </row>
    <row r="23062" spans="5:9" ht="16.5" hidden="1">
      <c r="E23062" s="4" t="str">
        <v/>
      </c>
      <c r="F23062" s="102" t="str">
        <f ca="1">IFERROR(__xludf.DUMMYFUNCTION("IMPORTRANGE(H23062,""IDENTITAS UNIT!D9"")"),"#N/A")</f>
        <v>#N/A</v>
      </c>
      <c r="H23062" s="4" t="str">
        <v/>
      </c>
      <c r="I23062" s="4" t="str">
        <v/>
      </c>
    </row>
    <row r="23063" spans="5:9" ht="16.5" hidden="1">
      <c r="E23063" s="4" t="str">
        <v/>
      </c>
      <c r="F23063" s="102" t="str">
        <f ca="1">IFERROR(__xludf.DUMMYFUNCTION("IMPORTRANGE(H23063,""IDENTITAS UNIT!D9"")"),"#N/A")</f>
        <v>#N/A</v>
      </c>
      <c r="H23063" s="4" t="str">
        <v/>
      </c>
      <c r="I23063" s="4" t="str">
        <v/>
      </c>
    </row>
    <row r="23064" spans="5:9" ht="16.5" hidden="1">
      <c r="E23064" s="4" t="str">
        <v/>
      </c>
      <c r="F23064" s="102" t="str">
        <f ca="1">IFERROR(__xludf.DUMMYFUNCTION("IMPORTRANGE(H23064,""IDENTITAS UNIT!D9"")"),"#N/A")</f>
        <v>#N/A</v>
      </c>
      <c r="H23064" s="4" t="str">
        <v/>
      </c>
      <c r="I23064" s="4" t="str">
        <v/>
      </c>
    </row>
    <row r="23065" spans="5:9" ht="16.5" hidden="1">
      <c r="E23065" s="4" t="str">
        <v/>
      </c>
      <c r="F23065" s="102" t="str">
        <f ca="1">IFERROR(__xludf.DUMMYFUNCTION("IMPORTRANGE(H23065,""IDENTITAS UNIT!D9"")"),"#N/A")</f>
        <v>#N/A</v>
      </c>
      <c r="H23065" s="4" t="str">
        <v/>
      </c>
      <c r="I23065" s="4" t="str">
        <v/>
      </c>
    </row>
    <row r="23066" spans="5:9" ht="16.5" hidden="1">
      <c r="E23066" s="4" t="str">
        <v/>
      </c>
      <c r="F23066" s="102" t="str">
        <f ca="1">IFERROR(__xludf.DUMMYFUNCTION("IMPORTRANGE(H23066,""IDENTITAS UNIT!D9"")"),"#N/A")</f>
        <v>#N/A</v>
      </c>
      <c r="H23066" s="4" t="str">
        <v/>
      </c>
      <c r="I23066" s="4" t="str">
        <v/>
      </c>
    </row>
    <row r="23067" spans="5:9" ht="16.5" hidden="1">
      <c r="E23067" s="4" t="str">
        <v/>
      </c>
      <c r="F23067" s="102" t="str">
        <f ca="1">IFERROR(__xludf.DUMMYFUNCTION("IMPORTRANGE(H23067,""IDENTITAS UNIT!D9"")"),"#N/A")</f>
        <v>#N/A</v>
      </c>
      <c r="H23067" s="4" t="str">
        <v/>
      </c>
      <c r="I23067" s="4" t="str">
        <v/>
      </c>
    </row>
    <row r="23068" spans="5:9" ht="16.5" hidden="1">
      <c r="E23068" s="4" t="str">
        <v/>
      </c>
      <c r="F23068" s="102" t="str">
        <f ca="1">IFERROR(__xludf.DUMMYFUNCTION("IMPORTRANGE(H23068,""IDENTITAS UNIT!D9"")"),"#N/A")</f>
        <v>#N/A</v>
      </c>
      <c r="H23068" s="4" t="str">
        <v/>
      </c>
      <c r="I23068" s="4" t="str">
        <v/>
      </c>
    </row>
    <row r="23069" spans="5:9" ht="16.5" hidden="1">
      <c r="E23069" s="4" t="str">
        <v/>
      </c>
      <c r="F23069" s="102" t="str">
        <f ca="1">IFERROR(__xludf.DUMMYFUNCTION("IMPORTRANGE(H23069,""IDENTITAS UNIT!D9"")"),"#N/A")</f>
        <v>#N/A</v>
      </c>
      <c r="H23069" s="4" t="str">
        <v/>
      </c>
      <c r="I23069" s="4" t="str">
        <v/>
      </c>
    </row>
    <row r="23070" spans="5:9" ht="16.5" hidden="1">
      <c r="E23070" s="4" t="str">
        <v/>
      </c>
      <c r="F23070" s="102" t="str">
        <f ca="1">IFERROR(__xludf.DUMMYFUNCTION("IMPORTRANGE(H23070,""IDENTITAS UNIT!D9"")"),"#N/A")</f>
        <v>#N/A</v>
      </c>
      <c r="H23070" s="4" t="str">
        <v/>
      </c>
      <c r="I23070" s="4" t="str">
        <v/>
      </c>
    </row>
    <row r="23071" spans="5:9" ht="16.5" hidden="1">
      <c r="E23071" s="4" t="str">
        <v/>
      </c>
      <c r="F23071" s="102" t="str">
        <f ca="1">IFERROR(__xludf.DUMMYFUNCTION("IMPORTRANGE(H23071,""IDENTITAS UNIT!D9"")"),"#N/A")</f>
        <v>#N/A</v>
      </c>
      <c r="H23071" s="4" t="str">
        <v/>
      </c>
      <c r="I23071" s="4" t="str">
        <v/>
      </c>
    </row>
    <row r="23072" spans="5:9" ht="16.5" hidden="1">
      <c r="E23072" s="4" t="str">
        <v/>
      </c>
      <c r="F23072" s="102" t="str">
        <f ca="1">IFERROR(__xludf.DUMMYFUNCTION("IMPORTRANGE(H23072,""IDENTITAS UNIT!D9"")"),"#N/A")</f>
        <v>#N/A</v>
      </c>
      <c r="H23072" s="4" t="str">
        <v/>
      </c>
      <c r="I23072" s="4" t="str">
        <v/>
      </c>
    </row>
    <row r="23073" spans="5:9" ht="16.5" hidden="1">
      <c r="E23073" s="4" t="str">
        <v/>
      </c>
      <c r="F23073" s="102" t="str">
        <f ca="1">IFERROR(__xludf.DUMMYFUNCTION("IMPORTRANGE(H23073,""IDENTITAS UNIT!D9"")"),"#N/A")</f>
        <v>#N/A</v>
      </c>
      <c r="H23073" s="4" t="str">
        <v/>
      </c>
      <c r="I23073" s="4" t="str">
        <v/>
      </c>
    </row>
    <row r="23074" spans="5:9" ht="16.5" hidden="1">
      <c r="E23074" s="4" t="str">
        <v/>
      </c>
      <c r="F23074" s="102" t="str">
        <f ca="1">IFERROR(__xludf.DUMMYFUNCTION("IMPORTRANGE(H23074,""IDENTITAS UNIT!D9"")"),"#N/A")</f>
        <v>#N/A</v>
      </c>
      <c r="H23074" s="4" t="str">
        <v/>
      </c>
      <c r="I23074" s="4" t="str">
        <v/>
      </c>
    </row>
    <row r="23075" spans="5:9" ht="16.5" hidden="1">
      <c r="E23075" s="4" t="str">
        <v/>
      </c>
      <c r="F23075" s="102" t="str">
        <f ca="1">IFERROR(__xludf.DUMMYFUNCTION("IMPORTRANGE(H23075,""IDENTITAS UNIT!D9"")"),"#N/A")</f>
        <v>#N/A</v>
      </c>
      <c r="H23075" s="4" t="str">
        <v/>
      </c>
      <c r="I23075" s="4" t="str">
        <v/>
      </c>
    </row>
    <row r="23076" spans="5:9" ht="16.5" hidden="1">
      <c r="E23076" s="4" t="str">
        <v/>
      </c>
      <c r="F23076" s="102" t="str">
        <f ca="1">IFERROR(__xludf.DUMMYFUNCTION("IMPORTRANGE(H23076,""IDENTITAS UNIT!D9"")"),"#N/A")</f>
        <v>#N/A</v>
      </c>
      <c r="H23076" s="4" t="str">
        <v/>
      </c>
      <c r="I23076" s="4" t="str">
        <v/>
      </c>
    </row>
    <row r="23077" spans="5:9" ht="16.5" hidden="1">
      <c r="E23077" s="4" t="str">
        <v/>
      </c>
      <c r="F23077" s="102" t="str">
        <f ca="1">IFERROR(__xludf.DUMMYFUNCTION("IMPORTRANGE(H23077,""IDENTITAS UNIT!D9"")"),"#N/A")</f>
        <v>#N/A</v>
      </c>
      <c r="H23077" s="4" t="str">
        <v/>
      </c>
      <c r="I23077" s="4" t="str">
        <v/>
      </c>
    </row>
    <row r="23078" spans="5:9" ht="16.5" hidden="1">
      <c r="E23078" s="4" t="str">
        <v/>
      </c>
      <c r="F23078" s="102" t="str">
        <f ca="1">IFERROR(__xludf.DUMMYFUNCTION("IMPORTRANGE(H23078,""IDENTITAS UNIT!D9"")"),"#N/A")</f>
        <v>#N/A</v>
      </c>
      <c r="H23078" s="4" t="str">
        <v/>
      </c>
      <c r="I23078" s="4" t="str">
        <v/>
      </c>
    </row>
    <row r="23079" spans="5:9" ht="16.5" hidden="1">
      <c r="E23079" s="4" t="str">
        <v/>
      </c>
      <c r="F23079" s="102" t="str">
        <f ca="1">IFERROR(__xludf.DUMMYFUNCTION("IMPORTRANGE(H23079,""IDENTITAS UNIT!D9"")"),"#N/A")</f>
        <v>#N/A</v>
      </c>
      <c r="H23079" s="4" t="str">
        <v/>
      </c>
      <c r="I23079" s="4" t="str">
        <v/>
      </c>
    </row>
    <row r="23080" spans="5:9" ht="16.5" hidden="1">
      <c r="E23080" s="4" t="str">
        <v/>
      </c>
      <c r="F23080" s="102" t="str">
        <f ca="1">IFERROR(__xludf.DUMMYFUNCTION("IMPORTRANGE(H23080,""IDENTITAS UNIT!D9"")"),"#N/A")</f>
        <v>#N/A</v>
      </c>
      <c r="H23080" s="4" t="str">
        <v/>
      </c>
      <c r="I23080" s="4" t="str">
        <v/>
      </c>
    </row>
    <row r="23081" spans="5:9" ht="16.5" hidden="1">
      <c r="E23081" s="4" t="str">
        <v/>
      </c>
      <c r="F23081" s="102" t="str">
        <f ca="1">IFERROR(__xludf.DUMMYFUNCTION("IMPORTRANGE(H23081,""IDENTITAS UNIT!D9"")"),"#N/A")</f>
        <v>#N/A</v>
      </c>
      <c r="H23081" s="4" t="str">
        <v/>
      </c>
      <c r="I23081" s="4" t="str">
        <v/>
      </c>
    </row>
    <row r="23082" spans="5:9" ht="16.5" hidden="1">
      <c r="E23082" s="4" t="str">
        <v/>
      </c>
      <c r="F23082" s="102" t="str">
        <f ca="1">IFERROR(__xludf.DUMMYFUNCTION("IMPORTRANGE(H23082,""IDENTITAS UNIT!D9"")"),"#N/A")</f>
        <v>#N/A</v>
      </c>
      <c r="H23082" s="4" t="str">
        <v/>
      </c>
      <c r="I23082" s="4" t="str">
        <v/>
      </c>
    </row>
    <row r="23083" spans="5:9" ht="16.5" hidden="1">
      <c r="E23083" s="4" t="str">
        <v/>
      </c>
      <c r="F23083" s="102" t="str">
        <f ca="1">IFERROR(__xludf.DUMMYFUNCTION("IMPORTRANGE(H23083,""IDENTITAS UNIT!D9"")"),"#N/A")</f>
        <v>#N/A</v>
      </c>
      <c r="H23083" s="4" t="str">
        <v/>
      </c>
      <c r="I23083" s="4" t="str">
        <v/>
      </c>
    </row>
    <row r="23084" spans="5:9" ht="16.5" hidden="1">
      <c r="E23084" s="4" t="str">
        <v/>
      </c>
      <c r="F23084" s="102" t="str">
        <f ca="1">IFERROR(__xludf.DUMMYFUNCTION("IMPORTRANGE(H23084,""IDENTITAS UNIT!D9"")"),"#N/A")</f>
        <v>#N/A</v>
      </c>
      <c r="H23084" s="4" t="str">
        <v/>
      </c>
      <c r="I23084" s="4" t="str">
        <v/>
      </c>
    </row>
    <row r="23085" spans="5:9" ht="16.5" hidden="1">
      <c r="E23085" s="4" t="str">
        <v/>
      </c>
      <c r="F23085" s="102" t="str">
        <f ca="1">IFERROR(__xludf.DUMMYFUNCTION("IMPORTRANGE(H23085,""IDENTITAS UNIT!D9"")"),"#N/A")</f>
        <v>#N/A</v>
      </c>
      <c r="H23085" s="4" t="str">
        <v/>
      </c>
      <c r="I23085" s="4" t="str">
        <v/>
      </c>
    </row>
    <row r="23086" spans="5:9" ht="16.5" hidden="1">
      <c r="E23086" s="4" t="str">
        <v/>
      </c>
      <c r="F23086" s="102" t="str">
        <f ca="1">IFERROR(__xludf.DUMMYFUNCTION("IMPORTRANGE(H23086,""IDENTITAS UNIT!D9"")"),"#N/A")</f>
        <v>#N/A</v>
      </c>
      <c r="H23086" s="4" t="str">
        <v/>
      </c>
      <c r="I23086" s="4" t="str">
        <v/>
      </c>
    </row>
    <row r="23087" spans="5:9" ht="16.5" hidden="1">
      <c r="E23087" s="4" t="str">
        <v/>
      </c>
      <c r="F23087" s="102" t="str">
        <f ca="1">IFERROR(__xludf.DUMMYFUNCTION("IMPORTRANGE(H23087,""IDENTITAS UNIT!D9"")"),"#N/A")</f>
        <v>#N/A</v>
      </c>
      <c r="H23087" s="4" t="str">
        <v/>
      </c>
      <c r="I23087" s="4" t="str">
        <v/>
      </c>
    </row>
    <row r="23088" spans="5:9" ht="16.5" hidden="1">
      <c r="E23088" s="4" t="str">
        <v/>
      </c>
      <c r="F23088" s="102" t="str">
        <f ca="1">IFERROR(__xludf.DUMMYFUNCTION("IMPORTRANGE(H23088,""IDENTITAS UNIT!D9"")"),"#N/A")</f>
        <v>#N/A</v>
      </c>
      <c r="H23088" s="4" t="str">
        <v/>
      </c>
      <c r="I23088" s="4" t="str">
        <v/>
      </c>
    </row>
    <row r="23089" spans="5:9" ht="16.5" hidden="1">
      <c r="E23089" s="4" t="str">
        <v/>
      </c>
      <c r="F23089" s="102" t="str">
        <f ca="1">IFERROR(__xludf.DUMMYFUNCTION("IMPORTRANGE(H23089,""IDENTITAS UNIT!D9"")"),"#N/A")</f>
        <v>#N/A</v>
      </c>
      <c r="H23089" s="4" t="str">
        <v/>
      </c>
      <c r="I23089" s="4" t="str">
        <v/>
      </c>
    </row>
    <row r="23090" spans="5:9" ht="16.5" hidden="1">
      <c r="E23090" s="4" t="str">
        <v/>
      </c>
      <c r="F23090" s="102" t="str">
        <f ca="1">IFERROR(__xludf.DUMMYFUNCTION("IMPORTRANGE(H23090,""IDENTITAS UNIT!D9"")"),"#N/A")</f>
        <v>#N/A</v>
      </c>
      <c r="H23090" s="4" t="str">
        <v/>
      </c>
      <c r="I23090" s="4" t="str">
        <v/>
      </c>
    </row>
    <row r="23091" spans="5:9" ht="16.5" hidden="1">
      <c r="E23091" s="4" t="str">
        <v/>
      </c>
      <c r="F23091" s="102" t="str">
        <f ca="1">IFERROR(__xludf.DUMMYFUNCTION("IMPORTRANGE(H23091,""IDENTITAS UNIT!D9"")"),"#N/A")</f>
        <v>#N/A</v>
      </c>
      <c r="H23091" s="4" t="str">
        <v/>
      </c>
      <c r="I23091" s="4" t="str">
        <v/>
      </c>
    </row>
    <row r="23092" spans="5:9" ht="16.5" hidden="1">
      <c r="E23092" s="4" t="str">
        <v/>
      </c>
      <c r="F23092" s="102" t="str">
        <f ca="1">IFERROR(__xludf.DUMMYFUNCTION("IMPORTRANGE(H23092,""IDENTITAS UNIT!D9"")"),"#N/A")</f>
        <v>#N/A</v>
      </c>
      <c r="H23092" s="4" t="str">
        <v/>
      </c>
      <c r="I23092" s="4" t="str">
        <v/>
      </c>
    </row>
    <row r="23093" spans="5:9" ht="16.5" hidden="1">
      <c r="E23093" s="4" t="str">
        <v/>
      </c>
      <c r="F23093" s="102" t="str">
        <f ca="1">IFERROR(__xludf.DUMMYFUNCTION("IMPORTRANGE(H23093,""IDENTITAS UNIT!D9"")"),"#N/A")</f>
        <v>#N/A</v>
      </c>
      <c r="H23093" s="4" t="str">
        <v/>
      </c>
      <c r="I23093" s="4" t="str">
        <v/>
      </c>
    </row>
    <row r="23094" spans="5:9" ht="16.5" hidden="1">
      <c r="E23094" s="4" t="str">
        <v/>
      </c>
      <c r="F23094" s="102" t="str">
        <f ca="1">IFERROR(__xludf.DUMMYFUNCTION("IMPORTRANGE(H23094,""IDENTITAS UNIT!D9"")"),"#N/A")</f>
        <v>#N/A</v>
      </c>
      <c r="H23094" s="4" t="str">
        <v/>
      </c>
      <c r="I23094" s="4" t="str">
        <v/>
      </c>
    </row>
    <row r="23095" spans="5:9" ht="16.5" hidden="1">
      <c r="E23095" s="4" t="str">
        <v/>
      </c>
      <c r="F23095" s="102" t="str">
        <f ca="1">IFERROR(__xludf.DUMMYFUNCTION("IMPORTRANGE(H23095,""IDENTITAS UNIT!D9"")"),"#N/A")</f>
        <v>#N/A</v>
      </c>
      <c r="H23095" s="4" t="str">
        <v/>
      </c>
      <c r="I23095" s="4" t="str">
        <v/>
      </c>
    </row>
    <row r="23096" spans="5:9" ht="16.5" hidden="1">
      <c r="E23096" s="4" t="str">
        <v/>
      </c>
      <c r="F23096" s="102" t="str">
        <f ca="1">IFERROR(__xludf.DUMMYFUNCTION("IMPORTRANGE(H23096,""IDENTITAS UNIT!D9"")"),"#N/A")</f>
        <v>#N/A</v>
      </c>
      <c r="H23096" s="4" t="str">
        <v/>
      </c>
      <c r="I23096" s="4" t="str">
        <v/>
      </c>
    </row>
    <row r="23097" spans="5:9" ht="16.5" hidden="1">
      <c r="E23097" s="4" t="str">
        <v/>
      </c>
      <c r="F23097" s="102" t="str">
        <f ca="1">IFERROR(__xludf.DUMMYFUNCTION("IMPORTRANGE(H23097,""IDENTITAS UNIT!D9"")"),"#N/A")</f>
        <v>#N/A</v>
      </c>
      <c r="H23097" s="4" t="str">
        <v/>
      </c>
      <c r="I23097" s="4" t="str">
        <v/>
      </c>
    </row>
    <row r="23098" spans="5:9" ht="16.5" hidden="1">
      <c r="E23098" s="4" t="str">
        <v/>
      </c>
      <c r="F23098" s="102" t="str">
        <f ca="1">IFERROR(__xludf.DUMMYFUNCTION("IMPORTRANGE(H23098,""IDENTITAS UNIT!D9"")"),"#N/A")</f>
        <v>#N/A</v>
      </c>
      <c r="H23098" s="4" t="str">
        <v/>
      </c>
      <c r="I23098" s="4" t="str">
        <v/>
      </c>
    </row>
    <row r="23099" spans="5:9" ht="16.5" hidden="1">
      <c r="E23099" s="4" t="str">
        <v/>
      </c>
      <c r="F23099" s="102" t="str">
        <f ca="1">IFERROR(__xludf.DUMMYFUNCTION("IMPORTRANGE(H23099,""IDENTITAS UNIT!D9"")"),"#N/A")</f>
        <v>#N/A</v>
      </c>
      <c r="H23099" s="4" t="str">
        <v/>
      </c>
      <c r="I23099" s="4" t="str">
        <v/>
      </c>
    </row>
    <row r="23100" spans="5:9" ht="16.5" hidden="1">
      <c r="E23100" s="4" t="str">
        <v/>
      </c>
      <c r="F23100" s="102" t="str">
        <f ca="1">IFERROR(__xludf.DUMMYFUNCTION("IMPORTRANGE(H23100,""IDENTITAS UNIT!D9"")"),"#N/A")</f>
        <v>#N/A</v>
      </c>
      <c r="H23100" s="4" t="str">
        <v/>
      </c>
      <c r="I23100" s="4" t="str">
        <v/>
      </c>
    </row>
    <row r="23101" spans="5:9" ht="16.5" hidden="1">
      <c r="E23101" s="4" t="str">
        <v/>
      </c>
      <c r="F23101" s="102" t="str">
        <f ca="1">IFERROR(__xludf.DUMMYFUNCTION("IMPORTRANGE(H23101,""IDENTITAS UNIT!D9"")"),"#N/A")</f>
        <v>#N/A</v>
      </c>
      <c r="H23101" s="4" t="str">
        <v/>
      </c>
      <c r="I23101" s="4" t="str">
        <v/>
      </c>
    </row>
    <row r="23102" spans="5:9" ht="16.5" hidden="1">
      <c r="E23102" s="4" t="str">
        <v/>
      </c>
      <c r="F23102" s="102" t="str">
        <f ca="1">IFERROR(__xludf.DUMMYFUNCTION("IMPORTRANGE(H23102,""IDENTITAS UNIT!D9"")"),"#N/A")</f>
        <v>#N/A</v>
      </c>
      <c r="H23102" s="4" t="str">
        <v/>
      </c>
      <c r="I23102" s="4" t="str">
        <v/>
      </c>
    </row>
    <row r="23103" spans="5:9" ht="16.5" hidden="1">
      <c r="E23103" s="4" t="str">
        <v/>
      </c>
      <c r="F23103" s="102" t="str">
        <f ca="1">IFERROR(__xludf.DUMMYFUNCTION("IMPORTRANGE(H23103,""IDENTITAS UNIT!D9"")"),"#N/A")</f>
        <v>#N/A</v>
      </c>
      <c r="H23103" s="4" t="str">
        <v/>
      </c>
      <c r="I23103" s="4" t="str">
        <v/>
      </c>
    </row>
    <row r="23104" spans="5:9" ht="16.5" hidden="1">
      <c r="E23104" s="4" t="str">
        <v/>
      </c>
      <c r="F23104" s="102" t="str">
        <f ca="1">IFERROR(__xludf.DUMMYFUNCTION("IMPORTRANGE(H23104,""IDENTITAS UNIT!D9"")"),"#N/A")</f>
        <v>#N/A</v>
      </c>
      <c r="H23104" s="4" t="str">
        <v/>
      </c>
      <c r="I23104" s="4" t="str">
        <v/>
      </c>
    </row>
    <row r="23105" spans="5:9" ht="16.5" hidden="1">
      <c r="E23105" s="4" t="str">
        <v/>
      </c>
      <c r="F23105" s="102" t="str">
        <f ca="1">IFERROR(__xludf.DUMMYFUNCTION("IMPORTRANGE(H23105,""IDENTITAS UNIT!D9"")"),"#N/A")</f>
        <v>#N/A</v>
      </c>
      <c r="H23105" s="4" t="str">
        <v/>
      </c>
      <c r="I23105" s="4" t="str">
        <v/>
      </c>
    </row>
    <row r="23106" spans="5:9" ht="16.5" hidden="1">
      <c r="E23106" s="4" t="str">
        <v/>
      </c>
      <c r="F23106" s="102" t="str">
        <f ca="1">IFERROR(__xludf.DUMMYFUNCTION("IMPORTRANGE(H23106,""IDENTITAS UNIT!D9"")"),"#N/A")</f>
        <v>#N/A</v>
      </c>
      <c r="H23106" s="4" t="str">
        <v/>
      </c>
      <c r="I23106" s="4" t="str">
        <v/>
      </c>
    </row>
    <row r="23107" spans="5:9" ht="16.5" hidden="1">
      <c r="E23107" s="4" t="str">
        <v/>
      </c>
      <c r="F23107" s="102" t="str">
        <f ca="1">IFERROR(__xludf.DUMMYFUNCTION("IMPORTRANGE(H23107,""IDENTITAS UNIT!D9"")"),"#N/A")</f>
        <v>#N/A</v>
      </c>
      <c r="H23107" s="4" t="str">
        <v/>
      </c>
      <c r="I23107" s="4" t="str">
        <v/>
      </c>
    </row>
    <row r="23108" spans="5:9" ht="16.5" hidden="1">
      <c r="E23108" s="4" t="str">
        <v/>
      </c>
      <c r="F23108" s="102" t="str">
        <f ca="1">IFERROR(__xludf.DUMMYFUNCTION("IMPORTRANGE(H23108,""IDENTITAS UNIT!D9"")"),"#N/A")</f>
        <v>#N/A</v>
      </c>
      <c r="H23108" s="4" t="str">
        <v/>
      </c>
      <c r="I23108" s="4" t="str">
        <v/>
      </c>
    </row>
    <row r="23109" spans="5:9" ht="16.5" hidden="1">
      <c r="E23109" s="4" t="str">
        <v/>
      </c>
      <c r="F23109" s="102" t="str">
        <f ca="1">IFERROR(__xludf.DUMMYFUNCTION("IMPORTRANGE(H23109,""IDENTITAS UNIT!D9"")"),"#N/A")</f>
        <v>#N/A</v>
      </c>
      <c r="H23109" s="4" t="str">
        <v/>
      </c>
      <c r="I23109" s="4" t="str">
        <v/>
      </c>
    </row>
    <row r="23110" spans="5:9" ht="16.5" hidden="1">
      <c r="E23110" s="4" t="str">
        <v/>
      </c>
      <c r="F23110" s="102" t="str">
        <f ca="1">IFERROR(__xludf.DUMMYFUNCTION("IMPORTRANGE(H23110,""IDENTITAS UNIT!D9"")"),"#N/A")</f>
        <v>#N/A</v>
      </c>
      <c r="H23110" s="4" t="str">
        <v/>
      </c>
      <c r="I23110" s="4" t="str">
        <v/>
      </c>
    </row>
    <row r="23111" spans="5:9" ht="16.5" hidden="1">
      <c r="E23111" s="4" t="str">
        <v/>
      </c>
      <c r="F23111" s="102" t="str">
        <f ca="1">IFERROR(__xludf.DUMMYFUNCTION("IMPORTRANGE(H23111,""IDENTITAS UNIT!D9"")"),"#N/A")</f>
        <v>#N/A</v>
      </c>
      <c r="H23111" s="4" t="str">
        <v/>
      </c>
      <c r="I23111" s="4" t="str">
        <v/>
      </c>
    </row>
    <row r="23112" spans="5:9" ht="16.5" hidden="1">
      <c r="E23112" s="4" t="str">
        <v/>
      </c>
      <c r="F23112" s="102" t="str">
        <f ca="1">IFERROR(__xludf.DUMMYFUNCTION("IMPORTRANGE(H23112,""IDENTITAS UNIT!D9"")"),"#N/A")</f>
        <v>#N/A</v>
      </c>
      <c r="H23112" s="4" t="str">
        <v/>
      </c>
      <c r="I23112" s="4" t="str">
        <v/>
      </c>
    </row>
    <row r="23113" spans="5:9" ht="16.5" hidden="1">
      <c r="E23113" s="4" t="str">
        <v/>
      </c>
      <c r="F23113" s="102" t="str">
        <f ca="1">IFERROR(__xludf.DUMMYFUNCTION("IMPORTRANGE(H23113,""IDENTITAS UNIT!D9"")"),"#N/A")</f>
        <v>#N/A</v>
      </c>
      <c r="H23113" s="4" t="str">
        <v/>
      </c>
      <c r="I23113" s="4" t="str">
        <v/>
      </c>
    </row>
    <row r="23114" spans="5:9" ht="16.5" hidden="1">
      <c r="E23114" s="4" t="str">
        <v/>
      </c>
      <c r="F23114" s="102" t="str">
        <f ca="1">IFERROR(__xludf.DUMMYFUNCTION("IMPORTRANGE(H23114,""IDENTITAS UNIT!D9"")"),"#N/A")</f>
        <v>#N/A</v>
      </c>
      <c r="H23114" s="4" t="str">
        <v/>
      </c>
      <c r="I23114" s="4" t="str">
        <v/>
      </c>
    </row>
    <row r="23115" spans="5:9" ht="16.5" hidden="1">
      <c r="E23115" s="4" t="str">
        <v/>
      </c>
      <c r="F23115" s="102" t="str">
        <f ca="1">IFERROR(__xludf.DUMMYFUNCTION("IMPORTRANGE(H23115,""IDENTITAS UNIT!D9"")"),"#N/A")</f>
        <v>#N/A</v>
      </c>
      <c r="H23115" s="4" t="str">
        <v/>
      </c>
      <c r="I23115" s="4" t="str">
        <v/>
      </c>
    </row>
    <row r="23116" spans="5:9" ht="16.5" hidden="1">
      <c r="E23116" s="4" t="str">
        <v/>
      </c>
      <c r="F23116" s="102" t="str">
        <f ca="1">IFERROR(__xludf.DUMMYFUNCTION("IMPORTRANGE(H23116,""IDENTITAS UNIT!D9"")"),"#N/A")</f>
        <v>#N/A</v>
      </c>
      <c r="H23116" s="4" t="str">
        <v/>
      </c>
      <c r="I23116" s="4" t="str">
        <v/>
      </c>
    </row>
    <row r="23117" spans="5:9" ht="16.5" hidden="1">
      <c r="E23117" s="4" t="str">
        <v/>
      </c>
      <c r="F23117" s="102" t="str">
        <f ca="1">IFERROR(__xludf.DUMMYFUNCTION("IMPORTRANGE(H23117,""IDENTITAS UNIT!D9"")"),"#N/A")</f>
        <v>#N/A</v>
      </c>
      <c r="H23117" s="4" t="str">
        <v/>
      </c>
      <c r="I23117" s="4" t="str">
        <v/>
      </c>
    </row>
    <row r="23118" spans="5:9" ht="16.5" hidden="1">
      <c r="E23118" s="4" t="str">
        <v/>
      </c>
      <c r="F23118" s="102" t="str">
        <f ca="1">IFERROR(__xludf.DUMMYFUNCTION("IMPORTRANGE(H23118,""IDENTITAS UNIT!D9"")"),"#N/A")</f>
        <v>#N/A</v>
      </c>
      <c r="H23118" s="4" t="str">
        <v/>
      </c>
      <c r="I23118" s="4" t="str">
        <v/>
      </c>
    </row>
    <row r="23119" spans="5:9" ht="16.5" hidden="1">
      <c r="E23119" s="4" t="str">
        <v/>
      </c>
      <c r="F23119" s="102" t="str">
        <f ca="1">IFERROR(__xludf.DUMMYFUNCTION("IMPORTRANGE(H23119,""IDENTITAS UNIT!D9"")"),"#N/A")</f>
        <v>#N/A</v>
      </c>
      <c r="H23119" s="4" t="str">
        <v/>
      </c>
      <c r="I23119" s="4" t="str">
        <v/>
      </c>
    </row>
    <row r="23120" spans="5:9" ht="16.5" hidden="1">
      <c r="E23120" s="4" t="str">
        <v/>
      </c>
      <c r="F23120" s="102" t="str">
        <f ca="1">IFERROR(__xludf.DUMMYFUNCTION("IMPORTRANGE(H23120,""IDENTITAS UNIT!D9"")"),"#N/A")</f>
        <v>#N/A</v>
      </c>
      <c r="H23120" s="4" t="str">
        <v/>
      </c>
      <c r="I23120" s="4" t="str">
        <v/>
      </c>
    </row>
    <row r="23121" spans="5:9" ht="16.5" hidden="1">
      <c r="E23121" s="4" t="str">
        <v/>
      </c>
      <c r="F23121" s="102" t="str">
        <f ca="1">IFERROR(__xludf.DUMMYFUNCTION("IMPORTRANGE(H23121,""IDENTITAS UNIT!D9"")"),"#N/A")</f>
        <v>#N/A</v>
      </c>
      <c r="H23121" s="4" t="str">
        <v/>
      </c>
      <c r="I23121" s="4" t="str">
        <v/>
      </c>
    </row>
    <row r="23122" spans="5:9" ht="16.5" hidden="1">
      <c r="E23122" s="4" t="str">
        <v/>
      </c>
      <c r="F23122" s="102" t="str">
        <f ca="1">IFERROR(__xludf.DUMMYFUNCTION("IMPORTRANGE(H23122,""IDENTITAS UNIT!D9"")"),"#N/A")</f>
        <v>#N/A</v>
      </c>
      <c r="H23122" s="4" t="str">
        <v/>
      </c>
      <c r="I23122" s="4" t="str">
        <v/>
      </c>
    </row>
    <row r="23123" spans="5:9" ht="16.5" hidden="1">
      <c r="E23123" s="4" t="str">
        <v/>
      </c>
      <c r="F23123" s="102" t="str">
        <f ca="1">IFERROR(__xludf.DUMMYFUNCTION("IMPORTRANGE(H23123,""IDENTITAS UNIT!D9"")"),"#N/A")</f>
        <v>#N/A</v>
      </c>
      <c r="H23123" s="4" t="str">
        <v/>
      </c>
      <c r="I23123" s="4" t="str">
        <v/>
      </c>
    </row>
    <row r="23124" spans="5:9" ht="16.5" hidden="1">
      <c r="E23124" s="4" t="str">
        <v/>
      </c>
      <c r="F23124" s="102" t="str">
        <f ca="1">IFERROR(__xludf.DUMMYFUNCTION("IMPORTRANGE(H23124,""IDENTITAS UNIT!D9"")"),"#N/A")</f>
        <v>#N/A</v>
      </c>
      <c r="H23124" s="4" t="str">
        <v/>
      </c>
      <c r="I23124" s="4" t="str">
        <v/>
      </c>
    </row>
    <row r="23125" spans="5:9" ht="16.5" hidden="1">
      <c r="E23125" s="4" t="str">
        <v/>
      </c>
      <c r="F23125" s="102" t="str">
        <f ca="1">IFERROR(__xludf.DUMMYFUNCTION("IMPORTRANGE(H23125,""IDENTITAS UNIT!D9"")"),"#N/A")</f>
        <v>#N/A</v>
      </c>
      <c r="H23125" s="4" t="str">
        <v/>
      </c>
      <c r="I23125" s="4" t="str">
        <v/>
      </c>
    </row>
    <row r="23126" spans="5:9" ht="16.5" hidden="1">
      <c r="E23126" s="4" t="str">
        <v/>
      </c>
      <c r="F23126" s="102" t="str">
        <f ca="1">IFERROR(__xludf.DUMMYFUNCTION("IMPORTRANGE(H23126,""IDENTITAS UNIT!D9"")"),"#N/A")</f>
        <v>#N/A</v>
      </c>
      <c r="H23126" s="4" t="str">
        <v/>
      </c>
      <c r="I23126" s="4" t="str">
        <v/>
      </c>
    </row>
    <row r="23127" spans="5:9" ht="16.5" hidden="1">
      <c r="E23127" s="4" t="str">
        <v/>
      </c>
      <c r="F23127" s="102" t="str">
        <f ca="1">IFERROR(__xludf.DUMMYFUNCTION("IMPORTRANGE(H23127,""IDENTITAS UNIT!D9"")"),"#N/A")</f>
        <v>#N/A</v>
      </c>
      <c r="H23127" s="4" t="str">
        <v/>
      </c>
      <c r="I23127" s="4" t="str">
        <v/>
      </c>
    </row>
    <row r="23128" spans="5:9" ht="16.5" hidden="1">
      <c r="E23128" s="4" t="str">
        <v/>
      </c>
      <c r="F23128" s="102" t="str">
        <f ca="1">IFERROR(__xludf.DUMMYFUNCTION("IMPORTRANGE(H23128,""IDENTITAS UNIT!D9"")"),"#N/A")</f>
        <v>#N/A</v>
      </c>
      <c r="H23128" s="4" t="str">
        <v/>
      </c>
      <c r="I23128" s="4" t="str">
        <v/>
      </c>
    </row>
    <row r="23129" spans="5:9" ht="16.5" hidden="1">
      <c r="E23129" s="4" t="str">
        <v/>
      </c>
      <c r="F23129" s="102" t="str">
        <f ca="1">IFERROR(__xludf.DUMMYFUNCTION("IMPORTRANGE(H23129,""IDENTITAS UNIT!D9"")"),"#N/A")</f>
        <v>#N/A</v>
      </c>
      <c r="H23129" s="4" t="str">
        <v/>
      </c>
      <c r="I23129" s="4" t="str">
        <v/>
      </c>
    </row>
    <row r="23130" spans="5:9" ht="16.5" hidden="1">
      <c r="E23130" s="4" t="str">
        <v/>
      </c>
      <c r="F23130" s="102" t="str">
        <f ca="1">IFERROR(__xludf.DUMMYFUNCTION("IMPORTRANGE(H23130,""IDENTITAS UNIT!D9"")"),"#N/A")</f>
        <v>#N/A</v>
      </c>
      <c r="H23130" s="4" t="str">
        <v/>
      </c>
      <c r="I23130" s="4" t="str">
        <v/>
      </c>
    </row>
    <row r="23131" spans="5:9" ht="16.5" hidden="1">
      <c r="E23131" s="4" t="str">
        <v/>
      </c>
      <c r="F23131" s="102" t="str">
        <f ca="1">IFERROR(__xludf.DUMMYFUNCTION("IMPORTRANGE(H23131,""IDENTITAS UNIT!D9"")"),"#N/A")</f>
        <v>#N/A</v>
      </c>
      <c r="H23131" s="4" t="str">
        <v/>
      </c>
      <c r="I23131" s="4" t="str">
        <v/>
      </c>
    </row>
    <row r="23132" spans="5:9" ht="16.5" hidden="1">
      <c r="E23132" s="4" t="str">
        <v/>
      </c>
      <c r="F23132" s="102" t="str">
        <f ca="1">IFERROR(__xludf.DUMMYFUNCTION("IMPORTRANGE(H23132,""IDENTITAS UNIT!D9"")"),"#N/A")</f>
        <v>#N/A</v>
      </c>
      <c r="H23132" s="4" t="str">
        <v/>
      </c>
      <c r="I23132" s="4" t="str">
        <v/>
      </c>
    </row>
    <row r="23133" spans="5:9" ht="16.5" hidden="1">
      <c r="E23133" s="4" t="str">
        <v/>
      </c>
      <c r="F23133" s="102" t="str">
        <f ca="1">IFERROR(__xludf.DUMMYFUNCTION("IMPORTRANGE(H23133,""IDENTITAS UNIT!D9"")"),"#N/A")</f>
        <v>#N/A</v>
      </c>
      <c r="H23133" s="4" t="str">
        <v/>
      </c>
      <c r="I23133" s="4" t="str">
        <v/>
      </c>
    </row>
    <row r="23134" spans="5:9" ht="16.5" hidden="1">
      <c r="E23134" s="4" t="str">
        <v/>
      </c>
      <c r="F23134" s="102" t="str">
        <f ca="1">IFERROR(__xludf.DUMMYFUNCTION("IMPORTRANGE(H23134,""IDENTITAS UNIT!D9"")"),"#N/A")</f>
        <v>#N/A</v>
      </c>
      <c r="H23134" s="4" t="str">
        <v/>
      </c>
      <c r="I23134" s="4" t="str">
        <v/>
      </c>
    </row>
    <row r="23135" spans="5:9" ht="16.5" hidden="1">
      <c r="E23135" s="4" t="str">
        <v/>
      </c>
      <c r="F23135" s="102" t="str">
        <f ca="1">IFERROR(__xludf.DUMMYFUNCTION("IMPORTRANGE(H23135,""IDENTITAS UNIT!D9"")"),"#N/A")</f>
        <v>#N/A</v>
      </c>
      <c r="H23135" s="4" t="str">
        <v/>
      </c>
      <c r="I23135" s="4" t="str">
        <v/>
      </c>
    </row>
    <row r="23136" spans="5:9" ht="16.5" hidden="1">
      <c r="E23136" s="4" t="str">
        <v/>
      </c>
      <c r="F23136" s="102" t="str">
        <f ca="1">IFERROR(__xludf.DUMMYFUNCTION("IMPORTRANGE(H23136,""IDENTITAS UNIT!D9"")"),"#N/A")</f>
        <v>#N/A</v>
      </c>
      <c r="H23136" s="4" t="str">
        <v/>
      </c>
      <c r="I23136" s="4" t="str">
        <v/>
      </c>
    </row>
    <row r="23137" spans="5:9" ht="16.5" hidden="1">
      <c r="E23137" s="4" t="str">
        <v/>
      </c>
      <c r="F23137" s="102" t="str">
        <f ca="1">IFERROR(__xludf.DUMMYFUNCTION("IMPORTRANGE(H23137,""IDENTITAS UNIT!D9"")"),"#N/A")</f>
        <v>#N/A</v>
      </c>
      <c r="H23137" s="4" t="str">
        <v/>
      </c>
      <c r="I23137" s="4" t="str">
        <v/>
      </c>
    </row>
    <row r="23138" spans="5:9" ht="16.5" hidden="1">
      <c r="E23138" s="4" t="str">
        <v/>
      </c>
      <c r="F23138" s="102" t="str">
        <f ca="1">IFERROR(__xludf.DUMMYFUNCTION("IMPORTRANGE(H23138,""IDENTITAS UNIT!D9"")"),"#N/A")</f>
        <v>#N/A</v>
      </c>
      <c r="H23138" s="4" t="str">
        <v/>
      </c>
      <c r="I23138" s="4" t="str">
        <v/>
      </c>
    </row>
    <row r="23139" spans="5:9" ht="16.5" hidden="1">
      <c r="E23139" s="4" t="str">
        <v/>
      </c>
      <c r="F23139" s="102" t="str">
        <f ca="1">IFERROR(__xludf.DUMMYFUNCTION("IMPORTRANGE(H23139,""IDENTITAS UNIT!D9"")"),"#N/A")</f>
        <v>#N/A</v>
      </c>
      <c r="H23139" s="4" t="str">
        <v/>
      </c>
      <c r="I23139" s="4" t="str">
        <v/>
      </c>
    </row>
    <row r="23140" spans="5:9" ht="16.5" hidden="1">
      <c r="E23140" s="4" t="str">
        <v/>
      </c>
      <c r="F23140" s="102" t="str">
        <f ca="1">IFERROR(__xludf.DUMMYFUNCTION("IMPORTRANGE(H23140,""IDENTITAS UNIT!D9"")"),"#N/A")</f>
        <v>#N/A</v>
      </c>
      <c r="H23140" s="4" t="str">
        <v/>
      </c>
      <c r="I23140" s="4" t="str">
        <v/>
      </c>
    </row>
    <row r="23141" spans="5:9" ht="16.5" hidden="1">
      <c r="E23141" s="4" t="str">
        <v/>
      </c>
      <c r="F23141" s="102" t="str">
        <f ca="1">IFERROR(__xludf.DUMMYFUNCTION("IMPORTRANGE(H23141,""IDENTITAS UNIT!D9"")"),"#N/A")</f>
        <v>#N/A</v>
      </c>
      <c r="H23141" s="4" t="str">
        <v/>
      </c>
      <c r="I23141" s="4" t="str">
        <v/>
      </c>
    </row>
    <row r="23142" spans="5:9" ht="16.5" hidden="1">
      <c r="E23142" s="4" t="str">
        <v/>
      </c>
      <c r="F23142" s="102" t="str">
        <f ca="1">IFERROR(__xludf.DUMMYFUNCTION("IMPORTRANGE(H23142,""IDENTITAS UNIT!D9"")"),"#N/A")</f>
        <v>#N/A</v>
      </c>
      <c r="H23142" s="4" t="str">
        <v/>
      </c>
      <c r="I23142" s="4" t="str">
        <v/>
      </c>
    </row>
    <row r="23143" spans="5:9" ht="16.5" hidden="1">
      <c r="E23143" s="4" t="str">
        <v/>
      </c>
      <c r="F23143" s="102" t="str">
        <f ca="1">IFERROR(__xludf.DUMMYFUNCTION("IMPORTRANGE(H23143,""IDENTITAS UNIT!D9"")"),"#N/A")</f>
        <v>#N/A</v>
      </c>
      <c r="H23143" s="4" t="str">
        <v/>
      </c>
      <c r="I23143" s="4" t="str">
        <v/>
      </c>
    </row>
    <row r="23144" spans="5:9" ht="16.5" hidden="1">
      <c r="E23144" s="4" t="str">
        <v/>
      </c>
      <c r="F23144" s="102" t="str">
        <f ca="1">IFERROR(__xludf.DUMMYFUNCTION("IMPORTRANGE(H23144,""IDENTITAS UNIT!D9"")"),"#N/A")</f>
        <v>#N/A</v>
      </c>
      <c r="H23144" s="4" t="str">
        <v/>
      </c>
      <c r="I23144" s="4" t="str">
        <v/>
      </c>
    </row>
    <row r="23145" spans="5:9" ht="16.5" hidden="1">
      <c r="E23145" s="4" t="str">
        <v/>
      </c>
      <c r="F23145" s="102" t="str">
        <f ca="1">IFERROR(__xludf.DUMMYFUNCTION("IMPORTRANGE(H23145,""IDENTITAS UNIT!D9"")"),"#N/A")</f>
        <v>#N/A</v>
      </c>
      <c r="H23145" s="4" t="str">
        <v/>
      </c>
      <c r="I23145" s="4" t="str">
        <v/>
      </c>
    </row>
    <row r="23146" spans="5:9" ht="16.5" hidden="1">
      <c r="E23146" s="4" t="str">
        <v/>
      </c>
      <c r="F23146" s="102" t="str">
        <f ca="1">IFERROR(__xludf.DUMMYFUNCTION("IMPORTRANGE(H23146,""IDENTITAS UNIT!D9"")"),"#N/A")</f>
        <v>#N/A</v>
      </c>
      <c r="H23146" s="4" t="str">
        <v/>
      </c>
      <c r="I23146" s="4" t="str">
        <v/>
      </c>
    </row>
    <row r="23147" spans="5:9" ht="16.5" hidden="1">
      <c r="E23147" s="4" t="str">
        <v/>
      </c>
      <c r="F23147" s="102" t="str">
        <f ca="1">IFERROR(__xludf.DUMMYFUNCTION("IMPORTRANGE(H23147,""IDENTITAS UNIT!D9"")"),"#N/A")</f>
        <v>#N/A</v>
      </c>
      <c r="H23147" s="4" t="str">
        <v/>
      </c>
      <c r="I23147" s="4" t="str">
        <v/>
      </c>
    </row>
    <row r="23148" spans="5:9" ht="16.5" hidden="1">
      <c r="E23148" s="4" t="str">
        <v/>
      </c>
      <c r="F23148" s="102" t="str">
        <f ca="1">IFERROR(__xludf.DUMMYFUNCTION("IMPORTRANGE(H23148,""IDENTITAS UNIT!D9"")"),"#N/A")</f>
        <v>#N/A</v>
      </c>
      <c r="H23148" s="4" t="str">
        <v/>
      </c>
      <c r="I23148" s="4" t="str">
        <v/>
      </c>
    </row>
    <row r="23149" spans="5:9" ht="16.5" hidden="1">
      <c r="E23149" s="4" t="str">
        <v/>
      </c>
      <c r="F23149" s="102" t="str">
        <f ca="1">IFERROR(__xludf.DUMMYFUNCTION("IMPORTRANGE(H23149,""IDENTITAS UNIT!D9"")"),"#N/A")</f>
        <v>#N/A</v>
      </c>
      <c r="H23149" s="4" t="str">
        <v/>
      </c>
      <c r="I23149" s="4" t="str">
        <v/>
      </c>
    </row>
    <row r="23150" spans="5:9" ht="16.5" hidden="1">
      <c r="E23150" s="4" t="str">
        <v/>
      </c>
      <c r="F23150" s="102" t="str">
        <f ca="1">IFERROR(__xludf.DUMMYFUNCTION("IMPORTRANGE(H23150,""IDENTITAS UNIT!D9"")"),"#N/A")</f>
        <v>#N/A</v>
      </c>
      <c r="H23150" s="4" t="str">
        <v/>
      </c>
      <c r="I23150" s="4" t="str">
        <v/>
      </c>
    </row>
    <row r="23151" spans="5:9" ht="16.5" hidden="1">
      <c r="E23151" s="4" t="str">
        <v/>
      </c>
      <c r="F23151" s="102" t="str">
        <f ca="1">IFERROR(__xludf.DUMMYFUNCTION("IMPORTRANGE(H23151,""IDENTITAS UNIT!D9"")"),"#N/A")</f>
        <v>#N/A</v>
      </c>
      <c r="H23151" s="4" t="str">
        <v/>
      </c>
      <c r="I23151" s="4" t="str">
        <v/>
      </c>
    </row>
    <row r="23152" spans="5:9" ht="16.5" hidden="1">
      <c r="E23152" s="4" t="str">
        <v/>
      </c>
      <c r="F23152" s="102" t="str">
        <f ca="1">IFERROR(__xludf.DUMMYFUNCTION("IMPORTRANGE(H23152,""IDENTITAS UNIT!D9"")"),"#N/A")</f>
        <v>#N/A</v>
      </c>
      <c r="H23152" s="4" t="str">
        <v/>
      </c>
      <c r="I23152" s="4" t="str">
        <v/>
      </c>
    </row>
    <row r="23153" spans="5:9" ht="16.5" hidden="1">
      <c r="E23153" s="4" t="str">
        <v/>
      </c>
      <c r="F23153" s="102" t="str">
        <f ca="1">IFERROR(__xludf.DUMMYFUNCTION("IMPORTRANGE(H23153,""IDENTITAS UNIT!D9"")"),"#N/A")</f>
        <v>#N/A</v>
      </c>
      <c r="H23153" s="4" t="str">
        <v/>
      </c>
      <c r="I23153" s="4" t="str">
        <v/>
      </c>
    </row>
    <row r="23154" spans="5:9" ht="16.5" hidden="1">
      <c r="E23154" s="4" t="str">
        <v/>
      </c>
      <c r="F23154" s="102" t="str">
        <f ca="1">IFERROR(__xludf.DUMMYFUNCTION("IMPORTRANGE(H23154,""IDENTITAS UNIT!D9"")"),"#N/A")</f>
        <v>#N/A</v>
      </c>
      <c r="H23154" s="4" t="str">
        <v/>
      </c>
      <c r="I23154" s="4" t="str">
        <v/>
      </c>
    </row>
    <row r="23155" spans="5:9" ht="16.5" hidden="1">
      <c r="E23155" s="4" t="str">
        <v/>
      </c>
      <c r="F23155" s="102" t="str">
        <f ca="1">IFERROR(__xludf.DUMMYFUNCTION("IMPORTRANGE(H23155,""IDENTITAS UNIT!D9"")"),"#N/A")</f>
        <v>#N/A</v>
      </c>
      <c r="H23155" s="4" t="str">
        <v/>
      </c>
      <c r="I23155" s="4" t="str">
        <v/>
      </c>
    </row>
    <row r="23156" spans="5:9" ht="16.5" hidden="1">
      <c r="E23156" s="4" t="str">
        <v/>
      </c>
      <c r="F23156" s="102" t="str">
        <f ca="1">IFERROR(__xludf.DUMMYFUNCTION("IMPORTRANGE(H23156,""IDENTITAS UNIT!D9"")"),"#N/A")</f>
        <v>#N/A</v>
      </c>
      <c r="H23156" s="4" t="str">
        <v/>
      </c>
      <c r="I23156" s="4" t="str">
        <v/>
      </c>
    </row>
    <row r="23157" spans="5:9" ht="16.5" hidden="1">
      <c r="E23157" s="4" t="str">
        <v/>
      </c>
      <c r="F23157" s="102" t="str">
        <f ca="1">IFERROR(__xludf.DUMMYFUNCTION("IMPORTRANGE(H23157,""IDENTITAS UNIT!D9"")"),"#N/A")</f>
        <v>#N/A</v>
      </c>
      <c r="H23157" s="4" t="str">
        <v/>
      </c>
      <c r="I23157" s="4" t="str">
        <v/>
      </c>
    </row>
    <row r="23158" spans="5:9" ht="16.5" hidden="1">
      <c r="E23158" s="4" t="str">
        <v/>
      </c>
      <c r="F23158" s="102" t="str">
        <f ca="1">IFERROR(__xludf.DUMMYFUNCTION("IMPORTRANGE(H23158,""IDENTITAS UNIT!D9"")"),"#N/A")</f>
        <v>#N/A</v>
      </c>
      <c r="H23158" s="4" t="str">
        <v/>
      </c>
      <c r="I23158" s="4" t="str">
        <v/>
      </c>
    </row>
    <row r="23159" spans="5:9" ht="16.5" hidden="1">
      <c r="E23159" s="4" t="str">
        <v/>
      </c>
      <c r="F23159" s="102" t="str">
        <f ca="1">IFERROR(__xludf.DUMMYFUNCTION("IMPORTRANGE(H23159,""IDENTITAS UNIT!D9"")"),"#N/A")</f>
        <v>#N/A</v>
      </c>
      <c r="H23159" s="4" t="str">
        <v/>
      </c>
      <c r="I23159" s="4" t="str">
        <v/>
      </c>
    </row>
    <row r="23160" spans="5:9" ht="16.5" hidden="1">
      <c r="E23160" s="4" t="str">
        <v/>
      </c>
      <c r="F23160" s="102" t="str">
        <f ca="1">IFERROR(__xludf.DUMMYFUNCTION("IMPORTRANGE(H23160,""IDENTITAS UNIT!D9"")"),"#N/A")</f>
        <v>#N/A</v>
      </c>
      <c r="H23160" s="4" t="str">
        <v/>
      </c>
      <c r="I23160" s="4" t="str">
        <v/>
      </c>
    </row>
    <row r="23161" spans="5:9" ht="16.5" hidden="1">
      <c r="E23161" s="4" t="str">
        <v/>
      </c>
      <c r="F23161" s="102" t="str">
        <f ca="1">IFERROR(__xludf.DUMMYFUNCTION("IMPORTRANGE(H23161,""IDENTITAS UNIT!D9"")"),"#N/A")</f>
        <v>#N/A</v>
      </c>
      <c r="H23161" s="4" t="str">
        <v/>
      </c>
      <c r="I23161" s="4" t="str">
        <v/>
      </c>
    </row>
    <row r="23162" spans="5:9" ht="16.5" hidden="1">
      <c r="E23162" s="4" t="str">
        <v/>
      </c>
      <c r="F23162" s="102" t="str">
        <f ca="1">IFERROR(__xludf.DUMMYFUNCTION("IMPORTRANGE(H23162,""IDENTITAS UNIT!D9"")"),"#N/A")</f>
        <v>#N/A</v>
      </c>
      <c r="H23162" s="4" t="str">
        <v/>
      </c>
      <c r="I23162" s="4" t="str">
        <v/>
      </c>
    </row>
    <row r="23163" spans="5:9" ht="16.5" hidden="1">
      <c r="E23163" s="4" t="str">
        <v/>
      </c>
      <c r="F23163" s="102" t="str">
        <f ca="1">IFERROR(__xludf.DUMMYFUNCTION("IMPORTRANGE(H23163,""IDENTITAS UNIT!D9"")"),"#N/A")</f>
        <v>#N/A</v>
      </c>
      <c r="H23163" s="4" t="str">
        <v/>
      </c>
      <c r="I23163" s="4" t="str">
        <v/>
      </c>
    </row>
    <row r="23164" spans="5:9" ht="16.5" hidden="1">
      <c r="E23164" s="4" t="str">
        <v/>
      </c>
      <c r="F23164" s="102" t="str">
        <f ca="1">IFERROR(__xludf.DUMMYFUNCTION("IMPORTRANGE(H23164,""IDENTITAS UNIT!D9"")"),"#N/A")</f>
        <v>#N/A</v>
      </c>
      <c r="H23164" s="4" t="str">
        <v/>
      </c>
      <c r="I23164" s="4" t="str">
        <v/>
      </c>
    </row>
    <row r="23165" spans="5:9" ht="16.5" hidden="1">
      <c r="E23165" s="4" t="str">
        <v/>
      </c>
      <c r="F23165" s="102" t="str">
        <f ca="1">IFERROR(__xludf.DUMMYFUNCTION("IMPORTRANGE(H23165,""IDENTITAS UNIT!D9"")"),"#N/A")</f>
        <v>#N/A</v>
      </c>
      <c r="H23165" s="4" t="str">
        <v/>
      </c>
      <c r="I23165" s="4" t="str">
        <v/>
      </c>
    </row>
    <row r="23166" spans="5:9" ht="16.5" hidden="1">
      <c r="E23166" s="4" t="str">
        <v/>
      </c>
      <c r="F23166" s="102" t="str">
        <f ca="1">IFERROR(__xludf.DUMMYFUNCTION("IMPORTRANGE(H23166,""IDENTITAS UNIT!D9"")"),"#N/A")</f>
        <v>#N/A</v>
      </c>
      <c r="H23166" s="4" t="str">
        <v/>
      </c>
      <c r="I23166" s="4" t="str">
        <v/>
      </c>
    </row>
    <row r="23167" spans="5:9" ht="16.5" hidden="1">
      <c r="E23167" s="4" t="str">
        <v/>
      </c>
      <c r="F23167" s="102" t="str">
        <f ca="1">IFERROR(__xludf.DUMMYFUNCTION("IMPORTRANGE(H23167,""IDENTITAS UNIT!D9"")"),"#N/A")</f>
        <v>#N/A</v>
      </c>
      <c r="H23167" s="4" t="str">
        <v/>
      </c>
      <c r="I23167" s="4" t="str">
        <v/>
      </c>
    </row>
    <row r="23168" spans="5:9" ht="16.5" hidden="1">
      <c r="E23168" s="4" t="str">
        <v/>
      </c>
      <c r="F23168" s="102" t="str">
        <f ca="1">IFERROR(__xludf.DUMMYFUNCTION("IMPORTRANGE(H23168,""IDENTITAS UNIT!D9"")"),"#N/A")</f>
        <v>#N/A</v>
      </c>
      <c r="H23168" s="4" t="str">
        <v/>
      </c>
      <c r="I23168" s="4" t="str">
        <v/>
      </c>
    </row>
    <row r="23169" spans="5:9" ht="16.5" hidden="1">
      <c r="E23169" s="4" t="str">
        <v/>
      </c>
      <c r="F23169" s="102" t="str">
        <f ca="1">IFERROR(__xludf.DUMMYFUNCTION("IMPORTRANGE(H23169,""IDENTITAS UNIT!D9"")"),"#N/A")</f>
        <v>#N/A</v>
      </c>
      <c r="H23169" s="4" t="str">
        <v/>
      </c>
      <c r="I23169" s="4" t="str">
        <v/>
      </c>
    </row>
    <row r="23170" spans="5:9" ht="16.5" hidden="1">
      <c r="E23170" s="4" t="str">
        <v/>
      </c>
      <c r="F23170" s="102" t="str">
        <f ca="1">IFERROR(__xludf.DUMMYFUNCTION("IMPORTRANGE(H23170,""IDENTITAS UNIT!D9"")"),"#N/A")</f>
        <v>#N/A</v>
      </c>
      <c r="H23170" s="4" t="str">
        <v/>
      </c>
      <c r="I23170" s="4" t="str">
        <v/>
      </c>
    </row>
    <row r="23171" spans="5:9" ht="16.5" hidden="1">
      <c r="E23171" s="4" t="str">
        <v/>
      </c>
      <c r="F23171" s="102" t="str">
        <f ca="1">IFERROR(__xludf.DUMMYFUNCTION("IMPORTRANGE(H23171,""IDENTITAS UNIT!D9"")"),"#N/A")</f>
        <v>#N/A</v>
      </c>
      <c r="H23171" s="4" t="str">
        <v/>
      </c>
      <c r="I23171" s="4" t="str">
        <v/>
      </c>
    </row>
    <row r="23172" spans="5:9" ht="16.5" hidden="1">
      <c r="E23172" s="4" t="str">
        <v/>
      </c>
      <c r="F23172" s="102" t="str">
        <f ca="1">IFERROR(__xludf.DUMMYFUNCTION("IMPORTRANGE(H23172,""IDENTITAS UNIT!D9"")"),"#N/A")</f>
        <v>#N/A</v>
      </c>
      <c r="H23172" s="4" t="str">
        <v/>
      </c>
      <c r="I23172" s="4" t="str">
        <v/>
      </c>
    </row>
    <row r="23173" spans="5:9" ht="16.5" hidden="1">
      <c r="E23173" s="4" t="str">
        <v/>
      </c>
      <c r="F23173" s="102" t="str">
        <f ca="1">IFERROR(__xludf.DUMMYFUNCTION("IMPORTRANGE(H23173,""IDENTITAS UNIT!D9"")"),"#N/A")</f>
        <v>#N/A</v>
      </c>
      <c r="H23173" s="4" t="str">
        <v/>
      </c>
      <c r="I23173" s="4" t="str">
        <v/>
      </c>
    </row>
    <row r="23174" spans="5:9" ht="16.5" hidden="1">
      <c r="E23174" s="4" t="str">
        <v/>
      </c>
      <c r="F23174" s="102" t="str">
        <f ca="1">IFERROR(__xludf.DUMMYFUNCTION("IMPORTRANGE(H23174,""IDENTITAS UNIT!D9"")"),"#N/A")</f>
        <v>#N/A</v>
      </c>
      <c r="H23174" s="4" t="str">
        <v/>
      </c>
      <c r="I23174" s="4" t="str">
        <v/>
      </c>
    </row>
    <row r="23175" spans="5:9" ht="16.5" hidden="1">
      <c r="E23175" s="4" t="str">
        <v/>
      </c>
      <c r="F23175" s="102" t="str">
        <f ca="1">IFERROR(__xludf.DUMMYFUNCTION("IMPORTRANGE(H23175,""IDENTITAS UNIT!D9"")"),"#N/A")</f>
        <v>#N/A</v>
      </c>
      <c r="H23175" s="4" t="str">
        <v/>
      </c>
      <c r="I23175" s="4" t="str">
        <v/>
      </c>
    </row>
    <row r="23176" spans="5:9" ht="16.5" hidden="1">
      <c r="E23176" s="4" t="str">
        <v/>
      </c>
      <c r="F23176" s="102" t="str">
        <f ca="1">IFERROR(__xludf.DUMMYFUNCTION("IMPORTRANGE(H23176,""IDENTITAS UNIT!D9"")"),"#N/A")</f>
        <v>#N/A</v>
      </c>
      <c r="H23176" s="4" t="str">
        <v/>
      </c>
      <c r="I23176" s="4" t="str">
        <v/>
      </c>
    </row>
    <row r="23177" spans="5:9" ht="16.5" hidden="1">
      <c r="E23177" s="4" t="str">
        <v/>
      </c>
      <c r="F23177" s="102" t="str">
        <f ca="1">IFERROR(__xludf.DUMMYFUNCTION("IMPORTRANGE(H23177,""IDENTITAS UNIT!D9"")"),"#N/A")</f>
        <v>#N/A</v>
      </c>
      <c r="H23177" s="4" t="str">
        <v/>
      </c>
      <c r="I23177" s="4" t="str">
        <v/>
      </c>
    </row>
    <row r="23178" spans="5:9" ht="16.5" hidden="1">
      <c r="E23178" s="4" t="str">
        <v/>
      </c>
      <c r="F23178" s="102" t="str">
        <f ca="1">IFERROR(__xludf.DUMMYFUNCTION("IMPORTRANGE(H23178,""IDENTITAS UNIT!D9"")"),"#N/A")</f>
        <v>#N/A</v>
      </c>
      <c r="H23178" s="4" t="str">
        <v/>
      </c>
      <c r="I23178" s="4" t="str">
        <v/>
      </c>
    </row>
    <row r="23179" spans="5:9" ht="16.5" hidden="1">
      <c r="E23179" s="4" t="str">
        <v/>
      </c>
      <c r="F23179" s="102" t="str">
        <f ca="1">IFERROR(__xludf.DUMMYFUNCTION("IMPORTRANGE(H23179,""IDENTITAS UNIT!D9"")"),"#N/A")</f>
        <v>#N/A</v>
      </c>
      <c r="H23179" s="4" t="str">
        <v/>
      </c>
      <c r="I23179" s="4" t="str">
        <v/>
      </c>
    </row>
    <row r="23180" spans="5:9" ht="16.5" hidden="1">
      <c r="E23180" s="4" t="str">
        <v/>
      </c>
      <c r="F23180" s="102" t="str">
        <f ca="1">IFERROR(__xludf.DUMMYFUNCTION("IMPORTRANGE(H23180,""IDENTITAS UNIT!D9"")"),"#N/A")</f>
        <v>#N/A</v>
      </c>
      <c r="H23180" s="4" t="str">
        <v/>
      </c>
      <c r="I23180" s="4" t="str">
        <v/>
      </c>
    </row>
    <row r="23181" spans="5:9" ht="16.5" hidden="1">
      <c r="E23181" s="4" t="str">
        <v/>
      </c>
      <c r="F23181" s="102" t="str">
        <f ca="1">IFERROR(__xludf.DUMMYFUNCTION("IMPORTRANGE(H23181,""IDENTITAS UNIT!D9"")"),"#N/A")</f>
        <v>#N/A</v>
      </c>
      <c r="H23181" s="4" t="str">
        <v/>
      </c>
      <c r="I23181" s="4" t="str">
        <v/>
      </c>
    </row>
    <row r="23182" spans="5:9" ht="16.5" hidden="1">
      <c r="E23182" s="4" t="str">
        <v/>
      </c>
      <c r="F23182" s="102" t="str">
        <f ca="1">IFERROR(__xludf.DUMMYFUNCTION("IMPORTRANGE(H23182,""IDENTITAS UNIT!D9"")"),"#N/A")</f>
        <v>#N/A</v>
      </c>
      <c r="H23182" s="4" t="str">
        <v/>
      </c>
      <c r="I23182" s="4" t="str">
        <v/>
      </c>
    </row>
    <row r="23183" spans="5:9" ht="16.5" hidden="1">
      <c r="E23183" s="4" t="str">
        <v/>
      </c>
      <c r="F23183" s="102" t="str">
        <f ca="1">IFERROR(__xludf.DUMMYFUNCTION("IMPORTRANGE(H23183,""IDENTITAS UNIT!D9"")"),"#N/A")</f>
        <v>#N/A</v>
      </c>
      <c r="H23183" s="4" t="str">
        <v/>
      </c>
      <c r="I23183" s="4" t="str">
        <v/>
      </c>
    </row>
    <row r="23184" spans="5:9" ht="16.5" hidden="1">
      <c r="E23184" s="4" t="str">
        <v/>
      </c>
      <c r="F23184" s="102" t="str">
        <f ca="1">IFERROR(__xludf.DUMMYFUNCTION("IMPORTRANGE(H23184,""IDENTITAS UNIT!D9"")"),"#N/A")</f>
        <v>#N/A</v>
      </c>
      <c r="H23184" s="4" t="str">
        <v/>
      </c>
      <c r="I23184" s="4" t="str">
        <v/>
      </c>
    </row>
    <row r="23185" spans="5:9" ht="16.5" hidden="1">
      <c r="E23185" s="4" t="str">
        <v/>
      </c>
      <c r="F23185" s="102" t="str">
        <f ca="1">IFERROR(__xludf.DUMMYFUNCTION("IMPORTRANGE(H23185,""IDENTITAS UNIT!D9"")"),"#N/A")</f>
        <v>#N/A</v>
      </c>
      <c r="H23185" s="4" t="str">
        <v/>
      </c>
      <c r="I23185" s="4" t="str">
        <v/>
      </c>
    </row>
    <row r="23186" spans="5:9" ht="16.5" hidden="1">
      <c r="E23186" s="4" t="str">
        <v/>
      </c>
      <c r="F23186" s="102" t="str">
        <f ca="1">IFERROR(__xludf.DUMMYFUNCTION("IMPORTRANGE(H23186,""IDENTITAS UNIT!D9"")"),"#N/A")</f>
        <v>#N/A</v>
      </c>
      <c r="H23186" s="4" t="str">
        <v/>
      </c>
      <c r="I23186" s="4" t="str">
        <v/>
      </c>
    </row>
    <row r="23187" spans="5:9" ht="16.5" hidden="1">
      <c r="E23187" s="4" t="str">
        <v/>
      </c>
      <c r="F23187" s="102" t="str">
        <f ca="1">IFERROR(__xludf.DUMMYFUNCTION("IMPORTRANGE(H23187,""IDENTITAS UNIT!D9"")"),"#N/A")</f>
        <v>#N/A</v>
      </c>
      <c r="H23187" s="4" t="str">
        <v/>
      </c>
      <c r="I23187" s="4" t="str">
        <v/>
      </c>
    </row>
    <row r="23188" spans="5:9" ht="16.5" hidden="1">
      <c r="E23188" s="4" t="str">
        <v/>
      </c>
      <c r="F23188" s="102" t="str">
        <f ca="1">IFERROR(__xludf.DUMMYFUNCTION("IMPORTRANGE(H23188,""IDENTITAS UNIT!D9"")"),"#N/A")</f>
        <v>#N/A</v>
      </c>
      <c r="H23188" s="4" t="str">
        <v/>
      </c>
      <c r="I23188" s="4" t="str">
        <v/>
      </c>
    </row>
    <row r="23189" spans="5:9" ht="16.5" hidden="1">
      <c r="E23189" s="4" t="str">
        <v/>
      </c>
      <c r="F23189" s="102" t="str">
        <f ca="1">IFERROR(__xludf.DUMMYFUNCTION("IMPORTRANGE(H23189,""IDENTITAS UNIT!D9"")"),"#N/A")</f>
        <v>#N/A</v>
      </c>
      <c r="H23189" s="4" t="str">
        <v/>
      </c>
      <c r="I23189" s="4" t="str">
        <v/>
      </c>
    </row>
    <row r="23190" spans="5:9" ht="16.5" hidden="1">
      <c r="E23190" s="4" t="str">
        <v/>
      </c>
      <c r="F23190" s="102" t="str">
        <f ca="1">IFERROR(__xludf.DUMMYFUNCTION("IMPORTRANGE(H23190,""IDENTITAS UNIT!D9"")"),"#N/A")</f>
        <v>#N/A</v>
      </c>
      <c r="H23190" s="4" t="str">
        <v/>
      </c>
      <c r="I23190" s="4" t="str">
        <v/>
      </c>
    </row>
    <row r="23191" spans="5:9" ht="16.5" hidden="1">
      <c r="E23191" s="4" t="str">
        <v/>
      </c>
      <c r="F23191" s="102" t="str">
        <f ca="1">IFERROR(__xludf.DUMMYFUNCTION("IMPORTRANGE(H23191,""IDENTITAS UNIT!D9"")"),"#N/A")</f>
        <v>#N/A</v>
      </c>
      <c r="H23191" s="4" t="str">
        <v/>
      </c>
      <c r="I23191" s="4" t="str">
        <v/>
      </c>
    </row>
    <row r="23192" spans="5:9" ht="16.5" hidden="1">
      <c r="E23192" s="4" t="str">
        <v/>
      </c>
      <c r="F23192" s="102" t="str">
        <f ca="1">IFERROR(__xludf.DUMMYFUNCTION("IMPORTRANGE(H23192,""IDENTITAS UNIT!D9"")"),"#N/A")</f>
        <v>#N/A</v>
      </c>
      <c r="H23192" s="4" t="str">
        <v/>
      </c>
      <c r="I23192" s="4" t="str">
        <v/>
      </c>
    </row>
    <row r="23193" spans="5:9" ht="16.5" hidden="1">
      <c r="E23193" s="4" t="str">
        <v/>
      </c>
      <c r="F23193" s="102" t="str">
        <f ca="1">IFERROR(__xludf.DUMMYFUNCTION("IMPORTRANGE(H23193,""IDENTITAS UNIT!D9"")"),"#N/A")</f>
        <v>#N/A</v>
      </c>
      <c r="H23193" s="4" t="str">
        <v/>
      </c>
      <c r="I23193" s="4" t="str">
        <v/>
      </c>
    </row>
    <row r="23194" spans="5:9" ht="16.5" hidden="1">
      <c r="E23194" s="4" t="str">
        <v/>
      </c>
      <c r="F23194" s="102" t="str">
        <f ca="1">IFERROR(__xludf.DUMMYFUNCTION("IMPORTRANGE(H23194,""IDENTITAS UNIT!D9"")"),"#N/A")</f>
        <v>#N/A</v>
      </c>
      <c r="H23194" s="4" t="str">
        <v/>
      </c>
      <c r="I23194" s="4" t="str">
        <v/>
      </c>
    </row>
    <row r="23195" spans="5:9" ht="16.5" hidden="1">
      <c r="E23195" s="4" t="str">
        <v/>
      </c>
      <c r="F23195" s="102" t="str">
        <f ca="1">IFERROR(__xludf.DUMMYFUNCTION("IMPORTRANGE(H23195,""IDENTITAS UNIT!D9"")"),"#N/A")</f>
        <v>#N/A</v>
      </c>
      <c r="H23195" s="4" t="str">
        <v/>
      </c>
      <c r="I23195" s="4" t="str">
        <v/>
      </c>
    </row>
    <row r="23196" spans="5:9" ht="16.5" hidden="1">
      <c r="E23196" s="4" t="str">
        <v/>
      </c>
      <c r="F23196" s="102" t="str">
        <f ca="1">IFERROR(__xludf.DUMMYFUNCTION("IMPORTRANGE(H23196,""IDENTITAS UNIT!D9"")"),"#N/A")</f>
        <v>#N/A</v>
      </c>
      <c r="H23196" s="4" t="str">
        <v/>
      </c>
      <c r="I23196" s="4" t="str">
        <v/>
      </c>
    </row>
    <row r="23197" spans="5:9" ht="16.5" hidden="1">
      <c r="E23197" s="4" t="str">
        <v/>
      </c>
      <c r="F23197" s="102" t="str">
        <f ca="1">IFERROR(__xludf.DUMMYFUNCTION("IMPORTRANGE(H23197,""IDENTITAS UNIT!D9"")"),"#N/A")</f>
        <v>#N/A</v>
      </c>
      <c r="H23197" s="4" t="str">
        <v/>
      </c>
      <c r="I23197" s="4" t="str">
        <v/>
      </c>
    </row>
    <row r="23198" spans="5:9" ht="16.5" hidden="1">
      <c r="E23198" s="4" t="str">
        <v/>
      </c>
      <c r="F23198" s="102" t="str">
        <f ca="1">IFERROR(__xludf.DUMMYFUNCTION("IMPORTRANGE(H23198,""IDENTITAS UNIT!D9"")"),"#N/A")</f>
        <v>#N/A</v>
      </c>
      <c r="H23198" s="4" t="str">
        <v/>
      </c>
      <c r="I23198" s="4" t="str">
        <v/>
      </c>
    </row>
    <row r="23199" spans="5:9" ht="16.5" hidden="1">
      <c r="E23199" s="4" t="str">
        <v/>
      </c>
      <c r="F23199" s="102" t="str">
        <f ca="1">IFERROR(__xludf.DUMMYFUNCTION("IMPORTRANGE(H23199,""IDENTITAS UNIT!D9"")"),"#N/A")</f>
        <v>#N/A</v>
      </c>
      <c r="H23199" s="4" t="str">
        <v/>
      </c>
      <c r="I23199" s="4" t="str">
        <v/>
      </c>
    </row>
    <row r="23200" spans="5:9" ht="16.5" hidden="1">
      <c r="E23200" s="4" t="str">
        <v/>
      </c>
      <c r="F23200" s="102" t="str">
        <f ca="1">IFERROR(__xludf.DUMMYFUNCTION("IMPORTRANGE(H23200,""IDENTITAS UNIT!D9"")"),"#N/A")</f>
        <v>#N/A</v>
      </c>
      <c r="H23200" s="4" t="str">
        <v/>
      </c>
      <c r="I23200" s="4" t="str">
        <v/>
      </c>
    </row>
    <row r="23201" spans="5:9" ht="16.5" hidden="1">
      <c r="E23201" s="4" t="str">
        <v/>
      </c>
      <c r="F23201" s="102" t="str">
        <f ca="1">IFERROR(__xludf.DUMMYFUNCTION("IMPORTRANGE(H23201,""IDENTITAS UNIT!D9"")"),"#N/A")</f>
        <v>#N/A</v>
      </c>
      <c r="H23201" s="4" t="str">
        <v/>
      </c>
      <c r="I23201" s="4" t="str">
        <v/>
      </c>
    </row>
    <row r="23202" spans="5:9" ht="16.5" hidden="1">
      <c r="E23202" s="4" t="str">
        <v/>
      </c>
      <c r="F23202" s="102" t="str">
        <f ca="1">IFERROR(__xludf.DUMMYFUNCTION("IMPORTRANGE(H23202,""IDENTITAS UNIT!D9"")"),"#N/A")</f>
        <v>#N/A</v>
      </c>
      <c r="H23202" s="4" t="str">
        <v/>
      </c>
      <c r="I23202" s="4" t="str">
        <v/>
      </c>
    </row>
    <row r="23203" spans="5:9" ht="16.5" hidden="1">
      <c r="E23203" s="4" t="str">
        <v/>
      </c>
      <c r="F23203" s="102" t="str">
        <f ca="1">IFERROR(__xludf.DUMMYFUNCTION("IMPORTRANGE(H23203,""IDENTITAS UNIT!D9"")"),"#N/A")</f>
        <v>#N/A</v>
      </c>
      <c r="H23203" s="4" t="str">
        <v/>
      </c>
      <c r="I23203" s="4" t="str">
        <v/>
      </c>
    </row>
    <row r="23204" spans="5:9" ht="16.5" hidden="1">
      <c r="E23204" s="4" t="str">
        <v/>
      </c>
      <c r="F23204" s="102" t="str">
        <f ca="1">IFERROR(__xludf.DUMMYFUNCTION("IMPORTRANGE(H23204,""IDENTITAS UNIT!D9"")"),"#N/A")</f>
        <v>#N/A</v>
      </c>
      <c r="H23204" s="4" t="str">
        <v/>
      </c>
      <c r="I23204" s="4" t="str">
        <v/>
      </c>
    </row>
    <row r="23205" spans="5:9" ht="16.5" hidden="1">
      <c r="E23205" s="4" t="str">
        <v/>
      </c>
      <c r="F23205" s="102" t="str">
        <f ca="1">IFERROR(__xludf.DUMMYFUNCTION("IMPORTRANGE(H23205,""IDENTITAS UNIT!D9"")"),"#N/A")</f>
        <v>#N/A</v>
      </c>
      <c r="H23205" s="4" t="str">
        <v/>
      </c>
      <c r="I23205" s="4" t="str">
        <v/>
      </c>
    </row>
    <row r="23206" spans="5:9" ht="16.5" hidden="1">
      <c r="E23206" s="4" t="str">
        <v/>
      </c>
      <c r="F23206" s="102" t="str">
        <f ca="1">IFERROR(__xludf.DUMMYFUNCTION("IMPORTRANGE(H23206,""IDENTITAS UNIT!D9"")"),"#N/A")</f>
        <v>#N/A</v>
      </c>
      <c r="H23206" s="4" t="str">
        <v/>
      </c>
      <c r="I23206" s="4" t="str">
        <v/>
      </c>
    </row>
    <row r="23207" spans="5:9" ht="16.5" hidden="1">
      <c r="E23207" s="4" t="str">
        <v/>
      </c>
      <c r="F23207" s="102" t="str">
        <f ca="1">IFERROR(__xludf.DUMMYFUNCTION("IMPORTRANGE(H23207,""IDENTITAS UNIT!D9"")"),"#N/A")</f>
        <v>#N/A</v>
      </c>
      <c r="H23207" s="4" t="str">
        <v/>
      </c>
      <c r="I23207" s="4" t="str">
        <v/>
      </c>
    </row>
    <row r="23208" spans="5:9" ht="16.5" hidden="1">
      <c r="E23208" s="4" t="str">
        <v/>
      </c>
      <c r="F23208" s="102" t="str">
        <f ca="1">IFERROR(__xludf.DUMMYFUNCTION("IMPORTRANGE(H23208,""IDENTITAS UNIT!D9"")"),"#N/A")</f>
        <v>#N/A</v>
      </c>
      <c r="H23208" s="4" t="str">
        <v/>
      </c>
      <c r="I23208" s="4" t="str">
        <v/>
      </c>
    </row>
    <row r="23209" spans="5:9" ht="16.5" hidden="1">
      <c r="E23209" s="4" t="str">
        <v/>
      </c>
      <c r="F23209" s="102" t="str">
        <f ca="1">IFERROR(__xludf.DUMMYFUNCTION("IMPORTRANGE(H23209,""IDENTITAS UNIT!D9"")"),"#N/A")</f>
        <v>#N/A</v>
      </c>
      <c r="H23209" s="4" t="str">
        <v/>
      </c>
      <c r="I23209" s="4" t="str">
        <v/>
      </c>
    </row>
    <row r="23210" spans="5:9" ht="16.5" hidden="1">
      <c r="E23210" s="4" t="str">
        <v/>
      </c>
      <c r="F23210" s="102" t="str">
        <f ca="1">IFERROR(__xludf.DUMMYFUNCTION("IMPORTRANGE(H23210,""IDENTITAS UNIT!D9"")"),"#N/A")</f>
        <v>#N/A</v>
      </c>
      <c r="H23210" s="4" t="str">
        <v/>
      </c>
      <c r="I23210" s="4" t="str">
        <v/>
      </c>
    </row>
    <row r="23211" spans="5:9" ht="16.5" hidden="1">
      <c r="E23211" s="4" t="str">
        <v/>
      </c>
      <c r="F23211" s="102" t="str">
        <f ca="1">IFERROR(__xludf.DUMMYFUNCTION("IMPORTRANGE(H23211,""IDENTITAS UNIT!D9"")"),"#N/A")</f>
        <v>#N/A</v>
      </c>
      <c r="H23211" s="4" t="str">
        <v/>
      </c>
      <c r="I23211" s="4" t="str">
        <v/>
      </c>
    </row>
    <row r="23212" spans="5:9" ht="16.5" hidden="1">
      <c r="E23212" s="4" t="str">
        <v/>
      </c>
      <c r="F23212" s="102" t="str">
        <f ca="1">IFERROR(__xludf.DUMMYFUNCTION("IMPORTRANGE(H23212,""IDENTITAS UNIT!D9"")"),"#N/A")</f>
        <v>#N/A</v>
      </c>
      <c r="H23212" s="4" t="str">
        <v/>
      </c>
      <c r="I23212" s="4" t="str">
        <v/>
      </c>
    </row>
    <row r="23213" spans="5:9" ht="16.5" hidden="1">
      <c r="E23213" s="4" t="str">
        <v/>
      </c>
      <c r="F23213" s="102" t="str">
        <f ca="1">IFERROR(__xludf.DUMMYFUNCTION("IMPORTRANGE(H23213,""IDENTITAS UNIT!D9"")"),"#N/A")</f>
        <v>#N/A</v>
      </c>
      <c r="H23213" s="4" t="str">
        <v/>
      </c>
      <c r="I23213" s="4" t="str">
        <v/>
      </c>
    </row>
    <row r="23214" spans="5:9" ht="16.5" hidden="1">
      <c r="E23214" s="4" t="str">
        <v/>
      </c>
      <c r="F23214" s="102" t="str">
        <f ca="1">IFERROR(__xludf.DUMMYFUNCTION("IMPORTRANGE(H23214,""IDENTITAS UNIT!D9"")"),"#N/A")</f>
        <v>#N/A</v>
      </c>
      <c r="H23214" s="4" t="str">
        <v/>
      </c>
      <c r="I23214" s="4" t="str">
        <v/>
      </c>
    </row>
    <row r="23215" spans="5:9" ht="16.5" hidden="1">
      <c r="E23215" s="4" t="str">
        <v/>
      </c>
      <c r="F23215" s="102" t="str">
        <f ca="1">IFERROR(__xludf.DUMMYFUNCTION("IMPORTRANGE(H23215,""IDENTITAS UNIT!D9"")"),"#N/A")</f>
        <v>#N/A</v>
      </c>
      <c r="H23215" s="4" t="str">
        <v/>
      </c>
      <c r="I23215" s="4" t="str">
        <v/>
      </c>
    </row>
    <row r="23216" spans="5:9" ht="16.5" hidden="1">
      <c r="E23216" s="4" t="str">
        <v/>
      </c>
      <c r="F23216" s="102" t="str">
        <f ca="1">IFERROR(__xludf.DUMMYFUNCTION("IMPORTRANGE(H23216,""IDENTITAS UNIT!D9"")"),"#N/A")</f>
        <v>#N/A</v>
      </c>
      <c r="H23216" s="4" t="str">
        <v/>
      </c>
      <c r="I23216" s="4" t="str">
        <v/>
      </c>
    </row>
    <row r="23217" spans="5:9" ht="16.5" hidden="1">
      <c r="E23217" s="4" t="str">
        <v/>
      </c>
      <c r="F23217" s="102" t="str">
        <f ca="1">IFERROR(__xludf.DUMMYFUNCTION("IMPORTRANGE(H23217,""IDENTITAS UNIT!D9"")"),"#N/A")</f>
        <v>#N/A</v>
      </c>
      <c r="H23217" s="4" t="str">
        <v/>
      </c>
      <c r="I23217" s="4" t="str">
        <v/>
      </c>
    </row>
    <row r="23218" spans="5:9" ht="16.5" hidden="1">
      <c r="E23218" s="4" t="str">
        <v/>
      </c>
      <c r="F23218" s="102" t="str">
        <f ca="1">IFERROR(__xludf.DUMMYFUNCTION("IMPORTRANGE(H23218,""IDENTITAS UNIT!D9"")"),"#N/A")</f>
        <v>#N/A</v>
      </c>
      <c r="H23218" s="4" t="str">
        <v/>
      </c>
      <c r="I23218" s="4" t="str">
        <v/>
      </c>
    </row>
    <row r="23219" spans="5:9" ht="16.5" hidden="1">
      <c r="E23219" s="4" t="str">
        <v/>
      </c>
      <c r="F23219" s="102" t="str">
        <f ca="1">IFERROR(__xludf.DUMMYFUNCTION("IMPORTRANGE(H23219,""IDENTITAS UNIT!D9"")"),"#N/A")</f>
        <v>#N/A</v>
      </c>
      <c r="H23219" s="4" t="str">
        <v/>
      </c>
      <c r="I23219" s="4" t="str">
        <v/>
      </c>
    </row>
    <row r="23220" spans="5:9" ht="16.5" hidden="1">
      <c r="E23220" s="4" t="str">
        <v/>
      </c>
      <c r="F23220" s="102" t="str">
        <f ca="1">IFERROR(__xludf.DUMMYFUNCTION("IMPORTRANGE(H23220,""IDENTITAS UNIT!D9"")"),"#N/A")</f>
        <v>#N/A</v>
      </c>
      <c r="H23220" s="4" t="str">
        <v/>
      </c>
      <c r="I23220" s="4" t="str">
        <v/>
      </c>
    </row>
    <row r="23221" spans="5:9" ht="16.5" hidden="1">
      <c r="E23221" s="4" t="str">
        <v/>
      </c>
      <c r="F23221" s="102" t="str">
        <f ca="1">IFERROR(__xludf.DUMMYFUNCTION("IMPORTRANGE(H23221,""IDENTITAS UNIT!D9"")"),"#N/A")</f>
        <v>#N/A</v>
      </c>
      <c r="H23221" s="4" t="str">
        <v/>
      </c>
      <c r="I23221" s="4" t="str">
        <v/>
      </c>
    </row>
    <row r="23222" spans="5:9" ht="16.5" hidden="1">
      <c r="E23222" s="4" t="str">
        <v/>
      </c>
      <c r="F23222" s="102" t="str">
        <f ca="1">IFERROR(__xludf.DUMMYFUNCTION("IMPORTRANGE(H23222,""IDENTITAS UNIT!D9"")"),"#N/A")</f>
        <v>#N/A</v>
      </c>
      <c r="H23222" s="4" t="str">
        <v/>
      </c>
      <c r="I23222" s="4" t="str">
        <v/>
      </c>
    </row>
    <row r="23223" spans="5:9" ht="16.5" hidden="1">
      <c r="E23223" s="4" t="str">
        <v/>
      </c>
      <c r="F23223" s="102" t="str">
        <f ca="1">IFERROR(__xludf.DUMMYFUNCTION("IMPORTRANGE(H23223,""IDENTITAS UNIT!D9"")"),"#N/A")</f>
        <v>#N/A</v>
      </c>
      <c r="H23223" s="4" t="str">
        <v/>
      </c>
      <c r="I23223" s="4" t="str">
        <v/>
      </c>
    </row>
    <row r="23224" spans="5:9" ht="16.5" hidden="1">
      <c r="E23224" s="4" t="str">
        <v/>
      </c>
      <c r="F23224" s="102" t="str">
        <f ca="1">IFERROR(__xludf.DUMMYFUNCTION("IMPORTRANGE(H23224,""IDENTITAS UNIT!D9"")"),"#N/A")</f>
        <v>#N/A</v>
      </c>
      <c r="H23224" s="4" t="str">
        <v/>
      </c>
      <c r="I23224" s="4" t="str">
        <v/>
      </c>
    </row>
    <row r="23225" spans="5:9" ht="16.5" hidden="1">
      <c r="E23225" s="4" t="str">
        <v/>
      </c>
      <c r="F23225" s="102" t="str">
        <f ca="1">IFERROR(__xludf.DUMMYFUNCTION("IMPORTRANGE(H23225,""IDENTITAS UNIT!D9"")"),"#N/A")</f>
        <v>#N/A</v>
      </c>
      <c r="H23225" s="4" t="str">
        <v/>
      </c>
      <c r="I23225" s="4" t="str">
        <v/>
      </c>
    </row>
    <row r="23226" spans="5:9" ht="16.5" hidden="1">
      <c r="E23226" s="4" t="str">
        <v/>
      </c>
      <c r="F23226" s="102" t="str">
        <f ca="1">IFERROR(__xludf.DUMMYFUNCTION("IMPORTRANGE(H23226,""IDENTITAS UNIT!D9"")"),"#N/A")</f>
        <v>#N/A</v>
      </c>
      <c r="H23226" s="4" t="str">
        <v/>
      </c>
      <c r="I23226" s="4" t="str">
        <v/>
      </c>
    </row>
    <row r="23227" spans="5:9" ht="16.5" hidden="1">
      <c r="E23227" s="4" t="str">
        <v/>
      </c>
      <c r="F23227" s="102" t="str">
        <f ca="1">IFERROR(__xludf.DUMMYFUNCTION("IMPORTRANGE(H23227,""IDENTITAS UNIT!D9"")"),"#N/A")</f>
        <v>#N/A</v>
      </c>
      <c r="H23227" s="4" t="str">
        <v/>
      </c>
      <c r="I23227" s="4" t="str">
        <v/>
      </c>
    </row>
    <row r="23228" spans="5:9" ht="16.5" hidden="1">
      <c r="E23228" s="4" t="str">
        <v/>
      </c>
      <c r="F23228" s="102" t="str">
        <f ca="1">IFERROR(__xludf.DUMMYFUNCTION("IMPORTRANGE(H23228,""IDENTITAS UNIT!D9"")"),"#N/A")</f>
        <v>#N/A</v>
      </c>
      <c r="H23228" s="4" t="str">
        <v/>
      </c>
      <c r="I23228" s="4" t="str">
        <v/>
      </c>
    </row>
    <row r="23229" spans="5:9" ht="16.5" hidden="1">
      <c r="E23229" s="4" t="str">
        <v/>
      </c>
      <c r="F23229" s="102" t="str">
        <f ca="1">IFERROR(__xludf.DUMMYFUNCTION("IMPORTRANGE(H23229,""IDENTITAS UNIT!D9"")"),"#N/A")</f>
        <v>#N/A</v>
      </c>
      <c r="H23229" s="4" t="str">
        <v/>
      </c>
      <c r="I23229" s="4" t="str">
        <v/>
      </c>
    </row>
    <row r="23230" spans="5:9" ht="16.5" hidden="1">
      <c r="E23230" s="4" t="str">
        <v/>
      </c>
      <c r="F23230" s="102" t="str">
        <f ca="1">IFERROR(__xludf.DUMMYFUNCTION("IMPORTRANGE(H23230,""IDENTITAS UNIT!D9"")"),"#N/A")</f>
        <v>#N/A</v>
      </c>
      <c r="H23230" s="4" t="str">
        <v/>
      </c>
      <c r="I23230" s="4" t="str">
        <v/>
      </c>
    </row>
    <row r="23231" spans="5:9" ht="16.5" hidden="1">
      <c r="E23231" s="4" t="str">
        <v/>
      </c>
      <c r="F23231" s="102" t="str">
        <f ca="1">IFERROR(__xludf.DUMMYFUNCTION("IMPORTRANGE(H23231,""IDENTITAS UNIT!D9"")"),"#N/A")</f>
        <v>#N/A</v>
      </c>
      <c r="H23231" s="4" t="str">
        <v/>
      </c>
      <c r="I23231" s="4" t="str">
        <v/>
      </c>
    </row>
    <row r="23232" spans="5:9" ht="16.5" hidden="1">
      <c r="E23232" s="4" t="str">
        <v/>
      </c>
      <c r="F23232" s="102" t="str">
        <f ca="1">IFERROR(__xludf.DUMMYFUNCTION("IMPORTRANGE(H23232,""IDENTITAS UNIT!D9"")"),"#N/A")</f>
        <v>#N/A</v>
      </c>
      <c r="H23232" s="4" t="str">
        <v/>
      </c>
      <c r="I23232" s="4" t="str">
        <v/>
      </c>
    </row>
    <row r="23233" spans="5:9" ht="16.5" hidden="1">
      <c r="E23233" s="4" t="str">
        <v/>
      </c>
      <c r="F23233" s="102" t="str">
        <f ca="1">IFERROR(__xludf.DUMMYFUNCTION("IMPORTRANGE(H23233,""IDENTITAS UNIT!D9"")"),"#N/A")</f>
        <v>#N/A</v>
      </c>
      <c r="H23233" s="4" t="str">
        <v/>
      </c>
      <c r="I23233" s="4" t="str">
        <v/>
      </c>
    </row>
    <row r="23234" spans="5:9" ht="16.5" hidden="1">
      <c r="E23234" s="4" t="str">
        <v/>
      </c>
      <c r="F23234" s="102" t="str">
        <f ca="1">IFERROR(__xludf.DUMMYFUNCTION("IMPORTRANGE(H23234,""IDENTITAS UNIT!D9"")"),"#N/A")</f>
        <v>#N/A</v>
      </c>
      <c r="H23234" s="4" t="str">
        <v/>
      </c>
      <c r="I23234" s="4" t="str">
        <v/>
      </c>
    </row>
    <row r="23235" spans="5:9" ht="16.5" hidden="1">
      <c r="E23235" s="4" t="str">
        <v/>
      </c>
      <c r="F23235" s="102" t="str">
        <f ca="1">IFERROR(__xludf.DUMMYFUNCTION("IMPORTRANGE(H23235,""IDENTITAS UNIT!D9"")"),"#N/A")</f>
        <v>#N/A</v>
      </c>
      <c r="H23235" s="4" t="str">
        <v/>
      </c>
      <c r="I23235" s="4" t="str">
        <v/>
      </c>
    </row>
    <row r="23236" spans="5:9" ht="16.5" hidden="1">
      <c r="E23236" s="4" t="str">
        <v/>
      </c>
      <c r="F23236" s="102" t="str">
        <f ca="1">IFERROR(__xludf.DUMMYFUNCTION("IMPORTRANGE(H23236,""IDENTITAS UNIT!D9"")"),"#N/A")</f>
        <v>#N/A</v>
      </c>
      <c r="H23236" s="4" t="str">
        <v/>
      </c>
      <c r="I23236" s="4" t="str">
        <v/>
      </c>
    </row>
    <row r="23237" spans="5:9" ht="16.5" hidden="1">
      <c r="E23237" s="4" t="str">
        <v/>
      </c>
      <c r="F23237" s="102" t="str">
        <f ca="1">IFERROR(__xludf.DUMMYFUNCTION("IMPORTRANGE(H23237,""IDENTITAS UNIT!D9"")"),"#N/A")</f>
        <v>#N/A</v>
      </c>
      <c r="H23237" s="4" t="str">
        <v/>
      </c>
      <c r="I23237" s="4" t="str">
        <v/>
      </c>
    </row>
    <row r="23238" spans="5:9" ht="16.5" hidden="1">
      <c r="E23238" s="4" t="str">
        <v/>
      </c>
      <c r="F23238" s="102" t="str">
        <f ca="1">IFERROR(__xludf.DUMMYFUNCTION("IMPORTRANGE(H23238,""IDENTITAS UNIT!D9"")"),"#N/A")</f>
        <v>#N/A</v>
      </c>
      <c r="H23238" s="4" t="str">
        <v/>
      </c>
      <c r="I23238" s="4" t="str">
        <v/>
      </c>
    </row>
    <row r="23239" spans="5:9" ht="16.5" hidden="1">
      <c r="E23239" s="4" t="str">
        <v/>
      </c>
      <c r="F23239" s="102" t="str">
        <f ca="1">IFERROR(__xludf.DUMMYFUNCTION("IMPORTRANGE(H23239,""IDENTITAS UNIT!D9"")"),"#N/A")</f>
        <v>#N/A</v>
      </c>
      <c r="H23239" s="4" t="str">
        <v/>
      </c>
      <c r="I23239" s="4" t="str">
        <v/>
      </c>
    </row>
    <row r="23240" spans="5:9" ht="16.5" hidden="1">
      <c r="E23240" s="4" t="str">
        <v/>
      </c>
      <c r="F23240" s="102" t="str">
        <f ca="1">IFERROR(__xludf.DUMMYFUNCTION("IMPORTRANGE(H23240,""IDENTITAS UNIT!D9"")"),"#N/A")</f>
        <v>#N/A</v>
      </c>
      <c r="H23240" s="4" t="str">
        <v/>
      </c>
      <c r="I23240" s="4" t="str">
        <v/>
      </c>
    </row>
    <row r="23241" spans="5:9" ht="16.5" hidden="1">
      <c r="E23241" s="4" t="str">
        <v/>
      </c>
      <c r="F23241" s="102" t="str">
        <f ca="1">IFERROR(__xludf.DUMMYFUNCTION("IMPORTRANGE(H23241,""IDENTITAS UNIT!D9"")"),"#N/A")</f>
        <v>#N/A</v>
      </c>
      <c r="H23241" s="4" t="str">
        <v/>
      </c>
      <c r="I23241" s="4" t="str">
        <v/>
      </c>
    </row>
    <row r="23242" spans="5:9" ht="16.5" hidden="1">
      <c r="E23242" s="4" t="str">
        <v/>
      </c>
      <c r="F23242" s="102" t="str">
        <f ca="1">IFERROR(__xludf.DUMMYFUNCTION("IMPORTRANGE(H23242,""IDENTITAS UNIT!D9"")"),"#N/A")</f>
        <v>#N/A</v>
      </c>
      <c r="H23242" s="4" t="str">
        <v/>
      </c>
      <c r="I23242" s="4" t="str">
        <v/>
      </c>
    </row>
    <row r="23243" spans="5:9" ht="16.5" hidden="1">
      <c r="E23243" s="4" t="str">
        <v/>
      </c>
      <c r="F23243" s="102" t="str">
        <f ca="1">IFERROR(__xludf.DUMMYFUNCTION("IMPORTRANGE(H23243,""IDENTITAS UNIT!D9"")"),"#N/A")</f>
        <v>#N/A</v>
      </c>
      <c r="H23243" s="4" t="str">
        <v/>
      </c>
      <c r="I23243" s="4" t="str">
        <v/>
      </c>
    </row>
    <row r="23244" spans="5:9" ht="16.5" hidden="1">
      <c r="E23244" s="4" t="str">
        <v/>
      </c>
      <c r="F23244" s="102" t="str">
        <f ca="1">IFERROR(__xludf.DUMMYFUNCTION("IMPORTRANGE(H23244,""IDENTITAS UNIT!D9"")"),"#N/A")</f>
        <v>#N/A</v>
      </c>
      <c r="H23244" s="4" t="str">
        <v/>
      </c>
      <c r="I23244" s="4" t="str">
        <v/>
      </c>
    </row>
    <row r="23245" spans="5:9" ht="16.5" hidden="1">
      <c r="E23245" s="4" t="str">
        <v/>
      </c>
      <c r="F23245" s="102" t="str">
        <f ca="1">IFERROR(__xludf.DUMMYFUNCTION("IMPORTRANGE(H23245,""IDENTITAS UNIT!D9"")"),"#N/A")</f>
        <v>#N/A</v>
      </c>
      <c r="H23245" s="4" t="str">
        <v/>
      </c>
      <c r="I23245" s="4" t="str">
        <v/>
      </c>
    </row>
    <row r="23246" spans="5:9" ht="16.5" hidden="1">
      <c r="E23246" s="4" t="str">
        <v/>
      </c>
      <c r="F23246" s="102" t="str">
        <f ca="1">IFERROR(__xludf.DUMMYFUNCTION("IMPORTRANGE(H23246,""IDENTITAS UNIT!D9"")"),"#N/A")</f>
        <v>#N/A</v>
      </c>
      <c r="H23246" s="4" t="str">
        <v/>
      </c>
      <c r="I23246" s="4" t="str">
        <v/>
      </c>
    </row>
    <row r="23247" spans="5:9" ht="16.5" hidden="1">
      <c r="E23247" s="4" t="str">
        <v/>
      </c>
      <c r="F23247" s="102" t="str">
        <f ca="1">IFERROR(__xludf.DUMMYFUNCTION("IMPORTRANGE(H23247,""IDENTITAS UNIT!D9"")"),"#N/A")</f>
        <v>#N/A</v>
      </c>
      <c r="H23247" s="4" t="str">
        <v/>
      </c>
      <c r="I23247" s="4" t="str">
        <v/>
      </c>
    </row>
    <row r="23248" spans="5:9" ht="16.5" hidden="1">
      <c r="E23248" s="4" t="str">
        <v/>
      </c>
      <c r="F23248" s="102" t="str">
        <f ca="1">IFERROR(__xludf.DUMMYFUNCTION("IMPORTRANGE(H23248,""IDENTITAS UNIT!D9"")"),"#N/A")</f>
        <v>#N/A</v>
      </c>
      <c r="H23248" s="4" t="str">
        <v/>
      </c>
      <c r="I23248" s="4" t="str">
        <v/>
      </c>
    </row>
    <row r="23249" spans="5:9" ht="16.5" hidden="1">
      <c r="E23249" s="4" t="str">
        <v/>
      </c>
      <c r="F23249" s="102" t="str">
        <f ca="1">IFERROR(__xludf.DUMMYFUNCTION("IMPORTRANGE(H23249,""IDENTITAS UNIT!D9"")"),"#N/A")</f>
        <v>#N/A</v>
      </c>
      <c r="H23249" s="4" t="str">
        <v/>
      </c>
      <c r="I23249" s="4" t="str">
        <v/>
      </c>
    </row>
    <row r="23250" spans="5:9" ht="16.5" hidden="1">
      <c r="E23250" s="4" t="str">
        <v/>
      </c>
      <c r="F23250" s="102" t="str">
        <f ca="1">IFERROR(__xludf.DUMMYFUNCTION("IMPORTRANGE(H23250,""IDENTITAS UNIT!D9"")"),"#N/A")</f>
        <v>#N/A</v>
      </c>
      <c r="H23250" s="4" t="str">
        <v/>
      </c>
      <c r="I23250" s="4" t="str">
        <v/>
      </c>
    </row>
    <row r="23251" spans="5:9" ht="16.5" hidden="1">
      <c r="E23251" s="4" t="str">
        <v/>
      </c>
      <c r="F23251" s="102" t="str">
        <f ca="1">IFERROR(__xludf.DUMMYFUNCTION("IMPORTRANGE(H23251,""IDENTITAS UNIT!D9"")"),"#N/A")</f>
        <v>#N/A</v>
      </c>
      <c r="H23251" s="4" t="str">
        <v/>
      </c>
      <c r="I23251" s="4" t="str">
        <v/>
      </c>
    </row>
    <row r="23252" spans="5:9" ht="16.5" hidden="1">
      <c r="E23252" s="4" t="str">
        <v/>
      </c>
      <c r="F23252" s="102" t="str">
        <f ca="1">IFERROR(__xludf.DUMMYFUNCTION("IMPORTRANGE(H23252,""IDENTITAS UNIT!D9"")"),"#N/A")</f>
        <v>#N/A</v>
      </c>
      <c r="H23252" s="4" t="str">
        <v/>
      </c>
      <c r="I23252" s="4" t="str">
        <v/>
      </c>
    </row>
    <row r="23253" spans="5:9" ht="16.5" hidden="1">
      <c r="E23253" s="4" t="str">
        <v/>
      </c>
      <c r="F23253" s="102" t="str">
        <f ca="1">IFERROR(__xludf.DUMMYFUNCTION("IMPORTRANGE(H23253,""IDENTITAS UNIT!D9"")"),"#N/A")</f>
        <v>#N/A</v>
      </c>
      <c r="H23253" s="4" t="str">
        <v/>
      </c>
      <c r="I23253" s="4" t="str">
        <v/>
      </c>
    </row>
    <row r="23254" spans="5:9" ht="16.5" hidden="1">
      <c r="E23254" s="4" t="str">
        <v/>
      </c>
      <c r="F23254" s="102" t="str">
        <f ca="1">IFERROR(__xludf.DUMMYFUNCTION("IMPORTRANGE(H23254,""IDENTITAS UNIT!D9"")"),"#N/A")</f>
        <v>#N/A</v>
      </c>
      <c r="H23254" s="4" t="str">
        <v/>
      </c>
      <c r="I23254" s="4" t="str">
        <v/>
      </c>
    </row>
    <row r="23255" spans="5:9" ht="16.5" hidden="1">
      <c r="E23255" s="4" t="str">
        <v/>
      </c>
      <c r="F23255" s="102" t="str">
        <f ca="1">IFERROR(__xludf.DUMMYFUNCTION("IMPORTRANGE(H23255,""IDENTITAS UNIT!D9"")"),"#N/A")</f>
        <v>#N/A</v>
      </c>
      <c r="H23255" s="4" t="str">
        <v/>
      </c>
      <c r="I23255" s="4" t="str">
        <v/>
      </c>
    </row>
    <row r="23256" spans="5:9" ht="16.5" hidden="1">
      <c r="E23256" s="4" t="str">
        <v/>
      </c>
      <c r="F23256" s="102" t="str">
        <f ca="1">IFERROR(__xludf.DUMMYFUNCTION("IMPORTRANGE(H23256,""IDENTITAS UNIT!D9"")"),"#N/A")</f>
        <v>#N/A</v>
      </c>
      <c r="H23256" s="4" t="str">
        <v/>
      </c>
      <c r="I23256" s="4" t="str">
        <v/>
      </c>
    </row>
    <row r="23257" spans="5:9" ht="16.5" hidden="1">
      <c r="E23257" s="4" t="str">
        <v/>
      </c>
      <c r="F23257" s="102" t="str">
        <f ca="1">IFERROR(__xludf.DUMMYFUNCTION("IMPORTRANGE(H23257,""IDENTITAS UNIT!D9"")"),"#N/A")</f>
        <v>#N/A</v>
      </c>
      <c r="H23257" s="4" t="str">
        <v/>
      </c>
      <c r="I23257" s="4" t="str">
        <v/>
      </c>
    </row>
    <row r="23258" spans="5:9" ht="16.5" hidden="1">
      <c r="E23258" s="4" t="str">
        <v/>
      </c>
      <c r="F23258" s="102" t="str">
        <f ca="1">IFERROR(__xludf.DUMMYFUNCTION("IMPORTRANGE(H23258,""IDENTITAS UNIT!D9"")"),"#N/A")</f>
        <v>#N/A</v>
      </c>
      <c r="H23258" s="4" t="str">
        <v/>
      </c>
      <c r="I23258" s="4" t="str">
        <v/>
      </c>
    </row>
    <row r="23259" spans="5:9" ht="16.5" hidden="1">
      <c r="E23259" s="4" t="str">
        <v/>
      </c>
      <c r="F23259" s="102" t="str">
        <f ca="1">IFERROR(__xludf.DUMMYFUNCTION("IMPORTRANGE(H23259,""IDENTITAS UNIT!D9"")"),"#N/A")</f>
        <v>#N/A</v>
      </c>
      <c r="H23259" s="4" t="str">
        <v/>
      </c>
      <c r="I23259" s="4" t="str">
        <v/>
      </c>
    </row>
    <row r="23260" spans="5:9" ht="16.5" hidden="1">
      <c r="E23260" s="4" t="str">
        <v/>
      </c>
      <c r="F23260" s="102" t="str">
        <f ca="1">IFERROR(__xludf.DUMMYFUNCTION("IMPORTRANGE(H23260,""IDENTITAS UNIT!D9"")"),"#N/A")</f>
        <v>#N/A</v>
      </c>
      <c r="H23260" s="4" t="str">
        <v/>
      </c>
      <c r="I23260" s="4" t="str">
        <v/>
      </c>
    </row>
    <row r="23261" spans="5:9" ht="16.5" hidden="1">
      <c r="E23261" s="4" t="str">
        <v/>
      </c>
      <c r="F23261" s="102" t="str">
        <f ca="1">IFERROR(__xludf.DUMMYFUNCTION("IMPORTRANGE(H23261,""IDENTITAS UNIT!D9"")"),"#N/A")</f>
        <v>#N/A</v>
      </c>
      <c r="H23261" s="4" t="str">
        <v/>
      </c>
      <c r="I23261" s="4" t="str">
        <v/>
      </c>
    </row>
    <row r="23262" spans="5:9" ht="16.5" hidden="1">
      <c r="E23262" s="4" t="str">
        <v/>
      </c>
      <c r="F23262" s="102" t="str">
        <f ca="1">IFERROR(__xludf.DUMMYFUNCTION("IMPORTRANGE(H23262,""IDENTITAS UNIT!D9"")"),"#N/A")</f>
        <v>#N/A</v>
      </c>
      <c r="H23262" s="4" t="str">
        <v/>
      </c>
      <c r="I23262" s="4" t="str">
        <v/>
      </c>
    </row>
    <row r="23263" spans="5:9" ht="16.5" hidden="1">
      <c r="E23263" s="4" t="str">
        <v/>
      </c>
      <c r="F23263" s="102" t="str">
        <f ca="1">IFERROR(__xludf.DUMMYFUNCTION("IMPORTRANGE(H23263,""IDENTITAS UNIT!D9"")"),"#N/A")</f>
        <v>#N/A</v>
      </c>
      <c r="H23263" s="4" t="str">
        <v/>
      </c>
      <c r="I23263" s="4" t="str">
        <v/>
      </c>
    </row>
    <row r="23264" spans="5:9" ht="16.5" hidden="1">
      <c r="E23264" s="4" t="str">
        <v/>
      </c>
      <c r="F23264" s="102" t="str">
        <f ca="1">IFERROR(__xludf.DUMMYFUNCTION("IMPORTRANGE(H23264,""IDENTITAS UNIT!D9"")"),"#N/A")</f>
        <v>#N/A</v>
      </c>
      <c r="H23264" s="4" t="str">
        <v/>
      </c>
      <c r="I23264" s="4" t="str">
        <v/>
      </c>
    </row>
    <row r="23265" spans="5:9" ht="16.5" hidden="1">
      <c r="E23265" s="4" t="str">
        <v/>
      </c>
      <c r="F23265" s="102" t="str">
        <f ca="1">IFERROR(__xludf.DUMMYFUNCTION("IMPORTRANGE(H23265,""IDENTITAS UNIT!D9"")"),"#N/A")</f>
        <v>#N/A</v>
      </c>
      <c r="H23265" s="4" t="str">
        <v/>
      </c>
      <c r="I23265" s="4" t="str">
        <v/>
      </c>
    </row>
    <row r="23266" spans="5:9" ht="16.5" hidden="1">
      <c r="E23266" s="4" t="str">
        <v/>
      </c>
      <c r="F23266" s="102" t="str">
        <f ca="1">IFERROR(__xludf.DUMMYFUNCTION("IMPORTRANGE(H23266,""IDENTITAS UNIT!D9"")"),"#N/A")</f>
        <v>#N/A</v>
      </c>
      <c r="H23266" s="4" t="str">
        <v/>
      </c>
      <c r="I23266" s="4" t="str">
        <v/>
      </c>
    </row>
    <row r="23267" spans="5:9" ht="16.5" hidden="1">
      <c r="E23267" s="4" t="str">
        <v/>
      </c>
      <c r="F23267" s="102" t="str">
        <f ca="1">IFERROR(__xludf.DUMMYFUNCTION("IMPORTRANGE(H23267,""IDENTITAS UNIT!D9"")"),"#N/A")</f>
        <v>#N/A</v>
      </c>
      <c r="H23267" s="4" t="str">
        <v/>
      </c>
      <c r="I23267" s="4" t="str">
        <v/>
      </c>
    </row>
    <row r="23268" spans="5:9" ht="16.5" hidden="1">
      <c r="E23268" s="4" t="str">
        <v/>
      </c>
      <c r="F23268" s="102" t="str">
        <f ca="1">IFERROR(__xludf.DUMMYFUNCTION("IMPORTRANGE(H23268,""IDENTITAS UNIT!D9"")"),"#N/A")</f>
        <v>#N/A</v>
      </c>
      <c r="H23268" s="4" t="str">
        <v/>
      </c>
      <c r="I23268" s="4" t="str">
        <v/>
      </c>
    </row>
    <row r="23269" spans="5:9" ht="16.5" hidden="1">
      <c r="E23269" s="4" t="str">
        <v/>
      </c>
      <c r="F23269" s="102" t="str">
        <f ca="1">IFERROR(__xludf.DUMMYFUNCTION("IMPORTRANGE(H23269,""IDENTITAS UNIT!D9"")"),"#N/A")</f>
        <v>#N/A</v>
      </c>
      <c r="H23269" s="4" t="str">
        <v/>
      </c>
      <c r="I23269" s="4" t="str">
        <v/>
      </c>
    </row>
    <row r="23270" spans="5:9" ht="16.5" hidden="1">
      <c r="E23270" s="4" t="str">
        <v/>
      </c>
      <c r="F23270" s="102" t="str">
        <f ca="1">IFERROR(__xludf.DUMMYFUNCTION("IMPORTRANGE(H23270,""IDENTITAS UNIT!D9"")"),"#N/A")</f>
        <v>#N/A</v>
      </c>
      <c r="H23270" s="4" t="str">
        <v/>
      </c>
      <c r="I23270" s="4" t="str">
        <v/>
      </c>
    </row>
    <row r="23271" spans="5:9" ht="16.5" hidden="1">
      <c r="E23271" s="4" t="str">
        <v/>
      </c>
      <c r="F23271" s="102" t="str">
        <f ca="1">IFERROR(__xludf.DUMMYFUNCTION("IMPORTRANGE(H23271,""IDENTITAS UNIT!D9"")"),"#N/A")</f>
        <v>#N/A</v>
      </c>
      <c r="H23271" s="4" t="str">
        <v/>
      </c>
      <c r="I23271" s="4" t="str">
        <v/>
      </c>
    </row>
    <row r="23272" spans="5:9" ht="16.5" hidden="1">
      <c r="E23272" s="4" t="str">
        <v/>
      </c>
      <c r="F23272" s="102" t="str">
        <f ca="1">IFERROR(__xludf.DUMMYFUNCTION("IMPORTRANGE(H23272,""IDENTITAS UNIT!D9"")"),"#N/A")</f>
        <v>#N/A</v>
      </c>
      <c r="H23272" s="4" t="str">
        <v/>
      </c>
      <c r="I23272" s="4" t="str">
        <v/>
      </c>
    </row>
    <row r="23273" spans="5:9" ht="16.5" hidden="1">
      <c r="E23273" s="4" t="str">
        <v/>
      </c>
      <c r="F23273" s="102" t="str">
        <f ca="1">IFERROR(__xludf.DUMMYFUNCTION("IMPORTRANGE(H23273,""IDENTITAS UNIT!D9"")"),"#N/A")</f>
        <v>#N/A</v>
      </c>
      <c r="H23273" s="4" t="str">
        <v/>
      </c>
      <c r="I23273" s="4" t="str">
        <v/>
      </c>
    </row>
    <row r="23274" spans="5:9" ht="16.5" hidden="1">
      <c r="E23274" s="4" t="str">
        <v/>
      </c>
      <c r="F23274" s="102" t="str">
        <f ca="1">IFERROR(__xludf.DUMMYFUNCTION("IMPORTRANGE(H23274,""IDENTITAS UNIT!D9"")"),"#N/A")</f>
        <v>#N/A</v>
      </c>
      <c r="H23274" s="4" t="str">
        <v/>
      </c>
      <c r="I23274" s="4" t="str">
        <v/>
      </c>
    </row>
    <row r="23275" spans="5:9" ht="16.5" hidden="1">
      <c r="E23275" s="4" t="str">
        <v/>
      </c>
      <c r="F23275" s="102" t="str">
        <f ca="1">IFERROR(__xludf.DUMMYFUNCTION("IMPORTRANGE(H23275,""IDENTITAS UNIT!D9"")"),"#N/A")</f>
        <v>#N/A</v>
      </c>
      <c r="H23275" s="4" t="str">
        <v/>
      </c>
      <c r="I23275" s="4" t="str">
        <v/>
      </c>
    </row>
    <row r="23276" spans="5:9" ht="16.5" hidden="1">
      <c r="E23276" s="4" t="str">
        <v/>
      </c>
      <c r="F23276" s="102" t="str">
        <f ca="1">IFERROR(__xludf.DUMMYFUNCTION("IMPORTRANGE(H23276,""IDENTITAS UNIT!D9"")"),"#N/A")</f>
        <v>#N/A</v>
      </c>
      <c r="H23276" s="4" t="str">
        <v/>
      </c>
      <c r="I23276" s="4" t="str">
        <v/>
      </c>
    </row>
    <row r="23277" spans="5:9" ht="16.5" hidden="1">
      <c r="E23277" s="4" t="str">
        <v/>
      </c>
      <c r="F23277" s="102" t="str">
        <f ca="1">IFERROR(__xludf.DUMMYFUNCTION("IMPORTRANGE(H23277,""IDENTITAS UNIT!D9"")"),"#N/A")</f>
        <v>#N/A</v>
      </c>
      <c r="H23277" s="4" t="str">
        <v/>
      </c>
      <c r="I23277" s="4" t="str">
        <v/>
      </c>
    </row>
    <row r="23278" spans="5:9" ht="16.5" hidden="1">
      <c r="E23278" s="4" t="str">
        <v/>
      </c>
      <c r="F23278" s="102" t="str">
        <f ca="1">IFERROR(__xludf.DUMMYFUNCTION("IMPORTRANGE(H23278,""IDENTITAS UNIT!D9"")"),"#N/A")</f>
        <v>#N/A</v>
      </c>
      <c r="H23278" s="4" t="str">
        <v/>
      </c>
      <c r="I23278" s="4" t="str">
        <v/>
      </c>
    </row>
    <row r="23279" spans="5:9" ht="16.5" hidden="1">
      <c r="E23279" s="4" t="str">
        <v/>
      </c>
      <c r="F23279" s="102" t="str">
        <f ca="1">IFERROR(__xludf.DUMMYFUNCTION("IMPORTRANGE(H23279,""IDENTITAS UNIT!D9"")"),"#N/A")</f>
        <v>#N/A</v>
      </c>
      <c r="H23279" s="4" t="str">
        <v/>
      </c>
      <c r="I23279" s="4" t="str">
        <v/>
      </c>
    </row>
    <row r="23280" spans="5:9" ht="16.5" hidden="1">
      <c r="E23280" s="4" t="str">
        <v/>
      </c>
      <c r="F23280" s="102" t="str">
        <f ca="1">IFERROR(__xludf.DUMMYFUNCTION("IMPORTRANGE(H23280,""IDENTITAS UNIT!D9"")"),"#N/A")</f>
        <v>#N/A</v>
      </c>
      <c r="H23280" s="4" t="str">
        <v/>
      </c>
      <c r="I23280" s="4" t="str">
        <v/>
      </c>
    </row>
    <row r="23281" spans="5:9" ht="16.5" hidden="1">
      <c r="E23281" s="4" t="str">
        <v/>
      </c>
      <c r="F23281" s="102" t="str">
        <f ca="1">IFERROR(__xludf.DUMMYFUNCTION("IMPORTRANGE(H23281,""IDENTITAS UNIT!D9"")"),"#N/A")</f>
        <v>#N/A</v>
      </c>
      <c r="H23281" s="4" t="str">
        <v/>
      </c>
      <c r="I23281" s="4" t="str">
        <v/>
      </c>
    </row>
    <row r="23282" spans="5:9" ht="16.5" hidden="1">
      <c r="E23282" s="4" t="str">
        <v/>
      </c>
      <c r="F23282" s="102" t="str">
        <f ca="1">IFERROR(__xludf.DUMMYFUNCTION("IMPORTRANGE(H23282,""IDENTITAS UNIT!D9"")"),"#N/A")</f>
        <v>#N/A</v>
      </c>
      <c r="H23282" s="4" t="str">
        <v/>
      </c>
      <c r="I23282" s="4" t="str">
        <v/>
      </c>
    </row>
    <row r="23283" spans="5:9" ht="16.5" hidden="1">
      <c r="E23283" s="4" t="str">
        <v/>
      </c>
      <c r="F23283" s="102" t="str">
        <f ca="1">IFERROR(__xludf.DUMMYFUNCTION("IMPORTRANGE(H23283,""IDENTITAS UNIT!D9"")"),"#N/A")</f>
        <v>#N/A</v>
      </c>
      <c r="H23283" s="4" t="str">
        <v/>
      </c>
      <c r="I23283" s="4" t="str">
        <v/>
      </c>
    </row>
    <row r="23284" spans="5:9" ht="16.5" hidden="1">
      <c r="E23284" s="4" t="str">
        <v/>
      </c>
      <c r="F23284" s="102" t="str">
        <f ca="1">IFERROR(__xludf.DUMMYFUNCTION("IMPORTRANGE(H23284,""IDENTITAS UNIT!D9"")"),"#N/A")</f>
        <v>#N/A</v>
      </c>
      <c r="H23284" s="4" t="str">
        <v/>
      </c>
      <c r="I23284" s="4" t="str">
        <v/>
      </c>
    </row>
    <row r="23285" spans="5:9" ht="16.5" hidden="1">
      <c r="E23285" s="4" t="str">
        <v/>
      </c>
      <c r="F23285" s="102" t="str">
        <f ca="1">IFERROR(__xludf.DUMMYFUNCTION("IMPORTRANGE(H23285,""IDENTITAS UNIT!D9"")"),"#N/A")</f>
        <v>#N/A</v>
      </c>
      <c r="H23285" s="4" t="str">
        <v/>
      </c>
      <c r="I23285" s="4" t="str">
        <v/>
      </c>
    </row>
    <row r="23286" spans="5:9" ht="16.5" hidden="1">
      <c r="E23286" s="4" t="str">
        <v/>
      </c>
      <c r="F23286" s="102" t="str">
        <f ca="1">IFERROR(__xludf.DUMMYFUNCTION("IMPORTRANGE(H23286,""IDENTITAS UNIT!D9"")"),"#N/A")</f>
        <v>#N/A</v>
      </c>
      <c r="H23286" s="4" t="str">
        <v/>
      </c>
      <c r="I23286" s="4" t="str">
        <v/>
      </c>
    </row>
    <row r="23287" spans="5:9" ht="16.5" hidden="1">
      <c r="E23287" s="4" t="str">
        <v/>
      </c>
      <c r="F23287" s="102" t="str">
        <f ca="1">IFERROR(__xludf.DUMMYFUNCTION("IMPORTRANGE(H23287,""IDENTITAS UNIT!D9"")"),"#N/A")</f>
        <v>#N/A</v>
      </c>
      <c r="H23287" s="4" t="str">
        <v/>
      </c>
      <c r="I23287" s="4" t="str">
        <v/>
      </c>
    </row>
    <row r="23288" spans="5:9" ht="16.5" hidden="1">
      <c r="E23288" s="4" t="str">
        <v/>
      </c>
      <c r="F23288" s="102" t="str">
        <f ca="1">IFERROR(__xludf.DUMMYFUNCTION("IMPORTRANGE(H23288,""IDENTITAS UNIT!D9"")"),"#N/A")</f>
        <v>#N/A</v>
      </c>
      <c r="H23288" s="4" t="str">
        <v/>
      </c>
      <c r="I23288" s="4" t="str">
        <v/>
      </c>
    </row>
    <row r="23289" spans="5:9" ht="16.5" hidden="1">
      <c r="E23289" s="4" t="str">
        <v/>
      </c>
      <c r="F23289" s="102" t="str">
        <f ca="1">IFERROR(__xludf.DUMMYFUNCTION("IMPORTRANGE(H23289,""IDENTITAS UNIT!D9"")"),"#N/A")</f>
        <v>#N/A</v>
      </c>
      <c r="H23289" s="4" t="str">
        <v/>
      </c>
      <c r="I23289" s="4" t="str">
        <v/>
      </c>
    </row>
    <row r="23290" spans="5:9" ht="16.5" hidden="1">
      <c r="E23290" s="4" t="str">
        <v/>
      </c>
      <c r="F23290" s="102" t="str">
        <f ca="1">IFERROR(__xludf.DUMMYFUNCTION("IMPORTRANGE(H23290,""IDENTITAS UNIT!D9"")"),"#N/A")</f>
        <v>#N/A</v>
      </c>
      <c r="H23290" s="4" t="str">
        <v/>
      </c>
      <c r="I23290" s="4" t="str">
        <v/>
      </c>
    </row>
    <row r="23291" spans="5:9" ht="16.5" hidden="1">
      <c r="E23291" s="4" t="str">
        <v/>
      </c>
      <c r="F23291" s="102" t="str">
        <f ca="1">IFERROR(__xludf.DUMMYFUNCTION("IMPORTRANGE(H23291,""IDENTITAS UNIT!D9"")"),"#N/A")</f>
        <v>#N/A</v>
      </c>
      <c r="H23291" s="4" t="str">
        <v/>
      </c>
      <c r="I23291" s="4" t="str">
        <v/>
      </c>
    </row>
    <row r="23292" spans="5:9" ht="16.5" hidden="1">
      <c r="E23292" s="4" t="str">
        <v/>
      </c>
      <c r="F23292" s="102" t="str">
        <f ca="1">IFERROR(__xludf.DUMMYFUNCTION("IMPORTRANGE(H23292,""IDENTITAS UNIT!D9"")"),"#N/A")</f>
        <v>#N/A</v>
      </c>
      <c r="H23292" s="4" t="str">
        <v/>
      </c>
      <c r="I23292" s="4" t="str">
        <v/>
      </c>
    </row>
    <row r="23293" spans="5:9" ht="16.5" hidden="1">
      <c r="E23293" s="4" t="str">
        <v/>
      </c>
      <c r="F23293" s="102" t="str">
        <f ca="1">IFERROR(__xludf.DUMMYFUNCTION("IMPORTRANGE(H23293,""IDENTITAS UNIT!D9"")"),"#N/A")</f>
        <v>#N/A</v>
      </c>
      <c r="H23293" s="4" t="str">
        <v/>
      </c>
      <c r="I23293" s="4" t="str">
        <v/>
      </c>
    </row>
    <row r="23294" spans="5:9" ht="16.5" hidden="1">
      <c r="E23294" s="4" t="str">
        <v/>
      </c>
      <c r="F23294" s="102" t="str">
        <f ca="1">IFERROR(__xludf.DUMMYFUNCTION("IMPORTRANGE(H23294,""IDENTITAS UNIT!D9"")"),"#N/A")</f>
        <v>#N/A</v>
      </c>
      <c r="H23294" s="4" t="str">
        <v/>
      </c>
      <c r="I23294" s="4" t="str">
        <v/>
      </c>
    </row>
    <row r="23295" spans="5:9" ht="16.5" hidden="1">
      <c r="E23295" s="4" t="str">
        <v/>
      </c>
      <c r="F23295" s="102" t="str">
        <f ca="1">IFERROR(__xludf.DUMMYFUNCTION("IMPORTRANGE(H23295,""IDENTITAS UNIT!D9"")"),"#N/A")</f>
        <v>#N/A</v>
      </c>
      <c r="H23295" s="4" t="str">
        <v/>
      </c>
      <c r="I23295" s="4" t="str">
        <v/>
      </c>
    </row>
    <row r="23296" spans="5:9" ht="16.5" hidden="1">
      <c r="E23296" s="4" t="str">
        <v/>
      </c>
      <c r="F23296" s="102" t="str">
        <f ca="1">IFERROR(__xludf.DUMMYFUNCTION("IMPORTRANGE(H23296,""IDENTITAS UNIT!D9"")"),"#N/A")</f>
        <v>#N/A</v>
      </c>
      <c r="H23296" s="4" t="str">
        <v/>
      </c>
      <c r="I23296" s="4" t="str">
        <v/>
      </c>
    </row>
    <row r="23297" spans="5:9" ht="16.5" hidden="1">
      <c r="E23297" s="4" t="str">
        <v/>
      </c>
      <c r="F23297" s="102" t="str">
        <f ca="1">IFERROR(__xludf.DUMMYFUNCTION("IMPORTRANGE(H23297,""IDENTITAS UNIT!D9"")"),"#N/A")</f>
        <v>#N/A</v>
      </c>
      <c r="H23297" s="4" t="str">
        <v/>
      </c>
      <c r="I23297" s="4" t="str">
        <v/>
      </c>
    </row>
    <row r="23298" spans="5:9" ht="16.5" hidden="1">
      <c r="E23298" s="4" t="str">
        <v/>
      </c>
      <c r="F23298" s="102" t="str">
        <f ca="1">IFERROR(__xludf.DUMMYFUNCTION("IMPORTRANGE(H23298,""IDENTITAS UNIT!D9"")"),"#N/A")</f>
        <v>#N/A</v>
      </c>
      <c r="H23298" s="4" t="str">
        <v/>
      </c>
      <c r="I23298" s="4" t="str">
        <v/>
      </c>
    </row>
    <row r="23299" spans="5:9" ht="16.5" hidden="1">
      <c r="E23299" s="4" t="str">
        <v/>
      </c>
      <c r="F23299" s="102" t="str">
        <f ca="1">IFERROR(__xludf.DUMMYFUNCTION("IMPORTRANGE(H23299,""IDENTITAS UNIT!D9"")"),"#N/A")</f>
        <v>#N/A</v>
      </c>
      <c r="H23299" s="4" t="str">
        <v/>
      </c>
      <c r="I23299" s="4" t="str">
        <v/>
      </c>
    </row>
    <row r="23300" spans="5:9" ht="16.5" hidden="1">
      <c r="E23300" s="4" t="str">
        <v/>
      </c>
      <c r="F23300" s="102" t="str">
        <f ca="1">IFERROR(__xludf.DUMMYFUNCTION("IMPORTRANGE(H23300,""IDENTITAS UNIT!D9"")"),"#N/A")</f>
        <v>#N/A</v>
      </c>
      <c r="H23300" s="4" t="str">
        <v/>
      </c>
      <c r="I23300" s="4" t="str">
        <v/>
      </c>
    </row>
    <row r="23301" spans="5:9" ht="16.5" hidden="1">
      <c r="E23301" s="4" t="str">
        <v/>
      </c>
      <c r="F23301" s="102" t="str">
        <f ca="1">IFERROR(__xludf.DUMMYFUNCTION("IMPORTRANGE(H23301,""IDENTITAS UNIT!D9"")"),"#N/A")</f>
        <v>#N/A</v>
      </c>
      <c r="H23301" s="4" t="str">
        <v/>
      </c>
      <c r="I23301" s="4" t="str">
        <v/>
      </c>
    </row>
    <row r="23302" spans="5:9" ht="16.5" hidden="1">
      <c r="E23302" s="4" t="str">
        <v/>
      </c>
      <c r="F23302" s="102" t="str">
        <f ca="1">IFERROR(__xludf.DUMMYFUNCTION("IMPORTRANGE(H23302,""IDENTITAS UNIT!D9"")"),"#N/A")</f>
        <v>#N/A</v>
      </c>
      <c r="H23302" s="4" t="str">
        <v/>
      </c>
      <c r="I23302" s="4" t="str">
        <v/>
      </c>
    </row>
    <row r="23303" spans="5:9" ht="16.5" hidden="1">
      <c r="E23303" s="4" t="str">
        <v/>
      </c>
      <c r="F23303" s="102" t="str">
        <f ca="1">IFERROR(__xludf.DUMMYFUNCTION("IMPORTRANGE(H23303,""IDENTITAS UNIT!D9"")"),"#N/A")</f>
        <v>#N/A</v>
      </c>
      <c r="H23303" s="4" t="str">
        <v/>
      </c>
      <c r="I23303" s="4" t="str">
        <v/>
      </c>
    </row>
    <row r="23304" spans="5:9" ht="16.5" hidden="1">
      <c r="E23304" s="4" t="str">
        <v/>
      </c>
      <c r="F23304" s="102" t="str">
        <f ca="1">IFERROR(__xludf.DUMMYFUNCTION("IMPORTRANGE(H23304,""IDENTITAS UNIT!D9"")"),"#N/A")</f>
        <v>#N/A</v>
      </c>
      <c r="H23304" s="4" t="str">
        <v/>
      </c>
      <c r="I23304" s="4" t="str">
        <v/>
      </c>
    </row>
    <row r="23305" spans="5:9" ht="16.5" hidden="1">
      <c r="E23305" s="4" t="str">
        <v/>
      </c>
      <c r="F23305" s="102" t="str">
        <f ca="1">IFERROR(__xludf.DUMMYFUNCTION("IMPORTRANGE(H23305,""IDENTITAS UNIT!D9"")"),"#N/A")</f>
        <v>#N/A</v>
      </c>
      <c r="H23305" s="4" t="str">
        <v/>
      </c>
      <c r="I23305" s="4" t="str">
        <v/>
      </c>
    </row>
    <row r="23306" spans="5:9" ht="16.5" hidden="1">
      <c r="E23306" s="4" t="str">
        <v/>
      </c>
      <c r="F23306" s="102" t="str">
        <f ca="1">IFERROR(__xludf.DUMMYFUNCTION("IMPORTRANGE(H23306,""IDENTITAS UNIT!D9"")"),"#N/A")</f>
        <v>#N/A</v>
      </c>
      <c r="H23306" s="4" t="str">
        <v/>
      </c>
      <c r="I23306" s="4" t="str">
        <v/>
      </c>
    </row>
    <row r="23307" spans="5:9" ht="16.5" hidden="1">
      <c r="E23307" s="4" t="str">
        <v/>
      </c>
      <c r="F23307" s="102" t="str">
        <f ca="1">IFERROR(__xludf.DUMMYFUNCTION("IMPORTRANGE(H23307,""IDENTITAS UNIT!D9"")"),"#N/A")</f>
        <v>#N/A</v>
      </c>
      <c r="H23307" s="4" t="str">
        <v/>
      </c>
      <c r="I23307" s="4" t="str">
        <v/>
      </c>
    </row>
    <row r="23308" spans="5:9" ht="16.5" hidden="1">
      <c r="E23308" s="4" t="str">
        <v/>
      </c>
      <c r="F23308" s="102" t="str">
        <f ca="1">IFERROR(__xludf.DUMMYFUNCTION("IMPORTRANGE(H23308,""IDENTITAS UNIT!D9"")"),"#N/A")</f>
        <v>#N/A</v>
      </c>
      <c r="H23308" s="4" t="str">
        <v/>
      </c>
      <c r="I23308" s="4" t="str">
        <v/>
      </c>
    </row>
    <row r="23309" spans="5:9" ht="16.5" hidden="1">
      <c r="E23309" s="4" t="str">
        <v/>
      </c>
      <c r="F23309" s="102" t="str">
        <f ca="1">IFERROR(__xludf.DUMMYFUNCTION("IMPORTRANGE(H23309,""IDENTITAS UNIT!D9"")"),"#N/A")</f>
        <v>#N/A</v>
      </c>
      <c r="H23309" s="4" t="str">
        <v/>
      </c>
      <c r="I23309" s="4" t="str">
        <v/>
      </c>
    </row>
    <row r="23310" spans="5:9" ht="16.5" hidden="1">
      <c r="E23310" s="4" t="str">
        <v/>
      </c>
      <c r="F23310" s="102" t="str">
        <f ca="1">IFERROR(__xludf.DUMMYFUNCTION("IMPORTRANGE(H23310,""IDENTITAS UNIT!D9"")"),"#N/A")</f>
        <v>#N/A</v>
      </c>
      <c r="H23310" s="4" t="str">
        <v/>
      </c>
      <c r="I23310" s="4" t="str">
        <v/>
      </c>
    </row>
    <row r="23311" spans="5:9" ht="16.5" hidden="1">
      <c r="E23311" s="4" t="str">
        <v/>
      </c>
      <c r="F23311" s="102" t="str">
        <f ca="1">IFERROR(__xludf.DUMMYFUNCTION("IMPORTRANGE(H23311,""IDENTITAS UNIT!D9"")"),"#N/A")</f>
        <v>#N/A</v>
      </c>
      <c r="H23311" s="4" t="str">
        <v/>
      </c>
      <c r="I23311" s="4" t="str">
        <v/>
      </c>
    </row>
    <row r="23312" spans="5:9" ht="16.5" hidden="1">
      <c r="E23312" s="4" t="str">
        <v/>
      </c>
      <c r="F23312" s="102" t="str">
        <f ca="1">IFERROR(__xludf.DUMMYFUNCTION("IMPORTRANGE(H23312,""IDENTITAS UNIT!D9"")"),"#N/A")</f>
        <v>#N/A</v>
      </c>
      <c r="H23312" s="4" t="str">
        <v/>
      </c>
      <c r="I23312" s="4" t="str">
        <v/>
      </c>
    </row>
    <row r="23313" spans="5:9" ht="16.5" hidden="1">
      <c r="E23313" s="4" t="str">
        <v/>
      </c>
      <c r="F23313" s="102" t="str">
        <f ca="1">IFERROR(__xludf.DUMMYFUNCTION("IMPORTRANGE(H23313,""IDENTITAS UNIT!D9"")"),"#N/A")</f>
        <v>#N/A</v>
      </c>
      <c r="H23313" s="4" t="str">
        <v/>
      </c>
      <c r="I23313" s="4" t="str">
        <v/>
      </c>
    </row>
    <row r="23314" spans="5:9" ht="16.5" hidden="1">
      <c r="E23314" s="4" t="str">
        <v/>
      </c>
      <c r="F23314" s="102" t="str">
        <f ca="1">IFERROR(__xludf.DUMMYFUNCTION("IMPORTRANGE(H23314,""IDENTITAS UNIT!D9"")"),"#N/A")</f>
        <v>#N/A</v>
      </c>
      <c r="H23314" s="4" t="str">
        <v/>
      </c>
      <c r="I23314" s="4" t="str">
        <v/>
      </c>
    </row>
    <row r="23315" spans="5:9" ht="16.5" hidden="1">
      <c r="E23315" s="4" t="str">
        <v/>
      </c>
      <c r="F23315" s="102" t="str">
        <f ca="1">IFERROR(__xludf.DUMMYFUNCTION("IMPORTRANGE(H23315,""IDENTITAS UNIT!D9"")"),"#N/A")</f>
        <v>#N/A</v>
      </c>
      <c r="H23315" s="4" t="str">
        <v/>
      </c>
      <c r="I23315" s="4" t="str">
        <v/>
      </c>
    </row>
    <row r="23316" spans="5:9" ht="16.5" hidden="1">
      <c r="E23316" s="4" t="str">
        <v/>
      </c>
      <c r="F23316" s="102" t="str">
        <f ca="1">IFERROR(__xludf.DUMMYFUNCTION("IMPORTRANGE(H23316,""IDENTITAS UNIT!D9"")"),"#N/A")</f>
        <v>#N/A</v>
      </c>
      <c r="H23316" s="4" t="str">
        <v/>
      </c>
      <c r="I23316" s="4" t="str">
        <v/>
      </c>
    </row>
    <row r="23317" spans="5:9" ht="16.5" hidden="1">
      <c r="E23317" s="4" t="str">
        <v/>
      </c>
      <c r="F23317" s="102" t="str">
        <f ca="1">IFERROR(__xludf.DUMMYFUNCTION("IMPORTRANGE(H23317,""IDENTITAS UNIT!D9"")"),"#N/A")</f>
        <v>#N/A</v>
      </c>
      <c r="H23317" s="4" t="str">
        <v/>
      </c>
      <c r="I23317" s="4" t="str">
        <v/>
      </c>
    </row>
    <row r="23318" spans="5:9" ht="16.5" hidden="1">
      <c r="E23318" s="4" t="str">
        <v/>
      </c>
      <c r="F23318" s="102" t="str">
        <f ca="1">IFERROR(__xludf.DUMMYFUNCTION("IMPORTRANGE(H23318,""IDENTITAS UNIT!D9"")"),"#N/A")</f>
        <v>#N/A</v>
      </c>
      <c r="H23318" s="4" t="str">
        <v/>
      </c>
      <c r="I23318" s="4" t="str">
        <v/>
      </c>
    </row>
    <row r="23319" spans="5:9" ht="16.5" hidden="1">
      <c r="E23319" s="4" t="str">
        <v/>
      </c>
      <c r="F23319" s="102" t="str">
        <f ca="1">IFERROR(__xludf.DUMMYFUNCTION("IMPORTRANGE(H23319,""IDENTITAS UNIT!D9"")"),"#N/A")</f>
        <v>#N/A</v>
      </c>
      <c r="H23319" s="4" t="str">
        <v/>
      </c>
      <c r="I23319" s="4" t="str">
        <v/>
      </c>
    </row>
    <row r="23320" spans="5:9" ht="16.5" hidden="1">
      <c r="E23320" s="4" t="str">
        <v/>
      </c>
      <c r="F23320" s="102" t="str">
        <f ca="1">IFERROR(__xludf.DUMMYFUNCTION("IMPORTRANGE(H23320,""IDENTITAS UNIT!D9"")"),"#N/A")</f>
        <v>#N/A</v>
      </c>
      <c r="H23320" s="4" t="str">
        <v/>
      </c>
      <c r="I23320" s="4" t="str">
        <v/>
      </c>
    </row>
    <row r="23321" spans="5:9" ht="16.5" hidden="1">
      <c r="E23321" s="4" t="str">
        <v/>
      </c>
      <c r="F23321" s="102" t="str">
        <f ca="1">IFERROR(__xludf.DUMMYFUNCTION("IMPORTRANGE(H23321,""IDENTITAS UNIT!D9"")"),"#N/A")</f>
        <v>#N/A</v>
      </c>
      <c r="H23321" s="4" t="str">
        <v/>
      </c>
      <c r="I23321" s="4" t="str">
        <v/>
      </c>
    </row>
    <row r="23322" spans="5:9" ht="16.5" hidden="1">
      <c r="E23322" s="4" t="str">
        <v/>
      </c>
      <c r="F23322" s="102" t="str">
        <f ca="1">IFERROR(__xludf.DUMMYFUNCTION("IMPORTRANGE(H23322,""IDENTITAS UNIT!D9"")"),"#N/A")</f>
        <v>#N/A</v>
      </c>
      <c r="H23322" s="4" t="str">
        <v/>
      </c>
      <c r="I23322" s="4" t="str">
        <v/>
      </c>
    </row>
    <row r="23323" spans="5:9" ht="16.5" hidden="1">
      <c r="E23323" s="4" t="str">
        <v/>
      </c>
      <c r="F23323" s="102" t="str">
        <f ca="1">IFERROR(__xludf.DUMMYFUNCTION("IMPORTRANGE(H23323,""IDENTITAS UNIT!D9"")"),"#N/A")</f>
        <v>#N/A</v>
      </c>
      <c r="H23323" s="4" t="str">
        <v/>
      </c>
      <c r="I23323" s="4" t="str">
        <v/>
      </c>
    </row>
    <row r="23324" spans="5:9" ht="16.5" hidden="1">
      <c r="E23324" s="4" t="str">
        <v/>
      </c>
      <c r="F23324" s="102" t="str">
        <f ca="1">IFERROR(__xludf.DUMMYFUNCTION("IMPORTRANGE(H23324,""IDENTITAS UNIT!D9"")"),"#N/A")</f>
        <v>#N/A</v>
      </c>
      <c r="H23324" s="4" t="str">
        <v/>
      </c>
      <c r="I23324" s="4" t="str">
        <v/>
      </c>
    </row>
    <row r="23325" spans="5:9" ht="16.5" hidden="1">
      <c r="E23325" s="4" t="str">
        <v/>
      </c>
      <c r="F23325" s="102" t="str">
        <f ca="1">IFERROR(__xludf.DUMMYFUNCTION("IMPORTRANGE(H23325,""IDENTITAS UNIT!D9"")"),"#N/A")</f>
        <v>#N/A</v>
      </c>
      <c r="H23325" s="4" t="str">
        <v/>
      </c>
      <c r="I23325" s="4" t="str">
        <v/>
      </c>
    </row>
    <row r="23326" spans="5:9" ht="16.5" hidden="1">
      <c r="E23326" s="4" t="str">
        <v/>
      </c>
      <c r="F23326" s="102" t="str">
        <f ca="1">IFERROR(__xludf.DUMMYFUNCTION("IMPORTRANGE(H23326,""IDENTITAS UNIT!D9"")"),"#N/A")</f>
        <v>#N/A</v>
      </c>
      <c r="H23326" s="4" t="str">
        <v/>
      </c>
      <c r="I23326" s="4" t="str">
        <v/>
      </c>
    </row>
    <row r="23327" spans="5:9" ht="16.5" hidden="1">
      <c r="E23327" s="4" t="str">
        <v/>
      </c>
      <c r="F23327" s="102" t="str">
        <f ca="1">IFERROR(__xludf.DUMMYFUNCTION("IMPORTRANGE(H23327,""IDENTITAS UNIT!D9"")"),"#N/A")</f>
        <v>#N/A</v>
      </c>
      <c r="H23327" s="4" t="str">
        <v/>
      </c>
      <c r="I23327" s="4" t="str">
        <v/>
      </c>
    </row>
    <row r="23328" spans="5:9" ht="16.5" hidden="1">
      <c r="E23328" s="4" t="str">
        <v/>
      </c>
      <c r="F23328" s="102" t="str">
        <f ca="1">IFERROR(__xludf.DUMMYFUNCTION("IMPORTRANGE(H23328,""IDENTITAS UNIT!D9"")"),"#N/A")</f>
        <v>#N/A</v>
      </c>
      <c r="H23328" s="4" t="str">
        <v/>
      </c>
      <c r="I23328" s="4" t="str">
        <v/>
      </c>
    </row>
    <row r="23329" spans="5:9" ht="16.5" hidden="1">
      <c r="E23329" s="4" t="str">
        <v/>
      </c>
      <c r="F23329" s="102" t="str">
        <f ca="1">IFERROR(__xludf.DUMMYFUNCTION("IMPORTRANGE(H23329,""IDENTITAS UNIT!D9"")"),"#N/A")</f>
        <v>#N/A</v>
      </c>
      <c r="H23329" s="4" t="str">
        <v/>
      </c>
      <c r="I23329" s="4" t="str">
        <v/>
      </c>
    </row>
    <row r="23330" spans="5:9" ht="16.5" hidden="1">
      <c r="E23330" s="4" t="str">
        <v/>
      </c>
      <c r="F23330" s="102" t="str">
        <f ca="1">IFERROR(__xludf.DUMMYFUNCTION("IMPORTRANGE(H23330,""IDENTITAS UNIT!D9"")"),"#N/A")</f>
        <v>#N/A</v>
      </c>
      <c r="H23330" s="4" t="str">
        <v/>
      </c>
      <c r="I23330" s="4" t="str">
        <v/>
      </c>
    </row>
    <row r="23331" spans="5:9" ht="16.5" hidden="1">
      <c r="E23331" s="4" t="str">
        <v/>
      </c>
      <c r="F23331" s="102" t="str">
        <f ca="1">IFERROR(__xludf.DUMMYFUNCTION("IMPORTRANGE(H23331,""IDENTITAS UNIT!D9"")"),"#N/A")</f>
        <v>#N/A</v>
      </c>
      <c r="H23331" s="4" t="str">
        <v/>
      </c>
      <c r="I23331" s="4" t="str">
        <v/>
      </c>
    </row>
    <row r="23332" spans="5:9" ht="16.5" hidden="1">
      <c r="E23332" s="4" t="str">
        <v/>
      </c>
      <c r="F23332" s="102" t="str">
        <f ca="1">IFERROR(__xludf.DUMMYFUNCTION("IMPORTRANGE(H23332,""IDENTITAS UNIT!D9"")"),"#N/A")</f>
        <v>#N/A</v>
      </c>
      <c r="H23332" s="4" t="str">
        <v/>
      </c>
      <c r="I23332" s="4" t="str">
        <v/>
      </c>
    </row>
    <row r="23333" spans="5:9" ht="16.5" hidden="1">
      <c r="E23333" s="4" t="str">
        <v/>
      </c>
      <c r="F23333" s="102" t="str">
        <f ca="1">IFERROR(__xludf.DUMMYFUNCTION("IMPORTRANGE(H23333,""IDENTITAS UNIT!D9"")"),"#N/A")</f>
        <v>#N/A</v>
      </c>
      <c r="H23333" s="4" t="str">
        <v/>
      </c>
      <c r="I23333" s="4" t="str">
        <v/>
      </c>
    </row>
    <row r="23334" spans="5:9" ht="16.5" hidden="1">
      <c r="E23334" s="4" t="str">
        <v/>
      </c>
      <c r="F23334" s="102" t="str">
        <f ca="1">IFERROR(__xludf.DUMMYFUNCTION("IMPORTRANGE(H23334,""IDENTITAS UNIT!D9"")"),"#N/A")</f>
        <v>#N/A</v>
      </c>
      <c r="H23334" s="4" t="str">
        <v/>
      </c>
      <c r="I23334" s="4" t="str">
        <v/>
      </c>
    </row>
    <row r="23335" spans="5:9" ht="16.5" hidden="1">
      <c r="E23335" s="4" t="str">
        <v/>
      </c>
      <c r="F23335" s="102" t="str">
        <f ca="1">IFERROR(__xludf.DUMMYFUNCTION("IMPORTRANGE(H23335,""IDENTITAS UNIT!D9"")"),"#N/A")</f>
        <v>#N/A</v>
      </c>
      <c r="H23335" s="4" t="str">
        <v/>
      </c>
      <c r="I23335" s="4" t="str">
        <v/>
      </c>
    </row>
    <row r="23336" spans="5:9" ht="16.5" hidden="1">
      <c r="E23336" s="4" t="str">
        <v/>
      </c>
      <c r="F23336" s="102" t="str">
        <f ca="1">IFERROR(__xludf.DUMMYFUNCTION("IMPORTRANGE(H23336,""IDENTITAS UNIT!D9"")"),"#N/A")</f>
        <v>#N/A</v>
      </c>
      <c r="H23336" s="4" t="str">
        <v/>
      </c>
      <c r="I23336" s="4" t="str">
        <v/>
      </c>
    </row>
    <row r="23337" spans="5:9" ht="16.5" hidden="1">
      <c r="E23337" s="4" t="str">
        <v/>
      </c>
      <c r="F23337" s="102" t="str">
        <f ca="1">IFERROR(__xludf.DUMMYFUNCTION("IMPORTRANGE(H23337,""IDENTITAS UNIT!D9"")"),"#N/A")</f>
        <v>#N/A</v>
      </c>
      <c r="H23337" s="4" t="str">
        <v/>
      </c>
      <c r="I23337" s="4" t="str">
        <v/>
      </c>
    </row>
    <row r="23338" spans="5:9" ht="16.5" hidden="1">
      <c r="E23338" s="4" t="str">
        <v/>
      </c>
      <c r="F23338" s="102" t="str">
        <f ca="1">IFERROR(__xludf.DUMMYFUNCTION("IMPORTRANGE(H23338,""IDENTITAS UNIT!D9"")"),"#N/A")</f>
        <v>#N/A</v>
      </c>
      <c r="H23338" s="4" t="str">
        <v/>
      </c>
      <c r="I23338" s="4" t="str">
        <v/>
      </c>
    </row>
    <row r="23339" spans="5:9" ht="16.5" hidden="1">
      <c r="E23339" s="4" t="str">
        <v/>
      </c>
      <c r="F23339" s="102" t="str">
        <f ca="1">IFERROR(__xludf.DUMMYFUNCTION("IMPORTRANGE(H23339,""IDENTITAS UNIT!D9"")"),"#N/A")</f>
        <v>#N/A</v>
      </c>
      <c r="H23339" s="4" t="str">
        <v/>
      </c>
      <c r="I23339" s="4" t="str">
        <v/>
      </c>
    </row>
    <row r="23340" spans="5:9" ht="16.5" hidden="1">
      <c r="E23340" s="4" t="str">
        <v/>
      </c>
      <c r="F23340" s="102" t="str">
        <f ca="1">IFERROR(__xludf.DUMMYFUNCTION("IMPORTRANGE(H23340,""IDENTITAS UNIT!D9"")"),"#N/A")</f>
        <v>#N/A</v>
      </c>
      <c r="H23340" s="4" t="str">
        <v/>
      </c>
      <c r="I23340" s="4" t="str">
        <v/>
      </c>
    </row>
    <row r="23341" spans="5:9" ht="16.5" hidden="1">
      <c r="E23341" s="4" t="str">
        <v/>
      </c>
      <c r="F23341" s="102" t="str">
        <f ca="1">IFERROR(__xludf.DUMMYFUNCTION("IMPORTRANGE(H23341,""IDENTITAS UNIT!D9"")"),"#N/A")</f>
        <v>#N/A</v>
      </c>
      <c r="H23341" s="4" t="str">
        <v/>
      </c>
      <c r="I23341" s="4" t="str">
        <v/>
      </c>
    </row>
    <row r="23342" spans="5:9" ht="16.5" hidden="1">
      <c r="E23342" s="4" t="str">
        <v/>
      </c>
      <c r="F23342" s="102" t="str">
        <f ca="1">IFERROR(__xludf.DUMMYFUNCTION("IMPORTRANGE(H23342,""IDENTITAS UNIT!D9"")"),"#N/A")</f>
        <v>#N/A</v>
      </c>
      <c r="H23342" s="4" t="str">
        <v/>
      </c>
      <c r="I23342" s="4" t="str">
        <v/>
      </c>
    </row>
    <row r="23343" spans="5:9" ht="16.5" hidden="1">
      <c r="E23343" s="4" t="str">
        <v/>
      </c>
      <c r="F23343" s="102" t="str">
        <f ca="1">IFERROR(__xludf.DUMMYFUNCTION("IMPORTRANGE(H23343,""IDENTITAS UNIT!D9"")"),"#N/A")</f>
        <v>#N/A</v>
      </c>
      <c r="H23343" s="4" t="str">
        <v/>
      </c>
      <c r="I23343" s="4" t="str">
        <v/>
      </c>
    </row>
    <row r="23344" spans="5:9" ht="16.5" hidden="1">
      <c r="E23344" s="4" t="str">
        <v/>
      </c>
      <c r="F23344" s="102" t="str">
        <f ca="1">IFERROR(__xludf.DUMMYFUNCTION("IMPORTRANGE(H23344,""IDENTITAS UNIT!D9"")"),"#N/A")</f>
        <v>#N/A</v>
      </c>
      <c r="H23344" s="4" t="str">
        <v/>
      </c>
      <c r="I23344" s="4" t="str">
        <v/>
      </c>
    </row>
    <row r="23345" spans="5:9" ht="16.5" hidden="1">
      <c r="E23345" s="4" t="str">
        <v/>
      </c>
      <c r="F23345" s="102" t="str">
        <f ca="1">IFERROR(__xludf.DUMMYFUNCTION("IMPORTRANGE(H23345,""IDENTITAS UNIT!D9"")"),"#N/A")</f>
        <v>#N/A</v>
      </c>
      <c r="H23345" s="4" t="str">
        <v/>
      </c>
      <c r="I23345" s="4" t="str">
        <v/>
      </c>
    </row>
    <row r="23346" spans="5:9" ht="16.5" hidden="1">
      <c r="E23346" s="4" t="str">
        <v/>
      </c>
      <c r="F23346" s="102" t="str">
        <f ca="1">IFERROR(__xludf.DUMMYFUNCTION("IMPORTRANGE(H23346,""IDENTITAS UNIT!D9"")"),"#N/A")</f>
        <v>#N/A</v>
      </c>
      <c r="H23346" s="4" t="str">
        <v/>
      </c>
      <c r="I23346" s="4" t="str">
        <v/>
      </c>
    </row>
    <row r="23347" spans="5:9" ht="16.5" hidden="1">
      <c r="E23347" s="4" t="str">
        <v/>
      </c>
      <c r="F23347" s="102" t="str">
        <f ca="1">IFERROR(__xludf.DUMMYFUNCTION("IMPORTRANGE(H23347,""IDENTITAS UNIT!D9"")"),"#N/A")</f>
        <v>#N/A</v>
      </c>
      <c r="H23347" s="4" t="str">
        <v/>
      </c>
      <c r="I23347" s="4" t="str">
        <v/>
      </c>
    </row>
    <row r="23348" spans="5:9" ht="16.5" hidden="1">
      <c r="E23348" s="4" t="str">
        <v/>
      </c>
      <c r="F23348" s="102" t="str">
        <f ca="1">IFERROR(__xludf.DUMMYFUNCTION("IMPORTRANGE(H23348,""IDENTITAS UNIT!D9"")"),"#N/A")</f>
        <v>#N/A</v>
      </c>
      <c r="H23348" s="4" t="str">
        <v/>
      </c>
      <c r="I23348" s="4" t="str">
        <v/>
      </c>
    </row>
    <row r="23349" spans="5:9" ht="16.5" hidden="1">
      <c r="E23349" s="4" t="str">
        <v/>
      </c>
      <c r="F23349" s="102" t="str">
        <f ca="1">IFERROR(__xludf.DUMMYFUNCTION("IMPORTRANGE(H23349,""IDENTITAS UNIT!D9"")"),"#N/A")</f>
        <v>#N/A</v>
      </c>
      <c r="H23349" s="4" t="str">
        <v/>
      </c>
      <c r="I23349" s="4" t="str">
        <v/>
      </c>
    </row>
    <row r="23350" spans="5:9" ht="16.5" hidden="1">
      <c r="E23350" s="4" t="str">
        <v/>
      </c>
      <c r="F23350" s="102" t="str">
        <f ca="1">IFERROR(__xludf.DUMMYFUNCTION("IMPORTRANGE(H23350,""IDENTITAS UNIT!D9"")"),"#N/A")</f>
        <v>#N/A</v>
      </c>
      <c r="H23350" s="4" t="str">
        <v/>
      </c>
      <c r="I23350" s="4" t="str">
        <v/>
      </c>
    </row>
    <row r="23351" spans="5:9" ht="16.5" hidden="1">
      <c r="E23351" s="4" t="str">
        <v/>
      </c>
      <c r="F23351" s="102" t="str">
        <f ca="1">IFERROR(__xludf.DUMMYFUNCTION("IMPORTRANGE(H23351,""IDENTITAS UNIT!D9"")"),"#N/A")</f>
        <v>#N/A</v>
      </c>
      <c r="H23351" s="4" t="str">
        <v/>
      </c>
      <c r="I23351" s="4" t="str">
        <v/>
      </c>
    </row>
    <row r="23352" spans="5:9" ht="16.5" hidden="1">
      <c r="E23352" s="4" t="str">
        <v/>
      </c>
      <c r="F23352" s="102" t="str">
        <f ca="1">IFERROR(__xludf.DUMMYFUNCTION("IMPORTRANGE(H23352,""IDENTITAS UNIT!D9"")"),"#N/A")</f>
        <v>#N/A</v>
      </c>
      <c r="H23352" s="4" t="str">
        <v/>
      </c>
      <c r="I23352" s="4" t="str">
        <v/>
      </c>
    </row>
    <row r="23353" spans="5:9" ht="16.5" hidden="1">
      <c r="E23353" s="4" t="str">
        <v/>
      </c>
      <c r="F23353" s="102" t="str">
        <f ca="1">IFERROR(__xludf.DUMMYFUNCTION("IMPORTRANGE(H23353,""IDENTITAS UNIT!D9"")"),"#N/A")</f>
        <v>#N/A</v>
      </c>
      <c r="H23353" s="4" t="str">
        <v/>
      </c>
      <c r="I23353" s="4" t="str">
        <v/>
      </c>
    </row>
    <row r="23354" spans="5:9" ht="16.5" hidden="1">
      <c r="E23354" s="4" t="str">
        <v/>
      </c>
      <c r="F23354" s="102" t="str">
        <f ca="1">IFERROR(__xludf.DUMMYFUNCTION("IMPORTRANGE(H23354,""IDENTITAS UNIT!D9"")"),"#N/A")</f>
        <v>#N/A</v>
      </c>
      <c r="H23354" s="4" t="str">
        <v/>
      </c>
      <c r="I23354" s="4" t="str">
        <v/>
      </c>
    </row>
    <row r="23355" spans="5:9" ht="16.5" hidden="1">
      <c r="E23355" s="4" t="str">
        <v/>
      </c>
      <c r="F23355" s="102" t="str">
        <f ca="1">IFERROR(__xludf.DUMMYFUNCTION("IMPORTRANGE(H23355,""IDENTITAS UNIT!D9"")"),"#N/A")</f>
        <v>#N/A</v>
      </c>
      <c r="H23355" s="4" t="str">
        <v/>
      </c>
      <c r="I23355" s="4" t="str">
        <v/>
      </c>
    </row>
    <row r="23356" spans="5:9" ht="16.5" hidden="1">
      <c r="E23356" s="4" t="str">
        <v/>
      </c>
      <c r="F23356" s="102" t="str">
        <f ca="1">IFERROR(__xludf.DUMMYFUNCTION("IMPORTRANGE(H23356,""IDENTITAS UNIT!D9"")"),"#N/A")</f>
        <v>#N/A</v>
      </c>
      <c r="H23356" s="4" t="str">
        <v/>
      </c>
      <c r="I23356" s="4" t="str">
        <v/>
      </c>
    </row>
    <row r="23357" spans="5:9" ht="16.5" hidden="1">
      <c r="E23357" s="4" t="str">
        <v/>
      </c>
      <c r="F23357" s="102" t="str">
        <f ca="1">IFERROR(__xludf.DUMMYFUNCTION("IMPORTRANGE(H23357,""IDENTITAS UNIT!D9"")"),"#N/A")</f>
        <v>#N/A</v>
      </c>
      <c r="H23357" s="4" t="str">
        <v/>
      </c>
      <c r="I23357" s="4" t="str">
        <v/>
      </c>
    </row>
    <row r="23358" spans="5:9" ht="16.5" hidden="1">
      <c r="E23358" s="4" t="str">
        <v/>
      </c>
      <c r="F23358" s="102" t="str">
        <f ca="1">IFERROR(__xludf.DUMMYFUNCTION("IMPORTRANGE(H23358,""IDENTITAS UNIT!D9"")"),"#N/A")</f>
        <v>#N/A</v>
      </c>
      <c r="H23358" s="4" t="str">
        <v/>
      </c>
      <c r="I23358" s="4" t="str">
        <v/>
      </c>
    </row>
    <row r="23359" spans="5:9" ht="16.5" hidden="1">
      <c r="E23359" s="4" t="str">
        <v/>
      </c>
      <c r="F23359" s="102" t="str">
        <f ca="1">IFERROR(__xludf.DUMMYFUNCTION("IMPORTRANGE(H23359,""IDENTITAS UNIT!D9"")"),"#N/A")</f>
        <v>#N/A</v>
      </c>
      <c r="H23359" s="4" t="str">
        <v/>
      </c>
      <c r="I23359" s="4" t="str">
        <v/>
      </c>
    </row>
    <row r="23360" spans="5:9" ht="16.5" hidden="1">
      <c r="E23360" s="4" t="str">
        <v/>
      </c>
      <c r="F23360" s="102" t="str">
        <f ca="1">IFERROR(__xludf.DUMMYFUNCTION("IMPORTRANGE(H23360,""IDENTITAS UNIT!D9"")"),"#N/A")</f>
        <v>#N/A</v>
      </c>
      <c r="H23360" s="4" t="str">
        <v/>
      </c>
      <c r="I23360" s="4" t="str">
        <v/>
      </c>
    </row>
    <row r="23361" spans="5:9" ht="16.5" hidden="1">
      <c r="E23361" s="4" t="str">
        <v/>
      </c>
      <c r="F23361" s="102" t="str">
        <f ca="1">IFERROR(__xludf.DUMMYFUNCTION("IMPORTRANGE(H23361,""IDENTITAS UNIT!D9"")"),"#N/A")</f>
        <v>#N/A</v>
      </c>
      <c r="H23361" s="4" t="str">
        <v/>
      </c>
      <c r="I23361" s="4" t="str">
        <v/>
      </c>
    </row>
    <row r="23362" spans="5:9" ht="16.5" hidden="1">
      <c r="E23362" s="4" t="str">
        <v/>
      </c>
      <c r="F23362" s="102" t="str">
        <f ca="1">IFERROR(__xludf.DUMMYFUNCTION("IMPORTRANGE(H23362,""IDENTITAS UNIT!D9"")"),"#N/A")</f>
        <v>#N/A</v>
      </c>
      <c r="H23362" s="4" t="str">
        <v/>
      </c>
      <c r="I23362" s="4" t="str">
        <v/>
      </c>
    </row>
    <row r="23363" spans="5:9" ht="16.5" hidden="1">
      <c r="E23363" s="4" t="str">
        <v/>
      </c>
      <c r="F23363" s="102" t="str">
        <f ca="1">IFERROR(__xludf.DUMMYFUNCTION("IMPORTRANGE(H23363,""IDENTITAS UNIT!D9"")"),"#N/A")</f>
        <v>#N/A</v>
      </c>
      <c r="H23363" s="4" t="str">
        <v/>
      </c>
      <c r="I23363" s="4" t="str">
        <v/>
      </c>
    </row>
    <row r="23364" spans="5:9" ht="16.5" hidden="1">
      <c r="E23364" s="4" t="str">
        <v/>
      </c>
      <c r="F23364" s="102" t="str">
        <f ca="1">IFERROR(__xludf.DUMMYFUNCTION("IMPORTRANGE(H23364,""IDENTITAS UNIT!D9"")"),"#N/A")</f>
        <v>#N/A</v>
      </c>
      <c r="H23364" s="4" t="str">
        <v/>
      </c>
      <c r="I23364" s="4" t="str">
        <v/>
      </c>
    </row>
    <row r="23365" spans="5:9" ht="16.5" hidden="1">
      <c r="E23365" s="4" t="str">
        <v/>
      </c>
      <c r="F23365" s="102" t="str">
        <f ca="1">IFERROR(__xludf.DUMMYFUNCTION("IMPORTRANGE(H23365,""IDENTITAS UNIT!D9"")"),"#N/A")</f>
        <v>#N/A</v>
      </c>
      <c r="H23365" s="4" t="str">
        <v/>
      </c>
      <c r="I23365" s="4" t="str">
        <v/>
      </c>
    </row>
    <row r="23366" spans="5:9" ht="16.5" hidden="1">
      <c r="E23366" s="4" t="str">
        <v/>
      </c>
      <c r="F23366" s="102" t="str">
        <f ca="1">IFERROR(__xludf.DUMMYFUNCTION("IMPORTRANGE(H23366,""IDENTITAS UNIT!D9"")"),"#N/A")</f>
        <v>#N/A</v>
      </c>
      <c r="H23366" s="4" t="str">
        <v/>
      </c>
      <c r="I23366" s="4" t="str">
        <v/>
      </c>
    </row>
    <row r="23367" spans="5:9" ht="16.5" hidden="1">
      <c r="E23367" s="4" t="str">
        <v/>
      </c>
      <c r="F23367" s="102" t="str">
        <f ca="1">IFERROR(__xludf.DUMMYFUNCTION("IMPORTRANGE(H23367,""IDENTITAS UNIT!D9"")"),"#N/A")</f>
        <v>#N/A</v>
      </c>
      <c r="H23367" s="4" t="str">
        <v/>
      </c>
      <c r="I23367" s="4" t="str">
        <v/>
      </c>
    </row>
    <row r="23368" spans="5:9" ht="16.5" hidden="1">
      <c r="E23368" s="4" t="str">
        <v/>
      </c>
      <c r="F23368" s="102" t="str">
        <f ca="1">IFERROR(__xludf.DUMMYFUNCTION("IMPORTRANGE(H23368,""IDENTITAS UNIT!D9"")"),"#N/A")</f>
        <v>#N/A</v>
      </c>
      <c r="H23368" s="4" t="str">
        <v/>
      </c>
      <c r="I23368" s="4" t="str">
        <v/>
      </c>
    </row>
    <row r="23369" spans="5:9" ht="16.5" hidden="1">
      <c r="E23369" s="4" t="str">
        <v/>
      </c>
      <c r="F23369" s="102" t="str">
        <f ca="1">IFERROR(__xludf.DUMMYFUNCTION("IMPORTRANGE(H23369,""IDENTITAS UNIT!D9"")"),"#N/A")</f>
        <v>#N/A</v>
      </c>
      <c r="H23369" s="4" t="str">
        <v/>
      </c>
      <c r="I23369" s="4" t="str">
        <v/>
      </c>
    </row>
    <row r="23370" spans="5:9" ht="16.5" hidden="1">
      <c r="E23370" s="4" t="str">
        <v/>
      </c>
      <c r="F23370" s="102" t="str">
        <f ca="1">IFERROR(__xludf.DUMMYFUNCTION("IMPORTRANGE(H23370,""IDENTITAS UNIT!D9"")"),"#N/A")</f>
        <v>#N/A</v>
      </c>
      <c r="H23370" s="4" t="str">
        <v/>
      </c>
      <c r="I23370" s="4" t="str">
        <v/>
      </c>
    </row>
    <row r="23371" spans="5:9" ht="16.5" hidden="1">
      <c r="E23371" s="4" t="str">
        <v/>
      </c>
      <c r="F23371" s="102" t="str">
        <f ca="1">IFERROR(__xludf.DUMMYFUNCTION("IMPORTRANGE(H23371,""IDENTITAS UNIT!D9"")"),"#N/A")</f>
        <v>#N/A</v>
      </c>
      <c r="H23371" s="4" t="str">
        <v/>
      </c>
      <c r="I23371" s="4" t="str">
        <v/>
      </c>
    </row>
    <row r="23372" spans="5:9" ht="16.5" hidden="1">
      <c r="E23372" s="4" t="str">
        <v/>
      </c>
      <c r="F23372" s="102" t="str">
        <f ca="1">IFERROR(__xludf.DUMMYFUNCTION("IMPORTRANGE(H23372,""IDENTITAS UNIT!D9"")"),"#N/A")</f>
        <v>#N/A</v>
      </c>
      <c r="H23372" s="4" t="str">
        <v/>
      </c>
      <c r="I23372" s="4" t="str">
        <v/>
      </c>
    </row>
    <row r="23373" spans="5:9" ht="16.5" hidden="1">
      <c r="E23373" s="4" t="str">
        <v/>
      </c>
      <c r="F23373" s="102" t="str">
        <f ca="1">IFERROR(__xludf.DUMMYFUNCTION("IMPORTRANGE(H23373,""IDENTITAS UNIT!D9"")"),"#N/A")</f>
        <v>#N/A</v>
      </c>
      <c r="H23373" s="4" t="str">
        <v/>
      </c>
      <c r="I23373" s="4" t="str">
        <v/>
      </c>
    </row>
    <row r="23374" spans="5:9" ht="16.5" hidden="1">
      <c r="E23374" s="4" t="str">
        <v/>
      </c>
      <c r="F23374" s="102" t="str">
        <f ca="1">IFERROR(__xludf.DUMMYFUNCTION("IMPORTRANGE(H23374,""IDENTITAS UNIT!D9"")"),"#N/A")</f>
        <v>#N/A</v>
      </c>
      <c r="H23374" s="4" t="str">
        <v/>
      </c>
      <c r="I23374" s="4" t="str">
        <v/>
      </c>
    </row>
    <row r="23375" spans="5:9" ht="16.5" hidden="1">
      <c r="E23375" s="4" t="str">
        <v/>
      </c>
      <c r="F23375" s="102" t="str">
        <f ca="1">IFERROR(__xludf.DUMMYFUNCTION("IMPORTRANGE(H23375,""IDENTITAS UNIT!D9"")"),"#N/A")</f>
        <v>#N/A</v>
      </c>
      <c r="H23375" s="4" t="str">
        <v/>
      </c>
      <c r="I23375" s="4" t="str">
        <v/>
      </c>
    </row>
    <row r="23376" spans="5:9" ht="16.5" hidden="1">
      <c r="E23376" s="4" t="str">
        <v/>
      </c>
      <c r="F23376" s="102" t="str">
        <f ca="1">IFERROR(__xludf.DUMMYFUNCTION("IMPORTRANGE(H23376,""IDENTITAS UNIT!D9"")"),"#N/A")</f>
        <v>#N/A</v>
      </c>
      <c r="H23376" s="4" t="str">
        <v/>
      </c>
      <c r="I23376" s="4" t="str">
        <v/>
      </c>
    </row>
    <row r="23377" spans="5:9" ht="16.5" hidden="1">
      <c r="E23377" s="4" t="str">
        <v/>
      </c>
      <c r="F23377" s="102" t="str">
        <f ca="1">IFERROR(__xludf.DUMMYFUNCTION("IMPORTRANGE(H23377,""IDENTITAS UNIT!D9"")"),"#N/A")</f>
        <v>#N/A</v>
      </c>
      <c r="H23377" s="4" t="str">
        <v/>
      </c>
      <c r="I23377" s="4" t="str">
        <v/>
      </c>
    </row>
    <row r="23378" spans="5:9" ht="16.5" hidden="1">
      <c r="E23378" s="4" t="str">
        <v/>
      </c>
      <c r="F23378" s="102" t="str">
        <f ca="1">IFERROR(__xludf.DUMMYFUNCTION("IMPORTRANGE(H23378,""IDENTITAS UNIT!D9"")"),"#N/A")</f>
        <v>#N/A</v>
      </c>
      <c r="H23378" s="4" t="str">
        <v/>
      </c>
      <c r="I23378" s="4" t="str">
        <v/>
      </c>
    </row>
    <row r="23379" spans="5:9" ht="16.5" hidden="1">
      <c r="E23379" s="4" t="str">
        <v/>
      </c>
      <c r="F23379" s="102" t="str">
        <f ca="1">IFERROR(__xludf.DUMMYFUNCTION("IMPORTRANGE(H23379,""IDENTITAS UNIT!D9"")"),"#N/A")</f>
        <v>#N/A</v>
      </c>
      <c r="H23379" s="4" t="str">
        <v/>
      </c>
      <c r="I23379" s="4" t="str">
        <v/>
      </c>
    </row>
    <row r="23380" spans="5:9" ht="16.5" hidden="1">
      <c r="E23380" s="4" t="str">
        <v/>
      </c>
      <c r="F23380" s="102" t="str">
        <f ca="1">IFERROR(__xludf.DUMMYFUNCTION("IMPORTRANGE(H23380,""IDENTITAS UNIT!D9"")"),"#N/A")</f>
        <v>#N/A</v>
      </c>
      <c r="H23380" s="4" t="str">
        <v/>
      </c>
      <c r="I23380" s="4" t="str">
        <v/>
      </c>
    </row>
    <row r="23381" spans="5:9" ht="16.5" hidden="1">
      <c r="E23381" s="4" t="str">
        <v/>
      </c>
      <c r="F23381" s="102" t="str">
        <f ca="1">IFERROR(__xludf.DUMMYFUNCTION("IMPORTRANGE(H23381,""IDENTITAS UNIT!D9"")"),"#N/A")</f>
        <v>#N/A</v>
      </c>
      <c r="H23381" s="4" t="str">
        <v/>
      </c>
      <c r="I23381" s="4" t="str">
        <v/>
      </c>
    </row>
    <row r="23382" spans="5:9" ht="16.5" hidden="1">
      <c r="E23382" s="4" t="str">
        <v/>
      </c>
      <c r="F23382" s="102" t="str">
        <f ca="1">IFERROR(__xludf.DUMMYFUNCTION("IMPORTRANGE(H23382,""IDENTITAS UNIT!D9"")"),"#N/A")</f>
        <v>#N/A</v>
      </c>
      <c r="H23382" s="4" t="str">
        <v/>
      </c>
      <c r="I23382" s="4" t="str">
        <v/>
      </c>
    </row>
    <row r="23383" spans="5:9" ht="16.5" hidden="1">
      <c r="E23383" s="4" t="str">
        <v/>
      </c>
      <c r="F23383" s="102" t="str">
        <f ca="1">IFERROR(__xludf.DUMMYFUNCTION("IMPORTRANGE(H23383,""IDENTITAS UNIT!D9"")"),"#N/A")</f>
        <v>#N/A</v>
      </c>
      <c r="H23383" s="4" t="str">
        <v/>
      </c>
      <c r="I23383" s="4" t="str">
        <v/>
      </c>
    </row>
    <row r="23384" spans="5:9" ht="16.5" hidden="1">
      <c r="E23384" s="4" t="str">
        <v/>
      </c>
      <c r="F23384" s="102" t="str">
        <f ca="1">IFERROR(__xludf.DUMMYFUNCTION("IMPORTRANGE(H23384,""IDENTITAS UNIT!D9"")"),"#N/A")</f>
        <v>#N/A</v>
      </c>
      <c r="H23384" s="4" t="str">
        <v/>
      </c>
      <c r="I23384" s="4" t="str">
        <v/>
      </c>
    </row>
    <row r="23385" spans="5:9" ht="16.5" hidden="1">
      <c r="E23385" s="4" t="str">
        <v/>
      </c>
      <c r="F23385" s="102" t="str">
        <f ca="1">IFERROR(__xludf.DUMMYFUNCTION("IMPORTRANGE(H23385,""IDENTITAS UNIT!D9"")"),"#N/A")</f>
        <v>#N/A</v>
      </c>
      <c r="H23385" s="4" t="str">
        <v/>
      </c>
      <c r="I23385" s="4" t="str">
        <v/>
      </c>
    </row>
    <row r="23386" spans="5:9" ht="16.5" hidden="1">
      <c r="E23386" s="4" t="str">
        <v/>
      </c>
      <c r="F23386" s="102" t="str">
        <f ca="1">IFERROR(__xludf.DUMMYFUNCTION("IMPORTRANGE(H23386,""IDENTITAS UNIT!D9"")"),"#N/A")</f>
        <v>#N/A</v>
      </c>
      <c r="H23386" s="4" t="str">
        <v/>
      </c>
      <c r="I23386" s="4" t="str">
        <v/>
      </c>
    </row>
    <row r="23387" spans="5:9" ht="16.5" hidden="1">
      <c r="E23387" s="4" t="str">
        <v/>
      </c>
      <c r="F23387" s="102" t="str">
        <f ca="1">IFERROR(__xludf.DUMMYFUNCTION("IMPORTRANGE(H23387,""IDENTITAS UNIT!D9"")"),"#N/A")</f>
        <v>#N/A</v>
      </c>
      <c r="H23387" s="4" t="str">
        <v/>
      </c>
      <c r="I23387" s="4" t="str">
        <v/>
      </c>
    </row>
    <row r="23388" spans="5:9" ht="16.5" hidden="1">
      <c r="E23388" s="4" t="str">
        <v/>
      </c>
      <c r="F23388" s="102" t="str">
        <f ca="1">IFERROR(__xludf.DUMMYFUNCTION("IMPORTRANGE(H23388,""IDENTITAS UNIT!D9"")"),"#N/A")</f>
        <v>#N/A</v>
      </c>
      <c r="H23388" s="4" t="str">
        <v/>
      </c>
      <c r="I23388" s="4" t="str">
        <v/>
      </c>
    </row>
    <row r="23389" spans="5:9" ht="16.5" hidden="1">
      <c r="E23389" s="4" t="str">
        <v/>
      </c>
      <c r="F23389" s="102" t="str">
        <f ca="1">IFERROR(__xludf.DUMMYFUNCTION("IMPORTRANGE(H23389,""IDENTITAS UNIT!D9"")"),"#N/A")</f>
        <v>#N/A</v>
      </c>
      <c r="H23389" s="4" t="str">
        <v/>
      </c>
      <c r="I23389" s="4" t="str">
        <v/>
      </c>
    </row>
    <row r="23390" spans="5:9" ht="16.5" hidden="1">
      <c r="E23390" s="4" t="str">
        <v/>
      </c>
      <c r="F23390" s="102" t="str">
        <f ca="1">IFERROR(__xludf.DUMMYFUNCTION("IMPORTRANGE(H23390,""IDENTITAS UNIT!D9"")"),"#N/A")</f>
        <v>#N/A</v>
      </c>
      <c r="H23390" s="4" t="str">
        <v/>
      </c>
      <c r="I23390" s="4" t="str">
        <v/>
      </c>
    </row>
    <row r="23391" spans="5:9" ht="16.5" hidden="1">
      <c r="E23391" s="4" t="str">
        <v/>
      </c>
      <c r="F23391" s="102" t="str">
        <f ca="1">IFERROR(__xludf.DUMMYFUNCTION("IMPORTRANGE(H23391,""IDENTITAS UNIT!D9"")"),"#N/A")</f>
        <v>#N/A</v>
      </c>
      <c r="H23391" s="4" t="str">
        <v/>
      </c>
      <c r="I23391" s="4" t="str">
        <v/>
      </c>
    </row>
    <row r="23392" spans="5:9" ht="16.5" hidden="1">
      <c r="E23392" s="4" t="str">
        <v/>
      </c>
      <c r="F23392" s="102" t="str">
        <f ca="1">IFERROR(__xludf.DUMMYFUNCTION("IMPORTRANGE(H23392,""IDENTITAS UNIT!D9"")"),"#N/A")</f>
        <v>#N/A</v>
      </c>
      <c r="H23392" s="4" t="str">
        <v/>
      </c>
      <c r="I23392" s="4" t="str">
        <v/>
      </c>
    </row>
    <row r="23393" spans="5:9" ht="16.5" hidden="1">
      <c r="E23393" s="4" t="str">
        <v/>
      </c>
      <c r="F23393" s="102" t="str">
        <f ca="1">IFERROR(__xludf.DUMMYFUNCTION("IMPORTRANGE(H23393,""IDENTITAS UNIT!D9"")"),"#N/A")</f>
        <v>#N/A</v>
      </c>
      <c r="H23393" s="4" t="str">
        <v/>
      </c>
      <c r="I23393" s="4" t="str">
        <v/>
      </c>
    </row>
    <row r="23394" spans="5:9" ht="16.5" hidden="1">
      <c r="E23394" s="4" t="str">
        <v/>
      </c>
      <c r="F23394" s="102" t="str">
        <f ca="1">IFERROR(__xludf.DUMMYFUNCTION("IMPORTRANGE(H23394,""IDENTITAS UNIT!D9"")"),"#N/A")</f>
        <v>#N/A</v>
      </c>
      <c r="H23394" s="4" t="str">
        <v/>
      </c>
      <c r="I23394" s="4" t="str">
        <v/>
      </c>
    </row>
    <row r="23395" spans="5:9" ht="16.5" hidden="1">
      <c r="E23395" s="4" t="str">
        <v/>
      </c>
      <c r="F23395" s="102" t="str">
        <f ca="1">IFERROR(__xludf.DUMMYFUNCTION("IMPORTRANGE(H23395,""IDENTITAS UNIT!D9"")"),"#N/A")</f>
        <v>#N/A</v>
      </c>
      <c r="H23395" s="4" t="str">
        <v/>
      </c>
      <c r="I23395" s="4" t="str">
        <v/>
      </c>
    </row>
    <row r="23396" spans="5:9" ht="16.5" hidden="1">
      <c r="E23396" s="4" t="str">
        <v/>
      </c>
      <c r="F23396" s="102" t="str">
        <f ca="1">IFERROR(__xludf.DUMMYFUNCTION("IMPORTRANGE(H23396,""IDENTITAS UNIT!D9"")"),"#N/A")</f>
        <v>#N/A</v>
      </c>
      <c r="H23396" s="4" t="str">
        <v/>
      </c>
      <c r="I23396" s="4" t="str">
        <v/>
      </c>
    </row>
    <row r="23397" spans="5:9" ht="16.5" hidden="1">
      <c r="E23397" s="4" t="str">
        <v/>
      </c>
      <c r="F23397" s="102" t="str">
        <f ca="1">IFERROR(__xludf.DUMMYFUNCTION("IMPORTRANGE(H23397,""IDENTITAS UNIT!D9"")"),"#N/A")</f>
        <v>#N/A</v>
      </c>
      <c r="H23397" s="4" t="str">
        <v/>
      </c>
      <c r="I23397" s="4" t="str">
        <v/>
      </c>
    </row>
    <row r="23398" spans="5:9" ht="16.5" hidden="1">
      <c r="E23398" s="4" t="str">
        <v/>
      </c>
      <c r="F23398" s="102" t="str">
        <f ca="1">IFERROR(__xludf.DUMMYFUNCTION("IMPORTRANGE(H23398,""IDENTITAS UNIT!D9"")"),"#N/A")</f>
        <v>#N/A</v>
      </c>
      <c r="H23398" s="4" t="str">
        <v/>
      </c>
      <c r="I23398" s="4" t="str">
        <v/>
      </c>
    </row>
    <row r="23399" spans="5:9" ht="16.5" hidden="1">
      <c r="E23399" s="4" t="str">
        <v/>
      </c>
      <c r="F23399" s="102" t="str">
        <f ca="1">IFERROR(__xludf.DUMMYFUNCTION("IMPORTRANGE(H23399,""IDENTITAS UNIT!D9"")"),"#N/A")</f>
        <v>#N/A</v>
      </c>
      <c r="H23399" s="4" t="str">
        <v/>
      </c>
      <c r="I23399" s="4" t="str">
        <v/>
      </c>
    </row>
    <row r="23400" spans="5:9" ht="16.5" hidden="1">
      <c r="E23400" s="4" t="str">
        <v/>
      </c>
      <c r="F23400" s="102" t="str">
        <f ca="1">IFERROR(__xludf.DUMMYFUNCTION("IMPORTRANGE(H23400,""IDENTITAS UNIT!D9"")"),"#N/A")</f>
        <v>#N/A</v>
      </c>
      <c r="H23400" s="4" t="str">
        <v/>
      </c>
      <c r="I23400" s="4" t="str">
        <v/>
      </c>
    </row>
    <row r="23401" spans="5:9" ht="16.5" hidden="1">
      <c r="E23401" s="4" t="str">
        <v/>
      </c>
      <c r="F23401" s="102" t="str">
        <f ca="1">IFERROR(__xludf.DUMMYFUNCTION("IMPORTRANGE(H23401,""IDENTITAS UNIT!D9"")"),"#N/A")</f>
        <v>#N/A</v>
      </c>
      <c r="H23401" s="4" t="str">
        <v/>
      </c>
      <c r="I23401" s="4" t="str">
        <v/>
      </c>
    </row>
    <row r="23402" spans="5:9" ht="16.5" hidden="1">
      <c r="E23402" s="4" t="str">
        <v/>
      </c>
      <c r="F23402" s="102" t="str">
        <f ca="1">IFERROR(__xludf.DUMMYFUNCTION("IMPORTRANGE(H23402,""IDENTITAS UNIT!D9"")"),"#N/A")</f>
        <v>#N/A</v>
      </c>
      <c r="H23402" s="4" t="str">
        <v/>
      </c>
      <c r="I23402" s="4" t="str">
        <v/>
      </c>
    </row>
    <row r="23403" spans="5:9" ht="16.5" hidden="1">
      <c r="E23403" s="4" t="str">
        <v/>
      </c>
      <c r="F23403" s="102" t="str">
        <f ca="1">IFERROR(__xludf.DUMMYFUNCTION("IMPORTRANGE(H23403,""IDENTITAS UNIT!D9"")"),"#N/A")</f>
        <v>#N/A</v>
      </c>
      <c r="H23403" s="4" t="str">
        <v/>
      </c>
      <c r="I23403" s="4" t="str">
        <v/>
      </c>
    </row>
    <row r="23404" spans="5:9" ht="16.5" hidden="1">
      <c r="E23404" s="4" t="str">
        <v/>
      </c>
      <c r="F23404" s="102" t="str">
        <f ca="1">IFERROR(__xludf.DUMMYFUNCTION("IMPORTRANGE(H23404,""IDENTITAS UNIT!D9"")"),"#N/A")</f>
        <v>#N/A</v>
      </c>
      <c r="H23404" s="4" t="str">
        <v/>
      </c>
      <c r="I23404" s="4" t="str">
        <v/>
      </c>
    </row>
    <row r="23405" spans="5:9" ht="16.5" hidden="1">
      <c r="E23405" s="4" t="str">
        <v/>
      </c>
      <c r="F23405" s="102" t="str">
        <f ca="1">IFERROR(__xludf.DUMMYFUNCTION("IMPORTRANGE(H23405,""IDENTITAS UNIT!D9"")"),"#N/A")</f>
        <v>#N/A</v>
      </c>
      <c r="H23405" s="4" t="str">
        <v/>
      </c>
      <c r="I23405" s="4" t="str">
        <v/>
      </c>
    </row>
    <row r="23406" spans="5:9" ht="16.5" hidden="1">
      <c r="E23406" s="4" t="str">
        <v/>
      </c>
      <c r="F23406" s="102" t="str">
        <f ca="1">IFERROR(__xludf.DUMMYFUNCTION("IMPORTRANGE(H23406,""IDENTITAS UNIT!D9"")"),"#N/A")</f>
        <v>#N/A</v>
      </c>
      <c r="H23406" s="4" t="str">
        <v/>
      </c>
      <c r="I23406" s="4" t="str">
        <v/>
      </c>
    </row>
    <row r="23407" spans="5:9" ht="16.5" hidden="1">
      <c r="E23407" s="4" t="str">
        <v/>
      </c>
      <c r="F23407" s="102" t="str">
        <f ca="1">IFERROR(__xludf.DUMMYFUNCTION("IMPORTRANGE(H23407,""IDENTITAS UNIT!D9"")"),"#N/A")</f>
        <v>#N/A</v>
      </c>
      <c r="H23407" s="4" t="str">
        <v/>
      </c>
      <c r="I23407" s="4" t="str">
        <v/>
      </c>
    </row>
    <row r="23408" spans="5:9" ht="16.5" hidden="1">
      <c r="E23408" s="4" t="str">
        <v/>
      </c>
      <c r="F23408" s="102" t="str">
        <f ca="1">IFERROR(__xludf.DUMMYFUNCTION("IMPORTRANGE(H23408,""IDENTITAS UNIT!D9"")"),"#N/A")</f>
        <v>#N/A</v>
      </c>
      <c r="H23408" s="4" t="str">
        <v/>
      </c>
      <c r="I23408" s="4" t="str">
        <v/>
      </c>
    </row>
    <row r="23409" spans="5:9" ht="16.5" hidden="1">
      <c r="E23409" s="4" t="str">
        <v/>
      </c>
      <c r="F23409" s="102" t="str">
        <f ca="1">IFERROR(__xludf.DUMMYFUNCTION("IMPORTRANGE(H23409,""IDENTITAS UNIT!D9"")"),"#N/A")</f>
        <v>#N/A</v>
      </c>
      <c r="H23409" s="4" t="str">
        <v/>
      </c>
      <c r="I23409" s="4" t="str">
        <v/>
      </c>
    </row>
    <row r="23410" spans="5:9" ht="16.5" hidden="1">
      <c r="E23410" s="4" t="str">
        <v/>
      </c>
      <c r="F23410" s="102" t="str">
        <f ca="1">IFERROR(__xludf.DUMMYFUNCTION("IMPORTRANGE(H23410,""IDENTITAS UNIT!D9"")"),"#N/A")</f>
        <v>#N/A</v>
      </c>
      <c r="H23410" s="4" t="str">
        <v/>
      </c>
      <c r="I23410" s="4" t="str">
        <v/>
      </c>
    </row>
    <row r="23411" spans="5:9" ht="16.5" hidden="1">
      <c r="E23411" s="4" t="str">
        <v/>
      </c>
      <c r="F23411" s="102" t="str">
        <f ca="1">IFERROR(__xludf.DUMMYFUNCTION("IMPORTRANGE(H23411,""IDENTITAS UNIT!D9"")"),"#N/A")</f>
        <v>#N/A</v>
      </c>
      <c r="H23411" s="4" t="str">
        <v/>
      </c>
      <c r="I23411" s="4" t="str">
        <v/>
      </c>
    </row>
    <row r="23412" spans="5:9" ht="16.5" hidden="1">
      <c r="E23412" s="4" t="str">
        <v/>
      </c>
      <c r="F23412" s="102" t="str">
        <f ca="1">IFERROR(__xludf.DUMMYFUNCTION("IMPORTRANGE(H23412,""IDENTITAS UNIT!D9"")"),"#N/A")</f>
        <v>#N/A</v>
      </c>
      <c r="H23412" s="4" t="str">
        <v/>
      </c>
      <c r="I23412" s="4" t="str">
        <v/>
      </c>
    </row>
    <row r="23413" spans="5:9" ht="16.5" hidden="1">
      <c r="E23413" s="4" t="str">
        <v/>
      </c>
      <c r="F23413" s="102" t="str">
        <f ca="1">IFERROR(__xludf.DUMMYFUNCTION("IMPORTRANGE(H23413,""IDENTITAS UNIT!D9"")"),"#N/A")</f>
        <v>#N/A</v>
      </c>
      <c r="H23413" s="4" t="str">
        <v/>
      </c>
      <c r="I23413" s="4" t="str">
        <v/>
      </c>
    </row>
    <row r="23414" spans="5:9" ht="16.5" hidden="1">
      <c r="E23414" s="4" t="str">
        <v/>
      </c>
      <c r="F23414" s="102" t="str">
        <f ca="1">IFERROR(__xludf.DUMMYFUNCTION("IMPORTRANGE(H23414,""IDENTITAS UNIT!D9"")"),"#N/A")</f>
        <v>#N/A</v>
      </c>
      <c r="H23414" s="4" t="str">
        <v/>
      </c>
      <c r="I23414" s="4" t="str">
        <v/>
      </c>
    </row>
    <row r="23415" spans="5:9" ht="16.5" hidden="1">
      <c r="E23415" s="4" t="str">
        <v/>
      </c>
      <c r="F23415" s="102" t="str">
        <f ca="1">IFERROR(__xludf.DUMMYFUNCTION("IMPORTRANGE(H23415,""IDENTITAS UNIT!D9"")"),"#N/A")</f>
        <v>#N/A</v>
      </c>
      <c r="H23415" s="4" t="str">
        <v/>
      </c>
      <c r="I23415" s="4" t="str">
        <v/>
      </c>
    </row>
    <row r="23416" spans="5:9" ht="16.5" hidden="1">
      <c r="E23416" s="4" t="str">
        <v/>
      </c>
      <c r="F23416" s="102" t="str">
        <f ca="1">IFERROR(__xludf.DUMMYFUNCTION("IMPORTRANGE(H23416,""IDENTITAS UNIT!D9"")"),"#N/A")</f>
        <v>#N/A</v>
      </c>
      <c r="H23416" s="4" t="str">
        <v/>
      </c>
      <c r="I23416" s="4" t="str">
        <v/>
      </c>
    </row>
    <row r="23417" spans="5:9" ht="16.5" hidden="1">
      <c r="E23417" s="4" t="str">
        <v/>
      </c>
      <c r="F23417" s="102" t="str">
        <f ca="1">IFERROR(__xludf.DUMMYFUNCTION("IMPORTRANGE(H23417,""IDENTITAS UNIT!D9"")"),"#N/A")</f>
        <v>#N/A</v>
      </c>
      <c r="H23417" s="4" t="str">
        <v/>
      </c>
      <c r="I23417" s="4" t="str">
        <v/>
      </c>
    </row>
    <row r="23418" spans="5:9" ht="16.5" hidden="1">
      <c r="E23418" s="4" t="str">
        <v/>
      </c>
      <c r="F23418" s="102" t="str">
        <f ca="1">IFERROR(__xludf.DUMMYFUNCTION("IMPORTRANGE(H23418,""IDENTITAS UNIT!D9"")"),"#N/A")</f>
        <v>#N/A</v>
      </c>
      <c r="H23418" s="4" t="str">
        <v/>
      </c>
      <c r="I23418" s="4" t="str">
        <v/>
      </c>
    </row>
    <row r="23419" spans="5:9" ht="16.5" hidden="1">
      <c r="E23419" s="4" t="str">
        <v/>
      </c>
      <c r="F23419" s="102" t="str">
        <f ca="1">IFERROR(__xludf.DUMMYFUNCTION("IMPORTRANGE(H23419,""IDENTITAS UNIT!D9"")"),"#N/A")</f>
        <v>#N/A</v>
      </c>
      <c r="H23419" s="4" t="str">
        <v/>
      </c>
      <c r="I23419" s="4" t="str">
        <v/>
      </c>
    </row>
    <row r="23420" spans="5:9" ht="16.5" hidden="1">
      <c r="E23420" s="4" t="str">
        <v/>
      </c>
      <c r="F23420" s="102" t="str">
        <f ca="1">IFERROR(__xludf.DUMMYFUNCTION("IMPORTRANGE(H23420,""IDENTITAS UNIT!D9"")"),"#N/A")</f>
        <v>#N/A</v>
      </c>
      <c r="H23420" s="4" t="str">
        <v/>
      </c>
      <c r="I23420" s="4" t="str">
        <v/>
      </c>
    </row>
    <row r="23421" spans="5:9" ht="16.5" hidden="1">
      <c r="E23421" s="4" t="str">
        <v/>
      </c>
      <c r="F23421" s="102" t="str">
        <f ca="1">IFERROR(__xludf.DUMMYFUNCTION("IMPORTRANGE(H23421,""IDENTITAS UNIT!D9"")"),"#N/A")</f>
        <v>#N/A</v>
      </c>
      <c r="H23421" s="4" t="str">
        <v/>
      </c>
      <c r="I23421" s="4" t="str">
        <v/>
      </c>
    </row>
    <row r="23422" spans="5:9" ht="16.5" hidden="1">
      <c r="E23422" s="4" t="str">
        <v/>
      </c>
      <c r="F23422" s="102" t="str">
        <f ca="1">IFERROR(__xludf.DUMMYFUNCTION("IMPORTRANGE(H23422,""IDENTITAS UNIT!D9"")"),"#N/A")</f>
        <v>#N/A</v>
      </c>
      <c r="H23422" s="4" t="str">
        <v/>
      </c>
      <c r="I23422" s="4" t="str">
        <v/>
      </c>
    </row>
    <row r="23423" spans="5:9" ht="16.5" hidden="1">
      <c r="E23423" s="4" t="str">
        <v/>
      </c>
      <c r="F23423" s="102" t="str">
        <f ca="1">IFERROR(__xludf.DUMMYFUNCTION("IMPORTRANGE(H23423,""IDENTITAS UNIT!D9"")"),"#N/A")</f>
        <v>#N/A</v>
      </c>
      <c r="H23423" s="4" t="str">
        <v/>
      </c>
      <c r="I23423" s="4" t="str">
        <v/>
      </c>
    </row>
    <row r="23424" spans="5:9" ht="16.5" hidden="1">
      <c r="E23424" s="4" t="str">
        <v/>
      </c>
      <c r="F23424" s="102" t="str">
        <f ca="1">IFERROR(__xludf.DUMMYFUNCTION("IMPORTRANGE(H23424,""IDENTITAS UNIT!D9"")"),"#N/A")</f>
        <v>#N/A</v>
      </c>
      <c r="H23424" s="4" t="str">
        <v/>
      </c>
      <c r="I23424" s="4" t="str">
        <v/>
      </c>
    </row>
    <row r="23425" spans="5:9" ht="16.5" hidden="1">
      <c r="E23425" s="4" t="str">
        <v/>
      </c>
      <c r="F23425" s="102" t="str">
        <f ca="1">IFERROR(__xludf.DUMMYFUNCTION("IMPORTRANGE(H23425,""IDENTITAS UNIT!D9"")"),"#N/A")</f>
        <v>#N/A</v>
      </c>
      <c r="H23425" s="4" t="str">
        <v/>
      </c>
      <c r="I23425" s="4" t="str">
        <v/>
      </c>
    </row>
    <row r="23426" spans="5:9" ht="16.5" hidden="1">
      <c r="E23426" s="4" t="str">
        <v/>
      </c>
      <c r="F23426" s="102" t="str">
        <f ca="1">IFERROR(__xludf.DUMMYFUNCTION("IMPORTRANGE(H23426,""IDENTITAS UNIT!D9"")"),"#N/A")</f>
        <v>#N/A</v>
      </c>
      <c r="H23426" s="4" t="str">
        <v/>
      </c>
      <c r="I23426" s="4" t="str">
        <v/>
      </c>
    </row>
    <row r="23427" spans="5:9" ht="16.5" hidden="1">
      <c r="E23427" s="4" t="str">
        <v/>
      </c>
      <c r="F23427" s="102" t="str">
        <f ca="1">IFERROR(__xludf.DUMMYFUNCTION("IMPORTRANGE(H23427,""IDENTITAS UNIT!D9"")"),"#N/A")</f>
        <v>#N/A</v>
      </c>
      <c r="H23427" s="4" t="str">
        <v/>
      </c>
      <c r="I23427" s="4" t="str">
        <v/>
      </c>
    </row>
    <row r="23428" spans="5:9" ht="16.5" hidden="1">
      <c r="E23428" s="4" t="str">
        <v/>
      </c>
      <c r="F23428" s="102" t="str">
        <f ca="1">IFERROR(__xludf.DUMMYFUNCTION("IMPORTRANGE(H23428,""IDENTITAS UNIT!D9"")"),"#N/A")</f>
        <v>#N/A</v>
      </c>
      <c r="H23428" s="4" t="str">
        <v/>
      </c>
      <c r="I23428" s="4" t="str">
        <v/>
      </c>
    </row>
    <row r="23429" spans="5:9" ht="16.5" hidden="1">
      <c r="E23429" s="4" t="str">
        <v/>
      </c>
      <c r="F23429" s="102" t="str">
        <f ca="1">IFERROR(__xludf.DUMMYFUNCTION("IMPORTRANGE(H23429,""IDENTITAS UNIT!D9"")"),"#N/A")</f>
        <v>#N/A</v>
      </c>
      <c r="H23429" s="4" t="str">
        <v/>
      </c>
      <c r="I23429" s="4" t="str">
        <v/>
      </c>
    </row>
    <row r="23430" spans="5:9" ht="16.5" hidden="1">
      <c r="E23430" s="4" t="str">
        <v/>
      </c>
      <c r="F23430" s="102" t="str">
        <f ca="1">IFERROR(__xludf.DUMMYFUNCTION("IMPORTRANGE(H23430,""IDENTITAS UNIT!D9"")"),"#N/A")</f>
        <v>#N/A</v>
      </c>
      <c r="H23430" s="4" t="str">
        <v/>
      </c>
      <c r="I23430" s="4" t="str">
        <v/>
      </c>
    </row>
    <row r="23431" spans="5:9" ht="16.5" hidden="1">
      <c r="E23431" s="4" t="str">
        <v/>
      </c>
      <c r="F23431" s="102" t="str">
        <f ca="1">IFERROR(__xludf.DUMMYFUNCTION("IMPORTRANGE(H23431,""IDENTITAS UNIT!D9"")"),"#N/A")</f>
        <v>#N/A</v>
      </c>
      <c r="H23431" s="4" t="str">
        <v/>
      </c>
      <c r="I23431" s="4" t="str">
        <v/>
      </c>
    </row>
    <row r="23432" spans="5:9" ht="16.5" hidden="1">
      <c r="E23432" s="4" t="str">
        <v/>
      </c>
      <c r="F23432" s="102" t="str">
        <f ca="1">IFERROR(__xludf.DUMMYFUNCTION("IMPORTRANGE(H23432,""IDENTITAS UNIT!D9"")"),"#N/A")</f>
        <v>#N/A</v>
      </c>
      <c r="H23432" s="4" t="str">
        <v/>
      </c>
      <c r="I23432" s="4" t="str">
        <v/>
      </c>
    </row>
    <row r="23433" spans="5:9" ht="16.5" hidden="1">
      <c r="E23433" s="4" t="str">
        <v/>
      </c>
      <c r="F23433" s="102" t="str">
        <f ca="1">IFERROR(__xludf.DUMMYFUNCTION("IMPORTRANGE(H23433,""IDENTITAS UNIT!D9"")"),"#N/A")</f>
        <v>#N/A</v>
      </c>
      <c r="H23433" s="4" t="str">
        <v/>
      </c>
      <c r="I23433" s="4" t="str">
        <v/>
      </c>
    </row>
    <row r="23434" spans="5:9" ht="16.5" hidden="1">
      <c r="E23434" s="4" t="str">
        <v/>
      </c>
      <c r="F23434" s="102" t="str">
        <f ca="1">IFERROR(__xludf.DUMMYFUNCTION("IMPORTRANGE(H23434,""IDENTITAS UNIT!D9"")"),"#N/A")</f>
        <v>#N/A</v>
      </c>
      <c r="H23434" s="4" t="str">
        <v/>
      </c>
      <c r="I23434" s="4" t="str">
        <v/>
      </c>
    </row>
    <row r="23435" spans="5:9" ht="16.5" hidden="1">
      <c r="E23435" s="4" t="str">
        <v/>
      </c>
      <c r="F23435" s="102" t="str">
        <f ca="1">IFERROR(__xludf.DUMMYFUNCTION("IMPORTRANGE(H23435,""IDENTITAS UNIT!D9"")"),"#N/A")</f>
        <v>#N/A</v>
      </c>
      <c r="H23435" s="4" t="str">
        <v/>
      </c>
      <c r="I23435" s="4" t="str">
        <v/>
      </c>
    </row>
    <row r="23436" spans="5:9" ht="16.5" hidden="1">
      <c r="E23436" s="4" t="str">
        <v/>
      </c>
      <c r="F23436" s="102" t="str">
        <f ca="1">IFERROR(__xludf.DUMMYFUNCTION("IMPORTRANGE(H23436,""IDENTITAS UNIT!D9"")"),"#N/A")</f>
        <v>#N/A</v>
      </c>
      <c r="H23436" s="4" t="str">
        <v/>
      </c>
      <c r="I23436" s="4" t="str">
        <v/>
      </c>
    </row>
    <row r="23437" spans="5:9" ht="16.5" hidden="1">
      <c r="E23437" s="4" t="str">
        <v/>
      </c>
      <c r="F23437" s="102" t="str">
        <f ca="1">IFERROR(__xludf.DUMMYFUNCTION("IMPORTRANGE(H23437,""IDENTITAS UNIT!D9"")"),"#N/A")</f>
        <v>#N/A</v>
      </c>
      <c r="H23437" s="4" t="str">
        <v/>
      </c>
      <c r="I23437" s="4" t="str">
        <v/>
      </c>
    </row>
    <row r="23438" spans="5:9" ht="16.5" hidden="1">
      <c r="E23438" s="4" t="str">
        <v/>
      </c>
      <c r="F23438" s="102" t="str">
        <f ca="1">IFERROR(__xludf.DUMMYFUNCTION("IMPORTRANGE(H23438,""IDENTITAS UNIT!D9"")"),"#N/A")</f>
        <v>#N/A</v>
      </c>
      <c r="H23438" s="4" t="str">
        <v/>
      </c>
      <c r="I23438" s="4" t="str">
        <v/>
      </c>
    </row>
    <row r="23439" spans="5:9" ht="16.5" hidden="1">
      <c r="E23439" s="4" t="str">
        <v/>
      </c>
      <c r="F23439" s="102" t="str">
        <f ca="1">IFERROR(__xludf.DUMMYFUNCTION("IMPORTRANGE(H23439,""IDENTITAS UNIT!D9"")"),"#N/A")</f>
        <v>#N/A</v>
      </c>
      <c r="H23439" s="4" t="str">
        <v/>
      </c>
      <c r="I23439" s="4" t="str">
        <v/>
      </c>
    </row>
    <row r="23440" spans="5:9" ht="16.5" hidden="1">
      <c r="E23440" s="4" t="str">
        <v/>
      </c>
      <c r="F23440" s="102" t="str">
        <f ca="1">IFERROR(__xludf.DUMMYFUNCTION("IMPORTRANGE(H23440,""IDENTITAS UNIT!D9"")"),"#N/A")</f>
        <v>#N/A</v>
      </c>
      <c r="H23440" s="4" t="str">
        <v/>
      </c>
      <c r="I23440" s="4" t="str">
        <v/>
      </c>
    </row>
    <row r="23441" spans="5:9" ht="16.5" hidden="1">
      <c r="E23441" s="4" t="str">
        <v/>
      </c>
      <c r="F23441" s="102" t="str">
        <f ca="1">IFERROR(__xludf.DUMMYFUNCTION("IMPORTRANGE(H23441,""IDENTITAS UNIT!D9"")"),"#N/A")</f>
        <v>#N/A</v>
      </c>
      <c r="H23441" s="4" t="str">
        <v/>
      </c>
      <c r="I23441" s="4" t="str">
        <v/>
      </c>
    </row>
    <row r="23442" spans="5:9" ht="16.5" hidden="1">
      <c r="E23442" s="4" t="str">
        <v/>
      </c>
      <c r="F23442" s="102" t="str">
        <f ca="1">IFERROR(__xludf.DUMMYFUNCTION("IMPORTRANGE(H23442,""IDENTITAS UNIT!D9"")"),"#N/A")</f>
        <v>#N/A</v>
      </c>
      <c r="H23442" s="4" t="str">
        <v/>
      </c>
      <c r="I23442" s="4" t="str">
        <v/>
      </c>
    </row>
    <row r="23443" spans="5:9" ht="16.5" hidden="1">
      <c r="E23443" s="4" t="str">
        <v/>
      </c>
      <c r="F23443" s="102" t="str">
        <f ca="1">IFERROR(__xludf.DUMMYFUNCTION("IMPORTRANGE(H23443,""IDENTITAS UNIT!D9"")"),"#N/A")</f>
        <v>#N/A</v>
      </c>
      <c r="H23443" s="4" t="str">
        <v/>
      </c>
      <c r="I23443" s="4" t="str">
        <v/>
      </c>
    </row>
    <row r="23444" spans="5:9" ht="16.5" hidden="1">
      <c r="E23444" s="4" t="str">
        <v/>
      </c>
      <c r="F23444" s="102" t="str">
        <f ca="1">IFERROR(__xludf.DUMMYFUNCTION("IMPORTRANGE(H23444,""IDENTITAS UNIT!D9"")"),"#N/A")</f>
        <v>#N/A</v>
      </c>
      <c r="H23444" s="4" t="str">
        <v/>
      </c>
      <c r="I23444" s="4" t="str">
        <v/>
      </c>
    </row>
    <row r="23445" spans="5:9" ht="16.5" hidden="1">
      <c r="E23445" s="4" t="str">
        <v/>
      </c>
      <c r="F23445" s="102" t="str">
        <f ca="1">IFERROR(__xludf.DUMMYFUNCTION("IMPORTRANGE(H23445,""IDENTITAS UNIT!D9"")"),"#N/A")</f>
        <v>#N/A</v>
      </c>
      <c r="H23445" s="4" t="str">
        <v/>
      </c>
      <c r="I23445" s="4" t="str">
        <v/>
      </c>
    </row>
    <row r="23446" spans="5:9" ht="16.5" hidden="1">
      <c r="E23446" s="4" t="str">
        <v/>
      </c>
      <c r="F23446" s="102" t="str">
        <f ca="1">IFERROR(__xludf.DUMMYFUNCTION("IMPORTRANGE(H23446,""IDENTITAS UNIT!D9"")"),"#N/A")</f>
        <v>#N/A</v>
      </c>
      <c r="H23446" s="4" t="str">
        <v/>
      </c>
      <c r="I23446" s="4" t="str">
        <v/>
      </c>
    </row>
    <row r="23447" spans="5:9" ht="16.5" hidden="1">
      <c r="E23447" s="4" t="str">
        <v/>
      </c>
      <c r="F23447" s="102" t="str">
        <f ca="1">IFERROR(__xludf.DUMMYFUNCTION("IMPORTRANGE(H23447,""IDENTITAS UNIT!D9"")"),"#N/A")</f>
        <v>#N/A</v>
      </c>
      <c r="H23447" s="4" t="str">
        <v/>
      </c>
      <c r="I23447" s="4" t="str">
        <v/>
      </c>
    </row>
    <row r="23448" spans="5:9" ht="16.5" hidden="1">
      <c r="E23448" s="4" t="str">
        <v/>
      </c>
      <c r="F23448" s="102" t="str">
        <f ca="1">IFERROR(__xludf.DUMMYFUNCTION("IMPORTRANGE(H23448,""IDENTITAS UNIT!D9"")"),"#N/A")</f>
        <v>#N/A</v>
      </c>
      <c r="H23448" s="4" t="str">
        <v/>
      </c>
      <c r="I23448" s="4" t="str">
        <v/>
      </c>
    </row>
    <row r="23449" spans="5:9" ht="16.5" hidden="1">
      <c r="E23449" s="4" t="str">
        <v/>
      </c>
      <c r="F23449" s="102" t="str">
        <f ca="1">IFERROR(__xludf.DUMMYFUNCTION("IMPORTRANGE(H23449,""IDENTITAS UNIT!D9"")"),"#N/A")</f>
        <v>#N/A</v>
      </c>
      <c r="H23449" s="4" t="str">
        <v/>
      </c>
      <c r="I23449" s="4" t="str">
        <v/>
      </c>
    </row>
    <row r="23450" spans="5:9" ht="16.5" hidden="1">
      <c r="E23450" s="4" t="str">
        <v/>
      </c>
      <c r="F23450" s="102" t="str">
        <f ca="1">IFERROR(__xludf.DUMMYFUNCTION("IMPORTRANGE(H23450,""IDENTITAS UNIT!D9"")"),"#N/A")</f>
        <v>#N/A</v>
      </c>
      <c r="H23450" s="4" t="str">
        <v/>
      </c>
      <c r="I23450" s="4" t="str">
        <v/>
      </c>
    </row>
    <row r="23451" spans="5:9" ht="16.5" hidden="1">
      <c r="E23451" s="4" t="str">
        <v/>
      </c>
      <c r="F23451" s="102" t="str">
        <f ca="1">IFERROR(__xludf.DUMMYFUNCTION("IMPORTRANGE(H23451,""IDENTITAS UNIT!D9"")"),"#N/A")</f>
        <v>#N/A</v>
      </c>
      <c r="H23451" s="4" t="str">
        <v/>
      </c>
      <c r="I23451" s="4" t="str">
        <v/>
      </c>
    </row>
    <row r="23452" spans="5:9" ht="16.5" hidden="1">
      <c r="E23452" s="4" t="str">
        <v/>
      </c>
      <c r="F23452" s="102" t="str">
        <f ca="1">IFERROR(__xludf.DUMMYFUNCTION("IMPORTRANGE(H23452,""IDENTITAS UNIT!D9"")"),"#N/A")</f>
        <v>#N/A</v>
      </c>
      <c r="H23452" s="4" t="str">
        <v/>
      </c>
      <c r="I23452" s="4" t="str">
        <v/>
      </c>
    </row>
    <row r="23453" spans="5:9" ht="16.5" hidden="1">
      <c r="E23453" s="4" t="str">
        <v/>
      </c>
      <c r="F23453" s="102" t="str">
        <f ca="1">IFERROR(__xludf.DUMMYFUNCTION("IMPORTRANGE(H23453,""IDENTITAS UNIT!D9"")"),"#N/A")</f>
        <v>#N/A</v>
      </c>
      <c r="H23453" s="4" t="str">
        <v/>
      </c>
      <c r="I23453" s="4" t="str">
        <v/>
      </c>
    </row>
    <row r="23454" spans="5:9" ht="16.5" hidden="1">
      <c r="E23454" s="4" t="str">
        <v/>
      </c>
      <c r="F23454" s="102" t="str">
        <f ca="1">IFERROR(__xludf.DUMMYFUNCTION("IMPORTRANGE(H23454,""IDENTITAS UNIT!D9"")"),"#N/A")</f>
        <v>#N/A</v>
      </c>
      <c r="H23454" s="4" t="str">
        <v/>
      </c>
      <c r="I23454" s="4" t="str">
        <v/>
      </c>
    </row>
    <row r="23455" spans="5:9" ht="16.5" hidden="1">
      <c r="E23455" s="4" t="str">
        <v/>
      </c>
      <c r="F23455" s="102" t="str">
        <f ca="1">IFERROR(__xludf.DUMMYFUNCTION("IMPORTRANGE(H23455,""IDENTITAS UNIT!D9"")"),"#N/A")</f>
        <v>#N/A</v>
      </c>
      <c r="H23455" s="4" t="str">
        <v/>
      </c>
      <c r="I23455" s="4" t="str">
        <v/>
      </c>
    </row>
    <row r="23456" spans="5:9" ht="16.5" hidden="1">
      <c r="E23456" s="4" t="str">
        <v/>
      </c>
      <c r="F23456" s="102" t="str">
        <f ca="1">IFERROR(__xludf.DUMMYFUNCTION("IMPORTRANGE(H23456,""IDENTITAS UNIT!D9"")"),"#N/A")</f>
        <v>#N/A</v>
      </c>
      <c r="H23456" s="4" t="str">
        <v/>
      </c>
      <c r="I23456" s="4" t="str">
        <v/>
      </c>
    </row>
    <row r="23457" spans="5:9" ht="16.5" hidden="1">
      <c r="E23457" s="4" t="str">
        <v/>
      </c>
      <c r="F23457" s="102" t="str">
        <f ca="1">IFERROR(__xludf.DUMMYFUNCTION("IMPORTRANGE(H23457,""IDENTITAS UNIT!D9"")"),"#N/A")</f>
        <v>#N/A</v>
      </c>
      <c r="H23457" s="4" t="str">
        <v/>
      </c>
      <c r="I23457" s="4" t="str">
        <v/>
      </c>
    </row>
    <row r="23458" spans="5:9" ht="16.5" hidden="1">
      <c r="E23458" s="4" t="str">
        <v/>
      </c>
      <c r="F23458" s="102" t="str">
        <f ca="1">IFERROR(__xludf.DUMMYFUNCTION("IMPORTRANGE(H23458,""IDENTITAS UNIT!D9"")"),"#N/A")</f>
        <v>#N/A</v>
      </c>
      <c r="H23458" s="4" t="str">
        <v/>
      </c>
      <c r="I23458" s="4" t="str">
        <v/>
      </c>
    </row>
    <row r="23459" spans="5:9" ht="16.5" hidden="1">
      <c r="E23459" s="4" t="str">
        <v/>
      </c>
      <c r="F23459" s="102" t="str">
        <f ca="1">IFERROR(__xludf.DUMMYFUNCTION("IMPORTRANGE(H23459,""IDENTITAS UNIT!D9"")"),"#N/A")</f>
        <v>#N/A</v>
      </c>
      <c r="H23459" s="4" t="str">
        <v/>
      </c>
      <c r="I23459" s="4" t="str">
        <v/>
      </c>
    </row>
    <row r="23460" spans="5:9" ht="16.5" hidden="1">
      <c r="E23460" s="4" t="str">
        <v/>
      </c>
      <c r="F23460" s="102" t="str">
        <f ca="1">IFERROR(__xludf.DUMMYFUNCTION("IMPORTRANGE(H23460,""IDENTITAS UNIT!D9"")"),"#N/A")</f>
        <v>#N/A</v>
      </c>
      <c r="H23460" s="4" t="str">
        <v/>
      </c>
      <c r="I23460" s="4" t="str">
        <v/>
      </c>
    </row>
    <row r="23461" spans="5:9" ht="16.5" hidden="1">
      <c r="E23461" s="4" t="str">
        <v/>
      </c>
      <c r="F23461" s="102" t="str">
        <f ca="1">IFERROR(__xludf.DUMMYFUNCTION("IMPORTRANGE(H23461,""IDENTITAS UNIT!D9"")"),"#N/A")</f>
        <v>#N/A</v>
      </c>
      <c r="H23461" s="4" t="str">
        <v/>
      </c>
      <c r="I23461" s="4" t="str">
        <v/>
      </c>
    </row>
    <row r="23462" spans="5:9" ht="16.5" hidden="1">
      <c r="E23462" s="4" t="str">
        <v/>
      </c>
      <c r="F23462" s="102" t="str">
        <f ca="1">IFERROR(__xludf.DUMMYFUNCTION("IMPORTRANGE(H23462,""IDENTITAS UNIT!D9"")"),"#N/A")</f>
        <v>#N/A</v>
      </c>
      <c r="H23462" s="4" t="str">
        <v/>
      </c>
      <c r="I23462" s="4" t="str">
        <v/>
      </c>
    </row>
    <row r="23463" spans="5:9" ht="16.5" hidden="1">
      <c r="E23463" s="4" t="str">
        <v/>
      </c>
      <c r="F23463" s="102" t="str">
        <f ca="1">IFERROR(__xludf.DUMMYFUNCTION("IMPORTRANGE(H23463,""IDENTITAS UNIT!D9"")"),"#N/A")</f>
        <v>#N/A</v>
      </c>
      <c r="H23463" s="4" t="str">
        <v/>
      </c>
      <c r="I23463" s="4" t="str">
        <v/>
      </c>
    </row>
    <row r="23464" spans="5:9" ht="16.5" hidden="1">
      <c r="E23464" s="4" t="str">
        <v/>
      </c>
      <c r="F23464" s="102" t="str">
        <f ca="1">IFERROR(__xludf.DUMMYFUNCTION("IMPORTRANGE(H23464,""IDENTITAS UNIT!D9"")"),"#N/A")</f>
        <v>#N/A</v>
      </c>
      <c r="H23464" s="4" t="str">
        <v/>
      </c>
      <c r="I23464" s="4" t="str">
        <v/>
      </c>
    </row>
    <row r="23465" spans="5:9" ht="16.5" hidden="1">
      <c r="E23465" s="4" t="str">
        <v/>
      </c>
      <c r="F23465" s="102" t="str">
        <f ca="1">IFERROR(__xludf.DUMMYFUNCTION("IMPORTRANGE(H23465,""IDENTITAS UNIT!D9"")"),"#N/A")</f>
        <v>#N/A</v>
      </c>
      <c r="H23465" s="4" t="str">
        <v/>
      </c>
      <c r="I23465" s="4" t="str">
        <v/>
      </c>
    </row>
    <row r="23466" spans="5:9" ht="16.5" hidden="1">
      <c r="E23466" s="4" t="str">
        <v/>
      </c>
      <c r="F23466" s="102" t="str">
        <f ca="1">IFERROR(__xludf.DUMMYFUNCTION("IMPORTRANGE(H23466,""IDENTITAS UNIT!D9"")"),"#N/A")</f>
        <v>#N/A</v>
      </c>
      <c r="H23466" s="4" t="str">
        <v/>
      </c>
      <c r="I23466" s="4" t="str">
        <v/>
      </c>
    </row>
    <row r="23467" spans="5:9" ht="16.5" hidden="1">
      <c r="E23467" s="4" t="str">
        <v/>
      </c>
      <c r="F23467" s="102" t="str">
        <f ca="1">IFERROR(__xludf.DUMMYFUNCTION("IMPORTRANGE(H23467,""IDENTITAS UNIT!D9"")"),"#N/A")</f>
        <v>#N/A</v>
      </c>
      <c r="H23467" s="4" t="str">
        <v/>
      </c>
      <c r="I23467" s="4" t="str">
        <v/>
      </c>
    </row>
    <row r="23468" spans="5:9" ht="16.5" hidden="1">
      <c r="E23468" s="4" t="str">
        <v/>
      </c>
      <c r="F23468" s="102" t="str">
        <f ca="1">IFERROR(__xludf.DUMMYFUNCTION("IMPORTRANGE(H23468,""IDENTITAS UNIT!D9"")"),"#N/A")</f>
        <v>#N/A</v>
      </c>
      <c r="H23468" s="4" t="str">
        <v/>
      </c>
      <c r="I23468" s="4" t="str">
        <v/>
      </c>
    </row>
    <row r="23469" spans="5:9" ht="16.5" hidden="1">
      <c r="E23469" s="4" t="str">
        <v/>
      </c>
      <c r="F23469" s="102" t="str">
        <f ca="1">IFERROR(__xludf.DUMMYFUNCTION("IMPORTRANGE(H23469,""IDENTITAS UNIT!D9"")"),"#N/A")</f>
        <v>#N/A</v>
      </c>
      <c r="H23469" s="4" t="str">
        <v/>
      </c>
      <c r="I23469" s="4" t="str">
        <v/>
      </c>
    </row>
    <row r="23470" spans="5:9" ht="16.5" hidden="1">
      <c r="E23470" s="4" t="str">
        <v/>
      </c>
      <c r="F23470" s="102" t="str">
        <f ca="1">IFERROR(__xludf.DUMMYFUNCTION("IMPORTRANGE(H23470,""IDENTITAS UNIT!D9"")"),"#N/A")</f>
        <v>#N/A</v>
      </c>
      <c r="H23470" s="4" t="str">
        <v/>
      </c>
      <c r="I23470" s="4" t="str">
        <v/>
      </c>
    </row>
    <row r="23471" spans="5:9" ht="16.5" hidden="1">
      <c r="E23471" s="4" t="str">
        <v/>
      </c>
      <c r="F23471" s="102" t="str">
        <f ca="1">IFERROR(__xludf.DUMMYFUNCTION("IMPORTRANGE(H23471,""IDENTITAS UNIT!D9"")"),"#N/A")</f>
        <v>#N/A</v>
      </c>
      <c r="H23471" s="4" t="str">
        <v/>
      </c>
      <c r="I23471" s="4" t="str">
        <v/>
      </c>
    </row>
    <row r="23472" spans="5:9" ht="16.5" hidden="1">
      <c r="E23472" s="4" t="str">
        <v/>
      </c>
      <c r="F23472" s="102" t="str">
        <f ca="1">IFERROR(__xludf.DUMMYFUNCTION("IMPORTRANGE(H23472,""IDENTITAS UNIT!D9"")"),"#N/A")</f>
        <v>#N/A</v>
      </c>
      <c r="H23472" s="4" t="str">
        <v/>
      </c>
      <c r="I23472" s="4" t="str">
        <v/>
      </c>
    </row>
    <row r="23473" spans="5:9" ht="16.5" hidden="1">
      <c r="E23473" s="4" t="str">
        <v/>
      </c>
      <c r="F23473" s="102" t="str">
        <f ca="1">IFERROR(__xludf.DUMMYFUNCTION("IMPORTRANGE(H23473,""IDENTITAS UNIT!D9"")"),"#N/A")</f>
        <v>#N/A</v>
      </c>
      <c r="H23473" s="4" t="str">
        <v/>
      </c>
      <c r="I23473" s="4" t="str">
        <v/>
      </c>
    </row>
    <row r="23474" spans="5:9" ht="16.5" hidden="1">
      <c r="E23474" s="4" t="str">
        <v/>
      </c>
      <c r="F23474" s="102" t="str">
        <f ca="1">IFERROR(__xludf.DUMMYFUNCTION("IMPORTRANGE(H23474,""IDENTITAS UNIT!D9"")"),"#N/A")</f>
        <v>#N/A</v>
      </c>
      <c r="H23474" s="4" t="str">
        <v/>
      </c>
      <c r="I23474" s="4" t="str">
        <v/>
      </c>
    </row>
    <row r="23475" spans="5:9" ht="16.5" hidden="1">
      <c r="E23475" s="4" t="str">
        <v/>
      </c>
      <c r="F23475" s="102" t="str">
        <f ca="1">IFERROR(__xludf.DUMMYFUNCTION("IMPORTRANGE(H23475,""IDENTITAS UNIT!D9"")"),"#N/A")</f>
        <v>#N/A</v>
      </c>
      <c r="H23475" s="4" t="str">
        <v/>
      </c>
      <c r="I23475" s="4" t="str">
        <v/>
      </c>
    </row>
    <row r="23476" spans="5:9" ht="16.5" hidden="1">
      <c r="E23476" s="4" t="str">
        <v/>
      </c>
      <c r="F23476" s="102" t="str">
        <f ca="1">IFERROR(__xludf.DUMMYFUNCTION("IMPORTRANGE(H23476,""IDENTITAS UNIT!D9"")"),"#N/A")</f>
        <v>#N/A</v>
      </c>
      <c r="H23476" s="4" t="str">
        <v/>
      </c>
      <c r="I23476" s="4" t="str">
        <v/>
      </c>
    </row>
    <row r="23477" spans="5:9" ht="16.5" hidden="1">
      <c r="E23477" s="4" t="str">
        <v/>
      </c>
      <c r="F23477" s="102" t="str">
        <f ca="1">IFERROR(__xludf.DUMMYFUNCTION("IMPORTRANGE(H23477,""IDENTITAS UNIT!D9"")"),"#N/A")</f>
        <v>#N/A</v>
      </c>
      <c r="H23477" s="4" t="str">
        <v/>
      </c>
      <c r="I23477" s="4" t="str">
        <v/>
      </c>
    </row>
    <row r="23478" spans="5:9" ht="16.5" hidden="1">
      <c r="E23478" s="4" t="str">
        <v/>
      </c>
      <c r="F23478" s="102" t="str">
        <f ca="1">IFERROR(__xludf.DUMMYFUNCTION("IMPORTRANGE(H23478,""IDENTITAS UNIT!D9"")"),"#N/A")</f>
        <v>#N/A</v>
      </c>
      <c r="H23478" s="4" t="str">
        <v/>
      </c>
      <c r="I23478" s="4" t="str">
        <v/>
      </c>
    </row>
    <row r="23479" spans="5:9" ht="16.5" hidden="1">
      <c r="E23479" s="4" t="str">
        <v/>
      </c>
      <c r="F23479" s="102" t="str">
        <f ca="1">IFERROR(__xludf.DUMMYFUNCTION("IMPORTRANGE(H23479,""IDENTITAS UNIT!D9"")"),"#N/A")</f>
        <v>#N/A</v>
      </c>
      <c r="H23479" s="4" t="str">
        <v/>
      </c>
      <c r="I23479" s="4" t="str">
        <v/>
      </c>
    </row>
    <row r="23480" spans="5:9" ht="16.5" hidden="1">
      <c r="E23480" s="4" t="str">
        <v/>
      </c>
      <c r="F23480" s="102" t="str">
        <f ca="1">IFERROR(__xludf.DUMMYFUNCTION("IMPORTRANGE(H23480,""IDENTITAS UNIT!D9"")"),"#N/A")</f>
        <v>#N/A</v>
      </c>
      <c r="H23480" s="4" t="str">
        <v/>
      </c>
      <c r="I23480" s="4" t="str">
        <v/>
      </c>
    </row>
    <row r="23481" spans="5:9" ht="16.5" hidden="1">
      <c r="E23481" s="4" t="str">
        <v/>
      </c>
      <c r="F23481" s="102" t="str">
        <f ca="1">IFERROR(__xludf.DUMMYFUNCTION("IMPORTRANGE(H23481,""IDENTITAS UNIT!D9"")"),"#N/A")</f>
        <v>#N/A</v>
      </c>
      <c r="H23481" s="4" t="str">
        <v/>
      </c>
      <c r="I23481" s="4" t="str">
        <v/>
      </c>
    </row>
    <row r="23482" spans="5:9" ht="16.5" hidden="1">
      <c r="E23482" s="4" t="str">
        <v/>
      </c>
      <c r="F23482" s="102" t="str">
        <f ca="1">IFERROR(__xludf.DUMMYFUNCTION("IMPORTRANGE(H23482,""IDENTITAS UNIT!D9"")"),"#N/A")</f>
        <v>#N/A</v>
      </c>
      <c r="H23482" s="4" t="str">
        <v/>
      </c>
      <c r="I23482" s="4" t="str">
        <v/>
      </c>
    </row>
    <row r="23483" spans="5:9" ht="16.5" hidden="1">
      <c r="E23483" s="4" t="str">
        <v/>
      </c>
      <c r="F23483" s="102" t="str">
        <f ca="1">IFERROR(__xludf.DUMMYFUNCTION("IMPORTRANGE(H23483,""IDENTITAS UNIT!D9"")"),"#N/A")</f>
        <v>#N/A</v>
      </c>
      <c r="H23483" s="4" t="str">
        <v/>
      </c>
      <c r="I23483" s="4" t="str">
        <v/>
      </c>
    </row>
    <row r="23484" spans="5:9" ht="16.5" hidden="1">
      <c r="E23484" s="4" t="str">
        <v/>
      </c>
      <c r="F23484" s="102" t="str">
        <f ca="1">IFERROR(__xludf.DUMMYFUNCTION("IMPORTRANGE(H23484,""IDENTITAS UNIT!D9"")"),"#N/A")</f>
        <v>#N/A</v>
      </c>
      <c r="H23484" s="4" t="str">
        <v/>
      </c>
      <c r="I23484" s="4" t="str">
        <v/>
      </c>
    </row>
    <row r="23485" spans="5:9" ht="16.5" hidden="1">
      <c r="E23485" s="4" t="str">
        <v/>
      </c>
      <c r="F23485" s="102" t="str">
        <f ca="1">IFERROR(__xludf.DUMMYFUNCTION("IMPORTRANGE(H23485,""IDENTITAS UNIT!D9"")"),"#N/A")</f>
        <v>#N/A</v>
      </c>
      <c r="H23485" s="4" t="str">
        <v/>
      </c>
      <c r="I23485" s="4" t="str">
        <v/>
      </c>
    </row>
    <row r="23486" spans="5:9" ht="16.5" hidden="1">
      <c r="E23486" s="4" t="str">
        <v/>
      </c>
      <c r="F23486" s="102" t="str">
        <f ca="1">IFERROR(__xludf.DUMMYFUNCTION("IMPORTRANGE(H23486,""IDENTITAS UNIT!D9"")"),"#N/A")</f>
        <v>#N/A</v>
      </c>
      <c r="H23486" s="4" t="str">
        <v/>
      </c>
      <c r="I23486" s="4" t="str">
        <v/>
      </c>
    </row>
    <row r="23487" spans="5:9" ht="16.5" hidden="1">
      <c r="E23487" s="4" t="str">
        <v/>
      </c>
      <c r="F23487" s="102" t="str">
        <f ca="1">IFERROR(__xludf.DUMMYFUNCTION("IMPORTRANGE(H23487,""IDENTITAS UNIT!D9"")"),"#N/A")</f>
        <v>#N/A</v>
      </c>
      <c r="H23487" s="4" t="str">
        <v/>
      </c>
      <c r="I23487" s="4" t="str">
        <v/>
      </c>
    </row>
    <row r="23488" spans="5:9" ht="16.5" hidden="1">
      <c r="E23488" s="4" t="str">
        <v/>
      </c>
      <c r="F23488" s="102" t="str">
        <f ca="1">IFERROR(__xludf.DUMMYFUNCTION("IMPORTRANGE(H23488,""IDENTITAS UNIT!D9"")"),"#N/A")</f>
        <v>#N/A</v>
      </c>
      <c r="H23488" s="4" t="str">
        <v/>
      </c>
      <c r="I23488" s="4" t="str">
        <v/>
      </c>
    </row>
    <row r="23489" spans="5:9" ht="16.5" hidden="1">
      <c r="E23489" s="4" t="str">
        <v/>
      </c>
      <c r="F23489" s="102" t="str">
        <f ca="1">IFERROR(__xludf.DUMMYFUNCTION("IMPORTRANGE(H23489,""IDENTITAS UNIT!D9"")"),"#N/A")</f>
        <v>#N/A</v>
      </c>
      <c r="H23489" s="4" t="str">
        <v/>
      </c>
      <c r="I23489" s="4" t="str">
        <v/>
      </c>
    </row>
    <row r="23490" spans="5:9" ht="16.5" hidden="1">
      <c r="E23490" s="4" t="str">
        <v/>
      </c>
      <c r="F23490" s="102" t="str">
        <f ca="1">IFERROR(__xludf.DUMMYFUNCTION("IMPORTRANGE(H23490,""IDENTITAS UNIT!D9"")"),"#N/A")</f>
        <v>#N/A</v>
      </c>
      <c r="H23490" s="4" t="str">
        <v/>
      </c>
      <c r="I23490" s="4" t="str">
        <v/>
      </c>
    </row>
    <row r="23491" spans="5:9" ht="16.5" hidden="1">
      <c r="E23491" s="4" t="str">
        <v/>
      </c>
      <c r="F23491" s="102" t="str">
        <f ca="1">IFERROR(__xludf.DUMMYFUNCTION("IMPORTRANGE(H23491,""IDENTITAS UNIT!D9"")"),"#N/A")</f>
        <v>#N/A</v>
      </c>
      <c r="H23491" s="4" t="str">
        <v/>
      </c>
      <c r="I23491" s="4" t="str">
        <v/>
      </c>
    </row>
    <row r="23492" spans="5:9" ht="16.5" hidden="1">
      <c r="E23492" s="4" t="str">
        <v/>
      </c>
      <c r="F23492" s="102" t="str">
        <f ca="1">IFERROR(__xludf.DUMMYFUNCTION("IMPORTRANGE(H23492,""IDENTITAS UNIT!D9"")"),"#N/A")</f>
        <v>#N/A</v>
      </c>
      <c r="H23492" s="4" t="str">
        <v/>
      </c>
      <c r="I23492" s="4" t="str">
        <v/>
      </c>
    </row>
    <row r="23493" spans="5:9" ht="16.5" hidden="1">
      <c r="E23493" s="4" t="str">
        <v/>
      </c>
      <c r="F23493" s="102" t="str">
        <f ca="1">IFERROR(__xludf.DUMMYFUNCTION("IMPORTRANGE(H23493,""IDENTITAS UNIT!D9"")"),"#N/A")</f>
        <v>#N/A</v>
      </c>
      <c r="H23493" s="4" t="str">
        <v/>
      </c>
      <c r="I23493" s="4" t="str">
        <v/>
      </c>
    </row>
    <row r="23494" spans="5:9" ht="16.5" hidden="1">
      <c r="E23494" s="4" t="str">
        <v/>
      </c>
      <c r="F23494" s="102" t="str">
        <f ca="1">IFERROR(__xludf.DUMMYFUNCTION("IMPORTRANGE(H23494,""IDENTITAS UNIT!D9"")"),"#N/A")</f>
        <v>#N/A</v>
      </c>
      <c r="H23494" s="4" t="str">
        <v/>
      </c>
      <c r="I23494" s="4" t="str">
        <v/>
      </c>
    </row>
    <row r="23495" spans="5:9" ht="16.5" hidden="1">
      <c r="E23495" s="4" t="str">
        <v/>
      </c>
      <c r="F23495" s="102" t="str">
        <f ca="1">IFERROR(__xludf.DUMMYFUNCTION("IMPORTRANGE(H23495,""IDENTITAS UNIT!D9"")"),"#N/A")</f>
        <v>#N/A</v>
      </c>
      <c r="H23495" s="4" t="str">
        <v/>
      </c>
      <c r="I23495" s="4" t="str">
        <v/>
      </c>
    </row>
    <row r="23496" spans="5:9" ht="16.5" hidden="1">
      <c r="E23496" s="4" t="str">
        <v/>
      </c>
      <c r="F23496" s="102" t="str">
        <f ca="1">IFERROR(__xludf.DUMMYFUNCTION("IMPORTRANGE(H23496,""IDENTITAS UNIT!D9"")"),"#N/A")</f>
        <v>#N/A</v>
      </c>
      <c r="H23496" s="4" t="str">
        <v/>
      </c>
      <c r="I23496" s="4" t="str">
        <v/>
      </c>
    </row>
    <row r="23497" spans="5:9" ht="16.5" hidden="1">
      <c r="E23497" s="4" t="str">
        <v/>
      </c>
      <c r="F23497" s="102" t="str">
        <f ca="1">IFERROR(__xludf.DUMMYFUNCTION("IMPORTRANGE(H23497,""IDENTITAS UNIT!D9"")"),"#N/A")</f>
        <v>#N/A</v>
      </c>
      <c r="H23497" s="4" t="str">
        <v/>
      </c>
      <c r="I23497" s="4" t="str">
        <v/>
      </c>
    </row>
    <row r="23498" spans="5:9" ht="16.5" hidden="1">
      <c r="E23498" s="4" t="str">
        <v/>
      </c>
      <c r="F23498" s="102" t="str">
        <f ca="1">IFERROR(__xludf.DUMMYFUNCTION("IMPORTRANGE(H23498,""IDENTITAS UNIT!D9"")"),"#N/A")</f>
        <v>#N/A</v>
      </c>
      <c r="H23498" s="4" t="str">
        <v/>
      </c>
      <c r="I23498" s="4" t="str">
        <v/>
      </c>
    </row>
    <row r="23499" spans="5:9" ht="16.5" hidden="1">
      <c r="E23499" s="4" t="str">
        <v/>
      </c>
      <c r="F23499" s="102" t="str">
        <f ca="1">IFERROR(__xludf.DUMMYFUNCTION("IMPORTRANGE(H23499,""IDENTITAS UNIT!D9"")"),"#N/A")</f>
        <v>#N/A</v>
      </c>
      <c r="H23499" s="4" t="str">
        <v/>
      </c>
      <c r="I23499" s="4" t="str">
        <v/>
      </c>
    </row>
    <row r="23500" spans="5:9" ht="16.5" hidden="1">
      <c r="E23500" s="4" t="str">
        <v/>
      </c>
      <c r="F23500" s="102" t="str">
        <f ca="1">IFERROR(__xludf.DUMMYFUNCTION("IMPORTRANGE(H23500,""IDENTITAS UNIT!D9"")"),"#N/A")</f>
        <v>#N/A</v>
      </c>
      <c r="H23500" s="4" t="str">
        <v/>
      </c>
      <c r="I23500" s="4" t="str">
        <v/>
      </c>
    </row>
    <row r="23501" spans="5:9" ht="16.5" hidden="1">
      <c r="E23501" s="4" t="str">
        <v/>
      </c>
      <c r="F23501" s="102" t="str">
        <f ca="1">IFERROR(__xludf.DUMMYFUNCTION("IMPORTRANGE(H23501,""IDENTITAS UNIT!D9"")"),"#N/A")</f>
        <v>#N/A</v>
      </c>
      <c r="H23501" s="4" t="str">
        <v/>
      </c>
      <c r="I23501" s="4" t="str">
        <v/>
      </c>
    </row>
    <row r="23502" spans="5:9" ht="16.5" hidden="1">
      <c r="E23502" s="4" t="str">
        <v/>
      </c>
      <c r="F23502" s="102" t="str">
        <f ca="1">IFERROR(__xludf.DUMMYFUNCTION("IMPORTRANGE(H23502,""IDENTITAS UNIT!D9"")"),"#N/A")</f>
        <v>#N/A</v>
      </c>
      <c r="H23502" s="4" t="str">
        <v/>
      </c>
      <c r="I23502" s="4" t="str">
        <v/>
      </c>
    </row>
    <row r="23503" spans="5:9" ht="16.5" hidden="1">
      <c r="E23503" s="4" t="str">
        <v/>
      </c>
      <c r="F23503" s="102" t="str">
        <f ca="1">IFERROR(__xludf.DUMMYFUNCTION("IMPORTRANGE(H23503,""IDENTITAS UNIT!D9"")"),"#N/A")</f>
        <v>#N/A</v>
      </c>
      <c r="H23503" s="4" t="str">
        <v/>
      </c>
      <c r="I23503" s="4" t="str">
        <v/>
      </c>
    </row>
    <row r="23504" spans="5:9" ht="16.5" hidden="1">
      <c r="E23504" s="4" t="str">
        <v/>
      </c>
      <c r="F23504" s="102" t="str">
        <f ca="1">IFERROR(__xludf.DUMMYFUNCTION("IMPORTRANGE(H23504,""IDENTITAS UNIT!D9"")"),"#N/A")</f>
        <v>#N/A</v>
      </c>
      <c r="H23504" s="4" t="str">
        <v/>
      </c>
      <c r="I23504" s="4" t="str">
        <v/>
      </c>
    </row>
    <row r="23505" spans="5:9" ht="16.5" hidden="1">
      <c r="E23505" s="4" t="str">
        <v/>
      </c>
      <c r="F23505" s="102" t="str">
        <f ca="1">IFERROR(__xludf.DUMMYFUNCTION("IMPORTRANGE(H23505,""IDENTITAS UNIT!D9"")"),"#N/A")</f>
        <v>#N/A</v>
      </c>
      <c r="H23505" s="4" t="str">
        <v/>
      </c>
      <c r="I23505" s="4" t="str">
        <v/>
      </c>
    </row>
    <row r="23506" spans="5:9" ht="16.5" hidden="1">
      <c r="E23506" s="4" t="str">
        <v/>
      </c>
      <c r="F23506" s="102" t="str">
        <f ca="1">IFERROR(__xludf.DUMMYFUNCTION("IMPORTRANGE(H23506,""IDENTITAS UNIT!D9"")"),"#N/A")</f>
        <v>#N/A</v>
      </c>
      <c r="H23506" s="4" t="str">
        <v/>
      </c>
      <c r="I23506" s="4" t="str">
        <v/>
      </c>
    </row>
    <row r="23507" spans="5:9" ht="16.5" hidden="1">
      <c r="E23507" s="4" t="str">
        <v/>
      </c>
      <c r="F23507" s="102" t="str">
        <f ca="1">IFERROR(__xludf.DUMMYFUNCTION("IMPORTRANGE(H23507,""IDENTITAS UNIT!D9"")"),"#N/A")</f>
        <v>#N/A</v>
      </c>
      <c r="H23507" s="4" t="str">
        <v/>
      </c>
      <c r="I23507" s="4" t="str">
        <v/>
      </c>
    </row>
    <row r="23508" spans="5:9" ht="16.5" hidden="1">
      <c r="E23508" s="4" t="str">
        <v/>
      </c>
      <c r="F23508" s="102" t="str">
        <f ca="1">IFERROR(__xludf.DUMMYFUNCTION("IMPORTRANGE(H23508,""IDENTITAS UNIT!D9"")"),"#N/A")</f>
        <v>#N/A</v>
      </c>
      <c r="H23508" s="4" t="str">
        <v/>
      </c>
      <c r="I23508" s="4" t="str">
        <v/>
      </c>
    </row>
    <row r="23509" spans="5:9" ht="16.5" hidden="1">
      <c r="E23509" s="4" t="str">
        <v/>
      </c>
      <c r="F23509" s="102" t="str">
        <f ca="1">IFERROR(__xludf.DUMMYFUNCTION("IMPORTRANGE(H23509,""IDENTITAS UNIT!D9"")"),"#N/A")</f>
        <v>#N/A</v>
      </c>
      <c r="H23509" s="4" t="str">
        <v/>
      </c>
      <c r="I23509" s="4" t="str">
        <v/>
      </c>
    </row>
    <row r="23510" spans="5:9" ht="16.5" hidden="1">
      <c r="E23510" s="4" t="str">
        <v/>
      </c>
      <c r="F23510" s="102" t="str">
        <f ca="1">IFERROR(__xludf.DUMMYFUNCTION("IMPORTRANGE(H23510,""IDENTITAS UNIT!D9"")"),"#N/A")</f>
        <v>#N/A</v>
      </c>
      <c r="H23510" s="4" t="str">
        <v/>
      </c>
      <c r="I23510" s="4" t="str">
        <v/>
      </c>
    </row>
    <row r="23511" spans="5:9" ht="16.5" hidden="1">
      <c r="E23511" s="4" t="str">
        <v/>
      </c>
      <c r="F23511" s="102" t="str">
        <f ca="1">IFERROR(__xludf.DUMMYFUNCTION("IMPORTRANGE(H23511,""IDENTITAS UNIT!D9"")"),"#N/A")</f>
        <v>#N/A</v>
      </c>
      <c r="H23511" s="4" t="str">
        <v/>
      </c>
      <c r="I23511" s="4" t="str">
        <v/>
      </c>
    </row>
    <row r="23512" spans="5:9" ht="16.5" hidden="1">
      <c r="E23512" s="4" t="str">
        <v/>
      </c>
      <c r="F23512" s="102" t="str">
        <f ca="1">IFERROR(__xludf.DUMMYFUNCTION("IMPORTRANGE(H23512,""IDENTITAS UNIT!D9"")"),"#N/A")</f>
        <v>#N/A</v>
      </c>
      <c r="H23512" s="4" t="str">
        <v/>
      </c>
      <c r="I23512" s="4" t="str">
        <v/>
      </c>
    </row>
    <row r="23513" spans="5:9" ht="16.5" hidden="1">
      <c r="E23513" s="4" t="str">
        <v/>
      </c>
      <c r="F23513" s="102" t="str">
        <f ca="1">IFERROR(__xludf.DUMMYFUNCTION("IMPORTRANGE(H23513,""IDENTITAS UNIT!D9"")"),"#N/A")</f>
        <v>#N/A</v>
      </c>
      <c r="H23513" s="4" t="str">
        <v/>
      </c>
      <c r="I23513" s="4" t="str">
        <v/>
      </c>
    </row>
    <row r="23514" spans="5:9" ht="16.5" hidden="1">
      <c r="E23514" s="4" t="str">
        <v/>
      </c>
      <c r="F23514" s="102" t="str">
        <f ca="1">IFERROR(__xludf.DUMMYFUNCTION("IMPORTRANGE(H23514,""IDENTITAS UNIT!D9"")"),"#N/A")</f>
        <v>#N/A</v>
      </c>
      <c r="H23514" s="4" t="str">
        <v/>
      </c>
      <c r="I23514" s="4" t="str">
        <v/>
      </c>
    </row>
    <row r="23515" spans="5:9" ht="16.5" hidden="1">
      <c r="E23515" s="4" t="str">
        <v/>
      </c>
      <c r="F23515" s="102" t="str">
        <f ca="1">IFERROR(__xludf.DUMMYFUNCTION("IMPORTRANGE(H23515,""IDENTITAS UNIT!D9"")"),"#N/A")</f>
        <v>#N/A</v>
      </c>
      <c r="H23515" s="4" t="str">
        <v/>
      </c>
      <c r="I23515" s="4" t="str">
        <v/>
      </c>
    </row>
    <row r="23516" spans="5:9" ht="16.5" hidden="1">
      <c r="E23516" s="4" t="str">
        <v/>
      </c>
      <c r="F23516" s="102" t="str">
        <f ca="1">IFERROR(__xludf.DUMMYFUNCTION("IMPORTRANGE(H23516,""IDENTITAS UNIT!D9"")"),"#N/A")</f>
        <v>#N/A</v>
      </c>
      <c r="H23516" s="4" t="str">
        <v/>
      </c>
      <c r="I23516" s="4" t="str">
        <v/>
      </c>
    </row>
    <row r="23517" spans="5:9" ht="16.5" hidden="1">
      <c r="E23517" s="4" t="str">
        <v/>
      </c>
      <c r="F23517" s="102" t="str">
        <f ca="1">IFERROR(__xludf.DUMMYFUNCTION("IMPORTRANGE(H23517,""IDENTITAS UNIT!D9"")"),"#N/A")</f>
        <v>#N/A</v>
      </c>
      <c r="H23517" s="4" t="str">
        <v/>
      </c>
      <c r="I23517" s="4" t="str">
        <v/>
      </c>
    </row>
    <row r="23518" spans="5:9" ht="16.5" hidden="1">
      <c r="E23518" s="4" t="str">
        <v/>
      </c>
      <c r="F23518" s="102" t="str">
        <f ca="1">IFERROR(__xludf.DUMMYFUNCTION("IMPORTRANGE(H23518,""IDENTITAS UNIT!D9"")"),"#N/A")</f>
        <v>#N/A</v>
      </c>
      <c r="H23518" s="4" t="str">
        <v/>
      </c>
      <c r="I23518" s="4" t="str">
        <v/>
      </c>
    </row>
    <row r="23519" spans="5:9" ht="16.5" hidden="1">
      <c r="E23519" s="4" t="str">
        <v/>
      </c>
      <c r="F23519" s="102" t="str">
        <f ca="1">IFERROR(__xludf.DUMMYFUNCTION("IMPORTRANGE(H23519,""IDENTITAS UNIT!D9"")"),"#N/A")</f>
        <v>#N/A</v>
      </c>
      <c r="H23519" s="4" t="str">
        <v/>
      </c>
      <c r="I23519" s="4" t="str">
        <v/>
      </c>
    </row>
    <row r="23520" spans="5:9" ht="16.5" hidden="1">
      <c r="E23520" s="4" t="str">
        <v/>
      </c>
      <c r="F23520" s="102" t="str">
        <f ca="1">IFERROR(__xludf.DUMMYFUNCTION("IMPORTRANGE(H23520,""IDENTITAS UNIT!D9"")"),"#N/A")</f>
        <v>#N/A</v>
      </c>
      <c r="H23520" s="4" t="str">
        <v/>
      </c>
      <c r="I23520" s="4" t="str">
        <v/>
      </c>
    </row>
    <row r="23521" spans="5:9" ht="16.5" hidden="1">
      <c r="E23521" s="4" t="str">
        <v/>
      </c>
      <c r="F23521" s="102" t="str">
        <f ca="1">IFERROR(__xludf.DUMMYFUNCTION("IMPORTRANGE(H23521,""IDENTITAS UNIT!D9"")"),"#N/A")</f>
        <v>#N/A</v>
      </c>
      <c r="H23521" s="4" t="str">
        <v/>
      </c>
      <c r="I23521" s="4" t="str">
        <v/>
      </c>
    </row>
    <row r="23522" spans="5:9" ht="16.5" hidden="1">
      <c r="E23522" s="4" t="str">
        <v/>
      </c>
      <c r="F23522" s="102" t="str">
        <f ca="1">IFERROR(__xludf.DUMMYFUNCTION("IMPORTRANGE(H23522,""IDENTITAS UNIT!D9"")"),"#N/A")</f>
        <v>#N/A</v>
      </c>
      <c r="H23522" s="4" t="str">
        <v/>
      </c>
      <c r="I23522" s="4" t="str">
        <v/>
      </c>
    </row>
    <row r="23523" spans="5:9" ht="16.5" hidden="1">
      <c r="E23523" s="4" t="str">
        <v/>
      </c>
      <c r="F23523" s="102" t="str">
        <f ca="1">IFERROR(__xludf.DUMMYFUNCTION("IMPORTRANGE(H23523,""IDENTITAS UNIT!D9"")"),"#N/A")</f>
        <v>#N/A</v>
      </c>
      <c r="H23523" s="4" t="str">
        <v/>
      </c>
      <c r="I23523" s="4" t="str">
        <v/>
      </c>
    </row>
    <row r="23524" spans="5:9" ht="16.5" hidden="1">
      <c r="E23524" s="4" t="str">
        <v/>
      </c>
      <c r="F23524" s="102" t="str">
        <f ca="1">IFERROR(__xludf.DUMMYFUNCTION("IMPORTRANGE(H23524,""IDENTITAS UNIT!D9"")"),"#N/A")</f>
        <v>#N/A</v>
      </c>
      <c r="H23524" s="4" t="str">
        <v/>
      </c>
      <c r="I23524" s="4" t="str">
        <v/>
      </c>
    </row>
    <row r="23525" spans="5:9" ht="16.5" hidden="1">
      <c r="E23525" s="4" t="str">
        <v/>
      </c>
      <c r="F23525" s="102" t="str">
        <f ca="1">IFERROR(__xludf.DUMMYFUNCTION("IMPORTRANGE(H23525,""IDENTITAS UNIT!D9"")"),"#N/A")</f>
        <v>#N/A</v>
      </c>
      <c r="H23525" s="4" t="str">
        <v/>
      </c>
      <c r="I23525" s="4" t="str">
        <v/>
      </c>
    </row>
    <row r="23526" spans="5:9" ht="16.5" hidden="1">
      <c r="E23526" s="4" t="str">
        <v/>
      </c>
      <c r="F23526" s="102" t="str">
        <f ca="1">IFERROR(__xludf.DUMMYFUNCTION("IMPORTRANGE(H23526,""IDENTITAS UNIT!D9"")"),"#N/A")</f>
        <v>#N/A</v>
      </c>
      <c r="H23526" s="4" t="str">
        <v/>
      </c>
      <c r="I23526" s="4" t="str">
        <v/>
      </c>
    </row>
    <row r="23527" spans="5:9" ht="16.5" hidden="1">
      <c r="E23527" s="4" t="str">
        <v/>
      </c>
      <c r="F23527" s="102" t="str">
        <f ca="1">IFERROR(__xludf.DUMMYFUNCTION("IMPORTRANGE(H23527,""IDENTITAS UNIT!D9"")"),"#N/A")</f>
        <v>#N/A</v>
      </c>
      <c r="H23527" s="4" t="str">
        <v/>
      </c>
      <c r="I23527" s="4" t="str">
        <v/>
      </c>
    </row>
    <row r="23528" spans="5:9" ht="16.5" hidden="1">
      <c r="E23528" s="4" t="str">
        <v/>
      </c>
      <c r="F23528" s="102" t="str">
        <f ca="1">IFERROR(__xludf.DUMMYFUNCTION("IMPORTRANGE(H23528,""IDENTITAS UNIT!D9"")"),"#N/A")</f>
        <v>#N/A</v>
      </c>
      <c r="H23528" s="4" t="str">
        <v/>
      </c>
      <c r="I23528" s="4" t="str">
        <v/>
      </c>
    </row>
    <row r="23529" spans="5:9" ht="16.5" hidden="1">
      <c r="E23529" s="4" t="str">
        <v/>
      </c>
      <c r="F23529" s="102" t="str">
        <f ca="1">IFERROR(__xludf.DUMMYFUNCTION("IMPORTRANGE(H23529,""IDENTITAS UNIT!D9"")"),"#N/A")</f>
        <v>#N/A</v>
      </c>
      <c r="H23529" s="4" t="str">
        <v/>
      </c>
      <c r="I23529" s="4" t="str">
        <v/>
      </c>
    </row>
    <row r="23530" spans="5:9" ht="16.5" hidden="1">
      <c r="E23530" s="4" t="str">
        <v/>
      </c>
      <c r="F23530" s="102" t="str">
        <f ca="1">IFERROR(__xludf.DUMMYFUNCTION("IMPORTRANGE(H23530,""IDENTITAS UNIT!D9"")"),"#N/A")</f>
        <v>#N/A</v>
      </c>
      <c r="H23530" s="4" t="str">
        <v/>
      </c>
      <c r="I23530" s="4" t="str">
        <v/>
      </c>
    </row>
    <row r="23531" spans="5:9" ht="16.5" hidden="1">
      <c r="E23531" s="4" t="str">
        <v/>
      </c>
      <c r="F23531" s="102" t="str">
        <f ca="1">IFERROR(__xludf.DUMMYFUNCTION("IMPORTRANGE(H23531,""IDENTITAS UNIT!D9"")"),"#N/A")</f>
        <v>#N/A</v>
      </c>
      <c r="H23531" s="4" t="str">
        <v/>
      </c>
      <c r="I23531" s="4" t="str">
        <v/>
      </c>
    </row>
    <row r="23532" spans="5:9" ht="16.5" hidden="1">
      <c r="E23532" s="4" t="str">
        <v/>
      </c>
      <c r="F23532" s="102" t="str">
        <f ca="1">IFERROR(__xludf.DUMMYFUNCTION("IMPORTRANGE(H23532,""IDENTITAS UNIT!D9"")"),"#N/A")</f>
        <v>#N/A</v>
      </c>
      <c r="H23532" s="4" t="str">
        <v/>
      </c>
      <c r="I23532" s="4" t="str">
        <v/>
      </c>
    </row>
    <row r="23533" spans="5:9" ht="16.5" hidden="1">
      <c r="E23533" s="4" t="str">
        <v/>
      </c>
      <c r="F23533" s="102" t="str">
        <f ca="1">IFERROR(__xludf.DUMMYFUNCTION("IMPORTRANGE(H23533,""IDENTITAS UNIT!D9"")"),"#N/A")</f>
        <v>#N/A</v>
      </c>
      <c r="H23533" s="4" t="str">
        <v/>
      </c>
      <c r="I23533" s="4" t="str">
        <v/>
      </c>
    </row>
    <row r="23534" spans="5:9" ht="16.5" hidden="1">
      <c r="E23534" s="4" t="str">
        <v/>
      </c>
      <c r="F23534" s="102" t="str">
        <f ca="1">IFERROR(__xludf.DUMMYFUNCTION("IMPORTRANGE(H23534,""IDENTITAS UNIT!D9"")"),"#N/A")</f>
        <v>#N/A</v>
      </c>
      <c r="H23534" s="4" t="str">
        <v/>
      </c>
      <c r="I23534" s="4" t="str">
        <v/>
      </c>
    </row>
    <row r="23535" spans="5:9" ht="16.5" hidden="1">
      <c r="E23535" s="4" t="str">
        <v/>
      </c>
      <c r="F23535" s="102" t="str">
        <f ca="1">IFERROR(__xludf.DUMMYFUNCTION("IMPORTRANGE(H23535,""IDENTITAS UNIT!D9"")"),"#N/A")</f>
        <v>#N/A</v>
      </c>
      <c r="H23535" s="4" t="str">
        <v/>
      </c>
      <c r="I23535" s="4" t="str">
        <v/>
      </c>
    </row>
    <row r="23536" spans="5:9" ht="16.5" hidden="1">
      <c r="E23536" s="4" t="str">
        <v/>
      </c>
      <c r="F23536" s="102" t="str">
        <f ca="1">IFERROR(__xludf.DUMMYFUNCTION("IMPORTRANGE(H23536,""IDENTITAS UNIT!D9"")"),"#N/A")</f>
        <v>#N/A</v>
      </c>
      <c r="H23536" s="4" t="str">
        <v/>
      </c>
      <c r="I23536" s="4" t="str">
        <v/>
      </c>
    </row>
    <row r="23537" spans="5:9" ht="16.5" hidden="1">
      <c r="E23537" s="4" t="str">
        <v/>
      </c>
      <c r="F23537" s="102" t="str">
        <f ca="1">IFERROR(__xludf.DUMMYFUNCTION("IMPORTRANGE(H23537,""IDENTITAS UNIT!D9"")"),"#N/A")</f>
        <v>#N/A</v>
      </c>
      <c r="H23537" s="4" t="str">
        <v/>
      </c>
      <c r="I23537" s="4" t="str">
        <v/>
      </c>
    </row>
    <row r="23538" spans="5:9" ht="16.5" hidden="1">
      <c r="E23538" s="4" t="str">
        <v/>
      </c>
      <c r="F23538" s="102" t="str">
        <f ca="1">IFERROR(__xludf.DUMMYFUNCTION("IMPORTRANGE(H23538,""IDENTITAS UNIT!D9"")"),"#N/A")</f>
        <v>#N/A</v>
      </c>
      <c r="H23538" s="4" t="str">
        <v/>
      </c>
      <c r="I23538" s="4" t="str">
        <v/>
      </c>
    </row>
    <row r="23539" spans="5:9" ht="16.5" hidden="1">
      <c r="E23539" s="4" t="str">
        <v/>
      </c>
      <c r="F23539" s="102" t="str">
        <f ca="1">IFERROR(__xludf.DUMMYFUNCTION("IMPORTRANGE(H23539,""IDENTITAS UNIT!D9"")"),"#N/A")</f>
        <v>#N/A</v>
      </c>
      <c r="H23539" s="4" t="str">
        <v/>
      </c>
      <c r="I23539" s="4" t="str">
        <v/>
      </c>
    </row>
    <row r="23540" spans="5:9" ht="16.5" hidden="1">
      <c r="E23540" s="4" t="str">
        <v/>
      </c>
      <c r="F23540" s="102" t="str">
        <f ca="1">IFERROR(__xludf.DUMMYFUNCTION("IMPORTRANGE(H23540,""IDENTITAS UNIT!D9"")"),"#N/A")</f>
        <v>#N/A</v>
      </c>
      <c r="H23540" s="4" t="str">
        <v/>
      </c>
      <c r="I23540" s="4" t="str">
        <v/>
      </c>
    </row>
    <row r="23541" spans="5:9" ht="16.5" hidden="1">
      <c r="E23541" s="4" t="str">
        <v/>
      </c>
      <c r="F23541" s="102" t="str">
        <f ca="1">IFERROR(__xludf.DUMMYFUNCTION("IMPORTRANGE(H23541,""IDENTITAS UNIT!D9"")"),"#N/A")</f>
        <v>#N/A</v>
      </c>
      <c r="H23541" s="4" t="str">
        <v/>
      </c>
      <c r="I23541" s="4" t="str">
        <v/>
      </c>
    </row>
    <row r="23542" spans="5:9" ht="16.5" hidden="1">
      <c r="E23542" s="4" t="str">
        <v/>
      </c>
      <c r="F23542" s="102" t="str">
        <f ca="1">IFERROR(__xludf.DUMMYFUNCTION("IMPORTRANGE(H23542,""IDENTITAS UNIT!D9"")"),"#N/A")</f>
        <v>#N/A</v>
      </c>
      <c r="H23542" s="4" t="str">
        <v/>
      </c>
      <c r="I23542" s="4" t="str">
        <v/>
      </c>
    </row>
    <row r="23543" spans="5:9" ht="16.5" hidden="1">
      <c r="E23543" s="4" t="str">
        <v/>
      </c>
      <c r="F23543" s="102" t="str">
        <f ca="1">IFERROR(__xludf.DUMMYFUNCTION("IMPORTRANGE(H23543,""IDENTITAS UNIT!D9"")"),"#N/A")</f>
        <v>#N/A</v>
      </c>
      <c r="H23543" s="4" t="str">
        <v/>
      </c>
      <c r="I23543" s="4" t="str">
        <v/>
      </c>
    </row>
    <row r="23544" spans="5:9" ht="16.5" hidden="1">
      <c r="E23544" s="4" t="str">
        <v/>
      </c>
      <c r="F23544" s="102" t="str">
        <f ca="1">IFERROR(__xludf.DUMMYFUNCTION("IMPORTRANGE(H23544,""IDENTITAS UNIT!D9"")"),"#N/A")</f>
        <v>#N/A</v>
      </c>
      <c r="H23544" s="4" t="str">
        <v/>
      </c>
      <c r="I23544" s="4" t="str">
        <v/>
      </c>
    </row>
    <row r="23545" spans="5:9" ht="16.5" hidden="1">
      <c r="E23545" s="4" t="str">
        <v/>
      </c>
      <c r="F23545" s="102" t="str">
        <f ca="1">IFERROR(__xludf.DUMMYFUNCTION("IMPORTRANGE(H23545,""IDENTITAS UNIT!D9"")"),"#N/A")</f>
        <v>#N/A</v>
      </c>
      <c r="H23545" s="4" t="str">
        <v/>
      </c>
      <c r="I23545" s="4" t="str">
        <v/>
      </c>
    </row>
    <row r="23546" spans="5:9" ht="16.5" hidden="1">
      <c r="E23546" s="4" t="str">
        <v/>
      </c>
      <c r="F23546" s="102" t="str">
        <f ca="1">IFERROR(__xludf.DUMMYFUNCTION("IMPORTRANGE(H23546,""IDENTITAS UNIT!D9"")"),"#N/A")</f>
        <v>#N/A</v>
      </c>
      <c r="H23546" s="4" t="str">
        <v/>
      </c>
      <c r="I23546" s="4" t="str">
        <v/>
      </c>
    </row>
    <row r="23547" spans="5:9" ht="16.5" hidden="1">
      <c r="E23547" s="4" t="str">
        <v/>
      </c>
      <c r="F23547" s="102" t="str">
        <f ca="1">IFERROR(__xludf.DUMMYFUNCTION("IMPORTRANGE(H23547,""IDENTITAS UNIT!D9"")"),"#N/A")</f>
        <v>#N/A</v>
      </c>
      <c r="H23547" s="4" t="str">
        <v/>
      </c>
      <c r="I23547" s="4" t="str">
        <v/>
      </c>
    </row>
    <row r="23548" spans="5:9" ht="16.5" hidden="1">
      <c r="E23548" s="4" t="str">
        <v/>
      </c>
      <c r="F23548" s="102" t="str">
        <f ca="1">IFERROR(__xludf.DUMMYFUNCTION("IMPORTRANGE(H23548,""IDENTITAS UNIT!D9"")"),"#N/A")</f>
        <v>#N/A</v>
      </c>
      <c r="H23548" s="4" t="str">
        <v/>
      </c>
      <c r="I23548" s="4" t="str">
        <v/>
      </c>
    </row>
    <row r="23549" spans="5:9" ht="16.5" hidden="1">
      <c r="E23549" s="4" t="str">
        <v/>
      </c>
      <c r="F23549" s="102" t="str">
        <f ca="1">IFERROR(__xludf.DUMMYFUNCTION("IMPORTRANGE(H23549,""IDENTITAS UNIT!D9"")"),"#N/A")</f>
        <v>#N/A</v>
      </c>
      <c r="H23549" s="4" t="str">
        <v/>
      </c>
      <c r="I23549" s="4" t="str">
        <v/>
      </c>
    </row>
    <row r="23550" spans="5:9" ht="16.5" hidden="1">
      <c r="E23550" s="4" t="str">
        <v/>
      </c>
      <c r="F23550" s="102" t="str">
        <f ca="1">IFERROR(__xludf.DUMMYFUNCTION("IMPORTRANGE(H23550,""IDENTITAS UNIT!D9"")"),"#N/A")</f>
        <v>#N/A</v>
      </c>
      <c r="H23550" s="4" t="str">
        <v/>
      </c>
      <c r="I23550" s="4" t="str">
        <v/>
      </c>
    </row>
    <row r="23551" spans="5:9" ht="16.5" hidden="1">
      <c r="E23551" s="4" t="str">
        <v/>
      </c>
      <c r="F23551" s="102" t="str">
        <f ca="1">IFERROR(__xludf.DUMMYFUNCTION("IMPORTRANGE(H23551,""IDENTITAS UNIT!D9"")"),"#N/A")</f>
        <v>#N/A</v>
      </c>
      <c r="H23551" s="4" t="str">
        <v/>
      </c>
      <c r="I23551" s="4" t="str">
        <v/>
      </c>
    </row>
    <row r="23552" spans="5:9" ht="16.5" hidden="1">
      <c r="E23552" s="4" t="str">
        <v/>
      </c>
      <c r="F23552" s="102" t="str">
        <f ca="1">IFERROR(__xludf.DUMMYFUNCTION("IMPORTRANGE(H23552,""IDENTITAS UNIT!D9"")"),"#N/A")</f>
        <v>#N/A</v>
      </c>
      <c r="H23552" s="4" t="str">
        <v/>
      </c>
      <c r="I23552" s="4" t="str">
        <v/>
      </c>
    </row>
    <row r="23553" spans="5:9" ht="16.5" hidden="1">
      <c r="E23553" s="4" t="str">
        <v/>
      </c>
      <c r="F23553" s="102" t="str">
        <f ca="1">IFERROR(__xludf.DUMMYFUNCTION("IMPORTRANGE(H23553,""IDENTITAS UNIT!D9"")"),"#N/A")</f>
        <v>#N/A</v>
      </c>
      <c r="H23553" s="4" t="str">
        <v/>
      </c>
      <c r="I23553" s="4" t="str">
        <v/>
      </c>
    </row>
    <row r="23554" spans="5:9" ht="16.5" hidden="1">
      <c r="E23554" s="4" t="str">
        <v/>
      </c>
      <c r="F23554" s="102" t="str">
        <f ca="1">IFERROR(__xludf.DUMMYFUNCTION("IMPORTRANGE(H23554,""IDENTITAS UNIT!D9"")"),"#N/A")</f>
        <v>#N/A</v>
      </c>
      <c r="H23554" s="4" t="str">
        <v/>
      </c>
      <c r="I23554" s="4" t="str">
        <v/>
      </c>
    </row>
    <row r="23555" spans="5:9" ht="16.5" hidden="1">
      <c r="E23555" s="4" t="str">
        <v/>
      </c>
      <c r="F23555" s="102" t="str">
        <f ca="1">IFERROR(__xludf.DUMMYFUNCTION("IMPORTRANGE(H23555,""IDENTITAS UNIT!D9"")"),"#N/A")</f>
        <v>#N/A</v>
      </c>
      <c r="H23555" s="4" t="str">
        <v/>
      </c>
      <c r="I23555" s="4" t="str">
        <v/>
      </c>
    </row>
    <row r="23556" spans="5:9" ht="16.5" hidden="1">
      <c r="E23556" s="4" t="str">
        <v/>
      </c>
      <c r="F23556" s="102" t="str">
        <f ca="1">IFERROR(__xludf.DUMMYFUNCTION("IMPORTRANGE(H23556,""IDENTITAS UNIT!D9"")"),"#N/A")</f>
        <v>#N/A</v>
      </c>
      <c r="H23556" s="4" t="str">
        <v/>
      </c>
      <c r="I23556" s="4" t="str">
        <v/>
      </c>
    </row>
    <row r="23557" spans="5:9" ht="16.5" hidden="1">
      <c r="E23557" s="4" t="str">
        <v/>
      </c>
      <c r="F23557" s="102" t="str">
        <f ca="1">IFERROR(__xludf.DUMMYFUNCTION("IMPORTRANGE(H23557,""IDENTITAS UNIT!D9"")"),"#N/A")</f>
        <v>#N/A</v>
      </c>
      <c r="H23557" s="4" t="str">
        <v/>
      </c>
      <c r="I23557" s="4" t="str">
        <v/>
      </c>
    </row>
    <row r="23558" spans="5:9" ht="16.5" hidden="1">
      <c r="E23558" s="4" t="str">
        <v/>
      </c>
      <c r="F23558" s="102" t="str">
        <f ca="1">IFERROR(__xludf.DUMMYFUNCTION("IMPORTRANGE(H23558,""IDENTITAS UNIT!D9"")"),"#N/A")</f>
        <v>#N/A</v>
      </c>
      <c r="H23558" s="4" t="str">
        <v/>
      </c>
      <c r="I23558" s="4" t="str">
        <v/>
      </c>
    </row>
    <row r="23559" spans="5:9" ht="16.5" hidden="1">
      <c r="E23559" s="4" t="str">
        <v/>
      </c>
      <c r="F23559" s="102" t="str">
        <f ca="1">IFERROR(__xludf.DUMMYFUNCTION("IMPORTRANGE(H23559,""IDENTITAS UNIT!D9"")"),"#N/A")</f>
        <v>#N/A</v>
      </c>
      <c r="H23559" s="4" t="str">
        <v/>
      </c>
      <c r="I23559" s="4" t="str">
        <v/>
      </c>
    </row>
    <row r="23560" spans="5:9" ht="16.5" hidden="1">
      <c r="E23560" s="4" t="str">
        <v/>
      </c>
      <c r="F23560" s="102" t="str">
        <f ca="1">IFERROR(__xludf.DUMMYFUNCTION("IMPORTRANGE(H23560,""IDENTITAS UNIT!D9"")"),"#N/A")</f>
        <v>#N/A</v>
      </c>
      <c r="H23560" s="4" t="str">
        <v/>
      </c>
      <c r="I23560" s="4" t="str">
        <v/>
      </c>
    </row>
    <row r="23561" spans="5:9" ht="16.5" hidden="1">
      <c r="E23561" s="4" t="str">
        <v/>
      </c>
      <c r="F23561" s="102" t="str">
        <f ca="1">IFERROR(__xludf.DUMMYFUNCTION("IMPORTRANGE(H23561,""IDENTITAS UNIT!D9"")"),"#N/A")</f>
        <v>#N/A</v>
      </c>
      <c r="H23561" s="4" t="str">
        <v/>
      </c>
      <c r="I23561" s="4" t="str">
        <v/>
      </c>
    </row>
    <row r="23562" spans="5:9" ht="16.5" hidden="1">
      <c r="E23562" s="4" t="str">
        <v/>
      </c>
      <c r="F23562" s="102" t="str">
        <f ca="1">IFERROR(__xludf.DUMMYFUNCTION("IMPORTRANGE(H23562,""IDENTITAS UNIT!D9"")"),"#N/A")</f>
        <v>#N/A</v>
      </c>
      <c r="H23562" s="4" t="str">
        <v/>
      </c>
      <c r="I23562" s="4" t="str">
        <v/>
      </c>
    </row>
    <row r="23563" spans="5:9" ht="16.5" hidden="1">
      <c r="E23563" s="4" t="str">
        <v/>
      </c>
      <c r="F23563" s="102" t="str">
        <f ca="1">IFERROR(__xludf.DUMMYFUNCTION("IMPORTRANGE(H23563,""IDENTITAS UNIT!D9"")"),"#N/A")</f>
        <v>#N/A</v>
      </c>
      <c r="H23563" s="4" t="str">
        <v/>
      </c>
      <c r="I23563" s="4" t="str">
        <v/>
      </c>
    </row>
    <row r="23564" spans="5:9" ht="16.5" hidden="1">
      <c r="E23564" s="4" t="str">
        <v/>
      </c>
      <c r="F23564" s="102" t="str">
        <f ca="1">IFERROR(__xludf.DUMMYFUNCTION("IMPORTRANGE(H23564,""IDENTITAS UNIT!D9"")"),"#N/A")</f>
        <v>#N/A</v>
      </c>
      <c r="H23564" s="4" t="str">
        <v/>
      </c>
      <c r="I23564" s="4" t="str">
        <v/>
      </c>
    </row>
    <row r="23565" spans="5:9" ht="16.5" hidden="1">
      <c r="E23565" s="4" t="str">
        <v/>
      </c>
      <c r="F23565" s="102" t="str">
        <f ca="1">IFERROR(__xludf.DUMMYFUNCTION("IMPORTRANGE(H23565,""IDENTITAS UNIT!D9"")"),"#N/A")</f>
        <v>#N/A</v>
      </c>
      <c r="H23565" s="4" t="str">
        <v/>
      </c>
      <c r="I23565" s="4" t="str">
        <v/>
      </c>
    </row>
    <row r="23566" spans="5:9" ht="16.5" hidden="1">
      <c r="E23566" s="4" t="str">
        <v/>
      </c>
      <c r="F23566" s="102" t="str">
        <f ca="1">IFERROR(__xludf.DUMMYFUNCTION("IMPORTRANGE(H23566,""IDENTITAS UNIT!D9"")"),"#N/A")</f>
        <v>#N/A</v>
      </c>
      <c r="H23566" s="4" t="str">
        <v/>
      </c>
      <c r="I23566" s="4" t="str">
        <v/>
      </c>
    </row>
    <row r="23567" spans="5:9" ht="16.5" hidden="1">
      <c r="E23567" s="4" t="str">
        <v/>
      </c>
      <c r="F23567" s="102" t="str">
        <f ca="1">IFERROR(__xludf.DUMMYFUNCTION("IMPORTRANGE(H23567,""IDENTITAS UNIT!D9"")"),"#N/A")</f>
        <v>#N/A</v>
      </c>
      <c r="H23567" s="4" t="str">
        <v/>
      </c>
      <c r="I23567" s="4" t="str">
        <v/>
      </c>
    </row>
    <row r="23568" spans="5:9" ht="16.5" hidden="1">
      <c r="E23568" s="4" t="str">
        <v/>
      </c>
      <c r="F23568" s="102" t="str">
        <f ca="1">IFERROR(__xludf.DUMMYFUNCTION("IMPORTRANGE(H23568,""IDENTITAS UNIT!D9"")"),"#N/A")</f>
        <v>#N/A</v>
      </c>
      <c r="H23568" s="4" t="str">
        <v/>
      </c>
      <c r="I23568" s="4" t="str">
        <v/>
      </c>
    </row>
    <row r="23569" spans="5:9" ht="16.5" hidden="1">
      <c r="E23569" s="4" t="str">
        <v/>
      </c>
      <c r="F23569" s="102" t="str">
        <f ca="1">IFERROR(__xludf.DUMMYFUNCTION("IMPORTRANGE(H23569,""IDENTITAS UNIT!D9"")"),"#N/A")</f>
        <v>#N/A</v>
      </c>
      <c r="H23569" s="4" t="str">
        <v/>
      </c>
      <c r="I23569" s="4" t="str">
        <v/>
      </c>
    </row>
    <row r="23570" spans="5:9" ht="16.5" hidden="1">
      <c r="E23570" s="4" t="str">
        <v/>
      </c>
      <c r="F23570" s="102" t="str">
        <f ca="1">IFERROR(__xludf.DUMMYFUNCTION("IMPORTRANGE(H23570,""IDENTITAS UNIT!D9"")"),"#N/A")</f>
        <v>#N/A</v>
      </c>
      <c r="H23570" s="4" t="str">
        <v/>
      </c>
      <c r="I23570" s="4" t="str">
        <v/>
      </c>
    </row>
    <row r="23571" spans="5:9" ht="16.5" hidden="1">
      <c r="E23571" s="4" t="str">
        <v/>
      </c>
      <c r="F23571" s="102" t="str">
        <f ca="1">IFERROR(__xludf.DUMMYFUNCTION("IMPORTRANGE(H23571,""IDENTITAS UNIT!D9"")"),"#N/A")</f>
        <v>#N/A</v>
      </c>
      <c r="H23571" s="4" t="str">
        <v/>
      </c>
      <c r="I23571" s="4" t="str">
        <v/>
      </c>
    </row>
    <row r="23572" spans="5:9" ht="16.5" hidden="1">
      <c r="E23572" s="4" t="str">
        <v/>
      </c>
      <c r="F23572" s="102" t="str">
        <f ca="1">IFERROR(__xludf.DUMMYFUNCTION("IMPORTRANGE(H23572,""IDENTITAS UNIT!D9"")"),"#N/A")</f>
        <v>#N/A</v>
      </c>
      <c r="H23572" s="4" t="str">
        <v/>
      </c>
      <c r="I23572" s="4" t="str">
        <v/>
      </c>
    </row>
    <row r="23573" spans="5:9" ht="16.5" hidden="1">
      <c r="E23573" s="4" t="str">
        <v/>
      </c>
      <c r="F23573" s="102" t="str">
        <f ca="1">IFERROR(__xludf.DUMMYFUNCTION("IMPORTRANGE(H23573,""IDENTITAS UNIT!D9"")"),"#N/A")</f>
        <v>#N/A</v>
      </c>
      <c r="H23573" s="4" t="str">
        <v/>
      </c>
      <c r="I23573" s="4" t="str">
        <v/>
      </c>
    </row>
    <row r="23574" spans="5:9" ht="16.5" hidden="1">
      <c r="E23574" s="4" t="str">
        <v/>
      </c>
      <c r="F23574" s="102" t="str">
        <f ca="1">IFERROR(__xludf.DUMMYFUNCTION("IMPORTRANGE(H23574,""IDENTITAS UNIT!D9"")"),"#N/A")</f>
        <v>#N/A</v>
      </c>
      <c r="H23574" s="4" t="str">
        <v/>
      </c>
      <c r="I23574" s="4" t="str">
        <v/>
      </c>
    </row>
    <row r="23575" spans="5:9" ht="16.5" hidden="1">
      <c r="E23575" s="4" t="str">
        <v/>
      </c>
      <c r="F23575" s="102" t="str">
        <f ca="1">IFERROR(__xludf.DUMMYFUNCTION("IMPORTRANGE(H23575,""IDENTITAS UNIT!D9"")"),"#N/A")</f>
        <v>#N/A</v>
      </c>
      <c r="H23575" s="4" t="str">
        <v/>
      </c>
      <c r="I23575" s="4" t="str">
        <v/>
      </c>
    </row>
    <row r="23576" spans="5:9" ht="16.5" hidden="1">
      <c r="E23576" s="4" t="str">
        <v/>
      </c>
      <c r="F23576" s="102" t="str">
        <f ca="1">IFERROR(__xludf.DUMMYFUNCTION("IMPORTRANGE(H23576,""IDENTITAS UNIT!D9"")"),"#N/A")</f>
        <v>#N/A</v>
      </c>
      <c r="H23576" s="4" t="str">
        <v/>
      </c>
      <c r="I23576" s="4" t="str">
        <v/>
      </c>
    </row>
    <row r="23577" spans="5:9" ht="16.5" hidden="1">
      <c r="E23577" s="4" t="str">
        <v/>
      </c>
      <c r="F23577" s="102" t="str">
        <f ca="1">IFERROR(__xludf.DUMMYFUNCTION("IMPORTRANGE(H23577,""IDENTITAS UNIT!D9"")"),"#N/A")</f>
        <v>#N/A</v>
      </c>
      <c r="H23577" s="4" t="str">
        <v/>
      </c>
      <c r="I23577" s="4" t="str">
        <v/>
      </c>
    </row>
    <row r="23578" spans="5:9" ht="16.5" hidden="1">
      <c r="E23578" s="4" t="str">
        <v/>
      </c>
      <c r="F23578" s="102" t="str">
        <f ca="1">IFERROR(__xludf.DUMMYFUNCTION("IMPORTRANGE(H23578,""IDENTITAS UNIT!D9"")"),"#N/A")</f>
        <v>#N/A</v>
      </c>
      <c r="H23578" s="4" t="str">
        <v/>
      </c>
      <c r="I23578" s="4" t="str">
        <v/>
      </c>
    </row>
    <row r="23579" spans="5:9" ht="16.5" hidden="1">
      <c r="E23579" s="4" t="str">
        <v/>
      </c>
      <c r="F23579" s="102" t="str">
        <f ca="1">IFERROR(__xludf.DUMMYFUNCTION("IMPORTRANGE(H23579,""IDENTITAS UNIT!D9"")"),"#N/A")</f>
        <v>#N/A</v>
      </c>
      <c r="H23579" s="4" t="str">
        <v/>
      </c>
      <c r="I23579" s="4" t="str">
        <v/>
      </c>
    </row>
    <row r="23580" spans="5:9" ht="16.5" hidden="1">
      <c r="E23580" s="4" t="str">
        <v/>
      </c>
      <c r="F23580" s="102" t="str">
        <f ca="1">IFERROR(__xludf.DUMMYFUNCTION("IMPORTRANGE(H23580,""IDENTITAS UNIT!D9"")"),"#N/A")</f>
        <v>#N/A</v>
      </c>
      <c r="H23580" s="4" t="str">
        <v/>
      </c>
      <c r="I23580" s="4" t="str">
        <v/>
      </c>
    </row>
    <row r="23581" spans="5:9" ht="16.5" hidden="1">
      <c r="E23581" s="4" t="str">
        <v/>
      </c>
      <c r="F23581" s="102" t="str">
        <f ca="1">IFERROR(__xludf.DUMMYFUNCTION("IMPORTRANGE(H23581,""IDENTITAS UNIT!D9"")"),"#N/A")</f>
        <v>#N/A</v>
      </c>
      <c r="H23581" s="4" t="str">
        <v/>
      </c>
      <c r="I23581" s="4" t="str">
        <v/>
      </c>
    </row>
    <row r="23582" spans="5:9" ht="16.5" hidden="1">
      <c r="E23582" s="4" t="str">
        <v/>
      </c>
      <c r="F23582" s="102" t="str">
        <f ca="1">IFERROR(__xludf.DUMMYFUNCTION("IMPORTRANGE(H23582,""IDENTITAS UNIT!D9"")"),"#N/A")</f>
        <v>#N/A</v>
      </c>
      <c r="H23582" s="4" t="str">
        <v/>
      </c>
      <c r="I23582" s="4" t="str">
        <v/>
      </c>
    </row>
    <row r="23583" spans="5:9" ht="16.5" hidden="1">
      <c r="E23583" s="4" t="str">
        <v/>
      </c>
      <c r="F23583" s="102" t="str">
        <f ca="1">IFERROR(__xludf.DUMMYFUNCTION("IMPORTRANGE(H23583,""IDENTITAS UNIT!D9"")"),"#N/A")</f>
        <v>#N/A</v>
      </c>
      <c r="H23583" s="4" t="str">
        <v/>
      </c>
      <c r="I23583" s="4" t="str">
        <v/>
      </c>
    </row>
    <row r="23584" spans="5:9" ht="16.5" hidden="1">
      <c r="E23584" s="4" t="str">
        <v/>
      </c>
      <c r="F23584" s="102" t="str">
        <f ca="1">IFERROR(__xludf.DUMMYFUNCTION("IMPORTRANGE(H23584,""IDENTITAS UNIT!D9"")"),"#N/A")</f>
        <v>#N/A</v>
      </c>
      <c r="H23584" s="4" t="str">
        <v/>
      </c>
      <c r="I23584" s="4" t="str">
        <v/>
      </c>
    </row>
    <row r="23585" spans="5:9" ht="16.5" hidden="1">
      <c r="E23585" s="4" t="str">
        <v/>
      </c>
      <c r="F23585" s="102" t="str">
        <f ca="1">IFERROR(__xludf.DUMMYFUNCTION("IMPORTRANGE(H23585,""IDENTITAS UNIT!D9"")"),"#N/A")</f>
        <v>#N/A</v>
      </c>
      <c r="H23585" s="4" t="str">
        <v/>
      </c>
      <c r="I23585" s="4" t="str">
        <v/>
      </c>
    </row>
    <row r="23586" spans="5:9" ht="16.5" hidden="1">
      <c r="E23586" s="4" t="str">
        <v/>
      </c>
      <c r="F23586" s="102" t="str">
        <f ca="1">IFERROR(__xludf.DUMMYFUNCTION("IMPORTRANGE(H23586,""IDENTITAS UNIT!D9"")"),"#N/A")</f>
        <v>#N/A</v>
      </c>
      <c r="H23586" s="4" t="str">
        <v/>
      </c>
      <c r="I23586" s="4" t="str">
        <v/>
      </c>
    </row>
    <row r="23587" spans="5:9" ht="16.5" hidden="1">
      <c r="E23587" s="4" t="str">
        <v/>
      </c>
      <c r="F23587" s="102" t="str">
        <f ca="1">IFERROR(__xludf.DUMMYFUNCTION("IMPORTRANGE(H23587,""IDENTITAS UNIT!D9"")"),"#N/A")</f>
        <v>#N/A</v>
      </c>
      <c r="H23587" s="4" t="str">
        <v/>
      </c>
      <c r="I23587" s="4" t="str">
        <v/>
      </c>
    </row>
    <row r="23588" spans="5:9" ht="16.5" hidden="1">
      <c r="E23588" s="4" t="str">
        <v/>
      </c>
      <c r="F23588" s="102" t="str">
        <f ca="1">IFERROR(__xludf.DUMMYFUNCTION("IMPORTRANGE(H23588,""IDENTITAS UNIT!D9"")"),"#N/A")</f>
        <v>#N/A</v>
      </c>
      <c r="H23588" s="4" t="str">
        <v/>
      </c>
      <c r="I23588" s="4" t="str">
        <v/>
      </c>
    </row>
    <row r="23589" spans="5:9" ht="16.5" hidden="1">
      <c r="E23589" s="4" t="str">
        <v/>
      </c>
      <c r="F23589" s="102" t="str">
        <f ca="1">IFERROR(__xludf.DUMMYFUNCTION("IMPORTRANGE(H23589,""IDENTITAS UNIT!D9"")"),"#N/A")</f>
        <v>#N/A</v>
      </c>
      <c r="H23589" s="4" t="str">
        <v/>
      </c>
      <c r="I23589" s="4" t="str">
        <v/>
      </c>
    </row>
    <row r="23590" spans="5:9" ht="16.5" hidden="1">
      <c r="E23590" s="4" t="str">
        <v/>
      </c>
      <c r="F23590" s="102" t="str">
        <f ca="1">IFERROR(__xludf.DUMMYFUNCTION("IMPORTRANGE(H23590,""IDENTITAS UNIT!D9"")"),"#N/A")</f>
        <v>#N/A</v>
      </c>
      <c r="H23590" s="4" t="str">
        <v/>
      </c>
      <c r="I23590" s="4" t="str">
        <v/>
      </c>
    </row>
    <row r="23591" spans="5:9" ht="16.5" hidden="1">
      <c r="E23591" s="4" t="str">
        <v/>
      </c>
      <c r="F23591" s="102" t="str">
        <f ca="1">IFERROR(__xludf.DUMMYFUNCTION("IMPORTRANGE(H23591,""IDENTITAS UNIT!D9"")"),"#N/A")</f>
        <v>#N/A</v>
      </c>
      <c r="H23591" s="4" t="str">
        <v/>
      </c>
      <c r="I23591" s="4" t="str">
        <v/>
      </c>
    </row>
    <row r="23592" spans="5:9" ht="16.5" hidden="1">
      <c r="E23592" s="4" t="str">
        <v/>
      </c>
      <c r="F23592" s="102" t="str">
        <f ca="1">IFERROR(__xludf.DUMMYFUNCTION("IMPORTRANGE(H23592,""IDENTITAS UNIT!D9"")"),"#N/A")</f>
        <v>#N/A</v>
      </c>
      <c r="H23592" s="4" t="str">
        <v/>
      </c>
      <c r="I23592" s="4" t="str">
        <v/>
      </c>
    </row>
    <row r="23593" spans="5:9" ht="16.5" hidden="1">
      <c r="E23593" s="4" t="str">
        <v/>
      </c>
      <c r="F23593" s="102" t="str">
        <f ca="1">IFERROR(__xludf.DUMMYFUNCTION("IMPORTRANGE(H23593,""IDENTITAS UNIT!D9"")"),"#N/A")</f>
        <v>#N/A</v>
      </c>
      <c r="H23593" s="4" t="str">
        <v/>
      </c>
      <c r="I23593" s="4" t="str">
        <v/>
      </c>
    </row>
    <row r="23594" spans="5:9" ht="16.5" hidden="1">
      <c r="E23594" s="4" t="str">
        <v/>
      </c>
      <c r="F23594" s="102" t="str">
        <f ca="1">IFERROR(__xludf.DUMMYFUNCTION("IMPORTRANGE(H23594,""IDENTITAS UNIT!D9"")"),"#N/A")</f>
        <v>#N/A</v>
      </c>
      <c r="H23594" s="4" t="str">
        <v/>
      </c>
      <c r="I23594" s="4" t="str">
        <v/>
      </c>
    </row>
    <row r="23595" spans="5:9" ht="16.5" hidden="1">
      <c r="E23595" s="4" t="str">
        <v/>
      </c>
      <c r="F23595" s="102" t="str">
        <f ca="1">IFERROR(__xludf.DUMMYFUNCTION("IMPORTRANGE(H23595,""IDENTITAS UNIT!D9"")"),"#N/A")</f>
        <v>#N/A</v>
      </c>
      <c r="H23595" s="4" t="str">
        <v/>
      </c>
      <c r="I23595" s="4" t="str">
        <v/>
      </c>
    </row>
    <row r="23596" spans="5:9" ht="16.5" hidden="1">
      <c r="E23596" s="4" t="str">
        <v/>
      </c>
      <c r="F23596" s="102" t="str">
        <f ca="1">IFERROR(__xludf.DUMMYFUNCTION("IMPORTRANGE(H23596,""IDENTITAS UNIT!D9"")"),"#N/A")</f>
        <v>#N/A</v>
      </c>
      <c r="H23596" s="4" t="str">
        <v/>
      </c>
      <c r="I23596" s="4" t="str">
        <v/>
      </c>
    </row>
    <row r="23597" spans="5:9" ht="16.5" hidden="1">
      <c r="E23597" s="4" t="str">
        <v/>
      </c>
      <c r="F23597" s="102" t="str">
        <f ca="1">IFERROR(__xludf.DUMMYFUNCTION("IMPORTRANGE(H23597,""IDENTITAS UNIT!D9"")"),"#N/A")</f>
        <v>#N/A</v>
      </c>
      <c r="H23597" s="4" t="str">
        <v/>
      </c>
      <c r="I23597" s="4" t="str">
        <v/>
      </c>
    </row>
    <row r="23598" spans="5:9" ht="16.5" hidden="1">
      <c r="E23598" s="4" t="str">
        <v/>
      </c>
      <c r="F23598" s="102" t="str">
        <f ca="1">IFERROR(__xludf.DUMMYFUNCTION("IMPORTRANGE(H23598,""IDENTITAS UNIT!D9"")"),"#N/A")</f>
        <v>#N/A</v>
      </c>
      <c r="H23598" s="4" t="str">
        <v/>
      </c>
      <c r="I23598" s="4" t="str">
        <v/>
      </c>
    </row>
    <row r="23599" spans="5:9" ht="16.5" hidden="1">
      <c r="E23599" s="4" t="str">
        <v/>
      </c>
      <c r="F23599" s="102" t="str">
        <f ca="1">IFERROR(__xludf.DUMMYFUNCTION("IMPORTRANGE(H23599,""IDENTITAS UNIT!D9"")"),"#N/A")</f>
        <v>#N/A</v>
      </c>
      <c r="H23599" s="4" t="str">
        <v/>
      </c>
      <c r="I23599" s="4" t="str">
        <v/>
      </c>
    </row>
    <row r="23600" spans="5:9" ht="16.5" hidden="1">
      <c r="E23600" s="4" t="str">
        <v/>
      </c>
      <c r="F23600" s="102" t="str">
        <f ca="1">IFERROR(__xludf.DUMMYFUNCTION("IMPORTRANGE(H23600,""IDENTITAS UNIT!D9"")"),"#N/A")</f>
        <v>#N/A</v>
      </c>
      <c r="H23600" s="4" t="str">
        <v/>
      </c>
      <c r="I23600" s="4" t="str">
        <v/>
      </c>
    </row>
    <row r="23601" spans="5:9" ht="16.5" hidden="1">
      <c r="E23601" s="4" t="str">
        <v/>
      </c>
      <c r="F23601" s="102" t="str">
        <f ca="1">IFERROR(__xludf.DUMMYFUNCTION("IMPORTRANGE(H23601,""IDENTITAS UNIT!D9"")"),"#N/A")</f>
        <v>#N/A</v>
      </c>
      <c r="H23601" s="4" t="str">
        <v/>
      </c>
      <c r="I23601" s="4" t="str">
        <v/>
      </c>
    </row>
    <row r="23602" spans="5:9" ht="16.5" hidden="1">
      <c r="E23602" s="4" t="str">
        <v/>
      </c>
      <c r="F23602" s="102" t="str">
        <f ca="1">IFERROR(__xludf.DUMMYFUNCTION("IMPORTRANGE(H23602,""IDENTITAS UNIT!D9"")"),"#N/A")</f>
        <v>#N/A</v>
      </c>
      <c r="H23602" s="4" t="str">
        <v/>
      </c>
      <c r="I23602" s="4" t="str">
        <v/>
      </c>
    </row>
    <row r="23603" spans="5:9" ht="16.5" hidden="1">
      <c r="E23603" s="4" t="str">
        <v/>
      </c>
      <c r="F23603" s="102" t="str">
        <f ca="1">IFERROR(__xludf.DUMMYFUNCTION("IMPORTRANGE(H23603,""IDENTITAS UNIT!D9"")"),"#N/A")</f>
        <v>#N/A</v>
      </c>
      <c r="H23603" s="4" t="str">
        <v/>
      </c>
      <c r="I23603" s="4" t="str">
        <v/>
      </c>
    </row>
    <row r="23604" spans="5:9" ht="16.5" hidden="1">
      <c r="E23604" s="4" t="str">
        <v/>
      </c>
      <c r="F23604" s="102" t="str">
        <f ca="1">IFERROR(__xludf.DUMMYFUNCTION("IMPORTRANGE(H23604,""IDENTITAS UNIT!D9"")"),"#N/A")</f>
        <v>#N/A</v>
      </c>
      <c r="H23604" s="4" t="str">
        <v/>
      </c>
      <c r="I23604" s="4" t="str">
        <v/>
      </c>
    </row>
    <row r="23605" spans="5:9" ht="16.5" hidden="1">
      <c r="E23605" s="4" t="str">
        <v/>
      </c>
      <c r="F23605" s="102" t="str">
        <f ca="1">IFERROR(__xludf.DUMMYFUNCTION("IMPORTRANGE(H23605,""IDENTITAS UNIT!D9"")"),"#N/A")</f>
        <v>#N/A</v>
      </c>
      <c r="H23605" s="4" t="str">
        <v/>
      </c>
      <c r="I23605" s="4" t="str">
        <v/>
      </c>
    </row>
    <row r="23606" spans="5:9" ht="16.5" hidden="1">
      <c r="E23606" s="4" t="str">
        <v/>
      </c>
      <c r="F23606" s="102" t="str">
        <f ca="1">IFERROR(__xludf.DUMMYFUNCTION("IMPORTRANGE(H23606,""IDENTITAS UNIT!D9"")"),"#N/A")</f>
        <v>#N/A</v>
      </c>
      <c r="H23606" s="4" t="str">
        <v/>
      </c>
      <c r="I23606" s="4" t="str">
        <v/>
      </c>
    </row>
    <row r="23607" spans="5:9" ht="16.5" hidden="1">
      <c r="E23607" s="4" t="str">
        <v/>
      </c>
      <c r="F23607" s="102" t="str">
        <f ca="1">IFERROR(__xludf.DUMMYFUNCTION("IMPORTRANGE(H23607,""IDENTITAS UNIT!D9"")"),"#N/A")</f>
        <v>#N/A</v>
      </c>
      <c r="H23607" s="4" t="str">
        <v/>
      </c>
      <c r="I23607" s="4" t="str">
        <v/>
      </c>
    </row>
    <row r="23608" spans="5:9" ht="16.5" hidden="1">
      <c r="E23608" s="4" t="str">
        <v/>
      </c>
      <c r="F23608" s="102" t="str">
        <f ca="1">IFERROR(__xludf.DUMMYFUNCTION("IMPORTRANGE(H23608,""IDENTITAS UNIT!D9"")"),"#N/A")</f>
        <v>#N/A</v>
      </c>
      <c r="H23608" s="4" t="str">
        <v/>
      </c>
      <c r="I23608" s="4" t="str">
        <v/>
      </c>
    </row>
    <row r="23609" spans="5:9" ht="16.5" hidden="1">
      <c r="E23609" s="4" t="str">
        <v/>
      </c>
      <c r="F23609" s="102" t="str">
        <f ca="1">IFERROR(__xludf.DUMMYFUNCTION("IMPORTRANGE(H23609,""IDENTITAS UNIT!D9"")"),"#N/A")</f>
        <v>#N/A</v>
      </c>
      <c r="H23609" s="4" t="str">
        <v/>
      </c>
      <c r="I23609" s="4" t="str">
        <v/>
      </c>
    </row>
    <row r="23610" spans="5:9" ht="16.5" hidden="1">
      <c r="E23610" s="4" t="str">
        <v/>
      </c>
      <c r="F23610" s="102" t="str">
        <f ca="1">IFERROR(__xludf.DUMMYFUNCTION("IMPORTRANGE(H23610,""IDENTITAS UNIT!D9"")"),"#N/A")</f>
        <v>#N/A</v>
      </c>
      <c r="H23610" s="4" t="str">
        <v/>
      </c>
      <c r="I23610" s="4" t="str">
        <v/>
      </c>
    </row>
    <row r="23611" spans="5:9" ht="16.5" hidden="1">
      <c r="E23611" s="4" t="str">
        <v/>
      </c>
      <c r="F23611" s="102" t="str">
        <f ca="1">IFERROR(__xludf.DUMMYFUNCTION("IMPORTRANGE(H23611,""IDENTITAS UNIT!D9"")"),"#N/A")</f>
        <v>#N/A</v>
      </c>
      <c r="H23611" s="4" t="str">
        <v/>
      </c>
      <c r="I23611" s="4" t="str">
        <v/>
      </c>
    </row>
    <row r="23612" spans="5:9" ht="16.5" hidden="1">
      <c r="E23612" s="4" t="str">
        <v/>
      </c>
      <c r="F23612" s="102" t="str">
        <f ca="1">IFERROR(__xludf.DUMMYFUNCTION("IMPORTRANGE(H23612,""IDENTITAS UNIT!D9"")"),"#N/A")</f>
        <v>#N/A</v>
      </c>
      <c r="H23612" s="4" t="str">
        <v/>
      </c>
      <c r="I23612" s="4" t="str">
        <v/>
      </c>
    </row>
    <row r="23613" spans="5:9" ht="16.5" hidden="1">
      <c r="E23613" s="4" t="str">
        <v/>
      </c>
      <c r="F23613" s="102" t="str">
        <f ca="1">IFERROR(__xludf.DUMMYFUNCTION("IMPORTRANGE(H23613,""IDENTITAS UNIT!D9"")"),"#N/A")</f>
        <v>#N/A</v>
      </c>
      <c r="H23613" s="4" t="str">
        <v/>
      </c>
      <c r="I23613" s="4" t="str">
        <v/>
      </c>
    </row>
    <row r="23614" spans="5:9" ht="16.5" hidden="1">
      <c r="E23614" s="4" t="str">
        <v/>
      </c>
      <c r="F23614" s="102" t="str">
        <f ca="1">IFERROR(__xludf.DUMMYFUNCTION("IMPORTRANGE(H23614,""IDENTITAS UNIT!D9"")"),"#N/A")</f>
        <v>#N/A</v>
      </c>
      <c r="H23614" s="4" t="str">
        <v/>
      </c>
      <c r="I23614" s="4" t="str">
        <v/>
      </c>
    </row>
    <row r="23615" spans="5:9" ht="16.5" hidden="1">
      <c r="E23615" s="4" t="str">
        <v/>
      </c>
      <c r="F23615" s="102" t="str">
        <f ca="1">IFERROR(__xludf.DUMMYFUNCTION("IMPORTRANGE(H23615,""IDENTITAS UNIT!D9"")"),"#N/A")</f>
        <v>#N/A</v>
      </c>
      <c r="H23615" s="4" t="str">
        <v/>
      </c>
      <c r="I23615" s="4" t="str">
        <v/>
      </c>
    </row>
    <row r="23616" spans="5:9" ht="16.5" hidden="1">
      <c r="E23616" s="4" t="str">
        <v/>
      </c>
      <c r="F23616" s="102" t="str">
        <f ca="1">IFERROR(__xludf.DUMMYFUNCTION("IMPORTRANGE(H23616,""IDENTITAS UNIT!D9"")"),"#N/A")</f>
        <v>#N/A</v>
      </c>
      <c r="H23616" s="4" t="str">
        <v/>
      </c>
      <c r="I23616" s="4" t="str">
        <v/>
      </c>
    </row>
    <row r="23617" spans="5:9" ht="16.5" hidden="1">
      <c r="E23617" s="4" t="str">
        <v/>
      </c>
      <c r="F23617" s="102" t="str">
        <f ca="1">IFERROR(__xludf.DUMMYFUNCTION("IMPORTRANGE(H23617,""IDENTITAS UNIT!D9"")"),"#N/A")</f>
        <v>#N/A</v>
      </c>
      <c r="H23617" s="4" t="str">
        <v/>
      </c>
      <c r="I23617" s="4" t="str">
        <v/>
      </c>
    </row>
    <row r="23618" spans="5:9" ht="16.5" hidden="1">
      <c r="E23618" s="4" t="str">
        <v/>
      </c>
      <c r="F23618" s="102" t="str">
        <f ca="1">IFERROR(__xludf.DUMMYFUNCTION("IMPORTRANGE(H23618,""IDENTITAS UNIT!D9"")"),"#N/A")</f>
        <v>#N/A</v>
      </c>
      <c r="H23618" s="4" t="str">
        <v/>
      </c>
      <c r="I23618" s="4" t="str">
        <v/>
      </c>
    </row>
    <row r="23619" spans="5:9" ht="16.5" hidden="1">
      <c r="E23619" s="4" t="str">
        <v/>
      </c>
      <c r="F23619" s="102" t="str">
        <f ca="1">IFERROR(__xludf.DUMMYFUNCTION("IMPORTRANGE(H23619,""IDENTITAS UNIT!D9"")"),"#N/A")</f>
        <v>#N/A</v>
      </c>
      <c r="H23619" s="4" t="str">
        <v/>
      </c>
      <c r="I23619" s="4" t="str">
        <v/>
      </c>
    </row>
    <row r="23620" spans="5:9" ht="16.5" hidden="1">
      <c r="E23620" s="4" t="str">
        <v/>
      </c>
      <c r="F23620" s="102" t="str">
        <f ca="1">IFERROR(__xludf.DUMMYFUNCTION("IMPORTRANGE(H23620,""IDENTITAS UNIT!D9"")"),"#N/A")</f>
        <v>#N/A</v>
      </c>
      <c r="H23620" s="4" t="str">
        <v/>
      </c>
      <c r="I23620" s="4" t="str">
        <v/>
      </c>
    </row>
    <row r="23621" spans="5:9" ht="16.5" hidden="1">
      <c r="E23621" s="4" t="str">
        <v/>
      </c>
      <c r="F23621" s="102" t="str">
        <f ca="1">IFERROR(__xludf.DUMMYFUNCTION("IMPORTRANGE(H23621,""IDENTITAS UNIT!D9"")"),"#N/A")</f>
        <v>#N/A</v>
      </c>
      <c r="H23621" s="4" t="str">
        <v/>
      </c>
      <c r="I23621" s="4" t="str">
        <v/>
      </c>
    </row>
    <row r="23622" spans="5:9" ht="16.5" hidden="1">
      <c r="E23622" s="4" t="str">
        <v/>
      </c>
      <c r="F23622" s="102" t="str">
        <f ca="1">IFERROR(__xludf.DUMMYFUNCTION("IMPORTRANGE(H23622,""IDENTITAS UNIT!D9"")"),"#N/A")</f>
        <v>#N/A</v>
      </c>
      <c r="H23622" s="4" t="str">
        <v/>
      </c>
      <c r="I23622" s="4" t="str">
        <v/>
      </c>
    </row>
    <row r="23623" spans="5:9" ht="16.5" hidden="1">
      <c r="E23623" s="4" t="str">
        <v/>
      </c>
      <c r="F23623" s="102" t="str">
        <f ca="1">IFERROR(__xludf.DUMMYFUNCTION("IMPORTRANGE(H23623,""IDENTITAS UNIT!D9"")"),"#N/A")</f>
        <v>#N/A</v>
      </c>
      <c r="H23623" s="4" t="str">
        <v/>
      </c>
      <c r="I23623" s="4" t="str">
        <v/>
      </c>
    </row>
    <row r="23624" spans="5:9" ht="16.5" hidden="1">
      <c r="E23624" s="4" t="str">
        <v/>
      </c>
      <c r="F23624" s="102" t="str">
        <f ca="1">IFERROR(__xludf.DUMMYFUNCTION("IMPORTRANGE(H23624,""IDENTITAS UNIT!D9"")"),"#N/A")</f>
        <v>#N/A</v>
      </c>
      <c r="H23624" s="4" t="str">
        <v/>
      </c>
      <c r="I23624" s="4" t="str">
        <v/>
      </c>
    </row>
    <row r="23625" spans="5:9" ht="16.5" hidden="1">
      <c r="E23625" s="4" t="str">
        <v/>
      </c>
      <c r="F23625" s="102" t="str">
        <f ca="1">IFERROR(__xludf.DUMMYFUNCTION("IMPORTRANGE(H23625,""IDENTITAS UNIT!D9"")"),"#N/A")</f>
        <v>#N/A</v>
      </c>
      <c r="H23625" s="4" t="str">
        <v/>
      </c>
      <c r="I23625" s="4" t="str">
        <v/>
      </c>
    </row>
    <row r="23626" spans="5:9" ht="16.5" hidden="1">
      <c r="E23626" s="4" t="str">
        <v/>
      </c>
      <c r="F23626" s="102" t="str">
        <f ca="1">IFERROR(__xludf.DUMMYFUNCTION("IMPORTRANGE(H23626,""IDENTITAS UNIT!D9"")"),"#N/A")</f>
        <v>#N/A</v>
      </c>
      <c r="H23626" s="4" t="str">
        <v/>
      </c>
      <c r="I23626" s="4" t="str">
        <v/>
      </c>
    </row>
    <row r="23627" spans="5:9" ht="16.5" hidden="1">
      <c r="E23627" s="4" t="str">
        <v/>
      </c>
      <c r="F23627" s="102" t="str">
        <f ca="1">IFERROR(__xludf.DUMMYFUNCTION("IMPORTRANGE(H23627,""IDENTITAS UNIT!D9"")"),"#N/A")</f>
        <v>#N/A</v>
      </c>
      <c r="H23627" s="4" t="str">
        <v/>
      </c>
      <c r="I23627" s="4" t="str">
        <v/>
      </c>
    </row>
    <row r="23628" spans="5:9" ht="16.5" hidden="1">
      <c r="E23628" s="4" t="str">
        <v/>
      </c>
      <c r="F23628" s="102" t="str">
        <f ca="1">IFERROR(__xludf.DUMMYFUNCTION("IMPORTRANGE(H23628,""IDENTITAS UNIT!D9"")"),"#N/A")</f>
        <v>#N/A</v>
      </c>
      <c r="H23628" s="4" t="str">
        <v/>
      </c>
      <c r="I23628" s="4" t="str">
        <v/>
      </c>
    </row>
    <row r="23629" spans="5:9" ht="16.5" hidden="1">
      <c r="E23629" s="4" t="str">
        <v/>
      </c>
      <c r="F23629" s="102" t="str">
        <f ca="1">IFERROR(__xludf.DUMMYFUNCTION("IMPORTRANGE(H23629,""IDENTITAS UNIT!D9"")"),"#N/A")</f>
        <v>#N/A</v>
      </c>
      <c r="H23629" s="4" t="str">
        <v/>
      </c>
      <c r="I23629" s="4" t="str">
        <v/>
      </c>
    </row>
    <row r="23630" spans="5:9" ht="16.5" hidden="1">
      <c r="E23630" s="4" t="str">
        <v/>
      </c>
      <c r="F23630" s="102" t="str">
        <f ca="1">IFERROR(__xludf.DUMMYFUNCTION("IMPORTRANGE(H23630,""IDENTITAS UNIT!D9"")"),"#N/A")</f>
        <v>#N/A</v>
      </c>
      <c r="H23630" s="4" t="str">
        <v/>
      </c>
      <c r="I23630" s="4" t="str">
        <v/>
      </c>
    </row>
    <row r="23631" spans="5:9" ht="16.5" hidden="1">
      <c r="E23631" s="4" t="str">
        <v/>
      </c>
      <c r="F23631" s="102" t="str">
        <f ca="1">IFERROR(__xludf.DUMMYFUNCTION("IMPORTRANGE(H23631,""IDENTITAS UNIT!D9"")"),"#N/A")</f>
        <v>#N/A</v>
      </c>
      <c r="H23631" s="4" t="str">
        <v/>
      </c>
      <c r="I23631" s="4" t="str">
        <v/>
      </c>
    </row>
    <row r="23632" spans="5:9" ht="16.5" hidden="1">
      <c r="E23632" s="4" t="str">
        <v/>
      </c>
      <c r="F23632" s="102" t="str">
        <f ca="1">IFERROR(__xludf.DUMMYFUNCTION("IMPORTRANGE(H23632,""IDENTITAS UNIT!D9"")"),"#N/A")</f>
        <v>#N/A</v>
      </c>
      <c r="H23632" s="4" t="str">
        <v/>
      </c>
      <c r="I23632" s="4" t="str">
        <v/>
      </c>
    </row>
    <row r="23633" spans="5:9" ht="16.5" hidden="1">
      <c r="E23633" s="4" t="str">
        <v/>
      </c>
      <c r="F23633" s="102" t="str">
        <f ca="1">IFERROR(__xludf.DUMMYFUNCTION("IMPORTRANGE(H23633,""IDENTITAS UNIT!D9"")"),"#N/A")</f>
        <v>#N/A</v>
      </c>
      <c r="H23633" s="4" t="str">
        <v/>
      </c>
      <c r="I23633" s="4" t="str">
        <v/>
      </c>
    </row>
    <row r="23634" spans="5:9" ht="16.5" hidden="1">
      <c r="E23634" s="4" t="str">
        <v/>
      </c>
      <c r="F23634" s="102" t="str">
        <f ca="1">IFERROR(__xludf.DUMMYFUNCTION("IMPORTRANGE(H23634,""IDENTITAS UNIT!D9"")"),"#N/A")</f>
        <v>#N/A</v>
      </c>
      <c r="H23634" s="4" t="str">
        <v/>
      </c>
      <c r="I23634" s="4" t="str">
        <v/>
      </c>
    </row>
    <row r="23635" spans="5:9" ht="16.5" hidden="1">
      <c r="E23635" s="4" t="str">
        <v/>
      </c>
      <c r="F23635" s="102" t="str">
        <f ca="1">IFERROR(__xludf.DUMMYFUNCTION("IMPORTRANGE(H23635,""IDENTITAS UNIT!D9"")"),"#N/A")</f>
        <v>#N/A</v>
      </c>
      <c r="H23635" s="4" t="str">
        <v/>
      </c>
      <c r="I23635" s="4" t="str">
        <v/>
      </c>
    </row>
    <row r="23636" spans="5:9" ht="16.5" hidden="1">
      <c r="E23636" s="4" t="str">
        <v/>
      </c>
      <c r="F23636" s="102" t="str">
        <f ca="1">IFERROR(__xludf.DUMMYFUNCTION("IMPORTRANGE(H23636,""IDENTITAS UNIT!D9"")"),"#N/A")</f>
        <v>#N/A</v>
      </c>
      <c r="H23636" s="4" t="str">
        <v/>
      </c>
      <c r="I23636" s="4" t="str">
        <v/>
      </c>
    </row>
    <row r="23637" spans="5:9" ht="16.5" hidden="1">
      <c r="E23637" s="4" t="str">
        <v/>
      </c>
      <c r="F23637" s="102" t="str">
        <f ca="1">IFERROR(__xludf.DUMMYFUNCTION("IMPORTRANGE(H23637,""IDENTITAS UNIT!D9"")"),"#N/A")</f>
        <v>#N/A</v>
      </c>
      <c r="H23637" s="4" t="str">
        <v/>
      </c>
      <c r="I23637" s="4" t="str">
        <v/>
      </c>
    </row>
    <row r="23638" spans="5:9" ht="16.5" hidden="1">
      <c r="E23638" s="4" t="str">
        <v/>
      </c>
      <c r="F23638" s="102" t="str">
        <f ca="1">IFERROR(__xludf.DUMMYFUNCTION("IMPORTRANGE(H23638,""IDENTITAS UNIT!D9"")"),"#N/A")</f>
        <v>#N/A</v>
      </c>
      <c r="H23638" s="4" t="str">
        <v/>
      </c>
      <c r="I23638" s="4" t="str">
        <v/>
      </c>
    </row>
    <row r="23639" spans="5:9" ht="16.5" hidden="1">
      <c r="E23639" s="4" t="str">
        <v/>
      </c>
      <c r="F23639" s="102" t="str">
        <f ca="1">IFERROR(__xludf.DUMMYFUNCTION("IMPORTRANGE(H23639,""IDENTITAS UNIT!D9"")"),"#N/A")</f>
        <v>#N/A</v>
      </c>
      <c r="H23639" s="4" t="str">
        <v/>
      </c>
      <c r="I23639" s="4" t="str">
        <v/>
      </c>
    </row>
    <row r="23640" spans="5:9" ht="16.5" hidden="1">
      <c r="E23640" s="4" t="str">
        <v/>
      </c>
      <c r="F23640" s="102" t="str">
        <f ca="1">IFERROR(__xludf.DUMMYFUNCTION("IMPORTRANGE(H23640,""IDENTITAS UNIT!D9"")"),"#N/A")</f>
        <v>#N/A</v>
      </c>
      <c r="H23640" s="4" t="str">
        <v/>
      </c>
      <c r="I23640" s="4" t="str">
        <v/>
      </c>
    </row>
    <row r="23641" spans="5:9" ht="16.5" hidden="1">
      <c r="E23641" s="4" t="str">
        <v/>
      </c>
      <c r="F23641" s="102" t="str">
        <f ca="1">IFERROR(__xludf.DUMMYFUNCTION("IMPORTRANGE(H23641,""IDENTITAS UNIT!D9"")"),"#N/A")</f>
        <v>#N/A</v>
      </c>
      <c r="H23641" s="4" t="str">
        <v/>
      </c>
      <c r="I23641" s="4" t="str">
        <v/>
      </c>
    </row>
    <row r="23642" spans="5:9" ht="16.5" hidden="1">
      <c r="E23642" s="4" t="str">
        <v/>
      </c>
      <c r="F23642" s="102" t="str">
        <f ca="1">IFERROR(__xludf.DUMMYFUNCTION("IMPORTRANGE(H23642,""IDENTITAS UNIT!D9"")"),"#N/A")</f>
        <v>#N/A</v>
      </c>
      <c r="H23642" s="4" t="str">
        <v/>
      </c>
      <c r="I23642" s="4" t="str">
        <v/>
      </c>
    </row>
    <row r="23643" spans="5:9" ht="16.5" hidden="1">
      <c r="E23643" s="4" t="str">
        <v/>
      </c>
      <c r="F23643" s="102" t="str">
        <f ca="1">IFERROR(__xludf.DUMMYFUNCTION("IMPORTRANGE(H23643,""IDENTITAS UNIT!D9"")"),"#N/A")</f>
        <v>#N/A</v>
      </c>
      <c r="H23643" s="4" t="str">
        <v/>
      </c>
      <c r="I23643" s="4" t="str">
        <v/>
      </c>
    </row>
    <row r="23644" spans="5:9" ht="16.5" hidden="1">
      <c r="E23644" s="4" t="str">
        <v/>
      </c>
      <c r="F23644" s="102" t="str">
        <f ca="1">IFERROR(__xludf.DUMMYFUNCTION("IMPORTRANGE(H23644,""IDENTITAS UNIT!D9"")"),"#N/A")</f>
        <v>#N/A</v>
      </c>
      <c r="H23644" s="4" t="str">
        <v/>
      </c>
      <c r="I23644" s="4" t="str">
        <v/>
      </c>
    </row>
    <row r="23645" spans="5:9" ht="16.5" hidden="1">
      <c r="E23645" s="4" t="str">
        <v/>
      </c>
      <c r="F23645" s="102" t="str">
        <f ca="1">IFERROR(__xludf.DUMMYFUNCTION("IMPORTRANGE(H23645,""IDENTITAS UNIT!D9"")"),"#N/A")</f>
        <v>#N/A</v>
      </c>
      <c r="H23645" s="4" t="str">
        <v/>
      </c>
      <c r="I23645" s="4" t="str">
        <v/>
      </c>
    </row>
    <row r="23646" spans="5:9" ht="16.5" hidden="1">
      <c r="E23646" s="4" t="str">
        <v/>
      </c>
      <c r="F23646" s="102" t="str">
        <f ca="1">IFERROR(__xludf.DUMMYFUNCTION("IMPORTRANGE(H23646,""IDENTITAS UNIT!D9"")"),"#N/A")</f>
        <v>#N/A</v>
      </c>
      <c r="H23646" s="4" t="str">
        <v/>
      </c>
      <c r="I23646" s="4" t="str">
        <v/>
      </c>
    </row>
    <row r="23647" spans="5:9" ht="16.5" hidden="1">
      <c r="E23647" s="4" t="str">
        <v/>
      </c>
      <c r="F23647" s="102" t="str">
        <f ca="1">IFERROR(__xludf.DUMMYFUNCTION("IMPORTRANGE(H23647,""IDENTITAS UNIT!D9"")"),"#N/A")</f>
        <v>#N/A</v>
      </c>
      <c r="H23647" s="4" t="str">
        <v/>
      </c>
      <c r="I23647" s="4" t="str">
        <v/>
      </c>
    </row>
    <row r="23648" spans="5:9" ht="16.5" hidden="1">
      <c r="E23648" s="4" t="str">
        <v/>
      </c>
      <c r="F23648" s="102" t="str">
        <f ca="1">IFERROR(__xludf.DUMMYFUNCTION("IMPORTRANGE(H23648,""IDENTITAS UNIT!D9"")"),"#N/A")</f>
        <v>#N/A</v>
      </c>
      <c r="H23648" s="4" t="str">
        <v/>
      </c>
      <c r="I23648" s="4" t="str">
        <v/>
      </c>
    </row>
    <row r="23649" spans="5:9" ht="16.5" hidden="1">
      <c r="E23649" s="4" t="str">
        <v/>
      </c>
      <c r="F23649" s="102" t="str">
        <f ca="1">IFERROR(__xludf.DUMMYFUNCTION("IMPORTRANGE(H23649,""IDENTITAS UNIT!D9"")"),"#N/A")</f>
        <v>#N/A</v>
      </c>
      <c r="H23649" s="4" t="str">
        <v/>
      </c>
      <c r="I23649" s="4" t="str">
        <v/>
      </c>
    </row>
    <row r="23650" spans="5:9" ht="16.5" hidden="1">
      <c r="E23650" s="4" t="str">
        <v/>
      </c>
      <c r="F23650" s="102" t="str">
        <f ca="1">IFERROR(__xludf.DUMMYFUNCTION("IMPORTRANGE(H23650,""IDENTITAS UNIT!D9"")"),"#N/A")</f>
        <v>#N/A</v>
      </c>
      <c r="H23650" s="4" t="str">
        <v/>
      </c>
      <c r="I23650" s="4" t="str">
        <v/>
      </c>
    </row>
    <row r="23651" spans="5:9" ht="16.5" hidden="1">
      <c r="E23651" s="4" t="str">
        <v/>
      </c>
      <c r="F23651" s="102" t="str">
        <f ca="1">IFERROR(__xludf.DUMMYFUNCTION("IMPORTRANGE(H23651,""IDENTITAS UNIT!D9"")"),"#N/A")</f>
        <v>#N/A</v>
      </c>
      <c r="H23651" s="4" t="str">
        <v/>
      </c>
      <c r="I23651" s="4" t="str">
        <v/>
      </c>
    </row>
    <row r="23652" spans="5:9" ht="16.5" hidden="1">
      <c r="E23652" s="4" t="str">
        <v/>
      </c>
      <c r="F23652" s="102" t="str">
        <f ca="1">IFERROR(__xludf.DUMMYFUNCTION("IMPORTRANGE(H23652,""IDENTITAS UNIT!D9"")"),"#N/A")</f>
        <v>#N/A</v>
      </c>
      <c r="H23652" s="4" t="str">
        <v/>
      </c>
      <c r="I23652" s="4" t="str">
        <v/>
      </c>
    </row>
    <row r="23653" spans="5:9" ht="16.5" hidden="1">
      <c r="E23653" s="4" t="str">
        <v/>
      </c>
      <c r="F23653" s="102" t="str">
        <f ca="1">IFERROR(__xludf.DUMMYFUNCTION("IMPORTRANGE(H23653,""IDENTITAS UNIT!D9"")"),"#N/A")</f>
        <v>#N/A</v>
      </c>
      <c r="H23653" s="4" t="str">
        <v/>
      </c>
      <c r="I23653" s="4" t="str">
        <v/>
      </c>
    </row>
    <row r="23654" spans="5:9" ht="16.5" hidden="1">
      <c r="E23654" s="4" t="str">
        <v/>
      </c>
      <c r="F23654" s="102" t="str">
        <f ca="1">IFERROR(__xludf.DUMMYFUNCTION("IMPORTRANGE(H23654,""IDENTITAS UNIT!D9"")"),"#N/A")</f>
        <v>#N/A</v>
      </c>
      <c r="H23654" s="4" t="str">
        <v/>
      </c>
      <c r="I23654" s="4" t="str">
        <v/>
      </c>
    </row>
    <row r="23655" spans="5:9" ht="16.5" hidden="1">
      <c r="E23655" s="4" t="str">
        <v/>
      </c>
      <c r="F23655" s="102" t="str">
        <f ca="1">IFERROR(__xludf.DUMMYFUNCTION("IMPORTRANGE(H23655,""IDENTITAS UNIT!D9"")"),"#N/A")</f>
        <v>#N/A</v>
      </c>
      <c r="H23655" s="4" t="str">
        <v/>
      </c>
      <c r="I23655" s="4" t="str">
        <v/>
      </c>
    </row>
    <row r="23656" spans="5:9" ht="16.5" hidden="1">
      <c r="E23656" s="4" t="str">
        <v/>
      </c>
      <c r="F23656" s="102" t="str">
        <f ca="1">IFERROR(__xludf.DUMMYFUNCTION("IMPORTRANGE(H23656,""IDENTITAS UNIT!D9"")"),"#N/A")</f>
        <v>#N/A</v>
      </c>
      <c r="H23656" s="4" t="str">
        <v/>
      </c>
      <c r="I23656" s="4" t="str">
        <v/>
      </c>
    </row>
    <row r="23657" spans="5:9" ht="16.5" hidden="1">
      <c r="E23657" s="4" t="str">
        <v/>
      </c>
      <c r="F23657" s="102" t="str">
        <f ca="1">IFERROR(__xludf.DUMMYFUNCTION("IMPORTRANGE(H23657,""IDENTITAS UNIT!D9"")"),"#N/A")</f>
        <v>#N/A</v>
      </c>
      <c r="H23657" s="4" t="str">
        <v/>
      </c>
      <c r="I23657" s="4" t="str">
        <v/>
      </c>
    </row>
    <row r="23658" spans="5:9" ht="16.5" hidden="1">
      <c r="E23658" s="4" t="str">
        <v/>
      </c>
      <c r="F23658" s="102" t="str">
        <f ca="1">IFERROR(__xludf.DUMMYFUNCTION("IMPORTRANGE(H23658,""IDENTITAS UNIT!D9"")"),"#N/A")</f>
        <v>#N/A</v>
      </c>
      <c r="H23658" s="4" t="str">
        <v/>
      </c>
      <c r="I23658" s="4" t="str">
        <v/>
      </c>
    </row>
    <row r="23659" spans="5:9" ht="16.5" hidden="1">
      <c r="E23659" s="4" t="str">
        <v/>
      </c>
      <c r="F23659" s="102" t="str">
        <f ca="1">IFERROR(__xludf.DUMMYFUNCTION("IMPORTRANGE(H23659,""IDENTITAS UNIT!D9"")"),"#N/A")</f>
        <v>#N/A</v>
      </c>
      <c r="H23659" s="4" t="str">
        <v/>
      </c>
      <c r="I23659" s="4" t="str">
        <v/>
      </c>
    </row>
    <row r="23660" spans="5:9" ht="16.5" hidden="1">
      <c r="E23660" s="4" t="str">
        <v/>
      </c>
      <c r="F23660" s="102" t="str">
        <f ca="1">IFERROR(__xludf.DUMMYFUNCTION("IMPORTRANGE(H23660,""IDENTITAS UNIT!D9"")"),"#N/A")</f>
        <v>#N/A</v>
      </c>
      <c r="H23660" s="4" t="str">
        <v/>
      </c>
      <c r="I23660" s="4" t="str">
        <v/>
      </c>
    </row>
    <row r="23661" spans="5:9" ht="16.5" hidden="1">
      <c r="E23661" s="4" t="str">
        <v/>
      </c>
      <c r="F23661" s="102" t="str">
        <f ca="1">IFERROR(__xludf.DUMMYFUNCTION("IMPORTRANGE(H23661,""IDENTITAS UNIT!D9"")"),"#N/A")</f>
        <v>#N/A</v>
      </c>
      <c r="H23661" s="4" t="str">
        <v/>
      </c>
      <c r="I23661" s="4" t="str">
        <v/>
      </c>
    </row>
    <row r="23662" spans="5:9" ht="16.5" hidden="1">
      <c r="E23662" s="4" t="str">
        <v/>
      </c>
      <c r="F23662" s="102" t="str">
        <f ca="1">IFERROR(__xludf.DUMMYFUNCTION("IMPORTRANGE(H23662,""IDENTITAS UNIT!D9"")"),"#N/A")</f>
        <v>#N/A</v>
      </c>
      <c r="H23662" s="4" t="str">
        <v/>
      </c>
      <c r="I23662" s="4" t="str">
        <v/>
      </c>
    </row>
    <row r="23663" spans="5:9" ht="16.5" hidden="1">
      <c r="E23663" s="4" t="str">
        <v/>
      </c>
      <c r="F23663" s="102" t="str">
        <f ca="1">IFERROR(__xludf.DUMMYFUNCTION("IMPORTRANGE(H23663,""IDENTITAS UNIT!D9"")"),"#N/A")</f>
        <v>#N/A</v>
      </c>
      <c r="H23663" s="4" t="str">
        <v/>
      </c>
      <c r="I23663" s="4" t="str">
        <v/>
      </c>
    </row>
    <row r="23664" spans="5:9" ht="16.5" hidden="1">
      <c r="E23664" s="4" t="str">
        <v/>
      </c>
      <c r="F23664" s="102" t="str">
        <f ca="1">IFERROR(__xludf.DUMMYFUNCTION("IMPORTRANGE(H23664,""IDENTITAS UNIT!D9"")"),"#N/A")</f>
        <v>#N/A</v>
      </c>
      <c r="H23664" s="4" t="str">
        <v/>
      </c>
      <c r="I23664" s="4" t="str">
        <v/>
      </c>
    </row>
    <row r="23665" spans="5:9" ht="16.5" hidden="1">
      <c r="E23665" s="4" t="str">
        <v/>
      </c>
      <c r="F23665" s="102" t="str">
        <f ca="1">IFERROR(__xludf.DUMMYFUNCTION("IMPORTRANGE(H23665,""IDENTITAS UNIT!D9"")"),"#N/A")</f>
        <v>#N/A</v>
      </c>
      <c r="H23665" s="4" t="str">
        <v/>
      </c>
      <c r="I23665" s="4" t="str">
        <v/>
      </c>
    </row>
    <row r="23666" spans="5:9" ht="16.5" hidden="1">
      <c r="E23666" s="4" t="str">
        <v/>
      </c>
      <c r="F23666" s="102" t="str">
        <f ca="1">IFERROR(__xludf.DUMMYFUNCTION("IMPORTRANGE(H23666,""IDENTITAS UNIT!D9"")"),"#N/A")</f>
        <v>#N/A</v>
      </c>
      <c r="H23666" s="4" t="str">
        <v/>
      </c>
      <c r="I23666" s="4" t="str">
        <v/>
      </c>
    </row>
    <row r="23667" spans="5:9" ht="16.5" hidden="1">
      <c r="E23667" s="4" t="str">
        <v/>
      </c>
      <c r="F23667" s="102" t="str">
        <f ca="1">IFERROR(__xludf.DUMMYFUNCTION("IMPORTRANGE(H23667,""IDENTITAS UNIT!D9"")"),"#N/A")</f>
        <v>#N/A</v>
      </c>
      <c r="H23667" s="4" t="str">
        <v/>
      </c>
      <c r="I23667" s="4" t="str">
        <v/>
      </c>
    </row>
    <row r="23668" spans="5:9" ht="16.5" hidden="1">
      <c r="E23668" s="4" t="str">
        <v/>
      </c>
      <c r="F23668" s="102" t="str">
        <f ca="1">IFERROR(__xludf.DUMMYFUNCTION("IMPORTRANGE(H23668,""IDENTITAS UNIT!D9"")"),"#N/A")</f>
        <v>#N/A</v>
      </c>
      <c r="H23668" s="4" t="str">
        <v/>
      </c>
      <c r="I23668" s="4" t="str">
        <v/>
      </c>
    </row>
    <row r="23669" spans="5:9" ht="16.5" hidden="1">
      <c r="E23669" s="4" t="str">
        <v/>
      </c>
      <c r="F23669" s="102" t="str">
        <f ca="1">IFERROR(__xludf.DUMMYFUNCTION("IMPORTRANGE(H23669,""IDENTITAS UNIT!D9"")"),"#N/A")</f>
        <v>#N/A</v>
      </c>
      <c r="H23669" s="4" t="str">
        <v/>
      </c>
      <c r="I23669" s="4" t="str">
        <v/>
      </c>
    </row>
    <row r="23670" spans="5:9" ht="16.5" hidden="1">
      <c r="E23670" s="4" t="str">
        <v/>
      </c>
      <c r="F23670" s="102" t="str">
        <f ca="1">IFERROR(__xludf.DUMMYFUNCTION("IMPORTRANGE(H23670,""IDENTITAS UNIT!D9"")"),"#N/A")</f>
        <v>#N/A</v>
      </c>
      <c r="H23670" s="4" t="str">
        <v/>
      </c>
      <c r="I23670" s="4" t="str">
        <v/>
      </c>
    </row>
    <row r="23671" spans="5:9" ht="16.5" hidden="1">
      <c r="E23671" s="4" t="str">
        <v/>
      </c>
      <c r="F23671" s="102" t="str">
        <f ca="1">IFERROR(__xludf.DUMMYFUNCTION("IMPORTRANGE(H23671,""IDENTITAS UNIT!D9"")"),"#N/A")</f>
        <v>#N/A</v>
      </c>
      <c r="H23671" s="4" t="str">
        <v/>
      </c>
      <c r="I23671" s="4" t="str">
        <v/>
      </c>
    </row>
    <row r="23672" spans="5:9" ht="16.5" hidden="1">
      <c r="E23672" s="4" t="str">
        <v/>
      </c>
      <c r="F23672" s="102" t="str">
        <f ca="1">IFERROR(__xludf.DUMMYFUNCTION("IMPORTRANGE(H23672,""IDENTITAS UNIT!D9"")"),"#N/A")</f>
        <v>#N/A</v>
      </c>
      <c r="H23672" s="4" t="str">
        <v/>
      </c>
      <c r="I23672" s="4" t="str">
        <v/>
      </c>
    </row>
    <row r="23673" spans="5:9" ht="16.5" hidden="1">
      <c r="E23673" s="4" t="str">
        <v/>
      </c>
      <c r="F23673" s="102" t="str">
        <f ca="1">IFERROR(__xludf.DUMMYFUNCTION("IMPORTRANGE(H23673,""IDENTITAS UNIT!D9"")"),"#N/A")</f>
        <v>#N/A</v>
      </c>
      <c r="H23673" s="4" t="str">
        <v/>
      </c>
      <c r="I23673" s="4" t="str">
        <v/>
      </c>
    </row>
    <row r="23674" spans="5:9" ht="16.5" hidden="1">
      <c r="E23674" s="4" t="str">
        <v/>
      </c>
      <c r="F23674" s="102" t="str">
        <f ca="1">IFERROR(__xludf.DUMMYFUNCTION("IMPORTRANGE(H23674,""IDENTITAS UNIT!D9"")"),"#N/A")</f>
        <v>#N/A</v>
      </c>
      <c r="H23674" s="4" t="str">
        <v/>
      </c>
      <c r="I23674" s="4" t="str">
        <v/>
      </c>
    </row>
    <row r="23675" spans="5:9" ht="16.5" hidden="1">
      <c r="E23675" s="4" t="str">
        <v/>
      </c>
      <c r="F23675" s="102" t="str">
        <f ca="1">IFERROR(__xludf.DUMMYFUNCTION("IMPORTRANGE(H23675,""IDENTITAS UNIT!D9"")"),"#N/A")</f>
        <v>#N/A</v>
      </c>
      <c r="H23675" s="4" t="str">
        <v/>
      </c>
      <c r="I23675" s="4" t="str">
        <v/>
      </c>
    </row>
    <row r="23676" spans="5:9" ht="16.5" hidden="1">
      <c r="E23676" s="4" t="str">
        <v/>
      </c>
      <c r="F23676" s="102" t="str">
        <f ca="1">IFERROR(__xludf.DUMMYFUNCTION("IMPORTRANGE(H23676,""IDENTITAS UNIT!D9"")"),"#N/A")</f>
        <v>#N/A</v>
      </c>
      <c r="H23676" s="4" t="str">
        <v/>
      </c>
      <c r="I23676" s="4" t="str">
        <v/>
      </c>
    </row>
    <row r="23677" spans="5:9" ht="16.5" hidden="1">
      <c r="E23677" s="4" t="str">
        <v/>
      </c>
      <c r="F23677" s="102" t="str">
        <f ca="1">IFERROR(__xludf.DUMMYFUNCTION("IMPORTRANGE(H23677,""IDENTITAS UNIT!D9"")"),"#N/A")</f>
        <v>#N/A</v>
      </c>
      <c r="H23677" s="4" t="str">
        <v/>
      </c>
      <c r="I23677" s="4" t="str">
        <v/>
      </c>
    </row>
    <row r="23678" spans="5:9" ht="16.5" hidden="1">
      <c r="E23678" s="4" t="str">
        <v/>
      </c>
      <c r="F23678" s="102" t="str">
        <f ca="1">IFERROR(__xludf.DUMMYFUNCTION("IMPORTRANGE(H23678,""IDENTITAS UNIT!D9"")"),"#N/A")</f>
        <v>#N/A</v>
      </c>
      <c r="H23678" s="4" t="str">
        <v/>
      </c>
      <c r="I23678" s="4" t="str">
        <v/>
      </c>
    </row>
    <row r="23679" spans="5:9" ht="16.5" hidden="1">
      <c r="E23679" s="4" t="str">
        <v/>
      </c>
      <c r="F23679" s="102" t="str">
        <f ca="1">IFERROR(__xludf.DUMMYFUNCTION("IMPORTRANGE(H23679,""IDENTITAS UNIT!D9"")"),"#N/A")</f>
        <v>#N/A</v>
      </c>
      <c r="H23679" s="4" t="str">
        <v/>
      </c>
      <c r="I23679" s="4" t="str">
        <v/>
      </c>
    </row>
    <row r="23680" spans="5:9" ht="16.5" hidden="1">
      <c r="E23680" s="4" t="str">
        <v/>
      </c>
      <c r="F23680" s="102" t="str">
        <f ca="1">IFERROR(__xludf.DUMMYFUNCTION("IMPORTRANGE(H23680,""IDENTITAS UNIT!D9"")"),"#N/A")</f>
        <v>#N/A</v>
      </c>
      <c r="H23680" s="4" t="str">
        <v/>
      </c>
      <c r="I23680" s="4" t="str">
        <v/>
      </c>
    </row>
    <row r="23681" spans="5:9" ht="16.5" hidden="1">
      <c r="E23681" s="4" t="str">
        <v/>
      </c>
      <c r="F23681" s="102" t="str">
        <f ca="1">IFERROR(__xludf.DUMMYFUNCTION("IMPORTRANGE(H23681,""IDENTITAS UNIT!D9"")"),"#N/A")</f>
        <v>#N/A</v>
      </c>
      <c r="H23681" s="4" t="str">
        <v/>
      </c>
      <c r="I23681" s="4" t="str">
        <v/>
      </c>
    </row>
    <row r="23682" spans="5:9" ht="16.5" hidden="1">
      <c r="E23682" s="4" t="str">
        <v/>
      </c>
      <c r="F23682" s="102" t="str">
        <f ca="1">IFERROR(__xludf.DUMMYFUNCTION("IMPORTRANGE(H23682,""IDENTITAS UNIT!D9"")"),"#N/A")</f>
        <v>#N/A</v>
      </c>
      <c r="H23682" s="4" t="str">
        <v/>
      </c>
      <c r="I23682" s="4" t="str">
        <v/>
      </c>
    </row>
    <row r="23683" spans="5:9" ht="16.5" hidden="1">
      <c r="E23683" s="4" t="str">
        <v/>
      </c>
      <c r="F23683" s="102" t="str">
        <f ca="1">IFERROR(__xludf.DUMMYFUNCTION("IMPORTRANGE(H23683,""IDENTITAS UNIT!D9"")"),"#N/A")</f>
        <v>#N/A</v>
      </c>
      <c r="H23683" s="4" t="str">
        <v/>
      </c>
      <c r="I23683" s="4" t="str">
        <v/>
      </c>
    </row>
    <row r="23684" spans="5:9" ht="16.5" hidden="1">
      <c r="E23684" s="4" t="str">
        <v/>
      </c>
      <c r="F23684" s="102" t="str">
        <f ca="1">IFERROR(__xludf.DUMMYFUNCTION("IMPORTRANGE(H23684,""IDENTITAS UNIT!D9"")"),"#N/A")</f>
        <v>#N/A</v>
      </c>
      <c r="H23684" s="4" t="str">
        <v/>
      </c>
      <c r="I23684" s="4" t="str">
        <v/>
      </c>
    </row>
    <row r="23685" spans="5:9" ht="16.5" hidden="1">
      <c r="E23685" s="4" t="str">
        <v/>
      </c>
      <c r="F23685" s="102" t="str">
        <f ca="1">IFERROR(__xludf.DUMMYFUNCTION("IMPORTRANGE(H23685,""IDENTITAS UNIT!D9"")"),"#N/A")</f>
        <v>#N/A</v>
      </c>
      <c r="H23685" s="4" t="str">
        <v/>
      </c>
      <c r="I23685" s="4" t="str">
        <v/>
      </c>
    </row>
    <row r="23686" spans="5:9" ht="16.5" hidden="1">
      <c r="E23686" s="4" t="str">
        <v/>
      </c>
      <c r="F23686" s="102" t="str">
        <f ca="1">IFERROR(__xludf.DUMMYFUNCTION("IMPORTRANGE(H23686,""IDENTITAS UNIT!D9"")"),"#N/A")</f>
        <v>#N/A</v>
      </c>
      <c r="H23686" s="4" t="str">
        <v/>
      </c>
      <c r="I23686" s="4" t="str">
        <v/>
      </c>
    </row>
    <row r="23687" spans="5:9" ht="16.5" hidden="1">
      <c r="E23687" s="4" t="str">
        <v/>
      </c>
      <c r="F23687" s="102" t="str">
        <f ca="1">IFERROR(__xludf.DUMMYFUNCTION("IMPORTRANGE(H23687,""IDENTITAS UNIT!D9"")"),"#N/A")</f>
        <v>#N/A</v>
      </c>
      <c r="H23687" s="4" t="str">
        <v/>
      </c>
      <c r="I23687" s="4" t="str">
        <v/>
      </c>
    </row>
    <row r="23688" spans="5:9" ht="16.5" hidden="1">
      <c r="E23688" s="4" t="str">
        <v/>
      </c>
      <c r="F23688" s="102" t="str">
        <f ca="1">IFERROR(__xludf.DUMMYFUNCTION("IMPORTRANGE(H23688,""IDENTITAS UNIT!D9"")"),"#N/A")</f>
        <v>#N/A</v>
      </c>
      <c r="H23688" s="4" t="str">
        <v/>
      </c>
      <c r="I23688" s="4" t="str">
        <v/>
      </c>
    </row>
    <row r="23689" spans="5:9" ht="16.5" hidden="1">
      <c r="E23689" s="4" t="str">
        <v/>
      </c>
      <c r="F23689" s="102" t="str">
        <f ca="1">IFERROR(__xludf.DUMMYFUNCTION("IMPORTRANGE(H23689,""IDENTITAS UNIT!D9"")"),"#N/A")</f>
        <v>#N/A</v>
      </c>
      <c r="H23689" s="4" t="str">
        <v/>
      </c>
      <c r="I23689" s="4" t="str">
        <v/>
      </c>
    </row>
    <row r="23690" spans="5:9" ht="16.5" hidden="1">
      <c r="E23690" s="4" t="str">
        <v/>
      </c>
      <c r="F23690" s="102" t="str">
        <f ca="1">IFERROR(__xludf.DUMMYFUNCTION("IMPORTRANGE(H23690,""IDENTITAS UNIT!D9"")"),"#N/A")</f>
        <v>#N/A</v>
      </c>
      <c r="H23690" s="4" t="str">
        <v/>
      </c>
      <c r="I23690" s="4" t="str">
        <v/>
      </c>
    </row>
    <row r="23691" spans="5:9" ht="16.5" hidden="1">
      <c r="E23691" s="4" t="str">
        <v/>
      </c>
      <c r="F23691" s="102" t="str">
        <f ca="1">IFERROR(__xludf.DUMMYFUNCTION("IMPORTRANGE(H23691,""IDENTITAS UNIT!D9"")"),"#N/A")</f>
        <v>#N/A</v>
      </c>
      <c r="H23691" s="4" t="str">
        <v/>
      </c>
      <c r="I23691" s="4" t="str">
        <v/>
      </c>
    </row>
    <row r="23692" spans="5:9" ht="16.5" hidden="1">
      <c r="E23692" s="4" t="str">
        <v/>
      </c>
      <c r="F23692" s="102" t="str">
        <f ca="1">IFERROR(__xludf.DUMMYFUNCTION("IMPORTRANGE(H23692,""IDENTITAS UNIT!D9"")"),"#N/A")</f>
        <v>#N/A</v>
      </c>
      <c r="H23692" s="4" t="str">
        <v/>
      </c>
      <c r="I23692" s="4" t="str">
        <v/>
      </c>
    </row>
    <row r="23693" spans="5:9" ht="16.5" hidden="1">
      <c r="E23693" s="4" t="str">
        <v/>
      </c>
      <c r="F23693" s="102" t="str">
        <f ca="1">IFERROR(__xludf.DUMMYFUNCTION("IMPORTRANGE(H23693,""IDENTITAS UNIT!D9"")"),"#N/A")</f>
        <v>#N/A</v>
      </c>
      <c r="H23693" s="4" t="str">
        <v/>
      </c>
      <c r="I23693" s="4" t="str">
        <v/>
      </c>
    </row>
    <row r="23694" spans="5:9" ht="16.5" hidden="1">
      <c r="E23694" s="4" t="str">
        <v/>
      </c>
      <c r="F23694" s="102" t="str">
        <f ca="1">IFERROR(__xludf.DUMMYFUNCTION("IMPORTRANGE(H23694,""IDENTITAS UNIT!D9"")"),"#N/A")</f>
        <v>#N/A</v>
      </c>
      <c r="H23694" s="4" t="str">
        <v/>
      </c>
      <c r="I23694" s="4" t="str">
        <v/>
      </c>
    </row>
    <row r="23695" spans="5:9" ht="16.5" hidden="1">
      <c r="E23695" s="4" t="str">
        <v/>
      </c>
      <c r="F23695" s="102" t="str">
        <f ca="1">IFERROR(__xludf.DUMMYFUNCTION("IMPORTRANGE(H23695,""IDENTITAS UNIT!D9"")"),"#N/A")</f>
        <v>#N/A</v>
      </c>
      <c r="H23695" s="4" t="str">
        <v/>
      </c>
      <c r="I23695" s="4" t="str">
        <v/>
      </c>
    </row>
    <row r="23696" spans="5:9" ht="16.5" hidden="1">
      <c r="E23696" s="4" t="str">
        <v/>
      </c>
      <c r="F23696" s="102" t="str">
        <f ca="1">IFERROR(__xludf.DUMMYFUNCTION("IMPORTRANGE(H23696,""IDENTITAS UNIT!D9"")"),"#N/A")</f>
        <v>#N/A</v>
      </c>
      <c r="H23696" s="4" t="str">
        <v/>
      </c>
      <c r="I23696" s="4" t="str">
        <v/>
      </c>
    </row>
    <row r="23697" spans="5:9" ht="16.5" hidden="1">
      <c r="E23697" s="4" t="str">
        <v/>
      </c>
      <c r="F23697" s="102" t="str">
        <f ca="1">IFERROR(__xludf.DUMMYFUNCTION("IMPORTRANGE(H23697,""IDENTITAS UNIT!D9"")"),"#N/A")</f>
        <v>#N/A</v>
      </c>
      <c r="H23697" s="4" t="str">
        <v/>
      </c>
      <c r="I23697" s="4" t="str">
        <v/>
      </c>
    </row>
    <row r="23698" spans="5:9" ht="16.5" hidden="1">
      <c r="E23698" s="4" t="str">
        <v/>
      </c>
      <c r="F23698" s="102" t="str">
        <f ca="1">IFERROR(__xludf.DUMMYFUNCTION("IMPORTRANGE(H23698,""IDENTITAS UNIT!D9"")"),"#N/A")</f>
        <v>#N/A</v>
      </c>
      <c r="H23698" s="4" t="str">
        <v/>
      </c>
      <c r="I23698" s="4" t="str">
        <v/>
      </c>
    </row>
    <row r="23699" spans="5:9" ht="16.5" hidden="1">
      <c r="E23699" s="4" t="str">
        <v/>
      </c>
      <c r="F23699" s="102" t="str">
        <f ca="1">IFERROR(__xludf.DUMMYFUNCTION("IMPORTRANGE(H23699,""IDENTITAS UNIT!D9"")"),"#N/A")</f>
        <v>#N/A</v>
      </c>
      <c r="H23699" s="4" t="str">
        <v/>
      </c>
      <c r="I23699" s="4" t="str">
        <v/>
      </c>
    </row>
    <row r="23700" spans="5:9" ht="16.5" hidden="1">
      <c r="E23700" s="4" t="str">
        <v/>
      </c>
      <c r="F23700" s="102" t="str">
        <f ca="1">IFERROR(__xludf.DUMMYFUNCTION("IMPORTRANGE(H23700,""IDENTITAS UNIT!D9"")"),"#N/A")</f>
        <v>#N/A</v>
      </c>
      <c r="H23700" s="4" t="str">
        <v/>
      </c>
      <c r="I23700" s="4" t="str">
        <v/>
      </c>
    </row>
    <row r="23701" spans="5:9" ht="16.5" hidden="1">
      <c r="E23701" s="4" t="str">
        <v/>
      </c>
      <c r="F23701" s="102" t="str">
        <f ca="1">IFERROR(__xludf.DUMMYFUNCTION("IMPORTRANGE(H23701,""IDENTITAS UNIT!D9"")"),"#N/A")</f>
        <v>#N/A</v>
      </c>
      <c r="H23701" s="4" t="str">
        <v/>
      </c>
      <c r="I23701" s="4" t="str">
        <v/>
      </c>
    </row>
    <row r="23702" spans="5:9" ht="16.5" hidden="1">
      <c r="E23702" s="4" t="str">
        <v/>
      </c>
      <c r="F23702" s="102" t="str">
        <f ca="1">IFERROR(__xludf.DUMMYFUNCTION("IMPORTRANGE(H23702,""IDENTITAS UNIT!D9"")"),"#N/A")</f>
        <v>#N/A</v>
      </c>
      <c r="H23702" s="4" t="str">
        <v/>
      </c>
      <c r="I23702" s="4" t="str">
        <v/>
      </c>
    </row>
    <row r="23703" spans="5:9" ht="16.5" hidden="1">
      <c r="E23703" s="4" t="str">
        <v/>
      </c>
      <c r="F23703" s="102" t="str">
        <f ca="1">IFERROR(__xludf.DUMMYFUNCTION("IMPORTRANGE(H23703,""IDENTITAS UNIT!D9"")"),"#N/A")</f>
        <v>#N/A</v>
      </c>
      <c r="H23703" s="4" t="str">
        <v/>
      </c>
      <c r="I23703" s="4" t="str">
        <v/>
      </c>
    </row>
    <row r="23704" spans="5:9" ht="16.5" hidden="1">
      <c r="E23704" s="4" t="str">
        <v/>
      </c>
      <c r="F23704" s="102" t="str">
        <f ca="1">IFERROR(__xludf.DUMMYFUNCTION("IMPORTRANGE(H23704,""IDENTITAS UNIT!D9"")"),"#N/A")</f>
        <v>#N/A</v>
      </c>
      <c r="H23704" s="4" t="str">
        <v/>
      </c>
      <c r="I23704" s="4" t="str">
        <v/>
      </c>
    </row>
    <row r="23705" spans="5:9" ht="16.5" hidden="1">
      <c r="E23705" s="4" t="str">
        <v/>
      </c>
      <c r="F23705" s="102" t="str">
        <f ca="1">IFERROR(__xludf.DUMMYFUNCTION("IMPORTRANGE(H23705,""IDENTITAS UNIT!D9"")"),"#N/A")</f>
        <v>#N/A</v>
      </c>
      <c r="H23705" s="4" t="str">
        <v/>
      </c>
      <c r="I23705" s="4" t="str">
        <v/>
      </c>
    </row>
    <row r="23706" spans="5:9" ht="16.5" hidden="1">
      <c r="E23706" s="4" t="str">
        <v/>
      </c>
      <c r="F23706" s="102" t="str">
        <f ca="1">IFERROR(__xludf.DUMMYFUNCTION("IMPORTRANGE(H23706,""IDENTITAS UNIT!D9"")"),"#N/A")</f>
        <v>#N/A</v>
      </c>
      <c r="H23706" s="4" t="str">
        <v/>
      </c>
      <c r="I23706" s="4" t="str">
        <v/>
      </c>
    </row>
    <row r="23707" spans="5:9" ht="16.5" hidden="1">
      <c r="E23707" s="4" t="str">
        <v/>
      </c>
      <c r="F23707" s="102" t="str">
        <f ca="1">IFERROR(__xludf.DUMMYFUNCTION("IMPORTRANGE(H23707,""IDENTITAS UNIT!D9"")"),"#N/A")</f>
        <v>#N/A</v>
      </c>
      <c r="H23707" s="4" t="str">
        <v/>
      </c>
      <c r="I23707" s="4" t="str">
        <v/>
      </c>
    </row>
    <row r="23708" spans="5:9" ht="16.5" hidden="1">
      <c r="E23708" s="4" t="str">
        <v/>
      </c>
      <c r="F23708" s="102" t="str">
        <f ca="1">IFERROR(__xludf.DUMMYFUNCTION("IMPORTRANGE(H23708,""IDENTITAS UNIT!D9"")"),"#N/A")</f>
        <v>#N/A</v>
      </c>
      <c r="H23708" s="4" t="str">
        <v/>
      </c>
      <c r="I23708" s="4" t="str">
        <v/>
      </c>
    </row>
    <row r="23709" spans="5:9" ht="16.5" hidden="1">
      <c r="E23709" s="4" t="str">
        <v/>
      </c>
      <c r="F23709" s="102" t="str">
        <f ca="1">IFERROR(__xludf.DUMMYFUNCTION("IMPORTRANGE(H23709,""IDENTITAS UNIT!D9"")"),"#N/A")</f>
        <v>#N/A</v>
      </c>
      <c r="H23709" s="4" t="str">
        <v/>
      </c>
      <c r="I23709" s="4" t="str">
        <v/>
      </c>
    </row>
    <row r="23710" spans="5:9" ht="16.5" hidden="1">
      <c r="E23710" s="4" t="str">
        <v/>
      </c>
      <c r="F23710" s="102" t="str">
        <f ca="1">IFERROR(__xludf.DUMMYFUNCTION("IMPORTRANGE(H23710,""IDENTITAS UNIT!D9"")"),"#N/A")</f>
        <v>#N/A</v>
      </c>
      <c r="H23710" s="4" t="str">
        <v/>
      </c>
      <c r="I23710" s="4" t="str">
        <v/>
      </c>
    </row>
    <row r="23711" spans="5:9" ht="16.5" hidden="1">
      <c r="E23711" s="4" t="str">
        <v/>
      </c>
      <c r="F23711" s="102" t="str">
        <f ca="1">IFERROR(__xludf.DUMMYFUNCTION("IMPORTRANGE(H23711,""IDENTITAS UNIT!D9"")"),"#N/A")</f>
        <v>#N/A</v>
      </c>
      <c r="H23711" s="4" t="str">
        <v/>
      </c>
      <c r="I23711" s="4" t="str">
        <v/>
      </c>
    </row>
    <row r="23712" spans="5:9" ht="16.5" hidden="1">
      <c r="E23712" s="4" t="str">
        <v/>
      </c>
      <c r="F23712" s="102" t="str">
        <f ca="1">IFERROR(__xludf.DUMMYFUNCTION("IMPORTRANGE(H23712,""IDENTITAS UNIT!D9"")"),"#N/A")</f>
        <v>#N/A</v>
      </c>
      <c r="H23712" s="4" t="str">
        <v/>
      </c>
      <c r="I23712" s="4" t="str">
        <v/>
      </c>
    </row>
    <row r="23713" spans="5:9" ht="16.5" hidden="1">
      <c r="E23713" s="4" t="str">
        <v/>
      </c>
      <c r="F23713" s="102" t="str">
        <f ca="1">IFERROR(__xludf.DUMMYFUNCTION("IMPORTRANGE(H23713,""IDENTITAS UNIT!D9"")"),"#N/A")</f>
        <v>#N/A</v>
      </c>
      <c r="H23713" s="4" t="str">
        <v/>
      </c>
      <c r="I23713" s="4" t="str">
        <v/>
      </c>
    </row>
    <row r="23714" spans="5:9" ht="16.5" hidden="1">
      <c r="E23714" s="4" t="str">
        <v/>
      </c>
      <c r="F23714" s="102" t="str">
        <f ca="1">IFERROR(__xludf.DUMMYFUNCTION("IMPORTRANGE(H23714,""IDENTITAS UNIT!D9"")"),"#N/A")</f>
        <v>#N/A</v>
      </c>
      <c r="H23714" s="4" t="str">
        <v/>
      </c>
      <c r="I23714" s="4" t="str">
        <v/>
      </c>
    </row>
    <row r="23715" spans="5:9" ht="16.5" hidden="1">
      <c r="E23715" s="4" t="str">
        <v/>
      </c>
      <c r="F23715" s="102" t="str">
        <f ca="1">IFERROR(__xludf.DUMMYFUNCTION("IMPORTRANGE(H23715,""IDENTITAS UNIT!D9"")"),"#N/A")</f>
        <v>#N/A</v>
      </c>
      <c r="H23715" s="4" t="str">
        <v/>
      </c>
      <c r="I23715" s="4" t="str">
        <v/>
      </c>
    </row>
    <row r="23716" spans="5:9" ht="16.5" hidden="1">
      <c r="E23716" s="4" t="str">
        <v/>
      </c>
      <c r="F23716" s="102" t="str">
        <f ca="1">IFERROR(__xludf.DUMMYFUNCTION("IMPORTRANGE(H23716,""IDENTITAS UNIT!D9"")"),"#N/A")</f>
        <v>#N/A</v>
      </c>
      <c r="H23716" s="4" t="str">
        <v/>
      </c>
      <c r="I23716" s="4" t="str">
        <v/>
      </c>
    </row>
    <row r="23717" spans="5:9" ht="16.5" hidden="1">
      <c r="E23717" s="4" t="str">
        <v/>
      </c>
      <c r="F23717" s="102" t="str">
        <f ca="1">IFERROR(__xludf.DUMMYFUNCTION("IMPORTRANGE(H23717,""IDENTITAS UNIT!D9"")"),"#N/A")</f>
        <v>#N/A</v>
      </c>
      <c r="H23717" s="4" t="str">
        <v/>
      </c>
      <c r="I23717" s="4" t="str">
        <v/>
      </c>
    </row>
    <row r="23718" spans="5:9" ht="16.5" hidden="1">
      <c r="E23718" s="4" t="str">
        <v/>
      </c>
      <c r="F23718" s="102" t="str">
        <f ca="1">IFERROR(__xludf.DUMMYFUNCTION("IMPORTRANGE(H23718,""IDENTITAS UNIT!D9"")"),"#N/A")</f>
        <v>#N/A</v>
      </c>
      <c r="H23718" s="4" t="str">
        <v/>
      </c>
      <c r="I23718" s="4" t="str">
        <v/>
      </c>
    </row>
    <row r="23719" spans="5:9" ht="16.5" hidden="1">
      <c r="E23719" s="4" t="str">
        <v/>
      </c>
      <c r="F23719" s="102" t="str">
        <f ca="1">IFERROR(__xludf.DUMMYFUNCTION("IMPORTRANGE(H23719,""IDENTITAS UNIT!D9"")"),"#N/A")</f>
        <v>#N/A</v>
      </c>
      <c r="H23719" s="4" t="str">
        <v/>
      </c>
      <c r="I23719" s="4" t="str">
        <v/>
      </c>
    </row>
    <row r="23720" spans="5:9" ht="16.5" hidden="1">
      <c r="E23720" s="4" t="str">
        <v/>
      </c>
      <c r="F23720" s="102" t="str">
        <f ca="1">IFERROR(__xludf.DUMMYFUNCTION("IMPORTRANGE(H23720,""IDENTITAS UNIT!D9"")"),"#N/A")</f>
        <v>#N/A</v>
      </c>
      <c r="H23720" s="4" t="str">
        <v/>
      </c>
      <c r="I23720" s="4" t="str">
        <v/>
      </c>
    </row>
    <row r="23721" spans="5:9" ht="16.5" hidden="1">
      <c r="E23721" s="4" t="str">
        <v/>
      </c>
      <c r="F23721" s="102" t="str">
        <f ca="1">IFERROR(__xludf.DUMMYFUNCTION("IMPORTRANGE(H23721,""IDENTITAS UNIT!D9"")"),"#N/A")</f>
        <v>#N/A</v>
      </c>
      <c r="H23721" s="4" t="str">
        <v/>
      </c>
      <c r="I23721" s="4" t="str">
        <v/>
      </c>
    </row>
    <row r="23722" spans="5:9" ht="16.5" hidden="1">
      <c r="E23722" s="4" t="str">
        <v/>
      </c>
      <c r="F23722" s="102" t="str">
        <f ca="1">IFERROR(__xludf.DUMMYFUNCTION("IMPORTRANGE(H23722,""IDENTITAS UNIT!D9"")"),"#N/A")</f>
        <v>#N/A</v>
      </c>
      <c r="H23722" s="4" t="str">
        <v/>
      </c>
      <c r="I23722" s="4" t="str">
        <v/>
      </c>
    </row>
    <row r="23723" spans="5:9" ht="16.5" hidden="1">
      <c r="E23723" s="4" t="str">
        <v/>
      </c>
      <c r="F23723" s="102" t="str">
        <f ca="1">IFERROR(__xludf.DUMMYFUNCTION("IMPORTRANGE(H23723,""IDENTITAS UNIT!D9"")"),"#N/A")</f>
        <v>#N/A</v>
      </c>
      <c r="H23723" s="4" t="str">
        <v/>
      </c>
      <c r="I23723" s="4" t="str">
        <v/>
      </c>
    </row>
    <row r="23724" spans="5:9" ht="16.5" hidden="1">
      <c r="E23724" s="4" t="str">
        <v/>
      </c>
      <c r="F23724" s="102" t="str">
        <f ca="1">IFERROR(__xludf.DUMMYFUNCTION("IMPORTRANGE(H23724,""IDENTITAS UNIT!D9"")"),"#N/A")</f>
        <v>#N/A</v>
      </c>
      <c r="H23724" s="4" t="str">
        <v/>
      </c>
      <c r="I23724" s="4" t="str">
        <v/>
      </c>
    </row>
    <row r="23725" spans="5:9" ht="16.5" hidden="1">
      <c r="E23725" s="4" t="str">
        <v/>
      </c>
      <c r="F23725" s="102" t="str">
        <f ca="1">IFERROR(__xludf.DUMMYFUNCTION("IMPORTRANGE(H23725,""IDENTITAS UNIT!D9"")"),"#N/A")</f>
        <v>#N/A</v>
      </c>
      <c r="H23725" s="4" t="str">
        <v/>
      </c>
      <c r="I23725" s="4" t="str">
        <v/>
      </c>
    </row>
    <row r="23726" spans="5:9" ht="16.5" hidden="1">
      <c r="E23726" s="4" t="str">
        <v/>
      </c>
      <c r="F23726" s="102" t="str">
        <f ca="1">IFERROR(__xludf.DUMMYFUNCTION("IMPORTRANGE(H23726,""IDENTITAS UNIT!D9"")"),"#N/A")</f>
        <v>#N/A</v>
      </c>
      <c r="H23726" s="4" t="str">
        <v/>
      </c>
      <c r="I23726" s="4" t="str">
        <v/>
      </c>
    </row>
    <row r="23727" spans="5:9" ht="16.5" hidden="1">
      <c r="E23727" s="4" t="str">
        <v/>
      </c>
      <c r="F23727" s="102" t="str">
        <f ca="1">IFERROR(__xludf.DUMMYFUNCTION("IMPORTRANGE(H23727,""IDENTITAS UNIT!D9"")"),"#N/A")</f>
        <v>#N/A</v>
      </c>
      <c r="H23727" s="4" t="str">
        <v/>
      </c>
      <c r="I23727" s="4" t="str">
        <v/>
      </c>
    </row>
    <row r="23728" spans="5:9" ht="16.5" hidden="1">
      <c r="E23728" s="4" t="str">
        <v/>
      </c>
      <c r="F23728" s="102" t="str">
        <f ca="1">IFERROR(__xludf.DUMMYFUNCTION("IMPORTRANGE(H23728,""IDENTITAS UNIT!D9"")"),"#N/A")</f>
        <v>#N/A</v>
      </c>
      <c r="H23728" s="4" t="str">
        <v/>
      </c>
      <c r="I23728" s="4" t="str">
        <v/>
      </c>
    </row>
    <row r="23729" spans="5:9" ht="16.5" hidden="1">
      <c r="E23729" s="4" t="str">
        <v/>
      </c>
      <c r="F23729" s="102" t="str">
        <f ca="1">IFERROR(__xludf.DUMMYFUNCTION("IMPORTRANGE(H23729,""IDENTITAS UNIT!D9"")"),"#N/A")</f>
        <v>#N/A</v>
      </c>
      <c r="H23729" s="4" t="str">
        <v/>
      </c>
      <c r="I23729" s="4" t="str">
        <v/>
      </c>
    </row>
    <row r="23730" spans="5:9" ht="16.5" hidden="1">
      <c r="E23730" s="4" t="str">
        <v/>
      </c>
      <c r="F23730" s="102" t="str">
        <f ca="1">IFERROR(__xludf.DUMMYFUNCTION("IMPORTRANGE(H23730,""IDENTITAS UNIT!D9"")"),"#N/A")</f>
        <v>#N/A</v>
      </c>
      <c r="H23730" s="4" t="str">
        <v/>
      </c>
      <c r="I23730" s="4" t="str">
        <v/>
      </c>
    </row>
    <row r="23731" spans="5:9" ht="16.5" hidden="1">
      <c r="E23731" s="4" t="str">
        <v/>
      </c>
      <c r="F23731" s="102" t="str">
        <f ca="1">IFERROR(__xludf.DUMMYFUNCTION("IMPORTRANGE(H23731,""IDENTITAS UNIT!D9"")"),"#N/A")</f>
        <v>#N/A</v>
      </c>
      <c r="H23731" s="4" t="str">
        <v/>
      </c>
      <c r="I23731" s="4" t="str">
        <v/>
      </c>
    </row>
    <row r="23732" spans="5:9" ht="16.5" hidden="1">
      <c r="E23732" s="4" t="str">
        <v/>
      </c>
      <c r="F23732" s="102" t="str">
        <f ca="1">IFERROR(__xludf.DUMMYFUNCTION("IMPORTRANGE(H23732,""IDENTITAS UNIT!D9"")"),"#N/A")</f>
        <v>#N/A</v>
      </c>
      <c r="H23732" s="4" t="str">
        <v/>
      </c>
      <c r="I23732" s="4" t="str">
        <v/>
      </c>
    </row>
    <row r="23733" spans="5:9" ht="16.5" hidden="1">
      <c r="E23733" s="4" t="str">
        <v/>
      </c>
      <c r="F23733" s="102" t="str">
        <f ca="1">IFERROR(__xludf.DUMMYFUNCTION("IMPORTRANGE(H23733,""IDENTITAS UNIT!D9"")"),"#N/A")</f>
        <v>#N/A</v>
      </c>
      <c r="H23733" s="4" t="str">
        <v/>
      </c>
      <c r="I23733" s="4" t="str">
        <v/>
      </c>
    </row>
    <row r="23734" spans="5:9" ht="16.5" hidden="1">
      <c r="E23734" s="4" t="str">
        <v/>
      </c>
      <c r="F23734" s="102" t="str">
        <f ca="1">IFERROR(__xludf.DUMMYFUNCTION("IMPORTRANGE(H23734,""IDENTITAS UNIT!D9"")"),"#N/A")</f>
        <v>#N/A</v>
      </c>
      <c r="H23734" s="4" t="str">
        <v/>
      </c>
      <c r="I23734" s="4" t="str">
        <v/>
      </c>
    </row>
    <row r="23735" spans="5:9" ht="16.5" hidden="1">
      <c r="E23735" s="4" t="str">
        <v/>
      </c>
      <c r="F23735" s="102" t="str">
        <f ca="1">IFERROR(__xludf.DUMMYFUNCTION("IMPORTRANGE(H23735,""IDENTITAS UNIT!D9"")"),"#N/A")</f>
        <v>#N/A</v>
      </c>
      <c r="H23735" s="4" t="str">
        <v/>
      </c>
      <c r="I23735" s="4" t="str">
        <v/>
      </c>
    </row>
    <row r="23736" spans="5:9" ht="16.5" hidden="1">
      <c r="E23736" s="4" t="str">
        <v/>
      </c>
      <c r="F23736" s="102" t="str">
        <f ca="1">IFERROR(__xludf.DUMMYFUNCTION("IMPORTRANGE(H23736,""IDENTITAS UNIT!D9"")"),"#N/A")</f>
        <v>#N/A</v>
      </c>
      <c r="H23736" s="4" t="str">
        <v/>
      </c>
      <c r="I23736" s="4" t="str">
        <v/>
      </c>
    </row>
    <row r="23737" spans="5:9" ht="16.5" hidden="1">
      <c r="E23737" s="4" t="str">
        <v/>
      </c>
      <c r="F23737" s="102" t="str">
        <f ca="1">IFERROR(__xludf.DUMMYFUNCTION("IMPORTRANGE(H23737,""IDENTITAS UNIT!D9"")"),"#N/A")</f>
        <v>#N/A</v>
      </c>
      <c r="H23737" s="4" t="str">
        <v/>
      </c>
      <c r="I23737" s="4" t="str">
        <v/>
      </c>
    </row>
    <row r="23738" spans="5:9" ht="16.5" hidden="1">
      <c r="E23738" s="4" t="str">
        <v/>
      </c>
      <c r="F23738" s="102" t="str">
        <f ca="1">IFERROR(__xludf.DUMMYFUNCTION("IMPORTRANGE(H23738,""IDENTITAS UNIT!D9"")"),"#N/A")</f>
        <v>#N/A</v>
      </c>
      <c r="H23738" s="4" t="str">
        <v/>
      </c>
      <c r="I23738" s="4" t="str">
        <v/>
      </c>
    </row>
    <row r="23739" spans="5:9" ht="16.5" hidden="1">
      <c r="E23739" s="4" t="str">
        <v/>
      </c>
      <c r="F23739" s="102" t="str">
        <f ca="1">IFERROR(__xludf.DUMMYFUNCTION("IMPORTRANGE(H23739,""IDENTITAS UNIT!D9"")"),"#N/A")</f>
        <v>#N/A</v>
      </c>
      <c r="H23739" s="4" t="str">
        <v/>
      </c>
      <c r="I23739" s="4" t="str">
        <v/>
      </c>
    </row>
    <row r="23740" spans="5:9" ht="16.5" hidden="1">
      <c r="E23740" s="4" t="str">
        <v/>
      </c>
      <c r="F23740" s="102" t="str">
        <f ca="1">IFERROR(__xludf.DUMMYFUNCTION("IMPORTRANGE(H23740,""IDENTITAS UNIT!D9"")"),"#N/A")</f>
        <v>#N/A</v>
      </c>
      <c r="H23740" s="4" t="str">
        <v/>
      </c>
      <c r="I23740" s="4" t="str">
        <v/>
      </c>
    </row>
    <row r="23741" spans="5:9" ht="16.5" hidden="1">
      <c r="E23741" s="4" t="str">
        <v/>
      </c>
      <c r="F23741" s="102" t="str">
        <f ca="1">IFERROR(__xludf.DUMMYFUNCTION("IMPORTRANGE(H23741,""IDENTITAS UNIT!D9"")"),"#N/A")</f>
        <v>#N/A</v>
      </c>
      <c r="H23741" s="4" t="str">
        <v/>
      </c>
      <c r="I23741" s="4" t="str">
        <v/>
      </c>
    </row>
    <row r="23742" spans="5:9" ht="16.5" hidden="1">
      <c r="E23742" s="4" t="str">
        <v/>
      </c>
      <c r="F23742" s="102" t="str">
        <f ca="1">IFERROR(__xludf.DUMMYFUNCTION("IMPORTRANGE(H23742,""IDENTITAS UNIT!D9"")"),"#N/A")</f>
        <v>#N/A</v>
      </c>
      <c r="H23742" s="4" t="str">
        <v/>
      </c>
      <c r="I23742" s="4" t="str">
        <v/>
      </c>
    </row>
    <row r="23743" spans="5:9" ht="16.5" hidden="1">
      <c r="E23743" s="4" t="str">
        <v/>
      </c>
      <c r="F23743" s="102" t="str">
        <f ca="1">IFERROR(__xludf.DUMMYFUNCTION("IMPORTRANGE(H23743,""IDENTITAS UNIT!D9"")"),"#N/A")</f>
        <v>#N/A</v>
      </c>
      <c r="H23743" s="4" t="str">
        <v/>
      </c>
      <c r="I23743" s="4" t="str">
        <v/>
      </c>
    </row>
    <row r="23744" spans="5:9" ht="16.5" hidden="1">
      <c r="E23744" s="4" t="str">
        <v/>
      </c>
      <c r="F23744" s="102" t="str">
        <f ca="1">IFERROR(__xludf.DUMMYFUNCTION("IMPORTRANGE(H23744,""IDENTITAS UNIT!D9"")"),"#N/A")</f>
        <v>#N/A</v>
      </c>
      <c r="H23744" s="4" t="str">
        <v/>
      </c>
      <c r="I23744" s="4" t="str">
        <v/>
      </c>
    </row>
    <row r="23745" spans="5:9" ht="16.5" hidden="1">
      <c r="E23745" s="4" t="str">
        <v/>
      </c>
      <c r="F23745" s="102" t="str">
        <f ca="1">IFERROR(__xludf.DUMMYFUNCTION("IMPORTRANGE(H23745,""IDENTITAS UNIT!D9"")"),"#N/A")</f>
        <v>#N/A</v>
      </c>
      <c r="H23745" s="4" t="str">
        <v/>
      </c>
      <c r="I23745" s="4" t="str">
        <v/>
      </c>
    </row>
    <row r="23746" spans="5:9" ht="16.5" hidden="1">
      <c r="E23746" s="4" t="str">
        <v/>
      </c>
      <c r="F23746" s="102" t="str">
        <f ca="1">IFERROR(__xludf.DUMMYFUNCTION("IMPORTRANGE(H23746,""IDENTITAS UNIT!D9"")"),"#N/A")</f>
        <v>#N/A</v>
      </c>
      <c r="H23746" s="4" t="str">
        <v/>
      </c>
      <c r="I23746" s="4" t="str">
        <v/>
      </c>
    </row>
    <row r="23747" spans="5:9" ht="16.5" hidden="1">
      <c r="E23747" s="4" t="str">
        <v/>
      </c>
      <c r="F23747" s="102" t="str">
        <f ca="1">IFERROR(__xludf.DUMMYFUNCTION("IMPORTRANGE(H23747,""IDENTITAS UNIT!D9"")"),"#N/A")</f>
        <v>#N/A</v>
      </c>
      <c r="H23747" s="4" t="str">
        <v/>
      </c>
      <c r="I23747" s="4" t="str">
        <v/>
      </c>
    </row>
    <row r="23748" spans="5:9" ht="16.5" hidden="1">
      <c r="E23748" s="4" t="str">
        <v/>
      </c>
      <c r="F23748" s="102" t="str">
        <f ca="1">IFERROR(__xludf.DUMMYFUNCTION("IMPORTRANGE(H23748,""IDENTITAS UNIT!D9"")"),"#N/A")</f>
        <v>#N/A</v>
      </c>
      <c r="H23748" s="4" t="str">
        <v/>
      </c>
      <c r="I23748" s="4" t="str">
        <v/>
      </c>
    </row>
    <row r="23749" spans="5:9" ht="16.5" hidden="1">
      <c r="E23749" s="4" t="str">
        <v/>
      </c>
      <c r="F23749" s="102" t="str">
        <f ca="1">IFERROR(__xludf.DUMMYFUNCTION("IMPORTRANGE(H23749,""IDENTITAS UNIT!D9"")"),"#N/A")</f>
        <v>#N/A</v>
      </c>
      <c r="H23749" s="4" t="str">
        <v/>
      </c>
      <c r="I23749" s="4" t="str">
        <v/>
      </c>
    </row>
    <row r="23750" spans="5:9" ht="16.5" hidden="1">
      <c r="E23750" s="4" t="str">
        <v/>
      </c>
      <c r="F23750" s="102" t="str">
        <f ca="1">IFERROR(__xludf.DUMMYFUNCTION("IMPORTRANGE(H23750,""IDENTITAS UNIT!D9"")"),"#N/A")</f>
        <v>#N/A</v>
      </c>
      <c r="H23750" s="4" t="str">
        <v/>
      </c>
      <c r="I23750" s="4" t="str">
        <v/>
      </c>
    </row>
    <row r="23751" spans="5:9" ht="16.5" hidden="1">
      <c r="E23751" s="4" t="str">
        <v/>
      </c>
      <c r="F23751" s="102" t="str">
        <f ca="1">IFERROR(__xludf.DUMMYFUNCTION("IMPORTRANGE(H23751,""IDENTITAS UNIT!D9"")"),"#N/A")</f>
        <v>#N/A</v>
      </c>
      <c r="H23751" s="4" t="str">
        <v/>
      </c>
      <c r="I23751" s="4" t="str">
        <v/>
      </c>
    </row>
    <row r="23752" spans="5:9" ht="16.5" hidden="1">
      <c r="E23752" s="4" t="str">
        <v/>
      </c>
      <c r="F23752" s="102" t="str">
        <f ca="1">IFERROR(__xludf.DUMMYFUNCTION("IMPORTRANGE(H23752,""IDENTITAS UNIT!D9"")"),"#N/A")</f>
        <v>#N/A</v>
      </c>
      <c r="H23752" s="4" t="str">
        <v/>
      </c>
      <c r="I23752" s="4" t="str">
        <v/>
      </c>
    </row>
    <row r="23753" spans="5:9" ht="16.5" hidden="1">
      <c r="E23753" s="4" t="str">
        <v/>
      </c>
      <c r="F23753" s="102" t="str">
        <f ca="1">IFERROR(__xludf.DUMMYFUNCTION("IMPORTRANGE(H23753,""IDENTITAS UNIT!D9"")"),"#N/A")</f>
        <v>#N/A</v>
      </c>
      <c r="H23753" s="4" t="str">
        <v/>
      </c>
      <c r="I23753" s="4" t="str">
        <v/>
      </c>
    </row>
    <row r="23754" spans="5:9" ht="16.5" hidden="1">
      <c r="E23754" s="4" t="str">
        <v/>
      </c>
      <c r="F23754" s="102" t="str">
        <f ca="1">IFERROR(__xludf.DUMMYFUNCTION("IMPORTRANGE(H23754,""IDENTITAS UNIT!D9"")"),"#N/A")</f>
        <v>#N/A</v>
      </c>
      <c r="H23754" s="4" t="str">
        <v/>
      </c>
      <c r="I23754" s="4" t="str">
        <v/>
      </c>
    </row>
    <row r="23755" spans="5:9" ht="16.5" hidden="1">
      <c r="E23755" s="4" t="str">
        <v/>
      </c>
      <c r="F23755" s="102" t="str">
        <f ca="1">IFERROR(__xludf.DUMMYFUNCTION("IMPORTRANGE(H23755,""IDENTITAS UNIT!D9"")"),"#N/A")</f>
        <v>#N/A</v>
      </c>
      <c r="H23755" s="4" t="str">
        <v/>
      </c>
      <c r="I23755" s="4" t="str">
        <v/>
      </c>
    </row>
    <row r="23756" spans="5:9" ht="16.5" hidden="1">
      <c r="E23756" s="4" t="str">
        <v/>
      </c>
      <c r="F23756" s="102" t="str">
        <f ca="1">IFERROR(__xludf.DUMMYFUNCTION("IMPORTRANGE(H23756,""IDENTITAS UNIT!D9"")"),"#N/A")</f>
        <v>#N/A</v>
      </c>
      <c r="H23756" s="4" t="str">
        <v/>
      </c>
      <c r="I23756" s="4" t="str">
        <v/>
      </c>
    </row>
    <row r="23757" spans="5:9" ht="16.5" hidden="1">
      <c r="E23757" s="4" t="str">
        <v/>
      </c>
      <c r="F23757" s="102" t="str">
        <f ca="1">IFERROR(__xludf.DUMMYFUNCTION("IMPORTRANGE(H23757,""IDENTITAS UNIT!D9"")"),"#N/A")</f>
        <v>#N/A</v>
      </c>
      <c r="H23757" s="4" t="str">
        <v/>
      </c>
      <c r="I23757" s="4" t="str">
        <v/>
      </c>
    </row>
    <row r="23758" spans="5:9" ht="16.5" hidden="1">
      <c r="E23758" s="4" t="str">
        <v/>
      </c>
      <c r="F23758" s="102" t="str">
        <f ca="1">IFERROR(__xludf.DUMMYFUNCTION("IMPORTRANGE(H23758,""IDENTITAS UNIT!D9"")"),"#N/A")</f>
        <v>#N/A</v>
      </c>
      <c r="H23758" s="4" t="str">
        <v/>
      </c>
      <c r="I23758" s="4" t="str">
        <v/>
      </c>
    </row>
    <row r="23759" spans="5:9" ht="16.5" hidden="1">
      <c r="E23759" s="4" t="str">
        <v/>
      </c>
      <c r="F23759" s="102" t="str">
        <f ca="1">IFERROR(__xludf.DUMMYFUNCTION("IMPORTRANGE(H23759,""IDENTITAS UNIT!D9"")"),"#N/A")</f>
        <v>#N/A</v>
      </c>
      <c r="H23759" s="4" t="str">
        <v/>
      </c>
      <c r="I23759" s="4" t="str">
        <v/>
      </c>
    </row>
    <row r="23760" spans="5:9" ht="16.5" hidden="1">
      <c r="E23760" s="4" t="str">
        <v/>
      </c>
      <c r="F23760" s="102" t="str">
        <f ca="1">IFERROR(__xludf.DUMMYFUNCTION("IMPORTRANGE(H23760,""IDENTITAS UNIT!D9"")"),"#N/A")</f>
        <v>#N/A</v>
      </c>
      <c r="H23760" s="4" t="str">
        <v/>
      </c>
      <c r="I23760" s="4" t="str">
        <v/>
      </c>
    </row>
    <row r="23761" spans="5:9" ht="16.5" hidden="1">
      <c r="E23761" s="4" t="str">
        <v/>
      </c>
      <c r="F23761" s="102" t="str">
        <f ca="1">IFERROR(__xludf.DUMMYFUNCTION("IMPORTRANGE(H23761,""IDENTITAS UNIT!D9"")"),"#N/A")</f>
        <v>#N/A</v>
      </c>
      <c r="H23761" s="4" t="str">
        <v/>
      </c>
      <c r="I23761" s="4" t="str">
        <v/>
      </c>
    </row>
    <row r="23762" spans="5:9" ht="16.5" hidden="1">
      <c r="E23762" s="4" t="str">
        <v/>
      </c>
      <c r="F23762" s="102" t="str">
        <f ca="1">IFERROR(__xludf.DUMMYFUNCTION("IMPORTRANGE(H23762,""IDENTITAS UNIT!D9"")"),"#N/A")</f>
        <v>#N/A</v>
      </c>
      <c r="H23762" s="4" t="str">
        <v/>
      </c>
      <c r="I23762" s="4" t="str">
        <v/>
      </c>
    </row>
    <row r="23763" spans="5:9" ht="16.5" hidden="1">
      <c r="E23763" s="4" t="str">
        <v/>
      </c>
      <c r="F23763" s="102" t="str">
        <f ca="1">IFERROR(__xludf.DUMMYFUNCTION("IMPORTRANGE(H23763,""IDENTITAS UNIT!D9"")"),"#N/A")</f>
        <v>#N/A</v>
      </c>
      <c r="H23763" s="4" t="str">
        <v/>
      </c>
      <c r="I23763" s="4" t="str">
        <v/>
      </c>
    </row>
    <row r="23764" spans="5:9" ht="16.5" hidden="1">
      <c r="E23764" s="4" t="str">
        <v/>
      </c>
      <c r="F23764" s="102" t="str">
        <f ca="1">IFERROR(__xludf.DUMMYFUNCTION("IMPORTRANGE(H23764,""IDENTITAS UNIT!D9"")"),"#N/A")</f>
        <v>#N/A</v>
      </c>
      <c r="H23764" s="4" t="str">
        <v/>
      </c>
      <c r="I23764" s="4" t="str">
        <v/>
      </c>
    </row>
    <row r="23765" spans="5:9" ht="16.5" hidden="1">
      <c r="E23765" s="4" t="str">
        <v/>
      </c>
      <c r="F23765" s="102" t="str">
        <f ca="1">IFERROR(__xludf.DUMMYFUNCTION("IMPORTRANGE(H23765,""IDENTITAS UNIT!D9"")"),"#N/A")</f>
        <v>#N/A</v>
      </c>
      <c r="H23765" s="4" t="str">
        <v/>
      </c>
      <c r="I23765" s="4" t="str">
        <v/>
      </c>
    </row>
    <row r="23766" spans="5:9" ht="16.5" hidden="1">
      <c r="E23766" s="4" t="str">
        <v/>
      </c>
      <c r="F23766" s="102" t="str">
        <f ca="1">IFERROR(__xludf.DUMMYFUNCTION("IMPORTRANGE(H23766,""IDENTITAS UNIT!D9"")"),"#N/A")</f>
        <v>#N/A</v>
      </c>
      <c r="H23766" s="4" t="str">
        <v/>
      </c>
      <c r="I23766" s="4" t="str">
        <v/>
      </c>
    </row>
    <row r="23767" spans="5:9" ht="16.5" hidden="1">
      <c r="E23767" s="4" t="str">
        <v/>
      </c>
      <c r="F23767" s="102" t="str">
        <f ca="1">IFERROR(__xludf.DUMMYFUNCTION("IMPORTRANGE(H23767,""IDENTITAS UNIT!D9"")"),"#N/A")</f>
        <v>#N/A</v>
      </c>
      <c r="H23767" s="4" t="str">
        <v/>
      </c>
      <c r="I23767" s="4" t="str">
        <v/>
      </c>
    </row>
    <row r="23768" spans="5:9" ht="16.5" hidden="1">
      <c r="E23768" s="4" t="str">
        <v/>
      </c>
      <c r="F23768" s="102" t="str">
        <f ca="1">IFERROR(__xludf.DUMMYFUNCTION("IMPORTRANGE(H23768,""IDENTITAS UNIT!D9"")"),"#N/A")</f>
        <v>#N/A</v>
      </c>
      <c r="H23768" s="4" t="str">
        <v/>
      </c>
      <c r="I23768" s="4" t="str">
        <v/>
      </c>
    </row>
    <row r="23769" spans="5:9" ht="16.5" hidden="1">
      <c r="E23769" s="4" t="str">
        <v/>
      </c>
      <c r="F23769" s="102" t="str">
        <f ca="1">IFERROR(__xludf.DUMMYFUNCTION("IMPORTRANGE(H23769,""IDENTITAS UNIT!D9"")"),"#N/A")</f>
        <v>#N/A</v>
      </c>
      <c r="H23769" s="4" t="str">
        <v/>
      </c>
      <c r="I23769" s="4" t="str">
        <v/>
      </c>
    </row>
    <row r="23770" spans="5:9" ht="16.5" hidden="1">
      <c r="E23770" s="4" t="str">
        <v/>
      </c>
      <c r="F23770" s="102" t="str">
        <f ca="1">IFERROR(__xludf.DUMMYFUNCTION("IMPORTRANGE(H23770,""IDENTITAS UNIT!D9"")"),"#N/A")</f>
        <v>#N/A</v>
      </c>
      <c r="H23770" s="4" t="str">
        <v/>
      </c>
      <c r="I23770" s="4" t="str">
        <v/>
      </c>
    </row>
    <row r="23771" spans="5:9" ht="16.5" hidden="1">
      <c r="E23771" s="4" t="str">
        <v/>
      </c>
      <c r="F23771" s="102" t="str">
        <f ca="1">IFERROR(__xludf.DUMMYFUNCTION("IMPORTRANGE(H23771,""IDENTITAS UNIT!D9"")"),"#N/A")</f>
        <v>#N/A</v>
      </c>
      <c r="H23771" s="4" t="str">
        <v/>
      </c>
      <c r="I23771" s="4" t="str">
        <v/>
      </c>
    </row>
    <row r="23772" spans="5:9" ht="16.5" hidden="1">
      <c r="E23772" s="4" t="str">
        <v/>
      </c>
      <c r="F23772" s="102" t="str">
        <f ca="1">IFERROR(__xludf.DUMMYFUNCTION("IMPORTRANGE(H23772,""IDENTITAS UNIT!D9"")"),"#N/A")</f>
        <v>#N/A</v>
      </c>
      <c r="H23772" s="4" t="str">
        <v/>
      </c>
      <c r="I23772" s="4" t="str">
        <v/>
      </c>
    </row>
    <row r="23773" spans="5:9" ht="16.5" hidden="1">
      <c r="E23773" s="4" t="str">
        <v/>
      </c>
      <c r="F23773" s="102" t="str">
        <f ca="1">IFERROR(__xludf.DUMMYFUNCTION("IMPORTRANGE(H23773,""IDENTITAS UNIT!D9"")"),"#N/A")</f>
        <v>#N/A</v>
      </c>
      <c r="H23773" s="4" t="str">
        <v/>
      </c>
      <c r="I23773" s="4" t="str">
        <v/>
      </c>
    </row>
    <row r="23774" spans="5:9" ht="16.5" hidden="1">
      <c r="E23774" s="4" t="str">
        <v/>
      </c>
      <c r="F23774" s="102" t="str">
        <f ca="1">IFERROR(__xludf.DUMMYFUNCTION("IMPORTRANGE(H23774,""IDENTITAS UNIT!D9"")"),"#N/A")</f>
        <v>#N/A</v>
      </c>
      <c r="H23774" s="4" t="str">
        <v/>
      </c>
      <c r="I23774" s="4" t="str">
        <v/>
      </c>
    </row>
    <row r="23775" spans="5:9" ht="16.5" hidden="1">
      <c r="E23775" s="4" t="str">
        <v/>
      </c>
      <c r="F23775" s="102" t="str">
        <f ca="1">IFERROR(__xludf.DUMMYFUNCTION("IMPORTRANGE(H23775,""IDENTITAS UNIT!D9"")"),"#N/A")</f>
        <v>#N/A</v>
      </c>
      <c r="H23775" s="4" t="str">
        <v/>
      </c>
      <c r="I23775" s="4" t="str">
        <v/>
      </c>
    </row>
    <row r="23776" spans="5:9" ht="16.5" hidden="1">
      <c r="E23776" s="4" t="str">
        <v/>
      </c>
      <c r="F23776" s="102" t="str">
        <f ca="1">IFERROR(__xludf.DUMMYFUNCTION("IMPORTRANGE(H23776,""IDENTITAS UNIT!D9"")"),"#N/A")</f>
        <v>#N/A</v>
      </c>
      <c r="H23776" s="4" t="str">
        <v/>
      </c>
      <c r="I23776" s="4" t="str">
        <v/>
      </c>
    </row>
    <row r="23777" spans="5:9" ht="16.5" hidden="1">
      <c r="E23777" s="4" t="str">
        <v/>
      </c>
      <c r="F23777" s="102" t="str">
        <f ca="1">IFERROR(__xludf.DUMMYFUNCTION("IMPORTRANGE(H23777,""IDENTITAS UNIT!D9"")"),"#N/A")</f>
        <v>#N/A</v>
      </c>
      <c r="H23777" s="4" t="str">
        <v/>
      </c>
      <c r="I23777" s="4" t="str">
        <v/>
      </c>
    </row>
    <row r="23778" spans="5:9" ht="16.5" hidden="1">
      <c r="E23778" s="4" t="str">
        <v/>
      </c>
      <c r="F23778" s="102" t="str">
        <f ca="1">IFERROR(__xludf.DUMMYFUNCTION("IMPORTRANGE(H23778,""IDENTITAS UNIT!D9"")"),"#N/A")</f>
        <v>#N/A</v>
      </c>
      <c r="H23778" s="4" t="str">
        <v/>
      </c>
      <c r="I23778" s="4" t="str">
        <v/>
      </c>
    </row>
    <row r="23779" spans="5:9" ht="16.5" hidden="1">
      <c r="E23779" s="4" t="str">
        <v/>
      </c>
      <c r="F23779" s="102" t="str">
        <f ca="1">IFERROR(__xludf.DUMMYFUNCTION("IMPORTRANGE(H23779,""IDENTITAS UNIT!D9"")"),"#N/A")</f>
        <v>#N/A</v>
      </c>
      <c r="H23779" s="4" t="str">
        <v/>
      </c>
      <c r="I23779" s="4" t="str">
        <v/>
      </c>
    </row>
    <row r="23780" spans="5:9" ht="16.5" hidden="1">
      <c r="E23780" s="4" t="str">
        <v/>
      </c>
      <c r="F23780" s="102" t="str">
        <f ca="1">IFERROR(__xludf.DUMMYFUNCTION("IMPORTRANGE(H23780,""IDENTITAS UNIT!D9"")"),"#N/A")</f>
        <v>#N/A</v>
      </c>
      <c r="H23780" s="4" t="str">
        <v/>
      </c>
      <c r="I23780" s="4" t="str">
        <v/>
      </c>
    </row>
    <row r="23781" spans="5:9" ht="16.5" hidden="1">
      <c r="E23781" s="4" t="str">
        <v/>
      </c>
      <c r="F23781" s="102" t="str">
        <f ca="1">IFERROR(__xludf.DUMMYFUNCTION("IMPORTRANGE(H23781,""IDENTITAS UNIT!D9"")"),"#N/A")</f>
        <v>#N/A</v>
      </c>
      <c r="H23781" s="4" t="str">
        <v/>
      </c>
      <c r="I23781" s="4" t="str">
        <v/>
      </c>
    </row>
    <row r="23782" spans="5:9" ht="16.5" hidden="1">
      <c r="E23782" s="4" t="str">
        <v/>
      </c>
      <c r="F23782" s="102" t="str">
        <f ca="1">IFERROR(__xludf.DUMMYFUNCTION("IMPORTRANGE(H23782,""IDENTITAS UNIT!D9"")"),"#N/A")</f>
        <v>#N/A</v>
      </c>
      <c r="H23782" s="4" t="str">
        <v/>
      </c>
      <c r="I23782" s="4" t="str">
        <v/>
      </c>
    </row>
    <row r="23783" spans="5:9" ht="16.5" hidden="1">
      <c r="E23783" s="4" t="str">
        <v/>
      </c>
      <c r="F23783" s="102" t="str">
        <f ca="1">IFERROR(__xludf.DUMMYFUNCTION("IMPORTRANGE(H23783,""IDENTITAS UNIT!D9"")"),"#N/A")</f>
        <v>#N/A</v>
      </c>
      <c r="H23783" s="4" t="str">
        <v/>
      </c>
      <c r="I23783" s="4" t="str">
        <v/>
      </c>
    </row>
    <row r="23784" spans="5:9" ht="16.5" hidden="1">
      <c r="E23784" s="4" t="str">
        <v/>
      </c>
      <c r="F23784" s="102" t="str">
        <f ca="1">IFERROR(__xludf.DUMMYFUNCTION("IMPORTRANGE(H23784,""IDENTITAS UNIT!D9"")"),"#N/A")</f>
        <v>#N/A</v>
      </c>
      <c r="H23784" s="4" t="str">
        <v/>
      </c>
      <c r="I23784" s="4" t="str">
        <v/>
      </c>
    </row>
    <row r="23785" spans="5:9" ht="16.5" hidden="1">
      <c r="E23785" s="4" t="str">
        <v/>
      </c>
      <c r="F23785" s="102" t="str">
        <f ca="1">IFERROR(__xludf.DUMMYFUNCTION("IMPORTRANGE(H23785,""IDENTITAS UNIT!D9"")"),"#N/A")</f>
        <v>#N/A</v>
      </c>
      <c r="H23785" s="4" t="str">
        <v/>
      </c>
      <c r="I23785" s="4" t="str">
        <v/>
      </c>
    </row>
    <row r="23786" spans="5:9" ht="16.5" hidden="1">
      <c r="E23786" s="4" t="str">
        <v/>
      </c>
      <c r="F23786" s="102" t="str">
        <f ca="1">IFERROR(__xludf.DUMMYFUNCTION("IMPORTRANGE(H23786,""IDENTITAS UNIT!D9"")"),"#N/A")</f>
        <v>#N/A</v>
      </c>
      <c r="H23786" s="4" t="str">
        <v/>
      </c>
      <c r="I23786" s="4" t="str">
        <v/>
      </c>
    </row>
    <row r="23787" spans="5:9" ht="16.5" hidden="1">
      <c r="E23787" s="4" t="str">
        <v/>
      </c>
      <c r="F23787" s="102" t="str">
        <f ca="1">IFERROR(__xludf.DUMMYFUNCTION("IMPORTRANGE(H23787,""IDENTITAS UNIT!D9"")"),"#N/A")</f>
        <v>#N/A</v>
      </c>
      <c r="H23787" s="4" t="str">
        <v/>
      </c>
      <c r="I23787" s="4" t="str">
        <v/>
      </c>
    </row>
    <row r="23788" spans="5:9" ht="16.5" hidden="1">
      <c r="E23788" s="4" t="str">
        <v/>
      </c>
      <c r="F23788" s="102" t="str">
        <f ca="1">IFERROR(__xludf.DUMMYFUNCTION("IMPORTRANGE(H23788,""IDENTITAS UNIT!D9"")"),"#N/A")</f>
        <v>#N/A</v>
      </c>
      <c r="H23788" s="4" t="str">
        <v/>
      </c>
      <c r="I23788" s="4" t="str">
        <v/>
      </c>
    </row>
    <row r="23789" spans="5:9" ht="16.5" hidden="1">
      <c r="E23789" s="4" t="str">
        <v/>
      </c>
      <c r="F23789" s="102" t="str">
        <f ca="1">IFERROR(__xludf.DUMMYFUNCTION("IMPORTRANGE(H23789,""IDENTITAS UNIT!D9"")"),"#N/A")</f>
        <v>#N/A</v>
      </c>
      <c r="H23789" s="4" t="str">
        <v/>
      </c>
      <c r="I23789" s="4" t="str">
        <v/>
      </c>
    </row>
    <row r="23790" spans="5:9" ht="16.5" hidden="1">
      <c r="E23790" s="4" t="str">
        <v/>
      </c>
      <c r="F23790" s="102" t="str">
        <f ca="1">IFERROR(__xludf.DUMMYFUNCTION("IMPORTRANGE(H23790,""IDENTITAS UNIT!D9"")"),"#N/A")</f>
        <v>#N/A</v>
      </c>
      <c r="H23790" s="4" t="str">
        <v/>
      </c>
      <c r="I23790" s="4" t="str">
        <v/>
      </c>
    </row>
    <row r="23791" spans="5:9" ht="16.5" hidden="1">
      <c r="E23791" s="4" t="str">
        <v/>
      </c>
      <c r="F23791" s="102" t="str">
        <f ca="1">IFERROR(__xludf.DUMMYFUNCTION("IMPORTRANGE(H23791,""IDENTITAS UNIT!D9"")"),"#N/A")</f>
        <v>#N/A</v>
      </c>
      <c r="H23791" s="4" t="str">
        <v/>
      </c>
      <c r="I23791" s="4" t="str">
        <v/>
      </c>
    </row>
    <row r="23792" spans="5:9" ht="16.5" hidden="1">
      <c r="E23792" s="4" t="str">
        <v/>
      </c>
      <c r="F23792" s="102" t="str">
        <f ca="1">IFERROR(__xludf.DUMMYFUNCTION("IMPORTRANGE(H23792,""IDENTITAS UNIT!D9"")"),"#N/A")</f>
        <v>#N/A</v>
      </c>
      <c r="H23792" s="4" t="str">
        <v/>
      </c>
      <c r="I23792" s="4" t="str">
        <v/>
      </c>
    </row>
    <row r="23793" spans="5:9" ht="16.5" hidden="1">
      <c r="E23793" s="4" t="str">
        <v/>
      </c>
      <c r="F23793" s="102" t="str">
        <f ca="1">IFERROR(__xludf.DUMMYFUNCTION("IMPORTRANGE(H23793,""IDENTITAS UNIT!D9"")"),"#N/A")</f>
        <v>#N/A</v>
      </c>
      <c r="H23793" s="4" t="str">
        <v/>
      </c>
      <c r="I23793" s="4" t="str">
        <v/>
      </c>
    </row>
    <row r="23794" spans="5:9" ht="16.5" hidden="1">
      <c r="E23794" s="4" t="str">
        <v/>
      </c>
      <c r="F23794" s="102" t="str">
        <f ca="1">IFERROR(__xludf.DUMMYFUNCTION("IMPORTRANGE(H23794,""IDENTITAS UNIT!D9"")"),"#N/A")</f>
        <v>#N/A</v>
      </c>
      <c r="H23794" s="4" t="str">
        <v/>
      </c>
      <c r="I23794" s="4" t="str">
        <v/>
      </c>
    </row>
    <row r="23795" spans="5:9" ht="16.5" hidden="1">
      <c r="E23795" s="4" t="str">
        <v/>
      </c>
      <c r="F23795" s="102" t="str">
        <f ca="1">IFERROR(__xludf.DUMMYFUNCTION("IMPORTRANGE(H23795,""IDENTITAS UNIT!D9"")"),"#N/A")</f>
        <v>#N/A</v>
      </c>
      <c r="H23795" s="4" t="str">
        <v/>
      </c>
      <c r="I23795" s="4" t="str">
        <v/>
      </c>
    </row>
    <row r="23796" spans="5:9" ht="16.5" hidden="1">
      <c r="E23796" s="4" t="str">
        <v/>
      </c>
      <c r="F23796" s="102" t="str">
        <f ca="1">IFERROR(__xludf.DUMMYFUNCTION("IMPORTRANGE(H23796,""IDENTITAS UNIT!D9"")"),"#N/A")</f>
        <v>#N/A</v>
      </c>
      <c r="H23796" s="4" t="str">
        <v/>
      </c>
      <c r="I23796" s="4" t="str">
        <v/>
      </c>
    </row>
    <row r="23797" spans="5:9" ht="16.5" hidden="1">
      <c r="E23797" s="4" t="str">
        <v/>
      </c>
      <c r="F23797" s="102" t="str">
        <f ca="1">IFERROR(__xludf.DUMMYFUNCTION("IMPORTRANGE(H23797,""IDENTITAS UNIT!D9"")"),"#N/A")</f>
        <v>#N/A</v>
      </c>
      <c r="H23797" s="4" t="str">
        <v/>
      </c>
      <c r="I23797" s="4" t="str">
        <v/>
      </c>
    </row>
    <row r="23798" spans="5:9" ht="16.5" hidden="1">
      <c r="E23798" s="4" t="str">
        <v/>
      </c>
      <c r="F23798" s="102" t="str">
        <f ca="1">IFERROR(__xludf.DUMMYFUNCTION("IMPORTRANGE(H23798,""IDENTITAS UNIT!D9"")"),"#N/A")</f>
        <v>#N/A</v>
      </c>
      <c r="H23798" s="4" t="str">
        <v/>
      </c>
      <c r="I23798" s="4" t="str">
        <v/>
      </c>
    </row>
    <row r="23799" spans="5:9" ht="16.5" hidden="1">
      <c r="E23799" s="4" t="str">
        <v/>
      </c>
      <c r="F23799" s="102" t="str">
        <f ca="1">IFERROR(__xludf.DUMMYFUNCTION("IMPORTRANGE(H23799,""IDENTITAS UNIT!D9"")"),"#N/A")</f>
        <v>#N/A</v>
      </c>
      <c r="H23799" s="4" t="str">
        <v/>
      </c>
      <c r="I23799" s="4" t="str">
        <v/>
      </c>
    </row>
    <row r="23800" spans="5:9" ht="16.5" hidden="1">
      <c r="E23800" s="4" t="str">
        <v/>
      </c>
      <c r="F23800" s="102" t="str">
        <f ca="1">IFERROR(__xludf.DUMMYFUNCTION("IMPORTRANGE(H23800,""IDENTITAS UNIT!D9"")"),"#N/A")</f>
        <v>#N/A</v>
      </c>
      <c r="H23800" s="4" t="str">
        <v/>
      </c>
      <c r="I23800" s="4" t="str">
        <v/>
      </c>
    </row>
    <row r="23801" spans="5:9" ht="16.5" hidden="1">
      <c r="E23801" s="4" t="str">
        <v/>
      </c>
      <c r="F23801" s="102" t="str">
        <f ca="1">IFERROR(__xludf.DUMMYFUNCTION("IMPORTRANGE(H23801,""IDENTITAS UNIT!D9"")"),"#N/A")</f>
        <v>#N/A</v>
      </c>
      <c r="H23801" s="4" t="str">
        <v/>
      </c>
      <c r="I23801" s="4" t="str">
        <v/>
      </c>
    </row>
    <row r="23802" spans="5:9" ht="16.5" hidden="1">
      <c r="E23802" s="4" t="str">
        <v/>
      </c>
      <c r="F23802" s="102" t="str">
        <f ca="1">IFERROR(__xludf.DUMMYFUNCTION("IMPORTRANGE(H23802,""IDENTITAS UNIT!D9"")"),"#N/A")</f>
        <v>#N/A</v>
      </c>
      <c r="H23802" s="4" t="str">
        <v/>
      </c>
      <c r="I23802" s="4" t="str">
        <v/>
      </c>
    </row>
    <row r="23803" spans="5:9" ht="16.5" hidden="1">
      <c r="E23803" s="4" t="str">
        <v/>
      </c>
      <c r="F23803" s="102" t="str">
        <f ca="1">IFERROR(__xludf.DUMMYFUNCTION("IMPORTRANGE(H23803,""IDENTITAS UNIT!D9"")"),"#N/A")</f>
        <v>#N/A</v>
      </c>
      <c r="H23803" s="4" t="str">
        <v/>
      </c>
      <c r="I23803" s="4" t="str">
        <v/>
      </c>
    </row>
    <row r="23804" spans="5:9" ht="16.5" hidden="1">
      <c r="E23804" s="4" t="str">
        <v/>
      </c>
      <c r="F23804" s="102" t="str">
        <f ca="1">IFERROR(__xludf.DUMMYFUNCTION("IMPORTRANGE(H23804,""IDENTITAS UNIT!D9"")"),"#N/A")</f>
        <v>#N/A</v>
      </c>
      <c r="H23804" s="4" t="str">
        <v/>
      </c>
      <c r="I23804" s="4" t="str">
        <v/>
      </c>
    </row>
    <row r="23805" spans="5:9" ht="16.5" hidden="1">
      <c r="E23805" s="4" t="str">
        <v/>
      </c>
      <c r="F23805" s="102" t="str">
        <f ca="1">IFERROR(__xludf.DUMMYFUNCTION("IMPORTRANGE(H23805,""IDENTITAS UNIT!D9"")"),"#N/A")</f>
        <v>#N/A</v>
      </c>
      <c r="H23805" s="4" t="str">
        <v/>
      </c>
      <c r="I23805" s="4" t="str">
        <v/>
      </c>
    </row>
    <row r="23806" spans="5:9" ht="16.5" hidden="1">
      <c r="E23806" s="4" t="str">
        <v/>
      </c>
      <c r="F23806" s="102" t="str">
        <f ca="1">IFERROR(__xludf.DUMMYFUNCTION("IMPORTRANGE(H23806,""IDENTITAS UNIT!D9"")"),"#N/A")</f>
        <v>#N/A</v>
      </c>
      <c r="H23806" s="4" t="str">
        <v/>
      </c>
      <c r="I23806" s="4" t="str">
        <v/>
      </c>
    </row>
    <row r="23807" spans="5:9" ht="16.5" hidden="1">
      <c r="E23807" s="4" t="str">
        <v/>
      </c>
      <c r="F23807" s="102" t="str">
        <f ca="1">IFERROR(__xludf.DUMMYFUNCTION("IMPORTRANGE(H23807,""IDENTITAS UNIT!D9"")"),"#N/A")</f>
        <v>#N/A</v>
      </c>
      <c r="H23807" s="4" t="str">
        <v/>
      </c>
      <c r="I23807" s="4" t="str">
        <v/>
      </c>
    </row>
    <row r="23808" spans="5:9" ht="16.5" hidden="1">
      <c r="E23808" s="4" t="str">
        <v/>
      </c>
      <c r="F23808" s="102" t="str">
        <f ca="1">IFERROR(__xludf.DUMMYFUNCTION("IMPORTRANGE(H23808,""IDENTITAS UNIT!D9"")"),"#N/A")</f>
        <v>#N/A</v>
      </c>
      <c r="H23808" s="4" t="str">
        <v/>
      </c>
      <c r="I23808" s="4" t="str">
        <v/>
      </c>
    </row>
    <row r="23809" spans="5:9" ht="16.5" hidden="1">
      <c r="E23809" s="4" t="str">
        <v/>
      </c>
      <c r="F23809" s="102" t="str">
        <f ca="1">IFERROR(__xludf.DUMMYFUNCTION("IMPORTRANGE(H23809,""IDENTITAS UNIT!D9"")"),"#N/A")</f>
        <v>#N/A</v>
      </c>
      <c r="H23809" s="4" t="str">
        <v/>
      </c>
      <c r="I23809" s="4" t="str">
        <v/>
      </c>
    </row>
    <row r="23810" spans="5:9" ht="16.5" hidden="1">
      <c r="E23810" s="4" t="str">
        <v/>
      </c>
      <c r="F23810" s="102" t="str">
        <f ca="1">IFERROR(__xludf.DUMMYFUNCTION("IMPORTRANGE(H23810,""IDENTITAS UNIT!D9"")"),"#N/A")</f>
        <v>#N/A</v>
      </c>
      <c r="H23810" s="4" t="str">
        <v/>
      </c>
      <c r="I23810" s="4" t="str">
        <v/>
      </c>
    </row>
    <row r="23811" spans="5:9" ht="16.5" hidden="1">
      <c r="E23811" s="4" t="str">
        <v/>
      </c>
      <c r="F23811" s="102" t="str">
        <f ca="1">IFERROR(__xludf.DUMMYFUNCTION("IMPORTRANGE(H23811,""IDENTITAS UNIT!D9"")"),"#N/A")</f>
        <v>#N/A</v>
      </c>
      <c r="H23811" s="4" t="str">
        <v/>
      </c>
      <c r="I23811" s="4" t="str">
        <v/>
      </c>
    </row>
    <row r="23812" spans="5:9" ht="16.5" hidden="1">
      <c r="E23812" s="4" t="str">
        <v/>
      </c>
      <c r="F23812" s="102" t="str">
        <f ca="1">IFERROR(__xludf.DUMMYFUNCTION("IMPORTRANGE(H23812,""IDENTITAS UNIT!D9"")"),"#N/A")</f>
        <v>#N/A</v>
      </c>
      <c r="H23812" s="4" t="str">
        <v/>
      </c>
      <c r="I23812" s="4" t="str">
        <v/>
      </c>
    </row>
    <row r="23813" spans="5:9" ht="16.5" hidden="1">
      <c r="E23813" s="4" t="str">
        <v/>
      </c>
      <c r="F23813" s="102" t="str">
        <f ca="1">IFERROR(__xludf.DUMMYFUNCTION("IMPORTRANGE(H23813,""IDENTITAS UNIT!D9"")"),"#N/A")</f>
        <v>#N/A</v>
      </c>
      <c r="H23813" s="4" t="str">
        <v/>
      </c>
      <c r="I23813" s="4" t="str">
        <v/>
      </c>
    </row>
    <row r="23814" spans="5:9" ht="16.5" hidden="1">
      <c r="E23814" s="4" t="str">
        <v/>
      </c>
      <c r="F23814" s="102" t="str">
        <f ca="1">IFERROR(__xludf.DUMMYFUNCTION("IMPORTRANGE(H23814,""IDENTITAS UNIT!D9"")"),"#N/A")</f>
        <v>#N/A</v>
      </c>
      <c r="H23814" s="4" t="str">
        <v/>
      </c>
      <c r="I23814" s="4" t="str">
        <v/>
      </c>
    </row>
    <row r="23815" spans="5:9" ht="16.5" hidden="1">
      <c r="E23815" s="4" t="str">
        <v/>
      </c>
      <c r="F23815" s="102" t="str">
        <f ca="1">IFERROR(__xludf.DUMMYFUNCTION("IMPORTRANGE(H23815,""IDENTITAS UNIT!D9"")"),"#N/A")</f>
        <v>#N/A</v>
      </c>
      <c r="H23815" s="4" t="str">
        <v/>
      </c>
      <c r="I23815" s="4" t="str">
        <v/>
      </c>
    </row>
    <row r="23816" spans="5:9" ht="16.5" hidden="1">
      <c r="E23816" s="4" t="str">
        <v/>
      </c>
      <c r="F23816" s="102" t="str">
        <f ca="1">IFERROR(__xludf.DUMMYFUNCTION("IMPORTRANGE(H23816,""IDENTITAS UNIT!D9"")"),"#N/A")</f>
        <v>#N/A</v>
      </c>
      <c r="H23816" s="4" t="str">
        <v/>
      </c>
      <c r="I23816" s="4" t="str">
        <v/>
      </c>
    </row>
    <row r="23817" spans="5:9" ht="16.5" hidden="1">
      <c r="E23817" s="4" t="str">
        <v/>
      </c>
      <c r="F23817" s="102" t="str">
        <f ca="1">IFERROR(__xludf.DUMMYFUNCTION("IMPORTRANGE(H23817,""IDENTITAS UNIT!D9"")"),"#N/A")</f>
        <v>#N/A</v>
      </c>
      <c r="H23817" s="4" t="str">
        <v/>
      </c>
      <c r="I23817" s="4" t="str">
        <v/>
      </c>
    </row>
    <row r="23818" spans="5:9" ht="16.5" hidden="1">
      <c r="E23818" s="4" t="str">
        <v/>
      </c>
      <c r="F23818" s="102" t="str">
        <f ca="1">IFERROR(__xludf.DUMMYFUNCTION("IMPORTRANGE(H23818,""IDENTITAS UNIT!D9"")"),"#N/A")</f>
        <v>#N/A</v>
      </c>
      <c r="H23818" s="4" t="str">
        <v/>
      </c>
      <c r="I23818" s="4" t="str">
        <v/>
      </c>
    </row>
    <row r="23819" spans="5:9" ht="16.5" hidden="1">
      <c r="E23819" s="4" t="str">
        <v/>
      </c>
      <c r="F23819" s="102" t="str">
        <f ca="1">IFERROR(__xludf.DUMMYFUNCTION("IMPORTRANGE(H23819,""IDENTITAS UNIT!D9"")"),"#N/A")</f>
        <v>#N/A</v>
      </c>
      <c r="H23819" s="4" t="str">
        <v/>
      </c>
      <c r="I23819" s="4" t="str">
        <v/>
      </c>
    </row>
    <row r="23820" spans="5:9" ht="16.5" hidden="1">
      <c r="E23820" s="4" t="str">
        <v/>
      </c>
      <c r="F23820" s="102" t="str">
        <f ca="1">IFERROR(__xludf.DUMMYFUNCTION("IMPORTRANGE(H23820,""IDENTITAS UNIT!D9"")"),"#N/A")</f>
        <v>#N/A</v>
      </c>
      <c r="H23820" s="4" t="str">
        <v/>
      </c>
      <c r="I23820" s="4" t="str">
        <v/>
      </c>
    </row>
    <row r="23821" spans="5:9" ht="16.5" hidden="1">
      <c r="E23821" s="4" t="str">
        <v/>
      </c>
      <c r="F23821" s="102" t="str">
        <f ca="1">IFERROR(__xludf.DUMMYFUNCTION("IMPORTRANGE(H23821,""IDENTITAS UNIT!D9"")"),"#N/A")</f>
        <v>#N/A</v>
      </c>
      <c r="H23821" s="4" t="str">
        <v/>
      </c>
      <c r="I23821" s="4" t="str">
        <v/>
      </c>
    </row>
    <row r="23822" spans="5:9" ht="16.5" hidden="1">
      <c r="E23822" s="4" t="str">
        <v/>
      </c>
      <c r="F23822" s="102" t="str">
        <f ca="1">IFERROR(__xludf.DUMMYFUNCTION("IMPORTRANGE(H23822,""IDENTITAS UNIT!D9"")"),"#N/A")</f>
        <v>#N/A</v>
      </c>
      <c r="H23822" s="4" t="str">
        <v/>
      </c>
      <c r="I23822" s="4" t="str">
        <v/>
      </c>
    </row>
    <row r="23823" spans="5:9" ht="16.5" hidden="1">
      <c r="E23823" s="4" t="str">
        <v/>
      </c>
      <c r="F23823" s="102" t="str">
        <f ca="1">IFERROR(__xludf.DUMMYFUNCTION("IMPORTRANGE(H23823,""IDENTITAS UNIT!D9"")"),"#N/A")</f>
        <v>#N/A</v>
      </c>
      <c r="H23823" s="4" t="str">
        <v/>
      </c>
      <c r="I23823" s="4" t="str">
        <v/>
      </c>
    </row>
    <row r="23824" spans="5:9" ht="16.5" hidden="1">
      <c r="E23824" s="4" t="str">
        <v/>
      </c>
      <c r="F23824" s="102" t="str">
        <f ca="1">IFERROR(__xludf.DUMMYFUNCTION("IMPORTRANGE(H23824,""IDENTITAS UNIT!D9"")"),"#N/A")</f>
        <v>#N/A</v>
      </c>
      <c r="H23824" s="4" t="str">
        <v/>
      </c>
      <c r="I23824" s="4" t="str">
        <v/>
      </c>
    </row>
    <row r="23825" spans="5:9" ht="16.5" hidden="1">
      <c r="E23825" s="4" t="str">
        <v/>
      </c>
      <c r="F23825" s="102" t="str">
        <f ca="1">IFERROR(__xludf.DUMMYFUNCTION("IMPORTRANGE(H23825,""IDENTITAS UNIT!D9"")"),"#N/A")</f>
        <v>#N/A</v>
      </c>
      <c r="H23825" s="4" t="str">
        <v/>
      </c>
      <c r="I23825" s="4" t="str">
        <v/>
      </c>
    </row>
    <row r="23826" spans="5:9" ht="16.5" hidden="1">
      <c r="E23826" s="4" t="str">
        <v/>
      </c>
      <c r="F23826" s="102" t="str">
        <f ca="1">IFERROR(__xludf.DUMMYFUNCTION("IMPORTRANGE(H23826,""IDENTITAS UNIT!D9"")"),"#N/A")</f>
        <v>#N/A</v>
      </c>
      <c r="H23826" s="4" t="str">
        <v/>
      </c>
      <c r="I23826" s="4" t="str">
        <v/>
      </c>
    </row>
    <row r="23827" spans="5:9" ht="16.5" hidden="1">
      <c r="E23827" s="4" t="str">
        <v/>
      </c>
      <c r="F23827" s="102" t="str">
        <f ca="1">IFERROR(__xludf.DUMMYFUNCTION("IMPORTRANGE(H23827,""IDENTITAS UNIT!D9"")"),"#N/A")</f>
        <v>#N/A</v>
      </c>
      <c r="H23827" s="4" t="str">
        <v/>
      </c>
      <c r="I23827" s="4" t="str">
        <v/>
      </c>
    </row>
    <row r="23828" spans="5:9" ht="16.5" hidden="1">
      <c r="E23828" s="4" t="str">
        <v/>
      </c>
      <c r="F23828" s="102" t="str">
        <f ca="1">IFERROR(__xludf.DUMMYFUNCTION("IMPORTRANGE(H23828,""IDENTITAS UNIT!D9"")"),"#N/A")</f>
        <v>#N/A</v>
      </c>
      <c r="H23828" s="4" t="str">
        <v/>
      </c>
      <c r="I23828" s="4" t="str">
        <v/>
      </c>
    </row>
    <row r="23829" spans="5:9" ht="16.5" hidden="1">
      <c r="E23829" s="4" t="str">
        <v/>
      </c>
      <c r="F23829" s="102" t="str">
        <f ca="1">IFERROR(__xludf.DUMMYFUNCTION("IMPORTRANGE(H23829,""IDENTITAS UNIT!D9"")"),"#N/A")</f>
        <v>#N/A</v>
      </c>
      <c r="H23829" s="4" t="str">
        <v/>
      </c>
      <c r="I23829" s="4" t="str">
        <v/>
      </c>
    </row>
    <row r="23830" spans="5:9" ht="16.5" hidden="1">
      <c r="E23830" s="4" t="str">
        <v/>
      </c>
      <c r="F23830" s="102" t="str">
        <f ca="1">IFERROR(__xludf.DUMMYFUNCTION("IMPORTRANGE(H23830,""IDENTITAS UNIT!D9"")"),"#N/A")</f>
        <v>#N/A</v>
      </c>
      <c r="H23830" s="4" t="str">
        <v/>
      </c>
      <c r="I23830" s="4" t="str">
        <v/>
      </c>
    </row>
    <row r="23831" spans="5:9" ht="16.5" hidden="1">
      <c r="E23831" s="4" t="str">
        <v/>
      </c>
      <c r="F23831" s="102" t="str">
        <f ca="1">IFERROR(__xludf.DUMMYFUNCTION("IMPORTRANGE(H23831,""IDENTITAS UNIT!D9"")"),"#N/A")</f>
        <v>#N/A</v>
      </c>
      <c r="H23831" s="4" t="str">
        <v/>
      </c>
      <c r="I23831" s="4" t="str">
        <v/>
      </c>
    </row>
    <row r="23832" spans="5:9" ht="16.5" hidden="1">
      <c r="E23832" s="4" t="str">
        <v/>
      </c>
      <c r="F23832" s="102" t="str">
        <f ca="1">IFERROR(__xludf.DUMMYFUNCTION("IMPORTRANGE(H23832,""IDENTITAS UNIT!D9"")"),"#N/A")</f>
        <v>#N/A</v>
      </c>
      <c r="H23832" s="4" t="str">
        <v/>
      </c>
      <c r="I23832" s="4" t="str">
        <v/>
      </c>
    </row>
    <row r="23833" spans="5:9" ht="16.5" hidden="1">
      <c r="E23833" s="4" t="str">
        <v/>
      </c>
      <c r="F23833" s="102" t="str">
        <f ca="1">IFERROR(__xludf.DUMMYFUNCTION("IMPORTRANGE(H23833,""IDENTITAS UNIT!D9"")"),"#N/A")</f>
        <v>#N/A</v>
      </c>
      <c r="H23833" s="4" t="str">
        <v/>
      </c>
      <c r="I23833" s="4" t="str">
        <v/>
      </c>
    </row>
    <row r="23834" spans="5:9" ht="16.5" hidden="1">
      <c r="E23834" s="4" t="str">
        <v/>
      </c>
      <c r="F23834" s="102" t="str">
        <f ca="1">IFERROR(__xludf.DUMMYFUNCTION("IMPORTRANGE(H23834,""IDENTITAS UNIT!D9"")"),"#N/A")</f>
        <v>#N/A</v>
      </c>
      <c r="H23834" s="4" t="str">
        <v/>
      </c>
      <c r="I23834" s="4" t="str">
        <v/>
      </c>
    </row>
    <row r="23835" spans="5:9" ht="16.5" hidden="1">
      <c r="E23835" s="4" t="str">
        <v/>
      </c>
      <c r="F23835" s="102" t="str">
        <f ca="1">IFERROR(__xludf.DUMMYFUNCTION("IMPORTRANGE(H23835,""IDENTITAS UNIT!D9"")"),"#N/A")</f>
        <v>#N/A</v>
      </c>
      <c r="H23835" s="4" t="str">
        <v/>
      </c>
      <c r="I23835" s="4" t="str">
        <v/>
      </c>
    </row>
    <row r="23836" spans="5:9" ht="16.5" hidden="1">
      <c r="E23836" s="4" t="str">
        <v/>
      </c>
      <c r="F23836" s="102" t="str">
        <f ca="1">IFERROR(__xludf.DUMMYFUNCTION("IMPORTRANGE(H23836,""IDENTITAS UNIT!D9"")"),"#N/A")</f>
        <v>#N/A</v>
      </c>
      <c r="H23836" s="4" t="str">
        <v/>
      </c>
      <c r="I23836" s="4" t="str">
        <v/>
      </c>
    </row>
    <row r="23837" spans="5:9" ht="16.5" hidden="1">
      <c r="E23837" s="4" t="str">
        <v/>
      </c>
      <c r="F23837" s="102" t="str">
        <f ca="1">IFERROR(__xludf.DUMMYFUNCTION("IMPORTRANGE(H23837,""IDENTITAS UNIT!D9"")"),"#N/A")</f>
        <v>#N/A</v>
      </c>
      <c r="H23837" s="4" t="str">
        <v/>
      </c>
      <c r="I23837" s="4" t="str">
        <v/>
      </c>
    </row>
    <row r="23838" spans="5:9" ht="16.5" hidden="1">
      <c r="E23838" s="4" t="str">
        <v/>
      </c>
      <c r="F23838" s="102" t="str">
        <f ca="1">IFERROR(__xludf.DUMMYFUNCTION("IMPORTRANGE(H23838,""IDENTITAS UNIT!D9"")"),"#N/A")</f>
        <v>#N/A</v>
      </c>
      <c r="H23838" s="4" t="str">
        <v/>
      </c>
      <c r="I23838" s="4" t="str">
        <v/>
      </c>
    </row>
    <row r="23839" spans="5:9" ht="16.5" hidden="1">
      <c r="E23839" s="4" t="str">
        <v/>
      </c>
      <c r="F23839" s="102" t="str">
        <f ca="1">IFERROR(__xludf.DUMMYFUNCTION("IMPORTRANGE(H23839,""IDENTITAS UNIT!D9"")"),"#N/A")</f>
        <v>#N/A</v>
      </c>
      <c r="H23839" s="4" t="str">
        <v/>
      </c>
      <c r="I23839" s="4" t="str">
        <v/>
      </c>
    </row>
    <row r="23840" spans="5:9" ht="16.5" hidden="1">
      <c r="E23840" s="4" t="str">
        <v/>
      </c>
      <c r="F23840" s="102" t="str">
        <f ca="1">IFERROR(__xludf.DUMMYFUNCTION("IMPORTRANGE(H23840,""IDENTITAS UNIT!D9"")"),"#N/A")</f>
        <v>#N/A</v>
      </c>
      <c r="H23840" s="4" t="str">
        <v/>
      </c>
      <c r="I23840" s="4" t="str">
        <v/>
      </c>
    </row>
    <row r="23841" spans="5:9" ht="16.5" hidden="1">
      <c r="E23841" s="4" t="str">
        <v/>
      </c>
      <c r="F23841" s="102" t="str">
        <f ca="1">IFERROR(__xludf.DUMMYFUNCTION("IMPORTRANGE(H23841,""IDENTITAS UNIT!D9"")"),"#N/A")</f>
        <v>#N/A</v>
      </c>
      <c r="H23841" s="4" t="str">
        <v/>
      </c>
      <c r="I23841" s="4" t="str">
        <v/>
      </c>
    </row>
    <row r="23842" spans="5:9" ht="16.5" hidden="1">
      <c r="E23842" s="4" t="str">
        <v/>
      </c>
      <c r="F23842" s="102" t="str">
        <f ca="1">IFERROR(__xludf.DUMMYFUNCTION("IMPORTRANGE(H23842,""IDENTITAS UNIT!D9"")"),"#N/A")</f>
        <v>#N/A</v>
      </c>
      <c r="H23842" s="4" t="str">
        <v/>
      </c>
      <c r="I23842" s="4" t="str">
        <v/>
      </c>
    </row>
    <row r="23843" spans="5:9" ht="16.5" hidden="1">
      <c r="E23843" s="4" t="str">
        <v/>
      </c>
      <c r="F23843" s="102" t="str">
        <f ca="1">IFERROR(__xludf.DUMMYFUNCTION("IMPORTRANGE(H23843,""IDENTITAS UNIT!D9"")"),"#N/A")</f>
        <v>#N/A</v>
      </c>
      <c r="H23843" s="4" t="str">
        <v/>
      </c>
      <c r="I23843" s="4" t="str">
        <v/>
      </c>
    </row>
    <row r="23844" spans="5:9" ht="16.5" hidden="1">
      <c r="E23844" s="4" t="str">
        <v/>
      </c>
      <c r="F23844" s="102" t="str">
        <f ca="1">IFERROR(__xludf.DUMMYFUNCTION("IMPORTRANGE(H23844,""IDENTITAS UNIT!D9"")"),"#N/A")</f>
        <v>#N/A</v>
      </c>
      <c r="H23844" s="4" t="str">
        <v/>
      </c>
      <c r="I23844" s="4" t="str">
        <v/>
      </c>
    </row>
    <row r="23845" spans="5:9" ht="16.5" hidden="1">
      <c r="E23845" s="4" t="str">
        <v/>
      </c>
      <c r="F23845" s="102" t="str">
        <f ca="1">IFERROR(__xludf.DUMMYFUNCTION("IMPORTRANGE(H23845,""IDENTITAS UNIT!D9"")"),"#N/A")</f>
        <v>#N/A</v>
      </c>
      <c r="H23845" s="4" t="str">
        <v/>
      </c>
      <c r="I23845" s="4" t="str">
        <v/>
      </c>
    </row>
    <row r="23846" spans="5:9" ht="16.5" hidden="1">
      <c r="E23846" s="4" t="str">
        <v/>
      </c>
      <c r="F23846" s="102" t="str">
        <f ca="1">IFERROR(__xludf.DUMMYFUNCTION("IMPORTRANGE(H23846,""IDENTITAS UNIT!D9"")"),"#N/A")</f>
        <v>#N/A</v>
      </c>
      <c r="H23846" s="4" t="str">
        <v/>
      </c>
      <c r="I23846" s="4" t="str">
        <v/>
      </c>
    </row>
    <row r="23847" spans="5:9" ht="16.5" hidden="1">
      <c r="E23847" s="4" t="str">
        <v/>
      </c>
      <c r="F23847" s="102" t="str">
        <f ca="1">IFERROR(__xludf.DUMMYFUNCTION("IMPORTRANGE(H23847,""IDENTITAS UNIT!D9"")"),"#N/A")</f>
        <v>#N/A</v>
      </c>
      <c r="H23847" s="4" t="str">
        <v/>
      </c>
      <c r="I23847" s="4" t="str">
        <v/>
      </c>
    </row>
    <row r="23848" spans="5:9" ht="16.5" hidden="1">
      <c r="E23848" s="4" t="str">
        <v/>
      </c>
      <c r="F23848" s="102" t="str">
        <f ca="1">IFERROR(__xludf.DUMMYFUNCTION("IMPORTRANGE(H23848,""IDENTITAS UNIT!D9"")"),"#N/A")</f>
        <v>#N/A</v>
      </c>
      <c r="H23848" s="4" t="str">
        <v/>
      </c>
      <c r="I23848" s="4" t="str">
        <v/>
      </c>
    </row>
    <row r="23849" spans="5:9" ht="16.5" hidden="1">
      <c r="E23849" s="4" t="str">
        <v/>
      </c>
      <c r="F23849" s="102" t="str">
        <f ca="1">IFERROR(__xludf.DUMMYFUNCTION("IMPORTRANGE(H23849,""IDENTITAS UNIT!D9"")"),"#N/A")</f>
        <v>#N/A</v>
      </c>
      <c r="H23849" s="4" t="str">
        <v/>
      </c>
      <c r="I23849" s="4" t="str">
        <v/>
      </c>
    </row>
    <row r="23850" spans="5:9" ht="16.5" hidden="1">
      <c r="E23850" s="4" t="str">
        <v/>
      </c>
      <c r="F23850" s="102" t="str">
        <f ca="1">IFERROR(__xludf.DUMMYFUNCTION("IMPORTRANGE(H23850,""IDENTITAS UNIT!D9"")"),"#N/A")</f>
        <v>#N/A</v>
      </c>
      <c r="H23850" s="4" t="str">
        <v/>
      </c>
      <c r="I23850" s="4" t="str">
        <v/>
      </c>
    </row>
    <row r="23851" spans="5:9" ht="16.5" hidden="1">
      <c r="E23851" s="4" t="str">
        <v/>
      </c>
      <c r="F23851" s="102" t="str">
        <f ca="1">IFERROR(__xludf.DUMMYFUNCTION("IMPORTRANGE(H23851,""IDENTITAS UNIT!D9"")"),"#N/A")</f>
        <v>#N/A</v>
      </c>
      <c r="H23851" s="4" t="str">
        <v/>
      </c>
      <c r="I23851" s="4" t="str">
        <v/>
      </c>
    </row>
    <row r="23852" spans="5:9" ht="16.5" hidden="1">
      <c r="E23852" s="4" t="str">
        <v/>
      </c>
      <c r="F23852" s="102" t="str">
        <f ca="1">IFERROR(__xludf.DUMMYFUNCTION("IMPORTRANGE(H23852,""IDENTITAS UNIT!D9"")"),"#N/A")</f>
        <v>#N/A</v>
      </c>
      <c r="H23852" s="4" t="str">
        <v/>
      </c>
      <c r="I23852" s="4" t="str">
        <v/>
      </c>
    </row>
    <row r="23853" spans="5:9" ht="16.5" hidden="1">
      <c r="E23853" s="4" t="str">
        <v/>
      </c>
      <c r="F23853" s="102" t="str">
        <f ca="1">IFERROR(__xludf.DUMMYFUNCTION("IMPORTRANGE(H23853,""IDENTITAS UNIT!D9"")"),"#N/A")</f>
        <v>#N/A</v>
      </c>
      <c r="H23853" s="4" t="str">
        <v/>
      </c>
      <c r="I23853" s="4" t="str">
        <v/>
      </c>
    </row>
    <row r="23854" spans="5:9" ht="16.5" hidden="1">
      <c r="E23854" s="4" t="str">
        <v/>
      </c>
      <c r="F23854" s="102" t="str">
        <f ca="1">IFERROR(__xludf.DUMMYFUNCTION("IMPORTRANGE(H23854,""IDENTITAS UNIT!D9"")"),"#N/A")</f>
        <v>#N/A</v>
      </c>
      <c r="H23854" s="4" t="str">
        <v/>
      </c>
      <c r="I23854" s="4" t="str">
        <v/>
      </c>
    </row>
    <row r="23855" spans="5:9" ht="16.5" hidden="1">
      <c r="E23855" s="4" t="str">
        <v/>
      </c>
      <c r="F23855" s="102" t="str">
        <f ca="1">IFERROR(__xludf.DUMMYFUNCTION("IMPORTRANGE(H23855,""IDENTITAS UNIT!D9"")"),"#N/A")</f>
        <v>#N/A</v>
      </c>
      <c r="H23855" s="4" t="str">
        <v/>
      </c>
      <c r="I23855" s="4" t="str">
        <v/>
      </c>
    </row>
    <row r="23856" spans="5:9" ht="16.5" hidden="1">
      <c r="E23856" s="4" t="str">
        <v/>
      </c>
      <c r="F23856" s="102" t="str">
        <f ca="1">IFERROR(__xludf.DUMMYFUNCTION("IMPORTRANGE(H23856,""IDENTITAS UNIT!D9"")"),"#N/A")</f>
        <v>#N/A</v>
      </c>
      <c r="H23856" s="4" t="str">
        <v/>
      </c>
      <c r="I23856" s="4" t="str">
        <v/>
      </c>
    </row>
    <row r="23857" spans="5:9" ht="16.5" hidden="1">
      <c r="E23857" s="4" t="str">
        <v/>
      </c>
      <c r="F23857" s="102" t="str">
        <f ca="1">IFERROR(__xludf.DUMMYFUNCTION("IMPORTRANGE(H23857,""IDENTITAS UNIT!D9"")"),"#N/A")</f>
        <v>#N/A</v>
      </c>
      <c r="H23857" s="4" t="str">
        <v/>
      </c>
      <c r="I23857" s="4" t="str">
        <v/>
      </c>
    </row>
    <row r="23858" spans="5:9" ht="16.5" hidden="1">
      <c r="E23858" s="4" t="str">
        <v/>
      </c>
      <c r="F23858" s="102" t="str">
        <f ca="1">IFERROR(__xludf.DUMMYFUNCTION("IMPORTRANGE(H23858,""IDENTITAS UNIT!D9"")"),"#N/A")</f>
        <v>#N/A</v>
      </c>
      <c r="H23858" s="4" t="str">
        <v/>
      </c>
      <c r="I23858" s="4" t="str">
        <v/>
      </c>
    </row>
    <row r="23859" spans="5:9" ht="16.5" hidden="1">
      <c r="E23859" s="4" t="str">
        <v/>
      </c>
      <c r="F23859" s="102" t="str">
        <f ca="1">IFERROR(__xludf.DUMMYFUNCTION("IMPORTRANGE(H23859,""IDENTITAS UNIT!D9"")"),"#N/A")</f>
        <v>#N/A</v>
      </c>
      <c r="H23859" s="4" t="str">
        <v/>
      </c>
      <c r="I23859" s="4" t="str">
        <v/>
      </c>
    </row>
    <row r="23860" spans="5:9" ht="16.5" hidden="1">
      <c r="E23860" s="4" t="str">
        <v/>
      </c>
      <c r="F23860" s="102" t="str">
        <f ca="1">IFERROR(__xludf.DUMMYFUNCTION("IMPORTRANGE(H23860,""IDENTITAS UNIT!D9"")"),"#N/A")</f>
        <v>#N/A</v>
      </c>
      <c r="H23860" s="4" t="str">
        <v/>
      </c>
      <c r="I23860" s="4" t="str">
        <v/>
      </c>
    </row>
    <row r="23861" spans="5:9" ht="16.5" hidden="1">
      <c r="E23861" s="4" t="str">
        <v/>
      </c>
      <c r="F23861" s="102" t="str">
        <f ca="1">IFERROR(__xludf.DUMMYFUNCTION("IMPORTRANGE(H23861,""IDENTITAS UNIT!D9"")"),"#N/A")</f>
        <v>#N/A</v>
      </c>
      <c r="H23861" s="4" t="str">
        <v/>
      </c>
      <c r="I23861" s="4" t="str">
        <v/>
      </c>
    </row>
    <row r="23862" spans="5:9" ht="16.5" hidden="1">
      <c r="E23862" s="4" t="str">
        <v/>
      </c>
      <c r="F23862" s="102" t="str">
        <f ca="1">IFERROR(__xludf.DUMMYFUNCTION("IMPORTRANGE(H23862,""IDENTITAS UNIT!D9"")"),"#N/A")</f>
        <v>#N/A</v>
      </c>
      <c r="H23862" s="4" t="str">
        <v/>
      </c>
      <c r="I23862" s="4" t="str">
        <v/>
      </c>
    </row>
    <row r="23863" spans="5:9" ht="16.5" hidden="1">
      <c r="E23863" s="4" t="str">
        <v/>
      </c>
      <c r="F23863" s="102" t="str">
        <f ca="1">IFERROR(__xludf.DUMMYFUNCTION("IMPORTRANGE(H23863,""IDENTITAS UNIT!D9"")"),"#N/A")</f>
        <v>#N/A</v>
      </c>
      <c r="H23863" s="4" t="str">
        <v/>
      </c>
      <c r="I23863" s="4" t="str">
        <v/>
      </c>
    </row>
    <row r="23864" spans="5:9" ht="16.5" hidden="1">
      <c r="E23864" s="4" t="str">
        <v/>
      </c>
      <c r="F23864" s="102" t="str">
        <f ca="1">IFERROR(__xludf.DUMMYFUNCTION("IMPORTRANGE(H23864,""IDENTITAS UNIT!D9"")"),"#N/A")</f>
        <v>#N/A</v>
      </c>
      <c r="H23864" s="4" t="str">
        <v/>
      </c>
      <c r="I23864" s="4" t="str">
        <v/>
      </c>
    </row>
    <row r="23865" spans="5:9" ht="16.5" hidden="1">
      <c r="E23865" s="4" t="str">
        <v/>
      </c>
      <c r="F23865" s="102" t="str">
        <f ca="1">IFERROR(__xludf.DUMMYFUNCTION("IMPORTRANGE(H23865,""IDENTITAS UNIT!D9"")"),"#N/A")</f>
        <v>#N/A</v>
      </c>
      <c r="H23865" s="4" t="str">
        <v/>
      </c>
      <c r="I23865" s="4" t="str">
        <v/>
      </c>
    </row>
    <row r="23866" spans="5:9" ht="16.5" hidden="1">
      <c r="E23866" s="4" t="str">
        <v/>
      </c>
      <c r="F23866" s="102" t="str">
        <f ca="1">IFERROR(__xludf.DUMMYFUNCTION("IMPORTRANGE(H23866,""IDENTITAS UNIT!D9"")"),"#N/A")</f>
        <v>#N/A</v>
      </c>
      <c r="H23866" s="4" t="str">
        <v/>
      </c>
      <c r="I23866" s="4" t="str">
        <v/>
      </c>
    </row>
    <row r="23867" spans="5:9" ht="16.5" hidden="1">
      <c r="E23867" s="4" t="str">
        <v/>
      </c>
      <c r="F23867" s="102" t="str">
        <f ca="1">IFERROR(__xludf.DUMMYFUNCTION("IMPORTRANGE(H23867,""IDENTITAS UNIT!D9"")"),"#N/A")</f>
        <v>#N/A</v>
      </c>
      <c r="H23867" s="4" t="str">
        <v/>
      </c>
      <c r="I23867" s="4" t="str">
        <v/>
      </c>
    </row>
    <row r="23868" spans="5:9" ht="16.5" hidden="1">
      <c r="E23868" s="4" t="str">
        <v/>
      </c>
      <c r="F23868" s="102" t="str">
        <f ca="1">IFERROR(__xludf.DUMMYFUNCTION("IMPORTRANGE(H23868,""IDENTITAS UNIT!D9"")"),"#N/A")</f>
        <v>#N/A</v>
      </c>
      <c r="H23868" s="4" t="str">
        <v/>
      </c>
      <c r="I23868" s="4" t="str">
        <v/>
      </c>
    </row>
    <row r="23869" spans="5:9" ht="16.5" hidden="1">
      <c r="E23869" s="4" t="str">
        <v/>
      </c>
      <c r="F23869" s="102" t="str">
        <f ca="1">IFERROR(__xludf.DUMMYFUNCTION("IMPORTRANGE(H23869,""IDENTITAS UNIT!D9"")"),"#N/A")</f>
        <v>#N/A</v>
      </c>
      <c r="H23869" s="4" t="str">
        <v/>
      </c>
      <c r="I23869" s="4" t="str">
        <v/>
      </c>
    </row>
    <row r="23870" spans="5:9" ht="16.5" hidden="1">
      <c r="E23870" s="4" t="str">
        <v/>
      </c>
      <c r="F23870" s="102" t="str">
        <f ca="1">IFERROR(__xludf.DUMMYFUNCTION("IMPORTRANGE(H23870,""IDENTITAS UNIT!D9"")"),"#N/A")</f>
        <v>#N/A</v>
      </c>
      <c r="H23870" s="4" t="str">
        <v/>
      </c>
      <c r="I23870" s="4" t="str">
        <v/>
      </c>
    </row>
    <row r="23871" spans="5:9" ht="16.5" hidden="1">
      <c r="E23871" s="4" t="str">
        <v/>
      </c>
      <c r="F23871" s="102" t="str">
        <f ca="1">IFERROR(__xludf.DUMMYFUNCTION("IMPORTRANGE(H23871,""IDENTITAS UNIT!D9"")"),"#N/A")</f>
        <v>#N/A</v>
      </c>
      <c r="H23871" s="4" t="str">
        <v/>
      </c>
      <c r="I23871" s="4" t="str">
        <v/>
      </c>
    </row>
    <row r="23872" spans="5:9" ht="16.5" hidden="1">
      <c r="E23872" s="4" t="str">
        <v/>
      </c>
      <c r="F23872" s="102" t="str">
        <f ca="1">IFERROR(__xludf.DUMMYFUNCTION("IMPORTRANGE(H23872,""IDENTITAS UNIT!D9"")"),"#N/A")</f>
        <v>#N/A</v>
      </c>
      <c r="H23872" s="4" t="str">
        <v/>
      </c>
      <c r="I23872" s="4" t="str">
        <v/>
      </c>
    </row>
    <row r="23873" spans="5:9" ht="16.5" hidden="1">
      <c r="E23873" s="4" t="str">
        <v/>
      </c>
      <c r="F23873" s="102" t="str">
        <f ca="1">IFERROR(__xludf.DUMMYFUNCTION("IMPORTRANGE(H23873,""IDENTITAS UNIT!D9"")"),"#N/A")</f>
        <v>#N/A</v>
      </c>
      <c r="H23873" s="4" t="str">
        <v/>
      </c>
      <c r="I23873" s="4" t="str">
        <v/>
      </c>
    </row>
    <row r="23874" spans="5:9" ht="16.5" hidden="1">
      <c r="E23874" s="4" t="str">
        <v/>
      </c>
      <c r="F23874" s="102" t="str">
        <f ca="1">IFERROR(__xludf.DUMMYFUNCTION("IMPORTRANGE(H23874,""IDENTITAS UNIT!D9"")"),"#N/A")</f>
        <v>#N/A</v>
      </c>
      <c r="H23874" s="4" t="str">
        <v/>
      </c>
      <c r="I23874" s="4" t="str">
        <v/>
      </c>
    </row>
    <row r="23875" spans="5:9" ht="16.5" hidden="1">
      <c r="E23875" s="4" t="str">
        <v/>
      </c>
      <c r="F23875" s="102" t="str">
        <f ca="1">IFERROR(__xludf.DUMMYFUNCTION("IMPORTRANGE(H23875,""IDENTITAS UNIT!D9"")"),"#N/A")</f>
        <v>#N/A</v>
      </c>
      <c r="H23875" s="4" t="str">
        <v/>
      </c>
      <c r="I23875" s="4" t="str">
        <v/>
      </c>
    </row>
    <row r="23876" spans="5:9" ht="16.5" hidden="1">
      <c r="E23876" s="4" t="str">
        <v/>
      </c>
      <c r="F23876" s="102" t="str">
        <f ca="1">IFERROR(__xludf.DUMMYFUNCTION("IMPORTRANGE(H23876,""IDENTITAS UNIT!D9"")"),"#N/A")</f>
        <v>#N/A</v>
      </c>
      <c r="H23876" s="4" t="str">
        <v/>
      </c>
      <c r="I23876" s="4" t="str">
        <v/>
      </c>
    </row>
    <row r="23877" spans="5:9" ht="16.5" hidden="1">
      <c r="E23877" s="4" t="str">
        <v/>
      </c>
      <c r="F23877" s="102" t="str">
        <f ca="1">IFERROR(__xludf.DUMMYFUNCTION("IMPORTRANGE(H23877,""IDENTITAS UNIT!D9"")"),"#N/A")</f>
        <v>#N/A</v>
      </c>
      <c r="H23877" s="4" t="str">
        <v/>
      </c>
      <c r="I23877" s="4" t="str">
        <v/>
      </c>
    </row>
    <row r="23878" spans="5:9" ht="16.5" hidden="1">
      <c r="E23878" s="4" t="str">
        <v/>
      </c>
      <c r="F23878" s="102" t="str">
        <f ca="1">IFERROR(__xludf.DUMMYFUNCTION("IMPORTRANGE(H23878,""IDENTITAS UNIT!D9"")"),"#N/A")</f>
        <v>#N/A</v>
      </c>
      <c r="H23878" s="4" t="str">
        <v/>
      </c>
      <c r="I23878" s="4" t="str">
        <v/>
      </c>
    </row>
    <row r="23879" spans="5:9" ht="16.5" hidden="1">
      <c r="E23879" s="4" t="str">
        <v/>
      </c>
      <c r="F23879" s="102" t="str">
        <f ca="1">IFERROR(__xludf.DUMMYFUNCTION("IMPORTRANGE(H23879,""IDENTITAS UNIT!D9"")"),"#N/A")</f>
        <v>#N/A</v>
      </c>
      <c r="H23879" s="4" t="str">
        <v/>
      </c>
      <c r="I23879" s="4" t="str">
        <v/>
      </c>
    </row>
    <row r="23880" spans="5:9" ht="16.5" hidden="1">
      <c r="E23880" s="4" t="str">
        <v/>
      </c>
      <c r="F23880" s="102" t="str">
        <f ca="1">IFERROR(__xludf.DUMMYFUNCTION("IMPORTRANGE(H23880,""IDENTITAS UNIT!D9"")"),"#N/A")</f>
        <v>#N/A</v>
      </c>
      <c r="H23880" s="4" t="str">
        <v/>
      </c>
      <c r="I23880" s="4" t="str">
        <v/>
      </c>
    </row>
    <row r="23881" spans="5:9" ht="16.5" hidden="1">
      <c r="E23881" s="4" t="str">
        <v/>
      </c>
      <c r="F23881" s="102" t="str">
        <f ca="1">IFERROR(__xludf.DUMMYFUNCTION("IMPORTRANGE(H23881,""IDENTITAS UNIT!D9"")"),"#N/A")</f>
        <v>#N/A</v>
      </c>
      <c r="H23881" s="4" t="str">
        <v/>
      </c>
      <c r="I23881" s="4" t="str">
        <v/>
      </c>
    </row>
    <row r="23882" spans="5:9" ht="16.5" hidden="1">
      <c r="E23882" s="4" t="str">
        <v/>
      </c>
      <c r="F23882" s="102" t="str">
        <f ca="1">IFERROR(__xludf.DUMMYFUNCTION("IMPORTRANGE(H23882,""IDENTITAS UNIT!D9"")"),"#N/A")</f>
        <v>#N/A</v>
      </c>
      <c r="H23882" s="4" t="str">
        <v/>
      </c>
      <c r="I23882" s="4" t="str">
        <v/>
      </c>
    </row>
    <row r="23883" spans="5:9" ht="16.5" hidden="1">
      <c r="E23883" s="4" t="str">
        <v/>
      </c>
      <c r="F23883" s="102" t="str">
        <f ca="1">IFERROR(__xludf.DUMMYFUNCTION("IMPORTRANGE(H23883,""IDENTITAS UNIT!D9"")"),"#N/A")</f>
        <v>#N/A</v>
      </c>
      <c r="H23883" s="4" t="str">
        <v/>
      </c>
      <c r="I23883" s="4" t="str">
        <v/>
      </c>
    </row>
    <row r="23884" spans="5:9" ht="16.5" hidden="1">
      <c r="E23884" s="4" t="str">
        <v/>
      </c>
      <c r="F23884" s="102" t="str">
        <f ca="1">IFERROR(__xludf.DUMMYFUNCTION("IMPORTRANGE(H23884,""IDENTITAS UNIT!D9"")"),"#N/A")</f>
        <v>#N/A</v>
      </c>
      <c r="H23884" s="4" t="str">
        <v/>
      </c>
      <c r="I23884" s="4" t="str">
        <v/>
      </c>
    </row>
    <row r="23885" spans="5:9" ht="16.5" hidden="1">
      <c r="E23885" s="4" t="str">
        <v/>
      </c>
      <c r="F23885" s="102" t="str">
        <f ca="1">IFERROR(__xludf.DUMMYFUNCTION("IMPORTRANGE(H23885,""IDENTITAS UNIT!D9"")"),"#N/A")</f>
        <v>#N/A</v>
      </c>
      <c r="H23885" s="4" t="str">
        <v/>
      </c>
      <c r="I23885" s="4" t="str">
        <v/>
      </c>
    </row>
    <row r="23886" spans="5:9" ht="16.5" hidden="1">
      <c r="E23886" s="4" t="str">
        <v/>
      </c>
      <c r="F23886" s="102" t="str">
        <f ca="1">IFERROR(__xludf.DUMMYFUNCTION("IMPORTRANGE(H23886,""IDENTITAS UNIT!D9"")"),"#N/A")</f>
        <v>#N/A</v>
      </c>
      <c r="H23886" s="4" t="str">
        <v/>
      </c>
      <c r="I23886" s="4" t="str">
        <v/>
      </c>
    </row>
    <row r="23887" spans="5:9" ht="16.5" hidden="1">
      <c r="E23887" s="4" t="str">
        <v/>
      </c>
      <c r="F23887" s="102" t="str">
        <f ca="1">IFERROR(__xludf.DUMMYFUNCTION("IMPORTRANGE(H23887,""IDENTITAS UNIT!D9"")"),"#N/A")</f>
        <v>#N/A</v>
      </c>
      <c r="H23887" s="4" t="str">
        <v/>
      </c>
      <c r="I23887" s="4" t="str">
        <v/>
      </c>
    </row>
    <row r="23888" spans="5:9" ht="16.5" hidden="1">
      <c r="E23888" s="4" t="str">
        <v/>
      </c>
      <c r="F23888" s="102" t="str">
        <f ca="1">IFERROR(__xludf.DUMMYFUNCTION("IMPORTRANGE(H23888,""IDENTITAS UNIT!D9"")"),"#N/A")</f>
        <v>#N/A</v>
      </c>
      <c r="H23888" s="4" t="str">
        <v/>
      </c>
      <c r="I23888" s="4" t="str">
        <v/>
      </c>
    </row>
    <row r="23889" spans="5:9" ht="16.5" hidden="1">
      <c r="E23889" s="4" t="str">
        <v/>
      </c>
      <c r="F23889" s="102" t="str">
        <f ca="1">IFERROR(__xludf.DUMMYFUNCTION("IMPORTRANGE(H23889,""IDENTITAS UNIT!D9"")"),"#N/A")</f>
        <v>#N/A</v>
      </c>
      <c r="H23889" s="4" t="str">
        <v/>
      </c>
      <c r="I23889" s="4" t="str">
        <v/>
      </c>
    </row>
    <row r="23890" spans="5:9" ht="16.5" hidden="1">
      <c r="E23890" s="4" t="str">
        <v/>
      </c>
      <c r="F23890" s="102" t="str">
        <f ca="1">IFERROR(__xludf.DUMMYFUNCTION("IMPORTRANGE(H23890,""IDENTITAS UNIT!D9"")"),"#N/A")</f>
        <v>#N/A</v>
      </c>
      <c r="H23890" s="4" t="str">
        <v/>
      </c>
      <c r="I23890" s="4" t="str">
        <v/>
      </c>
    </row>
    <row r="23891" spans="5:9" ht="16.5" hidden="1">
      <c r="E23891" s="4" t="str">
        <v/>
      </c>
      <c r="F23891" s="102" t="str">
        <f ca="1">IFERROR(__xludf.DUMMYFUNCTION("IMPORTRANGE(H23891,""IDENTITAS UNIT!D9"")"),"#N/A")</f>
        <v>#N/A</v>
      </c>
      <c r="H23891" s="4" t="str">
        <v/>
      </c>
      <c r="I23891" s="4" t="str">
        <v/>
      </c>
    </row>
    <row r="23892" spans="5:9" ht="16.5" hidden="1">
      <c r="E23892" s="4" t="str">
        <v/>
      </c>
      <c r="F23892" s="102" t="str">
        <f ca="1">IFERROR(__xludf.DUMMYFUNCTION("IMPORTRANGE(H23892,""IDENTITAS UNIT!D9"")"),"#N/A")</f>
        <v>#N/A</v>
      </c>
      <c r="H23892" s="4" t="str">
        <v/>
      </c>
      <c r="I23892" s="4" t="str">
        <v/>
      </c>
    </row>
    <row r="23893" spans="5:9" ht="16.5" hidden="1">
      <c r="E23893" s="4" t="str">
        <v/>
      </c>
      <c r="F23893" s="102" t="str">
        <f ca="1">IFERROR(__xludf.DUMMYFUNCTION("IMPORTRANGE(H23893,""IDENTITAS UNIT!D9"")"),"#N/A")</f>
        <v>#N/A</v>
      </c>
      <c r="H23893" s="4" t="str">
        <v/>
      </c>
      <c r="I23893" s="4" t="str">
        <v/>
      </c>
    </row>
    <row r="23894" spans="5:9" ht="16.5" hidden="1">
      <c r="E23894" s="4" t="str">
        <v/>
      </c>
      <c r="F23894" s="102" t="str">
        <f ca="1">IFERROR(__xludf.DUMMYFUNCTION("IMPORTRANGE(H23894,""IDENTITAS UNIT!D9"")"),"#N/A")</f>
        <v>#N/A</v>
      </c>
      <c r="H23894" s="4" t="str">
        <v/>
      </c>
      <c r="I23894" s="4" t="str">
        <v/>
      </c>
    </row>
    <row r="23895" spans="5:9" ht="16.5" hidden="1">
      <c r="E23895" s="4" t="str">
        <v/>
      </c>
      <c r="F23895" s="102" t="str">
        <f ca="1">IFERROR(__xludf.DUMMYFUNCTION("IMPORTRANGE(H23895,""IDENTITAS UNIT!D9"")"),"#N/A")</f>
        <v>#N/A</v>
      </c>
      <c r="H23895" s="4" t="str">
        <v/>
      </c>
      <c r="I23895" s="4" t="str">
        <v/>
      </c>
    </row>
    <row r="23896" spans="5:9" ht="16.5" hidden="1">
      <c r="E23896" s="4" t="str">
        <v/>
      </c>
      <c r="F23896" s="102" t="str">
        <f ca="1">IFERROR(__xludf.DUMMYFUNCTION("IMPORTRANGE(H23896,""IDENTITAS UNIT!D9"")"),"#N/A")</f>
        <v>#N/A</v>
      </c>
      <c r="H23896" s="4" t="str">
        <v/>
      </c>
      <c r="I23896" s="4" t="str">
        <v/>
      </c>
    </row>
    <row r="23897" spans="5:9" ht="16.5" hidden="1">
      <c r="E23897" s="4" t="str">
        <v/>
      </c>
      <c r="F23897" s="102" t="str">
        <f ca="1">IFERROR(__xludf.DUMMYFUNCTION("IMPORTRANGE(H23897,""IDENTITAS UNIT!D9"")"),"#N/A")</f>
        <v>#N/A</v>
      </c>
      <c r="H23897" s="4" t="str">
        <v/>
      </c>
      <c r="I23897" s="4" t="str">
        <v/>
      </c>
    </row>
    <row r="23898" spans="5:9" ht="16.5" hidden="1">
      <c r="E23898" s="4" t="str">
        <v/>
      </c>
      <c r="F23898" s="102" t="str">
        <f ca="1">IFERROR(__xludf.DUMMYFUNCTION("IMPORTRANGE(H23898,""IDENTITAS UNIT!D9"")"),"#N/A")</f>
        <v>#N/A</v>
      </c>
      <c r="H23898" s="4" t="str">
        <v/>
      </c>
      <c r="I23898" s="4" t="str">
        <v/>
      </c>
    </row>
    <row r="23899" spans="5:9" ht="16.5" hidden="1">
      <c r="E23899" s="4" t="str">
        <v/>
      </c>
      <c r="F23899" s="102" t="str">
        <f ca="1">IFERROR(__xludf.DUMMYFUNCTION("IMPORTRANGE(H23899,""IDENTITAS UNIT!D9"")"),"#N/A")</f>
        <v>#N/A</v>
      </c>
      <c r="H23899" s="4" t="str">
        <v/>
      </c>
      <c r="I23899" s="4" t="str">
        <v/>
      </c>
    </row>
    <row r="23900" spans="5:9" ht="16.5" hidden="1">
      <c r="E23900" s="4" t="str">
        <v/>
      </c>
      <c r="F23900" s="102" t="str">
        <f ca="1">IFERROR(__xludf.DUMMYFUNCTION("IMPORTRANGE(H23900,""IDENTITAS UNIT!D9"")"),"#N/A")</f>
        <v>#N/A</v>
      </c>
      <c r="H23900" s="4" t="str">
        <v/>
      </c>
      <c r="I23900" s="4" t="str">
        <v/>
      </c>
    </row>
    <row r="23901" spans="5:9" ht="16.5" hidden="1">
      <c r="E23901" s="4" t="str">
        <v/>
      </c>
      <c r="F23901" s="102" t="str">
        <f ca="1">IFERROR(__xludf.DUMMYFUNCTION("IMPORTRANGE(H23901,""IDENTITAS UNIT!D9"")"),"#N/A")</f>
        <v>#N/A</v>
      </c>
      <c r="H23901" s="4" t="str">
        <v/>
      </c>
      <c r="I23901" s="4" t="str">
        <v/>
      </c>
    </row>
    <row r="23902" spans="5:9" ht="16.5" hidden="1">
      <c r="E23902" s="4" t="str">
        <v/>
      </c>
      <c r="F23902" s="102" t="str">
        <f ca="1">IFERROR(__xludf.DUMMYFUNCTION("IMPORTRANGE(H23902,""IDENTITAS UNIT!D9"")"),"#N/A")</f>
        <v>#N/A</v>
      </c>
      <c r="H23902" s="4" t="str">
        <v/>
      </c>
      <c r="I23902" s="4" t="str">
        <v/>
      </c>
    </row>
    <row r="23903" spans="5:9" ht="16.5" hidden="1">
      <c r="E23903" s="4" t="str">
        <v/>
      </c>
      <c r="F23903" s="102" t="str">
        <f ca="1">IFERROR(__xludf.DUMMYFUNCTION("IMPORTRANGE(H23903,""IDENTITAS UNIT!D9"")"),"#N/A")</f>
        <v>#N/A</v>
      </c>
      <c r="H23903" s="4" t="str">
        <v/>
      </c>
      <c r="I23903" s="4" t="str">
        <v/>
      </c>
    </row>
    <row r="23904" spans="5:9" ht="16.5" hidden="1">
      <c r="E23904" s="4" t="str">
        <v/>
      </c>
      <c r="F23904" s="102" t="str">
        <f ca="1">IFERROR(__xludf.DUMMYFUNCTION("IMPORTRANGE(H23904,""IDENTITAS UNIT!D9"")"),"#N/A")</f>
        <v>#N/A</v>
      </c>
      <c r="H23904" s="4" t="str">
        <v/>
      </c>
      <c r="I23904" s="4" t="str">
        <v/>
      </c>
    </row>
    <row r="23905" spans="5:9" ht="16.5" hidden="1">
      <c r="E23905" s="4" t="str">
        <v/>
      </c>
      <c r="F23905" s="102" t="str">
        <f ca="1">IFERROR(__xludf.DUMMYFUNCTION("IMPORTRANGE(H23905,""IDENTITAS UNIT!D9"")"),"#N/A")</f>
        <v>#N/A</v>
      </c>
      <c r="H23905" s="4" t="str">
        <v/>
      </c>
      <c r="I23905" s="4" t="str">
        <v/>
      </c>
    </row>
    <row r="23906" spans="5:9" ht="16.5" hidden="1">
      <c r="E23906" s="4" t="str">
        <v/>
      </c>
      <c r="F23906" s="102" t="str">
        <f ca="1">IFERROR(__xludf.DUMMYFUNCTION("IMPORTRANGE(H23906,""IDENTITAS UNIT!D9"")"),"#N/A")</f>
        <v>#N/A</v>
      </c>
      <c r="H23906" s="4" t="str">
        <v/>
      </c>
      <c r="I23906" s="4" t="str">
        <v/>
      </c>
    </row>
    <row r="23907" spans="5:9" ht="16.5" hidden="1">
      <c r="E23907" s="4" t="str">
        <v/>
      </c>
      <c r="F23907" s="102" t="str">
        <f ca="1">IFERROR(__xludf.DUMMYFUNCTION("IMPORTRANGE(H23907,""IDENTITAS UNIT!D9"")"),"#N/A")</f>
        <v>#N/A</v>
      </c>
      <c r="H23907" s="4" t="str">
        <v/>
      </c>
      <c r="I23907" s="4" t="str">
        <v/>
      </c>
    </row>
    <row r="23908" spans="5:9" ht="16.5" hidden="1">
      <c r="E23908" s="4" t="str">
        <v/>
      </c>
      <c r="F23908" s="102" t="str">
        <f ca="1">IFERROR(__xludf.DUMMYFUNCTION("IMPORTRANGE(H23908,""IDENTITAS UNIT!D9"")"),"#N/A")</f>
        <v>#N/A</v>
      </c>
      <c r="H23908" s="4" t="str">
        <v/>
      </c>
      <c r="I23908" s="4" t="str">
        <v/>
      </c>
    </row>
    <row r="23909" spans="5:9" ht="16.5" hidden="1">
      <c r="E23909" s="4" t="str">
        <v/>
      </c>
      <c r="F23909" s="102" t="str">
        <f ca="1">IFERROR(__xludf.DUMMYFUNCTION("IMPORTRANGE(H23909,""IDENTITAS UNIT!D9"")"),"#N/A")</f>
        <v>#N/A</v>
      </c>
      <c r="H23909" s="4" t="str">
        <v/>
      </c>
      <c r="I23909" s="4" t="str">
        <v/>
      </c>
    </row>
    <row r="23910" spans="5:9" ht="16.5" hidden="1">
      <c r="E23910" s="4" t="str">
        <v/>
      </c>
      <c r="F23910" s="102" t="str">
        <f ca="1">IFERROR(__xludf.DUMMYFUNCTION("IMPORTRANGE(H23910,""IDENTITAS UNIT!D9"")"),"#N/A")</f>
        <v>#N/A</v>
      </c>
      <c r="H23910" s="4" t="str">
        <v/>
      </c>
      <c r="I23910" s="4" t="str">
        <v/>
      </c>
    </row>
    <row r="23911" spans="5:9" ht="16.5" hidden="1">
      <c r="E23911" s="4" t="str">
        <v/>
      </c>
      <c r="F23911" s="102" t="str">
        <f ca="1">IFERROR(__xludf.DUMMYFUNCTION("IMPORTRANGE(H23911,""IDENTITAS UNIT!D9"")"),"#N/A")</f>
        <v>#N/A</v>
      </c>
      <c r="H23911" s="4" t="str">
        <v/>
      </c>
      <c r="I23911" s="4" t="str">
        <v/>
      </c>
    </row>
    <row r="23912" spans="5:9" ht="16.5" hidden="1">
      <c r="E23912" s="4" t="str">
        <v/>
      </c>
      <c r="F23912" s="102" t="str">
        <f ca="1">IFERROR(__xludf.DUMMYFUNCTION("IMPORTRANGE(H23912,""IDENTITAS UNIT!D9"")"),"#N/A")</f>
        <v>#N/A</v>
      </c>
      <c r="H23912" s="4" t="str">
        <v/>
      </c>
      <c r="I23912" s="4" t="str">
        <v/>
      </c>
    </row>
    <row r="23913" spans="5:9" ht="16.5" hidden="1">
      <c r="E23913" s="4" t="str">
        <v/>
      </c>
      <c r="F23913" s="102" t="str">
        <f ca="1">IFERROR(__xludf.DUMMYFUNCTION("IMPORTRANGE(H23913,""IDENTITAS UNIT!D9"")"),"#N/A")</f>
        <v>#N/A</v>
      </c>
      <c r="H23913" s="4" t="str">
        <v/>
      </c>
      <c r="I23913" s="4" t="str">
        <v/>
      </c>
    </row>
    <row r="23914" spans="5:9" ht="16.5" hidden="1">
      <c r="E23914" s="4" t="str">
        <v/>
      </c>
      <c r="F23914" s="102" t="str">
        <f ca="1">IFERROR(__xludf.DUMMYFUNCTION("IMPORTRANGE(H23914,""IDENTITAS UNIT!D9"")"),"#N/A")</f>
        <v>#N/A</v>
      </c>
      <c r="H23914" s="4" t="str">
        <v/>
      </c>
      <c r="I23914" s="4" t="str">
        <v/>
      </c>
    </row>
    <row r="23915" spans="5:9" ht="16.5" hidden="1">
      <c r="E23915" s="4" t="str">
        <v/>
      </c>
      <c r="F23915" s="102" t="str">
        <f ca="1">IFERROR(__xludf.DUMMYFUNCTION("IMPORTRANGE(H23915,""IDENTITAS UNIT!D9"")"),"#N/A")</f>
        <v>#N/A</v>
      </c>
      <c r="H23915" s="4" t="str">
        <v/>
      </c>
      <c r="I23915" s="4" t="str">
        <v/>
      </c>
    </row>
    <row r="23916" spans="5:9" ht="16.5" hidden="1">
      <c r="E23916" s="4" t="str">
        <v/>
      </c>
      <c r="F23916" s="102" t="str">
        <f ca="1">IFERROR(__xludf.DUMMYFUNCTION("IMPORTRANGE(H23916,""IDENTITAS UNIT!D9"")"),"#N/A")</f>
        <v>#N/A</v>
      </c>
      <c r="H23916" s="4" t="str">
        <v/>
      </c>
      <c r="I23916" s="4" t="str">
        <v/>
      </c>
    </row>
    <row r="23917" spans="5:9" ht="16.5" hidden="1">
      <c r="E23917" s="4" t="str">
        <v/>
      </c>
      <c r="F23917" s="102" t="str">
        <f ca="1">IFERROR(__xludf.DUMMYFUNCTION("IMPORTRANGE(H23917,""IDENTITAS UNIT!D9"")"),"#N/A")</f>
        <v>#N/A</v>
      </c>
      <c r="H23917" s="4" t="str">
        <v/>
      </c>
      <c r="I23917" s="4" t="str">
        <v/>
      </c>
    </row>
    <row r="23918" spans="5:9" ht="16.5" hidden="1">
      <c r="E23918" s="4" t="str">
        <v/>
      </c>
      <c r="F23918" s="102" t="str">
        <f ca="1">IFERROR(__xludf.DUMMYFUNCTION("IMPORTRANGE(H23918,""IDENTITAS UNIT!D9"")"),"#N/A")</f>
        <v>#N/A</v>
      </c>
      <c r="H23918" s="4" t="str">
        <v/>
      </c>
      <c r="I23918" s="4" t="str">
        <v/>
      </c>
    </row>
    <row r="23919" spans="5:9" ht="16.5" hidden="1">
      <c r="E23919" s="4" t="str">
        <v/>
      </c>
      <c r="F23919" s="102" t="str">
        <f ca="1">IFERROR(__xludf.DUMMYFUNCTION("IMPORTRANGE(H23919,""IDENTITAS UNIT!D9"")"),"#N/A")</f>
        <v>#N/A</v>
      </c>
      <c r="H23919" s="4" t="str">
        <v/>
      </c>
      <c r="I23919" s="4" t="str">
        <v/>
      </c>
    </row>
    <row r="23920" spans="5:9" ht="16.5" hidden="1">
      <c r="E23920" s="4" t="str">
        <v/>
      </c>
      <c r="F23920" s="102" t="str">
        <f ca="1">IFERROR(__xludf.DUMMYFUNCTION("IMPORTRANGE(H23920,""IDENTITAS UNIT!D9"")"),"#N/A")</f>
        <v>#N/A</v>
      </c>
      <c r="H23920" s="4" t="str">
        <v/>
      </c>
      <c r="I23920" s="4" t="str">
        <v/>
      </c>
    </row>
    <row r="23921" spans="5:9" ht="16.5" hidden="1">
      <c r="E23921" s="4" t="str">
        <v/>
      </c>
      <c r="F23921" s="102" t="str">
        <f ca="1">IFERROR(__xludf.DUMMYFUNCTION("IMPORTRANGE(H23921,""IDENTITAS UNIT!D9"")"),"#N/A")</f>
        <v>#N/A</v>
      </c>
      <c r="H23921" s="4" t="str">
        <v/>
      </c>
      <c r="I23921" s="4" t="str">
        <v/>
      </c>
    </row>
    <row r="23922" spans="5:9" ht="16.5" hidden="1">
      <c r="E23922" s="4" t="str">
        <v/>
      </c>
      <c r="F23922" s="102" t="str">
        <f ca="1">IFERROR(__xludf.DUMMYFUNCTION("IMPORTRANGE(H23922,""IDENTITAS UNIT!D9"")"),"#N/A")</f>
        <v>#N/A</v>
      </c>
      <c r="H23922" s="4" t="str">
        <v/>
      </c>
      <c r="I23922" s="4" t="str">
        <v/>
      </c>
    </row>
    <row r="23923" spans="5:9" ht="16.5" hidden="1">
      <c r="E23923" s="4" t="str">
        <v/>
      </c>
      <c r="F23923" s="102" t="str">
        <f ca="1">IFERROR(__xludf.DUMMYFUNCTION("IMPORTRANGE(H23923,""IDENTITAS UNIT!D9"")"),"#N/A")</f>
        <v>#N/A</v>
      </c>
      <c r="H23923" s="4" t="str">
        <v/>
      </c>
      <c r="I23923" s="4" t="str">
        <v/>
      </c>
    </row>
    <row r="23924" spans="5:9" ht="16.5" hidden="1">
      <c r="E23924" s="4" t="str">
        <v/>
      </c>
      <c r="F23924" s="102" t="str">
        <f ca="1">IFERROR(__xludf.DUMMYFUNCTION("IMPORTRANGE(H23924,""IDENTITAS UNIT!D9"")"),"#N/A")</f>
        <v>#N/A</v>
      </c>
      <c r="H23924" s="4" t="str">
        <v/>
      </c>
      <c r="I23924" s="4" t="str">
        <v/>
      </c>
    </row>
    <row r="23925" spans="5:9" ht="16.5" hidden="1">
      <c r="E23925" s="4" t="str">
        <v/>
      </c>
      <c r="F23925" s="102" t="str">
        <f ca="1">IFERROR(__xludf.DUMMYFUNCTION("IMPORTRANGE(H23925,""IDENTITAS UNIT!D9"")"),"#N/A")</f>
        <v>#N/A</v>
      </c>
      <c r="H23925" s="4" t="str">
        <v/>
      </c>
      <c r="I23925" s="4" t="str">
        <v/>
      </c>
    </row>
    <row r="23926" spans="5:9" ht="16.5" hidden="1">
      <c r="E23926" s="4" t="str">
        <v/>
      </c>
      <c r="F23926" s="102" t="str">
        <f ca="1">IFERROR(__xludf.DUMMYFUNCTION("IMPORTRANGE(H23926,""IDENTITAS UNIT!D9"")"),"#N/A")</f>
        <v>#N/A</v>
      </c>
      <c r="H23926" s="4" t="str">
        <v/>
      </c>
      <c r="I23926" s="4" t="str">
        <v/>
      </c>
    </row>
    <row r="23927" spans="5:9" ht="16.5" hidden="1">
      <c r="E23927" s="4" t="str">
        <v/>
      </c>
      <c r="F23927" s="102" t="str">
        <f ca="1">IFERROR(__xludf.DUMMYFUNCTION("IMPORTRANGE(H23927,""IDENTITAS UNIT!D9"")"),"#N/A")</f>
        <v>#N/A</v>
      </c>
      <c r="H23927" s="4" t="str">
        <v/>
      </c>
      <c r="I23927" s="4" t="str">
        <v/>
      </c>
    </row>
    <row r="23928" spans="5:9" ht="16.5" hidden="1">
      <c r="E23928" s="4" t="str">
        <v/>
      </c>
      <c r="F23928" s="102" t="str">
        <f ca="1">IFERROR(__xludf.DUMMYFUNCTION("IMPORTRANGE(H23928,""IDENTITAS UNIT!D9"")"),"#N/A")</f>
        <v>#N/A</v>
      </c>
      <c r="H23928" s="4" t="str">
        <v/>
      </c>
      <c r="I23928" s="4" t="str">
        <v/>
      </c>
    </row>
    <row r="23929" spans="5:9" ht="16.5" hidden="1">
      <c r="E23929" s="4" t="str">
        <v/>
      </c>
      <c r="F23929" s="102" t="str">
        <f ca="1">IFERROR(__xludf.DUMMYFUNCTION("IMPORTRANGE(H23929,""IDENTITAS UNIT!D9"")"),"#N/A")</f>
        <v>#N/A</v>
      </c>
      <c r="H23929" s="4" t="str">
        <v/>
      </c>
      <c r="I23929" s="4" t="str">
        <v/>
      </c>
    </row>
    <row r="23930" spans="5:9" ht="16.5" hidden="1">
      <c r="E23930" s="4" t="str">
        <v/>
      </c>
      <c r="F23930" s="102" t="str">
        <f ca="1">IFERROR(__xludf.DUMMYFUNCTION("IMPORTRANGE(H23930,""IDENTITAS UNIT!D9"")"),"#N/A")</f>
        <v>#N/A</v>
      </c>
      <c r="H23930" s="4" t="str">
        <v/>
      </c>
      <c r="I23930" s="4" t="str">
        <v/>
      </c>
    </row>
    <row r="23931" spans="5:9" ht="16.5" hidden="1">
      <c r="E23931" s="4" t="str">
        <v/>
      </c>
      <c r="F23931" s="102" t="str">
        <f ca="1">IFERROR(__xludf.DUMMYFUNCTION("IMPORTRANGE(H23931,""IDENTITAS UNIT!D9"")"),"#N/A")</f>
        <v>#N/A</v>
      </c>
      <c r="H23931" s="4" t="str">
        <v/>
      </c>
      <c r="I23931" s="4" t="str">
        <v/>
      </c>
    </row>
    <row r="23932" spans="5:9" ht="16.5" hidden="1">
      <c r="E23932" s="4" t="str">
        <v/>
      </c>
      <c r="F23932" s="102" t="str">
        <f ca="1">IFERROR(__xludf.DUMMYFUNCTION("IMPORTRANGE(H23932,""IDENTITAS UNIT!D9"")"),"#N/A")</f>
        <v>#N/A</v>
      </c>
      <c r="H23932" s="4" t="str">
        <v/>
      </c>
      <c r="I23932" s="4" t="str">
        <v/>
      </c>
    </row>
    <row r="23933" spans="5:9" ht="16.5" hidden="1">
      <c r="E23933" s="4" t="str">
        <v/>
      </c>
      <c r="F23933" s="102" t="str">
        <f ca="1">IFERROR(__xludf.DUMMYFUNCTION("IMPORTRANGE(H23933,""IDENTITAS UNIT!D9"")"),"#N/A")</f>
        <v>#N/A</v>
      </c>
      <c r="H23933" s="4" t="str">
        <v/>
      </c>
      <c r="I23933" s="4" t="str">
        <v/>
      </c>
    </row>
    <row r="23934" spans="5:9" ht="16.5" hidden="1">
      <c r="E23934" s="4" t="str">
        <v/>
      </c>
      <c r="F23934" s="102" t="str">
        <f ca="1">IFERROR(__xludf.DUMMYFUNCTION("IMPORTRANGE(H23934,""IDENTITAS UNIT!D9"")"),"#N/A")</f>
        <v>#N/A</v>
      </c>
      <c r="H23934" s="4" t="str">
        <v/>
      </c>
      <c r="I23934" s="4" t="str">
        <v/>
      </c>
    </row>
    <row r="23935" spans="5:9" ht="16.5" hidden="1">
      <c r="E23935" s="4" t="str">
        <v/>
      </c>
      <c r="F23935" s="102" t="str">
        <f ca="1">IFERROR(__xludf.DUMMYFUNCTION("IMPORTRANGE(H23935,""IDENTITAS UNIT!D9"")"),"#N/A")</f>
        <v>#N/A</v>
      </c>
      <c r="H23935" s="4" t="str">
        <v/>
      </c>
      <c r="I23935" s="4" t="str">
        <v/>
      </c>
    </row>
    <row r="23936" spans="5:9" ht="16.5" hidden="1">
      <c r="E23936" s="4" t="str">
        <v/>
      </c>
      <c r="F23936" s="102" t="str">
        <f ca="1">IFERROR(__xludf.DUMMYFUNCTION("IMPORTRANGE(H23936,""IDENTITAS UNIT!D9"")"),"#N/A")</f>
        <v>#N/A</v>
      </c>
      <c r="H23936" s="4" t="str">
        <v/>
      </c>
      <c r="I23936" s="4" t="str">
        <v/>
      </c>
    </row>
    <row r="23937" spans="5:9" ht="16.5" hidden="1">
      <c r="E23937" s="4" t="str">
        <v/>
      </c>
      <c r="F23937" s="102" t="str">
        <f ca="1">IFERROR(__xludf.DUMMYFUNCTION("IMPORTRANGE(H23937,""IDENTITAS UNIT!D9"")"),"#N/A")</f>
        <v>#N/A</v>
      </c>
      <c r="H23937" s="4" t="str">
        <v/>
      </c>
      <c r="I23937" s="4" t="str">
        <v/>
      </c>
    </row>
    <row r="23938" spans="5:9" ht="16.5" hidden="1">
      <c r="E23938" s="4" t="str">
        <v/>
      </c>
      <c r="F23938" s="102" t="str">
        <f ca="1">IFERROR(__xludf.DUMMYFUNCTION("IMPORTRANGE(H23938,""IDENTITAS UNIT!D9"")"),"#N/A")</f>
        <v>#N/A</v>
      </c>
      <c r="H23938" s="4" t="str">
        <v/>
      </c>
      <c r="I23938" s="4" t="str">
        <v/>
      </c>
    </row>
    <row r="23939" spans="5:9" ht="16.5" hidden="1">
      <c r="E23939" s="4" t="str">
        <v/>
      </c>
      <c r="F23939" s="102" t="str">
        <f ca="1">IFERROR(__xludf.DUMMYFUNCTION("IMPORTRANGE(H23939,""IDENTITAS UNIT!D9"")"),"#N/A")</f>
        <v>#N/A</v>
      </c>
      <c r="H23939" s="4" t="str">
        <v/>
      </c>
      <c r="I23939" s="4" t="str">
        <v/>
      </c>
    </row>
    <row r="23940" spans="5:9" ht="16.5" hidden="1">
      <c r="E23940" s="4" t="str">
        <v/>
      </c>
      <c r="F23940" s="102" t="str">
        <f ca="1">IFERROR(__xludf.DUMMYFUNCTION("IMPORTRANGE(H23940,""IDENTITAS UNIT!D9"")"),"#N/A")</f>
        <v>#N/A</v>
      </c>
      <c r="H23940" s="4" t="str">
        <v/>
      </c>
      <c r="I23940" s="4" t="str">
        <v/>
      </c>
    </row>
    <row r="23941" spans="5:9" ht="16.5" hidden="1">
      <c r="E23941" s="4" t="str">
        <v/>
      </c>
      <c r="F23941" s="102" t="str">
        <f ca="1">IFERROR(__xludf.DUMMYFUNCTION("IMPORTRANGE(H23941,""IDENTITAS UNIT!D9"")"),"#N/A")</f>
        <v>#N/A</v>
      </c>
      <c r="H23941" s="4" t="str">
        <v/>
      </c>
      <c r="I23941" s="4" t="str">
        <v/>
      </c>
    </row>
    <row r="23942" spans="5:9" ht="16.5" hidden="1">
      <c r="E23942" s="4" t="str">
        <v/>
      </c>
      <c r="F23942" s="102" t="str">
        <f ca="1">IFERROR(__xludf.DUMMYFUNCTION("IMPORTRANGE(H23942,""IDENTITAS UNIT!D9"")"),"#N/A")</f>
        <v>#N/A</v>
      </c>
      <c r="H23942" s="4" t="str">
        <v/>
      </c>
      <c r="I23942" s="4" t="str">
        <v/>
      </c>
    </row>
    <row r="23943" spans="5:9" ht="16.5" hidden="1">
      <c r="E23943" s="4" t="str">
        <v/>
      </c>
      <c r="F23943" s="102" t="str">
        <f ca="1">IFERROR(__xludf.DUMMYFUNCTION("IMPORTRANGE(H23943,""IDENTITAS UNIT!D9"")"),"#N/A")</f>
        <v>#N/A</v>
      </c>
      <c r="H23943" s="4" t="str">
        <v/>
      </c>
      <c r="I23943" s="4" t="str">
        <v/>
      </c>
    </row>
    <row r="23944" spans="5:9" ht="16.5" hidden="1">
      <c r="E23944" s="4" t="str">
        <v/>
      </c>
      <c r="F23944" s="102" t="str">
        <f ca="1">IFERROR(__xludf.DUMMYFUNCTION("IMPORTRANGE(H23944,""IDENTITAS UNIT!D9"")"),"#N/A")</f>
        <v>#N/A</v>
      </c>
      <c r="H23944" s="4" t="str">
        <v/>
      </c>
      <c r="I23944" s="4" t="str">
        <v/>
      </c>
    </row>
    <row r="23945" spans="5:9" ht="16.5" hidden="1">
      <c r="E23945" s="4" t="str">
        <v/>
      </c>
      <c r="F23945" s="102" t="str">
        <f ca="1">IFERROR(__xludf.DUMMYFUNCTION("IMPORTRANGE(H23945,""IDENTITAS UNIT!D9"")"),"#N/A")</f>
        <v>#N/A</v>
      </c>
      <c r="H23945" s="4" t="str">
        <v/>
      </c>
      <c r="I23945" s="4" t="str">
        <v/>
      </c>
    </row>
    <row r="23946" spans="5:9" ht="16.5" hidden="1">
      <c r="E23946" s="4" t="str">
        <v/>
      </c>
      <c r="F23946" s="102" t="str">
        <f ca="1">IFERROR(__xludf.DUMMYFUNCTION("IMPORTRANGE(H23946,""IDENTITAS UNIT!D9"")"),"#N/A")</f>
        <v>#N/A</v>
      </c>
      <c r="H23946" s="4" t="str">
        <v/>
      </c>
      <c r="I23946" s="4" t="str">
        <v/>
      </c>
    </row>
    <row r="23947" spans="5:9" ht="16.5" hidden="1">
      <c r="E23947" s="4" t="str">
        <v/>
      </c>
      <c r="F23947" s="102" t="str">
        <f ca="1">IFERROR(__xludf.DUMMYFUNCTION("IMPORTRANGE(H23947,""IDENTITAS UNIT!D9"")"),"#N/A")</f>
        <v>#N/A</v>
      </c>
      <c r="H23947" s="4" t="str">
        <v/>
      </c>
      <c r="I23947" s="4" t="str">
        <v/>
      </c>
    </row>
    <row r="23948" spans="5:9" ht="16.5" hidden="1">
      <c r="E23948" s="4" t="str">
        <v/>
      </c>
      <c r="F23948" s="102" t="str">
        <f ca="1">IFERROR(__xludf.DUMMYFUNCTION("IMPORTRANGE(H23948,""IDENTITAS UNIT!D9"")"),"#N/A")</f>
        <v>#N/A</v>
      </c>
      <c r="H23948" s="4" t="str">
        <v/>
      </c>
      <c r="I23948" s="4" t="str">
        <v/>
      </c>
    </row>
    <row r="23949" spans="5:9" ht="16.5" hidden="1">
      <c r="E23949" s="4" t="str">
        <v/>
      </c>
      <c r="F23949" s="102" t="str">
        <f ca="1">IFERROR(__xludf.DUMMYFUNCTION("IMPORTRANGE(H23949,""IDENTITAS UNIT!D9"")"),"#N/A")</f>
        <v>#N/A</v>
      </c>
      <c r="H23949" s="4" t="str">
        <v/>
      </c>
      <c r="I23949" s="4" t="str">
        <v/>
      </c>
    </row>
    <row r="23950" spans="5:9" ht="16.5" hidden="1">
      <c r="E23950" s="4" t="str">
        <v/>
      </c>
      <c r="F23950" s="102" t="str">
        <f ca="1">IFERROR(__xludf.DUMMYFUNCTION("IMPORTRANGE(H23950,""IDENTITAS UNIT!D9"")"),"#N/A")</f>
        <v>#N/A</v>
      </c>
      <c r="H23950" s="4" t="str">
        <v/>
      </c>
      <c r="I23950" s="4" t="str">
        <v/>
      </c>
    </row>
    <row r="23951" spans="5:9" ht="16.5" hidden="1">
      <c r="E23951" s="4" t="str">
        <v/>
      </c>
      <c r="F23951" s="102" t="str">
        <f ca="1">IFERROR(__xludf.DUMMYFUNCTION("IMPORTRANGE(H23951,""IDENTITAS UNIT!D9"")"),"#N/A")</f>
        <v>#N/A</v>
      </c>
      <c r="H23951" s="4" t="str">
        <v/>
      </c>
      <c r="I23951" s="4" t="str">
        <v/>
      </c>
    </row>
    <row r="23952" spans="5:9" ht="16.5" hidden="1">
      <c r="E23952" s="4" t="str">
        <v/>
      </c>
      <c r="F23952" s="102" t="str">
        <f ca="1">IFERROR(__xludf.DUMMYFUNCTION("IMPORTRANGE(H23952,""IDENTITAS UNIT!D9"")"),"#N/A")</f>
        <v>#N/A</v>
      </c>
      <c r="H23952" s="4" t="str">
        <v/>
      </c>
      <c r="I23952" s="4" t="str">
        <v/>
      </c>
    </row>
    <row r="23953" spans="5:9" ht="16.5" hidden="1">
      <c r="E23953" s="4" t="str">
        <v/>
      </c>
      <c r="F23953" s="102" t="str">
        <f ca="1">IFERROR(__xludf.DUMMYFUNCTION("IMPORTRANGE(H23953,""IDENTITAS UNIT!D9"")"),"#N/A")</f>
        <v>#N/A</v>
      </c>
      <c r="H23953" s="4" t="str">
        <v/>
      </c>
      <c r="I23953" s="4" t="str">
        <v/>
      </c>
    </row>
    <row r="23954" spans="5:9" ht="16.5" hidden="1">
      <c r="E23954" s="4" t="str">
        <v/>
      </c>
      <c r="F23954" s="102" t="str">
        <f ca="1">IFERROR(__xludf.DUMMYFUNCTION("IMPORTRANGE(H23954,""IDENTITAS UNIT!D9"")"),"#N/A")</f>
        <v>#N/A</v>
      </c>
      <c r="H23954" s="4" t="str">
        <v/>
      </c>
      <c r="I23954" s="4" t="str">
        <v/>
      </c>
    </row>
    <row r="23955" spans="5:9" ht="16.5" hidden="1">
      <c r="E23955" s="4" t="str">
        <v/>
      </c>
      <c r="F23955" s="102" t="str">
        <f ca="1">IFERROR(__xludf.DUMMYFUNCTION("IMPORTRANGE(H23955,""IDENTITAS UNIT!D9"")"),"#N/A")</f>
        <v>#N/A</v>
      </c>
      <c r="H23955" s="4" t="str">
        <v/>
      </c>
      <c r="I23955" s="4" t="str">
        <v/>
      </c>
    </row>
    <row r="23956" spans="5:9" ht="16.5" hidden="1">
      <c r="E23956" s="4" t="str">
        <v/>
      </c>
      <c r="F23956" s="102" t="str">
        <f ca="1">IFERROR(__xludf.DUMMYFUNCTION("IMPORTRANGE(H23956,""IDENTITAS UNIT!D9"")"),"#N/A")</f>
        <v>#N/A</v>
      </c>
      <c r="H23956" s="4" t="str">
        <v/>
      </c>
      <c r="I23956" s="4" t="str">
        <v/>
      </c>
    </row>
    <row r="23957" spans="5:9" ht="16.5" hidden="1">
      <c r="E23957" s="4" t="str">
        <v/>
      </c>
      <c r="F23957" s="102" t="str">
        <f ca="1">IFERROR(__xludf.DUMMYFUNCTION("IMPORTRANGE(H23957,""IDENTITAS UNIT!D9"")"),"#N/A")</f>
        <v>#N/A</v>
      </c>
      <c r="H23957" s="4" t="str">
        <v/>
      </c>
      <c r="I23957" s="4" t="str">
        <v/>
      </c>
    </row>
    <row r="23958" spans="5:9" ht="16.5" hidden="1">
      <c r="E23958" s="4" t="str">
        <v/>
      </c>
      <c r="F23958" s="102" t="str">
        <f ca="1">IFERROR(__xludf.DUMMYFUNCTION("IMPORTRANGE(H23958,""IDENTITAS UNIT!D9"")"),"#N/A")</f>
        <v>#N/A</v>
      </c>
      <c r="H23958" s="4" t="str">
        <v/>
      </c>
      <c r="I23958" s="4" t="str">
        <v/>
      </c>
    </row>
    <row r="23959" spans="5:9" ht="16.5" hidden="1">
      <c r="E23959" s="4" t="str">
        <v/>
      </c>
      <c r="F23959" s="102" t="str">
        <f ca="1">IFERROR(__xludf.DUMMYFUNCTION("IMPORTRANGE(H23959,""IDENTITAS UNIT!D9"")"),"#N/A")</f>
        <v>#N/A</v>
      </c>
      <c r="H23959" s="4" t="str">
        <v/>
      </c>
      <c r="I23959" s="4" t="str">
        <v/>
      </c>
    </row>
    <row r="23960" spans="5:9" ht="16.5" hidden="1">
      <c r="E23960" s="4" t="str">
        <v/>
      </c>
      <c r="F23960" s="102" t="str">
        <f ca="1">IFERROR(__xludf.DUMMYFUNCTION("IMPORTRANGE(H23960,""IDENTITAS UNIT!D9"")"),"#N/A")</f>
        <v>#N/A</v>
      </c>
      <c r="H23960" s="4" t="str">
        <v/>
      </c>
      <c r="I23960" s="4" t="str">
        <v/>
      </c>
    </row>
    <row r="23961" spans="5:9" ht="16.5" hidden="1">
      <c r="E23961" s="4" t="str">
        <v/>
      </c>
      <c r="F23961" s="102" t="str">
        <f ca="1">IFERROR(__xludf.DUMMYFUNCTION("IMPORTRANGE(H23961,""IDENTITAS UNIT!D9"")"),"#N/A")</f>
        <v>#N/A</v>
      </c>
      <c r="H23961" s="4" t="str">
        <v/>
      </c>
      <c r="I23961" s="4" t="str">
        <v/>
      </c>
    </row>
    <row r="23962" spans="5:9" ht="16.5" hidden="1">
      <c r="E23962" s="4" t="str">
        <v/>
      </c>
      <c r="F23962" s="102" t="str">
        <f ca="1">IFERROR(__xludf.DUMMYFUNCTION("IMPORTRANGE(H23962,""IDENTITAS UNIT!D9"")"),"#N/A")</f>
        <v>#N/A</v>
      </c>
      <c r="H23962" s="4" t="str">
        <v/>
      </c>
      <c r="I23962" s="4" t="str">
        <v/>
      </c>
    </row>
    <row r="23963" spans="5:9" ht="16.5" hidden="1">
      <c r="E23963" s="4" t="str">
        <v/>
      </c>
      <c r="F23963" s="102" t="str">
        <f ca="1">IFERROR(__xludf.DUMMYFUNCTION("IMPORTRANGE(H23963,""IDENTITAS UNIT!D9"")"),"#N/A")</f>
        <v>#N/A</v>
      </c>
      <c r="H23963" s="4" t="str">
        <v/>
      </c>
      <c r="I23963" s="4" t="str">
        <v/>
      </c>
    </row>
    <row r="23964" spans="5:9" ht="16.5" hidden="1">
      <c r="E23964" s="4" t="str">
        <v/>
      </c>
      <c r="F23964" s="102" t="str">
        <f ca="1">IFERROR(__xludf.DUMMYFUNCTION("IMPORTRANGE(H23964,""IDENTITAS UNIT!D9"")"),"#N/A")</f>
        <v>#N/A</v>
      </c>
      <c r="H23964" s="4" t="str">
        <v/>
      </c>
      <c r="I23964" s="4" t="str">
        <v/>
      </c>
    </row>
    <row r="23965" spans="5:9" ht="16.5" hidden="1">
      <c r="E23965" s="4" t="str">
        <v/>
      </c>
      <c r="F23965" s="102" t="str">
        <f ca="1">IFERROR(__xludf.DUMMYFUNCTION("IMPORTRANGE(H23965,""IDENTITAS UNIT!D9"")"),"#N/A")</f>
        <v>#N/A</v>
      </c>
      <c r="H23965" s="4" t="str">
        <v/>
      </c>
      <c r="I23965" s="4" t="str">
        <v/>
      </c>
    </row>
    <row r="23966" spans="5:9" ht="16.5" hidden="1">
      <c r="E23966" s="4" t="str">
        <v/>
      </c>
      <c r="F23966" s="102" t="str">
        <f ca="1">IFERROR(__xludf.DUMMYFUNCTION("IMPORTRANGE(H23966,""IDENTITAS UNIT!D9"")"),"#N/A")</f>
        <v>#N/A</v>
      </c>
      <c r="H23966" s="4" t="str">
        <v/>
      </c>
      <c r="I23966" s="4" t="str">
        <v/>
      </c>
    </row>
    <row r="23967" spans="5:9" ht="16.5" hidden="1">
      <c r="E23967" s="4" t="str">
        <v/>
      </c>
      <c r="F23967" s="102" t="str">
        <f ca="1">IFERROR(__xludf.DUMMYFUNCTION("IMPORTRANGE(H23967,""IDENTITAS UNIT!D9"")"),"#N/A")</f>
        <v>#N/A</v>
      </c>
      <c r="H23967" s="4" t="str">
        <v/>
      </c>
      <c r="I23967" s="4" t="str">
        <v/>
      </c>
    </row>
    <row r="23968" spans="5:9" ht="16.5" hidden="1">
      <c r="E23968" s="4" t="str">
        <v/>
      </c>
      <c r="F23968" s="102" t="str">
        <f ca="1">IFERROR(__xludf.DUMMYFUNCTION("IMPORTRANGE(H23968,""IDENTITAS UNIT!D9"")"),"#N/A")</f>
        <v>#N/A</v>
      </c>
      <c r="H23968" s="4" t="str">
        <v/>
      </c>
      <c r="I23968" s="4" t="str">
        <v/>
      </c>
    </row>
    <row r="23969" spans="5:9" ht="16.5" hidden="1">
      <c r="E23969" s="4" t="str">
        <v/>
      </c>
      <c r="F23969" s="102" t="str">
        <f ca="1">IFERROR(__xludf.DUMMYFUNCTION("IMPORTRANGE(H23969,""IDENTITAS UNIT!D9"")"),"#N/A")</f>
        <v>#N/A</v>
      </c>
      <c r="H23969" s="4" t="str">
        <v/>
      </c>
      <c r="I23969" s="4" t="str">
        <v/>
      </c>
    </row>
    <row r="23970" spans="5:9" ht="16.5" hidden="1">
      <c r="E23970" s="4" t="str">
        <v/>
      </c>
      <c r="F23970" s="102" t="str">
        <f ca="1">IFERROR(__xludf.DUMMYFUNCTION("IMPORTRANGE(H23970,""IDENTITAS UNIT!D9"")"),"#N/A")</f>
        <v>#N/A</v>
      </c>
      <c r="H23970" s="4" t="str">
        <v/>
      </c>
      <c r="I23970" s="4" t="str">
        <v/>
      </c>
    </row>
    <row r="23971" spans="5:9" ht="16.5" hidden="1">
      <c r="E23971" s="4" t="str">
        <v/>
      </c>
      <c r="F23971" s="102" t="str">
        <f ca="1">IFERROR(__xludf.DUMMYFUNCTION("IMPORTRANGE(H23971,""IDENTITAS UNIT!D9"")"),"#N/A")</f>
        <v>#N/A</v>
      </c>
      <c r="H23971" s="4" t="str">
        <v/>
      </c>
      <c r="I23971" s="4" t="str">
        <v/>
      </c>
    </row>
    <row r="23972" spans="5:9" ht="16.5" hidden="1">
      <c r="E23972" s="4" t="str">
        <v/>
      </c>
      <c r="F23972" s="102" t="str">
        <f ca="1">IFERROR(__xludf.DUMMYFUNCTION("IMPORTRANGE(H23972,""IDENTITAS UNIT!D9"")"),"#N/A")</f>
        <v>#N/A</v>
      </c>
      <c r="H23972" s="4" t="str">
        <v/>
      </c>
      <c r="I23972" s="4" t="str">
        <v/>
      </c>
    </row>
    <row r="23973" spans="5:9" ht="16.5" hidden="1">
      <c r="E23973" s="4" t="str">
        <v/>
      </c>
      <c r="F23973" s="102" t="str">
        <f ca="1">IFERROR(__xludf.DUMMYFUNCTION("IMPORTRANGE(H23973,""IDENTITAS UNIT!D9"")"),"#N/A")</f>
        <v>#N/A</v>
      </c>
      <c r="H23973" s="4" t="str">
        <v/>
      </c>
      <c r="I23973" s="4" t="str">
        <v/>
      </c>
    </row>
    <row r="23974" spans="5:9" ht="16.5" hidden="1">
      <c r="E23974" s="4" t="str">
        <v/>
      </c>
      <c r="F23974" s="102" t="str">
        <f ca="1">IFERROR(__xludf.DUMMYFUNCTION("IMPORTRANGE(H23974,""IDENTITAS UNIT!D9"")"),"#N/A")</f>
        <v>#N/A</v>
      </c>
      <c r="H23974" s="4" t="str">
        <v/>
      </c>
      <c r="I23974" s="4" t="str">
        <v/>
      </c>
    </row>
    <row r="23975" spans="5:9" ht="16.5" hidden="1">
      <c r="E23975" s="4" t="str">
        <v/>
      </c>
      <c r="F23975" s="102" t="str">
        <f ca="1">IFERROR(__xludf.DUMMYFUNCTION("IMPORTRANGE(H23975,""IDENTITAS UNIT!D9"")"),"#N/A")</f>
        <v>#N/A</v>
      </c>
      <c r="H23975" s="4" t="str">
        <v/>
      </c>
      <c r="I23975" s="4" t="str">
        <v/>
      </c>
    </row>
    <row r="23976" spans="5:9" ht="16.5" hidden="1">
      <c r="E23976" s="4" t="str">
        <v/>
      </c>
      <c r="F23976" s="102" t="str">
        <f ca="1">IFERROR(__xludf.DUMMYFUNCTION("IMPORTRANGE(H23976,""IDENTITAS UNIT!D9"")"),"#N/A")</f>
        <v>#N/A</v>
      </c>
      <c r="H23976" s="4" t="str">
        <v/>
      </c>
      <c r="I23976" s="4" t="str">
        <v/>
      </c>
    </row>
    <row r="23977" spans="5:9" ht="16.5" hidden="1">
      <c r="E23977" s="4" t="str">
        <v/>
      </c>
      <c r="F23977" s="102" t="str">
        <f ca="1">IFERROR(__xludf.DUMMYFUNCTION("IMPORTRANGE(H23977,""IDENTITAS UNIT!D9"")"),"#N/A")</f>
        <v>#N/A</v>
      </c>
      <c r="H23977" s="4" t="str">
        <v/>
      </c>
      <c r="I23977" s="4" t="str">
        <v/>
      </c>
    </row>
    <row r="23978" spans="5:9" ht="16.5" hidden="1">
      <c r="E23978" s="4" t="str">
        <v/>
      </c>
      <c r="F23978" s="102" t="str">
        <f ca="1">IFERROR(__xludf.DUMMYFUNCTION("IMPORTRANGE(H23978,""IDENTITAS UNIT!D9"")"),"#N/A")</f>
        <v>#N/A</v>
      </c>
      <c r="H23978" s="4" t="str">
        <v/>
      </c>
      <c r="I23978" s="4" t="str">
        <v/>
      </c>
    </row>
    <row r="23979" spans="5:9" ht="16.5" hidden="1">
      <c r="E23979" s="4" t="str">
        <v/>
      </c>
      <c r="F23979" s="102" t="str">
        <f ca="1">IFERROR(__xludf.DUMMYFUNCTION("IMPORTRANGE(H23979,""IDENTITAS UNIT!D9"")"),"#N/A")</f>
        <v>#N/A</v>
      </c>
      <c r="H23979" s="4" t="str">
        <v/>
      </c>
      <c r="I23979" s="4" t="str">
        <v/>
      </c>
    </row>
    <row r="23980" spans="5:9" ht="16.5" hidden="1">
      <c r="E23980" s="4" t="str">
        <v/>
      </c>
      <c r="F23980" s="102" t="str">
        <f ca="1">IFERROR(__xludf.DUMMYFUNCTION("IMPORTRANGE(H23980,""IDENTITAS UNIT!D9"")"),"#N/A")</f>
        <v>#N/A</v>
      </c>
      <c r="H23980" s="4" t="str">
        <v/>
      </c>
      <c r="I23980" s="4" t="str">
        <v/>
      </c>
    </row>
    <row r="23981" spans="5:9" ht="16.5" hidden="1">
      <c r="E23981" s="4" t="str">
        <v/>
      </c>
      <c r="F23981" s="102" t="str">
        <f ca="1">IFERROR(__xludf.DUMMYFUNCTION("IMPORTRANGE(H23981,""IDENTITAS UNIT!D9"")"),"#N/A")</f>
        <v>#N/A</v>
      </c>
      <c r="H23981" s="4" t="str">
        <v/>
      </c>
      <c r="I23981" s="4" t="str">
        <v/>
      </c>
    </row>
    <row r="23982" spans="5:9" ht="16.5" hidden="1">
      <c r="E23982" s="4" t="str">
        <v/>
      </c>
      <c r="F23982" s="102" t="str">
        <f ca="1">IFERROR(__xludf.DUMMYFUNCTION("IMPORTRANGE(H23982,""IDENTITAS UNIT!D9"")"),"#N/A")</f>
        <v>#N/A</v>
      </c>
      <c r="H23982" s="4" t="str">
        <v/>
      </c>
      <c r="I23982" s="4" t="str">
        <v/>
      </c>
    </row>
    <row r="23983" spans="5:9" ht="16.5" hidden="1">
      <c r="E23983" s="4" t="str">
        <v/>
      </c>
      <c r="F23983" s="102" t="str">
        <f ca="1">IFERROR(__xludf.DUMMYFUNCTION("IMPORTRANGE(H23983,""IDENTITAS UNIT!D9"")"),"#N/A")</f>
        <v>#N/A</v>
      </c>
      <c r="H23983" s="4" t="str">
        <v/>
      </c>
      <c r="I23983" s="4" t="str">
        <v/>
      </c>
    </row>
    <row r="23984" spans="5:9" ht="16.5" hidden="1">
      <c r="E23984" s="4" t="str">
        <v/>
      </c>
      <c r="F23984" s="102" t="str">
        <f ca="1">IFERROR(__xludf.DUMMYFUNCTION("IMPORTRANGE(H23984,""IDENTITAS UNIT!D9"")"),"#N/A")</f>
        <v>#N/A</v>
      </c>
      <c r="H23984" s="4" t="str">
        <v/>
      </c>
      <c r="I23984" s="4" t="str">
        <v/>
      </c>
    </row>
    <row r="23985" spans="5:9" ht="16.5" hidden="1">
      <c r="E23985" s="4" t="str">
        <v/>
      </c>
      <c r="F23985" s="102" t="str">
        <f ca="1">IFERROR(__xludf.DUMMYFUNCTION("IMPORTRANGE(H23985,""IDENTITAS UNIT!D9"")"),"#N/A")</f>
        <v>#N/A</v>
      </c>
      <c r="H23985" s="4" t="str">
        <v/>
      </c>
      <c r="I23985" s="4" t="str">
        <v/>
      </c>
    </row>
    <row r="23986" spans="5:9" ht="16.5" hidden="1">
      <c r="E23986" s="4" t="str">
        <v/>
      </c>
      <c r="F23986" s="102" t="str">
        <f ca="1">IFERROR(__xludf.DUMMYFUNCTION("IMPORTRANGE(H23986,""IDENTITAS UNIT!D9"")"),"#N/A")</f>
        <v>#N/A</v>
      </c>
      <c r="H23986" s="4" t="str">
        <v/>
      </c>
      <c r="I23986" s="4" t="str">
        <v/>
      </c>
    </row>
    <row r="23987" spans="5:9" ht="16.5" hidden="1">
      <c r="E23987" s="4" t="str">
        <v/>
      </c>
      <c r="F23987" s="102" t="str">
        <f ca="1">IFERROR(__xludf.DUMMYFUNCTION("IMPORTRANGE(H23987,""IDENTITAS UNIT!D9"")"),"#N/A")</f>
        <v>#N/A</v>
      </c>
      <c r="H23987" s="4" t="str">
        <v/>
      </c>
      <c r="I23987" s="4" t="str">
        <v/>
      </c>
    </row>
    <row r="23988" spans="5:9" ht="16.5" hidden="1">
      <c r="E23988" s="4" t="str">
        <v/>
      </c>
      <c r="F23988" s="102" t="str">
        <f ca="1">IFERROR(__xludf.DUMMYFUNCTION("IMPORTRANGE(H23988,""IDENTITAS UNIT!D9"")"),"#N/A")</f>
        <v>#N/A</v>
      </c>
      <c r="H23988" s="4" t="str">
        <v/>
      </c>
      <c r="I23988" s="4" t="str">
        <v/>
      </c>
    </row>
    <row r="23989" spans="5:9" ht="16.5" hidden="1">
      <c r="E23989" s="4" t="str">
        <v/>
      </c>
      <c r="F23989" s="102" t="str">
        <f ca="1">IFERROR(__xludf.DUMMYFUNCTION("IMPORTRANGE(H23989,""IDENTITAS UNIT!D9"")"),"#N/A")</f>
        <v>#N/A</v>
      </c>
      <c r="H23989" s="4" t="str">
        <v/>
      </c>
      <c r="I23989" s="4" t="str">
        <v/>
      </c>
    </row>
    <row r="23990" spans="5:9" ht="16.5" hidden="1">
      <c r="E23990" s="4" t="str">
        <v/>
      </c>
      <c r="F23990" s="102" t="str">
        <f ca="1">IFERROR(__xludf.DUMMYFUNCTION("IMPORTRANGE(H23990,""IDENTITAS UNIT!D9"")"),"#N/A")</f>
        <v>#N/A</v>
      </c>
      <c r="H23990" s="4" t="str">
        <v/>
      </c>
      <c r="I23990" s="4" t="str">
        <v/>
      </c>
    </row>
    <row r="23991" spans="5:9" ht="16.5" hidden="1">
      <c r="E23991" s="4" t="str">
        <v/>
      </c>
      <c r="F23991" s="102" t="str">
        <f ca="1">IFERROR(__xludf.DUMMYFUNCTION("IMPORTRANGE(H23991,""IDENTITAS UNIT!D9"")"),"#N/A")</f>
        <v>#N/A</v>
      </c>
      <c r="H23991" s="4" t="str">
        <v/>
      </c>
      <c r="I23991" s="4" t="str">
        <v/>
      </c>
    </row>
    <row r="23992" spans="5:9" ht="16.5" hidden="1">
      <c r="E23992" s="4" t="str">
        <v/>
      </c>
      <c r="F23992" s="102" t="str">
        <f ca="1">IFERROR(__xludf.DUMMYFUNCTION("IMPORTRANGE(H23992,""IDENTITAS UNIT!D9"")"),"#N/A")</f>
        <v>#N/A</v>
      </c>
      <c r="H23992" s="4" t="str">
        <v/>
      </c>
      <c r="I23992" s="4" t="str">
        <v/>
      </c>
    </row>
    <row r="23993" spans="5:9" ht="16.5" hidden="1">
      <c r="E23993" s="4" t="str">
        <v/>
      </c>
      <c r="F23993" s="102" t="str">
        <f ca="1">IFERROR(__xludf.DUMMYFUNCTION("IMPORTRANGE(H23993,""IDENTITAS UNIT!D9"")"),"#N/A")</f>
        <v>#N/A</v>
      </c>
      <c r="H23993" s="4" t="str">
        <v/>
      </c>
      <c r="I23993" s="4" t="str">
        <v/>
      </c>
    </row>
    <row r="23994" spans="5:9" ht="16.5" hidden="1">
      <c r="E23994" s="4" t="str">
        <v/>
      </c>
      <c r="F23994" s="102" t="str">
        <f ca="1">IFERROR(__xludf.DUMMYFUNCTION("IMPORTRANGE(H23994,""IDENTITAS UNIT!D9"")"),"#N/A")</f>
        <v>#N/A</v>
      </c>
      <c r="H23994" s="4" t="str">
        <v/>
      </c>
      <c r="I23994" s="4" t="str">
        <v/>
      </c>
    </row>
    <row r="23995" spans="5:9" ht="16.5" hidden="1">
      <c r="E23995" s="4" t="str">
        <v/>
      </c>
      <c r="F23995" s="102" t="str">
        <f ca="1">IFERROR(__xludf.DUMMYFUNCTION("IMPORTRANGE(H23995,""IDENTITAS UNIT!D9"")"),"#N/A")</f>
        <v>#N/A</v>
      </c>
      <c r="H23995" s="4" t="str">
        <v/>
      </c>
      <c r="I23995" s="4" t="str">
        <v/>
      </c>
    </row>
    <row r="23996" spans="5:9" ht="16.5" hidden="1">
      <c r="E23996" s="4" t="str">
        <v/>
      </c>
      <c r="F23996" s="102" t="str">
        <f ca="1">IFERROR(__xludf.DUMMYFUNCTION("IMPORTRANGE(H23996,""IDENTITAS UNIT!D9"")"),"#N/A")</f>
        <v>#N/A</v>
      </c>
      <c r="H23996" s="4" t="str">
        <v/>
      </c>
      <c r="I23996" s="4" t="str">
        <v/>
      </c>
    </row>
    <row r="23997" spans="5:9" ht="16.5" hidden="1">
      <c r="E23997" s="4" t="str">
        <v/>
      </c>
      <c r="F23997" s="102" t="str">
        <f ca="1">IFERROR(__xludf.DUMMYFUNCTION("IMPORTRANGE(H23997,""IDENTITAS UNIT!D9"")"),"#N/A")</f>
        <v>#N/A</v>
      </c>
      <c r="H23997" s="4" t="str">
        <v/>
      </c>
      <c r="I23997" s="4" t="str">
        <v/>
      </c>
    </row>
    <row r="23998" spans="5:9" ht="16.5" hidden="1">
      <c r="E23998" s="4" t="str">
        <v/>
      </c>
      <c r="F23998" s="102" t="str">
        <f ca="1">IFERROR(__xludf.DUMMYFUNCTION("IMPORTRANGE(H23998,""IDENTITAS UNIT!D9"")"),"#N/A")</f>
        <v>#N/A</v>
      </c>
      <c r="H23998" s="4" t="str">
        <v/>
      </c>
      <c r="I23998" s="4" t="str">
        <v/>
      </c>
    </row>
    <row r="23999" spans="5:9" ht="16.5" hidden="1">
      <c r="E23999" s="4" t="str">
        <v/>
      </c>
      <c r="F23999" s="102" t="str">
        <f ca="1">IFERROR(__xludf.DUMMYFUNCTION("IMPORTRANGE(H23999,""IDENTITAS UNIT!D9"")"),"#N/A")</f>
        <v>#N/A</v>
      </c>
      <c r="H23999" s="4" t="str">
        <v/>
      </c>
      <c r="I23999" s="4" t="str">
        <v/>
      </c>
    </row>
    <row r="24000" spans="5:9" ht="16.5" hidden="1">
      <c r="E24000" s="4" t="str">
        <v/>
      </c>
      <c r="F24000" s="102" t="str">
        <f ca="1">IFERROR(__xludf.DUMMYFUNCTION("IMPORTRANGE(H24000,""IDENTITAS UNIT!D9"")"),"#N/A")</f>
        <v>#N/A</v>
      </c>
      <c r="H24000" s="4" t="str">
        <v/>
      </c>
      <c r="I24000" s="4" t="str">
        <v/>
      </c>
    </row>
    <row r="24001" spans="5:9" ht="16.5" hidden="1">
      <c r="E24001" s="4" t="str">
        <v/>
      </c>
      <c r="F24001" s="102" t="str">
        <f ca="1">IFERROR(__xludf.DUMMYFUNCTION("IMPORTRANGE(H24001,""IDENTITAS UNIT!D9"")"),"#N/A")</f>
        <v>#N/A</v>
      </c>
      <c r="H24001" s="4" t="str">
        <v/>
      </c>
      <c r="I24001" s="4" t="str">
        <v/>
      </c>
    </row>
    <row r="24002" spans="5:9" ht="16.5" hidden="1">
      <c r="E24002" s="4" t="str">
        <v/>
      </c>
      <c r="F24002" s="102" t="str">
        <f ca="1">IFERROR(__xludf.DUMMYFUNCTION("IMPORTRANGE(H24002,""IDENTITAS UNIT!D9"")"),"#N/A")</f>
        <v>#N/A</v>
      </c>
      <c r="H24002" s="4" t="str">
        <v/>
      </c>
      <c r="I24002" s="4" t="str">
        <v/>
      </c>
    </row>
    <row r="24003" spans="5:9" ht="16.5" hidden="1">
      <c r="E24003" s="4" t="str">
        <v/>
      </c>
      <c r="F24003" s="102" t="str">
        <f ca="1">IFERROR(__xludf.DUMMYFUNCTION("IMPORTRANGE(H24003,""IDENTITAS UNIT!D9"")"),"#N/A")</f>
        <v>#N/A</v>
      </c>
      <c r="H24003" s="4" t="str">
        <v/>
      </c>
      <c r="I24003" s="4" t="str">
        <v/>
      </c>
    </row>
    <row r="24004" spans="5:9" ht="16.5" hidden="1">
      <c r="E24004" s="4" t="str">
        <v/>
      </c>
      <c r="F24004" s="102" t="str">
        <f ca="1">IFERROR(__xludf.DUMMYFUNCTION("IMPORTRANGE(H24004,""IDENTITAS UNIT!D9"")"),"#N/A")</f>
        <v>#N/A</v>
      </c>
      <c r="H24004" s="4" t="str">
        <v/>
      </c>
      <c r="I24004" s="4" t="str">
        <v/>
      </c>
    </row>
    <row r="24005" spans="5:9" ht="16.5" hidden="1">
      <c r="E24005" s="4" t="str">
        <v/>
      </c>
      <c r="F24005" s="102" t="str">
        <f ca="1">IFERROR(__xludf.DUMMYFUNCTION("IMPORTRANGE(H24005,""IDENTITAS UNIT!D9"")"),"#N/A")</f>
        <v>#N/A</v>
      </c>
      <c r="H24005" s="4" t="str">
        <v/>
      </c>
      <c r="I24005" s="4" t="str">
        <v/>
      </c>
    </row>
    <row r="24006" spans="5:9" ht="16.5" hidden="1">
      <c r="E24006" s="4" t="str">
        <v/>
      </c>
      <c r="F24006" s="102" t="str">
        <f ca="1">IFERROR(__xludf.DUMMYFUNCTION("IMPORTRANGE(H24006,""IDENTITAS UNIT!D9"")"),"#N/A")</f>
        <v>#N/A</v>
      </c>
      <c r="H24006" s="4" t="str">
        <v/>
      </c>
      <c r="I24006" s="4" t="str">
        <v/>
      </c>
    </row>
    <row r="24007" spans="5:9" ht="16.5" hidden="1">
      <c r="E24007" s="4" t="str">
        <v/>
      </c>
      <c r="F24007" s="102" t="str">
        <f ca="1">IFERROR(__xludf.DUMMYFUNCTION("IMPORTRANGE(H24007,""IDENTITAS UNIT!D9"")"),"#N/A")</f>
        <v>#N/A</v>
      </c>
      <c r="H24007" s="4" t="str">
        <v/>
      </c>
      <c r="I24007" s="4" t="str">
        <v/>
      </c>
    </row>
    <row r="24008" spans="5:9" ht="16.5" hidden="1">
      <c r="E24008" s="4" t="str">
        <v/>
      </c>
      <c r="F24008" s="102" t="str">
        <f ca="1">IFERROR(__xludf.DUMMYFUNCTION("IMPORTRANGE(H24008,""IDENTITAS UNIT!D9"")"),"#N/A")</f>
        <v>#N/A</v>
      </c>
      <c r="H24008" s="4" t="str">
        <v/>
      </c>
      <c r="I24008" s="4" t="str">
        <v/>
      </c>
    </row>
    <row r="24009" spans="5:9" ht="16.5" hidden="1">
      <c r="E24009" s="4" t="str">
        <v/>
      </c>
      <c r="F24009" s="102" t="str">
        <f ca="1">IFERROR(__xludf.DUMMYFUNCTION("IMPORTRANGE(H24009,""IDENTITAS UNIT!D9"")"),"#N/A")</f>
        <v>#N/A</v>
      </c>
      <c r="H24009" s="4" t="str">
        <v/>
      </c>
      <c r="I24009" s="4" t="str">
        <v/>
      </c>
    </row>
    <row r="24010" spans="5:9" ht="16.5" hidden="1">
      <c r="E24010" s="4" t="str">
        <v/>
      </c>
      <c r="F24010" s="102" t="str">
        <f ca="1">IFERROR(__xludf.DUMMYFUNCTION("IMPORTRANGE(H24010,""IDENTITAS UNIT!D9"")"),"#N/A")</f>
        <v>#N/A</v>
      </c>
      <c r="H24010" s="4" t="str">
        <v/>
      </c>
      <c r="I24010" s="4" t="str">
        <v/>
      </c>
    </row>
    <row r="24011" spans="5:9" ht="16.5" hidden="1">
      <c r="E24011" s="4" t="str">
        <v/>
      </c>
      <c r="F24011" s="102" t="str">
        <f ca="1">IFERROR(__xludf.DUMMYFUNCTION("IMPORTRANGE(H24011,""IDENTITAS UNIT!D9"")"),"#N/A")</f>
        <v>#N/A</v>
      </c>
      <c r="H24011" s="4" t="str">
        <v/>
      </c>
      <c r="I24011" s="4" t="str">
        <v/>
      </c>
    </row>
    <row r="24012" spans="5:9" ht="16.5" hidden="1">
      <c r="E24012" s="4" t="str">
        <v/>
      </c>
      <c r="F24012" s="102" t="str">
        <f ca="1">IFERROR(__xludf.DUMMYFUNCTION("IMPORTRANGE(H24012,""IDENTITAS UNIT!D9"")"),"#N/A")</f>
        <v>#N/A</v>
      </c>
      <c r="H24012" s="4" t="str">
        <v/>
      </c>
      <c r="I24012" s="4" t="str">
        <v/>
      </c>
    </row>
    <row r="24013" spans="5:9" ht="16.5" hidden="1">
      <c r="E24013" s="4" t="str">
        <v/>
      </c>
      <c r="F24013" s="102" t="str">
        <f ca="1">IFERROR(__xludf.DUMMYFUNCTION("IMPORTRANGE(H24013,""IDENTITAS UNIT!D9"")"),"#N/A")</f>
        <v>#N/A</v>
      </c>
      <c r="H24013" s="4" t="str">
        <v/>
      </c>
      <c r="I24013" s="4" t="str">
        <v/>
      </c>
    </row>
    <row r="24014" spans="5:9" ht="16.5" hidden="1">
      <c r="E24014" s="4" t="str">
        <v/>
      </c>
      <c r="F24014" s="102" t="str">
        <f ca="1">IFERROR(__xludf.DUMMYFUNCTION("IMPORTRANGE(H24014,""IDENTITAS UNIT!D9"")"),"#N/A")</f>
        <v>#N/A</v>
      </c>
      <c r="H24014" s="4" t="str">
        <v/>
      </c>
      <c r="I24014" s="4" t="str">
        <v/>
      </c>
    </row>
    <row r="24015" spans="5:9" ht="16.5" hidden="1">
      <c r="E24015" s="4" t="str">
        <v/>
      </c>
      <c r="F24015" s="102" t="str">
        <f ca="1">IFERROR(__xludf.DUMMYFUNCTION("IMPORTRANGE(H24015,""IDENTITAS UNIT!D9"")"),"#N/A")</f>
        <v>#N/A</v>
      </c>
      <c r="H24015" s="4" t="str">
        <v/>
      </c>
      <c r="I24015" s="4" t="str">
        <v/>
      </c>
    </row>
    <row r="24016" spans="5:9" ht="16.5" hidden="1">
      <c r="E24016" s="4" t="str">
        <v/>
      </c>
      <c r="F24016" s="102" t="str">
        <f ca="1">IFERROR(__xludf.DUMMYFUNCTION("IMPORTRANGE(H24016,""IDENTITAS UNIT!D9"")"),"#N/A")</f>
        <v>#N/A</v>
      </c>
      <c r="H24016" s="4" t="str">
        <v/>
      </c>
      <c r="I24016" s="4" t="str">
        <v/>
      </c>
    </row>
    <row r="24017" spans="5:9" ht="16.5" hidden="1">
      <c r="E24017" s="4" t="str">
        <v/>
      </c>
      <c r="F24017" s="102" t="str">
        <f ca="1">IFERROR(__xludf.DUMMYFUNCTION("IMPORTRANGE(H24017,""IDENTITAS UNIT!D9"")"),"#N/A")</f>
        <v>#N/A</v>
      </c>
      <c r="H24017" s="4" t="str">
        <v/>
      </c>
      <c r="I24017" s="4" t="str">
        <v/>
      </c>
    </row>
    <row r="24018" spans="5:9" ht="16.5" hidden="1">
      <c r="E24018" s="4" t="str">
        <v/>
      </c>
      <c r="F24018" s="102" t="str">
        <f ca="1">IFERROR(__xludf.DUMMYFUNCTION("IMPORTRANGE(H24018,""IDENTITAS UNIT!D9"")"),"#N/A")</f>
        <v>#N/A</v>
      </c>
      <c r="H24018" s="4" t="str">
        <v/>
      </c>
      <c r="I24018" s="4" t="str">
        <v/>
      </c>
    </row>
    <row r="24019" spans="5:9" ht="16.5" hidden="1">
      <c r="E24019" s="4" t="str">
        <v/>
      </c>
      <c r="F24019" s="102" t="str">
        <f ca="1">IFERROR(__xludf.DUMMYFUNCTION("IMPORTRANGE(H24019,""IDENTITAS UNIT!D9"")"),"#N/A")</f>
        <v>#N/A</v>
      </c>
      <c r="H24019" s="4" t="str">
        <v/>
      </c>
      <c r="I24019" s="4" t="str">
        <v/>
      </c>
    </row>
    <row r="24020" spans="5:9" ht="16.5" hidden="1">
      <c r="E24020" s="4" t="str">
        <v/>
      </c>
      <c r="F24020" s="102" t="str">
        <f ca="1">IFERROR(__xludf.DUMMYFUNCTION("IMPORTRANGE(H24020,""IDENTITAS UNIT!D9"")"),"#N/A")</f>
        <v>#N/A</v>
      </c>
      <c r="H24020" s="4" t="str">
        <v/>
      </c>
      <c r="I24020" s="4" t="str">
        <v/>
      </c>
    </row>
    <row r="24021" spans="5:9" ht="16.5" hidden="1">
      <c r="E24021" s="4" t="str">
        <v/>
      </c>
      <c r="F24021" s="102" t="str">
        <f ca="1">IFERROR(__xludf.DUMMYFUNCTION("IMPORTRANGE(H24021,""IDENTITAS UNIT!D9"")"),"#N/A")</f>
        <v>#N/A</v>
      </c>
      <c r="H24021" s="4" t="str">
        <v/>
      </c>
      <c r="I24021" s="4" t="str">
        <v/>
      </c>
    </row>
    <row r="24022" spans="5:9" ht="16.5" hidden="1">
      <c r="E24022" s="4" t="str">
        <v/>
      </c>
      <c r="F24022" s="102" t="str">
        <f ca="1">IFERROR(__xludf.DUMMYFUNCTION("IMPORTRANGE(H24022,""IDENTITAS UNIT!D9"")"),"#N/A")</f>
        <v>#N/A</v>
      </c>
      <c r="H24022" s="4" t="str">
        <v/>
      </c>
      <c r="I24022" s="4" t="str">
        <v/>
      </c>
    </row>
    <row r="24023" spans="5:9" ht="16.5" hidden="1">
      <c r="E24023" s="4" t="str">
        <v/>
      </c>
      <c r="F24023" s="102" t="str">
        <f ca="1">IFERROR(__xludf.DUMMYFUNCTION("IMPORTRANGE(H24023,""IDENTITAS UNIT!D9"")"),"#N/A")</f>
        <v>#N/A</v>
      </c>
      <c r="H24023" s="4" t="str">
        <v/>
      </c>
      <c r="I24023" s="4" t="str">
        <v/>
      </c>
    </row>
    <row r="24024" spans="5:9" ht="16.5" hidden="1">
      <c r="E24024" s="4" t="str">
        <v/>
      </c>
      <c r="F24024" s="102" t="str">
        <f ca="1">IFERROR(__xludf.DUMMYFUNCTION("IMPORTRANGE(H24024,""IDENTITAS UNIT!D9"")"),"#N/A")</f>
        <v>#N/A</v>
      </c>
      <c r="H24024" s="4" t="str">
        <v/>
      </c>
      <c r="I24024" s="4" t="str">
        <v/>
      </c>
    </row>
    <row r="24025" spans="5:9" ht="16.5" hidden="1">
      <c r="E24025" s="4" t="str">
        <v/>
      </c>
      <c r="F24025" s="102" t="str">
        <f ca="1">IFERROR(__xludf.DUMMYFUNCTION("IMPORTRANGE(H24025,""IDENTITAS UNIT!D9"")"),"#N/A")</f>
        <v>#N/A</v>
      </c>
      <c r="H24025" s="4" t="str">
        <v/>
      </c>
      <c r="I24025" s="4" t="str">
        <v/>
      </c>
    </row>
    <row r="24026" spans="5:9" ht="16.5" hidden="1">
      <c r="E24026" s="4" t="str">
        <v/>
      </c>
      <c r="F24026" s="102" t="str">
        <f ca="1">IFERROR(__xludf.DUMMYFUNCTION("IMPORTRANGE(H24026,""IDENTITAS UNIT!D9"")"),"#N/A")</f>
        <v>#N/A</v>
      </c>
      <c r="H24026" s="4" t="str">
        <v/>
      </c>
      <c r="I24026" s="4" t="str">
        <v/>
      </c>
    </row>
    <row r="24027" spans="5:9" ht="16.5" hidden="1">
      <c r="E24027" s="4" t="str">
        <v/>
      </c>
      <c r="F24027" s="102" t="str">
        <f ca="1">IFERROR(__xludf.DUMMYFUNCTION("IMPORTRANGE(H24027,""IDENTITAS UNIT!D9"")"),"#N/A")</f>
        <v>#N/A</v>
      </c>
      <c r="H24027" s="4" t="str">
        <v/>
      </c>
      <c r="I24027" s="4" t="str">
        <v/>
      </c>
    </row>
    <row r="24028" spans="5:9" ht="16.5" hidden="1">
      <c r="E24028" s="4" t="str">
        <v/>
      </c>
      <c r="F24028" s="102" t="str">
        <f ca="1">IFERROR(__xludf.DUMMYFUNCTION("IMPORTRANGE(H24028,""IDENTITAS UNIT!D9"")"),"#N/A")</f>
        <v>#N/A</v>
      </c>
      <c r="H24028" s="4" t="str">
        <v/>
      </c>
      <c r="I24028" s="4" t="str">
        <v/>
      </c>
    </row>
    <row r="24029" spans="5:9" ht="16.5" hidden="1">
      <c r="E24029" s="4" t="str">
        <v/>
      </c>
      <c r="F24029" s="102" t="str">
        <f ca="1">IFERROR(__xludf.DUMMYFUNCTION("IMPORTRANGE(H24029,""IDENTITAS UNIT!D9"")"),"#N/A")</f>
        <v>#N/A</v>
      </c>
      <c r="H24029" s="4" t="str">
        <v/>
      </c>
      <c r="I24029" s="4" t="str">
        <v/>
      </c>
    </row>
    <row r="24030" spans="5:9" ht="16.5" hidden="1">
      <c r="E24030" s="4" t="str">
        <v/>
      </c>
      <c r="F24030" s="102" t="str">
        <f ca="1">IFERROR(__xludf.DUMMYFUNCTION("IMPORTRANGE(H24030,""IDENTITAS UNIT!D9"")"),"#N/A")</f>
        <v>#N/A</v>
      </c>
      <c r="H24030" s="4" t="str">
        <v/>
      </c>
      <c r="I24030" s="4" t="str">
        <v/>
      </c>
    </row>
    <row r="24031" spans="5:9" ht="16.5" hidden="1">
      <c r="E24031" s="4" t="str">
        <v/>
      </c>
      <c r="F24031" s="102" t="str">
        <f ca="1">IFERROR(__xludf.DUMMYFUNCTION("IMPORTRANGE(H24031,""IDENTITAS UNIT!D9"")"),"#N/A")</f>
        <v>#N/A</v>
      </c>
      <c r="H24031" s="4" t="str">
        <v/>
      </c>
      <c r="I24031" s="4" t="str">
        <v/>
      </c>
    </row>
    <row r="24032" spans="5:9" ht="16.5" hidden="1">
      <c r="E24032" s="4" t="str">
        <v/>
      </c>
      <c r="F24032" s="102" t="str">
        <f ca="1">IFERROR(__xludf.DUMMYFUNCTION("IMPORTRANGE(H24032,""IDENTITAS UNIT!D9"")"),"#N/A")</f>
        <v>#N/A</v>
      </c>
      <c r="H24032" s="4" t="str">
        <v/>
      </c>
      <c r="I24032" s="4" t="str">
        <v/>
      </c>
    </row>
    <row r="24033" spans="5:9" ht="16.5" hidden="1">
      <c r="E24033" s="4" t="str">
        <v/>
      </c>
      <c r="F24033" s="102" t="str">
        <f ca="1">IFERROR(__xludf.DUMMYFUNCTION("IMPORTRANGE(H24033,""IDENTITAS UNIT!D9"")"),"#N/A")</f>
        <v>#N/A</v>
      </c>
      <c r="H24033" s="4" t="str">
        <v/>
      </c>
      <c r="I24033" s="4" t="str">
        <v/>
      </c>
    </row>
    <row r="24034" spans="5:9" ht="16.5" hidden="1">
      <c r="E24034" s="4" t="str">
        <v/>
      </c>
      <c r="F24034" s="102" t="str">
        <f ca="1">IFERROR(__xludf.DUMMYFUNCTION("IMPORTRANGE(H24034,""IDENTITAS UNIT!D9"")"),"#N/A")</f>
        <v>#N/A</v>
      </c>
      <c r="H24034" s="4" t="str">
        <v/>
      </c>
      <c r="I24034" s="4" t="str">
        <v/>
      </c>
    </row>
    <row r="24035" spans="5:9" ht="16.5" hidden="1">
      <c r="E24035" s="4" t="str">
        <v/>
      </c>
      <c r="F24035" s="102" t="str">
        <f ca="1">IFERROR(__xludf.DUMMYFUNCTION("IMPORTRANGE(H24035,""IDENTITAS UNIT!D9"")"),"#N/A")</f>
        <v>#N/A</v>
      </c>
      <c r="H24035" s="4" t="str">
        <v/>
      </c>
      <c r="I24035" s="4" t="str">
        <v/>
      </c>
    </row>
    <row r="24036" spans="5:9" ht="16.5" hidden="1">
      <c r="E24036" s="4" t="str">
        <v/>
      </c>
      <c r="F24036" s="102" t="str">
        <f ca="1">IFERROR(__xludf.DUMMYFUNCTION("IMPORTRANGE(H24036,""IDENTITAS UNIT!D9"")"),"#N/A")</f>
        <v>#N/A</v>
      </c>
      <c r="H24036" s="4" t="str">
        <v/>
      </c>
      <c r="I24036" s="4" t="str">
        <v/>
      </c>
    </row>
    <row r="24037" spans="5:9" ht="16.5" hidden="1">
      <c r="E24037" s="4" t="str">
        <v/>
      </c>
      <c r="F24037" s="102" t="str">
        <f ca="1">IFERROR(__xludf.DUMMYFUNCTION("IMPORTRANGE(H24037,""IDENTITAS UNIT!D9"")"),"#N/A")</f>
        <v>#N/A</v>
      </c>
      <c r="H24037" s="4" t="str">
        <v/>
      </c>
      <c r="I24037" s="4" t="str">
        <v/>
      </c>
    </row>
    <row r="24038" spans="5:9" ht="16.5" hidden="1">
      <c r="E24038" s="4" t="str">
        <v/>
      </c>
      <c r="F24038" s="102" t="str">
        <f ca="1">IFERROR(__xludf.DUMMYFUNCTION("IMPORTRANGE(H24038,""IDENTITAS UNIT!D9"")"),"#N/A")</f>
        <v>#N/A</v>
      </c>
      <c r="H24038" s="4" t="str">
        <v/>
      </c>
      <c r="I24038" s="4" t="str">
        <v/>
      </c>
    </row>
    <row r="24039" spans="5:9" ht="16.5" hidden="1">
      <c r="E24039" s="4" t="str">
        <v/>
      </c>
      <c r="F24039" s="102" t="str">
        <f ca="1">IFERROR(__xludf.DUMMYFUNCTION("IMPORTRANGE(H24039,""IDENTITAS UNIT!D9"")"),"#N/A")</f>
        <v>#N/A</v>
      </c>
      <c r="H24039" s="4" t="str">
        <v/>
      </c>
      <c r="I24039" s="4" t="str">
        <v/>
      </c>
    </row>
    <row r="24040" spans="5:9" ht="16.5" hidden="1">
      <c r="E24040" s="4" t="str">
        <v/>
      </c>
      <c r="F24040" s="102" t="str">
        <f ca="1">IFERROR(__xludf.DUMMYFUNCTION("IMPORTRANGE(H24040,""IDENTITAS UNIT!D9"")"),"#N/A")</f>
        <v>#N/A</v>
      </c>
      <c r="H24040" s="4" t="str">
        <v/>
      </c>
      <c r="I24040" s="4" t="str">
        <v/>
      </c>
    </row>
    <row r="24041" spans="5:9" ht="16.5" hidden="1">
      <c r="E24041" s="4" t="str">
        <v/>
      </c>
      <c r="F24041" s="102" t="str">
        <f ca="1">IFERROR(__xludf.DUMMYFUNCTION("IMPORTRANGE(H24041,""IDENTITAS UNIT!D9"")"),"#N/A")</f>
        <v>#N/A</v>
      </c>
      <c r="H24041" s="4" t="str">
        <v/>
      </c>
      <c r="I24041" s="4" t="str">
        <v/>
      </c>
    </row>
    <row r="24042" spans="5:9" ht="16.5" hidden="1">
      <c r="E24042" s="4" t="str">
        <v/>
      </c>
      <c r="F24042" s="102" t="str">
        <f ca="1">IFERROR(__xludf.DUMMYFUNCTION("IMPORTRANGE(H24042,""IDENTITAS UNIT!D9"")"),"#N/A")</f>
        <v>#N/A</v>
      </c>
      <c r="H24042" s="4" t="str">
        <v/>
      </c>
      <c r="I24042" s="4" t="str">
        <v/>
      </c>
    </row>
    <row r="24043" spans="5:9" ht="16.5" hidden="1">
      <c r="E24043" s="4" t="str">
        <v/>
      </c>
      <c r="F24043" s="102" t="str">
        <f ca="1">IFERROR(__xludf.DUMMYFUNCTION("IMPORTRANGE(H24043,""IDENTITAS UNIT!D9"")"),"#N/A")</f>
        <v>#N/A</v>
      </c>
      <c r="H24043" s="4" t="str">
        <v/>
      </c>
      <c r="I24043" s="4" t="str">
        <v/>
      </c>
    </row>
    <row r="24044" spans="5:9" ht="16.5" hidden="1">
      <c r="E24044" s="4" t="str">
        <v/>
      </c>
      <c r="F24044" s="102" t="str">
        <f ca="1">IFERROR(__xludf.DUMMYFUNCTION("IMPORTRANGE(H24044,""IDENTITAS UNIT!D9"")"),"#N/A")</f>
        <v>#N/A</v>
      </c>
      <c r="H24044" s="4" t="str">
        <v/>
      </c>
      <c r="I24044" s="4" t="str">
        <v/>
      </c>
    </row>
    <row r="24045" spans="5:9" ht="16.5" hidden="1">
      <c r="E24045" s="4" t="str">
        <v/>
      </c>
      <c r="F24045" s="102" t="str">
        <f ca="1">IFERROR(__xludf.DUMMYFUNCTION("IMPORTRANGE(H24045,""IDENTITAS UNIT!D9"")"),"#N/A")</f>
        <v>#N/A</v>
      </c>
      <c r="H24045" s="4" t="str">
        <v/>
      </c>
      <c r="I24045" s="4" t="str">
        <v/>
      </c>
    </row>
    <row r="24046" spans="5:9" ht="16.5" hidden="1">
      <c r="E24046" s="4" t="str">
        <v/>
      </c>
      <c r="F24046" s="102" t="str">
        <f ca="1">IFERROR(__xludf.DUMMYFUNCTION("IMPORTRANGE(H24046,""IDENTITAS UNIT!D9"")"),"#N/A")</f>
        <v>#N/A</v>
      </c>
      <c r="H24046" s="4" t="str">
        <v/>
      </c>
      <c r="I24046" s="4" t="str">
        <v/>
      </c>
    </row>
    <row r="24047" spans="5:9" ht="16.5" hidden="1">
      <c r="E24047" s="4" t="str">
        <v/>
      </c>
      <c r="F24047" s="102" t="str">
        <f ca="1">IFERROR(__xludf.DUMMYFUNCTION("IMPORTRANGE(H24047,""IDENTITAS UNIT!D9"")"),"#N/A")</f>
        <v>#N/A</v>
      </c>
      <c r="H24047" s="4" t="str">
        <v/>
      </c>
      <c r="I24047" s="4" t="str">
        <v/>
      </c>
    </row>
    <row r="24048" spans="5:9" ht="16.5" hidden="1">
      <c r="E24048" s="4" t="str">
        <v/>
      </c>
      <c r="F24048" s="102" t="str">
        <f ca="1">IFERROR(__xludf.DUMMYFUNCTION("IMPORTRANGE(H24048,""IDENTITAS UNIT!D9"")"),"#N/A")</f>
        <v>#N/A</v>
      </c>
      <c r="H24048" s="4" t="str">
        <v/>
      </c>
      <c r="I24048" s="4" t="str">
        <v/>
      </c>
    </row>
    <row r="24049" spans="5:9" ht="16.5" hidden="1">
      <c r="E24049" s="4" t="str">
        <v/>
      </c>
      <c r="F24049" s="102" t="str">
        <f ca="1">IFERROR(__xludf.DUMMYFUNCTION("IMPORTRANGE(H24049,""IDENTITAS UNIT!D9"")"),"#N/A")</f>
        <v>#N/A</v>
      </c>
      <c r="H24049" s="4" t="str">
        <v/>
      </c>
      <c r="I24049" s="4" t="str">
        <v/>
      </c>
    </row>
    <row r="24050" spans="5:9" ht="16.5" hidden="1">
      <c r="E24050" s="4" t="str">
        <v/>
      </c>
      <c r="F24050" s="102" t="str">
        <f ca="1">IFERROR(__xludf.DUMMYFUNCTION("IMPORTRANGE(H24050,""IDENTITAS UNIT!D9"")"),"#N/A")</f>
        <v>#N/A</v>
      </c>
      <c r="H24050" s="4" t="str">
        <v/>
      </c>
      <c r="I24050" s="4" t="str">
        <v/>
      </c>
    </row>
    <row r="24051" spans="5:9" ht="16.5" hidden="1">
      <c r="E24051" s="4" t="str">
        <v/>
      </c>
      <c r="F24051" s="102" t="str">
        <f ca="1">IFERROR(__xludf.DUMMYFUNCTION("IMPORTRANGE(H24051,""IDENTITAS UNIT!D9"")"),"#N/A")</f>
        <v>#N/A</v>
      </c>
      <c r="H24051" s="4" t="str">
        <v/>
      </c>
      <c r="I24051" s="4" t="str">
        <v/>
      </c>
    </row>
    <row r="24052" spans="5:9" ht="16.5" hidden="1">
      <c r="E24052" s="4" t="str">
        <v/>
      </c>
      <c r="F24052" s="102" t="str">
        <f ca="1">IFERROR(__xludf.DUMMYFUNCTION("IMPORTRANGE(H24052,""IDENTITAS UNIT!D9"")"),"#N/A")</f>
        <v>#N/A</v>
      </c>
      <c r="H24052" s="4" t="str">
        <v/>
      </c>
      <c r="I24052" s="4" t="str">
        <v/>
      </c>
    </row>
    <row r="24053" spans="5:9" ht="16.5" hidden="1">
      <c r="E24053" s="4" t="str">
        <v/>
      </c>
      <c r="F24053" s="102" t="str">
        <f ca="1">IFERROR(__xludf.DUMMYFUNCTION("IMPORTRANGE(H24053,""IDENTITAS UNIT!D9"")"),"#N/A")</f>
        <v>#N/A</v>
      </c>
      <c r="H24053" s="4" t="str">
        <v/>
      </c>
      <c r="I24053" s="4" t="str">
        <v/>
      </c>
    </row>
    <row r="24054" spans="5:9" ht="16.5" hidden="1">
      <c r="E24054" s="4" t="str">
        <v/>
      </c>
      <c r="F24054" s="102" t="str">
        <f ca="1">IFERROR(__xludf.DUMMYFUNCTION("IMPORTRANGE(H24054,""IDENTITAS UNIT!D9"")"),"#N/A")</f>
        <v>#N/A</v>
      </c>
      <c r="H24054" s="4" t="str">
        <v/>
      </c>
      <c r="I24054" s="4" t="str">
        <v/>
      </c>
    </row>
    <row r="24055" spans="5:9" ht="16.5" hidden="1">
      <c r="E24055" s="4" t="str">
        <v/>
      </c>
      <c r="F24055" s="102" t="str">
        <f ca="1">IFERROR(__xludf.DUMMYFUNCTION("IMPORTRANGE(H24055,""IDENTITAS UNIT!D9"")"),"#N/A")</f>
        <v>#N/A</v>
      </c>
      <c r="H24055" s="4" t="str">
        <v/>
      </c>
      <c r="I24055" s="4" t="str">
        <v/>
      </c>
    </row>
    <row r="24056" spans="5:9" ht="16.5" hidden="1">
      <c r="E24056" s="4" t="str">
        <v/>
      </c>
      <c r="F24056" s="102" t="str">
        <f ca="1">IFERROR(__xludf.DUMMYFUNCTION("IMPORTRANGE(H24056,""IDENTITAS UNIT!D9"")"),"#N/A")</f>
        <v>#N/A</v>
      </c>
      <c r="H24056" s="4" t="str">
        <v/>
      </c>
      <c r="I24056" s="4" t="str">
        <v/>
      </c>
    </row>
    <row r="24057" spans="5:9" ht="16.5" hidden="1">
      <c r="E24057" s="4" t="str">
        <v/>
      </c>
      <c r="F24057" s="102" t="str">
        <f ca="1">IFERROR(__xludf.DUMMYFUNCTION("IMPORTRANGE(H24057,""IDENTITAS UNIT!D9"")"),"#N/A")</f>
        <v>#N/A</v>
      </c>
      <c r="H24057" s="4" t="str">
        <v/>
      </c>
      <c r="I24057" s="4" t="str">
        <v/>
      </c>
    </row>
    <row r="24058" spans="5:9" ht="16.5" hidden="1">
      <c r="E24058" s="4" t="str">
        <v/>
      </c>
      <c r="F24058" s="102" t="str">
        <f ca="1">IFERROR(__xludf.DUMMYFUNCTION("IMPORTRANGE(H24058,""IDENTITAS UNIT!D9"")"),"#N/A")</f>
        <v>#N/A</v>
      </c>
      <c r="H24058" s="4" t="str">
        <v/>
      </c>
      <c r="I24058" s="4" t="str">
        <v/>
      </c>
    </row>
    <row r="24059" spans="5:9" ht="16.5" hidden="1">
      <c r="E24059" s="4" t="str">
        <v/>
      </c>
      <c r="F24059" s="102" t="str">
        <f ca="1">IFERROR(__xludf.DUMMYFUNCTION("IMPORTRANGE(H24059,""IDENTITAS UNIT!D9"")"),"#N/A")</f>
        <v>#N/A</v>
      </c>
      <c r="H24059" s="4" t="str">
        <v/>
      </c>
      <c r="I24059" s="4" t="str">
        <v/>
      </c>
    </row>
    <row r="24060" spans="5:9" ht="16.5" hidden="1">
      <c r="E24060" s="4" t="str">
        <v/>
      </c>
      <c r="F24060" s="102" t="str">
        <f ca="1">IFERROR(__xludf.DUMMYFUNCTION("IMPORTRANGE(H24060,""IDENTITAS UNIT!D9"")"),"#N/A")</f>
        <v>#N/A</v>
      </c>
      <c r="H24060" s="4" t="str">
        <v/>
      </c>
      <c r="I24060" s="4" t="str">
        <v/>
      </c>
    </row>
    <row r="24061" spans="5:9" ht="16.5" hidden="1">
      <c r="E24061" s="4" t="str">
        <v/>
      </c>
      <c r="F24061" s="102" t="str">
        <f ca="1">IFERROR(__xludf.DUMMYFUNCTION("IMPORTRANGE(H24061,""IDENTITAS UNIT!D9"")"),"#N/A")</f>
        <v>#N/A</v>
      </c>
      <c r="H24061" s="4" t="str">
        <v/>
      </c>
      <c r="I24061" s="4" t="str">
        <v/>
      </c>
    </row>
    <row r="24062" spans="5:9" ht="16.5" hidden="1">
      <c r="E24062" s="4" t="str">
        <v/>
      </c>
      <c r="F24062" s="102" t="str">
        <f ca="1">IFERROR(__xludf.DUMMYFUNCTION("IMPORTRANGE(H24062,""IDENTITAS UNIT!D9"")"),"#N/A")</f>
        <v>#N/A</v>
      </c>
      <c r="H24062" s="4" t="str">
        <v/>
      </c>
      <c r="I24062" s="4" t="str">
        <v/>
      </c>
    </row>
    <row r="24063" spans="5:9" ht="16.5" hidden="1">
      <c r="E24063" s="4" t="str">
        <v/>
      </c>
      <c r="F24063" s="102" t="str">
        <f ca="1">IFERROR(__xludf.DUMMYFUNCTION("IMPORTRANGE(H24063,""IDENTITAS UNIT!D9"")"),"#N/A")</f>
        <v>#N/A</v>
      </c>
      <c r="H24063" s="4" t="str">
        <v/>
      </c>
      <c r="I24063" s="4" t="str">
        <v/>
      </c>
    </row>
    <row r="24064" spans="5:9" ht="16.5" hidden="1">
      <c r="E24064" s="4" t="str">
        <v/>
      </c>
      <c r="F24064" s="102" t="str">
        <f ca="1">IFERROR(__xludf.DUMMYFUNCTION("IMPORTRANGE(H24064,""IDENTITAS UNIT!D9"")"),"#N/A")</f>
        <v>#N/A</v>
      </c>
      <c r="H24064" s="4" t="str">
        <v/>
      </c>
      <c r="I24064" s="4" t="str">
        <v/>
      </c>
    </row>
    <row r="24065" spans="5:9" ht="16.5" hidden="1">
      <c r="E24065" s="4" t="str">
        <v/>
      </c>
      <c r="F24065" s="102" t="str">
        <f ca="1">IFERROR(__xludf.DUMMYFUNCTION("IMPORTRANGE(H24065,""IDENTITAS UNIT!D9"")"),"#N/A")</f>
        <v>#N/A</v>
      </c>
      <c r="H24065" s="4" t="str">
        <v/>
      </c>
      <c r="I24065" s="4" t="str">
        <v/>
      </c>
    </row>
    <row r="24066" spans="5:9" ht="16.5" hidden="1">
      <c r="E24066" s="4" t="str">
        <v/>
      </c>
      <c r="F24066" s="102" t="str">
        <f ca="1">IFERROR(__xludf.DUMMYFUNCTION("IMPORTRANGE(H24066,""IDENTITAS UNIT!D9"")"),"#N/A")</f>
        <v>#N/A</v>
      </c>
      <c r="H24066" s="4" t="str">
        <v/>
      </c>
      <c r="I24066" s="4" t="str">
        <v/>
      </c>
    </row>
    <row r="24067" spans="5:9" ht="16.5" hidden="1">
      <c r="E24067" s="4" t="str">
        <v/>
      </c>
      <c r="F24067" s="102" t="str">
        <f ca="1">IFERROR(__xludf.DUMMYFUNCTION("IMPORTRANGE(H24067,""IDENTITAS UNIT!D9"")"),"#N/A")</f>
        <v>#N/A</v>
      </c>
      <c r="H24067" s="4" t="str">
        <v/>
      </c>
      <c r="I24067" s="4" t="str">
        <v/>
      </c>
    </row>
    <row r="24068" spans="5:9" ht="16.5" hidden="1">
      <c r="E24068" s="4" t="str">
        <v/>
      </c>
      <c r="F24068" s="102" t="str">
        <f ca="1">IFERROR(__xludf.DUMMYFUNCTION("IMPORTRANGE(H24068,""IDENTITAS UNIT!D9"")"),"#N/A")</f>
        <v>#N/A</v>
      </c>
      <c r="H24068" s="4" t="str">
        <v/>
      </c>
      <c r="I24068" s="4" t="str">
        <v/>
      </c>
    </row>
    <row r="24069" spans="5:9" ht="16.5" hidden="1">
      <c r="E24069" s="4" t="str">
        <v/>
      </c>
      <c r="F24069" s="102" t="str">
        <f ca="1">IFERROR(__xludf.DUMMYFUNCTION("IMPORTRANGE(H24069,""IDENTITAS UNIT!D9"")"),"#N/A")</f>
        <v>#N/A</v>
      </c>
      <c r="H24069" s="4" t="str">
        <v/>
      </c>
      <c r="I24069" s="4" t="str">
        <v/>
      </c>
    </row>
    <row r="24070" spans="5:9" ht="16.5" hidden="1">
      <c r="E24070" s="4" t="str">
        <v/>
      </c>
      <c r="F24070" s="102" t="str">
        <f ca="1">IFERROR(__xludf.DUMMYFUNCTION("IMPORTRANGE(H24070,""IDENTITAS UNIT!D9"")"),"#N/A")</f>
        <v>#N/A</v>
      </c>
      <c r="H24070" s="4" t="str">
        <v/>
      </c>
      <c r="I24070" s="4" t="str">
        <v/>
      </c>
    </row>
    <row r="24071" spans="5:9" ht="16.5" hidden="1">
      <c r="E24071" s="4" t="str">
        <v/>
      </c>
      <c r="F24071" s="102" t="str">
        <f ca="1">IFERROR(__xludf.DUMMYFUNCTION("IMPORTRANGE(H24071,""IDENTITAS UNIT!D9"")"),"#N/A")</f>
        <v>#N/A</v>
      </c>
      <c r="H24071" s="4" t="str">
        <v/>
      </c>
      <c r="I24071" s="4" t="str">
        <v/>
      </c>
    </row>
    <row r="24072" spans="5:9" ht="16.5" hidden="1">
      <c r="E24072" s="4" t="str">
        <v/>
      </c>
      <c r="F24072" s="102" t="str">
        <f ca="1">IFERROR(__xludf.DUMMYFUNCTION("IMPORTRANGE(H24072,""IDENTITAS UNIT!D9"")"),"#N/A")</f>
        <v>#N/A</v>
      </c>
      <c r="H24072" s="4" t="str">
        <v/>
      </c>
      <c r="I24072" s="4" t="str">
        <v/>
      </c>
    </row>
    <row r="24073" spans="5:9" ht="16.5" hidden="1">
      <c r="E24073" s="4" t="str">
        <v/>
      </c>
      <c r="F24073" s="102" t="str">
        <f ca="1">IFERROR(__xludf.DUMMYFUNCTION("IMPORTRANGE(H24073,""IDENTITAS UNIT!D9"")"),"#N/A")</f>
        <v>#N/A</v>
      </c>
      <c r="H24073" s="4" t="str">
        <v/>
      </c>
      <c r="I24073" s="4" t="str">
        <v/>
      </c>
    </row>
    <row r="24074" spans="5:9" ht="16.5" hidden="1">
      <c r="E24074" s="4" t="str">
        <v/>
      </c>
      <c r="F24074" s="102" t="str">
        <f ca="1">IFERROR(__xludf.DUMMYFUNCTION("IMPORTRANGE(H24074,""IDENTITAS UNIT!D9"")"),"#N/A")</f>
        <v>#N/A</v>
      </c>
      <c r="H24074" s="4" t="str">
        <v/>
      </c>
      <c r="I24074" s="4" t="str">
        <v/>
      </c>
    </row>
    <row r="24075" spans="5:9" ht="16.5" hidden="1">
      <c r="E24075" s="4" t="str">
        <v/>
      </c>
      <c r="F24075" s="102" t="str">
        <f ca="1">IFERROR(__xludf.DUMMYFUNCTION("IMPORTRANGE(H24075,""IDENTITAS UNIT!D9"")"),"#N/A")</f>
        <v>#N/A</v>
      </c>
      <c r="H24075" s="4" t="str">
        <v/>
      </c>
      <c r="I24075" s="4" t="str">
        <v/>
      </c>
    </row>
    <row r="24076" spans="5:9" ht="16.5" hidden="1">
      <c r="E24076" s="4" t="str">
        <v/>
      </c>
      <c r="F24076" s="102" t="str">
        <f ca="1">IFERROR(__xludf.DUMMYFUNCTION("IMPORTRANGE(H24076,""IDENTITAS UNIT!D9"")"),"#N/A")</f>
        <v>#N/A</v>
      </c>
      <c r="H24076" s="4" t="str">
        <v/>
      </c>
      <c r="I24076" s="4" t="str">
        <v/>
      </c>
    </row>
    <row r="24077" spans="5:9" ht="16.5" hidden="1">
      <c r="E24077" s="4" t="str">
        <v/>
      </c>
      <c r="F24077" s="102" t="str">
        <f ca="1">IFERROR(__xludf.DUMMYFUNCTION("IMPORTRANGE(H24077,""IDENTITAS UNIT!D9"")"),"#N/A")</f>
        <v>#N/A</v>
      </c>
      <c r="H24077" s="4" t="str">
        <v/>
      </c>
      <c r="I24077" s="4" t="str">
        <v/>
      </c>
    </row>
    <row r="24078" spans="5:9" ht="16.5" hidden="1">
      <c r="E24078" s="4" t="str">
        <v/>
      </c>
      <c r="F24078" s="102" t="str">
        <f ca="1">IFERROR(__xludf.DUMMYFUNCTION("IMPORTRANGE(H24078,""IDENTITAS UNIT!D9"")"),"#N/A")</f>
        <v>#N/A</v>
      </c>
      <c r="H24078" s="4" t="str">
        <v/>
      </c>
      <c r="I24078" s="4" t="str">
        <v/>
      </c>
    </row>
    <row r="24079" spans="5:9" ht="16.5" hidden="1">
      <c r="E24079" s="4" t="str">
        <v/>
      </c>
      <c r="F24079" s="102" t="str">
        <f ca="1">IFERROR(__xludf.DUMMYFUNCTION("IMPORTRANGE(H24079,""IDENTITAS UNIT!D9"")"),"#N/A")</f>
        <v>#N/A</v>
      </c>
      <c r="H24079" s="4" t="str">
        <v/>
      </c>
      <c r="I24079" s="4" t="str">
        <v/>
      </c>
    </row>
    <row r="24080" spans="5:9" ht="16.5" hidden="1">
      <c r="E24080" s="4" t="str">
        <v/>
      </c>
      <c r="F24080" s="102" t="str">
        <f ca="1">IFERROR(__xludf.DUMMYFUNCTION("IMPORTRANGE(H24080,""IDENTITAS UNIT!D9"")"),"#N/A")</f>
        <v>#N/A</v>
      </c>
      <c r="H24080" s="4" t="str">
        <v/>
      </c>
      <c r="I24080" s="4" t="str">
        <v/>
      </c>
    </row>
    <row r="24081" spans="5:9" ht="16.5" hidden="1">
      <c r="E24081" s="4" t="str">
        <v/>
      </c>
      <c r="F24081" s="102" t="str">
        <f ca="1">IFERROR(__xludf.DUMMYFUNCTION("IMPORTRANGE(H24081,""IDENTITAS UNIT!D9"")"),"#N/A")</f>
        <v>#N/A</v>
      </c>
      <c r="H24081" s="4" t="str">
        <v/>
      </c>
      <c r="I24081" s="4" t="str">
        <v/>
      </c>
    </row>
    <row r="24082" spans="5:9" ht="16.5" hidden="1">
      <c r="E24082" s="4" t="str">
        <v/>
      </c>
      <c r="F24082" s="102" t="str">
        <f ca="1">IFERROR(__xludf.DUMMYFUNCTION("IMPORTRANGE(H24082,""IDENTITAS UNIT!D9"")"),"#N/A")</f>
        <v>#N/A</v>
      </c>
      <c r="H24082" s="4" t="str">
        <v/>
      </c>
      <c r="I24082" s="4" t="str">
        <v/>
      </c>
    </row>
    <row r="24083" spans="5:9" ht="16.5" hidden="1">
      <c r="E24083" s="4" t="str">
        <v/>
      </c>
      <c r="F24083" s="102" t="str">
        <f ca="1">IFERROR(__xludf.DUMMYFUNCTION("IMPORTRANGE(H24083,""IDENTITAS UNIT!D9"")"),"#N/A")</f>
        <v>#N/A</v>
      </c>
      <c r="H24083" s="4" t="str">
        <v/>
      </c>
      <c r="I24083" s="4" t="str">
        <v/>
      </c>
    </row>
    <row r="24084" spans="5:9" ht="16.5" hidden="1">
      <c r="E24084" s="4" t="str">
        <v/>
      </c>
      <c r="F24084" s="102" t="str">
        <f ca="1">IFERROR(__xludf.DUMMYFUNCTION("IMPORTRANGE(H24084,""IDENTITAS UNIT!D9"")"),"#N/A")</f>
        <v>#N/A</v>
      </c>
      <c r="H24084" s="4" t="str">
        <v/>
      </c>
      <c r="I24084" s="4" t="str">
        <v/>
      </c>
    </row>
    <row r="24085" spans="5:9" ht="16.5" hidden="1">
      <c r="E24085" s="4" t="str">
        <v/>
      </c>
      <c r="F24085" s="102" t="str">
        <f ca="1">IFERROR(__xludf.DUMMYFUNCTION("IMPORTRANGE(H24085,""IDENTITAS UNIT!D9"")"),"#N/A")</f>
        <v>#N/A</v>
      </c>
      <c r="H24085" s="4" t="str">
        <v/>
      </c>
      <c r="I24085" s="4" t="str">
        <v/>
      </c>
    </row>
    <row r="24086" spans="5:9" ht="16.5" hidden="1">
      <c r="E24086" s="4" t="str">
        <v/>
      </c>
      <c r="F24086" s="102" t="str">
        <f ca="1">IFERROR(__xludf.DUMMYFUNCTION("IMPORTRANGE(H24086,""IDENTITAS UNIT!D9"")"),"#N/A")</f>
        <v>#N/A</v>
      </c>
      <c r="H24086" s="4" t="str">
        <v/>
      </c>
      <c r="I24086" s="4" t="str">
        <v/>
      </c>
    </row>
    <row r="24087" spans="5:9" ht="16.5" hidden="1">
      <c r="E24087" s="4" t="str">
        <v/>
      </c>
      <c r="F24087" s="102" t="str">
        <f ca="1">IFERROR(__xludf.DUMMYFUNCTION("IMPORTRANGE(H24087,""IDENTITAS UNIT!D9"")"),"#N/A")</f>
        <v>#N/A</v>
      </c>
      <c r="H24087" s="4" t="str">
        <v/>
      </c>
      <c r="I24087" s="4" t="str">
        <v/>
      </c>
    </row>
    <row r="24088" spans="5:9" ht="16.5" hidden="1">
      <c r="E24088" s="4" t="str">
        <v/>
      </c>
      <c r="F24088" s="102" t="str">
        <f ca="1">IFERROR(__xludf.DUMMYFUNCTION("IMPORTRANGE(H24088,""IDENTITAS UNIT!D9"")"),"#N/A")</f>
        <v>#N/A</v>
      </c>
      <c r="H24088" s="4" t="str">
        <v/>
      </c>
      <c r="I24088" s="4" t="str">
        <v/>
      </c>
    </row>
    <row r="24089" spans="5:9" ht="16.5" hidden="1">
      <c r="E24089" s="4" t="str">
        <v/>
      </c>
      <c r="F24089" s="102" t="str">
        <f ca="1">IFERROR(__xludf.DUMMYFUNCTION("IMPORTRANGE(H24089,""IDENTITAS UNIT!D9"")"),"#N/A")</f>
        <v>#N/A</v>
      </c>
      <c r="H24089" s="4" t="str">
        <v/>
      </c>
      <c r="I24089" s="4" t="str">
        <v/>
      </c>
    </row>
    <row r="24090" spans="5:9" ht="16.5" hidden="1">
      <c r="E24090" s="4" t="str">
        <v/>
      </c>
      <c r="F24090" s="102" t="str">
        <f ca="1">IFERROR(__xludf.DUMMYFUNCTION("IMPORTRANGE(H24090,""IDENTITAS UNIT!D9"")"),"#N/A")</f>
        <v>#N/A</v>
      </c>
      <c r="H24090" s="4" t="str">
        <v/>
      </c>
      <c r="I24090" s="4" t="str">
        <v/>
      </c>
    </row>
    <row r="24091" spans="5:9" ht="16.5" hidden="1">
      <c r="E24091" s="4" t="str">
        <v/>
      </c>
      <c r="F24091" s="102" t="str">
        <f ca="1">IFERROR(__xludf.DUMMYFUNCTION("IMPORTRANGE(H24091,""IDENTITAS UNIT!D9"")"),"#N/A")</f>
        <v>#N/A</v>
      </c>
      <c r="H24091" s="4" t="str">
        <v/>
      </c>
      <c r="I24091" s="4" t="str">
        <v/>
      </c>
    </row>
    <row r="24092" spans="5:9" ht="16.5" hidden="1">
      <c r="E24092" s="4" t="str">
        <v/>
      </c>
      <c r="F24092" s="102" t="str">
        <f ca="1">IFERROR(__xludf.DUMMYFUNCTION("IMPORTRANGE(H24092,""IDENTITAS UNIT!D9"")"),"#N/A")</f>
        <v>#N/A</v>
      </c>
      <c r="H24092" s="4" t="str">
        <v/>
      </c>
      <c r="I24092" s="4" t="str">
        <v/>
      </c>
    </row>
    <row r="24093" spans="5:9" ht="16.5" hidden="1">
      <c r="E24093" s="4" t="str">
        <v/>
      </c>
      <c r="F24093" s="102" t="str">
        <f ca="1">IFERROR(__xludf.DUMMYFUNCTION("IMPORTRANGE(H24093,""IDENTITAS UNIT!D9"")"),"#N/A")</f>
        <v>#N/A</v>
      </c>
      <c r="H24093" s="4" t="str">
        <v/>
      </c>
      <c r="I24093" s="4" t="str">
        <v/>
      </c>
    </row>
    <row r="24094" spans="5:9" ht="16.5" hidden="1">
      <c r="E24094" s="4" t="str">
        <v/>
      </c>
      <c r="F24094" s="102" t="str">
        <f ca="1">IFERROR(__xludf.DUMMYFUNCTION("IMPORTRANGE(H24094,""IDENTITAS UNIT!D9"")"),"#N/A")</f>
        <v>#N/A</v>
      </c>
      <c r="H24094" s="4" t="str">
        <v/>
      </c>
      <c r="I24094" s="4" t="str">
        <v/>
      </c>
    </row>
    <row r="24095" spans="5:9" ht="16.5" hidden="1">
      <c r="E24095" s="4" t="str">
        <v/>
      </c>
      <c r="F24095" s="102" t="str">
        <f ca="1">IFERROR(__xludf.DUMMYFUNCTION("IMPORTRANGE(H24095,""IDENTITAS UNIT!D9"")"),"#N/A")</f>
        <v>#N/A</v>
      </c>
      <c r="H24095" s="4" t="str">
        <v/>
      </c>
      <c r="I24095" s="4" t="str">
        <v/>
      </c>
    </row>
    <row r="24096" spans="5:9" ht="16.5" hidden="1">
      <c r="E24096" s="4" t="str">
        <v/>
      </c>
      <c r="F24096" s="102" t="str">
        <f ca="1">IFERROR(__xludf.DUMMYFUNCTION("IMPORTRANGE(H24096,""IDENTITAS UNIT!D9"")"),"#N/A")</f>
        <v>#N/A</v>
      </c>
      <c r="H24096" s="4" t="str">
        <v/>
      </c>
      <c r="I24096" s="4" t="str">
        <v/>
      </c>
    </row>
    <row r="24097" spans="5:9" ht="16.5" hidden="1">
      <c r="E24097" s="4" t="str">
        <v/>
      </c>
      <c r="F24097" s="102" t="str">
        <f ca="1">IFERROR(__xludf.DUMMYFUNCTION("IMPORTRANGE(H24097,""IDENTITAS UNIT!D9"")"),"#N/A")</f>
        <v>#N/A</v>
      </c>
      <c r="H24097" s="4" t="str">
        <v/>
      </c>
      <c r="I24097" s="4" t="str">
        <v/>
      </c>
    </row>
    <row r="24098" spans="5:9" ht="16.5" hidden="1">
      <c r="E24098" s="4" t="str">
        <v/>
      </c>
      <c r="F24098" s="102" t="str">
        <f ca="1">IFERROR(__xludf.DUMMYFUNCTION("IMPORTRANGE(H24098,""IDENTITAS UNIT!D9"")"),"#N/A")</f>
        <v>#N/A</v>
      </c>
      <c r="H24098" s="4" t="str">
        <v/>
      </c>
      <c r="I24098" s="4" t="str">
        <v/>
      </c>
    </row>
    <row r="24099" spans="5:9" ht="16.5" hidden="1">
      <c r="E24099" s="4" t="str">
        <v/>
      </c>
      <c r="F24099" s="102" t="str">
        <f ca="1">IFERROR(__xludf.DUMMYFUNCTION("IMPORTRANGE(H24099,""IDENTITAS UNIT!D9"")"),"#N/A")</f>
        <v>#N/A</v>
      </c>
      <c r="H24099" s="4" t="str">
        <v/>
      </c>
      <c r="I24099" s="4" t="str">
        <v/>
      </c>
    </row>
    <row r="24100" spans="5:9" ht="16.5" hidden="1">
      <c r="E24100" s="4" t="str">
        <v/>
      </c>
      <c r="F24100" s="102" t="str">
        <f ca="1">IFERROR(__xludf.DUMMYFUNCTION("IMPORTRANGE(H24100,""IDENTITAS UNIT!D9"")"),"#N/A")</f>
        <v>#N/A</v>
      </c>
      <c r="H24100" s="4" t="str">
        <v/>
      </c>
      <c r="I24100" s="4" t="str">
        <v/>
      </c>
    </row>
    <row r="24101" spans="5:9" ht="16.5" hidden="1">
      <c r="E24101" s="4" t="str">
        <v/>
      </c>
      <c r="F24101" s="102" t="str">
        <f ca="1">IFERROR(__xludf.DUMMYFUNCTION("IMPORTRANGE(H24101,""IDENTITAS UNIT!D9"")"),"#N/A")</f>
        <v>#N/A</v>
      </c>
      <c r="H24101" s="4" t="str">
        <v/>
      </c>
      <c r="I24101" s="4" t="str">
        <v/>
      </c>
    </row>
    <row r="24102" spans="5:9" ht="16.5" hidden="1">
      <c r="E24102" s="4" t="str">
        <v/>
      </c>
      <c r="F24102" s="102" t="str">
        <f ca="1">IFERROR(__xludf.DUMMYFUNCTION("IMPORTRANGE(H24102,""IDENTITAS UNIT!D9"")"),"#N/A")</f>
        <v>#N/A</v>
      </c>
      <c r="H24102" s="4" t="str">
        <v/>
      </c>
      <c r="I24102" s="4" t="str">
        <v/>
      </c>
    </row>
    <row r="24103" spans="5:9" ht="16.5" hidden="1">
      <c r="E24103" s="4" t="str">
        <v/>
      </c>
      <c r="F24103" s="102" t="str">
        <f ca="1">IFERROR(__xludf.DUMMYFUNCTION("IMPORTRANGE(H24103,""IDENTITAS UNIT!D9"")"),"#N/A")</f>
        <v>#N/A</v>
      </c>
      <c r="H24103" s="4" t="str">
        <v/>
      </c>
      <c r="I24103" s="4" t="str">
        <v/>
      </c>
    </row>
    <row r="24104" spans="5:9" ht="16.5" hidden="1">
      <c r="E24104" s="4" t="str">
        <v/>
      </c>
      <c r="F24104" s="102" t="str">
        <f ca="1">IFERROR(__xludf.DUMMYFUNCTION("IMPORTRANGE(H24104,""IDENTITAS UNIT!D9"")"),"#N/A")</f>
        <v>#N/A</v>
      </c>
      <c r="H24104" s="4" t="str">
        <v/>
      </c>
      <c r="I24104" s="4" t="str">
        <v/>
      </c>
    </row>
    <row r="24105" spans="5:9" ht="16.5" hidden="1">
      <c r="E24105" s="4" t="str">
        <v/>
      </c>
      <c r="F24105" s="102" t="str">
        <f ca="1">IFERROR(__xludf.DUMMYFUNCTION("IMPORTRANGE(H24105,""IDENTITAS UNIT!D9"")"),"#N/A")</f>
        <v>#N/A</v>
      </c>
      <c r="H24105" s="4" t="str">
        <v/>
      </c>
      <c r="I24105" s="4" t="str">
        <v/>
      </c>
    </row>
    <row r="24106" spans="5:9" ht="16.5" hidden="1">
      <c r="E24106" s="4" t="str">
        <v/>
      </c>
      <c r="F24106" s="102" t="str">
        <f ca="1">IFERROR(__xludf.DUMMYFUNCTION("IMPORTRANGE(H24106,""IDENTITAS UNIT!D9"")"),"#N/A")</f>
        <v>#N/A</v>
      </c>
      <c r="H24106" s="4" t="str">
        <v/>
      </c>
      <c r="I24106" s="4" t="str">
        <v/>
      </c>
    </row>
    <row r="24107" spans="5:9" ht="16.5" hidden="1">
      <c r="E24107" s="4" t="str">
        <v/>
      </c>
      <c r="F24107" s="102" t="str">
        <f ca="1">IFERROR(__xludf.DUMMYFUNCTION("IMPORTRANGE(H24107,""IDENTITAS UNIT!D9"")"),"#N/A")</f>
        <v>#N/A</v>
      </c>
      <c r="H24107" s="4" t="str">
        <v/>
      </c>
      <c r="I24107" s="4" t="str">
        <v/>
      </c>
    </row>
    <row r="24108" spans="5:9" ht="16.5" hidden="1">
      <c r="E24108" s="4" t="str">
        <v/>
      </c>
      <c r="F24108" s="102" t="str">
        <f ca="1">IFERROR(__xludf.DUMMYFUNCTION("IMPORTRANGE(H24108,""IDENTITAS UNIT!D9"")"),"#N/A")</f>
        <v>#N/A</v>
      </c>
      <c r="H24108" s="4" t="str">
        <v/>
      </c>
      <c r="I24108" s="4" t="str">
        <v/>
      </c>
    </row>
    <row r="24109" spans="5:9" ht="16.5" hidden="1">
      <c r="E24109" s="4" t="str">
        <v/>
      </c>
      <c r="F24109" s="102" t="str">
        <f ca="1">IFERROR(__xludf.DUMMYFUNCTION("IMPORTRANGE(H24109,""IDENTITAS UNIT!D9"")"),"#N/A")</f>
        <v>#N/A</v>
      </c>
      <c r="H24109" s="4" t="str">
        <v/>
      </c>
      <c r="I24109" s="4" t="str">
        <v/>
      </c>
    </row>
    <row r="24110" spans="5:9" ht="16.5" hidden="1">
      <c r="E24110" s="4" t="str">
        <v/>
      </c>
      <c r="F24110" s="102" t="str">
        <f ca="1">IFERROR(__xludf.DUMMYFUNCTION("IMPORTRANGE(H24110,""IDENTITAS UNIT!D9"")"),"#N/A")</f>
        <v>#N/A</v>
      </c>
      <c r="H24110" s="4" t="str">
        <v/>
      </c>
      <c r="I24110" s="4" t="str">
        <v/>
      </c>
    </row>
    <row r="24111" spans="5:9" ht="16.5" hidden="1">
      <c r="E24111" s="4" t="str">
        <v/>
      </c>
      <c r="F24111" s="102" t="str">
        <f ca="1">IFERROR(__xludf.DUMMYFUNCTION("IMPORTRANGE(H24111,""IDENTITAS UNIT!D9"")"),"#N/A")</f>
        <v>#N/A</v>
      </c>
      <c r="H24111" s="4" t="str">
        <v/>
      </c>
      <c r="I24111" s="4" t="str">
        <v/>
      </c>
    </row>
    <row r="24112" spans="5:9" ht="16.5" hidden="1">
      <c r="E24112" s="4" t="str">
        <v/>
      </c>
      <c r="F24112" s="102" t="str">
        <f ca="1">IFERROR(__xludf.DUMMYFUNCTION("IMPORTRANGE(H24112,""IDENTITAS UNIT!D9"")"),"#N/A")</f>
        <v>#N/A</v>
      </c>
      <c r="H24112" s="4" t="str">
        <v/>
      </c>
      <c r="I24112" s="4" t="str">
        <v/>
      </c>
    </row>
    <row r="24113" spans="5:9" ht="16.5" hidden="1">
      <c r="E24113" s="4" t="str">
        <v/>
      </c>
      <c r="F24113" s="102" t="str">
        <f ca="1">IFERROR(__xludf.DUMMYFUNCTION("IMPORTRANGE(H24113,""IDENTITAS UNIT!D9"")"),"#N/A")</f>
        <v>#N/A</v>
      </c>
      <c r="H24113" s="4" t="str">
        <v/>
      </c>
      <c r="I24113" s="4" t="str">
        <v/>
      </c>
    </row>
    <row r="24114" spans="5:9" ht="16.5" hidden="1">
      <c r="E24114" s="4" t="str">
        <v/>
      </c>
      <c r="F24114" s="102" t="str">
        <f ca="1">IFERROR(__xludf.DUMMYFUNCTION("IMPORTRANGE(H24114,""IDENTITAS UNIT!D9"")"),"#N/A")</f>
        <v>#N/A</v>
      </c>
      <c r="H24114" s="4" t="str">
        <v/>
      </c>
      <c r="I24114" s="4" t="str">
        <v/>
      </c>
    </row>
    <row r="24115" spans="5:9" ht="16.5" hidden="1">
      <c r="E24115" s="4" t="str">
        <v/>
      </c>
      <c r="F24115" s="102" t="str">
        <f ca="1">IFERROR(__xludf.DUMMYFUNCTION("IMPORTRANGE(H24115,""IDENTITAS UNIT!D9"")"),"#N/A")</f>
        <v>#N/A</v>
      </c>
      <c r="H24115" s="4" t="str">
        <v/>
      </c>
      <c r="I24115" s="4" t="str">
        <v/>
      </c>
    </row>
    <row r="24116" spans="5:9" ht="16.5" hidden="1">
      <c r="E24116" s="4" t="str">
        <v/>
      </c>
      <c r="F24116" s="102" t="str">
        <f ca="1">IFERROR(__xludf.DUMMYFUNCTION("IMPORTRANGE(H24116,""IDENTITAS UNIT!D9"")"),"#N/A")</f>
        <v>#N/A</v>
      </c>
      <c r="H24116" s="4" t="str">
        <v/>
      </c>
      <c r="I24116" s="4" t="str">
        <v/>
      </c>
    </row>
    <row r="24117" spans="5:9" ht="16.5" hidden="1">
      <c r="E24117" s="4" t="str">
        <v/>
      </c>
      <c r="F24117" s="102" t="str">
        <f ca="1">IFERROR(__xludf.DUMMYFUNCTION("IMPORTRANGE(H24117,""IDENTITAS UNIT!D9"")"),"#N/A")</f>
        <v>#N/A</v>
      </c>
      <c r="H24117" s="4" t="str">
        <v/>
      </c>
      <c r="I24117" s="4" t="str">
        <v/>
      </c>
    </row>
    <row r="24118" spans="5:9" ht="16.5" hidden="1">
      <c r="E24118" s="4" t="str">
        <v/>
      </c>
      <c r="F24118" s="102" t="str">
        <f ca="1">IFERROR(__xludf.DUMMYFUNCTION("IMPORTRANGE(H24118,""IDENTITAS UNIT!D9"")"),"#N/A")</f>
        <v>#N/A</v>
      </c>
      <c r="H24118" s="4" t="str">
        <v/>
      </c>
      <c r="I24118" s="4" t="str">
        <v/>
      </c>
    </row>
    <row r="24119" spans="5:9" ht="16.5" hidden="1">
      <c r="E24119" s="4" t="str">
        <v/>
      </c>
      <c r="F24119" s="102" t="str">
        <f ca="1">IFERROR(__xludf.DUMMYFUNCTION("IMPORTRANGE(H24119,""IDENTITAS UNIT!D9"")"),"#N/A")</f>
        <v>#N/A</v>
      </c>
      <c r="H24119" s="4" t="str">
        <v/>
      </c>
      <c r="I24119" s="4" t="str">
        <v/>
      </c>
    </row>
    <row r="24120" spans="5:9" ht="16.5" hidden="1">
      <c r="E24120" s="4" t="str">
        <v/>
      </c>
      <c r="F24120" s="102" t="str">
        <f ca="1">IFERROR(__xludf.DUMMYFUNCTION("IMPORTRANGE(H24120,""IDENTITAS UNIT!D9"")"),"#N/A")</f>
        <v>#N/A</v>
      </c>
      <c r="H24120" s="4" t="str">
        <v/>
      </c>
      <c r="I24120" s="4" t="str">
        <v/>
      </c>
    </row>
    <row r="24121" spans="5:9" ht="16.5" hidden="1">
      <c r="E24121" s="4" t="str">
        <v/>
      </c>
      <c r="F24121" s="102" t="str">
        <f ca="1">IFERROR(__xludf.DUMMYFUNCTION("IMPORTRANGE(H24121,""IDENTITAS UNIT!D9"")"),"#N/A")</f>
        <v>#N/A</v>
      </c>
      <c r="H24121" s="4" t="str">
        <v/>
      </c>
      <c r="I24121" s="4" t="str">
        <v/>
      </c>
    </row>
    <row r="24122" spans="5:9" ht="16.5" hidden="1">
      <c r="E24122" s="4" t="str">
        <v/>
      </c>
      <c r="F24122" s="102" t="str">
        <f ca="1">IFERROR(__xludf.DUMMYFUNCTION("IMPORTRANGE(H24122,""IDENTITAS UNIT!D9"")"),"#N/A")</f>
        <v>#N/A</v>
      </c>
      <c r="H24122" s="4" t="str">
        <v/>
      </c>
      <c r="I24122" s="4" t="str">
        <v/>
      </c>
    </row>
    <row r="24123" spans="5:9" ht="16.5" hidden="1">
      <c r="E24123" s="4" t="str">
        <v/>
      </c>
      <c r="F24123" s="102" t="str">
        <f ca="1">IFERROR(__xludf.DUMMYFUNCTION("IMPORTRANGE(H24123,""IDENTITAS UNIT!D9"")"),"#N/A")</f>
        <v>#N/A</v>
      </c>
      <c r="H24123" s="4" t="str">
        <v/>
      </c>
      <c r="I24123" s="4" t="str">
        <v/>
      </c>
    </row>
    <row r="24124" spans="5:9" ht="16.5" hidden="1">
      <c r="E24124" s="4" t="str">
        <v/>
      </c>
      <c r="F24124" s="102" t="str">
        <f ca="1">IFERROR(__xludf.DUMMYFUNCTION("IMPORTRANGE(H24124,""IDENTITAS UNIT!D9"")"),"#N/A")</f>
        <v>#N/A</v>
      </c>
      <c r="H24124" s="4" t="str">
        <v/>
      </c>
      <c r="I24124" s="4" t="str">
        <v/>
      </c>
    </row>
    <row r="24125" spans="5:9" ht="16.5" hidden="1">
      <c r="E24125" s="4" t="str">
        <v/>
      </c>
      <c r="F24125" s="102" t="str">
        <f ca="1">IFERROR(__xludf.DUMMYFUNCTION("IMPORTRANGE(H24125,""IDENTITAS UNIT!D9"")"),"#N/A")</f>
        <v>#N/A</v>
      </c>
      <c r="H24125" s="4" t="str">
        <v/>
      </c>
      <c r="I24125" s="4" t="str">
        <v/>
      </c>
    </row>
    <row r="24126" spans="5:9" ht="16.5" hidden="1">
      <c r="E24126" s="4" t="str">
        <v/>
      </c>
      <c r="F24126" s="102" t="str">
        <f ca="1">IFERROR(__xludf.DUMMYFUNCTION("IMPORTRANGE(H24126,""IDENTITAS UNIT!D9"")"),"#N/A")</f>
        <v>#N/A</v>
      </c>
      <c r="H24126" s="4" t="str">
        <v/>
      </c>
      <c r="I24126" s="4" t="str">
        <v/>
      </c>
    </row>
    <row r="24127" spans="5:9" ht="16.5" hidden="1">
      <c r="E24127" s="4" t="str">
        <v/>
      </c>
      <c r="F24127" s="102" t="str">
        <f ca="1">IFERROR(__xludf.DUMMYFUNCTION("IMPORTRANGE(H24127,""IDENTITAS UNIT!D9"")"),"#N/A")</f>
        <v>#N/A</v>
      </c>
      <c r="H24127" s="4" t="str">
        <v/>
      </c>
      <c r="I24127" s="4" t="str">
        <v/>
      </c>
    </row>
    <row r="24128" spans="5:9" ht="16.5" hidden="1">
      <c r="E24128" s="4" t="str">
        <v/>
      </c>
      <c r="F24128" s="102" t="str">
        <f ca="1">IFERROR(__xludf.DUMMYFUNCTION("IMPORTRANGE(H24128,""IDENTITAS UNIT!D9"")"),"#N/A")</f>
        <v>#N/A</v>
      </c>
      <c r="H24128" s="4" t="str">
        <v/>
      </c>
      <c r="I24128" s="4" t="str">
        <v/>
      </c>
    </row>
    <row r="24129" spans="5:9" ht="16.5" hidden="1">
      <c r="E24129" s="4" t="str">
        <v/>
      </c>
      <c r="F24129" s="102" t="str">
        <f ca="1">IFERROR(__xludf.DUMMYFUNCTION("IMPORTRANGE(H24129,""IDENTITAS UNIT!D9"")"),"#N/A")</f>
        <v>#N/A</v>
      </c>
      <c r="H24129" s="4" t="str">
        <v/>
      </c>
      <c r="I24129" s="4" t="str">
        <v/>
      </c>
    </row>
    <row r="24130" spans="5:9" ht="16.5" hidden="1">
      <c r="E24130" s="4" t="str">
        <v/>
      </c>
      <c r="F24130" s="102" t="str">
        <f ca="1">IFERROR(__xludf.DUMMYFUNCTION("IMPORTRANGE(H24130,""IDENTITAS UNIT!D9"")"),"#N/A")</f>
        <v>#N/A</v>
      </c>
      <c r="H24130" s="4" t="str">
        <v/>
      </c>
      <c r="I24130" s="4" t="str">
        <v/>
      </c>
    </row>
    <row r="24131" spans="5:9" ht="16.5" hidden="1">
      <c r="E24131" s="4" t="str">
        <v/>
      </c>
      <c r="F24131" s="102" t="str">
        <f ca="1">IFERROR(__xludf.DUMMYFUNCTION("IMPORTRANGE(H24131,""IDENTITAS UNIT!D9"")"),"#N/A")</f>
        <v>#N/A</v>
      </c>
      <c r="H24131" s="4" t="str">
        <v/>
      </c>
      <c r="I24131" s="4" t="str">
        <v/>
      </c>
    </row>
    <row r="24132" spans="5:9" ht="16.5" hidden="1">
      <c r="E24132" s="4" t="str">
        <v/>
      </c>
      <c r="F24132" s="102" t="str">
        <f ca="1">IFERROR(__xludf.DUMMYFUNCTION("IMPORTRANGE(H24132,""IDENTITAS UNIT!D9"")"),"#N/A")</f>
        <v>#N/A</v>
      </c>
      <c r="H24132" s="4" t="str">
        <v/>
      </c>
      <c r="I24132" s="4" t="str">
        <v/>
      </c>
    </row>
    <row r="24133" spans="5:9" ht="16.5" hidden="1">
      <c r="E24133" s="4" t="str">
        <v/>
      </c>
      <c r="F24133" s="102" t="str">
        <f ca="1">IFERROR(__xludf.DUMMYFUNCTION("IMPORTRANGE(H24133,""IDENTITAS UNIT!D9"")"),"#N/A")</f>
        <v>#N/A</v>
      </c>
      <c r="H24133" s="4" t="str">
        <v/>
      </c>
      <c r="I24133" s="4" t="str">
        <v/>
      </c>
    </row>
    <row r="24134" spans="5:9" ht="16.5" hidden="1">
      <c r="E24134" s="4" t="str">
        <v/>
      </c>
      <c r="F24134" s="102" t="str">
        <f ca="1">IFERROR(__xludf.DUMMYFUNCTION("IMPORTRANGE(H24134,""IDENTITAS UNIT!D9"")"),"#N/A")</f>
        <v>#N/A</v>
      </c>
      <c r="H24134" s="4" t="str">
        <v/>
      </c>
      <c r="I24134" s="4" t="str">
        <v/>
      </c>
    </row>
    <row r="24135" spans="5:9" ht="16.5" hidden="1">
      <c r="E24135" s="4" t="str">
        <v/>
      </c>
      <c r="F24135" s="102" t="str">
        <f ca="1">IFERROR(__xludf.DUMMYFUNCTION("IMPORTRANGE(H24135,""IDENTITAS UNIT!D9"")"),"#N/A")</f>
        <v>#N/A</v>
      </c>
      <c r="H24135" s="4" t="str">
        <v/>
      </c>
      <c r="I24135" s="4" t="str">
        <v/>
      </c>
    </row>
    <row r="24136" spans="5:9" ht="16.5" hidden="1">
      <c r="E24136" s="4" t="str">
        <v/>
      </c>
      <c r="F24136" s="102" t="str">
        <f ca="1">IFERROR(__xludf.DUMMYFUNCTION("IMPORTRANGE(H24136,""IDENTITAS UNIT!D9"")"),"#N/A")</f>
        <v>#N/A</v>
      </c>
      <c r="H24136" s="4" t="str">
        <v/>
      </c>
      <c r="I24136" s="4" t="str">
        <v/>
      </c>
    </row>
    <row r="24137" spans="5:9" ht="16.5" hidden="1">
      <c r="E24137" s="4" t="str">
        <v/>
      </c>
      <c r="F24137" s="102" t="str">
        <f ca="1">IFERROR(__xludf.DUMMYFUNCTION("IMPORTRANGE(H24137,""IDENTITAS UNIT!D9"")"),"#N/A")</f>
        <v>#N/A</v>
      </c>
      <c r="H24137" s="4" t="str">
        <v/>
      </c>
      <c r="I24137" s="4" t="str">
        <v/>
      </c>
    </row>
    <row r="24138" spans="5:9" ht="16.5" hidden="1">
      <c r="E24138" s="4" t="str">
        <v/>
      </c>
      <c r="F24138" s="102" t="str">
        <f ca="1">IFERROR(__xludf.DUMMYFUNCTION("IMPORTRANGE(H24138,""IDENTITAS UNIT!D9"")"),"#N/A")</f>
        <v>#N/A</v>
      </c>
      <c r="H24138" s="4" t="str">
        <v/>
      </c>
      <c r="I24138" s="4" t="str">
        <v/>
      </c>
    </row>
    <row r="24139" spans="5:9" ht="16.5" hidden="1">
      <c r="E24139" s="4" t="str">
        <v/>
      </c>
      <c r="F24139" s="102" t="str">
        <f ca="1">IFERROR(__xludf.DUMMYFUNCTION("IMPORTRANGE(H24139,""IDENTITAS UNIT!D9"")"),"#N/A")</f>
        <v>#N/A</v>
      </c>
      <c r="H24139" s="4" t="str">
        <v/>
      </c>
      <c r="I24139" s="4" t="str">
        <v/>
      </c>
    </row>
    <row r="24140" spans="5:9" ht="16.5" hidden="1">
      <c r="E24140" s="4" t="str">
        <v/>
      </c>
      <c r="F24140" s="102" t="str">
        <f ca="1">IFERROR(__xludf.DUMMYFUNCTION("IMPORTRANGE(H24140,""IDENTITAS UNIT!D9"")"),"#N/A")</f>
        <v>#N/A</v>
      </c>
      <c r="H24140" s="4" t="str">
        <v/>
      </c>
      <c r="I24140" s="4" t="str">
        <v/>
      </c>
    </row>
    <row r="24141" spans="5:9" ht="16.5" hidden="1">
      <c r="E24141" s="4" t="str">
        <v/>
      </c>
      <c r="F24141" s="102" t="str">
        <f ca="1">IFERROR(__xludf.DUMMYFUNCTION("IMPORTRANGE(H24141,""IDENTITAS UNIT!D9"")"),"#N/A")</f>
        <v>#N/A</v>
      </c>
      <c r="H24141" s="4" t="str">
        <v/>
      </c>
      <c r="I24141" s="4" t="str">
        <v/>
      </c>
    </row>
    <row r="24142" spans="5:9" ht="16.5" hidden="1">
      <c r="E24142" s="4" t="str">
        <v/>
      </c>
      <c r="F24142" s="102" t="str">
        <f ca="1">IFERROR(__xludf.DUMMYFUNCTION("IMPORTRANGE(H24142,""IDENTITAS UNIT!D9"")"),"#N/A")</f>
        <v>#N/A</v>
      </c>
      <c r="H24142" s="4" t="str">
        <v/>
      </c>
      <c r="I24142" s="4" t="str">
        <v/>
      </c>
    </row>
    <row r="24143" spans="5:9" ht="16.5" hidden="1">
      <c r="E24143" s="4" t="str">
        <v/>
      </c>
      <c r="F24143" s="102" t="str">
        <f ca="1">IFERROR(__xludf.DUMMYFUNCTION("IMPORTRANGE(H24143,""IDENTITAS UNIT!D9"")"),"#N/A")</f>
        <v>#N/A</v>
      </c>
      <c r="H24143" s="4" t="str">
        <v/>
      </c>
      <c r="I24143" s="4" t="str">
        <v/>
      </c>
    </row>
    <row r="24144" spans="5:9" ht="16.5" hidden="1">
      <c r="E24144" s="4" t="str">
        <v/>
      </c>
      <c r="F24144" s="102" t="str">
        <f ca="1">IFERROR(__xludf.DUMMYFUNCTION("IMPORTRANGE(H24144,""IDENTITAS UNIT!D9"")"),"#N/A")</f>
        <v>#N/A</v>
      </c>
      <c r="H24144" s="4" t="str">
        <v/>
      </c>
      <c r="I24144" s="4" t="str">
        <v/>
      </c>
    </row>
    <row r="24145" spans="5:9" ht="16.5" hidden="1">
      <c r="E24145" s="4" t="str">
        <v/>
      </c>
      <c r="F24145" s="102" t="str">
        <f ca="1">IFERROR(__xludf.DUMMYFUNCTION("IMPORTRANGE(H24145,""IDENTITAS UNIT!D9"")"),"#N/A")</f>
        <v>#N/A</v>
      </c>
      <c r="H24145" s="4" t="str">
        <v/>
      </c>
      <c r="I24145" s="4" t="str">
        <v/>
      </c>
    </row>
    <row r="24146" spans="5:9" ht="16.5" hidden="1">
      <c r="E24146" s="4" t="str">
        <v/>
      </c>
      <c r="F24146" s="102" t="str">
        <f ca="1">IFERROR(__xludf.DUMMYFUNCTION("IMPORTRANGE(H24146,""IDENTITAS UNIT!D9"")"),"#N/A")</f>
        <v>#N/A</v>
      </c>
      <c r="H24146" s="4" t="str">
        <v/>
      </c>
      <c r="I24146" s="4" t="str">
        <v/>
      </c>
    </row>
    <row r="24147" spans="5:9" ht="16.5" hidden="1">
      <c r="E24147" s="4" t="str">
        <v/>
      </c>
      <c r="F24147" s="102" t="str">
        <f ca="1">IFERROR(__xludf.DUMMYFUNCTION("IMPORTRANGE(H24147,""IDENTITAS UNIT!D9"")"),"#N/A")</f>
        <v>#N/A</v>
      </c>
      <c r="H24147" s="4" t="str">
        <v/>
      </c>
      <c r="I24147" s="4" t="str">
        <v/>
      </c>
    </row>
    <row r="24148" spans="5:9" ht="16.5" hidden="1">
      <c r="E24148" s="4" t="str">
        <v/>
      </c>
      <c r="F24148" s="102" t="str">
        <f ca="1">IFERROR(__xludf.DUMMYFUNCTION("IMPORTRANGE(H24148,""IDENTITAS UNIT!D9"")"),"#N/A")</f>
        <v>#N/A</v>
      </c>
      <c r="H24148" s="4" t="str">
        <v/>
      </c>
      <c r="I24148" s="4" t="str">
        <v/>
      </c>
    </row>
    <row r="24149" spans="5:9" ht="16.5" hidden="1">
      <c r="E24149" s="4" t="str">
        <v/>
      </c>
      <c r="F24149" s="102" t="str">
        <f ca="1">IFERROR(__xludf.DUMMYFUNCTION("IMPORTRANGE(H24149,""IDENTITAS UNIT!D9"")"),"#N/A")</f>
        <v>#N/A</v>
      </c>
      <c r="H24149" s="4" t="str">
        <v/>
      </c>
      <c r="I24149" s="4" t="str">
        <v/>
      </c>
    </row>
    <row r="24150" spans="5:9" ht="16.5" hidden="1">
      <c r="E24150" s="4" t="str">
        <v/>
      </c>
      <c r="F24150" s="102" t="str">
        <f ca="1">IFERROR(__xludf.DUMMYFUNCTION("IMPORTRANGE(H24150,""IDENTITAS UNIT!D9"")"),"#N/A")</f>
        <v>#N/A</v>
      </c>
      <c r="H24150" s="4" t="str">
        <v/>
      </c>
      <c r="I24150" s="4" t="str">
        <v/>
      </c>
    </row>
    <row r="24151" spans="5:9" ht="16.5" hidden="1">
      <c r="E24151" s="4" t="str">
        <v/>
      </c>
      <c r="F24151" s="102" t="str">
        <f ca="1">IFERROR(__xludf.DUMMYFUNCTION("IMPORTRANGE(H24151,""IDENTITAS UNIT!D9"")"),"#N/A")</f>
        <v>#N/A</v>
      </c>
      <c r="H24151" s="4" t="str">
        <v/>
      </c>
      <c r="I24151" s="4" t="str">
        <v/>
      </c>
    </row>
    <row r="24152" spans="5:9" ht="16.5" hidden="1">
      <c r="E24152" s="4" t="str">
        <v/>
      </c>
      <c r="F24152" s="102" t="str">
        <f ca="1">IFERROR(__xludf.DUMMYFUNCTION("IMPORTRANGE(H24152,""IDENTITAS UNIT!D9"")"),"#N/A")</f>
        <v>#N/A</v>
      </c>
      <c r="H24152" s="4" t="str">
        <v/>
      </c>
      <c r="I24152" s="4" t="str">
        <v/>
      </c>
    </row>
    <row r="24153" spans="5:9" ht="16.5" hidden="1">
      <c r="E24153" s="4" t="str">
        <v/>
      </c>
      <c r="F24153" s="102" t="str">
        <f ca="1">IFERROR(__xludf.DUMMYFUNCTION("IMPORTRANGE(H24153,""IDENTITAS UNIT!D9"")"),"#N/A")</f>
        <v>#N/A</v>
      </c>
      <c r="H24153" s="4" t="str">
        <v/>
      </c>
      <c r="I24153" s="4" t="str">
        <v/>
      </c>
    </row>
    <row r="24154" spans="5:9" ht="16.5" hidden="1">
      <c r="E24154" s="4" t="str">
        <v/>
      </c>
      <c r="F24154" s="102" t="str">
        <f ca="1">IFERROR(__xludf.DUMMYFUNCTION("IMPORTRANGE(H24154,""IDENTITAS UNIT!D9"")"),"#N/A")</f>
        <v>#N/A</v>
      </c>
      <c r="H24154" s="4" t="str">
        <v/>
      </c>
      <c r="I24154" s="4" t="str">
        <v/>
      </c>
    </row>
    <row r="24155" spans="5:9" ht="16.5" hidden="1">
      <c r="E24155" s="4" t="str">
        <v/>
      </c>
      <c r="F24155" s="102" t="str">
        <f ca="1">IFERROR(__xludf.DUMMYFUNCTION("IMPORTRANGE(H24155,""IDENTITAS UNIT!D9"")"),"#N/A")</f>
        <v>#N/A</v>
      </c>
      <c r="H24155" s="4" t="str">
        <v/>
      </c>
      <c r="I24155" s="4" t="str">
        <v/>
      </c>
    </row>
    <row r="24156" spans="5:9" ht="16.5" hidden="1">
      <c r="E24156" s="4" t="str">
        <v/>
      </c>
      <c r="F24156" s="102" t="str">
        <f ca="1">IFERROR(__xludf.DUMMYFUNCTION("IMPORTRANGE(H24156,""IDENTITAS UNIT!D9"")"),"#N/A")</f>
        <v>#N/A</v>
      </c>
      <c r="H24156" s="4" t="str">
        <v/>
      </c>
      <c r="I24156" s="4" t="str">
        <v/>
      </c>
    </row>
    <row r="24157" spans="5:9" ht="16.5" hidden="1">
      <c r="E24157" s="4" t="str">
        <v/>
      </c>
      <c r="F24157" s="102" t="str">
        <f ca="1">IFERROR(__xludf.DUMMYFUNCTION("IMPORTRANGE(H24157,""IDENTITAS UNIT!D9"")"),"#N/A")</f>
        <v>#N/A</v>
      </c>
      <c r="H24157" s="4" t="str">
        <v/>
      </c>
      <c r="I24157" s="4" t="str">
        <v/>
      </c>
    </row>
    <row r="24158" spans="5:9" ht="16.5" hidden="1">
      <c r="E24158" s="4" t="str">
        <v/>
      </c>
      <c r="F24158" s="102" t="str">
        <f ca="1">IFERROR(__xludf.DUMMYFUNCTION("IMPORTRANGE(H24158,""IDENTITAS UNIT!D9"")"),"#N/A")</f>
        <v>#N/A</v>
      </c>
      <c r="H24158" s="4" t="str">
        <v/>
      </c>
      <c r="I24158" s="4" t="str">
        <v/>
      </c>
    </row>
    <row r="24159" spans="5:9" ht="16.5" hidden="1">
      <c r="E24159" s="4" t="str">
        <v/>
      </c>
      <c r="F24159" s="102" t="str">
        <f ca="1">IFERROR(__xludf.DUMMYFUNCTION("IMPORTRANGE(H24159,""IDENTITAS UNIT!D9"")"),"#N/A")</f>
        <v>#N/A</v>
      </c>
      <c r="H24159" s="4" t="str">
        <v/>
      </c>
      <c r="I24159" s="4" t="str">
        <v/>
      </c>
    </row>
    <row r="24160" spans="5:9" ht="16.5" hidden="1">
      <c r="E24160" s="4" t="str">
        <v/>
      </c>
      <c r="F24160" s="102" t="str">
        <f ca="1">IFERROR(__xludf.DUMMYFUNCTION("IMPORTRANGE(H24160,""IDENTITAS UNIT!D9"")"),"#N/A")</f>
        <v>#N/A</v>
      </c>
      <c r="H24160" s="4" t="str">
        <v/>
      </c>
      <c r="I24160" s="4" t="str">
        <v/>
      </c>
    </row>
    <row r="24161" spans="5:9" ht="16.5" hidden="1">
      <c r="E24161" s="4" t="str">
        <v/>
      </c>
      <c r="F24161" s="102" t="str">
        <f ca="1">IFERROR(__xludf.DUMMYFUNCTION("IMPORTRANGE(H24161,""IDENTITAS UNIT!D9"")"),"#N/A")</f>
        <v>#N/A</v>
      </c>
      <c r="H24161" s="4" t="str">
        <v/>
      </c>
      <c r="I24161" s="4" t="str">
        <v/>
      </c>
    </row>
    <row r="24162" spans="5:9" ht="16.5" hidden="1">
      <c r="E24162" s="4" t="str">
        <v/>
      </c>
      <c r="F24162" s="102" t="str">
        <f ca="1">IFERROR(__xludf.DUMMYFUNCTION("IMPORTRANGE(H24162,""IDENTITAS UNIT!D9"")"),"#N/A")</f>
        <v>#N/A</v>
      </c>
      <c r="H24162" s="4" t="str">
        <v/>
      </c>
      <c r="I24162" s="4" t="str">
        <v/>
      </c>
    </row>
    <row r="24163" spans="5:9" ht="16.5" hidden="1">
      <c r="E24163" s="4" t="str">
        <v/>
      </c>
      <c r="F24163" s="102" t="str">
        <f ca="1">IFERROR(__xludf.DUMMYFUNCTION("IMPORTRANGE(H24163,""IDENTITAS UNIT!D9"")"),"#N/A")</f>
        <v>#N/A</v>
      </c>
      <c r="H24163" s="4" t="str">
        <v/>
      </c>
      <c r="I24163" s="4" t="str">
        <v/>
      </c>
    </row>
    <row r="24164" spans="5:9" ht="16.5" hidden="1">
      <c r="E24164" s="4" t="str">
        <v/>
      </c>
      <c r="F24164" s="102" t="str">
        <f ca="1">IFERROR(__xludf.DUMMYFUNCTION("IMPORTRANGE(H24164,""IDENTITAS UNIT!D9"")"),"#N/A")</f>
        <v>#N/A</v>
      </c>
      <c r="H24164" s="4" t="str">
        <v/>
      </c>
      <c r="I24164" s="4" t="str">
        <v/>
      </c>
    </row>
    <row r="24165" spans="5:9" ht="16.5" hidden="1">
      <c r="E24165" s="4" t="str">
        <v/>
      </c>
      <c r="F24165" s="102" t="str">
        <f ca="1">IFERROR(__xludf.DUMMYFUNCTION("IMPORTRANGE(H24165,""IDENTITAS UNIT!D9"")"),"#N/A")</f>
        <v>#N/A</v>
      </c>
      <c r="H24165" s="4" t="str">
        <v/>
      </c>
      <c r="I24165" s="4" t="str">
        <v/>
      </c>
    </row>
    <row r="24166" spans="5:9" ht="16.5" hidden="1">
      <c r="E24166" s="4" t="str">
        <v/>
      </c>
      <c r="F24166" s="102" t="str">
        <f ca="1">IFERROR(__xludf.DUMMYFUNCTION("IMPORTRANGE(H24166,""IDENTITAS UNIT!D9"")"),"#N/A")</f>
        <v>#N/A</v>
      </c>
      <c r="H24166" s="4" t="str">
        <v/>
      </c>
      <c r="I24166" s="4" t="str">
        <v/>
      </c>
    </row>
    <row r="24167" spans="5:9" ht="16.5" hidden="1">
      <c r="E24167" s="4" t="str">
        <v/>
      </c>
      <c r="F24167" s="102" t="str">
        <f ca="1">IFERROR(__xludf.DUMMYFUNCTION("IMPORTRANGE(H24167,""IDENTITAS UNIT!D9"")"),"#N/A")</f>
        <v>#N/A</v>
      </c>
      <c r="H24167" s="4" t="str">
        <v/>
      </c>
      <c r="I24167" s="4" t="str">
        <v/>
      </c>
    </row>
    <row r="24168" spans="5:9" ht="16.5" hidden="1">
      <c r="E24168" s="4" t="str">
        <v/>
      </c>
      <c r="F24168" s="102" t="str">
        <f ca="1">IFERROR(__xludf.DUMMYFUNCTION("IMPORTRANGE(H24168,""IDENTITAS UNIT!D9"")"),"#N/A")</f>
        <v>#N/A</v>
      </c>
      <c r="H24168" s="4" t="str">
        <v/>
      </c>
      <c r="I24168" s="4" t="str">
        <v/>
      </c>
    </row>
    <row r="24169" spans="5:9" ht="16.5" hidden="1">
      <c r="E24169" s="4" t="str">
        <v/>
      </c>
      <c r="F24169" s="102" t="str">
        <f ca="1">IFERROR(__xludf.DUMMYFUNCTION("IMPORTRANGE(H24169,""IDENTITAS UNIT!D9"")"),"#N/A")</f>
        <v>#N/A</v>
      </c>
      <c r="H24169" s="4" t="str">
        <v/>
      </c>
      <c r="I24169" s="4" t="str">
        <v/>
      </c>
    </row>
    <row r="24170" spans="5:9" ht="16.5" hidden="1">
      <c r="E24170" s="4" t="str">
        <v/>
      </c>
      <c r="F24170" s="102" t="str">
        <f ca="1">IFERROR(__xludf.DUMMYFUNCTION("IMPORTRANGE(H24170,""IDENTITAS UNIT!D9"")"),"#N/A")</f>
        <v>#N/A</v>
      </c>
      <c r="H24170" s="4" t="str">
        <v/>
      </c>
      <c r="I24170" s="4" t="str">
        <v/>
      </c>
    </row>
    <row r="24171" spans="5:9" ht="16.5" hidden="1">
      <c r="E24171" s="4" t="str">
        <v/>
      </c>
      <c r="F24171" s="102" t="str">
        <f ca="1">IFERROR(__xludf.DUMMYFUNCTION("IMPORTRANGE(H24171,""IDENTITAS UNIT!D9"")"),"#N/A")</f>
        <v>#N/A</v>
      </c>
      <c r="H24171" s="4" t="str">
        <v/>
      </c>
      <c r="I24171" s="4" t="str">
        <v/>
      </c>
    </row>
    <row r="24172" spans="5:9" ht="16.5" hidden="1">
      <c r="E24172" s="4" t="str">
        <v/>
      </c>
      <c r="F24172" s="102" t="str">
        <f ca="1">IFERROR(__xludf.DUMMYFUNCTION("IMPORTRANGE(H24172,""IDENTITAS UNIT!D9"")"),"#N/A")</f>
        <v>#N/A</v>
      </c>
      <c r="H24172" s="4" t="str">
        <v/>
      </c>
      <c r="I24172" s="4" t="str">
        <v/>
      </c>
    </row>
    <row r="24173" spans="5:9" ht="16.5" hidden="1">
      <c r="E24173" s="4" t="str">
        <v/>
      </c>
      <c r="F24173" s="102" t="str">
        <f ca="1">IFERROR(__xludf.DUMMYFUNCTION("IMPORTRANGE(H24173,""IDENTITAS UNIT!D9"")"),"#N/A")</f>
        <v>#N/A</v>
      </c>
      <c r="H24173" s="4" t="str">
        <v/>
      </c>
      <c r="I24173" s="4" t="str">
        <v/>
      </c>
    </row>
    <row r="24174" spans="5:9" ht="16.5" hidden="1">
      <c r="E24174" s="4" t="str">
        <v/>
      </c>
      <c r="F24174" s="102" t="str">
        <f ca="1">IFERROR(__xludf.DUMMYFUNCTION("IMPORTRANGE(H24174,""IDENTITAS UNIT!D9"")"),"#N/A")</f>
        <v>#N/A</v>
      </c>
      <c r="H24174" s="4" t="str">
        <v/>
      </c>
      <c r="I24174" s="4" t="str">
        <v/>
      </c>
    </row>
    <row r="24175" spans="5:9" ht="16.5" hidden="1">
      <c r="E24175" s="4" t="str">
        <v/>
      </c>
      <c r="F24175" s="102" t="str">
        <f ca="1">IFERROR(__xludf.DUMMYFUNCTION("IMPORTRANGE(H24175,""IDENTITAS UNIT!D9"")"),"#N/A")</f>
        <v>#N/A</v>
      </c>
      <c r="H24175" s="4" t="str">
        <v/>
      </c>
      <c r="I24175" s="4" t="str">
        <v/>
      </c>
    </row>
    <row r="24176" spans="5:9" ht="16.5" hidden="1">
      <c r="E24176" s="4" t="str">
        <v/>
      </c>
      <c r="F24176" s="102" t="str">
        <f ca="1">IFERROR(__xludf.DUMMYFUNCTION("IMPORTRANGE(H24176,""IDENTITAS UNIT!D9"")"),"#N/A")</f>
        <v>#N/A</v>
      </c>
      <c r="H24176" s="4" t="str">
        <v/>
      </c>
      <c r="I24176" s="4" t="str">
        <v/>
      </c>
    </row>
    <row r="24177" spans="5:9" ht="16.5" hidden="1">
      <c r="E24177" s="4" t="str">
        <v/>
      </c>
      <c r="F24177" s="102" t="str">
        <f ca="1">IFERROR(__xludf.DUMMYFUNCTION("IMPORTRANGE(H24177,""IDENTITAS UNIT!D9"")"),"#N/A")</f>
        <v>#N/A</v>
      </c>
      <c r="H24177" s="4" t="str">
        <v/>
      </c>
      <c r="I24177" s="4" t="str">
        <v/>
      </c>
    </row>
    <row r="24178" spans="5:9" ht="16.5" hidden="1">
      <c r="E24178" s="4" t="str">
        <v/>
      </c>
      <c r="F24178" s="102" t="str">
        <f ca="1">IFERROR(__xludf.DUMMYFUNCTION("IMPORTRANGE(H24178,""IDENTITAS UNIT!D9"")"),"#N/A")</f>
        <v>#N/A</v>
      </c>
      <c r="H24178" s="4" t="str">
        <v/>
      </c>
      <c r="I24178" s="4" t="str">
        <v/>
      </c>
    </row>
    <row r="24179" spans="5:9" ht="16.5" hidden="1">
      <c r="E24179" s="4" t="str">
        <v/>
      </c>
      <c r="F24179" s="102" t="str">
        <f ca="1">IFERROR(__xludf.DUMMYFUNCTION("IMPORTRANGE(H24179,""IDENTITAS UNIT!D9"")"),"#N/A")</f>
        <v>#N/A</v>
      </c>
      <c r="H24179" s="4" t="str">
        <v/>
      </c>
      <c r="I24179" s="4" t="str">
        <v/>
      </c>
    </row>
    <row r="24180" spans="5:9" ht="16.5" hidden="1">
      <c r="E24180" s="4" t="str">
        <v/>
      </c>
      <c r="F24180" s="102" t="str">
        <f ca="1">IFERROR(__xludf.DUMMYFUNCTION("IMPORTRANGE(H24180,""IDENTITAS UNIT!D9"")"),"#N/A")</f>
        <v>#N/A</v>
      </c>
      <c r="H24180" s="4" t="str">
        <v/>
      </c>
      <c r="I24180" s="4" t="str">
        <v/>
      </c>
    </row>
    <row r="24181" spans="5:9" ht="16.5" hidden="1">
      <c r="E24181" s="4" t="str">
        <v/>
      </c>
      <c r="F24181" s="102" t="str">
        <f ca="1">IFERROR(__xludf.DUMMYFUNCTION("IMPORTRANGE(H24181,""IDENTITAS UNIT!D9"")"),"#N/A")</f>
        <v>#N/A</v>
      </c>
      <c r="H24181" s="4" t="str">
        <v/>
      </c>
      <c r="I24181" s="4" t="str">
        <v/>
      </c>
    </row>
    <row r="24182" spans="5:9" ht="16.5" hidden="1">
      <c r="E24182" s="4" t="str">
        <v/>
      </c>
      <c r="F24182" s="102" t="str">
        <f ca="1">IFERROR(__xludf.DUMMYFUNCTION("IMPORTRANGE(H24182,""IDENTITAS UNIT!D9"")"),"#N/A")</f>
        <v>#N/A</v>
      </c>
      <c r="H24182" s="4" t="str">
        <v/>
      </c>
      <c r="I24182" s="4" t="str">
        <v/>
      </c>
    </row>
    <row r="24183" spans="5:9" ht="16.5" hidden="1">
      <c r="E24183" s="4" t="str">
        <v/>
      </c>
      <c r="F24183" s="102" t="str">
        <f ca="1">IFERROR(__xludf.DUMMYFUNCTION("IMPORTRANGE(H24183,""IDENTITAS UNIT!D9"")"),"#N/A")</f>
        <v>#N/A</v>
      </c>
      <c r="H24183" s="4" t="str">
        <v/>
      </c>
      <c r="I24183" s="4" t="str">
        <v/>
      </c>
    </row>
    <row r="24184" spans="5:9" ht="16.5" hidden="1">
      <c r="E24184" s="4" t="str">
        <v/>
      </c>
      <c r="F24184" s="102" t="str">
        <f ca="1">IFERROR(__xludf.DUMMYFUNCTION("IMPORTRANGE(H24184,""IDENTITAS UNIT!D9"")"),"#N/A")</f>
        <v>#N/A</v>
      </c>
      <c r="H24184" s="4" t="str">
        <v/>
      </c>
      <c r="I24184" s="4" t="str">
        <v/>
      </c>
    </row>
    <row r="24185" spans="5:9" ht="16.5" hidden="1">
      <c r="E24185" s="4" t="str">
        <v/>
      </c>
      <c r="F24185" s="102" t="str">
        <f ca="1">IFERROR(__xludf.DUMMYFUNCTION("IMPORTRANGE(H24185,""IDENTITAS UNIT!D9"")"),"#N/A")</f>
        <v>#N/A</v>
      </c>
      <c r="H24185" s="4" t="str">
        <v/>
      </c>
      <c r="I24185" s="4" t="str">
        <v/>
      </c>
    </row>
    <row r="24186" spans="5:9" ht="16.5" hidden="1">
      <c r="E24186" s="4" t="str">
        <v/>
      </c>
      <c r="F24186" s="102" t="str">
        <f ca="1">IFERROR(__xludf.DUMMYFUNCTION("IMPORTRANGE(H24186,""IDENTITAS UNIT!D9"")"),"#N/A")</f>
        <v>#N/A</v>
      </c>
      <c r="H24186" s="4" t="str">
        <v/>
      </c>
      <c r="I24186" s="4" t="str">
        <v/>
      </c>
    </row>
    <row r="24187" spans="5:9" ht="16.5" hidden="1">
      <c r="E24187" s="4" t="str">
        <v/>
      </c>
      <c r="F24187" s="102" t="str">
        <f ca="1">IFERROR(__xludf.DUMMYFUNCTION("IMPORTRANGE(H24187,""IDENTITAS UNIT!D9"")"),"#N/A")</f>
        <v>#N/A</v>
      </c>
      <c r="H24187" s="4" t="str">
        <v/>
      </c>
      <c r="I24187" s="4" t="str">
        <v/>
      </c>
    </row>
    <row r="24188" spans="5:9" ht="16.5" hidden="1">
      <c r="E24188" s="4" t="str">
        <v/>
      </c>
      <c r="F24188" s="102" t="str">
        <f ca="1">IFERROR(__xludf.DUMMYFUNCTION("IMPORTRANGE(H24188,""IDENTITAS UNIT!D9"")"),"#N/A")</f>
        <v>#N/A</v>
      </c>
      <c r="H24188" s="4" t="str">
        <v/>
      </c>
      <c r="I24188" s="4" t="str">
        <v/>
      </c>
    </row>
    <row r="24189" spans="5:9" ht="16.5" hidden="1">
      <c r="E24189" s="4" t="str">
        <v/>
      </c>
      <c r="F24189" s="102" t="str">
        <f ca="1">IFERROR(__xludf.DUMMYFUNCTION("IMPORTRANGE(H24189,""IDENTITAS UNIT!D9"")"),"#N/A")</f>
        <v>#N/A</v>
      </c>
      <c r="H24189" s="4" t="str">
        <v/>
      </c>
      <c r="I24189" s="4" t="str">
        <v/>
      </c>
    </row>
    <row r="24190" spans="5:9" ht="16.5" hidden="1">
      <c r="E24190" s="4" t="str">
        <v/>
      </c>
      <c r="F24190" s="102" t="str">
        <f ca="1">IFERROR(__xludf.DUMMYFUNCTION("IMPORTRANGE(H24190,""IDENTITAS UNIT!D9"")"),"#N/A")</f>
        <v>#N/A</v>
      </c>
      <c r="H24190" s="4" t="str">
        <v/>
      </c>
      <c r="I24190" s="4" t="str">
        <v/>
      </c>
    </row>
    <row r="24191" spans="5:9" ht="16.5" hidden="1">
      <c r="E24191" s="4" t="str">
        <v/>
      </c>
      <c r="F24191" s="102" t="str">
        <f ca="1">IFERROR(__xludf.DUMMYFUNCTION("IMPORTRANGE(H24191,""IDENTITAS UNIT!D9"")"),"#N/A")</f>
        <v>#N/A</v>
      </c>
      <c r="H24191" s="4" t="str">
        <v/>
      </c>
      <c r="I24191" s="4" t="str">
        <v/>
      </c>
    </row>
    <row r="24192" spans="5:9" ht="16.5" hidden="1">
      <c r="E24192" s="4" t="str">
        <v/>
      </c>
      <c r="F24192" s="102" t="str">
        <f ca="1">IFERROR(__xludf.DUMMYFUNCTION("IMPORTRANGE(H24192,""IDENTITAS UNIT!D9"")"),"#N/A")</f>
        <v>#N/A</v>
      </c>
      <c r="H24192" s="4" t="str">
        <v/>
      </c>
      <c r="I24192" s="4" t="str">
        <v/>
      </c>
    </row>
    <row r="24193" spans="5:9" ht="16.5" hidden="1">
      <c r="E24193" s="4" t="str">
        <v/>
      </c>
      <c r="F24193" s="102" t="str">
        <f ca="1">IFERROR(__xludf.DUMMYFUNCTION("IMPORTRANGE(H24193,""IDENTITAS UNIT!D9"")"),"#N/A")</f>
        <v>#N/A</v>
      </c>
      <c r="H24193" s="4" t="str">
        <v/>
      </c>
      <c r="I24193" s="4" t="str">
        <v/>
      </c>
    </row>
    <row r="24194" spans="5:9" ht="16.5" hidden="1">
      <c r="E24194" s="4" t="str">
        <v/>
      </c>
      <c r="F24194" s="102" t="str">
        <f ca="1">IFERROR(__xludf.DUMMYFUNCTION("IMPORTRANGE(H24194,""IDENTITAS UNIT!D9"")"),"#N/A")</f>
        <v>#N/A</v>
      </c>
      <c r="H24194" s="4" t="str">
        <v/>
      </c>
      <c r="I24194" s="4" t="str">
        <v/>
      </c>
    </row>
    <row r="24195" spans="5:9" ht="16.5" hidden="1">
      <c r="E24195" s="4" t="str">
        <v/>
      </c>
      <c r="F24195" s="102" t="str">
        <f ca="1">IFERROR(__xludf.DUMMYFUNCTION("IMPORTRANGE(H24195,""IDENTITAS UNIT!D9"")"),"#N/A")</f>
        <v>#N/A</v>
      </c>
      <c r="H24195" s="4" t="str">
        <v/>
      </c>
      <c r="I24195" s="4" t="str">
        <v/>
      </c>
    </row>
    <row r="24196" spans="5:9" ht="16.5" hidden="1">
      <c r="E24196" s="4" t="str">
        <v/>
      </c>
      <c r="F24196" s="102" t="str">
        <f ca="1">IFERROR(__xludf.DUMMYFUNCTION("IMPORTRANGE(H24196,""IDENTITAS UNIT!D9"")"),"#N/A")</f>
        <v>#N/A</v>
      </c>
      <c r="H24196" s="4" t="str">
        <v/>
      </c>
      <c r="I24196" s="4" t="str">
        <v/>
      </c>
    </row>
    <row r="24197" spans="5:9" ht="16.5" hidden="1">
      <c r="E24197" s="4" t="str">
        <v/>
      </c>
      <c r="F24197" s="102" t="str">
        <f ca="1">IFERROR(__xludf.DUMMYFUNCTION("IMPORTRANGE(H24197,""IDENTITAS UNIT!D9"")"),"#N/A")</f>
        <v>#N/A</v>
      </c>
      <c r="H24197" s="4" t="str">
        <v/>
      </c>
      <c r="I24197" s="4" t="str">
        <v/>
      </c>
    </row>
    <row r="24198" spans="5:9" ht="16.5" hidden="1">
      <c r="E24198" s="4" t="str">
        <v/>
      </c>
      <c r="F24198" s="102" t="str">
        <f ca="1">IFERROR(__xludf.DUMMYFUNCTION("IMPORTRANGE(H24198,""IDENTITAS UNIT!D9"")"),"#N/A")</f>
        <v>#N/A</v>
      </c>
      <c r="H24198" s="4" t="str">
        <v/>
      </c>
      <c r="I24198" s="4" t="str">
        <v/>
      </c>
    </row>
    <row r="24199" spans="5:9" ht="16.5" hidden="1">
      <c r="E24199" s="4" t="str">
        <v/>
      </c>
      <c r="F24199" s="102" t="str">
        <f ca="1">IFERROR(__xludf.DUMMYFUNCTION("IMPORTRANGE(H24199,""IDENTITAS UNIT!D9"")"),"#N/A")</f>
        <v>#N/A</v>
      </c>
      <c r="H24199" s="4" t="str">
        <v/>
      </c>
      <c r="I24199" s="4" t="str">
        <v/>
      </c>
    </row>
    <row r="24200" spans="5:9" ht="16.5" hidden="1">
      <c r="E24200" s="4" t="str">
        <v/>
      </c>
      <c r="F24200" s="102" t="str">
        <f ca="1">IFERROR(__xludf.DUMMYFUNCTION("IMPORTRANGE(H24200,""IDENTITAS UNIT!D9"")"),"#N/A")</f>
        <v>#N/A</v>
      </c>
      <c r="H24200" s="4" t="str">
        <v/>
      </c>
      <c r="I24200" s="4" t="str">
        <v/>
      </c>
    </row>
    <row r="24201" spans="5:9" ht="16.5" hidden="1">
      <c r="E24201" s="4" t="str">
        <v/>
      </c>
      <c r="F24201" s="102" t="str">
        <f ca="1">IFERROR(__xludf.DUMMYFUNCTION("IMPORTRANGE(H24201,""IDENTITAS UNIT!D9"")"),"#N/A")</f>
        <v>#N/A</v>
      </c>
      <c r="H24201" s="4" t="str">
        <v/>
      </c>
      <c r="I24201" s="4" t="str">
        <v/>
      </c>
    </row>
    <row r="24202" spans="5:9" ht="16.5" hidden="1">
      <c r="E24202" s="4" t="str">
        <v/>
      </c>
      <c r="F24202" s="102" t="str">
        <f ca="1">IFERROR(__xludf.DUMMYFUNCTION("IMPORTRANGE(H24202,""IDENTITAS UNIT!D9"")"),"#N/A")</f>
        <v>#N/A</v>
      </c>
      <c r="H24202" s="4" t="str">
        <v/>
      </c>
      <c r="I24202" s="4" t="str">
        <v/>
      </c>
    </row>
    <row r="24203" spans="5:9" ht="16.5" hidden="1">
      <c r="E24203" s="4" t="str">
        <v/>
      </c>
      <c r="F24203" s="102" t="str">
        <f ca="1">IFERROR(__xludf.DUMMYFUNCTION("IMPORTRANGE(H24203,""IDENTITAS UNIT!D9"")"),"#N/A")</f>
        <v>#N/A</v>
      </c>
      <c r="H24203" s="4" t="str">
        <v/>
      </c>
      <c r="I24203" s="4" t="str">
        <v/>
      </c>
    </row>
    <row r="24204" spans="5:9" ht="16.5" hidden="1">
      <c r="E24204" s="4" t="str">
        <v/>
      </c>
      <c r="F24204" s="102" t="str">
        <f ca="1">IFERROR(__xludf.DUMMYFUNCTION("IMPORTRANGE(H24204,""IDENTITAS UNIT!D9"")"),"#N/A")</f>
        <v>#N/A</v>
      </c>
      <c r="H24204" s="4" t="str">
        <v/>
      </c>
      <c r="I24204" s="4" t="str">
        <v/>
      </c>
    </row>
    <row r="24205" spans="5:9" ht="16.5" hidden="1">
      <c r="E24205" s="4" t="str">
        <v/>
      </c>
      <c r="F24205" s="102" t="str">
        <f ca="1">IFERROR(__xludf.DUMMYFUNCTION("IMPORTRANGE(H24205,""IDENTITAS UNIT!D9"")"),"#N/A")</f>
        <v>#N/A</v>
      </c>
      <c r="H24205" s="4" t="str">
        <v/>
      </c>
      <c r="I24205" s="4" t="str">
        <v/>
      </c>
    </row>
    <row r="24206" spans="5:9" ht="16.5" hidden="1">
      <c r="E24206" s="4" t="str">
        <v/>
      </c>
      <c r="F24206" s="102" t="str">
        <f ca="1">IFERROR(__xludf.DUMMYFUNCTION("IMPORTRANGE(H24206,""IDENTITAS UNIT!D9"")"),"#N/A")</f>
        <v>#N/A</v>
      </c>
      <c r="H24206" s="4" t="str">
        <v/>
      </c>
      <c r="I24206" s="4" t="str">
        <v/>
      </c>
    </row>
    <row r="24207" spans="5:9" ht="16.5" hidden="1">
      <c r="E24207" s="4" t="str">
        <v/>
      </c>
      <c r="F24207" s="102" t="str">
        <f ca="1">IFERROR(__xludf.DUMMYFUNCTION("IMPORTRANGE(H24207,""IDENTITAS UNIT!D9"")"),"#N/A")</f>
        <v>#N/A</v>
      </c>
      <c r="H24207" s="4" t="str">
        <v/>
      </c>
      <c r="I24207" s="4" t="str">
        <v/>
      </c>
    </row>
    <row r="24208" spans="5:9" ht="16.5" hidden="1">
      <c r="E24208" s="4" t="str">
        <v/>
      </c>
      <c r="F24208" s="102" t="str">
        <f ca="1">IFERROR(__xludf.DUMMYFUNCTION("IMPORTRANGE(H24208,""IDENTITAS UNIT!D9"")"),"#N/A")</f>
        <v>#N/A</v>
      </c>
      <c r="H24208" s="4" t="str">
        <v/>
      </c>
      <c r="I24208" s="4" t="str">
        <v/>
      </c>
    </row>
    <row r="24209" spans="5:9" ht="16.5" hidden="1">
      <c r="E24209" s="4" t="str">
        <v/>
      </c>
      <c r="F24209" s="102" t="str">
        <f ca="1">IFERROR(__xludf.DUMMYFUNCTION("IMPORTRANGE(H24209,""IDENTITAS UNIT!D9"")"),"#N/A")</f>
        <v>#N/A</v>
      </c>
      <c r="H24209" s="4" t="str">
        <v/>
      </c>
      <c r="I24209" s="4" t="str">
        <v/>
      </c>
    </row>
    <row r="24210" spans="5:9" ht="16.5" hidden="1">
      <c r="E24210" s="4" t="str">
        <v/>
      </c>
      <c r="F24210" s="102" t="str">
        <f ca="1">IFERROR(__xludf.DUMMYFUNCTION("IMPORTRANGE(H24210,""IDENTITAS UNIT!D9"")"),"#N/A")</f>
        <v>#N/A</v>
      </c>
      <c r="H24210" s="4" t="str">
        <v/>
      </c>
      <c r="I24210" s="4" t="str">
        <v/>
      </c>
    </row>
    <row r="24211" spans="5:9" ht="16.5" hidden="1">
      <c r="E24211" s="4" t="str">
        <v/>
      </c>
      <c r="F24211" s="102" t="str">
        <f ca="1">IFERROR(__xludf.DUMMYFUNCTION("IMPORTRANGE(H24211,""IDENTITAS UNIT!D9"")"),"#N/A")</f>
        <v>#N/A</v>
      </c>
      <c r="H24211" s="4" t="str">
        <v/>
      </c>
      <c r="I24211" s="4" t="str">
        <v/>
      </c>
    </row>
    <row r="24212" spans="5:9" ht="16.5" hidden="1">
      <c r="E24212" s="4" t="str">
        <v/>
      </c>
      <c r="F24212" s="102" t="str">
        <f ca="1">IFERROR(__xludf.DUMMYFUNCTION("IMPORTRANGE(H24212,""IDENTITAS UNIT!D9"")"),"#N/A")</f>
        <v>#N/A</v>
      </c>
      <c r="H24212" s="4" t="str">
        <v/>
      </c>
      <c r="I24212" s="4" t="str">
        <v/>
      </c>
    </row>
    <row r="24213" spans="5:9" ht="16.5" hidden="1">
      <c r="E24213" s="4" t="str">
        <v/>
      </c>
      <c r="F24213" s="102" t="str">
        <f ca="1">IFERROR(__xludf.DUMMYFUNCTION("IMPORTRANGE(H24213,""IDENTITAS UNIT!D9"")"),"#N/A")</f>
        <v>#N/A</v>
      </c>
      <c r="H24213" s="4" t="str">
        <v/>
      </c>
      <c r="I24213" s="4" t="str">
        <v/>
      </c>
    </row>
    <row r="24214" spans="5:9" ht="16.5" hidden="1">
      <c r="E24214" s="4" t="str">
        <v/>
      </c>
      <c r="F24214" s="102" t="str">
        <f ca="1">IFERROR(__xludf.DUMMYFUNCTION("IMPORTRANGE(H24214,""IDENTITAS UNIT!D9"")"),"#N/A")</f>
        <v>#N/A</v>
      </c>
      <c r="H24214" s="4" t="str">
        <v/>
      </c>
      <c r="I24214" s="4" t="str">
        <v/>
      </c>
    </row>
    <row r="24215" spans="5:9" ht="16.5" hidden="1">
      <c r="E24215" s="4" t="str">
        <v/>
      </c>
      <c r="F24215" s="102" t="str">
        <f ca="1">IFERROR(__xludf.DUMMYFUNCTION("IMPORTRANGE(H24215,""IDENTITAS UNIT!D9"")"),"#N/A")</f>
        <v>#N/A</v>
      </c>
      <c r="H24215" s="4" t="str">
        <v/>
      </c>
      <c r="I24215" s="4" t="str">
        <v/>
      </c>
    </row>
    <row r="24216" spans="5:9" ht="16.5" hidden="1">
      <c r="E24216" s="4" t="str">
        <v/>
      </c>
      <c r="F24216" s="102" t="str">
        <f ca="1">IFERROR(__xludf.DUMMYFUNCTION("IMPORTRANGE(H24216,""IDENTITAS UNIT!D9"")"),"#N/A")</f>
        <v>#N/A</v>
      </c>
      <c r="H24216" s="4" t="str">
        <v/>
      </c>
      <c r="I24216" s="4" t="str">
        <v/>
      </c>
    </row>
    <row r="24217" spans="5:9" ht="16.5" hidden="1">
      <c r="E24217" s="4" t="str">
        <v/>
      </c>
      <c r="F24217" s="102" t="str">
        <f ca="1">IFERROR(__xludf.DUMMYFUNCTION("IMPORTRANGE(H24217,""IDENTITAS UNIT!D9"")"),"#N/A")</f>
        <v>#N/A</v>
      </c>
      <c r="H24217" s="4" t="str">
        <v/>
      </c>
      <c r="I24217" s="4" t="str">
        <v/>
      </c>
    </row>
    <row r="24218" spans="5:9" ht="16.5" hidden="1">
      <c r="E24218" s="4" t="str">
        <v/>
      </c>
      <c r="F24218" s="102" t="str">
        <f ca="1">IFERROR(__xludf.DUMMYFUNCTION("IMPORTRANGE(H24218,""IDENTITAS UNIT!D9"")"),"#N/A")</f>
        <v>#N/A</v>
      </c>
      <c r="H24218" s="4" t="str">
        <v/>
      </c>
      <c r="I24218" s="4" t="str">
        <v/>
      </c>
    </row>
    <row r="24219" spans="5:9" ht="16.5" hidden="1">
      <c r="E24219" s="4" t="str">
        <v/>
      </c>
      <c r="F24219" s="102" t="str">
        <f ca="1">IFERROR(__xludf.DUMMYFUNCTION("IMPORTRANGE(H24219,""IDENTITAS UNIT!D9"")"),"#N/A")</f>
        <v>#N/A</v>
      </c>
      <c r="H24219" s="4" t="str">
        <v/>
      </c>
      <c r="I24219" s="4" t="str">
        <v/>
      </c>
    </row>
    <row r="24220" spans="5:9" ht="16.5" hidden="1">
      <c r="E24220" s="4" t="str">
        <v/>
      </c>
      <c r="F24220" s="102" t="str">
        <f ca="1">IFERROR(__xludf.DUMMYFUNCTION("IMPORTRANGE(H24220,""IDENTITAS UNIT!D9"")"),"#N/A")</f>
        <v>#N/A</v>
      </c>
      <c r="H24220" s="4" t="str">
        <v/>
      </c>
      <c r="I24220" s="4" t="str">
        <v/>
      </c>
    </row>
    <row r="24221" spans="5:9" ht="16.5" hidden="1">
      <c r="E24221" s="4" t="str">
        <v/>
      </c>
      <c r="F24221" s="102" t="str">
        <f ca="1">IFERROR(__xludf.DUMMYFUNCTION("IMPORTRANGE(H24221,""IDENTITAS UNIT!D9"")"),"#N/A")</f>
        <v>#N/A</v>
      </c>
      <c r="H24221" s="4" t="str">
        <v/>
      </c>
      <c r="I24221" s="4" t="str">
        <v/>
      </c>
    </row>
    <row r="24222" spans="5:9" ht="16.5" hidden="1">
      <c r="E24222" s="4" t="str">
        <v/>
      </c>
      <c r="F24222" s="102" t="str">
        <f ca="1">IFERROR(__xludf.DUMMYFUNCTION("IMPORTRANGE(H24222,""IDENTITAS UNIT!D9"")"),"#N/A")</f>
        <v>#N/A</v>
      </c>
      <c r="H24222" s="4" t="str">
        <v/>
      </c>
      <c r="I24222" s="4" t="str">
        <v/>
      </c>
    </row>
    <row r="24223" spans="5:9" ht="16.5" hidden="1">
      <c r="E24223" s="4" t="str">
        <v/>
      </c>
      <c r="F24223" s="102" t="str">
        <f ca="1">IFERROR(__xludf.DUMMYFUNCTION("IMPORTRANGE(H24223,""IDENTITAS UNIT!D9"")"),"#N/A")</f>
        <v>#N/A</v>
      </c>
      <c r="H24223" s="4" t="str">
        <v/>
      </c>
      <c r="I24223" s="4" t="str">
        <v/>
      </c>
    </row>
    <row r="24224" spans="5:9" ht="16.5" hidden="1">
      <c r="E24224" s="4" t="str">
        <v/>
      </c>
      <c r="F24224" s="102" t="str">
        <f ca="1">IFERROR(__xludf.DUMMYFUNCTION("IMPORTRANGE(H24224,""IDENTITAS UNIT!D9"")"),"#N/A")</f>
        <v>#N/A</v>
      </c>
      <c r="H24224" s="4" t="str">
        <v/>
      </c>
      <c r="I24224" s="4" t="str">
        <v/>
      </c>
    </row>
    <row r="24225" spans="5:9" ht="16.5" hidden="1">
      <c r="E24225" s="4" t="str">
        <v/>
      </c>
      <c r="F24225" s="102" t="str">
        <f ca="1">IFERROR(__xludf.DUMMYFUNCTION("IMPORTRANGE(H24225,""IDENTITAS UNIT!D9"")"),"#N/A")</f>
        <v>#N/A</v>
      </c>
      <c r="H24225" s="4" t="str">
        <v/>
      </c>
      <c r="I24225" s="4" t="str">
        <v/>
      </c>
    </row>
    <row r="24226" spans="5:9" ht="16.5" hidden="1">
      <c r="E24226" s="4" t="str">
        <v/>
      </c>
      <c r="F24226" s="102" t="str">
        <f ca="1">IFERROR(__xludf.DUMMYFUNCTION("IMPORTRANGE(H24226,""IDENTITAS UNIT!D9"")"),"#N/A")</f>
        <v>#N/A</v>
      </c>
      <c r="H24226" s="4" t="str">
        <v/>
      </c>
      <c r="I24226" s="4" t="str">
        <v/>
      </c>
    </row>
    <row r="24227" spans="5:9" ht="16.5" hidden="1">
      <c r="E24227" s="4" t="str">
        <v/>
      </c>
      <c r="F24227" s="102" t="str">
        <f ca="1">IFERROR(__xludf.DUMMYFUNCTION("IMPORTRANGE(H24227,""IDENTITAS UNIT!D9"")"),"#N/A")</f>
        <v>#N/A</v>
      </c>
      <c r="H24227" s="4" t="str">
        <v/>
      </c>
      <c r="I24227" s="4" t="str">
        <v/>
      </c>
    </row>
    <row r="24228" spans="5:9" ht="16.5" hidden="1">
      <c r="E24228" s="4" t="str">
        <v/>
      </c>
      <c r="F24228" s="102" t="str">
        <f ca="1">IFERROR(__xludf.DUMMYFUNCTION("IMPORTRANGE(H24228,""IDENTITAS UNIT!D9"")"),"#N/A")</f>
        <v>#N/A</v>
      </c>
      <c r="H24228" s="4" t="str">
        <v/>
      </c>
      <c r="I24228" s="4" t="str">
        <v/>
      </c>
    </row>
    <row r="24229" spans="5:9" ht="16.5" hidden="1">
      <c r="E24229" s="4" t="str">
        <v/>
      </c>
      <c r="F24229" s="102" t="str">
        <f ca="1">IFERROR(__xludf.DUMMYFUNCTION("IMPORTRANGE(H24229,""IDENTITAS UNIT!D9"")"),"#N/A")</f>
        <v>#N/A</v>
      </c>
      <c r="H24229" s="4" t="str">
        <v/>
      </c>
      <c r="I24229" s="4" t="str">
        <v/>
      </c>
    </row>
    <row r="24230" spans="5:9" ht="16.5" hidden="1">
      <c r="E24230" s="4" t="str">
        <v/>
      </c>
      <c r="F24230" s="102" t="str">
        <f ca="1">IFERROR(__xludf.DUMMYFUNCTION("IMPORTRANGE(H24230,""IDENTITAS UNIT!D9"")"),"#N/A")</f>
        <v>#N/A</v>
      </c>
      <c r="H24230" s="4" t="str">
        <v/>
      </c>
      <c r="I24230" s="4" t="str">
        <v/>
      </c>
    </row>
    <row r="24231" spans="5:9" ht="16.5" hidden="1">
      <c r="E24231" s="4" t="str">
        <v/>
      </c>
      <c r="F24231" s="102" t="str">
        <f ca="1">IFERROR(__xludf.DUMMYFUNCTION("IMPORTRANGE(H24231,""IDENTITAS UNIT!D9"")"),"#N/A")</f>
        <v>#N/A</v>
      </c>
      <c r="H24231" s="4" t="str">
        <v/>
      </c>
      <c r="I24231" s="4" t="str">
        <v/>
      </c>
    </row>
    <row r="24232" spans="5:9" ht="16.5" hidden="1">
      <c r="E24232" s="4" t="str">
        <v/>
      </c>
      <c r="F24232" s="102" t="str">
        <f ca="1">IFERROR(__xludf.DUMMYFUNCTION("IMPORTRANGE(H24232,""IDENTITAS UNIT!D9"")"),"#N/A")</f>
        <v>#N/A</v>
      </c>
      <c r="H24232" s="4" t="str">
        <v/>
      </c>
      <c r="I24232" s="4" t="str">
        <v/>
      </c>
    </row>
    <row r="24233" spans="5:9" ht="16.5" hidden="1">
      <c r="E24233" s="4" t="str">
        <v/>
      </c>
      <c r="F24233" s="102" t="str">
        <f ca="1">IFERROR(__xludf.DUMMYFUNCTION("IMPORTRANGE(H24233,""IDENTITAS UNIT!D9"")"),"#N/A")</f>
        <v>#N/A</v>
      </c>
      <c r="H24233" s="4" t="str">
        <v/>
      </c>
      <c r="I24233" s="4" t="str">
        <v/>
      </c>
    </row>
    <row r="24234" spans="5:9" ht="16.5" hidden="1">
      <c r="E24234" s="4" t="str">
        <v/>
      </c>
      <c r="F24234" s="102" t="str">
        <f ca="1">IFERROR(__xludf.DUMMYFUNCTION("IMPORTRANGE(H24234,""IDENTITAS UNIT!D9"")"),"#N/A")</f>
        <v>#N/A</v>
      </c>
      <c r="H24234" s="4" t="str">
        <v/>
      </c>
      <c r="I24234" s="4" t="str">
        <v/>
      </c>
    </row>
    <row r="24235" spans="5:9" ht="16.5" hidden="1">
      <c r="E24235" s="4" t="str">
        <v/>
      </c>
      <c r="F24235" s="102" t="str">
        <f ca="1">IFERROR(__xludf.DUMMYFUNCTION("IMPORTRANGE(H24235,""IDENTITAS UNIT!D9"")"),"#N/A")</f>
        <v>#N/A</v>
      </c>
      <c r="H24235" s="4" t="str">
        <v/>
      </c>
      <c r="I24235" s="4" t="str">
        <v/>
      </c>
    </row>
    <row r="24236" spans="5:9" ht="16.5" hidden="1">
      <c r="E24236" s="4" t="str">
        <v/>
      </c>
      <c r="F24236" s="102" t="str">
        <f ca="1">IFERROR(__xludf.DUMMYFUNCTION("IMPORTRANGE(H24236,""IDENTITAS UNIT!D9"")"),"#N/A")</f>
        <v>#N/A</v>
      </c>
      <c r="H24236" s="4" t="str">
        <v/>
      </c>
      <c r="I24236" s="4" t="str">
        <v/>
      </c>
    </row>
    <row r="24237" spans="5:9" ht="16.5" hidden="1">
      <c r="E24237" s="4" t="str">
        <v/>
      </c>
      <c r="F24237" s="102" t="str">
        <f ca="1">IFERROR(__xludf.DUMMYFUNCTION("IMPORTRANGE(H24237,""IDENTITAS UNIT!D9"")"),"#N/A")</f>
        <v>#N/A</v>
      </c>
      <c r="H24237" s="4" t="str">
        <v/>
      </c>
      <c r="I24237" s="4" t="str">
        <v/>
      </c>
    </row>
    <row r="24238" spans="5:9" ht="16.5" hidden="1">
      <c r="E24238" s="4" t="str">
        <v/>
      </c>
      <c r="F24238" s="102" t="str">
        <f ca="1">IFERROR(__xludf.DUMMYFUNCTION("IMPORTRANGE(H24238,""IDENTITAS UNIT!D9"")"),"#N/A")</f>
        <v>#N/A</v>
      </c>
      <c r="H24238" s="4" t="str">
        <v/>
      </c>
      <c r="I24238" s="4" t="str">
        <v/>
      </c>
    </row>
    <row r="24239" spans="5:9" ht="16.5" hidden="1">
      <c r="E24239" s="4" t="str">
        <v/>
      </c>
      <c r="F24239" s="102" t="str">
        <f ca="1">IFERROR(__xludf.DUMMYFUNCTION("IMPORTRANGE(H24239,""IDENTITAS UNIT!D9"")"),"#N/A")</f>
        <v>#N/A</v>
      </c>
      <c r="H24239" s="4" t="str">
        <v/>
      </c>
      <c r="I24239" s="4" t="str">
        <v/>
      </c>
    </row>
    <row r="24240" spans="5:9" ht="16.5" hidden="1">
      <c r="E24240" s="4" t="str">
        <v/>
      </c>
      <c r="F24240" s="102" t="str">
        <f ca="1">IFERROR(__xludf.DUMMYFUNCTION("IMPORTRANGE(H24240,""IDENTITAS UNIT!D9"")"),"#N/A")</f>
        <v>#N/A</v>
      </c>
      <c r="H24240" s="4" t="str">
        <v/>
      </c>
      <c r="I24240" s="4" t="str">
        <v/>
      </c>
    </row>
    <row r="24241" spans="5:9" ht="16.5" hidden="1">
      <c r="E24241" s="4" t="str">
        <v/>
      </c>
      <c r="F24241" s="102" t="str">
        <f ca="1">IFERROR(__xludf.DUMMYFUNCTION("IMPORTRANGE(H24241,""IDENTITAS UNIT!D9"")"),"#N/A")</f>
        <v>#N/A</v>
      </c>
      <c r="H24241" s="4" t="str">
        <v/>
      </c>
      <c r="I24241" s="4" t="str">
        <v/>
      </c>
    </row>
    <row r="24242" spans="5:9" ht="16.5" hidden="1">
      <c r="E24242" s="4" t="str">
        <v/>
      </c>
      <c r="F24242" s="102" t="str">
        <f ca="1">IFERROR(__xludf.DUMMYFUNCTION("IMPORTRANGE(H24242,""IDENTITAS UNIT!D9"")"),"#N/A")</f>
        <v>#N/A</v>
      </c>
      <c r="H24242" s="4" t="str">
        <v/>
      </c>
      <c r="I24242" s="4" t="str">
        <v/>
      </c>
    </row>
    <row r="24243" spans="5:9" ht="16.5" hidden="1">
      <c r="E24243" s="4" t="str">
        <v/>
      </c>
      <c r="F24243" s="102" t="str">
        <f ca="1">IFERROR(__xludf.DUMMYFUNCTION("IMPORTRANGE(H24243,""IDENTITAS UNIT!D9"")"),"#N/A")</f>
        <v>#N/A</v>
      </c>
      <c r="H24243" s="4" t="str">
        <v/>
      </c>
      <c r="I24243" s="4" t="str">
        <v/>
      </c>
    </row>
    <row r="24244" spans="5:9" ht="16.5" hidden="1">
      <c r="E24244" s="4" t="str">
        <v/>
      </c>
      <c r="F24244" s="102" t="str">
        <f ca="1">IFERROR(__xludf.DUMMYFUNCTION("IMPORTRANGE(H24244,""IDENTITAS UNIT!D9"")"),"#N/A")</f>
        <v>#N/A</v>
      </c>
      <c r="H24244" s="4" t="str">
        <v/>
      </c>
      <c r="I24244" s="4" t="str">
        <v/>
      </c>
    </row>
    <row r="24245" spans="5:9" ht="16.5" hidden="1">
      <c r="E24245" s="4" t="str">
        <v/>
      </c>
      <c r="F24245" s="102" t="str">
        <f ca="1">IFERROR(__xludf.DUMMYFUNCTION("IMPORTRANGE(H24245,""IDENTITAS UNIT!D9"")"),"#N/A")</f>
        <v>#N/A</v>
      </c>
      <c r="H24245" s="4" t="str">
        <v/>
      </c>
      <c r="I24245" s="4" t="str">
        <v/>
      </c>
    </row>
    <row r="24246" spans="5:9" ht="16.5" hidden="1">
      <c r="E24246" s="4" t="str">
        <v/>
      </c>
      <c r="F24246" s="102" t="str">
        <f ca="1">IFERROR(__xludf.DUMMYFUNCTION("IMPORTRANGE(H24246,""IDENTITAS UNIT!D9"")"),"#N/A")</f>
        <v>#N/A</v>
      </c>
      <c r="H24246" s="4" t="str">
        <v/>
      </c>
      <c r="I24246" s="4" t="str">
        <v/>
      </c>
    </row>
    <row r="24247" spans="5:9" ht="16.5" hidden="1">
      <c r="E24247" s="4" t="str">
        <v/>
      </c>
      <c r="F24247" s="102" t="str">
        <f ca="1">IFERROR(__xludf.DUMMYFUNCTION("IMPORTRANGE(H24247,""IDENTITAS UNIT!D9"")"),"#N/A")</f>
        <v>#N/A</v>
      </c>
      <c r="H24247" s="4" t="str">
        <v/>
      </c>
      <c r="I24247" s="4" t="str">
        <v/>
      </c>
    </row>
    <row r="24248" spans="5:9" ht="16.5" hidden="1">
      <c r="E24248" s="4" t="str">
        <v/>
      </c>
      <c r="F24248" s="102" t="str">
        <f ca="1">IFERROR(__xludf.DUMMYFUNCTION("IMPORTRANGE(H24248,""IDENTITAS UNIT!D9"")"),"#N/A")</f>
        <v>#N/A</v>
      </c>
      <c r="H24248" s="4" t="str">
        <v/>
      </c>
      <c r="I24248" s="4" t="str">
        <v/>
      </c>
    </row>
    <row r="24249" spans="5:9" ht="16.5" hidden="1">
      <c r="E24249" s="4" t="str">
        <v/>
      </c>
      <c r="F24249" s="102" t="str">
        <f ca="1">IFERROR(__xludf.DUMMYFUNCTION("IMPORTRANGE(H24249,""IDENTITAS UNIT!D9"")"),"#N/A")</f>
        <v>#N/A</v>
      </c>
      <c r="H24249" s="4" t="str">
        <v/>
      </c>
      <c r="I24249" s="4" t="str">
        <v/>
      </c>
    </row>
    <row r="24250" spans="5:9" ht="16.5" hidden="1">
      <c r="E24250" s="4" t="str">
        <v/>
      </c>
      <c r="F24250" s="102" t="str">
        <f ca="1">IFERROR(__xludf.DUMMYFUNCTION("IMPORTRANGE(H24250,""IDENTITAS UNIT!D9"")"),"#N/A")</f>
        <v>#N/A</v>
      </c>
      <c r="H24250" s="4" t="str">
        <v/>
      </c>
      <c r="I24250" s="4" t="str">
        <v/>
      </c>
    </row>
    <row r="24251" spans="5:9" ht="16.5" hidden="1">
      <c r="E24251" s="4" t="str">
        <v/>
      </c>
      <c r="F24251" s="102" t="str">
        <f ca="1">IFERROR(__xludf.DUMMYFUNCTION("IMPORTRANGE(H24251,""IDENTITAS UNIT!D9"")"),"#N/A")</f>
        <v>#N/A</v>
      </c>
      <c r="H24251" s="4" t="str">
        <v/>
      </c>
      <c r="I24251" s="4" t="str">
        <v/>
      </c>
    </row>
    <row r="24252" spans="5:9" ht="16.5" hidden="1">
      <c r="E24252" s="4" t="str">
        <v/>
      </c>
      <c r="F24252" s="102" t="str">
        <f ca="1">IFERROR(__xludf.DUMMYFUNCTION("IMPORTRANGE(H24252,""IDENTITAS UNIT!D9"")"),"#N/A")</f>
        <v>#N/A</v>
      </c>
      <c r="H24252" s="4" t="str">
        <v/>
      </c>
      <c r="I24252" s="4" t="str">
        <v/>
      </c>
    </row>
    <row r="24253" spans="5:9" ht="16.5" hidden="1">
      <c r="E24253" s="4" t="str">
        <v/>
      </c>
      <c r="F24253" s="102" t="str">
        <f ca="1">IFERROR(__xludf.DUMMYFUNCTION("IMPORTRANGE(H24253,""IDENTITAS UNIT!D9"")"),"#N/A")</f>
        <v>#N/A</v>
      </c>
      <c r="H24253" s="4" t="str">
        <v/>
      </c>
      <c r="I24253" s="4" t="str">
        <v/>
      </c>
    </row>
    <row r="24254" spans="5:9" ht="16.5" hidden="1">
      <c r="E24254" s="4" t="str">
        <v/>
      </c>
      <c r="F24254" s="102" t="str">
        <f ca="1">IFERROR(__xludf.DUMMYFUNCTION("IMPORTRANGE(H24254,""IDENTITAS UNIT!D9"")"),"#N/A")</f>
        <v>#N/A</v>
      </c>
      <c r="H24254" s="4" t="str">
        <v/>
      </c>
      <c r="I24254" s="4" t="str">
        <v/>
      </c>
    </row>
    <row r="24255" spans="5:9" ht="16.5" hidden="1">
      <c r="E24255" s="4" t="str">
        <v/>
      </c>
      <c r="F24255" s="102" t="str">
        <f ca="1">IFERROR(__xludf.DUMMYFUNCTION("IMPORTRANGE(H24255,""IDENTITAS UNIT!D9"")"),"#N/A")</f>
        <v>#N/A</v>
      </c>
      <c r="H24255" s="4" t="str">
        <v/>
      </c>
      <c r="I24255" s="4" t="str">
        <v/>
      </c>
    </row>
    <row r="24256" spans="5:9" ht="16.5" hidden="1">
      <c r="E24256" s="4" t="str">
        <v/>
      </c>
      <c r="F24256" s="102" t="str">
        <f ca="1">IFERROR(__xludf.DUMMYFUNCTION("IMPORTRANGE(H24256,""IDENTITAS UNIT!D9"")"),"#N/A")</f>
        <v>#N/A</v>
      </c>
      <c r="H24256" s="4" t="str">
        <v/>
      </c>
      <c r="I24256" s="4" t="str">
        <v/>
      </c>
    </row>
    <row r="24257" spans="5:9" ht="16.5" hidden="1">
      <c r="E24257" s="4" t="str">
        <v/>
      </c>
      <c r="F24257" s="102" t="str">
        <f ca="1">IFERROR(__xludf.DUMMYFUNCTION("IMPORTRANGE(H24257,""IDENTITAS UNIT!D9"")"),"#N/A")</f>
        <v>#N/A</v>
      </c>
      <c r="H24257" s="4" t="str">
        <v/>
      </c>
      <c r="I24257" s="4" t="str">
        <v/>
      </c>
    </row>
    <row r="24258" spans="5:9" ht="16.5" hidden="1">
      <c r="E24258" s="4" t="str">
        <v/>
      </c>
      <c r="F24258" s="102" t="str">
        <f ca="1">IFERROR(__xludf.DUMMYFUNCTION("IMPORTRANGE(H24258,""IDENTITAS UNIT!D9"")"),"#N/A")</f>
        <v>#N/A</v>
      </c>
      <c r="H24258" s="4" t="str">
        <v/>
      </c>
      <c r="I24258" s="4" t="str">
        <v/>
      </c>
    </row>
    <row r="24259" spans="5:9" ht="16.5" hidden="1">
      <c r="E24259" s="4" t="str">
        <v/>
      </c>
      <c r="F24259" s="102" t="str">
        <f ca="1">IFERROR(__xludf.DUMMYFUNCTION("IMPORTRANGE(H24259,""IDENTITAS UNIT!D9"")"),"#N/A")</f>
        <v>#N/A</v>
      </c>
      <c r="H24259" s="4" t="str">
        <v/>
      </c>
      <c r="I24259" s="4" t="str">
        <v/>
      </c>
    </row>
    <row r="24260" spans="5:9" ht="16.5" hidden="1">
      <c r="E24260" s="4" t="str">
        <v/>
      </c>
      <c r="F24260" s="102" t="str">
        <f ca="1">IFERROR(__xludf.DUMMYFUNCTION("IMPORTRANGE(H24260,""IDENTITAS UNIT!D9"")"),"#N/A")</f>
        <v>#N/A</v>
      </c>
      <c r="H24260" s="4" t="str">
        <v/>
      </c>
      <c r="I24260" s="4" t="str">
        <v/>
      </c>
    </row>
    <row r="24261" spans="5:9" ht="16.5" hidden="1">
      <c r="E24261" s="4" t="str">
        <v/>
      </c>
      <c r="F24261" s="102" t="str">
        <f ca="1">IFERROR(__xludf.DUMMYFUNCTION("IMPORTRANGE(H24261,""IDENTITAS UNIT!D9"")"),"#N/A")</f>
        <v>#N/A</v>
      </c>
      <c r="H24261" s="4" t="str">
        <v/>
      </c>
      <c r="I24261" s="4" t="str">
        <v/>
      </c>
    </row>
    <row r="24262" spans="5:9" ht="16.5" hidden="1">
      <c r="E24262" s="4" t="str">
        <v/>
      </c>
      <c r="F24262" s="102" t="str">
        <f ca="1">IFERROR(__xludf.DUMMYFUNCTION("IMPORTRANGE(H24262,""IDENTITAS UNIT!D9"")"),"#N/A")</f>
        <v>#N/A</v>
      </c>
      <c r="H24262" s="4" t="str">
        <v/>
      </c>
      <c r="I24262" s="4" t="str">
        <v/>
      </c>
    </row>
    <row r="24263" spans="5:9" ht="16.5" hidden="1">
      <c r="E24263" s="4" t="str">
        <v/>
      </c>
      <c r="F24263" s="102" t="str">
        <f ca="1">IFERROR(__xludf.DUMMYFUNCTION("IMPORTRANGE(H24263,""IDENTITAS UNIT!D9"")"),"#N/A")</f>
        <v>#N/A</v>
      </c>
      <c r="H24263" s="4" t="str">
        <v/>
      </c>
      <c r="I24263" s="4" t="str">
        <v/>
      </c>
    </row>
    <row r="24264" spans="5:9" ht="16.5" hidden="1">
      <c r="E24264" s="4" t="str">
        <v/>
      </c>
      <c r="F24264" s="102" t="str">
        <f ca="1">IFERROR(__xludf.DUMMYFUNCTION("IMPORTRANGE(H24264,""IDENTITAS UNIT!D9"")"),"#N/A")</f>
        <v>#N/A</v>
      </c>
      <c r="H24264" s="4" t="str">
        <v/>
      </c>
      <c r="I24264" s="4" t="str">
        <v/>
      </c>
    </row>
    <row r="24265" spans="5:9" ht="16.5" hidden="1">
      <c r="E24265" s="4" t="str">
        <v/>
      </c>
      <c r="F24265" s="102" t="str">
        <f ca="1">IFERROR(__xludf.DUMMYFUNCTION("IMPORTRANGE(H24265,""IDENTITAS UNIT!D9"")"),"#N/A")</f>
        <v>#N/A</v>
      </c>
      <c r="H24265" s="4" t="str">
        <v/>
      </c>
      <c r="I24265" s="4" t="str">
        <v/>
      </c>
    </row>
    <row r="24266" spans="5:9" ht="16.5" hidden="1">
      <c r="E24266" s="4" t="str">
        <v/>
      </c>
      <c r="F24266" s="102" t="str">
        <f ca="1">IFERROR(__xludf.DUMMYFUNCTION("IMPORTRANGE(H24266,""IDENTITAS UNIT!D9"")"),"#N/A")</f>
        <v>#N/A</v>
      </c>
      <c r="H24266" s="4" t="str">
        <v/>
      </c>
      <c r="I24266" s="4" t="str">
        <v/>
      </c>
    </row>
    <row r="24267" spans="5:9" ht="16.5" hidden="1">
      <c r="E24267" s="4" t="str">
        <v/>
      </c>
      <c r="F24267" s="102" t="str">
        <f ca="1">IFERROR(__xludf.DUMMYFUNCTION("IMPORTRANGE(H24267,""IDENTITAS UNIT!D9"")"),"#N/A")</f>
        <v>#N/A</v>
      </c>
      <c r="H24267" s="4" t="str">
        <v/>
      </c>
      <c r="I24267" s="4" t="str">
        <v/>
      </c>
    </row>
    <row r="24268" spans="5:9" ht="16.5" hidden="1">
      <c r="E24268" s="4" t="str">
        <v/>
      </c>
      <c r="F24268" s="102" t="str">
        <f ca="1">IFERROR(__xludf.DUMMYFUNCTION("IMPORTRANGE(H24268,""IDENTITAS UNIT!D9"")"),"#N/A")</f>
        <v>#N/A</v>
      </c>
      <c r="H24268" s="4" t="str">
        <v/>
      </c>
      <c r="I24268" s="4" t="str">
        <v/>
      </c>
    </row>
    <row r="24269" spans="5:9" ht="16.5" hidden="1">
      <c r="E24269" s="4" t="str">
        <v/>
      </c>
      <c r="F24269" s="102" t="str">
        <f ca="1">IFERROR(__xludf.DUMMYFUNCTION("IMPORTRANGE(H24269,""IDENTITAS UNIT!D9"")"),"#N/A")</f>
        <v>#N/A</v>
      </c>
      <c r="H24269" s="4" t="str">
        <v/>
      </c>
      <c r="I24269" s="4" t="str">
        <v/>
      </c>
    </row>
    <row r="24270" spans="5:9" ht="16.5" hidden="1">
      <c r="E24270" s="4" t="str">
        <v/>
      </c>
      <c r="F24270" s="102" t="str">
        <f ca="1">IFERROR(__xludf.DUMMYFUNCTION("IMPORTRANGE(H24270,""IDENTITAS UNIT!D9"")"),"#N/A")</f>
        <v>#N/A</v>
      </c>
      <c r="H24270" s="4" t="str">
        <v/>
      </c>
      <c r="I24270" s="4" t="str">
        <v/>
      </c>
    </row>
    <row r="24271" spans="5:9" ht="16.5" hidden="1">
      <c r="E24271" s="4" t="str">
        <v/>
      </c>
      <c r="F24271" s="102" t="str">
        <f ca="1">IFERROR(__xludf.DUMMYFUNCTION("IMPORTRANGE(H24271,""IDENTITAS UNIT!D9"")"),"#N/A")</f>
        <v>#N/A</v>
      </c>
      <c r="H24271" s="4" t="str">
        <v/>
      </c>
      <c r="I24271" s="4" t="str">
        <v/>
      </c>
    </row>
    <row r="24272" spans="5:9" ht="16.5" hidden="1">
      <c r="E24272" s="4" t="str">
        <v/>
      </c>
      <c r="F24272" s="102" t="str">
        <f ca="1">IFERROR(__xludf.DUMMYFUNCTION("IMPORTRANGE(H24272,""IDENTITAS UNIT!D9"")"),"#N/A")</f>
        <v>#N/A</v>
      </c>
      <c r="H24272" s="4" t="str">
        <v/>
      </c>
      <c r="I24272" s="4" t="str">
        <v/>
      </c>
    </row>
    <row r="24273" spans="5:9" ht="16.5" hidden="1">
      <c r="E24273" s="4" t="str">
        <v/>
      </c>
      <c r="F24273" s="102" t="str">
        <f ca="1">IFERROR(__xludf.DUMMYFUNCTION("IMPORTRANGE(H24273,""IDENTITAS UNIT!D9"")"),"#N/A")</f>
        <v>#N/A</v>
      </c>
      <c r="H24273" s="4" t="str">
        <v/>
      </c>
      <c r="I24273" s="4" t="str">
        <v/>
      </c>
    </row>
    <row r="24274" spans="5:9" ht="16.5" hidden="1">
      <c r="E24274" s="4" t="str">
        <v/>
      </c>
      <c r="F24274" s="102" t="str">
        <f ca="1">IFERROR(__xludf.DUMMYFUNCTION("IMPORTRANGE(H24274,""IDENTITAS UNIT!D9"")"),"#N/A")</f>
        <v>#N/A</v>
      </c>
      <c r="H24274" s="4" t="str">
        <v/>
      </c>
      <c r="I24274" s="4" t="str">
        <v/>
      </c>
    </row>
    <row r="24275" spans="5:9" ht="16.5" hidden="1">
      <c r="E24275" s="4" t="str">
        <v/>
      </c>
      <c r="F24275" s="102" t="str">
        <f ca="1">IFERROR(__xludf.DUMMYFUNCTION("IMPORTRANGE(H24275,""IDENTITAS UNIT!D9"")"),"#N/A")</f>
        <v>#N/A</v>
      </c>
      <c r="H24275" s="4" t="str">
        <v/>
      </c>
      <c r="I24275" s="4" t="str">
        <v/>
      </c>
    </row>
    <row r="24276" spans="5:9" ht="16.5" hidden="1">
      <c r="E24276" s="4" t="str">
        <v/>
      </c>
      <c r="F24276" s="102" t="str">
        <f ca="1">IFERROR(__xludf.DUMMYFUNCTION("IMPORTRANGE(H24276,""IDENTITAS UNIT!D9"")"),"#N/A")</f>
        <v>#N/A</v>
      </c>
      <c r="H24276" s="4" t="str">
        <v/>
      </c>
      <c r="I24276" s="4" t="str">
        <v/>
      </c>
    </row>
    <row r="24277" spans="5:9" ht="16.5" hidden="1">
      <c r="E24277" s="4" t="str">
        <v/>
      </c>
      <c r="F24277" s="102" t="str">
        <f ca="1">IFERROR(__xludf.DUMMYFUNCTION("IMPORTRANGE(H24277,""IDENTITAS UNIT!D9"")"),"#N/A")</f>
        <v>#N/A</v>
      </c>
      <c r="H24277" s="4" t="str">
        <v/>
      </c>
      <c r="I24277" s="4" t="str">
        <v/>
      </c>
    </row>
    <row r="24278" spans="5:9" ht="16.5" hidden="1">
      <c r="E24278" s="4" t="str">
        <v/>
      </c>
      <c r="F24278" s="102" t="str">
        <f ca="1">IFERROR(__xludf.DUMMYFUNCTION("IMPORTRANGE(H24278,""IDENTITAS UNIT!D9"")"),"#N/A")</f>
        <v>#N/A</v>
      </c>
      <c r="H24278" s="4" t="str">
        <v/>
      </c>
      <c r="I24278" s="4" t="str">
        <v/>
      </c>
    </row>
    <row r="24279" spans="5:9" ht="16.5" hidden="1">
      <c r="E24279" s="4" t="str">
        <v/>
      </c>
      <c r="F24279" s="102" t="str">
        <f ca="1">IFERROR(__xludf.DUMMYFUNCTION("IMPORTRANGE(H24279,""IDENTITAS UNIT!D9"")"),"#N/A")</f>
        <v>#N/A</v>
      </c>
      <c r="H24279" s="4" t="str">
        <v/>
      </c>
      <c r="I24279" s="4" t="str">
        <v/>
      </c>
    </row>
    <row r="24280" spans="5:9" ht="16.5" hidden="1">
      <c r="E24280" s="4" t="str">
        <v/>
      </c>
      <c r="F24280" s="102" t="str">
        <f ca="1">IFERROR(__xludf.DUMMYFUNCTION("IMPORTRANGE(H24280,""IDENTITAS UNIT!D9"")"),"#N/A")</f>
        <v>#N/A</v>
      </c>
      <c r="H24280" s="4" t="str">
        <v/>
      </c>
      <c r="I24280" s="4" t="str">
        <v/>
      </c>
    </row>
    <row r="24281" spans="5:9" ht="16.5" hidden="1">
      <c r="E24281" s="4" t="str">
        <v/>
      </c>
      <c r="F24281" s="102" t="str">
        <f ca="1">IFERROR(__xludf.DUMMYFUNCTION("IMPORTRANGE(H24281,""IDENTITAS UNIT!D9"")"),"#N/A")</f>
        <v>#N/A</v>
      </c>
      <c r="H24281" s="4" t="str">
        <v/>
      </c>
      <c r="I24281" s="4" t="str">
        <v/>
      </c>
    </row>
    <row r="24282" spans="5:9" ht="16.5" hidden="1">
      <c r="E24282" s="4" t="str">
        <v/>
      </c>
      <c r="F24282" s="102" t="str">
        <f ca="1">IFERROR(__xludf.DUMMYFUNCTION("IMPORTRANGE(H24282,""IDENTITAS UNIT!D9"")"),"#N/A")</f>
        <v>#N/A</v>
      </c>
      <c r="H24282" s="4" t="str">
        <v/>
      </c>
      <c r="I24282" s="4" t="str">
        <v/>
      </c>
    </row>
    <row r="24283" spans="5:9" ht="16.5" hidden="1">
      <c r="E24283" s="4" t="str">
        <v/>
      </c>
      <c r="F24283" s="102" t="str">
        <f ca="1">IFERROR(__xludf.DUMMYFUNCTION("IMPORTRANGE(H24283,""IDENTITAS UNIT!D9"")"),"#N/A")</f>
        <v>#N/A</v>
      </c>
      <c r="H24283" s="4" t="str">
        <v/>
      </c>
      <c r="I24283" s="4" t="str">
        <v/>
      </c>
    </row>
    <row r="24284" spans="5:9" ht="16.5" hidden="1">
      <c r="E24284" s="4" t="str">
        <v/>
      </c>
      <c r="F24284" s="102" t="str">
        <f ca="1">IFERROR(__xludf.DUMMYFUNCTION("IMPORTRANGE(H24284,""IDENTITAS UNIT!D9"")"),"#N/A")</f>
        <v>#N/A</v>
      </c>
      <c r="H24284" s="4" t="str">
        <v/>
      </c>
      <c r="I24284" s="4" t="str">
        <v/>
      </c>
    </row>
    <row r="24285" spans="5:9" ht="16.5" hidden="1">
      <c r="E24285" s="4" t="str">
        <v/>
      </c>
      <c r="F24285" s="102" t="str">
        <f ca="1">IFERROR(__xludf.DUMMYFUNCTION("IMPORTRANGE(H24285,""IDENTITAS UNIT!D9"")"),"#N/A")</f>
        <v>#N/A</v>
      </c>
      <c r="H24285" s="4" t="str">
        <v/>
      </c>
      <c r="I24285" s="4" t="str">
        <v/>
      </c>
    </row>
    <row r="24286" spans="5:9" ht="16.5" hidden="1">
      <c r="E24286" s="4" t="str">
        <v/>
      </c>
      <c r="F24286" s="102" t="str">
        <f ca="1">IFERROR(__xludf.DUMMYFUNCTION("IMPORTRANGE(H24286,""IDENTITAS UNIT!D9"")"),"#N/A")</f>
        <v>#N/A</v>
      </c>
      <c r="H24286" s="4" t="str">
        <v/>
      </c>
      <c r="I24286" s="4" t="str">
        <v/>
      </c>
    </row>
    <row r="24287" spans="5:9" ht="16.5" hidden="1">
      <c r="E24287" s="4" t="str">
        <v/>
      </c>
      <c r="F24287" s="102" t="str">
        <f ca="1">IFERROR(__xludf.DUMMYFUNCTION("IMPORTRANGE(H24287,""IDENTITAS UNIT!D9"")"),"#N/A")</f>
        <v>#N/A</v>
      </c>
      <c r="H24287" s="4" t="str">
        <v/>
      </c>
      <c r="I24287" s="4" t="str">
        <v/>
      </c>
    </row>
    <row r="24288" spans="5:9" ht="16.5" hidden="1">
      <c r="E24288" s="4" t="str">
        <v/>
      </c>
      <c r="F24288" s="102" t="str">
        <f ca="1">IFERROR(__xludf.DUMMYFUNCTION("IMPORTRANGE(H24288,""IDENTITAS UNIT!D9"")"),"#N/A")</f>
        <v>#N/A</v>
      </c>
      <c r="H24288" s="4" t="str">
        <v/>
      </c>
      <c r="I24288" s="4" t="str">
        <v/>
      </c>
    </row>
    <row r="24289" spans="5:9" ht="16.5" hidden="1">
      <c r="E24289" s="4" t="str">
        <v/>
      </c>
      <c r="F24289" s="102" t="str">
        <f ca="1">IFERROR(__xludf.DUMMYFUNCTION("IMPORTRANGE(H24289,""IDENTITAS UNIT!D9"")"),"#N/A")</f>
        <v>#N/A</v>
      </c>
      <c r="H24289" s="4" t="str">
        <v/>
      </c>
      <c r="I24289" s="4" t="str">
        <v/>
      </c>
    </row>
    <row r="24290" spans="5:9" ht="16.5" hidden="1">
      <c r="E24290" s="4" t="str">
        <v/>
      </c>
      <c r="F24290" s="102" t="str">
        <f ca="1">IFERROR(__xludf.DUMMYFUNCTION("IMPORTRANGE(H24290,""IDENTITAS UNIT!D9"")"),"#N/A")</f>
        <v>#N/A</v>
      </c>
      <c r="H24290" s="4" t="str">
        <v/>
      </c>
      <c r="I24290" s="4" t="str">
        <v/>
      </c>
    </row>
    <row r="24291" spans="5:9" ht="16.5" hidden="1">
      <c r="E24291" s="4" t="str">
        <v/>
      </c>
      <c r="F24291" s="102" t="str">
        <f ca="1">IFERROR(__xludf.DUMMYFUNCTION("IMPORTRANGE(H24291,""IDENTITAS UNIT!D9"")"),"#N/A")</f>
        <v>#N/A</v>
      </c>
      <c r="H24291" s="4" t="str">
        <v/>
      </c>
      <c r="I24291" s="4" t="str">
        <v/>
      </c>
    </row>
    <row r="24292" spans="5:9" ht="16.5" hidden="1">
      <c r="E24292" s="4" t="str">
        <v/>
      </c>
      <c r="F24292" s="102" t="str">
        <f ca="1">IFERROR(__xludf.DUMMYFUNCTION("IMPORTRANGE(H24292,""IDENTITAS UNIT!D9"")"),"#N/A")</f>
        <v>#N/A</v>
      </c>
      <c r="H24292" s="4" t="str">
        <v/>
      </c>
      <c r="I24292" s="4" t="str">
        <v/>
      </c>
    </row>
    <row r="24293" spans="5:9" ht="16.5" hidden="1">
      <c r="E24293" s="4" t="str">
        <v/>
      </c>
      <c r="F24293" s="102" t="str">
        <f ca="1">IFERROR(__xludf.DUMMYFUNCTION("IMPORTRANGE(H24293,""IDENTITAS UNIT!D9"")"),"#N/A")</f>
        <v>#N/A</v>
      </c>
      <c r="H24293" s="4" t="str">
        <v/>
      </c>
      <c r="I24293" s="4" t="str">
        <v/>
      </c>
    </row>
    <row r="24294" spans="5:9" ht="16.5" hidden="1">
      <c r="E24294" s="4" t="str">
        <v/>
      </c>
      <c r="F24294" s="102" t="str">
        <f ca="1">IFERROR(__xludf.DUMMYFUNCTION("IMPORTRANGE(H24294,""IDENTITAS UNIT!D9"")"),"#N/A")</f>
        <v>#N/A</v>
      </c>
      <c r="H24294" s="4" t="str">
        <v/>
      </c>
      <c r="I24294" s="4" t="str">
        <v/>
      </c>
    </row>
    <row r="24295" spans="5:9" ht="16.5" hidden="1">
      <c r="E24295" s="4" t="str">
        <v/>
      </c>
      <c r="F24295" s="102" t="str">
        <f ca="1">IFERROR(__xludf.DUMMYFUNCTION("IMPORTRANGE(H24295,""IDENTITAS UNIT!D9"")"),"#N/A")</f>
        <v>#N/A</v>
      </c>
      <c r="H24295" s="4" t="str">
        <v/>
      </c>
      <c r="I24295" s="4" t="str">
        <v/>
      </c>
    </row>
    <row r="24296" spans="5:9" ht="16.5" hidden="1">
      <c r="E24296" s="4" t="str">
        <v/>
      </c>
      <c r="F24296" s="102" t="str">
        <f ca="1">IFERROR(__xludf.DUMMYFUNCTION("IMPORTRANGE(H24296,""IDENTITAS UNIT!D9"")"),"#N/A")</f>
        <v>#N/A</v>
      </c>
      <c r="H24296" s="4" t="str">
        <v/>
      </c>
      <c r="I24296" s="4" t="str">
        <v/>
      </c>
    </row>
    <row r="24297" spans="5:9" ht="16.5" hidden="1">
      <c r="E24297" s="4" t="str">
        <v/>
      </c>
      <c r="F24297" s="102" t="str">
        <f ca="1">IFERROR(__xludf.DUMMYFUNCTION("IMPORTRANGE(H24297,""IDENTITAS UNIT!D9"")"),"#N/A")</f>
        <v>#N/A</v>
      </c>
      <c r="H24297" s="4" t="str">
        <v/>
      </c>
      <c r="I24297" s="4" t="str">
        <v/>
      </c>
    </row>
    <row r="24298" spans="5:9" ht="16.5" hidden="1">
      <c r="E24298" s="4" t="str">
        <v/>
      </c>
      <c r="F24298" s="102" t="str">
        <f ca="1">IFERROR(__xludf.DUMMYFUNCTION("IMPORTRANGE(H24298,""IDENTITAS UNIT!D9"")"),"#N/A")</f>
        <v>#N/A</v>
      </c>
      <c r="H24298" s="4" t="str">
        <v/>
      </c>
      <c r="I24298" s="4" t="str">
        <v/>
      </c>
    </row>
    <row r="24299" spans="5:9" ht="16.5" hidden="1">
      <c r="E24299" s="4" t="str">
        <v/>
      </c>
      <c r="F24299" s="102" t="str">
        <f ca="1">IFERROR(__xludf.DUMMYFUNCTION("IMPORTRANGE(H24299,""IDENTITAS UNIT!D9"")"),"#N/A")</f>
        <v>#N/A</v>
      </c>
      <c r="H24299" s="4" t="str">
        <v/>
      </c>
      <c r="I24299" s="4" t="str">
        <v/>
      </c>
    </row>
    <row r="24300" spans="5:9" ht="16.5" hidden="1">
      <c r="E24300" s="4" t="str">
        <v/>
      </c>
      <c r="F24300" s="102" t="str">
        <f ca="1">IFERROR(__xludf.DUMMYFUNCTION("IMPORTRANGE(H24300,""IDENTITAS UNIT!D9"")"),"#N/A")</f>
        <v>#N/A</v>
      </c>
      <c r="H24300" s="4" t="str">
        <v/>
      </c>
      <c r="I24300" s="4" t="str">
        <v/>
      </c>
    </row>
    <row r="24301" spans="5:9" ht="16.5" hidden="1">
      <c r="E24301" s="4" t="str">
        <v/>
      </c>
      <c r="F24301" s="102" t="str">
        <f ca="1">IFERROR(__xludf.DUMMYFUNCTION("IMPORTRANGE(H24301,""IDENTITAS UNIT!D9"")"),"#N/A")</f>
        <v>#N/A</v>
      </c>
      <c r="H24301" s="4" t="str">
        <v/>
      </c>
      <c r="I24301" s="4" t="str">
        <v/>
      </c>
    </row>
    <row r="24302" spans="5:9" ht="16.5" hidden="1">
      <c r="E24302" s="4" t="str">
        <v/>
      </c>
      <c r="F24302" s="102" t="str">
        <f ca="1">IFERROR(__xludf.DUMMYFUNCTION("IMPORTRANGE(H24302,""IDENTITAS UNIT!D9"")"),"#N/A")</f>
        <v>#N/A</v>
      </c>
      <c r="H24302" s="4" t="str">
        <v/>
      </c>
      <c r="I24302" s="4" t="str">
        <v/>
      </c>
    </row>
    <row r="24303" spans="5:9" ht="16.5" hidden="1">
      <c r="E24303" s="4" t="str">
        <v/>
      </c>
      <c r="F24303" s="102" t="str">
        <f ca="1">IFERROR(__xludf.DUMMYFUNCTION("IMPORTRANGE(H24303,""IDENTITAS UNIT!D9"")"),"#N/A")</f>
        <v>#N/A</v>
      </c>
      <c r="H24303" s="4" t="str">
        <v/>
      </c>
      <c r="I24303" s="4" t="str">
        <v/>
      </c>
    </row>
    <row r="24304" spans="5:9" ht="16.5" hidden="1">
      <c r="E24304" s="4" t="str">
        <v/>
      </c>
      <c r="F24304" s="102" t="str">
        <f ca="1">IFERROR(__xludf.DUMMYFUNCTION("IMPORTRANGE(H24304,""IDENTITAS UNIT!D9"")"),"#N/A")</f>
        <v>#N/A</v>
      </c>
      <c r="H24304" s="4" t="str">
        <v/>
      </c>
      <c r="I24304" s="4" t="str">
        <v/>
      </c>
    </row>
    <row r="24305" spans="5:9" ht="16.5" hidden="1">
      <c r="E24305" s="4" t="str">
        <v/>
      </c>
      <c r="F24305" s="102" t="str">
        <f ca="1">IFERROR(__xludf.DUMMYFUNCTION("IMPORTRANGE(H24305,""IDENTITAS UNIT!D9"")"),"#N/A")</f>
        <v>#N/A</v>
      </c>
      <c r="H24305" s="4" t="str">
        <v/>
      </c>
      <c r="I24305" s="4" t="str">
        <v/>
      </c>
    </row>
    <row r="24306" spans="5:9" ht="16.5" hidden="1">
      <c r="E24306" s="4" t="str">
        <v/>
      </c>
      <c r="F24306" s="102" t="str">
        <f ca="1">IFERROR(__xludf.DUMMYFUNCTION("IMPORTRANGE(H24306,""IDENTITAS UNIT!D9"")"),"#N/A")</f>
        <v>#N/A</v>
      </c>
      <c r="H24306" s="4" t="str">
        <v/>
      </c>
      <c r="I24306" s="4" t="str">
        <v/>
      </c>
    </row>
    <row r="24307" spans="5:9" ht="16.5" hidden="1">
      <c r="E24307" s="4" t="str">
        <v/>
      </c>
      <c r="F24307" s="102" t="str">
        <f ca="1">IFERROR(__xludf.DUMMYFUNCTION("IMPORTRANGE(H24307,""IDENTITAS UNIT!D9"")"),"#N/A")</f>
        <v>#N/A</v>
      </c>
      <c r="H24307" s="4" t="str">
        <v/>
      </c>
      <c r="I24307" s="4" t="str">
        <v/>
      </c>
    </row>
    <row r="24308" spans="5:9" ht="16.5" hidden="1">
      <c r="E24308" s="4" t="str">
        <v/>
      </c>
      <c r="F24308" s="102" t="str">
        <f ca="1">IFERROR(__xludf.DUMMYFUNCTION("IMPORTRANGE(H24308,""IDENTITAS UNIT!D9"")"),"#N/A")</f>
        <v>#N/A</v>
      </c>
      <c r="H24308" s="4" t="str">
        <v/>
      </c>
      <c r="I24308" s="4" t="str">
        <v/>
      </c>
    </row>
    <row r="24309" spans="5:9" ht="16.5" hidden="1">
      <c r="E24309" s="4" t="str">
        <v/>
      </c>
      <c r="F24309" s="102" t="str">
        <f ca="1">IFERROR(__xludf.DUMMYFUNCTION("IMPORTRANGE(H24309,""IDENTITAS UNIT!D9"")"),"#N/A")</f>
        <v>#N/A</v>
      </c>
      <c r="H24309" s="4" t="str">
        <v/>
      </c>
      <c r="I24309" s="4" t="str">
        <v/>
      </c>
    </row>
    <row r="24310" spans="5:9" ht="16.5" hidden="1">
      <c r="E24310" s="4" t="str">
        <v/>
      </c>
      <c r="F24310" s="102" t="str">
        <f ca="1">IFERROR(__xludf.DUMMYFUNCTION("IMPORTRANGE(H24310,""IDENTITAS UNIT!D9"")"),"#N/A")</f>
        <v>#N/A</v>
      </c>
      <c r="H24310" s="4" t="str">
        <v/>
      </c>
      <c r="I24310" s="4" t="str">
        <v/>
      </c>
    </row>
    <row r="24311" spans="5:9" ht="16.5" hidden="1">
      <c r="E24311" s="4" t="str">
        <v/>
      </c>
      <c r="F24311" s="102" t="str">
        <f ca="1">IFERROR(__xludf.DUMMYFUNCTION("IMPORTRANGE(H24311,""IDENTITAS UNIT!D9"")"),"#N/A")</f>
        <v>#N/A</v>
      </c>
      <c r="H24311" s="4" t="str">
        <v/>
      </c>
      <c r="I24311" s="4" t="str">
        <v/>
      </c>
    </row>
    <row r="24312" spans="5:9" ht="16.5" hidden="1">
      <c r="E24312" s="4" t="str">
        <v/>
      </c>
      <c r="F24312" s="102" t="str">
        <f ca="1">IFERROR(__xludf.DUMMYFUNCTION("IMPORTRANGE(H24312,""IDENTITAS UNIT!D9"")"),"#N/A")</f>
        <v>#N/A</v>
      </c>
      <c r="H24312" s="4" t="str">
        <v/>
      </c>
      <c r="I24312" s="4" t="str">
        <v/>
      </c>
    </row>
    <row r="24313" spans="5:9" ht="16.5" hidden="1">
      <c r="E24313" s="4" t="str">
        <v/>
      </c>
      <c r="F24313" s="102" t="str">
        <f ca="1">IFERROR(__xludf.DUMMYFUNCTION("IMPORTRANGE(H24313,""IDENTITAS UNIT!D9"")"),"#N/A")</f>
        <v>#N/A</v>
      </c>
      <c r="H24313" s="4" t="str">
        <v/>
      </c>
      <c r="I24313" s="4" t="str">
        <v/>
      </c>
    </row>
    <row r="24314" spans="5:9" ht="16.5" hidden="1">
      <c r="E24314" s="4" t="str">
        <v/>
      </c>
      <c r="F24314" s="102" t="str">
        <f ca="1">IFERROR(__xludf.DUMMYFUNCTION("IMPORTRANGE(H24314,""IDENTITAS UNIT!D9"")"),"#N/A")</f>
        <v>#N/A</v>
      </c>
      <c r="H24314" s="4" t="str">
        <v/>
      </c>
      <c r="I24314" s="4" t="str">
        <v/>
      </c>
    </row>
    <row r="24315" spans="5:9" ht="16.5" hidden="1">
      <c r="E24315" s="4" t="str">
        <v/>
      </c>
      <c r="F24315" s="102" t="str">
        <f ca="1">IFERROR(__xludf.DUMMYFUNCTION("IMPORTRANGE(H24315,""IDENTITAS UNIT!D9"")"),"#N/A")</f>
        <v>#N/A</v>
      </c>
      <c r="H24315" s="4" t="str">
        <v/>
      </c>
      <c r="I24315" s="4" t="str">
        <v/>
      </c>
    </row>
    <row r="24316" spans="5:9" ht="16.5" hidden="1">
      <c r="E24316" s="4" t="str">
        <v/>
      </c>
      <c r="F24316" s="102" t="str">
        <f ca="1">IFERROR(__xludf.DUMMYFUNCTION("IMPORTRANGE(H24316,""IDENTITAS UNIT!D9"")"),"#N/A")</f>
        <v>#N/A</v>
      </c>
      <c r="H24316" s="4" t="str">
        <v/>
      </c>
      <c r="I24316" s="4" t="str">
        <v/>
      </c>
    </row>
    <row r="24317" spans="5:9" ht="16.5" hidden="1">
      <c r="E24317" s="4" t="str">
        <v/>
      </c>
      <c r="F24317" s="102" t="str">
        <f ca="1">IFERROR(__xludf.DUMMYFUNCTION("IMPORTRANGE(H24317,""IDENTITAS UNIT!D9"")"),"#N/A")</f>
        <v>#N/A</v>
      </c>
      <c r="H24317" s="4" t="str">
        <v/>
      </c>
      <c r="I24317" s="4" t="str">
        <v/>
      </c>
    </row>
    <row r="24318" spans="5:9" ht="16.5" hidden="1">
      <c r="E24318" s="4" t="str">
        <v/>
      </c>
      <c r="F24318" s="102" t="str">
        <f ca="1">IFERROR(__xludf.DUMMYFUNCTION("IMPORTRANGE(H24318,""IDENTITAS UNIT!D9"")"),"#N/A")</f>
        <v>#N/A</v>
      </c>
      <c r="H24318" s="4" t="str">
        <v/>
      </c>
      <c r="I24318" s="4" t="str">
        <v/>
      </c>
    </row>
    <row r="24319" spans="5:9" ht="16.5" hidden="1">
      <c r="E24319" s="4" t="str">
        <v/>
      </c>
      <c r="F24319" s="102" t="str">
        <f ca="1">IFERROR(__xludf.DUMMYFUNCTION("IMPORTRANGE(H24319,""IDENTITAS UNIT!D9"")"),"#N/A")</f>
        <v>#N/A</v>
      </c>
      <c r="H24319" s="4" t="str">
        <v/>
      </c>
      <c r="I24319" s="4" t="str">
        <v/>
      </c>
    </row>
    <row r="24320" spans="5:9" ht="16.5" hidden="1">
      <c r="E24320" s="4" t="str">
        <v/>
      </c>
      <c r="F24320" s="102" t="str">
        <f ca="1">IFERROR(__xludf.DUMMYFUNCTION("IMPORTRANGE(H24320,""IDENTITAS UNIT!D9"")"),"#N/A")</f>
        <v>#N/A</v>
      </c>
      <c r="H24320" s="4" t="str">
        <v/>
      </c>
      <c r="I24320" s="4" t="str">
        <v/>
      </c>
    </row>
    <row r="24321" spans="5:9" ht="16.5" hidden="1">
      <c r="E24321" s="4" t="str">
        <v/>
      </c>
      <c r="F24321" s="102" t="str">
        <f ca="1">IFERROR(__xludf.DUMMYFUNCTION("IMPORTRANGE(H24321,""IDENTITAS UNIT!D9"")"),"#N/A")</f>
        <v>#N/A</v>
      </c>
      <c r="H24321" s="4" t="str">
        <v/>
      </c>
      <c r="I24321" s="4" t="str">
        <v/>
      </c>
    </row>
    <row r="24322" spans="5:9" ht="16.5" hidden="1">
      <c r="E24322" s="4" t="str">
        <v/>
      </c>
      <c r="F24322" s="102" t="str">
        <f ca="1">IFERROR(__xludf.DUMMYFUNCTION("IMPORTRANGE(H24322,""IDENTITAS UNIT!D9"")"),"#N/A")</f>
        <v>#N/A</v>
      </c>
      <c r="H24322" s="4" t="str">
        <v/>
      </c>
      <c r="I24322" s="4" t="str">
        <v/>
      </c>
    </row>
    <row r="24323" spans="5:9" ht="16.5" hidden="1">
      <c r="E24323" s="4" t="str">
        <v/>
      </c>
      <c r="F24323" s="102" t="str">
        <f ca="1">IFERROR(__xludf.DUMMYFUNCTION("IMPORTRANGE(H24323,""IDENTITAS UNIT!D9"")"),"#N/A")</f>
        <v>#N/A</v>
      </c>
      <c r="H24323" s="4" t="str">
        <v/>
      </c>
      <c r="I24323" s="4" t="str">
        <v/>
      </c>
    </row>
    <row r="24324" spans="5:9" ht="16.5" hidden="1">
      <c r="E24324" s="4" t="str">
        <v/>
      </c>
      <c r="F24324" s="102" t="str">
        <f ca="1">IFERROR(__xludf.DUMMYFUNCTION("IMPORTRANGE(H24324,""IDENTITAS UNIT!D9"")"),"#N/A")</f>
        <v>#N/A</v>
      </c>
      <c r="H24324" s="4" t="str">
        <v/>
      </c>
      <c r="I24324" s="4" t="str">
        <v/>
      </c>
    </row>
    <row r="24325" spans="5:9" ht="16.5" hidden="1">
      <c r="E24325" s="4" t="str">
        <v/>
      </c>
      <c r="F24325" s="102" t="str">
        <f ca="1">IFERROR(__xludf.DUMMYFUNCTION("IMPORTRANGE(H24325,""IDENTITAS UNIT!D9"")"),"#N/A")</f>
        <v>#N/A</v>
      </c>
      <c r="H24325" s="4" t="str">
        <v/>
      </c>
      <c r="I24325" s="4" t="str">
        <v/>
      </c>
    </row>
    <row r="24326" spans="5:9" ht="16.5" hidden="1">
      <c r="E24326" s="4" t="str">
        <v/>
      </c>
      <c r="F24326" s="102" t="str">
        <f ca="1">IFERROR(__xludf.DUMMYFUNCTION("IMPORTRANGE(H24326,""IDENTITAS UNIT!D9"")"),"#N/A")</f>
        <v>#N/A</v>
      </c>
      <c r="H24326" s="4" t="str">
        <v/>
      </c>
      <c r="I24326" s="4" t="str">
        <v/>
      </c>
    </row>
    <row r="24327" spans="5:9" ht="16.5" hidden="1">
      <c r="E24327" s="4" t="str">
        <v/>
      </c>
      <c r="F24327" s="102" t="str">
        <f ca="1">IFERROR(__xludf.DUMMYFUNCTION("IMPORTRANGE(H24327,""IDENTITAS UNIT!D9"")"),"#N/A")</f>
        <v>#N/A</v>
      </c>
      <c r="H24327" s="4" t="str">
        <v/>
      </c>
      <c r="I24327" s="4" t="str">
        <v/>
      </c>
    </row>
    <row r="24328" spans="5:9" ht="16.5" hidden="1">
      <c r="E24328" s="4" t="str">
        <v/>
      </c>
      <c r="F24328" s="102" t="str">
        <f ca="1">IFERROR(__xludf.DUMMYFUNCTION("IMPORTRANGE(H24328,""IDENTITAS UNIT!D9"")"),"#N/A")</f>
        <v>#N/A</v>
      </c>
      <c r="H24328" s="4" t="str">
        <v/>
      </c>
      <c r="I24328" s="4" t="str">
        <v/>
      </c>
    </row>
    <row r="24329" spans="5:9" ht="16.5" hidden="1">
      <c r="E24329" s="4" t="str">
        <v/>
      </c>
      <c r="F24329" s="102" t="str">
        <f ca="1">IFERROR(__xludf.DUMMYFUNCTION("IMPORTRANGE(H24329,""IDENTITAS UNIT!D9"")"),"#N/A")</f>
        <v>#N/A</v>
      </c>
      <c r="H24329" s="4" t="str">
        <v/>
      </c>
      <c r="I24329" s="4" t="str">
        <v/>
      </c>
    </row>
    <row r="24330" spans="5:9" ht="16.5" hidden="1">
      <c r="E24330" s="4" t="str">
        <v/>
      </c>
      <c r="F24330" s="102" t="str">
        <f ca="1">IFERROR(__xludf.DUMMYFUNCTION("IMPORTRANGE(H24330,""IDENTITAS UNIT!D9"")"),"#N/A")</f>
        <v>#N/A</v>
      </c>
      <c r="H24330" s="4" t="str">
        <v/>
      </c>
      <c r="I24330" s="4" t="str">
        <v/>
      </c>
    </row>
    <row r="24331" spans="5:9" ht="16.5" hidden="1">
      <c r="E24331" s="4" t="str">
        <v/>
      </c>
      <c r="F24331" s="102" t="str">
        <f ca="1">IFERROR(__xludf.DUMMYFUNCTION("IMPORTRANGE(H24331,""IDENTITAS UNIT!D9"")"),"#N/A")</f>
        <v>#N/A</v>
      </c>
      <c r="H24331" s="4" t="str">
        <v/>
      </c>
      <c r="I24331" s="4" t="str">
        <v/>
      </c>
    </row>
    <row r="24332" spans="5:9" ht="16.5" hidden="1">
      <c r="E24332" s="4" t="str">
        <v/>
      </c>
      <c r="F24332" s="102" t="str">
        <f ca="1">IFERROR(__xludf.DUMMYFUNCTION("IMPORTRANGE(H24332,""IDENTITAS UNIT!D9"")"),"#N/A")</f>
        <v>#N/A</v>
      </c>
      <c r="H24332" s="4" t="str">
        <v/>
      </c>
      <c r="I24332" s="4" t="str">
        <v/>
      </c>
    </row>
    <row r="24333" spans="5:9" ht="16.5" hidden="1">
      <c r="E24333" s="4" t="str">
        <v/>
      </c>
      <c r="F24333" s="102" t="str">
        <f ca="1">IFERROR(__xludf.DUMMYFUNCTION("IMPORTRANGE(H24333,""IDENTITAS UNIT!D9"")"),"#N/A")</f>
        <v>#N/A</v>
      </c>
      <c r="H24333" s="4" t="str">
        <v/>
      </c>
      <c r="I24333" s="4" t="str">
        <v/>
      </c>
    </row>
    <row r="24334" spans="5:9" ht="16.5" hidden="1">
      <c r="E24334" s="4" t="str">
        <v/>
      </c>
      <c r="F24334" s="102" t="str">
        <f ca="1">IFERROR(__xludf.DUMMYFUNCTION("IMPORTRANGE(H24334,""IDENTITAS UNIT!D9"")"),"#N/A")</f>
        <v>#N/A</v>
      </c>
      <c r="H24334" s="4" t="str">
        <v/>
      </c>
      <c r="I24334" s="4" t="str">
        <v/>
      </c>
    </row>
    <row r="24335" spans="5:9" ht="16.5" hidden="1">
      <c r="E24335" s="4" t="str">
        <v/>
      </c>
      <c r="F24335" s="102" t="str">
        <f ca="1">IFERROR(__xludf.DUMMYFUNCTION("IMPORTRANGE(H24335,""IDENTITAS UNIT!D9"")"),"#N/A")</f>
        <v>#N/A</v>
      </c>
      <c r="H24335" s="4" t="str">
        <v/>
      </c>
      <c r="I24335" s="4" t="str">
        <v/>
      </c>
    </row>
    <row r="24336" spans="5:9" ht="16.5" hidden="1">
      <c r="E24336" s="4" t="str">
        <v/>
      </c>
      <c r="F24336" s="102" t="str">
        <f ca="1">IFERROR(__xludf.DUMMYFUNCTION("IMPORTRANGE(H24336,""IDENTITAS UNIT!D9"")"),"#N/A")</f>
        <v>#N/A</v>
      </c>
      <c r="H24336" s="4" t="str">
        <v/>
      </c>
      <c r="I24336" s="4" t="str">
        <v/>
      </c>
    </row>
    <row r="24337" spans="5:9" ht="16.5" hidden="1">
      <c r="E24337" s="4" t="str">
        <v/>
      </c>
      <c r="F24337" s="102" t="str">
        <f ca="1">IFERROR(__xludf.DUMMYFUNCTION("IMPORTRANGE(H24337,""IDENTITAS UNIT!D9"")"),"#N/A")</f>
        <v>#N/A</v>
      </c>
      <c r="H24337" s="4" t="str">
        <v/>
      </c>
      <c r="I24337" s="4" t="str">
        <v/>
      </c>
    </row>
    <row r="24338" spans="5:9" ht="16.5" hidden="1">
      <c r="E24338" s="4" t="str">
        <v/>
      </c>
      <c r="F24338" s="102" t="str">
        <f ca="1">IFERROR(__xludf.DUMMYFUNCTION("IMPORTRANGE(H24338,""IDENTITAS UNIT!D9"")"),"#N/A")</f>
        <v>#N/A</v>
      </c>
      <c r="H24338" s="4" t="str">
        <v/>
      </c>
      <c r="I24338" s="4" t="str">
        <v/>
      </c>
    </row>
    <row r="24339" spans="5:9" ht="16.5" hidden="1">
      <c r="E24339" s="4" t="str">
        <v/>
      </c>
      <c r="F24339" s="102" t="str">
        <f ca="1">IFERROR(__xludf.DUMMYFUNCTION("IMPORTRANGE(H24339,""IDENTITAS UNIT!D9"")"),"#N/A")</f>
        <v>#N/A</v>
      </c>
      <c r="H24339" s="4" t="str">
        <v/>
      </c>
      <c r="I24339" s="4" t="str">
        <v/>
      </c>
    </row>
    <row r="24340" spans="5:9" ht="16.5" hidden="1">
      <c r="E24340" s="4" t="str">
        <v/>
      </c>
      <c r="F24340" s="102" t="str">
        <f ca="1">IFERROR(__xludf.DUMMYFUNCTION("IMPORTRANGE(H24340,""IDENTITAS UNIT!D9"")"),"#N/A")</f>
        <v>#N/A</v>
      </c>
      <c r="H24340" s="4" t="str">
        <v/>
      </c>
      <c r="I24340" s="4" t="str">
        <v/>
      </c>
    </row>
    <row r="24341" spans="5:9" ht="16.5" hidden="1">
      <c r="E24341" s="4" t="str">
        <v/>
      </c>
      <c r="F24341" s="102" t="str">
        <f ca="1">IFERROR(__xludf.DUMMYFUNCTION("IMPORTRANGE(H24341,""IDENTITAS UNIT!D9"")"),"#N/A")</f>
        <v>#N/A</v>
      </c>
      <c r="H24341" s="4" t="str">
        <v/>
      </c>
      <c r="I24341" s="4" t="str">
        <v/>
      </c>
    </row>
    <row r="24342" spans="5:9" ht="16.5" hidden="1">
      <c r="E24342" s="4" t="str">
        <v/>
      </c>
      <c r="F24342" s="102" t="str">
        <f ca="1">IFERROR(__xludf.DUMMYFUNCTION("IMPORTRANGE(H24342,""IDENTITAS UNIT!D9"")"),"#N/A")</f>
        <v>#N/A</v>
      </c>
      <c r="H24342" s="4" t="str">
        <v/>
      </c>
      <c r="I24342" s="4" t="str">
        <v/>
      </c>
    </row>
    <row r="24343" spans="5:9" ht="16.5" hidden="1">
      <c r="E24343" s="4" t="str">
        <v/>
      </c>
      <c r="F24343" s="102" t="str">
        <f ca="1">IFERROR(__xludf.DUMMYFUNCTION("IMPORTRANGE(H24343,""IDENTITAS UNIT!D9"")"),"#N/A")</f>
        <v>#N/A</v>
      </c>
      <c r="H24343" s="4" t="str">
        <v/>
      </c>
      <c r="I24343" s="4" t="str">
        <v/>
      </c>
    </row>
    <row r="24344" spans="5:9" ht="16.5" hidden="1">
      <c r="E24344" s="4" t="str">
        <v/>
      </c>
      <c r="F24344" s="102" t="str">
        <f ca="1">IFERROR(__xludf.DUMMYFUNCTION("IMPORTRANGE(H24344,""IDENTITAS UNIT!D9"")"),"#N/A")</f>
        <v>#N/A</v>
      </c>
      <c r="H24344" s="4" t="str">
        <v/>
      </c>
      <c r="I24344" s="4" t="str">
        <v/>
      </c>
    </row>
    <row r="24345" spans="5:9" ht="16.5" hidden="1">
      <c r="E24345" s="4" t="str">
        <v/>
      </c>
      <c r="F24345" s="102" t="str">
        <f ca="1">IFERROR(__xludf.DUMMYFUNCTION("IMPORTRANGE(H24345,""IDENTITAS UNIT!D9"")"),"#N/A")</f>
        <v>#N/A</v>
      </c>
      <c r="H24345" s="4" t="str">
        <v/>
      </c>
      <c r="I24345" s="4" t="str">
        <v/>
      </c>
    </row>
    <row r="24346" spans="5:9" ht="16.5" hidden="1">
      <c r="E24346" s="4" t="str">
        <v/>
      </c>
      <c r="F24346" s="102" t="str">
        <f ca="1">IFERROR(__xludf.DUMMYFUNCTION("IMPORTRANGE(H24346,""IDENTITAS UNIT!D9"")"),"#N/A")</f>
        <v>#N/A</v>
      </c>
      <c r="H24346" s="4" t="str">
        <v/>
      </c>
      <c r="I24346" s="4" t="str">
        <v/>
      </c>
    </row>
    <row r="24347" spans="5:9" ht="16.5" hidden="1">
      <c r="E24347" s="4" t="str">
        <v/>
      </c>
      <c r="F24347" s="102" t="str">
        <f ca="1">IFERROR(__xludf.DUMMYFUNCTION("IMPORTRANGE(H24347,""IDENTITAS UNIT!D9"")"),"#N/A")</f>
        <v>#N/A</v>
      </c>
      <c r="H24347" s="4" t="str">
        <v/>
      </c>
      <c r="I24347" s="4" t="str">
        <v/>
      </c>
    </row>
    <row r="24348" spans="5:9" ht="16.5" hidden="1">
      <c r="E24348" s="4" t="str">
        <v/>
      </c>
      <c r="F24348" s="102" t="str">
        <f ca="1">IFERROR(__xludf.DUMMYFUNCTION("IMPORTRANGE(H24348,""IDENTITAS UNIT!D9"")"),"#N/A")</f>
        <v>#N/A</v>
      </c>
      <c r="H24348" s="4" t="str">
        <v/>
      </c>
      <c r="I24348" s="4" t="str">
        <v/>
      </c>
    </row>
    <row r="24349" spans="5:9" ht="16.5" hidden="1">
      <c r="E24349" s="4" t="str">
        <v/>
      </c>
      <c r="F24349" s="102" t="str">
        <f ca="1">IFERROR(__xludf.DUMMYFUNCTION("IMPORTRANGE(H24349,""IDENTITAS UNIT!D9"")"),"#N/A")</f>
        <v>#N/A</v>
      </c>
      <c r="H24349" s="4" t="str">
        <v/>
      </c>
      <c r="I24349" s="4" t="str">
        <v/>
      </c>
    </row>
    <row r="24350" spans="5:9" ht="16.5" hidden="1">
      <c r="E24350" s="4" t="str">
        <v/>
      </c>
      <c r="F24350" s="102" t="str">
        <f ca="1">IFERROR(__xludf.DUMMYFUNCTION("IMPORTRANGE(H24350,""IDENTITAS UNIT!D9"")"),"#N/A")</f>
        <v>#N/A</v>
      </c>
      <c r="H24350" s="4" t="str">
        <v/>
      </c>
      <c r="I24350" s="4" t="str">
        <v/>
      </c>
    </row>
    <row r="24351" spans="5:9" ht="16.5" hidden="1">
      <c r="E24351" s="4" t="str">
        <v/>
      </c>
      <c r="F24351" s="102" t="str">
        <f ca="1">IFERROR(__xludf.DUMMYFUNCTION("IMPORTRANGE(H24351,""IDENTITAS UNIT!D9"")"),"#N/A")</f>
        <v>#N/A</v>
      </c>
      <c r="H24351" s="4" t="str">
        <v/>
      </c>
      <c r="I24351" s="4" t="str">
        <v/>
      </c>
    </row>
    <row r="24352" spans="5:9" ht="16.5" hidden="1">
      <c r="E24352" s="4" t="str">
        <v/>
      </c>
      <c r="F24352" s="102" t="str">
        <f ca="1">IFERROR(__xludf.DUMMYFUNCTION("IMPORTRANGE(H24352,""IDENTITAS UNIT!D9"")"),"#N/A")</f>
        <v>#N/A</v>
      </c>
      <c r="H24352" s="4" t="str">
        <v/>
      </c>
      <c r="I24352" s="4" t="str">
        <v/>
      </c>
    </row>
    <row r="24353" spans="5:9" ht="16.5" hidden="1">
      <c r="E24353" s="4" t="str">
        <v/>
      </c>
      <c r="F24353" s="102" t="str">
        <f ca="1">IFERROR(__xludf.DUMMYFUNCTION("IMPORTRANGE(H24353,""IDENTITAS UNIT!D9"")"),"#N/A")</f>
        <v>#N/A</v>
      </c>
      <c r="H24353" s="4" t="str">
        <v/>
      </c>
      <c r="I24353" s="4" t="str">
        <v/>
      </c>
    </row>
    <row r="24354" spans="5:9" ht="16.5" hidden="1">
      <c r="E24354" s="4" t="str">
        <v/>
      </c>
      <c r="F24354" s="102" t="str">
        <f ca="1">IFERROR(__xludf.DUMMYFUNCTION("IMPORTRANGE(H24354,""IDENTITAS UNIT!D9"")"),"#N/A")</f>
        <v>#N/A</v>
      </c>
      <c r="H24354" s="4" t="str">
        <v/>
      </c>
      <c r="I24354" s="4" t="str">
        <v/>
      </c>
    </row>
    <row r="24355" spans="5:9" ht="16.5" hidden="1">
      <c r="E24355" s="4" t="str">
        <v/>
      </c>
      <c r="F24355" s="102" t="str">
        <f ca="1">IFERROR(__xludf.DUMMYFUNCTION("IMPORTRANGE(H24355,""IDENTITAS UNIT!D9"")"),"#N/A")</f>
        <v>#N/A</v>
      </c>
      <c r="H24355" s="4" t="str">
        <v/>
      </c>
      <c r="I24355" s="4" t="str">
        <v/>
      </c>
    </row>
    <row r="24356" spans="5:9" ht="16.5" hidden="1">
      <c r="E24356" s="4" t="str">
        <v/>
      </c>
      <c r="F24356" s="102" t="str">
        <f ca="1">IFERROR(__xludf.DUMMYFUNCTION("IMPORTRANGE(H24356,""IDENTITAS UNIT!D9"")"),"#N/A")</f>
        <v>#N/A</v>
      </c>
      <c r="H24356" s="4" t="str">
        <v/>
      </c>
      <c r="I24356" s="4" t="str">
        <v/>
      </c>
    </row>
    <row r="24357" spans="5:9" ht="16.5" hidden="1">
      <c r="E24357" s="4" t="str">
        <v/>
      </c>
      <c r="F24357" s="102" t="str">
        <f ca="1">IFERROR(__xludf.DUMMYFUNCTION("IMPORTRANGE(H24357,""IDENTITAS UNIT!D9"")"),"#N/A")</f>
        <v>#N/A</v>
      </c>
      <c r="H24357" s="4" t="str">
        <v/>
      </c>
      <c r="I24357" s="4" t="str">
        <v/>
      </c>
    </row>
    <row r="24358" spans="5:9" ht="16.5" hidden="1">
      <c r="E24358" s="4" t="str">
        <v/>
      </c>
      <c r="F24358" s="102" t="str">
        <f ca="1">IFERROR(__xludf.DUMMYFUNCTION("IMPORTRANGE(H24358,""IDENTITAS UNIT!D9"")"),"#N/A")</f>
        <v>#N/A</v>
      </c>
      <c r="H24358" s="4" t="str">
        <v/>
      </c>
      <c r="I24358" s="4" t="str">
        <v/>
      </c>
    </row>
    <row r="24359" spans="5:9" ht="16.5" hidden="1">
      <c r="E24359" s="4" t="str">
        <v/>
      </c>
      <c r="F24359" s="102" t="str">
        <f ca="1">IFERROR(__xludf.DUMMYFUNCTION("IMPORTRANGE(H24359,""IDENTITAS UNIT!D9"")"),"#N/A")</f>
        <v>#N/A</v>
      </c>
      <c r="H24359" s="4" t="str">
        <v/>
      </c>
      <c r="I24359" s="4" t="str">
        <v/>
      </c>
    </row>
    <row r="24360" spans="5:9" ht="16.5" hidden="1">
      <c r="E24360" s="4" t="str">
        <v/>
      </c>
      <c r="F24360" s="102" t="str">
        <f ca="1">IFERROR(__xludf.DUMMYFUNCTION("IMPORTRANGE(H24360,""IDENTITAS UNIT!D9"")"),"#N/A")</f>
        <v>#N/A</v>
      </c>
      <c r="H24360" s="4" t="str">
        <v/>
      </c>
      <c r="I24360" s="4" t="str">
        <v/>
      </c>
    </row>
    <row r="24361" spans="5:9" ht="16.5" hidden="1">
      <c r="E24361" s="4" t="str">
        <v/>
      </c>
      <c r="F24361" s="102" t="str">
        <f ca="1">IFERROR(__xludf.DUMMYFUNCTION("IMPORTRANGE(H24361,""IDENTITAS UNIT!D9"")"),"#N/A")</f>
        <v>#N/A</v>
      </c>
      <c r="H24361" s="4" t="str">
        <v/>
      </c>
      <c r="I24361" s="4" t="str">
        <v/>
      </c>
    </row>
    <row r="24362" spans="5:9" ht="16.5" hidden="1">
      <c r="E24362" s="4" t="str">
        <v/>
      </c>
      <c r="F24362" s="102" t="str">
        <f ca="1">IFERROR(__xludf.DUMMYFUNCTION("IMPORTRANGE(H24362,""IDENTITAS UNIT!D9"")"),"#N/A")</f>
        <v>#N/A</v>
      </c>
      <c r="H24362" s="4" t="str">
        <v/>
      </c>
      <c r="I24362" s="4" t="str">
        <v/>
      </c>
    </row>
    <row r="24363" spans="5:9" ht="16.5" hidden="1">
      <c r="E24363" s="4" t="str">
        <v/>
      </c>
      <c r="F24363" s="102" t="str">
        <f ca="1">IFERROR(__xludf.DUMMYFUNCTION("IMPORTRANGE(H24363,""IDENTITAS UNIT!D9"")"),"#N/A")</f>
        <v>#N/A</v>
      </c>
      <c r="H24363" s="4" t="str">
        <v/>
      </c>
      <c r="I24363" s="4" t="str">
        <v/>
      </c>
    </row>
    <row r="24364" spans="5:9" ht="16.5" hidden="1">
      <c r="E24364" s="4" t="str">
        <v/>
      </c>
      <c r="F24364" s="102" t="str">
        <f ca="1">IFERROR(__xludf.DUMMYFUNCTION("IMPORTRANGE(H24364,""IDENTITAS UNIT!D9"")"),"#N/A")</f>
        <v>#N/A</v>
      </c>
      <c r="H24364" s="4" t="str">
        <v/>
      </c>
      <c r="I24364" s="4" t="str">
        <v/>
      </c>
    </row>
    <row r="24365" spans="5:9" ht="16.5" hidden="1">
      <c r="E24365" s="4" t="str">
        <v/>
      </c>
      <c r="F24365" s="102" t="str">
        <f ca="1">IFERROR(__xludf.DUMMYFUNCTION("IMPORTRANGE(H24365,""IDENTITAS UNIT!D9"")"),"#N/A")</f>
        <v>#N/A</v>
      </c>
      <c r="H24365" s="4" t="str">
        <v/>
      </c>
      <c r="I24365" s="4" t="str">
        <v/>
      </c>
    </row>
    <row r="24366" spans="5:9" ht="16.5" hidden="1">
      <c r="E24366" s="4" t="str">
        <v/>
      </c>
      <c r="F24366" s="102" t="str">
        <f ca="1">IFERROR(__xludf.DUMMYFUNCTION("IMPORTRANGE(H24366,""IDENTITAS UNIT!D9"")"),"#N/A")</f>
        <v>#N/A</v>
      </c>
      <c r="H24366" s="4" t="str">
        <v/>
      </c>
      <c r="I24366" s="4" t="str">
        <v/>
      </c>
    </row>
    <row r="24367" spans="5:9" ht="16.5" hidden="1">
      <c r="E24367" s="4" t="str">
        <v/>
      </c>
      <c r="F24367" s="102" t="str">
        <f ca="1">IFERROR(__xludf.DUMMYFUNCTION("IMPORTRANGE(H24367,""IDENTITAS UNIT!D9"")"),"#N/A")</f>
        <v>#N/A</v>
      </c>
      <c r="H24367" s="4" t="str">
        <v/>
      </c>
      <c r="I24367" s="4" t="str">
        <v/>
      </c>
    </row>
    <row r="24368" spans="5:9" ht="16.5" hidden="1">
      <c r="E24368" s="4" t="str">
        <v/>
      </c>
      <c r="F24368" s="102" t="str">
        <f ca="1">IFERROR(__xludf.DUMMYFUNCTION("IMPORTRANGE(H24368,""IDENTITAS UNIT!D9"")"),"#N/A")</f>
        <v>#N/A</v>
      </c>
      <c r="H24368" s="4" t="str">
        <v/>
      </c>
      <c r="I24368" s="4" t="str">
        <v/>
      </c>
    </row>
    <row r="24369" spans="5:9" ht="16.5" hidden="1">
      <c r="E24369" s="4" t="str">
        <v/>
      </c>
      <c r="F24369" s="102" t="str">
        <f ca="1">IFERROR(__xludf.DUMMYFUNCTION("IMPORTRANGE(H24369,""IDENTITAS UNIT!D9"")"),"#N/A")</f>
        <v>#N/A</v>
      </c>
      <c r="H24369" s="4" t="str">
        <v/>
      </c>
      <c r="I24369" s="4" t="str">
        <v/>
      </c>
    </row>
    <row r="24370" spans="5:9" ht="16.5" hidden="1">
      <c r="E24370" s="4" t="str">
        <v/>
      </c>
      <c r="F24370" s="102" t="str">
        <f ca="1">IFERROR(__xludf.DUMMYFUNCTION("IMPORTRANGE(H24370,""IDENTITAS UNIT!D9"")"),"#N/A")</f>
        <v>#N/A</v>
      </c>
      <c r="H24370" s="4" t="str">
        <v/>
      </c>
      <c r="I24370" s="4" t="str">
        <v/>
      </c>
    </row>
    <row r="24371" spans="5:9" ht="16.5" hidden="1">
      <c r="E24371" s="4" t="str">
        <v/>
      </c>
      <c r="F24371" s="102" t="str">
        <f ca="1">IFERROR(__xludf.DUMMYFUNCTION("IMPORTRANGE(H24371,""IDENTITAS UNIT!D9"")"),"#N/A")</f>
        <v>#N/A</v>
      </c>
      <c r="H24371" s="4" t="str">
        <v/>
      </c>
      <c r="I24371" s="4" t="str">
        <v/>
      </c>
    </row>
    <row r="24372" spans="5:9" ht="16.5" hidden="1">
      <c r="E24372" s="4" t="str">
        <v/>
      </c>
      <c r="F24372" s="102" t="str">
        <f ca="1">IFERROR(__xludf.DUMMYFUNCTION("IMPORTRANGE(H24372,""IDENTITAS UNIT!D9"")"),"#N/A")</f>
        <v>#N/A</v>
      </c>
      <c r="H24372" s="4" t="str">
        <v/>
      </c>
      <c r="I24372" s="4" t="str">
        <v/>
      </c>
    </row>
    <row r="24373" spans="5:9" ht="16.5" hidden="1">
      <c r="E24373" s="4" t="str">
        <v/>
      </c>
      <c r="F24373" s="102" t="str">
        <f ca="1">IFERROR(__xludf.DUMMYFUNCTION("IMPORTRANGE(H24373,""IDENTITAS UNIT!D9"")"),"#N/A")</f>
        <v>#N/A</v>
      </c>
      <c r="H24373" s="4" t="str">
        <v/>
      </c>
      <c r="I24373" s="4" t="str">
        <v/>
      </c>
    </row>
    <row r="24374" spans="5:9" ht="16.5" hidden="1">
      <c r="E24374" s="4" t="str">
        <v/>
      </c>
      <c r="F24374" s="102" t="str">
        <f ca="1">IFERROR(__xludf.DUMMYFUNCTION("IMPORTRANGE(H24374,""IDENTITAS UNIT!D9"")"),"#N/A")</f>
        <v>#N/A</v>
      </c>
      <c r="H24374" s="4" t="str">
        <v/>
      </c>
      <c r="I24374" s="4" t="str">
        <v/>
      </c>
    </row>
    <row r="24375" spans="5:9" ht="16.5" hidden="1">
      <c r="E24375" s="4" t="str">
        <v/>
      </c>
      <c r="F24375" s="102" t="str">
        <f ca="1">IFERROR(__xludf.DUMMYFUNCTION("IMPORTRANGE(H24375,""IDENTITAS UNIT!D9"")"),"#N/A")</f>
        <v>#N/A</v>
      </c>
      <c r="H24375" s="4" t="str">
        <v/>
      </c>
      <c r="I24375" s="4" t="str">
        <v/>
      </c>
    </row>
    <row r="24376" spans="5:9" ht="16.5" hidden="1">
      <c r="E24376" s="4" t="str">
        <v/>
      </c>
      <c r="F24376" s="102" t="str">
        <f ca="1">IFERROR(__xludf.DUMMYFUNCTION("IMPORTRANGE(H24376,""IDENTITAS UNIT!D9"")"),"#N/A")</f>
        <v>#N/A</v>
      </c>
      <c r="H24376" s="4" t="str">
        <v/>
      </c>
      <c r="I24376" s="4" t="str">
        <v/>
      </c>
    </row>
    <row r="24377" spans="5:9" ht="16.5" hidden="1">
      <c r="E24377" s="4" t="str">
        <v/>
      </c>
      <c r="F24377" s="102" t="str">
        <f ca="1">IFERROR(__xludf.DUMMYFUNCTION("IMPORTRANGE(H24377,""IDENTITAS UNIT!D9"")"),"#N/A")</f>
        <v>#N/A</v>
      </c>
      <c r="H24377" s="4" t="str">
        <v/>
      </c>
      <c r="I24377" s="4" t="str">
        <v/>
      </c>
    </row>
    <row r="24378" spans="5:9" ht="16.5" hidden="1">
      <c r="E24378" s="4" t="str">
        <v/>
      </c>
      <c r="F24378" s="102" t="str">
        <f ca="1">IFERROR(__xludf.DUMMYFUNCTION("IMPORTRANGE(H24378,""IDENTITAS UNIT!D9"")"),"#N/A")</f>
        <v>#N/A</v>
      </c>
      <c r="H24378" s="4" t="str">
        <v/>
      </c>
      <c r="I24378" s="4" t="str">
        <v/>
      </c>
    </row>
    <row r="24379" spans="5:9" ht="16.5" hidden="1">
      <c r="E24379" s="4" t="str">
        <v/>
      </c>
      <c r="F24379" s="102" t="str">
        <f ca="1">IFERROR(__xludf.DUMMYFUNCTION("IMPORTRANGE(H24379,""IDENTITAS UNIT!D9"")"),"#N/A")</f>
        <v>#N/A</v>
      </c>
      <c r="H24379" s="4" t="str">
        <v/>
      </c>
      <c r="I24379" s="4" t="str">
        <v/>
      </c>
    </row>
    <row r="24380" spans="5:9" ht="16.5" hidden="1">
      <c r="E24380" s="4" t="str">
        <v/>
      </c>
      <c r="F24380" s="102" t="str">
        <f ca="1">IFERROR(__xludf.DUMMYFUNCTION("IMPORTRANGE(H24380,""IDENTITAS UNIT!D9"")"),"#N/A")</f>
        <v>#N/A</v>
      </c>
      <c r="H24380" s="4" t="str">
        <v/>
      </c>
      <c r="I24380" s="4" t="str">
        <v/>
      </c>
    </row>
    <row r="24381" spans="5:9" ht="16.5" hidden="1">
      <c r="E24381" s="4" t="str">
        <v/>
      </c>
      <c r="F24381" s="102" t="str">
        <f ca="1">IFERROR(__xludf.DUMMYFUNCTION("IMPORTRANGE(H24381,""IDENTITAS UNIT!D9"")"),"#N/A")</f>
        <v>#N/A</v>
      </c>
      <c r="H24381" s="4" t="str">
        <v/>
      </c>
      <c r="I24381" s="4" t="str">
        <v/>
      </c>
    </row>
    <row r="24382" spans="5:9" ht="16.5" hidden="1">
      <c r="E24382" s="4" t="str">
        <v/>
      </c>
      <c r="F24382" s="102" t="str">
        <f ca="1">IFERROR(__xludf.DUMMYFUNCTION("IMPORTRANGE(H24382,""IDENTITAS UNIT!D9"")"),"#N/A")</f>
        <v>#N/A</v>
      </c>
      <c r="H24382" s="4" t="str">
        <v/>
      </c>
      <c r="I24382" s="4" t="str">
        <v/>
      </c>
    </row>
    <row r="24383" spans="5:9" ht="16.5" hidden="1">
      <c r="E24383" s="4" t="str">
        <v/>
      </c>
      <c r="F24383" s="102" t="str">
        <f ca="1">IFERROR(__xludf.DUMMYFUNCTION("IMPORTRANGE(H24383,""IDENTITAS UNIT!D9"")"),"#N/A")</f>
        <v>#N/A</v>
      </c>
      <c r="H24383" s="4" t="str">
        <v/>
      </c>
      <c r="I24383" s="4" t="str">
        <v/>
      </c>
    </row>
    <row r="24384" spans="5:9" ht="16.5" hidden="1">
      <c r="E24384" s="4" t="str">
        <v/>
      </c>
      <c r="F24384" s="102" t="str">
        <f ca="1">IFERROR(__xludf.DUMMYFUNCTION("IMPORTRANGE(H24384,""IDENTITAS UNIT!D9"")"),"#N/A")</f>
        <v>#N/A</v>
      </c>
      <c r="H24384" s="4" t="str">
        <v/>
      </c>
      <c r="I24384" s="4" t="str">
        <v/>
      </c>
    </row>
    <row r="24385" spans="5:9" ht="16.5" hidden="1">
      <c r="E24385" s="4" t="str">
        <v/>
      </c>
      <c r="F24385" s="102" t="str">
        <f ca="1">IFERROR(__xludf.DUMMYFUNCTION("IMPORTRANGE(H24385,""IDENTITAS UNIT!D9"")"),"#N/A")</f>
        <v>#N/A</v>
      </c>
      <c r="H24385" s="4" t="str">
        <v/>
      </c>
      <c r="I24385" s="4" t="str">
        <v/>
      </c>
    </row>
    <row r="24386" spans="5:9" ht="16.5" hidden="1">
      <c r="E24386" s="4" t="str">
        <v/>
      </c>
      <c r="F24386" s="102" t="str">
        <f ca="1">IFERROR(__xludf.DUMMYFUNCTION("IMPORTRANGE(H24386,""IDENTITAS UNIT!D9"")"),"#N/A")</f>
        <v>#N/A</v>
      </c>
      <c r="H24386" s="4" t="str">
        <v/>
      </c>
      <c r="I24386" s="4" t="str">
        <v/>
      </c>
    </row>
    <row r="24387" spans="5:9" ht="16.5" hidden="1">
      <c r="E24387" s="4" t="str">
        <v/>
      </c>
      <c r="F24387" s="102" t="str">
        <f ca="1">IFERROR(__xludf.DUMMYFUNCTION("IMPORTRANGE(H24387,""IDENTITAS UNIT!D9"")"),"#N/A")</f>
        <v>#N/A</v>
      </c>
      <c r="H24387" s="4" t="str">
        <v/>
      </c>
      <c r="I24387" s="4" t="str">
        <v/>
      </c>
    </row>
    <row r="24388" spans="5:9" ht="16.5" hidden="1">
      <c r="E24388" s="4" t="str">
        <v/>
      </c>
      <c r="F24388" s="102" t="str">
        <f ca="1">IFERROR(__xludf.DUMMYFUNCTION("IMPORTRANGE(H24388,""IDENTITAS UNIT!D9"")"),"#N/A")</f>
        <v>#N/A</v>
      </c>
      <c r="H24388" s="4" t="str">
        <v/>
      </c>
      <c r="I24388" s="4" t="str">
        <v/>
      </c>
    </row>
    <row r="24389" spans="5:9" ht="16.5" hidden="1">
      <c r="E24389" s="4" t="str">
        <v/>
      </c>
      <c r="F24389" s="102" t="str">
        <f ca="1">IFERROR(__xludf.DUMMYFUNCTION("IMPORTRANGE(H24389,""IDENTITAS UNIT!D9"")"),"#N/A")</f>
        <v>#N/A</v>
      </c>
      <c r="H24389" s="4" t="str">
        <v/>
      </c>
      <c r="I24389" s="4" t="str">
        <v/>
      </c>
    </row>
    <row r="24390" spans="5:9" ht="16.5" hidden="1">
      <c r="E24390" s="4" t="str">
        <v/>
      </c>
      <c r="F24390" s="102" t="str">
        <f ca="1">IFERROR(__xludf.DUMMYFUNCTION("IMPORTRANGE(H24390,""IDENTITAS UNIT!D9"")"),"#N/A")</f>
        <v>#N/A</v>
      </c>
      <c r="H24390" s="4" t="str">
        <v/>
      </c>
      <c r="I24390" s="4" t="str">
        <v/>
      </c>
    </row>
    <row r="24391" spans="5:9" ht="16.5" hidden="1">
      <c r="E24391" s="4" t="str">
        <v/>
      </c>
      <c r="F24391" s="102" t="str">
        <f ca="1">IFERROR(__xludf.DUMMYFUNCTION("IMPORTRANGE(H24391,""IDENTITAS UNIT!D9"")"),"#N/A")</f>
        <v>#N/A</v>
      </c>
      <c r="H24391" s="4" t="str">
        <v/>
      </c>
      <c r="I24391" s="4" t="str">
        <v/>
      </c>
    </row>
    <row r="24392" spans="5:9" ht="16.5" hidden="1">
      <c r="E24392" s="4" t="str">
        <v/>
      </c>
      <c r="F24392" s="102" t="str">
        <f ca="1">IFERROR(__xludf.DUMMYFUNCTION("IMPORTRANGE(H24392,""IDENTITAS UNIT!D9"")"),"#N/A")</f>
        <v>#N/A</v>
      </c>
      <c r="H24392" s="4" t="str">
        <v/>
      </c>
      <c r="I24392" s="4" t="str">
        <v/>
      </c>
    </row>
    <row r="24393" spans="5:9" ht="16.5" hidden="1">
      <c r="E24393" s="4" t="str">
        <v/>
      </c>
      <c r="F24393" s="102" t="str">
        <f ca="1">IFERROR(__xludf.DUMMYFUNCTION("IMPORTRANGE(H24393,""IDENTITAS UNIT!D9"")"),"#N/A")</f>
        <v>#N/A</v>
      </c>
      <c r="H24393" s="4" t="str">
        <v/>
      </c>
      <c r="I24393" s="4" t="str">
        <v/>
      </c>
    </row>
    <row r="24394" spans="5:9" ht="16.5" hidden="1">
      <c r="E24394" s="4" t="str">
        <v/>
      </c>
      <c r="F24394" s="102" t="str">
        <f ca="1">IFERROR(__xludf.DUMMYFUNCTION("IMPORTRANGE(H24394,""IDENTITAS UNIT!D9"")"),"#N/A")</f>
        <v>#N/A</v>
      </c>
      <c r="H24394" s="4" t="str">
        <v/>
      </c>
      <c r="I24394" s="4" t="str">
        <v/>
      </c>
    </row>
    <row r="24395" spans="5:9" ht="16.5" hidden="1">
      <c r="E24395" s="4" t="str">
        <v/>
      </c>
      <c r="F24395" s="102" t="str">
        <f ca="1">IFERROR(__xludf.DUMMYFUNCTION("IMPORTRANGE(H24395,""IDENTITAS UNIT!D9"")"),"#N/A")</f>
        <v>#N/A</v>
      </c>
      <c r="H24395" s="4" t="str">
        <v/>
      </c>
      <c r="I24395" s="4" t="str">
        <v/>
      </c>
    </row>
    <row r="24396" spans="5:9" ht="16.5" hidden="1">
      <c r="E24396" s="4" t="str">
        <v/>
      </c>
      <c r="F24396" s="102" t="str">
        <f ca="1">IFERROR(__xludf.DUMMYFUNCTION("IMPORTRANGE(H24396,""IDENTITAS UNIT!D9"")"),"#N/A")</f>
        <v>#N/A</v>
      </c>
      <c r="H24396" s="4" t="str">
        <v/>
      </c>
      <c r="I24396" s="4" t="str">
        <v/>
      </c>
    </row>
    <row r="24397" spans="5:9" ht="16.5" hidden="1">
      <c r="E24397" s="4" t="str">
        <v/>
      </c>
      <c r="F24397" s="102" t="str">
        <f ca="1">IFERROR(__xludf.DUMMYFUNCTION("IMPORTRANGE(H24397,""IDENTITAS UNIT!D9"")"),"#N/A")</f>
        <v>#N/A</v>
      </c>
      <c r="H24397" s="4" t="str">
        <v/>
      </c>
      <c r="I24397" s="4" t="str">
        <v/>
      </c>
    </row>
    <row r="24398" spans="5:9" ht="16.5" hidden="1">
      <c r="E24398" s="4" t="str">
        <v/>
      </c>
      <c r="F24398" s="102" t="str">
        <f ca="1">IFERROR(__xludf.DUMMYFUNCTION("IMPORTRANGE(H24398,""IDENTITAS UNIT!D9"")"),"#N/A")</f>
        <v>#N/A</v>
      </c>
      <c r="H24398" s="4" t="str">
        <v/>
      </c>
      <c r="I24398" s="4" t="str">
        <v/>
      </c>
    </row>
    <row r="24399" spans="5:9" ht="16.5" hidden="1">
      <c r="E24399" s="4" t="str">
        <v/>
      </c>
      <c r="F24399" s="102" t="str">
        <f ca="1">IFERROR(__xludf.DUMMYFUNCTION("IMPORTRANGE(H24399,""IDENTITAS UNIT!D9"")"),"#N/A")</f>
        <v>#N/A</v>
      </c>
      <c r="H24399" s="4" t="str">
        <v/>
      </c>
      <c r="I24399" s="4" t="str">
        <v/>
      </c>
    </row>
    <row r="24400" spans="5:9" ht="16.5" hidden="1">
      <c r="E24400" s="4" t="str">
        <v/>
      </c>
      <c r="F24400" s="102" t="str">
        <f ca="1">IFERROR(__xludf.DUMMYFUNCTION("IMPORTRANGE(H24400,""IDENTITAS UNIT!D9"")"),"#N/A")</f>
        <v>#N/A</v>
      </c>
      <c r="H24400" s="4" t="str">
        <v/>
      </c>
      <c r="I24400" s="4" t="str">
        <v/>
      </c>
    </row>
    <row r="24401" spans="5:9" ht="16.5" hidden="1">
      <c r="E24401" s="4" t="str">
        <v/>
      </c>
      <c r="F24401" s="102" t="str">
        <f ca="1">IFERROR(__xludf.DUMMYFUNCTION("IMPORTRANGE(H24401,""IDENTITAS UNIT!D9"")"),"#N/A")</f>
        <v>#N/A</v>
      </c>
      <c r="H24401" s="4" t="str">
        <v/>
      </c>
      <c r="I24401" s="4" t="str">
        <v/>
      </c>
    </row>
    <row r="24402" spans="5:9" ht="16.5" hidden="1">
      <c r="E24402" s="4" t="str">
        <v/>
      </c>
      <c r="F24402" s="102" t="str">
        <f ca="1">IFERROR(__xludf.DUMMYFUNCTION("IMPORTRANGE(H24402,""IDENTITAS UNIT!D9"")"),"#N/A")</f>
        <v>#N/A</v>
      </c>
      <c r="H24402" s="4" t="str">
        <v/>
      </c>
      <c r="I24402" s="4" t="str">
        <v/>
      </c>
    </row>
    <row r="24403" spans="5:9" ht="16.5" hidden="1">
      <c r="E24403" s="4" t="str">
        <v/>
      </c>
      <c r="F24403" s="102" t="str">
        <f ca="1">IFERROR(__xludf.DUMMYFUNCTION("IMPORTRANGE(H24403,""IDENTITAS UNIT!D9"")"),"#N/A")</f>
        <v>#N/A</v>
      </c>
      <c r="H24403" s="4" t="str">
        <v/>
      </c>
      <c r="I24403" s="4" t="str">
        <v/>
      </c>
    </row>
    <row r="24404" spans="5:9" ht="16.5" hidden="1">
      <c r="E24404" s="4" t="str">
        <v/>
      </c>
      <c r="F24404" s="102" t="str">
        <f ca="1">IFERROR(__xludf.DUMMYFUNCTION("IMPORTRANGE(H24404,""IDENTITAS UNIT!D9"")"),"#N/A")</f>
        <v>#N/A</v>
      </c>
      <c r="H24404" s="4" t="str">
        <v/>
      </c>
      <c r="I24404" s="4" t="str">
        <v/>
      </c>
    </row>
    <row r="24405" spans="5:9" ht="16.5" hidden="1">
      <c r="E24405" s="4" t="str">
        <v/>
      </c>
      <c r="F24405" s="102" t="str">
        <f ca="1">IFERROR(__xludf.DUMMYFUNCTION("IMPORTRANGE(H24405,""IDENTITAS UNIT!D9"")"),"#N/A")</f>
        <v>#N/A</v>
      </c>
      <c r="H24405" s="4" t="str">
        <v/>
      </c>
      <c r="I24405" s="4" t="str">
        <v/>
      </c>
    </row>
    <row r="24406" spans="5:9" ht="16.5" hidden="1">
      <c r="E24406" s="4" t="str">
        <v/>
      </c>
      <c r="F24406" s="102" t="str">
        <f ca="1">IFERROR(__xludf.DUMMYFUNCTION("IMPORTRANGE(H24406,""IDENTITAS UNIT!D9"")"),"#N/A")</f>
        <v>#N/A</v>
      </c>
      <c r="H24406" s="4" t="str">
        <v/>
      </c>
      <c r="I24406" s="4" t="str">
        <v/>
      </c>
    </row>
    <row r="24407" spans="5:9" ht="16.5" hidden="1">
      <c r="E24407" s="4" t="str">
        <v/>
      </c>
      <c r="F24407" s="102" t="str">
        <f ca="1">IFERROR(__xludf.DUMMYFUNCTION("IMPORTRANGE(H24407,""IDENTITAS UNIT!D9"")"),"#N/A")</f>
        <v>#N/A</v>
      </c>
      <c r="H24407" s="4" t="str">
        <v/>
      </c>
      <c r="I24407" s="4" t="str">
        <v/>
      </c>
    </row>
    <row r="24408" spans="5:9" ht="16.5" hidden="1">
      <c r="E24408" s="4" t="str">
        <v/>
      </c>
      <c r="F24408" s="102" t="str">
        <f ca="1">IFERROR(__xludf.DUMMYFUNCTION("IMPORTRANGE(H24408,""IDENTITAS UNIT!D9"")"),"#N/A")</f>
        <v>#N/A</v>
      </c>
      <c r="H24408" s="4" t="str">
        <v/>
      </c>
      <c r="I24408" s="4" t="str">
        <v/>
      </c>
    </row>
    <row r="24409" spans="5:9" ht="16.5" hidden="1">
      <c r="E24409" s="4" t="str">
        <v/>
      </c>
      <c r="F24409" s="102" t="str">
        <f ca="1">IFERROR(__xludf.DUMMYFUNCTION("IMPORTRANGE(H24409,""IDENTITAS UNIT!D9"")"),"#N/A")</f>
        <v>#N/A</v>
      </c>
      <c r="H24409" s="4" t="str">
        <v/>
      </c>
      <c r="I24409" s="4" t="str">
        <v/>
      </c>
    </row>
    <row r="24410" spans="5:9" ht="16.5" hidden="1">
      <c r="E24410" s="4" t="str">
        <v/>
      </c>
      <c r="F24410" s="102" t="str">
        <f ca="1">IFERROR(__xludf.DUMMYFUNCTION("IMPORTRANGE(H24410,""IDENTITAS UNIT!D9"")"),"#N/A")</f>
        <v>#N/A</v>
      </c>
      <c r="H24410" s="4" t="str">
        <v/>
      </c>
      <c r="I24410" s="4" t="str">
        <v/>
      </c>
    </row>
    <row r="24411" spans="5:9" ht="16.5" hidden="1">
      <c r="E24411" s="4" t="str">
        <v/>
      </c>
      <c r="F24411" s="102" t="str">
        <f ca="1">IFERROR(__xludf.DUMMYFUNCTION("IMPORTRANGE(H24411,""IDENTITAS UNIT!D9"")"),"#N/A")</f>
        <v>#N/A</v>
      </c>
      <c r="H24411" s="4" t="str">
        <v/>
      </c>
      <c r="I24411" s="4" t="str">
        <v/>
      </c>
    </row>
    <row r="24412" spans="5:9" ht="16.5" hidden="1">
      <c r="E24412" s="4" t="str">
        <v/>
      </c>
      <c r="F24412" s="102" t="str">
        <f ca="1">IFERROR(__xludf.DUMMYFUNCTION("IMPORTRANGE(H24412,""IDENTITAS UNIT!D9"")"),"#N/A")</f>
        <v>#N/A</v>
      </c>
      <c r="H24412" s="4" t="str">
        <v/>
      </c>
      <c r="I24412" s="4" t="str">
        <v/>
      </c>
    </row>
    <row r="24413" spans="5:9" ht="16.5" hidden="1">
      <c r="E24413" s="4" t="str">
        <v/>
      </c>
      <c r="F24413" s="102" t="str">
        <f ca="1">IFERROR(__xludf.DUMMYFUNCTION("IMPORTRANGE(H24413,""IDENTITAS UNIT!D9"")"),"#N/A")</f>
        <v>#N/A</v>
      </c>
      <c r="H24413" s="4" t="str">
        <v/>
      </c>
      <c r="I24413" s="4" t="str">
        <v/>
      </c>
    </row>
    <row r="24414" spans="5:9" ht="16.5" hidden="1">
      <c r="E24414" s="4" t="str">
        <v/>
      </c>
      <c r="F24414" s="102" t="str">
        <f ca="1">IFERROR(__xludf.DUMMYFUNCTION("IMPORTRANGE(H24414,""IDENTITAS UNIT!D9"")"),"#N/A")</f>
        <v>#N/A</v>
      </c>
      <c r="H24414" s="4" t="str">
        <v/>
      </c>
      <c r="I24414" s="4" t="str">
        <v/>
      </c>
    </row>
    <row r="24415" spans="5:9" ht="16.5" hidden="1">
      <c r="E24415" s="4" t="str">
        <v/>
      </c>
      <c r="F24415" s="102" t="str">
        <f ca="1">IFERROR(__xludf.DUMMYFUNCTION("IMPORTRANGE(H24415,""IDENTITAS UNIT!D9"")"),"#N/A")</f>
        <v>#N/A</v>
      </c>
      <c r="H24415" s="4" t="str">
        <v/>
      </c>
      <c r="I24415" s="4" t="str">
        <v/>
      </c>
    </row>
    <row r="24416" spans="5:9" ht="16.5" hidden="1">
      <c r="E24416" s="4" t="str">
        <v/>
      </c>
      <c r="F24416" s="102" t="str">
        <f ca="1">IFERROR(__xludf.DUMMYFUNCTION("IMPORTRANGE(H24416,""IDENTITAS UNIT!D9"")"),"#N/A")</f>
        <v>#N/A</v>
      </c>
      <c r="H24416" s="4" t="str">
        <v/>
      </c>
      <c r="I24416" s="4" t="str">
        <v/>
      </c>
    </row>
    <row r="24417" spans="5:9" ht="16.5" hidden="1">
      <c r="E24417" s="4" t="str">
        <v/>
      </c>
      <c r="F24417" s="102" t="str">
        <f ca="1">IFERROR(__xludf.DUMMYFUNCTION("IMPORTRANGE(H24417,""IDENTITAS UNIT!D9"")"),"#N/A")</f>
        <v>#N/A</v>
      </c>
      <c r="H24417" s="4" t="str">
        <v/>
      </c>
      <c r="I24417" s="4" t="str">
        <v/>
      </c>
    </row>
    <row r="24418" spans="5:9" ht="16.5" hidden="1">
      <c r="E24418" s="4" t="str">
        <v/>
      </c>
      <c r="F24418" s="102" t="str">
        <f ca="1">IFERROR(__xludf.DUMMYFUNCTION("IMPORTRANGE(H24418,""IDENTITAS UNIT!D9"")"),"#N/A")</f>
        <v>#N/A</v>
      </c>
      <c r="H24418" s="4" t="str">
        <v/>
      </c>
      <c r="I24418" s="4" t="str">
        <v/>
      </c>
    </row>
    <row r="24419" spans="5:9" ht="16.5" hidden="1">
      <c r="E24419" s="4" t="str">
        <v/>
      </c>
      <c r="F24419" s="102" t="str">
        <f ca="1">IFERROR(__xludf.DUMMYFUNCTION("IMPORTRANGE(H24419,""IDENTITAS UNIT!D9"")"),"#N/A")</f>
        <v>#N/A</v>
      </c>
      <c r="H24419" s="4" t="str">
        <v/>
      </c>
      <c r="I24419" s="4" t="str">
        <v/>
      </c>
    </row>
    <row r="24420" spans="5:9" ht="16.5" hidden="1">
      <c r="E24420" s="4" t="str">
        <v/>
      </c>
      <c r="F24420" s="102" t="str">
        <f ca="1">IFERROR(__xludf.DUMMYFUNCTION("IMPORTRANGE(H24420,""IDENTITAS UNIT!D9"")"),"#N/A")</f>
        <v>#N/A</v>
      </c>
      <c r="H24420" s="4" t="str">
        <v/>
      </c>
      <c r="I24420" s="4" t="str">
        <v/>
      </c>
    </row>
    <row r="24421" spans="5:9" ht="16.5" hidden="1">
      <c r="E24421" s="4" t="str">
        <v/>
      </c>
      <c r="F24421" s="102" t="str">
        <f ca="1">IFERROR(__xludf.DUMMYFUNCTION("IMPORTRANGE(H24421,""IDENTITAS UNIT!D9"")"),"#N/A")</f>
        <v>#N/A</v>
      </c>
      <c r="H24421" s="4" t="str">
        <v/>
      </c>
      <c r="I24421" s="4" t="str">
        <v/>
      </c>
    </row>
    <row r="24422" spans="5:9" ht="16.5" hidden="1">
      <c r="E24422" s="4" t="str">
        <v/>
      </c>
      <c r="F24422" s="102" t="str">
        <f ca="1">IFERROR(__xludf.DUMMYFUNCTION("IMPORTRANGE(H24422,""IDENTITAS UNIT!D9"")"),"#N/A")</f>
        <v>#N/A</v>
      </c>
      <c r="H24422" s="4" t="str">
        <v/>
      </c>
      <c r="I24422" s="4" t="str">
        <v/>
      </c>
    </row>
    <row r="24423" spans="5:9" ht="16.5" hidden="1">
      <c r="E24423" s="4" t="str">
        <v/>
      </c>
      <c r="F24423" s="102" t="str">
        <f ca="1">IFERROR(__xludf.DUMMYFUNCTION("IMPORTRANGE(H24423,""IDENTITAS UNIT!D9"")"),"#N/A")</f>
        <v>#N/A</v>
      </c>
      <c r="H24423" s="4" t="str">
        <v/>
      </c>
      <c r="I24423" s="4" t="str">
        <v/>
      </c>
    </row>
    <row r="24424" spans="5:9" ht="16.5" hidden="1">
      <c r="E24424" s="4" t="str">
        <v/>
      </c>
      <c r="F24424" s="102" t="str">
        <f ca="1">IFERROR(__xludf.DUMMYFUNCTION("IMPORTRANGE(H24424,""IDENTITAS UNIT!D9"")"),"#N/A")</f>
        <v>#N/A</v>
      </c>
      <c r="H24424" s="4" t="str">
        <v/>
      </c>
      <c r="I24424" s="4" t="str">
        <v/>
      </c>
    </row>
    <row r="24425" spans="5:9" ht="16.5" hidden="1">
      <c r="E24425" s="4" t="str">
        <v/>
      </c>
      <c r="F24425" s="102" t="str">
        <f ca="1">IFERROR(__xludf.DUMMYFUNCTION("IMPORTRANGE(H24425,""IDENTITAS UNIT!D9"")"),"#N/A")</f>
        <v>#N/A</v>
      </c>
      <c r="H24425" s="4" t="str">
        <v/>
      </c>
      <c r="I24425" s="4" t="str">
        <v/>
      </c>
    </row>
    <row r="24426" spans="5:9" ht="16.5" hidden="1">
      <c r="E24426" s="4" t="str">
        <v/>
      </c>
      <c r="F24426" s="102" t="str">
        <f ca="1">IFERROR(__xludf.DUMMYFUNCTION("IMPORTRANGE(H24426,""IDENTITAS UNIT!D9"")"),"#N/A")</f>
        <v>#N/A</v>
      </c>
      <c r="H24426" s="4" t="str">
        <v/>
      </c>
      <c r="I24426" s="4" t="str">
        <v/>
      </c>
    </row>
    <row r="24427" spans="5:9" ht="16.5" hidden="1">
      <c r="E24427" s="4" t="str">
        <v/>
      </c>
      <c r="F24427" s="102" t="str">
        <f ca="1">IFERROR(__xludf.DUMMYFUNCTION("IMPORTRANGE(H24427,""IDENTITAS UNIT!D9"")"),"#N/A")</f>
        <v>#N/A</v>
      </c>
      <c r="H24427" s="4" t="str">
        <v/>
      </c>
      <c r="I24427" s="4" t="str">
        <v/>
      </c>
    </row>
    <row r="24428" spans="5:9" ht="16.5" hidden="1">
      <c r="E24428" s="4" t="str">
        <v/>
      </c>
      <c r="F24428" s="102" t="str">
        <f ca="1">IFERROR(__xludf.DUMMYFUNCTION("IMPORTRANGE(H24428,""IDENTITAS UNIT!D9"")"),"#N/A")</f>
        <v>#N/A</v>
      </c>
      <c r="H24428" s="4" t="str">
        <v/>
      </c>
      <c r="I24428" s="4" t="str">
        <v/>
      </c>
    </row>
    <row r="24429" spans="5:9" ht="16.5" hidden="1">
      <c r="E24429" s="4" t="str">
        <v/>
      </c>
      <c r="F24429" s="102" t="str">
        <f ca="1">IFERROR(__xludf.DUMMYFUNCTION("IMPORTRANGE(H24429,""IDENTITAS UNIT!D9"")"),"#N/A")</f>
        <v>#N/A</v>
      </c>
      <c r="H24429" s="4" t="str">
        <v/>
      </c>
      <c r="I24429" s="4" t="str">
        <v/>
      </c>
    </row>
    <row r="24430" spans="5:9" ht="16.5" hidden="1">
      <c r="E24430" s="4" t="str">
        <v/>
      </c>
      <c r="F24430" s="102" t="str">
        <f ca="1">IFERROR(__xludf.DUMMYFUNCTION("IMPORTRANGE(H24430,""IDENTITAS UNIT!D9"")"),"#N/A")</f>
        <v>#N/A</v>
      </c>
      <c r="H24430" s="4" t="str">
        <v/>
      </c>
      <c r="I24430" s="4" t="str">
        <v/>
      </c>
    </row>
    <row r="24431" spans="5:9" ht="16.5" hidden="1">
      <c r="E24431" s="4" t="str">
        <v/>
      </c>
      <c r="F24431" s="102" t="str">
        <f ca="1">IFERROR(__xludf.DUMMYFUNCTION("IMPORTRANGE(H24431,""IDENTITAS UNIT!D9"")"),"#N/A")</f>
        <v>#N/A</v>
      </c>
      <c r="H24431" s="4" t="str">
        <v/>
      </c>
      <c r="I24431" s="4" t="str">
        <v/>
      </c>
    </row>
    <row r="24432" spans="5:9" ht="16.5" hidden="1">
      <c r="E24432" s="4" t="str">
        <v/>
      </c>
      <c r="F24432" s="102" t="str">
        <f ca="1">IFERROR(__xludf.DUMMYFUNCTION("IMPORTRANGE(H24432,""IDENTITAS UNIT!D9"")"),"#N/A")</f>
        <v>#N/A</v>
      </c>
      <c r="H24432" s="4" t="str">
        <v/>
      </c>
      <c r="I24432" s="4" t="str">
        <v/>
      </c>
    </row>
    <row r="24433" spans="5:9" ht="16.5" hidden="1">
      <c r="E24433" s="4" t="str">
        <v/>
      </c>
      <c r="F24433" s="102" t="str">
        <f ca="1">IFERROR(__xludf.DUMMYFUNCTION("IMPORTRANGE(H24433,""IDENTITAS UNIT!D9"")"),"#N/A")</f>
        <v>#N/A</v>
      </c>
      <c r="H24433" s="4" t="str">
        <v/>
      </c>
      <c r="I24433" s="4" t="str">
        <v/>
      </c>
    </row>
    <row r="24434" spans="5:9" ht="16.5" hidden="1">
      <c r="E24434" s="4" t="str">
        <v/>
      </c>
      <c r="F24434" s="102" t="str">
        <f ca="1">IFERROR(__xludf.DUMMYFUNCTION("IMPORTRANGE(H24434,""IDENTITAS UNIT!D9"")"),"#N/A")</f>
        <v>#N/A</v>
      </c>
      <c r="H24434" s="4" t="str">
        <v/>
      </c>
      <c r="I24434" s="4" t="str">
        <v/>
      </c>
    </row>
    <row r="24435" spans="5:9" ht="16.5" hidden="1">
      <c r="E24435" s="4" t="str">
        <v/>
      </c>
      <c r="F24435" s="102" t="str">
        <f ca="1">IFERROR(__xludf.DUMMYFUNCTION("IMPORTRANGE(H24435,""IDENTITAS UNIT!D9"")"),"#N/A")</f>
        <v>#N/A</v>
      </c>
      <c r="H24435" s="4" t="str">
        <v/>
      </c>
      <c r="I24435" s="4" t="str">
        <v/>
      </c>
    </row>
    <row r="24436" spans="5:9" ht="16.5" hidden="1">
      <c r="E24436" s="4" t="str">
        <v/>
      </c>
      <c r="F24436" s="102" t="str">
        <f ca="1">IFERROR(__xludf.DUMMYFUNCTION("IMPORTRANGE(H24436,""IDENTITAS UNIT!D9"")"),"#N/A")</f>
        <v>#N/A</v>
      </c>
      <c r="H24436" s="4" t="str">
        <v/>
      </c>
      <c r="I24436" s="4" t="str">
        <v/>
      </c>
    </row>
    <row r="24437" spans="5:9" ht="16.5" hidden="1">
      <c r="E24437" s="4" t="str">
        <v/>
      </c>
      <c r="F24437" s="102" t="str">
        <f ca="1">IFERROR(__xludf.DUMMYFUNCTION("IMPORTRANGE(H24437,""IDENTITAS UNIT!D9"")"),"#N/A")</f>
        <v>#N/A</v>
      </c>
      <c r="H24437" s="4" t="str">
        <v/>
      </c>
      <c r="I24437" s="4" t="str">
        <v/>
      </c>
    </row>
    <row r="24438" spans="5:9" ht="16.5" hidden="1">
      <c r="E24438" s="4" t="str">
        <v/>
      </c>
      <c r="F24438" s="102" t="str">
        <f ca="1">IFERROR(__xludf.DUMMYFUNCTION("IMPORTRANGE(H24438,""IDENTITAS UNIT!D9"")"),"#N/A")</f>
        <v>#N/A</v>
      </c>
      <c r="H24438" s="4" t="str">
        <v/>
      </c>
      <c r="I24438" s="4" t="str">
        <v/>
      </c>
    </row>
    <row r="24439" spans="5:9" ht="16.5" hidden="1">
      <c r="E24439" s="4" t="str">
        <v/>
      </c>
      <c r="F24439" s="102" t="str">
        <f ca="1">IFERROR(__xludf.DUMMYFUNCTION("IMPORTRANGE(H24439,""IDENTITAS UNIT!D9"")"),"#N/A")</f>
        <v>#N/A</v>
      </c>
      <c r="H24439" s="4" t="str">
        <v/>
      </c>
      <c r="I24439" s="4" t="str">
        <v/>
      </c>
    </row>
    <row r="24440" spans="5:9" ht="16.5" hidden="1">
      <c r="E24440" s="4" t="str">
        <v/>
      </c>
      <c r="F24440" s="102" t="str">
        <f ca="1">IFERROR(__xludf.DUMMYFUNCTION("IMPORTRANGE(H24440,""IDENTITAS UNIT!D9"")"),"#N/A")</f>
        <v>#N/A</v>
      </c>
      <c r="H24440" s="4" t="str">
        <v/>
      </c>
      <c r="I24440" s="4" t="str">
        <v/>
      </c>
    </row>
    <row r="24441" spans="5:9" ht="16.5" hidden="1">
      <c r="E24441" s="4" t="str">
        <v/>
      </c>
      <c r="F24441" s="102" t="str">
        <f ca="1">IFERROR(__xludf.DUMMYFUNCTION("IMPORTRANGE(H24441,""IDENTITAS UNIT!D9"")"),"#N/A")</f>
        <v>#N/A</v>
      </c>
      <c r="H24441" s="4" t="str">
        <v/>
      </c>
      <c r="I24441" s="4" t="str">
        <v/>
      </c>
    </row>
    <row r="24442" spans="5:9" ht="16.5" hidden="1">
      <c r="E24442" s="4" t="str">
        <v/>
      </c>
      <c r="F24442" s="102" t="str">
        <f ca="1">IFERROR(__xludf.DUMMYFUNCTION("IMPORTRANGE(H24442,""IDENTITAS UNIT!D9"")"),"#N/A")</f>
        <v>#N/A</v>
      </c>
      <c r="H24442" s="4" t="str">
        <v/>
      </c>
      <c r="I24442" s="4" t="str">
        <v/>
      </c>
    </row>
    <row r="24443" spans="5:9" ht="16.5" hidden="1">
      <c r="E24443" s="4" t="str">
        <v/>
      </c>
      <c r="F24443" s="102" t="str">
        <f ca="1">IFERROR(__xludf.DUMMYFUNCTION("IMPORTRANGE(H24443,""IDENTITAS UNIT!D9"")"),"#N/A")</f>
        <v>#N/A</v>
      </c>
      <c r="H24443" s="4" t="str">
        <v/>
      </c>
      <c r="I24443" s="4" t="str">
        <v/>
      </c>
    </row>
    <row r="24444" spans="5:9" ht="16.5" hidden="1">
      <c r="E24444" s="4" t="str">
        <v/>
      </c>
      <c r="F24444" s="102" t="str">
        <f ca="1">IFERROR(__xludf.DUMMYFUNCTION("IMPORTRANGE(H24444,""IDENTITAS UNIT!D9"")"),"#N/A")</f>
        <v>#N/A</v>
      </c>
      <c r="H24444" s="4" t="str">
        <v/>
      </c>
      <c r="I24444" s="4" t="str">
        <v/>
      </c>
    </row>
    <row r="24445" spans="5:9" ht="16.5" hidden="1">
      <c r="E24445" s="4" t="str">
        <v/>
      </c>
      <c r="F24445" s="102" t="str">
        <f ca="1">IFERROR(__xludf.DUMMYFUNCTION("IMPORTRANGE(H24445,""IDENTITAS UNIT!D9"")"),"#N/A")</f>
        <v>#N/A</v>
      </c>
      <c r="H24445" s="4" t="str">
        <v/>
      </c>
      <c r="I24445" s="4" t="str">
        <v/>
      </c>
    </row>
    <row r="24446" spans="5:9" ht="16.5" hidden="1">
      <c r="E24446" s="4" t="str">
        <v/>
      </c>
      <c r="F24446" s="102" t="str">
        <f ca="1">IFERROR(__xludf.DUMMYFUNCTION("IMPORTRANGE(H24446,""IDENTITAS UNIT!D9"")"),"#N/A")</f>
        <v>#N/A</v>
      </c>
      <c r="H24446" s="4" t="str">
        <v/>
      </c>
      <c r="I24446" s="4" t="str">
        <v/>
      </c>
    </row>
    <row r="24447" spans="5:9" ht="16.5" hidden="1">
      <c r="E24447" s="4" t="str">
        <v/>
      </c>
      <c r="F24447" s="102" t="str">
        <f ca="1">IFERROR(__xludf.DUMMYFUNCTION("IMPORTRANGE(H24447,""IDENTITAS UNIT!D9"")"),"#N/A")</f>
        <v>#N/A</v>
      </c>
      <c r="H24447" s="4" t="str">
        <v/>
      </c>
      <c r="I24447" s="4" t="str">
        <v/>
      </c>
    </row>
    <row r="24448" spans="5:9" ht="16.5" hidden="1">
      <c r="E24448" s="4" t="str">
        <v/>
      </c>
      <c r="F24448" s="102" t="str">
        <f ca="1">IFERROR(__xludf.DUMMYFUNCTION("IMPORTRANGE(H24448,""IDENTITAS UNIT!D9"")"),"#N/A")</f>
        <v>#N/A</v>
      </c>
      <c r="H24448" s="4" t="str">
        <v/>
      </c>
      <c r="I24448" s="4" t="str">
        <v/>
      </c>
    </row>
    <row r="24449" spans="5:9" ht="16.5" hidden="1">
      <c r="E24449" s="4" t="str">
        <v/>
      </c>
      <c r="F24449" s="102" t="str">
        <f ca="1">IFERROR(__xludf.DUMMYFUNCTION("IMPORTRANGE(H24449,""IDENTITAS UNIT!D9"")"),"#N/A")</f>
        <v>#N/A</v>
      </c>
      <c r="H24449" s="4" t="str">
        <v/>
      </c>
      <c r="I24449" s="4" t="str">
        <v/>
      </c>
    </row>
    <row r="24450" spans="5:9" ht="16.5" hidden="1">
      <c r="E24450" s="4" t="str">
        <v/>
      </c>
      <c r="F24450" s="102" t="str">
        <f ca="1">IFERROR(__xludf.DUMMYFUNCTION("IMPORTRANGE(H24450,""IDENTITAS UNIT!D9"")"),"#N/A")</f>
        <v>#N/A</v>
      </c>
      <c r="H24450" s="4" t="str">
        <v/>
      </c>
      <c r="I24450" s="4" t="str">
        <v/>
      </c>
    </row>
    <row r="24451" spans="5:9" ht="16.5" hidden="1">
      <c r="E24451" s="4" t="str">
        <v/>
      </c>
      <c r="F24451" s="102" t="str">
        <f ca="1">IFERROR(__xludf.DUMMYFUNCTION("IMPORTRANGE(H24451,""IDENTITAS UNIT!D9"")"),"#N/A")</f>
        <v>#N/A</v>
      </c>
      <c r="H24451" s="4" t="str">
        <v/>
      </c>
      <c r="I24451" s="4" t="str">
        <v/>
      </c>
    </row>
    <row r="24452" spans="5:9" ht="16.5" hidden="1">
      <c r="E24452" s="4" t="str">
        <v/>
      </c>
      <c r="F24452" s="102" t="str">
        <f ca="1">IFERROR(__xludf.DUMMYFUNCTION("IMPORTRANGE(H24452,""IDENTITAS UNIT!D9"")"),"#N/A")</f>
        <v>#N/A</v>
      </c>
      <c r="H24452" s="4" t="str">
        <v/>
      </c>
      <c r="I24452" s="4" t="str">
        <v/>
      </c>
    </row>
    <row r="24453" spans="5:9" ht="16.5" hidden="1">
      <c r="E24453" s="4" t="str">
        <v/>
      </c>
      <c r="F24453" s="102" t="str">
        <f ca="1">IFERROR(__xludf.DUMMYFUNCTION("IMPORTRANGE(H24453,""IDENTITAS UNIT!D9"")"),"#N/A")</f>
        <v>#N/A</v>
      </c>
      <c r="H24453" s="4" t="str">
        <v/>
      </c>
      <c r="I24453" s="4" t="str">
        <v/>
      </c>
    </row>
    <row r="24454" spans="5:9" ht="16.5" hidden="1">
      <c r="E24454" s="4" t="str">
        <v/>
      </c>
      <c r="F24454" s="102" t="str">
        <f ca="1">IFERROR(__xludf.DUMMYFUNCTION("IMPORTRANGE(H24454,""IDENTITAS UNIT!D9"")"),"#N/A")</f>
        <v>#N/A</v>
      </c>
      <c r="H24454" s="4" t="str">
        <v/>
      </c>
      <c r="I24454" s="4" t="str">
        <v/>
      </c>
    </row>
    <row r="24455" spans="5:9" ht="16.5" hidden="1">
      <c r="E24455" s="4" t="str">
        <v/>
      </c>
      <c r="F24455" s="102" t="str">
        <f ca="1">IFERROR(__xludf.DUMMYFUNCTION("IMPORTRANGE(H24455,""IDENTITAS UNIT!D9"")"),"#N/A")</f>
        <v>#N/A</v>
      </c>
      <c r="H24455" s="4" t="str">
        <v/>
      </c>
      <c r="I24455" s="4" t="str">
        <v/>
      </c>
    </row>
    <row r="24456" spans="5:9" ht="16.5" hidden="1">
      <c r="E24456" s="4" t="str">
        <v/>
      </c>
      <c r="F24456" s="102" t="str">
        <f ca="1">IFERROR(__xludf.DUMMYFUNCTION("IMPORTRANGE(H24456,""IDENTITAS UNIT!D9"")"),"#N/A")</f>
        <v>#N/A</v>
      </c>
      <c r="H24456" s="4" t="str">
        <v/>
      </c>
      <c r="I24456" s="4" t="str">
        <v/>
      </c>
    </row>
    <row r="24457" spans="5:9" ht="16.5" hidden="1">
      <c r="E24457" s="4" t="str">
        <v/>
      </c>
      <c r="F24457" s="102" t="str">
        <f ca="1">IFERROR(__xludf.DUMMYFUNCTION("IMPORTRANGE(H24457,""IDENTITAS UNIT!D9"")"),"#N/A")</f>
        <v>#N/A</v>
      </c>
      <c r="H24457" s="4" t="str">
        <v/>
      </c>
      <c r="I24457" s="4" t="str">
        <v/>
      </c>
    </row>
    <row r="24458" spans="5:9" ht="16.5" hidden="1">
      <c r="E24458" s="4" t="str">
        <v/>
      </c>
      <c r="F24458" s="102" t="str">
        <f ca="1">IFERROR(__xludf.DUMMYFUNCTION("IMPORTRANGE(H24458,""IDENTITAS UNIT!D9"")"),"#N/A")</f>
        <v>#N/A</v>
      </c>
      <c r="H24458" s="4" t="str">
        <v/>
      </c>
      <c r="I24458" s="4" t="str">
        <v/>
      </c>
    </row>
    <row r="24459" spans="5:9" ht="16.5" hidden="1">
      <c r="E24459" s="4" t="str">
        <v/>
      </c>
      <c r="F24459" s="102" t="str">
        <f ca="1">IFERROR(__xludf.DUMMYFUNCTION("IMPORTRANGE(H24459,""IDENTITAS UNIT!D9"")"),"#N/A")</f>
        <v>#N/A</v>
      </c>
      <c r="H24459" s="4" t="str">
        <v/>
      </c>
      <c r="I24459" s="4" t="str">
        <v/>
      </c>
    </row>
    <row r="24460" spans="5:9" ht="16.5" hidden="1">
      <c r="E24460" s="4" t="str">
        <v/>
      </c>
      <c r="F24460" s="102" t="str">
        <f ca="1">IFERROR(__xludf.DUMMYFUNCTION("IMPORTRANGE(H24460,""IDENTITAS UNIT!D9"")"),"#N/A")</f>
        <v>#N/A</v>
      </c>
      <c r="H24460" s="4" t="str">
        <v/>
      </c>
      <c r="I24460" s="4" t="str">
        <v/>
      </c>
    </row>
    <row r="24461" spans="5:9" ht="16.5" hidden="1">
      <c r="E24461" s="4" t="str">
        <v/>
      </c>
      <c r="F24461" s="102" t="str">
        <f ca="1">IFERROR(__xludf.DUMMYFUNCTION("IMPORTRANGE(H24461,""IDENTITAS UNIT!D9"")"),"#N/A")</f>
        <v>#N/A</v>
      </c>
      <c r="H24461" s="4" t="str">
        <v/>
      </c>
      <c r="I24461" s="4" t="str">
        <v/>
      </c>
    </row>
    <row r="24462" spans="5:9" ht="16.5" hidden="1">
      <c r="E24462" s="4" t="str">
        <v/>
      </c>
      <c r="F24462" s="102" t="str">
        <f ca="1">IFERROR(__xludf.DUMMYFUNCTION("IMPORTRANGE(H24462,""IDENTITAS UNIT!D9"")"),"#N/A")</f>
        <v>#N/A</v>
      </c>
      <c r="H24462" s="4" t="str">
        <v/>
      </c>
      <c r="I24462" s="4" t="str">
        <v/>
      </c>
    </row>
    <row r="24463" spans="5:9" ht="16.5" hidden="1">
      <c r="E24463" s="4" t="str">
        <v/>
      </c>
      <c r="F24463" s="102" t="str">
        <f ca="1">IFERROR(__xludf.DUMMYFUNCTION("IMPORTRANGE(H24463,""IDENTITAS UNIT!D9"")"),"#N/A")</f>
        <v>#N/A</v>
      </c>
      <c r="H24463" s="4" t="str">
        <v/>
      </c>
      <c r="I24463" s="4" t="str">
        <v/>
      </c>
    </row>
    <row r="24464" spans="5:9" ht="16.5" hidden="1">
      <c r="E24464" s="4" t="str">
        <v/>
      </c>
      <c r="F24464" s="102" t="str">
        <f ca="1">IFERROR(__xludf.DUMMYFUNCTION("IMPORTRANGE(H24464,""IDENTITAS UNIT!D9"")"),"#N/A")</f>
        <v>#N/A</v>
      </c>
      <c r="H24464" s="4" t="str">
        <v/>
      </c>
      <c r="I24464" s="4" t="str">
        <v/>
      </c>
    </row>
    <row r="24465" spans="5:9" ht="16.5" hidden="1">
      <c r="E24465" s="4" t="str">
        <v/>
      </c>
      <c r="F24465" s="102" t="str">
        <f ca="1">IFERROR(__xludf.DUMMYFUNCTION("IMPORTRANGE(H24465,""IDENTITAS UNIT!D9"")"),"#N/A")</f>
        <v>#N/A</v>
      </c>
      <c r="H24465" s="4" t="str">
        <v/>
      </c>
      <c r="I24465" s="4" t="str">
        <v/>
      </c>
    </row>
    <row r="24466" spans="5:9" ht="16.5" hidden="1">
      <c r="E24466" s="4" t="str">
        <v/>
      </c>
      <c r="F24466" s="102" t="str">
        <f ca="1">IFERROR(__xludf.DUMMYFUNCTION("IMPORTRANGE(H24466,""IDENTITAS UNIT!D9"")"),"#N/A")</f>
        <v>#N/A</v>
      </c>
      <c r="H24466" s="4" t="str">
        <v/>
      </c>
      <c r="I24466" s="4" t="str">
        <v/>
      </c>
    </row>
    <row r="24467" spans="5:9" ht="16.5" hidden="1">
      <c r="E24467" s="4" t="str">
        <v/>
      </c>
      <c r="F24467" s="102" t="str">
        <f ca="1">IFERROR(__xludf.DUMMYFUNCTION("IMPORTRANGE(H24467,""IDENTITAS UNIT!D9"")"),"#N/A")</f>
        <v>#N/A</v>
      </c>
      <c r="H24467" s="4" t="str">
        <v/>
      </c>
      <c r="I24467" s="4" t="str">
        <v/>
      </c>
    </row>
    <row r="24468" spans="5:9" ht="16.5" hidden="1">
      <c r="E24468" s="4" t="str">
        <v/>
      </c>
      <c r="F24468" s="102" t="str">
        <f ca="1">IFERROR(__xludf.DUMMYFUNCTION("IMPORTRANGE(H24468,""IDENTITAS UNIT!D9"")"),"#N/A")</f>
        <v>#N/A</v>
      </c>
      <c r="H24468" s="4" t="str">
        <v/>
      </c>
      <c r="I24468" s="4" t="str">
        <v/>
      </c>
    </row>
    <row r="24469" spans="5:9" ht="16.5" hidden="1">
      <c r="E24469" s="4" t="str">
        <v/>
      </c>
      <c r="F24469" s="102" t="str">
        <f ca="1">IFERROR(__xludf.DUMMYFUNCTION("IMPORTRANGE(H24469,""IDENTITAS UNIT!D9"")"),"#N/A")</f>
        <v>#N/A</v>
      </c>
      <c r="H24469" s="4" t="str">
        <v/>
      </c>
      <c r="I24469" s="4" t="str">
        <v/>
      </c>
    </row>
    <row r="24470" spans="5:9" ht="16.5" hidden="1">
      <c r="E24470" s="4" t="str">
        <v/>
      </c>
      <c r="F24470" s="102" t="str">
        <f ca="1">IFERROR(__xludf.DUMMYFUNCTION("IMPORTRANGE(H24470,""IDENTITAS UNIT!D9"")"),"#N/A")</f>
        <v>#N/A</v>
      </c>
      <c r="H24470" s="4" t="str">
        <v/>
      </c>
      <c r="I24470" s="4" t="str">
        <v/>
      </c>
    </row>
    <row r="24471" spans="5:9" ht="16.5" hidden="1">
      <c r="E24471" s="4" t="str">
        <v/>
      </c>
      <c r="F24471" s="102" t="str">
        <f ca="1">IFERROR(__xludf.DUMMYFUNCTION("IMPORTRANGE(H24471,""IDENTITAS UNIT!D9"")"),"#N/A")</f>
        <v>#N/A</v>
      </c>
      <c r="H24471" s="4" t="str">
        <v/>
      </c>
      <c r="I24471" s="4" t="str">
        <v/>
      </c>
    </row>
    <row r="24472" spans="5:9" ht="16.5" hidden="1">
      <c r="E24472" s="4" t="str">
        <v/>
      </c>
      <c r="F24472" s="102" t="str">
        <f ca="1">IFERROR(__xludf.DUMMYFUNCTION("IMPORTRANGE(H24472,""IDENTITAS UNIT!D9"")"),"#N/A")</f>
        <v>#N/A</v>
      </c>
      <c r="H24472" s="4" t="str">
        <v/>
      </c>
      <c r="I24472" s="4" t="str">
        <v/>
      </c>
    </row>
    <row r="24473" spans="5:9" ht="16.5" hidden="1">
      <c r="E24473" s="4" t="str">
        <v/>
      </c>
      <c r="F24473" s="102" t="str">
        <f ca="1">IFERROR(__xludf.DUMMYFUNCTION("IMPORTRANGE(H24473,""IDENTITAS UNIT!D9"")"),"#N/A")</f>
        <v>#N/A</v>
      </c>
      <c r="H24473" s="4" t="str">
        <v/>
      </c>
      <c r="I24473" s="4" t="str">
        <v/>
      </c>
    </row>
    <row r="24474" spans="5:9" ht="16.5" hidden="1">
      <c r="E24474" s="4" t="str">
        <v/>
      </c>
      <c r="F24474" s="102" t="str">
        <f ca="1">IFERROR(__xludf.DUMMYFUNCTION("IMPORTRANGE(H24474,""IDENTITAS UNIT!D9"")"),"#N/A")</f>
        <v>#N/A</v>
      </c>
      <c r="H24474" s="4" t="str">
        <v/>
      </c>
      <c r="I24474" s="4" t="str">
        <v/>
      </c>
    </row>
    <row r="24475" spans="5:9" ht="16.5" hidden="1">
      <c r="E24475" s="4" t="str">
        <v/>
      </c>
      <c r="F24475" s="102" t="str">
        <f ca="1">IFERROR(__xludf.DUMMYFUNCTION("IMPORTRANGE(H24475,""IDENTITAS UNIT!D9"")"),"#N/A")</f>
        <v>#N/A</v>
      </c>
      <c r="H24475" s="4" t="str">
        <v/>
      </c>
      <c r="I24475" s="4" t="str">
        <v/>
      </c>
    </row>
    <row r="24476" spans="5:9" ht="16.5" hidden="1">
      <c r="E24476" s="4" t="str">
        <v/>
      </c>
      <c r="F24476" s="102" t="str">
        <f ca="1">IFERROR(__xludf.DUMMYFUNCTION("IMPORTRANGE(H24476,""IDENTITAS UNIT!D9"")"),"#N/A")</f>
        <v>#N/A</v>
      </c>
      <c r="H24476" s="4" t="str">
        <v/>
      </c>
      <c r="I24476" s="4" t="str">
        <v/>
      </c>
    </row>
    <row r="24477" spans="5:9" ht="16.5" hidden="1">
      <c r="E24477" s="4" t="str">
        <v/>
      </c>
      <c r="F24477" s="102" t="str">
        <f ca="1">IFERROR(__xludf.DUMMYFUNCTION("IMPORTRANGE(H24477,""IDENTITAS UNIT!D9"")"),"#N/A")</f>
        <v>#N/A</v>
      </c>
      <c r="H24477" s="4" t="str">
        <v/>
      </c>
      <c r="I24477" s="4" t="str">
        <v/>
      </c>
    </row>
    <row r="24478" spans="5:9" ht="16.5" hidden="1">
      <c r="E24478" s="4" t="str">
        <v/>
      </c>
      <c r="F24478" s="102" t="str">
        <f ca="1">IFERROR(__xludf.DUMMYFUNCTION("IMPORTRANGE(H24478,""IDENTITAS UNIT!D9"")"),"#N/A")</f>
        <v>#N/A</v>
      </c>
      <c r="H24478" s="4" t="str">
        <v/>
      </c>
      <c r="I24478" s="4" t="str">
        <v/>
      </c>
    </row>
    <row r="24479" spans="5:9" ht="16.5" hidden="1">
      <c r="E24479" s="4" t="str">
        <v/>
      </c>
      <c r="F24479" s="102" t="str">
        <f ca="1">IFERROR(__xludf.DUMMYFUNCTION("IMPORTRANGE(H24479,""IDENTITAS UNIT!D9"")"),"#N/A")</f>
        <v>#N/A</v>
      </c>
      <c r="H24479" s="4" t="str">
        <v/>
      </c>
      <c r="I24479" s="4" t="str">
        <v/>
      </c>
    </row>
    <row r="24480" spans="5:9" ht="16.5" hidden="1">
      <c r="E24480" s="4" t="str">
        <v/>
      </c>
      <c r="F24480" s="102" t="str">
        <f ca="1">IFERROR(__xludf.DUMMYFUNCTION("IMPORTRANGE(H24480,""IDENTITAS UNIT!D9"")"),"#N/A")</f>
        <v>#N/A</v>
      </c>
      <c r="H24480" s="4" t="str">
        <v/>
      </c>
      <c r="I24480" s="4" t="str">
        <v/>
      </c>
    </row>
    <row r="24481" spans="5:9" ht="16.5" hidden="1">
      <c r="E24481" s="4" t="str">
        <v/>
      </c>
      <c r="F24481" s="102" t="str">
        <f ca="1">IFERROR(__xludf.DUMMYFUNCTION("IMPORTRANGE(H24481,""IDENTITAS UNIT!D9"")"),"#N/A")</f>
        <v>#N/A</v>
      </c>
      <c r="H24481" s="4" t="str">
        <v/>
      </c>
      <c r="I24481" s="4" t="str">
        <v/>
      </c>
    </row>
    <row r="24482" spans="5:9" ht="16.5" hidden="1">
      <c r="E24482" s="4" t="str">
        <v/>
      </c>
      <c r="F24482" s="102" t="str">
        <f ca="1">IFERROR(__xludf.DUMMYFUNCTION("IMPORTRANGE(H24482,""IDENTITAS UNIT!D9"")"),"#N/A")</f>
        <v>#N/A</v>
      </c>
      <c r="H24482" s="4" t="str">
        <v/>
      </c>
      <c r="I24482" s="4" t="str">
        <v/>
      </c>
    </row>
    <row r="24483" spans="5:9" ht="16.5" hidden="1">
      <c r="E24483" s="4" t="str">
        <v/>
      </c>
      <c r="F24483" s="102" t="str">
        <f ca="1">IFERROR(__xludf.DUMMYFUNCTION("IMPORTRANGE(H24483,""IDENTITAS UNIT!D9"")"),"#N/A")</f>
        <v>#N/A</v>
      </c>
      <c r="H24483" s="4" t="str">
        <v/>
      </c>
      <c r="I24483" s="4" t="str">
        <v/>
      </c>
    </row>
    <row r="24484" spans="5:9" ht="16.5" hidden="1">
      <c r="E24484" s="4" t="str">
        <v/>
      </c>
      <c r="F24484" s="102" t="str">
        <f ca="1">IFERROR(__xludf.DUMMYFUNCTION("IMPORTRANGE(H24484,""IDENTITAS UNIT!D9"")"),"#N/A")</f>
        <v>#N/A</v>
      </c>
      <c r="H24484" s="4" t="str">
        <v/>
      </c>
      <c r="I24484" s="4" t="str">
        <v/>
      </c>
    </row>
    <row r="24485" spans="5:9" ht="16.5" hidden="1">
      <c r="E24485" s="4" t="str">
        <v/>
      </c>
      <c r="F24485" s="102" t="str">
        <f ca="1">IFERROR(__xludf.DUMMYFUNCTION("IMPORTRANGE(H24485,""IDENTITAS UNIT!D9"")"),"#N/A")</f>
        <v>#N/A</v>
      </c>
      <c r="H24485" s="4" t="str">
        <v/>
      </c>
      <c r="I24485" s="4" t="str">
        <v/>
      </c>
    </row>
    <row r="24486" spans="5:9" ht="16.5" hidden="1">
      <c r="E24486" s="4" t="str">
        <v/>
      </c>
      <c r="F24486" s="102" t="str">
        <f ca="1">IFERROR(__xludf.DUMMYFUNCTION("IMPORTRANGE(H24486,""IDENTITAS UNIT!D9"")"),"#N/A")</f>
        <v>#N/A</v>
      </c>
      <c r="H24486" s="4" t="str">
        <v/>
      </c>
      <c r="I24486" s="4" t="str">
        <v/>
      </c>
    </row>
    <row r="24487" spans="5:9" ht="16.5" hidden="1">
      <c r="E24487" s="4" t="str">
        <v/>
      </c>
      <c r="F24487" s="102" t="str">
        <f ca="1">IFERROR(__xludf.DUMMYFUNCTION("IMPORTRANGE(H24487,""IDENTITAS UNIT!D9"")"),"#N/A")</f>
        <v>#N/A</v>
      </c>
      <c r="H24487" s="4" t="str">
        <v/>
      </c>
      <c r="I24487" s="4" t="str">
        <v/>
      </c>
    </row>
    <row r="24488" spans="5:9" ht="16.5" hidden="1">
      <c r="E24488" s="4" t="str">
        <v/>
      </c>
      <c r="F24488" s="102" t="str">
        <f ca="1">IFERROR(__xludf.DUMMYFUNCTION("IMPORTRANGE(H24488,""IDENTITAS UNIT!D9"")"),"#N/A")</f>
        <v>#N/A</v>
      </c>
      <c r="H24488" s="4" t="str">
        <v/>
      </c>
      <c r="I24488" s="4" t="str">
        <v/>
      </c>
    </row>
    <row r="24489" spans="5:9" ht="16.5" hidden="1">
      <c r="E24489" s="4" t="str">
        <v/>
      </c>
      <c r="F24489" s="102" t="str">
        <f ca="1">IFERROR(__xludf.DUMMYFUNCTION("IMPORTRANGE(H24489,""IDENTITAS UNIT!D9"")"),"#N/A")</f>
        <v>#N/A</v>
      </c>
      <c r="H24489" s="4" t="str">
        <v/>
      </c>
      <c r="I24489" s="4" t="str">
        <v/>
      </c>
    </row>
    <row r="24490" spans="5:9" ht="16.5" hidden="1">
      <c r="E24490" s="4" t="str">
        <v/>
      </c>
      <c r="F24490" s="102" t="str">
        <f ca="1">IFERROR(__xludf.DUMMYFUNCTION("IMPORTRANGE(H24490,""IDENTITAS UNIT!D9"")"),"#N/A")</f>
        <v>#N/A</v>
      </c>
      <c r="H24490" s="4" t="str">
        <v/>
      </c>
      <c r="I24490" s="4" t="str">
        <v/>
      </c>
    </row>
    <row r="24491" spans="5:9" ht="16.5" hidden="1">
      <c r="E24491" s="4" t="str">
        <v/>
      </c>
      <c r="F24491" s="102" t="str">
        <f ca="1">IFERROR(__xludf.DUMMYFUNCTION("IMPORTRANGE(H24491,""IDENTITAS UNIT!D9"")"),"#N/A")</f>
        <v>#N/A</v>
      </c>
      <c r="H24491" s="4" t="str">
        <v/>
      </c>
      <c r="I24491" s="4" t="str">
        <v/>
      </c>
    </row>
    <row r="24492" spans="5:9" ht="16.5" hidden="1">
      <c r="E24492" s="4" t="str">
        <v/>
      </c>
      <c r="F24492" s="102" t="str">
        <f ca="1">IFERROR(__xludf.DUMMYFUNCTION("IMPORTRANGE(H24492,""IDENTITAS UNIT!D9"")"),"#N/A")</f>
        <v>#N/A</v>
      </c>
      <c r="H24492" s="4" t="str">
        <v/>
      </c>
      <c r="I24492" s="4" t="str">
        <v/>
      </c>
    </row>
    <row r="24493" spans="5:9" ht="16.5" hidden="1">
      <c r="E24493" s="4" t="str">
        <v/>
      </c>
      <c r="F24493" s="102" t="str">
        <f ca="1">IFERROR(__xludf.DUMMYFUNCTION("IMPORTRANGE(H24493,""IDENTITAS UNIT!D9"")"),"#N/A")</f>
        <v>#N/A</v>
      </c>
      <c r="H24493" s="4" t="str">
        <v/>
      </c>
      <c r="I24493" s="4" t="str">
        <v/>
      </c>
    </row>
    <row r="24494" spans="5:9" ht="16.5" hidden="1">
      <c r="E24494" s="4" t="str">
        <v/>
      </c>
      <c r="F24494" s="102" t="str">
        <f ca="1">IFERROR(__xludf.DUMMYFUNCTION("IMPORTRANGE(H24494,""IDENTITAS UNIT!D9"")"),"#N/A")</f>
        <v>#N/A</v>
      </c>
      <c r="H24494" s="4" t="str">
        <v/>
      </c>
      <c r="I24494" s="4" t="str">
        <v/>
      </c>
    </row>
    <row r="24495" spans="5:9" ht="16.5" hidden="1">
      <c r="E24495" s="4" t="str">
        <v/>
      </c>
      <c r="F24495" s="102" t="str">
        <f ca="1">IFERROR(__xludf.DUMMYFUNCTION("IMPORTRANGE(H24495,""IDENTITAS UNIT!D9"")"),"#N/A")</f>
        <v>#N/A</v>
      </c>
      <c r="H24495" s="4" t="str">
        <v/>
      </c>
      <c r="I24495" s="4" t="str">
        <v/>
      </c>
    </row>
    <row r="24496" spans="5:9" ht="16.5" hidden="1">
      <c r="E24496" s="4" t="str">
        <v/>
      </c>
      <c r="F24496" s="102" t="str">
        <f ca="1">IFERROR(__xludf.DUMMYFUNCTION("IMPORTRANGE(H24496,""IDENTITAS UNIT!D9"")"),"#N/A")</f>
        <v>#N/A</v>
      </c>
      <c r="H24496" s="4" t="str">
        <v/>
      </c>
      <c r="I24496" s="4" t="str">
        <v/>
      </c>
    </row>
    <row r="24497" spans="5:9" ht="16.5" hidden="1">
      <c r="E24497" s="4" t="str">
        <v/>
      </c>
      <c r="F24497" s="102" t="str">
        <f ca="1">IFERROR(__xludf.DUMMYFUNCTION("IMPORTRANGE(H24497,""IDENTITAS UNIT!D9"")"),"#N/A")</f>
        <v>#N/A</v>
      </c>
      <c r="H24497" s="4" t="str">
        <v/>
      </c>
      <c r="I24497" s="4" t="str">
        <v/>
      </c>
    </row>
    <row r="24498" spans="5:9" ht="16.5" hidden="1">
      <c r="E24498" s="4" t="str">
        <v/>
      </c>
      <c r="F24498" s="102" t="str">
        <f ca="1">IFERROR(__xludf.DUMMYFUNCTION("IMPORTRANGE(H24498,""IDENTITAS UNIT!D9"")"),"#N/A")</f>
        <v>#N/A</v>
      </c>
      <c r="H24498" s="4" t="str">
        <v/>
      </c>
      <c r="I24498" s="4" t="str">
        <v/>
      </c>
    </row>
    <row r="24499" spans="5:9" ht="16.5" hidden="1">
      <c r="E24499" s="4" t="str">
        <v/>
      </c>
      <c r="F24499" s="102" t="str">
        <f ca="1">IFERROR(__xludf.DUMMYFUNCTION("IMPORTRANGE(H24499,""IDENTITAS UNIT!D9"")"),"#N/A")</f>
        <v>#N/A</v>
      </c>
      <c r="H24499" s="4" t="str">
        <v/>
      </c>
      <c r="I24499" s="4" t="str">
        <v/>
      </c>
    </row>
    <row r="24500" spans="5:9" ht="16.5" hidden="1">
      <c r="E24500" s="4" t="str">
        <v/>
      </c>
      <c r="F24500" s="102" t="str">
        <f ca="1">IFERROR(__xludf.DUMMYFUNCTION("IMPORTRANGE(H24500,""IDENTITAS UNIT!D9"")"),"#N/A")</f>
        <v>#N/A</v>
      </c>
      <c r="H24500" s="4" t="str">
        <v/>
      </c>
      <c r="I24500" s="4" t="str">
        <v/>
      </c>
    </row>
    <row r="24501" spans="5:9" ht="16.5" hidden="1">
      <c r="E24501" s="4" t="str">
        <v/>
      </c>
      <c r="F24501" s="102" t="str">
        <f ca="1">IFERROR(__xludf.DUMMYFUNCTION("IMPORTRANGE(H24501,""IDENTITAS UNIT!D9"")"),"#N/A")</f>
        <v>#N/A</v>
      </c>
      <c r="H24501" s="4" t="str">
        <v/>
      </c>
      <c r="I24501" s="4" t="str">
        <v/>
      </c>
    </row>
    <row r="24502" spans="5:9" ht="16.5" hidden="1">
      <c r="E24502" s="4" t="str">
        <v/>
      </c>
      <c r="F24502" s="102" t="str">
        <f ca="1">IFERROR(__xludf.DUMMYFUNCTION("IMPORTRANGE(H24502,""IDENTITAS UNIT!D9"")"),"#N/A")</f>
        <v>#N/A</v>
      </c>
      <c r="H24502" s="4" t="str">
        <v/>
      </c>
      <c r="I24502" s="4" t="str">
        <v/>
      </c>
    </row>
    <row r="24503" spans="5:9" ht="16.5" hidden="1">
      <c r="E24503" s="4" t="str">
        <v/>
      </c>
      <c r="F24503" s="102" t="str">
        <f ca="1">IFERROR(__xludf.DUMMYFUNCTION("IMPORTRANGE(H24503,""IDENTITAS UNIT!D9"")"),"#N/A")</f>
        <v>#N/A</v>
      </c>
      <c r="H24503" s="4" t="str">
        <v/>
      </c>
      <c r="I24503" s="4" t="str">
        <v/>
      </c>
    </row>
    <row r="24504" spans="5:9" ht="16.5" hidden="1">
      <c r="E24504" s="4" t="str">
        <v/>
      </c>
      <c r="F24504" s="102" t="str">
        <f ca="1">IFERROR(__xludf.DUMMYFUNCTION("IMPORTRANGE(H24504,""IDENTITAS UNIT!D9"")"),"#N/A")</f>
        <v>#N/A</v>
      </c>
      <c r="H24504" s="4" t="str">
        <v/>
      </c>
      <c r="I24504" s="4" t="str">
        <v/>
      </c>
    </row>
    <row r="24505" spans="5:9" ht="16.5" hidden="1">
      <c r="E24505" s="4" t="str">
        <v/>
      </c>
      <c r="F24505" s="102" t="str">
        <f ca="1">IFERROR(__xludf.DUMMYFUNCTION("IMPORTRANGE(H24505,""IDENTITAS UNIT!D9"")"),"#N/A")</f>
        <v>#N/A</v>
      </c>
      <c r="H24505" s="4" t="str">
        <v/>
      </c>
      <c r="I24505" s="4" t="str">
        <v/>
      </c>
    </row>
    <row r="24506" spans="5:9" ht="16.5" hidden="1">
      <c r="E24506" s="4" t="str">
        <v/>
      </c>
      <c r="F24506" s="102" t="str">
        <f ca="1">IFERROR(__xludf.DUMMYFUNCTION("IMPORTRANGE(H24506,""IDENTITAS UNIT!D9"")"),"#N/A")</f>
        <v>#N/A</v>
      </c>
      <c r="H24506" s="4" t="str">
        <v/>
      </c>
      <c r="I24506" s="4" t="str">
        <v/>
      </c>
    </row>
    <row r="24507" spans="5:9" ht="16.5" hidden="1">
      <c r="E24507" s="4" t="str">
        <v/>
      </c>
      <c r="F24507" s="102" t="str">
        <f ca="1">IFERROR(__xludf.DUMMYFUNCTION("IMPORTRANGE(H24507,""IDENTITAS UNIT!D9"")"),"#N/A")</f>
        <v>#N/A</v>
      </c>
      <c r="H24507" s="4" t="str">
        <v/>
      </c>
      <c r="I24507" s="4" t="str">
        <v/>
      </c>
    </row>
    <row r="24508" spans="5:9" ht="16.5" hidden="1">
      <c r="E24508" s="4" t="str">
        <v/>
      </c>
      <c r="F24508" s="102" t="str">
        <f ca="1">IFERROR(__xludf.DUMMYFUNCTION("IMPORTRANGE(H24508,""IDENTITAS UNIT!D9"")"),"#N/A")</f>
        <v>#N/A</v>
      </c>
      <c r="H24508" s="4" t="str">
        <v/>
      </c>
      <c r="I24508" s="4" t="str">
        <v/>
      </c>
    </row>
    <row r="24509" spans="5:9" ht="16.5" hidden="1">
      <c r="E24509" s="4" t="str">
        <v/>
      </c>
      <c r="F24509" s="102" t="str">
        <f ca="1">IFERROR(__xludf.DUMMYFUNCTION("IMPORTRANGE(H24509,""IDENTITAS UNIT!D9"")"),"#N/A")</f>
        <v>#N/A</v>
      </c>
      <c r="H24509" s="4" t="str">
        <v/>
      </c>
      <c r="I24509" s="4" t="str">
        <v/>
      </c>
    </row>
    <row r="24510" spans="5:9" ht="16.5" hidden="1">
      <c r="E24510" s="4" t="str">
        <v/>
      </c>
      <c r="F24510" s="102" t="str">
        <f ca="1">IFERROR(__xludf.DUMMYFUNCTION("IMPORTRANGE(H24510,""IDENTITAS UNIT!D9"")"),"#N/A")</f>
        <v>#N/A</v>
      </c>
      <c r="H24510" s="4" t="str">
        <v/>
      </c>
      <c r="I24510" s="4" t="str">
        <v/>
      </c>
    </row>
    <row r="24511" spans="5:9" ht="16.5" hidden="1">
      <c r="E24511" s="4" t="str">
        <v/>
      </c>
      <c r="F24511" s="102" t="str">
        <f ca="1">IFERROR(__xludf.DUMMYFUNCTION("IMPORTRANGE(H24511,""IDENTITAS UNIT!D9"")"),"#N/A")</f>
        <v>#N/A</v>
      </c>
      <c r="H24511" s="4" t="str">
        <v/>
      </c>
      <c r="I24511" s="4" t="str">
        <v/>
      </c>
    </row>
    <row r="24512" spans="5:9" ht="16.5" hidden="1">
      <c r="E24512" s="4" t="str">
        <v/>
      </c>
      <c r="F24512" s="102" t="str">
        <f ca="1">IFERROR(__xludf.DUMMYFUNCTION("IMPORTRANGE(H24512,""IDENTITAS UNIT!D9"")"),"#N/A")</f>
        <v>#N/A</v>
      </c>
      <c r="H24512" s="4" t="str">
        <v/>
      </c>
      <c r="I24512" s="4" t="str">
        <v/>
      </c>
    </row>
    <row r="24513" spans="5:9" ht="16.5" hidden="1">
      <c r="E24513" s="4" t="str">
        <v/>
      </c>
      <c r="F24513" s="102" t="str">
        <f ca="1">IFERROR(__xludf.DUMMYFUNCTION("IMPORTRANGE(H24513,""IDENTITAS UNIT!D9"")"),"#N/A")</f>
        <v>#N/A</v>
      </c>
      <c r="H24513" s="4" t="str">
        <v/>
      </c>
      <c r="I24513" s="4" t="str">
        <v/>
      </c>
    </row>
    <row r="24514" spans="5:9" ht="16.5" hidden="1">
      <c r="E24514" s="4" t="str">
        <v/>
      </c>
      <c r="F24514" s="102" t="str">
        <f ca="1">IFERROR(__xludf.DUMMYFUNCTION("IMPORTRANGE(H24514,""IDENTITAS UNIT!D9"")"),"#N/A")</f>
        <v>#N/A</v>
      </c>
      <c r="H24514" s="4" t="str">
        <v/>
      </c>
      <c r="I24514" s="4" t="str">
        <v/>
      </c>
    </row>
    <row r="24515" spans="5:9" ht="16.5" hidden="1">
      <c r="E24515" s="4" t="str">
        <v/>
      </c>
      <c r="F24515" s="102" t="str">
        <f ca="1">IFERROR(__xludf.DUMMYFUNCTION("IMPORTRANGE(H24515,""IDENTITAS UNIT!D9"")"),"#N/A")</f>
        <v>#N/A</v>
      </c>
      <c r="H24515" s="4" t="str">
        <v/>
      </c>
      <c r="I24515" s="4" t="str">
        <v/>
      </c>
    </row>
    <row r="24516" spans="5:9" ht="16.5" hidden="1">
      <c r="E24516" s="4" t="str">
        <v/>
      </c>
      <c r="F24516" s="102" t="str">
        <f ca="1">IFERROR(__xludf.DUMMYFUNCTION("IMPORTRANGE(H24516,""IDENTITAS UNIT!D9"")"),"#N/A")</f>
        <v>#N/A</v>
      </c>
      <c r="H24516" s="4" t="str">
        <v/>
      </c>
      <c r="I24516" s="4" t="str">
        <v/>
      </c>
    </row>
    <row r="24517" spans="5:9" ht="16.5" hidden="1">
      <c r="E24517" s="4" t="str">
        <v/>
      </c>
      <c r="F24517" s="102" t="str">
        <f ca="1">IFERROR(__xludf.DUMMYFUNCTION("IMPORTRANGE(H24517,""IDENTITAS UNIT!D9"")"),"#N/A")</f>
        <v>#N/A</v>
      </c>
      <c r="H24517" s="4" t="str">
        <v/>
      </c>
      <c r="I24517" s="4" t="str">
        <v/>
      </c>
    </row>
    <row r="24518" spans="5:9" ht="16.5" hidden="1">
      <c r="E24518" s="4" t="str">
        <v/>
      </c>
      <c r="F24518" s="102" t="str">
        <f ca="1">IFERROR(__xludf.DUMMYFUNCTION("IMPORTRANGE(H24518,""IDENTITAS UNIT!D9"")"),"#N/A")</f>
        <v>#N/A</v>
      </c>
      <c r="H24518" s="4" t="str">
        <v/>
      </c>
      <c r="I24518" s="4" t="str">
        <v/>
      </c>
    </row>
    <row r="24519" spans="5:9" ht="16.5" hidden="1">
      <c r="E24519" s="4" t="str">
        <v/>
      </c>
      <c r="F24519" s="102" t="str">
        <f ca="1">IFERROR(__xludf.DUMMYFUNCTION("IMPORTRANGE(H24519,""IDENTITAS UNIT!D9"")"),"#N/A")</f>
        <v>#N/A</v>
      </c>
      <c r="H24519" s="4" t="str">
        <v/>
      </c>
      <c r="I24519" s="4" t="str">
        <v/>
      </c>
    </row>
    <row r="24520" spans="5:9" ht="16.5" hidden="1">
      <c r="E24520" s="4" t="str">
        <v/>
      </c>
      <c r="F24520" s="102" t="str">
        <f ca="1">IFERROR(__xludf.DUMMYFUNCTION("IMPORTRANGE(H24520,""IDENTITAS UNIT!D9"")"),"#N/A")</f>
        <v>#N/A</v>
      </c>
      <c r="H24520" s="4" t="str">
        <v/>
      </c>
      <c r="I24520" s="4" t="str">
        <v/>
      </c>
    </row>
    <row r="24521" spans="5:9" ht="16.5" hidden="1">
      <c r="E24521" s="4" t="str">
        <v/>
      </c>
      <c r="F24521" s="102" t="str">
        <f ca="1">IFERROR(__xludf.DUMMYFUNCTION("IMPORTRANGE(H24521,""IDENTITAS UNIT!D9"")"),"#N/A")</f>
        <v>#N/A</v>
      </c>
      <c r="H24521" s="4" t="str">
        <v/>
      </c>
      <c r="I24521" s="4" t="str">
        <v/>
      </c>
    </row>
    <row r="24522" spans="5:9" ht="16.5" hidden="1">
      <c r="E24522" s="4" t="str">
        <v/>
      </c>
      <c r="F24522" s="102" t="str">
        <f ca="1">IFERROR(__xludf.DUMMYFUNCTION("IMPORTRANGE(H24522,""IDENTITAS UNIT!D9"")"),"#N/A")</f>
        <v>#N/A</v>
      </c>
      <c r="H24522" s="4" t="str">
        <v/>
      </c>
      <c r="I24522" s="4" t="str">
        <v/>
      </c>
    </row>
    <row r="24523" spans="5:9" ht="16.5" hidden="1">
      <c r="E24523" s="4" t="str">
        <v/>
      </c>
      <c r="F24523" s="102" t="str">
        <f ca="1">IFERROR(__xludf.DUMMYFUNCTION("IMPORTRANGE(H24523,""IDENTITAS UNIT!D9"")"),"#N/A")</f>
        <v>#N/A</v>
      </c>
      <c r="H24523" s="4" t="str">
        <v/>
      </c>
      <c r="I24523" s="4" t="str">
        <v/>
      </c>
    </row>
    <row r="24524" spans="5:9" ht="16.5" hidden="1">
      <c r="E24524" s="4" t="str">
        <v/>
      </c>
      <c r="F24524" s="102" t="str">
        <f ca="1">IFERROR(__xludf.DUMMYFUNCTION("IMPORTRANGE(H24524,""IDENTITAS UNIT!D9"")"),"#N/A")</f>
        <v>#N/A</v>
      </c>
      <c r="H24524" s="4" t="str">
        <v/>
      </c>
      <c r="I24524" s="4" t="str">
        <v/>
      </c>
    </row>
    <row r="24525" spans="5:9" ht="16.5" hidden="1">
      <c r="E24525" s="4" t="str">
        <v/>
      </c>
      <c r="F24525" s="102" t="str">
        <f ca="1">IFERROR(__xludf.DUMMYFUNCTION("IMPORTRANGE(H24525,""IDENTITAS UNIT!D9"")"),"#N/A")</f>
        <v>#N/A</v>
      </c>
      <c r="H24525" s="4" t="str">
        <v/>
      </c>
      <c r="I24525" s="4" t="str">
        <v/>
      </c>
    </row>
    <row r="24526" spans="5:9" ht="16.5" hidden="1">
      <c r="E24526" s="4" t="str">
        <v/>
      </c>
      <c r="F24526" s="102" t="str">
        <f ca="1">IFERROR(__xludf.DUMMYFUNCTION("IMPORTRANGE(H24526,""IDENTITAS UNIT!D9"")"),"#N/A")</f>
        <v>#N/A</v>
      </c>
      <c r="H24526" s="4" t="str">
        <v/>
      </c>
      <c r="I24526" s="4" t="str">
        <v/>
      </c>
    </row>
    <row r="24527" spans="5:9" ht="16.5" hidden="1">
      <c r="E24527" s="4" t="str">
        <v/>
      </c>
      <c r="F24527" s="102" t="str">
        <f ca="1">IFERROR(__xludf.DUMMYFUNCTION("IMPORTRANGE(H24527,""IDENTITAS UNIT!D9"")"),"#N/A")</f>
        <v>#N/A</v>
      </c>
      <c r="H24527" s="4" t="str">
        <v/>
      </c>
      <c r="I24527" s="4" t="str">
        <v/>
      </c>
    </row>
    <row r="24528" spans="5:9" ht="16.5" hidden="1">
      <c r="E24528" s="4" t="str">
        <v/>
      </c>
      <c r="F24528" s="102" t="str">
        <f ca="1">IFERROR(__xludf.DUMMYFUNCTION("IMPORTRANGE(H24528,""IDENTITAS UNIT!D9"")"),"#N/A")</f>
        <v>#N/A</v>
      </c>
      <c r="H24528" s="4" t="str">
        <v/>
      </c>
      <c r="I24528" s="4" t="str">
        <v/>
      </c>
    </row>
    <row r="24529" spans="5:9" ht="16.5" hidden="1">
      <c r="E24529" s="4" t="str">
        <v/>
      </c>
      <c r="F24529" s="102" t="str">
        <f ca="1">IFERROR(__xludf.DUMMYFUNCTION("IMPORTRANGE(H24529,""IDENTITAS UNIT!D9"")"),"#N/A")</f>
        <v>#N/A</v>
      </c>
      <c r="H24529" s="4" t="str">
        <v/>
      </c>
      <c r="I24529" s="4" t="str">
        <v/>
      </c>
    </row>
    <row r="24530" spans="5:9" ht="16.5" hidden="1">
      <c r="E24530" s="4" t="str">
        <v/>
      </c>
      <c r="F24530" s="102" t="str">
        <f ca="1">IFERROR(__xludf.DUMMYFUNCTION("IMPORTRANGE(H24530,""IDENTITAS UNIT!D9"")"),"#N/A")</f>
        <v>#N/A</v>
      </c>
      <c r="H24530" s="4" t="str">
        <v/>
      </c>
      <c r="I24530" s="4" t="str">
        <v/>
      </c>
    </row>
    <row r="24531" spans="5:9" ht="16.5" hidden="1">
      <c r="E24531" s="4" t="str">
        <v/>
      </c>
      <c r="F24531" s="102" t="str">
        <f ca="1">IFERROR(__xludf.DUMMYFUNCTION("IMPORTRANGE(H24531,""IDENTITAS UNIT!D9"")"),"#N/A")</f>
        <v>#N/A</v>
      </c>
      <c r="H24531" s="4" t="str">
        <v/>
      </c>
      <c r="I24531" s="4" t="str">
        <v/>
      </c>
    </row>
    <row r="24532" spans="5:9" ht="16.5" hidden="1">
      <c r="E24532" s="4" t="str">
        <v/>
      </c>
      <c r="F24532" s="102" t="str">
        <f ca="1">IFERROR(__xludf.DUMMYFUNCTION("IMPORTRANGE(H24532,""IDENTITAS UNIT!D9"")"),"#N/A")</f>
        <v>#N/A</v>
      </c>
      <c r="H24532" s="4" t="str">
        <v/>
      </c>
      <c r="I24532" s="4" t="str">
        <v/>
      </c>
    </row>
    <row r="24533" spans="5:9" ht="16.5" hidden="1">
      <c r="E24533" s="4" t="str">
        <v/>
      </c>
      <c r="F24533" s="102" t="str">
        <f ca="1">IFERROR(__xludf.DUMMYFUNCTION("IMPORTRANGE(H24533,""IDENTITAS UNIT!D9"")"),"#N/A")</f>
        <v>#N/A</v>
      </c>
      <c r="H24533" s="4" t="str">
        <v/>
      </c>
      <c r="I24533" s="4" t="str">
        <v/>
      </c>
    </row>
    <row r="24534" spans="5:9" ht="16.5" hidden="1">
      <c r="E24534" s="4" t="str">
        <v/>
      </c>
      <c r="F24534" s="102" t="str">
        <f ca="1">IFERROR(__xludf.DUMMYFUNCTION("IMPORTRANGE(H24534,""IDENTITAS UNIT!D9"")"),"#N/A")</f>
        <v>#N/A</v>
      </c>
      <c r="H24534" s="4" t="str">
        <v/>
      </c>
      <c r="I24534" s="4" t="str">
        <v/>
      </c>
    </row>
    <row r="24535" spans="5:9" ht="16.5" hidden="1">
      <c r="E24535" s="4" t="str">
        <v/>
      </c>
      <c r="F24535" s="102" t="str">
        <f ca="1">IFERROR(__xludf.DUMMYFUNCTION("IMPORTRANGE(H24535,""IDENTITAS UNIT!D9"")"),"#N/A")</f>
        <v>#N/A</v>
      </c>
      <c r="H24535" s="4" t="str">
        <v/>
      </c>
      <c r="I24535" s="4" t="str">
        <v/>
      </c>
    </row>
    <row r="24536" spans="5:9" ht="16.5" hidden="1">
      <c r="E24536" s="4" t="str">
        <v/>
      </c>
      <c r="F24536" s="102" t="str">
        <f ca="1">IFERROR(__xludf.DUMMYFUNCTION("IMPORTRANGE(H24536,""IDENTITAS UNIT!D9"")"),"#N/A")</f>
        <v>#N/A</v>
      </c>
      <c r="H24536" s="4" t="str">
        <v/>
      </c>
      <c r="I24536" s="4" t="str">
        <v/>
      </c>
    </row>
    <row r="24537" spans="5:9" ht="16.5" hidden="1">
      <c r="E24537" s="4" t="str">
        <v/>
      </c>
      <c r="F24537" s="102" t="str">
        <f ca="1">IFERROR(__xludf.DUMMYFUNCTION("IMPORTRANGE(H24537,""IDENTITAS UNIT!D9"")"),"#N/A")</f>
        <v>#N/A</v>
      </c>
      <c r="H24537" s="4" t="str">
        <v/>
      </c>
      <c r="I24537" s="4" t="str">
        <v/>
      </c>
    </row>
    <row r="24538" spans="5:9" ht="16.5" hidden="1">
      <c r="E24538" s="4" t="str">
        <v/>
      </c>
      <c r="F24538" s="102" t="str">
        <f ca="1">IFERROR(__xludf.DUMMYFUNCTION("IMPORTRANGE(H24538,""IDENTITAS UNIT!D9"")"),"#N/A")</f>
        <v>#N/A</v>
      </c>
      <c r="H24538" s="4" t="str">
        <v/>
      </c>
      <c r="I24538" s="4" t="str">
        <v/>
      </c>
    </row>
    <row r="24539" spans="5:9" ht="16.5" hidden="1">
      <c r="E24539" s="4" t="str">
        <v/>
      </c>
      <c r="F24539" s="102" t="str">
        <f ca="1">IFERROR(__xludf.DUMMYFUNCTION("IMPORTRANGE(H24539,""IDENTITAS UNIT!D9"")"),"#N/A")</f>
        <v>#N/A</v>
      </c>
      <c r="H24539" s="4" t="str">
        <v/>
      </c>
      <c r="I24539" s="4" t="str">
        <v/>
      </c>
    </row>
    <row r="24540" spans="5:9" ht="16.5" hidden="1">
      <c r="E24540" s="4" t="str">
        <v/>
      </c>
      <c r="F24540" s="102" t="str">
        <f ca="1">IFERROR(__xludf.DUMMYFUNCTION("IMPORTRANGE(H24540,""IDENTITAS UNIT!D9"")"),"#N/A")</f>
        <v>#N/A</v>
      </c>
      <c r="H24540" s="4" t="str">
        <v/>
      </c>
      <c r="I24540" s="4" t="str">
        <v/>
      </c>
    </row>
    <row r="24541" spans="5:9" ht="16.5" hidden="1">
      <c r="E24541" s="4" t="str">
        <v/>
      </c>
      <c r="F24541" s="102" t="str">
        <f ca="1">IFERROR(__xludf.DUMMYFUNCTION("IMPORTRANGE(H24541,""IDENTITAS UNIT!D9"")"),"#N/A")</f>
        <v>#N/A</v>
      </c>
      <c r="H24541" s="4" t="str">
        <v/>
      </c>
      <c r="I24541" s="4" t="str">
        <v/>
      </c>
    </row>
    <row r="24542" spans="5:9" ht="16.5" hidden="1">
      <c r="E24542" s="4" t="str">
        <v/>
      </c>
      <c r="F24542" s="102" t="str">
        <f ca="1">IFERROR(__xludf.DUMMYFUNCTION("IMPORTRANGE(H24542,""IDENTITAS UNIT!D9"")"),"#N/A")</f>
        <v>#N/A</v>
      </c>
      <c r="H24542" s="4" t="str">
        <v/>
      </c>
      <c r="I24542" s="4" t="str">
        <v/>
      </c>
    </row>
    <row r="24543" spans="5:9" ht="16.5" hidden="1">
      <c r="E24543" s="4" t="str">
        <v/>
      </c>
      <c r="F24543" s="102" t="str">
        <f ca="1">IFERROR(__xludf.DUMMYFUNCTION("IMPORTRANGE(H24543,""IDENTITAS UNIT!D9"")"),"#N/A")</f>
        <v>#N/A</v>
      </c>
      <c r="H24543" s="4" t="str">
        <v/>
      </c>
      <c r="I24543" s="4" t="str">
        <v/>
      </c>
    </row>
    <row r="24544" spans="5:9" ht="16.5" hidden="1">
      <c r="E24544" s="4" t="str">
        <v/>
      </c>
      <c r="F24544" s="102" t="str">
        <f ca="1">IFERROR(__xludf.DUMMYFUNCTION("IMPORTRANGE(H24544,""IDENTITAS UNIT!D9"")"),"#N/A")</f>
        <v>#N/A</v>
      </c>
      <c r="H24544" s="4" t="str">
        <v/>
      </c>
      <c r="I24544" s="4" t="str">
        <v/>
      </c>
    </row>
    <row r="24545" spans="5:9" ht="16.5" hidden="1">
      <c r="E24545" s="4" t="str">
        <v/>
      </c>
      <c r="F24545" s="102" t="str">
        <f ca="1">IFERROR(__xludf.DUMMYFUNCTION("IMPORTRANGE(H24545,""IDENTITAS UNIT!D9"")"),"#N/A")</f>
        <v>#N/A</v>
      </c>
      <c r="H24545" s="4" t="str">
        <v/>
      </c>
      <c r="I24545" s="4" t="str">
        <v/>
      </c>
    </row>
    <row r="24546" spans="5:9" ht="16.5" hidden="1">
      <c r="E24546" s="4" t="str">
        <v/>
      </c>
      <c r="F24546" s="102" t="str">
        <f ca="1">IFERROR(__xludf.DUMMYFUNCTION("IMPORTRANGE(H24546,""IDENTITAS UNIT!D9"")"),"#N/A")</f>
        <v>#N/A</v>
      </c>
      <c r="H24546" s="4" t="str">
        <v/>
      </c>
      <c r="I24546" s="4" t="str">
        <v/>
      </c>
    </row>
    <row r="24547" spans="5:9" ht="16.5" hidden="1">
      <c r="E24547" s="4" t="str">
        <v/>
      </c>
      <c r="F24547" s="102" t="str">
        <f ca="1">IFERROR(__xludf.DUMMYFUNCTION("IMPORTRANGE(H24547,""IDENTITAS UNIT!D9"")"),"#N/A")</f>
        <v>#N/A</v>
      </c>
      <c r="H24547" s="4" t="str">
        <v/>
      </c>
      <c r="I24547" s="4" t="str">
        <v/>
      </c>
    </row>
    <row r="24548" spans="5:9" ht="16.5" hidden="1">
      <c r="E24548" s="4" t="str">
        <v/>
      </c>
      <c r="F24548" s="102" t="str">
        <f ca="1">IFERROR(__xludf.DUMMYFUNCTION("IMPORTRANGE(H24548,""IDENTITAS UNIT!D9"")"),"#N/A")</f>
        <v>#N/A</v>
      </c>
      <c r="H24548" s="4" t="str">
        <v/>
      </c>
      <c r="I24548" s="4" t="str">
        <v/>
      </c>
    </row>
    <row r="24549" spans="5:9" ht="16.5" hidden="1">
      <c r="E24549" s="4" t="str">
        <v/>
      </c>
      <c r="F24549" s="102" t="str">
        <f ca="1">IFERROR(__xludf.DUMMYFUNCTION("IMPORTRANGE(H24549,""IDENTITAS UNIT!D9"")"),"#N/A")</f>
        <v>#N/A</v>
      </c>
      <c r="H24549" s="4" t="str">
        <v/>
      </c>
      <c r="I24549" s="4" t="str">
        <v/>
      </c>
    </row>
    <row r="24550" spans="5:9" ht="16.5" hidden="1">
      <c r="E24550" s="4" t="str">
        <v/>
      </c>
      <c r="F24550" s="102" t="str">
        <f ca="1">IFERROR(__xludf.DUMMYFUNCTION("IMPORTRANGE(H24550,""IDENTITAS UNIT!D9"")"),"#N/A")</f>
        <v>#N/A</v>
      </c>
      <c r="H24550" s="4" t="str">
        <v/>
      </c>
      <c r="I24550" s="4" t="str">
        <v/>
      </c>
    </row>
    <row r="24551" spans="5:9" ht="16.5" hidden="1">
      <c r="E24551" s="4" t="str">
        <v/>
      </c>
      <c r="F24551" s="102" t="str">
        <f ca="1">IFERROR(__xludf.DUMMYFUNCTION("IMPORTRANGE(H24551,""IDENTITAS UNIT!D9"")"),"#N/A")</f>
        <v>#N/A</v>
      </c>
      <c r="H24551" s="4" t="str">
        <v/>
      </c>
      <c r="I24551" s="4" t="str">
        <v/>
      </c>
    </row>
    <row r="24552" spans="5:9" ht="16.5" hidden="1">
      <c r="E24552" s="4" t="str">
        <v/>
      </c>
      <c r="F24552" s="102" t="str">
        <f ca="1">IFERROR(__xludf.DUMMYFUNCTION("IMPORTRANGE(H24552,""IDENTITAS UNIT!D9"")"),"#N/A")</f>
        <v>#N/A</v>
      </c>
      <c r="H24552" s="4" t="str">
        <v/>
      </c>
      <c r="I24552" s="4" t="str">
        <v/>
      </c>
    </row>
    <row r="24553" spans="5:9" ht="16.5" hidden="1">
      <c r="E24553" s="4" t="str">
        <v/>
      </c>
      <c r="F24553" s="102" t="str">
        <f ca="1">IFERROR(__xludf.DUMMYFUNCTION("IMPORTRANGE(H24553,""IDENTITAS UNIT!D9"")"),"#N/A")</f>
        <v>#N/A</v>
      </c>
      <c r="H24553" s="4" t="str">
        <v/>
      </c>
      <c r="I24553" s="4" t="str">
        <v/>
      </c>
    </row>
    <row r="24554" spans="5:9" ht="16.5" hidden="1">
      <c r="E24554" s="4" t="str">
        <v/>
      </c>
      <c r="F24554" s="102" t="str">
        <f ca="1">IFERROR(__xludf.DUMMYFUNCTION("IMPORTRANGE(H24554,""IDENTITAS UNIT!D9"")"),"#N/A")</f>
        <v>#N/A</v>
      </c>
      <c r="H24554" s="4" t="str">
        <v/>
      </c>
      <c r="I24554" s="4" t="str">
        <v/>
      </c>
    </row>
    <row r="24555" spans="5:9" ht="16.5" hidden="1">
      <c r="E24555" s="4" t="str">
        <v/>
      </c>
      <c r="F24555" s="102" t="str">
        <f ca="1">IFERROR(__xludf.DUMMYFUNCTION("IMPORTRANGE(H24555,""IDENTITAS UNIT!D9"")"),"#N/A")</f>
        <v>#N/A</v>
      </c>
      <c r="H24555" s="4" t="str">
        <v/>
      </c>
      <c r="I24555" s="4" t="str">
        <v/>
      </c>
    </row>
    <row r="24556" spans="5:9" ht="16.5" hidden="1">
      <c r="E24556" s="4" t="str">
        <v/>
      </c>
      <c r="F24556" s="102" t="str">
        <f ca="1">IFERROR(__xludf.DUMMYFUNCTION("IMPORTRANGE(H24556,""IDENTITAS UNIT!D9"")"),"#N/A")</f>
        <v>#N/A</v>
      </c>
      <c r="H24556" s="4" t="str">
        <v/>
      </c>
      <c r="I24556" s="4" t="str">
        <v/>
      </c>
    </row>
    <row r="24557" spans="5:9" ht="16.5" hidden="1">
      <c r="E24557" s="4" t="str">
        <v/>
      </c>
      <c r="F24557" s="102" t="str">
        <f ca="1">IFERROR(__xludf.DUMMYFUNCTION("IMPORTRANGE(H24557,""IDENTITAS UNIT!D9"")"),"#N/A")</f>
        <v>#N/A</v>
      </c>
      <c r="H24557" s="4" t="str">
        <v/>
      </c>
      <c r="I24557" s="4" t="str">
        <v/>
      </c>
    </row>
    <row r="24558" spans="5:9" ht="16.5" hidden="1">
      <c r="E24558" s="4" t="str">
        <v/>
      </c>
      <c r="F24558" s="102" t="str">
        <f ca="1">IFERROR(__xludf.DUMMYFUNCTION("IMPORTRANGE(H24558,""IDENTITAS UNIT!D9"")"),"#N/A")</f>
        <v>#N/A</v>
      </c>
      <c r="H24558" s="4" t="str">
        <v/>
      </c>
      <c r="I24558" s="4" t="str">
        <v/>
      </c>
    </row>
    <row r="24559" spans="5:9" ht="16.5" hidden="1">
      <c r="E24559" s="4" t="str">
        <v/>
      </c>
      <c r="F24559" s="102" t="str">
        <f ca="1">IFERROR(__xludf.DUMMYFUNCTION("IMPORTRANGE(H24559,""IDENTITAS UNIT!D9"")"),"#N/A")</f>
        <v>#N/A</v>
      </c>
      <c r="H24559" s="4" t="str">
        <v/>
      </c>
      <c r="I24559" s="4" t="str">
        <v/>
      </c>
    </row>
    <row r="24560" spans="5:9" ht="16.5" hidden="1">
      <c r="E24560" s="4" t="str">
        <v/>
      </c>
      <c r="F24560" s="102" t="str">
        <f ca="1">IFERROR(__xludf.DUMMYFUNCTION("IMPORTRANGE(H24560,""IDENTITAS UNIT!D9"")"),"#N/A")</f>
        <v>#N/A</v>
      </c>
      <c r="H24560" s="4" t="str">
        <v/>
      </c>
      <c r="I24560" s="4" t="str">
        <v/>
      </c>
    </row>
    <row r="24561" spans="5:9" ht="16.5" hidden="1">
      <c r="E24561" s="4" t="str">
        <v/>
      </c>
      <c r="F24561" s="102" t="str">
        <f ca="1">IFERROR(__xludf.DUMMYFUNCTION("IMPORTRANGE(H24561,""IDENTITAS UNIT!D9"")"),"#N/A")</f>
        <v>#N/A</v>
      </c>
      <c r="H24561" s="4" t="str">
        <v/>
      </c>
      <c r="I24561" s="4" t="str">
        <v/>
      </c>
    </row>
    <row r="24562" spans="5:9" ht="16.5" hidden="1">
      <c r="E24562" s="4" t="str">
        <v/>
      </c>
      <c r="F24562" s="102" t="str">
        <f ca="1">IFERROR(__xludf.DUMMYFUNCTION("IMPORTRANGE(H24562,""IDENTITAS UNIT!D9"")"),"#N/A")</f>
        <v>#N/A</v>
      </c>
      <c r="H24562" s="4" t="str">
        <v/>
      </c>
      <c r="I24562" s="4" t="str">
        <v/>
      </c>
    </row>
    <row r="24563" spans="5:9" ht="16.5" hidden="1">
      <c r="E24563" s="4" t="str">
        <v/>
      </c>
      <c r="F24563" s="102" t="str">
        <f ca="1">IFERROR(__xludf.DUMMYFUNCTION("IMPORTRANGE(H24563,""IDENTITAS UNIT!D9"")"),"#N/A")</f>
        <v>#N/A</v>
      </c>
      <c r="H24563" s="4" t="str">
        <v/>
      </c>
      <c r="I24563" s="4" t="str">
        <v/>
      </c>
    </row>
    <row r="24564" spans="5:9" ht="16.5" hidden="1">
      <c r="E24564" s="4" t="str">
        <v/>
      </c>
      <c r="F24564" s="102" t="str">
        <f ca="1">IFERROR(__xludf.DUMMYFUNCTION("IMPORTRANGE(H24564,""IDENTITAS UNIT!D9"")"),"#N/A")</f>
        <v>#N/A</v>
      </c>
      <c r="H24564" s="4" t="str">
        <v/>
      </c>
      <c r="I24564" s="4" t="str">
        <v/>
      </c>
    </row>
    <row r="24565" spans="5:9" ht="16.5" hidden="1">
      <c r="E24565" s="4" t="str">
        <v/>
      </c>
      <c r="F24565" s="102" t="str">
        <f ca="1">IFERROR(__xludf.DUMMYFUNCTION("IMPORTRANGE(H24565,""IDENTITAS UNIT!D9"")"),"#N/A")</f>
        <v>#N/A</v>
      </c>
      <c r="H24565" s="4" t="str">
        <v/>
      </c>
      <c r="I24565" s="4" t="str">
        <v/>
      </c>
    </row>
    <row r="24566" spans="5:9" ht="16.5" hidden="1">
      <c r="E24566" s="4" t="str">
        <v/>
      </c>
      <c r="F24566" s="102" t="str">
        <f ca="1">IFERROR(__xludf.DUMMYFUNCTION("IMPORTRANGE(H24566,""IDENTITAS UNIT!D9"")"),"#N/A")</f>
        <v>#N/A</v>
      </c>
      <c r="H24566" s="4" t="str">
        <v/>
      </c>
      <c r="I24566" s="4" t="str">
        <v/>
      </c>
    </row>
    <row r="24567" spans="5:9" ht="16.5" hidden="1">
      <c r="E24567" s="4" t="str">
        <v/>
      </c>
      <c r="F24567" s="102" t="str">
        <f ca="1">IFERROR(__xludf.DUMMYFUNCTION("IMPORTRANGE(H24567,""IDENTITAS UNIT!D9"")"),"#N/A")</f>
        <v>#N/A</v>
      </c>
      <c r="H24567" s="4" t="str">
        <v/>
      </c>
      <c r="I24567" s="4" t="str">
        <v/>
      </c>
    </row>
    <row r="24568" spans="5:9" ht="16.5" hidden="1">
      <c r="E24568" s="4" t="str">
        <v/>
      </c>
      <c r="F24568" s="102" t="str">
        <f ca="1">IFERROR(__xludf.DUMMYFUNCTION("IMPORTRANGE(H24568,""IDENTITAS UNIT!D9"")"),"#N/A")</f>
        <v>#N/A</v>
      </c>
      <c r="H24568" s="4" t="str">
        <v/>
      </c>
      <c r="I24568" s="4" t="str">
        <v/>
      </c>
    </row>
    <row r="24569" spans="5:9" ht="16.5" hidden="1">
      <c r="E24569" s="4" t="str">
        <v/>
      </c>
      <c r="F24569" s="102" t="str">
        <f ca="1">IFERROR(__xludf.DUMMYFUNCTION("IMPORTRANGE(H24569,""IDENTITAS UNIT!D9"")"),"#N/A")</f>
        <v>#N/A</v>
      </c>
      <c r="H24569" s="4" t="str">
        <v/>
      </c>
      <c r="I24569" s="4" t="str">
        <v/>
      </c>
    </row>
    <row r="24570" spans="5:9" ht="16.5" hidden="1">
      <c r="E24570" s="4" t="str">
        <v/>
      </c>
      <c r="F24570" s="102" t="str">
        <f ca="1">IFERROR(__xludf.DUMMYFUNCTION("IMPORTRANGE(H24570,""IDENTITAS UNIT!D9"")"),"#N/A")</f>
        <v>#N/A</v>
      </c>
      <c r="H24570" s="4" t="str">
        <v/>
      </c>
      <c r="I24570" s="4" t="str">
        <v/>
      </c>
    </row>
    <row r="24571" spans="5:9" ht="16.5" hidden="1">
      <c r="E24571" s="4" t="str">
        <v/>
      </c>
      <c r="F24571" s="102" t="str">
        <f ca="1">IFERROR(__xludf.DUMMYFUNCTION("IMPORTRANGE(H24571,""IDENTITAS UNIT!D9"")"),"#N/A")</f>
        <v>#N/A</v>
      </c>
      <c r="H24571" s="4" t="str">
        <v/>
      </c>
      <c r="I24571" s="4" t="str">
        <v/>
      </c>
    </row>
    <row r="24572" spans="5:9" ht="16.5" hidden="1">
      <c r="E24572" s="4" t="str">
        <v/>
      </c>
      <c r="F24572" s="102" t="str">
        <f ca="1">IFERROR(__xludf.DUMMYFUNCTION("IMPORTRANGE(H24572,""IDENTITAS UNIT!D9"")"),"#N/A")</f>
        <v>#N/A</v>
      </c>
      <c r="H24572" s="4" t="str">
        <v/>
      </c>
      <c r="I24572" s="4" t="str">
        <v/>
      </c>
    </row>
    <row r="24573" spans="5:9" ht="16.5" hidden="1">
      <c r="E24573" s="4" t="str">
        <v/>
      </c>
      <c r="F24573" s="102" t="str">
        <f ca="1">IFERROR(__xludf.DUMMYFUNCTION("IMPORTRANGE(H24573,""IDENTITAS UNIT!D9"")"),"#N/A")</f>
        <v>#N/A</v>
      </c>
      <c r="H24573" s="4" t="str">
        <v/>
      </c>
      <c r="I24573" s="4" t="str">
        <v/>
      </c>
    </row>
    <row r="24574" spans="5:9" ht="16.5" hidden="1">
      <c r="E24574" s="4" t="str">
        <v/>
      </c>
      <c r="F24574" s="102" t="str">
        <f ca="1">IFERROR(__xludf.DUMMYFUNCTION("IMPORTRANGE(H24574,""IDENTITAS UNIT!D9"")"),"#N/A")</f>
        <v>#N/A</v>
      </c>
      <c r="H24574" s="4" t="str">
        <v/>
      </c>
      <c r="I24574" s="4" t="str">
        <v/>
      </c>
    </row>
    <row r="24575" spans="5:9" ht="16.5" hidden="1">
      <c r="E24575" s="4" t="str">
        <v/>
      </c>
      <c r="F24575" s="102" t="str">
        <f ca="1">IFERROR(__xludf.DUMMYFUNCTION("IMPORTRANGE(H24575,""IDENTITAS UNIT!D9"")"),"#N/A")</f>
        <v>#N/A</v>
      </c>
      <c r="H24575" s="4" t="str">
        <v/>
      </c>
      <c r="I24575" s="4" t="str">
        <v/>
      </c>
    </row>
    <row r="24576" spans="5:9" ht="16.5" hidden="1">
      <c r="E24576" s="4" t="str">
        <v/>
      </c>
      <c r="F24576" s="102" t="str">
        <f ca="1">IFERROR(__xludf.DUMMYFUNCTION("IMPORTRANGE(H24576,""IDENTITAS UNIT!D9"")"),"#N/A")</f>
        <v>#N/A</v>
      </c>
      <c r="H24576" s="4" t="str">
        <v/>
      </c>
      <c r="I24576" s="4" t="str">
        <v/>
      </c>
    </row>
    <row r="24577" spans="5:9" ht="16.5" hidden="1">
      <c r="E24577" s="4" t="str">
        <v/>
      </c>
      <c r="F24577" s="102" t="str">
        <f ca="1">IFERROR(__xludf.DUMMYFUNCTION("IMPORTRANGE(H24577,""IDENTITAS UNIT!D9"")"),"#N/A")</f>
        <v>#N/A</v>
      </c>
      <c r="H24577" s="4" t="str">
        <v/>
      </c>
      <c r="I24577" s="4" t="str">
        <v/>
      </c>
    </row>
    <row r="24578" spans="5:9" ht="16.5" hidden="1">
      <c r="E24578" s="4" t="str">
        <v/>
      </c>
      <c r="F24578" s="102" t="str">
        <f ca="1">IFERROR(__xludf.DUMMYFUNCTION("IMPORTRANGE(H24578,""IDENTITAS UNIT!D9"")"),"#N/A")</f>
        <v>#N/A</v>
      </c>
      <c r="H24578" s="4" t="str">
        <v/>
      </c>
      <c r="I24578" s="4" t="str">
        <v/>
      </c>
    </row>
    <row r="24579" spans="5:9" ht="16.5" hidden="1">
      <c r="E24579" s="4" t="str">
        <v/>
      </c>
      <c r="F24579" s="102" t="str">
        <f ca="1">IFERROR(__xludf.DUMMYFUNCTION("IMPORTRANGE(H24579,""IDENTITAS UNIT!D9"")"),"#N/A")</f>
        <v>#N/A</v>
      </c>
      <c r="H24579" s="4" t="str">
        <v/>
      </c>
      <c r="I24579" s="4" t="str">
        <v/>
      </c>
    </row>
    <row r="24580" spans="5:9" ht="16.5" hidden="1">
      <c r="E24580" s="4" t="str">
        <v/>
      </c>
      <c r="F24580" s="102" t="str">
        <f ca="1">IFERROR(__xludf.DUMMYFUNCTION("IMPORTRANGE(H24580,""IDENTITAS UNIT!D9"")"),"#N/A")</f>
        <v>#N/A</v>
      </c>
      <c r="H24580" s="4" t="str">
        <v/>
      </c>
      <c r="I24580" s="4" t="str">
        <v/>
      </c>
    </row>
    <row r="24581" spans="5:9" ht="16.5" hidden="1">
      <c r="E24581" s="4" t="str">
        <v/>
      </c>
      <c r="F24581" s="102" t="str">
        <f ca="1">IFERROR(__xludf.DUMMYFUNCTION("IMPORTRANGE(H24581,""IDENTITAS UNIT!D9"")"),"#N/A")</f>
        <v>#N/A</v>
      </c>
      <c r="H24581" s="4" t="str">
        <v/>
      </c>
      <c r="I24581" s="4" t="str">
        <v/>
      </c>
    </row>
    <row r="24582" spans="5:9" ht="16.5" hidden="1">
      <c r="E24582" s="4" t="str">
        <v/>
      </c>
      <c r="F24582" s="102" t="str">
        <f ca="1">IFERROR(__xludf.DUMMYFUNCTION("IMPORTRANGE(H24582,""IDENTITAS UNIT!D9"")"),"#N/A")</f>
        <v>#N/A</v>
      </c>
      <c r="H24582" s="4" t="str">
        <v/>
      </c>
      <c r="I24582" s="4" t="str">
        <v/>
      </c>
    </row>
    <row r="24583" spans="5:9" ht="16.5" hidden="1">
      <c r="E24583" s="4" t="str">
        <v/>
      </c>
      <c r="F24583" s="102" t="str">
        <f ca="1">IFERROR(__xludf.DUMMYFUNCTION("IMPORTRANGE(H24583,""IDENTITAS UNIT!D9"")"),"#N/A")</f>
        <v>#N/A</v>
      </c>
      <c r="H24583" s="4" t="str">
        <v/>
      </c>
      <c r="I24583" s="4" t="str">
        <v/>
      </c>
    </row>
    <row r="24584" spans="5:9" ht="16.5" hidden="1">
      <c r="E24584" s="4" t="str">
        <v/>
      </c>
      <c r="F24584" s="102" t="str">
        <f ca="1">IFERROR(__xludf.DUMMYFUNCTION("IMPORTRANGE(H24584,""IDENTITAS UNIT!D9"")"),"#N/A")</f>
        <v>#N/A</v>
      </c>
      <c r="H24584" s="4" t="str">
        <v/>
      </c>
      <c r="I24584" s="4" t="str">
        <v/>
      </c>
    </row>
    <row r="24585" spans="5:9" ht="16.5" hidden="1">
      <c r="E24585" s="4" t="str">
        <v/>
      </c>
      <c r="F24585" s="102" t="str">
        <f ca="1">IFERROR(__xludf.DUMMYFUNCTION("IMPORTRANGE(H24585,""IDENTITAS UNIT!D9"")"),"#N/A")</f>
        <v>#N/A</v>
      </c>
      <c r="H24585" s="4" t="str">
        <v/>
      </c>
      <c r="I24585" s="4" t="str">
        <v/>
      </c>
    </row>
    <row r="24586" spans="5:9" ht="16.5" hidden="1">
      <c r="E24586" s="4" t="str">
        <v/>
      </c>
      <c r="F24586" s="102" t="str">
        <f ca="1">IFERROR(__xludf.DUMMYFUNCTION("IMPORTRANGE(H24586,""IDENTITAS UNIT!D9"")"),"#N/A")</f>
        <v>#N/A</v>
      </c>
      <c r="H24586" s="4" t="str">
        <v/>
      </c>
      <c r="I24586" s="4" t="str">
        <v/>
      </c>
    </row>
    <row r="24587" spans="5:9" ht="16.5" hidden="1">
      <c r="E24587" s="4" t="str">
        <v/>
      </c>
      <c r="F24587" s="102" t="str">
        <f ca="1">IFERROR(__xludf.DUMMYFUNCTION("IMPORTRANGE(H24587,""IDENTITAS UNIT!D9"")"),"#N/A")</f>
        <v>#N/A</v>
      </c>
      <c r="H24587" s="4" t="str">
        <v/>
      </c>
      <c r="I24587" s="4" t="str">
        <v/>
      </c>
    </row>
    <row r="24588" spans="5:9" ht="16.5" hidden="1">
      <c r="E24588" s="4" t="str">
        <v/>
      </c>
      <c r="F24588" s="102" t="str">
        <f ca="1">IFERROR(__xludf.DUMMYFUNCTION("IMPORTRANGE(H24588,""IDENTITAS UNIT!D9"")"),"#N/A")</f>
        <v>#N/A</v>
      </c>
      <c r="H24588" s="4" t="str">
        <v/>
      </c>
      <c r="I24588" s="4" t="str">
        <v/>
      </c>
    </row>
    <row r="24589" spans="5:9" ht="16.5" hidden="1">
      <c r="E24589" s="4" t="str">
        <v/>
      </c>
      <c r="F24589" s="102" t="str">
        <f ca="1">IFERROR(__xludf.DUMMYFUNCTION("IMPORTRANGE(H24589,""IDENTITAS UNIT!D9"")"),"#N/A")</f>
        <v>#N/A</v>
      </c>
      <c r="H24589" s="4" t="str">
        <v/>
      </c>
      <c r="I24589" s="4" t="str">
        <v/>
      </c>
    </row>
    <row r="24590" spans="5:9" ht="16.5" hidden="1">
      <c r="E24590" s="4" t="str">
        <v/>
      </c>
      <c r="F24590" s="102" t="str">
        <f ca="1">IFERROR(__xludf.DUMMYFUNCTION("IMPORTRANGE(H24590,""IDENTITAS UNIT!D9"")"),"#N/A")</f>
        <v>#N/A</v>
      </c>
      <c r="H24590" s="4" t="str">
        <v/>
      </c>
      <c r="I24590" s="4" t="str">
        <v/>
      </c>
    </row>
    <row r="24591" spans="5:9" ht="16.5" hidden="1">
      <c r="E24591" s="4" t="str">
        <v/>
      </c>
      <c r="F24591" s="102" t="str">
        <f ca="1">IFERROR(__xludf.DUMMYFUNCTION("IMPORTRANGE(H24591,""IDENTITAS UNIT!D9"")"),"#N/A")</f>
        <v>#N/A</v>
      </c>
      <c r="H24591" s="4" t="str">
        <v/>
      </c>
      <c r="I24591" s="4" t="str">
        <v/>
      </c>
    </row>
    <row r="24592" spans="5:9" ht="16.5" hidden="1">
      <c r="E24592" s="4" t="str">
        <v/>
      </c>
      <c r="F24592" s="102" t="str">
        <f ca="1">IFERROR(__xludf.DUMMYFUNCTION("IMPORTRANGE(H24592,""IDENTITAS UNIT!D9"")"),"#N/A")</f>
        <v>#N/A</v>
      </c>
      <c r="H24592" s="4" t="str">
        <v/>
      </c>
      <c r="I24592" s="4" t="str">
        <v/>
      </c>
    </row>
    <row r="24593" spans="5:9" ht="16.5" hidden="1">
      <c r="E24593" s="4" t="str">
        <v/>
      </c>
      <c r="F24593" s="102" t="str">
        <f ca="1">IFERROR(__xludf.DUMMYFUNCTION("IMPORTRANGE(H24593,""IDENTITAS UNIT!D9"")"),"#N/A")</f>
        <v>#N/A</v>
      </c>
      <c r="H24593" s="4" t="str">
        <v/>
      </c>
      <c r="I24593" s="4" t="str">
        <v/>
      </c>
    </row>
    <row r="24594" spans="5:9" ht="16.5" hidden="1">
      <c r="E24594" s="4" t="str">
        <v/>
      </c>
      <c r="F24594" s="102" t="str">
        <f ca="1">IFERROR(__xludf.DUMMYFUNCTION("IMPORTRANGE(H24594,""IDENTITAS UNIT!D9"")"),"#N/A")</f>
        <v>#N/A</v>
      </c>
      <c r="H24594" s="4" t="str">
        <v/>
      </c>
      <c r="I24594" s="4" t="str">
        <v/>
      </c>
    </row>
    <row r="24595" spans="5:9" ht="16.5" hidden="1">
      <c r="E24595" s="4" t="str">
        <v/>
      </c>
      <c r="F24595" s="102" t="str">
        <f ca="1">IFERROR(__xludf.DUMMYFUNCTION("IMPORTRANGE(H24595,""IDENTITAS UNIT!D9"")"),"#N/A")</f>
        <v>#N/A</v>
      </c>
      <c r="H24595" s="4" t="str">
        <v/>
      </c>
      <c r="I24595" s="4" t="str">
        <v/>
      </c>
    </row>
    <row r="24596" spans="5:9" ht="16.5" hidden="1">
      <c r="E24596" s="4" t="str">
        <v/>
      </c>
      <c r="F24596" s="102" t="str">
        <f ca="1">IFERROR(__xludf.DUMMYFUNCTION("IMPORTRANGE(H24596,""IDENTITAS UNIT!D9"")"),"#N/A")</f>
        <v>#N/A</v>
      </c>
      <c r="H24596" s="4" t="str">
        <v/>
      </c>
      <c r="I24596" s="4" t="str">
        <v/>
      </c>
    </row>
    <row r="24597" spans="5:9" ht="16.5" hidden="1">
      <c r="E24597" s="4" t="str">
        <v/>
      </c>
      <c r="F24597" s="102" t="str">
        <f ca="1">IFERROR(__xludf.DUMMYFUNCTION("IMPORTRANGE(H24597,""IDENTITAS UNIT!D9"")"),"#N/A")</f>
        <v>#N/A</v>
      </c>
      <c r="H24597" s="4" t="str">
        <v/>
      </c>
      <c r="I24597" s="4" t="str">
        <v/>
      </c>
    </row>
    <row r="24598" spans="5:9" ht="16.5" hidden="1">
      <c r="E24598" s="4" t="str">
        <v/>
      </c>
      <c r="F24598" s="102" t="str">
        <f ca="1">IFERROR(__xludf.DUMMYFUNCTION("IMPORTRANGE(H24598,""IDENTITAS UNIT!D9"")"),"#N/A")</f>
        <v>#N/A</v>
      </c>
      <c r="H24598" s="4" t="str">
        <v/>
      </c>
      <c r="I24598" s="4" t="str">
        <v/>
      </c>
    </row>
    <row r="24599" spans="5:9" ht="16.5" hidden="1">
      <c r="E24599" s="4" t="str">
        <v/>
      </c>
      <c r="F24599" s="102" t="str">
        <f ca="1">IFERROR(__xludf.DUMMYFUNCTION("IMPORTRANGE(H24599,""IDENTITAS UNIT!D9"")"),"#N/A")</f>
        <v>#N/A</v>
      </c>
      <c r="H24599" s="4" t="str">
        <v/>
      </c>
      <c r="I24599" s="4" t="str">
        <v/>
      </c>
    </row>
    <row r="24600" spans="5:9" ht="16.5" hidden="1">
      <c r="E24600" s="4" t="str">
        <v/>
      </c>
      <c r="F24600" s="102" t="str">
        <f ca="1">IFERROR(__xludf.DUMMYFUNCTION("IMPORTRANGE(H24600,""IDENTITAS UNIT!D9"")"),"#N/A")</f>
        <v>#N/A</v>
      </c>
      <c r="H24600" s="4" t="str">
        <v/>
      </c>
      <c r="I24600" s="4" t="str">
        <v/>
      </c>
    </row>
    <row r="24601" spans="5:9" ht="16.5" hidden="1">
      <c r="E24601" s="4" t="str">
        <v/>
      </c>
      <c r="F24601" s="102" t="str">
        <f ca="1">IFERROR(__xludf.DUMMYFUNCTION("IMPORTRANGE(H24601,""IDENTITAS UNIT!D9"")"),"#N/A")</f>
        <v>#N/A</v>
      </c>
      <c r="H24601" s="4" t="str">
        <v/>
      </c>
      <c r="I24601" s="4" t="str">
        <v/>
      </c>
    </row>
    <row r="24602" spans="5:9" ht="16.5" hidden="1">
      <c r="E24602" s="4" t="str">
        <v/>
      </c>
      <c r="F24602" s="102" t="str">
        <f ca="1">IFERROR(__xludf.DUMMYFUNCTION("IMPORTRANGE(H24602,""IDENTITAS UNIT!D9"")"),"#N/A")</f>
        <v>#N/A</v>
      </c>
      <c r="H24602" s="4" t="str">
        <v/>
      </c>
      <c r="I24602" s="4" t="str">
        <v/>
      </c>
    </row>
    <row r="24603" spans="5:9" ht="16.5" hidden="1">
      <c r="E24603" s="4" t="str">
        <v/>
      </c>
      <c r="F24603" s="102" t="str">
        <f ca="1">IFERROR(__xludf.DUMMYFUNCTION("IMPORTRANGE(H24603,""IDENTITAS UNIT!D9"")"),"#N/A")</f>
        <v>#N/A</v>
      </c>
      <c r="H24603" s="4" t="str">
        <v/>
      </c>
      <c r="I24603" s="4" t="str">
        <v/>
      </c>
    </row>
    <row r="24604" spans="5:9" ht="16.5" hidden="1">
      <c r="E24604" s="4" t="str">
        <v/>
      </c>
      <c r="F24604" s="102" t="str">
        <f ca="1">IFERROR(__xludf.DUMMYFUNCTION("IMPORTRANGE(H24604,""IDENTITAS UNIT!D9"")"),"#N/A")</f>
        <v>#N/A</v>
      </c>
      <c r="H24604" s="4" t="str">
        <v/>
      </c>
      <c r="I24604" s="4" t="str">
        <v/>
      </c>
    </row>
    <row r="24605" spans="5:9" ht="16.5" hidden="1">
      <c r="E24605" s="4" t="str">
        <v/>
      </c>
      <c r="F24605" s="102" t="str">
        <f ca="1">IFERROR(__xludf.DUMMYFUNCTION("IMPORTRANGE(H24605,""IDENTITAS UNIT!D9"")"),"#N/A")</f>
        <v>#N/A</v>
      </c>
      <c r="H24605" s="4" t="str">
        <v/>
      </c>
      <c r="I24605" s="4" t="str">
        <v/>
      </c>
    </row>
    <row r="24606" spans="5:9" ht="16.5" hidden="1">
      <c r="E24606" s="4" t="str">
        <v/>
      </c>
      <c r="F24606" s="102" t="str">
        <f ca="1">IFERROR(__xludf.DUMMYFUNCTION("IMPORTRANGE(H24606,""IDENTITAS UNIT!D9"")"),"#N/A")</f>
        <v>#N/A</v>
      </c>
      <c r="H24606" s="4" t="str">
        <v/>
      </c>
      <c r="I24606" s="4" t="str">
        <v/>
      </c>
    </row>
    <row r="24607" spans="5:9" ht="16.5" hidden="1">
      <c r="E24607" s="4" t="str">
        <v/>
      </c>
      <c r="F24607" s="102" t="str">
        <f ca="1">IFERROR(__xludf.DUMMYFUNCTION("IMPORTRANGE(H24607,""IDENTITAS UNIT!D9"")"),"#N/A")</f>
        <v>#N/A</v>
      </c>
      <c r="H24607" s="4" t="str">
        <v/>
      </c>
      <c r="I24607" s="4" t="str">
        <v/>
      </c>
    </row>
    <row r="24608" spans="5:9" ht="16.5" hidden="1">
      <c r="E24608" s="4" t="str">
        <v/>
      </c>
      <c r="F24608" s="102" t="str">
        <f ca="1">IFERROR(__xludf.DUMMYFUNCTION("IMPORTRANGE(H24608,""IDENTITAS UNIT!D9"")"),"#N/A")</f>
        <v>#N/A</v>
      </c>
      <c r="H24608" s="4" t="str">
        <v/>
      </c>
      <c r="I24608" s="4" t="str">
        <v/>
      </c>
    </row>
    <row r="24609" spans="5:9" ht="16.5" hidden="1">
      <c r="E24609" s="4" t="str">
        <v/>
      </c>
      <c r="F24609" s="102" t="str">
        <f ca="1">IFERROR(__xludf.DUMMYFUNCTION("IMPORTRANGE(H24609,""IDENTITAS UNIT!D9"")"),"#N/A")</f>
        <v>#N/A</v>
      </c>
      <c r="H24609" s="4" t="str">
        <v/>
      </c>
      <c r="I24609" s="4" t="str">
        <v/>
      </c>
    </row>
    <row r="24610" spans="5:9" ht="16.5" hidden="1">
      <c r="E24610" s="4" t="str">
        <v/>
      </c>
      <c r="F24610" s="102" t="str">
        <f ca="1">IFERROR(__xludf.DUMMYFUNCTION("IMPORTRANGE(H24610,""IDENTITAS UNIT!D9"")"),"#N/A")</f>
        <v>#N/A</v>
      </c>
      <c r="H24610" s="4" t="str">
        <v/>
      </c>
      <c r="I24610" s="4" t="str">
        <v/>
      </c>
    </row>
    <row r="24611" spans="5:9" ht="16.5" hidden="1">
      <c r="E24611" s="4" t="str">
        <v/>
      </c>
      <c r="F24611" s="102" t="str">
        <f ca="1">IFERROR(__xludf.DUMMYFUNCTION("IMPORTRANGE(H24611,""IDENTITAS UNIT!D9"")"),"#N/A")</f>
        <v>#N/A</v>
      </c>
      <c r="H24611" s="4" t="str">
        <v/>
      </c>
      <c r="I24611" s="4" t="str">
        <v/>
      </c>
    </row>
    <row r="24612" spans="5:9" ht="16.5" hidden="1">
      <c r="E24612" s="4" t="str">
        <v/>
      </c>
      <c r="F24612" s="102" t="str">
        <f ca="1">IFERROR(__xludf.DUMMYFUNCTION("IMPORTRANGE(H24612,""IDENTITAS UNIT!D9"")"),"#N/A")</f>
        <v>#N/A</v>
      </c>
      <c r="H24612" s="4" t="str">
        <v/>
      </c>
      <c r="I24612" s="4" t="str">
        <v/>
      </c>
    </row>
    <row r="24613" spans="5:9" ht="16.5" hidden="1">
      <c r="E24613" s="4" t="str">
        <v/>
      </c>
      <c r="F24613" s="102" t="str">
        <f ca="1">IFERROR(__xludf.DUMMYFUNCTION("IMPORTRANGE(H24613,""IDENTITAS UNIT!D9"")"),"#N/A")</f>
        <v>#N/A</v>
      </c>
      <c r="H24613" s="4" t="str">
        <v/>
      </c>
      <c r="I24613" s="4" t="str">
        <v/>
      </c>
    </row>
    <row r="24614" spans="5:9" ht="16.5" hidden="1">
      <c r="E24614" s="4" t="str">
        <v/>
      </c>
      <c r="F24614" s="102" t="str">
        <f ca="1">IFERROR(__xludf.DUMMYFUNCTION("IMPORTRANGE(H24614,""IDENTITAS UNIT!D9"")"),"#N/A")</f>
        <v>#N/A</v>
      </c>
      <c r="H24614" s="4" t="str">
        <v/>
      </c>
      <c r="I24614" s="4" t="str">
        <v/>
      </c>
    </row>
    <row r="24615" spans="5:9" ht="16.5" hidden="1">
      <c r="E24615" s="4" t="str">
        <v/>
      </c>
      <c r="F24615" s="102" t="str">
        <f ca="1">IFERROR(__xludf.DUMMYFUNCTION("IMPORTRANGE(H24615,""IDENTITAS UNIT!D9"")"),"#N/A")</f>
        <v>#N/A</v>
      </c>
      <c r="H24615" s="4" t="str">
        <v/>
      </c>
      <c r="I24615" s="4" t="str">
        <v/>
      </c>
    </row>
    <row r="24616" spans="5:9" ht="16.5" hidden="1">
      <c r="E24616" s="4" t="str">
        <v/>
      </c>
      <c r="F24616" s="102" t="str">
        <f ca="1">IFERROR(__xludf.DUMMYFUNCTION("IMPORTRANGE(H24616,""IDENTITAS UNIT!D9"")"),"#N/A")</f>
        <v>#N/A</v>
      </c>
      <c r="H24616" s="4" t="str">
        <v/>
      </c>
      <c r="I24616" s="4" t="str">
        <v/>
      </c>
    </row>
    <row r="24617" spans="5:9" ht="16.5" hidden="1">
      <c r="E24617" s="4" t="str">
        <v/>
      </c>
      <c r="F24617" s="102" t="str">
        <f ca="1">IFERROR(__xludf.DUMMYFUNCTION("IMPORTRANGE(H24617,""IDENTITAS UNIT!D9"")"),"#N/A")</f>
        <v>#N/A</v>
      </c>
      <c r="H24617" s="4" t="str">
        <v/>
      </c>
      <c r="I24617" s="4" t="str">
        <v/>
      </c>
    </row>
    <row r="24618" spans="5:9" ht="16.5" hidden="1">
      <c r="E24618" s="4" t="str">
        <v/>
      </c>
      <c r="F24618" s="102" t="str">
        <f ca="1">IFERROR(__xludf.DUMMYFUNCTION("IMPORTRANGE(H24618,""IDENTITAS UNIT!D9"")"),"#N/A")</f>
        <v>#N/A</v>
      </c>
      <c r="H24618" s="4" t="str">
        <v/>
      </c>
      <c r="I24618" s="4" t="str">
        <v/>
      </c>
    </row>
    <row r="24619" spans="5:9" ht="16.5" hidden="1">
      <c r="E24619" s="4" t="str">
        <v/>
      </c>
      <c r="F24619" s="102" t="str">
        <f ca="1">IFERROR(__xludf.DUMMYFUNCTION("IMPORTRANGE(H24619,""IDENTITAS UNIT!D9"")"),"#N/A")</f>
        <v>#N/A</v>
      </c>
      <c r="H24619" s="4" t="str">
        <v/>
      </c>
      <c r="I24619" s="4" t="str">
        <v/>
      </c>
    </row>
    <row r="24620" spans="5:9" ht="16.5" hidden="1">
      <c r="E24620" s="4" t="str">
        <v/>
      </c>
      <c r="F24620" s="102" t="str">
        <f ca="1">IFERROR(__xludf.DUMMYFUNCTION("IMPORTRANGE(H24620,""IDENTITAS UNIT!D9"")"),"#N/A")</f>
        <v>#N/A</v>
      </c>
      <c r="H24620" s="4" t="str">
        <v/>
      </c>
      <c r="I24620" s="4" t="str">
        <v/>
      </c>
    </row>
    <row r="24621" spans="5:9" ht="16.5" hidden="1">
      <c r="E24621" s="4" t="str">
        <v/>
      </c>
      <c r="F24621" s="102" t="str">
        <f ca="1">IFERROR(__xludf.DUMMYFUNCTION("IMPORTRANGE(H24621,""IDENTITAS UNIT!D9"")"),"#N/A")</f>
        <v>#N/A</v>
      </c>
      <c r="H24621" s="4" t="str">
        <v/>
      </c>
      <c r="I24621" s="4" t="str">
        <v/>
      </c>
    </row>
    <row r="24622" spans="5:9" ht="16.5" hidden="1">
      <c r="E24622" s="4" t="str">
        <v/>
      </c>
      <c r="F24622" s="102" t="str">
        <f ca="1">IFERROR(__xludf.DUMMYFUNCTION("IMPORTRANGE(H24622,""IDENTITAS UNIT!D9"")"),"#N/A")</f>
        <v>#N/A</v>
      </c>
      <c r="H24622" s="4" t="str">
        <v/>
      </c>
      <c r="I24622" s="4" t="str">
        <v/>
      </c>
    </row>
    <row r="24623" spans="5:9" ht="16.5" hidden="1">
      <c r="E24623" s="4" t="str">
        <v/>
      </c>
      <c r="F24623" s="102" t="str">
        <f ca="1">IFERROR(__xludf.DUMMYFUNCTION("IMPORTRANGE(H24623,""IDENTITAS UNIT!D9"")"),"#N/A")</f>
        <v>#N/A</v>
      </c>
      <c r="H24623" s="4" t="str">
        <v/>
      </c>
      <c r="I24623" s="4" t="str">
        <v/>
      </c>
    </row>
    <row r="24624" spans="5:9" ht="16.5" hidden="1">
      <c r="E24624" s="4" t="str">
        <v/>
      </c>
      <c r="F24624" s="102" t="str">
        <f ca="1">IFERROR(__xludf.DUMMYFUNCTION("IMPORTRANGE(H24624,""IDENTITAS UNIT!D9"")"),"#N/A")</f>
        <v>#N/A</v>
      </c>
      <c r="H24624" s="4" t="str">
        <v/>
      </c>
      <c r="I24624" s="4" t="str">
        <v/>
      </c>
    </row>
    <row r="24625" spans="5:9" ht="16.5" hidden="1">
      <c r="E24625" s="4" t="str">
        <v/>
      </c>
      <c r="F24625" s="102" t="str">
        <f ca="1">IFERROR(__xludf.DUMMYFUNCTION("IMPORTRANGE(H24625,""IDENTITAS UNIT!D9"")"),"#N/A")</f>
        <v>#N/A</v>
      </c>
      <c r="H24625" s="4" t="str">
        <v/>
      </c>
      <c r="I24625" s="4" t="str">
        <v/>
      </c>
    </row>
    <row r="24626" spans="5:9" ht="16.5" hidden="1">
      <c r="E24626" s="4" t="str">
        <v/>
      </c>
      <c r="F24626" s="102" t="str">
        <f ca="1">IFERROR(__xludf.DUMMYFUNCTION("IMPORTRANGE(H24626,""IDENTITAS UNIT!D9"")"),"#N/A")</f>
        <v>#N/A</v>
      </c>
      <c r="H24626" s="4" t="str">
        <v/>
      </c>
      <c r="I24626" s="4" t="str">
        <v/>
      </c>
    </row>
    <row r="24627" spans="5:9" ht="16.5" hidden="1">
      <c r="E24627" s="4" t="str">
        <v/>
      </c>
      <c r="F24627" s="102" t="str">
        <f ca="1">IFERROR(__xludf.DUMMYFUNCTION("IMPORTRANGE(H24627,""IDENTITAS UNIT!D9"")"),"#N/A")</f>
        <v>#N/A</v>
      </c>
      <c r="H24627" s="4" t="str">
        <v/>
      </c>
      <c r="I24627" s="4" t="str">
        <v/>
      </c>
    </row>
    <row r="24628" spans="5:9" ht="16.5" hidden="1">
      <c r="E24628" s="4" t="str">
        <v/>
      </c>
      <c r="F24628" s="102" t="str">
        <f ca="1">IFERROR(__xludf.DUMMYFUNCTION("IMPORTRANGE(H24628,""IDENTITAS UNIT!D9"")"),"#N/A")</f>
        <v>#N/A</v>
      </c>
      <c r="H24628" s="4" t="str">
        <v/>
      </c>
      <c r="I24628" s="4" t="str">
        <v/>
      </c>
    </row>
    <row r="24629" spans="5:9" ht="16.5" hidden="1">
      <c r="E24629" s="4" t="str">
        <v/>
      </c>
      <c r="F24629" s="102" t="str">
        <f ca="1">IFERROR(__xludf.DUMMYFUNCTION("IMPORTRANGE(H24629,""IDENTITAS UNIT!D9"")"),"#N/A")</f>
        <v>#N/A</v>
      </c>
      <c r="H24629" s="4" t="str">
        <v/>
      </c>
      <c r="I24629" s="4" t="str">
        <v/>
      </c>
    </row>
    <row r="24630" spans="5:9" ht="16.5" hidden="1">
      <c r="E24630" s="4" t="str">
        <v/>
      </c>
      <c r="F24630" s="102" t="str">
        <f ca="1">IFERROR(__xludf.DUMMYFUNCTION("IMPORTRANGE(H24630,""IDENTITAS UNIT!D9"")"),"#N/A")</f>
        <v>#N/A</v>
      </c>
      <c r="H24630" s="4" t="str">
        <v/>
      </c>
      <c r="I24630" s="4" t="str">
        <v/>
      </c>
    </row>
    <row r="24631" spans="5:9" ht="16.5" hidden="1">
      <c r="E24631" s="4" t="str">
        <v/>
      </c>
      <c r="F24631" s="102" t="str">
        <f ca="1">IFERROR(__xludf.DUMMYFUNCTION("IMPORTRANGE(H24631,""IDENTITAS UNIT!D9"")"),"#N/A")</f>
        <v>#N/A</v>
      </c>
      <c r="H24631" s="4" t="str">
        <v/>
      </c>
      <c r="I24631" s="4" t="str">
        <v/>
      </c>
    </row>
    <row r="24632" spans="5:9" ht="16.5" hidden="1">
      <c r="E24632" s="4" t="str">
        <v/>
      </c>
      <c r="F24632" s="102" t="str">
        <f ca="1">IFERROR(__xludf.DUMMYFUNCTION("IMPORTRANGE(H24632,""IDENTITAS UNIT!D9"")"),"#N/A")</f>
        <v>#N/A</v>
      </c>
      <c r="H24632" s="4" t="str">
        <v/>
      </c>
      <c r="I24632" s="4" t="str">
        <v/>
      </c>
    </row>
    <row r="24633" spans="5:9" ht="16.5" hidden="1">
      <c r="E24633" s="4" t="str">
        <v/>
      </c>
      <c r="F24633" s="102" t="str">
        <f ca="1">IFERROR(__xludf.DUMMYFUNCTION("IMPORTRANGE(H24633,""IDENTITAS UNIT!D9"")"),"#N/A")</f>
        <v>#N/A</v>
      </c>
      <c r="H24633" s="4" t="str">
        <v/>
      </c>
      <c r="I24633" s="4" t="str">
        <v/>
      </c>
    </row>
    <row r="24634" spans="5:9" ht="16.5" hidden="1">
      <c r="E24634" s="4" t="str">
        <v/>
      </c>
      <c r="F24634" s="102" t="str">
        <f ca="1">IFERROR(__xludf.DUMMYFUNCTION("IMPORTRANGE(H24634,""IDENTITAS UNIT!D9"")"),"#N/A")</f>
        <v>#N/A</v>
      </c>
      <c r="H24634" s="4" t="str">
        <v/>
      </c>
      <c r="I24634" s="4" t="str">
        <v/>
      </c>
    </row>
    <row r="24635" spans="5:9" ht="16.5" hidden="1">
      <c r="E24635" s="4" t="str">
        <v/>
      </c>
      <c r="F24635" s="102" t="str">
        <f ca="1">IFERROR(__xludf.DUMMYFUNCTION("IMPORTRANGE(H24635,""IDENTITAS UNIT!D9"")"),"#N/A")</f>
        <v>#N/A</v>
      </c>
      <c r="H24635" s="4" t="str">
        <v/>
      </c>
      <c r="I24635" s="4" t="str">
        <v/>
      </c>
    </row>
    <row r="24636" spans="5:9" ht="16.5" hidden="1">
      <c r="E24636" s="4" t="str">
        <v/>
      </c>
      <c r="F24636" s="102" t="str">
        <f ca="1">IFERROR(__xludf.DUMMYFUNCTION("IMPORTRANGE(H24636,""IDENTITAS UNIT!D9"")"),"#N/A")</f>
        <v>#N/A</v>
      </c>
      <c r="H24636" s="4" t="str">
        <v/>
      </c>
      <c r="I24636" s="4" t="str">
        <v/>
      </c>
    </row>
    <row r="24637" spans="5:9" ht="16.5" hidden="1">
      <c r="E24637" s="4" t="str">
        <v/>
      </c>
      <c r="F24637" s="102" t="str">
        <f ca="1">IFERROR(__xludf.DUMMYFUNCTION("IMPORTRANGE(H24637,""IDENTITAS UNIT!D9"")"),"#N/A")</f>
        <v>#N/A</v>
      </c>
      <c r="H24637" s="4" t="str">
        <v/>
      </c>
      <c r="I24637" s="4" t="str">
        <v/>
      </c>
    </row>
    <row r="24638" spans="5:9" ht="16.5" hidden="1">
      <c r="E24638" s="4" t="str">
        <v/>
      </c>
      <c r="F24638" s="102" t="str">
        <f ca="1">IFERROR(__xludf.DUMMYFUNCTION("IMPORTRANGE(H24638,""IDENTITAS UNIT!D9"")"),"#N/A")</f>
        <v>#N/A</v>
      </c>
      <c r="H24638" s="4" t="str">
        <v/>
      </c>
      <c r="I24638" s="4" t="str">
        <v/>
      </c>
    </row>
    <row r="24639" spans="5:9" ht="16.5" hidden="1">
      <c r="E24639" s="4" t="str">
        <v/>
      </c>
      <c r="F24639" s="102" t="str">
        <f ca="1">IFERROR(__xludf.DUMMYFUNCTION("IMPORTRANGE(H24639,""IDENTITAS UNIT!D9"")"),"#N/A")</f>
        <v>#N/A</v>
      </c>
      <c r="H24639" s="4" t="str">
        <v/>
      </c>
      <c r="I24639" s="4" t="str">
        <v/>
      </c>
    </row>
    <row r="24640" spans="5:9" ht="16.5" hidden="1">
      <c r="E24640" s="4" t="str">
        <v/>
      </c>
      <c r="F24640" s="102" t="str">
        <f ca="1">IFERROR(__xludf.DUMMYFUNCTION("IMPORTRANGE(H24640,""IDENTITAS UNIT!D9"")"),"#N/A")</f>
        <v>#N/A</v>
      </c>
      <c r="H24640" s="4" t="str">
        <v/>
      </c>
      <c r="I24640" s="4" t="str">
        <v/>
      </c>
    </row>
    <row r="24641" spans="5:9" ht="16.5" hidden="1">
      <c r="E24641" s="4" t="str">
        <v/>
      </c>
      <c r="F24641" s="102" t="str">
        <f ca="1">IFERROR(__xludf.DUMMYFUNCTION("IMPORTRANGE(H24641,""IDENTITAS UNIT!D9"")"),"#N/A")</f>
        <v>#N/A</v>
      </c>
      <c r="H24641" s="4" t="str">
        <v/>
      </c>
      <c r="I24641" s="4" t="str">
        <v/>
      </c>
    </row>
    <row r="24642" spans="5:9" ht="16.5" hidden="1">
      <c r="E24642" s="4" t="str">
        <v/>
      </c>
      <c r="F24642" s="102" t="str">
        <f ca="1">IFERROR(__xludf.DUMMYFUNCTION("IMPORTRANGE(H24642,""IDENTITAS UNIT!D9"")"),"#N/A")</f>
        <v>#N/A</v>
      </c>
      <c r="H24642" s="4" t="str">
        <v/>
      </c>
      <c r="I24642" s="4" t="str">
        <v/>
      </c>
    </row>
    <row r="24643" spans="5:9" ht="16.5" hidden="1">
      <c r="E24643" s="4" t="str">
        <v/>
      </c>
      <c r="F24643" s="102" t="str">
        <f ca="1">IFERROR(__xludf.DUMMYFUNCTION("IMPORTRANGE(H24643,""IDENTITAS UNIT!D9"")"),"#N/A")</f>
        <v>#N/A</v>
      </c>
      <c r="H24643" s="4" t="str">
        <v/>
      </c>
      <c r="I24643" s="4" t="str">
        <v/>
      </c>
    </row>
    <row r="24644" spans="5:9" ht="16.5" hidden="1">
      <c r="E24644" s="4" t="str">
        <v/>
      </c>
      <c r="F24644" s="102" t="str">
        <f ca="1">IFERROR(__xludf.DUMMYFUNCTION("IMPORTRANGE(H24644,""IDENTITAS UNIT!D9"")"),"#N/A")</f>
        <v>#N/A</v>
      </c>
      <c r="H24644" s="4" t="str">
        <v/>
      </c>
      <c r="I24644" s="4" t="str">
        <v/>
      </c>
    </row>
    <row r="24645" spans="5:9" ht="16.5" hidden="1">
      <c r="E24645" s="4" t="str">
        <v/>
      </c>
      <c r="F24645" s="102" t="str">
        <f ca="1">IFERROR(__xludf.DUMMYFUNCTION("IMPORTRANGE(H24645,""IDENTITAS UNIT!D9"")"),"#N/A")</f>
        <v>#N/A</v>
      </c>
      <c r="H24645" s="4" t="str">
        <v/>
      </c>
      <c r="I24645" s="4" t="str">
        <v/>
      </c>
    </row>
    <row r="24646" spans="5:9" ht="16.5" hidden="1">
      <c r="E24646" s="4" t="str">
        <v/>
      </c>
      <c r="F24646" s="102" t="str">
        <f ca="1">IFERROR(__xludf.DUMMYFUNCTION("IMPORTRANGE(H24646,""IDENTITAS UNIT!D9"")"),"#N/A")</f>
        <v>#N/A</v>
      </c>
      <c r="H24646" s="4" t="str">
        <v/>
      </c>
      <c r="I24646" s="4" t="str">
        <v/>
      </c>
    </row>
    <row r="24647" spans="5:9" ht="16.5" hidden="1">
      <c r="E24647" s="4" t="str">
        <v/>
      </c>
      <c r="F24647" s="102" t="str">
        <f ca="1">IFERROR(__xludf.DUMMYFUNCTION("IMPORTRANGE(H24647,""IDENTITAS UNIT!D9"")"),"#N/A")</f>
        <v>#N/A</v>
      </c>
      <c r="H24647" s="4" t="str">
        <v/>
      </c>
      <c r="I24647" s="4" t="str">
        <v/>
      </c>
    </row>
    <row r="24648" spans="5:9" ht="16.5" hidden="1">
      <c r="E24648" s="4" t="str">
        <v/>
      </c>
      <c r="F24648" s="102" t="str">
        <f ca="1">IFERROR(__xludf.DUMMYFUNCTION("IMPORTRANGE(H24648,""IDENTITAS UNIT!D9"")"),"#N/A")</f>
        <v>#N/A</v>
      </c>
      <c r="H24648" s="4" t="str">
        <v/>
      </c>
      <c r="I24648" s="4" t="str">
        <v/>
      </c>
    </row>
    <row r="24649" spans="5:9" ht="16.5" hidden="1">
      <c r="E24649" s="4" t="str">
        <v/>
      </c>
      <c r="F24649" s="102" t="str">
        <f ca="1">IFERROR(__xludf.DUMMYFUNCTION("IMPORTRANGE(H24649,""IDENTITAS UNIT!D9"")"),"#N/A")</f>
        <v>#N/A</v>
      </c>
      <c r="H24649" s="4" t="str">
        <v/>
      </c>
      <c r="I24649" s="4" t="str">
        <v/>
      </c>
    </row>
    <row r="24650" spans="5:9" ht="16.5" hidden="1">
      <c r="E24650" s="4" t="str">
        <v/>
      </c>
      <c r="F24650" s="102" t="str">
        <f ca="1">IFERROR(__xludf.DUMMYFUNCTION("IMPORTRANGE(H24650,""IDENTITAS UNIT!D9"")"),"#N/A")</f>
        <v>#N/A</v>
      </c>
      <c r="H24650" s="4" t="str">
        <v/>
      </c>
      <c r="I24650" s="4" t="str">
        <v/>
      </c>
    </row>
    <row r="24651" spans="5:9" ht="16.5" hidden="1">
      <c r="E24651" s="4" t="str">
        <v/>
      </c>
      <c r="F24651" s="102" t="str">
        <f ca="1">IFERROR(__xludf.DUMMYFUNCTION("IMPORTRANGE(H24651,""IDENTITAS UNIT!D9"")"),"#N/A")</f>
        <v>#N/A</v>
      </c>
      <c r="H24651" s="4" t="str">
        <v/>
      </c>
      <c r="I24651" s="4" t="str">
        <v/>
      </c>
    </row>
    <row r="24652" spans="5:9" ht="16.5" hidden="1">
      <c r="E24652" s="4" t="str">
        <v/>
      </c>
      <c r="F24652" s="102" t="str">
        <f ca="1">IFERROR(__xludf.DUMMYFUNCTION("IMPORTRANGE(H24652,""IDENTITAS UNIT!D9"")"),"#N/A")</f>
        <v>#N/A</v>
      </c>
      <c r="H24652" s="4" t="str">
        <v/>
      </c>
      <c r="I24652" s="4" t="str">
        <v/>
      </c>
    </row>
    <row r="24653" spans="5:9" ht="16.5" hidden="1">
      <c r="E24653" s="4" t="str">
        <v/>
      </c>
      <c r="F24653" s="102" t="str">
        <f ca="1">IFERROR(__xludf.DUMMYFUNCTION("IMPORTRANGE(H24653,""IDENTITAS UNIT!D9"")"),"#N/A")</f>
        <v>#N/A</v>
      </c>
      <c r="H24653" s="4" t="str">
        <v/>
      </c>
      <c r="I24653" s="4" t="str">
        <v/>
      </c>
    </row>
    <row r="24654" spans="5:9" ht="16.5" hidden="1">
      <c r="E24654" s="4" t="str">
        <v/>
      </c>
      <c r="F24654" s="102" t="str">
        <f ca="1">IFERROR(__xludf.DUMMYFUNCTION("IMPORTRANGE(H24654,""IDENTITAS UNIT!D9"")"),"#N/A")</f>
        <v>#N/A</v>
      </c>
      <c r="H24654" s="4" t="str">
        <v/>
      </c>
      <c r="I24654" s="4" t="str">
        <v/>
      </c>
    </row>
    <row r="24655" spans="5:9" ht="16.5" hidden="1">
      <c r="E24655" s="4" t="str">
        <v/>
      </c>
      <c r="F24655" s="102" t="str">
        <f ca="1">IFERROR(__xludf.DUMMYFUNCTION("IMPORTRANGE(H24655,""IDENTITAS UNIT!D9"")"),"#N/A")</f>
        <v>#N/A</v>
      </c>
      <c r="H24655" s="4" t="str">
        <v/>
      </c>
      <c r="I24655" s="4" t="str">
        <v/>
      </c>
    </row>
    <row r="24656" spans="5:9" ht="16.5" hidden="1">
      <c r="E24656" s="4" t="str">
        <v/>
      </c>
      <c r="F24656" s="102" t="str">
        <f ca="1">IFERROR(__xludf.DUMMYFUNCTION("IMPORTRANGE(H24656,""IDENTITAS UNIT!D9"")"),"#N/A")</f>
        <v>#N/A</v>
      </c>
      <c r="H24656" s="4" t="str">
        <v/>
      </c>
      <c r="I24656" s="4" t="str">
        <v/>
      </c>
    </row>
    <row r="24657" spans="5:9" ht="16.5" hidden="1">
      <c r="E24657" s="4" t="str">
        <v/>
      </c>
      <c r="F24657" s="102" t="str">
        <f ca="1">IFERROR(__xludf.DUMMYFUNCTION("IMPORTRANGE(H24657,""IDENTITAS UNIT!D9"")"),"#N/A")</f>
        <v>#N/A</v>
      </c>
      <c r="H24657" s="4" t="str">
        <v/>
      </c>
      <c r="I24657" s="4" t="str">
        <v/>
      </c>
    </row>
    <row r="24658" spans="5:9" ht="16.5" hidden="1">
      <c r="E24658" s="4" t="str">
        <v/>
      </c>
      <c r="F24658" s="102" t="str">
        <f ca="1">IFERROR(__xludf.DUMMYFUNCTION("IMPORTRANGE(H24658,""IDENTITAS UNIT!D9"")"),"#N/A")</f>
        <v>#N/A</v>
      </c>
      <c r="H24658" s="4" t="str">
        <v/>
      </c>
      <c r="I24658" s="4" t="str">
        <v/>
      </c>
    </row>
    <row r="24659" spans="5:9" ht="16.5" hidden="1">
      <c r="E24659" s="4" t="str">
        <v/>
      </c>
      <c r="F24659" s="102" t="str">
        <f ca="1">IFERROR(__xludf.DUMMYFUNCTION("IMPORTRANGE(H24659,""IDENTITAS UNIT!D9"")"),"#N/A")</f>
        <v>#N/A</v>
      </c>
      <c r="H24659" s="4" t="str">
        <v/>
      </c>
      <c r="I24659" s="4" t="str">
        <v/>
      </c>
    </row>
    <row r="24660" spans="5:9" ht="16.5" hidden="1">
      <c r="E24660" s="4" t="str">
        <v/>
      </c>
      <c r="F24660" s="102" t="str">
        <f ca="1">IFERROR(__xludf.DUMMYFUNCTION("IMPORTRANGE(H24660,""IDENTITAS UNIT!D9"")"),"#N/A")</f>
        <v>#N/A</v>
      </c>
      <c r="H24660" s="4" t="str">
        <v/>
      </c>
      <c r="I24660" s="4" t="str">
        <v/>
      </c>
    </row>
    <row r="24661" spans="5:9" ht="16.5" hidden="1">
      <c r="E24661" s="4" t="str">
        <v/>
      </c>
      <c r="F24661" s="102" t="str">
        <f ca="1">IFERROR(__xludf.DUMMYFUNCTION("IMPORTRANGE(H24661,""IDENTITAS UNIT!D9"")"),"#N/A")</f>
        <v>#N/A</v>
      </c>
      <c r="H24661" s="4" t="str">
        <v/>
      </c>
      <c r="I24661" s="4" t="str">
        <v/>
      </c>
    </row>
    <row r="24662" spans="5:9" ht="16.5" hidden="1">
      <c r="E24662" s="4" t="str">
        <v/>
      </c>
      <c r="F24662" s="102" t="str">
        <f ca="1">IFERROR(__xludf.DUMMYFUNCTION("IMPORTRANGE(H24662,""IDENTITAS UNIT!D9"")"),"#N/A")</f>
        <v>#N/A</v>
      </c>
      <c r="H24662" s="4" t="str">
        <v/>
      </c>
      <c r="I24662" s="4" t="str">
        <v/>
      </c>
    </row>
    <row r="24663" spans="5:9" ht="16.5" hidden="1">
      <c r="E24663" s="4" t="str">
        <v/>
      </c>
      <c r="F24663" s="102" t="str">
        <f ca="1">IFERROR(__xludf.DUMMYFUNCTION("IMPORTRANGE(H24663,""IDENTITAS UNIT!D9"")"),"#N/A")</f>
        <v>#N/A</v>
      </c>
      <c r="H24663" s="4" t="str">
        <v/>
      </c>
      <c r="I24663" s="4" t="str">
        <v/>
      </c>
    </row>
    <row r="24664" spans="5:9" ht="16.5" hidden="1">
      <c r="E24664" s="4" t="str">
        <v/>
      </c>
      <c r="F24664" s="102" t="str">
        <f ca="1">IFERROR(__xludf.DUMMYFUNCTION("IMPORTRANGE(H24664,""IDENTITAS UNIT!D9"")"),"#N/A")</f>
        <v>#N/A</v>
      </c>
      <c r="H24664" s="4" t="str">
        <v/>
      </c>
      <c r="I24664" s="4" t="str">
        <v/>
      </c>
    </row>
    <row r="24665" spans="5:9" ht="16.5" hidden="1">
      <c r="E24665" s="4" t="str">
        <v/>
      </c>
      <c r="F24665" s="102" t="str">
        <f ca="1">IFERROR(__xludf.DUMMYFUNCTION("IMPORTRANGE(H24665,""IDENTITAS UNIT!D9"")"),"#N/A")</f>
        <v>#N/A</v>
      </c>
      <c r="H24665" s="4" t="str">
        <v/>
      </c>
      <c r="I24665" s="4" t="str">
        <v/>
      </c>
    </row>
    <row r="24666" spans="5:9" ht="16.5" hidden="1">
      <c r="E24666" s="4" t="str">
        <v/>
      </c>
      <c r="F24666" s="102" t="str">
        <f ca="1">IFERROR(__xludf.DUMMYFUNCTION("IMPORTRANGE(H24666,""IDENTITAS UNIT!D9"")"),"#N/A")</f>
        <v>#N/A</v>
      </c>
      <c r="H24666" s="4" t="str">
        <v/>
      </c>
      <c r="I24666" s="4" t="str">
        <v/>
      </c>
    </row>
    <row r="24667" spans="5:9" ht="16.5" hidden="1">
      <c r="E24667" s="4" t="str">
        <v/>
      </c>
      <c r="F24667" s="102" t="str">
        <f ca="1">IFERROR(__xludf.DUMMYFUNCTION("IMPORTRANGE(H24667,""IDENTITAS UNIT!D9"")"),"#N/A")</f>
        <v>#N/A</v>
      </c>
      <c r="H24667" s="4" t="str">
        <v/>
      </c>
      <c r="I24667" s="4" t="str">
        <v/>
      </c>
    </row>
    <row r="24668" spans="5:9" ht="16.5" hidden="1">
      <c r="E24668" s="4" t="str">
        <v/>
      </c>
      <c r="F24668" s="102" t="str">
        <f ca="1">IFERROR(__xludf.DUMMYFUNCTION("IMPORTRANGE(H24668,""IDENTITAS UNIT!D9"")"),"#N/A")</f>
        <v>#N/A</v>
      </c>
      <c r="H24668" s="4" t="str">
        <v/>
      </c>
      <c r="I24668" s="4" t="str">
        <v/>
      </c>
    </row>
    <row r="24669" spans="5:9" ht="16.5" hidden="1">
      <c r="E24669" s="4" t="str">
        <v/>
      </c>
      <c r="F24669" s="102" t="str">
        <f ca="1">IFERROR(__xludf.DUMMYFUNCTION("IMPORTRANGE(H24669,""IDENTITAS UNIT!D9"")"),"#N/A")</f>
        <v>#N/A</v>
      </c>
      <c r="H24669" s="4" t="str">
        <v/>
      </c>
      <c r="I24669" s="4" t="str">
        <v/>
      </c>
    </row>
    <row r="24670" spans="5:9" ht="16.5" hidden="1">
      <c r="E24670" s="4" t="str">
        <v/>
      </c>
      <c r="F24670" s="102" t="str">
        <f ca="1">IFERROR(__xludf.DUMMYFUNCTION("IMPORTRANGE(H24670,""IDENTITAS UNIT!D9"")"),"#N/A")</f>
        <v>#N/A</v>
      </c>
      <c r="H24670" s="4" t="str">
        <v/>
      </c>
      <c r="I24670" s="4" t="str">
        <v/>
      </c>
    </row>
    <row r="24671" spans="5:9" ht="16.5" hidden="1">
      <c r="E24671" s="4" t="str">
        <v/>
      </c>
      <c r="F24671" s="102" t="str">
        <f ca="1">IFERROR(__xludf.DUMMYFUNCTION("IMPORTRANGE(H24671,""IDENTITAS UNIT!D9"")"),"#N/A")</f>
        <v>#N/A</v>
      </c>
      <c r="H24671" s="4" t="str">
        <v/>
      </c>
      <c r="I24671" s="4" t="str">
        <v/>
      </c>
    </row>
    <row r="24672" spans="5:9" ht="16.5" hidden="1">
      <c r="E24672" s="4" t="str">
        <v/>
      </c>
      <c r="F24672" s="102" t="str">
        <f ca="1">IFERROR(__xludf.DUMMYFUNCTION("IMPORTRANGE(H24672,""IDENTITAS UNIT!D9"")"),"#N/A")</f>
        <v>#N/A</v>
      </c>
      <c r="H24672" s="4" t="str">
        <v/>
      </c>
      <c r="I24672" s="4" t="str">
        <v/>
      </c>
    </row>
    <row r="24673" spans="5:9" ht="16.5" hidden="1">
      <c r="E24673" s="4" t="str">
        <v/>
      </c>
      <c r="F24673" s="102" t="str">
        <f ca="1">IFERROR(__xludf.DUMMYFUNCTION("IMPORTRANGE(H24673,""IDENTITAS UNIT!D9"")"),"#N/A")</f>
        <v>#N/A</v>
      </c>
      <c r="H24673" s="4" t="str">
        <v/>
      </c>
      <c r="I24673" s="4" t="str">
        <v/>
      </c>
    </row>
    <row r="24674" spans="5:9" ht="16.5" hidden="1">
      <c r="E24674" s="4" t="str">
        <v/>
      </c>
      <c r="F24674" s="102" t="str">
        <f ca="1">IFERROR(__xludf.DUMMYFUNCTION("IMPORTRANGE(H24674,""IDENTITAS UNIT!D9"")"),"#N/A")</f>
        <v>#N/A</v>
      </c>
      <c r="H24674" s="4" t="str">
        <v/>
      </c>
      <c r="I24674" s="4" t="str">
        <v/>
      </c>
    </row>
    <row r="24675" spans="5:9" ht="16.5" hidden="1">
      <c r="E24675" s="4" t="str">
        <v/>
      </c>
      <c r="F24675" s="102" t="str">
        <f ca="1">IFERROR(__xludf.DUMMYFUNCTION("IMPORTRANGE(H24675,""IDENTITAS UNIT!D9"")"),"#N/A")</f>
        <v>#N/A</v>
      </c>
      <c r="H24675" s="4" t="str">
        <v/>
      </c>
      <c r="I24675" s="4" t="str">
        <v/>
      </c>
    </row>
    <row r="24676" spans="5:9" ht="16.5" hidden="1">
      <c r="E24676" s="4" t="str">
        <v/>
      </c>
      <c r="F24676" s="102" t="str">
        <f ca="1">IFERROR(__xludf.DUMMYFUNCTION("IMPORTRANGE(H24676,""IDENTITAS UNIT!D9"")"),"#N/A")</f>
        <v>#N/A</v>
      </c>
      <c r="H24676" s="4" t="str">
        <v/>
      </c>
      <c r="I24676" s="4" t="str">
        <v/>
      </c>
    </row>
    <row r="24677" spans="5:9" ht="16.5" hidden="1">
      <c r="E24677" s="4" t="str">
        <v/>
      </c>
      <c r="F24677" s="102" t="str">
        <f ca="1">IFERROR(__xludf.DUMMYFUNCTION("IMPORTRANGE(H24677,""IDENTITAS UNIT!D9"")"),"#N/A")</f>
        <v>#N/A</v>
      </c>
      <c r="H24677" s="4" t="str">
        <v/>
      </c>
      <c r="I24677" s="4" t="str">
        <v/>
      </c>
    </row>
    <row r="24678" spans="5:9" ht="16.5" hidden="1">
      <c r="E24678" s="4" t="str">
        <v/>
      </c>
      <c r="F24678" s="102" t="str">
        <f ca="1">IFERROR(__xludf.DUMMYFUNCTION("IMPORTRANGE(H24678,""IDENTITAS UNIT!D9"")"),"#N/A")</f>
        <v>#N/A</v>
      </c>
      <c r="H24678" s="4" t="str">
        <v/>
      </c>
      <c r="I24678" s="4" t="str">
        <v/>
      </c>
    </row>
    <row r="24679" spans="5:9" ht="16.5" hidden="1">
      <c r="E24679" s="4" t="str">
        <v/>
      </c>
      <c r="F24679" s="102" t="str">
        <f ca="1">IFERROR(__xludf.DUMMYFUNCTION("IMPORTRANGE(H24679,""IDENTITAS UNIT!D9"")"),"#N/A")</f>
        <v>#N/A</v>
      </c>
      <c r="H24679" s="4" t="str">
        <v/>
      </c>
      <c r="I24679" s="4" t="str">
        <v/>
      </c>
    </row>
    <row r="24680" spans="5:9" ht="16.5" hidden="1">
      <c r="E24680" s="4" t="str">
        <v/>
      </c>
      <c r="F24680" s="102" t="str">
        <f ca="1">IFERROR(__xludf.DUMMYFUNCTION("IMPORTRANGE(H24680,""IDENTITAS UNIT!D9"")"),"#N/A")</f>
        <v>#N/A</v>
      </c>
      <c r="H24680" s="4" t="str">
        <v/>
      </c>
      <c r="I24680" s="4" t="str">
        <v/>
      </c>
    </row>
    <row r="24681" spans="5:9" ht="16.5" hidden="1">
      <c r="E24681" s="4" t="str">
        <v/>
      </c>
      <c r="F24681" s="102" t="str">
        <f ca="1">IFERROR(__xludf.DUMMYFUNCTION("IMPORTRANGE(H24681,""IDENTITAS UNIT!D9"")"),"#N/A")</f>
        <v>#N/A</v>
      </c>
      <c r="H24681" s="4" t="str">
        <v/>
      </c>
      <c r="I24681" s="4" t="str">
        <v/>
      </c>
    </row>
    <row r="24682" spans="5:9" ht="16.5" hidden="1">
      <c r="E24682" s="4" t="str">
        <v/>
      </c>
      <c r="F24682" s="102" t="str">
        <f ca="1">IFERROR(__xludf.DUMMYFUNCTION("IMPORTRANGE(H24682,""IDENTITAS UNIT!D9"")"),"#N/A")</f>
        <v>#N/A</v>
      </c>
      <c r="H24682" s="4" t="str">
        <v/>
      </c>
      <c r="I24682" s="4" t="str">
        <v/>
      </c>
    </row>
    <row r="24683" spans="5:9" ht="16.5" hidden="1">
      <c r="E24683" s="4" t="str">
        <v/>
      </c>
      <c r="F24683" s="102" t="str">
        <f ca="1">IFERROR(__xludf.DUMMYFUNCTION("IMPORTRANGE(H24683,""IDENTITAS UNIT!D9"")"),"#N/A")</f>
        <v>#N/A</v>
      </c>
      <c r="H24683" s="4" t="str">
        <v/>
      </c>
      <c r="I24683" s="4" t="str">
        <v/>
      </c>
    </row>
    <row r="24684" spans="5:9" ht="16.5" hidden="1">
      <c r="E24684" s="4" t="str">
        <v/>
      </c>
      <c r="F24684" s="102" t="str">
        <f ca="1">IFERROR(__xludf.DUMMYFUNCTION("IMPORTRANGE(H24684,""IDENTITAS UNIT!D9"")"),"#N/A")</f>
        <v>#N/A</v>
      </c>
      <c r="H24684" s="4" t="str">
        <v/>
      </c>
      <c r="I24684" s="4" t="str">
        <v/>
      </c>
    </row>
    <row r="24685" spans="5:9" ht="16.5" hidden="1">
      <c r="E24685" s="4" t="str">
        <v/>
      </c>
      <c r="F24685" s="102" t="str">
        <f ca="1">IFERROR(__xludf.DUMMYFUNCTION("IMPORTRANGE(H24685,""IDENTITAS UNIT!D9"")"),"#N/A")</f>
        <v>#N/A</v>
      </c>
      <c r="H24685" s="4" t="str">
        <v/>
      </c>
      <c r="I24685" s="4" t="str">
        <v/>
      </c>
    </row>
    <row r="24686" spans="5:9" ht="16.5" hidden="1">
      <c r="E24686" s="4" t="str">
        <v/>
      </c>
      <c r="F24686" s="102" t="str">
        <f ca="1">IFERROR(__xludf.DUMMYFUNCTION("IMPORTRANGE(H24686,""IDENTITAS UNIT!D9"")"),"#N/A")</f>
        <v>#N/A</v>
      </c>
      <c r="H24686" s="4" t="str">
        <v/>
      </c>
      <c r="I24686" s="4" t="str">
        <v/>
      </c>
    </row>
    <row r="24687" spans="5:9" ht="16.5" hidden="1">
      <c r="E24687" s="4" t="str">
        <v/>
      </c>
      <c r="F24687" s="102" t="str">
        <f ca="1">IFERROR(__xludf.DUMMYFUNCTION("IMPORTRANGE(H24687,""IDENTITAS UNIT!D9"")"),"#N/A")</f>
        <v>#N/A</v>
      </c>
      <c r="H24687" s="4" t="str">
        <v/>
      </c>
      <c r="I24687" s="4" t="str">
        <v/>
      </c>
    </row>
    <row r="24688" spans="5:9" ht="16.5" hidden="1">
      <c r="E24688" s="4" t="str">
        <v/>
      </c>
      <c r="F24688" s="102" t="str">
        <f ca="1">IFERROR(__xludf.DUMMYFUNCTION("IMPORTRANGE(H24688,""IDENTITAS UNIT!D9"")"),"#N/A")</f>
        <v>#N/A</v>
      </c>
      <c r="H24688" s="4" t="str">
        <v/>
      </c>
      <c r="I24688" s="4" t="str">
        <v/>
      </c>
    </row>
    <row r="24689" spans="5:9" ht="16.5" hidden="1">
      <c r="E24689" s="4" t="str">
        <v/>
      </c>
      <c r="F24689" s="102" t="str">
        <f ca="1">IFERROR(__xludf.DUMMYFUNCTION("IMPORTRANGE(H24689,""IDENTITAS UNIT!D9"")"),"#N/A")</f>
        <v>#N/A</v>
      </c>
      <c r="H24689" s="4" t="str">
        <v/>
      </c>
      <c r="I24689" s="4" t="str">
        <v/>
      </c>
    </row>
    <row r="24690" spans="5:9" ht="16.5" hidden="1">
      <c r="E24690" s="4" t="str">
        <v/>
      </c>
      <c r="F24690" s="102" t="str">
        <f ca="1">IFERROR(__xludf.DUMMYFUNCTION("IMPORTRANGE(H24690,""IDENTITAS UNIT!D9"")"),"#N/A")</f>
        <v>#N/A</v>
      </c>
      <c r="H24690" s="4" t="str">
        <v/>
      </c>
      <c r="I24690" s="4" t="str">
        <v/>
      </c>
    </row>
    <row r="24691" spans="5:9" ht="16.5" hidden="1">
      <c r="E24691" s="4" t="str">
        <v/>
      </c>
      <c r="F24691" s="102" t="str">
        <f ca="1">IFERROR(__xludf.DUMMYFUNCTION("IMPORTRANGE(H24691,""IDENTITAS UNIT!D9"")"),"#N/A")</f>
        <v>#N/A</v>
      </c>
      <c r="H24691" s="4" t="str">
        <v/>
      </c>
      <c r="I24691" s="4" t="str">
        <v/>
      </c>
    </row>
    <row r="24692" spans="5:9" ht="16.5" hidden="1">
      <c r="E24692" s="4" t="str">
        <v/>
      </c>
      <c r="F24692" s="102" t="str">
        <f ca="1">IFERROR(__xludf.DUMMYFUNCTION("IMPORTRANGE(H24692,""IDENTITAS UNIT!D9"")"),"#N/A")</f>
        <v>#N/A</v>
      </c>
      <c r="H24692" s="4" t="str">
        <v/>
      </c>
      <c r="I24692" s="4" t="str">
        <v/>
      </c>
    </row>
    <row r="24693" spans="5:9" ht="16.5" hidden="1">
      <c r="E24693" s="4" t="str">
        <v/>
      </c>
      <c r="F24693" s="102" t="str">
        <f ca="1">IFERROR(__xludf.DUMMYFUNCTION("IMPORTRANGE(H24693,""IDENTITAS UNIT!D9"")"),"#N/A")</f>
        <v>#N/A</v>
      </c>
      <c r="H24693" s="4" t="str">
        <v/>
      </c>
      <c r="I24693" s="4" t="str">
        <v/>
      </c>
    </row>
    <row r="24694" spans="5:9" ht="16.5" hidden="1">
      <c r="E24694" s="4" t="str">
        <v/>
      </c>
      <c r="F24694" s="102" t="str">
        <f ca="1">IFERROR(__xludf.DUMMYFUNCTION("IMPORTRANGE(H24694,""IDENTITAS UNIT!D9"")"),"#N/A")</f>
        <v>#N/A</v>
      </c>
      <c r="H24694" s="4" t="str">
        <v/>
      </c>
      <c r="I24694" s="4" t="str">
        <v/>
      </c>
    </row>
    <row r="24695" spans="5:9" ht="16.5" hidden="1">
      <c r="E24695" s="4" t="str">
        <v/>
      </c>
      <c r="F24695" s="102" t="str">
        <f ca="1">IFERROR(__xludf.DUMMYFUNCTION("IMPORTRANGE(H24695,""IDENTITAS UNIT!D9"")"),"#N/A")</f>
        <v>#N/A</v>
      </c>
      <c r="H24695" s="4" t="str">
        <v/>
      </c>
      <c r="I24695" s="4" t="str">
        <v/>
      </c>
    </row>
    <row r="24696" spans="5:9" ht="16.5" hidden="1">
      <c r="E24696" s="4" t="str">
        <v/>
      </c>
      <c r="F24696" s="102" t="str">
        <f ca="1">IFERROR(__xludf.DUMMYFUNCTION("IMPORTRANGE(H24696,""IDENTITAS UNIT!D9"")"),"#N/A")</f>
        <v>#N/A</v>
      </c>
      <c r="H24696" s="4" t="str">
        <v/>
      </c>
      <c r="I24696" s="4" t="str">
        <v/>
      </c>
    </row>
    <row r="24697" spans="5:9" ht="16.5" hidden="1">
      <c r="E24697" s="4" t="str">
        <v/>
      </c>
      <c r="F24697" s="102" t="str">
        <f ca="1">IFERROR(__xludf.DUMMYFUNCTION("IMPORTRANGE(H24697,""IDENTITAS UNIT!D9"")"),"#N/A")</f>
        <v>#N/A</v>
      </c>
      <c r="H24697" s="4" t="str">
        <v/>
      </c>
      <c r="I24697" s="4" t="str">
        <v/>
      </c>
    </row>
    <row r="24698" spans="5:9" ht="16.5" hidden="1">
      <c r="E24698" s="4" t="str">
        <v/>
      </c>
      <c r="F24698" s="102" t="str">
        <f ca="1">IFERROR(__xludf.DUMMYFUNCTION("IMPORTRANGE(H24698,""IDENTITAS UNIT!D9"")"),"#N/A")</f>
        <v>#N/A</v>
      </c>
      <c r="H24698" s="4" t="str">
        <v/>
      </c>
      <c r="I24698" s="4" t="str">
        <v/>
      </c>
    </row>
    <row r="24699" spans="5:9" ht="16.5" hidden="1">
      <c r="E24699" s="4" t="str">
        <v/>
      </c>
      <c r="F24699" s="102" t="str">
        <f ca="1">IFERROR(__xludf.DUMMYFUNCTION("IMPORTRANGE(H24699,""IDENTITAS UNIT!D9"")"),"#N/A")</f>
        <v>#N/A</v>
      </c>
      <c r="H24699" s="4" t="str">
        <v/>
      </c>
      <c r="I24699" s="4" t="str">
        <v/>
      </c>
    </row>
    <row r="24700" spans="5:9" ht="16.5" hidden="1">
      <c r="E24700" s="4" t="str">
        <v/>
      </c>
      <c r="F24700" s="102" t="str">
        <f ca="1">IFERROR(__xludf.DUMMYFUNCTION("IMPORTRANGE(H24700,""IDENTITAS UNIT!D9"")"),"#N/A")</f>
        <v>#N/A</v>
      </c>
      <c r="H24700" s="4" t="str">
        <v/>
      </c>
      <c r="I24700" s="4" t="str">
        <v/>
      </c>
    </row>
    <row r="24701" spans="5:9" ht="16.5" hidden="1">
      <c r="E24701" s="4" t="str">
        <v/>
      </c>
      <c r="F24701" s="102" t="str">
        <f ca="1">IFERROR(__xludf.DUMMYFUNCTION("IMPORTRANGE(H24701,""IDENTITAS UNIT!D9"")"),"#N/A")</f>
        <v>#N/A</v>
      </c>
      <c r="H24701" s="4" t="str">
        <v/>
      </c>
      <c r="I24701" s="4" t="str">
        <v/>
      </c>
    </row>
    <row r="24702" spans="5:9" ht="16.5" hidden="1">
      <c r="E24702" s="4" t="str">
        <v/>
      </c>
      <c r="F24702" s="102" t="str">
        <f ca="1">IFERROR(__xludf.DUMMYFUNCTION("IMPORTRANGE(H24702,""IDENTITAS UNIT!D9"")"),"#N/A")</f>
        <v>#N/A</v>
      </c>
      <c r="H24702" s="4" t="str">
        <v/>
      </c>
      <c r="I24702" s="4" t="str">
        <v/>
      </c>
    </row>
    <row r="24703" spans="5:9" ht="16.5" hidden="1">
      <c r="E24703" s="4" t="str">
        <v/>
      </c>
      <c r="F24703" s="102" t="str">
        <f ca="1">IFERROR(__xludf.DUMMYFUNCTION("IMPORTRANGE(H24703,""IDENTITAS UNIT!D9"")"),"#N/A")</f>
        <v>#N/A</v>
      </c>
      <c r="H24703" s="4" t="str">
        <v/>
      </c>
      <c r="I24703" s="4" t="str">
        <v/>
      </c>
    </row>
    <row r="24704" spans="5:9" ht="16.5" hidden="1">
      <c r="E24704" s="4" t="str">
        <v/>
      </c>
      <c r="F24704" s="102" t="str">
        <f ca="1">IFERROR(__xludf.DUMMYFUNCTION("IMPORTRANGE(H24704,""IDENTITAS UNIT!D9"")"),"#N/A")</f>
        <v>#N/A</v>
      </c>
      <c r="H24704" s="4" t="str">
        <v/>
      </c>
      <c r="I24704" s="4" t="str">
        <v/>
      </c>
    </row>
    <row r="24705" spans="5:9" ht="16.5" hidden="1">
      <c r="E24705" s="4" t="str">
        <v/>
      </c>
      <c r="F24705" s="102" t="str">
        <f ca="1">IFERROR(__xludf.DUMMYFUNCTION("IMPORTRANGE(H24705,""IDENTITAS UNIT!D9"")"),"#N/A")</f>
        <v>#N/A</v>
      </c>
      <c r="H24705" s="4" t="str">
        <v/>
      </c>
      <c r="I24705" s="4" t="str">
        <v/>
      </c>
    </row>
    <row r="24706" spans="5:9" ht="16.5" hidden="1">
      <c r="E24706" s="4" t="str">
        <v/>
      </c>
      <c r="F24706" s="102" t="str">
        <f ca="1">IFERROR(__xludf.DUMMYFUNCTION("IMPORTRANGE(H24706,""IDENTITAS UNIT!D9"")"),"#N/A")</f>
        <v>#N/A</v>
      </c>
      <c r="H24706" s="4" t="str">
        <v/>
      </c>
      <c r="I24706" s="4" t="str">
        <v/>
      </c>
    </row>
    <row r="24707" spans="5:9" ht="16.5" hidden="1">
      <c r="E24707" s="4" t="str">
        <v/>
      </c>
      <c r="F24707" s="102" t="str">
        <f ca="1">IFERROR(__xludf.DUMMYFUNCTION("IMPORTRANGE(H24707,""IDENTITAS UNIT!D9"")"),"#N/A")</f>
        <v>#N/A</v>
      </c>
      <c r="H24707" s="4" t="str">
        <v/>
      </c>
      <c r="I24707" s="4" t="str">
        <v/>
      </c>
    </row>
    <row r="24708" spans="5:9" ht="16.5" hidden="1">
      <c r="E24708" s="4" t="str">
        <v/>
      </c>
      <c r="F24708" s="102" t="str">
        <f ca="1">IFERROR(__xludf.DUMMYFUNCTION("IMPORTRANGE(H24708,""IDENTITAS UNIT!D9"")"),"#N/A")</f>
        <v>#N/A</v>
      </c>
      <c r="H24708" s="4" t="str">
        <v/>
      </c>
      <c r="I24708" s="4" t="str">
        <v/>
      </c>
    </row>
    <row r="24709" spans="5:9" ht="16.5" hidden="1">
      <c r="E24709" s="4" t="str">
        <v/>
      </c>
      <c r="F24709" s="102" t="str">
        <f ca="1">IFERROR(__xludf.DUMMYFUNCTION("IMPORTRANGE(H24709,""IDENTITAS UNIT!D9"")"),"#N/A")</f>
        <v>#N/A</v>
      </c>
      <c r="H24709" s="4" t="str">
        <v/>
      </c>
      <c r="I24709" s="4" t="str">
        <v/>
      </c>
    </row>
    <row r="24710" spans="5:9" ht="16.5" hidden="1">
      <c r="E24710" s="4" t="str">
        <v/>
      </c>
      <c r="F24710" s="102" t="str">
        <f ca="1">IFERROR(__xludf.DUMMYFUNCTION("IMPORTRANGE(H24710,""IDENTITAS UNIT!D9"")"),"#N/A")</f>
        <v>#N/A</v>
      </c>
      <c r="H24710" s="4" t="str">
        <v/>
      </c>
      <c r="I24710" s="4" t="str">
        <v/>
      </c>
    </row>
    <row r="24711" spans="5:9" ht="16.5" hidden="1">
      <c r="E24711" s="4" t="str">
        <v/>
      </c>
      <c r="F24711" s="102" t="str">
        <f ca="1">IFERROR(__xludf.DUMMYFUNCTION("IMPORTRANGE(H24711,""IDENTITAS UNIT!D9"")"),"#N/A")</f>
        <v>#N/A</v>
      </c>
      <c r="H24711" s="4" t="str">
        <v/>
      </c>
      <c r="I24711" s="4" t="str">
        <v/>
      </c>
    </row>
    <row r="24712" spans="5:9" ht="16.5" hidden="1">
      <c r="E24712" s="4" t="str">
        <v/>
      </c>
      <c r="F24712" s="102" t="str">
        <f ca="1">IFERROR(__xludf.DUMMYFUNCTION("IMPORTRANGE(H24712,""IDENTITAS UNIT!D9"")"),"#N/A")</f>
        <v>#N/A</v>
      </c>
      <c r="H24712" s="4" t="str">
        <v/>
      </c>
      <c r="I24712" s="4" t="str">
        <v/>
      </c>
    </row>
    <row r="24713" spans="5:9" ht="16.5" hidden="1">
      <c r="E24713" s="4" t="str">
        <v/>
      </c>
      <c r="F24713" s="102" t="str">
        <f ca="1">IFERROR(__xludf.DUMMYFUNCTION("IMPORTRANGE(H24713,""IDENTITAS UNIT!D9"")"),"#N/A")</f>
        <v>#N/A</v>
      </c>
      <c r="H24713" s="4" t="str">
        <v/>
      </c>
      <c r="I24713" s="4" t="str">
        <v/>
      </c>
    </row>
    <row r="24714" spans="5:9" ht="16.5" hidden="1">
      <c r="E24714" s="4" t="str">
        <v/>
      </c>
      <c r="F24714" s="102" t="str">
        <f ca="1">IFERROR(__xludf.DUMMYFUNCTION("IMPORTRANGE(H24714,""IDENTITAS UNIT!D9"")"),"#N/A")</f>
        <v>#N/A</v>
      </c>
      <c r="H24714" s="4" t="str">
        <v/>
      </c>
      <c r="I24714" s="4" t="str">
        <v/>
      </c>
    </row>
    <row r="24715" spans="5:9" ht="16.5" hidden="1">
      <c r="E24715" s="4" t="str">
        <v/>
      </c>
      <c r="F24715" s="102" t="str">
        <f ca="1">IFERROR(__xludf.DUMMYFUNCTION("IMPORTRANGE(H24715,""IDENTITAS UNIT!D9"")"),"#N/A")</f>
        <v>#N/A</v>
      </c>
      <c r="H24715" s="4" t="str">
        <v/>
      </c>
      <c r="I24715" s="4" t="str">
        <v/>
      </c>
    </row>
    <row r="24716" spans="5:9" ht="16.5" hidden="1">
      <c r="E24716" s="4" t="str">
        <v/>
      </c>
      <c r="F24716" s="102" t="str">
        <f ca="1">IFERROR(__xludf.DUMMYFUNCTION("IMPORTRANGE(H24716,""IDENTITAS UNIT!D9"")"),"#N/A")</f>
        <v>#N/A</v>
      </c>
      <c r="H24716" s="4" t="str">
        <v/>
      </c>
      <c r="I24716" s="4" t="str">
        <v/>
      </c>
    </row>
    <row r="24717" spans="5:9" ht="16.5" hidden="1">
      <c r="E24717" s="4" t="str">
        <v/>
      </c>
      <c r="F24717" s="102" t="str">
        <f ca="1">IFERROR(__xludf.DUMMYFUNCTION("IMPORTRANGE(H24717,""IDENTITAS UNIT!D9"")"),"#N/A")</f>
        <v>#N/A</v>
      </c>
      <c r="H24717" s="4" t="str">
        <v/>
      </c>
      <c r="I24717" s="4" t="str">
        <v/>
      </c>
    </row>
    <row r="24718" spans="5:9" ht="16.5" hidden="1">
      <c r="E24718" s="4" t="str">
        <v/>
      </c>
      <c r="F24718" s="102" t="str">
        <f ca="1">IFERROR(__xludf.DUMMYFUNCTION("IMPORTRANGE(H24718,""IDENTITAS UNIT!D9"")"),"#N/A")</f>
        <v>#N/A</v>
      </c>
      <c r="H24718" s="4" t="str">
        <v/>
      </c>
      <c r="I24718" s="4" t="str">
        <v/>
      </c>
    </row>
    <row r="24719" spans="5:9" ht="16.5" hidden="1">
      <c r="E24719" s="4" t="str">
        <v/>
      </c>
      <c r="F24719" s="102" t="str">
        <f ca="1">IFERROR(__xludf.DUMMYFUNCTION("IMPORTRANGE(H24719,""IDENTITAS UNIT!D9"")"),"#N/A")</f>
        <v>#N/A</v>
      </c>
      <c r="H24719" s="4" t="str">
        <v/>
      </c>
      <c r="I24719" s="4" t="str">
        <v/>
      </c>
    </row>
    <row r="24720" spans="5:9" ht="16.5" hidden="1">
      <c r="E24720" s="4" t="str">
        <v/>
      </c>
      <c r="F24720" s="102" t="str">
        <f ca="1">IFERROR(__xludf.DUMMYFUNCTION("IMPORTRANGE(H24720,""IDENTITAS UNIT!D9"")"),"#N/A")</f>
        <v>#N/A</v>
      </c>
      <c r="H24720" s="4" t="str">
        <v/>
      </c>
      <c r="I24720" s="4" t="str">
        <v/>
      </c>
    </row>
    <row r="24721" spans="5:9" ht="16.5" hidden="1">
      <c r="E24721" s="4" t="str">
        <v/>
      </c>
      <c r="F24721" s="102" t="str">
        <f ca="1">IFERROR(__xludf.DUMMYFUNCTION("IMPORTRANGE(H24721,""IDENTITAS UNIT!D9"")"),"#N/A")</f>
        <v>#N/A</v>
      </c>
      <c r="H24721" s="4" t="str">
        <v/>
      </c>
      <c r="I24721" s="4" t="str">
        <v/>
      </c>
    </row>
    <row r="24722" spans="5:9" ht="16.5" hidden="1">
      <c r="E24722" s="4" t="str">
        <v/>
      </c>
      <c r="F24722" s="102" t="str">
        <f ca="1">IFERROR(__xludf.DUMMYFUNCTION("IMPORTRANGE(H24722,""IDENTITAS UNIT!D9"")"),"#N/A")</f>
        <v>#N/A</v>
      </c>
      <c r="H24722" s="4" t="str">
        <v/>
      </c>
      <c r="I24722" s="4" t="str">
        <v/>
      </c>
    </row>
    <row r="24723" spans="5:9" ht="16.5" hidden="1">
      <c r="E24723" s="4" t="str">
        <v/>
      </c>
      <c r="F24723" s="102" t="str">
        <f ca="1">IFERROR(__xludf.DUMMYFUNCTION("IMPORTRANGE(H24723,""IDENTITAS UNIT!D9"")"),"#N/A")</f>
        <v>#N/A</v>
      </c>
      <c r="H24723" s="4" t="str">
        <v/>
      </c>
      <c r="I24723" s="4" t="str">
        <v/>
      </c>
    </row>
    <row r="24724" spans="5:9" ht="16.5" hidden="1">
      <c r="E24724" s="4" t="str">
        <v/>
      </c>
      <c r="F24724" s="102" t="str">
        <f ca="1">IFERROR(__xludf.DUMMYFUNCTION("IMPORTRANGE(H24724,""IDENTITAS UNIT!D9"")"),"#N/A")</f>
        <v>#N/A</v>
      </c>
      <c r="H24724" s="4" t="str">
        <v/>
      </c>
      <c r="I24724" s="4" t="str">
        <v/>
      </c>
    </row>
    <row r="24725" spans="5:9" ht="16.5" hidden="1">
      <c r="E24725" s="4" t="str">
        <v/>
      </c>
      <c r="F24725" s="102" t="str">
        <f ca="1">IFERROR(__xludf.DUMMYFUNCTION("IMPORTRANGE(H24725,""IDENTITAS UNIT!D9"")"),"#N/A")</f>
        <v>#N/A</v>
      </c>
      <c r="H24725" s="4" t="str">
        <v/>
      </c>
      <c r="I24725" s="4" t="str">
        <v/>
      </c>
    </row>
    <row r="24726" spans="5:9" ht="16.5" hidden="1">
      <c r="E24726" s="4" t="str">
        <v/>
      </c>
      <c r="F24726" s="102" t="str">
        <f ca="1">IFERROR(__xludf.DUMMYFUNCTION("IMPORTRANGE(H24726,""IDENTITAS UNIT!D9"")"),"#N/A")</f>
        <v>#N/A</v>
      </c>
      <c r="H24726" s="4" t="str">
        <v/>
      </c>
      <c r="I24726" s="4" t="str">
        <v/>
      </c>
    </row>
    <row r="24727" spans="5:9" ht="16.5" hidden="1">
      <c r="E24727" s="4" t="str">
        <v/>
      </c>
      <c r="F24727" s="102" t="str">
        <f ca="1">IFERROR(__xludf.DUMMYFUNCTION("IMPORTRANGE(H24727,""IDENTITAS UNIT!D9"")"),"#N/A")</f>
        <v>#N/A</v>
      </c>
      <c r="H24727" s="4" t="str">
        <v/>
      </c>
      <c r="I24727" s="4" t="str">
        <v/>
      </c>
    </row>
    <row r="24728" spans="5:9" ht="16.5" hidden="1">
      <c r="E24728" s="4" t="str">
        <v/>
      </c>
      <c r="F24728" s="102" t="str">
        <f ca="1">IFERROR(__xludf.DUMMYFUNCTION("IMPORTRANGE(H24728,""IDENTITAS UNIT!D9"")"),"#N/A")</f>
        <v>#N/A</v>
      </c>
      <c r="H24728" s="4" t="str">
        <v/>
      </c>
      <c r="I24728" s="4" t="str">
        <v/>
      </c>
    </row>
    <row r="24729" spans="5:9" ht="16.5" hidden="1">
      <c r="E24729" s="4" t="str">
        <v/>
      </c>
      <c r="F24729" s="102" t="str">
        <f ca="1">IFERROR(__xludf.DUMMYFUNCTION("IMPORTRANGE(H24729,""IDENTITAS UNIT!D9"")"),"#N/A")</f>
        <v>#N/A</v>
      </c>
      <c r="H24729" s="4" t="str">
        <v/>
      </c>
      <c r="I24729" s="4" t="str">
        <v/>
      </c>
    </row>
    <row r="24730" spans="5:9" ht="16.5" hidden="1">
      <c r="E24730" s="4" t="str">
        <v/>
      </c>
      <c r="F24730" s="102" t="str">
        <f ca="1">IFERROR(__xludf.DUMMYFUNCTION("IMPORTRANGE(H24730,""IDENTITAS UNIT!D9"")"),"#N/A")</f>
        <v>#N/A</v>
      </c>
      <c r="H24730" s="4" t="str">
        <v/>
      </c>
      <c r="I24730" s="4" t="str">
        <v/>
      </c>
    </row>
    <row r="24731" spans="5:9" ht="16.5" hidden="1">
      <c r="E24731" s="4" t="str">
        <v/>
      </c>
      <c r="F24731" s="102" t="str">
        <f ca="1">IFERROR(__xludf.DUMMYFUNCTION("IMPORTRANGE(H24731,""IDENTITAS UNIT!D9"")"),"#N/A")</f>
        <v>#N/A</v>
      </c>
      <c r="H24731" s="4" t="str">
        <v/>
      </c>
      <c r="I24731" s="4" t="str">
        <v/>
      </c>
    </row>
    <row r="24732" spans="5:9" ht="16.5" hidden="1">
      <c r="E24732" s="4" t="str">
        <v/>
      </c>
      <c r="F24732" s="102" t="str">
        <f ca="1">IFERROR(__xludf.DUMMYFUNCTION("IMPORTRANGE(H24732,""IDENTITAS UNIT!D9"")"),"#N/A")</f>
        <v>#N/A</v>
      </c>
      <c r="H24732" s="4" t="str">
        <v/>
      </c>
      <c r="I24732" s="4" t="str">
        <v/>
      </c>
    </row>
    <row r="24733" spans="5:9" ht="16.5" hidden="1">
      <c r="E24733" s="4" t="str">
        <v/>
      </c>
      <c r="F24733" s="102" t="str">
        <f ca="1">IFERROR(__xludf.DUMMYFUNCTION("IMPORTRANGE(H24733,""IDENTITAS UNIT!D9"")"),"#N/A")</f>
        <v>#N/A</v>
      </c>
      <c r="H24733" s="4" t="str">
        <v/>
      </c>
      <c r="I24733" s="4" t="str">
        <v/>
      </c>
    </row>
    <row r="24734" spans="5:9" ht="16.5" hidden="1">
      <c r="E24734" s="4" t="str">
        <v/>
      </c>
      <c r="F24734" s="102" t="str">
        <f ca="1">IFERROR(__xludf.DUMMYFUNCTION("IMPORTRANGE(H24734,""IDENTITAS UNIT!D9"")"),"#N/A")</f>
        <v>#N/A</v>
      </c>
      <c r="H24734" s="4" t="str">
        <v/>
      </c>
      <c r="I24734" s="4" t="str">
        <v/>
      </c>
    </row>
    <row r="24735" spans="5:9" ht="16.5" hidden="1">
      <c r="E24735" s="4" t="str">
        <v/>
      </c>
      <c r="F24735" s="102" t="str">
        <f ca="1">IFERROR(__xludf.DUMMYFUNCTION("IMPORTRANGE(H24735,""IDENTITAS UNIT!D9"")"),"#N/A")</f>
        <v>#N/A</v>
      </c>
      <c r="H24735" s="4" t="str">
        <v/>
      </c>
      <c r="I24735" s="4" t="str">
        <v/>
      </c>
    </row>
    <row r="24736" spans="5:9" ht="16.5" hidden="1">
      <c r="E24736" s="4" t="str">
        <v/>
      </c>
      <c r="F24736" s="102" t="str">
        <f ca="1">IFERROR(__xludf.DUMMYFUNCTION("IMPORTRANGE(H24736,""IDENTITAS UNIT!D9"")"),"#N/A")</f>
        <v>#N/A</v>
      </c>
      <c r="H24736" s="4" t="str">
        <v/>
      </c>
      <c r="I24736" s="4" t="str">
        <v/>
      </c>
    </row>
    <row r="24737" spans="5:9" ht="16.5" hidden="1">
      <c r="E24737" s="4" t="str">
        <v/>
      </c>
      <c r="F24737" s="102" t="str">
        <f ca="1">IFERROR(__xludf.DUMMYFUNCTION("IMPORTRANGE(H24737,""IDENTITAS UNIT!D9"")"),"#N/A")</f>
        <v>#N/A</v>
      </c>
      <c r="H24737" s="4" t="str">
        <v/>
      </c>
      <c r="I24737" s="4" t="str">
        <v/>
      </c>
    </row>
    <row r="24738" spans="5:9" ht="16.5" hidden="1">
      <c r="E24738" s="4" t="str">
        <v/>
      </c>
      <c r="F24738" s="102" t="str">
        <f ca="1">IFERROR(__xludf.DUMMYFUNCTION("IMPORTRANGE(H24738,""IDENTITAS UNIT!D9"")"),"#N/A")</f>
        <v>#N/A</v>
      </c>
      <c r="H24738" s="4" t="str">
        <v/>
      </c>
      <c r="I24738" s="4" t="str">
        <v/>
      </c>
    </row>
    <row r="24739" spans="5:9" ht="16.5" hidden="1">
      <c r="E24739" s="4" t="str">
        <v/>
      </c>
      <c r="F24739" s="102" t="str">
        <f ca="1">IFERROR(__xludf.DUMMYFUNCTION("IMPORTRANGE(H24739,""IDENTITAS UNIT!D9"")"),"#N/A")</f>
        <v>#N/A</v>
      </c>
      <c r="H24739" s="4" t="str">
        <v/>
      </c>
      <c r="I24739" s="4" t="str">
        <v/>
      </c>
    </row>
    <row r="24740" spans="5:9" ht="16.5" hidden="1">
      <c r="E24740" s="4" t="str">
        <v/>
      </c>
      <c r="F24740" s="102" t="str">
        <f ca="1">IFERROR(__xludf.DUMMYFUNCTION("IMPORTRANGE(H24740,""IDENTITAS UNIT!D9"")"),"#N/A")</f>
        <v>#N/A</v>
      </c>
      <c r="H24740" s="4" t="str">
        <v/>
      </c>
      <c r="I24740" s="4" t="str">
        <v/>
      </c>
    </row>
    <row r="24741" spans="5:9" ht="16.5" hidden="1">
      <c r="E24741" s="4" t="str">
        <v/>
      </c>
      <c r="F24741" s="102" t="str">
        <f ca="1">IFERROR(__xludf.DUMMYFUNCTION("IMPORTRANGE(H24741,""IDENTITAS UNIT!D9"")"),"#N/A")</f>
        <v>#N/A</v>
      </c>
      <c r="H24741" s="4" t="str">
        <v/>
      </c>
      <c r="I24741" s="4" t="str">
        <v/>
      </c>
    </row>
    <row r="24742" spans="5:9" ht="16.5" hidden="1">
      <c r="E24742" s="4" t="str">
        <v/>
      </c>
      <c r="F24742" s="102" t="str">
        <f ca="1">IFERROR(__xludf.DUMMYFUNCTION("IMPORTRANGE(H24742,""IDENTITAS UNIT!D9"")"),"#N/A")</f>
        <v>#N/A</v>
      </c>
      <c r="H24742" s="4" t="str">
        <v/>
      </c>
      <c r="I24742" s="4" t="str">
        <v/>
      </c>
    </row>
    <row r="24743" spans="5:9" ht="16.5" hidden="1">
      <c r="E24743" s="4" t="str">
        <v/>
      </c>
      <c r="F24743" s="102" t="str">
        <f ca="1">IFERROR(__xludf.DUMMYFUNCTION("IMPORTRANGE(H24743,""IDENTITAS UNIT!D9"")"),"#N/A")</f>
        <v>#N/A</v>
      </c>
      <c r="H24743" s="4" t="str">
        <v/>
      </c>
      <c r="I24743" s="4" t="str">
        <v/>
      </c>
    </row>
    <row r="24744" spans="5:9" ht="16.5" hidden="1">
      <c r="E24744" s="4" t="str">
        <v/>
      </c>
      <c r="F24744" s="102" t="str">
        <f ca="1">IFERROR(__xludf.DUMMYFUNCTION("IMPORTRANGE(H24744,""IDENTITAS UNIT!D9"")"),"#N/A")</f>
        <v>#N/A</v>
      </c>
      <c r="H24744" s="4" t="str">
        <v/>
      </c>
      <c r="I24744" s="4" t="str">
        <v/>
      </c>
    </row>
    <row r="24745" spans="5:9" ht="16.5" hidden="1">
      <c r="E24745" s="4" t="str">
        <v/>
      </c>
      <c r="F24745" s="102" t="str">
        <f ca="1">IFERROR(__xludf.DUMMYFUNCTION("IMPORTRANGE(H24745,""IDENTITAS UNIT!D9"")"),"#N/A")</f>
        <v>#N/A</v>
      </c>
      <c r="H24745" s="4" t="str">
        <v/>
      </c>
      <c r="I24745" s="4" t="str">
        <v/>
      </c>
    </row>
    <row r="24746" spans="5:9" ht="16.5" hidden="1">
      <c r="E24746" s="4" t="str">
        <v/>
      </c>
      <c r="F24746" s="102" t="str">
        <f ca="1">IFERROR(__xludf.DUMMYFUNCTION("IMPORTRANGE(H24746,""IDENTITAS UNIT!D9"")"),"#N/A")</f>
        <v>#N/A</v>
      </c>
      <c r="H24746" s="4" t="str">
        <v/>
      </c>
      <c r="I24746" s="4" t="str">
        <v/>
      </c>
    </row>
    <row r="24747" spans="5:9" ht="16.5" hidden="1">
      <c r="E24747" s="4" t="str">
        <v/>
      </c>
      <c r="F24747" s="102" t="str">
        <f ca="1">IFERROR(__xludf.DUMMYFUNCTION("IMPORTRANGE(H24747,""IDENTITAS UNIT!D9"")"),"#N/A")</f>
        <v>#N/A</v>
      </c>
      <c r="H24747" s="4" t="str">
        <v/>
      </c>
      <c r="I24747" s="4" t="str">
        <v/>
      </c>
    </row>
    <row r="24748" spans="5:9" ht="16.5" hidden="1">
      <c r="E24748" s="4" t="str">
        <v/>
      </c>
      <c r="F24748" s="102" t="str">
        <f ca="1">IFERROR(__xludf.DUMMYFUNCTION("IMPORTRANGE(H24748,""IDENTITAS UNIT!D9"")"),"#N/A")</f>
        <v>#N/A</v>
      </c>
      <c r="H24748" s="4" t="str">
        <v/>
      </c>
      <c r="I24748" s="4" t="str">
        <v/>
      </c>
    </row>
    <row r="24749" spans="5:9" ht="16.5" hidden="1">
      <c r="E24749" s="4" t="str">
        <v/>
      </c>
      <c r="F24749" s="102" t="str">
        <f ca="1">IFERROR(__xludf.DUMMYFUNCTION("IMPORTRANGE(H24749,""IDENTITAS UNIT!D9"")"),"#N/A")</f>
        <v>#N/A</v>
      </c>
      <c r="H24749" s="4" t="str">
        <v/>
      </c>
      <c r="I24749" s="4" t="str">
        <v/>
      </c>
    </row>
    <row r="24750" spans="5:9" ht="16.5" hidden="1">
      <c r="E24750" s="4" t="str">
        <v/>
      </c>
      <c r="F24750" s="102" t="str">
        <f ca="1">IFERROR(__xludf.DUMMYFUNCTION("IMPORTRANGE(H24750,""IDENTITAS UNIT!D9"")"),"#N/A")</f>
        <v>#N/A</v>
      </c>
      <c r="H24750" s="4" t="str">
        <v/>
      </c>
      <c r="I24750" s="4" t="str">
        <v/>
      </c>
    </row>
    <row r="24751" spans="5:9" ht="16.5" hidden="1">
      <c r="E24751" s="4" t="str">
        <v/>
      </c>
      <c r="F24751" s="102" t="str">
        <f ca="1">IFERROR(__xludf.DUMMYFUNCTION("IMPORTRANGE(H24751,""IDENTITAS UNIT!D9"")"),"#N/A")</f>
        <v>#N/A</v>
      </c>
      <c r="H24751" s="4" t="str">
        <v/>
      </c>
      <c r="I24751" s="4" t="str">
        <v/>
      </c>
    </row>
    <row r="24752" spans="5:9" ht="16.5" hidden="1">
      <c r="E24752" s="4" t="str">
        <v/>
      </c>
      <c r="F24752" s="102" t="str">
        <f ca="1">IFERROR(__xludf.DUMMYFUNCTION("IMPORTRANGE(H24752,""IDENTITAS UNIT!D9"")"),"#N/A")</f>
        <v>#N/A</v>
      </c>
      <c r="H24752" s="4" t="str">
        <v/>
      </c>
      <c r="I24752" s="4" t="str">
        <v/>
      </c>
    </row>
    <row r="24753" spans="5:9" ht="16.5" hidden="1">
      <c r="E24753" s="4" t="str">
        <v/>
      </c>
      <c r="F24753" s="102" t="str">
        <f ca="1">IFERROR(__xludf.DUMMYFUNCTION("IMPORTRANGE(H24753,""IDENTITAS UNIT!D9"")"),"#N/A")</f>
        <v>#N/A</v>
      </c>
      <c r="H24753" s="4" t="str">
        <v/>
      </c>
      <c r="I24753" s="4" t="str">
        <v/>
      </c>
    </row>
    <row r="24754" spans="5:9" ht="16.5" hidden="1">
      <c r="E24754" s="4" t="str">
        <v/>
      </c>
      <c r="F24754" s="102" t="str">
        <f ca="1">IFERROR(__xludf.DUMMYFUNCTION("IMPORTRANGE(H24754,""IDENTITAS UNIT!D9"")"),"#N/A")</f>
        <v>#N/A</v>
      </c>
      <c r="H24754" s="4" t="str">
        <v/>
      </c>
      <c r="I24754" s="4" t="str">
        <v/>
      </c>
    </row>
    <row r="24755" spans="5:9" ht="16.5" hidden="1">
      <c r="E24755" s="4" t="str">
        <v/>
      </c>
      <c r="F24755" s="102" t="str">
        <f ca="1">IFERROR(__xludf.DUMMYFUNCTION("IMPORTRANGE(H24755,""IDENTITAS UNIT!D9"")"),"#N/A")</f>
        <v>#N/A</v>
      </c>
      <c r="H24755" s="4" t="str">
        <v/>
      </c>
      <c r="I24755" s="4" t="str">
        <v/>
      </c>
    </row>
    <row r="24756" spans="5:9" ht="16.5" hidden="1">
      <c r="E24756" s="4" t="str">
        <v/>
      </c>
      <c r="F24756" s="102" t="str">
        <f ca="1">IFERROR(__xludf.DUMMYFUNCTION("IMPORTRANGE(H24756,""IDENTITAS UNIT!D9"")"),"#N/A")</f>
        <v>#N/A</v>
      </c>
      <c r="H24756" s="4" t="str">
        <v/>
      </c>
      <c r="I24756" s="4" t="str">
        <v/>
      </c>
    </row>
    <row r="24757" spans="5:9" ht="16.5" hidden="1">
      <c r="E24757" s="4" t="str">
        <v/>
      </c>
      <c r="F24757" s="102" t="str">
        <f ca="1">IFERROR(__xludf.DUMMYFUNCTION("IMPORTRANGE(H24757,""IDENTITAS UNIT!D9"")"),"#N/A")</f>
        <v>#N/A</v>
      </c>
      <c r="H24757" s="4" t="str">
        <v/>
      </c>
      <c r="I24757" s="4" t="str">
        <v/>
      </c>
    </row>
    <row r="24758" spans="5:9" ht="16.5" hidden="1">
      <c r="E24758" s="4" t="str">
        <v/>
      </c>
      <c r="F24758" s="102" t="str">
        <f ca="1">IFERROR(__xludf.DUMMYFUNCTION("IMPORTRANGE(H24758,""IDENTITAS UNIT!D9"")"),"#N/A")</f>
        <v>#N/A</v>
      </c>
      <c r="H24758" s="4" t="str">
        <v/>
      </c>
      <c r="I24758" s="4" t="str">
        <v/>
      </c>
    </row>
    <row r="24759" spans="5:9" ht="16.5" hidden="1">
      <c r="E24759" s="4" t="str">
        <v/>
      </c>
      <c r="F24759" s="102" t="str">
        <f ca="1">IFERROR(__xludf.DUMMYFUNCTION("IMPORTRANGE(H24759,""IDENTITAS UNIT!D9"")"),"#N/A")</f>
        <v>#N/A</v>
      </c>
      <c r="H24759" s="4" t="str">
        <v/>
      </c>
      <c r="I24759" s="4" t="str">
        <v/>
      </c>
    </row>
    <row r="24760" spans="5:9" ht="16.5" hidden="1">
      <c r="E24760" s="4" t="str">
        <v/>
      </c>
      <c r="F24760" s="102" t="str">
        <f ca="1">IFERROR(__xludf.DUMMYFUNCTION("IMPORTRANGE(H24760,""IDENTITAS UNIT!D9"")"),"#N/A")</f>
        <v>#N/A</v>
      </c>
      <c r="H24760" s="4" t="str">
        <v/>
      </c>
      <c r="I24760" s="4" t="str">
        <v/>
      </c>
    </row>
    <row r="24761" spans="5:9" ht="16.5" hidden="1">
      <c r="E24761" s="4" t="str">
        <v/>
      </c>
      <c r="F24761" s="102" t="str">
        <f ca="1">IFERROR(__xludf.DUMMYFUNCTION("IMPORTRANGE(H24761,""IDENTITAS UNIT!D9"")"),"#N/A")</f>
        <v>#N/A</v>
      </c>
      <c r="H24761" s="4" t="str">
        <v/>
      </c>
      <c r="I24761" s="4" t="str">
        <v/>
      </c>
    </row>
    <row r="24762" spans="5:9" ht="16.5" hidden="1">
      <c r="E24762" s="4" t="str">
        <v/>
      </c>
      <c r="F24762" s="102" t="str">
        <f ca="1">IFERROR(__xludf.DUMMYFUNCTION("IMPORTRANGE(H24762,""IDENTITAS UNIT!D9"")"),"#N/A")</f>
        <v>#N/A</v>
      </c>
      <c r="H24762" s="4" t="str">
        <v/>
      </c>
      <c r="I24762" s="4" t="str">
        <v/>
      </c>
    </row>
    <row r="24763" spans="5:9" ht="16.5" hidden="1">
      <c r="E24763" s="4" t="str">
        <v/>
      </c>
      <c r="F24763" s="102" t="str">
        <f ca="1">IFERROR(__xludf.DUMMYFUNCTION("IMPORTRANGE(H24763,""IDENTITAS UNIT!D9"")"),"#N/A")</f>
        <v>#N/A</v>
      </c>
      <c r="H24763" s="4" t="str">
        <v/>
      </c>
      <c r="I24763" s="4" t="str">
        <v/>
      </c>
    </row>
    <row r="24764" spans="5:9" ht="16.5" hidden="1">
      <c r="E24764" s="4" t="str">
        <v/>
      </c>
      <c r="F24764" s="102" t="str">
        <f ca="1">IFERROR(__xludf.DUMMYFUNCTION("IMPORTRANGE(H24764,""IDENTITAS UNIT!D9"")"),"#N/A")</f>
        <v>#N/A</v>
      </c>
      <c r="H24764" s="4" t="str">
        <v/>
      </c>
      <c r="I24764" s="4" t="str">
        <v/>
      </c>
    </row>
    <row r="24765" spans="5:9" ht="16.5" hidden="1">
      <c r="E24765" s="4" t="str">
        <v/>
      </c>
      <c r="F24765" s="102" t="str">
        <f ca="1">IFERROR(__xludf.DUMMYFUNCTION("IMPORTRANGE(H24765,""IDENTITAS UNIT!D9"")"),"#N/A")</f>
        <v>#N/A</v>
      </c>
      <c r="H24765" s="4" t="str">
        <v/>
      </c>
      <c r="I24765" s="4" t="str">
        <v/>
      </c>
    </row>
    <row r="24766" spans="5:9" ht="16.5" hidden="1">
      <c r="E24766" s="4" t="str">
        <v/>
      </c>
      <c r="F24766" s="102" t="str">
        <f ca="1">IFERROR(__xludf.DUMMYFUNCTION("IMPORTRANGE(H24766,""IDENTITAS UNIT!D9"")"),"#N/A")</f>
        <v>#N/A</v>
      </c>
      <c r="H24766" s="4" t="str">
        <v/>
      </c>
      <c r="I24766" s="4" t="str">
        <v/>
      </c>
    </row>
    <row r="24767" spans="5:9" ht="16.5" hidden="1">
      <c r="E24767" s="4" t="str">
        <v/>
      </c>
      <c r="F24767" s="102" t="str">
        <f ca="1">IFERROR(__xludf.DUMMYFUNCTION("IMPORTRANGE(H24767,""IDENTITAS UNIT!D9"")"),"#N/A")</f>
        <v>#N/A</v>
      </c>
      <c r="H24767" s="4" t="str">
        <v/>
      </c>
      <c r="I24767" s="4" t="str">
        <v/>
      </c>
    </row>
    <row r="24768" spans="5:9" ht="16.5" hidden="1">
      <c r="E24768" s="4" t="str">
        <v/>
      </c>
      <c r="F24768" s="102" t="str">
        <f ca="1">IFERROR(__xludf.DUMMYFUNCTION("IMPORTRANGE(H24768,""IDENTITAS UNIT!D9"")"),"#N/A")</f>
        <v>#N/A</v>
      </c>
      <c r="H24768" s="4" t="str">
        <v/>
      </c>
      <c r="I24768" s="4" t="str">
        <v/>
      </c>
    </row>
    <row r="24769" spans="5:9" ht="16.5" hidden="1">
      <c r="E24769" s="4" t="str">
        <v/>
      </c>
      <c r="F24769" s="102" t="str">
        <f ca="1">IFERROR(__xludf.DUMMYFUNCTION("IMPORTRANGE(H24769,""IDENTITAS UNIT!D9"")"),"#N/A")</f>
        <v>#N/A</v>
      </c>
      <c r="H24769" s="4" t="str">
        <v/>
      </c>
      <c r="I24769" s="4" t="str">
        <v/>
      </c>
    </row>
    <row r="24770" spans="5:9" ht="16.5" hidden="1">
      <c r="E24770" s="4" t="str">
        <v/>
      </c>
      <c r="F24770" s="102" t="str">
        <f ca="1">IFERROR(__xludf.DUMMYFUNCTION("IMPORTRANGE(H24770,""IDENTITAS UNIT!D9"")"),"#N/A")</f>
        <v>#N/A</v>
      </c>
      <c r="H24770" s="4" t="str">
        <v/>
      </c>
      <c r="I24770" s="4" t="str">
        <v/>
      </c>
    </row>
    <row r="24771" spans="5:9" ht="16.5" hidden="1">
      <c r="E24771" s="4" t="str">
        <v/>
      </c>
      <c r="F24771" s="102" t="str">
        <f ca="1">IFERROR(__xludf.DUMMYFUNCTION("IMPORTRANGE(H24771,""IDENTITAS UNIT!D9"")"),"#N/A")</f>
        <v>#N/A</v>
      </c>
      <c r="H24771" s="4" t="str">
        <v/>
      </c>
      <c r="I24771" s="4" t="str">
        <v/>
      </c>
    </row>
    <row r="24772" spans="5:9" ht="16.5" hidden="1">
      <c r="E24772" s="4" t="str">
        <v/>
      </c>
      <c r="F24772" s="102" t="str">
        <f ca="1">IFERROR(__xludf.DUMMYFUNCTION("IMPORTRANGE(H24772,""IDENTITAS UNIT!D9"")"),"#N/A")</f>
        <v>#N/A</v>
      </c>
      <c r="H24772" s="4" t="str">
        <v/>
      </c>
      <c r="I24772" s="4" t="str">
        <v/>
      </c>
    </row>
    <row r="24773" spans="5:9" ht="16.5" hidden="1">
      <c r="E24773" s="4" t="str">
        <v/>
      </c>
      <c r="F24773" s="102" t="str">
        <f ca="1">IFERROR(__xludf.DUMMYFUNCTION("IMPORTRANGE(H24773,""IDENTITAS UNIT!D9"")"),"#N/A")</f>
        <v>#N/A</v>
      </c>
      <c r="H24773" s="4" t="str">
        <v/>
      </c>
      <c r="I24773" s="4" t="str">
        <v/>
      </c>
    </row>
    <row r="24774" spans="5:9" ht="16.5" hidden="1">
      <c r="E24774" s="4" t="str">
        <v/>
      </c>
      <c r="F24774" s="102" t="str">
        <f ca="1">IFERROR(__xludf.DUMMYFUNCTION("IMPORTRANGE(H24774,""IDENTITAS UNIT!D9"")"),"#N/A")</f>
        <v>#N/A</v>
      </c>
      <c r="H24774" s="4" t="str">
        <v/>
      </c>
      <c r="I24774" s="4" t="str">
        <v/>
      </c>
    </row>
    <row r="24775" spans="5:9" ht="16.5" hidden="1">
      <c r="E24775" s="4" t="str">
        <v/>
      </c>
      <c r="F24775" s="102" t="str">
        <f ca="1">IFERROR(__xludf.DUMMYFUNCTION("IMPORTRANGE(H24775,""IDENTITAS UNIT!D9"")"),"#N/A")</f>
        <v>#N/A</v>
      </c>
      <c r="H24775" s="4" t="str">
        <v/>
      </c>
      <c r="I24775" s="4" t="str">
        <v/>
      </c>
    </row>
    <row r="24776" spans="5:9" ht="16.5" hidden="1">
      <c r="E24776" s="4" t="str">
        <v/>
      </c>
      <c r="F24776" s="102" t="str">
        <f ca="1">IFERROR(__xludf.DUMMYFUNCTION("IMPORTRANGE(H24776,""IDENTITAS UNIT!D9"")"),"#N/A")</f>
        <v>#N/A</v>
      </c>
      <c r="H24776" s="4" t="str">
        <v/>
      </c>
      <c r="I24776" s="4" t="str">
        <v/>
      </c>
    </row>
    <row r="24777" spans="5:9" ht="16.5" hidden="1">
      <c r="E24777" s="4" t="str">
        <v/>
      </c>
      <c r="F24777" s="102" t="str">
        <f ca="1">IFERROR(__xludf.DUMMYFUNCTION("IMPORTRANGE(H24777,""IDENTITAS UNIT!D9"")"),"#N/A")</f>
        <v>#N/A</v>
      </c>
      <c r="H24777" s="4" t="str">
        <v/>
      </c>
      <c r="I24777" s="4" t="str">
        <v/>
      </c>
    </row>
    <row r="24778" spans="5:9" ht="16.5" hidden="1">
      <c r="E24778" s="4" t="str">
        <v/>
      </c>
      <c r="F24778" s="102" t="str">
        <f ca="1">IFERROR(__xludf.DUMMYFUNCTION("IMPORTRANGE(H24778,""IDENTITAS UNIT!D9"")"),"#N/A")</f>
        <v>#N/A</v>
      </c>
      <c r="H24778" s="4" t="str">
        <v/>
      </c>
      <c r="I24778" s="4" t="str">
        <v/>
      </c>
    </row>
    <row r="24779" spans="5:9" ht="16.5" hidden="1">
      <c r="E24779" s="4" t="str">
        <v/>
      </c>
      <c r="F24779" s="102" t="str">
        <f ca="1">IFERROR(__xludf.DUMMYFUNCTION("IMPORTRANGE(H24779,""IDENTITAS UNIT!D9"")"),"#N/A")</f>
        <v>#N/A</v>
      </c>
      <c r="H24779" s="4" t="str">
        <v/>
      </c>
      <c r="I24779" s="4" t="str">
        <v/>
      </c>
    </row>
    <row r="24780" spans="5:9" ht="16.5" hidden="1">
      <c r="E24780" s="4" t="str">
        <v/>
      </c>
      <c r="F24780" s="102" t="str">
        <f ca="1">IFERROR(__xludf.DUMMYFUNCTION("IMPORTRANGE(H24780,""IDENTITAS UNIT!D9"")"),"#N/A")</f>
        <v>#N/A</v>
      </c>
      <c r="H24780" s="4" t="str">
        <v/>
      </c>
      <c r="I24780" s="4" t="str">
        <v/>
      </c>
    </row>
    <row r="24781" spans="5:9" ht="16.5" hidden="1">
      <c r="E24781" s="4" t="str">
        <v/>
      </c>
      <c r="F24781" s="102" t="str">
        <f ca="1">IFERROR(__xludf.DUMMYFUNCTION("IMPORTRANGE(H24781,""IDENTITAS UNIT!D9"")"),"#N/A")</f>
        <v>#N/A</v>
      </c>
      <c r="H24781" s="4" t="str">
        <v/>
      </c>
      <c r="I24781" s="4" t="str">
        <v/>
      </c>
    </row>
    <row r="24782" spans="5:9" ht="16.5" hidden="1">
      <c r="E24782" s="4" t="str">
        <v/>
      </c>
      <c r="F24782" s="102" t="str">
        <f ca="1">IFERROR(__xludf.DUMMYFUNCTION("IMPORTRANGE(H24782,""IDENTITAS UNIT!D9"")"),"#N/A")</f>
        <v>#N/A</v>
      </c>
      <c r="H24782" s="4" t="str">
        <v/>
      </c>
      <c r="I24782" s="4" t="str">
        <v/>
      </c>
    </row>
    <row r="24783" spans="5:9" ht="16.5" hidden="1">
      <c r="E24783" s="4" t="str">
        <v/>
      </c>
      <c r="F24783" s="102" t="str">
        <f ca="1">IFERROR(__xludf.DUMMYFUNCTION("IMPORTRANGE(H24783,""IDENTITAS UNIT!D9"")"),"#N/A")</f>
        <v>#N/A</v>
      </c>
      <c r="H24783" s="4" t="str">
        <v/>
      </c>
      <c r="I24783" s="4" t="str">
        <v/>
      </c>
    </row>
    <row r="24784" spans="5:9" ht="16.5" hidden="1">
      <c r="E24784" s="4" t="str">
        <v/>
      </c>
      <c r="F24784" s="102" t="str">
        <f ca="1">IFERROR(__xludf.DUMMYFUNCTION("IMPORTRANGE(H24784,""IDENTITAS UNIT!D9"")"),"#N/A")</f>
        <v>#N/A</v>
      </c>
      <c r="H24784" s="4" t="str">
        <v/>
      </c>
      <c r="I24784" s="4" t="str">
        <v/>
      </c>
    </row>
    <row r="24785" spans="5:9" ht="16.5" hidden="1">
      <c r="E24785" s="4" t="str">
        <v/>
      </c>
      <c r="F24785" s="102" t="str">
        <f ca="1">IFERROR(__xludf.DUMMYFUNCTION("IMPORTRANGE(H24785,""IDENTITAS UNIT!D9"")"),"#N/A")</f>
        <v>#N/A</v>
      </c>
      <c r="H24785" s="4" t="str">
        <v/>
      </c>
      <c r="I24785" s="4" t="str">
        <v/>
      </c>
    </row>
    <row r="24786" spans="5:9" ht="16.5" hidden="1">
      <c r="E24786" s="4" t="str">
        <v/>
      </c>
      <c r="F24786" s="102" t="str">
        <f ca="1">IFERROR(__xludf.DUMMYFUNCTION("IMPORTRANGE(H24786,""IDENTITAS UNIT!D9"")"),"#N/A")</f>
        <v>#N/A</v>
      </c>
      <c r="H24786" s="4" t="str">
        <v/>
      </c>
      <c r="I24786" s="4" t="str">
        <v/>
      </c>
    </row>
    <row r="24787" spans="5:9" ht="16.5" hidden="1">
      <c r="E24787" s="4" t="str">
        <v/>
      </c>
      <c r="F24787" s="102" t="str">
        <f ca="1">IFERROR(__xludf.DUMMYFUNCTION("IMPORTRANGE(H24787,""IDENTITAS UNIT!D9"")"),"#N/A")</f>
        <v>#N/A</v>
      </c>
      <c r="H24787" s="4" t="str">
        <v/>
      </c>
      <c r="I24787" s="4" t="str">
        <v/>
      </c>
    </row>
    <row r="24788" spans="5:9" ht="16.5" hidden="1">
      <c r="E24788" s="4" t="str">
        <v/>
      </c>
      <c r="F24788" s="102" t="str">
        <f ca="1">IFERROR(__xludf.DUMMYFUNCTION("IMPORTRANGE(H24788,""IDENTITAS UNIT!D9"")"),"#N/A")</f>
        <v>#N/A</v>
      </c>
      <c r="H24788" s="4" t="str">
        <v/>
      </c>
      <c r="I24788" s="4" t="str">
        <v/>
      </c>
    </row>
    <row r="24789" spans="5:9" ht="16.5" hidden="1">
      <c r="E24789" s="4" t="str">
        <v/>
      </c>
      <c r="F24789" s="102" t="str">
        <f ca="1">IFERROR(__xludf.DUMMYFUNCTION("IMPORTRANGE(H24789,""IDENTITAS UNIT!D9"")"),"#N/A")</f>
        <v>#N/A</v>
      </c>
      <c r="H24789" s="4" t="str">
        <v/>
      </c>
      <c r="I24789" s="4" t="str">
        <v/>
      </c>
    </row>
    <row r="24790" spans="5:9" ht="16.5" hidden="1">
      <c r="E24790" s="4" t="str">
        <v/>
      </c>
      <c r="F24790" s="102" t="str">
        <f ca="1">IFERROR(__xludf.DUMMYFUNCTION("IMPORTRANGE(H24790,""IDENTITAS UNIT!D9"")"),"#N/A")</f>
        <v>#N/A</v>
      </c>
      <c r="H24790" s="4" t="str">
        <v/>
      </c>
      <c r="I24790" s="4" t="str">
        <v/>
      </c>
    </row>
    <row r="24791" spans="5:9" ht="16.5" hidden="1">
      <c r="E24791" s="4" t="str">
        <v/>
      </c>
      <c r="F24791" s="102" t="str">
        <f ca="1">IFERROR(__xludf.DUMMYFUNCTION("IMPORTRANGE(H24791,""IDENTITAS UNIT!D9"")"),"#N/A")</f>
        <v>#N/A</v>
      </c>
      <c r="H24791" s="4" t="str">
        <v/>
      </c>
      <c r="I24791" s="4" t="str">
        <v/>
      </c>
    </row>
    <row r="24792" spans="5:9" ht="16.5" hidden="1">
      <c r="E24792" s="4" t="str">
        <v/>
      </c>
      <c r="F24792" s="102" t="str">
        <f ca="1">IFERROR(__xludf.DUMMYFUNCTION("IMPORTRANGE(H24792,""IDENTITAS UNIT!D9"")"),"#N/A")</f>
        <v>#N/A</v>
      </c>
      <c r="H24792" s="4" t="str">
        <v/>
      </c>
      <c r="I24792" s="4" t="str">
        <v/>
      </c>
    </row>
    <row r="24793" spans="5:9" ht="16.5" hidden="1">
      <c r="E24793" s="4" t="str">
        <v/>
      </c>
      <c r="F24793" s="102" t="str">
        <f ca="1">IFERROR(__xludf.DUMMYFUNCTION("IMPORTRANGE(H24793,""IDENTITAS UNIT!D9"")"),"#N/A")</f>
        <v>#N/A</v>
      </c>
      <c r="H24793" s="4" t="str">
        <v/>
      </c>
      <c r="I24793" s="4" t="str">
        <v/>
      </c>
    </row>
    <row r="24794" spans="5:9" ht="16.5" hidden="1">
      <c r="E24794" s="4" t="str">
        <v/>
      </c>
      <c r="F24794" s="102" t="str">
        <f ca="1">IFERROR(__xludf.DUMMYFUNCTION("IMPORTRANGE(H24794,""IDENTITAS UNIT!D9"")"),"#N/A")</f>
        <v>#N/A</v>
      </c>
      <c r="H24794" s="4" t="str">
        <v/>
      </c>
      <c r="I24794" s="4" t="str">
        <v/>
      </c>
    </row>
    <row r="24795" spans="5:9" ht="16.5" hidden="1">
      <c r="E24795" s="4" t="str">
        <v/>
      </c>
      <c r="F24795" s="102" t="str">
        <f ca="1">IFERROR(__xludf.DUMMYFUNCTION("IMPORTRANGE(H24795,""IDENTITAS UNIT!D9"")"),"#N/A")</f>
        <v>#N/A</v>
      </c>
      <c r="H24795" s="4" t="str">
        <v/>
      </c>
      <c r="I24795" s="4" t="str">
        <v/>
      </c>
    </row>
    <row r="24796" spans="5:9" ht="16.5" hidden="1">
      <c r="E24796" s="4" t="str">
        <v/>
      </c>
      <c r="F24796" s="102" t="str">
        <f ca="1">IFERROR(__xludf.DUMMYFUNCTION("IMPORTRANGE(H24796,""IDENTITAS UNIT!D9"")"),"#N/A")</f>
        <v>#N/A</v>
      </c>
      <c r="H24796" s="4" t="str">
        <v/>
      </c>
      <c r="I24796" s="4" t="str">
        <v/>
      </c>
    </row>
    <row r="24797" spans="5:9" ht="16.5" hidden="1">
      <c r="E24797" s="4" t="str">
        <v/>
      </c>
      <c r="F24797" s="102" t="str">
        <f ca="1">IFERROR(__xludf.DUMMYFUNCTION("IMPORTRANGE(H24797,""IDENTITAS UNIT!D9"")"),"#N/A")</f>
        <v>#N/A</v>
      </c>
      <c r="H24797" s="4" t="str">
        <v/>
      </c>
      <c r="I24797" s="4" t="str">
        <v/>
      </c>
    </row>
    <row r="24798" spans="5:9" ht="16.5" hidden="1">
      <c r="E24798" s="4" t="str">
        <v/>
      </c>
      <c r="F24798" s="102" t="str">
        <f ca="1">IFERROR(__xludf.DUMMYFUNCTION("IMPORTRANGE(H24798,""IDENTITAS UNIT!D9"")"),"#N/A")</f>
        <v>#N/A</v>
      </c>
      <c r="H24798" s="4" t="str">
        <v/>
      </c>
      <c r="I24798" s="4" t="str">
        <v/>
      </c>
    </row>
    <row r="24799" spans="5:9" ht="16.5" hidden="1">
      <c r="E24799" s="4" t="str">
        <v/>
      </c>
      <c r="F24799" s="102" t="str">
        <f ca="1">IFERROR(__xludf.DUMMYFUNCTION("IMPORTRANGE(H24799,""IDENTITAS UNIT!D9"")"),"#N/A")</f>
        <v>#N/A</v>
      </c>
      <c r="H24799" s="4" t="str">
        <v/>
      </c>
      <c r="I24799" s="4" t="str">
        <v/>
      </c>
    </row>
    <row r="24800" spans="5:9" ht="16.5" hidden="1">
      <c r="E24800" s="4" t="str">
        <v/>
      </c>
      <c r="F24800" s="102" t="str">
        <f ca="1">IFERROR(__xludf.DUMMYFUNCTION("IMPORTRANGE(H24800,""IDENTITAS UNIT!D9"")"),"#N/A")</f>
        <v>#N/A</v>
      </c>
      <c r="H24800" s="4" t="str">
        <v/>
      </c>
      <c r="I24800" s="4" t="str">
        <v/>
      </c>
    </row>
    <row r="24801" spans="5:9" ht="16.5" hidden="1">
      <c r="E24801" s="4" t="str">
        <v/>
      </c>
      <c r="F24801" s="102" t="str">
        <f ca="1">IFERROR(__xludf.DUMMYFUNCTION("IMPORTRANGE(H24801,""IDENTITAS UNIT!D9"")"),"#N/A")</f>
        <v>#N/A</v>
      </c>
      <c r="H24801" s="4" t="str">
        <v/>
      </c>
      <c r="I24801" s="4" t="str">
        <v/>
      </c>
    </row>
    <row r="24802" spans="5:9" ht="16.5" hidden="1">
      <c r="E24802" s="4" t="str">
        <v/>
      </c>
      <c r="F24802" s="102" t="str">
        <f ca="1">IFERROR(__xludf.DUMMYFUNCTION("IMPORTRANGE(H24802,""IDENTITAS UNIT!D9"")"),"#N/A")</f>
        <v>#N/A</v>
      </c>
      <c r="H24802" s="4" t="str">
        <v/>
      </c>
      <c r="I24802" s="4" t="str">
        <v/>
      </c>
    </row>
    <row r="24803" spans="5:9" ht="16.5" hidden="1">
      <c r="E24803" s="4" t="str">
        <v/>
      </c>
      <c r="F24803" s="102" t="str">
        <f ca="1">IFERROR(__xludf.DUMMYFUNCTION("IMPORTRANGE(H24803,""IDENTITAS UNIT!D9"")"),"#N/A")</f>
        <v>#N/A</v>
      </c>
      <c r="H24803" s="4" t="str">
        <v/>
      </c>
      <c r="I24803" s="4" t="str">
        <v/>
      </c>
    </row>
    <row r="24804" spans="5:9" ht="16.5" hidden="1">
      <c r="E24804" s="4" t="str">
        <v/>
      </c>
      <c r="F24804" s="102" t="str">
        <f ca="1">IFERROR(__xludf.DUMMYFUNCTION("IMPORTRANGE(H24804,""IDENTITAS UNIT!D9"")"),"#N/A")</f>
        <v>#N/A</v>
      </c>
      <c r="H24804" s="4" t="str">
        <v/>
      </c>
      <c r="I24804" s="4" t="str">
        <v/>
      </c>
    </row>
    <row r="24805" spans="5:9" ht="16.5" hidden="1">
      <c r="E24805" s="4" t="str">
        <v/>
      </c>
      <c r="F24805" s="102" t="str">
        <f ca="1">IFERROR(__xludf.DUMMYFUNCTION("IMPORTRANGE(H24805,""IDENTITAS UNIT!D9"")"),"#N/A")</f>
        <v>#N/A</v>
      </c>
      <c r="H24805" s="4" t="str">
        <v/>
      </c>
      <c r="I24805" s="4" t="str">
        <v/>
      </c>
    </row>
    <row r="24806" spans="5:9" ht="16.5" hidden="1">
      <c r="E24806" s="4" t="str">
        <v/>
      </c>
      <c r="F24806" s="102" t="str">
        <f ca="1">IFERROR(__xludf.DUMMYFUNCTION("IMPORTRANGE(H24806,""IDENTITAS UNIT!D9"")"),"#N/A")</f>
        <v>#N/A</v>
      </c>
      <c r="H24806" s="4" t="str">
        <v/>
      </c>
      <c r="I24806" s="4" t="str">
        <v/>
      </c>
    </row>
    <row r="24807" spans="5:9" ht="16.5" hidden="1">
      <c r="E24807" s="4" t="str">
        <v/>
      </c>
      <c r="F24807" s="102" t="str">
        <f ca="1">IFERROR(__xludf.DUMMYFUNCTION("IMPORTRANGE(H24807,""IDENTITAS UNIT!D9"")"),"#N/A")</f>
        <v>#N/A</v>
      </c>
      <c r="H24807" s="4" t="str">
        <v/>
      </c>
      <c r="I24807" s="4" t="str">
        <v/>
      </c>
    </row>
    <row r="24808" spans="5:9" ht="16.5" hidden="1">
      <c r="E24808" s="4" t="str">
        <v/>
      </c>
      <c r="F24808" s="102" t="str">
        <f ca="1">IFERROR(__xludf.DUMMYFUNCTION("IMPORTRANGE(H24808,""IDENTITAS UNIT!D9"")"),"#N/A")</f>
        <v>#N/A</v>
      </c>
      <c r="H24808" s="4" t="str">
        <v/>
      </c>
      <c r="I24808" s="4" t="str">
        <v/>
      </c>
    </row>
    <row r="24809" spans="5:9" ht="16.5" hidden="1">
      <c r="E24809" s="4" t="str">
        <v/>
      </c>
      <c r="F24809" s="102" t="str">
        <f ca="1">IFERROR(__xludf.DUMMYFUNCTION("IMPORTRANGE(H24809,""IDENTITAS UNIT!D9"")"),"#N/A")</f>
        <v>#N/A</v>
      </c>
      <c r="H24809" s="4" t="str">
        <v/>
      </c>
      <c r="I24809" s="4" t="str">
        <v/>
      </c>
    </row>
    <row r="24810" spans="5:9" ht="16.5" hidden="1">
      <c r="E24810" s="4" t="str">
        <v/>
      </c>
      <c r="F24810" s="102" t="str">
        <f ca="1">IFERROR(__xludf.DUMMYFUNCTION("IMPORTRANGE(H24810,""IDENTITAS UNIT!D9"")"),"#N/A")</f>
        <v>#N/A</v>
      </c>
      <c r="H24810" s="4" t="str">
        <v/>
      </c>
      <c r="I24810" s="4" t="str">
        <v/>
      </c>
    </row>
    <row r="24811" spans="5:9" ht="16.5" hidden="1">
      <c r="E24811" s="4" t="str">
        <v/>
      </c>
      <c r="F24811" s="102" t="str">
        <f ca="1">IFERROR(__xludf.DUMMYFUNCTION("IMPORTRANGE(H24811,""IDENTITAS UNIT!D9"")"),"#N/A")</f>
        <v>#N/A</v>
      </c>
      <c r="H24811" s="4" t="str">
        <v/>
      </c>
      <c r="I24811" s="4" t="str">
        <v/>
      </c>
    </row>
    <row r="24812" spans="5:9" ht="16.5" hidden="1">
      <c r="E24812" s="4" t="str">
        <v/>
      </c>
      <c r="F24812" s="102" t="str">
        <f ca="1">IFERROR(__xludf.DUMMYFUNCTION("IMPORTRANGE(H24812,""IDENTITAS UNIT!D9"")"),"#N/A")</f>
        <v>#N/A</v>
      </c>
      <c r="H24812" s="4" t="str">
        <v/>
      </c>
      <c r="I24812" s="4" t="str">
        <v/>
      </c>
    </row>
    <row r="24813" spans="5:9" ht="16.5" hidden="1">
      <c r="E24813" s="4" t="str">
        <v/>
      </c>
      <c r="F24813" s="102" t="str">
        <f ca="1">IFERROR(__xludf.DUMMYFUNCTION("IMPORTRANGE(H24813,""IDENTITAS UNIT!D9"")"),"#N/A")</f>
        <v>#N/A</v>
      </c>
      <c r="H24813" s="4" t="str">
        <v/>
      </c>
      <c r="I24813" s="4" t="str">
        <v/>
      </c>
    </row>
    <row r="24814" spans="5:9" ht="16.5" hidden="1">
      <c r="E24814" s="4" t="str">
        <v/>
      </c>
      <c r="F24814" s="102" t="str">
        <f ca="1">IFERROR(__xludf.DUMMYFUNCTION("IMPORTRANGE(H24814,""IDENTITAS UNIT!D9"")"),"#N/A")</f>
        <v>#N/A</v>
      </c>
      <c r="H24814" s="4" t="str">
        <v/>
      </c>
      <c r="I24814" s="4" t="str">
        <v/>
      </c>
    </row>
    <row r="24815" spans="5:9" ht="16.5" hidden="1">
      <c r="E24815" s="4" t="str">
        <v/>
      </c>
      <c r="F24815" s="102" t="str">
        <f ca="1">IFERROR(__xludf.DUMMYFUNCTION("IMPORTRANGE(H24815,""IDENTITAS UNIT!D9"")"),"#N/A")</f>
        <v>#N/A</v>
      </c>
      <c r="H24815" s="4" t="str">
        <v/>
      </c>
      <c r="I24815" s="4" t="str">
        <v/>
      </c>
    </row>
    <row r="24816" spans="5:9" ht="16.5" hidden="1">
      <c r="E24816" s="4" t="str">
        <v/>
      </c>
      <c r="F24816" s="102" t="str">
        <f ca="1">IFERROR(__xludf.DUMMYFUNCTION("IMPORTRANGE(H24816,""IDENTITAS UNIT!D9"")"),"#N/A")</f>
        <v>#N/A</v>
      </c>
      <c r="H24816" s="4" t="str">
        <v/>
      </c>
      <c r="I24816" s="4" t="str">
        <v/>
      </c>
    </row>
    <row r="24817" spans="5:9" ht="16.5" hidden="1">
      <c r="E24817" s="4" t="str">
        <v/>
      </c>
      <c r="F24817" s="102" t="str">
        <f ca="1">IFERROR(__xludf.DUMMYFUNCTION("IMPORTRANGE(H24817,""IDENTITAS UNIT!D9"")"),"#N/A")</f>
        <v>#N/A</v>
      </c>
      <c r="H24817" s="4" t="str">
        <v/>
      </c>
      <c r="I24817" s="4" t="str">
        <v/>
      </c>
    </row>
    <row r="24818" spans="5:9" ht="16.5" hidden="1">
      <c r="E24818" s="4" t="str">
        <v/>
      </c>
      <c r="F24818" s="102" t="str">
        <f ca="1">IFERROR(__xludf.DUMMYFUNCTION("IMPORTRANGE(H24818,""IDENTITAS UNIT!D9"")"),"#N/A")</f>
        <v>#N/A</v>
      </c>
      <c r="H24818" s="4" t="str">
        <v/>
      </c>
      <c r="I24818" s="4" t="str">
        <v/>
      </c>
    </row>
    <row r="24819" spans="5:9" ht="16.5" hidden="1">
      <c r="E24819" s="4" t="str">
        <v/>
      </c>
      <c r="F24819" s="102" t="str">
        <f ca="1">IFERROR(__xludf.DUMMYFUNCTION("IMPORTRANGE(H24819,""IDENTITAS UNIT!D9"")"),"#N/A")</f>
        <v>#N/A</v>
      </c>
      <c r="H24819" s="4" t="str">
        <v/>
      </c>
      <c r="I24819" s="4" t="str">
        <v/>
      </c>
    </row>
    <row r="24820" spans="5:9" ht="16.5" hidden="1">
      <c r="E24820" s="4" t="str">
        <v/>
      </c>
      <c r="F24820" s="102" t="str">
        <f ca="1">IFERROR(__xludf.DUMMYFUNCTION("IMPORTRANGE(H24820,""IDENTITAS UNIT!D9"")"),"#N/A")</f>
        <v>#N/A</v>
      </c>
      <c r="H24820" s="4" t="str">
        <v/>
      </c>
      <c r="I24820" s="4" t="str">
        <v/>
      </c>
    </row>
    <row r="24821" spans="5:9" ht="16.5" hidden="1">
      <c r="E24821" s="4" t="str">
        <v/>
      </c>
      <c r="F24821" s="102" t="str">
        <f ca="1">IFERROR(__xludf.DUMMYFUNCTION("IMPORTRANGE(H24821,""IDENTITAS UNIT!D9"")"),"#N/A")</f>
        <v>#N/A</v>
      </c>
      <c r="H24821" s="4" t="str">
        <v/>
      </c>
      <c r="I24821" s="4" t="str">
        <v/>
      </c>
    </row>
    <row r="24822" spans="5:9" ht="16.5" hidden="1">
      <c r="E24822" s="4" t="str">
        <v/>
      </c>
      <c r="F24822" s="102" t="str">
        <f ca="1">IFERROR(__xludf.DUMMYFUNCTION("IMPORTRANGE(H24822,""IDENTITAS UNIT!D9"")"),"#N/A")</f>
        <v>#N/A</v>
      </c>
      <c r="H24822" s="4" t="str">
        <v/>
      </c>
      <c r="I24822" s="4" t="str">
        <v/>
      </c>
    </row>
    <row r="24823" spans="5:9" ht="16.5" hidden="1">
      <c r="E24823" s="4" t="str">
        <v/>
      </c>
      <c r="F24823" s="102" t="str">
        <f ca="1">IFERROR(__xludf.DUMMYFUNCTION("IMPORTRANGE(H24823,""IDENTITAS UNIT!D9"")"),"#N/A")</f>
        <v>#N/A</v>
      </c>
      <c r="H24823" s="4" t="str">
        <v/>
      </c>
      <c r="I24823" s="4" t="str">
        <v/>
      </c>
    </row>
    <row r="24824" spans="5:9" ht="16.5" hidden="1">
      <c r="E24824" s="4" t="str">
        <v/>
      </c>
      <c r="F24824" s="102" t="str">
        <f ca="1">IFERROR(__xludf.DUMMYFUNCTION("IMPORTRANGE(H24824,""IDENTITAS UNIT!D9"")"),"#N/A")</f>
        <v>#N/A</v>
      </c>
      <c r="H24824" s="4" t="str">
        <v/>
      </c>
      <c r="I24824" s="4" t="str">
        <v/>
      </c>
    </row>
    <row r="24825" spans="5:9" ht="16.5" hidden="1">
      <c r="E24825" s="4" t="str">
        <v/>
      </c>
      <c r="F24825" s="102" t="str">
        <f ca="1">IFERROR(__xludf.DUMMYFUNCTION("IMPORTRANGE(H24825,""IDENTITAS UNIT!D9"")"),"#N/A")</f>
        <v>#N/A</v>
      </c>
      <c r="H24825" s="4" t="str">
        <v/>
      </c>
      <c r="I24825" s="4" t="str">
        <v/>
      </c>
    </row>
    <row r="24826" spans="5:9" ht="16.5" hidden="1">
      <c r="E24826" s="4" t="str">
        <v/>
      </c>
      <c r="F24826" s="102" t="str">
        <f ca="1">IFERROR(__xludf.DUMMYFUNCTION("IMPORTRANGE(H24826,""IDENTITAS UNIT!D9"")"),"#N/A")</f>
        <v>#N/A</v>
      </c>
      <c r="H24826" s="4" t="str">
        <v/>
      </c>
      <c r="I24826" s="4" t="str">
        <v/>
      </c>
    </row>
    <row r="24827" spans="5:9" ht="16.5" hidden="1">
      <c r="E24827" s="4" t="str">
        <v/>
      </c>
      <c r="F24827" s="102" t="str">
        <f ca="1">IFERROR(__xludf.DUMMYFUNCTION("IMPORTRANGE(H24827,""IDENTITAS UNIT!D9"")"),"#N/A")</f>
        <v>#N/A</v>
      </c>
      <c r="H24827" s="4" t="str">
        <v/>
      </c>
      <c r="I24827" s="4" t="str">
        <v/>
      </c>
    </row>
    <row r="24828" spans="5:9" ht="16.5" hidden="1">
      <c r="E24828" s="4" t="str">
        <v/>
      </c>
      <c r="F24828" s="102" t="str">
        <f ca="1">IFERROR(__xludf.DUMMYFUNCTION("IMPORTRANGE(H24828,""IDENTITAS UNIT!D9"")"),"#N/A")</f>
        <v>#N/A</v>
      </c>
      <c r="H24828" s="4" t="str">
        <v/>
      </c>
      <c r="I24828" s="4" t="str">
        <v/>
      </c>
    </row>
    <row r="24829" spans="5:9" ht="16.5" hidden="1">
      <c r="E24829" s="4" t="str">
        <v/>
      </c>
      <c r="F24829" s="102" t="str">
        <f ca="1">IFERROR(__xludf.DUMMYFUNCTION("IMPORTRANGE(H24829,""IDENTITAS UNIT!D9"")"),"#N/A")</f>
        <v>#N/A</v>
      </c>
      <c r="H24829" s="4" t="str">
        <v/>
      </c>
      <c r="I24829" s="4" t="str">
        <v/>
      </c>
    </row>
    <row r="24830" spans="5:9" ht="16.5" hidden="1">
      <c r="E24830" s="4" t="str">
        <v/>
      </c>
      <c r="F24830" s="102" t="str">
        <f ca="1">IFERROR(__xludf.DUMMYFUNCTION("IMPORTRANGE(H24830,""IDENTITAS UNIT!D9"")"),"#N/A")</f>
        <v>#N/A</v>
      </c>
      <c r="H24830" s="4" t="str">
        <v/>
      </c>
      <c r="I24830" s="4" t="str">
        <v/>
      </c>
    </row>
    <row r="24831" spans="5:9" ht="16.5" hidden="1">
      <c r="E24831" s="4" t="str">
        <v/>
      </c>
      <c r="F24831" s="102" t="str">
        <f ca="1">IFERROR(__xludf.DUMMYFUNCTION("IMPORTRANGE(H24831,""IDENTITAS UNIT!D9"")"),"#N/A")</f>
        <v>#N/A</v>
      </c>
      <c r="H24831" s="4" t="str">
        <v/>
      </c>
      <c r="I24831" s="4" t="str">
        <v/>
      </c>
    </row>
    <row r="24832" spans="5:9" ht="16.5" hidden="1">
      <c r="E24832" s="4" t="str">
        <v/>
      </c>
      <c r="F24832" s="102" t="str">
        <f ca="1">IFERROR(__xludf.DUMMYFUNCTION("IMPORTRANGE(H24832,""IDENTITAS UNIT!D9"")"),"#N/A")</f>
        <v>#N/A</v>
      </c>
      <c r="H24832" s="4" t="str">
        <v/>
      </c>
      <c r="I24832" s="4" t="str">
        <v/>
      </c>
    </row>
    <row r="24833" spans="5:9" ht="16.5" hidden="1">
      <c r="E24833" s="4" t="str">
        <v/>
      </c>
      <c r="F24833" s="102" t="str">
        <f ca="1">IFERROR(__xludf.DUMMYFUNCTION("IMPORTRANGE(H24833,""IDENTITAS UNIT!D9"")"),"#N/A")</f>
        <v>#N/A</v>
      </c>
      <c r="H24833" s="4" t="str">
        <v/>
      </c>
      <c r="I24833" s="4" t="str">
        <v/>
      </c>
    </row>
    <row r="24834" spans="5:9" ht="16.5" hidden="1">
      <c r="E24834" s="4" t="str">
        <v/>
      </c>
      <c r="F24834" s="102" t="str">
        <f ca="1">IFERROR(__xludf.DUMMYFUNCTION("IMPORTRANGE(H24834,""IDENTITAS UNIT!D9"")"),"#N/A")</f>
        <v>#N/A</v>
      </c>
      <c r="H24834" s="4" t="str">
        <v/>
      </c>
      <c r="I24834" s="4" t="str">
        <v/>
      </c>
    </row>
    <row r="24835" spans="5:9" ht="16.5" hidden="1">
      <c r="E24835" s="4" t="str">
        <v/>
      </c>
      <c r="F24835" s="102" t="str">
        <f ca="1">IFERROR(__xludf.DUMMYFUNCTION("IMPORTRANGE(H24835,""IDENTITAS UNIT!D9"")"),"#N/A")</f>
        <v>#N/A</v>
      </c>
      <c r="H24835" s="4" t="str">
        <v/>
      </c>
      <c r="I24835" s="4" t="str">
        <v/>
      </c>
    </row>
    <row r="24836" spans="5:9" ht="16.5" hidden="1">
      <c r="E24836" s="4" t="str">
        <v/>
      </c>
      <c r="F24836" s="102" t="str">
        <f ca="1">IFERROR(__xludf.DUMMYFUNCTION("IMPORTRANGE(H24836,""IDENTITAS UNIT!D9"")"),"#N/A")</f>
        <v>#N/A</v>
      </c>
      <c r="H24836" s="4" t="str">
        <v/>
      </c>
      <c r="I24836" s="4" t="str">
        <v/>
      </c>
    </row>
    <row r="24837" spans="5:9" ht="16.5" hidden="1">
      <c r="E24837" s="4" t="str">
        <v/>
      </c>
      <c r="F24837" s="102" t="str">
        <f ca="1">IFERROR(__xludf.DUMMYFUNCTION("IMPORTRANGE(H24837,""IDENTITAS UNIT!D9"")"),"#N/A")</f>
        <v>#N/A</v>
      </c>
      <c r="H24837" s="4" t="str">
        <v/>
      </c>
      <c r="I24837" s="4" t="str">
        <v/>
      </c>
    </row>
    <row r="24838" spans="5:9" ht="16.5" hidden="1">
      <c r="E24838" s="4" t="str">
        <v/>
      </c>
      <c r="F24838" s="102" t="str">
        <f ca="1">IFERROR(__xludf.DUMMYFUNCTION("IMPORTRANGE(H24838,""IDENTITAS UNIT!D9"")"),"#N/A")</f>
        <v>#N/A</v>
      </c>
      <c r="H24838" s="4" t="str">
        <v/>
      </c>
      <c r="I24838" s="4" t="str">
        <v/>
      </c>
    </row>
    <row r="24839" spans="5:9" ht="16.5" hidden="1">
      <c r="E24839" s="4" t="str">
        <v/>
      </c>
      <c r="F24839" s="102" t="str">
        <f ca="1">IFERROR(__xludf.DUMMYFUNCTION("IMPORTRANGE(H24839,""IDENTITAS UNIT!D9"")"),"#N/A")</f>
        <v>#N/A</v>
      </c>
      <c r="H24839" s="4" t="str">
        <v/>
      </c>
      <c r="I24839" s="4" t="str">
        <v/>
      </c>
    </row>
    <row r="24840" spans="5:9" ht="16.5" hidden="1">
      <c r="E24840" s="4" t="str">
        <v/>
      </c>
      <c r="F24840" s="102" t="str">
        <f ca="1">IFERROR(__xludf.DUMMYFUNCTION("IMPORTRANGE(H24840,""IDENTITAS UNIT!D9"")"),"#N/A")</f>
        <v>#N/A</v>
      </c>
      <c r="H24840" s="4" t="str">
        <v/>
      </c>
      <c r="I24840" s="4" t="str">
        <v/>
      </c>
    </row>
    <row r="24841" spans="5:9" ht="16.5" hidden="1">
      <c r="E24841" s="4" t="str">
        <v/>
      </c>
      <c r="F24841" s="102" t="str">
        <f ca="1">IFERROR(__xludf.DUMMYFUNCTION("IMPORTRANGE(H24841,""IDENTITAS UNIT!D9"")"),"#N/A")</f>
        <v>#N/A</v>
      </c>
      <c r="H24841" s="4" t="str">
        <v/>
      </c>
      <c r="I24841" s="4" t="str">
        <v/>
      </c>
    </row>
    <row r="24842" spans="5:9" ht="16.5" hidden="1">
      <c r="E24842" s="4" t="str">
        <v/>
      </c>
      <c r="F24842" s="102" t="str">
        <f ca="1">IFERROR(__xludf.DUMMYFUNCTION("IMPORTRANGE(H24842,""IDENTITAS UNIT!D9"")"),"#N/A")</f>
        <v>#N/A</v>
      </c>
      <c r="H24842" s="4" t="str">
        <v/>
      </c>
      <c r="I24842" s="4" t="str">
        <v/>
      </c>
    </row>
    <row r="24843" spans="5:9" ht="16.5" hidden="1">
      <c r="E24843" s="4" t="str">
        <v/>
      </c>
      <c r="F24843" s="102" t="str">
        <f ca="1">IFERROR(__xludf.DUMMYFUNCTION("IMPORTRANGE(H24843,""IDENTITAS UNIT!D9"")"),"#N/A")</f>
        <v>#N/A</v>
      </c>
      <c r="H24843" s="4" t="str">
        <v/>
      </c>
      <c r="I24843" s="4" t="str">
        <v/>
      </c>
    </row>
    <row r="24844" spans="5:9" ht="16.5" hidden="1">
      <c r="E24844" s="4" t="str">
        <v/>
      </c>
      <c r="F24844" s="102" t="str">
        <f ca="1">IFERROR(__xludf.DUMMYFUNCTION("IMPORTRANGE(H24844,""IDENTITAS UNIT!D9"")"),"#N/A")</f>
        <v>#N/A</v>
      </c>
      <c r="H24844" s="4" t="str">
        <v/>
      </c>
      <c r="I24844" s="4" t="str">
        <v/>
      </c>
    </row>
    <row r="24845" spans="5:9" ht="16.5" hidden="1">
      <c r="E24845" s="4" t="str">
        <v/>
      </c>
      <c r="F24845" s="102" t="str">
        <f ca="1">IFERROR(__xludf.DUMMYFUNCTION("IMPORTRANGE(H24845,""IDENTITAS UNIT!D9"")"),"#N/A")</f>
        <v>#N/A</v>
      </c>
      <c r="H24845" s="4" t="str">
        <v/>
      </c>
      <c r="I24845" s="4" t="str">
        <v/>
      </c>
    </row>
    <row r="24846" spans="5:9" ht="16.5" hidden="1">
      <c r="E24846" s="4" t="str">
        <v/>
      </c>
      <c r="F24846" s="102" t="str">
        <f ca="1">IFERROR(__xludf.DUMMYFUNCTION("IMPORTRANGE(H24846,""IDENTITAS UNIT!D9"")"),"#N/A")</f>
        <v>#N/A</v>
      </c>
      <c r="H24846" s="4" t="str">
        <v/>
      </c>
      <c r="I24846" s="4" t="str">
        <v/>
      </c>
    </row>
    <row r="24847" spans="5:9" ht="16.5" hidden="1">
      <c r="E24847" s="4" t="str">
        <v/>
      </c>
      <c r="F24847" s="102" t="str">
        <f ca="1">IFERROR(__xludf.DUMMYFUNCTION("IMPORTRANGE(H24847,""IDENTITAS UNIT!D9"")"),"#N/A")</f>
        <v>#N/A</v>
      </c>
      <c r="H24847" s="4" t="str">
        <v/>
      </c>
      <c r="I24847" s="4" t="str">
        <v/>
      </c>
    </row>
    <row r="24848" spans="5:9" ht="16.5" hidden="1">
      <c r="E24848" s="4" t="str">
        <v/>
      </c>
      <c r="F24848" s="102" t="str">
        <f ca="1">IFERROR(__xludf.DUMMYFUNCTION("IMPORTRANGE(H24848,""IDENTITAS UNIT!D9"")"),"#N/A")</f>
        <v>#N/A</v>
      </c>
      <c r="H24848" s="4" t="str">
        <v/>
      </c>
      <c r="I24848" s="4" t="str">
        <v/>
      </c>
    </row>
    <row r="24849" spans="5:9" ht="16.5" hidden="1">
      <c r="E24849" s="4" t="str">
        <v/>
      </c>
      <c r="F24849" s="102" t="str">
        <f ca="1">IFERROR(__xludf.DUMMYFUNCTION("IMPORTRANGE(H24849,""IDENTITAS UNIT!D9"")"),"#N/A")</f>
        <v>#N/A</v>
      </c>
      <c r="H24849" s="4" t="str">
        <v/>
      </c>
      <c r="I24849" s="4" t="str">
        <v/>
      </c>
    </row>
    <row r="24850" spans="5:9" ht="16.5" hidden="1">
      <c r="E24850" s="4" t="str">
        <v/>
      </c>
      <c r="F24850" s="102" t="str">
        <f ca="1">IFERROR(__xludf.DUMMYFUNCTION("IMPORTRANGE(H24850,""IDENTITAS UNIT!D9"")"),"#N/A")</f>
        <v>#N/A</v>
      </c>
      <c r="H24850" s="4" t="str">
        <v/>
      </c>
      <c r="I24850" s="4" t="str">
        <v/>
      </c>
    </row>
    <row r="24851" spans="5:9" ht="16.5" hidden="1">
      <c r="E24851" s="4" t="str">
        <v/>
      </c>
      <c r="F24851" s="102" t="str">
        <f ca="1">IFERROR(__xludf.DUMMYFUNCTION("IMPORTRANGE(H24851,""IDENTITAS UNIT!D9"")"),"#N/A")</f>
        <v>#N/A</v>
      </c>
      <c r="H24851" s="4" t="str">
        <v/>
      </c>
      <c r="I24851" s="4" t="str">
        <v/>
      </c>
    </row>
    <row r="24852" spans="5:9" ht="16.5" hidden="1">
      <c r="E24852" s="4" t="str">
        <v/>
      </c>
      <c r="F24852" s="102" t="str">
        <f ca="1">IFERROR(__xludf.DUMMYFUNCTION("IMPORTRANGE(H24852,""IDENTITAS UNIT!D9"")"),"#N/A")</f>
        <v>#N/A</v>
      </c>
      <c r="H24852" s="4" t="str">
        <v/>
      </c>
      <c r="I24852" s="4" t="str">
        <v/>
      </c>
    </row>
    <row r="24853" spans="5:9" ht="16.5" hidden="1">
      <c r="E24853" s="4" t="str">
        <v/>
      </c>
      <c r="F24853" s="102" t="str">
        <f ca="1">IFERROR(__xludf.DUMMYFUNCTION("IMPORTRANGE(H24853,""IDENTITAS UNIT!D9"")"),"#N/A")</f>
        <v>#N/A</v>
      </c>
      <c r="H24853" s="4" t="str">
        <v/>
      </c>
      <c r="I24853" s="4" t="str">
        <v/>
      </c>
    </row>
    <row r="24854" spans="5:9" ht="16.5" hidden="1">
      <c r="E24854" s="4" t="str">
        <v/>
      </c>
      <c r="F24854" s="102" t="str">
        <f ca="1">IFERROR(__xludf.DUMMYFUNCTION("IMPORTRANGE(H24854,""IDENTITAS UNIT!D9"")"),"#N/A")</f>
        <v>#N/A</v>
      </c>
      <c r="H24854" s="4" t="str">
        <v/>
      </c>
      <c r="I24854" s="4" t="str">
        <v/>
      </c>
    </row>
    <row r="24855" spans="5:9" ht="16.5" hidden="1">
      <c r="E24855" s="4" t="str">
        <v/>
      </c>
      <c r="F24855" s="102" t="str">
        <f ca="1">IFERROR(__xludf.DUMMYFUNCTION("IMPORTRANGE(H24855,""IDENTITAS UNIT!D9"")"),"#N/A")</f>
        <v>#N/A</v>
      </c>
      <c r="H24855" s="4" t="str">
        <v/>
      </c>
      <c r="I24855" s="4" t="str">
        <v/>
      </c>
    </row>
    <row r="24856" spans="5:9" ht="16.5" hidden="1">
      <c r="E24856" s="4" t="str">
        <v/>
      </c>
      <c r="F24856" s="102" t="str">
        <f ca="1">IFERROR(__xludf.DUMMYFUNCTION("IMPORTRANGE(H24856,""IDENTITAS UNIT!D9"")"),"#N/A")</f>
        <v>#N/A</v>
      </c>
      <c r="H24856" s="4" t="str">
        <v/>
      </c>
      <c r="I24856" s="4" t="str">
        <v/>
      </c>
    </row>
    <row r="24857" spans="5:9" ht="16.5" hidden="1">
      <c r="E24857" s="4" t="str">
        <v/>
      </c>
      <c r="F24857" s="102" t="str">
        <f ca="1">IFERROR(__xludf.DUMMYFUNCTION("IMPORTRANGE(H24857,""IDENTITAS UNIT!D9"")"),"#N/A")</f>
        <v>#N/A</v>
      </c>
      <c r="H24857" s="4" t="str">
        <v/>
      </c>
      <c r="I24857" s="4" t="str">
        <v/>
      </c>
    </row>
    <row r="24858" spans="5:9" ht="16.5" hidden="1">
      <c r="E24858" s="4" t="str">
        <v/>
      </c>
      <c r="F24858" s="102" t="str">
        <f ca="1">IFERROR(__xludf.DUMMYFUNCTION("IMPORTRANGE(H24858,""IDENTITAS UNIT!D9"")"),"#N/A")</f>
        <v>#N/A</v>
      </c>
      <c r="H24858" s="4" t="str">
        <v/>
      </c>
      <c r="I24858" s="4" t="str">
        <v/>
      </c>
    </row>
    <row r="24859" spans="5:9" ht="16.5" hidden="1">
      <c r="E24859" s="4" t="str">
        <v/>
      </c>
      <c r="F24859" s="102" t="str">
        <f ca="1">IFERROR(__xludf.DUMMYFUNCTION("IMPORTRANGE(H24859,""IDENTITAS UNIT!D9"")"),"#N/A")</f>
        <v>#N/A</v>
      </c>
      <c r="H24859" s="4" t="str">
        <v/>
      </c>
      <c r="I24859" s="4" t="str">
        <v/>
      </c>
    </row>
    <row r="24860" spans="5:9" ht="16.5" hidden="1">
      <c r="E24860" s="4" t="str">
        <v/>
      </c>
      <c r="F24860" s="102" t="str">
        <f ca="1">IFERROR(__xludf.DUMMYFUNCTION("IMPORTRANGE(H24860,""IDENTITAS UNIT!D9"")"),"#N/A")</f>
        <v>#N/A</v>
      </c>
      <c r="H24860" s="4" t="str">
        <v/>
      </c>
      <c r="I24860" s="4" t="str">
        <v/>
      </c>
    </row>
    <row r="24861" spans="5:9" ht="16.5" hidden="1">
      <c r="E24861" s="4" t="str">
        <v/>
      </c>
      <c r="F24861" s="102" t="str">
        <f ca="1">IFERROR(__xludf.DUMMYFUNCTION("IMPORTRANGE(H24861,""IDENTITAS UNIT!D9"")"),"#N/A")</f>
        <v>#N/A</v>
      </c>
      <c r="H24861" s="4" t="str">
        <v/>
      </c>
      <c r="I24861" s="4" t="str">
        <v/>
      </c>
    </row>
    <row r="24862" spans="5:9" ht="16.5" hidden="1">
      <c r="E24862" s="4" t="str">
        <v/>
      </c>
      <c r="F24862" s="102" t="str">
        <f ca="1">IFERROR(__xludf.DUMMYFUNCTION("IMPORTRANGE(H24862,""IDENTITAS UNIT!D9"")"),"#N/A")</f>
        <v>#N/A</v>
      </c>
      <c r="H24862" s="4" t="str">
        <v/>
      </c>
      <c r="I24862" s="4" t="str">
        <v/>
      </c>
    </row>
    <row r="24863" spans="5:9" ht="16.5" hidden="1">
      <c r="E24863" s="4" t="str">
        <v/>
      </c>
      <c r="F24863" s="102" t="str">
        <f ca="1">IFERROR(__xludf.DUMMYFUNCTION("IMPORTRANGE(H24863,""IDENTITAS UNIT!D9"")"),"#N/A")</f>
        <v>#N/A</v>
      </c>
      <c r="H24863" s="4" t="str">
        <v/>
      </c>
      <c r="I24863" s="4" t="str">
        <v/>
      </c>
    </row>
    <row r="24864" spans="5:9" ht="16.5" hidden="1">
      <c r="E24864" s="4" t="str">
        <v/>
      </c>
      <c r="F24864" s="102" t="str">
        <f ca="1">IFERROR(__xludf.DUMMYFUNCTION("IMPORTRANGE(H24864,""IDENTITAS UNIT!D9"")"),"#N/A")</f>
        <v>#N/A</v>
      </c>
      <c r="H24864" s="4" t="str">
        <v/>
      </c>
      <c r="I24864" s="4" t="str">
        <v/>
      </c>
    </row>
    <row r="24865" spans="5:9" ht="16.5" hidden="1">
      <c r="E24865" s="4" t="str">
        <v/>
      </c>
      <c r="F24865" s="102" t="str">
        <f ca="1">IFERROR(__xludf.DUMMYFUNCTION("IMPORTRANGE(H24865,""IDENTITAS UNIT!D9"")"),"#N/A")</f>
        <v>#N/A</v>
      </c>
      <c r="H24865" s="4" t="str">
        <v/>
      </c>
      <c r="I24865" s="4" t="str">
        <v/>
      </c>
    </row>
    <row r="24866" spans="5:9" ht="16.5" hidden="1">
      <c r="E24866" s="4" t="str">
        <v/>
      </c>
      <c r="F24866" s="102" t="str">
        <f ca="1">IFERROR(__xludf.DUMMYFUNCTION("IMPORTRANGE(H24866,""IDENTITAS UNIT!D9"")"),"#N/A")</f>
        <v>#N/A</v>
      </c>
      <c r="H24866" s="4" t="str">
        <v/>
      </c>
      <c r="I24866" s="4" t="str">
        <v/>
      </c>
    </row>
    <row r="24867" spans="5:9" ht="16.5" hidden="1">
      <c r="E24867" s="4" t="str">
        <v/>
      </c>
      <c r="F24867" s="102" t="str">
        <f ca="1">IFERROR(__xludf.DUMMYFUNCTION("IMPORTRANGE(H24867,""IDENTITAS UNIT!D9"")"),"#N/A")</f>
        <v>#N/A</v>
      </c>
      <c r="H24867" s="4" t="str">
        <v/>
      </c>
      <c r="I24867" s="4" t="str">
        <v/>
      </c>
    </row>
    <row r="24868" spans="5:9" ht="16.5" hidden="1">
      <c r="E24868" s="4" t="str">
        <v/>
      </c>
      <c r="F24868" s="102" t="str">
        <f ca="1">IFERROR(__xludf.DUMMYFUNCTION("IMPORTRANGE(H24868,""IDENTITAS UNIT!D9"")"),"#N/A")</f>
        <v>#N/A</v>
      </c>
      <c r="H24868" s="4" t="str">
        <v/>
      </c>
      <c r="I24868" s="4" t="str">
        <v/>
      </c>
    </row>
    <row r="24869" spans="5:9" ht="16.5" hidden="1">
      <c r="E24869" s="4" t="str">
        <v/>
      </c>
      <c r="F24869" s="102" t="str">
        <f ca="1">IFERROR(__xludf.DUMMYFUNCTION("IMPORTRANGE(H24869,""IDENTITAS UNIT!D9"")"),"#N/A")</f>
        <v>#N/A</v>
      </c>
      <c r="H24869" s="4" t="str">
        <v/>
      </c>
      <c r="I24869" s="4" t="str">
        <v/>
      </c>
    </row>
    <row r="24870" spans="5:9" ht="16.5" hidden="1">
      <c r="E24870" s="4" t="str">
        <v/>
      </c>
      <c r="F24870" s="102" t="str">
        <f ca="1">IFERROR(__xludf.DUMMYFUNCTION("IMPORTRANGE(H24870,""IDENTITAS UNIT!D9"")"),"#N/A")</f>
        <v>#N/A</v>
      </c>
      <c r="H24870" s="4" t="str">
        <v/>
      </c>
      <c r="I24870" s="4" t="str">
        <v/>
      </c>
    </row>
    <row r="24871" spans="5:9" ht="16.5" hidden="1">
      <c r="E24871" s="4" t="str">
        <v/>
      </c>
      <c r="F24871" s="102" t="str">
        <f ca="1">IFERROR(__xludf.DUMMYFUNCTION("IMPORTRANGE(H24871,""IDENTITAS UNIT!D9"")"),"#N/A")</f>
        <v>#N/A</v>
      </c>
      <c r="H24871" s="4" t="str">
        <v/>
      </c>
      <c r="I24871" s="4" t="str">
        <v/>
      </c>
    </row>
    <row r="24872" spans="5:9" ht="16.5" hidden="1">
      <c r="E24872" s="4" t="str">
        <v/>
      </c>
      <c r="F24872" s="102" t="str">
        <f ca="1">IFERROR(__xludf.DUMMYFUNCTION("IMPORTRANGE(H24872,""IDENTITAS UNIT!D9"")"),"#N/A")</f>
        <v>#N/A</v>
      </c>
      <c r="H24872" s="4" t="str">
        <v/>
      </c>
      <c r="I24872" s="4" t="str">
        <v/>
      </c>
    </row>
    <row r="24873" spans="5:9" ht="16.5" hidden="1">
      <c r="E24873" s="4" t="str">
        <v/>
      </c>
      <c r="F24873" s="102" t="str">
        <f ca="1">IFERROR(__xludf.DUMMYFUNCTION("IMPORTRANGE(H24873,""IDENTITAS UNIT!D9"")"),"#N/A")</f>
        <v>#N/A</v>
      </c>
      <c r="H24873" s="4" t="str">
        <v/>
      </c>
      <c r="I24873" s="4" t="str">
        <v/>
      </c>
    </row>
    <row r="24874" spans="5:9" ht="16.5" hidden="1">
      <c r="E24874" s="4" t="str">
        <v/>
      </c>
      <c r="F24874" s="102" t="str">
        <f ca="1">IFERROR(__xludf.DUMMYFUNCTION("IMPORTRANGE(H24874,""IDENTITAS UNIT!D9"")"),"#N/A")</f>
        <v>#N/A</v>
      </c>
      <c r="H24874" s="4" t="str">
        <v/>
      </c>
      <c r="I24874" s="4" t="str">
        <v/>
      </c>
    </row>
    <row r="24875" spans="5:9" ht="16.5" hidden="1">
      <c r="E24875" s="4" t="str">
        <v/>
      </c>
      <c r="F24875" s="102" t="str">
        <f ca="1">IFERROR(__xludf.DUMMYFUNCTION("IMPORTRANGE(H24875,""IDENTITAS UNIT!D9"")"),"#N/A")</f>
        <v>#N/A</v>
      </c>
      <c r="H24875" s="4" t="str">
        <v/>
      </c>
      <c r="I24875" s="4" t="str">
        <v/>
      </c>
    </row>
    <row r="24876" spans="5:9" ht="16.5" hidden="1">
      <c r="E24876" s="4" t="str">
        <v/>
      </c>
      <c r="F24876" s="102" t="str">
        <f ca="1">IFERROR(__xludf.DUMMYFUNCTION("IMPORTRANGE(H24876,""IDENTITAS UNIT!D9"")"),"#N/A")</f>
        <v>#N/A</v>
      </c>
      <c r="H24876" s="4" t="str">
        <v/>
      </c>
      <c r="I24876" s="4" t="str">
        <v/>
      </c>
    </row>
    <row r="24877" spans="5:9" ht="16.5" hidden="1">
      <c r="E24877" s="4" t="str">
        <v/>
      </c>
      <c r="F24877" s="102" t="str">
        <f ca="1">IFERROR(__xludf.DUMMYFUNCTION("IMPORTRANGE(H24877,""IDENTITAS UNIT!D9"")"),"#N/A")</f>
        <v>#N/A</v>
      </c>
      <c r="H24877" s="4" t="str">
        <v/>
      </c>
      <c r="I24877" s="4" t="str">
        <v/>
      </c>
    </row>
    <row r="24878" spans="5:9" ht="16.5" hidden="1">
      <c r="E24878" s="4" t="str">
        <v/>
      </c>
      <c r="F24878" s="102" t="str">
        <f ca="1">IFERROR(__xludf.DUMMYFUNCTION("IMPORTRANGE(H24878,""IDENTITAS UNIT!D9"")"),"#N/A")</f>
        <v>#N/A</v>
      </c>
      <c r="H24878" s="4" t="str">
        <v/>
      </c>
      <c r="I24878" s="4" t="str">
        <v/>
      </c>
    </row>
    <row r="24879" spans="5:9" ht="16.5" hidden="1">
      <c r="E24879" s="4" t="str">
        <v/>
      </c>
      <c r="F24879" s="102" t="str">
        <f ca="1">IFERROR(__xludf.DUMMYFUNCTION("IMPORTRANGE(H24879,""IDENTITAS UNIT!D9"")"),"#N/A")</f>
        <v>#N/A</v>
      </c>
      <c r="H24879" s="4" t="str">
        <v/>
      </c>
      <c r="I24879" s="4" t="str">
        <v/>
      </c>
    </row>
    <row r="24880" spans="5:9" ht="16.5" hidden="1">
      <c r="E24880" s="4" t="str">
        <v/>
      </c>
      <c r="F24880" s="102" t="str">
        <f ca="1">IFERROR(__xludf.DUMMYFUNCTION("IMPORTRANGE(H24880,""IDENTITAS UNIT!D9"")"),"#N/A")</f>
        <v>#N/A</v>
      </c>
      <c r="H24880" s="4" t="str">
        <v/>
      </c>
      <c r="I24880" s="4" t="str">
        <v/>
      </c>
    </row>
    <row r="24881" spans="5:9" ht="16.5" hidden="1">
      <c r="E24881" s="4" t="str">
        <v/>
      </c>
      <c r="F24881" s="102" t="str">
        <f ca="1">IFERROR(__xludf.DUMMYFUNCTION("IMPORTRANGE(H24881,""IDENTITAS UNIT!D9"")"),"#N/A")</f>
        <v>#N/A</v>
      </c>
      <c r="H24881" s="4" t="str">
        <v/>
      </c>
      <c r="I24881" s="4" t="str">
        <v/>
      </c>
    </row>
    <row r="24882" spans="5:9" ht="16.5" hidden="1">
      <c r="E24882" s="4" t="str">
        <v/>
      </c>
      <c r="F24882" s="102" t="str">
        <f ca="1">IFERROR(__xludf.DUMMYFUNCTION("IMPORTRANGE(H24882,""IDENTITAS UNIT!D9"")"),"#N/A")</f>
        <v>#N/A</v>
      </c>
      <c r="H24882" s="4" t="str">
        <v/>
      </c>
      <c r="I24882" s="4" t="str">
        <v/>
      </c>
    </row>
    <row r="24883" spans="5:9" ht="16.5" hidden="1">
      <c r="E24883" s="4" t="str">
        <v/>
      </c>
      <c r="F24883" s="102" t="str">
        <f ca="1">IFERROR(__xludf.DUMMYFUNCTION("IMPORTRANGE(H24883,""IDENTITAS UNIT!D9"")"),"#N/A")</f>
        <v>#N/A</v>
      </c>
      <c r="H24883" s="4" t="str">
        <v/>
      </c>
      <c r="I24883" s="4" t="str">
        <v/>
      </c>
    </row>
    <row r="24884" spans="5:9" ht="16.5" hidden="1">
      <c r="E24884" s="4" t="str">
        <v/>
      </c>
      <c r="F24884" s="102" t="str">
        <f ca="1">IFERROR(__xludf.DUMMYFUNCTION("IMPORTRANGE(H24884,""IDENTITAS UNIT!D9"")"),"#N/A")</f>
        <v>#N/A</v>
      </c>
      <c r="H24884" s="4" t="str">
        <v/>
      </c>
      <c r="I24884" s="4" t="str">
        <v/>
      </c>
    </row>
    <row r="24885" spans="5:9" ht="16.5" hidden="1">
      <c r="E24885" s="4" t="str">
        <v/>
      </c>
      <c r="F24885" s="102" t="str">
        <f ca="1">IFERROR(__xludf.DUMMYFUNCTION("IMPORTRANGE(H24885,""IDENTITAS UNIT!D9"")"),"#N/A")</f>
        <v>#N/A</v>
      </c>
      <c r="H24885" s="4" t="str">
        <v/>
      </c>
      <c r="I24885" s="4" t="str">
        <v/>
      </c>
    </row>
    <row r="24886" spans="5:9" ht="16.5" hidden="1">
      <c r="E24886" s="4" t="str">
        <v/>
      </c>
      <c r="F24886" s="102" t="str">
        <f ca="1">IFERROR(__xludf.DUMMYFUNCTION("IMPORTRANGE(H24886,""IDENTITAS UNIT!D9"")"),"#N/A")</f>
        <v>#N/A</v>
      </c>
      <c r="H24886" s="4" t="str">
        <v/>
      </c>
      <c r="I24886" s="4" t="str">
        <v/>
      </c>
    </row>
    <row r="24887" spans="5:9" ht="16.5" hidden="1">
      <c r="E24887" s="4" t="str">
        <v/>
      </c>
      <c r="F24887" s="102" t="str">
        <f ca="1">IFERROR(__xludf.DUMMYFUNCTION("IMPORTRANGE(H24887,""IDENTITAS UNIT!D9"")"),"#N/A")</f>
        <v>#N/A</v>
      </c>
      <c r="H24887" s="4" t="str">
        <v/>
      </c>
      <c r="I24887" s="4" t="str">
        <v/>
      </c>
    </row>
    <row r="24888" spans="5:9" ht="16.5" hidden="1">
      <c r="E24888" s="4" t="str">
        <v/>
      </c>
      <c r="F24888" s="102" t="str">
        <f ca="1">IFERROR(__xludf.DUMMYFUNCTION("IMPORTRANGE(H24888,""IDENTITAS UNIT!D9"")"),"#N/A")</f>
        <v>#N/A</v>
      </c>
      <c r="H24888" s="4" t="str">
        <v/>
      </c>
      <c r="I24888" s="4" t="str">
        <v/>
      </c>
    </row>
    <row r="24889" spans="5:9" ht="16.5" hidden="1">
      <c r="E24889" s="4" t="str">
        <v/>
      </c>
      <c r="F24889" s="102" t="str">
        <f ca="1">IFERROR(__xludf.DUMMYFUNCTION("IMPORTRANGE(H24889,""IDENTITAS UNIT!D9"")"),"#N/A")</f>
        <v>#N/A</v>
      </c>
      <c r="H24889" s="4" t="str">
        <v/>
      </c>
      <c r="I24889" s="4" t="str">
        <v/>
      </c>
    </row>
    <row r="24890" spans="5:9" ht="16.5" hidden="1">
      <c r="E24890" s="4" t="str">
        <v/>
      </c>
      <c r="F24890" s="102" t="str">
        <f ca="1">IFERROR(__xludf.DUMMYFUNCTION("IMPORTRANGE(H24890,""IDENTITAS UNIT!D9"")"),"#N/A")</f>
        <v>#N/A</v>
      </c>
      <c r="H24890" s="4" t="str">
        <v/>
      </c>
      <c r="I24890" s="4" t="str">
        <v/>
      </c>
    </row>
    <row r="24891" spans="5:9" ht="16.5" hidden="1">
      <c r="E24891" s="4" t="str">
        <v/>
      </c>
      <c r="F24891" s="102" t="str">
        <f ca="1">IFERROR(__xludf.DUMMYFUNCTION("IMPORTRANGE(H24891,""IDENTITAS UNIT!D9"")"),"#N/A")</f>
        <v>#N/A</v>
      </c>
      <c r="H24891" s="4" t="str">
        <v/>
      </c>
      <c r="I24891" s="4" t="str">
        <v/>
      </c>
    </row>
    <row r="24892" spans="5:9" ht="16.5" hidden="1">
      <c r="E24892" s="4" t="str">
        <v/>
      </c>
      <c r="F24892" s="102" t="str">
        <f ca="1">IFERROR(__xludf.DUMMYFUNCTION("IMPORTRANGE(H24892,""IDENTITAS UNIT!D9"")"),"#N/A")</f>
        <v>#N/A</v>
      </c>
      <c r="H24892" s="4" t="str">
        <v/>
      </c>
      <c r="I24892" s="4" t="str">
        <v/>
      </c>
    </row>
    <row r="24893" spans="5:9" ht="16.5" hidden="1">
      <c r="E24893" s="4" t="str">
        <v/>
      </c>
      <c r="F24893" s="102" t="str">
        <f ca="1">IFERROR(__xludf.DUMMYFUNCTION("IMPORTRANGE(H24893,""IDENTITAS UNIT!D9"")"),"#N/A")</f>
        <v>#N/A</v>
      </c>
      <c r="H24893" s="4" t="str">
        <v/>
      </c>
      <c r="I24893" s="4" t="str">
        <v/>
      </c>
    </row>
    <row r="24894" spans="5:9" ht="16.5" hidden="1">
      <c r="E24894" s="4" t="str">
        <v/>
      </c>
      <c r="F24894" s="102" t="str">
        <f ca="1">IFERROR(__xludf.DUMMYFUNCTION("IMPORTRANGE(H24894,""IDENTITAS UNIT!D9"")"),"#N/A")</f>
        <v>#N/A</v>
      </c>
      <c r="H24894" s="4" t="str">
        <v/>
      </c>
      <c r="I24894" s="4" t="str">
        <v/>
      </c>
    </row>
    <row r="24895" spans="5:9" ht="16.5" hidden="1">
      <c r="E24895" s="4" t="str">
        <v/>
      </c>
      <c r="F24895" s="102" t="str">
        <f ca="1">IFERROR(__xludf.DUMMYFUNCTION("IMPORTRANGE(H24895,""IDENTITAS UNIT!D9"")"),"#N/A")</f>
        <v>#N/A</v>
      </c>
      <c r="H24895" s="4" t="str">
        <v/>
      </c>
      <c r="I24895" s="4" t="str">
        <v/>
      </c>
    </row>
    <row r="24896" spans="5:9" ht="16.5" hidden="1">
      <c r="E24896" s="4" t="str">
        <v/>
      </c>
      <c r="F24896" s="102" t="str">
        <f ca="1">IFERROR(__xludf.DUMMYFUNCTION("IMPORTRANGE(H24896,""IDENTITAS UNIT!D9"")"),"#N/A")</f>
        <v>#N/A</v>
      </c>
      <c r="H24896" s="4" t="str">
        <v/>
      </c>
      <c r="I24896" s="4" t="str">
        <v/>
      </c>
    </row>
    <row r="24897" spans="5:9" ht="16.5" hidden="1">
      <c r="E24897" s="4" t="str">
        <v/>
      </c>
      <c r="F24897" s="102" t="str">
        <f ca="1">IFERROR(__xludf.DUMMYFUNCTION("IMPORTRANGE(H24897,""IDENTITAS UNIT!D9"")"),"#N/A")</f>
        <v>#N/A</v>
      </c>
      <c r="H24897" s="4" t="str">
        <v/>
      </c>
      <c r="I24897" s="4" t="str">
        <v/>
      </c>
    </row>
    <row r="24898" spans="5:9" ht="16.5" hidden="1">
      <c r="E24898" s="4" t="str">
        <v/>
      </c>
      <c r="F24898" s="102" t="str">
        <f ca="1">IFERROR(__xludf.DUMMYFUNCTION("IMPORTRANGE(H24898,""IDENTITAS UNIT!D9"")"),"#N/A")</f>
        <v>#N/A</v>
      </c>
      <c r="H24898" s="4" t="str">
        <v/>
      </c>
      <c r="I24898" s="4" t="str">
        <v/>
      </c>
    </row>
    <row r="24899" spans="5:9" ht="16.5" hidden="1">
      <c r="E24899" s="4" t="str">
        <v/>
      </c>
      <c r="F24899" s="102" t="str">
        <f ca="1">IFERROR(__xludf.DUMMYFUNCTION("IMPORTRANGE(H24899,""IDENTITAS UNIT!D9"")"),"#N/A")</f>
        <v>#N/A</v>
      </c>
      <c r="H24899" s="4" t="str">
        <v/>
      </c>
      <c r="I24899" s="4" t="str">
        <v/>
      </c>
    </row>
    <row r="24900" spans="5:9" ht="16.5" hidden="1">
      <c r="E24900" s="4" t="str">
        <v/>
      </c>
      <c r="F24900" s="102" t="str">
        <f ca="1">IFERROR(__xludf.DUMMYFUNCTION("IMPORTRANGE(H24900,""IDENTITAS UNIT!D9"")"),"#N/A")</f>
        <v>#N/A</v>
      </c>
      <c r="H24900" s="4" t="str">
        <v/>
      </c>
      <c r="I24900" s="4" t="str">
        <v/>
      </c>
    </row>
    <row r="24901" spans="5:9" ht="16.5" hidden="1">
      <c r="E24901" s="4" t="str">
        <v/>
      </c>
      <c r="F24901" s="102" t="str">
        <f ca="1">IFERROR(__xludf.DUMMYFUNCTION("IMPORTRANGE(H24901,""IDENTITAS UNIT!D9"")"),"#N/A")</f>
        <v>#N/A</v>
      </c>
      <c r="H24901" s="4" t="str">
        <v/>
      </c>
      <c r="I24901" s="4" t="str">
        <v/>
      </c>
    </row>
    <row r="24902" spans="5:9" ht="16.5" hidden="1">
      <c r="E24902" s="4" t="str">
        <v/>
      </c>
      <c r="F24902" s="102" t="str">
        <f ca="1">IFERROR(__xludf.DUMMYFUNCTION("IMPORTRANGE(H24902,""IDENTITAS UNIT!D9"")"),"#N/A")</f>
        <v>#N/A</v>
      </c>
      <c r="H24902" s="4" t="str">
        <v/>
      </c>
      <c r="I24902" s="4" t="str">
        <v/>
      </c>
    </row>
    <row r="24903" spans="5:9" ht="16.5" hidden="1">
      <c r="E24903" s="4" t="str">
        <v/>
      </c>
      <c r="F24903" s="102" t="str">
        <f ca="1">IFERROR(__xludf.DUMMYFUNCTION("IMPORTRANGE(H24903,""IDENTITAS UNIT!D9"")"),"#N/A")</f>
        <v>#N/A</v>
      </c>
      <c r="H24903" s="4" t="str">
        <v/>
      </c>
      <c r="I24903" s="4" t="str">
        <v/>
      </c>
    </row>
    <row r="24904" spans="5:9" ht="16.5" hidden="1">
      <c r="E24904" s="4" t="str">
        <v/>
      </c>
      <c r="F24904" s="102" t="str">
        <f ca="1">IFERROR(__xludf.DUMMYFUNCTION("IMPORTRANGE(H24904,""IDENTITAS UNIT!D9"")"),"#N/A")</f>
        <v>#N/A</v>
      </c>
      <c r="H24904" s="4" t="str">
        <v/>
      </c>
      <c r="I24904" s="4" t="str">
        <v/>
      </c>
    </row>
    <row r="24905" spans="5:9" ht="16.5" hidden="1">
      <c r="E24905" s="4" t="str">
        <v/>
      </c>
      <c r="F24905" s="102" t="str">
        <f ca="1">IFERROR(__xludf.DUMMYFUNCTION("IMPORTRANGE(H24905,""IDENTITAS UNIT!D9"")"),"#N/A")</f>
        <v>#N/A</v>
      </c>
      <c r="H24905" s="4" t="str">
        <v/>
      </c>
      <c r="I24905" s="4" t="str">
        <v/>
      </c>
    </row>
    <row r="24906" spans="5:9" ht="16.5" hidden="1">
      <c r="E24906" s="4" t="str">
        <v/>
      </c>
      <c r="F24906" s="102" t="str">
        <f ca="1">IFERROR(__xludf.DUMMYFUNCTION("IMPORTRANGE(H24906,""IDENTITAS UNIT!D9"")"),"#N/A")</f>
        <v>#N/A</v>
      </c>
      <c r="H24906" s="4" t="str">
        <v/>
      </c>
      <c r="I24906" s="4" t="str">
        <v/>
      </c>
    </row>
    <row r="24907" spans="5:9" ht="16.5" hidden="1">
      <c r="E24907" s="4" t="str">
        <v/>
      </c>
      <c r="F24907" s="102" t="str">
        <f ca="1">IFERROR(__xludf.DUMMYFUNCTION("IMPORTRANGE(H24907,""IDENTITAS UNIT!D9"")"),"#N/A")</f>
        <v>#N/A</v>
      </c>
      <c r="H24907" s="4" t="str">
        <v/>
      </c>
      <c r="I24907" s="4" t="str">
        <v/>
      </c>
    </row>
    <row r="24908" spans="5:9" ht="16.5" hidden="1">
      <c r="E24908" s="4" t="str">
        <v/>
      </c>
      <c r="F24908" s="102" t="str">
        <f ca="1">IFERROR(__xludf.DUMMYFUNCTION("IMPORTRANGE(H24908,""IDENTITAS UNIT!D9"")"),"#N/A")</f>
        <v>#N/A</v>
      </c>
      <c r="H24908" s="4" t="str">
        <v/>
      </c>
      <c r="I24908" s="4" t="str">
        <v/>
      </c>
    </row>
    <row r="24909" spans="5:9" ht="16.5" hidden="1">
      <c r="E24909" s="4" t="str">
        <v/>
      </c>
      <c r="F24909" s="102" t="str">
        <f ca="1">IFERROR(__xludf.DUMMYFUNCTION("IMPORTRANGE(H24909,""IDENTITAS UNIT!D9"")"),"#N/A")</f>
        <v>#N/A</v>
      </c>
      <c r="H24909" s="4" t="str">
        <v/>
      </c>
      <c r="I24909" s="4" t="str">
        <v/>
      </c>
    </row>
    <row r="24910" spans="5:9" ht="16.5" hidden="1">
      <c r="E24910" s="4" t="str">
        <v/>
      </c>
      <c r="F24910" s="102" t="str">
        <f ca="1">IFERROR(__xludf.DUMMYFUNCTION("IMPORTRANGE(H24910,""IDENTITAS UNIT!D9"")"),"#N/A")</f>
        <v>#N/A</v>
      </c>
      <c r="H24910" s="4" t="str">
        <v/>
      </c>
      <c r="I24910" s="4" t="str">
        <v/>
      </c>
    </row>
    <row r="24911" spans="5:9" ht="16.5" hidden="1">
      <c r="E24911" s="4" t="str">
        <v/>
      </c>
      <c r="F24911" s="102" t="str">
        <f ca="1">IFERROR(__xludf.DUMMYFUNCTION("IMPORTRANGE(H24911,""IDENTITAS UNIT!D9"")"),"#N/A")</f>
        <v>#N/A</v>
      </c>
      <c r="H24911" s="4" t="str">
        <v/>
      </c>
      <c r="I24911" s="4" t="str">
        <v/>
      </c>
    </row>
    <row r="24912" spans="5:9" ht="16.5" hidden="1">
      <c r="E24912" s="4" t="str">
        <v/>
      </c>
      <c r="F24912" s="102" t="str">
        <f ca="1">IFERROR(__xludf.DUMMYFUNCTION("IMPORTRANGE(H24912,""IDENTITAS UNIT!D9"")"),"#N/A")</f>
        <v>#N/A</v>
      </c>
      <c r="H24912" s="4" t="str">
        <v/>
      </c>
      <c r="I24912" s="4" t="str">
        <v/>
      </c>
    </row>
    <row r="24913" spans="5:9" ht="16.5" hidden="1">
      <c r="E24913" s="4" t="str">
        <v/>
      </c>
      <c r="F24913" s="102" t="str">
        <f ca="1">IFERROR(__xludf.DUMMYFUNCTION("IMPORTRANGE(H24913,""IDENTITAS UNIT!D9"")"),"#N/A")</f>
        <v>#N/A</v>
      </c>
      <c r="H24913" s="4" t="str">
        <v/>
      </c>
      <c r="I24913" s="4" t="str">
        <v/>
      </c>
    </row>
    <row r="24914" spans="5:9" ht="16.5" hidden="1">
      <c r="E24914" s="4" t="str">
        <v/>
      </c>
      <c r="F24914" s="102" t="str">
        <f ca="1">IFERROR(__xludf.DUMMYFUNCTION("IMPORTRANGE(H24914,""IDENTITAS UNIT!D9"")"),"#N/A")</f>
        <v>#N/A</v>
      </c>
      <c r="H24914" s="4" t="str">
        <v/>
      </c>
      <c r="I24914" s="4" t="str">
        <v/>
      </c>
    </row>
    <row r="24915" spans="5:9" ht="16.5" hidden="1">
      <c r="E24915" s="4" t="str">
        <v/>
      </c>
      <c r="F24915" s="102" t="str">
        <f ca="1">IFERROR(__xludf.DUMMYFUNCTION("IMPORTRANGE(H24915,""IDENTITAS UNIT!D9"")"),"#N/A")</f>
        <v>#N/A</v>
      </c>
      <c r="H24915" s="4" t="str">
        <v/>
      </c>
      <c r="I24915" s="4" t="str">
        <v/>
      </c>
    </row>
    <row r="24916" spans="5:9" ht="16.5" hidden="1">
      <c r="E24916" s="4" t="str">
        <v/>
      </c>
      <c r="F24916" s="102" t="str">
        <f ca="1">IFERROR(__xludf.DUMMYFUNCTION("IMPORTRANGE(H24916,""IDENTITAS UNIT!D9"")"),"#N/A")</f>
        <v>#N/A</v>
      </c>
      <c r="H24916" s="4" t="str">
        <v/>
      </c>
      <c r="I24916" s="4" t="str">
        <v/>
      </c>
    </row>
    <row r="24917" spans="5:9" ht="16.5" hidden="1">
      <c r="E24917" s="4" t="str">
        <v/>
      </c>
      <c r="F24917" s="102" t="str">
        <f ca="1">IFERROR(__xludf.DUMMYFUNCTION("IMPORTRANGE(H24917,""IDENTITAS UNIT!D9"")"),"#N/A")</f>
        <v>#N/A</v>
      </c>
      <c r="H24917" s="4" t="str">
        <v/>
      </c>
      <c r="I24917" s="4" t="str">
        <v/>
      </c>
    </row>
    <row r="24918" spans="5:9" ht="16.5" hidden="1">
      <c r="E24918" s="4" t="str">
        <v/>
      </c>
      <c r="F24918" s="102" t="str">
        <f ca="1">IFERROR(__xludf.DUMMYFUNCTION("IMPORTRANGE(H24918,""IDENTITAS UNIT!D9"")"),"#N/A")</f>
        <v>#N/A</v>
      </c>
      <c r="H24918" s="4" t="str">
        <v/>
      </c>
      <c r="I24918" s="4" t="str">
        <v/>
      </c>
    </row>
    <row r="24919" spans="5:9" ht="16.5" hidden="1">
      <c r="E24919" s="4" t="str">
        <v/>
      </c>
      <c r="F24919" s="102" t="str">
        <f ca="1">IFERROR(__xludf.DUMMYFUNCTION("IMPORTRANGE(H24919,""IDENTITAS UNIT!D9"")"),"#N/A")</f>
        <v>#N/A</v>
      </c>
      <c r="H24919" s="4" t="str">
        <v/>
      </c>
      <c r="I24919" s="4" t="str">
        <v/>
      </c>
    </row>
    <row r="24920" spans="5:9" ht="16.5" hidden="1">
      <c r="E24920" s="4" t="str">
        <v/>
      </c>
      <c r="F24920" s="102" t="str">
        <f ca="1">IFERROR(__xludf.DUMMYFUNCTION("IMPORTRANGE(H24920,""IDENTITAS UNIT!D9"")"),"#N/A")</f>
        <v>#N/A</v>
      </c>
      <c r="H24920" s="4" t="str">
        <v/>
      </c>
      <c r="I24920" s="4" t="str">
        <v/>
      </c>
    </row>
    <row r="24921" spans="5:9" ht="16.5" hidden="1">
      <c r="E24921" s="4" t="str">
        <v/>
      </c>
      <c r="F24921" s="102" t="str">
        <f ca="1">IFERROR(__xludf.DUMMYFUNCTION("IMPORTRANGE(H24921,""IDENTITAS UNIT!D9"")"),"#N/A")</f>
        <v>#N/A</v>
      </c>
      <c r="H24921" s="4" t="str">
        <v/>
      </c>
      <c r="I24921" s="4" t="str">
        <v/>
      </c>
    </row>
    <row r="24922" spans="5:9" ht="16.5" hidden="1">
      <c r="E24922" s="4" t="str">
        <v/>
      </c>
      <c r="F24922" s="102" t="str">
        <f ca="1">IFERROR(__xludf.DUMMYFUNCTION("IMPORTRANGE(H24922,""IDENTITAS UNIT!D9"")"),"#N/A")</f>
        <v>#N/A</v>
      </c>
      <c r="H24922" s="4" t="str">
        <v/>
      </c>
      <c r="I24922" s="4" t="str">
        <v/>
      </c>
    </row>
    <row r="24923" spans="5:9" ht="16.5" hidden="1">
      <c r="E24923" s="4" t="str">
        <v/>
      </c>
      <c r="F24923" s="102" t="str">
        <f ca="1">IFERROR(__xludf.DUMMYFUNCTION("IMPORTRANGE(H24923,""IDENTITAS UNIT!D9"")"),"#N/A")</f>
        <v>#N/A</v>
      </c>
      <c r="H24923" s="4" t="str">
        <v/>
      </c>
      <c r="I24923" s="4" t="str">
        <v/>
      </c>
    </row>
    <row r="24924" spans="5:9" ht="16.5" hidden="1">
      <c r="E24924" s="4" t="str">
        <v/>
      </c>
      <c r="F24924" s="102" t="str">
        <f ca="1">IFERROR(__xludf.DUMMYFUNCTION("IMPORTRANGE(H24924,""IDENTITAS UNIT!D9"")"),"#N/A")</f>
        <v>#N/A</v>
      </c>
      <c r="H24924" s="4" t="str">
        <v/>
      </c>
      <c r="I24924" s="4" t="str">
        <v/>
      </c>
    </row>
    <row r="24925" spans="5:9" ht="16.5" hidden="1">
      <c r="E24925" s="4" t="str">
        <v/>
      </c>
      <c r="F24925" s="102" t="str">
        <f ca="1">IFERROR(__xludf.DUMMYFUNCTION("IMPORTRANGE(H24925,""IDENTITAS UNIT!D9"")"),"#N/A")</f>
        <v>#N/A</v>
      </c>
      <c r="H24925" s="4" t="str">
        <v/>
      </c>
      <c r="I24925" s="4" t="str">
        <v/>
      </c>
    </row>
    <row r="24926" spans="5:9" ht="16.5" hidden="1">
      <c r="E24926" s="4" t="str">
        <v/>
      </c>
      <c r="F24926" s="102" t="str">
        <f ca="1">IFERROR(__xludf.DUMMYFUNCTION("IMPORTRANGE(H24926,""IDENTITAS UNIT!D9"")"),"#N/A")</f>
        <v>#N/A</v>
      </c>
      <c r="H24926" s="4" t="str">
        <v/>
      </c>
      <c r="I24926" s="4" t="str">
        <v/>
      </c>
    </row>
    <row r="24927" spans="5:9" ht="16.5" hidden="1">
      <c r="E24927" s="4" t="str">
        <v/>
      </c>
      <c r="F24927" s="102" t="str">
        <f ca="1">IFERROR(__xludf.DUMMYFUNCTION("IMPORTRANGE(H24927,""IDENTITAS UNIT!D9"")"),"#N/A")</f>
        <v>#N/A</v>
      </c>
      <c r="H24927" s="4" t="str">
        <v/>
      </c>
      <c r="I24927" s="4" t="str">
        <v/>
      </c>
    </row>
    <row r="24928" spans="5:9" ht="16.5" hidden="1">
      <c r="E24928" s="4" t="str">
        <v/>
      </c>
      <c r="F24928" s="102" t="str">
        <f ca="1">IFERROR(__xludf.DUMMYFUNCTION("IMPORTRANGE(H24928,""IDENTITAS UNIT!D9"")"),"#N/A")</f>
        <v>#N/A</v>
      </c>
      <c r="H24928" s="4" t="str">
        <v/>
      </c>
      <c r="I24928" s="4" t="str">
        <v/>
      </c>
    </row>
    <row r="24929" spans="5:9" ht="16.5" hidden="1">
      <c r="E24929" s="4" t="str">
        <v/>
      </c>
      <c r="F24929" s="102" t="str">
        <f ca="1">IFERROR(__xludf.DUMMYFUNCTION("IMPORTRANGE(H24929,""IDENTITAS UNIT!D9"")"),"#N/A")</f>
        <v>#N/A</v>
      </c>
      <c r="H24929" s="4" t="str">
        <v/>
      </c>
      <c r="I24929" s="4" t="str">
        <v/>
      </c>
    </row>
    <row r="24930" spans="5:9" ht="16.5" hidden="1">
      <c r="E24930" s="4" t="str">
        <v/>
      </c>
      <c r="F24930" s="102" t="str">
        <f ca="1">IFERROR(__xludf.DUMMYFUNCTION("IMPORTRANGE(H24930,""IDENTITAS UNIT!D9"")"),"#N/A")</f>
        <v>#N/A</v>
      </c>
      <c r="H24930" s="4" t="str">
        <v/>
      </c>
      <c r="I24930" s="4" t="str">
        <v/>
      </c>
    </row>
    <row r="24931" spans="5:9" ht="16.5" hidden="1">
      <c r="E24931" s="4" t="str">
        <v/>
      </c>
      <c r="F24931" s="102" t="str">
        <f ca="1">IFERROR(__xludf.DUMMYFUNCTION("IMPORTRANGE(H24931,""IDENTITAS UNIT!D9"")"),"#N/A")</f>
        <v>#N/A</v>
      </c>
      <c r="H24931" s="4" t="str">
        <v/>
      </c>
      <c r="I24931" s="4" t="str">
        <v/>
      </c>
    </row>
    <row r="24932" spans="5:9" ht="16.5" hidden="1">
      <c r="E24932" s="4" t="str">
        <v/>
      </c>
      <c r="F24932" s="102" t="str">
        <f ca="1">IFERROR(__xludf.DUMMYFUNCTION("IMPORTRANGE(H24932,""IDENTITAS UNIT!D9"")"),"#N/A")</f>
        <v>#N/A</v>
      </c>
      <c r="H24932" s="4" t="str">
        <v/>
      </c>
      <c r="I24932" s="4" t="str">
        <v/>
      </c>
    </row>
    <row r="24933" spans="5:9" ht="16.5" hidden="1">
      <c r="E24933" s="4" t="str">
        <v/>
      </c>
      <c r="F24933" s="102" t="str">
        <f ca="1">IFERROR(__xludf.DUMMYFUNCTION("IMPORTRANGE(H24933,""IDENTITAS UNIT!D9"")"),"#N/A")</f>
        <v>#N/A</v>
      </c>
      <c r="H24933" s="4" t="str">
        <v/>
      </c>
      <c r="I24933" s="4" t="str">
        <v/>
      </c>
    </row>
    <row r="24934" spans="5:9" ht="16.5" hidden="1">
      <c r="E24934" s="4" t="str">
        <v/>
      </c>
      <c r="F24934" s="102" t="str">
        <f ca="1">IFERROR(__xludf.DUMMYFUNCTION("IMPORTRANGE(H24934,""IDENTITAS UNIT!D9"")"),"#N/A")</f>
        <v>#N/A</v>
      </c>
      <c r="H24934" s="4" t="str">
        <v/>
      </c>
      <c r="I24934" s="4" t="str">
        <v/>
      </c>
    </row>
    <row r="24935" spans="5:9" ht="16.5" hidden="1">
      <c r="E24935" s="4" t="str">
        <v/>
      </c>
      <c r="F24935" s="102" t="str">
        <f ca="1">IFERROR(__xludf.DUMMYFUNCTION("IMPORTRANGE(H24935,""IDENTITAS UNIT!D9"")"),"#N/A")</f>
        <v>#N/A</v>
      </c>
      <c r="H24935" s="4" t="str">
        <v/>
      </c>
      <c r="I24935" s="4" t="str">
        <v/>
      </c>
    </row>
    <row r="24936" spans="5:9" ht="16.5" hidden="1">
      <c r="E24936" s="4" t="str">
        <v/>
      </c>
      <c r="F24936" s="102" t="str">
        <f ca="1">IFERROR(__xludf.DUMMYFUNCTION("IMPORTRANGE(H24936,""IDENTITAS UNIT!D9"")"),"#N/A")</f>
        <v>#N/A</v>
      </c>
      <c r="H24936" s="4" t="str">
        <v/>
      </c>
      <c r="I24936" s="4" t="str">
        <v/>
      </c>
    </row>
    <row r="24937" spans="5:9" ht="16.5" hidden="1">
      <c r="E24937" s="4" t="str">
        <v/>
      </c>
      <c r="F24937" s="102" t="str">
        <f ca="1">IFERROR(__xludf.DUMMYFUNCTION("IMPORTRANGE(H24937,""IDENTITAS UNIT!D9"")"),"#N/A")</f>
        <v>#N/A</v>
      </c>
      <c r="H24937" s="4" t="str">
        <v/>
      </c>
      <c r="I24937" s="4" t="str">
        <v/>
      </c>
    </row>
    <row r="24938" spans="5:9" ht="16.5" hidden="1">
      <c r="E24938" s="4" t="str">
        <v/>
      </c>
      <c r="F24938" s="102" t="str">
        <f ca="1">IFERROR(__xludf.DUMMYFUNCTION("IMPORTRANGE(H24938,""IDENTITAS UNIT!D9"")"),"#N/A")</f>
        <v>#N/A</v>
      </c>
      <c r="H24938" s="4" t="str">
        <v/>
      </c>
      <c r="I24938" s="4" t="str">
        <v/>
      </c>
    </row>
    <row r="24939" spans="5:9" ht="16.5" hidden="1">
      <c r="E24939" s="4" t="str">
        <v/>
      </c>
      <c r="F24939" s="102" t="str">
        <f ca="1">IFERROR(__xludf.DUMMYFUNCTION("IMPORTRANGE(H24939,""IDENTITAS UNIT!D9"")"),"#N/A")</f>
        <v>#N/A</v>
      </c>
      <c r="H24939" s="4" t="str">
        <v/>
      </c>
      <c r="I24939" s="4" t="str">
        <v/>
      </c>
    </row>
    <row r="24940" spans="5:9" ht="16.5" hidden="1">
      <c r="E24940" s="4" t="str">
        <v/>
      </c>
      <c r="F24940" s="102" t="str">
        <f ca="1">IFERROR(__xludf.DUMMYFUNCTION("IMPORTRANGE(H24940,""IDENTITAS UNIT!D9"")"),"#N/A")</f>
        <v>#N/A</v>
      </c>
      <c r="H24940" s="4" t="str">
        <v/>
      </c>
      <c r="I24940" s="4" t="str">
        <v/>
      </c>
    </row>
    <row r="24941" spans="5:9" ht="16.5" hidden="1">
      <c r="E24941" s="4" t="str">
        <v/>
      </c>
      <c r="F24941" s="102" t="str">
        <f ca="1">IFERROR(__xludf.DUMMYFUNCTION("IMPORTRANGE(H24941,""IDENTITAS UNIT!D9"")"),"#N/A")</f>
        <v>#N/A</v>
      </c>
      <c r="H24941" s="4" t="str">
        <v/>
      </c>
      <c r="I24941" s="4" t="str">
        <v/>
      </c>
    </row>
    <row r="24942" spans="5:9" ht="16.5" hidden="1">
      <c r="E24942" s="4" t="str">
        <v/>
      </c>
      <c r="F24942" s="102" t="str">
        <f ca="1">IFERROR(__xludf.DUMMYFUNCTION("IMPORTRANGE(H24942,""IDENTITAS UNIT!D9"")"),"#N/A")</f>
        <v>#N/A</v>
      </c>
      <c r="H24942" s="4" t="str">
        <v/>
      </c>
      <c r="I24942" s="4" t="str">
        <v/>
      </c>
    </row>
    <row r="24943" spans="5:9" ht="16.5" hidden="1">
      <c r="E24943" s="4" t="str">
        <v/>
      </c>
      <c r="F24943" s="102" t="str">
        <f ca="1">IFERROR(__xludf.DUMMYFUNCTION("IMPORTRANGE(H24943,""IDENTITAS UNIT!D9"")"),"#N/A")</f>
        <v>#N/A</v>
      </c>
      <c r="H24943" s="4" t="str">
        <v/>
      </c>
      <c r="I24943" s="4" t="str">
        <v/>
      </c>
    </row>
    <row r="24944" spans="5:9" ht="16.5" hidden="1">
      <c r="E24944" s="4" t="str">
        <v/>
      </c>
      <c r="F24944" s="102" t="str">
        <f ca="1">IFERROR(__xludf.DUMMYFUNCTION("IMPORTRANGE(H24944,""IDENTITAS UNIT!D9"")"),"#N/A")</f>
        <v>#N/A</v>
      </c>
      <c r="H24944" s="4" t="str">
        <v/>
      </c>
      <c r="I24944" s="4" t="str">
        <v/>
      </c>
    </row>
    <row r="24945" spans="5:9" ht="16.5" hidden="1">
      <c r="E24945" s="4" t="str">
        <v/>
      </c>
      <c r="F24945" s="102" t="str">
        <f ca="1">IFERROR(__xludf.DUMMYFUNCTION("IMPORTRANGE(H24945,""IDENTITAS UNIT!D9"")"),"#N/A")</f>
        <v>#N/A</v>
      </c>
      <c r="H24945" s="4" t="str">
        <v/>
      </c>
      <c r="I24945" s="4" t="str">
        <v/>
      </c>
    </row>
    <row r="24946" spans="5:9" ht="16.5" hidden="1">
      <c r="E24946" s="4" t="str">
        <v/>
      </c>
      <c r="F24946" s="102" t="str">
        <f ca="1">IFERROR(__xludf.DUMMYFUNCTION("IMPORTRANGE(H24946,""IDENTITAS UNIT!D9"")"),"#N/A")</f>
        <v>#N/A</v>
      </c>
      <c r="H24946" s="4" t="str">
        <v/>
      </c>
      <c r="I24946" s="4" t="str">
        <v/>
      </c>
    </row>
    <row r="24947" spans="5:9" ht="16.5" hidden="1">
      <c r="E24947" s="4" t="str">
        <v/>
      </c>
      <c r="F24947" s="102" t="str">
        <f ca="1">IFERROR(__xludf.DUMMYFUNCTION("IMPORTRANGE(H24947,""IDENTITAS UNIT!D9"")"),"#N/A")</f>
        <v>#N/A</v>
      </c>
      <c r="H24947" s="4" t="str">
        <v/>
      </c>
      <c r="I24947" s="4" t="str">
        <v/>
      </c>
    </row>
    <row r="24948" spans="5:9" ht="16.5" hidden="1">
      <c r="E24948" s="4" t="str">
        <v/>
      </c>
      <c r="F24948" s="102" t="str">
        <f ca="1">IFERROR(__xludf.DUMMYFUNCTION("IMPORTRANGE(H24948,""IDENTITAS UNIT!D9"")"),"#N/A")</f>
        <v>#N/A</v>
      </c>
      <c r="H24948" s="4" t="str">
        <v/>
      </c>
      <c r="I24948" s="4" t="str">
        <v/>
      </c>
    </row>
    <row r="24949" spans="5:9" ht="16.5" hidden="1">
      <c r="E24949" s="4" t="str">
        <v/>
      </c>
      <c r="F24949" s="102" t="str">
        <f ca="1">IFERROR(__xludf.DUMMYFUNCTION("IMPORTRANGE(H24949,""IDENTITAS UNIT!D9"")"),"#N/A")</f>
        <v>#N/A</v>
      </c>
      <c r="H24949" s="4" t="str">
        <v/>
      </c>
      <c r="I24949" s="4" t="str">
        <v/>
      </c>
    </row>
    <row r="24950" spans="5:9" ht="16.5" hidden="1">
      <c r="E24950" s="4" t="str">
        <v/>
      </c>
      <c r="F24950" s="102" t="str">
        <f ca="1">IFERROR(__xludf.DUMMYFUNCTION("IMPORTRANGE(H24950,""IDENTITAS UNIT!D9"")"),"#N/A")</f>
        <v>#N/A</v>
      </c>
      <c r="H24950" s="4" t="str">
        <v/>
      </c>
      <c r="I24950" s="4" t="str">
        <v/>
      </c>
    </row>
    <row r="24951" spans="5:9" ht="16.5" hidden="1">
      <c r="E24951" s="4" t="str">
        <v/>
      </c>
      <c r="F24951" s="102" t="str">
        <f ca="1">IFERROR(__xludf.DUMMYFUNCTION("IMPORTRANGE(H24951,""IDENTITAS UNIT!D9"")"),"#N/A")</f>
        <v>#N/A</v>
      </c>
      <c r="H24951" s="4" t="str">
        <v/>
      </c>
      <c r="I24951" s="4" t="str">
        <v/>
      </c>
    </row>
    <row r="24952" spans="5:9" ht="16.5" hidden="1">
      <c r="E24952" s="4" t="str">
        <v/>
      </c>
      <c r="F24952" s="102" t="str">
        <f ca="1">IFERROR(__xludf.DUMMYFUNCTION("IMPORTRANGE(H24952,""IDENTITAS UNIT!D9"")"),"#N/A")</f>
        <v>#N/A</v>
      </c>
      <c r="H24952" s="4" t="str">
        <v/>
      </c>
      <c r="I24952" s="4" t="str">
        <v/>
      </c>
    </row>
    <row r="24953" spans="5:9" ht="16.5" hidden="1">
      <c r="E24953" s="4" t="str">
        <v/>
      </c>
      <c r="F24953" s="102" t="str">
        <f ca="1">IFERROR(__xludf.DUMMYFUNCTION("IMPORTRANGE(H24953,""IDENTITAS UNIT!D9"")"),"#N/A")</f>
        <v>#N/A</v>
      </c>
      <c r="H24953" s="4" t="str">
        <v/>
      </c>
      <c r="I24953" s="4" t="str">
        <v/>
      </c>
    </row>
    <row r="24954" spans="5:9" ht="16.5" hidden="1">
      <c r="E24954" s="4" t="str">
        <v/>
      </c>
      <c r="F24954" s="102" t="str">
        <f ca="1">IFERROR(__xludf.DUMMYFUNCTION("IMPORTRANGE(H24954,""IDENTITAS UNIT!D9"")"),"#N/A")</f>
        <v>#N/A</v>
      </c>
      <c r="H24954" s="4" t="str">
        <v/>
      </c>
      <c r="I24954" s="4" t="str">
        <v/>
      </c>
    </row>
    <row r="24955" spans="5:9" ht="16.5" hidden="1">
      <c r="E24955" s="4" t="str">
        <v/>
      </c>
      <c r="F24955" s="102" t="str">
        <f ca="1">IFERROR(__xludf.DUMMYFUNCTION("IMPORTRANGE(H24955,""IDENTITAS UNIT!D9"")"),"#N/A")</f>
        <v>#N/A</v>
      </c>
      <c r="H24955" s="4" t="str">
        <v/>
      </c>
      <c r="I24955" s="4" t="str">
        <v/>
      </c>
    </row>
    <row r="24956" spans="5:9" ht="16.5" hidden="1">
      <c r="E24956" s="4" t="str">
        <v/>
      </c>
      <c r="F24956" s="102" t="str">
        <f ca="1">IFERROR(__xludf.DUMMYFUNCTION("IMPORTRANGE(H24956,""IDENTITAS UNIT!D9"")"),"#N/A")</f>
        <v>#N/A</v>
      </c>
      <c r="H24956" s="4" t="str">
        <v/>
      </c>
      <c r="I24956" s="4" t="str">
        <v/>
      </c>
    </row>
    <row r="24957" spans="5:9" ht="16.5" hidden="1">
      <c r="E24957" s="4" t="str">
        <v/>
      </c>
      <c r="F24957" s="102" t="str">
        <f ca="1">IFERROR(__xludf.DUMMYFUNCTION("IMPORTRANGE(H24957,""IDENTITAS UNIT!D9"")"),"#N/A")</f>
        <v>#N/A</v>
      </c>
      <c r="H24957" s="4" t="str">
        <v/>
      </c>
      <c r="I24957" s="4" t="str">
        <v/>
      </c>
    </row>
    <row r="24958" spans="5:9" ht="16.5" hidden="1">
      <c r="E24958" s="4" t="str">
        <v/>
      </c>
      <c r="F24958" s="102" t="str">
        <f ca="1">IFERROR(__xludf.DUMMYFUNCTION("IMPORTRANGE(H24958,""IDENTITAS UNIT!D9"")"),"#N/A")</f>
        <v>#N/A</v>
      </c>
      <c r="H24958" s="4" t="str">
        <v/>
      </c>
      <c r="I24958" s="4" t="str">
        <v/>
      </c>
    </row>
    <row r="24959" spans="5:9" ht="16.5" hidden="1">
      <c r="E24959" s="4" t="str">
        <v/>
      </c>
      <c r="F24959" s="102" t="str">
        <f ca="1">IFERROR(__xludf.DUMMYFUNCTION("IMPORTRANGE(H24959,""IDENTITAS UNIT!D9"")"),"#N/A")</f>
        <v>#N/A</v>
      </c>
      <c r="H24959" s="4" t="str">
        <v/>
      </c>
      <c r="I24959" s="4" t="str">
        <v/>
      </c>
    </row>
    <row r="24960" spans="5:9" ht="16.5" hidden="1">
      <c r="E24960" s="4" t="str">
        <v/>
      </c>
      <c r="F24960" s="102" t="str">
        <f ca="1">IFERROR(__xludf.DUMMYFUNCTION("IMPORTRANGE(H24960,""IDENTITAS UNIT!D9"")"),"#N/A")</f>
        <v>#N/A</v>
      </c>
      <c r="H24960" s="4" t="str">
        <v/>
      </c>
      <c r="I24960" s="4" t="str">
        <v/>
      </c>
    </row>
    <row r="24961" spans="5:9" ht="16.5" hidden="1">
      <c r="E24961" s="4" t="str">
        <v/>
      </c>
      <c r="F24961" s="102" t="str">
        <f ca="1">IFERROR(__xludf.DUMMYFUNCTION("IMPORTRANGE(H24961,""IDENTITAS UNIT!D9"")"),"#N/A")</f>
        <v>#N/A</v>
      </c>
      <c r="H24961" s="4" t="str">
        <v/>
      </c>
      <c r="I24961" s="4" t="str">
        <v/>
      </c>
    </row>
    <row r="24962" spans="5:9" ht="16.5" hidden="1">
      <c r="E24962" s="4" t="str">
        <v/>
      </c>
      <c r="F24962" s="102" t="str">
        <f ca="1">IFERROR(__xludf.DUMMYFUNCTION("IMPORTRANGE(H24962,""IDENTITAS UNIT!D9"")"),"#N/A")</f>
        <v>#N/A</v>
      </c>
      <c r="H24962" s="4" t="str">
        <v/>
      </c>
      <c r="I24962" s="4" t="str">
        <v/>
      </c>
    </row>
    <row r="24963" spans="5:9" ht="16.5" hidden="1">
      <c r="E24963" s="4" t="str">
        <v/>
      </c>
      <c r="F24963" s="102" t="str">
        <f ca="1">IFERROR(__xludf.DUMMYFUNCTION("IMPORTRANGE(H24963,""IDENTITAS UNIT!D9"")"),"#N/A")</f>
        <v>#N/A</v>
      </c>
      <c r="H24963" s="4" t="str">
        <v/>
      </c>
      <c r="I24963" s="4" t="str">
        <v/>
      </c>
    </row>
    <row r="24964" spans="5:9" ht="16.5" hidden="1">
      <c r="E24964" s="4" t="str">
        <v/>
      </c>
      <c r="F24964" s="102" t="str">
        <f ca="1">IFERROR(__xludf.DUMMYFUNCTION("IMPORTRANGE(H24964,""IDENTITAS UNIT!D9"")"),"#N/A")</f>
        <v>#N/A</v>
      </c>
      <c r="H24964" s="4" t="str">
        <v/>
      </c>
      <c r="I24964" s="4" t="str">
        <v/>
      </c>
    </row>
    <row r="24965" spans="5:9" ht="16.5" hidden="1">
      <c r="E24965" s="4" t="str">
        <v/>
      </c>
      <c r="F24965" s="102" t="str">
        <f ca="1">IFERROR(__xludf.DUMMYFUNCTION("IMPORTRANGE(H24965,""IDENTITAS UNIT!D9"")"),"#N/A")</f>
        <v>#N/A</v>
      </c>
      <c r="H24965" s="4" t="str">
        <v/>
      </c>
      <c r="I24965" s="4" t="str">
        <v/>
      </c>
    </row>
    <row r="24966" spans="5:9" ht="16.5" hidden="1">
      <c r="E24966" s="4" t="str">
        <v/>
      </c>
      <c r="F24966" s="102" t="str">
        <f ca="1">IFERROR(__xludf.DUMMYFUNCTION("IMPORTRANGE(H24966,""IDENTITAS UNIT!D9"")"),"#N/A")</f>
        <v>#N/A</v>
      </c>
      <c r="H24966" s="4" t="str">
        <v/>
      </c>
      <c r="I24966" s="4" t="str">
        <v/>
      </c>
    </row>
    <row r="24967" spans="5:9" ht="16.5" hidden="1">
      <c r="E24967" s="4" t="str">
        <v/>
      </c>
      <c r="F24967" s="102" t="str">
        <f ca="1">IFERROR(__xludf.DUMMYFUNCTION("IMPORTRANGE(H24967,""IDENTITAS UNIT!D9"")"),"#N/A")</f>
        <v>#N/A</v>
      </c>
      <c r="H24967" s="4" t="str">
        <v/>
      </c>
      <c r="I24967" s="4" t="str">
        <v/>
      </c>
    </row>
    <row r="24968" spans="5:9" ht="16.5" hidden="1">
      <c r="E24968" s="4" t="str">
        <v/>
      </c>
      <c r="F24968" s="102" t="str">
        <f ca="1">IFERROR(__xludf.DUMMYFUNCTION("IMPORTRANGE(H24968,""IDENTITAS UNIT!D9"")"),"#N/A")</f>
        <v>#N/A</v>
      </c>
      <c r="H24968" s="4" t="str">
        <v/>
      </c>
      <c r="I24968" s="4" t="str">
        <v/>
      </c>
    </row>
    <row r="24969" spans="5:9" ht="16.5" hidden="1">
      <c r="E24969" s="4" t="str">
        <v/>
      </c>
      <c r="F24969" s="102" t="str">
        <f ca="1">IFERROR(__xludf.DUMMYFUNCTION("IMPORTRANGE(H24969,""IDENTITAS UNIT!D9"")"),"#N/A")</f>
        <v>#N/A</v>
      </c>
      <c r="H24969" s="4" t="str">
        <v/>
      </c>
      <c r="I24969" s="4" t="str">
        <v/>
      </c>
    </row>
    <row r="24970" spans="5:9" ht="16.5" hidden="1">
      <c r="E24970" s="4" t="str">
        <v/>
      </c>
      <c r="F24970" s="102" t="str">
        <f ca="1">IFERROR(__xludf.DUMMYFUNCTION("IMPORTRANGE(H24970,""IDENTITAS UNIT!D9"")"),"#N/A")</f>
        <v>#N/A</v>
      </c>
      <c r="H24970" s="4" t="str">
        <v/>
      </c>
      <c r="I24970" s="4" t="str">
        <v/>
      </c>
    </row>
    <row r="24971" spans="5:9" ht="16.5" hidden="1">
      <c r="E24971" s="4" t="str">
        <v/>
      </c>
      <c r="F24971" s="102" t="str">
        <f ca="1">IFERROR(__xludf.DUMMYFUNCTION("IMPORTRANGE(H24971,""IDENTITAS UNIT!D9"")"),"#N/A")</f>
        <v>#N/A</v>
      </c>
      <c r="H24971" s="4" t="str">
        <v/>
      </c>
      <c r="I24971" s="4" t="str">
        <v/>
      </c>
    </row>
    <row r="24972" spans="5:9" ht="16.5" hidden="1">
      <c r="E24972" s="4" t="str">
        <v/>
      </c>
      <c r="F24972" s="102" t="str">
        <f ca="1">IFERROR(__xludf.DUMMYFUNCTION("IMPORTRANGE(H24972,""IDENTITAS UNIT!D9"")"),"#N/A")</f>
        <v>#N/A</v>
      </c>
      <c r="H24972" s="4" t="str">
        <v/>
      </c>
      <c r="I24972" s="4" t="str">
        <v/>
      </c>
    </row>
    <row r="24973" spans="5:9" ht="16.5" hidden="1">
      <c r="E24973" s="4" t="str">
        <v/>
      </c>
      <c r="F24973" s="102" t="str">
        <f ca="1">IFERROR(__xludf.DUMMYFUNCTION("IMPORTRANGE(H24973,""IDENTITAS UNIT!D9"")"),"#N/A")</f>
        <v>#N/A</v>
      </c>
      <c r="H24973" s="4" t="str">
        <v/>
      </c>
      <c r="I24973" s="4" t="str">
        <v/>
      </c>
    </row>
    <row r="24974" spans="5:9" ht="16.5" hidden="1">
      <c r="E24974" s="4" t="str">
        <v/>
      </c>
      <c r="F24974" s="102" t="str">
        <f ca="1">IFERROR(__xludf.DUMMYFUNCTION("IMPORTRANGE(H24974,""IDENTITAS UNIT!D9"")"),"#N/A")</f>
        <v>#N/A</v>
      </c>
      <c r="H24974" s="4" t="str">
        <v/>
      </c>
      <c r="I24974" s="4" t="str">
        <v/>
      </c>
    </row>
    <row r="24975" spans="5:9" ht="16.5" hidden="1">
      <c r="E24975" s="4" t="str">
        <v/>
      </c>
      <c r="F24975" s="102" t="str">
        <f ca="1">IFERROR(__xludf.DUMMYFUNCTION("IMPORTRANGE(H24975,""IDENTITAS UNIT!D9"")"),"#N/A")</f>
        <v>#N/A</v>
      </c>
      <c r="H24975" s="4" t="str">
        <v/>
      </c>
      <c r="I24975" s="4" t="str">
        <v/>
      </c>
    </row>
    <row r="24976" spans="5:9" ht="16.5" hidden="1">
      <c r="E24976" s="4" t="str">
        <v/>
      </c>
      <c r="F24976" s="102" t="str">
        <f ca="1">IFERROR(__xludf.DUMMYFUNCTION("IMPORTRANGE(H24976,""IDENTITAS UNIT!D9"")"),"#N/A")</f>
        <v>#N/A</v>
      </c>
      <c r="H24976" s="4" t="str">
        <v/>
      </c>
      <c r="I24976" s="4" t="str">
        <v/>
      </c>
    </row>
    <row r="24977" spans="5:9" ht="16.5" hidden="1">
      <c r="E24977" s="4" t="str">
        <v/>
      </c>
      <c r="F24977" s="102" t="str">
        <f ca="1">IFERROR(__xludf.DUMMYFUNCTION("IMPORTRANGE(H24977,""IDENTITAS UNIT!D9"")"),"#N/A")</f>
        <v>#N/A</v>
      </c>
      <c r="H24977" s="4" t="str">
        <v/>
      </c>
      <c r="I24977" s="4" t="str">
        <v/>
      </c>
    </row>
    <row r="24978" spans="5:9" ht="16.5" hidden="1">
      <c r="E24978" s="4" t="str">
        <v/>
      </c>
      <c r="F24978" s="102" t="str">
        <f ca="1">IFERROR(__xludf.DUMMYFUNCTION("IMPORTRANGE(H24978,""IDENTITAS UNIT!D9"")"),"#N/A")</f>
        <v>#N/A</v>
      </c>
      <c r="H24978" s="4" t="str">
        <v/>
      </c>
      <c r="I24978" s="4" t="str">
        <v/>
      </c>
    </row>
    <row r="24979" spans="5:9" ht="16.5" hidden="1">
      <c r="E24979" s="4" t="str">
        <v/>
      </c>
      <c r="F24979" s="102" t="str">
        <f ca="1">IFERROR(__xludf.DUMMYFUNCTION("IMPORTRANGE(H24979,""IDENTITAS UNIT!D9"")"),"#N/A")</f>
        <v>#N/A</v>
      </c>
      <c r="H24979" s="4" t="str">
        <v/>
      </c>
      <c r="I24979" s="4" t="str">
        <v/>
      </c>
    </row>
    <row r="24980" spans="5:9" ht="16.5" hidden="1">
      <c r="E24980" s="4" t="str">
        <v/>
      </c>
      <c r="F24980" s="102" t="str">
        <f ca="1">IFERROR(__xludf.DUMMYFUNCTION("IMPORTRANGE(H24980,""IDENTITAS UNIT!D9"")"),"#N/A")</f>
        <v>#N/A</v>
      </c>
      <c r="H24980" s="4" t="str">
        <v/>
      </c>
      <c r="I24980" s="4" t="str">
        <v/>
      </c>
    </row>
    <row r="24981" spans="5:9" ht="16.5" hidden="1">
      <c r="E24981" s="4" t="str">
        <v/>
      </c>
      <c r="F24981" s="102" t="str">
        <f ca="1">IFERROR(__xludf.DUMMYFUNCTION("IMPORTRANGE(H24981,""IDENTITAS UNIT!D9"")"),"#N/A")</f>
        <v>#N/A</v>
      </c>
      <c r="H24981" s="4" t="str">
        <v/>
      </c>
      <c r="I24981" s="4" t="str">
        <v/>
      </c>
    </row>
    <row r="24982" spans="5:9" ht="16.5" hidden="1">
      <c r="E24982" s="4" t="str">
        <v/>
      </c>
      <c r="F24982" s="102" t="str">
        <f ca="1">IFERROR(__xludf.DUMMYFUNCTION("IMPORTRANGE(H24982,""IDENTITAS UNIT!D9"")"),"#N/A")</f>
        <v>#N/A</v>
      </c>
      <c r="H24982" s="4" t="str">
        <v/>
      </c>
      <c r="I24982" s="4" t="str">
        <v/>
      </c>
    </row>
    <row r="24983" spans="5:9" ht="16.5" hidden="1">
      <c r="E24983" s="4" t="str">
        <v/>
      </c>
      <c r="F24983" s="102" t="str">
        <f ca="1">IFERROR(__xludf.DUMMYFUNCTION("IMPORTRANGE(H24983,""IDENTITAS UNIT!D9"")"),"#N/A")</f>
        <v>#N/A</v>
      </c>
      <c r="H24983" s="4" t="str">
        <v/>
      </c>
      <c r="I24983" s="4" t="str">
        <v/>
      </c>
    </row>
    <row r="24984" spans="5:9" ht="16.5" hidden="1">
      <c r="E24984" s="4" t="str">
        <v/>
      </c>
      <c r="F24984" s="102" t="str">
        <f ca="1">IFERROR(__xludf.DUMMYFUNCTION("IMPORTRANGE(H24984,""IDENTITAS UNIT!D9"")"),"#N/A")</f>
        <v>#N/A</v>
      </c>
      <c r="H24984" s="4" t="str">
        <v/>
      </c>
      <c r="I24984" s="4" t="str">
        <v/>
      </c>
    </row>
    <row r="24985" spans="5:9" ht="16.5" hidden="1">
      <c r="E24985" s="4" t="str">
        <v/>
      </c>
      <c r="F24985" s="102" t="str">
        <f ca="1">IFERROR(__xludf.DUMMYFUNCTION("IMPORTRANGE(H24985,""IDENTITAS UNIT!D9"")"),"#N/A")</f>
        <v>#N/A</v>
      </c>
      <c r="H24985" s="4" t="str">
        <v/>
      </c>
      <c r="I24985" s="4" t="str">
        <v/>
      </c>
    </row>
    <row r="24986" spans="5:9" ht="16.5" hidden="1">
      <c r="E24986" s="4" t="str">
        <v/>
      </c>
      <c r="F24986" s="102" t="str">
        <f ca="1">IFERROR(__xludf.DUMMYFUNCTION("IMPORTRANGE(H24986,""IDENTITAS UNIT!D9"")"),"#N/A")</f>
        <v>#N/A</v>
      </c>
      <c r="H24986" s="4" t="str">
        <v/>
      </c>
      <c r="I24986" s="4" t="str">
        <v/>
      </c>
    </row>
    <row r="24987" spans="5:9" ht="16.5" hidden="1">
      <c r="E24987" s="4" t="str">
        <v/>
      </c>
      <c r="F24987" s="102" t="str">
        <f ca="1">IFERROR(__xludf.DUMMYFUNCTION("IMPORTRANGE(H24987,""IDENTITAS UNIT!D9"")"),"#N/A")</f>
        <v>#N/A</v>
      </c>
      <c r="H24987" s="4" t="str">
        <v/>
      </c>
      <c r="I24987" s="4" t="str">
        <v/>
      </c>
    </row>
    <row r="24988" spans="5:9" ht="16.5" hidden="1">
      <c r="E24988" s="4" t="str">
        <v/>
      </c>
      <c r="F24988" s="102" t="str">
        <f ca="1">IFERROR(__xludf.DUMMYFUNCTION("IMPORTRANGE(H24988,""IDENTITAS UNIT!D9"")"),"#N/A")</f>
        <v>#N/A</v>
      </c>
      <c r="H24988" s="4" t="str">
        <v/>
      </c>
      <c r="I24988" s="4" t="str">
        <v/>
      </c>
    </row>
    <row r="24989" spans="5:9" ht="16.5" hidden="1">
      <c r="E24989" s="4" t="str">
        <v/>
      </c>
      <c r="F24989" s="102" t="str">
        <f ca="1">IFERROR(__xludf.DUMMYFUNCTION("IMPORTRANGE(H24989,""IDENTITAS UNIT!D9"")"),"#N/A")</f>
        <v>#N/A</v>
      </c>
      <c r="H24989" s="4" t="str">
        <v/>
      </c>
      <c r="I24989" s="4" t="str">
        <v/>
      </c>
    </row>
    <row r="24990" spans="5:9" ht="16.5" hidden="1">
      <c r="E24990" s="4" t="str">
        <v/>
      </c>
      <c r="F24990" s="102" t="str">
        <f ca="1">IFERROR(__xludf.DUMMYFUNCTION("IMPORTRANGE(H24990,""IDENTITAS UNIT!D9"")"),"#N/A")</f>
        <v>#N/A</v>
      </c>
      <c r="H24990" s="4" t="str">
        <v/>
      </c>
      <c r="I24990" s="4" t="str">
        <v/>
      </c>
    </row>
    <row r="24991" spans="5:9" ht="16.5" hidden="1">
      <c r="E24991" s="4" t="str">
        <v/>
      </c>
      <c r="F24991" s="102" t="str">
        <f ca="1">IFERROR(__xludf.DUMMYFUNCTION("IMPORTRANGE(H24991,""IDENTITAS UNIT!D9"")"),"#N/A")</f>
        <v>#N/A</v>
      </c>
      <c r="H24991" s="4" t="str">
        <v/>
      </c>
      <c r="I24991" s="4" t="str">
        <v/>
      </c>
    </row>
    <row r="24992" spans="5:9" ht="16.5" hidden="1">
      <c r="E24992" s="4" t="str">
        <v/>
      </c>
      <c r="F24992" s="102" t="str">
        <f ca="1">IFERROR(__xludf.DUMMYFUNCTION("IMPORTRANGE(H24992,""IDENTITAS UNIT!D9"")"),"#N/A")</f>
        <v>#N/A</v>
      </c>
      <c r="H24992" s="4" t="str">
        <v/>
      </c>
      <c r="I24992" s="4" t="str">
        <v/>
      </c>
    </row>
    <row r="24993" spans="5:9" ht="16.5" hidden="1">
      <c r="E24993" s="4" t="str">
        <v/>
      </c>
      <c r="F24993" s="102" t="str">
        <f ca="1">IFERROR(__xludf.DUMMYFUNCTION("IMPORTRANGE(H24993,""IDENTITAS UNIT!D9"")"),"#N/A")</f>
        <v>#N/A</v>
      </c>
      <c r="H24993" s="4" t="str">
        <v/>
      </c>
      <c r="I24993" s="4" t="str">
        <v/>
      </c>
    </row>
    <row r="24994" spans="5:9" ht="16.5" hidden="1">
      <c r="E24994" s="4" t="str">
        <v/>
      </c>
      <c r="F24994" s="102" t="str">
        <f ca="1">IFERROR(__xludf.DUMMYFUNCTION("IMPORTRANGE(H24994,""IDENTITAS UNIT!D9"")"),"#N/A")</f>
        <v>#N/A</v>
      </c>
      <c r="H24994" s="4" t="str">
        <v/>
      </c>
      <c r="I24994" s="4" t="str">
        <v/>
      </c>
    </row>
    <row r="24995" spans="5:9" ht="16.5" hidden="1">
      <c r="E24995" s="4" t="str">
        <v/>
      </c>
      <c r="F24995" s="102" t="str">
        <f ca="1">IFERROR(__xludf.DUMMYFUNCTION("IMPORTRANGE(H24995,""IDENTITAS UNIT!D9"")"),"#N/A")</f>
        <v>#N/A</v>
      </c>
      <c r="H24995" s="4" t="str">
        <v/>
      </c>
      <c r="I24995" s="4" t="str">
        <v/>
      </c>
    </row>
    <row r="24996" spans="5:9" ht="16.5" hidden="1">
      <c r="E24996" s="4" t="str">
        <v/>
      </c>
      <c r="F24996" s="102" t="str">
        <f ca="1">IFERROR(__xludf.DUMMYFUNCTION("IMPORTRANGE(H24996,""IDENTITAS UNIT!D9"")"),"#N/A")</f>
        <v>#N/A</v>
      </c>
      <c r="H24996" s="4" t="str">
        <v/>
      </c>
      <c r="I24996" s="4" t="str">
        <v/>
      </c>
    </row>
    <row r="24997" spans="5:9" ht="16.5" hidden="1">
      <c r="E24997" s="4" t="str">
        <v/>
      </c>
      <c r="F24997" s="102" t="str">
        <f ca="1">IFERROR(__xludf.DUMMYFUNCTION("IMPORTRANGE(H24997,""IDENTITAS UNIT!D9"")"),"#N/A")</f>
        <v>#N/A</v>
      </c>
      <c r="H24997" s="4" t="str">
        <v/>
      </c>
      <c r="I24997" s="4" t="str">
        <v/>
      </c>
    </row>
    <row r="24998" spans="5:9" ht="16.5" hidden="1">
      <c r="E24998" s="4" t="str">
        <v/>
      </c>
      <c r="F24998" s="102" t="str">
        <f ca="1">IFERROR(__xludf.DUMMYFUNCTION("IMPORTRANGE(H24998,""IDENTITAS UNIT!D9"")"),"#N/A")</f>
        <v>#N/A</v>
      </c>
      <c r="H24998" s="4" t="str">
        <v/>
      </c>
      <c r="I24998" s="4" t="str">
        <v/>
      </c>
    </row>
    <row r="24999" spans="5:9" ht="16.5" hidden="1">
      <c r="E24999" s="4" t="str">
        <v/>
      </c>
      <c r="F24999" s="102" t="str">
        <f ca="1">IFERROR(__xludf.DUMMYFUNCTION("IMPORTRANGE(H24999,""IDENTITAS UNIT!D9"")"),"#N/A")</f>
        <v>#N/A</v>
      </c>
      <c r="H24999" s="4" t="str">
        <v/>
      </c>
      <c r="I24999" s="4" t="str">
        <v/>
      </c>
    </row>
    <row r="25000" spans="5:9" ht="16.5" hidden="1">
      <c r="E25000" s="4" t="str">
        <v/>
      </c>
      <c r="F25000" s="102" t="str">
        <f ca="1">IFERROR(__xludf.DUMMYFUNCTION("IMPORTRANGE(H25000,""IDENTITAS UNIT!D9"")"),"#N/A")</f>
        <v>#N/A</v>
      </c>
      <c r="H25000" s="4" t="str">
        <v/>
      </c>
      <c r="I25000" s="4" t="str">
        <v/>
      </c>
    </row>
    <row r="25001" spans="5:9" ht="16.5" hidden="1">
      <c r="E25001" s="4" t="str">
        <v/>
      </c>
      <c r="F25001" s="102" t="str">
        <f ca="1">IFERROR(__xludf.DUMMYFUNCTION("IMPORTRANGE(H25001,""IDENTITAS UNIT!D9"")"),"#N/A")</f>
        <v>#N/A</v>
      </c>
      <c r="H25001" s="4" t="str">
        <v/>
      </c>
      <c r="I25001" s="4" t="str">
        <v/>
      </c>
    </row>
    <row r="25002" spans="5:9" ht="16.5" hidden="1">
      <c r="E25002" s="4" t="str">
        <v/>
      </c>
      <c r="F25002" s="102" t="str">
        <f ca="1">IFERROR(__xludf.DUMMYFUNCTION("IMPORTRANGE(H25002,""IDENTITAS UNIT!D9"")"),"#N/A")</f>
        <v>#N/A</v>
      </c>
      <c r="H25002" s="4" t="str">
        <v/>
      </c>
      <c r="I25002" s="4" t="str">
        <v/>
      </c>
    </row>
    <row r="25003" spans="5:9" ht="16.5" hidden="1">
      <c r="E25003" s="4" t="str">
        <v/>
      </c>
      <c r="F25003" s="102" t="str">
        <f ca="1">IFERROR(__xludf.DUMMYFUNCTION("IMPORTRANGE(H25003,""IDENTITAS UNIT!D9"")"),"#N/A")</f>
        <v>#N/A</v>
      </c>
      <c r="H25003" s="4" t="str">
        <v/>
      </c>
      <c r="I25003" s="4" t="str">
        <v/>
      </c>
    </row>
    <row r="25004" spans="5:9" ht="16.5" hidden="1">
      <c r="E25004" s="4" t="str">
        <v/>
      </c>
      <c r="F25004" s="102" t="str">
        <f ca="1">IFERROR(__xludf.DUMMYFUNCTION("IMPORTRANGE(H25004,""IDENTITAS UNIT!D9"")"),"#N/A")</f>
        <v>#N/A</v>
      </c>
      <c r="H25004" s="4" t="str">
        <v/>
      </c>
      <c r="I25004" s="4" t="str">
        <v/>
      </c>
    </row>
    <row r="25005" spans="5:9" ht="16.5" hidden="1">
      <c r="E25005" s="4" t="str">
        <v/>
      </c>
      <c r="F25005" s="102" t="str">
        <f ca="1">IFERROR(__xludf.DUMMYFUNCTION("IMPORTRANGE(H25005,""IDENTITAS UNIT!D9"")"),"#N/A")</f>
        <v>#N/A</v>
      </c>
      <c r="H25005" s="4" t="str">
        <v/>
      </c>
      <c r="I25005" s="4" t="str">
        <v/>
      </c>
    </row>
    <row r="25006" spans="5:9" ht="16.5" hidden="1">
      <c r="E25006" s="4" t="str">
        <v/>
      </c>
      <c r="F25006" s="102" t="str">
        <f ca="1">IFERROR(__xludf.DUMMYFUNCTION("IMPORTRANGE(H25006,""IDENTITAS UNIT!D9"")"),"#N/A")</f>
        <v>#N/A</v>
      </c>
      <c r="H25006" s="4" t="str">
        <v/>
      </c>
      <c r="I25006" s="4" t="str">
        <v/>
      </c>
    </row>
    <row r="25007" spans="5:9" ht="16.5" hidden="1">
      <c r="E25007" s="4" t="str">
        <v/>
      </c>
      <c r="F25007" s="102" t="str">
        <f ca="1">IFERROR(__xludf.DUMMYFUNCTION("IMPORTRANGE(H25007,""IDENTITAS UNIT!D9"")"),"#N/A")</f>
        <v>#N/A</v>
      </c>
      <c r="H25007" s="4" t="str">
        <v/>
      </c>
      <c r="I25007" s="4" t="str">
        <v/>
      </c>
    </row>
    <row r="25008" spans="5:9" ht="16.5" hidden="1">
      <c r="E25008" s="4" t="str">
        <v/>
      </c>
      <c r="F25008" s="102" t="str">
        <f ca="1">IFERROR(__xludf.DUMMYFUNCTION("IMPORTRANGE(H25008,""IDENTITAS UNIT!D9"")"),"#N/A")</f>
        <v>#N/A</v>
      </c>
      <c r="H25008" s="4" t="str">
        <v/>
      </c>
      <c r="I25008" s="4" t="str">
        <v/>
      </c>
    </row>
    <row r="25009" spans="5:9" ht="16.5" hidden="1">
      <c r="E25009" s="4" t="str">
        <v/>
      </c>
      <c r="F25009" s="102" t="str">
        <f ca="1">IFERROR(__xludf.DUMMYFUNCTION("IMPORTRANGE(H25009,""IDENTITAS UNIT!D9"")"),"#N/A")</f>
        <v>#N/A</v>
      </c>
      <c r="H25009" s="4" t="str">
        <v/>
      </c>
      <c r="I25009" s="4" t="str">
        <v/>
      </c>
    </row>
    <row r="25010" spans="5:9" ht="16.5" hidden="1">
      <c r="E25010" s="4" t="str">
        <v/>
      </c>
      <c r="F25010" s="102" t="str">
        <f ca="1">IFERROR(__xludf.DUMMYFUNCTION("IMPORTRANGE(H25010,""IDENTITAS UNIT!D9"")"),"#N/A")</f>
        <v>#N/A</v>
      </c>
      <c r="H25010" s="4" t="str">
        <v/>
      </c>
      <c r="I25010" s="4" t="str">
        <v/>
      </c>
    </row>
    <row r="25011" spans="5:9" ht="16.5" hidden="1">
      <c r="E25011" s="4" t="str">
        <v/>
      </c>
      <c r="F25011" s="102" t="str">
        <f ca="1">IFERROR(__xludf.DUMMYFUNCTION("IMPORTRANGE(H25011,""IDENTITAS UNIT!D9"")"),"#N/A")</f>
        <v>#N/A</v>
      </c>
      <c r="H25011" s="4" t="str">
        <v/>
      </c>
      <c r="I25011" s="4" t="str">
        <v/>
      </c>
    </row>
    <row r="25012" spans="5:9" ht="16.5" hidden="1">
      <c r="E25012" s="4" t="str">
        <v/>
      </c>
      <c r="F25012" s="102" t="str">
        <f ca="1">IFERROR(__xludf.DUMMYFUNCTION("IMPORTRANGE(H25012,""IDENTITAS UNIT!D9"")"),"#N/A")</f>
        <v>#N/A</v>
      </c>
      <c r="H25012" s="4" t="str">
        <v/>
      </c>
      <c r="I25012" s="4" t="str">
        <v/>
      </c>
    </row>
    <row r="25013" spans="5:9" ht="16.5" hidden="1">
      <c r="E25013" s="4" t="str">
        <v/>
      </c>
      <c r="F25013" s="102" t="str">
        <f ca="1">IFERROR(__xludf.DUMMYFUNCTION("IMPORTRANGE(H25013,""IDENTITAS UNIT!D9"")"),"#N/A")</f>
        <v>#N/A</v>
      </c>
      <c r="H25013" s="4" t="str">
        <v/>
      </c>
      <c r="I25013" s="4" t="str">
        <v/>
      </c>
    </row>
    <row r="25014" spans="5:9" ht="16.5" hidden="1">
      <c r="E25014" s="4" t="str">
        <v/>
      </c>
      <c r="F25014" s="102" t="str">
        <f ca="1">IFERROR(__xludf.DUMMYFUNCTION("IMPORTRANGE(H25014,""IDENTITAS UNIT!D9"")"),"#N/A")</f>
        <v>#N/A</v>
      </c>
      <c r="H25014" s="4" t="str">
        <v/>
      </c>
      <c r="I25014" s="4" t="str">
        <v/>
      </c>
    </row>
    <row r="25015" spans="5:9" ht="16.5" hidden="1">
      <c r="E25015" s="4" t="str">
        <v/>
      </c>
      <c r="F25015" s="102" t="str">
        <f ca="1">IFERROR(__xludf.DUMMYFUNCTION("IMPORTRANGE(H25015,""IDENTITAS UNIT!D9"")"),"#N/A")</f>
        <v>#N/A</v>
      </c>
      <c r="H25015" s="4" t="str">
        <v/>
      </c>
      <c r="I25015" s="4" t="str">
        <v/>
      </c>
    </row>
    <row r="25016" spans="5:9" ht="16.5" hidden="1">
      <c r="E25016" s="4" t="str">
        <v/>
      </c>
      <c r="F25016" s="102" t="str">
        <f ca="1">IFERROR(__xludf.DUMMYFUNCTION("IMPORTRANGE(H25016,""IDENTITAS UNIT!D9"")"),"#N/A")</f>
        <v>#N/A</v>
      </c>
      <c r="H25016" s="4" t="str">
        <v/>
      </c>
      <c r="I25016" s="4" t="str">
        <v/>
      </c>
    </row>
    <row r="25017" spans="5:9" ht="16.5" hidden="1">
      <c r="E25017" s="4" t="str">
        <v/>
      </c>
      <c r="F25017" s="102" t="str">
        <f ca="1">IFERROR(__xludf.DUMMYFUNCTION("IMPORTRANGE(H25017,""IDENTITAS UNIT!D9"")"),"#N/A")</f>
        <v>#N/A</v>
      </c>
      <c r="H25017" s="4" t="str">
        <v/>
      </c>
      <c r="I25017" s="4" t="str">
        <v/>
      </c>
    </row>
    <row r="25018" spans="5:9" ht="16.5" hidden="1">
      <c r="E25018" s="4" t="str">
        <v/>
      </c>
      <c r="F25018" s="102" t="str">
        <f ca="1">IFERROR(__xludf.DUMMYFUNCTION("IMPORTRANGE(H25018,""IDENTITAS UNIT!D9"")"),"#N/A")</f>
        <v>#N/A</v>
      </c>
      <c r="H25018" s="4" t="str">
        <v/>
      </c>
      <c r="I25018" s="4" t="str">
        <v/>
      </c>
    </row>
    <row r="25019" spans="5:9" ht="16.5" hidden="1">
      <c r="E25019" s="4" t="str">
        <v/>
      </c>
      <c r="F25019" s="102" t="str">
        <f ca="1">IFERROR(__xludf.DUMMYFUNCTION("IMPORTRANGE(H25019,""IDENTITAS UNIT!D9"")"),"#N/A")</f>
        <v>#N/A</v>
      </c>
      <c r="H25019" s="4" t="str">
        <v/>
      </c>
      <c r="I25019" s="4" t="str">
        <v/>
      </c>
    </row>
    <row r="25020" spans="5:9" ht="16.5" hidden="1">
      <c r="E25020" s="4" t="str">
        <v/>
      </c>
      <c r="F25020" s="102" t="str">
        <f ca="1">IFERROR(__xludf.DUMMYFUNCTION("IMPORTRANGE(H25020,""IDENTITAS UNIT!D9"")"),"#N/A")</f>
        <v>#N/A</v>
      </c>
      <c r="H25020" s="4" t="str">
        <v/>
      </c>
      <c r="I25020" s="4" t="str">
        <v/>
      </c>
    </row>
    <row r="25021" spans="5:9" ht="16.5" hidden="1">
      <c r="E25021" s="4" t="str">
        <v/>
      </c>
      <c r="F25021" s="102" t="str">
        <f ca="1">IFERROR(__xludf.DUMMYFUNCTION("IMPORTRANGE(H25021,""IDENTITAS UNIT!D9"")"),"#N/A")</f>
        <v>#N/A</v>
      </c>
      <c r="H25021" s="4" t="str">
        <v/>
      </c>
      <c r="I25021" s="4" t="str">
        <v/>
      </c>
    </row>
    <row r="25022" spans="5:9" ht="16.5" hidden="1">
      <c r="E25022" s="4" t="str">
        <v/>
      </c>
      <c r="F25022" s="102" t="str">
        <f ca="1">IFERROR(__xludf.DUMMYFUNCTION("IMPORTRANGE(H25022,""IDENTITAS UNIT!D9"")"),"#N/A")</f>
        <v>#N/A</v>
      </c>
      <c r="H25022" s="4" t="str">
        <v/>
      </c>
      <c r="I25022" s="4" t="str">
        <v/>
      </c>
    </row>
    <row r="25023" spans="5:9" ht="16.5" hidden="1">
      <c r="E25023" s="4" t="str">
        <v/>
      </c>
      <c r="F25023" s="102" t="str">
        <f ca="1">IFERROR(__xludf.DUMMYFUNCTION("IMPORTRANGE(H25023,""IDENTITAS UNIT!D9"")"),"#N/A")</f>
        <v>#N/A</v>
      </c>
      <c r="H25023" s="4" t="str">
        <v/>
      </c>
      <c r="I25023" s="4" t="str">
        <v/>
      </c>
    </row>
    <row r="25024" spans="5:9" ht="16.5" hidden="1">
      <c r="E25024" s="4" t="str">
        <v/>
      </c>
      <c r="F25024" s="102" t="str">
        <f ca="1">IFERROR(__xludf.DUMMYFUNCTION("IMPORTRANGE(H25024,""IDENTITAS UNIT!D9"")"),"#N/A")</f>
        <v>#N/A</v>
      </c>
      <c r="H25024" s="4" t="str">
        <v/>
      </c>
      <c r="I25024" s="4" t="str">
        <v/>
      </c>
    </row>
    <row r="25025" spans="5:9" ht="16.5" hidden="1">
      <c r="E25025" s="4" t="str">
        <v/>
      </c>
      <c r="F25025" s="102" t="str">
        <f ca="1">IFERROR(__xludf.DUMMYFUNCTION("IMPORTRANGE(H25025,""IDENTITAS UNIT!D9"")"),"#N/A")</f>
        <v>#N/A</v>
      </c>
      <c r="H25025" s="4" t="str">
        <v/>
      </c>
      <c r="I25025" s="4" t="str">
        <v/>
      </c>
    </row>
    <row r="25026" spans="5:9" ht="16.5" hidden="1">
      <c r="E25026" s="4" t="str">
        <v/>
      </c>
      <c r="F25026" s="102" t="str">
        <f ca="1">IFERROR(__xludf.DUMMYFUNCTION("IMPORTRANGE(H25026,""IDENTITAS UNIT!D9"")"),"#N/A")</f>
        <v>#N/A</v>
      </c>
      <c r="H25026" s="4" t="str">
        <v/>
      </c>
      <c r="I25026" s="4" t="str">
        <v/>
      </c>
    </row>
    <row r="25027" spans="5:9" ht="16.5" hidden="1">
      <c r="E25027" s="4" t="str">
        <v/>
      </c>
      <c r="F25027" s="102" t="str">
        <f ca="1">IFERROR(__xludf.DUMMYFUNCTION("IMPORTRANGE(H25027,""IDENTITAS UNIT!D9"")"),"#N/A")</f>
        <v>#N/A</v>
      </c>
      <c r="H25027" s="4" t="str">
        <v/>
      </c>
      <c r="I25027" s="4" t="str">
        <v/>
      </c>
    </row>
    <row r="25028" spans="5:9" ht="16.5" hidden="1">
      <c r="E25028" s="4" t="str">
        <v/>
      </c>
      <c r="F25028" s="102" t="str">
        <f ca="1">IFERROR(__xludf.DUMMYFUNCTION("IMPORTRANGE(H25028,""IDENTITAS UNIT!D9"")"),"#N/A")</f>
        <v>#N/A</v>
      </c>
      <c r="H25028" s="4" t="str">
        <v/>
      </c>
      <c r="I25028" s="4" t="str">
        <v/>
      </c>
    </row>
    <row r="25029" spans="5:9" ht="16.5" hidden="1">
      <c r="E25029" s="4" t="str">
        <v/>
      </c>
      <c r="F25029" s="102" t="str">
        <f ca="1">IFERROR(__xludf.DUMMYFUNCTION("IMPORTRANGE(H25029,""IDENTITAS UNIT!D9"")"),"#N/A")</f>
        <v>#N/A</v>
      </c>
      <c r="H25029" s="4" t="str">
        <v/>
      </c>
      <c r="I25029" s="4" t="str">
        <v/>
      </c>
    </row>
    <row r="25030" spans="5:9" ht="16.5" hidden="1">
      <c r="E25030" s="4" t="str">
        <v/>
      </c>
      <c r="F25030" s="102" t="str">
        <f ca="1">IFERROR(__xludf.DUMMYFUNCTION("IMPORTRANGE(H25030,""IDENTITAS UNIT!D9"")"),"#N/A")</f>
        <v>#N/A</v>
      </c>
      <c r="H25030" s="4" t="str">
        <v/>
      </c>
      <c r="I25030" s="4" t="str">
        <v/>
      </c>
    </row>
    <row r="25031" spans="5:9" ht="16.5" hidden="1">
      <c r="E25031" s="4" t="str">
        <v/>
      </c>
      <c r="F25031" s="102" t="str">
        <f ca="1">IFERROR(__xludf.DUMMYFUNCTION("IMPORTRANGE(H25031,""IDENTITAS UNIT!D9"")"),"#N/A")</f>
        <v>#N/A</v>
      </c>
      <c r="H25031" s="4" t="str">
        <v/>
      </c>
      <c r="I25031" s="4" t="str">
        <v/>
      </c>
    </row>
    <row r="25032" spans="5:9" ht="16.5" hidden="1">
      <c r="E25032" s="4" t="str">
        <v/>
      </c>
      <c r="F25032" s="102" t="str">
        <f ca="1">IFERROR(__xludf.DUMMYFUNCTION("IMPORTRANGE(H25032,""IDENTITAS UNIT!D9"")"),"#N/A")</f>
        <v>#N/A</v>
      </c>
      <c r="H25032" s="4" t="str">
        <v/>
      </c>
      <c r="I25032" s="4" t="str">
        <v/>
      </c>
    </row>
    <row r="25033" spans="5:9" ht="16.5" hidden="1">
      <c r="E25033" s="4" t="str">
        <v/>
      </c>
      <c r="F25033" s="102" t="str">
        <f ca="1">IFERROR(__xludf.DUMMYFUNCTION("IMPORTRANGE(H25033,""IDENTITAS UNIT!D9"")"),"#N/A")</f>
        <v>#N/A</v>
      </c>
      <c r="H25033" s="4" t="str">
        <v/>
      </c>
      <c r="I25033" s="4" t="str">
        <v/>
      </c>
    </row>
    <row r="25034" spans="5:9" ht="16.5" hidden="1">
      <c r="E25034" s="4" t="str">
        <v/>
      </c>
      <c r="F25034" s="102" t="str">
        <f ca="1">IFERROR(__xludf.DUMMYFUNCTION("IMPORTRANGE(H25034,""IDENTITAS UNIT!D9"")"),"#N/A")</f>
        <v>#N/A</v>
      </c>
      <c r="H25034" s="4" t="str">
        <v/>
      </c>
      <c r="I25034" s="4" t="str">
        <v/>
      </c>
    </row>
    <row r="25035" spans="5:9" ht="16.5" hidden="1">
      <c r="E25035" s="4" t="str">
        <v/>
      </c>
      <c r="F25035" s="102" t="str">
        <f ca="1">IFERROR(__xludf.DUMMYFUNCTION("IMPORTRANGE(H25035,""IDENTITAS UNIT!D9"")"),"#N/A")</f>
        <v>#N/A</v>
      </c>
      <c r="H25035" s="4" t="str">
        <v/>
      </c>
      <c r="I25035" s="4" t="str">
        <v/>
      </c>
    </row>
    <row r="25036" spans="5:9" ht="16.5" hidden="1">
      <c r="E25036" s="4" t="str">
        <v/>
      </c>
      <c r="F25036" s="102" t="str">
        <f ca="1">IFERROR(__xludf.DUMMYFUNCTION("IMPORTRANGE(H25036,""IDENTITAS UNIT!D9"")"),"#N/A")</f>
        <v>#N/A</v>
      </c>
      <c r="H25036" s="4" t="str">
        <v/>
      </c>
      <c r="I25036" s="4" t="str">
        <v/>
      </c>
    </row>
    <row r="25037" spans="5:9" ht="16.5" hidden="1">
      <c r="E25037" s="4" t="str">
        <v/>
      </c>
      <c r="F25037" s="102" t="str">
        <f ca="1">IFERROR(__xludf.DUMMYFUNCTION("IMPORTRANGE(H25037,""IDENTITAS UNIT!D9"")"),"#N/A")</f>
        <v>#N/A</v>
      </c>
      <c r="H25037" s="4" t="str">
        <v/>
      </c>
      <c r="I25037" s="4" t="str">
        <v/>
      </c>
    </row>
    <row r="25038" spans="5:9" ht="16.5" hidden="1">
      <c r="E25038" s="4" t="str">
        <v/>
      </c>
      <c r="F25038" s="102" t="str">
        <f ca="1">IFERROR(__xludf.DUMMYFUNCTION("IMPORTRANGE(H25038,""IDENTITAS UNIT!D9"")"),"#N/A")</f>
        <v>#N/A</v>
      </c>
      <c r="H25038" s="4" t="str">
        <v/>
      </c>
      <c r="I25038" s="4" t="str">
        <v/>
      </c>
    </row>
    <row r="25039" spans="5:9" ht="16.5" hidden="1">
      <c r="E25039" s="4" t="str">
        <v/>
      </c>
      <c r="F25039" s="102" t="str">
        <f ca="1">IFERROR(__xludf.DUMMYFUNCTION("IMPORTRANGE(H25039,""IDENTITAS UNIT!D9"")"),"#N/A")</f>
        <v>#N/A</v>
      </c>
      <c r="H25039" s="4" t="str">
        <v/>
      </c>
      <c r="I25039" s="4" t="str">
        <v/>
      </c>
    </row>
    <row r="25040" spans="5:9" ht="16.5" hidden="1">
      <c r="E25040" s="4" t="str">
        <v/>
      </c>
      <c r="F25040" s="102" t="str">
        <f ca="1">IFERROR(__xludf.DUMMYFUNCTION("IMPORTRANGE(H25040,""IDENTITAS UNIT!D9"")"),"#N/A")</f>
        <v>#N/A</v>
      </c>
      <c r="H25040" s="4" t="str">
        <v/>
      </c>
      <c r="I25040" s="4" t="str">
        <v/>
      </c>
    </row>
    <row r="25041" spans="5:9" ht="16.5" hidden="1">
      <c r="E25041" s="4" t="str">
        <v/>
      </c>
      <c r="F25041" s="102" t="str">
        <f ca="1">IFERROR(__xludf.DUMMYFUNCTION("IMPORTRANGE(H25041,""IDENTITAS UNIT!D9"")"),"#N/A")</f>
        <v>#N/A</v>
      </c>
      <c r="H25041" s="4" t="str">
        <v/>
      </c>
      <c r="I25041" s="4" t="str">
        <v/>
      </c>
    </row>
    <row r="25042" spans="5:9" ht="16.5" hidden="1">
      <c r="E25042" s="4" t="str">
        <v/>
      </c>
      <c r="F25042" s="102" t="str">
        <f ca="1">IFERROR(__xludf.DUMMYFUNCTION("IMPORTRANGE(H25042,""IDENTITAS UNIT!D9"")"),"#N/A")</f>
        <v>#N/A</v>
      </c>
      <c r="H25042" s="4" t="str">
        <v/>
      </c>
      <c r="I25042" s="4" t="str">
        <v/>
      </c>
    </row>
    <row r="25043" spans="5:9" ht="16.5" hidden="1">
      <c r="E25043" s="4" t="str">
        <v/>
      </c>
      <c r="F25043" s="102" t="str">
        <f ca="1">IFERROR(__xludf.DUMMYFUNCTION("IMPORTRANGE(H25043,""IDENTITAS UNIT!D9"")"),"#N/A")</f>
        <v>#N/A</v>
      </c>
      <c r="H25043" s="4" t="str">
        <v/>
      </c>
      <c r="I25043" s="4" t="str">
        <v/>
      </c>
    </row>
    <row r="25044" spans="5:9" ht="16.5" hidden="1">
      <c r="E25044" s="4" t="str">
        <v/>
      </c>
      <c r="F25044" s="102" t="str">
        <f ca="1">IFERROR(__xludf.DUMMYFUNCTION("IMPORTRANGE(H25044,""IDENTITAS UNIT!D9"")"),"#N/A")</f>
        <v>#N/A</v>
      </c>
      <c r="H25044" s="4" t="str">
        <v/>
      </c>
      <c r="I25044" s="4" t="str">
        <v/>
      </c>
    </row>
    <row r="25045" spans="5:9" ht="16.5" hidden="1">
      <c r="E25045" s="4" t="str">
        <v/>
      </c>
      <c r="F25045" s="102" t="str">
        <f ca="1">IFERROR(__xludf.DUMMYFUNCTION("IMPORTRANGE(H25045,""IDENTITAS UNIT!D9"")"),"#N/A")</f>
        <v>#N/A</v>
      </c>
      <c r="H25045" s="4" t="str">
        <v/>
      </c>
      <c r="I25045" s="4" t="str">
        <v/>
      </c>
    </row>
    <row r="25046" spans="5:9" ht="16.5" hidden="1">
      <c r="E25046" s="4" t="str">
        <v/>
      </c>
      <c r="F25046" s="102" t="str">
        <f ca="1">IFERROR(__xludf.DUMMYFUNCTION("IMPORTRANGE(H25046,""IDENTITAS UNIT!D9"")"),"#N/A")</f>
        <v>#N/A</v>
      </c>
      <c r="H25046" s="4" t="str">
        <v/>
      </c>
      <c r="I25046" s="4" t="str">
        <v/>
      </c>
    </row>
    <row r="25047" spans="5:9" ht="16.5" hidden="1">
      <c r="E25047" s="4" t="str">
        <v/>
      </c>
      <c r="F25047" s="102" t="str">
        <f ca="1">IFERROR(__xludf.DUMMYFUNCTION("IMPORTRANGE(H25047,""IDENTITAS UNIT!D9"")"),"#N/A")</f>
        <v>#N/A</v>
      </c>
      <c r="H25047" s="4" t="str">
        <v/>
      </c>
      <c r="I25047" s="4" t="str">
        <v/>
      </c>
    </row>
    <row r="25048" spans="5:9" ht="16.5" hidden="1">
      <c r="E25048" s="4" t="str">
        <v/>
      </c>
      <c r="F25048" s="102" t="str">
        <f ca="1">IFERROR(__xludf.DUMMYFUNCTION("IMPORTRANGE(H25048,""IDENTITAS UNIT!D9"")"),"#N/A")</f>
        <v>#N/A</v>
      </c>
      <c r="H25048" s="4" t="str">
        <v/>
      </c>
      <c r="I25048" s="4" t="str">
        <v/>
      </c>
    </row>
    <row r="25049" spans="5:9" ht="16.5" hidden="1">
      <c r="E25049" s="4" t="str">
        <v/>
      </c>
      <c r="F25049" s="102" t="str">
        <f ca="1">IFERROR(__xludf.DUMMYFUNCTION("IMPORTRANGE(H25049,""IDENTITAS UNIT!D9"")"),"#N/A")</f>
        <v>#N/A</v>
      </c>
      <c r="H25049" s="4" t="str">
        <v/>
      </c>
      <c r="I25049" s="4" t="str">
        <v/>
      </c>
    </row>
    <row r="25050" spans="5:9" ht="16.5" hidden="1">
      <c r="E25050" s="4" t="str">
        <v/>
      </c>
      <c r="F25050" s="102" t="str">
        <f ca="1">IFERROR(__xludf.DUMMYFUNCTION("IMPORTRANGE(H25050,""IDENTITAS UNIT!D9"")"),"#N/A")</f>
        <v>#N/A</v>
      </c>
      <c r="H25050" s="4" t="str">
        <v/>
      </c>
      <c r="I25050" s="4" t="str">
        <v/>
      </c>
    </row>
    <row r="25051" spans="5:9" ht="16.5" hidden="1">
      <c r="E25051" s="4" t="str">
        <v/>
      </c>
      <c r="F25051" s="102" t="str">
        <f ca="1">IFERROR(__xludf.DUMMYFUNCTION("IMPORTRANGE(H25051,""IDENTITAS UNIT!D9"")"),"#N/A")</f>
        <v>#N/A</v>
      </c>
      <c r="H25051" s="4" t="str">
        <v/>
      </c>
      <c r="I25051" s="4" t="str">
        <v/>
      </c>
    </row>
    <row r="25052" spans="5:9" ht="16.5" hidden="1">
      <c r="E25052" s="4" t="str">
        <v/>
      </c>
      <c r="F25052" s="102" t="str">
        <f ca="1">IFERROR(__xludf.DUMMYFUNCTION("IMPORTRANGE(H25052,""IDENTITAS UNIT!D9"")"),"#N/A")</f>
        <v>#N/A</v>
      </c>
      <c r="H25052" s="4" t="str">
        <v/>
      </c>
      <c r="I25052" s="4" t="str">
        <v/>
      </c>
    </row>
    <row r="25053" spans="5:9" ht="16.5" hidden="1">
      <c r="E25053" s="4" t="str">
        <v/>
      </c>
      <c r="F25053" s="102" t="str">
        <f ca="1">IFERROR(__xludf.DUMMYFUNCTION("IMPORTRANGE(H25053,""IDENTITAS UNIT!D9"")"),"#N/A")</f>
        <v>#N/A</v>
      </c>
      <c r="H25053" s="4" t="str">
        <v/>
      </c>
      <c r="I25053" s="4" t="str">
        <v/>
      </c>
    </row>
    <row r="25054" spans="5:9" ht="16.5" hidden="1">
      <c r="E25054" s="4" t="str">
        <v/>
      </c>
      <c r="F25054" s="102" t="str">
        <f ca="1">IFERROR(__xludf.DUMMYFUNCTION("IMPORTRANGE(H25054,""IDENTITAS UNIT!D9"")"),"#N/A")</f>
        <v>#N/A</v>
      </c>
      <c r="H25054" s="4" t="str">
        <v/>
      </c>
      <c r="I25054" s="4" t="str">
        <v/>
      </c>
    </row>
    <row r="25055" spans="5:9" ht="16.5" hidden="1">
      <c r="E25055" s="4" t="str">
        <v/>
      </c>
      <c r="F25055" s="102" t="str">
        <f ca="1">IFERROR(__xludf.DUMMYFUNCTION("IMPORTRANGE(H25055,""IDENTITAS UNIT!D9"")"),"#N/A")</f>
        <v>#N/A</v>
      </c>
      <c r="H25055" s="4" t="str">
        <v/>
      </c>
      <c r="I25055" s="4" t="str">
        <v/>
      </c>
    </row>
    <row r="25056" spans="5:9" ht="16.5" hidden="1">
      <c r="E25056" s="4" t="str">
        <v/>
      </c>
      <c r="F25056" s="102" t="str">
        <f ca="1">IFERROR(__xludf.DUMMYFUNCTION("IMPORTRANGE(H25056,""IDENTITAS UNIT!D9"")"),"#N/A")</f>
        <v>#N/A</v>
      </c>
      <c r="H25056" s="4" t="str">
        <v/>
      </c>
      <c r="I25056" s="4" t="str">
        <v/>
      </c>
    </row>
    <row r="25057" spans="5:9" ht="16.5" hidden="1">
      <c r="E25057" s="4" t="str">
        <v/>
      </c>
      <c r="F25057" s="102" t="str">
        <f ca="1">IFERROR(__xludf.DUMMYFUNCTION("IMPORTRANGE(H25057,""IDENTITAS UNIT!D9"")"),"#N/A")</f>
        <v>#N/A</v>
      </c>
      <c r="H25057" s="4" t="str">
        <v/>
      </c>
      <c r="I25057" s="4" t="str">
        <v/>
      </c>
    </row>
    <row r="25058" spans="5:9" ht="16.5" hidden="1">
      <c r="E25058" s="4" t="str">
        <v/>
      </c>
      <c r="F25058" s="102" t="str">
        <f ca="1">IFERROR(__xludf.DUMMYFUNCTION("IMPORTRANGE(H25058,""IDENTITAS UNIT!D9"")"),"#N/A")</f>
        <v>#N/A</v>
      </c>
      <c r="H25058" s="4" t="str">
        <v/>
      </c>
      <c r="I25058" s="4" t="str">
        <v/>
      </c>
    </row>
    <row r="25059" spans="5:9" ht="16.5" hidden="1">
      <c r="E25059" s="4" t="str">
        <v/>
      </c>
      <c r="F25059" s="102" t="str">
        <f ca="1">IFERROR(__xludf.DUMMYFUNCTION("IMPORTRANGE(H25059,""IDENTITAS UNIT!D9"")"),"#N/A")</f>
        <v>#N/A</v>
      </c>
      <c r="H25059" s="4" t="str">
        <v/>
      </c>
      <c r="I25059" s="4" t="str">
        <v/>
      </c>
    </row>
    <row r="25060" spans="5:9" ht="16.5" hidden="1">
      <c r="E25060" s="4" t="str">
        <v/>
      </c>
      <c r="F25060" s="102" t="str">
        <f ca="1">IFERROR(__xludf.DUMMYFUNCTION("IMPORTRANGE(H25060,""IDENTITAS UNIT!D9"")"),"#N/A")</f>
        <v>#N/A</v>
      </c>
      <c r="H25060" s="4" t="str">
        <v/>
      </c>
      <c r="I25060" s="4" t="str">
        <v/>
      </c>
    </row>
    <row r="25061" spans="5:9" ht="16.5" hidden="1">
      <c r="E25061" s="4" t="str">
        <v/>
      </c>
      <c r="F25061" s="102" t="str">
        <f ca="1">IFERROR(__xludf.DUMMYFUNCTION("IMPORTRANGE(H25061,""IDENTITAS UNIT!D9"")"),"#N/A")</f>
        <v>#N/A</v>
      </c>
      <c r="H25061" s="4" t="str">
        <v/>
      </c>
      <c r="I25061" s="4" t="str">
        <v/>
      </c>
    </row>
    <row r="25062" spans="5:9" ht="16.5" hidden="1">
      <c r="E25062" s="4" t="str">
        <v/>
      </c>
      <c r="F25062" s="102" t="str">
        <f ca="1">IFERROR(__xludf.DUMMYFUNCTION("IMPORTRANGE(H25062,""IDENTITAS UNIT!D9"")"),"#N/A")</f>
        <v>#N/A</v>
      </c>
      <c r="H25062" s="4" t="str">
        <v/>
      </c>
      <c r="I25062" s="4" t="str">
        <v/>
      </c>
    </row>
    <row r="25063" spans="5:9" ht="16.5" hidden="1">
      <c r="E25063" s="4" t="str">
        <v/>
      </c>
      <c r="F25063" s="102" t="str">
        <f ca="1">IFERROR(__xludf.DUMMYFUNCTION("IMPORTRANGE(H25063,""IDENTITAS UNIT!D9"")"),"#N/A")</f>
        <v>#N/A</v>
      </c>
      <c r="H25063" s="4" t="str">
        <v/>
      </c>
      <c r="I25063" s="4" t="str">
        <v/>
      </c>
    </row>
    <row r="25064" spans="5:9" ht="16.5" hidden="1">
      <c r="E25064" s="4" t="str">
        <v/>
      </c>
      <c r="F25064" s="102" t="str">
        <f ca="1">IFERROR(__xludf.DUMMYFUNCTION("IMPORTRANGE(H25064,""IDENTITAS UNIT!D9"")"),"#N/A")</f>
        <v>#N/A</v>
      </c>
      <c r="H25064" s="4" t="str">
        <v/>
      </c>
      <c r="I25064" s="4" t="str">
        <v/>
      </c>
    </row>
    <row r="25065" spans="5:9" ht="16.5" hidden="1">
      <c r="E25065" s="4" t="str">
        <v/>
      </c>
      <c r="F25065" s="102" t="str">
        <f ca="1">IFERROR(__xludf.DUMMYFUNCTION("IMPORTRANGE(H25065,""IDENTITAS UNIT!D9"")"),"#N/A")</f>
        <v>#N/A</v>
      </c>
      <c r="H25065" s="4" t="str">
        <v/>
      </c>
      <c r="I25065" s="4" t="str">
        <v/>
      </c>
    </row>
    <row r="25066" spans="5:9" ht="16.5" hidden="1">
      <c r="E25066" s="4" t="str">
        <v/>
      </c>
      <c r="F25066" s="102" t="str">
        <f ca="1">IFERROR(__xludf.DUMMYFUNCTION("IMPORTRANGE(H25066,""IDENTITAS UNIT!D9"")"),"#N/A")</f>
        <v>#N/A</v>
      </c>
      <c r="H25066" s="4" t="str">
        <v/>
      </c>
      <c r="I25066" s="4" t="str">
        <v/>
      </c>
    </row>
    <row r="25067" spans="5:9" ht="16.5" hidden="1">
      <c r="E25067" s="4" t="str">
        <v/>
      </c>
      <c r="F25067" s="102" t="str">
        <f ca="1">IFERROR(__xludf.DUMMYFUNCTION("IMPORTRANGE(H25067,""IDENTITAS UNIT!D9"")"),"#N/A")</f>
        <v>#N/A</v>
      </c>
      <c r="H25067" s="4" t="str">
        <v/>
      </c>
      <c r="I25067" s="4" t="str">
        <v/>
      </c>
    </row>
    <row r="25068" spans="5:9" ht="16.5" hidden="1">
      <c r="E25068" s="4" t="str">
        <v/>
      </c>
      <c r="F25068" s="102" t="str">
        <f ca="1">IFERROR(__xludf.DUMMYFUNCTION("IMPORTRANGE(H25068,""IDENTITAS UNIT!D9"")"),"#N/A")</f>
        <v>#N/A</v>
      </c>
      <c r="H25068" s="4" t="str">
        <v/>
      </c>
      <c r="I25068" s="4" t="str">
        <v/>
      </c>
    </row>
    <row r="25069" spans="5:9" ht="16.5" hidden="1">
      <c r="E25069" s="4" t="str">
        <v/>
      </c>
      <c r="F25069" s="102" t="str">
        <f ca="1">IFERROR(__xludf.DUMMYFUNCTION("IMPORTRANGE(H25069,""IDENTITAS UNIT!D9"")"),"#N/A")</f>
        <v>#N/A</v>
      </c>
      <c r="H25069" s="4" t="str">
        <v/>
      </c>
      <c r="I25069" s="4" t="str">
        <v/>
      </c>
    </row>
    <row r="25070" spans="5:9" ht="16.5" hidden="1">
      <c r="E25070" s="4" t="str">
        <v/>
      </c>
      <c r="F25070" s="102" t="str">
        <f ca="1">IFERROR(__xludf.DUMMYFUNCTION("IMPORTRANGE(H25070,""IDENTITAS UNIT!D9"")"),"#N/A")</f>
        <v>#N/A</v>
      </c>
      <c r="H25070" s="4" t="str">
        <v/>
      </c>
      <c r="I25070" s="4" t="str">
        <v/>
      </c>
    </row>
    <row r="25071" spans="5:9" ht="16.5" hidden="1">
      <c r="E25071" s="4" t="str">
        <v/>
      </c>
      <c r="F25071" s="102" t="str">
        <f ca="1">IFERROR(__xludf.DUMMYFUNCTION("IMPORTRANGE(H25071,""IDENTITAS UNIT!D9"")"),"#N/A")</f>
        <v>#N/A</v>
      </c>
      <c r="H25071" s="4" t="str">
        <v/>
      </c>
      <c r="I25071" s="4" t="str">
        <v/>
      </c>
    </row>
    <row r="25072" spans="5:9" ht="16.5" hidden="1">
      <c r="E25072" s="4" t="str">
        <v/>
      </c>
      <c r="F25072" s="102" t="str">
        <f ca="1">IFERROR(__xludf.DUMMYFUNCTION("IMPORTRANGE(H25072,""IDENTITAS UNIT!D9"")"),"#N/A")</f>
        <v>#N/A</v>
      </c>
      <c r="H25072" s="4" t="str">
        <v/>
      </c>
      <c r="I25072" s="4" t="str">
        <v/>
      </c>
    </row>
    <row r="25073" spans="5:9" ht="16.5" hidden="1">
      <c r="E25073" s="4" t="str">
        <v/>
      </c>
      <c r="F25073" s="102" t="str">
        <f ca="1">IFERROR(__xludf.DUMMYFUNCTION("IMPORTRANGE(H25073,""IDENTITAS UNIT!D9"")"),"#N/A")</f>
        <v>#N/A</v>
      </c>
      <c r="H25073" s="4" t="str">
        <v/>
      </c>
      <c r="I25073" s="4" t="str">
        <v/>
      </c>
    </row>
    <row r="25074" spans="5:9" ht="16.5" hidden="1">
      <c r="E25074" s="4" t="str">
        <v/>
      </c>
      <c r="F25074" s="102" t="str">
        <f ca="1">IFERROR(__xludf.DUMMYFUNCTION("IMPORTRANGE(H25074,""IDENTITAS UNIT!D9"")"),"#N/A")</f>
        <v>#N/A</v>
      </c>
      <c r="H25074" s="4" t="str">
        <v/>
      </c>
      <c r="I25074" s="4" t="str">
        <v/>
      </c>
    </row>
    <row r="25075" spans="5:9" ht="16.5" hidden="1">
      <c r="E25075" s="4" t="str">
        <v/>
      </c>
      <c r="F25075" s="102" t="str">
        <f ca="1">IFERROR(__xludf.DUMMYFUNCTION("IMPORTRANGE(H25075,""IDENTITAS UNIT!D9"")"),"#N/A")</f>
        <v>#N/A</v>
      </c>
      <c r="H25075" s="4" t="str">
        <v/>
      </c>
      <c r="I25075" s="4" t="str">
        <v/>
      </c>
    </row>
    <row r="25076" spans="5:9" ht="16.5" hidden="1">
      <c r="E25076" s="4" t="str">
        <v/>
      </c>
      <c r="F25076" s="102" t="str">
        <f ca="1">IFERROR(__xludf.DUMMYFUNCTION("IMPORTRANGE(H25076,""IDENTITAS UNIT!D9"")"),"#N/A")</f>
        <v>#N/A</v>
      </c>
      <c r="H25076" s="4" t="str">
        <v/>
      </c>
      <c r="I25076" s="4" t="str">
        <v/>
      </c>
    </row>
    <row r="25077" spans="5:9" ht="16.5" hidden="1">
      <c r="E25077" s="4" t="str">
        <v/>
      </c>
      <c r="F25077" s="102" t="str">
        <f ca="1">IFERROR(__xludf.DUMMYFUNCTION("IMPORTRANGE(H25077,""IDENTITAS UNIT!D9"")"),"#N/A")</f>
        <v>#N/A</v>
      </c>
      <c r="H25077" s="4" t="str">
        <v/>
      </c>
      <c r="I25077" s="4" t="str">
        <v/>
      </c>
    </row>
    <row r="25078" spans="5:9" ht="16.5" hidden="1">
      <c r="E25078" s="4" t="str">
        <v/>
      </c>
      <c r="F25078" s="102" t="str">
        <f ca="1">IFERROR(__xludf.DUMMYFUNCTION("IMPORTRANGE(H25078,""IDENTITAS UNIT!D9"")"),"#N/A")</f>
        <v>#N/A</v>
      </c>
      <c r="H25078" s="4" t="str">
        <v/>
      </c>
      <c r="I25078" s="4" t="str">
        <v/>
      </c>
    </row>
    <row r="25079" spans="5:9" ht="16.5" hidden="1">
      <c r="E25079" s="4" t="str">
        <v/>
      </c>
      <c r="F25079" s="102" t="str">
        <f ca="1">IFERROR(__xludf.DUMMYFUNCTION("IMPORTRANGE(H25079,""IDENTITAS UNIT!D9"")"),"#N/A")</f>
        <v>#N/A</v>
      </c>
      <c r="H25079" s="4" t="str">
        <v/>
      </c>
      <c r="I25079" s="4" t="str">
        <v/>
      </c>
    </row>
    <row r="25080" spans="5:9" ht="16.5" hidden="1">
      <c r="E25080" s="4" t="str">
        <v/>
      </c>
      <c r="F25080" s="102" t="str">
        <f ca="1">IFERROR(__xludf.DUMMYFUNCTION("IMPORTRANGE(H25080,""IDENTITAS UNIT!D9"")"),"#N/A")</f>
        <v>#N/A</v>
      </c>
      <c r="H25080" s="4" t="str">
        <v/>
      </c>
      <c r="I25080" s="4" t="str">
        <v/>
      </c>
    </row>
    <row r="25081" spans="5:9" ht="16.5" hidden="1">
      <c r="E25081" s="4" t="str">
        <v/>
      </c>
      <c r="F25081" s="102" t="str">
        <f ca="1">IFERROR(__xludf.DUMMYFUNCTION("IMPORTRANGE(H25081,""IDENTITAS UNIT!D9"")"),"#N/A")</f>
        <v>#N/A</v>
      </c>
      <c r="H25081" s="4" t="str">
        <v/>
      </c>
      <c r="I25081" s="4" t="str">
        <v/>
      </c>
    </row>
    <row r="25082" spans="5:9" ht="16.5" hidden="1">
      <c r="E25082" s="4" t="str">
        <v/>
      </c>
      <c r="F25082" s="102" t="str">
        <f ca="1">IFERROR(__xludf.DUMMYFUNCTION("IMPORTRANGE(H25082,""IDENTITAS UNIT!D9"")"),"#N/A")</f>
        <v>#N/A</v>
      </c>
      <c r="H25082" s="4" t="str">
        <v/>
      </c>
      <c r="I25082" s="4" t="str">
        <v/>
      </c>
    </row>
    <row r="25083" spans="5:9" ht="16.5" hidden="1">
      <c r="E25083" s="4" t="str">
        <v/>
      </c>
      <c r="F25083" s="102" t="str">
        <f ca="1">IFERROR(__xludf.DUMMYFUNCTION("IMPORTRANGE(H25083,""IDENTITAS UNIT!D9"")"),"#N/A")</f>
        <v>#N/A</v>
      </c>
      <c r="H25083" s="4" t="str">
        <v/>
      </c>
      <c r="I25083" s="4" t="str">
        <v/>
      </c>
    </row>
    <row r="25084" spans="5:9" ht="16.5" hidden="1">
      <c r="E25084" s="4" t="str">
        <v/>
      </c>
      <c r="F25084" s="102" t="str">
        <f ca="1">IFERROR(__xludf.DUMMYFUNCTION("IMPORTRANGE(H25084,""IDENTITAS UNIT!D9"")"),"#N/A")</f>
        <v>#N/A</v>
      </c>
      <c r="H25084" s="4" t="str">
        <v/>
      </c>
      <c r="I25084" s="4" t="str">
        <v/>
      </c>
    </row>
    <row r="25085" spans="5:9" ht="16.5" hidden="1">
      <c r="E25085" s="4" t="str">
        <v/>
      </c>
      <c r="F25085" s="102" t="str">
        <f ca="1">IFERROR(__xludf.DUMMYFUNCTION("IMPORTRANGE(H25085,""IDENTITAS UNIT!D9"")"),"#N/A")</f>
        <v>#N/A</v>
      </c>
      <c r="H25085" s="4" t="str">
        <v/>
      </c>
      <c r="I25085" s="4" t="str">
        <v/>
      </c>
    </row>
    <row r="25086" spans="5:9" ht="16.5" hidden="1">
      <c r="E25086" s="4" t="str">
        <v/>
      </c>
      <c r="F25086" s="102" t="str">
        <f ca="1">IFERROR(__xludf.DUMMYFUNCTION("IMPORTRANGE(H25086,""IDENTITAS UNIT!D9"")"),"#N/A")</f>
        <v>#N/A</v>
      </c>
      <c r="H25086" s="4" t="str">
        <v/>
      </c>
      <c r="I25086" s="4" t="str">
        <v/>
      </c>
    </row>
    <row r="25087" spans="5:9" ht="16.5" hidden="1">
      <c r="E25087" s="4" t="str">
        <v/>
      </c>
      <c r="F25087" s="102" t="str">
        <f ca="1">IFERROR(__xludf.DUMMYFUNCTION("IMPORTRANGE(H25087,""IDENTITAS UNIT!D9"")"),"#N/A")</f>
        <v>#N/A</v>
      </c>
      <c r="H25087" s="4" t="str">
        <v/>
      </c>
      <c r="I25087" s="4" t="str">
        <v/>
      </c>
    </row>
    <row r="25088" spans="5:9" ht="16.5" hidden="1">
      <c r="E25088" s="4" t="str">
        <v/>
      </c>
      <c r="F25088" s="102" t="str">
        <f ca="1">IFERROR(__xludf.DUMMYFUNCTION("IMPORTRANGE(H25088,""IDENTITAS UNIT!D9"")"),"#N/A")</f>
        <v>#N/A</v>
      </c>
      <c r="H25088" s="4" t="str">
        <v/>
      </c>
      <c r="I25088" s="4" t="str">
        <v/>
      </c>
    </row>
    <row r="25089" spans="5:9" ht="16.5" hidden="1">
      <c r="E25089" s="4" t="str">
        <v/>
      </c>
      <c r="F25089" s="102" t="str">
        <f ca="1">IFERROR(__xludf.DUMMYFUNCTION("IMPORTRANGE(H25089,""IDENTITAS UNIT!D9"")"),"#N/A")</f>
        <v>#N/A</v>
      </c>
      <c r="H25089" s="4" t="str">
        <v/>
      </c>
      <c r="I25089" s="4" t="str">
        <v/>
      </c>
    </row>
    <row r="25090" spans="5:9" ht="16.5" hidden="1">
      <c r="E25090" s="4" t="str">
        <v/>
      </c>
      <c r="F25090" s="102" t="str">
        <f ca="1">IFERROR(__xludf.DUMMYFUNCTION("IMPORTRANGE(H25090,""IDENTITAS UNIT!D9"")"),"#N/A")</f>
        <v>#N/A</v>
      </c>
      <c r="H25090" s="4" t="str">
        <v/>
      </c>
      <c r="I25090" s="4" t="str">
        <v/>
      </c>
    </row>
    <row r="25091" spans="5:9" ht="16.5" hidden="1">
      <c r="E25091" s="4" t="str">
        <v/>
      </c>
      <c r="F25091" s="102" t="str">
        <f ca="1">IFERROR(__xludf.DUMMYFUNCTION("IMPORTRANGE(H25091,""IDENTITAS UNIT!D9"")"),"#N/A")</f>
        <v>#N/A</v>
      </c>
      <c r="H25091" s="4" t="str">
        <v/>
      </c>
      <c r="I25091" s="4" t="str">
        <v/>
      </c>
    </row>
    <row r="25092" spans="5:9" ht="16.5" hidden="1">
      <c r="E25092" s="4" t="str">
        <v/>
      </c>
      <c r="F25092" s="102" t="str">
        <f ca="1">IFERROR(__xludf.DUMMYFUNCTION("IMPORTRANGE(H25092,""IDENTITAS UNIT!D9"")"),"#N/A")</f>
        <v>#N/A</v>
      </c>
      <c r="H25092" s="4" t="str">
        <v/>
      </c>
      <c r="I25092" s="4" t="str">
        <v/>
      </c>
    </row>
    <row r="25093" spans="5:9" ht="16.5" hidden="1">
      <c r="E25093" s="4" t="str">
        <v/>
      </c>
      <c r="F25093" s="102" t="str">
        <f ca="1">IFERROR(__xludf.DUMMYFUNCTION("IMPORTRANGE(H25093,""IDENTITAS UNIT!D9"")"),"#N/A")</f>
        <v>#N/A</v>
      </c>
      <c r="H25093" s="4" t="str">
        <v/>
      </c>
      <c r="I25093" s="4" t="str">
        <v/>
      </c>
    </row>
    <row r="25094" spans="5:9" ht="16.5" hidden="1">
      <c r="E25094" s="4" t="str">
        <v/>
      </c>
      <c r="F25094" s="102" t="str">
        <f ca="1">IFERROR(__xludf.DUMMYFUNCTION("IMPORTRANGE(H25094,""IDENTITAS UNIT!D9"")"),"#N/A")</f>
        <v>#N/A</v>
      </c>
      <c r="H25094" s="4" t="str">
        <v/>
      </c>
      <c r="I25094" s="4" t="str">
        <v/>
      </c>
    </row>
    <row r="25095" spans="5:9" ht="16.5" hidden="1">
      <c r="E25095" s="4" t="str">
        <v/>
      </c>
      <c r="F25095" s="102" t="str">
        <f ca="1">IFERROR(__xludf.DUMMYFUNCTION("IMPORTRANGE(H25095,""IDENTITAS UNIT!D9"")"),"#N/A")</f>
        <v>#N/A</v>
      </c>
      <c r="H25095" s="4" t="str">
        <v/>
      </c>
      <c r="I25095" s="4" t="str">
        <v/>
      </c>
    </row>
    <row r="25096" spans="5:9" ht="16.5" hidden="1">
      <c r="E25096" s="4" t="str">
        <v/>
      </c>
      <c r="F25096" s="102" t="str">
        <f ca="1">IFERROR(__xludf.DUMMYFUNCTION("IMPORTRANGE(H25096,""IDENTITAS UNIT!D9"")"),"#N/A")</f>
        <v>#N/A</v>
      </c>
      <c r="H25096" s="4" t="str">
        <v/>
      </c>
      <c r="I25096" s="4" t="str">
        <v/>
      </c>
    </row>
    <row r="25097" spans="5:9" ht="16.5" hidden="1">
      <c r="E25097" s="4" t="str">
        <v/>
      </c>
      <c r="F25097" s="102" t="str">
        <f ca="1">IFERROR(__xludf.DUMMYFUNCTION("IMPORTRANGE(H25097,""IDENTITAS UNIT!D9"")"),"#N/A")</f>
        <v>#N/A</v>
      </c>
      <c r="H25097" s="4" t="str">
        <v/>
      </c>
      <c r="I25097" s="4" t="str">
        <v/>
      </c>
    </row>
    <row r="25098" spans="5:9" ht="16.5" hidden="1">
      <c r="E25098" s="4" t="str">
        <v/>
      </c>
      <c r="F25098" s="102" t="str">
        <f ca="1">IFERROR(__xludf.DUMMYFUNCTION("IMPORTRANGE(H25098,""IDENTITAS UNIT!D9"")"),"#N/A")</f>
        <v>#N/A</v>
      </c>
      <c r="H25098" s="4" t="str">
        <v/>
      </c>
      <c r="I25098" s="4" t="str">
        <v/>
      </c>
    </row>
    <row r="25099" spans="5:9" ht="16.5" hidden="1">
      <c r="E25099" s="4" t="str">
        <v/>
      </c>
      <c r="F25099" s="102" t="str">
        <f ca="1">IFERROR(__xludf.DUMMYFUNCTION("IMPORTRANGE(H25099,""IDENTITAS UNIT!D9"")"),"#N/A")</f>
        <v>#N/A</v>
      </c>
      <c r="H25099" s="4" t="str">
        <v/>
      </c>
      <c r="I25099" s="4" t="str">
        <v/>
      </c>
    </row>
    <row r="25100" spans="5:9" ht="16.5" hidden="1">
      <c r="E25100" s="4" t="str">
        <v/>
      </c>
      <c r="F25100" s="102" t="str">
        <f ca="1">IFERROR(__xludf.DUMMYFUNCTION("IMPORTRANGE(H25100,""IDENTITAS UNIT!D9"")"),"#N/A")</f>
        <v>#N/A</v>
      </c>
      <c r="H25100" s="4" t="str">
        <v/>
      </c>
      <c r="I25100" s="4" t="str">
        <v/>
      </c>
    </row>
    <row r="25101" spans="5:9" ht="16.5" hidden="1">
      <c r="E25101" s="4" t="str">
        <v/>
      </c>
      <c r="F25101" s="102" t="str">
        <f ca="1">IFERROR(__xludf.DUMMYFUNCTION("IMPORTRANGE(H25101,""IDENTITAS UNIT!D9"")"),"#N/A")</f>
        <v>#N/A</v>
      </c>
      <c r="H25101" s="4" t="str">
        <v/>
      </c>
      <c r="I25101" s="4" t="str">
        <v/>
      </c>
    </row>
    <row r="25102" spans="5:9" ht="16.5" hidden="1">
      <c r="E25102" s="4" t="str">
        <v/>
      </c>
      <c r="F25102" s="102" t="str">
        <f ca="1">IFERROR(__xludf.DUMMYFUNCTION("IMPORTRANGE(H25102,""IDENTITAS UNIT!D9"")"),"#N/A")</f>
        <v>#N/A</v>
      </c>
      <c r="H25102" s="4" t="str">
        <v/>
      </c>
      <c r="I25102" s="4" t="str">
        <v/>
      </c>
    </row>
    <row r="25103" spans="5:9" ht="16.5" hidden="1">
      <c r="E25103" s="4" t="str">
        <v/>
      </c>
      <c r="F25103" s="102" t="str">
        <f ca="1">IFERROR(__xludf.DUMMYFUNCTION("IMPORTRANGE(H25103,""IDENTITAS UNIT!D9"")"),"#N/A")</f>
        <v>#N/A</v>
      </c>
      <c r="H25103" s="4" t="str">
        <v/>
      </c>
      <c r="I25103" s="4" t="str">
        <v/>
      </c>
    </row>
    <row r="25104" spans="5:9" ht="16.5" hidden="1">
      <c r="E25104" s="4" t="str">
        <v/>
      </c>
      <c r="F25104" s="102" t="str">
        <f ca="1">IFERROR(__xludf.DUMMYFUNCTION("IMPORTRANGE(H25104,""IDENTITAS UNIT!D9"")"),"#N/A")</f>
        <v>#N/A</v>
      </c>
      <c r="H25104" s="4" t="str">
        <v/>
      </c>
      <c r="I25104" s="4" t="str">
        <v/>
      </c>
    </row>
    <row r="25105" spans="5:9" ht="16.5" hidden="1">
      <c r="E25105" s="4" t="str">
        <v/>
      </c>
      <c r="F25105" s="102" t="str">
        <f ca="1">IFERROR(__xludf.DUMMYFUNCTION("IMPORTRANGE(H25105,""IDENTITAS UNIT!D9"")"),"#N/A")</f>
        <v>#N/A</v>
      </c>
      <c r="H25105" s="4" t="str">
        <v/>
      </c>
      <c r="I25105" s="4" t="str">
        <v/>
      </c>
    </row>
    <row r="25106" spans="5:9" ht="16.5" hidden="1">
      <c r="E25106" s="4" t="str">
        <v/>
      </c>
      <c r="F25106" s="102" t="str">
        <f ca="1">IFERROR(__xludf.DUMMYFUNCTION("IMPORTRANGE(H25106,""IDENTITAS UNIT!D9"")"),"#N/A")</f>
        <v>#N/A</v>
      </c>
      <c r="H25106" s="4" t="str">
        <v/>
      </c>
      <c r="I25106" s="4" t="str">
        <v/>
      </c>
    </row>
    <row r="25107" spans="5:9" ht="16.5" hidden="1">
      <c r="E25107" s="4" t="str">
        <v/>
      </c>
      <c r="F25107" s="102" t="str">
        <f ca="1">IFERROR(__xludf.DUMMYFUNCTION("IMPORTRANGE(H25107,""IDENTITAS UNIT!D9"")"),"#N/A")</f>
        <v>#N/A</v>
      </c>
      <c r="H25107" s="4" t="str">
        <v/>
      </c>
      <c r="I25107" s="4" t="str">
        <v/>
      </c>
    </row>
    <row r="25108" spans="5:9" ht="16.5" hidden="1">
      <c r="E25108" s="4" t="str">
        <v/>
      </c>
      <c r="F25108" s="102" t="str">
        <f ca="1">IFERROR(__xludf.DUMMYFUNCTION("IMPORTRANGE(H25108,""IDENTITAS UNIT!D9"")"),"#N/A")</f>
        <v>#N/A</v>
      </c>
      <c r="H25108" s="4" t="str">
        <v/>
      </c>
      <c r="I25108" s="4" t="str">
        <v/>
      </c>
    </row>
    <row r="25109" spans="5:9" ht="16.5" hidden="1">
      <c r="E25109" s="4" t="str">
        <v/>
      </c>
      <c r="F25109" s="102" t="str">
        <f ca="1">IFERROR(__xludf.DUMMYFUNCTION("IMPORTRANGE(H25109,""IDENTITAS UNIT!D9"")"),"#N/A")</f>
        <v>#N/A</v>
      </c>
      <c r="H25109" s="4" t="str">
        <v/>
      </c>
      <c r="I25109" s="4" t="str">
        <v/>
      </c>
    </row>
    <row r="25110" spans="5:9" ht="16.5" hidden="1">
      <c r="E25110" s="4" t="str">
        <v/>
      </c>
      <c r="F25110" s="102" t="str">
        <f ca="1">IFERROR(__xludf.DUMMYFUNCTION("IMPORTRANGE(H25110,""IDENTITAS UNIT!D9"")"),"#N/A")</f>
        <v>#N/A</v>
      </c>
      <c r="H25110" s="4" t="str">
        <v/>
      </c>
      <c r="I25110" s="4" t="str">
        <v/>
      </c>
    </row>
    <row r="25111" spans="5:9" ht="16.5" hidden="1">
      <c r="E25111" s="4" t="str">
        <v/>
      </c>
      <c r="F25111" s="102" t="str">
        <f ca="1">IFERROR(__xludf.DUMMYFUNCTION("IMPORTRANGE(H25111,""IDENTITAS UNIT!D9"")"),"#N/A")</f>
        <v>#N/A</v>
      </c>
      <c r="H25111" s="4" t="str">
        <v/>
      </c>
      <c r="I25111" s="4" t="str">
        <v/>
      </c>
    </row>
    <row r="25112" spans="5:9" ht="16.5" hidden="1">
      <c r="E25112" s="4" t="str">
        <v/>
      </c>
      <c r="F25112" s="102" t="str">
        <f ca="1">IFERROR(__xludf.DUMMYFUNCTION("IMPORTRANGE(H25112,""IDENTITAS UNIT!D9"")"),"#N/A")</f>
        <v>#N/A</v>
      </c>
      <c r="H25112" s="4" t="str">
        <v/>
      </c>
      <c r="I25112" s="4" t="str">
        <v/>
      </c>
    </row>
    <row r="25113" spans="5:9" ht="16.5" hidden="1">
      <c r="E25113" s="4" t="str">
        <v/>
      </c>
      <c r="F25113" s="102" t="str">
        <f ca="1">IFERROR(__xludf.DUMMYFUNCTION("IMPORTRANGE(H25113,""IDENTITAS UNIT!D9"")"),"#N/A")</f>
        <v>#N/A</v>
      </c>
      <c r="H25113" s="4" t="str">
        <v/>
      </c>
      <c r="I25113" s="4" t="str">
        <v/>
      </c>
    </row>
    <row r="25114" spans="5:9" ht="16.5" hidden="1">
      <c r="E25114" s="4" t="str">
        <v/>
      </c>
      <c r="F25114" s="102" t="str">
        <f ca="1">IFERROR(__xludf.DUMMYFUNCTION("IMPORTRANGE(H25114,""IDENTITAS UNIT!D9"")"),"#N/A")</f>
        <v>#N/A</v>
      </c>
      <c r="H25114" s="4" t="str">
        <v/>
      </c>
      <c r="I25114" s="4" t="str">
        <v/>
      </c>
    </row>
    <row r="25115" spans="5:9" ht="16.5" hidden="1">
      <c r="E25115" s="4" t="str">
        <v/>
      </c>
      <c r="F25115" s="102" t="str">
        <f ca="1">IFERROR(__xludf.DUMMYFUNCTION("IMPORTRANGE(H25115,""IDENTITAS UNIT!D9"")"),"#N/A")</f>
        <v>#N/A</v>
      </c>
      <c r="H25115" s="4" t="str">
        <v/>
      </c>
      <c r="I25115" s="4" t="str">
        <v/>
      </c>
    </row>
    <row r="25116" spans="5:9" ht="16.5" hidden="1">
      <c r="E25116" s="4" t="str">
        <v/>
      </c>
      <c r="F25116" s="102" t="str">
        <f ca="1">IFERROR(__xludf.DUMMYFUNCTION("IMPORTRANGE(H25116,""IDENTITAS UNIT!D9"")"),"#N/A")</f>
        <v>#N/A</v>
      </c>
      <c r="H25116" s="4" t="str">
        <v/>
      </c>
      <c r="I25116" s="4" t="str">
        <v/>
      </c>
    </row>
    <row r="25117" spans="5:9" ht="16.5" hidden="1">
      <c r="E25117" s="4" t="str">
        <v/>
      </c>
      <c r="F25117" s="102" t="str">
        <f ca="1">IFERROR(__xludf.DUMMYFUNCTION("IMPORTRANGE(H25117,""IDENTITAS UNIT!D9"")"),"#N/A")</f>
        <v>#N/A</v>
      </c>
      <c r="H25117" s="4" t="str">
        <v/>
      </c>
      <c r="I25117" s="4" t="str">
        <v/>
      </c>
    </row>
    <row r="25118" spans="5:9" ht="16.5" hidden="1">
      <c r="E25118" s="4" t="str">
        <v/>
      </c>
      <c r="F25118" s="102" t="str">
        <f ca="1">IFERROR(__xludf.DUMMYFUNCTION("IMPORTRANGE(H25118,""IDENTITAS UNIT!D9"")"),"#N/A")</f>
        <v>#N/A</v>
      </c>
      <c r="H25118" s="4" t="str">
        <v/>
      </c>
      <c r="I25118" s="4" t="str">
        <v/>
      </c>
    </row>
    <row r="25119" spans="5:9" ht="16.5" hidden="1">
      <c r="E25119" s="4" t="str">
        <v/>
      </c>
      <c r="F25119" s="102" t="str">
        <f ca="1">IFERROR(__xludf.DUMMYFUNCTION("IMPORTRANGE(H25119,""IDENTITAS UNIT!D9"")"),"#N/A")</f>
        <v>#N/A</v>
      </c>
      <c r="H25119" s="4" t="str">
        <v/>
      </c>
      <c r="I25119" s="4" t="str">
        <v/>
      </c>
    </row>
    <row r="25120" spans="5:9" ht="16.5" hidden="1">
      <c r="E25120" s="4" t="str">
        <v/>
      </c>
      <c r="F25120" s="102" t="str">
        <f ca="1">IFERROR(__xludf.DUMMYFUNCTION("IMPORTRANGE(H25120,""IDENTITAS UNIT!D9"")"),"#N/A")</f>
        <v>#N/A</v>
      </c>
      <c r="H25120" s="4" t="str">
        <v/>
      </c>
      <c r="I25120" s="4" t="str">
        <v/>
      </c>
    </row>
    <row r="25121" spans="5:9" ht="16.5" hidden="1">
      <c r="E25121" s="4" t="str">
        <v/>
      </c>
      <c r="F25121" s="102" t="str">
        <f ca="1">IFERROR(__xludf.DUMMYFUNCTION("IMPORTRANGE(H25121,""IDENTITAS UNIT!D9"")"),"#N/A")</f>
        <v>#N/A</v>
      </c>
      <c r="H25121" s="4" t="str">
        <v/>
      </c>
      <c r="I25121" s="4" t="str">
        <v/>
      </c>
    </row>
    <row r="25122" spans="5:9" ht="16.5" hidden="1">
      <c r="E25122" s="4" t="str">
        <v/>
      </c>
      <c r="F25122" s="102" t="str">
        <f ca="1">IFERROR(__xludf.DUMMYFUNCTION("IMPORTRANGE(H25122,""IDENTITAS UNIT!D9"")"),"#N/A")</f>
        <v>#N/A</v>
      </c>
      <c r="H25122" s="4" t="str">
        <v/>
      </c>
      <c r="I25122" s="4" t="str">
        <v/>
      </c>
    </row>
    <row r="25123" spans="5:9" ht="16.5" hidden="1">
      <c r="E25123" s="4" t="str">
        <v/>
      </c>
      <c r="F25123" s="102" t="str">
        <f ca="1">IFERROR(__xludf.DUMMYFUNCTION("IMPORTRANGE(H25123,""IDENTITAS UNIT!D9"")"),"#N/A")</f>
        <v>#N/A</v>
      </c>
      <c r="H25123" s="4" t="str">
        <v/>
      </c>
      <c r="I25123" s="4" t="str">
        <v/>
      </c>
    </row>
    <row r="25124" spans="5:9" ht="16.5" hidden="1">
      <c r="E25124" s="4" t="str">
        <v/>
      </c>
      <c r="F25124" s="102" t="str">
        <f ca="1">IFERROR(__xludf.DUMMYFUNCTION("IMPORTRANGE(H25124,""IDENTITAS UNIT!D9"")"),"#N/A")</f>
        <v>#N/A</v>
      </c>
      <c r="H25124" s="4" t="str">
        <v/>
      </c>
      <c r="I25124" s="4" t="str">
        <v/>
      </c>
    </row>
    <row r="25125" spans="5:9" ht="16.5" hidden="1">
      <c r="E25125" s="4" t="str">
        <v/>
      </c>
      <c r="F25125" s="102" t="str">
        <f ca="1">IFERROR(__xludf.DUMMYFUNCTION("IMPORTRANGE(H25125,""IDENTITAS UNIT!D9"")"),"#N/A")</f>
        <v>#N/A</v>
      </c>
      <c r="H25125" s="4" t="str">
        <v/>
      </c>
      <c r="I25125" s="4" t="str">
        <v/>
      </c>
    </row>
    <row r="25126" spans="5:9" ht="16.5" hidden="1">
      <c r="E25126" s="4" t="str">
        <v/>
      </c>
      <c r="F25126" s="102" t="str">
        <f ca="1">IFERROR(__xludf.DUMMYFUNCTION("IMPORTRANGE(H25126,""IDENTITAS UNIT!D9"")"),"#N/A")</f>
        <v>#N/A</v>
      </c>
      <c r="H25126" s="4" t="str">
        <v/>
      </c>
      <c r="I25126" s="4" t="str">
        <v/>
      </c>
    </row>
    <row r="25127" spans="5:9" ht="16.5" hidden="1">
      <c r="E25127" s="4" t="str">
        <v/>
      </c>
      <c r="F25127" s="102" t="str">
        <f ca="1">IFERROR(__xludf.DUMMYFUNCTION("IMPORTRANGE(H25127,""IDENTITAS UNIT!D9"")"),"#N/A")</f>
        <v>#N/A</v>
      </c>
      <c r="H25127" s="4" t="str">
        <v/>
      </c>
      <c r="I25127" s="4" t="str">
        <v/>
      </c>
    </row>
    <row r="25128" spans="5:9" ht="16.5" hidden="1">
      <c r="E25128" s="4" t="str">
        <v/>
      </c>
      <c r="F25128" s="102" t="str">
        <f ca="1">IFERROR(__xludf.DUMMYFUNCTION("IMPORTRANGE(H25128,""IDENTITAS UNIT!D9"")"),"#N/A")</f>
        <v>#N/A</v>
      </c>
      <c r="H25128" s="4" t="str">
        <v/>
      </c>
      <c r="I25128" s="4" t="str">
        <v/>
      </c>
    </row>
    <row r="25129" spans="5:9" ht="16.5" hidden="1">
      <c r="E25129" s="4" t="str">
        <v/>
      </c>
      <c r="F25129" s="102" t="str">
        <f ca="1">IFERROR(__xludf.DUMMYFUNCTION("IMPORTRANGE(H25129,""IDENTITAS UNIT!D9"")"),"#N/A")</f>
        <v>#N/A</v>
      </c>
      <c r="H25129" s="4" t="str">
        <v/>
      </c>
      <c r="I25129" s="4" t="str">
        <v/>
      </c>
    </row>
    <row r="25130" spans="5:9" ht="16.5" hidden="1">
      <c r="E25130" s="4" t="str">
        <v/>
      </c>
      <c r="F25130" s="102" t="str">
        <f ca="1">IFERROR(__xludf.DUMMYFUNCTION("IMPORTRANGE(H25130,""IDENTITAS UNIT!D9"")"),"#N/A")</f>
        <v>#N/A</v>
      </c>
      <c r="H25130" s="4" t="str">
        <v/>
      </c>
      <c r="I25130" s="4" t="str">
        <v/>
      </c>
    </row>
    <row r="25131" spans="5:9" ht="16.5" hidden="1">
      <c r="E25131" s="4" t="str">
        <v/>
      </c>
      <c r="F25131" s="102" t="str">
        <f ca="1">IFERROR(__xludf.DUMMYFUNCTION("IMPORTRANGE(H25131,""IDENTITAS UNIT!D9"")"),"#N/A")</f>
        <v>#N/A</v>
      </c>
      <c r="H25131" s="4" t="str">
        <v/>
      </c>
      <c r="I25131" s="4" t="str">
        <v/>
      </c>
    </row>
    <row r="25132" spans="5:9" ht="16.5" hidden="1">
      <c r="E25132" s="4" t="str">
        <v/>
      </c>
      <c r="F25132" s="102" t="str">
        <f ca="1">IFERROR(__xludf.DUMMYFUNCTION("IMPORTRANGE(H25132,""IDENTITAS UNIT!D9"")"),"#N/A")</f>
        <v>#N/A</v>
      </c>
      <c r="H25132" s="4" t="str">
        <v/>
      </c>
      <c r="I25132" s="4" t="str">
        <v/>
      </c>
    </row>
    <row r="25133" spans="5:9" ht="16.5" hidden="1">
      <c r="E25133" s="4" t="str">
        <v/>
      </c>
      <c r="F25133" s="102" t="str">
        <f ca="1">IFERROR(__xludf.DUMMYFUNCTION("IMPORTRANGE(H25133,""IDENTITAS UNIT!D9"")"),"#N/A")</f>
        <v>#N/A</v>
      </c>
      <c r="H25133" s="4" t="str">
        <v/>
      </c>
      <c r="I25133" s="4" t="str">
        <v/>
      </c>
    </row>
    <row r="25134" spans="5:9" ht="16.5" hidden="1">
      <c r="E25134" s="4" t="str">
        <v/>
      </c>
      <c r="F25134" s="102" t="str">
        <f ca="1">IFERROR(__xludf.DUMMYFUNCTION("IMPORTRANGE(H25134,""IDENTITAS UNIT!D9"")"),"#N/A")</f>
        <v>#N/A</v>
      </c>
      <c r="H25134" s="4" t="str">
        <v/>
      </c>
      <c r="I25134" s="4" t="str">
        <v/>
      </c>
    </row>
    <row r="25135" spans="5:9" ht="16.5" hidden="1">
      <c r="E25135" s="4" t="str">
        <v/>
      </c>
      <c r="F25135" s="102" t="str">
        <f ca="1">IFERROR(__xludf.DUMMYFUNCTION("IMPORTRANGE(H25135,""IDENTITAS UNIT!D9"")"),"#N/A")</f>
        <v>#N/A</v>
      </c>
      <c r="H25135" s="4" t="str">
        <v/>
      </c>
      <c r="I25135" s="4" t="str">
        <v/>
      </c>
    </row>
    <row r="25136" spans="5:9" ht="16.5" hidden="1">
      <c r="E25136" s="4" t="str">
        <v/>
      </c>
      <c r="F25136" s="102" t="str">
        <f ca="1">IFERROR(__xludf.DUMMYFUNCTION("IMPORTRANGE(H25136,""IDENTITAS UNIT!D9"")"),"#N/A")</f>
        <v>#N/A</v>
      </c>
      <c r="H25136" s="4" t="str">
        <v/>
      </c>
      <c r="I25136" s="4" t="str">
        <v/>
      </c>
    </row>
    <row r="25137" spans="5:9" ht="16.5" hidden="1">
      <c r="E25137" s="4" t="str">
        <v/>
      </c>
      <c r="F25137" s="102" t="str">
        <f ca="1">IFERROR(__xludf.DUMMYFUNCTION("IMPORTRANGE(H25137,""IDENTITAS UNIT!D9"")"),"#N/A")</f>
        <v>#N/A</v>
      </c>
      <c r="H25137" s="4" t="str">
        <v/>
      </c>
      <c r="I25137" s="4" t="str">
        <v/>
      </c>
    </row>
    <row r="25138" spans="5:9" ht="16.5" hidden="1">
      <c r="E25138" s="4" t="str">
        <v/>
      </c>
      <c r="F25138" s="102" t="str">
        <f ca="1">IFERROR(__xludf.DUMMYFUNCTION("IMPORTRANGE(H25138,""IDENTITAS UNIT!D9"")"),"#N/A")</f>
        <v>#N/A</v>
      </c>
      <c r="H25138" s="4" t="str">
        <v/>
      </c>
      <c r="I25138" s="4" t="str">
        <v/>
      </c>
    </row>
    <row r="25139" spans="5:9" ht="16.5" hidden="1">
      <c r="E25139" s="4" t="str">
        <v/>
      </c>
      <c r="F25139" s="102" t="str">
        <f ca="1">IFERROR(__xludf.DUMMYFUNCTION("IMPORTRANGE(H25139,""IDENTITAS UNIT!D9"")"),"#N/A")</f>
        <v>#N/A</v>
      </c>
      <c r="H25139" s="4" t="str">
        <v/>
      </c>
      <c r="I25139" s="4" t="str">
        <v/>
      </c>
    </row>
    <row r="25140" spans="5:9" ht="16.5" hidden="1">
      <c r="E25140" s="4" t="str">
        <v/>
      </c>
      <c r="F25140" s="102" t="str">
        <f ca="1">IFERROR(__xludf.DUMMYFUNCTION("IMPORTRANGE(H25140,""IDENTITAS UNIT!D9"")"),"#N/A")</f>
        <v>#N/A</v>
      </c>
      <c r="H25140" s="4" t="str">
        <v/>
      </c>
      <c r="I25140" s="4" t="str">
        <v/>
      </c>
    </row>
    <row r="25141" spans="5:9" ht="16.5" hidden="1">
      <c r="E25141" s="4" t="str">
        <v/>
      </c>
      <c r="F25141" s="102" t="str">
        <f ca="1">IFERROR(__xludf.DUMMYFUNCTION("IMPORTRANGE(H25141,""IDENTITAS UNIT!D9"")"),"#N/A")</f>
        <v>#N/A</v>
      </c>
      <c r="H25141" s="4" t="str">
        <v/>
      </c>
      <c r="I25141" s="4" t="str">
        <v/>
      </c>
    </row>
    <row r="25142" spans="5:9" ht="16.5" hidden="1">
      <c r="E25142" s="4" t="str">
        <v/>
      </c>
      <c r="F25142" s="102" t="str">
        <f ca="1">IFERROR(__xludf.DUMMYFUNCTION("IMPORTRANGE(H25142,""IDENTITAS UNIT!D9"")"),"#N/A")</f>
        <v>#N/A</v>
      </c>
      <c r="H25142" s="4" t="str">
        <v/>
      </c>
      <c r="I25142" s="4" t="str">
        <v/>
      </c>
    </row>
    <row r="25143" spans="5:9" ht="16.5" hidden="1">
      <c r="E25143" s="4" t="str">
        <v/>
      </c>
      <c r="F25143" s="102" t="str">
        <f ca="1">IFERROR(__xludf.DUMMYFUNCTION("IMPORTRANGE(H25143,""IDENTITAS UNIT!D9"")"),"#N/A")</f>
        <v>#N/A</v>
      </c>
      <c r="H25143" s="4" t="str">
        <v/>
      </c>
      <c r="I25143" s="4" t="str">
        <v/>
      </c>
    </row>
    <row r="25144" spans="5:9" ht="16.5" hidden="1">
      <c r="E25144" s="4" t="str">
        <v/>
      </c>
      <c r="F25144" s="102" t="str">
        <f ca="1">IFERROR(__xludf.DUMMYFUNCTION("IMPORTRANGE(H25144,""IDENTITAS UNIT!D9"")"),"#N/A")</f>
        <v>#N/A</v>
      </c>
      <c r="H25144" s="4" t="str">
        <v/>
      </c>
      <c r="I25144" s="4" t="str">
        <v/>
      </c>
    </row>
    <row r="25145" spans="5:9" ht="16.5" hidden="1">
      <c r="E25145" s="4" t="str">
        <v/>
      </c>
      <c r="F25145" s="102" t="str">
        <f ca="1">IFERROR(__xludf.DUMMYFUNCTION("IMPORTRANGE(H25145,""IDENTITAS UNIT!D9"")"),"#N/A")</f>
        <v>#N/A</v>
      </c>
      <c r="H25145" s="4" t="str">
        <v/>
      </c>
      <c r="I25145" s="4" t="str">
        <v/>
      </c>
    </row>
    <row r="25146" spans="5:9" ht="16.5" hidden="1">
      <c r="E25146" s="4" t="str">
        <v/>
      </c>
      <c r="F25146" s="102" t="str">
        <f ca="1">IFERROR(__xludf.DUMMYFUNCTION("IMPORTRANGE(H25146,""IDENTITAS UNIT!D9"")"),"#N/A")</f>
        <v>#N/A</v>
      </c>
      <c r="H25146" s="4" t="str">
        <v/>
      </c>
      <c r="I25146" s="4" t="str">
        <v/>
      </c>
    </row>
    <row r="25147" spans="5:9" ht="16.5" hidden="1">
      <c r="E25147" s="4" t="str">
        <v/>
      </c>
      <c r="F25147" s="102" t="str">
        <f ca="1">IFERROR(__xludf.DUMMYFUNCTION("IMPORTRANGE(H25147,""IDENTITAS UNIT!D9"")"),"#N/A")</f>
        <v>#N/A</v>
      </c>
      <c r="H25147" s="4" t="str">
        <v/>
      </c>
      <c r="I25147" s="4" t="str">
        <v/>
      </c>
    </row>
    <row r="25148" spans="5:9" ht="16.5" hidden="1">
      <c r="E25148" s="4" t="str">
        <v/>
      </c>
      <c r="F25148" s="102" t="str">
        <f ca="1">IFERROR(__xludf.DUMMYFUNCTION("IMPORTRANGE(H25148,""IDENTITAS UNIT!D9"")"),"#N/A")</f>
        <v>#N/A</v>
      </c>
      <c r="H25148" s="4" t="str">
        <v/>
      </c>
      <c r="I25148" s="4" t="str">
        <v/>
      </c>
    </row>
    <row r="25149" spans="5:9" ht="16.5" hidden="1">
      <c r="E25149" s="4" t="str">
        <v/>
      </c>
      <c r="F25149" s="102" t="str">
        <f ca="1">IFERROR(__xludf.DUMMYFUNCTION("IMPORTRANGE(H25149,""IDENTITAS UNIT!D9"")"),"#N/A")</f>
        <v>#N/A</v>
      </c>
      <c r="H25149" s="4" t="str">
        <v/>
      </c>
      <c r="I25149" s="4" t="str">
        <v/>
      </c>
    </row>
    <row r="25150" spans="5:9" ht="16.5" hidden="1">
      <c r="E25150" s="4" t="str">
        <v/>
      </c>
      <c r="F25150" s="102" t="str">
        <f ca="1">IFERROR(__xludf.DUMMYFUNCTION("IMPORTRANGE(H25150,""IDENTITAS UNIT!D9"")"),"#N/A")</f>
        <v>#N/A</v>
      </c>
      <c r="H25150" s="4" t="str">
        <v/>
      </c>
      <c r="I25150" s="4" t="str">
        <v/>
      </c>
    </row>
    <row r="25151" spans="5:9" ht="16.5" hidden="1">
      <c r="E25151" s="4" t="str">
        <v/>
      </c>
      <c r="F25151" s="102" t="str">
        <f ca="1">IFERROR(__xludf.DUMMYFUNCTION("IMPORTRANGE(H25151,""IDENTITAS UNIT!D9"")"),"#N/A")</f>
        <v>#N/A</v>
      </c>
      <c r="H25151" s="4" t="str">
        <v/>
      </c>
      <c r="I25151" s="4" t="str">
        <v/>
      </c>
    </row>
    <row r="25152" spans="5:9" ht="16.5" hidden="1">
      <c r="E25152" s="4" t="str">
        <v/>
      </c>
      <c r="F25152" s="102" t="str">
        <f ca="1">IFERROR(__xludf.DUMMYFUNCTION("IMPORTRANGE(H25152,""IDENTITAS UNIT!D9"")"),"#N/A")</f>
        <v>#N/A</v>
      </c>
      <c r="H25152" s="4" t="str">
        <v/>
      </c>
      <c r="I25152" s="4" t="str">
        <v/>
      </c>
    </row>
    <row r="25153" spans="5:9" ht="16.5" hidden="1">
      <c r="E25153" s="4" t="str">
        <v/>
      </c>
      <c r="F25153" s="102" t="str">
        <f ca="1">IFERROR(__xludf.DUMMYFUNCTION("IMPORTRANGE(H25153,""IDENTITAS UNIT!D9"")"),"#N/A")</f>
        <v>#N/A</v>
      </c>
      <c r="H25153" s="4" t="str">
        <v/>
      </c>
      <c r="I25153" s="4" t="str">
        <v/>
      </c>
    </row>
    <row r="25154" spans="5:9" ht="16.5" hidden="1">
      <c r="E25154" s="4" t="str">
        <v/>
      </c>
      <c r="F25154" s="102" t="str">
        <f ca="1">IFERROR(__xludf.DUMMYFUNCTION("IMPORTRANGE(H25154,""IDENTITAS UNIT!D9"")"),"#N/A")</f>
        <v>#N/A</v>
      </c>
      <c r="H25154" s="4" t="str">
        <v/>
      </c>
      <c r="I25154" s="4" t="str">
        <v/>
      </c>
    </row>
    <row r="25155" spans="5:9" ht="16.5" hidden="1">
      <c r="E25155" s="4" t="str">
        <v/>
      </c>
      <c r="F25155" s="102" t="str">
        <f ca="1">IFERROR(__xludf.DUMMYFUNCTION("IMPORTRANGE(H25155,""IDENTITAS UNIT!D9"")"),"#N/A")</f>
        <v>#N/A</v>
      </c>
      <c r="H25155" s="4" t="str">
        <v/>
      </c>
      <c r="I25155" s="4" t="str">
        <v/>
      </c>
    </row>
    <row r="25156" spans="5:9" ht="16.5" hidden="1">
      <c r="E25156" s="4" t="str">
        <v/>
      </c>
      <c r="F25156" s="102" t="str">
        <f ca="1">IFERROR(__xludf.DUMMYFUNCTION("IMPORTRANGE(H25156,""IDENTITAS UNIT!D9"")"),"#N/A")</f>
        <v>#N/A</v>
      </c>
      <c r="H25156" s="4" t="str">
        <v/>
      </c>
      <c r="I25156" s="4" t="str">
        <v/>
      </c>
    </row>
    <row r="25157" spans="5:9" ht="16.5" hidden="1">
      <c r="E25157" s="4" t="str">
        <v/>
      </c>
      <c r="F25157" s="102" t="str">
        <f ca="1">IFERROR(__xludf.DUMMYFUNCTION("IMPORTRANGE(H25157,""IDENTITAS UNIT!D9"")"),"#N/A")</f>
        <v>#N/A</v>
      </c>
      <c r="H25157" s="4" t="str">
        <v/>
      </c>
      <c r="I25157" s="4" t="str">
        <v/>
      </c>
    </row>
    <row r="25158" spans="5:9" ht="16.5" hidden="1">
      <c r="E25158" s="4" t="str">
        <v/>
      </c>
      <c r="F25158" s="102" t="str">
        <f ca="1">IFERROR(__xludf.DUMMYFUNCTION("IMPORTRANGE(H25158,""IDENTITAS UNIT!D9"")"),"#N/A")</f>
        <v>#N/A</v>
      </c>
      <c r="H25158" s="4" t="str">
        <v/>
      </c>
      <c r="I25158" s="4" t="str">
        <v/>
      </c>
    </row>
    <row r="25159" spans="5:9" ht="16.5" hidden="1">
      <c r="E25159" s="4" t="str">
        <v/>
      </c>
      <c r="F25159" s="102" t="str">
        <f ca="1">IFERROR(__xludf.DUMMYFUNCTION("IMPORTRANGE(H25159,""IDENTITAS UNIT!D9"")"),"#N/A")</f>
        <v>#N/A</v>
      </c>
      <c r="H25159" s="4" t="str">
        <v/>
      </c>
      <c r="I25159" s="4" t="str">
        <v/>
      </c>
    </row>
    <row r="25160" spans="5:9" ht="16.5" hidden="1">
      <c r="E25160" s="4" t="str">
        <v/>
      </c>
      <c r="F25160" s="102" t="str">
        <f ca="1">IFERROR(__xludf.DUMMYFUNCTION("IMPORTRANGE(H25160,""IDENTITAS UNIT!D9"")"),"#N/A")</f>
        <v>#N/A</v>
      </c>
      <c r="H25160" s="4" t="str">
        <v/>
      </c>
      <c r="I25160" s="4" t="str">
        <v/>
      </c>
    </row>
    <row r="25161" spans="5:9" ht="16.5" hidden="1">
      <c r="E25161" s="4" t="str">
        <v/>
      </c>
      <c r="F25161" s="102" t="str">
        <f ca="1">IFERROR(__xludf.DUMMYFUNCTION("IMPORTRANGE(H25161,""IDENTITAS UNIT!D9"")"),"#N/A")</f>
        <v>#N/A</v>
      </c>
      <c r="H25161" s="4" t="str">
        <v/>
      </c>
      <c r="I25161" s="4" t="str">
        <v/>
      </c>
    </row>
    <row r="25162" spans="5:9" ht="16.5" hidden="1">
      <c r="E25162" s="4" t="str">
        <v/>
      </c>
      <c r="F25162" s="102" t="str">
        <f ca="1">IFERROR(__xludf.DUMMYFUNCTION("IMPORTRANGE(H25162,""IDENTITAS UNIT!D9"")"),"#N/A")</f>
        <v>#N/A</v>
      </c>
      <c r="H25162" s="4" t="str">
        <v/>
      </c>
      <c r="I25162" s="4" t="str">
        <v/>
      </c>
    </row>
    <row r="25163" spans="5:9" ht="16.5" hidden="1">
      <c r="E25163" s="4" t="str">
        <v/>
      </c>
      <c r="F25163" s="102" t="str">
        <f ca="1">IFERROR(__xludf.DUMMYFUNCTION("IMPORTRANGE(H25163,""IDENTITAS UNIT!D9"")"),"#N/A")</f>
        <v>#N/A</v>
      </c>
      <c r="H25163" s="4" t="str">
        <v/>
      </c>
      <c r="I25163" s="4" t="str">
        <v/>
      </c>
    </row>
    <row r="25164" spans="5:9" ht="16.5" hidden="1">
      <c r="E25164" s="4" t="str">
        <v/>
      </c>
      <c r="F25164" s="102" t="str">
        <f ca="1">IFERROR(__xludf.DUMMYFUNCTION("IMPORTRANGE(H25164,""IDENTITAS UNIT!D9"")"),"#N/A")</f>
        <v>#N/A</v>
      </c>
      <c r="H25164" s="4" t="str">
        <v/>
      </c>
      <c r="I25164" s="4" t="str">
        <v/>
      </c>
    </row>
    <row r="25165" spans="5:9" ht="16.5" hidden="1">
      <c r="E25165" s="4" t="str">
        <v/>
      </c>
      <c r="F25165" s="102" t="str">
        <f ca="1">IFERROR(__xludf.DUMMYFUNCTION("IMPORTRANGE(H25165,""IDENTITAS UNIT!D9"")"),"#N/A")</f>
        <v>#N/A</v>
      </c>
      <c r="H25165" s="4" t="str">
        <v/>
      </c>
      <c r="I25165" s="4" t="str">
        <v/>
      </c>
    </row>
    <row r="25166" spans="5:9" ht="16.5" hidden="1">
      <c r="E25166" s="4" t="str">
        <v/>
      </c>
      <c r="F25166" s="102" t="str">
        <f ca="1">IFERROR(__xludf.DUMMYFUNCTION("IMPORTRANGE(H25166,""IDENTITAS UNIT!D9"")"),"#N/A")</f>
        <v>#N/A</v>
      </c>
      <c r="H25166" s="4" t="str">
        <v/>
      </c>
      <c r="I25166" s="4" t="str">
        <v/>
      </c>
    </row>
    <row r="25167" spans="5:9" ht="16.5" hidden="1">
      <c r="E25167" s="4" t="str">
        <v/>
      </c>
      <c r="F25167" s="102" t="str">
        <f ca="1">IFERROR(__xludf.DUMMYFUNCTION("IMPORTRANGE(H25167,""IDENTITAS UNIT!D9"")"),"#N/A")</f>
        <v>#N/A</v>
      </c>
      <c r="H25167" s="4" t="str">
        <v/>
      </c>
      <c r="I25167" s="4" t="str">
        <v/>
      </c>
    </row>
    <row r="25168" spans="5:9" ht="16.5" hidden="1">
      <c r="E25168" s="4" t="str">
        <v/>
      </c>
      <c r="F25168" s="102" t="str">
        <f ca="1">IFERROR(__xludf.DUMMYFUNCTION("IMPORTRANGE(H25168,""IDENTITAS UNIT!D9"")"),"#N/A")</f>
        <v>#N/A</v>
      </c>
      <c r="H25168" s="4" t="str">
        <v/>
      </c>
      <c r="I25168" s="4" t="str">
        <v/>
      </c>
    </row>
    <row r="25169" spans="5:9" ht="16.5" hidden="1">
      <c r="E25169" s="4" t="str">
        <v/>
      </c>
      <c r="F25169" s="102" t="str">
        <f ca="1">IFERROR(__xludf.DUMMYFUNCTION("IMPORTRANGE(H25169,""IDENTITAS UNIT!D9"")"),"#N/A")</f>
        <v>#N/A</v>
      </c>
      <c r="H25169" s="4" t="str">
        <v/>
      </c>
      <c r="I25169" s="4" t="str">
        <v/>
      </c>
    </row>
    <row r="25170" spans="5:9" ht="16.5" hidden="1">
      <c r="E25170" s="4" t="str">
        <v/>
      </c>
      <c r="F25170" s="102" t="str">
        <f ca="1">IFERROR(__xludf.DUMMYFUNCTION("IMPORTRANGE(H25170,""IDENTITAS UNIT!D9"")"),"#N/A")</f>
        <v>#N/A</v>
      </c>
      <c r="H25170" s="4" t="str">
        <v/>
      </c>
      <c r="I25170" s="4" t="str">
        <v/>
      </c>
    </row>
    <row r="25171" spans="5:9" ht="16.5" hidden="1">
      <c r="E25171" s="4" t="str">
        <v/>
      </c>
      <c r="F25171" s="102" t="str">
        <f ca="1">IFERROR(__xludf.DUMMYFUNCTION("IMPORTRANGE(H25171,""IDENTITAS UNIT!D9"")"),"#N/A")</f>
        <v>#N/A</v>
      </c>
      <c r="H25171" s="4" t="str">
        <v/>
      </c>
      <c r="I25171" s="4" t="str">
        <v/>
      </c>
    </row>
    <row r="25172" spans="5:9" ht="16.5" hidden="1">
      <c r="E25172" s="4" t="str">
        <v/>
      </c>
      <c r="F25172" s="102" t="str">
        <f ca="1">IFERROR(__xludf.DUMMYFUNCTION("IMPORTRANGE(H25172,""IDENTITAS UNIT!D9"")"),"#N/A")</f>
        <v>#N/A</v>
      </c>
      <c r="H25172" s="4" t="str">
        <v/>
      </c>
      <c r="I25172" s="4" t="str">
        <v/>
      </c>
    </row>
    <row r="25173" spans="5:9" ht="16.5" hidden="1">
      <c r="E25173" s="4" t="str">
        <v/>
      </c>
      <c r="F25173" s="102" t="str">
        <f ca="1">IFERROR(__xludf.DUMMYFUNCTION("IMPORTRANGE(H25173,""IDENTITAS UNIT!D9"")"),"#N/A")</f>
        <v>#N/A</v>
      </c>
      <c r="H25173" s="4" t="str">
        <v/>
      </c>
      <c r="I25173" s="4" t="str">
        <v/>
      </c>
    </row>
    <row r="25174" spans="5:9" ht="16.5" hidden="1">
      <c r="E25174" s="4" t="str">
        <v/>
      </c>
      <c r="F25174" s="102" t="str">
        <f ca="1">IFERROR(__xludf.DUMMYFUNCTION("IMPORTRANGE(H25174,""IDENTITAS UNIT!D9"")"),"#N/A")</f>
        <v>#N/A</v>
      </c>
      <c r="H25174" s="4" t="str">
        <v/>
      </c>
      <c r="I25174" s="4" t="str">
        <v/>
      </c>
    </row>
    <row r="25175" spans="5:9" ht="16.5" hidden="1">
      <c r="E25175" s="4" t="str">
        <v/>
      </c>
      <c r="F25175" s="102" t="str">
        <f ca="1">IFERROR(__xludf.DUMMYFUNCTION("IMPORTRANGE(H25175,""IDENTITAS UNIT!D9"")"),"#N/A")</f>
        <v>#N/A</v>
      </c>
      <c r="H25175" s="4" t="str">
        <v/>
      </c>
      <c r="I25175" s="4" t="str">
        <v/>
      </c>
    </row>
    <row r="25176" spans="5:9" ht="16.5" hidden="1">
      <c r="E25176" s="4" t="str">
        <v/>
      </c>
      <c r="F25176" s="102" t="str">
        <f ca="1">IFERROR(__xludf.DUMMYFUNCTION("IMPORTRANGE(H25176,""IDENTITAS UNIT!D9"")"),"#N/A")</f>
        <v>#N/A</v>
      </c>
      <c r="H25176" s="4" t="str">
        <v/>
      </c>
      <c r="I25176" s="4" t="str">
        <v/>
      </c>
    </row>
    <row r="25177" spans="5:9" ht="16.5" hidden="1">
      <c r="E25177" s="4" t="str">
        <v/>
      </c>
      <c r="F25177" s="102" t="str">
        <f ca="1">IFERROR(__xludf.DUMMYFUNCTION("IMPORTRANGE(H25177,""IDENTITAS UNIT!D9"")"),"#N/A")</f>
        <v>#N/A</v>
      </c>
      <c r="H25177" s="4" t="str">
        <v/>
      </c>
      <c r="I25177" s="4" t="str">
        <v/>
      </c>
    </row>
    <row r="25178" spans="5:9" ht="16.5" hidden="1">
      <c r="E25178" s="4" t="str">
        <v/>
      </c>
      <c r="F25178" s="102" t="str">
        <f ca="1">IFERROR(__xludf.DUMMYFUNCTION("IMPORTRANGE(H25178,""IDENTITAS UNIT!D9"")"),"#N/A")</f>
        <v>#N/A</v>
      </c>
      <c r="H25178" s="4" t="str">
        <v/>
      </c>
      <c r="I25178" s="4" t="str">
        <v/>
      </c>
    </row>
    <row r="25179" spans="5:9" ht="16.5" hidden="1">
      <c r="E25179" s="4" t="str">
        <v/>
      </c>
      <c r="F25179" s="102" t="str">
        <f ca="1">IFERROR(__xludf.DUMMYFUNCTION("IMPORTRANGE(H25179,""IDENTITAS UNIT!D9"")"),"#N/A")</f>
        <v>#N/A</v>
      </c>
      <c r="H25179" s="4" t="str">
        <v/>
      </c>
      <c r="I25179" s="4" t="str">
        <v/>
      </c>
    </row>
    <row r="25180" spans="5:9" ht="16.5" hidden="1">
      <c r="E25180" s="4" t="str">
        <v/>
      </c>
      <c r="F25180" s="102" t="str">
        <f ca="1">IFERROR(__xludf.DUMMYFUNCTION("IMPORTRANGE(H25180,""IDENTITAS UNIT!D9"")"),"#N/A")</f>
        <v>#N/A</v>
      </c>
      <c r="H25180" s="4" t="str">
        <v/>
      </c>
      <c r="I25180" s="4" t="str">
        <v/>
      </c>
    </row>
    <row r="25181" spans="5:9" ht="16.5" hidden="1">
      <c r="E25181" s="4" t="str">
        <v/>
      </c>
      <c r="F25181" s="102" t="str">
        <f ca="1">IFERROR(__xludf.DUMMYFUNCTION("IMPORTRANGE(H25181,""IDENTITAS UNIT!D9"")"),"#N/A")</f>
        <v>#N/A</v>
      </c>
      <c r="H25181" s="4" t="str">
        <v/>
      </c>
      <c r="I25181" s="4" t="str">
        <v/>
      </c>
    </row>
    <row r="25182" spans="5:9" ht="16.5" hidden="1">
      <c r="E25182" s="4" t="str">
        <v/>
      </c>
      <c r="F25182" s="102" t="str">
        <f ca="1">IFERROR(__xludf.DUMMYFUNCTION("IMPORTRANGE(H25182,""IDENTITAS UNIT!D9"")"),"#N/A")</f>
        <v>#N/A</v>
      </c>
      <c r="H25182" s="4" t="str">
        <v/>
      </c>
      <c r="I25182" s="4" t="str">
        <v/>
      </c>
    </row>
    <row r="25183" spans="5:9" ht="16.5" hidden="1">
      <c r="E25183" s="4" t="str">
        <v/>
      </c>
      <c r="F25183" s="102" t="str">
        <f ca="1">IFERROR(__xludf.DUMMYFUNCTION("IMPORTRANGE(H25183,""IDENTITAS UNIT!D9"")"),"#N/A")</f>
        <v>#N/A</v>
      </c>
      <c r="H25183" s="4" t="str">
        <v/>
      </c>
      <c r="I25183" s="4" t="str">
        <v/>
      </c>
    </row>
    <row r="25184" spans="5:9" ht="16.5" hidden="1">
      <c r="E25184" s="4" t="str">
        <v/>
      </c>
      <c r="F25184" s="102" t="str">
        <f ca="1">IFERROR(__xludf.DUMMYFUNCTION("IMPORTRANGE(H25184,""IDENTITAS UNIT!D9"")"),"#N/A")</f>
        <v>#N/A</v>
      </c>
      <c r="H25184" s="4" t="str">
        <v/>
      </c>
      <c r="I25184" s="4" t="str">
        <v/>
      </c>
    </row>
    <row r="25185" spans="5:9" ht="16.5" hidden="1">
      <c r="E25185" s="4" t="str">
        <v/>
      </c>
      <c r="F25185" s="102" t="str">
        <f ca="1">IFERROR(__xludf.DUMMYFUNCTION("IMPORTRANGE(H25185,""IDENTITAS UNIT!D9"")"),"#N/A")</f>
        <v>#N/A</v>
      </c>
      <c r="H25185" s="4" t="str">
        <v/>
      </c>
      <c r="I25185" s="4" t="str">
        <v/>
      </c>
    </row>
    <row r="25186" spans="5:9" ht="16.5" hidden="1">
      <c r="E25186" s="4" t="str">
        <v/>
      </c>
      <c r="F25186" s="102" t="str">
        <f ca="1">IFERROR(__xludf.DUMMYFUNCTION("IMPORTRANGE(H25186,""IDENTITAS UNIT!D9"")"),"#N/A")</f>
        <v>#N/A</v>
      </c>
      <c r="H25186" s="4" t="str">
        <v/>
      </c>
      <c r="I25186" s="4" t="str">
        <v/>
      </c>
    </row>
    <row r="25187" spans="5:9" ht="16.5" hidden="1">
      <c r="E25187" s="4" t="str">
        <v/>
      </c>
      <c r="F25187" s="102" t="str">
        <f ca="1">IFERROR(__xludf.DUMMYFUNCTION("IMPORTRANGE(H25187,""IDENTITAS UNIT!D9"")"),"#N/A")</f>
        <v>#N/A</v>
      </c>
      <c r="H25187" s="4" t="str">
        <v/>
      </c>
      <c r="I25187" s="4" t="str">
        <v/>
      </c>
    </row>
    <row r="25188" spans="5:9" ht="16.5" hidden="1">
      <c r="E25188" s="4" t="str">
        <v/>
      </c>
      <c r="F25188" s="102" t="str">
        <f ca="1">IFERROR(__xludf.DUMMYFUNCTION("IMPORTRANGE(H25188,""IDENTITAS UNIT!D9"")"),"#N/A")</f>
        <v>#N/A</v>
      </c>
      <c r="H25188" s="4" t="str">
        <v/>
      </c>
      <c r="I25188" s="4" t="str">
        <v/>
      </c>
    </row>
    <row r="25189" spans="5:9" ht="16.5" hidden="1">
      <c r="E25189" s="4" t="str">
        <v/>
      </c>
      <c r="F25189" s="102" t="str">
        <f ca="1">IFERROR(__xludf.DUMMYFUNCTION("IMPORTRANGE(H25189,""IDENTITAS UNIT!D9"")"),"#N/A")</f>
        <v>#N/A</v>
      </c>
      <c r="H25189" s="4" t="str">
        <v/>
      </c>
      <c r="I25189" s="4" t="str">
        <v/>
      </c>
    </row>
    <row r="25190" spans="5:9" ht="16.5" hidden="1">
      <c r="E25190" s="4" t="str">
        <v/>
      </c>
      <c r="F25190" s="102" t="str">
        <f ca="1">IFERROR(__xludf.DUMMYFUNCTION("IMPORTRANGE(H25190,""IDENTITAS UNIT!D9"")"),"#N/A")</f>
        <v>#N/A</v>
      </c>
      <c r="H25190" s="4" t="str">
        <v/>
      </c>
      <c r="I25190" s="4" t="str">
        <v/>
      </c>
    </row>
    <row r="25191" spans="5:9" ht="16.5" hidden="1">
      <c r="E25191" s="4" t="str">
        <v/>
      </c>
      <c r="F25191" s="102" t="str">
        <f ca="1">IFERROR(__xludf.DUMMYFUNCTION("IMPORTRANGE(H25191,""IDENTITAS UNIT!D9"")"),"#N/A")</f>
        <v>#N/A</v>
      </c>
      <c r="H25191" s="4" t="str">
        <v/>
      </c>
      <c r="I25191" s="4" t="str">
        <v/>
      </c>
    </row>
    <row r="25192" spans="5:9" ht="16.5" hidden="1">
      <c r="E25192" s="4" t="str">
        <v/>
      </c>
      <c r="F25192" s="102" t="str">
        <f ca="1">IFERROR(__xludf.DUMMYFUNCTION("IMPORTRANGE(H25192,""IDENTITAS UNIT!D9"")"),"#N/A")</f>
        <v>#N/A</v>
      </c>
      <c r="H25192" s="4" t="str">
        <v/>
      </c>
      <c r="I25192" s="4" t="str">
        <v/>
      </c>
    </row>
    <row r="25193" spans="5:9" ht="16.5" hidden="1">
      <c r="E25193" s="4" t="str">
        <v/>
      </c>
      <c r="F25193" s="102" t="str">
        <f ca="1">IFERROR(__xludf.DUMMYFUNCTION("IMPORTRANGE(H25193,""IDENTITAS UNIT!D9"")"),"#N/A")</f>
        <v>#N/A</v>
      </c>
      <c r="H25193" s="4" t="str">
        <v/>
      </c>
      <c r="I25193" s="4" t="str">
        <v/>
      </c>
    </row>
    <row r="25194" spans="5:9" ht="16.5" hidden="1">
      <c r="E25194" s="4" t="str">
        <v/>
      </c>
      <c r="F25194" s="102" t="str">
        <f ca="1">IFERROR(__xludf.DUMMYFUNCTION("IMPORTRANGE(H25194,""IDENTITAS UNIT!D9"")"),"#N/A")</f>
        <v>#N/A</v>
      </c>
      <c r="H25194" s="4" t="str">
        <v/>
      </c>
      <c r="I25194" s="4" t="str">
        <v/>
      </c>
    </row>
    <row r="25195" spans="5:9" ht="16.5" hidden="1">
      <c r="E25195" s="4" t="str">
        <v/>
      </c>
      <c r="F25195" s="102" t="str">
        <f ca="1">IFERROR(__xludf.DUMMYFUNCTION("IMPORTRANGE(H25195,""IDENTITAS UNIT!D9"")"),"#N/A")</f>
        <v>#N/A</v>
      </c>
      <c r="H25195" s="4" t="str">
        <v/>
      </c>
      <c r="I25195" s="4" t="str">
        <v/>
      </c>
    </row>
    <row r="25196" spans="5:9" ht="16.5" hidden="1">
      <c r="E25196" s="4" t="str">
        <v/>
      </c>
      <c r="F25196" s="102" t="str">
        <f ca="1">IFERROR(__xludf.DUMMYFUNCTION("IMPORTRANGE(H25196,""IDENTITAS UNIT!D9"")"),"#N/A")</f>
        <v>#N/A</v>
      </c>
      <c r="H25196" s="4" t="str">
        <v/>
      </c>
      <c r="I25196" s="4" t="str">
        <v/>
      </c>
    </row>
    <row r="25197" spans="5:9" ht="16.5" hidden="1">
      <c r="E25197" s="4" t="str">
        <v/>
      </c>
      <c r="F25197" s="102" t="str">
        <f ca="1">IFERROR(__xludf.DUMMYFUNCTION("IMPORTRANGE(H25197,""IDENTITAS UNIT!D9"")"),"#N/A")</f>
        <v>#N/A</v>
      </c>
      <c r="H25197" s="4" t="str">
        <v/>
      </c>
      <c r="I25197" s="4" t="str">
        <v/>
      </c>
    </row>
    <row r="25198" spans="5:9" ht="16.5" hidden="1">
      <c r="E25198" s="4" t="str">
        <v/>
      </c>
      <c r="F25198" s="102" t="str">
        <f ca="1">IFERROR(__xludf.DUMMYFUNCTION("IMPORTRANGE(H25198,""IDENTITAS UNIT!D9"")"),"#N/A")</f>
        <v>#N/A</v>
      </c>
      <c r="H25198" s="4" t="str">
        <v/>
      </c>
      <c r="I25198" s="4" t="str">
        <v/>
      </c>
    </row>
    <row r="25199" spans="5:9" ht="16.5" hidden="1">
      <c r="E25199" s="4" t="str">
        <v/>
      </c>
      <c r="F25199" s="102" t="str">
        <f ca="1">IFERROR(__xludf.DUMMYFUNCTION("IMPORTRANGE(H25199,""IDENTITAS UNIT!D9"")"),"#N/A")</f>
        <v>#N/A</v>
      </c>
      <c r="H25199" s="4" t="str">
        <v/>
      </c>
      <c r="I25199" s="4" t="str">
        <v/>
      </c>
    </row>
    <row r="25200" spans="5:9" ht="16.5" hidden="1">
      <c r="E25200" s="4" t="str">
        <v/>
      </c>
      <c r="F25200" s="102" t="str">
        <f ca="1">IFERROR(__xludf.DUMMYFUNCTION("IMPORTRANGE(H25200,""IDENTITAS UNIT!D9"")"),"#N/A")</f>
        <v>#N/A</v>
      </c>
      <c r="H25200" s="4" t="str">
        <v/>
      </c>
      <c r="I25200" s="4" t="str">
        <v/>
      </c>
    </row>
    <row r="25201" spans="5:9" ht="16.5" hidden="1">
      <c r="E25201" s="4" t="str">
        <v/>
      </c>
      <c r="F25201" s="102" t="str">
        <f ca="1">IFERROR(__xludf.DUMMYFUNCTION("IMPORTRANGE(H25201,""IDENTITAS UNIT!D9"")"),"#N/A")</f>
        <v>#N/A</v>
      </c>
      <c r="H25201" s="4" t="str">
        <v/>
      </c>
      <c r="I25201" s="4" t="str">
        <v/>
      </c>
    </row>
    <row r="25202" spans="5:9" ht="16.5" hidden="1">
      <c r="E25202" s="4" t="str">
        <v/>
      </c>
      <c r="F25202" s="102" t="str">
        <f ca="1">IFERROR(__xludf.DUMMYFUNCTION("IMPORTRANGE(H25202,""IDENTITAS UNIT!D9"")"),"#N/A")</f>
        <v>#N/A</v>
      </c>
      <c r="H25202" s="4" t="str">
        <v/>
      </c>
      <c r="I25202" s="4" t="str">
        <v/>
      </c>
    </row>
    <row r="25203" spans="5:9" ht="16.5" hidden="1">
      <c r="E25203" s="4" t="str">
        <v/>
      </c>
      <c r="F25203" s="102" t="str">
        <f ca="1">IFERROR(__xludf.DUMMYFUNCTION("IMPORTRANGE(H25203,""IDENTITAS UNIT!D9"")"),"#N/A")</f>
        <v>#N/A</v>
      </c>
      <c r="H25203" s="4" t="str">
        <v/>
      </c>
      <c r="I25203" s="4" t="str">
        <v/>
      </c>
    </row>
    <row r="25204" spans="5:9" ht="16.5" hidden="1">
      <c r="E25204" s="4" t="str">
        <v/>
      </c>
      <c r="F25204" s="102" t="str">
        <f ca="1">IFERROR(__xludf.DUMMYFUNCTION("IMPORTRANGE(H25204,""IDENTITAS UNIT!D9"")"),"#N/A")</f>
        <v>#N/A</v>
      </c>
      <c r="H25204" s="4" t="str">
        <v/>
      </c>
      <c r="I25204" s="4" t="str">
        <v/>
      </c>
    </row>
    <row r="25205" spans="5:9" ht="16.5" hidden="1">
      <c r="E25205" s="4" t="str">
        <v/>
      </c>
      <c r="F25205" s="102" t="str">
        <f ca="1">IFERROR(__xludf.DUMMYFUNCTION("IMPORTRANGE(H25205,""IDENTITAS UNIT!D9"")"),"#N/A")</f>
        <v>#N/A</v>
      </c>
      <c r="H25205" s="4" t="str">
        <v/>
      </c>
      <c r="I25205" s="4" t="str">
        <v/>
      </c>
    </row>
    <row r="25206" spans="5:9" ht="16.5" hidden="1">
      <c r="E25206" s="4" t="str">
        <v/>
      </c>
      <c r="F25206" s="102" t="str">
        <f ca="1">IFERROR(__xludf.DUMMYFUNCTION("IMPORTRANGE(H25206,""IDENTITAS UNIT!D9"")"),"#N/A")</f>
        <v>#N/A</v>
      </c>
      <c r="H25206" s="4" t="str">
        <v/>
      </c>
      <c r="I25206" s="4" t="str">
        <v/>
      </c>
    </row>
    <row r="25207" spans="5:9" ht="16.5" hidden="1">
      <c r="E25207" s="4" t="str">
        <v/>
      </c>
      <c r="F25207" s="102" t="str">
        <f ca="1">IFERROR(__xludf.DUMMYFUNCTION("IMPORTRANGE(H25207,""IDENTITAS UNIT!D9"")"),"#N/A")</f>
        <v>#N/A</v>
      </c>
      <c r="H25207" s="4" t="str">
        <v/>
      </c>
      <c r="I25207" s="4" t="str">
        <v/>
      </c>
    </row>
    <row r="25208" spans="5:9" ht="16.5" hidden="1">
      <c r="E25208" s="4" t="str">
        <v/>
      </c>
      <c r="F25208" s="102" t="str">
        <f ca="1">IFERROR(__xludf.DUMMYFUNCTION("IMPORTRANGE(H25208,""IDENTITAS UNIT!D9"")"),"#N/A")</f>
        <v>#N/A</v>
      </c>
      <c r="H25208" s="4" t="str">
        <v/>
      </c>
      <c r="I25208" s="4" t="str">
        <v/>
      </c>
    </row>
    <row r="25209" spans="5:9" ht="16.5" hidden="1">
      <c r="E25209" s="4" t="str">
        <v/>
      </c>
      <c r="F25209" s="102" t="str">
        <f ca="1">IFERROR(__xludf.DUMMYFUNCTION("IMPORTRANGE(H25209,""IDENTITAS UNIT!D9"")"),"#N/A")</f>
        <v>#N/A</v>
      </c>
      <c r="H25209" s="4" t="str">
        <v/>
      </c>
      <c r="I25209" s="4" t="str">
        <v/>
      </c>
    </row>
    <row r="25210" spans="5:9" ht="16.5" hidden="1">
      <c r="E25210" s="4" t="str">
        <v/>
      </c>
      <c r="F25210" s="102" t="str">
        <f ca="1">IFERROR(__xludf.DUMMYFUNCTION("IMPORTRANGE(H25210,""IDENTITAS UNIT!D9"")"),"#N/A")</f>
        <v>#N/A</v>
      </c>
      <c r="H25210" s="4" t="str">
        <v/>
      </c>
      <c r="I25210" s="4" t="str">
        <v/>
      </c>
    </row>
    <row r="25211" spans="5:9" ht="16.5" hidden="1">
      <c r="E25211" s="4" t="str">
        <v/>
      </c>
      <c r="F25211" s="102" t="str">
        <f ca="1">IFERROR(__xludf.DUMMYFUNCTION("IMPORTRANGE(H25211,""IDENTITAS UNIT!D9"")"),"#N/A")</f>
        <v>#N/A</v>
      </c>
      <c r="H25211" s="4" t="str">
        <v/>
      </c>
      <c r="I25211" s="4" t="str">
        <v/>
      </c>
    </row>
    <row r="25212" spans="5:9" ht="16.5" hidden="1">
      <c r="E25212" s="4" t="str">
        <v/>
      </c>
      <c r="F25212" s="102" t="str">
        <f ca="1">IFERROR(__xludf.DUMMYFUNCTION("IMPORTRANGE(H25212,""IDENTITAS UNIT!D9"")"),"#N/A")</f>
        <v>#N/A</v>
      </c>
      <c r="H25212" s="4" t="str">
        <v/>
      </c>
      <c r="I25212" s="4" t="str">
        <v/>
      </c>
    </row>
    <row r="25213" spans="5:9" ht="16.5" hidden="1">
      <c r="E25213" s="4" t="str">
        <v/>
      </c>
      <c r="F25213" s="102" t="str">
        <f ca="1">IFERROR(__xludf.DUMMYFUNCTION("IMPORTRANGE(H25213,""IDENTITAS UNIT!D9"")"),"#N/A")</f>
        <v>#N/A</v>
      </c>
      <c r="H25213" s="4" t="str">
        <v/>
      </c>
      <c r="I25213" s="4" t="str">
        <v/>
      </c>
    </row>
    <row r="25214" spans="5:9" ht="16.5" hidden="1">
      <c r="E25214" s="4" t="str">
        <v/>
      </c>
      <c r="F25214" s="102" t="str">
        <f ca="1">IFERROR(__xludf.DUMMYFUNCTION("IMPORTRANGE(H25214,""IDENTITAS UNIT!D9"")"),"#N/A")</f>
        <v>#N/A</v>
      </c>
      <c r="H25214" s="4" t="str">
        <v/>
      </c>
      <c r="I25214" s="4" t="str">
        <v/>
      </c>
    </row>
    <row r="25215" spans="5:9" ht="16.5" hidden="1">
      <c r="E25215" s="4" t="str">
        <v/>
      </c>
      <c r="F25215" s="102" t="str">
        <f ca="1">IFERROR(__xludf.DUMMYFUNCTION("IMPORTRANGE(H25215,""IDENTITAS UNIT!D9"")"),"#N/A")</f>
        <v>#N/A</v>
      </c>
      <c r="H25215" s="4" t="str">
        <v/>
      </c>
      <c r="I25215" s="4" t="str">
        <v/>
      </c>
    </row>
    <row r="25216" spans="5:9" ht="16.5" hidden="1">
      <c r="E25216" s="4" t="str">
        <v/>
      </c>
      <c r="F25216" s="102" t="str">
        <f ca="1">IFERROR(__xludf.DUMMYFUNCTION("IMPORTRANGE(H25216,""IDENTITAS UNIT!D9"")"),"#N/A")</f>
        <v>#N/A</v>
      </c>
      <c r="H25216" s="4" t="str">
        <v/>
      </c>
      <c r="I25216" s="4" t="str">
        <v/>
      </c>
    </row>
    <row r="25217" spans="5:9" ht="16.5" hidden="1">
      <c r="E25217" s="4" t="str">
        <v/>
      </c>
      <c r="F25217" s="102" t="str">
        <f ca="1">IFERROR(__xludf.DUMMYFUNCTION("IMPORTRANGE(H25217,""IDENTITAS UNIT!D9"")"),"#N/A")</f>
        <v>#N/A</v>
      </c>
      <c r="H25217" s="4" t="str">
        <v/>
      </c>
      <c r="I25217" s="4" t="str">
        <v/>
      </c>
    </row>
    <row r="25218" spans="5:9" ht="16.5" hidden="1">
      <c r="E25218" s="4" t="str">
        <v/>
      </c>
      <c r="F25218" s="102" t="str">
        <f ca="1">IFERROR(__xludf.DUMMYFUNCTION("IMPORTRANGE(H25218,""IDENTITAS UNIT!D9"")"),"#N/A")</f>
        <v>#N/A</v>
      </c>
      <c r="H25218" s="4" t="str">
        <v/>
      </c>
      <c r="I25218" s="4" t="str">
        <v/>
      </c>
    </row>
    <row r="25219" spans="5:9" ht="16.5" hidden="1">
      <c r="E25219" s="4" t="str">
        <v/>
      </c>
      <c r="F25219" s="102" t="str">
        <f ca="1">IFERROR(__xludf.DUMMYFUNCTION("IMPORTRANGE(H25219,""IDENTITAS UNIT!D9"")"),"#N/A")</f>
        <v>#N/A</v>
      </c>
      <c r="H25219" s="4" t="str">
        <v/>
      </c>
      <c r="I25219" s="4" t="str">
        <v/>
      </c>
    </row>
    <row r="25220" spans="5:9" ht="16.5" hidden="1">
      <c r="E25220" s="4" t="str">
        <v/>
      </c>
      <c r="F25220" s="102" t="str">
        <f ca="1">IFERROR(__xludf.DUMMYFUNCTION("IMPORTRANGE(H25220,""IDENTITAS UNIT!D9"")"),"#N/A")</f>
        <v>#N/A</v>
      </c>
      <c r="H25220" s="4" t="str">
        <v/>
      </c>
      <c r="I25220" s="4" t="str">
        <v/>
      </c>
    </row>
    <row r="25221" spans="5:9" ht="16.5" hidden="1">
      <c r="E25221" s="4" t="str">
        <v/>
      </c>
      <c r="F25221" s="102" t="str">
        <f ca="1">IFERROR(__xludf.DUMMYFUNCTION("IMPORTRANGE(H25221,""IDENTITAS UNIT!D9"")"),"#N/A")</f>
        <v>#N/A</v>
      </c>
      <c r="H25221" s="4" t="str">
        <v/>
      </c>
      <c r="I25221" s="4" t="str">
        <v/>
      </c>
    </row>
    <row r="25222" spans="5:9" ht="16.5" hidden="1">
      <c r="E25222" s="4" t="str">
        <v/>
      </c>
      <c r="F25222" s="102" t="str">
        <f ca="1">IFERROR(__xludf.DUMMYFUNCTION("IMPORTRANGE(H25222,""IDENTITAS UNIT!D9"")"),"#N/A")</f>
        <v>#N/A</v>
      </c>
      <c r="H25222" s="4" t="str">
        <v/>
      </c>
      <c r="I25222" s="4" t="str">
        <v/>
      </c>
    </row>
    <row r="25223" spans="5:9" ht="16.5" hidden="1">
      <c r="E25223" s="4" t="str">
        <v/>
      </c>
      <c r="F25223" s="102" t="str">
        <f ca="1">IFERROR(__xludf.DUMMYFUNCTION("IMPORTRANGE(H25223,""IDENTITAS UNIT!D9"")"),"#N/A")</f>
        <v>#N/A</v>
      </c>
      <c r="H25223" s="4" t="str">
        <v/>
      </c>
      <c r="I25223" s="4" t="str">
        <v/>
      </c>
    </row>
    <row r="25224" spans="5:9" ht="16.5" hidden="1">
      <c r="E25224" s="4" t="str">
        <v/>
      </c>
      <c r="F25224" s="102" t="str">
        <f ca="1">IFERROR(__xludf.DUMMYFUNCTION("IMPORTRANGE(H25224,""IDENTITAS UNIT!D9"")"),"#N/A")</f>
        <v>#N/A</v>
      </c>
      <c r="H25224" s="4" t="str">
        <v/>
      </c>
      <c r="I25224" s="4" t="str">
        <v/>
      </c>
    </row>
    <row r="25225" spans="5:9" ht="16.5" hidden="1">
      <c r="E25225" s="4" t="str">
        <v/>
      </c>
      <c r="F25225" s="102" t="str">
        <f ca="1">IFERROR(__xludf.DUMMYFUNCTION("IMPORTRANGE(H25225,""IDENTITAS UNIT!D9"")"),"#N/A")</f>
        <v>#N/A</v>
      </c>
      <c r="H25225" s="4" t="str">
        <v/>
      </c>
      <c r="I25225" s="4" t="str">
        <v/>
      </c>
    </row>
    <row r="25226" spans="5:9" ht="16.5" hidden="1">
      <c r="E25226" s="4" t="str">
        <v/>
      </c>
      <c r="F25226" s="102" t="str">
        <f ca="1">IFERROR(__xludf.DUMMYFUNCTION("IMPORTRANGE(H25226,""IDENTITAS UNIT!D9"")"),"#N/A")</f>
        <v>#N/A</v>
      </c>
      <c r="H25226" s="4" t="str">
        <v/>
      </c>
      <c r="I25226" s="4" t="str">
        <v/>
      </c>
    </row>
    <row r="25227" spans="5:9" ht="16.5" hidden="1">
      <c r="E25227" s="4" t="str">
        <v/>
      </c>
      <c r="F25227" s="102" t="str">
        <f ca="1">IFERROR(__xludf.DUMMYFUNCTION("IMPORTRANGE(H25227,""IDENTITAS UNIT!D9"")"),"#N/A")</f>
        <v>#N/A</v>
      </c>
      <c r="H25227" s="4" t="str">
        <v/>
      </c>
      <c r="I25227" s="4" t="str">
        <v/>
      </c>
    </row>
    <row r="25228" spans="5:9" ht="16.5" hidden="1">
      <c r="E25228" s="4" t="str">
        <v/>
      </c>
      <c r="F25228" s="102" t="str">
        <f ca="1">IFERROR(__xludf.DUMMYFUNCTION("IMPORTRANGE(H25228,""IDENTITAS UNIT!D9"")"),"#N/A")</f>
        <v>#N/A</v>
      </c>
      <c r="H25228" s="4" t="str">
        <v/>
      </c>
      <c r="I25228" s="4" t="str">
        <v/>
      </c>
    </row>
    <row r="25229" spans="5:9" ht="16.5" hidden="1">
      <c r="E25229" s="4" t="str">
        <v/>
      </c>
      <c r="F25229" s="102" t="str">
        <f ca="1">IFERROR(__xludf.DUMMYFUNCTION("IMPORTRANGE(H25229,""IDENTITAS UNIT!D9"")"),"#N/A")</f>
        <v>#N/A</v>
      </c>
      <c r="H25229" s="4" t="str">
        <v/>
      </c>
      <c r="I25229" s="4" t="str">
        <v/>
      </c>
    </row>
    <row r="25230" spans="5:9" ht="16.5" hidden="1">
      <c r="E25230" s="4" t="str">
        <v/>
      </c>
      <c r="F25230" s="102" t="str">
        <f ca="1">IFERROR(__xludf.DUMMYFUNCTION("IMPORTRANGE(H25230,""IDENTITAS UNIT!D9"")"),"#N/A")</f>
        <v>#N/A</v>
      </c>
      <c r="H25230" s="4" t="str">
        <v/>
      </c>
      <c r="I25230" s="4" t="str">
        <v/>
      </c>
    </row>
    <row r="25231" spans="5:9" ht="16.5" hidden="1">
      <c r="E25231" s="4" t="str">
        <v/>
      </c>
      <c r="F25231" s="102" t="str">
        <f ca="1">IFERROR(__xludf.DUMMYFUNCTION("IMPORTRANGE(H25231,""IDENTITAS UNIT!D9"")"),"#N/A")</f>
        <v>#N/A</v>
      </c>
      <c r="H25231" s="4" t="str">
        <v/>
      </c>
      <c r="I25231" s="4" t="str">
        <v/>
      </c>
    </row>
    <row r="25232" spans="5:9" ht="16.5" hidden="1">
      <c r="E25232" s="4" t="str">
        <v/>
      </c>
      <c r="F25232" s="102" t="str">
        <f ca="1">IFERROR(__xludf.DUMMYFUNCTION("IMPORTRANGE(H25232,""IDENTITAS UNIT!D9"")"),"#N/A")</f>
        <v>#N/A</v>
      </c>
      <c r="H25232" s="4" t="str">
        <v/>
      </c>
      <c r="I25232" s="4" t="str">
        <v/>
      </c>
    </row>
    <row r="25233" spans="5:9" ht="16.5" hidden="1">
      <c r="E25233" s="4" t="str">
        <v/>
      </c>
      <c r="F25233" s="102" t="str">
        <f ca="1">IFERROR(__xludf.DUMMYFUNCTION("IMPORTRANGE(H25233,""IDENTITAS UNIT!D9"")"),"#N/A")</f>
        <v>#N/A</v>
      </c>
      <c r="H25233" s="4" t="str">
        <v/>
      </c>
      <c r="I25233" s="4" t="str">
        <v/>
      </c>
    </row>
    <row r="25234" spans="5:9" ht="16.5" hidden="1">
      <c r="E25234" s="4" t="str">
        <v/>
      </c>
      <c r="F25234" s="102" t="str">
        <f ca="1">IFERROR(__xludf.DUMMYFUNCTION("IMPORTRANGE(H25234,""IDENTITAS UNIT!D9"")"),"#N/A")</f>
        <v>#N/A</v>
      </c>
      <c r="H25234" s="4" t="str">
        <v/>
      </c>
      <c r="I25234" s="4" t="str">
        <v/>
      </c>
    </row>
    <row r="25235" spans="5:9" ht="16.5" hidden="1">
      <c r="E25235" s="4" t="str">
        <v/>
      </c>
      <c r="F25235" s="102" t="str">
        <f ca="1">IFERROR(__xludf.DUMMYFUNCTION("IMPORTRANGE(H25235,""IDENTITAS UNIT!D9"")"),"#N/A")</f>
        <v>#N/A</v>
      </c>
      <c r="H25235" s="4" t="str">
        <v/>
      </c>
      <c r="I25235" s="4" t="str">
        <v/>
      </c>
    </row>
    <row r="25236" spans="5:9" ht="16.5" hidden="1">
      <c r="E25236" s="4" t="str">
        <v/>
      </c>
      <c r="F25236" s="102" t="str">
        <f ca="1">IFERROR(__xludf.DUMMYFUNCTION("IMPORTRANGE(H25236,""IDENTITAS UNIT!D9"")"),"#N/A")</f>
        <v>#N/A</v>
      </c>
      <c r="H25236" s="4" t="str">
        <v/>
      </c>
      <c r="I25236" s="4" t="str">
        <v/>
      </c>
    </row>
    <row r="25237" spans="5:9" ht="16.5" hidden="1">
      <c r="E25237" s="4" t="str">
        <v/>
      </c>
      <c r="F25237" s="102" t="str">
        <f ca="1">IFERROR(__xludf.DUMMYFUNCTION("IMPORTRANGE(H25237,""IDENTITAS UNIT!D9"")"),"#N/A")</f>
        <v>#N/A</v>
      </c>
      <c r="H25237" s="4" t="str">
        <v/>
      </c>
      <c r="I25237" s="4" t="str">
        <v/>
      </c>
    </row>
    <row r="25238" spans="5:9" ht="16.5" hidden="1">
      <c r="E25238" s="4" t="str">
        <v/>
      </c>
      <c r="F25238" s="102" t="str">
        <f ca="1">IFERROR(__xludf.DUMMYFUNCTION("IMPORTRANGE(H25238,""IDENTITAS UNIT!D9"")"),"#N/A")</f>
        <v>#N/A</v>
      </c>
      <c r="H25238" s="4" t="str">
        <v/>
      </c>
      <c r="I25238" s="4" t="str">
        <v/>
      </c>
    </row>
    <row r="25239" spans="5:9" ht="16.5" hidden="1">
      <c r="E25239" s="4" t="str">
        <v/>
      </c>
      <c r="F25239" s="102" t="str">
        <f ca="1">IFERROR(__xludf.DUMMYFUNCTION("IMPORTRANGE(H25239,""IDENTITAS UNIT!D9"")"),"#N/A")</f>
        <v>#N/A</v>
      </c>
      <c r="H25239" s="4" t="str">
        <v/>
      </c>
      <c r="I25239" s="4" t="str">
        <v/>
      </c>
    </row>
    <row r="25240" spans="5:9" ht="16.5" hidden="1">
      <c r="E25240" s="4" t="str">
        <v/>
      </c>
      <c r="F25240" s="102" t="str">
        <f ca="1">IFERROR(__xludf.DUMMYFUNCTION("IMPORTRANGE(H25240,""IDENTITAS UNIT!D9"")"),"#N/A")</f>
        <v>#N/A</v>
      </c>
      <c r="H25240" s="4" t="str">
        <v/>
      </c>
      <c r="I25240" s="4" t="str">
        <v/>
      </c>
    </row>
    <row r="25241" spans="5:9" ht="16.5" hidden="1">
      <c r="E25241" s="4" t="str">
        <v/>
      </c>
      <c r="F25241" s="102" t="str">
        <f ca="1">IFERROR(__xludf.DUMMYFUNCTION("IMPORTRANGE(H25241,""IDENTITAS UNIT!D9"")"),"#N/A")</f>
        <v>#N/A</v>
      </c>
      <c r="H25241" s="4" t="str">
        <v/>
      </c>
      <c r="I25241" s="4" t="str">
        <v/>
      </c>
    </row>
    <row r="25242" spans="5:9" ht="16.5" hidden="1">
      <c r="E25242" s="4" t="str">
        <v/>
      </c>
      <c r="F25242" s="102" t="str">
        <f ca="1">IFERROR(__xludf.DUMMYFUNCTION("IMPORTRANGE(H25242,""IDENTITAS UNIT!D9"")"),"#N/A")</f>
        <v>#N/A</v>
      </c>
      <c r="H25242" s="4" t="str">
        <v/>
      </c>
      <c r="I25242" s="4" t="str">
        <v/>
      </c>
    </row>
    <row r="25243" spans="5:9" ht="16.5" hidden="1">
      <c r="E25243" s="4" t="str">
        <v/>
      </c>
      <c r="F25243" s="102" t="str">
        <f ca="1">IFERROR(__xludf.DUMMYFUNCTION("IMPORTRANGE(H25243,""IDENTITAS UNIT!D9"")"),"#N/A")</f>
        <v>#N/A</v>
      </c>
      <c r="H25243" s="4" t="str">
        <v/>
      </c>
      <c r="I25243" s="4" t="str">
        <v/>
      </c>
    </row>
    <row r="25244" spans="5:9" ht="16.5" hidden="1">
      <c r="E25244" s="4" t="str">
        <v/>
      </c>
      <c r="F25244" s="102" t="str">
        <f ca="1">IFERROR(__xludf.DUMMYFUNCTION("IMPORTRANGE(H25244,""IDENTITAS UNIT!D9"")"),"#N/A")</f>
        <v>#N/A</v>
      </c>
      <c r="H25244" s="4" t="str">
        <v/>
      </c>
      <c r="I25244" s="4" t="str">
        <v/>
      </c>
    </row>
    <row r="25245" spans="5:9" ht="16.5" hidden="1">
      <c r="E25245" s="4" t="str">
        <v/>
      </c>
      <c r="F25245" s="102" t="str">
        <f ca="1">IFERROR(__xludf.DUMMYFUNCTION("IMPORTRANGE(H25245,""IDENTITAS UNIT!D9"")"),"#N/A")</f>
        <v>#N/A</v>
      </c>
      <c r="H25245" s="4" t="str">
        <v/>
      </c>
      <c r="I25245" s="4" t="str">
        <v/>
      </c>
    </row>
    <row r="25246" spans="5:9" ht="16.5" hidden="1">
      <c r="E25246" s="4" t="str">
        <v/>
      </c>
      <c r="F25246" s="102" t="str">
        <f ca="1">IFERROR(__xludf.DUMMYFUNCTION("IMPORTRANGE(H25246,""IDENTITAS UNIT!D9"")"),"#N/A")</f>
        <v>#N/A</v>
      </c>
      <c r="H25246" s="4" t="str">
        <v/>
      </c>
      <c r="I25246" s="4" t="str">
        <v/>
      </c>
    </row>
    <row r="25247" spans="5:9" ht="16.5" hidden="1">
      <c r="E25247" s="4" t="str">
        <v/>
      </c>
      <c r="F25247" s="102" t="str">
        <f ca="1">IFERROR(__xludf.DUMMYFUNCTION("IMPORTRANGE(H25247,""IDENTITAS UNIT!D9"")"),"#N/A")</f>
        <v>#N/A</v>
      </c>
      <c r="H25247" s="4" t="str">
        <v/>
      </c>
      <c r="I25247" s="4" t="str">
        <v/>
      </c>
    </row>
    <row r="25248" spans="5:9" ht="16.5" hidden="1">
      <c r="E25248" s="4" t="str">
        <v/>
      </c>
      <c r="F25248" s="102" t="str">
        <f ca="1">IFERROR(__xludf.DUMMYFUNCTION("IMPORTRANGE(H25248,""IDENTITAS UNIT!D9"")"),"#N/A")</f>
        <v>#N/A</v>
      </c>
      <c r="H25248" s="4" t="str">
        <v/>
      </c>
      <c r="I25248" s="4" t="str">
        <v/>
      </c>
    </row>
    <row r="25249" spans="5:9" ht="16.5" hidden="1">
      <c r="E25249" s="4" t="str">
        <v/>
      </c>
      <c r="F25249" s="102" t="str">
        <f ca="1">IFERROR(__xludf.DUMMYFUNCTION("IMPORTRANGE(H25249,""IDENTITAS UNIT!D9"")"),"#N/A")</f>
        <v>#N/A</v>
      </c>
      <c r="H25249" s="4" t="str">
        <v/>
      </c>
      <c r="I25249" s="4" t="str">
        <v/>
      </c>
    </row>
    <row r="25250" spans="5:9" ht="16.5" hidden="1">
      <c r="E25250" s="4" t="str">
        <v/>
      </c>
      <c r="F25250" s="102" t="str">
        <f ca="1">IFERROR(__xludf.DUMMYFUNCTION("IMPORTRANGE(H25250,""IDENTITAS UNIT!D9"")"),"#N/A")</f>
        <v>#N/A</v>
      </c>
      <c r="H25250" s="4" t="str">
        <v/>
      </c>
      <c r="I25250" s="4" t="str">
        <v/>
      </c>
    </row>
    <row r="25251" spans="5:9" ht="16.5" hidden="1">
      <c r="E25251" s="4" t="str">
        <v/>
      </c>
      <c r="F25251" s="102" t="str">
        <f ca="1">IFERROR(__xludf.DUMMYFUNCTION("IMPORTRANGE(H25251,""IDENTITAS UNIT!D9"")"),"#N/A")</f>
        <v>#N/A</v>
      </c>
      <c r="H25251" s="4" t="str">
        <v/>
      </c>
      <c r="I25251" s="4" t="str">
        <v/>
      </c>
    </row>
    <row r="25252" spans="5:9" ht="16.5" hidden="1">
      <c r="E25252" s="4" t="str">
        <v/>
      </c>
      <c r="F25252" s="102" t="str">
        <f ca="1">IFERROR(__xludf.DUMMYFUNCTION("IMPORTRANGE(H25252,""IDENTITAS UNIT!D9"")"),"#N/A")</f>
        <v>#N/A</v>
      </c>
      <c r="H25252" s="4" t="str">
        <v/>
      </c>
      <c r="I25252" s="4" t="str">
        <v/>
      </c>
    </row>
    <row r="25253" spans="5:9" ht="16.5" hidden="1">
      <c r="E25253" s="4" t="str">
        <v/>
      </c>
      <c r="F25253" s="102" t="str">
        <f ca="1">IFERROR(__xludf.DUMMYFUNCTION("IMPORTRANGE(H25253,""IDENTITAS UNIT!D9"")"),"#N/A")</f>
        <v>#N/A</v>
      </c>
      <c r="H25253" s="4" t="str">
        <v/>
      </c>
      <c r="I25253" s="4" t="str">
        <v/>
      </c>
    </row>
    <row r="25254" spans="5:9" ht="16.5" hidden="1">
      <c r="E25254" s="4" t="str">
        <v/>
      </c>
      <c r="F25254" s="102" t="str">
        <f ca="1">IFERROR(__xludf.DUMMYFUNCTION("IMPORTRANGE(H25254,""IDENTITAS UNIT!D9"")"),"#N/A")</f>
        <v>#N/A</v>
      </c>
      <c r="H25254" s="4" t="str">
        <v/>
      </c>
      <c r="I25254" s="4" t="str">
        <v/>
      </c>
    </row>
    <row r="25255" spans="5:9" ht="16.5" hidden="1">
      <c r="E25255" s="4" t="str">
        <v/>
      </c>
      <c r="F25255" s="102" t="str">
        <f ca="1">IFERROR(__xludf.DUMMYFUNCTION("IMPORTRANGE(H25255,""IDENTITAS UNIT!D9"")"),"#N/A")</f>
        <v>#N/A</v>
      </c>
      <c r="H25255" s="4" t="str">
        <v/>
      </c>
      <c r="I25255" s="4" t="str">
        <v/>
      </c>
    </row>
    <row r="25256" spans="5:9" ht="16.5" hidden="1">
      <c r="E25256" s="4" t="str">
        <v/>
      </c>
      <c r="F25256" s="102" t="str">
        <f ca="1">IFERROR(__xludf.DUMMYFUNCTION("IMPORTRANGE(H25256,""IDENTITAS UNIT!D9"")"),"#N/A")</f>
        <v>#N/A</v>
      </c>
      <c r="H25256" s="4" t="str">
        <v/>
      </c>
      <c r="I25256" s="4" t="str">
        <v/>
      </c>
    </row>
    <row r="25257" spans="5:9" ht="16.5" hidden="1">
      <c r="E25257" s="4" t="str">
        <v/>
      </c>
      <c r="F25257" s="102" t="str">
        <f ca="1">IFERROR(__xludf.DUMMYFUNCTION("IMPORTRANGE(H25257,""IDENTITAS UNIT!D9"")"),"#N/A")</f>
        <v>#N/A</v>
      </c>
      <c r="H25257" s="4" t="str">
        <v/>
      </c>
      <c r="I25257" s="4" t="str">
        <v/>
      </c>
    </row>
    <row r="25258" spans="5:9" ht="16.5" hidden="1">
      <c r="E25258" s="4" t="str">
        <v/>
      </c>
      <c r="F25258" s="102" t="str">
        <f ca="1">IFERROR(__xludf.DUMMYFUNCTION("IMPORTRANGE(H25258,""IDENTITAS UNIT!D9"")"),"#N/A")</f>
        <v>#N/A</v>
      </c>
      <c r="H25258" s="4" t="str">
        <v/>
      </c>
      <c r="I25258" s="4" t="str">
        <v/>
      </c>
    </row>
    <row r="25259" spans="5:9" ht="16.5" hidden="1">
      <c r="E25259" s="4" t="str">
        <v/>
      </c>
      <c r="F25259" s="102" t="str">
        <f ca="1">IFERROR(__xludf.DUMMYFUNCTION("IMPORTRANGE(H25259,""IDENTITAS UNIT!D9"")"),"#N/A")</f>
        <v>#N/A</v>
      </c>
      <c r="H25259" s="4" t="str">
        <v/>
      </c>
      <c r="I25259" s="4" t="str">
        <v/>
      </c>
    </row>
    <row r="25260" spans="5:9" ht="16.5" hidden="1">
      <c r="E25260" s="4" t="str">
        <v/>
      </c>
      <c r="F25260" s="102" t="str">
        <f ca="1">IFERROR(__xludf.DUMMYFUNCTION("IMPORTRANGE(H25260,""IDENTITAS UNIT!D9"")"),"#N/A")</f>
        <v>#N/A</v>
      </c>
      <c r="H25260" s="4" t="str">
        <v/>
      </c>
      <c r="I25260" s="4" t="str">
        <v/>
      </c>
    </row>
    <row r="25261" spans="5:9" ht="16.5" hidden="1">
      <c r="E25261" s="4" t="str">
        <v/>
      </c>
      <c r="F25261" s="102" t="str">
        <f ca="1">IFERROR(__xludf.DUMMYFUNCTION("IMPORTRANGE(H25261,""IDENTITAS UNIT!D9"")"),"#N/A")</f>
        <v>#N/A</v>
      </c>
      <c r="H25261" s="4" t="str">
        <v/>
      </c>
      <c r="I25261" s="4" t="str">
        <v/>
      </c>
    </row>
    <row r="25262" spans="5:9" ht="16.5" hidden="1">
      <c r="E25262" s="4" t="str">
        <v/>
      </c>
      <c r="F25262" s="102" t="str">
        <f ca="1">IFERROR(__xludf.DUMMYFUNCTION("IMPORTRANGE(H25262,""IDENTITAS UNIT!D9"")"),"#N/A")</f>
        <v>#N/A</v>
      </c>
      <c r="H25262" s="4" t="str">
        <v/>
      </c>
      <c r="I25262" s="4" t="str">
        <v/>
      </c>
    </row>
    <row r="25263" spans="5:9" ht="16.5" hidden="1">
      <c r="E25263" s="4" t="str">
        <v/>
      </c>
      <c r="F25263" s="102" t="str">
        <f ca="1">IFERROR(__xludf.DUMMYFUNCTION("IMPORTRANGE(H25263,""IDENTITAS UNIT!D9"")"),"#N/A")</f>
        <v>#N/A</v>
      </c>
      <c r="H25263" s="4" t="str">
        <v/>
      </c>
      <c r="I25263" s="4" t="str">
        <v/>
      </c>
    </row>
    <row r="25264" spans="5:9" ht="16.5" hidden="1">
      <c r="E25264" s="4" t="str">
        <v/>
      </c>
      <c r="F25264" s="102" t="str">
        <f ca="1">IFERROR(__xludf.DUMMYFUNCTION("IMPORTRANGE(H25264,""IDENTITAS UNIT!D9"")"),"#N/A")</f>
        <v>#N/A</v>
      </c>
      <c r="H25264" s="4" t="str">
        <v/>
      </c>
      <c r="I25264" s="4" t="str">
        <v/>
      </c>
    </row>
    <row r="25265" spans="5:9" ht="16.5" hidden="1">
      <c r="E25265" s="4" t="str">
        <v/>
      </c>
      <c r="F25265" s="102" t="str">
        <f ca="1">IFERROR(__xludf.DUMMYFUNCTION("IMPORTRANGE(H25265,""IDENTITAS UNIT!D9"")"),"#N/A")</f>
        <v>#N/A</v>
      </c>
      <c r="H25265" s="4" t="str">
        <v/>
      </c>
      <c r="I25265" s="4" t="str">
        <v/>
      </c>
    </row>
    <row r="25266" spans="5:9" ht="16.5" hidden="1">
      <c r="E25266" s="4" t="str">
        <v/>
      </c>
      <c r="F25266" s="102" t="str">
        <f ca="1">IFERROR(__xludf.DUMMYFUNCTION("IMPORTRANGE(H25266,""IDENTITAS UNIT!D9"")"),"#N/A")</f>
        <v>#N/A</v>
      </c>
      <c r="H25266" s="4" t="str">
        <v/>
      </c>
      <c r="I25266" s="4" t="str">
        <v/>
      </c>
    </row>
    <row r="25267" spans="5:9" ht="16.5" hidden="1">
      <c r="E25267" s="4" t="str">
        <v/>
      </c>
      <c r="F25267" s="102" t="str">
        <f ca="1">IFERROR(__xludf.DUMMYFUNCTION("IMPORTRANGE(H25267,""IDENTITAS UNIT!D9"")"),"#N/A")</f>
        <v>#N/A</v>
      </c>
      <c r="H25267" s="4" t="str">
        <v/>
      </c>
      <c r="I25267" s="4" t="str">
        <v/>
      </c>
    </row>
    <row r="25268" spans="5:9" ht="16.5" hidden="1">
      <c r="E25268" s="4" t="str">
        <v/>
      </c>
      <c r="F25268" s="102" t="str">
        <f ca="1">IFERROR(__xludf.DUMMYFUNCTION("IMPORTRANGE(H25268,""IDENTITAS UNIT!D9"")"),"#N/A")</f>
        <v>#N/A</v>
      </c>
      <c r="H25268" s="4" t="str">
        <v/>
      </c>
      <c r="I25268" s="4" t="str">
        <v/>
      </c>
    </row>
    <row r="25269" spans="5:9" ht="16.5" hidden="1">
      <c r="E25269" s="4" t="str">
        <v/>
      </c>
      <c r="F25269" s="102" t="str">
        <f ca="1">IFERROR(__xludf.DUMMYFUNCTION("IMPORTRANGE(H25269,""IDENTITAS UNIT!D9"")"),"#N/A")</f>
        <v>#N/A</v>
      </c>
      <c r="H25269" s="4" t="str">
        <v/>
      </c>
      <c r="I25269" s="4" t="str">
        <v/>
      </c>
    </row>
    <row r="25270" spans="5:9" ht="16.5" hidden="1">
      <c r="E25270" s="4" t="str">
        <v/>
      </c>
      <c r="F25270" s="102" t="str">
        <f ca="1">IFERROR(__xludf.DUMMYFUNCTION("IMPORTRANGE(H25270,""IDENTITAS UNIT!D9"")"),"#N/A")</f>
        <v>#N/A</v>
      </c>
      <c r="H25270" s="4" t="str">
        <v/>
      </c>
      <c r="I25270" s="4" t="str">
        <v/>
      </c>
    </row>
    <row r="25271" spans="5:9" ht="16.5" hidden="1">
      <c r="E25271" s="4" t="str">
        <v/>
      </c>
      <c r="F25271" s="102" t="str">
        <f ca="1">IFERROR(__xludf.DUMMYFUNCTION("IMPORTRANGE(H25271,""IDENTITAS UNIT!D9"")"),"#N/A")</f>
        <v>#N/A</v>
      </c>
      <c r="H25271" s="4" t="str">
        <v/>
      </c>
      <c r="I25271" s="4" t="str">
        <v/>
      </c>
    </row>
    <row r="25272" spans="5:9" ht="16.5" hidden="1">
      <c r="E25272" s="4" t="str">
        <v/>
      </c>
      <c r="F25272" s="102" t="str">
        <f ca="1">IFERROR(__xludf.DUMMYFUNCTION("IMPORTRANGE(H25272,""IDENTITAS UNIT!D9"")"),"#N/A")</f>
        <v>#N/A</v>
      </c>
      <c r="H25272" s="4" t="str">
        <v/>
      </c>
      <c r="I25272" s="4" t="str">
        <v/>
      </c>
    </row>
    <row r="25273" spans="5:9" ht="16.5" hidden="1">
      <c r="E25273" s="4" t="str">
        <v/>
      </c>
      <c r="F25273" s="102" t="str">
        <f ca="1">IFERROR(__xludf.DUMMYFUNCTION("IMPORTRANGE(H25273,""IDENTITAS UNIT!D9"")"),"#N/A")</f>
        <v>#N/A</v>
      </c>
      <c r="H25273" s="4" t="str">
        <v/>
      </c>
      <c r="I25273" s="4" t="str">
        <v/>
      </c>
    </row>
    <row r="25274" spans="5:9" ht="16.5" hidden="1">
      <c r="E25274" s="4" t="str">
        <v/>
      </c>
      <c r="F25274" s="102" t="str">
        <f ca="1">IFERROR(__xludf.DUMMYFUNCTION("IMPORTRANGE(H25274,""IDENTITAS UNIT!D9"")"),"#N/A")</f>
        <v>#N/A</v>
      </c>
      <c r="H25274" s="4" t="str">
        <v/>
      </c>
      <c r="I25274" s="4" t="str">
        <v/>
      </c>
    </row>
    <row r="25275" spans="5:9" ht="16.5" hidden="1">
      <c r="E25275" s="4" t="str">
        <v/>
      </c>
      <c r="F25275" s="102" t="str">
        <f ca="1">IFERROR(__xludf.DUMMYFUNCTION("IMPORTRANGE(H25275,""IDENTITAS UNIT!D9"")"),"#N/A")</f>
        <v>#N/A</v>
      </c>
      <c r="H25275" s="4" t="str">
        <v/>
      </c>
      <c r="I25275" s="4" t="str">
        <v/>
      </c>
    </row>
    <row r="25276" spans="5:9" ht="16.5" hidden="1">
      <c r="E25276" s="4" t="str">
        <v/>
      </c>
      <c r="F25276" s="102" t="str">
        <f ca="1">IFERROR(__xludf.DUMMYFUNCTION("IMPORTRANGE(H25276,""IDENTITAS UNIT!D9"")"),"#N/A")</f>
        <v>#N/A</v>
      </c>
      <c r="H25276" s="4" t="str">
        <v/>
      </c>
      <c r="I25276" s="4" t="str">
        <v/>
      </c>
    </row>
    <row r="25277" spans="5:9" ht="16.5" hidden="1">
      <c r="E25277" s="4" t="str">
        <v/>
      </c>
      <c r="F25277" s="102" t="str">
        <f ca="1">IFERROR(__xludf.DUMMYFUNCTION("IMPORTRANGE(H25277,""IDENTITAS UNIT!D9"")"),"#N/A")</f>
        <v>#N/A</v>
      </c>
      <c r="H25277" s="4" t="str">
        <v/>
      </c>
      <c r="I25277" s="4" t="str">
        <v/>
      </c>
    </row>
    <row r="25278" spans="5:9" ht="16.5" hidden="1">
      <c r="E25278" s="4" t="str">
        <v/>
      </c>
      <c r="F25278" s="102" t="str">
        <f ca="1">IFERROR(__xludf.DUMMYFUNCTION("IMPORTRANGE(H25278,""IDENTITAS UNIT!D9"")"),"#N/A")</f>
        <v>#N/A</v>
      </c>
      <c r="H25278" s="4" t="str">
        <v/>
      </c>
      <c r="I25278" s="4" t="str">
        <v/>
      </c>
    </row>
    <row r="25279" spans="5:9" ht="16.5" hidden="1">
      <c r="E25279" s="4" t="str">
        <v/>
      </c>
      <c r="F25279" s="102" t="str">
        <f ca="1">IFERROR(__xludf.DUMMYFUNCTION("IMPORTRANGE(H25279,""IDENTITAS UNIT!D9"")"),"#N/A")</f>
        <v>#N/A</v>
      </c>
      <c r="H25279" s="4" t="str">
        <v/>
      </c>
      <c r="I25279" s="4" t="str">
        <v/>
      </c>
    </row>
    <row r="25280" spans="5:9" ht="16.5" hidden="1">
      <c r="E25280" s="4" t="str">
        <v/>
      </c>
      <c r="F25280" s="102" t="str">
        <f ca="1">IFERROR(__xludf.DUMMYFUNCTION("IMPORTRANGE(H25280,""IDENTITAS UNIT!D9"")"),"#N/A")</f>
        <v>#N/A</v>
      </c>
      <c r="H25280" s="4" t="str">
        <v/>
      </c>
      <c r="I25280" s="4" t="str">
        <v/>
      </c>
    </row>
    <row r="25281" spans="5:9" ht="16.5" hidden="1">
      <c r="E25281" s="4" t="str">
        <v/>
      </c>
      <c r="F25281" s="102" t="str">
        <f ca="1">IFERROR(__xludf.DUMMYFUNCTION("IMPORTRANGE(H25281,""IDENTITAS UNIT!D9"")"),"#N/A")</f>
        <v>#N/A</v>
      </c>
      <c r="H25281" s="4" t="str">
        <v/>
      </c>
      <c r="I25281" s="4" t="str">
        <v/>
      </c>
    </row>
    <row r="25282" spans="5:9" ht="16.5" hidden="1">
      <c r="E25282" s="4" t="str">
        <v/>
      </c>
      <c r="F25282" s="102" t="str">
        <f ca="1">IFERROR(__xludf.DUMMYFUNCTION("IMPORTRANGE(H25282,""IDENTITAS UNIT!D9"")"),"#N/A")</f>
        <v>#N/A</v>
      </c>
      <c r="H25282" s="4" t="str">
        <v/>
      </c>
      <c r="I25282" s="4" t="str">
        <v/>
      </c>
    </row>
    <row r="25283" spans="5:9" ht="16.5" hidden="1">
      <c r="E25283" s="4" t="str">
        <v/>
      </c>
      <c r="F25283" s="102" t="str">
        <f ca="1">IFERROR(__xludf.DUMMYFUNCTION("IMPORTRANGE(H25283,""IDENTITAS UNIT!D9"")"),"#N/A")</f>
        <v>#N/A</v>
      </c>
      <c r="H25283" s="4" t="str">
        <v/>
      </c>
      <c r="I25283" s="4" t="str">
        <v/>
      </c>
    </row>
    <row r="25284" spans="5:9" ht="16.5" hidden="1">
      <c r="E25284" s="4" t="str">
        <v/>
      </c>
      <c r="F25284" s="102" t="str">
        <f ca="1">IFERROR(__xludf.DUMMYFUNCTION("IMPORTRANGE(H25284,""IDENTITAS UNIT!D9"")"),"#N/A")</f>
        <v>#N/A</v>
      </c>
      <c r="H25284" s="4" t="str">
        <v/>
      </c>
      <c r="I25284" s="4" t="str">
        <v/>
      </c>
    </row>
    <row r="25285" spans="5:9" ht="16.5" hidden="1">
      <c r="E25285" s="4" t="str">
        <v/>
      </c>
      <c r="F25285" s="102" t="str">
        <f ca="1">IFERROR(__xludf.DUMMYFUNCTION("IMPORTRANGE(H25285,""IDENTITAS UNIT!D9"")"),"#N/A")</f>
        <v>#N/A</v>
      </c>
      <c r="H25285" s="4" t="str">
        <v/>
      </c>
      <c r="I25285" s="4" t="str">
        <v/>
      </c>
    </row>
    <row r="25286" spans="5:9" ht="16.5" hidden="1">
      <c r="E25286" s="4" t="str">
        <v/>
      </c>
      <c r="F25286" s="102" t="str">
        <f ca="1">IFERROR(__xludf.DUMMYFUNCTION("IMPORTRANGE(H25286,""IDENTITAS UNIT!D9"")"),"#N/A")</f>
        <v>#N/A</v>
      </c>
      <c r="H25286" s="4" t="str">
        <v/>
      </c>
      <c r="I25286" s="4" t="str">
        <v/>
      </c>
    </row>
    <row r="25287" spans="5:9" ht="16.5" hidden="1">
      <c r="E25287" s="4" t="str">
        <v/>
      </c>
      <c r="F25287" s="102" t="str">
        <f ca="1">IFERROR(__xludf.DUMMYFUNCTION("IMPORTRANGE(H25287,""IDENTITAS UNIT!D9"")"),"#N/A")</f>
        <v>#N/A</v>
      </c>
      <c r="H25287" s="4" t="str">
        <v/>
      </c>
      <c r="I25287" s="4" t="str">
        <v/>
      </c>
    </row>
    <row r="25288" spans="5:9" ht="16.5" hidden="1">
      <c r="E25288" s="4" t="str">
        <v/>
      </c>
      <c r="F25288" s="102" t="str">
        <f ca="1">IFERROR(__xludf.DUMMYFUNCTION("IMPORTRANGE(H25288,""IDENTITAS UNIT!D9"")"),"#N/A")</f>
        <v>#N/A</v>
      </c>
      <c r="H25288" s="4" t="str">
        <v/>
      </c>
      <c r="I25288" s="4" t="str">
        <v/>
      </c>
    </row>
    <row r="25289" spans="5:9" ht="16.5" hidden="1">
      <c r="E25289" s="4" t="str">
        <v/>
      </c>
      <c r="F25289" s="102" t="str">
        <f ca="1">IFERROR(__xludf.DUMMYFUNCTION("IMPORTRANGE(H25289,""IDENTITAS UNIT!D9"")"),"#N/A")</f>
        <v>#N/A</v>
      </c>
      <c r="H25289" s="4" t="str">
        <v/>
      </c>
      <c r="I25289" s="4" t="str">
        <v/>
      </c>
    </row>
    <row r="25290" spans="5:9" ht="16.5" hidden="1">
      <c r="E25290" s="4" t="str">
        <v/>
      </c>
      <c r="F25290" s="102" t="str">
        <f ca="1">IFERROR(__xludf.DUMMYFUNCTION("IMPORTRANGE(H25290,""IDENTITAS UNIT!D9"")"),"#N/A")</f>
        <v>#N/A</v>
      </c>
      <c r="H25290" s="4" t="str">
        <v/>
      </c>
      <c r="I25290" s="4" t="str">
        <v/>
      </c>
    </row>
    <row r="25291" spans="5:9" ht="16.5" hidden="1">
      <c r="E25291" s="4" t="str">
        <v/>
      </c>
      <c r="F25291" s="102" t="str">
        <f ca="1">IFERROR(__xludf.DUMMYFUNCTION("IMPORTRANGE(H25291,""IDENTITAS UNIT!D9"")"),"#N/A")</f>
        <v>#N/A</v>
      </c>
      <c r="H25291" s="4" t="str">
        <v/>
      </c>
      <c r="I25291" s="4" t="str">
        <v/>
      </c>
    </row>
    <row r="25292" spans="5:9" ht="16.5" hidden="1">
      <c r="E25292" s="4" t="str">
        <v/>
      </c>
      <c r="F25292" s="102" t="str">
        <f ca="1">IFERROR(__xludf.DUMMYFUNCTION("IMPORTRANGE(H25292,""IDENTITAS UNIT!D9"")"),"#N/A")</f>
        <v>#N/A</v>
      </c>
      <c r="H25292" s="4" t="str">
        <v/>
      </c>
      <c r="I25292" s="4" t="str">
        <v/>
      </c>
    </row>
    <row r="25293" spans="5:9" ht="16.5" hidden="1">
      <c r="E25293" s="4" t="str">
        <v/>
      </c>
      <c r="F25293" s="102" t="str">
        <f ca="1">IFERROR(__xludf.DUMMYFUNCTION("IMPORTRANGE(H25293,""IDENTITAS UNIT!D9"")"),"#N/A")</f>
        <v>#N/A</v>
      </c>
      <c r="H25293" s="4" t="str">
        <v/>
      </c>
      <c r="I25293" s="4" t="str">
        <v/>
      </c>
    </row>
    <row r="25294" spans="5:9" ht="16.5" hidden="1">
      <c r="E25294" s="4" t="str">
        <v/>
      </c>
      <c r="F25294" s="102" t="str">
        <f ca="1">IFERROR(__xludf.DUMMYFUNCTION("IMPORTRANGE(H25294,""IDENTITAS UNIT!D9"")"),"#N/A")</f>
        <v>#N/A</v>
      </c>
      <c r="H25294" s="4" t="str">
        <v/>
      </c>
      <c r="I25294" s="4" t="str">
        <v/>
      </c>
    </row>
    <row r="25295" spans="5:9" ht="16.5" hidden="1">
      <c r="E25295" s="4" t="str">
        <v/>
      </c>
      <c r="F25295" s="102" t="str">
        <f ca="1">IFERROR(__xludf.DUMMYFUNCTION("IMPORTRANGE(H25295,""IDENTITAS UNIT!D9"")"),"#N/A")</f>
        <v>#N/A</v>
      </c>
      <c r="H25295" s="4" t="str">
        <v/>
      </c>
      <c r="I25295" s="4" t="str">
        <v/>
      </c>
    </row>
    <row r="25296" spans="5:9" ht="16.5" hidden="1">
      <c r="E25296" s="4" t="str">
        <v/>
      </c>
      <c r="F25296" s="102" t="str">
        <f ca="1">IFERROR(__xludf.DUMMYFUNCTION("IMPORTRANGE(H25296,""IDENTITAS UNIT!D9"")"),"#N/A")</f>
        <v>#N/A</v>
      </c>
      <c r="H25296" s="4" t="str">
        <v/>
      </c>
      <c r="I25296" s="4" t="str">
        <v/>
      </c>
    </row>
    <row r="25297" spans="5:9" ht="16.5" hidden="1">
      <c r="E25297" s="4" t="str">
        <v/>
      </c>
      <c r="F25297" s="102" t="str">
        <f ca="1">IFERROR(__xludf.DUMMYFUNCTION("IMPORTRANGE(H25297,""IDENTITAS UNIT!D9"")"),"#N/A")</f>
        <v>#N/A</v>
      </c>
      <c r="H25297" s="4" t="str">
        <v/>
      </c>
      <c r="I25297" s="4" t="str">
        <v/>
      </c>
    </row>
    <row r="25298" spans="5:9" ht="16.5" hidden="1">
      <c r="E25298" s="4" t="str">
        <v/>
      </c>
      <c r="F25298" s="102" t="str">
        <f ca="1">IFERROR(__xludf.DUMMYFUNCTION("IMPORTRANGE(H25298,""IDENTITAS UNIT!D9"")"),"#N/A")</f>
        <v>#N/A</v>
      </c>
      <c r="H25298" s="4" t="str">
        <v/>
      </c>
      <c r="I25298" s="4" t="str">
        <v/>
      </c>
    </row>
    <row r="25299" spans="5:9" ht="16.5" hidden="1">
      <c r="E25299" s="4" t="str">
        <v/>
      </c>
      <c r="F25299" s="102" t="str">
        <f ca="1">IFERROR(__xludf.DUMMYFUNCTION("IMPORTRANGE(H25299,""IDENTITAS UNIT!D9"")"),"#N/A")</f>
        <v>#N/A</v>
      </c>
      <c r="H25299" s="4" t="str">
        <v/>
      </c>
      <c r="I25299" s="4" t="str">
        <v/>
      </c>
    </row>
    <row r="25300" spans="5:9" ht="16.5" hidden="1">
      <c r="E25300" s="4" t="str">
        <v/>
      </c>
      <c r="F25300" s="102" t="str">
        <f ca="1">IFERROR(__xludf.DUMMYFUNCTION("IMPORTRANGE(H25300,""IDENTITAS UNIT!D9"")"),"#N/A")</f>
        <v>#N/A</v>
      </c>
      <c r="H25300" s="4" t="str">
        <v/>
      </c>
      <c r="I25300" s="4" t="str">
        <v/>
      </c>
    </row>
    <row r="25301" spans="5:9" ht="16.5" hidden="1">
      <c r="E25301" s="4" t="str">
        <v/>
      </c>
      <c r="F25301" s="102" t="str">
        <f ca="1">IFERROR(__xludf.DUMMYFUNCTION("IMPORTRANGE(H25301,""IDENTITAS UNIT!D9"")"),"#N/A")</f>
        <v>#N/A</v>
      </c>
      <c r="H25301" s="4" t="str">
        <v/>
      </c>
      <c r="I25301" s="4" t="str">
        <v/>
      </c>
    </row>
    <row r="25302" spans="5:9" ht="16.5" hidden="1">
      <c r="E25302" s="4" t="str">
        <v/>
      </c>
      <c r="F25302" s="102" t="str">
        <f ca="1">IFERROR(__xludf.DUMMYFUNCTION("IMPORTRANGE(H25302,""IDENTITAS UNIT!D9"")"),"#N/A")</f>
        <v>#N/A</v>
      </c>
      <c r="H25302" s="4" t="str">
        <v/>
      </c>
      <c r="I25302" s="4" t="str">
        <v/>
      </c>
    </row>
    <row r="25303" spans="5:9" ht="16.5" hidden="1">
      <c r="E25303" s="4" t="str">
        <v/>
      </c>
      <c r="F25303" s="102" t="str">
        <f ca="1">IFERROR(__xludf.DUMMYFUNCTION("IMPORTRANGE(H25303,""IDENTITAS UNIT!D9"")"),"#N/A")</f>
        <v>#N/A</v>
      </c>
      <c r="H25303" s="4" t="str">
        <v/>
      </c>
      <c r="I25303" s="4" t="str">
        <v/>
      </c>
    </row>
    <row r="25304" spans="5:9" ht="16.5" hidden="1">
      <c r="E25304" s="4" t="str">
        <v/>
      </c>
      <c r="F25304" s="102" t="str">
        <f ca="1">IFERROR(__xludf.DUMMYFUNCTION("IMPORTRANGE(H25304,""IDENTITAS UNIT!D9"")"),"#N/A")</f>
        <v>#N/A</v>
      </c>
      <c r="H25304" s="4" t="str">
        <v/>
      </c>
      <c r="I25304" s="4" t="str">
        <v/>
      </c>
    </row>
    <row r="25305" spans="5:9" ht="16.5" hidden="1">
      <c r="E25305" s="4" t="str">
        <v/>
      </c>
      <c r="F25305" s="102" t="str">
        <f ca="1">IFERROR(__xludf.DUMMYFUNCTION("IMPORTRANGE(H25305,""IDENTITAS UNIT!D9"")"),"#N/A")</f>
        <v>#N/A</v>
      </c>
      <c r="H25305" s="4" t="str">
        <v/>
      </c>
      <c r="I25305" s="4" t="str">
        <v/>
      </c>
    </row>
    <row r="25306" spans="5:9" ht="16.5" hidden="1">
      <c r="E25306" s="4" t="str">
        <v/>
      </c>
      <c r="F25306" s="102" t="str">
        <f ca="1">IFERROR(__xludf.DUMMYFUNCTION("IMPORTRANGE(H25306,""IDENTITAS UNIT!D9"")"),"#N/A")</f>
        <v>#N/A</v>
      </c>
      <c r="H25306" s="4" t="str">
        <v/>
      </c>
      <c r="I25306" s="4" t="str">
        <v/>
      </c>
    </row>
    <row r="25307" spans="5:9" ht="16.5" hidden="1">
      <c r="E25307" s="4" t="str">
        <v/>
      </c>
      <c r="F25307" s="102" t="str">
        <f ca="1">IFERROR(__xludf.DUMMYFUNCTION("IMPORTRANGE(H25307,""IDENTITAS UNIT!D9"")"),"#N/A")</f>
        <v>#N/A</v>
      </c>
      <c r="H25307" s="4" t="str">
        <v/>
      </c>
      <c r="I25307" s="4" t="str">
        <v/>
      </c>
    </row>
    <row r="25308" spans="5:9" ht="16.5" hidden="1">
      <c r="E25308" s="4" t="str">
        <v/>
      </c>
      <c r="F25308" s="102" t="str">
        <f ca="1">IFERROR(__xludf.DUMMYFUNCTION("IMPORTRANGE(H25308,""IDENTITAS UNIT!D9"")"),"#N/A")</f>
        <v>#N/A</v>
      </c>
      <c r="H25308" s="4" t="str">
        <v/>
      </c>
      <c r="I25308" s="4" t="str">
        <v/>
      </c>
    </row>
    <row r="25309" spans="5:9" ht="16.5" hidden="1">
      <c r="E25309" s="4" t="str">
        <v/>
      </c>
      <c r="F25309" s="102" t="str">
        <f ca="1">IFERROR(__xludf.DUMMYFUNCTION("IMPORTRANGE(H25309,""IDENTITAS UNIT!D9"")"),"#N/A")</f>
        <v>#N/A</v>
      </c>
      <c r="H25309" s="4" t="str">
        <v/>
      </c>
      <c r="I25309" s="4" t="str">
        <v/>
      </c>
    </row>
    <row r="25310" spans="5:9" ht="16.5" hidden="1">
      <c r="E25310" s="4" t="str">
        <v/>
      </c>
      <c r="F25310" s="102" t="str">
        <f ca="1">IFERROR(__xludf.DUMMYFUNCTION("IMPORTRANGE(H25310,""IDENTITAS UNIT!D9"")"),"#N/A")</f>
        <v>#N/A</v>
      </c>
      <c r="H25310" s="4" t="str">
        <v/>
      </c>
      <c r="I25310" s="4" t="str">
        <v/>
      </c>
    </row>
    <row r="25311" spans="5:9" ht="16.5" hidden="1">
      <c r="E25311" s="4" t="str">
        <v/>
      </c>
      <c r="F25311" s="102" t="str">
        <f ca="1">IFERROR(__xludf.DUMMYFUNCTION("IMPORTRANGE(H25311,""IDENTITAS UNIT!D9"")"),"#N/A")</f>
        <v>#N/A</v>
      </c>
      <c r="H25311" s="4" t="str">
        <v/>
      </c>
      <c r="I25311" s="4" t="str">
        <v/>
      </c>
    </row>
    <row r="25312" spans="5:9" ht="16.5" hidden="1">
      <c r="E25312" s="4" t="str">
        <v/>
      </c>
      <c r="F25312" s="102" t="str">
        <f ca="1">IFERROR(__xludf.DUMMYFUNCTION("IMPORTRANGE(H25312,""IDENTITAS UNIT!D9"")"),"#N/A")</f>
        <v>#N/A</v>
      </c>
      <c r="H25312" s="4" t="str">
        <v/>
      </c>
      <c r="I25312" s="4" t="str">
        <v/>
      </c>
    </row>
    <row r="25313" spans="5:9" ht="16.5" hidden="1">
      <c r="E25313" s="4" t="str">
        <v/>
      </c>
      <c r="F25313" s="102" t="str">
        <f ca="1">IFERROR(__xludf.DUMMYFUNCTION("IMPORTRANGE(H25313,""IDENTITAS UNIT!D9"")"),"#N/A")</f>
        <v>#N/A</v>
      </c>
      <c r="H25313" s="4" t="str">
        <v/>
      </c>
      <c r="I25313" s="4" t="str">
        <v/>
      </c>
    </row>
    <row r="25314" spans="5:9" ht="16.5" hidden="1">
      <c r="E25314" s="4" t="str">
        <v/>
      </c>
      <c r="F25314" s="102" t="str">
        <f ca="1">IFERROR(__xludf.DUMMYFUNCTION("IMPORTRANGE(H25314,""IDENTITAS UNIT!D9"")"),"#N/A")</f>
        <v>#N/A</v>
      </c>
      <c r="H25314" s="4" t="str">
        <v/>
      </c>
      <c r="I25314" s="4" t="str">
        <v/>
      </c>
    </row>
    <row r="25315" spans="5:9" ht="16.5" hidden="1">
      <c r="E25315" s="4" t="str">
        <v/>
      </c>
      <c r="F25315" s="102" t="str">
        <f ca="1">IFERROR(__xludf.DUMMYFUNCTION("IMPORTRANGE(H25315,""IDENTITAS UNIT!D9"")"),"#N/A")</f>
        <v>#N/A</v>
      </c>
      <c r="H25315" s="4" t="str">
        <v/>
      </c>
      <c r="I25315" s="4" t="str">
        <v/>
      </c>
    </row>
    <row r="25316" spans="5:9" ht="16.5" hidden="1">
      <c r="E25316" s="4" t="str">
        <v/>
      </c>
      <c r="F25316" s="102" t="str">
        <f ca="1">IFERROR(__xludf.DUMMYFUNCTION("IMPORTRANGE(H25316,""IDENTITAS UNIT!D9"")"),"#N/A")</f>
        <v>#N/A</v>
      </c>
      <c r="H25316" s="4" t="str">
        <v/>
      </c>
      <c r="I25316" s="4" t="str">
        <v/>
      </c>
    </row>
    <row r="25317" spans="5:9" ht="16.5" hidden="1">
      <c r="E25317" s="4" t="str">
        <v/>
      </c>
      <c r="F25317" s="102" t="str">
        <f ca="1">IFERROR(__xludf.DUMMYFUNCTION("IMPORTRANGE(H25317,""IDENTITAS UNIT!D9"")"),"#N/A")</f>
        <v>#N/A</v>
      </c>
      <c r="H25317" s="4" t="str">
        <v/>
      </c>
      <c r="I25317" s="4" t="str">
        <v/>
      </c>
    </row>
    <row r="25318" spans="5:9" ht="16.5" hidden="1">
      <c r="E25318" s="4" t="str">
        <v/>
      </c>
      <c r="F25318" s="102" t="str">
        <f ca="1">IFERROR(__xludf.DUMMYFUNCTION("IMPORTRANGE(H25318,""IDENTITAS UNIT!D9"")"),"#N/A")</f>
        <v>#N/A</v>
      </c>
      <c r="H25318" s="4" t="str">
        <v/>
      </c>
      <c r="I25318" s="4" t="str">
        <v/>
      </c>
    </row>
    <row r="25319" spans="5:9" ht="16.5" hidden="1">
      <c r="E25319" s="4" t="str">
        <v/>
      </c>
      <c r="F25319" s="102" t="str">
        <f ca="1">IFERROR(__xludf.DUMMYFUNCTION("IMPORTRANGE(H25319,""IDENTITAS UNIT!D9"")"),"#N/A")</f>
        <v>#N/A</v>
      </c>
      <c r="H25319" s="4" t="str">
        <v/>
      </c>
      <c r="I25319" s="4" t="str">
        <v/>
      </c>
    </row>
    <row r="25320" spans="5:9" ht="16.5" hidden="1">
      <c r="E25320" s="4" t="str">
        <v/>
      </c>
      <c r="F25320" s="102" t="str">
        <f ca="1">IFERROR(__xludf.DUMMYFUNCTION("IMPORTRANGE(H25320,""IDENTITAS UNIT!D9"")"),"#N/A")</f>
        <v>#N/A</v>
      </c>
      <c r="H25320" s="4" t="str">
        <v/>
      </c>
      <c r="I25320" s="4" t="str">
        <v/>
      </c>
    </row>
    <row r="25321" spans="5:9" ht="16.5" hidden="1">
      <c r="E25321" s="4" t="str">
        <v/>
      </c>
      <c r="F25321" s="102" t="str">
        <f ca="1">IFERROR(__xludf.DUMMYFUNCTION("IMPORTRANGE(H25321,""IDENTITAS UNIT!D9"")"),"#N/A")</f>
        <v>#N/A</v>
      </c>
      <c r="H25321" s="4" t="str">
        <v/>
      </c>
      <c r="I25321" s="4" t="str">
        <v/>
      </c>
    </row>
    <row r="25322" spans="5:9" ht="16.5" hidden="1">
      <c r="E25322" s="4" t="str">
        <v/>
      </c>
      <c r="F25322" s="102" t="str">
        <f ca="1">IFERROR(__xludf.DUMMYFUNCTION("IMPORTRANGE(H25322,""IDENTITAS UNIT!D9"")"),"#N/A")</f>
        <v>#N/A</v>
      </c>
      <c r="H25322" s="4" t="str">
        <v/>
      </c>
      <c r="I25322" s="4" t="str">
        <v/>
      </c>
    </row>
    <row r="25323" spans="5:9" ht="16.5" hidden="1">
      <c r="E25323" s="4" t="str">
        <v/>
      </c>
      <c r="F25323" s="102" t="str">
        <f ca="1">IFERROR(__xludf.DUMMYFUNCTION("IMPORTRANGE(H25323,""IDENTITAS UNIT!D9"")"),"#N/A")</f>
        <v>#N/A</v>
      </c>
      <c r="H25323" s="4" t="str">
        <v/>
      </c>
      <c r="I25323" s="4" t="str">
        <v/>
      </c>
    </row>
    <row r="25324" spans="5:9" ht="16.5" hidden="1">
      <c r="E25324" s="4" t="str">
        <v/>
      </c>
      <c r="F25324" s="102" t="str">
        <f ca="1">IFERROR(__xludf.DUMMYFUNCTION("IMPORTRANGE(H25324,""IDENTITAS UNIT!D9"")"),"#N/A")</f>
        <v>#N/A</v>
      </c>
      <c r="H25324" s="4" t="str">
        <v/>
      </c>
      <c r="I25324" s="4" t="str">
        <v/>
      </c>
    </row>
    <row r="25325" spans="5:9" ht="16.5" hidden="1">
      <c r="E25325" s="4" t="str">
        <v/>
      </c>
      <c r="F25325" s="102" t="str">
        <f ca="1">IFERROR(__xludf.DUMMYFUNCTION("IMPORTRANGE(H25325,""IDENTITAS UNIT!D9"")"),"#N/A")</f>
        <v>#N/A</v>
      </c>
      <c r="H25325" s="4" t="str">
        <v/>
      </c>
      <c r="I25325" s="4" t="str">
        <v/>
      </c>
    </row>
    <row r="25326" spans="5:9" ht="16.5" hidden="1">
      <c r="E25326" s="4" t="str">
        <v/>
      </c>
      <c r="F25326" s="102" t="str">
        <f ca="1">IFERROR(__xludf.DUMMYFUNCTION("IMPORTRANGE(H25326,""IDENTITAS UNIT!D9"")"),"#N/A")</f>
        <v>#N/A</v>
      </c>
      <c r="H25326" s="4" t="str">
        <v/>
      </c>
      <c r="I25326" s="4" t="str">
        <v/>
      </c>
    </row>
    <row r="25327" spans="5:9" ht="16.5" hidden="1">
      <c r="E25327" s="4" t="str">
        <v/>
      </c>
      <c r="F25327" s="102" t="str">
        <f ca="1">IFERROR(__xludf.DUMMYFUNCTION("IMPORTRANGE(H25327,""IDENTITAS UNIT!D9"")"),"#N/A")</f>
        <v>#N/A</v>
      </c>
      <c r="H25327" s="4" t="str">
        <v/>
      </c>
      <c r="I25327" s="4" t="str">
        <v/>
      </c>
    </row>
    <row r="25328" spans="5:9" ht="16.5" hidden="1">
      <c r="E25328" s="4" t="str">
        <v/>
      </c>
      <c r="F25328" s="102" t="str">
        <f ca="1">IFERROR(__xludf.DUMMYFUNCTION("IMPORTRANGE(H25328,""IDENTITAS UNIT!D9"")"),"#N/A")</f>
        <v>#N/A</v>
      </c>
      <c r="H25328" s="4" t="str">
        <v/>
      </c>
      <c r="I25328" s="4" t="str">
        <v/>
      </c>
    </row>
    <row r="25329" spans="5:9" ht="16.5" hidden="1">
      <c r="E25329" s="4" t="str">
        <v/>
      </c>
      <c r="F25329" s="102" t="str">
        <f ca="1">IFERROR(__xludf.DUMMYFUNCTION("IMPORTRANGE(H25329,""IDENTITAS UNIT!D9"")"),"#N/A")</f>
        <v>#N/A</v>
      </c>
      <c r="H25329" s="4" t="str">
        <v/>
      </c>
      <c r="I25329" s="4" t="str">
        <v/>
      </c>
    </row>
    <row r="25330" spans="5:9" ht="16.5" hidden="1">
      <c r="E25330" s="4" t="str">
        <v/>
      </c>
      <c r="F25330" s="102" t="str">
        <f ca="1">IFERROR(__xludf.DUMMYFUNCTION("IMPORTRANGE(H25330,""IDENTITAS UNIT!D9"")"),"#N/A")</f>
        <v>#N/A</v>
      </c>
      <c r="H25330" s="4" t="str">
        <v/>
      </c>
      <c r="I25330" s="4" t="str">
        <v/>
      </c>
    </row>
    <row r="25331" spans="5:9" ht="16.5" hidden="1">
      <c r="E25331" s="4" t="str">
        <v/>
      </c>
      <c r="F25331" s="102" t="str">
        <f ca="1">IFERROR(__xludf.DUMMYFUNCTION("IMPORTRANGE(H25331,""IDENTITAS UNIT!D9"")"),"#N/A")</f>
        <v>#N/A</v>
      </c>
      <c r="H25331" s="4" t="str">
        <v/>
      </c>
      <c r="I25331" s="4" t="str">
        <v/>
      </c>
    </row>
    <row r="25332" spans="5:9" ht="16.5" hidden="1">
      <c r="E25332" s="4" t="str">
        <v/>
      </c>
      <c r="F25332" s="102" t="str">
        <f ca="1">IFERROR(__xludf.DUMMYFUNCTION("IMPORTRANGE(H25332,""IDENTITAS UNIT!D9"")"),"#N/A")</f>
        <v>#N/A</v>
      </c>
      <c r="H25332" s="4" t="str">
        <v/>
      </c>
      <c r="I25332" s="4" t="str">
        <v/>
      </c>
    </row>
    <row r="25333" spans="5:9" ht="16.5" hidden="1">
      <c r="E25333" s="4" t="str">
        <v/>
      </c>
      <c r="F25333" s="102" t="str">
        <f ca="1">IFERROR(__xludf.DUMMYFUNCTION("IMPORTRANGE(H25333,""IDENTITAS UNIT!D9"")"),"#N/A")</f>
        <v>#N/A</v>
      </c>
      <c r="H25333" s="4" t="str">
        <v/>
      </c>
      <c r="I25333" s="4" t="str">
        <v/>
      </c>
    </row>
    <row r="25334" spans="5:9" ht="16.5" hidden="1">
      <c r="E25334" s="4" t="str">
        <v/>
      </c>
      <c r="F25334" s="102" t="str">
        <f ca="1">IFERROR(__xludf.DUMMYFUNCTION("IMPORTRANGE(H25334,""IDENTITAS UNIT!D9"")"),"#N/A")</f>
        <v>#N/A</v>
      </c>
      <c r="H25334" s="4" t="str">
        <v/>
      </c>
      <c r="I25334" s="4" t="str">
        <v/>
      </c>
    </row>
    <row r="25335" spans="5:9" ht="16.5" hidden="1">
      <c r="E25335" s="4" t="str">
        <v/>
      </c>
      <c r="F25335" s="102" t="str">
        <f ca="1">IFERROR(__xludf.DUMMYFUNCTION("IMPORTRANGE(H25335,""IDENTITAS UNIT!D9"")"),"#N/A")</f>
        <v>#N/A</v>
      </c>
      <c r="H25335" s="4" t="str">
        <v/>
      </c>
      <c r="I25335" s="4" t="str">
        <v/>
      </c>
    </row>
    <row r="25336" spans="5:9" ht="16.5" hidden="1">
      <c r="E25336" s="4" t="str">
        <v/>
      </c>
      <c r="F25336" s="102" t="str">
        <f ca="1">IFERROR(__xludf.DUMMYFUNCTION("IMPORTRANGE(H25336,""IDENTITAS UNIT!D9"")"),"#N/A")</f>
        <v>#N/A</v>
      </c>
      <c r="H25336" s="4" t="str">
        <v/>
      </c>
      <c r="I25336" s="4" t="str">
        <v/>
      </c>
    </row>
    <row r="25337" spans="5:9" ht="16.5" hidden="1">
      <c r="E25337" s="4" t="str">
        <v/>
      </c>
      <c r="F25337" s="102" t="str">
        <f ca="1">IFERROR(__xludf.DUMMYFUNCTION("IMPORTRANGE(H25337,""IDENTITAS UNIT!D9"")"),"#N/A")</f>
        <v>#N/A</v>
      </c>
      <c r="H25337" s="4" t="str">
        <v/>
      </c>
      <c r="I25337" s="4" t="str">
        <v/>
      </c>
    </row>
    <row r="25338" spans="5:9" ht="16.5" hidden="1">
      <c r="E25338" s="4" t="str">
        <v/>
      </c>
      <c r="F25338" s="102" t="str">
        <f ca="1">IFERROR(__xludf.DUMMYFUNCTION("IMPORTRANGE(H25338,""IDENTITAS UNIT!D9"")"),"#N/A")</f>
        <v>#N/A</v>
      </c>
      <c r="H25338" s="4" t="str">
        <v/>
      </c>
      <c r="I25338" s="4" t="str">
        <v/>
      </c>
    </row>
    <row r="25339" spans="5:9" ht="16.5" hidden="1">
      <c r="E25339" s="4" t="str">
        <v/>
      </c>
      <c r="F25339" s="102" t="str">
        <f ca="1">IFERROR(__xludf.DUMMYFUNCTION("IMPORTRANGE(H25339,""IDENTITAS UNIT!D9"")"),"#N/A")</f>
        <v>#N/A</v>
      </c>
      <c r="H25339" s="4" t="str">
        <v/>
      </c>
      <c r="I25339" s="4" t="str">
        <v/>
      </c>
    </row>
    <row r="25340" spans="5:9" ht="16.5" hidden="1">
      <c r="E25340" s="4" t="str">
        <v/>
      </c>
      <c r="F25340" s="102" t="str">
        <f ca="1">IFERROR(__xludf.DUMMYFUNCTION("IMPORTRANGE(H25340,""IDENTITAS UNIT!D9"")"),"#N/A")</f>
        <v>#N/A</v>
      </c>
      <c r="H25340" s="4" t="str">
        <v/>
      </c>
      <c r="I25340" s="4" t="str">
        <v/>
      </c>
    </row>
    <row r="25341" spans="5:9" ht="16.5" hidden="1">
      <c r="E25341" s="4" t="str">
        <v/>
      </c>
      <c r="F25341" s="102" t="str">
        <f ca="1">IFERROR(__xludf.DUMMYFUNCTION("IMPORTRANGE(H25341,""IDENTITAS UNIT!D9"")"),"#N/A")</f>
        <v>#N/A</v>
      </c>
      <c r="H25341" s="4" t="str">
        <v/>
      </c>
      <c r="I25341" s="4" t="str">
        <v/>
      </c>
    </row>
    <row r="25342" spans="5:9" ht="16.5" hidden="1">
      <c r="E25342" s="4" t="str">
        <v/>
      </c>
      <c r="F25342" s="102" t="str">
        <f ca="1">IFERROR(__xludf.DUMMYFUNCTION("IMPORTRANGE(H25342,""IDENTITAS UNIT!D9"")"),"#N/A")</f>
        <v>#N/A</v>
      </c>
      <c r="H25342" s="4" t="str">
        <v/>
      </c>
      <c r="I25342" s="4" t="str">
        <v/>
      </c>
    </row>
    <row r="25343" spans="5:9" ht="16.5" hidden="1">
      <c r="E25343" s="4" t="str">
        <v/>
      </c>
      <c r="F25343" s="102" t="str">
        <f ca="1">IFERROR(__xludf.DUMMYFUNCTION("IMPORTRANGE(H25343,""IDENTITAS UNIT!D9"")"),"#N/A")</f>
        <v>#N/A</v>
      </c>
      <c r="H25343" s="4" t="str">
        <v/>
      </c>
      <c r="I25343" s="4" t="str">
        <v/>
      </c>
    </row>
    <row r="25344" spans="5:9" ht="16.5" hidden="1">
      <c r="E25344" s="4" t="str">
        <v/>
      </c>
      <c r="F25344" s="102" t="str">
        <f ca="1">IFERROR(__xludf.DUMMYFUNCTION("IMPORTRANGE(H25344,""IDENTITAS UNIT!D9"")"),"#N/A")</f>
        <v>#N/A</v>
      </c>
      <c r="H25344" s="4" t="str">
        <v/>
      </c>
      <c r="I25344" s="4" t="str">
        <v/>
      </c>
    </row>
    <row r="25345" spans="5:9" ht="16.5" hidden="1">
      <c r="E25345" s="4" t="str">
        <v/>
      </c>
      <c r="F25345" s="102" t="str">
        <f ca="1">IFERROR(__xludf.DUMMYFUNCTION("IMPORTRANGE(H25345,""IDENTITAS UNIT!D9"")"),"#N/A")</f>
        <v>#N/A</v>
      </c>
      <c r="H25345" s="4" t="str">
        <v/>
      </c>
      <c r="I25345" s="4" t="str">
        <v/>
      </c>
    </row>
    <row r="25346" spans="5:9" ht="16.5" hidden="1">
      <c r="E25346" s="4" t="str">
        <v/>
      </c>
      <c r="F25346" s="102" t="str">
        <f ca="1">IFERROR(__xludf.DUMMYFUNCTION("IMPORTRANGE(H25346,""IDENTITAS UNIT!D9"")"),"#N/A")</f>
        <v>#N/A</v>
      </c>
      <c r="H25346" s="4" t="str">
        <v/>
      </c>
      <c r="I25346" s="4" t="str">
        <v/>
      </c>
    </row>
    <row r="25347" spans="5:9" ht="16.5" hidden="1">
      <c r="E25347" s="4" t="str">
        <v/>
      </c>
      <c r="F25347" s="102" t="str">
        <f ca="1">IFERROR(__xludf.DUMMYFUNCTION("IMPORTRANGE(H25347,""IDENTITAS UNIT!D9"")"),"#N/A")</f>
        <v>#N/A</v>
      </c>
      <c r="H25347" s="4" t="str">
        <v/>
      </c>
      <c r="I25347" s="4" t="str">
        <v/>
      </c>
    </row>
    <row r="25348" spans="5:9" ht="16.5" hidden="1">
      <c r="E25348" s="4" t="str">
        <v/>
      </c>
      <c r="F25348" s="102" t="str">
        <f ca="1">IFERROR(__xludf.DUMMYFUNCTION("IMPORTRANGE(H25348,""IDENTITAS UNIT!D9"")"),"#N/A")</f>
        <v>#N/A</v>
      </c>
      <c r="H25348" s="4" t="str">
        <v/>
      </c>
      <c r="I25348" s="4" t="str">
        <v/>
      </c>
    </row>
    <row r="25349" spans="5:9" ht="16.5" hidden="1">
      <c r="E25349" s="4" t="str">
        <v/>
      </c>
      <c r="F25349" s="102" t="str">
        <f ca="1">IFERROR(__xludf.DUMMYFUNCTION("IMPORTRANGE(H25349,""IDENTITAS UNIT!D9"")"),"#N/A")</f>
        <v>#N/A</v>
      </c>
      <c r="H25349" s="4" t="str">
        <v/>
      </c>
      <c r="I25349" s="4" t="str">
        <v/>
      </c>
    </row>
    <row r="25350" spans="5:9" ht="16.5" hidden="1">
      <c r="E25350" s="4" t="str">
        <v/>
      </c>
      <c r="F25350" s="102" t="str">
        <f ca="1">IFERROR(__xludf.DUMMYFUNCTION("IMPORTRANGE(H25350,""IDENTITAS UNIT!D9"")"),"#N/A")</f>
        <v>#N/A</v>
      </c>
      <c r="H25350" s="4" t="str">
        <v/>
      </c>
      <c r="I25350" s="4" t="str">
        <v/>
      </c>
    </row>
    <row r="25351" spans="5:9" ht="16.5" hidden="1">
      <c r="E25351" s="4" t="str">
        <v/>
      </c>
      <c r="F25351" s="102" t="str">
        <f ca="1">IFERROR(__xludf.DUMMYFUNCTION("IMPORTRANGE(H25351,""IDENTITAS UNIT!D9"")"),"#N/A")</f>
        <v>#N/A</v>
      </c>
      <c r="H25351" s="4" t="str">
        <v/>
      </c>
      <c r="I25351" s="4" t="str">
        <v/>
      </c>
    </row>
    <row r="25352" spans="5:9" ht="16.5" hidden="1">
      <c r="E25352" s="4" t="str">
        <v/>
      </c>
      <c r="F25352" s="102" t="str">
        <f ca="1">IFERROR(__xludf.DUMMYFUNCTION("IMPORTRANGE(H25352,""IDENTITAS UNIT!D9"")"),"#N/A")</f>
        <v>#N/A</v>
      </c>
      <c r="H25352" s="4" t="str">
        <v/>
      </c>
      <c r="I25352" s="4" t="str">
        <v/>
      </c>
    </row>
    <row r="25353" spans="5:9" ht="16.5" hidden="1">
      <c r="E25353" s="4" t="str">
        <v/>
      </c>
      <c r="F25353" s="102" t="str">
        <f ca="1">IFERROR(__xludf.DUMMYFUNCTION("IMPORTRANGE(H25353,""IDENTITAS UNIT!D9"")"),"#N/A")</f>
        <v>#N/A</v>
      </c>
      <c r="H25353" s="4" t="str">
        <v/>
      </c>
      <c r="I25353" s="4" t="str">
        <v/>
      </c>
    </row>
    <row r="25354" spans="5:9" ht="16.5" hidden="1">
      <c r="E25354" s="4" t="str">
        <v/>
      </c>
      <c r="F25354" s="102" t="str">
        <f ca="1">IFERROR(__xludf.DUMMYFUNCTION("IMPORTRANGE(H25354,""IDENTITAS UNIT!D9"")"),"#N/A")</f>
        <v>#N/A</v>
      </c>
      <c r="H25354" s="4" t="str">
        <v/>
      </c>
      <c r="I25354" s="4" t="str">
        <v/>
      </c>
    </row>
    <row r="25355" spans="5:9" ht="16.5" hidden="1">
      <c r="E25355" s="4" t="str">
        <v/>
      </c>
      <c r="F25355" s="102" t="str">
        <f ca="1">IFERROR(__xludf.DUMMYFUNCTION("IMPORTRANGE(H25355,""IDENTITAS UNIT!D9"")"),"#N/A")</f>
        <v>#N/A</v>
      </c>
      <c r="H25355" s="4" t="str">
        <v/>
      </c>
      <c r="I25355" s="4" t="str">
        <v/>
      </c>
    </row>
    <row r="25356" spans="5:9" ht="16.5" hidden="1">
      <c r="E25356" s="4" t="str">
        <v/>
      </c>
      <c r="F25356" s="102" t="str">
        <f ca="1">IFERROR(__xludf.DUMMYFUNCTION("IMPORTRANGE(H25356,""IDENTITAS UNIT!D9"")"),"#N/A")</f>
        <v>#N/A</v>
      </c>
      <c r="H25356" s="4" t="str">
        <v/>
      </c>
      <c r="I25356" s="4" t="str">
        <v/>
      </c>
    </row>
    <row r="25357" spans="5:9" ht="16.5" hidden="1">
      <c r="E25357" s="4" t="str">
        <v/>
      </c>
      <c r="F25357" s="102" t="str">
        <f ca="1">IFERROR(__xludf.DUMMYFUNCTION("IMPORTRANGE(H25357,""IDENTITAS UNIT!D9"")"),"#N/A")</f>
        <v>#N/A</v>
      </c>
      <c r="H25357" s="4" t="str">
        <v/>
      </c>
      <c r="I25357" s="4" t="str">
        <v/>
      </c>
    </row>
    <row r="25358" spans="5:9" ht="16.5" hidden="1">
      <c r="E25358" s="4" t="str">
        <v/>
      </c>
      <c r="F25358" s="102" t="str">
        <f ca="1">IFERROR(__xludf.DUMMYFUNCTION("IMPORTRANGE(H25358,""IDENTITAS UNIT!D9"")"),"#N/A")</f>
        <v>#N/A</v>
      </c>
      <c r="H25358" s="4" t="str">
        <v/>
      </c>
      <c r="I25358" s="4" t="str">
        <v/>
      </c>
    </row>
    <row r="25359" spans="5:9" ht="16.5" hidden="1">
      <c r="E25359" s="4" t="str">
        <v/>
      </c>
      <c r="F25359" s="102" t="str">
        <f ca="1">IFERROR(__xludf.DUMMYFUNCTION("IMPORTRANGE(H25359,""IDENTITAS UNIT!D9"")"),"#N/A")</f>
        <v>#N/A</v>
      </c>
      <c r="H25359" s="4" t="str">
        <v/>
      </c>
      <c r="I25359" s="4" t="str">
        <v/>
      </c>
    </row>
    <row r="25360" spans="5:9" ht="16.5" hidden="1">
      <c r="E25360" s="4" t="str">
        <v/>
      </c>
      <c r="F25360" s="102" t="str">
        <f ca="1">IFERROR(__xludf.DUMMYFUNCTION("IMPORTRANGE(H25360,""IDENTITAS UNIT!D9"")"),"#N/A")</f>
        <v>#N/A</v>
      </c>
      <c r="H25360" s="4" t="str">
        <v/>
      </c>
      <c r="I25360" s="4" t="str">
        <v/>
      </c>
    </row>
    <row r="25361" spans="5:9" ht="16.5" hidden="1">
      <c r="E25361" s="4" t="str">
        <v/>
      </c>
      <c r="F25361" s="102" t="str">
        <f ca="1">IFERROR(__xludf.DUMMYFUNCTION("IMPORTRANGE(H25361,""IDENTITAS UNIT!D9"")"),"#N/A")</f>
        <v>#N/A</v>
      </c>
      <c r="H25361" s="4" t="str">
        <v/>
      </c>
      <c r="I25361" s="4" t="str">
        <v/>
      </c>
    </row>
    <row r="25362" spans="5:9" ht="16.5" hidden="1">
      <c r="E25362" s="4" t="str">
        <v/>
      </c>
      <c r="F25362" s="102" t="str">
        <f ca="1">IFERROR(__xludf.DUMMYFUNCTION("IMPORTRANGE(H25362,""IDENTITAS UNIT!D9"")"),"#N/A")</f>
        <v>#N/A</v>
      </c>
      <c r="H25362" s="4" t="str">
        <v/>
      </c>
      <c r="I25362" s="4" t="str">
        <v/>
      </c>
    </row>
    <row r="25363" spans="5:9" ht="16.5" hidden="1">
      <c r="E25363" s="4" t="str">
        <v/>
      </c>
      <c r="F25363" s="102" t="str">
        <f ca="1">IFERROR(__xludf.DUMMYFUNCTION("IMPORTRANGE(H25363,""IDENTITAS UNIT!D9"")"),"#N/A")</f>
        <v>#N/A</v>
      </c>
      <c r="H25363" s="4" t="str">
        <v/>
      </c>
      <c r="I25363" s="4" t="str">
        <v/>
      </c>
    </row>
    <row r="25364" spans="5:9" ht="16.5" hidden="1">
      <c r="E25364" s="4" t="str">
        <v/>
      </c>
      <c r="F25364" s="102" t="str">
        <f ca="1">IFERROR(__xludf.DUMMYFUNCTION("IMPORTRANGE(H25364,""IDENTITAS UNIT!D9"")"),"#N/A")</f>
        <v>#N/A</v>
      </c>
      <c r="H25364" s="4" t="str">
        <v/>
      </c>
      <c r="I25364" s="4" t="str">
        <v/>
      </c>
    </row>
    <row r="25365" spans="5:9" ht="16.5" hidden="1">
      <c r="E25365" s="4" t="str">
        <v/>
      </c>
      <c r="F25365" s="102" t="str">
        <f ca="1">IFERROR(__xludf.DUMMYFUNCTION("IMPORTRANGE(H25365,""IDENTITAS UNIT!D9"")"),"#N/A")</f>
        <v>#N/A</v>
      </c>
      <c r="H25365" s="4" t="str">
        <v/>
      </c>
      <c r="I25365" s="4" t="str">
        <v/>
      </c>
    </row>
    <row r="25366" spans="5:9" ht="16.5" hidden="1">
      <c r="E25366" s="4" t="str">
        <v/>
      </c>
      <c r="F25366" s="102" t="str">
        <f ca="1">IFERROR(__xludf.DUMMYFUNCTION("IMPORTRANGE(H25366,""IDENTITAS UNIT!D9"")"),"#N/A")</f>
        <v>#N/A</v>
      </c>
      <c r="H25366" s="4" t="str">
        <v/>
      </c>
      <c r="I25366" s="4" t="str">
        <v/>
      </c>
    </row>
    <row r="25367" spans="5:9" ht="16.5" hidden="1">
      <c r="E25367" s="4" t="str">
        <v/>
      </c>
      <c r="F25367" s="102" t="str">
        <f ca="1">IFERROR(__xludf.DUMMYFUNCTION("IMPORTRANGE(H25367,""IDENTITAS UNIT!D9"")"),"#N/A")</f>
        <v>#N/A</v>
      </c>
      <c r="H25367" s="4" t="str">
        <v/>
      </c>
      <c r="I25367" s="4" t="str">
        <v/>
      </c>
    </row>
    <row r="25368" spans="5:9" ht="16.5" hidden="1">
      <c r="E25368" s="4" t="str">
        <v/>
      </c>
      <c r="F25368" s="102" t="str">
        <f ca="1">IFERROR(__xludf.DUMMYFUNCTION("IMPORTRANGE(H25368,""IDENTITAS UNIT!D9"")"),"#N/A")</f>
        <v>#N/A</v>
      </c>
      <c r="H25368" s="4" t="str">
        <v/>
      </c>
      <c r="I25368" s="4" t="str">
        <v/>
      </c>
    </row>
    <row r="25369" spans="5:9" ht="16.5" hidden="1">
      <c r="E25369" s="4" t="str">
        <v/>
      </c>
      <c r="F25369" s="102" t="str">
        <f ca="1">IFERROR(__xludf.DUMMYFUNCTION("IMPORTRANGE(H25369,""IDENTITAS UNIT!D9"")"),"#N/A")</f>
        <v>#N/A</v>
      </c>
      <c r="H25369" s="4" t="str">
        <v/>
      </c>
      <c r="I25369" s="4" t="str">
        <v/>
      </c>
    </row>
    <row r="25370" spans="5:9" ht="16.5" hidden="1">
      <c r="E25370" s="4" t="str">
        <v/>
      </c>
      <c r="F25370" s="102" t="str">
        <f ca="1">IFERROR(__xludf.DUMMYFUNCTION("IMPORTRANGE(H25370,""IDENTITAS UNIT!D9"")"),"#N/A")</f>
        <v>#N/A</v>
      </c>
      <c r="H25370" s="4" t="str">
        <v/>
      </c>
      <c r="I25370" s="4" t="str">
        <v/>
      </c>
    </row>
    <row r="25371" spans="5:9" ht="16.5" hidden="1">
      <c r="E25371" s="4" t="str">
        <v/>
      </c>
      <c r="F25371" s="102" t="str">
        <f ca="1">IFERROR(__xludf.DUMMYFUNCTION("IMPORTRANGE(H25371,""IDENTITAS UNIT!D9"")"),"#N/A")</f>
        <v>#N/A</v>
      </c>
      <c r="H25371" s="4" t="str">
        <v/>
      </c>
      <c r="I25371" s="4" t="str">
        <v/>
      </c>
    </row>
    <row r="25372" spans="5:9" ht="16.5" hidden="1">
      <c r="E25372" s="4" t="str">
        <v/>
      </c>
      <c r="F25372" s="102" t="str">
        <f ca="1">IFERROR(__xludf.DUMMYFUNCTION("IMPORTRANGE(H25372,""IDENTITAS UNIT!D9"")"),"#N/A")</f>
        <v>#N/A</v>
      </c>
      <c r="H25372" s="4" t="str">
        <v/>
      </c>
      <c r="I25372" s="4" t="str">
        <v/>
      </c>
    </row>
    <row r="25373" spans="5:9" ht="16.5" hidden="1">
      <c r="E25373" s="4" t="str">
        <v/>
      </c>
      <c r="F25373" s="102" t="str">
        <f ca="1">IFERROR(__xludf.DUMMYFUNCTION("IMPORTRANGE(H25373,""IDENTITAS UNIT!D9"")"),"#N/A")</f>
        <v>#N/A</v>
      </c>
      <c r="H25373" s="4" t="str">
        <v/>
      </c>
      <c r="I25373" s="4" t="str">
        <v/>
      </c>
    </row>
    <row r="25374" spans="5:9" ht="16.5" hidden="1">
      <c r="E25374" s="4" t="str">
        <v/>
      </c>
      <c r="F25374" s="102" t="str">
        <f ca="1">IFERROR(__xludf.DUMMYFUNCTION("IMPORTRANGE(H25374,""IDENTITAS UNIT!D9"")"),"#N/A")</f>
        <v>#N/A</v>
      </c>
      <c r="H25374" s="4" t="str">
        <v/>
      </c>
      <c r="I25374" s="4" t="str">
        <v/>
      </c>
    </row>
    <row r="25375" spans="5:9" ht="16.5" hidden="1">
      <c r="E25375" s="4" t="str">
        <v/>
      </c>
      <c r="F25375" s="102" t="str">
        <f ca="1">IFERROR(__xludf.DUMMYFUNCTION("IMPORTRANGE(H25375,""IDENTITAS UNIT!D9"")"),"#N/A")</f>
        <v>#N/A</v>
      </c>
      <c r="H25375" s="4" t="str">
        <v/>
      </c>
      <c r="I25375" s="4" t="str">
        <v/>
      </c>
    </row>
    <row r="25376" spans="5:9" ht="16.5" hidden="1">
      <c r="E25376" s="4" t="str">
        <v/>
      </c>
      <c r="F25376" s="102" t="str">
        <f ca="1">IFERROR(__xludf.DUMMYFUNCTION("IMPORTRANGE(H25376,""IDENTITAS UNIT!D9"")"),"#N/A")</f>
        <v>#N/A</v>
      </c>
      <c r="H25376" s="4" t="str">
        <v/>
      </c>
      <c r="I25376" s="4" t="str">
        <v/>
      </c>
    </row>
    <row r="25377" spans="5:9" ht="16.5" hidden="1">
      <c r="E25377" s="4" t="str">
        <v/>
      </c>
      <c r="F25377" s="102" t="str">
        <f ca="1">IFERROR(__xludf.DUMMYFUNCTION("IMPORTRANGE(H25377,""IDENTITAS UNIT!D9"")"),"#N/A")</f>
        <v>#N/A</v>
      </c>
      <c r="H25377" s="4" t="str">
        <v/>
      </c>
      <c r="I25377" s="4" t="str">
        <v/>
      </c>
    </row>
    <row r="25378" spans="5:9" ht="16.5" hidden="1">
      <c r="E25378" s="4" t="str">
        <v/>
      </c>
      <c r="F25378" s="102" t="str">
        <f ca="1">IFERROR(__xludf.DUMMYFUNCTION("IMPORTRANGE(H25378,""IDENTITAS UNIT!D9"")"),"#N/A")</f>
        <v>#N/A</v>
      </c>
      <c r="H25378" s="4" t="str">
        <v/>
      </c>
      <c r="I25378" s="4" t="str">
        <v/>
      </c>
    </row>
    <row r="25379" spans="5:9" ht="16.5" hidden="1">
      <c r="E25379" s="4" t="str">
        <v/>
      </c>
      <c r="F25379" s="102" t="str">
        <f ca="1">IFERROR(__xludf.DUMMYFUNCTION("IMPORTRANGE(H25379,""IDENTITAS UNIT!D9"")"),"#N/A")</f>
        <v>#N/A</v>
      </c>
      <c r="H25379" s="4" t="str">
        <v/>
      </c>
      <c r="I25379" s="4" t="str">
        <v/>
      </c>
    </row>
    <row r="25380" spans="5:9" ht="16.5" hidden="1">
      <c r="E25380" s="4" t="str">
        <v/>
      </c>
      <c r="F25380" s="102" t="str">
        <f ca="1">IFERROR(__xludf.DUMMYFUNCTION("IMPORTRANGE(H25380,""IDENTITAS UNIT!D9"")"),"#N/A")</f>
        <v>#N/A</v>
      </c>
      <c r="H25380" s="4" t="str">
        <v/>
      </c>
      <c r="I25380" s="4" t="str">
        <v/>
      </c>
    </row>
    <row r="25381" spans="5:9" ht="16.5" hidden="1">
      <c r="E25381" s="4" t="str">
        <v/>
      </c>
      <c r="F25381" s="102" t="str">
        <f ca="1">IFERROR(__xludf.DUMMYFUNCTION("IMPORTRANGE(H25381,""IDENTITAS UNIT!D9"")"),"#N/A")</f>
        <v>#N/A</v>
      </c>
      <c r="H25381" s="4" t="str">
        <v/>
      </c>
      <c r="I25381" s="4" t="str">
        <v/>
      </c>
    </row>
    <row r="25382" spans="5:9" ht="16.5" hidden="1">
      <c r="E25382" s="4" t="str">
        <v/>
      </c>
      <c r="F25382" s="102" t="str">
        <f ca="1">IFERROR(__xludf.DUMMYFUNCTION("IMPORTRANGE(H25382,""IDENTITAS UNIT!D9"")"),"#N/A")</f>
        <v>#N/A</v>
      </c>
      <c r="H25382" s="4" t="str">
        <v/>
      </c>
      <c r="I25382" s="4" t="str">
        <v/>
      </c>
    </row>
    <row r="25383" spans="5:9" ht="16.5" hidden="1">
      <c r="E25383" s="4" t="str">
        <v/>
      </c>
      <c r="F25383" s="102" t="str">
        <f ca="1">IFERROR(__xludf.DUMMYFUNCTION("IMPORTRANGE(H25383,""IDENTITAS UNIT!D9"")"),"#N/A")</f>
        <v>#N/A</v>
      </c>
      <c r="H25383" s="4" t="str">
        <v/>
      </c>
      <c r="I25383" s="4" t="str">
        <v/>
      </c>
    </row>
    <row r="25384" spans="5:9" ht="16.5" hidden="1">
      <c r="E25384" s="4" t="str">
        <v/>
      </c>
      <c r="F25384" s="102" t="str">
        <f ca="1">IFERROR(__xludf.DUMMYFUNCTION("IMPORTRANGE(H25384,""IDENTITAS UNIT!D9"")"),"#N/A")</f>
        <v>#N/A</v>
      </c>
      <c r="H25384" s="4" t="str">
        <v/>
      </c>
      <c r="I25384" s="4" t="str">
        <v/>
      </c>
    </row>
    <row r="25385" spans="5:9" ht="16.5" hidden="1">
      <c r="E25385" s="4" t="str">
        <v/>
      </c>
      <c r="F25385" s="102" t="str">
        <f ca="1">IFERROR(__xludf.DUMMYFUNCTION("IMPORTRANGE(H25385,""IDENTITAS UNIT!D9"")"),"#N/A")</f>
        <v>#N/A</v>
      </c>
      <c r="H25385" s="4" t="str">
        <v/>
      </c>
      <c r="I25385" s="4" t="str">
        <v/>
      </c>
    </row>
    <row r="25386" spans="5:9" ht="16.5" hidden="1">
      <c r="E25386" s="4" t="str">
        <v/>
      </c>
      <c r="F25386" s="102" t="str">
        <f ca="1">IFERROR(__xludf.DUMMYFUNCTION("IMPORTRANGE(H25386,""IDENTITAS UNIT!D9"")"),"#N/A")</f>
        <v>#N/A</v>
      </c>
      <c r="H25386" s="4" t="str">
        <v/>
      </c>
      <c r="I25386" s="4" t="str">
        <v/>
      </c>
    </row>
    <row r="25387" spans="5:9" ht="16.5" hidden="1">
      <c r="E25387" s="4" t="str">
        <v/>
      </c>
      <c r="F25387" s="102" t="str">
        <f ca="1">IFERROR(__xludf.DUMMYFUNCTION("IMPORTRANGE(H25387,""IDENTITAS UNIT!D9"")"),"#N/A")</f>
        <v>#N/A</v>
      </c>
      <c r="H25387" s="4" t="str">
        <v/>
      </c>
      <c r="I25387" s="4" t="str">
        <v/>
      </c>
    </row>
    <row r="25388" spans="5:9" ht="16.5" hidden="1">
      <c r="E25388" s="4" t="str">
        <v/>
      </c>
      <c r="F25388" s="102" t="str">
        <f ca="1">IFERROR(__xludf.DUMMYFUNCTION("IMPORTRANGE(H25388,""IDENTITAS UNIT!D9"")"),"#N/A")</f>
        <v>#N/A</v>
      </c>
      <c r="H25388" s="4" t="str">
        <v/>
      </c>
      <c r="I25388" s="4" t="str">
        <v/>
      </c>
    </row>
    <row r="25389" spans="5:9" ht="16.5" hidden="1">
      <c r="E25389" s="4" t="str">
        <v/>
      </c>
      <c r="F25389" s="102" t="str">
        <f ca="1">IFERROR(__xludf.DUMMYFUNCTION("IMPORTRANGE(H25389,""IDENTITAS UNIT!D9"")"),"#N/A")</f>
        <v>#N/A</v>
      </c>
      <c r="H25389" s="4" t="str">
        <v/>
      </c>
      <c r="I25389" s="4" t="str">
        <v/>
      </c>
    </row>
    <row r="25390" spans="5:9" ht="16.5" hidden="1">
      <c r="E25390" s="4" t="str">
        <v/>
      </c>
      <c r="F25390" s="102" t="str">
        <f ca="1">IFERROR(__xludf.DUMMYFUNCTION("IMPORTRANGE(H25390,""IDENTITAS UNIT!D9"")"),"#N/A")</f>
        <v>#N/A</v>
      </c>
      <c r="H25390" s="4" t="str">
        <v/>
      </c>
      <c r="I25390" s="4" t="str">
        <v/>
      </c>
    </row>
    <row r="25391" spans="5:9" ht="16.5" hidden="1">
      <c r="E25391" s="4" t="str">
        <v/>
      </c>
      <c r="F25391" s="102" t="str">
        <f ca="1">IFERROR(__xludf.DUMMYFUNCTION("IMPORTRANGE(H25391,""IDENTITAS UNIT!D9"")"),"#N/A")</f>
        <v>#N/A</v>
      </c>
      <c r="H25391" s="4" t="str">
        <v/>
      </c>
      <c r="I25391" s="4" t="str">
        <v/>
      </c>
    </row>
    <row r="25392" spans="5:9" ht="16.5" hidden="1">
      <c r="E25392" s="4" t="str">
        <v/>
      </c>
      <c r="F25392" s="102" t="str">
        <f ca="1">IFERROR(__xludf.DUMMYFUNCTION("IMPORTRANGE(H25392,""IDENTITAS UNIT!D9"")"),"#N/A")</f>
        <v>#N/A</v>
      </c>
      <c r="H25392" s="4" t="str">
        <v/>
      </c>
      <c r="I25392" s="4" t="str">
        <v/>
      </c>
    </row>
    <row r="25393" spans="5:9" ht="16.5" hidden="1">
      <c r="E25393" s="4" t="str">
        <v/>
      </c>
      <c r="F25393" s="102" t="str">
        <f ca="1">IFERROR(__xludf.DUMMYFUNCTION("IMPORTRANGE(H25393,""IDENTITAS UNIT!D9"")"),"#N/A")</f>
        <v>#N/A</v>
      </c>
      <c r="H25393" s="4" t="str">
        <v/>
      </c>
      <c r="I25393" s="4" t="str">
        <v/>
      </c>
    </row>
    <row r="25394" spans="5:9" ht="16.5" hidden="1">
      <c r="E25394" s="4" t="str">
        <v/>
      </c>
      <c r="F25394" s="102" t="str">
        <f ca="1">IFERROR(__xludf.DUMMYFUNCTION("IMPORTRANGE(H25394,""IDENTITAS UNIT!D9"")"),"#N/A")</f>
        <v>#N/A</v>
      </c>
      <c r="H25394" s="4" t="str">
        <v/>
      </c>
      <c r="I25394" s="4" t="str">
        <v/>
      </c>
    </row>
    <row r="25395" spans="5:9" ht="16.5" hidden="1">
      <c r="E25395" s="4" t="str">
        <v/>
      </c>
      <c r="F25395" s="102" t="str">
        <f ca="1">IFERROR(__xludf.DUMMYFUNCTION("IMPORTRANGE(H25395,""IDENTITAS UNIT!D9"")"),"#N/A")</f>
        <v>#N/A</v>
      </c>
      <c r="H25395" s="4" t="str">
        <v/>
      </c>
      <c r="I25395" s="4" t="str">
        <v/>
      </c>
    </row>
    <row r="25396" spans="5:9" ht="16.5" hidden="1">
      <c r="E25396" s="4" t="str">
        <v/>
      </c>
      <c r="F25396" s="102" t="str">
        <f ca="1">IFERROR(__xludf.DUMMYFUNCTION("IMPORTRANGE(H25396,""IDENTITAS UNIT!D9"")"),"#N/A")</f>
        <v>#N/A</v>
      </c>
      <c r="H25396" s="4" t="str">
        <v/>
      </c>
      <c r="I25396" s="4" t="str">
        <v/>
      </c>
    </row>
    <row r="25397" spans="5:9" ht="16.5" hidden="1">
      <c r="E25397" s="4" t="str">
        <v/>
      </c>
      <c r="F25397" s="102" t="str">
        <f ca="1">IFERROR(__xludf.DUMMYFUNCTION("IMPORTRANGE(H25397,""IDENTITAS UNIT!D9"")"),"#N/A")</f>
        <v>#N/A</v>
      </c>
      <c r="H25397" s="4" t="str">
        <v/>
      </c>
      <c r="I25397" s="4" t="str">
        <v/>
      </c>
    </row>
    <row r="25398" spans="5:9" ht="16.5" hidden="1">
      <c r="E25398" s="4" t="str">
        <v/>
      </c>
      <c r="F25398" s="102" t="str">
        <f ca="1">IFERROR(__xludf.DUMMYFUNCTION("IMPORTRANGE(H25398,""IDENTITAS UNIT!D9"")"),"#N/A")</f>
        <v>#N/A</v>
      </c>
      <c r="H25398" s="4" t="str">
        <v/>
      </c>
      <c r="I25398" s="4" t="str">
        <v/>
      </c>
    </row>
    <row r="25399" spans="5:9" ht="16.5" hidden="1">
      <c r="E25399" s="4" t="str">
        <v/>
      </c>
      <c r="F25399" s="102" t="str">
        <f ca="1">IFERROR(__xludf.DUMMYFUNCTION("IMPORTRANGE(H25399,""IDENTITAS UNIT!D9"")"),"#N/A")</f>
        <v>#N/A</v>
      </c>
      <c r="H25399" s="4" t="str">
        <v/>
      </c>
      <c r="I25399" s="4" t="str">
        <v/>
      </c>
    </row>
    <row r="25400" spans="5:9" ht="16.5" hidden="1">
      <c r="E25400" s="4" t="str">
        <v/>
      </c>
      <c r="F25400" s="102" t="str">
        <f ca="1">IFERROR(__xludf.DUMMYFUNCTION("IMPORTRANGE(H25400,""IDENTITAS UNIT!D9"")"),"#N/A")</f>
        <v>#N/A</v>
      </c>
      <c r="H25400" s="4" t="str">
        <v/>
      </c>
      <c r="I25400" s="4" t="str">
        <v/>
      </c>
    </row>
    <row r="25401" spans="5:9" ht="16.5" hidden="1">
      <c r="E25401" s="4" t="str">
        <v/>
      </c>
      <c r="F25401" s="102" t="str">
        <f ca="1">IFERROR(__xludf.DUMMYFUNCTION("IMPORTRANGE(H25401,""IDENTITAS UNIT!D9"")"),"#N/A")</f>
        <v>#N/A</v>
      </c>
      <c r="H25401" s="4" t="str">
        <v/>
      </c>
      <c r="I25401" s="4" t="str">
        <v/>
      </c>
    </row>
    <row r="25402" spans="5:9" ht="16.5" hidden="1">
      <c r="E25402" s="4" t="str">
        <v/>
      </c>
      <c r="F25402" s="102" t="str">
        <f ca="1">IFERROR(__xludf.DUMMYFUNCTION("IMPORTRANGE(H25402,""IDENTITAS UNIT!D9"")"),"#N/A")</f>
        <v>#N/A</v>
      </c>
      <c r="H25402" s="4" t="str">
        <v/>
      </c>
      <c r="I25402" s="4" t="str">
        <v/>
      </c>
    </row>
    <row r="25403" spans="5:9" ht="16.5" hidden="1">
      <c r="E25403" s="4" t="str">
        <v/>
      </c>
      <c r="F25403" s="102" t="str">
        <f ca="1">IFERROR(__xludf.DUMMYFUNCTION("IMPORTRANGE(H25403,""IDENTITAS UNIT!D9"")"),"#N/A")</f>
        <v>#N/A</v>
      </c>
      <c r="H25403" s="4" t="str">
        <v/>
      </c>
      <c r="I25403" s="4" t="str">
        <v/>
      </c>
    </row>
    <row r="25404" spans="5:9" ht="16.5" hidden="1">
      <c r="E25404" s="4" t="str">
        <v/>
      </c>
      <c r="F25404" s="102" t="str">
        <f ca="1">IFERROR(__xludf.DUMMYFUNCTION("IMPORTRANGE(H25404,""IDENTITAS UNIT!D9"")"),"#N/A")</f>
        <v>#N/A</v>
      </c>
      <c r="H25404" s="4" t="str">
        <v/>
      </c>
      <c r="I25404" s="4" t="str">
        <v/>
      </c>
    </row>
    <row r="25405" spans="5:9" ht="16.5" hidden="1">
      <c r="E25405" s="4" t="str">
        <v/>
      </c>
      <c r="F25405" s="102" t="str">
        <f ca="1">IFERROR(__xludf.DUMMYFUNCTION("IMPORTRANGE(H25405,""IDENTITAS UNIT!D9"")"),"#N/A")</f>
        <v>#N/A</v>
      </c>
      <c r="H25405" s="4" t="str">
        <v/>
      </c>
      <c r="I25405" s="4" t="str">
        <v/>
      </c>
    </row>
    <row r="25406" spans="5:9" ht="16.5" hidden="1">
      <c r="E25406" s="4" t="str">
        <v/>
      </c>
      <c r="F25406" s="102" t="str">
        <f ca="1">IFERROR(__xludf.DUMMYFUNCTION("IMPORTRANGE(H25406,""IDENTITAS UNIT!D9"")"),"#N/A")</f>
        <v>#N/A</v>
      </c>
      <c r="H25406" s="4" t="str">
        <v/>
      </c>
      <c r="I25406" s="4" t="str">
        <v/>
      </c>
    </row>
    <row r="25407" spans="5:9" ht="16.5" hidden="1">
      <c r="E25407" s="4" t="str">
        <v/>
      </c>
      <c r="F25407" s="102" t="str">
        <f ca="1">IFERROR(__xludf.DUMMYFUNCTION("IMPORTRANGE(H25407,""IDENTITAS UNIT!D9"")"),"#N/A")</f>
        <v>#N/A</v>
      </c>
      <c r="H25407" s="4" t="str">
        <v/>
      </c>
      <c r="I25407" s="4" t="str">
        <v/>
      </c>
    </row>
    <row r="25408" spans="5:9" ht="16.5" hidden="1">
      <c r="E25408" s="4" t="str">
        <v/>
      </c>
      <c r="F25408" s="102" t="str">
        <f ca="1">IFERROR(__xludf.DUMMYFUNCTION("IMPORTRANGE(H25408,""IDENTITAS UNIT!D9"")"),"#N/A")</f>
        <v>#N/A</v>
      </c>
      <c r="H25408" s="4" t="str">
        <v/>
      </c>
      <c r="I25408" s="4" t="str">
        <v/>
      </c>
    </row>
    <row r="25409" spans="5:9" ht="16.5" hidden="1">
      <c r="E25409" s="4" t="str">
        <v/>
      </c>
      <c r="F25409" s="102" t="str">
        <f ca="1">IFERROR(__xludf.DUMMYFUNCTION("IMPORTRANGE(H25409,""IDENTITAS UNIT!D9"")"),"#N/A")</f>
        <v>#N/A</v>
      </c>
      <c r="H25409" s="4" t="str">
        <v/>
      </c>
      <c r="I25409" s="4" t="str">
        <v/>
      </c>
    </row>
    <row r="25410" spans="5:9" ht="16.5" hidden="1">
      <c r="E25410" s="4" t="str">
        <v/>
      </c>
      <c r="F25410" s="102" t="str">
        <f ca="1">IFERROR(__xludf.DUMMYFUNCTION("IMPORTRANGE(H25410,""IDENTITAS UNIT!D9"")"),"#N/A")</f>
        <v>#N/A</v>
      </c>
      <c r="H25410" s="4" t="str">
        <v/>
      </c>
      <c r="I25410" s="4" t="str">
        <v/>
      </c>
    </row>
    <row r="25411" spans="5:9" ht="16.5" hidden="1">
      <c r="E25411" s="4" t="str">
        <v/>
      </c>
      <c r="F25411" s="102" t="str">
        <f ca="1">IFERROR(__xludf.DUMMYFUNCTION("IMPORTRANGE(H25411,""IDENTITAS UNIT!D9"")"),"#N/A")</f>
        <v>#N/A</v>
      </c>
      <c r="H25411" s="4" t="str">
        <v/>
      </c>
      <c r="I25411" s="4" t="str">
        <v/>
      </c>
    </row>
    <row r="25412" spans="5:9" ht="16.5" hidden="1">
      <c r="E25412" s="4" t="str">
        <v/>
      </c>
      <c r="F25412" s="102" t="str">
        <f ca="1">IFERROR(__xludf.DUMMYFUNCTION("IMPORTRANGE(H25412,""IDENTITAS UNIT!D9"")"),"#N/A")</f>
        <v>#N/A</v>
      </c>
      <c r="H25412" s="4" t="str">
        <v/>
      </c>
      <c r="I25412" s="4" t="str">
        <v/>
      </c>
    </row>
    <row r="25413" spans="5:9" ht="16.5" hidden="1">
      <c r="E25413" s="4" t="str">
        <v/>
      </c>
      <c r="F25413" s="102" t="str">
        <f ca="1">IFERROR(__xludf.DUMMYFUNCTION("IMPORTRANGE(H25413,""IDENTITAS UNIT!D9"")"),"#N/A")</f>
        <v>#N/A</v>
      </c>
      <c r="H25413" s="4" t="str">
        <v/>
      </c>
      <c r="I25413" s="4" t="str">
        <v/>
      </c>
    </row>
    <row r="25414" spans="5:9" ht="16.5" hidden="1">
      <c r="E25414" s="4" t="str">
        <v/>
      </c>
      <c r="F25414" s="102" t="str">
        <f ca="1">IFERROR(__xludf.DUMMYFUNCTION("IMPORTRANGE(H25414,""IDENTITAS UNIT!D9"")"),"#N/A")</f>
        <v>#N/A</v>
      </c>
      <c r="H25414" s="4" t="str">
        <v/>
      </c>
      <c r="I25414" s="4" t="str">
        <v/>
      </c>
    </row>
    <row r="25415" spans="5:9" ht="16.5" hidden="1">
      <c r="E25415" s="4" t="str">
        <v/>
      </c>
      <c r="F25415" s="102" t="str">
        <f ca="1">IFERROR(__xludf.DUMMYFUNCTION("IMPORTRANGE(H25415,""IDENTITAS UNIT!D9"")"),"#N/A")</f>
        <v>#N/A</v>
      </c>
      <c r="H25415" s="4" t="str">
        <v/>
      </c>
      <c r="I25415" s="4" t="str">
        <v/>
      </c>
    </row>
    <row r="25416" spans="5:9" ht="16.5" hidden="1">
      <c r="E25416" s="4" t="str">
        <v/>
      </c>
      <c r="F25416" s="102" t="str">
        <f ca="1">IFERROR(__xludf.DUMMYFUNCTION("IMPORTRANGE(H25416,""IDENTITAS UNIT!D9"")"),"#N/A")</f>
        <v>#N/A</v>
      </c>
      <c r="H25416" s="4" t="str">
        <v/>
      </c>
      <c r="I25416" s="4" t="str">
        <v/>
      </c>
    </row>
    <row r="25417" spans="5:9" ht="16.5" hidden="1">
      <c r="E25417" s="4" t="str">
        <v/>
      </c>
      <c r="F25417" s="102" t="str">
        <f ca="1">IFERROR(__xludf.DUMMYFUNCTION("IMPORTRANGE(H25417,""IDENTITAS UNIT!D9"")"),"#N/A")</f>
        <v>#N/A</v>
      </c>
      <c r="H25417" s="4" t="str">
        <v/>
      </c>
      <c r="I25417" s="4" t="str">
        <v/>
      </c>
    </row>
    <row r="25418" spans="5:9" ht="16.5" hidden="1">
      <c r="E25418" s="4" t="str">
        <v/>
      </c>
      <c r="F25418" s="102" t="str">
        <f ca="1">IFERROR(__xludf.DUMMYFUNCTION("IMPORTRANGE(H25418,""IDENTITAS UNIT!D9"")"),"#N/A")</f>
        <v>#N/A</v>
      </c>
      <c r="H25418" s="4" t="str">
        <v/>
      </c>
      <c r="I25418" s="4" t="str">
        <v/>
      </c>
    </row>
    <row r="25419" spans="5:9" ht="16.5" hidden="1">
      <c r="E25419" s="4" t="str">
        <v/>
      </c>
      <c r="F25419" s="102" t="str">
        <f ca="1">IFERROR(__xludf.DUMMYFUNCTION("IMPORTRANGE(H25419,""IDENTITAS UNIT!D9"")"),"#N/A")</f>
        <v>#N/A</v>
      </c>
      <c r="H25419" s="4" t="str">
        <v/>
      </c>
      <c r="I25419" s="4" t="str">
        <v/>
      </c>
    </row>
    <row r="25420" spans="5:9" ht="16.5" hidden="1">
      <c r="E25420" s="4" t="str">
        <v/>
      </c>
      <c r="F25420" s="102" t="str">
        <f ca="1">IFERROR(__xludf.DUMMYFUNCTION("IMPORTRANGE(H25420,""IDENTITAS UNIT!D9"")"),"#N/A")</f>
        <v>#N/A</v>
      </c>
      <c r="H25420" s="4" t="str">
        <v/>
      </c>
      <c r="I25420" s="4" t="str">
        <v/>
      </c>
    </row>
    <row r="25421" spans="5:9" ht="16.5" hidden="1">
      <c r="E25421" s="4" t="str">
        <v/>
      </c>
      <c r="F25421" s="102" t="str">
        <f ca="1">IFERROR(__xludf.DUMMYFUNCTION("IMPORTRANGE(H25421,""IDENTITAS UNIT!D9"")"),"#N/A")</f>
        <v>#N/A</v>
      </c>
      <c r="H25421" s="4" t="str">
        <v/>
      </c>
      <c r="I25421" s="4" t="str">
        <v/>
      </c>
    </row>
    <row r="25422" spans="5:9" ht="16.5" hidden="1">
      <c r="E25422" s="4" t="str">
        <v/>
      </c>
      <c r="F25422" s="102" t="str">
        <f ca="1">IFERROR(__xludf.DUMMYFUNCTION("IMPORTRANGE(H25422,""IDENTITAS UNIT!D9"")"),"#N/A")</f>
        <v>#N/A</v>
      </c>
      <c r="H25422" s="4" t="str">
        <v/>
      </c>
      <c r="I25422" s="4" t="str">
        <v/>
      </c>
    </row>
    <row r="25423" spans="5:9" ht="16.5" hidden="1">
      <c r="E25423" s="4" t="str">
        <v/>
      </c>
      <c r="F25423" s="102" t="str">
        <f ca="1">IFERROR(__xludf.DUMMYFUNCTION("IMPORTRANGE(H25423,""IDENTITAS UNIT!D9"")"),"#N/A")</f>
        <v>#N/A</v>
      </c>
      <c r="H25423" s="4" t="str">
        <v/>
      </c>
      <c r="I25423" s="4" t="str">
        <v/>
      </c>
    </row>
    <row r="25424" spans="5:9" ht="16.5" hidden="1">
      <c r="E25424" s="4" t="str">
        <v/>
      </c>
      <c r="F25424" s="102" t="str">
        <f ca="1">IFERROR(__xludf.DUMMYFUNCTION("IMPORTRANGE(H25424,""IDENTITAS UNIT!D9"")"),"#N/A")</f>
        <v>#N/A</v>
      </c>
      <c r="H25424" s="4" t="str">
        <v/>
      </c>
      <c r="I25424" s="4" t="str">
        <v/>
      </c>
    </row>
    <row r="25425" spans="5:9" ht="16.5" hidden="1">
      <c r="E25425" s="4" t="str">
        <v/>
      </c>
      <c r="F25425" s="102" t="str">
        <f ca="1">IFERROR(__xludf.DUMMYFUNCTION("IMPORTRANGE(H25425,""IDENTITAS UNIT!D9"")"),"#N/A")</f>
        <v>#N/A</v>
      </c>
      <c r="H25425" s="4" t="str">
        <v/>
      </c>
      <c r="I25425" s="4" t="str">
        <v/>
      </c>
    </row>
    <row r="25426" spans="5:9" ht="16.5" hidden="1">
      <c r="E25426" s="4" t="str">
        <v/>
      </c>
      <c r="F25426" s="102" t="str">
        <f ca="1">IFERROR(__xludf.DUMMYFUNCTION("IMPORTRANGE(H25426,""IDENTITAS UNIT!D9"")"),"#N/A")</f>
        <v>#N/A</v>
      </c>
      <c r="H25426" s="4" t="str">
        <v/>
      </c>
      <c r="I25426" s="4" t="str">
        <v/>
      </c>
    </row>
    <row r="25427" spans="5:9" ht="16.5" hidden="1">
      <c r="E25427" s="4" t="str">
        <v/>
      </c>
      <c r="F25427" s="102" t="str">
        <f ca="1">IFERROR(__xludf.DUMMYFUNCTION("IMPORTRANGE(H25427,""IDENTITAS UNIT!D9"")"),"#N/A")</f>
        <v>#N/A</v>
      </c>
      <c r="H25427" s="4" t="str">
        <v/>
      </c>
      <c r="I25427" s="4" t="str">
        <v/>
      </c>
    </row>
    <row r="25428" spans="5:9" ht="16.5" hidden="1">
      <c r="E25428" s="4" t="str">
        <v/>
      </c>
      <c r="F25428" s="102" t="str">
        <f ca="1">IFERROR(__xludf.DUMMYFUNCTION("IMPORTRANGE(H25428,""IDENTITAS UNIT!D9"")"),"#N/A")</f>
        <v>#N/A</v>
      </c>
      <c r="H25428" s="4" t="str">
        <v/>
      </c>
      <c r="I25428" s="4" t="str">
        <v/>
      </c>
    </row>
    <row r="25429" spans="5:9" ht="16.5" hidden="1">
      <c r="E25429" s="4" t="str">
        <v/>
      </c>
      <c r="F25429" s="102" t="str">
        <f ca="1">IFERROR(__xludf.DUMMYFUNCTION("IMPORTRANGE(H25429,""IDENTITAS UNIT!D9"")"),"#N/A")</f>
        <v>#N/A</v>
      </c>
      <c r="H25429" s="4" t="str">
        <v/>
      </c>
      <c r="I25429" s="4" t="str">
        <v/>
      </c>
    </row>
    <row r="25430" spans="5:9" ht="16.5" hidden="1">
      <c r="E25430" s="4" t="str">
        <v/>
      </c>
      <c r="F25430" s="102" t="str">
        <f ca="1">IFERROR(__xludf.DUMMYFUNCTION("IMPORTRANGE(H25430,""IDENTITAS UNIT!D9"")"),"#N/A")</f>
        <v>#N/A</v>
      </c>
      <c r="H25430" s="4" t="str">
        <v/>
      </c>
      <c r="I25430" s="4" t="str">
        <v/>
      </c>
    </row>
    <row r="25431" spans="5:9" ht="16.5" hidden="1">
      <c r="E25431" s="4" t="str">
        <v/>
      </c>
      <c r="F25431" s="102" t="str">
        <f ca="1">IFERROR(__xludf.DUMMYFUNCTION("IMPORTRANGE(H25431,""IDENTITAS UNIT!D9"")"),"#N/A")</f>
        <v>#N/A</v>
      </c>
      <c r="H25431" s="4" t="str">
        <v/>
      </c>
      <c r="I25431" s="4" t="str">
        <v/>
      </c>
    </row>
    <row r="25432" spans="5:9" ht="16.5" hidden="1">
      <c r="E25432" s="4" t="str">
        <v/>
      </c>
      <c r="F25432" s="102" t="str">
        <f ca="1">IFERROR(__xludf.DUMMYFUNCTION("IMPORTRANGE(H25432,""IDENTITAS UNIT!D9"")"),"#N/A")</f>
        <v>#N/A</v>
      </c>
      <c r="H25432" s="4" t="str">
        <v/>
      </c>
      <c r="I25432" s="4" t="str">
        <v/>
      </c>
    </row>
    <row r="25433" spans="5:9" ht="16.5" hidden="1">
      <c r="E25433" s="4" t="str">
        <v/>
      </c>
      <c r="F25433" s="102" t="str">
        <f ca="1">IFERROR(__xludf.DUMMYFUNCTION("IMPORTRANGE(H25433,""IDENTITAS UNIT!D9"")"),"#N/A")</f>
        <v>#N/A</v>
      </c>
      <c r="H25433" s="4" t="str">
        <v/>
      </c>
      <c r="I25433" s="4" t="str">
        <v/>
      </c>
    </row>
    <row r="25434" spans="5:9" ht="16.5" hidden="1">
      <c r="E25434" s="4" t="str">
        <v/>
      </c>
      <c r="F25434" s="102" t="str">
        <f ca="1">IFERROR(__xludf.DUMMYFUNCTION("IMPORTRANGE(H25434,""IDENTITAS UNIT!D9"")"),"#N/A")</f>
        <v>#N/A</v>
      </c>
      <c r="H25434" s="4" t="str">
        <v/>
      </c>
      <c r="I25434" s="4" t="str">
        <v/>
      </c>
    </row>
    <row r="25435" spans="5:9" ht="16.5" hidden="1">
      <c r="E25435" s="4" t="str">
        <v/>
      </c>
      <c r="F25435" s="102" t="str">
        <f ca="1">IFERROR(__xludf.DUMMYFUNCTION("IMPORTRANGE(H25435,""IDENTITAS UNIT!D9"")"),"#N/A")</f>
        <v>#N/A</v>
      </c>
      <c r="H25435" s="4" t="str">
        <v/>
      </c>
      <c r="I25435" s="4" t="str">
        <v/>
      </c>
    </row>
    <row r="25436" spans="5:9" ht="16.5" hidden="1">
      <c r="E25436" s="4" t="str">
        <v/>
      </c>
      <c r="F25436" s="102" t="str">
        <f ca="1">IFERROR(__xludf.DUMMYFUNCTION("IMPORTRANGE(H25436,""IDENTITAS UNIT!D9"")"),"#N/A")</f>
        <v>#N/A</v>
      </c>
      <c r="H25436" s="4" t="str">
        <v/>
      </c>
      <c r="I25436" s="4" t="str">
        <v/>
      </c>
    </row>
    <row r="25437" spans="5:9" ht="16.5" hidden="1">
      <c r="E25437" s="4" t="str">
        <v/>
      </c>
      <c r="F25437" s="102" t="str">
        <f ca="1">IFERROR(__xludf.DUMMYFUNCTION("IMPORTRANGE(H25437,""IDENTITAS UNIT!D9"")"),"#N/A")</f>
        <v>#N/A</v>
      </c>
      <c r="H25437" s="4" t="str">
        <v/>
      </c>
      <c r="I25437" s="4" t="str">
        <v/>
      </c>
    </row>
    <row r="25438" spans="5:9" ht="16.5" hidden="1">
      <c r="E25438" s="4" t="str">
        <v/>
      </c>
      <c r="F25438" s="102" t="str">
        <f ca="1">IFERROR(__xludf.DUMMYFUNCTION("IMPORTRANGE(H25438,""IDENTITAS UNIT!D9"")"),"#N/A")</f>
        <v>#N/A</v>
      </c>
      <c r="H25438" s="4" t="str">
        <v/>
      </c>
      <c r="I25438" s="4" t="str">
        <v/>
      </c>
    </row>
    <row r="25439" spans="5:9" ht="16.5" hidden="1">
      <c r="E25439" s="4" t="str">
        <v/>
      </c>
      <c r="F25439" s="102" t="str">
        <f ca="1">IFERROR(__xludf.DUMMYFUNCTION("IMPORTRANGE(H25439,""IDENTITAS UNIT!D9"")"),"#N/A")</f>
        <v>#N/A</v>
      </c>
      <c r="H25439" s="4" t="str">
        <v/>
      </c>
      <c r="I25439" s="4" t="str">
        <v/>
      </c>
    </row>
    <row r="25440" spans="5:9" ht="16.5" hidden="1">
      <c r="E25440" s="4" t="str">
        <v/>
      </c>
      <c r="F25440" s="102" t="str">
        <f ca="1">IFERROR(__xludf.DUMMYFUNCTION("IMPORTRANGE(H25440,""IDENTITAS UNIT!D9"")"),"#N/A")</f>
        <v>#N/A</v>
      </c>
      <c r="H25440" s="4" t="str">
        <v/>
      </c>
      <c r="I25440" s="4" t="str">
        <v/>
      </c>
    </row>
    <row r="25441" spans="5:9" ht="16.5" hidden="1">
      <c r="E25441" s="4" t="str">
        <v/>
      </c>
      <c r="F25441" s="102" t="str">
        <f ca="1">IFERROR(__xludf.DUMMYFUNCTION("IMPORTRANGE(H25441,""IDENTITAS UNIT!D9"")"),"#N/A")</f>
        <v>#N/A</v>
      </c>
      <c r="H25441" s="4" t="str">
        <v/>
      </c>
      <c r="I25441" s="4" t="str">
        <v/>
      </c>
    </row>
    <row r="25442" spans="5:9" ht="16.5" hidden="1">
      <c r="E25442" s="4" t="str">
        <v/>
      </c>
      <c r="F25442" s="102" t="str">
        <f ca="1">IFERROR(__xludf.DUMMYFUNCTION("IMPORTRANGE(H25442,""IDENTITAS UNIT!D9"")"),"#N/A")</f>
        <v>#N/A</v>
      </c>
      <c r="H25442" s="4" t="str">
        <v/>
      </c>
      <c r="I25442" s="4" t="str">
        <v/>
      </c>
    </row>
    <row r="25443" spans="5:9" ht="16.5" hidden="1">
      <c r="E25443" s="4" t="str">
        <v/>
      </c>
      <c r="F25443" s="102" t="str">
        <f ca="1">IFERROR(__xludf.DUMMYFUNCTION("IMPORTRANGE(H25443,""IDENTITAS UNIT!D9"")"),"#N/A")</f>
        <v>#N/A</v>
      </c>
      <c r="H25443" s="4" t="str">
        <v/>
      </c>
      <c r="I25443" s="4" t="str">
        <v/>
      </c>
    </row>
    <row r="25444" spans="5:9" ht="16.5" hidden="1">
      <c r="E25444" s="4" t="str">
        <v/>
      </c>
      <c r="F25444" s="102" t="str">
        <f ca="1">IFERROR(__xludf.DUMMYFUNCTION("IMPORTRANGE(H25444,""IDENTITAS UNIT!D9"")"),"#N/A")</f>
        <v>#N/A</v>
      </c>
      <c r="H25444" s="4" t="str">
        <v/>
      </c>
      <c r="I25444" s="4" t="str">
        <v/>
      </c>
    </row>
    <row r="25445" spans="5:9" ht="16.5" hidden="1">
      <c r="E25445" s="4" t="str">
        <v/>
      </c>
      <c r="F25445" s="102" t="str">
        <f ca="1">IFERROR(__xludf.DUMMYFUNCTION("IMPORTRANGE(H25445,""IDENTITAS UNIT!D9"")"),"#N/A")</f>
        <v>#N/A</v>
      </c>
      <c r="H25445" s="4" t="str">
        <v/>
      </c>
      <c r="I25445" s="4" t="str">
        <v/>
      </c>
    </row>
    <row r="25446" spans="5:9" ht="16.5" hidden="1">
      <c r="E25446" s="4" t="str">
        <v/>
      </c>
      <c r="F25446" s="102" t="str">
        <f ca="1">IFERROR(__xludf.DUMMYFUNCTION("IMPORTRANGE(H25446,""IDENTITAS UNIT!D9"")"),"#N/A")</f>
        <v>#N/A</v>
      </c>
      <c r="H25446" s="4" t="str">
        <v/>
      </c>
      <c r="I25446" s="4" t="str">
        <v/>
      </c>
    </row>
    <row r="25447" spans="5:9" ht="16.5" hidden="1">
      <c r="E25447" s="4" t="str">
        <v/>
      </c>
      <c r="F25447" s="102" t="str">
        <f ca="1">IFERROR(__xludf.DUMMYFUNCTION("IMPORTRANGE(H25447,""IDENTITAS UNIT!D9"")"),"#N/A")</f>
        <v>#N/A</v>
      </c>
      <c r="H25447" s="4" t="str">
        <v/>
      </c>
      <c r="I25447" s="4" t="str">
        <v/>
      </c>
    </row>
    <row r="25448" spans="5:9" ht="16.5" hidden="1">
      <c r="E25448" s="4" t="str">
        <v/>
      </c>
      <c r="F25448" s="102" t="str">
        <f ca="1">IFERROR(__xludf.DUMMYFUNCTION("IMPORTRANGE(H25448,""IDENTITAS UNIT!D9"")"),"#N/A")</f>
        <v>#N/A</v>
      </c>
      <c r="H25448" s="4" t="str">
        <v/>
      </c>
      <c r="I25448" s="4" t="str">
        <v/>
      </c>
    </row>
    <row r="25449" spans="5:9" ht="16.5" hidden="1">
      <c r="E25449" s="4" t="str">
        <v/>
      </c>
      <c r="F25449" s="102" t="str">
        <f ca="1">IFERROR(__xludf.DUMMYFUNCTION("IMPORTRANGE(H25449,""IDENTITAS UNIT!D9"")"),"#N/A")</f>
        <v>#N/A</v>
      </c>
      <c r="H25449" s="4" t="str">
        <v/>
      </c>
      <c r="I25449" s="4" t="str">
        <v/>
      </c>
    </row>
    <row r="25450" spans="5:9" ht="16.5" hidden="1">
      <c r="E25450" s="4" t="str">
        <v/>
      </c>
      <c r="F25450" s="102" t="str">
        <f ca="1">IFERROR(__xludf.DUMMYFUNCTION("IMPORTRANGE(H25450,""IDENTITAS UNIT!D9"")"),"#N/A")</f>
        <v>#N/A</v>
      </c>
      <c r="H25450" s="4" t="str">
        <v/>
      </c>
      <c r="I25450" s="4" t="str">
        <v/>
      </c>
    </row>
    <row r="25451" spans="5:9" ht="16.5" hidden="1">
      <c r="E25451" s="4" t="str">
        <v/>
      </c>
      <c r="F25451" s="102" t="str">
        <f ca="1">IFERROR(__xludf.DUMMYFUNCTION("IMPORTRANGE(H25451,""IDENTITAS UNIT!D9"")"),"#N/A")</f>
        <v>#N/A</v>
      </c>
      <c r="H25451" s="4" t="str">
        <v/>
      </c>
      <c r="I25451" s="4" t="str">
        <v/>
      </c>
    </row>
    <row r="25452" spans="5:9" ht="16.5" hidden="1">
      <c r="E25452" s="4" t="str">
        <v/>
      </c>
      <c r="F25452" s="102" t="str">
        <f ca="1">IFERROR(__xludf.DUMMYFUNCTION("IMPORTRANGE(H25452,""IDENTITAS UNIT!D9"")"),"#N/A")</f>
        <v>#N/A</v>
      </c>
      <c r="H25452" s="4" t="str">
        <v/>
      </c>
      <c r="I25452" s="4" t="str">
        <v/>
      </c>
    </row>
    <row r="25453" spans="5:9" ht="16.5" hidden="1">
      <c r="E25453" s="4" t="str">
        <v/>
      </c>
      <c r="F25453" s="102" t="str">
        <f ca="1">IFERROR(__xludf.DUMMYFUNCTION("IMPORTRANGE(H25453,""IDENTITAS UNIT!D9"")"),"#N/A")</f>
        <v>#N/A</v>
      </c>
      <c r="H25453" s="4" t="str">
        <v/>
      </c>
      <c r="I25453" s="4" t="str">
        <v/>
      </c>
    </row>
    <row r="25454" spans="5:9" ht="16.5" hidden="1">
      <c r="E25454" s="4" t="str">
        <v/>
      </c>
      <c r="F25454" s="102" t="str">
        <f ca="1">IFERROR(__xludf.DUMMYFUNCTION("IMPORTRANGE(H25454,""IDENTITAS UNIT!D9"")"),"#N/A")</f>
        <v>#N/A</v>
      </c>
      <c r="H25454" s="4" t="str">
        <v/>
      </c>
      <c r="I25454" s="4" t="str">
        <v/>
      </c>
    </row>
    <row r="25455" spans="5:9" ht="16.5" hidden="1">
      <c r="E25455" s="4" t="str">
        <v/>
      </c>
      <c r="F25455" s="102" t="str">
        <f ca="1">IFERROR(__xludf.DUMMYFUNCTION("IMPORTRANGE(H25455,""IDENTITAS UNIT!D9"")"),"#N/A")</f>
        <v>#N/A</v>
      </c>
      <c r="H25455" s="4" t="str">
        <v/>
      </c>
      <c r="I25455" s="4" t="str">
        <v/>
      </c>
    </row>
    <row r="25456" spans="5:9" ht="16.5" hidden="1">
      <c r="E25456" s="4" t="str">
        <v/>
      </c>
      <c r="F25456" s="102" t="str">
        <f ca="1">IFERROR(__xludf.DUMMYFUNCTION("IMPORTRANGE(H25456,""IDENTITAS UNIT!D9"")"),"#N/A")</f>
        <v>#N/A</v>
      </c>
      <c r="H25456" s="4" t="str">
        <v/>
      </c>
      <c r="I25456" s="4" t="str">
        <v/>
      </c>
    </row>
    <row r="25457" spans="5:9" ht="16.5" hidden="1">
      <c r="E25457" s="4" t="str">
        <v/>
      </c>
      <c r="F25457" s="102" t="str">
        <f ca="1">IFERROR(__xludf.DUMMYFUNCTION("IMPORTRANGE(H25457,""IDENTITAS UNIT!D9"")"),"#N/A")</f>
        <v>#N/A</v>
      </c>
      <c r="H25457" s="4" t="str">
        <v/>
      </c>
      <c r="I25457" s="4" t="str">
        <v/>
      </c>
    </row>
    <row r="25458" spans="5:9" ht="16.5" hidden="1">
      <c r="E25458" s="4" t="str">
        <v/>
      </c>
      <c r="F25458" s="102" t="str">
        <f ca="1">IFERROR(__xludf.DUMMYFUNCTION("IMPORTRANGE(H25458,""IDENTITAS UNIT!D9"")"),"#N/A")</f>
        <v>#N/A</v>
      </c>
      <c r="H25458" s="4" t="str">
        <v/>
      </c>
      <c r="I25458" s="4" t="str">
        <v/>
      </c>
    </row>
    <row r="25459" spans="5:9" ht="16.5" hidden="1">
      <c r="E25459" s="4" t="str">
        <v/>
      </c>
      <c r="F25459" s="102" t="str">
        <f ca="1">IFERROR(__xludf.DUMMYFUNCTION("IMPORTRANGE(H25459,""IDENTITAS UNIT!D9"")"),"#N/A")</f>
        <v>#N/A</v>
      </c>
      <c r="H25459" s="4" t="str">
        <v/>
      </c>
      <c r="I25459" s="4" t="str">
        <v/>
      </c>
    </row>
    <row r="25460" spans="5:9" ht="16.5" hidden="1">
      <c r="E25460" s="4" t="str">
        <v/>
      </c>
      <c r="F25460" s="102" t="str">
        <f ca="1">IFERROR(__xludf.DUMMYFUNCTION("IMPORTRANGE(H25460,""IDENTITAS UNIT!D9"")"),"#N/A")</f>
        <v>#N/A</v>
      </c>
      <c r="H25460" s="4" t="str">
        <v/>
      </c>
      <c r="I25460" s="4" t="str">
        <v/>
      </c>
    </row>
    <row r="25461" spans="5:9" ht="16.5" hidden="1">
      <c r="E25461" s="4" t="str">
        <v/>
      </c>
      <c r="F25461" s="102" t="str">
        <f ca="1">IFERROR(__xludf.DUMMYFUNCTION("IMPORTRANGE(H25461,""IDENTITAS UNIT!D9"")"),"#N/A")</f>
        <v>#N/A</v>
      </c>
      <c r="H25461" s="4" t="str">
        <v/>
      </c>
      <c r="I25461" s="4" t="str">
        <v/>
      </c>
    </row>
    <row r="25462" spans="5:9" ht="16.5" hidden="1">
      <c r="E25462" s="4" t="str">
        <v/>
      </c>
      <c r="F25462" s="102" t="str">
        <f ca="1">IFERROR(__xludf.DUMMYFUNCTION("IMPORTRANGE(H25462,""IDENTITAS UNIT!D9"")"),"#N/A")</f>
        <v>#N/A</v>
      </c>
      <c r="H25462" s="4" t="str">
        <v/>
      </c>
      <c r="I25462" s="4" t="str">
        <v/>
      </c>
    </row>
    <row r="25463" spans="5:9" ht="16.5" hidden="1">
      <c r="E25463" s="4" t="str">
        <v/>
      </c>
      <c r="F25463" s="102" t="str">
        <f ca="1">IFERROR(__xludf.DUMMYFUNCTION("IMPORTRANGE(H25463,""IDENTITAS UNIT!D9"")"),"#N/A")</f>
        <v>#N/A</v>
      </c>
      <c r="H25463" s="4" t="str">
        <v/>
      </c>
      <c r="I25463" s="4" t="str">
        <v/>
      </c>
    </row>
    <row r="25464" spans="5:9" ht="16.5" hidden="1">
      <c r="E25464" s="4" t="str">
        <v/>
      </c>
      <c r="F25464" s="102" t="str">
        <f ca="1">IFERROR(__xludf.DUMMYFUNCTION("IMPORTRANGE(H25464,""IDENTITAS UNIT!D9"")"),"#N/A")</f>
        <v>#N/A</v>
      </c>
      <c r="H25464" s="4" t="str">
        <v/>
      </c>
      <c r="I25464" s="4" t="str">
        <v/>
      </c>
    </row>
    <row r="25465" spans="5:9" ht="16.5" hidden="1">
      <c r="E25465" s="4" t="str">
        <v/>
      </c>
      <c r="F25465" s="102" t="str">
        <f ca="1">IFERROR(__xludf.DUMMYFUNCTION("IMPORTRANGE(H25465,""IDENTITAS UNIT!D9"")"),"#N/A")</f>
        <v>#N/A</v>
      </c>
      <c r="H25465" s="4" t="str">
        <v/>
      </c>
      <c r="I25465" s="4" t="str">
        <v/>
      </c>
    </row>
    <row r="25466" spans="5:9" ht="16.5" hidden="1">
      <c r="E25466" s="4" t="str">
        <v/>
      </c>
      <c r="F25466" s="102" t="str">
        <f ca="1">IFERROR(__xludf.DUMMYFUNCTION("IMPORTRANGE(H25466,""IDENTITAS UNIT!D9"")"),"#N/A")</f>
        <v>#N/A</v>
      </c>
      <c r="H25466" s="4" t="str">
        <v/>
      </c>
      <c r="I25466" s="4" t="str">
        <v/>
      </c>
    </row>
    <row r="25467" spans="5:9" ht="16.5" hidden="1">
      <c r="E25467" s="4" t="str">
        <v/>
      </c>
      <c r="F25467" s="102" t="str">
        <f ca="1">IFERROR(__xludf.DUMMYFUNCTION("IMPORTRANGE(H25467,""IDENTITAS UNIT!D9"")"),"#N/A")</f>
        <v>#N/A</v>
      </c>
      <c r="H25467" s="4" t="str">
        <v/>
      </c>
      <c r="I25467" s="4" t="str">
        <v/>
      </c>
    </row>
    <row r="25468" spans="5:9" ht="16.5" hidden="1">
      <c r="E25468" s="4" t="str">
        <v/>
      </c>
      <c r="F25468" s="102" t="str">
        <f ca="1">IFERROR(__xludf.DUMMYFUNCTION("IMPORTRANGE(H25468,""IDENTITAS UNIT!D9"")"),"#N/A")</f>
        <v>#N/A</v>
      </c>
      <c r="H25468" s="4" t="str">
        <v/>
      </c>
      <c r="I25468" s="4" t="str">
        <v/>
      </c>
    </row>
    <row r="25469" spans="5:9" ht="16.5" hidden="1">
      <c r="E25469" s="4" t="str">
        <v/>
      </c>
      <c r="F25469" s="102" t="str">
        <f ca="1">IFERROR(__xludf.DUMMYFUNCTION("IMPORTRANGE(H25469,""IDENTITAS UNIT!D9"")"),"#N/A")</f>
        <v>#N/A</v>
      </c>
      <c r="H25469" s="4" t="str">
        <v/>
      </c>
      <c r="I25469" s="4" t="str">
        <v/>
      </c>
    </row>
    <row r="25470" spans="5:9" ht="16.5" hidden="1">
      <c r="E25470" s="4" t="str">
        <v/>
      </c>
      <c r="F25470" s="102" t="str">
        <f ca="1">IFERROR(__xludf.DUMMYFUNCTION("IMPORTRANGE(H25470,""IDENTITAS UNIT!D9"")"),"#N/A")</f>
        <v>#N/A</v>
      </c>
      <c r="H25470" s="4" t="str">
        <v/>
      </c>
      <c r="I25470" s="4" t="str">
        <v/>
      </c>
    </row>
    <row r="25471" spans="5:9" ht="16.5" hidden="1">
      <c r="E25471" s="4" t="str">
        <v/>
      </c>
      <c r="F25471" s="102" t="str">
        <f ca="1">IFERROR(__xludf.DUMMYFUNCTION("IMPORTRANGE(H25471,""IDENTITAS UNIT!D9"")"),"#N/A")</f>
        <v>#N/A</v>
      </c>
      <c r="H25471" s="4" t="str">
        <v/>
      </c>
      <c r="I25471" s="4" t="str">
        <v/>
      </c>
    </row>
    <row r="25472" spans="5:9" ht="16.5" hidden="1">
      <c r="E25472" s="4" t="str">
        <v/>
      </c>
      <c r="F25472" s="102" t="str">
        <f ca="1">IFERROR(__xludf.DUMMYFUNCTION("IMPORTRANGE(H25472,""IDENTITAS UNIT!D9"")"),"#N/A")</f>
        <v>#N/A</v>
      </c>
      <c r="H25472" s="4" t="str">
        <v/>
      </c>
      <c r="I25472" s="4" t="str">
        <v/>
      </c>
    </row>
    <row r="25473" spans="5:9" ht="16.5" hidden="1">
      <c r="E25473" s="4" t="str">
        <v/>
      </c>
      <c r="F25473" s="102" t="str">
        <f ca="1">IFERROR(__xludf.DUMMYFUNCTION("IMPORTRANGE(H25473,""IDENTITAS UNIT!D9"")"),"#N/A")</f>
        <v>#N/A</v>
      </c>
      <c r="H25473" s="4" t="str">
        <v/>
      </c>
      <c r="I25473" s="4" t="str">
        <v/>
      </c>
    </row>
    <row r="25474" spans="5:9" ht="16.5" hidden="1">
      <c r="E25474" s="4" t="str">
        <v/>
      </c>
      <c r="F25474" s="102" t="str">
        <f ca="1">IFERROR(__xludf.DUMMYFUNCTION("IMPORTRANGE(H25474,""IDENTITAS UNIT!D9"")"),"#N/A")</f>
        <v>#N/A</v>
      </c>
      <c r="H25474" s="4" t="str">
        <v/>
      </c>
      <c r="I25474" s="4" t="str">
        <v/>
      </c>
    </row>
    <row r="25475" spans="5:9" ht="16.5" hidden="1">
      <c r="E25475" s="4" t="str">
        <v/>
      </c>
      <c r="F25475" s="102" t="str">
        <f ca="1">IFERROR(__xludf.DUMMYFUNCTION("IMPORTRANGE(H25475,""IDENTITAS UNIT!D9"")"),"#N/A")</f>
        <v>#N/A</v>
      </c>
      <c r="H25475" s="4" t="str">
        <v/>
      </c>
      <c r="I25475" s="4" t="str">
        <v/>
      </c>
    </row>
    <row r="25476" spans="5:9" ht="16.5" hidden="1">
      <c r="E25476" s="4" t="str">
        <v/>
      </c>
      <c r="F25476" s="102" t="str">
        <f ca="1">IFERROR(__xludf.DUMMYFUNCTION("IMPORTRANGE(H25476,""IDENTITAS UNIT!D9"")"),"#N/A")</f>
        <v>#N/A</v>
      </c>
      <c r="H25476" s="4" t="str">
        <v/>
      </c>
      <c r="I25476" s="4" t="str">
        <v/>
      </c>
    </row>
    <row r="25477" spans="5:9" ht="16.5" hidden="1">
      <c r="E25477" s="4" t="str">
        <v/>
      </c>
      <c r="F25477" s="102" t="str">
        <f ca="1">IFERROR(__xludf.DUMMYFUNCTION("IMPORTRANGE(H25477,""IDENTITAS UNIT!D9"")"),"#N/A")</f>
        <v>#N/A</v>
      </c>
      <c r="H25477" s="4" t="str">
        <v/>
      </c>
      <c r="I25477" s="4" t="str">
        <v/>
      </c>
    </row>
    <row r="25478" spans="5:9" ht="16.5" hidden="1">
      <c r="E25478" s="4" t="str">
        <v/>
      </c>
      <c r="F25478" s="102" t="str">
        <f ca="1">IFERROR(__xludf.DUMMYFUNCTION("IMPORTRANGE(H25478,""IDENTITAS UNIT!D9"")"),"#N/A")</f>
        <v>#N/A</v>
      </c>
      <c r="H25478" s="4" t="str">
        <v/>
      </c>
      <c r="I25478" s="4" t="str">
        <v/>
      </c>
    </row>
    <row r="25479" spans="5:9" ht="16.5" hidden="1">
      <c r="E25479" s="4" t="str">
        <v/>
      </c>
      <c r="F25479" s="102" t="str">
        <f ca="1">IFERROR(__xludf.DUMMYFUNCTION("IMPORTRANGE(H25479,""IDENTITAS UNIT!D9"")"),"#N/A")</f>
        <v>#N/A</v>
      </c>
      <c r="H25479" s="4" t="str">
        <v/>
      </c>
      <c r="I25479" s="4" t="str">
        <v/>
      </c>
    </row>
    <row r="25480" spans="5:9" ht="16.5" hidden="1">
      <c r="E25480" s="4" t="str">
        <v/>
      </c>
      <c r="F25480" s="102" t="str">
        <f ca="1">IFERROR(__xludf.DUMMYFUNCTION("IMPORTRANGE(H25480,""IDENTITAS UNIT!D9"")"),"#N/A")</f>
        <v>#N/A</v>
      </c>
      <c r="H25480" s="4" t="str">
        <v/>
      </c>
      <c r="I25480" s="4" t="str">
        <v/>
      </c>
    </row>
    <row r="25481" spans="5:9" ht="16.5" hidden="1">
      <c r="E25481" s="4" t="str">
        <v/>
      </c>
      <c r="F25481" s="102" t="str">
        <f ca="1">IFERROR(__xludf.DUMMYFUNCTION("IMPORTRANGE(H25481,""IDENTITAS UNIT!D9"")"),"#N/A")</f>
        <v>#N/A</v>
      </c>
      <c r="H25481" s="4" t="str">
        <v/>
      </c>
      <c r="I25481" s="4" t="str">
        <v/>
      </c>
    </row>
    <row r="25482" spans="5:9" ht="16.5" hidden="1">
      <c r="E25482" s="4" t="str">
        <v/>
      </c>
      <c r="F25482" s="102" t="str">
        <f ca="1">IFERROR(__xludf.DUMMYFUNCTION("IMPORTRANGE(H25482,""IDENTITAS UNIT!D9"")"),"#N/A")</f>
        <v>#N/A</v>
      </c>
      <c r="H25482" s="4" t="str">
        <v/>
      </c>
      <c r="I25482" s="4" t="str">
        <v/>
      </c>
    </row>
    <row r="25483" spans="5:9" ht="16.5" hidden="1">
      <c r="E25483" s="4" t="str">
        <v/>
      </c>
      <c r="F25483" s="102" t="str">
        <f ca="1">IFERROR(__xludf.DUMMYFUNCTION("IMPORTRANGE(H25483,""IDENTITAS UNIT!D9"")"),"#N/A")</f>
        <v>#N/A</v>
      </c>
      <c r="H25483" s="4" t="str">
        <v/>
      </c>
      <c r="I25483" s="4" t="str">
        <v/>
      </c>
    </row>
    <row r="25484" spans="5:9" ht="16.5" hidden="1">
      <c r="E25484" s="4" t="str">
        <v/>
      </c>
      <c r="F25484" s="102" t="str">
        <f ca="1">IFERROR(__xludf.DUMMYFUNCTION("IMPORTRANGE(H25484,""IDENTITAS UNIT!D9"")"),"#N/A")</f>
        <v>#N/A</v>
      </c>
      <c r="H25484" s="4" t="str">
        <v/>
      </c>
      <c r="I25484" s="4" t="str">
        <v/>
      </c>
    </row>
    <row r="25485" spans="5:9" ht="16.5" hidden="1">
      <c r="E25485" s="4" t="str">
        <v/>
      </c>
      <c r="F25485" s="102" t="str">
        <f ca="1">IFERROR(__xludf.DUMMYFUNCTION("IMPORTRANGE(H25485,""IDENTITAS UNIT!D9"")"),"#N/A")</f>
        <v>#N/A</v>
      </c>
      <c r="H25485" s="4" t="str">
        <v/>
      </c>
      <c r="I25485" s="4" t="str">
        <v/>
      </c>
    </row>
    <row r="25486" spans="5:9" ht="16.5" hidden="1">
      <c r="E25486" s="4" t="str">
        <v/>
      </c>
      <c r="F25486" s="102" t="str">
        <f ca="1">IFERROR(__xludf.DUMMYFUNCTION("IMPORTRANGE(H25486,""IDENTITAS UNIT!D9"")"),"#N/A")</f>
        <v>#N/A</v>
      </c>
      <c r="H25486" s="4" t="str">
        <v/>
      </c>
      <c r="I25486" s="4" t="str">
        <v/>
      </c>
    </row>
    <row r="25487" spans="5:9" ht="16.5" hidden="1">
      <c r="E25487" s="4" t="str">
        <v/>
      </c>
      <c r="F25487" s="102" t="str">
        <f ca="1">IFERROR(__xludf.DUMMYFUNCTION("IMPORTRANGE(H25487,""IDENTITAS UNIT!D9"")"),"#N/A")</f>
        <v>#N/A</v>
      </c>
      <c r="H25487" s="4" t="str">
        <v/>
      </c>
      <c r="I25487" s="4" t="str">
        <v/>
      </c>
    </row>
    <row r="25488" spans="5:9" ht="16.5" hidden="1">
      <c r="E25488" s="4" t="str">
        <v/>
      </c>
      <c r="F25488" s="102" t="str">
        <f ca="1">IFERROR(__xludf.DUMMYFUNCTION("IMPORTRANGE(H25488,""IDENTITAS UNIT!D9"")"),"#N/A")</f>
        <v>#N/A</v>
      </c>
      <c r="H25488" s="4" t="str">
        <v/>
      </c>
      <c r="I25488" s="4" t="str">
        <v/>
      </c>
    </row>
    <row r="25489" spans="5:9" ht="16.5" hidden="1">
      <c r="E25489" s="4" t="str">
        <v/>
      </c>
      <c r="F25489" s="102" t="str">
        <f ca="1">IFERROR(__xludf.DUMMYFUNCTION("IMPORTRANGE(H25489,""IDENTITAS UNIT!D9"")"),"#N/A")</f>
        <v>#N/A</v>
      </c>
      <c r="H25489" s="4" t="str">
        <v/>
      </c>
      <c r="I25489" s="4" t="str">
        <v/>
      </c>
    </row>
    <row r="25490" spans="5:9" ht="16.5" hidden="1">
      <c r="E25490" s="4" t="str">
        <v/>
      </c>
      <c r="F25490" s="102" t="str">
        <f ca="1">IFERROR(__xludf.DUMMYFUNCTION("IMPORTRANGE(H25490,""IDENTITAS UNIT!D9"")"),"#N/A")</f>
        <v>#N/A</v>
      </c>
      <c r="H25490" s="4" t="str">
        <v/>
      </c>
      <c r="I25490" s="4" t="str">
        <v/>
      </c>
    </row>
    <row r="25491" spans="5:9" ht="16.5" hidden="1">
      <c r="E25491" s="4" t="str">
        <v/>
      </c>
      <c r="F25491" s="102" t="str">
        <f ca="1">IFERROR(__xludf.DUMMYFUNCTION("IMPORTRANGE(H25491,""IDENTITAS UNIT!D9"")"),"#N/A")</f>
        <v>#N/A</v>
      </c>
      <c r="H25491" s="4" t="str">
        <v/>
      </c>
      <c r="I25491" s="4" t="str">
        <v/>
      </c>
    </row>
    <row r="25492" spans="5:9" ht="16.5" hidden="1">
      <c r="E25492" s="4" t="str">
        <v/>
      </c>
      <c r="F25492" s="102" t="str">
        <f ca="1">IFERROR(__xludf.DUMMYFUNCTION("IMPORTRANGE(H25492,""IDENTITAS UNIT!D9"")"),"#N/A")</f>
        <v>#N/A</v>
      </c>
      <c r="H25492" s="4" t="str">
        <v/>
      </c>
      <c r="I25492" s="4" t="str">
        <v/>
      </c>
    </row>
    <row r="25493" spans="5:9" ht="16.5" hidden="1">
      <c r="E25493" s="4" t="str">
        <v/>
      </c>
      <c r="F25493" s="102" t="str">
        <f ca="1">IFERROR(__xludf.DUMMYFUNCTION("IMPORTRANGE(H25493,""IDENTITAS UNIT!D9"")"),"#N/A")</f>
        <v>#N/A</v>
      </c>
      <c r="H25493" s="4" t="str">
        <v/>
      </c>
      <c r="I25493" s="4" t="str">
        <v/>
      </c>
    </row>
    <row r="25494" spans="5:9" ht="16.5" hidden="1">
      <c r="E25494" s="4" t="str">
        <v/>
      </c>
      <c r="F25494" s="102" t="str">
        <f ca="1">IFERROR(__xludf.DUMMYFUNCTION("IMPORTRANGE(H25494,""IDENTITAS UNIT!D9"")"),"#N/A")</f>
        <v>#N/A</v>
      </c>
      <c r="H25494" s="4" t="str">
        <v/>
      </c>
      <c r="I25494" s="4" t="str">
        <v/>
      </c>
    </row>
    <row r="25495" spans="5:9" ht="16.5" hidden="1">
      <c r="E25495" s="4" t="str">
        <v/>
      </c>
      <c r="F25495" s="102" t="str">
        <f ca="1">IFERROR(__xludf.DUMMYFUNCTION("IMPORTRANGE(H25495,""IDENTITAS UNIT!D9"")"),"#N/A")</f>
        <v>#N/A</v>
      </c>
      <c r="H25495" s="4" t="str">
        <v/>
      </c>
      <c r="I25495" s="4" t="str">
        <v/>
      </c>
    </row>
    <row r="25496" spans="5:9" ht="16.5" hidden="1">
      <c r="E25496" s="4" t="str">
        <v/>
      </c>
      <c r="F25496" s="102" t="str">
        <f ca="1">IFERROR(__xludf.DUMMYFUNCTION("IMPORTRANGE(H25496,""IDENTITAS UNIT!D9"")"),"#N/A")</f>
        <v>#N/A</v>
      </c>
      <c r="H25496" s="4" t="str">
        <v/>
      </c>
      <c r="I25496" s="4" t="str">
        <v/>
      </c>
    </row>
    <row r="25497" spans="5:9" ht="16.5" hidden="1">
      <c r="E25497" s="4" t="str">
        <v/>
      </c>
      <c r="F25497" s="102" t="str">
        <f ca="1">IFERROR(__xludf.DUMMYFUNCTION("IMPORTRANGE(H25497,""IDENTITAS UNIT!D9"")"),"#N/A")</f>
        <v>#N/A</v>
      </c>
      <c r="H25497" s="4" t="str">
        <v/>
      </c>
      <c r="I25497" s="4" t="str">
        <v/>
      </c>
    </row>
    <row r="25498" spans="5:9" ht="16.5" hidden="1">
      <c r="E25498" s="4" t="str">
        <v/>
      </c>
      <c r="F25498" s="102" t="str">
        <f ca="1">IFERROR(__xludf.DUMMYFUNCTION("IMPORTRANGE(H25498,""IDENTITAS UNIT!D9"")"),"#N/A")</f>
        <v>#N/A</v>
      </c>
      <c r="H25498" s="4" t="str">
        <v/>
      </c>
      <c r="I25498" s="4" t="str">
        <v/>
      </c>
    </row>
    <row r="25499" spans="5:9" ht="16.5" hidden="1">
      <c r="E25499" s="4" t="str">
        <v/>
      </c>
      <c r="F25499" s="102" t="str">
        <f ca="1">IFERROR(__xludf.DUMMYFUNCTION("IMPORTRANGE(H25499,""IDENTITAS UNIT!D9"")"),"#N/A")</f>
        <v>#N/A</v>
      </c>
      <c r="H25499" s="4" t="str">
        <v/>
      </c>
      <c r="I25499" s="4" t="str">
        <v/>
      </c>
    </row>
    <row r="25500" spans="5:9" ht="16.5" hidden="1">
      <c r="E25500" s="4" t="str">
        <v/>
      </c>
      <c r="F25500" s="102" t="str">
        <f ca="1">IFERROR(__xludf.DUMMYFUNCTION("IMPORTRANGE(H25500,""IDENTITAS UNIT!D9"")"),"#N/A")</f>
        <v>#N/A</v>
      </c>
      <c r="H25500" s="4" t="str">
        <v/>
      </c>
      <c r="I25500" s="4" t="str">
        <v/>
      </c>
    </row>
    <row r="25501" spans="5:9" ht="16.5" hidden="1">
      <c r="E25501" s="4" t="str">
        <v/>
      </c>
      <c r="F25501" s="102" t="str">
        <f ca="1">IFERROR(__xludf.DUMMYFUNCTION("IMPORTRANGE(H25501,""IDENTITAS UNIT!D9"")"),"#N/A")</f>
        <v>#N/A</v>
      </c>
      <c r="H25501" s="4" t="str">
        <v/>
      </c>
      <c r="I25501" s="4" t="str">
        <v/>
      </c>
    </row>
    <row r="25502" spans="5:9" ht="16.5" hidden="1">
      <c r="E25502" s="4" t="str">
        <v/>
      </c>
      <c r="F25502" s="102" t="str">
        <f ca="1">IFERROR(__xludf.DUMMYFUNCTION("IMPORTRANGE(H25502,""IDENTITAS UNIT!D9"")"),"#N/A")</f>
        <v>#N/A</v>
      </c>
      <c r="H25502" s="4" t="str">
        <v/>
      </c>
      <c r="I25502" s="4" t="str">
        <v/>
      </c>
    </row>
    <row r="25503" spans="5:9" ht="16.5" hidden="1">
      <c r="E25503" s="4" t="str">
        <v/>
      </c>
      <c r="F25503" s="102" t="str">
        <f ca="1">IFERROR(__xludf.DUMMYFUNCTION("IMPORTRANGE(H25503,""IDENTITAS UNIT!D9"")"),"#N/A")</f>
        <v>#N/A</v>
      </c>
      <c r="H25503" s="4" t="str">
        <v/>
      </c>
      <c r="I25503" s="4" t="str">
        <v/>
      </c>
    </row>
    <row r="25504" spans="5:9" ht="16.5" hidden="1">
      <c r="E25504" s="4" t="str">
        <v/>
      </c>
      <c r="F25504" s="102" t="str">
        <f ca="1">IFERROR(__xludf.DUMMYFUNCTION("IMPORTRANGE(H25504,""IDENTITAS UNIT!D9"")"),"#N/A")</f>
        <v>#N/A</v>
      </c>
      <c r="H25504" s="4" t="str">
        <v/>
      </c>
      <c r="I25504" s="4" t="str">
        <v/>
      </c>
    </row>
    <row r="25505" spans="5:9" ht="16.5" hidden="1">
      <c r="E25505" s="4" t="str">
        <v/>
      </c>
      <c r="F25505" s="102" t="str">
        <f ca="1">IFERROR(__xludf.DUMMYFUNCTION("IMPORTRANGE(H25505,""IDENTITAS UNIT!D9"")"),"#N/A")</f>
        <v>#N/A</v>
      </c>
      <c r="H25505" s="4" t="str">
        <v/>
      </c>
      <c r="I25505" s="4" t="str">
        <v/>
      </c>
    </row>
    <row r="25506" spans="5:9" ht="16.5" hidden="1">
      <c r="E25506" s="4" t="str">
        <v/>
      </c>
      <c r="F25506" s="102" t="str">
        <f ca="1">IFERROR(__xludf.DUMMYFUNCTION("IMPORTRANGE(H25506,""IDENTITAS UNIT!D9"")"),"#N/A")</f>
        <v>#N/A</v>
      </c>
      <c r="H25506" s="4" t="str">
        <v/>
      </c>
      <c r="I25506" s="4" t="str">
        <v/>
      </c>
    </row>
    <row r="25507" spans="5:9" ht="16.5" hidden="1">
      <c r="E25507" s="4" t="str">
        <v/>
      </c>
      <c r="F25507" s="102" t="str">
        <f ca="1">IFERROR(__xludf.DUMMYFUNCTION("IMPORTRANGE(H25507,""IDENTITAS UNIT!D9"")"),"#N/A")</f>
        <v>#N/A</v>
      </c>
      <c r="H25507" s="4" t="str">
        <v/>
      </c>
      <c r="I25507" s="4" t="str">
        <v/>
      </c>
    </row>
    <row r="25508" spans="5:9" ht="16.5" hidden="1">
      <c r="E25508" s="4" t="str">
        <v/>
      </c>
      <c r="F25508" s="102" t="str">
        <f ca="1">IFERROR(__xludf.DUMMYFUNCTION("IMPORTRANGE(H25508,""IDENTITAS UNIT!D9"")"),"#N/A")</f>
        <v>#N/A</v>
      </c>
      <c r="H25508" s="4" t="str">
        <v/>
      </c>
      <c r="I25508" s="4" t="str">
        <v/>
      </c>
    </row>
    <row r="25509" spans="5:9" ht="16.5" hidden="1">
      <c r="E25509" s="4" t="str">
        <v/>
      </c>
      <c r="F25509" s="102" t="str">
        <f ca="1">IFERROR(__xludf.DUMMYFUNCTION("IMPORTRANGE(H25509,""IDENTITAS UNIT!D9"")"),"#N/A")</f>
        <v>#N/A</v>
      </c>
      <c r="H25509" s="4" t="str">
        <v/>
      </c>
      <c r="I25509" s="4" t="str">
        <v/>
      </c>
    </row>
    <row r="25510" spans="5:9" ht="16.5" hidden="1">
      <c r="E25510" s="4" t="str">
        <v/>
      </c>
      <c r="F25510" s="102" t="str">
        <f ca="1">IFERROR(__xludf.DUMMYFUNCTION("IMPORTRANGE(H25510,""IDENTITAS UNIT!D9"")"),"#N/A")</f>
        <v>#N/A</v>
      </c>
      <c r="H25510" s="4" t="str">
        <v/>
      </c>
      <c r="I25510" s="4" t="str">
        <v/>
      </c>
    </row>
    <row r="25511" spans="5:9" ht="16.5" hidden="1">
      <c r="E25511" s="4" t="str">
        <v/>
      </c>
      <c r="F25511" s="102" t="str">
        <f ca="1">IFERROR(__xludf.DUMMYFUNCTION("IMPORTRANGE(H25511,""IDENTITAS UNIT!D9"")"),"#N/A")</f>
        <v>#N/A</v>
      </c>
      <c r="H25511" s="4" t="str">
        <v/>
      </c>
      <c r="I25511" s="4" t="str">
        <v/>
      </c>
    </row>
    <row r="25512" spans="5:9" ht="16.5" hidden="1">
      <c r="E25512" s="4" t="str">
        <v/>
      </c>
      <c r="F25512" s="102" t="str">
        <f ca="1">IFERROR(__xludf.DUMMYFUNCTION("IMPORTRANGE(H25512,""IDENTITAS UNIT!D9"")"),"#N/A")</f>
        <v>#N/A</v>
      </c>
      <c r="H25512" s="4" t="str">
        <v/>
      </c>
      <c r="I25512" s="4" t="str">
        <v/>
      </c>
    </row>
    <row r="25513" spans="5:9" ht="16.5" hidden="1">
      <c r="E25513" s="4" t="str">
        <v/>
      </c>
      <c r="F25513" s="102" t="str">
        <f ca="1">IFERROR(__xludf.DUMMYFUNCTION("IMPORTRANGE(H25513,""IDENTITAS UNIT!D9"")"),"#N/A")</f>
        <v>#N/A</v>
      </c>
      <c r="H25513" s="4" t="str">
        <v/>
      </c>
      <c r="I25513" s="4" t="str">
        <v/>
      </c>
    </row>
    <row r="25514" spans="5:9" ht="16.5" hidden="1">
      <c r="E25514" s="4" t="str">
        <v/>
      </c>
      <c r="F25514" s="102" t="str">
        <f ca="1">IFERROR(__xludf.DUMMYFUNCTION("IMPORTRANGE(H25514,""IDENTITAS UNIT!D9"")"),"#N/A")</f>
        <v>#N/A</v>
      </c>
      <c r="H25514" s="4" t="str">
        <v/>
      </c>
      <c r="I25514" s="4" t="str">
        <v/>
      </c>
    </row>
    <row r="25515" spans="5:9" ht="16.5" hidden="1">
      <c r="E25515" s="4" t="str">
        <v/>
      </c>
      <c r="F25515" s="102" t="str">
        <f ca="1">IFERROR(__xludf.DUMMYFUNCTION("IMPORTRANGE(H25515,""IDENTITAS UNIT!D9"")"),"#N/A")</f>
        <v>#N/A</v>
      </c>
      <c r="H25515" s="4" t="str">
        <v/>
      </c>
      <c r="I25515" s="4" t="str">
        <v/>
      </c>
    </row>
    <row r="25516" spans="5:9" ht="16.5" hidden="1">
      <c r="E25516" s="4" t="str">
        <v/>
      </c>
      <c r="F25516" s="102" t="str">
        <f ca="1">IFERROR(__xludf.DUMMYFUNCTION("IMPORTRANGE(H25516,""IDENTITAS UNIT!D9"")"),"#N/A")</f>
        <v>#N/A</v>
      </c>
      <c r="H25516" s="4" t="str">
        <v/>
      </c>
      <c r="I25516" s="4" t="str">
        <v/>
      </c>
    </row>
    <row r="25517" spans="5:9" ht="16.5" hidden="1">
      <c r="E25517" s="4" t="str">
        <v/>
      </c>
      <c r="F25517" s="102" t="str">
        <f ca="1">IFERROR(__xludf.DUMMYFUNCTION("IMPORTRANGE(H25517,""IDENTITAS UNIT!D9"")"),"#N/A")</f>
        <v>#N/A</v>
      </c>
      <c r="H25517" s="4" t="str">
        <v/>
      </c>
      <c r="I25517" s="4" t="str">
        <v/>
      </c>
    </row>
    <row r="25518" spans="5:9" ht="16.5" hidden="1">
      <c r="E25518" s="4" t="str">
        <v/>
      </c>
      <c r="F25518" s="102" t="str">
        <f ca="1">IFERROR(__xludf.DUMMYFUNCTION("IMPORTRANGE(H25518,""IDENTITAS UNIT!D9"")"),"#N/A")</f>
        <v>#N/A</v>
      </c>
      <c r="H25518" s="4" t="str">
        <v/>
      </c>
      <c r="I25518" s="4" t="str">
        <v/>
      </c>
    </row>
    <row r="25519" spans="5:9" ht="16.5" hidden="1">
      <c r="E25519" s="4" t="str">
        <v/>
      </c>
      <c r="F25519" s="102" t="str">
        <f ca="1">IFERROR(__xludf.DUMMYFUNCTION("IMPORTRANGE(H25519,""IDENTITAS UNIT!D9"")"),"#N/A")</f>
        <v>#N/A</v>
      </c>
      <c r="H25519" s="4" t="str">
        <v/>
      </c>
      <c r="I25519" s="4" t="str">
        <v/>
      </c>
    </row>
    <row r="25520" spans="5:9" ht="16.5" hidden="1">
      <c r="E25520" s="4" t="str">
        <v/>
      </c>
      <c r="F25520" s="102" t="str">
        <f ca="1">IFERROR(__xludf.DUMMYFUNCTION("IMPORTRANGE(H25520,""IDENTITAS UNIT!D9"")"),"#N/A")</f>
        <v>#N/A</v>
      </c>
      <c r="H25520" s="4" t="str">
        <v/>
      </c>
      <c r="I25520" s="4" t="str">
        <v/>
      </c>
    </row>
    <row r="25521" spans="5:9" ht="16.5" hidden="1">
      <c r="E25521" s="4" t="str">
        <v/>
      </c>
      <c r="F25521" s="102" t="str">
        <f ca="1">IFERROR(__xludf.DUMMYFUNCTION("IMPORTRANGE(H25521,""IDENTITAS UNIT!D9"")"),"#N/A")</f>
        <v>#N/A</v>
      </c>
      <c r="H25521" s="4" t="str">
        <v/>
      </c>
      <c r="I25521" s="4" t="str">
        <v/>
      </c>
    </row>
    <row r="25522" spans="5:9" ht="16.5" hidden="1">
      <c r="E25522" s="4" t="str">
        <v/>
      </c>
      <c r="F25522" s="102" t="str">
        <f ca="1">IFERROR(__xludf.DUMMYFUNCTION("IMPORTRANGE(H25522,""IDENTITAS UNIT!D9"")"),"#N/A")</f>
        <v>#N/A</v>
      </c>
      <c r="H25522" s="4" t="str">
        <v/>
      </c>
      <c r="I25522" s="4" t="str">
        <v/>
      </c>
    </row>
    <row r="25523" spans="5:9" ht="16.5" hidden="1">
      <c r="E25523" s="4" t="str">
        <v/>
      </c>
      <c r="F25523" s="102" t="str">
        <f ca="1">IFERROR(__xludf.DUMMYFUNCTION("IMPORTRANGE(H25523,""IDENTITAS UNIT!D9"")"),"#N/A")</f>
        <v>#N/A</v>
      </c>
      <c r="H25523" s="4" t="str">
        <v/>
      </c>
      <c r="I25523" s="4" t="str">
        <v/>
      </c>
    </row>
    <row r="25524" spans="5:9" ht="16.5" hidden="1">
      <c r="E25524" s="4" t="str">
        <v/>
      </c>
      <c r="F25524" s="102" t="str">
        <f ca="1">IFERROR(__xludf.DUMMYFUNCTION("IMPORTRANGE(H25524,""IDENTITAS UNIT!D9"")"),"#N/A")</f>
        <v>#N/A</v>
      </c>
      <c r="H25524" s="4" t="str">
        <v/>
      </c>
      <c r="I25524" s="4" t="str">
        <v/>
      </c>
    </row>
    <row r="25525" spans="5:9" ht="16.5" hidden="1">
      <c r="E25525" s="4" t="str">
        <v/>
      </c>
      <c r="F25525" s="102" t="str">
        <f ca="1">IFERROR(__xludf.DUMMYFUNCTION("IMPORTRANGE(H25525,""IDENTITAS UNIT!D9"")"),"#N/A")</f>
        <v>#N/A</v>
      </c>
      <c r="H25525" s="4" t="str">
        <v/>
      </c>
      <c r="I25525" s="4" t="str">
        <v/>
      </c>
    </row>
    <row r="25526" spans="5:9" ht="16.5" hidden="1">
      <c r="E25526" s="4" t="str">
        <v/>
      </c>
      <c r="F25526" s="102" t="str">
        <f ca="1">IFERROR(__xludf.DUMMYFUNCTION("IMPORTRANGE(H25526,""IDENTITAS UNIT!D9"")"),"#N/A")</f>
        <v>#N/A</v>
      </c>
      <c r="H25526" s="4" t="str">
        <v/>
      </c>
      <c r="I25526" s="4" t="str">
        <v/>
      </c>
    </row>
    <row r="25527" spans="5:9" ht="16.5" hidden="1">
      <c r="E25527" s="4" t="str">
        <v/>
      </c>
      <c r="F25527" s="102" t="str">
        <f ca="1">IFERROR(__xludf.DUMMYFUNCTION("IMPORTRANGE(H25527,""IDENTITAS UNIT!D9"")"),"#N/A")</f>
        <v>#N/A</v>
      </c>
      <c r="H25527" s="4" t="str">
        <v/>
      </c>
      <c r="I25527" s="4" t="str">
        <v/>
      </c>
    </row>
    <row r="25528" spans="5:9" ht="16.5" hidden="1">
      <c r="E25528" s="4" t="str">
        <v/>
      </c>
      <c r="F25528" s="102" t="str">
        <f ca="1">IFERROR(__xludf.DUMMYFUNCTION("IMPORTRANGE(H25528,""IDENTITAS UNIT!D9"")"),"#N/A")</f>
        <v>#N/A</v>
      </c>
      <c r="H25528" s="4" t="str">
        <v/>
      </c>
      <c r="I25528" s="4" t="str">
        <v/>
      </c>
    </row>
    <row r="25529" spans="5:9" ht="16.5" hidden="1">
      <c r="E25529" s="4" t="str">
        <v/>
      </c>
      <c r="F25529" s="102" t="str">
        <f ca="1">IFERROR(__xludf.DUMMYFUNCTION("IMPORTRANGE(H25529,""IDENTITAS UNIT!D9"")"),"#N/A")</f>
        <v>#N/A</v>
      </c>
      <c r="H25529" s="4" t="str">
        <v/>
      </c>
      <c r="I25529" s="4" t="str">
        <v/>
      </c>
    </row>
    <row r="25530" spans="5:9" ht="16.5" hidden="1">
      <c r="E25530" s="4" t="str">
        <v/>
      </c>
      <c r="F25530" s="102" t="str">
        <f ca="1">IFERROR(__xludf.DUMMYFUNCTION("IMPORTRANGE(H25530,""IDENTITAS UNIT!D9"")"),"#N/A")</f>
        <v>#N/A</v>
      </c>
      <c r="H25530" s="4" t="str">
        <v/>
      </c>
      <c r="I25530" s="4" t="str">
        <v/>
      </c>
    </row>
    <row r="25531" spans="5:9" ht="16.5" hidden="1">
      <c r="E25531" s="4" t="str">
        <v/>
      </c>
      <c r="F25531" s="102" t="str">
        <f ca="1">IFERROR(__xludf.DUMMYFUNCTION("IMPORTRANGE(H25531,""IDENTITAS UNIT!D9"")"),"#N/A")</f>
        <v>#N/A</v>
      </c>
      <c r="H25531" s="4" t="str">
        <v/>
      </c>
      <c r="I25531" s="4" t="str">
        <v/>
      </c>
    </row>
    <row r="25532" spans="5:9" ht="16.5" hidden="1">
      <c r="E25532" s="4" t="str">
        <v/>
      </c>
      <c r="F25532" s="102" t="str">
        <f ca="1">IFERROR(__xludf.DUMMYFUNCTION("IMPORTRANGE(H25532,""IDENTITAS UNIT!D9"")"),"#N/A")</f>
        <v>#N/A</v>
      </c>
      <c r="H25532" s="4" t="str">
        <v/>
      </c>
      <c r="I25532" s="4" t="str">
        <v/>
      </c>
    </row>
    <row r="25533" spans="5:9" ht="16.5" hidden="1">
      <c r="E25533" s="4" t="str">
        <v/>
      </c>
      <c r="F25533" s="102" t="str">
        <f ca="1">IFERROR(__xludf.DUMMYFUNCTION("IMPORTRANGE(H25533,""IDENTITAS UNIT!D9"")"),"#N/A")</f>
        <v>#N/A</v>
      </c>
      <c r="H25533" s="4" t="str">
        <v/>
      </c>
      <c r="I25533" s="4" t="str">
        <v/>
      </c>
    </row>
    <row r="25534" spans="5:9" ht="16.5" hidden="1">
      <c r="E25534" s="4" t="str">
        <v/>
      </c>
      <c r="F25534" s="102" t="str">
        <f ca="1">IFERROR(__xludf.DUMMYFUNCTION("IMPORTRANGE(H25534,""IDENTITAS UNIT!D9"")"),"#N/A")</f>
        <v>#N/A</v>
      </c>
      <c r="H25534" s="4" t="str">
        <v/>
      </c>
      <c r="I25534" s="4" t="str">
        <v/>
      </c>
    </row>
    <row r="25535" spans="5:9" ht="16.5" hidden="1">
      <c r="E25535" s="4" t="str">
        <v/>
      </c>
      <c r="F25535" s="102" t="str">
        <f ca="1">IFERROR(__xludf.DUMMYFUNCTION("IMPORTRANGE(H25535,""IDENTITAS UNIT!D9"")"),"#N/A")</f>
        <v>#N/A</v>
      </c>
      <c r="H25535" s="4" t="str">
        <v/>
      </c>
      <c r="I25535" s="4" t="str">
        <v/>
      </c>
    </row>
    <row r="25536" spans="5:9" ht="16.5" hidden="1">
      <c r="E25536" s="4" t="str">
        <v/>
      </c>
      <c r="F25536" s="102" t="str">
        <f ca="1">IFERROR(__xludf.DUMMYFUNCTION("IMPORTRANGE(H25536,""IDENTITAS UNIT!D9"")"),"#N/A")</f>
        <v>#N/A</v>
      </c>
      <c r="H25536" s="4" t="str">
        <v/>
      </c>
      <c r="I25536" s="4" t="str">
        <v/>
      </c>
    </row>
    <row r="25537" spans="5:9" ht="16.5" hidden="1">
      <c r="E25537" s="4" t="str">
        <v/>
      </c>
      <c r="F25537" s="102" t="str">
        <f ca="1">IFERROR(__xludf.DUMMYFUNCTION("IMPORTRANGE(H25537,""IDENTITAS UNIT!D9"")"),"#N/A")</f>
        <v>#N/A</v>
      </c>
      <c r="H25537" s="4" t="str">
        <v/>
      </c>
      <c r="I25537" s="4" t="str">
        <v/>
      </c>
    </row>
    <row r="25538" spans="5:9" ht="16.5" hidden="1">
      <c r="E25538" s="4" t="str">
        <v/>
      </c>
      <c r="F25538" s="102" t="str">
        <f ca="1">IFERROR(__xludf.DUMMYFUNCTION("IMPORTRANGE(H25538,""IDENTITAS UNIT!D9"")"),"#N/A")</f>
        <v>#N/A</v>
      </c>
      <c r="H25538" s="4" t="str">
        <v/>
      </c>
      <c r="I25538" s="4" t="str">
        <v/>
      </c>
    </row>
    <row r="25539" spans="5:9" ht="16.5" hidden="1">
      <c r="E25539" s="4" t="str">
        <v/>
      </c>
      <c r="F25539" s="102" t="str">
        <f ca="1">IFERROR(__xludf.DUMMYFUNCTION("IMPORTRANGE(H25539,""IDENTITAS UNIT!D9"")"),"#N/A")</f>
        <v>#N/A</v>
      </c>
      <c r="H25539" s="4" t="str">
        <v/>
      </c>
      <c r="I25539" s="4" t="str">
        <v/>
      </c>
    </row>
    <row r="25540" spans="5:9" ht="16.5" hidden="1">
      <c r="E25540" s="4" t="str">
        <v/>
      </c>
      <c r="F25540" s="102" t="str">
        <f ca="1">IFERROR(__xludf.DUMMYFUNCTION("IMPORTRANGE(H25540,""IDENTITAS UNIT!D9"")"),"#N/A")</f>
        <v>#N/A</v>
      </c>
      <c r="H25540" s="4" t="str">
        <v/>
      </c>
      <c r="I25540" s="4" t="str">
        <v/>
      </c>
    </row>
    <row r="25541" spans="5:9" ht="16.5" hidden="1">
      <c r="E25541" s="4" t="str">
        <v/>
      </c>
      <c r="F25541" s="102" t="str">
        <f ca="1">IFERROR(__xludf.DUMMYFUNCTION("IMPORTRANGE(H25541,""IDENTITAS UNIT!D9"")"),"#N/A")</f>
        <v>#N/A</v>
      </c>
      <c r="H25541" s="4" t="str">
        <v/>
      </c>
      <c r="I25541" s="4" t="str">
        <v/>
      </c>
    </row>
    <row r="25542" spans="5:9" ht="16.5" hidden="1">
      <c r="E25542" s="4" t="str">
        <v/>
      </c>
      <c r="F25542" s="102" t="str">
        <f ca="1">IFERROR(__xludf.DUMMYFUNCTION("IMPORTRANGE(H25542,""IDENTITAS UNIT!D9"")"),"#N/A")</f>
        <v>#N/A</v>
      </c>
      <c r="H25542" s="4" t="str">
        <v/>
      </c>
      <c r="I25542" s="4" t="str">
        <v/>
      </c>
    </row>
    <row r="25543" spans="5:9" ht="16.5" hidden="1">
      <c r="E25543" s="4" t="str">
        <v/>
      </c>
      <c r="F25543" s="102" t="str">
        <f ca="1">IFERROR(__xludf.DUMMYFUNCTION("IMPORTRANGE(H25543,""IDENTITAS UNIT!D9"")"),"#N/A")</f>
        <v>#N/A</v>
      </c>
      <c r="H25543" s="4" t="str">
        <v/>
      </c>
      <c r="I25543" s="4" t="str">
        <v/>
      </c>
    </row>
    <row r="25544" spans="5:9" ht="16.5" hidden="1">
      <c r="E25544" s="4" t="str">
        <v/>
      </c>
      <c r="F25544" s="102" t="str">
        <f ca="1">IFERROR(__xludf.DUMMYFUNCTION("IMPORTRANGE(H25544,""IDENTITAS UNIT!D9"")"),"#N/A")</f>
        <v>#N/A</v>
      </c>
      <c r="H25544" s="4" t="str">
        <v/>
      </c>
      <c r="I25544" s="4" t="str">
        <v/>
      </c>
    </row>
    <row r="25545" spans="5:9" ht="16.5" hidden="1">
      <c r="E25545" s="4" t="str">
        <v/>
      </c>
      <c r="F25545" s="102" t="str">
        <f ca="1">IFERROR(__xludf.DUMMYFUNCTION("IMPORTRANGE(H25545,""IDENTITAS UNIT!D9"")"),"#N/A")</f>
        <v>#N/A</v>
      </c>
      <c r="H25545" s="4" t="str">
        <v/>
      </c>
      <c r="I25545" s="4" t="str">
        <v/>
      </c>
    </row>
    <row r="25546" spans="5:9" ht="16.5" hidden="1">
      <c r="E25546" s="4" t="str">
        <v/>
      </c>
      <c r="F25546" s="102" t="str">
        <f ca="1">IFERROR(__xludf.DUMMYFUNCTION("IMPORTRANGE(H25546,""IDENTITAS UNIT!D9"")"),"#N/A")</f>
        <v>#N/A</v>
      </c>
      <c r="H25546" s="4" t="str">
        <v/>
      </c>
      <c r="I25546" s="4" t="str">
        <v/>
      </c>
    </row>
    <row r="25547" spans="5:9" ht="16.5" hidden="1">
      <c r="E25547" s="4" t="str">
        <v/>
      </c>
      <c r="F25547" s="102" t="str">
        <f ca="1">IFERROR(__xludf.DUMMYFUNCTION("IMPORTRANGE(H25547,""IDENTITAS UNIT!D9"")"),"#N/A")</f>
        <v>#N/A</v>
      </c>
      <c r="H25547" s="4" t="str">
        <v/>
      </c>
      <c r="I25547" s="4" t="str">
        <v/>
      </c>
    </row>
    <row r="25548" spans="5:9" ht="16.5" hidden="1">
      <c r="E25548" s="4" t="str">
        <v/>
      </c>
      <c r="F25548" s="102" t="str">
        <f ca="1">IFERROR(__xludf.DUMMYFUNCTION("IMPORTRANGE(H25548,""IDENTITAS UNIT!D9"")"),"#N/A")</f>
        <v>#N/A</v>
      </c>
      <c r="H25548" s="4" t="str">
        <v/>
      </c>
      <c r="I25548" s="4" t="str">
        <v/>
      </c>
    </row>
    <row r="25549" spans="5:9" ht="16.5" hidden="1">
      <c r="E25549" s="4" t="str">
        <v/>
      </c>
      <c r="F25549" s="102" t="str">
        <f ca="1">IFERROR(__xludf.DUMMYFUNCTION("IMPORTRANGE(H25549,""IDENTITAS UNIT!D9"")"),"#N/A")</f>
        <v>#N/A</v>
      </c>
      <c r="H25549" s="4" t="str">
        <v/>
      </c>
      <c r="I25549" s="4" t="str">
        <v/>
      </c>
    </row>
    <row r="25550" spans="5:9" ht="16.5" hidden="1">
      <c r="E25550" s="4" t="str">
        <v/>
      </c>
      <c r="F25550" s="102" t="str">
        <f ca="1">IFERROR(__xludf.DUMMYFUNCTION("IMPORTRANGE(H25550,""IDENTITAS UNIT!D9"")"),"#N/A")</f>
        <v>#N/A</v>
      </c>
      <c r="H25550" s="4" t="str">
        <v/>
      </c>
      <c r="I25550" s="4" t="str">
        <v/>
      </c>
    </row>
    <row r="25551" spans="5:9" ht="16.5" hidden="1">
      <c r="E25551" s="4" t="str">
        <v/>
      </c>
      <c r="F25551" s="102" t="str">
        <f ca="1">IFERROR(__xludf.DUMMYFUNCTION("IMPORTRANGE(H25551,""IDENTITAS UNIT!D9"")"),"#N/A")</f>
        <v>#N/A</v>
      </c>
      <c r="H25551" s="4" t="str">
        <v/>
      </c>
      <c r="I25551" s="4" t="str">
        <v/>
      </c>
    </row>
    <row r="25552" spans="5:9" ht="16.5" hidden="1">
      <c r="E25552" s="4" t="str">
        <v/>
      </c>
      <c r="F25552" s="102" t="str">
        <f ca="1">IFERROR(__xludf.DUMMYFUNCTION("IMPORTRANGE(H25552,""IDENTITAS UNIT!D9"")"),"#N/A")</f>
        <v>#N/A</v>
      </c>
      <c r="H25552" s="4" t="str">
        <v/>
      </c>
      <c r="I25552" s="4" t="str">
        <v/>
      </c>
    </row>
    <row r="25553" spans="5:9" ht="16.5" hidden="1">
      <c r="E25553" s="4" t="str">
        <v/>
      </c>
      <c r="F25553" s="102" t="str">
        <f ca="1">IFERROR(__xludf.DUMMYFUNCTION("IMPORTRANGE(H25553,""IDENTITAS UNIT!D9"")"),"#N/A")</f>
        <v>#N/A</v>
      </c>
      <c r="H25553" s="4" t="str">
        <v/>
      </c>
      <c r="I25553" s="4" t="str">
        <v/>
      </c>
    </row>
    <row r="25554" spans="5:9" ht="16.5" hidden="1">
      <c r="E25554" s="4" t="str">
        <v/>
      </c>
      <c r="F25554" s="102" t="str">
        <f ca="1">IFERROR(__xludf.DUMMYFUNCTION("IMPORTRANGE(H25554,""IDENTITAS UNIT!D9"")"),"#N/A")</f>
        <v>#N/A</v>
      </c>
      <c r="H25554" s="4" t="str">
        <v/>
      </c>
      <c r="I25554" s="4" t="str">
        <v/>
      </c>
    </row>
    <row r="25555" spans="5:9" ht="16.5" hidden="1">
      <c r="E25555" s="4" t="str">
        <v/>
      </c>
      <c r="F25555" s="102" t="str">
        <f ca="1">IFERROR(__xludf.DUMMYFUNCTION("IMPORTRANGE(H25555,""IDENTITAS UNIT!D9"")"),"#N/A")</f>
        <v>#N/A</v>
      </c>
      <c r="H25555" s="4" t="str">
        <v/>
      </c>
      <c r="I25555" s="4" t="str">
        <v/>
      </c>
    </row>
    <row r="25556" spans="5:9" ht="16.5" hidden="1">
      <c r="E25556" s="4" t="str">
        <v/>
      </c>
      <c r="F25556" s="102" t="str">
        <f ca="1">IFERROR(__xludf.DUMMYFUNCTION("IMPORTRANGE(H25556,""IDENTITAS UNIT!D9"")"),"#N/A")</f>
        <v>#N/A</v>
      </c>
      <c r="H25556" s="4" t="str">
        <v/>
      </c>
      <c r="I25556" s="4" t="str">
        <v/>
      </c>
    </row>
    <row r="25557" spans="5:9" ht="16.5" hidden="1">
      <c r="E25557" s="4" t="str">
        <v/>
      </c>
      <c r="F25557" s="102" t="str">
        <f ca="1">IFERROR(__xludf.DUMMYFUNCTION("IMPORTRANGE(H25557,""IDENTITAS UNIT!D9"")"),"#N/A")</f>
        <v>#N/A</v>
      </c>
      <c r="H25557" s="4" t="str">
        <v/>
      </c>
      <c r="I25557" s="4" t="str">
        <v/>
      </c>
    </row>
    <row r="25558" spans="5:9" ht="16.5" hidden="1">
      <c r="E25558" s="4" t="str">
        <v/>
      </c>
      <c r="F25558" s="102" t="str">
        <f ca="1">IFERROR(__xludf.DUMMYFUNCTION("IMPORTRANGE(H25558,""IDENTITAS UNIT!D9"")"),"#N/A")</f>
        <v>#N/A</v>
      </c>
      <c r="H25558" s="4" t="str">
        <v/>
      </c>
      <c r="I25558" s="4" t="str">
        <v/>
      </c>
    </row>
    <row r="25559" spans="5:9" ht="16.5" hidden="1">
      <c r="E25559" s="4" t="str">
        <v/>
      </c>
      <c r="F25559" s="102" t="str">
        <f ca="1">IFERROR(__xludf.DUMMYFUNCTION("IMPORTRANGE(H25559,""IDENTITAS UNIT!D9"")"),"#N/A")</f>
        <v>#N/A</v>
      </c>
      <c r="H25559" s="4" t="str">
        <v/>
      </c>
      <c r="I25559" s="4" t="str">
        <v/>
      </c>
    </row>
    <row r="25560" spans="5:9" ht="16.5" hidden="1">
      <c r="E25560" s="4" t="str">
        <v/>
      </c>
      <c r="F25560" s="102" t="str">
        <f ca="1">IFERROR(__xludf.DUMMYFUNCTION("IMPORTRANGE(H25560,""IDENTITAS UNIT!D9"")"),"#N/A")</f>
        <v>#N/A</v>
      </c>
      <c r="H25560" s="4" t="str">
        <v/>
      </c>
      <c r="I25560" s="4" t="str">
        <v/>
      </c>
    </row>
    <row r="25561" spans="5:9" ht="16.5" hidden="1">
      <c r="E25561" s="4" t="str">
        <v/>
      </c>
      <c r="F25561" s="102" t="str">
        <f ca="1">IFERROR(__xludf.DUMMYFUNCTION("IMPORTRANGE(H25561,""IDENTITAS UNIT!D9"")"),"#N/A")</f>
        <v>#N/A</v>
      </c>
      <c r="H25561" s="4" t="str">
        <v/>
      </c>
      <c r="I25561" s="4" t="str">
        <v/>
      </c>
    </row>
    <row r="25562" spans="5:9" ht="16.5" hidden="1">
      <c r="E25562" s="4" t="str">
        <v/>
      </c>
      <c r="F25562" s="102" t="str">
        <f ca="1">IFERROR(__xludf.DUMMYFUNCTION("IMPORTRANGE(H25562,""IDENTITAS UNIT!D9"")"),"#N/A")</f>
        <v>#N/A</v>
      </c>
      <c r="H25562" s="4" t="str">
        <v/>
      </c>
      <c r="I25562" s="4" t="str">
        <v/>
      </c>
    </row>
    <row r="25563" spans="5:9" ht="16.5" hidden="1">
      <c r="E25563" s="4" t="str">
        <v/>
      </c>
      <c r="F25563" s="102" t="str">
        <f ca="1">IFERROR(__xludf.DUMMYFUNCTION("IMPORTRANGE(H25563,""IDENTITAS UNIT!D9"")"),"#N/A")</f>
        <v>#N/A</v>
      </c>
      <c r="H25563" s="4" t="str">
        <v/>
      </c>
      <c r="I25563" s="4" t="str">
        <v/>
      </c>
    </row>
    <row r="25564" spans="5:9" ht="16.5" hidden="1">
      <c r="E25564" s="4" t="str">
        <v/>
      </c>
      <c r="F25564" s="102" t="str">
        <f ca="1">IFERROR(__xludf.DUMMYFUNCTION("IMPORTRANGE(H25564,""IDENTITAS UNIT!D9"")"),"#N/A")</f>
        <v>#N/A</v>
      </c>
      <c r="H25564" s="4" t="str">
        <v/>
      </c>
      <c r="I25564" s="4" t="str">
        <v/>
      </c>
    </row>
    <row r="25565" spans="5:9" ht="16.5" hidden="1">
      <c r="E25565" s="4" t="str">
        <v/>
      </c>
      <c r="F25565" s="102" t="str">
        <f ca="1">IFERROR(__xludf.DUMMYFUNCTION("IMPORTRANGE(H25565,""IDENTITAS UNIT!D9"")"),"#N/A")</f>
        <v>#N/A</v>
      </c>
      <c r="H25565" s="4" t="str">
        <v/>
      </c>
      <c r="I25565" s="4" t="str">
        <v/>
      </c>
    </row>
    <row r="25566" spans="5:9" ht="16.5" hidden="1">
      <c r="E25566" s="4" t="str">
        <v/>
      </c>
      <c r="F25566" s="102" t="str">
        <f ca="1">IFERROR(__xludf.DUMMYFUNCTION("IMPORTRANGE(H25566,""IDENTITAS UNIT!D9"")"),"#N/A")</f>
        <v>#N/A</v>
      </c>
      <c r="H25566" s="4" t="str">
        <v/>
      </c>
      <c r="I25566" s="4" t="str">
        <v/>
      </c>
    </row>
    <row r="25567" spans="5:9" ht="16.5" hidden="1">
      <c r="E25567" s="4" t="str">
        <v/>
      </c>
      <c r="F25567" s="102" t="str">
        <f ca="1">IFERROR(__xludf.DUMMYFUNCTION("IMPORTRANGE(H25567,""IDENTITAS UNIT!D9"")"),"#N/A")</f>
        <v>#N/A</v>
      </c>
      <c r="H25567" s="4" t="str">
        <v/>
      </c>
      <c r="I25567" s="4" t="str">
        <v/>
      </c>
    </row>
    <row r="25568" spans="5:9" ht="16.5" hidden="1">
      <c r="E25568" s="4" t="str">
        <v/>
      </c>
      <c r="F25568" s="102" t="str">
        <f ca="1">IFERROR(__xludf.DUMMYFUNCTION("IMPORTRANGE(H25568,""IDENTITAS UNIT!D9"")"),"#N/A")</f>
        <v>#N/A</v>
      </c>
      <c r="H25568" s="4" t="str">
        <v/>
      </c>
      <c r="I25568" s="4" t="str">
        <v/>
      </c>
    </row>
    <row r="25569" spans="5:9" ht="16.5" hidden="1">
      <c r="E25569" s="4" t="str">
        <v/>
      </c>
      <c r="F25569" s="102" t="str">
        <f ca="1">IFERROR(__xludf.DUMMYFUNCTION("IMPORTRANGE(H25569,""IDENTITAS UNIT!D9"")"),"#N/A")</f>
        <v>#N/A</v>
      </c>
      <c r="H25569" s="4" t="str">
        <v/>
      </c>
      <c r="I25569" s="4" t="str">
        <v/>
      </c>
    </row>
    <row r="25570" spans="5:9" ht="16.5" hidden="1">
      <c r="E25570" s="4" t="str">
        <v/>
      </c>
      <c r="F25570" s="102" t="str">
        <f ca="1">IFERROR(__xludf.DUMMYFUNCTION("IMPORTRANGE(H25570,""IDENTITAS UNIT!D9"")"),"#N/A")</f>
        <v>#N/A</v>
      </c>
      <c r="H25570" s="4" t="str">
        <v/>
      </c>
      <c r="I25570" s="4" t="str">
        <v/>
      </c>
    </row>
    <row r="25571" spans="5:9" ht="16.5" hidden="1">
      <c r="E25571" s="4" t="str">
        <v/>
      </c>
      <c r="F25571" s="102" t="str">
        <f ca="1">IFERROR(__xludf.DUMMYFUNCTION("IMPORTRANGE(H25571,""IDENTITAS UNIT!D9"")"),"#N/A")</f>
        <v>#N/A</v>
      </c>
      <c r="H25571" s="4" t="str">
        <v/>
      </c>
      <c r="I25571" s="4" t="str">
        <v/>
      </c>
    </row>
    <row r="25572" spans="5:9" ht="16.5" hidden="1">
      <c r="E25572" s="4" t="str">
        <v/>
      </c>
      <c r="F25572" s="102" t="str">
        <f ca="1">IFERROR(__xludf.DUMMYFUNCTION("IMPORTRANGE(H25572,""IDENTITAS UNIT!D9"")"),"#N/A")</f>
        <v>#N/A</v>
      </c>
      <c r="H25572" s="4" t="str">
        <v/>
      </c>
      <c r="I25572" s="4" t="str">
        <v/>
      </c>
    </row>
    <row r="25573" spans="5:9" ht="16.5" hidden="1">
      <c r="E25573" s="4" t="str">
        <v/>
      </c>
      <c r="F25573" s="102" t="str">
        <f ca="1">IFERROR(__xludf.DUMMYFUNCTION("IMPORTRANGE(H25573,""IDENTITAS UNIT!D9"")"),"#N/A")</f>
        <v>#N/A</v>
      </c>
      <c r="H25573" s="4" t="str">
        <v/>
      </c>
      <c r="I25573" s="4" t="str">
        <v/>
      </c>
    </row>
    <row r="25574" spans="5:9" ht="16.5" hidden="1">
      <c r="E25574" s="4" t="str">
        <v/>
      </c>
      <c r="F25574" s="102" t="str">
        <f ca="1">IFERROR(__xludf.DUMMYFUNCTION("IMPORTRANGE(H25574,""IDENTITAS UNIT!D9"")"),"#N/A")</f>
        <v>#N/A</v>
      </c>
      <c r="H25574" s="4" t="str">
        <v/>
      </c>
      <c r="I25574" s="4" t="str">
        <v/>
      </c>
    </row>
    <row r="25575" spans="5:9" ht="16.5" hidden="1">
      <c r="E25575" s="4" t="str">
        <v/>
      </c>
      <c r="F25575" s="102" t="str">
        <f ca="1">IFERROR(__xludf.DUMMYFUNCTION("IMPORTRANGE(H25575,""IDENTITAS UNIT!D9"")"),"#N/A")</f>
        <v>#N/A</v>
      </c>
      <c r="H25575" s="4" t="str">
        <v/>
      </c>
      <c r="I25575" s="4" t="str">
        <v/>
      </c>
    </row>
    <row r="25576" spans="5:9" ht="16.5" hidden="1">
      <c r="E25576" s="4" t="str">
        <v/>
      </c>
      <c r="F25576" s="102" t="str">
        <f ca="1">IFERROR(__xludf.DUMMYFUNCTION("IMPORTRANGE(H25576,""IDENTITAS UNIT!D9"")"),"#N/A")</f>
        <v>#N/A</v>
      </c>
      <c r="H25576" s="4" t="str">
        <v/>
      </c>
      <c r="I25576" s="4" t="str">
        <v/>
      </c>
    </row>
    <row r="25577" spans="5:9" ht="16.5" hidden="1">
      <c r="E25577" s="4" t="str">
        <v/>
      </c>
      <c r="F25577" s="102" t="str">
        <f ca="1">IFERROR(__xludf.DUMMYFUNCTION("IMPORTRANGE(H25577,""IDENTITAS UNIT!D9"")"),"#N/A")</f>
        <v>#N/A</v>
      </c>
      <c r="H25577" s="4" t="str">
        <v/>
      </c>
      <c r="I25577" s="4" t="str">
        <v/>
      </c>
    </row>
    <row r="25578" spans="5:9" ht="16.5" hidden="1">
      <c r="E25578" s="4" t="str">
        <v/>
      </c>
      <c r="F25578" s="102" t="str">
        <f ca="1">IFERROR(__xludf.DUMMYFUNCTION("IMPORTRANGE(H25578,""IDENTITAS UNIT!D9"")"),"#N/A")</f>
        <v>#N/A</v>
      </c>
      <c r="H25578" s="4" t="str">
        <v/>
      </c>
      <c r="I25578" s="4" t="str">
        <v/>
      </c>
    </row>
    <row r="25579" spans="5:9" ht="16.5" hidden="1">
      <c r="E25579" s="4" t="str">
        <v/>
      </c>
      <c r="F25579" s="102" t="str">
        <f ca="1">IFERROR(__xludf.DUMMYFUNCTION("IMPORTRANGE(H25579,""IDENTITAS UNIT!D9"")"),"#N/A")</f>
        <v>#N/A</v>
      </c>
      <c r="H25579" s="4" t="str">
        <v/>
      </c>
      <c r="I25579" s="4" t="str">
        <v/>
      </c>
    </row>
    <row r="25580" spans="5:9" ht="16.5" hidden="1">
      <c r="E25580" s="4" t="str">
        <v/>
      </c>
      <c r="F25580" s="102" t="str">
        <f ca="1">IFERROR(__xludf.DUMMYFUNCTION("IMPORTRANGE(H25580,""IDENTITAS UNIT!D9"")"),"#N/A")</f>
        <v>#N/A</v>
      </c>
      <c r="H25580" s="4" t="str">
        <v/>
      </c>
      <c r="I25580" s="4" t="str">
        <v/>
      </c>
    </row>
    <row r="25581" spans="5:9" ht="16.5" hidden="1">
      <c r="E25581" s="4" t="str">
        <v/>
      </c>
      <c r="F25581" s="102" t="str">
        <f ca="1">IFERROR(__xludf.DUMMYFUNCTION("IMPORTRANGE(H25581,""IDENTITAS UNIT!D9"")"),"#N/A")</f>
        <v>#N/A</v>
      </c>
      <c r="H25581" s="4" t="str">
        <v/>
      </c>
      <c r="I25581" s="4" t="str">
        <v/>
      </c>
    </row>
    <row r="25582" spans="5:9" ht="16.5" hidden="1">
      <c r="E25582" s="4" t="str">
        <v/>
      </c>
      <c r="F25582" s="102" t="str">
        <f ca="1">IFERROR(__xludf.DUMMYFUNCTION("IMPORTRANGE(H25582,""IDENTITAS UNIT!D9"")"),"#N/A")</f>
        <v>#N/A</v>
      </c>
      <c r="H25582" s="4" t="str">
        <v/>
      </c>
      <c r="I25582" s="4" t="str">
        <v/>
      </c>
    </row>
    <row r="25583" spans="5:9" ht="16.5" hidden="1">
      <c r="E25583" s="4" t="str">
        <v/>
      </c>
      <c r="F25583" s="102" t="str">
        <f ca="1">IFERROR(__xludf.DUMMYFUNCTION("IMPORTRANGE(H25583,""IDENTITAS UNIT!D9"")"),"#N/A")</f>
        <v>#N/A</v>
      </c>
      <c r="H25583" s="4" t="str">
        <v/>
      </c>
      <c r="I25583" s="4" t="str">
        <v/>
      </c>
    </row>
    <row r="25584" spans="5:9" ht="16.5" hidden="1">
      <c r="E25584" s="4" t="str">
        <v/>
      </c>
      <c r="F25584" s="102" t="str">
        <f ca="1">IFERROR(__xludf.DUMMYFUNCTION("IMPORTRANGE(H25584,""IDENTITAS UNIT!D9"")"),"#N/A")</f>
        <v>#N/A</v>
      </c>
      <c r="H25584" s="4" t="str">
        <v/>
      </c>
      <c r="I25584" s="4" t="str">
        <v/>
      </c>
    </row>
    <row r="25585" spans="5:9" ht="16.5" hidden="1">
      <c r="E25585" s="4" t="str">
        <v/>
      </c>
      <c r="F25585" s="102" t="str">
        <f ca="1">IFERROR(__xludf.DUMMYFUNCTION("IMPORTRANGE(H25585,""IDENTITAS UNIT!D9"")"),"#N/A")</f>
        <v>#N/A</v>
      </c>
      <c r="H25585" s="4" t="str">
        <v/>
      </c>
      <c r="I25585" s="4" t="str">
        <v/>
      </c>
    </row>
    <row r="25586" spans="5:9" ht="16.5" hidden="1">
      <c r="E25586" s="4" t="str">
        <v/>
      </c>
      <c r="F25586" s="102" t="str">
        <f ca="1">IFERROR(__xludf.DUMMYFUNCTION("IMPORTRANGE(H25586,""IDENTITAS UNIT!D9"")"),"#N/A")</f>
        <v>#N/A</v>
      </c>
      <c r="H25586" s="4" t="str">
        <v/>
      </c>
      <c r="I25586" s="4" t="str">
        <v/>
      </c>
    </row>
    <row r="25587" spans="5:9" ht="16.5" hidden="1">
      <c r="E25587" s="4" t="str">
        <v/>
      </c>
      <c r="F25587" s="102" t="str">
        <f ca="1">IFERROR(__xludf.DUMMYFUNCTION("IMPORTRANGE(H25587,""IDENTITAS UNIT!D9"")"),"#N/A")</f>
        <v>#N/A</v>
      </c>
      <c r="H25587" s="4" t="str">
        <v/>
      </c>
      <c r="I25587" s="4" t="str">
        <v/>
      </c>
    </row>
    <row r="25588" spans="5:9" ht="16.5" hidden="1">
      <c r="E25588" s="4" t="str">
        <v/>
      </c>
      <c r="F25588" s="102" t="str">
        <f ca="1">IFERROR(__xludf.DUMMYFUNCTION("IMPORTRANGE(H25588,""IDENTITAS UNIT!D9"")"),"#N/A")</f>
        <v>#N/A</v>
      </c>
      <c r="H25588" s="4" t="str">
        <v/>
      </c>
      <c r="I25588" s="4" t="str">
        <v/>
      </c>
    </row>
    <row r="25589" spans="5:9" ht="16.5" hidden="1">
      <c r="E25589" s="4" t="str">
        <v/>
      </c>
      <c r="F25589" s="102" t="str">
        <f ca="1">IFERROR(__xludf.DUMMYFUNCTION("IMPORTRANGE(H25589,""IDENTITAS UNIT!D9"")"),"#N/A")</f>
        <v>#N/A</v>
      </c>
      <c r="H25589" s="4" t="str">
        <v/>
      </c>
      <c r="I25589" s="4" t="str">
        <v/>
      </c>
    </row>
    <row r="25590" spans="5:9" ht="16.5" hidden="1">
      <c r="E25590" s="4" t="str">
        <v/>
      </c>
      <c r="F25590" s="102" t="str">
        <f ca="1">IFERROR(__xludf.DUMMYFUNCTION("IMPORTRANGE(H25590,""IDENTITAS UNIT!D9"")"),"#N/A")</f>
        <v>#N/A</v>
      </c>
      <c r="H25590" s="4" t="str">
        <v/>
      </c>
      <c r="I25590" s="4" t="str">
        <v/>
      </c>
    </row>
    <row r="25591" spans="5:9" ht="16.5" hidden="1">
      <c r="E25591" s="4" t="str">
        <v/>
      </c>
      <c r="F25591" s="102" t="str">
        <f ca="1">IFERROR(__xludf.DUMMYFUNCTION("IMPORTRANGE(H25591,""IDENTITAS UNIT!D9"")"),"#N/A")</f>
        <v>#N/A</v>
      </c>
      <c r="H25591" s="4" t="str">
        <v/>
      </c>
      <c r="I25591" s="4" t="str">
        <v/>
      </c>
    </row>
    <row r="25592" spans="5:9" ht="16.5" hidden="1">
      <c r="E25592" s="4" t="str">
        <v/>
      </c>
      <c r="F25592" s="102" t="str">
        <f ca="1">IFERROR(__xludf.DUMMYFUNCTION("IMPORTRANGE(H25592,""IDENTITAS UNIT!D9"")"),"#N/A")</f>
        <v>#N/A</v>
      </c>
      <c r="H25592" s="4" t="str">
        <v/>
      </c>
      <c r="I25592" s="4" t="str">
        <v/>
      </c>
    </row>
    <row r="25593" spans="5:9" ht="16.5" hidden="1">
      <c r="E25593" s="4" t="str">
        <v/>
      </c>
      <c r="F25593" s="102" t="str">
        <f ca="1">IFERROR(__xludf.DUMMYFUNCTION("IMPORTRANGE(H25593,""IDENTITAS UNIT!D9"")"),"#N/A")</f>
        <v>#N/A</v>
      </c>
      <c r="H25593" s="4" t="str">
        <v/>
      </c>
      <c r="I25593" s="4" t="str">
        <v/>
      </c>
    </row>
    <row r="25594" spans="5:9" ht="16.5" hidden="1">
      <c r="E25594" s="4" t="str">
        <v/>
      </c>
      <c r="F25594" s="102" t="str">
        <f ca="1">IFERROR(__xludf.DUMMYFUNCTION("IMPORTRANGE(H25594,""IDENTITAS UNIT!D9"")"),"#N/A")</f>
        <v>#N/A</v>
      </c>
      <c r="H25594" s="4" t="str">
        <v/>
      </c>
      <c r="I25594" s="4" t="str">
        <v/>
      </c>
    </row>
    <row r="25595" spans="5:9" ht="16.5" hidden="1">
      <c r="E25595" s="4" t="str">
        <v/>
      </c>
      <c r="F25595" s="102" t="str">
        <f ca="1">IFERROR(__xludf.DUMMYFUNCTION("IMPORTRANGE(H25595,""IDENTITAS UNIT!D9"")"),"#N/A")</f>
        <v>#N/A</v>
      </c>
      <c r="H25595" s="4" t="str">
        <v/>
      </c>
      <c r="I25595" s="4" t="str">
        <v/>
      </c>
    </row>
    <row r="25596" spans="5:9" ht="16.5" hidden="1">
      <c r="E25596" s="4" t="str">
        <v/>
      </c>
      <c r="F25596" s="102" t="str">
        <f ca="1">IFERROR(__xludf.DUMMYFUNCTION("IMPORTRANGE(H25596,""IDENTITAS UNIT!D9"")"),"#N/A")</f>
        <v>#N/A</v>
      </c>
      <c r="H25596" s="4" t="str">
        <v/>
      </c>
      <c r="I25596" s="4" t="str">
        <v/>
      </c>
    </row>
    <row r="25597" spans="5:9" ht="16.5" hidden="1">
      <c r="E25597" s="4" t="str">
        <v/>
      </c>
      <c r="F25597" s="102" t="str">
        <f ca="1">IFERROR(__xludf.DUMMYFUNCTION("IMPORTRANGE(H25597,""IDENTITAS UNIT!D9"")"),"#N/A")</f>
        <v>#N/A</v>
      </c>
      <c r="H25597" s="4" t="str">
        <v/>
      </c>
      <c r="I25597" s="4" t="str">
        <v/>
      </c>
    </row>
    <row r="25598" spans="5:9" ht="16.5" hidden="1">
      <c r="E25598" s="4" t="str">
        <v/>
      </c>
      <c r="F25598" s="102" t="str">
        <f ca="1">IFERROR(__xludf.DUMMYFUNCTION("IMPORTRANGE(H25598,""IDENTITAS UNIT!D9"")"),"#N/A")</f>
        <v>#N/A</v>
      </c>
      <c r="H25598" s="4" t="str">
        <v/>
      </c>
      <c r="I25598" s="4" t="str">
        <v/>
      </c>
    </row>
    <row r="25599" spans="5:9" ht="16.5" hidden="1">
      <c r="E25599" s="4" t="str">
        <v/>
      </c>
      <c r="F25599" s="102" t="str">
        <f ca="1">IFERROR(__xludf.DUMMYFUNCTION("IMPORTRANGE(H25599,""IDENTITAS UNIT!D9"")"),"#N/A")</f>
        <v>#N/A</v>
      </c>
      <c r="H25599" s="4" t="str">
        <v/>
      </c>
      <c r="I25599" s="4" t="str">
        <v/>
      </c>
    </row>
    <row r="25600" spans="5:9" ht="16.5" hidden="1">
      <c r="E25600" s="4" t="str">
        <v/>
      </c>
      <c r="F25600" s="102" t="str">
        <f ca="1">IFERROR(__xludf.DUMMYFUNCTION("IMPORTRANGE(H25600,""IDENTITAS UNIT!D9"")"),"#N/A")</f>
        <v>#N/A</v>
      </c>
      <c r="H25600" s="4" t="str">
        <v/>
      </c>
      <c r="I25600" s="4" t="str">
        <v/>
      </c>
    </row>
    <row r="25601" spans="5:9" ht="16.5" hidden="1">
      <c r="E25601" s="4" t="str">
        <v/>
      </c>
      <c r="F25601" s="102" t="str">
        <f ca="1">IFERROR(__xludf.DUMMYFUNCTION("IMPORTRANGE(H25601,""IDENTITAS UNIT!D9"")"),"#N/A")</f>
        <v>#N/A</v>
      </c>
      <c r="H25601" s="4" t="str">
        <v/>
      </c>
      <c r="I25601" s="4" t="str">
        <v/>
      </c>
    </row>
    <row r="25602" spans="5:9" ht="16.5" hidden="1">
      <c r="E25602" s="4" t="str">
        <v/>
      </c>
      <c r="F25602" s="102" t="str">
        <f ca="1">IFERROR(__xludf.DUMMYFUNCTION("IMPORTRANGE(H25602,""IDENTITAS UNIT!D9"")"),"#N/A")</f>
        <v>#N/A</v>
      </c>
      <c r="H25602" s="4" t="str">
        <v/>
      </c>
      <c r="I25602" s="4" t="str">
        <v/>
      </c>
    </row>
    <row r="25603" spans="5:9" ht="16.5" hidden="1">
      <c r="E25603" s="4" t="str">
        <v/>
      </c>
      <c r="F25603" s="102" t="str">
        <f ca="1">IFERROR(__xludf.DUMMYFUNCTION("IMPORTRANGE(H25603,""IDENTITAS UNIT!D9"")"),"#N/A")</f>
        <v>#N/A</v>
      </c>
      <c r="H25603" s="4" t="str">
        <v/>
      </c>
      <c r="I25603" s="4" t="str">
        <v/>
      </c>
    </row>
    <row r="25604" spans="5:9" ht="16.5" hidden="1">
      <c r="E25604" s="4" t="str">
        <v/>
      </c>
      <c r="F25604" s="102" t="str">
        <f ca="1">IFERROR(__xludf.DUMMYFUNCTION("IMPORTRANGE(H25604,""IDENTITAS UNIT!D9"")"),"#N/A")</f>
        <v>#N/A</v>
      </c>
      <c r="H25604" s="4" t="str">
        <v/>
      </c>
      <c r="I25604" s="4" t="str">
        <v/>
      </c>
    </row>
    <row r="25605" spans="5:9" ht="16.5" hidden="1">
      <c r="E25605" s="4" t="str">
        <v/>
      </c>
      <c r="F25605" s="102" t="str">
        <f ca="1">IFERROR(__xludf.DUMMYFUNCTION("IMPORTRANGE(H25605,""IDENTITAS UNIT!D9"")"),"#N/A")</f>
        <v>#N/A</v>
      </c>
      <c r="H25605" s="4" t="str">
        <v/>
      </c>
      <c r="I25605" s="4" t="str">
        <v/>
      </c>
    </row>
    <row r="25606" spans="5:9" ht="16.5" hidden="1">
      <c r="E25606" s="4" t="str">
        <v/>
      </c>
      <c r="F25606" s="102" t="str">
        <f ca="1">IFERROR(__xludf.DUMMYFUNCTION("IMPORTRANGE(H25606,""IDENTITAS UNIT!D9"")"),"#N/A")</f>
        <v>#N/A</v>
      </c>
      <c r="H25606" s="4" t="str">
        <v/>
      </c>
      <c r="I25606" s="4" t="str">
        <v/>
      </c>
    </row>
    <row r="25607" spans="5:9" ht="16.5" hidden="1">
      <c r="E25607" s="4" t="str">
        <v/>
      </c>
      <c r="F25607" s="102" t="str">
        <f ca="1">IFERROR(__xludf.DUMMYFUNCTION("IMPORTRANGE(H25607,""IDENTITAS UNIT!D9"")"),"#N/A")</f>
        <v>#N/A</v>
      </c>
      <c r="H25607" s="4" t="str">
        <v/>
      </c>
      <c r="I25607" s="4" t="str">
        <v/>
      </c>
    </row>
    <row r="25608" spans="5:9" ht="16.5" hidden="1">
      <c r="E25608" s="4" t="str">
        <v/>
      </c>
      <c r="F25608" s="102" t="str">
        <f ca="1">IFERROR(__xludf.DUMMYFUNCTION("IMPORTRANGE(H25608,""IDENTITAS UNIT!D9"")"),"#N/A")</f>
        <v>#N/A</v>
      </c>
      <c r="H25608" s="4" t="str">
        <v/>
      </c>
      <c r="I25608" s="4" t="str">
        <v/>
      </c>
    </row>
    <row r="25609" spans="5:9" ht="16.5" hidden="1">
      <c r="E25609" s="4" t="str">
        <v/>
      </c>
      <c r="F25609" s="102" t="str">
        <f ca="1">IFERROR(__xludf.DUMMYFUNCTION("IMPORTRANGE(H25609,""IDENTITAS UNIT!D9"")"),"#N/A")</f>
        <v>#N/A</v>
      </c>
      <c r="H25609" s="4" t="str">
        <v/>
      </c>
      <c r="I25609" s="4" t="str">
        <v/>
      </c>
    </row>
    <row r="25610" spans="5:9" ht="16.5" hidden="1">
      <c r="E25610" s="4" t="str">
        <v/>
      </c>
      <c r="F25610" s="102" t="str">
        <f ca="1">IFERROR(__xludf.DUMMYFUNCTION("IMPORTRANGE(H25610,""IDENTITAS UNIT!D9"")"),"#N/A")</f>
        <v>#N/A</v>
      </c>
      <c r="H25610" s="4" t="str">
        <v/>
      </c>
      <c r="I25610" s="4" t="str">
        <v/>
      </c>
    </row>
    <row r="25611" spans="5:9" ht="16.5" hidden="1">
      <c r="E25611" s="4" t="str">
        <v/>
      </c>
      <c r="F25611" s="102" t="str">
        <f ca="1">IFERROR(__xludf.DUMMYFUNCTION("IMPORTRANGE(H25611,""IDENTITAS UNIT!D9"")"),"#N/A")</f>
        <v>#N/A</v>
      </c>
      <c r="H25611" s="4" t="str">
        <v/>
      </c>
      <c r="I25611" s="4" t="str">
        <v/>
      </c>
    </row>
    <row r="25612" spans="5:9" ht="16.5" hidden="1">
      <c r="E25612" s="4" t="str">
        <v/>
      </c>
      <c r="F25612" s="102" t="str">
        <f ca="1">IFERROR(__xludf.DUMMYFUNCTION("IMPORTRANGE(H25612,""IDENTITAS UNIT!D9"")"),"#N/A")</f>
        <v>#N/A</v>
      </c>
      <c r="H25612" s="4" t="str">
        <v/>
      </c>
      <c r="I25612" s="4" t="str">
        <v/>
      </c>
    </row>
    <row r="25613" spans="5:9" ht="16.5" hidden="1">
      <c r="E25613" s="4" t="str">
        <v/>
      </c>
      <c r="F25613" s="102" t="str">
        <f ca="1">IFERROR(__xludf.DUMMYFUNCTION("IMPORTRANGE(H25613,""IDENTITAS UNIT!D9"")"),"#N/A")</f>
        <v>#N/A</v>
      </c>
      <c r="H25613" s="4" t="str">
        <v/>
      </c>
      <c r="I25613" s="4" t="str">
        <v/>
      </c>
    </row>
    <row r="25614" spans="5:9" ht="16.5" hidden="1">
      <c r="E25614" s="4" t="str">
        <v/>
      </c>
      <c r="F25614" s="102" t="str">
        <f ca="1">IFERROR(__xludf.DUMMYFUNCTION("IMPORTRANGE(H25614,""IDENTITAS UNIT!D9"")"),"#N/A")</f>
        <v>#N/A</v>
      </c>
      <c r="H25614" s="4" t="str">
        <v/>
      </c>
      <c r="I25614" s="4" t="str">
        <v/>
      </c>
    </row>
    <row r="25615" spans="5:9" ht="16.5" hidden="1">
      <c r="E25615" s="4" t="str">
        <v/>
      </c>
      <c r="F25615" s="102" t="str">
        <f ca="1">IFERROR(__xludf.DUMMYFUNCTION("IMPORTRANGE(H25615,""IDENTITAS UNIT!D9"")"),"#N/A")</f>
        <v>#N/A</v>
      </c>
      <c r="H25615" s="4" t="str">
        <v/>
      </c>
      <c r="I25615" s="4" t="str">
        <v/>
      </c>
    </row>
    <row r="25616" spans="5:9" ht="16.5" hidden="1">
      <c r="E25616" s="4" t="str">
        <v/>
      </c>
      <c r="F25616" s="102" t="str">
        <f ca="1">IFERROR(__xludf.DUMMYFUNCTION("IMPORTRANGE(H25616,""IDENTITAS UNIT!D9"")"),"#N/A")</f>
        <v>#N/A</v>
      </c>
      <c r="H25616" s="4" t="str">
        <v/>
      </c>
      <c r="I25616" s="4" t="str">
        <v/>
      </c>
    </row>
    <row r="25617" spans="5:9" ht="16.5" hidden="1">
      <c r="E25617" s="4" t="str">
        <v/>
      </c>
      <c r="F25617" s="102" t="str">
        <f ca="1">IFERROR(__xludf.DUMMYFUNCTION("IMPORTRANGE(H25617,""IDENTITAS UNIT!D9"")"),"#N/A")</f>
        <v>#N/A</v>
      </c>
      <c r="H25617" s="4" t="str">
        <v/>
      </c>
      <c r="I25617" s="4" t="str">
        <v/>
      </c>
    </row>
    <row r="25618" spans="5:9" ht="16.5" hidden="1">
      <c r="E25618" s="4" t="str">
        <v/>
      </c>
      <c r="F25618" s="102" t="str">
        <f ca="1">IFERROR(__xludf.DUMMYFUNCTION("IMPORTRANGE(H25618,""IDENTITAS UNIT!D9"")"),"#N/A")</f>
        <v>#N/A</v>
      </c>
      <c r="H25618" s="4" t="str">
        <v/>
      </c>
      <c r="I25618" s="4" t="str">
        <v/>
      </c>
    </row>
    <row r="25619" spans="5:9" ht="16.5" hidden="1">
      <c r="E25619" s="4" t="str">
        <v/>
      </c>
      <c r="F25619" s="102" t="str">
        <f ca="1">IFERROR(__xludf.DUMMYFUNCTION("IMPORTRANGE(H25619,""IDENTITAS UNIT!D9"")"),"#N/A")</f>
        <v>#N/A</v>
      </c>
      <c r="H25619" s="4" t="str">
        <v/>
      </c>
      <c r="I25619" s="4" t="str">
        <v/>
      </c>
    </row>
    <row r="25620" spans="5:9" ht="16.5" hidden="1">
      <c r="E25620" s="4" t="str">
        <v/>
      </c>
      <c r="F25620" s="102" t="str">
        <f ca="1">IFERROR(__xludf.DUMMYFUNCTION("IMPORTRANGE(H25620,""IDENTITAS UNIT!D9"")"),"#N/A")</f>
        <v>#N/A</v>
      </c>
      <c r="H25620" s="4" t="str">
        <v/>
      </c>
      <c r="I25620" s="4" t="str">
        <v/>
      </c>
    </row>
    <row r="25621" spans="5:9" ht="16.5" hidden="1">
      <c r="E25621" s="4" t="str">
        <v/>
      </c>
      <c r="F25621" s="102" t="str">
        <f ca="1">IFERROR(__xludf.DUMMYFUNCTION("IMPORTRANGE(H25621,""IDENTITAS UNIT!D9"")"),"#N/A")</f>
        <v>#N/A</v>
      </c>
      <c r="H25621" s="4" t="str">
        <v/>
      </c>
      <c r="I25621" s="4" t="str">
        <v/>
      </c>
    </row>
    <row r="25622" spans="5:9" ht="16.5" hidden="1">
      <c r="E25622" s="4" t="str">
        <v/>
      </c>
      <c r="F25622" s="102" t="str">
        <f ca="1">IFERROR(__xludf.DUMMYFUNCTION("IMPORTRANGE(H25622,""IDENTITAS UNIT!D9"")"),"#N/A")</f>
        <v>#N/A</v>
      </c>
      <c r="H25622" s="4" t="str">
        <v/>
      </c>
      <c r="I25622" s="4" t="str">
        <v/>
      </c>
    </row>
    <row r="25623" spans="5:9" ht="16.5" hidden="1">
      <c r="E25623" s="4" t="str">
        <v/>
      </c>
      <c r="F25623" s="102" t="str">
        <f ca="1">IFERROR(__xludf.DUMMYFUNCTION("IMPORTRANGE(H25623,""IDENTITAS UNIT!D9"")"),"#N/A")</f>
        <v>#N/A</v>
      </c>
      <c r="H25623" s="4" t="str">
        <v/>
      </c>
      <c r="I25623" s="4" t="str">
        <v/>
      </c>
    </row>
    <row r="25624" spans="5:9" ht="16.5" hidden="1">
      <c r="E25624" s="4" t="str">
        <v/>
      </c>
      <c r="F25624" s="102" t="str">
        <f ca="1">IFERROR(__xludf.DUMMYFUNCTION("IMPORTRANGE(H25624,""IDENTITAS UNIT!D9"")"),"#N/A")</f>
        <v>#N/A</v>
      </c>
      <c r="H25624" s="4" t="str">
        <v/>
      </c>
      <c r="I25624" s="4" t="str">
        <v/>
      </c>
    </row>
    <row r="25625" spans="5:9" ht="16.5" hidden="1">
      <c r="E25625" s="4" t="str">
        <v/>
      </c>
      <c r="F25625" s="102" t="str">
        <f ca="1">IFERROR(__xludf.DUMMYFUNCTION("IMPORTRANGE(H25625,""IDENTITAS UNIT!D9"")"),"#N/A")</f>
        <v>#N/A</v>
      </c>
      <c r="H25625" s="4" t="str">
        <v/>
      </c>
      <c r="I25625" s="4" t="str">
        <v/>
      </c>
    </row>
    <row r="25626" spans="5:9" ht="16.5" hidden="1">
      <c r="E25626" s="4" t="str">
        <v/>
      </c>
      <c r="F25626" s="102" t="str">
        <f ca="1">IFERROR(__xludf.DUMMYFUNCTION("IMPORTRANGE(H25626,""IDENTITAS UNIT!D9"")"),"#N/A")</f>
        <v>#N/A</v>
      </c>
      <c r="H25626" s="4" t="str">
        <v/>
      </c>
      <c r="I25626" s="4" t="str">
        <v/>
      </c>
    </row>
    <row r="25627" spans="5:9" ht="16.5" hidden="1">
      <c r="E25627" s="4" t="str">
        <v/>
      </c>
      <c r="F25627" s="102" t="str">
        <f ca="1">IFERROR(__xludf.DUMMYFUNCTION("IMPORTRANGE(H25627,""IDENTITAS UNIT!D9"")"),"#N/A")</f>
        <v>#N/A</v>
      </c>
      <c r="H25627" s="4" t="str">
        <v/>
      </c>
      <c r="I25627" s="4" t="str">
        <v/>
      </c>
    </row>
    <row r="25628" spans="5:9" ht="16.5" hidden="1">
      <c r="E25628" s="4" t="str">
        <v/>
      </c>
      <c r="F25628" s="102" t="str">
        <f ca="1">IFERROR(__xludf.DUMMYFUNCTION("IMPORTRANGE(H25628,""IDENTITAS UNIT!D9"")"),"#N/A")</f>
        <v>#N/A</v>
      </c>
      <c r="H25628" s="4" t="str">
        <v/>
      </c>
      <c r="I25628" s="4" t="str">
        <v/>
      </c>
    </row>
    <row r="25629" spans="5:9" ht="16.5" hidden="1">
      <c r="E25629" s="4" t="str">
        <v/>
      </c>
      <c r="F25629" s="102" t="str">
        <f ca="1">IFERROR(__xludf.DUMMYFUNCTION("IMPORTRANGE(H25629,""IDENTITAS UNIT!D9"")"),"#N/A")</f>
        <v>#N/A</v>
      </c>
      <c r="H25629" s="4" t="str">
        <v/>
      </c>
      <c r="I25629" s="4" t="str">
        <v/>
      </c>
    </row>
    <row r="25630" spans="5:9" ht="16.5" hidden="1">
      <c r="E25630" s="4" t="str">
        <v/>
      </c>
      <c r="F25630" s="102" t="str">
        <f ca="1">IFERROR(__xludf.DUMMYFUNCTION("IMPORTRANGE(H25630,""IDENTITAS UNIT!D9"")"),"#N/A")</f>
        <v>#N/A</v>
      </c>
      <c r="H25630" s="4" t="str">
        <v/>
      </c>
      <c r="I25630" s="4" t="str">
        <v/>
      </c>
    </row>
    <row r="25631" spans="5:9" ht="16.5" hidden="1">
      <c r="E25631" s="4" t="str">
        <v/>
      </c>
      <c r="F25631" s="102" t="str">
        <f ca="1">IFERROR(__xludf.DUMMYFUNCTION("IMPORTRANGE(H25631,""IDENTITAS UNIT!D9"")"),"#N/A")</f>
        <v>#N/A</v>
      </c>
      <c r="H25631" s="4" t="str">
        <v/>
      </c>
      <c r="I25631" s="4" t="str">
        <v/>
      </c>
    </row>
    <row r="25632" spans="5:9" ht="16.5" hidden="1">
      <c r="E25632" s="4" t="str">
        <v/>
      </c>
      <c r="F25632" s="102" t="str">
        <f ca="1">IFERROR(__xludf.DUMMYFUNCTION("IMPORTRANGE(H25632,""IDENTITAS UNIT!D9"")"),"#N/A")</f>
        <v>#N/A</v>
      </c>
      <c r="H25632" s="4" t="str">
        <v/>
      </c>
      <c r="I25632" s="4" t="str">
        <v/>
      </c>
    </row>
    <row r="25633" spans="5:9" ht="16.5" hidden="1">
      <c r="E25633" s="4" t="str">
        <v/>
      </c>
      <c r="F25633" s="102" t="str">
        <f ca="1">IFERROR(__xludf.DUMMYFUNCTION("IMPORTRANGE(H25633,""IDENTITAS UNIT!D9"")"),"#N/A")</f>
        <v>#N/A</v>
      </c>
      <c r="H25633" s="4" t="str">
        <v/>
      </c>
      <c r="I25633" s="4" t="str">
        <v/>
      </c>
    </row>
    <row r="25634" spans="5:9" ht="16.5" hidden="1">
      <c r="E25634" s="4" t="str">
        <v/>
      </c>
      <c r="F25634" s="102" t="str">
        <f ca="1">IFERROR(__xludf.DUMMYFUNCTION("IMPORTRANGE(H25634,""IDENTITAS UNIT!D9"")"),"#N/A")</f>
        <v>#N/A</v>
      </c>
      <c r="H25634" s="4" t="str">
        <v/>
      </c>
      <c r="I25634" s="4" t="str">
        <v/>
      </c>
    </row>
    <row r="25635" spans="5:9" ht="16.5" hidden="1">
      <c r="E25635" s="4" t="str">
        <v/>
      </c>
      <c r="F25635" s="102" t="str">
        <f ca="1">IFERROR(__xludf.DUMMYFUNCTION("IMPORTRANGE(H25635,""IDENTITAS UNIT!D9"")"),"#N/A")</f>
        <v>#N/A</v>
      </c>
      <c r="H25635" s="4" t="str">
        <v/>
      </c>
      <c r="I25635" s="4" t="str">
        <v/>
      </c>
    </row>
    <row r="25636" spans="5:9" ht="16.5" hidden="1">
      <c r="E25636" s="4" t="str">
        <v/>
      </c>
      <c r="F25636" s="102" t="str">
        <f ca="1">IFERROR(__xludf.DUMMYFUNCTION("IMPORTRANGE(H25636,""IDENTITAS UNIT!D9"")"),"#N/A")</f>
        <v>#N/A</v>
      </c>
      <c r="H25636" s="4" t="str">
        <v/>
      </c>
      <c r="I25636" s="4" t="str">
        <v/>
      </c>
    </row>
    <row r="25637" spans="5:9" ht="16.5" hidden="1">
      <c r="E25637" s="4" t="str">
        <v/>
      </c>
      <c r="F25637" s="102" t="str">
        <f ca="1">IFERROR(__xludf.DUMMYFUNCTION("IMPORTRANGE(H25637,""IDENTITAS UNIT!D9"")"),"#N/A")</f>
        <v>#N/A</v>
      </c>
      <c r="H25637" s="4" t="str">
        <v/>
      </c>
      <c r="I25637" s="4" t="str">
        <v/>
      </c>
    </row>
    <row r="25638" spans="5:9" ht="16.5" hidden="1">
      <c r="E25638" s="4" t="str">
        <v/>
      </c>
      <c r="F25638" s="102" t="str">
        <f ca="1">IFERROR(__xludf.DUMMYFUNCTION("IMPORTRANGE(H25638,""IDENTITAS UNIT!D9"")"),"#N/A")</f>
        <v>#N/A</v>
      </c>
      <c r="H25638" s="4" t="str">
        <v/>
      </c>
      <c r="I25638" s="4" t="str">
        <v/>
      </c>
    </row>
    <row r="25639" spans="5:9" ht="16.5" hidden="1">
      <c r="E25639" s="4" t="str">
        <v/>
      </c>
      <c r="F25639" s="102" t="str">
        <f ca="1">IFERROR(__xludf.DUMMYFUNCTION("IMPORTRANGE(H25639,""IDENTITAS UNIT!D9"")"),"#N/A")</f>
        <v>#N/A</v>
      </c>
      <c r="H25639" s="4" t="str">
        <v/>
      </c>
      <c r="I25639" s="4" t="str">
        <v/>
      </c>
    </row>
    <row r="25640" spans="5:9" ht="16.5" hidden="1">
      <c r="E25640" s="4" t="str">
        <v/>
      </c>
      <c r="F25640" s="102" t="str">
        <f ca="1">IFERROR(__xludf.DUMMYFUNCTION("IMPORTRANGE(H25640,""IDENTITAS UNIT!D9"")"),"#N/A")</f>
        <v>#N/A</v>
      </c>
      <c r="H25640" s="4" t="str">
        <v/>
      </c>
      <c r="I25640" s="4" t="str">
        <v/>
      </c>
    </row>
    <row r="25641" spans="5:9" ht="16.5" hidden="1">
      <c r="E25641" s="4" t="str">
        <v/>
      </c>
      <c r="F25641" s="102" t="str">
        <f ca="1">IFERROR(__xludf.DUMMYFUNCTION("IMPORTRANGE(H25641,""IDENTITAS UNIT!D9"")"),"#N/A")</f>
        <v>#N/A</v>
      </c>
      <c r="H25641" s="4" t="str">
        <v/>
      </c>
      <c r="I25641" s="4" t="str">
        <v/>
      </c>
    </row>
    <row r="25642" spans="5:9" ht="16.5" hidden="1">
      <c r="E25642" s="4" t="str">
        <v/>
      </c>
      <c r="F25642" s="102" t="str">
        <f ca="1">IFERROR(__xludf.DUMMYFUNCTION("IMPORTRANGE(H25642,""IDENTITAS UNIT!D9"")"),"#N/A")</f>
        <v>#N/A</v>
      </c>
      <c r="H25642" s="4" t="str">
        <v/>
      </c>
      <c r="I25642" s="4" t="str">
        <v/>
      </c>
    </row>
    <row r="25643" spans="5:9" ht="16.5" hidden="1">
      <c r="E25643" s="4" t="str">
        <v/>
      </c>
      <c r="F25643" s="102" t="str">
        <f ca="1">IFERROR(__xludf.DUMMYFUNCTION("IMPORTRANGE(H25643,""IDENTITAS UNIT!D9"")"),"#N/A")</f>
        <v>#N/A</v>
      </c>
      <c r="H25643" s="4" t="str">
        <v/>
      </c>
      <c r="I25643" s="4" t="str">
        <v/>
      </c>
    </row>
    <row r="25644" spans="5:9" ht="16.5" hidden="1">
      <c r="E25644" s="4" t="str">
        <v/>
      </c>
      <c r="F25644" s="102" t="str">
        <f ca="1">IFERROR(__xludf.DUMMYFUNCTION("IMPORTRANGE(H25644,""IDENTITAS UNIT!D9"")"),"#N/A")</f>
        <v>#N/A</v>
      </c>
      <c r="H25644" s="4" t="str">
        <v/>
      </c>
      <c r="I25644" s="4" t="str">
        <v/>
      </c>
    </row>
    <row r="25645" spans="5:9" ht="16.5" hidden="1">
      <c r="E25645" s="4" t="str">
        <v/>
      </c>
      <c r="F25645" s="102" t="str">
        <f ca="1">IFERROR(__xludf.DUMMYFUNCTION("IMPORTRANGE(H25645,""IDENTITAS UNIT!D9"")"),"#N/A")</f>
        <v>#N/A</v>
      </c>
      <c r="H25645" s="4" t="str">
        <v/>
      </c>
      <c r="I25645" s="4" t="str">
        <v/>
      </c>
    </row>
    <row r="25646" spans="5:9" ht="16.5" hidden="1">
      <c r="E25646" s="4" t="str">
        <v/>
      </c>
      <c r="F25646" s="102" t="str">
        <f ca="1">IFERROR(__xludf.DUMMYFUNCTION("IMPORTRANGE(H25646,""IDENTITAS UNIT!D9"")"),"#N/A")</f>
        <v>#N/A</v>
      </c>
      <c r="H25646" s="4" t="str">
        <v/>
      </c>
      <c r="I25646" s="4" t="str">
        <v/>
      </c>
    </row>
    <row r="25647" spans="5:9" ht="16.5" hidden="1">
      <c r="E25647" s="4" t="str">
        <v/>
      </c>
      <c r="F25647" s="102" t="str">
        <f ca="1">IFERROR(__xludf.DUMMYFUNCTION("IMPORTRANGE(H25647,""IDENTITAS UNIT!D9"")"),"#N/A")</f>
        <v>#N/A</v>
      </c>
      <c r="H25647" s="4" t="str">
        <v/>
      </c>
      <c r="I25647" s="4" t="str">
        <v/>
      </c>
    </row>
    <row r="25648" spans="5:9" ht="16.5" hidden="1">
      <c r="E25648" s="4" t="str">
        <v/>
      </c>
      <c r="F25648" s="102" t="str">
        <f ca="1">IFERROR(__xludf.DUMMYFUNCTION("IMPORTRANGE(H25648,""IDENTITAS UNIT!D9"")"),"#N/A")</f>
        <v>#N/A</v>
      </c>
      <c r="H25648" s="4" t="str">
        <v/>
      </c>
      <c r="I25648" s="4" t="str">
        <v/>
      </c>
    </row>
    <row r="25649" spans="5:9" ht="16.5" hidden="1">
      <c r="E25649" s="4" t="str">
        <v/>
      </c>
      <c r="F25649" s="102" t="str">
        <f ca="1">IFERROR(__xludf.DUMMYFUNCTION("IMPORTRANGE(H25649,""IDENTITAS UNIT!D9"")"),"#N/A")</f>
        <v>#N/A</v>
      </c>
      <c r="H25649" s="4" t="str">
        <v/>
      </c>
      <c r="I25649" s="4" t="str">
        <v/>
      </c>
    </row>
    <row r="25650" spans="5:9" ht="16.5" hidden="1">
      <c r="E25650" s="4" t="str">
        <v/>
      </c>
      <c r="F25650" s="102" t="str">
        <f ca="1">IFERROR(__xludf.DUMMYFUNCTION("IMPORTRANGE(H25650,""IDENTITAS UNIT!D9"")"),"#N/A")</f>
        <v>#N/A</v>
      </c>
      <c r="H25650" s="4" t="str">
        <v/>
      </c>
      <c r="I25650" s="4" t="str">
        <v/>
      </c>
    </row>
    <row r="25651" spans="5:9" ht="16.5" hidden="1">
      <c r="E25651" s="4" t="str">
        <v/>
      </c>
      <c r="F25651" s="102" t="str">
        <f ca="1">IFERROR(__xludf.DUMMYFUNCTION("IMPORTRANGE(H25651,""IDENTITAS UNIT!D9"")"),"#N/A")</f>
        <v>#N/A</v>
      </c>
      <c r="H25651" s="4" t="str">
        <v/>
      </c>
      <c r="I25651" s="4" t="str">
        <v/>
      </c>
    </row>
    <row r="25652" spans="5:9" ht="16.5" hidden="1">
      <c r="E25652" s="4" t="str">
        <v/>
      </c>
      <c r="F25652" s="102" t="str">
        <f ca="1">IFERROR(__xludf.DUMMYFUNCTION("IMPORTRANGE(H25652,""IDENTITAS UNIT!D9"")"),"#N/A")</f>
        <v>#N/A</v>
      </c>
      <c r="H25652" s="4" t="str">
        <v/>
      </c>
      <c r="I25652" s="4" t="str">
        <v/>
      </c>
    </row>
    <row r="25653" spans="5:9" ht="16.5" hidden="1">
      <c r="E25653" s="4" t="str">
        <v/>
      </c>
      <c r="F25653" s="102" t="str">
        <f ca="1">IFERROR(__xludf.DUMMYFUNCTION("IMPORTRANGE(H25653,""IDENTITAS UNIT!D9"")"),"#N/A")</f>
        <v>#N/A</v>
      </c>
      <c r="H25653" s="4" t="str">
        <v/>
      </c>
      <c r="I25653" s="4" t="str">
        <v/>
      </c>
    </row>
    <row r="25654" spans="5:9" ht="16.5" hidden="1">
      <c r="E25654" s="4" t="str">
        <v/>
      </c>
      <c r="F25654" s="102" t="str">
        <f ca="1">IFERROR(__xludf.DUMMYFUNCTION("IMPORTRANGE(H25654,""IDENTITAS UNIT!D9"")"),"#N/A")</f>
        <v>#N/A</v>
      </c>
      <c r="H25654" s="4" t="str">
        <v/>
      </c>
      <c r="I25654" s="4" t="str">
        <v/>
      </c>
    </row>
    <row r="25655" spans="5:9" ht="16.5" hidden="1">
      <c r="E25655" s="4" t="str">
        <v/>
      </c>
      <c r="F25655" s="102" t="str">
        <f ca="1">IFERROR(__xludf.DUMMYFUNCTION("IMPORTRANGE(H25655,""IDENTITAS UNIT!D9"")"),"#N/A")</f>
        <v>#N/A</v>
      </c>
      <c r="H25655" s="4" t="str">
        <v/>
      </c>
      <c r="I25655" s="4" t="str">
        <v/>
      </c>
    </row>
    <row r="25656" spans="5:9" ht="16.5" hidden="1">
      <c r="E25656" s="4" t="str">
        <v/>
      </c>
      <c r="F25656" s="102" t="str">
        <f ca="1">IFERROR(__xludf.DUMMYFUNCTION("IMPORTRANGE(H25656,""IDENTITAS UNIT!D9"")"),"#N/A")</f>
        <v>#N/A</v>
      </c>
      <c r="H25656" s="4" t="str">
        <v/>
      </c>
      <c r="I25656" s="4" t="str">
        <v/>
      </c>
    </row>
    <row r="25657" spans="5:9" ht="16.5" hidden="1">
      <c r="E25657" s="4" t="str">
        <v/>
      </c>
      <c r="F25657" s="102" t="str">
        <f ca="1">IFERROR(__xludf.DUMMYFUNCTION("IMPORTRANGE(H25657,""IDENTITAS UNIT!D9"")"),"#N/A")</f>
        <v>#N/A</v>
      </c>
      <c r="H25657" s="4" t="str">
        <v/>
      </c>
      <c r="I25657" s="4" t="str">
        <v/>
      </c>
    </row>
    <row r="25658" spans="5:9" ht="16.5" hidden="1">
      <c r="E25658" s="4" t="str">
        <v/>
      </c>
      <c r="F25658" s="102" t="str">
        <f ca="1">IFERROR(__xludf.DUMMYFUNCTION("IMPORTRANGE(H25658,""IDENTITAS UNIT!D9"")"),"#N/A")</f>
        <v>#N/A</v>
      </c>
      <c r="H25658" s="4" t="str">
        <v/>
      </c>
      <c r="I25658" s="4" t="str">
        <v/>
      </c>
    </row>
    <row r="25659" spans="5:9" ht="16.5" hidden="1">
      <c r="E25659" s="4" t="str">
        <v/>
      </c>
      <c r="F25659" s="102" t="str">
        <f ca="1">IFERROR(__xludf.DUMMYFUNCTION("IMPORTRANGE(H25659,""IDENTITAS UNIT!D9"")"),"#N/A")</f>
        <v>#N/A</v>
      </c>
      <c r="H25659" s="4" t="str">
        <v/>
      </c>
      <c r="I25659" s="4" t="str">
        <v/>
      </c>
    </row>
    <row r="25660" spans="5:9" ht="16.5" hidden="1">
      <c r="E25660" s="4" t="str">
        <v/>
      </c>
      <c r="F25660" s="102" t="str">
        <f ca="1">IFERROR(__xludf.DUMMYFUNCTION("IMPORTRANGE(H25660,""IDENTITAS UNIT!D9"")"),"#N/A")</f>
        <v>#N/A</v>
      </c>
      <c r="H25660" s="4" t="str">
        <v/>
      </c>
      <c r="I25660" s="4" t="str">
        <v/>
      </c>
    </row>
    <row r="25661" spans="5:9" ht="16.5" hidden="1">
      <c r="E25661" s="4" t="str">
        <v/>
      </c>
      <c r="F25661" s="102" t="str">
        <f ca="1">IFERROR(__xludf.DUMMYFUNCTION("IMPORTRANGE(H25661,""IDENTITAS UNIT!D9"")"),"#N/A")</f>
        <v>#N/A</v>
      </c>
      <c r="H25661" s="4" t="str">
        <v/>
      </c>
      <c r="I25661" s="4" t="str">
        <v/>
      </c>
    </row>
    <row r="25662" spans="5:9" ht="16.5" hidden="1">
      <c r="E25662" s="4" t="str">
        <v/>
      </c>
      <c r="F25662" s="102" t="str">
        <f ca="1">IFERROR(__xludf.DUMMYFUNCTION("IMPORTRANGE(H25662,""IDENTITAS UNIT!D9"")"),"#N/A")</f>
        <v>#N/A</v>
      </c>
      <c r="H25662" s="4" t="str">
        <v/>
      </c>
      <c r="I25662" s="4" t="str">
        <v/>
      </c>
    </row>
    <row r="25663" spans="5:9" ht="16.5" hidden="1">
      <c r="E25663" s="4" t="str">
        <v/>
      </c>
      <c r="F25663" s="102" t="str">
        <f ca="1">IFERROR(__xludf.DUMMYFUNCTION("IMPORTRANGE(H25663,""IDENTITAS UNIT!D9"")"),"#N/A")</f>
        <v>#N/A</v>
      </c>
      <c r="H25663" s="4" t="str">
        <v/>
      </c>
      <c r="I25663" s="4" t="str">
        <v/>
      </c>
    </row>
    <row r="25664" spans="5:9" ht="16.5" hidden="1">
      <c r="E25664" s="4" t="str">
        <v/>
      </c>
      <c r="F25664" s="102" t="str">
        <f ca="1">IFERROR(__xludf.DUMMYFUNCTION("IMPORTRANGE(H25664,""IDENTITAS UNIT!D9"")"),"#N/A")</f>
        <v>#N/A</v>
      </c>
      <c r="H25664" s="4" t="str">
        <v/>
      </c>
      <c r="I25664" s="4" t="str">
        <v/>
      </c>
    </row>
    <row r="25665" spans="5:9" ht="16.5" hidden="1">
      <c r="E25665" s="4" t="str">
        <v/>
      </c>
      <c r="F25665" s="102" t="str">
        <f ca="1">IFERROR(__xludf.DUMMYFUNCTION("IMPORTRANGE(H25665,""IDENTITAS UNIT!D9"")"),"#N/A")</f>
        <v>#N/A</v>
      </c>
      <c r="H25665" s="4" t="str">
        <v/>
      </c>
      <c r="I25665" s="4" t="str">
        <v/>
      </c>
    </row>
    <row r="25666" spans="5:9" ht="16.5" hidden="1">
      <c r="E25666" s="4" t="str">
        <v/>
      </c>
      <c r="F25666" s="102" t="str">
        <f ca="1">IFERROR(__xludf.DUMMYFUNCTION("IMPORTRANGE(H25666,""IDENTITAS UNIT!D9"")"),"#N/A")</f>
        <v>#N/A</v>
      </c>
      <c r="H25666" s="4" t="str">
        <v/>
      </c>
      <c r="I25666" s="4" t="str">
        <v/>
      </c>
    </row>
    <row r="25667" spans="5:9" ht="16.5" hidden="1">
      <c r="E25667" s="4" t="str">
        <v/>
      </c>
      <c r="F25667" s="102" t="str">
        <f ca="1">IFERROR(__xludf.DUMMYFUNCTION("IMPORTRANGE(H25667,""IDENTITAS UNIT!D9"")"),"#N/A")</f>
        <v>#N/A</v>
      </c>
      <c r="H25667" s="4" t="str">
        <v/>
      </c>
      <c r="I25667" s="4" t="str">
        <v/>
      </c>
    </row>
    <row r="25668" spans="5:9" ht="16.5" hidden="1">
      <c r="E25668" s="4" t="str">
        <v/>
      </c>
      <c r="F25668" s="102" t="str">
        <f ca="1">IFERROR(__xludf.DUMMYFUNCTION("IMPORTRANGE(H25668,""IDENTITAS UNIT!D9"")"),"#N/A")</f>
        <v>#N/A</v>
      </c>
      <c r="H25668" s="4" t="str">
        <v/>
      </c>
      <c r="I25668" s="4" t="str">
        <v/>
      </c>
    </row>
    <row r="25669" spans="5:9" ht="16.5" hidden="1">
      <c r="E25669" s="4" t="str">
        <v/>
      </c>
      <c r="F25669" s="102" t="str">
        <f ca="1">IFERROR(__xludf.DUMMYFUNCTION("IMPORTRANGE(H25669,""IDENTITAS UNIT!D9"")"),"#N/A")</f>
        <v>#N/A</v>
      </c>
      <c r="H25669" s="4" t="str">
        <v/>
      </c>
      <c r="I25669" s="4" t="str">
        <v/>
      </c>
    </row>
    <row r="25670" spans="5:9" ht="16.5" hidden="1">
      <c r="E25670" s="4" t="str">
        <v/>
      </c>
      <c r="F25670" s="102" t="str">
        <f ca="1">IFERROR(__xludf.DUMMYFUNCTION("IMPORTRANGE(H25670,""IDENTITAS UNIT!D9"")"),"#N/A")</f>
        <v>#N/A</v>
      </c>
      <c r="H25670" s="4" t="str">
        <v/>
      </c>
      <c r="I25670" s="4" t="str">
        <v/>
      </c>
    </row>
    <row r="25671" spans="5:9" ht="16.5" hidden="1">
      <c r="E25671" s="4" t="str">
        <v/>
      </c>
      <c r="F25671" s="102" t="str">
        <f ca="1">IFERROR(__xludf.DUMMYFUNCTION("IMPORTRANGE(H25671,""IDENTITAS UNIT!D9"")"),"#N/A")</f>
        <v>#N/A</v>
      </c>
      <c r="H25671" s="4" t="str">
        <v/>
      </c>
      <c r="I25671" s="4" t="str">
        <v/>
      </c>
    </row>
    <row r="25672" spans="5:9" ht="16.5" hidden="1">
      <c r="E25672" s="4" t="str">
        <v/>
      </c>
      <c r="F25672" s="102" t="str">
        <f ca="1">IFERROR(__xludf.DUMMYFUNCTION("IMPORTRANGE(H25672,""IDENTITAS UNIT!D9"")"),"#N/A")</f>
        <v>#N/A</v>
      </c>
      <c r="H25672" s="4" t="str">
        <v/>
      </c>
      <c r="I25672" s="4" t="str">
        <v/>
      </c>
    </row>
    <row r="25673" spans="5:9" ht="16.5" hidden="1">
      <c r="E25673" s="4" t="str">
        <v/>
      </c>
      <c r="F25673" s="102" t="str">
        <f ca="1">IFERROR(__xludf.DUMMYFUNCTION("IMPORTRANGE(H25673,""IDENTITAS UNIT!D9"")"),"#N/A")</f>
        <v>#N/A</v>
      </c>
      <c r="H25673" s="4" t="str">
        <v/>
      </c>
      <c r="I25673" s="4" t="str">
        <v/>
      </c>
    </row>
    <row r="25674" spans="5:9" ht="16.5" hidden="1">
      <c r="E25674" s="4" t="str">
        <v/>
      </c>
      <c r="F25674" s="102" t="str">
        <f ca="1">IFERROR(__xludf.DUMMYFUNCTION("IMPORTRANGE(H25674,""IDENTITAS UNIT!D9"")"),"#N/A")</f>
        <v>#N/A</v>
      </c>
      <c r="H25674" s="4" t="str">
        <v/>
      </c>
      <c r="I25674" s="4" t="str">
        <v/>
      </c>
    </row>
    <row r="25675" spans="5:9" ht="16.5" hidden="1">
      <c r="E25675" s="4" t="str">
        <v/>
      </c>
      <c r="F25675" s="102" t="str">
        <f ca="1">IFERROR(__xludf.DUMMYFUNCTION("IMPORTRANGE(H25675,""IDENTITAS UNIT!D9"")"),"#N/A")</f>
        <v>#N/A</v>
      </c>
      <c r="H25675" s="4" t="str">
        <v/>
      </c>
      <c r="I25675" s="4" t="str">
        <v/>
      </c>
    </row>
    <row r="25676" spans="5:9" ht="16.5" hidden="1">
      <c r="E25676" s="4" t="str">
        <v/>
      </c>
      <c r="F25676" s="102" t="str">
        <f ca="1">IFERROR(__xludf.DUMMYFUNCTION("IMPORTRANGE(H25676,""IDENTITAS UNIT!D9"")"),"#N/A")</f>
        <v>#N/A</v>
      </c>
      <c r="H25676" s="4" t="str">
        <v/>
      </c>
      <c r="I25676" s="4" t="str">
        <v/>
      </c>
    </row>
    <row r="25677" spans="5:9" ht="16.5" hidden="1">
      <c r="E25677" s="4" t="str">
        <v/>
      </c>
      <c r="F25677" s="102" t="str">
        <f ca="1">IFERROR(__xludf.DUMMYFUNCTION("IMPORTRANGE(H25677,""IDENTITAS UNIT!D9"")"),"#N/A")</f>
        <v>#N/A</v>
      </c>
      <c r="H25677" s="4" t="str">
        <v/>
      </c>
      <c r="I25677" s="4" t="str">
        <v/>
      </c>
    </row>
    <row r="25678" spans="5:9" ht="16.5" hidden="1">
      <c r="E25678" s="4" t="str">
        <v/>
      </c>
      <c r="F25678" s="102" t="str">
        <f ca="1">IFERROR(__xludf.DUMMYFUNCTION("IMPORTRANGE(H25678,""IDENTITAS UNIT!D9"")"),"#N/A")</f>
        <v>#N/A</v>
      </c>
      <c r="H25678" s="4" t="str">
        <v/>
      </c>
      <c r="I25678" s="4" t="str">
        <v/>
      </c>
    </row>
    <row r="25679" spans="5:9" ht="16.5" hidden="1">
      <c r="E25679" s="4" t="str">
        <v/>
      </c>
      <c r="F25679" s="102" t="str">
        <f ca="1">IFERROR(__xludf.DUMMYFUNCTION("IMPORTRANGE(H25679,""IDENTITAS UNIT!D9"")"),"#N/A")</f>
        <v>#N/A</v>
      </c>
      <c r="H25679" s="4" t="str">
        <v/>
      </c>
      <c r="I25679" s="4" t="str">
        <v/>
      </c>
    </row>
    <row r="25680" spans="5:9" ht="16.5" hidden="1">
      <c r="E25680" s="4" t="str">
        <v/>
      </c>
      <c r="F25680" s="102" t="str">
        <f ca="1">IFERROR(__xludf.DUMMYFUNCTION("IMPORTRANGE(H25680,""IDENTITAS UNIT!D9"")"),"#N/A")</f>
        <v>#N/A</v>
      </c>
      <c r="H25680" s="4" t="str">
        <v/>
      </c>
      <c r="I25680" s="4" t="str">
        <v/>
      </c>
    </row>
    <row r="25681" spans="5:9" ht="16.5" hidden="1">
      <c r="E25681" s="4" t="str">
        <v/>
      </c>
      <c r="F25681" s="102" t="str">
        <f ca="1">IFERROR(__xludf.DUMMYFUNCTION("IMPORTRANGE(H25681,""IDENTITAS UNIT!D9"")"),"#N/A")</f>
        <v>#N/A</v>
      </c>
      <c r="H25681" s="4" t="str">
        <v/>
      </c>
      <c r="I25681" s="4" t="str">
        <v/>
      </c>
    </row>
    <row r="25682" spans="5:9" ht="16.5" hidden="1">
      <c r="E25682" s="4" t="str">
        <v/>
      </c>
      <c r="F25682" s="102" t="str">
        <f ca="1">IFERROR(__xludf.DUMMYFUNCTION("IMPORTRANGE(H25682,""IDENTITAS UNIT!D9"")"),"#N/A")</f>
        <v>#N/A</v>
      </c>
      <c r="H25682" s="4" t="str">
        <v/>
      </c>
      <c r="I25682" s="4" t="str">
        <v/>
      </c>
    </row>
    <row r="25683" spans="5:9" ht="16.5" hidden="1">
      <c r="E25683" s="4" t="str">
        <v/>
      </c>
      <c r="F25683" s="102" t="str">
        <f ca="1">IFERROR(__xludf.DUMMYFUNCTION("IMPORTRANGE(H25683,""IDENTITAS UNIT!D9"")"),"#N/A")</f>
        <v>#N/A</v>
      </c>
      <c r="H25683" s="4" t="str">
        <v/>
      </c>
      <c r="I25683" s="4" t="str">
        <v/>
      </c>
    </row>
    <row r="25684" spans="5:9" ht="16.5" hidden="1">
      <c r="E25684" s="4" t="str">
        <v/>
      </c>
      <c r="F25684" s="102" t="str">
        <f ca="1">IFERROR(__xludf.DUMMYFUNCTION("IMPORTRANGE(H25684,""IDENTITAS UNIT!D9"")"),"#N/A")</f>
        <v>#N/A</v>
      </c>
      <c r="H25684" s="4" t="str">
        <v/>
      </c>
      <c r="I25684" s="4" t="str">
        <v/>
      </c>
    </row>
    <row r="25685" spans="5:9" ht="16.5" hidden="1">
      <c r="E25685" s="4" t="str">
        <v/>
      </c>
      <c r="F25685" s="102" t="str">
        <f ca="1">IFERROR(__xludf.DUMMYFUNCTION("IMPORTRANGE(H25685,""IDENTITAS UNIT!D9"")"),"#N/A")</f>
        <v>#N/A</v>
      </c>
      <c r="H25685" s="4" t="str">
        <v/>
      </c>
      <c r="I25685" s="4" t="str">
        <v/>
      </c>
    </row>
    <row r="25686" spans="5:9" ht="16.5" hidden="1">
      <c r="E25686" s="4" t="str">
        <v/>
      </c>
      <c r="F25686" s="102" t="str">
        <f ca="1">IFERROR(__xludf.DUMMYFUNCTION("IMPORTRANGE(H25686,""IDENTITAS UNIT!D9"")"),"#N/A")</f>
        <v>#N/A</v>
      </c>
      <c r="H25686" s="4" t="str">
        <v/>
      </c>
      <c r="I25686" s="4" t="str">
        <v/>
      </c>
    </row>
    <row r="25687" spans="5:9" ht="16.5" hidden="1">
      <c r="E25687" s="4" t="str">
        <v/>
      </c>
      <c r="F25687" s="102" t="str">
        <f ca="1">IFERROR(__xludf.DUMMYFUNCTION("IMPORTRANGE(H25687,""IDENTITAS UNIT!D9"")"),"#N/A")</f>
        <v>#N/A</v>
      </c>
      <c r="H25687" s="4" t="str">
        <v/>
      </c>
      <c r="I25687" s="4" t="str">
        <v/>
      </c>
    </row>
    <row r="25688" spans="5:9" ht="16.5" hidden="1">
      <c r="E25688" s="4" t="str">
        <v/>
      </c>
      <c r="F25688" s="102" t="str">
        <f ca="1">IFERROR(__xludf.DUMMYFUNCTION("IMPORTRANGE(H25688,""IDENTITAS UNIT!D9"")"),"#N/A")</f>
        <v>#N/A</v>
      </c>
      <c r="H25688" s="4" t="str">
        <v/>
      </c>
      <c r="I25688" s="4" t="str">
        <v/>
      </c>
    </row>
    <row r="25689" spans="5:9" ht="16.5" hidden="1">
      <c r="E25689" s="4" t="str">
        <v/>
      </c>
      <c r="F25689" s="102" t="str">
        <f ca="1">IFERROR(__xludf.DUMMYFUNCTION("IMPORTRANGE(H25689,""IDENTITAS UNIT!D9"")"),"#N/A")</f>
        <v>#N/A</v>
      </c>
      <c r="H25689" s="4" t="str">
        <v/>
      </c>
      <c r="I25689" s="4" t="str">
        <v/>
      </c>
    </row>
    <row r="25690" spans="5:9" ht="16.5" hidden="1">
      <c r="E25690" s="4" t="str">
        <v/>
      </c>
      <c r="F25690" s="102" t="str">
        <f ca="1">IFERROR(__xludf.DUMMYFUNCTION("IMPORTRANGE(H25690,""IDENTITAS UNIT!D9"")"),"#N/A")</f>
        <v>#N/A</v>
      </c>
      <c r="H25690" s="4" t="str">
        <v/>
      </c>
      <c r="I25690" s="4" t="str">
        <v/>
      </c>
    </row>
    <row r="25691" spans="5:9" ht="16.5" hidden="1">
      <c r="E25691" s="4" t="str">
        <v/>
      </c>
      <c r="F25691" s="102" t="str">
        <f ca="1">IFERROR(__xludf.DUMMYFUNCTION("IMPORTRANGE(H25691,""IDENTITAS UNIT!D9"")"),"#N/A")</f>
        <v>#N/A</v>
      </c>
      <c r="H25691" s="4" t="str">
        <v/>
      </c>
      <c r="I25691" s="4" t="str">
        <v/>
      </c>
    </row>
    <row r="25692" spans="5:9" ht="16.5" hidden="1">
      <c r="E25692" s="4" t="str">
        <v/>
      </c>
      <c r="F25692" s="102" t="str">
        <f ca="1">IFERROR(__xludf.DUMMYFUNCTION("IMPORTRANGE(H25692,""IDENTITAS UNIT!D9"")"),"#N/A")</f>
        <v>#N/A</v>
      </c>
      <c r="H25692" s="4" t="str">
        <v/>
      </c>
      <c r="I25692" s="4" t="str">
        <v/>
      </c>
    </row>
    <row r="25693" spans="5:9" ht="16.5" hidden="1">
      <c r="E25693" s="4" t="str">
        <v/>
      </c>
      <c r="F25693" s="102" t="str">
        <f ca="1">IFERROR(__xludf.DUMMYFUNCTION("IMPORTRANGE(H25693,""IDENTITAS UNIT!D9"")"),"#N/A")</f>
        <v>#N/A</v>
      </c>
      <c r="H25693" s="4" t="str">
        <v/>
      </c>
      <c r="I25693" s="4" t="str">
        <v/>
      </c>
    </row>
    <row r="25694" spans="5:9" ht="16.5" hidden="1">
      <c r="E25694" s="4" t="str">
        <v/>
      </c>
      <c r="F25694" s="102" t="str">
        <f ca="1">IFERROR(__xludf.DUMMYFUNCTION("IMPORTRANGE(H25694,""IDENTITAS UNIT!D9"")"),"#N/A")</f>
        <v>#N/A</v>
      </c>
      <c r="H25694" s="4" t="str">
        <v/>
      </c>
      <c r="I25694" s="4" t="str">
        <v/>
      </c>
    </row>
    <row r="25695" spans="5:9" ht="16.5" hidden="1">
      <c r="E25695" s="4" t="str">
        <v/>
      </c>
      <c r="F25695" s="102" t="str">
        <f ca="1">IFERROR(__xludf.DUMMYFUNCTION("IMPORTRANGE(H25695,""IDENTITAS UNIT!D9"")"),"#N/A")</f>
        <v>#N/A</v>
      </c>
      <c r="H25695" s="4" t="str">
        <v/>
      </c>
      <c r="I25695" s="4" t="str">
        <v/>
      </c>
    </row>
    <row r="25696" spans="5:9" ht="16.5" hidden="1">
      <c r="E25696" s="4" t="str">
        <v/>
      </c>
      <c r="F25696" s="102" t="str">
        <f ca="1">IFERROR(__xludf.DUMMYFUNCTION("IMPORTRANGE(H25696,""IDENTITAS UNIT!D9"")"),"#N/A")</f>
        <v>#N/A</v>
      </c>
      <c r="H25696" s="4" t="str">
        <v/>
      </c>
      <c r="I25696" s="4" t="str">
        <v/>
      </c>
    </row>
    <row r="25697" spans="5:9" ht="16.5" hidden="1">
      <c r="E25697" s="4" t="str">
        <v/>
      </c>
      <c r="F25697" s="102" t="str">
        <f ca="1">IFERROR(__xludf.DUMMYFUNCTION("IMPORTRANGE(H25697,""IDENTITAS UNIT!D9"")"),"#N/A")</f>
        <v>#N/A</v>
      </c>
      <c r="H25697" s="4" t="str">
        <v/>
      </c>
      <c r="I25697" s="4" t="str">
        <v/>
      </c>
    </row>
    <row r="25698" spans="5:9" ht="16.5" hidden="1">
      <c r="E25698" s="4" t="str">
        <v/>
      </c>
      <c r="F25698" s="102" t="str">
        <f ca="1">IFERROR(__xludf.DUMMYFUNCTION("IMPORTRANGE(H25698,""IDENTITAS UNIT!D9"")"),"#N/A")</f>
        <v>#N/A</v>
      </c>
      <c r="H25698" s="4" t="str">
        <v/>
      </c>
      <c r="I25698" s="4" t="str">
        <v/>
      </c>
    </row>
    <row r="25699" spans="5:9" ht="16.5" hidden="1">
      <c r="E25699" s="4" t="str">
        <v/>
      </c>
      <c r="F25699" s="102" t="str">
        <f ca="1">IFERROR(__xludf.DUMMYFUNCTION("IMPORTRANGE(H25699,""IDENTITAS UNIT!D9"")"),"#N/A")</f>
        <v>#N/A</v>
      </c>
      <c r="H25699" s="4" t="str">
        <v/>
      </c>
      <c r="I25699" s="4" t="str">
        <v/>
      </c>
    </row>
    <row r="25700" spans="5:9" ht="16.5" hidden="1">
      <c r="E25700" s="4" t="str">
        <v/>
      </c>
      <c r="F25700" s="102" t="str">
        <f ca="1">IFERROR(__xludf.DUMMYFUNCTION("IMPORTRANGE(H25700,""IDENTITAS UNIT!D9"")"),"#N/A")</f>
        <v>#N/A</v>
      </c>
      <c r="H25700" s="4" t="str">
        <v/>
      </c>
      <c r="I25700" s="4" t="str">
        <v/>
      </c>
    </row>
    <row r="25701" spans="5:9" ht="16.5" hidden="1">
      <c r="E25701" s="4" t="str">
        <v/>
      </c>
      <c r="F25701" s="102" t="str">
        <f ca="1">IFERROR(__xludf.DUMMYFUNCTION("IMPORTRANGE(H25701,""IDENTITAS UNIT!D9"")"),"#N/A")</f>
        <v>#N/A</v>
      </c>
      <c r="H25701" s="4" t="str">
        <v/>
      </c>
      <c r="I25701" s="4" t="str">
        <v/>
      </c>
    </row>
    <row r="25702" spans="5:9" ht="16.5" hidden="1">
      <c r="E25702" s="4" t="str">
        <v/>
      </c>
      <c r="F25702" s="102" t="str">
        <f ca="1">IFERROR(__xludf.DUMMYFUNCTION("IMPORTRANGE(H25702,""IDENTITAS UNIT!D9"")"),"#N/A")</f>
        <v>#N/A</v>
      </c>
      <c r="H25702" s="4" t="str">
        <v/>
      </c>
      <c r="I25702" s="4" t="str">
        <v/>
      </c>
    </row>
    <row r="25703" spans="5:9" ht="16.5" hidden="1">
      <c r="E25703" s="4" t="str">
        <v/>
      </c>
      <c r="F25703" s="102" t="str">
        <f ca="1">IFERROR(__xludf.DUMMYFUNCTION("IMPORTRANGE(H25703,""IDENTITAS UNIT!D9"")"),"#N/A")</f>
        <v>#N/A</v>
      </c>
      <c r="H25703" s="4" t="str">
        <v/>
      </c>
      <c r="I25703" s="4" t="str">
        <v/>
      </c>
    </row>
    <row r="25704" spans="5:9" ht="16.5" hidden="1">
      <c r="E25704" s="4" t="str">
        <v/>
      </c>
      <c r="F25704" s="102" t="str">
        <f ca="1">IFERROR(__xludf.DUMMYFUNCTION("IMPORTRANGE(H25704,""IDENTITAS UNIT!D9"")"),"#N/A")</f>
        <v>#N/A</v>
      </c>
      <c r="H25704" s="4" t="str">
        <v/>
      </c>
      <c r="I25704" s="4" t="str">
        <v/>
      </c>
    </row>
    <row r="25705" spans="5:9" ht="16.5" hidden="1">
      <c r="E25705" s="4" t="str">
        <v/>
      </c>
      <c r="F25705" s="102" t="str">
        <f ca="1">IFERROR(__xludf.DUMMYFUNCTION("IMPORTRANGE(H25705,""IDENTITAS UNIT!D9"")"),"#N/A")</f>
        <v>#N/A</v>
      </c>
      <c r="H25705" s="4" t="str">
        <v/>
      </c>
      <c r="I25705" s="4" t="str">
        <v/>
      </c>
    </row>
    <row r="25706" spans="5:9" ht="16.5" hidden="1">
      <c r="E25706" s="4" t="str">
        <v/>
      </c>
      <c r="F25706" s="102" t="str">
        <f ca="1">IFERROR(__xludf.DUMMYFUNCTION("IMPORTRANGE(H25706,""IDENTITAS UNIT!D9"")"),"#N/A")</f>
        <v>#N/A</v>
      </c>
      <c r="H25706" s="4" t="str">
        <v/>
      </c>
      <c r="I25706" s="4" t="str">
        <v/>
      </c>
    </row>
    <row r="25707" spans="5:9" ht="16.5" hidden="1">
      <c r="E25707" s="4" t="str">
        <v/>
      </c>
      <c r="F25707" s="102" t="str">
        <f ca="1">IFERROR(__xludf.DUMMYFUNCTION("IMPORTRANGE(H25707,""IDENTITAS UNIT!D9"")"),"#N/A")</f>
        <v>#N/A</v>
      </c>
      <c r="H25707" s="4" t="str">
        <v/>
      </c>
      <c r="I25707" s="4" t="str">
        <v/>
      </c>
    </row>
    <row r="25708" spans="5:9" ht="16.5" hidden="1">
      <c r="E25708" s="4" t="str">
        <v/>
      </c>
      <c r="F25708" s="102" t="str">
        <f ca="1">IFERROR(__xludf.DUMMYFUNCTION("IMPORTRANGE(H25708,""IDENTITAS UNIT!D9"")"),"#N/A")</f>
        <v>#N/A</v>
      </c>
      <c r="H25708" s="4" t="str">
        <v/>
      </c>
      <c r="I25708" s="4" t="str">
        <v/>
      </c>
    </row>
    <row r="25709" spans="5:9" ht="16.5" hidden="1">
      <c r="E25709" s="4" t="str">
        <v/>
      </c>
      <c r="F25709" s="102" t="str">
        <f ca="1">IFERROR(__xludf.DUMMYFUNCTION("IMPORTRANGE(H25709,""IDENTITAS UNIT!D9"")"),"#N/A")</f>
        <v>#N/A</v>
      </c>
      <c r="H25709" s="4" t="str">
        <v/>
      </c>
      <c r="I25709" s="4" t="str">
        <v/>
      </c>
    </row>
    <row r="25710" spans="5:9" ht="16.5" hidden="1">
      <c r="E25710" s="4" t="str">
        <v/>
      </c>
      <c r="F25710" s="102" t="str">
        <f ca="1">IFERROR(__xludf.DUMMYFUNCTION("IMPORTRANGE(H25710,""IDENTITAS UNIT!D9"")"),"#N/A")</f>
        <v>#N/A</v>
      </c>
      <c r="H25710" s="4" t="str">
        <v/>
      </c>
      <c r="I25710" s="4" t="str">
        <v/>
      </c>
    </row>
    <row r="25711" spans="5:9" ht="16.5" hidden="1">
      <c r="E25711" s="4" t="str">
        <v/>
      </c>
      <c r="F25711" s="102" t="str">
        <f ca="1">IFERROR(__xludf.DUMMYFUNCTION("IMPORTRANGE(H25711,""IDENTITAS UNIT!D9"")"),"#N/A")</f>
        <v>#N/A</v>
      </c>
      <c r="H25711" s="4" t="str">
        <v/>
      </c>
      <c r="I25711" s="4" t="str">
        <v/>
      </c>
    </row>
    <row r="25712" spans="5:9" ht="16.5" hidden="1">
      <c r="E25712" s="4" t="str">
        <v/>
      </c>
      <c r="F25712" s="102" t="str">
        <f ca="1">IFERROR(__xludf.DUMMYFUNCTION("IMPORTRANGE(H25712,""IDENTITAS UNIT!D9"")"),"#N/A")</f>
        <v>#N/A</v>
      </c>
      <c r="H25712" s="4" t="str">
        <v/>
      </c>
      <c r="I25712" s="4" t="str">
        <v/>
      </c>
    </row>
    <row r="25713" spans="5:9" ht="16.5" hidden="1">
      <c r="E25713" s="4" t="str">
        <v/>
      </c>
      <c r="F25713" s="102" t="str">
        <f ca="1">IFERROR(__xludf.DUMMYFUNCTION("IMPORTRANGE(H25713,""IDENTITAS UNIT!D9"")"),"#N/A")</f>
        <v>#N/A</v>
      </c>
      <c r="H25713" s="4" t="str">
        <v/>
      </c>
      <c r="I25713" s="4" t="str">
        <v/>
      </c>
    </row>
    <row r="25714" spans="5:9" ht="16.5" hidden="1">
      <c r="E25714" s="4" t="str">
        <v/>
      </c>
      <c r="F25714" s="102" t="str">
        <f ca="1">IFERROR(__xludf.DUMMYFUNCTION("IMPORTRANGE(H25714,""IDENTITAS UNIT!D9"")"),"#N/A")</f>
        <v>#N/A</v>
      </c>
      <c r="H25714" s="4" t="str">
        <v/>
      </c>
      <c r="I25714" s="4" t="str">
        <v/>
      </c>
    </row>
    <row r="25715" spans="5:9" ht="16.5" hidden="1">
      <c r="E25715" s="4" t="str">
        <v/>
      </c>
      <c r="F25715" s="102" t="str">
        <f ca="1">IFERROR(__xludf.DUMMYFUNCTION("IMPORTRANGE(H25715,""IDENTITAS UNIT!D9"")"),"#N/A")</f>
        <v>#N/A</v>
      </c>
      <c r="H25715" s="4" t="str">
        <v/>
      </c>
      <c r="I25715" s="4" t="str">
        <v/>
      </c>
    </row>
    <row r="25716" spans="5:9" ht="16.5" hidden="1">
      <c r="E25716" s="4" t="str">
        <v/>
      </c>
      <c r="F25716" s="102" t="str">
        <f ca="1">IFERROR(__xludf.DUMMYFUNCTION("IMPORTRANGE(H25716,""IDENTITAS UNIT!D9"")"),"#N/A")</f>
        <v>#N/A</v>
      </c>
      <c r="H25716" s="4" t="str">
        <v/>
      </c>
      <c r="I25716" s="4" t="str">
        <v/>
      </c>
    </row>
    <row r="25717" spans="5:9" ht="16.5" hidden="1">
      <c r="E25717" s="4" t="str">
        <v/>
      </c>
      <c r="F25717" s="102" t="str">
        <f ca="1">IFERROR(__xludf.DUMMYFUNCTION("IMPORTRANGE(H25717,""IDENTITAS UNIT!D9"")"),"#N/A")</f>
        <v>#N/A</v>
      </c>
      <c r="H25717" s="4" t="str">
        <v/>
      </c>
      <c r="I25717" s="4" t="str">
        <v/>
      </c>
    </row>
    <row r="25718" spans="5:9" ht="16.5" hidden="1">
      <c r="E25718" s="4" t="str">
        <v/>
      </c>
      <c r="F25718" s="102" t="str">
        <f ca="1">IFERROR(__xludf.DUMMYFUNCTION("IMPORTRANGE(H25718,""IDENTITAS UNIT!D9"")"),"#N/A")</f>
        <v>#N/A</v>
      </c>
      <c r="H25718" s="4" t="str">
        <v/>
      </c>
      <c r="I25718" s="4" t="str">
        <v/>
      </c>
    </row>
    <row r="25719" spans="5:9" ht="16.5" hidden="1">
      <c r="E25719" s="4" t="str">
        <v/>
      </c>
      <c r="F25719" s="102" t="str">
        <f ca="1">IFERROR(__xludf.DUMMYFUNCTION("IMPORTRANGE(H25719,""IDENTITAS UNIT!D9"")"),"#N/A")</f>
        <v>#N/A</v>
      </c>
      <c r="H25719" s="4" t="str">
        <v/>
      </c>
      <c r="I25719" s="4" t="str">
        <v/>
      </c>
    </row>
    <row r="25720" spans="5:9" ht="16.5" hidden="1">
      <c r="E25720" s="4" t="str">
        <v/>
      </c>
      <c r="F25720" s="102" t="str">
        <f ca="1">IFERROR(__xludf.DUMMYFUNCTION("IMPORTRANGE(H25720,""IDENTITAS UNIT!D9"")"),"#N/A")</f>
        <v>#N/A</v>
      </c>
      <c r="H25720" s="4" t="str">
        <v/>
      </c>
      <c r="I25720" s="4" t="str">
        <v/>
      </c>
    </row>
    <row r="25721" spans="5:9" ht="16.5" hidden="1">
      <c r="E25721" s="4" t="str">
        <v/>
      </c>
      <c r="F25721" s="102" t="str">
        <f ca="1">IFERROR(__xludf.DUMMYFUNCTION("IMPORTRANGE(H25721,""IDENTITAS UNIT!D9"")"),"#N/A")</f>
        <v>#N/A</v>
      </c>
      <c r="H25721" s="4" t="str">
        <v/>
      </c>
      <c r="I25721" s="4" t="str">
        <v/>
      </c>
    </row>
    <row r="25722" spans="5:9" ht="16.5" hidden="1">
      <c r="E25722" s="4" t="str">
        <v/>
      </c>
      <c r="F25722" s="102" t="str">
        <f ca="1">IFERROR(__xludf.DUMMYFUNCTION("IMPORTRANGE(H25722,""IDENTITAS UNIT!D9"")"),"#N/A")</f>
        <v>#N/A</v>
      </c>
      <c r="H25722" s="4" t="str">
        <v/>
      </c>
      <c r="I25722" s="4" t="str">
        <v/>
      </c>
    </row>
    <row r="25723" spans="5:9" ht="16.5" hidden="1">
      <c r="E25723" s="4" t="str">
        <v/>
      </c>
      <c r="F25723" s="102" t="str">
        <f ca="1">IFERROR(__xludf.DUMMYFUNCTION("IMPORTRANGE(H25723,""IDENTITAS UNIT!D9"")"),"#N/A")</f>
        <v>#N/A</v>
      </c>
      <c r="H25723" s="4" t="str">
        <v/>
      </c>
      <c r="I25723" s="4" t="str">
        <v/>
      </c>
    </row>
    <row r="25724" spans="5:9" ht="16.5" hidden="1">
      <c r="E25724" s="4" t="str">
        <v/>
      </c>
      <c r="F25724" s="102" t="str">
        <f ca="1">IFERROR(__xludf.DUMMYFUNCTION("IMPORTRANGE(H25724,""IDENTITAS UNIT!D9"")"),"#N/A")</f>
        <v>#N/A</v>
      </c>
      <c r="H25724" s="4" t="str">
        <v/>
      </c>
      <c r="I25724" s="4" t="str">
        <v/>
      </c>
    </row>
    <row r="25725" spans="5:9" ht="16.5" hidden="1">
      <c r="E25725" s="4" t="str">
        <v/>
      </c>
      <c r="F25725" s="102" t="str">
        <f ca="1">IFERROR(__xludf.DUMMYFUNCTION("IMPORTRANGE(H25725,""IDENTITAS UNIT!D9"")"),"#N/A")</f>
        <v>#N/A</v>
      </c>
      <c r="H25725" s="4" t="str">
        <v/>
      </c>
      <c r="I25725" s="4" t="str">
        <v/>
      </c>
    </row>
    <row r="25726" spans="5:9" ht="16.5" hidden="1">
      <c r="E25726" s="4" t="str">
        <v/>
      </c>
      <c r="F25726" s="102" t="str">
        <f ca="1">IFERROR(__xludf.DUMMYFUNCTION("IMPORTRANGE(H25726,""IDENTITAS UNIT!D9"")"),"#N/A")</f>
        <v>#N/A</v>
      </c>
      <c r="H25726" s="4" t="str">
        <v/>
      </c>
      <c r="I25726" s="4" t="str">
        <v/>
      </c>
    </row>
    <row r="25727" spans="5:9" ht="16.5" hidden="1">
      <c r="E25727" s="4" t="str">
        <v/>
      </c>
      <c r="F25727" s="102" t="str">
        <f ca="1">IFERROR(__xludf.DUMMYFUNCTION("IMPORTRANGE(H25727,""IDENTITAS UNIT!D9"")"),"#N/A")</f>
        <v>#N/A</v>
      </c>
      <c r="H25727" s="4" t="str">
        <v/>
      </c>
      <c r="I25727" s="4" t="str">
        <v/>
      </c>
    </row>
    <row r="25728" spans="5:9" ht="16.5" hidden="1">
      <c r="E25728" s="4" t="str">
        <v/>
      </c>
      <c r="F25728" s="102" t="str">
        <f ca="1">IFERROR(__xludf.DUMMYFUNCTION("IMPORTRANGE(H25728,""IDENTITAS UNIT!D9"")"),"#N/A")</f>
        <v>#N/A</v>
      </c>
      <c r="H25728" s="4" t="str">
        <v/>
      </c>
      <c r="I25728" s="4" t="str">
        <v/>
      </c>
    </row>
    <row r="25729" spans="5:9" ht="16.5" hidden="1">
      <c r="E25729" s="4" t="str">
        <v/>
      </c>
      <c r="F25729" s="102" t="str">
        <f ca="1">IFERROR(__xludf.DUMMYFUNCTION("IMPORTRANGE(H25729,""IDENTITAS UNIT!D9"")"),"#N/A")</f>
        <v>#N/A</v>
      </c>
      <c r="H25729" s="4" t="str">
        <v/>
      </c>
      <c r="I25729" s="4" t="str">
        <v/>
      </c>
    </row>
    <row r="25730" spans="5:9" ht="16.5" hidden="1">
      <c r="E25730" s="4" t="str">
        <v/>
      </c>
      <c r="F25730" s="102" t="str">
        <f ca="1">IFERROR(__xludf.DUMMYFUNCTION("IMPORTRANGE(H25730,""IDENTITAS UNIT!D9"")"),"#N/A")</f>
        <v>#N/A</v>
      </c>
      <c r="H25730" s="4" t="str">
        <v/>
      </c>
      <c r="I25730" s="4" t="str">
        <v/>
      </c>
    </row>
    <row r="25731" spans="5:9" ht="16.5" hidden="1">
      <c r="E25731" s="4" t="str">
        <v/>
      </c>
      <c r="F25731" s="102" t="str">
        <f ca="1">IFERROR(__xludf.DUMMYFUNCTION("IMPORTRANGE(H25731,""IDENTITAS UNIT!D9"")"),"#N/A")</f>
        <v>#N/A</v>
      </c>
      <c r="H25731" s="4" t="str">
        <v/>
      </c>
      <c r="I25731" s="4" t="str">
        <v/>
      </c>
    </row>
    <row r="25732" spans="5:9" ht="16.5" hidden="1">
      <c r="E25732" s="4" t="str">
        <v/>
      </c>
      <c r="F25732" s="102" t="str">
        <f ca="1">IFERROR(__xludf.DUMMYFUNCTION("IMPORTRANGE(H25732,""IDENTITAS UNIT!D9"")"),"#N/A")</f>
        <v>#N/A</v>
      </c>
      <c r="H25732" s="4" t="str">
        <v/>
      </c>
      <c r="I25732" s="4" t="str">
        <v/>
      </c>
    </row>
    <row r="25733" spans="5:9" ht="16.5" hidden="1">
      <c r="E25733" s="4" t="str">
        <v/>
      </c>
      <c r="F25733" s="102" t="str">
        <f ca="1">IFERROR(__xludf.DUMMYFUNCTION("IMPORTRANGE(H25733,""IDENTITAS UNIT!D9"")"),"#N/A")</f>
        <v>#N/A</v>
      </c>
      <c r="H25733" s="4" t="str">
        <v/>
      </c>
      <c r="I25733" s="4" t="str">
        <v/>
      </c>
    </row>
    <row r="25734" spans="5:9" ht="16.5" hidden="1">
      <c r="E25734" s="4" t="str">
        <v/>
      </c>
      <c r="F25734" s="102" t="str">
        <f ca="1">IFERROR(__xludf.DUMMYFUNCTION("IMPORTRANGE(H25734,""IDENTITAS UNIT!D9"")"),"#N/A")</f>
        <v>#N/A</v>
      </c>
      <c r="H25734" s="4" t="str">
        <v/>
      </c>
      <c r="I25734" s="4" t="str">
        <v/>
      </c>
    </row>
    <row r="25735" spans="5:9" ht="16.5" hidden="1">
      <c r="E25735" s="4" t="str">
        <v/>
      </c>
      <c r="F25735" s="102" t="str">
        <f ca="1">IFERROR(__xludf.DUMMYFUNCTION("IMPORTRANGE(H25735,""IDENTITAS UNIT!D9"")"),"#N/A")</f>
        <v>#N/A</v>
      </c>
      <c r="H25735" s="4" t="str">
        <v/>
      </c>
      <c r="I25735" s="4" t="str">
        <v/>
      </c>
    </row>
    <row r="25736" spans="5:9" ht="16.5" hidden="1">
      <c r="E25736" s="4" t="str">
        <v/>
      </c>
      <c r="F25736" s="102" t="str">
        <f ca="1">IFERROR(__xludf.DUMMYFUNCTION("IMPORTRANGE(H25736,""IDENTITAS UNIT!D9"")"),"#N/A")</f>
        <v>#N/A</v>
      </c>
      <c r="H25736" s="4" t="str">
        <v/>
      </c>
      <c r="I25736" s="4" t="str">
        <v/>
      </c>
    </row>
    <row r="25737" spans="5:9" ht="16.5" hidden="1">
      <c r="E25737" s="4" t="str">
        <v/>
      </c>
      <c r="F25737" s="102" t="str">
        <f ca="1">IFERROR(__xludf.DUMMYFUNCTION("IMPORTRANGE(H25737,""IDENTITAS UNIT!D9"")"),"#N/A")</f>
        <v>#N/A</v>
      </c>
      <c r="H25737" s="4" t="str">
        <v/>
      </c>
      <c r="I25737" s="4" t="str">
        <v/>
      </c>
    </row>
    <row r="25738" spans="5:9" ht="16.5" hidden="1">
      <c r="E25738" s="4" t="str">
        <v/>
      </c>
      <c r="F25738" s="102" t="str">
        <f ca="1">IFERROR(__xludf.DUMMYFUNCTION("IMPORTRANGE(H25738,""IDENTITAS UNIT!D9"")"),"#N/A")</f>
        <v>#N/A</v>
      </c>
      <c r="H25738" s="4" t="str">
        <v/>
      </c>
      <c r="I25738" s="4" t="str">
        <v/>
      </c>
    </row>
    <row r="25739" spans="5:9" ht="16.5" hidden="1">
      <c r="E25739" s="4" t="str">
        <v/>
      </c>
      <c r="F25739" s="102" t="str">
        <f ca="1">IFERROR(__xludf.DUMMYFUNCTION("IMPORTRANGE(H25739,""IDENTITAS UNIT!D9"")"),"#N/A")</f>
        <v>#N/A</v>
      </c>
      <c r="H25739" s="4" t="str">
        <v/>
      </c>
      <c r="I25739" s="4" t="str">
        <v/>
      </c>
    </row>
    <row r="25740" spans="5:9" ht="16.5" hidden="1">
      <c r="E25740" s="4" t="str">
        <v/>
      </c>
      <c r="F25740" s="102" t="str">
        <f ca="1">IFERROR(__xludf.DUMMYFUNCTION("IMPORTRANGE(H25740,""IDENTITAS UNIT!D9"")"),"#N/A")</f>
        <v>#N/A</v>
      </c>
      <c r="H25740" s="4" t="str">
        <v/>
      </c>
      <c r="I25740" s="4" t="str">
        <v/>
      </c>
    </row>
    <row r="25741" spans="5:9" ht="16.5" hidden="1">
      <c r="E25741" s="4" t="str">
        <v/>
      </c>
      <c r="F25741" s="102" t="str">
        <f ca="1">IFERROR(__xludf.DUMMYFUNCTION("IMPORTRANGE(H25741,""IDENTITAS UNIT!D9"")"),"#N/A")</f>
        <v>#N/A</v>
      </c>
      <c r="H25741" s="4" t="str">
        <v/>
      </c>
      <c r="I25741" s="4" t="str">
        <v/>
      </c>
    </row>
    <row r="25742" spans="5:9" ht="16.5" hidden="1">
      <c r="E25742" s="4" t="str">
        <v/>
      </c>
      <c r="F25742" s="102" t="str">
        <f ca="1">IFERROR(__xludf.DUMMYFUNCTION("IMPORTRANGE(H25742,""IDENTITAS UNIT!D9"")"),"#N/A")</f>
        <v>#N/A</v>
      </c>
      <c r="H25742" s="4" t="str">
        <v/>
      </c>
      <c r="I25742" s="4" t="str">
        <v/>
      </c>
    </row>
    <row r="25743" spans="5:9" ht="16.5" hidden="1">
      <c r="E25743" s="4" t="str">
        <v/>
      </c>
      <c r="F25743" s="102" t="str">
        <f ca="1">IFERROR(__xludf.DUMMYFUNCTION("IMPORTRANGE(H25743,""IDENTITAS UNIT!D9"")"),"#N/A")</f>
        <v>#N/A</v>
      </c>
      <c r="H25743" s="4" t="str">
        <v/>
      </c>
      <c r="I25743" s="4" t="str">
        <v/>
      </c>
    </row>
    <row r="25744" spans="5:9" ht="16.5" hidden="1">
      <c r="E25744" s="4" t="str">
        <v/>
      </c>
      <c r="F25744" s="102" t="str">
        <f ca="1">IFERROR(__xludf.DUMMYFUNCTION("IMPORTRANGE(H25744,""IDENTITAS UNIT!D9"")"),"#N/A")</f>
        <v>#N/A</v>
      </c>
      <c r="H25744" s="4" t="str">
        <v/>
      </c>
      <c r="I25744" s="4" t="str">
        <v/>
      </c>
    </row>
    <row r="25745" spans="5:9" ht="16.5" hidden="1">
      <c r="E25745" s="4" t="str">
        <v/>
      </c>
      <c r="F25745" s="102" t="str">
        <f ca="1">IFERROR(__xludf.DUMMYFUNCTION("IMPORTRANGE(H25745,""IDENTITAS UNIT!D9"")"),"#N/A")</f>
        <v>#N/A</v>
      </c>
      <c r="H25745" s="4" t="str">
        <v/>
      </c>
      <c r="I25745" s="4" t="str">
        <v/>
      </c>
    </row>
    <row r="25746" spans="5:9" ht="16.5" hidden="1">
      <c r="E25746" s="4" t="str">
        <v/>
      </c>
      <c r="F25746" s="102" t="str">
        <f ca="1">IFERROR(__xludf.DUMMYFUNCTION("IMPORTRANGE(H25746,""IDENTITAS UNIT!D9"")"),"#N/A")</f>
        <v>#N/A</v>
      </c>
      <c r="H25746" s="4" t="str">
        <v/>
      </c>
      <c r="I25746" s="4" t="str">
        <v/>
      </c>
    </row>
    <row r="25747" spans="5:9" ht="16.5" hidden="1">
      <c r="E25747" s="4" t="str">
        <v/>
      </c>
      <c r="F25747" s="102" t="str">
        <f ca="1">IFERROR(__xludf.DUMMYFUNCTION("IMPORTRANGE(H25747,""IDENTITAS UNIT!D9"")"),"#N/A")</f>
        <v>#N/A</v>
      </c>
      <c r="H25747" s="4" t="str">
        <v/>
      </c>
      <c r="I25747" s="4" t="str">
        <v/>
      </c>
    </row>
    <row r="25748" spans="5:9" ht="16.5" hidden="1">
      <c r="E25748" s="4" t="str">
        <v/>
      </c>
      <c r="F25748" s="102" t="str">
        <f ca="1">IFERROR(__xludf.DUMMYFUNCTION("IMPORTRANGE(H25748,""IDENTITAS UNIT!D9"")"),"#N/A")</f>
        <v>#N/A</v>
      </c>
      <c r="H25748" s="4" t="str">
        <v/>
      </c>
      <c r="I25748" s="4" t="str">
        <v/>
      </c>
    </row>
    <row r="25749" spans="5:9" ht="16.5" hidden="1">
      <c r="E25749" s="4" t="str">
        <v/>
      </c>
      <c r="F25749" s="102" t="str">
        <f ca="1">IFERROR(__xludf.DUMMYFUNCTION("IMPORTRANGE(H25749,""IDENTITAS UNIT!D9"")"),"#N/A")</f>
        <v>#N/A</v>
      </c>
      <c r="H25749" s="4" t="str">
        <v/>
      </c>
      <c r="I25749" s="4" t="str">
        <v/>
      </c>
    </row>
    <row r="25750" spans="5:9" ht="16.5" hidden="1">
      <c r="E25750" s="4" t="str">
        <v/>
      </c>
      <c r="F25750" s="102" t="str">
        <f ca="1">IFERROR(__xludf.DUMMYFUNCTION("IMPORTRANGE(H25750,""IDENTITAS UNIT!D9"")"),"#N/A")</f>
        <v>#N/A</v>
      </c>
      <c r="H25750" s="4" t="str">
        <v/>
      </c>
      <c r="I25750" s="4" t="str">
        <v/>
      </c>
    </row>
    <row r="25751" spans="5:9" ht="16.5" hidden="1">
      <c r="E25751" s="4" t="str">
        <v/>
      </c>
      <c r="F25751" s="102" t="str">
        <f ca="1">IFERROR(__xludf.DUMMYFUNCTION("IMPORTRANGE(H25751,""IDENTITAS UNIT!D9"")"),"#N/A")</f>
        <v>#N/A</v>
      </c>
      <c r="H25751" s="4" t="str">
        <v/>
      </c>
      <c r="I25751" s="4" t="str">
        <v/>
      </c>
    </row>
    <row r="25752" spans="5:9" ht="16.5" hidden="1">
      <c r="E25752" s="4" t="str">
        <v/>
      </c>
      <c r="F25752" s="102" t="str">
        <f ca="1">IFERROR(__xludf.DUMMYFUNCTION("IMPORTRANGE(H25752,""IDENTITAS UNIT!D9"")"),"#N/A")</f>
        <v>#N/A</v>
      </c>
      <c r="H25752" s="4" t="str">
        <v/>
      </c>
      <c r="I25752" s="4" t="str">
        <v/>
      </c>
    </row>
    <row r="25753" spans="5:9" ht="16.5" hidden="1">
      <c r="E25753" s="4" t="str">
        <v/>
      </c>
      <c r="F25753" s="102" t="str">
        <f ca="1">IFERROR(__xludf.DUMMYFUNCTION("IMPORTRANGE(H25753,""IDENTITAS UNIT!D9"")"),"#N/A")</f>
        <v>#N/A</v>
      </c>
      <c r="H25753" s="4" t="str">
        <v/>
      </c>
      <c r="I25753" s="4" t="str">
        <v/>
      </c>
    </row>
    <row r="25754" spans="5:9" ht="16.5" hidden="1">
      <c r="E25754" s="4" t="str">
        <v/>
      </c>
      <c r="F25754" s="102" t="str">
        <f ca="1">IFERROR(__xludf.DUMMYFUNCTION("IMPORTRANGE(H25754,""IDENTITAS UNIT!D9"")"),"#N/A")</f>
        <v>#N/A</v>
      </c>
      <c r="H25754" s="4" t="str">
        <v/>
      </c>
      <c r="I25754" s="4" t="str">
        <v/>
      </c>
    </row>
    <row r="25755" spans="5:9" ht="16.5" hidden="1">
      <c r="E25755" s="4" t="str">
        <v/>
      </c>
      <c r="F25755" s="102" t="str">
        <f ca="1">IFERROR(__xludf.DUMMYFUNCTION("IMPORTRANGE(H25755,""IDENTITAS UNIT!D9"")"),"#N/A")</f>
        <v>#N/A</v>
      </c>
      <c r="H25755" s="4" t="str">
        <v/>
      </c>
      <c r="I25755" s="4" t="str">
        <v/>
      </c>
    </row>
    <row r="25756" spans="5:9" ht="16.5" hidden="1">
      <c r="E25756" s="4" t="str">
        <v/>
      </c>
      <c r="F25756" s="102" t="str">
        <f ca="1">IFERROR(__xludf.DUMMYFUNCTION("IMPORTRANGE(H25756,""IDENTITAS UNIT!D9"")"),"#N/A")</f>
        <v>#N/A</v>
      </c>
      <c r="H25756" s="4" t="str">
        <v/>
      </c>
      <c r="I25756" s="4" t="str">
        <v/>
      </c>
    </row>
    <row r="25757" spans="5:9" ht="16.5" hidden="1">
      <c r="E25757" s="4" t="str">
        <v/>
      </c>
      <c r="F25757" s="102" t="str">
        <f ca="1">IFERROR(__xludf.DUMMYFUNCTION("IMPORTRANGE(H25757,""IDENTITAS UNIT!D9"")"),"#N/A")</f>
        <v>#N/A</v>
      </c>
      <c r="H25757" s="4" t="str">
        <v/>
      </c>
      <c r="I25757" s="4" t="str">
        <v/>
      </c>
    </row>
    <row r="25758" spans="5:9" ht="16.5" hidden="1">
      <c r="E25758" s="4" t="str">
        <v/>
      </c>
      <c r="F25758" s="102" t="str">
        <f ca="1">IFERROR(__xludf.DUMMYFUNCTION("IMPORTRANGE(H25758,""IDENTITAS UNIT!D9"")"),"#N/A")</f>
        <v>#N/A</v>
      </c>
      <c r="H25758" s="4" t="str">
        <v/>
      </c>
      <c r="I25758" s="4" t="str">
        <v/>
      </c>
    </row>
    <row r="25759" spans="5:9" ht="16.5" hidden="1">
      <c r="E25759" s="4" t="str">
        <v/>
      </c>
      <c r="F25759" s="102" t="str">
        <f ca="1">IFERROR(__xludf.DUMMYFUNCTION("IMPORTRANGE(H25759,""IDENTITAS UNIT!D9"")"),"#N/A")</f>
        <v>#N/A</v>
      </c>
      <c r="H25759" s="4" t="str">
        <v/>
      </c>
      <c r="I25759" s="4" t="str">
        <v/>
      </c>
    </row>
    <row r="25760" spans="5:9" ht="16.5" hidden="1">
      <c r="E25760" s="4" t="str">
        <v/>
      </c>
      <c r="F25760" s="102" t="str">
        <f ca="1">IFERROR(__xludf.DUMMYFUNCTION("IMPORTRANGE(H25760,""IDENTITAS UNIT!D9"")"),"#N/A")</f>
        <v>#N/A</v>
      </c>
      <c r="H25760" s="4" t="str">
        <v/>
      </c>
      <c r="I25760" s="4" t="str">
        <v/>
      </c>
    </row>
    <row r="25761" spans="5:9" ht="16.5" hidden="1">
      <c r="E25761" s="4" t="str">
        <v/>
      </c>
      <c r="F25761" s="102" t="str">
        <f ca="1">IFERROR(__xludf.DUMMYFUNCTION("IMPORTRANGE(H25761,""IDENTITAS UNIT!D9"")"),"#N/A")</f>
        <v>#N/A</v>
      </c>
      <c r="H25761" s="4" t="str">
        <v/>
      </c>
      <c r="I25761" s="4" t="str">
        <v/>
      </c>
    </row>
    <row r="25762" spans="5:9" ht="16.5" hidden="1">
      <c r="E25762" s="4" t="str">
        <v/>
      </c>
      <c r="F25762" s="102" t="str">
        <f ca="1">IFERROR(__xludf.DUMMYFUNCTION("IMPORTRANGE(H25762,""IDENTITAS UNIT!D9"")"),"#N/A")</f>
        <v>#N/A</v>
      </c>
      <c r="H25762" s="4" t="str">
        <v/>
      </c>
      <c r="I25762" s="4" t="str">
        <v/>
      </c>
    </row>
    <row r="25763" spans="5:9" ht="16.5" hidden="1">
      <c r="E25763" s="4" t="str">
        <v/>
      </c>
      <c r="F25763" s="102" t="str">
        <f ca="1">IFERROR(__xludf.DUMMYFUNCTION("IMPORTRANGE(H25763,""IDENTITAS UNIT!D9"")"),"#N/A")</f>
        <v>#N/A</v>
      </c>
      <c r="H25763" s="4" t="str">
        <v/>
      </c>
      <c r="I25763" s="4" t="str">
        <v/>
      </c>
    </row>
    <row r="25764" spans="5:9" ht="16.5" hidden="1">
      <c r="E25764" s="4" t="str">
        <v/>
      </c>
      <c r="F25764" s="102" t="str">
        <f ca="1">IFERROR(__xludf.DUMMYFUNCTION("IMPORTRANGE(H25764,""IDENTITAS UNIT!D9"")"),"#N/A")</f>
        <v>#N/A</v>
      </c>
      <c r="H25764" s="4" t="str">
        <v/>
      </c>
      <c r="I25764" s="4" t="str">
        <v/>
      </c>
    </row>
    <row r="25765" spans="5:9" ht="16.5" hidden="1">
      <c r="E25765" s="4" t="str">
        <v/>
      </c>
      <c r="F25765" s="102" t="str">
        <f ca="1">IFERROR(__xludf.DUMMYFUNCTION("IMPORTRANGE(H25765,""IDENTITAS UNIT!D9"")"),"#N/A")</f>
        <v>#N/A</v>
      </c>
      <c r="H25765" s="4" t="str">
        <v/>
      </c>
      <c r="I25765" s="4" t="str">
        <v/>
      </c>
    </row>
    <row r="25766" spans="5:9" ht="16.5" hidden="1">
      <c r="E25766" s="4" t="str">
        <v/>
      </c>
      <c r="F25766" s="102" t="str">
        <f ca="1">IFERROR(__xludf.DUMMYFUNCTION("IMPORTRANGE(H25766,""IDENTITAS UNIT!D9"")"),"#N/A")</f>
        <v>#N/A</v>
      </c>
      <c r="H25766" s="4" t="str">
        <v/>
      </c>
      <c r="I25766" s="4" t="str">
        <v/>
      </c>
    </row>
    <row r="25767" spans="5:9" ht="16.5" hidden="1">
      <c r="E25767" s="4" t="str">
        <v/>
      </c>
      <c r="F25767" s="102" t="str">
        <f ca="1">IFERROR(__xludf.DUMMYFUNCTION("IMPORTRANGE(H25767,""IDENTITAS UNIT!D9"")"),"#N/A")</f>
        <v>#N/A</v>
      </c>
      <c r="H25767" s="4" t="str">
        <v/>
      </c>
      <c r="I25767" s="4" t="str">
        <v/>
      </c>
    </row>
    <row r="25768" spans="5:9" ht="16.5" hidden="1">
      <c r="E25768" s="4" t="str">
        <v/>
      </c>
      <c r="F25768" s="102" t="str">
        <f ca="1">IFERROR(__xludf.DUMMYFUNCTION("IMPORTRANGE(H25768,""IDENTITAS UNIT!D9"")"),"#N/A")</f>
        <v>#N/A</v>
      </c>
      <c r="H25768" s="4" t="str">
        <v/>
      </c>
      <c r="I25768" s="4" t="str">
        <v/>
      </c>
    </row>
    <row r="25769" spans="5:9" ht="16.5" hidden="1">
      <c r="E25769" s="4" t="str">
        <v/>
      </c>
      <c r="F25769" s="102" t="str">
        <f ca="1">IFERROR(__xludf.DUMMYFUNCTION("IMPORTRANGE(H25769,""IDENTITAS UNIT!D9"")"),"#N/A")</f>
        <v>#N/A</v>
      </c>
      <c r="H25769" s="4" t="str">
        <v/>
      </c>
      <c r="I25769" s="4" t="str">
        <v/>
      </c>
    </row>
    <row r="25770" spans="5:9" ht="16.5" hidden="1">
      <c r="E25770" s="4" t="str">
        <v/>
      </c>
      <c r="F25770" s="102" t="str">
        <f ca="1">IFERROR(__xludf.DUMMYFUNCTION("IMPORTRANGE(H25770,""IDENTITAS UNIT!D9"")"),"#N/A")</f>
        <v>#N/A</v>
      </c>
      <c r="H25770" s="4" t="str">
        <v/>
      </c>
      <c r="I25770" s="4" t="str">
        <v/>
      </c>
    </row>
    <row r="25771" spans="5:9" ht="16.5" hidden="1">
      <c r="E25771" s="4" t="str">
        <v/>
      </c>
      <c r="F25771" s="102" t="str">
        <f ca="1">IFERROR(__xludf.DUMMYFUNCTION("IMPORTRANGE(H25771,""IDENTITAS UNIT!D9"")"),"#N/A")</f>
        <v>#N/A</v>
      </c>
      <c r="H25771" s="4" t="str">
        <v/>
      </c>
      <c r="I25771" s="4" t="str">
        <v/>
      </c>
    </row>
    <row r="25772" spans="5:9" ht="16.5" hidden="1">
      <c r="E25772" s="4" t="str">
        <v/>
      </c>
      <c r="F25772" s="102" t="str">
        <f ca="1">IFERROR(__xludf.DUMMYFUNCTION("IMPORTRANGE(H25772,""IDENTITAS UNIT!D9"")"),"#N/A")</f>
        <v>#N/A</v>
      </c>
      <c r="H25772" s="4" t="str">
        <v/>
      </c>
      <c r="I25772" s="4" t="str">
        <v/>
      </c>
    </row>
    <row r="25773" spans="5:9" ht="16.5" hidden="1">
      <c r="E25773" s="4" t="str">
        <v/>
      </c>
      <c r="F25773" s="102" t="str">
        <f ca="1">IFERROR(__xludf.DUMMYFUNCTION("IMPORTRANGE(H25773,""IDENTITAS UNIT!D9"")"),"#N/A")</f>
        <v>#N/A</v>
      </c>
      <c r="H25773" s="4" t="str">
        <v/>
      </c>
      <c r="I25773" s="4" t="str">
        <v/>
      </c>
    </row>
    <row r="25774" spans="5:9" ht="16.5" hidden="1">
      <c r="E25774" s="4" t="str">
        <v/>
      </c>
      <c r="F25774" s="102" t="str">
        <f ca="1">IFERROR(__xludf.DUMMYFUNCTION("IMPORTRANGE(H25774,""IDENTITAS UNIT!D9"")"),"#N/A")</f>
        <v>#N/A</v>
      </c>
      <c r="H25774" s="4" t="str">
        <v/>
      </c>
      <c r="I25774" s="4" t="str">
        <v/>
      </c>
    </row>
    <row r="25775" spans="5:9" ht="16.5" hidden="1">
      <c r="E25775" s="4" t="str">
        <v/>
      </c>
      <c r="F25775" s="102" t="str">
        <f ca="1">IFERROR(__xludf.DUMMYFUNCTION("IMPORTRANGE(H25775,""IDENTITAS UNIT!D9"")"),"#N/A")</f>
        <v>#N/A</v>
      </c>
      <c r="H25775" s="4" t="str">
        <v/>
      </c>
      <c r="I25775" s="4" t="str">
        <v/>
      </c>
    </row>
    <row r="25776" spans="5:9" ht="16.5" hidden="1">
      <c r="E25776" s="4" t="str">
        <v/>
      </c>
      <c r="F25776" s="102" t="str">
        <f ca="1">IFERROR(__xludf.DUMMYFUNCTION("IMPORTRANGE(H25776,""IDENTITAS UNIT!D9"")"),"#N/A")</f>
        <v>#N/A</v>
      </c>
      <c r="H25776" s="4" t="str">
        <v/>
      </c>
      <c r="I25776" s="4" t="str">
        <v/>
      </c>
    </row>
    <row r="25777" spans="5:9" ht="16.5" hidden="1">
      <c r="E25777" s="4" t="str">
        <v/>
      </c>
      <c r="F25777" s="102" t="str">
        <f ca="1">IFERROR(__xludf.DUMMYFUNCTION("IMPORTRANGE(H25777,""IDENTITAS UNIT!D9"")"),"#N/A")</f>
        <v>#N/A</v>
      </c>
      <c r="H25777" s="4" t="str">
        <v/>
      </c>
      <c r="I25777" s="4" t="str">
        <v/>
      </c>
    </row>
    <row r="25778" spans="5:9" ht="16.5" hidden="1">
      <c r="E25778" s="4" t="str">
        <v/>
      </c>
      <c r="F25778" s="102" t="str">
        <f ca="1">IFERROR(__xludf.DUMMYFUNCTION("IMPORTRANGE(H25778,""IDENTITAS UNIT!D9"")"),"#N/A")</f>
        <v>#N/A</v>
      </c>
      <c r="H25778" s="4" t="str">
        <v/>
      </c>
      <c r="I25778" s="4" t="str">
        <v/>
      </c>
    </row>
    <row r="25779" spans="5:9" ht="16.5" hidden="1">
      <c r="E25779" s="4" t="str">
        <v/>
      </c>
      <c r="F25779" s="102" t="str">
        <f ca="1">IFERROR(__xludf.DUMMYFUNCTION("IMPORTRANGE(H25779,""IDENTITAS UNIT!D9"")"),"#N/A")</f>
        <v>#N/A</v>
      </c>
      <c r="H25779" s="4" t="str">
        <v/>
      </c>
      <c r="I25779" s="4" t="str">
        <v/>
      </c>
    </row>
    <row r="25780" spans="5:9" ht="16.5" hidden="1">
      <c r="E25780" s="4" t="str">
        <v/>
      </c>
      <c r="F25780" s="102" t="str">
        <f ca="1">IFERROR(__xludf.DUMMYFUNCTION("IMPORTRANGE(H25780,""IDENTITAS UNIT!D9"")"),"#N/A")</f>
        <v>#N/A</v>
      </c>
      <c r="H25780" s="4" t="str">
        <v/>
      </c>
      <c r="I25780" s="4" t="str">
        <v/>
      </c>
    </row>
    <row r="25781" spans="5:9" ht="16.5" hidden="1">
      <c r="E25781" s="4" t="str">
        <v/>
      </c>
      <c r="F25781" s="102" t="str">
        <f ca="1">IFERROR(__xludf.DUMMYFUNCTION("IMPORTRANGE(H25781,""IDENTITAS UNIT!D9"")"),"#N/A")</f>
        <v>#N/A</v>
      </c>
      <c r="H25781" s="4" t="str">
        <v/>
      </c>
      <c r="I25781" s="4" t="str">
        <v/>
      </c>
    </row>
    <row r="25782" spans="5:9" ht="16.5" hidden="1">
      <c r="E25782" s="4" t="str">
        <v/>
      </c>
      <c r="F25782" s="102" t="str">
        <f ca="1">IFERROR(__xludf.DUMMYFUNCTION("IMPORTRANGE(H25782,""IDENTITAS UNIT!D9"")"),"#N/A")</f>
        <v>#N/A</v>
      </c>
      <c r="H25782" s="4" t="str">
        <v/>
      </c>
      <c r="I25782" s="4" t="str">
        <v/>
      </c>
    </row>
    <row r="25783" spans="5:9" ht="16.5" hidden="1">
      <c r="E25783" s="4" t="str">
        <v/>
      </c>
      <c r="F25783" s="102" t="str">
        <f ca="1">IFERROR(__xludf.DUMMYFUNCTION("IMPORTRANGE(H25783,""IDENTITAS UNIT!D9"")"),"#N/A")</f>
        <v>#N/A</v>
      </c>
      <c r="H25783" s="4" t="str">
        <v/>
      </c>
      <c r="I25783" s="4" t="str">
        <v/>
      </c>
    </row>
    <row r="25784" spans="5:9" ht="16.5" hidden="1">
      <c r="E25784" s="4" t="str">
        <v/>
      </c>
      <c r="F25784" s="102" t="str">
        <f ca="1">IFERROR(__xludf.DUMMYFUNCTION("IMPORTRANGE(H25784,""IDENTITAS UNIT!D9"")"),"#N/A")</f>
        <v>#N/A</v>
      </c>
      <c r="H25784" s="4" t="str">
        <v/>
      </c>
      <c r="I25784" s="4" t="str">
        <v/>
      </c>
    </row>
    <row r="25785" spans="5:9" ht="16.5" hidden="1">
      <c r="E25785" s="4" t="str">
        <v/>
      </c>
      <c r="F25785" s="102" t="str">
        <f ca="1">IFERROR(__xludf.DUMMYFUNCTION("IMPORTRANGE(H25785,""IDENTITAS UNIT!D9"")"),"#N/A")</f>
        <v>#N/A</v>
      </c>
      <c r="H25785" s="4" t="str">
        <v/>
      </c>
      <c r="I25785" s="4" t="str">
        <v/>
      </c>
    </row>
    <row r="25786" spans="5:9" ht="16.5" hidden="1">
      <c r="E25786" s="4" t="str">
        <v/>
      </c>
      <c r="F25786" s="102" t="str">
        <f ca="1">IFERROR(__xludf.DUMMYFUNCTION("IMPORTRANGE(H25786,""IDENTITAS UNIT!D9"")"),"#N/A")</f>
        <v>#N/A</v>
      </c>
      <c r="H25786" s="4" t="str">
        <v/>
      </c>
      <c r="I25786" s="4" t="str">
        <v/>
      </c>
    </row>
    <row r="25787" spans="5:9" ht="16.5" hidden="1">
      <c r="E25787" s="4" t="str">
        <v/>
      </c>
      <c r="F25787" s="102" t="str">
        <f ca="1">IFERROR(__xludf.DUMMYFUNCTION("IMPORTRANGE(H25787,""IDENTITAS UNIT!D9"")"),"#N/A")</f>
        <v>#N/A</v>
      </c>
      <c r="H25787" s="4" t="str">
        <v/>
      </c>
      <c r="I25787" s="4" t="str">
        <v/>
      </c>
    </row>
    <row r="25788" spans="5:9" ht="16.5" hidden="1">
      <c r="E25788" s="4" t="str">
        <v/>
      </c>
      <c r="F25788" s="102" t="str">
        <f ca="1">IFERROR(__xludf.DUMMYFUNCTION("IMPORTRANGE(H25788,""IDENTITAS UNIT!D9"")"),"#N/A")</f>
        <v>#N/A</v>
      </c>
      <c r="H25788" s="4" t="str">
        <v/>
      </c>
      <c r="I25788" s="4" t="str">
        <v/>
      </c>
    </row>
    <row r="25789" spans="5:9" ht="16.5" hidden="1">
      <c r="E25789" s="4" t="str">
        <v/>
      </c>
      <c r="F25789" s="102" t="str">
        <f ca="1">IFERROR(__xludf.DUMMYFUNCTION("IMPORTRANGE(H25789,""IDENTITAS UNIT!D9"")"),"#N/A")</f>
        <v>#N/A</v>
      </c>
      <c r="H25789" s="4" t="str">
        <v/>
      </c>
      <c r="I25789" s="4" t="str">
        <v/>
      </c>
    </row>
    <row r="25790" spans="5:9" ht="16.5" hidden="1">
      <c r="E25790" s="4" t="str">
        <v/>
      </c>
      <c r="F25790" s="102" t="str">
        <f ca="1">IFERROR(__xludf.DUMMYFUNCTION("IMPORTRANGE(H25790,""IDENTITAS UNIT!D9"")"),"#N/A")</f>
        <v>#N/A</v>
      </c>
      <c r="H25790" s="4" t="str">
        <v/>
      </c>
      <c r="I25790" s="4" t="str">
        <v/>
      </c>
    </row>
    <row r="25791" spans="5:9" ht="16.5" hidden="1">
      <c r="E25791" s="4" t="str">
        <v/>
      </c>
      <c r="F25791" s="102" t="str">
        <f ca="1">IFERROR(__xludf.DUMMYFUNCTION("IMPORTRANGE(H25791,""IDENTITAS UNIT!D9"")"),"#N/A")</f>
        <v>#N/A</v>
      </c>
      <c r="H25791" s="4" t="str">
        <v/>
      </c>
      <c r="I25791" s="4" t="str">
        <v/>
      </c>
    </row>
    <row r="25792" spans="5:9" ht="16.5" hidden="1">
      <c r="E25792" s="4" t="str">
        <v/>
      </c>
      <c r="F25792" s="102" t="str">
        <f ca="1">IFERROR(__xludf.DUMMYFUNCTION("IMPORTRANGE(H25792,""IDENTITAS UNIT!D9"")"),"#N/A")</f>
        <v>#N/A</v>
      </c>
      <c r="H25792" s="4" t="str">
        <v/>
      </c>
      <c r="I25792" s="4" t="str">
        <v/>
      </c>
    </row>
    <row r="25793" spans="5:9" ht="16.5" hidden="1">
      <c r="E25793" s="4" t="str">
        <v/>
      </c>
      <c r="F25793" s="102" t="str">
        <f ca="1">IFERROR(__xludf.DUMMYFUNCTION("IMPORTRANGE(H25793,""IDENTITAS UNIT!D9"")"),"#N/A")</f>
        <v>#N/A</v>
      </c>
      <c r="H25793" s="4" t="str">
        <v/>
      </c>
      <c r="I25793" s="4" t="str">
        <v/>
      </c>
    </row>
    <row r="25794" spans="5:9" ht="16.5" hidden="1">
      <c r="E25794" s="4" t="str">
        <v/>
      </c>
      <c r="F25794" s="102" t="str">
        <f ca="1">IFERROR(__xludf.DUMMYFUNCTION("IMPORTRANGE(H25794,""IDENTITAS UNIT!D9"")"),"#N/A")</f>
        <v>#N/A</v>
      </c>
      <c r="H25794" s="4" t="str">
        <v/>
      </c>
      <c r="I25794" s="4" t="str">
        <v/>
      </c>
    </row>
    <row r="25795" spans="5:9" ht="16.5" hidden="1">
      <c r="E25795" s="4" t="str">
        <v/>
      </c>
      <c r="F25795" s="102" t="str">
        <f ca="1">IFERROR(__xludf.DUMMYFUNCTION("IMPORTRANGE(H25795,""IDENTITAS UNIT!D9"")"),"#N/A")</f>
        <v>#N/A</v>
      </c>
      <c r="H25795" s="4" t="str">
        <v/>
      </c>
      <c r="I25795" s="4" t="str">
        <v/>
      </c>
    </row>
    <row r="25796" spans="5:9" ht="16.5" hidden="1">
      <c r="E25796" s="4" t="str">
        <v/>
      </c>
      <c r="F25796" s="102" t="str">
        <f ca="1">IFERROR(__xludf.DUMMYFUNCTION("IMPORTRANGE(H25796,""IDENTITAS UNIT!D9"")"),"#N/A")</f>
        <v>#N/A</v>
      </c>
      <c r="H25796" s="4" t="str">
        <v/>
      </c>
      <c r="I25796" s="4" t="str">
        <v/>
      </c>
    </row>
    <row r="25797" spans="5:9" ht="16.5" hidden="1">
      <c r="E25797" s="4" t="str">
        <v/>
      </c>
      <c r="F25797" s="102" t="str">
        <f ca="1">IFERROR(__xludf.DUMMYFUNCTION("IMPORTRANGE(H25797,""IDENTITAS UNIT!D9"")"),"#N/A")</f>
        <v>#N/A</v>
      </c>
      <c r="H25797" s="4" t="str">
        <v/>
      </c>
      <c r="I25797" s="4" t="str">
        <v/>
      </c>
    </row>
    <row r="25798" spans="5:9" ht="16.5" hidden="1">
      <c r="E25798" s="4" t="str">
        <v/>
      </c>
      <c r="F25798" s="102" t="str">
        <f ca="1">IFERROR(__xludf.DUMMYFUNCTION("IMPORTRANGE(H25798,""IDENTITAS UNIT!D9"")"),"#N/A")</f>
        <v>#N/A</v>
      </c>
      <c r="H25798" s="4" t="str">
        <v/>
      </c>
      <c r="I25798" s="4" t="str">
        <v/>
      </c>
    </row>
    <row r="25799" spans="5:9" ht="16.5" hidden="1">
      <c r="E25799" s="4" t="str">
        <v/>
      </c>
      <c r="F25799" s="102" t="str">
        <f ca="1">IFERROR(__xludf.DUMMYFUNCTION("IMPORTRANGE(H25799,""IDENTITAS UNIT!D9"")"),"#N/A")</f>
        <v>#N/A</v>
      </c>
      <c r="H25799" s="4" t="str">
        <v/>
      </c>
      <c r="I25799" s="4" t="str">
        <v/>
      </c>
    </row>
    <row r="25800" spans="5:9" ht="16.5" hidden="1">
      <c r="E25800" s="4" t="str">
        <v/>
      </c>
      <c r="F25800" s="102" t="str">
        <f ca="1">IFERROR(__xludf.DUMMYFUNCTION("IMPORTRANGE(H25800,""IDENTITAS UNIT!D9"")"),"#N/A")</f>
        <v>#N/A</v>
      </c>
      <c r="H25800" s="4" t="str">
        <v/>
      </c>
      <c r="I25800" s="4" t="str">
        <v/>
      </c>
    </row>
    <row r="25801" spans="5:9" ht="16.5" hidden="1">
      <c r="E25801" s="4" t="str">
        <v/>
      </c>
      <c r="F25801" s="102" t="str">
        <f ca="1">IFERROR(__xludf.DUMMYFUNCTION("IMPORTRANGE(H25801,""IDENTITAS UNIT!D9"")"),"#N/A")</f>
        <v>#N/A</v>
      </c>
      <c r="H25801" s="4" t="str">
        <v/>
      </c>
      <c r="I25801" s="4" t="str">
        <v/>
      </c>
    </row>
    <row r="25802" spans="5:9" ht="16.5" hidden="1">
      <c r="E25802" s="4" t="str">
        <v/>
      </c>
      <c r="F25802" s="102" t="str">
        <f ca="1">IFERROR(__xludf.DUMMYFUNCTION("IMPORTRANGE(H25802,""IDENTITAS UNIT!D9"")"),"#N/A")</f>
        <v>#N/A</v>
      </c>
      <c r="H25802" s="4" t="str">
        <v/>
      </c>
      <c r="I25802" s="4" t="str">
        <v/>
      </c>
    </row>
    <row r="25803" spans="5:9" ht="16.5" hidden="1">
      <c r="E25803" s="4" t="str">
        <v/>
      </c>
      <c r="F25803" s="102" t="str">
        <f ca="1">IFERROR(__xludf.DUMMYFUNCTION("IMPORTRANGE(H25803,""IDENTITAS UNIT!D9"")"),"#N/A")</f>
        <v>#N/A</v>
      </c>
      <c r="H25803" s="4" t="str">
        <v/>
      </c>
      <c r="I25803" s="4" t="str">
        <v/>
      </c>
    </row>
    <row r="25804" spans="5:9" ht="16.5" hidden="1">
      <c r="E25804" s="4" t="str">
        <v/>
      </c>
      <c r="F25804" s="102" t="str">
        <f ca="1">IFERROR(__xludf.DUMMYFUNCTION("IMPORTRANGE(H25804,""IDENTITAS UNIT!D9"")"),"#N/A")</f>
        <v>#N/A</v>
      </c>
      <c r="H25804" s="4" t="str">
        <v/>
      </c>
      <c r="I25804" s="4" t="str">
        <v/>
      </c>
    </row>
    <row r="25805" spans="5:9" ht="16.5" hidden="1">
      <c r="E25805" s="4" t="str">
        <v/>
      </c>
      <c r="F25805" s="102" t="str">
        <f ca="1">IFERROR(__xludf.DUMMYFUNCTION("IMPORTRANGE(H25805,""IDENTITAS UNIT!D9"")"),"#N/A")</f>
        <v>#N/A</v>
      </c>
      <c r="H25805" s="4" t="str">
        <v/>
      </c>
      <c r="I25805" s="4" t="str">
        <v/>
      </c>
    </row>
    <row r="25806" spans="5:9" ht="16.5" hidden="1">
      <c r="E25806" s="4" t="str">
        <v/>
      </c>
      <c r="F25806" s="102" t="str">
        <f ca="1">IFERROR(__xludf.DUMMYFUNCTION("IMPORTRANGE(H25806,""IDENTITAS UNIT!D9"")"),"#N/A")</f>
        <v>#N/A</v>
      </c>
      <c r="H25806" s="4" t="str">
        <v/>
      </c>
      <c r="I25806" s="4" t="str">
        <v/>
      </c>
    </row>
    <row r="25807" spans="5:9" ht="16.5" hidden="1">
      <c r="E25807" s="4" t="str">
        <v/>
      </c>
      <c r="F25807" s="102" t="str">
        <f ca="1">IFERROR(__xludf.DUMMYFUNCTION("IMPORTRANGE(H25807,""IDENTITAS UNIT!D9"")"),"#N/A")</f>
        <v>#N/A</v>
      </c>
      <c r="H25807" s="4" t="str">
        <v/>
      </c>
      <c r="I25807" s="4" t="str">
        <v/>
      </c>
    </row>
    <row r="25808" spans="5:9" ht="16.5" hidden="1">
      <c r="E25808" s="4" t="str">
        <v/>
      </c>
      <c r="F25808" s="102" t="str">
        <f ca="1">IFERROR(__xludf.DUMMYFUNCTION("IMPORTRANGE(H25808,""IDENTITAS UNIT!D9"")"),"#N/A")</f>
        <v>#N/A</v>
      </c>
      <c r="H25808" s="4" t="str">
        <v/>
      </c>
      <c r="I25808" s="4" t="str">
        <v/>
      </c>
    </row>
    <row r="25809" spans="5:9" ht="16.5" hidden="1">
      <c r="E25809" s="4" t="str">
        <v/>
      </c>
      <c r="F25809" s="102" t="str">
        <f ca="1">IFERROR(__xludf.DUMMYFUNCTION("IMPORTRANGE(H25809,""IDENTITAS UNIT!D9"")"),"#N/A")</f>
        <v>#N/A</v>
      </c>
      <c r="H25809" s="4" t="str">
        <v/>
      </c>
      <c r="I25809" s="4" t="str">
        <v/>
      </c>
    </row>
    <row r="25810" spans="5:9" ht="16.5" hidden="1">
      <c r="E25810" s="4" t="str">
        <v/>
      </c>
      <c r="F25810" s="102" t="str">
        <f ca="1">IFERROR(__xludf.DUMMYFUNCTION("IMPORTRANGE(H25810,""IDENTITAS UNIT!D9"")"),"#N/A")</f>
        <v>#N/A</v>
      </c>
      <c r="H25810" s="4" t="str">
        <v/>
      </c>
      <c r="I25810" s="4" t="str">
        <v/>
      </c>
    </row>
    <row r="25811" spans="5:9" ht="16.5" hidden="1">
      <c r="E25811" s="4" t="str">
        <v/>
      </c>
      <c r="F25811" s="102" t="str">
        <f ca="1">IFERROR(__xludf.DUMMYFUNCTION("IMPORTRANGE(H25811,""IDENTITAS UNIT!D9"")"),"#N/A")</f>
        <v>#N/A</v>
      </c>
      <c r="H25811" s="4" t="str">
        <v/>
      </c>
      <c r="I25811" s="4" t="str">
        <v/>
      </c>
    </row>
    <row r="25812" spans="5:9" ht="16.5" hidden="1">
      <c r="E25812" s="4" t="str">
        <v/>
      </c>
      <c r="F25812" s="102" t="str">
        <f ca="1">IFERROR(__xludf.DUMMYFUNCTION("IMPORTRANGE(H25812,""IDENTITAS UNIT!D9"")"),"#N/A")</f>
        <v>#N/A</v>
      </c>
      <c r="H25812" s="4" t="str">
        <v/>
      </c>
      <c r="I25812" s="4" t="str">
        <v/>
      </c>
    </row>
    <row r="25813" spans="5:9" ht="16.5" hidden="1">
      <c r="E25813" s="4" t="str">
        <v/>
      </c>
      <c r="F25813" s="102" t="str">
        <f ca="1">IFERROR(__xludf.DUMMYFUNCTION("IMPORTRANGE(H25813,""IDENTITAS UNIT!D9"")"),"#N/A")</f>
        <v>#N/A</v>
      </c>
      <c r="H25813" s="4" t="str">
        <v/>
      </c>
      <c r="I25813" s="4" t="str">
        <v/>
      </c>
    </row>
    <row r="25814" spans="5:9" ht="16.5" hidden="1">
      <c r="E25814" s="4" t="str">
        <v/>
      </c>
      <c r="F25814" s="102" t="str">
        <f ca="1">IFERROR(__xludf.DUMMYFUNCTION("IMPORTRANGE(H25814,""IDENTITAS UNIT!D9"")"),"#N/A")</f>
        <v>#N/A</v>
      </c>
      <c r="H25814" s="4" t="str">
        <v/>
      </c>
      <c r="I25814" s="4" t="str">
        <v/>
      </c>
    </row>
    <row r="25815" spans="5:9" ht="16.5" hidden="1">
      <c r="E25815" s="4" t="str">
        <v/>
      </c>
      <c r="F25815" s="102" t="str">
        <f ca="1">IFERROR(__xludf.DUMMYFUNCTION("IMPORTRANGE(H25815,""IDENTITAS UNIT!D9"")"),"#N/A")</f>
        <v>#N/A</v>
      </c>
      <c r="H25815" s="4" t="str">
        <v/>
      </c>
      <c r="I25815" s="4" t="str">
        <v/>
      </c>
    </row>
    <row r="25816" spans="5:9" ht="16.5" hidden="1">
      <c r="E25816" s="4" t="str">
        <v/>
      </c>
      <c r="F25816" s="102" t="str">
        <f ca="1">IFERROR(__xludf.DUMMYFUNCTION("IMPORTRANGE(H25816,""IDENTITAS UNIT!D9"")"),"#N/A")</f>
        <v>#N/A</v>
      </c>
      <c r="H25816" s="4" t="str">
        <v/>
      </c>
      <c r="I25816" s="4" t="str">
        <v/>
      </c>
    </row>
    <row r="25817" spans="5:9" ht="16.5" hidden="1">
      <c r="E25817" s="4" t="str">
        <v/>
      </c>
      <c r="F25817" s="102" t="str">
        <f ca="1">IFERROR(__xludf.DUMMYFUNCTION("IMPORTRANGE(H25817,""IDENTITAS UNIT!D9"")"),"#N/A")</f>
        <v>#N/A</v>
      </c>
      <c r="H25817" s="4" t="str">
        <v/>
      </c>
      <c r="I25817" s="4" t="str">
        <v/>
      </c>
    </row>
    <row r="25818" spans="5:9" ht="16.5" hidden="1">
      <c r="E25818" s="4" t="str">
        <v/>
      </c>
      <c r="F25818" s="102" t="str">
        <f ca="1">IFERROR(__xludf.DUMMYFUNCTION("IMPORTRANGE(H25818,""IDENTITAS UNIT!D9"")"),"#N/A")</f>
        <v>#N/A</v>
      </c>
      <c r="H25818" s="4" t="str">
        <v/>
      </c>
      <c r="I25818" s="4" t="str">
        <v/>
      </c>
    </row>
    <row r="25819" spans="5:9" ht="16.5" hidden="1">
      <c r="E25819" s="4" t="str">
        <v/>
      </c>
      <c r="F25819" s="102" t="str">
        <f ca="1">IFERROR(__xludf.DUMMYFUNCTION("IMPORTRANGE(H25819,""IDENTITAS UNIT!D9"")"),"#N/A")</f>
        <v>#N/A</v>
      </c>
      <c r="H25819" s="4" t="str">
        <v/>
      </c>
      <c r="I25819" s="4" t="str">
        <v/>
      </c>
    </row>
    <row r="25820" spans="5:9" ht="16.5" hidden="1">
      <c r="E25820" s="4" t="str">
        <v/>
      </c>
      <c r="F25820" s="102" t="str">
        <f ca="1">IFERROR(__xludf.DUMMYFUNCTION("IMPORTRANGE(H25820,""IDENTITAS UNIT!D9"")"),"#N/A")</f>
        <v>#N/A</v>
      </c>
      <c r="H25820" s="4" t="str">
        <v/>
      </c>
      <c r="I25820" s="4" t="str">
        <v/>
      </c>
    </row>
    <row r="25821" spans="5:9" ht="16.5" hidden="1">
      <c r="E25821" s="4" t="str">
        <v/>
      </c>
      <c r="F25821" s="102" t="str">
        <f ca="1">IFERROR(__xludf.DUMMYFUNCTION("IMPORTRANGE(H25821,""IDENTITAS UNIT!D9"")"),"#N/A")</f>
        <v>#N/A</v>
      </c>
      <c r="H25821" s="4" t="str">
        <v/>
      </c>
      <c r="I25821" s="4" t="str">
        <v/>
      </c>
    </row>
    <row r="25822" spans="5:9" ht="16.5" hidden="1">
      <c r="E25822" s="4" t="str">
        <v/>
      </c>
      <c r="F25822" s="102" t="str">
        <f ca="1">IFERROR(__xludf.DUMMYFUNCTION("IMPORTRANGE(H25822,""IDENTITAS UNIT!D9"")"),"#N/A")</f>
        <v>#N/A</v>
      </c>
      <c r="H25822" s="4" t="str">
        <v/>
      </c>
      <c r="I25822" s="4" t="str">
        <v/>
      </c>
    </row>
    <row r="25823" spans="5:9" ht="16.5" hidden="1">
      <c r="E25823" s="4" t="str">
        <v/>
      </c>
      <c r="F25823" s="102" t="str">
        <f ca="1">IFERROR(__xludf.DUMMYFUNCTION("IMPORTRANGE(H25823,""IDENTITAS UNIT!D9"")"),"#N/A")</f>
        <v>#N/A</v>
      </c>
      <c r="H25823" s="4" t="str">
        <v/>
      </c>
      <c r="I25823" s="4" t="str">
        <v/>
      </c>
    </row>
    <row r="25824" spans="5:9" ht="16.5" hidden="1">
      <c r="E25824" s="4" t="str">
        <v/>
      </c>
      <c r="F25824" s="102" t="str">
        <f ca="1">IFERROR(__xludf.DUMMYFUNCTION("IMPORTRANGE(H25824,""IDENTITAS UNIT!D9"")"),"#N/A")</f>
        <v>#N/A</v>
      </c>
      <c r="H25824" s="4" t="str">
        <v/>
      </c>
      <c r="I25824" s="4" t="str">
        <v/>
      </c>
    </row>
    <row r="25825" spans="5:9" ht="16.5" hidden="1">
      <c r="E25825" s="4" t="str">
        <v/>
      </c>
      <c r="F25825" s="102" t="str">
        <f ca="1">IFERROR(__xludf.DUMMYFUNCTION("IMPORTRANGE(H25825,""IDENTITAS UNIT!D9"")"),"#N/A")</f>
        <v>#N/A</v>
      </c>
      <c r="H25825" s="4" t="str">
        <v/>
      </c>
      <c r="I25825" s="4" t="str">
        <v/>
      </c>
    </row>
    <row r="25826" spans="5:9" ht="16.5" hidden="1">
      <c r="E25826" s="4" t="str">
        <v/>
      </c>
      <c r="F25826" s="102" t="str">
        <f ca="1">IFERROR(__xludf.DUMMYFUNCTION("IMPORTRANGE(H25826,""IDENTITAS UNIT!D9"")"),"#N/A")</f>
        <v>#N/A</v>
      </c>
      <c r="H25826" s="4" t="str">
        <v/>
      </c>
      <c r="I25826" s="4" t="str">
        <v/>
      </c>
    </row>
    <row r="25827" spans="5:9" ht="16.5" hidden="1">
      <c r="E25827" s="4" t="str">
        <v/>
      </c>
      <c r="F25827" s="102" t="str">
        <f ca="1">IFERROR(__xludf.DUMMYFUNCTION("IMPORTRANGE(H25827,""IDENTITAS UNIT!D9"")"),"#N/A")</f>
        <v>#N/A</v>
      </c>
      <c r="H25827" s="4" t="str">
        <v/>
      </c>
      <c r="I25827" s="4" t="str">
        <v/>
      </c>
    </row>
    <row r="25828" spans="5:9" ht="16.5" hidden="1">
      <c r="E25828" s="4" t="str">
        <v/>
      </c>
      <c r="F25828" s="102" t="str">
        <f ca="1">IFERROR(__xludf.DUMMYFUNCTION("IMPORTRANGE(H25828,""IDENTITAS UNIT!D9"")"),"#N/A")</f>
        <v>#N/A</v>
      </c>
      <c r="H25828" s="4" t="str">
        <v/>
      </c>
      <c r="I25828" s="4" t="str">
        <v/>
      </c>
    </row>
    <row r="25829" spans="5:9" ht="16.5" hidden="1">
      <c r="E25829" s="4" t="str">
        <v/>
      </c>
      <c r="F25829" s="102" t="str">
        <f ca="1">IFERROR(__xludf.DUMMYFUNCTION("IMPORTRANGE(H25829,""IDENTITAS UNIT!D9"")"),"#N/A")</f>
        <v>#N/A</v>
      </c>
      <c r="H25829" s="4" t="str">
        <v/>
      </c>
      <c r="I25829" s="4" t="str">
        <v/>
      </c>
    </row>
    <row r="25830" spans="5:9" ht="16.5" hidden="1">
      <c r="E25830" s="4" t="str">
        <v/>
      </c>
      <c r="F25830" s="102" t="str">
        <f ca="1">IFERROR(__xludf.DUMMYFUNCTION("IMPORTRANGE(H25830,""IDENTITAS UNIT!D9"")"),"#N/A")</f>
        <v>#N/A</v>
      </c>
      <c r="H25830" s="4" t="str">
        <v/>
      </c>
      <c r="I25830" s="4" t="str">
        <v/>
      </c>
    </row>
    <row r="25831" spans="5:9" ht="16.5" hidden="1">
      <c r="E25831" s="4" t="str">
        <v/>
      </c>
      <c r="F25831" s="102" t="str">
        <f ca="1">IFERROR(__xludf.DUMMYFUNCTION("IMPORTRANGE(H25831,""IDENTITAS UNIT!D9"")"),"#N/A")</f>
        <v>#N/A</v>
      </c>
      <c r="H25831" s="4" t="str">
        <v/>
      </c>
      <c r="I25831" s="4" t="str">
        <v/>
      </c>
    </row>
    <row r="25832" spans="5:9" ht="16.5" hidden="1">
      <c r="E25832" s="4" t="str">
        <v/>
      </c>
      <c r="F25832" s="102" t="str">
        <f ca="1">IFERROR(__xludf.DUMMYFUNCTION("IMPORTRANGE(H25832,""IDENTITAS UNIT!D9"")"),"#N/A")</f>
        <v>#N/A</v>
      </c>
      <c r="H25832" s="4" t="str">
        <v/>
      </c>
      <c r="I25832" s="4" t="str">
        <v/>
      </c>
    </row>
    <row r="25833" spans="5:9" ht="16.5" hidden="1">
      <c r="E25833" s="4" t="str">
        <v/>
      </c>
      <c r="F25833" s="102" t="str">
        <f ca="1">IFERROR(__xludf.DUMMYFUNCTION("IMPORTRANGE(H25833,""IDENTITAS UNIT!D9"")"),"#N/A")</f>
        <v>#N/A</v>
      </c>
      <c r="H25833" s="4" t="str">
        <v/>
      </c>
      <c r="I25833" s="4" t="str">
        <v/>
      </c>
    </row>
    <row r="25834" spans="5:9" ht="16.5" hidden="1">
      <c r="E25834" s="4" t="str">
        <v/>
      </c>
      <c r="F25834" s="102" t="str">
        <f ca="1">IFERROR(__xludf.DUMMYFUNCTION("IMPORTRANGE(H25834,""IDENTITAS UNIT!D9"")"),"#N/A")</f>
        <v>#N/A</v>
      </c>
      <c r="H25834" s="4" t="str">
        <v/>
      </c>
      <c r="I25834" s="4" t="str">
        <v/>
      </c>
    </row>
    <row r="25835" spans="5:9" ht="16.5" hidden="1">
      <c r="E25835" s="4" t="str">
        <v/>
      </c>
      <c r="F25835" s="102" t="str">
        <f ca="1">IFERROR(__xludf.DUMMYFUNCTION("IMPORTRANGE(H25835,""IDENTITAS UNIT!D9"")"),"#N/A")</f>
        <v>#N/A</v>
      </c>
      <c r="H25835" s="4" t="str">
        <v/>
      </c>
      <c r="I25835" s="4" t="str">
        <v/>
      </c>
    </row>
    <row r="25836" spans="5:9" ht="16.5" hidden="1">
      <c r="E25836" s="4" t="str">
        <v/>
      </c>
      <c r="F25836" s="102" t="str">
        <f ca="1">IFERROR(__xludf.DUMMYFUNCTION("IMPORTRANGE(H25836,""IDENTITAS UNIT!D9"")"),"#N/A")</f>
        <v>#N/A</v>
      </c>
      <c r="H25836" s="4" t="str">
        <v/>
      </c>
      <c r="I25836" s="4" t="str">
        <v/>
      </c>
    </row>
    <row r="25837" spans="5:9" ht="16.5" hidden="1">
      <c r="E25837" s="4" t="str">
        <v/>
      </c>
      <c r="F25837" s="102" t="str">
        <f ca="1">IFERROR(__xludf.DUMMYFUNCTION("IMPORTRANGE(H25837,""IDENTITAS UNIT!D9"")"),"#N/A")</f>
        <v>#N/A</v>
      </c>
      <c r="H25837" s="4" t="str">
        <v/>
      </c>
      <c r="I25837" s="4" t="str">
        <v/>
      </c>
    </row>
    <row r="25838" spans="5:9" ht="16.5" hidden="1">
      <c r="E25838" s="4" t="str">
        <v/>
      </c>
      <c r="F25838" s="102" t="str">
        <f ca="1">IFERROR(__xludf.DUMMYFUNCTION("IMPORTRANGE(H25838,""IDENTITAS UNIT!D9"")"),"#N/A")</f>
        <v>#N/A</v>
      </c>
      <c r="H25838" s="4" t="str">
        <v/>
      </c>
      <c r="I25838" s="4" t="str">
        <v/>
      </c>
    </row>
    <row r="25839" spans="5:9" ht="16.5" hidden="1">
      <c r="E25839" s="4" t="str">
        <v/>
      </c>
      <c r="F25839" s="102" t="str">
        <f ca="1">IFERROR(__xludf.DUMMYFUNCTION("IMPORTRANGE(H25839,""IDENTITAS UNIT!D9"")"),"#N/A")</f>
        <v>#N/A</v>
      </c>
      <c r="H25839" s="4" t="str">
        <v/>
      </c>
      <c r="I25839" s="4" t="str">
        <v/>
      </c>
    </row>
    <row r="25840" spans="5:9" ht="16.5" hidden="1">
      <c r="E25840" s="4" t="str">
        <v/>
      </c>
      <c r="F25840" s="102" t="str">
        <f ca="1">IFERROR(__xludf.DUMMYFUNCTION("IMPORTRANGE(H25840,""IDENTITAS UNIT!D9"")"),"#N/A")</f>
        <v>#N/A</v>
      </c>
      <c r="H25840" s="4" t="str">
        <v/>
      </c>
      <c r="I25840" s="4" t="str">
        <v/>
      </c>
    </row>
    <row r="25841" spans="5:9" ht="16.5" hidden="1">
      <c r="E25841" s="4" t="str">
        <v/>
      </c>
      <c r="F25841" s="102" t="str">
        <f ca="1">IFERROR(__xludf.DUMMYFUNCTION("IMPORTRANGE(H25841,""IDENTITAS UNIT!D9"")"),"#N/A")</f>
        <v>#N/A</v>
      </c>
      <c r="H25841" s="4" t="str">
        <v/>
      </c>
      <c r="I25841" s="4" t="str">
        <v/>
      </c>
    </row>
    <row r="25842" spans="5:9" ht="16.5" hidden="1">
      <c r="E25842" s="4" t="str">
        <v/>
      </c>
      <c r="F25842" s="102" t="str">
        <f ca="1">IFERROR(__xludf.DUMMYFUNCTION("IMPORTRANGE(H25842,""IDENTITAS UNIT!D9"")"),"#N/A")</f>
        <v>#N/A</v>
      </c>
      <c r="H25842" s="4" t="str">
        <v/>
      </c>
      <c r="I25842" s="4" t="str">
        <v/>
      </c>
    </row>
    <row r="25843" spans="5:9" ht="16.5" hidden="1">
      <c r="E25843" s="4" t="str">
        <v/>
      </c>
      <c r="F25843" s="102" t="str">
        <f ca="1">IFERROR(__xludf.DUMMYFUNCTION("IMPORTRANGE(H25843,""IDENTITAS UNIT!D9"")"),"#N/A")</f>
        <v>#N/A</v>
      </c>
      <c r="H25843" s="4" t="str">
        <v/>
      </c>
      <c r="I25843" s="4" t="str">
        <v/>
      </c>
    </row>
    <row r="25844" spans="5:9" ht="16.5" hidden="1">
      <c r="E25844" s="4" t="str">
        <v/>
      </c>
      <c r="F25844" s="102" t="str">
        <f ca="1">IFERROR(__xludf.DUMMYFUNCTION("IMPORTRANGE(H25844,""IDENTITAS UNIT!D9"")"),"#N/A")</f>
        <v>#N/A</v>
      </c>
      <c r="H25844" s="4" t="str">
        <v/>
      </c>
      <c r="I25844" s="4" t="str">
        <v/>
      </c>
    </row>
    <row r="25845" spans="5:9" ht="16.5" hidden="1">
      <c r="E25845" s="4" t="str">
        <v/>
      </c>
      <c r="F25845" s="102" t="str">
        <f ca="1">IFERROR(__xludf.DUMMYFUNCTION("IMPORTRANGE(H25845,""IDENTITAS UNIT!D9"")"),"#N/A")</f>
        <v>#N/A</v>
      </c>
      <c r="H25845" s="4" t="str">
        <v/>
      </c>
      <c r="I25845" s="4" t="str">
        <v/>
      </c>
    </row>
    <row r="25846" spans="5:9" ht="16.5" hidden="1">
      <c r="E25846" s="4" t="str">
        <v/>
      </c>
      <c r="F25846" s="102" t="str">
        <f ca="1">IFERROR(__xludf.DUMMYFUNCTION("IMPORTRANGE(H25846,""IDENTITAS UNIT!D9"")"),"#N/A")</f>
        <v>#N/A</v>
      </c>
      <c r="H25846" s="4" t="str">
        <v/>
      </c>
      <c r="I25846" s="4" t="str">
        <v/>
      </c>
    </row>
    <row r="25847" spans="5:9" ht="16.5" hidden="1">
      <c r="E25847" s="4" t="str">
        <v/>
      </c>
      <c r="F25847" s="102" t="str">
        <f ca="1">IFERROR(__xludf.DUMMYFUNCTION("IMPORTRANGE(H25847,""IDENTITAS UNIT!D9"")"),"#N/A")</f>
        <v>#N/A</v>
      </c>
      <c r="H25847" s="4" t="str">
        <v/>
      </c>
      <c r="I25847" s="4" t="str">
        <v/>
      </c>
    </row>
    <row r="25848" spans="5:9" ht="16.5" hidden="1">
      <c r="E25848" s="4" t="str">
        <v/>
      </c>
      <c r="F25848" s="102" t="str">
        <f ca="1">IFERROR(__xludf.DUMMYFUNCTION("IMPORTRANGE(H25848,""IDENTITAS UNIT!D9"")"),"#N/A")</f>
        <v>#N/A</v>
      </c>
      <c r="H25848" s="4" t="str">
        <v/>
      </c>
      <c r="I25848" s="4" t="str">
        <v/>
      </c>
    </row>
    <row r="25849" spans="5:9" ht="16.5" hidden="1">
      <c r="E25849" s="4" t="str">
        <v/>
      </c>
      <c r="F25849" s="102" t="str">
        <f ca="1">IFERROR(__xludf.DUMMYFUNCTION("IMPORTRANGE(H25849,""IDENTITAS UNIT!D9"")"),"#N/A")</f>
        <v>#N/A</v>
      </c>
      <c r="H25849" s="4" t="str">
        <v/>
      </c>
      <c r="I25849" s="4" t="str">
        <v/>
      </c>
    </row>
    <row r="25850" spans="5:9" ht="16.5" hidden="1">
      <c r="E25850" s="4" t="str">
        <v/>
      </c>
      <c r="F25850" s="102" t="str">
        <f ca="1">IFERROR(__xludf.DUMMYFUNCTION("IMPORTRANGE(H25850,""IDENTITAS UNIT!D9"")"),"#N/A")</f>
        <v>#N/A</v>
      </c>
      <c r="H25850" s="4" t="str">
        <v/>
      </c>
      <c r="I25850" s="4" t="str">
        <v/>
      </c>
    </row>
    <row r="25851" spans="5:9" ht="16.5" hidden="1">
      <c r="E25851" s="4" t="str">
        <v/>
      </c>
      <c r="F25851" s="102" t="str">
        <f ca="1">IFERROR(__xludf.DUMMYFUNCTION("IMPORTRANGE(H25851,""IDENTITAS UNIT!D9"")"),"#N/A")</f>
        <v>#N/A</v>
      </c>
      <c r="H25851" s="4" t="str">
        <v/>
      </c>
      <c r="I25851" s="4" t="str">
        <v/>
      </c>
    </row>
    <row r="25852" spans="5:9" ht="16.5" hidden="1">
      <c r="E25852" s="4" t="str">
        <v/>
      </c>
      <c r="F25852" s="102" t="str">
        <f ca="1">IFERROR(__xludf.DUMMYFUNCTION("IMPORTRANGE(H25852,""IDENTITAS UNIT!D9"")"),"#N/A")</f>
        <v>#N/A</v>
      </c>
      <c r="H25852" s="4" t="str">
        <v/>
      </c>
      <c r="I25852" s="4" t="str">
        <v/>
      </c>
    </row>
    <row r="25853" spans="5:9" ht="16.5" hidden="1">
      <c r="E25853" s="4" t="str">
        <v/>
      </c>
      <c r="F25853" s="102" t="str">
        <f ca="1">IFERROR(__xludf.DUMMYFUNCTION("IMPORTRANGE(H25853,""IDENTITAS UNIT!D9"")"),"#N/A")</f>
        <v>#N/A</v>
      </c>
      <c r="H25853" s="4" t="str">
        <v/>
      </c>
      <c r="I25853" s="4" t="str">
        <v/>
      </c>
    </row>
    <row r="25854" spans="5:9" ht="16.5" hidden="1">
      <c r="E25854" s="4" t="str">
        <v/>
      </c>
      <c r="F25854" s="102" t="str">
        <f ca="1">IFERROR(__xludf.DUMMYFUNCTION("IMPORTRANGE(H25854,""IDENTITAS UNIT!D9"")"),"#N/A")</f>
        <v>#N/A</v>
      </c>
      <c r="H25854" s="4" t="str">
        <v/>
      </c>
      <c r="I25854" s="4" t="str">
        <v/>
      </c>
    </row>
    <row r="25855" spans="5:9" ht="16.5" hidden="1">
      <c r="E25855" s="4" t="str">
        <v/>
      </c>
      <c r="F25855" s="102" t="str">
        <f ca="1">IFERROR(__xludf.DUMMYFUNCTION("IMPORTRANGE(H25855,""IDENTITAS UNIT!D9"")"),"#N/A")</f>
        <v>#N/A</v>
      </c>
      <c r="H25855" s="4" t="str">
        <v/>
      </c>
      <c r="I25855" s="4" t="str">
        <v/>
      </c>
    </row>
    <row r="25856" spans="5:9" ht="16.5" hidden="1">
      <c r="E25856" s="4" t="str">
        <v/>
      </c>
      <c r="F25856" s="102" t="str">
        <f ca="1">IFERROR(__xludf.DUMMYFUNCTION("IMPORTRANGE(H25856,""IDENTITAS UNIT!D9"")"),"#N/A")</f>
        <v>#N/A</v>
      </c>
      <c r="H25856" s="4" t="str">
        <v/>
      </c>
      <c r="I25856" s="4" t="str">
        <v/>
      </c>
    </row>
    <row r="25857" spans="5:9" ht="16.5" hidden="1">
      <c r="E25857" s="4" t="str">
        <v/>
      </c>
      <c r="F25857" s="102" t="str">
        <f ca="1">IFERROR(__xludf.DUMMYFUNCTION("IMPORTRANGE(H25857,""IDENTITAS UNIT!D9"")"),"#N/A")</f>
        <v>#N/A</v>
      </c>
      <c r="H25857" s="4" t="str">
        <v/>
      </c>
      <c r="I25857" s="4" t="str">
        <v/>
      </c>
    </row>
    <row r="25858" spans="5:9" ht="16.5" hidden="1">
      <c r="E25858" s="4" t="str">
        <v/>
      </c>
      <c r="F25858" s="102" t="str">
        <f ca="1">IFERROR(__xludf.DUMMYFUNCTION("IMPORTRANGE(H25858,""IDENTITAS UNIT!D9"")"),"#N/A")</f>
        <v>#N/A</v>
      </c>
      <c r="H25858" s="4" t="str">
        <v/>
      </c>
      <c r="I25858" s="4" t="str">
        <v/>
      </c>
    </row>
    <row r="25859" spans="5:9" ht="16.5" hidden="1">
      <c r="E25859" s="4" t="str">
        <v/>
      </c>
      <c r="F25859" s="102" t="str">
        <f ca="1">IFERROR(__xludf.DUMMYFUNCTION("IMPORTRANGE(H25859,""IDENTITAS UNIT!D9"")"),"#N/A")</f>
        <v>#N/A</v>
      </c>
      <c r="H25859" s="4" t="str">
        <v/>
      </c>
      <c r="I25859" s="4" t="str">
        <v/>
      </c>
    </row>
    <row r="25860" spans="5:9" ht="16.5" hidden="1">
      <c r="E25860" s="4" t="str">
        <v/>
      </c>
      <c r="F25860" s="102" t="str">
        <f ca="1">IFERROR(__xludf.DUMMYFUNCTION("IMPORTRANGE(H25860,""IDENTITAS UNIT!D9"")"),"#N/A")</f>
        <v>#N/A</v>
      </c>
      <c r="H25860" s="4" t="str">
        <v/>
      </c>
      <c r="I25860" s="4" t="str">
        <v/>
      </c>
    </row>
    <row r="25861" spans="5:9" ht="16.5" hidden="1">
      <c r="E25861" s="4" t="str">
        <v/>
      </c>
      <c r="F25861" s="102" t="str">
        <f ca="1">IFERROR(__xludf.DUMMYFUNCTION("IMPORTRANGE(H25861,""IDENTITAS UNIT!D9"")"),"#N/A")</f>
        <v>#N/A</v>
      </c>
      <c r="H25861" s="4" t="str">
        <v/>
      </c>
      <c r="I25861" s="4" t="str">
        <v/>
      </c>
    </row>
    <row r="25862" spans="5:9" ht="16.5" hidden="1">
      <c r="E25862" s="4" t="str">
        <v/>
      </c>
      <c r="F25862" s="102" t="str">
        <f ca="1">IFERROR(__xludf.DUMMYFUNCTION("IMPORTRANGE(H25862,""IDENTITAS UNIT!D9"")"),"#N/A")</f>
        <v>#N/A</v>
      </c>
      <c r="H25862" s="4" t="str">
        <v/>
      </c>
      <c r="I25862" s="4" t="str">
        <v/>
      </c>
    </row>
    <row r="25863" spans="5:9" ht="16.5" hidden="1">
      <c r="E25863" s="4" t="str">
        <v/>
      </c>
      <c r="F25863" s="102" t="str">
        <f ca="1">IFERROR(__xludf.DUMMYFUNCTION("IMPORTRANGE(H25863,""IDENTITAS UNIT!D9"")"),"#N/A")</f>
        <v>#N/A</v>
      </c>
      <c r="H25863" s="4" t="str">
        <v/>
      </c>
      <c r="I25863" s="4" t="str">
        <v/>
      </c>
    </row>
    <row r="25864" spans="5:9" ht="16.5" hidden="1">
      <c r="E25864" s="4" t="str">
        <v/>
      </c>
      <c r="F25864" s="102" t="str">
        <f ca="1">IFERROR(__xludf.DUMMYFUNCTION("IMPORTRANGE(H25864,""IDENTITAS UNIT!D9"")"),"#N/A")</f>
        <v>#N/A</v>
      </c>
      <c r="H25864" s="4" t="str">
        <v/>
      </c>
      <c r="I25864" s="4" t="str">
        <v/>
      </c>
    </row>
    <row r="25865" spans="5:9" ht="16.5" hidden="1">
      <c r="E25865" s="4" t="str">
        <v/>
      </c>
      <c r="F25865" s="102" t="str">
        <f ca="1">IFERROR(__xludf.DUMMYFUNCTION("IMPORTRANGE(H25865,""IDENTITAS UNIT!D9"")"),"#N/A")</f>
        <v>#N/A</v>
      </c>
      <c r="H25865" s="4" t="str">
        <v/>
      </c>
      <c r="I25865" s="4" t="str">
        <v/>
      </c>
    </row>
    <row r="25866" spans="5:9" ht="16.5" hidden="1">
      <c r="E25866" s="4" t="str">
        <v/>
      </c>
      <c r="F25866" s="102" t="str">
        <f ca="1">IFERROR(__xludf.DUMMYFUNCTION("IMPORTRANGE(H25866,""IDENTITAS UNIT!D9"")"),"#N/A")</f>
        <v>#N/A</v>
      </c>
      <c r="H25866" s="4" t="str">
        <v/>
      </c>
      <c r="I25866" s="4" t="str">
        <v/>
      </c>
    </row>
    <row r="25867" spans="5:9" ht="16.5" hidden="1">
      <c r="E25867" s="4" t="str">
        <v/>
      </c>
      <c r="F25867" s="102" t="str">
        <f ca="1">IFERROR(__xludf.DUMMYFUNCTION("IMPORTRANGE(H25867,""IDENTITAS UNIT!D9"")"),"#N/A")</f>
        <v>#N/A</v>
      </c>
      <c r="H25867" s="4" t="str">
        <v/>
      </c>
      <c r="I25867" s="4" t="str">
        <v/>
      </c>
    </row>
    <row r="25868" spans="5:9" ht="16.5" hidden="1">
      <c r="E25868" s="4" t="str">
        <v/>
      </c>
      <c r="F25868" s="102" t="str">
        <f ca="1">IFERROR(__xludf.DUMMYFUNCTION("IMPORTRANGE(H25868,""IDENTITAS UNIT!D9"")"),"#N/A")</f>
        <v>#N/A</v>
      </c>
      <c r="H25868" s="4" t="str">
        <v/>
      </c>
      <c r="I25868" s="4" t="str">
        <v/>
      </c>
    </row>
    <row r="25869" spans="5:9" ht="16.5" hidden="1">
      <c r="E25869" s="4" t="str">
        <v/>
      </c>
      <c r="F25869" s="102" t="str">
        <f ca="1">IFERROR(__xludf.DUMMYFUNCTION("IMPORTRANGE(H25869,""IDENTITAS UNIT!D9"")"),"#N/A")</f>
        <v>#N/A</v>
      </c>
      <c r="H25869" s="4" t="str">
        <v/>
      </c>
      <c r="I25869" s="4" t="str">
        <v/>
      </c>
    </row>
    <row r="25870" spans="5:9" ht="16.5" hidden="1">
      <c r="E25870" s="4" t="str">
        <v/>
      </c>
      <c r="F25870" s="102" t="str">
        <f ca="1">IFERROR(__xludf.DUMMYFUNCTION("IMPORTRANGE(H25870,""IDENTITAS UNIT!D9"")"),"#N/A")</f>
        <v>#N/A</v>
      </c>
      <c r="H25870" s="4" t="str">
        <v/>
      </c>
      <c r="I25870" s="4" t="str">
        <v/>
      </c>
    </row>
    <row r="25871" spans="5:9" ht="16.5" hidden="1">
      <c r="E25871" s="4" t="str">
        <v/>
      </c>
      <c r="F25871" s="102" t="str">
        <f ca="1">IFERROR(__xludf.DUMMYFUNCTION("IMPORTRANGE(H25871,""IDENTITAS UNIT!D9"")"),"#N/A")</f>
        <v>#N/A</v>
      </c>
      <c r="H25871" s="4" t="str">
        <v/>
      </c>
      <c r="I25871" s="4" t="str">
        <v/>
      </c>
    </row>
    <row r="25872" spans="5:9" ht="16.5" hidden="1">
      <c r="E25872" s="4" t="str">
        <v/>
      </c>
      <c r="F25872" s="102" t="str">
        <f ca="1">IFERROR(__xludf.DUMMYFUNCTION("IMPORTRANGE(H25872,""IDENTITAS UNIT!D9"")"),"#N/A")</f>
        <v>#N/A</v>
      </c>
      <c r="H25872" s="4" t="str">
        <v/>
      </c>
      <c r="I25872" s="4" t="str">
        <v/>
      </c>
    </row>
    <row r="25873" spans="5:9" ht="16.5" hidden="1">
      <c r="E25873" s="4" t="str">
        <v/>
      </c>
      <c r="F25873" s="102" t="str">
        <f ca="1">IFERROR(__xludf.DUMMYFUNCTION("IMPORTRANGE(H25873,""IDENTITAS UNIT!D9"")"),"#N/A")</f>
        <v>#N/A</v>
      </c>
      <c r="H25873" s="4" t="str">
        <v/>
      </c>
      <c r="I25873" s="4" t="str">
        <v/>
      </c>
    </row>
    <row r="25874" spans="5:9" ht="16.5" hidden="1">
      <c r="E25874" s="4" t="str">
        <v/>
      </c>
      <c r="F25874" s="102" t="str">
        <f ca="1">IFERROR(__xludf.DUMMYFUNCTION("IMPORTRANGE(H25874,""IDENTITAS UNIT!D9"")"),"#N/A")</f>
        <v>#N/A</v>
      </c>
      <c r="H25874" s="4" t="str">
        <v/>
      </c>
      <c r="I25874" s="4" t="str">
        <v/>
      </c>
    </row>
    <row r="25875" spans="5:9" ht="16.5" hidden="1">
      <c r="E25875" s="4" t="str">
        <v/>
      </c>
      <c r="F25875" s="102" t="str">
        <f ca="1">IFERROR(__xludf.DUMMYFUNCTION("IMPORTRANGE(H25875,""IDENTITAS UNIT!D9"")"),"#N/A")</f>
        <v>#N/A</v>
      </c>
      <c r="H25875" s="4" t="str">
        <v/>
      </c>
      <c r="I25875" s="4" t="str">
        <v/>
      </c>
    </row>
    <row r="25876" spans="5:9" ht="16.5" hidden="1">
      <c r="E25876" s="4" t="str">
        <v/>
      </c>
      <c r="F25876" s="102" t="str">
        <f ca="1">IFERROR(__xludf.DUMMYFUNCTION("IMPORTRANGE(H25876,""IDENTITAS UNIT!D9"")"),"#N/A")</f>
        <v>#N/A</v>
      </c>
      <c r="H25876" s="4" t="str">
        <v/>
      </c>
      <c r="I25876" s="4" t="str">
        <v/>
      </c>
    </row>
    <row r="25877" spans="5:9" ht="16.5" hidden="1">
      <c r="E25877" s="4" t="str">
        <v/>
      </c>
      <c r="F25877" s="102" t="str">
        <f ca="1">IFERROR(__xludf.DUMMYFUNCTION("IMPORTRANGE(H25877,""IDENTITAS UNIT!D9"")"),"#N/A")</f>
        <v>#N/A</v>
      </c>
      <c r="H25877" s="4" t="str">
        <v/>
      </c>
      <c r="I25877" s="4" t="str">
        <v/>
      </c>
    </row>
    <row r="25878" spans="5:9" ht="16.5" hidden="1">
      <c r="E25878" s="4" t="str">
        <v/>
      </c>
      <c r="F25878" s="102" t="str">
        <f ca="1">IFERROR(__xludf.DUMMYFUNCTION("IMPORTRANGE(H25878,""IDENTITAS UNIT!D9"")"),"#N/A")</f>
        <v>#N/A</v>
      </c>
      <c r="H25878" s="4" t="str">
        <v/>
      </c>
      <c r="I25878" s="4" t="str">
        <v/>
      </c>
    </row>
    <row r="25879" spans="5:9" ht="16.5" hidden="1">
      <c r="E25879" s="4" t="str">
        <v/>
      </c>
      <c r="F25879" s="102" t="str">
        <f ca="1">IFERROR(__xludf.DUMMYFUNCTION("IMPORTRANGE(H25879,""IDENTITAS UNIT!D9"")"),"#N/A")</f>
        <v>#N/A</v>
      </c>
      <c r="H25879" s="4" t="str">
        <v/>
      </c>
      <c r="I25879" s="4" t="str">
        <v/>
      </c>
    </row>
    <row r="25880" spans="5:9" ht="16.5" hidden="1">
      <c r="E25880" s="4" t="str">
        <v/>
      </c>
      <c r="F25880" s="102" t="str">
        <f ca="1">IFERROR(__xludf.DUMMYFUNCTION("IMPORTRANGE(H25880,""IDENTITAS UNIT!D9"")"),"#N/A")</f>
        <v>#N/A</v>
      </c>
      <c r="H25880" s="4" t="str">
        <v/>
      </c>
      <c r="I25880" s="4" t="str">
        <v/>
      </c>
    </row>
    <row r="25881" spans="5:9" ht="16.5" hidden="1">
      <c r="E25881" s="4" t="str">
        <v/>
      </c>
      <c r="F25881" s="102" t="str">
        <f ca="1">IFERROR(__xludf.DUMMYFUNCTION("IMPORTRANGE(H25881,""IDENTITAS UNIT!D9"")"),"#N/A")</f>
        <v>#N/A</v>
      </c>
      <c r="H25881" s="4" t="str">
        <v/>
      </c>
      <c r="I25881" s="4" t="str">
        <v/>
      </c>
    </row>
    <row r="25882" spans="5:9" ht="16.5" hidden="1">
      <c r="E25882" s="4" t="str">
        <v/>
      </c>
      <c r="F25882" s="102" t="str">
        <f ca="1">IFERROR(__xludf.DUMMYFUNCTION("IMPORTRANGE(H25882,""IDENTITAS UNIT!D9"")"),"#N/A")</f>
        <v>#N/A</v>
      </c>
      <c r="H25882" s="4" t="str">
        <v/>
      </c>
      <c r="I25882" s="4" t="str">
        <v/>
      </c>
    </row>
    <row r="25883" spans="5:9" ht="16.5" hidden="1">
      <c r="E25883" s="4" t="str">
        <v/>
      </c>
      <c r="F25883" s="102" t="str">
        <f ca="1">IFERROR(__xludf.DUMMYFUNCTION("IMPORTRANGE(H25883,""IDENTITAS UNIT!D9"")"),"#N/A")</f>
        <v>#N/A</v>
      </c>
      <c r="H25883" s="4" t="str">
        <v/>
      </c>
      <c r="I25883" s="4" t="str">
        <v/>
      </c>
    </row>
    <row r="25884" spans="5:9" ht="16.5" hidden="1">
      <c r="E25884" s="4" t="str">
        <v/>
      </c>
      <c r="F25884" s="102" t="str">
        <f ca="1">IFERROR(__xludf.DUMMYFUNCTION("IMPORTRANGE(H25884,""IDENTITAS UNIT!D9"")"),"#N/A")</f>
        <v>#N/A</v>
      </c>
      <c r="H25884" s="4" t="str">
        <v/>
      </c>
      <c r="I25884" s="4" t="str">
        <v/>
      </c>
    </row>
    <row r="25885" spans="5:9" ht="16.5" hidden="1">
      <c r="E25885" s="4" t="str">
        <v/>
      </c>
      <c r="F25885" s="102" t="str">
        <f ca="1">IFERROR(__xludf.DUMMYFUNCTION("IMPORTRANGE(H25885,""IDENTITAS UNIT!D9"")"),"#N/A")</f>
        <v>#N/A</v>
      </c>
      <c r="H25885" s="4" t="str">
        <v/>
      </c>
      <c r="I25885" s="4" t="str">
        <v/>
      </c>
    </row>
    <row r="25886" spans="5:9" ht="16.5" hidden="1">
      <c r="E25886" s="4" t="str">
        <v/>
      </c>
      <c r="F25886" s="102" t="str">
        <f ca="1">IFERROR(__xludf.DUMMYFUNCTION("IMPORTRANGE(H25886,""IDENTITAS UNIT!D9"")"),"#N/A")</f>
        <v>#N/A</v>
      </c>
      <c r="H25886" s="4" t="str">
        <v/>
      </c>
      <c r="I25886" s="4" t="str">
        <v/>
      </c>
    </row>
    <row r="25887" spans="5:9" ht="16.5" hidden="1">
      <c r="E25887" s="4" t="str">
        <v/>
      </c>
      <c r="F25887" s="102" t="str">
        <f ca="1">IFERROR(__xludf.DUMMYFUNCTION("IMPORTRANGE(H25887,""IDENTITAS UNIT!D9"")"),"#N/A")</f>
        <v>#N/A</v>
      </c>
      <c r="H25887" s="4" t="str">
        <v/>
      </c>
      <c r="I25887" s="4" t="str">
        <v/>
      </c>
    </row>
    <row r="25888" spans="5:9" ht="16.5" hidden="1">
      <c r="E25888" s="4" t="str">
        <v/>
      </c>
      <c r="F25888" s="102" t="str">
        <f ca="1">IFERROR(__xludf.DUMMYFUNCTION("IMPORTRANGE(H25888,""IDENTITAS UNIT!D9"")"),"#N/A")</f>
        <v>#N/A</v>
      </c>
      <c r="H25888" s="4" t="str">
        <v/>
      </c>
      <c r="I25888" s="4" t="str">
        <v/>
      </c>
    </row>
    <row r="25889" spans="5:9" ht="16.5" hidden="1">
      <c r="E25889" s="4" t="str">
        <v/>
      </c>
      <c r="F25889" s="102" t="str">
        <f ca="1">IFERROR(__xludf.DUMMYFUNCTION("IMPORTRANGE(H25889,""IDENTITAS UNIT!D9"")"),"#N/A")</f>
        <v>#N/A</v>
      </c>
      <c r="H25889" s="4" t="str">
        <v/>
      </c>
      <c r="I25889" s="4" t="str">
        <v/>
      </c>
    </row>
    <row r="25890" spans="5:9" ht="16.5" hidden="1">
      <c r="E25890" s="4" t="str">
        <v/>
      </c>
      <c r="F25890" s="102" t="str">
        <f ca="1">IFERROR(__xludf.DUMMYFUNCTION("IMPORTRANGE(H25890,""IDENTITAS UNIT!D9"")"),"#N/A")</f>
        <v>#N/A</v>
      </c>
      <c r="H25890" s="4" t="str">
        <v/>
      </c>
      <c r="I25890" s="4" t="str">
        <v/>
      </c>
    </row>
    <row r="25891" spans="5:9" ht="16.5" hidden="1">
      <c r="E25891" s="4" t="str">
        <v/>
      </c>
      <c r="F25891" s="102" t="str">
        <f ca="1">IFERROR(__xludf.DUMMYFUNCTION("IMPORTRANGE(H25891,""IDENTITAS UNIT!D9"")"),"#N/A")</f>
        <v>#N/A</v>
      </c>
      <c r="H25891" s="4" t="str">
        <v/>
      </c>
      <c r="I25891" s="4" t="str">
        <v/>
      </c>
    </row>
    <row r="25892" spans="5:9" ht="16.5" hidden="1">
      <c r="E25892" s="4" t="str">
        <v/>
      </c>
      <c r="F25892" s="102" t="str">
        <f ca="1">IFERROR(__xludf.DUMMYFUNCTION("IMPORTRANGE(H25892,""IDENTITAS UNIT!D9"")"),"#N/A")</f>
        <v>#N/A</v>
      </c>
      <c r="H25892" s="4" t="str">
        <v/>
      </c>
      <c r="I25892" s="4" t="str">
        <v/>
      </c>
    </row>
    <row r="25893" spans="5:9" ht="16.5" hidden="1">
      <c r="E25893" s="4" t="str">
        <v/>
      </c>
      <c r="F25893" s="102" t="str">
        <f ca="1">IFERROR(__xludf.DUMMYFUNCTION("IMPORTRANGE(H25893,""IDENTITAS UNIT!D9"")"),"#N/A")</f>
        <v>#N/A</v>
      </c>
      <c r="H25893" s="4" t="str">
        <v/>
      </c>
      <c r="I25893" s="4" t="str">
        <v/>
      </c>
    </row>
    <row r="25894" spans="5:9" ht="16.5" hidden="1">
      <c r="E25894" s="4" t="str">
        <v/>
      </c>
      <c r="F25894" s="102" t="str">
        <f ca="1">IFERROR(__xludf.DUMMYFUNCTION("IMPORTRANGE(H25894,""IDENTITAS UNIT!D9"")"),"#N/A")</f>
        <v>#N/A</v>
      </c>
      <c r="H25894" s="4" t="str">
        <v/>
      </c>
      <c r="I25894" s="4" t="str">
        <v/>
      </c>
    </row>
    <row r="25895" spans="5:9" ht="16.5" hidden="1">
      <c r="E25895" s="4" t="str">
        <v/>
      </c>
      <c r="F25895" s="102" t="str">
        <f ca="1">IFERROR(__xludf.DUMMYFUNCTION("IMPORTRANGE(H25895,""IDENTITAS UNIT!D9"")"),"#N/A")</f>
        <v>#N/A</v>
      </c>
      <c r="H25895" s="4" t="str">
        <v/>
      </c>
      <c r="I25895" s="4" t="str">
        <v/>
      </c>
    </row>
    <row r="25896" spans="5:9" ht="16.5" hidden="1">
      <c r="E25896" s="4" t="str">
        <v/>
      </c>
      <c r="F25896" s="102" t="str">
        <f ca="1">IFERROR(__xludf.DUMMYFUNCTION("IMPORTRANGE(H25896,""IDENTITAS UNIT!D9"")"),"#N/A")</f>
        <v>#N/A</v>
      </c>
      <c r="H25896" s="4" t="str">
        <v/>
      </c>
      <c r="I25896" s="4" t="str">
        <v/>
      </c>
    </row>
    <row r="25897" spans="5:9" ht="16.5" hidden="1">
      <c r="E25897" s="4" t="str">
        <v/>
      </c>
      <c r="F25897" s="102" t="str">
        <f ca="1">IFERROR(__xludf.DUMMYFUNCTION("IMPORTRANGE(H25897,""IDENTITAS UNIT!D9"")"),"#N/A")</f>
        <v>#N/A</v>
      </c>
      <c r="H25897" s="4" t="str">
        <v/>
      </c>
      <c r="I25897" s="4" t="str">
        <v/>
      </c>
    </row>
    <row r="25898" spans="5:9" ht="16.5" hidden="1">
      <c r="E25898" s="4" t="str">
        <v/>
      </c>
      <c r="F25898" s="102" t="str">
        <f ca="1">IFERROR(__xludf.DUMMYFUNCTION("IMPORTRANGE(H25898,""IDENTITAS UNIT!D9"")"),"#N/A")</f>
        <v>#N/A</v>
      </c>
      <c r="H25898" s="4" t="str">
        <v/>
      </c>
      <c r="I25898" s="4" t="str">
        <v/>
      </c>
    </row>
    <row r="25899" spans="5:9" ht="16.5" hidden="1">
      <c r="E25899" s="4" t="str">
        <v/>
      </c>
      <c r="F25899" s="102" t="str">
        <f ca="1">IFERROR(__xludf.DUMMYFUNCTION("IMPORTRANGE(H25899,""IDENTITAS UNIT!D9"")"),"#N/A")</f>
        <v>#N/A</v>
      </c>
      <c r="H25899" s="4" t="str">
        <v/>
      </c>
      <c r="I25899" s="4" t="str">
        <v/>
      </c>
    </row>
    <row r="25900" spans="5:9" ht="16.5" hidden="1">
      <c r="E25900" s="4" t="str">
        <v/>
      </c>
      <c r="F25900" s="102" t="str">
        <f ca="1">IFERROR(__xludf.DUMMYFUNCTION("IMPORTRANGE(H25900,""IDENTITAS UNIT!D9"")"),"#N/A")</f>
        <v>#N/A</v>
      </c>
      <c r="H25900" s="4" t="str">
        <v/>
      </c>
      <c r="I25900" s="4" t="str">
        <v/>
      </c>
    </row>
    <row r="25901" spans="5:9" ht="16.5" hidden="1">
      <c r="E25901" s="4" t="str">
        <v/>
      </c>
      <c r="F25901" s="102" t="str">
        <f ca="1">IFERROR(__xludf.DUMMYFUNCTION("IMPORTRANGE(H25901,""IDENTITAS UNIT!D9"")"),"#N/A")</f>
        <v>#N/A</v>
      </c>
      <c r="H25901" s="4" t="str">
        <v/>
      </c>
      <c r="I25901" s="4" t="str">
        <v/>
      </c>
    </row>
    <row r="25902" spans="5:9" ht="16.5" hidden="1">
      <c r="E25902" s="4" t="str">
        <v/>
      </c>
      <c r="F25902" s="102" t="str">
        <f ca="1">IFERROR(__xludf.DUMMYFUNCTION("IMPORTRANGE(H25902,""IDENTITAS UNIT!D9"")"),"#N/A")</f>
        <v>#N/A</v>
      </c>
      <c r="H25902" s="4" t="str">
        <v/>
      </c>
      <c r="I25902" s="4" t="str">
        <v/>
      </c>
    </row>
    <row r="25903" spans="5:9" ht="16.5" hidden="1">
      <c r="E25903" s="4" t="str">
        <v/>
      </c>
      <c r="F25903" s="102" t="str">
        <f ca="1">IFERROR(__xludf.DUMMYFUNCTION("IMPORTRANGE(H25903,""IDENTITAS UNIT!D9"")"),"#N/A")</f>
        <v>#N/A</v>
      </c>
      <c r="H25903" s="4" t="str">
        <v/>
      </c>
      <c r="I25903" s="4" t="str">
        <v/>
      </c>
    </row>
    <row r="25904" spans="5:9" ht="16.5" hidden="1">
      <c r="E25904" s="4" t="str">
        <v/>
      </c>
      <c r="F25904" s="102" t="str">
        <f ca="1">IFERROR(__xludf.DUMMYFUNCTION("IMPORTRANGE(H25904,""IDENTITAS UNIT!D9"")"),"#N/A")</f>
        <v>#N/A</v>
      </c>
      <c r="H25904" s="4" t="str">
        <v/>
      </c>
      <c r="I25904" s="4" t="str">
        <v/>
      </c>
    </row>
    <row r="25905" spans="5:9" ht="16.5" hidden="1">
      <c r="E25905" s="4" t="str">
        <v/>
      </c>
      <c r="F25905" s="102" t="str">
        <f ca="1">IFERROR(__xludf.DUMMYFUNCTION("IMPORTRANGE(H25905,""IDENTITAS UNIT!D9"")"),"#N/A")</f>
        <v>#N/A</v>
      </c>
      <c r="H25905" s="4" t="str">
        <v/>
      </c>
      <c r="I25905" s="4" t="str">
        <v/>
      </c>
    </row>
    <row r="25906" spans="5:9" ht="16.5" hidden="1">
      <c r="E25906" s="4" t="str">
        <v/>
      </c>
      <c r="F25906" s="102" t="str">
        <f ca="1">IFERROR(__xludf.DUMMYFUNCTION("IMPORTRANGE(H25906,""IDENTITAS UNIT!D9"")"),"#N/A")</f>
        <v>#N/A</v>
      </c>
      <c r="H25906" s="4" t="str">
        <v/>
      </c>
      <c r="I25906" s="4" t="str">
        <v/>
      </c>
    </row>
    <row r="25907" spans="5:9" ht="16.5" hidden="1">
      <c r="E25907" s="4" t="str">
        <v/>
      </c>
      <c r="F25907" s="102" t="str">
        <f ca="1">IFERROR(__xludf.DUMMYFUNCTION("IMPORTRANGE(H25907,""IDENTITAS UNIT!D9"")"),"#N/A")</f>
        <v>#N/A</v>
      </c>
      <c r="H25907" s="4" t="str">
        <v/>
      </c>
      <c r="I25907" s="4" t="str">
        <v/>
      </c>
    </row>
    <row r="25908" spans="5:9" ht="16.5" hidden="1">
      <c r="E25908" s="4" t="str">
        <v/>
      </c>
      <c r="F25908" s="102" t="str">
        <f ca="1">IFERROR(__xludf.DUMMYFUNCTION("IMPORTRANGE(H25908,""IDENTITAS UNIT!D9"")"),"#N/A")</f>
        <v>#N/A</v>
      </c>
      <c r="H25908" s="4" t="str">
        <v/>
      </c>
      <c r="I25908" s="4" t="str">
        <v/>
      </c>
    </row>
    <row r="25909" spans="5:9" ht="16.5" hidden="1">
      <c r="E25909" s="4" t="str">
        <v/>
      </c>
      <c r="F25909" s="102" t="str">
        <f ca="1">IFERROR(__xludf.DUMMYFUNCTION("IMPORTRANGE(H25909,""IDENTITAS UNIT!D9"")"),"#N/A")</f>
        <v>#N/A</v>
      </c>
      <c r="H25909" s="4" t="str">
        <v/>
      </c>
      <c r="I25909" s="4" t="str">
        <v/>
      </c>
    </row>
    <row r="25910" spans="5:9" ht="16.5" hidden="1">
      <c r="E25910" s="4" t="str">
        <v/>
      </c>
      <c r="F25910" s="102" t="str">
        <f ca="1">IFERROR(__xludf.DUMMYFUNCTION("IMPORTRANGE(H25910,""IDENTITAS UNIT!D9"")"),"#N/A")</f>
        <v>#N/A</v>
      </c>
      <c r="H25910" s="4" t="str">
        <v/>
      </c>
      <c r="I25910" s="4" t="str">
        <v/>
      </c>
    </row>
    <row r="25911" spans="5:9" ht="16.5" hidden="1">
      <c r="E25911" s="4" t="str">
        <v/>
      </c>
      <c r="F25911" s="102" t="str">
        <f ca="1">IFERROR(__xludf.DUMMYFUNCTION("IMPORTRANGE(H25911,""IDENTITAS UNIT!D9"")"),"#N/A")</f>
        <v>#N/A</v>
      </c>
      <c r="H25911" s="4" t="str">
        <v/>
      </c>
      <c r="I25911" s="4" t="str">
        <v/>
      </c>
    </row>
    <row r="25912" spans="5:9" ht="16.5" hidden="1">
      <c r="E25912" s="4" t="str">
        <v/>
      </c>
      <c r="F25912" s="102" t="str">
        <f ca="1">IFERROR(__xludf.DUMMYFUNCTION("IMPORTRANGE(H25912,""IDENTITAS UNIT!D9"")"),"#N/A")</f>
        <v>#N/A</v>
      </c>
      <c r="H25912" s="4" t="str">
        <v/>
      </c>
      <c r="I25912" s="4" t="str">
        <v/>
      </c>
    </row>
    <row r="25913" spans="5:9" ht="16.5" hidden="1">
      <c r="E25913" s="4" t="str">
        <v/>
      </c>
      <c r="F25913" s="102" t="str">
        <f ca="1">IFERROR(__xludf.DUMMYFUNCTION("IMPORTRANGE(H25913,""IDENTITAS UNIT!D9"")"),"#N/A")</f>
        <v>#N/A</v>
      </c>
      <c r="H25913" s="4" t="str">
        <v/>
      </c>
      <c r="I25913" s="4" t="str">
        <v/>
      </c>
    </row>
    <row r="25914" spans="5:9" ht="16.5" hidden="1">
      <c r="E25914" s="4" t="str">
        <v/>
      </c>
      <c r="F25914" s="102" t="str">
        <f ca="1">IFERROR(__xludf.DUMMYFUNCTION("IMPORTRANGE(H25914,""IDENTITAS UNIT!D9"")"),"#N/A")</f>
        <v>#N/A</v>
      </c>
      <c r="H25914" s="4" t="str">
        <v/>
      </c>
      <c r="I25914" s="4" t="str">
        <v/>
      </c>
    </row>
    <row r="25915" spans="5:9" ht="16.5" hidden="1">
      <c r="E25915" s="4" t="str">
        <v/>
      </c>
      <c r="F25915" s="102" t="str">
        <f ca="1">IFERROR(__xludf.DUMMYFUNCTION("IMPORTRANGE(H25915,""IDENTITAS UNIT!D9"")"),"#N/A")</f>
        <v>#N/A</v>
      </c>
      <c r="H25915" s="4" t="str">
        <v/>
      </c>
      <c r="I25915" s="4" t="str">
        <v/>
      </c>
    </row>
    <row r="25916" spans="5:9" ht="16.5" hidden="1">
      <c r="E25916" s="4" t="str">
        <v/>
      </c>
      <c r="F25916" s="102" t="str">
        <f ca="1">IFERROR(__xludf.DUMMYFUNCTION("IMPORTRANGE(H25916,""IDENTITAS UNIT!D9"")"),"#N/A")</f>
        <v>#N/A</v>
      </c>
      <c r="H25916" s="4" t="str">
        <v/>
      </c>
      <c r="I25916" s="4" t="str">
        <v/>
      </c>
    </row>
    <row r="25917" spans="5:9" ht="16.5" hidden="1">
      <c r="E25917" s="4" t="str">
        <v/>
      </c>
      <c r="F25917" s="102" t="str">
        <f ca="1">IFERROR(__xludf.DUMMYFUNCTION("IMPORTRANGE(H25917,""IDENTITAS UNIT!D9"")"),"#N/A")</f>
        <v>#N/A</v>
      </c>
      <c r="H25917" s="4" t="str">
        <v/>
      </c>
      <c r="I25917" s="4" t="str">
        <v/>
      </c>
    </row>
    <row r="25918" spans="5:9" ht="16.5" hidden="1">
      <c r="E25918" s="4" t="str">
        <v/>
      </c>
      <c r="F25918" s="102" t="str">
        <f ca="1">IFERROR(__xludf.DUMMYFUNCTION("IMPORTRANGE(H25918,""IDENTITAS UNIT!D9"")"),"#N/A")</f>
        <v>#N/A</v>
      </c>
      <c r="H25918" s="4" t="str">
        <v/>
      </c>
      <c r="I25918" s="4" t="str">
        <v/>
      </c>
    </row>
    <row r="25919" spans="5:9" ht="16.5" hidden="1">
      <c r="E25919" s="4" t="str">
        <v/>
      </c>
      <c r="F25919" s="102" t="str">
        <f ca="1">IFERROR(__xludf.DUMMYFUNCTION("IMPORTRANGE(H25919,""IDENTITAS UNIT!D9"")"),"#N/A")</f>
        <v>#N/A</v>
      </c>
      <c r="H25919" s="4" t="str">
        <v/>
      </c>
      <c r="I25919" s="4" t="str">
        <v/>
      </c>
    </row>
    <row r="25920" spans="5:9" ht="16.5" hidden="1">
      <c r="E25920" s="4" t="str">
        <v/>
      </c>
      <c r="F25920" s="102" t="str">
        <f ca="1">IFERROR(__xludf.DUMMYFUNCTION("IMPORTRANGE(H25920,""IDENTITAS UNIT!D9"")"),"#N/A")</f>
        <v>#N/A</v>
      </c>
      <c r="H25920" s="4" t="str">
        <v/>
      </c>
      <c r="I25920" s="4" t="str">
        <v/>
      </c>
    </row>
    <row r="25921" spans="5:9" ht="16.5" hidden="1">
      <c r="E25921" s="4" t="str">
        <v/>
      </c>
      <c r="F25921" s="102" t="str">
        <f ca="1">IFERROR(__xludf.DUMMYFUNCTION("IMPORTRANGE(H25921,""IDENTITAS UNIT!D9"")"),"#N/A")</f>
        <v>#N/A</v>
      </c>
      <c r="H25921" s="4" t="str">
        <v/>
      </c>
      <c r="I25921" s="4" t="str">
        <v/>
      </c>
    </row>
    <row r="25922" spans="5:9" ht="16.5" hidden="1">
      <c r="E25922" s="4" t="str">
        <v/>
      </c>
      <c r="F25922" s="102" t="str">
        <f ca="1">IFERROR(__xludf.DUMMYFUNCTION("IMPORTRANGE(H25922,""IDENTITAS UNIT!D9"")"),"#N/A")</f>
        <v>#N/A</v>
      </c>
      <c r="H25922" s="4" t="str">
        <v/>
      </c>
      <c r="I25922" s="4" t="str">
        <v/>
      </c>
    </row>
    <row r="25923" spans="5:9" ht="16.5" hidden="1">
      <c r="E25923" s="4" t="str">
        <v/>
      </c>
      <c r="F25923" s="102" t="str">
        <f ca="1">IFERROR(__xludf.DUMMYFUNCTION("IMPORTRANGE(H25923,""IDENTITAS UNIT!D9"")"),"#N/A")</f>
        <v>#N/A</v>
      </c>
      <c r="H25923" s="4" t="str">
        <v/>
      </c>
      <c r="I25923" s="4" t="str">
        <v/>
      </c>
    </row>
    <row r="25924" spans="5:9" ht="16.5" hidden="1">
      <c r="E25924" s="4" t="str">
        <v/>
      </c>
      <c r="F25924" s="102" t="str">
        <f ca="1">IFERROR(__xludf.DUMMYFUNCTION("IMPORTRANGE(H25924,""IDENTITAS UNIT!D9"")"),"#N/A")</f>
        <v>#N/A</v>
      </c>
      <c r="H25924" s="4" t="str">
        <v/>
      </c>
      <c r="I25924" s="4" t="str">
        <v/>
      </c>
    </row>
    <row r="25925" spans="5:9" ht="16.5" hidden="1">
      <c r="E25925" s="4" t="str">
        <v/>
      </c>
      <c r="F25925" s="102" t="str">
        <f ca="1">IFERROR(__xludf.DUMMYFUNCTION("IMPORTRANGE(H25925,""IDENTITAS UNIT!D9"")"),"#N/A")</f>
        <v>#N/A</v>
      </c>
      <c r="H25925" s="4" t="str">
        <v/>
      </c>
      <c r="I25925" s="4" t="str">
        <v/>
      </c>
    </row>
    <row r="25926" spans="5:9" ht="16.5" hidden="1">
      <c r="E25926" s="4" t="str">
        <v/>
      </c>
      <c r="F25926" s="102" t="str">
        <f ca="1">IFERROR(__xludf.DUMMYFUNCTION("IMPORTRANGE(H25926,""IDENTITAS UNIT!D9"")"),"#N/A")</f>
        <v>#N/A</v>
      </c>
      <c r="H25926" s="4" t="str">
        <v/>
      </c>
      <c r="I25926" s="4" t="str">
        <v/>
      </c>
    </row>
    <row r="25927" spans="5:9" ht="16.5" hidden="1">
      <c r="E25927" s="4" t="str">
        <v/>
      </c>
      <c r="F25927" s="102" t="str">
        <f ca="1">IFERROR(__xludf.DUMMYFUNCTION("IMPORTRANGE(H25927,""IDENTITAS UNIT!D9"")"),"#N/A")</f>
        <v>#N/A</v>
      </c>
      <c r="H25927" s="4" t="str">
        <v/>
      </c>
      <c r="I25927" s="4" t="str">
        <v/>
      </c>
    </row>
    <row r="25928" spans="5:9" ht="16.5" hidden="1">
      <c r="E25928" s="4" t="str">
        <v/>
      </c>
      <c r="F25928" s="102" t="str">
        <f ca="1">IFERROR(__xludf.DUMMYFUNCTION("IMPORTRANGE(H25928,""IDENTITAS UNIT!D9"")"),"#N/A")</f>
        <v>#N/A</v>
      </c>
      <c r="H25928" s="4" t="str">
        <v/>
      </c>
      <c r="I25928" s="4" t="str">
        <v/>
      </c>
    </row>
    <row r="25929" spans="5:9" ht="16.5" hidden="1">
      <c r="E25929" s="4" t="str">
        <v/>
      </c>
      <c r="F25929" s="102" t="str">
        <f ca="1">IFERROR(__xludf.DUMMYFUNCTION("IMPORTRANGE(H25929,""IDENTITAS UNIT!D9"")"),"#N/A")</f>
        <v>#N/A</v>
      </c>
      <c r="H25929" s="4" t="str">
        <v/>
      </c>
      <c r="I25929" s="4" t="str">
        <v/>
      </c>
    </row>
    <row r="25930" spans="5:9" ht="16.5" hidden="1">
      <c r="E25930" s="4" t="str">
        <v/>
      </c>
      <c r="F25930" s="102" t="str">
        <f ca="1">IFERROR(__xludf.DUMMYFUNCTION("IMPORTRANGE(H25930,""IDENTITAS UNIT!D9"")"),"#N/A")</f>
        <v>#N/A</v>
      </c>
      <c r="H25930" s="4" t="str">
        <v/>
      </c>
      <c r="I25930" s="4" t="str">
        <v/>
      </c>
    </row>
    <row r="25931" spans="5:9" ht="16.5" hidden="1">
      <c r="E25931" s="4" t="str">
        <v/>
      </c>
      <c r="F25931" s="102" t="str">
        <f ca="1">IFERROR(__xludf.DUMMYFUNCTION("IMPORTRANGE(H25931,""IDENTITAS UNIT!D9"")"),"#N/A")</f>
        <v>#N/A</v>
      </c>
      <c r="H25931" s="4" t="str">
        <v/>
      </c>
      <c r="I25931" s="4" t="str">
        <v/>
      </c>
    </row>
    <row r="25932" spans="5:9" ht="16.5" hidden="1">
      <c r="E25932" s="4" t="str">
        <v/>
      </c>
      <c r="F25932" s="102" t="str">
        <f ca="1">IFERROR(__xludf.DUMMYFUNCTION("IMPORTRANGE(H25932,""IDENTITAS UNIT!D9"")"),"#N/A")</f>
        <v>#N/A</v>
      </c>
      <c r="H25932" s="4" t="str">
        <v/>
      </c>
      <c r="I25932" s="4" t="str">
        <v/>
      </c>
    </row>
    <row r="25933" spans="5:9" ht="16.5" hidden="1">
      <c r="E25933" s="4" t="str">
        <v/>
      </c>
      <c r="F25933" s="102" t="str">
        <f ca="1">IFERROR(__xludf.DUMMYFUNCTION("IMPORTRANGE(H25933,""IDENTITAS UNIT!D9"")"),"#N/A")</f>
        <v>#N/A</v>
      </c>
      <c r="H25933" s="4" t="str">
        <v/>
      </c>
      <c r="I25933" s="4" t="str">
        <v/>
      </c>
    </row>
    <row r="25934" spans="5:9" ht="16.5" hidden="1">
      <c r="E25934" s="4" t="str">
        <v/>
      </c>
      <c r="F25934" s="102" t="str">
        <f ca="1">IFERROR(__xludf.DUMMYFUNCTION("IMPORTRANGE(H25934,""IDENTITAS UNIT!D9"")"),"#N/A")</f>
        <v>#N/A</v>
      </c>
      <c r="H25934" s="4" t="str">
        <v/>
      </c>
      <c r="I25934" s="4" t="str">
        <v/>
      </c>
    </row>
    <row r="25935" spans="5:9" ht="16.5" hidden="1">
      <c r="E25935" s="4" t="str">
        <v/>
      </c>
      <c r="F25935" s="102" t="str">
        <f ca="1">IFERROR(__xludf.DUMMYFUNCTION("IMPORTRANGE(H25935,""IDENTITAS UNIT!D9"")"),"#N/A")</f>
        <v>#N/A</v>
      </c>
      <c r="H25935" s="4" t="str">
        <v/>
      </c>
      <c r="I25935" s="4" t="str">
        <v/>
      </c>
    </row>
    <row r="25936" spans="5:9" ht="16.5" hidden="1">
      <c r="E25936" s="4" t="str">
        <v/>
      </c>
      <c r="F25936" s="102" t="str">
        <f ca="1">IFERROR(__xludf.DUMMYFUNCTION("IMPORTRANGE(H25936,""IDENTITAS UNIT!D9"")"),"#N/A")</f>
        <v>#N/A</v>
      </c>
      <c r="H25936" s="4" t="str">
        <v/>
      </c>
      <c r="I25936" s="4" t="str">
        <v/>
      </c>
    </row>
    <row r="25937" spans="5:9" ht="16.5" hidden="1">
      <c r="E25937" s="4" t="str">
        <v/>
      </c>
      <c r="F25937" s="102" t="str">
        <f ca="1">IFERROR(__xludf.DUMMYFUNCTION("IMPORTRANGE(H25937,""IDENTITAS UNIT!D9"")"),"#N/A")</f>
        <v>#N/A</v>
      </c>
      <c r="H25937" s="4" t="str">
        <v/>
      </c>
      <c r="I25937" s="4" t="str">
        <v/>
      </c>
    </row>
    <row r="25938" spans="5:9" ht="16.5" hidden="1">
      <c r="E25938" s="4" t="str">
        <v/>
      </c>
      <c r="F25938" s="102" t="str">
        <f ca="1">IFERROR(__xludf.DUMMYFUNCTION("IMPORTRANGE(H25938,""IDENTITAS UNIT!D9"")"),"#N/A")</f>
        <v>#N/A</v>
      </c>
      <c r="H25938" s="4" t="str">
        <v/>
      </c>
      <c r="I25938" s="4" t="str">
        <v/>
      </c>
    </row>
    <row r="25939" spans="5:9" ht="16.5" hidden="1">
      <c r="E25939" s="4" t="str">
        <v/>
      </c>
      <c r="F25939" s="102" t="str">
        <f ca="1">IFERROR(__xludf.DUMMYFUNCTION("IMPORTRANGE(H25939,""IDENTITAS UNIT!D9"")"),"#N/A")</f>
        <v>#N/A</v>
      </c>
      <c r="H25939" s="4" t="str">
        <v/>
      </c>
      <c r="I25939" s="4" t="str">
        <v/>
      </c>
    </row>
    <row r="25940" spans="5:9" ht="16.5" hidden="1">
      <c r="E25940" s="4" t="str">
        <v/>
      </c>
      <c r="F25940" s="102" t="str">
        <f ca="1">IFERROR(__xludf.DUMMYFUNCTION("IMPORTRANGE(H25940,""IDENTITAS UNIT!D9"")"),"#N/A")</f>
        <v>#N/A</v>
      </c>
      <c r="H25940" s="4" t="str">
        <v/>
      </c>
      <c r="I25940" s="4" t="str">
        <v/>
      </c>
    </row>
    <row r="25941" spans="5:9" ht="16.5" hidden="1">
      <c r="E25941" s="4" t="str">
        <v/>
      </c>
      <c r="F25941" s="102" t="str">
        <f ca="1">IFERROR(__xludf.DUMMYFUNCTION("IMPORTRANGE(H25941,""IDENTITAS UNIT!D9"")"),"#N/A")</f>
        <v>#N/A</v>
      </c>
      <c r="H25941" s="4" t="str">
        <v/>
      </c>
      <c r="I25941" s="4" t="str">
        <v/>
      </c>
    </row>
    <row r="25942" spans="5:9" ht="16.5" hidden="1">
      <c r="E25942" s="4" t="str">
        <v/>
      </c>
      <c r="F25942" s="102" t="str">
        <f ca="1">IFERROR(__xludf.DUMMYFUNCTION("IMPORTRANGE(H25942,""IDENTITAS UNIT!D9"")"),"#N/A")</f>
        <v>#N/A</v>
      </c>
      <c r="H25942" s="4" t="str">
        <v/>
      </c>
      <c r="I25942" s="4" t="str">
        <v/>
      </c>
    </row>
    <row r="25943" spans="5:9" ht="16.5" hidden="1">
      <c r="E25943" s="4" t="str">
        <v/>
      </c>
      <c r="F25943" s="102" t="str">
        <f ca="1">IFERROR(__xludf.DUMMYFUNCTION("IMPORTRANGE(H25943,""IDENTITAS UNIT!D9"")"),"#N/A")</f>
        <v>#N/A</v>
      </c>
      <c r="H25943" s="4" t="str">
        <v/>
      </c>
      <c r="I25943" s="4" t="str">
        <v/>
      </c>
    </row>
    <row r="25944" spans="5:9" ht="16.5" hidden="1">
      <c r="E25944" s="4" t="str">
        <v/>
      </c>
      <c r="F25944" s="102" t="str">
        <f ca="1">IFERROR(__xludf.DUMMYFUNCTION("IMPORTRANGE(H25944,""IDENTITAS UNIT!D9"")"),"#N/A")</f>
        <v>#N/A</v>
      </c>
      <c r="H25944" s="4" t="str">
        <v/>
      </c>
      <c r="I25944" s="4" t="str">
        <v/>
      </c>
    </row>
    <row r="25945" spans="5:9" ht="16.5" hidden="1">
      <c r="E25945" s="4" t="str">
        <v/>
      </c>
      <c r="F25945" s="102" t="str">
        <f ca="1">IFERROR(__xludf.DUMMYFUNCTION("IMPORTRANGE(H25945,""IDENTITAS UNIT!D9"")"),"#N/A")</f>
        <v>#N/A</v>
      </c>
      <c r="H25945" s="4" t="str">
        <v/>
      </c>
      <c r="I25945" s="4" t="str">
        <v/>
      </c>
    </row>
    <row r="25946" spans="5:9" ht="16.5" hidden="1">
      <c r="E25946" s="4" t="str">
        <v/>
      </c>
      <c r="F25946" s="102" t="str">
        <f ca="1">IFERROR(__xludf.DUMMYFUNCTION("IMPORTRANGE(H25946,""IDENTITAS UNIT!D9"")"),"#N/A")</f>
        <v>#N/A</v>
      </c>
      <c r="H25946" s="4" t="str">
        <v/>
      </c>
      <c r="I25946" s="4" t="str">
        <v/>
      </c>
    </row>
    <row r="25947" spans="5:9" ht="16.5" hidden="1">
      <c r="E25947" s="4" t="str">
        <v/>
      </c>
      <c r="F25947" s="102" t="str">
        <f ca="1">IFERROR(__xludf.DUMMYFUNCTION("IMPORTRANGE(H25947,""IDENTITAS UNIT!D9"")"),"#N/A")</f>
        <v>#N/A</v>
      </c>
      <c r="H25947" s="4" t="str">
        <v/>
      </c>
      <c r="I25947" s="4" t="str">
        <v/>
      </c>
    </row>
    <row r="25948" spans="5:9" ht="16.5" hidden="1">
      <c r="E25948" s="4" t="str">
        <v/>
      </c>
      <c r="F25948" s="102" t="str">
        <f ca="1">IFERROR(__xludf.DUMMYFUNCTION("IMPORTRANGE(H25948,""IDENTITAS UNIT!D9"")"),"#N/A")</f>
        <v>#N/A</v>
      </c>
      <c r="H25948" s="4" t="str">
        <v/>
      </c>
      <c r="I25948" s="4" t="str">
        <v/>
      </c>
    </row>
    <row r="25949" spans="5:9" ht="16.5" hidden="1">
      <c r="E25949" s="4" t="str">
        <v/>
      </c>
      <c r="F25949" s="102" t="str">
        <f ca="1">IFERROR(__xludf.DUMMYFUNCTION("IMPORTRANGE(H25949,""IDENTITAS UNIT!D9"")"),"#N/A")</f>
        <v>#N/A</v>
      </c>
      <c r="H25949" s="4" t="str">
        <v/>
      </c>
      <c r="I25949" s="4" t="str">
        <v/>
      </c>
    </row>
    <row r="25950" spans="5:9" ht="16.5" hidden="1">
      <c r="E25950" s="4" t="str">
        <v/>
      </c>
      <c r="F25950" s="102" t="str">
        <f ca="1">IFERROR(__xludf.DUMMYFUNCTION("IMPORTRANGE(H25950,""IDENTITAS UNIT!D9"")"),"#N/A")</f>
        <v>#N/A</v>
      </c>
      <c r="H25950" s="4" t="str">
        <v/>
      </c>
      <c r="I25950" s="4" t="str">
        <v/>
      </c>
    </row>
    <row r="25951" spans="5:9" ht="16.5" hidden="1">
      <c r="E25951" s="4" t="str">
        <v/>
      </c>
      <c r="F25951" s="102" t="str">
        <f ca="1">IFERROR(__xludf.DUMMYFUNCTION("IMPORTRANGE(H25951,""IDENTITAS UNIT!D9"")"),"#N/A")</f>
        <v>#N/A</v>
      </c>
      <c r="H25951" s="4" t="str">
        <v/>
      </c>
      <c r="I25951" s="4" t="str">
        <v/>
      </c>
    </row>
    <row r="25952" spans="5:9" ht="16.5" hidden="1">
      <c r="E25952" s="4" t="str">
        <v/>
      </c>
      <c r="F25952" s="102" t="str">
        <f ca="1">IFERROR(__xludf.DUMMYFUNCTION("IMPORTRANGE(H25952,""IDENTITAS UNIT!D9"")"),"#N/A")</f>
        <v>#N/A</v>
      </c>
      <c r="H25952" s="4" t="str">
        <v/>
      </c>
      <c r="I25952" s="4" t="str">
        <v/>
      </c>
    </row>
    <row r="25953" spans="5:9" ht="16.5" hidden="1">
      <c r="E25953" s="4" t="str">
        <v/>
      </c>
      <c r="F25953" s="102" t="str">
        <f ca="1">IFERROR(__xludf.DUMMYFUNCTION("IMPORTRANGE(H25953,""IDENTITAS UNIT!D9"")"),"#N/A")</f>
        <v>#N/A</v>
      </c>
      <c r="H25953" s="4" t="str">
        <v/>
      </c>
      <c r="I25953" s="4" t="str">
        <v/>
      </c>
    </row>
    <row r="25954" spans="5:9" ht="16.5" hidden="1">
      <c r="E25954" s="4" t="str">
        <v/>
      </c>
      <c r="F25954" s="102" t="str">
        <f ca="1">IFERROR(__xludf.DUMMYFUNCTION("IMPORTRANGE(H25954,""IDENTITAS UNIT!D9"")"),"#N/A")</f>
        <v>#N/A</v>
      </c>
      <c r="H25954" s="4" t="str">
        <v/>
      </c>
      <c r="I25954" s="4" t="str">
        <v/>
      </c>
    </row>
    <row r="25955" spans="5:9" ht="16.5" hidden="1">
      <c r="E25955" s="4" t="str">
        <v/>
      </c>
      <c r="F25955" s="102" t="str">
        <f ca="1">IFERROR(__xludf.DUMMYFUNCTION("IMPORTRANGE(H25955,""IDENTITAS UNIT!D9"")"),"#N/A")</f>
        <v>#N/A</v>
      </c>
      <c r="H25955" s="4" t="str">
        <v/>
      </c>
      <c r="I25955" s="4" t="str">
        <v/>
      </c>
    </row>
    <row r="25956" spans="5:9" ht="16.5" hidden="1">
      <c r="E25956" s="4" t="str">
        <v/>
      </c>
      <c r="F25956" s="102" t="str">
        <f ca="1">IFERROR(__xludf.DUMMYFUNCTION("IMPORTRANGE(H25956,""IDENTITAS UNIT!D9"")"),"#N/A")</f>
        <v>#N/A</v>
      </c>
      <c r="H25956" s="4" t="str">
        <v/>
      </c>
      <c r="I25956" s="4" t="str">
        <v/>
      </c>
    </row>
    <row r="25957" spans="5:9" ht="16.5" hidden="1">
      <c r="E25957" s="4" t="str">
        <v/>
      </c>
      <c r="F25957" s="102" t="str">
        <f ca="1">IFERROR(__xludf.DUMMYFUNCTION("IMPORTRANGE(H25957,""IDENTITAS UNIT!D9"")"),"#N/A")</f>
        <v>#N/A</v>
      </c>
      <c r="H25957" s="4" t="str">
        <v/>
      </c>
      <c r="I25957" s="4" t="str">
        <v/>
      </c>
    </row>
    <row r="25958" spans="5:9" ht="16.5" hidden="1">
      <c r="E25958" s="4" t="str">
        <v/>
      </c>
      <c r="F25958" s="102" t="str">
        <f ca="1">IFERROR(__xludf.DUMMYFUNCTION("IMPORTRANGE(H25958,""IDENTITAS UNIT!D9"")"),"#N/A")</f>
        <v>#N/A</v>
      </c>
      <c r="H25958" s="4" t="str">
        <v/>
      </c>
      <c r="I25958" s="4" t="str">
        <v/>
      </c>
    </row>
    <row r="25959" spans="5:9" ht="16.5" hidden="1">
      <c r="E25959" s="4" t="str">
        <v/>
      </c>
      <c r="F25959" s="102" t="str">
        <f ca="1">IFERROR(__xludf.DUMMYFUNCTION("IMPORTRANGE(H25959,""IDENTITAS UNIT!D9"")"),"#N/A")</f>
        <v>#N/A</v>
      </c>
      <c r="H25959" s="4" t="str">
        <v/>
      </c>
      <c r="I25959" s="4" t="str">
        <v/>
      </c>
    </row>
    <row r="25960" spans="5:9" ht="16.5" hidden="1">
      <c r="E25960" s="4" t="str">
        <v/>
      </c>
      <c r="F25960" s="102" t="str">
        <f ca="1">IFERROR(__xludf.DUMMYFUNCTION("IMPORTRANGE(H25960,""IDENTITAS UNIT!D9"")"),"#N/A")</f>
        <v>#N/A</v>
      </c>
      <c r="H25960" s="4" t="str">
        <v/>
      </c>
      <c r="I25960" s="4" t="str">
        <v/>
      </c>
    </row>
    <row r="25961" spans="5:9" ht="16.5" hidden="1">
      <c r="E25961" s="4" t="str">
        <v/>
      </c>
      <c r="F25961" s="102" t="str">
        <f ca="1">IFERROR(__xludf.DUMMYFUNCTION("IMPORTRANGE(H25961,""IDENTITAS UNIT!D9"")"),"#N/A")</f>
        <v>#N/A</v>
      </c>
      <c r="H25961" s="4" t="str">
        <v/>
      </c>
      <c r="I25961" s="4" t="str">
        <v/>
      </c>
    </row>
    <row r="25962" spans="5:9" ht="16.5" hidden="1">
      <c r="E25962" s="4" t="str">
        <v/>
      </c>
      <c r="F25962" s="102" t="str">
        <f ca="1">IFERROR(__xludf.DUMMYFUNCTION("IMPORTRANGE(H25962,""IDENTITAS UNIT!D9"")"),"#N/A")</f>
        <v>#N/A</v>
      </c>
      <c r="H25962" s="4" t="str">
        <v/>
      </c>
      <c r="I25962" s="4" t="str">
        <v/>
      </c>
    </row>
    <row r="25963" spans="5:9" ht="16.5" hidden="1">
      <c r="E25963" s="4" t="str">
        <v/>
      </c>
      <c r="F25963" s="102" t="str">
        <f ca="1">IFERROR(__xludf.DUMMYFUNCTION("IMPORTRANGE(H25963,""IDENTITAS UNIT!D9"")"),"#N/A")</f>
        <v>#N/A</v>
      </c>
      <c r="H25963" s="4" t="str">
        <v/>
      </c>
      <c r="I25963" s="4" t="str">
        <v/>
      </c>
    </row>
    <row r="25964" spans="5:9" ht="16.5" hidden="1">
      <c r="E25964" s="4" t="str">
        <v/>
      </c>
      <c r="F25964" s="102" t="str">
        <f ca="1">IFERROR(__xludf.DUMMYFUNCTION("IMPORTRANGE(H25964,""IDENTITAS UNIT!D9"")"),"#N/A")</f>
        <v>#N/A</v>
      </c>
      <c r="H25964" s="4" t="str">
        <v/>
      </c>
      <c r="I25964" s="4" t="str">
        <v/>
      </c>
    </row>
    <row r="25965" spans="5:9" ht="16.5" hidden="1">
      <c r="E25965" s="4" t="str">
        <v/>
      </c>
      <c r="F25965" s="102" t="str">
        <f ca="1">IFERROR(__xludf.DUMMYFUNCTION("IMPORTRANGE(H25965,""IDENTITAS UNIT!D9"")"),"#N/A")</f>
        <v>#N/A</v>
      </c>
      <c r="H25965" s="4" t="str">
        <v/>
      </c>
      <c r="I25965" s="4" t="str">
        <v/>
      </c>
    </row>
    <row r="25966" spans="5:9" ht="16.5" hidden="1">
      <c r="E25966" s="4" t="str">
        <v/>
      </c>
      <c r="F25966" s="102" t="str">
        <f ca="1">IFERROR(__xludf.DUMMYFUNCTION("IMPORTRANGE(H25966,""IDENTITAS UNIT!D9"")"),"#N/A")</f>
        <v>#N/A</v>
      </c>
      <c r="H25966" s="4" t="str">
        <v/>
      </c>
      <c r="I25966" s="4" t="str">
        <v/>
      </c>
    </row>
    <row r="25967" spans="5:9" ht="16.5" hidden="1">
      <c r="E25967" s="4" t="str">
        <v/>
      </c>
      <c r="F25967" s="102" t="str">
        <f ca="1">IFERROR(__xludf.DUMMYFUNCTION("IMPORTRANGE(H25967,""IDENTITAS UNIT!D9"")"),"#N/A")</f>
        <v>#N/A</v>
      </c>
      <c r="H25967" s="4" t="str">
        <v/>
      </c>
      <c r="I25967" s="4" t="str">
        <v/>
      </c>
    </row>
    <row r="25968" spans="5:9" ht="16.5" hidden="1">
      <c r="E25968" s="4" t="str">
        <v/>
      </c>
      <c r="F25968" s="102" t="str">
        <f ca="1">IFERROR(__xludf.DUMMYFUNCTION("IMPORTRANGE(H25968,""IDENTITAS UNIT!D9"")"),"#N/A")</f>
        <v>#N/A</v>
      </c>
      <c r="H25968" s="4" t="str">
        <v/>
      </c>
      <c r="I25968" s="4" t="str">
        <v/>
      </c>
    </row>
    <row r="25969" spans="5:9" ht="16.5" hidden="1">
      <c r="E25969" s="4" t="str">
        <v/>
      </c>
      <c r="F25969" s="102" t="str">
        <f ca="1">IFERROR(__xludf.DUMMYFUNCTION("IMPORTRANGE(H25969,""IDENTITAS UNIT!D9"")"),"#N/A")</f>
        <v>#N/A</v>
      </c>
      <c r="H25969" s="4" t="str">
        <v/>
      </c>
      <c r="I25969" s="4" t="str">
        <v/>
      </c>
    </row>
    <row r="25970" spans="5:9" ht="16.5" hidden="1">
      <c r="E25970" s="4" t="str">
        <v/>
      </c>
      <c r="F25970" s="102" t="str">
        <f ca="1">IFERROR(__xludf.DUMMYFUNCTION("IMPORTRANGE(H25970,""IDENTITAS UNIT!D9"")"),"#N/A")</f>
        <v>#N/A</v>
      </c>
      <c r="H25970" s="4" t="str">
        <v/>
      </c>
      <c r="I25970" s="4" t="str">
        <v/>
      </c>
    </row>
    <row r="25971" spans="5:9" ht="16.5" hidden="1">
      <c r="E25971" s="4" t="str">
        <v/>
      </c>
      <c r="F25971" s="102" t="str">
        <f ca="1">IFERROR(__xludf.DUMMYFUNCTION("IMPORTRANGE(H25971,""IDENTITAS UNIT!D9"")"),"#N/A")</f>
        <v>#N/A</v>
      </c>
      <c r="H25971" s="4" t="str">
        <v/>
      </c>
      <c r="I25971" s="4" t="str">
        <v/>
      </c>
    </row>
    <row r="25972" spans="5:9" ht="16.5" hidden="1">
      <c r="E25972" s="4" t="str">
        <v/>
      </c>
      <c r="F25972" s="102" t="str">
        <f ca="1">IFERROR(__xludf.DUMMYFUNCTION("IMPORTRANGE(H25972,""IDENTITAS UNIT!D9"")"),"#N/A")</f>
        <v>#N/A</v>
      </c>
      <c r="H25972" s="4" t="str">
        <v/>
      </c>
      <c r="I25972" s="4" t="str">
        <v/>
      </c>
    </row>
    <row r="25973" spans="5:9" ht="16.5" hidden="1">
      <c r="E25973" s="4" t="str">
        <v/>
      </c>
      <c r="F25973" s="102" t="str">
        <f ca="1">IFERROR(__xludf.DUMMYFUNCTION("IMPORTRANGE(H25973,""IDENTITAS UNIT!D9"")"),"#N/A")</f>
        <v>#N/A</v>
      </c>
      <c r="H25973" s="4" t="str">
        <v/>
      </c>
      <c r="I25973" s="4" t="str">
        <v/>
      </c>
    </row>
    <row r="25974" spans="5:9" ht="16.5" hidden="1">
      <c r="E25974" s="4" t="str">
        <v/>
      </c>
      <c r="F25974" s="102" t="str">
        <f ca="1">IFERROR(__xludf.DUMMYFUNCTION("IMPORTRANGE(H25974,""IDENTITAS UNIT!D9"")"),"#N/A")</f>
        <v>#N/A</v>
      </c>
      <c r="H25974" s="4" t="str">
        <v/>
      </c>
      <c r="I25974" s="4" t="str">
        <v/>
      </c>
    </row>
    <row r="25975" spans="5:9" ht="16.5" hidden="1">
      <c r="E25975" s="4" t="str">
        <v/>
      </c>
      <c r="F25975" s="102" t="str">
        <f ca="1">IFERROR(__xludf.DUMMYFUNCTION("IMPORTRANGE(H25975,""IDENTITAS UNIT!D9"")"),"#N/A")</f>
        <v>#N/A</v>
      </c>
      <c r="H25975" s="4" t="str">
        <v/>
      </c>
      <c r="I25975" s="4" t="str">
        <v/>
      </c>
    </row>
    <row r="25976" spans="5:9" ht="16.5" hidden="1">
      <c r="E25976" s="4" t="str">
        <v/>
      </c>
      <c r="F25976" s="102" t="str">
        <f ca="1">IFERROR(__xludf.DUMMYFUNCTION("IMPORTRANGE(H25976,""IDENTITAS UNIT!D9"")"),"#N/A")</f>
        <v>#N/A</v>
      </c>
      <c r="H25976" s="4" t="str">
        <v/>
      </c>
      <c r="I25976" s="4" t="str">
        <v/>
      </c>
    </row>
    <row r="25977" spans="5:9" ht="16.5" hidden="1">
      <c r="E25977" s="4" t="str">
        <v/>
      </c>
      <c r="F25977" s="102" t="str">
        <f ca="1">IFERROR(__xludf.DUMMYFUNCTION("IMPORTRANGE(H25977,""IDENTITAS UNIT!D9"")"),"#N/A")</f>
        <v>#N/A</v>
      </c>
      <c r="H25977" s="4" t="str">
        <v/>
      </c>
      <c r="I25977" s="4" t="str">
        <v/>
      </c>
    </row>
    <row r="25978" spans="5:9" ht="16.5" hidden="1">
      <c r="E25978" s="4" t="str">
        <v/>
      </c>
      <c r="F25978" s="102" t="str">
        <f ca="1">IFERROR(__xludf.DUMMYFUNCTION("IMPORTRANGE(H25978,""IDENTITAS UNIT!D9"")"),"#N/A")</f>
        <v>#N/A</v>
      </c>
      <c r="H25978" s="4" t="str">
        <v/>
      </c>
      <c r="I25978" s="4" t="str">
        <v/>
      </c>
    </row>
    <row r="25979" spans="5:9" ht="16.5" hidden="1">
      <c r="E25979" s="4" t="str">
        <v/>
      </c>
      <c r="F25979" s="102" t="str">
        <f ca="1">IFERROR(__xludf.DUMMYFUNCTION("IMPORTRANGE(H25979,""IDENTITAS UNIT!D9"")"),"#N/A")</f>
        <v>#N/A</v>
      </c>
      <c r="H25979" s="4" t="str">
        <v/>
      </c>
      <c r="I25979" s="4" t="str">
        <v/>
      </c>
    </row>
    <row r="25980" spans="5:9" ht="16.5" hidden="1">
      <c r="E25980" s="4" t="str">
        <v/>
      </c>
      <c r="F25980" s="102" t="str">
        <f ca="1">IFERROR(__xludf.DUMMYFUNCTION("IMPORTRANGE(H25980,""IDENTITAS UNIT!D9"")"),"#N/A")</f>
        <v>#N/A</v>
      </c>
      <c r="H25980" s="4" t="str">
        <v/>
      </c>
      <c r="I25980" s="4" t="str">
        <v/>
      </c>
    </row>
    <row r="25981" spans="5:9" ht="16.5" hidden="1">
      <c r="E25981" s="4" t="str">
        <v/>
      </c>
      <c r="F25981" s="102" t="str">
        <f ca="1">IFERROR(__xludf.DUMMYFUNCTION("IMPORTRANGE(H25981,""IDENTITAS UNIT!D9"")"),"#N/A")</f>
        <v>#N/A</v>
      </c>
      <c r="H25981" s="4" t="str">
        <v/>
      </c>
      <c r="I25981" s="4" t="str">
        <v/>
      </c>
    </row>
    <row r="25982" spans="5:9" ht="16.5" hidden="1">
      <c r="E25982" s="4" t="str">
        <v/>
      </c>
      <c r="F25982" s="102" t="str">
        <f ca="1">IFERROR(__xludf.DUMMYFUNCTION("IMPORTRANGE(H25982,""IDENTITAS UNIT!D9"")"),"#N/A")</f>
        <v>#N/A</v>
      </c>
      <c r="H25982" s="4" t="str">
        <v/>
      </c>
      <c r="I25982" s="4" t="str">
        <v/>
      </c>
    </row>
    <row r="25983" spans="5:9" ht="16.5" hidden="1">
      <c r="E25983" s="4" t="str">
        <v/>
      </c>
      <c r="F25983" s="102" t="str">
        <f ca="1">IFERROR(__xludf.DUMMYFUNCTION("IMPORTRANGE(H25983,""IDENTITAS UNIT!D9"")"),"#N/A")</f>
        <v>#N/A</v>
      </c>
      <c r="H25983" s="4" t="str">
        <v/>
      </c>
      <c r="I25983" s="4" t="str">
        <v/>
      </c>
    </row>
    <row r="25984" spans="5:9" ht="16.5" hidden="1">
      <c r="E25984" s="4" t="str">
        <v/>
      </c>
      <c r="F25984" s="102" t="str">
        <f ca="1">IFERROR(__xludf.DUMMYFUNCTION("IMPORTRANGE(H25984,""IDENTITAS UNIT!D9"")"),"#N/A")</f>
        <v>#N/A</v>
      </c>
      <c r="H25984" s="4" t="str">
        <v/>
      </c>
      <c r="I25984" s="4" t="str">
        <v/>
      </c>
    </row>
    <row r="25985" spans="5:9" ht="16.5" hidden="1">
      <c r="E25985" s="4" t="str">
        <v/>
      </c>
      <c r="F25985" s="102" t="str">
        <f ca="1">IFERROR(__xludf.DUMMYFUNCTION("IMPORTRANGE(H25985,""IDENTITAS UNIT!D9"")"),"#N/A")</f>
        <v>#N/A</v>
      </c>
      <c r="H25985" s="4" t="str">
        <v/>
      </c>
      <c r="I25985" s="4" t="str">
        <v/>
      </c>
    </row>
    <row r="25986" spans="5:9" ht="16.5" hidden="1">
      <c r="E25986" s="4" t="str">
        <v/>
      </c>
      <c r="F25986" s="102" t="str">
        <f ca="1">IFERROR(__xludf.DUMMYFUNCTION("IMPORTRANGE(H25986,""IDENTITAS UNIT!D9"")"),"#N/A")</f>
        <v>#N/A</v>
      </c>
      <c r="H25986" s="4" t="str">
        <v/>
      </c>
      <c r="I25986" s="4" t="str">
        <v/>
      </c>
    </row>
    <row r="25987" spans="5:9" ht="16.5" hidden="1">
      <c r="E25987" s="4" t="str">
        <v/>
      </c>
      <c r="F25987" s="102" t="str">
        <f ca="1">IFERROR(__xludf.DUMMYFUNCTION("IMPORTRANGE(H25987,""IDENTITAS UNIT!D9"")"),"#N/A")</f>
        <v>#N/A</v>
      </c>
      <c r="H25987" s="4" t="str">
        <v/>
      </c>
      <c r="I25987" s="4" t="str">
        <v/>
      </c>
    </row>
    <row r="25988" spans="5:9" ht="16.5" hidden="1">
      <c r="E25988" s="4" t="str">
        <v/>
      </c>
      <c r="F25988" s="102" t="str">
        <f ca="1">IFERROR(__xludf.DUMMYFUNCTION("IMPORTRANGE(H25988,""IDENTITAS UNIT!D9"")"),"#N/A")</f>
        <v>#N/A</v>
      </c>
      <c r="H25988" s="4" t="str">
        <v/>
      </c>
      <c r="I25988" s="4" t="str">
        <v/>
      </c>
    </row>
    <row r="25989" spans="5:9" ht="16.5" hidden="1">
      <c r="E25989" s="4" t="str">
        <v/>
      </c>
      <c r="F25989" s="102" t="str">
        <f ca="1">IFERROR(__xludf.DUMMYFUNCTION("IMPORTRANGE(H25989,""IDENTITAS UNIT!D9"")"),"#N/A")</f>
        <v>#N/A</v>
      </c>
      <c r="H25989" s="4" t="str">
        <v/>
      </c>
      <c r="I25989" s="4" t="str">
        <v/>
      </c>
    </row>
    <row r="25990" spans="5:9" ht="16.5" hidden="1">
      <c r="E25990" s="4" t="str">
        <v/>
      </c>
      <c r="F25990" s="102" t="str">
        <f ca="1">IFERROR(__xludf.DUMMYFUNCTION("IMPORTRANGE(H25990,""IDENTITAS UNIT!D9"")"),"#N/A")</f>
        <v>#N/A</v>
      </c>
      <c r="H25990" s="4" t="str">
        <v/>
      </c>
      <c r="I25990" s="4" t="str">
        <v/>
      </c>
    </row>
    <row r="25991" spans="5:9" ht="16.5" hidden="1">
      <c r="E25991" s="4" t="str">
        <v/>
      </c>
      <c r="F25991" s="102" t="str">
        <f ca="1">IFERROR(__xludf.DUMMYFUNCTION("IMPORTRANGE(H25991,""IDENTITAS UNIT!D9"")"),"#N/A")</f>
        <v>#N/A</v>
      </c>
      <c r="H25991" s="4" t="str">
        <v/>
      </c>
      <c r="I25991" s="4" t="str">
        <v/>
      </c>
    </row>
    <row r="25992" spans="5:9" ht="16.5" hidden="1">
      <c r="E25992" s="4" t="str">
        <v/>
      </c>
      <c r="F25992" s="102" t="str">
        <f ca="1">IFERROR(__xludf.DUMMYFUNCTION("IMPORTRANGE(H25992,""IDENTITAS UNIT!D9"")"),"#N/A")</f>
        <v>#N/A</v>
      </c>
      <c r="H25992" s="4" t="str">
        <v/>
      </c>
      <c r="I25992" s="4" t="str">
        <v/>
      </c>
    </row>
    <row r="25993" spans="5:9" ht="16.5" hidden="1">
      <c r="E25993" s="4" t="str">
        <v/>
      </c>
      <c r="F25993" s="102" t="str">
        <f ca="1">IFERROR(__xludf.DUMMYFUNCTION("IMPORTRANGE(H25993,""IDENTITAS UNIT!D9"")"),"#N/A")</f>
        <v>#N/A</v>
      </c>
      <c r="H25993" s="4" t="str">
        <v/>
      </c>
      <c r="I25993" s="4" t="str">
        <v/>
      </c>
    </row>
    <row r="25994" spans="5:9" ht="16.5" hidden="1">
      <c r="E25994" s="4" t="str">
        <v/>
      </c>
      <c r="F25994" s="102" t="str">
        <f ca="1">IFERROR(__xludf.DUMMYFUNCTION("IMPORTRANGE(H25994,""IDENTITAS UNIT!D9"")"),"#N/A")</f>
        <v>#N/A</v>
      </c>
      <c r="H25994" s="4" t="str">
        <v/>
      </c>
      <c r="I25994" s="4" t="str">
        <v/>
      </c>
    </row>
    <row r="25995" spans="5:9" ht="16.5" hidden="1">
      <c r="E25995" s="4" t="str">
        <v/>
      </c>
      <c r="F25995" s="102" t="str">
        <f ca="1">IFERROR(__xludf.DUMMYFUNCTION("IMPORTRANGE(H25995,""IDENTITAS UNIT!D9"")"),"#N/A")</f>
        <v>#N/A</v>
      </c>
      <c r="H25995" s="4" t="str">
        <v/>
      </c>
      <c r="I25995" s="4" t="str">
        <v/>
      </c>
    </row>
    <row r="25996" spans="5:9" ht="16.5" hidden="1">
      <c r="E25996" s="4" t="str">
        <v/>
      </c>
      <c r="F25996" s="102" t="str">
        <f ca="1">IFERROR(__xludf.DUMMYFUNCTION("IMPORTRANGE(H25996,""IDENTITAS UNIT!D9"")"),"#N/A")</f>
        <v>#N/A</v>
      </c>
      <c r="H25996" s="4" t="str">
        <v/>
      </c>
      <c r="I25996" s="4" t="str">
        <v/>
      </c>
    </row>
    <row r="25997" spans="5:9" ht="16.5" hidden="1">
      <c r="E25997" s="4" t="str">
        <v/>
      </c>
      <c r="F25997" s="102" t="str">
        <f ca="1">IFERROR(__xludf.DUMMYFUNCTION("IMPORTRANGE(H25997,""IDENTITAS UNIT!D9"")"),"#N/A")</f>
        <v>#N/A</v>
      </c>
      <c r="H25997" s="4" t="str">
        <v/>
      </c>
      <c r="I25997" s="4" t="str">
        <v/>
      </c>
    </row>
    <row r="25998" spans="5:9" ht="16.5" hidden="1">
      <c r="E25998" s="4" t="str">
        <v/>
      </c>
      <c r="F25998" s="102" t="str">
        <f ca="1">IFERROR(__xludf.DUMMYFUNCTION("IMPORTRANGE(H25998,""IDENTITAS UNIT!D9"")"),"#N/A")</f>
        <v>#N/A</v>
      </c>
      <c r="H25998" s="4" t="str">
        <v/>
      </c>
      <c r="I25998" s="4" t="str">
        <v/>
      </c>
    </row>
    <row r="25999" spans="5:9" ht="16.5" hidden="1">
      <c r="E25999" s="4" t="str">
        <v/>
      </c>
      <c r="F25999" s="102" t="str">
        <f ca="1">IFERROR(__xludf.DUMMYFUNCTION("IMPORTRANGE(H25999,""IDENTITAS UNIT!D9"")"),"#N/A")</f>
        <v>#N/A</v>
      </c>
      <c r="H25999" s="4" t="str">
        <v/>
      </c>
      <c r="I25999" s="4" t="str">
        <v/>
      </c>
    </row>
    <row r="26000" spans="5:9" ht="16.5" hidden="1">
      <c r="E26000" s="4" t="str">
        <v/>
      </c>
      <c r="F26000" s="102" t="str">
        <f ca="1">IFERROR(__xludf.DUMMYFUNCTION("IMPORTRANGE(H26000,""IDENTITAS UNIT!D9"")"),"#N/A")</f>
        <v>#N/A</v>
      </c>
      <c r="H26000" s="4" t="str">
        <v/>
      </c>
      <c r="I26000" s="4" t="str">
        <v/>
      </c>
    </row>
    <row r="26001" spans="5:9" ht="16.5" hidden="1">
      <c r="E26001" s="4" t="str">
        <v/>
      </c>
      <c r="F26001" s="102" t="str">
        <f ca="1">IFERROR(__xludf.DUMMYFUNCTION("IMPORTRANGE(H26001,""IDENTITAS UNIT!D9"")"),"#N/A")</f>
        <v>#N/A</v>
      </c>
      <c r="H26001" s="4" t="str">
        <v/>
      </c>
      <c r="I26001" s="4" t="str">
        <v/>
      </c>
    </row>
    <row r="26002" spans="5:9" ht="16.5" hidden="1">
      <c r="E26002" s="4" t="str">
        <v/>
      </c>
      <c r="F26002" s="102" t="str">
        <f ca="1">IFERROR(__xludf.DUMMYFUNCTION("IMPORTRANGE(H26002,""IDENTITAS UNIT!D9"")"),"#N/A")</f>
        <v>#N/A</v>
      </c>
      <c r="H26002" s="4" t="str">
        <v/>
      </c>
      <c r="I26002" s="4" t="str">
        <v/>
      </c>
    </row>
    <row r="26003" spans="5:9" ht="16.5" hidden="1">
      <c r="E26003" s="4" t="str">
        <v/>
      </c>
      <c r="F26003" s="102" t="str">
        <f ca="1">IFERROR(__xludf.DUMMYFUNCTION("IMPORTRANGE(H26003,""IDENTITAS UNIT!D9"")"),"#N/A")</f>
        <v>#N/A</v>
      </c>
      <c r="H26003" s="4" t="str">
        <v/>
      </c>
      <c r="I26003" s="4" t="str">
        <v/>
      </c>
    </row>
    <row r="26004" spans="5:9" ht="16.5" hidden="1">
      <c r="E26004" s="4" t="str">
        <v/>
      </c>
      <c r="F26004" s="102" t="str">
        <f ca="1">IFERROR(__xludf.DUMMYFUNCTION("IMPORTRANGE(H26004,""IDENTITAS UNIT!D9"")"),"#N/A")</f>
        <v>#N/A</v>
      </c>
      <c r="H26004" s="4" t="str">
        <v/>
      </c>
      <c r="I26004" s="4" t="str">
        <v/>
      </c>
    </row>
    <row r="26005" spans="5:9" ht="16.5" hidden="1">
      <c r="E26005" s="4" t="str">
        <v/>
      </c>
      <c r="F26005" s="102" t="str">
        <f ca="1">IFERROR(__xludf.DUMMYFUNCTION("IMPORTRANGE(H26005,""IDENTITAS UNIT!D9"")"),"#N/A")</f>
        <v>#N/A</v>
      </c>
      <c r="H26005" s="4" t="str">
        <v/>
      </c>
      <c r="I26005" s="4" t="str">
        <v/>
      </c>
    </row>
    <row r="26006" spans="5:9" ht="16.5" hidden="1">
      <c r="E26006" s="4" t="str">
        <v/>
      </c>
      <c r="F26006" s="102" t="str">
        <f ca="1">IFERROR(__xludf.DUMMYFUNCTION("IMPORTRANGE(H26006,""IDENTITAS UNIT!D9"")"),"#N/A")</f>
        <v>#N/A</v>
      </c>
      <c r="H26006" s="4" t="str">
        <v/>
      </c>
      <c r="I26006" s="4" t="str">
        <v/>
      </c>
    </row>
    <row r="26007" spans="5:9" ht="16.5" hidden="1">
      <c r="E26007" s="4" t="str">
        <v/>
      </c>
      <c r="F26007" s="102" t="str">
        <f ca="1">IFERROR(__xludf.DUMMYFUNCTION("IMPORTRANGE(H26007,""IDENTITAS UNIT!D9"")"),"#N/A")</f>
        <v>#N/A</v>
      </c>
      <c r="H26007" s="4" t="str">
        <v/>
      </c>
      <c r="I26007" s="4" t="str">
        <v/>
      </c>
    </row>
    <row r="26008" spans="5:9" ht="16.5" hidden="1">
      <c r="E26008" s="4" t="str">
        <v/>
      </c>
      <c r="F26008" s="102" t="str">
        <f ca="1">IFERROR(__xludf.DUMMYFUNCTION("IMPORTRANGE(H26008,""IDENTITAS UNIT!D9"")"),"#N/A")</f>
        <v>#N/A</v>
      </c>
      <c r="H26008" s="4" t="str">
        <v/>
      </c>
      <c r="I26008" s="4" t="str">
        <v/>
      </c>
    </row>
    <row r="26009" spans="5:9" ht="16.5" hidden="1">
      <c r="E26009" s="4" t="str">
        <v/>
      </c>
      <c r="F26009" s="102" t="str">
        <f ca="1">IFERROR(__xludf.DUMMYFUNCTION("IMPORTRANGE(H26009,""IDENTITAS UNIT!D9"")"),"#N/A")</f>
        <v>#N/A</v>
      </c>
      <c r="H26009" s="4" t="str">
        <v/>
      </c>
      <c r="I26009" s="4" t="str">
        <v/>
      </c>
    </row>
    <row r="26010" spans="5:9" ht="16.5" hidden="1">
      <c r="E26010" s="4" t="str">
        <v/>
      </c>
      <c r="F26010" s="102" t="str">
        <f ca="1">IFERROR(__xludf.DUMMYFUNCTION("IMPORTRANGE(H26010,""IDENTITAS UNIT!D9"")"),"#N/A")</f>
        <v>#N/A</v>
      </c>
      <c r="H26010" s="4" t="str">
        <v/>
      </c>
      <c r="I26010" s="4" t="str">
        <v/>
      </c>
    </row>
    <row r="26011" spans="5:9" ht="16.5" hidden="1">
      <c r="E26011" s="4" t="str">
        <v/>
      </c>
      <c r="F26011" s="102" t="str">
        <f ca="1">IFERROR(__xludf.DUMMYFUNCTION("IMPORTRANGE(H26011,""IDENTITAS UNIT!D9"")"),"#N/A")</f>
        <v>#N/A</v>
      </c>
      <c r="H26011" s="4" t="str">
        <v/>
      </c>
      <c r="I26011" s="4" t="str">
        <v/>
      </c>
    </row>
    <row r="26012" spans="5:9" ht="16.5" hidden="1">
      <c r="E26012" s="4" t="str">
        <v/>
      </c>
      <c r="F26012" s="102" t="str">
        <f ca="1">IFERROR(__xludf.DUMMYFUNCTION("IMPORTRANGE(H26012,""IDENTITAS UNIT!D9"")"),"#N/A")</f>
        <v>#N/A</v>
      </c>
      <c r="H26012" s="4" t="str">
        <v/>
      </c>
      <c r="I26012" s="4" t="str">
        <v/>
      </c>
    </row>
    <row r="26013" spans="5:9" ht="16.5" hidden="1">
      <c r="E26013" s="4" t="str">
        <v/>
      </c>
      <c r="F26013" s="102" t="str">
        <f ca="1">IFERROR(__xludf.DUMMYFUNCTION("IMPORTRANGE(H26013,""IDENTITAS UNIT!D9"")"),"#N/A")</f>
        <v>#N/A</v>
      </c>
      <c r="H26013" s="4" t="str">
        <v/>
      </c>
      <c r="I26013" s="4" t="str">
        <v/>
      </c>
    </row>
    <row r="26014" spans="5:9" ht="16.5" hidden="1">
      <c r="E26014" s="4" t="str">
        <v/>
      </c>
      <c r="F26014" s="102" t="str">
        <f ca="1">IFERROR(__xludf.DUMMYFUNCTION("IMPORTRANGE(H26014,""IDENTITAS UNIT!D9"")"),"#N/A")</f>
        <v>#N/A</v>
      </c>
      <c r="H26014" s="4" t="str">
        <v/>
      </c>
      <c r="I26014" s="4" t="str">
        <v/>
      </c>
    </row>
    <row r="26015" spans="5:9" ht="16.5" hidden="1">
      <c r="E26015" s="4" t="str">
        <v/>
      </c>
      <c r="F26015" s="102" t="str">
        <f ca="1">IFERROR(__xludf.DUMMYFUNCTION("IMPORTRANGE(H26015,""IDENTITAS UNIT!D9"")"),"#N/A")</f>
        <v>#N/A</v>
      </c>
      <c r="H26015" s="4" t="str">
        <v/>
      </c>
      <c r="I26015" s="4" t="str">
        <v/>
      </c>
    </row>
    <row r="26016" spans="5:9" ht="16.5" hidden="1">
      <c r="E26016" s="4" t="str">
        <v/>
      </c>
      <c r="F26016" s="102" t="str">
        <f ca="1">IFERROR(__xludf.DUMMYFUNCTION("IMPORTRANGE(H26016,""IDENTITAS UNIT!D9"")"),"#N/A")</f>
        <v>#N/A</v>
      </c>
      <c r="H26016" s="4" t="str">
        <v/>
      </c>
      <c r="I26016" s="4" t="str">
        <v/>
      </c>
    </row>
    <row r="26017" spans="5:9" ht="16.5" hidden="1">
      <c r="E26017" s="4" t="str">
        <v/>
      </c>
      <c r="F26017" s="102" t="str">
        <f ca="1">IFERROR(__xludf.DUMMYFUNCTION("IMPORTRANGE(H26017,""IDENTITAS UNIT!D9"")"),"#N/A")</f>
        <v>#N/A</v>
      </c>
      <c r="H26017" s="4" t="str">
        <v/>
      </c>
      <c r="I26017" s="4" t="str">
        <v/>
      </c>
    </row>
    <row r="26018" spans="5:9" ht="16.5" hidden="1">
      <c r="E26018" s="4" t="str">
        <v/>
      </c>
      <c r="F26018" s="102" t="str">
        <f ca="1">IFERROR(__xludf.DUMMYFUNCTION("IMPORTRANGE(H26018,""IDENTITAS UNIT!D9"")"),"#N/A")</f>
        <v>#N/A</v>
      </c>
      <c r="H26018" s="4" t="str">
        <v/>
      </c>
      <c r="I26018" s="4" t="str">
        <v/>
      </c>
    </row>
    <row r="26019" spans="5:9" ht="16.5" hidden="1">
      <c r="E26019" s="4" t="str">
        <v/>
      </c>
      <c r="F26019" s="102" t="str">
        <f ca="1">IFERROR(__xludf.DUMMYFUNCTION("IMPORTRANGE(H26019,""IDENTITAS UNIT!D9"")"),"#N/A")</f>
        <v>#N/A</v>
      </c>
      <c r="H26019" s="4" t="str">
        <v/>
      </c>
      <c r="I26019" s="4" t="str">
        <v/>
      </c>
    </row>
    <row r="26020" spans="5:9" ht="16.5" hidden="1">
      <c r="E26020" s="4" t="str">
        <v/>
      </c>
      <c r="F26020" s="102" t="str">
        <f ca="1">IFERROR(__xludf.DUMMYFUNCTION("IMPORTRANGE(H26020,""IDENTITAS UNIT!D9"")"),"#N/A")</f>
        <v>#N/A</v>
      </c>
      <c r="H26020" s="4" t="str">
        <v/>
      </c>
      <c r="I26020" s="4" t="str">
        <v/>
      </c>
    </row>
    <row r="26021" spans="5:9" ht="16.5" hidden="1">
      <c r="E26021" s="4" t="str">
        <v/>
      </c>
      <c r="F26021" s="102" t="str">
        <f ca="1">IFERROR(__xludf.DUMMYFUNCTION("IMPORTRANGE(H26021,""IDENTITAS UNIT!D9"")"),"#N/A")</f>
        <v>#N/A</v>
      </c>
      <c r="H26021" s="4" t="str">
        <v/>
      </c>
      <c r="I26021" s="4" t="str">
        <v/>
      </c>
    </row>
    <row r="26022" spans="5:9" ht="16.5" hidden="1">
      <c r="E26022" s="4" t="str">
        <v/>
      </c>
      <c r="F26022" s="102" t="str">
        <f ca="1">IFERROR(__xludf.DUMMYFUNCTION("IMPORTRANGE(H26022,""IDENTITAS UNIT!D9"")"),"#N/A")</f>
        <v>#N/A</v>
      </c>
      <c r="H26022" s="4" t="str">
        <v/>
      </c>
      <c r="I26022" s="4" t="str">
        <v/>
      </c>
    </row>
    <row r="26023" spans="5:9" ht="16.5" hidden="1">
      <c r="E26023" s="4" t="str">
        <v/>
      </c>
      <c r="F26023" s="102" t="str">
        <f ca="1">IFERROR(__xludf.DUMMYFUNCTION("IMPORTRANGE(H26023,""IDENTITAS UNIT!D9"")"),"#N/A")</f>
        <v>#N/A</v>
      </c>
      <c r="H26023" s="4" t="str">
        <v/>
      </c>
      <c r="I26023" s="4" t="str">
        <v/>
      </c>
    </row>
    <row r="26024" spans="5:9" ht="16.5" hidden="1">
      <c r="E26024" s="4" t="str">
        <v/>
      </c>
      <c r="F26024" s="102" t="str">
        <f ca="1">IFERROR(__xludf.DUMMYFUNCTION("IMPORTRANGE(H26024,""IDENTITAS UNIT!D9"")"),"#N/A")</f>
        <v>#N/A</v>
      </c>
      <c r="H26024" s="4" t="str">
        <v/>
      </c>
      <c r="I26024" s="4" t="str">
        <v/>
      </c>
    </row>
    <row r="26025" spans="5:9" ht="16.5" hidden="1">
      <c r="E26025" s="4" t="str">
        <v/>
      </c>
      <c r="F26025" s="102" t="str">
        <f ca="1">IFERROR(__xludf.DUMMYFUNCTION("IMPORTRANGE(H26025,""IDENTITAS UNIT!D9"")"),"#N/A")</f>
        <v>#N/A</v>
      </c>
      <c r="H26025" s="4" t="str">
        <v/>
      </c>
      <c r="I26025" s="4" t="str">
        <v/>
      </c>
    </row>
    <row r="26026" spans="5:9" ht="16.5" hidden="1">
      <c r="E26026" s="4" t="str">
        <v/>
      </c>
      <c r="F26026" s="102" t="str">
        <f ca="1">IFERROR(__xludf.DUMMYFUNCTION("IMPORTRANGE(H26026,""IDENTITAS UNIT!D9"")"),"#N/A")</f>
        <v>#N/A</v>
      </c>
      <c r="H26026" s="4" t="str">
        <v/>
      </c>
      <c r="I26026" s="4" t="str">
        <v/>
      </c>
    </row>
    <row r="26027" spans="5:9" ht="16.5" hidden="1">
      <c r="E26027" s="4" t="str">
        <v/>
      </c>
      <c r="F26027" s="102" t="str">
        <f ca="1">IFERROR(__xludf.DUMMYFUNCTION("IMPORTRANGE(H26027,""IDENTITAS UNIT!D9"")"),"#N/A")</f>
        <v>#N/A</v>
      </c>
      <c r="H26027" s="4" t="str">
        <v/>
      </c>
      <c r="I26027" s="4" t="str">
        <v/>
      </c>
    </row>
    <row r="26028" spans="5:9" ht="16.5" hidden="1">
      <c r="E26028" s="4" t="str">
        <v/>
      </c>
      <c r="F26028" s="102" t="str">
        <f ca="1">IFERROR(__xludf.DUMMYFUNCTION("IMPORTRANGE(H26028,""IDENTITAS UNIT!D9"")"),"#N/A")</f>
        <v>#N/A</v>
      </c>
      <c r="H26028" s="4" t="str">
        <v/>
      </c>
      <c r="I26028" s="4" t="str">
        <v/>
      </c>
    </row>
    <row r="26029" spans="5:9" ht="16.5" hidden="1">
      <c r="E26029" s="4" t="str">
        <v/>
      </c>
      <c r="F26029" s="102" t="str">
        <f ca="1">IFERROR(__xludf.DUMMYFUNCTION("IMPORTRANGE(H26029,""IDENTITAS UNIT!D9"")"),"#N/A")</f>
        <v>#N/A</v>
      </c>
      <c r="H26029" s="4" t="str">
        <v/>
      </c>
      <c r="I26029" s="4" t="str">
        <v/>
      </c>
    </row>
    <row r="26030" spans="5:9" ht="16.5" hidden="1">
      <c r="E26030" s="4" t="str">
        <v/>
      </c>
      <c r="F26030" s="102" t="str">
        <f ca="1">IFERROR(__xludf.DUMMYFUNCTION("IMPORTRANGE(H26030,""IDENTITAS UNIT!D9"")"),"#N/A")</f>
        <v>#N/A</v>
      </c>
      <c r="H26030" s="4" t="str">
        <v/>
      </c>
      <c r="I26030" s="4" t="str">
        <v/>
      </c>
    </row>
    <row r="26031" spans="5:9" ht="16.5" hidden="1">
      <c r="E26031" s="4" t="str">
        <v/>
      </c>
      <c r="F26031" s="102" t="str">
        <f ca="1">IFERROR(__xludf.DUMMYFUNCTION("IMPORTRANGE(H26031,""IDENTITAS UNIT!D9"")"),"#N/A")</f>
        <v>#N/A</v>
      </c>
      <c r="H26031" s="4" t="str">
        <v/>
      </c>
      <c r="I26031" s="4" t="str">
        <v/>
      </c>
    </row>
    <row r="26032" spans="5:9" ht="16.5" hidden="1">
      <c r="E26032" s="4" t="str">
        <v/>
      </c>
      <c r="F26032" s="102" t="str">
        <f ca="1">IFERROR(__xludf.DUMMYFUNCTION("IMPORTRANGE(H26032,""IDENTITAS UNIT!D9"")"),"#N/A")</f>
        <v>#N/A</v>
      </c>
      <c r="H26032" s="4" t="str">
        <v/>
      </c>
      <c r="I26032" s="4" t="str">
        <v/>
      </c>
    </row>
    <row r="26033" spans="5:9" ht="16.5" hidden="1">
      <c r="E26033" s="4" t="str">
        <v/>
      </c>
      <c r="F26033" s="102" t="str">
        <f ca="1">IFERROR(__xludf.DUMMYFUNCTION("IMPORTRANGE(H26033,""IDENTITAS UNIT!D9"")"),"#N/A")</f>
        <v>#N/A</v>
      </c>
      <c r="H26033" s="4" t="str">
        <v/>
      </c>
      <c r="I26033" s="4" t="str">
        <v/>
      </c>
    </row>
    <row r="26034" spans="5:9" ht="16.5" hidden="1">
      <c r="E26034" s="4" t="str">
        <v/>
      </c>
      <c r="F26034" s="102" t="str">
        <f ca="1">IFERROR(__xludf.DUMMYFUNCTION("IMPORTRANGE(H26034,""IDENTITAS UNIT!D9"")"),"#N/A")</f>
        <v>#N/A</v>
      </c>
      <c r="H26034" s="4" t="str">
        <v/>
      </c>
      <c r="I26034" s="4" t="str">
        <v/>
      </c>
    </row>
    <row r="26035" spans="5:9" ht="16.5" hidden="1">
      <c r="E26035" s="4" t="str">
        <v/>
      </c>
      <c r="F26035" s="102" t="str">
        <f ca="1">IFERROR(__xludf.DUMMYFUNCTION("IMPORTRANGE(H26035,""IDENTITAS UNIT!D9"")"),"#N/A")</f>
        <v>#N/A</v>
      </c>
      <c r="H26035" s="4" t="str">
        <v/>
      </c>
      <c r="I26035" s="4" t="str">
        <v/>
      </c>
    </row>
    <row r="26036" spans="5:9" ht="16.5" hidden="1">
      <c r="E26036" s="4" t="str">
        <v/>
      </c>
      <c r="F26036" s="102" t="str">
        <f ca="1">IFERROR(__xludf.DUMMYFUNCTION("IMPORTRANGE(H26036,""IDENTITAS UNIT!D9"")"),"#N/A")</f>
        <v>#N/A</v>
      </c>
      <c r="H26036" s="4" t="str">
        <v/>
      </c>
      <c r="I26036" s="4" t="str">
        <v/>
      </c>
    </row>
    <row r="26037" spans="5:9" ht="16.5" hidden="1">
      <c r="E26037" s="4" t="str">
        <v/>
      </c>
      <c r="F26037" s="102" t="str">
        <f ca="1">IFERROR(__xludf.DUMMYFUNCTION("IMPORTRANGE(H26037,""IDENTITAS UNIT!D9"")"),"#N/A")</f>
        <v>#N/A</v>
      </c>
      <c r="H26037" s="4" t="str">
        <v/>
      </c>
      <c r="I26037" s="4" t="str">
        <v/>
      </c>
    </row>
    <row r="26038" spans="5:9" ht="16.5" hidden="1">
      <c r="E26038" s="4" t="str">
        <v/>
      </c>
      <c r="F26038" s="102" t="str">
        <f ca="1">IFERROR(__xludf.DUMMYFUNCTION("IMPORTRANGE(H26038,""IDENTITAS UNIT!D9"")"),"#N/A")</f>
        <v>#N/A</v>
      </c>
      <c r="H26038" s="4" t="str">
        <v/>
      </c>
      <c r="I26038" s="4" t="str">
        <v/>
      </c>
    </row>
    <row r="26039" spans="5:9" ht="16.5" hidden="1">
      <c r="E26039" s="4" t="str">
        <v/>
      </c>
      <c r="F26039" s="102" t="str">
        <f ca="1">IFERROR(__xludf.DUMMYFUNCTION("IMPORTRANGE(H26039,""IDENTITAS UNIT!D9"")"),"#N/A")</f>
        <v>#N/A</v>
      </c>
      <c r="H26039" s="4" t="str">
        <v/>
      </c>
      <c r="I26039" s="4" t="str">
        <v/>
      </c>
    </row>
    <row r="26040" spans="5:9" ht="16.5" hidden="1">
      <c r="E26040" s="4" t="str">
        <v/>
      </c>
      <c r="F26040" s="102" t="str">
        <f ca="1">IFERROR(__xludf.DUMMYFUNCTION("IMPORTRANGE(H26040,""IDENTITAS UNIT!D9"")"),"#N/A")</f>
        <v>#N/A</v>
      </c>
      <c r="H26040" s="4" t="str">
        <v/>
      </c>
      <c r="I26040" s="4" t="str">
        <v/>
      </c>
    </row>
    <row r="26041" spans="5:9" ht="16.5" hidden="1">
      <c r="E26041" s="4" t="str">
        <v/>
      </c>
      <c r="F26041" s="102" t="str">
        <f ca="1">IFERROR(__xludf.DUMMYFUNCTION("IMPORTRANGE(H26041,""IDENTITAS UNIT!D9"")"),"#N/A")</f>
        <v>#N/A</v>
      </c>
      <c r="H26041" s="4" t="str">
        <v/>
      </c>
      <c r="I26041" s="4" t="str">
        <v/>
      </c>
    </row>
    <row r="26042" spans="5:9" ht="16.5" hidden="1">
      <c r="E26042" s="4" t="str">
        <v/>
      </c>
      <c r="F26042" s="102" t="str">
        <f ca="1">IFERROR(__xludf.DUMMYFUNCTION("IMPORTRANGE(H26042,""IDENTITAS UNIT!D9"")"),"#N/A")</f>
        <v>#N/A</v>
      </c>
      <c r="H26042" s="4" t="str">
        <v/>
      </c>
      <c r="I26042" s="4" t="str">
        <v/>
      </c>
    </row>
    <row r="26043" spans="5:9" ht="16.5" hidden="1">
      <c r="E26043" s="4" t="str">
        <v/>
      </c>
      <c r="F26043" s="102" t="str">
        <f ca="1">IFERROR(__xludf.DUMMYFUNCTION("IMPORTRANGE(H26043,""IDENTITAS UNIT!D9"")"),"#N/A")</f>
        <v>#N/A</v>
      </c>
      <c r="H26043" s="4" t="str">
        <v/>
      </c>
      <c r="I26043" s="4" t="str">
        <v/>
      </c>
    </row>
    <row r="26044" spans="5:9" ht="16.5" hidden="1">
      <c r="E26044" s="4" t="str">
        <v/>
      </c>
      <c r="F26044" s="102" t="str">
        <f ca="1">IFERROR(__xludf.DUMMYFUNCTION("IMPORTRANGE(H26044,""IDENTITAS UNIT!D9"")"),"#N/A")</f>
        <v>#N/A</v>
      </c>
      <c r="H26044" s="4" t="str">
        <v/>
      </c>
      <c r="I26044" s="4" t="str">
        <v/>
      </c>
    </row>
    <row r="26045" spans="5:9" ht="16.5" hidden="1">
      <c r="E26045" s="4" t="str">
        <v/>
      </c>
      <c r="F26045" s="102" t="str">
        <f ca="1">IFERROR(__xludf.DUMMYFUNCTION("IMPORTRANGE(H26045,""IDENTITAS UNIT!D9"")"),"#N/A")</f>
        <v>#N/A</v>
      </c>
      <c r="H26045" s="4" t="str">
        <v/>
      </c>
      <c r="I26045" s="4" t="str">
        <v/>
      </c>
    </row>
    <row r="26046" spans="5:9" ht="16.5" hidden="1">
      <c r="E26046" s="4" t="str">
        <v/>
      </c>
      <c r="F26046" s="102" t="str">
        <f ca="1">IFERROR(__xludf.DUMMYFUNCTION("IMPORTRANGE(H26046,""IDENTITAS UNIT!D9"")"),"#N/A")</f>
        <v>#N/A</v>
      </c>
      <c r="H26046" s="4" t="str">
        <v/>
      </c>
      <c r="I26046" s="4" t="str">
        <v/>
      </c>
    </row>
    <row r="26047" spans="5:9" ht="16.5" hidden="1">
      <c r="E26047" s="4" t="str">
        <v/>
      </c>
      <c r="F26047" s="102" t="str">
        <f ca="1">IFERROR(__xludf.DUMMYFUNCTION("IMPORTRANGE(H26047,""IDENTITAS UNIT!D9"")"),"#N/A")</f>
        <v>#N/A</v>
      </c>
      <c r="H26047" s="4" t="str">
        <v/>
      </c>
      <c r="I26047" s="4" t="str">
        <v/>
      </c>
    </row>
    <row r="26048" spans="5:9" ht="16.5" hidden="1">
      <c r="E26048" s="4" t="str">
        <v/>
      </c>
      <c r="F26048" s="102" t="str">
        <f ca="1">IFERROR(__xludf.DUMMYFUNCTION("IMPORTRANGE(H26048,""IDENTITAS UNIT!D9"")"),"#N/A")</f>
        <v>#N/A</v>
      </c>
      <c r="H26048" s="4" t="str">
        <v/>
      </c>
      <c r="I26048" s="4" t="str">
        <v/>
      </c>
    </row>
    <row r="26049" spans="5:9" ht="16.5" hidden="1">
      <c r="E26049" s="4" t="str">
        <v/>
      </c>
      <c r="F26049" s="102" t="str">
        <f ca="1">IFERROR(__xludf.DUMMYFUNCTION("IMPORTRANGE(H26049,""IDENTITAS UNIT!D9"")"),"#N/A")</f>
        <v>#N/A</v>
      </c>
      <c r="H26049" s="4" t="str">
        <v/>
      </c>
      <c r="I26049" s="4" t="str">
        <v/>
      </c>
    </row>
    <row r="26050" spans="5:9" ht="16.5" hidden="1">
      <c r="E26050" s="4" t="str">
        <v/>
      </c>
      <c r="F26050" s="102" t="str">
        <f ca="1">IFERROR(__xludf.DUMMYFUNCTION("IMPORTRANGE(H26050,""IDENTITAS UNIT!D9"")"),"#N/A")</f>
        <v>#N/A</v>
      </c>
      <c r="H26050" s="4" t="str">
        <v/>
      </c>
      <c r="I26050" s="4" t="str">
        <v/>
      </c>
    </row>
    <row r="26051" spans="5:9" ht="16.5" hidden="1">
      <c r="E26051" s="4" t="str">
        <v/>
      </c>
      <c r="F26051" s="102" t="str">
        <f ca="1">IFERROR(__xludf.DUMMYFUNCTION("IMPORTRANGE(H26051,""IDENTITAS UNIT!D9"")"),"#N/A")</f>
        <v>#N/A</v>
      </c>
      <c r="H26051" s="4" t="str">
        <v/>
      </c>
      <c r="I26051" s="4" t="str">
        <v/>
      </c>
    </row>
    <row r="26052" spans="5:9" ht="16.5" hidden="1">
      <c r="E26052" s="4" t="str">
        <v/>
      </c>
      <c r="F26052" s="102" t="str">
        <f ca="1">IFERROR(__xludf.DUMMYFUNCTION("IMPORTRANGE(H26052,""IDENTITAS UNIT!D9"")"),"#N/A")</f>
        <v>#N/A</v>
      </c>
      <c r="H26052" s="4" t="str">
        <v/>
      </c>
      <c r="I26052" s="4" t="str">
        <v/>
      </c>
    </row>
    <row r="26053" spans="5:9" ht="16.5" hidden="1">
      <c r="E26053" s="4" t="str">
        <v/>
      </c>
      <c r="F26053" s="102" t="str">
        <f ca="1">IFERROR(__xludf.DUMMYFUNCTION("IMPORTRANGE(H26053,""IDENTITAS UNIT!D9"")"),"#N/A")</f>
        <v>#N/A</v>
      </c>
      <c r="H26053" s="4" t="str">
        <v/>
      </c>
      <c r="I26053" s="4" t="str">
        <v/>
      </c>
    </row>
    <row r="26054" spans="5:9" ht="16.5" hidden="1">
      <c r="E26054" s="4" t="str">
        <v/>
      </c>
      <c r="F26054" s="102" t="str">
        <f ca="1">IFERROR(__xludf.DUMMYFUNCTION("IMPORTRANGE(H26054,""IDENTITAS UNIT!D9"")"),"#N/A")</f>
        <v>#N/A</v>
      </c>
      <c r="H26054" s="4" t="str">
        <v/>
      </c>
      <c r="I26054" s="4" t="str">
        <v/>
      </c>
    </row>
    <row r="26055" spans="5:9" ht="16.5" hidden="1">
      <c r="E26055" s="4" t="str">
        <v/>
      </c>
      <c r="F26055" s="102" t="str">
        <f ca="1">IFERROR(__xludf.DUMMYFUNCTION("IMPORTRANGE(H26055,""IDENTITAS UNIT!D9"")"),"#N/A")</f>
        <v>#N/A</v>
      </c>
      <c r="H26055" s="4" t="str">
        <v/>
      </c>
      <c r="I26055" s="4" t="str">
        <v/>
      </c>
    </row>
    <row r="26056" spans="5:9" ht="16.5" hidden="1">
      <c r="E26056" s="4" t="str">
        <v/>
      </c>
      <c r="F26056" s="102" t="str">
        <f ca="1">IFERROR(__xludf.DUMMYFUNCTION("IMPORTRANGE(H26056,""IDENTITAS UNIT!D9"")"),"#N/A")</f>
        <v>#N/A</v>
      </c>
      <c r="H26056" s="4" t="str">
        <v/>
      </c>
      <c r="I26056" s="4" t="str">
        <v/>
      </c>
    </row>
    <row r="26057" spans="5:9" ht="16.5" hidden="1">
      <c r="E26057" s="4" t="str">
        <v/>
      </c>
      <c r="F26057" s="102" t="str">
        <f ca="1">IFERROR(__xludf.DUMMYFUNCTION("IMPORTRANGE(H26057,""IDENTITAS UNIT!D9"")"),"#N/A")</f>
        <v>#N/A</v>
      </c>
      <c r="H26057" s="4" t="str">
        <v/>
      </c>
      <c r="I26057" s="4" t="str">
        <v/>
      </c>
    </row>
    <row r="26058" spans="5:9" ht="16.5" hidden="1">
      <c r="E26058" s="4" t="str">
        <v/>
      </c>
      <c r="F26058" s="102" t="str">
        <f ca="1">IFERROR(__xludf.DUMMYFUNCTION("IMPORTRANGE(H26058,""IDENTITAS UNIT!D9"")"),"#N/A")</f>
        <v>#N/A</v>
      </c>
      <c r="H26058" s="4" t="str">
        <v/>
      </c>
      <c r="I26058" s="4" t="str">
        <v/>
      </c>
    </row>
    <row r="26059" spans="5:9" ht="16.5" hidden="1">
      <c r="E26059" s="4" t="str">
        <v/>
      </c>
      <c r="F26059" s="102" t="str">
        <f ca="1">IFERROR(__xludf.DUMMYFUNCTION("IMPORTRANGE(H26059,""IDENTITAS UNIT!D9"")"),"#N/A")</f>
        <v>#N/A</v>
      </c>
      <c r="H26059" s="4" t="str">
        <v/>
      </c>
      <c r="I26059" s="4" t="str">
        <v/>
      </c>
    </row>
    <row r="26060" spans="5:9" ht="16.5" hidden="1">
      <c r="E26060" s="4" t="str">
        <v/>
      </c>
      <c r="F26060" s="102" t="str">
        <f ca="1">IFERROR(__xludf.DUMMYFUNCTION("IMPORTRANGE(H26060,""IDENTITAS UNIT!D9"")"),"#N/A")</f>
        <v>#N/A</v>
      </c>
      <c r="H26060" s="4" t="str">
        <v/>
      </c>
      <c r="I26060" s="4" t="str">
        <v/>
      </c>
    </row>
    <row r="26061" spans="5:9" ht="16.5" hidden="1">
      <c r="E26061" s="4" t="str">
        <v/>
      </c>
      <c r="F26061" s="102" t="str">
        <f ca="1">IFERROR(__xludf.DUMMYFUNCTION("IMPORTRANGE(H26061,""IDENTITAS UNIT!D9"")"),"#N/A")</f>
        <v>#N/A</v>
      </c>
      <c r="H26061" s="4" t="str">
        <v/>
      </c>
      <c r="I26061" s="4" t="str">
        <v/>
      </c>
    </row>
    <row r="26062" spans="5:9" ht="16.5" hidden="1">
      <c r="E26062" s="4" t="str">
        <v/>
      </c>
      <c r="F26062" s="102" t="str">
        <f ca="1">IFERROR(__xludf.DUMMYFUNCTION("IMPORTRANGE(H26062,""IDENTITAS UNIT!D9"")"),"#N/A")</f>
        <v>#N/A</v>
      </c>
      <c r="H26062" s="4" t="str">
        <v/>
      </c>
      <c r="I26062" s="4" t="str">
        <v/>
      </c>
    </row>
    <row r="26063" spans="5:9" ht="16.5" hidden="1">
      <c r="E26063" s="4" t="str">
        <v/>
      </c>
      <c r="F26063" s="102" t="str">
        <f ca="1">IFERROR(__xludf.DUMMYFUNCTION("IMPORTRANGE(H26063,""IDENTITAS UNIT!D9"")"),"#N/A")</f>
        <v>#N/A</v>
      </c>
      <c r="H26063" s="4" t="str">
        <v/>
      </c>
      <c r="I26063" s="4" t="str">
        <v/>
      </c>
    </row>
    <row r="26064" spans="5:9" ht="16.5" hidden="1">
      <c r="E26064" s="4" t="str">
        <v/>
      </c>
      <c r="F26064" s="102" t="str">
        <f ca="1">IFERROR(__xludf.DUMMYFUNCTION("IMPORTRANGE(H26064,""IDENTITAS UNIT!D9"")"),"#N/A")</f>
        <v>#N/A</v>
      </c>
      <c r="H26064" s="4" t="str">
        <v/>
      </c>
      <c r="I26064" s="4" t="str">
        <v/>
      </c>
    </row>
    <row r="26065" spans="5:9" ht="16.5" hidden="1">
      <c r="E26065" s="4" t="str">
        <v/>
      </c>
      <c r="F26065" s="102" t="str">
        <f ca="1">IFERROR(__xludf.DUMMYFUNCTION("IMPORTRANGE(H26065,""IDENTITAS UNIT!D9"")"),"#N/A")</f>
        <v>#N/A</v>
      </c>
      <c r="H26065" s="4" t="str">
        <v/>
      </c>
      <c r="I26065" s="4" t="str">
        <v/>
      </c>
    </row>
    <row r="26066" spans="5:9" ht="16.5" hidden="1">
      <c r="E26066" s="4" t="str">
        <v/>
      </c>
      <c r="F26066" s="102" t="str">
        <f ca="1">IFERROR(__xludf.DUMMYFUNCTION("IMPORTRANGE(H26066,""IDENTITAS UNIT!D9"")"),"#N/A")</f>
        <v>#N/A</v>
      </c>
      <c r="H26066" s="4" t="str">
        <v/>
      </c>
      <c r="I26066" s="4" t="str">
        <v/>
      </c>
    </row>
    <row r="26067" spans="5:9" ht="16.5" hidden="1">
      <c r="E26067" s="4" t="str">
        <v/>
      </c>
      <c r="F26067" s="102" t="str">
        <f ca="1">IFERROR(__xludf.DUMMYFUNCTION("IMPORTRANGE(H26067,""IDENTITAS UNIT!D9"")"),"#N/A")</f>
        <v>#N/A</v>
      </c>
      <c r="H26067" s="4" t="str">
        <v/>
      </c>
      <c r="I26067" s="4" t="str">
        <v/>
      </c>
    </row>
    <row r="26068" spans="5:9" ht="16.5" hidden="1">
      <c r="E26068" s="4" t="str">
        <v/>
      </c>
      <c r="F26068" s="102" t="str">
        <f ca="1">IFERROR(__xludf.DUMMYFUNCTION("IMPORTRANGE(H26068,""IDENTITAS UNIT!D9"")"),"#N/A")</f>
        <v>#N/A</v>
      </c>
      <c r="H26068" s="4" t="str">
        <v/>
      </c>
      <c r="I26068" s="4" t="str">
        <v/>
      </c>
    </row>
    <row r="26069" spans="5:9" ht="16.5" hidden="1">
      <c r="E26069" s="4" t="str">
        <v/>
      </c>
      <c r="F26069" s="102" t="str">
        <f ca="1">IFERROR(__xludf.DUMMYFUNCTION("IMPORTRANGE(H26069,""IDENTITAS UNIT!D9"")"),"#N/A")</f>
        <v>#N/A</v>
      </c>
      <c r="H26069" s="4" t="str">
        <v/>
      </c>
      <c r="I26069" s="4" t="str">
        <v/>
      </c>
    </row>
    <row r="26070" spans="5:9" ht="16.5" hidden="1">
      <c r="E26070" s="4" t="str">
        <v/>
      </c>
      <c r="F26070" s="102" t="str">
        <f ca="1">IFERROR(__xludf.DUMMYFUNCTION("IMPORTRANGE(H26070,""IDENTITAS UNIT!D9"")"),"#N/A")</f>
        <v>#N/A</v>
      </c>
      <c r="H26070" s="4" t="str">
        <v/>
      </c>
      <c r="I26070" s="4" t="str">
        <v/>
      </c>
    </row>
    <row r="26071" spans="5:9" ht="16.5" hidden="1">
      <c r="E26071" s="4" t="str">
        <v/>
      </c>
      <c r="F26071" s="102" t="str">
        <f ca="1">IFERROR(__xludf.DUMMYFUNCTION("IMPORTRANGE(H26071,""IDENTITAS UNIT!D9"")"),"#N/A")</f>
        <v>#N/A</v>
      </c>
      <c r="H26071" s="4" t="str">
        <v/>
      </c>
      <c r="I26071" s="4" t="str">
        <v/>
      </c>
    </row>
    <row r="26072" spans="5:9" ht="16.5" hidden="1">
      <c r="E26072" s="4" t="str">
        <v/>
      </c>
      <c r="F26072" s="102" t="str">
        <f ca="1">IFERROR(__xludf.DUMMYFUNCTION("IMPORTRANGE(H26072,""IDENTITAS UNIT!D9"")"),"#N/A")</f>
        <v>#N/A</v>
      </c>
      <c r="H26072" s="4" t="str">
        <v/>
      </c>
      <c r="I26072" s="4" t="str">
        <v/>
      </c>
    </row>
    <row r="26073" spans="5:9" ht="16.5" hidden="1">
      <c r="E26073" s="4" t="str">
        <v/>
      </c>
      <c r="F26073" s="102" t="str">
        <f ca="1">IFERROR(__xludf.DUMMYFUNCTION("IMPORTRANGE(H26073,""IDENTITAS UNIT!D9"")"),"#N/A")</f>
        <v>#N/A</v>
      </c>
      <c r="H26073" s="4" t="str">
        <v/>
      </c>
      <c r="I26073" s="4" t="str">
        <v/>
      </c>
    </row>
    <row r="26074" spans="5:9" ht="16.5" hidden="1">
      <c r="E26074" s="4" t="str">
        <v/>
      </c>
      <c r="F26074" s="102" t="str">
        <f ca="1">IFERROR(__xludf.DUMMYFUNCTION("IMPORTRANGE(H26074,""IDENTITAS UNIT!D9"")"),"#N/A")</f>
        <v>#N/A</v>
      </c>
      <c r="H26074" s="4" t="str">
        <v/>
      </c>
      <c r="I26074" s="4" t="str">
        <v/>
      </c>
    </row>
    <row r="26075" spans="5:9" ht="16.5" hidden="1">
      <c r="E26075" s="4" t="str">
        <v/>
      </c>
      <c r="F26075" s="102" t="str">
        <f ca="1">IFERROR(__xludf.DUMMYFUNCTION("IMPORTRANGE(H26075,""IDENTITAS UNIT!D9"")"),"#N/A")</f>
        <v>#N/A</v>
      </c>
      <c r="H26075" s="4" t="str">
        <v/>
      </c>
      <c r="I26075" s="4" t="str">
        <v/>
      </c>
    </row>
    <row r="26076" spans="5:9" ht="16.5" hidden="1">
      <c r="E26076" s="4" t="str">
        <v/>
      </c>
      <c r="F26076" s="102" t="str">
        <f ca="1">IFERROR(__xludf.DUMMYFUNCTION("IMPORTRANGE(H26076,""IDENTITAS UNIT!D9"")"),"#N/A")</f>
        <v>#N/A</v>
      </c>
      <c r="H26076" s="4" t="str">
        <v/>
      </c>
      <c r="I26076" s="4" t="str">
        <v/>
      </c>
    </row>
    <row r="26077" spans="5:9" ht="16.5" hidden="1">
      <c r="E26077" s="4" t="str">
        <v/>
      </c>
      <c r="F26077" s="102" t="str">
        <f ca="1">IFERROR(__xludf.DUMMYFUNCTION("IMPORTRANGE(H26077,""IDENTITAS UNIT!D9"")"),"#N/A")</f>
        <v>#N/A</v>
      </c>
      <c r="H26077" s="4" t="str">
        <v/>
      </c>
      <c r="I26077" s="4" t="str">
        <v/>
      </c>
    </row>
    <row r="26078" spans="5:9" ht="16.5" hidden="1">
      <c r="E26078" s="4" t="str">
        <v/>
      </c>
      <c r="F26078" s="102" t="str">
        <f ca="1">IFERROR(__xludf.DUMMYFUNCTION("IMPORTRANGE(H26078,""IDENTITAS UNIT!D9"")"),"#N/A")</f>
        <v>#N/A</v>
      </c>
      <c r="H26078" s="4" t="str">
        <v/>
      </c>
      <c r="I26078" s="4" t="str">
        <v/>
      </c>
    </row>
    <row r="26079" spans="5:9" ht="16.5" hidden="1">
      <c r="E26079" s="4" t="str">
        <v/>
      </c>
      <c r="F26079" s="102" t="str">
        <f ca="1">IFERROR(__xludf.DUMMYFUNCTION("IMPORTRANGE(H26079,""IDENTITAS UNIT!D9"")"),"#N/A")</f>
        <v>#N/A</v>
      </c>
      <c r="H26079" s="4" t="str">
        <v/>
      </c>
      <c r="I26079" s="4" t="str">
        <v/>
      </c>
    </row>
    <row r="26080" spans="5:9" ht="16.5" hidden="1">
      <c r="E26080" s="4" t="str">
        <v/>
      </c>
      <c r="F26080" s="102" t="str">
        <f ca="1">IFERROR(__xludf.DUMMYFUNCTION("IMPORTRANGE(H26080,""IDENTITAS UNIT!D9"")"),"#N/A")</f>
        <v>#N/A</v>
      </c>
      <c r="H26080" s="4" t="str">
        <v/>
      </c>
      <c r="I26080" s="4" t="str">
        <v/>
      </c>
    </row>
    <row r="26081" spans="5:9" ht="16.5" hidden="1">
      <c r="E26081" s="4" t="str">
        <v/>
      </c>
      <c r="F26081" s="102" t="str">
        <f ca="1">IFERROR(__xludf.DUMMYFUNCTION("IMPORTRANGE(H26081,""IDENTITAS UNIT!D9"")"),"#N/A")</f>
        <v>#N/A</v>
      </c>
      <c r="H26081" s="4" t="str">
        <v/>
      </c>
      <c r="I26081" s="4" t="str">
        <v/>
      </c>
    </row>
    <row r="26082" spans="5:9" ht="16.5" hidden="1">
      <c r="E26082" s="4" t="str">
        <v/>
      </c>
      <c r="F26082" s="102" t="str">
        <f ca="1">IFERROR(__xludf.DUMMYFUNCTION("IMPORTRANGE(H26082,""IDENTITAS UNIT!D9"")"),"#N/A")</f>
        <v>#N/A</v>
      </c>
      <c r="H26082" s="4" t="str">
        <v/>
      </c>
      <c r="I26082" s="4" t="str">
        <v/>
      </c>
    </row>
    <row r="26083" spans="5:9" ht="16.5" hidden="1">
      <c r="E26083" s="4" t="str">
        <v/>
      </c>
      <c r="F26083" s="102" t="str">
        <f ca="1">IFERROR(__xludf.DUMMYFUNCTION("IMPORTRANGE(H26083,""IDENTITAS UNIT!D9"")"),"#N/A")</f>
        <v>#N/A</v>
      </c>
      <c r="H26083" s="4" t="str">
        <v/>
      </c>
      <c r="I26083" s="4" t="str">
        <v/>
      </c>
    </row>
    <row r="26084" spans="5:9" ht="16.5" hidden="1">
      <c r="E26084" s="4" t="str">
        <v/>
      </c>
      <c r="F26084" s="102" t="str">
        <f ca="1">IFERROR(__xludf.DUMMYFUNCTION("IMPORTRANGE(H26084,""IDENTITAS UNIT!D9"")"),"#N/A")</f>
        <v>#N/A</v>
      </c>
      <c r="H26084" s="4" t="str">
        <v/>
      </c>
      <c r="I26084" s="4" t="str">
        <v/>
      </c>
    </row>
    <row r="26085" spans="5:9" ht="16.5" hidden="1">
      <c r="E26085" s="4" t="str">
        <v/>
      </c>
      <c r="F26085" s="102" t="str">
        <f ca="1">IFERROR(__xludf.DUMMYFUNCTION("IMPORTRANGE(H26085,""IDENTITAS UNIT!D9"")"),"#N/A")</f>
        <v>#N/A</v>
      </c>
      <c r="H26085" s="4" t="str">
        <v/>
      </c>
      <c r="I26085" s="4" t="str">
        <v/>
      </c>
    </row>
    <row r="26086" spans="5:9" ht="16.5" hidden="1">
      <c r="E26086" s="4" t="str">
        <v/>
      </c>
      <c r="F26086" s="102" t="str">
        <f ca="1">IFERROR(__xludf.DUMMYFUNCTION("IMPORTRANGE(H26086,""IDENTITAS UNIT!D9"")"),"#N/A")</f>
        <v>#N/A</v>
      </c>
      <c r="H26086" s="4" t="str">
        <v/>
      </c>
      <c r="I26086" s="4" t="str">
        <v/>
      </c>
    </row>
    <row r="26087" spans="5:9" ht="16.5" hidden="1">
      <c r="E26087" s="4" t="str">
        <v/>
      </c>
      <c r="F26087" s="102" t="str">
        <f ca="1">IFERROR(__xludf.DUMMYFUNCTION("IMPORTRANGE(H26087,""IDENTITAS UNIT!D9"")"),"#N/A")</f>
        <v>#N/A</v>
      </c>
      <c r="H26087" s="4" t="str">
        <v/>
      </c>
      <c r="I26087" s="4" t="str">
        <v/>
      </c>
    </row>
    <row r="26088" spans="5:9" ht="16.5" hidden="1">
      <c r="E26088" s="4" t="str">
        <v/>
      </c>
      <c r="F26088" s="102" t="str">
        <f ca="1">IFERROR(__xludf.DUMMYFUNCTION("IMPORTRANGE(H26088,""IDENTITAS UNIT!D9"")"),"#N/A")</f>
        <v>#N/A</v>
      </c>
      <c r="H26088" s="4" t="str">
        <v/>
      </c>
      <c r="I26088" s="4" t="str">
        <v/>
      </c>
    </row>
    <row r="26089" spans="5:9" ht="16.5" hidden="1">
      <c r="E26089" s="4" t="str">
        <v/>
      </c>
      <c r="F26089" s="102" t="str">
        <f ca="1">IFERROR(__xludf.DUMMYFUNCTION("IMPORTRANGE(H26089,""IDENTITAS UNIT!D9"")"),"#N/A")</f>
        <v>#N/A</v>
      </c>
      <c r="H26089" s="4" t="str">
        <v/>
      </c>
      <c r="I26089" s="4" t="str">
        <v/>
      </c>
    </row>
    <row r="26090" spans="5:9" ht="16.5" hidden="1">
      <c r="E26090" s="4" t="str">
        <v/>
      </c>
      <c r="F26090" s="102" t="str">
        <f ca="1">IFERROR(__xludf.DUMMYFUNCTION("IMPORTRANGE(H26090,""IDENTITAS UNIT!D9"")"),"#N/A")</f>
        <v>#N/A</v>
      </c>
      <c r="H26090" s="4" t="str">
        <v/>
      </c>
      <c r="I26090" s="4" t="str">
        <v/>
      </c>
    </row>
    <row r="26091" spans="5:9" ht="16.5" hidden="1">
      <c r="E26091" s="4" t="str">
        <v/>
      </c>
      <c r="F26091" s="102" t="str">
        <f ca="1">IFERROR(__xludf.DUMMYFUNCTION("IMPORTRANGE(H26091,""IDENTITAS UNIT!D9"")"),"#N/A")</f>
        <v>#N/A</v>
      </c>
      <c r="H26091" s="4" t="str">
        <v/>
      </c>
      <c r="I26091" s="4" t="str">
        <v/>
      </c>
    </row>
    <row r="26092" spans="5:9" ht="16.5" hidden="1">
      <c r="E26092" s="4" t="str">
        <v/>
      </c>
      <c r="F26092" s="102" t="str">
        <f ca="1">IFERROR(__xludf.DUMMYFUNCTION("IMPORTRANGE(H26092,""IDENTITAS UNIT!D9"")"),"#N/A")</f>
        <v>#N/A</v>
      </c>
      <c r="H26092" s="4" t="str">
        <v/>
      </c>
      <c r="I26092" s="4" t="str">
        <v/>
      </c>
    </row>
    <row r="26093" spans="5:9" ht="16.5" hidden="1">
      <c r="E26093" s="4" t="str">
        <v/>
      </c>
      <c r="F26093" s="102" t="str">
        <f ca="1">IFERROR(__xludf.DUMMYFUNCTION("IMPORTRANGE(H26093,""IDENTITAS UNIT!D9"")"),"#N/A")</f>
        <v>#N/A</v>
      </c>
      <c r="H26093" s="4" t="str">
        <v/>
      </c>
      <c r="I26093" s="4" t="str">
        <v/>
      </c>
    </row>
    <row r="26094" spans="5:9" ht="16.5" hidden="1">
      <c r="E26094" s="4" t="str">
        <v/>
      </c>
      <c r="F26094" s="102" t="str">
        <f ca="1">IFERROR(__xludf.DUMMYFUNCTION("IMPORTRANGE(H26094,""IDENTITAS UNIT!D9"")"),"#N/A")</f>
        <v>#N/A</v>
      </c>
      <c r="H26094" s="4" t="str">
        <v/>
      </c>
      <c r="I26094" s="4" t="str">
        <v/>
      </c>
    </row>
    <row r="26095" spans="5:9" ht="16.5" hidden="1">
      <c r="E26095" s="4" t="str">
        <v/>
      </c>
      <c r="F26095" s="102" t="str">
        <f ca="1">IFERROR(__xludf.DUMMYFUNCTION("IMPORTRANGE(H26095,""IDENTITAS UNIT!D9"")"),"#N/A")</f>
        <v>#N/A</v>
      </c>
      <c r="H26095" s="4" t="str">
        <v/>
      </c>
      <c r="I26095" s="4" t="str">
        <v/>
      </c>
    </row>
    <row r="26096" spans="5:9" ht="16.5" hidden="1">
      <c r="E26096" s="4" t="str">
        <v/>
      </c>
      <c r="F26096" s="102" t="str">
        <f ca="1">IFERROR(__xludf.DUMMYFUNCTION("IMPORTRANGE(H26096,""IDENTITAS UNIT!D9"")"),"#N/A")</f>
        <v>#N/A</v>
      </c>
      <c r="H26096" s="4" t="str">
        <v/>
      </c>
      <c r="I26096" s="4" t="str">
        <v/>
      </c>
    </row>
    <row r="26097" spans="5:9" ht="16.5" hidden="1">
      <c r="E26097" s="4" t="str">
        <v/>
      </c>
      <c r="F26097" s="102" t="str">
        <f ca="1">IFERROR(__xludf.DUMMYFUNCTION("IMPORTRANGE(H26097,""IDENTITAS UNIT!D9"")"),"#N/A")</f>
        <v>#N/A</v>
      </c>
      <c r="H26097" s="4" t="str">
        <v/>
      </c>
      <c r="I26097" s="4" t="str">
        <v/>
      </c>
    </row>
    <row r="26098" spans="5:9" ht="16.5" hidden="1">
      <c r="E26098" s="4" t="str">
        <v/>
      </c>
      <c r="F26098" s="102" t="str">
        <f ca="1">IFERROR(__xludf.DUMMYFUNCTION("IMPORTRANGE(H26098,""IDENTITAS UNIT!D9"")"),"#N/A")</f>
        <v>#N/A</v>
      </c>
      <c r="H26098" s="4" t="str">
        <v/>
      </c>
      <c r="I26098" s="4" t="str">
        <v/>
      </c>
    </row>
    <row r="26099" spans="5:9" ht="16.5" hidden="1">
      <c r="E26099" s="4" t="str">
        <v/>
      </c>
      <c r="F26099" s="102" t="str">
        <f ca="1">IFERROR(__xludf.DUMMYFUNCTION("IMPORTRANGE(H26099,""IDENTITAS UNIT!D9"")"),"#N/A")</f>
        <v>#N/A</v>
      </c>
      <c r="H26099" s="4" t="str">
        <v/>
      </c>
      <c r="I26099" s="4" t="str">
        <v/>
      </c>
    </row>
    <row r="26100" spans="5:9" ht="16.5" hidden="1">
      <c r="E26100" s="4" t="str">
        <v/>
      </c>
      <c r="F26100" s="102" t="str">
        <f ca="1">IFERROR(__xludf.DUMMYFUNCTION("IMPORTRANGE(H26100,""IDENTITAS UNIT!D9"")"),"#N/A")</f>
        <v>#N/A</v>
      </c>
      <c r="H26100" s="4" t="str">
        <v/>
      </c>
      <c r="I26100" s="4" t="str">
        <v/>
      </c>
    </row>
    <row r="26101" spans="5:9" ht="16.5" hidden="1">
      <c r="E26101" s="4" t="str">
        <v/>
      </c>
      <c r="F26101" s="102" t="str">
        <f ca="1">IFERROR(__xludf.DUMMYFUNCTION("IMPORTRANGE(H26101,""IDENTITAS UNIT!D9"")"),"#N/A")</f>
        <v>#N/A</v>
      </c>
      <c r="H26101" s="4" t="str">
        <v/>
      </c>
      <c r="I26101" s="4" t="str">
        <v/>
      </c>
    </row>
    <row r="26102" spans="5:9" ht="16.5" hidden="1">
      <c r="E26102" s="4" t="str">
        <v/>
      </c>
      <c r="F26102" s="102" t="str">
        <f ca="1">IFERROR(__xludf.DUMMYFUNCTION("IMPORTRANGE(H26102,""IDENTITAS UNIT!D9"")"),"#N/A")</f>
        <v>#N/A</v>
      </c>
      <c r="H26102" s="4" t="str">
        <v/>
      </c>
      <c r="I26102" s="4" t="str">
        <v/>
      </c>
    </row>
    <row r="26103" spans="5:9" ht="16.5" hidden="1">
      <c r="E26103" s="4" t="str">
        <v/>
      </c>
      <c r="F26103" s="102" t="str">
        <f ca="1">IFERROR(__xludf.DUMMYFUNCTION("IMPORTRANGE(H26103,""IDENTITAS UNIT!D9"")"),"#N/A")</f>
        <v>#N/A</v>
      </c>
      <c r="H26103" s="4" t="str">
        <v/>
      </c>
      <c r="I26103" s="4" t="str">
        <v/>
      </c>
    </row>
    <row r="26104" spans="5:9" ht="16.5" hidden="1">
      <c r="E26104" s="4" t="str">
        <v/>
      </c>
      <c r="F26104" s="102" t="str">
        <f ca="1">IFERROR(__xludf.DUMMYFUNCTION("IMPORTRANGE(H26104,""IDENTITAS UNIT!D9"")"),"#N/A")</f>
        <v>#N/A</v>
      </c>
      <c r="H26104" s="4" t="str">
        <v/>
      </c>
      <c r="I26104" s="4" t="str">
        <v/>
      </c>
    </row>
    <row r="26105" spans="5:9" ht="16.5" hidden="1">
      <c r="E26105" s="4" t="str">
        <v/>
      </c>
      <c r="F26105" s="102" t="str">
        <f ca="1">IFERROR(__xludf.DUMMYFUNCTION("IMPORTRANGE(H26105,""IDENTITAS UNIT!D9"")"),"#N/A")</f>
        <v>#N/A</v>
      </c>
      <c r="H26105" s="4" t="str">
        <v/>
      </c>
      <c r="I26105" s="4" t="str">
        <v/>
      </c>
    </row>
    <row r="26106" spans="5:9" ht="16.5" hidden="1">
      <c r="E26106" s="4" t="str">
        <v/>
      </c>
      <c r="F26106" s="102" t="str">
        <f ca="1">IFERROR(__xludf.DUMMYFUNCTION("IMPORTRANGE(H26106,""IDENTITAS UNIT!D9"")"),"#N/A")</f>
        <v>#N/A</v>
      </c>
      <c r="H26106" s="4" t="str">
        <v/>
      </c>
      <c r="I26106" s="4" t="str">
        <v/>
      </c>
    </row>
    <row r="26107" spans="5:9" ht="16.5" hidden="1">
      <c r="E26107" s="4" t="str">
        <v/>
      </c>
      <c r="F26107" s="102" t="str">
        <f ca="1">IFERROR(__xludf.DUMMYFUNCTION("IMPORTRANGE(H26107,""IDENTITAS UNIT!D9"")"),"#N/A")</f>
        <v>#N/A</v>
      </c>
      <c r="H26107" s="4" t="str">
        <v/>
      </c>
      <c r="I26107" s="4" t="str">
        <v/>
      </c>
    </row>
    <row r="26108" spans="5:9" ht="16.5" hidden="1">
      <c r="E26108" s="4" t="str">
        <v/>
      </c>
      <c r="F26108" s="102" t="str">
        <f ca="1">IFERROR(__xludf.DUMMYFUNCTION("IMPORTRANGE(H26108,""IDENTITAS UNIT!D9"")"),"#N/A")</f>
        <v>#N/A</v>
      </c>
      <c r="H26108" s="4" t="str">
        <v/>
      </c>
      <c r="I26108" s="4" t="str">
        <v/>
      </c>
    </row>
    <row r="26109" spans="5:9" ht="16.5" hidden="1">
      <c r="E26109" s="4" t="str">
        <v/>
      </c>
      <c r="F26109" s="102" t="str">
        <f ca="1">IFERROR(__xludf.DUMMYFUNCTION("IMPORTRANGE(H26109,""IDENTITAS UNIT!D9"")"),"#N/A")</f>
        <v>#N/A</v>
      </c>
      <c r="H26109" s="4" t="str">
        <v/>
      </c>
      <c r="I26109" s="4" t="str">
        <v/>
      </c>
    </row>
    <row r="26110" spans="5:9" ht="16.5" hidden="1">
      <c r="E26110" s="4" t="str">
        <v/>
      </c>
      <c r="F26110" s="102" t="str">
        <f ca="1">IFERROR(__xludf.DUMMYFUNCTION("IMPORTRANGE(H26110,""IDENTITAS UNIT!D9"")"),"#N/A")</f>
        <v>#N/A</v>
      </c>
      <c r="H26110" s="4" t="str">
        <v/>
      </c>
      <c r="I26110" s="4" t="str">
        <v/>
      </c>
    </row>
    <row r="26111" spans="5:9" ht="16.5" hidden="1">
      <c r="E26111" s="4" t="str">
        <v/>
      </c>
      <c r="F26111" s="102" t="str">
        <f ca="1">IFERROR(__xludf.DUMMYFUNCTION("IMPORTRANGE(H26111,""IDENTITAS UNIT!D9"")"),"#N/A")</f>
        <v>#N/A</v>
      </c>
      <c r="H26111" s="4" t="str">
        <v/>
      </c>
      <c r="I26111" s="4" t="str">
        <v/>
      </c>
    </row>
    <row r="26112" spans="5:9" ht="16.5" hidden="1">
      <c r="E26112" s="4" t="str">
        <v/>
      </c>
      <c r="F26112" s="102" t="str">
        <f ca="1">IFERROR(__xludf.DUMMYFUNCTION("IMPORTRANGE(H26112,""IDENTITAS UNIT!D9"")"),"#N/A")</f>
        <v>#N/A</v>
      </c>
      <c r="H26112" s="4" t="str">
        <v/>
      </c>
      <c r="I26112" s="4" t="str">
        <v/>
      </c>
    </row>
    <row r="26113" spans="5:9" ht="16.5" hidden="1">
      <c r="E26113" s="4" t="str">
        <v/>
      </c>
      <c r="F26113" s="102" t="str">
        <f ca="1">IFERROR(__xludf.DUMMYFUNCTION("IMPORTRANGE(H26113,""IDENTITAS UNIT!D9"")"),"#N/A")</f>
        <v>#N/A</v>
      </c>
      <c r="H26113" s="4" t="str">
        <v/>
      </c>
      <c r="I26113" s="4" t="str">
        <v/>
      </c>
    </row>
    <row r="26114" spans="5:9" ht="16.5" hidden="1">
      <c r="E26114" s="4" t="str">
        <v/>
      </c>
      <c r="F26114" s="102" t="str">
        <f ca="1">IFERROR(__xludf.DUMMYFUNCTION("IMPORTRANGE(H26114,""IDENTITAS UNIT!D9"")"),"#N/A")</f>
        <v>#N/A</v>
      </c>
      <c r="H26114" s="4" t="str">
        <v/>
      </c>
      <c r="I26114" s="4" t="str">
        <v/>
      </c>
    </row>
    <row r="26115" spans="5:9" ht="16.5" hidden="1">
      <c r="E26115" s="4" t="str">
        <v/>
      </c>
      <c r="F26115" s="102" t="str">
        <f ca="1">IFERROR(__xludf.DUMMYFUNCTION("IMPORTRANGE(H26115,""IDENTITAS UNIT!D9"")"),"#N/A")</f>
        <v>#N/A</v>
      </c>
      <c r="H26115" s="4" t="str">
        <v/>
      </c>
      <c r="I26115" s="4" t="str">
        <v/>
      </c>
    </row>
    <row r="26116" spans="5:9" ht="16.5" hidden="1">
      <c r="E26116" s="4" t="str">
        <v/>
      </c>
      <c r="F26116" s="102" t="str">
        <f ca="1">IFERROR(__xludf.DUMMYFUNCTION("IMPORTRANGE(H26116,""IDENTITAS UNIT!D9"")"),"#N/A")</f>
        <v>#N/A</v>
      </c>
      <c r="H26116" s="4" t="str">
        <v/>
      </c>
      <c r="I26116" s="4" t="str">
        <v/>
      </c>
    </row>
    <row r="26117" spans="5:9" ht="16.5" hidden="1">
      <c r="E26117" s="4" t="str">
        <v/>
      </c>
      <c r="F26117" s="102" t="str">
        <f ca="1">IFERROR(__xludf.DUMMYFUNCTION("IMPORTRANGE(H26117,""IDENTITAS UNIT!D9"")"),"#N/A")</f>
        <v>#N/A</v>
      </c>
      <c r="H26117" s="4" t="str">
        <v/>
      </c>
      <c r="I26117" s="4" t="str">
        <v/>
      </c>
    </row>
    <row r="26118" spans="5:9" ht="16.5" hidden="1">
      <c r="E26118" s="4" t="str">
        <v/>
      </c>
      <c r="F26118" s="102" t="str">
        <f ca="1">IFERROR(__xludf.DUMMYFUNCTION("IMPORTRANGE(H26118,""IDENTITAS UNIT!D9"")"),"#N/A")</f>
        <v>#N/A</v>
      </c>
      <c r="H26118" s="4" t="str">
        <v/>
      </c>
      <c r="I26118" s="4" t="str">
        <v/>
      </c>
    </row>
    <row r="26119" spans="5:9" ht="16.5" hidden="1">
      <c r="E26119" s="4" t="str">
        <v/>
      </c>
      <c r="F26119" s="102" t="str">
        <f ca="1">IFERROR(__xludf.DUMMYFUNCTION("IMPORTRANGE(H26119,""IDENTITAS UNIT!D9"")"),"#N/A")</f>
        <v>#N/A</v>
      </c>
      <c r="H26119" s="4" t="str">
        <v/>
      </c>
      <c r="I26119" s="4" t="str">
        <v/>
      </c>
    </row>
    <row r="26120" spans="5:9" ht="16.5" hidden="1">
      <c r="E26120" s="4" t="str">
        <v/>
      </c>
      <c r="F26120" s="102" t="str">
        <f ca="1">IFERROR(__xludf.DUMMYFUNCTION("IMPORTRANGE(H26120,""IDENTITAS UNIT!D9"")"),"#N/A")</f>
        <v>#N/A</v>
      </c>
      <c r="H26120" s="4" t="str">
        <v/>
      </c>
      <c r="I26120" s="4" t="str">
        <v/>
      </c>
    </row>
    <row r="26121" spans="5:9" ht="16.5" hidden="1">
      <c r="E26121" s="4" t="str">
        <v/>
      </c>
      <c r="F26121" s="102" t="str">
        <f ca="1">IFERROR(__xludf.DUMMYFUNCTION("IMPORTRANGE(H26121,""IDENTITAS UNIT!D9"")"),"#N/A")</f>
        <v>#N/A</v>
      </c>
      <c r="H26121" s="4" t="str">
        <v/>
      </c>
      <c r="I26121" s="4" t="str">
        <v/>
      </c>
    </row>
    <row r="26122" spans="5:9" ht="16.5" hidden="1">
      <c r="E26122" s="4" t="str">
        <v/>
      </c>
      <c r="F26122" s="102" t="str">
        <f ca="1">IFERROR(__xludf.DUMMYFUNCTION("IMPORTRANGE(H26122,""IDENTITAS UNIT!D9"")"),"#N/A")</f>
        <v>#N/A</v>
      </c>
      <c r="H26122" s="4" t="str">
        <v/>
      </c>
      <c r="I26122" s="4" t="str">
        <v/>
      </c>
    </row>
    <row r="26123" spans="5:9" ht="16.5" hidden="1">
      <c r="E26123" s="4" t="str">
        <v/>
      </c>
      <c r="F26123" s="102" t="str">
        <f ca="1">IFERROR(__xludf.DUMMYFUNCTION("IMPORTRANGE(H26123,""IDENTITAS UNIT!D9"")"),"#N/A")</f>
        <v>#N/A</v>
      </c>
      <c r="H26123" s="4" t="str">
        <v/>
      </c>
      <c r="I26123" s="4" t="str">
        <v/>
      </c>
    </row>
    <row r="26124" spans="5:9" ht="16.5" hidden="1">
      <c r="E26124" s="4" t="str">
        <v/>
      </c>
      <c r="F26124" s="102" t="str">
        <f ca="1">IFERROR(__xludf.DUMMYFUNCTION("IMPORTRANGE(H26124,""IDENTITAS UNIT!D9"")"),"#N/A")</f>
        <v>#N/A</v>
      </c>
      <c r="H26124" s="4" t="str">
        <v/>
      </c>
      <c r="I26124" s="4" t="str">
        <v/>
      </c>
    </row>
    <row r="26125" spans="5:9" ht="16.5" hidden="1">
      <c r="E26125" s="4" t="str">
        <v/>
      </c>
      <c r="F26125" s="102" t="str">
        <f ca="1">IFERROR(__xludf.DUMMYFUNCTION("IMPORTRANGE(H26125,""IDENTITAS UNIT!D9"")"),"#N/A")</f>
        <v>#N/A</v>
      </c>
      <c r="H26125" s="4" t="str">
        <v/>
      </c>
      <c r="I26125" s="4" t="str">
        <v/>
      </c>
    </row>
    <row r="26126" spans="5:9" ht="16.5" hidden="1">
      <c r="E26126" s="4" t="str">
        <v/>
      </c>
      <c r="F26126" s="102" t="str">
        <f ca="1">IFERROR(__xludf.DUMMYFUNCTION("IMPORTRANGE(H26126,""IDENTITAS UNIT!D9"")"),"#N/A")</f>
        <v>#N/A</v>
      </c>
      <c r="H26126" s="4" t="str">
        <v/>
      </c>
      <c r="I26126" s="4" t="str">
        <v/>
      </c>
    </row>
    <row r="26127" spans="5:9" ht="16.5" hidden="1">
      <c r="E26127" s="4" t="str">
        <v/>
      </c>
      <c r="F26127" s="102" t="str">
        <f ca="1">IFERROR(__xludf.DUMMYFUNCTION("IMPORTRANGE(H26127,""IDENTITAS UNIT!D9"")"),"#N/A")</f>
        <v>#N/A</v>
      </c>
      <c r="H26127" s="4" t="str">
        <v/>
      </c>
      <c r="I26127" s="4" t="str">
        <v/>
      </c>
    </row>
    <row r="26128" spans="5:9" ht="16.5" hidden="1">
      <c r="E26128" s="4" t="str">
        <v/>
      </c>
      <c r="F26128" s="102" t="str">
        <f ca="1">IFERROR(__xludf.DUMMYFUNCTION("IMPORTRANGE(H26128,""IDENTITAS UNIT!D9"")"),"#N/A")</f>
        <v>#N/A</v>
      </c>
      <c r="H26128" s="4" t="str">
        <v/>
      </c>
      <c r="I26128" s="4" t="str">
        <v/>
      </c>
    </row>
    <row r="26129" spans="5:9" ht="16.5" hidden="1">
      <c r="E26129" s="4" t="str">
        <v/>
      </c>
      <c r="F26129" s="102" t="str">
        <f ca="1">IFERROR(__xludf.DUMMYFUNCTION("IMPORTRANGE(H26129,""IDENTITAS UNIT!D9"")"),"#N/A")</f>
        <v>#N/A</v>
      </c>
      <c r="H26129" s="4" t="str">
        <v/>
      </c>
      <c r="I26129" s="4" t="str">
        <v/>
      </c>
    </row>
    <row r="26130" spans="5:9" ht="16.5" hidden="1">
      <c r="E26130" s="4" t="str">
        <v/>
      </c>
      <c r="F26130" s="102" t="str">
        <f ca="1">IFERROR(__xludf.DUMMYFUNCTION("IMPORTRANGE(H26130,""IDENTITAS UNIT!D9"")"),"#N/A")</f>
        <v>#N/A</v>
      </c>
      <c r="H26130" s="4" t="str">
        <v/>
      </c>
      <c r="I26130" s="4" t="str">
        <v/>
      </c>
    </row>
    <row r="26131" spans="5:9" ht="16.5" hidden="1">
      <c r="E26131" s="4" t="str">
        <v/>
      </c>
      <c r="F26131" s="102" t="str">
        <f ca="1">IFERROR(__xludf.DUMMYFUNCTION("IMPORTRANGE(H26131,""IDENTITAS UNIT!D9"")"),"#N/A")</f>
        <v>#N/A</v>
      </c>
      <c r="H26131" s="4" t="str">
        <v/>
      </c>
      <c r="I26131" s="4" t="str">
        <v/>
      </c>
    </row>
    <row r="26132" spans="5:9" ht="16.5" hidden="1">
      <c r="E26132" s="4" t="str">
        <v/>
      </c>
      <c r="F26132" s="102" t="str">
        <f ca="1">IFERROR(__xludf.DUMMYFUNCTION("IMPORTRANGE(H26132,""IDENTITAS UNIT!D9"")"),"#N/A")</f>
        <v>#N/A</v>
      </c>
      <c r="H26132" s="4" t="str">
        <v/>
      </c>
      <c r="I26132" s="4" t="str">
        <v/>
      </c>
    </row>
    <row r="26133" spans="5:9" ht="16.5" hidden="1">
      <c r="E26133" s="4" t="str">
        <v/>
      </c>
      <c r="F26133" s="102" t="str">
        <f ca="1">IFERROR(__xludf.DUMMYFUNCTION("IMPORTRANGE(H26133,""IDENTITAS UNIT!D9"")"),"#N/A")</f>
        <v>#N/A</v>
      </c>
      <c r="H26133" s="4" t="str">
        <v/>
      </c>
      <c r="I26133" s="4" t="str">
        <v/>
      </c>
    </row>
    <row r="26134" spans="5:9" ht="16.5" hidden="1">
      <c r="E26134" s="4" t="str">
        <v/>
      </c>
      <c r="F26134" s="102" t="str">
        <f ca="1">IFERROR(__xludf.DUMMYFUNCTION("IMPORTRANGE(H26134,""IDENTITAS UNIT!D9"")"),"#N/A")</f>
        <v>#N/A</v>
      </c>
      <c r="H26134" s="4" t="str">
        <v/>
      </c>
      <c r="I26134" s="4" t="str">
        <v/>
      </c>
    </row>
    <row r="26135" spans="5:9" ht="16.5" hidden="1">
      <c r="E26135" s="4" t="str">
        <v/>
      </c>
      <c r="F26135" s="102" t="str">
        <f ca="1">IFERROR(__xludf.DUMMYFUNCTION("IMPORTRANGE(H26135,""IDENTITAS UNIT!D9"")"),"#N/A")</f>
        <v>#N/A</v>
      </c>
      <c r="H26135" s="4" t="str">
        <v/>
      </c>
      <c r="I26135" s="4" t="str">
        <v/>
      </c>
    </row>
    <row r="26136" spans="5:9" ht="16.5" hidden="1">
      <c r="E26136" s="4" t="str">
        <v/>
      </c>
      <c r="F26136" s="102" t="str">
        <f ca="1">IFERROR(__xludf.DUMMYFUNCTION("IMPORTRANGE(H26136,""IDENTITAS UNIT!D9"")"),"#N/A")</f>
        <v>#N/A</v>
      </c>
      <c r="H26136" s="4" t="str">
        <v/>
      </c>
      <c r="I26136" s="4" t="str">
        <v/>
      </c>
    </row>
    <row r="26137" spans="5:9" ht="16.5" hidden="1">
      <c r="E26137" s="4" t="str">
        <v/>
      </c>
      <c r="F26137" s="102" t="str">
        <f ca="1">IFERROR(__xludf.DUMMYFUNCTION("IMPORTRANGE(H26137,""IDENTITAS UNIT!D9"")"),"#N/A")</f>
        <v>#N/A</v>
      </c>
      <c r="H26137" s="4" t="str">
        <v/>
      </c>
      <c r="I26137" s="4" t="str">
        <v/>
      </c>
    </row>
    <row r="26138" spans="5:9" ht="16.5" hidden="1">
      <c r="E26138" s="4" t="str">
        <v/>
      </c>
      <c r="F26138" s="102" t="str">
        <f ca="1">IFERROR(__xludf.DUMMYFUNCTION("IMPORTRANGE(H26138,""IDENTITAS UNIT!D9"")"),"#N/A")</f>
        <v>#N/A</v>
      </c>
      <c r="H26138" s="4" t="str">
        <v/>
      </c>
      <c r="I26138" s="4" t="str">
        <v/>
      </c>
    </row>
    <row r="26139" spans="5:9" ht="16.5" hidden="1">
      <c r="E26139" s="4" t="str">
        <v/>
      </c>
      <c r="F26139" s="102" t="str">
        <f ca="1">IFERROR(__xludf.DUMMYFUNCTION("IMPORTRANGE(H26139,""IDENTITAS UNIT!D9"")"),"#N/A")</f>
        <v>#N/A</v>
      </c>
      <c r="H26139" s="4" t="str">
        <v/>
      </c>
      <c r="I26139" s="4" t="str">
        <v/>
      </c>
    </row>
    <row r="26140" spans="5:9" ht="16.5" hidden="1">
      <c r="E26140" s="4" t="str">
        <v/>
      </c>
      <c r="F26140" s="102" t="str">
        <f ca="1">IFERROR(__xludf.DUMMYFUNCTION("IMPORTRANGE(H26140,""IDENTITAS UNIT!D9"")"),"#N/A")</f>
        <v>#N/A</v>
      </c>
      <c r="H26140" s="4" t="str">
        <v/>
      </c>
      <c r="I26140" s="4" t="str">
        <v/>
      </c>
    </row>
    <row r="26141" spans="5:9" ht="16.5" hidden="1">
      <c r="E26141" s="4" t="str">
        <v/>
      </c>
      <c r="F26141" s="102" t="str">
        <f ca="1">IFERROR(__xludf.DUMMYFUNCTION("IMPORTRANGE(H26141,""IDENTITAS UNIT!D9"")"),"#N/A")</f>
        <v>#N/A</v>
      </c>
      <c r="H26141" s="4" t="str">
        <v/>
      </c>
      <c r="I26141" s="4" t="str">
        <v/>
      </c>
    </row>
    <row r="26142" spans="5:9" ht="16.5" hidden="1">
      <c r="E26142" s="4" t="str">
        <v/>
      </c>
      <c r="F26142" s="102" t="str">
        <f ca="1">IFERROR(__xludf.DUMMYFUNCTION("IMPORTRANGE(H26142,""IDENTITAS UNIT!D9"")"),"#N/A")</f>
        <v>#N/A</v>
      </c>
      <c r="H26142" s="4" t="str">
        <v/>
      </c>
      <c r="I26142" s="4" t="str">
        <v/>
      </c>
    </row>
    <row r="26143" spans="5:9" ht="16.5" hidden="1">
      <c r="E26143" s="4" t="str">
        <v/>
      </c>
      <c r="F26143" s="102" t="str">
        <f ca="1">IFERROR(__xludf.DUMMYFUNCTION("IMPORTRANGE(H26143,""IDENTITAS UNIT!D9"")"),"#N/A")</f>
        <v>#N/A</v>
      </c>
      <c r="H26143" s="4" t="str">
        <v/>
      </c>
      <c r="I26143" s="4" t="str">
        <v/>
      </c>
    </row>
    <row r="26144" spans="5:9" ht="16.5" hidden="1">
      <c r="E26144" s="4" t="str">
        <v/>
      </c>
      <c r="F26144" s="102" t="str">
        <f ca="1">IFERROR(__xludf.DUMMYFUNCTION("IMPORTRANGE(H26144,""IDENTITAS UNIT!D9"")"),"#N/A")</f>
        <v>#N/A</v>
      </c>
      <c r="H26144" s="4" t="str">
        <v/>
      </c>
      <c r="I26144" s="4" t="str">
        <v/>
      </c>
    </row>
    <row r="26145" spans="5:9" ht="16.5" hidden="1">
      <c r="E26145" s="4" t="str">
        <v/>
      </c>
      <c r="F26145" s="102" t="str">
        <f ca="1">IFERROR(__xludf.DUMMYFUNCTION("IMPORTRANGE(H26145,""IDENTITAS UNIT!D9"")"),"#N/A")</f>
        <v>#N/A</v>
      </c>
      <c r="H26145" s="4" t="str">
        <v/>
      </c>
      <c r="I26145" s="4" t="str">
        <v/>
      </c>
    </row>
    <row r="26146" spans="5:9" ht="16.5" hidden="1">
      <c r="E26146" s="4" t="str">
        <v/>
      </c>
      <c r="F26146" s="102" t="str">
        <f ca="1">IFERROR(__xludf.DUMMYFUNCTION("IMPORTRANGE(H26146,""IDENTITAS UNIT!D9"")"),"#N/A")</f>
        <v>#N/A</v>
      </c>
      <c r="H26146" s="4" t="str">
        <v/>
      </c>
      <c r="I26146" s="4" t="str">
        <v/>
      </c>
    </row>
    <row r="26147" spans="5:9" ht="16.5" hidden="1">
      <c r="E26147" s="4" t="str">
        <v/>
      </c>
      <c r="F26147" s="102" t="str">
        <f ca="1">IFERROR(__xludf.DUMMYFUNCTION("IMPORTRANGE(H26147,""IDENTITAS UNIT!D9"")"),"#N/A")</f>
        <v>#N/A</v>
      </c>
      <c r="H26147" s="4" t="str">
        <v/>
      </c>
      <c r="I26147" s="4" t="str">
        <v/>
      </c>
    </row>
    <row r="26148" spans="5:9" ht="16.5" hidden="1">
      <c r="E26148" s="4" t="str">
        <v/>
      </c>
      <c r="F26148" s="102" t="str">
        <f ca="1">IFERROR(__xludf.DUMMYFUNCTION("IMPORTRANGE(H26148,""IDENTITAS UNIT!D9"")"),"#N/A")</f>
        <v>#N/A</v>
      </c>
      <c r="H26148" s="4" t="str">
        <v/>
      </c>
      <c r="I26148" s="4" t="str">
        <v/>
      </c>
    </row>
    <row r="26149" spans="5:9" ht="16.5" hidden="1">
      <c r="E26149" s="4" t="str">
        <v/>
      </c>
      <c r="F26149" s="102" t="str">
        <f ca="1">IFERROR(__xludf.DUMMYFUNCTION("IMPORTRANGE(H26149,""IDENTITAS UNIT!D9"")"),"#N/A")</f>
        <v>#N/A</v>
      </c>
      <c r="H26149" s="4" t="str">
        <v/>
      </c>
      <c r="I26149" s="4" t="str">
        <v/>
      </c>
    </row>
    <row r="26150" spans="5:9" ht="16.5" hidden="1">
      <c r="E26150" s="4" t="str">
        <v/>
      </c>
      <c r="F26150" s="102" t="str">
        <f ca="1">IFERROR(__xludf.DUMMYFUNCTION("IMPORTRANGE(H26150,""IDENTITAS UNIT!D9"")"),"#N/A")</f>
        <v>#N/A</v>
      </c>
      <c r="H26150" s="4" t="str">
        <v/>
      </c>
      <c r="I26150" s="4" t="str">
        <v/>
      </c>
    </row>
    <row r="26151" spans="5:9" ht="16.5" hidden="1">
      <c r="E26151" s="4" t="str">
        <v/>
      </c>
      <c r="F26151" s="102" t="str">
        <f ca="1">IFERROR(__xludf.DUMMYFUNCTION("IMPORTRANGE(H26151,""IDENTITAS UNIT!D9"")"),"#N/A")</f>
        <v>#N/A</v>
      </c>
      <c r="H26151" s="4" t="str">
        <v/>
      </c>
      <c r="I26151" s="4" t="str">
        <v/>
      </c>
    </row>
    <row r="26152" spans="5:9" ht="16.5" hidden="1">
      <c r="E26152" s="4" t="str">
        <v/>
      </c>
      <c r="F26152" s="102" t="str">
        <f ca="1">IFERROR(__xludf.DUMMYFUNCTION("IMPORTRANGE(H26152,""IDENTITAS UNIT!D9"")"),"#N/A")</f>
        <v>#N/A</v>
      </c>
      <c r="H26152" s="4" t="str">
        <v/>
      </c>
      <c r="I26152" s="4" t="str">
        <v/>
      </c>
    </row>
    <row r="26153" spans="5:9" ht="16.5" hidden="1">
      <c r="E26153" s="4" t="str">
        <v/>
      </c>
      <c r="F26153" s="102" t="str">
        <f ca="1">IFERROR(__xludf.DUMMYFUNCTION("IMPORTRANGE(H26153,""IDENTITAS UNIT!D9"")"),"#N/A")</f>
        <v>#N/A</v>
      </c>
      <c r="H26153" s="4" t="str">
        <v/>
      </c>
      <c r="I26153" s="4" t="str">
        <v/>
      </c>
    </row>
    <row r="26154" spans="5:9" ht="16.5" hidden="1">
      <c r="E26154" s="4" t="str">
        <v/>
      </c>
      <c r="F26154" s="102" t="str">
        <f ca="1">IFERROR(__xludf.DUMMYFUNCTION("IMPORTRANGE(H26154,""IDENTITAS UNIT!D9"")"),"#N/A")</f>
        <v>#N/A</v>
      </c>
      <c r="H26154" s="4" t="str">
        <v/>
      </c>
      <c r="I26154" s="4" t="str">
        <v/>
      </c>
    </row>
    <row r="26155" spans="5:9" ht="16.5" hidden="1">
      <c r="E26155" s="4" t="str">
        <v/>
      </c>
      <c r="F26155" s="102" t="str">
        <f ca="1">IFERROR(__xludf.DUMMYFUNCTION("IMPORTRANGE(H26155,""IDENTITAS UNIT!D9"")"),"#N/A")</f>
        <v>#N/A</v>
      </c>
      <c r="H26155" s="4" t="str">
        <v/>
      </c>
      <c r="I26155" s="4" t="str">
        <v/>
      </c>
    </row>
    <row r="26156" spans="5:9" ht="16.5" hidden="1">
      <c r="E26156" s="4" t="str">
        <v/>
      </c>
      <c r="F26156" s="102" t="str">
        <f ca="1">IFERROR(__xludf.DUMMYFUNCTION("IMPORTRANGE(H26156,""IDENTITAS UNIT!D9"")"),"#N/A")</f>
        <v>#N/A</v>
      </c>
      <c r="H26156" s="4" t="str">
        <v/>
      </c>
      <c r="I26156" s="4" t="str">
        <v/>
      </c>
    </row>
    <row r="26157" spans="5:9" ht="16.5" hidden="1">
      <c r="E26157" s="4" t="str">
        <v/>
      </c>
      <c r="F26157" s="102" t="str">
        <f ca="1">IFERROR(__xludf.DUMMYFUNCTION("IMPORTRANGE(H26157,""IDENTITAS UNIT!D9"")"),"#N/A")</f>
        <v>#N/A</v>
      </c>
      <c r="H26157" s="4" t="str">
        <v/>
      </c>
      <c r="I26157" s="4" t="str">
        <v/>
      </c>
    </row>
    <row r="26158" spans="5:9" ht="16.5" hidden="1">
      <c r="E26158" s="4" t="str">
        <v/>
      </c>
      <c r="F26158" s="102" t="str">
        <f ca="1">IFERROR(__xludf.DUMMYFUNCTION("IMPORTRANGE(H26158,""IDENTITAS UNIT!D9"")"),"#N/A")</f>
        <v>#N/A</v>
      </c>
      <c r="H26158" s="4" t="str">
        <v/>
      </c>
      <c r="I26158" s="4" t="str">
        <v/>
      </c>
    </row>
    <row r="26159" spans="5:9" ht="16.5" hidden="1">
      <c r="E26159" s="4" t="str">
        <v/>
      </c>
      <c r="F26159" s="102" t="str">
        <f ca="1">IFERROR(__xludf.DUMMYFUNCTION("IMPORTRANGE(H26159,""IDENTITAS UNIT!D9"")"),"#N/A")</f>
        <v>#N/A</v>
      </c>
      <c r="H26159" s="4" t="str">
        <v/>
      </c>
      <c r="I26159" s="4" t="str">
        <v/>
      </c>
    </row>
    <row r="26160" spans="5:9" ht="16.5" hidden="1">
      <c r="E26160" s="4" t="str">
        <v/>
      </c>
      <c r="F26160" s="102" t="str">
        <f ca="1">IFERROR(__xludf.DUMMYFUNCTION("IMPORTRANGE(H26160,""IDENTITAS UNIT!D9"")"),"#N/A")</f>
        <v>#N/A</v>
      </c>
      <c r="H26160" s="4" t="str">
        <v/>
      </c>
      <c r="I26160" s="4" t="str">
        <v/>
      </c>
    </row>
    <row r="26161" spans="5:9" ht="16.5" hidden="1">
      <c r="E26161" s="4" t="str">
        <v/>
      </c>
      <c r="F26161" s="102" t="str">
        <f ca="1">IFERROR(__xludf.DUMMYFUNCTION("IMPORTRANGE(H26161,""IDENTITAS UNIT!D9"")"),"#N/A")</f>
        <v>#N/A</v>
      </c>
      <c r="H26161" s="4" t="str">
        <v/>
      </c>
      <c r="I26161" s="4" t="str">
        <v/>
      </c>
    </row>
    <row r="26162" spans="5:9" ht="16.5" hidden="1">
      <c r="E26162" s="4" t="str">
        <v/>
      </c>
      <c r="F26162" s="102" t="str">
        <f ca="1">IFERROR(__xludf.DUMMYFUNCTION("IMPORTRANGE(H26162,""IDENTITAS UNIT!D9"")"),"#N/A")</f>
        <v>#N/A</v>
      </c>
      <c r="H26162" s="4" t="str">
        <v/>
      </c>
      <c r="I26162" s="4" t="str">
        <v/>
      </c>
    </row>
    <row r="26163" spans="5:9" ht="16.5" hidden="1">
      <c r="E26163" s="4" t="str">
        <v/>
      </c>
      <c r="F26163" s="102" t="str">
        <f ca="1">IFERROR(__xludf.DUMMYFUNCTION("IMPORTRANGE(H26163,""IDENTITAS UNIT!D9"")"),"#N/A")</f>
        <v>#N/A</v>
      </c>
      <c r="H26163" s="4" t="str">
        <v/>
      </c>
      <c r="I26163" s="4" t="str">
        <v/>
      </c>
    </row>
    <row r="26164" spans="5:9" ht="16.5" hidden="1">
      <c r="E26164" s="4" t="str">
        <v/>
      </c>
      <c r="F26164" s="102" t="str">
        <f ca="1">IFERROR(__xludf.DUMMYFUNCTION("IMPORTRANGE(H26164,""IDENTITAS UNIT!D9"")"),"#N/A")</f>
        <v>#N/A</v>
      </c>
      <c r="H26164" s="4" t="str">
        <v/>
      </c>
      <c r="I26164" s="4" t="str">
        <v/>
      </c>
    </row>
    <row r="26165" spans="5:9" ht="16.5" hidden="1">
      <c r="E26165" s="4" t="str">
        <v/>
      </c>
      <c r="F26165" s="102" t="str">
        <f ca="1">IFERROR(__xludf.DUMMYFUNCTION("IMPORTRANGE(H26165,""IDENTITAS UNIT!D9"")"),"#N/A")</f>
        <v>#N/A</v>
      </c>
      <c r="H26165" s="4" t="str">
        <v/>
      </c>
      <c r="I26165" s="4" t="str">
        <v/>
      </c>
    </row>
    <row r="26166" spans="5:9" ht="16.5" hidden="1">
      <c r="E26166" s="4" t="str">
        <v/>
      </c>
      <c r="F26166" s="102" t="str">
        <f ca="1">IFERROR(__xludf.DUMMYFUNCTION("IMPORTRANGE(H26166,""IDENTITAS UNIT!D9"")"),"#N/A")</f>
        <v>#N/A</v>
      </c>
      <c r="H26166" s="4" t="str">
        <v/>
      </c>
      <c r="I26166" s="4" t="str">
        <v/>
      </c>
    </row>
    <row r="26167" spans="5:9" ht="16.5" hidden="1">
      <c r="E26167" s="4" t="str">
        <v/>
      </c>
      <c r="F26167" s="102" t="str">
        <f ca="1">IFERROR(__xludf.DUMMYFUNCTION("IMPORTRANGE(H26167,""IDENTITAS UNIT!D9"")"),"#N/A")</f>
        <v>#N/A</v>
      </c>
      <c r="H26167" s="4" t="str">
        <v/>
      </c>
      <c r="I26167" s="4" t="str">
        <v/>
      </c>
    </row>
    <row r="26168" spans="5:9" ht="16.5" hidden="1">
      <c r="E26168" s="4" t="str">
        <v/>
      </c>
      <c r="F26168" s="102" t="str">
        <f ca="1">IFERROR(__xludf.DUMMYFUNCTION("IMPORTRANGE(H26168,""IDENTITAS UNIT!D9"")"),"#N/A")</f>
        <v>#N/A</v>
      </c>
      <c r="H26168" s="4" t="str">
        <v/>
      </c>
      <c r="I26168" s="4" t="str">
        <v/>
      </c>
    </row>
    <row r="26169" spans="5:9" ht="16.5" hidden="1">
      <c r="E26169" s="4" t="str">
        <v/>
      </c>
      <c r="F26169" s="102" t="str">
        <f ca="1">IFERROR(__xludf.DUMMYFUNCTION("IMPORTRANGE(H26169,""IDENTITAS UNIT!D9"")"),"#N/A")</f>
        <v>#N/A</v>
      </c>
      <c r="H26169" s="4" t="str">
        <v/>
      </c>
      <c r="I26169" s="4" t="str">
        <v/>
      </c>
    </row>
    <row r="26170" spans="5:9" ht="16.5" hidden="1">
      <c r="E26170" s="4" t="str">
        <v/>
      </c>
      <c r="F26170" s="102" t="str">
        <f ca="1">IFERROR(__xludf.DUMMYFUNCTION("IMPORTRANGE(H26170,""IDENTITAS UNIT!D9"")"),"#N/A")</f>
        <v>#N/A</v>
      </c>
      <c r="H26170" s="4" t="str">
        <v/>
      </c>
      <c r="I26170" s="4" t="str">
        <v/>
      </c>
    </row>
    <row r="26171" spans="5:9" ht="16.5" hidden="1">
      <c r="E26171" s="4" t="str">
        <v/>
      </c>
      <c r="F26171" s="102" t="str">
        <f ca="1">IFERROR(__xludf.DUMMYFUNCTION("IMPORTRANGE(H26171,""IDENTITAS UNIT!D9"")"),"#N/A")</f>
        <v>#N/A</v>
      </c>
      <c r="H26171" s="4" t="str">
        <v/>
      </c>
      <c r="I26171" s="4" t="str">
        <v/>
      </c>
    </row>
    <row r="26172" spans="5:9" ht="16.5" hidden="1">
      <c r="E26172" s="4" t="str">
        <v/>
      </c>
      <c r="F26172" s="102" t="str">
        <f ca="1">IFERROR(__xludf.DUMMYFUNCTION("IMPORTRANGE(H26172,""IDENTITAS UNIT!D9"")"),"#N/A")</f>
        <v>#N/A</v>
      </c>
      <c r="H26172" s="4" t="str">
        <v/>
      </c>
      <c r="I26172" s="4" t="str">
        <v/>
      </c>
    </row>
    <row r="26173" spans="5:9" ht="16.5" hidden="1">
      <c r="E26173" s="4" t="str">
        <v/>
      </c>
      <c r="F26173" s="102" t="str">
        <f ca="1">IFERROR(__xludf.DUMMYFUNCTION("IMPORTRANGE(H26173,""IDENTITAS UNIT!D9"")"),"#N/A")</f>
        <v>#N/A</v>
      </c>
      <c r="H26173" s="4" t="str">
        <v/>
      </c>
      <c r="I26173" s="4" t="str">
        <v/>
      </c>
    </row>
    <row r="26174" spans="5:9" ht="16.5" hidden="1">
      <c r="E26174" s="4" t="str">
        <v/>
      </c>
      <c r="F26174" s="102" t="str">
        <f ca="1">IFERROR(__xludf.DUMMYFUNCTION("IMPORTRANGE(H26174,""IDENTITAS UNIT!D9"")"),"#N/A")</f>
        <v>#N/A</v>
      </c>
      <c r="H26174" s="4" t="str">
        <v/>
      </c>
      <c r="I26174" s="4" t="str">
        <v/>
      </c>
    </row>
    <row r="26175" spans="5:9" ht="16.5" hidden="1">
      <c r="E26175" s="4" t="str">
        <v/>
      </c>
      <c r="F26175" s="102" t="str">
        <f ca="1">IFERROR(__xludf.DUMMYFUNCTION("IMPORTRANGE(H26175,""IDENTITAS UNIT!D9"")"),"#N/A")</f>
        <v>#N/A</v>
      </c>
      <c r="H26175" s="4" t="str">
        <v/>
      </c>
      <c r="I26175" s="4" t="str">
        <v/>
      </c>
    </row>
    <row r="26176" spans="5:9" ht="16.5" hidden="1">
      <c r="E26176" s="4" t="str">
        <v/>
      </c>
      <c r="F26176" s="102" t="str">
        <f ca="1">IFERROR(__xludf.DUMMYFUNCTION("IMPORTRANGE(H26176,""IDENTITAS UNIT!D9"")"),"#N/A")</f>
        <v>#N/A</v>
      </c>
      <c r="H26176" s="4" t="str">
        <v/>
      </c>
      <c r="I26176" s="4" t="str">
        <v/>
      </c>
    </row>
    <row r="26177" spans="5:9" ht="16.5" hidden="1">
      <c r="E26177" s="4" t="str">
        <v/>
      </c>
      <c r="F26177" s="102" t="str">
        <f ca="1">IFERROR(__xludf.DUMMYFUNCTION("IMPORTRANGE(H26177,""IDENTITAS UNIT!D9"")"),"#N/A")</f>
        <v>#N/A</v>
      </c>
      <c r="H26177" s="4" t="str">
        <v/>
      </c>
      <c r="I26177" s="4" t="str">
        <v/>
      </c>
    </row>
    <row r="26178" spans="5:9" ht="16.5" hidden="1">
      <c r="E26178" s="4" t="str">
        <v/>
      </c>
      <c r="F26178" s="102" t="str">
        <f ca="1">IFERROR(__xludf.DUMMYFUNCTION("IMPORTRANGE(H26178,""IDENTITAS UNIT!D9"")"),"#N/A")</f>
        <v>#N/A</v>
      </c>
      <c r="H26178" s="4" t="str">
        <v/>
      </c>
      <c r="I26178" s="4" t="str">
        <v/>
      </c>
    </row>
    <row r="26179" spans="5:9" ht="16.5" hidden="1">
      <c r="E26179" s="4" t="str">
        <v/>
      </c>
      <c r="F26179" s="102" t="str">
        <f ca="1">IFERROR(__xludf.DUMMYFUNCTION("IMPORTRANGE(H26179,""IDENTITAS UNIT!D9"")"),"#N/A")</f>
        <v>#N/A</v>
      </c>
      <c r="H26179" s="4" t="str">
        <v/>
      </c>
      <c r="I26179" s="4" t="str">
        <v/>
      </c>
    </row>
    <row r="26180" spans="5:9" ht="16.5" hidden="1">
      <c r="E26180" s="4" t="str">
        <v/>
      </c>
      <c r="F26180" s="102" t="str">
        <f ca="1">IFERROR(__xludf.DUMMYFUNCTION("IMPORTRANGE(H26180,""IDENTITAS UNIT!D9"")"),"#N/A")</f>
        <v>#N/A</v>
      </c>
      <c r="H26180" s="4" t="str">
        <v/>
      </c>
      <c r="I26180" s="4" t="str">
        <v/>
      </c>
    </row>
    <row r="26181" spans="5:9" ht="16.5" hidden="1">
      <c r="E26181" s="4" t="str">
        <v/>
      </c>
      <c r="F26181" s="102" t="str">
        <f ca="1">IFERROR(__xludf.DUMMYFUNCTION("IMPORTRANGE(H26181,""IDENTITAS UNIT!D9"")"),"#N/A")</f>
        <v>#N/A</v>
      </c>
      <c r="H26181" s="4" t="str">
        <v/>
      </c>
      <c r="I26181" s="4" t="str">
        <v/>
      </c>
    </row>
    <row r="26182" spans="5:9" ht="16.5" hidden="1">
      <c r="E26182" s="4" t="str">
        <v/>
      </c>
      <c r="F26182" s="102" t="str">
        <f ca="1">IFERROR(__xludf.DUMMYFUNCTION("IMPORTRANGE(H26182,""IDENTITAS UNIT!D9"")"),"#N/A")</f>
        <v>#N/A</v>
      </c>
      <c r="H26182" s="4" t="str">
        <v/>
      </c>
      <c r="I26182" s="4" t="str">
        <v/>
      </c>
    </row>
    <row r="26183" spans="5:9" ht="16.5" hidden="1">
      <c r="E26183" s="4" t="str">
        <v/>
      </c>
      <c r="F26183" s="102" t="str">
        <f ca="1">IFERROR(__xludf.DUMMYFUNCTION("IMPORTRANGE(H26183,""IDENTITAS UNIT!D9"")"),"#N/A")</f>
        <v>#N/A</v>
      </c>
      <c r="H26183" s="4" t="str">
        <v/>
      </c>
      <c r="I26183" s="4" t="str">
        <v/>
      </c>
    </row>
    <row r="26184" spans="5:9" ht="16.5" hidden="1">
      <c r="E26184" s="4" t="str">
        <v/>
      </c>
      <c r="F26184" s="102" t="str">
        <f ca="1">IFERROR(__xludf.DUMMYFUNCTION("IMPORTRANGE(H26184,""IDENTITAS UNIT!D9"")"),"#N/A")</f>
        <v>#N/A</v>
      </c>
      <c r="H26184" s="4" t="str">
        <v/>
      </c>
      <c r="I26184" s="4" t="str">
        <v/>
      </c>
    </row>
    <row r="26185" spans="5:9" ht="16.5" hidden="1">
      <c r="E26185" s="4" t="str">
        <v/>
      </c>
      <c r="F26185" s="102" t="str">
        <f ca="1">IFERROR(__xludf.DUMMYFUNCTION("IMPORTRANGE(H26185,""IDENTITAS UNIT!D9"")"),"#N/A")</f>
        <v>#N/A</v>
      </c>
      <c r="H26185" s="4" t="str">
        <v/>
      </c>
      <c r="I26185" s="4" t="str">
        <v/>
      </c>
    </row>
    <row r="26186" spans="5:9" ht="16.5" hidden="1">
      <c r="E26186" s="4" t="str">
        <v/>
      </c>
      <c r="F26186" s="102" t="str">
        <f ca="1">IFERROR(__xludf.DUMMYFUNCTION("IMPORTRANGE(H26186,""IDENTITAS UNIT!D9"")"),"#N/A")</f>
        <v>#N/A</v>
      </c>
      <c r="H26186" s="4" t="str">
        <v/>
      </c>
      <c r="I26186" s="4" t="str">
        <v/>
      </c>
    </row>
    <row r="26187" spans="5:9" ht="16.5" hidden="1">
      <c r="E26187" s="4" t="str">
        <v/>
      </c>
      <c r="F26187" s="102" t="str">
        <f ca="1">IFERROR(__xludf.DUMMYFUNCTION("IMPORTRANGE(H26187,""IDENTITAS UNIT!D9"")"),"#N/A")</f>
        <v>#N/A</v>
      </c>
      <c r="H26187" s="4" t="str">
        <v/>
      </c>
      <c r="I26187" s="4" t="str">
        <v/>
      </c>
    </row>
    <row r="26188" spans="5:9" ht="16.5" hidden="1">
      <c r="E26188" s="4" t="str">
        <v/>
      </c>
      <c r="F26188" s="102" t="str">
        <f ca="1">IFERROR(__xludf.DUMMYFUNCTION("IMPORTRANGE(H26188,""IDENTITAS UNIT!D9"")"),"#N/A")</f>
        <v>#N/A</v>
      </c>
      <c r="H26188" s="4" t="str">
        <v/>
      </c>
      <c r="I26188" s="4" t="str">
        <v/>
      </c>
    </row>
    <row r="26189" spans="5:9" ht="16.5" hidden="1">
      <c r="E26189" s="4" t="str">
        <v/>
      </c>
      <c r="F26189" s="102" t="str">
        <f ca="1">IFERROR(__xludf.DUMMYFUNCTION("IMPORTRANGE(H26189,""IDENTITAS UNIT!D9"")"),"#N/A")</f>
        <v>#N/A</v>
      </c>
      <c r="H26189" s="4" t="str">
        <v/>
      </c>
      <c r="I26189" s="4" t="str">
        <v/>
      </c>
    </row>
    <row r="26190" spans="5:9" ht="16.5" hidden="1">
      <c r="E26190" s="4" t="str">
        <v/>
      </c>
      <c r="F26190" s="102" t="str">
        <f ca="1">IFERROR(__xludf.DUMMYFUNCTION("IMPORTRANGE(H26190,""IDENTITAS UNIT!D9"")"),"#N/A")</f>
        <v>#N/A</v>
      </c>
      <c r="H26190" s="4" t="str">
        <v/>
      </c>
      <c r="I26190" s="4" t="str">
        <v/>
      </c>
    </row>
    <row r="26191" spans="5:9" ht="16.5" hidden="1">
      <c r="E26191" s="4" t="str">
        <v/>
      </c>
      <c r="F26191" s="102" t="str">
        <f ca="1">IFERROR(__xludf.DUMMYFUNCTION("IMPORTRANGE(H26191,""IDENTITAS UNIT!D9"")"),"#N/A")</f>
        <v>#N/A</v>
      </c>
      <c r="H26191" s="4" t="str">
        <v/>
      </c>
      <c r="I26191" s="4" t="str">
        <v/>
      </c>
    </row>
    <row r="26192" spans="5:9" ht="16.5" hidden="1">
      <c r="E26192" s="4" t="str">
        <v/>
      </c>
      <c r="F26192" s="102" t="str">
        <f ca="1">IFERROR(__xludf.DUMMYFUNCTION("IMPORTRANGE(H26192,""IDENTITAS UNIT!D9"")"),"#N/A")</f>
        <v>#N/A</v>
      </c>
      <c r="H26192" s="4" t="str">
        <v/>
      </c>
      <c r="I26192" s="4" t="str">
        <v/>
      </c>
    </row>
    <row r="26193" spans="5:9" ht="16.5" hidden="1">
      <c r="E26193" s="4" t="str">
        <v/>
      </c>
      <c r="F26193" s="102" t="str">
        <f ca="1">IFERROR(__xludf.DUMMYFUNCTION("IMPORTRANGE(H26193,""IDENTITAS UNIT!D9"")"),"#N/A")</f>
        <v>#N/A</v>
      </c>
      <c r="H26193" s="4" t="str">
        <v/>
      </c>
      <c r="I26193" s="4" t="str">
        <v/>
      </c>
    </row>
    <row r="26194" spans="5:9" ht="16.5" hidden="1">
      <c r="E26194" s="4" t="str">
        <v/>
      </c>
      <c r="F26194" s="102" t="str">
        <f ca="1">IFERROR(__xludf.DUMMYFUNCTION("IMPORTRANGE(H26194,""IDENTITAS UNIT!D9"")"),"#N/A")</f>
        <v>#N/A</v>
      </c>
      <c r="H26194" s="4" t="str">
        <v/>
      </c>
      <c r="I26194" s="4" t="str">
        <v/>
      </c>
    </row>
    <row r="26195" spans="5:9" ht="16.5" hidden="1">
      <c r="E26195" s="4" t="str">
        <v/>
      </c>
      <c r="F26195" s="102" t="str">
        <f ca="1">IFERROR(__xludf.DUMMYFUNCTION("IMPORTRANGE(H26195,""IDENTITAS UNIT!D9"")"),"#N/A")</f>
        <v>#N/A</v>
      </c>
      <c r="H26195" s="4" t="str">
        <v/>
      </c>
      <c r="I26195" s="4" t="str">
        <v/>
      </c>
    </row>
    <row r="26196" spans="5:9" ht="16.5" hidden="1">
      <c r="E26196" s="4" t="str">
        <v/>
      </c>
      <c r="F26196" s="102" t="str">
        <f ca="1">IFERROR(__xludf.DUMMYFUNCTION("IMPORTRANGE(H26196,""IDENTITAS UNIT!D9"")"),"#N/A")</f>
        <v>#N/A</v>
      </c>
      <c r="H26196" s="4" t="str">
        <v/>
      </c>
      <c r="I26196" s="4" t="str">
        <v/>
      </c>
    </row>
    <row r="26197" spans="5:9" ht="16.5" hidden="1">
      <c r="E26197" s="4" t="str">
        <v/>
      </c>
      <c r="F26197" s="102" t="str">
        <f ca="1">IFERROR(__xludf.DUMMYFUNCTION("IMPORTRANGE(H26197,""IDENTITAS UNIT!D9"")"),"#N/A")</f>
        <v>#N/A</v>
      </c>
      <c r="H26197" s="4" t="str">
        <v/>
      </c>
      <c r="I26197" s="4" t="str">
        <v/>
      </c>
    </row>
    <row r="26198" spans="5:9" ht="16.5" hidden="1">
      <c r="E26198" s="4" t="str">
        <v/>
      </c>
      <c r="F26198" s="102" t="str">
        <f ca="1">IFERROR(__xludf.DUMMYFUNCTION("IMPORTRANGE(H26198,""IDENTITAS UNIT!D9"")"),"#N/A")</f>
        <v>#N/A</v>
      </c>
      <c r="H26198" s="4" t="str">
        <v/>
      </c>
      <c r="I26198" s="4" t="str">
        <v/>
      </c>
    </row>
    <row r="26199" spans="5:9" ht="16.5" hidden="1">
      <c r="E26199" s="4" t="str">
        <v/>
      </c>
      <c r="F26199" s="102" t="str">
        <f ca="1">IFERROR(__xludf.DUMMYFUNCTION("IMPORTRANGE(H26199,""IDENTITAS UNIT!D9"")"),"#N/A")</f>
        <v>#N/A</v>
      </c>
      <c r="H26199" s="4" t="str">
        <v/>
      </c>
      <c r="I26199" s="4" t="str">
        <v/>
      </c>
    </row>
    <row r="26200" spans="5:9" ht="16.5" hidden="1">
      <c r="E26200" s="4" t="str">
        <v/>
      </c>
      <c r="F26200" s="102" t="str">
        <f ca="1">IFERROR(__xludf.DUMMYFUNCTION("IMPORTRANGE(H26200,""IDENTITAS UNIT!D9"")"),"#N/A")</f>
        <v>#N/A</v>
      </c>
      <c r="H26200" s="4" t="str">
        <v/>
      </c>
      <c r="I26200" s="4" t="str">
        <v/>
      </c>
    </row>
    <row r="26201" spans="5:9" ht="16.5" hidden="1">
      <c r="E26201" s="4" t="str">
        <v/>
      </c>
      <c r="F26201" s="102" t="str">
        <f ca="1">IFERROR(__xludf.DUMMYFUNCTION("IMPORTRANGE(H26201,""IDENTITAS UNIT!D9"")"),"#N/A")</f>
        <v>#N/A</v>
      </c>
      <c r="H26201" s="4" t="str">
        <v/>
      </c>
      <c r="I26201" s="4" t="str">
        <v/>
      </c>
    </row>
    <row r="26202" spans="5:9" ht="16.5" hidden="1">
      <c r="E26202" s="4" t="str">
        <v/>
      </c>
      <c r="F26202" s="102" t="str">
        <f ca="1">IFERROR(__xludf.DUMMYFUNCTION("IMPORTRANGE(H26202,""IDENTITAS UNIT!D9"")"),"#N/A")</f>
        <v>#N/A</v>
      </c>
      <c r="H26202" s="4" t="str">
        <v/>
      </c>
      <c r="I26202" s="4" t="str">
        <v/>
      </c>
    </row>
    <row r="26203" spans="5:9" ht="16.5" hidden="1">
      <c r="E26203" s="4" t="str">
        <v/>
      </c>
      <c r="F26203" s="102" t="str">
        <f ca="1">IFERROR(__xludf.DUMMYFUNCTION("IMPORTRANGE(H26203,""IDENTITAS UNIT!D9"")"),"#N/A")</f>
        <v>#N/A</v>
      </c>
      <c r="H26203" s="4" t="str">
        <v/>
      </c>
      <c r="I26203" s="4" t="str">
        <v/>
      </c>
    </row>
    <row r="26204" spans="5:9" ht="16.5" hidden="1">
      <c r="E26204" s="4" t="str">
        <v/>
      </c>
      <c r="F26204" s="102" t="str">
        <f ca="1">IFERROR(__xludf.DUMMYFUNCTION("IMPORTRANGE(H26204,""IDENTITAS UNIT!D9"")"),"#N/A")</f>
        <v>#N/A</v>
      </c>
      <c r="H26204" s="4" t="str">
        <v/>
      </c>
      <c r="I26204" s="4" t="str">
        <v/>
      </c>
    </row>
    <row r="26205" spans="5:9" ht="16.5" hidden="1">
      <c r="E26205" s="4" t="str">
        <v/>
      </c>
      <c r="F26205" s="102" t="str">
        <f ca="1">IFERROR(__xludf.DUMMYFUNCTION("IMPORTRANGE(H26205,""IDENTITAS UNIT!D9"")"),"#N/A")</f>
        <v>#N/A</v>
      </c>
      <c r="H26205" s="4" t="str">
        <v/>
      </c>
      <c r="I26205" s="4" t="str">
        <v/>
      </c>
    </row>
    <row r="26206" spans="5:9" ht="16.5" hidden="1">
      <c r="E26206" s="4" t="str">
        <v/>
      </c>
      <c r="F26206" s="102" t="str">
        <f ca="1">IFERROR(__xludf.DUMMYFUNCTION("IMPORTRANGE(H26206,""IDENTITAS UNIT!D9"")"),"#N/A")</f>
        <v>#N/A</v>
      </c>
      <c r="H26206" s="4" t="str">
        <v/>
      </c>
      <c r="I26206" s="4" t="str">
        <v/>
      </c>
    </row>
    <row r="26207" spans="5:9" ht="16.5" hidden="1">
      <c r="E26207" s="4" t="str">
        <v/>
      </c>
      <c r="F26207" s="102" t="str">
        <f ca="1">IFERROR(__xludf.DUMMYFUNCTION("IMPORTRANGE(H26207,""IDENTITAS UNIT!D9"")"),"#N/A")</f>
        <v>#N/A</v>
      </c>
      <c r="H26207" s="4" t="str">
        <v/>
      </c>
      <c r="I26207" s="4" t="str">
        <v/>
      </c>
    </row>
    <row r="26208" spans="5:9" ht="16.5" hidden="1">
      <c r="E26208" s="4" t="str">
        <v/>
      </c>
      <c r="F26208" s="102" t="str">
        <f ca="1">IFERROR(__xludf.DUMMYFUNCTION("IMPORTRANGE(H26208,""IDENTITAS UNIT!D9"")"),"#N/A")</f>
        <v>#N/A</v>
      </c>
      <c r="H26208" s="4" t="str">
        <v/>
      </c>
      <c r="I26208" s="4" t="str">
        <v/>
      </c>
    </row>
    <row r="26209" spans="5:9" ht="16.5" hidden="1">
      <c r="E26209" s="4" t="str">
        <v/>
      </c>
      <c r="F26209" s="102" t="str">
        <f ca="1">IFERROR(__xludf.DUMMYFUNCTION("IMPORTRANGE(H26209,""IDENTITAS UNIT!D9"")"),"#N/A")</f>
        <v>#N/A</v>
      </c>
      <c r="H26209" s="4" t="str">
        <v/>
      </c>
      <c r="I26209" s="4" t="str">
        <v/>
      </c>
    </row>
    <row r="26210" spans="5:9" ht="16.5" hidden="1">
      <c r="E26210" s="4" t="str">
        <v/>
      </c>
      <c r="F26210" s="102" t="str">
        <f ca="1">IFERROR(__xludf.DUMMYFUNCTION("IMPORTRANGE(H26210,""IDENTITAS UNIT!D9"")"),"#N/A")</f>
        <v>#N/A</v>
      </c>
      <c r="H26210" s="4" t="str">
        <v/>
      </c>
      <c r="I26210" s="4" t="str">
        <v/>
      </c>
    </row>
    <row r="26211" spans="5:9" ht="16.5" hidden="1">
      <c r="E26211" s="4" t="str">
        <v/>
      </c>
      <c r="F26211" s="102" t="str">
        <f ca="1">IFERROR(__xludf.DUMMYFUNCTION("IMPORTRANGE(H26211,""IDENTITAS UNIT!D9"")"),"#N/A")</f>
        <v>#N/A</v>
      </c>
      <c r="H26211" s="4" t="str">
        <v/>
      </c>
      <c r="I26211" s="4" t="str">
        <v/>
      </c>
    </row>
    <row r="26212" spans="5:9" ht="16.5" hidden="1">
      <c r="E26212" s="4" t="str">
        <v/>
      </c>
      <c r="F26212" s="102" t="str">
        <f ca="1">IFERROR(__xludf.DUMMYFUNCTION("IMPORTRANGE(H26212,""IDENTITAS UNIT!D9"")"),"#N/A")</f>
        <v>#N/A</v>
      </c>
      <c r="H26212" s="4" t="str">
        <v/>
      </c>
      <c r="I26212" s="4" t="str">
        <v/>
      </c>
    </row>
    <row r="26213" spans="5:9" ht="16.5" hidden="1">
      <c r="E26213" s="4" t="str">
        <v/>
      </c>
      <c r="F26213" s="102" t="str">
        <f ca="1">IFERROR(__xludf.DUMMYFUNCTION("IMPORTRANGE(H26213,""IDENTITAS UNIT!D9"")"),"#N/A")</f>
        <v>#N/A</v>
      </c>
      <c r="H26213" s="4" t="str">
        <v/>
      </c>
      <c r="I26213" s="4" t="str">
        <v/>
      </c>
    </row>
    <row r="26214" spans="5:9" ht="16.5" hidden="1">
      <c r="E26214" s="4" t="str">
        <v/>
      </c>
      <c r="F26214" s="102" t="str">
        <f ca="1">IFERROR(__xludf.DUMMYFUNCTION("IMPORTRANGE(H26214,""IDENTITAS UNIT!D9"")"),"#N/A")</f>
        <v>#N/A</v>
      </c>
      <c r="H26214" s="4" t="str">
        <v/>
      </c>
      <c r="I26214" s="4" t="str">
        <v/>
      </c>
    </row>
    <row r="26215" spans="5:9" ht="16.5" hidden="1">
      <c r="E26215" s="4" t="str">
        <v/>
      </c>
      <c r="F26215" s="102" t="str">
        <f ca="1">IFERROR(__xludf.DUMMYFUNCTION("IMPORTRANGE(H26215,""IDENTITAS UNIT!D9"")"),"#N/A")</f>
        <v>#N/A</v>
      </c>
      <c r="H26215" s="4" t="str">
        <v/>
      </c>
      <c r="I26215" s="4" t="str">
        <v/>
      </c>
    </row>
    <row r="26216" spans="5:9" ht="16.5" hidden="1">
      <c r="E26216" s="4" t="str">
        <v/>
      </c>
      <c r="F26216" s="102" t="str">
        <f ca="1">IFERROR(__xludf.DUMMYFUNCTION("IMPORTRANGE(H26216,""IDENTITAS UNIT!D9"")"),"#N/A")</f>
        <v>#N/A</v>
      </c>
      <c r="H26216" s="4" t="str">
        <v/>
      </c>
      <c r="I26216" s="4" t="str">
        <v/>
      </c>
    </row>
    <row r="26217" spans="5:9" ht="16.5" hidden="1">
      <c r="E26217" s="4" t="str">
        <v/>
      </c>
      <c r="F26217" s="102" t="str">
        <f ca="1">IFERROR(__xludf.DUMMYFUNCTION("IMPORTRANGE(H26217,""IDENTITAS UNIT!D9"")"),"#N/A")</f>
        <v>#N/A</v>
      </c>
      <c r="H26217" s="4" t="str">
        <v/>
      </c>
      <c r="I26217" s="4" t="str">
        <v/>
      </c>
    </row>
    <row r="26218" spans="5:9" ht="16.5" hidden="1">
      <c r="E26218" s="4" t="str">
        <v/>
      </c>
      <c r="F26218" s="102" t="str">
        <f ca="1">IFERROR(__xludf.DUMMYFUNCTION("IMPORTRANGE(H26218,""IDENTITAS UNIT!D9"")"),"#N/A")</f>
        <v>#N/A</v>
      </c>
      <c r="H26218" s="4" t="str">
        <v/>
      </c>
      <c r="I26218" s="4" t="str">
        <v/>
      </c>
    </row>
    <row r="26219" spans="5:9" ht="16.5" hidden="1">
      <c r="E26219" s="4" t="str">
        <v/>
      </c>
      <c r="F26219" s="102" t="str">
        <f ca="1">IFERROR(__xludf.DUMMYFUNCTION("IMPORTRANGE(H26219,""IDENTITAS UNIT!D9"")"),"#N/A")</f>
        <v>#N/A</v>
      </c>
      <c r="H26219" s="4" t="str">
        <v/>
      </c>
      <c r="I26219" s="4" t="str">
        <v/>
      </c>
    </row>
    <row r="26220" spans="5:9" ht="16.5" hidden="1">
      <c r="E26220" s="4" t="str">
        <v/>
      </c>
      <c r="F26220" s="102" t="str">
        <f ca="1">IFERROR(__xludf.DUMMYFUNCTION("IMPORTRANGE(H26220,""IDENTITAS UNIT!D9"")"),"#N/A")</f>
        <v>#N/A</v>
      </c>
      <c r="H26220" s="4" t="str">
        <v/>
      </c>
      <c r="I26220" s="4" t="str">
        <v/>
      </c>
    </row>
    <row r="26221" spans="5:9" ht="16.5" hidden="1">
      <c r="E26221" s="4" t="str">
        <v/>
      </c>
      <c r="F26221" s="102" t="str">
        <f ca="1">IFERROR(__xludf.DUMMYFUNCTION("IMPORTRANGE(H26221,""IDENTITAS UNIT!D9"")"),"#N/A")</f>
        <v>#N/A</v>
      </c>
      <c r="H26221" s="4" t="str">
        <v/>
      </c>
      <c r="I26221" s="4" t="str">
        <v/>
      </c>
    </row>
    <row r="26222" spans="5:9" ht="16.5" hidden="1">
      <c r="E26222" s="4" t="str">
        <v/>
      </c>
      <c r="F26222" s="102" t="str">
        <f ca="1">IFERROR(__xludf.DUMMYFUNCTION("IMPORTRANGE(H26222,""IDENTITAS UNIT!D9"")"),"#N/A")</f>
        <v>#N/A</v>
      </c>
      <c r="H26222" s="4" t="str">
        <v/>
      </c>
      <c r="I26222" s="4" t="str">
        <v/>
      </c>
    </row>
    <row r="26223" spans="5:9" ht="16.5" hidden="1">
      <c r="E26223" s="4" t="str">
        <v/>
      </c>
      <c r="F26223" s="102" t="str">
        <f ca="1">IFERROR(__xludf.DUMMYFUNCTION("IMPORTRANGE(H26223,""IDENTITAS UNIT!D9"")"),"#N/A")</f>
        <v>#N/A</v>
      </c>
      <c r="H26223" s="4" t="str">
        <v/>
      </c>
      <c r="I26223" s="4" t="str">
        <v/>
      </c>
    </row>
    <row r="26224" spans="5:9" ht="16.5" hidden="1">
      <c r="E26224" s="4" t="str">
        <v/>
      </c>
      <c r="F26224" s="102" t="str">
        <f ca="1">IFERROR(__xludf.DUMMYFUNCTION("IMPORTRANGE(H26224,""IDENTITAS UNIT!D9"")"),"#N/A")</f>
        <v>#N/A</v>
      </c>
      <c r="H26224" s="4" t="str">
        <v/>
      </c>
      <c r="I26224" s="4" t="str">
        <v/>
      </c>
    </row>
    <row r="26225" spans="5:9" ht="16.5" hidden="1">
      <c r="E26225" s="4" t="str">
        <v/>
      </c>
      <c r="F26225" s="102" t="str">
        <f ca="1">IFERROR(__xludf.DUMMYFUNCTION("IMPORTRANGE(H26225,""IDENTITAS UNIT!D9"")"),"#N/A")</f>
        <v>#N/A</v>
      </c>
      <c r="H26225" s="4" t="str">
        <v/>
      </c>
      <c r="I26225" s="4" t="str">
        <v/>
      </c>
    </row>
    <row r="26226" spans="5:9" ht="16.5" hidden="1">
      <c r="E26226" s="4" t="str">
        <v/>
      </c>
      <c r="F26226" s="102" t="str">
        <f ca="1">IFERROR(__xludf.DUMMYFUNCTION("IMPORTRANGE(H26226,""IDENTITAS UNIT!D9"")"),"#N/A")</f>
        <v>#N/A</v>
      </c>
      <c r="H26226" s="4" t="str">
        <v/>
      </c>
      <c r="I26226" s="4" t="str">
        <v/>
      </c>
    </row>
    <row r="26227" spans="5:9" ht="16.5" hidden="1">
      <c r="E26227" s="4" t="str">
        <v/>
      </c>
      <c r="F26227" s="102" t="str">
        <f ca="1">IFERROR(__xludf.DUMMYFUNCTION("IMPORTRANGE(H26227,""IDENTITAS UNIT!D9"")"),"#N/A")</f>
        <v>#N/A</v>
      </c>
      <c r="H26227" s="4" t="str">
        <v/>
      </c>
      <c r="I26227" s="4" t="str">
        <v/>
      </c>
    </row>
    <row r="26228" spans="5:9" ht="16.5" hidden="1">
      <c r="E26228" s="4" t="str">
        <v/>
      </c>
      <c r="F26228" s="102" t="str">
        <f ca="1">IFERROR(__xludf.DUMMYFUNCTION("IMPORTRANGE(H26228,""IDENTITAS UNIT!D9"")"),"#N/A")</f>
        <v>#N/A</v>
      </c>
      <c r="H26228" s="4" t="str">
        <v/>
      </c>
      <c r="I26228" s="4" t="str">
        <v/>
      </c>
    </row>
    <row r="26229" spans="5:9" ht="16.5" hidden="1">
      <c r="E26229" s="4" t="str">
        <v/>
      </c>
      <c r="F26229" s="102" t="str">
        <f ca="1">IFERROR(__xludf.DUMMYFUNCTION("IMPORTRANGE(H26229,""IDENTITAS UNIT!D9"")"),"#N/A")</f>
        <v>#N/A</v>
      </c>
      <c r="H26229" s="4" t="str">
        <v/>
      </c>
      <c r="I26229" s="4" t="str">
        <v/>
      </c>
    </row>
    <row r="26230" spans="5:9" ht="16.5" hidden="1">
      <c r="E26230" s="4" t="str">
        <v/>
      </c>
      <c r="F26230" s="102" t="str">
        <f ca="1">IFERROR(__xludf.DUMMYFUNCTION("IMPORTRANGE(H26230,""IDENTITAS UNIT!D9"")"),"#N/A")</f>
        <v>#N/A</v>
      </c>
      <c r="H26230" s="4" t="str">
        <v/>
      </c>
      <c r="I26230" s="4" t="str">
        <v/>
      </c>
    </row>
    <row r="26231" spans="5:9" ht="16.5" hidden="1">
      <c r="E26231" s="4" t="str">
        <v/>
      </c>
      <c r="F26231" s="102" t="str">
        <f ca="1">IFERROR(__xludf.DUMMYFUNCTION("IMPORTRANGE(H26231,""IDENTITAS UNIT!D9"")"),"#N/A")</f>
        <v>#N/A</v>
      </c>
      <c r="H26231" s="4" t="str">
        <v/>
      </c>
      <c r="I26231" s="4" t="str">
        <v/>
      </c>
    </row>
    <row r="26232" spans="5:9" ht="16.5" hidden="1">
      <c r="E26232" s="4" t="str">
        <v/>
      </c>
      <c r="F26232" s="102" t="str">
        <f ca="1">IFERROR(__xludf.DUMMYFUNCTION("IMPORTRANGE(H26232,""IDENTITAS UNIT!D9"")"),"#N/A")</f>
        <v>#N/A</v>
      </c>
      <c r="H26232" s="4" t="str">
        <v/>
      </c>
      <c r="I26232" s="4" t="str">
        <v/>
      </c>
    </row>
    <row r="26233" spans="5:9" ht="16.5" hidden="1">
      <c r="E26233" s="4" t="str">
        <v/>
      </c>
      <c r="F26233" s="102" t="str">
        <f ca="1">IFERROR(__xludf.DUMMYFUNCTION("IMPORTRANGE(H26233,""IDENTITAS UNIT!D9"")"),"#N/A")</f>
        <v>#N/A</v>
      </c>
      <c r="H26233" s="4" t="str">
        <v/>
      </c>
      <c r="I26233" s="4" t="str">
        <v/>
      </c>
    </row>
    <row r="26234" spans="5:9" ht="16.5" hidden="1">
      <c r="E26234" s="4" t="str">
        <v/>
      </c>
      <c r="F26234" s="102" t="str">
        <f ca="1">IFERROR(__xludf.DUMMYFUNCTION("IMPORTRANGE(H26234,""IDENTITAS UNIT!D9"")"),"#N/A")</f>
        <v>#N/A</v>
      </c>
      <c r="H26234" s="4" t="str">
        <v/>
      </c>
      <c r="I26234" s="4" t="str">
        <v/>
      </c>
    </row>
    <row r="26235" spans="5:9" ht="16.5" hidden="1">
      <c r="E26235" s="4" t="str">
        <v/>
      </c>
      <c r="F26235" s="102" t="str">
        <f ca="1">IFERROR(__xludf.DUMMYFUNCTION("IMPORTRANGE(H26235,""IDENTITAS UNIT!D9"")"),"#N/A")</f>
        <v>#N/A</v>
      </c>
      <c r="H26235" s="4" t="str">
        <v/>
      </c>
      <c r="I26235" s="4" t="str">
        <v/>
      </c>
    </row>
    <row r="26236" spans="5:9" ht="16.5" hidden="1">
      <c r="E26236" s="4" t="str">
        <v/>
      </c>
      <c r="F26236" s="102" t="str">
        <f ca="1">IFERROR(__xludf.DUMMYFUNCTION("IMPORTRANGE(H26236,""IDENTITAS UNIT!D9"")"),"#N/A")</f>
        <v>#N/A</v>
      </c>
      <c r="H26236" s="4" t="str">
        <v/>
      </c>
      <c r="I26236" s="4" t="str">
        <v/>
      </c>
    </row>
    <row r="26237" spans="5:9" ht="16.5" hidden="1">
      <c r="E26237" s="4" t="str">
        <v/>
      </c>
      <c r="F26237" s="102" t="str">
        <f ca="1">IFERROR(__xludf.DUMMYFUNCTION("IMPORTRANGE(H26237,""IDENTITAS UNIT!D9"")"),"#N/A")</f>
        <v>#N/A</v>
      </c>
      <c r="H26237" s="4" t="str">
        <v/>
      </c>
      <c r="I26237" s="4" t="str">
        <v/>
      </c>
    </row>
    <row r="26238" spans="5:9" ht="16.5" hidden="1">
      <c r="E26238" s="4" t="str">
        <v/>
      </c>
      <c r="F26238" s="102" t="str">
        <f ca="1">IFERROR(__xludf.DUMMYFUNCTION("IMPORTRANGE(H26238,""IDENTITAS UNIT!D9"")"),"#N/A")</f>
        <v>#N/A</v>
      </c>
      <c r="H26238" s="4" t="str">
        <v/>
      </c>
      <c r="I26238" s="4" t="str">
        <v/>
      </c>
    </row>
    <row r="26239" spans="5:9" ht="16.5" hidden="1">
      <c r="E26239" s="4" t="str">
        <v/>
      </c>
      <c r="F26239" s="102" t="str">
        <f ca="1">IFERROR(__xludf.DUMMYFUNCTION("IMPORTRANGE(H26239,""IDENTITAS UNIT!D9"")"),"#N/A")</f>
        <v>#N/A</v>
      </c>
      <c r="H26239" s="4" t="str">
        <v/>
      </c>
      <c r="I26239" s="4" t="str">
        <v/>
      </c>
    </row>
    <row r="26240" spans="5:9" ht="16.5" hidden="1">
      <c r="E26240" s="4" t="str">
        <v/>
      </c>
      <c r="F26240" s="102" t="str">
        <f ca="1">IFERROR(__xludf.DUMMYFUNCTION("IMPORTRANGE(H26240,""IDENTITAS UNIT!D9"")"),"#N/A")</f>
        <v>#N/A</v>
      </c>
      <c r="H26240" s="4" t="str">
        <v/>
      </c>
      <c r="I26240" s="4" t="str">
        <v/>
      </c>
    </row>
    <row r="26241" spans="5:9" ht="16.5" hidden="1">
      <c r="E26241" s="4" t="str">
        <v/>
      </c>
      <c r="F26241" s="102" t="str">
        <f ca="1">IFERROR(__xludf.DUMMYFUNCTION("IMPORTRANGE(H26241,""IDENTITAS UNIT!D9"")"),"#N/A")</f>
        <v>#N/A</v>
      </c>
      <c r="H26241" s="4" t="str">
        <v/>
      </c>
      <c r="I26241" s="4" t="str">
        <v/>
      </c>
    </row>
    <row r="26242" spans="5:9" ht="16.5" hidden="1">
      <c r="E26242" s="4" t="str">
        <v/>
      </c>
      <c r="F26242" s="102" t="str">
        <f ca="1">IFERROR(__xludf.DUMMYFUNCTION("IMPORTRANGE(H26242,""IDENTITAS UNIT!D9"")"),"#N/A")</f>
        <v>#N/A</v>
      </c>
      <c r="H26242" s="4" t="str">
        <v/>
      </c>
      <c r="I26242" s="4" t="str">
        <v/>
      </c>
    </row>
    <row r="26243" spans="5:9" ht="16.5" hidden="1">
      <c r="E26243" s="4" t="str">
        <v/>
      </c>
      <c r="F26243" s="102" t="str">
        <f ca="1">IFERROR(__xludf.DUMMYFUNCTION("IMPORTRANGE(H26243,""IDENTITAS UNIT!D9"")"),"#N/A")</f>
        <v>#N/A</v>
      </c>
      <c r="H26243" s="4" t="str">
        <v/>
      </c>
      <c r="I26243" s="4" t="str">
        <v/>
      </c>
    </row>
    <row r="26244" spans="5:9" ht="16.5" hidden="1">
      <c r="E26244" s="4" t="str">
        <v/>
      </c>
      <c r="F26244" s="102" t="str">
        <f ca="1">IFERROR(__xludf.DUMMYFUNCTION("IMPORTRANGE(H26244,""IDENTITAS UNIT!D9"")"),"#N/A")</f>
        <v>#N/A</v>
      </c>
      <c r="H26244" s="4" t="str">
        <v/>
      </c>
      <c r="I26244" s="4" t="str">
        <v/>
      </c>
    </row>
    <row r="26245" spans="5:9" ht="16.5" hidden="1">
      <c r="E26245" s="4" t="str">
        <v/>
      </c>
      <c r="F26245" s="102" t="str">
        <f ca="1">IFERROR(__xludf.DUMMYFUNCTION("IMPORTRANGE(H26245,""IDENTITAS UNIT!D9"")"),"#N/A")</f>
        <v>#N/A</v>
      </c>
      <c r="H26245" s="4" t="str">
        <v/>
      </c>
      <c r="I26245" s="4" t="str">
        <v/>
      </c>
    </row>
    <row r="26246" spans="5:9" ht="16.5" hidden="1">
      <c r="E26246" s="4" t="str">
        <v/>
      </c>
      <c r="F26246" s="102" t="str">
        <f ca="1">IFERROR(__xludf.DUMMYFUNCTION("IMPORTRANGE(H26246,""IDENTITAS UNIT!D9"")"),"#N/A")</f>
        <v>#N/A</v>
      </c>
      <c r="H26246" s="4" t="str">
        <v/>
      </c>
      <c r="I26246" s="4" t="str">
        <v/>
      </c>
    </row>
    <row r="26247" spans="5:9" ht="16.5" hidden="1">
      <c r="E26247" s="4" t="str">
        <v/>
      </c>
      <c r="F26247" s="102" t="str">
        <f ca="1">IFERROR(__xludf.DUMMYFUNCTION("IMPORTRANGE(H26247,""IDENTITAS UNIT!D9"")"),"#N/A")</f>
        <v>#N/A</v>
      </c>
      <c r="H26247" s="4" t="str">
        <v/>
      </c>
      <c r="I26247" s="4" t="str">
        <v/>
      </c>
    </row>
    <row r="26248" spans="5:9" ht="16.5" hidden="1">
      <c r="E26248" s="4" t="str">
        <v/>
      </c>
      <c r="F26248" s="102" t="str">
        <f ca="1">IFERROR(__xludf.DUMMYFUNCTION("IMPORTRANGE(H26248,""IDENTITAS UNIT!D9"")"),"#N/A")</f>
        <v>#N/A</v>
      </c>
      <c r="H26248" s="4" t="str">
        <v/>
      </c>
      <c r="I26248" s="4" t="str">
        <v/>
      </c>
    </row>
    <row r="26249" spans="5:9" ht="16.5" hidden="1">
      <c r="E26249" s="4" t="str">
        <v/>
      </c>
      <c r="F26249" s="102" t="str">
        <f ca="1">IFERROR(__xludf.DUMMYFUNCTION("IMPORTRANGE(H26249,""IDENTITAS UNIT!D9"")"),"#N/A")</f>
        <v>#N/A</v>
      </c>
      <c r="H26249" s="4" t="str">
        <v/>
      </c>
      <c r="I26249" s="4" t="str">
        <v/>
      </c>
    </row>
    <row r="26250" spans="5:9" ht="16.5" hidden="1">
      <c r="E26250" s="4" t="str">
        <v/>
      </c>
      <c r="F26250" s="102" t="str">
        <f ca="1">IFERROR(__xludf.DUMMYFUNCTION("IMPORTRANGE(H26250,""IDENTITAS UNIT!D9"")"),"#N/A")</f>
        <v>#N/A</v>
      </c>
      <c r="H26250" s="4" t="str">
        <v/>
      </c>
      <c r="I26250" s="4" t="str">
        <v/>
      </c>
    </row>
    <row r="26251" spans="5:9" ht="16.5" hidden="1">
      <c r="E26251" s="4" t="str">
        <v/>
      </c>
      <c r="F26251" s="102" t="str">
        <f ca="1">IFERROR(__xludf.DUMMYFUNCTION("IMPORTRANGE(H26251,""IDENTITAS UNIT!D9"")"),"#N/A")</f>
        <v>#N/A</v>
      </c>
      <c r="H26251" s="4" t="str">
        <v/>
      </c>
      <c r="I26251" s="4" t="str">
        <v/>
      </c>
    </row>
    <row r="26252" spans="5:9" ht="16.5" hidden="1">
      <c r="E26252" s="4" t="str">
        <v/>
      </c>
      <c r="F26252" s="102" t="str">
        <f ca="1">IFERROR(__xludf.DUMMYFUNCTION("IMPORTRANGE(H26252,""IDENTITAS UNIT!D9"")"),"#N/A")</f>
        <v>#N/A</v>
      </c>
      <c r="H26252" s="4" t="str">
        <v/>
      </c>
      <c r="I26252" s="4" t="str">
        <v/>
      </c>
    </row>
    <row r="26253" spans="5:9" ht="16.5" hidden="1">
      <c r="E26253" s="4" t="str">
        <v/>
      </c>
      <c r="F26253" s="102" t="str">
        <f ca="1">IFERROR(__xludf.DUMMYFUNCTION("IMPORTRANGE(H26253,""IDENTITAS UNIT!D9"")"),"#N/A")</f>
        <v>#N/A</v>
      </c>
      <c r="H26253" s="4" t="str">
        <v/>
      </c>
      <c r="I26253" s="4" t="str">
        <v/>
      </c>
    </row>
    <row r="26254" spans="5:9" ht="16.5" hidden="1">
      <c r="E26254" s="4" t="str">
        <v/>
      </c>
      <c r="F26254" s="102" t="str">
        <f ca="1">IFERROR(__xludf.DUMMYFUNCTION("IMPORTRANGE(H26254,""IDENTITAS UNIT!D9"")"),"#N/A")</f>
        <v>#N/A</v>
      </c>
      <c r="H26254" s="4" t="str">
        <v/>
      </c>
      <c r="I26254" s="4" t="str">
        <v/>
      </c>
    </row>
    <row r="26255" spans="5:9" ht="16.5" hidden="1">
      <c r="E26255" s="4" t="str">
        <v/>
      </c>
      <c r="F26255" s="102" t="str">
        <f ca="1">IFERROR(__xludf.DUMMYFUNCTION("IMPORTRANGE(H26255,""IDENTITAS UNIT!D9"")"),"#N/A")</f>
        <v>#N/A</v>
      </c>
      <c r="H26255" s="4" t="str">
        <v/>
      </c>
      <c r="I26255" s="4" t="str">
        <v/>
      </c>
    </row>
    <row r="26256" spans="5:9" ht="16.5" hidden="1">
      <c r="E26256" s="4" t="str">
        <v/>
      </c>
      <c r="F26256" s="102" t="str">
        <f ca="1">IFERROR(__xludf.DUMMYFUNCTION("IMPORTRANGE(H26256,""IDENTITAS UNIT!D9"")"),"#N/A")</f>
        <v>#N/A</v>
      </c>
      <c r="H26256" s="4" t="str">
        <v/>
      </c>
      <c r="I26256" s="4" t="str">
        <v/>
      </c>
    </row>
    <row r="26257" spans="5:9" ht="16.5" hidden="1">
      <c r="E26257" s="4" t="str">
        <v/>
      </c>
      <c r="F26257" s="102" t="str">
        <f ca="1">IFERROR(__xludf.DUMMYFUNCTION("IMPORTRANGE(H26257,""IDENTITAS UNIT!D9"")"),"#N/A")</f>
        <v>#N/A</v>
      </c>
      <c r="H26257" s="4" t="str">
        <v/>
      </c>
      <c r="I26257" s="4" t="str">
        <v/>
      </c>
    </row>
    <row r="26258" spans="5:9" ht="16.5" hidden="1">
      <c r="E26258" s="4" t="str">
        <v/>
      </c>
      <c r="F26258" s="102" t="str">
        <f ca="1">IFERROR(__xludf.DUMMYFUNCTION("IMPORTRANGE(H26258,""IDENTITAS UNIT!D9"")"),"#N/A")</f>
        <v>#N/A</v>
      </c>
      <c r="H26258" s="4" t="str">
        <v/>
      </c>
      <c r="I26258" s="4" t="str">
        <v/>
      </c>
    </row>
    <row r="26259" spans="5:9" ht="16.5" hidden="1">
      <c r="E26259" s="4" t="str">
        <v/>
      </c>
      <c r="F26259" s="102" t="str">
        <f ca="1">IFERROR(__xludf.DUMMYFUNCTION("IMPORTRANGE(H26259,""IDENTITAS UNIT!D9"")"),"#N/A")</f>
        <v>#N/A</v>
      </c>
      <c r="H26259" s="4" t="str">
        <v/>
      </c>
      <c r="I26259" s="4" t="str">
        <v/>
      </c>
    </row>
    <row r="26260" spans="5:9" ht="16.5" hidden="1">
      <c r="E26260" s="4" t="str">
        <v/>
      </c>
      <c r="F26260" s="102" t="str">
        <f ca="1">IFERROR(__xludf.DUMMYFUNCTION("IMPORTRANGE(H26260,""IDENTITAS UNIT!D9"")"),"#N/A")</f>
        <v>#N/A</v>
      </c>
      <c r="H26260" s="4" t="str">
        <v/>
      </c>
      <c r="I26260" s="4" t="str">
        <v/>
      </c>
    </row>
    <row r="26261" spans="5:9" ht="16.5" hidden="1">
      <c r="E26261" s="4" t="str">
        <v/>
      </c>
      <c r="F26261" s="102" t="str">
        <f ca="1">IFERROR(__xludf.DUMMYFUNCTION("IMPORTRANGE(H26261,""IDENTITAS UNIT!D9"")"),"#N/A")</f>
        <v>#N/A</v>
      </c>
      <c r="H26261" s="4" t="str">
        <v/>
      </c>
      <c r="I26261" s="4" t="str">
        <v/>
      </c>
    </row>
    <row r="26262" spans="5:9" ht="16.5" hidden="1">
      <c r="E26262" s="4" t="str">
        <v/>
      </c>
      <c r="F26262" s="102" t="str">
        <f ca="1">IFERROR(__xludf.DUMMYFUNCTION("IMPORTRANGE(H26262,""IDENTITAS UNIT!D9"")"),"#N/A")</f>
        <v>#N/A</v>
      </c>
      <c r="H26262" s="4" t="str">
        <v/>
      </c>
      <c r="I26262" s="4" t="str">
        <v/>
      </c>
    </row>
    <row r="26263" spans="5:9" ht="16.5" hidden="1">
      <c r="E26263" s="4" t="str">
        <v/>
      </c>
      <c r="F26263" s="102" t="str">
        <f ca="1">IFERROR(__xludf.DUMMYFUNCTION("IMPORTRANGE(H26263,""IDENTITAS UNIT!D9"")"),"#N/A")</f>
        <v>#N/A</v>
      </c>
      <c r="H26263" s="4" t="str">
        <v/>
      </c>
      <c r="I26263" s="4" t="str">
        <v/>
      </c>
    </row>
    <row r="26264" spans="5:9" ht="16.5" hidden="1">
      <c r="E26264" s="4" t="str">
        <v/>
      </c>
      <c r="F26264" s="102" t="str">
        <f ca="1">IFERROR(__xludf.DUMMYFUNCTION("IMPORTRANGE(H26264,""IDENTITAS UNIT!D9"")"),"#N/A")</f>
        <v>#N/A</v>
      </c>
      <c r="H26264" s="4" t="str">
        <v/>
      </c>
      <c r="I26264" s="4" t="str">
        <v/>
      </c>
    </row>
    <row r="26265" spans="5:9" ht="16.5" hidden="1">
      <c r="E26265" s="4" t="str">
        <v/>
      </c>
      <c r="F26265" s="102" t="str">
        <f ca="1">IFERROR(__xludf.DUMMYFUNCTION("IMPORTRANGE(H26265,""IDENTITAS UNIT!D9"")"),"#N/A")</f>
        <v>#N/A</v>
      </c>
      <c r="H26265" s="4" t="str">
        <v/>
      </c>
      <c r="I26265" s="4" t="str">
        <v/>
      </c>
    </row>
    <row r="26266" spans="5:9" ht="16.5" hidden="1">
      <c r="E26266" s="4" t="str">
        <v/>
      </c>
      <c r="F26266" s="102" t="str">
        <f ca="1">IFERROR(__xludf.DUMMYFUNCTION("IMPORTRANGE(H26266,""IDENTITAS UNIT!D9"")"),"#N/A")</f>
        <v>#N/A</v>
      </c>
      <c r="H26266" s="4" t="str">
        <v/>
      </c>
      <c r="I26266" s="4" t="str">
        <v/>
      </c>
    </row>
    <row r="26267" spans="5:9" ht="16.5" hidden="1">
      <c r="E26267" s="4" t="str">
        <v/>
      </c>
      <c r="F26267" s="102" t="str">
        <f ca="1">IFERROR(__xludf.DUMMYFUNCTION("IMPORTRANGE(H26267,""IDENTITAS UNIT!D9"")"),"#N/A")</f>
        <v>#N/A</v>
      </c>
      <c r="H26267" s="4" t="str">
        <v/>
      </c>
      <c r="I26267" s="4" t="str">
        <v/>
      </c>
    </row>
    <row r="26268" spans="5:9" ht="16.5" hidden="1">
      <c r="E26268" s="4" t="str">
        <v/>
      </c>
      <c r="F26268" s="102" t="str">
        <f ca="1">IFERROR(__xludf.DUMMYFUNCTION("IMPORTRANGE(H26268,""IDENTITAS UNIT!D9"")"),"#N/A")</f>
        <v>#N/A</v>
      </c>
      <c r="H26268" s="4" t="str">
        <v/>
      </c>
      <c r="I26268" s="4" t="str">
        <v/>
      </c>
    </row>
    <row r="26269" spans="5:9" ht="16.5" hidden="1">
      <c r="E26269" s="4" t="str">
        <v/>
      </c>
      <c r="F26269" s="102" t="str">
        <f ca="1">IFERROR(__xludf.DUMMYFUNCTION("IMPORTRANGE(H26269,""IDENTITAS UNIT!D9"")"),"#N/A")</f>
        <v>#N/A</v>
      </c>
      <c r="H26269" s="4" t="str">
        <v/>
      </c>
      <c r="I26269" s="4" t="str">
        <v/>
      </c>
    </row>
    <row r="26270" spans="5:9" ht="16.5" hidden="1">
      <c r="E26270" s="4" t="str">
        <v/>
      </c>
      <c r="F26270" s="102" t="str">
        <f ca="1">IFERROR(__xludf.DUMMYFUNCTION("IMPORTRANGE(H26270,""IDENTITAS UNIT!D9"")"),"#N/A")</f>
        <v>#N/A</v>
      </c>
      <c r="H26270" s="4" t="str">
        <v/>
      </c>
      <c r="I26270" s="4" t="str">
        <v/>
      </c>
    </row>
    <row r="26271" spans="5:9" ht="16.5" hidden="1">
      <c r="E26271" s="4" t="str">
        <v/>
      </c>
      <c r="F26271" s="102" t="str">
        <f ca="1">IFERROR(__xludf.DUMMYFUNCTION("IMPORTRANGE(H26271,""IDENTITAS UNIT!D9"")"),"#N/A")</f>
        <v>#N/A</v>
      </c>
      <c r="H26271" s="4" t="str">
        <v/>
      </c>
      <c r="I26271" s="4" t="str">
        <v/>
      </c>
    </row>
    <row r="26272" spans="5:9" ht="16.5" hidden="1">
      <c r="E26272" s="4" t="str">
        <v/>
      </c>
      <c r="F26272" s="102" t="str">
        <f ca="1">IFERROR(__xludf.DUMMYFUNCTION("IMPORTRANGE(H26272,""IDENTITAS UNIT!D9"")"),"#N/A")</f>
        <v>#N/A</v>
      </c>
      <c r="H26272" s="4" t="str">
        <v/>
      </c>
      <c r="I26272" s="4" t="str">
        <v/>
      </c>
    </row>
    <row r="26273" spans="5:9" ht="16.5" hidden="1">
      <c r="E26273" s="4" t="str">
        <v/>
      </c>
      <c r="F26273" s="102" t="str">
        <f ca="1">IFERROR(__xludf.DUMMYFUNCTION("IMPORTRANGE(H26273,""IDENTITAS UNIT!D9"")"),"#N/A")</f>
        <v>#N/A</v>
      </c>
      <c r="H26273" s="4" t="str">
        <v/>
      </c>
      <c r="I26273" s="4" t="str">
        <v/>
      </c>
    </row>
    <row r="26274" spans="5:9" ht="16.5" hidden="1">
      <c r="E26274" s="4" t="str">
        <v/>
      </c>
      <c r="F26274" s="102" t="str">
        <f ca="1">IFERROR(__xludf.DUMMYFUNCTION("IMPORTRANGE(H26274,""IDENTITAS UNIT!D9"")"),"#N/A")</f>
        <v>#N/A</v>
      </c>
      <c r="H26274" s="4" t="str">
        <v/>
      </c>
      <c r="I26274" s="4" t="str">
        <v/>
      </c>
    </row>
    <row r="26275" spans="5:9" ht="16.5" hidden="1">
      <c r="E26275" s="4" t="str">
        <v/>
      </c>
      <c r="F26275" s="102" t="str">
        <f ca="1">IFERROR(__xludf.DUMMYFUNCTION("IMPORTRANGE(H26275,""IDENTITAS UNIT!D9"")"),"#N/A")</f>
        <v>#N/A</v>
      </c>
      <c r="H26275" s="4" t="str">
        <v/>
      </c>
      <c r="I26275" s="4" t="str">
        <v/>
      </c>
    </row>
    <row r="26276" spans="5:9" ht="16.5" hidden="1">
      <c r="E26276" s="4" t="str">
        <v/>
      </c>
      <c r="F26276" s="102" t="str">
        <f ca="1">IFERROR(__xludf.DUMMYFUNCTION("IMPORTRANGE(H26276,""IDENTITAS UNIT!D9"")"),"#N/A")</f>
        <v>#N/A</v>
      </c>
      <c r="H26276" s="4" t="str">
        <v/>
      </c>
      <c r="I26276" s="4" t="str">
        <v/>
      </c>
    </row>
    <row r="26277" spans="5:9" ht="16.5" hidden="1">
      <c r="E26277" s="4" t="str">
        <v/>
      </c>
      <c r="F26277" s="102" t="str">
        <f ca="1">IFERROR(__xludf.DUMMYFUNCTION("IMPORTRANGE(H26277,""IDENTITAS UNIT!D9"")"),"#N/A")</f>
        <v>#N/A</v>
      </c>
      <c r="H26277" s="4" t="str">
        <v/>
      </c>
      <c r="I26277" s="4" t="str">
        <v/>
      </c>
    </row>
    <row r="26278" spans="5:9" ht="16.5" hidden="1">
      <c r="E26278" s="4" t="str">
        <v/>
      </c>
      <c r="F26278" s="102" t="str">
        <f ca="1">IFERROR(__xludf.DUMMYFUNCTION("IMPORTRANGE(H26278,""IDENTITAS UNIT!D9"")"),"#N/A")</f>
        <v>#N/A</v>
      </c>
      <c r="H26278" s="4" t="str">
        <v/>
      </c>
      <c r="I26278" s="4" t="str">
        <v/>
      </c>
    </row>
    <row r="26279" spans="5:9" ht="16.5" hidden="1">
      <c r="E26279" s="4" t="str">
        <v/>
      </c>
      <c r="F26279" s="102" t="str">
        <f ca="1">IFERROR(__xludf.DUMMYFUNCTION("IMPORTRANGE(H26279,""IDENTITAS UNIT!D9"")"),"#N/A")</f>
        <v>#N/A</v>
      </c>
      <c r="H26279" s="4" t="str">
        <v/>
      </c>
      <c r="I26279" s="4" t="str">
        <v/>
      </c>
    </row>
    <row r="26280" spans="5:9" ht="16.5" hidden="1">
      <c r="E26280" s="4" t="str">
        <v/>
      </c>
      <c r="F26280" s="102" t="str">
        <f ca="1">IFERROR(__xludf.DUMMYFUNCTION("IMPORTRANGE(H26280,""IDENTITAS UNIT!D9"")"),"#N/A")</f>
        <v>#N/A</v>
      </c>
      <c r="H26280" s="4" t="str">
        <v/>
      </c>
      <c r="I26280" s="4" t="str">
        <v/>
      </c>
    </row>
    <row r="26281" spans="5:9" ht="16.5" hidden="1">
      <c r="E26281" s="4" t="str">
        <v/>
      </c>
      <c r="F26281" s="102" t="str">
        <f ca="1">IFERROR(__xludf.DUMMYFUNCTION("IMPORTRANGE(H26281,""IDENTITAS UNIT!D9"")"),"#N/A")</f>
        <v>#N/A</v>
      </c>
      <c r="H26281" s="4" t="str">
        <v/>
      </c>
      <c r="I26281" s="4" t="str">
        <v/>
      </c>
    </row>
    <row r="26282" spans="5:9" ht="16.5" hidden="1">
      <c r="E26282" s="4" t="str">
        <v/>
      </c>
      <c r="F26282" s="102" t="str">
        <f ca="1">IFERROR(__xludf.DUMMYFUNCTION("IMPORTRANGE(H26282,""IDENTITAS UNIT!D9"")"),"#N/A")</f>
        <v>#N/A</v>
      </c>
      <c r="H26282" s="4" t="str">
        <v/>
      </c>
      <c r="I26282" s="4" t="str">
        <v/>
      </c>
    </row>
    <row r="26283" spans="5:9" ht="16.5" hidden="1">
      <c r="E26283" s="4" t="str">
        <v/>
      </c>
      <c r="F26283" s="102" t="str">
        <f ca="1">IFERROR(__xludf.DUMMYFUNCTION("IMPORTRANGE(H26283,""IDENTITAS UNIT!D9"")"),"#N/A")</f>
        <v>#N/A</v>
      </c>
      <c r="H26283" s="4" t="str">
        <v/>
      </c>
      <c r="I26283" s="4" t="str">
        <v/>
      </c>
    </row>
    <row r="26284" spans="5:9" ht="16.5" hidden="1">
      <c r="E26284" s="4" t="str">
        <v/>
      </c>
      <c r="F26284" s="102" t="str">
        <f ca="1">IFERROR(__xludf.DUMMYFUNCTION("IMPORTRANGE(H26284,""IDENTITAS UNIT!D9"")"),"#N/A")</f>
        <v>#N/A</v>
      </c>
      <c r="H26284" s="4" t="str">
        <v/>
      </c>
      <c r="I26284" s="4" t="str">
        <v/>
      </c>
    </row>
    <row r="26285" spans="5:9" ht="16.5" hidden="1">
      <c r="E26285" s="4" t="str">
        <v/>
      </c>
      <c r="F26285" s="102" t="str">
        <f ca="1">IFERROR(__xludf.DUMMYFUNCTION("IMPORTRANGE(H26285,""IDENTITAS UNIT!D9"")"),"#N/A")</f>
        <v>#N/A</v>
      </c>
      <c r="H26285" s="4" t="str">
        <v/>
      </c>
      <c r="I26285" s="4" t="str">
        <v/>
      </c>
    </row>
    <row r="26286" spans="5:9" ht="16.5" hidden="1">
      <c r="E26286" s="4" t="str">
        <v/>
      </c>
      <c r="F26286" s="102" t="str">
        <f ca="1">IFERROR(__xludf.DUMMYFUNCTION("IMPORTRANGE(H26286,""IDENTITAS UNIT!D9"")"),"#N/A")</f>
        <v>#N/A</v>
      </c>
      <c r="H26286" s="4" t="str">
        <v/>
      </c>
      <c r="I26286" s="4" t="str">
        <v/>
      </c>
    </row>
    <row r="26287" spans="5:9" ht="16.5" hidden="1">
      <c r="E26287" s="4" t="str">
        <v/>
      </c>
      <c r="F26287" s="102" t="str">
        <f ca="1">IFERROR(__xludf.DUMMYFUNCTION("IMPORTRANGE(H26287,""IDENTITAS UNIT!D9"")"),"#N/A")</f>
        <v>#N/A</v>
      </c>
      <c r="H26287" s="4" t="str">
        <v/>
      </c>
      <c r="I26287" s="4" t="str">
        <v/>
      </c>
    </row>
    <row r="26288" spans="5:9" ht="16.5" hidden="1">
      <c r="E26288" s="4" t="str">
        <v/>
      </c>
      <c r="F26288" s="102" t="str">
        <f ca="1">IFERROR(__xludf.DUMMYFUNCTION("IMPORTRANGE(H26288,""IDENTITAS UNIT!D9"")"),"#N/A")</f>
        <v>#N/A</v>
      </c>
      <c r="H26288" s="4" t="str">
        <v/>
      </c>
      <c r="I26288" s="4" t="str">
        <v/>
      </c>
    </row>
    <row r="26289" spans="5:9" ht="16.5" hidden="1">
      <c r="E26289" s="4" t="str">
        <v/>
      </c>
      <c r="F26289" s="102" t="str">
        <f ca="1">IFERROR(__xludf.DUMMYFUNCTION("IMPORTRANGE(H26289,""IDENTITAS UNIT!D9"")"),"#N/A")</f>
        <v>#N/A</v>
      </c>
      <c r="H26289" s="4" t="str">
        <v/>
      </c>
      <c r="I26289" s="4" t="str">
        <v/>
      </c>
    </row>
    <row r="26290" spans="5:9" ht="16.5" hidden="1">
      <c r="E26290" s="4" t="str">
        <v/>
      </c>
      <c r="F26290" s="102" t="str">
        <f ca="1">IFERROR(__xludf.DUMMYFUNCTION("IMPORTRANGE(H26290,""IDENTITAS UNIT!D9"")"),"#N/A")</f>
        <v>#N/A</v>
      </c>
      <c r="H26290" s="4" t="str">
        <v/>
      </c>
      <c r="I26290" s="4" t="str">
        <v/>
      </c>
    </row>
    <row r="26291" spans="5:9" ht="16.5" hidden="1">
      <c r="E26291" s="4" t="str">
        <v/>
      </c>
      <c r="F26291" s="102" t="str">
        <f ca="1">IFERROR(__xludf.DUMMYFUNCTION("IMPORTRANGE(H26291,""IDENTITAS UNIT!D9"")"),"#N/A")</f>
        <v>#N/A</v>
      </c>
      <c r="H26291" s="4" t="str">
        <v/>
      </c>
      <c r="I26291" s="4" t="str">
        <v/>
      </c>
    </row>
    <row r="26292" spans="5:9" ht="16.5" hidden="1">
      <c r="E26292" s="4" t="str">
        <v/>
      </c>
      <c r="F26292" s="102" t="str">
        <f ca="1">IFERROR(__xludf.DUMMYFUNCTION("IMPORTRANGE(H26292,""IDENTITAS UNIT!D9"")"),"#N/A")</f>
        <v>#N/A</v>
      </c>
      <c r="H26292" s="4" t="str">
        <v/>
      </c>
      <c r="I26292" s="4" t="str">
        <v/>
      </c>
    </row>
    <row r="26293" spans="5:9" ht="16.5" hidden="1">
      <c r="E26293" s="4" t="str">
        <v/>
      </c>
      <c r="F26293" s="102" t="str">
        <f ca="1">IFERROR(__xludf.DUMMYFUNCTION("IMPORTRANGE(H26293,""IDENTITAS UNIT!D9"")"),"#N/A")</f>
        <v>#N/A</v>
      </c>
      <c r="H26293" s="4" t="str">
        <v/>
      </c>
      <c r="I26293" s="4" t="str">
        <v/>
      </c>
    </row>
    <row r="26294" spans="5:9" ht="16.5" hidden="1">
      <c r="E26294" s="4" t="str">
        <v/>
      </c>
      <c r="F26294" s="102" t="str">
        <f ca="1">IFERROR(__xludf.DUMMYFUNCTION("IMPORTRANGE(H26294,""IDENTITAS UNIT!D9"")"),"#N/A")</f>
        <v>#N/A</v>
      </c>
      <c r="H26294" s="4" t="str">
        <v/>
      </c>
      <c r="I26294" s="4" t="str">
        <v/>
      </c>
    </row>
    <row r="26295" spans="5:9" ht="16.5" hidden="1">
      <c r="E26295" s="4" t="str">
        <v/>
      </c>
      <c r="F26295" s="102" t="str">
        <f ca="1">IFERROR(__xludf.DUMMYFUNCTION("IMPORTRANGE(H26295,""IDENTITAS UNIT!D9"")"),"#N/A")</f>
        <v>#N/A</v>
      </c>
      <c r="H26295" s="4" t="str">
        <v/>
      </c>
      <c r="I26295" s="4" t="str">
        <v/>
      </c>
    </row>
    <row r="26296" spans="5:9" ht="16.5" hidden="1">
      <c r="E26296" s="4" t="str">
        <v/>
      </c>
      <c r="F26296" s="102" t="str">
        <f ca="1">IFERROR(__xludf.DUMMYFUNCTION("IMPORTRANGE(H26296,""IDENTITAS UNIT!D9"")"),"#N/A")</f>
        <v>#N/A</v>
      </c>
      <c r="H26296" s="4" t="str">
        <v/>
      </c>
      <c r="I26296" s="4" t="str">
        <v/>
      </c>
    </row>
    <row r="26297" spans="5:9" ht="16.5" hidden="1">
      <c r="E26297" s="4" t="str">
        <v/>
      </c>
      <c r="F26297" s="102" t="str">
        <f ca="1">IFERROR(__xludf.DUMMYFUNCTION("IMPORTRANGE(H26297,""IDENTITAS UNIT!D9"")"),"#N/A")</f>
        <v>#N/A</v>
      </c>
      <c r="H26297" s="4" t="str">
        <v/>
      </c>
      <c r="I26297" s="4" t="str">
        <v/>
      </c>
    </row>
    <row r="26298" spans="5:9" ht="16.5" hidden="1">
      <c r="E26298" s="4" t="str">
        <v/>
      </c>
      <c r="F26298" s="102" t="str">
        <f ca="1">IFERROR(__xludf.DUMMYFUNCTION("IMPORTRANGE(H26298,""IDENTITAS UNIT!D9"")"),"#N/A")</f>
        <v>#N/A</v>
      </c>
      <c r="H26298" s="4" t="str">
        <v/>
      </c>
      <c r="I26298" s="4" t="str">
        <v/>
      </c>
    </row>
    <row r="26299" spans="5:9" ht="16.5" hidden="1">
      <c r="E26299" s="4" t="str">
        <v/>
      </c>
      <c r="F26299" s="102" t="str">
        <f ca="1">IFERROR(__xludf.DUMMYFUNCTION("IMPORTRANGE(H26299,""IDENTITAS UNIT!D9"")"),"#N/A")</f>
        <v>#N/A</v>
      </c>
      <c r="H26299" s="4" t="str">
        <v/>
      </c>
      <c r="I26299" s="4" t="str">
        <v/>
      </c>
    </row>
    <row r="26300" spans="5:9" ht="16.5" hidden="1">
      <c r="E26300" s="4" t="str">
        <v/>
      </c>
      <c r="F26300" s="102" t="str">
        <f ca="1">IFERROR(__xludf.DUMMYFUNCTION("IMPORTRANGE(H26300,""IDENTITAS UNIT!D9"")"),"#N/A")</f>
        <v>#N/A</v>
      </c>
      <c r="H26300" s="4" t="str">
        <v/>
      </c>
      <c r="I26300" s="4" t="str">
        <v/>
      </c>
    </row>
    <row r="26301" spans="5:9" ht="16.5" hidden="1">
      <c r="E26301" s="4" t="str">
        <v/>
      </c>
      <c r="F26301" s="102" t="str">
        <f ca="1">IFERROR(__xludf.DUMMYFUNCTION("IMPORTRANGE(H26301,""IDENTITAS UNIT!D9"")"),"#N/A")</f>
        <v>#N/A</v>
      </c>
      <c r="H26301" s="4" t="str">
        <v/>
      </c>
      <c r="I26301" s="4" t="str">
        <v/>
      </c>
    </row>
    <row r="26302" spans="5:9" ht="16.5" hidden="1">
      <c r="E26302" s="4" t="str">
        <v/>
      </c>
      <c r="F26302" s="102" t="str">
        <f ca="1">IFERROR(__xludf.DUMMYFUNCTION("IMPORTRANGE(H26302,""IDENTITAS UNIT!D9"")"),"#N/A")</f>
        <v>#N/A</v>
      </c>
      <c r="H26302" s="4" t="str">
        <v/>
      </c>
      <c r="I26302" s="4" t="str">
        <v/>
      </c>
    </row>
    <row r="26303" spans="5:9" ht="16.5" hidden="1">
      <c r="E26303" s="4" t="str">
        <v/>
      </c>
      <c r="F26303" s="102" t="str">
        <f ca="1">IFERROR(__xludf.DUMMYFUNCTION("IMPORTRANGE(H26303,""IDENTITAS UNIT!D9"")"),"#N/A")</f>
        <v>#N/A</v>
      </c>
      <c r="H26303" s="4" t="str">
        <v/>
      </c>
      <c r="I26303" s="4" t="str">
        <v/>
      </c>
    </row>
    <row r="26304" spans="5:9" ht="16.5" hidden="1">
      <c r="E26304" s="4" t="str">
        <v/>
      </c>
      <c r="F26304" s="102" t="str">
        <f ca="1">IFERROR(__xludf.DUMMYFUNCTION("IMPORTRANGE(H26304,""IDENTITAS UNIT!D9"")"),"#N/A")</f>
        <v>#N/A</v>
      </c>
      <c r="H26304" s="4" t="str">
        <v/>
      </c>
      <c r="I26304" s="4" t="str">
        <v/>
      </c>
    </row>
    <row r="26305" spans="5:9" ht="16.5" hidden="1">
      <c r="E26305" s="4" t="str">
        <v/>
      </c>
      <c r="F26305" s="102" t="str">
        <f ca="1">IFERROR(__xludf.DUMMYFUNCTION("IMPORTRANGE(H26305,""IDENTITAS UNIT!D9"")"),"#N/A")</f>
        <v>#N/A</v>
      </c>
      <c r="H26305" s="4" t="str">
        <v/>
      </c>
      <c r="I26305" s="4" t="str">
        <v/>
      </c>
    </row>
    <row r="26306" spans="5:9" ht="16.5" hidden="1">
      <c r="E26306" s="4" t="str">
        <v/>
      </c>
      <c r="F26306" s="102" t="str">
        <f ca="1">IFERROR(__xludf.DUMMYFUNCTION("IMPORTRANGE(H26306,""IDENTITAS UNIT!D9"")"),"#N/A")</f>
        <v>#N/A</v>
      </c>
      <c r="H26306" s="4" t="str">
        <v/>
      </c>
      <c r="I26306" s="4" t="str">
        <v/>
      </c>
    </row>
    <row r="26307" spans="5:9" ht="16.5" hidden="1">
      <c r="E26307" s="4" t="str">
        <v/>
      </c>
      <c r="F26307" s="102" t="str">
        <f ca="1">IFERROR(__xludf.DUMMYFUNCTION("IMPORTRANGE(H26307,""IDENTITAS UNIT!D9"")"),"#N/A")</f>
        <v>#N/A</v>
      </c>
      <c r="H26307" s="4" t="str">
        <v/>
      </c>
      <c r="I26307" s="4" t="str">
        <v/>
      </c>
    </row>
    <row r="26308" spans="5:9" ht="16.5" hidden="1">
      <c r="E26308" s="4" t="str">
        <v/>
      </c>
      <c r="F26308" s="102" t="str">
        <f ca="1">IFERROR(__xludf.DUMMYFUNCTION("IMPORTRANGE(H26308,""IDENTITAS UNIT!D9"")"),"#N/A")</f>
        <v>#N/A</v>
      </c>
      <c r="H26308" s="4" t="str">
        <v/>
      </c>
      <c r="I26308" s="4" t="str">
        <v/>
      </c>
    </row>
    <row r="26309" spans="5:9" ht="16.5" hidden="1">
      <c r="E26309" s="4" t="str">
        <v/>
      </c>
      <c r="F26309" s="102" t="str">
        <f ca="1">IFERROR(__xludf.DUMMYFUNCTION("IMPORTRANGE(H26309,""IDENTITAS UNIT!D9"")"),"#N/A")</f>
        <v>#N/A</v>
      </c>
      <c r="H26309" s="4" t="str">
        <v/>
      </c>
      <c r="I26309" s="4" t="str">
        <v/>
      </c>
    </row>
    <row r="26310" spans="5:9" ht="16.5" hidden="1">
      <c r="E26310" s="4" t="str">
        <v/>
      </c>
      <c r="F26310" s="102" t="str">
        <f ca="1">IFERROR(__xludf.DUMMYFUNCTION("IMPORTRANGE(H26310,""IDENTITAS UNIT!D9"")"),"#N/A")</f>
        <v>#N/A</v>
      </c>
      <c r="H26310" s="4" t="str">
        <v/>
      </c>
      <c r="I26310" s="4" t="str">
        <v/>
      </c>
    </row>
    <row r="26311" spans="5:9" ht="16.5" hidden="1">
      <c r="E26311" s="4" t="str">
        <v/>
      </c>
      <c r="F26311" s="102" t="str">
        <f ca="1">IFERROR(__xludf.DUMMYFUNCTION("IMPORTRANGE(H26311,""IDENTITAS UNIT!D9"")"),"#N/A")</f>
        <v>#N/A</v>
      </c>
      <c r="H26311" s="4" t="str">
        <v/>
      </c>
      <c r="I26311" s="4" t="str">
        <v/>
      </c>
    </row>
    <row r="26312" spans="5:9" ht="16.5" hidden="1">
      <c r="E26312" s="4" t="str">
        <v/>
      </c>
      <c r="F26312" s="102" t="str">
        <f ca="1">IFERROR(__xludf.DUMMYFUNCTION("IMPORTRANGE(H26312,""IDENTITAS UNIT!D9"")"),"#N/A")</f>
        <v>#N/A</v>
      </c>
      <c r="H26312" s="4" t="str">
        <v/>
      </c>
      <c r="I26312" s="4" t="str">
        <v/>
      </c>
    </row>
    <row r="26313" spans="5:9" ht="16.5" hidden="1">
      <c r="E26313" s="4" t="str">
        <v/>
      </c>
      <c r="F26313" s="102" t="str">
        <f ca="1">IFERROR(__xludf.DUMMYFUNCTION("IMPORTRANGE(H26313,""IDENTITAS UNIT!D9"")"),"#N/A")</f>
        <v>#N/A</v>
      </c>
      <c r="H26313" s="4" t="str">
        <v/>
      </c>
      <c r="I26313" s="4" t="str">
        <v/>
      </c>
    </row>
    <row r="26314" spans="5:9" ht="16.5" hidden="1">
      <c r="E26314" s="4" t="str">
        <v/>
      </c>
      <c r="F26314" s="102" t="str">
        <f ca="1">IFERROR(__xludf.DUMMYFUNCTION("IMPORTRANGE(H26314,""IDENTITAS UNIT!D9"")"),"#N/A")</f>
        <v>#N/A</v>
      </c>
      <c r="H26314" s="4" t="str">
        <v/>
      </c>
      <c r="I26314" s="4" t="str">
        <v/>
      </c>
    </row>
    <row r="26315" spans="5:9" ht="16.5" hidden="1">
      <c r="E26315" s="4" t="str">
        <v/>
      </c>
      <c r="F26315" s="102" t="str">
        <f ca="1">IFERROR(__xludf.DUMMYFUNCTION("IMPORTRANGE(H26315,""IDENTITAS UNIT!D9"")"),"#N/A")</f>
        <v>#N/A</v>
      </c>
      <c r="H26315" s="4" t="str">
        <v/>
      </c>
      <c r="I26315" s="4" t="str">
        <v/>
      </c>
    </row>
    <row r="26316" spans="5:9" ht="16.5" hidden="1">
      <c r="E26316" s="4" t="str">
        <v/>
      </c>
      <c r="F26316" s="102" t="str">
        <f ca="1">IFERROR(__xludf.DUMMYFUNCTION("IMPORTRANGE(H26316,""IDENTITAS UNIT!D9"")"),"#N/A")</f>
        <v>#N/A</v>
      </c>
      <c r="H26316" s="4" t="str">
        <v/>
      </c>
      <c r="I26316" s="4" t="str">
        <v/>
      </c>
    </row>
    <row r="26317" spans="5:9" ht="16.5" hidden="1">
      <c r="E26317" s="4" t="str">
        <v/>
      </c>
      <c r="F26317" s="102" t="str">
        <f ca="1">IFERROR(__xludf.DUMMYFUNCTION("IMPORTRANGE(H26317,""IDENTITAS UNIT!D9"")"),"#N/A")</f>
        <v>#N/A</v>
      </c>
      <c r="H26317" s="4" t="str">
        <v/>
      </c>
      <c r="I26317" s="4" t="str">
        <v/>
      </c>
    </row>
    <row r="26318" spans="5:9" ht="16.5" hidden="1">
      <c r="E26318" s="4" t="str">
        <v/>
      </c>
      <c r="F26318" s="102" t="str">
        <f ca="1">IFERROR(__xludf.DUMMYFUNCTION("IMPORTRANGE(H26318,""IDENTITAS UNIT!D9"")"),"#N/A")</f>
        <v>#N/A</v>
      </c>
      <c r="H26318" s="4" t="str">
        <v/>
      </c>
      <c r="I26318" s="4" t="str">
        <v/>
      </c>
    </row>
    <row r="26319" spans="5:9" ht="16.5" hidden="1">
      <c r="E26319" s="4" t="str">
        <v/>
      </c>
      <c r="F26319" s="102" t="str">
        <f ca="1">IFERROR(__xludf.DUMMYFUNCTION("IMPORTRANGE(H26319,""IDENTITAS UNIT!D9"")"),"#N/A")</f>
        <v>#N/A</v>
      </c>
      <c r="H26319" s="4" t="str">
        <v/>
      </c>
      <c r="I26319" s="4" t="str">
        <v/>
      </c>
    </row>
    <row r="26320" spans="5:9" ht="16.5" hidden="1">
      <c r="E26320" s="4" t="str">
        <v/>
      </c>
      <c r="F26320" s="102" t="str">
        <f ca="1">IFERROR(__xludf.DUMMYFUNCTION("IMPORTRANGE(H26320,""IDENTITAS UNIT!D9"")"),"#N/A")</f>
        <v>#N/A</v>
      </c>
      <c r="H26320" s="4" t="str">
        <v/>
      </c>
      <c r="I26320" s="4" t="str">
        <v/>
      </c>
    </row>
    <row r="26321" spans="5:9" ht="16.5" hidden="1">
      <c r="E26321" s="4" t="str">
        <v/>
      </c>
      <c r="F26321" s="102" t="str">
        <f ca="1">IFERROR(__xludf.DUMMYFUNCTION("IMPORTRANGE(H26321,""IDENTITAS UNIT!D9"")"),"#N/A")</f>
        <v>#N/A</v>
      </c>
      <c r="H26321" s="4" t="str">
        <v/>
      </c>
      <c r="I26321" s="4" t="str">
        <v/>
      </c>
    </row>
    <row r="26322" spans="5:9" ht="16.5" hidden="1">
      <c r="E26322" s="4" t="str">
        <v/>
      </c>
      <c r="F26322" s="102" t="str">
        <f ca="1">IFERROR(__xludf.DUMMYFUNCTION("IMPORTRANGE(H26322,""IDENTITAS UNIT!D9"")"),"#N/A")</f>
        <v>#N/A</v>
      </c>
      <c r="H26322" s="4" t="str">
        <v/>
      </c>
      <c r="I26322" s="4" t="str">
        <v/>
      </c>
    </row>
    <row r="26323" spans="5:9" ht="16.5" hidden="1">
      <c r="E26323" s="4" t="str">
        <v/>
      </c>
      <c r="F26323" s="102" t="str">
        <f ca="1">IFERROR(__xludf.DUMMYFUNCTION("IMPORTRANGE(H26323,""IDENTITAS UNIT!D9"")"),"#N/A")</f>
        <v>#N/A</v>
      </c>
      <c r="H26323" s="4" t="str">
        <v/>
      </c>
      <c r="I26323" s="4" t="str">
        <v/>
      </c>
    </row>
    <row r="26324" spans="5:9" ht="16.5" hidden="1">
      <c r="E26324" s="4" t="str">
        <v/>
      </c>
      <c r="F26324" s="102" t="str">
        <f ca="1">IFERROR(__xludf.DUMMYFUNCTION("IMPORTRANGE(H26324,""IDENTITAS UNIT!D9"")"),"#N/A")</f>
        <v>#N/A</v>
      </c>
      <c r="H26324" s="4" t="str">
        <v/>
      </c>
      <c r="I26324" s="4" t="str">
        <v/>
      </c>
    </row>
    <row r="26325" spans="5:9" ht="16.5" hidden="1">
      <c r="E26325" s="4" t="str">
        <v/>
      </c>
      <c r="F26325" s="102" t="str">
        <f ca="1">IFERROR(__xludf.DUMMYFUNCTION("IMPORTRANGE(H26325,""IDENTITAS UNIT!D9"")"),"#N/A")</f>
        <v>#N/A</v>
      </c>
      <c r="H26325" s="4" t="str">
        <v/>
      </c>
      <c r="I26325" s="4" t="str">
        <v/>
      </c>
    </row>
    <row r="26326" spans="5:9" ht="16.5" hidden="1">
      <c r="E26326" s="4" t="str">
        <v/>
      </c>
      <c r="F26326" s="102" t="str">
        <f ca="1">IFERROR(__xludf.DUMMYFUNCTION("IMPORTRANGE(H26326,""IDENTITAS UNIT!D9"")"),"#N/A")</f>
        <v>#N/A</v>
      </c>
      <c r="H26326" s="4" t="str">
        <v/>
      </c>
      <c r="I26326" s="4" t="str">
        <v/>
      </c>
    </row>
    <row r="26327" spans="5:9" ht="16.5" hidden="1">
      <c r="E26327" s="4" t="str">
        <v/>
      </c>
      <c r="F26327" s="102" t="str">
        <f ca="1">IFERROR(__xludf.DUMMYFUNCTION("IMPORTRANGE(H26327,""IDENTITAS UNIT!D9"")"),"#N/A")</f>
        <v>#N/A</v>
      </c>
      <c r="H26327" s="4" t="str">
        <v/>
      </c>
      <c r="I26327" s="4" t="str">
        <v/>
      </c>
    </row>
    <row r="26328" spans="5:9" ht="16.5" hidden="1">
      <c r="E26328" s="4" t="str">
        <v/>
      </c>
      <c r="F26328" s="102" t="str">
        <f ca="1">IFERROR(__xludf.DUMMYFUNCTION("IMPORTRANGE(H26328,""IDENTITAS UNIT!D9"")"),"#N/A")</f>
        <v>#N/A</v>
      </c>
      <c r="H26328" s="4" t="str">
        <v/>
      </c>
      <c r="I26328" s="4" t="str">
        <v/>
      </c>
    </row>
    <row r="26329" spans="5:9" ht="16.5" hidden="1">
      <c r="E26329" s="4" t="str">
        <v/>
      </c>
      <c r="F26329" s="102" t="str">
        <f ca="1">IFERROR(__xludf.DUMMYFUNCTION("IMPORTRANGE(H26329,""IDENTITAS UNIT!D9"")"),"#N/A")</f>
        <v>#N/A</v>
      </c>
      <c r="H26329" s="4" t="str">
        <v/>
      </c>
      <c r="I26329" s="4" t="str">
        <v/>
      </c>
    </row>
    <row r="26330" spans="5:9" ht="16.5" hidden="1">
      <c r="E26330" s="4" t="str">
        <v/>
      </c>
      <c r="F26330" s="102" t="str">
        <f ca="1">IFERROR(__xludf.DUMMYFUNCTION("IMPORTRANGE(H26330,""IDENTITAS UNIT!D9"")"),"#N/A")</f>
        <v>#N/A</v>
      </c>
      <c r="H26330" s="4" t="str">
        <v/>
      </c>
      <c r="I26330" s="4" t="str">
        <v/>
      </c>
    </row>
    <row r="26331" spans="5:9" ht="16.5" hidden="1">
      <c r="E26331" s="4" t="str">
        <v/>
      </c>
      <c r="F26331" s="102" t="str">
        <f ca="1">IFERROR(__xludf.DUMMYFUNCTION("IMPORTRANGE(H26331,""IDENTITAS UNIT!D9"")"),"#N/A")</f>
        <v>#N/A</v>
      </c>
      <c r="H26331" s="4" t="str">
        <v/>
      </c>
      <c r="I26331" s="4" t="str">
        <v/>
      </c>
    </row>
    <row r="26332" spans="5:9" ht="16.5" hidden="1">
      <c r="E26332" s="4" t="str">
        <v/>
      </c>
      <c r="F26332" s="102" t="str">
        <f ca="1">IFERROR(__xludf.DUMMYFUNCTION("IMPORTRANGE(H26332,""IDENTITAS UNIT!D9"")"),"#N/A")</f>
        <v>#N/A</v>
      </c>
      <c r="H26332" s="4" t="str">
        <v/>
      </c>
      <c r="I26332" s="4" t="str">
        <v/>
      </c>
    </row>
    <row r="26333" spans="5:9" ht="16.5" hidden="1">
      <c r="E26333" s="4" t="str">
        <v/>
      </c>
      <c r="F26333" s="102" t="str">
        <f ca="1">IFERROR(__xludf.DUMMYFUNCTION("IMPORTRANGE(H26333,""IDENTITAS UNIT!D9"")"),"#N/A")</f>
        <v>#N/A</v>
      </c>
      <c r="H26333" s="4" t="str">
        <v/>
      </c>
      <c r="I26333" s="4" t="str">
        <v/>
      </c>
    </row>
    <row r="26334" spans="5:9" ht="16.5" hidden="1">
      <c r="E26334" s="4" t="str">
        <v/>
      </c>
      <c r="F26334" s="102" t="str">
        <f ca="1">IFERROR(__xludf.DUMMYFUNCTION("IMPORTRANGE(H26334,""IDENTITAS UNIT!D9"")"),"#N/A")</f>
        <v>#N/A</v>
      </c>
      <c r="H26334" s="4" t="str">
        <v/>
      </c>
      <c r="I26334" s="4" t="str">
        <v/>
      </c>
    </row>
    <row r="26335" spans="5:9" ht="16.5" hidden="1">
      <c r="E26335" s="4" t="str">
        <v/>
      </c>
      <c r="F26335" s="102" t="str">
        <f ca="1">IFERROR(__xludf.DUMMYFUNCTION("IMPORTRANGE(H26335,""IDENTITAS UNIT!D9"")"),"#N/A")</f>
        <v>#N/A</v>
      </c>
      <c r="H26335" s="4" t="str">
        <v/>
      </c>
      <c r="I26335" s="4" t="str">
        <v/>
      </c>
    </row>
    <row r="26336" spans="5:9" ht="16.5" hidden="1">
      <c r="E26336" s="4" t="str">
        <v/>
      </c>
      <c r="F26336" s="102" t="str">
        <f ca="1">IFERROR(__xludf.DUMMYFUNCTION("IMPORTRANGE(H26336,""IDENTITAS UNIT!D9"")"),"#N/A")</f>
        <v>#N/A</v>
      </c>
      <c r="H26336" s="4" t="str">
        <v/>
      </c>
      <c r="I26336" s="4" t="str">
        <v/>
      </c>
    </row>
    <row r="26337" spans="5:9" ht="16.5" hidden="1">
      <c r="E26337" s="4" t="str">
        <v/>
      </c>
      <c r="F26337" s="102" t="str">
        <f ca="1">IFERROR(__xludf.DUMMYFUNCTION("IMPORTRANGE(H26337,""IDENTITAS UNIT!D9"")"),"#N/A")</f>
        <v>#N/A</v>
      </c>
      <c r="H26337" s="4" t="str">
        <v/>
      </c>
      <c r="I26337" s="4" t="str">
        <v/>
      </c>
    </row>
    <row r="26338" spans="5:9" ht="16.5" hidden="1">
      <c r="E26338" s="4" t="str">
        <v/>
      </c>
      <c r="F26338" s="102" t="str">
        <f ca="1">IFERROR(__xludf.DUMMYFUNCTION("IMPORTRANGE(H26338,""IDENTITAS UNIT!D9"")"),"#N/A")</f>
        <v>#N/A</v>
      </c>
      <c r="H26338" s="4" t="str">
        <v/>
      </c>
      <c r="I26338" s="4" t="str">
        <v/>
      </c>
    </row>
    <row r="26339" spans="5:9" ht="16.5" hidden="1">
      <c r="E26339" s="4" t="str">
        <v/>
      </c>
      <c r="F26339" s="102" t="str">
        <f ca="1">IFERROR(__xludf.DUMMYFUNCTION("IMPORTRANGE(H26339,""IDENTITAS UNIT!D9"")"),"#N/A")</f>
        <v>#N/A</v>
      </c>
      <c r="H26339" s="4" t="str">
        <v/>
      </c>
      <c r="I26339" s="4" t="str">
        <v/>
      </c>
    </row>
    <row r="26340" spans="5:9" ht="16.5" hidden="1">
      <c r="E26340" s="4" t="str">
        <v/>
      </c>
      <c r="F26340" s="102" t="str">
        <f ca="1">IFERROR(__xludf.DUMMYFUNCTION("IMPORTRANGE(H26340,""IDENTITAS UNIT!D9"")"),"#N/A")</f>
        <v>#N/A</v>
      </c>
      <c r="H26340" s="4" t="str">
        <v/>
      </c>
      <c r="I26340" s="4" t="str">
        <v/>
      </c>
    </row>
    <row r="26341" spans="5:9" ht="16.5" hidden="1">
      <c r="E26341" s="4" t="str">
        <v/>
      </c>
      <c r="F26341" s="102" t="str">
        <f ca="1">IFERROR(__xludf.DUMMYFUNCTION("IMPORTRANGE(H26341,""IDENTITAS UNIT!D9"")"),"#N/A")</f>
        <v>#N/A</v>
      </c>
      <c r="H26341" s="4" t="str">
        <v/>
      </c>
      <c r="I26341" s="4" t="str">
        <v/>
      </c>
    </row>
    <row r="26342" spans="5:9" ht="16.5" hidden="1">
      <c r="E26342" s="4" t="str">
        <v/>
      </c>
      <c r="F26342" s="102" t="str">
        <f ca="1">IFERROR(__xludf.DUMMYFUNCTION("IMPORTRANGE(H26342,""IDENTITAS UNIT!D9"")"),"#N/A")</f>
        <v>#N/A</v>
      </c>
      <c r="H26342" s="4" t="str">
        <v/>
      </c>
      <c r="I26342" s="4" t="str">
        <v/>
      </c>
    </row>
    <row r="26343" spans="5:9" ht="16.5" hidden="1">
      <c r="E26343" s="4" t="str">
        <v/>
      </c>
      <c r="F26343" s="102" t="str">
        <f ca="1">IFERROR(__xludf.DUMMYFUNCTION("IMPORTRANGE(H26343,""IDENTITAS UNIT!D9"")"),"#N/A")</f>
        <v>#N/A</v>
      </c>
      <c r="H26343" s="4" t="str">
        <v/>
      </c>
      <c r="I26343" s="4" t="str">
        <v/>
      </c>
    </row>
    <row r="26344" spans="5:9" ht="16.5" hidden="1">
      <c r="E26344" s="4" t="str">
        <v/>
      </c>
      <c r="F26344" s="102" t="str">
        <f ca="1">IFERROR(__xludf.DUMMYFUNCTION("IMPORTRANGE(H26344,""IDENTITAS UNIT!D9"")"),"#N/A")</f>
        <v>#N/A</v>
      </c>
      <c r="H26344" s="4" t="str">
        <v/>
      </c>
      <c r="I26344" s="4" t="str">
        <v/>
      </c>
    </row>
    <row r="26345" spans="5:9" ht="16.5" hidden="1">
      <c r="E26345" s="4" t="str">
        <v/>
      </c>
      <c r="F26345" s="102" t="str">
        <f ca="1">IFERROR(__xludf.DUMMYFUNCTION("IMPORTRANGE(H26345,""IDENTITAS UNIT!D9"")"),"#N/A")</f>
        <v>#N/A</v>
      </c>
      <c r="H26345" s="4" t="str">
        <v/>
      </c>
      <c r="I26345" s="4" t="str">
        <v/>
      </c>
    </row>
    <row r="26346" spans="5:9" ht="16.5" hidden="1">
      <c r="E26346" s="4" t="str">
        <v/>
      </c>
      <c r="F26346" s="102" t="str">
        <f ca="1">IFERROR(__xludf.DUMMYFUNCTION("IMPORTRANGE(H26346,""IDENTITAS UNIT!D9"")"),"#N/A")</f>
        <v>#N/A</v>
      </c>
      <c r="H26346" s="4" t="str">
        <v/>
      </c>
      <c r="I26346" s="4" t="str">
        <v/>
      </c>
    </row>
    <row r="26347" spans="5:9" ht="16.5" hidden="1">
      <c r="E26347" s="4" t="str">
        <v/>
      </c>
      <c r="F26347" s="102" t="str">
        <f ca="1">IFERROR(__xludf.DUMMYFUNCTION("IMPORTRANGE(H26347,""IDENTITAS UNIT!D9"")"),"#N/A")</f>
        <v>#N/A</v>
      </c>
      <c r="H26347" s="4" t="str">
        <v/>
      </c>
      <c r="I26347" s="4" t="str">
        <v/>
      </c>
    </row>
    <row r="26348" spans="5:9" ht="16.5" hidden="1">
      <c r="E26348" s="4" t="str">
        <v/>
      </c>
      <c r="F26348" s="102" t="str">
        <f ca="1">IFERROR(__xludf.DUMMYFUNCTION("IMPORTRANGE(H26348,""IDENTITAS UNIT!D9"")"),"#N/A")</f>
        <v>#N/A</v>
      </c>
      <c r="H26348" s="4" t="str">
        <v/>
      </c>
      <c r="I26348" s="4" t="str">
        <v/>
      </c>
    </row>
    <row r="26349" spans="5:9" ht="16.5" hidden="1">
      <c r="E26349" s="4" t="str">
        <v/>
      </c>
      <c r="F26349" s="102" t="str">
        <f ca="1">IFERROR(__xludf.DUMMYFUNCTION("IMPORTRANGE(H26349,""IDENTITAS UNIT!D9"")"),"#N/A")</f>
        <v>#N/A</v>
      </c>
      <c r="H26349" s="4" t="str">
        <v/>
      </c>
      <c r="I26349" s="4" t="str">
        <v/>
      </c>
    </row>
    <row r="26350" spans="5:9" ht="16.5" hidden="1">
      <c r="E26350" s="4" t="str">
        <v/>
      </c>
      <c r="F26350" s="102" t="str">
        <f ca="1">IFERROR(__xludf.DUMMYFUNCTION("IMPORTRANGE(H26350,""IDENTITAS UNIT!D9"")"),"#N/A")</f>
        <v>#N/A</v>
      </c>
      <c r="H26350" s="4" t="str">
        <v/>
      </c>
      <c r="I26350" s="4" t="str">
        <v/>
      </c>
    </row>
    <row r="26351" spans="5:9" ht="16.5" hidden="1">
      <c r="E26351" s="4" t="str">
        <v/>
      </c>
      <c r="F26351" s="102" t="str">
        <f ca="1">IFERROR(__xludf.DUMMYFUNCTION("IMPORTRANGE(H26351,""IDENTITAS UNIT!D9"")"),"#N/A")</f>
        <v>#N/A</v>
      </c>
      <c r="H26351" s="4" t="str">
        <v/>
      </c>
      <c r="I26351" s="4" t="str">
        <v/>
      </c>
    </row>
    <row r="26352" spans="5:9" ht="16.5" hidden="1">
      <c r="E26352" s="4" t="str">
        <v/>
      </c>
      <c r="F26352" s="102" t="str">
        <f ca="1">IFERROR(__xludf.DUMMYFUNCTION("IMPORTRANGE(H26352,""IDENTITAS UNIT!D9"")"),"#N/A")</f>
        <v>#N/A</v>
      </c>
      <c r="H26352" s="4" t="str">
        <v/>
      </c>
      <c r="I26352" s="4" t="str">
        <v/>
      </c>
    </row>
    <row r="26353" spans="5:9" ht="16.5" hidden="1">
      <c r="E26353" s="4" t="str">
        <v/>
      </c>
      <c r="F26353" s="102" t="str">
        <f ca="1">IFERROR(__xludf.DUMMYFUNCTION("IMPORTRANGE(H26353,""IDENTITAS UNIT!D9"")"),"#N/A")</f>
        <v>#N/A</v>
      </c>
      <c r="H26353" s="4" t="str">
        <v/>
      </c>
      <c r="I26353" s="4" t="str">
        <v/>
      </c>
    </row>
    <row r="26354" spans="5:9" ht="16.5" hidden="1">
      <c r="E26354" s="4" t="str">
        <v/>
      </c>
      <c r="F26354" s="102" t="str">
        <f ca="1">IFERROR(__xludf.DUMMYFUNCTION("IMPORTRANGE(H26354,""IDENTITAS UNIT!D9"")"),"#N/A")</f>
        <v>#N/A</v>
      </c>
      <c r="H26354" s="4" t="str">
        <v/>
      </c>
      <c r="I26354" s="4" t="str">
        <v/>
      </c>
    </row>
    <row r="26355" spans="5:9" ht="16.5" hidden="1">
      <c r="E26355" s="4" t="str">
        <v/>
      </c>
      <c r="F26355" s="102" t="str">
        <f ca="1">IFERROR(__xludf.DUMMYFUNCTION("IMPORTRANGE(H26355,""IDENTITAS UNIT!D9"")"),"#N/A")</f>
        <v>#N/A</v>
      </c>
      <c r="H26355" s="4" t="str">
        <v/>
      </c>
      <c r="I26355" s="4" t="str">
        <v/>
      </c>
    </row>
    <row r="26356" spans="5:9" ht="16.5" hidden="1">
      <c r="E26356" s="4" t="str">
        <v/>
      </c>
      <c r="F26356" s="102" t="str">
        <f ca="1">IFERROR(__xludf.DUMMYFUNCTION("IMPORTRANGE(H26356,""IDENTITAS UNIT!D9"")"),"#N/A")</f>
        <v>#N/A</v>
      </c>
      <c r="H26356" s="4" t="str">
        <v/>
      </c>
      <c r="I26356" s="4" t="str">
        <v/>
      </c>
    </row>
    <row r="26357" spans="5:9" ht="16.5" hidden="1">
      <c r="E26357" s="4" t="str">
        <v/>
      </c>
      <c r="F26357" s="102" t="str">
        <f ca="1">IFERROR(__xludf.DUMMYFUNCTION("IMPORTRANGE(H26357,""IDENTITAS UNIT!D9"")"),"#N/A")</f>
        <v>#N/A</v>
      </c>
      <c r="H26357" s="4" t="str">
        <v/>
      </c>
      <c r="I26357" s="4" t="str">
        <v/>
      </c>
    </row>
    <row r="26358" spans="5:9" ht="16.5" hidden="1">
      <c r="E26358" s="4" t="str">
        <v/>
      </c>
      <c r="F26358" s="102" t="str">
        <f ca="1">IFERROR(__xludf.DUMMYFUNCTION("IMPORTRANGE(H26358,""IDENTITAS UNIT!D9"")"),"#N/A")</f>
        <v>#N/A</v>
      </c>
      <c r="H26358" s="4" t="str">
        <v/>
      </c>
      <c r="I26358" s="4" t="str">
        <v/>
      </c>
    </row>
    <row r="26359" spans="5:9" ht="16.5" hidden="1">
      <c r="E26359" s="4" t="str">
        <v/>
      </c>
      <c r="F26359" s="102" t="str">
        <f ca="1">IFERROR(__xludf.DUMMYFUNCTION("IMPORTRANGE(H26359,""IDENTITAS UNIT!D9"")"),"#N/A")</f>
        <v>#N/A</v>
      </c>
      <c r="H26359" s="4" t="str">
        <v/>
      </c>
      <c r="I26359" s="4" t="str">
        <v/>
      </c>
    </row>
    <row r="26360" spans="5:9" ht="16.5" hidden="1">
      <c r="E26360" s="4" t="str">
        <v/>
      </c>
      <c r="F26360" s="102" t="str">
        <f ca="1">IFERROR(__xludf.DUMMYFUNCTION("IMPORTRANGE(H26360,""IDENTITAS UNIT!D9"")"),"#N/A")</f>
        <v>#N/A</v>
      </c>
      <c r="H26360" s="4" t="str">
        <v/>
      </c>
      <c r="I26360" s="4" t="str">
        <v/>
      </c>
    </row>
    <row r="26361" spans="5:9" ht="16.5" hidden="1">
      <c r="E26361" s="4" t="str">
        <v/>
      </c>
      <c r="F26361" s="102" t="str">
        <f ca="1">IFERROR(__xludf.DUMMYFUNCTION("IMPORTRANGE(H26361,""IDENTITAS UNIT!D9"")"),"#N/A")</f>
        <v>#N/A</v>
      </c>
      <c r="H26361" s="4" t="str">
        <v/>
      </c>
      <c r="I26361" s="4" t="str">
        <v/>
      </c>
    </row>
    <row r="26362" spans="5:9" ht="16.5" hidden="1">
      <c r="E26362" s="4" t="str">
        <v/>
      </c>
      <c r="F26362" s="102" t="str">
        <f ca="1">IFERROR(__xludf.DUMMYFUNCTION("IMPORTRANGE(H26362,""IDENTITAS UNIT!D9"")"),"#N/A")</f>
        <v>#N/A</v>
      </c>
      <c r="H26362" s="4" t="str">
        <v/>
      </c>
      <c r="I26362" s="4" t="str">
        <v/>
      </c>
    </row>
    <row r="26363" spans="5:9" ht="16.5" hidden="1">
      <c r="E26363" s="4" t="str">
        <v/>
      </c>
      <c r="F26363" s="102" t="str">
        <f ca="1">IFERROR(__xludf.DUMMYFUNCTION("IMPORTRANGE(H26363,""IDENTITAS UNIT!D9"")"),"#N/A")</f>
        <v>#N/A</v>
      </c>
      <c r="H26363" s="4" t="str">
        <v/>
      </c>
      <c r="I26363" s="4" t="str">
        <v/>
      </c>
    </row>
    <row r="26364" spans="5:9" ht="16.5" hidden="1">
      <c r="E26364" s="4" t="str">
        <v/>
      </c>
      <c r="F26364" s="102" t="str">
        <f ca="1">IFERROR(__xludf.DUMMYFUNCTION("IMPORTRANGE(H26364,""IDENTITAS UNIT!D9"")"),"#N/A")</f>
        <v>#N/A</v>
      </c>
      <c r="H26364" s="4" t="str">
        <v/>
      </c>
      <c r="I26364" s="4" t="str">
        <v/>
      </c>
    </row>
    <row r="26365" spans="5:9" ht="16.5" hidden="1">
      <c r="E26365" s="4" t="str">
        <v/>
      </c>
      <c r="F26365" s="102" t="str">
        <f ca="1">IFERROR(__xludf.DUMMYFUNCTION("IMPORTRANGE(H26365,""IDENTITAS UNIT!D9"")"),"#N/A")</f>
        <v>#N/A</v>
      </c>
      <c r="H26365" s="4" t="str">
        <v/>
      </c>
      <c r="I26365" s="4" t="str">
        <v/>
      </c>
    </row>
    <row r="26366" spans="5:9" ht="16.5" hidden="1">
      <c r="E26366" s="4" t="str">
        <v/>
      </c>
      <c r="F26366" s="102" t="str">
        <f ca="1">IFERROR(__xludf.DUMMYFUNCTION("IMPORTRANGE(H26366,""IDENTITAS UNIT!D9"")"),"#N/A")</f>
        <v>#N/A</v>
      </c>
      <c r="H26366" s="4" t="str">
        <v/>
      </c>
      <c r="I26366" s="4" t="str">
        <v/>
      </c>
    </row>
    <row r="26367" spans="5:9" ht="16.5" hidden="1">
      <c r="E26367" s="4" t="str">
        <v/>
      </c>
      <c r="F26367" s="102" t="str">
        <f ca="1">IFERROR(__xludf.DUMMYFUNCTION("IMPORTRANGE(H26367,""IDENTITAS UNIT!D9"")"),"#N/A")</f>
        <v>#N/A</v>
      </c>
      <c r="H26367" s="4" t="str">
        <v/>
      </c>
      <c r="I26367" s="4" t="str">
        <v/>
      </c>
    </row>
    <row r="26368" spans="5:9" ht="16.5" hidden="1">
      <c r="E26368" s="4" t="str">
        <v/>
      </c>
      <c r="F26368" s="102" t="str">
        <f ca="1">IFERROR(__xludf.DUMMYFUNCTION("IMPORTRANGE(H26368,""IDENTITAS UNIT!D9"")"),"#N/A")</f>
        <v>#N/A</v>
      </c>
      <c r="H26368" s="4" t="str">
        <v/>
      </c>
      <c r="I26368" s="4" t="str">
        <v/>
      </c>
    </row>
    <row r="26369" spans="5:9" ht="16.5" hidden="1">
      <c r="E26369" s="4" t="str">
        <v/>
      </c>
      <c r="F26369" s="102" t="str">
        <f ca="1">IFERROR(__xludf.DUMMYFUNCTION("IMPORTRANGE(H26369,""IDENTITAS UNIT!D9"")"),"#N/A")</f>
        <v>#N/A</v>
      </c>
      <c r="H26369" s="4" t="str">
        <v/>
      </c>
      <c r="I26369" s="4" t="str">
        <v/>
      </c>
    </row>
    <row r="26370" spans="5:9" ht="16.5" hidden="1">
      <c r="E26370" s="4" t="str">
        <v/>
      </c>
      <c r="F26370" s="102" t="str">
        <f ca="1">IFERROR(__xludf.DUMMYFUNCTION("IMPORTRANGE(H26370,""IDENTITAS UNIT!D9"")"),"#N/A")</f>
        <v>#N/A</v>
      </c>
      <c r="H26370" s="4" t="str">
        <v/>
      </c>
      <c r="I26370" s="4" t="str">
        <v/>
      </c>
    </row>
    <row r="26371" spans="5:9" ht="16.5" hidden="1">
      <c r="E26371" s="4" t="str">
        <v/>
      </c>
      <c r="F26371" s="102" t="str">
        <f ca="1">IFERROR(__xludf.DUMMYFUNCTION("IMPORTRANGE(H26371,""IDENTITAS UNIT!D9"")"),"#N/A")</f>
        <v>#N/A</v>
      </c>
      <c r="H26371" s="4" t="str">
        <v/>
      </c>
      <c r="I26371" s="4" t="str">
        <v/>
      </c>
    </row>
    <row r="26372" spans="5:9" ht="16.5" hidden="1">
      <c r="E26372" s="4" t="str">
        <v/>
      </c>
      <c r="F26372" s="102" t="str">
        <f ca="1">IFERROR(__xludf.DUMMYFUNCTION("IMPORTRANGE(H26372,""IDENTITAS UNIT!D9"")"),"#N/A")</f>
        <v>#N/A</v>
      </c>
      <c r="H26372" s="4" t="str">
        <v/>
      </c>
      <c r="I26372" s="4" t="str">
        <v/>
      </c>
    </row>
    <row r="26373" spans="5:9" ht="16.5" hidden="1">
      <c r="E26373" s="4" t="str">
        <v/>
      </c>
      <c r="F26373" s="102" t="str">
        <f ca="1">IFERROR(__xludf.DUMMYFUNCTION("IMPORTRANGE(H26373,""IDENTITAS UNIT!D9"")"),"#N/A")</f>
        <v>#N/A</v>
      </c>
      <c r="H26373" s="4" t="str">
        <v/>
      </c>
      <c r="I26373" s="4" t="str">
        <v/>
      </c>
    </row>
    <row r="26374" spans="5:9" ht="16.5" hidden="1">
      <c r="E26374" s="4" t="str">
        <v/>
      </c>
      <c r="F26374" s="102" t="str">
        <f ca="1">IFERROR(__xludf.DUMMYFUNCTION("IMPORTRANGE(H26374,""IDENTITAS UNIT!D9"")"),"#N/A")</f>
        <v>#N/A</v>
      </c>
      <c r="H26374" s="4" t="str">
        <v/>
      </c>
      <c r="I26374" s="4" t="str">
        <v/>
      </c>
    </row>
    <row r="26375" spans="5:9" ht="16.5" hidden="1">
      <c r="E26375" s="4" t="str">
        <v/>
      </c>
      <c r="F26375" s="102" t="str">
        <f ca="1">IFERROR(__xludf.DUMMYFUNCTION("IMPORTRANGE(H26375,""IDENTITAS UNIT!D9"")"),"#N/A")</f>
        <v>#N/A</v>
      </c>
      <c r="H26375" s="4" t="str">
        <v/>
      </c>
      <c r="I26375" s="4" t="str">
        <v/>
      </c>
    </row>
    <row r="26376" spans="5:9" ht="16.5" hidden="1">
      <c r="E26376" s="4" t="str">
        <v/>
      </c>
      <c r="F26376" s="102" t="str">
        <f ca="1">IFERROR(__xludf.DUMMYFUNCTION("IMPORTRANGE(H26376,""IDENTITAS UNIT!D9"")"),"#N/A")</f>
        <v>#N/A</v>
      </c>
      <c r="H26376" s="4" t="str">
        <v/>
      </c>
      <c r="I26376" s="4" t="str">
        <v/>
      </c>
    </row>
    <row r="26377" spans="5:9" ht="16.5" hidden="1">
      <c r="E26377" s="4" t="str">
        <v/>
      </c>
      <c r="F26377" s="102" t="str">
        <f ca="1">IFERROR(__xludf.DUMMYFUNCTION("IMPORTRANGE(H26377,""IDENTITAS UNIT!D9"")"),"#N/A")</f>
        <v>#N/A</v>
      </c>
      <c r="H26377" s="4" t="str">
        <v/>
      </c>
      <c r="I26377" s="4" t="str">
        <v/>
      </c>
    </row>
    <row r="26378" spans="5:9" ht="16.5" hidden="1">
      <c r="E26378" s="4" t="str">
        <v/>
      </c>
      <c r="F26378" s="102" t="str">
        <f ca="1">IFERROR(__xludf.DUMMYFUNCTION("IMPORTRANGE(H26378,""IDENTITAS UNIT!D9"")"),"#N/A")</f>
        <v>#N/A</v>
      </c>
      <c r="H26378" s="4" t="str">
        <v/>
      </c>
      <c r="I26378" s="4" t="str">
        <v/>
      </c>
    </row>
    <row r="26379" spans="5:9" ht="16.5" hidden="1">
      <c r="E26379" s="4" t="str">
        <v/>
      </c>
      <c r="F26379" s="102" t="str">
        <f ca="1">IFERROR(__xludf.DUMMYFUNCTION("IMPORTRANGE(H26379,""IDENTITAS UNIT!D9"")"),"#N/A")</f>
        <v>#N/A</v>
      </c>
      <c r="H26379" s="4" t="str">
        <v/>
      </c>
      <c r="I26379" s="4" t="str">
        <v/>
      </c>
    </row>
    <row r="26380" spans="5:9" ht="16.5" hidden="1">
      <c r="E26380" s="4" t="str">
        <v/>
      </c>
      <c r="F26380" s="102" t="str">
        <f ca="1">IFERROR(__xludf.DUMMYFUNCTION("IMPORTRANGE(H26380,""IDENTITAS UNIT!D9"")"),"#N/A")</f>
        <v>#N/A</v>
      </c>
      <c r="H26380" s="4" t="str">
        <v/>
      </c>
      <c r="I26380" s="4" t="str">
        <v/>
      </c>
    </row>
    <row r="26381" spans="5:9" ht="16.5" hidden="1">
      <c r="E26381" s="4" t="str">
        <v/>
      </c>
      <c r="F26381" s="102" t="str">
        <f ca="1">IFERROR(__xludf.DUMMYFUNCTION("IMPORTRANGE(H26381,""IDENTITAS UNIT!D9"")"),"#N/A")</f>
        <v>#N/A</v>
      </c>
      <c r="H26381" s="4" t="str">
        <v/>
      </c>
      <c r="I26381" s="4" t="str">
        <v/>
      </c>
    </row>
    <row r="26382" spans="5:9" ht="16.5" hidden="1">
      <c r="E26382" s="4" t="str">
        <v/>
      </c>
      <c r="F26382" s="102" t="str">
        <f ca="1">IFERROR(__xludf.DUMMYFUNCTION("IMPORTRANGE(H26382,""IDENTITAS UNIT!D9"")"),"#N/A")</f>
        <v>#N/A</v>
      </c>
      <c r="H26382" s="4" t="str">
        <v/>
      </c>
      <c r="I26382" s="4" t="str">
        <v/>
      </c>
    </row>
    <row r="26383" spans="5:9" ht="16.5" hidden="1">
      <c r="E26383" s="4" t="str">
        <v/>
      </c>
      <c r="F26383" s="102" t="str">
        <f ca="1">IFERROR(__xludf.DUMMYFUNCTION("IMPORTRANGE(H26383,""IDENTITAS UNIT!D9"")"),"#N/A")</f>
        <v>#N/A</v>
      </c>
      <c r="H26383" s="4" t="str">
        <v/>
      </c>
      <c r="I26383" s="4" t="str">
        <v/>
      </c>
    </row>
    <row r="26384" spans="5:9" ht="16.5" hidden="1">
      <c r="E26384" s="4" t="str">
        <v/>
      </c>
      <c r="F26384" s="102" t="str">
        <f ca="1">IFERROR(__xludf.DUMMYFUNCTION("IMPORTRANGE(H26384,""IDENTITAS UNIT!D9"")"),"#N/A")</f>
        <v>#N/A</v>
      </c>
      <c r="H26384" s="4" t="str">
        <v/>
      </c>
      <c r="I26384" s="4" t="str">
        <v/>
      </c>
    </row>
    <row r="26385" spans="5:9" ht="16.5" hidden="1">
      <c r="E26385" s="4" t="str">
        <v/>
      </c>
      <c r="F26385" s="102" t="str">
        <f ca="1">IFERROR(__xludf.DUMMYFUNCTION("IMPORTRANGE(H26385,""IDENTITAS UNIT!D9"")"),"#N/A")</f>
        <v>#N/A</v>
      </c>
      <c r="H26385" s="4" t="str">
        <v/>
      </c>
      <c r="I26385" s="4" t="str">
        <v/>
      </c>
    </row>
    <row r="26386" spans="5:9" ht="16.5" hidden="1">
      <c r="E26386" s="4" t="str">
        <v/>
      </c>
      <c r="F26386" s="102" t="str">
        <f ca="1">IFERROR(__xludf.DUMMYFUNCTION("IMPORTRANGE(H26386,""IDENTITAS UNIT!D9"")"),"#N/A")</f>
        <v>#N/A</v>
      </c>
      <c r="H26386" s="4" t="str">
        <v/>
      </c>
      <c r="I26386" s="4" t="str">
        <v/>
      </c>
    </row>
    <row r="26387" spans="5:9" ht="16.5" hidden="1">
      <c r="E26387" s="4" t="str">
        <v/>
      </c>
      <c r="F26387" s="102" t="str">
        <f ca="1">IFERROR(__xludf.DUMMYFUNCTION("IMPORTRANGE(H26387,""IDENTITAS UNIT!D9"")"),"#N/A")</f>
        <v>#N/A</v>
      </c>
      <c r="H26387" s="4" t="str">
        <v/>
      </c>
      <c r="I26387" s="4" t="str">
        <v/>
      </c>
    </row>
    <row r="26388" spans="5:9" ht="16.5" hidden="1">
      <c r="E26388" s="4" t="str">
        <v/>
      </c>
      <c r="F26388" s="102" t="str">
        <f ca="1">IFERROR(__xludf.DUMMYFUNCTION("IMPORTRANGE(H26388,""IDENTITAS UNIT!D9"")"),"#N/A")</f>
        <v>#N/A</v>
      </c>
      <c r="H26388" s="4" t="str">
        <v/>
      </c>
      <c r="I26388" s="4" t="str">
        <v/>
      </c>
    </row>
    <row r="26389" spans="5:9" ht="16.5" hidden="1">
      <c r="E26389" s="4" t="str">
        <v/>
      </c>
      <c r="F26389" s="102" t="str">
        <f ca="1">IFERROR(__xludf.DUMMYFUNCTION("IMPORTRANGE(H26389,""IDENTITAS UNIT!D9"")"),"#N/A")</f>
        <v>#N/A</v>
      </c>
      <c r="H26389" s="4" t="str">
        <v/>
      </c>
      <c r="I26389" s="4" t="str">
        <v/>
      </c>
    </row>
    <row r="26390" spans="5:9" ht="16.5" hidden="1">
      <c r="E26390" s="4" t="str">
        <v/>
      </c>
      <c r="F26390" s="102" t="str">
        <f ca="1">IFERROR(__xludf.DUMMYFUNCTION("IMPORTRANGE(H26390,""IDENTITAS UNIT!D9"")"),"#N/A")</f>
        <v>#N/A</v>
      </c>
      <c r="H26390" s="4" t="str">
        <v/>
      </c>
      <c r="I26390" s="4" t="str">
        <v/>
      </c>
    </row>
    <row r="26391" spans="5:9" ht="16.5" hidden="1">
      <c r="E26391" s="4" t="str">
        <v/>
      </c>
      <c r="F26391" s="102" t="str">
        <f ca="1">IFERROR(__xludf.DUMMYFUNCTION("IMPORTRANGE(H26391,""IDENTITAS UNIT!D9"")"),"#N/A")</f>
        <v>#N/A</v>
      </c>
      <c r="H26391" s="4" t="str">
        <v/>
      </c>
      <c r="I26391" s="4" t="str">
        <v/>
      </c>
    </row>
    <row r="26392" spans="5:9" ht="16.5" hidden="1">
      <c r="E26392" s="4" t="str">
        <v/>
      </c>
      <c r="F26392" s="102" t="str">
        <f ca="1">IFERROR(__xludf.DUMMYFUNCTION("IMPORTRANGE(H26392,""IDENTITAS UNIT!D9"")"),"#N/A")</f>
        <v>#N/A</v>
      </c>
      <c r="H26392" s="4" t="str">
        <v/>
      </c>
      <c r="I26392" s="4" t="str">
        <v/>
      </c>
    </row>
    <row r="26393" spans="5:9" ht="16.5" hidden="1">
      <c r="E26393" s="4" t="str">
        <v/>
      </c>
      <c r="F26393" s="102" t="str">
        <f ca="1">IFERROR(__xludf.DUMMYFUNCTION("IMPORTRANGE(H26393,""IDENTITAS UNIT!D9"")"),"#N/A")</f>
        <v>#N/A</v>
      </c>
      <c r="H26393" s="4" t="str">
        <v/>
      </c>
      <c r="I26393" s="4" t="str">
        <v/>
      </c>
    </row>
    <row r="26394" spans="5:9" ht="16.5" hidden="1">
      <c r="E26394" s="4" t="str">
        <v/>
      </c>
      <c r="F26394" s="102" t="str">
        <f ca="1">IFERROR(__xludf.DUMMYFUNCTION("IMPORTRANGE(H26394,""IDENTITAS UNIT!D9"")"),"#N/A")</f>
        <v>#N/A</v>
      </c>
      <c r="H26394" s="4" t="str">
        <v/>
      </c>
      <c r="I26394" s="4" t="str">
        <v/>
      </c>
    </row>
    <row r="26395" spans="5:9" ht="16.5" hidden="1">
      <c r="E26395" s="4" t="str">
        <v/>
      </c>
      <c r="F26395" s="102" t="str">
        <f ca="1">IFERROR(__xludf.DUMMYFUNCTION("IMPORTRANGE(H26395,""IDENTITAS UNIT!D9"")"),"#N/A")</f>
        <v>#N/A</v>
      </c>
      <c r="H26395" s="4" t="str">
        <v/>
      </c>
      <c r="I26395" s="4" t="str">
        <v/>
      </c>
    </row>
    <row r="26396" spans="5:9" ht="16.5" hidden="1">
      <c r="E26396" s="4" t="str">
        <v/>
      </c>
      <c r="F26396" s="102" t="str">
        <f ca="1">IFERROR(__xludf.DUMMYFUNCTION("IMPORTRANGE(H26396,""IDENTITAS UNIT!D9"")"),"#N/A")</f>
        <v>#N/A</v>
      </c>
      <c r="H26396" s="4" t="str">
        <v/>
      </c>
      <c r="I26396" s="4" t="str">
        <v/>
      </c>
    </row>
    <row r="26397" spans="5:9" ht="16.5" hidden="1">
      <c r="E26397" s="4" t="str">
        <v/>
      </c>
      <c r="F26397" s="102" t="str">
        <f ca="1">IFERROR(__xludf.DUMMYFUNCTION("IMPORTRANGE(H26397,""IDENTITAS UNIT!D9"")"),"#N/A")</f>
        <v>#N/A</v>
      </c>
      <c r="H26397" s="4" t="str">
        <v/>
      </c>
      <c r="I26397" s="4" t="str">
        <v/>
      </c>
    </row>
    <row r="26398" spans="5:9" ht="16.5" hidden="1">
      <c r="E26398" s="4" t="str">
        <v/>
      </c>
      <c r="F26398" s="102" t="str">
        <f ca="1">IFERROR(__xludf.DUMMYFUNCTION("IMPORTRANGE(H26398,""IDENTITAS UNIT!D9"")"),"#N/A")</f>
        <v>#N/A</v>
      </c>
      <c r="H26398" s="4" t="str">
        <v/>
      </c>
      <c r="I26398" s="4" t="str">
        <v/>
      </c>
    </row>
    <row r="26399" spans="5:9" ht="16.5" hidden="1">
      <c r="E26399" s="4" t="str">
        <v/>
      </c>
      <c r="F26399" s="102" t="str">
        <f ca="1">IFERROR(__xludf.DUMMYFUNCTION("IMPORTRANGE(H26399,""IDENTITAS UNIT!D9"")"),"#N/A")</f>
        <v>#N/A</v>
      </c>
      <c r="H26399" s="4" t="str">
        <v/>
      </c>
      <c r="I26399" s="4" t="str">
        <v/>
      </c>
    </row>
    <row r="26400" spans="5:9" ht="16.5" hidden="1">
      <c r="E26400" s="4" t="str">
        <v/>
      </c>
      <c r="F26400" s="102" t="str">
        <f ca="1">IFERROR(__xludf.DUMMYFUNCTION("IMPORTRANGE(H26400,""IDENTITAS UNIT!D9"")"),"#N/A")</f>
        <v>#N/A</v>
      </c>
      <c r="H26400" s="4" t="str">
        <v/>
      </c>
      <c r="I26400" s="4" t="str">
        <v/>
      </c>
    </row>
    <row r="26401" spans="5:9" ht="16.5" hidden="1">
      <c r="E26401" s="4" t="str">
        <v/>
      </c>
      <c r="F26401" s="102" t="str">
        <f ca="1">IFERROR(__xludf.DUMMYFUNCTION("IMPORTRANGE(H26401,""IDENTITAS UNIT!D9"")"),"#N/A")</f>
        <v>#N/A</v>
      </c>
      <c r="H26401" s="4" t="str">
        <v/>
      </c>
      <c r="I26401" s="4" t="str">
        <v/>
      </c>
    </row>
    <row r="26402" spans="5:9" ht="16.5" hidden="1">
      <c r="E26402" s="4" t="str">
        <v/>
      </c>
      <c r="F26402" s="102" t="str">
        <f ca="1">IFERROR(__xludf.DUMMYFUNCTION("IMPORTRANGE(H26402,""IDENTITAS UNIT!D9"")"),"#N/A")</f>
        <v>#N/A</v>
      </c>
      <c r="H26402" s="4" t="str">
        <v/>
      </c>
      <c r="I26402" s="4" t="str">
        <v/>
      </c>
    </row>
    <row r="26403" spans="5:9" ht="16.5" hidden="1">
      <c r="E26403" s="4" t="str">
        <v/>
      </c>
      <c r="F26403" s="102" t="str">
        <f ca="1">IFERROR(__xludf.DUMMYFUNCTION("IMPORTRANGE(H26403,""IDENTITAS UNIT!D9"")"),"#N/A")</f>
        <v>#N/A</v>
      </c>
      <c r="H26403" s="4" t="str">
        <v/>
      </c>
      <c r="I26403" s="4" t="str">
        <v/>
      </c>
    </row>
    <row r="26404" spans="5:9" ht="16.5" hidden="1">
      <c r="E26404" s="4" t="str">
        <v/>
      </c>
      <c r="F26404" s="102" t="str">
        <f ca="1">IFERROR(__xludf.DUMMYFUNCTION("IMPORTRANGE(H26404,""IDENTITAS UNIT!D9"")"),"#N/A")</f>
        <v>#N/A</v>
      </c>
      <c r="H26404" s="4" t="str">
        <v/>
      </c>
      <c r="I26404" s="4" t="str">
        <v/>
      </c>
    </row>
    <row r="26405" spans="5:9" ht="16.5" hidden="1">
      <c r="E26405" s="4" t="str">
        <v/>
      </c>
      <c r="F26405" s="102" t="str">
        <f ca="1">IFERROR(__xludf.DUMMYFUNCTION("IMPORTRANGE(H26405,""IDENTITAS UNIT!D9"")"),"#N/A")</f>
        <v>#N/A</v>
      </c>
      <c r="H26405" s="4" t="str">
        <v/>
      </c>
      <c r="I26405" s="4" t="str">
        <v/>
      </c>
    </row>
    <row r="26406" spans="5:9" ht="16.5" hidden="1">
      <c r="E26406" s="4" t="str">
        <v/>
      </c>
      <c r="F26406" s="102" t="str">
        <f ca="1">IFERROR(__xludf.DUMMYFUNCTION("IMPORTRANGE(H26406,""IDENTITAS UNIT!D9"")"),"#N/A")</f>
        <v>#N/A</v>
      </c>
      <c r="H26406" s="4" t="str">
        <v/>
      </c>
      <c r="I26406" s="4" t="str">
        <v/>
      </c>
    </row>
    <row r="26407" spans="5:9" ht="16.5" hidden="1">
      <c r="E26407" s="4" t="str">
        <v/>
      </c>
      <c r="F26407" s="102" t="str">
        <f ca="1">IFERROR(__xludf.DUMMYFUNCTION("IMPORTRANGE(H26407,""IDENTITAS UNIT!D9"")"),"#N/A")</f>
        <v>#N/A</v>
      </c>
      <c r="H26407" s="4" t="str">
        <v/>
      </c>
      <c r="I26407" s="4" t="str">
        <v/>
      </c>
    </row>
    <row r="26408" spans="5:9" ht="16.5" hidden="1">
      <c r="E26408" s="4" t="str">
        <v/>
      </c>
      <c r="F26408" s="102" t="str">
        <f ca="1">IFERROR(__xludf.DUMMYFUNCTION("IMPORTRANGE(H26408,""IDENTITAS UNIT!D9"")"),"#N/A")</f>
        <v>#N/A</v>
      </c>
      <c r="H26408" s="4" t="str">
        <v/>
      </c>
      <c r="I26408" s="4" t="str">
        <v/>
      </c>
    </row>
    <row r="26409" spans="5:9" ht="16.5" hidden="1">
      <c r="E26409" s="4" t="str">
        <v/>
      </c>
      <c r="F26409" s="102" t="str">
        <f ca="1">IFERROR(__xludf.DUMMYFUNCTION("IMPORTRANGE(H26409,""IDENTITAS UNIT!D9"")"),"#N/A")</f>
        <v>#N/A</v>
      </c>
      <c r="H26409" s="4" t="str">
        <v/>
      </c>
      <c r="I26409" s="4" t="str">
        <v/>
      </c>
    </row>
    <row r="26410" spans="5:9" ht="16.5" hidden="1">
      <c r="E26410" s="4" t="str">
        <v/>
      </c>
      <c r="F26410" s="102" t="str">
        <f ca="1">IFERROR(__xludf.DUMMYFUNCTION("IMPORTRANGE(H26410,""IDENTITAS UNIT!D9"")"),"#N/A")</f>
        <v>#N/A</v>
      </c>
      <c r="H26410" s="4" t="str">
        <v/>
      </c>
      <c r="I26410" s="4" t="str">
        <v/>
      </c>
    </row>
    <row r="26411" spans="5:9" ht="16.5" hidden="1">
      <c r="E26411" s="4" t="str">
        <v/>
      </c>
      <c r="F26411" s="102" t="str">
        <f ca="1">IFERROR(__xludf.DUMMYFUNCTION("IMPORTRANGE(H26411,""IDENTITAS UNIT!D9"")"),"#N/A")</f>
        <v>#N/A</v>
      </c>
      <c r="H26411" s="4" t="str">
        <v/>
      </c>
      <c r="I26411" s="4" t="str">
        <v/>
      </c>
    </row>
    <row r="26412" spans="5:9" ht="16.5" hidden="1">
      <c r="E26412" s="4" t="str">
        <v/>
      </c>
      <c r="F26412" s="102" t="str">
        <f ca="1">IFERROR(__xludf.DUMMYFUNCTION("IMPORTRANGE(H26412,""IDENTITAS UNIT!D9"")"),"#N/A")</f>
        <v>#N/A</v>
      </c>
      <c r="H26412" s="4" t="str">
        <v/>
      </c>
      <c r="I26412" s="4" t="str">
        <v/>
      </c>
    </row>
    <row r="26413" spans="5:9" ht="16.5" hidden="1">
      <c r="E26413" s="4" t="str">
        <v/>
      </c>
      <c r="F26413" s="102" t="str">
        <f ca="1">IFERROR(__xludf.DUMMYFUNCTION("IMPORTRANGE(H26413,""IDENTITAS UNIT!D9"")"),"#N/A")</f>
        <v>#N/A</v>
      </c>
      <c r="H26413" s="4" t="str">
        <v/>
      </c>
      <c r="I26413" s="4" t="str">
        <v/>
      </c>
    </row>
    <row r="26414" spans="5:9" ht="16.5" hidden="1">
      <c r="E26414" s="4" t="str">
        <v/>
      </c>
      <c r="F26414" s="102" t="str">
        <f ca="1">IFERROR(__xludf.DUMMYFUNCTION("IMPORTRANGE(H26414,""IDENTITAS UNIT!D9"")"),"#N/A")</f>
        <v>#N/A</v>
      </c>
      <c r="H26414" s="4" t="str">
        <v/>
      </c>
      <c r="I26414" s="4" t="str">
        <v/>
      </c>
    </row>
    <row r="26415" spans="5:9" ht="16.5" hidden="1">
      <c r="E26415" s="4" t="str">
        <v/>
      </c>
      <c r="F26415" s="102" t="str">
        <f ca="1">IFERROR(__xludf.DUMMYFUNCTION("IMPORTRANGE(H26415,""IDENTITAS UNIT!D9"")"),"#N/A")</f>
        <v>#N/A</v>
      </c>
      <c r="H26415" s="4" t="str">
        <v/>
      </c>
      <c r="I26415" s="4" t="str">
        <v/>
      </c>
    </row>
    <row r="26416" spans="5:9" ht="16.5" hidden="1">
      <c r="E26416" s="4" t="str">
        <v/>
      </c>
      <c r="F26416" s="102" t="str">
        <f ca="1">IFERROR(__xludf.DUMMYFUNCTION("IMPORTRANGE(H26416,""IDENTITAS UNIT!D9"")"),"#N/A")</f>
        <v>#N/A</v>
      </c>
      <c r="H26416" s="4" t="str">
        <v/>
      </c>
      <c r="I26416" s="4" t="str">
        <v/>
      </c>
    </row>
    <row r="26417" spans="5:9" ht="16.5" hidden="1">
      <c r="E26417" s="4" t="str">
        <v/>
      </c>
      <c r="F26417" s="102" t="str">
        <f ca="1">IFERROR(__xludf.DUMMYFUNCTION("IMPORTRANGE(H26417,""IDENTITAS UNIT!D9"")"),"#N/A")</f>
        <v>#N/A</v>
      </c>
      <c r="H26417" s="4" t="str">
        <v/>
      </c>
      <c r="I26417" s="4" t="str">
        <v/>
      </c>
    </row>
    <row r="26418" spans="5:9" ht="16.5" hidden="1">
      <c r="E26418" s="4" t="str">
        <v/>
      </c>
      <c r="F26418" s="102" t="str">
        <f ca="1">IFERROR(__xludf.DUMMYFUNCTION("IMPORTRANGE(H26418,""IDENTITAS UNIT!D9"")"),"#N/A")</f>
        <v>#N/A</v>
      </c>
      <c r="H26418" s="4" t="str">
        <v/>
      </c>
      <c r="I26418" s="4" t="str">
        <v/>
      </c>
    </row>
    <row r="26419" spans="5:9" ht="16.5" hidden="1">
      <c r="E26419" s="4" t="str">
        <v/>
      </c>
      <c r="F26419" s="102" t="str">
        <f ca="1">IFERROR(__xludf.DUMMYFUNCTION("IMPORTRANGE(H26419,""IDENTITAS UNIT!D9"")"),"#N/A")</f>
        <v>#N/A</v>
      </c>
      <c r="H26419" s="4" t="str">
        <v/>
      </c>
      <c r="I26419" s="4" t="str">
        <v/>
      </c>
    </row>
    <row r="26420" spans="5:9" ht="16.5" hidden="1">
      <c r="E26420" s="4" t="str">
        <v/>
      </c>
      <c r="F26420" s="102" t="str">
        <f ca="1">IFERROR(__xludf.DUMMYFUNCTION("IMPORTRANGE(H26420,""IDENTITAS UNIT!D9"")"),"#N/A")</f>
        <v>#N/A</v>
      </c>
      <c r="H26420" s="4" t="str">
        <v/>
      </c>
      <c r="I26420" s="4" t="str">
        <v/>
      </c>
    </row>
    <row r="26421" spans="5:9" ht="16.5" hidden="1">
      <c r="E26421" s="4" t="str">
        <v/>
      </c>
      <c r="F26421" s="102" t="str">
        <f ca="1">IFERROR(__xludf.DUMMYFUNCTION("IMPORTRANGE(H26421,""IDENTITAS UNIT!D9"")"),"#N/A")</f>
        <v>#N/A</v>
      </c>
      <c r="H26421" s="4" t="str">
        <v/>
      </c>
      <c r="I26421" s="4" t="str">
        <v/>
      </c>
    </row>
    <row r="26422" spans="5:9" ht="16.5" hidden="1">
      <c r="E26422" s="4" t="str">
        <v/>
      </c>
      <c r="F26422" s="102" t="str">
        <f ca="1">IFERROR(__xludf.DUMMYFUNCTION("IMPORTRANGE(H26422,""IDENTITAS UNIT!D9"")"),"#N/A")</f>
        <v>#N/A</v>
      </c>
      <c r="H26422" s="4" t="str">
        <v/>
      </c>
      <c r="I26422" s="4" t="str">
        <v/>
      </c>
    </row>
    <row r="26423" spans="5:9" ht="16.5" hidden="1">
      <c r="E26423" s="4" t="str">
        <v/>
      </c>
      <c r="F26423" s="102" t="str">
        <f ca="1">IFERROR(__xludf.DUMMYFUNCTION("IMPORTRANGE(H26423,""IDENTITAS UNIT!D9"")"),"#N/A")</f>
        <v>#N/A</v>
      </c>
      <c r="H26423" s="4" t="str">
        <v/>
      </c>
      <c r="I26423" s="4" t="str">
        <v/>
      </c>
    </row>
    <row r="26424" spans="5:9" ht="16.5" hidden="1">
      <c r="E26424" s="4" t="str">
        <v/>
      </c>
      <c r="F26424" s="102" t="str">
        <f ca="1">IFERROR(__xludf.DUMMYFUNCTION("IMPORTRANGE(H26424,""IDENTITAS UNIT!D9"")"),"#N/A")</f>
        <v>#N/A</v>
      </c>
      <c r="H26424" s="4" t="str">
        <v/>
      </c>
      <c r="I26424" s="4" t="str">
        <v/>
      </c>
    </row>
    <row r="26425" spans="5:9" ht="16.5" hidden="1">
      <c r="E26425" s="4" t="str">
        <v/>
      </c>
      <c r="F26425" s="102" t="str">
        <f ca="1">IFERROR(__xludf.DUMMYFUNCTION("IMPORTRANGE(H26425,""IDENTITAS UNIT!D9"")"),"#N/A")</f>
        <v>#N/A</v>
      </c>
      <c r="H26425" s="4" t="str">
        <v/>
      </c>
      <c r="I26425" s="4" t="str">
        <v/>
      </c>
    </row>
    <row r="26426" spans="5:9" ht="16.5" hidden="1">
      <c r="E26426" s="4" t="str">
        <v/>
      </c>
      <c r="F26426" s="102" t="str">
        <f ca="1">IFERROR(__xludf.DUMMYFUNCTION("IMPORTRANGE(H26426,""IDENTITAS UNIT!D9"")"),"#N/A")</f>
        <v>#N/A</v>
      </c>
      <c r="H26426" s="4" t="str">
        <v/>
      </c>
      <c r="I26426" s="4" t="str">
        <v/>
      </c>
    </row>
    <row r="26427" spans="5:9" ht="16.5" hidden="1">
      <c r="E26427" s="4" t="str">
        <v/>
      </c>
      <c r="F26427" s="102" t="str">
        <f ca="1">IFERROR(__xludf.DUMMYFUNCTION("IMPORTRANGE(H26427,""IDENTITAS UNIT!D9"")"),"#N/A")</f>
        <v>#N/A</v>
      </c>
      <c r="H26427" s="4" t="str">
        <v/>
      </c>
      <c r="I26427" s="4" t="str">
        <v/>
      </c>
    </row>
    <row r="26428" spans="5:9" ht="16.5" hidden="1">
      <c r="E26428" s="4" t="str">
        <v/>
      </c>
      <c r="F26428" s="102" t="str">
        <f ca="1">IFERROR(__xludf.DUMMYFUNCTION("IMPORTRANGE(H26428,""IDENTITAS UNIT!D9"")"),"#N/A")</f>
        <v>#N/A</v>
      </c>
      <c r="H26428" s="4" t="str">
        <v/>
      </c>
      <c r="I26428" s="4" t="str">
        <v/>
      </c>
    </row>
    <row r="26429" spans="5:9" ht="16.5" hidden="1">
      <c r="E26429" s="4" t="str">
        <v/>
      </c>
      <c r="F26429" s="102" t="str">
        <f ca="1">IFERROR(__xludf.DUMMYFUNCTION("IMPORTRANGE(H26429,""IDENTITAS UNIT!D9"")"),"#N/A")</f>
        <v>#N/A</v>
      </c>
      <c r="H26429" s="4" t="str">
        <v/>
      </c>
      <c r="I26429" s="4" t="str">
        <v/>
      </c>
    </row>
    <row r="26430" spans="5:9" ht="16.5" hidden="1">
      <c r="E26430" s="4" t="str">
        <v/>
      </c>
      <c r="F26430" s="102" t="str">
        <f ca="1">IFERROR(__xludf.DUMMYFUNCTION("IMPORTRANGE(H26430,""IDENTITAS UNIT!D9"")"),"#N/A")</f>
        <v>#N/A</v>
      </c>
      <c r="H26430" s="4" t="str">
        <v/>
      </c>
      <c r="I26430" s="4" t="str">
        <v/>
      </c>
    </row>
    <row r="26431" spans="5:9" ht="16.5" hidden="1">
      <c r="E26431" s="4" t="str">
        <v/>
      </c>
      <c r="F26431" s="102" t="str">
        <f ca="1">IFERROR(__xludf.DUMMYFUNCTION("IMPORTRANGE(H26431,""IDENTITAS UNIT!D9"")"),"#N/A")</f>
        <v>#N/A</v>
      </c>
      <c r="H26431" s="4" t="str">
        <v/>
      </c>
      <c r="I26431" s="4" t="str">
        <v/>
      </c>
    </row>
    <row r="26432" spans="5:9" ht="16.5" hidden="1">
      <c r="E26432" s="4" t="str">
        <v/>
      </c>
      <c r="F26432" s="102" t="str">
        <f ca="1">IFERROR(__xludf.DUMMYFUNCTION("IMPORTRANGE(H26432,""IDENTITAS UNIT!D9"")"),"#N/A")</f>
        <v>#N/A</v>
      </c>
      <c r="H26432" s="4" t="str">
        <v/>
      </c>
      <c r="I26432" s="4" t="str">
        <v/>
      </c>
    </row>
    <row r="26433" spans="5:9" ht="16.5" hidden="1">
      <c r="E26433" s="4" t="str">
        <v/>
      </c>
      <c r="F26433" s="102" t="str">
        <f ca="1">IFERROR(__xludf.DUMMYFUNCTION("IMPORTRANGE(H26433,""IDENTITAS UNIT!D9"")"),"#N/A")</f>
        <v>#N/A</v>
      </c>
      <c r="H26433" s="4" t="str">
        <v/>
      </c>
      <c r="I26433" s="4" t="str">
        <v/>
      </c>
    </row>
    <row r="26434" spans="5:9" ht="16.5" hidden="1">
      <c r="E26434" s="4" t="str">
        <v/>
      </c>
      <c r="F26434" s="102" t="str">
        <f ca="1">IFERROR(__xludf.DUMMYFUNCTION("IMPORTRANGE(H26434,""IDENTITAS UNIT!D9"")"),"#N/A")</f>
        <v>#N/A</v>
      </c>
      <c r="H26434" s="4" t="str">
        <v/>
      </c>
      <c r="I26434" s="4" t="str">
        <v/>
      </c>
    </row>
    <row r="26435" spans="5:9" ht="16.5" hidden="1">
      <c r="E26435" s="4" t="str">
        <v/>
      </c>
      <c r="F26435" s="102" t="str">
        <f ca="1">IFERROR(__xludf.DUMMYFUNCTION("IMPORTRANGE(H26435,""IDENTITAS UNIT!D9"")"),"#N/A")</f>
        <v>#N/A</v>
      </c>
      <c r="H26435" s="4" t="str">
        <v/>
      </c>
      <c r="I26435" s="4" t="str">
        <v/>
      </c>
    </row>
    <row r="26436" spans="5:9" ht="16.5" hidden="1">
      <c r="E26436" s="4" t="str">
        <v/>
      </c>
      <c r="F26436" s="102" t="str">
        <f ca="1">IFERROR(__xludf.DUMMYFUNCTION("IMPORTRANGE(H26436,""IDENTITAS UNIT!D9"")"),"#N/A")</f>
        <v>#N/A</v>
      </c>
      <c r="H26436" s="4" t="str">
        <v/>
      </c>
      <c r="I26436" s="4" t="str">
        <v/>
      </c>
    </row>
    <row r="26437" spans="5:9" ht="16.5" hidden="1">
      <c r="E26437" s="4" t="str">
        <v/>
      </c>
      <c r="F26437" s="102" t="str">
        <f ca="1">IFERROR(__xludf.DUMMYFUNCTION("IMPORTRANGE(H26437,""IDENTITAS UNIT!D9"")"),"#N/A")</f>
        <v>#N/A</v>
      </c>
      <c r="H26437" s="4" t="str">
        <v/>
      </c>
      <c r="I26437" s="4" t="str">
        <v/>
      </c>
    </row>
    <row r="26438" spans="5:9" ht="16.5" hidden="1">
      <c r="E26438" s="4" t="str">
        <v/>
      </c>
      <c r="F26438" s="102" t="str">
        <f ca="1">IFERROR(__xludf.DUMMYFUNCTION("IMPORTRANGE(H26438,""IDENTITAS UNIT!D9"")"),"#N/A")</f>
        <v>#N/A</v>
      </c>
      <c r="H26438" s="4" t="str">
        <v/>
      </c>
      <c r="I26438" s="4" t="str">
        <v/>
      </c>
    </row>
    <row r="26439" spans="5:9" ht="16.5" hidden="1">
      <c r="E26439" s="4" t="str">
        <v/>
      </c>
      <c r="F26439" s="102" t="str">
        <f ca="1">IFERROR(__xludf.DUMMYFUNCTION("IMPORTRANGE(H26439,""IDENTITAS UNIT!D9"")"),"#N/A")</f>
        <v>#N/A</v>
      </c>
      <c r="H26439" s="4" t="str">
        <v/>
      </c>
      <c r="I26439" s="4" t="str">
        <v/>
      </c>
    </row>
    <row r="26440" spans="5:9" ht="16.5" hidden="1">
      <c r="E26440" s="4" t="str">
        <v/>
      </c>
      <c r="F26440" s="102" t="str">
        <f ca="1">IFERROR(__xludf.DUMMYFUNCTION("IMPORTRANGE(H26440,""IDENTITAS UNIT!D9"")"),"#N/A")</f>
        <v>#N/A</v>
      </c>
      <c r="H26440" s="4" t="str">
        <v/>
      </c>
      <c r="I26440" s="4" t="str">
        <v/>
      </c>
    </row>
    <row r="26441" spans="5:9" ht="16.5" hidden="1">
      <c r="E26441" s="4" t="str">
        <v/>
      </c>
      <c r="F26441" s="102" t="str">
        <f ca="1">IFERROR(__xludf.DUMMYFUNCTION("IMPORTRANGE(H26441,""IDENTITAS UNIT!D9"")"),"#N/A")</f>
        <v>#N/A</v>
      </c>
      <c r="H26441" s="4" t="str">
        <v/>
      </c>
      <c r="I26441" s="4" t="str">
        <v/>
      </c>
    </row>
    <row r="26442" spans="5:9" ht="16.5" hidden="1">
      <c r="E26442" s="4" t="str">
        <v/>
      </c>
      <c r="F26442" s="102" t="str">
        <f ca="1">IFERROR(__xludf.DUMMYFUNCTION("IMPORTRANGE(H26442,""IDENTITAS UNIT!D9"")"),"#N/A")</f>
        <v>#N/A</v>
      </c>
      <c r="H26442" s="4" t="str">
        <v/>
      </c>
      <c r="I26442" s="4" t="str">
        <v/>
      </c>
    </row>
    <row r="26443" spans="5:9" ht="16.5" hidden="1">
      <c r="E26443" s="4" t="str">
        <v/>
      </c>
      <c r="F26443" s="102" t="str">
        <f ca="1">IFERROR(__xludf.DUMMYFUNCTION("IMPORTRANGE(H26443,""IDENTITAS UNIT!D9"")"),"#N/A")</f>
        <v>#N/A</v>
      </c>
      <c r="H26443" s="4" t="str">
        <v/>
      </c>
      <c r="I26443" s="4" t="str">
        <v/>
      </c>
    </row>
    <row r="26444" spans="5:9" ht="16.5" hidden="1">
      <c r="E26444" s="4" t="str">
        <v/>
      </c>
      <c r="F26444" s="102" t="str">
        <f ca="1">IFERROR(__xludf.DUMMYFUNCTION("IMPORTRANGE(H26444,""IDENTITAS UNIT!D9"")"),"#N/A")</f>
        <v>#N/A</v>
      </c>
      <c r="H26444" s="4" t="str">
        <v/>
      </c>
      <c r="I26444" s="4" t="str">
        <v/>
      </c>
    </row>
    <row r="26445" spans="5:9" ht="16.5" hidden="1">
      <c r="E26445" s="4" t="str">
        <v/>
      </c>
      <c r="F26445" s="102" t="str">
        <f ca="1">IFERROR(__xludf.DUMMYFUNCTION("IMPORTRANGE(H26445,""IDENTITAS UNIT!D9"")"),"#N/A")</f>
        <v>#N/A</v>
      </c>
      <c r="H26445" s="4" t="str">
        <v/>
      </c>
      <c r="I26445" s="4" t="str">
        <v/>
      </c>
    </row>
    <row r="26446" spans="5:9" ht="16.5" hidden="1">
      <c r="E26446" s="4" t="str">
        <v/>
      </c>
      <c r="F26446" s="102" t="str">
        <f ca="1">IFERROR(__xludf.DUMMYFUNCTION("IMPORTRANGE(H26446,""IDENTITAS UNIT!D9"")"),"#N/A")</f>
        <v>#N/A</v>
      </c>
      <c r="H26446" s="4" t="str">
        <v/>
      </c>
      <c r="I26446" s="4" t="str">
        <v/>
      </c>
    </row>
    <row r="26447" spans="5:9" ht="16.5" hidden="1">
      <c r="E26447" s="4" t="str">
        <v/>
      </c>
      <c r="F26447" s="102" t="str">
        <f ca="1">IFERROR(__xludf.DUMMYFUNCTION("IMPORTRANGE(H26447,""IDENTITAS UNIT!D9"")"),"#N/A")</f>
        <v>#N/A</v>
      </c>
      <c r="H26447" s="4" t="str">
        <v/>
      </c>
      <c r="I26447" s="4" t="str">
        <v/>
      </c>
    </row>
    <row r="26448" spans="5:9" ht="16.5" hidden="1">
      <c r="E26448" s="4" t="str">
        <v/>
      </c>
      <c r="F26448" s="102" t="str">
        <f ca="1">IFERROR(__xludf.DUMMYFUNCTION("IMPORTRANGE(H26448,""IDENTITAS UNIT!D9"")"),"#N/A")</f>
        <v>#N/A</v>
      </c>
      <c r="H26448" s="4" t="str">
        <v/>
      </c>
      <c r="I26448" s="4" t="str">
        <v/>
      </c>
    </row>
    <row r="26449" spans="5:9" ht="16.5" hidden="1">
      <c r="E26449" s="4" t="str">
        <v/>
      </c>
      <c r="F26449" s="102" t="str">
        <f ca="1">IFERROR(__xludf.DUMMYFUNCTION("IMPORTRANGE(H26449,""IDENTITAS UNIT!D9"")"),"#N/A")</f>
        <v>#N/A</v>
      </c>
      <c r="H26449" s="4" t="str">
        <v/>
      </c>
      <c r="I26449" s="4" t="str">
        <v/>
      </c>
    </row>
    <row r="26450" spans="5:9" ht="16.5" hidden="1">
      <c r="E26450" s="4" t="str">
        <v/>
      </c>
      <c r="F26450" s="102" t="str">
        <f ca="1">IFERROR(__xludf.DUMMYFUNCTION("IMPORTRANGE(H26450,""IDENTITAS UNIT!D9"")"),"#N/A")</f>
        <v>#N/A</v>
      </c>
      <c r="H26450" s="4" t="str">
        <v/>
      </c>
      <c r="I26450" s="4" t="str">
        <v/>
      </c>
    </row>
    <row r="26451" spans="5:9" ht="16.5" hidden="1">
      <c r="E26451" s="4" t="str">
        <v/>
      </c>
      <c r="F26451" s="102" t="str">
        <f ca="1">IFERROR(__xludf.DUMMYFUNCTION("IMPORTRANGE(H26451,""IDENTITAS UNIT!D9"")"),"#N/A")</f>
        <v>#N/A</v>
      </c>
      <c r="H26451" s="4" t="str">
        <v/>
      </c>
      <c r="I26451" s="4" t="str">
        <v/>
      </c>
    </row>
    <row r="26452" spans="5:9" ht="16.5" hidden="1">
      <c r="E26452" s="4" t="str">
        <v/>
      </c>
      <c r="F26452" s="102" t="str">
        <f ca="1">IFERROR(__xludf.DUMMYFUNCTION("IMPORTRANGE(H26452,""IDENTITAS UNIT!D9"")"),"#N/A")</f>
        <v>#N/A</v>
      </c>
      <c r="H26452" s="4" t="str">
        <v/>
      </c>
      <c r="I26452" s="4" t="str">
        <v/>
      </c>
    </row>
    <row r="26453" spans="5:9" ht="16.5" hidden="1">
      <c r="E26453" s="4" t="str">
        <v/>
      </c>
      <c r="F26453" s="102" t="str">
        <f ca="1">IFERROR(__xludf.DUMMYFUNCTION("IMPORTRANGE(H26453,""IDENTITAS UNIT!D9"")"),"#N/A")</f>
        <v>#N/A</v>
      </c>
      <c r="H26453" s="4" t="str">
        <v/>
      </c>
      <c r="I26453" s="4" t="str">
        <v/>
      </c>
    </row>
    <row r="26454" spans="5:9" ht="16.5" hidden="1">
      <c r="E26454" s="4" t="str">
        <v/>
      </c>
      <c r="F26454" s="102" t="str">
        <f ca="1">IFERROR(__xludf.DUMMYFUNCTION("IMPORTRANGE(H26454,""IDENTITAS UNIT!D9"")"),"#N/A")</f>
        <v>#N/A</v>
      </c>
      <c r="H26454" s="4" t="str">
        <v/>
      </c>
      <c r="I26454" s="4" t="str">
        <v/>
      </c>
    </row>
    <row r="26455" spans="5:9" ht="16.5" hidden="1">
      <c r="E26455" s="4" t="str">
        <v/>
      </c>
      <c r="F26455" s="102" t="str">
        <f ca="1">IFERROR(__xludf.DUMMYFUNCTION("IMPORTRANGE(H26455,""IDENTITAS UNIT!D9"")"),"#N/A")</f>
        <v>#N/A</v>
      </c>
      <c r="H26455" s="4" t="str">
        <v/>
      </c>
      <c r="I26455" s="4" t="str">
        <v/>
      </c>
    </row>
    <row r="26456" spans="5:9" ht="16.5" hidden="1">
      <c r="E26456" s="4" t="str">
        <v/>
      </c>
      <c r="F26456" s="102" t="str">
        <f ca="1">IFERROR(__xludf.DUMMYFUNCTION("IMPORTRANGE(H26456,""IDENTITAS UNIT!D9"")"),"#N/A")</f>
        <v>#N/A</v>
      </c>
      <c r="H26456" s="4" t="str">
        <v/>
      </c>
      <c r="I26456" s="4" t="str">
        <v/>
      </c>
    </row>
    <row r="26457" spans="5:9" ht="16.5" hidden="1">
      <c r="E26457" s="4" t="str">
        <v/>
      </c>
      <c r="F26457" s="102" t="str">
        <f ca="1">IFERROR(__xludf.DUMMYFUNCTION("IMPORTRANGE(H26457,""IDENTITAS UNIT!D9"")"),"#N/A")</f>
        <v>#N/A</v>
      </c>
      <c r="H26457" s="4" t="str">
        <v/>
      </c>
      <c r="I26457" s="4" t="str">
        <v/>
      </c>
    </row>
    <row r="26458" spans="5:9" ht="16.5" hidden="1">
      <c r="E26458" s="4" t="str">
        <v/>
      </c>
      <c r="F26458" s="102" t="str">
        <f ca="1">IFERROR(__xludf.DUMMYFUNCTION("IMPORTRANGE(H26458,""IDENTITAS UNIT!D9"")"),"#N/A")</f>
        <v>#N/A</v>
      </c>
      <c r="H26458" s="4" t="str">
        <v/>
      </c>
      <c r="I26458" s="4" t="str">
        <v/>
      </c>
    </row>
    <row r="26459" spans="5:9" ht="16.5" hidden="1">
      <c r="E26459" s="4" t="str">
        <v/>
      </c>
      <c r="F26459" s="102" t="str">
        <f ca="1">IFERROR(__xludf.DUMMYFUNCTION("IMPORTRANGE(H26459,""IDENTITAS UNIT!D9"")"),"#N/A")</f>
        <v>#N/A</v>
      </c>
      <c r="H26459" s="4" t="str">
        <v/>
      </c>
      <c r="I26459" s="4" t="str">
        <v/>
      </c>
    </row>
    <row r="26460" spans="5:9" ht="16.5" hidden="1">
      <c r="E26460" s="4" t="str">
        <v/>
      </c>
      <c r="F26460" s="102" t="str">
        <f ca="1">IFERROR(__xludf.DUMMYFUNCTION("IMPORTRANGE(H26460,""IDENTITAS UNIT!D9"")"),"#N/A")</f>
        <v>#N/A</v>
      </c>
      <c r="H26460" s="4" t="str">
        <v/>
      </c>
      <c r="I26460" s="4" t="str">
        <v/>
      </c>
    </row>
    <row r="26461" spans="5:9" ht="16.5" hidden="1">
      <c r="E26461" s="4" t="str">
        <v/>
      </c>
      <c r="F26461" s="102" t="str">
        <f ca="1">IFERROR(__xludf.DUMMYFUNCTION("IMPORTRANGE(H26461,""IDENTITAS UNIT!D9"")"),"#N/A")</f>
        <v>#N/A</v>
      </c>
      <c r="H26461" s="4" t="str">
        <v/>
      </c>
      <c r="I26461" s="4" t="str">
        <v/>
      </c>
    </row>
    <row r="26462" spans="5:9" ht="16.5" hidden="1">
      <c r="E26462" s="4" t="str">
        <v/>
      </c>
      <c r="F26462" s="102" t="str">
        <f ca="1">IFERROR(__xludf.DUMMYFUNCTION("IMPORTRANGE(H26462,""IDENTITAS UNIT!D9"")"),"#N/A")</f>
        <v>#N/A</v>
      </c>
      <c r="H26462" s="4" t="str">
        <v/>
      </c>
      <c r="I26462" s="4" t="str">
        <v/>
      </c>
    </row>
    <row r="26463" spans="5:9" ht="16.5" hidden="1">
      <c r="E26463" s="4" t="str">
        <v/>
      </c>
      <c r="F26463" s="102" t="str">
        <f ca="1">IFERROR(__xludf.DUMMYFUNCTION("IMPORTRANGE(H26463,""IDENTITAS UNIT!D9"")"),"#N/A")</f>
        <v>#N/A</v>
      </c>
      <c r="H26463" s="4" t="str">
        <v/>
      </c>
      <c r="I26463" s="4" t="str">
        <v/>
      </c>
    </row>
    <row r="26464" spans="5:9" ht="16.5" hidden="1">
      <c r="E26464" s="4" t="str">
        <v/>
      </c>
      <c r="F26464" s="102" t="str">
        <f ca="1">IFERROR(__xludf.DUMMYFUNCTION("IMPORTRANGE(H26464,""IDENTITAS UNIT!D9"")"),"#N/A")</f>
        <v>#N/A</v>
      </c>
      <c r="H26464" s="4" t="str">
        <v/>
      </c>
      <c r="I26464" s="4" t="str">
        <v/>
      </c>
    </row>
    <row r="26465" spans="5:9" ht="16.5" hidden="1">
      <c r="E26465" s="4" t="str">
        <v/>
      </c>
      <c r="F26465" s="102" t="str">
        <f ca="1">IFERROR(__xludf.DUMMYFUNCTION("IMPORTRANGE(H26465,""IDENTITAS UNIT!D9"")"),"#N/A")</f>
        <v>#N/A</v>
      </c>
      <c r="H26465" s="4" t="str">
        <v/>
      </c>
      <c r="I26465" s="4" t="str">
        <v/>
      </c>
    </row>
    <row r="26466" spans="5:9" ht="16.5" hidden="1">
      <c r="E26466" s="4" t="str">
        <v/>
      </c>
      <c r="F26466" s="102" t="str">
        <f ca="1">IFERROR(__xludf.DUMMYFUNCTION("IMPORTRANGE(H26466,""IDENTITAS UNIT!D9"")"),"#N/A")</f>
        <v>#N/A</v>
      </c>
      <c r="H26466" s="4" t="str">
        <v/>
      </c>
      <c r="I26466" s="4" t="str">
        <v/>
      </c>
    </row>
    <row r="26467" spans="5:9" ht="16.5" hidden="1">
      <c r="E26467" s="4" t="str">
        <v/>
      </c>
      <c r="F26467" s="102" t="str">
        <f ca="1">IFERROR(__xludf.DUMMYFUNCTION("IMPORTRANGE(H26467,""IDENTITAS UNIT!D9"")"),"#N/A")</f>
        <v>#N/A</v>
      </c>
      <c r="H26467" s="4" t="str">
        <v/>
      </c>
      <c r="I26467" s="4" t="str">
        <v/>
      </c>
    </row>
    <row r="26468" spans="5:9" ht="16.5" hidden="1">
      <c r="E26468" s="4" t="str">
        <v/>
      </c>
      <c r="F26468" s="102" t="str">
        <f ca="1">IFERROR(__xludf.DUMMYFUNCTION("IMPORTRANGE(H26468,""IDENTITAS UNIT!D9"")"),"#N/A")</f>
        <v>#N/A</v>
      </c>
      <c r="H26468" s="4" t="str">
        <v/>
      </c>
      <c r="I26468" s="4" t="str">
        <v/>
      </c>
    </row>
    <row r="26469" spans="5:9" ht="16.5" hidden="1">
      <c r="E26469" s="4" t="str">
        <v/>
      </c>
      <c r="F26469" s="102" t="str">
        <f ca="1">IFERROR(__xludf.DUMMYFUNCTION("IMPORTRANGE(H26469,""IDENTITAS UNIT!D9"")"),"#N/A")</f>
        <v>#N/A</v>
      </c>
      <c r="H26469" s="4" t="str">
        <v/>
      </c>
      <c r="I26469" s="4" t="str">
        <v/>
      </c>
    </row>
    <row r="26470" spans="5:9" ht="16.5" hidden="1">
      <c r="E26470" s="4" t="str">
        <v/>
      </c>
      <c r="F26470" s="102" t="str">
        <f ca="1">IFERROR(__xludf.DUMMYFUNCTION("IMPORTRANGE(H26470,""IDENTITAS UNIT!D9"")"),"#N/A")</f>
        <v>#N/A</v>
      </c>
      <c r="H26470" s="4" t="str">
        <v/>
      </c>
      <c r="I26470" s="4" t="str">
        <v/>
      </c>
    </row>
    <row r="26471" spans="5:9" ht="16.5" hidden="1">
      <c r="E26471" s="4" t="str">
        <v/>
      </c>
      <c r="F26471" s="102" t="str">
        <f ca="1">IFERROR(__xludf.DUMMYFUNCTION("IMPORTRANGE(H26471,""IDENTITAS UNIT!D9"")"),"#N/A")</f>
        <v>#N/A</v>
      </c>
      <c r="H26471" s="4" t="str">
        <v/>
      </c>
      <c r="I26471" s="4" t="str">
        <v/>
      </c>
    </row>
    <row r="26472" spans="5:9" ht="16.5" hidden="1">
      <c r="E26472" s="4" t="str">
        <v/>
      </c>
      <c r="F26472" s="102" t="str">
        <f ca="1">IFERROR(__xludf.DUMMYFUNCTION("IMPORTRANGE(H26472,""IDENTITAS UNIT!D9"")"),"#N/A")</f>
        <v>#N/A</v>
      </c>
      <c r="H26472" s="4" t="str">
        <v/>
      </c>
      <c r="I26472" s="4" t="str">
        <v/>
      </c>
    </row>
    <row r="26473" spans="5:9" ht="16.5" hidden="1">
      <c r="E26473" s="4" t="str">
        <v/>
      </c>
      <c r="F26473" s="102" t="str">
        <f ca="1">IFERROR(__xludf.DUMMYFUNCTION("IMPORTRANGE(H26473,""IDENTITAS UNIT!D9"")"),"#N/A")</f>
        <v>#N/A</v>
      </c>
      <c r="H26473" s="4" t="str">
        <v/>
      </c>
      <c r="I26473" s="4" t="str">
        <v/>
      </c>
    </row>
    <row r="26474" spans="5:9" ht="16.5" hidden="1">
      <c r="E26474" s="4" t="str">
        <v/>
      </c>
      <c r="F26474" s="102" t="str">
        <f ca="1">IFERROR(__xludf.DUMMYFUNCTION("IMPORTRANGE(H26474,""IDENTITAS UNIT!D9"")"),"#N/A")</f>
        <v>#N/A</v>
      </c>
      <c r="H26474" s="4" t="str">
        <v/>
      </c>
      <c r="I26474" s="4" t="str">
        <v/>
      </c>
    </row>
    <row r="26475" spans="5:9" ht="16.5" hidden="1">
      <c r="E26475" s="4" t="str">
        <v/>
      </c>
      <c r="F26475" s="102" t="str">
        <f ca="1">IFERROR(__xludf.DUMMYFUNCTION("IMPORTRANGE(H26475,""IDENTITAS UNIT!D9"")"),"#N/A")</f>
        <v>#N/A</v>
      </c>
      <c r="H26475" s="4" t="str">
        <v/>
      </c>
      <c r="I26475" s="4" t="str">
        <v/>
      </c>
    </row>
    <row r="26476" spans="5:9" ht="16.5" hidden="1">
      <c r="E26476" s="4" t="str">
        <v/>
      </c>
      <c r="F26476" s="102" t="str">
        <f ca="1">IFERROR(__xludf.DUMMYFUNCTION("IMPORTRANGE(H26476,""IDENTITAS UNIT!D9"")"),"#N/A")</f>
        <v>#N/A</v>
      </c>
      <c r="H26476" s="4" t="str">
        <v/>
      </c>
      <c r="I26476" s="4" t="str">
        <v/>
      </c>
    </row>
    <row r="26477" spans="5:9" ht="16.5" hidden="1">
      <c r="E26477" s="4" t="str">
        <v/>
      </c>
      <c r="F26477" s="102" t="str">
        <f ca="1">IFERROR(__xludf.DUMMYFUNCTION("IMPORTRANGE(H26477,""IDENTITAS UNIT!D9"")"),"#N/A")</f>
        <v>#N/A</v>
      </c>
      <c r="H26477" s="4" t="str">
        <v/>
      </c>
      <c r="I26477" s="4" t="str">
        <v/>
      </c>
    </row>
    <row r="26478" spans="5:9" ht="16.5" hidden="1">
      <c r="E26478" s="4" t="str">
        <v/>
      </c>
      <c r="F26478" s="102" t="str">
        <f ca="1">IFERROR(__xludf.DUMMYFUNCTION("IMPORTRANGE(H26478,""IDENTITAS UNIT!D9"")"),"#N/A")</f>
        <v>#N/A</v>
      </c>
      <c r="H26478" s="4" t="str">
        <v/>
      </c>
      <c r="I26478" s="4" t="str">
        <v/>
      </c>
    </row>
    <row r="26479" spans="5:9" ht="16.5" hidden="1">
      <c r="E26479" s="4" t="str">
        <v/>
      </c>
      <c r="F26479" s="102" t="str">
        <f ca="1">IFERROR(__xludf.DUMMYFUNCTION("IMPORTRANGE(H26479,""IDENTITAS UNIT!D9"")"),"#N/A")</f>
        <v>#N/A</v>
      </c>
      <c r="H26479" s="4" t="str">
        <v/>
      </c>
      <c r="I26479" s="4" t="str">
        <v/>
      </c>
    </row>
    <row r="26480" spans="5:9" ht="16.5" hidden="1">
      <c r="E26480" s="4" t="str">
        <v/>
      </c>
      <c r="F26480" s="102" t="str">
        <f ca="1">IFERROR(__xludf.DUMMYFUNCTION("IMPORTRANGE(H26480,""IDENTITAS UNIT!D9"")"),"#N/A")</f>
        <v>#N/A</v>
      </c>
      <c r="H26480" s="4" t="str">
        <v/>
      </c>
      <c r="I26480" s="4" t="str">
        <v/>
      </c>
    </row>
    <row r="26481" spans="5:9" ht="16.5" hidden="1">
      <c r="E26481" s="4" t="str">
        <v/>
      </c>
      <c r="F26481" s="102" t="str">
        <f ca="1">IFERROR(__xludf.DUMMYFUNCTION("IMPORTRANGE(H26481,""IDENTITAS UNIT!D9"")"),"#N/A")</f>
        <v>#N/A</v>
      </c>
      <c r="H26481" s="4" t="str">
        <v/>
      </c>
      <c r="I26481" s="4" t="str">
        <v/>
      </c>
    </row>
    <row r="26482" spans="5:9" ht="16.5" hidden="1">
      <c r="E26482" s="4" t="str">
        <v/>
      </c>
      <c r="F26482" s="102" t="str">
        <f ca="1">IFERROR(__xludf.DUMMYFUNCTION("IMPORTRANGE(H26482,""IDENTITAS UNIT!D9"")"),"#N/A")</f>
        <v>#N/A</v>
      </c>
      <c r="H26482" s="4" t="str">
        <v/>
      </c>
      <c r="I26482" s="4" t="str">
        <v/>
      </c>
    </row>
    <row r="26483" spans="5:9" ht="16.5" hidden="1">
      <c r="E26483" s="4" t="str">
        <v/>
      </c>
      <c r="F26483" s="102" t="str">
        <f ca="1">IFERROR(__xludf.DUMMYFUNCTION("IMPORTRANGE(H26483,""IDENTITAS UNIT!D9"")"),"#N/A")</f>
        <v>#N/A</v>
      </c>
      <c r="H26483" s="4" t="str">
        <v/>
      </c>
      <c r="I26483" s="4" t="str">
        <v/>
      </c>
    </row>
    <row r="26484" spans="5:9" ht="16.5" hidden="1">
      <c r="E26484" s="4" t="str">
        <v/>
      </c>
      <c r="F26484" s="102" t="str">
        <f ca="1">IFERROR(__xludf.DUMMYFUNCTION("IMPORTRANGE(H26484,""IDENTITAS UNIT!D9"")"),"#N/A")</f>
        <v>#N/A</v>
      </c>
      <c r="H26484" s="4" t="str">
        <v/>
      </c>
      <c r="I26484" s="4" t="str">
        <v/>
      </c>
    </row>
    <row r="26485" spans="5:9" ht="16.5" hidden="1">
      <c r="E26485" s="4" t="str">
        <v/>
      </c>
      <c r="F26485" s="102" t="str">
        <f ca="1">IFERROR(__xludf.DUMMYFUNCTION("IMPORTRANGE(H26485,""IDENTITAS UNIT!D9"")"),"#N/A")</f>
        <v>#N/A</v>
      </c>
      <c r="H26485" s="4" t="str">
        <v/>
      </c>
      <c r="I26485" s="4" t="str">
        <v/>
      </c>
    </row>
    <row r="26486" spans="5:9" ht="16.5" hidden="1">
      <c r="E26486" s="4" t="str">
        <v/>
      </c>
      <c r="F26486" s="102" t="str">
        <f ca="1">IFERROR(__xludf.DUMMYFUNCTION("IMPORTRANGE(H26486,""IDENTITAS UNIT!D9"")"),"#N/A")</f>
        <v>#N/A</v>
      </c>
      <c r="H26486" s="4" t="str">
        <v/>
      </c>
      <c r="I26486" s="4" t="str">
        <v/>
      </c>
    </row>
    <row r="26487" spans="5:9" ht="16.5" hidden="1">
      <c r="E26487" s="4" t="str">
        <v/>
      </c>
      <c r="F26487" s="102" t="str">
        <f ca="1">IFERROR(__xludf.DUMMYFUNCTION("IMPORTRANGE(H26487,""IDENTITAS UNIT!D9"")"),"#N/A")</f>
        <v>#N/A</v>
      </c>
      <c r="H26487" s="4" t="str">
        <v/>
      </c>
      <c r="I26487" s="4" t="str">
        <v/>
      </c>
    </row>
    <row r="26488" spans="5:9" ht="16.5" hidden="1">
      <c r="E26488" s="4" t="str">
        <v/>
      </c>
      <c r="F26488" s="102" t="str">
        <f ca="1">IFERROR(__xludf.DUMMYFUNCTION("IMPORTRANGE(H26488,""IDENTITAS UNIT!D9"")"),"#N/A")</f>
        <v>#N/A</v>
      </c>
      <c r="H26488" s="4" t="str">
        <v/>
      </c>
      <c r="I26488" s="4" t="str">
        <v/>
      </c>
    </row>
    <row r="26489" spans="5:9" ht="16.5" hidden="1">
      <c r="E26489" s="4" t="str">
        <v/>
      </c>
      <c r="F26489" s="102" t="str">
        <f ca="1">IFERROR(__xludf.DUMMYFUNCTION("IMPORTRANGE(H26489,""IDENTITAS UNIT!D9"")"),"#N/A")</f>
        <v>#N/A</v>
      </c>
      <c r="H26489" s="4" t="str">
        <v/>
      </c>
      <c r="I26489" s="4" t="str">
        <v/>
      </c>
    </row>
    <row r="26490" spans="5:9" ht="16.5" hidden="1">
      <c r="E26490" s="4" t="str">
        <v/>
      </c>
      <c r="F26490" s="102" t="str">
        <f ca="1">IFERROR(__xludf.DUMMYFUNCTION("IMPORTRANGE(H26490,""IDENTITAS UNIT!D9"")"),"#N/A")</f>
        <v>#N/A</v>
      </c>
      <c r="H26490" s="4" t="str">
        <v/>
      </c>
      <c r="I26490" s="4" t="str">
        <v/>
      </c>
    </row>
    <row r="26491" spans="5:9" ht="16.5" hidden="1">
      <c r="E26491" s="4" t="str">
        <v/>
      </c>
      <c r="F26491" s="102" t="str">
        <f ca="1">IFERROR(__xludf.DUMMYFUNCTION("IMPORTRANGE(H26491,""IDENTITAS UNIT!D9"")"),"#N/A")</f>
        <v>#N/A</v>
      </c>
      <c r="H26491" s="4" t="str">
        <v/>
      </c>
      <c r="I26491" s="4" t="str">
        <v/>
      </c>
    </row>
    <row r="26492" spans="5:9" ht="16.5" hidden="1">
      <c r="E26492" s="4" t="str">
        <v/>
      </c>
      <c r="F26492" s="102" t="str">
        <f ca="1">IFERROR(__xludf.DUMMYFUNCTION("IMPORTRANGE(H26492,""IDENTITAS UNIT!D9"")"),"#N/A")</f>
        <v>#N/A</v>
      </c>
      <c r="H26492" s="4" t="str">
        <v/>
      </c>
      <c r="I26492" s="4" t="str">
        <v/>
      </c>
    </row>
    <row r="26493" spans="5:9" ht="16.5" hidden="1">
      <c r="E26493" s="4" t="str">
        <v/>
      </c>
      <c r="F26493" s="102" t="str">
        <f ca="1">IFERROR(__xludf.DUMMYFUNCTION("IMPORTRANGE(H26493,""IDENTITAS UNIT!D9"")"),"#N/A")</f>
        <v>#N/A</v>
      </c>
      <c r="H26493" s="4" t="str">
        <v/>
      </c>
      <c r="I26493" s="4" t="str">
        <v/>
      </c>
    </row>
    <row r="26494" spans="5:9" ht="16.5" hidden="1">
      <c r="E26494" s="4" t="str">
        <v/>
      </c>
      <c r="F26494" s="102" t="str">
        <f ca="1">IFERROR(__xludf.DUMMYFUNCTION("IMPORTRANGE(H26494,""IDENTITAS UNIT!D9"")"),"#N/A")</f>
        <v>#N/A</v>
      </c>
      <c r="H26494" s="4" t="str">
        <v/>
      </c>
      <c r="I26494" s="4" t="str">
        <v/>
      </c>
    </row>
    <row r="26495" spans="5:9" ht="16.5" hidden="1">
      <c r="E26495" s="4" t="str">
        <v/>
      </c>
      <c r="F26495" s="102" t="str">
        <f ca="1">IFERROR(__xludf.DUMMYFUNCTION("IMPORTRANGE(H26495,""IDENTITAS UNIT!D9"")"),"#N/A")</f>
        <v>#N/A</v>
      </c>
      <c r="H26495" s="4" t="str">
        <v/>
      </c>
      <c r="I26495" s="4" t="str">
        <v/>
      </c>
    </row>
    <row r="26496" spans="5:9" ht="16.5" hidden="1">
      <c r="E26496" s="4" t="str">
        <v/>
      </c>
      <c r="F26496" s="102" t="str">
        <f ca="1">IFERROR(__xludf.DUMMYFUNCTION("IMPORTRANGE(H26496,""IDENTITAS UNIT!D9"")"),"#N/A")</f>
        <v>#N/A</v>
      </c>
      <c r="H26496" s="4" t="str">
        <v/>
      </c>
      <c r="I26496" s="4" t="str">
        <v/>
      </c>
    </row>
    <row r="26497" spans="5:9" ht="16.5" hidden="1">
      <c r="E26497" s="4" t="str">
        <v/>
      </c>
      <c r="F26497" s="102" t="str">
        <f ca="1">IFERROR(__xludf.DUMMYFUNCTION("IMPORTRANGE(H26497,""IDENTITAS UNIT!D9"")"),"#N/A")</f>
        <v>#N/A</v>
      </c>
      <c r="H26497" s="4" t="str">
        <v/>
      </c>
      <c r="I26497" s="4" t="str">
        <v/>
      </c>
    </row>
    <row r="26498" spans="5:9" ht="16.5" hidden="1">
      <c r="E26498" s="4" t="str">
        <v/>
      </c>
      <c r="F26498" s="102" t="str">
        <f ca="1">IFERROR(__xludf.DUMMYFUNCTION("IMPORTRANGE(H26498,""IDENTITAS UNIT!D9"")"),"#N/A")</f>
        <v>#N/A</v>
      </c>
      <c r="H26498" s="4" t="str">
        <v/>
      </c>
      <c r="I26498" s="4" t="str">
        <v/>
      </c>
    </row>
    <row r="26499" spans="5:9" ht="16.5" hidden="1">
      <c r="E26499" s="4" t="str">
        <v/>
      </c>
      <c r="F26499" s="102" t="str">
        <f ca="1">IFERROR(__xludf.DUMMYFUNCTION("IMPORTRANGE(H26499,""IDENTITAS UNIT!D9"")"),"#N/A")</f>
        <v>#N/A</v>
      </c>
      <c r="H26499" s="4" t="str">
        <v/>
      </c>
      <c r="I26499" s="4" t="str">
        <v/>
      </c>
    </row>
    <row r="26500" spans="5:9" ht="16.5" hidden="1">
      <c r="E26500" s="4" t="str">
        <v/>
      </c>
      <c r="F26500" s="102" t="str">
        <f ca="1">IFERROR(__xludf.DUMMYFUNCTION("IMPORTRANGE(H26500,""IDENTITAS UNIT!D9"")"),"#N/A")</f>
        <v>#N/A</v>
      </c>
      <c r="H26500" s="4" t="str">
        <v/>
      </c>
      <c r="I26500" s="4" t="str">
        <v/>
      </c>
    </row>
    <row r="26501" spans="5:9" ht="16.5" hidden="1">
      <c r="E26501" s="4" t="str">
        <v/>
      </c>
      <c r="F26501" s="102" t="str">
        <f ca="1">IFERROR(__xludf.DUMMYFUNCTION("IMPORTRANGE(H26501,""IDENTITAS UNIT!D9"")"),"#N/A")</f>
        <v>#N/A</v>
      </c>
      <c r="H26501" s="4" t="str">
        <v/>
      </c>
      <c r="I26501" s="4" t="str">
        <v/>
      </c>
    </row>
    <row r="26502" spans="5:9" ht="16.5" hidden="1">
      <c r="E26502" s="4" t="str">
        <v/>
      </c>
      <c r="F26502" s="102" t="str">
        <f ca="1">IFERROR(__xludf.DUMMYFUNCTION("IMPORTRANGE(H26502,""IDENTITAS UNIT!D9"")"),"#N/A")</f>
        <v>#N/A</v>
      </c>
      <c r="H26502" s="4" t="str">
        <v/>
      </c>
      <c r="I26502" s="4" t="str">
        <v/>
      </c>
    </row>
    <row r="26503" spans="5:9" ht="16.5" hidden="1">
      <c r="E26503" s="4" t="str">
        <v/>
      </c>
      <c r="F26503" s="102" t="str">
        <f ca="1">IFERROR(__xludf.DUMMYFUNCTION("IMPORTRANGE(H26503,""IDENTITAS UNIT!D9"")"),"#N/A")</f>
        <v>#N/A</v>
      </c>
      <c r="H26503" s="4" t="str">
        <v/>
      </c>
      <c r="I26503" s="4" t="str">
        <v/>
      </c>
    </row>
    <row r="26504" spans="5:9" ht="16.5" hidden="1">
      <c r="E26504" s="4" t="str">
        <v/>
      </c>
      <c r="F26504" s="102" t="str">
        <f ca="1">IFERROR(__xludf.DUMMYFUNCTION("IMPORTRANGE(H26504,""IDENTITAS UNIT!D9"")"),"#N/A")</f>
        <v>#N/A</v>
      </c>
      <c r="H26504" s="4" t="str">
        <v/>
      </c>
      <c r="I26504" s="4" t="str">
        <v/>
      </c>
    </row>
    <row r="26505" spans="5:9" ht="16.5" hidden="1">
      <c r="E26505" s="4" t="str">
        <v/>
      </c>
      <c r="F26505" s="102" t="str">
        <f ca="1">IFERROR(__xludf.DUMMYFUNCTION("IMPORTRANGE(H26505,""IDENTITAS UNIT!D9"")"),"#N/A")</f>
        <v>#N/A</v>
      </c>
      <c r="H26505" s="4" t="str">
        <v/>
      </c>
      <c r="I26505" s="4" t="str">
        <v/>
      </c>
    </row>
    <row r="26506" spans="5:9" ht="16.5" hidden="1">
      <c r="E26506" s="4" t="str">
        <v/>
      </c>
      <c r="F26506" s="102" t="str">
        <f ca="1">IFERROR(__xludf.DUMMYFUNCTION("IMPORTRANGE(H26506,""IDENTITAS UNIT!D9"")"),"#N/A")</f>
        <v>#N/A</v>
      </c>
      <c r="H26506" s="4" t="str">
        <v/>
      </c>
      <c r="I26506" s="4" t="str">
        <v/>
      </c>
    </row>
    <row r="26507" spans="5:9" ht="16.5" hidden="1">
      <c r="E26507" s="4" t="str">
        <v/>
      </c>
      <c r="F26507" s="102" t="str">
        <f ca="1">IFERROR(__xludf.DUMMYFUNCTION("IMPORTRANGE(H26507,""IDENTITAS UNIT!D9"")"),"#N/A")</f>
        <v>#N/A</v>
      </c>
      <c r="H26507" s="4" t="str">
        <v/>
      </c>
      <c r="I26507" s="4" t="str">
        <v/>
      </c>
    </row>
    <row r="26508" spans="5:9" ht="16.5" hidden="1">
      <c r="E26508" s="4" t="str">
        <v/>
      </c>
      <c r="F26508" s="102" t="str">
        <f ca="1">IFERROR(__xludf.DUMMYFUNCTION("IMPORTRANGE(H26508,""IDENTITAS UNIT!D9"")"),"#N/A")</f>
        <v>#N/A</v>
      </c>
      <c r="H26508" s="4" t="str">
        <v/>
      </c>
      <c r="I26508" s="4" t="str">
        <v/>
      </c>
    </row>
    <row r="26509" spans="5:9" ht="16.5" hidden="1">
      <c r="E26509" s="4" t="str">
        <v/>
      </c>
      <c r="F26509" s="102" t="str">
        <f ca="1">IFERROR(__xludf.DUMMYFUNCTION("IMPORTRANGE(H26509,""IDENTITAS UNIT!D9"")"),"#N/A")</f>
        <v>#N/A</v>
      </c>
      <c r="H26509" s="4" t="str">
        <v/>
      </c>
      <c r="I26509" s="4" t="str">
        <v/>
      </c>
    </row>
    <row r="26510" spans="5:9" ht="16.5" hidden="1">
      <c r="E26510" s="4" t="str">
        <v/>
      </c>
      <c r="F26510" s="102" t="str">
        <f ca="1">IFERROR(__xludf.DUMMYFUNCTION("IMPORTRANGE(H26510,""IDENTITAS UNIT!D9"")"),"#N/A")</f>
        <v>#N/A</v>
      </c>
      <c r="H26510" s="4" t="str">
        <v/>
      </c>
      <c r="I26510" s="4" t="str">
        <v/>
      </c>
    </row>
    <row r="26511" spans="5:9" ht="16.5" hidden="1">
      <c r="E26511" s="4" t="str">
        <v/>
      </c>
      <c r="F26511" s="102" t="str">
        <f ca="1">IFERROR(__xludf.DUMMYFUNCTION("IMPORTRANGE(H26511,""IDENTITAS UNIT!D9"")"),"#N/A")</f>
        <v>#N/A</v>
      </c>
      <c r="H26511" s="4" t="str">
        <v/>
      </c>
      <c r="I26511" s="4" t="str">
        <v/>
      </c>
    </row>
    <row r="26512" spans="5:9" ht="16.5" hidden="1">
      <c r="E26512" s="4" t="str">
        <v/>
      </c>
      <c r="F26512" s="102" t="str">
        <f ca="1">IFERROR(__xludf.DUMMYFUNCTION("IMPORTRANGE(H26512,""IDENTITAS UNIT!D9"")"),"#N/A")</f>
        <v>#N/A</v>
      </c>
      <c r="H26512" s="4" t="str">
        <v/>
      </c>
      <c r="I26512" s="4" t="str">
        <v/>
      </c>
    </row>
    <row r="26513" spans="5:9" ht="16.5" hidden="1">
      <c r="E26513" s="4" t="str">
        <v/>
      </c>
      <c r="F26513" s="102" t="str">
        <f ca="1">IFERROR(__xludf.DUMMYFUNCTION("IMPORTRANGE(H26513,""IDENTITAS UNIT!D9"")"),"#N/A")</f>
        <v>#N/A</v>
      </c>
      <c r="H26513" s="4" t="str">
        <v/>
      </c>
      <c r="I26513" s="4" t="str">
        <v/>
      </c>
    </row>
    <row r="26514" spans="5:9" ht="16.5" hidden="1">
      <c r="E26514" s="4" t="str">
        <v/>
      </c>
      <c r="F26514" s="102" t="str">
        <f ca="1">IFERROR(__xludf.DUMMYFUNCTION("IMPORTRANGE(H26514,""IDENTITAS UNIT!D9"")"),"#N/A")</f>
        <v>#N/A</v>
      </c>
      <c r="H26514" s="4" t="str">
        <v/>
      </c>
      <c r="I26514" s="4" t="str">
        <v/>
      </c>
    </row>
    <row r="26515" spans="5:9" ht="16.5" hidden="1">
      <c r="E26515" s="4" t="str">
        <v/>
      </c>
      <c r="F26515" s="102" t="str">
        <f ca="1">IFERROR(__xludf.DUMMYFUNCTION("IMPORTRANGE(H26515,""IDENTITAS UNIT!D9"")"),"#N/A")</f>
        <v>#N/A</v>
      </c>
      <c r="H26515" s="4" t="str">
        <v/>
      </c>
      <c r="I26515" s="4" t="str">
        <v/>
      </c>
    </row>
    <row r="26516" spans="5:9" ht="16.5" hidden="1">
      <c r="E26516" s="4" t="str">
        <v/>
      </c>
      <c r="F26516" s="102" t="str">
        <f ca="1">IFERROR(__xludf.DUMMYFUNCTION("IMPORTRANGE(H26516,""IDENTITAS UNIT!D9"")"),"#N/A")</f>
        <v>#N/A</v>
      </c>
      <c r="H26516" s="4" t="str">
        <v/>
      </c>
      <c r="I26516" s="4" t="str">
        <v/>
      </c>
    </row>
    <row r="26517" spans="5:9" ht="16.5" hidden="1">
      <c r="E26517" s="4" t="str">
        <v/>
      </c>
      <c r="F26517" s="102" t="str">
        <f ca="1">IFERROR(__xludf.DUMMYFUNCTION("IMPORTRANGE(H26517,""IDENTITAS UNIT!D9"")"),"#N/A")</f>
        <v>#N/A</v>
      </c>
      <c r="H26517" s="4" t="str">
        <v/>
      </c>
      <c r="I26517" s="4" t="str">
        <v/>
      </c>
    </row>
    <row r="26518" spans="5:9" ht="16.5" hidden="1">
      <c r="E26518" s="4" t="str">
        <v/>
      </c>
      <c r="F26518" s="102" t="str">
        <f ca="1">IFERROR(__xludf.DUMMYFUNCTION("IMPORTRANGE(H26518,""IDENTITAS UNIT!D9"")"),"#N/A")</f>
        <v>#N/A</v>
      </c>
      <c r="H26518" s="4" t="str">
        <v/>
      </c>
      <c r="I26518" s="4" t="str">
        <v/>
      </c>
    </row>
    <row r="26519" spans="5:9" ht="16.5" hidden="1">
      <c r="E26519" s="4" t="str">
        <v/>
      </c>
      <c r="F26519" s="102" t="str">
        <f ca="1">IFERROR(__xludf.DUMMYFUNCTION("IMPORTRANGE(H26519,""IDENTITAS UNIT!D9"")"),"#N/A")</f>
        <v>#N/A</v>
      </c>
      <c r="H26519" s="4" t="str">
        <v/>
      </c>
      <c r="I26519" s="4" t="str">
        <v/>
      </c>
    </row>
    <row r="26520" spans="5:9" ht="16.5" hidden="1">
      <c r="E26520" s="4" t="str">
        <v/>
      </c>
      <c r="F26520" s="102" t="str">
        <f ca="1">IFERROR(__xludf.DUMMYFUNCTION("IMPORTRANGE(H26520,""IDENTITAS UNIT!D9"")"),"#N/A")</f>
        <v>#N/A</v>
      </c>
      <c r="H26520" s="4" t="str">
        <v/>
      </c>
      <c r="I26520" s="4" t="str">
        <v/>
      </c>
    </row>
    <row r="26521" spans="5:9" ht="16.5" hidden="1">
      <c r="E26521" s="4" t="str">
        <v/>
      </c>
      <c r="F26521" s="102" t="str">
        <f ca="1">IFERROR(__xludf.DUMMYFUNCTION("IMPORTRANGE(H26521,""IDENTITAS UNIT!D9"")"),"#N/A")</f>
        <v>#N/A</v>
      </c>
      <c r="H26521" s="4" t="str">
        <v/>
      </c>
      <c r="I26521" s="4" t="str">
        <v/>
      </c>
    </row>
    <row r="26522" spans="5:9" ht="16.5" hidden="1">
      <c r="E26522" s="4" t="str">
        <v/>
      </c>
      <c r="F26522" s="102" t="str">
        <f ca="1">IFERROR(__xludf.DUMMYFUNCTION("IMPORTRANGE(H26522,""IDENTITAS UNIT!D9"")"),"#N/A")</f>
        <v>#N/A</v>
      </c>
      <c r="H26522" s="4" t="str">
        <v/>
      </c>
      <c r="I26522" s="4" t="str">
        <v/>
      </c>
    </row>
    <row r="26523" spans="5:9" ht="16.5" hidden="1">
      <c r="E26523" s="4" t="str">
        <v/>
      </c>
      <c r="F26523" s="102" t="str">
        <f ca="1">IFERROR(__xludf.DUMMYFUNCTION("IMPORTRANGE(H26523,""IDENTITAS UNIT!D9"")"),"#N/A")</f>
        <v>#N/A</v>
      </c>
      <c r="H26523" s="4" t="str">
        <v/>
      </c>
      <c r="I26523" s="4" t="str">
        <v/>
      </c>
    </row>
    <row r="26524" spans="5:9" ht="16.5" hidden="1">
      <c r="E26524" s="4" t="str">
        <v/>
      </c>
      <c r="F26524" s="102" t="str">
        <f ca="1">IFERROR(__xludf.DUMMYFUNCTION("IMPORTRANGE(H26524,""IDENTITAS UNIT!D9"")"),"#N/A")</f>
        <v>#N/A</v>
      </c>
      <c r="H26524" s="4" t="str">
        <v/>
      </c>
      <c r="I26524" s="4" t="str">
        <v/>
      </c>
    </row>
    <row r="26525" spans="5:9" ht="16.5" hidden="1">
      <c r="E26525" s="4" t="str">
        <v/>
      </c>
      <c r="F26525" s="102" t="str">
        <f ca="1">IFERROR(__xludf.DUMMYFUNCTION("IMPORTRANGE(H26525,""IDENTITAS UNIT!D9"")"),"#N/A")</f>
        <v>#N/A</v>
      </c>
      <c r="H26525" s="4" t="str">
        <v/>
      </c>
      <c r="I26525" s="4" t="str">
        <v/>
      </c>
    </row>
    <row r="26526" spans="5:9" ht="16.5" hidden="1">
      <c r="E26526" s="4" t="str">
        <v/>
      </c>
      <c r="F26526" s="102" t="str">
        <f ca="1">IFERROR(__xludf.DUMMYFUNCTION("IMPORTRANGE(H26526,""IDENTITAS UNIT!D9"")"),"#N/A")</f>
        <v>#N/A</v>
      </c>
      <c r="H26526" s="4" t="str">
        <v/>
      </c>
      <c r="I26526" s="4" t="str">
        <v/>
      </c>
    </row>
    <row r="26527" spans="5:9" ht="16.5" hidden="1">
      <c r="E26527" s="4" t="str">
        <v/>
      </c>
      <c r="F26527" s="102" t="str">
        <f ca="1">IFERROR(__xludf.DUMMYFUNCTION("IMPORTRANGE(H26527,""IDENTITAS UNIT!D9"")"),"#N/A")</f>
        <v>#N/A</v>
      </c>
      <c r="H26527" s="4" t="str">
        <v/>
      </c>
      <c r="I26527" s="4" t="str">
        <v/>
      </c>
    </row>
    <row r="26528" spans="5:9" ht="16.5" hidden="1">
      <c r="E26528" s="4" t="str">
        <v/>
      </c>
      <c r="F26528" s="102" t="str">
        <f ca="1">IFERROR(__xludf.DUMMYFUNCTION("IMPORTRANGE(H26528,""IDENTITAS UNIT!D9"")"),"#N/A")</f>
        <v>#N/A</v>
      </c>
      <c r="H26528" s="4" t="str">
        <v/>
      </c>
      <c r="I26528" s="4" t="str">
        <v/>
      </c>
    </row>
    <row r="26529" spans="5:9" ht="16.5" hidden="1">
      <c r="E26529" s="4" t="str">
        <v/>
      </c>
      <c r="F26529" s="102" t="str">
        <f ca="1">IFERROR(__xludf.DUMMYFUNCTION("IMPORTRANGE(H26529,""IDENTITAS UNIT!D9"")"),"#N/A")</f>
        <v>#N/A</v>
      </c>
      <c r="H26529" s="4" t="str">
        <v/>
      </c>
      <c r="I26529" s="4" t="str">
        <v/>
      </c>
    </row>
    <row r="26530" spans="5:9" ht="16.5" hidden="1">
      <c r="E26530" s="4" t="str">
        <v/>
      </c>
      <c r="F26530" s="102" t="str">
        <f ca="1">IFERROR(__xludf.DUMMYFUNCTION("IMPORTRANGE(H26530,""IDENTITAS UNIT!D9"")"),"#N/A")</f>
        <v>#N/A</v>
      </c>
      <c r="H26530" s="4" t="str">
        <v/>
      </c>
      <c r="I26530" s="4" t="str">
        <v/>
      </c>
    </row>
    <row r="26531" spans="5:9" ht="16.5" hidden="1">
      <c r="E26531" s="4" t="str">
        <v/>
      </c>
      <c r="F26531" s="102" t="str">
        <f ca="1">IFERROR(__xludf.DUMMYFUNCTION("IMPORTRANGE(H26531,""IDENTITAS UNIT!D9"")"),"#N/A")</f>
        <v>#N/A</v>
      </c>
      <c r="H26531" s="4" t="str">
        <v/>
      </c>
      <c r="I26531" s="4" t="str">
        <v/>
      </c>
    </row>
    <row r="26532" spans="5:9" ht="16.5" hidden="1">
      <c r="E26532" s="4" t="str">
        <v/>
      </c>
      <c r="F26532" s="102" t="str">
        <f ca="1">IFERROR(__xludf.DUMMYFUNCTION("IMPORTRANGE(H26532,""IDENTITAS UNIT!D9"")"),"#N/A")</f>
        <v>#N/A</v>
      </c>
      <c r="H26532" s="4" t="str">
        <v/>
      </c>
      <c r="I26532" s="4" t="str">
        <v/>
      </c>
    </row>
    <row r="26533" spans="5:9" ht="16.5" hidden="1">
      <c r="E26533" s="4" t="str">
        <v/>
      </c>
      <c r="F26533" s="102" t="str">
        <f ca="1">IFERROR(__xludf.DUMMYFUNCTION("IMPORTRANGE(H26533,""IDENTITAS UNIT!D9"")"),"#N/A")</f>
        <v>#N/A</v>
      </c>
      <c r="H26533" s="4" t="str">
        <v/>
      </c>
      <c r="I26533" s="4" t="str">
        <v/>
      </c>
    </row>
    <row r="26534" spans="5:9" ht="16.5" hidden="1">
      <c r="E26534" s="4" t="str">
        <v/>
      </c>
      <c r="F26534" s="102" t="str">
        <f ca="1">IFERROR(__xludf.DUMMYFUNCTION("IMPORTRANGE(H26534,""IDENTITAS UNIT!D9"")"),"#N/A")</f>
        <v>#N/A</v>
      </c>
      <c r="H26534" s="4" t="str">
        <v/>
      </c>
      <c r="I26534" s="4" t="str">
        <v/>
      </c>
    </row>
    <row r="26535" spans="5:9" ht="16.5" hidden="1">
      <c r="E26535" s="4" t="str">
        <v/>
      </c>
      <c r="F26535" s="102" t="str">
        <f ca="1">IFERROR(__xludf.DUMMYFUNCTION("IMPORTRANGE(H26535,""IDENTITAS UNIT!D9"")"),"#N/A")</f>
        <v>#N/A</v>
      </c>
      <c r="H26535" s="4" t="str">
        <v/>
      </c>
      <c r="I26535" s="4" t="str">
        <v/>
      </c>
    </row>
    <row r="26536" spans="5:9" ht="16.5" hidden="1">
      <c r="E26536" s="4" t="str">
        <v/>
      </c>
      <c r="F26536" s="102" t="str">
        <f ca="1">IFERROR(__xludf.DUMMYFUNCTION("IMPORTRANGE(H26536,""IDENTITAS UNIT!D9"")"),"#N/A")</f>
        <v>#N/A</v>
      </c>
      <c r="H26536" s="4" t="str">
        <v/>
      </c>
      <c r="I26536" s="4" t="str">
        <v/>
      </c>
    </row>
    <row r="26537" spans="5:9" ht="16.5" hidden="1">
      <c r="E26537" s="4" t="str">
        <v/>
      </c>
      <c r="F26537" s="102" t="str">
        <f ca="1">IFERROR(__xludf.DUMMYFUNCTION("IMPORTRANGE(H26537,""IDENTITAS UNIT!D9"")"),"#N/A")</f>
        <v>#N/A</v>
      </c>
      <c r="H26537" s="4" t="str">
        <v/>
      </c>
      <c r="I26537" s="4" t="str">
        <v/>
      </c>
    </row>
    <row r="26538" spans="5:9" ht="16.5" hidden="1">
      <c r="E26538" s="4" t="str">
        <v/>
      </c>
      <c r="F26538" s="102" t="str">
        <f ca="1">IFERROR(__xludf.DUMMYFUNCTION("IMPORTRANGE(H26538,""IDENTITAS UNIT!D9"")"),"#N/A")</f>
        <v>#N/A</v>
      </c>
      <c r="H26538" s="4" t="str">
        <v/>
      </c>
      <c r="I26538" s="4" t="str">
        <v/>
      </c>
    </row>
    <row r="26539" spans="5:9" ht="16.5" hidden="1">
      <c r="E26539" s="4" t="str">
        <v/>
      </c>
      <c r="F26539" s="102" t="str">
        <f ca="1">IFERROR(__xludf.DUMMYFUNCTION("IMPORTRANGE(H26539,""IDENTITAS UNIT!D9"")"),"#N/A")</f>
        <v>#N/A</v>
      </c>
      <c r="H26539" s="4" t="str">
        <v/>
      </c>
      <c r="I26539" s="4" t="str">
        <v/>
      </c>
    </row>
    <row r="26540" spans="5:9" ht="16.5" hidden="1">
      <c r="E26540" s="4" t="str">
        <v/>
      </c>
      <c r="F26540" s="102" t="str">
        <f ca="1">IFERROR(__xludf.DUMMYFUNCTION("IMPORTRANGE(H26540,""IDENTITAS UNIT!D9"")"),"#N/A")</f>
        <v>#N/A</v>
      </c>
      <c r="H26540" s="4" t="str">
        <v/>
      </c>
      <c r="I26540" s="4" t="str">
        <v/>
      </c>
    </row>
    <row r="26541" spans="5:9" ht="16.5" hidden="1">
      <c r="E26541" s="4" t="str">
        <v/>
      </c>
      <c r="F26541" s="102" t="str">
        <f ca="1">IFERROR(__xludf.DUMMYFUNCTION("IMPORTRANGE(H26541,""IDENTITAS UNIT!D9"")"),"#N/A")</f>
        <v>#N/A</v>
      </c>
      <c r="H26541" s="4" t="str">
        <v/>
      </c>
      <c r="I26541" s="4" t="str">
        <v/>
      </c>
    </row>
    <row r="26542" spans="5:9" ht="16.5" hidden="1">
      <c r="E26542" s="4" t="str">
        <v/>
      </c>
      <c r="F26542" s="102" t="str">
        <f ca="1">IFERROR(__xludf.DUMMYFUNCTION("IMPORTRANGE(H26542,""IDENTITAS UNIT!D9"")"),"#N/A")</f>
        <v>#N/A</v>
      </c>
      <c r="H26542" s="4" t="str">
        <v/>
      </c>
      <c r="I26542" s="4" t="str">
        <v/>
      </c>
    </row>
    <row r="26543" spans="5:9" ht="16.5" hidden="1">
      <c r="E26543" s="4" t="str">
        <v/>
      </c>
      <c r="F26543" s="102" t="str">
        <f ca="1">IFERROR(__xludf.DUMMYFUNCTION("IMPORTRANGE(H26543,""IDENTITAS UNIT!D9"")"),"#N/A")</f>
        <v>#N/A</v>
      </c>
      <c r="H26543" s="4" t="str">
        <v/>
      </c>
      <c r="I26543" s="4" t="str">
        <v/>
      </c>
    </row>
    <row r="26544" spans="5:9" ht="16.5" hidden="1">
      <c r="E26544" s="4" t="str">
        <v/>
      </c>
      <c r="F26544" s="102" t="str">
        <f ca="1">IFERROR(__xludf.DUMMYFUNCTION("IMPORTRANGE(H26544,""IDENTITAS UNIT!D9"")"),"#N/A")</f>
        <v>#N/A</v>
      </c>
      <c r="H26544" s="4" t="str">
        <v/>
      </c>
      <c r="I26544" s="4" t="str">
        <v/>
      </c>
    </row>
    <row r="26545" spans="5:9" ht="16.5" hidden="1">
      <c r="E26545" s="4" t="str">
        <v/>
      </c>
      <c r="F26545" s="102" t="str">
        <f ca="1">IFERROR(__xludf.DUMMYFUNCTION("IMPORTRANGE(H26545,""IDENTITAS UNIT!D9"")"),"#N/A")</f>
        <v>#N/A</v>
      </c>
      <c r="H26545" s="4" t="str">
        <v/>
      </c>
      <c r="I26545" s="4" t="str">
        <v/>
      </c>
    </row>
    <row r="26546" spans="5:9" ht="16.5" hidden="1">
      <c r="E26546" s="4" t="str">
        <v/>
      </c>
      <c r="F26546" s="102" t="str">
        <f ca="1">IFERROR(__xludf.DUMMYFUNCTION("IMPORTRANGE(H26546,""IDENTITAS UNIT!D9"")"),"#N/A")</f>
        <v>#N/A</v>
      </c>
      <c r="H26546" s="4" t="str">
        <v/>
      </c>
      <c r="I26546" s="4" t="str">
        <v/>
      </c>
    </row>
    <row r="26547" spans="5:9" ht="16.5" hidden="1">
      <c r="E26547" s="4" t="str">
        <v/>
      </c>
      <c r="F26547" s="102" t="str">
        <f ca="1">IFERROR(__xludf.DUMMYFUNCTION("IMPORTRANGE(H26547,""IDENTITAS UNIT!D9"")"),"#N/A")</f>
        <v>#N/A</v>
      </c>
      <c r="H26547" s="4" t="str">
        <v/>
      </c>
      <c r="I26547" s="4" t="str">
        <v/>
      </c>
    </row>
    <row r="26548" spans="5:9" ht="16.5" hidden="1">
      <c r="E26548" s="4" t="str">
        <v/>
      </c>
      <c r="F26548" s="102" t="str">
        <f ca="1">IFERROR(__xludf.DUMMYFUNCTION("IMPORTRANGE(H26548,""IDENTITAS UNIT!D9"")"),"#N/A")</f>
        <v>#N/A</v>
      </c>
      <c r="H26548" s="4" t="str">
        <v/>
      </c>
      <c r="I26548" s="4" t="str">
        <v/>
      </c>
    </row>
    <row r="26549" spans="5:9" ht="16.5" hidden="1">
      <c r="E26549" s="4" t="str">
        <v/>
      </c>
      <c r="F26549" s="102" t="str">
        <f ca="1">IFERROR(__xludf.DUMMYFUNCTION("IMPORTRANGE(H26549,""IDENTITAS UNIT!D9"")"),"#N/A")</f>
        <v>#N/A</v>
      </c>
      <c r="H26549" s="4" t="str">
        <v/>
      </c>
      <c r="I26549" s="4" t="str">
        <v/>
      </c>
    </row>
    <row r="26550" spans="5:9" ht="16.5" hidden="1">
      <c r="E26550" s="4" t="str">
        <v/>
      </c>
      <c r="F26550" s="102" t="str">
        <f ca="1">IFERROR(__xludf.DUMMYFUNCTION("IMPORTRANGE(H26550,""IDENTITAS UNIT!D9"")"),"#N/A")</f>
        <v>#N/A</v>
      </c>
      <c r="H26550" s="4" t="str">
        <v/>
      </c>
      <c r="I26550" s="4" t="str">
        <v/>
      </c>
    </row>
    <row r="26551" spans="5:9" ht="16.5" hidden="1">
      <c r="E26551" s="4" t="str">
        <v/>
      </c>
      <c r="F26551" s="102" t="str">
        <f ca="1">IFERROR(__xludf.DUMMYFUNCTION("IMPORTRANGE(H26551,""IDENTITAS UNIT!D9"")"),"#N/A")</f>
        <v>#N/A</v>
      </c>
      <c r="H26551" s="4" t="str">
        <v/>
      </c>
      <c r="I26551" s="4" t="str">
        <v/>
      </c>
    </row>
    <row r="26552" spans="5:9" ht="16.5" hidden="1">
      <c r="E26552" s="4" t="str">
        <v/>
      </c>
      <c r="F26552" s="102" t="str">
        <f ca="1">IFERROR(__xludf.DUMMYFUNCTION("IMPORTRANGE(H26552,""IDENTITAS UNIT!D9"")"),"#N/A")</f>
        <v>#N/A</v>
      </c>
      <c r="H26552" s="4" t="str">
        <v/>
      </c>
      <c r="I26552" s="4" t="str">
        <v/>
      </c>
    </row>
    <row r="26553" spans="5:9" ht="16.5" hidden="1">
      <c r="E26553" s="4" t="str">
        <v/>
      </c>
      <c r="F26553" s="102" t="str">
        <f ca="1">IFERROR(__xludf.DUMMYFUNCTION("IMPORTRANGE(H26553,""IDENTITAS UNIT!D9"")"),"#N/A")</f>
        <v>#N/A</v>
      </c>
      <c r="H26553" s="4" t="str">
        <v/>
      </c>
      <c r="I26553" s="4" t="str">
        <v/>
      </c>
    </row>
    <row r="26554" spans="5:9" ht="16.5" hidden="1">
      <c r="E26554" s="4" t="str">
        <v/>
      </c>
      <c r="F26554" s="102" t="str">
        <f ca="1">IFERROR(__xludf.DUMMYFUNCTION("IMPORTRANGE(H26554,""IDENTITAS UNIT!D9"")"),"#N/A")</f>
        <v>#N/A</v>
      </c>
      <c r="H26554" s="4" t="str">
        <v/>
      </c>
      <c r="I26554" s="4" t="str">
        <v/>
      </c>
    </row>
    <row r="26555" spans="5:9" ht="16.5" hidden="1">
      <c r="E26555" s="4" t="str">
        <v/>
      </c>
      <c r="F26555" s="102" t="str">
        <f ca="1">IFERROR(__xludf.DUMMYFUNCTION("IMPORTRANGE(H26555,""IDENTITAS UNIT!D9"")"),"#N/A")</f>
        <v>#N/A</v>
      </c>
      <c r="H26555" s="4" t="str">
        <v/>
      </c>
      <c r="I26555" s="4" t="str">
        <v/>
      </c>
    </row>
    <row r="26556" spans="5:9" ht="16.5" hidden="1">
      <c r="E26556" s="4" t="str">
        <v/>
      </c>
      <c r="F26556" s="102" t="str">
        <f ca="1">IFERROR(__xludf.DUMMYFUNCTION("IMPORTRANGE(H26556,""IDENTITAS UNIT!D9"")"),"#N/A")</f>
        <v>#N/A</v>
      </c>
      <c r="H26556" s="4" t="str">
        <v/>
      </c>
      <c r="I26556" s="4" t="str">
        <v/>
      </c>
    </row>
    <row r="26557" spans="5:9" ht="16.5" hidden="1">
      <c r="E26557" s="4" t="str">
        <v/>
      </c>
      <c r="F26557" s="102" t="str">
        <f ca="1">IFERROR(__xludf.DUMMYFUNCTION("IMPORTRANGE(H26557,""IDENTITAS UNIT!D9"")"),"#N/A")</f>
        <v>#N/A</v>
      </c>
      <c r="H26557" s="4" t="str">
        <v/>
      </c>
      <c r="I26557" s="4" t="str">
        <v/>
      </c>
    </row>
    <row r="26558" spans="5:9" ht="16.5" hidden="1">
      <c r="E26558" s="4" t="str">
        <v/>
      </c>
      <c r="F26558" s="102" t="str">
        <f ca="1">IFERROR(__xludf.DUMMYFUNCTION("IMPORTRANGE(H26558,""IDENTITAS UNIT!D9"")"),"#N/A")</f>
        <v>#N/A</v>
      </c>
      <c r="H26558" s="4" t="str">
        <v/>
      </c>
      <c r="I26558" s="4" t="str">
        <v/>
      </c>
    </row>
    <row r="26559" spans="5:9" ht="16.5" hidden="1">
      <c r="E26559" s="4" t="str">
        <v/>
      </c>
      <c r="F26559" s="102" t="str">
        <f ca="1">IFERROR(__xludf.DUMMYFUNCTION("IMPORTRANGE(H26559,""IDENTITAS UNIT!D9"")"),"#N/A")</f>
        <v>#N/A</v>
      </c>
      <c r="H26559" s="4" t="str">
        <v/>
      </c>
      <c r="I26559" s="4" t="str">
        <v/>
      </c>
    </row>
    <row r="26560" spans="5:9" ht="16.5" hidden="1">
      <c r="E26560" s="4" t="str">
        <v/>
      </c>
      <c r="F26560" s="102" t="str">
        <f ca="1">IFERROR(__xludf.DUMMYFUNCTION("IMPORTRANGE(H26560,""IDENTITAS UNIT!D9"")"),"#N/A")</f>
        <v>#N/A</v>
      </c>
      <c r="H26560" s="4" t="str">
        <v/>
      </c>
      <c r="I26560" s="4" t="str">
        <v/>
      </c>
    </row>
    <row r="26561" spans="5:9" ht="16.5" hidden="1">
      <c r="E26561" s="4" t="str">
        <v/>
      </c>
      <c r="F26561" s="102" t="str">
        <f ca="1">IFERROR(__xludf.DUMMYFUNCTION("IMPORTRANGE(H26561,""IDENTITAS UNIT!D9"")"),"#N/A")</f>
        <v>#N/A</v>
      </c>
      <c r="H26561" s="4" t="str">
        <v/>
      </c>
      <c r="I26561" s="4" t="str">
        <v/>
      </c>
    </row>
    <row r="26562" spans="5:9" ht="16.5" hidden="1">
      <c r="E26562" s="4" t="str">
        <v/>
      </c>
      <c r="F26562" s="102" t="str">
        <f ca="1">IFERROR(__xludf.DUMMYFUNCTION("IMPORTRANGE(H26562,""IDENTITAS UNIT!D9"")"),"#N/A")</f>
        <v>#N/A</v>
      </c>
      <c r="H26562" s="4" t="str">
        <v/>
      </c>
      <c r="I26562" s="4" t="str">
        <v/>
      </c>
    </row>
    <row r="26563" spans="5:9" ht="16.5" hidden="1">
      <c r="E26563" s="4" t="str">
        <v/>
      </c>
      <c r="F26563" s="102" t="str">
        <f ca="1">IFERROR(__xludf.DUMMYFUNCTION("IMPORTRANGE(H26563,""IDENTITAS UNIT!D9"")"),"#N/A")</f>
        <v>#N/A</v>
      </c>
      <c r="H26563" s="4" t="str">
        <v/>
      </c>
      <c r="I26563" s="4" t="str">
        <v/>
      </c>
    </row>
    <row r="26564" spans="5:9" ht="16.5" hidden="1">
      <c r="E26564" s="4" t="str">
        <v/>
      </c>
      <c r="F26564" s="102" t="str">
        <f ca="1">IFERROR(__xludf.DUMMYFUNCTION("IMPORTRANGE(H26564,""IDENTITAS UNIT!D9"")"),"#N/A")</f>
        <v>#N/A</v>
      </c>
      <c r="H26564" s="4" t="str">
        <v/>
      </c>
      <c r="I26564" s="4" t="str">
        <v/>
      </c>
    </row>
    <row r="26565" spans="5:9" ht="16.5" hidden="1">
      <c r="E26565" s="4" t="str">
        <v/>
      </c>
      <c r="F26565" s="102" t="str">
        <f ca="1">IFERROR(__xludf.DUMMYFUNCTION("IMPORTRANGE(H26565,""IDENTITAS UNIT!D9"")"),"#N/A")</f>
        <v>#N/A</v>
      </c>
      <c r="H26565" s="4" t="str">
        <v/>
      </c>
      <c r="I26565" s="4" t="str">
        <v/>
      </c>
    </row>
    <row r="26566" spans="5:9" ht="16.5" hidden="1">
      <c r="E26566" s="4" t="str">
        <v/>
      </c>
      <c r="F26566" s="102" t="str">
        <f ca="1">IFERROR(__xludf.DUMMYFUNCTION("IMPORTRANGE(H26566,""IDENTITAS UNIT!D9"")"),"#N/A")</f>
        <v>#N/A</v>
      </c>
      <c r="H26566" s="4" t="str">
        <v/>
      </c>
      <c r="I26566" s="4" t="str">
        <v/>
      </c>
    </row>
    <row r="26567" spans="5:9" ht="16.5" hidden="1">
      <c r="E26567" s="4" t="str">
        <v/>
      </c>
      <c r="F26567" s="102" t="str">
        <f ca="1">IFERROR(__xludf.DUMMYFUNCTION("IMPORTRANGE(H26567,""IDENTITAS UNIT!D9"")"),"#N/A")</f>
        <v>#N/A</v>
      </c>
      <c r="H26567" s="4" t="str">
        <v/>
      </c>
      <c r="I26567" s="4" t="str">
        <v/>
      </c>
    </row>
    <row r="26568" spans="5:9" ht="16.5" hidden="1">
      <c r="E26568" s="4" t="str">
        <v/>
      </c>
      <c r="F26568" s="102" t="str">
        <f ca="1">IFERROR(__xludf.DUMMYFUNCTION("IMPORTRANGE(H26568,""IDENTITAS UNIT!D9"")"),"#N/A")</f>
        <v>#N/A</v>
      </c>
      <c r="H26568" s="4" t="str">
        <v/>
      </c>
      <c r="I26568" s="4" t="str">
        <v/>
      </c>
    </row>
    <row r="26569" spans="5:9" ht="16.5" hidden="1">
      <c r="E26569" s="4" t="str">
        <v/>
      </c>
      <c r="F26569" s="102" t="str">
        <f ca="1">IFERROR(__xludf.DUMMYFUNCTION("IMPORTRANGE(H26569,""IDENTITAS UNIT!D9"")"),"#N/A")</f>
        <v>#N/A</v>
      </c>
      <c r="H26569" s="4" t="str">
        <v/>
      </c>
      <c r="I26569" s="4" t="str">
        <v/>
      </c>
    </row>
    <row r="26570" spans="5:9" ht="16.5" hidden="1">
      <c r="E26570" s="4" t="str">
        <v/>
      </c>
      <c r="F26570" s="102" t="str">
        <f ca="1">IFERROR(__xludf.DUMMYFUNCTION("IMPORTRANGE(H26570,""IDENTITAS UNIT!D9"")"),"#N/A")</f>
        <v>#N/A</v>
      </c>
      <c r="H26570" s="4" t="str">
        <v/>
      </c>
      <c r="I26570" s="4" t="str">
        <v/>
      </c>
    </row>
    <row r="26571" spans="5:9" ht="16.5" hidden="1">
      <c r="E26571" s="4" t="str">
        <v/>
      </c>
      <c r="F26571" s="102" t="str">
        <f ca="1">IFERROR(__xludf.DUMMYFUNCTION("IMPORTRANGE(H26571,""IDENTITAS UNIT!D9"")"),"#N/A")</f>
        <v>#N/A</v>
      </c>
      <c r="H26571" s="4" t="str">
        <v/>
      </c>
      <c r="I26571" s="4" t="str">
        <v/>
      </c>
    </row>
    <row r="26572" spans="5:9" ht="16.5" hidden="1">
      <c r="E26572" s="4" t="str">
        <v/>
      </c>
      <c r="F26572" s="102" t="str">
        <f ca="1">IFERROR(__xludf.DUMMYFUNCTION("IMPORTRANGE(H26572,""IDENTITAS UNIT!D9"")"),"#N/A")</f>
        <v>#N/A</v>
      </c>
      <c r="H26572" s="4" t="str">
        <v/>
      </c>
      <c r="I26572" s="4" t="str">
        <v/>
      </c>
    </row>
    <row r="26573" spans="5:9" ht="16.5" hidden="1">
      <c r="E26573" s="4" t="str">
        <v/>
      </c>
      <c r="F26573" s="102" t="str">
        <f ca="1">IFERROR(__xludf.DUMMYFUNCTION("IMPORTRANGE(H26573,""IDENTITAS UNIT!D9"")"),"#N/A")</f>
        <v>#N/A</v>
      </c>
      <c r="H26573" s="4" t="str">
        <v/>
      </c>
      <c r="I26573" s="4" t="str">
        <v/>
      </c>
    </row>
    <row r="26574" spans="5:9" ht="16.5" hidden="1">
      <c r="E26574" s="4" t="str">
        <v/>
      </c>
      <c r="F26574" s="102" t="str">
        <f ca="1">IFERROR(__xludf.DUMMYFUNCTION("IMPORTRANGE(H26574,""IDENTITAS UNIT!D9"")"),"#N/A")</f>
        <v>#N/A</v>
      </c>
      <c r="H26574" s="4" t="str">
        <v/>
      </c>
      <c r="I26574" s="4" t="str">
        <v/>
      </c>
    </row>
    <row r="26575" spans="5:9" ht="16.5" hidden="1">
      <c r="E26575" s="4" t="str">
        <v/>
      </c>
      <c r="F26575" s="102" t="str">
        <f ca="1">IFERROR(__xludf.DUMMYFUNCTION("IMPORTRANGE(H26575,""IDENTITAS UNIT!D9"")"),"#N/A")</f>
        <v>#N/A</v>
      </c>
      <c r="H26575" s="4" t="str">
        <v/>
      </c>
      <c r="I26575" s="4" t="str">
        <v/>
      </c>
    </row>
    <row r="26576" spans="5:9" ht="16.5" hidden="1">
      <c r="E26576" s="4" t="str">
        <v/>
      </c>
      <c r="F26576" s="102" t="str">
        <f ca="1">IFERROR(__xludf.DUMMYFUNCTION("IMPORTRANGE(H26576,""IDENTITAS UNIT!D9"")"),"#N/A")</f>
        <v>#N/A</v>
      </c>
      <c r="H26576" s="4" t="str">
        <v/>
      </c>
      <c r="I26576" s="4" t="str">
        <v/>
      </c>
    </row>
    <row r="26577" spans="5:9" ht="16.5" hidden="1">
      <c r="E26577" s="4" t="str">
        <v/>
      </c>
      <c r="F26577" s="102" t="str">
        <f ca="1">IFERROR(__xludf.DUMMYFUNCTION("IMPORTRANGE(H26577,""IDENTITAS UNIT!D9"")"),"#N/A")</f>
        <v>#N/A</v>
      </c>
      <c r="H26577" s="4" t="str">
        <v/>
      </c>
      <c r="I26577" s="4" t="str">
        <v/>
      </c>
    </row>
    <row r="26578" spans="5:9" ht="16.5" hidden="1">
      <c r="E26578" s="4" t="str">
        <v/>
      </c>
      <c r="F26578" s="102" t="str">
        <f ca="1">IFERROR(__xludf.DUMMYFUNCTION("IMPORTRANGE(H26578,""IDENTITAS UNIT!D9"")"),"#N/A")</f>
        <v>#N/A</v>
      </c>
      <c r="H26578" s="4" t="str">
        <v/>
      </c>
      <c r="I26578" s="4" t="str">
        <v/>
      </c>
    </row>
    <row r="26579" spans="5:9" ht="16.5" hidden="1">
      <c r="E26579" s="4" t="str">
        <v/>
      </c>
      <c r="F26579" s="102" t="str">
        <f ca="1">IFERROR(__xludf.DUMMYFUNCTION("IMPORTRANGE(H26579,""IDENTITAS UNIT!D9"")"),"#N/A")</f>
        <v>#N/A</v>
      </c>
      <c r="H26579" s="4" t="str">
        <v/>
      </c>
      <c r="I26579" s="4" t="str">
        <v/>
      </c>
    </row>
    <row r="26580" spans="5:9" ht="16.5" hidden="1">
      <c r="E26580" s="4" t="str">
        <v/>
      </c>
      <c r="F26580" s="102" t="str">
        <f ca="1">IFERROR(__xludf.DUMMYFUNCTION("IMPORTRANGE(H26580,""IDENTITAS UNIT!D9"")"),"#N/A")</f>
        <v>#N/A</v>
      </c>
      <c r="H26580" s="4" t="str">
        <v/>
      </c>
      <c r="I26580" s="4" t="str">
        <v/>
      </c>
    </row>
    <row r="26581" spans="5:9" ht="16.5" hidden="1">
      <c r="E26581" s="4" t="str">
        <v/>
      </c>
      <c r="F26581" s="102" t="str">
        <f ca="1">IFERROR(__xludf.DUMMYFUNCTION("IMPORTRANGE(H26581,""IDENTITAS UNIT!D9"")"),"#N/A")</f>
        <v>#N/A</v>
      </c>
      <c r="H26581" s="4" t="str">
        <v/>
      </c>
      <c r="I26581" s="4" t="str">
        <v/>
      </c>
    </row>
    <row r="26582" spans="5:9" ht="16.5" hidden="1">
      <c r="E26582" s="4" t="str">
        <v/>
      </c>
      <c r="F26582" s="102" t="str">
        <f ca="1">IFERROR(__xludf.DUMMYFUNCTION("IMPORTRANGE(H26582,""IDENTITAS UNIT!D9"")"),"#N/A")</f>
        <v>#N/A</v>
      </c>
      <c r="H26582" s="4" t="str">
        <v/>
      </c>
      <c r="I26582" s="4" t="str">
        <v/>
      </c>
    </row>
    <row r="26583" spans="5:9" ht="16.5" hidden="1">
      <c r="E26583" s="4" t="str">
        <v/>
      </c>
      <c r="F26583" s="102" t="str">
        <f ca="1">IFERROR(__xludf.DUMMYFUNCTION("IMPORTRANGE(H26583,""IDENTITAS UNIT!D9"")"),"#N/A")</f>
        <v>#N/A</v>
      </c>
      <c r="H26583" s="4" t="str">
        <v/>
      </c>
      <c r="I26583" s="4" t="str">
        <v/>
      </c>
    </row>
    <row r="26584" spans="5:9" ht="16.5" hidden="1">
      <c r="E26584" s="4" t="str">
        <v/>
      </c>
      <c r="F26584" s="102" t="str">
        <f ca="1">IFERROR(__xludf.DUMMYFUNCTION("IMPORTRANGE(H26584,""IDENTITAS UNIT!D9"")"),"#N/A")</f>
        <v>#N/A</v>
      </c>
      <c r="H26584" s="4" t="str">
        <v/>
      </c>
      <c r="I26584" s="4" t="str">
        <v/>
      </c>
    </row>
    <row r="26585" spans="5:9" ht="16.5" hidden="1">
      <c r="E26585" s="4" t="str">
        <v/>
      </c>
      <c r="F26585" s="102" t="str">
        <f ca="1">IFERROR(__xludf.DUMMYFUNCTION("IMPORTRANGE(H26585,""IDENTITAS UNIT!D9"")"),"#N/A")</f>
        <v>#N/A</v>
      </c>
      <c r="H26585" s="4" t="str">
        <v/>
      </c>
      <c r="I26585" s="4" t="str">
        <v/>
      </c>
    </row>
    <row r="26586" spans="5:9" ht="16.5" hidden="1">
      <c r="E26586" s="4" t="str">
        <v/>
      </c>
      <c r="F26586" s="102" t="str">
        <f ca="1">IFERROR(__xludf.DUMMYFUNCTION("IMPORTRANGE(H26586,""IDENTITAS UNIT!D9"")"),"#N/A")</f>
        <v>#N/A</v>
      </c>
      <c r="H26586" s="4" t="str">
        <v/>
      </c>
      <c r="I26586" s="4" t="str">
        <v/>
      </c>
    </row>
    <row r="26587" spans="5:9" ht="16.5" hidden="1">
      <c r="E26587" s="4" t="str">
        <v/>
      </c>
      <c r="F26587" s="102" t="str">
        <f ca="1">IFERROR(__xludf.DUMMYFUNCTION("IMPORTRANGE(H26587,""IDENTITAS UNIT!D9"")"),"#N/A")</f>
        <v>#N/A</v>
      </c>
      <c r="H26587" s="4" t="str">
        <v/>
      </c>
      <c r="I26587" s="4" t="str">
        <v/>
      </c>
    </row>
    <row r="26588" spans="5:9" ht="16.5" hidden="1">
      <c r="E26588" s="4" t="str">
        <v/>
      </c>
      <c r="F26588" s="102" t="str">
        <f ca="1">IFERROR(__xludf.DUMMYFUNCTION("IMPORTRANGE(H26588,""IDENTITAS UNIT!D9"")"),"#N/A")</f>
        <v>#N/A</v>
      </c>
      <c r="H26588" s="4" t="str">
        <v/>
      </c>
      <c r="I26588" s="4" t="str">
        <v/>
      </c>
    </row>
    <row r="26589" spans="5:9" ht="16.5" hidden="1">
      <c r="E26589" s="4" t="str">
        <v/>
      </c>
      <c r="F26589" s="102" t="str">
        <f ca="1">IFERROR(__xludf.DUMMYFUNCTION("IMPORTRANGE(H26589,""IDENTITAS UNIT!D9"")"),"#N/A")</f>
        <v>#N/A</v>
      </c>
      <c r="H26589" s="4" t="str">
        <v/>
      </c>
      <c r="I26589" s="4" t="str">
        <v/>
      </c>
    </row>
    <row r="26590" spans="5:9" ht="16.5" hidden="1">
      <c r="E26590" s="4" t="str">
        <v/>
      </c>
      <c r="F26590" s="102" t="str">
        <f ca="1">IFERROR(__xludf.DUMMYFUNCTION("IMPORTRANGE(H26590,""IDENTITAS UNIT!D9"")"),"#N/A")</f>
        <v>#N/A</v>
      </c>
      <c r="H26590" s="4" t="str">
        <v/>
      </c>
      <c r="I26590" s="4" t="str">
        <v/>
      </c>
    </row>
    <row r="26591" spans="5:9" ht="16.5" hidden="1">
      <c r="E26591" s="4" t="str">
        <v/>
      </c>
      <c r="F26591" s="102" t="str">
        <f ca="1">IFERROR(__xludf.DUMMYFUNCTION("IMPORTRANGE(H26591,""IDENTITAS UNIT!D9"")"),"#N/A")</f>
        <v>#N/A</v>
      </c>
      <c r="H26591" s="4" t="str">
        <v/>
      </c>
      <c r="I26591" s="4" t="str">
        <v/>
      </c>
    </row>
    <row r="26592" spans="5:9" ht="16.5" hidden="1">
      <c r="E26592" s="4" t="str">
        <v/>
      </c>
      <c r="F26592" s="102" t="str">
        <f ca="1">IFERROR(__xludf.DUMMYFUNCTION("IMPORTRANGE(H26592,""IDENTITAS UNIT!D9"")"),"#N/A")</f>
        <v>#N/A</v>
      </c>
      <c r="H26592" s="4" t="str">
        <v/>
      </c>
      <c r="I26592" s="4" t="str">
        <v/>
      </c>
    </row>
    <row r="26593" spans="5:9" ht="16.5" hidden="1">
      <c r="E26593" s="4" t="str">
        <v/>
      </c>
      <c r="F26593" s="102" t="str">
        <f ca="1">IFERROR(__xludf.DUMMYFUNCTION("IMPORTRANGE(H26593,""IDENTITAS UNIT!D9"")"),"#N/A")</f>
        <v>#N/A</v>
      </c>
      <c r="H26593" s="4" t="str">
        <v/>
      </c>
      <c r="I26593" s="4" t="str">
        <v/>
      </c>
    </row>
    <row r="26594" spans="5:9" ht="16.5" hidden="1">
      <c r="E26594" s="4" t="str">
        <v/>
      </c>
      <c r="F26594" s="102" t="str">
        <f ca="1">IFERROR(__xludf.DUMMYFUNCTION("IMPORTRANGE(H26594,""IDENTITAS UNIT!D9"")"),"#N/A")</f>
        <v>#N/A</v>
      </c>
      <c r="H26594" s="4" t="str">
        <v/>
      </c>
      <c r="I26594" s="4" t="str">
        <v/>
      </c>
    </row>
    <row r="26595" spans="5:9" ht="16.5" hidden="1">
      <c r="E26595" s="4" t="str">
        <v/>
      </c>
      <c r="F26595" s="102" t="str">
        <f ca="1">IFERROR(__xludf.DUMMYFUNCTION("IMPORTRANGE(H26595,""IDENTITAS UNIT!D9"")"),"#N/A")</f>
        <v>#N/A</v>
      </c>
      <c r="H26595" s="4" t="str">
        <v/>
      </c>
      <c r="I26595" s="4" t="str">
        <v/>
      </c>
    </row>
    <row r="26596" spans="5:9" ht="16.5" hidden="1">
      <c r="E26596" s="4" t="str">
        <v/>
      </c>
      <c r="F26596" s="102" t="str">
        <f ca="1">IFERROR(__xludf.DUMMYFUNCTION("IMPORTRANGE(H26596,""IDENTITAS UNIT!D9"")"),"#N/A")</f>
        <v>#N/A</v>
      </c>
      <c r="H26596" s="4" t="str">
        <v/>
      </c>
      <c r="I26596" s="4" t="str">
        <v/>
      </c>
    </row>
    <row r="26597" spans="5:9" ht="16.5" hidden="1">
      <c r="E26597" s="4" t="str">
        <v/>
      </c>
      <c r="F26597" s="102" t="str">
        <f ca="1">IFERROR(__xludf.DUMMYFUNCTION("IMPORTRANGE(H26597,""IDENTITAS UNIT!D9"")"),"#N/A")</f>
        <v>#N/A</v>
      </c>
      <c r="H26597" s="4" t="str">
        <v/>
      </c>
      <c r="I26597" s="4" t="str">
        <v/>
      </c>
    </row>
    <row r="26598" spans="5:9" ht="16.5" hidden="1">
      <c r="E26598" s="4" t="str">
        <v/>
      </c>
      <c r="F26598" s="102" t="str">
        <f ca="1">IFERROR(__xludf.DUMMYFUNCTION("IMPORTRANGE(H26598,""IDENTITAS UNIT!D9"")"),"#N/A")</f>
        <v>#N/A</v>
      </c>
      <c r="H26598" s="4" t="str">
        <v/>
      </c>
      <c r="I26598" s="4" t="str">
        <v/>
      </c>
    </row>
    <row r="26599" spans="5:9" ht="16.5" hidden="1">
      <c r="E26599" s="4" t="str">
        <v/>
      </c>
      <c r="F26599" s="102" t="str">
        <f ca="1">IFERROR(__xludf.DUMMYFUNCTION("IMPORTRANGE(H26599,""IDENTITAS UNIT!D9"")"),"#N/A")</f>
        <v>#N/A</v>
      </c>
      <c r="H26599" s="4" t="str">
        <v/>
      </c>
      <c r="I26599" s="4" t="str">
        <v/>
      </c>
    </row>
    <row r="26600" spans="5:9" ht="16.5" hidden="1">
      <c r="E26600" s="4" t="str">
        <v/>
      </c>
      <c r="F26600" s="102" t="str">
        <f ca="1">IFERROR(__xludf.DUMMYFUNCTION("IMPORTRANGE(H26600,""IDENTITAS UNIT!D9"")"),"#N/A")</f>
        <v>#N/A</v>
      </c>
      <c r="H26600" s="4" t="str">
        <v/>
      </c>
      <c r="I26600" s="4" t="str">
        <v/>
      </c>
    </row>
    <row r="26601" spans="5:9" ht="16.5" hidden="1">
      <c r="E26601" s="4" t="str">
        <v/>
      </c>
      <c r="F26601" s="102" t="str">
        <f ca="1">IFERROR(__xludf.DUMMYFUNCTION("IMPORTRANGE(H26601,""IDENTITAS UNIT!D9"")"),"#N/A")</f>
        <v>#N/A</v>
      </c>
      <c r="H26601" s="4" t="str">
        <v/>
      </c>
      <c r="I26601" s="4" t="str">
        <v/>
      </c>
    </row>
    <row r="26602" spans="5:9" ht="16.5" hidden="1">
      <c r="E26602" s="4" t="str">
        <v/>
      </c>
      <c r="F26602" s="102" t="str">
        <f ca="1">IFERROR(__xludf.DUMMYFUNCTION("IMPORTRANGE(H26602,""IDENTITAS UNIT!D9"")"),"#N/A")</f>
        <v>#N/A</v>
      </c>
      <c r="H26602" s="4" t="str">
        <v/>
      </c>
      <c r="I26602" s="4" t="str">
        <v/>
      </c>
    </row>
    <row r="26603" spans="5:9" ht="16.5" hidden="1">
      <c r="E26603" s="4" t="str">
        <v/>
      </c>
      <c r="F26603" s="102" t="str">
        <f ca="1">IFERROR(__xludf.DUMMYFUNCTION("IMPORTRANGE(H26603,""IDENTITAS UNIT!D9"")"),"#N/A")</f>
        <v>#N/A</v>
      </c>
      <c r="H26603" s="4" t="str">
        <v/>
      </c>
      <c r="I26603" s="4" t="str">
        <v/>
      </c>
    </row>
    <row r="26604" spans="5:9" ht="16.5" hidden="1">
      <c r="E26604" s="4" t="str">
        <v/>
      </c>
      <c r="F26604" s="102" t="str">
        <f ca="1">IFERROR(__xludf.DUMMYFUNCTION("IMPORTRANGE(H26604,""IDENTITAS UNIT!D9"")"),"#N/A")</f>
        <v>#N/A</v>
      </c>
      <c r="H26604" s="4" t="str">
        <v/>
      </c>
      <c r="I26604" s="4" t="str">
        <v/>
      </c>
    </row>
    <row r="26605" spans="5:9" ht="16.5" hidden="1">
      <c r="E26605" s="4" t="str">
        <v/>
      </c>
      <c r="F26605" s="102" t="str">
        <f ca="1">IFERROR(__xludf.DUMMYFUNCTION("IMPORTRANGE(H26605,""IDENTITAS UNIT!D9"")"),"#N/A")</f>
        <v>#N/A</v>
      </c>
      <c r="H26605" s="4" t="str">
        <v/>
      </c>
      <c r="I26605" s="4" t="str">
        <v/>
      </c>
    </row>
    <row r="26606" spans="5:9" ht="16.5" hidden="1">
      <c r="E26606" s="4" t="str">
        <v/>
      </c>
      <c r="F26606" s="102" t="str">
        <f ca="1">IFERROR(__xludf.DUMMYFUNCTION("IMPORTRANGE(H26606,""IDENTITAS UNIT!D9"")"),"#N/A")</f>
        <v>#N/A</v>
      </c>
      <c r="H26606" s="4" t="str">
        <v/>
      </c>
      <c r="I26606" s="4" t="str">
        <v/>
      </c>
    </row>
    <row r="26607" spans="5:9" ht="16.5" hidden="1">
      <c r="E26607" s="4" t="str">
        <v/>
      </c>
      <c r="F26607" s="102" t="str">
        <f ca="1">IFERROR(__xludf.DUMMYFUNCTION("IMPORTRANGE(H26607,""IDENTITAS UNIT!D9"")"),"#N/A")</f>
        <v>#N/A</v>
      </c>
      <c r="H26607" s="4" t="str">
        <v/>
      </c>
      <c r="I26607" s="4" t="str">
        <v/>
      </c>
    </row>
    <row r="26608" spans="5:9" ht="16.5" hidden="1">
      <c r="E26608" s="4" t="str">
        <v/>
      </c>
      <c r="F26608" s="102" t="str">
        <f ca="1">IFERROR(__xludf.DUMMYFUNCTION("IMPORTRANGE(H26608,""IDENTITAS UNIT!D9"")"),"#N/A")</f>
        <v>#N/A</v>
      </c>
      <c r="H26608" s="4" t="str">
        <v/>
      </c>
      <c r="I26608" s="4" t="str">
        <v/>
      </c>
    </row>
    <row r="26609" spans="5:9" ht="16.5" hidden="1">
      <c r="E26609" s="4" t="str">
        <v/>
      </c>
      <c r="F26609" s="102" t="str">
        <f ca="1">IFERROR(__xludf.DUMMYFUNCTION("IMPORTRANGE(H26609,""IDENTITAS UNIT!D9"")"),"#N/A")</f>
        <v>#N/A</v>
      </c>
      <c r="H26609" s="4" t="str">
        <v/>
      </c>
      <c r="I26609" s="4" t="str">
        <v/>
      </c>
    </row>
    <row r="26610" spans="5:9" ht="16.5" hidden="1">
      <c r="E26610" s="4" t="str">
        <v/>
      </c>
      <c r="F26610" s="102" t="str">
        <f ca="1">IFERROR(__xludf.DUMMYFUNCTION("IMPORTRANGE(H26610,""IDENTITAS UNIT!D9"")"),"#N/A")</f>
        <v>#N/A</v>
      </c>
      <c r="H26610" s="4" t="str">
        <v/>
      </c>
      <c r="I26610" s="4" t="str">
        <v/>
      </c>
    </row>
    <row r="26611" spans="5:9" ht="16.5" hidden="1">
      <c r="E26611" s="4" t="str">
        <v/>
      </c>
      <c r="F26611" s="102" t="str">
        <f ca="1">IFERROR(__xludf.DUMMYFUNCTION("IMPORTRANGE(H26611,""IDENTITAS UNIT!D9"")"),"#N/A")</f>
        <v>#N/A</v>
      </c>
      <c r="H26611" s="4" t="str">
        <v/>
      </c>
      <c r="I26611" s="4" t="str">
        <v/>
      </c>
    </row>
    <row r="26612" spans="5:9" ht="16.5" hidden="1">
      <c r="E26612" s="4" t="str">
        <v/>
      </c>
      <c r="F26612" s="102" t="str">
        <f ca="1">IFERROR(__xludf.DUMMYFUNCTION("IMPORTRANGE(H26612,""IDENTITAS UNIT!D9"")"),"#N/A")</f>
        <v>#N/A</v>
      </c>
      <c r="H26612" s="4" t="str">
        <v/>
      </c>
      <c r="I26612" s="4" t="str">
        <v/>
      </c>
    </row>
    <row r="26613" spans="5:9" ht="16.5" hidden="1">
      <c r="E26613" s="4" t="str">
        <v/>
      </c>
      <c r="F26613" s="102" t="str">
        <f ca="1">IFERROR(__xludf.DUMMYFUNCTION("IMPORTRANGE(H26613,""IDENTITAS UNIT!D9"")"),"#N/A")</f>
        <v>#N/A</v>
      </c>
      <c r="H26613" s="4" t="str">
        <v/>
      </c>
      <c r="I26613" s="4" t="str">
        <v/>
      </c>
    </row>
    <row r="26614" spans="5:9" ht="16.5" hidden="1">
      <c r="E26614" s="4" t="str">
        <v/>
      </c>
      <c r="F26614" s="102" t="str">
        <f ca="1">IFERROR(__xludf.DUMMYFUNCTION("IMPORTRANGE(H26614,""IDENTITAS UNIT!D9"")"),"#N/A")</f>
        <v>#N/A</v>
      </c>
      <c r="H26614" s="4" t="str">
        <v/>
      </c>
      <c r="I26614" s="4" t="str">
        <v/>
      </c>
    </row>
    <row r="26615" spans="5:9" ht="16.5" hidden="1">
      <c r="E26615" s="4" t="str">
        <v/>
      </c>
      <c r="F26615" s="102" t="str">
        <f ca="1">IFERROR(__xludf.DUMMYFUNCTION("IMPORTRANGE(H26615,""IDENTITAS UNIT!D9"")"),"#N/A")</f>
        <v>#N/A</v>
      </c>
      <c r="H26615" s="4" t="str">
        <v/>
      </c>
      <c r="I26615" s="4" t="str">
        <v/>
      </c>
    </row>
    <row r="26616" spans="5:9" ht="16.5" hidden="1">
      <c r="E26616" s="4" t="str">
        <v/>
      </c>
      <c r="F26616" s="102" t="str">
        <f ca="1">IFERROR(__xludf.DUMMYFUNCTION("IMPORTRANGE(H26616,""IDENTITAS UNIT!D9"")"),"#N/A")</f>
        <v>#N/A</v>
      </c>
      <c r="H26616" s="4" t="str">
        <v/>
      </c>
      <c r="I26616" s="4" t="str">
        <v/>
      </c>
    </row>
    <row r="26617" spans="5:9" ht="16.5" hidden="1">
      <c r="E26617" s="4" t="str">
        <v/>
      </c>
      <c r="F26617" s="102" t="str">
        <f ca="1">IFERROR(__xludf.DUMMYFUNCTION("IMPORTRANGE(H26617,""IDENTITAS UNIT!D9"")"),"#N/A")</f>
        <v>#N/A</v>
      </c>
      <c r="H26617" s="4" t="str">
        <v/>
      </c>
      <c r="I26617" s="4" t="str">
        <v/>
      </c>
    </row>
    <row r="26618" spans="5:9" ht="16.5" hidden="1">
      <c r="E26618" s="4" t="str">
        <v/>
      </c>
      <c r="F26618" s="102" t="str">
        <f ca="1">IFERROR(__xludf.DUMMYFUNCTION("IMPORTRANGE(H26618,""IDENTITAS UNIT!D9"")"),"#N/A")</f>
        <v>#N/A</v>
      </c>
      <c r="H26618" s="4" t="str">
        <v/>
      </c>
      <c r="I26618" s="4" t="str">
        <v/>
      </c>
    </row>
    <row r="26619" spans="5:9" ht="16.5" hidden="1">
      <c r="E26619" s="4" t="str">
        <v/>
      </c>
      <c r="F26619" s="102" t="str">
        <f ca="1">IFERROR(__xludf.DUMMYFUNCTION("IMPORTRANGE(H26619,""IDENTITAS UNIT!D9"")"),"#N/A")</f>
        <v>#N/A</v>
      </c>
      <c r="H26619" s="4" t="str">
        <v/>
      </c>
      <c r="I26619" s="4" t="str">
        <v/>
      </c>
    </row>
    <row r="26620" spans="5:9" ht="16.5" hidden="1">
      <c r="E26620" s="4" t="str">
        <v/>
      </c>
      <c r="F26620" s="102" t="str">
        <f ca="1">IFERROR(__xludf.DUMMYFUNCTION("IMPORTRANGE(H26620,""IDENTITAS UNIT!D9"")"),"#N/A")</f>
        <v>#N/A</v>
      </c>
      <c r="H26620" s="4" t="str">
        <v/>
      </c>
      <c r="I26620" s="4" t="str">
        <v/>
      </c>
    </row>
    <row r="26621" spans="5:9" ht="16.5" hidden="1">
      <c r="E26621" s="4" t="str">
        <v/>
      </c>
      <c r="F26621" s="102" t="str">
        <f ca="1">IFERROR(__xludf.DUMMYFUNCTION("IMPORTRANGE(H26621,""IDENTITAS UNIT!D9"")"),"#N/A")</f>
        <v>#N/A</v>
      </c>
      <c r="H26621" s="4" t="str">
        <v/>
      </c>
      <c r="I26621" s="4" t="str">
        <v/>
      </c>
    </row>
    <row r="26622" spans="5:9" ht="16.5" hidden="1">
      <c r="E26622" s="4" t="str">
        <v/>
      </c>
      <c r="F26622" s="102" t="str">
        <f ca="1">IFERROR(__xludf.DUMMYFUNCTION("IMPORTRANGE(H26622,""IDENTITAS UNIT!D9"")"),"#N/A")</f>
        <v>#N/A</v>
      </c>
      <c r="H26622" s="4" t="str">
        <v/>
      </c>
      <c r="I26622" s="4" t="str">
        <v/>
      </c>
    </row>
    <row r="26623" spans="5:9" ht="16.5" hidden="1">
      <c r="E26623" s="4" t="str">
        <v/>
      </c>
      <c r="F26623" s="102" t="str">
        <f ca="1">IFERROR(__xludf.DUMMYFUNCTION("IMPORTRANGE(H26623,""IDENTITAS UNIT!D9"")"),"#N/A")</f>
        <v>#N/A</v>
      </c>
      <c r="H26623" s="4" t="str">
        <v/>
      </c>
      <c r="I26623" s="4" t="str">
        <v/>
      </c>
    </row>
    <row r="26624" spans="5:9" ht="16.5" hidden="1">
      <c r="E26624" s="4" t="str">
        <v/>
      </c>
      <c r="F26624" s="102" t="str">
        <f ca="1">IFERROR(__xludf.DUMMYFUNCTION("IMPORTRANGE(H26624,""IDENTITAS UNIT!D9"")"),"#N/A")</f>
        <v>#N/A</v>
      </c>
      <c r="H26624" s="4" t="str">
        <v/>
      </c>
      <c r="I26624" s="4" t="str">
        <v/>
      </c>
    </row>
    <row r="26625" spans="5:9" ht="16.5" hidden="1">
      <c r="E26625" s="4" t="str">
        <v/>
      </c>
      <c r="F26625" s="102" t="str">
        <f ca="1">IFERROR(__xludf.DUMMYFUNCTION("IMPORTRANGE(H26625,""IDENTITAS UNIT!D9"")"),"#N/A")</f>
        <v>#N/A</v>
      </c>
      <c r="H26625" s="4" t="str">
        <v/>
      </c>
      <c r="I26625" s="4" t="str">
        <v/>
      </c>
    </row>
    <row r="26626" spans="5:9" ht="16.5" hidden="1">
      <c r="E26626" s="4" t="str">
        <v/>
      </c>
      <c r="F26626" s="102" t="str">
        <f ca="1">IFERROR(__xludf.DUMMYFUNCTION("IMPORTRANGE(H26626,""IDENTITAS UNIT!D9"")"),"#N/A")</f>
        <v>#N/A</v>
      </c>
      <c r="H26626" s="4" t="str">
        <v/>
      </c>
      <c r="I26626" s="4" t="str">
        <v/>
      </c>
    </row>
    <row r="26627" spans="5:9" ht="16.5" hidden="1">
      <c r="E26627" s="4" t="str">
        <v/>
      </c>
      <c r="F26627" s="102" t="str">
        <f ca="1">IFERROR(__xludf.DUMMYFUNCTION("IMPORTRANGE(H26627,""IDENTITAS UNIT!D9"")"),"#N/A")</f>
        <v>#N/A</v>
      </c>
      <c r="H26627" s="4" t="str">
        <v/>
      </c>
      <c r="I26627" s="4" t="str">
        <v/>
      </c>
    </row>
    <row r="26628" spans="5:9" ht="16.5" hidden="1">
      <c r="E26628" s="4" t="str">
        <v/>
      </c>
      <c r="F26628" s="102" t="str">
        <f ca="1">IFERROR(__xludf.DUMMYFUNCTION("IMPORTRANGE(H26628,""IDENTITAS UNIT!D9"")"),"#N/A")</f>
        <v>#N/A</v>
      </c>
      <c r="H26628" s="4" t="str">
        <v/>
      </c>
      <c r="I26628" s="4" t="str">
        <v/>
      </c>
    </row>
    <row r="26629" spans="5:9" ht="16.5" hidden="1">
      <c r="E26629" s="4" t="str">
        <v/>
      </c>
      <c r="F26629" s="102" t="str">
        <f ca="1">IFERROR(__xludf.DUMMYFUNCTION("IMPORTRANGE(H26629,""IDENTITAS UNIT!D9"")"),"#N/A")</f>
        <v>#N/A</v>
      </c>
      <c r="H26629" s="4" t="str">
        <v/>
      </c>
      <c r="I26629" s="4" t="str">
        <v/>
      </c>
    </row>
    <row r="26630" spans="5:9" ht="16.5" hidden="1">
      <c r="E26630" s="4" t="str">
        <v/>
      </c>
      <c r="F26630" s="102" t="str">
        <f ca="1">IFERROR(__xludf.DUMMYFUNCTION("IMPORTRANGE(H26630,""IDENTITAS UNIT!D9"")"),"#N/A")</f>
        <v>#N/A</v>
      </c>
      <c r="H26630" s="4" t="str">
        <v/>
      </c>
      <c r="I26630" s="4" t="str">
        <v/>
      </c>
    </row>
    <row r="26631" spans="5:9" ht="16.5" hidden="1">
      <c r="E26631" s="4" t="str">
        <v/>
      </c>
      <c r="F26631" s="102" t="str">
        <f ca="1">IFERROR(__xludf.DUMMYFUNCTION("IMPORTRANGE(H26631,""IDENTITAS UNIT!D9"")"),"#N/A")</f>
        <v>#N/A</v>
      </c>
      <c r="H26631" s="4" t="str">
        <v/>
      </c>
      <c r="I26631" s="4" t="str">
        <v/>
      </c>
    </row>
    <row r="26632" spans="5:9" ht="16.5" hidden="1">
      <c r="E26632" s="4" t="str">
        <v/>
      </c>
      <c r="F26632" s="102" t="str">
        <f ca="1">IFERROR(__xludf.DUMMYFUNCTION("IMPORTRANGE(H26632,""IDENTITAS UNIT!D9"")"),"#N/A")</f>
        <v>#N/A</v>
      </c>
      <c r="H26632" s="4" t="str">
        <v/>
      </c>
      <c r="I26632" s="4" t="str">
        <v/>
      </c>
    </row>
    <row r="26633" spans="5:9" ht="16.5" hidden="1">
      <c r="E26633" s="4" t="str">
        <v/>
      </c>
      <c r="F26633" s="102" t="str">
        <f ca="1">IFERROR(__xludf.DUMMYFUNCTION("IMPORTRANGE(H26633,""IDENTITAS UNIT!D9"")"),"#N/A")</f>
        <v>#N/A</v>
      </c>
      <c r="H26633" s="4" t="str">
        <v/>
      </c>
      <c r="I26633" s="4" t="str">
        <v/>
      </c>
    </row>
    <row r="26634" spans="5:9" ht="16.5" hidden="1">
      <c r="E26634" s="4" t="str">
        <v/>
      </c>
      <c r="F26634" s="102" t="str">
        <f ca="1">IFERROR(__xludf.DUMMYFUNCTION("IMPORTRANGE(H26634,""IDENTITAS UNIT!D9"")"),"#N/A")</f>
        <v>#N/A</v>
      </c>
      <c r="H26634" s="4" t="str">
        <v/>
      </c>
      <c r="I26634" s="4" t="str">
        <v/>
      </c>
    </row>
    <row r="26635" spans="5:9" ht="16.5" hidden="1">
      <c r="E26635" s="4" t="str">
        <v/>
      </c>
      <c r="F26635" s="102" t="str">
        <f ca="1">IFERROR(__xludf.DUMMYFUNCTION("IMPORTRANGE(H26635,""IDENTITAS UNIT!D9"")"),"#N/A")</f>
        <v>#N/A</v>
      </c>
      <c r="H26635" s="4" t="str">
        <v/>
      </c>
      <c r="I26635" s="4" t="str">
        <v/>
      </c>
    </row>
    <row r="26636" spans="5:9" ht="16.5" hidden="1">
      <c r="E26636" s="4" t="str">
        <v/>
      </c>
      <c r="F26636" s="102" t="str">
        <f ca="1">IFERROR(__xludf.DUMMYFUNCTION("IMPORTRANGE(H26636,""IDENTITAS UNIT!D9"")"),"#N/A")</f>
        <v>#N/A</v>
      </c>
      <c r="H26636" s="4" t="str">
        <v/>
      </c>
      <c r="I26636" s="4" t="str">
        <v/>
      </c>
    </row>
    <row r="26637" spans="5:9" ht="16.5" hidden="1">
      <c r="E26637" s="4" t="str">
        <v/>
      </c>
      <c r="F26637" s="102" t="str">
        <f ca="1">IFERROR(__xludf.DUMMYFUNCTION("IMPORTRANGE(H26637,""IDENTITAS UNIT!D9"")"),"#N/A")</f>
        <v>#N/A</v>
      </c>
      <c r="H26637" s="4" t="str">
        <v/>
      </c>
      <c r="I26637" s="4" t="str">
        <v/>
      </c>
    </row>
    <row r="26638" spans="5:9" ht="16.5" hidden="1">
      <c r="E26638" s="4" t="str">
        <v/>
      </c>
      <c r="F26638" s="102" t="str">
        <f ca="1">IFERROR(__xludf.DUMMYFUNCTION("IMPORTRANGE(H26638,""IDENTITAS UNIT!D9"")"),"#N/A")</f>
        <v>#N/A</v>
      </c>
      <c r="H26638" s="4" t="str">
        <v/>
      </c>
      <c r="I26638" s="4" t="str">
        <v/>
      </c>
    </row>
    <row r="26639" spans="5:9" ht="16.5" hidden="1">
      <c r="E26639" s="4" t="str">
        <v/>
      </c>
      <c r="F26639" s="102" t="str">
        <f ca="1">IFERROR(__xludf.DUMMYFUNCTION("IMPORTRANGE(H26639,""IDENTITAS UNIT!D9"")"),"#N/A")</f>
        <v>#N/A</v>
      </c>
      <c r="H26639" s="4" t="str">
        <v/>
      </c>
      <c r="I26639" s="4" t="str">
        <v/>
      </c>
    </row>
    <row r="26640" spans="5:9" ht="16.5" hidden="1">
      <c r="E26640" s="4" t="str">
        <v/>
      </c>
      <c r="F26640" s="102" t="str">
        <f ca="1">IFERROR(__xludf.DUMMYFUNCTION("IMPORTRANGE(H26640,""IDENTITAS UNIT!D9"")"),"#N/A")</f>
        <v>#N/A</v>
      </c>
      <c r="H26640" s="4" t="str">
        <v/>
      </c>
      <c r="I26640" s="4" t="str">
        <v/>
      </c>
    </row>
    <row r="26641" spans="5:9" ht="16.5" hidden="1">
      <c r="E26641" s="4" t="str">
        <v/>
      </c>
      <c r="F26641" s="102" t="str">
        <f ca="1">IFERROR(__xludf.DUMMYFUNCTION("IMPORTRANGE(H26641,""IDENTITAS UNIT!D9"")"),"#N/A")</f>
        <v>#N/A</v>
      </c>
      <c r="H26641" s="4" t="str">
        <v/>
      </c>
      <c r="I26641" s="4" t="str">
        <v/>
      </c>
    </row>
    <row r="26642" spans="5:9" ht="16.5" hidden="1">
      <c r="E26642" s="4" t="str">
        <v/>
      </c>
      <c r="F26642" s="102" t="str">
        <f ca="1">IFERROR(__xludf.DUMMYFUNCTION("IMPORTRANGE(H26642,""IDENTITAS UNIT!D9"")"),"#N/A")</f>
        <v>#N/A</v>
      </c>
      <c r="H26642" s="4" t="str">
        <v/>
      </c>
      <c r="I26642" s="4" t="str">
        <v/>
      </c>
    </row>
    <row r="26643" spans="5:9" ht="16.5" hidden="1">
      <c r="E26643" s="4" t="str">
        <v/>
      </c>
      <c r="F26643" s="102" t="str">
        <f ca="1">IFERROR(__xludf.DUMMYFUNCTION("IMPORTRANGE(H26643,""IDENTITAS UNIT!D9"")"),"#N/A")</f>
        <v>#N/A</v>
      </c>
      <c r="H26643" s="4" t="str">
        <v/>
      </c>
      <c r="I26643" s="4" t="str">
        <v/>
      </c>
    </row>
    <row r="26644" spans="5:9" ht="16.5" hidden="1">
      <c r="E26644" s="4" t="str">
        <v/>
      </c>
      <c r="F26644" s="102" t="str">
        <f ca="1">IFERROR(__xludf.DUMMYFUNCTION("IMPORTRANGE(H26644,""IDENTITAS UNIT!D9"")"),"#N/A")</f>
        <v>#N/A</v>
      </c>
      <c r="H26644" s="4" t="str">
        <v/>
      </c>
      <c r="I26644" s="4" t="str">
        <v/>
      </c>
    </row>
    <row r="26645" spans="5:9" ht="16.5" hidden="1">
      <c r="E26645" s="4" t="str">
        <v/>
      </c>
      <c r="F26645" s="102" t="str">
        <f ca="1">IFERROR(__xludf.DUMMYFUNCTION("IMPORTRANGE(H26645,""IDENTITAS UNIT!D9"")"),"#N/A")</f>
        <v>#N/A</v>
      </c>
      <c r="H26645" s="4" t="str">
        <v/>
      </c>
      <c r="I26645" s="4" t="str">
        <v/>
      </c>
    </row>
    <row r="26646" spans="5:9" ht="16.5" hidden="1">
      <c r="E26646" s="4" t="str">
        <v/>
      </c>
      <c r="F26646" s="102" t="str">
        <f ca="1">IFERROR(__xludf.DUMMYFUNCTION("IMPORTRANGE(H26646,""IDENTITAS UNIT!D9"")"),"#N/A")</f>
        <v>#N/A</v>
      </c>
      <c r="H26646" s="4" t="str">
        <v/>
      </c>
      <c r="I26646" s="4" t="str">
        <v/>
      </c>
    </row>
    <row r="26647" spans="5:9" ht="16.5" hidden="1">
      <c r="E26647" s="4" t="str">
        <v/>
      </c>
      <c r="F26647" s="102" t="str">
        <f ca="1">IFERROR(__xludf.DUMMYFUNCTION("IMPORTRANGE(H26647,""IDENTITAS UNIT!D9"")"),"#N/A")</f>
        <v>#N/A</v>
      </c>
      <c r="H26647" s="4" t="str">
        <v/>
      </c>
      <c r="I26647" s="4" t="str">
        <v/>
      </c>
    </row>
    <row r="26648" spans="5:9" ht="16.5" hidden="1">
      <c r="E26648" s="4" t="str">
        <v/>
      </c>
      <c r="F26648" s="102" t="str">
        <f ca="1">IFERROR(__xludf.DUMMYFUNCTION("IMPORTRANGE(H26648,""IDENTITAS UNIT!D9"")"),"#N/A")</f>
        <v>#N/A</v>
      </c>
      <c r="H26648" s="4" t="str">
        <v/>
      </c>
      <c r="I26648" s="4" t="str">
        <v/>
      </c>
    </row>
    <row r="26649" spans="5:9" ht="16.5" hidden="1">
      <c r="E26649" s="4" t="str">
        <v/>
      </c>
      <c r="F26649" s="102" t="str">
        <f ca="1">IFERROR(__xludf.DUMMYFUNCTION("IMPORTRANGE(H26649,""IDENTITAS UNIT!D9"")"),"#N/A")</f>
        <v>#N/A</v>
      </c>
      <c r="H26649" s="4" t="str">
        <v/>
      </c>
      <c r="I26649" s="4" t="str">
        <v/>
      </c>
    </row>
    <row r="26650" spans="5:9" ht="16.5" hidden="1">
      <c r="E26650" s="4" t="str">
        <v/>
      </c>
      <c r="F26650" s="102" t="str">
        <f ca="1">IFERROR(__xludf.DUMMYFUNCTION("IMPORTRANGE(H26650,""IDENTITAS UNIT!D9"")"),"#N/A")</f>
        <v>#N/A</v>
      </c>
      <c r="H26650" s="4" t="str">
        <v/>
      </c>
      <c r="I26650" s="4" t="str">
        <v/>
      </c>
    </row>
    <row r="26651" spans="5:9" ht="16.5" hidden="1">
      <c r="E26651" s="4" t="str">
        <v/>
      </c>
      <c r="F26651" s="102" t="str">
        <f ca="1">IFERROR(__xludf.DUMMYFUNCTION("IMPORTRANGE(H26651,""IDENTITAS UNIT!D9"")"),"#N/A")</f>
        <v>#N/A</v>
      </c>
      <c r="H26651" s="4" t="str">
        <v/>
      </c>
      <c r="I26651" s="4" t="str">
        <v/>
      </c>
    </row>
    <row r="26652" spans="5:9" ht="16.5" hidden="1">
      <c r="E26652" s="4" t="str">
        <v/>
      </c>
      <c r="F26652" s="102" t="str">
        <f ca="1">IFERROR(__xludf.DUMMYFUNCTION("IMPORTRANGE(H26652,""IDENTITAS UNIT!D9"")"),"#N/A")</f>
        <v>#N/A</v>
      </c>
      <c r="H26652" s="4" t="str">
        <v/>
      </c>
      <c r="I26652" s="4" t="str">
        <v/>
      </c>
    </row>
    <row r="26653" spans="5:9" ht="16.5" hidden="1">
      <c r="E26653" s="4" t="str">
        <v/>
      </c>
      <c r="F26653" s="102" t="str">
        <f ca="1">IFERROR(__xludf.DUMMYFUNCTION("IMPORTRANGE(H26653,""IDENTITAS UNIT!D9"")"),"#N/A")</f>
        <v>#N/A</v>
      </c>
      <c r="H26653" s="4" t="str">
        <v/>
      </c>
      <c r="I26653" s="4" t="str">
        <v/>
      </c>
    </row>
    <row r="26654" spans="5:9" ht="16.5" hidden="1">
      <c r="E26654" s="4" t="str">
        <v/>
      </c>
      <c r="F26654" s="102" t="str">
        <f ca="1">IFERROR(__xludf.DUMMYFUNCTION("IMPORTRANGE(H26654,""IDENTITAS UNIT!D9"")"),"#N/A")</f>
        <v>#N/A</v>
      </c>
      <c r="H26654" s="4" t="str">
        <v/>
      </c>
      <c r="I26654" s="4" t="str">
        <v/>
      </c>
    </row>
    <row r="26655" spans="5:9" ht="16.5" hidden="1">
      <c r="E26655" s="4" t="str">
        <v/>
      </c>
      <c r="F26655" s="102" t="str">
        <f ca="1">IFERROR(__xludf.DUMMYFUNCTION("IMPORTRANGE(H26655,""IDENTITAS UNIT!D9"")"),"#N/A")</f>
        <v>#N/A</v>
      </c>
      <c r="H26655" s="4" t="str">
        <v/>
      </c>
      <c r="I26655" s="4" t="str">
        <v/>
      </c>
    </row>
    <row r="26656" spans="5:9" ht="16.5" hidden="1">
      <c r="E26656" s="4" t="str">
        <v/>
      </c>
      <c r="F26656" s="102" t="str">
        <f ca="1">IFERROR(__xludf.DUMMYFUNCTION("IMPORTRANGE(H26656,""IDENTITAS UNIT!D9"")"),"#N/A")</f>
        <v>#N/A</v>
      </c>
      <c r="H26656" s="4" t="str">
        <v/>
      </c>
      <c r="I26656" s="4" t="str">
        <v/>
      </c>
    </row>
    <row r="26657" spans="5:9" ht="16.5" hidden="1">
      <c r="E26657" s="4" t="str">
        <v/>
      </c>
      <c r="F26657" s="102" t="str">
        <f ca="1">IFERROR(__xludf.DUMMYFUNCTION("IMPORTRANGE(H26657,""IDENTITAS UNIT!D9"")"),"#N/A")</f>
        <v>#N/A</v>
      </c>
      <c r="H26657" s="4" t="str">
        <v/>
      </c>
      <c r="I26657" s="4" t="str">
        <v/>
      </c>
    </row>
    <row r="26658" spans="5:9" ht="16.5" hidden="1">
      <c r="E26658" s="4" t="str">
        <v/>
      </c>
      <c r="F26658" s="102" t="str">
        <f ca="1">IFERROR(__xludf.DUMMYFUNCTION("IMPORTRANGE(H26658,""IDENTITAS UNIT!D9"")"),"#N/A")</f>
        <v>#N/A</v>
      </c>
      <c r="H26658" s="4" t="str">
        <v/>
      </c>
      <c r="I26658" s="4" t="str">
        <v/>
      </c>
    </row>
    <row r="26659" spans="5:9" ht="16.5" hidden="1">
      <c r="E26659" s="4" t="str">
        <v/>
      </c>
      <c r="F26659" s="102" t="str">
        <f ca="1">IFERROR(__xludf.DUMMYFUNCTION("IMPORTRANGE(H26659,""IDENTITAS UNIT!D9"")"),"#N/A")</f>
        <v>#N/A</v>
      </c>
      <c r="H26659" s="4" t="str">
        <v/>
      </c>
      <c r="I26659" s="4" t="str">
        <v/>
      </c>
    </row>
    <row r="26660" spans="5:9" ht="16.5" hidden="1">
      <c r="E26660" s="4" t="str">
        <v/>
      </c>
      <c r="F26660" s="102" t="str">
        <f ca="1">IFERROR(__xludf.DUMMYFUNCTION("IMPORTRANGE(H26660,""IDENTITAS UNIT!D9"")"),"#N/A")</f>
        <v>#N/A</v>
      </c>
      <c r="H26660" s="4" t="str">
        <v/>
      </c>
      <c r="I26660" s="4" t="str">
        <v/>
      </c>
    </row>
    <row r="26661" spans="5:9" ht="16.5" hidden="1">
      <c r="E26661" s="4" t="str">
        <v/>
      </c>
      <c r="F26661" s="102" t="str">
        <f ca="1">IFERROR(__xludf.DUMMYFUNCTION("IMPORTRANGE(H26661,""IDENTITAS UNIT!D9"")"),"#N/A")</f>
        <v>#N/A</v>
      </c>
      <c r="H26661" s="4" t="str">
        <v/>
      </c>
      <c r="I26661" s="4" t="str">
        <v/>
      </c>
    </row>
    <row r="26662" spans="5:9" ht="16.5" hidden="1">
      <c r="E26662" s="4" t="str">
        <v/>
      </c>
      <c r="F26662" s="102" t="str">
        <f ca="1">IFERROR(__xludf.DUMMYFUNCTION("IMPORTRANGE(H26662,""IDENTITAS UNIT!D9"")"),"#N/A")</f>
        <v>#N/A</v>
      </c>
      <c r="H26662" s="4" t="str">
        <v/>
      </c>
      <c r="I26662" s="4" t="str">
        <v/>
      </c>
    </row>
    <row r="26663" spans="5:9" ht="16.5" hidden="1">
      <c r="E26663" s="4" t="str">
        <v/>
      </c>
      <c r="F26663" s="102" t="str">
        <f ca="1">IFERROR(__xludf.DUMMYFUNCTION("IMPORTRANGE(H26663,""IDENTITAS UNIT!D9"")"),"#N/A")</f>
        <v>#N/A</v>
      </c>
      <c r="H26663" s="4" t="str">
        <v/>
      </c>
      <c r="I26663" s="4" t="str">
        <v/>
      </c>
    </row>
    <row r="26664" spans="5:9" ht="16.5" hidden="1">
      <c r="E26664" s="4" t="str">
        <v/>
      </c>
      <c r="F26664" s="102" t="str">
        <f ca="1">IFERROR(__xludf.DUMMYFUNCTION("IMPORTRANGE(H26664,""IDENTITAS UNIT!D9"")"),"#N/A")</f>
        <v>#N/A</v>
      </c>
      <c r="H26664" s="4" t="str">
        <v/>
      </c>
      <c r="I26664" s="4" t="str">
        <v/>
      </c>
    </row>
    <row r="26665" spans="5:9" ht="16.5" hidden="1">
      <c r="E26665" s="4" t="str">
        <v/>
      </c>
      <c r="F26665" s="102" t="str">
        <f ca="1">IFERROR(__xludf.DUMMYFUNCTION("IMPORTRANGE(H26665,""IDENTITAS UNIT!D9"")"),"#N/A")</f>
        <v>#N/A</v>
      </c>
      <c r="H26665" s="4" t="str">
        <v/>
      </c>
      <c r="I26665" s="4" t="str">
        <v/>
      </c>
    </row>
    <row r="26666" spans="5:9" ht="16.5" hidden="1">
      <c r="E26666" s="4" t="str">
        <v/>
      </c>
      <c r="F26666" s="102" t="str">
        <f ca="1">IFERROR(__xludf.DUMMYFUNCTION("IMPORTRANGE(H26666,""IDENTITAS UNIT!D9"")"),"#N/A")</f>
        <v>#N/A</v>
      </c>
      <c r="H26666" s="4" t="str">
        <v/>
      </c>
      <c r="I26666" s="4" t="str">
        <v/>
      </c>
    </row>
    <row r="26667" spans="5:9" ht="16.5" hidden="1">
      <c r="E26667" s="4" t="str">
        <v/>
      </c>
      <c r="F26667" s="102" t="str">
        <f ca="1">IFERROR(__xludf.DUMMYFUNCTION("IMPORTRANGE(H26667,""IDENTITAS UNIT!D9"")"),"#N/A")</f>
        <v>#N/A</v>
      </c>
      <c r="H26667" s="4" t="str">
        <v/>
      </c>
      <c r="I26667" s="4" t="str">
        <v/>
      </c>
    </row>
    <row r="26668" spans="5:9" ht="16.5" hidden="1">
      <c r="E26668" s="4" t="str">
        <v/>
      </c>
      <c r="F26668" s="102" t="str">
        <f ca="1">IFERROR(__xludf.DUMMYFUNCTION("IMPORTRANGE(H26668,""IDENTITAS UNIT!D9"")"),"#N/A")</f>
        <v>#N/A</v>
      </c>
      <c r="H26668" s="4" t="str">
        <v/>
      </c>
      <c r="I26668" s="4" t="str">
        <v/>
      </c>
    </row>
    <row r="26669" spans="5:9" ht="16.5" hidden="1">
      <c r="E26669" s="4" t="str">
        <v/>
      </c>
      <c r="F26669" s="102" t="str">
        <f ca="1">IFERROR(__xludf.DUMMYFUNCTION("IMPORTRANGE(H26669,""IDENTITAS UNIT!D9"")"),"#N/A")</f>
        <v>#N/A</v>
      </c>
      <c r="H26669" s="4" t="str">
        <v/>
      </c>
      <c r="I26669" s="4" t="str">
        <v/>
      </c>
    </row>
    <row r="26670" spans="5:9" ht="16.5" hidden="1">
      <c r="E26670" s="4" t="str">
        <v/>
      </c>
      <c r="F26670" s="102" t="str">
        <f ca="1">IFERROR(__xludf.DUMMYFUNCTION("IMPORTRANGE(H26670,""IDENTITAS UNIT!D9"")"),"#N/A")</f>
        <v>#N/A</v>
      </c>
      <c r="H26670" s="4" t="str">
        <v/>
      </c>
      <c r="I26670" s="4" t="str">
        <v/>
      </c>
    </row>
    <row r="26671" spans="5:9" ht="16.5" hidden="1">
      <c r="E26671" s="4" t="str">
        <v/>
      </c>
      <c r="F26671" s="102" t="str">
        <f ca="1">IFERROR(__xludf.DUMMYFUNCTION("IMPORTRANGE(H26671,""IDENTITAS UNIT!D9"")"),"#N/A")</f>
        <v>#N/A</v>
      </c>
      <c r="H26671" s="4" t="str">
        <v/>
      </c>
      <c r="I26671" s="4" t="str">
        <v/>
      </c>
    </row>
    <row r="26672" spans="5:9" ht="16.5" hidden="1">
      <c r="E26672" s="4" t="str">
        <v/>
      </c>
      <c r="F26672" s="102" t="str">
        <f ca="1">IFERROR(__xludf.DUMMYFUNCTION("IMPORTRANGE(H26672,""IDENTITAS UNIT!D9"")"),"#N/A")</f>
        <v>#N/A</v>
      </c>
      <c r="H26672" s="4" t="str">
        <v/>
      </c>
      <c r="I26672" s="4" t="str">
        <v/>
      </c>
    </row>
    <row r="26673" spans="5:9" ht="16.5" hidden="1">
      <c r="E26673" s="4" t="str">
        <v/>
      </c>
      <c r="F26673" s="102" t="str">
        <f ca="1">IFERROR(__xludf.DUMMYFUNCTION("IMPORTRANGE(H26673,""IDENTITAS UNIT!D9"")"),"#N/A")</f>
        <v>#N/A</v>
      </c>
      <c r="H26673" s="4" t="str">
        <v/>
      </c>
      <c r="I26673" s="4" t="str">
        <v/>
      </c>
    </row>
    <row r="26674" spans="5:9" ht="16.5" hidden="1">
      <c r="E26674" s="4" t="str">
        <v/>
      </c>
      <c r="F26674" s="102" t="str">
        <f ca="1">IFERROR(__xludf.DUMMYFUNCTION("IMPORTRANGE(H26674,""IDENTITAS UNIT!D9"")"),"#N/A")</f>
        <v>#N/A</v>
      </c>
      <c r="H26674" s="4" t="str">
        <v/>
      </c>
      <c r="I26674" s="4" t="str">
        <v/>
      </c>
    </row>
    <row r="26675" spans="5:9" ht="16.5" hidden="1">
      <c r="E26675" s="4" t="str">
        <v/>
      </c>
      <c r="F26675" s="102" t="str">
        <f ca="1">IFERROR(__xludf.DUMMYFUNCTION("IMPORTRANGE(H26675,""IDENTITAS UNIT!D9"")"),"#N/A")</f>
        <v>#N/A</v>
      </c>
      <c r="H26675" s="4" t="str">
        <v/>
      </c>
      <c r="I26675" s="4" t="str">
        <v/>
      </c>
    </row>
    <row r="26676" spans="5:9" ht="16.5" hidden="1">
      <c r="E26676" s="4" t="str">
        <v/>
      </c>
      <c r="F26676" s="102" t="str">
        <f ca="1">IFERROR(__xludf.DUMMYFUNCTION("IMPORTRANGE(H26676,""IDENTITAS UNIT!D9"")"),"#N/A")</f>
        <v>#N/A</v>
      </c>
      <c r="H26676" s="4" t="str">
        <v/>
      </c>
      <c r="I26676" s="4" t="str">
        <v/>
      </c>
    </row>
    <row r="26677" spans="5:9" ht="16.5" hidden="1">
      <c r="E26677" s="4" t="str">
        <v/>
      </c>
      <c r="F26677" s="102" t="str">
        <f ca="1">IFERROR(__xludf.DUMMYFUNCTION("IMPORTRANGE(H26677,""IDENTITAS UNIT!D9"")"),"#N/A")</f>
        <v>#N/A</v>
      </c>
      <c r="H26677" s="4" t="str">
        <v/>
      </c>
      <c r="I26677" s="4" t="str">
        <v/>
      </c>
    </row>
    <row r="26678" spans="5:9" ht="16.5" hidden="1">
      <c r="E26678" s="4" t="str">
        <v/>
      </c>
      <c r="F26678" s="102" t="str">
        <f ca="1">IFERROR(__xludf.DUMMYFUNCTION("IMPORTRANGE(H26678,""IDENTITAS UNIT!D9"")"),"#N/A")</f>
        <v>#N/A</v>
      </c>
      <c r="H26678" s="4" t="str">
        <v/>
      </c>
      <c r="I26678" s="4" t="str">
        <v/>
      </c>
    </row>
    <row r="26679" spans="5:9" ht="16.5" hidden="1">
      <c r="E26679" s="4" t="str">
        <v/>
      </c>
      <c r="F26679" s="102" t="str">
        <f ca="1">IFERROR(__xludf.DUMMYFUNCTION("IMPORTRANGE(H26679,""IDENTITAS UNIT!D9"")"),"#N/A")</f>
        <v>#N/A</v>
      </c>
      <c r="H26679" s="4" t="str">
        <v/>
      </c>
      <c r="I26679" s="4" t="str">
        <v/>
      </c>
    </row>
    <row r="26680" spans="5:9" ht="16.5" hidden="1">
      <c r="E26680" s="4" t="str">
        <v/>
      </c>
      <c r="F26680" s="102" t="str">
        <f ca="1">IFERROR(__xludf.DUMMYFUNCTION("IMPORTRANGE(H26680,""IDENTITAS UNIT!D9"")"),"#N/A")</f>
        <v>#N/A</v>
      </c>
      <c r="H26680" s="4" t="str">
        <v/>
      </c>
      <c r="I26680" s="4" t="str">
        <v/>
      </c>
    </row>
    <row r="26681" spans="5:9" ht="16.5" hidden="1">
      <c r="E26681" s="4" t="str">
        <v/>
      </c>
      <c r="F26681" s="102" t="str">
        <f ca="1">IFERROR(__xludf.DUMMYFUNCTION("IMPORTRANGE(H26681,""IDENTITAS UNIT!D9"")"),"#N/A")</f>
        <v>#N/A</v>
      </c>
      <c r="H26681" s="4" t="str">
        <v/>
      </c>
      <c r="I26681" s="4" t="str">
        <v/>
      </c>
    </row>
    <row r="26682" spans="5:9" ht="16.5" hidden="1">
      <c r="E26682" s="4" t="str">
        <v/>
      </c>
      <c r="F26682" s="102" t="str">
        <f ca="1">IFERROR(__xludf.DUMMYFUNCTION("IMPORTRANGE(H26682,""IDENTITAS UNIT!D9"")"),"#N/A")</f>
        <v>#N/A</v>
      </c>
      <c r="H26682" s="4" t="str">
        <v/>
      </c>
      <c r="I26682" s="4" t="str">
        <v/>
      </c>
    </row>
    <row r="26683" spans="5:9" ht="16.5" hidden="1">
      <c r="E26683" s="4" t="str">
        <v/>
      </c>
      <c r="F26683" s="102" t="str">
        <f ca="1">IFERROR(__xludf.DUMMYFUNCTION("IMPORTRANGE(H26683,""IDENTITAS UNIT!D9"")"),"#N/A")</f>
        <v>#N/A</v>
      </c>
      <c r="H26683" s="4" t="str">
        <v/>
      </c>
      <c r="I26683" s="4" t="str">
        <v/>
      </c>
    </row>
    <row r="26684" spans="5:9" ht="16.5" hidden="1">
      <c r="E26684" s="4" t="str">
        <v/>
      </c>
      <c r="F26684" s="102" t="str">
        <f ca="1">IFERROR(__xludf.DUMMYFUNCTION("IMPORTRANGE(H26684,""IDENTITAS UNIT!D9"")"),"#N/A")</f>
        <v>#N/A</v>
      </c>
      <c r="H26684" s="4" t="str">
        <v/>
      </c>
      <c r="I26684" s="4" t="str">
        <v/>
      </c>
    </row>
    <row r="26685" spans="5:9" ht="16.5" hidden="1">
      <c r="E26685" s="4" t="str">
        <v/>
      </c>
      <c r="F26685" s="102" t="str">
        <f ca="1">IFERROR(__xludf.DUMMYFUNCTION("IMPORTRANGE(H26685,""IDENTITAS UNIT!D9"")"),"#N/A")</f>
        <v>#N/A</v>
      </c>
      <c r="H26685" s="4" t="str">
        <v/>
      </c>
      <c r="I26685" s="4" t="str">
        <v/>
      </c>
    </row>
    <row r="26686" spans="5:9" ht="16.5" hidden="1">
      <c r="E26686" s="4" t="str">
        <v/>
      </c>
      <c r="F26686" s="102" t="str">
        <f ca="1">IFERROR(__xludf.DUMMYFUNCTION("IMPORTRANGE(H26686,""IDENTITAS UNIT!D9"")"),"#N/A")</f>
        <v>#N/A</v>
      </c>
      <c r="H26686" s="4" t="str">
        <v/>
      </c>
      <c r="I26686" s="4" t="str">
        <v/>
      </c>
    </row>
    <row r="26687" spans="5:9" ht="16.5" hidden="1">
      <c r="E26687" s="4" t="str">
        <v/>
      </c>
      <c r="F26687" s="102" t="str">
        <f ca="1">IFERROR(__xludf.DUMMYFUNCTION("IMPORTRANGE(H26687,""IDENTITAS UNIT!D9"")"),"#N/A")</f>
        <v>#N/A</v>
      </c>
      <c r="H26687" s="4" t="str">
        <v/>
      </c>
      <c r="I26687" s="4" t="str">
        <v/>
      </c>
    </row>
    <row r="26688" spans="5:9" ht="16.5" hidden="1">
      <c r="E26688" s="4" t="str">
        <v/>
      </c>
      <c r="F26688" s="102" t="str">
        <f ca="1">IFERROR(__xludf.DUMMYFUNCTION("IMPORTRANGE(H26688,""IDENTITAS UNIT!D9"")"),"#N/A")</f>
        <v>#N/A</v>
      </c>
      <c r="H26688" s="4" t="str">
        <v/>
      </c>
      <c r="I26688" s="4" t="str">
        <v/>
      </c>
    </row>
    <row r="26689" spans="5:9" ht="16.5" hidden="1">
      <c r="E26689" s="4" t="str">
        <v/>
      </c>
      <c r="F26689" s="102" t="str">
        <f ca="1">IFERROR(__xludf.DUMMYFUNCTION("IMPORTRANGE(H26689,""IDENTITAS UNIT!D9"")"),"#N/A")</f>
        <v>#N/A</v>
      </c>
      <c r="H26689" s="4" t="str">
        <v/>
      </c>
      <c r="I26689" s="4" t="str">
        <v/>
      </c>
    </row>
    <row r="26690" spans="5:9" ht="16.5" hidden="1">
      <c r="E26690" s="4" t="str">
        <v/>
      </c>
      <c r="F26690" s="102" t="str">
        <f ca="1">IFERROR(__xludf.DUMMYFUNCTION("IMPORTRANGE(H26690,""IDENTITAS UNIT!D9"")"),"#N/A")</f>
        <v>#N/A</v>
      </c>
      <c r="H26690" s="4" t="str">
        <v/>
      </c>
      <c r="I26690" s="4" t="str">
        <v/>
      </c>
    </row>
    <row r="26691" spans="5:9" ht="16.5" hidden="1">
      <c r="E26691" s="4" t="str">
        <v/>
      </c>
      <c r="F26691" s="102" t="str">
        <f ca="1">IFERROR(__xludf.DUMMYFUNCTION("IMPORTRANGE(H26691,""IDENTITAS UNIT!D9"")"),"#N/A")</f>
        <v>#N/A</v>
      </c>
      <c r="H26691" s="4" t="str">
        <v/>
      </c>
      <c r="I26691" s="4" t="str">
        <v/>
      </c>
    </row>
    <row r="26692" spans="5:9" ht="16.5" hidden="1">
      <c r="E26692" s="4" t="str">
        <v/>
      </c>
      <c r="F26692" s="102" t="str">
        <f ca="1">IFERROR(__xludf.DUMMYFUNCTION("IMPORTRANGE(H26692,""IDENTITAS UNIT!D9"")"),"#N/A")</f>
        <v>#N/A</v>
      </c>
      <c r="H26692" s="4" t="str">
        <v/>
      </c>
      <c r="I26692" s="4" t="str">
        <v/>
      </c>
    </row>
    <row r="26693" spans="5:9" ht="16.5" hidden="1">
      <c r="E26693" s="4" t="str">
        <v/>
      </c>
      <c r="F26693" s="102" t="str">
        <f ca="1">IFERROR(__xludf.DUMMYFUNCTION("IMPORTRANGE(H26693,""IDENTITAS UNIT!D9"")"),"#N/A")</f>
        <v>#N/A</v>
      </c>
      <c r="H26693" s="4" t="str">
        <v/>
      </c>
      <c r="I26693" s="4" t="str">
        <v/>
      </c>
    </row>
    <row r="26694" spans="5:9" ht="16.5" hidden="1">
      <c r="E26694" s="4" t="str">
        <v/>
      </c>
      <c r="F26694" s="102" t="str">
        <f ca="1">IFERROR(__xludf.DUMMYFUNCTION("IMPORTRANGE(H26694,""IDENTITAS UNIT!D9"")"),"#N/A")</f>
        <v>#N/A</v>
      </c>
      <c r="H26694" s="4" t="str">
        <v/>
      </c>
      <c r="I26694" s="4" t="str">
        <v/>
      </c>
    </row>
    <row r="26695" spans="5:9" ht="16.5" hidden="1">
      <c r="E26695" s="4" t="str">
        <v/>
      </c>
      <c r="F26695" s="102" t="str">
        <f ca="1">IFERROR(__xludf.DUMMYFUNCTION("IMPORTRANGE(H26695,""IDENTITAS UNIT!D9"")"),"#N/A")</f>
        <v>#N/A</v>
      </c>
      <c r="H26695" s="4" t="str">
        <v/>
      </c>
      <c r="I26695" s="4" t="str">
        <v/>
      </c>
    </row>
    <row r="26696" spans="5:9" ht="16.5" hidden="1">
      <c r="E26696" s="4" t="str">
        <v/>
      </c>
      <c r="F26696" s="102" t="str">
        <f ca="1">IFERROR(__xludf.DUMMYFUNCTION("IMPORTRANGE(H26696,""IDENTITAS UNIT!D9"")"),"#N/A")</f>
        <v>#N/A</v>
      </c>
      <c r="H26696" s="4" t="str">
        <v/>
      </c>
      <c r="I26696" s="4" t="str">
        <v/>
      </c>
    </row>
    <row r="26697" spans="5:9" ht="16.5" hidden="1">
      <c r="E26697" s="4" t="str">
        <v/>
      </c>
      <c r="F26697" s="102" t="str">
        <f ca="1">IFERROR(__xludf.DUMMYFUNCTION("IMPORTRANGE(H26697,""IDENTITAS UNIT!D9"")"),"#N/A")</f>
        <v>#N/A</v>
      </c>
      <c r="H26697" s="4" t="str">
        <v/>
      </c>
      <c r="I26697" s="4" t="str">
        <v/>
      </c>
    </row>
    <row r="26698" spans="5:9" ht="16.5" hidden="1">
      <c r="E26698" s="4" t="str">
        <v/>
      </c>
      <c r="F26698" s="102" t="str">
        <f ca="1">IFERROR(__xludf.DUMMYFUNCTION("IMPORTRANGE(H26698,""IDENTITAS UNIT!D9"")"),"#N/A")</f>
        <v>#N/A</v>
      </c>
      <c r="H26698" s="4" t="str">
        <v/>
      </c>
      <c r="I26698" s="4" t="str">
        <v/>
      </c>
    </row>
    <row r="26699" spans="5:9" ht="16.5" hidden="1">
      <c r="E26699" s="4" t="str">
        <v/>
      </c>
      <c r="F26699" s="102" t="str">
        <f ca="1">IFERROR(__xludf.DUMMYFUNCTION("IMPORTRANGE(H26699,""IDENTITAS UNIT!D9"")"),"#N/A")</f>
        <v>#N/A</v>
      </c>
      <c r="H26699" s="4" t="str">
        <v/>
      </c>
      <c r="I26699" s="4" t="str">
        <v/>
      </c>
    </row>
    <row r="26700" spans="5:9" ht="16.5" hidden="1">
      <c r="E26700" s="4" t="str">
        <v/>
      </c>
      <c r="F26700" s="102" t="str">
        <f ca="1">IFERROR(__xludf.DUMMYFUNCTION("IMPORTRANGE(H26700,""IDENTITAS UNIT!D9"")"),"#N/A")</f>
        <v>#N/A</v>
      </c>
      <c r="H26700" s="4" t="str">
        <v/>
      </c>
      <c r="I26700" s="4" t="str">
        <v/>
      </c>
    </row>
    <row r="26701" spans="5:9" ht="16.5" hidden="1">
      <c r="E26701" s="4" t="str">
        <v/>
      </c>
      <c r="F26701" s="102" t="str">
        <f ca="1">IFERROR(__xludf.DUMMYFUNCTION("IMPORTRANGE(H26701,""IDENTITAS UNIT!D9"")"),"#N/A")</f>
        <v>#N/A</v>
      </c>
      <c r="H26701" s="4" t="str">
        <v/>
      </c>
      <c r="I26701" s="4" t="str">
        <v/>
      </c>
    </row>
    <row r="26702" spans="5:9" ht="16.5" hidden="1">
      <c r="E26702" s="4" t="str">
        <v/>
      </c>
      <c r="F26702" s="102" t="str">
        <f ca="1">IFERROR(__xludf.DUMMYFUNCTION("IMPORTRANGE(H26702,""IDENTITAS UNIT!D9"")"),"#N/A")</f>
        <v>#N/A</v>
      </c>
      <c r="H26702" s="4" t="str">
        <v/>
      </c>
      <c r="I26702" s="4" t="str">
        <v/>
      </c>
    </row>
    <row r="26703" spans="5:9" ht="16.5" hidden="1">
      <c r="E26703" s="4" t="str">
        <v/>
      </c>
      <c r="F26703" s="102" t="str">
        <f ca="1">IFERROR(__xludf.DUMMYFUNCTION("IMPORTRANGE(H26703,""IDENTITAS UNIT!D9"")"),"#N/A")</f>
        <v>#N/A</v>
      </c>
      <c r="H26703" s="4" t="str">
        <v/>
      </c>
      <c r="I26703" s="4" t="str">
        <v/>
      </c>
    </row>
    <row r="26704" spans="5:9" ht="16.5" hidden="1">
      <c r="E26704" s="4" t="str">
        <v/>
      </c>
      <c r="F26704" s="102" t="str">
        <f ca="1">IFERROR(__xludf.DUMMYFUNCTION("IMPORTRANGE(H26704,""IDENTITAS UNIT!D9"")"),"#N/A")</f>
        <v>#N/A</v>
      </c>
      <c r="H26704" s="4" t="str">
        <v/>
      </c>
      <c r="I26704" s="4" t="str">
        <v/>
      </c>
    </row>
    <row r="26705" spans="5:9" ht="16.5" hidden="1">
      <c r="E26705" s="4" t="str">
        <v/>
      </c>
      <c r="F26705" s="102" t="str">
        <f ca="1">IFERROR(__xludf.DUMMYFUNCTION("IMPORTRANGE(H26705,""IDENTITAS UNIT!D9"")"),"#N/A")</f>
        <v>#N/A</v>
      </c>
      <c r="H26705" s="4" t="str">
        <v/>
      </c>
      <c r="I26705" s="4" t="str">
        <v/>
      </c>
    </row>
    <row r="26706" spans="5:9" ht="16.5" hidden="1">
      <c r="E26706" s="4" t="str">
        <v/>
      </c>
      <c r="F26706" s="102" t="str">
        <f ca="1">IFERROR(__xludf.DUMMYFUNCTION("IMPORTRANGE(H26706,""IDENTITAS UNIT!D9"")"),"#N/A")</f>
        <v>#N/A</v>
      </c>
      <c r="H26706" s="4" t="str">
        <v/>
      </c>
      <c r="I26706" s="4" t="str">
        <v/>
      </c>
    </row>
    <row r="26707" spans="5:9" ht="16.5" hidden="1">
      <c r="E26707" s="4" t="str">
        <v/>
      </c>
      <c r="F26707" s="102" t="str">
        <f ca="1">IFERROR(__xludf.DUMMYFUNCTION("IMPORTRANGE(H26707,""IDENTITAS UNIT!D9"")"),"#N/A")</f>
        <v>#N/A</v>
      </c>
      <c r="H26707" s="4" t="str">
        <v/>
      </c>
      <c r="I26707" s="4" t="str">
        <v/>
      </c>
    </row>
    <row r="26708" spans="5:9" ht="16.5" hidden="1">
      <c r="E26708" s="4" t="str">
        <v/>
      </c>
      <c r="F26708" s="102" t="str">
        <f ca="1">IFERROR(__xludf.DUMMYFUNCTION("IMPORTRANGE(H26708,""IDENTITAS UNIT!D9"")"),"#N/A")</f>
        <v>#N/A</v>
      </c>
      <c r="H26708" s="4" t="str">
        <v/>
      </c>
      <c r="I26708" s="4" t="str">
        <v/>
      </c>
    </row>
    <row r="26709" spans="5:9" ht="16.5" hidden="1">
      <c r="E26709" s="4" t="str">
        <v/>
      </c>
      <c r="F26709" s="102" t="str">
        <f ca="1">IFERROR(__xludf.DUMMYFUNCTION("IMPORTRANGE(H26709,""IDENTITAS UNIT!D9"")"),"#N/A")</f>
        <v>#N/A</v>
      </c>
      <c r="H26709" s="4" t="str">
        <v/>
      </c>
      <c r="I26709" s="4" t="str">
        <v/>
      </c>
    </row>
    <row r="26710" spans="5:9" ht="16.5" hidden="1">
      <c r="E26710" s="4" t="str">
        <v/>
      </c>
      <c r="F26710" s="102" t="str">
        <f ca="1">IFERROR(__xludf.DUMMYFUNCTION("IMPORTRANGE(H26710,""IDENTITAS UNIT!D9"")"),"#N/A")</f>
        <v>#N/A</v>
      </c>
      <c r="H26710" s="4" t="str">
        <v/>
      </c>
      <c r="I26710" s="4" t="str">
        <v/>
      </c>
    </row>
    <row r="26711" spans="5:9" ht="16.5" hidden="1">
      <c r="E26711" s="4" t="str">
        <v/>
      </c>
      <c r="F26711" s="102" t="str">
        <f ca="1">IFERROR(__xludf.DUMMYFUNCTION("IMPORTRANGE(H26711,""IDENTITAS UNIT!D9"")"),"#N/A")</f>
        <v>#N/A</v>
      </c>
      <c r="H26711" s="4" t="str">
        <v/>
      </c>
      <c r="I26711" s="4" t="str">
        <v/>
      </c>
    </row>
    <row r="26712" spans="5:9" ht="16.5" hidden="1">
      <c r="E26712" s="4" t="str">
        <v/>
      </c>
      <c r="F26712" s="102" t="str">
        <f ca="1">IFERROR(__xludf.DUMMYFUNCTION("IMPORTRANGE(H26712,""IDENTITAS UNIT!D9"")"),"#N/A")</f>
        <v>#N/A</v>
      </c>
      <c r="H26712" s="4" t="str">
        <v/>
      </c>
      <c r="I26712" s="4" t="str">
        <v/>
      </c>
    </row>
    <row r="26713" spans="5:9" ht="16.5" hidden="1">
      <c r="E26713" s="4" t="str">
        <v/>
      </c>
      <c r="F26713" s="102" t="str">
        <f ca="1">IFERROR(__xludf.DUMMYFUNCTION("IMPORTRANGE(H26713,""IDENTITAS UNIT!D9"")"),"#N/A")</f>
        <v>#N/A</v>
      </c>
      <c r="H26713" s="4" t="str">
        <v/>
      </c>
      <c r="I26713" s="4" t="str">
        <v/>
      </c>
    </row>
    <row r="26714" spans="5:9" ht="16.5" hidden="1">
      <c r="E26714" s="4" t="str">
        <v/>
      </c>
      <c r="F26714" s="102" t="str">
        <f ca="1">IFERROR(__xludf.DUMMYFUNCTION("IMPORTRANGE(H26714,""IDENTITAS UNIT!D9"")"),"#N/A")</f>
        <v>#N/A</v>
      </c>
      <c r="H26714" s="4" t="str">
        <v/>
      </c>
      <c r="I26714" s="4" t="str">
        <v/>
      </c>
    </row>
    <row r="26715" spans="5:9" ht="16.5" hidden="1">
      <c r="E26715" s="4" t="str">
        <v/>
      </c>
      <c r="F26715" s="102" t="str">
        <f ca="1">IFERROR(__xludf.DUMMYFUNCTION("IMPORTRANGE(H26715,""IDENTITAS UNIT!D9"")"),"#N/A")</f>
        <v>#N/A</v>
      </c>
      <c r="H26715" s="4" t="str">
        <v/>
      </c>
      <c r="I26715" s="4" t="str">
        <v/>
      </c>
    </row>
    <row r="26716" spans="5:9" ht="16.5" hidden="1">
      <c r="E26716" s="4" t="str">
        <v/>
      </c>
      <c r="F26716" s="102" t="str">
        <f ca="1">IFERROR(__xludf.DUMMYFUNCTION("IMPORTRANGE(H26716,""IDENTITAS UNIT!D9"")"),"#N/A")</f>
        <v>#N/A</v>
      </c>
      <c r="H26716" s="4" t="str">
        <v/>
      </c>
      <c r="I26716" s="4" t="str">
        <v/>
      </c>
    </row>
    <row r="26717" spans="5:9" ht="16.5" hidden="1">
      <c r="E26717" s="4" t="str">
        <v/>
      </c>
      <c r="F26717" s="102" t="str">
        <f ca="1">IFERROR(__xludf.DUMMYFUNCTION("IMPORTRANGE(H26717,""IDENTITAS UNIT!D9"")"),"#N/A")</f>
        <v>#N/A</v>
      </c>
      <c r="H26717" s="4" t="str">
        <v/>
      </c>
      <c r="I26717" s="4" t="str">
        <v/>
      </c>
    </row>
    <row r="26718" spans="5:9" ht="16.5" hidden="1">
      <c r="E26718" s="4" t="str">
        <v/>
      </c>
      <c r="F26718" s="102" t="str">
        <f ca="1">IFERROR(__xludf.DUMMYFUNCTION("IMPORTRANGE(H26718,""IDENTITAS UNIT!D9"")"),"#N/A")</f>
        <v>#N/A</v>
      </c>
      <c r="H26718" s="4" t="str">
        <v/>
      </c>
      <c r="I26718" s="4" t="str">
        <v/>
      </c>
    </row>
    <row r="26719" spans="5:9" ht="16.5" hidden="1">
      <c r="E26719" s="4" t="str">
        <v/>
      </c>
      <c r="F26719" s="102" t="str">
        <f ca="1">IFERROR(__xludf.DUMMYFUNCTION("IMPORTRANGE(H26719,""IDENTITAS UNIT!D9"")"),"#N/A")</f>
        <v>#N/A</v>
      </c>
      <c r="H26719" s="4" t="str">
        <v/>
      </c>
      <c r="I26719" s="4" t="str">
        <v/>
      </c>
    </row>
    <row r="26720" spans="5:9" ht="16.5" hidden="1">
      <c r="E26720" s="4" t="str">
        <v/>
      </c>
      <c r="F26720" s="102" t="str">
        <f ca="1">IFERROR(__xludf.DUMMYFUNCTION("IMPORTRANGE(H26720,""IDENTITAS UNIT!D9"")"),"#N/A")</f>
        <v>#N/A</v>
      </c>
      <c r="H26720" s="4" t="str">
        <v/>
      </c>
      <c r="I26720" s="4" t="str">
        <v/>
      </c>
    </row>
    <row r="26721" spans="5:9" ht="16.5" hidden="1">
      <c r="E26721" s="4" t="str">
        <v/>
      </c>
      <c r="F26721" s="102" t="str">
        <f ca="1">IFERROR(__xludf.DUMMYFUNCTION("IMPORTRANGE(H26721,""IDENTITAS UNIT!D9"")"),"#N/A")</f>
        <v>#N/A</v>
      </c>
      <c r="H26721" s="4" t="str">
        <v/>
      </c>
      <c r="I26721" s="4" t="str">
        <v/>
      </c>
    </row>
    <row r="26722" spans="5:9" ht="16.5" hidden="1">
      <c r="E26722" s="4" t="str">
        <v/>
      </c>
      <c r="F26722" s="102" t="str">
        <f ca="1">IFERROR(__xludf.DUMMYFUNCTION("IMPORTRANGE(H26722,""IDENTITAS UNIT!D9"")"),"#N/A")</f>
        <v>#N/A</v>
      </c>
      <c r="H26722" s="4" t="str">
        <v/>
      </c>
      <c r="I26722" s="4" t="str">
        <v/>
      </c>
    </row>
    <row r="26723" spans="5:9" ht="16.5" hidden="1">
      <c r="E26723" s="4" t="str">
        <v/>
      </c>
      <c r="F26723" s="102" t="str">
        <f ca="1">IFERROR(__xludf.DUMMYFUNCTION("IMPORTRANGE(H26723,""IDENTITAS UNIT!D9"")"),"#N/A")</f>
        <v>#N/A</v>
      </c>
      <c r="H26723" s="4" t="str">
        <v/>
      </c>
      <c r="I26723" s="4" t="str">
        <v/>
      </c>
    </row>
    <row r="26724" spans="5:9" ht="16.5" hidden="1">
      <c r="E26724" s="4" t="str">
        <v/>
      </c>
      <c r="F26724" s="102" t="str">
        <f ca="1">IFERROR(__xludf.DUMMYFUNCTION("IMPORTRANGE(H26724,""IDENTITAS UNIT!D9"")"),"#N/A")</f>
        <v>#N/A</v>
      </c>
      <c r="H26724" s="4" t="str">
        <v/>
      </c>
      <c r="I26724" s="4" t="str">
        <v/>
      </c>
    </row>
    <row r="26725" spans="5:9" ht="16.5" hidden="1">
      <c r="E26725" s="4" t="str">
        <v/>
      </c>
      <c r="F26725" s="102" t="str">
        <f ca="1">IFERROR(__xludf.DUMMYFUNCTION("IMPORTRANGE(H26725,""IDENTITAS UNIT!D9"")"),"#N/A")</f>
        <v>#N/A</v>
      </c>
      <c r="H26725" s="4" t="str">
        <v/>
      </c>
      <c r="I26725" s="4" t="str">
        <v/>
      </c>
    </row>
    <row r="26726" spans="5:9" ht="16.5" hidden="1">
      <c r="E26726" s="4" t="str">
        <v/>
      </c>
      <c r="F26726" s="102" t="str">
        <f ca="1">IFERROR(__xludf.DUMMYFUNCTION("IMPORTRANGE(H26726,""IDENTITAS UNIT!D9"")"),"#N/A")</f>
        <v>#N/A</v>
      </c>
      <c r="H26726" s="4" t="str">
        <v/>
      </c>
      <c r="I26726" s="4" t="str">
        <v/>
      </c>
    </row>
    <row r="26727" spans="5:9" ht="16.5" hidden="1">
      <c r="E26727" s="4" t="str">
        <v/>
      </c>
      <c r="F26727" s="102" t="str">
        <f ca="1">IFERROR(__xludf.DUMMYFUNCTION("IMPORTRANGE(H26727,""IDENTITAS UNIT!D9"")"),"#N/A")</f>
        <v>#N/A</v>
      </c>
      <c r="H26727" s="4" t="str">
        <v/>
      </c>
      <c r="I26727" s="4" t="str">
        <v/>
      </c>
    </row>
    <row r="26728" spans="5:9" ht="16.5" hidden="1">
      <c r="E26728" s="4" t="str">
        <v/>
      </c>
      <c r="F26728" s="102" t="str">
        <f ca="1">IFERROR(__xludf.DUMMYFUNCTION("IMPORTRANGE(H26728,""IDENTITAS UNIT!D9"")"),"#N/A")</f>
        <v>#N/A</v>
      </c>
      <c r="H26728" s="4" t="str">
        <v/>
      </c>
      <c r="I26728" s="4" t="str">
        <v/>
      </c>
    </row>
    <row r="26729" spans="5:9" ht="16.5" hidden="1">
      <c r="E26729" s="4" t="str">
        <v/>
      </c>
      <c r="F26729" s="102" t="str">
        <f ca="1">IFERROR(__xludf.DUMMYFUNCTION("IMPORTRANGE(H26729,""IDENTITAS UNIT!D9"")"),"#N/A")</f>
        <v>#N/A</v>
      </c>
      <c r="H26729" s="4" t="str">
        <v/>
      </c>
      <c r="I26729" s="4" t="str">
        <v/>
      </c>
    </row>
    <row r="26730" spans="5:9" ht="16.5" hidden="1">
      <c r="E26730" s="4" t="str">
        <v/>
      </c>
      <c r="F26730" s="102" t="str">
        <f ca="1">IFERROR(__xludf.DUMMYFUNCTION("IMPORTRANGE(H26730,""IDENTITAS UNIT!D9"")"),"#N/A")</f>
        <v>#N/A</v>
      </c>
      <c r="H26730" s="4" t="str">
        <v/>
      </c>
      <c r="I26730" s="4" t="str">
        <v/>
      </c>
    </row>
    <row r="26731" spans="5:9" ht="16.5" hidden="1">
      <c r="E26731" s="4" t="str">
        <v/>
      </c>
      <c r="F26731" s="102" t="str">
        <f ca="1">IFERROR(__xludf.DUMMYFUNCTION("IMPORTRANGE(H26731,""IDENTITAS UNIT!D9"")"),"#N/A")</f>
        <v>#N/A</v>
      </c>
      <c r="H26731" s="4" t="str">
        <v/>
      </c>
      <c r="I26731" s="4" t="str">
        <v/>
      </c>
    </row>
    <row r="26732" spans="5:9" ht="16.5" hidden="1">
      <c r="E26732" s="4" t="str">
        <v/>
      </c>
      <c r="F26732" s="102" t="str">
        <f ca="1">IFERROR(__xludf.DUMMYFUNCTION("IMPORTRANGE(H26732,""IDENTITAS UNIT!D9"")"),"#N/A")</f>
        <v>#N/A</v>
      </c>
      <c r="H26732" s="4" t="str">
        <v/>
      </c>
      <c r="I26732" s="4" t="str">
        <v/>
      </c>
    </row>
    <row r="26733" spans="5:9" ht="16.5" hidden="1">
      <c r="E26733" s="4" t="str">
        <v/>
      </c>
      <c r="F26733" s="102" t="str">
        <f ca="1">IFERROR(__xludf.DUMMYFUNCTION("IMPORTRANGE(H26733,""IDENTITAS UNIT!D9"")"),"#N/A")</f>
        <v>#N/A</v>
      </c>
      <c r="H26733" s="4" t="str">
        <v/>
      </c>
      <c r="I26733" s="4" t="str">
        <v/>
      </c>
    </row>
    <row r="26734" spans="5:9" ht="16.5" hidden="1">
      <c r="E26734" s="4" t="str">
        <v/>
      </c>
      <c r="F26734" s="102" t="str">
        <f ca="1">IFERROR(__xludf.DUMMYFUNCTION("IMPORTRANGE(H26734,""IDENTITAS UNIT!D9"")"),"#N/A")</f>
        <v>#N/A</v>
      </c>
      <c r="H26734" s="4" t="str">
        <v/>
      </c>
      <c r="I26734" s="4" t="str">
        <v/>
      </c>
    </row>
    <row r="26735" spans="5:9" ht="16.5" hidden="1">
      <c r="E26735" s="4" t="str">
        <v/>
      </c>
      <c r="F26735" s="102" t="str">
        <f ca="1">IFERROR(__xludf.DUMMYFUNCTION("IMPORTRANGE(H26735,""IDENTITAS UNIT!D9"")"),"#N/A")</f>
        <v>#N/A</v>
      </c>
      <c r="H26735" s="4" t="str">
        <v/>
      </c>
      <c r="I26735" s="4" t="str">
        <v/>
      </c>
    </row>
    <row r="26736" spans="5:9" ht="16.5" hidden="1">
      <c r="E26736" s="4" t="str">
        <v/>
      </c>
      <c r="F26736" s="102" t="str">
        <f ca="1">IFERROR(__xludf.DUMMYFUNCTION("IMPORTRANGE(H26736,""IDENTITAS UNIT!D9"")"),"#N/A")</f>
        <v>#N/A</v>
      </c>
      <c r="H26736" s="4" t="str">
        <v/>
      </c>
      <c r="I26736" s="4" t="str">
        <v/>
      </c>
    </row>
    <row r="26737" spans="5:9" ht="16.5" hidden="1">
      <c r="E26737" s="4" t="str">
        <v/>
      </c>
      <c r="F26737" s="102" t="str">
        <f ca="1">IFERROR(__xludf.DUMMYFUNCTION("IMPORTRANGE(H26737,""IDENTITAS UNIT!D9"")"),"#N/A")</f>
        <v>#N/A</v>
      </c>
      <c r="H26737" s="4" t="str">
        <v/>
      </c>
      <c r="I26737" s="4" t="str">
        <v/>
      </c>
    </row>
    <row r="26738" spans="5:9" ht="16.5" hidden="1">
      <c r="E26738" s="4" t="str">
        <v/>
      </c>
      <c r="F26738" s="102" t="str">
        <f ca="1">IFERROR(__xludf.DUMMYFUNCTION("IMPORTRANGE(H26738,""IDENTITAS UNIT!D9"")"),"#N/A")</f>
        <v>#N/A</v>
      </c>
      <c r="H26738" s="4" t="str">
        <v/>
      </c>
      <c r="I26738" s="4" t="str">
        <v/>
      </c>
    </row>
    <row r="26739" spans="5:9" ht="16.5" hidden="1">
      <c r="E26739" s="4" t="str">
        <v/>
      </c>
      <c r="F26739" s="102" t="str">
        <f ca="1">IFERROR(__xludf.DUMMYFUNCTION("IMPORTRANGE(H26739,""IDENTITAS UNIT!D9"")"),"#N/A")</f>
        <v>#N/A</v>
      </c>
      <c r="H26739" s="4" t="str">
        <v/>
      </c>
      <c r="I26739" s="4" t="str">
        <v/>
      </c>
    </row>
    <row r="26740" spans="5:9" ht="16.5" hidden="1">
      <c r="E26740" s="4" t="str">
        <v/>
      </c>
      <c r="F26740" s="102" t="str">
        <f ca="1">IFERROR(__xludf.DUMMYFUNCTION("IMPORTRANGE(H26740,""IDENTITAS UNIT!D9"")"),"#N/A")</f>
        <v>#N/A</v>
      </c>
      <c r="H26740" s="4" t="str">
        <v/>
      </c>
      <c r="I26740" s="4" t="str">
        <v/>
      </c>
    </row>
    <row r="26741" spans="5:9" ht="16.5" hidden="1">
      <c r="E26741" s="4" t="str">
        <v/>
      </c>
      <c r="F26741" s="102" t="str">
        <f ca="1">IFERROR(__xludf.DUMMYFUNCTION("IMPORTRANGE(H26741,""IDENTITAS UNIT!D9"")"),"#N/A")</f>
        <v>#N/A</v>
      </c>
      <c r="H26741" s="4" t="str">
        <v/>
      </c>
      <c r="I26741" s="4" t="str">
        <v/>
      </c>
    </row>
    <row r="26742" spans="5:9" ht="16.5" hidden="1">
      <c r="E26742" s="4" t="str">
        <v/>
      </c>
      <c r="F26742" s="102" t="str">
        <f ca="1">IFERROR(__xludf.DUMMYFUNCTION("IMPORTRANGE(H26742,""IDENTITAS UNIT!D9"")"),"#N/A")</f>
        <v>#N/A</v>
      </c>
      <c r="H26742" s="4" t="str">
        <v/>
      </c>
      <c r="I26742" s="4" t="str">
        <v/>
      </c>
    </row>
    <row r="26743" spans="5:9" ht="16.5" hidden="1">
      <c r="E26743" s="4" t="str">
        <v/>
      </c>
      <c r="F26743" s="102" t="str">
        <f ca="1">IFERROR(__xludf.DUMMYFUNCTION("IMPORTRANGE(H26743,""IDENTITAS UNIT!D9"")"),"#N/A")</f>
        <v>#N/A</v>
      </c>
      <c r="H26743" s="4" t="str">
        <v/>
      </c>
      <c r="I26743" s="4" t="str">
        <v/>
      </c>
    </row>
    <row r="26744" spans="5:9" ht="16.5" hidden="1">
      <c r="E26744" s="4" t="str">
        <v/>
      </c>
      <c r="F26744" s="102" t="str">
        <f ca="1">IFERROR(__xludf.DUMMYFUNCTION("IMPORTRANGE(H26744,""IDENTITAS UNIT!D9"")"),"#N/A")</f>
        <v>#N/A</v>
      </c>
      <c r="H26744" s="4" t="str">
        <v/>
      </c>
      <c r="I26744" s="4" t="str">
        <v/>
      </c>
    </row>
    <row r="26745" spans="5:9" ht="16.5" hidden="1">
      <c r="E26745" s="4" t="str">
        <v/>
      </c>
      <c r="F26745" s="102" t="str">
        <f ca="1">IFERROR(__xludf.DUMMYFUNCTION("IMPORTRANGE(H26745,""IDENTITAS UNIT!D9"")"),"#N/A")</f>
        <v>#N/A</v>
      </c>
      <c r="H26745" s="4" t="str">
        <v/>
      </c>
      <c r="I26745" s="4" t="str">
        <v/>
      </c>
    </row>
    <row r="26746" spans="5:9" ht="16.5" hidden="1">
      <c r="E26746" s="4" t="str">
        <v/>
      </c>
      <c r="F26746" s="102" t="str">
        <f ca="1">IFERROR(__xludf.DUMMYFUNCTION("IMPORTRANGE(H26746,""IDENTITAS UNIT!D9"")"),"#N/A")</f>
        <v>#N/A</v>
      </c>
      <c r="H26746" s="4" t="str">
        <v/>
      </c>
      <c r="I26746" s="4" t="str">
        <v/>
      </c>
    </row>
    <row r="26747" spans="5:9" ht="16.5" hidden="1">
      <c r="E26747" s="4" t="str">
        <v/>
      </c>
      <c r="F26747" s="102" t="str">
        <f ca="1">IFERROR(__xludf.DUMMYFUNCTION("IMPORTRANGE(H26747,""IDENTITAS UNIT!D9"")"),"#N/A")</f>
        <v>#N/A</v>
      </c>
      <c r="H26747" s="4" t="str">
        <v/>
      </c>
      <c r="I26747" s="4" t="str">
        <v/>
      </c>
    </row>
    <row r="26748" spans="5:9" ht="16.5" hidden="1">
      <c r="E26748" s="4" t="str">
        <v/>
      </c>
      <c r="F26748" s="102" t="str">
        <f ca="1">IFERROR(__xludf.DUMMYFUNCTION("IMPORTRANGE(H26748,""IDENTITAS UNIT!D9"")"),"#N/A")</f>
        <v>#N/A</v>
      </c>
      <c r="H26748" s="4" t="str">
        <v/>
      </c>
      <c r="I26748" s="4" t="str">
        <v/>
      </c>
    </row>
    <row r="26749" spans="5:9" ht="16.5" hidden="1">
      <c r="E26749" s="4" t="str">
        <v/>
      </c>
      <c r="F26749" s="102" t="str">
        <f ca="1">IFERROR(__xludf.DUMMYFUNCTION("IMPORTRANGE(H26749,""IDENTITAS UNIT!D9"")"),"#N/A")</f>
        <v>#N/A</v>
      </c>
      <c r="H26749" s="4" t="str">
        <v/>
      </c>
      <c r="I26749" s="4" t="str">
        <v/>
      </c>
    </row>
    <row r="26750" spans="5:9" ht="16.5" hidden="1">
      <c r="E26750" s="4" t="str">
        <v/>
      </c>
      <c r="F26750" s="102" t="str">
        <f ca="1">IFERROR(__xludf.DUMMYFUNCTION("IMPORTRANGE(H26750,""IDENTITAS UNIT!D9"")"),"#N/A")</f>
        <v>#N/A</v>
      </c>
      <c r="H26750" s="4" t="str">
        <v/>
      </c>
      <c r="I26750" s="4" t="str">
        <v/>
      </c>
    </row>
    <row r="26751" spans="5:9" ht="16.5" hidden="1">
      <c r="E26751" s="4" t="str">
        <v/>
      </c>
      <c r="F26751" s="102" t="str">
        <f ca="1">IFERROR(__xludf.DUMMYFUNCTION("IMPORTRANGE(H26751,""IDENTITAS UNIT!D9"")"),"#N/A")</f>
        <v>#N/A</v>
      </c>
      <c r="H26751" s="4" t="str">
        <v/>
      </c>
      <c r="I26751" s="4" t="str">
        <v/>
      </c>
    </row>
    <row r="26752" spans="5:9" ht="16.5" hidden="1">
      <c r="E26752" s="4" t="str">
        <v/>
      </c>
      <c r="F26752" s="102" t="str">
        <f ca="1">IFERROR(__xludf.DUMMYFUNCTION("IMPORTRANGE(H26752,""IDENTITAS UNIT!D9"")"),"#N/A")</f>
        <v>#N/A</v>
      </c>
      <c r="H26752" s="4" t="str">
        <v/>
      </c>
      <c r="I26752" s="4" t="str">
        <v/>
      </c>
    </row>
    <row r="26753" spans="5:9" ht="16.5" hidden="1">
      <c r="E26753" s="4" t="str">
        <v/>
      </c>
      <c r="F26753" s="102" t="str">
        <f ca="1">IFERROR(__xludf.DUMMYFUNCTION("IMPORTRANGE(H26753,""IDENTITAS UNIT!D9"")"),"#N/A")</f>
        <v>#N/A</v>
      </c>
      <c r="H26753" s="4" t="str">
        <v/>
      </c>
      <c r="I26753" s="4" t="str">
        <v/>
      </c>
    </row>
    <row r="26754" spans="5:9" ht="16.5" hidden="1">
      <c r="E26754" s="4" t="str">
        <v/>
      </c>
      <c r="F26754" s="102" t="str">
        <f ca="1">IFERROR(__xludf.DUMMYFUNCTION("IMPORTRANGE(H26754,""IDENTITAS UNIT!D9"")"),"#N/A")</f>
        <v>#N/A</v>
      </c>
      <c r="H26754" s="4" t="str">
        <v/>
      </c>
      <c r="I26754" s="4" t="str">
        <v/>
      </c>
    </row>
    <row r="26755" spans="5:9" ht="16.5" hidden="1">
      <c r="E26755" s="4" t="str">
        <v/>
      </c>
      <c r="F26755" s="102" t="str">
        <f ca="1">IFERROR(__xludf.DUMMYFUNCTION("IMPORTRANGE(H26755,""IDENTITAS UNIT!D9"")"),"#N/A")</f>
        <v>#N/A</v>
      </c>
      <c r="H26755" s="4" t="str">
        <v/>
      </c>
      <c r="I26755" s="4" t="str">
        <v/>
      </c>
    </row>
    <row r="26756" spans="5:9" ht="16.5" hidden="1">
      <c r="E26756" s="4" t="str">
        <v/>
      </c>
      <c r="F26756" s="102" t="str">
        <f ca="1">IFERROR(__xludf.DUMMYFUNCTION("IMPORTRANGE(H26756,""IDENTITAS UNIT!D9"")"),"#N/A")</f>
        <v>#N/A</v>
      </c>
      <c r="H26756" s="4" t="str">
        <v/>
      </c>
      <c r="I26756" s="4" t="str">
        <v/>
      </c>
    </row>
    <row r="26757" spans="5:9" ht="16.5" hidden="1">
      <c r="E26757" s="4" t="str">
        <v/>
      </c>
      <c r="F26757" s="102" t="str">
        <f ca="1">IFERROR(__xludf.DUMMYFUNCTION("IMPORTRANGE(H26757,""IDENTITAS UNIT!D9"")"),"#N/A")</f>
        <v>#N/A</v>
      </c>
      <c r="H26757" s="4" t="str">
        <v/>
      </c>
      <c r="I26757" s="4" t="str">
        <v/>
      </c>
    </row>
    <row r="26758" spans="5:9" ht="16.5" hidden="1">
      <c r="E26758" s="4" t="str">
        <v/>
      </c>
      <c r="F26758" s="102" t="str">
        <f ca="1">IFERROR(__xludf.DUMMYFUNCTION("IMPORTRANGE(H26758,""IDENTITAS UNIT!D9"")"),"#N/A")</f>
        <v>#N/A</v>
      </c>
      <c r="H26758" s="4" t="str">
        <v/>
      </c>
      <c r="I26758" s="4" t="str">
        <v/>
      </c>
    </row>
    <row r="26759" spans="5:9" ht="16.5" hidden="1">
      <c r="E26759" s="4" t="str">
        <v/>
      </c>
      <c r="F26759" s="102" t="str">
        <f ca="1">IFERROR(__xludf.DUMMYFUNCTION("IMPORTRANGE(H26759,""IDENTITAS UNIT!D9"")"),"#N/A")</f>
        <v>#N/A</v>
      </c>
      <c r="H26759" s="4" t="str">
        <v/>
      </c>
      <c r="I26759" s="4" t="str">
        <v/>
      </c>
    </row>
    <row r="26760" spans="5:9" ht="16.5" hidden="1">
      <c r="E26760" s="4" t="str">
        <v/>
      </c>
      <c r="F26760" s="102" t="str">
        <f ca="1">IFERROR(__xludf.DUMMYFUNCTION("IMPORTRANGE(H26760,""IDENTITAS UNIT!D9"")"),"#N/A")</f>
        <v>#N/A</v>
      </c>
      <c r="H26760" s="4" t="str">
        <v/>
      </c>
      <c r="I26760" s="4" t="str">
        <v/>
      </c>
    </row>
    <row r="26761" spans="5:9" ht="16.5" hidden="1">
      <c r="E26761" s="4" t="str">
        <v/>
      </c>
      <c r="F26761" s="102" t="str">
        <f ca="1">IFERROR(__xludf.DUMMYFUNCTION("IMPORTRANGE(H26761,""IDENTITAS UNIT!D9"")"),"#N/A")</f>
        <v>#N/A</v>
      </c>
      <c r="H26761" s="4" t="str">
        <v/>
      </c>
      <c r="I26761" s="4" t="str">
        <v/>
      </c>
    </row>
    <row r="26762" spans="5:9" ht="16.5" hidden="1">
      <c r="E26762" s="4" t="str">
        <v/>
      </c>
      <c r="F26762" s="102" t="str">
        <f ca="1">IFERROR(__xludf.DUMMYFUNCTION("IMPORTRANGE(H26762,""IDENTITAS UNIT!D9"")"),"#N/A")</f>
        <v>#N/A</v>
      </c>
      <c r="H26762" s="4" t="str">
        <v/>
      </c>
      <c r="I26762" s="4" t="str">
        <v/>
      </c>
    </row>
    <row r="26763" spans="5:9" ht="16.5" hidden="1">
      <c r="E26763" s="4" t="str">
        <v/>
      </c>
      <c r="F26763" s="102" t="str">
        <f ca="1">IFERROR(__xludf.DUMMYFUNCTION("IMPORTRANGE(H26763,""IDENTITAS UNIT!D9"")"),"#N/A")</f>
        <v>#N/A</v>
      </c>
      <c r="H26763" s="4" t="str">
        <v/>
      </c>
      <c r="I26763" s="4" t="str">
        <v/>
      </c>
    </row>
    <row r="26764" spans="5:9" ht="16.5" hidden="1">
      <c r="E26764" s="4" t="str">
        <v/>
      </c>
      <c r="F26764" s="102" t="str">
        <f ca="1">IFERROR(__xludf.DUMMYFUNCTION("IMPORTRANGE(H26764,""IDENTITAS UNIT!D9"")"),"#N/A")</f>
        <v>#N/A</v>
      </c>
      <c r="H26764" s="4" t="str">
        <v/>
      </c>
      <c r="I26764" s="4" t="str">
        <v/>
      </c>
    </row>
    <row r="26765" spans="5:9" ht="16.5" hidden="1">
      <c r="E26765" s="4" t="str">
        <v/>
      </c>
      <c r="F26765" s="102" t="str">
        <f ca="1">IFERROR(__xludf.DUMMYFUNCTION("IMPORTRANGE(H26765,""IDENTITAS UNIT!D9"")"),"#N/A")</f>
        <v>#N/A</v>
      </c>
      <c r="H26765" s="4" t="str">
        <v/>
      </c>
      <c r="I26765" s="4" t="str">
        <v/>
      </c>
    </row>
    <row r="26766" spans="5:9" ht="16.5" hidden="1">
      <c r="E26766" s="4" t="str">
        <v/>
      </c>
      <c r="F26766" s="102" t="str">
        <f ca="1">IFERROR(__xludf.DUMMYFUNCTION("IMPORTRANGE(H26766,""IDENTITAS UNIT!D9"")"),"#N/A")</f>
        <v>#N/A</v>
      </c>
      <c r="H26766" s="4" t="str">
        <v/>
      </c>
      <c r="I26766" s="4" t="str">
        <v/>
      </c>
    </row>
    <row r="26767" spans="5:9" ht="16.5" hidden="1">
      <c r="E26767" s="4" t="str">
        <v/>
      </c>
      <c r="F26767" s="102" t="str">
        <f ca="1">IFERROR(__xludf.DUMMYFUNCTION("IMPORTRANGE(H26767,""IDENTITAS UNIT!D9"")"),"#N/A")</f>
        <v>#N/A</v>
      </c>
      <c r="H26767" s="4" t="str">
        <v/>
      </c>
      <c r="I26767" s="4" t="str">
        <v/>
      </c>
    </row>
    <row r="26768" spans="5:9" ht="16.5" hidden="1">
      <c r="E26768" s="4" t="str">
        <v/>
      </c>
      <c r="F26768" s="102" t="str">
        <f ca="1">IFERROR(__xludf.DUMMYFUNCTION("IMPORTRANGE(H26768,""IDENTITAS UNIT!D9"")"),"#N/A")</f>
        <v>#N/A</v>
      </c>
      <c r="H26768" s="4" t="str">
        <v/>
      </c>
      <c r="I26768" s="4" t="str">
        <v/>
      </c>
    </row>
    <row r="26769" spans="5:9" ht="16.5" hidden="1">
      <c r="E26769" s="4" t="str">
        <v/>
      </c>
      <c r="F26769" s="102" t="str">
        <f ca="1">IFERROR(__xludf.DUMMYFUNCTION("IMPORTRANGE(H26769,""IDENTITAS UNIT!D9"")"),"#N/A")</f>
        <v>#N/A</v>
      </c>
      <c r="H26769" s="4" t="str">
        <v/>
      </c>
      <c r="I26769" s="4" t="str">
        <v/>
      </c>
    </row>
    <row r="26770" spans="5:9" ht="16.5" hidden="1">
      <c r="E26770" s="4" t="str">
        <v/>
      </c>
      <c r="F26770" s="102" t="str">
        <f ca="1">IFERROR(__xludf.DUMMYFUNCTION("IMPORTRANGE(H26770,""IDENTITAS UNIT!D9"")"),"#N/A")</f>
        <v>#N/A</v>
      </c>
      <c r="H26770" s="4" t="str">
        <v/>
      </c>
      <c r="I26770" s="4" t="str">
        <v/>
      </c>
    </row>
    <row r="26771" spans="5:9" ht="16.5" hidden="1">
      <c r="E26771" s="4" t="str">
        <v/>
      </c>
      <c r="F26771" s="102" t="str">
        <f ca="1">IFERROR(__xludf.DUMMYFUNCTION("IMPORTRANGE(H26771,""IDENTITAS UNIT!D9"")"),"#N/A")</f>
        <v>#N/A</v>
      </c>
      <c r="H26771" s="4" t="str">
        <v/>
      </c>
      <c r="I26771" s="4" t="str">
        <v/>
      </c>
    </row>
    <row r="26772" spans="5:9" ht="16.5" hidden="1">
      <c r="E26772" s="4" t="str">
        <v/>
      </c>
      <c r="F26772" s="102" t="str">
        <f ca="1">IFERROR(__xludf.DUMMYFUNCTION("IMPORTRANGE(H26772,""IDENTITAS UNIT!D9"")"),"#N/A")</f>
        <v>#N/A</v>
      </c>
      <c r="H26772" s="4" t="str">
        <v/>
      </c>
      <c r="I26772" s="4" t="str">
        <v/>
      </c>
    </row>
    <row r="26773" spans="5:9" ht="16.5" hidden="1">
      <c r="E26773" s="4" t="str">
        <v/>
      </c>
      <c r="F26773" s="102" t="str">
        <f ca="1">IFERROR(__xludf.DUMMYFUNCTION("IMPORTRANGE(H26773,""IDENTITAS UNIT!D9"")"),"#N/A")</f>
        <v>#N/A</v>
      </c>
      <c r="H26773" s="4" t="str">
        <v/>
      </c>
      <c r="I26773" s="4" t="str">
        <v/>
      </c>
    </row>
    <row r="26774" spans="5:9" ht="16.5" hidden="1">
      <c r="E26774" s="4" t="str">
        <v/>
      </c>
      <c r="F26774" s="102" t="str">
        <f ca="1">IFERROR(__xludf.DUMMYFUNCTION("IMPORTRANGE(H26774,""IDENTITAS UNIT!D9"")"),"#N/A")</f>
        <v>#N/A</v>
      </c>
      <c r="H26774" s="4" t="str">
        <v/>
      </c>
      <c r="I26774" s="4" t="str">
        <v/>
      </c>
    </row>
    <row r="26775" spans="5:9" ht="16.5" hidden="1">
      <c r="E26775" s="4" t="str">
        <v/>
      </c>
      <c r="F26775" s="102" t="str">
        <f ca="1">IFERROR(__xludf.DUMMYFUNCTION("IMPORTRANGE(H26775,""IDENTITAS UNIT!D9"")"),"#N/A")</f>
        <v>#N/A</v>
      </c>
      <c r="H26775" s="4" t="str">
        <v/>
      </c>
      <c r="I26775" s="4" t="str">
        <v/>
      </c>
    </row>
    <row r="26776" spans="5:9" ht="16.5" hidden="1">
      <c r="E26776" s="4" t="str">
        <v/>
      </c>
      <c r="F26776" s="102" t="str">
        <f ca="1">IFERROR(__xludf.DUMMYFUNCTION("IMPORTRANGE(H26776,""IDENTITAS UNIT!D9"")"),"#N/A")</f>
        <v>#N/A</v>
      </c>
      <c r="H26776" s="4" t="str">
        <v/>
      </c>
      <c r="I26776" s="4" t="str">
        <v/>
      </c>
    </row>
    <row r="26777" spans="5:9" ht="16.5" hidden="1">
      <c r="E26777" s="4" t="str">
        <v/>
      </c>
      <c r="F26777" s="102" t="str">
        <f ca="1">IFERROR(__xludf.DUMMYFUNCTION("IMPORTRANGE(H26777,""IDENTITAS UNIT!D9"")"),"#N/A")</f>
        <v>#N/A</v>
      </c>
      <c r="H26777" s="4" t="str">
        <v/>
      </c>
      <c r="I26777" s="4" t="str">
        <v/>
      </c>
    </row>
    <row r="26778" spans="5:9" ht="16.5" hidden="1">
      <c r="E26778" s="4" t="str">
        <v/>
      </c>
      <c r="F26778" s="102" t="str">
        <f ca="1">IFERROR(__xludf.DUMMYFUNCTION("IMPORTRANGE(H26778,""IDENTITAS UNIT!D9"")"),"#N/A")</f>
        <v>#N/A</v>
      </c>
      <c r="H26778" s="4" t="str">
        <v/>
      </c>
      <c r="I26778" s="4" t="str">
        <v/>
      </c>
    </row>
    <row r="26779" spans="5:9" ht="16.5" hidden="1">
      <c r="E26779" s="4" t="str">
        <v/>
      </c>
      <c r="F26779" s="102" t="str">
        <f ca="1">IFERROR(__xludf.DUMMYFUNCTION("IMPORTRANGE(H26779,""IDENTITAS UNIT!D9"")"),"#N/A")</f>
        <v>#N/A</v>
      </c>
      <c r="H26779" s="4" t="str">
        <v/>
      </c>
      <c r="I26779" s="4" t="str">
        <v/>
      </c>
    </row>
    <row r="26780" spans="5:9" ht="16.5" hidden="1">
      <c r="E26780" s="4" t="str">
        <v/>
      </c>
      <c r="F26780" s="102" t="str">
        <f ca="1">IFERROR(__xludf.DUMMYFUNCTION("IMPORTRANGE(H26780,""IDENTITAS UNIT!D9"")"),"#N/A")</f>
        <v>#N/A</v>
      </c>
      <c r="H26780" s="4" t="str">
        <v/>
      </c>
      <c r="I26780" s="4" t="str">
        <v/>
      </c>
    </row>
    <row r="26781" spans="5:9" ht="16.5" hidden="1">
      <c r="E26781" s="4" t="str">
        <v/>
      </c>
      <c r="F26781" s="102" t="str">
        <f ca="1">IFERROR(__xludf.DUMMYFUNCTION("IMPORTRANGE(H26781,""IDENTITAS UNIT!D9"")"),"#N/A")</f>
        <v>#N/A</v>
      </c>
      <c r="H26781" s="4" t="str">
        <v/>
      </c>
      <c r="I26781" s="4" t="str">
        <v/>
      </c>
    </row>
    <row r="26782" spans="5:9" ht="16.5" hidden="1">
      <c r="E26782" s="4" t="str">
        <v/>
      </c>
      <c r="F26782" s="102" t="str">
        <f ca="1">IFERROR(__xludf.DUMMYFUNCTION("IMPORTRANGE(H26782,""IDENTITAS UNIT!D9"")"),"#N/A")</f>
        <v>#N/A</v>
      </c>
      <c r="H26782" s="4" t="str">
        <v/>
      </c>
      <c r="I26782" s="4" t="str">
        <v/>
      </c>
    </row>
    <row r="26783" spans="5:9" ht="16.5" hidden="1">
      <c r="E26783" s="4" t="str">
        <v/>
      </c>
      <c r="F26783" s="102" t="str">
        <f ca="1">IFERROR(__xludf.DUMMYFUNCTION("IMPORTRANGE(H26783,""IDENTITAS UNIT!D9"")"),"#N/A")</f>
        <v>#N/A</v>
      </c>
      <c r="H26783" s="4" t="str">
        <v/>
      </c>
      <c r="I26783" s="4" t="str">
        <v/>
      </c>
    </row>
    <row r="26784" spans="5:9" ht="16.5" hidden="1">
      <c r="E26784" s="4" t="str">
        <v/>
      </c>
      <c r="F26784" s="102" t="str">
        <f ca="1">IFERROR(__xludf.DUMMYFUNCTION("IMPORTRANGE(H26784,""IDENTITAS UNIT!D9"")"),"#N/A")</f>
        <v>#N/A</v>
      </c>
      <c r="H26784" s="4" t="str">
        <v/>
      </c>
      <c r="I26784" s="4" t="str">
        <v/>
      </c>
    </row>
    <row r="26785" spans="5:9" ht="16.5" hidden="1">
      <c r="E26785" s="4" t="str">
        <v/>
      </c>
      <c r="F26785" s="102" t="str">
        <f ca="1">IFERROR(__xludf.DUMMYFUNCTION("IMPORTRANGE(H26785,""IDENTITAS UNIT!D9"")"),"#N/A")</f>
        <v>#N/A</v>
      </c>
      <c r="H26785" s="4" t="str">
        <v/>
      </c>
      <c r="I26785" s="4" t="str">
        <v/>
      </c>
    </row>
    <row r="26786" spans="5:9" ht="16.5" hidden="1">
      <c r="E26786" s="4" t="str">
        <v/>
      </c>
      <c r="F26786" s="102" t="str">
        <f ca="1">IFERROR(__xludf.DUMMYFUNCTION("IMPORTRANGE(H26786,""IDENTITAS UNIT!D9"")"),"#N/A")</f>
        <v>#N/A</v>
      </c>
      <c r="H26786" s="4" t="str">
        <v/>
      </c>
      <c r="I26786" s="4" t="str">
        <v/>
      </c>
    </row>
    <row r="26787" spans="5:9" ht="16.5" hidden="1">
      <c r="E26787" s="4" t="str">
        <v/>
      </c>
      <c r="F26787" s="102" t="str">
        <f ca="1">IFERROR(__xludf.DUMMYFUNCTION("IMPORTRANGE(H26787,""IDENTITAS UNIT!D9"")"),"#N/A")</f>
        <v>#N/A</v>
      </c>
      <c r="H26787" s="4" t="str">
        <v/>
      </c>
      <c r="I26787" s="4" t="str">
        <v/>
      </c>
    </row>
    <row r="26788" spans="5:9" ht="16.5" hidden="1">
      <c r="E26788" s="4" t="str">
        <v/>
      </c>
      <c r="F26788" s="102" t="str">
        <f ca="1">IFERROR(__xludf.DUMMYFUNCTION("IMPORTRANGE(H26788,""IDENTITAS UNIT!D9"")"),"#N/A")</f>
        <v>#N/A</v>
      </c>
      <c r="H26788" s="4" t="str">
        <v/>
      </c>
      <c r="I26788" s="4" t="str">
        <v/>
      </c>
    </row>
    <row r="26789" spans="5:9" ht="16.5" hidden="1">
      <c r="E26789" s="4" t="str">
        <v/>
      </c>
      <c r="F26789" s="102" t="str">
        <f ca="1">IFERROR(__xludf.DUMMYFUNCTION("IMPORTRANGE(H26789,""IDENTITAS UNIT!D9"")"),"#N/A")</f>
        <v>#N/A</v>
      </c>
      <c r="H26789" s="4" t="str">
        <v/>
      </c>
      <c r="I26789" s="4" t="str">
        <v/>
      </c>
    </row>
    <row r="26790" spans="5:9" ht="16.5" hidden="1">
      <c r="E26790" s="4" t="str">
        <v/>
      </c>
      <c r="F26790" s="102" t="str">
        <f ca="1">IFERROR(__xludf.DUMMYFUNCTION("IMPORTRANGE(H26790,""IDENTITAS UNIT!D9"")"),"#N/A")</f>
        <v>#N/A</v>
      </c>
      <c r="H26790" s="4" t="str">
        <v/>
      </c>
      <c r="I26790" s="4" t="str">
        <v/>
      </c>
    </row>
    <row r="26791" spans="5:9" ht="16.5" hidden="1">
      <c r="E26791" s="4" t="str">
        <v/>
      </c>
      <c r="F26791" s="102" t="str">
        <f ca="1">IFERROR(__xludf.DUMMYFUNCTION("IMPORTRANGE(H26791,""IDENTITAS UNIT!D9"")"),"#N/A")</f>
        <v>#N/A</v>
      </c>
      <c r="H26791" s="4" t="str">
        <v/>
      </c>
      <c r="I26791" s="4" t="str">
        <v/>
      </c>
    </row>
    <row r="26792" spans="5:9" ht="16.5" hidden="1">
      <c r="E26792" s="4" t="str">
        <v/>
      </c>
      <c r="F26792" s="102" t="str">
        <f ca="1">IFERROR(__xludf.DUMMYFUNCTION("IMPORTRANGE(H26792,""IDENTITAS UNIT!D9"")"),"#N/A")</f>
        <v>#N/A</v>
      </c>
      <c r="H26792" s="4" t="str">
        <v/>
      </c>
      <c r="I26792" s="4" t="str">
        <v/>
      </c>
    </row>
    <row r="26793" spans="5:9" ht="16.5" hidden="1">
      <c r="E26793" s="4" t="str">
        <v/>
      </c>
      <c r="F26793" s="102" t="str">
        <f ca="1">IFERROR(__xludf.DUMMYFUNCTION("IMPORTRANGE(H26793,""IDENTITAS UNIT!D9"")"),"#N/A")</f>
        <v>#N/A</v>
      </c>
      <c r="H26793" s="4" t="str">
        <v/>
      </c>
      <c r="I26793" s="4" t="str">
        <v/>
      </c>
    </row>
    <row r="26794" spans="5:9" ht="16.5" hidden="1">
      <c r="E26794" s="4" t="str">
        <v/>
      </c>
      <c r="F26794" s="102" t="str">
        <f ca="1">IFERROR(__xludf.DUMMYFUNCTION("IMPORTRANGE(H26794,""IDENTITAS UNIT!D9"")"),"#N/A")</f>
        <v>#N/A</v>
      </c>
      <c r="H26794" s="4" t="str">
        <v/>
      </c>
      <c r="I26794" s="4" t="str">
        <v/>
      </c>
    </row>
    <row r="26795" spans="5:9" ht="16.5" hidden="1">
      <c r="E26795" s="4" t="str">
        <v/>
      </c>
      <c r="F26795" s="102" t="str">
        <f ca="1">IFERROR(__xludf.DUMMYFUNCTION("IMPORTRANGE(H26795,""IDENTITAS UNIT!D9"")"),"#N/A")</f>
        <v>#N/A</v>
      </c>
      <c r="H26795" s="4" t="str">
        <v/>
      </c>
      <c r="I26795" s="4" t="str">
        <v/>
      </c>
    </row>
    <row r="26796" spans="5:9" ht="16.5" hidden="1">
      <c r="E26796" s="4" t="str">
        <v/>
      </c>
      <c r="F26796" s="102" t="str">
        <f ca="1">IFERROR(__xludf.DUMMYFUNCTION("IMPORTRANGE(H26796,""IDENTITAS UNIT!D9"")"),"#N/A")</f>
        <v>#N/A</v>
      </c>
      <c r="H26796" s="4" t="str">
        <v/>
      </c>
      <c r="I26796" s="4" t="str">
        <v/>
      </c>
    </row>
    <row r="26797" spans="5:9" ht="16.5" hidden="1">
      <c r="E26797" s="4" t="str">
        <v/>
      </c>
      <c r="F26797" s="102" t="str">
        <f ca="1">IFERROR(__xludf.DUMMYFUNCTION("IMPORTRANGE(H26797,""IDENTITAS UNIT!D9"")"),"#N/A")</f>
        <v>#N/A</v>
      </c>
      <c r="H26797" s="4" t="str">
        <v/>
      </c>
      <c r="I26797" s="4" t="str">
        <v/>
      </c>
    </row>
    <row r="26798" spans="5:9" ht="16.5" hidden="1">
      <c r="E26798" s="4" t="str">
        <v/>
      </c>
      <c r="F26798" s="102" t="str">
        <f ca="1">IFERROR(__xludf.DUMMYFUNCTION("IMPORTRANGE(H26798,""IDENTITAS UNIT!D9"")"),"#N/A")</f>
        <v>#N/A</v>
      </c>
      <c r="H26798" s="4" t="str">
        <v/>
      </c>
      <c r="I26798" s="4" t="str">
        <v/>
      </c>
    </row>
    <row r="26799" spans="5:9" ht="16.5" hidden="1">
      <c r="E26799" s="4" t="str">
        <v/>
      </c>
      <c r="F26799" s="102" t="str">
        <f ca="1">IFERROR(__xludf.DUMMYFUNCTION("IMPORTRANGE(H26799,""IDENTITAS UNIT!D9"")"),"#N/A")</f>
        <v>#N/A</v>
      </c>
      <c r="H26799" s="4" t="str">
        <v/>
      </c>
      <c r="I26799" s="4" t="str">
        <v/>
      </c>
    </row>
    <row r="26800" spans="5:9" ht="16.5" hidden="1">
      <c r="E26800" s="4" t="str">
        <v/>
      </c>
      <c r="F26800" s="102" t="str">
        <f ca="1">IFERROR(__xludf.DUMMYFUNCTION("IMPORTRANGE(H26800,""IDENTITAS UNIT!D9"")"),"#N/A")</f>
        <v>#N/A</v>
      </c>
      <c r="H26800" s="4" t="str">
        <v/>
      </c>
      <c r="I26800" s="4" t="str">
        <v/>
      </c>
    </row>
    <row r="26801" spans="5:9" ht="16.5" hidden="1">
      <c r="E26801" s="4" t="str">
        <v/>
      </c>
      <c r="F26801" s="102" t="str">
        <f ca="1">IFERROR(__xludf.DUMMYFUNCTION("IMPORTRANGE(H26801,""IDENTITAS UNIT!D9"")"),"#N/A")</f>
        <v>#N/A</v>
      </c>
      <c r="H26801" s="4" t="str">
        <v/>
      </c>
      <c r="I26801" s="4" t="str">
        <v/>
      </c>
    </row>
    <row r="26802" spans="5:9" ht="16.5" hidden="1">
      <c r="E26802" s="4" t="str">
        <v/>
      </c>
      <c r="F26802" s="102" t="str">
        <f ca="1">IFERROR(__xludf.DUMMYFUNCTION("IMPORTRANGE(H26802,""IDENTITAS UNIT!D9"")"),"#N/A")</f>
        <v>#N/A</v>
      </c>
      <c r="H26802" s="4" t="str">
        <v/>
      </c>
      <c r="I26802" s="4" t="str">
        <v/>
      </c>
    </row>
    <row r="26803" spans="5:9" ht="16.5" hidden="1">
      <c r="E26803" s="4" t="str">
        <v/>
      </c>
      <c r="F26803" s="102" t="str">
        <f ca="1">IFERROR(__xludf.DUMMYFUNCTION("IMPORTRANGE(H26803,""IDENTITAS UNIT!D9"")"),"#N/A")</f>
        <v>#N/A</v>
      </c>
      <c r="H26803" s="4" t="str">
        <v/>
      </c>
      <c r="I26803" s="4" t="str">
        <v/>
      </c>
    </row>
    <row r="26804" spans="5:9" ht="16.5" hidden="1">
      <c r="E26804" s="4" t="str">
        <v/>
      </c>
      <c r="F26804" s="102" t="str">
        <f ca="1">IFERROR(__xludf.DUMMYFUNCTION("IMPORTRANGE(H26804,""IDENTITAS UNIT!D9"")"),"#N/A")</f>
        <v>#N/A</v>
      </c>
      <c r="H26804" s="4" t="str">
        <v/>
      </c>
      <c r="I26804" s="4" t="str">
        <v/>
      </c>
    </row>
    <row r="26805" spans="5:9" ht="16.5" hidden="1">
      <c r="E26805" s="4" t="str">
        <v/>
      </c>
      <c r="F26805" s="102" t="str">
        <f ca="1">IFERROR(__xludf.DUMMYFUNCTION("IMPORTRANGE(H26805,""IDENTITAS UNIT!D9"")"),"#N/A")</f>
        <v>#N/A</v>
      </c>
      <c r="H26805" s="4" t="str">
        <v/>
      </c>
      <c r="I26805" s="4" t="str">
        <v/>
      </c>
    </row>
    <row r="26806" spans="5:9" ht="16.5" hidden="1">
      <c r="E26806" s="4" t="str">
        <v/>
      </c>
      <c r="F26806" s="102" t="str">
        <f ca="1">IFERROR(__xludf.DUMMYFUNCTION("IMPORTRANGE(H26806,""IDENTITAS UNIT!D9"")"),"#N/A")</f>
        <v>#N/A</v>
      </c>
      <c r="H26806" s="4" t="str">
        <v/>
      </c>
      <c r="I26806" s="4" t="str">
        <v/>
      </c>
    </row>
    <row r="26807" spans="5:9" ht="16.5" hidden="1">
      <c r="E26807" s="4" t="str">
        <v/>
      </c>
      <c r="F26807" s="102" t="str">
        <f ca="1">IFERROR(__xludf.DUMMYFUNCTION("IMPORTRANGE(H26807,""IDENTITAS UNIT!D9"")"),"#N/A")</f>
        <v>#N/A</v>
      </c>
      <c r="H26807" s="4" t="str">
        <v/>
      </c>
      <c r="I26807" s="4" t="str">
        <v/>
      </c>
    </row>
    <row r="26808" spans="5:9" ht="16.5" hidden="1">
      <c r="E26808" s="4" t="str">
        <v/>
      </c>
      <c r="F26808" s="102" t="str">
        <f ca="1">IFERROR(__xludf.DUMMYFUNCTION("IMPORTRANGE(H26808,""IDENTITAS UNIT!D9"")"),"#N/A")</f>
        <v>#N/A</v>
      </c>
      <c r="H26808" s="4" t="str">
        <v/>
      </c>
      <c r="I26808" s="4" t="str">
        <v/>
      </c>
    </row>
    <row r="26809" spans="5:9" ht="16.5" hidden="1">
      <c r="E26809" s="4" t="str">
        <v/>
      </c>
      <c r="F26809" s="102" t="str">
        <f ca="1">IFERROR(__xludf.DUMMYFUNCTION("IMPORTRANGE(H26809,""IDENTITAS UNIT!D9"")"),"#N/A")</f>
        <v>#N/A</v>
      </c>
      <c r="H26809" s="4" t="str">
        <v/>
      </c>
      <c r="I26809" s="4" t="str">
        <v/>
      </c>
    </row>
    <row r="26810" spans="5:9" ht="16.5" hidden="1">
      <c r="E26810" s="4" t="str">
        <v/>
      </c>
      <c r="F26810" s="102" t="str">
        <f ca="1">IFERROR(__xludf.DUMMYFUNCTION("IMPORTRANGE(H26810,""IDENTITAS UNIT!D9"")"),"#N/A")</f>
        <v>#N/A</v>
      </c>
      <c r="H26810" s="4" t="str">
        <v/>
      </c>
      <c r="I26810" s="4" t="str">
        <v/>
      </c>
    </row>
    <row r="26811" spans="5:9" ht="16.5" hidden="1">
      <c r="E26811" s="4" t="str">
        <v/>
      </c>
      <c r="F26811" s="102" t="str">
        <f ca="1">IFERROR(__xludf.DUMMYFUNCTION("IMPORTRANGE(H26811,""IDENTITAS UNIT!D9"")"),"#N/A")</f>
        <v>#N/A</v>
      </c>
      <c r="H26811" s="4" t="str">
        <v/>
      </c>
      <c r="I26811" s="4" t="str">
        <v/>
      </c>
    </row>
    <row r="26812" spans="5:9" ht="16.5" hidden="1">
      <c r="E26812" s="4" t="str">
        <v/>
      </c>
      <c r="F26812" s="102" t="str">
        <f ca="1">IFERROR(__xludf.DUMMYFUNCTION("IMPORTRANGE(H26812,""IDENTITAS UNIT!D9"")"),"#N/A")</f>
        <v>#N/A</v>
      </c>
      <c r="H26812" s="4" t="str">
        <v/>
      </c>
      <c r="I26812" s="4" t="str">
        <v/>
      </c>
    </row>
    <row r="26813" spans="5:9" ht="16.5" hidden="1">
      <c r="E26813" s="4" t="str">
        <v/>
      </c>
      <c r="F26813" s="102" t="str">
        <f ca="1">IFERROR(__xludf.DUMMYFUNCTION("IMPORTRANGE(H26813,""IDENTITAS UNIT!D9"")"),"#N/A")</f>
        <v>#N/A</v>
      </c>
      <c r="H26813" s="4" t="str">
        <v/>
      </c>
      <c r="I26813" s="4" t="str">
        <v/>
      </c>
    </row>
    <row r="26814" spans="5:9" ht="16.5" hidden="1">
      <c r="E26814" s="4" t="str">
        <v/>
      </c>
      <c r="F26814" s="102" t="str">
        <f ca="1">IFERROR(__xludf.DUMMYFUNCTION("IMPORTRANGE(H26814,""IDENTITAS UNIT!D9"")"),"#N/A")</f>
        <v>#N/A</v>
      </c>
      <c r="H26814" s="4" t="str">
        <v/>
      </c>
      <c r="I26814" s="4" t="str">
        <v/>
      </c>
    </row>
    <row r="26815" spans="5:9" ht="16.5" hidden="1">
      <c r="E26815" s="4" t="str">
        <v/>
      </c>
      <c r="F26815" s="102" t="str">
        <f ca="1">IFERROR(__xludf.DUMMYFUNCTION("IMPORTRANGE(H26815,""IDENTITAS UNIT!D9"")"),"#N/A")</f>
        <v>#N/A</v>
      </c>
      <c r="H26815" s="4" t="str">
        <v/>
      </c>
      <c r="I26815" s="4" t="str">
        <v/>
      </c>
    </row>
    <row r="26816" spans="5:9" ht="16.5" hidden="1">
      <c r="E26816" s="4" t="str">
        <v/>
      </c>
      <c r="F26816" s="102" t="str">
        <f ca="1">IFERROR(__xludf.DUMMYFUNCTION("IMPORTRANGE(H26816,""IDENTITAS UNIT!D9"")"),"#N/A")</f>
        <v>#N/A</v>
      </c>
      <c r="H26816" s="4" t="str">
        <v/>
      </c>
      <c r="I26816" s="4" t="str">
        <v/>
      </c>
    </row>
    <row r="26817" spans="5:9" ht="16.5" hidden="1">
      <c r="E26817" s="4" t="str">
        <v/>
      </c>
      <c r="F26817" s="102" t="str">
        <f ca="1">IFERROR(__xludf.DUMMYFUNCTION("IMPORTRANGE(H26817,""IDENTITAS UNIT!D9"")"),"#N/A")</f>
        <v>#N/A</v>
      </c>
      <c r="H26817" s="4" t="str">
        <v/>
      </c>
      <c r="I26817" s="4" t="str">
        <v/>
      </c>
    </row>
    <row r="26818" spans="5:9" ht="16.5" hidden="1">
      <c r="E26818" s="4" t="str">
        <v/>
      </c>
      <c r="F26818" s="102" t="str">
        <f ca="1">IFERROR(__xludf.DUMMYFUNCTION("IMPORTRANGE(H26818,""IDENTITAS UNIT!D9"")"),"#N/A")</f>
        <v>#N/A</v>
      </c>
      <c r="H26818" s="4" t="str">
        <v/>
      </c>
      <c r="I26818" s="4" t="str">
        <v/>
      </c>
    </row>
    <row r="26819" spans="5:9" ht="16.5" hidden="1">
      <c r="E26819" s="4" t="str">
        <v/>
      </c>
      <c r="F26819" s="102" t="str">
        <f ca="1">IFERROR(__xludf.DUMMYFUNCTION("IMPORTRANGE(H26819,""IDENTITAS UNIT!D9"")"),"#N/A")</f>
        <v>#N/A</v>
      </c>
      <c r="H26819" s="4" t="str">
        <v/>
      </c>
      <c r="I26819" s="4" t="str">
        <v/>
      </c>
    </row>
    <row r="26820" spans="5:9" ht="16.5" hidden="1">
      <c r="E26820" s="4" t="str">
        <v/>
      </c>
      <c r="F26820" s="102" t="str">
        <f ca="1">IFERROR(__xludf.DUMMYFUNCTION("IMPORTRANGE(H26820,""IDENTITAS UNIT!D9"")"),"#N/A")</f>
        <v>#N/A</v>
      </c>
      <c r="H26820" s="4" t="str">
        <v/>
      </c>
      <c r="I26820" s="4" t="str">
        <v/>
      </c>
    </row>
    <row r="26821" spans="5:9" ht="16.5" hidden="1">
      <c r="E26821" s="4" t="str">
        <v/>
      </c>
      <c r="F26821" s="102" t="str">
        <f ca="1">IFERROR(__xludf.DUMMYFUNCTION("IMPORTRANGE(H26821,""IDENTITAS UNIT!D9"")"),"#N/A")</f>
        <v>#N/A</v>
      </c>
      <c r="H26821" s="4" t="str">
        <v/>
      </c>
      <c r="I26821" s="4" t="str">
        <v/>
      </c>
    </row>
    <row r="26822" spans="5:9" ht="16.5" hidden="1">
      <c r="E26822" s="4" t="str">
        <v/>
      </c>
      <c r="F26822" s="102" t="str">
        <f ca="1">IFERROR(__xludf.DUMMYFUNCTION("IMPORTRANGE(H26822,""IDENTITAS UNIT!D9"")"),"#N/A")</f>
        <v>#N/A</v>
      </c>
      <c r="H26822" s="4" t="str">
        <v/>
      </c>
      <c r="I26822" s="4" t="str">
        <v/>
      </c>
    </row>
    <row r="26823" spans="5:9" ht="16.5" hidden="1">
      <c r="E26823" s="4" t="str">
        <v/>
      </c>
      <c r="F26823" s="102" t="str">
        <f ca="1">IFERROR(__xludf.DUMMYFUNCTION("IMPORTRANGE(H26823,""IDENTITAS UNIT!D9"")"),"#N/A")</f>
        <v>#N/A</v>
      </c>
      <c r="H26823" s="4" t="str">
        <v/>
      </c>
      <c r="I26823" s="4" t="str">
        <v/>
      </c>
    </row>
    <row r="26824" spans="5:9" ht="16.5" hidden="1">
      <c r="E26824" s="4" t="str">
        <v/>
      </c>
      <c r="F26824" s="102" t="str">
        <f ca="1">IFERROR(__xludf.DUMMYFUNCTION("IMPORTRANGE(H26824,""IDENTITAS UNIT!D9"")"),"#N/A")</f>
        <v>#N/A</v>
      </c>
      <c r="H26824" s="4" t="str">
        <v/>
      </c>
      <c r="I26824" s="4" t="str">
        <v/>
      </c>
    </row>
    <row r="26825" spans="5:9" ht="16.5" hidden="1">
      <c r="E26825" s="4" t="str">
        <v/>
      </c>
      <c r="F26825" s="102" t="str">
        <f ca="1">IFERROR(__xludf.DUMMYFUNCTION("IMPORTRANGE(H26825,""IDENTITAS UNIT!D9"")"),"#N/A")</f>
        <v>#N/A</v>
      </c>
      <c r="H26825" s="4" t="str">
        <v/>
      </c>
      <c r="I26825" s="4" t="str">
        <v/>
      </c>
    </row>
    <row r="26826" spans="5:9" ht="16.5" hidden="1">
      <c r="E26826" s="4" t="str">
        <v/>
      </c>
      <c r="F26826" s="102" t="str">
        <f ca="1">IFERROR(__xludf.DUMMYFUNCTION("IMPORTRANGE(H26826,""IDENTITAS UNIT!D9"")"),"#N/A")</f>
        <v>#N/A</v>
      </c>
      <c r="H26826" s="4" t="str">
        <v/>
      </c>
      <c r="I26826" s="4" t="str">
        <v/>
      </c>
    </row>
    <row r="26827" spans="5:9" ht="16.5" hidden="1">
      <c r="E26827" s="4" t="str">
        <v/>
      </c>
      <c r="F26827" s="102" t="str">
        <f ca="1">IFERROR(__xludf.DUMMYFUNCTION("IMPORTRANGE(H26827,""IDENTITAS UNIT!D9"")"),"#N/A")</f>
        <v>#N/A</v>
      </c>
      <c r="H26827" s="4" t="str">
        <v/>
      </c>
      <c r="I26827" s="4" t="str">
        <v/>
      </c>
    </row>
    <row r="26828" spans="5:9" ht="16.5" hidden="1">
      <c r="E26828" s="4" t="str">
        <v/>
      </c>
      <c r="F26828" s="102" t="str">
        <f ca="1">IFERROR(__xludf.DUMMYFUNCTION("IMPORTRANGE(H26828,""IDENTITAS UNIT!D9"")"),"#N/A")</f>
        <v>#N/A</v>
      </c>
      <c r="H26828" s="4" t="str">
        <v/>
      </c>
      <c r="I26828" s="4" t="str">
        <v/>
      </c>
    </row>
    <row r="26829" spans="5:9" ht="16.5" hidden="1">
      <c r="E26829" s="4" t="str">
        <v/>
      </c>
      <c r="F26829" s="102" t="str">
        <f ca="1">IFERROR(__xludf.DUMMYFUNCTION("IMPORTRANGE(H26829,""IDENTITAS UNIT!D9"")"),"#N/A")</f>
        <v>#N/A</v>
      </c>
      <c r="H26829" s="4" t="str">
        <v/>
      </c>
      <c r="I26829" s="4" t="str">
        <v/>
      </c>
    </row>
    <row r="26830" spans="5:9" ht="16.5" hidden="1">
      <c r="E26830" s="4" t="str">
        <v/>
      </c>
      <c r="F26830" s="102" t="str">
        <f ca="1">IFERROR(__xludf.DUMMYFUNCTION("IMPORTRANGE(H26830,""IDENTITAS UNIT!D9"")"),"#N/A")</f>
        <v>#N/A</v>
      </c>
      <c r="H26830" s="4" t="str">
        <v/>
      </c>
      <c r="I26830" s="4" t="str">
        <v/>
      </c>
    </row>
    <row r="26831" spans="5:9" ht="16.5" hidden="1">
      <c r="E26831" s="4" t="str">
        <v/>
      </c>
      <c r="F26831" s="102" t="str">
        <f ca="1">IFERROR(__xludf.DUMMYFUNCTION("IMPORTRANGE(H26831,""IDENTITAS UNIT!D9"")"),"#N/A")</f>
        <v>#N/A</v>
      </c>
      <c r="H26831" s="4" t="str">
        <v/>
      </c>
      <c r="I26831" s="4" t="str">
        <v/>
      </c>
    </row>
    <row r="26832" spans="5:9" ht="16.5" hidden="1">
      <c r="E26832" s="4" t="str">
        <v/>
      </c>
      <c r="F26832" s="102" t="str">
        <f ca="1">IFERROR(__xludf.DUMMYFUNCTION("IMPORTRANGE(H26832,""IDENTITAS UNIT!D9"")"),"#N/A")</f>
        <v>#N/A</v>
      </c>
      <c r="H26832" s="4" t="str">
        <v/>
      </c>
      <c r="I26832" s="4" t="str">
        <v/>
      </c>
    </row>
    <row r="26833" spans="5:9" ht="16.5" hidden="1">
      <c r="E26833" s="4" t="str">
        <v/>
      </c>
      <c r="F26833" s="102" t="str">
        <f ca="1">IFERROR(__xludf.DUMMYFUNCTION("IMPORTRANGE(H26833,""IDENTITAS UNIT!D9"")"),"#N/A")</f>
        <v>#N/A</v>
      </c>
      <c r="H26833" s="4" t="str">
        <v/>
      </c>
      <c r="I26833" s="4" t="str">
        <v/>
      </c>
    </row>
    <row r="26834" spans="5:9" ht="16.5" hidden="1">
      <c r="E26834" s="4" t="str">
        <v/>
      </c>
      <c r="F26834" s="102" t="str">
        <f ca="1">IFERROR(__xludf.DUMMYFUNCTION("IMPORTRANGE(H26834,""IDENTITAS UNIT!D9"")"),"#N/A")</f>
        <v>#N/A</v>
      </c>
      <c r="H26834" s="4" t="str">
        <v/>
      </c>
      <c r="I26834" s="4" t="str">
        <v/>
      </c>
    </row>
    <row r="26835" spans="5:9" ht="16.5" hidden="1">
      <c r="E26835" s="4" t="str">
        <v/>
      </c>
      <c r="F26835" s="102" t="str">
        <f ca="1">IFERROR(__xludf.DUMMYFUNCTION("IMPORTRANGE(H26835,""IDENTITAS UNIT!D9"")"),"#N/A")</f>
        <v>#N/A</v>
      </c>
      <c r="H26835" s="4" t="str">
        <v/>
      </c>
      <c r="I26835" s="4" t="str">
        <v/>
      </c>
    </row>
    <row r="26836" spans="5:9" ht="16.5" hidden="1">
      <c r="E26836" s="4" t="str">
        <v/>
      </c>
      <c r="F26836" s="102" t="str">
        <f ca="1">IFERROR(__xludf.DUMMYFUNCTION("IMPORTRANGE(H26836,""IDENTITAS UNIT!D9"")"),"#N/A")</f>
        <v>#N/A</v>
      </c>
      <c r="H26836" s="4" t="str">
        <v/>
      </c>
      <c r="I26836" s="4" t="str">
        <v/>
      </c>
    </row>
    <row r="26837" spans="5:9" ht="16.5" hidden="1">
      <c r="E26837" s="4" t="str">
        <v/>
      </c>
      <c r="F26837" s="102" t="str">
        <f ca="1">IFERROR(__xludf.DUMMYFUNCTION("IMPORTRANGE(H26837,""IDENTITAS UNIT!D9"")"),"#N/A")</f>
        <v>#N/A</v>
      </c>
      <c r="H26837" s="4" t="str">
        <v/>
      </c>
      <c r="I26837" s="4" t="str">
        <v/>
      </c>
    </row>
    <row r="26838" spans="5:9" ht="16.5" hidden="1">
      <c r="E26838" s="4" t="str">
        <v/>
      </c>
      <c r="F26838" s="102" t="str">
        <f ca="1">IFERROR(__xludf.DUMMYFUNCTION("IMPORTRANGE(H26838,""IDENTITAS UNIT!D9"")"),"#N/A")</f>
        <v>#N/A</v>
      </c>
      <c r="H26838" s="4" t="str">
        <v/>
      </c>
      <c r="I26838" s="4" t="str">
        <v/>
      </c>
    </row>
    <row r="26839" spans="5:9" ht="16.5" hidden="1">
      <c r="E26839" s="4" t="str">
        <v/>
      </c>
      <c r="F26839" s="102" t="str">
        <f ca="1">IFERROR(__xludf.DUMMYFUNCTION("IMPORTRANGE(H26839,""IDENTITAS UNIT!D9"")"),"#N/A")</f>
        <v>#N/A</v>
      </c>
      <c r="H26839" s="4" t="str">
        <v/>
      </c>
      <c r="I26839" s="4" t="str">
        <v/>
      </c>
    </row>
    <row r="26840" spans="5:9" ht="16.5" hidden="1">
      <c r="E26840" s="4" t="str">
        <v/>
      </c>
      <c r="F26840" s="102" t="str">
        <f ca="1">IFERROR(__xludf.DUMMYFUNCTION("IMPORTRANGE(H26840,""IDENTITAS UNIT!D9"")"),"#N/A")</f>
        <v>#N/A</v>
      </c>
      <c r="H26840" s="4" t="str">
        <v/>
      </c>
      <c r="I26840" s="4" t="str">
        <v/>
      </c>
    </row>
    <row r="26841" spans="5:9" ht="16.5" hidden="1">
      <c r="E26841" s="4" t="str">
        <v/>
      </c>
      <c r="F26841" s="102" t="str">
        <f ca="1">IFERROR(__xludf.DUMMYFUNCTION("IMPORTRANGE(H26841,""IDENTITAS UNIT!D9"")"),"#N/A")</f>
        <v>#N/A</v>
      </c>
      <c r="H26841" s="4" t="str">
        <v/>
      </c>
      <c r="I26841" s="4" t="str">
        <v/>
      </c>
    </row>
    <row r="26842" spans="5:9" ht="16.5" hidden="1">
      <c r="E26842" s="4" t="str">
        <v/>
      </c>
      <c r="F26842" s="102" t="str">
        <f ca="1">IFERROR(__xludf.DUMMYFUNCTION("IMPORTRANGE(H26842,""IDENTITAS UNIT!D9"")"),"#N/A")</f>
        <v>#N/A</v>
      </c>
      <c r="H26842" s="4" t="str">
        <v/>
      </c>
      <c r="I26842" s="4" t="str">
        <v/>
      </c>
    </row>
    <row r="26843" spans="5:9" ht="16.5" hidden="1">
      <c r="E26843" s="4" t="str">
        <v/>
      </c>
      <c r="F26843" s="102" t="str">
        <f ca="1">IFERROR(__xludf.DUMMYFUNCTION("IMPORTRANGE(H26843,""IDENTITAS UNIT!D9"")"),"#N/A")</f>
        <v>#N/A</v>
      </c>
      <c r="H26843" s="4" t="str">
        <v/>
      </c>
      <c r="I26843" s="4" t="str">
        <v/>
      </c>
    </row>
    <row r="26844" spans="5:9" ht="16.5" hidden="1">
      <c r="E26844" s="4" t="str">
        <v/>
      </c>
      <c r="F26844" s="102" t="str">
        <f ca="1">IFERROR(__xludf.DUMMYFUNCTION("IMPORTRANGE(H26844,""IDENTITAS UNIT!D9"")"),"#N/A")</f>
        <v>#N/A</v>
      </c>
      <c r="H26844" s="4" t="str">
        <v/>
      </c>
      <c r="I26844" s="4" t="str">
        <v/>
      </c>
    </row>
    <row r="26845" spans="5:9" ht="16.5" hidden="1">
      <c r="E26845" s="4" t="str">
        <v/>
      </c>
      <c r="F26845" s="102" t="str">
        <f ca="1">IFERROR(__xludf.DUMMYFUNCTION("IMPORTRANGE(H26845,""IDENTITAS UNIT!D9"")"),"#N/A")</f>
        <v>#N/A</v>
      </c>
      <c r="H26845" s="4" t="str">
        <v/>
      </c>
      <c r="I26845" s="4" t="str">
        <v/>
      </c>
    </row>
    <row r="26846" spans="5:9" ht="16.5" hidden="1">
      <c r="E26846" s="4" t="str">
        <v/>
      </c>
      <c r="F26846" s="102" t="str">
        <f ca="1">IFERROR(__xludf.DUMMYFUNCTION("IMPORTRANGE(H26846,""IDENTITAS UNIT!D9"")"),"#N/A")</f>
        <v>#N/A</v>
      </c>
      <c r="H26846" s="4" t="str">
        <v/>
      </c>
      <c r="I26846" s="4" t="str">
        <v/>
      </c>
    </row>
    <row r="26847" spans="5:9" ht="16.5" hidden="1">
      <c r="E26847" s="4" t="str">
        <v/>
      </c>
      <c r="F26847" s="102" t="str">
        <f ca="1">IFERROR(__xludf.DUMMYFUNCTION("IMPORTRANGE(H26847,""IDENTITAS UNIT!D9"")"),"#N/A")</f>
        <v>#N/A</v>
      </c>
      <c r="H26847" s="4" t="str">
        <v/>
      </c>
      <c r="I26847" s="4" t="str">
        <v/>
      </c>
    </row>
    <row r="26848" spans="5:9" ht="16.5" hidden="1">
      <c r="E26848" s="4" t="str">
        <v/>
      </c>
      <c r="F26848" s="102" t="str">
        <f ca="1">IFERROR(__xludf.DUMMYFUNCTION("IMPORTRANGE(H26848,""IDENTITAS UNIT!D9"")"),"#N/A")</f>
        <v>#N/A</v>
      </c>
      <c r="H26848" s="4" t="str">
        <v/>
      </c>
      <c r="I26848" s="4" t="str">
        <v/>
      </c>
    </row>
    <row r="26849" spans="5:9" ht="16.5" hidden="1">
      <c r="E26849" s="4" t="str">
        <v/>
      </c>
      <c r="F26849" s="102" t="str">
        <f ca="1">IFERROR(__xludf.DUMMYFUNCTION("IMPORTRANGE(H26849,""IDENTITAS UNIT!D9"")"),"#N/A")</f>
        <v>#N/A</v>
      </c>
      <c r="H26849" s="4" t="str">
        <v/>
      </c>
      <c r="I26849" s="4" t="str">
        <v/>
      </c>
    </row>
    <row r="26850" spans="5:9" ht="16.5" hidden="1">
      <c r="E26850" s="4" t="str">
        <v/>
      </c>
      <c r="F26850" s="102" t="str">
        <f ca="1">IFERROR(__xludf.DUMMYFUNCTION("IMPORTRANGE(H26850,""IDENTITAS UNIT!D9"")"),"#N/A")</f>
        <v>#N/A</v>
      </c>
      <c r="H26850" s="4" t="str">
        <v/>
      </c>
      <c r="I26850" s="4" t="str">
        <v/>
      </c>
    </row>
    <row r="26851" spans="5:9" ht="16.5" hidden="1">
      <c r="E26851" s="4" t="str">
        <v/>
      </c>
      <c r="F26851" s="102" t="str">
        <f ca="1">IFERROR(__xludf.DUMMYFUNCTION("IMPORTRANGE(H26851,""IDENTITAS UNIT!D9"")"),"#N/A")</f>
        <v>#N/A</v>
      </c>
      <c r="H26851" s="4" t="str">
        <v/>
      </c>
      <c r="I26851" s="4" t="str">
        <v/>
      </c>
    </row>
    <row r="26852" spans="5:9" ht="16.5" hidden="1">
      <c r="E26852" s="4" t="str">
        <v/>
      </c>
      <c r="F26852" s="102" t="str">
        <f ca="1">IFERROR(__xludf.DUMMYFUNCTION("IMPORTRANGE(H26852,""IDENTITAS UNIT!D9"")"),"#N/A")</f>
        <v>#N/A</v>
      </c>
      <c r="H26852" s="4" t="str">
        <v/>
      </c>
      <c r="I26852" s="4" t="str">
        <v/>
      </c>
    </row>
    <row r="26853" spans="5:9" ht="16.5" hidden="1">
      <c r="E26853" s="4" t="str">
        <v/>
      </c>
      <c r="F26853" s="102" t="str">
        <f ca="1">IFERROR(__xludf.DUMMYFUNCTION("IMPORTRANGE(H26853,""IDENTITAS UNIT!D9"")"),"#N/A")</f>
        <v>#N/A</v>
      </c>
      <c r="H26853" s="4" t="str">
        <v/>
      </c>
      <c r="I26853" s="4" t="str">
        <v/>
      </c>
    </row>
    <row r="26854" spans="5:9" ht="16.5" hidden="1">
      <c r="E26854" s="4" t="str">
        <v/>
      </c>
      <c r="F26854" s="102" t="str">
        <f ca="1">IFERROR(__xludf.DUMMYFUNCTION("IMPORTRANGE(H26854,""IDENTITAS UNIT!D9"")"),"#N/A")</f>
        <v>#N/A</v>
      </c>
      <c r="H26854" s="4" t="str">
        <v/>
      </c>
      <c r="I26854" s="4" t="str">
        <v/>
      </c>
    </row>
    <row r="26855" spans="5:9" ht="16.5" hidden="1">
      <c r="E26855" s="4" t="str">
        <v/>
      </c>
      <c r="F26855" s="102" t="str">
        <f ca="1">IFERROR(__xludf.DUMMYFUNCTION("IMPORTRANGE(H26855,""IDENTITAS UNIT!D9"")"),"#N/A")</f>
        <v>#N/A</v>
      </c>
      <c r="H26855" s="4" t="str">
        <v/>
      </c>
      <c r="I26855" s="4" t="str">
        <v/>
      </c>
    </row>
    <row r="26856" spans="5:9" ht="16.5" hidden="1">
      <c r="E26856" s="4" t="str">
        <v/>
      </c>
      <c r="F26856" s="102" t="str">
        <f ca="1">IFERROR(__xludf.DUMMYFUNCTION("IMPORTRANGE(H26856,""IDENTITAS UNIT!D9"")"),"#N/A")</f>
        <v>#N/A</v>
      </c>
      <c r="H26856" s="4" t="str">
        <v/>
      </c>
      <c r="I26856" s="4" t="str">
        <v/>
      </c>
    </row>
    <row r="26857" spans="5:9" ht="16.5" hidden="1">
      <c r="E26857" s="4" t="str">
        <v/>
      </c>
      <c r="F26857" s="102" t="str">
        <f ca="1">IFERROR(__xludf.DUMMYFUNCTION("IMPORTRANGE(H26857,""IDENTITAS UNIT!D9"")"),"#N/A")</f>
        <v>#N/A</v>
      </c>
      <c r="H26857" s="4" t="str">
        <v/>
      </c>
      <c r="I26857" s="4" t="str">
        <v/>
      </c>
    </row>
    <row r="26858" spans="5:9" ht="16.5" hidden="1">
      <c r="E26858" s="4" t="str">
        <v/>
      </c>
      <c r="F26858" s="102" t="str">
        <f ca="1">IFERROR(__xludf.DUMMYFUNCTION("IMPORTRANGE(H26858,""IDENTITAS UNIT!D9"")"),"#N/A")</f>
        <v>#N/A</v>
      </c>
      <c r="H26858" s="4" t="str">
        <v/>
      </c>
      <c r="I26858" s="4" t="str">
        <v/>
      </c>
    </row>
    <row r="26859" spans="5:9" ht="16.5" hidden="1">
      <c r="E26859" s="4" t="str">
        <v/>
      </c>
      <c r="F26859" s="102" t="str">
        <f ca="1">IFERROR(__xludf.DUMMYFUNCTION("IMPORTRANGE(H26859,""IDENTITAS UNIT!D9"")"),"#N/A")</f>
        <v>#N/A</v>
      </c>
      <c r="H26859" s="4" t="str">
        <v/>
      </c>
      <c r="I26859" s="4" t="str">
        <v/>
      </c>
    </row>
    <row r="26860" spans="5:9" ht="16.5" hidden="1">
      <c r="E26860" s="4" t="str">
        <v/>
      </c>
      <c r="F26860" s="102" t="str">
        <f ca="1">IFERROR(__xludf.DUMMYFUNCTION("IMPORTRANGE(H26860,""IDENTITAS UNIT!D9"")"),"#N/A")</f>
        <v>#N/A</v>
      </c>
      <c r="H26860" s="4" t="str">
        <v/>
      </c>
      <c r="I26860" s="4" t="str">
        <v/>
      </c>
    </row>
    <row r="26861" spans="5:9" ht="16.5" hidden="1">
      <c r="E26861" s="4" t="str">
        <v/>
      </c>
      <c r="F26861" s="102" t="str">
        <f ca="1">IFERROR(__xludf.DUMMYFUNCTION("IMPORTRANGE(H26861,""IDENTITAS UNIT!D9"")"),"#N/A")</f>
        <v>#N/A</v>
      </c>
      <c r="H26861" s="4" t="str">
        <v/>
      </c>
      <c r="I26861" s="4" t="str">
        <v/>
      </c>
    </row>
    <row r="26862" spans="5:9" ht="16.5" hidden="1">
      <c r="E26862" s="4" t="str">
        <v/>
      </c>
      <c r="F26862" s="102" t="str">
        <f ca="1">IFERROR(__xludf.DUMMYFUNCTION("IMPORTRANGE(H26862,""IDENTITAS UNIT!D9"")"),"#N/A")</f>
        <v>#N/A</v>
      </c>
      <c r="H26862" s="4" t="str">
        <v/>
      </c>
      <c r="I26862" s="4" t="str">
        <v/>
      </c>
    </row>
    <row r="26863" spans="5:9" ht="16.5" hidden="1">
      <c r="E26863" s="4" t="str">
        <v/>
      </c>
      <c r="F26863" s="102" t="str">
        <f ca="1">IFERROR(__xludf.DUMMYFUNCTION("IMPORTRANGE(H26863,""IDENTITAS UNIT!D9"")"),"#N/A")</f>
        <v>#N/A</v>
      </c>
      <c r="H26863" s="4" t="str">
        <v/>
      </c>
      <c r="I26863" s="4" t="str">
        <v/>
      </c>
    </row>
    <row r="26864" spans="5:9" ht="16.5" hidden="1">
      <c r="E26864" s="4" t="str">
        <v/>
      </c>
      <c r="F26864" s="102" t="str">
        <f ca="1">IFERROR(__xludf.DUMMYFUNCTION("IMPORTRANGE(H26864,""IDENTITAS UNIT!D9"")"),"#N/A")</f>
        <v>#N/A</v>
      </c>
      <c r="H26864" s="4" t="str">
        <v/>
      </c>
      <c r="I26864" s="4" t="str">
        <v/>
      </c>
    </row>
    <row r="26865" spans="5:9" ht="16.5" hidden="1">
      <c r="E26865" s="4" t="str">
        <v/>
      </c>
      <c r="F26865" s="102" t="str">
        <f ca="1">IFERROR(__xludf.DUMMYFUNCTION("IMPORTRANGE(H26865,""IDENTITAS UNIT!D9"")"),"#N/A")</f>
        <v>#N/A</v>
      </c>
      <c r="H26865" s="4" t="str">
        <v/>
      </c>
      <c r="I26865" s="4" t="str">
        <v/>
      </c>
    </row>
    <row r="26866" spans="5:9" ht="16.5" hidden="1">
      <c r="E26866" s="4" t="str">
        <v/>
      </c>
      <c r="F26866" s="102" t="str">
        <f ca="1">IFERROR(__xludf.DUMMYFUNCTION("IMPORTRANGE(H26866,""IDENTITAS UNIT!D9"")"),"#N/A")</f>
        <v>#N/A</v>
      </c>
      <c r="H26866" s="4" t="str">
        <v/>
      </c>
      <c r="I26866" s="4" t="str">
        <v/>
      </c>
    </row>
    <row r="26867" spans="5:9" ht="16.5" hidden="1">
      <c r="E26867" s="4" t="str">
        <v/>
      </c>
      <c r="F26867" s="102" t="str">
        <f ca="1">IFERROR(__xludf.DUMMYFUNCTION("IMPORTRANGE(H26867,""IDENTITAS UNIT!D9"")"),"#N/A")</f>
        <v>#N/A</v>
      </c>
      <c r="H26867" s="4" t="str">
        <v/>
      </c>
      <c r="I26867" s="4" t="str">
        <v/>
      </c>
    </row>
    <row r="26868" spans="5:9" ht="16.5" hidden="1">
      <c r="E26868" s="4" t="str">
        <v/>
      </c>
      <c r="F26868" s="102" t="str">
        <f ca="1">IFERROR(__xludf.DUMMYFUNCTION("IMPORTRANGE(H26868,""IDENTITAS UNIT!D9"")"),"#N/A")</f>
        <v>#N/A</v>
      </c>
      <c r="H26868" s="4" t="str">
        <v/>
      </c>
      <c r="I26868" s="4" t="str">
        <v/>
      </c>
    </row>
    <row r="26869" spans="5:9" ht="16.5" hidden="1">
      <c r="E26869" s="4" t="str">
        <v/>
      </c>
      <c r="F26869" s="102" t="str">
        <f ca="1">IFERROR(__xludf.DUMMYFUNCTION("IMPORTRANGE(H26869,""IDENTITAS UNIT!D9"")"),"#N/A")</f>
        <v>#N/A</v>
      </c>
      <c r="H26869" s="4" t="str">
        <v/>
      </c>
      <c r="I26869" s="4" t="str">
        <v/>
      </c>
    </row>
    <row r="26870" spans="5:9" ht="16.5" hidden="1">
      <c r="E26870" s="4" t="str">
        <v/>
      </c>
      <c r="F26870" s="102" t="str">
        <f ca="1">IFERROR(__xludf.DUMMYFUNCTION("IMPORTRANGE(H26870,""IDENTITAS UNIT!D9"")"),"#N/A")</f>
        <v>#N/A</v>
      </c>
      <c r="H26870" s="4" t="str">
        <v/>
      </c>
      <c r="I26870" s="4" t="str">
        <v/>
      </c>
    </row>
    <row r="26871" spans="5:9" ht="16.5" hidden="1">
      <c r="E26871" s="4" t="str">
        <v/>
      </c>
      <c r="F26871" s="102" t="str">
        <f ca="1">IFERROR(__xludf.DUMMYFUNCTION("IMPORTRANGE(H26871,""IDENTITAS UNIT!D9"")"),"#N/A")</f>
        <v>#N/A</v>
      </c>
      <c r="H26871" s="4" t="str">
        <v/>
      </c>
      <c r="I26871" s="4" t="str">
        <v/>
      </c>
    </row>
    <row r="26872" spans="5:9" ht="16.5" hidden="1">
      <c r="E26872" s="4" t="str">
        <v/>
      </c>
      <c r="F26872" s="102" t="str">
        <f ca="1">IFERROR(__xludf.DUMMYFUNCTION("IMPORTRANGE(H26872,""IDENTITAS UNIT!D9"")"),"#N/A")</f>
        <v>#N/A</v>
      </c>
      <c r="H26872" s="4" t="str">
        <v/>
      </c>
      <c r="I26872" s="4" t="str">
        <v/>
      </c>
    </row>
    <row r="26873" spans="5:9" ht="16.5" hidden="1">
      <c r="E26873" s="4" t="str">
        <v/>
      </c>
      <c r="F26873" s="102" t="str">
        <f ca="1">IFERROR(__xludf.DUMMYFUNCTION("IMPORTRANGE(H26873,""IDENTITAS UNIT!D9"")"),"#N/A")</f>
        <v>#N/A</v>
      </c>
      <c r="H26873" s="4" t="str">
        <v/>
      </c>
      <c r="I26873" s="4" t="str">
        <v/>
      </c>
    </row>
    <row r="26874" spans="5:9" ht="16.5" hidden="1">
      <c r="E26874" s="4" t="str">
        <v/>
      </c>
      <c r="F26874" s="102" t="str">
        <f ca="1">IFERROR(__xludf.DUMMYFUNCTION("IMPORTRANGE(H26874,""IDENTITAS UNIT!D9"")"),"#N/A")</f>
        <v>#N/A</v>
      </c>
      <c r="H26874" s="4" t="str">
        <v/>
      </c>
      <c r="I26874" s="4" t="str">
        <v/>
      </c>
    </row>
    <row r="26875" spans="5:9" ht="16.5" hidden="1">
      <c r="E26875" s="4" t="str">
        <v/>
      </c>
      <c r="F26875" s="102" t="str">
        <f ca="1">IFERROR(__xludf.DUMMYFUNCTION("IMPORTRANGE(H26875,""IDENTITAS UNIT!D9"")"),"#N/A")</f>
        <v>#N/A</v>
      </c>
      <c r="H26875" s="4" t="str">
        <v/>
      </c>
      <c r="I26875" s="4" t="str">
        <v/>
      </c>
    </row>
    <row r="26876" spans="5:9" ht="16.5" hidden="1">
      <c r="E26876" s="4" t="str">
        <v/>
      </c>
      <c r="F26876" s="102" t="str">
        <f ca="1">IFERROR(__xludf.DUMMYFUNCTION("IMPORTRANGE(H26876,""IDENTITAS UNIT!D9"")"),"#N/A")</f>
        <v>#N/A</v>
      </c>
      <c r="H26876" s="4" t="str">
        <v/>
      </c>
      <c r="I26876" s="4" t="str">
        <v/>
      </c>
    </row>
    <row r="26877" spans="5:9" ht="16.5" hidden="1">
      <c r="E26877" s="4" t="str">
        <v/>
      </c>
      <c r="F26877" s="102" t="str">
        <f ca="1">IFERROR(__xludf.DUMMYFUNCTION("IMPORTRANGE(H26877,""IDENTITAS UNIT!D9"")"),"#N/A")</f>
        <v>#N/A</v>
      </c>
      <c r="H26877" s="4" t="str">
        <v/>
      </c>
      <c r="I26877" s="4" t="str">
        <v/>
      </c>
    </row>
    <row r="26878" spans="5:9" ht="16.5" hidden="1">
      <c r="E26878" s="4" t="str">
        <v/>
      </c>
      <c r="F26878" s="102" t="str">
        <f ca="1">IFERROR(__xludf.DUMMYFUNCTION("IMPORTRANGE(H26878,""IDENTITAS UNIT!D9"")"),"#N/A")</f>
        <v>#N/A</v>
      </c>
      <c r="H26878" s="4" t="str">
        <v/>
      </c>
      <c r="I26878" s="4" t="str">
        <v/>
      </c>
    </row>
    <row r="26879" spans="5:9" ht="16.5" hidden="1">
      <c r="E26879" s="4" t="str">
        <v/>
      </c>
      <c r="F26879" s="102" t="str">
        <f ca="1">IFERROR(__xludf.DUMMYFUNCTION("IMPORTRANGE(H26879,""IDENTITAS UNIT!D9"")"),"#N/A")</f>
        <v>#N/A</v>
      </c>
      <c r="H26879" s="4" t="str">
        <v/>
      </c>
      <c r="I26879" s="4" t="str">
        <v/>
      </c>
    </row>
    <row r="26880" spans="5:9" ht="16.5" hidden="1">
      <c r="E26880" s="4" t="str">
        <v/>
      </c>
      <c r="F26880" s="102" t="str">
        <f ca="1">IFERROR(__xludf.DUMMYFUNCTION("IMPORTRANGE(H26880,""IDENTITAS UNIT!D9"")"),"#N/A")</f>
        <v>#N/A</v>
      </c>
      <c r="H26880" s="4" t="str">
        <v/>
      </c>
      <c r="I26880" s="4" t="str">
        <v/>
      </c>
    </row>
    <row r="26881" spans="5:9" ht="16.5" hidden="1">
      <c r="E26881" s="4" t="str">
        <v/>
      </c>
      <c r="F26881" s="102" t="str">
        <f ca="1">IFERROR(__xludf.DUMMYFUNCTION("IMPORTRANGE(H26881,""IDENTITAS UNIT!D9"")"),"#N/A")</f>
        <v>#N/A</v>
      </c>
      <c r="H26881" s="4" t="str">
        <v/>
      </c>
      <c r="I26881" s="4" t="str">
        <v/>
      </c>
    </row>
    <row r="26882" spans="5:9" ht="16.5" hidden="1">
      <c r="E26882" s="4" t="str">
        <v/>
      </c>
      <c r="F26882" s="102" t="str">
        <f ca="1">IFERROR(__xludf.DUMMYFUNCTION("IMPORTRANGE(H26882,""IDENTITAS UNIT!D9"")"),"#N/A")</f>
        <v>#N/A</v>
      </c>
      <c r="H26882" s="4" t="str">
        <v/>
      </c>
      <c r="I26882" s="4" t="str">
        <v/>
      </c>
    </row>
    <row r="26883" spans="5:9" ht="16.5" hidden="1">
      <c r="E26883" s="4" t="str">
        <v/>
      </c>
      <c r="F26883" s="102" t="str">
        <f ca="1">IFERROR(__xludf.DUMMYFUNCTION("IMPORTRANGE(H26883,""IDENTITAS UNIT!D9"")"),"#N/A")</f>
        <v>#N/A</v>
      </c>
      <c r="H26883" s="4" t="str">
        <v/>
      </c>
      <c r="I26883" s="4" t="str">
        <v/>
      </c>
    </row>
    <row r="26884" spans="5:9" ht="16.5" hidden="1">
      <c r="E26884" s="4" t="str">
        <v/>
      </c>
      <c r="F26884" s="102" t="str">
        <f ca="1">IFERROR(__xludf.DUMMYFUNCTION("IMPORTRANGE(H26884,""IDENTITAS UNIT!D9"")"),"#N/A")</f>
        <v>#N/A</v>
      </c>
      <c r="H26884" s="4" t="str">
        <v/>
      </c>
      <c r="I26884" s="4" t="str">
        <v/>
      </c>
    </row>
    <row r="26885" spans="5:9" ht="16.5" hidden="1">
      <c r="E26885" s="4" t="str">
        <v/>
      </c>
      <c r="F26885" s="102" t="str">
        <f ca="1">IFERROR(__xludf.DUMMYFUNCTION("IMPORTRANGE(H26885,""IDENTITAS UNIT!D9"")"),"#N/A")</f>
        <v>#N/A</v>
      </c>
      <c r="H26885" s="4" t="str">
        <v/>
      </c>
      <c r="I26885" s="4" t="str">
        <v/>
      </c>
    </row>
    <row r="26886" spans="5:9" ht="16.5" hidden="1">
      <c r="E26886" s="4" t="str">
        <v/>
      </c>
      <c r="F26886" s="102" t="str">
        <f ca="1">IFERROR(__xludf.DUMMYFUNCTION("IMPORTRANGE(H26886,""IDENTITAS UNIT!D9"")"),"#N/A")</f>
        <v>#N/A</v>
      </c>
      <c r="H26886" s="4" t="str">
        <v/>
      </c>
      <c r="I26886" s="4" t="str">
        <v/>
      </c>
    </row>
    <row r="26887" spans="5:9" ht="16.5" hidden="1">
      <c r="E26887" s="4" t="str">
        <v/>
      </c>
      <c r="F26887" s="102" t="str">
        <f ca="1">IFERROR(__xludf.DUMMYFUNCTION("IMPORTRANGE(H26887,""IDENTITAS UNIT!D9"")"),"#N/A")</f>
        <v>#N/A</v>
      </c>
      <c r="H26887" s="4" t="str">
        <v/>
      </c>
      <c r="I26887" s="4" t="str">
        <v/>
      </c>
    </row>
    <row r="26888" spans="5:9" ht="16.5" hidden="1">
      <c r="E26888" s="4" t="str">
        <v/>
      </c>
      <c r="F26888" s="102" t="str">
        <f ca="1">IFERROR(__xludf.DUMMYFUNCTION("IMPORTRANGE(H26888,""IDENTITAS UNIT!D9"")"),"#N/A")</f>
        <v>#N/A</v>
      </c>
      <c r="H26888" s="4" t="str">
        <v/>
      </c>
      <c r="I26888" s="4" t="str">
        <v/>
      </c>
    </row>
    <row r="26889" spans="5:9" ht="16.5" hidden="1">
      <c r="E26889" s="4" t="str">
        <v/>
      </c>
      <c r="F26889" s="102" t="str">
        <f ca="1">IFERROR(__xludf.DUMMYFUNCTION("IMPORTRANGE(H26889,""IDENTITAS UNIT!D9"")"),"#N/A")</f>
        <v>#N/A</v>
      </c>
      <c r="H26889" s="4" t="str">
        <v/>
      </c>
      <c r="I26889" s="4" t="str">
        <v/>
      </c>
    </row>
    <row r="26890" spans="5:9" ht="16.5" hidden="1">
      <c r="E26890" s="4" t="str">
        <v/>
      </c>
      <c r="F26890" s="102" t="str">
        <f ca="1">IFERROR(__xludf.DUMMYFUNCTION("IMPORTRANGE(H26890,""IDENTITAS UNIT!D9"")"),"#N/A")</f>
        <v>#N/A</v>
      </c>
      <c r="H26890" s="4" t="str">
        <v/>
      </c>
      <c r="I26890" s="4" t="str">
        <v/>
      </c>
    </row>
    <row r="26891" spans="5:9" ht="16.5" hidden="1">
      <c r="E26891" s="4" t="str">
        <v/>
      </c>
      <c r="F26891" s="102" t="str">
        <f ca="1">IFERROR(__xludf.DUMMYFUNCTION("IMPORTRANGE(H26891,""IDENTITAS UNIT!D9"")"),"#N/A")</f>
        <v>#N/A</v>
      </c>
      <c r="H26891" s="4" t="str">
        <v/>
      </c>
      <c r="I26891" s="4" t="str">
        <v/>
      </c>
    </row>
    <row r="26892" spans="5:9" ht="16.5" hidden="1">
      <c r="E26892" s="4" t="str">
        <v/>
      </c>
      <c r="F26892" s="102" t="str">
        <f ca="1">IFERROR(__xludf.DUMMYFUNCTION("IMPORTRANGE(H26892,""IDENTITAS UNIT!D9"")"),"#N/A")</f>
        <v>#N/A</v>
      </c>
      <c r="H26892" s="4" t="str">
        <v/>
      </c>
      <c r="I26892" s="4" t="str">
        <v/>
      </c>
    </row>
    <row r="26893" spans="5:9" ht="16.5" hidden="1">
      <c r="E26893" s="4" t="str">
        <v/>
      </c>
      <c r="F26893" s="102" t="str">
        <f ca="1">IFERROR(__xludf.DUMMYFUNCTION("IMPORTRANGE(H26893,""IDENTITAS UNIT!D9"")"),"#N/A")</f>
        <v>#N/A</v>
      </c>
      <c r="H26893" s="4" t="str">
        <v/>
      </c>
      <c r="I26893" s="4" t="str">
        <v/>
      </c>
    </row>
    <row r="26894" spans="5:9" ht="16.5" hidden="1">
      <c r="E26894" s="4" t="str">
        <v/>
      </c>
      <c r="F26894" s="102" t="str">
        <f ca="1">IFERROR(__xludf.DUMMYFUNCTION("IMPORTRANGE(H26894,""IDENTITAS UNIT!D9"")"),"#N/A")</f>
        <v>#N/A</v>
      </c>
      <c r="H26894" s="4" t="str">
        <v/>
      </c>
      <c r="I26894" s="4" t="str">
        <v/>
      </c>
    </row>
    <row r="26895" spans="5:9" ht="16.5" hidden="1">
      <c r="E26895" s="4" t="str">
        <v/>
      </c>
      <c r="F26895" s="102" t="str">
        <f ca="1">IFERROR(__xludf.DUMMYFUNCTION("IMPORTRANGE(H26895,""IDENTITAS UNIT!D9"")"),"#N/A")</f>
        <v>#N/A</v>
      </c>
      <c r="H26895" s="4" t="str">
        <v/>
      </c>
      <c r="I26895" s="4" t="str">
        <v/>
      </c>
    </row>
    <row r="26896" spans="5:9" ht="16.5" hidden="1">
      <c r="E26896" s="4" t="str">
        <v/>
      </c>
      <c r="F26896" s="102" t="str">
        <f ca="1">IFERROR(__xludf.DUMMYFUNCTION("IMPORTRANGE(H26896,""IDENTITAS UNIT!D9"")"),"#N/A")</f>
        <v>#N/A</v>
      </c>
      <c r="H26896" s="4" t="str">
        <v/>
      </c>
      <c r="I26896" s="4" t="str">
        <v/>
      </c>
    </row>
    <row r="26897" spans="5:9" ht="16.5" hidden="1">
      <c r="E26897" s="4" t="str">
        <v/>
      </c>
      <c r="F26897" s="102" t="str">
        <f ca="1">IFERROR(__xludf.DUMMYFUNCTION("IMPORTRANGE(H26897,""IDENTITAS UNIT!D9"")"),"#N/A")</f>
        <v>#N/A</v>
      </c>
      <c r="H26897" s="4" t="str">
        <v/>
      </c>
      <c r="I26897" s="4" t="str">
        <v/>
      </c>
    </row>
    <row r="26898" spans="5:9" ht="16.5" hidden="1">
      <c r="E26898" s="4" t="str">
        <v/>
      </c>
      <c r="F26898" s="102" t="str">
        <f ca="1">IFERROR(__xludf.DUMMYFUNCTION("IMPORTRANGE(H26898,""IDENTITAS UNIT!D9"")"),"#N/A")</f>
        <v>#N/A</v>
      </c>
      <c r="H26898" s="4" t="str">
        <v/>
      </c>
      <c r="I26898" s="4" t="str">
        <v/>
      </c>
    </row>
    <row r="26899" spans="5:9" ht="16.5" hidden="1">
      <c r="E26899" s="4" t="str">
        <v/>
      </c>
      <c r="F26899" s="102" t="str">
        <f ca="1">IFERROR(__xludf.DUMMYFUNCTION("IMPORTRANGE(H26899,""IDENTITAS UNIT!D9"")"),"#N/A")</f>
        <v>#N/A</v>
      </c>
      <c r="H26899" s="4" t="str">
        <v/>
      </c>
      <c r="I26899" s="4" t="str">
        <v/>
      </c>
    </row>
    <row r="26900" spans="5:9" ht="16.5" hidden="1">
      <c r="E26900" s="4" t="str">
        <v/>
      </c>
      <c r="F26900" s="102" t="str">
        <f ca="1">IFERROR(__xludf.DUMMYFUNCTION("IMPORTRANGE(H26900,""IDENTITAS UNIT!D9"")"),"#N/A")</f>
        <v>#N/A</v>
      </c>
      <c r="H26900" s="4" t="str">
        <v/>
      </c>
      <c r="I26900" s="4" t="str">
        <v/>
      </c>
    </row>
    <row r="26901" spans="5:9" ht="16.5" hidden="1">
      <c r="E26901" s="4" t="str">
        <v/>
      </c>
      <c r="F26901" s="102" t="str">
        <f ca="1">IFERROR(__xludf.DUMMYFUNCTION("IMPORTRANGE(H26901,""IDENTITAS UNIT!D9"")"),"#N/A")</f>
        <v>#N/A</v>
      </c>
      <c r="H26901" s="4" t="str">
        <v/>
      </c>
      <c r="I26901" s="4" t="str">
        <v/>
      </c>
    </row>
    <row r="26902" spans="5:9" ht="16.5" hidden="1">
      <c r="E26902" s="4" t="str">
        <v/>
      </c>
      <c r="F26902" s="102" t="str">
        <f ca="1">IFERROR(__xludf.DUMMYFUNCTION("IMPORTRANGE(H26902,""IDENTITAS UNIT!D9"")"),"#N/A")</f>
        <v>#N/A</v>
      </c>
      <c r="H26902" s="4" t="str">
        <v/>
      </c>
      <c r="I26902" s="4" t="str">
        <v/>
      </c>
    </row>
    <row r="26903" spans="5:9" ht="16.5" hidden="1">
      <c r="E26903" s="4" t="str">
        <v/>
      </c>
      <c r="F26903" s="102" t="str">
        <f ca="1">IFERROR(__xludf.DUMMYFUNCTION("IMPORTRANGE(H26903,""IDENTITAS UNIT!D9"")"),"#N/A")</f>
        <v>#N/A</v>
      </c>
      <c r="H26903" s="4" t="str">
        <v/>
      </c>
      <c r="I26903" s="4" t="str">
        <v/>
      </c>
    </row>
    <row r="26904" spans="5:9" ht="16.5" hidden="1">
      <c r="E26904" s="4" t="str">
        <v/>
      </c>
      <c r="F26904" s="102" t="str">
        <f ca="1">IFERROR(__xludf.DUMMYFUNCTION("IMPORTRANGE(H26904,""IDENTITAS UNIT!D9"")"),"#N/A")</f>
        <v>#N/A</v>
      </c>
      <c r="H26904" s="4" t="str">
        <v/>
      </c>
      <c r="I26904" s="4" t="str">
        <v/>
      </c>
    </row>
    <row r="26905" spans="5:9" ht="16.5" hidden="1">
      <c r="E26905" s="4" t="str">
        <v/>
      </c>
      <c r="F26905" s="102" t="str">
        <f ca="1">IFERROR(__xludf.DUMMYFUNCTION("IMPORTRANGE(H26905,""IDENTITAS UNIT!D9"")"),"#N/A")</f>
        <v>#N/A</v>
      </c>
      <c r="H26905" s="4" t="str">
        <v/>
      </c>
      <c r="I26905" s="4" t="str">
        <v/>
      </c>
    </row>
    <row r="26906" spans="5:9" ht="16.5" hidden="1">
      <c r="E26906" s="4" t="str">
        <v/>
      </c>
      <c r="F26906" s="102" t="str">
        <f ca="1">IFERROR(__xludf.DUMMYFUNCTION("IMPORTRANGE(H26906,""IDENTITAS UNIT!D9"")"),"#N/A")</f>
        <v>#N/A</v>
      </c>
      <c r="H26906" s="4" t="str">
        <v/>
      </c>
      <c r="I26906" s="4" t="str">
        <v/>
      </c>
    </row>
    <row r="26907" spans="5:9" ht="16.5" hidden="1">
      <c r="E26907" s="4" t="str">
        <v/>
      </c>
      <c r="F26907" s="102" t="str">
        <f ca="1">IFERROR(__xludf.DUMMYFUNCTION("IMPORTRANGE(H26907,""IDENTITAS UNIT!D9"")"),"#N/A")</f>
        <v>#N/A</v>
      </c>
      <c r="H26907" s="4" t="str">
        <v/>
      </c>
      <c r="I26907" s="4" t="str">
        <v/>
      </c>
    </row>
    <row r="26908" spans="5:9" ht="16.5" hidden="1">
      <c r="E26908" s="4" t="str">
        <v/>
      </c>
      <c r="F26908" s="102" t="str">
        <f ca="1">IFERROR(__xludf.DUMMYFUNCTION("IMPORTRANGE(H26908,""IDENTITAS UNIT!D9"")"),"#N/A")</f>
        <v>#N/A</v>
      </c>
      <c r="H26908" s="4" t="str">
        <v/>
      </c>
      <c r="I26908" s="4" t="str">
        <v/>
      </c>
    </row>
    <row r="26909" spans="5:9" ht="16.5" hidden="1">
      <c r="E26909" s="4" t="str">
        <v/>
      </c>
      <c r="F26909" s="102" t="str">
        <f ca="1">IFERROR(__xludf.DUMMYFUNCTION("IMPORTRANGE(H26909,""IDENTITAS UNIT!D9"")"),"#N/A")</f>
        <v>#N/A</v>
      </c>
      <c r="H26909" s="4" t="str">
        <v/>
      </c>
      <c r="I26909" s="4" t="str">
        <v/>
      </c>
    </row>
    <row r="26910" spans="5:9" ht="16.5" hidden="1">
      <c r="E26910" s="4" t="str">
        <v/>
      </c>
      <c r="F26910" s="102" t="str">
        <f ca="1">IFERROR(__xludf.DUMMYFUNCTION("IMPORTRANGE(H26910,""IDENTITAS UNIT!D9"")"),"#N/A")</f>
        <v>#N/A</v>
      </c>
      <c r="H26910" s="4" t="str">
        <v/>
      </c>
      <c r="I26910" s="4" t="str">
        <v/>
      </c>
    </row>
    <row r="26911" spans="5:9" ht="16.5" hidden="1">
      <c r="E26911" s="4" t="str">
        <v/>
      </c>
      <c r="F26911" s="102" t="str">
        <f ca="1">IFERROR(__xludf.DUMMYFUNCTION("IMPORTRANGE(H26911,""IDENTITAS UNIT!D9"")"),"#N/A")</f>
        <v>#N/A</v>
      </c>
      <c r="H26911" s="4" t="str">
        <v/>
      </c>
      <c r="I26911" s="4" t="str">
        <v/>
      </c>
    </row>
    <row r="26912" spans="5:9" ht="16.5" hidden="1">
      <c r="E26912" s="4" t="str">
        <v/>
      </c>
      <c r="F26912" s="102" t="str">
        <f ca="1">IFERROR(__xludf.DUMMYFUNCTION("IMPORTRANGE(H26912,""IDENTITAS UNIT!D9"")"),"#N/A")</f>
        <v>#N/A</v>
      </c>
      <c r="H26912" s="4" t="str">
        <v/>
      </c>
      <c r="I26912" s="4" t="str">
        <v/>
      </c>
    </row>
    <row r="26913" spans="5:9" ht="16.5" hidden="1">
      <c r="E26913" s="4" t="str">
        <v/>
      </c>
      <c r="F26913" s="102" t="str">
        <f ca="1">IFERROR(__xludf.DUMMYFUNCTION("IMPORTRANGE(H26913,""IDENTITAS UNIT!D9"")"),"#N/A")</f>
        <v>#N/A</v>
      </c>
      <c r="H26913" s="4" t="str">
        <v/>
      </c>
      <c r="I26913" s="4" t="str">
        <v/>
      </c>
    </row>
    <row r="26914" spans="5:9" ht="16.5" hidden="1">
      <c r="E26914" s="4" t="str">
        <v/>
      </c>
      <c r="F26914" s="102" t="str">
        <f ca="1">IFERROR(__xludf.DUMMYFUNCTION("IMPORTRANGE(H26914,""IDENTITAS UNIT!D9"")"),"#N/A")</f>
        <v>#N/A</v>
      </c>
      <c r="H26914" s="4" t="str">
        <v/>
      </c>
      <c r="I26914" s="4" t="str">
        <v/>
      </c>
    </row>
    <row r="26915" spans="5:9" ht="16.5" hidden="1">
      <c r="E26915" s="4" t="str">
        <v/>
      </c>
      <c r="F26915" s="102" t="str">
        <f ca="1">IFERROR(__xludf.DUMMYFUNCTION("IMPORTRANGE(H26915,""IDENTITAS UNIT!D9"")"),"#N/A")</f>
        <v>#N/A</v>
      </c>
      <c r="H26915" s="4" t="str">
        <v/>
      </c>
      <c r="I26915" s="4" t="str">
        <v/>
      </c>
    </row>
    <row r="26916" spans="5:9" ht="16.5" hidden="1">
      <c r="E26916" s="4" t="str">
        <v/>
      </c>
      <c r="F26916" s="102" t="str">
        <f ca="1">IFERROR(__xludf.DUMMYFUNCTION("IMPORTRANGE(H26916,""IDENTITAS UNIT!D9"")"),"#N/A")</f>
        <v>#N/A</v>
      </c>
      <c r="H26916" s="4" t="str">
        <v/>
      </c>
      <c r="I26916" s="4" t="str">
        <v/>
      </c>
    </row>
    <row r="26917" spans="5:9" ht="16.5" hidden="1">
      <c r="E26917" s="4" t="str">
        <v/>
      </c>
      <c r="F26917" s="102" t="str">
        <f ca="1">IFERROR(__xludf.DUMMYFUNCTION("IMPORTRANGE(H26917,""IDENTITAS UNIT!D9"")"),"#N/A")</f>
        <v>#N/A</v>
      </c>
      <c r="H26917" s="4" t="str">
        <v/>
      </c>
      <c r="I26917" s="4" t="str">
        <v/>
      </c>
    </row>
    <row r="26918" spans="5:9" ht="16.5" hidden="1">
      <c r="E26918" s="4" t="str">
        <v/>
      </c>
      <c r="F26918" s="102" t="str">
        <f ca="1">IFERROR(__xludf.DUMMYFUNCTION("IMPORTRANGE(H26918,""IDENTITAS UNIT!D9"")"),"#N/A")</f>
        <v>#N/A</v>
      </c>
      <c r="H26918" s="4" t="str">
        <v/>
      </c>
      <c r="I26918" s="4" t="str">
        <v/>
      </c>
    </row>
    <row r="26919" spans="5:9" ht="16.5" hidden="1">
      <c r="E26919" s="4" t="str">
        <v/>
      </c>
      <c r="F26919" s="102" t="str">
        <f ca="1">IFERROR(__xludf.DUMMYFUNCTION("IMPORTRANGE(H26919,""IDENTITAS UNIT!D9"")"),"#N/A")</f>
        <v>#N/A</v>
      </c>
      <c r="H26919" s="4" t="str">
        <v/>
      </c>
      <c r="I26919" s="4" t="str">
        <v/>
      </c>
    </row>
    <row r="26920" spans="5:9" ht="16.5" hidden="1">
      <c r="E26920" s="4" t="str">
        <v/>
      </c>
      <c r="F26920" s="102" t="str">
        <f ca="1">IFERROR(__xludf.DUMMYFUNCTION("IMPORTRANGE(H26920,""IDENTITAS UNIT!D9"")"),"#N/A")</f>
        <v>#N/A</v>
      </c>
      <c r="H26920" s="4" t="str">
        <v/>
      </c>
      <c r="I26920" s="4" t="str">
        <v/>
      </c>
    </row>
    <row r="26921" spans="5:9" ht="16.5" hidden="1">
      <c r="E26921" s="4" t="str">
        <v/>
      </c>
      <c r="F26921" s="102" t="str">
        <f ca="1">IFERROR(__xludf.DUMMYFUNCTION("IMPORTRANGE(H26921,""IDENTITAS UNIT!D9"")"),"#N/A")</f>
        <v>#N/A</v>
      </c>
      <c r="H26921" s="4" t="str">
        <v/>
      </c>
      <c r="I26921" s="4" t="str">
        <v/>
      </c>
    </row>
    <row r="26922" spans="5:9" ht="16.5" hidden="1">
      <c r="E26922" s="4" t="str">
        <v/>
      </c>
      <c r="F26922" s="102" t="str">
        <f ca="1">IFERROR(__xludf.DUMMYFUNCTION("IMPORTRANGE(H26922,""IDENTITAS UNIT!D9"")"),"#N/A")</f>
        <v>#N/A</v>
      </c>
      <c r="H26922" s="4" t="str">
        <v/>
      </c>
      <c r="I26922" s="4" t="str">
        <v/>
      </c>
    </row>
    <row r="26923" spans="5:9" ht="16.5" hidden="1">
      <c r="E26923" s="4" t="str">
        <v/>
      </c>
      <c r="F26923" s="102" t="str">
        <f ca="1">IFERROR(__xludf.DUMMYFUNCTION("IMPORTRANGE(H26923,""IDENTITAS UNIT!D9"")"),"#N/A")</f>
        <v>#N/A</v>
      </c>
      <c r="H26923" s="4" t="str">
        <v/>
      </c>
      <c r="I26923" s="4" t="str">
        <v/>
      </c>
    </row>
    <row r="26924" spans="5:9" ht="16.5" hidden="1">
      <c r="E26924" s="4" t="str">
        <v/>
      </c>
      <c r="F26924" s="102" t="str">
        <f ca="1">IFERROR(__xludf.DUMMYFUNCTION("IMPORTRANGE(H26924,""IDENTITAS UNIT!D9"")"),"#N/A")</f>
        <v>#N/A</v>
      </c>
      <c r="H26924" s="4" t="str">
        <v/>
      </c>
      <c r="I26924" s="4" t="str">
        <v/>
      </c>
    </row>
    <row r="26925" spans="5:9" ht="16.5" hidden="1">
      <c r="E26925" s="4" t="str">
        <v/>
      </c>
      <c r="F26925" s="102" t="str">
        <f ca="1">IFERROR(__xludf.DUMMYFUNCTION("IMPORTRANGE(H26925,""IDENTITAS UNIT!D9"")"),"#N/A")</f>
        <v>#N/A</v>
      </c>
      <c r="H26925" s="4" t="str">
        <v/>
      </c>
      <c r="I26925" s="4" t="str">
        <v/>
      </c>
    </row>
    <row r="26926" spans="5:9" ht="16.5" hidden="1">
      <c r="E26926" s="4" t="str">
        <v/>
      </c>
      <c r="F26926" s="102" t="str">
        <f ca="1">IFERROR(__xludf.DUMMYFUNCTION("IMPORTRANGE(H26926,""IDENTITAS UNIT!D9"")"),"#N/A")</f>
        <v>#N/A</v>
      </c>
      <c r="H26926" s="4" t="str">
        <v/>
      </c>
      <c r="I26926" s="4" t="str">
        <v/>
      </c>
    </row>
    <row r="26927" spans="5:9" ht="16.5" hidden="1">
      <c r="E26927" s="4" t="str">
        <v/>
      </c>
      <c r="F26927" s="102" t="str">
        <f ca="1">IFERROR(__xludf.DUMMYFUNCTION("IMPORTRANGE(H26927,""IDENTITAS UNIT!D9"")"),"#N/A")</f>
        <v>#N/A</v>
      </c>
      <c r="H26927" s="4" t="str">
        <v/>
      </c>
      <c r="I26927" s="4" t="str">
        <v/>
      </c>
    </row>
    <row r="26928" spans="5:9" ht="16.5" hidden="1">
      <c r="E26928" s="4" t="str">
        <v/>
      </c>
      <c r="F26928" s="102" t="str">
        <f ca="1">IFERROR(__xludf.DUMMYFUNCTION("IMPORTRANGE(H26928,""IDENTITAS UNIT!D9"")"),"#N/A")</f>
        <v>#N/A</v>
      </c>
      <c r="H26928" s="4" t="str">
        <v/>
      </c>
      <c r="I26928" s="4" t="str">
        <v/>
      </c>
    </row>
    <row r="26929" spans="5:9" ht="16.5" hidden="1">
      <c r="E26929" s="4" t="str">
        <v/>
      </c>
      <c r="F26929" s="102" t="str">
        <f ca="1">IFERROR(__xludf.DUMMYFUNCTION("IMPORTRANGE(H26929,""IDENTITAS UNIT!D9"")"),"#N/A")</f>
        <v>#N/A</v>
      </c>
      <c r="H26929" s="4" t="str">
        <v/>
      </c>
      <c r="I26929" s="4" t="str">
        <v/>
      </c>
    </row>
    <row r="26930" spans="5:9" ht="16.5" hidden="1">
      <c r="E26930" s="4" t="str">
        <v/>
      </c>
      <c r="F26930" s="102" t="str">
        <f ca="1">IFERROR(__xludf.DUMMYFUNCTION("IMPORTRANGE(H26930,""IDENTITAS UNIT!D9"")"),"#N/A")</f>
        <v>#N/A</v>
      </c>
      <c r="H26930" s="4" t="str">
        <v/>
      </c>
      <c r="I26930" s="4" t="str">
        <v/>
      </c>
    </row>
    <row r="26931" spans="5:9" ht="16.5" hidden="1">
      <c r="E26931" s="4" t="str">
        <v/>
      </c>
      <c r="F26931" s="102" t="str">
        <f ca="1">IFERROR(__xludf.DUMMYFUNCTION("IMPORTRANGE(H26931,""IDENTITAS UNIT!D9"")"),"#N/A")</f>
        <v>#N/A</v>
      </c>
      <c r="H26931" s="4" t="str">
        <v/>
      </c>
      <c r="I26931" s="4" t="str">
        <v/>
      </c>
    </row>
    <row r="26932" spans="5:9" ht="16.5" hidden="1">
      <c r="E26932" s="4" t="str">
        <v/>
      </c>
      <c r="F26932" s="102" t="str">
        <f ca="1">IFERROR(__xludf.DUMMYFUNCTION("IMPORTRANGE(H26932,""IDENTITAS UNIT!D9"")"),"#N/A")</f>
        <v>#N/A</v>
      </c>
      <c r="H26932" s="4" t="str">
        <v/>
      </c>
      <c r="I26932" s="4" t="str">
        <v/>
      </c>
    </row>
    <row r="26933" spans="5:9" ht="16.5" hidden="1">
      <c r="E26933" s="4" t="str">
        <v/>
      </c>
      <c r="F26933" s="102" t="str">
        <f ca="1">IFERROR(__xludf.DUMMYFUNCTION("IMPORTRANGE(H26933,""IDENTITAS UNIT!D9"")"),"#N/A")</f>
        <v>#N/A</v>
      </c>
      <c r="H26933" s="4" t="str">
        <v/>
      </c>
      <c r="I26933" s="4" t="str">
        <v/>
      </c>
    </row>
    <row r="26934" spans="5:9" ht="16.5" hidden="1">
      <c r="E26934" s="4" t="str">
        <v/>
      </c>
      <c r="F26934" s="102" t="str">
        <f ca="1">IFERROR(__xludf.DUMMYFUNCTION("IMPORTRANGE(H26934,""IDENTITAS UNIT!D9"")"),"#N/A")</f>
        <v>#N/A</v>
      </c>
      <c r="H26934" s="4" t="str">
        <v/>
      </c>
      <c r="I26934" s="4" t="str">
        <v/>
      </c>
    </row>
    <row r="26935" spans="5:9" ht="16.5" hidden="1">
      <c r="E26935" s="4" t="str">
        <v/>
      </c>
      <c r="F26935" s="102" t="str">
        <f ca="1">IFERROR(__xludf.DUMMYFUNCTION("IMPORTRANGE(H26935,""IDENTITAS UNIT!D9"")"),"#N/A")</f>
        <v>#N/A</v>
      </c>
      <c r="H26935" s="4" t="str">
        <v/>
      </c>
      <c r="I26935" s="4" t="str">
        <v/>
      </c>
    </row>
    <row r="26936" spans="5:9" ht="16.5" hidden="1">
      <c r="E26936" s="4" t="str">
        <v/>
      </c>
      <c r="F26936" s="102" t="str">
        <f ca="1">IFERROR(__xludf.DUMMYFUNCTION("IMPORTRANGE(H26936,""IDENTITAS UNIT!D9"")"),"#N/A")</f>
        <v>#N/A</v>
      </c>
      <c r="H26936" s="4" t="str">
        <v/>
      </c>
      <c r="I26936" s="4" t="str">
        <v/>
      </c>
    </row>
    <row r="26937" spans="5:9" ht="16.5" hidden="1">
      <c r="E26937" s="4" t="str">
        <v/>
      </c>
      <c r="F26937" s="102" t="str">
        <f ca="1">IFERROR(__xludf.DUMMYFUNCTION("IMPORTRANGE(H26937,""IDENTITAS UNIT!D9"")"),"#N/A")</f>
        <v>#N/A</v>
      </c>
      <c r="H26937" s="4" t="str">
        <v/>
      </c>
      <c r="I26937" s="4" t="str">
        <v/>
      </c>
    </row>
    <row r="26938" spans="5:9" ht="16.5" hidden="1">
      <c r="E26938" s="4" t="str">
        <v/>
      </c>
      <c r="F26938" s="102" t="str">
        <f ca="1">IFERROR(__xludf.DUMMYFUNCTION("IMPORTRANGE(H26938,""IDENTITAS UNIT!D9"")"),"#N/A")</f>
        <v>#N/A</v>
      </c>
      <c r="H26938" s="4" t="str">
        <v/>
      </c>
      <c r="I26938" s="4" t="str">
        <v/>
      </c>
    </row>
    <row r="26939" spans="5:9" ht="16.5" hidden="1">
      <c r="E26939" s="4" t="str">
        <v/>
      </c>
      <c r="F26939" s="102" t="str">
        <f ca="1">IFERROR(__xludf.DUMMYFUNCTION("IMPORTRANGE(H26939,""IDENTITAS UNIT!D9"")"),"#N/A")</f>
        <v>#N/A</v>
      </c>
      <c r="H26939" s="4" t="str">
        <v/>
      </c>
      <c r="I26939" s="4" t="str">
        <v/>
      </c>
    </row>
    <row r="26940" spans="5:9" ht="16.5" hidden="1">
      <c r="E26940" s="4" t="str">
        <v/>
      </c>
      <c r="F26940" s="102" t="str">
        <f ca="1">IFERROR(__xludf.DUMMYFUNCTION("IMPORTRANGE(H26940,""IDENTITAS UNIT!D9"")"),"#N/A")</f>
        <v>#N/A</v>
      </c>
      <c r="H26940" s="4" t="str">
        <v/>
      </c>
      <c r="I26940" s="4" t="str">
        <v/>
      </c>
    </row>
    <row r="26941" spans="5:9" ht="16.5" hidden="1">
      <c r="E26941" s="4" t="str">
        <v/>
      </c>
      <c r="F26941" s="102" t="str">
        <f ca="1">IFERROR(__xludf.DUMMYFUNCTION("IMPORTRANGE(H26941,""IDENTITAS UNIT!D9"")"),"#N/A")</f>
        <v>#N/A</v>
      </c>
      <c r="H26941" s="4" t="str">
        <v/>
      </c>
      <c r="I26941" s="4" t="str">
        <v/>
      </c>
    </row>
    <row r="26942" spans="5:9" ht="16.5" hidden="1">
      <c r="E26942" s="4" t="str">
        <v/>
      </c>
      <c r="F26942" s="102" t="str">
        <f ca="1">IFERROR(__xludf.DUMMYFUNCTION("IMPORTRANGE(H26942,""IDENTITAS UNIT!D9"")"),"#N/A")</f>
        <v>#N/A</v>
      </c>
      <c r="H26942" s="4" t="str">
        <v/>
      </c>
      <c r="I26942" s="4" t="str">
        <v/>
      </c>
    </row>
    <row r="26943" spans="5:9" ht="16.5" hidden="1">
      <c r="E26943" s="4" t="str">
        <v/>
      </c>
      <c r="F26943" s="102" t="str">
        <f ca="1">IFERROR(__xludf.DUMMYFUNCTION("IMPORTRANGE(H26943,""IDENTITAS UNIT!D9"")"),"#N/A")</f>
        <v>#N/A</v>
      </c>
      <c r="H26943" s="4" t="str">
        <v/>
      </c>
      <c r="I26943" s="4" t="str">
        <v/>
      </c>
    </row>
    <row r="26944" spans="5:9" ht="16.5" hidden="1">
      <c r="E26944" s="4" t="str">
        <v/>
      </c>
      <c r="F26944" s="102" t="str">
        <f ca="1">IFERROR(__xludf.DUMMYFUNCTION("IMPORTRANGE(H26944,""IDENTITAS UNIT!D9"")"),"#N/A")</f>
        <v>#N/A</v>
      </c>
      <c r="H26944" s="4" t="str">
        <v/>
      </c>
      <c r="I26944" s="4" t="str">
        <v/>
      </c>
    </row>
    <row r="26945" spans="5:9" ht="16.5" hidden="1">
      <c r="E26945" s="4" t="str">
        <v/>
      </c>
      <c r="F26945" s="102" t="str">
        <f ca="1">IFERROR(__xludf.DUMMYFUNCTION("IMPORTRANGE(H26945,""IDENTITAS UNIT!D9"")"),"#N/A")</f>
        <v>#N/A</v>
      </c>
      <c r="H26945" s="4" t="str">
        <v/>
      </c>
      <c r="I26945" s="4" t="str">
        <v/>
      </c>
    </row>
    <row r="26946" spans="5:9" ht="16.5" hidden="1">
      <c r="E26946" s="4" t="str">
        <v/>
      </c>
      <c r="F26946" s="102" t="str">
        <f ca="1">IFERROR(__xludf.DUMMYFUNCTION("IMPORTRANGE(H26946,""IDENTITAS UNIT!D9"")"),"#N/A")</f>
        <v>#N/A</v>
      </c>
      <c r="H26946" s="4" t="str">
        <v/>
      </c>
      <c r="I26946" s="4" t="str">
        <v/>
      </c>
    </row>
    <row r="26947" spans="5:9" ht="16.5" hidden="1">
      <c r="E26947" s="4" t="str">
        <v/>
      </c>
      <c r="F26947" s="102" t="str">
        <f ca="1">IFERROR(__xludf.DUMMYFUNCTION("IMPORTRANGE(H26947,""IDENTITAS UNIT!D9"")"),"#N/A")</f>
        <v>#N/A</v>
      </c>
      <c r="H26947" s="4" t="str">
        <v/>
      </c>
      <c r="I26947" s="4" t="str">
        <v/>
      </c>
    </row>
    <row r="26948" spans="5:9" ht="16.5" hidden="1">
      <c r="E26948" s="4" t="str">
        <v/>
      </c>
      <c r="F26948" s="102" t="str">
        <f ca="1">IFERROR(__xludf.DUMMYFUNCTION("IMPORTRANGE(H26948,""IDENTITAS UNIT!D9"")"),"#N/A")</f>
        <v>#N/A</v>
      </c>
      <c r="H26948" s="4" t="str">
        <v/>
      </c>
      <c r="I26948" s="4" t="str">
        <v/>
      </c>
    </row>
    <row r="26949" spans="5:9" ht="16.5" hidden="1">
      <c r="E26949" s="4" t="str">
        <v/>
      </c>
      <c r="F26949" s="102" t="str">
        <f ca="1">IFERROR(__xludf.DUMMYFUNCTION("IMPORTRANGE(H26949,""IDENTITAS UNIT!D9"")"),"#N/A")</f>
        <v>#N/A</v>
      </c>
      <c r="H26949" s="4" t="str">
        <v/>
      </c>
      <c r="I26949" s="4" t="str">
        <v/>
      </c>
    </row>
    <row r="26950" spans="5:9" ht="16.5" hidden="1">
      <c r="E26950" s="4" t="str">
        <v/>
      </c>
      <c r="F26950" s="102" t="str">
        <f ca="1">IFERROR(__xludf.DUMMYFUNCTION("IMPORTRANGE(H26950,""IDENTITAS UNIT!D9"")"),"#N/A")</f>
        <v>#N/A</v>
      </c>
      <c r="H26950" s="4" t="str">
        <v/>
      </c>
      <c r="I26950" s="4" t="str">
        <v/>
      </c>
    </row>
    <row r="26951" spans="5:9" ht="16.5" hidden="1">
      <c r="E26951" s="4" t="str">
        <v/>
      </c>
      <c r="F26951" s="102" t="str">
        <f ca="1">IFERROR(__xludf.DUMMYFUNCTION("IMPORTRANGE(H26951,""IDENTITAS UNIT!D9"")"),"#N/A")</f>
        <v>#N/A</v>
      </c>
      <c r="H26951" s="4" t="str">
        <v/>
      </c>
      <c r="I26951" s="4" t="str">
        <v/>
      </c>
    </row>
    <row r="26952" spans="5:9" ht="16.5" hidden="1">
      <c r="E26952" s="4" t="str">
        <v/>
      </c>
      <c r="F26952" s="102" t="str">
        <f ca="1">IFERROR(__xludf.DUMMYFUNCTION("IMPORTRANGE(H26952,""IDENTITAS UNIT!D9"")"),"#N/A")</f>
        <v>#N/A</v>
      </c>
      <c r="H26952" s="4" t="str">
        <v/>
      </c>
      <c r="I26952" s="4" t="str">
        <v/>
      </c>
    </row>
    <row r="26953" spans="5:9" ht="16.5" hidden="1">
      <c r="E26953" s="4" t="str">
        <v/>
      </c>
      <c r="F26953" s="102" t="str">
        <f ca="1">IFERROR(__xludf.DUMMYFUNCTION("IMPORTRANGE(H26953,""IDENTITAS UNIT!D9"")"),"#N/A")</f>
        <v>#N/A</v>
      </c>
      <c r="H26953" s="4" t="str">
        <v/>
      </c>
      <c r="I26953" s="4" t="str">
        <v/>
      </c>
    </row>
    <row r="26954" spans="5:9" ht="16.5" hidden="1">
      <c r="E26954" s="4" t="str">
        <v/>
      </c>
      <c r="F26954" s="102" t="str">
        <f ca="1">IFERROR(__xludf.DUMMYFUNCTION("IMPORTRANGE(H26954,""IDENTITAS UNIT!D9"")"),"#N/A")</f>
        <v>#N/A</v>
      </c>
      <c r="H26954" s="4" t="str">
        <v/>
      </c>
      <c r="I26954" s="4" t="str">
        <v/>
      </c>
    </row>
    <row r="26955" spans="5:9" ht="16.5" hidden="1">
      <c r="E26955" s="4" t="str">
        <v/>
      </c>
      <c r="F26955" s="102" t="str">
        <f ca="1">IFERROR(__xludf.DUMMYFUNCTION("IMPORTRANGE(H26955,""IDENTITAS UNIT!D9"")"),"#N/A")</f>
        <v>#N/A</v>
      </c>
      <c r="H26955" s="4" t="str">
        <v/>
      </c>
      <c r="I26955" s="4" t="str">
        <v/>
      </c>
    </row>
    <row r="26956" spans="5:9" ht="16.5" hidden="1">
      <c r="E26956" s="4" t="str">
        <v/>
      </c>
      <c r="F26956" s="102" t="str">
        <f ca="1">IFERROR(__xludf.DUMMYFUNCTION("IMPORTRANGE(H26956,""IDENTITAS UNIT!D9"")"),"#N/A")</f>
        <v>#N/A</v>
      </c>
      <c r="H26956" s="4" t="str">
        <v/>
      </c>
      <c r="I26956" s="4" t="str">
        <v/>
      </c>
    </row>
    <row r="26957" spans="5:9" ht="16.5" hidden="1">
      <c r="E26957" s="4" t="str">
        <v/>
      </c>
      <c r="F26957" s="102" t="str">
        <f ca="1">IFERROR(__xludf.DUMMYFUNCTION("IMPORTRANGE(H26957,""IDENTITAS UNIT!D9"")"),"#N/A")</f>
        <v>#N/A</v>
      </c>
      <c r="H26957" s="4" t="str">
        <v/>
      </c>
      <c r="I26957" s="4" t="str">
        <v/>
      </c>
    </row>
    <row r="26958" spans="5:9" ht="16.5" hidden="1">
      <c r="E26958" s="4" t="str">
        <v/>
      </c>
      <c r="F26958" s="102" t="str">
        <f ca="1">IFERROR(__xludf.DUMMYFUNCTION("IMPORTRANGE(H26958,""IDENTITAS UNIT!D9"")"),"#N/A")</f>
        <v>#N/A</v>
      </c>
      <c r="H26958" s="4" t="str">
        <v/>
      </c>
      <c r="I26958" s="4" t="str">
        <v/>
      </c>
    </row>
    <row r="26959" spans="5:9" ht="16.5" hidden="1">
      <c r="E26959" s="4" t="str">
        <v/>
      </c>
      <c r="F26959" s="102" t="str">
        <f ca="1">IFERROR(__xludf.DUMMYFUNCTION("IMPORTRANGE(H26959,""IDENTITAS UNIT!D9"")"),"#N/A")</f>
        <v>#N/A</v>
      </c>
      <c r="H26959" s="4" t="str">
        <v/>
      </c>
      <c r="I26959" s="4" t="str">
        <v/>
      </c>
    </row>
    <row r="26960" spans="5:9" ht="16.5" hidden="1">
      <c r="E26960" s="4" t="str">
        <v/>
      </c>
      <c r="F26960" s="102" t="str">
        <f ca="1">IFERROR(__xludf.DUMMYFUNCTION("IMPORTRANGE(H26960,""IDENTITAS UNIT!D9"")"),"#N/A")</f>
        <v>#N/A</v>
      </c>
      <c r="H26960" s="4" t="str">
        <v/>
      </c>
      <c r="I26960" s="4" t="str">
        <v/>
      </c>
    </row>
    <row r="26961" spans="5:9" ht="16.5" hidden="1">
      <c r="E26961" s="4" t="str">
        <v/>
      </c>
      <c r="F26961" s="102" t="str">
        <f ca="1">IFERROR(__xludf.DUMMYFUNCTION("IMPORTRANGE(H26961,""IDENTITAS UNIT!D9"")"),"#N/A")</f>
        <v>#N/A</v>
      </c>
      <c r="H26961" s="4" t="str">
        <v/>
      </c>
      <c r="I26961" s="4" t="str">
        <v/>
      </c>
    </row>
    <row r="26962" spans="5:9" ht="16.5" hidden="1">
      <c r="E26962" s="4" t="str">
        <v/>
      </c>
      <c r="F26962" s="102" t="str">
        <f ca="1">IFERROR(__xludf.DUMMYFUNCTION("IMPORTRANGE(H26962,""IDENTITAS UNIT!D9"")"),"#N/A")</f>
        <v>#N/A</v>
      </c>
      <c r="H26962" s="4" t="str">
        <v/>
      </c>
      <c r="I26962" s="4" t="str">
        <v/>
      </c>
    </row>
    <row r="26963" spans="5:9" ht="16.5" hidden="1">
      <c r="E26963" s="4" t="str">
        <v/>
      </c>
      <c r="F26963" s="102" t="str">
        <f ca="1">IFERROR(__xludf.DUMMYFUNCTION("IMPORTRANGE(H26963,""IDENTITAS UNIT!D9"")"),"#N/A")</f>
        <v>#N/A</v>
      </c>
      <c r="H26963" s="4" t="str">
        <v/>
      </c>
      <c r="I26963" s="4" t="str">
        <v/>
      </c>
    </row>
    <row r="26964" spans="5:9" ht="16.5" hidden="1">
      <c r="E26964" s="4" t="str">
        <v/>
      </c>
      <c r="F26964" s="102" t="str">
        <f ca="1">IFERROR(__xludf.DUMMYFUNCTION("IMPORTRANGE(H26964,""IDENTITAS UNIT!D9"")"),"#N/A")</f>
        <v>#N/A</v>
      </c>
      <c r="H26964" s="4" t="str">
        <v/>
      </c>
      <c r="I26964" s="4" t="str">
        <v/>
      </c>
    </row>
    <row r="26965" spans="5:9" ht="16.5" hidden="1">
      <c r="E26965" s="4" t="str">
        <v/>
      </c>
      <c r="F26965" s="102" t="str">
        <f ca="1">IFERROR(__xludf.DUMMYFUNCTION("IMPORTRANGE(H26965,""IDENTITAS UNIT!D9"")"),"#N/A")</f>
        <v>#N/A</v>
      </c>
      <c r="H26965" s="4" t="str">
        <v/>
      </c>
      <c r="I26965" s="4" t="str">
        <v/>
      </c>
    </row>
    <row r="26966" spans="5:9" ht="16.5" hidden="1">
      <c r="E26966" s="4" t="str">
        <v/>
      </c>
      <c r="F26966" s="102" t="str">
        <f ca="1">IFERROR(__xludf.DUMMYFUNCTION("IMPORTRANGE(H26966,""IDENTITAS UNIT!D9"")"),"#N/A")</f>
        <v>#N/A</v>
      </c>
      <c r="H26966" s="4" t="str">
        <v/>
      </c>
      <c r="I26966" s="4" t="str">
        <v/>
      </c>
    </row>
    <row r="26967" spans="5:9" ht="16.5" hidden="1">
      <c r="E26967" s="4" t="str">
        <v/>
      </c>
      <c r="F26967" s="102" t="str">
        <f ca="1">IFERROR(__xludf.DUMMYFUNCTION("IMPORTRANGE(H26967,""IDENTITAS UNIT!D9"")"),"#N/A")</f>
        <v>#N/A</v>
      </c>
      <c r="H26967" s="4" t="str">
        <v/>
      </c>
      <c r="I26967" s="4" t="str">
        <v/>
      </c>
    </row>
    <row r="26968" spans="5:9" ht="16.5" hidden="1">
      <c r="E26968" s="4" t="str">
        <v/>
      </c>
      <c r="F26968" s="102" t="str">
        <f ca="1">IFERROR(__xludf.DUMMYFUNCTION("IMPORTRANGE(H26968,""IDENTITAS UNIT!D9"")"),"#N/A")</f>
        <v>#N/A</v>
      </c>
      <c r="H26968" s="4" t="str">
        <v/>
      </c>
      <c r="I26968" s="4" t="str">
        <v/>
      </c>
    </row>
    <row r="26969" spans="5:9" ht="16.5" hidden="1">
      <c r="E26969" s="4" t="str">
        <v/>
      </c>
      <c r="F26969" s="102" t="str">
        <f ca="1">IFERROR(__xludf.DUMMYFUNCTION("IMPORTRANGE(H26969,""IDENTITAS UNIT!D9"")"),"#N/A")</f>
        <v>#N/A</v>
      </c>
      <c r="H26969" s="4" t="str">
        <v/>
      </c>
      <c r="I26969" s="4" t="str">
        <v/>
      </c>
    </row>
    <row r="26970" spans="5:9" ht="16.5" hidden="1">
      <c r="E26970" s="4" t="str">
        <v/>
      </c>
      <c r="F26970" s="102" t="str">
        <f ca="1">IFERROR(__xludf.DUMMYFUNCTION("IMPORTRANGE(H26970,""IDENTITAS UNIT!D9"")"),"#N/A")</f>
        <v>#N/A</v>
      </c>
      <c r="H26970" s="4" t="str">
        <v/>
      </c>
      <c r="I26970" s="4" t="str">
        <v/>
      </c>
    </row>
    <row r="26971" spans="5:9" ht="16.5" hidden="1">
      <c r="E26971" s="4" t="str">
        <v/>
      </c>
      <c r="F26971" s="102" t="str">
        <f ca="1">IFERROR(__xludf.DUMMYFUNCTION("IMPORTRANGE(H26971,""IDENTITAS UNIT!D9"")"),"#N/A")</f>
        <v>#N/A</v>
      </c>
      <c r="H26971" s="4" t="str">
        <v/>
      </c>
      <c r="I26971" s="4" t="str">
        <v/>
      </c>
    </row>
    <row r="26972" spans="5:9" ht="16.5" hidden="1">
      <c r="E26972" s="4" t="str">
        <v/>
      </c>
      <c r="F26972" s="102" t="str">
        <f ca="1">IFERROR(__xludf.DUMMYFUNCTION("IMPORTRANGE(H26972,""IDENTITAS UNIT!D9"")"),"#N/A")</f>
        <v>#N/A</v>
      </c>
      <c r="H26972" s="4" t="str">
        <v/>
      </c>
      <c r="I26972" s="4" t="str">
        <v/>
      </c>
    </row>
    <row r="26973" spans="5:9" ht="16.5" hidden="1">
      <c r="E26973" s="4" t="str">
        <v/>
      </c>
      <c r="F26973" s="102" t="str">
        <f ca="1">IFERROR(__xludf.DUMMYFUNCTION("IMPORTRANGE(H26973,""IDENTITAS UNIT!D9"")"),"#N/A")</f>
        <v>#N/A</v>
      </c>
      <c r="H26973" s="4" t="str">
        <v/>
      </c>
      <c r="I26973" s="4" t="str">
        <v/>
      </c>
    </row>
    <row r="26974" spans="5:9" ht="16.5" hidden="1">
      <c r="E26974" s="4" t="str">
        <v/>
      </c>
      <c r="F26974" s="102" t="str">
        <f ca="1">IFERROR(__xludf.DUMMYFUNCTION("IMPORTRANGE(H26974,""IDENTITAS UNIT!D9"")"),"#N/A")</f>
        <v>#N/A</v>
      </c>
      <c r="H26974" s="4" t="str">
        <v/>
      </c>
      <c r="I26974" s="4" t="str">
        <v/>
      </c>
    </row>
    <row r="26975" spans="5:9" ht="16.5" hidden="1">
      <c r="E26975" s="4" t="str">
        <v/>
      </c>
      <c r="F26975" s="102" t="str">
        <f ca="1">IFERROR(__xludf.DUMMYFUNCTION("IMPORTRANGE(H26975,""IDENTITAS UNIT!D9"")"),"#N/A")</f>
        <v>#N/A</v>
      </c>
      <c r="H26975" s="4" t="str">
        <v/>
      </c>
      <c r="I26975" s="4" t="str">
        <v/>
      </c>
    </row>
    <row r="26976" spans="5:9" ht="16.5" hidden="1">
      <c r="E26976" s="4" t="str">
        <v/>
      </c>
      <c r="F26976" s="102" t="str">
        <f ca="1">IFERROR(__xludf.DUMMYFUNCTION("IMPORTRANGE(H26976,""IDENTITAS UNIT!D9"")"),"#N/A")</f>
        <v>#N/A</v>
      </c>
      <c r="H26976" s="4" t="str">
        <v/>
      </c>
      <c r="I26976" s="4" t="str">
        <v/>
      </c>
    </row>
    <row r="26977" spans="5:9" ht="16.5" hidden="1">
      <c r="E26977" s="4" t="str">
        <v/>
      </c>
      <c r="F26977" s="102" t="str">
        <f ca="1">IFERROR(__xludf.DUMMYFUNCTION("IMPORTRANGE(H26977,""IDENTITAS UNIT!D9"")"),"#N/A")</f>
        <v>#N/A</v>
      </c>
      <c r="H26977" s="4" t="str">
        <v/>
      </c>
      <c r="I26977" s="4" t="str">
        <v/>
      </c>
    </row>
    <row r="26978" spans="5:9" ht="16.5" hidden="1">
      <c r="E26978" s="4" t="str">
        <v/>
      </c>
      <c r="F26978" s="102" t="str">
        <f ca="1">IFERROR(__xludf.DUMMYFUNCTION("IMPORTRANGE(H26978,""IDENTITAS UNIT!D9"")"),"#N/A")</f>
        <v>#N/A</v>
      </c>
      <c r="H26978" s="4" t="str">
        <v/>
      </c>
      <c r="I26978" s="4" t="str">
        <v/>
      </c>
    </row>
    <row r="26979" spans="5:9" ht="16.5" hidden="1">
      <c r="E26979" s="4" t="str">
        <v/>
      </c>
      <c r="F26979" s="102" t="str">
        <f ca="1">IFERROR(__xludf.DUMMYFUNCTION("IMPORTRANGE(H26979,""IDENTITAS UNIT!D9"")"),"#N/A")</f>
        <v>#N/A</v>
      </c>
      <c r="H26979" s="4" t="str">
        <v/>
      </c>
      <c r="I26979" s="4" t="str">
        <v/>
      </c>
    </row>
    <row r="26980" spans="5:9" ht="16.5" hidden="1">
      <c r="E26980" s="4" t="str">
        <v/>
      </c>
      <c r="F26980" s="102" t="str">
        <f ca="1">IFERROR(__xludf.DUMMYFUNCTION("IMPORTRANGE(H26980,""IDENTITAS UNIT!D9"")"),"#N/A")</f>
        <v>#N/A</v>
      </c>
      <c r="H26980" s="4" t="str">
        <v/>
      </c>
      <c r="I26980" s="4" t="str">
        <v/>
      </c>
    </row>
    <row r="26981" spans="5:9" ht="16.5" hidden="1">
      <c r="E26981" s="4" t="str">
        <v/>
      </c>
      <c r="F26981" s="102" t="str">
        <f ca="1">IFERROR(__xludf.DUMMYFUNCTION("IMPORTRANGE(H26981,""IDENTITAS UNIT!D9"")"),"#N/A")</f>
        <v>#N/A</v>
      </c>
      <c r="H26981" s="4" t="str">
        <v/>
      </c>
      <c r="I26981" s="4" t="str">
        <v/>
      </c>
    </row>
    <row r="26982" spans="5:9" ht="16.5" hidden="1">
      <c r="E26982" s="4" t="str">
        <v/>
      </c>
      <c r="F26982" s="102" t="str">
        <f ca="1">IFERROR(__xludf.DUMMYFUNCTION("IMPORTRANGE(H26982,""IDENTITAS UNIT!D9"")"),"#N/A")</f>
        <v>#N/A</v>
      </c>
      <c r="H26982" s="4" t="str">
        <v/>
      </c>
      <c r="I26982" s="4" t="str">
        <v/>
      </c>
    </row>
    <row r="26983" spans="5:9" ht="16.5" hidden="1">
      <c r="E26983" s="4" t="str">
        <v/>
      </c>
      <c r="F26983" s="102" t="str">
        <f ca="1">IFERROR(__xludf.DUMMYFUNCTION("IMPORTRANGE(H26983,""IDENTITAS UNIT!D9"")"),"#N/A")</f>
        <v>#N/A</v>
      </c>
      <c r="H26983" s="4" t="str">
        <v/>
      </c>
      <c r="I26983" s="4" t="str">
        <v/>
      </c>
    </row>
    <row r="26984" spans="5:9" ht="16.5" hidden="1">
      <c r="E26984" s="4" t="str">
        <v/>
      </c>
      <c r="F26984" s="102" t="str">
        <f ca="1">IFERROR(__xludf.DUMMYFUNCTION("IMPORTRANGE(H26984,""IDENTITAS UNIT!D9"")"),"#N/A")</f>
        <v>#N/A</v>
      </c>
      <c r="H26984" s="4" t="str">
        <v/>
      </c>
      <c r="I26984" s="4" t="str">
        <v/>
      </c>
    </row>
    <row r="26985" spans="5:9" ht="16.5" hidden="1">
      <c r="E26985" s="4" t="str">
        <v/>
      </c>
      <c r="F26985" s="102" t="str">
        <f ca="1">IFERROR(__xludf.DUMMYFUNCTION("IMPORTRANGE(H26985,""IDENTITAS UNIT!D9"")"),"#N/A")</f>
        <v>#N/A</v>
      </c>
      <c r="H26985" s="4" t="str">
        <v/>
      </c>
      <c r="I26985" s="4" t="str">
        <v/>
      </c>
    </row>
    <row r="26986" spans="5:9" ht="16.5" hidden="1">
      <c r="E26986" s="4" t="str">
        <v/>
      </c>
      <c r="F26986" s="102" t="str">
        <f ca="1">IFERROR(__xludf.DUMMYFUNCTION("IMPORTRANGE(H26986,""IDENTITAS UNIT!D9"")"),"#N/A")</f>
        <v>#N/A</v>
      </c>
      <c r="H26986" s="4" t="str">
        <v/>
      </c>
      <c r="I26986" s="4" t="str">
        <v/>
      </c>
    </row>
    <row r="26987" spans="5:9" ht="16.5" hidden="1">
      <c r="E26987" s="4" t="str">
        <v/>
      </c>
      <c r="F26987" s="102" t="str">
        <f ca="1">IFERROR(__xludf.DUMMYFUNCTION("IMPORTRANGE(H26987,""IDENTITAS UNIT!D9"")"),"#N/A")</f>
        <v>#N/A</v>
      </c>
      <c r="H26987" s="4" t="str">
        <v/>
      </c>
      <c r="I26987" s="4" t="str">
        <v/>
      </c>
    </row>
    <row r="26988" spans="5:9" ht="16.5" hidden="1">
      <c r="E26988" s="4" t="str">
        <v/>
      </c>
      <c r="F26988" s="102" t="str">
        <f ca="1">IFERROR(__xludf.DUMMYFUNCTION("IMPORTRANGE(H26988,""IDENTITAS UNIT!D9"")"),"#N/A")</f>
        <v>#N/A</v>
      </c>
      <c r="H26988" s="4" t="str">
        <v/>
      </c>
      <c r="I26988" s="4" t="str">
        <v/>
      </c>
    </row>
    <row r="26989" spans="5:9" ht="16.5" hidden="1">
      <c r="E26989" s="4" t="str">
        <v/>
      </c>
      <c r="F26989" s="102" t="str">
        <f ca="1">IFERROR(__xludf.DUMMYFUNCTION("IMPORTRANGE(H26989,""IDENTITAS UNIT!D9"")"),"#N/A")</f>
        <v>#N/A</v>
      </c>
      <c r="H26989" s="4" t="str">
        <v/>
      </c>
      <c r="I26989" s="4" t="str">
        <v/>
      </c>
    </row>
    <row r="26990" spans="5:9" ht="16.5" hidden="1">
      <c r="E26990" s="4" t="str">
        <v/>
      </c>
      <c r="F26990" s="102" t="str">
        <f ca="1">IFERROR(__xludf.DUMMYFUNCTION("IMPORTRANGE(H26990,""IDENTITAS UNIT!D9"")"),"#N/A")</f>
        <v>#N/A</v>
      </c>
      <c r="H26990" s="4" t="str">
        <v/>
      </c>
      <c r="I26990" s="4" t="str">
        <v/>
      </c>
    </row>
    <row r="26991" spans="5:9" ht="16.5" hidden="1">
      <c r="E26991" s="4" t="str">
        <v/>
      </c>
      <c r="F26991" s="102" t="str">
        <f ca="1">IFERROR(__xludf.DUMMYFUNCTION("IMPORTRANGE(H26991,""IDENTITAS UNIT!D9"")"),"#N/A")</f>
        <v>#N/A</v>
      </c>
      <c r="H26991" s="4" t="str">
        <v/>
      </c>
      <c r="I26991" s="4" t="str">
        <v/>
      </c>
    </row>
    <row r="26992" spans="5:9" ht="16.5" hidden="1">
      <c r="E26992" s="4" t="str">
        <v/>
      </c>
      <c r="F26992" s="102" t="str">
        <f ca="1">IFERROR(__xludf.DUMMYFUNCTION("IMPORTRANGE(H26992,""IDENTITAS UNIT!D9"")"),"#N/A")</f>
        <v>#N/A</v>
      </c>
      <c r="H26992" s="4" t="str">
        <v/>
      </c>
      <c r="I26992" s="4" t="str">
        <v/>
      </c>
    </row>
    <row r="26993" spans="5:9" ht="16.5" hidden="1">
      <c r="E26993" s="4" t="str">
        <v/>
      </c>
      <c r="F26993" s="102" t="str">
        <f ca="1">IFERROR(__xludf.DUMMYFUNCTION("IMPORTRANGE(H26993,""IDENTITAS UNIT!D9"")"),"#N/A")</f>
        <v>#N/A</v>
      </c>
      <c r="H26993" s="4" t="str">
        <v/>
      </c>
      <c r="I26993" s="4" t="str">
        <v/>
      </c>
    </row>
    <row r="26994" spans="5:9" ht="16.5" hidden="1">
      <c r="E26994" s="4" t="str">
        <v/>
      </c>
      <c r="F26994" s="102" t="str">
        <f ca="1">IFERROR(__xludf.DUMMYFUNCTION("IMPORTRANGE(H26994,""IDENTITAS UNIT!D9"")"),"#N/A")</f>
        <v>#N/A</v>
      </c>
      <c r="H26994" s="4" t="str">
        <v/>
      </c>
      <c r="I26994" s="4" t="str">
        <v/>
      </c>
    </row>
    <row r="26995" spans="5:9" ht="16.5" hidden="1">
      <c r="E26995" s="4" t="str">
        <v/>
      </c>
      <c r="F26995" s="102" t="str">
        <f ca="1">IFERROR(__xludf.DUMMYFUNCTION("IMPORTRANGE(H26995,""IDENTITAS UNIT!D9"")"),"#N/A")</f>
        <v>#N/A</v>
      </c>
      <c r="H26995" s="4" t="str">
        <v/>
      </c>
      <c r="I26995" s="4" t="str">
        <v/>
      </c>
    </row>
    <row r="26996" spans="5:9" ht="16.5" hidden="1">
      <c r="E26996" s="4" t="str">
        <v/>
      </c>
      <c r="F26996" s="102" t="str">
        <f ca="1">IFERROR(__xludf.DUMMYFUNCTION("IMPORTRANGE(H26996,""IDENTITAS UNIT!D9"")"),"#N/A")</f>
        <v>#N/A</v>
      </c>
      <c r="H26996" s="4" t="str">
        <v/>
      </c>
      <c r="I26996" s="4" t="str">
        <v/>
      </c>
    </row>
    <row r="26997" spans="5:9" ht="16.5" hidden="1">
      <c r="E26997" s="4" t="str">
        <v/>
      </c>
      <c r="F26997" s="102" t="str">
        <f ca="1">IFERROR(__xludf.DUMMYFUNCTION("IMPORTRANGE(H26997,""IDENTITAS UNIT!D9"")"),"#N/A")</f>
        <v>#N/A</v>
      </c>
      <c r="H26997" s="4" t="str">
        <v/>
      </c>
      <c r="I26997" s="4" t="str">
        <v/>
      </c>
    </row>
    <row r="26998" spans="5:9" ht="16.5" hidden="1">
      <c r="E26998" s="4" t="str">
        <v/>
      </c>
      <c r="F26998" s="102" t="str">
        <f ca="1">IFERROR(__xludf.DUMMYFUNCTION("IMPORTRANGE(H26998,""IDENTITAS UNIT!D9"")"),"#N/A")</f>
        <v>#N/A</v>
      </c>
      <c r="H26998" s="4" t="str">
        <v/>
      </c>
      <c r="I26998" s="4" t="str">
        <v/>
      </c>
    </row>
    <row r="26999" spans="5:9" ht="16.5" hidden="1">
      <c r="E26999" s="4" t="str">
        <v/>
      </c>
      <c r="F26999" s="102" t="str">
        <f ca="1">IFERROR(__xludf.DUMMYFUNCTION("IMPORTRANGE(H26999,""IDENTITAS UNIT!D9"")"),"#N/A")</f>
        <v>#N/A</v>
      </c>
      <c r="H26999" s="4" t="str">
        <v/>
      </c>
      <c r="I26999" s="4" t="str">
        <v/>
      </c>
    </row>
    <row r="27000" spans="5:9" ht="16.5" hidden="1">
      <c r="E27000" s="4" t="str">
        <v/>
      </c>
      <c r="F27000" s="102" t="str">
        <f ca="1">IFERROR(__xludf.DUMMYFUNCTION("IMPORTRANGE(H27000,""IDENTITAS UNIT!D9"")"),"#N/A")</f>
        <v>#N/A</v>
      </c>
      <c r="H27000" s="4" t="str">
        <v/>
      </c>
      <c r="I27000" s="4" t="str">
        <v/>
      </c>
    </row>
    <row r="27001" spans="5:9" ht="16.5" hidden="1">
      <c r="E27001" s="4" t="str">
        <v/>
      </c>
      <c r="F27001" s="102" t="str">
        <f ca="1">IFERROR(__xludf.DUMMYFUNCTION("IMPORTRANGE(H27001,""IDENTITAS UNIT!D9"")"),"#N/A")</f>
        <v>#N/A</v>
      </c>
      <c r="H27001" s="4" t="str">
        <v/>
      </c>
      <c r="I27001" s="4" t="str">
        <v/>
      </c>
    </row>
    <row r="27002" spans="5:9" ht="16.5" hidden="1">
      <c r="E27002" s="4" t="str">
        <v/>
      </c>
      <c r="F27002" s="102" t="str">
        <f ca="1">IFERROR(__xludf.DUMMYFUNCTION("IMPORTRANGE(H27002,""IDENTITAS UNIT!D9"")"),"#N/A")</f>
        <v>#N/A</v>
      </c>
      <c r="H27002" s="4" t="str">
        <v/>
      </c>
      <c r="I27002" s="4" t="str">
        <v/>
      </c>
    </row>
    <row r="27003" spans="5:9" ht="16.5" hidden="1">
      <c r="E27003" s="4" t="str">
        <v/>
      </c>
      <c r="F27003" s="102" t="str">
        <f ca="1">IFERROR(__xludf.DUMMYFUNCTION("IMPORTRANGE(H27003,""IDENTITAS UNIT!D9"")"),"#N/A")</f>
        <v>#N/A</v>
      </c>
      <c r="H27003" s="4" t="str">
        <v/>
      </c>
      <c r="I27003" s="4" t="str">
        <v/>
      </c>
    </row>
    <row r="27004" spans="5:9" ht="16.5" hidden="1">
      <c r="E27004" s="4" t="str">
        <v/>
      </c>
      <c r="F27004" s="102" t="str">
        <f ca="1">IFERROR(__xludf.DUMMYFUNCTION("IMPORTRANGE(H27004,""IDENTITAS UNIT!D9"")"),"#N/A")</f>
        <v>#N/A</v>
      </c>
      <c r="H27004" s="4" t="str">
        <v/>
      </c>
      <c r="I27004" s="4" t="str">
        <v/>
      </c>
    </row>
    <row r="27005" spans="5:9" ht="16.5" hidden="1">
      <c r="E27005" s="4" t="str">
        <v/>
      </c>
      <c r="F27005" s="102" t="str">
        <f ca="1">IFERROR(__xludf.DUMMYFUNCTION("IMPORTRANGE(H27005,""IDENTITAS UNIT!D9"")"),"#N/A")</f>
        <v>#N/A</v>
      </c>
      <c r="H27005" s="4" t="str">
        <v/>
      </c>
      <c r="I27005" s="4" t="str">
        <v/>
      </c>
    </row>
    <row r="27006" spans="5:9" ht="16.5" hidden="1">
      <c r="E27006" s="4" t="str">
        <v/>
      </c>
      <c r="F27006" s="102" t="str">
        <f ca="1">IFERROR(__xludf.DUMMYFUNCTION("IMPORTRANGE(H27006,""IDENTITAS UNIT!D9"")"),"#N/A")</f>
        <v>#N/A</v>
      </c>
      <c r="H27006" s="4" t="str">
        <v/>
      </c>
      <c r="I27006" s="4" t="str">
        <v/>
      </c>
    </row>
    <row r="27007" spans="5:9" ht="16.5" hidden="1">
      <c r="E27007" s="4" t="str">
        <v/>
      </c>
      <c r="F27007" s="102" t="str">
        <f ca="1">IFERROR(__xludf.DUMMYFUNCTION("IMPORTRANGE(H27007,""IDENTITAS UNIT!D9"")"),"#N/A")</f>
        <v>#N/A</v>
      </c>
      <c r="H27007" s="4" t="str">
        <v/>
      </c>
      <c r="I27007" s="4" t="str">
        <v/>
      </c>
    </row>
    <row r="27008" spans="5:9" ht="16.5" hidden="1">
      <c r="E27008" s="4" t="str">
        <v/>
      </c>
      <c r="F27008" s="102" t="str">
        <f ca="1">IFERROR(__xludf.DUMMYFUNCTION("IMPORTRANGE(H27008,""IDENTITAS UNIT!D9"")"),"#N/A")</f>
        <v>#N/A</v>
      </c>
      <c r="H27008" s="4" t="str">
        <v/>
      </c>
      <c r="I27008" s="4" t="str">
        <v/>
      </c>
    </row>
    <row r="27009" spans="5:9" ht="16.5" hidden="1">
      <c r="E27009" s="4" t="str">
        <v/>
      </c>
      <c r="F27009" s="102" t="str">
        <f ca="1">IFERROR(__xludf.DUMMYFUNCTION("IMPORTRANGE(H27009,""IDENTITAS UNIT!D9"")"),"#N/A")</f>
        <v>#N/A</v>
      </c>
      <c r="H27009" s="4" t="str">
        <v/>
      </c>
      <c r="I27009" s="4" t="str">
        <v/>
      </c>
    </row>
    <row r="27010" spans="5:9" ht="16.5" hidden="1">
      <c r="E27010" s="4" t="str">
        <v/>
      </c>
      <c r="F27010" s="102" t="str">
        <f ca="1">IFERROR(__xludf.DUMMYFUNCTION("IMPORTRANGE(H27010,""IDENTITAS UNIT!D9"")"),"#N/A")</f>
        <v>#N/A</v>
      </c>
      <c r="H27010" s="4" t="str">
        <v/>
      </c>
      <c r="I27010" s="4" t="str">
        <v/>
      </c>
    </row>
    <row r="27011" spans="5:9" ht="16.5" hidden="1">
      <c r="E27011" s="4" t="str">
        <v/>
      </c>
      <c r="F27011" s="102" t="str">
        <f ca="1">IFERROR(__xludf.DUMMYFUNCTION("IMPORTRANGE(H27011,""IDENTITAS UNIT!D9"")"),"#N/A")</f>
        <v>#N/A</v>
      </c>
      <c r="H27011" s="4" t="str">
        <v/>
      </c>
      <c r="I27011" s="4" t="str">
        <v/>
      </c>
    </row>
    <row r="27012" spans="5:9" ht="16.5" hidden="1">
      <c r="E27012" s="4" t="str">
        <v/>
      </c>
      <c r="F27012" s="102" t="str">
        <f ca="1">IFERROR(__xludf.DUMMYFUNCTION("IMPORTRANGE(H27012,""IDENTITAS UNIT!D9"")"),"#N/A")</f>
        <v>#N/A</v>
      </c>
      <c r="H27012" s="4" t="str">
        <v/>
      </c>
      <c r="I27012" s="4" t="str">
        <v/>
      </c>
    </row>
    <row r="27013" spans="5:9" ht="16.5" hidden="1">
      <c r="E27013" s="4" t="str">
        <v/>
      </c>
      <c r="F27013" s="102" t="str">
        <f ca="1">IFERROR(__xludf.DUMMYFUNCTION("IMPORTRANGE(H27013,""IDENTITAS UNIT!D9"")"),"#N/A")</f>
        <v>#N/A</v>
      </c>
      <c r="H27013" s="4" t="str">
        <v/>
      </c>
      <c r="I27013" s="4" t="str">
        <v/>
      </c>
    </row>
    <row r="27014" spans="5:9" ht="16.5" hidden="1">
      <c r="E27014" s="4" t="str">
        <v/>
      </c>
      <c r="F27014" s="102" t="str">
        <f ca="1">IFERROR(__xludf.DUMMYFUNCTION("IMPORTRANGE(H27014,""IDENTITAS UNIT!D9"")"),"#N/A")</f>
        <v>#N/A</v>
      </c>
      <c r="H27014" s="4" t="str">
        <v/>
      </c>
      <c r="I27014" s="4" t="str">
        <v/>
      </c>
    </row>
    <row r="27015" spans="5:9" ht="16.5" hidden="1">
      <c r="E27015" s="4" t="str">
        <v/>
      </c>
      <c r="F27015" s="102" t="str">
        <f ca="1">IFERROR(__xludf.DUMMYFUNCTION("IMPORTRANGE(H27015,""IDENTITAS UNIT!D9"")"),"#N/A")</f>
        <v>#N/A</v>
      </c>
      <c r="H27015" s="4" t="str">
        <v/>
      </c>
      <c r="I27015" s="4" t="str">
        <v/>
      </c>
    </row>
    <row r="27016" spans="5:9" ht="16.5" hidden="1">
      <c r="E27016" s="4" t="str">
        <v/>
      </c>
      <c r="F27016" s="102" t="str">
        <f ca="1">IFERROR(__xludf.DUMMYFUNCTION("IMPORTRANGE(H27016,""IDENTITAS UNIT!D9"")"),"#N/A")</f>
        <v>#N/A</v>
      </c>
      <c r="H27016" s="4" t="str">
        <v/>
      </c>
      <c r="I27016" s="4" t="str">
        <v/>
      </c>
    </row>
    <row r="27017" spans="5:9" ht="16.5" hidden="1">
      <c r="E27017" s="4" t="str">
        <v/>
      </c>
      <c r="F27017" s="102" t="str">
        <f ca="1">IFERROR(__xludf.DUMMYFUNCTION("IMPORTRANGE(H27017,""IDENTITAS UNIT!D9"")"),"#N/A")</f>
        <v>#N/A</v>
      </c>
      <c r="H27017" s="4" t="str">
        <v/>
      </c>
      <c r="I27017" s="4" t="str">
        <v/>
      </c>
    </row>
    <row r="27018" spans="5:9" ht="16.5" hidden="1">
      <c r="E27018" s="4" t="str">
        <v/>
      </c>
      <c r="F27018" s="102" t="str">
        <f ca="1">IFERROR(__xludf.DUMMYFUNCTION("IMPORTRANGE(H27018,""IDENTITAS UNIT!D9"")"),"#N/A")</f>
        <v>#N/A</v>
      </c>
      <c r="H27018" s="4" t="str">
        <v/>
      </c>
      <c r="I27018" s="4" t="str">
        <v/>
      </c>
    </row>
    <row r="27019" spans="5:9" ht="16.5" hidden="1">
      <c r="E27019" s="4" t="str">
        <v/>
      </c>
      <c r="F27019" s="102" t="str">
        <f ca="1">IFERROR(__xludf.DUMMYFUNCTION("IMPORTRANGE(H27019,""IDENTITAS UNIT!D9"")"),"#N/A")</f>
        <v>#N/A</v>
      </c>
      <c r="H27019" s="4" t="str">
        <v/>
      </c>
      <c r="I27019" s="4" t="str">
        <v/>
      </c>
    </row>
    <row r="27020" spans="5:9" ht="16.5" hidden="1">
      <c r="E27020" s="4" t="str">
        <v/>
      </c>
      <c r="F27020" s="102" t="str">
        <f ca="1">IFERROR(__xludf.DUMMYFUNCTION("IMPORTRANGE(H27020,""IDENTITAS UNIT!D9"")"),"#N/A")</f>
        <v>#N/A</v>
      </c>
      <c r="H27020" s="4" t="str">
        <v/>
      </c>
      <c r="I27020" s="4" t="str">
        <v/>
      </c>
    </row>
    <row r="27021" spans="5:9" ht="16.5" hidden="1">
      <c r="E27021" s="4" t="str">
        <v/>
      </c>
      <c r="F27021" s="102" t="str">
        <f ca="1">IFERROR(__xludf.DUMMYFUNCTION("IMPORTRANGE(H27021,""IDENTITAS UNIT!D9"")"),"#N/A")</f>
        <v>#N/A</v>
      </c>
      <c r="H27021" s="4" t="str">
        <v/>
      </c>
      <c r="I27021" s="4" t="str">
        <v/>
      </c>
    </row>
    <row r="27022" spans="5:9" ht="16.5" hidden="1">
      <c r="E27022" s="4" t="str">
        <v/>
      </c>
      <c r="F27022" s="102" t="str">
        <f ca="1">IFERROR(__xludf.DUMMYFUNCTION("IMPORTRANGE(H27022,""IDENTITAS UNIT!D9"")"),"#N/A")</f>
        <v>#N/A</v>
      </c>
      <c r="H27022" s="4" t="str">
        <v/>
      </c>
      <c r="I27022" s="4" t="str">
        <v/>
      </c>
    </row>
    <row r="27023" spans="5:9" ht="16.5" hidden="1">
      <c r="E27023" s="4" t="str">
        <v/>
      </c>
      <c r="F27023" s="102" t="str">
        <f ca="1">IFERROR(__xludf.DUMMYFUNCTION("IMPORTRANGE(H27023,""IDENTITAS UNIT!D9"")"),"#N/A")</f>
        <v>#N/A</v>
      </c>
      <c r="H27023" s="4" t="str">
        <v/>
      </c>
      <c r="I27023" s="4" t="str">
        <v/>
      </c>
    </row>
    <row r="27024" spans="5:9" ht="16.5" hidden="1">
      <c r="E27024" s="4" t="str">
        <v/>
      </c>
      <c r="F27024" s="102" t="str">
        <f ca="1">IFERROR(__xludf.DUMMYFUNCTION("IMPORTRANGE(H27024,""IDENTITAS UNIT!D9"")"),"#N/A")</f>
        <v>#N/A</v>
      </c>
      <c r="H27024" s="4" t="str">
        <v/>
      </c>
      <c r="I27024" s="4" t="str">
        <v/>
      </c>
    </row>
    <row r="27025" spans="5:9" ht="16.5" hidden="1">
      <c r="E27025" s="4" t="str">
        <v/>
      </c>
      <c r="F27025" s="102" t="str">
        <f ca="1">IFERROR(__xludf.DUMMYFUNCTION("IMPORTRANGE(H27025,""IDENTITAS UNIT!D9"")"),"#N/A")</f>
        <v>#N/A</v>
      </c>
      <c r="H27025" s="4" t="str">
        <v/>
      </c>
      <c r="I27025" s="4" t="str">
        <v/>
      </c>
    </row>
    <row r="27026" spans="5:9" ht="16.5" hidden="1">
      <c r="E27026" s="4" t="str">
        <v/>
      </c>
      <c r="F27026" s="102" t="str">
        <f ca="1">IFERROR(__xludf.DUMMYFUNCTION("IMPORTRANGE(H27026,""IDENTITAS UNIT!D9"")"),"#N/A")</f>
        <v>#N/A</v>
      </c>
      <c r="H27026" s="4" t="str">
        <v/>
      </c>
      <c r="I27026" s="4" t="str">
        <v/>
      </c>
    </row>
    <row r="27027" spans="5:9" ht="16.5" hidden="1">
      <c r="E27027" s="4" t="str">
        <v/>
      </c>
      <c r="F27027" s="102" t="str">
        <f ca="1">IFERROR(__xludf.DUMMYFUNCTION("IMPORTRANGE(H27027,""IDENTITAS UNIT!D9"")"),"#N/A")</f>
        <v>#N/A</v>
      </c>
      <c r="H27027" s="4" t="str">
        <v/>
      </c>
      <c r="I27027" s="4" t="str">
        <v/>
      </c>
    </row>
    <row r="27028" spans="5:9" ht="16.5" hidden="1">
      <c r="E27028" s="4" t="str">
        <v/>
      </c>
      <c r="F27028" s="102" t="str">
        <f ca="1">IFERROR(__xludf.DUMMYFUNCTION("IMPORTRANGE(H27028,""IDENTITAS UNIT!D9"")"),"#N/A")</f>
        <v>#N/A</v>
      </c>
      <c r="H27028" s="4" t="str">
        <v/>
      </c>
      <c r="I27028" s="4" t="str">
        <v/>
      </c>
    </row>
    <row r="27029" spans="5:9" ht="16.5" hidden="1">
      <c r="E27029" s="4" t="str">
        <v/>
      </c>
      <c r="F27029" s="102" t="str">
        <f ca="1">IFERROR(__xludf.DUMMYFUNCTION("IMPORTRANGE(H27029,""IDENTITAS UNIT!D9"")"),"#N/A")</f>
        <v>#N/A</v>
      </c>
      <c r="H27029" s="4" t="str">
        <v/>
      </c>
      <c r="I27029" s="4" t="str">
        <v/>
      </c>
    </row>
    <row r="27030" spans="5:9" ht="16.5" hidden="1">
      <c r="E27030" s="4" t="str">
        <v/>
      </c>
      <c r="F27030" s="102" t="str">
        <f ca="1">IFERROR(__xludf.DUMMYFUNCTION("IMPORTRANGE(H27030,""IDENTITAS UNIT!D9"")"),"#N/A")</f>
        <v>#N/A</v>
      </c>
      <c r="H27030" s="4" t="str">
        <v/>
      </c>
      <c r="I27030" s="4" t="str">
        <v/>
      </c>
    </row>
    <row r="27031" spans="5:9" ht="16.5" hidden="1">
      <c r="E27031" s="4" t="str">
        <v/>
      </c>
      <c r="F27031" s="102" t="str">
        <f ca="1">IFERROR(__xludf.DUMMYFUNCTION("IMPORTRANGE(H27031,""IDENTITAS UNIT!D9"")"),"#N/A")</f>
        <v>#N/A</v>
      </c>
      <c r="H27031" s="4" t="str">
        <v/>
      </c>
      <c r="I27031" s="4" t="str">
        <v/>
      </c>
    </row>
    <row r="27032" spans="5:9" ht="16.5" hidden="1">
      <c r="E27032" s="4" t="str">
        <v/>
      </c>
      <c r="F27032" s="102" t="str">
        <f ca="1">IFERROR(__xludf.DUMMYFUNCTION("IMPORTRANGE(H27032,""IDENTITAS UNIT!D9"")"),"#N/A")</f>
        <v>#N/A</v>
      </c>
      <c r="H27032" s="4" t="str">
        <v/>
      </c>
      <c r="I27032" s="4" t="str">
        <v/>
      </c>
    </row>
    <row r="27033" spans="5:9" ht="16.5" hidden="1">
      <c r="E27033" s="4" t="str">
        <v/>
      </c>
      <c r="F27033" s="102" t="str">
        <f ca="1">IFERROR(__xludf.DUMMYFUNCTION("IMPORTRANGE(H27033,""IDENTITAS UNIT!D9"")"),"#N/A")</f>
        <v>#N/A</v>
      </c>
      <c r="H27033" s="4" t="str">
        <v/>
      </c>
      <c r="I27033" s="4" t="str">
        <v/>
      </c>
    </row>
    <row r="27034" spans="5:9" ht="16.5" hidden="1">
      <c r="E27034" s="4" t="str">
        <v/>
      </c>
      <c r="F27034" s="102" t="str">
        <f ca="1">IFERROR(__xludf.DUMMYFUNCTION("IMPORTRANGE(H27034,""IDENTITAS UNIT!D9"")"),"#N/A")</f>
        <v>#N/A</v>
      </c>
      <c r="H27034" s="4" t="str">
        <v/>
      </c>
      <c r="I27034" s="4" t="str">
        <v/>
      </c>
    </row>
    <row r="27035" spans="5:9" ht="16.5" hidden="1">
      <c r="E27035" s="4" t="str">
        <v/>
      </c>
      <c r="F27035" s="102" t="str">
        <f ca="1">IFERROR(__xludf.DUMMYFUNCTION("IMPORTRANGE(H27035,""IDENTITAS UNIT!D9"")"),"#N/A")</f>
        <v>#N/A</v>
      </c>
      <c r="H27035" s="4" t="str">
        <v/>
      </c>
      <c r="I27035" s="4" t="str">
        <v/>
      </c>
    </row>
    <row r="27036" spans="5:9" ht="16.5" hidden="1">
      <c r="E27036" s="4" t="str">
        <v/>
      </c>
      <c r="F27036" s="102" t="str">
        <f ca="1">IFERROR(__xludf.DUMMYFUNCTION("IMPORTRANGE(H27036,""IDENTITAS UNIT!D9"")"),"#N/A")</f>
        <v>#N/A</v>
      </c>
      <c r="H27036" s="4" t="str">
        <v/>
      </c>
      <c r="I27036" s="4" t="str">
        <v/>
      </c>
    </row>
    <row r="27037" spans="5:9" ht="16.5" hidden="1">
      <c r="E27037" s="4" t="str">
        <v/>
      </c>
      <c r="F27037" s="102" t="str">
        <f ca="1">IFERROR(__xludf.DUMMYFUNCTION("IMPORTRANGE(H27037,""IDENTITAS UNIT!D9"")"),"#N/A")</f>
        <v>#N/A</v>
      </c>
      <c r="H27037" s="4" t="str">
        <v/>
      </c>
      <c r="I27037" s="4" t="str">
        <v/>
      </c>
    </row>
    <row r="27038" spans="5:9" ht="16.5" hidden="1">
      <c r="E27038" s="4" t="str">
        <v/>
      </c>
      <c r="F27038" s="102" t="str">
        <f ca="1">IFERROR(__xludf.DUMMYFUNCTION("IMPORTRANGE(H27038,""IDENTITAS UNIT!D9"")"),"#N/A")</f>
        <v>#N/A</v>
      </c>
      <c r="H27038" s="4" t="str">
        <v/>
      </c>
      <c r="I27038" s="4" t="str">
        <v/>
      </c>
    </row>
    <row r="27039" spans="5:9" ht="16.5" hidden="1">
      <c r="E27039" s="4" t="str">
        <v/>
      </c>
      <c r="F27039" s="102" t="str">
        <f ca="1">IFERROR(__xludf.DUMMYFUNCTION("IMPORTRANGE(H27039,""IDENTITAS UNIT!D9"")"),"#N/A")</f>
        <v>#N/A</v>
      </c>
      <c r="H27039" s="4" t="str">
        <v/>
      </c>
      <c r="I27039" s="4" t="str">
        <v/>
      </c>
    </row>
    <row r="27040" spans="5:9" ht="16.5" hidden="1">
      <c r="E27040" s="4" t="str">
        <v/>
      </c>
      <c r="F27040" s="102" t="str">
        <f ca="1">IFERROR(__xludf.DUMMYFUNCTION("IMPORTRANGE(H27040,""IDENTITAS UNIT!D9"")"),"#N/A")</f>
        <v>#N/A</v>
      </c>
      <c r="H27040" s="4" t="str">
        <v/>
      </c>
      <c r="I27040" s="4" t="str">
        <v/>
      </c>
    </row>
    <row r="27041" spans="5:9" ht="16.5" hidden="1">
      <c r="E27041" s="4" t="str">
        <v/>
      </c>
      <c r="F27041" s="102" t="str">
        <f ca="1">IFERROR(__xludf.DUMMYFUNCTION("IMPORTRANGE(H27041,""IDENTITAS UNIT!D9"")"),"#N/A")</f>
        <v>#N/A</v>
      </c>
      <c r="H27041" s="4" t="str">
        <v/>
      </c>
      <c r="I27041" s="4" t="str">
        <v/>
      </c>
    </row>
    <row r="27042" spans="5:9" ht="16.5" hidden="1">
      <c r="E27042" s="4" t="str">
        <v/>
      </c>
      <c r="F27042" s="102" t="str">
        <f ca="1">IFERROR(__xludf.DUMMYFUNCTION("IMPORTRANGE(H27042,""IDENTITAS UNIT!D9"")"),"#N/A")</f>
        <v>#N/A</v>
      </c>
      <c r="H27042" s="4" t="str">
        <v/>
      </c>
      <c r="I27042" s="4" t="str">
        <v/>
      </c>
    </row>
    <row r="27043" spans="5:9" ht="16.5" hidden="1">
      <c r="E27043" s="4" t="str">
        <v/>
      </c>
      <c r="F27043" s="102" t="str">
        <f ca="1">IFERROR(__xludf.DUMMYFUNCTION("IMPORTRANGE(H27043,""IDENTITAS UNIT!D9"")"),"#N/A")</f>
        <v>#N/A</v>
      </c>
      <c r="H27043" s="4" t="str">
        <v/>
      </c>
      <c r="I27043" s="4" t="str">
        <v/>
      </c>
    </row>
    <row r="27044" spans="5:9" ht="16.5" hidden="1">
      <c r="E27044" s="4" t="str">
        <v/>
      </c>
      <c r="F27044" s="102" t="str">
        <f ca="1">IFERROR(__xludf.DUMMYFUNCTION("IMPORTRANGE(H27044,""IDENTITAS UNIT!D9"")"),"#N/A")</f>
        <v>#N/A</v>
      </c>
      <c r="H27044" s="4" t="str">
        <v/>
      </c>
      <c r="I27044" s="4" t="str">
        <v/>
      </c>
    </row>
    <row r="27045" spans="5:9" ht="16.5" hidden="1">
      <c r="E27045" s="4" t="str">
        <v/>
      </c>
      <c r="F27045" s="102" t="str">
        <f ca="1">IFERROR(__xludf.DUMMYFUNCTION("IMPORTRANGE(H27045,""IDENTITAS UNIT!D9"")"),"#N/A")</f>
        <v>#N/A</v>
      </c>
      <c r="H27045" s="4" t="str">
        <v/>
      </c>
      <c r="I27045" s="4" t="str">
        <v/>
      </c>
    </row>
    <row r="27046" spans="5:9" ht="16.5" hidden="1">
      <c r="E27046" s="4" t="str">
        <v/>
      </c>
      <c r="F27046" s="102" t="str">
        <f ca="1">IFERROR(__xludf.DUMMYFUNCTION("IMPORTRANGE(H27046,""IDENTITAS UNIT!D9"")"),"#N/A")</f>
        <v>#N/A</v>
      </c>
      <c r="H27046" s="4" t="str">
        <v/>
      </c>
      <c r="I27046" s="4" t="str">
        <v/>
      </c>
    </row>
    <row r="27047" spans="5:9" ht="16.5" hidden="1">
      <c r="E27047" s="4" t="str">
        <v/>
      </c>
      <c r="F27047" s="102" t="str">
        <f ca="1">IFERROR(__xludf.DUMMYFUNCTION("IMPORTRANGE(H27047,""IDENTITAS UNIT!D9"")"),"#N/A")</f>
        <v>#N/A</v>
      </c>
      <c r="H27047" s="4" t="str">
        <v/>
      </c>
      <c r="I27047" s="4" t="str">
        <v/>
      </c>
    </row>
    <row r="27048" spans="5:9" ht="16.5" hidden="1">
      <c r="E27048" s="4" t="str">
        <v/>
      </c>
      <c r="F27048" s="102" t="str">
        <f ca="1">IFERROR(__xludf.DUMMYFUNCTION("IMPORTRANGE(H27048,""IDENTITAS UNIT!D9"")"),"#N/A")</f>
        <v>#N/A</v>
      </c>
      <c r="H27048" s="4" t="str">
        <v/>
      </c>
      <c r="I27048" s="4" t="str">
        <v/>
      </c>
    </row>
    <row r="27049" spans="5:9" ht="16.5" hidden="1">
      <c r="E27049" s="4" t="str">
        <v/>
      </c>
      <c r="F27049" s="102" t="str">
        <f ca="1">IFERROR(__xludf.DUMMYFUNCTION("IMPORTRANGE(H27049,""IDENTITAS UNIT!D9"")"),"#N/A")</f>
        <v>#N/A</v>
      </c>
      <c r="H27049" s="4" t="str">
        <v/>
      </c>
      <c r="I27049" s="4" t="str">
        <v/>
      </c>
    </row>
    <row r="27050" spans="5:9" ht="16.5" hidden="1">
      <c r="E27050" s="4" t="str">
        <v/>
      </c>
      <c r="F27050" s="102" t="str">
        <f ca="1">IFERROR(__xludf.DUMMYFUNCTION("IMPORTRANGE(H27050,""IDENTITAS UNIT!D9"")"),"#N/A")</f>
        <v>#N/A</v>
      </c>
      <c r="H27050" s="4" t="str">
        <v/>
      </c>
      <c r="I27050" s="4" t="str">
        <v/>
      </c>
    </row>
    <row r="27051" spans="5:9" ht="16.5" hidden="1">
      <c r="E27051" s="4" t="str">
        <v/>
      </c>
      <c r="F27051" s="102" t="str">
        <f ca="1">IFERROR(__xludf.DUMMYFUNCTION("IMPORTRANGE(H27051,""IDENTITAS UNIT!D9"")"),"#N/A")</f>
        <v>#N/A</v>
      </c>
      <c r="H27051" s="4" t="str">
        <v/>
      </c>
      <c r="I27051" s="4" t="str">
        <v/>
      </c>
    </row>
    <row r="27052" spans="5:9" ht="16.5" hidden="1">
      <c r="E27052" s="4" t="str">
        <v/>
      </c>
      <c r="F27052" s="102" t="str">
        <f ca="1">IFERROR(__xludf.DUMMYFUNCTION("IMPORTRANGE(H27052,""IDENTITAS UNIT!D9"")"),"#N/A")</f>
        <v>#N/A</v>
      </c>
      <c r="H27052" s="4" t="str">
        <v/>
      </c>
      <c r="I27052" s="4" t="str">
        <v/>
      </c>
    </row>
    <row r="27053" spans="5:9" ht="16.5" hidden="1">
      <c r="E27053" s="4" t="str">
        <v/>
      </c>
      <c r="F27053" s="102" t="str">
        <f ca="1">IFERROR(__xludf.DUMMYFUNCTION("IMPORTRANGE(H27053,""IDENTITAS UNIT!D9"")"),"#N/A")</f>
        <v>#N/A</v>
      </c>
      <c r="H27053" s="4" t="str">
        <v/>
      </c>
      <c r="I27053" s="4" t="str">
        <v/>
      </c>
    </row>
    <row r="27054" spans="5:9" ht="16.5" hidden="1">
      <c r="E27054" s="4" t="str">
        <v/>
      </c>
      <c r="F27054" s="102" t="str">
        <f ca="1">IFERROR(__xludf.DUMMYFUNCTION("IMPORTRANGE(H27054,""IDENTITAS UNIT!D9"")"),"#N/A")</f>
        <v>#N/A</v>
      </c>
      <c r="H27054" s="4" t="str">
        <v/>
      </c>
      <c r="I27054" s="4" t="str">
        <v/>
      </c>
    </row>
    <row r="27055" spans="5:9" ht="16.5" hidden="1">
      <c r="E27055" s="4" t="str">
        <v/>
      </c>
      <c r="F27055" s="102" t="str">
        <f ca="1">IFERROR(__xludf.DUMMYFUNCTION("IMPORTRANGE(H27055,""IDENTITAS UNIT!D9"")"),"#N/A")</f>
        <v>#N/A</v>
      </c>
      <c r="H27055" s="4" t="str">
        <v/>
      </c>
      <c r="I27055" s="4" t="str">
        <v/>
      </c>
    </row>
    <row r="27056" spans="5:9" ht="16.5" hidden="1">
      <c r="E27056" s="4" t="str">
        <v/>
      </c>
      <c r="F27056" s="102" t="str">
        <f ca="1">IFERROR(__xludf.DUMMYFUNCTION("IMPORTRANGE(H27056,""IDENTITAS UNIT!D9"")"),"#N/A")</f>
        <v>#N/A</v>
      </c>
      <c r="H27056" s="4" t="str">
        <v/>
      </c>
      <c r="I27056" s="4" t="str">
        <v/>
      </c>
    </row>
    <row r="27057" spans="5:9" ht="16.5" hidden="1">
      <c r="E27057" s="4" t="str">
        <v/>
      </c>
      <c r="F27057" s="102" t="str">
        <f ca="1">IFERROR(__xludf.DUMMYFUNCTION("IMPORTRANGE(H27057,""IDENTITAS UNIT!D9"")"),"#N/A")</f>
        <v>#N/A</v>
      </c>
      <c r="H27057" s="4" t="str">
        <v/>
      </c>
      <c r="I27057" s="4" t="str">
        <v/>
      </c>
    </row>
    <row r="27058" spans="5:9" ht="16.5" hidden="1">
      <c r="E27058" s="4" t="str">
        <v/>
      </c>
      <c r="F27058" s="102" t="str">
        <f ca="1">IFERROR(__xludf.DUMMYFUNCTION("IMPORTRANGE(H27058,""IDENTITAS UNIT!D9"")"),"#N/A")</f>
        <v>#N/A</v>
      </c>
      <c r="H27058" s="4" t="str">
        <v/>
      </c>
      <c r="I27058" s="4" t="str">
        <v/>
      </c>
    </row>
    <row r="27059" spans="5:9" ht="16.5" hidden="1">
      <c r="E27059" s="4" t="str">
        <v/>
      </c>
      <c r="F27059" s="102" t="str">
        <f ca="1">IFERROR(__xludf.DUMMYFUNCTION("IMPORTRANGE(H27059,""IDENTITAS UNIT!D9"")"),"#N/A")</f>
        <v>#N/A</v>
      </c>
      <c r="H27059" s="4" t="str">
        <v/>
      </c>
      <c r="I27059" s="4" t="str">
        <v/>
      </c>
    </row>
    <row r="27060" spans="5:9" ht="16.5" hidden="1">
      <c r="E27060" s="4" t="str">
        <v/>
      </c>
      <c r="F27060" s="102" t="str">
        <f ca="1">IFERROR(__xludf.DUMMYFUNCTION("IMPORTRANGE(H27060,""IDENTITAS UNIT!D9"")"),"#N/A")</f>
        <v>#N/A</v>
      </c>
      <c r="H27060" s="4" t="str">
        <v/>
      </c>
      <c r="I27060" s="4" t="str">
        <v/>
      </c>
    </row>
    <row r="27061" spans="5:9" ht="16.5" hidden="1">
      <c r="E27061" s="4" t="str">
        <v/>
      </c>
      <c r="F27061" s="102" t="str">
        <f ca="1">IFERROR(__xludf.DUMMYFUNCTION("IMPORTRANGE(H27061,""IDENTITAS UNIT!D9"")"),"#N/A")</f>
        <v>#N/A</v>
      </c>
      <c r="H27061" s="4" t="str">
        <v/>
      </c>
      <c r="I27061" s="4" t="str">
        <v/>
      </c>
    </row>
    <row r="27062" spans="5:9" ht="16.5" hidden="1">
      <c r="E27062" s="4" t="str">
        <v/>
      </c>
      <c r="F27062" s="102" t="str">
        <f ca="1">IFERROR(__xludf.DUMMYFUNCTION("IMPORTRANGE(H27062,""IDENTITAS UNIT!D9"")"),"#N/A")</f>
        <v>#N/A</v>
      </c>
      <c r="H27062" s="4" t="str">
        <v/>
      </c>
      <c r="I27062" s="4" t="str">
        <v/>
      </c>
    </row>
    <row r="27063" spans="5:9" ht="16.5" hidden="1">
      <c r="E27063" s="4" t="str">
        <v/>
      </c>
      <c r="F27063" s="102" t="str">
        <f ca="1">IFERROR(__xludf.DUMMYFUNCTION("IMPORTRANGE(H27063,""IDENTITAS UNIT!D9"")"),"#N/A")</f>
        <v>#N/A</v>
      </c>
      <c r="H27063" s="4" t="str">
        <v/>
      </c>
      <c r="I27063" s="4" t="str">
        <v/>
      </c>
    </row>
    <row r="27064" spans="5:9" ht="16.5" hidden="1">
      <c r="E27064" s="4" t="str">
        <v/>
      </c>
      <c r="F27064" s="102" t="str">
        <f ca="1">IFERROR(__xludf.DUMMYFUNCTION("IMPORTRANGE(H27064,""IDENTITAS UNIT!D9"")"),"#N/A")</f>
        <v>#N/A</v>
      </c>
      <c r="H27064" s="4" t="str">
        <v/>
      </c>
      <c r="I27064" s="4" t="str">
        <v/>
      </c>
    </row>
    <row r="27065" spans="5:9" ht="16.5" hidden="1">
      <c r="E27065" s="4" t="str">
        <v/>
      </c>
      <c r="F27065" s="102" t="str">
        <f ca="1">IFERROR(__xludf.DUMMYFUNCTION("IMPORTRANGE(H27065,""IDENTITAS UNIT!D9"")"),"#N/A")</f>
        <v>#N/A</v>
      </c>
      <c r="H27065" s="4" t="str">
        <v/>
      </c>
      <c r="I27065" s="4" t="str">
        <v/>
      </c>
    </row>
    <row r="27066" spans="5:9" ht="16.5" hidden="1">
      <c r="E27066" s="4" t="str">
        <v/>
      </c>
      <c r="F27066" s="102" t="str">
        <f ca="1">IFERROR(__xludf.DUMMYFUNCTION("IMPORTRANGE(H27066,""IDENTITAS UNIT!D9"")"),"#N/A")</f>
        <v>#N/A</v>
      </c>
      <c r="H27066" s="4" t="str">
        <v/>
      </c>
      <c r="I27066" s="4" t="str">
        <v/>
      </c>
    </row>
    <row r="27067" spans="5:9" ht="16.5" hidden="1">
      <c r="E27067" s="4" t="str">
        <v/>
      </c>
      <c r="F27067" s="102" t="str">
        <f ca="1">IFERROR(__xludf.DUMMYFUNCTION("IMPORTRANGE(H27067,""IDENTITAS UNIT!D9"")"),"#N/A")</f>
        <v>#N/A</v>
      </c>
      <c r="H27067" s="4" t="str">
        <v/>
      </c>
      <c r="I27067" s="4" t="str">
        <v/>
      </c>
    </row>
    <row r="27068" spans="5:9" ht="16.5" hidden="1">
      <c r="E27068" s="4" t="str">
        <v/>
      </c>
      <c r="F27068" s="102" t="str">
        <f ca="1">IFERROR(__xludf.DUMMYFUNCTION("IMPORTRANGE(H27068,""IDENTITAS UNIT!D9"")"),"#N/A")</f>
        <v>#N/A</v>
      </c>
      <c r="H27068" s="4" t="str">
        <v/>
      </c>
      <c r="I27068" s="4" t="str">
        <v/>
      </c>
    </row>
    <row r="27069" spans="5:9" ht="16.5" hidden="1">
      <c r="E27069" s="4" t="str">
        <v/>
      </c>
      <c r="F27069" s="102" t="str">
        <f ca="1">IFERROR(__xludf.DUMMYFUNCTION("IMPORTRANGE(H27069,""IDENTITAS UNIT!D9"")"),"#N/A")</f>
        <v>#N/A</v>
      </c>
      <c r="H27069" s="4" t="str">
        <v/>
      </c>
      <c r="I27069" s="4" t="str">
        <v/>
      </c>
    </row>
    <row r="27070" spans="5:9" ht="16.5" hidden="1">
      <c r="E27070" s="4" t="str">
        <v/>
      </c>
      <c r="F27070" s="102" t="str">
        <f ca="1">IFERROR(__xludf.DUMMYFUNCTION("IMPORTRANGE(H27070,""IDENTITAS UNIT!D9"")"),"#N/A")</f>
        <v>#N/A</v>
      </c>
      <c r="H27070" s="4" t="str">
        <v/>
      </c>
      <c r="I27070" s="4" t="str">
        <v/>
      </c>
    </row>
    <row r="27071" spans="5:9" ht="16.5" hidden="1">
      <c r="E27071" s="4" t="str">
        <v/>
      </c>
      <c r="F27071" s="102" t="str">
        <f ca="1">IFERROR(__xludf.DUMMYFUNCTION("IMPORTRANGE(H27071,""IDENTITAS UNIT!D9"")"),"#N/A")</f>
        <v>#N/A</v>
      </c>
      <c r="H27071" s="4" t="str">
        <v/>
      </c>
      <c r="I27071" s="4" t="str">
        <v/>
      </c>
    </row>
    <row r="27072" spans="5:9" ht="16.5" hidden="1">
      <c r="E27072" s="4" t="str">
        <v/>
      </c>
      <c r="F27072" s="102" t="str">
        <f ca="1">IFERROR(__xludf.DUMMYFUNCTION("IMPORTRANGE(H27072,""IDENTITAS UNIT!D9"")"),"#N/A")</f>
        <v>#N/A</v>
      </c>
      <c r="H27072" s="4" t="str">
        <v/>
      </c>
      <c r="I27072" s="4" t="str">
        <v/>
      </c>
    </row>
    <row r="27073" spans="5:9" ht="16.5" hidden="1">
      <c r="E27073" s="4" t="str">
        <v/>
      </c>
      <c r="F27073" s="102" t="str">
        <f ca="1">IFERROR(__xludf.DUMMYFUNCTION("IMPORTRANGE(H27073,""IDENTITAS UNIT!D9"")"),"#N/A")</f>
        <v>#N/A</v>
      </c>
      <c r="H27073" s="4" t="str">
        <v/>
      </c>
      <c r="I27073" s="4" t="str">
        <v/>
      </c>
    </row>
    <row r="27074" spans="5:9" ht="16.5" hidden="1">
      <c r="E27074" s="4" t="str">
        <v/>
      </c>
      <c r="F27074" s="102" t="str">
        <f ca="1">IFERROR(__xludf.DUMMYFUNCTION("IMPORTRANGE(H27074,""IDENTITAS UNIT!D9"")"),"#N/A")</f>
        <v>#N/A</v>
      </c>
      <c r="H27074" s="4" t="str">
        <v/>
      </c>
      <c r="I27074" s="4" t="str">
        <v/>
      </c>
    </row>
    <row r="27075" spans="5:9" ht="16.5" hidden="1">
      <c r="E27075" s="4" t="str">
        <v/>
      </c>
      <c r="F27075" s="102" t="str">
        <f ca="1">IFERROR(__xludf.DUMMYFUNCTION("IMPORTRANGE(H27075,""IDENTITAS UNIT!D9"")"),"#N/A")</f>
        <v>#N/A</v>
      </c>
      <c r="H27075" s="4" t="str">
        <v/>
      </c>
      <c r="I27075" s="4" t="str">
        <v/>
      </c>
    </row>
    <row r="27076" spans="5:9" ht="16.5" hidden="1">
      <c r="E27076" s="4" t="str">
        <v/>
      </c>
      <c r="F27076" s="102" t="str">
        <f ca="1">IFERROR(__xludf.DUMMYFUNCTION("IMPORTRANGE(H27076,""IDENTITAS UNIT!D9"")"),"#N/A")</f>
        <v>#N/A</v>
      </c>
      <c r="H27076" s="4" t="str">
        <v/>
      </c>
      <c r="I27076" s="4" t="str">
        <v/>
      </c>
    </row>
    <row r="27077" spans="5:9" ht="16.5" hidden="1">
      <c r="E27077" s="4" t="str">
        <v/>
      </c>
      <c r="F27077" s="102" t="str">
        <f ca="1">IFERROR(__xludf.DUMMYFUNCTION("IMPORTRANGE(H27077,""IDENTITAS UNIT!D9"")"),"#N/A")</f>
        <v>#N/A</v>
      </c>
      <c r="H27077" s="4" t="str">
        <v/>
      </c>
      <c r="I27077" s="4" t="str">
        <v/>
      </c>
    </row>
    <row r="27078" spans="5:9" ht="16.5" hidden="1">
      <c r="E27078" s="4" t="str">
        <v/>
      </c>
      <c r="F27078" s="102" t="str">
        <f ca="1">IFERROR(__xludf.DUMMYFUNCTION("IMPORTRANGE(H27078,""IDENTITAS UNIT!D9"")"),"#N/A")</f>
        <v>#N/A</v>
      </c>
      <c r="H27078" s="4" t="str">
        <v/>
      </c>
      <c r="I27078" s="4" t="str">
        <v/>
      </c>
    </row>
    <row r="27079" spans="5:9" ht="16.5" hidden="1">
      <c r="E27079" s="4" t="str">
        <v/>
      </c>
      <c r="F27079" s="102" t="str">
        <f ca="1">IFERROR(__xludf.DUMMYFUNCTION("IMPORTRANGE(H27079,""IDENTITAS UNIT!D9"")"),"#N/A")</f>
        <v>#N/A</v>
      </c>
      <c r="H27079" s="4" t="str">
        <v/>
      </c>
      <c r="I27079" s="4" t="str">
        <v/>
      </c>
    </row>
    <row r="27080" spans="5:9" ht="16.5" hidden="1">
      <c r="E27080" s="4" t="str">
        <v/>
      </c>
      <c r="F27080" s="102" t="str">
        <f ca="1">IFERROR(__xludf.DUMMYFUNCTION("IMPORTRANGE(H27080,""IDENTITAS UNIT!D9"")"),"#N/A")</f>
        <v>#N/A</v>
      </c>
      <c r="H27080" s="4" t="str">
        <v/>
      </c>
      <c r="I27080" s="4" t="str">
        <v/>
      </c>
    </row>
    <row r="27081" spans="5:9" ht="16.5" hidden="1">
      <c r="E27081" s="4" t="str">
        <v/>
      </c>
      <c r="F27081" s="102" t="str">
        <f ca="1">IFERROR(__xludf.DUMMYFUNCTION("IMPORTRANGE(H27081,""IDENTITAS UNIT!D9"")"),"#N/A")</f>
        <v>#N/A</v>
      </c>
      <c r="H27081" s="4" t="str">
        <v/>
      </c>
      <c r="I27081" s="4" t="str">
        <v/>
      </c>
    </row>
    <row r="27082" spans="5:9" ht="16.5" hidden="1">
      <c r="E27082" s="4" t="str">
        <v/>
      </c>
      <c r="F27082" s="102" t="str">
        <f ca="1">IFERROR(__xludf.DUMMYFUNCTION("IMPORTRANGE(H27082,""IDENTITAS UNIT!D9"")"),"#N/A")</f>
        <v>#N/A</v>
      </c>
      <c r="H27082" s="4" t="str">
        <v/>
      </c>
      <c r="I27082" s="4" t="str">
        <v/>
      </c>
    </row>
    <row r="27083" spans="5:9" ht="16.5" hidden="1">
      <c r="E27083" s="4" t="str">
        <v/>
      </c>
      <c r="F27083" s="102" t="str">
        <f ca="1">IFERROR(__xludf.DUMMYFUNCTION("IMPORTRANGE(H27083,""IDENTITAS UNIT!D9"")"),"#N/A")</f>
        <v>#N/A</v>
      </c>
      <c r="H27083" s="4" t="str">
        <v/>
      </c>
      <c r="I27083" s="4" t="str">
        <v/>
      </c>
    </row>
    <row r="27084" spans="5:9" ht="16.5" hidden="1">
      <c r="E27084" s="4" t="str">
        <v/>
      </c>
      <c r="F27084" s="102" t="str">
        <f ca="1">IFERROR(__xludf.DUMMYFUNCTION("IMPORTRANGE(H27084,""IDENTITAS UNIT!D9"")"),"#N/A")</f>
        <v>#N/A</v>
      </c>
      <c r="H27084" s="4" t="str">
        <v/>
      </c>
      <c r="I27084" s="4" t="str">
        <v/>
      </c>
    </row>
    <row r="27085" spans="5:9" ht="16.5" hidden="1">
      <c r="E27085" s="4" t="str">
        <v/>
      </c>
      <c r="F27085" s="102" t="str">
        <f ca="1">IFERROR(__xludf.DUMMYFUNCTION("IMPORTRANGE(H27085,""IDENTITAS UNIT!D9"")"),"#N/A")</f>
        <v>#N/A</v>
      </c>
      <c r="H27085" s="4" t="str">
        <v/>
      </c>
      <c r="I27085" s="4" t="str">
        <v/>
      </c>
    </row>
    <row r="27086" spans="5:9" ht="16.5" hidden="1">
      <c r="E27086" s="4" t="str">
        <v/>
      </c>
      <c r="F27086" s="102" t="str">
        <f ca="1">IFERROR(__xludf.DUMMYFUNCTION("IMPORTRANGE(H27086,""IDENTITAS UNIT!D9"")"),"#N/A")</f>
        <v>#N/A</v>
      </c>
      <c r="H27086" s="4" t="str">
        <v/>
      </c>
      <c r="I27086" s="4" t="str">
        <v/>
      </c>
    </row>
    <row r="27087" spans="5:9" ht="16.5" hidden="1">
      <c r="E27087" s="4" t="str">
        <v/>
      </c>
      <c r="F27087" s="102" t="str">
        <f ca="1">IFERROR(__xludf.DUMMYFUNCTION("IMPORTRANGE(H27087,""IDENTITAS UNIT!D9"")"),"#N/A")</f>
        <v>#N/A</v>
      </c>
      <c r="H27087" s="4" t="str">
        <v/>
      </c>
      <c r="I27087" s="4" t="str">
        <v/>
      </c>
    </row>
    <row r="27088" spans="5:9" ht="16.5" hidden="1">
      <c r="E27088" s="4" t="str">
        <v/>
      </c>
      <c r="F27088" s="102" t="str">
        <f ca="1">IFERROR(__xludf.DUMMYFUNCTION("IMPORTRANGE(H27088,""IDENTITAS UNIT!D9"")"),"#N/A")</f>
        <v>#N/A</v>
      </c>
      <c r="H27088" s="4" t="str">
        <v/>
      </c>
      <c r="I27088" s="4" t="str">
        <v/>
      </c>
    </row>
    <row r="27089" spans="5:9" ht="16.5" hidden="1">
      <c r="E27089" s="4" t="str">
        <v/>
      </c>
      <c r="F27089" s="102" t="str">
        <f ca="1">IFERROR(__xludf.DUMMYFUNCTION("IMPORTRANGE(H27089,""IDENTITAS UNIT!D9"")"),"#N/A")</f>
        <v>#N/A</v>
      </c>
      <c r="H27089" s="4" t="str">
        <v/>
      </c>
      <c r="I27089" s="4" t="str">
        <v/>
      </c>
    </row>
    <row r="27090" spans="5:9" ht="16.5" hidden="1">
      <c r="E27090" s="4" t="str">
        <v/>
      </c>
      <c r="F27090" s="102" t="str">
        <f ca="1">IFERROR(__xludf.DUMMYFUNCTION("IMPORTRANGE(H27090,""IDENTITAS UNIT!D9"")"),"#N/A")</f>
        <v>#N/A</v>
      </c>
      <c r="H27090" s="4" t="str">
        <v/>
      </c>
      <c r="I27090" s="4" t="str">
        <v/>
      </c>
    </row>
    <row r="27091" spans="5:9" ht="16.5" hidden="1">
      <c r="E27091" s="4" t="str">
        <v/>
      </c>
      <c r="F27091" s="102" t="str">
        <f ca="1">IFERROR(__xludf.DUMMYFUNCTION("IMPORTRANGE(H27091,""IDENTITAS UNIT!D9"")"),"#N/A")</f>
        <v>#N/A</v>
      </c>
      <c r="H27091" s="4" t="str">
        <v/>
      </c>
      <c r="I27091" s="4" t="str">
        <v/>
      </c>
    </row>
    <row r="27092" spans="5:9" ht="16.5" hidden="1">
      <c r="E27092" s="4" t="str">
        <v/>
      </c>
      <c r="F27092" s="102" t="str">
        <f ca="1">IFERROR(__xludf.DUMMYFUNCTION("IMPORTRANGE(H27092,""IDENTITAS UNIT!D9"")"),"#N/A")</f>
        <v>#N/A</v>
      </c>
      <c r="H27092" s="4" t="str">
        <v/>
      </c>
      <c r="I27092" s="4" t="str">
        <v/>
      </c>
    </row>
    <row r="27093" spans="5:9" ht="16.5" hidden="1">
      <c r="E27093" s="4" t="str">
        <v/>
      </c>
      <c r="F27093" s="102" t="str">
        <f ca="1">IFERROR(__xludf.DUMMYFUNCTION("IMPORTRANGE(H27093,""IDENTITAS UNIT!D9"")"),"#N/A")</f>
        <v>#N/A</v>
      </c>
      <c r="H27093" s="4" t="str">
        <v/>
      </c>
      <c r="I27093" s="4" t="str">
        <v/>
      </c>
    </row>
    <row r="27094" spans="5:9" ht="16.5" hidden="1">
      <c r="E27094" s="4" t="str">
        <v/>
      </c>
      <c r="F27094" s="102" t="str">
        <f ca="1">IFERROR(__xludf.DUMMYFUNCTION("IMPORTRANGE(H27094,""IDENTITAS UNIT!D9"")"),"#N/A")</f>
        <v>#N/A</v>
      </c>
      <c r="H27094" s="4" t="str">
        <v/>
      </c>
      <c r="I27094" s="4" t="str">
        <v/>
      </c>
    </row>
    <row r="27095" spans="5:9" ht="16.5" hidden="1">
      <c r="E27095" s="4" t="str">
        <v/>
      </c>
      <c r="F27095" s="102" t="str">
        <f ca="1">IFERROR(__xludf.DUMMYFUNCTION("IMPORTRANGE(H27095,""IDENTITAS UNIT!D9"")"),"#N/A")</f>
        <v>#N/A</v>
      </c>
      <c r="H27095" s="4" t="str">
        <v/>
      </c>
      <c r="I27095" s="4" t="str">
        <v/>
      </c>
    </row>
    <row r="27096" spans="5:9" ht="16.5" hidden="1">
      <c r="E27096" s="4" t="str">
        <v/>
      </c>
      <c r="F27096" s="102" t="str">
        <f ca="1">IFERROR(__xludf.DUMMYFUNCTION("IMPORTRANGE(H27096,""IDENTITAS UNIT!D9"")"),"#N/A")</f>
        <v>#N/A</v>
      </c>
      <c r="H27096" s="4" t="str">
        <v/>
      </c>
      <c r="I27096" s="4" t="str">
        <v/>
      </c>
    </row>
    <row r="27097" spans="5:9" ht="16.5" hidden="1">
      <c r="E27097" s="4" t="str">
        <v/>
      </c>
      <c r="F27097" s="102" t="str">
        <f ca="1">IFERROR(__xludf.DUMMYFUNCTION("IMPORTRANGE(H27097,""IDENTITAS UNIT!D9"")"),"#N/A")</f>
        <v>#N/A</v>
      </c>
      <c r="H27097" s="4" t="str">
        <v/>
      </c>
      <c r="I27097" s="4" t="str">
        <v/>
      </c>
    </row>
    <row r="27098" spans="5:9" ht="16.5" hidden="1">
      <c r="E27098" s="4" t="str">
        <v/>
      </c>
      <c r="F27098" s="102" t="str">
        <f ca="1">IFERROR(__xludf.DUMMYFUNCTION("IMPORTRANGE(H27098,""IDENTITAS UNIT!D9"")"),"#N/A")</f>
        <v>#N/A</v>
      </c>
      <c r="H27098" s="4" t="str">
        <v/>
      </c>
      <c r="I27098" s="4" t="str">
        <v/>
      </c>
    </row>
    <row r="27099" spans="5:9" ht="16.5" hidden="1">
      <c r="E27099" s="4" t="str">
        <v/>
      </c>
      <c r="F27099" s="102" t="str">
        <f ca="1">IFERROR(__xludf.DUMMYFUNCTION("IMPORTRANGE(H27099,""IDENTITAS UNIT!D9"")"),"#N/A")</f>
        <v>#N/A</v>
      </c>
      <c r="H27099" s="4" t="str">
        <v/>
      </c>
      <c r="I27099" s="4" t="str">
        <v/>
      </c>
    </row>
    <row r="27100" spans="5:9" ht="16.5" hidden="1">
      <c r="E27100" s="4" t="str">
        <v/>
      </c>
      <c r="F27100" s="102" t="str">
        <f ca="1">IFERROR(__xludf.DUMMYFUNCTION("IMPORTRANGE(H27100,""IDENTITAS UNIT!D9"")"),"#N/A")</f>
        <v>#N/A</v>
      </c>
      <c r="H27100" s="4" t="str">
        <v/>
      </c>
      <c r="I27100" s="4" t="str">
        <v/>
      </c>
    </row>
    <row r="27101" spans="5:9" ht="16.5" hidden="1">
      <c r="E27101" s="4" t="str">
        <v/>
      </c>
      <c r="F27101" s="102" t="str">
        <f ca="1">IFERROR(__xludf.DUMMYFUNCTION("IMPORTRANGE(H27101,""IDENTITAS UNIT!D9"")"),"#N/A")</f>
        <v>#N/A</v>
      </c>
      <c r="H27101" s="4" t="str">
        <v/>
      </c>
      <c r="I27101" s="4" t="str">
        <v/>
      </c>
    </row>
    <row r="27102" spans="5:9" ht="16.5" hidden="1">
      <c r="E27102" s="4" t="str">
        <v/>
      </c>
      <c r="F27102" s="102" t="str">
        <f ca="1">IFERROR(__xludf.DUMMYFUNCTION("IMPORTRANGE(H27102,""IDENTITAS UNIT!D9"")"),"#N/A")</f>
        <v>#N/A</v>
      </c>
      <c r="H27102" s="4" t="str">
        <v/>
      </c>
      <c r="I27102" s="4" t="str">
        <v/>
      </c>
    </row>
    <row r="27103" spans="5:9" ht="16.5" hidden="1">
      <c r="E27103" s="4" t="str">
        <v/>
      </c>
      <c r="F27103" s="102" t="str">
        <f ca="1">IFERROR(__xludf.DUMMYFUNCTION("IMPORTRANGE(H27103,""IDENTITAS UNIT!D9"")"),"#N/A")</f>
        <v>#N/A</v>
      </c>
      <c r="H27103" s="4" t="str">
        <v/>
      </c>
      <c r="I27103" s="4" t="str">
        <v/>
      </c>
    </row>
    <row r="27104" spans="5:9" ht="16.5" hidden="1">
      <c r="E27104" s="4" t="str">
        <v/>
      </c>
      <c r="F27104" s="102" t="str">
        <f ca="1">IFERROR(__xludf.DUMMYFUNCTION("IMPORTRANGE(H27104,""IDENTITAS UNIT!D9"")"),"#N/A")</f>
        <v>#N/A</v>
      </c>
      <c r="H27104" s="4" t="str">
        <v/>
      </c>
      <c r="I27104" s="4" t="str">
        <v/>
      </c>
    </row>
    <row r="27105" spans="5:9" ht="16.5" hidden="1">
      <c r="E27105" s="4" t="str">
        <v/>
      </c>
      <c r="F27105" s="102" t="str">
        <f ca="1">IFERROR(__xludf.DUMMYFUNCTION("IMPORTRANGE(H27105,""IDENTITAS UNIT!D9"")"),"#N/A")</f>
        <v>#N/A</v>
      </c>
      <c r="H27105" s="4" t="str">
        <v/>
      </c>
      <c r="I27105" s="4" t="str">
        <v/>
      </c>
    </row>
    <row r="27106" spans="5:9" ht="16.5" hidden="1">
      <c r="E27106" s="4" t="str">
        <v/>
      </c>
      <c r="F27106" s="102" t="str">
        <f ca="1">IFERROR(__xludf.DUMMYFUNCTION("IMPORTRANGE(H27106,""IDENTITAS UNIT!D9"")"),"#N/A")</f>
        <v>#N/A</v>
      </c>
      <c r="H27106" s="4" t="str">
        <v/>
      </c>
      <c r="I27106" s="4" t="str">
        <v/>
      </c>
    </row>
    <row r="27107" spans="5:9" ht="16.5" hidden="1">
      <c r="E27107" s="4" t="str">
        <v/>
      </c>
      <c r="F27107" s="102" t="str">
        <f ca="1">IFERROR(__xludf.DUMMYFUNCTION("IMPORTRANGE(H27107,""IDENTITAS UNIT!D9"")"),"#N/A")</f>
        <v>#N/A</v>
      </c>
      <c r="H27107" s="4" t="str">
        <v/>
      </c>
      <c r="I27107" s="4" t="str">
        <v/>
      </c>
    </row>
    <row r="27108" spans="5:9" ht="16.5" hidden="1">
      <c r="E27108" s="4" t="str">
        <v/>
      </c>
      <c r="F27108" s="102" t="str">
        <f ca="1">IFERROR(__xludf.DUMMYFUNCTION("IMPORTRANGE(H27108,""IDENTITAS UNIT!D9"")"),"#N/A")</f>
        <v>#N/A</v>
      </c>
      <c r="H27108" s="4" t="str">
        <v/>
      </c>
      <c r="I27108" s="4" t="str">
        <v/>
      </c>
    </row>
    <row r="27109" spans="5:9" ht="16.5" hidden="1">
      <c r="E27109" s="4" t="str">
        <v/>
      </c>
      <c r="F27109" s="102" t="str">
        <f ca="1">IFERROR(__xludf.DUMMYFUNCTION("IMPORTRANGE(H27109,""IDENTITAS UNIT!D9"")"),"#N/A")</f>
        <v>#N/A</v>
      </c>
      <c r="H27109" s="4" t="str">
        <v/>
      </c>
      <c r="I27109" s="4" t="str">
        <v/>
      </c>
    </row>
    <row r="27110" spans="5:9" ht="16.5" hidden="1">
      <c r="E27110" s="4" t="str">
        <v/>
      </c>
      <c r="F27110" s="102" t="str">
        <f ca="1">IFERROR(__xludf.DUMMYFUNCTION("IMPORTRANGE(H27110,""IDENTITAS UNIT!D9"")"),"#N/A")</f>
        <v>#N/A</v>
      </c>
      <c r="H27110" s="4" t="str">
        <v/>
      </c>
      <c r="I27110" s="4" t="str">
        <v/>
      </c>
    </row>
    <row r="27111" spans="5:9" ht="16.5" hidden="1">
      <c r="E27111" s="4" t="str">
        <v/>
      </c>
      <c r="F27111" s="102" t="str">
        <f ca="1">IFERROR(__xludf.DUMMYFUNCTION("IMPORTRANGE(H27111,""IDENTITAS UNIT!D9"")"),"#N/A")</f>
        <v>#N/A</v>
      </c>
      <c r="H27111" s="4" t="str">
        <v/>
      </c>
      <c r="I27111" s="4" t="str">
        <v/>
      </c>
    </row>
    <row r="27112" spans="5:9" ht="16.5" hidden="1">
      <c r="E27112" s="4" t="str">
        <v/>
      </c>
      <c r="F27112" s="102" t="str">
        <f ca="1">IFERROR(__xludf.DUMMYFUNCTION("IMPORTRANGE(H27112,""IDENTITAS UNIT!D9"")"),"#N/A")</f>
        <v>#N/A</v>
      </c>
      <c r="H27112" s="4" t="str">
        <v/>
      </c>
      <c r="I27112" s="4" t="str">
        <v/>
      </c>
    </row>
    <row r="27113" spans="5:9" ht="16.5" hidden="1">
      <c r="E27113" s="4" t="str">
        <v/>
      </c>
      <c r="F27113" s="102" t="str">
        <f ca="1">IFERROR(__xludf.DUMMYFUNCTION("IMPORTRANGE(H27113,""IDENTITAS UNIT!D9"")"),"#N/A")</f>
        <v>#N/A</v>
      </c>
      <c r="H27113" s="4" t="str">
        <v/>
      </c>
      <c r="I27113" s="4" t="str">
        <v/>
      </c>
    </row>
    <row r="27114" spans="5:9" ht="16.5" hidden="1">
      <c r="E27114" s="4" t="str">
        <v/>
      </c>
      <c r="F27114" s="102" t="str">
        <f ca="1">IFERROR(__xludf.DUMMYFUNCTION("IMPORTRANGE(H27114,""IDENTITAS UNIT!D9"")"),"#N/A")</f>
        <v>#N/A</v>
      </c>
      <c r="H27114" s="4" t="str">
        <v/>
      </c>
      <c r="I27114" s="4" t="str">
        <v/>
      </c>
    </row>
    <row r="27115" spans="5:9" ht="16.5" hidden="1">
      <c r="E27115" s="4" t="str">
        <v/>
      </c>
      <c r="F27115" s="102" t="str">
        <f ca="1">IFERROR(__xludf.DUMMYFUNCTION("IMPORTRANGE(H27115,""IDENTITAS UNIT!D9"")"),"#N/A")</f>
        <v>#N/A</v>
      </c>
      <c r="H27115" s="4" t="str">
        <v/>
      </c>
      <c r="I27115" s="4" t="str">
        <v/>
      </c>
    </row>
    <row r="27116" spans="5:9" ht="16.5" hidden="1">
      <c r="E27116" s="4" t="str">
        <v/>
      </c>
      <c r="F27116" s="102" t="str">
        <f ca="1">IFERROR(__xludf.DUMMYFUNCTION("IMPORTRANGE(H27116,""IDENTITAS UNIT!D9"")"),"#N/A")</f>
        <v>#N/A</v>
      </c>
      <c r="H27116" s="4" t="str">
        <v/>
      </c>
      <c r="I27116" s="4" t="str">
        <v/>
      </c>
    </row>
    <row r="27117" spans="5:9" ht="16.5" hidden="1">
      <c r="E27117" s="4" t="str">
        <v/>
      </c>
      <c r="F27117" s="102" t="str">
        <f ca="1">IFERROR(__xludf.DUMMYFUNCTION("IMPORTRANGE(H27117,""IDENTITAS UNIT!D9"")"),"#N/A")</f>
        <v>#N/A</v>
      </c>
      <c r="H27117" s="4" t="str">
        <v/>
      </c>
      <c r="I27117" s="4" t="str">
        <v/>
      </c>
    </row>
    <row r="27118" spans="5:9" ht="16.5" hidden="1">
      <c r="E27118" s="4" t="str">
        <v/>
      </c>
      <c r="F27118" s="102" t="str">
        <f ca="1">IFERROR(__xludf.DUMMYFUNCTION("IMPORTRANGE(H27118,""IDENTITAS UNIT!D9"")"),"#N/A")</f>
        <v>#N/A</v>
      </c>
      <c r="H27118" s="4" t="str">
        <v/>
      </c>
      <c r="I27118" s="4" t="str">
        <v/>
      </c>
    </row>
    <row r="27119" spans="5:9" ht="16.5" hidden="1">
      <c r="E27119" s="4" t="str">
        <v/>
      </c>
      <c r="F27119" s="102" t="str">
        <f ca="1">IFERROR(__xludf.DUMMYFUNCTION("IMPORTRANGE(H27119,""IDENTITAS UNIT!D9"")"),"#N/A")</f>
        <v>#N/A</v>
      </c>
      <c r="H27119" s="4" t="str">
        <v/>
      </c>
      <c r="I27119" s="4" t="str">
        <v/>
      </c>
    </row>
    <row r="27120" spans="5:9" ht="16.5" hidden="1">
      <c r="E27120" s="4" t="str">
        <v/>
      </c>
      <c r="F27120" s="102" t="str">
        <f ca="1">IFERROR(__xludf.DUMMYFUNCTION("IMPORTRANGE(H27120,""IDENTITAS UNIT!D9"")"),"#N/A")</f>
        <v>#N/A</v>
      </c>
      <c r="H27120" s="4" t="str">
        <v/>
      </c>
      <c r="I27120" s="4" t="str">
        <v/>
      </c>
    </row>
    <row r="27121" spans="5:9" ht="16.5" hidden="1">
      <c r="E27121" s="4" t="str">
        <v/>
      </c>
      <c r="F27121" s="102" t="str">
        <f ca="1">IFERROR(__xludf.DUMMYFUNCTION("IMPORTRANGE(H27121,""IDENTITAS UNIT!D9"")"),"#N/A")</f>
        <v>#N/A</v>
      </c>
      <c r="H27121" s="4" t="str">
        <v/>
      </c>
      <c r="I27121" s="4" t="str">
        <v/>
      </c>
    </row>
    <row r="27122" spans="5:9" ht="16.5" hidden="1">
      <c r="E27122" s="4" t="str">
        <v/>
      </c>
      <c r="F27122" s="102" t="str">
        <f ca="1">IFERROR(__xludf.DUMMYFUNCTION("IMPORTRANGE(H27122,""IDENTITAS UNIT!D9"")"),"#N/A")</f>
        <v>#N/A</v>
      </c>
      <c r="H27122" s="4" t="str">
        <v/>
      </c>
      <c r="I27122" s="4" t="str">
        <v/>
      </c>
    </row>
    <row r="27123" spans="5:9" ht="16.5" hidden="1">
      <c r="E27123" s="4" t="str">
        <v/>
      </c>
      <c r="F27123" s="102" t="str">
        <f ca="1">IFERROR(__xludf.DUMMYFUNCTION("IMPORTRANGE(H27123,""IDENTITAS UNIT!D9"")"),"#N/A")</f>
        <v>#N/A</v>
      </c>
      <c r="H27123" s="4" t="str">
        <v/>
      </c>
      <c r="I27123" s="4" t="str">
        <v/>
      </c>
    </row>
    <row r="27124" spans="5:9" ht="16.5" hidden="1">
      <c r="E27124" s="4" t="str">
        <v/>
      </c>
      <c r="F27124" s="102" t="str">
        <f ca="1">IFERROR(__xludf.DUMMYFUNCTION("IMPORTRANGE(H27124,""IDENTITAS UNIT!D9"")"),"#N/A")</f>
        <v>#N/A</v>
      </c>
      <c r="H27124" s="4" t="str">
        <v/>
      </c>
      <c r="I27124" s="4" t="str">
        <v/>
      </c>
    </row>
    <row r="27125" spans="5:9" ht="16.5" hidden="1">
      <c r="E27125" s="4" t="str">
        <v/>
      </c>
      <c r="F27125" s="102" t="str">
        <f ca="1">IFERROR(__xludf.DUMMYFUNCTION("IMPORTRANGE(H27125,""IDENTITAS UNIT!D9"")"),"#N/A")</f>
        <v>#N/A</v>
      </c>
      <c r="H27125" s="4" t="str">
        <v/>
      </c>
      <c r="I27125" s="4" t="str">
        <v/>
      </c>
    </row>
    <row r="27126" spans="5:9" ht="16.5" hidden="1">
      <c r="E27126" s="4" t="str">
        <v/>
      </c>
      <c r="F27126" s="102" t="str">
        <f ca="1">IFERROR(__xludf.DUMMYFUNCTION("IMPORTRANGE(H27126,""IDENTITAS UNIT!D9"")"),"#N/A")</f>
        <v>#N/A</v>
      </c>
      <c r="H27126" s="4" t="str">
        <v/>
      </c>
      <c r="I27126" s="4" t="str">
        <v/>
      </c>
    </row>
    <row r="27127" spans="5:9" ht="16.5" hidden="1">
      <c r="E27127" s="4" t="str">
        <v/>
      </c>
      <c r="F27127" s="102" t="str">
        <f ca="1">IFERROR(__xludf.DUMMYFUNCTION("IMPORTRANGE(H27127,""IDENTITAS UNIT!D9"")"),"#N/A")</f>
        <v>#N/A</v>
      </c>
      <c r="H27127" s="4" t="str">
        <v/>
      </c>
      <c r="I27127" s="4" t="str">
        <v/>
      </c>
    </row>
    <row r="27128" spans="5:9" ht="16.5" hidden="1">
      <c r="E27128" s="4" t="str">
        <v/>
      </c>
      <c r="F27128" s="102" t="str">
        <f ca="1">IFERROR(__xludf.DUMMYFUNCTION("IMPORTRANGE(H27128,""IDENTITAS UNIT!D9"")"),"#N/A")</f>
        <v>#N/A</v>
      </c>
      <c r="H27128" s="4" t="str">
        <v/>
      </c>
      <c r="I27128" s="4" t="str">
        <v/>
      </c>
    </row>
    <row r="27129" spans="5:9" ht="16.5" hidden="1">
      <c r="E27129" s="4" t="str">
        <v/>
      </c>
      <c r="F27129" s="102" t="str">
        <f ca="1">IFERROR(__xludf.DUMMYFUNCTION("IMPORTRANGE(H27129,""IDENTITAS UNIT!D9"")"),"#N/A")</f>
        <v>#N/A</v>
      </c>
      <c r="H27129" s="4" t="str">
        <v/>
      </c>
      <c r="I27129" s="4" t="str">
        <v/>
      </c>
    </row>
    <row r="27130" spans="5:9" ht="16.5" hidden="1">
      <c r="E27130" s="4" t="str">
        <v/>
      </c>
      <c r="F27130" s="102" t="str">
        <f ca="1">IFERROR(__xludf.DUMMYFUNCTION("IMPORTRANGE(H27130,""IDENTITAS UNIT!D9"")"),"#N/A")</f>
        <v>#N/A</v>
      </c>
      <c r="H27130" s="4" t="str">
        <v/>
      </c>
      <c r="I27130" s="4" t="str">
        <v/>
      </c>
    </row>
    <row r="27131" spans="5:9" ht="16.5" hidden="1">
      <c r="E27131" s="4" t="str">
        <v/>
      </c>
      <c r="F27131" s="102" t="str">
        <f ca="1">IFERROR(__xludf.DUMMYFUNCTION("IMPORTRANGE(H27131,""IDENTITAS UNIT!D9"")"),"#N/A")</f>
        <v>#N/A</v>
      </c>
      <c r="H27131" s="4" t="str">
        <v/>
      </c>
      <c r="I27131" s="4" t="str">
        <v/>
      </c>
    </row>
    <row r="27132" spans="5:9" ht="16.5" hidden="1">
      <c r="E27132" s="4" t="str">
        <v/>
      </c>
      <c r="F27132" s="102" t="str">
        <f ca="1">IFERROR(__xludf.DUMMYFUNCTION("IMPORTRANGE(H27132,""IDENTITAS UNIT!D9"")"),"#N/A")</f>
        <v>#N/A</v>
      </c>
      <c r="H27132" s="4" t="str">
        <v/>
      </c>
      <c r="I27132" s="4" t="str">
        <v/>
      </c>
    </row>
    <row r="27133" spans="5:9" ht="16.5" hidden="1">
      <c r="E27133" s="4" t="str">
        <v/>
      </c>
      <c r="F27133" s="102" t="str">
        <f ca="1">IFERROR(__xludf.DUMMYFUNCTION("IMPORTRANGE(H27133,""IDENTITAS UNIT!D9"")"),"#N/A")</f>
        <v>#N/A</v>
      </c>
      <c r="H27133" s="4" t="str">
        <v/>
      </c>
      <c r="I27133" s="4" t="str">
        <v/>
      </c>
    </row>
    <row r="27134" spans="5:9" ht="16.5" hidden="1">
      <c r="E27134" s="4" t="str">
        <v/>
      </c>
      <c r="F27134" s="102" t="str">
        <f ca="1">IFERROR(__xludf.DUMMYFUNCTION("IMPORTRANGE(H27134,""IDENTITAS UNIT!D9"")"),"#N/A")</f>
        <v>#N/A</v>
      </c>
      <c r="H27134" s="4" t="str">
        <v/>
      </c>
      <c r="I27134" s="4" t="str">
        <v/>
      </c>
    </row>
    <row r="27135" spans="5:9" ht="16.5" hidden="1">
      <c r="E27135" s="4" t="str">
        <v/>
      </c>
      <c r="F27135" s="102" t="str">
        <f ca="1">IFERROR(__xludf.DUMMYFUNCTION("IMPORTRANGE(H27135,""IDENTITAS UNIT!D9"")"),"#N/A")</f>
        <v>#N/A</v>
      </c>
      <c r="H27135" s="4" t="str">
        <v/>
      </c>
      <c r="I27135" s="4" t="str">
        <v/>
      </c>
    </row>
    <row r="27136" spans="5:9" ht="16.5" hidden="1">
      <c r="E27136" s="4" t="str">
        <v/>
      </c>
      <c r="F27136" s="102" t="str">
        <f ca="1">IFERROR(__xludf.DUMMYFUNCTION("IMPORTRANGE(H27136,""IDENTITAS UNIT!D9"")"),"#N/A")</f>
        <v>#N/A</v>
      </c>
      <c r="H27136" s="4" t="str">
        <v/>
      </c>
      <c r="I27136" s="4" t="str">
        <v/>
      </c>
    </row>
    <row r="27137" spans="5:9" ht="16.5" hidden="1">
      <c r="E27137" s="4" t="str">
        <v/>
      </c>
      <c r="F27137" s="102" t="str">
        <f ca="1">IFERROR(__xludf.DUMMYFUNCTION("IMPORTRANGE(H27137,""IDENTITAS UNIT!D9"")"),"#N/A")</f>
        <v>#N/A</v>
      </c>
      <c r="H27137" s="4" t="str">
        <v/>
      </c>
      <c r="I27137" s="4" t="str">
        <v/>
      </c>
    </row>
    <row r="27138" spans="5:9" ht="16.5" hidden="1">
      <c r="E27138" s="4" t="str">
        <v/>
      </c>
      <c r="F27138" s="102" t="str">
        <f ca="1">IFERROR(__xludf.DUMMYFUNCTION("IMPORTRANGE(H27138,""IDENTITAS UNIT!D9"")"),"#N/A")</f>
        <v>#N/A</v>
      </c>
      <c r="H27138" s="4" t="str">
        <v/>
      </c>
      <c r="I27138" s="4" t="str">
        <v/>
      </c>
    </row>
    <row r="27139" spans="5:9" ht="16.5" hidden="1">
      <c r="E27139" s="4" t="str">
        <v/>
      </c>
      <c r="F27139" s="102" t="str">
        <f ca="1">IFERROR(__xludf.DUMMYFUNCTION("IMPORTRANGE(H27139,""IDENTITAS UNIT!D9"")"),"#N/A")</f>
        <v>#N/A</v>
      </c>
      <c r="H27139" s="4" t="str">
        <v/>
      </c>
      <c r="I27139" s="4" t="str">
        <v/>
      </c>
    </row>
    <row r="27140" spans="5:9" ht="16.5" hidden="1">
      <c r="E27140" s="4" t="str">
        <v/>
      </c>
      <c r="F27140" s="102" t="str">
        <f ca="1">IFERROR(__xludf.DUMMYFUNCTION("IMPORTRANGE(H27140,""IDENTITAS UNIT!D9"")"),"#N/A")</f>
        <v>#N/A</v>
      </c>
      <c r="H27140" s="4" t="str">
        <v/>
      </c>
      <c r="I27140" s="4" t="str">
        <v/>
      </c>
    </row>
    <row r="27141" spans="5:9" ht="16.5" hidden="1">
      <c r="E27141" s="4" t="str">
        <v/>
      </c>
      <c r="F27141" s="102" t="str">
        <f ca="1">IFERROR(__xludf.DUMMYFUNCTION("IMPORTRANGE(H27141,""IDENTITAS UNIT!D9"")"),"#N/A")</f>
        <v>#N/A</v>
      </c>
      <c r="H27141" s="4" t="str">
        <v/>
      </c>
      <c r="I27141" s="4" t="str">
        <v/>
      </c>
    </row>
    <row r="27142" spans="5:9" ht="16.5" hidden="1">
      <c r="E27142" s="4" t="str">
        <v/>
      </c>
      <c r="F27142" s="102" t="str">
        <f ca="1">IFERROR(__xludf.DUMMYFUNCTION("IMPORTRANGE(H27142,""IDENTITAS UNIT!D9"")"),"#N/A")</f>
        <v>#N/A</v>
      </c>
      <c r="H27142" s="4" t="str">
        <v/>
      </c>
      <c r="I27142" s="4" t="str">
        <v/>
      </c>
    </row>
    <row r="27143" spans="5:9" ht="16.5" hidden="1">
      <c r="E27143" s="4" t="str">
        <v/>
      </c>
      <c r="F27143" s="102" t="str">
        <f ca="1">IFERROR(__xludf.DUMMYFUNCTION("IMPORTRANGE(H27143,""IDENTITAS UNIT!D9"")"),"#N/A")</f>
        <v>#N/A</v>
      </c>
      <c r="H27143" s="4" t="str">
        <v/>
      </c>
      <c r="I27143" s="4" t="str">
        <v/>
      </c>
    </row>
    <row r="27144" spans="5:9" ht="16.5" hidden="1">
      <c r="E27144" s="4" t="str">
        <v/>
      </c>
      <c r="F27144" s="102" t="str">
        <f ca="1">IFERROR(__xludf.DUMMYFUNCTION("IMPORTRANGE(H27144,""IDENTITAS UNIT!D9"")"),"#N/A")</f>
        <v>#N/A</v>
      </c>
      <c r="H27144" s="4" t="str">
        <v/>
      </c>
      <c r="I27144" s="4" t="str">
        <v/>
      </c>
    </row>
    <row r="27145" spans="5:9" ht="16.5" hidden="1">
      <c r="E27145" s="4" t="str">
        <v/>
      </c>
      <c r="F27145" s="102" t="str">
        <f ca="1">IFERROR(__xludf.DUMMYFUNCTION("IMPORTRANGE(H27145,""IDENTITAS UNIT!D9"")"),"#N/A")</f>
        <v>#N/A</v>
      </c>
      <c r="H27145" s="4" t="str">
        <v/>
      </c>
      <c r="I27145" s="4" t="str">
        <v/>
      </c>
    </row>
    <row r="27146" spans="5:9" ht="16.5" hidden="1">
      <c r="E27146" s="4" t="str">
        <v/>
      </c>
      <c r="F27146" s="102" t="str">
        <f ca="1">IFERROR(__xludf.DUMMYFUNCTION("IMPORTRANGE(H27146,""IDENTITAS UNIT!D9"")"),"#N/A")</f>
        <v>#N/A</v>
      </c>
      <c r="H27146" s="4" t="str">
        <v/>
      </c>
      <c r="I27146" s="4" t="str">
        <v/>
      </c>
    </row>
    <row r="27147" spans="5:9" ht="16.5" hidden="1">
      <c r="E27147" s="4" t="str">
        <v/>
      </c>
      <c r="F27147" s="102" t="str">
        <f ca="1">IFERROR(__xludf.DUMMYFUNCTION("IMPORTRANGE(H27147,""IDENTITAS UNIT!D9"")"),"#N/A")</f>
        <v>#N/A</v>
      </c>
      <c r="H27147" s="4" t="str">
        <v/>
      </c>
      <c r="I27147" s="4" t="str">
        <v/>
      </c>
    </row>
    <row r="27148" spans="5:9" ht="16.5" hidden="1">
      <c r="E27148" s="4" t="str">
        <v/>
      </c>
      <c r="F27148" s="102" t="str">
        <f ca="1">IFERROR(__xludf.DUMMYFUNCTION("IMPORTRANGE(H27148,""IDENTITAS UNIT!D9"")"),"#N/A")</f>
        <v>#N/A</v>
      </c>
      <c r="H27148" s="4" t="str">
        <v/>
      </c>
      <c r="I27148" s="4" t="str">
        <v/>
      </c>
    </row>
    <row r="27149" spans="5:9" ht="16.5" hidden="1">
      <c r="E27149" s="4" t="str">
        <v/>
      </c>
      <c r="F27149" s="102" t="str">
        <f ca="1">IFERROR(__xludf.DUMMYFUNCTION("IMPORTRANGE(H27149,""IDENTITAS UNIT!D9"")"),"#N/A")</f>
        <v>#N/A</v>
      </c>
      <c r="H27149" s="4" t="str">
        <v/>
      </c>
      <c r="I27149" s="4" t="str">
        <v/>
      </c>
    </row>
    <row r="27150" spans="5:9" ht="16.5" hidden="1">
      <c r="E27150" s="4" t="str">
        <v/>
      </c>
      <c r="F27150" s="102" t="str">
        <f ca="1">IFERROR(__xludf.DUMMYFUNCTION("IMPORTRANGE(H27150,""IDENTITAS UNIT!D9"")"),"#N/A")</f>
        <v>#N/A</v>
      </c>
      <c r="H27150" s="4" t="str">
        <v/>
      </c>
      <c r="I27150" s="4" t="str">
        <v/>
      </c>
    </row>
    <row r="27151" spans="5:9" ht="16.5" hidden="1">
      <c r="E27151" s="4" t="str">
        <v/>
      </c>
      <c r="F27151" s="102" t="str">
        <f ca="1">IFERROR(__xludf.DUMMYFUNCTION("IMPORTRANGE(H27151,""IDENTITAS UNIT!D9"")"),"#N/A")</f>
        <v>#N/A</v>
      </c>
      <c r="H27151" s="4" t="str">
        <v/>
      </c>
      <c r="I27151" s="4" t="str">
        <v/>
      </c>
    </row>
    <row r="27152" spans="5:9" ht="16.5" hidden="1">
      <c r="E27152" s="4" t="str">
        <v/>
      </c>
      <c r="F27152" s="102" t="str">
        <f ca="1">IFERROR(__xludf.DUMMYFUNCTION("IMPORTRANGE(H27152,""IDENTITAS UNIT!D9"")"),"#N/A")</f>
        <v>#N/A</v>
      </c>
      <c r="H27152" s="4" t="str">
        <v/>
      </c>
      <c r="I27152" s="4" t="str">
        <v/>
      </c>
    </row>
    <row r="27153" spans="5:9" ht="16.5" hidden="1">
      <c r="E27153" s="4" t="str">
        <v/>
      </c>
      <c r="F27153" s="102" t="str">
        <f ca="1">IFERROR(__xludf.DUMMYFUNCTION("IMPORTRANGE(H27153,""IDENTITAS UNIT!D9"")"),"#N/A")</f>
        <v>#N/A</v>
      </c>
      <c r="H27153" s="4" t="str">
        <v/>
      </c>
      <c r="I27153" s="4" t="str">
        <v/>
      </c>
    </row>
    <row r="27154" spans="5:9" ht="16.5" hidden="1">
      <c r="E27154" s="4" t="str">
        <v/>
      </c>
      <c r="F27154" s="102" t="str">
        <f ca="1">IFERROR(__xludf.DUMMYFUNCTION("IMPORTRANGE(H27154,""IDENTITAS UNIT!D9"")"),"#N/A")</f>
        <v>#N/A</v>
      </c>
      <c r="H27154" s="4" t="str">
        <v/>
      </c>
      <c r="I27154" s="4" t="str">
        <v/>
      </c>
    </row>
    <row r="27155" spans="5:9" ht="16.5" hidden="1">
      <c r="E27155" s="4" t="str">
        <v/>
      </c>
      <c r="F27155" s="102" t="str">
        <f ca="1">IFERROR(__xludf.DUMMYFUNCTION("IMPORTRANGE(H27155,""IDENTITAS UNIT!D9"")"),"#N/A")</f>
        <v>#N/A</v>
      </c>
      <c r="H27155" s="4" t="str">
        <v/>
      </c>
      <c r="I27155" s="4" t="str">
        <v/>
      </c>
    </row>
    <row r="27156" spans="5:9" ht="16.5" hidden="1">
      <c r="E27156" s="4" t="str">
        <v/>
      </c>
      <c r="F27156" s="102" t="str">
        <f ca="1">IFERROR(__xludf.DUMMYFUNCTION("IMPORTRANGE(H27156,""IDENTITAS UNIT!D9"")"),"#N/A")</f>
        <v>#N/A</v>
      </c>
      <c r="H27156" s="4" t="str">
        <v/>
      </c>
      <c r="I27156" s="4" t="str">
        <v/>
      </c>
    </row>
    <row r="27157" spans="5:9" ht="16.5" hidden="1">
      <c r="E27157" s="4" t="str">
        <v/>
      </c>
      <c r="F27157" s="102" t="str">
        <f ca="1">IFERROR(__xludf.DUMMYFUNCTION("IMPORTRANGE(H27157,""IDENTITAS UNIT!D9"")"),"#N/A")</f>
        <v>#N/A</v>
      </c>
      <c r="H27157" s="4" t="str">
        <v/>
      </c>
      <c r="I27157" s="4" t="str">
        <v/>
      </c>
    </row>
    <row r="27158" spans="5:9" ht="16.5" hidden="1">
      <c r="E27158" s="4" t="str">
        <v/>
      </c>
      <c r="F27158" s="102" t="str">
        <f ca="1">IFERROR(__xludf.DUMMYFUNCTION("IMPORTRANGE(H27158,""IDENTITAS UNIT!D9"")"),"#N/A")</f>
        <v>#N/A</v>
      </c>
      <c r="H27158" s="4" t="str">
        <v/>
      </c>
      <c r="I27158" s="4" t="str">
        <v/>
      </c>
    </row>
    <row r="27159" spans="5:9" ht="16.5" hidden="1">
      <c r="E27159" s="4" t="str">
        <v/>
      </c>
      <c r="F27159" s="102" t="str">
        <f ca="1">IFERROR(__xludf.DUMMYFUNCTION("IMPORTRANGE(H27159,""IDENTITAS UNIT!D9"")"),"#N/A")</f>
        <v>#N/A</v>
      </c>
      <c r="H27159" s="4" t="str">
        <v/>
      </c>
      <c r="I27159" s="4" t="str">
        <v/>
      </c>
    </row>
    <row r="27160" spans="5:9" ht="16.5" hidden="1">
      <c r="E27160" s="4" t="str">
        <v/>
      </c>
      <c r="F27160" s="102" t="str">
        <f ca="1">IFERROR(__xludf.DUMMYFUNCTION("IMPORTRANGE(H27160,""IDENTITAS UNIT!D9"")"),"#N/A")</f>
        <v>#N/A</v>
      </c>
      <c r="H27160" s="4" t="str">
        <v/>
      </c>
      <c r="I27160" s="4" t="str">
        <v/>
      </c>
    </row>
    <row r="27161" spans="5:9" ht="16.5" hidden="1">
      <c r="E27161" s="4" t="str">
        <v/>
      </c>
      <c r="F27161" s="102" t="str">
        <f ca="1">IFERROR(__xludf.DUMMYFUNCTION("IMPORTRANGE(H27161,""IDENTITAS UNIT!D9"")"),"#N/A")</f>
        <v>#N/A</v>
      </c>
      <c r="H27161" s="4" t="str">
        <v/>
      </c>
      <c r="I27161" s="4" t="str">
        <v/>
      </c>
    </row>
    <row r="27162" spans="5:9" ht="16.5" hidden="1">
      <c r="E27162" s="4" t="str">
        <v/>
      </c>
      <c r="F27162" s="102" t="str">
        <f ca="1">IFERROR(__xludf.DUMMYFUNCTION("IMPORTRANGE(H27162,""IDENTITAS UNIT!D9"")"),"#N/A")</f>
        <v>#N/A</v>
      </c>
      <c r="H27162" s="4" t="str">
        <v/>
      </c>
      <c r="I27162" s="4" t="str">
        <v/>
      </c>
    </row>
    <row r="27163" spans="5:9" ht="16.5" hidden="1">
      <c r="E27163" s="4" t="str">
        <v/>
      </c>
      <c r="F27163" s="102" t="str">
        <f ca="1">IFERROR(__xludf.DUMMYFUNCTION("IMPORTRANGE(H27163,""IDENTITAS UNIT!D9"")"),"#N/A")</f>
        <v>#N/A</v>
      </c>
      <c r="H27163" s="4" t="str">
        <v/>
      </c>
      <c r="I27163" s="4" t="str">
        <v/>
      </c>
    </row>
    <row r="27164" spans="5:9" ht="16.5" hidden="1">
      <c r="E27164" s="4" t="str">
        <v/>
      </c>
      <c r="F27164" s="102" t="str">
        <f ca="1">IFERROR(__xludf.DUMMYFUNCTION("IMPORTRANGE(H27164,""IDENTITAS UNIT!D9"")"),"#N/A")</f>
        <v>#N/A</v>
      </c>
      <c r="H27164" s="4" t="str">
        <v/>
      </c>
      <c r="I27164" s="4" t="str">
        <v/>
      </c>
    </row>
    <row r="27165" spans="5:9" ht="16.5" hidden="1">
      <c r="E27165" s="4" t="str">
        <v/>
      </c>
      <c r="F27165" s="102" t="str">
        <f ca="1">IFERROR(__xludf.DUMMYFUNCTION("IMPORTRANGE(H27165,""IDENTITAS UNIT!D9"")"),"#N/A")</f>
        <v>#N/A</v>
      </c>
      <c r="H27165" s="4" t="str">
        <v/>
      </c>
      <c r="I27165" s="4" t="str">
        <v/>
      </c>
    </row>
    <row r="27166" spans="5:9" ht="16.5" hidden="1">
      <c r="E27166" s="4" t="str">
        <v/>
      </c>
      <c r="F27166" s="102" t="str">
        <f ca="1">IFERROR(__xludf.DUMMYFUNCTION("IMPORTRANGE(H27166,""IDENTITAS UNIT!D9"")"),"#N/A")</f>
        <v>#N/A</v>
      </c>
      <c r="H27166" s="4" t="str">
        <v/>
      </c>
      <c r="I27166" s="4" t="str">
        <v/>
      </c>
    </row>
    <row r="27167" spans="5:9" ht="16.5" hidden="1">
      <c r="E27167" s="4" t="str">
        <v/>
      </c>
      <c r="F27167" s="102" t="str">
        <f ca="1">IFERROR(__xludf.DUMMYFUNCTION("IMPORTRANGE(H27167,""IDENTITAS UNIT!D9"")"),"#N/A")</f>
        <v>#N/A</v>
      </c>
      <c r="H27167" s="4" t="str">
        <v/>
      </c>
      <c r="I27167" s="4" t="str">
        <v/>
      </c>
    </row>
    <row r="27168" spans="5:9" ht="16.5" hidden="1">
      <c r="E27168" s="4" t="str">
        <v/>
      </c>
      <c r="F27168" s="102" t="str">
        <f ca="1">IFERROR(__xludf.DUMMYFUNCTION("IMPORTRANGE(H27168,""IDENTITAS UNIT!D9"")"),"#N/A")</f>
        <v>#N/A</v>
      </c>
      <c r="H27168" s="4" t="str">
        <v/>
      </c>
      <c r="I27168" s="4" t="str">
        <v/>
      </c>
    </row>
    <row r="27169" spans="5:9" ht="16.5" hidden="1">
      <c r="E27169" s="4" t="str">
        <v/>
      </c>
      <c r="F27169" s="102" t="str">
        <f ca="1">IFERROR(__xludf.DUMMYFUNCTION("IMPORTRANGE(H27169,""IDENTITAS UNIT!D9"")"),"#N/A")</f>
        <v>#N/A</v>
      </c>
      <c r="H27169" s="4" t="str">
        <v/>
      </c>
      <c r="I27169" s="4" t="str">
        <v/>
      </c>
    </row>
    <row r="27170" spans="5:9" ht="16.5" hidden="1">
      <c r="E27170" s="4" t="str">
        <v/>
      </c>
      <c r="F27170" s="102" t="str">
        <f ca="1">IFERROR(__xludf.DUMMYFUNCTION("IMPORTRANGE(H27170,""IDENTITAS UNIT!D9"")"),"#N/A")</f>
        <v>#N/A</v>
      </c>
      <c r="H27170" s="4" t="str">
        <v/>
      </c>
      <c r="I27170" s="4" t="str">
        <v/>
      </c>
    </row>
    <row r="27171" spans="5:9" ht="16.5" hidden="1">
      <c r="E27171" s="4" t="str">
        <v/>
      </c>
      <c r="F27171" s="102" t="str">
        <f ca="1">IFERROR(__xludf.DUMMYFUNCTION("IMPORTRANGE(H27171,""IDENTITAS UNIT!D9"")"),"#N/A")</f>
        <v>#N/A</v>
      </c>
      <c r="H27171" s="4" t="str">
        <v/>
      </c>
      <c r="I27171" s="4" t="str">
        <v/>
      </c>
    </row>
    <row r="27172" spans="5:9" ht="16.5" hidden="1">
      <c r="E27172" s="4" t="str">
        <v/>
      </c>
      <c r="F27172" s="102" t="str">
        <f ca="1">IFERROR(__xludf.DUMMYFUNCTION("IMPORTRANGE(H27172,""IDENTITAS UNIT!D9"")"),"#N/A")</f>
        <v>#N/A</v>
      </c>
      <c r="H27172" s="4" t="str">
        <v/>
      </c>
      <c r="I27172" s="4" t="str">
        <v/>
      </c>
    </row>
    <row r="27173" spans="5:9" ht="16.5" hidden="1">
      <c r="E27173" s="4" t="str">
        <v/>
      </c>
      <c r="F27173" s="102" t="str">
        <f ca="1">IFERROR(__xludf.DUMMYFUNCTION("IMPORTRANGE(H27173,""IDENTITAS UNIT!D9"")"),"#N/A")</f>
        <v>#N/A</v>
      </c>
      <c r="H27173" s="4" t="str">
        <v/>
      </c>
      <c r="I27173" s="4" t="str">
        <v/>
      </c>
    </row>
    <row r="27174" spans="5:9" ht="16.5" hidden="1">
      <c r="E27174" s="4" t="str">
        <v/>
      </c>
      <c r="F27174" s="102" t="str">
        <f ca="1">IFERROR(__xludf.DUMMYFUNCTION("IMPORTRANGE(H27174,""IDENTITAS UNIT!D9"")"),"#N/A")</f>
        <v>#N/A</v>
      </c>
      <c r="H27174" s="4" t="str">
        <v/>
      </c>
      <c r="I27174" s="4" t="str">
        <v/>
      </c>
    </row>
    <row r="27175" spans="5:9" ht="16.5" hidden="1">
      <c r="E27175" s="4" t="str">
        <v/>
      </c>
      <c r="F27175" s="102" t="str">
        <f ca="1">IFERROR(__xludf.DUMMYFUNCTION("IMPORTRANGE(H27175,""IDENTITAS UNIT!D9"")"),"#N/A")</f>
        <v>#N/A</v>
      </c>
      <c r="H27175" s="4" t="str">
        <v/>
      </c>
      <c r="I27175" s="4" t="str">
        <v/>
      </c>
    </row>
    <row r="27176" spans="5:9" ht="16.5" hidden="1">
      <c r="E27176" s="4" t="str">
        <v/>
      </c>
      <c r="F27176" s="102" t="str">
        <f ca="1">IFERROR(__xludf.DUMMYFUNCTION("IMPORTRANGE(H27176,""IDENTITAS UNIT!D9"")"),"#N/A")</f>
        <v>#N/A</v>
      </c>
      <c r="H27176" s="4" t="str">
        <v/>
      </c>
      <c r="I27176" s="4" t="str">
        <v/>
      </c>
    </row>
    <row r="27177" spans="5:9" ht="16.5" hidden="1">
      <c r="E27177" s="4" t="str">
        <v/>
      </c>
      <c r="F27177" s="102" t="str">
        <f ca="1">IFERROR(__xludf.DUMMYFUNCTION("IMPORTRANGE(H27177,""IDENTITAS UNIT!D9"")"),"#N/A")</f>
        <v>#N/A</v>
      </c>
      <c r="H27177" s="4" t="str">
        <v/>
      </c>
      <c r="I27177" s="4" t="str">
        <v/>
      </c>
    </row>
    <row r="27178" spans="5:9" ht="16.5" hidden="1">
      <c r="E27178" s="4" t="str">
        <v/>
      </c>
      <c r="F27178" s="102" t="str">
        <f ca="1">IFERROR(__xludf.DUMMYFUNCTION("IMPORTRANGE(H27178,""IDENTITAS UNIT!D9"")"),"#N/A")</f>
        <v>#N/A</v>
      </c>
      <c r="H27178" s="4" t="str">
        <v/>
      </c>
      <c r="I27178" s="4" t="str">
        <v/>
      </c>
    </row>
    <row r="27179" spans="5:9" ht="16.5" hidden="1">
      <c r="E27179" s="4" t="str">
        <v/>
      </c>
      <c r="F27179" s="102" t="str">
        <f ca="1">IFERROR(__xludf.DUMMYFUNCTION("IMPORTRANGE(H27179,""IDENTITAS UNIT!D9"")"),"#N/A")</f>
        <v>#N/A</v>
      </c>
      <c r="H27179" s="4" t="str">
        <v/>
      </c>
      <c r="I27179" s="4" t="str">
        <v/>
      </c>
    </row>
    <row r="27180" spans="5:9" ht="16.5" hidden="1">
      <c r="E27180" s="4" t="str">
        <v/>
      </c>
      <c r="F27180" s="102" t="str">
        <f ca="1">IFERROR(__xludf.DUMMYFUNCTION("IMPORTRANGE(H27180,""IDENTITAS UNIT!D9"")"),"#N/A")</f>
        <v>#N/A</v>
      </c>
      <c r="H27180" s="4" t="str">
        <v/>
      </c>
      <c r="I27180" s="4" t="str">
        <v/>
      </c>
    </row>
    <row r="27181" spans="5:9" ht="16.5" hidden="1">
      <c r="E27181" s="4" t="str">
        <v/>
      </c>
      <c r="F27181" s="102" t="str">
        <f ca="1">IFERROR(__xludf.DUMMYFUNCTION("IMPORTRANGE(H27181,""IDENTITAS UNIT!D9"")"),"#N/A")</f>
        <v>#N/A</v>
      </c>
      <c r="H27181" s="4" t="str">
        <v/>
      </c>
      <c r="I27181" s="4" t="str">
        <v/>
      </c>
    </row>
    <row r="27182" spans="5:9" ht="16.5" hidden="1">
      <c r="E27182" s="4" t="str">
        <v/>
      </c>
      <c r="F27182" s="102" t="str">
        <f ca="1">IFERROR(__xludf.DUMMYFUNCTION("IMPORTRANGE(H27182,""IDENTITAS UNIT!D9"")"),"#N/A")</f>
        <v>#N/A</v>
      </c>
      <c r="H27182" s="4" t="str">
        <v/>
      </c>
      <c r="I27182" s="4" t="str">
        <v/>
      </c>
    </row>
    <row r="27183" spans="5:9" ht="16.5" hidden="1">
      <c r="E27183" s="4" t="str">
        <v/>
      </c>
      <c r="F27183" s="102" t="str">
        <f ca="1">IFERROR(__xludf.DUMMYFUNCTION("IMPORTRANGE(H27183,""IDENTITAS UNIT!D9"")"),"#N/A")</f>
        <v>#N/A</v>
      </c>
      <c r="H27183" s="4" t="str">
        <v/>
      </c>
      <c r="I27183" s="4" t="str">
        <v/>
      </c>
    </row>
    <row r="27184" spans="5:9" ht="16.5" hidden="1">
      <c r="E27184" s="4" t="str">
        <v/>
      </c>
      <c r="F27184" s="102" t="str">
        <f ca="1">IFERROR(__xludf.DUMMYFUNCTION("IMPORTRANGE(H27184,""IDENTITAS UNIT!D9"")"),"#N/A")</f>
        <v>#N/A</v>
      </c>
      <c r="H27184" s="4" t="str">
        <v/>
      </c>
      <c r="I27184" s="4" t="str">
        <v/>
      </c>
    </row>
    <row r="27185" spans="5:9" ht="16.5" hidden="1">
      <c r="E27185" s="4" t="str">
        <v/>
      </c>
      <c r="F27185" s="102" t="str">
        <f ca="1">IFERROR(__xludf.DUMMYFUNCTION("IMPORTRANGE(H27185,""IDENTITAS UNIT!D9"")"),"#N/A")</f>
        <v>#N/A</v>
      </c>
      <c r="H27185" s="4" t="str">
        <v/>
      </c>
      <c r="I27185" s="4" t="str">
        <v/>
      </c>
    </row>
    <row r="27186" spans="5:9" ht="16.5" hidden="1">
      <c r="E27186" s="4" t="str">
        <v/>
      </c>
      <c r="F27186" s="102" t="str">
        <f ca="1">IFERROR(__xludf.DUMMYFUNCTION("IMPORTRANGE(H27186,""IDENTITAS UNIT!D9"")"),"#N/A")</f>
        <v>#N/A</v>
      </c>
      <c r="H27186" s="4" t="str">
        <v/>
      </c>
      <c r="I27186" s="4" t="str">
        <v/>
      </c>
    </row>
    <row r="27187" spans="5:9" ht="16.5" hidden="1">
      <c r="E27187" s="4" t="str">
        <v/>
      </c>
      <c r="F27187" s="102" t="str">
        <f ca="1">IFERROR(__xludf.DUMMYFUNCTION("IMPORTRANGE(H27187,""IDENTITAS UNIT!D9"")"),"#N/A")</f>
        <v>#N/A</v>
      </c>
      <c r="H27187" s="4" t="str">
        <v/>
      </c>
      <c r="I27187" s="4" t="str">
        <v/>
      </c>
    </row>
    <row r="27188" spans="5:9" ht="16.5" hidden="1">
      <c r="E27188" s="4" t="str">
        <v/>
      </c>
      <c r="F27188" s="102" t="str">
        <f ca="1">IFERROR(__xludf.DUMMYFUNCTION("IMPORTRANGE(H27188,""IDENTITAS UNIT!D9"")"),"#N/A")</f>
        <v>#N/A</v>
      </c>
      <c r="H27188" s="4" t="str">
        <v/>
      </c>
      <c r="I27188" s="4" t="str">
        <v/>
      </c>
    </row>
    <row r="27189" spans="5:9" ht="16.5" hidden="1">
      <c r="E27189" s="4" t="str">
        <v/>
      </c>
      <c r="F27189" s="102" t="str">
        <f ca="1">IFERROR(__xludf.DUMMYFUNCTION("IMPORTRANGE(H27189,""IDENTITAS UNIT!D9"")"),"#N/A")</f>
        <v>#N/A</v>
      </c>
      <c r="H27189" s="4" t="str">
        <v/>
      </c>
      <c r="I27189" s="4" t="str">
        <v/>
      </c>
    </row>
    <row r="27190" spans="5:9" ht="16.5" hidden="1">
      <c r="E27190" s="4" t="str">
        <v/>
      </c>
      <c r="F27190" s="102" t="str">
        <f ca="1">IFERROR(__xludf.DUMMYFUNCTION("IMPORTRANGE(H27190,""IDENTITAS UNIT!D9"")"),"#N/A")</f>
        <v>#N/A</v>
      </c>
      <c r="H27190" s="4" t="str">
        <v/>
      </c>
      <c r="I27190" s="4" t="str">
        <v/>
      </c>
    </row>
    <row r="27191" spans="5:9" ht="16.5" hidden="1">
      <c r="E27191" s="4" t="str">
        <v/>
      </c>
      <c r="F27191" s="102" t="str">
        <f ca="1">IFERROR(__xludf.DUMMYFUNCTION("IMPORTRANGE(H27191,""IDENTITAS UNIT!D9"")"),"#N/A")</f>
        <v>#N/A</v>
      </c>
      <c r="H27191" s="4" t="str">
        <v/>
      </c>
      <c r="I27191" s="4" t="str">
        <v/>
      </c>
    </row>
    <row r="27192" spans="5:9" ht="16.5" hidden="1">
      <c r="E27192" s="4" t="str">
        <v/>
      </c>
      <c r="F27192" s="102" t="str">
        <f ca="1">IFERROR(__xludf.DUMMYFUNCTION("IMPORTRANGE(H27192,""IDENTITAS UNIT!D9"")"),"#N/A")</f>
        <v>#N/A</v>
      </c>
      <c r="H27192" s="4" t="str">
        <v/>
      </c>
      <c r="I27192" s="4" t="str">
        <v/>
      </c>
    </row>
    <row r="27193" spans="5:9" ht="16.5" hidden="1">
      <c r="E27193" s="4" t="str">
        <v/>
      </c>
      <c r="F27193" s="102" t="str">
        <f ca="1">IFERROR(__xludf.DUMMYFUNCTION("IMPORTRANGE(H27193,""IDENTITAS UNIT!D9"")"),"#N/A")</f>
        <v>#N/A</v>
      </c>
      <c r="H27193" s="4" t="str">
        <v/>
      </c>
      <c r="I27193" s="4" t="str">
        <v/>
      </c>
    </row>
    <row r="27194" spans="5:9" ht="16.5" hidden="1">
      <c r="E27194" s="4" t="str">
        <v/>
      </c>
      <c r="F27194" s="102" t="str">
        <f ca="1">IFERROR(__xludf.DUMMYFUNCTION("IMPORTRANGE(H27194,""IDENTITAS UNIT!D9"")"),"#N/A")</f>
        <v>#N/A</v>
      </c>
      <c r="H27194" s="4" t="str">
        <v/>
      </c>
      <c r="I27194" s="4" t="str">
        <v/>
      </c>
    </row>
    <row r="27195" spans="5:9" ht="16.5" hidden="1">
      <c r="E27195" s="4" t="str">
        <v/>
      </c>
      <c r="F27195" s="102" t="str">
        <f ca="1">IFERROR(__xludf.DUMMYFUNCTION("IMPORTRANGE(H27195,""IDENTITAS UNIT!D9"")"),"#N/A")</f>
        <v>#N/A</v>
      </c>
      <c r="H27195" s="4" t="str">
        <v/>
      </c>
      <c r="I27195" s="4" t="str">
        <v/>
      </c>
    </row>
    <row r="27196" spans="5:9" ht="16.5" hidden="1">
      <c r="E27196" s="4" t="str">
        <v/>
      </c>
      <c r="F27196" s="102" t="str">
        <f ca="1">IFERROR(__xludf.DUMMYFUNCTION("IMPORTRANGE(H27196,""IDENTITAS UNIT!D9"")"),"#N/A")</f>
        <v>#N/A</v>
      </c>
      <c r="H27196" s="4" t="str">
        <v/>
      </c>
      <c r="I27196" s="4" t="str">
        <v/>
      </c>
    </row>
    <row r="27197" spans="5:9" ht="16.5" hidden="1">
      <c r="E27197" s="4" t="str">
        <v/>
      </c>
      <c r="F27197" s="102" t="str">
        <f ca="1">IFERROR(__xludf.DUMMYFUNCTION("IMPORTRANGE(H27197,""IDENTITAS UNIT!D9"")"),"#N/A")</f>
        <v>#N/A</v>
      </c>
      <c r="H27197" s="4" t="str">
        <v/>
      </c>
      <c r="I27197" s="4" t="str">
        <v/>
      </c>
    </row>
    <row r="27198" spans="5:9" ht="16.5" hidden="1">
      <c r="E27198" s="4" t="str">
        <v/>
      </c>
      <c r="F27198" s="102" t="str">
        <f ca="1">IFERROR(__xludf.DUMMYFUNCTION("IMPORTRANGE(H27198,""IDENTITAS UNIT!D9"")"),"#N/A")</f>
        <v>#N/A</v>
      </c>
      <c r="H27198" s="4" t="str">
        <v/>
      </c>
      <c r="I27198" s="4" t="str">
        <v/>
      </c>
    </row>
    <row r="27199" spans="5:9" ht="16.5" hidden="1">
      <c r="E27199" s="4" t="str">
        <v/>
      </c>
      <c r="F27199" s="102" t="str">
        <f ca="1">IFERROR(__xludf.DUMMYFUNCTION("IMPORTRANGE(H27199,""IDENTITAS UNIT!D9"")"),"#N/A")</f>
        <v>#N/A</v>
      </c>
      <c r="H27199" s="4" t="str">
        <v/>
      </c>
      <c r="I27199" s="4" t="str">
        <v/>
      </c>
    </row>
    <row r="27200" spans="5:9" ht="16.5" hidden="1">
      <c r="E27200" s="4" t="str">
        <v/>
      </c>
      <c r="F27200" s="102" t="str">
        <f ca="1">IFERROR(__xludf.DUMMYFUNCTION("IMPORTRANGE(H27200,""IDENTITAS UNIT!D9"")"),"#N/A")</f>
        <v>#N/A</v>
      </c>
      <c r="H27200" s="4" t="str">
        <v/>
      </c>
      <c r="I27200" s="4" t="str">
        <v/>
      </c>
    </row>
    <row r="27201" spans="5:9" ht="16.5" hidden="1">
      <c r="E27201" s="4" t="str">
        <v/>
      </c>
      <c r="F27201" s="102" t="str">
        <f ca="1">IFERROR(__xludf.DUMMYFUNCTION("IMPORTRANGE(H27201,""IDENTITAS UNIT!D9"")"),"#N/A")</f>
        <v>#N/A</v>
      </c>
      <c r="H27201" s="4" t="str">
        <v/>
      </c>
      <c r="I27201" s="4" t="str">
        <v/>
      </c>
    </row>
    <row r="27202" spans="5:9" ht="16.5" hidden="1">
      <c r="E27202" s="4" t="str">
        <v/>
      </c>
      <c r="F27202" s="102" t="str">
        <f ca="1">IFERROR(__xludf.DUMMYFUNCTION("IMPORTRANGE(H27202,""IDENTITAS UNIT!D9"")"),"#N/A")</f>
        <v>#N/A</v>
      </c>
      <c r="H27202" s="4" t="str">
        <v/>
      </c>
      <c r="I27202" s="4" t="str">
        <v/>
      </c>
    </row>
    <row r="27203" spans="5:9" ht="16.5" hidden="1">
      <c r="E27203" s="4" t="str">
        <v/>
      </c>
      <c r="F27203" s="102" t="str">
        <f ca="1">IFERROR(__xludf.DUMMYFUNCTION("IMPORTRANGE(H27203,""IDENTITAS UNIT!D9"")"),"#N/A")</f>
        <v>#N/A</v>
      </c>
      <c r="H27203" s="4" t="str">
        <v/>
      </c>
      <c r="I27203" s="4" t="str">
        <v/>
      </c>
    </row>
    <row r="27204" spans="5:9" ht="16.5" hidden="1">
      <c r="E27204" s="4" t="str">
        <v/>
      </c>
      <c r="F27204" s="102" t="str">
        <f ca="1">IFERROR(__xludf.DUMMYFUNCTION("IMPORTRANGE(H27204,""IDENTITAS UNIT!D9"")"),"#N/A")</f>
        <v>#N/A</v>
      </c>
      <c r="H27204" s="4" t="str">
        <v/>
      </c>
      <c r="I27204" s="4" t="str">
        <v/>
      </c>
    </row>
    <row r="27205" spans="5:9" ht="16.5" hidden="1">
      <c r="E27205" s="4" t="str">
        <v/>
      </c>
      <c r="F27205" s="102" t="str">
        <f ca="1">IFERROR(__xludf.DUMMYFUNCTION("IMPORTRANGE(H27205,""IDENTITAS UNIT!D9"")"),"#N/A")</f>
        <v>#N/A</v>
      </c>
      <c r="H27205" s="4" t="str">
        <v/>
      </c>
      <c r="I27205" s="4" t="str">
        <v/>
      </c>
    </row>
    <row r="27206" spans="5:9" ht="16.5" hidden="1">
      <c r="E27206" s="4" t="str">
        <v/>
      </c>
      <c r="F27206" s="102" t="str">
        <f ca="1">IFERROR(__xludf.DUMMYFUNCTION("IMPORTRANGE(H27206,""IDENTITAS UNIT!D9"")"),"#N/A")</f>
        <v>#N/A</v>
      </c>
      <c r="H27206" s="4" t="str">
        <v/>
      </c>
      <c r="I27206" s="4" t="str">
        <v/>
      </c>
    </row>
    <row r="27207" spans="5:9" ht="16.5" hidden="1">
      <c r="E27207" s="4" t="str">
        <v/>
      </c>
      <c r="F27207" s="102" t="str">
        <f ca="1">IFERROR(__xludf.DUMMYFUNCTION("IMPORTRANGE(H27207,""IDENTITAS UNIT!D9"")"),"#N/A")</f>
        <v>#N/A</v>
      </c>
      <c r="H27207" s="4" t="str">
        <v/>
      </c>
      <c r="I27207" s="4" t="str">
        <v/>
      </c>
    </row>
    <row r="27208" spans="5:9" ht="16.5" hidden="1">
      <c r="E27208" s="4" t="str">
        <v/>
      </c>
      <c r="F27208" s="102" t="str">
        <f ca="1">IFERROR(__xludf.DUMMYFUNCTION("IMPORTRANGE(H27208,""IDENTITAS UNIT!D9"")"),"#N/A")</f>
        <v>#N/A</v>
      </c>
      <c r="H27208" s="4" t="str">
        <v/>
      </c>
      <c r="I27208" s="4" t="str">
        <v/>
      </c>
    </row>
    <row r="27209" spans="5:9" ht="16.5" hidden="1">
      <c r="E27209" s="4" t="str">
        <v/>
      </c>
      <c r="F27209" s="102" t="str">
        <f ca="1">IFERROR(__xludf.DUMMYFUNCTION("IMPORTRANGE(H27209,""IDENTITAS UNIT!D9"")"),"#N/A")</f>
        <v>#N/A</v>
      </c>
      <c r="H27209" s="4" t="str">
        <v/>
      </c>
      <c r="I27209" s="4" t="str">
        <v/>
      </c>
    </row>
    <row r="27210" spans="5:9" ht="16.5" hidden="1">
      <c r="E27210" s="4" t="str">
        <v/>
      </c>
      <c r="F27210" s="102" t="str">
        <f ca="1">IFERROR(__xludf.DUMMYFUNCTION("IMPORTRANGE(H27210,""IDENTITAS UNIT!D9"")"),"#N/A")</f>
        <v>#N/A</v>
      </c>
      <c r="H27210" s="4" t="str">
        <v/>
      </c>
      <c r="I27210" s="4" t="str">
        <v/>
      </c>
    </row>
    <row r="27211" spans="5:9" ht="16.5" hidden="1">
      <c r="E27211" s="4" t="str">
        <v/>
      </c>
      <c r="F27211" s="102" t="str">
        <f ca="1">IFERROR(__xludf.DUMMYFUNCTION("IMPORTRANGE(H27211,""IDENTITAS UNIT!D9"")"),"#N/A")</f>
        <v>#N/A</v>
      </c>
      <c r="H27211" s="4" t="str">
        <v/>
      </c>
      <c r="I27211" s="4" t="str">
        <v/>
      </c>
    </row>
    <row r="27212" spans="5:9" ht="16.5" hidden="1">
      <c r="E27212" s="4" t="str">
        <v/>
      </c>
      <c r="F27212" s="102" t="str">
        <f ca="1">IFERROR(__xludf.DUMMYFUNCTION("IMPORTRANGE(H27212,""IDENTITAS UNIT!D9"")"),"#N/A")</f>
        <v>#N/A</v>
      </c>
      <c r="H27212" s="4" t="str">
        <v/>
      </c>
      <c r="I27212" s="4" t="str">
        <v/>
      </c>
    </row>
    <row r="27213" spans="5:9" ht="16.5" hidden="1">
      <c r="E27213" s="4" t="str">
        <v/>
      </c>
      <c r="F27213" s="102" t="str">
        <f ca="1">IFERROR(__xludf.DUMMYFUNCTION("IMPORTRANGE(H27213,""IDENTITAS UNIT!D9"")"),"#N/A")</f>
        <v>#N/A</v>
      </c>
      <c r="H27213" s="4" t="str">
        <v/>
      </c>
      <c r="I27213" s="4" t="str">
        <v/>
      </c>
    </row>
    <row r="27214" spans="5:9" ht="16.5" hidden="1">
      <c r="E27214" s="4" t="str">
        <v/>
      </c>
      <c r="F27214" s="102" t="str">
        <f ca="1">IFERROR(__xludf.DUMMYFUNCTION("IMPORTRANGE(H27214,""IDENTITAS UNIT!D9"")"),"#N/A")</f>
        <v>#N/A</v>
      </c>
      <c r="H27214" s="4" t="str">
        <v/>
      </c>
      <c r="I27214" s="4" t="str">
        <v/>
      </c>
    </row>
    <row r="27215" spans="5:9" ht="16.5" hidden="1">
      <c r="E27215" s="4" t="str">
        <v/>
      </c>
      <c r="F27215" s="102" t="str">
        <f ca="1">IFERROR(__xludf.DUMMYFUNCTION("IMPORTRANGE(H27215,""IDENTITAS UNIT!D9"")"),"#N/A")</f>
        <v>#N/A</v>
      </c>
      <c r="H27215" s="4" t="str">
        <v/>
      </c>
      <c r="I27215" s="4" t="str">
        <v/>
      </c>
    </row>
    <row r="27216" spans="5:9" ht="16.5" hidden="1">
      <c r="E27216" s="4" t="str">
        <v/>
      </c>
      <c r="F27216" s="102" t="str">
        <f ca="1">IFERROR(__xludf.DUMMYFUNCTION("IMPORTRANGE(H27216,""IDENTITAS UNIT!D9"")"),"#N/A")</f>
        <v>#N/A</v>
      </c>
      <c r="H27216" s="4" t="str">
        <v/>
      </c>
      <c r="I27216" s="4" t="str">
        <v/>
      </c>
    </row>
    <row r="27217" spans="5:9" ht="16.5" hidden="1">
      <c r="E27217" s="4" t="str">
        <v/>
      </c>
      <c r="F27217" s="102" t="str">
        <f ca="1">IFERROR(__xludf.DUMMYFUNCTION("IMPORTRANGE(H27217,""IDENTITAS UNIT!D9"")"),"#N/A")</f>
        <v>#N/A</v>
      </c>
      <c r="H27217" s="4" t="str">
        <v/>
      </c>
      <c r="I27217" s="4" t="str">
        <v/>
      </c>
    </row>
    <row r="27218" spans="5:9" ht="16.5" hidden="1">
      <c r="E27218" s="4" t="str">
        <v/>
      </c>
      <c r="F27218" s="102" t="str">
        <f ca="1">IFERROR(__xludf.DUMMYFUNCTION("IMPORTRANGE(H27218,""IDENTITAS UNIT!D9"")"),"#N/A")</f>
        <v>#N/A</v>
      </c>
      <c r="H27218" s="4" t="str">
        <v/>
      </c>
      <c r="I27218" s="4" t="str">
        <v/>
      </c>
    </row>
    <row r="27219" spans="5:9" ht="16.5" hidden="1">
      <c r="E27219" s="4" t="str">
        <v/>
      </c>
      <c r="F27219" s="102" t="str">
        <f ca="1">IFERROR(__xludf.DUMMYFUNCTION("IMPORTRANGE(H27219,""IDENTITAS UNIT!D9"")"),"#N/A")</f>
        <v>#N/A</v>
      </c>
      <c r="H27219" s="4" t="str">
        <v/>
      </c>
      <c r="I27219" s="4" t="str">
        <v/>
      </c>
    </row>
    <row r="27220" spans="5:9" ht="16.5" hidden="1">
      <c r="E27220" s="4" t="str">
        <v/>
      </c>
      <c r="F27220" s="102" t="str">
        <f ca="1">IFERROR(__xludf.DUMMYFUNCTION("IMPORTRANGE(H27220,""IDENTITAS UNIT!D9"")"),"#N/A")</f>
        <v>#N/A</v>
      </c>
      <c r="H27220" s="4" t="str">
        <v/>
      </c>
      <c r="I27220" s="4" t="str">
        <v/>
      </c>
    </row>
    <row r="27221" spans="5:9" ht="16.5" hidden="1">
      <c r="E27221" s="4" t="str">
        <v/>
      </c>
      <c r="F27221" s="102" t="str">
        <f ca="1">IFERROR(__xludf.DUMMYFUNCTION("IMPORTRANGE(H27221,""IDENTITAS UNIT!D9"")"),"#N/A")</f>
        <v>#N/A</v>
      </c>
      <c r="H27221" s="4" t="str">
        <v/>
      </c>
      <c r="I27221" s="4" t="str">
        <v/>
      </c>
    </row>
    <row r="27222" spans="5:9" ht="16.5" hidden="1">
      <c r="E27222" s="4" t="str">
        <v/>
      </c>
      <c r="F27222" s="102" t="str">
        <f ca="1">IFERROR(__xludf.DUMMYFUNCTION("IMPORTRANGE(H27222,""IDENTITAS UNIT!D9"")"),"#N/A")</f>
        <v>#N/A</v>
      </c>
      <c r="H27222" s="4" t="str">
        <v/>
      </c>
      <c r="I27222" s="4" t="str">
        <v/>
      </c>
    </row>
    <row r="27223" spans="5:9" ht="16.5" hidden="1">
      <c r="E27223" s="4" t="str">
        <v/>
      </c>
      <c r="F27223" s="102" t="str">
        <f ca="1">IFERROR(__xludf.DUMMYFUNCTION("IMPORTRANGE(H27223,""IDENTITAS UNIT!D9"")"),"#N/A")</f>
        <v>#N/A</v>
      </c>
      <c r="H27223" s="4" t="str">
        <v/>
      </c>
      <c r="I27223" s="4" t="str">
        <v/>
      </c>
    </row>
    <row r="27224" spans="5:9" ht="16.5" hidden="1">
      <c r="E27224" s="4" t="str">
        <v/>
      </c>
      <c r="F27224" s="102" t="str">
        <f ca="1">IFERROR(__xludf.DUMMYFUNCTION("IMPORTRANGE(H27224,""IDENTITAS UNIT!D9"")"),"#N/A")</f>
        <v>#N/A</v>
      </c>
      <c r="H27224" s="4" t="str">
        <v/>
      </c>
      <c r="I27224" s="4" t="str">
        <v/>
      </c>
    </row>
    <row r="27225" spans="5:9" ht="16.5" hidden="1">
      <c r="E27225" s="4" t="str">
        <v/>
      </c>
      <c r="F27225" s="102" t="str">
        <f ca="1">IFERROR(__xludf.DUMMYFUNCTION("IMPORTRANGE(H27225,""IDENTITAS UNIT!D9"")"),"#N/A")</f>
        <v>#N/A</v>
      </c>
      <c r="H27225" s="4" t="str">
        <v/>
      </c>
      <c r="I27225" s="4" t="str">
        <v/>
      </c>
    </row>
    <row r="27226" spans="5:9" ht="16.5" hidden="1">
      <c r="E27226" s="4" t="str">
        <v/>
      </c>
      <c r="F27226" s="102" t="str">
        <f ca="1">IFERROR(__xludf.DUMMYFUNCTION("IMPORTRANGE(H27226,""IDENTITAS UNIT!D9"")"),"#N/A")</f>
        <v>#N/A</v>
      </c>
      <c r="H27226" s="4" t="str">
        <v/>
      </c>
      <c r="I27226" s="4" t="str">
        <v/>
      </c>
    </row>
    <row r="27227" spans="5:9" ht="16.5" hidden="1">
      <c r="E27227" s="4" t="str">
        <v/>
      </c>
      <c r="F27227" s="102" t="str">
        <f ca="1">IFERROR(__xludf.DUMMYFUNCTION("IMPORTRANGE(H27227,""IDENTITAS UNIT!D9"")"),"#N/A")</f>
        <v>#N/A</v>
      </c>
      <c r="H27227" s="4" t="str">
        <v/>
      </c>
      <c r="I27227" s="4" t="str">
        <v/>
      </c>
    </row>
    <row r="27228" spans="5:9" ht="16.5" hidden="1">
      <c r="E27228" s="4" t="str">
        <v/>
      </c>
      <c r="F27228" s="102" t="str">
        <f ca="1">IFERROR(__xludf.DUMMYFUNCTION("IMPORTRANGE(H27228,""IDENTITAS UNIT!D9"")"),"#N/A")</f>
        <v>#N/A</v>
      </c>
      <c r="H27228" s="4" t="str">
        <v/>
      </c>
      <c r="I27228" s="4" t="str">
        <v/>
      </c>
    </row>
    <row r="27229" spans="5:9" ht="16.5" hidden="1">
      <c r="E27229" s="4" t="str">
        <v/>
      </c>
      <c r="F27229" s="102" t="str">
        <f ca="1">IFERROR(__xludf.DUMMYFUNCTION("IMPORTRANGE(H27229,""IDENTITAS UNIT!D9"")"),"#N/A")</f>
        <v>#N/A</v>
      </c>
      <c r="H27229" s="4" t="str">
        <v/>
      </c>
      <c r="I27229" s="4" t="str">
        <v/>
      </c>
    </row>
    <row r="27230" spans="5:9" ht="16.5" hidden="1">
      <c r="E27230" s="4" t="str">
        <v/>
      </c>
      <c r="F27230" s="102" t="str">
        <f ca="1">IFERROR(__xludf.DUMMYFUNCTION("IMPORTRANGE(H27230,""IDENTITAS UNIT!D9"")"),"#N/A")</f>
        <v>#N/A</v>
      </c>
      <c r="H27230" s="4" t="str">
        <v/>
      </c>
      <c r="I27230" s="4" t="str">
        <v/>
      </c>
    </row>
    <row r="27231" spans="5:9" ht="16.5" hidden="1">
      <c r="E27231" s="4" t="str">
        <v/>
      </c>
      <c r="F27231" s="102" t="str">
        <f ca="1">IFERROR(__xludf.DUMMYFUNCTION("IMPORTRANGE(H27231,""IDENTITAS UNIT!D9"")"),"#N/A")</f>
        <v>#N/A</v>
      </c>
      <c r="H27231" s="4" t="str">
        <v/>
      </c>
      <c r="I27231" s="4" t="str">
        <v/>
      </c>
    </row>
    <row r="27232" spans="5:9" ht="16.5" hidden="1">
      <c r="E27232" s="4" t="str">
        <v/>
      </c>
      <c r="F27232" s="102" t="str">
        <f ca="1">IFERROR(__xludf.DUMMYFUNCTION("IMPORTRANGE(H27232,""IDENTITAS UNIT!D9"")"),"#N/A")</f>
        <v>#N/A</v>
      </c>
      <c r="H27232" s="4" t="str">
        <v/>
      </c>
      <c r="I27232" s="4" t="str">
        <v/>
      </c>
    </row>
    <row r="27233" spans="5:9" ht="16.5" hidden="1">
      <c r="E27233" s="4" t="str">
        <v/>
      </c>
      <c r="F27233" s="102" t="str">
        <f ca="1">IFERROR(__xludf.DUMMYFUNCTION("IMPORTRANGE(H27233,""IDENTITAS UNIT!D9"")"),"#N/A")</f>
        <v>#N/A</v>
      </c>
      <c r="H27233" s="4" t="str">
        <v/>
      </c>
      <c r="I27233" s="4" t="str">
        <v/>
      </c>
    </row>
    <row r="27234" spans="5:9" ht="16.5" hidden="1">
      <c r="E27234" s="4" t="str">
        <v/>
      </c>
      <c r="F27234" s="102" t="str">
        <f ca="1">IFERROR(__xludf.DUMMYFUNCTION("IMPORTRANGE(H27234,""IDENTITAS UNIT!D9"")"),"#N/A")</f>
        <v>#N/A</v>
      </c>
      <c r="H27234" s="4" t="str">
        <v/>
      </c>
      <c r="I27234" s="4" t="str">
        <v/>
      </c>
    </row>
    <row r="27235" spans="5:9" ht="16.5" hidden="1">
      <c r="E27235" s="4" t="str">
        <v/>
      </c>
      <c r="F27235" s="102" t="str">
        <f ca="1">IFERROR(__xludf.DUMMYFUNCTION("IMPORTRANGE(H27235,""IDENTITAS UNIT!D9"")"),"#N/A")</f>
        <v>#N/A</v>
      </c>
      <c r="H27235" s="4" t="str">
        <v/>
      </c>
      <c r="I27235" s="4" t="str">
        <v/>
      </c>
    </row>
    <row r="27236" spans="5:9" ht="16.5" hidden="1">
      <c r="E27236" s="4" t="str">
        <v/>
      </c>
      <c r="F27236" s="102" t="str">
        <f ca="1">IFERROR(__xludf.DUMMYFUNCTION("IMPORTRANGE(H27236,""IDENTITAS UNIT!D9"")"),"#N/A")</f>
        <v>#N/A</v>
      </c>
      <c r="H27236" s="4" t="str">
        <v/>
      </c>
      <c r="I27236" s="4" t="str">
        <v/>
      </c>
    </row>
    <row r="27237" spans="5:9" ht="16.5" hidden="1">
      <c r="E27237" s="4" t="str">
        <v/>
      </c>
      <c r="F27237" s="102" t="str">
        <f ca="1">IFERROR(__xludf.DUMMYFUNCTION("IMPORTRANGE(H27237,""IDENTITAS UNIT!D9"")"),"#N/A")</f>
        <v>#N/A</v>
      </c>
      <c r="H27237" s="4" t="str">
        <v/>
      </c>
      <c r="I27237" s="4" t="str">
        <v/>
      </c>
    </row>
    <row r="27238" spans="5:9" ht="16.5" hidden="1">
      <c r="E27238" s="4" t="str">
        <v/>
      </c>
      <c r="F27238" s="102" t="str">
        <f ca="1">IFERROR(__xludf.DUMMYFUNCTION("IMPORTRANGE(H27238,""IDENTITAS UNIT!D9"")"),"#N/A")</f>
        <v>#N/A</v>
      </c>
      <c r="H27238" s="4" t="str">
        <v/>
      </c>
      <c r="I27238" s="4" t="str">
        <v/>
      </c>
    </row>
    <row r="27239" spans="5:9" ht="16.5" hidden="1">
      <c r="E27239" s="4" t="str">
        <v/>
      </c>
      <c r="F27239" s="102" t="str">
        <f ca="1">IFERROR(__xludf.DUMMYFUNCTION("IMPORTRANGE(H27239,""IDENTITAS UNIT!D9"")"),"#N/A")</f>
        <v>#N/A</v>
      </c>
      <c r="H27239" s="4" t="str">
        <v/>
      </c>
      <c r="I27239" s="4" t="str">
        <v/>
      </c>
    </row>
    <row r="27240" spans="5:9" ht="16.5" hidden="1">
      <c r="E27240" s="4" t="str">
        <v/>
      </c>
      <c r="F27240" s="102" t="str">
        <f ca="1">IFERROR(__xludf.DUMMYFUNCTION("IMPORTRANGE(H27240,""IDENTITAS UNIT!D9"")"),"#N/A")</f>
        <v>#N/A</v>
      </c>
      <c r="H27240" s="4" t="str">
        <v/>
      </c>
      <c r="I27240" s="4" t="str">
        <v/>
      </c>
    </row>
    <row r="27241" spans="5:9" ht="16.5" hidden="1">
      <c r="E27241" s="4" t="str">
        <v/>
      </c>
      <c r="F27241" s="102" t="str">
        <f ca="1">IFERROR(__xludf.DUMMYFUNCTION("IMPORTRANGE(H27241,""IDENTITAS UNIT!D9"")"),"#N/A")</f>
        <v>#N/A</v>
      </c>
      <c r="H27241" s="4" t="str">
        <v/>
      </c>
      <c r="I27241" s="4" t="str">
        <v/>
      </c>
    </row>
    <row r="27242" spans="5:9" ht="16.5" hidden="1">
      <c r="E27242" s="4" t="str">
        <v/>
      </c>
      <c r="F27242" s="102" t="str">
        <f ca="1">IFERROR(__xludf.DUMMYFUNCTION("IMPORTRANGE(H27242,""IDENTITAS UNIT!D9"")"),"#N/A")</f>
        <v>#N/A</v>
      </c>
      <c r="H27242" s="4" t="str">
        <v/>
      </c>
      <c r="I27242" s="4" t="str">
        <v/>
      </c>
    </row>
    <row r="27243" spans="5:9" ht="16.5" hidden="1">
      <c r="E27243" s="4" t="str">
        <v/>
      </c>
      <c r="F27243" s="102" t="str">
        <f ca="1">IFERROR(__xludf.DUMMYFUNCTION("IMPORTRANGE(H27243,""IDENTITAS UNIT!D9"")"),"#N/A")</f>
        <v>#N/A</v>
      </c>
      <c r="H27243" s="4" t="str">
        <v/>
      </c>
      <c r="I27243" s="4" t="str">
        <v/>
      </c>
    </row>
    <row r="27244" spans="5:9" ht="16.5" hidden="1">
      <c r="E27244" s="4" t="str">
        <v/>
      </c>
      <c r="F27244" s="102" t="str">
        <f ca="1">IFERROR(__xludf.DUMMYFUNCTION("IMPORTRANGE(H27244,""IDENTITAS UNIT!D9"")"),"#N/A")</f>
        <v>#N/A</v>
      </c>
      <c r="H27244" s="4" t="str">
        <v/>
      </c>
      <c r="I27244" s="4" t="str">
        <v/>
      </c>
    </row>
    <row r="27245" spans="5:9" ht="16.5" hidden="1">
      <c r="E27245" s="4" t="str">
        <v/>
      </c>
      <c r="F27245" s="102" t="str">
        <f ca="1">IFERROR(__xludf.DUMMYFUNCTION("IMPORTRANGE(H27245,""IDENTITAS UNIT!D9"")"),"#N/A")</f>
        <v>#N/A</v>
      </c>
      <c r="H27245" s="4" t="str">
        <v/>
      </c>
      <c r="I27245" s="4" t="str">
        <v/>
      </c>
    </row>
    <row r="27246" spans="5:9" ht="16.5" hidden="1">
      <c r="E27246" s="4" t="str">
        <v/>
      </c>
      <c r="F27246" s="102" t="str">
        <f ca="1">IFERROR(__xludf.DUMMYFUNCTION("IMPORTRANGE(H27246,""IDENTITAS UNIT!D9"")"),"#N/A")</f>
        <v>#N/A</v>
      </c>
      <c r="H27246" s="4" t="str">
        <v/>
      </c>
      <c r="I27246" s="4" t="str">
        <v/>
      </c>
    </row>
    <row r="27247" spans="5:9" ht="16.5" hidden="1">
      <c r="E27247" s="4" t="str">
        <v/>
      </c>
      <c r="F27247" s="102" t="str">
        <f ca="1">IFERROR(__xludf.DUMMYFUNCTION("IMPORTRANGE(H27247,""IDENTITAS UNIT!D9"")"),"#N/A")</f>
        <v>#N/A</v>
      </c>
      <c r="H27247" s="4" t="str">
        <v/>
      </c>
      <c r="I27247" s="4" t="str">
        <v/>
      </c>
    </row>
    <row r="27248" spans="5:9" ht="16.5" hidden="1">
      <c r="E27248" s="4" t="str">
        <v/>
      </c>
      <c r="F27248" s="102" t="str">
        <f ca="1">IFERROR(__xludf.DUMMYFUNCTION("IMPORTRANGE(H27248,""IDENTITAS UNIT!D9"")"),"#N/A")</f>
        <v>#N/A</v>
      </c>
      <c r="H27248" s="4" t="str">
        <v/>
      </c>
      <c r="I27248" s="4" t="str">
        <v/>
      </c>
    </row>
    <row r="27249" spans="5:9" ht="16.5" hidden="1">
      <c r="E27249" s="4" t="str">
        <v/>
      </c>
      <c r="F27249" s="102" t="str">
        <f ca="1">IFERROR(__xludf.DUMMYFUNCTION("IMPORTRANGE(H27249,""IDENTITAS UNIT!D9"")"),"#N/A")</f>
        <v>#N/A</v>
      </c>
      <c r="H27249" s="4" t="str">
        <v/>
      </c>
      <c r="I27249" s="4" t="str">
        <v/>
      </c>
    </row>
    <row r="27250" spans="5:9" ht="16.5" hidden="1">
      <c r="E27250" s="4" t="str">
        <v/>
      </c>
      <c r="F27250" s="102" t="str">
        <f ca="1">IFERROR(__xludf.DUMMYFUNCTION("IMPORTRANGE(H27250,""IDENTITAS UNIT!D9"")"),"#N/A")</f>
        <v>#N/A</v>
      </c>
      <c r="H27250" s="4" t="str">
        <v/>
      </c>
      <c r="I27250" s="4" t="str">
        <v/>
      </c>
    </row>
    <row r="27251" spans="5:9" ht="16.5" hidden="1">
      <c r="E27251" s="4" t="str">
        <v/>
      </c>
      <c r="F27251" s="102" t="str">
        <f ca="1">IFERROR(__xludf.DUMMYFUNCTION("IMPORTRANGE(H27251,""IDENTITAS UNIT!D9"")"),"#N/A")</f>
        <v>#N/A</v>
      </c>
      <c r="H27251" s="4" t="str">
        <v/>
      </c>
      <c r="I27251" s="4" t="str">
        <v/>
      </c>
    </row>
    <row r="27252" spans="5:9" ht="16.5" hidden="1">
      <c r="E27252" s="4" t="str">
        <v/>
      </c>
      <c r="F27252" s="102" t="str">
        <f ca="1">IFERROR(__xludf.DUMMYFUNCTION("IMPORTRANGE(H27252,""IDENTITAS UNIT!D9"")"),"#N/A")</f>
        <v>#N/A</v>
      </c>
      <c r="H27252" s="4" t="str">
        <v/>
      </c>
      <c r="I27252" s="4" t="str">
        <v/>
      </c>
    </row>
    <row r="27253" spans="5:9" ht="16.5" hidden="1">
      <c r="E27253" s="4" t="str">
        <v/>
      </c>
      <c r="F27253" s="102" t="str">
        <f ca="1">IFERROR(__xludf.DUMMYFUNCTION("IMPORTRANGE(H27253,""IDENTITAS UNIT!D9"")"),"#N/A")</f>
        <v>#N/A</v>
      </c>
      <c r="H27253" s="4" t="str">
        <v/>
      </c>
      <c r="I27253" s="4" t="str">
        <v/>
      </c>
    </row>
    <row r="27254" spans="5:9" ht="16.5" hidden="1">
      <c r="E27254" s="4" t="str">
        <v/>
      </c>
      <c r="F27254" s="102" t="str">
        <f ca="1">IFERROR(__xludf.DUMMYFUNCTION("IMPORTRANGE(H27254,""IDENTITAS UNIT!D9"")"),"#N/A")</f>
        <v>#N/A</v>
      </c>
      <c r="H27254" s="4" t="str">
        <v/>
      </c>
      <c r="I27254" s="4" t="str">
        <v/>
      </c>
    </row>
    <row r="27255" spans="5:9" ht="16.5" hidden="1">
      <c r="E27255" s="4" t="str">
        <v/>
      </c>
      <c r="F27255" s="102" t="str">
        <f ca="1">IFERROR(__xludf.DUMMYFUNCTION("IMPORTRANGE(H27255,""IDENTITAS UNIT!D9"")"),"#N/A")</f>
        <v>#N/A</v>
      </c>
      <c r="H27255" s="4" t="str">
        <v/>
      </c>
      <c r="I27255" s="4" t="str">
        <v/>
      </c>
    </row>
    <row r="27256" spans="5:9" ht="16.5" hidden="1">
      <c r="E27256" s="4" t="str">
        <v/>
      </c>
      <c r="F27256" s="102" t="str">
        <f ca="1">IFERROR(__xludf.DUMMYFUNCTION("IMPORTRANGE(H27256,""IDENTITAS UNIT!D9"")"),"#N/A")</f>
        <v>#N/A</v>
      </c>
      <c r="H27256" s="4" t="str">
        <v/>
      </c>
      <c r="I27256" s="4" t="str">
        <v/>
      </c>
    </row>
    <row r="27257" spans="5:9" ht="16.5" hidden="1">
      <c r="E27257" s="4" t="str">
        <v/>
      </c>
      <c r="F27257" s="102" t="str">
        <f ca="1">IFERROR(__xludf.DUMMYFUNCTION("IMPORTRANGE(H27257,""IDENTITAS UNIT!D9"")"),"#N/A")</f>
        <v>#N/A</v>
      </c>
      <c r="H27257" s="4" t="str">
        <v/>
      </c>
      <c r="I27257" s="4" t="str">
        <v/>
      </c>
    </row>
    <row r="27258" spans="5:9" ht="16.5" hidden="1">
      <c r="E27258" s="4" t="str">
        <v/>
      </c>
      <c r="F27258" s="102" t="str">
        <f ca="1">IFERROR(__xludf.DUMMYFUNCTION("IMPORTRANGE(H27258,""IDENTITAS UNIT!D9"")"),"#N/A")</f>
        <v>#N/A</v>
      </c>
      <c r="H27258" s="4" t="str">
        <v/>
      </c>
      <c r="I27258" s="4" t="str">
        <v/>
      </c>
    </row>
    <row r="27259" spans="5:9" ht="16.5" hidden="1">
      <c r="E27259" s="4" t="str">
        <v/>
      </c>
      <c r="F27259" s="102" t="str">
        <f ca="1">IFERROR(__xludf.DUMMYFUNCTION("IMPORTRANGE(H27259,""IDENTITAS UNIT!D9"")"),"#N/A")</f>
        <v>#N/A</v>
      </c>
      <c r="H27259" s="4" t="str">
        <v/>
      </c>
      <c r="I27259" s="4" t="str">
        <v/>
      </c>
    </row>
    <row r="27260" spans="5:9" ht="16.5" hidden="1">
      <c r="E27260" s="4" t="str">
        <v/>
      </c>
      <c r="F27260" s="102" t="str">
        <f ca="1">IFERROR(__xludf.DUMMYFUNCTION("IMPORTRANGE(H27260,""IDENTITAS UNIT!D9"")"),"#N/A")</f>
        <v>#N/A</v>
      </c>
      <c r="H27260" s="4" t="str">
        <v/>
      </c>
      <c r="I27260" s="4" t="str">
        <v/>
      </c>
    </row>
    <row r="27261" spans="5:9" ht="16.5" hidden="1">
      <c r="E27261" s="4" t="str">
        <v/>
      </c>
      <c r="F27261" s="102" t="str">
        <f ca="1">IFERROR(__xludf.DUMMYFUNCTION("IMPORTRANGE(H27261,""IDENTITAS UNIT!D9"")"),"#N/A")</f>
        <v>#N/A</v>
      </c>
      <c r="H27261" s="4" t="str">
        <v/>
      </c>
      <c r="I27261" s="4" t="str">
        <v/>
      </c>
    </row>
    <row r="27262" spans="5:9" ht="16.5" hidden="1">
      <c r="E27262" s="4" t="str">
        <v/>
      </c>
      <c r="F27262" s="102" t="str">
        <f ca="1">IFERROR(__xludf.DUMMYFUNCTION("IMPORTRANGE(H27262,""IDENTITAS UNIT!D9"")"),"#N/A")</f>
        <v>#N/A</v>
      </c>
      <c r="H27262" s="4" t="str">
        <v/>
      </c>
      <c r="I27262" s="4" t="str">
        <v/>
      </c>
    </row>
    <row r="27263" spans="5:9" ht="16.5" hidden="1">
      <c r="E27263" s="4" t="str">
        <v/>
      </c>
      <c r="F27263" s="102" t="str">
        <f ca="1">IFERROR(__xludf.DUMMYFUNCTION("IMPORTRANGE(H27263,""IDENTITAS UNIT!D9"")"),"#N/A")</f>
        <v>#N/A</v>
      </c>
      <c r="H27263" s="4" t="str">
        <v/>
      </c>
      <c r="I27263" s="4" t="str">
        <v/>
      </c>
    </row>
    <row r="27264" spans="5:9" ht="16.5" hidden="1">
      <c r="E27264" s="4" t="str">
        <v/>
      </c>
      <c r="F27264" s="102" t="str">
        <f ca="1">IFERROR(__xludf.DUMMYFUNCTION("IMPORTRANGE(H27264,""IDENTITAS UNIT!D9"")"),"#N/A")</f>
        <v>#N/A</v>
      </c>
      <c r="H27264" s="4" t="str">
        <v/>
      </c>
      <c r="I27264" s="4" t="str">
        <v/>
      </c>
    </row>
    <row r="27265" spans="5:9" ht="16.5" hidden="1">
      <c r="E27265" s="4" t="str">
        <v/>
      </c>
      <c r="F27265" s="102" t="str">
        <f ca="1">IFERROR(__xludf.DUMMYFUNCTION("IMPORTRANGE(H27265,""IDENTITAS UNIT!D9"")"),"#N/A")</f>
        <v>#N/A</v>
      </c>
      <c r="H27265" s="4" t="str">
        <v/>
      </c>
      <c r="I27265" s="4" t="str">
        <v/>
      </c>
    </row>
    <row r="27266" spans="5:9" ht="16.5" hidden="1">
      <c r="E27266" s="4" t="str">
        <v/>
      </c>
      <c r="F27266" s="102" t="str">
        <f ca="1">IFERROR(__xludf.DUMMYFUNCTION("IMPORTRANGE(H27266,""IDENTITAS UNIT!D9"")"),"#N/A")</f>
        <v>#N/A</v>
      </c>
      <c r="H27266" s="4" t="str">
        <v/>
      </c>
      <c r="I27266" s="4" t="str">
        <v/>
      </c>
    </row>
    <row r="27267" spans="5:9" ht="16.5" hidden="1">
      <c r="E27267" s="4" t="str">
        <v/>
      </c>
      <c r="F27267" s="102" t="str">
        <f ca="1">IFERROR(__xludf.DUMMYFUNCTION("IMPORTRANGE(H27267,""IDENTITAS UNIT!D9"")"),"#N/A")</f>
        <v>#N/A</v>
      </c>
      <c r="H27267" s="4" t="str">
        <v/>
      </c>
      <c r="I27267" s="4" t="str">
        <v/>
      </c>
    </row>
    <row r="27268" spans="5:9" ht="16.5" hidden="1">
      <c r="E27268" s="4" t="str">
        <v/>
      </c>
      <c r="F27268" s="102" t="str">
        <f ca="1">IFERROR(__xludf.DUMMYFUNCTION("IMPORTRANGE(H27268,""IDENTITAS UNIT!D9"")"),"#N/A")</f>
        <v>#N/A</v>
      </c>
      <c r="H27268" s="4" t="str">
        <v/>
      </c>
      <c r="I27268" s="4" t="str">
        <v/>
      </c>
    </row>
    <row r="27269" spans="5:9" ht="16.5" hidden="1">
      <c r="E27269" s="4" t="str">
        <v/>
      </c>
      <c r="F27269" s="102" t="str">
        <f ca="1">IFERROR(__xludf.DUMMYFUNCTION("IMPORTRANGE(H27269,""IDENTITAS UNIT!D9"")"),"#N/A")</f>
        <v>#N/A</v>
      </c>
      <c r="H27269" s="4" t="str">
        <v/>
      </c>
      <c r="I27269" s="4" t="str">
        <v/>
      </c>
    </row>
    <row r="27270" spans="5:9" ht="16.5" hidden="1">
      <c r="E27270" s="4" t="str">
        <v/>
      </c>
      <c r="F27270" s="102" t="str">
        <f ca="1">IFERROR(__xludf.DUMMYFUNCTION("IMPORTRANGE(H27270,""IDENTITAS UNIT!D9"")"),"#N/A")</f>
        <v>#N/A</v>
      </c>
      <c r="H27270" s="4" t="str">
        <v/>
      </c>
      <c r="I27270" s="4" t="str">
        <v/>
      </c>
    </row>
    <row r="27271" spans="5:9" ht="16.5" hidden="1">
      <c r="E27271" s="4" t="str">
        <v/>
      </c>
      <c r="F27271" s="102" t="str">
        <f ca="1">IFERROR(__xludf.DUMMYFUNCTION("IMPORTRANGE(H27271,""IDENTITAS UNIT!D9"")"),"#N/A")</f>
        <v>#N/A</v>
      </c>
      <c r="H27271" s="4" t="str">
        <v/>
      </c>
      <c r="I27271" s="4" t="str">
        <v/>
      </c>
    </row>
    <row r="27272" spans="5:9" ht="16.5" hidden="1">
      <c r="E27272" s="4" t="str">
        <v/>
      </c>
      <c r="F27272" s="102" t="str">
        <f ca="1">IFERROR(__xludf.DUMMYFUNCTION("IMPORTRANGE(H27272,""IDENTITAS UNIT!D9"")"),"#N/A")</f>
        <v>#N/A</v>
      </c>
      <c r="H27272" s="4" t="str">
        <v/>
      </c>
      <c r="I27272" s="4" t="str">
        <v/>
      </c>
    </row>
    <row r="27273" spans="5:9" ht="16.5" hidden="1">
      <c r="E27273" s="4" t="str">
        <v/>
      </c>
      <c r="F27273" s="102" t="str">
        <f ca="1">IFERROR(__xludf.DUMMYFUNCTION("IMPORTRANGE(H27273,""IDENTITAS UNIT!D9"")"),"#N/A")</f>
        <v>#N/A</v>
      </c>
      <c r="H27273" s="4" t="str">
        <v/>
      </c>
      <c r="I27273" s="4" t="str">
        <v/>
      </c>
    </row>
    <row r="27274" spans="5:9" ht="16.5" hidden="1">
      <c r="E27274" s="4" t="str">
        <v/>
      </c>
      <c r="F27274" s="102" t="str">
        <f ca="1">IFERROR(__xludf.DUMMYFUNCTION("IMPORTRANGE(H27274,""IDENTITAS UNIT!D9"")"),"#N/A")</f>
        <v>#N/A</v>
      </c>
      <c r="H27274" s="4" t="str">
        <v/>
      </c>
      <c r="I27274" s="4" t="str">
        <v/>
      </c>
    </row>
    <row r="27275" spans="5:9" ht="16.5" hidden="1">
      <c r="E27275" s="4" t="str">
        <v/>
      </c>
      <c r="F27275" s="102" t="str">
        <f ca="1">IFERROR(__xludf.DUMMYFUNCTION("IMPORTRANGE(H27275,""IDENTITAS UNIT!D9"")"),"#N/A")</f>
        <v>#N/A</v>
      </c>
      <c r="H27275" s="4" t="str">
        <v/>
      </c>
      <c r="I27275" s="4" t="str">
        <v/>
      </c>
    </row>
    <row r="27276" spans="5:9" ht="16.5" hidden="1">
      <c r="E27276" s="4" t="str">
        <v/>
      </c>
      <c r="F27276" s="102" t="str">
        <f ca="1">IFERROR(__xludf.DUMMYFUNCTION("IMPORTRANGE(H27276,""IDENTITAS UNIT!D9"")"),"#N/A")</f>
        <v>#N/A</v>
      </c>
      <c r="H27276" s="4" t="str">
        <v/>
      </c>
      <c r="I27276" s="4" t="str">
        <v/>
      </c>
    </row>
    <row r="27277" spans="5:9" ht="16.5" hidden="1">
      <c r="E27277" s="4" t="str">
        <v/>
      </c>
      <c r="F27277" s="102" t="str">
        <f ca="1">IFERROR(__xludf.DUMMYFUNCTION("IMPORTRANGE(H27277,""IDENTITAS UNIT!D9"")"),"#N/A")</f>
        <v>#N/A</v>
      </c>
      <c r="H27277" s="4" t="str">
        <v/>
      </c>
      <c r="I27277" s="4" t="str">
        <v/>
      </c>
    </row>
    <row r="27278" spans="5:9" ht="16.5" hidden="1">
      <c r="E27278" s="4" t="str">
        <v/>
      </c>
      <c r="F27278" s="102" t="str">
        <f ca="1">IFERROR(__xludf.DUMMYFUNCTION("IMPORTRANGE(H27278,""IDENTITAS UNIT!D9"")"),"#N/A")</f>
        <v>#N/A</v>
      </c>
      <c r="H27278" s="4" t="str">
        <v/>
      </c>
      <c r="I27278" s="4" t="str">
        <v/>
      </c>
    </row>
    <row r="27279" spans="5:9" ht="16.5" hidden="1">
      <c r="E27279" s="4" t="str">
        <v/>
      </c>
      <c r="F27279" s="102" t="str">
        <f ca="1">IFERROR(__xludf.DUMMYFUNCTION("IMPORTRANGE(H27279,""IDENTITAS UNIT!D9"")"),"#N/A")</f>
        <v>#N/A</v>
      </c>
      <c r="H27279" s="4" t="str">
        <v/>
      </c>
      <c r="I27279" s="4" t="str">
        <v/>
      </c>
    </row>
    <row r="27280" spans="5:9" ht="16.5" hidden="1">
      <c r="E27280" s="4" t="str">
        <v/>
      </c>
      <c r="F27280" s="102" t="str">
        <f ca="1">IFERROR(__xludf.DUMMYFUNCTION("IMPORTRANGE(H27280,""IDENTITAS UNIT!D9"")"),"#N/A")</f>
        <v>#N/A</v>
      </c>
      <c r="H27280" s="4" t="str">
        <v/>
      </c>
      <c r="I27280" s="4" t="str">
        <v/>
      </c>
    </row>
    <row r="27281" spans="5:9" ht="16.5" hidden="1">
      <c r="E27281" s="4" t="str">
        <v/>
      </c>
      <c r="F27281" s="102" t="str">
        <f ca="1">IFERROR(__xludf.DUMMYFUNCTION("IMPORTRANGE(H27281,""IDENTITAS UNIT!D9"")"),"#N/A")</f>
        <v>#N/A</v>
      </c>
      <c r="H27281" s="4" t="str">
        <v/>
      </c>
      <c r="I27281" s="4" t="str">
        <v/>
      </c>
    </row>
    <row r="27282" spans="5:9" ht="16.5" hidden="1">
      <c r="E27282" s="4" t="str">
        <v/>
      </c>
      <c r="F27282" s="102" t="str">
        <f ca="1">IFERROR(__xludf.DUMMYFUNCTION("IMPORTRANGE(H27282,""IDENTITAS UNIT!D9"")"),"#N/A")</f>
        <v>#N/A</v>
      </c>
      <c r="H27282" s="4" t="str">
        <v/>
      </c>
      <c r="I27282" s="4" t="str">
        <v/>
      </c>
    </row>
    <row r="27283" spans="5:9" ht="16.5" hidden="1">
      <c r="E27283" s="4" t="str">
        <v/>
      </c>
      <c r="F27283" s="102" t="str">
        <f ca="1">IFERROR(__xludf.DUMMYFUNCTION("IMPORTRANGE(H27283,""IDENTITAS UNIT!D9"")"),"#N/A")</f>
        <v>#N/A</v>
      </c>
      <c r="H27283" s="4" t="str">
        <v/>
      </c>
      <c r="I27283" s="4" t="str">
        <v/>
      </c>
    </row>
    <row r="27284" spans="5:9" ht="16.5" hidden="1">
      <c r="E27284" s="4" t="str">
        <v/>
      </c>
      <c r="F27284" s="102" t="str">
        <f ca="1">IFERROR(__xludf.DUMMYFUNCTION("IMPORTRANGE(H27284,""IDENTITAS UNIT!D9"")"),"#N/A")</f>
        <v>#N/A</v>
      </c>
      <c r="H27284" s="4" t="str">
        <v/>
      </c>
      <c r="I27284" s="4" t="str">
        <v/>
      </c>
    </row>
    <row r="27285" spans="5:9" ht="16.5" hidden="1">
      <c r="E27285" s="4" t="str">
        <v/>
      </c>
      <c r="F27285" s="102" t="str">
        <f ca="1">IFERROR(__xludf.DUMMYFUNCTION("IMPORTRANGE(H27285,""IDENTITAS UNIT!D9"")"),"#N/A")</f>
        <v>#N/A</v>
      </c>
      <c r="H27285" s="4" t="str">
        <v/>
      </c>
      <c r="I27285" s="4" t="str">
        <v/>
      </c>
    </row>
    <row r="27286" spans="5:9" ht="16.5" hidden="1">
      <c r="E27286" s="4" t="str">
        <v/>
      </c>
      <c r="F27286" s="102" t="str">
        <f ca="1">IFERROR(__xludf.DUMMYFUNCTION("IMPORTRANGE(H27286,""IDENTITAS UNIT!D9"")"),"#N/A")</f>
        <v>#N/A</v>
      </c>
      <c r="H27286" s="4" t="str">
        <v/>
      </c>
      <c r="I27286" s="4" t="str">
        <v/>
      </c>
    </row>
    <row r="27287" spans="5:9" ht="16.5" hidden="1">
      <c r="E27287" s="4" t="str">
        <v/>
      </c>
      <c r="F27287" s="102" t="str">
        <f ca="1">IFERROR(__xludf.DUMMYFUNCTION("IMPORTRANGE(H27287,""IDENTITAS UNIT!D9"")"),"#N/A")</f>
        <v>#N/A</v>
      </c>
      <c r="H27287" s="4" t="str">
        <v/>
      </c>
      <c r="I27287" s="4" t="str">
        <v/>
      </c>
    </row>
    <row r="27288" spans="5:9" ht="16.5" hidden="1">
      <c r="E27288" s="4" t="str">
        <v/>
      </c>
      <c r="F27288" s="102" t="str">
        <f ca="1">IFERROR(__xludf.DUMMYFUNCTION("IMPORTRANGE(H27288,""IDENTITAS UNIT!D9"")"),"#N/A")</f>
        <v>#N/A</v>
      </c>
      <c r="H27288" s="4" t="str">
        <v/>
      </c>
      <c r="I27288" s="4" t="str">
        <v/>
      </c>
    </row>
    <row r="27289" spans="5:9" ht="16.5" hidden="1">
      <c r="E27289" s="4" t="str">
        <v/>
      </c>
      <c r="F27289" s="102" t="str">
        <f ca="1">IFERROR(__xludf.DUMMYFUNCTION("IMPORTRANGE(H27289,""IDENTITAS UNIT!D9"")"),"#N/A")</f>
        <v>#N/A</v>
      </c>
      <c r="H27289" s="4" t="str">
        <v/>
      </c>
      <c r="I27289" s="4" t="str">
        <v/>
      </c>
    </row>
    <row r="27290" spans="5:9" ht="16.5" hidden="1">
      <c r="E27290" s="4" t="str">
        <v/>
      </c>
      <c r="F27290" s="102" t="str">
        <f ca="1">IFERROR(__xludf.DUMMYFUNCTION("IMPORTRANGE(H27290,""IDENTITAS UNIT!D9"")"),"#N/A")</f>
        <v>#N/A</v>
      </c>
      <c r="H27290" s="4" t="str">
        <v/>
      </c>
      <c r="I27290" s="4" t="str">
        <v/>
      </c>
    </row>
    <row r="27291" spans="5:9" ht="16.5" hidden="1">
      <c r="E27291" s="4" t="str">
        <v/>
      </c>
      <c r="F27291" s="102" t="str">
        <f ca="1">IFERROR(__xludf.DUMMYFUNCTION("IMPORTRANGE(H27291,""IDENTITAS UNIT!D9"")"),"#N/A")</f>
        <v>#N/A</v>
      </c>
      <c r="H27291" s="4" t="str">
        <v/>
      </c>
      <c r="I27291" s="4" t="str">
        <v/>
      </c>
    </row>
    <row r="27292" spans="5:9" ht="16.5" hidden="1">
      <c r="E27292" s="4" t="str">
        <v/>
      </c>
      <c r="F27292" s="102" t="str">
        <f ca="1">IFERROR(__xludf.DUMMYFUNCTION("IMPORTRANGE(H27292,""IDENTITAS UNIT!D9"")"),"#N/A")</f>
        <v>#N/A</v>
      </c>
      <c r="H27292" s="4" t="str">
        <v/>
      </c>
      <c r="I27292" s="4" t="str">
        <v/>
      </c>
    </row>
    <row r="27293" spans="5:9" ht="16.5" hidden="1">
      <c r="E27293" s="4" t="str">
        <v/>
      </c>
      <c r="F27293" s="102" t="str">
        <f ca="1">IFERROR(__xludf.DUMMYFUNCTION("IMPORTRANGE(H27293,""IDENTITAS UNIT!D9"")"),"#N/A")</f>
        <v>#N/A</v>
      </c>
      <c r="H27293" s="4" t="str">
        <v/>
      </c>
      <c r="I27293" s="4" t="str">
        <v/>
      </c>
    </row>
    <row r="27294" spans="5:9" ht="16.5" hidden="1">
      <c r="E27294" s="4" t="str">
        <v/>
      </c>
      <c r="F27294" s="102" t="str">
        <f ca="1">IFERROR(__xludf.DUMMYFUNCTION("IMPORTRANGE(H27294,""IDENTITAS UNIT!D9"")"),"#N/A")</f>
        <v>#N/A</v>
      </c>
      <c r="H27294" s="4" t="str">
        <v/>
      </c>
      <c r="I27294" s="4" t="str">
        <v/>
      </c>
    </row>
    <row r="27295" spans="5:9" ht="16.5" hidden="1">
      <c r="E27295" s="4" t="str">
        <v/>
      </c>
      <c r="F27295" s="102" t="str">
        <f ca="1">IFERROR(__xludf.DUMMYFUNCTION("IMPORTRANGE(H27295,""IDENTITAS UNIT!D9"")"),"#N/A")</f>
        <v>#N/A</v>
      </c>
      <c r="H27295" s="4" t="str">
        <v/>
      </c>
      <c r="I27295" s="4" t="str">
        <v/>
      </c>
    </row>
    <row r="27296" spans="5:9" ht="16.5" hidden="1">
      <c r="E27296" s="4" t="str">
        <v/>
      </c>
      <c r="F27296" s="102" t="str">
        <f ca="1">IFERROR(__xludf.DUMMYFUNCTION("IMPORTRANGE(H27296,""IDENTITAS UNIT!D9"")"),"#N/A")</f>
        <v>#N/A</v>
      </c>
      <c r="H27296" s="4" t="str">
        <v/>
      </c>
      <c r="I27296" s="4" t="str">
        <v/>
      </c>
    </row>
    <row r="27297" spans="5:9" ht="16.5" hidden="1">
      <c r="E27297" s="4" t="str">
        <v/>
      </c>
      <c r="F27297" s="102" t="str">
        <f ca="1">IFERROR(__xludf.DUMMYFUNCTION("IMPORTRANGE(H27297,""IDENTITAS UNIT!D9"")"),"#N/A")</f>
        <v>#N/A</v>
      </c>
      <c r="H27297" s="4" t="str">
        <v/>
      </c>
      <c r="I27297" s="4" t="str">
        <v/>
      </c>
    </row>
    <row r="27298" spans="5:9" ht="16.5" hidden="1">
      <c r="E27298" s="4" t="str">
        <v/>
      </c>
      <c r="F27298" s="102" t="str">
        <f ca="1">IFERROR(__xludf.DUMMYFUNCTION("IMPORTRANGE(H27298,""IDENTITAS UNIT!D9"")"),"#N/A")</f>
        <v>#N/A</v>
      </c>
      <c r="H27298" s="4" t="str">
        <v/>
      </c>
      <c r="I27298" s="4" t="str">
        <v/>
      </c>
    </row>
    <row r="27299" spans="5:9" ht="16.5" hidden="1">
      <c r="E27299" s="4" t="str">
        <v/>
      </c>
      <c r="F27299" s="102" t="str">
        <f ca="1">IFERROR(__xludf.DUMMYFUNCTION("IMPORTRANGE(H27299,""IDENTITAS UNIT!D9"")"),"#N/A")</f>
        <v>#N/A</v>
      </c>
      <c r="H27299" s="4" t="str">
        <v/>
      </c>
      <c r="I27299" s="4" t="str">
        <v/>
      </c>
    </row>
    <row r="27300" spans="5:9" ht="16.5" hidden="1">
      <c r="E27300" s="4" t="str">
        <v/>
      </c>
      <c r="F27300" s="102" t="str">
        <f ca="1">IFERROR(__xludf.DUMMYFUNCTION("IMPORTRANGE(H27300,""IDENTITAS UNIT!D9"")"),"#N/A")</f>
        <v>#N/A</v>
      </c>
      <c r="H27300" s="4" t="str">
        <v/>
      </c>
      <c r="I27300" s="4" t="str">
        <v/>
      </c>
    </row>
    <row r="27301" spans="5:9" ht="16.5" hidden="1">
      <c r="E27301" s="4" t="str">
        <v/>
      </c>
      <c r="F27301" s="102" t="str">
        <f ca="1">IFERROR(__xludf.DUMMYFUNCTION("IMPORTRANGE(H27301,""IDENTITAS UNIT!D9"")"),"#N/A")</f>
        <v>#N/A</v>
      </c>
      <c r="H27301" s="4" t="str">
        <v/>
      </c>
      <c r="I27301" s="4" t="str">
        <v/>
      </c>
    </row>
    <row r="27302" spans="5:9" ht="16.5" hidden="1">
      <c r="E27302" s="4" t="str">
        <v/>
      </c>
      <c r="F27302" s="102" t="str">
        <f ca="1">IFERROR(__xludf.DUMMYFUNCTION("IMPORTRANGE(H27302,""IDENTITAS UNIT!D9"")"),"#N/A")</f>
        <v>#N/A</v>
      </c>
      <c r="H27302" s="4" t="str">
        <v/>
      </c>
      <c r="I27302" s="4" t="str">
        <v/>
      </c>
    </row>
    <row r="27303" spans="5:9" ht="16.5" hidden="1">
      <c r="E27303" s="4" t="str">
        <v/>
      </c>
      <c r="F27303" s="102" t="str">
        <f ca="1">IFERROR(__xludf.DUMMYFUNCTION("IMPORTRANGE(H27303,""IDENTITAS UNIT!D9"")"),"#N/A")</f>
        <v>#N/A</v>
      </c>
      <c r="H27303" s="4" t="str">
        <v/>
      </c>
      <c r="I27303" s="4" t="str">
        <v/>
      </c>
    </row>
    <row r="27304" spans="5:9" ht="16.5" hidden="1">
      <c r="E27304" s="4" t="str">
        <v/>
      </c>
      <c r="F27304" s="102" t="str">
        <f ca="1">IFERROR(__xludf.DUMMYFUNCTION("IMPORTRANGE(H27304,""IDENTITAS UNIT!D9"")"),"#N/A")</f>
        <v>#N/A</v>
      </c>
      <c r="H27304" s="4" t="str">
        <v/>
      </c>
      <c r="I27304" s="4" t="str">
        <v/>
      </c>
    </row>
    <row r="27305" spans="5:9" ht="16.5" hidden="1">
      <c r="E27305" s="4" t="str">
        <v/>
      </c>
      <c r="F27305" s="102" t="str">
        <f ca="1">IFERROR(__xludf.DUMMYFUNCTION("IMPORTRANGE(H27305,""IDENTITAS UNIT!D9"")"),"#N/A")</f>
        <v>#N/A</v>
      </c>
      <c r="H27305" s="4" t="str">
        <v/>
      </c>
      <c r="I27305" s="4" t="str">
        <v/>
      </c>
    </row>
    <row r="27306" spans="5:9" ht="16.5" hidden="1">
      <c r="E27306" s="4" t="str">
        <v/>
      </c>
      <c r="F27306" s="102" t="str">
        <f ca="1">IFERROR(__xludf.DUMMYFUNCTION("IMPORTRANGE(H27306,""IDENTITAS UNIT!D9"")"),"#N/A")</f>
        <v>#N/A</v>
      </c>
      <c r="H27306" s="4" t="str">
        <v/>
      </c>
      <c r="I27306" s="4" t="str">
        <v/>
      </c>
    </row>
    <row r="27307" spans="5:9" ht="16.5" hidden="1">
      <c r="E27307" s="4" t="str">
        <v/>
      </c>
      <c r="F27307" s="102" t="str">
        <f ca="1">IFERROR(__xludf.DUMMYFUNCTION("IMPORTRANGE(H27307,""IDENTITAS UNIT!D9"")"),"#N/A")</f>
        <v>#N/A</v>
      </c>
      <c r="H27307" s="4" t="str">
        <v/>
      </c>
      <c r="I27307" s="4" t="str">
        <v/>
      </c>
    </row>
    <row r="27308" spans="5:9" ht="16.5" hidden="1">
      <c r="E27308" s="4" t="str">
        <v/>
      </c>
      <c r="F27308" s="102" t="str">
        <f ca="1">IFERROR(__xludf.DUMMYFUNCTION("IMPORTRANGE(H27308,""IDENTITAS UNIT!D9"")"),"#N/A")</f>
        <v>#N/A</v>
      </c>
      <c r="H27308" s="4" t="str">
        <v/>
      </c>
      <c r="I27308" s="4" t="str">
        <v/>
      </c>
    </row>
    <row r="27309" spans="5:9" ht="16.5" hidden="1">
      <c r="E27309" s="4" t="str">
        <v/>
      </c>
      <c r="F27309" s="102" t="str">
        <f ca="1">IFERROR(__xludf.DUMMYFUNCTION("IMPORTRANGE(H27309,""IDENTITAS UNIT!D9"")"),"#N/A")</f>
        <v>#N/A</v>
      </c>
      <c r="H27309" s="4" t="str">
        <v/>
      </c>
      <c r="I27309" s="4" t="str">
        <v/>
      </c>
    </row>
    <row r="27310" spans="5:9" ht="16.5" hidden="1">
      <c r="E27310" s="4" t="str">
        <v/>
      </c>
      <c r="F27310" s="102" t="str">
        <f ca="1">IFERROR(__xludf.DUMMYFUNCTION("IMPORTRANGE(H27310,""IDENTITAS UNIT!D9"")"),"#N/A")</f>
        <v>#N/A</v>
      </c>
      <c r="H27310" s="4" t="str">
        <v/>
      </c>
      <c r="I27310" s="4" t="str">
        <v/>
      </c>
    </row>
    <row r="27311" spans="5:9" ht="16.5" hidden="1">
      <c r="E27311" s="4" t="str">
        <v/>
      </c>
      <c r="F27311" s="102" t="str">
        <f ca="1">IFERROR(__xludf.DUMMYFUNCTION("IMPORTRANGE(H27311,""IDENTITAS UNIT!D9"")"),"#N/A")</f>
        <v>#N/A</v>
      </c>
      <c r="H27311" s="4" t="str">
        <v/>
      </c>
      <c r="I27311" s="4" t="str">
        <v/>
      </c>
    </row>
    <row r="27312" spans="5:9" ht="16.5" hidden="1">
      <c r="E27312" s="4" t="str">
        <v/>
      </c>
      <c r="F27312" s="102" t="str">
        <f ca="1">IFERROR(__xludf.DUMMYFUNCTION("IMPORTRANGE(H27312,""IDENTITAS UNIT!D9"")"),"#N/A")</f>
        <v>#N/A</v>
      </c>
      <c r="H27312" s="4" t="str">
        <v/>
      </c>
      <c r="I27312" s="4" t="str">
        <v/>
      </c>
    </row>
    <row r="27313" spans="5:9" ht="16.5" hidden="1">
      <c r="E27313" s="4" t="str">
        <v/>
      </c>
      <c r="F27313" s="102" t="str">
        <f ca="1">IFERROR(__xludf.DUMMYFUNCTION("IMPORTRANGE(H27313,""IDENTITAS UNIT!D9"")"),"#N/A")</f>
        <v>#N/A</v>
      </c>
      <c r="H27313" s="4" t="str">
        <v/>
      </c>
      <c r="I27313" s="4" t="str">
        <v/>
      </c>
    </row>
    <row r="27314" spans="5:9" ht="16.5" hidden="1">
      <c r="E27314" s="4" t="str">
        <v/>
      </c>
      <c r="F27314" s="102" t="str">
        <f ca="1">IFERROR(__xludf.DUMMYFUNCTION("IMPORTRANGE(H27314,""IDENTITAS UNIT!D9"")"),"#N/A")</f>
        <v>#N/A</v>
      </c>
      <c r="H27314" s="4" t="str">
        <v/>
      </c>
      <c r="I27314" s="4" t="str">
        <v/>
      </c>
    </row>
    <row r="27315" spans="5:9" ht="16.5" hidden="1">
      <c r="E27315" s="4" t="str">
        <v/>
      </c>
      <c r="F27315" s="102" t="str">
        <f ca="1">IFERROR(__xludf.DUMMYFUNCTION("IMPORTRANGE(H27315,""IDENTITAS UNIT!D9"")"),"#N/A")</f>
        <v>#N/A</v>
      </c>
      <c r="H27315" s="4" t="str">
        <v/>
      </c>
      <c r="I27315" s="4" t="str">
        <v/>
      </c>
    </row>
    <row r="27316" spans="5:9" ht="16.5" hidden="1">
      <c r="E27316" s="4" t="str">
        <v/>
      </c>
      <c r="F27316" s="102" t="str">
        <f ca="1">IFERROR(__xludf.DUMMYFUNCTION("IMPORTRANGE(H27316,""IDENTITAS UNIT!D9"")"),"#N/A")</f>
        <v>#N/A</v>
      </c>
      <c r="H27316" s="4" t="str">
        <v/>
      </c>
      <c r="I27316" s="4" t="str">
        <v/>
      </c>
    </row>
    <row r="27317" spans="5:9" ht="16.5" hidden="1">
      <c r="E27317" s="4" t="str">
        <v/>
      </c>
      <c r="F27317" s="102" t="str">
        <f ca="1">IFERROR(__xludf.DUMMYFUNCTION("IMPORTRANGE(H27317,""IDENTITAS UNIT!D9"")"),"#N/A")</f>
        <v>#N/A</v>
      </c>
      <c r="H27317" s="4" t="str">
        <v/>
      </c>
      <c r="I27317" s="4" t="str">
        <v/>
      </c>
    </row>
    <row r="27318" spans="5:9" ht="16.5" hidden="1">
      <c r="E27318" s="4" t="str">
        <v/>
      </c>
      <c r="F27318" s="102" t="str">
        <f ca="1">IFERROR(__xludf.DUMMYFUNCTION("IMPORTRANGE(H27318,""IDENTITAS UNIT!D9"")"),"#N/A")</f>
        <v>#N/A</v>
      </c>
      <c r="H27318" s="4" t="str">
        <v/>
      </c>
      <c r="I27318" s="4" t="str">
        <v/>
      </c>
    </row>
    <row r="27319" spans="5:9" ht="16.5" hidden="1">
      <c r="E27319" s="4" t="str">
        <v/>
      </c>
      <c r="F27319" s="102" t="str">
        <f ca="1">IFERROR(__xludf.DUMMYFUNCTION("IMPORTRANGE(H27319,""IDENTITAS UNIT!D9"")"),"#N/A")</f>
        <v>#N/A</v>
      </c>
      <c r="H27319" s="4" t="str">
        <v/>
      </c>
      <c r="I27319" s="4" t="str">
        <v/>
      </c>
    </row>
    <row r="27320" spans="5:9" ht="16.5" hidden="1">
      <c r="E27320" s="4" t="str">
        <v/>
      </c>
      <c r="F27320" s="102" t="str">
        <f ca="1">IFERROR(__xludf.DUMMYFUNCTION("IMPORTRANGE(H27320,""IDENTITAS UNIT!D9"")"),"#N/A")</f>
        <v>#N/A</v>
      </c>
      <c r="H27320" s="4" t="str">
        <v/>
      </c>
      <c r="I27320" s="4" t="str">
        <v/>
      </c>
    </row>
    <row r="27321" spans="5:9" ht="16.5" hidden="1">
      <c r="E27321" s="4" t="str">
        <v/>
      </c>
      <c r="F27321" s="102" t="str">
        <f ca="1">IFERROR(__xludf.DUMMYFUNCTION("IMPORTRANGE(H27321,""IDENTITAS UNIT!D9"")"),"#N/A")</f>
        <v>#N/A</v>
      </c>
      <c r="H27321" s="4" t="str">
        <v/>
      </c>
      <c r="I27321" s="4" t="str">
        <v/>
      </c>
    </row>
    <row r="27322" spans="5:9" ht="16.5" hidden="1">
      <c r="E27322" s="4" t="str">
        <v/>
      </c>
      <c r="F27322" s="102" t="str">
        <f ca="1">IFERROR(__xludf.DUMMYFUNCTION("IMPORTRANGE(H27322,""IDENTITAS UNIT!D9"")"),"#N/A")</f>
        <v>#N/A</v>
      </c>
      <c r="H27322" s="4" t="str">
        <v/>
      </c>
      <c r="I27322" s="4" t="str">
        <v/>
      </c>
    </row>
    <row r="27323" spans="5:9" ht="16.5" hidden="1">
      <c r="E27323" s="4" t="str">
        <v/>
      </c>
      <c r="F27323" s="102" t="str">
        <f ca="1">IFERROR(__xludf.DUMMYFUNCTION("IMPORTRANGE(H27323,""IDENTITAS UNIT!D9"")"),"#N/A")</f>
        <v>#N/A</v>
      </c>
      <c r="H27323" s="4" t="str">
        <v/>
      </c>
      <c r="I27323" s="4" t="str">
        <v/>
      </c>
    </row>
    <row r="27324" spans="5:9" ht="16.5" hidden="1">
      <c r="E27324" s="4" t="str">
        <v/>
      </c>
      <c r="F27324" s="102" t="str">
        <f ca="1">IFERROR(__xludf.DUMMYFUNCTION("IMPORTRANGE(H27324,""IDENTITAS UNIT!D9"")"),"#N/A")</f>
        <v>#N/A</v>
      </c>
      <c r="H27324" s="4" t="str">
        <v/>
      </c>
      <c r="I27324" s="4" t="str">
        <v/>
      </c>
    </row>
    <row r="27325" spans="5:9" ht="16.5" hidden="1">
      <c r="E27325" s="4" t="str">
        <v/>
      </c>
      <c r="F27325" s="102" t="str">
        <f ca="1">IFERROR(__xludf.DUMMYFUNCTION("IMPORTRANGE(H27325,""IDENTITAS UNIT!D9"")"),"#N/A")</f>
        <v>#N/A</v>
      </c>
      <c r="H27325" s="4" t="str">
        <v/>
      </c>
      <c r="I27325" s="4" t="str">
        <v/>
      </c>
    </row>
    <row r="27326" spans="5:9" ht="16.5" hidden="1">
      <c r="E27326" s="4" t="str">
        <v/>
      </c>
      <c r="F27326" s="102" t="str">
        <f ca="1">IFERROR(__xludf.DUMMYFUNCTION("IMPORTRANGE(H27326,""IDENTITAS UNIT!D9"")"),"#N/A")</f>
        <v>#N/A</v>
      </c>
      <c r="H27326" s="4" t="str">
        <v/>
      </c>
      <c r="I27326" s="4" t="str">
        <v/>
      </c>
    </row>
    <row r="27327" spans="5:9" ht="16.5" hidden="1">
      <c r="E27327" s="4" t="str">
        <v/>
      </c>
      <c r="F27327" s="102" t="str">
        <f ca="1">IFERROR(__xludf.DUMMYFUNCTION("IMPORTRANGE(H27327,""IDENTITAS UNIT!D9"")"),"#N/A")</f>
        <v>#N/A</v>
      </c>
      <c r="H27327" s="4" t="str">
        <v/>
      </c>
      <c r="I27327" s="4" t="str">
        <v/>
      </c>
    </row>
    <row r="27328" spans="5:9" ht="16.5" hidden="1">
      <c r="E27328" s="4" t="str">
        <v/>
      </c>
      <c r="F27328" s="102" t="str">
        <f ca="1">IFERROR(__xludf.DUMMYFUNCTION("IMPORTRANGE(H27328,""IDENTITAS UNIT!D9"")"),"#N/A")</f>
        <v>#N/A</v>
      </c>
      <c r="H27328" s="4" t="str">
        <v/>
      </c>
      <c r="I27328" s="4" t="str">
        <v/>
      </c>
    </row>
    <row r="27329" spans="5:9" ht="16.5" hidden="1">
      <c r="E27329" s="4" t="str">
        <v/>
      </c>
      <c r="F27329" s="102" t="str">
        <f ca="1">IFERROR(__xludf.DUMMYFUNCTION("IMPORTRANGE(H27329,""IDENTITAS UNIT!D9"")"),"#N/A")</f>
        <v>#N/A</v>
      </c>
      <c r="H27329" s="4" t="str">
        <v/>
      </c>
      <c r="I27329" s="4" t="str">
        <v/>
      </c>
    </row>
    <row r="27330" spans="5:9" ht="16.5" hidden="1">
      <c r="E27330" s="4" t="str">
        <v/>
      </c>
      <c r="F27330" s="102" t="str">
        <f ca="1">IFERROR(__xludf.DUMMYFUNCTION("IMPORTRANGE(H27330,""IDENTITAS UNIT!D9"")"),"#N/A")</f>
        <v>#N/A</v>
      </c>
      <c r="H27330" s="4" t="str">
        <v/>
      </c>
      <c r="I27330" s="4" t="str">
        <v/>
      </c>
    </row>
    <row r="27331" spans="5:9" ht="16.5" hidden="1">
      <c r="E27331" s="4" t="str">
        <v/>
      </c>
      <c r="F27331" s="102" t="str">
        <f ca="1">IFERROR(__xludf.DUMMYFUNCTION("IMPORTRANGE(H27331,""IDENTITAS UNIT!D9"")"),"#N/A")</f>
        <v>#N/A</v>
      </c>
      <c r="H27331" s="4" t="str">
        <v/>
      </c>
      <c r="I27331" s="4" t="str">
        <v/>
      </c>
    </row>
    <row r="27332" spans="5:9" ht="16.5" hidden="1">
      <c r="E27332" s="4" t="str">
        <v/>
      </c>
      <c r="F27332" s="102" t="str">
        <f ca="1">IFERROR(__xludf.DUMMYFUNCTION("IMPORTRANGE(H27332,""IDENTITAS UNIT!D9"")"),"#N/A")</f>
        <v>#N/A</v>
      </c>
      <c r="H27332" s="4" t="str">
        <v/>
      </c>
      <c r="I27332" s="4" t="str">
        <v/>
      </c>
    </row>
    <row r="27333" spans="5:9" ht="16.5" hidden="1">
      <c r="E27333" s="4" t="str">
        <v/>
      </c>
      <c r="F27333" s="102" t="str">
        <f ca="1">IFERROR(__xludf.DUMMYFUNCTION("IMPORTRANGE(H27333,""IDENTITAS UNIT!D9"")"),"#N/A")</f>
        <v>#N/A</v>
      </c>
      <c r="H27333" s="4" t="str">
        <v/>
      </c>
      <c r="I27333" s="4" t="str">
        <v/>
      </c>
    </row>
    <row r="27334" spans="5:9" ht="16.5" hidden="1">
      <c r="E27334" s="4" t="str">
        <v/>
      </c>
      <c r="F27334" s="102" t="str">
        <f ca="1">IFERROR(__xludf.DUMMYFUNCTION("IMPORTRANGE(H27334,""IDENTITAS UNIT!D9"")"),"#N/A")</f>
        <v>#N/A</v>
      </c>
      <c r="H27334" s="4" t="str">
        <v/>
      </c>
      <c r="I27334" s="4" t="str">
        <v/>
      </c>
    </row>
    <row r="27335" spans="5:9" ht="16.5" hidden="1">
      <c r="E27335" s="4" t="str">
        <v/>
      </c>
      <c r="F27335" s="102" t="str">
        <f ca="1">IFERROR(__xludf.DUMMYFUNCTION("IMPORTRANGE(H27335,""IDENTITAS UNIT!D9"")"),"#N/A")</f>
        <v>#N/A</v>
      </c>
      <c r="H27335" s="4" t="str">
        <v/>
      </c>
      <c r="I27335" s="4" t="str">
        <v/>
      </c>
    </row>
    <row r="27336" spans="5:9" ht="16.5" hidden="1">
      <c r="E27336" s="4" t="str">
        <v/>
      </c>
      <c r="F27336" s="102" t="str">
        <f ca="1">IFERROR(__xludf.DUMMYFUNCTION("IMPORTRANGE(H27336,""IDENTITAS UNIT!D9"")"),"#N/A")</f>
        <v>#N/A</v>
      </c>
      <c r="H27336" s="4" t="str">
        <v/>
      </c>
      <c r="I27336" s="4" t="str">
        <v/>
      </c>
    </row>
    <row r="27337" spans="5:9" ht="16.5" hidden="1">
      <c r="E27337" s="4" t="str">
        <v/>
      </c>
      <c r="F27337" s="102" t="str">
        <f ca="1">IFERROR(__xludf.DUMMYFUNCTION("IMPORTRANGE(H27337,""IDENTITAS UNIT!D9"")"),"#N/A")</f>
        <v>#N/A</v>
      </c>
      <c r="H27337" s="4" t="str">
        <v/>
      </c>
      <c r="I27337" s="4" t="str">
        <v/>
      </c>
    </row>
    <row r="27338" spans="5:9" ht="16.5" hidden="1">
      <c r="E27338" s="4" t="str">
        <v/>
      </c>
      <c r="F27338" s="102" t="str">
        <f ca="1">IFERROR(__xludf.DUMMYFUNCTION("IMPORTRANGE(H27338,""IDENTITAS UNIT!D9"")"),"#N/A")</f>
        <v>#N/A</v>
      </c>
      <c r="H27338" s="4" t="str">
        <v/>
      </c>
      <c r="I27338" s="4" t="str">
        <v/>
      </c>
    </row>
    <row r="27339" spans="5:9" ht="16.5" hidden="1">
      <c r="E27339" s="4" t="str">
        <v/>
      </c>
      <c r="F27339" s="102" t="str">
        <f ca="1">IFERROR(__xludf.DUMMYFUNCTION("IMPORTRANGE(H27339,""IDENTITAS UNIT!D9"")"),"#N/A")</f>
        <v>#N/A</v>
      </c>
      <c r="H27339" s="4" t="str">
        <v/>
      </c>
      <c r="I27339" s="4" t="str">
        <v/>
      </c>
    </row>
    <row r="27340" spans="5:9" ht="16.5" hidden="1">
      <c r="E27340" s="4" t="str">
        <v/>
      </c>
      <c r="F27340" s="102" t="str">
        <f ca="1">IFERROR(__xludf.DUMMYFUNCTION("IMPORTRANGE(H27340,""IDENTITAS UNIT!D9"")"),"#N/A")</f>
        <v>#N/A</v>
      </c>
      <c r="H27340" s="4" t="str">
        <v/>
      </c>
      <c r="I27340" s="4" t="str">
        <v/>
      </c>
    </row>
    <row r="27341" spans="5:9" ht="16.5" hidden="1">
      <c r="E27341" s="4" t="str">
        <v/>
      </c>
      <c r="F27341" s="102" t="str">
        <f ca="1">IFERROR(__xludf.DUMMYFUNCTION("IMPORTRANGE(H27341,""IDENTITAS UNIT!D9"")"),"#N/A")</f>
        <v>#N/A</v>
      </c>
      <c r="H27341" s="4" t="str">
        <v/>
      </c>
      <c r="I27341" s="4" t="str">
        <v/>
      </c>
    </row>
    <row r="27342" spans="5:9" ht="16.5" hidden="1">
      <c r="E27342" s="4" t="str">
        <v/>
      </c>
      <c r="F27342" s="102" t="str">
        <f ca="1">IFERROR(__xludf.DUMMYFUNCTION("IMPORTRANGE(H27342,""IDENTITAS UNIT!D9"")"),"#N/A")</f>
        <v>#N/A</v>
      </c>
      <c r="H27342" s="4" t="str">
        <v/>
      </c>
      <c r="I27342" s="4" t="str">
        <v/>
      </c>
    </row>
    <row r="27343" spans="5:9" ht="16.5" hidden="1">
      <c r="E27343" s="4" t="str">
        <v/>
      </c>
      <c r="F27343" s="102" t="str">
        <f ca="1">IFERROR(__xludf.DUMMYFUNCTION("IMPORTRANGE(H27343,""IDENTITAS UNIT!D9"")"),"#N/A")</f>
        <v>#N/A</v>
      </c>
      <c r="H27343" s="4" t="str">
        <v/>
      </c>
      <c r="I27343" s="4" t="str">
        <v/>
      </c>
    </row>
    <row r="27344" spans="5:9" ht="16.5" hidden="1">
      <c r="E27344" s="4" t="str">
        <v/>
      </c>
      <c r="F27344" s="102" t="str">
        <f ca="1">IFERROR(__xludf.DUMMYFUNCTION("IMPORTRANGE(H27344,""IDENTITAS UNIT!D9"")"),"#N/A")</f>
        <v>#N/A</v>
      </c>
      <c r="H27344" s="4" t="str">
        <v/>
      </c>
      <c r="I27344" s="4" t="str">
        <v/>
      </c>
    </row>
    <row r="27345" spans="5:9" ht="16.5" hidden="1">
      <c r="E27345" s="4" t="str">
        <v/>
      </c>
      <c r="F27345" s="102" t="str">
        <f ca="1">IFERROR(__xludf.DUMMYFUNCTION("IMPORTRANGE(H27345,""IDENTITAS UNIT!D9"")"),"#N/A")</f>
        <v>#N/A</v>
      </c>
      <c r="H27345" s="4" t="str">
        <v/>
      </c>
      <c r="I27345" s="4" t="str">
        <v/>
      </c>
    </row>
    <row r="27346" spans="5:9" ht="16.5" hidden="1">
      <c r="E27346" s="4" t="str">
        <v/>
      </c>
      <c r="F27346" s="102" t="str">
        <f ca="1">IFERROR(__xludf.DUMMYFUNCTION("IMPORTRANGE(H27346,""IDENTITAS UNIT!D9"")"),"#N/A")</f>
        <v>#N/A</v>
      </c>
      <c r="H27346" s="4" t="str">
        <v/>
      </c>
      <c r="I27346" s="4" t="str">
        <v/>
      </c>
    </row>
    <row r="27347" spans="5:9" ht="16.5" hidden="1">
      <c r="E27347" s="4" t="str">
        <v/>
      </c>
      <c r="F27347" s="102" t="str">
        <f ca="1">IFERROR(__xludf.DUMMYFUNCTION("IMPORTRANGE(H27347,""IDENTITAS UNIT!D9"")"),"#N/A")</f>
        <v>#N/A</v>
      </c>
      <c r="H27347" s="4" t="str">
        <v/>
      </c>
      <c r="I27347" s="4" t="str">
        <v/>
      </c>
    </row>
    <row r="27348" spans="5:9" ht="16.5" hidden="1">
      <c r="E27348" s="4" t="str">
        <v/>
      </c>
      <c r="F27348" s="102" t="str">
        <f ca="1">IFERROR(__xludf.DUMMYFUNCTION("IMPORTRANGE(H27348,""IDENTITAS UNIT!D9"")"),"#N/A")</f>
        <v>#N/A</v>
      </c>
      <c r="H27348" s="4" t="str">
        <v/>
      </c>
      <c r="I27348" s="4" t="str">
        <v/>
      </c>
    </row>
    <row r="27349" spans="5:9" ht="16.5" hidden="1">
      <c r="E27349" s="4" t="str">
        <v/>
      </c>
      <c r="F27349" s="102" t="str">
        <f ca="1">IFERROR(__xludf.DUMMYFUNCTION("IMPORTRANGE(H27349,""IDENTITAS UNIT!D9"")"),"#N/A")</f>
        <v>#N/A</v>
      </c>
      <c r="H27349" s="4" t="str">
        <v/>
      </c>
      <c r="I27349" s="4" t="str">
        <v/>
      </c>
    </row>
    <row r="27350" spans="5:9" ht="16.5" hidden="1">
      <c r="E27350" s="4" t="str">
        <v/>
      </c>
      <c r="F27350" s="102" t="str">
        <f ca="1">IFERROR(__xludf.DUMMYFUNCTION("IMPORTRANGE(H27350,""IDENTITAS UNIT!D9"")"),"#N/A")</f>
        <v>#N/A</v>
      </c>
      <c r="H27350" s="4" t="str">
        <v/>
      </c>
      <c r="I27350" s="4" t="str">
        <v/>
      </c>
    </row>
    <row r="27351" spans="5:9" ht="16.5" hidden="1">
      <c r="E27351" s="4" t="str">
        <v/>
      </c>
      <c r="F27351" s="102" t="str">
        <f ca="1">IFERROR(__xludf.DUMMYFUNCTION("IMPORTRANGE(H27351,""IDENTITAS UNIT!D9"")"),"#N/A")</f>
        <v>#N/A</v>
      </c>
      <c r="H27351" s="4" t="str">
        <v/>
      </c>
      <c r="I27351" s="4" t="str">
        <v/>
      </c>
    </row>
    <row r="27352" spans="5:9" ht="16.5" hidden="1">
      <c r="E27352" s="4" t="str">
        <v/>
      </c>
      <c r="F27352" s="102" t="str">
        <f ca="1">IFERROR(__xludf.DUMMYFUNCTION("IMPORTRANGE(H27352,""IDENTITAS UNIT!D9"")"),"#N/A")</f>
        <v>#N/A</v>
      </c>
      <c r="H27352" s="4" t="str">
        <v/>
      </c>
      <c r="I27352" s="4" t="str">
        <v/>
      </c>
    </row>
    <row r="27353" spans="5:9" ht="16.5" hidden="1">
      <c r="E27353" s="4" t="str">
        <v/>
      </c>
      <c r="F27353" s="102" t="str">
        <f ca="1">IFERROR(__xludf.DUMMYFUNCTION("IMPORTRANGE(H27353,""IDENTITAS UNIT!D9"")"),"#N/A")</f>
        <v>#N/A</v>
      </c>
      <c r="H27353" s="4" t="str">
        <v/>
      </c>
      <c r="I27353" s="4" t="str">
        <v/>
      </c>
    </row>
    <row r="27354" spans="5:9" ht="16.5" hidden="1">
      <c r="E27354" s="4" t="str">
        <v/>
      </c>
      <c r="F27354" s="102" t="str">
        <f ca="1">IFERROR(__xludf.DUMMYFUNCTION("IMPORTRANGE(H27354,""IDENTITAS UNIT!D9"")"),"#N/A")</f>
        <v>#N/A</v>
      </c>
      <c r="H27354" s="4" t="str">
        <v/>
      </c>
      <c r="I27354" s="4" t="str">
        <v/>
      </c>
    </row>
    <row r="27355" spans="5:9" ht="16.5" hidden="1">
      <c r="E27355" s="4" t="str">
        <v/>
      </c>
      <c r="F27355" s="102" t="str">
        <f ca="1">IFERROR(__xludf.DUMMYFUNCTION("IMPORTRANGE(H27355,""IDENTITAS UNIT!D9"")"),"#N/A")</f>
        <v>#N/A</v>
      </c>
      <c r="H27355" s="4" t="str">
        <v/>
      </c>
      <c r="I27355" s="4" t="str">
        <v/>
      </c>
    </row>
    <row r="27356" spans="5:9" ht="16.5" hidden="1">
      <c r="E27356" s="4" t="str">
        <v/>
      </c>
      <c r="F27356" s="102" t="str">
        <f ca="1">IFERROR(__xludf.DUMMYFUNCTION("IMPORTRANGE(H27356,""IDENTITAS UNIT!D9"")"),"#N/A")</f>
        <v>#N/A</v>
      </c>
      <c r="H27356" s="4" t="str">
        <v/>
      </c>
      <c r="I27356" s="4" t="str">
        <v/>
      </c>
    </row>
    <row r="27357" spans="5:9" ht="16.5" hidden="1">
      <c r="E27357" s="4" t="str">
        <v/>
      </c>
      <c r="F27357" s="102" t="str">
        <f ca="1">IFERROR(__xludf.DUMMYFUNCTION("IMPORTRANGE(H27357,""IDENTITAS UNIT!D9"")"),"#N/A")</f>
        <v>#N/A</v>
      </c>
      <c r="H27357" s="4" t="str">
        <v/>
      </c>
      <c r="I27357" s="4" t="str">
        <v/>
      </c>
    </row>
    <row r="27358" spans="5:9" ht="16.5" hidden="1">
      <c r="E27358" s="4" t="str">
        <v/>
      </c>
      <c r="F27358" s="102" t="str">
        <f ca="1">IFERROR(__xludf.DUMMYFUNCTION("IMPORTRANGE(H27358,""IDENTITAS UNIT!D9"")"),"#N/A")</f>
        <v>#N/A</v>
      </c>
      <c r="H27358" s="4" t="str">
        <v/>
      </c>
      <c r="I27358" s="4" t="str">
        <v/>
      </c>
    </row>
    <row r="27359" spans="5:9" ht="16.5" hidden="1">
      <c r="E27359" s="4" t="str">
        <v/>
      </c>
      <c r="F27359" s="102" t="str">
        <f ca="1">IFERROR(__xludf.DUMMYFUNCTION("IMPORTRANGE(H27359,""IDENTITAS UNIT!D9"")"),"#N/A")</f>
        <v>#N/A</v>
      </c>
      <c r="H27359" s="4" t="str">
        <v/>
      </c>
      <c r="I27359" s="4" t="str">
        <v/>
      </c>
    </row>
    <row r="27360" spans="5:9" ht="16.5" hidden="1">
      <c r="E27360" s="4" t="str">
        <v/>
      </c>
      <c r="F27360" s="102" t="str">
        <f ca="1">IFERROR(__xludf.DUMMYFUNCTION("IMPORTRANGE(H27360,""IDENTITAS UNIT!D9"")"),"#N/A")</f>
        <v>#N/A</v>
      </c>
      <c r="H27360" s="4" t="str">
        <v/>
      </c>
      <c r="I27360" s="4" t="str">
        <v/>
      </c>
    </row>
    <row r="27361" spans="5:9" ht="16.5" hidden="1">
      <c r="E27361" s="4" t="str">
        <v/>
      </c>
      <c r="F27361" s="102" t="str">
        <f ca="1">IFERROR(__xludf.DUMMYFUNCTION("IMPORTRANGE(H27361,""IDENTITAS UNIT!D9"")"),"#N/A")</f>
        <v>#N/A</v>
      </c>
      <c r="H27361" s="4" t="str">
        <v/>
      </c>
      <c r="I27361" s="4" t="str">
        <v/>
      </c>
    </row>
    <row r="27362" spans="5:9" ht="16.5" hidden="1">
      <c r="E27362" s="4" t="str">
        <v/>
      </c>
      <c r="F27362" s="102" t="str">
        <f ca="1">IFERROR(__xludf.DUMMYFUNCTION("IMPORTRANGE(H27362,""IDENTITAS UNIT!D9"")"),"#N/A")</f>
        <v>#N/A</v>
      </c>
      <c r="H27362" s="4" t="str">
        <v/>
      </c>
      <c r="I27362" s="4" t="str">
        <v/>
      </c>
    </row>
    <row r="27363" spans="5:9" ht="16.5" hidden="1">
      <c r="E27363" s="4" t="str">
        <v/>
      </c>
      <c r="F27363" s="102" t="str">
        <f ca="1">IFERROR(__xludf.DUMMYFUNCTION("IMPORTRANGE(H27363,""IDENTITAS UNIT!D9"")"),"#N/A")</f>
        <v>#N/A</v>
      </c>
      <c r="H27363" s="4" t="str">
        <v/>
      </c>
      <c r="I27363" s="4" t="str">
        <v/>
      </c>
    </row>
    <row r="27364" spans="5:9" ht="16.5" hidden="1">
      <c r="E27364" s="4" t="str">
        <v/>
      </c>
      <c r="F27364" s="102" t="str">
        <f ca="1">IFERROR(__xludf.DUMMYFUNCTION("IMPORTRANGE(H27364,""IDENTITAS UNIT!D9"")"),"#N/A")</f>
        <v>#N/A</v>
      </c>
      <c r="H27364" s="4" t="str">
        <v/>
      </c>
      <c r="I27364" s="4" t="str">
        <v/>
      </c>
    </row>
    <row r="27365" spans="5:9" ht="16.5" hidden="1">
      <c r="E27365" s="4" t="str">
        <v/>
      </c>
      <c r="F27365" s="102" t="str">
        <f ca="1">IFERROR(__xludf.DUMMYFUNCTION("IMPORTRANGE(H27365,""IDENTITAS UNIT!D9"")"),"#N/A")</f>
        <v>#N/A</v>
      </c>
      <c r="H27365" s="4" t="str">
        <v/>
      </c>
      <c r="I27365" s="4" t="str">
        <v/>
      </c>
    </row>
    <row r="27366" spans="5:9" ht="16.5" hidden="1">
      <c r="E27366" s="4" t="str">
        <v/>
      </c>
      <c r="F27366" s="102" t="str">
        <f ca="1">IFERROR(__xludf.DUMMYFUNCTION("IMPORTRANGE(H27366,""IDENTITAS UNIT!D9"")"),"#N/A")</f>
        <v>#N/A</v>
      </c>
      <c r="H27366" s="4" t="str">
        <v/>
      </c>
      <c r="I27366" s="4" t="str">
        <v/>
      </c>
    </row>
    <row r="27367" spans="5:9" ht="16.5" hidden="1">
      <c r="E27367" s="4" t="str">
        <v/>
      </c>
      <c r="F27367" s="102" t="str">
        <f ca="1">IFERROR(__xludf.DUMMYFUNCTION("IMPORTRANGE(H27367,""IDENTITAS UNIT!D9"")"),"#N/A")</f>
        <v>#N/A</v>
      </c>
      <c r="H27367" s="4" t="str">
        <v/>
      </c>
      <c r="I27367" s="4" t="str">
        <v/>
      </c>
    </row>
    <row r="27368" spans="5:9" ht="16.5" hidden="1">
      <c r="E27368" s="4" t="str">
        <v/>
      </c>
      <c r="F27368" s="102" t="str">
        <f ca="1">IFERROR(__xludf.DUMMYFUNCTION("IMPORTRANGE(H27368,""IDENTITAS UNIT!D9"")"),"#N/A")</f>
        <v>#N/A</v>
      </c>
      <c r="H27368" s="4" t="str">
        <v/>
      </c>
      <c r="I27368" s="4" t="str">
        <v/>
      </c>
    </row>
    <row r="27369" spans="5:9" ht="16.5" hidden="1">
      <c r="E27369" s="4" t="str">
        <v/>
      </c>
      <c r="F27369" s="102" t="str">
        <f ca="1">IFERROR(__xludf.DUMMYFUNCTION("IMPORTRANGE(H27369,""IDENTITAS UNIT!D9"")"),"#N/A")</f>
        <v>#N/A</v>
      </c>
      <c r="H27369" s="4" t="str">
        <v/>
      </c>
      <c r="I27369" s="4" t="str">
        <v/>
      </c>
    </row>
    <row r="27370" spans="5:9" ht="16.5" hidden="1">
      <c r="E27370" s="4" t="str">
        <v/>
      </c>
      <c r="F27370" s="102" t="str">
        <f ca="1">IFERROR(__xludf.DUMMYFUNCTION("IMPORTRANGE(H27370,""IDENTITAS UNIT!D9"")"),"#N/A")</f>
        <v>#N/A</v>
      </c>
      <c r="H27370" s="4" t="str">
        <v/>
      </c>
      <c r="I27370" s="4" t="str">
        <v/>
      </c>
    </row>
    <row r="27371" spans="5:9" ht="16.5" hidden="1">
      <c r="E27371" s="4" t="str">
        <v/>
      </c>
      <c r="F27371" s="102" t="str">
        <f ca="1">IFERROR(__xludf.DUMMYFUNCTION("IMPORTRANGE(H27371,""IDENTITAS UNIT!D9"")"),"#N/A")</f>
        <v>#N/A</v>
      </c>
      <c r="H27371" s="4" t="str">
        <v/>
      </c>
      <c r="I27371" s="4" t="str">
        <v/>
      </c>
    </row>
    <row r="27372" spans="5:9" ht="16.5" hidden="1">
      <c r="E27372" s="4" t="str">
        <v/>
      </c>
      <c r="F27372" s="102" t="str">
        <f ca="1">IFERROR(__xludf.DUMMYFUNCTION("IMPORTRANGE(H27372,""IDENTITAS UNIT!D9"")"),"#N/A")</f>
        <v>#N/A</v>
      </c>
      <c r="H27372" s="4" t="str">
        <v/>
      </c>
      <c r="I27372" s="4" t="str">
        <v/>
      </c>
    </row>
    <row r="27373" spans="5:9" ht="16.5" hidden="1">
      <c r="E27373" s="4" t="str">
        <v/>
      </c>
      <c r="F27373" s="102" t="str">
        <f ca="1">IFERROR(__xludf.DUMMYFUNCTION("IMPORTRANGE(H27373,""IDENTITAS UNIT!D9"")"),"#N/A")</f>
        <v>#N/A</v>
      </c>
      <c r="H27373" s="4" t="str">
        <v/>
      </c>
      <c r="I27373" s="4" t="str">
        <v/>
      </c>
    </row>
    <row r="27374" spans="5:9" ht="16.5" hidden="1">
      <c r="E27374" s="4" t="str">
        <v/>
      </c>
      <c r="F27374" s="102" t="str">
        <f ca="1">IFERROR(__xludf.DUMMYFUNCTION("IMPORTRANGE(H27374,""IDENTITAS UNIT!D9"")"),"#N/A")</f>
        <v>#N/A</v>
      </c>
      <c r="H27374" s="4" t="str">
        <v/>
      </c>
      <c r="I27374" s="4" t="str">
        <v/>
      </c>
    </row>
    <row r="27375" spans="5:9" ht="16.5" hidden="1">
      <c r="E27375" s="4" t="str">
        <v/>
      </c>
      <c r="F27375" s="102" t="str">
        <f ca="1">IFERROR(__xludf.DUMMYFUNCTION("IMPORTRANGE(H27375,""IDENTITAS UNIT!D9"")"),"#N/A")</f>
        <v>#N/A</v>
      </c>
      <c r="H27375" s="4" t="str">
        <v/>
      </c>
      <c r="I27375" s="4" t="str">
        <v/>
      </c>
    </row>
    <row r="27376" spans="5:9" ht="16.5" hidden="1">
      <c r="E27376" s="4" t="str">
        <v/>
      </c>
      <c r="F27376" s="102" t="str">
        <f ca="1">IFERROR(__xludf.DUMMYFUNCTION("IMPORTRANGE(H27376,""IDENTITAS UNIT!D9"")"),"#N/A")</f>
        <v>#N/A</v>
      </c>
      <c r="H27376" s="4" t="str">
        <v/>
      </c>
      <c r="I27376" s="4" t="str">
        <v/>
      </c>
    </row>
    <row r="27377" spans="5:9" ht="16.5" hidden="1">
      <c r="E27377" s="4" t="str">
        <v/>
      </c>
      <c r="F27377" s="102" t="str">
        <f ca="1">IFERROR(__xludf.DUMMYFUNCTION("IMPORTRANGE(H27377,""IDENTITAS UNIT!D9"")"),"#N/A")</f>
        <v>#N/A</v>
      </c>
      <c r="H27377" s="4" t="str">
        <v/>
      </c>
      <c r="I27377" s="4" t="str">
        <v/>
      </c>
    </row>
    <row r="27378" spans="5:9" ht="16.5" hidden="1">
      <c r="E27378" s="4" t="str">
        <v/>
      </c>
      <c r="F27378" s="102" t="str">
        <f ca="1">IFERROR(__xludf.DUMMYFUNCTION("IMPORTRANGE(H27378,""IDENTITAS UNIT!D9"")"),"#N/A")</f>
        <v>#N/A</v>
      </c>
      <c r="H27378" s="4" t="str">
        <v/>
      </c>
      <c r="I27378" s="4" t="str">
        <v/>
      </c>
    </row>
    <row r="27379" spans="5:9" ht="16.5" hidden="1">
      <c r="E27379" s="4" t="str">
        <v/>
      </c>
      <c r="F27379" s="102" t="str">
        <f ca="1">IFERROR(__xludf.DUMMYFUNCTION("IMPORTRANGE(H27379,""IDENTITAS UNIT!D9"")"),"#N/A")</f>
        <v>#N/A</v>
      </c>
      <c r="H27379" s="4" t="str">
        <v/>
      </c>
      <c r="I27379" s="4" t="str">
        <v/>
      </c>
    </row>
    <row r="27380" spans="5:9" ht="16.5" hidden="1">
      <c r="E27380" s="4" t="str">
        <v/>
      </c>
      <c r="F27380" s="102" t="str">
        <f ca="1">IFERROR(__xludf.DUMMYFUNCTION("IMPORTRANGE(H27380,""IDENTITAS UNIT!D9"")"),"#N/A")</f>
        <v>#N/A</v>
      </c>
      <c r="H27380" s="4" t="str">
        <v/>
      </c>
      <c r="I27380" s="4" t="str">
        <v/>
      </c>
    </row>
    <row r="27381" spans="5:9" ht="16.5" hidden="1">
      <c r="E27381" s="4" t="str">
        <v/>
      </c>
      <c r="F27381" s="102" t="str">
        <f ca="1">IFERROR(__xludf.DUMMYFUNCTION("IMPORTRANGE(H27381,""IDENTITAS UNIT!D9"")"),"#N/A")</f>
        <v>#N/A</v>
      </c>
      <c r="H27381" s="4" t="str">
        <v/>
      </c>
      <c r="I27381" s="4" t="str">
        <v/>
      </c>
    </row>
    <row r="27382" spans="5:9" ht="16.5" hidden="1">
      <c r="E27382" s="4" t="str">
        <v/>
      </c>
      <c r="F27382" s="102" t="str">
        <f ca="1">IFERROR(__xludf.DUMMYFUNCTION("IMPORTRANGE(H27382,""IDENTITAS UNIT!D9"")"),"#N/A")</f>
        <v>#N/A</v>
      </c>
      <c r="H27382" s="4" t="str">
        <v/>
      </c>
      <c r="I27382" s="4" t="str">
        <v/>
      </c>
    </row>
    <row r="27383" spans="5:9" ht="16.5" hidden="1">
      <c r="E27383" s="4" t="str">
        <v/>
      </c>
      <c r="F27383" s="102" t="str">
        <f ca="1">IFERROR(__xludf.DUMMYFUNCTION("IMPORTRANGE(H27383,""IDENTITAS UNIT!D9"")"),"#N/A")</f>
        <v>#N/A</v>
      </c>
      <c r="H27383" s="4" t="str">
        <v/>
      </c>
      <c r="I27383" s="4" t="str">
        <v/>
      </c>
    </row>
    <row r="27384" spans="5:9" ht="16.5" hidden="1">
      <c r="E27384" s="4" t="str">
        <v/>
      </c>
      <c r="F27384" s="102" t="str">
        <f ca="1">IFERROR(__xludf.DUMMYFUNCTION("IMPORTRANGE(H27384,""IDENTITAS UNIT!D9"")"),"#N/A")</f>
        <v>#N/A</v>
      </c>
      <c r="H27384" s="4" t="str">
        <v/>
      </c>
      <c r="I27384" s="4" t="str">
        <v/>
      </c>
    </row>
    <row r="27385" spans="5:9" ht="16.5" hidden="1">
      <c r="E27385" s="4" t="str">
        <v/>
      </c>
      <c r="F27385" s="102" t="str">
        <f ca="1">IFERROR(__xludf.DUMMYFUNCTION("IMPORTRANGE(H27385,""IDENTITAS UNIT!D9"")"),"#N/A")</f>
        <v>#N/A</v>
      </c>
      <c r="H27385" s="4" t="str">
        <v/>
      </c>
      <c r="I27385" s="4" t="str">
        <v/>
      </c>
    </row>
    <row r="27386" spans="5:9" ht="16.5" hidden="1">
      <c r="E27386" s="4" t="str">
        <v/>
      </c>
      <c r="F27386" s="102" t="str">
        <f ca="1">IFERROR(__xludf.DUMMYFUNCTION("IMPORTRANGE(H27386,""IDENTITAS UNIT!D9"")"),"#N/A")</f>
        <v>#N/A</v>
      </c>
      <c r="H27386" s="4" t="str">
        <v/>
      </c>
      <c r="I27386" s="4" t="str">
        <v/>
      </c>
    </row>
    <row r="27387" spans="5:9" ht="16.5" hidden="1">
      <c r="E27387" s="4" t="str">
        <v/>
      </c>
      <c r="F27387" s="102" t="str">
        <f ca="1">IFERROR(__xludf.DUMMYFUNCTION("IMPORTRANGE(H27387,""IDENTITAS UNIT!D9"")"),"#N/A")</f>
        <v>#N/A</v>
      </c>
      <c r="H27387" s="4" t="str">
        <v/>
      </c>
      <c r="I27387" s="4" t="str">
        <v/>
      </c>
    </row>
    <row r="27388" spans="5:9" ht="16.5" hidden="1">
      <c r="E27388" s="4" t="str">
        <v/>
      </c>
      <c r="F27388" s="102" t="str">
        <f ca="1">IFERROR(__xludf.DUMMYFUNCTION("IMPORTRANGE(H27388,""IDENTITAS UNIT!D9"")"),"#N/A")</f>
        <v>#N/A</v>
      </c>
      <c r="H27388" s="4" t="str">
        <v/>
      </c>
      <c r="I27388" s="4" t="str">
        <v/>
      </c>
    </row>
    <row r="27389" spans="5:9" ht="16.5" hidden="1">
      <c r="E27389" s="4" t="str">
        <v/>
      </c>
      <c r="F27389" s="102" t="str">
        <f ca="1">IFERROR(__xludf.DUMMYFUNCTION("IMPORTRANGE(H27389,""IDENTITAS UNIT!D9"")"),"#N/A")</f>
        <v>#N/A</v>
      </c>
      <c r="H27389" s="4" t="str">
        <v/>
      </c>
      <c r="I27389" s="4" t="str">
        <v/>
      </c>
    </row>
    <row r="27390" spans="5:9" ht="16.5" hidden="1">
      <c r="E27390" s="4" t="str">
        <v/>
      </c>
      <c r="F27390" s="102" t="str">
        <f ca="1">IFERROR(__xludf.DUMMYFUNCTION("IMPORTRANGE(H27390,""IDENTITAS UNIT!D9"")"),"#N/A")</f>
        <v>#N/A</v>
      </c>
      <c r="H27390" s="4" t="str">
        <v/>
      </c>
      <c r="I27390" s="4" t="str">
        <v/>
      </c>
    </row>
    <row r="27391" spans="5:9" ht="16.5" hidden="1">
      <c r="E27391" s="4" t="str">
        <v/>
      </c>
      <c r="F27391" s="102" t="str">
        <f ca="1">IFERROR(__xludf.DUMMYFUNCTION("IMPORTRANGE(H27391,""IDENTITAS UNIT!D9"")"),"#N/A")</f>
        <v>#N/A</v>
      </c>
      <c r="H27391" s="4" t="str">
        <v/>
      </c>
      <c r="I27391" s="4" t="str">
        <v/>
      </c>
    </row>
    <row r="27392" spans="5:9" ht="16.5" hidden="1">
      <c r="E27392" s="4" t="str">
        <v/>
      </c>
      <c r="F27392" s="102" t="str">
        <f ca="1">IFERROR(__xludf.DUMMYFUNCTION("IMPORTRANGE(H27392,""IDENTITAS UNIT!D9"")"),"#N/A")</f>
        <v>#N/A</v>
      </c>
      <c r="H27392" s="4" t="str">
        <v/>
      </c>
      <c r="I27392" s="4" t="str">
        <v/>
      </c>
    </row>
    <row r="27393" spans="5:9" ht="16.5" hidden="1">
      <c r="E27393" s="4" t="str">
        <v/>
      </c>
      <c r="F27393" s="102" t="str">
        <f ca="1">IFERROR(__xludf.DUMMYFUNCTION("IMPORTRANGE(H27393,""IDENTITAS UNIT!D9"")"),"#N/A")</f>
        <v>#N/A</v>
      </c>
      <c r="H27393" s="4" t="str">
        <v/>
      </c>
      <c r="I27393" s="4" t="str">
        <v/>
      </c>
    </row>
    <row r="27394" spans="5:9" ht="16.5" hidden="1">
      <c r="E27394" s="4" t="str">
        <v/>
      </c>
      <c r="F27394" s="102" t="str">
        <f ca="1">IFERROR(__xludf.DUMMYFUNCTION("IMPORTRANGE(H27394,""IDENTITAS UNIT!D9"")"),"#N/A")</f>
        <v>#N/A</v>
      </c>
      <c r="H27394" s="4" t="str">
        <v/>
      </c>
      <c r="I27394" s="4" t="str">
        <v/>
      </c>
    </row>
    <row r="27395" spans="5:9" ht="16.5" hidden="1">
      <c r="E27395" s="4" t="str">
        <v/>
      </c>
      <c r="F27395" s="102" t="str">
        <f ca="1">IFERROR(__xludf.DUMMYFUNCTION("IMPORTRANGE(H27395,""IDENTITAS UNIT!D9"")"),"#N/A")</f>
        <v>#N/A</v>
      </c>
      <c r="H27395" s="4" t="str">
        <v/>
      </c>
      <c r="I27395" s="4" t="str">
        <v/>
      </c>
    </row>
    <row r="27396" spans="5:9" ht="16.5" hidden="1">
      <c r="E27396" s="4" t="str">
        <v/>
      </c>
      <c r="F27396" s="102" t="str">
        <f ca="1">IFERROR(__xludf.DUMMYFUNCTION("IMPORTRANGE(H27396,""IDENTITAS UNIT!D9"")"),"#N/A")</f>
        <v>#N/A</v>
      </c>
      <c r="H27396" s="4" t="str">
        <v/>
      </c>
      <c r="I27396" s="4" t="str">
        <v/>
      </c>
    </row>
    <row r="27397" spans="5:9" ht="16.5" hidden="1">
      <c r="E27397" s="4" t="str">
        <v/>
      </c>
      <c r="F27397" s="102" t="str">
        <f ca="1">IFERROR(__xludf.DUMMYFUNCTION("IMPORTRANGE(H27397,""IDENTITAS UNIT!D9"")"),"#N/A")</f>
        <v>#N/A</v>
      </c>
      <c r="H27397" s="4" t="str">
        <v/>
      </c>
      <c r="I27397" s="4" t="str">
        <v/>
      </c>
    </row>
    <row r="27398" spans="5:9" ht="16.5" hidden="1">
      <c r="E27398" s="4" t="str">
        <v/>
      </c>
      <c r="F27398" s="102" t="str">
        <f ca="1">IFERROR(__xludf.DUMMYFUNCTION("IMPORTRANGE(H27398,""IDENTITAS UNIT!D9"")"),"#N/A")</f>
        <v>#N/A</v>
      </c>
      <c r="H27398" s="4" t="str">
        <v/>
      </c>
      <c r="I27398" s="4" t="str">
        <v/>
      </c>
    </row>
    <row r="27399" spans="5:9" ht="16.5" hidden="1">
      <c r="E27399" s="4" t="str">
        <v/>
      </c>
      <c r="F27399" s="102" t="str">
        <f ca="1">IFERROR(__xludf.DUMMYFUNCTION("IMPORTRANGE(H27399,""IDENTITAS UNIT!D9"")"),"#N/A")</f>
        <v>#N/A</v>
      </c>
      <c r="H27399" s="4" t="str">
        <v/>
      </c>
      <c r="I27399" s="4" t="str">
        <v/>
      </c>
    </row>
    <row r="27400" spans="5:9" ht="16.5" hidden="1">
      <c r="E27400" s="4" t="str">
        <v/>
      </c>
      <c r="F27400" s="102" t="str">
        <f ca="1">IFERROR(__xludf.DUMMYFUNCTION("IMPORTRANGE(H27400,""IDENTITAS UNIT!D9"")"),"#N/A")</f>
        <v>#N/A</v>
      </c>
      <c r="H27400" s="4" t="str">
        <v/>
      </c>
      <c r="I27400" s="4" t="str">
        <v/>
      </c>
    </row>
    <row r="27401" spans="5:9" ht="16.5" hidden="1">
      <c r="E27401" s="4" t="str">
        <v/>
      </c>
      <c r="F27401" s="102" t="str">
        <f ca="1">IFERROR(__xludf.DUMMYFUNCTION("IMPORTRANGE(H27401,""IDENTITAS UNIT!D9"")"),"#N/A")</f>
        <v>#N/A</v>
      </c>
      <c r="H27401" s="4" t="str">
        <v/>
      </c>
      <c r="I27401" s="4" t="str">
        <v/>
      </c>
    </row>
    <row r="27402" spans="5:9" ht="16.5" hidden="1">
      <c r="E27402" s="4" t="str">
        <v/>
      </c>
      <c r="F27402" s="102" t="str">
        <f ca="1">IFERROR(__xludf.DUMMYFUNCTION("IMPORTRANGE(H27402,""IDENTITAS UNIT!D9"")"),"#N/A")</f>
        <v>#N/A</v>
      </c>
      <c r="H27402" s="4" t="str">
        <v/>
      </c>
      <c r="I27402" s="4" t="str">
        <v/>
      </c>
    </row>
    <row r="27403" spans="5:9" ht="16.5" hidden="1">
      <c r="E27403" s="4" t="str">
        <v/>
      </c>
      <c r="F27403" s="102" t="str">
        <f ca="1">IFERROR(__xludf.DUMMYFUNCTION("IMPORTRANGE(H27403,""IDENTITAS UNIT!D9"")"),"#N/A")</f>
        <v>#N/A</v>
      </c>
      <c r="H27403" s="4" t="str">
        <v/>
      </c>
      <c r="I27403" s="4" t="str">
        <v/>
      </c>
    </row>
    <row r="27404" spans="5:9" ht="16.5" hidden="1">
      <c r="E27404" s="4" t="str">
        <v/>
      </c>
      <c r="F27404" s="102" t="str">
        <f ca="1">IFERROR(__xludf.DUMMYFUNCTION("IMPORTRANGE(H27404,""IDENTITAS UNIT!D9"")"),"#N/A")</f>
        <v>#N/A</v>
      </c>
      <c r="H27404" s="4" t="str">
        <v/>
      </c>
      <c r="I27404" s="4" t="str">
        <v/>
      </c>
    </row>
    <row r="27405" spans="5:9" ht="16.5" hidden="1">
      <c r="E27405" s="4" t="str">
        <v/>
      </c>
      <c r="F27405" s="102" t="str">
        <f ca="1">IFERROR(__xludf.DUMMYFUNCTION("IMPORTRANGE(H27405,""IDENTITAS UNIT!D9"")"),"#N/A")</f>
        <v>#N/A</v>
      </c>
      <c r="H27405" s="4" t="str">
        <v/>
      </c>
      <c r="I27405" s="4" t="str">
        <v/>
      </c>
    </row>
    <row r="27406" spans="5:9" ht="16.5" hidden="1">
      <c r="E27406" s="4" t="str">
        <v/>
      </c>
      <c r="F27406" s="102" t="str">
        <f ca="1">IFERROR(__xludf.DUMMYFUNCTION("IMPORTRANGE(H27406,""IDENTITAS UNIT!D9"")"),"#N/A")</f>
        <v>#N/A</v>
      </c>
      <c r="H27406" s="4" t="str">
        <v/>
      </c>
      <c r="I27406" s="4" t="str">
        <v/>
      </c>
    </row>
    <row r="27407" spans="5:9" ht="16.5" hidden="1">
      <c r="E27407" s="4" t="str">
        <v/>
      </c>
      <c r="F27407" s="102" t="str">
        <f ca="1">IFERROR(__xludf.DUMMYFUNCTION("IMPORTRANGE(H27407,""IDENTITAS UNIT!D9"")"),"#N/A")</f>
        <v>#N/A</v>
      </c>
      <c r="H27407" s="4" t="str">
        <v/>
      </c>
      <c r="I27407" s="4" t="str">
        <v/>
      </c>
    </row>
    <row r="27408" spans="5:9" ht="16.5" hidden="1">
      <c r="E27408" s="4" t="str">
        <v/>
      </c>
      <c r="F27408" s="102" t="str">
        <f ca="1">IFERROR(__xludf.DUMMYFUNCTION("IMPORTRANGE(H27408,""IDENTITAS UNIT!D9"")"),"#N/A")</f>
        <v>#N/A</v>
      </c>
      <c r="H27408" s="4" t="str">
        <v/>
      </c>
      <c r="I27408" s="4" t="str">
        <v/>
      </c>
    </row>
    <row r="27409" spans="5:9" ht="16.5" hidden="1">
      <c r="E27409" s="4" t="str">
        <v/>
      </c>
      <c r="F27409" s="102" t="str">
        <f ca="1">IFERROR(__xludf.DUMMYFUNCTION("IMPORTRANGE(H27409,""IDENTITAS UNIT!D9"")"),"#N/A")</f>
        <v>#N/A</v>
      </c>
      <c r="H27409" s="4" t="str">
        <v/>
      </c>
      <c r="I27409" s="4" t="str">
        <v/>
      </c>
    </row>
    <row r="27410" spans="5:9" ht="16.5" hidden="1">
      <c r="E27410" s="4" t="str">
        <v/>
      </c>
      <c r="F27410" s="102" t="str">
        <f ca="1">IFERROR(__xludf.DUMMYFUNCTION("IMPORTRANGE(H27410,""IDENTITAS UNIT!D9"")"),"#N/A")</f>
        <v>#N/A</v>
      </c>
      <c r="H27410" s="4" t="str">
        <v/>
      </c>
      <c r="I27410" s="4" t="str">
        <v/>
      </c>
    </row>
    <row r="27411" spans="5:9" ht="16.5" hidden="1">
      <c r="E27411" s="4" t="str">
        <v/>
      </c>
      <c r="F27411" s="102" t="str">
        <f ca="1">IFERROR(__xludf.DUMMYFUNCTION("IMPORTRANGE(H27411,""IDENTITAS UNIT!D9"")"),"#N/A")</f>
        <v>#N/A</v>
      </c>
      <c r="H27411" s="4" t="str">
        <v/>
      </c>
      <c r="I27411" s="4" t="str">
        <v/>
      </c>
    </row>
    <row r="27412" spans="5:9" ht="16.5" hidden="1">
      <c r="E27412" s="4" t="str">
        <v/>
      </c>
      <c r="F27412" s="102" t="str">
        <f ca="1">IFERROR(__xludf.DUMMYFUNCTION("IMPORTRANGE(H27412,""IDENTITAS UNIT!D9"")"),"#N/A")</f>
        <v>#N/A</v>
      </c>
      <c r="H27412" s="4" t="str">
        <v/>
      </c>
      <c r="I27412" s="4" t="str">
        <v/>
      </c>
    </row>
    <row r="27413" spans="5:9" ht="16.5" hidden="1">
      <c r="E27413" s="4" t="str">
        <v/>
      </c>
      <c r="F27413" s="102" t="str">
        <f ca="1">IFERROR(__xludf.DUMMYFUNCTION("IMPORTRANGE(H27413,""IDENTITAS UNIT!D9"")"),"#N/A")</f>
        <v>#N/A</v>
      </c>
      <c r="H27413" s="4" t="str">
        <v/>
      </c>
      <c r="I27413" s="4" t="str">
        <v/>
      </c>
    </row>
    <row r="27414" spans="5:9" ht="16.5" hidden="1">
      <c r="E27414" s="4" t="str">
        <v/>
      </c>
      <c r="F27414" s="102" t="str">
        <f ca="1">IFERROR(__xludf.DUMMYFUNCTION("IMPORTRANGE(H27414,""IDENTITAS UNIT!D9"")"),"#N/A")</f>
        <v>#N/A</v>
      </c>
      <c r="H27414" s="4" t="str">
        <v/>
      </c>
      <c r="I27414" s="4" t="str">
        <v/>
      </c>
    </row>
    <row r="27415" spans="5:9" ht="16.5" hidden="1">
      <c r="E27415" s="4" t="str">
        <v/>
      </c>
      <c r="F27415" s="102" t="str">
        <f ca="1">IFERROR(__xludf.DUMMYFUNCTION("IMPORTRANGE(H27415,""IDENTITAS UNIT!D9"")"),"#N/A")</f>
        <v>#N/A</v>
      </c>
      <c r="H27415" s="4" t="str">
        <v/>
      </c>
      <c r="I27415" s="4" t="str">
        <v/>
      </c>
    </row>
    <row r="27416" spans="5:9" ht="16.5" hidden="1">
      <c r="E27416" s="4" t="str">
        <v/>
      </c>
      <c r="F27416" s="102" t="str">
        <f ca="1">IFERROR(__xludf.DUMMYFUNCTION("IMPORTRANGE(H27416,""IDENTITAS UNIT!D9"")"),"#N/A")</f>
        <v>#N/A</v>
      </c>
      <c r="H27416" s="4" t="str">
        <v/>
      </c>
      <c r="I27416" s="4" t="str">
        <v/>
      </c>
    </row>
    <row r="27417" spans="5:9" ht="16.5" hidden="1">
      <c r="E27417" s="4" t="str">
        <v/>
      </c>
      <c r="F27417" s="102" t="str">
        <f ca="1">IFERROR(__xludf.DUMMYFUNCTION("IMPORTRANGE(H27417,""IDENTITAS UNIT!D9"")"),"#N/A")</f>
        <v>#N/A</v>
      </c>
      <c r="H27417" s="4" t="str">
        <v/>
      </c>
      <c r="I27417" s="4" t="str">
        <v/>
      </c>
    </row>
    <row r="27418" spans="5:9" ht="16.5" hidden="1">
      <c r="E27418" s="4" t="str">
        <v/>
      </c>
      <c r="F27418" s="102" t="str">
        <f ca="1">IFERROR(__xludf.DUMMYFUNCTION("IMPORTRANGE(H27418,""IDENTITAS UNIT!D9"")"),"#N/A")</f>
        <v>#N/A</v>
      </c>
      <c r="H27418" s="4" t="str">
        <v/>
      </c>
      <c r="I27418" s="4" t="str">
        <v/>
      </c>
    </row>
    <row r="27419" spans="5:9" ht="16.5" hidden="1">
      <c r="E27419" s="4" t="str">
        <v/>
      </c>
      <c r="F27419" s="102" t="str">
        <f ca="1">IFERROR(__xludf.DUMMYFUNCTION("IMPORTRANGE(H27419,""IDENTITAS UNIT!D9"")"),"#N/A")</f>
        <v>#N/A</v>
      </c>
      <c r="H27419" s="4" t="str">
        <v/>
      </c>
      <c r="I27419" s="4" t="str">
        <v/>
      </c>
    </row>
    <row r="27420" spans="5:9" ht="16.5" hidden="1">
      <c r="E27420" s="4" t="str">
        <v/>
      </c>
      <c r="F27420" s="102" t="str">
        <f ca="1">IFERROR(__xludf.DUMMYFUNCTION("IMPORTRANGE(H27420,""IDENTITAS UNIT!D9"")"),"#N/A")</f>
        <v>#N/A</v>
      </c>
      <c r="H27420" s="4" t="str">
        <v/>
      </c>
      <c r="I27420" s="4" t="str">
        <v/>
      </c>
    </row>
    <row r="27421" spans="5:9" ht="16.5" hidden="1">
      <c r="E27421" s="4" t="str">
        <v/>
      </c>
      <c r="F27421" s="102" t="str">
        <f ca="1">IFERROR(__xludf.DUMMYFUNCTION("IMPORTRANGE(H27421,""IDENTITAS UNIT!D9"")"),"#N/A")</f>
        <v>#N/A</v>
      </c>
      <c r="H27421" s="4" t="str">
        <v/>
      </c>
      <c r="I27421" s="4" t="str">
        <v/>
      </c>
    </row>
    <row r="27422" spans="5:9" ht="16.5" hidden="1">
      <c r="E27422" s="4" t="str">
        <v/>
      </c>
      <c r="F27422" s="102" t="str">
        <f ca="1">IFERROR(__xludf.DUMMYFUNCTION("IMPORTRANGE(H27422,""IDENTITAS UNIT!D9"")"),"#N/A")</f>
        <v>#N/A</v>
      </c>
      <c r="H27422" s="4" t="str">
        <v/>
      </c>
      <c r="I27422" s="4" t="str">
        <v/>
      </c>
    </row>
    <row r="27423" spans="5:9" ht="16.5" hidden="1">
      <c r="E27423" s="4" t="str">
        <v/>
      </c>
      <c r="F27423" s="102" t="str">
        <f ca="1">IFERROR(__xludf.DUMMYFUNCTION("IMPORTRANGE(H27423,""IDENTITAS UNIT!D9"")"),"#N/A")</f>
        <v>#N/A</v>
      </c>
      <c r="H27423" s="4" t="str">
        <v/>
      </c>
      <c r="I27423" s="4" t="str">
        <v/>
      </c>
    </row>
    <row r="27424" spans="5:9" ht="16.5" hidden="1">
      <c r="E27424" s="4" t="str">
        <v/>
      </c>
      <c r="F27424" s="102" t="str">
        <f ca="1">IFERROR(__xludf.DUMMYFUNCTION("IMPORTRANGE(H27424,""IDENTITAS UNIT!D9"")"),"#N/A")</f>
        <v>#N/A</v>
      </c>
      <c r="H27424" s="4" t="str">
        <v/>
      </c>
      <c r="I27424" s="4" t="str">
        <v/>
      </c>
    </row>
    <row r="27425" spans="5:9" ht="16.5" hidden="1">
      <c r="E27425" s="4" t="str">
        <v/>
      </c>
      <c r="F27425" s="102" t="str">
        <f ca="1">IFERROR(__xludf.DUMMYFUNCTION("IMPORTRANGE(H27425,""IDENTITAS UNIT!D9"")"),"#N/A")</f>
        <v>#N/A</v>
      </c>
      <c r="H27425" s="4" t="str">
        <v/>
      </c>
      <c r="I27425" s="4" t="str">
        <v/>
      </c>
    </row>
    <row r="27426" spans="5:9" ht="16.5" hidden="1">
      <c r="E27426" s="4" t="str">
        <v/>
      </c>
      <c r="F27426" s="102" t="str">
        <f ca="1">IFERROR(__xludf.DUMMYFUNCTION("IMPORTRANGE(H27426,""IDENTITAS UNIT!D9"")"),"#N/A")</f>
        <v>#N/A</v>
      </c>
      <c r="H27426" s="4" t="str">
        <v/>
      </c>
      <c r="I27426" s="4" t="str">
        <v/>
      </c>
    </row>
    <row r="27427" spans="5:9" ht="16.5" hidden="1">
      <c r="E27427" s="4" t="str">
        <v/>
      </c>
      <c r="F27427" s="102" t="str">
        <f ca="1">IFERROR(__xludf.DUMMYFUNCTION("IMPORTRANGE(H27427,""IDENTITAS UNIT!D9"")"),"#N/A")</f>
        <v>#N/A</v>
      </c>
      <c r="H27427" s="4" t="str">
        <v/>
      </c>
      <c r="I27427" s="4" t="str">
        <v/>
      </c>
    </row>
    <row r="27428" spans="5:9" ht="16.5" hidden="1">
      <c r="E27428" s="4" t="str">
        <v/>
      </c>
      <c r="F27428" s="102" t="str">
        <f ca="1">IFERROR(__xludf.DUMMYFUNCTION("IMPORTRANGE(H27428,""IDENTITAS UNIT!D9"")"),"#N/A")</f>
        <v>#N/A</v>
      </c>
      <c r="H27428" s="4" t="str">
        <v/>
      </c>
      <c r="I27428" s="4" t="str">
        <v/>
      </c>
    </row>
    <row r="27429" spans="5:9" ht="16.5" hidden="1">
      <c r="E27429" s="4" t="str">
        <v/>
      </c>
      <c r="F27429" s="102" t="str">
        <f ca="1">IFERROR(__xludf.DUMMYFUNCTION("IMPORTRANGE(H27429,""IDENTITAS UNIT!D9"")"),"#N/A")</f>
        <v>#N/A</v>
      </c>
      <c r="H27429" s="4" t="str">
        <v/>
      </c>
      <c r="I27429" s="4" t="str">
        <v/>
      </c>
    </row>
    <row r="27430" spans="5:9" ht="16.5" hidden="1">
      <c r="E27430" s="4" t="str">
        <v/>
      </c>
      <c r="F27430" s="102" t="str">
        <f ca="1">IFERROR(__xludf.DUMMYFUNCTION("IMPORTRANGE(H27430,""IDENTITAS UNIT!D9"")"),"#N/A")</f>
        <v>#N/A</v>
      </c>
      <c r="H27430" s="4" t="str">
        <v/>
      </c>
      <c r="I27430" s="4" t="str">
        <v/>
      </c>
    </row>
    <row r="27431" spans="5:9" ht="16.5" hidden="1">
      <c r="E27431" s="4" t="str">
        <v/>
      </c>
      <c r="F27431" s="102" t="str">
        <f ca="1">IFERROR(__xludf.DUMMYFUNCTION("IMPORTRANGE(H27431,""IDENTITAS UNIT!D9"")"),"#N/A")</f>
        <v>#N/A</v>
      </c>
      <c r="H27431" s="4" t="str">
        <v/>
      </c>
      <c r="I27431" s="4" t="str">
        <v/>
      </c>
    </row>
    <row r="27432" spans="5:9" ht="16.5" hidden="1">
      <c r="E27432" s="4" t="str">
        <v/>
      </c>
      <c r="F27432" s="102" t="str">
        <f ca="1">IFERROR(__xludf.DUMMYFUNCTION("IMPORTRANGE(H27432,""IDENTITAS UNIT!D9"")"),"#N/A")</f>
        <v>#N/A</v>
      </c>
      <c r="H27432" s="4" t="str">
        <v/>
      </c>
      <c r="I27432" s="4" t="str">
        <v/>
      </c>
    </row>
    <row r="27433" spans="5:9" ht="16.5" hidden="1">
      <c r="E27433" s="4" t="str">
        <v/>
      </c>
      <c r="F27433" s="102" t="str">
        <f ca="1">IFERROR(__xludf.DUMMYFUNCTION("IMPORTRANGE(H27433,""IDENTITAS UNIT!D9"")"),"#N/A")</f>
        <v>#N/A</v>
      </c>
      <c r="H27433" s="4" t="str">
        <v/>
      </c>
      <c r="I27433" s="4" t="str">
        <v/>
      </c>
    </row>
    <row r="27434" spans="5:9" ht="16.5" hidden="1">
      <c r="E27434" s="4" t="str">
        <v/>
      </c>
      <c r="F27434" s="102" t="str">
        <f ca="1">IFERROR(__xludf.DUMMYFUNCTION("IMPORTRANGE(H27434,""IDENTITAS UNIT!D9"")"),"#N/A")</f>
        <v>#N/A</v>
      </c>
      <c r="H27434" s="4" t="str">
        <v/>
      </c>
      <c r="I27434" s="4" t="str">
        <v/>
      </c>
    </row>
    <row r="27435" spans="5:9" ht="16.5" hidden="1">
      <c r="E27435" s="4" t="str">
        <v/>
      </c>
      <c r="F27435" s="102" t="str">
        <f ca="1">IFERROR(__xludf.DUMMYFUNCTION("IMPORTRANGE(H27435,""IDENTITAS UNIT!D9"")"),"#N/A")</f>
        <v>#N/A</v>
      </c>
      <c r="H27435" s="4" t="str">
        <v/>
      </c>
      <c r="I27435" s="4" t="str">
        <v/>
      </c>
    </row>
    <row r="27436" spans="5:9" ht="16.5" hidden="1">
      <c r="E27436" s="4" t="str">
        <v/>
      </c>
      <c r="F27436" s="102" t="str">
        <f ca="1">IFERROR(__xludf.DUMMYFUNCTION("IMPORTRANGE(H27436,""IDENTITAS UNIT!D9"")"),"#N/A")</f>
        <v>#N/A</v>
      </c>
      <c r="H27436" s="4" t="str">
        <v/>
      </c>
      <c r="I27436" s="4" t="str">
        <v/>
      </c>
    </row>
    <row r="27437" spans="5:9" ht="16.5" hidden="1">
      <c r="E27437" s="4" t="str">
        <v/>
      </c>
      <c r="F27437" s="102" t="str">
        <f ca="1">IFERROR(__xludf.DUMMYFUNCTION("IMPORTRANGE(H27437,""IDENTITAS UNIT!D9"")"),"#N/A")</f>
        <v>#N/A</v>
      </c>
      <c r="H27437" s="4" t="str">
        <v/>
      </c>
      <c r="I27437" s="4" t="str">
        <v/>
      </c>
    </row>
    <row r="27438" spans="5:9" ht="16.5" hidden="1">
      <c r="E27438" s="4" t="str">
        <v/>
      </c>
      <c r="F27438" s="102" t="str">
        <f ca="1">IFERROR(__xludf.DUMMYFUNCTION("IMPORTRANGE(H27438,""IDENTITAS UNIT!D9"")"),"#N/A")</f>
        <v>#N/A</v>
      </c>
      <c r="H27438" s="4" t="str">
        <v/>
      </c>
      <c r="I27438" s="4" t="str">
        <v/>
      </c>
    </row>
    <row r="27439" spans="5:9" ht="16.5" hidden="1">
      <c r="E27439" s="4" t="str">
        <v/>
      </c>
      <c r="F27439" s="102" t="str">
        <f ca="1">IFERROR(__xludf.DUMMYFUNCTION("IMPORTRANGE(H27439,""IDENTITAS UNIT!D9"")"),"#N/A")</f>
        <v>#N/A</v>
      </c>
      <c r="H27439" s="4" t="str">
        <v/>
      </c>
      <c r="I27439" s="4" t="str">
        <v/>
      </c>
    </row>
    <row r="27440" spans="5:9" ht="16.5" hidden="1">
      <c r="E27440" s="4" t="str">
        <v/>
      </c>
      <c r="F27440" s="102" t="str">
        <f ca="1">IFERROR(__xludf.DUMMYFUNCTION("IMPORTRANGE(H27440,""IDENTITAS UNIT!D9"")"),"#N/A")</f>
        <v>#N/A</v>
      </c>
      <c r="H27440" s="4" t="str">
        <v/>
      </c>
      <c r="I27440" s="4" t="str">
        <v/>
      </c>
    </row>
    <row r="27441" spans="5:9" ht="16.5" hidden="1">
      <c r="E27441" s="4" t="str">
        <v/>
      </c>
      <c r="F27441" s="102" t="str">
        <f ca="1">IFERROR(__xludf.DUMMYFUNCTION("IMPORTRANGE(H27441,""IDENTITAS UNIT!D9"")"),"#N/A")</f>
        <v>#N/A</v>
      </c>
      <c r="H27441" s="4" t="str">
        <v/>
      </c>
      <c r="I27441" s="4" t="str">
        <v/>
      </c>
    </row>
    <row r="27442" spans="5:9" ht="16.5" hidden="1">
      <c r="E27442" s="4" t="str">
        <v/>
      </c>
      <c r="F27442" s="102" t="str">
        <f ca="1">IFERROR(__xludf.DUMMYFUNCTION("IMPORTRANGE(H27442,""IDENTITAS UNIT!D9"")"),"#N/A")</f>
        <v>#N/A</v>
      </c>
      <c r="H27442" s="4" t="str">
        <v/>
      </c>
      <c r="I27442" s="4" t="str">
        <v/>
      </c>
    </row>
    <row r="27443" spans="5:9" ht="16.5" hidden="1">
      <c r="E27443" s="4" t="str">
        <v/>
      </c>
      <c r="F27443" s="102" t="str">
        <f ca="1">IFERROR(__xludf.DUMMYFUNCTION("IMPORTRANGE(H27443,""IDENTITAS UNIT!D9"")"),"#N/A")</f>
        <v>#N/A</v>
      </c>
      <c r="H27443" s="4" t="str">
        <v/>
      </c>
      <c r="I27443" s="4" t="str">
        <v/>
      </c>
    </row>
    <row r="27444" spans="5:9" ht="16.5" hidden="1">
      <c r="E27444" s="4" t="str">
        <v/>
      </c>
      <c r="F27444" s="102" t="str">
        <f ca="1">IFERROR(__xludf.DUMMYFUNCTION("IMPORTRANGE(H27444,""IDENTITAS UNIT!D9"")"),"#N/A")</f>
        <v>#N/A</v>
      </c>
      <c r="H27444" s="4" t="str">
        <v/>
      </c>
      <c r="I27444" s="4" t="str">
        <v/>
      </c>
    </row>
    <row r="27445" spans="5:9" ht="16.5" hidden="1">
      <c r="E27445" s="4" t="str">
        <v/>
      </c>
      <c r="F27445" s="102" t="str">
        <f ca="1">IFERROR(__xludf.DUMMYFUNCTION("IMPORTRANGE(H27445,""IDENTITAS UNIT!D9"")"),"#N/A")</f>
        <v>#N/A</v>
      </c>
      <c r="H27445" s="4" t="str">
        <v/>
      </c>
      <c r="I27445" s="4" t="str">
        <v/>
      </c>
    </row>
    <row r="27446" spans="5:9" ht="16.5" hidden="1">
      <c r="E27446" s="4" t="str">
        <v/>
      </c>
      <c r="F27446" s="102" t="str">
        <f ca="1">IFERROR(__xludf.DUMMYFUNCTION("IMPORTRANGE(H27446,""IDENTITAS UNIT!D9"")"),"#N/A")</f>
        <v>#N/A</v>
      </c>
      <c r="H27446" s="4" t="str">
        <v/>
      </c>
      <c r="I27446" s="4" t="str">
        <v/>
      </c>
    </row>
    <row r="27447" spans="5:9" ht="16.5" hidden="1">
      <c r="E27447" s="4" t="str">
        <v/>
      </c>
      <c r="F27447" s="102" t="str">
        <f ca="1">IFERROR(__xludf.DUMMYFUNCTION("IMPORTRANGE(H27447,""IDENTITAS UNIT!D9"")"),"#N/A")</f>
        <v>#N/A</v>
      </c>
      <c r="H27447" s="4" t="str">
        <v/>
      </c>
      <c r="I27447" s="4" t="str">
        <v/>
      </c>
    </row>
    <row r="27448" spans="5:9" ht="16.5" hidden="1">
      <c r="E27448" s="4" t="str">
        <v/>
      </c>
      <c r="F27448" s="102" t="str">
        <f ca="1">IFERROR(__xludf.DUMMYFUNCTION("IMPORTRANGE(H27448,""IDENTITAS UNIT!D9"")"),"#N/A")</f>
        <v>#N/A</v>
      </c>
      <c r="H27448" s="4" t="str">
        <v/>
      </c>
      <c r="I27448" s="4" t="str">
        <v/>
      </c>
    </row>
    <row r="27449" spans="5:9" ht="16.5" hidden="1">
      <c r="E27449" s="4" t="str">
        <v/>
      </c>
      <c r="F27449" s="102" t="str">
        <f ca="1">IFERROR(__xludf.DUMMYFUNCTION("IMPORTRANGE(H27449,""IDENTITAS UNIT!D9"")"),"#N/A")</f>
        <v>#N/A</v>
      </c>
      <c r="H27449" s="4" t="str">
        <v/>
      </c>
      <c r="I27449" s="4" t="str">
        <v/>
      </c>
    </row>
    <row r="27450" spans="5:9" ht="16.5" hidden="1">
      <c r="E27450" s="4" t="str">
        <v/>
      </c>
      <c r="F27450" s="102" t="str">
        <f ca="1">IFERROR(__xludf.DUMMYFUNCTION("IMPORTRANGE(H27450,""IDENTITAS UNIT!D9"")"),"#N/A")</f>
        <v>#N/A</v>
      </c>
      <c r="H27450" s="4" t="str">
        <v/>
      </c>
      <c r="I27450" s="4" t="str">
        <v/>
      </c>
    </row>
    <row r="27451" spans="5:9" ht="16.5" hidden="1">
      <c r="E27451" s="4" t="str">
        <v/>
      </c>
      <c r="F27451" s="102" t="str">
        <f ca="1">IFERROR(__xludf.DUMMYFUNCTION("IMPORTRANGE(H27451,""IDENTITAS UNIT!D9"")"),"#N/A")</f>
        <v>#N/A</v>
      </c>
      <c r="H27451" s="4" t="str">
        <v/>
      </c>
      <c r="I27451" s="4" t="str">
        <v/>
      </c>
    </row>
    <row r="27452" spans="5:9" ht="16.5" hidden="1">
      <c r="E27452" s="4" t="str">
        <v/>
      </c>
      <c r="F27452" s="102" t="str">
        <f ca="1">IFERROR(__xludf.DUMMYFUNCTION("IMPORTRANGE(H27452,""IDENTITAS UNIT!D9"")"),"#N/A")</f>
        <v>#N/A</v>
      </c>
      <c r="H27452" s="4" t="str">
        <v/>
      </c>
      <c r="I27452" s="4" t="str">
        <v/>
      </c>
    </row>
    <row r="27453" spans="5:9" ht="16.5" hidden="1">
      <c r="E27453" s="4" t="str">
        <v/>
      </c>
      <c r="F27453" s="102" t="str">
        <f ca="1">IFERROR(__xludf.DUMMYFUNCTION("IMPORTRANGE(H27453,""IDENTITAS UNIT!D9"")"),"#N/A")</f>
        <v>#N/A</v>
      </c>
      <c r="H27453" s="4" t="str">
        <v/>
      </c>
      <c r="I27453" s="4" t="str">
        <v/>
      </c>
    </row>
    <row r="27454" spans="5:9" ht="16.5" hidden="1">
      <c r="E27454" s="4" t="str">
        <v/>
      </c>
      <c r="F27454" s="102" t="str">
        <f ca="1">IFERROR(__xludf.DUMMYFUNCTION("IMPORTRANGE(H27454,""IDENTITAS UNIT!D9"")"),"#N/A")</f>
        <v>#N/A</v>
      </c>
      <c r="H27454" s="4" t="str">
        <v/>
      </c>
      <c r="I27454" s="4" t="str">
        <v/>
      </c>
    </row>
    <row r="27455" spans="5:9" ht="16.5" hidden="1">
      <c r="E27455" s="4" t="str">
        <v/>
      </c>
      <c r="F27455" s="102" t="str">
        <f ca="1">IFERROR(__xludf.DUMMYFUNCTION("IMPORTRANGE(H27455,""IDENTITAS UNIT!D9"")"),"#N/A")</f>
        <v>#N/A</v>
      </c>
      <c r="H27455" s="4" t="str">
        <v/>
      </c>
      <c r="I27455" s="4" t="str">
        <v/>
      </c>
    </row>
    <row r="27456" spans="5:9" ht="16.5" hidden="1">
      <c r="E27456" s="4" t="str">
        <v/>
      </c>
      <c r="F27456" s="102" t="str">
        <f ca="1">IFERROR(__xludf.DUMMYFUNCTION("IMPORTRANGE(H27456,""IDENTITAS UNIT!D9"")"),"#N/A")</f>
        <v>#N/A</v>
      </c>
      <c r="H27456" s="4" t="str">
        <v/>
      </c>
      <c r="I27456" s="4" t="str">
        <v/>
      </c>
    </row>
    <row r="27457" spans="5:9" ht="16.5" hidden="1">
      <c r="E27457" s="4" t="str">
        <v/>
      </c>
      <c r="F27457" s="102" t="str">
        <f ca="1">IFERROR(__xludf.DUMMYFUNCTION("IMPORTRANGE(H27457,""IDENTITAS UNIT!D9"")"),"#N/A")</f>
        <v>#N/A</v>
      </c>
      <c r="H27457" s="4" t="str">
        <v/>
      </c>
      <c r="I27457" s="4" t="str">
        <v/>
      </c>
    </row>
    <row r="27458" spans="5:9" ht="16.5" hidden="1">
      <c r="E27458" s="4" t="str">
        <v/>
      </c>
      <c r="F27458" s="102" t="str">
        <f ca="1">IFERROR(__xludf.DUMMYFUNCTION("IMPORTRANGE(H27458,""IDENTITAS UNIT!D9"")"),"#N/A")</f>
        <v>#N/A</v>
      </c>
      <c r="H27458" s="4" t="str">
        <v/>
      </c>
      <c r="I27458" s="4" t="str">
        <v/>
      </c>
    </row>
    <row r="27459" spans="5:9" ht="16.5" hidden="1">
      <c r="E27459" s="4" t="str">
        <v/>
      </c>
      <c r="F27459" s="102" t="str">
        <f ca="1">IFERROR(__xludf.DUMMYFUNCTION("IMPORTRANGE(H27459,""IDENTITAS UNIT!D9"")"),"#N/A")</f>
        <v>#N/A</v>
      </c>
      <c r="H27459" s="4" t="str">
        <v/>
      </c>
      <c r="I27459" s="4" t="str">
        <v/>
      </c>
    </row>
    <row r="27460" spans="5:9" ht="16.5" hidden="1">
      <c r="E27460" s="4" t="str">
        <v/>
      </c>
      <c r="F27460" s="102" t="str">
        <f ca="1">IFERROR(__xludf.DUMMYFUNCTION("IMPORTRANGE(H27460,""IDENTITAS UNIT!D9"")"),"#N/A")</f>
        <v>#N/A</v>
      </c>
      <c r="H27460" s="4" t="str">
        <v/>
      </c>
      <c r="I27460" s="4" t="str">
        <v/>
      </c>
    </row>
    <row r="27461" spans="5:9" ht="16.5" hidden="1">
      <c r="E27461" s="4" t="str">
        <v/>
      </c>
      <c r="F27461" s="102" t="str">
        <f ca="1">IFERROR(__xludf.DUMMYFUNCTION("IMPORTRANGE(H27461,""IDENTITAS UNIT!D9"")"),"#N/A")</f>
        <v>#N/A</v>
      </c>
      <c r="H27461" s="4" t="str">
        <v/>
      </c>
      <c r="I27461" s="4" t="str">
        <v/>
      </c>
    </row>
    <row r="27462" spans="5:9" ht="16.5" hidden="1">
      <c r="E27462" s="4" t="str">
        <v/>
      </c>
      <c r="F27462" s="102" t="str">
        <f ca="1">IFERROR(__xludf.DUMMYFUNCTION("IMPORTRANGE(H27462,""IDENTITAS UNIT!D9"")"),"#N/A")</f>
        <v>#N/A</v>
      </c>
      <c r="H27462" s="4" t="str">
        <v/>
      </c>
      <c r="I27462" s="4" t="str">
        <v/>
      </c>
    </row>
    <row r="27463" spans="5:9" ht="16.5" hidden="1">
      <c r="E27463" s="4" t="str">
        <v/>
      </c>
      <c r="F27463" s="102" t="str">
        <f ca="1">IFERROR(__xludf.DUMMYFUNCTION("IMPORTRANGE(H27463,""IDENTITAS UNIT!D9"")"),"#N/A")</f>
        <v>#N/A</v>
      </c>
      <c r="H27463" s="4" t="str">
        <v/>
      </c>
      <c r="I27463" s="4" t="str">
        <v/>
      </c>
    </row>
    <row r="27464" spans="5:9" ht="16.5" hidden="1">
      <c r="E27464" s="4" t="str">
        <v/>
      </c>
      <c r="F27464" s="102" t="str">
        <f ca="1">IFERROR(__xludf.DUMMYFUNCTION("IMPORTRANGE(H27464,""IDENTITAS UNIT!D9"")"),"#N/A")</f>
        <v>#N/A</v>
      </c>
      <c r="H27464" s="4" t="str">
        <v/>
      </c>
      <c r="I27464" s="4" t="str">
        <v/>
      </c>
    </row>
    <row r="27465" spans="5:9" ht="16.5" hidden="1">
      <c r="E27465" s="4" t="str">
        <v/>
      </c>
      <c r="F27465" s="102" t="str">
        <f ca="1">IFERROR(__xludf.DUMMYFUNCTION("IMPORTRANGE(H27465,""IDENTITAS UNIT!D9"")"),"#N/A")</f>
        <v>#N/A</v>
      </c>
      <c r="H27465" s="4" t="str">
        <v/>
      </c>
      <c r="I27465" s="4" t="str">
        <v/>
      </c>
    </row>
    <row r="27466" spans="5:9" ht="16.5" hidden="1">
      <c r="E27466" s="4" t="str">
        <v/>
      </c>
      <c r="F27466" s="102" t="str">
        <f ca="1">IFERROR(__xludf.DUMMYFUNCTION("IMPORTRANGE(H27466,""IDENTITAS UNIT!D9"")"),"#N/A")</f>
        <v>#N/A</v>
      </c>
      <c r="H27466" s="4" t="str">
        <v/>
      </c>
      <c r="I27466" s="4" t="str">
        <v/>
      </c>
    </row>
    <row r="27467" spans="5:9" ht="16.5" hidden="1">
      <c r="E27467" s="4" t="str">
        <v/>
      </c>
      <c r="F27467" s="102" t="str">
        <f ca="1">IFERROR(__xludf.DUMMYFUNCTION("IMPORTRANGE(H27467,""IDENTITAS UNIT!D9"")"),"#N/A")</f>
        <v>#N/A</v>
      </c>
      <c r="H27467" s="4" t="str">
        <v/>
      </c>
      <c r="I27467" s="4" t="str">
        <v/>
      </c>
    </row>
    <row r="27468" spans="5:9" ht="16.5" hidden="1">
      <c r="E27468" s="4" t="str">
        <v/>
      </c>
      <c r="F27468" s="102" t="str">
        <f ca="1">IFERROR(__xludf.DUMMYFUNCTION("IMPORTRANGE(H27468,""IDENTITAS UNIT!D9"")"),"#N/A")</f>
        <v>#N/A</v>
      </c>
      <c r="H27468" s="4" t="str">
        <v/>
      </c>
      <c r="I27468" s="4" t="str">
        <v/>
      </c>
    </row>
    <row r="27469" spans="5:9" ht="16.5" hidden="1">
      <c r="E27469" s="4" t="str">
        <v/>
      </c>
      <c r="F27469" s="102" t="str">
        <f ca="1">IFERROR(__xludf.DUMMYFUNCTION("IMPORTRANGE(H27469,""IDENTITAS UNIT!D9"")"),"#N/A")</f>
        <v>#N/A</v>
      </c>
      <c r="H27469" s="4" t="str">
        <v/>
      </c>
      <c r="I27469" s="4" t="str">
        <v/>
      </c>
    </row>
    <row r="27470" spans="5:9" ht="16.5" hidden="1">
      <c r="E27470" s="4" t="str">
        <v/>
      </c>
      <c r="F27470" s="102" t="str">
        <f ca="1">IFERROR(__xludf.DUMMYFUNCTION("IMPORTRANGE(H27470,""IDENTITAS UNIT!D9"")"),"#N/A")</f>
        <v>#N/A</v>
      </c>
      <c r="H27470" s="4" t="str">
        <v/>
      </c>
      <c r="I27470" s="4" t="str">
        <v/>
      </c>
    </row>
    <row r="27471" spans="5:9" ht="16.5" hidden="1">
      <c r="E27471" s="4" t="str">
        <v/>
      </c>
      <c r="F27471" s="102" t="str">
        <f ca="1">IFERROR(__xludf.DUMMYFUNCTION("IMPORTRANGE(H27471,""IDENTITAS UNIT!D9"")"),"#N/A")</f>
        <v>#N/A</v>
      </c>
      <c r="H27471" s="4" t="str">
        <v/>
      </c>
      <c r="I27471" s="4" t="str">
        <v/>
      </c>
    </row>
    <row r="27472" spans="5:9" ht="16.5" hidden="1">
      <c r="E27472" s="4" t="str">
        <v/>
      </c>
      <c r="F27472" s="102" t="str">
        <f ca="1">IFERROR(__xludf.DUMMYFUNCTION("IMPORTRANGE(H27472,""IDENTITAS UNIT!D9"")"),"#N/A")</f>
        <v>#N/A</v>
      </c>
      <c r="H27472" s="4" t="str">
        <v/>
      </c>
      <c r="I27472" s="4" t="str">
        <v/>
      </c>
    </row>
    <row r="27473" spans="5:9" ht="16.5" hidden="1">
      <c r="E27473" s="4" t="str">
        <v/>
      </c>
      <c r="F27473" s="102" t="str">
        <f ca="1">IFERROR(__xludf.DUMMYFUNCTION("IMPORTRANGE(H27473,""IDENTITAS UNIT!D9"")"),"#N/A")</f>
        <v>#N/A</v>
      </c>
      <c r="H27473" s="4" t="str">
        <v/>
      </c>
      <c r="I27473" s="4" t="str">
        <v/>
      </c>
    </row>
    <row r="27474" spans="5:9" ht="16.5" hidden="1">
      <c r="E27474" s="4" t="str">
        <v/>
      </c>
      <c r="F27474" s="102" t="str">
        <f ca="1">IFERROR(__xludf.DUMMYFUNCTION("IMPORTRANGE(H27474,""IDENTITAS UNIT!D9"")"),"#N/A")</f>
        <v>#N/A</v>
      </c>
      <c r="H27474" s="4" t="str">
        <v/>
      </c>
      <c r="I27474" s="4" t="str">
        <v/>
      </c>
    </row>
    <row r="27475" spans="5:9" ht="16.5" hidden="1">
      <c r="E27475" s="4" t="str">
        <v/>
      </c>
      <c r="F27475" s="102" t="str">
        <f ca="1">IFERROR(__xludf.DUMMYFUNCTION("IMPORTRANGE(H27475,""IDENTITAS UNIT!D9"")"),"#N/A")</f>
        <v>#N/A</v>
      </c>
      <c r="H27475" s="4" t="str">
        <v/>
      </c>
      <c r="I27475" s="4" t="str">
        <v/>
      </c>
    </row>
    <row r="27476" spans="5:9" ht="16.5" hidden="1">
      <c r="E27476" s="4" t="str">
        <v/>
      </c>
      <c r="F27476" s="102" t="str">
        <f ca="1">IFERROR(__xludf.DUMMYFUNCTION("IMPORTRANGE(H27476,""IDENTITAS UNIT!D9"")"),"#N/A")</f>
        <v>#N/A</v>
      </c>
      <c r="H27476" s="4" t="str">
        <v/>
      </c>
      <c r="I27476" s="4" t="str">
        <v/>
      </c>
    </row>
    <row r="27477" spans="5:9" ht="16.5" hidden="1">
      <c r="E27477" s="4" t="str">
        <v/>
      </c>
      <c r="F27477" s="102" t="str">
        <f ca="1">IFERROR(__xludf.DUMMYFUNCTION("IMPORTRANGE(H27477,""IDENTITAS UNIT!D9"")"),"#N/A")</f>
        <v>#N/A</v>
      </c>
      <c r="H27477" s="4" t="str">
        <v/>
      </c>
      <c r="I27477" s="4" t="str">
        <v/>
      </c>
    </row>
    <row r="27478" spans="5:9" ht="16.5" hidden="1">
      <c r="E27478" s="4" t="str">
        <v/>
      </c>
      <c r="F27478" s="102" t="str">
        <f ca="1">IFERROR(__xludf.DUMMYFUNCTION("IMPORTRANGE(H27478,""IDENTITAS UNIT!D9"")"),"#N/A")</f>
        <v>#N/A</v>
      </c>
      <c r="H27478" s="4" t="str">
        <v/>
      </c>
      <c r="I27478" s="4" t="str">
        <v/>
      </c>
    </row>
    <row r="27479" spans="5:9" ht="16.5" hidden="1">
      <c r="E27479" s="4" t="str">
        <v/>
      </c>
      <c r="F27479" s="102" t="str">
        <f ca="1">IFERROR(__xludf.DUMMYFUNCTION("IMPORTRANGE(H27479,""IDENTITAS UNIT!D9"")"),"#N/A")</f>
        <v>#N/A</v>
      </c>
      <c r="H27479" s="4" t="str">
        <v/>
      </c>
      <c r="I27479" s="4" t="str">
        <v/>
      </c>
    </row>
    <row r="27480" spans="5:9" ht="16.5" hidden="1">
      <c r="E27480" s="4" t="str">
        <v/>
      </c>
      <c r="F27480" s="102" t="str">
        <f ca="1">IFERROR(__xludf.DUMMYFUNCTION("IMPORTRANGE(H27480,""IDENTITAS UNIT!D9"")"),"#N/A")</f>
        <v>#N/A</v>
      </c>
      <c r="H27480" s="4" t="str">
        <v/>
      </c>
      <c r="I27480" s="4" t="str">
        <v/>
      </c>
    </row>
    <row r="27481" spans="5:9" ht="16.5" hidden="1">
      <c r="E27481" s="4" t="str">
        <v/>
      </c>
      <c r="F27481" s="102" t="str">
        <f ca="1">IFERROR(__xludf.DUMMYFUNCTION("IMPORTRANGE(H27481,""IDENTITAS UNIT!D9"")"),"#N/A")</f>
        <v>#N/A</v>
      </c>
      <c r="H27481" s="4" t="str">
        <v/>
      </c>
      <c r="I27481" s="4" t="str">
        <v/>
      </c>
    </row>
    <row r="27482" spans="5:9" ht="16.5" hidden="1">
      <c r="E27482" s="4" t="str">
        <v/>
      </c>
      <c r="F27482" s="102" t="str">
        <f ca="1">IFERROR(__xludf.DUMMYFUNCTION("IMPORTRANGE(H27482,""IDENTITAS UNIT!D9"")"),"#N/A")</f>
        <v>#N/A</v>
      </c>
      <c r="H27482" s="4" t="str">
        <v/>
      </c>
      <c r="I27482" s="4" t="str">
        <v/>
      </c>
    </row>
    <row r="27483" spans="5:9" ht="16.5" hidden="1">
      <c r="E27483" s="4" t="str">
        <v/>
      </c>
      <c r="F27483" s="102" t="str">
        <f ca="1">IFERROR(__xludf.DUMMYFUNCTION("IMPORTRANGE(H27483,""IDENTITAS UNIT!D9"")"),"#N/A")</f>
        <v>#N/A</v>
      </c>
      <c r="H27483" s="4" t="str">
        <v/>
      </c>
      <c r="I27483" s="4" t="str">
        <v/>
      </c>
    </row>
    <row r="27484" spans="5:9" ht="16.5" hidden="1">
      <c r="E27484" s="4" t="str">
        <v/>
      </c>
      <c r="F27484" s="102" t="str">
        <f ca="1">IFERROR(__xludf.DUMMYFUNCTION("IMPORTRANGE(H27484,""IDENTITAS UNIT!D9"")"),"#N/A")</f>
        <v>#N/A</v>
      </c>
      <c r="H27484" s="4" t="str">
        <v/>
      </c>
      <c r="I27484" s="4" t="str">
        <v/>
      </c>
    </row>
    <row r="27485" spans="5:9" ht="16.5" hidden="1">
      <c r="E27485" s="4" t="str">
        <v/>
      </c>
      <c r="F27485" s="102" t="str">
        <f ca="1">IFERROR(__xludf.DUMMYFUNCTION("IMPORTRANGE(H27485,""IDENTITAS UNIT!D9"")"),"#N/A")</f>
        <v>#N/A</v>
      </c>
      <c r="H27485" s="4" t="str">
        <v/>
      </c>
      <c r="I27485" s="4" t="str">
        <v/>
      </c>
    </row>
    <row r="27486" spans="5:9" ht="16.5" hidden="1">
      <c r="E27486" s="4" t="str">
        <v/>
      </c>
      <c r="F27486" s="102" t="str">
        <f ca="1">IFERROR(__xludf.DUMMYFUNCTION("IMPORTRANGE(H27486,""IDENTITAS UNIT!D9"")"),"#N/A")</f>
        <v>#N/A</v>
      </c>
      <c r="H27486" s="4" t="str">
        <v/>
      </c>
      <c r="I27486" s="4" t="str">
        <v/>
      </c>
    </row>
    <row r="27487" spans="5:9" ht="16.5" hidden="1">
      <c r="E27487" s="4" t="str">
        <v/>
      </c>
      <c r="F27487" s="102" t="str">
        <f ca="1">IFERROR(__xludf.DUMMYFUNCTION("IMPORTRANGE(H27487,""IDENTITAS UNIT!D9"")"),"#N/A")</f>
        <v>#N/A</v>
      </c>
      <c r="H27487" s="4" t="str">
        <v/>
      </c>
      <c r="I27487" s="4" t="str">
        <v/>
      </c>
    </row>
    <row r="27488" spans="5:9" ht="16.5" hidden="1">
      <c r="E27488" s="4" t="str">
        <v/>
      </c>
      <c r="F27488" s="102" t="str">
        <f ca="1">IFERROR(__xludf.DUMMYFUNCTION("IMPORTRANGE(H27488,""IDENTITAS UNIT!D9"")"),"#N/A")</f>
        <v>#N/A</v>
      </c>
      <c r="H27488" s="4" t="str">
        <v/>
      </c>
      <c r="I27488" s="4" t="str">
        <v/>
      </c>
    </row>
    <row r="27489" spans="5:9" ht="16.5" hidden="1">
      <c r="E27489" s="4" t="str">
        <v/>
      </c>
      <c r="F27489" s="102" t="str">
        <f ca="1">IFERROR(__xludf.DUMMYFUNCTION("IMPORTRANGE(H27489,""IDENTITAS UNIT!D9"")"),"#N/A")</f>
        <v>#N/A</v>
      </c>
      <c r="H27489" s="4" t="str">
        <v/>
      </c>
      <c r="I27489" s="4" t="str">
        <v/>
      </c>
    </row>
    <row r="27490" spans="5:9" ht="16.5" hidden="1">
      <c r="E27490" s="4" t="str">
        <v/>
      </c>
      <c r="F27490" s="102" t="str">
        <f ca="1">IFERROR(__xludf.DUMMYFUNCTION("IMPORTRANGE(H27490,""IDENTITAS UNIT!D9"")"),"#N/A")</f>
        <v>#N/A</v>
      </c>
      <c r="H27490" s="4" t="str">
        <v/>
      </c>
      <c r="I27490" s="4" t="str">
        <v/>
      </c>
    </row>
    <row r="27491" spans="5:9" ht="16.5" hidden="1">
      <c r="E27491" s="4" t="str">
        <v/>
      </c>
      <c r="F27491" s="102" t="str">
        <f ca="1">IFERROR(__xludf.DUMMYFUNCTION("IMPORTRANGE(H27491,""IDENTITAS UNIT!D9"")"),"#N/A")</f>
        <v>#N/A</v>
      </c>
      <c r="H27491" s="4" t="str">
        <v/>
      </c>
      <c r="I27491" s="4" t="str">
        <v/>
      </c>
    </row>
    <row r="27492" spans="5:9" ht="16.5" hidden="1">
      <c r="E27492" s="4" t="str">
        <v/>
      </c>
      <c r="F27492" s="102" t="str">
        <f ca="1">IFERROR(__xludf.DUMMYFUNCTION("IMPORTRANGE(H27492,""IDENTITAS UNIT!D9"")"),"#N/A")</f>
        <v>#N/A</v>
      </c>
      <c r="H27492" s="4" t="str">
        <v/>
      </c>
      <c r="I27492" s="4" t="str">
        <v/>
      </c>
    </row>
    <row r="27493" spans="5:9" ht="16.5" hidden="1">
      <c r="E27493" s="4" t="str">
        <v/>
      </c>
      <c r="F27493" s="102" t="str">
        <f ca="1">IFERROR(__xludf.DUMMYFUNCTION("IMPORTRANGE(H27493,""IDENTITAS UNIT!D9"")"),"#N/A")</f>
        <v>#N/A</v>
      </c>
      <c r="H27493" s="4" t="str">
        <v/>
      </c>
      <c r="I27493" s="4" t="str">
        <v/>
      </c>
    </row>
    <row r="27494" spans="5:9" ht="16.5" hidden="1">
      <c r="E27494" s="4" t="str">
        <v/>
      </c>
      <c r="F27494" s="102" t="str">
        <f ca="1">IFERROR(__xludf.DUMMYFUNCTION("IMPORTRANGE(H27494,""IDENTITAS UNIT!D9"")"),"#N/A")</f>
        <v>#N/A</v>
      </c>
      <c r="H27494" s="4" t="str">
        <v/>
      </c>
      <c r="I27494" s="4" t="str">
        <v/>
      </c>
    </row>
    <row r="27495" spans="5:9" ht="16.5" hidden="1">
      <c r="E27495" s="4" t="str">
        <v/>
      </c>
      <c r="F27495" s="102" t="str">
        <f ca="1">IFERROR(__xludf.DUMMYFUNCTION("IMPORTRANGE(H27495,""IDENTITAS UNIT!D9"")"),"#N/A")</f>
        <v>#N/A</v>
      </c>
      <c r="H27495" s="4" t="str">
        <v/>
      </c>
      <c r="I27495" s="4" t="str">
        <v/>
      </c>
    </row>
    <row r="27496" spans="5:9" ht="16.5" hidden="1">
      <c r="E27496" s="4" t="str">
        <v/>
      </c>
      <c r="F27496" s="102" t="str">
        <f ca="1">IFERROR(__xludf.DUMMYFUNCTION("IMPORTRANGE(H27496,""IDENTITAS UNIT!D9"")"),"#N/A")</f>
        <v>#N/A</v>
      </c>
      <c r="H27496" s="4" t="str">
        <v/>
      </c>
      <c r="I27496" s="4" t="str">
        <v/>
      </c>
    </row>
    <row r="27497" spans="5:9" ht="16.5" hidden="1">
      <c r="E27497" s="4" t="str">
        <v/>
      </c>
      <c r="F27497" s="102" t="str">
        <f ca="1">IFERROR(__xludf.DUMMYFUNCTION("IMPORTRANGE(H27497,""IDENTITAS UNIT!D9"")"),"#N/A")</f>
        <v>#N/A</v>
      </c>
      <c r="H27497" s="4" t="str">
        <v/>
      </c>
      <c r="I27497" s="4" t="str">
        <v/>
      </c>
    </row>
    <row r="27498" spans="5:9" ht="16.5" hidden="1">
      <c r="E27498" s="4" t="str">
        <v/>
      </c>
      <c r="F27498" s="102" t="str">
        <f ca="1">IFERROR(__xludf.DUMMYFUNCTION("IMPORTRANGE(H27498,""IDENTITAS UNIT!D9"")"),"#N/A")</f>
        <v>#N/A</v>
      </c>
      <c r="H27498" s="4" t="str">
        <v/>
      </c>
      <c r="I27498" s="4" t="str">
        <v/>
      </c>
    </row>
    <row r="27499" spans="5:9" ht="16.5" hidden="1">
      <c r="E27499" s="4" t="str">
        <v/>
      </c>
      <c r="F27499" s="102" t="str">
        <f ca="1">IFERROR(__xludf.DUMMYFUNCTION("IMPORTRANGE(H27499,""IDENTITAS UNIT!D9"")"),"#N/A")</f>
        <v>#N/A</v>
      </c>
      <c r="H27499" s="4" t="str">
        <v/>
      </c>
      <c r="I27499" s="4" t="str">
        <v/>
      </c>
    </row>
    <row r="27500" spans="5:9" ht="16.5" hidden="1">
      <c r="E27500" s="4" t="str">
        <v/>
      </c>
      <c r="F27500" s="102" t="str">
        <f ca="1">IFERROR(__xludf.DUMMYFUNCTION("IMPORTRANGE(H27500,""IDENTITAS UNIT!D9"")"),"#N/A")</f>
        <v>#N/A</v>
      </c>
      <c r="H27500" s="4" t="str">
        <v/>
      </c>
      <c r="I27500" s="4" t="str">
        <v/>
      </c>
    </row>
    <row r="27501" spans="5:9" ht="16.5" hidden="1">
      <c r="E27501" s="4" t="str">
        <v/>
      </c>
      <c r="F27501" s="102" t="str">
        <f ca="1">IFERROR(__xludf.DUMMYFUNCTION("IMPORTRANGE(H27501,""IDENTITAS UNIT!D9"")"),"#N/A")</f>
        <v>#N/A</v>
      </c>
      <c r="H27501" s="4" t="str">
        <v/>
      </c>
      <c r="I27501" s="4" t="str">
        <v/>
      </c>
    </row>
    <row r="27502" spans="5:9" ht="16.5" hidden="1">
      <c r="E27502" s="4" t="str">
        <v/>
      </c>
      <c r="F27502" s="102" t="str">
        <f ca="1">IFERROR(__xludf.DUMMYFUNCTION("IMPORTRANGE(H27502,""IDENTITAS UNIT!D9"")"),"#N/A")</f>
        <v>#N/A</v>
      </c>
      <c r="H27502" s="4" t="str">
        <v/>
      </c>
      <c r="I27502" s="4" t="str">
        <v/>
      </c>
    </row>
    <row r="27503" spans="5:9" ht="16.5" hidden="1">
      <c r="E27503" s="4" t="str">
        <v/>
      </c>
      <c r="F27503" s="102" t="str">
        <f ca="1">IFERROR(__xludf.DUMMYFUNCTION("IMPORTRANGE(H27503,""IDENTITAS UNIT!D9"")"),"#N/A")</f>
        <v>#N/A</v>
      </c>
      <c r="H27503" s="4" t="str">
        <v/>
      </c>
      <c r="I27503" s="4" t="str">
        <v/>
      </c>
    </row>
    <row r="27504" spans="5:9" ht="16.5" hidden="1">
      <c r="E27504" s="4" t="str">
        <v/>
      </c>
      <c r="F27504" s="102" t="str">
        <f ca="1">IFERROR(__xludf.DUMMYFUNCTION("IMPORTRANGE(H27504,""IDENTITAS UNIT!D9"")"),"#N/A")</f>
        <v>#N/A</v>
      </c>
      <c r="H27504" s="4" t="str">
        <v/>
      </c>
      <c r="I27504" s="4" t="str">
        <v/>
      </c>
    </row>
    <row r="27505" spans="5:9" ht="16.5" hidden="1">
      <c r="E27505" s="4" t="str">
        <v/>
      </c>
      <c r="F27505" s="102" t="str">
        <f ca="1">IFERROR(__xludf.DUMMYFUNCTION("IMPORTRANGE(H27505,""IDENTITAS UNIT!D9"")"),"#N/A")</f>
        <v>#N/A</v>
      </c>
      <c r="H27505" s="4" t="str">
        <v/>
      </c>
      <c r="I27505" s="4" t="str">
        <v/>
      </c>
    </row>
    <row r="27506" spans="5:9" ht="16.5" hidden="1">
      <c r="E27506" s="4" t="str">
        <v/>
      </c>
      <c r="F27506" s="102" t="str">
        <f ca="1">IFERROR(__xludf.DUMMYFUNCTION("IMPORTRANGE(H27506,""IDENTITAS UNIT!D9"")"),"#N/A")</f>
        <v>#N/A</v>
      </c>
      <c r="H27506" s="4" t="str">
        <v/>
      </c>
      <c r="I27506" s="4" t="str">
        <v/>
      </c>
    </row>
    <row r="27507" spans="5:9" ht="16.5" hidden="1">
      <c r="E27507" s="4" t="str">
        <v/>
      </c>
      <c r="F27507" s="102" t="str">
        <f ca="1">IFERROR(__xludf.DUMMYFUNCTION("IMPORTRANGE(H27507,""IDENTITAS UNIT!D9"")"),"#N/A")</f>
        <v>#N/A</v>
      </c>
      <c r="H27507" s="4" t="str">
        <v/>
      </c>
      <c r="I27507" s="4" t="str">
        <v/>
      </c>
    </row>
    <row r="27508" spans="5:9" ht="16.5" hidden="1">
      <c r="E27508" s="4" t="str">
        <v/>
      </c>
      <c r="F27508" s="102" t="str">
        <f ca="1">IFERROR(__xludf.DUMMYFUNCTION("IMPORTRANGE(H27508,""IDENTITAS UNIT!D9"")"),"#N/A")</f>
        <v>#N/A</v>
      </c>
      <c r="H27508" s="4" t="str">
        <v/>
      </c>
      <c r="I27508" s="4" t="str">
        <v/>
      </c>
    </row>
    <row r="27509" spans="5:9" ht="16.5" hidden="1">
      <c r="E27509" s="4" t="str">
        <v/>
      </c>
      <c r="F27509" s="102" t="str">
        <f ca="1">IFERROR(__xludf.DUMMYFUNCTION("IMPORTRANGE(H27509,""IDENTITAS UNIT!D9"")"),"#N/A")</f>
        <v>#N/A</v>
      </c>
      <c r="H27509" s="4" t="str">
        <v/>
      </c>
      <c r="I27509" s="4" t="str">
        <v/>
      </c>
    </row>
    <row r="27510" spans="5:9" ht="16.5" hidden="1">
      <c r="E27510" s="4" t="str">
        <v/>
      </c>
      <c r="F27510" s="102" t="str">
        <f ca="1">IFERROR(__xludf.DUMMYFUNCTION("IMPORTRANGE(H27510,""IDENTITAS UNIT!D9"")"),"#N/A")</f>
        <v>#N/A</v>
      </c>
      <c r="H27510" s="4" t="str">
        <v/>
      </c>
      <c r="I27510" s="4" t="str">
        <v/>
      </c>
    </row>
    <row r="27511" spans="5:9" ht="16.5" hidden="1">
      <c r="E27511" s="4" t="str">
        <v/>
      </c>
      <c r="F27511" s="102" t="str">
        <f ca="1">IFERROR(__xludf.DUMMYFUNCTION("IMPORTRANGE(H27511,""IDENTITAS UNIT!D9"")"),"#N/A")</f>
        <v>#N/A</v>
      </c>
      <c r="H27511" s="4" t="str">
        <v/>
      </c>
      <c r="I27511" s="4" t="str">
        <v/>
      </c>
    </row>
    <row r="27512" spans="5:9" ht="16.5" hidden="1">
      <c r="E27512" s="4" t="str">
        <v/>
      </c>
      <c r="F27512" s="102" t="str">
        <f ca="1">IFERROR(__xludf.DUMMYFUNCTION("IMPORTRANGE(H27512,""IDENTITAS UNIT!D9"")"),"#N/A")</f>
        <v>#N/A</v>
      </c>
      <c r="H27512" s="4" t="str">
        <v/>
      </c>
      <c r="I27512" s="4" t="str">
        <v/>
      </c>
    </row>
    <row r="27513" spans="5:9" ht="16.5" hidden="1">
      <c r="E27513" s="4" t="str">
        <v/>
      </c>
      <c r="F27513" s="102" t="str">
        <f ca="1">IFERROR(__xludf.DUMMYFUNCTION("IMPORTRANGE(H27513,""IDENTITAS UNIT!D9"")"),"#N/A")</f>
        <v>#N/A</v>
      </c>
      <c r="H27513" s="4" t="str">
        <v/>
      </c>
      <c r="I27513" s="4" t="str">
        <v/>
      </c>
    </row>
    <row r="27514" spans="5:9" ht="16.5" hidden="1">
      <c r="E27514" s="4" t="str">
        <v/>
      </c>
      <c r="F27514" s="102" t="str">
        <f ca="1">IFERROR(__xludf.DUMMYFUNCTION("IMPORTRANGE(H27514,""IDENTITAS UNIT!D9"")"),"#N/A")</f>
        <v>#N/A</v>
      </c>
      <c r="H27514" s="4" t="str">
        <v/>
      </c>
      <c r="I27514" s="4" t="str">
        <v/>
      </c>
    </row>
    <row r="27515" spans="5:9" ht="16.5" hidden="1">
      <c r="E27515" s="4" t="str">
        <v/>
      </c>
      <c r="F27515" s="102" t="str">
        <f ca="1">IFERROR(__xludf.DUMMYFUNCTION("IMPORTRANGE(H27515,""IDENTITAS UNIT!D9"")"),"#N/A")</f>
        <v>#N/A</v>
      </c>
      <c r="H27515" s="4" t="str">
        <v/>
      </c>
      <c r="I27515" s="4" t="str">
        <v/>
      </c>
    </row>
    <row r="27516" spans="5:9" ht="16.5" hidden="1">
      <c r="E27516" s="4" t="str">
        <v/>
      </c>
      <c r="F27516" s="102" t="str">
        <f ca="1">IFERROR(__xludf.DUMMYFUNCTION("IMPORTRANGE(H27516,""IDENTITAS UNIT!D9"")"),"#N/A")</f>
        <v>#N/A</v>
      </c>
      <c r="H27516" s="4" t="str">
        <v/>
      </c>
      <c r="I27516" s="4" t="str">
        <v/>
      </c>
    </row>
    <row r="27517" spans="5:9" ht="16.5" hidden="1">
      <c r="E27517" s="4" t="str">
        <v/>
      </c>
      <c r="F27517" s="102" t="str">
        <f ca="1">IFERROR(__xludf.DUMMYFUNCTION("IMPORTRANGE(H27517,""IDENTITAS UNIT!D9"")"),"#N/A")</f>
        <v>#N/A</v>
      </c>
      <c r="H27517" s="4" t="str">
        <v/>
      </c>
      <c r="I27517" s="4" t="str">
        <v/>
      </c>
    </row>
    <row r="27518" spans="5:9" ht="16.5" hidden="1">
      <c r="E27518" s="4" t="str">
        <v/>
      </c>
      <c r="F27518" s="102" t="str">
        <f ca="1">IFERROR(__xludf.DUMMYFUNCTION("IMPORTRANGE(H27518,""IDENTITAS UNIT!D9"")"),"#N/A")</f>
        <v>#N/A</v>
      </c>
      <c r="H27518" s="4" t="str">
        <v/>
      </c>
      <c r="I27518" s="4" t="str">
        <v/>
      </c>
    </row>
    <row r="27519" spans="5:9" ht="16.5" hidden="1">
      <c r="E27519" s="4" t="str">
        <v/>
      </c>
      <c r="F27519" s="102" t="str">
        <f ca="1">IFERROR(__xludf.DUMMYFUNCTION("IMPORTRANGE(H27519,""IDENTITAS UNIT!D9"")"),"#N/A")</f>
        <v>#N/A</v>
      </c>
      <c r="H27519" s="4" t="str">
        <v/>
      </c>
      <c r="I27519" s="4" t="str">
        <v/>
      </c>
    </row>
    <row r="27520" spans="5:9" ht="16.5" hidden="1">
      <c r="E27520" s="4" t="str">
        <v/>
      </c>
      <c r="F27520" s="102" t="str">
        <f ca="1">IFERROR(__xludf.DUMMYFUNCTION("IMPORTRANGE(H27520,""IDENTITAS UNIT!D9"")"),"#N/A")</f>
        <v>#N/A</v>
      </c>
      <c r="H27520" s="4" t="str">
        <v/>
      </c>
      <c r="I27520" s="4" t="str">
        <v/>
      </c>
    </row>
    <row r="27521" spans="5:9" ht="16.5" hidden="1">
      <c r="E27521" s="4" t="str">
        <v/>
      </c>
      <c r="F27521" s="102" t="str">
        <f ca="1">IFERROR(__xludf.DUMMYFUNCTION("IMPORTRANGE(H27521,""IDENTITAS UNIT!D9"")"),"#N/A")</f>
        <v>#N/A</v>
      </c>
      <c r="H27521" s="4" t="str">
        <v/>
      </c>
      <c r="I27521" s="4" t="str">
        <v/>
      </c>
    </row>
    <row r="27522" spans="5:9" ht="16.5" hidden="1">
      <c r="E27522" s="4" t="str">
        <v/>
      </c>
      <c r="F27522" s="102" t="str">
        <f ca="1">IFERROR(__xludf.DUMMYFUNCTION("IMPORTRANGE(H27522,""IDENTITAS UNIT!D9"")"),"#N/A")</f>
        <v>#N/A</v>
      </c>
      <c r="H27522" s="4" t="str">
        <v/>
      </c>
      <c r="I27522" s="4" t="str">
        <v/>
      </c>
    </row>
    <row r="27523" spans="5:9" ht="16.5" hidden="1">
      <c r="E27523" s="4" t="str">
        <v/>
      </c>
      <c r="F27523" s="102" t="str">
        <f ca="1">IFERROR(__xludf.DUMMYFUNCTION("IMPORTRANGE(H27523,""IDENTITAS UNIT!D9"")"),"#N/A")</f>
        <v>#N/A</v>
      </c>
      <c r="H27523" s="4" t="str">
        <v/>
      </c>
      <c r="I27523" s="4" t="str">
        <v/>
      </c>
    </row>
    <row r="27524" spans="5:9" ht="16.5" hidden="1">
      <c r="E27524" s="4" t="str">
        <v/>
      </c>
      <c r="F27524" s="102" t="str">
        <f ca="1">IFERROR(__xludf.DUMMYFUNCTION("IMPORTRANGE(H27524,""IDENTITAS UNIT!D9"")"),"#N/A")</f>
        <v>#N/A</v>
      </c>
      <c r="H27524" s="4" t="str">
        <v/>
      </c>
      <c r="I27524" s="4" t="str">
        <v/>
      </c>
    </row>
    <row r="27525" spans="5:9" ht="16.5" hidden="1">
      <c r="E27525" s="4" t="str">
        <v/>
      </c>
      <c r="F27525" s="102" t="str">
        <f ca="1">IFERROR(__xludf.DUMMYFUNCTION("IMPORTRANGE(H27525,""IDENTITAS UNIT!D9"")"),"#N/A")</f>
        <v>#N/A</v>
      </c>
      <c r="H27525" s="4" t="str">
        <v/>
      </c>
      <c r="I27525" s="4" t="str">
        <v/>
      </c>
    </row>
    <row r="27526" spans="5:9" ht="16.5" hidden="1">
      <c r="E27526" s="4" t="str">
        <v/>
      </c>
      <c r="F27526" s="102" t="str">
        <f ca="1">IFERROR(__xludf.DUMMYFUNCTION("IMPORTRANGE(H27526,""IDENTITAS UNIT!D9"")"),"#N/A")</f>
        <v>#N/A</v>
      </c>
      <c r="H27526" s="4" t="str">
        <v/>
      </c>
      <c r="I27526" s="4" t="str">
        <v/>
      </c>
    </row>
    <row r="27527" spans="5:9" ht="16.5" hidden="1">
      <c r="E27527" s="4" t="str">
        <v/>
      </c>
      <c r="F27527" s="102" t="str">
        <f ca="1">IFERROR(__xludf.DUMMYFUNCTION("IMPORTRANGE(H27527,""IDENTITAS UNIT!D9"")"),"#N/A")</f>
        <v>#N/A</v>
      </c>
      <c r="H27527" s="4" t="str">
        <v/>
      </c>
      <c r="I27527" s="4" t="str">
        <v/>
      </c>
    </row>
    <row r="27528" spans="5:9" ht="16.5" hidden="1">
      <c r="E27528" s="4" t="str">
        <v/>
      </c>
      <c r="F27528" s="102" t="str">
        <f ca="1">IFERROR(__xludf.DUMMYFUNCTION("IMPORTRANGE(H27528,""IDENTITAS UNIT!D9"")"),"#N/A")</f>
        <v>#N/A</v>
      </c>
      <c r="H27528" s="4" t="str">
        <v/>
      </c>
      <c r="I27528" s="4" t="str">
        <v/>
      </c>
    </row>
    <row r="27529" spans="5:9" ht="16.5" hidden="1">
      <c r="E27529" s="4" t="str">
        <v/>
      </c>
      <c r="F27529" s="102" t="str">
        <f ca="1">IFERROR(__xludf.DUMMYFUNCTION("IMPORTRANGE(H27529,""IDENTITAS UNIT!D9"")"),"#N/A")</f>
        <v>#N/A</v>
      </c>
      <c r="H27529" s="4" t="str">
        <v/>
      </c>
      <c r="I27529" s="4" t="str">
        <v/>
      </c>
    </row>
    <row r="27530" spans="5:9" ht="16.5" hidden="1">
      <c r="E27530" s="4" t="str">
        <v/>
      </c>
      <c r="F27530" s="102" t="str">
        <f ca="1">IFERROR(__xludf.DUMMYFUNCTION("IMPORTRANGE(H27530,""IDENTITAS UNIT!D9"")"),"#N/A")</f>
        <v>#N/A</v>
      </c>
      <c r="H27530" s="4" t="str">
        <v/>
      </c>
      <c r="I27530" s="4" t="str">
        <v/>
      </c>
    </row>
    <row r="27531" spans="5:9" ht="16.5" hidden="1">
      <c r="E27531" s="4" t="str">
        <v/>
      </c>
      <c r="F27531" s="102" t="str">
        <f ca="1">IFERROR(__xludf.DUMMYFUNCTION("IMPORTRANGE(H27531,""IDENTITAS UNIT!D9"")"),"#N/A")</f>
        <v>#N/A</v>
      </c>
      <c r="H27531" s="4" t="str">
        <v/>
      </c>
      <c r="I27531" s="4" t="str">
        <v/>
      </c>
    </row>
    <row r="27532" spans="5:9" ht="16.5" hidden="1">
      <c r="E27532" s="4" t="str">
        <v/>
      </c>
      <c r="F27532" s="102" t="str">
        <f ca="1">IFERROR(__xludf.DUMMYFUNCTION("IMPORTRANGE(H27532,""IDENTITAS UNIT!D9"")"),"#N/A")</f>
        <v>#N/A</v>
      </c>
      <c r="H27532" s="4" t="str">
        <v/>
      </c>
      <c r="I27532" s="4" t="str">
        <v/>
      </c>
    </row>
    <row r="27533" spans="5:9" ht="16.5" hidden="1">
      <c r="E27533" s="4" t="str">
        <v/>
      </c>
      <c r="F27533" s="102" t="str">
        <f ca="1">IFERROR(__xludf.DUMMYFUNCTION("IMPORTRANGE(H27533,""IDENTITAS UNIT!D9"")"),"#N/A")</f>
        <v>#N/A</v>
      </c>
      <c r="H27533" s="4" t="str">
        <v/>
      </c>
      <c r="I27533" s="4" t="str">
        <v/>
      </c>
    </row>
    <row r="27534" spans="5:9" ht="16.5" hidden="1">
      <c r="E27534" s="4" t="str">
        <v/>
      </c>
      <c r="F27534" s="102" t="str">
        <f ca="1">IFERROR(__xludf.DUMMYFUNCTION("IMPORTRANGE(H27534,""IDENTITAS UNIT!D9"")"),"#N/A")</f>
        <v>#N/A</v>
      </c>
      <c r="H27534" s="4" t="str">
        <v/>
      </c>
      <c r="I27534" s="4" t="str">
        <v/>
      </c>
    </row>
    <row r="27535" spans="5:9" ht="16.5" hidden="1">
      <c r="E27535" s="4" t="str">
        <v/>
      </c>
      <c r="F27535" s="102" t="str">
        <f ca="1">IFERROR(__xludf.DUMMYFUNCTION("IMPORTRANGE(H27535,""IDENTITAS UNIT!D9"")"),"#N/A")</f>
        <v>#N/A</v>
      </c>
      <c r="H27535" s="4" t="str">
        <v/>
      </c>
      <c r="I27535" s="4" t="str">
        <v/>
      </c>
    </row>
    <row r="27536" spans="5:9" ht="16.5" hidden="1">
      <c r="E27536" s="4" t="str">
        <v/>
      </c>
      <c r="F27536" s="102" t="str">
        <f ca="1">IFERROR(__xludf.DUMMYFUNCTION("IMPORTRANGE(H27536,""IDENTITAS UNIT!D9"")"),"#N/A")</f>
        <v>#N/A</v>
      </c>
      <c r="H27536" s="4" t="str">
        <v/>
      </c>
      <c r="I27536" s="4" t="str">
        <v/>
      </c>
    </row>
    <row r="27537" spans="5:9" ht="16.5" hidden="1">
      <c r="E27537" s="4" t="str">
        <v/>
      </c>
      <c r="F27537" s="102" t="str">
        <f ca="1">IFERROR(__xludf.DUMMYFUNCTION("IMPORTRANGE(H27537,""IDENTITAS UNIT!D9"")"),"#N/A")</f>
        <v>#N/A</v>
      </c>
      <c r="H27537" s="4" t="str">
        <v/>
      </c>
      <c r="I27537" s="4" t="str">
        <v/>
      </c>
    </row>
    <row r="27538" spans="5:9" ht="16.5" hidden="1">
      <c r="E27538" s="4" t="str">
        <v/>
      </c>
      <c r="F27538" s="102" t="str">
        <f ca="1">IFERROR(__xludf.DUMMYFUNCTION("IMPORTRANGE(H27538,""IDENTITAS UNIT!D9"")"),"#N/A")</f>
        <v>#N/A</v>
      </c>
      <c r="H27538" s="4" t="str">
        <v/>
      </c>
      <c r="I27538" s="4" t="str">
        <v/>
      </c>
    </row>
    <row r="27539" spans="5:9" ht="16.5" hidden="1">
      <c r="E27539" s="4" t="str">
        <v/>
      </c>
      <c r="F27539" s="102" t="str">
        <f ca="1">IFERROR(__xludf.DUMMYFUNCTION("IMPORTRANGE(H27539,""IDENTITAS UNIT!D9"")"),"#N/A")</f>
        <v>#N/A</v>
      </c>
      <c r="H27539" s="4" t="str">
        <v/>
      </c>
      <c r="I27539" s="4" t="str">
        <v/>
      </c>
    </row>
    <row r="27540" spans="5:9" ht="16.5" hidden="1">
      <c r="E27540" s="4" t="str">
        <v/>
      </c>
      <c r="F27540" s="102" t="str">
        <f ca="1">IFERROR(__xludf.DUMMYFUNCTION("IMPORTRANGE(H27540,""IDENTITAS UNIT!D9"")"),"#N/A")</f>
        <v>#N/A</v>
      </c>
      <c r="H27540" s="4" t="str">
        <v/>
      </c>
      <c r="I27540" s="4" t="str">
        <v/>
      </c>
    </row>
    <row r="27541" spans="5:9" ht="16.5" hidden="1">
      <c r="E27541" s="4" t="str">
        <v/>
      </c>
      <c r="F27541" s="102" t="str">
        <f ca="1">IFERROR(__xludf.DUMMYFUNCTION("IMPORTRANGE(H27541,""IDENTITAS UNIT!D9"")"),"#N/A")</f>
        <v>#N/A</v>
      </c>
      <c r="H27541" s="4" t="str">
        <v/>
      </c>
      <c r="I27541" s="4" t="str">
        <v/>
      </c>
    </row>
    <row r="27542" spans="5:9" ht="16.5" hidden="1">
      <c r="E27542" s="4" t="str">
        <v/>
      </c>
      <c r="F27542" s="102" t="str">
        <f ca="1">IFERROR(__xludf.DUMMYFUNCTION("IMPORTRANGE(H27542,""IDENTITAS UNIT!D9"")"),"#N/A")</f>
        <v>#N/A</v>
      </c>
      <c r="H27542" s="4" t="str">
        <v/>
      </c>
      <c r="I27542" s="4" t="str">
        <v/>
      </c>
    </row>
    <row r="27543" spans="5:9" ht="16.5" hidden="1">
      <c r="E27543" s="4" t="str">
        <v/>
      </c>
      <c r="F27543" s="102" t="str">
        <f ca="1">IFERROR(__xludf.DUMMYFUNCTION("IMPORTRANGE(H27543,""IDENTITAS UNIT!D9"")"),"#N/A")</f>
        <v>#N/A</v>
      </c>
      <c r="H27543" s="4" t="str">
        <v/>
      </c>
      <c r="I27543" s="4" t="str">
        <v/>
      </c>
    </row>
    <row r="27544" spans="5:9" ht="16.5" hidden="1">
      <c r="E27544" s="4" t="str">
        <v/>
      </c>
      <c r="F27544" s="102" t="str">
        <f ca="1">IFERROR(__xludf.DUMMYFUNCTION("IMPORTRANGE(H27544,""IDENTITAS UNIT!D9"")"),"#N/A")</f>
        <v>#N/A</v>
      </c>
      <c r="H27544" s="4" t="str">
        <v/>
      </c>
      <c r="I27544" s="4" t="str">
        <v/>
      </c>
    </row>
    <row r="27545" spans="5:9" ht="16.5" hidden="1">
      <c r="E27545" s="4" t="str">
        <v/>
      </c>
      <c r="F27545" s="102" t="str">
        <f ca="1">IFERROR(__xludf.DUMMYFUNCTION("IMPORTRANGE(H27545,""IDENTITAS UNIT!D9"")"),"#N/A")</f>
        <v>#N/A</v>
      </c>
      <c r="H27545" s="4" t="str">
        <v/>
      </c>
      <c r="I27545" s="4" t="str">
        <v/>
      </c>
    </row>
    <row r="27546" spans="5:9" ht="16.5" hidden="1">
      <c r="E27546" s="4" t="str">
        <v/>
      </c>
      <c r="F27546" s="102" t="str">
        <f ca="1">IFERROR(__xludf.DUMMYFUNCTION("IMPORTRANGE(H27546,""IDENTITAS UNIT!D9"")"),"#N/A")</f>
        <v>#N/A</v>
      </c>
      <c r="H27546" s="4" t="str">
        <v/>
      </c>
      <c r="I27546" s="4" t="str">
        <v/>
      </c>
    </row>
    <row r="27547" spans="5:9" ht="16.5" hidden="1">
      <c r="E27547" s="4" t="str">
        <v/>
      </c>
      <c r="F27547" s="102" t="str">
        <f ca="1">IFERROR(__xludf.DUMMYFUNCTION("IMPORTRANGE(H27547,""IDENTITAS UNIT!D9"")"),"#N/A")</f>
        <v>#N/A</v>
      </c>
      <c r="H27547" s="4" t="str">
        <v/>
      </c>
      <c r="I27547" s="4" t="str">
        <v/>
      </c>
    </row>
    <row r="27548" spans="5:9" ht="16.5" hidden="1">
      <c r="E27548" s="4" t="str">
        <v/>
      </c>
      <c r="F27548" s="102" t="str">
        <f ca="1">IFERROR(__xludf.DUMMYFUNCTION("IMPORTRANGE(H27548,""IDENTITAS UNIT!D9"")"),"#N/A")</f>
        <v>#N/A</v>
      </c>
      <c r="H27548" s="4" t="str">
        <v/>
      </c>
      <c r="I27548" s="4" t="str">
        <v/>
      </c>
    </row>
    <row r="27549" spans="5:9" ht="16.5" hidden="1">
      <c r="E27549" s="4" t="str">
        <v/>
      </c>
      <c r="F27549" s="102" t="str">
        <f ca="1">IFERROR(__xludf.DUMMYFUNCTION("IMPORTRANGE(H27549,""IDENTITAS UNIT!D9"")"),"#N/A")</f>
        <v>#N/A</v>
      </c>
      <c r="H27549" s="4" t="str">
        <v/>
      </c>
      <c r="I27549" s="4" t="str">
        <v/>
      </c>
    </row>
    <row r="27550" spans="5:9" ht="16.5" hidden="1">
      <c r="E27550" s="4" t="str">
        <v/>
      </c>
      <c r="F27550" s="102" t="str">
        <f ca="1">IFERROR(__xludf.DUMMYFUNCTION("IMPORTRANGE(H27550,""IDENTITAS UNIT!D9"")"),"#N/A")</f>
        <v>#N/A</v>
      </c>
      <c r="H27550" s="4" t="str">
        <v/>
      </c>
      <c r="I27550" s="4" t="str">
        <v/>
      </c>
    </row>
    <row r="27551" spans="5:9" ht="16.5" hidden="1">
      <c r="E27551" s="4" t="str">
        <v/>
      </c>
      <c r="F27551" s="102" t="str">
        <f ca="1">IFERROR(__xludf.DUMMYFUNCTION("IMPORTRANGE(H27551,""IDENTITAS UNIT!D9"")"),"#N/A")</f>
        <v>#N/A</v>
      </c>
      <c r="H27551" s="4" t="str">
        <v/>
      </c>
      <c r="I27551" s="4" t="str">
        <v/>
      </c>
    </row>
    <row r="27552" spans="5:9" ht="16.5" hidden="1">
      <c r="E27552" s="4" t="str">
        <v/>
      </c>
      <c r="F27552" s="102" t="str">
        <f ca="1">IFERROR(__xludf.DUMMYFUNCTION("IMPORTRANGE(H27552,""IDENTITAS UNIT!D9"")"),"#N/A")</f>
        <v>#N/A</v>
      </c>
      <c r="H27552" s="4" t="str">
        <v/>
      </c>
      <c r="I27552" s="4" t="str">
        <v/>
      </c>
    </row>
    <row r="27553" spans="5:9" ht="16.5" hidden="1">
      <c r="E27553" s="4" t="str">
        <v/>
      </c>
      <c r="F27553" s="102" t="str">
        <f ca="1">IFERROR(__xludf.DUMMYFUNCTION("IMPORTRANGE(H27553,""IDENTITAS UNIT!D9"")"),"#N/A")</f>
        <v>#N/A</v>
      </c>
      <c r="H27553" s="4" t="str">
        <v/>
      </c>
      <c r="I27553" s="4" t="str">
        <v/>
      </c>
    </row>
    <row r="27554" spans="5:9" ht="16.5" hidden="1">
      <c r="E27554" s="4" t="str">
        <v/>
      </c>
      <c r="F27554" s="102" t="str">
        <f ca="1">IFERROR(__xludf.DUMMYFUNCTION("IMPORTRANGE(H27554,""IDENTITAS UNIT!D9"")"),"#N/A")</f>
        <v>#N/A</v>
      </c>
      <c r="H27554" s="4" t="str">
        <v/>
      </c>
      <c r="I27554" s="4" t="str">
        <v/>
      </c>
    </row>
    <row r="27555" spans="5:9" ht="16.5" hidden="1">
      <c r="E27555" s="4" t="str">
        <v/>
      </c>
      <c r="F27555" s="102" t="str">
        <f ca="1">IFERROR(__xludf.DUMMYFUNCTION("IMPORTRANGE(H27555,""IDENTITAS UNIT!D9"")"),"#N/A")</f>
        <v>#N/A</v>
      </c>
      <c r="H27555" s="4" t="str">
        <v/>
      </c>
      <c r="I27555" s="4" t="str">
        <v/>
      </c>
    </row>
    <row r="27556" spans="5:9" ht="16.5" hidden="1">
      <c r="E27556" s="4" t="str">
        <v/>
      </c>
      <c r="F27556" s="102" t="str">
        <f ca="1">IFERROR(__xludf.DUMMYFUNCTION("IMPORTRANGE(H27556,""IDENTITAS UNIT!D9"")"),"#N/A")</f>
        <v>#N/A</v>
      </c>
      <c r="H27556" s="4" t="str">
        <v/>
      </c>
      <c r="I27556" s="4" t="str">
        <v/>
      </c>
    </row>
    <row r="27557" spans="5:9" ht="16.5" hidden="1">
      <c r="E27557" s="4" t="str">
        <v/>
      </c>
      <c r="F27557" s="102" t="str">
        <f ca="1">IFERROR(__xludf.DUMMYFUNCTION("IMPORTRANGE(H27557,""IDENTITAS UNIT!D9"")"),"#N/A")</f>
        <v>#N/A</v>
      </c>
      <c r="H27557" s="4" t="str">
        <v/>
      </c>
      <c r="I27557" s="4" t="str">
        <v/>
      </c>
    </row>
    <row r="27558" spans="5:9" ht="16.5" hidden="1">
      <c r="E27558" s="4" t="str">
        <v/>
      </c>
      <c r="F27558" s="102" t="str">
        <f ca="1">IFERROR(__xludf.DUMMYFUNCTION("IMPORTRANGE(H27558,""IDENTITAS UNIT!D9"")"),"#N/A")</f>
        <v>#N/A</v>
      </c>
      <c r="H27558" s="4" t="str">
        <v/>
      </c>
      <c r="I27558" s="4" t="str">
        <v/>
      </c>
    </row>
    <row r="27559" spans="5:9" ht="16.5" hidden="1">
      <c r="E27559" s="4" t="str">
        <v/>
      </c>
      <c r="F27559" s="102" t="str">
        <f ca="1">IFERROR(__xludf.DUMMYFUNCTION("IMPORTRANGE(H27559,""IDENTITAS UNIT!D9"")"),"#N/A")</f>
        <v>#N/A</v>
      </c>
      <c r="H27559" s="4" t="str">
        <v/>
      </c>
      <c r="I27559" s="4" t="str">
        <v/>
      </c>
    </row>
    <row r="27560" spans="5:9" ht="16.5" hidden="1">
      <c r="E27560" s="4" t="str">
        <v/>
      </c>
      <c r="F27560" s="102" t="str">
        <f ca="1">IFERROR(__xludf.DUMMYFUNCTION("IMPORTRANGE(H27560,""IDENTITAS UNIT!D9"")"),"#N/A")</f>
        <v>#N/A</v>
      </c>
      <c r="H27560" s="4" t="str">
        <v/>
      </c>
      <c r="I27560" s="4" t="str">
        <v/>
      </c>
    </row>
    <row r="27561" spans="5:9" ht="16.5" hidden="1">
      <c r="E27561" s="4" t="str">
        <v/>
      </c>
      <c r="F27561" s="102" t="str">
        <f ca="1">IFERROR(__xludf.DUMMYFUNCTION("IMPORTRANGE(H27561,""IDENTITAS UNIT!D9"")"),"#N/A")</f>
        <v>#N/A</v>
      </c>
      <c r="H27561" s="4" t="str">
        <v/>
      </c>
      <c r="I27561" s="4" t="str">
        <v/>
      </c>
    </row>
    <row r="27562" spans="5:9" ht="16.5" hidden="1">
      <c r="E27562" s="4" t="str">
        <v/>
      </c>
      <c r="F27562" s="102" t="str">
        <f ca="1">IFERROR(__xludf.DUMMYFUNCTION("IMPORTRANGE(H27562,""IDENTITAS UNIT!D9"")"),"#N/A")</f>
        <v>#N/A</v>
      </c>
      <c r="H27562" s="4" t="str">
        <v/>
      </c>
      <c r="I27562" s="4" t="str">
        <v/>
      </c>
    </row>
    <row r="27563" spans="5:9" ht="16.5" hidden="1">
      <c r="E27563" s="4" t="str">
        <v/>
      </c>
      <c r="F27563" s="102" t="str">
        <f ca="1">IFERROR(__xludf.DUMMYFUNCTION("IMPORTRANGE(H27563,""IDENTITAS UNIT!D9"")"),"#N/A")</f>
        <v>#N/A</v>
      </c>
      <c r="H27563" s="4" t="str">
        <v/>
      </c>
      <c r="I27563" s="4" t="str">
        <v/>
      </c>
    </row>
    <row r="27564" spans="5:9" ht="16.5" hidden="1">
      <c r="E27564" s="4" t="str">
        <v/>
      </c>
      <c r="F27564" s="102" t="str">
        <f ca="1">IFERROR(__xludf.DUMMYFUNCTION("IMPORTRANGE(H27564,""IDENTITAS UNIT!D9"")"),"#N/A")</f>
        <v>#N/A</v>
      </c>
      <c r="H27564" s="4" t="str">
        <v/>
      </c>
      <c r="I27564" s="4" t="str">
        <v/>
      </c>
    </row>
    <row r="27565" spans="5:9" ht="16.5" hidden="1">
      <c r="E27565" s="4" t="str">
        <v/>
      </c>
      <c r="F27565" s="102" t="str">
        <f ca="1">IFERROR(__xludf.DUMMYFUNCTION("IMPORTRANGE(H27565,""IDENTITAS UNIT!D9"")"),"#N/A")</f>
        <v>#N/A</v>
      </c>
      <c r="H27565" s="4" t="str">
        <v/>
      </c>
      <c r="I27565" s="4" t="str">
        <v/>
      </c>
    </row>
    <row r="27566" spans="5:9" ht="16.5" hidden="1">
      <c r="E27566" s="4" t="str">
        <v/>
      </c>
      <c r="F27566" s="102" t="str">
        <f ca="1">IFERROR(__xludf.DUMMYFUNCTION("IMPORTRANGE(H27566,""IDENTITAS UNIT!D9"")"),"#N/A")</f>
        <v>#N/A</v>
      </c>
      <c r="H27566" s="4" t="str">
        <v/>
      </c>
      <c r="I27566" s="4" t="str">
        <v/>
      </c>
    </row>
    <row r="27567" spans="5:9" ht="16.5" hidden="1">
      <c r="E27567" s="4" t="str">
        <v/>
      </c>
      <c r="F27567" s="102" t="str">
        <f ca="1">IFERROR(__xludf.DUMMYFUNCTION("IMPORTRANGE(H27567,""IDENTITAS UNIT!D9"")"),"#N/A")</f>
        <v>#N/A</v>
      </c>
      <c r="H27567" s="4" t="str">
        <v/>
      </c>
      <c r="I27567" s="4" t="str">
        <v/>
      </c>
    </row>
    <row r="27568" spans="5:9" ht="16.5" hidden="1">
      <c r="E27568" s="4" t="str">
        <v/>
      </c>
      <c r="F27568" s="102" t="str">
        <f ca="1">IFERROR(__xludf.DUMMYFUNCTION("IMPORTRANGE(H27568,""IDENTITAS UNIT!D9"")"),"#N/A")</f>
        <v>#N/A</v>
      </c>
      <c r="H27568" s="4" t="str">
        <v/>
      </c>
      <c r="I27568" s="4" t="str">
        <v/>
      </c>
    </row>
    <row r="27569" spans="5:9" ht="16.5" hidden="1">
      <c r="E27569" s="4" t="str">
        <v/>
      </c>
      <c r="F27569" s="102" t="str">
        <f ca="1">IFERROR(__xludf.DUMMYFUNCTION("IMPORTRANGE(H27569,""IDENTITAS UNIT!D9"")"),"#N/A")</f>
        <v>#N/A</v>
      </c>
      <c r="H27569" s="4" t="str">
        <v/>
      </c>
      <c r="I27569" s="4" t="str">
        <v/>
      </c>
    </row>
    <row r="27570" spans="5:9" ht="16.5" hidden="1">
      <c r="E27570" s="4" t="str">
        <v/>
      </c>
      <c r="F27570" s="102" t="str">
        <f ca="1">IFERROR(__xludf.DUMMYFUNCTION("IMPORTRANGE(H27570,""IDENTITAS UNIT!D9"")"),"#N/A")</f>
        <v>#N/A</v>
      </c>
      <c r="H27570" s="4" t="str">
        <v/>
      </c>
      <c r="I27570" s="4" t="str">
        <v/>
      </c>
    </row>
    <row r="27571" spans="5:9" ht="16.5" hidden="1">
      <c r="E27571" s="4" t="str">
        <v/>
      </c>
      <c r="F27571" s="102" t="str">
        <f ca="1">IFERROR(__xludf.DUMMYFUNCTION("IMPORTRANGE(H27571,""IDENTITAS UNIT!D9"")"),"#N/A")</f>
        <v>#N/A</v>
      </c>
      <c r="H27571" s="4" t="str">
        <v/>
      </c>
      <c r="I27571" s="4" t="str">
        <v/>
      </c>
    </row>
    <row r="27572" spans="5:9" ht="16.5" hidden="1">
      <c r="E27572" s="4" t="str">
        <v/>
      </c>
      <c r="F27572" s="102" t="str">
        <f ca="1">IFERROR(__xludf.DUMMYFUNCTION("IMPORTRANGE(H27572,""IDENTITAS UNIT!D9"")"),"#N/A")</f>
        <v>#N/A</v>
      </c>
      <c r="H27572" s="4" t="str">
        <v/>
      </c>
      <c r="I27572" s="4" t="str">
        <v/>
      </c>
    </row>
    <row r="27573" spans="5:9" ht="16.5" hidden="1">
      <c r="E27573" s="4" t="str">
        <v/>
      </c>
      <c r="F27573" s="102" t="str">
        <f ca="1">IFERROR(__xludf.DUMMYFUNCTION("IMPORTRANGE(H27573,""IDENTITAS UNIT!D9"")"),"#N/A")</f>
        <v>#N/A</v>
      </c>
      <c r="H27573" s="4" t="str">
        <v/>
      </c>
      <c r="I27573" s="4" t="str">
        <v/>
      </c>
    </row>
    <row r="27574" spans="5:9" ht="16.5" hidden="1">
      <c r="E27574" s="4" t="str">
        <v/>
      </c>
      <c r="F27574" s="102" t="str">
        <f ca="1">IFERROR(__xludf.DUMMYFUNCTION("IMPORTRANGE(H27574,""IDENTITAS UNIT!D9"")"),"#N/A")</f>
        <v>#N/A</v>
      </c>
      <c r="H27574" s="4" t="str">
        <v/>
      </c>
      <c r="I27574" s="4" t="str">
        <v/>
      </c>
    </row>
    <row r="27575" spans="5:9" ht="16.5" hidden="1">
      <c r="E27575" s="4" t="str">
        <v/>
      </c>
      <c r="F27575" s="102" t="str">
        <f ca="1">IFERROR(__xludf.DUMMYFUNCTION("IMPORTRANGE(H27575,""IDENTITAS UNIT!D9"")"),"#N/A")</f>
        <v>#N/A</v>
      </c>
      <c r="H27575" s="4" t="str">
        <v/>
      </c>
      <c r="I27575" s="4" t="str">
        <v/>
      </c>
    </row>
    <row r="27576" spans="5:9" ht="16.5" hidden="1">
      <c r="E27576" s="4" t="str">
        <v/>
      </c>
      <c r="F27576" s="102" t="str">
        <f ca="1">IFERROR(__xludf.DUMMYFUNCTION("IMPORTRANGE(H27576,""IDENTITAS UNIT!D9"")"),"#N/A")</f>
        <v>#N/A</v>
      </c>
      <c r="H27576" s="4" t="str">
        <v/>
      </c>
      <c r="I27576" s="4" t="str">
        <v/>
      </c>
    </row>
    <row r="27577" spans="5:9" ht="16.5" hidden="1">
      <c r="E27577" s="4" t="str">
        <v/>
      </c>
      <c r="F27577" s="102" t="str">
        <f ca="1">IFERROR(__xludf.DUMMYFUNCTION("IMPORTRANGE(H27577,""IDENTITAS UNIT!D9"")"),"#N/A")</f>
        <v>#N/A</v>
      </c>
      <c r="H27577" s="4" t="str">
        <v/>
      </c>
      <c r="I27577" s="4" t="str">
        <v/>
      </c>
    </row>
    <row r="27578" spans="5:9" ht="16.5" hidden="1">
      <c r="E27578" s="4" t="str">
        <v/>
      </c>
      <c r="F27578" s="102" t="str">
        <f ca="1">IFERROR(__xludf.DUMMYFUNCTION("IMPORTRANGE(H27578,""IDENTITAS UNIT!D9"")"),"#N/A")</f>
        <v>#N/A</v>
      </c>
      <c r="H27578" s="4" t="str">
        <v/>
      </c>
      <c r="I27578" s="4" t="str">
        <v/>
      </c>
    </row>
    <row r="27579" spans="5:9" ht="16.5" hidden="1">
      <c r="E27579" s="4" t="str">
        <v/>
      </c>
      <c r="F27579" s="102" t="str">
        <f ca="1">IFERROR(__xludf.DUMMYFUNCTION("IMPORTRANGE(H27579,""IDENTITAS UNIT!D9"")"),"#N/A")</f>
        <v>#N/A</v>
      </c>
      <c r="H27579" s="4" t="str">
        <v/>
      </c>
      <c r="I27579" s="4" t="str">
        <v/>
      </c>
    </row>
    <row r="27580" spans="5:9" ht="16.5" hidden="1">
      <c r="E27580" s="4" t="str">
        <v/>
      </c>
      <c r="F27580" s="102" t="str">
        <f ca="1">IFERROR(__xludf.DUMMYFUNCTION("IMPORTRANGE(H27580,""IDENTITAS UNIT!D9"")"),"#N/A")</f>
        <v>#N/A</v>
      </c>
      <c r="H27580" s="4" t="str">
        <v/>
      </c>
      <c r="I27580" s="4" t="str">
        <v/>
      </c>
    </row>
    <row r="27581" spans="5:9" ht="16.5" hidden="1">
      <c r="E27581" s="4" t="str">
        <v/>
      </c>
      <c r="F27581" s="102" t="str">
        <f ca="1">IFERROR(__xludf.DUMMYFUNCTION("IMPORTRANGE(H27581,""IDENTITAS UNIT!D9"")"),"#N/A")</f>
        <v>#N/A</v>
      </c>
      <c r="H27581" s="4" t="str">
        <v/>
      </c>
      <c r="I27581" s="4" t="str">
        <v/>
      </c>
    </row>
    <row r="27582" spans="5:9" ht="16.5" hidden="1">
      <c r="E27582" s="4" t="str">
        <v/>
      </c>
      <c r="F27582" s="102" t="str">
        <f ca="1">IFERROR(__xludf.DUMMYFUNCTION("IMPORTRANGE(H27582,""IDENTITAS UNIT!D9"")"),"#N/A")</f>
        <v>#N/A</v>
      </c>
      <c r="H27582" s="4" t="str">
        <v/>
      </c>
      <c r="I27582" s="4" t="str">
        <v/>
      </c>
    </row>
    <row r="27583" spans="5:9" ht="16.5" hidden="1">
      <c r="E27583" s="4" t="str">
        <v/>
      </c>
      <c r="F27583" s="102" t="str">
        <f ca="1">IFERROR(__xludf.DUMMYFUNCTION("IMPORTRANGE(H27583,""IDENTITAS UNIT!D9"")"),"#N/A")</f>
        <v>#N/A</v>
      </c>
      <c r="H27583" s="4" t="str">
        <v/>
      </c>
      <c r="I27583" s="4" t="str">
        <v/>
      </c>
    </row>
    <row r="27584" spans="5:9" ht="16.5" hidden="1">
      <c r="E27584" s="4" t="str">
        <v/>
      </c>
      <c r="F27584" s="102" t="str">
        <f ca="1">IFERROR(__xludf.DUMMYFUNCTION("IMPORTRANGE(H27584,""IDENTITAS UNIT!D9"")"),"#N/A")</f>
        <v>#N/A</v>
      </c>
      <c r="H27584" s="4" t="str">
        <v/>
      </c>
      <c r="I27584" s="4" t="str">
        <v/>
      </c>
    </row>
    <row r="27585" spans="5:9" ht="16.5" hidden="1">
      <c r="E27585" s="4" t="str">
        <v/>
      </c>
      <c r="F27585" s="102" t="str">
        <f ca="1">IFERROR(__xludf.DUMMYFUNCTION("IMPORTRANGE(H27585,""IDENTITAS UNIT!D9"")"),"#N/A")</f>
        <v>#N/A</v>
      </c>
      <c r="H27585" s="4" t="str">
        <v/>
      </c>
      <c r="I27585" s="4" t="str">
        <v/>
      </c>
    </row>
    <row r="27586" spans="5:9" ht="16.5" hidden="1">
      <c r="E27586" s="4" t="str">
        <v/>
      </c>
      <c r="F27586" s="102" t="str">
        <f ca="1">IFERROR(__xludf.DUMMYFUNCTION("IMPORTRANGE(H27586,""IDENTITAS UNIT!D9"")"),"#N/A")</f>
        <v>#N/A</v>
      </c>
      <c r="H27586" s="4" t="str">
        <v/>
      </c>
      <c r="I27586" s="4" t="str">
        <v/>
      </c>
    </row>
    <row r="27587" spans="5:9" ht="16.5" hidden="1">
      <c r="E27587" s="4" t="str">
        <v/>
      </c>
      <c r="F27587" s="102" t="str">
        <f ca="1">IFERROR(__xludf.DUMMYFUNCTION("IMPORTRANGE(H27587,""IDENTITAS UNIT!D9"")"),"#N/A")</f>
        <v>#N/A</v>
      </c>
      <c r="H27587" s="4" t="str">
        <v/>
      </c>
      <c r="I27587" s="4" t="str">
        <v/>
      </c>
    </row>
    <row r="27588" spans="5:9" ht="16.5" hidden="1">
      <c r="E27588" s="4" t="str">
        <v/>
      </c>
      <c r="F27588" s="102" t="str">
        <f ca="1">IFERROR(__xludf.DUMMYFUNCTION("IMPORTRANGE(H27588,""IDENTITAS UNIT!D9"")"),"#N/A")</f>
        <v>#N/A</v>
      </c>
      <c r="H27588" s="4" t="str">
        <v/>
      </c>
      <c r="I27588" s="4" t="str">
        <v/>
      </c>
    </row>
    <row r="27589" spans="5:9" ht="16.5" hidden="1">
      <c r="E27589" s="4" t="str">
        <v/>
      </c>
      <c r="F27589" s="102" t="str">
        <f ca="1">IFERROR(__xludf.DUMMYFUNCTION("IMPORTRANGE(H27589,""IDENTITAS UNIT!D9"")"),"#N/A")</f>
        <v>#N/A</v>
      </c>
      <c r="H27589" s="4" t="str">
        <v/>
      </c>
      <c r="I27589" s="4" t="str">
        <v/>
      </c>
    </row>
    <row r="27590" spans="5:9" ht="16.5" hidden="1">
      <c r="E27590" s="4" t="str">
        <v/>
      </c>
      <c r="F27590" s="102" t="str">
        <f ca="1">IFERROR(__xludf.DUMMYFUNCTION("IMPORTRANGE(H27590,""IDENTITAS UNIT!D9"")"),"#N/A")</f>
        <v>#N/A</v>
      </c>
      <c r="H27590" s="4" t="str">
        <v/>
      </c>
      <c r="I27590" s="4" t="str">
        <v/>
      </c>
    </row>
    <row r="27591" spans="5:9" ht="16.5" hidden="1">
      <c r="E27591" s="4" t="str">
        <v/>
      </c>
      <c r="F27591" s="102" t="str">
        <f ca="1">IFERROR(__xludf.DUMMYFUNCTION("IMPORTRANGE(H27591,""IDENTITAS UNIT!D9"")"),"#N/A")</f>
        <v>#N/A</v>
      </c>
      <c r="H27591" s="4" t="str">
        <v/>
      </c>
      <c r="I27591" s="4" t="str">
        <v/>
      </c>
    </row>
    <row r="27592" spans="5:9" ht="16.5" hidden="1">
      <c r="E27592" s="4" t="str">
        <v/>
      </c>
      <c r="F27592" s="102" t="str">
        <f ca="1">IFERROR(__xludf.DUMMYFUNCTION("IMPORTRANGE(H27592,""IDENTITAS UNIT!D9"")"),"#N/A")</f>
        <v>#N/A</v>
      </c>
      <c r="H27592" s="4" t="str">
        <v/>
      </c>
      <c r="I27592" s="4" t="str">
        <v/>
      </c>
    </row>
    <row r="27593" spans="5:9" ht="16.5" hidden="1">
      <c r="E27593" s="4" t="str">
        <v/>
      </c>
      <c r="F27593" s="102" t="str">
        <f ca="1">IFERROR(__xludf.DUMMYFUNCTION("IMPORTRANGE(H27593,""IDENTITAS UNIT!D9"")"),"#N/A")</f>
        <v>#N/A</v>
      </c>
      <c r="H27593" s="4" t="str">
        <v/>
      </c>
      <c r="I27593" s="4" t="str">
        <v/>
      </c>
    </row>
    <row r="27594" spans="5:9" ht="16.5" hidden="1">
      <c r="E27594" s="4" t="str">
        <v/>
      </c>
      <c r="F27594" s="102" t="str">
        <f ca="1">IFERROR(__xludf.DUMMYFUNCTION("IMPORTRANGE(H27594,""IDENTITAS UNIT!D9"")"),"#N/A")</f>
        <v>#N/A</v>
      </c>
      <c r="H27594" s="4" t="str">
        <v/>
      </c>
      <c r="I27594" s="4" t="str">
        <v/>
      </c>
    </row>
    <row r="27595" spans="5:9" ht="16.5" hidden="1">
      <c r="E27595" s="4" t="str">
        <v/>
      </c>
      <c r="F27595" s="102" t="str">
        <f ca="1">IFERROR(__xludf.DUMMYFUNCTION("IMPORTRANGE(H27595,""IDENTITAS UNIT!D9"")"),"#N/A")</f>
        <v>#N/A</v>
      </c>
      <c r="H27595" s="4" t="str">
        <v/>
      </c>
      <c r="I27595" s="4" t="str">
        <v/>
      </c>
    </row>
    <row r="27596" spans="5:9" ht="16.5" hidden="1">
      <c r="E27596" s="4" t="str">
        <v/>
      </c>
      <c r="F27596" s="102" t="str">
        <f ca="1">IFERROR(__xludf.DUMMYFUNCTION("IMPORTRANGE(H27596,""IDENTITAS UNIT!D9"")"),"#N/A")</f>
        <v>#N/A</v>
      </c>
      <c r="H27596" s="4" t="str">
        <v/>
      </c>
      <c r="I27596" s="4" t="str">
        <v/>
      </c>
    </row>
    <row r="27597" spans="5:9" ht="16.5" hidden="1">
      <c r="E27597" s="4" t="str">
        <v/>
      </c>
      <c r="F27597" s="102" t="str">
        <f ca="1">IFERROR(__xludf.DUMMYFUNCTION("IMPORTRANGE(H27597,""IDENTITAS UNIT!D9"")"),"#N/A")</f>
        <v>#N/A</v>
      </c>
      <c r="H27597" s="4" t="str">
        <v/>
      </c>
      <c r="I27597" s="4" t="str">
        <v/>
      </c>
    </row>
    <row r="27598" spans="5:9" ht="16.5" hidden="1">
      <c r="E27598" s="4" t="str">
        <v/>
      </c>
      <c r="F27598" s="102" t="str">
        <f ca="1">IFERROR(__xludf.DUMMYFUNCTION("IMPORTRANGE(H27598,""IDENTITAS UNIT!D9"")"),"#N/A")</f>
        <v>#N/A</v>
      </c>
      <c r="H27598" s="4" t="str">
        <v/>
      </c>
      <c r="I27598" s="4" t="str">
        <v/>
      </c>
    </row>
    <row r="27599" spans="5:9" ht="16.5" hidden="1">
      <c r="E27599" s="4" t="str">
        <v/>
      </c>
      <c r="F27599" s="102" t="str">
        <f ca="1">IFERROR(__xludf.DUMMYFUNCTION("IMPORTRANGE(H27599,""IDENTITAS UNIT!D9"")"),"#N/A")</f>
        <v>#N/A</v>
      </c>
      <c r="H27599" s="4" t="str">
        <v/>
      </c>
      <c r="I27599" s="4" t="str">
        <v/>
      </c>
    </row>
    <row r="27600" spans="5:9" ht="16.5" hidden="1">
      <c r="E27600" s="4" t="str">
        <v/>
      </c>
      <c r="F27600" s="102" t="str">
        <f ca="1">IFERROR(__xludf.DUMMYFUNCTION("IMPORTRANGE(H27600,""IDENTITAS UNIT!D9"")"),"#N/A")</f>
        <v>#N/A</v>
      </c>
      <c r="H27600" s="4" t="str">
        <v/>
      </c>
      <c r="I27600" s="4" t="str">
        <v/>
      </c>
    </row>
    <row r="27601" spans="5:9" ht="16.5" hidden="1">
      <c r="E27601" s="4" t="str">
        <v/>
      </c>
      <c r="F27601" s="102" t="str">
        <f ca="1">IFERROR(__xludf.DUMMYFUNCTION("IMPORTRANGE(H27601,""IDENTITAS UNIT!D9"")"),"#N/A")</f>
        <v>#N/A</v>
      </c>
      <c r="H27601" s="4" t="str">
        <v/>
      </c>
      <c r="I27601" s="4" t="str">
        <v/>
      </c>
    </row>
    <row r="27602" spans="5:9" ht="16.5" hidden="1">
      <c r="E27602" s="4" t="str">
        <v/>
      </c>
      <c r="F27602" s="102" t="str">
        <f ca="1">IFERROR(__xludf.DUMMYFUNCTION("IMPORTRANGE(H27602,""IDENTITAS UNIT!D9"")"),"#N/A")</f>
        <v>#N/A</v>
      </c>
      <c r="H27602" s="4" t="str">
        <v/>
      </c>
      <c r="I27602" s="4" t="str">
        <v/>
      </c>
    </row>
    <row r="27603" spans="5:9" ht="16.5" hidden="1">
      <c r="E27603" s="4" t="str">
        <v/>
      </c>
      <c r="F27603" s="102" t="str">
        <f ca="1">IFERROR(__xludf.DUMMYFUNCTION("IMPORTRANGE(H27603,""IDENTITAS UNIT!D9"")"),"#N/A")</f>
        <v>#N/A</v>
      </c>
      <c r="H27603" s="4" t="str">
        <v/>
      </c>
      <c r="I27603" s="4" t="str">
        <v/>
      </c>
    </row>
    <row r="27604" spans="5:9" ht="16.5" hidden="1">
      <c r="E27604" s="4" t="str">
        <v/>
      </c>
      <c r="F27604" s="102" t="str">
        <f ca="1">IFERROR(__xludf.DUMMYFUNCTION("IMPORTRANGE(H27604,""IDENTITAS UNIT!D9"")"),"#N/A")</f>
        <v>#N/A</v>
      </c>
      <c r="H27604" s="4" t="str">
        <v/>
      </c>
      <c r="I27604" s="4" t="str">
        <v/>
      </c>
    </row>
    <row r="27605" spans="5:9" ht="16.5" hidden="1">
      <c r="E27605" s="4" t="str">
        <v/>
      </c>
      <c r="F27605" s="102" t="str">
        <f ca="1">IFERROR(__xludf.DUMMYFUNCTION("IMPORTRANGE(H27605,""IDENTITAS UNIT!D9"")"),"#N/A")</f>
        <v>#N/A</v>
      </c>
      <c r="H27605" s="4" t="str">
        <v/>
      </c>
      <c r="I27605" s="4" t="str">
        <v/>
      </c>
    </row>
    <row r="27606" spans="5:9" ht="16.5" hidden="1">
      <c r="E27606" s="4" t="str">
        <v/>
      </c>
      <c r="F27606" s="102" t="str">
        <f ca="1">IFERROR(__xludf.DUMMYFUNCTION("IMPORTRANGE(H27606,""IDENTITAS UNIT!D9"")"),"#N/A")</f>
        <v>#N/A</v>
      </c>
      <c r="H27606" s="4" t="str">
        <v/>
      </c>
      <c r="I27606" s="4" t="str">
        <v/>
      </c>
    </row>
    <row r="27607" spans="5:9" ht="16.5" hidden="1">
      <c r="E27607" s="4" t="str">
        <v/>
      </c>
      <c r="F27607" s="102" t="str">
        <f ca="1">IFERROR(__xludf.DUMMYFUNCTION("IMPORTRANGE(H27607,""IDENTITAS UNIT!D9"")"),"#N/A")</f>
        <v>#N/A</v>
      </c>
      <c r="H27607" s="4" t="str">
        <v/>
      </c>
      <c r="I27607" s="4" t="str">
        <v/>
      </c>
    </row>
    <row r="27608" spans="5:9" ht="16.5" hidden="1">
      <c r="E27608" s="4" t="str">
        <v/>
      </c>
      <c r="F27608" s="102" t="str">
        <f ca="1">IFERROR(__xludf.DUMMYFUNCTION("IMPORTRANGE(H27608,""IDENTITAS UNIT!D9"")"),"#N/A")</f>
        <v>#N/A</v>
      </c>
      <c r="H27608" s="4" t="str">
        <v/>
      </c>
      <c r="I27608" s="4" t="str">
        <v/>
      </c>
    </row>
    <row r="27609" spans="5:9" ht="16.5" hidden="1">
      <c r="E27609" s="4" t="str">
        <v/>
      </c>
      <c r="F27609" s="102" t="str">
        <f ca="1">IFERROR(__xludf.DUMMYFUNCTION("IMPORTRANGE(H27609,""IDENTITAS UNIT!D9"")"),"#N/A")</f>
        <v>#N/A</v>
      </c>
      <c r="H27609" s="4" t="str">
        <v/>
      </c>
      <c r="I27609" s="4" t="str">
        <v/>
      </c>
    </row>
    <row r="27610" spans="5:9" ht="16.5" hidden="1">
      <c r="E27610" s="4" t="str">
        <v/>
      </c>
      <c r="F27610" s="102" t="str">
        <f ca="1">IFERROR(__xludf.DUMMYFUNCTION("IMPORTRANGE(H27610,""IDENTITAS UNIT!D9"")"),"#N/A")</f>
        <v>#N/A</v>
      </c>
      <c r="H27610" s="4" t="str">
        <v/>
      </c>
      <c r="I27610" s="4" t="str">
        <v/>
      </c>
    </row>
    <row r="27611" spans="5:9" ht="16.5" hidden="1">
      <c r="E27611" s="4" t="str">
        <v/>
      </c>
      <c r="F27611" s="102" t="str">
        <f ca="1">IFERROR(__xludf.DUMMYFUNCTION("IMPORTRANGE(H27611,""IDENTITAS UNIT!D9"")"),"#N/A")</f>
        <v>#N/A</v>
      </c>
      <c r="H27611" s="4" t="str">
        <v/>
      </c>
      <c r="I27611" s="4" t="str">
        <v/>
      </c>
    </row>
    <row r="27612" spans="5:9" ht="16.5" hidden="1">
      <c r="E27612" s="4" t="str">
        <v/>
      </c>
      <c r="F27612" s="102" t="str">
        <f ca="1">IFERROR(__xludf.DUMMYFUNCTION("IMPORTRANGE(H27612,""IDENTITAS UNIT!D9"")"),"#N/A")</f>
        <v>#N/A</v>
      </c>
      <c r="H27612" s="4" t="str">
        <v/>
      </c>
      <c r="I27612" s="4" t="str">
        <v/>
      </c>
    </row>
    <row r="27613" spans="5:9" ht="16.5" hidden="1">
      <c r="E27613" s="4" t="str">
        <v/>
      </c>
      <c r="F27613" s="102" t="str">
        <f ca="1">IFERROR(__xludf.DUMMYFUNCTION("IMPORTRANGE(H27613,""IDENTITAS UNIT!D9"")"),"#N/A")</f>
        <v>#N/A</v>
      </c>
      <c r="H27613" s="4" t="str">
        <v/>
      </c>
      <c r="I27613" s="4" t="str">
        <v/>
      </c>
    </row>
    <row r="27614" spans="5:9" ht="16.5" hidden="1">
      <c r="E27614" s="4" t="str">
        <v/>
      </c>
      <c r="F27614" s="102" t="str">
        <f ca="1">IFERROR(__xludf.DUMMYFUNCTION("IMPORTRANGE(H27614,""IDENTITAS UNIT!D9"")"),"#N/A")</f>
        <v>#N/A</v>
      </c>
      <c r="H27614" s="4" t="str">
        <v/>
      </c>
      <c r="I27614" s="4" t="str">
        <v/>
      </c>
    </row>
    <row r="27615" spans="5:9" ht="16.5" hidden="1">
      <c r="E27615" s="4" t="str">
        <v/>
      </c>
      <c r="F27615" s="102" t="str">
        <f ca="1">IFERROR(__xludf.DUMMYFUNCTION("IMPORTRANGE(H27615,""IDENTITAS UNIT!D9"")"),"#N/A")</f>
        <v>#N/A</v>
      </c>
      <c r="H27615" s="4" t="str">
        <v/>
      </c>
      <c r="I27615" s="4" t="str">
        <v/>
      </c>
    </row>
    <row r="27616" spans="5:9" ht="16.5" hidden="1">
      <c r="E27616" s="4" t="str">
        <v/>
      </c>
      <c r="F27616" s="102" t="str">
        <f ca="1">IFERROR(__xludf.DUMMYFUNCTION("IMPORTRANGE(H27616,""IDENTITAS UNIT!D9"")"),"#N/A")</f>
        <v>#N/A</v>
      </c>
      <c r="H27616" s="4" t="str">
        <v/>
      </c>
      <c r="I27616" s="4" t="str">
        <v/>
      </c>
    </row>
    <row r="27617" spans="5:9" ht="16.5" hidden="1">
      <c r="E27617" s="4" t="str">
        <v/>
      </c>
      <c r="F27617" s="102" t="str">
        <f ca="1">IFERROR(__xludf.DUMMYFUNCTION("IMPORTRANGE(H27617,""IDENTITAS UNIT!D9"")"),"#N/A")</f>
        <v>#N/A</v>
      </c>
      <c r="H27617" s="4" t="str">
        <v/>
      </c>
      <c r="I27617" s="4" t="str">
        <v/>
      </c>
    </row>
    <row r="27618" spans="5:9" ht="16.5" hidden="1">
      <c r="E27618" s="4" t="str">
        <v/>
      </c>
      <c r="F27618" s="102" t="str">
        <f ca="1">IFERROR(__xludf.DUMMYFUNCTION("IMPORTRANGE(H27618,""IDENTITAS UNIT!D9"")"),"#N/A")</f>
        <v>#N/A</v>
      </c>
      <c r="H27618" s="4" t="str">
        <v/>
      </c>
      <c r="I27618" s="4" t="str">
        <v/>
      </c>
    </row>
    <row r="27619" spans="5:9" ht="16.5" hidden="1">
      <c r="E27619" s="4" t="str">
        <v/>
      </c>
      <c r="F27619" s="102" t="str">
        <f ca="1">IFERROR(__xludf.DUMMYFUNCTION("IMPORTRANGE(H27619,""IDENTITAS UNIT!D9"")"),"#N/A")</f>
        <v>#N/A</v>
      </c>
      <c r="H27619" s="4" t="str">
        <v/>
      </c>
      <c r="I27619" s="4" t="str">
        <v/>
      </c>
    </row>
    <row r="27620" spans="5:9" ht="16.5" hidden="1">
      <c r="E27620" s="4" t="str">
        <v/>
      </c>
      <c r="F27620" s="102" t="str">
        <f ca="1">IFERROR(__xludf.DUMMYFUNCTION("IMPORTRANGE(H27620,""IDENTITAS UNIT!D9"")"),"#N/A")</f>
        <v>#N/A</v>
      </c>
      <c r="H27620" s="4" t="str">
        <v/>
      </c>
      <c r="I27620" s="4" t="str">
        <v/>
      </c>
    </row>
    <row r="27621" spans="5:9" ht="16.5" hidden="1">
      <c r="E27621" s="4" t="str">
        <v/>
      </c>
      <c r="F27621" s="102" t="str">
        <f ca="1">IFERROR(__xludf.DUMMYFUNCTION("IMPORTRANGE(H27621,""IDENTITAS UNIT!D9"")"),"#N/A")</f>
        <v>#N/A</v>
      </c>
      <c r="H27621" s="4" t="str">
        <v/>
      </c>
      <c r="I27621" s="4" t="str">
        <v/>
      </c>
    </row>
    <row r="27622" spans="5:9" ht="16.5" hidden="1">
      <c r="E27622" s="4" t="str">
        <v/>
      </c>
      <c r="F27622" s="102" t="str">
        <f ca="1">IFERROR(__xludf.DUMMYFUNCTION("IMPORTRANGE(H27622,""IDENTITAS UNIT!D9"")"),"#N/A")</f>
        <v>#N/A</v>
      </c>
      <c r="H27622" s="4" t="str">
        <v/>
      </c>
      <c r="I27622" s="4" t="str">
        <v/>
      </c>
    </row>
    <row r="27623" spans="5:9" ht="16.5" hidden="1">
      <c r="E27623" s="4" t="str">
        <v/>
      </c>
      <c r="F27623" s="102" t="str">
        <f ca="1">IFERROR(__xludf.DUMMYFUNCTION("IMPORTRANGE(H27623,""IDENTITAS UNIT!D9"")"),"#N/A")</f>
        <v>#N/A</v>
      </c>
      <c r="H27623" s="4" t="str">
        <v/>
      </c>
      <c r="I27623" s="4" t="str">
        <v/>
      </c>
    </row>
    <row r="27624" spans="5:9" ht="16.5" hidden="1">
      <c r="E27624" s="4" t="str">
        <v/>
      </c>
      <c r="F27624" s="102" t="str">
        <f ca="1">IFERROR(__xludf.DUMMYFUNCTION("IMPORTRANGE(H27624,""IDENTITAS UNIT!D9"")"),"#N/A")</f>
        <v>#N/A</v>
      </c>
      <c r="H27624" s="4" t="str">
        <v/>
      </c>
      <c r="I27624" s="4" t="str">
        <v/>
      </c>
    </row>
    <row r="27625" spans="5:9" ht="16.5" hidden="1">
      <c r="E27625" s="4" t="str">
        <v/>
      </c>
      <c r="F27625" s="102" t="str">
        <f ca="1">IFERROR(__xludf.DUMMYFUNCTION("IMPORTRANGE(H27625,""IDENTITAS UNIT!D9"")"),"#N/A")</f>
        <v>#N/A</v>
      </c>
      <c r="H27625" s="4" t="str">
        <v/>
      </c>
      <c r="I27625" s="4" t="str">
        <v/>
      </c>
    </row>
    <row r="27626" spans="5:9" ht="16.5" hidden="1">
      <c r="E27626" s="4" t="str">
        <v/>
      </c>
      <c r="F27626" s="102" t="str">
        <f ca="1">IFERROR(__xludf.DUMMYFUNCTION("IMPORTRANGE(H27626,""IDENTITAS UNIT!D9"")"),"#N/A")</f>
        <v>#N/A</v>
      </c>
      <c r="H27626" s="4" t="str">
        <v/>
      </c>
      <c r="I27626" s="4" t="str">
        <v/>
      </c>
    </row>
    <row r="27627" spans="5:9" ht="16.5" hidden="1">
      <c r="E27627" s="4" t="str">
        <v/>
      </c>
      <c r="F27627" s="102" t="str">
        <f ca="1">IFERROR(__xludf.DUMMYFUNCTION("IMPORTRANGE(H27627,""IDENTITAS UNIT!D9"")"),"#N/A")</f>
        <v>#N/A</v>
      </c>
      <c r="H27627" s="4" t="str">
        <v/>
      </c>
      <c r="I27627" s="4" t="str">
        <v/>
      </c>
    </row>
    <row r="27628" spans="5:9" ht="16.5" hidden="1">
      <c r="E27628" s="4" t="str">
        <v/>
      </c>
      <c r="F27628" s="102" t="str">
        <f ca="1">IFERROR(__xludf.DUMMYFUNCTION("IMPORTRANGE(H27628,""IDENTITAS UNIT!D9"")"),"#N/A")</f>
        <v>#N/A</v>
      </c>
      <c r="H27628" s="4" t="str">
        <v/>
      </c>
      <c r="I27628" s="4" t="str">
        <v/>
      </c>
    </row>
    <row r="27629" spans="5:9" ht="16.5" hidden="1">
      <c r="E27629" s="4" t="str">
        <v/>
      </c>
      <c r="F27629" s="102" t="str">
        <f ca="1">IFERROR(__xludf.DUMMYFUNCTION("IMPORTRANGE(H27629,""IDENTITAS UNIT!D9"")"),"#N/A")</f>
        <v>#N/A</v>
      </c>
      <c r="H27629" s="4" t="str">
        <v/>
      </c>
      <c r="I27629" s="4" t="str">
        <v/>
      </c>
    </row>
    <row r="27630" spans="5:9" ht="16.5" hidden="1">
      <c r="E27630" s="4" t="str">
        <v/>
      </c>
      <c r="F27630" s="102" t="str">
        <f ca="1">IFERROR(__xludf.DUMMYFUNCTION("IMPORTRANGE(H27630,""IDENTITAS UNIT!D9"")"),"#N/A")</f>
        <v>#N/A</v>
      </c>
      <c r="H27630" s="4" t="str">
        <v/>
      </c>
      <c r="I27630" s="4" t="str">
        <v/>
      </c>
    </row>
    <row r="27631" spans="5:9" ht="16.5" hidden="1">
      <c r="E27631" s="4" t="str">
        <v/>
      </c>
      <c r="F27631" s="102" t="str">
        <f ca="1">IFERROR(__xludf.DUMMYFUNCTION("IMPORTRANGE(H27631,""IDENTITAS UNIT!D9"")"),"#N/A")</f>
        <v>#N/A</v>
      </c>
      <c r="H27631" s="4" t="str">
        <v/>
      </c>
      <c r="I27631" s="4" t="str">
        <v/>
      </c>
    </row>
    <row r="27632" spans="5:9" ht="16.5" hidden="1">
      <c r="E27632" s="4" t="str">
        <v/>
      </c>
      <c r="F27632" s="102" t="str">
        <f ca="1">IFERROR(__xludf.DUMMYFUNCTION("IMPORTRANGE(H27632,""IDENTITAS UNIT!D9"")"),"#N/A")</f>
        <v>#N/A</v>
      </c>
      <c r="H27632" s="4" t="str">
        <v/>
      </c>
      <c r="I27632" s="4" t="str">
        <v/>
      </c>
    </row>
    <row r="27633" spans="5:9" ht="16.5" hidden="1">
      <c r="E27633" s="4" t="str">
        <v/>
      </c>
      <c r="F27633" s="102" t="str">
        <f ca="1">IFERROR(__xludf.DUMMYFUNCTION("IMPORTRANGE(H27633,""IDENTITAS UNIT!D9"")"),"#N/A")</f>
        <v>#N/A</v>
      </c>
      <c r="H27633" s="4" t="str">
        <v/>
      </c>
      <c r="I27633" s="4" t="str">
        <v/>
      </c>
    </row>
    <row r="27634" spans="5:9" ht="16.5" hidden="1">
      <c r="E27634" s="4" t="str">
        <v/>
      </c>
      <c r="F27634" s="102" t="str">
        <f ca="1">IFERROR(__xludf.DUMMYFUNCTION("IMPORTRANGE(H27634,""IDENTITAS UNIT!D9"")"),"#N/A")</f>
        <v>#N/A</v>
      </c>
      <c r="H27634" s="4" t="str">
        <v/>
      </c>
      <c r="I27634" s="4" t="str">
        <v/>
      </c>
    </row>
    <row r="27635" spans="5:9" ht="16.5" hidden="1">
      <c r="E27635" s="4" t="str">
        <v/>
      </c>
      <c r="F27635" s="102" t="str">
        <f ca="1">IFERROR(__xludf.DUMMYFUNCTION("IMPORTRANGE(H27635,""IDENTITAS UNIT!D9"")"),"#N/A")</f>
        <v>#N/A</v>
      </c>
      <c r="H27635" s="4" t="str">
        <v/>
      </c>
      <c r="I27635" s="4" t="str">
        <v/>
      </c>
    </row>
    <row r="27636" spans="5:9" ht="16.5" hidden="1">
      <c r="E27636" s="4" t="str">
        <v/>
      </c>
      <c r="F27636" s="102" t="str">
        <f ca="1">IFERROR(__xludf.DUMMYFUNCTION("IMPORTRANGE(H27636,""IDENTITAS UNIT!D9"")"),"#N/A")</f>
        <v>#N/A</v>
      </c>
      <c r="H27636" s="4" t="str">
        <v/>
      </c>
      <c r="I27636" s="4" t="str">
        <v/>
      </c>
    </row>
    <row r="27637" spans="5:9" ht="16.5" hidden="1">
      <c r="E27637" s="4" t="str">
        <v/>
      </c>
      <c r="F27637" s="102" t="str">
        <f ca="1">IFERROR(__xludf.DUMMYFUNCTION("IMPORTRANGE(H27637,""IDENTITAS UNIT!D9"")"),"#N/A")</f>
        <v>#N/A</v>
      </c>
      <c r="H27637" s="4" t="str">
        <v/>
      </c>
      <c r="I27637" s="4" t="str">
        <v/>
      </c>
    </row>
    <row r="27638" spans="5:9" ht="16.5" hidden="1">
      <c r="E27638" s="4" t="str">
        <v/>
      </c>
      <c r="F27638" s="102" t="str">
        <f ca="1">IFERROR(__xludf.DUMMYFUNCTION("IMPORTRANGE(H27638,""IDENTITAS UNIT!D9"")"),"#N/A")</f>
        <v>#N/A</v>
      </c>
      <c r="H27638" s="4" t="str">
        <v/>
      </c>
      <c r="I27638" s="4" t="str">
        <v/>
      </c>
    </row>
    <row r="27639" spans="5:9" ht="16.5" hidden="1">
      <c r="E27639" s="4" t="str">
        <v/>
      </c>
      <c r="F27639" s="102" t="str">
        <f ca="1">IFERROR(__xludf.DUMMYFUNCTION("IMPORTRANGE(H27639,""IDENTITAS UNIT!D9"")"),"#N/A")</f>
        <v>#N/A</v>
      </c>
      <c r="H27639" s="4" t="str">
        <v/>
      </c>
      <c r="I27639" s="4" t="str">
        <v/>
      </c>
    </row>
    <row r="27640" spans="5:9" ht="16.5" hidden="1">
      <c r="E27640" s="4" t="str">
        <v/>
      </c>
      <c r="F27640" s="102" t="str">
        <f ca="1">IFERROR(__xludf.DUMMYFUNCTION("IMPORTRANGE(H27640,""IDENTITAS UNIT!D9"")"),"#N/A")</f>
        <v>#N/A</v>
      </c>
      <c r="H27640" s="4" t="str">
        <v/>
      </c>
      <c r="I27640" s="4" t="str">
        <v/>
      </c>
    </row>
    <row r="27641" spans="5:9" ht="16.5" hidden="1">
      <c r="E27641" s="4" t="str">
        <v/>
      </c>
      <c r="F27641" s="102" t="str">
        <f ca="1">IFERROR(__xludf.DUMMYFUNCTION("IMPORTRANGE(H27641,""IDENTITAS UNIT!D9"")"),"#N/A")</f>
        <v>#N/A</v>
      </c>
      <c r="H27641" s="4" t="str">
        <v/>
      </c>
      <c r="I27641" s="4" t="str">
        <v/>
      </c>
    </row>
    <row r="27642" spans="5:9" ht="16.5" hidden="1">
      <c r="E27642" s="4" t="str">
        <v/>
      </c>
      <c r="F27642" s="102" t="str">
        <f ca="1">IFERROR(__xludf.DUMMYFUNCTION("IMPORTRANGE(H27642,""IDENTITAS UNIT!D9"")"),"#N/A")</f>
        <v>#N/A</v>
      </c>
      <c r="H27642" s="4" t="str">
        <v/>
      </c>
      <c r="I27642" s="4" t="str">
        <v/>
      </c>
    </row>
    <row r="27643" spans="5:9" ht="16.5" hidden="1">
      <c r="E27643" s="4" t="str">
        <v/>
      </c>
      <c r="F27643" s="102" t="str">
        <f ca="1">IFERROR(__xludf.DUMMYFUNCTION("IMPORTRANGE(H27643,""IDENTITAS UNIT!D9"")"),"#N/A")</f>
        <v>#N/A</v>
      </c>
      <c r="H27643" s="4" t="str">
        <v/>
      </c>
      <c r="I27643" s="4" t="str">
        <v/>
      </c>
    </row>
    <row r="27644" spans="5:9" ht="16.5" hidden="1">
      <c r="E27644" s="4" t="str">
        <v/>
      </c>
      <c r="F27644" s="102" t="str">
        <f ca="1">IFERROR(__xludf.DUMMYFUNCTION("IMPORTRANGE(H27644,""IDENTITAS UNIT!D9"")"),"#N/A")</f>
        <v>#N/A</v>
      </c>
      <c r="H27644" s="4" t="str">
        <v/>
      </c>
      <c r="I27644" s="4" t="str">
        <v/>
      </c>
    </row>
    <row r="27645" spans="5:9" ht="16.5" hidden="1">
      <c r="E27645" s="4" t="str">
        <v/>
      </c>
      <c r="F27645" s="102" t="str">
        <f ca="1">IFERROR(__xludf.DUMMYFUNCTION("IMPORTRANGE(H27645,""IDENTITAS UNIT!D9"")"),"#N/A")</f>
        <v>#N/A</v>
      </c>
      <c r="H27645" s="4" t="str">
        <v/>
      </c>
      <c r="I27645" s="4" t="str">
        <v/>
      </c>
    </row>
    <row r="27646" spans="5:9" ht="16.5" hidden="1">
      <c r="E27646" s="4" t="str">
        <v/>
      </c>
      <c r="F27646" s="102" t="str">
        <f ca="1">IFERROR(__xludf.DUMMYFUNCTION("IMPORTRANGE(H27646,""IDENTITAS UNIT!D9"")"),"#N/A")</f>
        <v>#N/A</v>
      </c>
      <c r="H27646" s="4" t="str">
        <v/>
      </c>
      <c r="I27646" s="4" t="str">
        <v/>
      </c>
    </row>
    <row r="27647" spans="5:9" ht="16.5" hidden="1">
      <c r="E27647" s="4" t="str">
        <v/>
      </c>
      <c r="F27647" s="102" t="str">
        <f ca="1">IFERROR(__xludf.DUMMYFUNCTION("IMPORTRANGE(H27647,""IDENTITAS UNIT!D9"")"),"#N/A")</f>
        <v>#N/A</v>
      </c>
      <c r="H27647" s="4" t="str">
        <v/>
      </c>
      <c r="I27647" s="4" t="str">
        <v/>
      </c>
    </row>
    <row r="27648" spans="5:9" ht="16.5" hidden="1">
      <c r="E27648" s="4" t="str">
        <v/>
      </c>
      <c r="F27648" s="102" t="str">
        <f ca="1">IFERROR(__xludf.DUMMYFUNCTION("IMPORTRANGE(H27648,""IDENTITAS UNIT!D9"")"),"#N/A")</f>
        <v>#N/A</v>
      </c>
      <c r="H27648" s="4" t="str">
        <v/>
      </c>
      <c r="I27648" s="4" t="str">
        <v/>
      </c>
    </row>
    <row r="27649" spans="5:9" ht="16.5" hidden="1">
      <c r="E27649" s="4" t="str">
        <v/>
      </c>
      <c r="F27649" s="102" t="str">
        <f ca="1">IFERROR(__xludf.DUMMYFUNCTION("IMPORTRANGE(H27649,""IDENTITAS UNIT!D9"")"),"#N/A")</f>
        <v>#N/A</v>
      </c>
      <c r="H27649" s="4" t="str">
        <v/>
      </c>
      <c r="I27649" s="4" t="str">
        <v/>
      </c>
    </row>
    <row r="27650" spans="5:9" ht="16.5" hidden="1">
      <c r="E27650" s="4" t="str">
        <v/>
      </c>
      <c r="F27650" s="102" t="str">
        <f ca="1">IFERROR(__xludf.DUMMYFUNCTION("IMPORTRANGE(H27650,""IDENTITAS UNIT!D9"")"),"#N/A")</f>
        <v>#N/A</v>
      </c>
      <c r="H27650" s="4" t="str">
        <v/>
      </c>
      <c r="I27650" s="4" t="str">
        <v/>
      </c>
    </row>
    <row r="27651" spans="5:9" ht="16.5" hidden="1">
      <c r="E27651" s="4" t="str">
        <v/>
      </c>
      <c r="F27651" s="102" t="str">
        <f ca="1">IFERROR(__xludf.DUMMYFUNCTION("IMPORTRANGE(H27651,""IDENTITAS UNIT!D9"")"),"#N/A")</f>
        <v>#N/A</v>
      </c>
      <c r="H27651" s="4" t="str">
        <v/>
      </c>
      <c r="I27651" s="4" t="str">
        <v/>
      </c>
    </row>
    <row r="27652" spans="5:9" ht="16.5" hidden="1">
      <c r="E27652" s="4" t="str">
        <v/>
      </c>
      <c r="F27652" s="102" t="str">
        <f ca="1">IFERROR(__xludf.DUMMYFUNCTION("IMPORTRANGE(H27652,""IDENTITAS UNIT!D9"")"),"#N/A")</f>
        <v>#N/A</v>
      </c>
      <c r="H27652" s="4" t="str">
        <v/>
      </c>
      <c r="I27652" s="4" t="str">
        <v/>
      </c>
    </row>
    <row r="27653" spans="5:9" ht="16.5" hidden="1">
      <c r="E27653" s="4" t="str">
        <v/>
      </c>
      <c r="F27653" s="102" t="str">
        <f ca="1">IFERROR(__xludf.DUMMYFUNCTION("IMPORTRANGE(H27653,""IDENTITAS UNIT!D9"")"),"#N/A")</f>
        <v>#N/A</v>
      </c>
      <c r="H27653" s="4" t="str">
        <v/>
      </c>
      <c r="I27653" s="4" t="str">
        <v/>
      </c>
    </row>
    <row r="27654" spans="5:9" ht="16.5" hidden="1">
      <c r="E27654" s="4" t="str">
        <v/>
      </c>
      <c r="F27654" s="102" t="str">
        <f ca="1">IFERROR(__xludf.DUMMYFUNCTION("IMPORTRANGE(H27654,""IDENTITAS UNIT!D9"")"),"#N/A")</f>
        <v>#N/A</v>
      </c>
      <c r="H27654" s="4" t="str">
        <v/>
      </c>
      <c r="I27654" s="4" t="str">
        <v/>
      </c>
    </row>
    <row r="27655" spans="5:9" ht="16.5" hidden="1">
      <c r="E27655" s="4" t="str">
        <v/>
      </c>
      <c r="F27655" s="102" t="str">
        <f ca="1">IFERROR(__xludf.DUMMYFUNCTION("IMPORTRANGE(H27655,""IDENTITAS UNIT!D9"")"),"#N/A")</f>
        <v>#N/A</v>
      </c>
      <c r="H27655" s="4" t="str">
        <v/>
      </c>
      <c r="I27655" s="4" t="str">
        <v/>
      </c>
    </row>
    <row r="27656" spans="5:9" ht="16.5" hidden="1">
      <c r="E27656" s="4" t="str">
        <v/>
      </c>
      <c r="F27656" s="102" t="str">
        <f ca="1">IFERROR(__xludf.DUMMYFUNCTION("IMPORTRANGE(H27656,""IDENTITAS UNIT!D9"")"),"#N/A")</f>
        <v>#N/A</v>
      </c>
      <c r="H27656" s="4" t="str">
        <v/>
      </c>
      <c r="I27656" s="4" t="str">
        <v/>
      </c>
    </row>
    <row r="27657" spans="5:9" ht="16.5" hidden="1">
      <c r="E27657" s="4" t="str">
        <v/>
      </c>
      <c r="F27657" s="102" t="str">
        <f ca="1">IFERROR(__xludf.DUMMYFUNCTION("IMPORTRANGE(H27657,""IDENTITAS UNIT!D9"")"),"#N/A")</f>
        <v>#N/A</v>
      </c>
      <c r="H27657" s="4" t="str">
        <v/>
      </c>
      <c r="I27657" s="4" t="str">
        <v/>
      </c>
    </row>
    <row r="27658" spans="5:9" ht="16.5" hidden="1">
      <c r="E27658" s="4" t="str">
        <v/>
      </c>
      <c r="F27658" s="102" t="str">
        <f ca="1">IFERROR(__xludf.DUMMYFUNCTION("IMPORTRANGE(H27658,""IDENTITAS UNIT!D9"")"),"#N/A")</f>
        <v>#N/A</v>
      </c>
      <c r="H27658" s="4" t="str">
        <v/>
      </c>
      <c r="I27658" s="4" t="str">
        <v/>
      </c>
    </row>
    <row r="27659" spans="5:9" ht="16.5" hidden="1">
      <c r="E27659" s="4" t="str">
        <v/>
      </c>
      <c r="F27659" s="102" t="str">
        <f ca="1">IFERROR(__xludf.DUMMYFUNCTION("IMPORTRANGE(H27659,""IDENTITAS UNIT!D9"")"),"#N/A")</f>
        <v>#N/A</v>
      </c>
      <c r="H27659" s="4" t="str">
        <v/>
      </c>
      <c r="I27659" s="4" t="str">
        <v/>
      </c>
    </row>
    <row r="27660" spans="5:9" ht="16.5" hidden="1">
      <c r="E27660" s="4" t="str">
        <v/>
      </c>
      <c r="F27660" s="102" t="str">
        <f ca="1">IFERROR(__xludf.DUMMYFUNCTION("IMPORTRANGE(H27660,""IDENTITAS UNIT!D9"")"),"#N/A")</f>
        <v>#N/A</v>
      </c>
      <c r="H27660" s="4" t="str">
        <v/>
      </c>
      <c r="I27660" s="4" t="str">
        <v/>
      </c>
    </row>
    <row r="27661" spans="5:9" ht="16.5" hidden="1">
      <c r="E27661" s="4" t="str">
        <v/>
      </c>
      <c r="F27661" s="102" t="str">
        <f ca="1">IFERROR(__xludf.DUMMYFUNCTION("IMPORTRANGE(H27661,""IDENTITAS UNIT!D9"")"),"#N/A")</f>
        <v>#N/A</v>
      </c>
      <c r="H27661" s="4" t="str">
        <v/>
      </c>
      <c r="I27661" s="4" t="str">
        <v/>
      </c>
    </row>
    <row r="27662" spans="5:9" ht="16.5" hidden="1">
      <c r="E27662" s="4" t="str">
        <v/>
      </c>
      <c r="F27662" s="102" t="str">
        <f ca="1">IFERROR(__xludf.DUMMYFUNCTION("IMPORTRANGE(H27662,""IDENTITAS UNIT!D9"")"),"#N/A")</f>
        <v>#N/A</v>
      </c>
      <c r="H27662" s="4" t="str">
        <v/>
      </c>
      <c r="I27662" s="4" t="str">
        <v/>
      </c>
    </row>
    <row r="27663" spans="5:9" ht="16.5" hidden="1">
      <c r="E27663" s="4" t="str">
        <v/>
      </c>
      <c r="F27663" s="102" t="str">
        <f ca="1">IFERROR(__xludf.DUMMYFUNCTION("IMPORTRANGE(H27663,""IDENTITAS UNIT!D9"")"),"#N/A")</f>
        <v>#N/A</v>
      </c>
      <c r="H27663" s="4" t="str">
        <v/>
      </c>
      <c r="I27663" s="4" t="str">
        <v/>
      </c>
    </row>
    <row r="27664" spans="5:9" ht="16.5" hidden="1">
      <c r="E27664" s="4" t="str">
        <v/>
      </c>
      <c r="F27664" s="102" t="str">
        <f ca="1">IFERROR(__xludf.DUMMYFUNCTION("IMPORTRANGE(H27664,""IDENTITAS UNIT!D9"")"),"#N/A")</f>
        <v>#N/A</v>
      </c>
      <c r="H27664" s="4" t="str">
        <v/>
      </c>
      <c r="I27664" s="4" t="str">
        <v/>
      </c>
    </row>
    <row r="27665" spans="5:9" ht="16.5" hidden="1">
      <c r="E27665" s="4" t="str">
        <v/>
      </c>
      <c r="F27665" s="102" t="str">
        <f ca="1">IFERROR(__xludf.DUMMYFUNCTION("IMPORTRANGE(H27665,""IDENTITAS UNIT!D9"")"),"#N/A")</f>
        <v>#N/A</v>
      </c>
      <c r="H27665" s="4" t="str">
        <v/>
      </c>
      <c r="I27665" s="4" t="str">
        <v/>
      </c>
    </row>
    <row r="27666" spans="5:9" ht="16.5" hidden="1">
      <c r="E27666" s="4" t="str">
        <v/>
      </c>
      <c r="F27666" s="102" t="str">
        <f ca="1">IFERROR(__xludf.DUMMYFUNCTION("IMPORTRANGE(H27666,""IDENTITAS UNIT!D9"")"),"#N/A")</f>
        <v>#N/A</v>
      </c>
      <c r="H27666" s="4" t="str">
        <v/>
      </c>
      <c r="I27666" s="4" t="str">
        <v/>
      </c>
    </row>
    <row r="27667" spans="5:9" ht="16.5" hidden="1">
      <c r="E27667" s="4" t="str">
        <v/>
      </c>
      <c r="F27667" s="102" t="str">
        <f ca="1">IFERROR(__xludf.DUMMYFUNCTION("IMPORTRANGE(H27667,""IDENTITAS UNIT!D9"")"),"#N/A")</f>
        <v>#N/A</v>
      </c>
      <c r="H27667" s="4" t="str">
        <v/>
      </c>
      <c r="I27667" s="4" t="str">
        <v/>
      </c>
    </row>
    <row r="27668" spans="5:9" ht="16.5" hidden="1">
      <c r="E27668" s="4" t="str">
        <v/>
      </c>
      <c r="F27668" s="102" t="str">
        <f ca="1">IFERROR(__xludf.DUMMYFUNCTION("IMPORTRANGE(H27668,""IDENTITAS UNIT!D9"")"),"#N/A")</f>
        <v>#N/A</v>
      </c>
      <c r="H27668" s="4" t="str">
        <v/>
      </c>
      <c r="I27668" s="4" t="str">
        <v/>
      </c>
    </row>
    <row r="27669" spans="5:9" ht="16.5" hidden="1">
      <c r="E27669" s="4" t="str">
        <v/>
      </c>
      <c r="F27669" s="102" t="str">
        <f ca="1">IFERROR(__xludf.DUMMYFUNCTION("IMPORTRANGE(H27669,""IDENTITAS UNIT!D9"")"),"#N/A")</f>
        <v>#N/A</v>
      </c>
      <c r="H27669" s="4" t="str">
        <v/>
      </c>
      <c r="I27669" s="4" t="str">
        <v/>
      </c>
    </row>
    <row r="27670" spans="5:9" ht="16.5" hidden="1">
      <c r="E27670" s="4" t="str">
        <v/>
      </c>
      <c r="F27670" s="102" t="str">
        <f ca="1">IFERROR(__xludf.DUMMYFUNCTION("IMPORTRANGE(H27670,""IDENTITAS UNIT!D9"")"),"#N/A")</f>
        <v>#N/A</v>
      </c>
      <c r="H27670" s="4" t="str">
        <v/>
      </c>
      <c r="I27670" s="4" t="str">
        <v/>
      </c>
    </row>
    <row r="27671" spans="5:9" ht="16.5" hidden="1">
      <c r="E27671" s="4" t="str">
        <v/>
      </c>
      <c r="F27671" s="102" t="str">
        <f ca="1">IFERROR(__xludf.DUMMYFUNCTION("IMPORTRANGE(H27671,""IDENTITAS UNIT!D9"")"),"#N/A")</f>
        <v>#N/A</v>
      </c>
      <c r="H27671" s="4" t="str">
        <v/>
      </c>
      <c r="I27671" s="4" t="str">
        <v/>
      </c>
    </row>
    <row r="27672" spans="5:9" ht="16.5" hidden="1">
      <c r="E27672" s="4" t="str">
        <v/>
      </c>
      <c r="F27672" s="102" t="str">
        <f ca="1">IFERROR(__xludf.DUMMYFUNCTION("IMPORTRANGE(H27672,""IDENTITAS UNIT!D9"")"),"#N/A")</f>
        <v>#N/A</v>
      </c>
      <c r="H27672" s="4" t="str">
        <v/>
      </c>
      <c r="I27672" s="4" t="str">
        <v/>
      </c>
    </row>
    <row r="27673" spans="5:9" ht="16.5" hidden="1">
      <c r="E27673" s="4" t="str">
        <v/>
      </c>
      <c r="F27673" s="102" t="str">
        <f ca="1">IFERROR(__xludf.DUMMYFUNCTION("IMPORTRANGE(H27673,""IDENTITAS UNIT!D9"")"),"#N/A")</f>
        <v>#N/A</v>
      </c>
      <c r="H27673" s="4" t="str">
        <v/>
      </c>
      <c r="I27673" s="4" t="str">
        <v/>
      </c>
    </row>
    <row r="27674" spans="5:9" ht="16.5" hidden="1">
      <c r="E27674" s="4" t="str">
        <v/>
      </c>
      <c r="F27674" s="102" t="str">
        <f ca="1">IFERROR(__xludf.DUMMYFUNCTION("IMPORTRANGE(H27674,""IDENTITAS UNIT!D9"")"),"#N/A")</f>
        <v>#N/A</v>
      </c>
      <c r="H27674" s="4" t="str">
        <v/>
      </c>
      <c r="I27674" s="4" t="str">
        <v/>
      </c>
    </row>
    <row r="27675" spans="5:9" ht="16.5" hidden="1">
      <c r="E27675" s="4" t="str">
        <v/>
      </c>
      <c r="F27675" s="102" t="str">
        <f ca="1">IFERROR(__xludf.DUMMYFUNCTION("IMPORTRANGE(H27675,""IDENTITAS UNIT!D9"")"),"#N/A")</f>
        <v>#N/A</v>
      </c>
      <c r="H27675" s="4" t="str">
        <v/>
      </c>
      <c r="I27675" s="4" t="str">
        <v/>
      </c>
    </row>
    <row r="27676" spans="5:9" ht="16.5" hidden="1">
      <c r="E27676" s="4" t="str">
        <v/>
      </c>
      <c r="F27676" s="102" t="str">
        <f ca="1">IFERROR(__xludf.DUMMYFUNCTION("IMPORTRANGE(H27676,""IDENTITAS UNIT!D9"")"),"#N/A")</f>
        <v>#N/A</v>
      </c>
      <c r="H27676" s="4" t="str">
        <v/>
      </c>
      <c r="I27676" s="4" t="str">
        <v/>
      </c>
    </row>
    <row r="27677" spans="5:9" ht="16.5" hidden="1">
      <c r="E27677" s="4" t="str">
        <v/>
      </c>
      <c r="F27677" s="102" t="str">
        <f ca="1">IFERROR(__xludf.DUMMYFUNCTION("IMPORTRANGE(H27677,""IDENTITAS UNIT!D9"")"),"#N/A")</f>
        <v>#N/A</v>
      </c>
      <c r="H27677" s="4" t="str">
        <v/>
      </c>
      <c r="I27677" s="4" t="str">
        <v/>
      </c>
    </row>
    <row r="27678" spans="5:9" ht="16.5" hidden="1">
      <c r="E27678" s="4" t="str">
        <v/>
      </c>
      <c r="F27678" s="102" t="str">
        <f ca="1">IFERROR(__xludf.DUMMYFUNCTION("IMPORTRANGE(H27678,""IDENTITAS UNIT!D9"")"),"#N/A")</f>
        <v>#N/A</v>
      </c>
      <c r="H27678" s="4" t="str">
        <v/>
      </c>
      <c r="I27678" s="4" t="str">
        <v/>
      </c>
    </row>
    <row r="27679" spans="5:9" ht="16.5" hidden="1">
      <c r="E27679" s="4" t="str">
        <v/>
      </c>
      <c r="F27679" s="102" t="str">
        <f ca="1">IFERROR(__xludf.DUMMYFUNCTION("IMPORTRANGE(H27679,""IDENTITAS UNIT!D9"")"),"#N/A")</f>
        <v>#N/A</v>
      </c>
      <c r="H27679" s="4" t="str">
        <v/>
      </c>
      <c r="I27679" s="4" t="str">
        <v/>
      </c>
    </row>
    <row r="27680" spans="5:9" ht="16.5" hidden="1">
      <c r="E27680" s="4" t="str">
        <v/>
      </c>
      <c r="F27680" s="102" t="str">
        <f ca="1">IFERROR(__xludf.DUMMYFUNCTION("IMPORTRANGE(H27680,""IDENTITAS UNIT!D9"")"),"#N/A")</f>
        <v>#N/A</v>
      </c>
      <c r="H27680" s="4" t="str">
        <v/>
      </c>
      <c r="I27680" s="4" t="str">
        <v/>
      </c>
    </row>
    <row r="27681" spans="5:9" ht="16.5" hidden="1">
      <c r="E27681" s="4" t="str">
        <v/>
      </c>
      <c r="F27681" s="102" t="str">
        <f ca="1">IFERROR(__xludf.DUMMYFUNCTION("IMPORTRANGE(H27681,""IDENTITAS UNIT!D9"")"),"#N/A")</f>
        <v>#N/A</v>
      </c>
      <c r="H27681" s="4" t="str">
        <v/>
      </c>
      <c r="I27681" s="4" t="str">
        <v/>
      </c>
    </row>
    <row r="27682" spans="5:9" ht="16.5" hidden="1">
      <c r="E27682" s="4" t="str">
        <v/>
      </c>
      <c r="F27682" s="102" t="str">
        <f ca="1">IFERROR(__xludf.DUMMYFUNCTION("IMPORTRANGE(H27682,""IDENTITAS UNIT!D9"")"),"#N/A")</f>
        <v>#N/A</v>
      </c>
      <c r="H27682" s="4" t="str">
        <v/>
      </c>
      <c r="I27682" s="4" t="str">
        <v/>
      </c>
    </row>
    <row r="27683" spans="5:9" ht="16.5" hidden="1">
      <c r="E27683" s="4" t="str">
        <v/>
      </c>
      <c r="F27683" s="102" t="str">
        <f ca="1">IFERROR(__xludf.DUMMYFUNCTION("IMPORTRANGE(H27683,""IDENTITAS UNIT!D9"")"),"#N/A")</f>
        <v>#N/A</v>
      </c>
      <c r="H27683" s="4" t="str">
        <v/>
      </c>
      <c r="I27683" s="4" t="str">
        <v/>
      </c>
    </row>
    <row r="27684" spans="5:9" ht="16.5" hidden="1">
      <c r="E27684" s="4" t="str">
        <v/>
      </c>
      <c r="F27684" s="102" t="str">
        <f ca="1">IFERROR(__xludf.DUMMYFUNCTION("IMPORTRANGE(H27684,""IDENTITAS UNIT!D9"")"),"#N/A")</f>
        <v>#N/A</v>
      </c>
      <c r="H27684" s="4" t="str">
        <v/>
      </c>
      <c r="I27684" s="4" t="str">
        <v/>
      </c>
    </row>
    <row r="27685" spans="5:9" ht="16.5" hidden="1">
      <c r="E27685" s="4" t="str">
        <v/>
      </c>
      <c r="F27685" s="102" t="str">
        <f ca="1">IFERROR(__xludf.DUMMYFUNCTION("IMPORTRANGE(H27685,""IDENTITAS UNIT!D9"")"),"#N/A")</f>
        <v>#N/A</v>
      </c>
      <c r="H27685" s="4" t="str">
        <v/>
      </c>
      <c r="I27685" s="4" t="str">
        <v/>
      </c>
    </row>
    <row r="27686" spans="5:9" ht="16.5" hidden="1">
      <c r="E27686" s="4" t="str">
        <v/>
      </c>
      <c r="F27686" s="102" t="str">
        <f ca="1">IFERROR(__xludf.DUMMYFUNCTION("IMPORTRANGE(H27686,""IDENTITAS UNIT!D9"")"),"#N/A")</f>
        <v>#N/A</v>
      </c>
      <c r="H27686" s="4" t="str">
        <v/>
      </c>
      <c r="I27686" s="4" t="str">
        <v/>
      </c>
    </row>
    <row r="27687" spans="5:9" ht="16.5" hidden="1">
      <c r="E27687" s="4" t="str">
        <v/>
      </c>
      <c r="F27687" s="102" t="str">
        <f ca="1">IFERROR(__xludf.DUMMYFUNCTION("IMPORTRANGE(H27687,""IDENTITAS UNIT!D9"")"),"#N/A")</f>
        <v>#N/A</v>
      </c>
      <c r="H27687" s="4" t="str">
        <v/>
      </c>
      <c r="I27687" s="4" t="str">
        <v/>
      </c>
    </row>
    <row r="27688" spans="5:9" ht="16.5" hidden="1">
      <c r="E27688" s="4" t="str">
        <v/>
      </c>
      <c r="F27688" s="102" t="str">
        <f ca="1">IFERROR(__xludf.DUMMYFUNCTION("IMPORTRANGE(H27688,""IDENTITAS UNIT!D9"")"),"#N/A")</f>
        <v>#N/A</v>
      </c>
      <c r="H27688" s="4" t="str">
        <v/>
      </c>
      <c r="I27688" s="4" t="str">
        <v/>
      </c>
    </row>
    <row r="27689" spans="5:9" ht="16.5" hidden="1">
      <c r="E27689" s="4" t="str">
        <v/>
      </c>
      <c r="F27689" s="102" t="str">
        <f ca="1">IFERROR(__xludf.DUMMYFUNCTION("IMPORTRANGE(H27689,""IDENTITAS UNIT!D9"")"),"#N/A")</f>
        <v>#N/A</v>
      </c>
      <c r="H27689" s="4" t="str">
        <v/>
      </c>
      <c r="I27689" s="4" t="str">
        <v/>
      </c>
    </row>
    <row r="27690" spans="5:9" ht="16.5" hidden="1">
      <c r="E27690" s="4" t="str">
        <v/>
      </c>
      <c r="F27690" s="102" t="str">
        <f ca="1">IFERROR(__xludf.DUMMYFUNCTION("IMPORTRANGE(H27690,""IDENTITAS UNIT!D9"")"),"#N/A")</f>
        <v>#N/A</v>
      </c>
      <c r="H27690" s="4" t="str">
        <v/>
      </c>
      <c r="I27690" s="4" t="str">
        <v/>
      </c>
    </row>
    <row r="27691" spans="5:9" ht="16.5" hidden="1">
      <c r="E27691" s="4" t="str">
        <v/>
      </c>
      <c r="F27691" s="102" t="str">
        <f ca="1">IFERROR(__xludf.DUMMYFUNCTION("IMPORTRANGE(H27691,""IDENTITAS UNIT!D9"")"),"#N/A")</f>
        <v>#N/A</v>
      </c>
      <c r="H27691" s="4" t="str">
        <v/>
      </c>
      <c r="I27691" s="4" t="str">
        <v/>
      </c>
    </row>
    <row r="27692" spans="5:9" ht="16.5" hidden="1">
      <c r="E27692" s="4" t="str">
        <v/>
      </c>
      <c r="F27692" s="102" t="str">
        <f ca="1">IFERROR(__xludf.DUMMYFUNCTION("IMPORTRANGE(H27692,""IDENTITAS UNIT!D9"")"),"#N/A")</f>
        <v>#N/A</v>
      </c>
      <c r="H27692" s="4" t="str">
        <v/>
      </c>
      <c r="I27692" s="4" t="str">
        <v/>
      </c>
    </row>
    <row r="27693" spans="5:9" ht="16.5" hidden="1">
      <c r="E27693" s="4" t="str">
        <v/>
      </c>
      <c r="F27693" s="102" t="str">
        <f ca="1">IFERROR(__xludf.DUMMYFUNCTION("IMPORTRANGE(H27693,""IDENTITAS UNIT!D9"")"),"#N/A")</f>
        <v>#N/A</v>
      </c>
      <c r="H27693" s="4" t="str">
        <v/>
      </c>
      <c r="I27693" s="4" t="str">
        <v/>
      </c>
    </row>
    <row r="27694" spans="5:9" ht="16.5" hidden="1">
      <c r="E27694" s="4" t="str">
        <v/>
      </c>
      <c r="F27694" s="102" t="str">
        <f ca="1">IFERROR(__xludf.DUMMYFUNCTION("IMPORTRANGE(H27694,""IDENTITAS UNIT!D9"")"),"#N/A")</f>
        <v>#N/A</v>
      </c>
      <c r="H27694" s="4" t="str">
        <v/>
      </c>
      <c r="I27694" s="4" t="str">
        <v/>
      </c>
    </row>
    <row r="27695" spans="5:9" ht="16.5" hidden="1">
      <c r="E27695" s="4" t="str">
        <v/>
      </c>
      <c r="F27695" s="102" t="str">
        <f ca="1">IFERROR(__xludf.DUMMYFUNCTION("IMPORTRANGE(H27695,""IDENTITAS UNIT!D9"")"),"#N/A")</f>
        <v>#N/A</v>
      </c>
      <c r="H27695" s="4" t="str">
        <v/>
      </c>
      <c r="I27695" s="4" t="str">
        <v/>
      </c>
    </row>
    <row r="27696" spans="5:9" ht="16.5" hidden="1">
      <c r="E27696" s="4" t="str">
        <v/>
      </c>
      <c r="F27696" s="102" t="str">
        <f ca="1">IFERROR(__xludf.DUMMYFUNCTION("IMPORTRANGE(H27696,""IDENTITAS UNIT!D9"")"),"#N/A")</f>
        <v>#N/A</v>
      </c>
      <c r="H27696" s="4" t="str">
        <v/>
      </c>
      <c r="I27696" s="4" t="str">
        <v/>
      </c>
    </row>
    <row r="27697" spans="5:9" ht="16.5" hidden="1">
      <c r="E27697" s="4" t="str">
        <v/>
      </c>
      <c r="F27697" s="102" t="str">
        <f ca="1">IFERROR(__xludf.DUMMYFUNCTION("IMPORTRANGE(H27697,""IDENTITAS UNIT!D9"")"),"#N/A")</f>
        <v>#N/A</v>
      </c>
      <c r="H27697" s="4" t="str">
        <v/>
      </c>
      <c r="I27697" s="4" t="str">
        <v/>
      </c>
    </row>
    <row r="27698" spans="5:9" ht="16.5" hidden="1">
      <c r="E27698" s="4" t="str">
        <v/>
      </c>
      <c r="F27698" s="102" t="str">
        <f ca="1">IFERROR(__xludf.DUMMYFUNCTION("IMPORTRANGE(H27698,""IDENTITAS UNIT!D9"")"),"#N/A")</f>
        <v>#N/A</v>
      </c>
      <c r="H27698" s="4" t="str">
        <v/>
      </c>
      <c r="I27698" s="4" t="str">
        <v/>
      </c>
    </row>
    <row r="27699" spans="5:9" ht="16.5" hidden="1">
      <c r="E27699" s="4" t="str">
        <v/>
      </c>
      <c r="F27699" s="102" t="str">
        <f ca="1">IFERROR(__xludf.DUMMYFUNCTION("IMPORTRANGE(H27699,""IDENTITAS UNIT!D9"")"),"#N/A")</f>
        <v>#N/A</v>
      </c>
      <c r="H27699" s="4" t="str">
        <v/>
      </c>
      <c r="I27699" s="4" t="str">
        <v/>
      </c>
    </row>
    <row r="27700" spans="5:9" ht="16.5" hidden="1">
      <c r="E27700" s="4" t="str">
        <v/>
      </c>
      <c r="F27700" s="102" t="str">
        <f ca="1">IFERROR(__xludf.DUMMYFUNCTION("IMPORTRANGE(H27700,""IDENTITAS UNIT!D9"")"),"#N/A")</f>
        <v>#N/A</v>
      </c>
      <c r="H27700" s="4" t="str">
        <v/>
      </c>
      <c r="I27700" s="4" t="str">
        <v/>
      </c>
    </row>
    <row r="27701" spans="5:9" ht="16.5" hidden="1">
      <c r="E27701" s="4" t="str">
        <v/>
      </c>
      <c r="F27701" s="102" t="str">
        <f ca="1">IFERROR(__xludf.DUMMYFUNCTION("IMPORTRANGE(H27701,""IDENTITAS UNIT!D9"")"),"#N/A")</f>
        <v>#N/A</v>
      </c>
      <c r="H27701" s="4" t="str">
        <v/>
      </c>
      <c r="I27701" s="4" t="str">
        <v/>
      </c>
    </row>
    <row r="27702" spans="5:9" ht="16.5" hidden="1">
      <c r="E27702" s="4" t="str">
        <v/>
      </c>
      <c r="F27702" s="102" t="str">
        <f ca="1">IFERROR(__xludf.DUMMYFUNCTION("IMPORTRANGE(H27702,""IDENTITAS UNIT!D9"")"),"#N/A")</f>
        <v>#N/A</v>
      </c>
      <c r="H27702" s="4" t="str">
        <v/>
      </c>
      <c r="I27702" s="4" t="str">
        <v/>
      </c>
    </row>
    <row r="27703" spans="5:9" ht="16.5" hidden="1">
      <c r="E27703" s="4" t="str">
        <v/>
      </c>
      <c r="F27703" s="102" t="str">
        <f ca="1">IFERROR(__xludf.DUMMYFUNCTION("IMPORTRANGE(H27703,""IDENTITAS UNIT!D9"")"),"#N/A")</f>
        <v>#N/A</v>
      </c>
      <c r="H27703" s="4" t="str">
        <v/>
      </c>
      <c r="I27703" s="4" t="str">
        <v/>
      </c>
    </row>
    <row r="27704" spans="5:9" ht="16.5" hidden="1">
      <c r="E27704" s="4" t="str">
        <v/>
      </c>
      <c r="F27704" s="102" t="str">
        <f ca="1">IFERROR(__xludf.DUMMYFUNCTION("IMPORTRANGE(H27704,""IDENTITAS UNIT!D9"")"),"#N/A")</f>
        <v>#N/A</v>
      </c>
      <c r="H27704" s="4" t="str">
        <v/>
      </c>
      <c r="I27704" s="4" t="str">
        <v/>
      </c>
    </row>
    <row r="27705" spans="5:9" ht="16.5" hidden="1">
      <c r="E27705" s="4" t="str">
        <v/>
      </c>
      <c r="F27705" s="102" t="str">
        <f ca="1">IFERROR(__xludf.DUMMYFUNCTION("IMPORTRANGE(H27705,""IDENTITAS UNIT!D9"")"),"#N/A")</f>
        <v>#N/A</v>
      </c>
      <c r="H27705" s="4" t="str">
        <v/>
      </c>
      <c r="I27705" s="4" t="str">
        <v/>
      </c>
    </row>
    <row r="27706" spans="5:9" ht="16.5" hidden="1">
      <c r="E27706" s="4" t="str">
        <v/>
      </c>
      <c r="F27706" s="102" t="str">
        <f ca="1">IFERROR(__xludf.DUMMYFUNCTION("IMPORTRANGE(H27706,""IDENTITAS UNIT!D9"")"),"#N/A")</f>
        <v>#N/A</v>
      </c>
      <c r="H27706" s="4" t="str">
        <v/>
      </c>
      <c r="I27706" s="4" t="str">
        <v/>
      </c>
    </row>
    <row r="27707" spans="5:9" ht="16.5" hidden="1">
      <c r="E27707" s="4" t="str">
        <v/>
      </c>
      <c r="F27707" s="102" t="str">
        <f ca="1">IFERROR(__xludf.DUMMYFUNCTION("IMPORTRANGE(H27707,""IDENTITAS UNIT!D9"")"),"#N/A")</f>
        <v>#N/A</v>
      </c>
      <c r="H27707" s="4" t="str">
        <v/>
      </c>
      <c r="I27707" s="4" t="str">
        <v/>
      </c>
    </row>
    <row r="27708" spans="5:9" ht="16.5" hidden="1">
      <c r="E27708" s="4" t="str">
        <v/>
      </c>
      <c r="F27708" s="102" t="str">
        <f ca="1">IFERROR(__xludf.DUMMYFUNCTION("IMPORTRANGE(H27708,""IDENTITAS UNIT!D9"")"),"#N/A")</f>
        <v>#N/A</v>
      </c>
      <c r="H27708" s="4" t="str">
        <v/>
      </c>
      <c r="I27708" s="4" t="str">
        <v/>
      </c>
    </row>
    <row r="27709" spans="5:9" ht="16.5" hidden="1">
      <c r="E27709" s="4" t="str">
        <v/>
      </c>
      <c r="F27709" s="102" t="str">
        <f ca="1">IFERROR(__xludf.DUMMYFUNCTION("IMPORTRANGE(H27709,""IDENTITAS UNIT!D9"")"),"#N/A")</f>
        <v>#N/A</v>
      </c>
      <c r="H27709" s="4" t="str">
        <v/>
      </c>
      <c r="I27709" s="4" t="str">
        <v/>
      </c>
    </row>
    <row r="27710" spans="5:9" ht="16.5" hidden="1">
      <c r="E27710" s="4" t="str">
        <v/>
      </c>
      <c r="F27710" s="102" t="str">
        <f ca="1">IFERROR(__xludf.DUMMYFUNCTION("IMPORTRANGE(H27710,""IDENTITAS UNIT!D9"")"),"#N/A")</f>
        <v>#N/A</v>
      </c>
      <c r="H27710" s="4" t="str">
        <v/>
      </c>
      <c r="I27710" s="4" t="str">
        <v/>
      </c>
    </row>
    <row r="27711" spans="5:9" ht="16.5" hidden="1">
      <c r="E27711" s="4" t="str">
        <v/>
      </c>
      <c r="F27711" s="102" t="str">
        <f ca="1">IFERROR(__xludf.DUMMYFUNCTION("IMPORTRANGE(H27711,""IDENTITAS UNIT!D9"")"),"#N/A")</f>
        <v>#N/A</v>
      </c>
      <c r="H27711" s="4" t="str">
        <v/>
      </c>
      <c r="I27711" s="4" t="str">
        <v/>
      </c>
    </row>
    <row r="27712" spans="5:9" ht="16.5" hidden="1">
      <c r="E27712" s="4" t="str">
        <v/>
      </c>
      <c r="F27712" s="102" t="str">
        <f ca="1">IFERROR(__xludf.DUMMYFUNCTION("IMPORTRANGE(H27712,""IDENTITAS UNIT!D9"")"),"#N/A")</f>
        <v>#N/A</v>
      </c>
      <c r="H27712" s="4" t="str">
        <v/>
      </c>
      <c r="I27712" s="4" t="str">
        <v/>
      </c>
    </row>
    <row r="27713" spans="5:9" ht="16.5" hidden="1">
      <c r="E27713" s="4" t="str">
        <v/>
      </c>
      <c r="F27713" s="102" t="str">
        <f ca="1">IFERROR(__xludf.DUMMYFUNCTION("IMPORTRANGE(H27713,""IDENTITAS UNIT!D9"")"),"#N/A")</f>
        <v>#N/A</v>
      </c>
      <c r="H27713" s="4" t="str">
        <v/>
      </c>
      <c r="I27713" s="4" t="str">
        <v/>
      </c>
    </row>
    <row r="27714" spans="5:9" ht="16.5" hidden="1">
      <c r="E27714" s="4" t="str">
        <v/>
      </c>
      <c r="F27714" s="102" t="str">
        <f ca="1">IFERROR(__xludf.DUMMYFUNCTION("IMPORTRANGE(H27714,""IDENTITAS UNIT!D9"")"),"#N/A")</f>
        <v>#N/A</v>
      </c>
      <c r="H27714" s="4" t="str">
        <v/>
      </c>
      <c r="I27714" s="4" t="str">
        <v/>
      </c>
    </row>
    <row r="27715" spans="5:9" ht="16.5" hidden="1">
      <c r="E27715" s="4" t="str">
        <v/>
      </c>
      <c r="F27715" s="102" t="str">
        <f ca="1">IFERROR(__xludf.DUMMYFUNCTION("IMPORTRANGE(H27715,""IDENTITAS UNIT!D9"")"),"#N/A")</f>
        <v>#N/A</v>
      </c>
      <c r="H27715" s="4" t="str">
        <v/>
      </c>
      <c r="I27715" s="4" t="str">
        <v/>
      </c>
    </row>
    <row r="27716" spans="5:9" ht="16.5" hidden="1">
      <c r="E27716" s="4" t="str">
        <v/>
      </c>
      <c r="F27716" s="102" t="str">
        <f ca="1">IFERROR(__xludf.DUMMYFUNCTION("IMPORTRANGE(H27716,""IDENTITAS UNIT!D9"")"),"#N/A")</f>
        <v>#N/A</v>
      </c>
      <c r="H27716" s="4" t="str">
        <v/>
      </c>
      <c r="I27716" s="4" t="str">
        <v/>
      </c>
    </row>
    <row r="27717" spans="5:9" ht="16.5" hidden="1">
      <c r="E27717" s="4" t="str">
        <v/>
      </c>
      <c r="F27717" s="102" t="str">
        <f ca="1">IFERROR(__xludf.DUMMYFUNCTION("IMPORTRANGE(H27717,""IDENTITAS UNIT!D9"")"),"#N/A")</f>
        <v>#N/A</v>
      </c>
      <c r="H27717" s="4" t="str">
        <v/>
      </c>
      <c r="I27717" s="4" t="str">
        <v/>
      </c>
    </row>
    <row r="27718" spans="5:9" ht="16.5" hidden="1">
      <c r="E27718" s="4" t="str">
        <v/>
      </c>
      <c r="F27718" s="102" t="str">
        <f ca="1">IFERROR(__xludf.DUMMYFUNCTION("IMPORTRANGE(H27718,""IDENTITAS UNIT!D9"")"),"#N/A")</f>
        <v>#N/A</v>
      </c>
      <c r="H27718" s="4" t="str">
        <v/>
      </c>
      <c r="I27718" s="4" t="str">
        <v/>
      </c>
    </row>
    <row r="27719" spans="5:9" ht="16.5" hidden="1">
      <c r="E27719" s="4" t="str">
        <v/>
      </c>
      <c r="F27719" s="102" t="str">
        <f ca="1">IFERROR(__xludf.DUMMYFUNCTION("IMPORTRANGE(H27719,""IDENTITAS UNIT!D9"")"),"#N/A")</f>
        <v>#N/A</v>
      </c>
      <c r="H27719" s="4" t="str">
        <v/>
      </c>
      <c r="I27719" s="4" t="str">
        <v/>
      </c>
    </row>
    <row r="27720" spans="5:9" ht="16.5" hidden="1">
      <c r="E27720" s="4" t="str">
        <v/>
      </c>
      <c r="F27720" s="102" t="str">
        <f ca="1">IFERROR(__xludf.DUMMYFUNCTION("IMPORTRANGE(H27720,""IDENTITAS UNIT!D9"")"),"#N/A")</f>
        <v>#N/A</v>
      </c>
      <c r="H27720" s="4" t="str">
        <v/>
      </c>
      <c r="I27720" s="4" t="str">
        <v/>
      </c>
    </row>
    <row r="27721" spans="5:9" ht="16.5" hidden="1">
      <c r="E27721" s="4" t="str">
        <v/>
      </c>
      <c r="F27721" s="102" t="str">
        <f ca="1">IFERROR(__xludf.DUMMYFUNCTION("IMPORTRANGE(H27721,""IDENTITAS UNIT!D9"")"),"#N/A")</f>
        <v>#N/A</v>
      </c>
      <c r="H27721" s="4" t="str">
        <v/>
      </c>
      <c r="I27721" s="4" t="str">
        <v/>
      </c>
    </row>
    <row r="27722" spans="5:9" ht="16.5" hidden="1">
      <c r="E27722" s="4" t="str">
        <v/>
      </c>
      <c r="F27722" s="102" t="str">
        <f ca="1">IFERROR(__xludf.DUMMYFUNCTION("IMPORTRANGE(H27722,""IDENTITAS UNIT!D9"")"),"#N/A")</f>
        <v>#N/A</v>
      </c>
      <c r="H27722" s="4" t="str">
        <v/>
      </c>
      <c r="I27722" s="4" t="str">
        <v/>
      </c>
    </row>
    <row r="27723" spans="5:9" ht="16.5" hidden="1">
      <c r="E27723" s="4" t="str">
        <v/>
      </c>
      <c r="F27723" s="102" t="str">
        <f ca="1">IFERROR(__xludf.DUMMYFUNCTION("IMPORTRANGE(H27723,""IDENTITAS UNIT!D9"")"),"#N/A")</f>
        <v>#N/A</v>
      </c>
      <c r="H27723" s="4" t="str">
        <v/>
      </c>
      <c r="I27723" s="4" t="str">
        <v/>
      </c>
    </row>
    <row r="27724" spans="5:9" ht="16.5" hidden="1">
      <c r="E27724" s="4" t="str">
        <v/>
      </c>
      <c r="F27724" s="102" t="str">
        <f ca="1">IFERROR(__xludf.DUMMYFUNCTION("IMPORTRANGE(H27724,""IDENTITAS UNIT!D9"")"),"#N/A")</f>
        <v>#N/A</v>
      </c>
      <c r="H27724" s="4" t="str">
        <v/>
      </c>
      <c r="I27724" s="4" t="str">
        <v/>
      </c>
    </row>
    <row r="27725" spans="5:9" ht="16.5" hidden="1">
      <c r="E27725" s="4" t="str">
        <v/>
      </c>
      <c r="F27725" s="102" t="str">
        <f ca="1">IFERROR(__xludf.DUMMYFUNCTION("IMPORTRANGE(H27725,""IDENTITAS UNIT!D9"")"),"#N/A")</f>
        <v>#N/A</v>
      </c>
      <c r="H27725" s="4" t="str">
        <v/>
      </c>
      <c r="I27725" s="4" t="str">
        <v/>
      </c>
    </row>
    <row r="27726" spans="5:9" ht="16.5" hidden="1">
      <c r="E27726" s="4" t="str">
        <v/>
      </c>
      <c r="F27726" s="102" t="str">
        <f ca="1">IFERROR(__xludf.DUMMYFUNCTION("IMPORTRANGE(H27726,""IDENTITAS UNIT!D9"")"),"#N/A")</f>
        <v>#N/A</v>
      </c>
      <c r="H27726" s="4" t="str">
        <v/>
      </c>
      <c r="I27726" s="4" t="str">
        <v/>
      </c>
    </row>
    <row r="27727" spans="5:9" ht="16.5" hidden="1">
      <c r="E27727" s="4" t="str">
        <v/>
      </c>
      <c r="F27727" s="102" t="str">
        <f ca="1">IFERROR(__xludf.DUMMYFUNCTION("IMPORTRANGE(H27727,""IDENTITAS UNIT!D9"")"),"#N/A")</f>
        <v>#N/A</v>
      </c>
      <c r="H27727" s="4" t="str">
        <v/>
      </c>
      <c r="I27727" s="4" t="str">
        <v/>
      </c>
    </row>
    <row r="27728" spans="5:9" ht="16.5" hidden="1">
      <c r="E27728" s="4" t="str">
        <v/>
      </c>
      <c r="F27728" s="102" t="str">
        <f ca="1">IFERROR(__xludf.DUMMYFUNCTION("IMPORTRANGE(H27728,""IDENTITAS UNIT!D9"")"),"#N/A")</f>
        <v>#N/A</v>
      </c>
      <c r="H27728" s="4" t="str">
        <v/>
      </c>
      <c r="I27728" s="4" t="str">
        <v/>
      </c>
    </row>
    <row r="27729" spans="5:9" ht="16.5" hidden="1">
      <c r="E27729" s="4" t="str">
        <v/>
      </c>
      <c r="F27729" s="102" t="str">
        <f ca="1">IFERROR(__xludf.DUMMYFUNCTION("IMPORTRANGE(H27729,""IDENTITAS UNIT!D9"")"),"#N/A")</f>
        <v>#N/A</v>
      </c>
      <c r="H27729" s="4" t="str">
        <v/>
      </c>
      <c r="I27729" s="4" t="str">
        <v/>
      </c>
    </row>
    <row r="27730" spans="5:9" ht="16.5" hidden="1">
      <c r="E27730" s="4" t="str">
        <v/>
      </c>
      <c r="F27730" s="102" t="str">
        <f ca="1">IFERROR(__xludf.DUMMYFUNCTION("IMPORTRANGE(H27730,""IDENTITAS UNIT!D9"")"),"#N/A")</f>
        <v>#N/A</v>
      </c>
      <c r="H27730" s="4" t="str">
        <v/>
      </c>
      <c r="I27730" s="4" t="str">
        <v/>
      </c>
    </row>
    <row r="27731" spans="5:9" ht="16.5" hidden="1">
      <c r="E27731" s="4" t="str">
        <v/>
      </c>
      <c r="F27731" s="102" t="str">
        <f ca="1">IFERROR(__xludf.DUMMYFUNCTION("IMPORTRANGE(H27731,""IDENTITAS UNIT!D9"")"),"#N/A")</f>
        <v>#N/A</v>
      </c>
      <c r="H27731" s="4" t="str">
        <v/>
      </c>
      <c r="I27731" s="4" t="str">
        <v/>
      </c>
    </row>
    <row r="27732" spans="5:9" ht="16.5" hidden="1">
      <c r="E27732" s="4" t="str">
        <v/>
      </c>
      <c r="F27732" s="102" t="str">
        <f ca="1">IFERROR(__xludf.DUMMYFUNCTION("IMPORTRANGE(H27732,""IDENTITAS UNIT!D9"")"),"#N/A")</f>
        <v>#N/A</v>
      </c>
      <c r="H27732" s="4" t="str">
        <v/>
      </c>
      <c r="I27732" s="4" t="str">
        <v/>
      </c>
    </row>
    <row r="27733" spans="5:9" ht="16.5" hidden="1">
      <c r="E27733" s="4" t="str">
        <v/>
      </c>
      <c r="F27733" s="102" t="str">
        <f ca="1">IFERROR(__xludf.DUMMYFUNCTION("IMPORTRANGE(H27733,""IDENTITAS UNIT!D9"")"),"#N/A")</f>
        <v>#N/A</v>
      </c>
      <c r="H27733" s="4" t="str">
        <v/>
      </c>
      <c r="I27733" s="4" t="str">
        <v/>
      </c>
    </row>
    <row r="27734" spans="5:9" ht="16.5" hidden="1">
      <c r="E27734" s="4" t="str">
        <v/>
      </c>
      <c r="F27734" s="102" t="str">
        <f ca="1">IFERROR(__xludf.DUMMYFUNCTION("IMPORTRANGE(H27734,""IDENTITAS UNIT!D9"")"),"#N/A")</f>
        <v>#N/A</v>
      </c>
      <c r="H27734" s="4" t="str">
        <v/>
      </c>
      <c r="I27734" s="4" t="str">
        <v/>
      </c>
    </row>
    <row r="27735" spans="5:9" ht="16.5" hidden="1">
      <c r="E27735" s="4" t="str">
        <v/>
      </c>
      <c r="F27735" s="102" t="str">
        <f ca="1">IFERROR(__xludf.DUMMYFUNCTION("IMPORTRANGE(H27735,""IDENTITAS UNIT!D9"")"),"#N/A")</f>
        <v>#N/A</v>
      </c>
      <c r="H27735" s="4" t="str">
        <v/>
      </c>
      <c r="I27735" s="4" t="str">
        <v/>
      </c>
    </row>
    <row r="27736" spans="5:9" ht="16.5" hidden="1">
      <c r="E27736" s="4" t="str">
        <v/>
      </c>
      <c r="F27736" s="102" t="str">
        <f ca="1">IFERROR(__xludf.DUMMYFUNCTION("IMPORTRANGE(H27736,""IDENTITAS UNIT!D9"")"),"#N/A")</f>
        <v>#N/A</v>
      </c>
      <c r="H27736" s="4" t="str">
        <v/>
      </c>
      <c r="I27736" s="4" t="str">
        <v/>
      </c>
    </row>
    <row r="27737" spans="5:9" ht="16.5" hidden="1">
      <c r="E27737" s="4" t="str">
        <v/>
      </c>
      <c r="F27737" s="102" t="str">
        <f ca="1">IFERROR(__xludf.DUMMYFUNCTION("IMPORTRANGE(H27737,""IDENTITAS UNIT!D9"")"),"#N/A")</f>
        <v>#N/A</v>
      </c>
      <c r="H27737" s="4" t="str">
        <v/>
      </c>
      <c r="I27737" s="4" t="str">
        <v/>
      </c>
    </row>
    <row r="27738" spans="5:9" ht="16.5" hidden="1">
      <c r="E27738" s="4" t="str">
        <v/>
      </c>
      <c r="F27738" s="102" t="str">
        <f ca="1">IFERROR(__xludf.DUMMYFUNCTION("IMPORTRANGE(H27738,""IDENTITAS UNIT!D9"")"),"#N/A")</f>
        <v>#N/A</v>
      </c>
      <c r="H27738" s="4" t="str">
        <v/>
      </c>
      <c r="I27738" s="4" t="str">
        <v/>
      </c>
    </row>
    <row r="27739" spans="5:9" ht="16.5" hidden="1">
      <c r="E27739" s="4" t="str">
        <v/>
      </c>
      <c r="F27739" s="102" t="str">
        <f ca="1">IFERROR(__xludf.DUMMYFUNCTION("IMPORTRANGE(H27739,""IDENTITAS UNIT!D9"")"),"#N/A")</f>
        <v>#N/A</v>
      </c>
      <c r="H27739" s="4" t="str">
        <v/>
      </c>
      <c r="I27739" s="4" t="str">
        <v/>
      </c>
    </row>
    <row r="27740" spans="5:9" ht="16.5" hidden="1">
      <c r="E27740" s="4" t="str">
        <v/>
      </c>
      <c r="F27740" s="102" t="str">
        <f ca="1">IFERROR(__xludf.DUMMYFUNCTION("IMPORTRANGE(H27740,""IDENTITAS UNIT!D9"")"),"#N/A")</f>
        <v>#N/A</v>
      </c>
      <c r="H27740" s="4" t="str">
        <v/>
      </c>
      <c r="I27740" s="4" t="str">
        <v/>
      </c>
    </row>
    <row r="27741" spans="5:9" ht="16.5" hidden="1">
      <c r="E27741" s="4" t="str">
        <v/>
      </c>
      <c r="F27741" s="102" t="str">
        <f ca="1">IFERROR(__xludf.DUMMYFUNCTION("IMPORTRANGE(H27741,""IDENTITAS UNIT!D9"")"),"#N/A")</f>
        <v>#N/A</v>
      </c>
      <c r="H27741" s="4" t="str">
        <v/>
      </c>
      <c r="I27741" s="4" t="str">
        <v/>
      </c>
    </row>
    <row r="27742" spans="5:9" ht="16.5" hidden="1">
      <c r="E27742" s="4" t="str">
        <v/>
      </c>
      <c r="F27742" s="102" t="str">
        <f ca="1">IFERROR(__xludf.DUMMYFUNCTION("IMPORTRANGE(H27742,""IDENTITAS UNIT!D9"")"),"#N/A")</f>
        <v>#N/A</v>
      </c>
      <c r="H27742" s="4" t="str">
        <v/>
      </c>
      <c r="I27742" s="4" t="str">
        <v/>
      </c>
    </row>
    <row r="27743" spans="5:9" ht="16.5" hidden="1">
      <c r="E27743" s="4" t="str">
        <v/>
      </c>
      <c r="F27743" s="102" t="str">
        <f ca="1">IFERROR(__xludf.DUMMYFUNCTION("IMPORTRANGE(H27743,""IDENTITAS UNIT!D9"")"),"#N/A")</f>
        <v>#N/A</v>
      </c>
      <c r="H27743" s="4" t="str">
        <v/>
      </c>
      <c r="I27743" s="4" t="str">
        <v/>
      </c>
    </row>
    <row r="27744" spans="5:9" ht="16.5" hidden="1">
      <c r="E27744" s="4" t="str">
        <v/>
      </c>
      <c r="F27744" s="102" t="str">
        <f ca="1">IFERROR(__xludf.DUMMYFUNCTION("IMPORTRANGE(H27744,""IDENTITAS UNIT!D9"")"),"#N/A")</f>
        <v>#N/A</v>
      </c>
      <c r="H27744" s="4" t="str">
        <v/>
      </c>
      <c r="I27744" s="4" t="str">
        <v/>
      </c>
    </row>
    <row r="27745" spans="5:9" ht="16.5" hidden="1">
      <c r="E27745" s="4" t="str">
        <v/>
      </c>
      <c r="F27745" s="102" t="str">
        <f ca="1">IFERROR(__xludf.DUMMYFUNCTION("IMPORTRANGE(H27745,""IDENTITAS UNIT!D9"")"),"#N/A")</f>
        <v>#N/A</v>
      </c>
      <c r="H27745" s="4" t="str">
        <v/>
      </c>
      <c r="I27745" s="4" t="str">
        <v/>
      </c>
    </row>
    <row r="27746" spans="5:9" ht="16.5" hidden="1">
      <c r="E27746" s="4" t="str">
        <v/>
      </c>
      <c r="F27746" s="102" t="str">
        <f ca="1">IFERROR(__xludf.DUMMYFUNCTION("IMPORTRANGE(H27746,""IDENTITAS UNIT!D9"")"),"#N/A")</f>
        <v>#N/A</v>
      </c>
      <c r="H27746" s="4" t="str">
        <v/>
      </c>
      <c r="I27746" s="4" t="str">
        <v/>
      </c>
    </row>
    <row r="27747" spans="5:9" ht="16.5" hidden="1">
      <c r="E27747" s="4" t="str">
        <v/>
      </c>
      <c r="F27747" s="102" t="str">
        <f ca="1">IFERROR(__xludf.DUMMYFUNCTION("IMPORTRANGE(H27747,""IDENTITAS UNIT!D9"")"),"#N/A")</f>
        <v>#N/A</v>
      </c>
      <c r="H27747" s="4" t="str">
        <v/>
      </c>
      <c r="I27747" s="4" t="str">
        <v/>
      </c>
    </row>
    <row r="27748" spans="5:9" ht="16.5" hidden="1">
      <c r="E27748" s="4" t="str">
        <v/>
      </c>
      <c r="F27748" s="102" t="str">
        <f ca="1">IFERROR(__xludf.DUMMYFUNCTION("IMPORTRANGE(H27748,""IDENTITAS UNIT!D9"")"),"#N/A")</f>
        <v>#N/A</v>
      </c>
      <c r="H27748" s="4" t="str">
        <v/>
      </c>
      <c r="I27748" s="4" t="str">
        <v/>
      </c>
    </row>
    <row r="27749" spans="5:9" ht="16.5" hidden="1">
      <c r="E27749" s="4" t="str">
        <v/>
      </c>
      <c r="F27749" s="102" t="str">
        <f ca="1">IFERROR(__xludf.DUMMYFUNCTION("IMPORTRANGE(H27749,""IDENTITAS UNIT!D9"")"),"#N/A")</f>
        <v>#N/A</v>
      </c>
      <c r="H27749" s="4" t="str">
        <v/>
      </c>
      <c r="I27749" s="4" t="str">
        <v/>
      </c>
    </row>
    <row r="27750" spans="5:9" ht="16.5" hidden="1">
      <c r="E27750" s="4" t="str">
        <v/>
      </c>
      <c r="F27750" s="102" t="str">
        <f ca="1">IFERROR(__xludf.DUMMYFUNCTION("IMPORTRANGE(H27750,""IDENTITAS UNIT!D9"")"),"#N/A")</f>
        <v>#N/A</v>
      </c>
      <c r="H27750" s="4" t="str">
        <v/>
      </c>
      <c r="I27750" s="4" t="str">
        <v/>
      </c>
    </row>
    <row r="27751" spans="5:9" ht="16.5" hidden="1">
      <c r="E27751" s="4" t="str">
        <v/>
      </c>
      <c r="F27751" s="102" t="str">
        <f ca="1">IFERROR(__xludf.DUMMYFUNCTION("IMPORTRANGE(H27751,""IDENTITAS UNIT!D9"")"),"#N/A")</f>
        <v>#N/A</v>
      </c>
      <c r="H27751" s="4" t="str">
        <v/>
      </c>
      <c r="I27751" s="4" t="str">
        <v/>
      </c>
    </row>
    <row r="27752" spans="5:9" ht="16.5" hidden="1">
      <c r="E27752" s="4" t="str">
        <v/>
      </c>
      <c r="F27752" s="102" t="str">
        <f ca="1">IFERROR(__xludf.DUMMYFUNCTION("IMPORTRANGE(H27752,""IDENTITAS UNIT!D9"")"),"#N/A")</f>
        <v>#N/A</v>
      </c>
      <c r="H27752" s="4" t="str">
        <v/>
      </c>
      <c r="I27752" s="4" t="str">
        <v/>
      </c>
    </row>
    <row r="27753" spans="5:9" ht="16.5" hidden="1">
      <c r="E27753" s="4" t="str">
        <v/>
      </c>
      <c r="F27753" s="102" t="str">
        <f ca="1">IFERROR(__xludf.DUMMYFUNCTION("IMPORTRANGE(H27753,""IDENTITAS UNIT!D9"")"),"#N/A")</f>
        <v>#N/A</v>
      </c>
      <c r="H27753" s="4" t="str">
        <v/>
      </c>
      <c r="I27753" s="4" t="str">
        <v/>
      </c>
    </row>
    <row r="27754" spans="5:9" ht="16.5" hidden="1">
      <c r="E27754" s="4" t="str">
        <v/>
      </c>
      <c r="F27754" s="102" t="str">
        <f ca="1">IFERROR(__xludf.DUMMYFUNCTION("IMPORTRANGE(H27754,""IDENTITAS UNIT!D9"")"),"#N/A")</f>
        <v>#N/A</v>
      </c>
      <c r="H27754" s="4" t="str">
        <v/>
      </c>
      <c r="I27754" s="4" t="str">
        <v/>
      </c>
    </row>
    <row r="27755" spans="5:9" ht="16.5" hidden="1">
      <c r="E27755" s="4" t="str">
        <v/>
      </c>
      <c r="F27755" s="102" t="str">
        <f ca="1">IFERROR(__xludf.DUMMYFUNCTION("IMPORTRANGE(H27755,""IDENTITAS UNIT!D9"")"),"#N/A")</f>
        <v>#N/A</v>
      </c>
      <c r="H27755" s="4" t="str">
        <v/>
      </c>
      <c r="I27755" s="4" t="str">
        <v/>
      </c>
    </row>
    <row r="27756" spans="5:9" ht="16.5" hidden="1">
      <c r="E27756" s="4" t="str">
        <v/>
      </c>
      <c r="F27756" s="102" t="str">
        <f ca="1">IFERROR(__xludf.DUMMYFUNCTION("IMPORTRANGE(H27756,""IDENTITAS UNIT!D9"")"),"#N/A")</f>
        <v>#N/A</v>
      </c>
      <c r="H27756" s="4" t="str">
        <v/>
      </c>
      <c r="I27756" s="4" t="str">
        <v/>
      </c>
    </row>
    <row r="27757" spans="5:9" ht="16.5" hidden="1">
      <c r="E27757" s="4" t="str">
        <v/>
      </c>
      <c r="F27757" s="102" t="str">
        <f ca="1">IFERROR(__xludf.DUMMYFUNCTION("IMPORTRANGE(H27757,""IDENTITAS UNIT!D9"")"),"#N/A")</f>
        <v>#N/A</v>
      </c>
      <c r="H27757" s="4" t="str">
        <v/>
      </c>
      <c r="I27757" s="4" t="str">
        <v/>
      </c>
    </row>
    <row r="27758" spans="5:9" ht="16.5" hidden="1">
      <c r="E27758" s="4" t="str">
        <v/>
      </c>
      <c r="F27758" s="102" t="str">
        <f ca="1">IFERROR(__xludf.DUMMYFUNCTION("IMPORTRANGE(H27758,""IDENTITAS UNIT!D9"")"),"#N/A")</f>
        <v>#N/A</v>
      </c>
      <c r="H27758" s="4" t="str">
        <v/>
      </c>
      <c r="I27758" s="4" t="str">
        <v/>
      </c>
    </row>
    <row r="27759" spans="5:9" ht="16.5" hidden="1">
      <c r="E27759" s="4" t="str">
        <v/>
      </c>
      <c r="F27759" s="102" t="str">
        <f ca="1">IFERROR(__xludf.DUMMYFUNCTION("IMPORTRANGE(H27759,""IDENTITAS UNIT!D9"")"),"#N/A")</f>
        <v>#N/A</v>
      </c>
      <c r="H27759" s="4" t="str">
        <v/>
      </c>
      <c r="I27759" s="4" t="str">
        <v/>
      </c>
    </row>
    <row r="27760" spans="5:9" ht="16.5" hidden="1">
      <c r="E27760" s="4" t="str">
        <v/>
      </c>
      <c r="F27760" s="102" t="str">
        <f ca="1">IFERROR(__xludf.DUMMYFUNCTION("IMPORTRANGE(H27760,""IDENTITAS UNIT!D9"")"),"#N/A")</f>
        <v>#N/A</v>
      </c>
      <c r="H27760" s="4" t="str">
        <v/>
      </c>
      <c r="I27760" s="4" t="str">
        <v/>
      </c>
    </row>
    <row r="27761" spans="5:9" ht="16.5" hidden="1">
      <c r="E27761" s="4" t="str">
        <v/>
      </c>
      <c r="F27761" s="102" t="str">
        <f ca="1">IFERROR(__xludf.DUMMYFUNCTION("IMPORTRANGE(H27761,""IDENTITAS UNIT!D9"")"),"#N/A")</f>
        <v>#N/A</v>
      </c>
      <c r="H27761" s="4" t="str">
        <v/>
      </c>
      <c r="I27761" s="4" t="str">
        <v/>
      </c>
    </row>
    <row r="27762" spans="5:9" ht="16.5" hidden="1">
      <c r="E27762" s="4" t="str">
        <v/>
      </c>
      <c r="F27762" s="102" t="str">
        <f ca="1">IFERROR(__xludf.DUMMYFUNCTION("IMPORTRANGE(H27762,""IDENTITAS UNIT!D9"")"),"#N/A")</f>
        <v>#N/A</v>
      </c>
      <c r="H27762" s="4" t="str">
        <v/>
      </c>
      <c r="I27762" s="4" t="str">
        <v/>
      </c>
    </row>
    <row r="27763" spans="5:9" ht="16.5" hidden="1">
      <c r="E27763" s="4" t="str">
        <v/>
      </c>
      <c r="F27763" s="102" t="str">
        <f ca="1">IFERROR(__xludf.DUMMYFUNCTION("IMPORTRANGE(H27763,""IDENTITAS UNIT!D9"")"),"#N/A")</f>
        <v>#N/A</v>
      </c>
      <c r="H27763" s="4" t="str">
        <v/>
      </c>
      <c r="I27763" s="4" t="str">
        <v/>
      </c>
    </row>
    <row r="27764" spans="5:9" ht="16.5" hidden="1">
      <c r="E27764" s="4" t="str">
        <v/>
      </c>
      <c r="F27764" s="102" t="str">
        <f ca="1">IFERROR(__xludf.DUMMYFUNCTION("IMPORTRANGE(H27764,""IDENTITAS UNIT!D9"")"),"#N/A")</f>
        <v>#N/A</v>
      </c>
      <c r="H27764" s="4" t="str">
        <v/>
      </c>
      <c r="I27764" s="4" t="str">
        <v/>
      </c>
    </row>
    <row r="27765" spans="5:9" ht="16.5" hidden="1">
      <c r="E27765" s="4" t="str">
        <v/>
      </c>
      <c r="F27765" s="102" t="str">
        <f ca="1">IFERROR(__xludf.DUMMYFUNCTION("IMPORTRANGE(H27765,""IDENTITAS UNIT!D9"")"),"#N/A")</f>
        <v>#N/A</v>
      </c>
      <c r="H27765" s="4" t="str">
        <v/>
      </c>
      <c r="I27765" s="4" t="str">
        <v/>
      </c>
    </row>
    <row r="27766" spans="5:9" ht="16.5" hidden="1">
      <c r="E27766" s="4" t="str">
        <v/>
      </c>
      <c r="F27766" s="102" t="str">
        <f ca="1">IFERROR(__xludf.DUMMYFUNCTION("IMPORTRANGE(H27766,""IDENTITAS UNIT!D9"")"),"#N/A")</f>
        <v>#N/A</v>
      </c>
      <c r="H27766" s="4" t="str">
        <v/>
      </c>
      <c r="I27766" s="4" t="str">
        <v/>
      </c>
    </row>
    <row r="27767" spans="5:9" ht="16.5" hidden="1">
      <c r="E27767" s="4" t="str">
        <v/>
      </c>
      <c r="F27767" s="102" t="str">
        <f ca="1">IFERROR(__xludf.DUMMYFUNCTION("IMPORTRANGE(H27767,""IDENTITAS UNIT!D9"")"),"#N/A")</f>
        <v>#N/A</v>
      </c>
      <c r="H27767" s="4" t="str">
        <v/>
      </c>
      <c r="I27767" s="4" t="str">
        <v/>
      </c>
    </row>
    <row r="27768" spans="5:9" ht="16.5" hidden="1">
      <c r="E27768" s="4" t="str">
        <v/>
      </c>
      <c r="F27768" s="102" t="str">
        <f ca="1">IFERROR(__xludf.DUMMYFUNCTION("IMPORTRANGE(H27768,""IDENTITAS UNIT!D9"")"),"#N/A")</f>
        <v>#N/A</v>
      </c>
      <c r="H27768" s="4" t="str">
        <v/>
      </c>
      <c r="I27768" s="4" t="str">
        <v/>
      </c>
    </row>
    <row r="27769" spans="5:9" ht="16.5" hidden="1">
      <c r="E27769" s="4" t="str">
        <v/>
      </c>
      <c r="F27769" s="102" t="str">
        <f ca="1">IFERROR(__xludf.DUMMYFUNCTION("IMPORTRANGE(H27769,""IDENTITAS UNIT!D9"")"),"#N/A")</f>
        <v>#N/A</v>
      </c>
      <c r="H27769" s="4" t="str">
        <v/>
      </c>
      <c r="I27769" s="4" t="str">
        <v/>
      </c>
    </row>
    <row r="27770" spans="5:9" ht="16.5" hidden="1">
      <c r="E27770" s="4" t="str">
        <v/>
      </c>
      <c r="F27770" s="102" t="str">
        <f ca="1">IFERROR(__xludf.DUMMYFUNCTION("IMPORTRANGE(H27770,""IDENTITAS UNIT!D9"")"),"#N/A")</f>
        <v>#N/A</v>
      </c>
      <c r="H27770" s="4" t="str">
        <v/>
      </c>
      <c r="I27770" s="4" t="str">
        <v/>
      </c>
    </row>
    <row r="27771" spans="5:9" ht="16.5" hidden="1">
      <c r="E27771" s="4" t="str">
        <v/>
      </c>
      <c r="F27771" s="102" t="str">
        <f ca="1">IFERROR(__xludf.DUMMYFUNCTION("IMPORTRANGE(H27771,""IDENTITAS UNIT!D9"")"),"#N/A")</f>
        <v>#N/A</v>
      </c>
      <c r="H27771" s="4" t="str">
        <v/>
      </c>
      <c r="I27771" s="4" t="str">
        <v/>
      </c>
    </row>
    <row r="27772" spans="5:9" ht="16.5" hidden="1">
      <c r="E27772" s="4" t="str">
        <v/>
      </c>
      <c r="F27772" s="102" t="str">
        <f ca="1">IFERROR(__xludf.DUMMYFUNCTION("IMPORTRANGE(H27772,""IDENTITAS UNIT!D9"")"),"#N/A")</f>
        <v>#N/A</v>
      </c>
      <c r="H27772" s="4" t="str">
        <v/>
      </c>
      <c r="I27772" s="4" t="str">
        <v/>
      </c>
    </row>
    <row r="27773" spans="5:9" ht="16.5" hidden="1">
      <c r="E27773" s="4" t="str">
        <v/>
      </c>
      <c r="F27773" s="102" t="str">
        <f ca="1">IFERROR(__xludf.DUMMYFUNCTION("IMPORTRANGE(H27773,""IDENTITAS UNIT!D9"")"),"#N/A")</f>
        <v>#N/A</v>
      </c>
      <c r="H27773" s="4" t="str">
        <v/>
      </c>
      <c r="I27773" s="4" t="str">
        <v/>
      </c>
    </row>
    <row r="27774" spans="5:9" ht="16.5" hidden="1">
      <c r="E27774" s="4" t="str">
        <v/>
      </c>
      <c r="F27774" s="102" t="str">
        <f ca="1">IFERROR(__xludf.DUMMYFUNCTION("IMPORTRANGE(H27774,""IDENTITAS UNIT!D9"")"),"#N/A")</f>
        <v>#N/A</v>
      </c>
      <c r="H27774" s="4" t="str">
        <v/>
      </c>
      <c r="I27774" s="4" t="str">
        <v/>
      </c>
    </row>
    <row r="27775" spans="5:9" ht="16.5" hidden="1">
      <c r="E27775" s="4" t="str">
        <v/>
      </c>
      <c r="F27775" s="102" t="str">
        <f ca="1">IFERROR(__xludf.DUMMYFUNCTION("IMPORTRANGE(H27775,""IDENTITAS UNIT!D9"")"),"#N/A")</f>
        <v>#N/A</v>
      </c>
      <c r="H27775" s="4" t="str">
        <v/>
      </c>
      <c r="I27775" s="4" t="str">
        <v/>
      </c>
    </row>
    <row r="27776" spans="5:9" ht="16.5" hidden="1">
      <c r="E27776" s="4" t="str">
        <v/>
      </c>
      <c r="F27776" s="102" t="str">
        <f ca="1">IFERROR(__xludf.DUMMYFUNCTION("IMPORTRANGE(H27776,""IDENTITAS UNIT!D9"")"),"#N/A")</f>
        <v>#N/A</v>
      </c>
      <c r="H27776" s="4" t="str">
        <v/>
      </c>
      <c r="I27776" s="4" t="str">
        <v/>
      </c>
    </row>
    <row r="27777" spans="5:9" ht="16.5" hidden="1">
      <c r="E27777" s="4" t="str">
        <v/>
      </c>
      <c r="F27777" s="102" t="str">
        <f ca="1">IFERROR(__xludf.DUMMYFUNCTION("IMPORTRANGE(H27777,""IDENTITAS UNIT!D9"")"),"#N/A")</f>
        <v>#N/A</v>
      </c>
      <c r="H27777" s="4" t="str">
        <v/>
      </c>
      <c r="I27777" s="4" t="str">
        <v/>
      </c>
    </row>
    <row r="27778" spans="5:9" ht="16.5" hidden="1">
      <c r="E27778" s="4" t="str">
        <v/>
      </c>
      <c r="F27778" s="102" t="str">
        <f ca="1">IFERROR(__xludf.DUMMYFUNCTION("IMPORTRANGE(H27778,""IDENTITAS UNIT!D9"")"),"#N/A")</f>
        <v>#N/A</v>
      </c>
      <c r="H27778" s="4" t="str">
        <v/>
      </c>
      <c r="I27778" s="4" t="str">
        <v/>
      </c>
    </row>
    <row r="27779" spans="5:9" ht="16.5" hidden="1">
      <c r="E27779" s="4" t="str">
        <v/>
      </c>
      <c r="F27779" s="102" t="str">
        <f ca="1">IFERROR(__xludf.DUMMYFUNCTION("IMPORTRANGE(H27779,""IDENTITAS UNIT!D9"")"),"#N/A")</f>
        <v>#N/A</v>
      </c>
      <c r="H27779" s="4" t="str">
        <v/>
      </c>
      <c r="I27779" s="4" t="str">
        <v/>
      </c>
    </row>
    <row r="27780" spans="5:9" ht="16.5" hidden="1">
      <c r="E27780" s="4" t="str">
        <v/>
      </c>
      <c r="F27780" s="102" t="str">
        <f ca="1">IFERROR(__xludf.DUMMYFUNCTION("IMPORTRANGE(H27780,""IDENTITAS UNIT!D9"")"),"#N/A")</f>
        <v>#N/A</v>
      </c>
      <c r="H27780" s="4" t="str">
        <v/>
      </c>
      <c r="I27780" s="4" t="str">
        <v/>
      </c>
    </row>
    <row r="27781" spans="5:9" ht="16.5" hidden="1">
      <c r="E27781" s="4" t="str">
        <v/>
      </c>
      <c r="F27781" s="102" t="str">
        <f ca="1">IFERROR(__xludf.DUMMYFUNCTION("IMPORTRANGE(H27781,""IDENTITAS UNIT!D9"")"),"#N/A")</f>
        <v>#N/A</v>
      </c>
      <c r="H27781" s="4" t="str">
        <v/>
      </c>
      <c r="I27781" s="4" t="str">
        <v/>
      </c>
    </row>
    <row r="27782" spans="5:9" ht="16.5" hidden="1">
      <c r="E27782" s="4" t="str">
        <v/>
      </c>
      <c r="F27782" s="102" t="str">
        <f ca="1">IFERROR(__xludf.DUMMYFUNCTION("IMPORTRANGE(H27782,""IDENTITAS UNIT!D9"")"),"#N/A")</f>
        <v>#N/A</v>
      </c>
      <c r="H27782" s="4" t="str">
        <v/>
      </c>
      <c r="I27782" s="4" t="str">
        <v/>
      </c>
    </row>
    <row r="27783" spans="5:9" ht="16.5" hidden="1">
      <c r="E27783" s="4" t="str">
        <v/>
      </c>
      <c r="F27783" s="102" t="str">
        <f ca="1">IFERROR(__xludf.DUMMYFUNCTION("IMPORTRANGE(H27783,""IDENTITAS UNIT!D9"")"),"#N/A")</f>
        <v>#N/A</v>
      </c>
      <c r="H27783" s="4" t="str">
        <v/>
      </c>
      <c r="I27783" s="4" t="str">
        <v/>
      </c>
    </row>
    <row r="27784" spans="5:9" ht="16.5" hidden="1">
      <c r="E27784" s="4" t="str">
        <v/>
      </c>
      <c r="F27784" s="102" t="str">
        <f ca="1">IFERROR(__xludf.DUMMYFUNCTION("IMPORTRANGE(H27784,""IDENTITAS UNIT!D9"")"),"#N/A")</f>
        <v>#N/A</v>
      </c>
      <c r="H27784" s="4" t="str">
        <v/>
      </c>
      <c r="I27784" s="4" t="str">
        <v/>
      </c>
    </row>
    <row r="27785" spans="5:9" ht="16.5" hidden="1">
      <c r="E27785" s="4" t="str">
        <v/>
      </c>
      <c r="F27785" s="102" t="str">
        <f ca="1">IFERROR(__xludf.DUMMYFUNCTION("IMPORTRANGE(H27785,""IDENTITAS UNIT!D9"")"),"#N/A")</f>
        <v>#N/A</v>
      </c>
      <c r="H27785" s="4" t="str">
        <v/>
      </c>
      <c r="I27785" s="4" t="str">
        <v/>
      </c>
    </row>
    <row r="27786" spans="5:9" ht="16.5" hidden="1">
      <c r="E27786" s="4" t="str">
        <v/>
      </c>
      <c r="F27786" s="102" t="str">
        <f ca="1">IFERROR(__xludf.DUMMYFUNCTION("IMPORTRANGE(H27786,""IDENTITAS UNIT!D9"")"),"#N/A")</f>
        <v>#N/A</v>
      </c>
      <c r="H27786" s="4" t="str">
        <v/>
      </c>
      <c r="I27786" s="4" t="str">
        <v/>
      </c>
    </row>
    <row r="27787" spans="5:9" ht="16.5" hidden="1">
      <c r="E27787" s="4" t="str">
        <v/>
      </c>
      <c r="F27787" s="102" t="str">
        <f ca="1">IFERROR(__xludf.DUMMYFUNCTION("IMPORTRANGE(H27787,""IDENTITAS UNIT!D9"")"),"#N/A")</f>
        <v>#N/A</v>
      </c>
      <c r="H27787" s="4" t="str">
        <v/>
      </c>
      <c r="I27787" s="4" t="str">
        <v/>
      </c>
    </row>
    <row r="27788" spans="5:9" ht="16.5" hidden="1">
      <c r="E27788" s="4" t="str">
        <v/>
      </c>
      <c r="F27788" s="102" t="str">
        <f ca="1">IFERROR(__xludf.DUMMYFUNCTION("IMPORTRANGE(H27788,""IDENTITAS UNIT!D9"")"),"#N/A")</f>
        <v>#N/A</v>
      </c>
      <c r="H27788" s="4" t="str">
        <v/>
      </c>
      <c r="I27788" s="4" t="str">
        <v/>
      </c>
    </row>
    <row r="27789" spans="5:9" ht="16.5" hidden="1">
      <c r="E27789" s="4" t="str">
        <v/>
      </c>
      <c r="F27789" s="102" t="str">
        <f ca="1">IFERROR(__xludf.DUMMYFUNCTION("IMPORTRANGE(H27789,""IDENTITAS UNIT!D9"")"),"#N/A")</f>
        <v>#N/A</v>
      </c>
      <c r="H27789" s="4" t="str">
        <v/>
      </c>
      <c r="I27789" s="4" t="str">
        <v/>
      </c>
    </row>
    <row r="27790" spans="5:9" ht="16.5" hidden="1">
      <c r="E27790" s="4" t="str">
        <v/>
      </c>
      <c r="F27790" s="102" t="str">
        <f ca="1">IFERROR(__xludf.DUMMYFUNCTION("IMPORTRANGE(H27790,""IDENTITAS UNIT!D9"")"),"#N/A")</f>
        <v>#N/A</v>
      </c>
      <c r="H27790" s="4" t="str">
        <v/>
      </c>
      <c r="I27790" s="4" t="str">
        <v/>
      </c>
    </row>
    <row r="27791" spans="5:9" ht="16.5" hidden="1">
      <c r="E27791" s="4" t="str">
        <v/>
      </c>
      <c r="F27791" s="102" t="str">
        <f ca="1">IFERROR(__xludf.DUMMYFUNCTION("IMPORTRANGE(H27791,""IDENTITAS UNIT!D9"")"),"#N/A")</f>
        <v>#N/A</v>
      </c>
      <c r="H27791" s="4" t="str">
        <v/>
      </c>
      <c r="I27791" s="4" t="str">
        <v/>
      </c>
    </row>
    <row r="27792" spans="5:9" ht="16.5" hidden="1">
      <c r="E27792" s="4" t="str">
        <v/>
      </c>
      <c r="F27792" s="102" t="str">
        <f ca="1">IFERROR(__xludf.DUMMYFUNCTION("IMPORTRANGE(H27792,""IDENTITAS UNIT!D9"")"),"#N/A")</f>
        <v>#N/A</v>
      </c>
      <c r="H27792" s="4" t="str">
        <v/>
      </c>
      <c r="I27792" s="4" t="str">
        <v/>
      </c>
    </row>
    <row r="27793" spans="5:9" ht="16.5" hidden="1">
      <c r="E27793" s="4" t="str">
        <v/>
      </c>
      <c r="F27793" s="102" t="str">
        <f ca="1">IFERROR(__xludf.DUMMYFUNCTION("IMPORTRANGE(H27793,""IDENTITAS UNIT!D9"")"),"#N/A")</f>
        <v>#N/A</v>
      </c>
      <c r="H27793" s="4" t="str">
        <v/>
      </c>
      <c r="I27793" s="4" t="str">
        <v/>
      </c>
    </row>
    <row r="27794" spans="5:9" ht="16.5" hidden="1">
      <c r="E27794" s="4" t="str">
        <v/>
      </c>
      <c r="F27794" s="102" t="str">
        <f ca="1">IFERROR(__xludf.DUMMYFUNCTION("IMPORTRANGE(H27794,""IDENTITAS UNIT!D9"")"),"#N/A")</f>
        <v>#N/A</v>
      </c>
      <c r="H27794" s="4" t="str">
        <v/>
      </c>
      <c r="I27794" s="4" t="str">
        <v/>
      </c>
    </row>
    <row r="27795" spans="5:9" ht="16.5" hidden="1">
      <c r="E27795" s="4" t="str">
        <v/>
      </c>
      <c r="F27795" s="102" t="str">
        <f ca="1">IFERROR(__xludf.DUMMYFUNCTION("IMPORTRANGE(H27795,""IDENTITAS UNIT!D9"")"),"#N/A")</f>
        <v>#N/A</v>
      </c>
      <c r="H27795" s="4" t="str">
        <v/>
      </c>
      <c r="I27795" s="4" t="str">
        <v/>
      </c>
    </row>
    <row r="27796" spans="5:9" ht="16.5" hidden="1">
      <c r="E27796" s="4" t="str">
        <v/>
      </c>
      <c r="F27796" s="102" t="str">
        <f ca="1">IFERROR(__xludf.DUMMYFUNCTION("IMPORTRANGE(H27796,""IDENTITAS UNIT!D9"")"),"#N/A")</f>
        <v>#N/A</v>
      </c>
      <c r="H27796" s="4" t="str">
        <v/>
      </c>
      <c r="I27796" s="4" t="str">
        <v/>
      </c>
    </row>
    <row r="27797" spans="5:9" ht="16.5" hidden="1">
      <c r="E27797" s="4" t="str">
        <v/>
      </c>
      <c r="F27797" s="102" t="str">
        <f ca="1">IFERROR(__xludf.DUMMYFUNCTION("IMPORTRANGE(H27797,""IDENTITAS UNIT!D9"")"),"#N/A")</f>
        <v>#N/A</v>
      </c>
      <c r="H27797" s="4" t="str">
        <v/>
      </c>
      <c r="I27797" s="4" t="str">
        <v/>
      </c>
    </row>
    <row r="27798" spans="5:9" ht="16.5" hidden="1">
      <c r="E27798" s="4" t="str">
        <v/>
      </c>
      <c r="F27798" s="102" t="str">
        <f ca="1">IFERROR(__xludf.DUMMYFUNCTION("IMPORTRANGE(H27798,""IDENTITAS UNIT!D9"")"),"#N/A")</f>
        <v>#N/A</v>
      </c>
      <c r="H27798" s="4" t="str">
        <v/>
      </c>
      <c r="I27798" s="4" t="str">
        <v/>
      </c>
    </row>
    <row r="27799" spans="5:9" ht="16.5" hidden="1">
      <c r="E27799" s="4" t="str">
        <v/>
      </c>
      <c r="F27799" s="102" t="str">
        <f ca="1">IFERROR(__xludf.DUMMYFUNCTION("IMPORTRANGE(H27799,""IDENTITAS UNIT!D9"")"),"#N/A")</f>
        <v>#N/A</v>
      </c>
      <c r="H27799" s="4" t="str">
        <v/>
      </c>
      <c r="I27799" s="4" t="str">
        <v/>
      </c>
    </row>
    <row r="27800" spans="5:9" ht="16.5" hidden="1">
      <c r="E27800" s="4" t="str">
        <v/>
      </c>
      <c r="F27800" s="102" t="str">
        <f ca="1">IFERROR(__xludf.DUMMYFUNCTION("IMPORTRANGE(H27800,""IDENTITAS UNIT!D9"")"),"#N/A")</f>
        <v>#N/A</v>
      </c>
      <c r="H27800" s="4" t="str">
        <v/>
      </c>
      <c r="I27800" s="4" t="str">
        <v/>
      </c>
    </row>
    <row r="27801" spans="5:9" ht="16.5" hidden="1">
      <c r="E27801" s="4" t="str">
        <v/>
      </c>
      <c r="F27801" s="102" t="str">
        <f ca="1">IFERROR(__xludf.DUMMYFUNCTION("IMPORTRANGE(H27801,""IDENTITAS UNIT!D9"")"),"#N/A")</f>
        <v>#N/A</v>
      </c>
      <c r="H27801" s="4" t="str">
        <v/>
      </c>
      <c r="I27801" s="4" t="str">
        <v/>
      </c>
    </row>
    <row r="27802" spans="5:9" ht="16.5" hidden="1">
      <c r="E27802" s="4" t="str">
        <v/>
      </c>
      <c r="F27802" s="102" t="str">
        <f ca="1">IFERROR(__xludf.DUMMYFUNCTION("IMPORTRANGE(H27802,""IDENTITAS UNIT!D9"")"),"#N/A")</f>
        <v>#N/A</v>
      </c>
      <c r="H27802" s="4" t="str">
        <v/>
      </c>
      <c r="I27802" s="4" t="str">
        <v/>
      </c>
    </row>
    <row r="27803" spans="5:9" ht="16.5" hidden="1">
      <c r="E27803" s="4" t="str">
        <v/>
      </c>
      <c r="F27803" s="102" t="str">
        <f ca="1">IFERROR(__xludf.DUMMYFUNCTION("IMPORTRANGE(H27803,""IDENTITAS UNIT!D9"")"),"#N/A")</f>
        <v>#N/A</v>
      </c>
      <c r="H27803" s="4" t="str">
        <v/>
      </c>
      <c r="I27803" s="4" t="str">
        <v/>
      </c>
    </row>
    <row r="27804" spans="5:9" ht="16.5" hidden="1">
      <c r="E27804" s="4" t="str">
        <v/>
      </c>
      <c r="F27804" s="102" t="str">
        <f ca="1">IFERROR(__xludf.DUMMYFUNCTION("IMPORTRANGE(H27804,""IDENTITAS UNIT!D9"")"),"#N/A")</f>
        <v>#N/A</v>
      </c>
      <c r="H27804" s="4" t="str">
        <v/>
      </c>
      <c r="I27804" s="4" t="str">
        <v/>
      </c>
    </row>
    <row r="27805" spans="5:9" ht="16.5" hidden="1">
      <c r="E27805" s="4" t="str">
        <v/>
      </c>
      <c r="F27805" s="102" t="str">
        <f ca="1">IFERROR(__xludf.DUMMYFUNCTION("IMPORTRANGE(H27805,""IDENTITAS UNIT!D9"")"),"#N/A")</f>
        <v>#N/A</v>
      </c>
      <c r="H27805" s="4" t="str">
        <v/>
      </c>
      <c r="I27805" s="4" t="str">
        <v/>
      </c>
    </row>
    <row r="27806" spans="5:9" ht="16.5" hidden="1">
      <c r="E27806" s="4" t="str">
        <v/>
      </c>
      <c r="F27806" s="102" t="str">
        <f ca="1">IFERROR(__xludf.DUMMYFUNCTION("IMPORTRANGE(H27806,""IDENTITAS UNIT!D9"")"),"#N/A")</f>
        <v>#N/A</v>
      </c>
      <c r="H27806" s="4" t="str">
        <v/>
      </c>
      <c r="I27806" s="4" t="str">
        <v/>
      </c>
    </row>
    <row r="27807" spans="5:9" ht="16.5" hidden="1">
      <c r="E27807" s="4" t="str">
        <v/>
      </c>
      <c r="F27807" s="102" t="str">
        <f ca="1">IFERROR(__xludf.DUMMYFUNCTION("IMPORTRANGE(H27807,""IDENTITAS UNIT!D9"")"),"#N/A")</f>
        <v>#N/A</v>
      </c>
      <c r="H27807" s="4" t="str">
        <v/>
      </c>
      <c r="I27807" s="4" t="str">
        <v/>
      </c>
    </row>
    <row r="27808" spans="5:9" ht="16.5" hidden="1">
      <c r="E27808" s="4" t="str">
        <v/>
      </c>
      <c r="F27808" s="102" t="str">
        <f ca="1">IFERROR(__xludf.DUMMYFUNCTION("IMPORTRANGE(H27808,""IDENTITAS UNIT!D9"")"),"#N/A")</f>
        <v>#N/A</v>
      </c>
      <c r="H27808" s="4" t="str">
        <v/>
      </c>
      <c r="I27808" s="4" t="str">
        <v/>
      </c>
    </row>
    <row r="27809" spans="5:9" ht="16.5" hidden="1">
      <c r="E27809" s="4" t="str">
        <v/>
      </c>
      <c r="F27809" s="102" t="str">
        <f ca="1">IFERROR(__xludf.DUMMYFUNCTION("IMPORTRANGE(H27809,""IDENTITAS UNIT!D9"")"),"#N/A")</f>
        <v>#N/A</v>
      </c>
      <c r="H27809" s="4" t="str">
        <v/>
      </c>
      <c r="I27809" s="4" t="str">
        <v/>
      </c>
    </row>
    <row r="27810" spans="5:9" ht="16.5" hidden="1">
      <c r="E27810" s="4" t="str">
        <v/>
      </c>
      <c r="F27810" s="102" t="str">
        <f ca="1">IFERROR(__xludf.DUMMYFUNCTION("IMPORTRANGE(H27810,""IDENTITAS UNIT!D9"")"),"#N/A")</f>
        <v>#N/A</v>
      </c>
      <c r="H27810" s="4" t="str">
        <v/>
      </c>
      <c r="I27810" s="4" t="str">
        <v/>
      </c>
    </row>
    <row r="27811" spans="5:9" ht="16.5" hidden="1">
      <c r="E27811" s="4" t="str">
        <v/>
      </c>
      <c r="F27811" s="102" t="str">
        <f ca="1">IFERROR(__xludf.DUMMYFUNCTION("IMPORTRANGE(H27811,""IDENTITAS UNIT!D9"")"),"#N/A")</f>
        <v>#N/A</v>
      </c>
      <c r="H27811" s="4" t="str">
        <v/>
      </c>
      <c r="I27811" s="4" t="str">
        <v/>
      </c>
    </row>
    <row r="27812" spans="5:9" ht="16.5" hidden="1">
      <c r="E27812" s="4" t="str">
        <v/>
      </c>
      <c r="F27812" s="102" t="str">
        <f ca="1">IFERROR(__xludf.DUMMYFUNCTION("IMPORTRANGE(H27812,""IDENTITAS UNIT!D9"")"),"#N/A")</f>
        <v>#N/A</v>
      </c>
      <c r="H27812" s="4" t="str">
        <v/>
      </c>
      <c r="I27812" s="4" t="str">
        <v/>
      </c>
    </row>
    <row r="27813" spans="5:9" ht="16.5" hidden="1">
      <c r="E27813" s="4" t="str">
        <v/>
      </c>
      <c r="F27813" s="102" t="str">
        <f ca="1">IFERROR(__xludf.DUMMYFUNCTION("IMPORTRANGE(H27813,""IDENTITAS UNIT!D9"")"),"#N/A")</f>
        <v>#N/A</v>
      </c>
      <c r="H27813" s="4" t="str">
        <v/>
      </c>
      <c r="I27813" s="4" t="str">
        <v/>
      </c>
    </row>
    <row r="27814" spans="5:9" ht="16.5" hidden="1">
      <c r="E27814" s="4" t="str">
        <v/>
      </c>
      <c r="F27814" s="102" t="str">
        <f ca="1">IFERROR(__xludf.DUMMYFUNCTION("IMPORTRANGE(H27814,""IDENTITAS UNIT!D9"")"),"#N/A")</f>
        <v>#N/A</v>
      </c>
      <c r="H27814" s="4" t="str">
        <v/>
      </c>
      <c r="I27814" s="4" t="str">
        <v/>
      </c>
    </row>
    <row r="27815" spans="5:9" ht="16.5" hidden="1">
      <c r="E27815" s="4" t="str">
        <v/>
      </c>
      <c r="F27815" s="102" t="str">
        <f ca="1">IFERROR(__xludf.DUMMYFUNCTION("IMPORTRANGE(H27815,""IDENTITAS UNIT!D9"")"),"#N/A")</f>
        <v>#N/A</v>
      </c>
      <c r="H27815" s="4" t="str">
        <v/>
      </c>
      <c r="I27815" s="4" t="str">
        <v/>
      </c>
    </row>
    <row r="27816" spans="5:9" ht="16.5" hidden="1">
      <c r="E27816" s="4" t="str">
        <v/>
      </c>
      <c r="F27816" s="102" t="str">
        <f ca="1">IFERROR(__xludf.DUMMYFUNCTION("IMPORTRANGE(H27816,""IDENTITAS UNIT!D9"")"),"#N/A")</f>
        <v>#N/A</v>
      </c>
      <c r="H27816" s="4" t="str">
        <v/>
      </c>
      <c r="I27816" s="4" t="str">
        <v/>
      </c>
    </row>
    <row r="27817" spans="5:9" ht="16.5" hidden="1">
      <c r="E27817" s="4" t="str">
        <v/>
      </c>
      <c r="F27817" s="102" t="str">
        <f ca="1">IFERROR(__xludf.DUMMYFUNCTION("IMPORTRANGE(H27817,""IDENTITAS UNIT!D9"")"),"#N/A")</f>
        <v>#N/A</v>
      </c>
      <c r="H27817" s="4" t="str">
        <v/>
      </c>
      <c r="I27817" s="4" t="str">
        <v/>
      </c>
    </row>
    <row r="27818" spans="5:9" ht="16.5" hidden="1">
      <c r="E27818" s="4" t="str">
        <v/>
      </c>
      <c r="F27818" s="102" t="str">
        <f ca="1">IFERROR(__xludf.DUMMYFUNCTION("IMPORTRANGE(H27818,""IDENTITAS UNIT!D9"")"),"#N/A")</f>
        <v>#N/A</v>
      </c>
      <c r="H27818" s="4" t="str">
        <v/>
      </c>
      <c r="I27818" s="4" t="str">
        <v/>
      </c>
    </row>
    <row r="27819" spans="5:9" ht="16.5" hidden="1">
      <c r="E27819" s="4" t="str">
        <v/>
      </c>
      <c r="F27819" s="102" t="str">
        <f ca="1">IFERROR(__xludf.DUMMYFUNCTION("IMPORTRANGE(H27819,""IDENTITAS UNIT!D9"")"),"#N/A")</f>
        <v>#N/A</v>
      </c>
      <c r="H27819" s="4" t="str">
        <v/>
      </c>
      <c r="I27819" s="4" t="str">
        <v/>
      </c>
    </row>
    <row r="27820" spans="5:9" ht="16.5" hidden="1">
      <c r="E27820" s="4" t="str">
        <v/>
      </c>
      <c r="F27820" s="102" t="str">
        <f ca="1">IFERROR(__xludf.DUMMYFUNCTION("IMPORTRANGE(H27820,""IDENTITAS UNIT!D9"")"),"#N/A")</f>
        <v>#N/A</v>
      </c>
      <c r="H27820" s="4" t="str">
        <v/>
      </c>
      <c r="I27820" s="4" t="str">
        <v/>
      </c>
    </row>
    <row r="27821" spans="5:9" ht="16.5" hidden="1">
      <c r="E27821" s="4" t="str">
        <v/>
      </c>
      <c r="F27821" s="102" t="str">
        <f ca="1">IFERROR(__xludf.DUMMYFUNCTION("IMPORTRANGE(H27821,""IDENTITAS UNIT!D9"")"),"#N/A")</f>
        <v>#N/A</v>
      </c>
      <c r="H27821" s="4" t="str">
        <v/>
      </c>
      <c r="I27821" s="4" t="str">
        <v/>
      </c>
    </row>
    <row r="27822" spans="5:9" ht="16.5" hidden="1">
      <c r="E27822" s="4" t="str">
        <v/>
      </c>
      <c r="F27822" s="102" t="str">
        <f ca="1">IFERROR(__xludf.DUMMYFUNCTION("IMPORTRANGE(H27822,""IDENTITAS UNIT!D9"")"),"#N/A")</f>
        <v>#N/A</v>
      </c>
      <c r="H27822" s="4" t="str">
        <v/>
      </c>
      <c r="I27822" s="4" t="str">
        <v/>
      </c>
    </row>
    <row r="27823" spans="5:9" ht="16.5" hidden="1">
      <c r="E27823" s="4" t="str">
        <v/>
      </c>
      <c r="F27823" s="102" t="str">
        <f ca="1">IFERROR(__xludf.DUMMYFUNCTION("IMPORTRANGE(H27823,""IDENTITAS UNIT!D9"")"),"#N/A")</f>
        <v>#N/A</v>
      </c>
      <c r="H27823" s="4" t="str">
        <v/>
      </c>
      <c r="I27823" s="4" t="str">
        <v/>
      </c>
    </row>
    <row r="27824" spans="5:9" ht="16.5" hidden="1">
      <c r="E27824" s="4" t="str">
        <v/>
      </c>
      <c r="F27824" s="102" t="str">
        <f ca="1">IFERROR(__xludf.DUMMYFUNCTION("IMPORTRANGE(H27824,""IDENTITAS UNIT!D9"")"),"#N/A")</f>
        <v>#N/A</v>
      </c>
      <c r="H27824" s="4" t="str">
        <v/>
      </c>
      <c r="I27824" s="4" t="str">
        <v/>
      </c>
    </row>
    <row r="27825" spans="5:9" ht="16.5" hidden="1">
      <c r="E27825" s="4" t="str">
        <v/>
      </c>
      <c r="F27825" s="102" t="str">
        <f ca="1">IFERROR(__xludf.DUMMYFUNCTION("IMPORTRANGE(H27825,""IDENTITAS UNIT!D9"")"),"#N/A")</f>
        <v>#N/A</v>
      </c>
      <c r="H27825" s="4" t="str">
        <v/>
      </c>
      <c r="I27825" s="4" t="str">
        <v/>
      </c>
    </row>
    <row r="27826" spans="5:9" ht="16.5" hidden="1">
      <c r="E27826" s="4" t="str">
        <v/>
      </c>
      <c r="F27826" s="102" t="str">
        <f ca="1">IFERROR(__xludf.DUMMYFUNCTION("IMPORTRANGE(H27826,""IDENTITAS UNIT!D9"")"),"#N/A")</f>
        <v>#N/A</v>
      </c>
      <c r="H27826" s="4" t="str">
        <v/>
      </c>
      <c r="I27826" s="4" t="str">
        <v/>
      </c>
    </row>
    <row r="27827" spans="5:9" ht="16.5" hidden="1">
      <c r="E27827" s="4" t="str">
        <v/>
      </c>
      <c r="F27827" s="102" t="str">
        <f ca="1">IFERROR(__xludf.DUMMYFUNCTION("IMPORTRANGE(H27827,""IDENTITAS UNIT!D9"")"),"#N/A")</f>
        <v>#N/A</v>
      </c>
      <c r="H27827" s="4" t="str">
        <v/>
      </c>
      <c r="I27827" s="4" t="str">
        <v/>
      </c>
    </row>
    <row r="27828" spans="5:9" ht="16.5" hidden="1">
      <c r="E27828" s="4" t="str">
        <v/>
      </c>
      <c r="F27828" s="102" t="str">
        <f ca="1">IFERROR(__xludf.DUMMYFUNCTION("IMPORTRANGE(H27828,""IDENTITAS UNIT!D9"")"),"#N/A")</f>
        <v>#N/A</v>
      </c>
      <c r="H27828" s="4" t="str">
        <v/>
      </c>
      <c r="I27828" s="4" t="str">
        <v/>
      </c>
    </row>
    <row r="27829" spans="5:9" ht="16.5" hidden="1">
      <c r="E27829" s="4" t="str">
        <v/>
      </c>
      <c r="F27829" s="102" t="str">
        <f ca="1">IFERROR(__xludf.DUMMYFUNCTION("IMPORTRANGE(H27829,""IDENTITAS UNIT!D9"")"),"#N/A")</f>
        <v>#N/A</v>
      </c>
      <c r="H27829" s="4" t="str">
        <v/>
      </c>
      <c r="I27829" s="4" t="str">
        <v/>
      </c>
    </row>
    <row r="27830" spans="5:9" ht="16.5" hidden="1">
      <c r="E27830" s="4" t="str">
        <v/>
      </c>
      <c r="F27830" s="102" t="str">
        <f ca="1">IFERROR(__xludf.DUMMYFUNCTION("IMPORTRANGE(H27830,""IDENTITAS UNIT!D9"")"),"#N/A")</f>
        <v>#N/A</v>
      </c>
      <c r="H27830" s="4" t="str">
        <v/>
      </c>
      <c r="I27830" s="4" t="str">
        <v/>
      </c>
    </row>
    <row r="27831" spans="5:9" ht="16.5" hidden="1">
      <c r="E27831" s="4" t="str">
        <v/>
      </c>
      <c r="F27831" s="102" t="str">
        <f ca="1">IFERROR(__xludf.DUMMYFUNCTION("IMPORTRANGE(H27831,""IDENTITAS UNIT!D9"")"),"#N/A")</f>
        <v>#N/A</v>
      </c>
      <c r="H27831" s="4" t="str">
        <v/>
      </c>
      <c r="I27831" s="4" t="str">
        <v/>
      </c>
    </row>
    <row r="27832" spans="5:9" ht="16.5" hidden="1">
      <c r="E27832" s="4" t="str">
        <v/>
      </c>
      <c r="F27832" s="102" t="str">
        <f ca="1">IFERROR(__xludf.DUMMYFUNCTION("IMPORTRANGE(H27832,""IDENTITAS UNIT!D9"")"),"#N/A")</f>
        <v>#N/A</v>
      </c>
      <c r="H27832" s="4" t="str">
        <v/>
      </c>
      <c r="I27832" s="4" t="str">
        <v/>
      </c>
    </row>
    <row r="27833" spans="5:9" ht="16.5" hidden="1">
      <c r="E27833" s="4" t="str">
        <v/>
      </c>
      <c r="F27833" s="102" t="str">
        <f ca="1">IFERROR(__xludf.DUMMYFUNCTION("IMPORTRANGE(H27833,""IDENTITAS UNIT!D9"")"),"#N/A")</f>
        <v>#N/A</v>
      </c>
      <c r="H27833" s="4" t="str">
        <v/>
      </c>
      <c r="I27833" s="4" t="str">
        <v/>
      </c>
    </row>
    <row r="27834" spans="5:9" ht="16.5" hidden="1">
      <c r="E27834" s="4" t="str">
        <v/>
      </c>
      <c r="F27834" s="102" t="str">
        <f ca="1">IFERROR(__xludf.DUMMYFUNCTION("IMPORTRANGE(H27834,""IDENTITAS UNIT!D9"")"),"#N/A")</f>
        <v>#N/A</v>
      </c>
      <c r="H27834" s="4" t="str">
        <v/>
      </c>
      <c r="I27834" s="4" t="str">
        <v/>
      </c>
    </row>
    <row r="27835" spans="5:9" ht="16.5" hidden="1">
      <c r="E27835" s="4" t="str">
        <v/>
      </c>
      <c r="F27835" s="102" t="str">
        <f ca="1">IFERROR(__xludf.DUMMYFUNCTION("IMPORTRANGE(H27835,""IDENTITAS UNIT!D9"")"),"#N/A")</f>
        <v>#N/A</v>
      </c>
      <c r="H27835" s="4" t="str">
        <v/>
      </c>
      <c r="I27835" s="4" t="str">
        <v/>
      </c>
    </row>
    <row r="27836" spans="5:9" ht="16.5" hidden="1">
      <c r="E27836" s="4" t="str">
        <v/>
      </c>
      <c r="F27836" s="102" t="str">
        <f ca="1">IFERROR(__xludf.DUMMYFUNCTION("IMPORTRANGE(H27836,""IDENTITAS UNIT!D9"")"),"#N/A")</f>
        <v>#N/A</v>
      </c>
      <c r="H27836" s="4" t="str">
        <v/>
      </c>
      <c r="I27836" s="4" t="str">
        <v/>
      </c>
    </row>
    <row r="27837" spans="5:9" ht="16.5" hidden="1">
      <c r="E27837" s="4" t="str">
        <v/>
      </c>
      <c r="F27837" s="102" t="str">
        <f ca="1">IFERROR(__xludf.DUMMYFUNCTION("IMPORTRANGE(H27837,""IDENTITAS UNIT!D9"")"),"#N/A")</f>
        <v>#N/A</v>
      </c>
      <c r="H27837" s="4" t="str">
        <v/>
      </c>
      <c r="I27837" s="4" t="str">
        <v/>
      </c>
    </row>
    <row r="27838" spans="5:9" ht="16.5" hidden="1">
      <c r="E27838" s="4" t="str">
        <v/>
      </c>
      <c r="F27838" s="102" t="str">
        <f ca="1">IFERROR(__xludf.DUMMYFUNCTION("IMPORTRANGE(H27838,""IDENTITAS UNIT!D9"")"),"#N/A")</f>
        <v>#N/A</v>
      </c>
      <c r="H27838" s="4" t="str">
        <v/>
      </c>
      <c r="I27838" s="4" t="str">
        <v/>
      </c>
    </row>
    <row r="27839" spans="5:9" ht="16.5" hidden="1">
      <c r="E27839" s="4" t="str">
        <v/>
      </c>
      <c r="F27839" s="102" t="str">
        <f ca="1">IFERROR(__xludf.DUMMYFUNCTION("IMPORTRANGE(H27839,""IDENTITAS UNIT!D9"")"),"#N/A")</f>
        <v>#N/A</v>
      </c>
      <c r="H27839" s="4" t="str">
        <v/>
      </c>
      <c r="I27839" s="4" t="str">
        <v/>
      </c>
    </row>
    <row r="27840" spans="5:9" ht="16.5" hidden="1">
      <c r="E27840" s="4" t="str">
        <v/>
      </c>
      <c r="F27840" s="102" t="str">
        <f ca="1">IFERROR(__xludf.DUMMYFUNCTION("IMPORTRANGE(H27840,""IDENTITAS UNIT!D9"")"),"#N/A")</f>
        <v>#N/A</v>
      </c>
      <c r="H27840" s="4" t="str">
        <v/>
      </c>
      <c r="I27840" s="4" t="str">
        <v/>
      </c>
    </row>
    <row r="27841" spans="5:9" ht="16.5" hidden="1">
      <c r="E27841" s="4" t="str">
        <v/>
      </c>
      <c r="F27841" s="102" t="str">
        <f ca="1">IFERROR(__xludf.DUMMYFUNCTION("IMPORTRANGE(H27841,""IDENTITAS UNIT!D9"")"),"#N/A")</f>
        <v>#N/A</v>
      </c>
      <c r="H27841" s="4" t="str">
        <v/>
      </c>
      <c r="I27841" s="4" t="str">
        <v/>
      </c>
    </row>
    <row r="27842" spans="5:9" ht="16.5" hidden="1">
      <c r="E27842" s="4" t="str">
        <v/>
      </c>
      <c r="F27842" s="102" t="str">
        <f ca="1">IFERROR(__xludf.DUMMYFUNCTION("IMPORTRANGE(H27842,""IDENTITAS UNIT!D9"")"),"#N/A")</f>
        <v>#N/A</v>
      </c>
      <c r="H27842" s="4" t="str">
        <v/>
      </c>
      <c r="I27842" s="4" t="str">
        <v/>
      </c>
    </row>
    <row r="27843" spans="5:9" ht="16.5" hidden="1">
      <c r="E27843" s="4" t="str">
        <v/>
      </c>
      <c r="F27843" s="102" t="str">
        <f ca="1">IFERROR(__xludf.DUMMYFUNCTION("IMPORTRANGE(H27843,""IDENTITAS UNIT!D9"")"),"#N/A")</f>
        <v>#N/A</v>
      </c>
      <c r="H27843" s="4" t="str">
        <v/>
      </c>
      <c r="I27843" s="4" t="str">
        <v/>
      </c>
    </row>
    <row r="27844" spans="5:9" ht="16.5" hidden="1">
      <c r="E27844" s="4" t="str">
        <v/>
      </c>
      <c r="F27844" s="102" t="str">
        <f ca="1">IFERROR(__xludf.DUMMYFUNCTION("IMPORTRANGE(H27844,""IDENTITAS UNIT!D9"")"),"#N/A")</f>
        <v>#N/A</v>
      </c>
      <c r="H27844" s="4" t="str">
        <v/>
      </c>
      <c r="I27844" s="4" t="str">
        <v/>
      </c>
    </row>
    <row r="27845" spans="5:9" ht="16.5" hidden="1">
      <c r="E27845" s="4" t="str">
        <v/>
      </c>
      <c r="F27845" s="102" t="str">
        <f ca="1">IFERROR(__xludf.DUMMYFUNCTION("IMPORTRANGE(H27845,""IDENTITAS UNIT!D9"")"),"#N/A")</f>
        <v>#N/A</v>
      </c>
      <c r="H27845" s="4" t="str">
        <v/>
      </c>
      <c r="I27845" s="4" t="str">
        <v/>
      </c>
    </row>
    <row r="27846" spans="5:9" ht="16.5" hidden="1">
      <c r="E27846" s="4" t="str">
        <v/>
      </c>
      <c r="F27846" s="102" t="str">
        <f ca="1">IFERROR(__xludf.DUMMYFUNCTION("IMPORTRANGE(H27846,""IDENTITAS UNIT!D9"")"),"#N/A")</f>
        <v>#N/A</v>
      </c>
      <c r="H27846" s="4" t="str">
        <v/>
      </c>
      <c r="I27846" s="4" t="str">
        <v/>
      </c>
    </row>
    <row r="27847" spans="5:9" ht="16.5" hidden="1">
      <c r="E27847" s="4" t="str">
        <v/>
      </c>
      <c r="F27847" s="102" t="str">
        <f ca="1">IFERROR(__xludf.DUMMYFUNCTION("IMPORTRANGE(H27847,""IDENTITAS UNIT!D9"")"),"#N/A")</f>
        <v>#N/A</v>
      </c>
      <c r="H27847" s="4" t="str">
        <v/>
      </c>
      <c r="I27847" s="4" t="str">
        <v/>
      </c>
    </row>
    <row r="27848" spans="5:9" ht="16.5" hidden="1">
      <c r="E27848" s="4" t="str">
        <v/>
      </c>
      <c r="F27848" s="102" t="str">
        <f ca="1">IFERROR(__xludf.DUMMYFUNCTION("IMPORTRANGE(H27848,""IDENTITAS UNIT!D9"")"),"#N/A")</f>
        <v>#N/A</v>
      </c>
      <c r="H27848" s="4" t="str">
        <v/>
      </c>
      <c r="I27848" s="4" t="str">
        <v/>
      </c>
    </row>
    <row r="27849" spans="5:9" ht="16.5" hidden="1">
      <c r="E27849" s="4" t="str">
        <v/>
      </c>
      <c r="F27849" s="102" t="str">
        <f ca="1">IFERROR(__xludf.DUMMYFUNCTION("IMPORTRANGE(H27849,""IDENTITAS UNIT!D9"")"),"#N/A")</f>
        <v>#N/A</v>
      </c>
      <c r="H27849" s="4" t="str">
        <v/>
      </c>
      <c r="I27849" s="4" t="str">
        <v/>
      </c>
    </row>
    <row r="27850" spans="5:9" ht="16.5" hidden="1">
      <c r="E27850" s="4" t="str">
        <v/>
      </c>
      <c r="F27850" s="102" t="str">
        <f ca="1">IFERROR(__xludf.DUMMYFUNCTION("IMPORTRANGE(H27850,""IDENTITAS UNIT!D9"")"),"#N/A")</f>
        <v>#N/A</v>
      </c>
      <c r="H27850" s="4" t="str">
        <v/>
      </c>
      <c r="I27850" s="4" t="str">
        <v/>
      </c>
    </row>
    <row r="27851" spans="5:9" ht="16.5" hidden="1">
      <c r="E27851" s="4" t="str">
        <v/>
      </c>
      <c r="F27851" s="102" t="str">
        <f ca="1">IFERROR(__xludf.DUMMYFUNCTION("IMPORTRANGE(H27851,""IDENTITAS UNIT!D9"")"),"#N/A")</f>
        <v>#N/A</v>
      </c>
      <c r="H27851" s="4" t="str">
        <v/>
      </c>
      <c r="I27851" s="4" t="str">
        <v/>
      </c>
    </row>
    <row r="27852" spans="5:9" ht="16.5" hidden="1">
      <c r="E27852" s="4" t="str">
        <v/>
      </c>
      <c r="F27852" s="102" t="str">
        <f ca="1">IFERROR(__xludf.DUMMYFUNCTION("IMPORTRANGE(H27852,""IDENTITAS UNIT!D9"")"),"#N/A")</f>
        <v>#N/A</v>
      </c>
      <c r="H27852" s="4" t="str">
        <v/>
      </c>
      <c r="I27852" s="4" t="str">
        <v/>
      </c>
    </row>
    <row r="27853" spans="5:9" ht="16.5" hidden="1">
      <c r="E27853" s="4" t="str">
        <v/>
      </c>
      <c r="F27853" s="102" t="str">
        <f ca="1">IFERROR(__xludf.DUMMYFUNCTION("IMPORTRANGE(H27853,""IDENTITAS UNIT!D9"")"),"#N/A")</f>
        <v>#N/A</v>
      </c>
      <c r="H27853" s="4" t="str">
        <v/>
      </c>
      <c r="I27853" s="4" t="str">
        <v/>
      </c>
    </row>
    <row r="27854" spans="5:9" ht="16.5" hidden="1">
      <c r="E27854" s="4" t="str">
        <v/>
      </c>
      <c r="F27854" s="102" t="str">
        <f ca="1">IFERROR(__xludf.DUMMYFUNCTION("IMPORTRANGE(H27854,""IDENTITAS UNIT!D9"")"),"#N/A")</f>
        <v>#N/A</v>
      </c>
      <c r="H27854" s="4" t="str">
        <v/>
      </c>
      <c r="I27854" s="4" t="str">
        <v/>
      </c>
    </row>
    <row r="27855" spans="5:9" ht="16.5" hidden="1">
      <c r="E27855" s="4" t="str">
        <v/>
      </c>
      <c r="F27855" s="102" t="str">
        <f ca="1">IFERROR(__xludf.DUMMYFUNCTION("IMPORTRANGE(H27855,""IDENTITAS UNIT!D9"")"),"#N/A")</f>
        <v>#N/A</v>
      </c>
      <c r="H27855" s="4" t="str">
        <v/>
      </c>
      <c r="I27855" s="4" t="str">
        <v/>
      </c>
    </row>
    <row r="27856" spans="5:9" ht="16.5" hidden="1">
      <c r="E27856" s="4" t="str">
        <v/>
      </c>
      <c r="F27856" s="102" t="str">
        <f ca="1">IFERROR(__xludf.DUMMYFUNCTION("IMPORTRANGE(H27856,""IDENTITAS UNIT!D9"")"),"#N/A")</f>
        <v>#N/A</v>
      </c>
      <c r="H27856" s="4" t="str">
        <v/>
      </c>
      <c r="I27856" s="4" t="str">
        <v/>
      </c>
    </row>
    <row r="27857" spans="5:9" ht="16.5" hidden="1">
      <c r="E27857" s="4" t="str">
        <v/>
      </c>
      <c r="F27857" s="102" t="str">
        <f ca="1">IFERROR(__xludf.DUMMYFUNCTION("IMPORTRANGE(H27857,""IDENTITAS UNIT!D9"")"),"#N/A")</f>
        <v>#N/A</v>
      </c>
      <c r="H27857" s="4" t="str">
        <v/>
      </c>
      <c r="I27857" s="4" t="str">
        <v/>
      </c>
    </row>
    <row r="27858" spans="5:9" ht="16.5" hidden="1">
      <c r="E27858" s="4" t="str">
        <v/>
      </c>
      <c r="F27858" s="102" t="str">
        <f ca="1">IFERROR(__xludf.DUMMYFUNCTION("IMPORTRANGE(H27858,""IDENTITAS UNIT!D9"")"),"#N/A")</f>
        <v>#N/A</v>
      </c>
      <c r="H27858" s="4" t="str">
        <v/>
      </c>
      <c r="I27858" s="4" t="str">
        <v/>
      </c>
    </row>
    <row r="27859" spans="5:9" ht="16.5" hidden="1">
      <c r="E27859" s="4" t="str">
        <v/>
      </c>
      <c r="F27859" s="102" t="str">
        <f ca="1">IFERROR(__xludf.DUMMYFUNCTION("IMPORTRANGE(H27859,""IDENTITAS UNIT!D9"")"),"#N/A")</f>
        <v>#N/A</v>
      </c>
      <c r="H27859" s="4" t="str">
        <v/>
      </c>
      <c r="I27859" s="4" t="str">
        <v/>
      </c>
    </row>
    <row r="27860" spans="5:9" ht="16.5" hidden="1">
      <c r="E27860" s="4" t="str">
        <v/>
      </c>
      <c r="F27860" s="102" t="str">
        <f ca="1">IFERROR(__xludf.DUMMYFUNCTION("IMPORTRANGE(H27860,""IDENTITAS UNIT!D9"")"),"#N/A")</f>
        <v>#N/A</v>
      </c>
      <c r="H27860" s="4" t="str">
        <v/>
      </c>
      <c r="I27860" s="4" t="str">
        <v/>
      </c>
    </row>
    <row r="27861" spans="5:9" ht="16.5" hidden="1">
      <c r="E27861" s="4" t="str">
        <v/>
      </c>
      <c r="F27861" s="102" t="str">
        <f ca="1">IFERROR(__xludf.DUMMYFUNCTION("IMPORTRANGE(H27861,""IDENTITAS UNIT!D9"")"),"#N/A")</f>
        <v>#N/A</v>
      </c>
      <c r="H27861" s="4" t="str">
        <v/>
      </c>
      <c r="I27861" s="4" t="str">
        <v/>
      </c>
    </row>
    <row r="27862" spans="5:9" ht="16.5" hidden="1">
      <c r="E27862" s="4" t="str">
        <v/>
      </c>
      <c r="F27862" s="102" t="str">
        <f ca="1">IFERROR(__xludf.DUMMYFUNCTION("IMPORTRANGE(H27862,""IDENTITAS UNIT!D9"")"),"#N/A")</f>
        <v>#N/A</v>
      </c>
      <c r="H27862" s="4" t="str">
        <v/>
      </c>
      <c r="I27862" s="4" t="str">
        <v/>
      </c>
    </row>
    <row r="27863" spans="5:9" ht="16.5" hidden="1">
      <c r="E27863" s="4" t="str">
        <v/>
      </c>
      <c r="F27863" s="102" t="str">
        <f ca="1">IFERROR(__xludf.DUMMYFUNCTION("IMPORTRANGE(H27863,""IDENTITAS UNIT!D9"")"),"#N/A")</f>
        <v>#N/A</v>
      </c>
      <c r="H27863" s="4" t="str">
        <v/>
      </c>
      <c r="I27863" s="4" t="str">
        <v/>
      </c>
    </row>
    <row r="27864" spans="5:9" ht="16.5" hidden="1">
      <c r="E27864" s="4" t="str">
        <v/>
      </c>
      <c r="F27864" s="102" t="str">
        <f ca="1">IFERROR(__xludf.DUMMYFUNCTION("IMPORTRANGE(H27864,""IDENTITAS UNIT!D9"")"),"#N/A")</f>
        <v>#N/A</v>
      </c>
      <c r="H27864" s="4" t="str">
        <v/>
      </c>
      <c r="I27864" s="4" t="str">
        <v/>
      </c>
    </row>
    <row r="27865" spans="5:9" ht="16.5" hidden="1">
      <c r="E27865" s="4" t="str">
        <v/>
      </c>
      <c r="F27865" s="102" t="str">
        <f ca="1">IFERROR(__xludf.DUMMYFUNCTION("IMPORTRANGE(H27865,""IDENTITAS UNIT!D9"")"),"#N/A")</f>
        <v>#N/A</v>
      </c>
      <c r="H27865" s="4" t="str">
        <v/>
      </c>
      <c r="I27865" s="4" t="str">
        <v/>
      </c>
    </row>
    <row r="27866" spans="5:9" ht="16.5" hidden="1">
      <c r="E27866" s="4" t="str">
        <v/>
      </c>
      <c r="F27866" s="102" t="str">
        <f ca="1">IFERROR(__xludf.DUMMYFUNCTION("IMPORTRANGE(H27866,""IDENTITAS UNIT!D9"")"),"#N/A")</f>
        <v>#N/A</v>
      </c>
      <c r="H27866" s="4" t="str">
        <v/>
      </c>
      <c r="I27866" s="4" t="str">
        <v/>
      </c>
    </row>
    <row r="27867" spans="5:9" ht="16.5" hidden="1">
      <c r="E27867" s="4" t="str">
        <v/>
      </c>
      <c r="F27867" s="102" t="str">
        <f ca="1">IFERROR(__xludf.DUMMYFUNCTION("IMPORTRANGE(H27867,""IDENTITAS UNIT!D9"")"),"#N/A")</f>
        <v>#N/A</v>
      </c>
      <c r="H27867" s="4" t="str">
        <v/>
      </c>
      <c r="I27867" s="4" t="str">
        <v/>
      </c>
    </row>
    <row r="27868" spans="5:9" ht="16.5" hidden="1">
      <c r="E27868" s="4" t="str">
        <v/>
      </c>
      <c r="F27868" s="102" t="str">
        <f ca="1">IFERROR(__xludf.DUMMYFUNCTION("IMPORTRANGE(H27868,""IDENTITAS UNIT!D9"")"),"#N/A")</f>
        <v>#N/A</v>
      </c>
      <c r="H27868" s="4" t="str">
        <v/>
      </c>
      <c r="I27868" s="4" t="str">
        <v/>
      </c>
    </row>
    <row r="27869" spans="5:9" ht="16.5" hidden="1">
      <c r="E27869" s="4" t="str">
        <v/>
      </c>
      <c r="F27869" s="102" t="str">
        <f ca="1">IFERROR(__xludf.DUMMYFUNCTION("IMPORTRANGE(H27869,""IDENTITAS UNIT!D9"")"),"#N/A")</f>
        <v>#N/A</v>
      </c>
      <c r="H27869" s="4" t="str">
        <v/>
      </c>
      <c r="I27869" s="4" t="str">
        <v/>
      </c>
    </row>
    <row r="27870" spans="5:9" ht="16.5" hidden="1">
      <c r="E27870" s="4" t="str">
        <v/>
      </c>
      <c r="F27870" s="102" t="str">
        <f ca="1">IFERROR(__xludf.DUMMYFUNCTION("IMPORTRANGE(H27870,""IDENTITAS UNIT!D9"")"),"#N/A")</f>
        <v>#N/A</v>
      </c>
      <c r="H27870" s="4" t="str">
        <v/>
      </c>
      <c r="I27870" s="4" t="str">
        <v/>
      </c>
    </row>
    <row r="27871" spans="5:9" ht="16.5" hidden="1">
      <c r="E27871" s="4" t="str">
        <v/>
      </c>
      <c r="F27871" s="102" t="str">
        <f ca="1">IFERROR(__xludf.DUMMYFUNCTION("IMPORTRANGE(H27871,""IDENTITAS UNIT!D9"")"),"#N/A")</f>
        <v>#N/A</v>
      </c>
      <c r="H27871" s="4" t="str">
        <v/>
      </c>
      <c r="I27871" s="4" t="str">
        <v/>
      </c>
    </row>
    <row r="27872" spans="5:9" ht="16.5" hidden="1">
      <c r="E27872" s="4" t="str">
        <v/>
      </c>
      <c r="F27872" s="102" t="str">
        <f ca="1">IFERROR(__xludf.DUMMYFUNCTION("IMPORTRANGE(H27872,""IDENTITAS UNIT!D9"")"),"#N/A")</f>
        <v>#N/A</v>
      </c>
      <c r="H27872" s="4" t="str">
        <v/>
      </c>
      <c r="I27872" s="4" t="str">
        <v/>
      </c>
    </row>
    <row r="27873" spans="5:9" ht="16.5" hidden="1">
      <c r="E27873" s="4" t="str">
        <v/>
      </c>
      <c r="F27873" s="102" t="str">
        <f ca="1">IFERROR(__xludf.DUMMYFUNCTION("IMPORTRANGE(H27873,""IDENTITAS UNIT!D9"")"),"#N/A")</f>
        <v>#N/A</v>
      </c>
      <c r="H27873" s="4" t="str">
        <v/>
      </c>
      <c r="I27873" s="4" t="str">
        <v/>
      </c>
    </row>
    <row r="27874" spans="5:9" ht="16.5" hidden="1">
      <c r="E27874" s="4" t="str">
        <v/>
      </c>
      <c r="F27874" s="102" t="str">
        <f ca="1">IFERROR(__xludf.DUMMYFUNCTION("IMPORTRANGE(H27874,""IDENTITAS UNIT!D9"")"),"#N/A")</f>
        <v>#N/A</v>
      </c>
      <c r="H27874" s="4" t="str">
        <v/>
      </c>
      <c r="I27874" s="4" t="str">
        <v/>
      </c>
    </row>
    <row r="27875" spans="5:9" ht="16.5" hidden="1">
      <c r="E27875" s="4" t="str">
        <v/>
      </c>
      <c r="F27875" s="102" t="str">
        <f ca="1">IFERROR(__xludf.DUMMYFUNCTION("IMPORTRANGE(H27875,""IDENTITAS UNIT!D9"")"),"#N/A")</f>
        <v>#N/A</v>
      </c>
      <c r="H27875" s="4" t="str">
        <v/>
      </c>
      <c r="I27875" s="4" t="str">
        <v/>
      </c>
    </row>
    <row r="27876" spans="5:9" ht="16.5" hidden="1">
      <c r="E27876" s="4" t="str">
        <v/>
      </c>
      <c r="F27876" s="102" t="str">
        <f ca="1">IFERROR(__xludf.DUMMYFUNCTION("IMPORTRANGE(H27876,""IDENTITAS UNIT!D9"")"),"#N/A")</f>
        <v>#N/A</v>
      </c>
      <c r="H27876" s="4" t="str">
        <v/>
      </c>
      <c r="I27876" s="4" t="str">
        <v/>
      </c>
    </row>
    <row r="27877" spans="5:9" ht="16.5" hidden="1">
      <c r="E27877" s="4" t="str">
        <v/>
      </c>
      <c r="F27877" s="102" t="str">
        <f ca="1">IFERROR(__xludf.DUMMYFUNCTION("IMPORTRANGE(H27877,""IDENTITAS UNIT!D9"")"),"#N/A")</f>
        <v>#N/A</v>
      </c>
      <c r="H27877" s="4" t="str">
        <v/>
      </c>
      <c r="I27877" s="4" t="str">
        <v/>
      </c>
    </row>
    <row r="27878" spans="5:9" ht="16.5" hidden="1">
      <c r="E27878" s="4" t="str">
        <v/>
      </c>
      <c r="F27878" s="102" t="str">
        <f ca="1">IFERROR(__xludf.DUMMYFUNCTION("IMPORTRANGE(H27878,""IDENTITAS UNIT!D9"")"),"#N/A")</f>
        <v>#N/A</v>
      </c>
      <c r="H27878" s="4" t="str">
        <v/>
      </c>
      <c r="I27878" s="4" t="str">
        <v/>
      </c>
    </row>
    <row r="27879" spans="5:9" ht="16.5" hidden="1">
      <c r="E27879" s="4" t="str">
        <v/>
      </c>
      <c r="F27879" s="102" t="str">
        <f ca="1">IFERROR(__xludf.DUMMYFUNCTION("IMPORTRANGE(H27879,""IDENTITAS UNIT!D9"")"),"#N/A")</f>
        <v>#N/A</v>
      </c>
      <c r="H27879" s="4" t="str">
        <v/>
      </c>
      <c r="I27879" s="4" t="str">
        <v/>
      </c>
    </row>
    <row r="27880" spans="5:9" ht="16.5" hidden="1">
      <c r="E27880" s="4" t="str">
        <v/>
      </c>
      <c r="F27880" s="102" t="str">
        <f ca="1">IFERROR(__xludf.DUMMYFUNCTION("IMPORTRANGE(H27880,""IDENTITAS UNIT!D9"")"),"#N/A")</f>
        <v>#N/A</v>
      </c>
      <c r="H27880" s="4" t="str">
        <v/>
      </c>
      <c r="I27880" s="4" t="str">
        <v/>
      </c>
    </row>
    <row r="27881" spans="5:9" ht="16.5" hidden="1">
      <c r="E27881" s="4" t="str">
        <v/>
      </c>
      <c r="F27881" s="102" t="str">
        <f ca="1">IFERROR(__xludf.DUMMYFUNCTION("IMPORTRANGE(H27881,""IDENTITAS UNIT!D9"")"),"#N/A")</f>
        <v>#N/A</v>
      </c>
      <c r="H27881" s="4" t="str">
        <v/>
      </c>
      <c r="I27881" s="4" t="str">
        <v/>
      </c>
    </row>
    <row r="27882" spans="5:9" ht="16.5" hidden="1">
      <c r="E27882" s="4" t="str">
        <v/>
      </c>
      <c r="F27882" s="102" t="str">
        <f ca="1">IFERROR(__xludf.DUMMYFUNCTION("IMPORTRANGE(H27882,""IDENTITAS UNIT!D9"")"),"#N/A")</f>
        <v>#N/A</v>
      </c>
      <c r="H27882" s="4" t="str">
        <v/>
      </c>
      <c r="I27882" s="4" t="str">
        <v/>
      </c>
    </row>
    <row r="27883" spans="5:9" ht="16.5" hidden="1">
      <c r="E27883" s="4" t="str">
        <v/>
      </c>
      <c r="F27883" s="102" t="str">
        <f ca="1">IFERROR(__xludf.DUMMYFUNCTION("IMPORTRANGE(H27883,""IDENTITAS UNIT!D9"")"),"#N/A")</f>
        <v>#N/A</v>
      </c>
      <c r="H27883" s="4" t="str">
        <v/>
      </c>
      <c r="I27883" s="4" t="str">
        <v/>
      </c>
    </row>
    <row r="27884" spans="5:9" ht="16.5" hidden="1">
      <c r="E27884" s="4" t="str">
        <v/>
      </c>
      <c r="F27884" s="102" t="str">
        <f ca="1">IFERROR(__xludf.DUMMYFUNCTION("IMPORTRANGE(H27884,""IDENTITAS UNIT!D9"")"),"#N/A")</f>
        <v>#N/A</v>
      </c>
      <c r="H27884" s="4" t="str">
        <v/>
      </c>
      <c r="I27884" s="4" t="str">
        <v/>
      </c>
    </row>
    <row r="27885" spans="5:9" ht="16.5" hidden="1">
      <c r="E27885" s="4" t="str">
        <v/>
      </c>
      <c r="F27885" s="102" t="str">
        <f ca="1">IFERROR(__xludf.DUMMYFUNCTION("IMPORTRANGE(H27885,""IDENTITAS UNIT!D9"")"),"#N/A")</f>
        <v>#N/A</v>
      </c>
      <c r="H27885" s="4" t="str">
        <v/>
      </c>
      <c r="I27885" s="4" t="str">
        <v/>
      </c>
    </row>
    <row r="27886" spans="5:9" ht="16.5" hidden="1">
      <c r="E27886" s="4" t="str">
        <v/>
      </c>
      <c r="F27886" s="102" t="str">
        <f ca="1">IFERROR(__xludf.DUMMYFUNCTION("IMPORTRANGE(H27886,""IDENTITAS UNIT!D9"")"),"#N/A")</f>
        <v>#N/A</v>
      </c>
      <c r="H27886" s="4" t="str">
        <v/>
      </c>
      <c r="I27886" s="4" t="str">
        <v/>
      </c>
    </row>
    <row r="27887" spans="5:9" ht="16.5" hidden="1">
      <c r="E27887" s="4" t="str">
        <v/>
      </c>
      <c r="F27887" s="102" t="str">
        <f ca="1">IFERROR(__xludf.DUMMYFUNCTION("IMPORTRANGE(H27887,""IDENTITAS UNIT!D9"")"),"#N/A")</f>
        <v>#N/A</v>
      </c>
      <c r="H27887" s="4" t="str">
        <v/>
      </c>
      <c r="I27887" s="4" t="str">
        <v/>
      </c>
    </row>
    <row r="27888" spans="5:9" ht="16.5" hidden="1">
      <c r="E27888" s="4" t="str">
        <v/>
      </c>
      <c r="F27888" s="102" t="str">
        <f ca="1">IFERROR(__xludf.DUMMYFUNCTION("IMPORTRANGE(H27888,""IDENTITAS UNIT!D9"")"),"#N/A")</f>
        <v>#N/A</v>
      </c>
      <c r="H27888" s="4" t="str">
        <v/>
      </c>
      <c r="I27888" s="4" t="str">
        <v/>
      </c>
    </row>
    <row r="27889" spans="5:9" ht="16.5" hidden="1">
      <c r="E27889" s="4" t="str">
        <v/>
      </c>
      <c r="F27889" s="102" t="str">
        <f ca="1">IFERROR(__xludf.DUMMYFUNCTION("IMPORTRANGE(H27889,""IDENTITAS UNIT!D9"")"),"#N/A")</f>
        <v>#N/A</v>
      </c>
      <c r="H27889" s="4" t="str">
        <v/>
      </c>
      <c r="I27889" s="4" t="str">
        <v/>
      </c>
    </row>
    <row r="27890" spans="5:9" ht="16.5" hidden="1">
      <c r="E27890" s="4" t="str">
        <v/>
      </c>
      <c r="F27890" s="102" t="str">
        <f ca="1">IFERROR(__xludf.DUMMYFUNCTION("IMPORTRANGE(H27890,""IDENTITAS UNIT!D9"")"),"#N/A")</f>
        <v>#N/A</v>
      </c>
      <c r="H27890" s="4" t="str">
        <v/>
      </c>
      <c r="I27890" s="4" t="str">
        <v/>
      </c>
    </row>
    <row r="27891" spans="5:9" ht="16.5" hidden="1">
      <c r="E27891" s="4" t="str">
        <v/>
      </c>
      <c r="F27891" s="102" t="str">
        <f ca="1">IFERROR(__xludf.DUMMYFUNCTION("IMPORTRANGE(H27891,""IDENTITAS UNIT!D9"")"),"#N/A")</f>
        <v>#N/A</v>
      </c>
      <c r="H27891" s="4" t="str">
        <v/>
      </c>
      <c r="I27891" s="4" t="str">
        <v/>
      </c>
    </row>
    <row r="27892" spans="5:9" ht="16.5" hidden="1">
      <c r="E27892" s="4" t="str">
        <v/>
      </c>
      <c r="F27892" s="102" t="str">
        <f ca="1">IFERROR(__xludf.DUMMYFUNCTION("IMPORTRANGE(H27892,""IDENTITAS UNIT!D9"")"),"#N/A")</f>
        <v>#N/A</v>
      </c>
      <c r="H27892" s="4" t="str">
        <v/>
      </c>
      <c r="I27892" s="4" t="str">
        <v/>
      </c>
    </row>
    <row r="27893" spans="5:9" ht="16.5" hidden="1">
      <c r="E27893" s="4" t="str">
        <v/>
      </c>
      <c r="F27893" s="102" t="str">
        <f ca="1">IFERROR(__xludf.DUMMYFUNCTION("IMPORTRANGE(H27893,""IDENTITAS UNIT!D9"")"),"#N/A")</f>
        <v>#N/A</v>
      </c>
      <c r="H27893" s="4" t="str">
        <v/>
      </c>
      <c r="I27893" s="4" t="str">
        <v/>
      </c>
    </row>
    <row r="27894" spans="5:9" ht="16.5" hidden="1">
      <c r="E27894" s="4" t="str">
        <v/>
      </c>
      <c r="F27894" s="102" t="str">
        <f ca="1">IFERROR(__xludf.DUMMYFUNCTION("IMPORTRANGE(H27894,""IDENTITAS UNIT!D9"")"),"#N/A")</f>
        <v>#N/A</v>
      </c>
      <c r="H27894" s="4" t="str">
        <v/>
      </c>
      <c r="I27894" s="4" t="str">
        <v/>
      </c>
    </row>
    <row r="27895" spans="5:9" ht="16.5" hidden="1">
      <c r="E27895" s="4" t="str">
        <v/>
      </c>
      <c r="F27895" s="102" t="str">
        <f ca="1">IFERROR(__xludf.DUMMYFUNCTION("IMPORTRANGE(H27895,""IDENTITAS UNIT!D9"")"),"#N/A")</f>
        <v>#N/A</v>
      </c>
      <c r="H27895" s="4" t="str">
        <v/>
      </c>
      <c r="I27895" s="4" t="str">
        <v/>
      </c>
    </row>
    <row r="27896" spans="5:9" ht="16.5" hidden="1">
      <c r="E27896" s="4" t="str">
        <v/>
      </c>
      <c r="F27896" s="102" t="str">
        <f ca="1">IFERROR(__xludf.DUMMYFUNCTION("IMPORTRANGE(H27896,""IDENTITAS UNIT!D9"")"),"#N/A")</f>
        <v>#N/A</v>
      </c>
      <c r="H27896" s="4" t="str">
        <v/>
      </c>
      <c r="I27896" s="4" t="str">
        <v/>
      </c>
    </row>
    <row r="27897" spans="5:9" ht="16.5" hidden="1">
      <c r="E27897" s="4" t="str">
        <v/>
      </c>
      <c r="F27897" s="102" t="str">
        <f ca="1">IFERROR(__xludf.DUMMYFUNCTION("IMPORTRANGE(H27897,""IDENTITAS UNIT!D9"")"),"#N/A")</f>
        <v>#N/A</v>
      </c>
      <c r="H27897" s="4" t="str">
        <v/>
      </c>
      <c r="I27897" s="4" t="str">
        <v/>
      </c>
    </row>
    <row r="27898" spans="5:9" ht="16.5" hidden="1">
      <c r="E27898" s="4" t="str">
        <v/>
      </c>
      <c r="F27898" s="102" t="str">
        <f ca="1">IFERROR(__xludf.DUMMYFUNCTION("IMPORTRANGE(H27898,""IDENTITAS UNIT!D9"")"),"#N/A")</f>
        <v>#N/A</v>
      </c>
      <c r="H27898" s="4" t="str">
        <v/>
      </c>
      <c r="I27898" s="4" t="str">
        <v/>
      </c>
    </row>
    <row r="27899" spans="5:9" ht="16.5" hidden="1">
      <c r="E27899" s="4" t="str">
        <v/>
      </c>
      <c r="F27899" s="102" t="str">
        <f ca="1">IFERROR(__xludf.DUMMYFUNCTION("IMPORTRANGE(H27899,""IDENTITAS UNIT!D9"")"),"#N/A")</f>
        <v>#N/A</v>
      </c>
      <c r="H27899" s="4" t="str">
        <v/>
      </c>
      <c r="I27899" s="4" t="str">
        <v/>
      </c>
    </row>
    <row r="27900" spans="5:9" ht="16.5" hidden="1">
      <c r="E27900" s="4" t="str">
        <v/>
      </c>
      <c r="F27900" s="102" t="str">
        <f ca="1">IFERROR(__xludf.DUMMYFUNCTION("IMPORTRANGE(H27900,""IDENTITAS UNIT!D9"")"),"#N/A")</f>
        <v>#N/A</v>
      </c>
      <c r="H27900" s="4" t="str">
        <v/>
      </c>
      <c r="I27900" s="4" t="str">
        <v/>
      </c>
    </row>
    <row r="27901" spans="5:9" ht="16.5" hidden="1">
      <c r="E27901" s="4" t="str">
        <v/>
      </c>
      <c r="F27901" s="102" t="str">
        <f ca="1">IFERROR(__xludf.DUMMYFUNCTION("IMPORTRANGE(H27901,""IDENTITAS UNIT!D9"")"),"#N/A")</f>
        <v>#N/A</v>
      </c>
      <c r="H27901" s="4" t="str">
        <v/>
      </c>
      <c r="I27901" s="4" t="str">
        <v/>
      </c>
    </row>
    <row r="27902" spans="5:9" ht="16.5" hidden="1">
      <c r="E27902" s="4" t="str">
        <v/>
      </c>
      <c r="F27902" s="102" t="str">
        <f ca="1">IFERROR(__xludf.DUMMYFUNCTION("IMPORTRANGE(H27902,""IDENTITAS UNIT!D9"")"),"#N/A")</f>
        <v>#N/A</v>
      </c>
      <c r="H27902" s="4" t="str">
        <v/>
      </c>
      <c r="I27902" s="4" t="str">
        <v/>
      </c>
    </row>
    <row r="27903" spans="5:9" ht="16.5" hidden="1">
      <c r="E27903" s="4" t="str">
        <v/>
      </c>
      <c r="F27903" s="102" t="str">
        <f ca="1">IFERROR(__xludf.DUMMYFUNCTION("IMPORTRANGE(H27903,""IDENTITAS UNIT!D9"")"),"#N/A")</f>
        <v>#N/A</v>
      </c>
      <c r="H27903" s="4" t="str">
        <v/>
      </c>
      <c r="I27903" s="4" t="str">
        <v/>
      </c>
    </row>
    <row r="27904" spans="5:9" ht="16.5" hidden="1">
      <c r="E27904" s="4" t="str">
        <v/>
      </c>
      <c r="F27904" s="102" t="str">
        <f ca="1">IFERROR(__xludf.DUMMYFUNCTION("IMPORTRANGE(H27904,""IDENTITAS UNIT!D9"")"),"#N/A")</f>
        <v>#N/A</v>
      </c>
      <c r="H27904" s="4" t="str">
        <v/>
      </c>
      <c r="I27904" s="4" t="str">
        <v/>
      </c>
    </row>
    <row r="27905" spans="5:9" ht="16.5" hidden="1">
      <c r="E27905" s="4" t="str">
        <v/>
      </c>
      <c r="F27905" s="102" t="str">
        <f ca="1">IFERROR(__xludf.DUMMYFUNCTION("IMPORTRANGE(H27905,""IDENTITAS UNIT!D9"")"),"#N/A")</f>
        <v>#N/A</v>
      </c>
      <c r="H27905" s="4" t="str">
        <v/>
      </c>
      <c r="I27905" s="4" t="str">
        <v/>
      </c>
    </row>
    <row r="27906" spans="5:9" ht="16.5" hidden="1">
      <c r="E27906" s="4" t="str">
        <v/>
      </c>
      <c r="F27906" s="102" t="str">
        <f ca="1">IFERROR(__xludf.DUMMYFUNCTION("IMPORTRANGE(H27906,""IDENTITAS UNIT!D9"")"),"#N/A")</f>
        <v>#N/A</v>
      </c>
      <c r="H27906" s="4" t="str">
        <v/>
      </c>
      <c r="I27906" s="4" t="str">
        <v/>
      </c>
    </row>
    <row r="27907" spans="5:9" ht="16.5" hidden="1">
      <c r="E27907" s="4" t="str">
        <v/>
      </c>
      <c r="F27907" s="102" t="str">
        <f ca="1">IFERROR(__xludf.DUMMYFUNCTION("IMPORTRANGE(H27907,""IDENTITAS UNIT!D9"")"),"#N/A")</f>
        <v>#N/A</v>
      </c>
      <c r="H27907" s="4" t="str">
        <v/>
      </c>
      <c r="I27907" s="4" t="str">
        <v/>
      </c>
    </row>
    <row r="27908" spans="5:9" ht="16.5" hidden="1">
      <c r="E27908" s="4" t="str">
        <v/>
      </c>
      <c r="F27908" s="102" t="str">
        <f ca="1">IFERROR(__xludf.DUMMYFUNCTION("IMPORTRANGE(H27908,""IDENTITAS UNIT!D9"")"),"#N/A")</f>
        <v>#N/A</v>
      </c>
      <c r="H27908" s="4" t="str">
        <v/>
      </c>
      <c r="I27908" s="4" t="str">
        <v/>
      </c>
    </row>
    <row r="27909" spans="5:9" ht="16.5" hidden="1">
      <c r="E27909" s="4" t="str">
        <v/>
      </c>
      <c r="F27909" s="102" t="str">
        <f ca="1">IFERROR(__xludf.DUMMYFUNCTION("IMPORTRANGE(H27909,""IDENTITAS UNIT!D9"")"),"#N/A")</f>
        <v>#N/A</v>
      </c>
      <c r="H27909" s="4" t="str">
        <v/>
      </c>
      <c r="I27909" s="4" t="str">
        <v/>
      </c>
    </row>
    <row r="27910" spans="5:9" ht="16.5" hidden="1">
      <c r="E27910" s="4" t="str">
        <v/>
      </c>
      <c r="F27910" s="102" t="str">
        <f ca="1">IFERROR(__xludf.DUMMYFUNCTION("IMPORTRANGE(H27910,""IDENTITAS UNIT!D9"")"),"#N/A")</f>
        <v>#N/A</v>
      </c>
      <c r="H27910" s="4" t="str">
        <v/>
      </c>
      <c r="I27910" s="4" t="str">
        <v/>
      </c>
    </row>
    <row r="27911" spans="5:9" ht="16.5" hidden="1">
      <c r="E27911" s="4" t="str">
        <v/>
      </c>
      <c r="F27911" s="102" t="str">
        <f ca="1">IFERROR(__xludf.DUMMYFUNCTION("IMPORTRANGE(H27911,""IDENTITAS UNIT!D9"")"),"#N/A")</f>
        <v>#N/A</v>
      </c>
      <c r="H27911" s="4" t="str">
        <v/>
      </c>
      <c r="I27911" s="4" t="str">
        <v/>
      </c>
    </row>
    <row r="27912" spans="5:9" ht="16.5" hidden="1">
      <c r="E27912" s="4" t="str">
        <v/>
      </c>
      <c r="F27912" s="102" t="str">
        <f ca="1">IFERROR(__xludf.DUMMYFUNCTION("IMPORTRANGE(H27912,""IDENTITAS UNIT!D9"")"),"#N/A")</f>
        <v>#N/A</v>
      </c>
      <c r="H27912" s="4" t="str">
        <v/>
      </c>
      <c r="I27912" s="4" t="str">
        <v/>
      </c>
    </row>
    <row r="27913" spans="5:9" ht="16.5" hidden="1">
      <c r="E27913" s="4" t="str">
        <v/>
      </c>
      <c r="F27913" s="102" t="str">
        <f ca="1">IFERROR(__xludf.DUMMYFUNCTION("IMPORTRANGE(H27913,""IDENTITAS UNIT!D9"")"),"#N/A")</f>
        <v>#N/A</v>
      </c>
      <c r="H27913" s="4" t="str">
        <v/>
      </c>
      <c r="I27913" s="4" t="str">
        <v/>
      </c>
    </row>
    <row r="27914" spans="5:9" ht="16.5" hidden="1">
      <c r="E27914" s="4" t="str">
        <v/>
      </c>
      <c r="F27914" s="102" t="str">
        <f ca="1">IFERROR(__xludf.DUMMYFUNCTION("IMPORTRANGE(H27914,""IDENTITAS UNIT!D9"")"),"#N/A")</f>
        <v>#N/A</v>
      </c>
      <c r="H27914" s="4" t="str">
        <v/>
      </c>
      <c r="I27914" s="4" t="str">
        <v/>
      </c>
    </row>
    <row r="27915" spans="5:9" ht="16.5" hidden="1">
      <c r="E27915" s="4" t="str">
        <v/>
      </c>
      <c r="F27915" s="102" t="str">
        <f ca="1">IFERROR(__xludf.DUMMYFUNCTION("IMPORTRANGE(H27915,""IDENTITAS UNIT!D9"")"),"#N/A")</f>
        <v>#N/A</v>
      </c>
      <c r="H27915" s="4" t="str">
        <v/>
      </c>
      <c r="I27915" s="4" t="str">
        <v/>
      </c>
    </row>
    <row r="27916" spans="5:9" ht="16.5" hidden="1">
      <c r="E27916" s="4" t="str">
        <v/>
      </c>
      <c r="F27916" s="102" t="str">
        <f ca="1">IFERROR(__xludf.DUMMYFUNCTION("IMPORTRANGE(H27916,""IDENTITAS UNIT!D9"")"),"#N/A")</f>
        <v>#N/A</v>
      </c>
      <c r="H27916" s="4" t="str">
        <v/>
      </c>
      <c r="I27916" s="4" t="str">
        <v/>
      </c>
    </row>
    <row r="27917" spans="5:9" ht="16.5" hidden="1">
      <c r="E27917" s="4" t="str">
        <v/>
      </c>
      <c r="F27917" s="102" t="str">
        <f ca="1">IFERROR(__xludf.DUMMYFUNCTION("IMPORTRANGE(H27917,""IDENTITAS UNIT!D9"")"),"#N/A")</f>
        <v>#N/A</v>
      </c>
      <c r="H27917" s="4" t="str">
        <v/>
      </c>
      <c r="I27917" s="4" t="str">
        <v/>
      </c>
    </row>
    <row r="27918" spans="5:9" ht="16.5" hidden="1">
      <c r="E27918" s="4" t="str">
        <v/>
      </c>
      <c r="F27918" s="102" t="str">
        <f ca="1">IFERROR(__xludf.DUMMYFUNCTION("IMPORTRANGE(H27918,""IDENTITAS UNIT!D9"")"),"#N/A")</f>
        <v>#N/A</v>
      </c>
      <c r="H27918" s="4" t="str">
        <v/>
      </c>
      <c r="I27918" s="4" t="str">
        <v/>
      </c>
    </row>
    <row r="27919" spans="5:9" ht="16.5" hidden="1">
      <c r="E27919" s="4" t="str">
        <v/>
      </c>
      <c r="F27919" s="102" t="str">
        <f ca="1">IFERROR(__xludf.DUMMYFUNCTION("IMPORTRANGE(H27919,""IDENTITAS UNIT!D9"")"),"#N/A")</f>
        <v>#N/A</v>
      </c>
      <c r="H27919" s="4" t="str">
        <v/>
      </c>
      <c r="I27919" s="4" t="str">
        <v/>
      </c>
    </row>
    <row r="27920" spans="5:9" ht="16.5" hidden="1">
      <c r="E27920" s="4" t="str">
        <v/>
      </c>
      <c r="F27920" s="102" t="str">
        <f ca="1">IFERROR(__xludf.DUMMYFUNCTION("IMPORTRANGE(H27920,""IDENTITAS UNIT!D9"")"),"#N/A")</f>
        <v>#N/A</v>
      </c>
      <c r="H27920" s="4" t="str">
        <v/>
      </c>
      <c r="I27920" s="4" t="str">
        <v/>
      </c>
    </row>
    <row r="27921" spans="5:9" ht="16.5" hidden="1">
      <c r="E27921" s="4" t="str">
        <v/>
      </c>
      <c r="F27921" s="102" t="str">
        <f ca="1">IFERROR(__xludf.DUMMYFUNCTION("IMPORTRANGE(H27921,""IDENTITAS UNIT!D9"")"),"#N/A")</f>
        <v>#N/A</v>
      </c>
      <c r="H27921" s="4" t="str">
        <v/>
      </c>
      <c r="I27921" s="4" t="str">
        <v/>
      </c>
    </row>
    <row r="27922" spans="5:9" ht="16.5" hidden="1">
      <c r="E27922" s="4" t="str">
        <v/>
      </c>
      <c r="F27922" s="102" t="str">
        <f ca="1">IFERROR(__xludf.DUMMYFUNCTION("IMPORTRANGE(H27922,""IDENTITAS UNIT!D9"")"),"#N/A")</f>
        <v>#N/A</v>
      </c>
      <c r="H27922" s="4" t="str">
        <v/>
      </c>
      <c r="I27922" s="4" t="str">
        <v/>
      </c>
    </row>
    <row r="27923" spans="5:9" ht="16.5" hidden="1">
      <c r="E27923" s="4" t="str">
        <v/>
      </c>
      <c r="F27923" s="102" t="str">
        <f ca="1">IFERROR(__xludf.DUMMYFUNCTION("IMPORTRANGE(H27923,""IDENTITAS UNIT!D9"")"),"#N/A")</f>
        <v>#N/A</v>
      </c>
      <c r="H27923" s="4" t="str">
        <v/>
      </c>
      <c r="I27923" s="4" t="str">
        <v/>
      </c>
    </row>
    <row r="27924" spans="5:9" ht="16.5" hidden="1">
      <c r="E27924" s="4" t="str">
        <v/>
      </c>
      <c r="F27924" s="102" t="str">
        <f ca="1">IFERROR(__xludf.DUMMYFUNCTION("IMPORTRANGE(H27924,""IDENTITAS UNIT!D9"")"),"#N/A")</f>
        <v>#N/A</v>
      </c>
      <c r="H27924" s="4" t="str">
        <v/>
      </c>
      <c r="I27924" s="4" t="str">
        <v/>
      </c>
    </row>
    <row r="27925" spans="5:9" ht="16.5" hidden="1">
      <c r="E27925" s="4" t="str">
        <v/>
      </c>
      <c r="F27925" s="102" t="str">
        <f ca="1">IFERROR(__xludf.DUMMYFUNCTION("IMPORTRANGE(H27925,""IDENTITAS UNIT!D9"")"),"#N/A")</f>
        <v>#N/A</v>
      </c>
      <c r="H27925" s="4" t="str">
        <v/>
      </c>
      <c r="I27925" s="4" t="str">
        <v/>
      </c>
    </row>
    <row r="27926" spans="5:9" ht="16.5" hidden="1">
      <c r="E27926" s="4" t="str">
        <v/>
      </c>
      <c r="F27926" s="102" t="str">
        <f ca="1">IFERROR(__xludf.DUMMYFUNCTION("IMPORTRANGE(H27926,""IDENTITAS UNIT!D9"")"),"#N/A")</f>
        <v>#N/A</v>
      </c>
      <c r="H27926" s="4" t="str">
        <v/>
      </c>
      <c r="I27926" s="4" t="str">
        <v/>
      </c>
    </row>
    <row r="27927" spans="5:9" ht="16.5" hidden="1">
      <c r="E27927" s="4" t="str">
        <v/>
      </c>
      <c r="F27927" s="102" t="str">
        <f ca="1">IFERROR(__xludf.DUMMYFUNCTION("IMPORTRANGE(H27927,""IDENTITAS UNIT!D9"")"),"#N/A")</f>
        <v>#N/A</v>
      </c>
      <c r="H27927" s="4" t="str">
        <v/>
      </c>
      <c r="I27927" s="4" t="str">
        <v/>
      </c>
    </row>
    <row r="27928" spans="5:9" ht="16.5" hidden="1">
      <c r="E27928" s="4" t="str">
        <v/>
      </c>
      <c r="F27928" s="102" t="str">
        <f ca="1">IFERROR(__xludf.DUMMYFUNCTION("IMPORTRANGE(H27928,""IDENTITAS UNIT!D9"")"),"#N/A")</f>
        <v>#N/A</v>
      </c>
      <c r="H27928" s="4" t="str">
        <v/>
      </c>
      <c r="I27928" s="4" t="str">
        <v/>
      </c>
    </row>
    <row r="27929" spans="5:9" ht="16.5" hidden="1">
      <c r="E27929" s="4" t="str">
        <v/>
      </c>
      <c r="F27929" s="102" t="str">
        <f ca="1">IFERROR(__xludf.DUMMYFUNCTION("IMPORTRANGE(H27929,""IDENTITAS UNIT!D9"")"),"#N/A")</f>
        <v>#N/A</v>
      </c>
      <c r="H27929" s="4" t="str">
        <v/>
      </c>
      <c r="I27929" s="4" t="str">
        <v/>
      </c>
    </row>
    <row r="27930" spans="5:9" ht="16.5" hidden="1">
      <c r="E27930" s="4" t="str">
        <v/>
      </c>
      <c r="F27930" s="102" t="str">
        <f ca="1">IFERROR(__xludf.DUMMYFUNCTION("IMPORTRANGE(H27930,""IDENTITAS UNIT!D9"")"),"#N/A")</f>
        <v>#N/A</v>
      </c>
      <c r="H27930" s="4" t="str">
        <v/>
      </c>
      <c r="I27930" s="4" t="str">
        <v/>
      </c>
    </row>
    <row r="27931" spans="5:9" ht="16.5" hidden="1">
      <c r="E27931" s="4" t="str">
        <v/>
      </c>
      <c r="F27931" s="102" t="str">
        <f ca="1">IFERROR(__xludf.DUMMYFUNCTION("IMPORTRANGE(H27931,""IDENTITAS UNIT!D9"")"),"#N/A")</f>
        <v>#N/A</v>
      </c>
      <c r="H27931" s="4" t="str">
        <v/>
      </c>
      <c r="I27931" s="4" t="str">
        <v/>
      </c>
    </row>
    <row r="27932" spans="5:9" ht="16.5" hidden="1">
      <c r="E27932" s="4" t="str">
        <v/>
      </c>
      <c r="F27932" s="102" t="str">
        <f ca="1">IFERROR(__xludf.DUMMYFUNCTION("IMPORTRANGE(H27932,""IDENTITAS UNIT!D9"")"),"#N/A")</f>
        <v>#N/A</v>
      </c>
      <c r="H27932" s="4" t="str">
        <v/>
      </c>
      <c r="I27932" s="4" t="str">
        <v/>
      </c>
    </row>
    <row r="27933" spans="5:9" ht="16.5" hidden="1">
      <c r="E27933" s="4" t="str">
        <v/>
      </c>
      <c r="F27933" s="102" t="str">
        <f ca="1">IFERROR(__xludf.DUMMYFUNCTION("IMPORTRANGE(H27933,""IDENTITAS UNIT!D9"")"),"#N/A")</f>
        <v>#N/A</v>
      </c>
      <c r="H27933" s="4" t="str">
        <v/>
      </c>
      <c r="I27933" s="4" t="str">
        <v/>
      </c>
    </row>
    <row r="27934" spans="5:9" ht="16.5" hidden="1">
      <c r="E27934" s="4" t="str">
        <v/>
      </c>
      <c r="F27934" s="102" t="str">
        <f ca="1">IFERROR(__xludf.DUMMYFUNCTION("IMPORTRANGE(H27934,""IDENTITAS UNIT!D9"")"),"#N/A")</f>
        <v>#N/A</v>
      </c>
      <c r="H27934" s="4" t="str">
        <v/>
      </c>
      <c r="I27934" s="4" t="str">
        <v/>
      </c>
    </row>
    <row r="27935" spans="5:9" ht="16.5" hidden="1">
      <c r="E27935" s="4" t="str">
        <v/>
      </c>
      <c r="F27935" s="102" t="str">
        <f ca="1">IFERROR(__xludf.DUMMYFUNCTION("IMPORTRANGE(H27935,""IDENTITAS UNIT!D9"")"),"#N/A")</f>
        <v>#N/A</v>
      </c>
      <c r="H27935" s="4" t="str">
        <v/>
      </c>
      <c r="I27935" s="4" t="str">
        <v/>
      </c>
    </row>
    <row r="27936" spans="5:9" ht="16.5" hidden="1">
      <c r="E27936" s="4" t="str">
        <v/>
      </c>
      <c r="F27936" s="102" t="str">
        <f ca="1">IFERROR(__xludf.DUMMYFUNCTION("IMPORTRANGE(H27936,""IDENTITAS UNIT!D9"")"),"#N/A")</f>
        <v>#N/A</v>
      </c>
      <c r="H27936" s="4" t="str">
        <v/>
      </c>
      <c r="I27936" s="4" t="str">
        <v/>
      </c>
    </row>
    <row r="27937" spans="5:9" ht="16.5" hidden="1">
      <c r="E27937" s="4" t="str">
        <v/>
      </c>
      <c r="F27937" s="102" t="str">
        <f ca="1">IFERROR(__xludf.DUMMYFUNCTION("IMPORTRANGE(H27937,""IDENTITAS UNIT!D9"")"),"#N/A")</f>
        <v>#N/A</v>
      </c>
      <c r="H27937" s="4" t="str">
        <v/>
      </c>
      <c r="I27937" s="4" t="str">
        <v/>
      </c>
    </row>
    <row r="27938" spans="5:9" ht="16.5" hidden="1">
      <c r="E27938" s="4" t="str">
        <v/>
      </c>
      <c r="F27938" s="102" t="str">
        <f ca="1">IFERROR(__xludf.DUMMYFUNCTION("IMPORTRANGE(H27938,""IDENTITAS UNIT!D9"")"),"#N/A")</f>
        <v>#N/A</v>
      </c>
      <c r="H27938" s="4" t="str">
        <v/>
      </c>
      <c r="I27938" s="4" t="str">
        <v/>
      </c>
    </row>
    <row r="27939" spans="5:9" ht="16.5" hidden="1">
      <c r="E27939" s="4" t="str">
        <v/>
      </c>
      <c r="F27939" s="102" t="str">
        <f ca="1">IFERROR(__xludf.DUMMYFUNCTION("IMPORTRANGE(H27939,""IDENTITAS UNIT!D9"")"),"#N/A")</f>
        <v>#N/A</v>
      </c>
      <c r="H27939" s="4" t="str">
        <v/>
      </c>
      <c r="I27939" s="4" t="str">
        <v/>
      </c>
    </row>
    <row r="27940" spans="5:9" ht="16.5" hidden="1">
      <c r="E27940" s="4" t="str">
        <v/>
      </c>
      <c r="F27940" s="102" t="str">
        <f ca="1">IFERROR(__xludf.DUMMYFUNCTION("IMPORTRANGE(H27940,""IDENTITAS UNIT!D9"")"),"#N/A")</f>
        <v>#N/A</v>
      </c>
      <c r="H27940" s="4" t="str">
        <v/>
      </c>
      <c r="I27940" s="4" t="str">
        <v/>
      </c>
    </row>
    <row r="27941" spans="5:9" ht="16.5" hidden="1">
      <c r="E27941" s="4" t="str">
        <v/>
      </c>
      <c r="F27941" s="102" t="str">
        <f ca="1">IFERROR(__xludf.DUMMYFUNCTION("IMPORTRANGE(H27941,""IDENTITAS UNIT!D9"")"),"#N/A")</f>
        <v>#N/A</v>
      </c>
      <c r="H27941" s="4" t="str">
        <v/>
      </c>
      <c r="I27941" s="4" t="str">
        <v/>
      </c>
    </row>
    <row r="27942" spans="5:9" ht="16.5" hidden="1">
      <c r="E27942" s="4" t="str">
        <v/>
      </c>
      <c r="F27942" s="102" t="str">
        <f ca="1">IFERROR(__xludf.DUMMYFUNCTION("IMPORTRANGE(H27942,""IDENTITAS UNIT!D9"")"),"#N/A")</f>
        <v>#N/A</v>
      </c>
      <c r="H27942" s="4" t="str">
        <v/>
      </c>
      <c r="I27942" s="4" t="str">
        <v/>
      </c>
    </row>
    <row r="27943" spans="5:9" ht="16.5" hidden="1">
      <c r="E27943" s="4" t="str">
        <v/>
      </c>
      <c r="F27943" s="102" t="str">
        <f ca="1">IFERROR(__xludf.DUMMYFUNCTION("IMPORTRANGE(H27943,""IDENTITAS UNIT!D9"")"),"#N/A")</f>
        <v>#N/A</v>
      </c>
      <c r="H27943" s="4" t="str">
        <v/>
      </c>
      <c r="I27943" s="4" t="str">
        <v/>
      </c>
    </row>
    <row r="27944" spans="5:9" ht="16.5" hidden="1">
      <c r="E27944" s="4" t="str">
        <v/>
      </c>
      <c r="F27944" s="102" t="str">
        <f ca="1">IFERROR(__xludf.DUMMYFUNCTION("IMPORTRANGE(H27944,""IDENTITAS UNIT!D9"")"),"#N/A")</f>
        <v>#N/A</v>
      </c>
      <c r="H27944" s="4" t="str">
        <v/>
      </c>
      <c r="I27944" s="4" t="str">
        <v/>
      </c>
    </row>
    <row r="27945" spans="5:9" ht="16.5" hidden="1">
      <c r="E27945" s="4" t="str">
        <v/>
      </c>
      <c r="F27945" s="102" t="str">
        <f ca="1">IFERROR(__xludf.DUMMYFUNCTION("IMPORTRANGE(H27945,""IDENTITAS UNIT!D9"")"),"#N/A")</f>
        <v>#N/A</v>
      </c>
      <c r="H27945" s="4" t="str">
        <v/>
      </c>
      <c r="I27945" s="4" t="str">
        <v/>
      </c>
    </row>
    <row r="27946" spans="5:9" ht="16.5" hidden="1">
      <c r="E27946" s="4" t="str">
        <v/>
      </c>
      <c r="F27946" s="102" t="str">
        <f ca="1">IFERROR(__xludf.DUMMYFUNCTION("IMPORTRANGE(H27946,""IDENTITAS UNIT!D9"")"),"#N/A")</f>
        <v>#N/A</v>
      </c>
      <c r="H27946" s="4" t="str">
        <v/>
      </c>
      <c r="I27946" s="4" t="str">
        <v/>
      </c>
    </row>
    <row r="27947" spans="5:9" ht="16.5" hidden="1">
      <c r="E27947" s="4" t="str">
        <v/>
      </c>
      <c r="F27947" s="102" t="str">
        <f ca="1">IFERROR(__xludf.DUMMYFUNCTION("IMPORTRANGE(H27947,""IDENTITAS UNIT!D9"")"),"#N/A")</f>
        <v>#N/A</v>
      </c>
      <c r="H27947" s="4" t="str">
        <v/>
      </c>
      <c r="I27947" s="4" t="str">
        <v/>
      </c>
    </row>
    <row r="27948" spans="5:9" ht="16.5" hidden="1">
      <c r="E27948" s="4" t="str">
        <v/>
      </c>
      <c r="F27948" s="102" t="str">
        <f ca="1">IFERROR(__xludf.DUMMYFUNCTION("IMPORTRANGE(H27948,""IDENTITAS UNIT!D9"")"),"#N/A")</f>
        <v>#N/A</v>
      </c>
      <c r="H27948" s="4" t="str">
        <v/>
      </c>
      <c r="I27948" s="4" t="str">
        <v/>
      </c>
    </row>
    <row r="27949" spans="5:9" ht="16.5" hidden="1">
      <c r="E27949" s="4" t="str">
        <v/>
      </c>
      <c r="F27949" s="102" t="str">
        <f ca="1">IFERROR(__xludf.DUMMYFUNCTION("IMPORTRANGE(H27949,""IDENTITAS UNIT!D9"")"),"#N/A")</f>
        <v>#N/A</v>
      </c>
      <c r="H27949" s="4" t="str">
        <v/>
      </c>
      <c r="I27949" s="4" t="str">
        <v/>
      </c>
    </row>
    <row r="27950" spans="5:9" ht="16.5" hidden="1">
      <c r="E27950" s="4" t="str">
        <v/>
      </c>
      <c r="F27950" s="102" t="str">
        <f ca="1">IFERROR(__xludf.DUMMYFUNCTION("IMPORTRANGE(H27950,""IDENTITAS UNIT!D9"")"),"#N/A")</f>
        <v>#N/A</v>
      </c>
      <c r="H27950" s="4" t="str">
        <v/>
      </c>
      <c r="I27950" s="4" t="str">
        <v/>
      </c>
    </row>
    <row r="27951" spans="5:9" ht="16.5" hidden="1">
      <c r="E27951" s="4" t="str">
        <v/>
      </c>
      <c r="F27951" s="102" t="str">
        <f ca="1">IFERROR(__xludf.DUMMYFUNCTION("IMPORTRANGE(H27951,""IDENTITAS UNIT!D9"")"),"#N/A")</f>
        <v>#N/A</v>
      </c>
      <c r="H27951" s="4" t="str">
        <v/>
      </c>
      <c r="I27951" s="4" t="str">
        <v/>
      </c>
    </row>
    <row r="27952" spans="5:9" ht="16.5" hidden="1">
      <c r="E27952" s="4" t="str">
        <v/>
      </c>
      <c r="F27952" s="102" t="str">
        <f ca="1">IFERROR(__xludf.DUMMYFUNCTION("IMPORTRANGE(H27952,""IDENTITAS UNIT!D9"")"),"#N/A")</f>
        <v>#N/A</v>
      </c>
      <c r="H27952" s="4" t="str">
        <v/>
      </c>
      <c r="I27952" s="4" t="str">
        <v/>
      </c>
    </row>
    <row r="27953" spans="5:9" ht="16.5" hidden="1">
      <c r="E27953" s="4" t="str">
        <v/>
      </c>
      <c r="F27953" s="102" t="str">
        <f ca="1">IFERROR(__xludf.DUMMYFUNCTION("IMPORTRANGE(H27953,""IDENTITAS UNIT!D9"")"),"#N/A")</f>
        <v>#N/A</v>
      </c>
      <c r="H27953" s="4" t="str">
        <v/>
      </c>
      <c r="I27953" s="4" t="str">
        <v/>
      </c>
    </row>
    <row r="27954" spans="5:9" ht="16.5" hidden="1">
      <c r="E27954" s="4" t="str">
        <v/>
      </c>
      <c r="F27954" s="102" t="str">
        <f ca="1">IFERROR(__xludf.DUMMYFUNCTION("IMPORTRANGE(H27954,""IDENTITAS UNIT!D9"")"),"#N/A")</f>
        <v>#N/A</v>
      </c>
      <c r="H27954" s="4" t="str">
        <v/>
      </c>
      <c r="I27954" s="4" t="str">
        <v/>
      </c>
    </row>
    <row r="27955" spans="5:9" ht="16.5" hidden="1">
      <c r="E27955" s="4" t="str">
        <v/>
      </c>
      <c r="F27955" s="102" t="str">
        <f ca="1">IFERROR(__xludf.DUMMYFUNCTION("IMPORTRANGE(H27955,""IDENTITAS UNIT!D9"")"),"#N/A")</f>
        <v>#N/A</v>
      </c>
      <c r="H27955" s="4" t="str">
        <v/>
      </c>
      <c r="I27955" s="4" t="str">
        <v/>
      </c>
    </row>
    <row r="27956" spans="5:9" ht="16.5" hidden="1">
      <c r="E27956" s="4" t="str">
        <v/>
      </c>
      <c r="F27956" s="102" t="str">
        <f ca="1">IFERROR(__xludf.DUMMYFUNCTION("IMPORTRANGE(H27956,""IDENTITAS UNIT!D9"")"),"#N/A")</f>
        <v>#N/A</v>
      </c>
      <c r="H27956" s="4" t="str">
        <v/>
      </c>
      <c r="I27956" s="4" t="str">
        <v/>
      </c>
    </row>
    <row r="27957" spans="5:9" ht="16.5" hidden="1">
      <c r="E27957" s="4" t="str">
        <v/>
      </c>
      <c r="F27957" s="102" t="str">
        <f ca="1">IFERROR(__xludf.DUMMYFUNCTION("IMPORTRANGE(H27957,""IDENTITAS UNIT!D9"")"),"#N/A")</f>
        <v>#N/A</v>
      </c>
      <c r="H27957" s="4" t="str">
        <v/>
      </c>
      <c r="I27957" s="4" t="str">
        <v/>
      </c>
    </row>
    <row r="27958" spans="5:9" ht="16.5" hidden="1">
      <c r="E27958" s="4" t="str">
        <v/>
      </c>
      <c r="F27958" s="102" t="str">
        <f ca="1">IFERROR(__xludf.DUMMYFUNCTION("IMPORTRANGE(H27958,""IDENTITAS UNIT!D9"")"),"#N/A")</f>
        <v>#N/A</v>
      </c>
      <c r="H27958" s="4" t="str">
        <v/>
      </c>
      <c r="I27958" s="4" t="str">
        <v/>
      </c>
    </row>
    <row r="27959" spans="5:9" ht="16.5" hidden="1">
      <c r="E27959" s="4" t="str">
        <v/>
      </c>
      <c r="F27959" s="102" t="str">
        <f ca="1">IFERROR(__xludf.DUMMYFUNCTION("IMPORTRANGE(H27959,""IDENTITAS UNIT!D9"")"),"#N/A")</f>
        <v>#N/A</v>
      </c>
      <c r="H27959" s="4" t="str">
        <v/>
      </c>
      <c r="I27959" s="4" t="str">
        <v/>
      </c>
    </row>
    <row r="27960" spans="5:9" ht="16.5" hidden="1">
      <c r="E27960" s="4" t="str">
        <v/>
      </c>
      <c r="F27960" s="102" t="str">
        <f ca="1">IFERROR(__xludf.DUMMYFUNCTION("IMPORTRANGE(H27960,""IDENTITAS UNIT!D9"")"),"#N/A")</f>
        <v>#N/A</v>
      </c>
      <c r="H27960" s="4" t="str">
        <v/>
      </c>
      <c r="I27960" s="4" t="str">
        <v/>
      </c>
    </row>
    <row r="27961" spans="5:9" ht="16.5" hidden="1">
      <c r="E27961" s="4" t="str">
        <v/>
      </c>
      <c r="F27961" s="102" t="str">
        <f ca="1">IFERROR(__xludf.DUMMYFUNCTION("IMPORTRANGE(H27961,""IDENTITAS UNIT!D9"")"),"#N/A")</f>
        <v>#N/A</v>
      </c>
      <c r="H27961" s="4" t="str">
        <v/>
      </c>
      <c r="I27961" s="4" t="str">
        <v/>
      </c>
    </row>
    <row r="27962" spans="5:9" ht="16.5" hidden="1">
      <c r="E27962" s="4" t="str">
        <v/>
      </c>
      <c r="F27962" s="102" t="str">
        <f ca="1">IFERROR(__xludf.DUMMYFUNCTION("IMPORTRANGE(H27962,""IDENTITAS UNIT!D9"")"),"#N/A")</f>
        <v>#N/A</v>
      </c>
      <c r="H27962" s="4" t="str">
        <v/>
      </c>
      <c r="I27962" s="4" t="str">
        <v/>
      </c>
    </row>
    <row r="27963" spans="5:9" ht="16.5" hidden="1">
      <c r="E27963" s="4" t="str">
        <v/>
      </c>
      <c r="F27963" s="102" t="str">
        <f ca="1">IFERROR(__xludf.DUMMYFUNCTION("IMPORTRANGE(H27963,""IDENTITAS UNIT!D9"")"),"#N/A")</f>
        <v>#N/A</v>
      </c>
      <c r="H27963" s="4" t="str">
        <v/>
      </c>
      <c r="I27963" s="4" t="str">
        <v/>
      </c>
    </row>
    <row r="27964" spans="5:9" ht="16.5" hidden="1">
      <c r="E27964" s="4" t="str">
        <v/>
      </c>
      <c r="F27964" s="102" t="str">
        <f ca="1">IFERROR(__xludf.DUMMYFUNCTION("IMPORTRANGE(H27964,""IDENTITAS UNIT!D9"")"),"#N/A")</f>
        <v>#N/A</v>
      </c>
      <c r="H27964" s="4" t="str">
        <v/>
      </c>
      <c r="I27964" s="4" t="str">
        <v/>
      </c>
    </row>
    <row r="27965" spans="5:9" ht="16.5" hidden="1">
      <c r="E27965" s="4" t="str">
        <v/>
      </c>
      <c r="F27965" s="102" t="str">
        <f ca="1">IFERROR(__xludf.DUMMYFUNCTION("IMPORTRANGE(H27965,""IDENTITAS UNIT!D9"")"),"#N/A")</f>
        <v>#N/A</v>
      </c>
      <c r="H27965" s="4" t="str">
        <v/>
      </c>
      <c r="I27965" s="4" t="str">
        <v/>
      </c>
    </row>
    <row r="27966" spans="5:9" ht="16.5" hidden="1">
      <c r="E27966" s="4" t="str">
        <v/>
      </c>
      <c r="F27966" s="102" t="str">
        <f ca="1">IFERROR(__xludf.DUMMYFUNCTION("IMPORTRANGE(H27966,""IDENTITAS UNIT!D9"")"),"#N/A")</f>
        <v>#N/A</v>
      </c>
      <c r="H27966" s="4" t="str">
        <v/>
      </c>
      <c r="I27966" s="4" t="str">
        <v/>
      </c>
    </row>
    <row r="27967" spans="5:9" ht="16.5" hidden="1">
      <c r="E27967" s="4" t="str">
        <v/>
      </c>
      <c r="F27967" s="102" t="str">
        <f ca="1">IFERROR(__xludf.DUMMYFUNCTION("IMPORTRANGE(H27967,""IDENTITAS UNIT!D9"")"),"#N/A")</f>
        <v>#N/A</v>
      </c>
      <c r="H27967" s="4" t="str">
        <v/>
      </c>
      <c r="I27967" s="4" t="str">
        <v/>
      </c>
    </row>
    <row r="27968" spans="5:9" ht="16.5" hidden="1">
      <c r="E27968" s="4" t="str">
        <v/>
      </c>
      <c r="F27968" s="102" t="str">
        <f ca="1">IFERROR(__xludf.DUMMYFUNCTION("IMPORTRANGE(H27968,""IDENTITAS UNIT!D9"")"),"#N/A")</f>
        <v>#N/A</v>
      </c>
      <c r="H27968" s="4" t="str">
        <v/>
      </c>
      <c r="I27968" s="4" t="str">
        <v/>
      </c>
    </row>
    <row r="27969" spans="5:9" ht="16.5" hidden="1">
      <c r="E27969" s="4" t="str">
        <v/>
      </c>
      <c r="F27969" s="102" t="str">
        <f ca="1">IFERROR(__xludf.DUMMYFUNCTION("IMPORTRANGE(H27969,""IDENTITAS UNIT!D9"")"),"#N/A")</f>
        <v>#N/A</v>
      </c>
      <c r="H27969" s="4" t="str">
        <v/>
      </c>
      <c r="I27969" s="4" t="str">
        <v/>
      </c>
    </row>
    <row r="27970" spans="5:9" ht="16.5" hidden="1">
      <c r="E27970" s="4" t="str">
        <v/>
      </c>
      <c r="F27970" s="102" t="str">
        <f ca="1">IFERROR(__xludf.DUMMYFUNCTION("IMPORTRANGE(H27970,""IDENTITAS UNIT!D9"")"),"#N/A")</f>
        <v>#N/A</v>
      </c>
      <c r="H27970" s="4" t="str">
        <v/>
      </c>
      <c r="I27970" s="4" t="str">
        <v/>
      </c>
    </row>
    <row r="27971" spans="5:9" ht="16.5" hidden="1">
      <c r="E27971" s="4" t="str">
        <v/>
      </c>
      <c r="F27971" s="102" t="str">
        <f ca="1">IFERROR(__xludf.DUMMYFUNCTION("IMPORTRANGE(H27971,""IDENTITAS UNIT!D9"")"),"#N/A")</f>
        <v>#N/A</v>
      </c>
      <c r="H27971" s="4" t="str">
        <v/>
      </c>
      <c r="I27971" s="4" t="str">
        <v/>
      </c>
    </row>
    <row r="27972" spans="5:9" ht="16.5" hidden="1">
      <c r="E27972" s="4" t="str">
        <v/>
      </c>
      <c r="F27972" s="102" t="str">
        <f ca="1">IFERROR(__xludf.DUMMYFUNCTION("IMPORTRANGE(H27972,""IDENTITAS UNIT!D9"")"),"#N/A")</f>
        <v>#N/A</v>
      </c>
      <c r="H27972" s="4" t="str">
        <v/>
      </c>
      <c r="I27972" s="4" t="str">
        <v/>
      </c>
    </row>
    <row r="27973" spans="5:9" ht="16.5" hidden="1">
      <c r="E27973" s="4" t="str">
        <v/>
      </c>
      <c r="F27973" s="102" t="str">
        <f ca="1">IFERROR(__xludf.DUMMYFUNCTION("IMPORTRANGE(H27973,""IDENTITAS UNIT!D9"")"),"#N/A")</f>
        <v>#N/A</v>
      </c>
      <c r="H27973" s="4" t="str">
        <v/>
      </c>
      <c r="I27973" s="4" t="str">
        <v/>
      </c>
    </row>
    <row r="27974" spans="5:9" ht="16.5" hidden="1">
      <c r="E27974" s="4" t="str">
        <v/>
      </c>
      <c r="F27974" s="102" t="str">
        <f ca="1">IFERROR(__xludf.DUMMYFUNCTION("IMPORTRANGE(H27974,""IDENTITAS UNIT!D9"")"),"#N/A")</f>
        <v>#N/A</v>
      </c>
      <c r="H27974" s="4" t="str">
        <v/>
      </c>
      <c r="I27974" s="4" t="str">
        <v/>
      </c>
    </row>
    <row r="27975" spans="5:9" ht="16.5" hidden="1">
      <c r="E27975" s="4" t="str">
        <v/>
      </c>
      <c r="F27975" s="102" t="str">
        <f ca="1">IFERROR(__xludf.DUMMYFUNCTION("IMPORTRANGE(H27975,""IDENTITAS UNIT!D9"")"),"#N/A")</f>
        <v>#N/A</v>
      </c>
      <c r="H27975" s="4" t="str">
        <v/>
      </c>
      <c r="I27975" s="4" t="str">
        <v/>
      </c>
    </row>
    <row r="27976" spans="5:9" ht="16.5" hidden="1">
      <c r="E27976" s="4" t="str">
        <v/>
      </c>
      <c r="F27976" s="102" t="str">
        <f ca="1">IFERROR(__xludf.DUMMYFUNCTION("IMPORTRANGE(H27976,""IDENTITAS UNIT!D9"")"),"#N/A")</f>
        <v>#N/A</v>
      </c>
      <c r="H27976" s="4" t="str">
        <v/>
      </c>
      <c r="I27976" s="4" t="str">
        <v/>
      </c>
    </row>
    <row r="27977" spans="5:9" ht="16.5" hidden="1">
      <c r="E27977" s="4" t="str">
        <v/>
      </c>
      <c r="F27977" s="102" t="str">
        <f ca="1">IFERROR(__xludf.DUMMYFUNCTION("IMPORTRANGE(H27977,""IDENTITAS UNIT!D9"")"),"#N/A")</f>
        <v>#N/A</v>
      </c>
      <c r="H27977" s="4" t="str">
        <v/>
      </c>
      <c r="I27977" s="4" t="str">
        <v/>
      </c>
    </row>
    <row r="27978" spans="5:9" ht="16.5" hidden="1">
      <c r="E27978" s="4" t="str">
        <v/>
      </c>
      <c r="F27978" s="102" t="str">
        <f ca="1">IFERROR(__xludf.DUMMYFUNCTION("IMPORTRANGE(H27978,""IDENTITAS UNIT!D9"")"),"#N/A")</f>
        <v>#N/A</v>
      </c>
      <c r="H27978" s="4" t="str">
        <v/>
      </c>
      <c r="I27978" s="4" t="str">
        <v/>
      </c>
    </row>
    <row r="27979" spans="5:9" ht="16.5" hidden="1">
      <c r="E27979" s="4" t="str">
        <v/>
      </c>
      <c r="F27979" s="102" t="str">
        <f ca="1">IFERROR(__xludf.DUMMYFUNCTION("IMPORTRANGE(H27979,""IDENTITAS UNIT!D9"")"),"#N/A")</f>
        <v>#N/A</v>
      </c>
      <c r="H27979" s="4" t="str">
        <v/>
      </c>
      <c r="I27979" s="4" t="str">
        <v/>
      </c>
    </row>
    <row r="27980" spans="5:9" ht="16.5" hidden="1">
      <c r="E27980" s="4" t="str">
        <v/>
      </c>
      <c r="F27980" s="102" t="str">
        <f ca="1">IFERROR(__xludf.DUMMYFUNCTION("IMPORTRANGE(H27980,""IDENTITAS UNIT!D9"")"),"#N/A")</f>
        <v>#N/A</v>
      </c>
      <c r="H27980" s="4" t="str">
        <v/>
      </c>
      <c r="I27980" s="4" t="str">
        <v/>
      </c>
    </row>
    <row r="27981" spans="5:9" ht="16.5" hidden="1">
      <c r="E27981" s="4" t="str">
        <v/>
      </c>
      <c r="F27981" s="102" t="str">
        <f ca="1">IFERROR(__xludf.DUMMYFUNCTION("IMPORTRANGE(H27981,""IDENTITAS UNIT!D9"")"),"#N/A")</f>
        <v>#N/A</v>
      </c>
      <c r="H27981" s="4" t="str">
        <v/>
      </c>
      <c r="I27981" s="4" t="str">
        <v/>
      </c>
    </row>
    <row r="27982" spans="5:9" ht="16.5" hidden="1">
      <c r="E27982" s="4" t="str">
        <v/>
      </c>
      <c r="F27982" s="102" t="str">
        <f ca="1">IFERROR(__xludf.DUMMYFUNCTION("IMPORTRANGE(H27982,""IDENTITAS UNIT!D9"")"),"#N/A")</f>
        <v>#N/A</v>
      </c>
      <c r="H27982" s="4" t="str">
        <v/>
      </c>
      <c r="I27982" s="4" t="str">
        <v/>
      </c>
    </row>
    <row r="27983" spans="5:9" ht="16.5" hidden="1">
      <c r="E27983" s="4" t="str">
        <v/>
      </c>
      <c r="F27983" s="102" t="str">
        <f ca="1">IFERROR(__xludf.DUMMYFUNCTION("IMPORTRANGE(H27983,""IDENTITAS UNIT!D9"")"),"#N/A")</f>
        <v>#N/A</v>
      </c>
      <c r="H27983" s="4" t="str">
        <v/>
      </c>
      <c r="I27983" s="4" t="str">
        <v/>
      </c>
    </row>
    <row r="27984" spans="5:9" ht="16.5" hidden="1">
      <c r="E27984" s="4" t="str">
        <v/>
      </c>
      <c r="F27984" s="102" t="str">
        <f ca="1">IFERROR(__xludf.DUMMYFUNCTION("IMPORTRANGE(H27984,""IDENTITAS UNIT!D9"")"),"#N/A")</f>
        <v>#N/A</v>
      </c>
      <c r="H27984" s="4" t="str">
        <v/>
      </c>
      <c r="I27984" s="4" t="str">
        <v/>
      </c>
    </row>
    <row r="27985" spans="5:9" ht="16.5" hidden="1">
      <c r="E27985" s="4" t="str">
        <v/>
      </c>
      <c r="F27985" s="102" t="str">
        <f ca="1">IFERROR(__xludf.DUMMYFUNCTION("IMPORTRANGE(H27985,""IDENTITAS UNIT!D9"")"),"#N/A")</f>
        <v>#N/A</v>
      </c>
      <c r="H27985" s="4" t="str">
        <v/>
      </c>
      <c r="I27985" s="4" t="str">
        <v/>
      </c>
    </row>
    <row r="27986" spans="5:9" ht="16.5" hidden="1">
      <c r="E27986" s="4" t="str">
        <v/>
      </c>
      <c r="F27986" s="102" t="str">
        <f ca="1">IFERROR(__xludf.DUMMYFUNCTION("IMPORTRANGE(H27986,""IDENTITAS UNIT!D9"")"),"#N/A")</f>
        <v>#N/A</v>
      </c>
      <c r="H27986" s="4" t="str">
        <v/>
      </c>
      <c r="I27986" s="4" t="str">
        <v/>
      </c>
    </row>
    <row r="27987" spans="5:9" ht="16.5" hidden="1">
      <c r="E27987" s="4" t="str">
        <v/>
      </c>
      <c r="F27987" s="102" t="str">
        <f ca="1">IFERROR(__xludf.DUMMYFUNCTION("IMPORTRANGE(H27987,""IDENTITAS UNIT!D9"")"),"#N/A")</f>
        <v>#N/A</v>
      </c>
      <c r="H27987" s="4" t="str">
        <v/>
      </c>
      <c r="I27987" s="4" t="str">
        <v/>
      </c>
    </row>
    <row r="27988" spans="5:9" ht="16.5" hidden="1">
      <c r="E27988" s="4" t="str">
        <v/>
      </c>
      <c r="F27988" s="102" t="str">
        <f ca="1">IFERROR(__xludf.DUMMYFUNCTION("IMPORTRANGE(H27988,""IDENTITAS UNIT!D9"")"),"#N/A")</f>
        <v>#N/A</v>
      </c>
      <c r="H27988" s="4" t="str">
        <v/>
      </c>
      <c r="I27988" s="4" t="str">
        <v/>
      </c>
    </row>
    <row r="27989" spans="5:9" ht="16.5" hidden="1">
      <c r="E27989" s="4" t="str">
        <v/>
      </c>
      <c r="F27989" s="102" t="str">
        <f ca="1">IFERROR(__xludf.DUMMYFUNCTION("IMPORTRANGE(H27989,""IDENTITAS UNIT!D9"")"),"#N/A")</f>
        <v>#N/A</v>
      </c>
      <c r="H27989" s="4" t="str">
        <v/>
      </c>
      <c r="I27989" s="4" t="str">
        <v/>
      </c>
    </row>
    <row r="27990" spans="5:9" ht="16.5" hidden="1">
      <c r="E27990" s="4" t="str">
        <v/>
      </c>
      <c r="F27990" s="102" t="str">
        <f ca="1">IFERROR(__xludf.DUMMYFUNCTION("IMPORTRANGE(H27990,""IDENTITAS UNIT!D9"")"),"#N/A")</f>
        <v>#N/A</v>
      </c>
      <c r="H27990" s="4" t="str">
        <v/>
      </c>
      <c r="I27990" s="4" t="str">
        <v/>
      </c>
    </row>
    <row r="27991" spans="5:9" ht="16.5" hidden="1">
      <c r="E27991" s="4" t="str">
        <v/>
      </c>
      <c r="F27991" s="102" t="str">
        <f ca="1">IFERROR(__xludf.DUMMYFUNCTION("IMPORTRANGE(H27991,""IDENTITAS UNIT!D9"")"),"#N/A")</f>
        <v>#N/A</v>
      </c>
      <c r="H27991" s="4" t="str">
        <v/>
      </c>
      <c r="I27991" s="4" t="str">
        <v/>
      </c>
    </row>
    <row r="27992" spans="5:9" ht="16.5" hidden="1">
      <c r="E27992" s="4" t="str">
        <v/>
      </c>
      <c r="F27992" s="102" t="str">
        <f ca="1">IFERROR(__xludf.DUMMYFUNCTION("IMPORTRANGE(H27992,""IDENTITAS UNIT!D9"")"),"#N/A")</f>
        <v>#N/A</v>
      </c>
      <c r="H27992" s="4" t="str">
        <v/>
      </c>
      <c r="I27992" s="4" t="str">
        <v/>
      </c>
    </row>
    <row r="27993" spans="5:9" ht="16.5" hidden="1">
      <c r="E27993" s="4" t="str">
        <v/>
      </c>
      <c r="F27993" s="102" t="str">
        <f ca="1">IFERROR(__xludf.DUMMYFUNCTION("IMPORTRANGE(H27993,""IDENTITAS UNIT!D9"")"),"#N/A")</f>
        <v>#N/A</v>
      </c>
      <c r="H27993" s="4" t="str">
        <v/>
      </c>
      <c r="I27993" s="4" t="str">
        <v/>
      </c>
    </row>
    <row r="27994" spans="5:9" ht="16.5" hidden="1">
      <c r="E27994" s="4" t="str">
        <v/>
      </c>
      <c r="F27994" s="102" t="str">
        <f ca="1">IFERROR(__xludf.DUMMYFUNCTION("IMPORTRANGE(H27994,""IDENTITAS UNIT!D9"")"),"#N/A")</f>
        <v>#N/A</v>
      </c>
      <c r="H27994" s="4" t="str">
        <v/>
      </c>
      <c r="I27994" s="4" t="str">
        <v/>
      </c>
    </row>
    <row r="27995" spans="5:9" ht="16.5" hidden="1">
      <c r="E27995" s="4" t="str">
        <v/>
      </c>
      <c r="F27995" s="102" t="str">
        <f ca="1">IFERROR(__xludf.DUMMYFUNCTION("IMPORTRANGE(H27995,""IDENTITAS UNIT!D9"")"),"#N/A")</f>
        <v>#N/A</v>
      </c>
      <c r="H27995" s="4" t="str">
        <v/>
      </c>
      <c r="I27995" s="4" t="str">
        <v/>
      </c>
    </row>
    <row r="27996" spans="5:9" ht="16.5" hidden="1">
      <c r="E27996" s="4" t="str">
        <v/>
      </c>
      <c r="F27996" s="102" t="str">
        <f ca="1">IFERROR(__xludf.DUMMYFUNCTION("IMPORTRANGE(H27996,""IDENTITAS UNIT!D9"")"),"#N/A")</f>
        <v>#N/A</v>
      </c>
      <c r="H27996" s="4" t="str">
        <v/>
      </c>
      <c r="I27996" s="4" t="str">
        <v/>
      </c>
    </row>
    <row r="27997" spans="5:9" ht="16.5" hidden="1">
      <c r="E27997" s="4" t="str">
        <v/>
      </c>
      <c r="F27997" s="102" t="str">
        <f ca="1">IFERROR(__xludf.DUMMYFUNCTION("IMPORTRANGE(H27997,""IDENTITAS UNIT!D9"")"),"#N/A")</f>
        <v>#N/A</v>
      </c>
      <c r="H27997" s="4" t="str">
        <v/>
      </c>
      <c r="I27997" s="4" t="str">
        <v/>
      </c>
    </row>
    <row r="27998" spans="5:9" ht="16.5" hidden="1">
      <c r="E27998" s="4" t="str">
        <v/>
      </c>
      <c r="F27998" s="102" t="str">
        <f ca="1">IFERROR(__xludf.DUMMYFUNCTION("IMPORTRANGE(H27998,""IDENTITAS UNIT!D9"")"),"#N/A")</f>
        <v>#N/A</v>
      </c>
      <c r="H27998" s="4" t="str">
        <v/>
      </c>
      <c r="I27998" s="4" t="str">
        <v/>
      </c>
    </row>
    <row r="27999" spans="5:9" ht="16.5" hidden="1">
      <c r="E27999" s="4" t="str">
        <v/>
      </c>
      <c r="F27999" s="102" t="str">
        <f ca="1">IFERROR(__xludf.DUMMYFUNCTION("IMPORTRANGE(H27999,""IDENTITAS UNIT!D9"")"),"#N/A")</f>
        <v>#N/A</v>
      </c>
      <c r="H27999" s="4" t="str">
        <v/>
      </c>
      <c r="I27999" s="4" t="str">
        <v/>
      </c>
    </row>
    <row r="28000" spans="5:9" ht="16.5" hidden="1">
      <c r="E28000" s="4" t="str">
        <v/>
      </c>
      <c r="F28000" s="102" t="str">
        <f ca="1">IFERROR(__xludf.DUMMYFUNCTION("IMPORTRANGE(H28000,""IDENTITAS UNIT!D9"")"),"#N/A")</f>
        <v>#N/A</v>
      </c>
      <c r="H28000" s="4" t="str">
        <v/>
      </c>
      <c r="I28000" s="4" t="str">
        <v/>
      </c>
    </row>
    <row r="28001" spans="5:9" ht="16.5" hidden="1">
      <c r="E28001" s="4" t="str">
        <v/>
      </c>
      <c r="F28001" s="102" t="str">
        <f ca="1">IFERROR(__xludf.DUMMYFUNCTION("IMPORTRANGE(H28001,""IDENTITAS UNIT!D9"")"),"#N/A")</f>
        <v>#N/A</v>
      </c>
      <c r="H28001" s="4" t="str">
        <v/>
      </c>
      <c r="I28001" s="4" t="str">
        <v/>
      </c>
    </row>
    <row r="28002" spans="5:9" ht="16.5" hidden="1">
      <c r="E28002" s="4" t="str">
        <v/>
      </c>
      <c r="F28002" s="102" t="str">
        <f ca="1">IFERROR(__xludf.DUMMYFUNCTION("IMPORTRANGE(H28002,""IDENTITAS UNIT!D9"")"),"#N/A")</f>
        <v>#N/A</v>
      </c>
      <c r="H28002" s="4" t="str">
        <v/>
      </c>
      <c r="I28002" s="4" t="str">
        <v/>
      </c>
    </row>
    <row r="28003" spans="5:9" ht="16.5" hidden="1">
      <c r="E28003" s="4" t="str">
        <v/>
      </c>
      <c r="F28003" s="102" t="str">
        <f ca="1">IFERROR(__xludf.DUMMYFUNCTION("IMPORTRANGE(H28003,""IDENTITAS UNIT!D9"")"),"#N/A")</f>
        <v>#N/A</v>
      </c>
      <c r="H28003" s="4" t="str">
        <v/>
      </c>
      <c r="I28003" s="4" t="str">
        <v/>
      </c>
    </row>
    <row r="28004" spans="5:9" ht="16.5" hidden="1">
      <c r="E28004" s="4" t="str">
        <v/>
      </c>
      <c r="F28004" s="102" t="str">
        <f ca="1">IFERROR(__xludf.DUMMYFUNCTION("IMPORTRANGE(H28004,""IDENTITAS UNIT!D9"")"),"#N/A")</f>
        <v>#N/A</v>
      </c>
      <c r="H28004" s="4" t="str">
        <v/>
      </c>
      <c r="I28004" s="4" t="str">
        <v/>
      </c>
    </row>
    <row r="28005" spans="5:9" ht="16.5" hidden="1">
      <c r="E28005" s="4" t="str">
        <v/>
      </c>
      <c r="F28005" s="102" t="str">
        <f ca="1">IFERROR(__xludf.DUMMYFUNCTION("IMPORTRANGE(H28005,""IDENTITAS UNIT!D9"")"),"#N/A")</f>
        <v>#N/A</v>
      </c>
      <c r="H28005" s="4" t="str">
        <v/>
      </c>
      <c r="I28005" s="4" t="str">
        <v/>
      </c>
    </row>
    <row r="28006" spans="5:9" ht="16.5" hidden="1">
      <c r="E28006" s="4" t="str">
        <v/>
      </c>
      <c r="F28006" s="102" t="str">
        <f ca="1">IFERROR(__xludf.DUMMYFUNCTION("IMPORTRANGE(H28006,""IDENTITAS UNIT!D9"")"),"#N/A")</f>
        <v>#N/A</v>
      </c>
      <c r="H28006" s="4" t="str">
        <v/>
      </c>
      <c r="I28006" s="4" t="str">
        <v/>
      </c>
    </row>
    <row r="28007" spans="5:9" ht="16.5" hidden="1">
      <c r="E28007" s="4" t="str">
        <v/>
      </c>
      <c r="F28007" s="102" t="str">
        <f ca="1">IFERROR(__xludf.DUMMYFUNCTION("IMPORTRANGE(H28007,""IDENTITAS UNIT!D9"")"),"#N/A")</f>
        <v>#N/A</v>
      </c>
      <c r="H28007" s="4" t="str">
        <v/>
      </c>
      <c r="I28007" s="4" t="str">
        <v/>
      </c>
    </row>
    <row r="28008" spans="5:9" ht="16.5" hidden="1">
      <c r="E28008" s="4" t="str">
        <v/>
      </c>
      <c r="F28008" s="102" t="str">
        <f ca="1">IFERROR(__xludf.DUMMYFUNCTION("IMPORTRANGE(H28008,""IDENTITAS UNIT!D9"")"),"#N/A")</f>
        <v>#N/A</v>
      </c>
      <c r="H28008" s="4" t="str">
        <v/>
      </c>
      <c r="I28008" s="4" t="str">
        <v/>
      </c>
    </row>
    <row r="28009" spans="5:9" ht="16.5" hidden="1">
      <c r="E28009" s="4" t="str">
        <v/>
      </c>
      <c r="F28009" s="102" t="str">
        <f ca="1">IFERROR(__xludf.DUMMYFUNCTION("IMPORTRANGE(H28009,""IDENTITAS UNIT!D9"")"),"#N/A")</f>
        <v>#N/A</v>
      </c>
      <c r="H28009" s="4" t="str">
        <v/>
      </c>
      <c r="I28009" s="4" t="str">
        <v/>
      </c>
    </row>
    <row r="28010" spans="5:9" ht="16.5" hidden="1">
      <c r="E28010" s="4" t="str">
        <v/>
      </c>
      <c r="F28010" s="102" t="str">
        <f ca="1">IFERROR(__xludf.DUMMYFUNCTION("IMPORTRANGE(H28010,""IDENTITAS UNIT!D9"")"),"#N/A")</f>
        <v>#N/A</v>
      </c>
      <c r="H28010" s="4" t="str">
        <v/>
      </c>
      <c r="I28010" s="4" t="str">
        <v/>
      </c>
    </row>
    <row r="28011" spans="5:9" ht="16.5" hidden="1">
      <c r="E28011" s="4" t="str">
        <v/>
      </c>
      <c r="F28011" s="102" t="str">
        <f ca="1">IFERROR(__xludf.DUMMYFUNCTION("IMPORTRANGE(H28011,""IDENTITAS UNIT!D9"")"),"#N/A")</f>
        <v>#N/A</v>
      </c>
      <c r="H28011" s="4" t="str">
        <v/>
      </c>
      <c r="I28011" s="4" t="str">
        <v/>
      </c>
    </row>
    <row r="28012" spans="5:9" ht="16.5" hidden="1">
      <c r="E28012" s="4" t="str">
        <v/>
      </c>
      <c r="F28012" s="102" t="str">
        <f ca="1">IFERROR(__xludf.DUMMYFUNCTION("IMPORTRANGE(H28012,""IDENTITAS UNIT!D9"")"),"#N/A")</f>
        <v>#N/A</v>
      </c>
      <c r="H28012" s="4" t="str">
        <v/>
      </c>
      <c r="I28012" s="4" t="str">
        <v/>
      </c>
    </row>
    <row r="28013" spans="5:9" ht="16.5" hidden="1">
      <c r="E28013" s="4" t="str">
        <v/>
      </c>
      <c r="F28013" s="102" t="str">
        <f ca="1">IFERROR(__xludf.DUMMYFUNCTION("IMPORTRANGE(H28013,""IDENTITAS UNIT!D9"")"),"#N/A")</f>
        <v>#N/A</v>
      </c>
      <c r="H28013" s="4" t="str">
        <v/>
      </c>
      <c r="I28013" s="4" t="str">
        <v/>
      </c>
    </row>
    <row r="28014" spans="5:9" ht="16.5" hidden="1">
      <c r="E28014" s="4" t="str">
        <v/>
      </c>
      <c r="F28014" s="102" t="str">
        <f ca="1">IFERROR(__xludf.DUMMYFUNCTION("IMPORTRANGE(H28014,""IDENTITAS UNIT!D9"")"),"#N/A")</f>
        <v>#N/A</v>
      </c>
      <c r="H28014" s="4" t="str">
        <v/>
      </c>
      <c r="I28014" s="4" t="str">
        <v/>
      </c>
    </row>
    <row r="28015" spans="5:9" ht="16.5" hidden="1">
      <c r="E28015" s="4" t="str">
        <v/>
      </c>
      <c r="F28015" s="102" t="str">
        <f ca="1">IFERROR(__xludf.DUMMYFUNCTION("IMPORTRANGE(H28015,""IDENTITAS UNIT!D9"")"),"#N/A")</f>
        <v>#N/A</v>
      </c>
      <c r="H28015" s="4" t="str">
        <v/>
      </c>
      <c r="I28015" s="4" t="str">
        <v/>
      </c>
    </row>
    <row r="28016" spans="5:9" ht="16.5" hidden="1">
      <c r="E28016" s="4" t="str">
        <v/>
      </c>
      <c r="F28016" s="102" t="str">
        <f ca="1">IFERROR(__xludf.DUMMYFUNCTION("IMPORTRANGE(H28016,""IDENTITAS UNIT!D9"")"),"#N/A")</f>
        <v>#N/A</v>
      </c>
      <c r="H28016" s="4" t="str">
        <v/>
      </c>
      <c r="I28016" s="4" t="str">
        <v/>
      </c>
    </row>
    <row r="28017" spans="5:9" ht="16.5" hidden="1">
      <c r="E28017" s="4" t="str">
        <v/>
      </c>
      <c r="F28017" s="102" t="str">
        <f ca="1">IFERROR(__xludf.DUMMYFUNCTION("IMPORTRANGE(H28017,""IDENTITAS UNIT!D9"")"),"#N/A")</f>
        <v>#N/A</v>
      </c>
      <c r="H28017" s="4" t="str">
        <v/>
      </c>
      <c r="I28017" s="4" t="str">
        <v/>
      </c>
    </row>
    <row r="28018" spans="5:9" ht="16.5" hidden="1">
      <c r="E28018" s="4" t="str">
        <v/>
      </c>
      <c r="F28018" s="102" t="str">
        <f ca="1">IFERROR(__xludf.DUMMYFUNCTION("IMPORTRANGE(H28018,""IDENTITAS UNIT!D9"")"),"#N/A")</f>
        <v>#N/A</v>
      </c>
      <c r="H28018" s="4" t="str">
        <v/>
      </c>
      <c r="I28018" s="4" t="str">
        <v/>
      </c>
    </row>
    <row r="28019" spans="5:9" ht="16.5" hidden="1">
      <c r="E28019" s="4" t="str">
        <v/>
      </c>
      <c r="F28019" s="102" t="str">
        <f ca="1">IFERROR(__xludf.DUMMYFUNCTION("IMPORTRANGE(H28019,""IDENTITAS UNIT!D9"")"),"#N/A")</f>
        <v>#N/A</v>
      </c>
      <c r="H28019" s="4" t="str">
        <v/>
      </c>
      <c r="I28019" s="4" t="str">
        <v/>
      </c>
    </row>
    <row r="28020" spans="5:9" ht="16.5" hidden="1">
      <c r="E28020" s="4" t="str">
        <v/>
      </c>
      <c r="F28020" s="102" t="str">
        <f ca="1">IFERROR(__xludf.DUMMYFUNCTION("IMPORTRANGE(H28020,""IDENTITAS UNIT!D9"")"),"#N/A")</f>
        <v>#N/A</v>
      </c>
      <c r="H28020" s="4" t="str">
        <v/>
      </c>
      <c r="I28020" s="4" t="str">
        <v/>
      </c>
    </row>
    <row r="28021" spans="5:9" ht="16.5" hidden="1">
      <c r="E28021" s="4" t="str">
        <v/>
      </c>
      <c r="F28021" s="102" t="str">
        <f ca="1">IFERROR(__xludf.DUMMYFUNCTION("IMPORTRANGE(H28021,""IDENTITAS UNIT!D9"")"),"#N/A")</f>
        <v>#N/A</v>
      </c>
      <c r="H28021" s="4" t="str">
        <v/>
      </c>
      <c r="I28021" s="4" t="str">
        <v/>
      </c>
    </row>
    <row r="28022" spans="5:9" ht="16.5" hidden="1">
      <c r="E28022" s="4" t="str">
        <v/>
      </c>
      <c r="F28022" s="102" t="str">
        <f ca="1">IFERROR(__xludf.DUMMYFUNCTION("IMPORTRANGE(H28022,""IDENTITAS UNIT!D9"")"),"#N/A")</f>
        <v>#N/A</v>
      </c>
      <c r="H28022" s="4" t="str">
        <v/>
      </c>
      <c r="I28022" s="4" t="str">
        <v/>
      </c>
    </row>
    <row r="28023" spans="5:9" ht="16.5" hidden="1">
      <c r="E28023" s="4" t="str">
        <v/>
      </c>
      <c r="F28023" s="102" t="str">
        <f ca="1">IFERROR(__xludf.DUMMYFUNCTION("IMPORTRANGE(H28023,""IDENTITAS UNIT!D9"")"),"#N/A")</f>
        <v>#N/A</v>
      </c>
      <c r="H28023" s="4" t="str">
        <v/>
      </c>
      <c r="I28023" s="4" t="str">
        <v/>
      </c>
    </row>
    <row r="28024" spans="5:9" ht="16.5" hidden="1">
      <c r="E28024" s="4" t="str">
        <v/>
      </c>
      <c r="F28024" s="102" t="str">
        <f ca="1">IFERROR(__xludf.DUMMYFUNCTION("IMPORTRANGE(H28024,""IDENTITAS UNIT!D9"")"),"#N/A")</f>
        <v>#N/A</v>
      </c>
      <c r="H28024" s="4" t="str">
        <v/>
      </c>
      <c r="I28024" s="4" t="str">
        <v/>
      </c>
    </row>
    <row r="28025" spans="5:9" ht="16.5" hidden="1">
      <c r="E28025" s="4" t="str">
        <v/>
      </c>
      <c r="F28025" s="102" t="str">
        <f ca="1">IFERROR(__xludf.DUMMYFUNCTION("IMPORTRANGE(H28025,""IDENTITAS UNIT!D9"")"),"#N/A")</f>
        <v>#N/A</v>
      </c>
      <c r="H28025" s="4" t="str">
        <v/>
      </c>
      <c r="I28025" s="4" t="str">
        <v/>
      </c>
    </row>
    <row r="28026" spans="5:9" ht="16.5" hidden="1">
      <c r="E28026" s="4" t="str">
        <v/>
      </c>
      <c r="F28026" s="102" t="str">
        <f ca="1">IFERROR(__xludf.DUMMYFUNCTION("IMPORTRANGE(H28026,""IDENTITAS UNIT!D9"")"),"#N/A")</f>
        <v>#N/A</v>
      </c>
      <c r="H28026" s="4" t="str">
        <v/>
      </c>
      <c r="I28026" s="4" t="str">
        <v/>
      </c>
    </row>
    <row r="28027" spans="5:9" ht="16.5" hidden="1">
      <c r="E28027" s="4" t="str">
        <v/>
      </c>
      <c r="F28027" s="102" t="str">
        <f ca="1">IFERROR(__xludf.DUMMYFUNCTION("IMPORTRANGE(H28027,""IDENTITAS UNIT!D9"")"),"#N/A")</f>
        <v>#N/A</v>
      </c>
      <c r="H28027" s="4" t="str">
        <v/>
      </c>
      <c r="I28027" s="4" t="str">
        <v/>
      </c>
    </row>
    <row r="28028" spans="5:9" ht="16.5" hidden="1">
      <c r="E28028" s="4" t="str">
        <v/>
      </c>
      <c r="F28028" s="102" t="str">
        <f ca="1">IFERROR(__xludf.DUMMYFUNCTION("IMPORTRANGE(H28028,""IDENTITAS UNIT!D9"")"),"#N/A")</f>
        <v>#N/A</v>
      </c>
      <c r="H28028" s="4" t="str">
        <v/>
      </c>
      <c r="I28028" s="4" t="str">
        <v/>
      </c>
    </row>
    <row r="28029" spans="5:9" ht="16.5" hidden="1">
      <c r="E28029" s="4" t="str">
        <v/>
      </c>
      <c r="F28029" s="102" t="str">
        <f ca="1">IFERROR(__xludf.DUMMYFUNCTION("IMPORTRANGE(H28029,""IDENTITAS UNIT!D9"")"),"#N/A")</f>
        <v>#N/A</v>
      </c>
      <c r="H28029" s="4" t="str">
        <v/>
      </c>
      <c r="I28029" s="4" t="str">
        <v/>
      </c>
    </row>
    <row r="28030" spans="5:9" ht="16.5" hidden="1">
      <c r="E28030" s="4" t="str">
        <v/>
      </c>
      <c r="F28030" s="102" t="str">
        <f ca="1">IFERROR(__xludf.DUMMYFUNCTION("IMPORTRANGE(H28030,""IDENTITAS UNIT!D9"")"),"#N/A")</f>
        <v>#N/A</v>
      </c>
      <c r="H28030" s="4" t="str">
        <v/>
      </c>
      <c r="I28030" s="4" t="str">
        <v/>
      </c>
    </row>
    <row r="28031" spans="5:9" ht="16.5" hidden="1">
      <c r="E28031" s="4" t="str">
        <v/>
      </c>
      <c r="F28031" s="102" t="str">
        <f ca="1">IFERROR(__xludf.DUMMYFUNCTION("IMPORTRANGE(H28031,""IDENTITAS UNIT!D9"")"),"#N/A")</f>
        <v>#N/A</v>
      </c>
      <c r="H28031" s="4" t="str">
        <v/>
      </c>
      <c r="I28031" s="4" t="str">
        <v/>
      </c>
    </row>
    <row r="28032" spans="5:9" ht="16.5" hidden="1">
      <c r="E28032" s="4" t="str">
        <v/>
      </c>
      <c r="F28032" s="102" t="str">
        <f ca="1">IFERROR(__xludf.DUMMYFUNCTION("IMPORTRANGE(H28032,""IDENTITAS UNIT!D9"")"),"#N/A")</f>
        <v>#N/A</v>
      </c>
      <c r="H28032" s="4" t="str">
        <v/>
      </c>
      <c r="I28032" s="4" t="str">
        <v/>
      </c>
    </row>
    <row r="28033" spans="5:9" ht="16.5" hidden="1">
      <c r="E28033" s="4" t="str">
        <v/>
      </c>
      <c r="F28033" s="102" t="str">
        <f ca="1">IFERROR(__xludf.DUMMYFUNCTION("IMPORTRANGE(H28033,""IDENTITAS UNIT!D9"")"),"#N/A")</f>
        <v>#N/A</v>
      </c>
      <c r="H28033" s="4" t="str">
        <v/>
      </c>
      <c r="I28033" s="4" t="str">
        <v/>
      </c>
    </row>
    <row r="28034" spans="5:9" ht="16.5" hidden="1">
      <c r="E28034" s="4" t="str">
        <v/>
      </c>
      <c r="F28034" s="102" t="str">
        <f ca="1">IFERROR(__xludf.DUMMYFUNCTION("IMPORTRANGE(H28034,""IDENTITAS UNIT!D9"")"),"#N/A")</f>
        <v>#N/A</v>
      </c>
      <c r="H28034" s="4" t="str">
        <v/>
      </c>
      <c r="I28034" s="4" t="str">
        <v/>
      </c>
    </row>
    <row r="28035" spans="5:9" ht="16.5" hidden="1">
      <c r="E28035" s="4" t="str">
        <v/>
      </c>
      <c r="F28035" s="102" t="str">
        <f ca="1">IFERROR(__xludf.DUMMYFUNCTION("IMPORTRANGE(H28035,""IDENTITAS UNIT!D9"")"),"#N/A")</f>
        <v>#N/A</v>
      </c>
      <c r="H28035" s="4" t="str">
        <v/>
      </c>
      <c r="I28035" s="4" t="str">
        <v/>
      </c>
    </row>
    <row r="28036" spans="5:9" ht="16.5" hidden="1">
      <c r="E28036" s="4" t="str">
        <v/>
      </c>
      <c r="F28036" s="102" t="str">
        <f ca="1">IFERROR(__xludf.DUMMYFUNCTION("IMPORTRANGE(H28036,""IDENTITAS UNIT!D9"")"),"#N/A")</f>
        <v>#N/A</v>
      </c>
      <c r="H28036" s="4" t="str">
        <v/>
      </c>
      <c r="I28036" s="4" t="str">
        <v/>
      </c>
    </row>
    <row r="28037" spans="5:9" ht="16.5" hidden="1">
      <c r="E28037" s="4" t="str">
        <v/>
      </c>
      <c r="F28037" s="102" t="str">
        <f ca="1">IFERROR(__xludf.DUMMYFUNCTION("IMPORTRANGE(H28037,""IDENTITAS UNIT!D9"")"),"#N/A")</f>
        <v>#N/A</v>
      </c>
      <c r="H28037" s="4" t="str">
        <v/>
      </c>
      <c r="I28037" s="4" t="str">
        <v/>
      </c>
    </row>
    <row r="28038" spans="5:9" ht="16.5" hidden="1">
      <c r="E28038" s="4" t="str">
        <v/>
      </c>
      <c r="F28038" s="102" t="str">
        <f ca="1">IFERROR(__xludf.DUMMYFUNCTION("IMPORTRANGE(H28038,""IDENTITAS UNIT!D9"")"),"#N/A")</f>
        <v>#N/A</v>
      </c>
      <c r="H28038" s="4" t="str">
        <v/>
      </c>
      <c r="I28038" s="4" t="str">
        <v/>
      </c>
    </row>
    <row r="28039" spans="5:9" ht="16.5" hidden="1">
      <c r="E28039" s="4" t="str">
        <v/>
      </c>
      <c r="F28039" s="102" t="str">
        <f ca="1">IFERROR(__xludf.DUMMYFUNCTION("IMPORTRANGE(H28039,""IDENTITAS UNIT!D9"")"),"#N/A")</f>
        <v>#N/A</v>
      </c>
      <c r="H28039" s="4" t="str">
        <v/>
      </c>
      <c r="I28039" s="4" t="str">
        <v/>
      </c>
    </row>
    <row r="28040" spans="5:9" ht="16.5" hidden="1">
      <c r="E28040" s="4" t="str">
        <v/>
      </c>
      <c r="F28040" s="102" t="str">
        <f ca="1">IFERROR(__xludf.DUMMYFUNCTION("IMPORTRANGE(H28040,""IDENTITAS UNIT!D9"")"),"#N/A")</f>
        <v>#N/A</v>
      </c>
      <c r="H28040" s="4" t="str">
        <v/>
      </c>
      <c r="I28040" s="4" t="str">
        <v/>
      </c>
    </row>
    <row r="28041" spans="5:9" ht="16.5" hidden="1">
      <c r="E28041" s="4" t="str">
        <v/>
      </c>
      <c r="F28041" s="102" t="str">
        <f ca="1">IFERROR(__xludf.DUMMYFUNCTION("IMPORTRANGE(H28041,""IDENTITAS UNIT!D9"")"),"#N/A")</f>
        <v>#N/A</v>
      </c>
      <c r="H28041" s="4" t="str">
        <v/>
      </c>
      <c r="I28041" s="4" t="str">
        <v/>
      </c>
    </row>
    <row r="28042" spans="5:9" ht="16.5" hidden="1">
      <c r="E28042" s="4" t="str">
        <v/>
      </c>
      <c r="F28042" s="102" t="str">
        <f ca="1">IFERROR(__xludf.DUMMYFUNCTION("IMPORTRANGE(H28042,""IDENTITAS UNIT!D9"")"),"#N/A")</f>
        <v>#N/A</v>
      </c>
      <c r="H28042" s="4" t="str">
        <v/>
      </c>
      <c r="I28042" s="4" t="str">
        <v/>
      </c>
    </row>
    <row r="28043" spans="5:9" ht="16.5" hidden="1">
      <c r="E28043" s="4" t="str">
        <v/>
      </c>
      <c r="F28043" s="102" t="str">
        <f ca="1">IFERROR(__xludf.DUMMYFUNCTION("IMPORTRANGE(H28043,""IDENTITAS UNIT!D9"")"),"#N/A")</f>
        <v>#N/A</v>
      </c>
      <c r="H28043" s="4" t="str">
        <v/>
      </c>
      <c r="I28043" s="4" t="str">
        <v/>
      </c>
    </row>
    <row r="28044" spans="5:9" ht="16.5" hidden="1">
      <c r="E28044" s="4" t="str">
        <v/>
      </c>
      <c r="F28044" s="102" t="str">
        <f ca="1">IFERROR(__xludf.DUMMYFUNCTION("IMPORTRANGE(H28044,""IDENTITAS UNIT!D9"")"),"#N/A")</f>
        <v>#N/A</v>
      </c>
      <c r="H28044" s="4" t="str">
        <v/>
      </c>
      <c r="I28044" s="4" t="str">
        <v/>
      </c>
    </row>
    <row r="28045" spans="5:9" ht="16.5" hidden="1">
      <c r="E28045" s="4" t="str">
        <v/>
      </c>
      <c r="F28045" s="102" t="str">
        <f ca="1">IFERROR(__xludf.DUMMYFUNCTION("IMPORTRANGE(H28045,""IDENTITAS UNIT!D9"")"),"#N/A")</f>
        <v>#N/A</v>
      </c>
      <c r="H28045" s="4" t="str">
        <v/>
      </c>
      <c r="I28045" s="4" t="str">
        <v/>
      </c>
    </row>
    <row r="28046" spans="5:9" ht="16.5" hidden="1">
      <c r="E28046" s="4" t="str">
        <v/>
      </c>
      <c r="F28046" s="102" t="str">
        <f ca="1">IFERROR(__xludf.DUMMYFUNCTION("IMPORTRANGE(H28046,""IDENTITAS UNIT!D9"")"),"#N/A")</f>
        <v>#N/A</v>
      </c>
      <c r="H28046" s="4" t="str">
        <v/>
      </c>
      <c r="I28046" s="4" t="str">
        <v/>
      </c>
    </row>
    <row r="28047" spans="5:9" ht="16.5" hidden="1">
      <c r="E28047" s="4" t="str">
        <v/>
      </c>
      <c r="F28047" s="102" t="str">
        <f ca="1">IFERROR(__xludf.DUMMYFUNCTION("IMPORTRANGE(H28047,""IDENTITAS UNIT!D9"")"),"#N/A")</f>
        <v>#N/A</v>
      </c>
      <c r="H28047" s="4" t="str">
        <v/>
      </c>
      <c r="I28047" s="4" t="str">
        <v/>
      </c>
    </row>
    <row r="28048" spans="5:9" ht="16.5" hidden="1">
      <c r="E28048" s="4" t="str">
        <v/>
      </c>
      <c r="F28048" s="102" t="str">
        <f ca="1">IFERROR(__xludf.DUMMYFUNCTION("IMPORTRANGE(H28048,""IDENTITAS UNIT!D9"")"),"#N/A")</f>
        <v>#N/A</v>
      </c>
      <c r="H28048" s="4" t="str">
        <v/>
      </c>
      <c r="I28048" s="4" t="str">
        <v/>
      </c>
    </row>
    <row r="28049" spans="5:9" ht="16.5" hidden="1">
      <c r="E28049" s="4" t="str">
        <v/>
      </c>
      <c r="F28049" s="102" t="str">
        <f ca="1">IFERROR(__xludf.DUMMYFUNCTION("IMPORTRANGE(H28049,""IDENTITAS UNIT!D9"")"),"#N/A")</f>
        <v>#N/A</v>
      </c>
      <c r="H28049" s="4" t="str">
        <v/>
      </c>
      <c r="I28049" s="4" t="str">
        <v/>
      </c>
    </row>
    <row r="28050" spans="5:9" ht="16.5" hidden="1">
      <c r="E28050" s="4" t="str">
        <v/>
      </c>
      <c r="F28050" s="102" t="str">
        <f ca="1">IFERROR(__xludf.DUMMYFUNCTION("IMPORTRANGE(H28050,""IDENTITAS UNIT!D9"")"),"#N/A")</f>
        <v>#N/A</v>
      </c>
      <c r="H28050" s="4" t="str">
        <v/>
      </c>
      <c r="I28050" s="4" t="str">
        <v/>
      </c>
    </row>
    <row r="28051" spans="5:9" ht="16.5" hidden="1">
      <c r="E28051" s="4" t="str">
        <v/>
      </c>
      <c r="F28051" s="102" t="str">
        <f ca="1">IFERROR(__xludf.DUMMYFUNCTION("IMPORTRANGE(H28051,""IDENTITAS UNIT!D9"")"),"#N/A")</f>
        <v>#N/A</v>
      </c>
      <c r="H28051" s="4" t="str">
        <v/>
      </c>
      <c r="I28051" s="4" t="str">
        <v/>
      </c>
    </row>
    <row r="28052" spans="5:9" ht="16.5" hidden="1">
      <c r="E28052" s="4" t="str">
        <v/>
      </c>
      <c r="F28052" s="102" t="str">
        <f ca="1">IFERROR(__xludf.DUMMYFUNCTION("IMPORTRANGE(H28052,""IDENTITAS UNIT!D9"")"),"#N/A")</f>
        <v>#N/A</v>
      </c>
      <c r="H28052" s="4" t="str">
        <v/>
      </c>
      <c r="I28052" s="4" t="str">
        <v/>
      </c>
    </row>
    <row r="28053" spans="5:9" ht="16.5" hidden="1">
      <c r="E28053" s="4" t="str">
        <v/>
      </c>
      <c r="F28053" s="102" t="str">
        <f ca="1">IFERROR(__xludf.DUMMYFUNCTION("IMPORTRANGE(H28053,""IDENTITAS UNIT!D9"")"),"#N/A")</f>
        <v>#N/A</v>
      </c>
      <c r="H28053" s="4" t="str">
        <v/>
      </c>
      <c r="I28053" s="4" t="str">
        <v/>
      </c>
    </row>
    <row r="28054" spans="5:9" ht="16.5" hidden="1">
      <c r="E28054" s="4" t="str">
        <v/>
      </c>
      <c r="F28054" s="102" t="str">
        <f ca="1">IFERROR(__xludf.DUMMYFUNCTION("IMPORTRANGE(H28054,""IDENTITAS UNIT!D9"")"),"#N/A")</f>
        <v>#N/A</v>
      </c>
      <c r="H28054" s="4" t="str">
        <v/>
      </c>
      <c r="I28054" s="4" t="str">
        <v/>
      </c>
    </row>
    <row r="28055" spans="5:9" ht="16.5" hidden="1">
      <c r="E28055" s="4" t="str">
        <v/>
      </c>
      <c r="F28055" s="102" t="str">
        <f ca="1">IFERROR(__xludf.DUMMYFUNCTION("IMPORTRANGE(H28055,""IDENTITAS UNIT!D9"")"),"#N/A")</f>
        <v>#N/A</v>
      </c>
      <c r="H28055" s="4" t="str">
        <v/>
      </c>
      <c r="I28055" s="4" t="str">
        <v/>
      </c>
    </row>
    <row r="28056" spans="5:9" ht="16.5" hidden="1">
      <c r="E28056" s="4" t="str">
        <v/>
      </c>
      <c r="F28056" s="102" t="str">
        <f ca="1">IFERROR(__xludf.DUMMYFUNCTION("IMPORTRANGE(H28056,""IDENTITAS UNIT!D9"")"),"#N/A")</f>
        <v>#N/A</v>
      </c>
      <c r="H28056" s="4" t="str">
        <v/>
      </c>
      <c r="I28056" s="4" t="str">
        <v/>
      </c>
    </row>
    <row r="28057" spans="5:9" ht="16.5" hidden="1">
      <c r="E28057" s="4" t="str">
        <v/>
      </c>
      <c r="F28057" s="102" t="str">
        <f ca="1">IFERROR(__xludf.DUMMYFUNCTION("IMPORTRANGE(H28057,""IDENTITAS UNIT!D9"")"),"#N/A")</f>
        <v>#N/A</v>
      </c>
      <c r="H28057" s="4" t="str">
        <v/>
      </c>
      <c r="I28057" s="4" t="str">
        <v/>
      </c>
    </row>
    <row r="28058" spans="5:9" ht="16.5" hidden="1">
      <c r="E28058" s="4" t="str">
        <v/>
      </c>
      <c r="F28058" s="102" t="str">
        <f ca="1">IFERROR(__xludf.DUMMYFUNCTION("IMPORTRANGE(H28058,""IDENTITAS UNIT!D9"")"),"#N/A")</f>
        <v>#N/A</v>
      </c>
      <c r="H28058" s="4" t="str">
        <v/>
      </c>
      <c r="I28058" s="4" t="str">
        <v/>
      </c>
    </row>
    <row r="28059" spans="5:9" ht="16.5" hidden="1">
      <c r="E28059" s="4" t="str">
        <v/>
      </c>
      <c r="F28059" s="102" t="str">
        <f ca="1">IFERROR(__xludf.DUMMYFUNCTION("IMPORTRANGE(H28059,""IDENTITAS UNIT!D9"")"),"#N/A")</f>
        <v>#N/A</v>
      </c>
      <c r="H28059" s="4" t="str">
        <v/>
      </c>
      <c r="I28059" s="4" t="str">
        <v/>
      </c>
    </row>
    <row r="28060" spans="5:9" ht="16.5" hidden="1">
      <c r="E28060" s="4" t="str">
        <v/>
      </c>
      <c r="F28060" s="102" t="str">
        <f ca="1">IFERROR(__xludf.DUMMYFUNCTION("IMPORTRANGE(H28060,""IDENTITAS UNIT!D9"")"),"#N/A")</f>
        <v>#N/A</v>
      </c>
      <c r="H28060" s="4" t="str">
        <v/>
      </c>
      <c r="I28060" s="4" t="str">
        <v/>
      </c>
    </row>
    <row r="28061" spans="5:9" ht="16.5" hidden="1">
      <c r="E28061" s="4" t="str">
        <v/>
      </c>
      <c r="F28061" s="102" t="str">
        <f ca="1">IFERROR(__xludf.DUMMYFUNCTION("IMPORTRANGE(H28061,""IDENTITAS UNIT!D9"")"),"#N/A")</f>
        <v>#N/A</v>
      </c>
      <c r="H28061" s="4" t="str">
        <v/>
      </c>
      <c r="I28061" s="4" t="str">
        <v/>
      </c>
    </row>
    <row r="28062" spans="5:9" ht="16.5" hidden="1">
      <c r="E28062" s="4" t="str">
        <v/>
      </c>
      <c r="F28062" s="102" t="str">
        <f ca="1">IFERROR(__xludf.DUMMYFUNCTION("IMPORTRANGE(H28062,""IDENTITAS UNIT!D9"")"),"#N/A")</f>
        <v>#N/A</v>
      </c>
      <c r="H28062" s="4" t="str">
        <v/>
      </c>
      <c r="I28062" s="4" t="str">
        <v/>
      </c>
    </row>
    <row r="28063" spans="5:9" ht="16.5" hidden="1">
      <c r="E28063" s="4" t="str">
        <v/>
      </c>
      <c r="F28063" s="102" t="str">
        <f ca="1">IFERROR(__xludf.DUMMYFUNCTION("IMPORTRANGE(H28063,""IDENTITAS UNIT!D9"")"),"#N/A")</f>
        <v>#N/A</v>
      </c>
      <c r="H28063" s="4" t="str">
        <v/>
      </c>
      <c r="I28063" s="4" t="str">
        <v/>
      </c>
    </row>
    <row r="28064" spans="5:9" ht="16.5" hidden="1">
      <c r="E28064" s="4" t="str">
        <v/>
      </c>
      <c r="F28064" s="102" t="str">
        <f ca="1">IFERROR(__xludf.DUMMYFUNCTION("IMPORTRANGE(H28064,""IDENTITAS UNIT!D9"")"),"#N/A")</f>
        <v>#N/A</v>
      </c>
      <c r="H28064" s="4" t="str">
        <v/>
      </c>
      <c r="I28064" s="4" t="str">
        <v/>
      </c>
    </row>
    <row r="28065" spans="5:9" ht="16.5" hidden="1">
      <c r="E28065" s="4" t="str">
        <v/>
      </c>
      <c r="F28065" s="102" t="str">
        <f ca="1">IFERROR(__xludf.DUMMYFUNCTION("IMPORTRANGE(H28065,""IDENTITAS UNIT!D9"")"),"#N/A")</f>
        <v>#N/A</v>
      </c>
      <c r="H28065" s="4" t="str">
        <v/>
      </c>
      <c r="I28065" s="4" t="str">
        <v/>
      </c>
    </row>
    <row r="28066" spans="5:9" ht="16.5" hidden="1">
      <c r="E28066" s="4" t="str">
        <v/>
      </c>
      <c r="F28066" s="102" t="str">
        <f ca="1">IFERROR(__xludf.DUMMYFUNCTION("IMPORTRANGE(H28066,""IDENTITAS UNIT!D9"")"),"#N/A")</f>
        <v>#N/A</v>
      </c>
      <c r="H28066" s="4" t="str">
        <v/>
      </c>
      <c r="I28066" s="4" t="str">
        <v/>
      </c>
    </row>
    <row r="28067" spans="5:9" ht="16.5" hidden="1">
      <c r="E28067" s="4" t="str">
        <v/>
      </c>
      <c r="F28067" s="102" t="str">
        <f ca="1">IFERROR(__xludf.DUMMYFUNCTION("IMPORTRANGE(H28067,""IDENTITAS UNIT!D9"")"),"#N/A")</f>
        <v>#N/A</v>
      </c>
      <c r="H28067" s="4" t="str">
        <v/>
      </c>
      <c r="I28067" s="4" t="str">
        <v/>
      </c>
    </row>
    <row r="28068" spans="5:9" ht="16.5" hidden="1">
      <c r="E28068" s="4" t="str">
        <v/>
      </c>
      <c r="F28068" s="102" t="str">
        <f ca="1">IFERROR(__xludf.DUMMYFUNCTION("IMPORTRANGE(H28068,""IDENTITAS UNIT!D9"")"),"#N/A")</f>
        <v>#N/A</v>
      </c>
      <c r="H28068" s="4" t="str">
        <v/>
      </c>
      <c r="I28068" s="4" t="str">
        <v/>
      </c>
    </row>
    <row r="28069" spans="5:9" ht="16.5" hidden="1">
      <c r="E28069" s="4" t="str">
        <v/>
      </c>
      <c r="F28069" s="102" t="str">
        <f ca="1">IFERROR(__xludf.DUMMYFUNCTION("IMPORTRANGE(H28069,""IDENTITAS UNIT!D9"")"),"#N/A")</f>
        <v>#N/A</v>
      </c>
      <c r="H28069" s="4" t="str">
        <v/>
      </c>
      <c r="I28069" s="4" t="str">
        <v/>
      </c>
    </row>
    <row r="28070" spans="5:9" ht="16.5" hidden="1">
      <c r="E28070" s="4" t="str">
        <v/>
      </c>
      <c r="F28070" s="102" t="str">
        <f ca="1">IFERROR(__xludf.DUMMYFUNCTION("IMPORTRANGE(H28070,""IDENTITAS UNIT!D9"")"),"#N/A")</f>
        <v>#N/A</v>
      </c>
      <c r="H28070" s="4" t="str">
        <v/>
      </c>
      <c r="I28070" s="4" t="str">
        <v/>
      </c>
    </row>
    <row r="28071" spans="5:9" ht="16.5" hidden="1">
      <c r="E28071" s="4" t="str">
        <v/>
      </c>
      <c r="F28071" s="102" t="str">
        <f ca="1">IFERROR(__xludf.DUMMYFUNCTION("IMPORTRANGE(H28071,""IDENTITAS UNIT!D9"")"),"#N/A")</f>
        <v>#N/A</v>
      </c>
      <c r="H28071" s="4" t="str">
        <v/>
      </c>
      <c r="I28071" s="4" t="str">
        <v/>
      </c>
    </row>
    <row r="28072" spans="5:9" ht="16.5" hidden="1">
      <c r="E28072" s="4" t="str">
        <v/>
      </c>
      <c r="F28072" s="102" t="str">
        <f ca="1">IFERROR(__xludf.DUMMYFUNCTION("IMPORTRANGE(H28072,""IDENTITAS UNIT!D9"")"),"#N/A")</f>
        <v>#N/A</v>
      </c>
      <c r="H28072" s="4" t="str">
        <v/>
      </c>
      <c r="I28072" s="4" t="str">
        <v/>
      </c>
    </row>
    <row r="28073" spans="5:9" ht="16.5" hidden="1">
      <c r="E28073" s="4" t="str">
        <v/>
      </c>
      <c r="F28073" s="102" t="str">
        <f ca="1">IFERROR(__xludf.DUMMYFUNCTION("IMPORTRANGE(H28073,""IDENTITAS UNIT!D9"")"),"#N/A")</f>
        <v>#N/A</v>
      </c>
      <c r="H28073" s="4" t="str">
        <v/>
      </c>
      <c r="I28073" s="4" t="str">
        <v/>
      </c>
    </row>
    <row r="28074" spans="5:9" ht="16.5" hidden="1">
      <c r="E28074" s="4" t="str">
        <v/>
      </c>
      <c r="F28074" s="102" t="str">
        <f ca="1">IFERROR(__xludf.DUMMYFUNCTION("IMPORTRANGE(H28074,""IDENTITAS UNIT!D9"")"),"#N/A")</f>
        <v>#N/A</v>
      </c>
      <c r="H28074" s="4" t="str">
        <v/>
      </c>
      <c r="I28074" s="4" t="str">
        <v/>
      </c>
    </row>
    <row r="28075" spans="5:9" ht="16.5" hidden="1">
      <c r="E28075" s="4" t="str">
        <v/>
      </c>
      <c r="F28075" s="102" t="str">
        <f ca="1">IFERROR(__xludf.DUMMYFUNCTION("IMPORTRANGE(H28075,""IDENTITAS UNIT!D9"")"),"#N/A")</f>
        <v>#N/A</v>
      </c>
      <c r="H28075" s="4" t="str">
        <v/>
      </c>
      <c r="I28075" s="4" t="str">
        <v/>
      </c>
    </row>
    <row r="28076" spans="5:9" ht="16.5" hidden="1">
      <c r="E28076" s="4" t="str">
        <v/>
      </c>
      <c r="F28076" s="102" t="str">
        <f ca="1">IFERROR(__xludf.DUMMYFUNCTION("IMPORTRANGE(H28076,""IDENTITAS UNIT!D9"")"),"#N/A")</f>
        <v>#N/A</v>
      </c>
      <c r="H28076" s="4" t="str">
        <v/>
      </c>
      <c r="I28076" s="4" t="str">
        <v/>
      </c>
    </row>
    <row r="28077" spans="5:9" ht="16.5" hidden="1">
      <c r="E28077" s="4" t="str">
        <v/>
      </c>
      <c r="F28077" s="102" t="str">
        <f ca="1">IFERROR(__xludf.DUMMYFUNCTION("IMPORTRANGE(H28077,""IDENTITAS UNIT!D9"")"),"#N/A")</f>
        <v>#N/A</v>
      </c>
      <c r="H28077" s="4" t="str">
        <v/>
      </c>
      <c r="I28077" s="4" t="str">
        <v/>
      </c>
    </row>
    <row r="28078" spans="5:9" ht="16.5" hidden="1">
      <c r="E28078" s="4" t="str">
        <v/>
      </c>
      <c r="F28078" s="102" t="str">
        <f ca="1">IFERROR(__xludf.DUMMYFUNCTION("IMPORTRANGE(H28078,""IDENTITAS UNIT!D9"")"),"#N/A")</f>
        <v>#N/A</v>
      </c>
      <c r="H28078" s="4" t="str">
        <v/>
      </c>
      <c r="I28078" s="4" t="str">
        <v/>
      </c>
    </row>
    <row r="28079" spans="5:9" ht="16.5" hidden="1">
      <c r="E28079" s="4" t="str">
        <v/>
      </c>
      <c r="F28079" s="102" t="str">
        <f ca="1">IFERROR(__xludf.DUMMYFUNCTION("IMPORTRANGE(H28079,""IDENTITAS UNIT!D9"")"),"#N/A")</f>
        <v>#N/A</v>
      </c>
      <c r="H28079" s="4" t="str">
        <v/>
      </c>
      <c r="I28079" s="4" t="str">
        <v/>
      </c>
    </row>
    <row r="28080" spans="5:9" ht="16.5" hidden="1">
      <c r="E28080" s="4" t="str">
        <v/>
      </c>
      <c r="F28080" s="102" t="str">
        <f ca="1">IFERROR(__xludf.DUMMYFUNCTION("IMPORTRANGE(H28080,""IDENTITAS UNIT!D9"")"),"#N/A")</f>
        <v>#N/A</v>
      </c>
      <c r="H28080" s="4" t="str">
        <v/>
      </c>
      <c r="I28080" s="4" t="str">
        <v/>
      </c>
    </row>
    <row r="28081" spans="5:9" ht="16.5" hidden="1">
      <c r="E28081" s="4" t="str">
        <v/>
      </c>
      <c r="F28081" s="102" t="str">
        <f ca="1">IFERROR(__xludf.DUMMYFUNCTION("IMPORTRANGE(H28081,""IDENTITAS UNIT!D9"")"),"#N/A")</f>
        <v>#N/A</v>
      </c>
      <c r="H28081" s="4" t="str">
        <v/>
      </c>
      <c r="I28081" s="4" t="str">
        <v/>
      </c>
    </row>
    <row r="28082" spans="5:9" ht="16.5" hidden="1">
      <c r="E28082" s="4" t="str">
        <v/>
      </c>
      <c r="F28082" s="102" t="str">
        <f ca="1">IFERROR(__xludf.DUMMYFUNCTION("IMPORTRANGE(H28082,""IDENTITAS UNIT!D9"")"),"#N/A")</f>
        <v>#N/A</v>
      </c>
      <c r="H28082" s="4" t="str">
        <v/>
      </c>
      <c r="I28082" s="4" t="str">
        <v/>
      </c>
    </row>
    <row r="28083" spans="5:9" ht="16.5" hidden="1">
      <c r="E28083" s="4" t="str">
        <v/>
      </c>
      <c r="F28083" s="102" t="str">
        <f ca="1">IFERROR(__xludf.DUMMYFUNCTION("IMPORTRANGE(H28083,""IDENTITAS UNIT!D9"")"),"#N/A")</f>
        <v>#N/A</v>
      </c>
      <c r="H28083" s="4" t="str">
        <v/>
      </c>
      <c r="I28083" s="4" t="str">
        <v/>
      </c>
    </row>
    <row r="28084" spans="5:9" ht="16.5" hidden="1">
      <c r="E28084" s="4" t="str">
        <v/>
      </c>
      <c r="F28084" s="102" t="str">
        <f ca="1">IFERROR(__xludf.DUMMYFUNCTION("IMPORTRANGE(H28084,""IDENTITAS UNIT!D9"")"),"#N/A")</f>
        <v>#N/A</v>
      </c>
      <c r="H28084" s="4" t="str">
        <v/>
      </c>
      <c r="I28084" s="4" t="str">
        <v/>
      </c>
    </row>
    <row r="28085" spans="5:9" ht="16.5" hidden="1">
      <c r="E28085" s="4" t="str">
        <v/>
      </c>
      <c r="F28085" s="102" t="str">
        <f ca="1">IFERROR(__xludf.DUMMYFUNCTION("IMPORTRANGE(H28085,""IDENTITAS UNIT!D9"")"),"#N/A")</f>
        <v>#N/A</v>
      </c>
      <c r="H28085" s="4" t="str">
        <v/>
      </c>
      <c r="I28085" s="4" t="str">
        <v/>
      </c>
    </row>
    <row r="28086" spans="5:9" ht="16.5" hidden="1">
      <c r="E28086" s="4" t="str">
        <v/>
      </c>
      <c r="F28086" s="102" t="str">
        <f ca="1">IFERROR(__xludf.DUMMYFUNCTION("IMPORTRANGE(H28086,""IDENTITAS UNIT!D9"")"),"#N/A")</f>
        <v>#N/A</v>
      </c>
      <c r="H28086" s="4" t="str">
        <v/>
      </c>
      <c r="I28086" s="4" t="str">
        <v/>
      </c>
    </row>
    <row r="28087" spans="5:9" ht="16.5" hidden="1">
      <c r="E28087" s="4" t="str">
        <v/>
      </c>
      <c r="F28087" s="102" t="str">
        <f ca="1">IFERROR(__xludf.DUMMYFUNCTION("IMPORTRANGE(H28087,""IDENTITAS UNIT!D9"")"),"#N/A")</f>
        <v>#N/A</v>
      </c>
      <c r="H28087" s="4" t="str">
        <v/>
      </c>
      <c r="I28087" s="4" t="str">
        <v/>
      </c>
    </row>
    <row r="28088" spans="5:9" ht="16.5" hidden="1">
      <c r="E28088" s="4" t="str">
        <v/>
      </c>
      <c r="F28088" s="102" t="str">
        <f ca="1">IFERROR(__xludf.DUMMYFUNCTION("IMPORTRANGE(H28088,""IDENTITAS UNIT!D9"")"),"#N/A")</f>
        <v>#N/A</v>
      </c>
      <c r="H28088" s="4" t="str">
        <v/>
      </c>
      <c r="I28088" s="4" t="str">
        <v/>
      </c>
    </row>
    <row r="28089" spans="5:9" ht="16.5" hidden="1">
      <c r="E28089" s="4" t="str">
        <v/>
      </c>
      <c r="F28089" s="102" t="str">
        <f ca="1">IFERROR(__xludf.DUMMYFUNCTION("IMPORTRANGE(H28089,""IDENTITAS UNIT!D9"")"),"#N/A")</f>
        <v>#N/A</v>
      </c>
      <c r="H28089" s="4" t="str">
        <v/>
      </c>
      <c r="I28089" s="4" t="str">
        <v/>
      </c>
    </row>
    <row r="28090" spans="5:9" ht="16.5" hidden="1">
      <c r="E28090" s="4" t="str">
        <v/>
      </c>
      <c r="F28090" s="102" t="str">
        <f ca="1">IFERROR(__xludf.DUMMYFUNCTION("IMPORTRANGE(H28090,""IDENTITAS UNIT!D9"")"),"#N/A")</f>
        <v>#N/A</v>
      </c>
      <c r="H28090" s="4" t="str">
        <v/>
      </c>
      <c r="I28090" s="4" t="str">
        <v/>
      </c>
    </row>
    <row r="28091" spans="5:9" ht="16.5" hidden="1">
      <c r="E28091" s="4" t="str">
        <v/>
      </c>
      <c r="F28091" s="102" t="str">
        <f ca="1">IFERROR(__xludf.DUMMYFUNCTION("IMPORTRANGE(H28091,""IDENTITAS UNIT!D9"")"),"#N/A")</f>
        <v>#N/A</v>
      </c>
      <c r="H28091" s="4" t="str">
        <v/>
      </c>
      <c r="I28091" s="4" t="str">
        <v/>
      </c>
    </row>
    <row r="28092" spans="5:9" ht="16.5" hidden="1">
      <c r="E28092" s="4" t="str">
        <v/>
      </c>
      <c r="F28092" s="102" t="str">
        <f ca="1">IFERROR(__xludf.DUMMYFUNCTION("IMPORTRANGE(H28092,""IDENTITAS UNIT!D9"")"),"#N/A")</f>
        <v>#N/A</v>
      </c>
      <c r="H28092" s="4" t="str">
        <v/>
      </c>
      <c r="I28092" s="4" t="str">
        <v/>
      </c>
    </row>
    <row r="28093" spans="5:9" ht="16.5" hidden="1">
      <c r="E28093" s="4" t="str">
        <v/>
      </c>
      <c r="F28093" s="102" t="str">
        <f ca="1">IFERROR(__xludf.DUMMYFUNCTION("IMPORTRANGE(H28093,""IDENTITAS UNIT!D9"")"),"#N/A")</f>
        <v>#N/A</v>
      </c>
      <c r="H28093" s="4" t="str">
        <v/>
      </c>
      <c r="I28093" s="4" t="str">
        <v/>
      </c>
    </row>
    <row r="28094" spans="5:9" ht="16.5" hidden="1">
      <c r="E28094" s="4" t="str">
        <v/>
      </c>
      <c r="F28094" s="102" t="str">
        <f ca="1">IFERROR(__xludf.DUMMYFUNCTION("IMPORTRANGE(H28094,""IDENTITAS UNIT!D9"")"),"#N/A")</f>
        <v>#N/A</v>
      </c>
      <c r="H28094" s="4" t="str">
        <v/>
      </c>
      <c r="I28094" s="4" t="str">
        <v/>
      </c>
    </row>
    <row r="28095" spans="5:9" ht="16.5" hidden="1">
      <c r="E28095" s="4" t="str">
        <v/>
      </c>
      <c r="F28095" s="102" t="str">
        <f ca="1">IFERROR(__xludf.DUMMYFUNCTION("IMPORTRANGE(H28095,""IDENTITAS UNIT!D9"")"),"#N/A")</f>
        <v>#N/A</v>
      </c>
      <c r="H28095" s="4" t="str">
        <v/>
      </c>
      <c r="I28095" s="4" t="str">
        <v/>
      </c>
    </row>
    <row r="28096" spans="5:9" ht="16.5" hidden="1">
      <c r="E28096" s="4" t="str">
        <v/>
      </c>
      <c r="F28096" s="102" t="str">
        <f ca="1">IFERROR(__xludf.DUMMYFUNCTION("IMPORTRANGE(H28096,""IDENTITAS UNIT!D9"")"),"#N/A")</f>
        <v>#N/A</v>
      </c>
      <c r="H28096" s="4" t="str">
        <v/>
      </c>
      <c r="I28096" s="4" t="str">
        <v/>
      </c>
    </row>
    <row r="28097" spans="5:9" ht="16.5" hidden="1">
      <c r="E28097" s="4" t="str">
        <v/>
      </c>
      <c r="F28097" s="102" t="str">
        <f ca="1">IFERROR(__xludf.DUMMYFUNCTION("IMPORTRANGE(H28097,""IDENTITAS UNIT!D9"")"),"#N/A")</f>
        <v>#N/A</v>
      </c>
      <c r="H28097" s="4" t="str">
        <v/>
      </c>
      <c r="I28097" s="4" t="str">
        <v/>
      </c>
    </row>
    <row r="28098" spans="5:9" ht="16.5" hidden="1">
      <c r="E28098" s="4" t="str">
        <v/>
      </c>
      <c r="F28098" s="102" t="str">
        <f ca="1">IFERROR(__xludf.DUMMYFUNCTION("IMPORTRANGE(H28098,""IDENTITAS UNIT!D9"")"),"#N/A")</f>
        <v>#N/A</v>
      </c>
      <c r="H28098" s="4" t="str">
        <v/>
      </c>
      <c r="I28098" s="4" t="str">
        <v/>
      </c>
    </row>
    <row r="28099" spans="5:9" ht="16.5" hidden="1">
      <c r="E28099" s="4" t="str">
        <v/>
      </c>
      <c r="F28099" s="102" t="str">
        <f ca="1">IFERROR(__xludf.DUMMYFUNCTION("IMPORTRANGE(H28099,""IDENTITAS UNIT!D9"")"),"#N/A")</f>
        <v>#N/A</v>
      </c>
      <c r="H28099" s="4" t="str">
        <v/>
      </c>
      <c r="I28099" s="4" t="str">
        <v/>
      </c>
    </row>
    <row r="28100" spans="5:9" ht="16.5" hidden="1">
      <c r="E28100" s="4" t="str">
        <v/>
      </c>
      <c r="F28100" s="102" t="str">
        <f ca="1">IFERROR(__xludf.DUMMYFUNCTION("IMPORTRANGE(H28100,""IDENTITAS UNIT!D9"")"),"#N/A")</f>
        <v>#N/A</v>
      </c>
      <c r="H28100" s="4" t="str">
        <v/>
      </c>
      <c r="I28100" s="4" t="str">
        <v/>
      </c>
    </row>
    <row r="28101" spans="5:9" ht="16.5" hidden="1">
      <c r="E28101" s="4" t="str">
        <v/>
      </c>
      <c r="F28101" s="102" t="str">
        <f ca="1">IFERROR(__xludf.DUMMYFUNCTION("IMPORTRANGE(H28101,""IDENTITAS UNIT!D9"")"),"#N/A")</f>
        <v>#N/A</v>
      </c>
      <c r="H28101" s="4" t="str">
        <v/>
      </c>
      <c r="I28101" s="4" t="str">
        <v/>
      </c>
    </row>
    <row r="28102" spans="5:9" ht="16.5" hidden="1">
      <c r="E28102" s="4" t="str">
        <v/>
      </c>
      <c r="F28102" s="102" t="str">
        <f ca="1">IFERROR(__xludf.DUMMYFUNCTION("IMPORTRANGE(H28102,""IDENTITAS UNIT!D9"")"),"#N/A")</f>
        <v>#N/A</v>
      </c>
      <c r="H28102" s="4" t="str">
        <v/>
      </c>
      <c r="I28102" s="4" t="str">
        <v/>
      </c>
    </row>
    <row r="28103" spans="5:9" ht="16.5" hidden="1">
      <c r="E28103" s="4" t="str">
        <v/>
      </c>
      <c r="F28103" s="102" t="str">
        <f ca="1">IFERROR(__xludf.DUMMYFUNCTION("IMPORTRANGE(H28103,""IDENTITAS UNIT!D9"")"),"#N/A")</f>
        <v>#N/A</v>
      </c>
      <c r="H28103" s="4" t="str">
        <v/>
      </c>
      <c r="I28103" s="4" t="str">
        <v/>
      </c>
    </row>
    <row r="28104" spans="5:9" ht="16.5" hidden="1">
      <c r="E28104" s="4" t="str">
        <v/>
      </c>
      <c r="F28104" s="102" t="str">
        <f ca="1">IFERROR(__xludf.DUMMYFUNCTION("IMPORTRANGE(H28104,""IDENTITAS UNIT!D9"")"),"#N/A")</f>
        <v>#N/A</v>
      </c>
      <c r="H28104" s="4" t="str">
        <v/>
      </c>
      <c r="I28104" s="4" t="str">
        <v/>
      </c>
    </row>
    <row r="28105" spans="5:9" ht="16.5" hidden="1">
      <c r="E28105" s="4" t="str">
        <v/>
      </c>
      <c r="F28105" s="102" t="str">
        <f ca="1">IFERROR(__xludf.DUMMYFUNCTION("IMPORTRANGE(H28105,""IDENTITAS UNIT!D9"")"),"#N/A")</f>
        <v>#N/A</v>
      </c>
      <c r="H28105" s="4" t="str">
        <v/>
      </c>
      <c r="I28105" s="4" t="str">
        <v/>
      </c>
    </row>
    <row r="28106" spans="5:9" ht="16.5" hidden="1">
      <c r="E28106" s="4" t="str">
        <v/>
      </c>
      <c r="F28106" s="102" t="str">
        <f ca="1">IFERROR(__xludf.DUMMYFUNCTION("IMPORTRANGE(H28106,""IDENTITAS UNIT!D9"")"),"#N/A")</f>
        <v>#N/A</v>
      </c>
      <c r="H28106" s="4" t="str">
        <v/>
      </c>
      <c r="I28106" s="4" t="str">
        <v/>
      </c>
    </row>
    <row r="28107" spans="5:9" ht="16.5" hidden="1">
      <c r="E28107" s="4" t="str">
        <v/>
      </c>
      <c r="F28107" s="102" t="str">
        <f ca="1">IFERROR(__xludf.DUMMYFUNCTION("IMPORTRANGE(H28107,""IDENTITAS UNIT!D9"")"),"#N/A")</f>
        <v>#N/A</v>
      </c>
      <c r="H28107" s="4" t="str">
        <v/>
      </c>
      <c r="I28107" s="4" t="str">
        <v/>
      </c>
    </row>
    <row r="28108" spans="5:9" ht="16.5" hidden="1">
      <c r="E28108" s="4" t="str">
        <v/>
      </c>
      <c r="F28108" s="102" t="str">
        <f ca="1">IFERROR(__xludf.DUMMYFUNCTION("IMPORTRANGE(H28108,""IDENTITAS UNIT!D9"")"),"#N/A")</f>
        <v>#N/A</v>
      </c>
      <c r="H28108" s="4" t="str">
        <v/>
      </c>
      <c r="I28108" s="4" t="str">
        <v/>
      </c>
    </row>
    <row r="28109" spans="5:9" ht="16.5" hidden="1">
      <c r="E28109" s="4" t="str">
        <v/>
      </c>
      <c r="F28109" s="102" t="str">
        <f ca="1">IFERROR(__xludf.DUMMYFUNCTION("IMPORTRANGE(H28109,""IDENTITAS UNIT!D9"")"),"#N/A")</f>
        <v>#N/A</v>
      </c>
      <c r="H28109" s="4" t="str">
        <v/>
      </c>
      <c r="I28109" s="4" t="str">
        <v/>
      </c>
    </row>
    <row r="28110" spans="5:9" ht="16.5" hidden="1">
      <c r="E28110" s="4" t="str">
        <v/>
      </c>
      <c r="F28110" s="102" t="str">
        <f ca="1">IFERROR(__xludf.DUMMYFUNCTION("IMPORTRANGE(H28110,""IDENTITAS UNIT!D9"")"),"#N/A")</f>
        <v>#N/A</v>
      </c>
      <c r="H28110" s="4" t="str">
        <v/>
      </c>
      <c r="I28110" s="4" t="str">
        <v/>
      </c>
    </row>
    <row r="28111" spans="5:9" ht="16.5" hidden="1">
      <c r="E28111" s="4" t="str">
        <v/>
      </c>
      <c r="F28111" s="102" t="str">
        <f ca="1">IFERROR(__xludf.DUMMYFUNCTION("IMPORTRANGE(H28111,""IDENTITAS UNIT!D9"")"),"#N/A")</f>
        <v>#N/A</v>
      </c>
      <c r="H28111" s="4" t="str">
        <v/>
      </c>
      <c r="I28111" s="4" t="str">
        <v/>
      </c>
    </row>
    <row r="28112" spans="5:9" ht="16.5" hidden="1">
      <c r="E28112" s="4" t="str">
        <v/>
      </c>
      <c r="F28112" s="102" t="str">
        <f ca="1">IFERROR(__xludf.DUMMYFUNCTION("IMPORTRANGE(H28112,""IDENTITAS UNIT!D9"")"),"#N/A")</f>
        <v>#N/A</v>
      </c>
      <c r="H28112" s="4" t="str">
        <v/>
      </c>
      <c r="I28112" s="4" t="str">
        <v/>
      </c>
    </row>
    <row r="28113" spans="5:9" ht="16.5" hidden="1">
      <c r="E28113" s="4" t="str">
        <v/>
      </c>
      <c r="F28113" s="102" t="str">
        <f ca="1">IFERROR(__xludf.DUMMYFUNCTION("IMPORTRANGE(H28113,""IDENTITAS UNIT!D9"")"),"#N/A")</f>
        <v>#N/A</v>
      </c>
      <c r="H28113" s="4" t="str">
        <v/>
      </c>
      <c r="I28113" s="4" t="str">
        <v/>
      </c>
    </row>
    <row r="28114" spans="5:9" ht="16.5" hidden="1">
      <c r="E28114" s="4" t="str">
        <v/>
      </c>
      <c r="F28114" s="102" t="str">
        <f ca="1">IFERROR(__xludf.DUMMYFUNCTION("IMPORTRANGE(H28114,""IDENTITAS UNIT!D9"")"),"#N/A")</f>
        <v>#N/A</v>
      </c>
      <c r="H28114" s="4" t="str">
        <v/>
      </c>
      <c r="I28114" s="4" t="str">
        <v/>
      </c>
    </row>
    <row r="28115" spans="5:9" ht="16.5" hidden="1">
      <c r="E28115" s="4" t="str">
        <v/>
      </c>
      <c r="F28115" s="102" t="str">
        <f ca="1">IFERROR(__xludf.DUMMYFUNCTION("IMPORTRANGE(H28115,""IDENTITAS UNIT!D9"")"),"#N/A")</f>
        <v>#N/A</v>
      </c>
      <c r="H28115" s="4" t="str">
        <v/>
      </c>
      <c r="I28115" s="4" t="str">
        <v/>
      </c>
    </row>
    <row r="28116" spans="5:9" ht="16.5" hidden="1">
      <c r="E28116" s="4" t="str">
        <v/>
      </c>
      <c r="F28116" s="102" t="str">
        <f ca="1">IFERROR(__xludf.DUMMYFUNCTION("IMPORTRANGE(H28116,""IDENTITAS UNIT!D9"")"),"#N/A")</f>
        <v>#N/A</v>
      </c>
      <c r="H28116" s="4" t="str">
        <v/>
      </c>
      <c r="I28116" s="4" t="str">
        <v/>
      </c>
    </row>
    <row r="28117" spans="5:9" ht="16.5" hidden="1">
      <c r="E28117" s="4" t="str">
        <v/>
      </c>
      <c r="F28117" s="102" t="str">
        <f ca="1">IFERROR(__xludf.DUMMYFUNCTION("IMPORTRANGE(H28117,""IDENTITAS UNIT!D9"")"),"#N/A")</f>
        <v>#N/A</v>
      </c>
      <c r="H28117" s="4" t="str">
        <v/>
      </c>
      <c r="I28117" s="4" t="str">
        <v/>
      </c>
    </row>
    <row r="28118" spans="5:9" ht="16.5" hidden="1">
      <c r="E28118" s="4" t="str">
        <v/>
      </c>
      <c r="F28118" s="102" t="str">
        <f ca="1">IFERROR(__xludf.DUMMYFUNCTION("IMPORTRANGE(H28118,""IDENTITAS UNIT!D9"")"),"#N/A")</f>
        <v>#N/A</v>
      </c>
      <c r="H28118" s="4" t="str">
        <v/>
      </c>
      <c r="I28118" s="4" t="str">
        <v/>
      </c>
    </row>
    <row r="28119" spans="5:9" ht="16.5" hidden="1">
      <c r="E28119" s="4" t="str">
        <v/>
      </c>
      <c r="F28119" s="102" t="str">
        <f ca="1">IFERROR(__xludf.DUMMYFUNCTION("IMPORTRANGE(H28119,""IDENTITAS UNIT!D9"")"),"#N/A")</f>
        <v>#N/A</v>
      </c>
      <c r="H28119" s="4" t="str">
        <v/>
      </c>
      <c r="I28119" s="4" t="str">
        <v/>
      </c>
    </row>
    <row r="28120" spans="5:9" ht="16.5" hidden="1">
      <c r="E28120" s="4" t="str">
        <v/>
      </c>
      <c r="F28120" s="102" t="str">
        <f ca="1">IFERROR(__xludf.DUMMYFUNCTION("IMPORTRANGE(H28120,""IDENTITAS UNIT!D9"")"),"#N/A")</f>
        <v>#N/A</v>
      </c>
      <c r="H28120" s="4" t="str">
        <v/>
      </c>
      <c r="I28120" s="4" t="str">
        <v/>
      </c>
    </row>
    <row r="28121" spans="5:9" ht="16.5" hidden="1">
      <c r="E28121" s="4" t="str">
        <v/>
      </c>
      <c r="F28121" s="102" t="str">
        <f ca="1">IFERROR(__xludf.DUMMYFUNCTION("IMPORTRANGE(H28121,""IDENTITAS UNIT!D9"")"),"#N/A")</f>
        <v>#N/A</v>
      </c>
      <c r="H28121" s="4" t="str">
        <v/>
      </c>
      <c r="I28121" s="4" t="str">
        <v/>
      </c>
    </row>
    <row r="28122" spans="5:9" ht="16.5" hidden="1">
      <c r="E28122" s="4" t="str">
        <v/>
      </c>
      <c r="F28122" s="102" t="str">
        <f ca="1">IFERROR(__xludf.DUMMYFUNCTION("IMPORTRANGE(H28122,""IDENTITAS UNIT!D9"")"),"#N/A")</f>
        <v>#N/A</v>
      </c>
      <c r="H28122" s="4" t="str">
        <v/>
      </c>
      <c r="I28122" s="4" t="str">
        <v/>
      </c>
    </row>
    <row r="28123" spans="5:9" ht="16.5" hidden="1">
      <c r="E28123" s="4" t="str">
        <v/>
      </c>
      <c r="F28123" s="102" t="str">
        <f ca="1">IFERROR(__xludf.DUMMYFUNCTION("IMPORTRANGE(H28123,""IDENTITAS UNIT!D9"")"),"#N/A")</f>
        <v>#N/A</v>
      </c>
      <c r="H28123" s="4" t="str">
        <v/>
      </c>
      <c r="I28123" s="4" t="str">
        <v/>
      </c>
    </row>
    <row r="28124" spans="5:9" ht="16.5" hidden="1">
      <c r="E28124" s="4" t="str">
        <v/>
      </c>
      <c r="F28124" s="102" t="str">
        <f ca="1">IFERROR(__xludf.DUMMYFUNCTION("IMPORTRANGE(H28124,""IDENTITAS UNIT!D9"")"),"#N/A")</f>
        <v>#N/A</v>
      </c>
      <c r="H28124" s="4" t="str">
        <v/>
      </c>
      <c r="I28124" s="4" t="str">
        <v/>
      </c>
    </row>
    <row r="28125" spans="5:9" ht="16.5" hidden="1">
      <c r="E28125" s="4" t="str">
        <v/>
      </c>
      <c r="F28125" s="102" t="str">
        <f ca="1">IFERROR(__xludf.DUMMYFUNCTION("IMPORTRANGE(H28125,""IDENTITAS UNIT!D9"")"),"#N/A")</f>
        <v>#N/A</v>
      </c>
      <c r="H28125" s="4" t="str">
        <v/>
      </c>
      <c r="I28125" s="4" t="str">
        <v/>
      </c>
    </row>
    <row r="28126" spans="5:9" ht="16.5" hidden="1">
      <c r="E28126" s="4" t="str">
        <v/>
      </c>
      <c r="F28126" s="102" t="str">
        <f ca="1">IFERROR(__xludf.DUMMYFUNCTION("IMPORTRANGE(H28126,""IDENTITAS UNIT!D9"")"),"#N/A")</f>
        <v>#N/A</v>
      </c>
      <c r="H28126" s="4" t="str">
        <v/>
      </c>
      <c r="I28126" s="4" t="str">
        <v/>
      </c>
    </row>
    <row r="28127" spans="5:9" ht="16.5" hidden="1">
      <c r="E28127" s="4" t="str">
        <v/>
      </c>
      <c r="F28127" s="102" t="str">
        <f ca="1">IFERROR(__xludf.DUMMYFUNCTION("IMPORTRANGE(H28127,""IDENTITAS UNIT!D9"")"),"#N/A")</f>
        <v>#N/A</v>
      </c>
      <c r="H28127" s="4" t="str">
        <v/>
      </c>
      <c r="I28127" s="4" t="str">
        <v/>
      </c>
    </row>
    <row r="28128" spans="5:9" ht="16.5" hidden="1">
      <c r="E28128" s="4" t="str">
        <v/>
      </c>
      <c r="F28128" s="102" t="str">
        <f ca="1">IFERROR(__xludf.DUMMYFUNCTION("IMPORTRANGE(H28128,""IDENTITAS UNIT!D9"")"),"#N/A")</f>
        <v>#N/A</v>
      </c>
      <c r="H28128" s="4" t="str">
        <v/>
      </c>
      <c r="I28128" s="4" t="str">
        <v/>
      </c>
    </row>
    <row r="28129" spans="5:9" ht="16.5" hidden="1">
      <c r="E28129" s="4" t="str">
        <v/>
      </c>
      <c r="F28129" s="102" t="str">
        <f ca="1">IFERROR(__xludf.DUMMYFUNCTION("IMPORTRANGE(H28129,""IDENTITAS UNIT!D9"")"),"#N/A")</f>
        <v>#N/A</v>
      </c>
      <c r="H28129" s="4" t="str">
        <v/>
      </c>
      <c r="I28129" s="4" t="str">
        <v/>
      </c>
    </row>
    <row r="28130" spans="5:9" ht="16.5" hidden="1">
      <c r="E28130" s="4" t="str">
        <v/>
      </c>
      <c r="F28130" s="102" t="str">
        <f ca="1">IFERROR(__xludf.DUMMYFUNCTION("IMPORTRANGE(H28130,""IDENTITAS UNIT!D9"")"),"#N/A")</f>
        <v>#N/A</v>
      </c>
      <c r="H28130" s="4" t="str">
        <v/>
      </c>
      <c r="I28130" s="4" t="str">
        <v/>
      </c>
    </row>
    <row r="28131" spans="5:9" ht="16.5" hidden="1">
      <c r="E28131" s="4" t="str">
        <v/>
      </c>
      <c r="F28131" s="102" t="str">
        <f ca="1">IFERROR(__xludf.DUMMYFUNCTION("IMPORTRANGE(H28131,""IDENTITAS UNIT!D9"")"),"#N/A")</f>
        <v>#N/A</v>
      </c>
      <c r="H28131" s="4" t="str">
        <v/>
      </c>
      <c r="I28131" s="4" t="str">
        <v/>
      </c>
    </row>
    <row r="28132" spans="5:9" ht="16.5" hidden="1">
      <c r="E28132" s="4" t="str">
        <v/>
      </c>
      <c r="F28132" s="102" t="str">
        <f ca="1">IFERROR(__xludf.DUMMYFUNCTION("IMPORTRANGE(H28132,""IDENTITAS UNIT!D9"")"),"#N/A")</f>
        <v>#N/A</v>
      </c>
      <c r="H28132" s="4" t="str">
        <v/>
      </c>
      <c r="I28132" s="4" t="str">
        <v/>
      </c>
    </row>
    <row r="28133" spans="5:9" ht="16.5" hidden="1">
      <c r="E28133" s="4" t="str">
        <v/>
      </c>
      <c r="F28133" s="102" t="str">
        <f ca="1">IFERROR(__xludf.DUMMYFUNCTION("IMPORTRANGE(H28133,""IDENTITAS UNIT!D9"")"),"#N/A")</f>
        <v>#N/A</v>
      </c>
      <c r="H28133" s="4" t="str">
        <v/>
      </c>
      <c r="I28133" s="4" t="str">
        <v/>
      </c>
    </row>
    <row r="28134" spans="5:9" ht="16.5" hidden="1">
      <c r="E28134" s="4" t="str">
        <v/>
      </c>
      <c r="F28134" s="102" t="str">
        <f ca="1">IFERROR(__xludf.DUMMYFUNCTION("IMPORTRANGE(H28134,""IDENTITAS UNIT!D9"")"),"#N/A")</f>
        <v>#N/A</v>
      </c>
      <c r="H28134" s="4" t="str">
        <v/>
      </c>
      <c r="I28134" s="4" t="str">
        <v/>
      </c>
    </row>
    <row r="28135" spans="5:9" ht="16.5" hidden="1">
      <c r="E28135" s="4" t="str">
        <v/>
      </c>
      <c r="F28135" s="102" t="str">
        <f ca="1">IFERROR(__xludf.DUMMYFUNCTION("IMPORTRANGE(H28135,""IDENTITAS UNIT!D9"")"),"#N/A")</f>
        <v>#N/A</v>
      </c>
      <c r="H28135" s="4" t="str">
        <v/>
      </c>
      <c r="I28135" s="4" t="str">
        <v/>
      </c>
    </row>
    <row r="28136" spans="5:9" ht="16.5" hidden="1">
      <c r="E28136" s="4" t="str">
        <v/>
      </c>
      <c r="F28136" s="102" t="str">
        <f ca="1">IFERROR(__xludf.DUMMYFUNCTION("IMPORTRANGE(H28136,""IDENTITAS UNIT!D9"")"),"#N/A")</f>
        <v>#N/A</v>
      </c>
      <c r="H28136" s="4" t="str">
        <v/>
      </c>
      <c r="I28136" s="4" t="str">
        <v/>
      </c>
    </row>
    <row r="28137" spans="5:9" ht="16.5" hidden="1">
      <c r="E28137" s="4" t="str">
        <v/>
      </c>
      <c r="F28137" s="102" t="str">
        <f ca="1">IFERROR(__xludf.DUMMYFUNCTION("IMPORTRANGE(H28137,""IDENTITAS UNIT!D9"")"),"#N/A")</f>
        <v>#N/A</v>
      </c>
      <c r="H28137" s="4" t="str">
        <v/>
      </c>
      <c r="I28137" s="4" t="str">
        <v/>
      </c>
    </row>
    <row r="28138" spans="5:9" ht="16.5" hidden="1">
      <c r="E28138" s="4" t="str">
        <v/>
      </c>
      <c r="F28138" s="102" t="str">
        <f ca="1">IFERROR(__xludf.DUMMYFUNCTION("IMPORTRANGE(H28138,""IDENTITAS UNIT!D9"")"),"#N/A")</f>
        <v>#N/A</v>
      </c>
      <c r="H28138" s="4" t="str">
        <v/>
      </c>
      <c r="I28138" s="4" t="str">
        <v/>
      </c>
    </row>
    <row r="28139" spans="5:9" ht="16.5" hidden="1">
      <c r="E28139" s="4" t="str">
        <v/>
      </c>
      <c r="F28139" s="102" t="str">
        <f ca="1">IFERROR(__xludf.DUMMYFUNCTION("IMPORTRANGE(H28139,""IDENTITAS UNIT!D9"")"),"#N/A")</f>
        <v>#N/A</v>
      </c>
      <c r="H28139" s="4" t="str">
        <v/>
      </c>
      <c r="I28139" s="4" t="str">
        <v/>
      </c>
    </row>
    <row r="28140" spans="5:9" ht="16.5" hidden="1">
      <c r="E28140" s="4" t="str">
        <v/>
      </c>
      <c r="F28140" s="102" t="str">
        <f ca="1">IFERROR(__xludf.DUMMYFUNCTION("IMPORTRANGE(H28140,""IDENTITAS UNIT!D9"")"),"#N/A")</f>
        <v>#N/A</v>
      </c>
      <c r="H28140" s="4" t="str">
        <v/>
      </c>
      <c r="I28140" s="4" t="str">
        <v/>
      </c>
    </row>
    <row r="28141" spans="5:9" ht="16.5" hidden="1">
      <c r="E28141" s="4" t="str">
        <v/>
      </c>
      <c r="F28141" s="102" t="str">
        <f ca="1">IFERROR(__xludf.DUMMYFUNCTION("IMPORTRANGE(H28141,""IDENTITAS UNIT!D9"")"),"#N/A")</f>
        <v>#N/A</v>
      </c>
      <c r="H28141" s="4" t="str">
        <v/>
      </c>
      <c r="I28141" s="4" t="str">
        <v/>
      </c>
    </row>
    <row r="28142" spans="5:9" ht="16.5" hidden="1">
      <c r="E28142" s="4" t="str">
        <v/>
      </c>
      <c r="F28142" s="102" t="str">
        <f ca="1">IFERROR(__xludf.DUMMYFUNCTION("IMPORTRANGE(H28142,""IDENTITAS UNIT!D9"")"),"#N/A")</f>
        <v>#N/A</v>
      </c>
      <c r="H28142" s="4" t="str">
        <v/>
      </c>
      <c r="I28142" s="4" t="str">
        <v/>
      </c>
    </row>
    <row r="28143" spans="5:9" ht="16.5" hidden="1">
      <c r="E28143" s="4" t="str">
        <v/>
      </c>
      <c r="F28143" s="102" t="str">
        <f ca="1">IFERROR(__xludf.DUMMYFUNCTION("IMPORTRANGE(H28143,""IDENTITAS UNIT!D9"")"),"#N/A")</f>
        <v>#N/A</v>
      </c>
      <c r="H28143" s="4" t="str">
        <v/>
      </c>
      <c r="I28143" s="4" t="str">
        <v/>
      </c>
    </row>
    <row r="28144" spans="5:9" ht="16.5" hidden="1">
      <c r="E28144" s="4" t="str">
        <v/>
      </c>
      <c r="F28144" s="102" t="str">
        <f ca="1">IFERROR(__xludf.DUMMYFUNCTION("IMPORTRANGE(H28144,""IDENTITAS UNIT!D9"")"),"#N/A")</f>
        <v>#N/A</v>
      </c>
      <c r="H28144" s="4" t="str">
        <v/>
      </c>
      <c r="I28144" s="4" t="str">
        <v/>
      </c>
    </row>
    <row r="28145" spans="5:9" ht="16.5" hidden="1">
      <c r="E28145" s="4" t="str">
        <v/>
      </c>
      <c r="F28145" s="102" t="str">
        <f ca="1">IFERROR(__xludf.DUMMYFUNCTION("IMPORTRANGE(H28145,""IDENTITAS UNIT!D9"")"),"#N/A")</f>
        <v>#N/A</v>
      </c>
      <c r="H28145" s="4" t="str">
        <v/>
      </c>
      <c r="I28145" s="4" t="str">
        <v/>
      </c>
    </row>
    <row r="28146" spans="5:9" ht="16.5" hidden="1">
      <c r="E28146" s="4" t="str">
        <v/>
      </c>
      <c r="F28146" s="102" t="str">
        <f ca="1">IFERROR(__xludf.DUMMYFUNCTION("IMPORTRANGE(H28146,""IDENTITAS UNIT!D9"")"),"#N/A")</f>
        <v>#N/A</v>
      </c>
      <c r="H28146" s="4" t="str">
        <v/>
      </c>
      <c r="I28146" s="4" t="str">
        <v/>
      </c>
    </row>
    <row r="28147" spans="5:9" ht="16.5" hidden="1">
      <c r="E28147" s="4" t="str">
        <v/>
      </c>
      <c r="F28147" s="102" t="str">
        <f ca="1">IFERROR(__xludf.DUMMYFUNCTION("IMPORTRANGE(H28147,""IDENTITAS UNIT!D9"")"),"#N/A")</f>
        <v>#N/A</v>
      </c>
      <c r="H28147" s="4" t="str">
        <v/>
      </c>
      <c r="I28147" s="4" t="str">
        <v/>
      </c>
    </row>
    <row r="28148" spans="5:9" ht="16.5" hidden="1">
      <c r="E28148" s="4" t="str">
        <v/>
      </c>
      <c r="F28148" s="102" t="str">
        <f ca="1">IFERROR(__xludf.DUMMYFUNCTION("IMPORTRANGE(H28148,""IDENTITAS UNIT!D9"")"),"#N/A")</f>
        <v>#N/A</v>
      </c>
      <c r="H28148" s="4" t="str">
        <v/>
      </c>
      <c r="I28148" s="4" t="str">
        <v/>
      </c>
    </row>
    <row r="28149" spans="5:9" ht="16.5" hidden="1">
      <c r="E28149" s="4" t="str">
        <v/>
      </c>
      <c r="F28149" s="102" t="str">
        <f ca="1">IFERROR(__xludf.DUMMYFUNCTION("IMPORTRANGE(H28149,""IDENTITAS UNIT!D9"")"),"#N/A")</f>
        <v>#N/A</v>
      </c>
      <c r="H28149" s="4" t="str">
        <v/>
      </c>
      <c r="I28149" s="4" t="str">
        <v/>
      </c>
    </row>
    <row r="28150" spans="5:9" ht="16.5" hidden="1">
      <c r="E28150" s="4" t="str">
        <v/>
      </c>
      <c r="F28150" s="102" t="str">
        <f ca="1">IFERROR(__xludf.DUMMYFUNCTION("IMPORTRANGE(H28150,""IDENTITAS UNIT!D9"")"),"#N/A")</f>
        <v>#N/A</v>
      </c>
      <c r="H28150" s="4" t="str">
        <v/>
      </c>
      <c r="I28150" s="4" t="str">
        <v/>
      </c>
    </row>
    <row r="28151" spans="5:9" ht="16.5" hidden="1">
      <c r="E28151" s="4" t="str">
        <v/>
      </c>
      <c r="F28151" s="102" t="str">
        <f ca="1">IFERROR(__xludf.DUMMYFUNCTION("IMPORTRANGE(H28151,""IDENTITAS UNIT!D9"")"),"#N/A")</f>
        <v>#N/A</v>
      </c>
      <c r="H28151" s="4" t="str">
        <v/>
      </c>
      <c r="I28151" s="4" t="str">
        <v/>
      </c>
    </row>
    <row r="28152" spans="5:9" ht="16.5" hidden="1">
      <c r="E28152" s="4" t="str">
        <v/>
      </c>
      <c r="F28152" s="102" t="str">
        <f ca="1">IFERROR(__xludf.DUMMYFUNCTION("IMPORTRANGE(H28152,""IDENTITAS UNIT!D9"")"),"#N/A")</f>
        <v>#N/A</v>
      </c>
      <c r="H28152" s="4" t="str">
        <v/>
      </c>
      <c r="I28152" s="4" t="str">
        <v/>
      </c>
    </row>
    <row r="28153" spans="5:9" ht="16.5" hidden="1">
      <c r="E28153" s="4" t="str">
        <v/>
      </c>
      <c r="F28153" s="102" t="str">
        <f ca="1">IFERROR(__xludf.DUMMYFUNCTION("IMPORTRANGE(H28153,""IDENTITAS UNIT!D9"")"),"#N/A")</f>
        <v>#N/A</v>
      </c>
      <c r="H28153" s="4" t="str">
        <v/>
      </c>
      <c r="I28153" s="4" t="str">
        <v/>
      </c>
    </row>
    <row r="28154" spans="5:9" ht="16.5" hidden="1">
      <c r="E28154" s="4" t="str">
        <v/>
      </c>
      <c r="F28154" s="102" t="str">
        <f ca="1">IFERROR(__xludf.DUMMYFUNCTION("IMPORTRANGE(H28154,""IDENTITAS UNIT!D9"")"),"#N/A")</f>
        <v>#N/A</v>
      </c>
      <c r="H28154" s="4" t="str">
        <v/>
      </c>
      <c r="I28154" s="4" t="str">
        <v/>
      </c>
    </row>
    <row r="28155" spans="5:9" ht="16.5" hidden="1">
      <c r="E28155" s="4" t="str">
        <v/>
      </c>
      <c r="F28155" s="102" t="str">
        <f ca="1">IFERROR(__xludf.DUMMYFUNCTION("IMPORTRANGE(H28155,""IDENTITAS UNIT!D9"")"),"#N/A")</f>
        <v>#N/A</v>
      </c>
      <c r="H28155" s="4" t="str">
        <v/>
      </c>
      <c r="I28155" s="4" t="str">
        <v/>
      </c>
    </row>
    <row r="28156" spans="5:9" ht="16.5" hidden="1">
      <c r="E28156" s="4" t="str">
        <v/>
      </c>
      <c r="F28156" s="102" t="str">
        <f ca="1">IFERROR(__xludf.DUMMYFUNCTION("IMPORTRANGE(H28156,""IDENTITAS UNIT!D9"")"),"#N/A")</f>
        <v>#N/A</v>
      </c>
      <c r="H28156" s="4" t="str">
        <v/>
      </c>
      <c r="I28156" s="4" t="str">
        <v/>
      </c>
    </row>
    <row r="28157" spans="5:9" ht="16.5" hidden="1">
      <c r="E28157" s="4" t="str">
        <v/>
      </c>
      <c r="F28157" s="102" t="str">
        <f ca="1">IFERROR(__xludf.DUMMYFUNCTION("IMPORTRANGE(H28157,""IDENTITAS UNIT!D9"")"),"#N/A")</f>
        <v>#N/A</v>
      </c>
      <c r="H28157" s="4" t="str">
        <v/>
      </c>
      <c r="I28157" s="4" t="str">
        <v/>
      </c>
    </row>
    <row r="28158" spans="5:9" ht="16.5" hidden="1">
      <c r="E28158" s="4" t="str">
        <v/>
      </c>
      <c r="F28158" s="102" t="str">
        <f ca="1">IFERROR(__xludf.DUMMYFUNCTION("IMPORTRANGE(H28158,""IDENTITAS UNIT!D9"")"),"#N/A")</f>
        <v>#N/A</v>
      </c>
      <c r="H28158" s="4" t="str">
        <v/>
      </c>
      <c r="I28158" s="4" t="str">
        <v/>
      </c>
    </row>
    <row r="28159" spans="5:9" ht="16.5" hidden="1">
      <c r="E28159" s="4" t="str">
        <v/>
      </c>
      <c r="F28159" s="102" t="str">
        <f ca="1">IFERROR(__xludf.DUMMYFUNCTION("IMPORTRANGE(H28159,""IDENTITAS UNIT!D9"")"),"#N/A")</f>
        <v>#N/A</v>
      </c>
      <c r="H28159" s="4" t="str">
        <v/>
      </c>
      <c r="I28159" s="4" t="str">
        <v/>
      </c>
    </row>
    <row r="28160" spans="5:9" ht="16.5" hidden="1">
      <c r="E28160" s="4" t="str">
        <v/>
      </c>
      <c r="F28160" s="102" t="str">
        <f ca="1">IFERROR(__xludf.DUMMYFUNCTION("IMPORTRANGE(H28160,""IDENTITAS UNIT!D9"")"),"#N/A")</f>
        <v>#N/A</v>
      </c>
      <c r="H28160" s="4" t="str">
        <v/>
      </c>
      <c r="I28160" s="4" t="str">
        <v/>
      </c>
    </row>
    <row r="28161" spans="5:9" ht="16.5" hidden="1">
      <c r="E28161" s="4" t="str">
        <v/>
      </c>
      <c r="F28161" s="102" t="str">
        <f ca="1">IFERROR(__xludf.DUMMYFUNCTION("IMPORTRANGE(H28161,""IDENTITAS UNIT!D9"")"),"#N/A")</f>
        <v>#N/A</v>
      </c>
      <c r="H28161" s="4" t="str">
        <v/>
      </c>
      <c r="I28161" s="4" t="str">
        <v/>
      </c>
    </row>
    <row r="28162" spans="5:9" ht="16.5" hidden="1">
      <c r="E28162" s="4" t="str">
        <v/>
      </c>
      <c r="F28162" s="102" t="str">
        <f ca="1">IFERROR(__xludf.DUMMYFUNCTION("IMPORTRANGE(H28162,""IDENTITAS UNIT!D9"")"),"#N/A")</f>
        <v>#N/A</v>
      </c>
      <c r="H28162" s="4" t="str">
        <v/>
      </c>
      <c r="I28162" s="4" t="str">
        <v/>
      </c>
    </row>
    <row r="28163" spans="5:9" ht="16.5" hidden="1">
      <c r="E28163" s="4" t="str">
        <v/>
      </c>
      <c r="F28163" s="102" t="str">
        <f ca="1">IFERROR(__xludf.DUMMYFUNCTION("IMPORTRANGE(H28163,""IDENTITAS UNIT!D9"")"),"#N/A")</f>
        <v>#N/A</v>
      </c>
      <c r="H28163" s="4" t="str">
        <v/>
      </c>
      <c r="I28163" s="4" t="str">
        <v/>
      </c>
    </row>
    <row r="28164" spans="5:9" ht="16.5" hidden="1">
      <c r="E28164" s="4" t="str">
        <v/>
      </c>
      <c r="F28164" s="102" t="str">
        <f ca="1">IFERROR(__xludf.DUMMYFUNCTION("IMPORTRANGE(H28164,""IDENTITAS UNIT!D9"")"),"#N/A")</f>
        <v>#N/A</v>
      </c>
      <c r="H28164" s="4" t="str">
        <v/>
      </c>
      <c r="I28164" s="4" t="str">
        <v/>
      </c>
    </row>
    <row r="28165" spans="5:9" ht="16.5" hidden="1">
      <c r="E28165" s="4" t="str">
        <v/>
      </c>
      <c r="F28165" s="102" t="str">
        <f ca="1">IFERROR(__xludf.DUMMYFUNCTION("IMPORTRANGE(H28165,""IDENTITAS UNIT!D9"")"),"#N/A")</f>
        <v>#N/A</v>
      </c>
      <c r="H28165" s="4" t="str">
        <v/>
      </c>
      <c r="I28165" s="4" t="str">
        <v/>
      </c>
    </row>
    <row r="28166" spans="5:9" ht="16.5" hidden="1">
      <c r="E28166" s="4" t="str">
        <v/>
      </c>
      <c r="F28166" s="102" t="str">
        <f ca="1">IFERROR(__xludf.DUMMYFUNCTION("IMPORTRANGE(H28166,""IDENTITAS UNIT!D9"")"),"#N/A")</f>
        <v>#N/A</v>
      </c>
      <c r="H28166" s="4" t="str">
        <v/>
      </c>
      <c r="I28166" s="4" t="str">
        <v/>
      </c>
    </row>
    <row r="28167" spans="5:9" ht="16.5" hidden="1">
      <c r="E28167" s="4" t="str">
        <v/>
      </c>
      <c r="F28167" s="102" t="str">
        <f ca="1">IFERROR(__xludf.DUMMYFUNCTION("IMPORTRANGE(H28167,""IDENTITAS UNIT!D9"")"),"#N/A")</f>
        <v>#N/A</v>
      </c>
      <c r="H28167" s="4" t="str">
        <v/>
      </c>
      <c r="I28167" s="4" t="str">
        <v/>
      </c>
    </row>
    <row r="28168" spans="5:9" ht="16.5" hidden="1">
      <c r="E28168" s="4" t="str">
        <v/>
      </c>
      <c r="F28168" s="102" t="str">
        <f ca="1">IFERROR(__xludf.DUMMYFUNCTION("IMPORTRANGE(H28168,""IDENTITAS UNIT!D9"")"),"#N/A")</f>
        <v>#N/A</v>
      </c>
      <c r="H28168" s="4" t="str">
        <v/>
      </c>
      <c r="I28168" s="4" t="str">
        <v/>
      </c>
    </row>
    <row r="28169" spans="5:9" ht="16.5" hidden="1">
      <c r="E28169" s="4" t="str">
        <v/>
      </c>
      <c r="F28169" s="102" t="str">
        <f ca="1">IFERROR(__xludf.DUMMYFUNCTION("IMPORTRANGE(H28169,""IDENTITAS UNIT!D9"")"),"#N/A")</f>
        <v>#N/A</v>
      </c>
      <c r="H28169" s="4" t="str">
        <v/>
      </c>
      <c r="I28169" s="4" t="str">
        <v/>
      </c>
    </row>
    <row r="28170" spans="5:9" ht="16.5" hidden="1">
      <c r="E28170" s="4" t="str">
        <v/>
      </c>
      <c r="F28170" s="102" t="str">
        <f ca="1">IFERROR(__xludf.DUMMYFUNCTION("IMPORTRANGE(H28170,""IDENTITAS UNIT!D9"")"),"#N/A")</f>
        <v>#N/A</v>
      </c>
      <c r="H28170" s="4" t="str">
        <v/>
      </c>
      <c r="I28170" s="4" t="str">
        <v/>
      </c>
    </row>
    <row r="28171" spans="5:9" ht="16.5" hidden="1">
      <c r="E28171" s="4" t="str">
        <v/>
      </c>
      <c r="F28171" s="102" t="str">
        <f ca="1">IFERROR(__xludf.DUMMYFUNCTION("IMPORTRANGE(H28171,""IDENTITAS UNIT!D9"")"),"#N/A")</f>
        <v>#N/A</v>
      </c>
      <c r="H28171" s="4" t="str">
        <v/>
      </c>
      <c r="I28171" s="4" t="str">
        <v/>
      </c>
    </row>
    <row r="28172" spans="5:9" ht="16.5" hidden="1">
      <c r="E28172" s="4" t="str">
        <v/>
      </c>
      <c r="F28172" s="102" t="str">
        <f ca="1">IFERROR(__xludf.DUMMYFUNCTION("IMPORTRANGE(H28172,""IDENTITAS UNIT!D9"")"),"#N/A")</f>
        <v>#N/A</v>
      </c>
      <c r="H28172" s="4" t="str">
        <v/>
      </c>
      <c r="I28172" s="4" t="str">
        <v/>
      </c>
    </row>
    <row r="28173" spans="5:9" ht="16.5" hidden="1">
      <c r="E28173" s="4" t="str">
        <v/>
      </c>
      <c r="F28173" s="102" t="str">
        <f ca="1">IFERROR(__xludf.DUMMYFUNCTION("IMPORTRANGE(H28173,""IDENTITAS UNIT!D9"")"),"#N/A")</f>
        <v>#N/A</v>
      </c>
      <c r="H28173" s="4" t="str">
        <v/>
      </c>
      <c r="I28173" s="4" t="str">
        <v/>
      </c>
    </row>
    <row r="28174" spans="5:9" ht="16.5" hidden="1">
      <c r="E28174" s="4" t="str">
        <v/>
      </c>
      <c r="F28174" s="102" t="str">
        <f ca="1">IFERROR(__xludf.DUMMYFUNCTION("IMPORTRANGE(H28174,""IDENTITAS UNIT!D9"")"),"#N/A")</f>
        <v>#N/A</v>
      </c>
      <c r="H28174" s="4" t="str">
        <v/>
      </c>
      <c r="I28174" s="4" t="str">
        <v/>
      </c>
    </row>
    <row r="28175" spans="5:9" ht="16.5" hidden="1">
      <c r="E28175" s="4" t="str">
        <v/>
      </c>
      <c r="F28175" s="102" t="str">
        <f ca="1">IFERROR(__xludf.DUMMYFUNCTION("IMPORTRANGE(H28175,""IDENTITAS UNIT!D9"")"),"#N/A")</f>
        <v>#N/A</v>
      </c>
      <c r="H28175" s="4" t="str">
        <v/>
      </c>
      <c r="I28175" s="4" t="str">
        <v/>
      </c>
    </row>
    <row r="28176" spans="5:9" ht="16.5" hidden="1">
      <c r="E28176" s="4" t="str">
        <v/>
      </c>
      <c r="F28176" s="102" t="str">
        <f ca="1">IFERROR(__xludf.DUMMYFUNCTION("IMPORTRANGE(H28176,""IDENTITAS UNIT!D9"")"),"#N/A")</f>
        <v>#N/A</v>
      </c>
      <c r="H28176" s="4" t="str">
        <v/>
      </c>
      <c r="I28176" s="4" t="str">
        <v/>
      </c>
    </row>
    <row r="28177" spans="5:9" ht="16.5" hidden="1">
      <c r="E28177" s="4" t="str">
        <v/>
      </c>
      <c r="F28177" s="102" t="str">
        <f ca="1">IFERROR(__xludf.DUMMYFUNCTION("IMPORTRANGE(H28177,""IDENTITAS UNIT!D9"")"),"#N/A")</f>
        <v>#N/A</v>
      </c>
      <c r="H28177" s="4" t="str">
        <v/>
      </c>
      <c r="I28177" s="4" t="str">
        <v/>
      </c>
    </row>
    <row r="28178" spans="5:9" ht="16.5" hidden="1">
      <c r="E28178" s="4" t="str">
        <v/>
      </c>
      <c r="F28178" s="102" t="str">
        <f ca="1">IFERROR(__xludf.DUMMYFUNCTION("IMPORTRANGE(H28178,""IDENTITAS UNIT!D9"")"),"#N/A")</f>
        <v>#N/A</v>
      </c>
      <c r="H28178" s="4" t="str">
        <v/>
      </c>
      <c r="I28178" s="4" t="str">
        <v/>
      </c>
    </row>
    <row r="28179" spans="5:9" ht="16.5" hidden="1">
      <c r="E28179" s="4" t="str">
        <v/>
      </c>
      <c r="F28179" s="102" t="str">
        <f ca="1">IFERROR(__xludf.DUMMYFUNCTION("IMPORTRANGE(H28179,""IDENTITAS UNIT!D9"")"),"#N/A")</f>
        <v>#N/A</v>
      </c>
      <c r="H28179" s="4" t="str">
        <v/>
      </c>
      <c r="I28179" s="4" t="str">
        <v/>
      </c>
    </row>
    <row r="28180" spans="5:9" ht="16.5" hidden="1">
      <c r="E28180" s="4" t="str">
        <v/>
      </c>
      <c r="F28180" s="102" t="str">
        <f ca="1">IFERROR(__xludf.DUMMYFUNCTION("IMPORTRANGE(H28180,""IDENTITAS UNIT!D9"")"),"#N/A")</f>
        <v>#N/A</v>
      </c>
      <c r="H28180" s="4" t="str">
        <v/>
      </c>
      <c r="I28180" s="4" t="str">
        <v/>
      </c>
    </row>
    <row r="28181" spans="5:9" ht="16.5" hidden="1">
      <c r="E28181" s="4" t="str">
        <v/>
      </c>
      <c r="F28181" s="102" t="str">
        <f ca="1">IFERROR(__xludf.DUMMYFUNCTION("IMPORTRANGE(H28181,""IDENTITAS UNIT!D9"")"),"#N/A")</f>
        <v>#N/A</v>
      </c>
      <c r="H28181" s="4" t="str">
        <v/>
      </c>
      <c r="I28181" s="4" t="str">
        <v/>
      </c>
    </row>
    <row r="28182" spans="5:9" ht="16.5" hidden="1">
      <c r="E28182" s="4" t="str">
        <v/>
      </c>
      <c r="F28182" s="102" t="str">
        <f ca="1">IFERROR(__xludf.DUMMYFUNCTION("IMPORTRANGE(H28182,""IDENTITAS UNIT!D9"")"),"#N/A")</f>
        <v>#N/A</v>
      </c>
      <c r="H28182" s="4" t="str">
        <v/>
      </c>
      <c r="I28182" s="4" t="str">
        <v/>
      </c>
    </row>
    <row r="28183" spans="5:9" ht="16.5" hidden="1">
      <c r="E28183" s="4" t="str">
        <v/>
      </c>
      <c r="F28183" s="102" t="str">
        <f ca="1">IFERROR(__xludf.DUMMYFUNCTION("IMPORTRANGE(H28183,""IDENTITAS UNIT!D9"")"),"#N/A")</f>
        <v>#N/A</v>
      </c>
      <c r="H28183" s="4" t="str">
        <v/>
      </c>
      <c r="I28183" s="4" t="str">
        <v/>
      </c>
    </row>
    <row r="28184" spans="5:9" ht="16.5" hidden="1">
      <c r="E28184" s="4" t="str">
        <v/>
      </c>
      <c r="F28184" s="102" t="str">
        <f ca="1">IFERROR(__xludf.DUMMYFUNCTION("IMPORTRANGE(H28184,""IDENTITAS UNIT!D9"")"),"#N/A")</f>
        <v>#N/A</v>
      </c>
      <c r="H28184" s="4" t="str">
        <v/>
      </c>
      <c r="I28184" s="4" t="str">
        <v/>
      </c>
    </row>
    <row r="28185" spans="5:9" ht="16.5" hidden="1">
      <c r="E28185" s="4" t="str">
        <v/>
      </c>
      <c r="F28185" s="102" t="str">
        <f ca="1">IFERROR(__xludf.DUMMYFUNCTION("IMPORTRANGE(H28185,""IDENTITAS UNIT!D9"")"),"#N/A")</f>
        <v>#N/A</v>
      </c>
      <c r="H28185" s="4" t="str">
        <v/>
      </c>
      <c r="I28185" s="4" t="str">
        <v/>
      </c>
    </row>
    <row r="28186" spans="5:9" ht="16.5" hidden="1">
      <c r="E28186" s="4" t="str">
        <v/>
      </c>
      <c r="F28186" s="102" t="str">
        <f ca="1">IFERROR(__xludf.DUMMYFUNCTION("IMPORTRANGE(H28186,""IDENTITAS UNIT!D9"")"),"#N/A")</f>
        <v>#N/A</v>
      </c>
      <c r="H28186" s="4" t="str">
        <v/>
      </c>
      <c r="I28186" s="4" t="str">
        <v/>
      </c>
    </row>
    <row r="28187" spans="5:9" ht="16.5" hidden="1">
      <c r="E28187" s="4" t="str">
        <v/>
      </c>
      <c r="F28187" s="102" t="str">
        <f ca="1">IFERROR(__xludf.DUMMYFUNCTION("IMPORTRANGE(H28187,""IDENTITAS UNIT!D9"")"),"#N/A")</f>
        <v>#N/A</v>
      </c>
      <c r="H28187" s="4" t="str">
        <v/>
      </c>
      <c r="I28187" s="4" t="str">
        <v/>
      </c>
    </row>
    <row r="28188" spans="5:9" ht="16.5" hidden="1">
      <c r="E28188" s="4" t="str">
        <v/>
      </c>
      <c r="F28188" s="102" t="str">
        <f ca="1">IFERROR(__xludf.DUMMYFUNCTION("IMPORTRANGE(H28188,""IDENTITAS UNIT!D9"")"),"#N/A")</f>
        <v>#N/A</v>
      </c>
      <c r="H28188" s="4" t="str">
        <v/>
      </c>
      <c r="I28188" s="4" t="str">
        <v/>
      </c>
    </row>
    <row r="28189" spans="5:9" ht="16.5" hidden="1">
      <c r="E28189" s="4" t="str">
        <v/>
      </c>
      <c r="F28189" s="102" t="str">
        <f ca="1">IFERROR(__xludf.DUMMYFUNCTION("IMPORTRANGE(H28189,""IDENTITAS UNIT!D9"")"),"#N/A")</f>
        <v>#N/A</v>
      </c>
      <c r="H28189" s="4" t="str">
        <v/>
      </c>
      <c r="I28189" s="4" t="str">
        <v/>
      </c>
    </row>
    <row r="28190" spans="5:9" ht="16.5" hidden="1">
      <c r="E28190" s="4" t="str">
        <v/>
      </c>
      <c r="F28190" s="102" t="str">
        <f ca="1">IFERROR(__xludf.DUMMYFUNCTION("IMPORTRANGE(H28190,""IDENTITAS UNIT!D9"")"),"#N/A")</f>
        <v>#N/A</v>
      </c>
      <c r="H28190" s="4" t="str">
        <v/>
      </c>
      <c r="I28190" s="4" t="str">
        <v/>
      </c>
    </row>
    <row r="28191" spans="5:9" ht="16.5" hidden="1">
      <c r="E28191" s="4" t="str">
        <v/>
      </c>
      <c r="F28191" s="102" t="str">
        <f ca="1">IFERROR(__xludf.DUMMYFUNCTION("IMPORTRANGE(H28191,""IDENTITAS UNIT!D9"")"),"#N/A")</f>
        <v>#N/A</v>
      </c>
      <c r="H28191" s="4" t="str">
        <v/>
      </c>
      <c r="I28191" s="4" t="str">
        <v/>
      </c>
    </row>
    <row r="28192" spans="5:9" ht="16.5" hidden="1">
      <c r="E28192" s="4" t="str">
        <v/>
      </c>
      <c r="F28192" s="102" t="str">
        <f ca="1">IFERROR(__xludf.DUMMYFUNCTION("IMPORTRANGE(H28192,""IDENTITAS UNIT!D9"")"),"#N/A")</f>
        <v>#N/A</v>
      </c>
      <c r="H28192" s="4" t="str">
        <v/>
      </c>
      <c r="I28192" s="4" t="str">
        <v/>
      </c>
    </row>
    <row r="28193" spans="5:9" ht="16.5" hidden="1">
      <c r="E28193" s="4" t="str">
        <v/>
      </c>
      <c r="F28193" s="102" t="str">
        <f ca="1">IFERROR(__xludf.DUMMYFUNCTION("IMPORTRANGE(H28193,""IDENTITAS UNIT!D9"")"),"#N/A")</f>
        <v>#N/A</v>
      </c>
      <c r="H28193" s="4" t="str">
        <v/>
      </c>
      <c r="I28193" s="4" t="str">
        <v/>
      </c>
    </row>
    <row r="28194" spans="5:9" ht="16.5" hidden="1">
      <c r="E28194" s="4" t="str">
        <v/>
      </c>
      <c r="F28194" s="102" t="str">
        <f ca="1">IFERROR(__xludf.DUMMYFUNCTION("IMPORTRANGE(H28194,""IDENTITAS UNIT!D9"")"),"#N/A")</f>
        <v>#N/A</v>
      </c>
      <c r="H28194" s="4" t="str">
        <v/>
      </c>
      <c r="I28194" s="4" t="str">
        <v/>
      </c>
    </row>
    <row r="28195" spans="5:9" ht="16.5" hidden="1">
      <c r="E28195" s="4" t="str">
        <v/>
      </c>
      <c r="F28195" s="102" t="str">
        <f ca="1">IFERROR(__xludf.DUMMYFUNCTION("IMPORTRANGE(H28195,""IDENTITAS UNIT!D9"")"),"#N/A")</f>
        <v>#N/A</v>
      </c>
      <c r="H28195" s="4" t="str">
        <v/>
      </c>
      <c r="I28195" s="4" t="str">
        <v/>
      </c>
    </row>
    <row r="28196" spans="5:9" ht="16.5" hidden="1">
      <c r="E28196" s="4" t="str">
        <v/>
      </c>
      <c r="F28196" s="102" t="str">
        <f ca="1">IFERROR(__xludf.DUMMYFUNCTION("IMPORTRANGE(H28196,""IDENTITAS UNIT!D9"")"),"#N/A")</f>
        <v>#N/A</v>
      </c>
      <c r="H28196" s="4" t="str">
        <v/>
      </c>
      <c r="I28196" s="4" t="str">
        <v/>
      </c>
    </row>
    <row r="28197" spans="5:9" ht="16.5" hidden="1">
      <c r="E28197" s="4" t="str">
        <v/>
      </c>
      <c r="F28197" s="102" t="str">
        <f ca="1">IFERROR(__xludf.DUMMYFUNCTION("IMPORTRANGE(H28197,""IDENTITAS UNIT!D9"")"),"#N/A")</f>
        <v>#N/A</v>
      </c>
      <c r="H28197" s="4" t="str">
        <v/>
      </c>
      <c r="I28197" s="4" t="str">
        <v/>
      </c>
    </row>
    <row r="28198" spans="5:9" ht="16.5" hidden="1">
      <c r="E28198" s="4" t="str">
        <v/>
      </c>
      <c r="F28198" s="102" t="str">
        <f ca="1">IFERROR(__xludf.DUMMYFUNCTION("IMPORTRANGE(H28198,""IDENTITAS UNIT!D9"")"),"#N/A")</f>
        <v>#N/A</v>
      </c>
      <c r="H28198" s="4" t="str">
        <v/>
      </c>
      <c r="I28198" s="4" t="str">
        <v/>
      </c>
    </row>
    <row r="28199" spans="5:9" ht="16.5" hidden="1">
      <c r="E28199" s="4" t="str">
        <v/>
      </c>
      <c r="F28199" s="102" t="str">
        <f ca="1">IFERROR(__xludf.DUMMYFUNCTION("IMPORTRANGE(H28199,""IDENTITAS UNIT!D9"")"),"#N/A")</f>
        <v>#N/A</v>
      </c>
      <c r="H28199" s="4" t="str">
        <v/>
      </c>
      <c r="I28199" s="4" t="str">
        <v/>
      </c>
    </row>
    <row r="28200" spans="5:9" ht="16.5" hidden="1">
      <c r="E28200" s="4" t="str">
        <v/>
      </c>
      <c r="F28200" s="102" t="str">
        <f ca="1">IFERROR(__xludf.DUMMYFUNCTION("IMPORTRANGE(H28200,""IDENTITAS UNIT!D9"")"),"#N/A")</f>
        <v>#N/A</v>
      </c>
      <c r="H28200" s="4" t="str">
        <v/>
      </c>
      <c r="I28200" s="4" t="str">
        <v/>
      </c>
    </row>
    <row r="28201" spans="5:9" ht="16.5" hidden="1">
      <c r="E28201" s="4" t="str">
        <v/>
      </c>
      <c r="F28201" s="102" t="str">
        <f ca="1">IFERROR(__xludf.DUMMYFUNCTION("IMPORTRANGE(H28201,""IDENTITAS UNIT!D9"")"),"#N/A")</f>
        <v>#N/A</v>
      </c>
      <c r="H28201" s="4" t="str">
        <v/>
      </c>
      <c r="I28201" s="4" t="str">
        <v/>
      </c>
    </row>
    <row r="28202" spans="5:9" ht="16.5" hidden="1">
      <c r="E28202" s="4" t="str">
        <v/>
      </c>
      <c r="F28202" s="102" t="str">
        <f ca="1">IFERROR(__xludf.DUMMYFUNCTION("IMPORTRANGE(H28202,""IDENTITAS UNIT!D9"")"),"#N/A")</f>
        <v>#N/A</v>
      </c>
      <c r="H28202" s="4" t="str">
        <v/>
      </c>
      <c r="I28202" s="4" t="str">
        <v/>
      </c>
    </row>
    <row r="28203" spans="5:9" ht="16.5" hidden="1">
      <c r="E28203" s="4" t="str">
        <v/>
      </c>
      <c r="F28203" s="102" t="str">
        <f ca="1">IFERROR(__xludf.DUMMYFUNCTION("IMPORTRANGE(H28203,""IDENTITAS UNIT!D9"")"),"#N/A")</f>
        <v>#N/A</v>
      </c>
      <c r="H28203" s="4" t="str">
        <v/>
      </c>
      <c r="I28203" s="4" t="str">
        <v/>
      </c>
    </row>
    <row r="28204" spans="5:9" ht="16.5" hidden="1">
      <c r="E28204" s="4" t="str">
        <v/>
      </c>
      <c r="F28204" s="102" t="str">
        <f ca="1">IFERROR(__xludf.DUMMYFUNCTION("IMPORTRANGE(H28204,""IDENTITAS UNIT!D9"")"),"#N/A")</f>
        <v>#N/A</v>
      </c>
      <c r="H28204" s="4" t="str">
        <v/>
      </c>
      <c r="I28204" s="4" t="str">
        <v/>
      </c>
    </row>
    <row r="28205" spans="5:9" ht="16.5" hidden="1">
      <c r="E28205" s="4" t="str">
        <v/>
      </c>
      <c r="F28205" s="102" t="str">
        <f ca="1">IFERROR(__xludf.DUMMYFUNCTION("IMPORTRANGE(H28205,""IDENTITAS UNIT!D9"")"),"#N/A")</f>
        <v>#N/A</v>
      </c>
      <c r="H28205" s="4" t="str">
        <v/>
      </c>
      <c r="I28205" s="4" t="str">
        <v/>
      </c>
    </row>
    <row r="28206" spans="5:9" ht="16.5" hidden="1">
      <c r="E28206" s="4" t="str">
        <v/>
      </c>
      <c r="F28206" s="102" t="str">
        <f ca="1">IFERROR(__xludf.DUMMYFUNCTION("IMPORTRANGE(H28206,""IDENTITAS UNIT!D9"")"),"#N/A")</f>
        <v>#N/A</v>
      </c>
      <c r="H28206" s="4" t="str">
        <v/>
      </c>
      <c r="I28206" s="4" t="str">
        <v/>
      </c>
    </row>
    <row r="28207" spans="5:9" ht="16.5" hidden="1">
      <c r="E28207" s="4" t="str">
        <v/>
      </c>
      <c r="F28207" s="102" t="str">
        <f ca="1">IFERROR(__xludf.DUMMYFUNCTION("IMPORTRANGE(H28207,""IDENTITAS UNIT!D9"")"),"#N/A")</f>
        <v>#N/A</v>
      </c>
      <c r="H28207" s="4" t="str">
        <v/>
      </c>
      <c r="I28207" s="4" t="str">
        <v/>
      </c>
    </row>
    <row r="28208" spans="5:9" ht="16.5" hidden="1">
      <c r="E28208" s="4" t="str">
        <v/>
      </c>
      <c r="F28208" s="102" t="str">
        <f ca="1">IFERROR(__xludf.DUMMYFUNCTION("IMPORTRANGE(H28208,""IDENTITAS UNIT!D9"")"),"#N/A")</f>
        <v>#N/A</v>
      </c>
      <c r="H28208" s="4" t="str">
        <v/>
      </c>
      <c r="I28208" s="4" t="str">
        <v/>
      </c>
    </row>
    <row r="28209" spans="5:9" ht="16.5" hidden="1">
      <c r="E28209" s="4" t="str">
        <v/>
      </c>
      <c r="F28209" s="102" t="str">
        <f ca="1">IFERROR(__xludf.DUMMYFUNCTION("IMPORTRANGE(H28209,""IDENTITAS UNIT!D9"")"),"#N/A")</f>
        <v>#N/A</v>
      </c>
      <c r="H28209" s="4" t="str">
        <v/>
      </c>
      <c r="I28209" s="4" t="str">
        <v/>
      </c>
    </row>
    <row r="28210" spans="5:9" ht="16.5" hidden="1">
      <c r="E28210" s="4" t="str">
        <v/>
      </c>
      <c r="F28210" s="102" t="str">
        <f ca="1">IFERROR(__xludf.DUMMYFUNCTION("IMPORTRANGE(H28210,""IDENTITAS UNIT!D9"")"),"#N/A")</f>
        <v>#N/A</v>
      </c>
      <c r="H28210" s="4" t="str">
        <v/>
      </c>
      <c r="I28210" s="4" t="str">
        <v/>
      </c>
    </row>
    <row r="28211" spans="5:9" ht="16.5" hidden="1">
      <c r="E28211" s="4" t="str">
        <v/>
      </c>
      <c r="F28211" s="102" t="str">
        <f ca="1">IFERROR(__xludf.DUMMYFUNCTION("IMPORTRANGE(H28211,""IDENTITAS UNIT!D9"")"),"#N/A")</f>
        <v>#N/A</v>
      </c>
      <c r="H28211" s="4" t="str">
        <v/>
      </c>
      <c r="I28211" s="4" t="str">
        <v/>
      </c>
    </row>
    <row r="28212" spans="5:9" ht="16.5" hidden="1">
      <c r="E28212" s="4" t="str">
        <v/>
      </c>
      <c r="F28212" s="102" t="str">
        <f ca="1">IFERROR(__xludf.DUMMYFUNCTION("IMPORTRANGE(H28212,""IDENTITAS UNIT!D9"")"),"#N/A")</f>
        <v>#N/A</v>
      </c>
      <c r="H28212" s="4" t="str">
        <v/>
      </c>
      <c r="I28212" s="4" t="str">
        <v/>
      </c>
    </row>
    <row r="28213" spans="5:9" ht="16.5" hidden="1">
      <c r="E28213" s="4" t="str">
        <v/>
      </c>
      <c r="F28213" s="102" t="str">
        <f ca="1">IFERROR(__xludf.DUMMYFUNCTION("IMPORTRANGE(H28213,""IDENTITAS UNIT!D9"")"),"#N/A")</f>
        <v>#N/A</v>
      </c>
      <c r="H28213" s="4" t="str">
        <v/>
      </c>
      <c r="I28213" s="4" t="str">
        <v/>
      </c>
    </row>
    <row r="28214" spans="5:9" ht="16.5" hidden="1">
      <c r="E28214" s="4" t="str">
        <v/>
      </c>
      <c r="F28214" s="102" t="str">
        <f ca="1">IFERROR(__xludf.DUMMYFUNCTION("IMPORTRANGE(H28214,""IDENTITAS UNIT!D9"")"),"#N/A")</f>
        <v>#N/A</v>
      </c>
      <c r="H28214" s="4" t="str">
        <v/>
      </c>
      <c r="I28214" s="4" t="str">
        <v/>
      </c>
    </row>
    <row r="28215" spans="5:9" ht="16.5" hidden="1">
      <c r="E28215" s="4" t="str">
        <v/>
      </c>
      <c r="F28215" s="102" t="str">
        <f ca="1">IFERROR(__xludf.DUMMYFUNCTION("IMPORTRANGE(H28215,""IDENTITAS UNIT!D9"")"),"#N/A")</f>
        <v>#N/A</v>
      </c>
      <c r="H28215" s="4" t="str">
        <v/>
      </c>
      <c r="I28215" s="4" t="str">
        <v/>
      </c>
    </row>
    <row r="28216" spans="5:9" ht="16.5" hidden="1">
      <c r="E28216" s="4" t="str">
        <v/>
      </c>
      <c r="F28216" s="102" t="str">
        <f ca="1">IFERROR(__xludf.DUMMYFUNCTION("IMPORTRANGE(H28216,""IDENTITAS UNIT!D9"")"),"#N/A")</f>
        <v>#N/A</v>
      </c>
      <c r="H28216" s="4" t="str">
        <v/>
      </c>
      <c r="I28216" s="4" t="str">
        <v/>
      </c>
    </row>
    <row r="28217" spans="5:9" ht="16.5" hidden="1">
      <c r="E28217" s="4" t="str">
        <v/>
      </c>
      <c r="F28217" s="102" t="str">
        <f ca="1">IFERROR(__xludf.DUMMYFUNCTION("IMPORTRANGE(H28217,""IDENTITAS UNIT!D9"")"),"#N/A")</f>
        <v>#N/A</v>
      </c>
      <c r="H28217" s="4" t="str">
        <v/>
      </c>
      <c r="I28217" s="4" t="str">
        <v/>
      </c>
    </row>
    <row r="28218" spans="5:9" ht="16.5" hidden="1">
      <c r="E28218" s="4" t="str">
        <v/>
      </c>
      <c r="F28218" s="102" t="str">
        <f ca="1">IFERROR(__xludf.DUMMYFUNCTION("IMPORTRANGE(H28218,""IDENTITAS UNIT!D9"")"),"#N/A")</f>
        <v>#N/A</v>
      </c>
      <c r="H28218" s="4" t="str">
        <v/>
      </c>
      <c r="I28218" s="4" t="str">
        <v/>
      </c>
    </row>
    <row r="28219" spans="5:9" ht="16.5" hidden="1">
      <c r="E28219" s="4" t="str">
        <v/>
      </c>
      <c r="F28219" s="102" t="str">
        <f ca="1">IFERROR(__xludf.DUMMYFUNCTION("IMPORTRANGE(H28219,""IDENTITAS UNIT!D9"")"),"#N/A")</f>
        <v>#N/A</v>
      </c>
      <c r="H28219" s="4" t="str">
        <v/>
      </c>
      <c r="I28219" s="4" t="str">
        <v/>
      </c>
    </row>
    <row r="28220" spans="5:9" ht="16.5" hidden="1">
      <c r="E28220" s="4" t="str">
        <v/>
      </c>
      <c r="F28220" s="102" t="str">
        <f ca="1">IFERROR(__xludf.DUMMYFUNCTION("IMPORTRANGE(H28220,""IDENTITAS UNIT!D9"")"),"#N/A")</f>
        <v>#N/A</v>
      </c>
      <c r="H28220" s="4" t="str">
        <v/>
      </c>
      <c r="I28220" s="4" t="str">
        <v/>
      </c>
    </row>
    <row r="28221" spans="5:9" ht="16.5" hidden="1">
      <c r="E28221" s="4" t="str">
        <v/>
      </c>
      <c r="F28221" s="102" t="str">
        <f ca="1">IFERROR(__xludf.DUMMYFUNCTION("IMPORTRANGE(H28221,""IDENTITAS UNIT!D9"")"),"#N/A")</f>
        <v>#N/A</v>
      </c>
      <c r="H28221" s="4" t="str">
        <v/>
      </c>
      <c r="I28221" s="4" t="str">
        <v/>
      </c>
    </row>
    <row r="28222" spans="5:9" ht="16.5" hidden="1">
      <c r="E28222" s="4" t="str">
        <v/>
      </c>
      <c r="F28222" s="102" t="str">
        <f ca="1">IFERROR(__xludf.DUMMYFUNCTION("IMPORTRANGE(H28222,""IDENTITAS UNIT!D9"")"),"#N/A")</f>
        <v>#N/A</v>
      </c>
      <c r="H28222" s="4" t="str">
        <v/>
      </c>
      <c r="I28222" s="4" t="str">
        <v/>
      </c>
    </row>
    <row r="28223" spans="5:9" ht="16.5" hidden="1">
      <c r="E28223" s="4" t="str">
        <v/>
      </c>
      <c r="F28223" s="102" t="str">
        <f ca="1">IFERROR(__xludf.DUMMYFUNCTION("IMPORTRANGE(H28223,""IDENTITAS UNIT!D9"")"),"#N/A")</f>
        <v>#N/A</v>
      </c>
      <c r="H28223" s="4" t="str">
        <v/>
      </c>
      <c r="I28223" s="4" t="str">
        <v/>
      </c>
    </row>
    <row r="28224" spans="5:9" ht="16.5" hidden="1">
      <c r="E28224" s="4" t="str">
        <v/>
      </c>
      <c r="F28224" s="102" t="str">
        <f ca="1">IFERROR(__xludf.DUMMYFUNCTION("IMPORTRANGE(H28224,""IDENTITAS UNIT!D9"")"),"#N/A")</f>
        <v>#N/A</v>
      </c>
      <c r="H28224" s="4" t="str">
        <v/>
      </c>
      <c r="I28224" s="4" t="str">
        <v/>
      </c>
    </row>
    <row r="28225" spans="5:9" ht="16.5" hidden="1">
      <c r="E28225" s="4" t="str">
        <v/>
      </c>
      <c r="F28225" s="102" t="str">
        <f ca="1">IFERROR(__xludf.DUMMYFUNCTION("IMPORTRANGE(H28225,""IDENTITAS UNIT!D9"")"),"#N/A")</f>
        <v>#N/A</v>
      </c>
      <c r="H28225" s="4" t="str">
        <v/>
      </c>
      <c r="I28225" s="4" t="str">
        <v/>
      </c>
    </row>
    <row r="28226" spans="5:9" ht="16.5" hidden="1">
      <c r="E28226" s="4" t="str">
        <v/>
      </c>
      <c r="F28226" s="102" t="str">
        <f ca="1">IFERROR(__xludf.DUMMYFUNCTION("IMPORTRANGE(H28226,""IDENTITAS UNIT!D9"")"),"#N/A")</f>
        <v>#N/A</v>
      </c>
      <c r="H28226" s="4" t="str">
        <v/>
      </c>
      <c r="I28226" s="4" t="str">
        <v/>
      </c>
    </row>
    <row r="28227" spans="5:9" ht="16.5" hidden="1">
      <c r="E28227" s="4" t="str">
        <v/>
      </c>
      <c r="F28227" s="102" t="str">
        <f ca="1">IFERROR(__xludf.DUMMYFUNCTION("IMPORTRANGE(H28227,""IDENTITAS UNIT!D9"")"),"#N/A")</f>
        <v>#N/A</v>
      </c>
      <c r="H28227" s="4" t="str">
        <v/>
      </c>
      <c r="I28227" s="4" t="str">
        <v/>
      </c>
    </row>
    <row r="28228" spans="5:9" ht="16.5" hidden="1">
      <c r="E28228" s="4" t="str">
        <v/>
      </c>
      <c r="F28228" s="102" t="str">
        <f ca="1">IFERROR(__xludf.DUMMYFUNCTION("IMPORTRANGE(H28228,""IDENTITAS UNIT!D9"")"),"#N/A")</f>
        <v>#N/A</v>
      </c>
      <c r="H28228" s="4" t="str">
        <v/>
      </c>
      <c r="I28228" s="4" t="str">
        <v/>
      </c>
    </row>
    <row r="28229" spans="5:9" ht="16.5" hidden="1">
      <c r="E28229" s="4" t="str">
        <v/>
      </c>
      <c r="F28229" s="102" t="str">
        <f ca="1">IFERROR(__xludf.DUMMYFUNCTION("IMPORTRANGE(H28229,""IDENTITAS UNIT!D9"")"),"#N/A")</f>
        <v>#N/A</v>
      </c>
      <c r="H28229" s="4" t="str">
        <v/>
      </c>
      <c r="I28229" s="4" t="str">
        <v/>
      </c>
    </row>
    <row r="28230" spans="5:9" ht="16.5" hidden="1">
      <c r="E28230" s="4" t="str">
        <v/>
      </c>
      <c r="F28230" s="102" t="str">
        <f ca="1">IFERROR(__xludf.DUMMYFUNCTION("IMPORTRANGE(H28230,""IDENTITAS UNIT!D9"")"),"#N/A")</f>
        <v>#N/A</v>
      </c>
      <c r="H28230" s="4" t="str">
        <v/>
      </c>
      <c r="I28230" s="4" t="str">
        <v/>
      </c>
    </row>
    <row r="28231" spans="5:9" ht="16.5" hidden="1">
      <c r="E28231" s="4" t="str">
        <v/>
      </c>
      <c r="F28231" s="102" t="str">
        <f ca="1">IFERROR(__xludf.DUMMYFUNCTION("IMPORTRANGE(H28231,""IDENTITAS UNIT!D9"")"),"#N/A")</f>
        <v>#N/A</v>
      </c>
      <c r="H28231" s="4" t="str">
        <v/>
      </c>
      <c r="I28231" s="4" t="str">
        <v/>
      </c>
    </row>
    <row r="28232" spans="5:9" ht="16.5" hidden="1">
      <c r="E28232" s="4" t="str">
        <v/>
      </c>
      <c r="F28232" s="102" t="str">
        <f ca="1">IFERROR(__xludf.DUMMYFUNCTION("IMPORTRANGE(H28232,""IDENTITAS UNIT!D9"")"),"#N/A")</f>
        <v>#N/A</v>
      </c>
      <c r="H28232" s="4" t="str">
        <v/>
      </c>
      <c r="I28232" s="4" t="str">
        <v/>
      </c>
    </row>
    <row r="28233" spans="5:9" ht="16.5" hidden="1">
      <c r="E28233" s="4" t="str">
        <v/>
      </c>
      <c r="F28233" s="102" t="str">
        <f ca="1">IFERROR(__xludf.DUMMYFUNCTION("IMPORTRANGE(H28233,""IDENTITAS UNIT!D9"")"),"#N/A")</f>
        <v>#N/A</v>
      </c>
      <c r="H28233" s="4" t="str">
        <v/>
      </c>
      <c r="I28233" s="4" t="str">
        <v/>
      </c>
    </row>
    <row r="28234" spans="5:9" ht="16.5" hidden="1">
      <c r="E28234" s="4" t="str">
        <v/>
      </c>
      <c r="F28234" s="102" t="str">
        <f ca="1">IFERROR(__xludf.DUMMYFUNCTION("IMPORTRANGE(H28234,""IDENTITAS UNIT!D9"")"),"#N/A")</f>
        <v>#N/A</v>
      </c>
      <c r="H28234" s="4" t="str">
        <v/>
      </c>
      <c r="I28234" s="4" t="str">
        <v/>
      </c>
    </row>
    <row r="28235" spans="5:9" ht="16.5" hidden="1">
      <c r="E28235" s="4" t="str">
        <v/>
      </c>
      <c r="F28235" s="102" t="str">
        <f ca="1">IFERROR(__xludf.DUMMYFUNCTION("IMPORTRANGE(H28235,""IDENTITAS UNIT!D9"")"),"#N/A")</f>
        <v>#N/A</v>
      </c>
      <c r="H28235" s="4" t="str">
        <v/>
      </c>
      <c r="I28235" s="4" t="str">
        <v/>
      </c>
    </row>
    <row r="28236" spans="5:9" ht="16.5" hidden="1">
      <c r="E28236" s="4" t="str">
        <v/>
      </c>
      <c r="F28236" s="102" t="str">
        <f ca="1">IFERROR(__xludf.DUMMYFUNCTION("IMPORTRANGE(H28236,""IDENTITAS UNIT!D9"")"),"#N/A")</f>
        <v>#N/A</v>
      </c>
      <c r="H28236" s="4" t="str">
        <v/>
      </c>
      <c r="I28236" s="4" t="str">
        <v/>
      </c>
    </row>
    <row r="28237" spans="5:9" ht="16.5" hidden="1">
      <c r="E28237" s="4" t="str">
        <v/>
      </c>
      <c r="F28237" s="102" t="str">
        <f ca="1">IFERROR(__xludf.DUMMYFUNCTION("IMPORTRANGE(H28237,""IDENTITAS UNIT!D9"")"),"#N/A")</f>
        <v>#N/A</v>
      </c>
      <c r="H28237" s="4" t="str">
        <v/>
      </c>
      <c r="I28237" s="4" t="str">
        <v/>
      </c>
    </row>
    <row r="28238" spans="5:9" ht="16.5" hidden="1">
      <c r="E28238" s="4" t="str">
        <v/>
      </c>
      <c r="F28238" s="102" t="str">
        <f ca="1">IFERROR(__xludf.DUMMYFUNCTION("IMPORTRANGE(H28238,""IDENTITAS UNIT!D9"")"),"#N/A")</f>
        <v>#N/A</v>
      </c>
      <c r="H28238" s="4" t="str">
        <v/>
      </c>
      <c r="I28238" s="4" t="str">
        <v/>
      </c>
    </row>
    <row r="28239" spans="5:9" ht="16.5" hidden="1">
      <c r="E28239" s="4" t="str">
        <v/>
      </c>
      <c r="F28239" s="102" t="str">
        <f ca="1">IFERROR(__xludf.DUMMYFUNCTION("IMPORTRANGE(H28239,""IDENTITAS UNIT!D9"")"),"#N/A")</f>
        <v>#N/A</v>
      </c>
      <c r="H28239" s="4" t="str">
        <v/>
      </c>
      <c r="I28239" s="4" t="str">
        <v/>
      </c>
    </row>
    <row r="28240" spans="5:9" ht="16.5" hidden="1">
      <c r="E28240" s="4" t="str">
        <v/>
      </c>
      <c r="F28240" s="102" t="str">
        <f ca="1">IFERROR(__xludf.DUMMYFUNCTION("IMPORTRANGE(H28240,""IDENTITAS UNIT!D9"")"),"#N/A")</f>
        <v>#N/A</v>
      </c>
      <c r="H28240" s="4" t="str">
        <v/>
      </c>
      <c r="I28240" s="4" t="str">
        <v/>
      </c>
    </row>
    <row r="28241" spans="5:9" ht="16.5" hidden="1">
      <c r="E28241" s="4" t="str">
        <v/>
      </c>
      <c r="F28241" s="102" t="str">
        <f ca="1">IFERROR(__xludf.DUMMYFUNCTION("IMPORTRANGE(H28241,""IDENTITAS UNIT!D9"")"),"#N/A")</f>
        <v>#N/A</v>
      </c>
      <c r="H28241" s="4" t="str">
        <v/>
      </c>
      <c r="I28241" s="4" t="str">
        <v/>
      </c>
    </row>
    <row r="28242" spans="5:9" ht="16.5" hidden="1">
      <c r="E28242" s="4" t="str">
        <v/>
      </c>
      <c r="F28242" s="102" t="str">
        <f ca="1">IFERROR(__xludf.DUMMYFUNCTION("IMPORTRANGE(H28242,""IDENTITAS UNIT!D9"")"),"#N/A")</f>
        <v>#N/A</v>
      </c>
      <c r="H28242" s="4" t="str">
        <v/>
      </c>
      <c r="I28242" s="4" t="str">
        <v/>
      </c>
    </row>
    <row r="28243" spans="5:9" ht="16.5" hidden="1">
      <c r="E28243" s="4" t="str">
        <v/>
      </c>
      <c r="F28243" s="102" t="str">
        <f ca="1">IFERROR(__xludf.DUMMYFUNCTION("IMPORTRANGE(H28243,""IDENTITAS UNIT!D9"")"),"#N/A")</f>
        <v>#N/A</v>
      </c>
      <c r="H28243" s="4" t="str">
        <v/>
      </c>
      <c r="I28243" s="4" t="str">
        <v/>
      </c>
    </row>
    <row r="28244" spans="5:9" ht="16.5" hidden="1">
      <c r="E28244" s="4" t="str">
        <v/>
      </c>
      <c r="F28244" s="102" t="str">
        <f ca="1">IFERROR(__xludf.DUMMYFUNCTION("IMPORTRANGE(H28244,""IDENTITAS UNIT!D9"")"),"#N/A")</f>
        <v>#N/A</v>
      </c>
      <c r="H28244" s="4" t="str">
        <v/>
      </c>
      <c r="I28244" s="4" t="str">
        <v/>
      </c>
    </row>
    <row r="28245" spans="5:9" ht="16.5" hidden="1">
      <c r="E28245" s="4" t="str">
        <v/>
      </c>
      <c r="F28245" s="102" t="str">
        <f ca="1">IFERROR(__xludf.DUMMYFUNCTION("IMPORTRANGE(H28245,""IDENTITAS UNIT!D9"")"),"#N/A")</f>
        <v>#N/A</v>
      </c>
      <c r="H28245" s="4" t="str">
        <v/>
      </c>
      <c r="I28245" s="4" t="str">
        <v/>
      </c>
    </row>
    <row r="28246" spans="5:9" ht="16.5" hidden="1">
      <c r="E28246" s="4" t="str">
        <v/>
      </c>
      <c r="F28246" s="102" t="str">
        <f ca="1">IFERROR(__xludf.DUMMYFUNCTION("IMPORTRANGE(H28246,""IDENTITAS UNIT!D9"")"),"#N/A")</f>
        <v>#N/A</v>
      </c>
      <c r="H28246" s="4" t="str">
        <v/>
      </c>
      <c r="I28246" s="4" t="str">
        <v/>
      </c>
    </row>
    <row r="28247" spans="5:9" ht="16.5" hidden="1">
      <c r="E28247" s="4" t="str">
        <v/>
      </c>
      <c r="F28247" s="102" t="str">
        <f ca="1">IFERROR(__xludf.DUMMYFUNCTION("IMPORTRANGE(H28247,""IDENTITAS UNIT!D9"")"),"#N/A")</f>
        <v>#N/A</v>
      </c>
      <c r="H28247" s="4" t="str">
        <v/>
      </c>
      <c r="I28247" s="4" t="str">
        <v/>
      </c>
    </row>
    <row r="28248" spans="5:9" ht="16.5" hidden="1">
      <c r="E28248" s="4" t="str">
        <v/>
      </c>
      <c r="F28248" s="102" t="str">
        <f ca="1">IFERROR(__xludf.DUMMYFUNCTION("IMPORTRANGE(H28248,""IDENTITAS UNIT!D9"")"),"#N/A")</f>
        <v>#N/A</v>
      </c>
      <c r="H28248" s="4" t="str">
        <v/>
      </c>
      <c r="I28248" s="4" t="str">
        <v/>
      </c>
    </row>
    <row r="28249" spans="5:9" ht="16.5" hidden="1">
      <c r="E28249" s="4" t="str">
        <v/>
      </c>
      <c r="F28249" s="102" t="str">
        <f ca="1">IFERROR(__xludf.DUMMYFUNCTION("IMPORTRANGE(H28249,""IDENTITAS UNIT!D9"")"),"#N/A")</f>
        <v>#N/A</v>
      </c>
      <c r="H28249" s="4" t="str">
        <v/>
      </c>
      <c r="I28249" s="4" t="str">
        <v/>
      </c>
    </row>
    <row r="28250" spans="5:9" ht="16.5" hidden="1">
      <c r="E28250" s="4" t="str">
        <v/>
      </c>
      <c r="F28250" s="102" t="str">
        <f ca="1">IFERROR(__xludf.DUMMYFUNCTION("IMPORTRANGE(H28250,""IDENTITAS UNIT!D9"")"),"#N/A")</f>
        <v>#N/A</v>
      </c>
      <c r="H28250" s="4" t="str">
        <v/>
      </c>
      <c r="I28250" s="4" t="str">
        <v/>
      </c>
    </row>
    <row r="28251" spans="5:9" ht="16.5" hidden="1">
      <c r="E28251" s="4" t="str">
        <v/>
      </c>
      <c r="F28251" s="102" t="str">
        <f ca="1">IFERROR(__xludf.DUMMYFUNCTION("IMPORTRANGE(H28251,""IDENTITAS UNIT!D9"")"),"#N/A")</f>
        <v>#N/A</v>
      </c>
      <c r="H28251" s="4" t="str">
        <v/>
      </c>
      <c r="I28251" s="4" t="str">
        <v/>
      </c>
    </row>
    <row r="28252" spans="5:9" ht="16.5" hidden="1">
      <c r="E28252" s="4" t="str">
        <v/>
      </c>
      <c r="F28252" s="102" t="str">
        <f ca="1">IFERROR(__xludf.DUMMYFUNCTION("IMPORTRANGE(H28252,""IDENTITAS UNIT!D9"")"),"#N/A")</f>
        <v>#N/A</v>
      </c>
      <c r="H28252" s="4" t="str">
        <v/>
      </c>
      <c r="I28252" s="4" t="str">
        <v/>
      </c>
    </row>
    <row r="28253" spans="5:9" ht="16.5" hidden="1">
      <c r="E28253" s="4" t="str">
        <v/>
      </c>
      <c r="F28253" s="102" t="str">
        <f ca="1">IFERROR(__xludf.DUMMYFUNCTION("IMPORTRANGE(H28253,""IDENTITAS UNIT!D9"")"),"#N/A")</f>
        <v>#N/A</v>
      </c>
      <c r="H28253" s="4" t="str">
        <v/>
      </c>
      <c r="I28253" s="4" t="str">
        <v/>
      </c>
    </row>
    <row r="28254" spans="5:9" ht="16.5" hidden="1">
      <c r="E28254" s="4" t="str">
        <v/>
      </c>
      <c r="F28254" s="102" t="str">
        <f ca="1">IFERROR(__xludf.DUMMYFUNCTION("IMPORTRANGE(H28254,""IDENTITAS UNIT!D9"")"),"#N/A")</f>
        <v>#N/A</v>
      </c>
      <c r="H28254" s="4" t="str">
        <v/>
      </c>
      <c r="I28254" s="4" t="str">
        <v/>
      </c>
    </row>
    <row r="28255" spans="5:9" ht="16.5" hidden="1">
      <c r="E28255" s="4" t="str">
        <v/>
      </c>
      <c r="F28255" s="102" t="str">
        <f ca="1">IFERROR(__xludf.DUMMYFUNCTION("IMPORTRANGE(H28255,""IDENTITAS UNIT!D9"")"),"#N/A")</f>
        <v>#N/A</v>
      </c>
      <c r="H28255" s="4" t="str">
        <v/>
      </c>
      <c r="I28255" s="4" t="str">
        <v/>
      </c>
    </row>
    <row r="28256" spans="5:9" ht="16.5" hidden="1">
      <c r="E28256" s="4" t="str">
        <v/>
      </c>
      <c r="F28256" s="102" t="str">
        <f ca="1">IFERROR(__xludf.DUMMYFUNCTION("IMPORTRANGE(H28256,""IDENTITAS UNIT!D9"")"),"#N/A")</f>
        <v>#N/A</v>
      </c>
      <c r="H28256" s="4" t="str">
        <v/>
      </c>
      <c r="I28256" s="4" t="str">
        <v/>
      </c>
    </row>
    <row r="28257" spans="5:9" ht="16.5" hidden="1">
      <c r="E28257" s="4" t="str">
        <v/>
      </c>
      <c r="F28257" s="102" t="str">
        <f ca="1">IFERROR(__xludf.DUMMYFUNCTION("IMPORTRANGE(H28257,""IDENTITAS UNIT!D9"")"),"#N/A")</f>
        <v>#N/A</v>
      </c>
      <c r="H28257" s="4" t="str">
        <v/>
      </c>
      <c r="I28257" s="4" t="str">
        <v/>
      </c>
    </row>
    <row r="28258" spans="5:9" ht="16.5" hidden="1">
      <c r="E28258" s="4" t="str">
        <v/>
      </c>
      <c r="F28258" s="102" t="str">
        <f ca="1">IFERROR(__xludf.DUMMYFUNCTION("IMPORTRANGE(H28258,""IDENTITAS UNIT!D9"")"),"#N/A")</f>
        <v>#N/A</v>
      </c>
      <c r="H28258" s="4" t="str">
        <v/>
      </c>
      <c r="I28258" s="4" t="str">
        <v/>
      </c>
    </row>
    <row r="28259" spans="5:9" ht="16.5" hidden="1">
      <c r="E28259" s="4" t="str">
        <v/>
      </c>
      <c r="F28259" s="102" t="str">
        <f ca="1">IFERROR(__xludf.DUMMYFUNCTION("IMPORTRANGE(H28259,""IDENTITAS UNIT!D9"")"),"#N/A")</f>
        <v>#N/A</v>
      </c>
      <c r="H28259" s="4" t="str">
        <v/>
      </c>
      <c r="I28259" s="4" t="str">
        <v/>
      </c>
    </row>
    <row r="28260" spans="5:9" ht="16.5" hidden="1">
      <c r="E28260" s="4" t="str">
        <v/>
      </c>
      <c r="F28260" s="102" t="str">
        <f ca="1">IFERROR(__xludf.DUMMYFUNCTION("IMPORTRANGE(H28260,""IDENTITAS UNIT!D9"")"),"#N/A")</f>
        <v>#N/A</v>
      </c>
      <c r="H28260" s="4" t="str">
        <v/>
      </c>
      <c r="I28260" s="4" t="str">
        <v/>
      </c>
    </row>
    <row r="28261" spans="5:9" ht="16.5" hidden="1">
      <c r="E28261" s="4" t="str">
        <v/>
      </c>
      <c r="F28261" s="102" t="str">
        <f ca="1">IFERROR(__xludf.DUMMYFUNCTION("IMPORTRANGE(H28261,""IDENTITAS UNIT!D9"")"),"#N/A")</f>
        <v>#N/A</v>
      </c>
      <c r="H28261" s="4" t="str">
        <v/>
      </c>
      <c r="I28261" s="4" t="str">
        <v/>
      </c>
    </row>
    <row r="28262" spans="5:9" ht="16.5" hidden="1">
      <c r="E28262" s="4" t="str">
        <v/>
      </c>
      <c r="F28262" s="102" t="str">
        <f ca="1">IFERROR(__xludf.DUMMYFUNCTION("IMPORTRANGE(H28262,""IDENTITAS UNIT!D9"")"),"#N/A")</f>
        <v>#N/A</v>
      </c>
      <c r="H28262" s="4" t="str">
        <v/>
      </c>
      <c r="I28262" s="4" t="str">
        <v/>
      </c>
    </row>
    <row r="28263" spans="5:9" ht="16.5" hidden="1">
      <c r="E28263" s="4" t="str">
        <v/>
      </c>
      <c r="F28263" s="102" t="str">
        <f ca="1">IFERROR(__xludf.DUMMYFUNCTION("IMPORTRANGE(H28263,""IDENTITAS UNIT!D9"")"),"#N/A")</f>
        <v>#N/A</v>
      </c>
      <c r="H28263" s="4" t="str">
        <v/>
      </c>
      <c r="I28263" s="4" t="str">
        <v/>
      </c>
    </row>
    <row r="28264" spans="5:9" ht="16.5" hidden="1">
      <c r="E28264" s="4" t="str">
        <v/>
      </c>
      <c r="F28264" s="102" t="str">
        <f ca="1">IFERROR(__xludf.DUMMYFUNCTION("IMPORTRANGE(H28264,""IDENTITAS UNIT!D9"")"),"#N/A")</f>
        <v>#N/A</v>
      </c>
      <c r="H28264" s="4" t="str">
        <v/>
      </c>
      <c r="I28264" s="4" t="str">
        <v/>
      </c>
    </row>
    <row r="28265" spans="5:9" ht="16.5" hidden="1">
      <c r="E28265" s="4" t="str">
        <v/>
      </c>
      <c r="F28265" s="102" t="str">
        <f ca="1">IFERROR(__xludf.DUMMYFUNCTION("IMPORTRANGE(H28265,""IDENTITAS UNIT!D9"")"),"#N/A")</f>
        <v>#N/A</v>
      </c>
      <c r="H28265" s="4" t="str">
        <v/>
      </c>
      <c r="I28265" s="4" t="str">
        <v/>
      </c>
    </row>
    <row r="28266" spans="5:9" ht="16.5" hidden="1">
      <c r="E28266" s="4" t="str">
        <v/>
      </c>
      <c r="F28266" s="102" t="str">
        <f ca="1">IFERROR(__xludf.DUMMYFUNCTION("IMPORTRANGE(H28266,""IDENTITAS UNIT!D9"")"),"#N/A")</f>
        <v>#N/A</v>
      </c>
      <c r="H28266" s="4" t="str">
        <v/>
      </c>
      <c r="I28266" s="4" t="str">
        <v/>
      </c>
    </row>
    <row r="28267" spans="5:9" ht="16.5" hidden="1">
      <c r="E28267" s="4" t="str">
        <v/>
      </c>
      <c r="F28267" s="102" t="str">
        <f ca="1">IFERROR(__xludf.DUMMYFUNCTION("IMPORTRANGE(H28267,""IDENTITAS UNIT!D9"")"),"#N/A")</f>
        <v>#N/A</v>
      </c>
      <c r="H28267" s="4" t="str">
        <v/>
      </c>
      <c r="I28267" s="4" t="str">
        <v/>
      </c>
    </row>
    <row r="28268" spans="5:9" ht="16.5" hidden="1">
      <c r="E28268" s="4" t="str">
        <v/>
      </c>
      <c r="F28268" s="102" t="str">
        <f ca="1">IFERROR(__xludf.DUMMYFUNCTION("IMPORTRANGE(H28268,""IDENTITAS UNIT!D9"")"),"#N/A")</f>
        <v>#N/A</v>
      </c>
      <c r="H28268" s="4" t="str">
        <v/>
      </c>
      <c r="I28268" s="4" t="str">
        <v/>
      </c>
    </row>
    <row r="28269" spans="5:9" ht="16.5" hidden="1">
      <c r="E28269" s="4" t="str">
        <v/>
      </c>
      <c r="F28269" s="102" t="str">
        <f ca="1">IFERROR(__xludf.DUMMYFUNCTION("IMPORTRANGE(H28269,""IDENTITAS UNIT!D9"")"),"#N/A")</f>
        <v>#N/A</v>
      </c>
      <c r="H28269" s="4" t="str">
        <v/>
      </c>
      <c r="I28269" s="4" t="str">
        <v/>
      </c>
    </row>
    <row r="28270" spans="5:9" ht="16.5" hidden="1">
      <c r="E28270" s="4" t="str">
        <v/>
      </c>
      <c r="F28270" s="102" t="str">
        <f ca="1">IFERROR(__xludf.DUMMYFUNCTION("IMPORTRANGE(H28270,""IDENTITAS UNIT!D9"")"),"#N/A")</f>
        <v>#N/A</v>
      </c>
      <c r="H28270" s="4" t="str">
        <v/>
      </c>
      <c r="I28270" s="4" t="str">
        <v/>
      </c>
    </row>
    <row r="28271" spans="5:9" ht="16.5" hidden="1">
      <c r="E28271" s="4" t="str">
        <v/>
      </c>
      <c r="F28271" s="102" t="str">
        <f ca="1">IFERROR(__xludf.DUMMYFUNCTION("IMPORTRANGE(H28271,""IDENTITAS UNIT!D9"")"),"#N/A")</f>
        <v>#N/A</v>
      </c>
      <c r="H28271" s="4" t="str">
        <v/>
      </c>
      <c r="I28271" s="4" t="str">
        <v/>
      </c>
    </row>
    <row r="28272" spans="5:9" ht="16.5" hidden="1">
      <c r="E28272" s="4" t="str">
        <v/>
      </c>
      <c r="F28272" s="102" t="str">
        <f ca="1">IFERROR(__xludf.DUMMYFUNCTION("IMPORTRANGE(H28272,""IDENTITAS UNIT!D9"")"),"#N/A")</f>
        <v>#N/A</v>
      </c>
      <c r="H28272" s="4" t="str">
        <v/>
      </c>
      <c r="I28272" s="4" t="str">
        <v/>
      </c>
    </row>
    <row r="28273" spans="5:9" ht="16.5" hidden="1">
      <c r="E28273" s="4" t="str">
        <v/>
      </c>
      <c r="F28273" s="102" t="str">
        <f ca="1">IFERROR(__xludf.DUMMYFUNCTION("IMPORTRANGE(H28273,""IDENTITAS UNIT!D9"")"),"#N/A")</f>
        <v>#N/A</v>
      </c>
      <c r="H28273" s="4" t="str">
        <v/>
      </c>
      <c r="I28273" s="4" t="str">
        <v/>
      </c>
    </row>
    <row r="28274" spans="5:9" ht="16.5" hidden="1">
      <c r="E28274" s="4" t="str">
        <v/>
      </c>
      <c r="F28274" s="102" t="str">
        <f ca="1">IFERROR(__xludf.DUMMYFUNCTION("IMPORTRANGE(H28274,""IDENTITAS UNIT!D9"")"),"#N/A")</f>
        <v>#N/A</v>
      </c>
      <c r="H28274" s="4" t="str">
        <v/>
      </c>
      <c r="I28274" s="4" t="str">
        <v/>
      </c>
    </row>
    <row r="28275" spans="5:9" ht="16.5" hidden="1">
      <c r="E28275" s="4" t="str">
        <v/>
      </c>
      <c r="F28275" s="102" t="str">
        <f ca="1">IFERROR(__xludf.DUMMYFUNCTION("IMPORTRANGE(H28275,""IDENTITAS UNIT!D9"")"),"#N/A")</f>
        <v>#N/A</v>
      </c>
      <c r="H28275" s="4" t="str">
        <v/>
      </c>
      <c r="I28275" s="4" t="str">
        <v/>
      </c>
    </row>
    <row r="28276" spans="5:9" ht="16.5" hidden="1">
      <c r="E28276" s="4" t="str">
        <v/>
      </c>
      <c r="F28276" s="102" t="str">
        <f ca="1">IFERROR(__xludf.DUMMYFUNCTION("IMPORTRANGE(H28276,""IDENTITAS UNIT!D9"")"),"#N/A")</f>
        <v>#N/A</v>
      </c>
      <c r="H28276" s="4" t="str">
        <v/>
      </c>
      <c r="I28276" s="4" t="str">
        <v/>
      </c>
    </row>
    <row r="28277" spans="5:9" ht="16.5" hidden="1">
      <c r="E28277" s="4" t="str">
        <v/>
      </c>
      <c r="F28277" s="102" t="str">
        <f ca="1">IFERROR(__xludf.DUMMYFUNCTION("IMPORTRANGE(H28277,""IDENTITAS UNIT!D9"")"),"#N/A")</f>
        <v>#N/A</v>
      </c>
      <c r="H28277" s="4" t="str">
        <v/>
      </c>
      <c r="I28277" s="4" t="str">
        <v/>
      </c>
    </row>
    <row r="28278" spans="5:9" ht="16.5" hidden="1">
      <c r="E28278" s="4" t="str">
        <v/>
      </c>
      <c r="F28278" s="102" t="str">
        <f ca="1">IFERROR(__xludf.DUMMYFUNCTION("IMPORTRANGE(H28278,""IDENTITAS UNIT!D9"")"),"#N/A")</f>
        <v>#N/A</v>
      </c>
      <c r="H28278" s="4" t="str">
        <v/>
      </c>
      <c r="I28278" s="4" t="str">
        <v/>
      </c>
    </row>
    <row r="28279" spans="5:9" ht="16.5" hidden="1">
      <c r="E28279" s="4" t="str">
        <v/>
      </c>
      <c r="F28279" s="102" t="str">
        <f ca="1">IFERROR(__xludf.DUMMYFUNCTION("IMPORTRANGE(H28279,""IDENTITAS UNIT!D9"")"),"#N/A")</f>
        <v>#N/A</v>
      </c>
      <c r="H28279" s="4" t="str">
        <v/>
      </c>
      <c r="I28279" s="4" t="str">
        <v/>
      </c>
    </row>
    <row r="28280" spans="5:9" ht="16.5" hidden="1">
      <c r="E28280" s="4" t="str">
        <v/>
      </c>
      <c r="F28280" s="102" t="str">
        <f ca="1">IFERROR(__xludf.DUMMYFUNCTION("IMPORTRANGE(H28280,""IDENTITAS UNIT!D9"")"),"#N/A")</f>
        <v>#N/A</v>
      </c>
      <c r="H28280" s="4" t="str">
        <v/>
      </c>
      <c r="I28280" s="4" t="str">
        <v/>
      </c>
    </row>
    <row r="28281" spans="5:9" ht="16.5" hidden="1">
      <c r="E28281" s="4" t="str">
        <v/>
      </c>
      <c r="F28281" s="102" t="str">
        <f ca="1">IFERROR(__xludf.DUMMYFUNCTION("IMPORTRANGE(H28281,""IDENTITAS UNIT!D9"")"),"#N/A")</f>
        <v>#N/A</v>
      </c>
      <c r="H28281" s="4" t="str">
        <v/>
      </c>
      <c r="I28281" s="4" t="str">
        <v/>
      </c>
    </row>
    <row r="28282" spans="5:9" ht="16.5" hidden="1">
      <c r="E28282" s="4" t="str">
        <v/>
      </c>
      <c r="F28282" s="102" t="str">
        <f ca="1">IFERROR(__xludf.DUMMYFUNCTION("IMPORTRANGE(H28282,""IDENTITAS UNIT!D9"")"),"#N/A")</f>
        <v>#N/A</v>
      </c>
      <c r="H28282" s="4" t="str">
        <v/>
      </c>
      <c r="I28282" s="4" t="str">
        <v/>
      </c>
    </row>
    <row r="28283" spans="5:9" ht="16.5" hidden="1">
      <c r="E28283" s="4" t="str">
        <v/>
      </c>
      <c r="F28283" s="102" t="str">
        <f ca="1">IFERROR(__xludf.DUMMYFUNCTION("IMPORTRANGE(H28283,""IDENTITAS UNIT!D9"")"),"#N/A")</f>
        <v>#N/A</v>
      </c>
      <c r="H28283" s="4" t="str">
        <v/>
      </c>
      <c r="I28283" s="4" t="str">
        <v/>
      </c>
    </row>
    <row r="28284" spans="5:9" ht="16.5" hidden="1">
      <c r="E28284" s="4" t="str">
        <v/>
      </c>
      <c r="F28284" s="102" t="str">
        <f ca="1">IFERROR(__xludf.DUMMYFUNCTION("IMPORTRANGE(H28284,""IDENTITAS UNIT!D9"")"),"#N/A")</f>
        <v>#N/A</v>
      </c>
      <c r="H28284" s="4" t="str">
        <v/>
      </c>
      <c r="I28284" s="4" t="str">
        <v/>
      </c>
    </row>
    <row r="28285" spans="5:9" ht="16.5" hidden="1">
      <c r="E28285" s="4" t="str">
        <v/>
      </c>
      <c r="F28285" s="102" t="str">
        <f ca="1">IFERROR(__xludf.DUMMYFUNCTION("IMPORTRANGE(H28285,""IDENTITAS UNIT!D9"")"),"#N/A")</f>
        <v>#N/A</v>
      </c>
      <c r="H28285" s="4" t="str">
        <v/>
      </c>
      <c r="I28285" s="4" t="str">
        <v/>
      </c>
    </row>
    <row r="28286" spans="5:9" ht="16.5" hidden="1">
      <c r="E28286" s="4" t="str">
        <v/>
      </c>
      <c r="F28286" s="102" t="str">
        <f ca="1">IFERROR(__xludf.DUMMYFUNCTION("IMPORTRANGE(H28286,""IDENTITAS UNIT!D9"")"),"#N/A")</f>
        <v>#N/A</v>
      </c>
      <c r="H28286" s="4" t="str">
        <v/>
      </c>
      <c r="I28286" s="4" t="str">
        <v/>
      </c>
    </row>
    <row r="28287" spans="5:9" ht="16.5" hidden="1">
      <c r="E28287" s="4" t="str">
        <v/>
      </c>
      <c r="F28287" s="102" t="str">
        <f ca="1">IFERROR(__xludf.DUMMYFUNCTION("IMPORTRANGE(H28287,""IDENTITAS UNIT!D9"")"),"#N/A")</f>
        <v>#N/A</v>
      </c>
      <c r="H28287" s="4" t="str">
        <v/>
      </c>
      <c r="I28287" s="4" t="str">
        <v/>
      </c>
    </row>
    <row r="28288" spans="5:9" ht="16.5" hidden="1">
      <c r="E28288" s="4" t="str">
        <v/>
      </c>
      <c r="F28288" s="102" t="str">
        <f ca="1">IFERROR(__xludf.DUMMYFUNCTION("IMPORTRANGE(H28288,""IDENTITAS UNIT!D9"")"),"#N/A")</f>
        <v>#N/A</v>
      </c>
      <c r="H28288" s="4" t="str">
        <v/>
      </c>
      <c r="I28288" s="4" t="str">
        <v/>
      </c>
    </row>
    <row r="28289" spans="5:9" ht="16.5" hidden="1">
      <c r="E28289" s="4" t="str">
        <v/>
      </c>
      <c r="F28289" s="102" t="str">
        <f ca="1">IFERROR(__xludf.DUMMYFUNCTION("IMPORTRANGE(H28289,""IDENTITAS UNIT!D9"")"),"#N/A")</f>
        <v>#N/A</v>
      </c>
      <c r="H28289" s="4" t="str">
        <v/>
      </c>
      <c r="I28289" s="4" t="str">
        <v/>
      </c>
    </row>
    <row r="28290" spans="5:9" ht="16.5" hidden="1">
      <c r="E28290" s="4" t="str">
        <v/>
      </c>
      <c r="F28290" s="102" t="str">
        <f ca="1">IFERROR(__xludf.DUMMYFUNCTION("IMPORTRANGE(H28290,""IDENTITAS UNIT!D9"")"),"#N/A")</f>
        <v>#N/A</v>
      </c>
      <c r="H28290" s="4" t="str">
        <v/>
      </c>
      <c r="I28290" s="4" t="str">
        <v/>
      </c>
    </row>
    <row r="28291" spans="5:9" ht="16.5" hidden="1">
      <c r="E28291" s="4" t="str">
        <v/>
      </c>
      <c r="F28291" s="102" t="str">
        <f ca="1">IFERROR(__xludf.DUMMYFUNCTION("IMPORTRANGE(H28291,""IDENTITAS UNIT!D9"")"),"#N/A")</f>
        <v>#N/A</v>
      </c>
      <c r="H28291" s="4" t="str">
        <v/>
      </c>
      <c r="I28291" s="4" t="str">
        <v/>
      </c>
    </row>
    <row r="28292" spans="5:9" ht="16.5" hidden="1">
      <c r="E28292" s="4" t="str">
        <v/>
      </c>
      <c r="F28292" s="102" t="str">
        <f ca="1">IFERROR(__xludf.DUMMYFUNCTION("IMPORTRANGE(H28292,""IDENTITAS UNIT!D9"")"),"#N/A")</f>
        <v>#N/A</v>
      </c>
      <c r="H28292" s="4" t="str">
        <v/>
      </c>
      <c r="I28292" s="4" t="str">
        <v/>
      </c>
    </row>
    <row r="28293" spans="5:9" ht="16.5" hidden="1">
      <c r="E28293" s="4" t="str">
        <v/>
      </c>
      <c r="F28293" s="102" t="str">
        <f ca="1">IFERROR(__xludf.DUMMYFUNCTION("IMPORTRANGE(H28293,""IDENTITAS UNIT!D9"")"),"#N/A")</f>
        <v>#N/A</v>
      </c>
      <c r="H28293" s="4" t="str">
        <v/>
      </c>
      <c r="I28293" s="4" t="str">
        <v/>
      </c>
    </row>
    <row r="28294" spans="5:9" ht="16.5" hidden="1">
      <c r="E28294" s="4" t="str">
        <v/>
      </c>
      <c r="F28294" s="102" t="str">
        <f ca="1">IFERROR(__xludf.DUMMYFUNCTION("IMPORTRANGE(H28294,""IDENTITAS UNIT!D9"")"),"#N/A")</f>
        <v>#N/A</v>
      </c>
      <c r="H28294" s="4" t="str">
        <v/>
      </c>
      <c r="I28294" s="4" t="str">
        <v/>
      </c>
    </row>
    <row r="28295" spans="5:9" ht="16.5" hidden="1">
      <c r="E28295" s="4" t="str">
        <v/>
      </c>
      <c r="F28295" s="102" t="str">
        <f ca="1">IFERROR(__xludf.DUMMYFUNCTION("IMPORTRANGE(H28295,""IDENTITAS UNIT!D9"")"),"#N/A")</f>
        <v>#N/A</v>
      </c>
      <c r="H28295" s="4" t="str">
        <v/>
      </c>
      <c r="I28295" s="4" t="str">
        <v/>
      </c>
    </row>
    <row r="28296" spans="5:9" ht="16.5" hidden="1">
      <c r="E28296" s="4" t="str">
        <v/>
      </c>
      <c r="F28296" s="102" t="str">
        <f ca="1">IFERROR(__xludf.DUMMYFUNCTION("IMPORTRANGE(H28296,""IDENTITAS UNIT!D9"")"),"#N/A")</f>
        <v>#N/A</v>
      </c>
      <c r="H28296" s="4" t="str">
        <v/>
      </c>
      <c r="I28296" s="4" t="str">
        <v/>
      </c>
    </row>
    <row r="28297" spans="5:9" ht="16.5" hidden="1">
      <c r="E28297" s="4" t="str">
        <v/>
      </c>
      <c r="F28297" s="102" t="str">
        <f ca="1">IFERROR(__xludf.DUMMYFUNCTION("IMPORTRANGE(H28297,""IDENTITAS UNIT!D9"")"),"#N/A")</f>
        <v>#N/A</v>
      </c>
      <c r="H28297" s="4" t="str">
        <v/>
      </c>
      <c r="I28297" s="4" t="str">
        <v/>
      </c>
    </row>
    <row r="28298" spans="5:9" ht="16.5" hidden="1">
      <c r="E28298" s="4" t="str">
        <v/>
      </c>
      <c r="F28298" s="102" t="str">
        <f ca="1">IFERROR(__xludf.DUMMYFUNCTION("IMPORTRANGE(H28298,""IDENTITAS UNIT!D9"")"),"#N/A")</f>
        <v>#N/A</v>
      </c>
      <c r="H28298" s="4" t="str">
        <v/>
      </c>
      <c r="I28298" s="4" t="str">
        <v/>
      </c>
    </row>
    <row r="28299" spans="5:9" ht="16.5" hidden="1">
      <c r="E28299" s="4" t="str">
        <v/>
      </c>
      <c r="F28299" s="102" t="str">
        <f ca="1">IFERROR(__xludf.DUMMYFUNCTION("IMPORTRANGE(H28299,""IDENTITAS UNIT!D9"")"),"#N/A")</f>
        <v>#N/A</v>
      </c>
      <c r="H28299" s="4" t="str">
        <v/>
      </c>
      <c r="I28299" s="4" t="str">
        <v/>
      </c>
    </row>
    <row r="28300" spans="5:9" ht="16.5" hidden="1">
      <c r="E28300" s="4" t="str">
        <v/>
      </c>
      <c r="F28300" s="102" t="str">
        <f ca="1">IFERROR(__xludf.DUMMYFUNCTION("IMPORTRANGE(H28300,""IDENTITAS UNIT!D9"")"),"#N/A")</f>
        <v>#N/A</v>
      </c>
      <c r="H28300" s="4" t="str">
        <v/>
      </c>
      <c r="I28300" s="4" t="str">
        <v/>
      </c>
    </row>
    <row r="28301" spans="5:9" ht="16.5" hidden="1">
      <c r="E28301" s="4" t="str">
        <v/>
      </c>
      <c r="F28301" s="102" t="str">
        <f ca="1">IFERROR(__xludf.DUMMYFUNCTION("IMPORTRANGE(H28301,""IDENTITAS UNIT!D9"")"),"#N/A")</f>
        <v>#N/A</v>
      </c>
      <c r="H28301" s="4" t="str">
        <v/>
      </c>
      <c r="I28301" s="4" t="str">
        <v/>
      </c>
    </row>
    <row r="28302" spans="5:9" ht="16.5" hidden="1">
      <c r="E28302" s="4" t="str">
        <v/>
      </c>
      <c r="F28302" s="102" t="str">
        <f ca="1">IFERROR(__xludf.DUMMYFUNCTION("IMPORTRANGE(H28302,""IDENTITAS UNIT!D9"")"),"#N/A")</f>
        <v>#N/A</v>
      </c>
      <c r="H28302" s="4" t="str">
        <v/>
      </c>
      <c r="I28302" s="4" t="str">
        <v/>
      </c>
    </row>
    <row r="28303" spans="5:9" ht="16.5" hidden="1">
      <c r="E28303" s="4" t="str">
        <v/>
      </c>
      <c r="F28303" s="102" t="str">
        <f ca="1">IFERROR(__xludf.DUMMYFUNCTION("IMPORTRANGE(H28303,""IDENTITAS UNIT!D9"")"),"#N/A")</f>
        <v>#N/A</v>
      </c>
      <c r="H28303" s="4" t="str">
        <v/>
      </c>
      <c r="I28303" s="4" t="str">
        <v/>
      </c>
    </row>
    <row r="28304" spans="5:9" ht="16.5" hidden="1">
      <c r="E28304" s="4" t="str">
        <v/>
      </c>
      <c r="F28304" s="102" t="str">
        <f ca="1">IFERROR(__xludf.DUMMYFUNCTION("IMPORTRANGE(H28304,""IDENTITAS UNIT!D9"")"),"#N/A")</f>
        <v>#N/A</v>
      </c>
      <c r="H28304" s="4" t="str">
        <v/>
      </c>
      <c r="I28304" s="4" t="str">
        <v/>
      </c>
    </row>
    <row r="28305" spans="5:9" ht="16.5" hidden="1">
      <c r="E28305" s="4" t="str">
        <v/>
      </c>
      <c r="F28305" s="102" t="str">
        <f ca="1">IFERROR(__xludf.DUMMYFUNCTION("IMPORTRANGE(H28305,""IDENTITAS UNIT!D9"")"),"#N/A")</f>
        <v>#N/A</v>
      </c>
      <c r="H28305" s="4" t="str">
        <v/>
      </c>
      <c r="I28305" s="4" t="str">
        <v/>
      </c>
    </row>
    <row r="28306" spans="5:9" ht="16.5" hidden="1">
      <c r="E28306" s="4" t="str">
        <v/>
      </c>
      <c r="F28306" s="102" t="str">
        <f ca="1">IFERROR(__xludf.DUMMYFUNCTION("IMPORTRANGE(H28306,""IDENTITAS UNIT!D9"")"),"#N/A")</f>
        <v>#N/A</v>
      </c>
      <c r="H28306" s="4" t="str">
        <v/>
      </c>
      <c r="I28306" s="4" t="str">
        <v/>
      </c>
    </row>
    <row r="28307" spans="5:9" ht="16.5" hidden="1">
      <c r="E28307" s="4" t="str">
        <v/>
      </c>
      <c r="F28307" s="102" t="str">
        <f ca="1">IFERROR(__xludf.DUMMYFUNCTION("IMPORTRANGE(H28307,""IDENTITAS UNIT!D9"")"),"#N/A")</f>
        <v>#N/A</v>
      </c>
      <c r="H28307" s="4" t="str">
        <v/>
      </c>
      <c r="I28307" s="4" t="str">
        <v/>
      </c>
    </row>
    <row r="28308" spans="5:9" ht="16.5" hidden="1">
      <c r="E28308" s="4" t="str">
        <v/>
      </c>
      <c r="F28308" s="102" t="str">
        <f ca="1">IFERROR(__xludf.DUMMYFUNCTION("IMPORTRANGE(H28308,""IDENTITAS UNIT!D9"")"),"#N/A")</f>
        <v>#N/A</v>
      </c>
      <c r="H28308" s="4" t="str">
        <v/>
      </c>
      <c r="I28308" s="4" t="str">
        <v/>
      </c>
    </row>
    <row r="28309" spans="5:9" ht="16.5" hidden="1">
      <c r="E28309" s="4" t="str">
        <v/>
      </c>
      <c r="F28309" s="102" t="str">
        <f ca="1">IFERROR(__xludf.DUMMYFUNCTION("IMPORTRANGE(H28309,""IDENTITAS UNIT!D9"")"),"#N/A")</f>
        <v>#N/A</v>
      </c>
      <c r="H28309" s="4" t="str">
        <v/>
      </c>
      <c r="I28309" s="4" t="str">
        <v/>
      </c>
    </row>
    <row r="28310" spans="5:9" ht="16.5" hidden="1">
      <c r="E28310" s="4" t="str">
        <v/>
      </c>
      <c r="F28310" s="102" t="str">
        <f ca="1">IFERROR(__xludf.DUMMYFUNCTION("IMPORTRANGE(H28310,""IDENTITAS UNIT!D9"")"),"#N/A")</f>
        <v>#N/A</v>
      </c>
      <c r="H28310" s="4" t="str">
        <v/>
      </c>
      <c r="I28310" s="4" t="str">
        <v/>
      </c>
    </row>
    <row r="28311" spans="5:9" ht="16.5" hidden="1">
      <c r="E28311" s="4" t="str">
        <v/>
      </c>
      <c r="F28311" s="102" t="str">
        <f ca="1">IFERROR(__xludf.DUMMYFUNCTION("IMPORTRANGE(H28311,""IDENTITAS UNIT!D9"")"),"#N/A")</f>
        <v>#N/A</v>
      </c>
      <c r="H28311" s="4" t="str">
        <v/>
      </c>
      <c r="I28311" s="4" t="str">
        <v/>
      </c>
    </row>
    <row r="28312" spans="5:9" ht="16.5" hidden="1">
      <c r="E28312" s="4" t="str">
        <v/>
      </c>
      <c r="F28312" s="102" t="str">
        <f ca="1">IFERROR(__xludf.DUMMYFUNCTION("IMPORTRANGE(H28312,""IDENTITAS UNIT!D9"")"),"#N/A")</f>
        <v>#N/A</v>
      </c>
      <c r="H28312" s="4" t="str">
        <v/>
      </c>
      <c r="I28312" s="4" t="str">
        <v/>
      </c>
    </row>
    <row r="28313" spans="5:9" ht="16.5" hidden="1">
      <c r="E28313" s="4" t="str">
        <v/>
      </c>
      <c r="F28313" s="102" t="str">
        <f ca="1">IFERROR(__xludf.DUMMYFUNCTION("IMPORTRANGE(H28313,""IDENTITAS UNIT!D9"")"),"#N/A")</f>
        <v>#N/A</v>
      </c>
      <c r="H28313" s="4" t="str">
        <v/>
      </c>
      <c r="I28313" s="4" t="str">
        <v/>
      </c>
    </row>
    <row r="28314" spans="5:9" ht="16.5" hidden="1">
      <c r="E28314" s="4" t="str">
        <v/>
      </c>
      <c r="F28314" s="102" t="str">
        <f ca="1">IFERROR(__xludf.DUMMYFUNCTION("IMPORTRANGE(H28314,""IDENTITAS UNIT!D9"")"),"#N/A")</f>
        <v>#N/A</v>
      </c>
      <c r="H28314" s="4" t="str">
        <v/>
      </c>
      <c r="I28314" s="4" t="str">
        <v/>
      </c>
    </row>
    <row r="28315" spans="5:9" ht="16.5" hidden="1">
      <c r="E28315" s="4" t="str">
        <v/>
      </c>
      <c r="F28315" s="102" t="str">
        <f ca="1">IFERROR(__xludf.DUMMYFUNCTION("IMPORTRANGE(H28315,""IDENTITAS UNIT!D9"")"),"#N/A")</f>
        <v>#N/A</v>
      </c>
      <c r="H28315" s="4" t="str">
        <v/>
      </c>
      <c r="I28315" s="4" t="str">
        <v/>
      </c>
    </row>
    <row r="28316" spans="5:9" ht="16.5" hidden="1">
      <c r="E28316" s="4" t="str">
        <v/>
      </c>
      <c r="F28316" s="102" t="str">
        <f ca="1">IFERROR(__xludf.DUMMYFUNCTION("IMPORTRANGE(H28316,""IDENTITAS UNIT!D9"")"),"#N/A")</f>
        <v>#N/A</v>
      </c>
      <c r="H28316" s="4" t="str">
        <v/>
      </c>
      <c r="I28316" s="4" t="str">
        <v/>
      </c>
    </row>
    <row r="28317" spans="5:9" ht="16.5" hidden="1">
      <c r="E28317" s="4" t="str">
        <v/>
      </c>
      <c r="F28317" s="102" t="str">
        <f ca="1">IFERROR(__xludf.DUMMYFUNCTION("IMPORTRANGE(H28317,""IDENTITAS UNIT!D9"")"),"#N/A")</f>
        <v>#N/A</v>
      </c>
      <c r="H28317" s="4" t="str">
        <v/>
      </c>
      <c r="I28317" s="4" t="str">
        <v/>
      </c>
    </row>
    <row r="28318" spans="5:9" ht="16.5" hidden="1">
      <c r="E28318" s="4" t="str">
        <v/>
      </c>
      <c r="F28318" s="102" t="str">
        <f ca="1">IFERROR(__xludf.DUMMYFUNCTION("IMPORTRANGE(H28318,""IDENTITAS UNIT!D9"")"),"#N/A")</f>
        <v>#N/A</v>
      </c>
      <c r="H28318" s="4" t="str">
        <v/>
      </c>
      <c r="I28318" s="4" t="str">
        <v/>
      </c>
    </row>
    <row r="28319" spans="5:9" ht="16.5" hidden="1">
      <c r="E28319" s="4" t="str">
        <v/>
      </c>
      <c r="F28319" s="102" t="str">
        <f ca="1">IFERROR(__xludf.DUMMYFUNCTION("IMPORTRANGE(H28319,""IDENTITAS UNIT!D9"")"),"#N/A")</f>
        <v>#N/A</v>
      </c>
      <c r="H28319" s="4" t="str">
        <v/>
      </c>
      <c r="I28319" s="4" t="str">
        <v/>
      </c>
    </row>
    <row r="28320" spans="5:9" ht="16.5" hidden="1">
      <c r="E28320" s="4" t="str">
        <v/>
      </c>
      <c r="F28320" s="102" t="str">
        <f ca="1">IFERROR(__xludf.DUMMYFUNCTION("IMPORTRANGE(H28320,""IDENTITAS UNIT!D9"")"),"#N/A")</f>
        <v>#N/A</v>
      </c>
      <c r="H28320" s="4" t="str">
        <v/>
      </c>
      <c r="I28320" s="4" t="str">
        <v/>
      </c>
    </row>
    <row r="28321" spans="5:9" ht="16.5" hidden="1">
      <c r="E28321" s="4" t="str">
        <v/>
      </c>
      <c r="F28321" s="102" t="str">
        <f ca="1">IFERROR(__xludf.DUMMYFUNCTION("IMPORTRANGE(H28321,""IDENTITAS UNIT!D9"")"),"#N/A")</f>
        <v>#N/A</v>
      </c>
      <c r="H28321" s="4" t="str">
        <v/>
      </c>
      <c r="I28321" s="4" t="str">
        <v/>
      </c>
    </row>
    <row r="28322" spans="5:9" ht="16.5" hidden="1">
      <c r="E28322" s="4" t="str">
        <v/>
      </c>
      <c r="F28322" s="102" t="str">
        <f ca="1">IFERROR(__xludf.DUMMYFUNCTION("IMPORTRANGE(H28322,""IDENTITAS UNIT!D9"")"),"#N/A")</f>
        <v>#N/A</v>
      </c>
      <c r="H28322" s="4" t="str">
        <v/>
      </c>
      <c r="I28322" s="4" t="str">
        <v/>
      </c>
    </row>
    <row r="28323" spans="5:9" ht="16.5" hidden="1">
      <c r="E28323" s="4" t="str">
        <v/>
      </c>
      <c r="F28323" s="102" t="str">
        <f ca="1">IFERROR(__xludf.DUMMYFUNCTION("IMPORTRANGE(H28323,""IDENTITAS UNIT!D9"")"),"#N/A")</f>
        <v>#N/A</v>
      </c>
      <c r="H28323" s="4" t="str">
        <v/>
      </c>
      <c r="I28323" s="4" t="str">
        <v/>
      </c>
    </row>
    <row r="28324" spans="5:9" ht="16.5" hidden="1">
      <c r="E28324" s="4" t="str">
        <v/>
      </c>
      <c r="F28324" s="102" t="str">
        <f ca="1">IFERROR(__xludf.DUMMYFUNCTION("IMPORTRANGE(H28324,""IDENTITAS UNIT!D9"")"),"#N/A")</f>
        <v>#N/A</v>
      </c>
      <c r="H28324" s="4" t="str">
        <v/>
      </c>
      <c r="I28324" s="4" t="str">
        <v/>
      </c>
    </row>
    <row r="28325" spans="5:9" ht="16.5" hidden="1">
      <c r="E28325" s="4" t="str">
        <v/>
      </c>
      <c r="F28325" s="102" t="str">
        <f ca="1">IFERROR(__xludf.DUMMYFUNCTION("IMPORTRANGE(H28325,""IDENTITAS UNIT!D9"")"),"#N/A")</f>
        <v>#N/A</v>
      </c>
      <c r="H28325" s="4" t="str">
        <v/>
      </c>
      <c r="I28325" s="4" t="str">
        <v/>
      </c>
    </row>
    <row r="28326" spans="5:9" ht="16.5" hidden="1">
      <c r="E28326" s="4" t="str">
        <v/>
      </c>
      <c r="F28326" s="102" t="str">
        <f ca="1">IFERROR(__xludf.DUMMYFUNCTION("IMPORTRANGE(H28326,""IDENTITAS UNIT!D9"")"),"#N/A")</f>
        <v>#N/A</v>
      </c>
      <c r="H28326" s="4" t="str">
        <v/>
      </c>
      <c r="I28326" s="4" t="str">
        <v/>
      </c>
    </row>
    <row r="28327" spans="5:9" ht="16.5" hidden="1">
      <c r="E28327" s="4" t="str">
        <v/>
      </c>
      <c r="F28327" s="102" t="str">
        <f ca="1">IFERROR(__xludf.DUMMYFUNCTION("IMPORTRANGE(H28327,""IDENTITAS UNIT!D9"")"),"#N/A")</f>
        <v>#N/A</v>
      </c>
      <c r="H28327" s="4" t="str">
        <v/>
      </c>
      <c r="I28327" s="4" t="str">
        <v/>
      </c>
    </row>
    <row r="28328" spans="5:9" ht="16.5" hidden="1">
      <c r="E28328" s="4" t="str">
        <v/>
      </c>
      <c r="F28328" s="102" t="str">
        <f ca="1">IFERROR(__xludf.DUMMYFUNCTION("IMPORTRANGE(H28328,""IDENTITAS UNIT!D9"")"),"#N/A")</f>
        <v>#N/A</v>
      </c>
      <c r="H28328" s="4" t="str">
        <v/>
      </c>
      <c r="I28328" s="4" t="str">
        <v/>
      </c>
    </row>
    <row r="28329" spans="5:9" ht="16.5" hidden="1">
      <c r="E28329" s="4" t="str">
        <v/>
      </c>
      <c r="F28329" s="102" t="str">
        <f ca="1">IFERROR(__xludf.DUMMYFUNCTION("IMPORTRANGE(H28329,""IDENTITAS UNIT!D9"")"),"#N/A")</f>
        <v>#N/A</v>
      </c>
      <c r="H28329" s="4" t="str">
        <v/>
      </c>
      <c r="I28329" s="4" t="str">
        <v/>
      </c>
    </row>
    <row r="28330" spans="5:9" ht="16.5" hidden="1">
      <c r="E28330" s="4" t="str">
        <v/>
      </c>
      <c r="F28330" s="102" t="str">
        <f ca="1">IFERROR(__xludf.DUMMYFUNCTION("IMPORTRANGE(H28330,""IDENTITAS UNIT!D9"")"),"#N/A")</f>
        <v>#N/A</v>
      </c>
      <c r="H28330" s="4" t="str">
        <v/>
      </c>
      <c r="I28330" s="4" t="str">
        <v/>
      </c>
    </row>
    <row r="28331" spans="5:9" ht="16.5" hidden="1">
      <c r="E28331" s="4" t="str">
        <v/>
      </c>
      <c r="F28331" s="102" t="str">
        <f ca="1">IFERROR(__xludf.DUMMYFUNCTION("IMPORTRANGE(H28331,""IDENTITAS UNIT!D9"")"),"#N/A")</f>
        <v>#N/A</v>
      </c>
      <c r="H28331" s="4" t="str">
        <v/>
      </c>
      <c r="I28331" s="4" t="str">
        <v/>
      </c>
    </row>
    <row r="28332" spans="5:9" ht="16.5" hidden="1">
      <c r="E28332" s="4" t="str">
        <v/>
      </c>
      <c r="F28332" s="102" t="str">
        <f ca="1">IFERROR(__xludf.DUMMYFUNCTION("IMPORTRANGE(H28332,""IDENTITAS UNIT!D9"")"),"#N/A")</f>
        <v>#N/A</v>
      </c>
      <c r="H28332" s="4" t="str">
        <v/>
      </c>
      <c r="I28332" s="4" t="str">
        <v/>
      </c>
    </row>
    <row r="28333" spans="5:9" ht="16.5" hidden="1">
      <c r="E28333" s="4" t="str">
        <v/>
      </c>
      <c r="F28333" s="102" t="str">
        <f ca="1">IFERROR(__xludf.DUMMYFUNCTION("IMPORTRANGE(H28333,""IDENTITAS UNIT!D9"")"),"#N/A")</f>
        <v>#N/A</v>
      </c>
      <c r="H28333" s="4" t="str">
        <v/>
      </c>
      <c r="I28333" s="4" t="str">
        <v/>
      </c>
    </row>
    <row r="28334" spans="5:9" ht="16.5" hidden="1">
      <c r="E28334" s="4" t="str">
        <v/>
      </c>
      <c r="F28334" s="102" t="str">
        <f ca="1">IFERROR(__xludf.DUMMYFUNCTION("IMPORTRANGE(H28334,""IDENTITAS UNIT!D9"")"),"#N/A")</f>
        <v>#N/A</v>
      </c>
      <c r="H28334" s="4" t="str">
        <v/>
      </c>
      <c r="I28334" s="4" t="str">
        <v/>
      </c>
    </row>
    <row r="28335" spans="5:9" ht="16.5" hidden="1">
      <c r="E28335" s="4" t="str">
        <v/>
      </c>
      <c r="F28335" s="102" t="str">
        <f ca="1">IFERROR(__xludf.DUMMYFUNCTION("IMPORTRANGE(H28335,""IDENTITAS UNIT!D9"")"),"#N/A")</f>
        <v>#N/A</v>
      </c>
      <c r="H28335" s="4" t="str">
        <v/>
      </c>
      <c r="I28335" s="4" t="str">
        <v/>
      </c>
    </row>
    <row r="28336" spans="5:9" ht="16.5" hidden="1">
      <c r="E28336" s="4" t="str">
        <v/>
      </c>
      <c r="F28336" s="102" t="str">
        <f ca="1">IFERROR(__xludf.DUMMYFUNCTION("IMPORTRANGE(H28336,""IDENTITAS UNIT!D9"")"),"#N/A")</f>
        <v>#N/A</v>
      </c>
      <c r="H28336" s="4" t="str">
        <v/>
      </c>
      <c r="I28336" s="4" t="str">
        <v/>
      </c>
    </row>
    <row r="28337" spans="5:9" ht="16.5" hidden="1">
      <c r="E28337" s="4" t="str">
        <v/>
      </c>
      <c r="F28337" s="102" t="str">
        <f ca="1">IFERROR(__xludf.DUMMYFUNCTION("IMPORTRANGE(H28337,""IDENTITAS UNIT!D9"")"),"#N/A")</f>
        <v>#N/A</v>
      </c>
      <c r="H28337" s="4" t="str">
        <v/>
      </c>
      <c r="I28337" s="4" t="str">
        <v/>
      </c>
    </row>
    <row r="28338" spans="5:9" ht="16.5" hidden="1">
      <c r="E28338" s="4" t="str">
        <v/>
      </c>
      <c r="F28338" s="102" t="str">
        <f ca="1">IFERROR(__xludf.DUMMYFUNCTION("IMPORTRANGE(H28338,""IDENTITAS UNIT!D9"")"),"#N/A")</f>
        <v>#N/A</v>
      </c>
      <c r="H28338" s="4" t="str">
        <v/>
      </c>
      <c r="I28338" s="4" t="str">
        <v/>
      </c>
    </row>
    <row r="28339" spans="5:9" ht="16.5" hidden="1">
      <c r="E28339" s="4" t="str">
        <v/>
      </c>
      <c r="F28339" s="102" t="str">
        <f ca="1">IFERROR(__xludf.DUMMYFUNCTION("IMPORTRANGE(H28339,""IDENTITAS UNIT!D9"")"),"#N/A")</f>
        <v>#N/A</v>
      </c>
      <c r="H28339" s="4" t="str">
        <v/>
      </c>
      <c r="I28339" s="4" t="str">
        <v/>
      </c>
    </row>
    <row r="28340" spans="5:9" ht="16.5" hidden="1">
      <c r="E28340" s="4" t="str">
        <v/>
      </c>
      <c r="F28340" s="102" t="str">
        <f ca="1">IFERROR(__xludf.DUMMYFUNCTION("IMPORTRANGE(H28340,""IDENTITAS UNIT!D9"")"),"#N/A")</f>
        <v>#N/A</v>
      </c>
      <c r="H28340" s="4" t="str">
        <v/>
      </c>
      <c r="I28340" s="4" t="str">
        <v/>
      </c>
    </row>
    <row r="28341" spans="5:9" ht="16.5" hidden="1">
      <c r="E28341" s="4" t="str">
        <v/>
      </c>
      <c r="F28341" s="102" t="str">
        <f ca="1">IFERROR(__xludf.DUMMYFUNCTION("IMPORTRANGE(H28341,""IDENTITAS UNIT!D9"")"),"#N/A")</f>
        <v>#N/A</v>
      </c>
      <c r="H28341" s="4" t="str">
        <v/>
      </c>
      <c r="I28341" s="4" t="str">
        <v/>
      </c>
    </row>
    <row r="28342" spans="5:9" ht="16.5" hidden="1">
      <c r="E28342" s="4" t="str">
        <v/>
      </c>
      <c r="F28342" s="102" t="str">
        <f ca="1">IFERROR(__xludf.DUMMYFUNCTION("IMPORTRANGE(H28342,""IDENTITAS UNIT!D9"")"),"#N/A")</f>
        <v>#N/A</v>
      </c>
      <c r="H28342" s="4" t="str">
        <v/>
      </c>
      <c r="I28342" s="4" t="str">
        <v/>
      </c>
    </row>
    <row r="28343" spans="5:9" ht="16.5" hidden="1">
      <c r="E28343" s="4" t="str">
        <v/>
      </c>
      <c r="F28343" s="102" t="str">
        <f ca="1">IFERROR(__xludf.DUMMYFUNCTION("IMPORTRANGE(H28343,""IDENTITAS UNIT!D9"")"),"#N/A")</f>
        <v>#N/A</v>
      </c>
      <c r="H28343" s="4" t="str">
        <v/>
      </c>
      <c r="I28343" s="4" t="str">
        <v/>
      </c>
    </row>
    <row r="28344" spans="5:9" ht="16.5" hidden="1">
      <c r="E28344" s="4" t="str">
        <v/>
      </c>
      <c r="F28344" s="102" t="str">
        <f ca="1">IFERROR(__xludf.DUMMYFUNCTION("IMPORTRANGE(H28344,""IDENTITAS UNIT!D9"")"),"#N/A")</f>
        <v>#N/A</v>
      </c>
      <c r="H28344" s="4" t="str">
        <v/>
      </c>
      <c r="I28344" s="4" t="str">
        <v/>
      </c>
    </row>
    <row r="28345" spans="5:9" ht="16.5" hidden="1">
      <c r="E28345" s="4" t="str">
        <v/>
      </c>
      <c r="F28345" s="102" t="str">
        <f ca="1">IFERROR(__xludf.DUMMYFUNCTION("IMPORTRANGE(H28345,""IDENTITAS UNIT!D9"")"),"#N/A")</f>
        <v>#N/A</v>
      </c>
      <c r="H28345" s="4" t="str">
        <v/>
      </c>
      <c r="I28345" s="4" t="str">
        <v/>
      </c>
    </row>
    <row r="28346" spans="5:9" ht="16.5" hidden="1">
      <c r="E28346" s="4" t="str">
        <v/>
      </c>
      <c r="F28346" s="102" t="str">
        <f ca="1">IFERROR(__xludf.DUMMYFUNCTION("IMPORTRANGE(H28346,""IDENTITAS UNIT!D9"")"),"#N/A")</f>
        <v>#N/A</v>
      </c>
      <c r="H28346" s="4" t="str">
        <v/>
      </c>
      <c r="I28346" s="4" t="str">
        <v/>
      </c>
    </row>
    <row r="28347" spans="5:9" ht="16.5" hidden="1">
      <c r="E28347" s="4" t="str">
        <v/>
      </c>
      <c r="F28347" s="102" t="str">
        <f ca="1">IFERROR(__xludf.DUMMYFUNCTION("IMPORTRANGE(H28347,""IDENTITAS UNIT!D9"")"),"#N/A")</f>
        <v>#N/A</v>
      </c>
      <c r="H28347" s="4" t="str">
        <v/>
      </c>
      <c r="I28347" s="4" t="str">
        <v/>
      </c>
    </row>
    <row r="28348" spans="5:9" ht="16.5" hidden="1">
      <c r="E28348" s="4" t="str">
        <v/>
      </c>
      <c r="F28348" s="102" t="str">
        <f ca="1">IFERROR(__xludf.DUMMYFUNCTION("IMPORTRANGE(H28348,""IDENTITAS UNIT!D9"")"),"#N/A")</f>
        <v>#N/A</v>
      </c>
      <c r="H28348" s="4" t="str">
        <v/>
      </c>
      <c r="I28348" s="4" t="str">
        <v/>
      </c>
    </row>
    <row r="28349" spans="5:9" ht="16.5" hidden="1">
      <c r="E28349" s="4" t="str">
        <v/>
      </c>
      <c r="F28349" s="102" t="str">
        <f ca="1">IFERROR(__xludf.DUMMYFUNCTION("IMPORTRANGE(H28349,""IDENTITAS UNIT!D9"")"),"#N/A")</f>
        <v>#N/A</v>
      </c>
      <c r="H28349" s="4" t="str">
        <v/>
      </c>
      <c r="I28349" s="4" t="str">
        <v/>
      </c>
    </row>
    <row r="28350" spans="5:9" ht="16.5" hidden="1">
      <c r="E28350" s="4" t="str">
        <v/>
      </c>
      <c r="F28350" s="102" t="str">
        <f ca="1">IFERROR(__xludf.DUMMYFUNCTION("IMPORTRANGE(H28350,""IDENTITAS UNIT!D9"")"),"#N/A")</f>
        <v>#N/A</v>
      </c>
      <c r="H28350" s="4" t="str">
        <v/>
      </c>
      <c r="I28350" s="4" t="str">
        <v/>
      </c>
    </row>
    <row r="28351" spans="5:9" ht="16.5" hidden="1">
      <c r="E28351" s="4" t="str">
        <v/>
      </c>
      <c r="F28351" s="102" t="str">
        <f ca="1">IFERROR(__xludf.DUMMYFUNCTION("IMPORTRANGE(H28351,""IDENTITAS UNIT!D9"")"),"#N/A")</f>
        <v>#N/A</v>
      </c>
      <c r="H28351" s="4" t="str">
        <v/>
      </c>
      <c r="I28351" s="4" t="str">
        <v/>
      </c>
    </row>
    <row r="28352" spans="5:9" ht="16.5" hidden="1">
      <c r="E28352" s="4" t="str">
        <v/>
      </c>
      <c r="F28352" s="102" t="str">
        <f ca="1">IFERROR(__xludf.DUMMYFUNCTION("IMPORTRANGE(H28352,""IDENTITAS UNIT!D9"")"),"#N/A")</f>
        <v>#N/A</v>
      </c>
      <c r="H28352" s="4" t="str">
        <v/>
      </c>
      <c r="I28352" s="4" t="str">
        <v/>
      </c>
    </row>
    <row r="28353" spans="5:9" ht="16.5" hidden="1">
      <c r="E28353" s="4" t="str">
        <v/>
      </c>
      <c r="F28353" s="102" t="str">
        <f ca="1">IFERROR(__xludf.DUMMYFUNCTION("IMPORTRANGE(H28353,""IDENTITAS UNIT!D9"")"),"#N/A")</f>
        <v>#N/A</v>
      </c>
      <c r="H28353" s="4" t="str">
        <v/>
      </c>
      <c r="I28353" s="4" t="str">
        <v/>
      </c>
    </row>
    <row r="28354" spans="5:9" ht="16.5" hidden="1">
      <c r="E28354" s="4" t="str">
        <v/>
      </c>
      <c r="F28354" s="102" t="str">
        <f ca="1">IFERROR(__xludf.DUMMYFUNCTION("IMPORTRANGE(H28354,""IDENTITAS UNIT!D9"")"),"#N/A")</f>
        <v>#N/A</v>
      </c>
      <c r="H28354" s="4" t="str">
        <v/>
      </c>
      <c r="I28354" s="4" t="str">
        <v/>
      </c>
    </row>
    <row r="28355" spans="5:9" ht="16.5" hidden="1">
      <c r="E28355" s="4" t="str">
        <v/>
      </c>
      <c r="F28355" s="102" t="str">
        <f ca="1">IFERROR(__xludf.DUMMYFUNCTION("IMPORTRANGE(H28355,""IDENTITAS UNIT!D9"")"),"#N/A")</f>
        <v>#N/A</v>
      </c>
      <c r="H28355" s="4" t="str">
        <v/>
      </c>
      <c r="I28355" s="4" t="str">
        <v/>
      </c>
    </row>
    <row r="28356" spans="5:9" ht="16.5" hidden="1">
      <c r="E28356" s="4" t="str">
        <v/>
      </c>
      <c r="F28356" s="102" t="str">
        <f ca="1">IFERROR(__xludf.DUMMYFUNCTION("IMPORTRANGE(H28356,""IDENTITAS UNIT!D9"")"),"#N/A")</f>
        <v>#N/A</v>
      </c>
      <c r="H28356" s="4" t="str">
        <v/>
      </c>
      <c r="I28356" s="4" t="str">
        <v/>
      </c>
    </row>
    <row r="28357" spans="5:9" ht="16.5" hidden="1">
      <c r="E28357" s="4" t="str">
        <v/>
      </c>
      <c r="F28357" s="102" t="str">
        <f ca="1">IFERROR(__xludf.DUMMYFUNCTION("IMPORTRANGE(H28357,""IDENTITAS UNIT!D9"")"),"#N/A")</f>
        <v>#N/A</v>
      </c>
      <c r="H28357" s="4" t="str">
        <v/>
      </c>
      <c r="I28357" s="4" t="str">
        <v/>
      </c>
    </row>
    <row r="28358" spans="5:9" ht="16.5" hidden="1">
      <c r="E28358" s="4" t="str">
        <v/>
      </c>
      <c r="F28358" s="102" t="str">
        <f ca="1">IFERROR(__xludf.DUMMYFUNCTION("IMPORTRANGE(H28358,""IDENTITAS UNIT!D9"")"),"#N/A")</f>
        <v>#N/A</v>
      </c>
      <c r="H28358" s="4" t="str">
        <v/>
      </c>
      <c r="I28358" s="4" t="str">
        <v/>
      </c>
    </row>
    <row r="28359" spans="5:9" ht="16.5" hidden="1">
      <c r="E28359" s="4" t="str">
        <v/>
      </c>
      <c r="F28359" s="102" t="str">
        <f ca="1">IFERROR(__xludf.DUMMYFUNCTION("IMPORTRANGE(H28359,""IDENTITAS UNIT!D9"")"),"#N/A")</f>
        <v>#N/A</v>
      </c>
      <c r="H28359" s="4" t="str">
        <v/>
      </c>
      <c r="I28359" s="4" t="str">
        <v/>
      </c>
    </row>
    <row r="28360" spans="5:9" ht="16.5" hidden="1">
      <c r="E28360" s="4" t="str">
        <v/>
      </c>
      <c r="F28360" s="102" t="str">
        <f ca="1">IFERROR(__xludf.DUMMYFUNCTION("IMPORTRANGE(H28360,""IDENTITAS UNIT!D9"")"),"#N/A")</f>
        <v>#N/A</v>
      </c>
      <c r="H28360" s="4" t="str">
        <v/>
      </c>
      <c r="I28360" s="4" t="str">
        <v/>
      </c>
    </row>
    <row r="28361" spans="5:9" ht="16.5" hidden="1">
      <c r="E28361" s="4" t="str">
        <v/>
      </c>
      <c r="F28361" s="102" t="str">
        <f ca="1">IFERROR(__xludf.DUMMYFUNCTION("IMPORTRANGE(H28361,""IDENTITAS UNIT!D9"")"),"#N/A")</f>
        <v>#N/A</v>
      </c>
      <c r="H28361" s="4" t="str">
        <v/>
      </c>
      <c r="I28361" s="4" t="str">
        <v/>
      </c>
    </row>
    <row r="28362" spans="5:9" ht="16.5" hidden="1">
      <c r="E28362" s="4" t="str">
        <v/>
      </c>
      <c r="F28362" s="102" t="str">
        <f ca="1">IFERROR(__xludf.DUMMYFUNCTION("IMPORTRANGE(H28362,""IDENTITAS UNIT!D9"")"),"#N/A")</f>
        <v>#N/A</v>
      </c>
      <c r="H28362" s="4" t="str">
        <v/>
      </c>
      <c r="I28362" s="4" t="str">
        <v/>
      </c>
    </row>
    <row r="28363" spans="5:9" ht="16.5" hidden="1">
      <c r="E28363" s="4" t="str">
        <v/>
      </c>
      <c r="F28363" s="102" t="str">
        <f ca="1">IFERROR(__xludf.DUMMYFUNCTION("IMPORTRANGE(H28363,""IDENTITAS UNIT!D9"")"),"#N/A")</f>
        <v>#N/A</v>
      </c>
      <c r="H28363" s="4" t="str">
        <v/>
      </c>
      <c r="I28363" s="4" t="str">
        <v/>
      </c>
    </row>
    <row r="28364" spans="5:9" ht="16.5" hidden="1">
      <c r="E28364" s="4" t="str">
        <v/>
      </c>
      <c r="F28364" s="102" t="str">
        <f ca="1">IFERROR(__xludf.DUMMYFUNCTION("IMPORTRANGE(H28364,""IDENTITAS UNIT!D9"")"),"#N/A")</f>
        <v>#N/A</v>
      </c>
      <c r="H28364" s="4" t="str">
        <v/>
      </c>
      <c r="I28364" s="4" t="str">
        <v/>
      </c>
    </row>
    <row r="28365" spans="5:9" ht="16.5" hidden="1">
      <c r="E28365" s="4" t="str">
        <v/>
      </c>
      <c r="F28365" s="102" t="str">
        <f ca="1">IFERROR(__xludf.DUMMYFUNCTION("IMPORTRANGE(H28365,""IDENTITAS UNIT!D9"")"),"#N/A")</f>
        <v>#N/A</v>
      </c>
      <c r="H28365" s="4" t="str">
        <v/>
      </c>
      <c r="I28365" s="4" t="str">
        <v/>
      </c>
    </row>
    <row r="28366" spans="5:9" ht="16.5" hidden="1">
      <c r="E28366" s="4" t="str">
        <v/>
      </c>
      <c r="F28366" s="102" t="str">
        <f ca="1">IFERROR(__xludf.DUMMYFUNCTION("IMPORTRANGE(H28366,""IDENTITAS UNIT!D9"")"),"#N/A")</f>
        <v>#N/A</v>
      </c>
      <c r="H28366" s="4" t="str">
        <v/>
      </c>
      <c r="I28366" s="4" t="str">
        <v/>
      </c>
    </row>
    <row r="28367" spans="5:9" ht="16.5" hidden="1">
      <c r="E28367" s="4" t="str">
        <v/>
      </c>
      <c r="F28367" s="102" t="str">
        <f ca="1">IFERROR(__xludf.DUMMYFUNCTION("IMPORTRANGE(H28367,""IDENTITAS UNIT!D9"")"),"#N/A")</f>
        <v>#N/A</v>
      </c>
      <c r="H28367" s="4" t="str">
        <v/>
      </c>
      <c r="I28367" s="4" t="str">
        <v/>
      </c>
    </row>
    <row r="28368" spans="5:9" ht="16.5" hidden="1">
      <c r="E28368" s="4" t="str">
        <v/>
      </c>
      <c r="F28368" s="102" t="str">
        <f ca="1">IFERROR(__xludf.DUMMYFUNCTION("IMPORTRANGE(H28368,""IDENTITAS UNIT!D9"")"),"#N/A")</f>
        <v>#N/A</v>
      </c>
      <c r="H28368" s="4" t="str">
        <v/>
      </c>
      <c r="I28368" s="4" t="str">
        <v/>
      </c>
    </row>
    <row r="28369" spans="5:9" ht="16.5" hidden="1">
      <c r="E28369" s="4" t="str">
        <v/>
      </c>
      <c r="F28369" s="102" t="str">
        <f ca="1">IFERROR(__xludf.DUMMYFUNCTION("IMPORTRANGE(H28369,""IDENTITAS UNIT!D9"")"),"#N/A")</f>
        <v>#N/A</v>
      </c>
      <c r="H28369" s="4" t="str">
        <v/>
      </c>
      <c r="I28369" s="4" t="str">
        <v/>
      </c>
    </row>
    <row r="28370" spans="5:9" ht="16.5" hidden="1">
      <c r="E28370" s="4" t="str">
        <v/>
      </c>
      <c r="F28370" s="102" t="str">
        <f ca="1">IFERROR(__xludf.DUMMYFUNCTION("IMPORTRANGE(H28370,""IDENTITAS UNIT!D9"")"),"#N/A")</f>
        <v>#N/A</v>
      </c>
      <c r="H28370" s="4" t="str">
        <v/>
      </c>
      <c r="I28370" s="4" t="str">
        <v/>
      </c>
    </row>
    <row r="28371" spans="5:9" ht="16.5" hidden="1">
      <c r="E28371" s="4" t="str">
        <v/>
      </c>
      <c r="F28371" s="102" t="str">
        <f ca="1">IFERROR(__xludf.DUMMYFUNCTION("IMPORTRANGE(H28371,""IDENTITAS UNIT!D9"")"),"#N/A")</f>
        <v>#N/A</v>
      </c>
      <c r="H28371" s="4" t="str">
        <v/>
      </c>
      <c r="I28371" s="4" t="str">
        <v/>
      </c>
    </row>
    <row r="28372" spans="5:9" ht="16.5" hidden="1">
      <c r="E28372" s="4" t="str">
        <v/>
      </c>
      <c r="F28372" s="102" t="str">
        <f ca="1">IFERROR(__xludf.DUMMYFUNCTION("IMPORTRANGE(H28372,""IDENTITAS UNIT!D9"")"),"#N/A")</f>
        <v>#N/A</v>
      </c>
      <c r="H28372" s="4" t="str">
        <v/>
      </c>
      <c r="I28372" s="4" t="str">
        <v/>
      </c>
    </row>
    <row r="28373" spans="5:9" ht="16.5" hidden="1">
      <c r="E28373" s="4" t="str">
        <v/>
      </c>
      <c r="F28373" s="102" t="str">
        <f ca="1">IFERROR(__xludf.DUMMYFUNCTION("IMPORTRANGE(H28373,""IDENTITAS UNIT!D9"")"),"#N/A")</f>
        <v>#N/A</v>
      </c>
      <c r="H28373" s="4" t="str">
        <v/>
      </c>
      <c r="I28373" s="4" t="str">
        <v/>
      </c>
    </row>
    <row r="28374" spans="5:9" ht="16.5" hidden="1">
      <c r="E28374" s="4" t="str">
        <v/>
      </c>
      <c r="F28374" s="102" t="str">
        <f ca="1">IFERROR(__xludf.DUMMYFUNCTION("IMPORTRANGE(H28374,""IDENTITAS UNIT!D9"")"),"#N/A")</f>
        <v>#N/A</v>
      </c>
      <c r="H28374" s="4" t="str">
        <v/>
      </c>
      <c r="I28374" s="4" t="str">
        <v/>
      </c>
    </row>
    <row r="28375" spans="5:9" ht="16.5" hidden="1">
      <c r="E28375" s="4" t="str">
        <v/>
      </c>
      <c r="F28375" s="102" t="str">
        <f ca="1">IFERROR(__xludf.DUMMYFUNCTION("IMPORTRANGE(H28375,""IDENTITAS UNIT!D9"")"),"#N/A")</f>
        <v>#N/A</v>
      </c>
      <c r="H28375" s="4" t="str">
        <v/>
      </c>
      <c r="I28375" s="4" t="str">
        <v/>
      </c>
    </row>
    <row r="28376" spans="5:9" ht="16.5" hidden="1">
      <c r="E28376" s="4" t="str">
        <v/>
      </c>
      <c r="F28376" s="102" t="str">
        <f ca="1">IFERROR(__xludf.DUMMYFUNCTION("IMPORTRANGE(H28376,""IDENTITAS UNIT!D9"")"),"#N/A")</f>
        <v>#N/A</v>
      </c>
      <c r="H28376" s="4" t="str">
        <v/>
      </c>
      <c r="I28376" s="4" t="str">
        <v/>
      </c>
    </row>
    <row r="28377" spans="5:9" ht="16.5" hidden="1">
      <c r="E28377" s="4" t="str">
        <v/>
      </c>
      <c r="F28377" s="102" t="str">
        <f ca="1">IFERROR(__xludf.DUMMYFUNCTION("IMPORTRANGE(H28377,""IDENTITAS UNIT!D9"")"),"#N/A")</f>
        <v>#N/A</v>
      </c>
      <c r="H28377" s="4" t="str">
        <v/>
      </c>
      <c r="I28377" s="4" t="str">
        <v/>
      </c>
    </row>
    <row r="28378" spans="5:9" ht="16.5" hidden="1">
      <c r="E28378" s="4" t="str">
        <v/>
      </c>
      <c r="F28378" s="102" t="str">
        <f ca="1">IFERROR(__xludf.DUMMYFUNCTION("IMPORTRANGE(H28378,""IDENTITAS UNIT!D9"")"),"#N/A")</f>
        <v>#N/A</v>
      </c>
      <c r="H28378" s="4" t="str">
        <v/>
      </c>
      <c r="I28378" s="4" t="str">
        <v/>
      </c>
    </row>
    <row r="28379" spans="5:9" ht="16.5" hidden="1">
      <c r="E28379" s="4" t="str">
        <v/>
      </c>
      <c r="F28379" s="102" t="str">
        <f ca="1">IFERROR(__xludf.DUMMYFUNCTION("IMPORTRANGE(H28379,""IDENTITAS UNIT!D9"")"),"#N/A")</f>
        <v>#N/A</v>
      </c>
      <c r="H28379" s="4" t="str">
        <v/>
      </c>
      <c r="I28379" s="4" t="str">
        <v/>
      </c>
    </row>
    <row r="28380" spans="5:9" ht="16.5" hidden="1">
      <c r="E28380" s="4" t="str">
        <v/>
      </c>
      <c r="F28380" s="102" t="str">
        <f ca="1">IFERROR(__xludf.DUMMYFUNCTION("IMPORTRANGE(H28380,""IDENTITAS UNIT!D9"")"),"#N/A")</f>
        <v>#N/A</v>
      </c>
      <c r="H28380" s="4" t="str">
        <v/>
      </c>
      <c r="I28380" s="4" t="str">
        <v/>
      </c>
    </row>
    <row r="28381" spans="5:9" ht="16.5" hidden="1">
      <c r="E28381" s="4" t="str">
        <v/>
      </c>
      <c r="F28381" s="102" t="str">
        <f ca="1">IFERROR(__xludf.DUMMYFUNCTION("IMPORTRANGE(H28381,""IDENTITAS UNIT!D9"")"),"#N/A")</f>
        <v>#N/A</v>
      </c>
      <c r="H28381" s="4" t="str">
        <v/>
      </c>
      <c r="I28381" s="4" t="str">
        <v/>
      </c>
    </row>
    <row r="28382" spans="5:9" ht="16.5" hidden="1">
      <c r="E28382" s="4" t="str">
        <v/>
      </c>
      <c r="F28382" s="102" t="str">
        <f ca="1">IFERROR(__xludf.DUMMYFUNCTION("IMPORTRANGE(H28382,""IDENTITAS UNIT!D9"")"),"#N/A")</f>
        <v>#N/A</v>
      </c>
      <c r="H28382" s="4" t="str">
        <v/>
      </c>
      <c r="I28382" s="4" t="str">
        <v/>
      </c>
    </row>
    <row r="28383" spans="5:9" ht="16.5" hidden="1">
      <c r="E28383" s="4" t="str">
        <v/>
      </c>
      <c r="F28383" s="102" t="str">
        <f ca="1">IFERROR(__xludf.DUMMYFUNCTION("IMPORTRANGE(H28383,""IDENTITAS UNIT!D9"")"),"#N/A")</f>
        <v>#N/A</v>
      </c>
      <c r="H28383" s="4" t="str">
        <v/>
      </c>
      <c r="I28383" s="4" t="str">
        <v/>
      </c>
    </row>
    <row r="28384" spans="5:9" ht="16.5" hidden="1">
      <c r="E28384" s="4" t="str">
        <v/>
      </c>
      <c r="F28384" s="102" t="str">
        <f ca="1">IFERROR(__xludf.DUMMYFUNCTION("IMPORTRANGE(H28384,""IDENTITAS UNIT!D9"")"),"#N/A")</f>
        <v>#N/A</v>
      </c>
      <c r="H28384" s="4" t="str">
        <v/>
      </c>
      <c r="I28384" s="4" t="str">
        <v/>
      </c>
    </row>
    <row r="28385" spans="5:9" ht="16.5" hidden="1">
      <c r="E28385" s="4" t="str">
        <v/>
      </c>
      <c r="F28385" s="102" t="str">
        <f ca="1">IFERROR(__xludf.DUMMYFUNCTION("IMPORTRANGE(H28385,""IDENTITAS UNIT!D9"")"),"#N/A")</f>
        <v>#N/A</v>
      </c>
      <c r="H28385" s="4" t="str">
        <v/>
      </c>
      <c r="I28385" s="4" t="str">
        <v/>
      </c>
    </row>
    <row r="28386" spans="5:9" ht="16.5" hidden="1">
      <c r="E28386" s="4" t="str">
        <v/>
      </c>
      <c r="F28386" s="102" t="str">
        <f ca="1">IFERROR(__xludf.DUMMYFUNCTION("IMPORTRANGE(H28386,""IDENTITAS UNIT!D9"")"),"#N/A")</f>
        <v>#N/A</v>
      </c>
      <c r="H28386" s="4" t="str">
        <v/>
      </c>
      <c r="I28386" s="4" t="str">
        <v/>
      </c>
    </row>
    <row r="28387" spans="5:9" ht="16.5" hidden="1">
      <c r="E28387" s="4" t="str">
        <v/>
      </c>
      <c r="F28387" s="102" t="str">
        <f ca="1">IFERROR(__xludf.DUMMYFUNCTION("IMPORTRANGE(H28387,""IDENTITAS UNIT!D9"")"),"#N/A")</f>
        <v>#N/A</v>
      </c>
      <c r="H28387" s="4" t="str">
        <v/>
      </c>
      <c r="I28387" s="4" t="str">
        <v/>
      </c>
    </row>
    <row r="28388" spans="5:9" ht="16.5" hidden="1">
      <c r="E28388" s="4" t="str">
        <v/>
      </c>
      <c r="F28388" s="102" t="str">
        <f ca="1">IFERROR(__xludf.DUMMYFUNCTION("IMPORTRANGE(H28388,""IDENTITAS UNIT!D9"")"),"#N/A")</f>
        <v>#N/A</v>
      </c>
      <c r="H28388" s="4" t="str">
        <v/>
      </c>
      <c r="I28388" s="4" t="str">
        <v/>
      </c>
    </row>
    <row r="28389" spans="5:9" ht="16.5" hidden="1">
      <c r="E28389" s="4" t="str">
        <v/>
      </c>
      <c r="F28389" s="102" t="str">
        <f ca="1">IFERROR(__xludf.DUMMYFUNCTION("IMPORTRANGE(H28389,""IDENTITAS UNIT!D9"")"),"#N/A")</f>
        <v>#N/A</v>
      </c>
      <c r="H28389" s="4" t="str">
        <v/>
      </c>
      <c r="I28389" s="4" t="str">
        <v/>
      </c>
    </row>
    <row r="28390" spans="5:9" ht="16.5" hidden="1">
      <c r="E28390" s="4" t="str">
        <v/>
      </c>
      <c r="F28390" s="102" t="str">
        <f ca="1">IFERROR(__xludf.DUMMYFUNCTION("IMPORTRANGE(H28390,""IDENTITAS UNIT!D9"")"),"#N/A")</f>
        <v>#N/A</v>
      </c>
      <c r="H28390" s="4" t="str">
        <v/>
      </c>
      <c r="I28390" s="4" t="str">
        <v/>
      </c>
    </row>
    <row r="28391" spans="5:9" ht="16.5" hidden="1">
      <c r="E28391" s="4" t="str">
        <v/>
      </c>
      <c r="F28391" s="102" t="str">
        <f ca="1">IFERROR(__xludf.DUMMYFUNCTION("IMPORTRANGE(H28391,""IDENTITAS UNIT!D9"")"),"#N/A")</f>
        <v>#N/A</v>
      </c>
      <c r="H28391" s="4" t="str">
        <v/>
      </c>
      <c r="I28391" s="4" t="str">
        <v/>
      </c>
    </row>
    <row r="28392" spans="5:9" ht="16.5" hidden="1">
      <c r="E28392" s="4" t="str">
        <v/>
      </c>
      <c r="F28392" s="102" t="str">
        <f ca="1">IFERROR(__xludf.DUMMYFUNCTION("IMPORTRANGE(H28392,""IDENTITAS UNIT!D9"")"),"#N/A")</f>
        <v>#N/A</v>
      </c>
      <c r="H28392" s="4" t="str">
        <v/>
      </c>
      <c r="I28392" s="4" t="str">
        <v/>
      </c>
    </row>
    <row r="28393" spans="5:9" ht="16.5" hidden="1">
      <c r="E28393" s="4" t="str">
        <v/>
      </c>
      <c r="F28393" s="102" t="str">
        <f ca="1">IFERROR(__xludf.DUMMYFUNCTION("IMPORTRANGE(H28393,""IDENTITAS UNIT!D9"")"),"#N/A")</f>
        <v>#N/A</v>
      </c>
      <c r="H28393" s="4" t="str">
        <v/>
      </c>
      <c r="I28393" s="4" t="str">
        <v/>
      </c>
    </row>
    <row r="28394" spans="5:9" ht="16.5" hidden="1">
      <c r="E28394" s="4" t="str">
        <v/>
      </c>
      <c r="F28394" s="102" t="str">
        <f ca="1">IFERROR(__xludf.DUMMYFUNCTION("IMPORTRANGE(H28394,""IDENTITAS UNIT!D9"")"),"#N/A")</f>
        <v>#N/A</v>
      </c>
      <c r="H28394" s="4" t="str">
        <v/>
      </c>
      <c r="I28394" s="4" t="str">
        <v/>
      </c>
    </row>
    <row r="28395" spans="5:9" ht="16.5" hidden="1">
      <c r="E28395" s="4" t="str">
        <v/>
      </c>
      <c r="F28395" s="102" t="str">
        <f ca="1">IFERROR(__xludf.DUMMYFUNCTION("IMPORTRANGE(H28395,""IDENTITAS UNIT!D9"")"),"#N/A")</f>
        <v>#N/A</v>
      </c>
      <c r="H28395" s="4" t="str">
        <v/>
      </c>
      <c r="I28395" s="4" t="str">
        <v/>
      </c>
    </row>
    <row r="28396" spans="5:9" ht="16.5" hidden="1">
      <c r="E28396" s="4" t="str">
        <v/>
      </c>
      <c r="F28396" s="102" t="str">
        <f ca="1">IFERROR(__xludf.DUMMYFUNCTION("IMPORTRANGE(H28396,""IDENTITAS UNIT!D9"")"),"#N/A")</f>
        <v>#N/A</v>
      </c>
      <c r="H28396" s="4" t="str">
        <v/>
      </c>
      <c r="I28396" s="4" t="str">
        <v/>
      </c>
    </row>
    <row r="28397" spans="5:9" ht="16.5" hidden="1">
      <c r="E28397" s="4" t="str">
        <v/>
      </c>
      <c r="F28397" s="102" t="str">
        <f ca="1">IFERROR(__xludf.DUMMYFUNCTION("IMPORTRANGE(H28397,""IDENTITAS UNIT!D9"")"),"#N/A")</f>
        <v>#N/A</v>
      </c>
      <c r="H28397" s="4" t="str">
        <v/>
      </c>
      <c r="I28397" s="4" t="str">
        <v/>
      </c>
    </row>
    <row r="28398" spans="5:9" ht="16.5" hidden="1">
      <c r="E28398" s="4" t="str">
        <v/>
      </c>
      <c r="F28398" s="102" t="str">
        <f ca="1">IFERROR(__xludf.DUMMYFUNCTION("IMPORTRANGE(H28398,""IDENTITAS UNIT!D9"")"),"#N/A")</f>
        <v>#N/A</v>
      </c>
      <c r="H28398" s="4" t="str">
        <v/>
      </c>
      <c r="I28398" s="4" t="str">
        <v/>
      </c>
    </row>
    <row r="28399" spans="5:9" ht="16.5" hidden="1">
      <c r="E28399" s="4" t="str">
        <v/>
      </c>
      <c r="F28399" s="102" t="str">
        <f ca="1">IFERROR(__xludf.DUMMYFUNCTION("IMPORTRANGE(H28399,""IDENTITAS UNIT!D9"")"),"#N/A")</f>
        <v>#N/A</v>
      </c>
      <c r="H28399" s="4" t="str">
        <v/>
      </c>
      <c r="I28399" s="4" t="str">
        <v/>
      </c>
    </row>
    <row r="28400" spans="5:9" ht="16.5" hidden="1">
      <c r="E28400" s="4" t="str">
        <v/>
      </c>
      <c r="F28400" s="102" t="str">
        <f ca="1">IFERROR(__xludf.DUMMYFUNCTION("IMPORTRANGE(H28400,""IDENTITAS UNIT!D9"")"),"#N/A")</f>
        <v>#N/A</v>
      </c>
      <c r="H28400" s="4" t="str">
        <v/>
      </c>
      <c r="I28400" s="4" t="str">
        <v/>
      </c>
    </row>
    <row r="28401" spans="5:9" ht="16.5" hidden="1">
      <c r="E28401" s="4" t="str">
        <v/>
      </c>
      <c r="F28401" s="102" t="str">
        <f ca="1">IFERROR(__xludf.DUMMYFUNCTION("IMPORTRANGE(H28401,""IDENTITAS UNIT!D9"")"),"#N/A")</f>
        <v>#N/A</v>
      </c>
      <c r="H28401" s="4" t="str">
        <v/>
      </c>
      <c r="I28401" s="4" t="str">
        <v/>
      </c>
    </row>
    <row r="28402" spans="5:9" ht="16.5" hidden="1">
      <c r="E28402" s="4" t="str">
        <v/>
      </c>
      <c r="F28402" s="102" t="str">
        <f ca="1">IFERROR(__xludf.DUMMYFUNCTION("IMPORTRANGE(H28402,""IDENTITAS UNIT!D9"")"),"#N/A")</f>
        <v>#N/A</v>
      </c>
      <c r="H28402" s="4" t="str">
        <v/>
      </c>
      <c r="I28402" s="4" t="str">
        <v/>
      </c>
    </row>
    <row r="28403" spans="5:9" ht="16.5" hidden="1">
      <c r="E28403" s="4" t="str">
        <v/>
      </c>
      <c r="F28403" s="102" t="str">
        <f ca="1">IFERROR(__xludf.DUMMYFUNCTION("IMPORTRANGE(H28403,""IDENTITAS UNIT!D9"")"),"#N/A")</f>
        <v>#N/A</v>
      </c>
      <c r="H28403" s="4" t="str">
        <v/>
      </c>
      <c r="I28403" s="4" t="str">
        <v/>
      </c>
    </row>
    <row r="28404" spans="5:9" ht="16.5" hidden="1">
      <c r="E28404" s="4" t="str">
        <v/>
      </c>
      <c r="F28404" s="102" t="str">
        <f ca="1">IFERROR(__xludf.DUMMYFUNCTION("IMPORTRANGE(H28404,""IDENTITAS UNIT!D9"")"),"#N/A")</f>
        <v>#N/A</v>
      </c>
      <c r="H28404" s="4" t="str">
        <v/>
      </c>
      <c r="I28404" s="4" t="str">
        <v/>
      </c>
    </row>
    <row r="28405" spans="5:9" ht="16.5" hidden="1">
      <c r="E28405" s="4" t="str">
        <v/>
      </c>
      <c r="F28405" s="102" t="str">
        <f ca="1">IFERROR(__xludf.DUMMYFUNCTION("IMPORTRANGE(H28405,""IDENTITAS UNIT!D9"")"),"#N/A")</f>
        <v>#N/A</v>
      </c>
      <c r="H28405" s="4" t="str">
        <v/>
      </c>
      <c r="I28405" s="4" t="str">
        <v/>
      </c>
    </row>
    <row r="28406" spans="5:9" ht="16.5" hidden="1">
      <c r="E28406" s="4" t="str">
        <v/>
      </c>
      <c r="F28406" s="102" t="str">
        <f ca="1">IFERROR(__xludf.DUMMYFUNCTION("IMPORTRANGE(H28406,""IDENTITAS UNIT!D9"")"),"#N/A")</f>
        <v>#N/A</v>
      </c>
      <c r="H28406" s="4" t="str">
        <v/>
      </c>
      <c r="I28406" s="4" t="str">
        <v/>
      </c>
    </row>
    <row r="28407" spans="5:9" ht="16.5" hidden="1">
      <c r="E28407" s="4" t="str">
        <v/>
      </c>
      <c r="F28407" s="102" t="str">
        <f ca="1">IFERROR(__xludf.DUMMYFUNCTION("IMPORTRANGE(H28407,""IDENTITAS UNIT!D9"")"),"#N/A")</f>
        <v>#N/A</v>
      </c>
      <c r="H28407" s="4" t="str">
        <v/>
      </c>
      <c r="I28407" s="4" t="str">
        <v/>
      </c>
    </row>
    <row r="28408" spans="5:9" ht="16.5" hidden="1">
      <c r="E28408" s="4" t="str">
        <v/>
      </c>
      <c r="F28408" s="102" t="str">
        <f ca="1">IFERROR(__xludf.DUMMYFUNCTION("IMPORTRANGE(H28408,""IDENTITAS UNIT!D9"")"),"#N/A")</f>
        <v>#N/A</v>
      </c>
      <c r="H28408" s="4" t="str">
        <v/>
      </c>
      <c r="I28408" s="4" t="str">
        <v/>
      </c>
    </row>
    <row r="28409" spans="5:9" ht="16.5" hidden="1">
      <c r="E28409" s="4" t="str">
        <v/>
      </c>
      <c r="F28409" s="102" t="str">
        <f ca="1">IFERROR(__xludf.DUMMYFUNCTION("IMPORTRANGE(H28409,""IDENTITAS UNIT!D9"")"),"#N/A")</f>
        <v>#N/A</v>
      </c>
      <c r="H28409" s="4" t="str">
        <v/>
      </c>
      <c r="I28409" s="4" t="str">
        <v/>
      </c>
    </row>
    <row r="28410" spans="5:9" ht="16.5" hidden="1">
      <c r="E28410" s="4" t="str">
        <v/>
      </c>
      <c r="F28410" s="102" t="str">
        <f ca="1">IFERROR(__xludf.DUMMYFUNCTION("IMPORTRANGE(H28410,""IDENTITAS UNIT!D9"")"),"#N/A")</f>
        <v>#N/A</v>
      </c>
      <c r="H28410" s="4" t="str">
        <v/>
      </c>
      <c r="I28410" s="4" t="str">
        <v/>
      </c>
    </row>
    <row r="28411" spans="5:9" ht="16.5" hidden="1">
      <c r="E28411" s="4" t="str">
        <v/>
      </c>
      <c r="F28411" s="102" t="str">
        <f ca="1">IFERROR(__xludf.DUMMYFUNCTION("IMPORTRANGE(H28411,""IDENTITAS UNIT!D9"")"),"#N/A")</f>
        <v>#N/A</v>
      </c>
      <c r="H28411" s="4" t="str">
        <v/>
      </c>
      <c r="I28411" s="4" t="str">
        <v/>
      </c>
    </row>
    <row r="28412" spans="5:9" ht="16.5" hidden="1">
      <c r="E28412" s="4" t="str">
        <v/>
      </c>
      <c r="F28412" s="102" t="str">
        <f ca="1">IFERROR(__xludf.DUMMYFUNCTION("IMPORTRANGE(H28412,""IDENTITAS UNIT!D9"")"),"#N/A")</f>
        <v>#N/A</v>
      </c>
      <c r="H28412" s="4" t="str">
        <v/>
      </c>
      <c r="I28412" s="4" t="str">
        <v/>
      </c>
    </row>
    <row r="28413" spans="5:9" ht="16.5" hidden="1">
      <c r="E28413" s="4" t="str">
        <v/>
      </c>
      <c r="F28413" s="102" t="str">
        <f ca="1">IFERROR(__xludf.DUMMYFUNCTION("IMPORTRANGE(H28413,""IDENTITAS UNIT!D9"")"),"#N/A")</f>
        <v>#N/A</v>
      </c>
      <c r="H28413" s="4" t="str">
        <v/>
      </c>
      <c r="I28413" s="4" t="str">
        <v/>
      </c>
    </row>
    <row r="28414" spans="5:9" ht="16.5" hidden="1">
      <c r="E28414" s="4" t="str">
        <v/>
      </c>
      <c r="F28414" s="102" t="str">
        <f ca="1">IFERROR(__xludf.DUMMYFUNCTION("IMPORTRANGE(H28414,""IDENTITAS UNIT!D9"")"),"#N/A")</f>
        <v>#N/A</v>
      </c>
      <c r="H28414" s="4" t="str">
        <v/>
      </c>
      <c r="I28414" s="4" t="str">
        <v/>
      </c>
    </row>
    <row r="28415" spans="5:9" ht="16.5" hidden="1">
      <c r="E28415" s="4" t="str">
        <v/>
      </c>
      <c r="F28415" s="102" t="str">
        <f ca="1">IFERROR(__xludf.DUMMYFUNCTION("IMPORTRANGE(H28415,""IDENTITAS UNIT!D9"")"),"#N/A")</f>
        <v>#N/A</v>
      </c>
      <c r="H28415" s="4" t="str">
        <v/>
      </c>
      <c r="I28415" s="4" t="str">
        <v/>
      </c>
    </row>
    <row r="28416" spans="5:9" ht="16.5" hidden="1">
      <c r="E28416" s="4" t="str">
        <v/>
      </c>
      <c r="F28416" s="102" t="str">
        <f ca="1">IFERROR(__xludf.DUMMYFUNCTION("IMPORTRANGE(H28416,""IDENTITAS UNIT!D9"")"),"#N/A")</f>
        <v>#N/A</v>
      </c>
      <c r="H28416" s="4" t="str">
        <v/>
      </c>
      <c r="I28416" s="4" t="str">
        <v/>
      </c>
    </row>
    <row r="28417" spans="5:9" ht="16.5" hidden="1">
      <c r="E28417" s="4" t="str">
        <v/>
      </c>
      <c r="F28417" s="102" t="str">
        <f ca="1">IFERROR(__xludf.DUMMYFUNCTION("IMPORTRANGE(H28417,""IDENTITAS UNIT!D9"")"),"#N/A")</f>
        <v>#N/A</v>
      </c>
      <c r="H28417" s="4" t="str">
        <v/>
      </c>
      <c r="I28417" s="4" t="str">
        <v/>
      </c>
    </row>
    <row r="28418" spans="5:9" ht="16.5" hidden="1">
      <c r="E28418" s="4" t="str">
        <v/>
      </c>
      <c r="F28418" s="102" t="str">
        <f ca="1">IFERROR(__xludf.DUMMYFUNCTION("IMPORTRANGE(H28418,""IDENTITAS UNIT!D9"")"),"#N/A")</f>
        <v>#N/A</v>
      </c>
      <c r="H28418" s="4" t="str">
        <v/>
      </c>
      <c r="I28418" s="4" t="str">
        <v/>
      </c>
    </row>
    <row r="28419" spans="5:9" ht="16.5" hidden="1">
      <c r="E28419" s="4" t="str">
        <v/>
      </c>
      <c r="F28419" s="102" t="str">
        <f ca="1">IFERROR(__xludf.DUMMYFUNCTION("IMPORTRANGE(H28419,""IDENTITAS UNIT!D9"")"),"#N/A")</f>
        <v>#N/A</v>
      </c>
      <c r="H28419" s="4" t="str">
        <v/>
      </c>
      <c r="I28419" s="4" t="str">
        <v/>
      </c>
    </row>
    <row r="28420" spans="5:9" ht="16.5" hidden="1">
      <c r="E28420" s="4" t="str">
        <v/>
      </c>
      <c r="F28420" s="102" t="str">
        <f ca="1">IFERROR(__xludf.DUMMYFUNCTION("IMPORTRANGE(H28420,""IDENTITAS UNIT!D9"")"),"#N/A")</f>
        <v>#N/A</v>
      </c>
      <c r="H28420" s="4" t="str">
        <v/>
      </c>
      <c r="I28420" s="4" t="str">
        <v/>
      </c>
    </row>
    <row r="28421" spans="5:9" ht="16.5" hidden="1">
      <c r="E28421" s="4" t="str">
        <v/>
      </c>
      <c r="F28421" s="102" t="str">
        <f ca="1">IFERROR(__xludf.DUMMYFUNCTION("IMPORTRANGE(H28421,""IDENTITAS UNIT!D9"")"),"#N/A")</f>
        <v>#N/A</v>
      </c>
      <c r="H28421" s="4" t="str">
        <v/>
      </c>
      <c r="I28421" s="4" t="str">
        <v/>
      </c>
    </row>
    <row r="28422" spans="5:9" ht="16.5" hidden="1">
      <c r="E28422" s="4" t="str">
        <v/>
      </c>
      <c r="F28422" s="102" t="str">
        <f ca="1">IFERROR(__xludf.DUMMYFUNCTION("IMPORTRANGE(H28422,""IDENTITAS UNIT!D9"")"),"#N/A")</f>
        <v>#N/A</v>
      </c>
      <c r="H28422" s="4" t="str">
        <v/>
      </c>
      <c r="I28422" s="4" t="str">
        <v/>
      </c>
    </row>
    <row r="28423" spans="5:9" ht="16.5" hidden="1">
      <c r="E28423" s="4" t="str">
        <v/>
      </c>
      <c r="F28423" s="102" t="str">
        <f ca="1">IFERROR(__xludf.DUMMYFUNCTION("IMPORTRANGE(H28423,""IDENTITAS UNIT!D9"")"),"#N/A")</f>
        <v>#N/A</v>
      </c>
      <c r="H28423" s="4" t="str">
        <v/>
      </c>
      <c r="I28423" s="4" t="str">
        <v/>
      </c>
    </row>
    <row r="28424" spans="5:9" ht="16.5" hidden="1">
      <c r="E28424" s="4" t="str">
        <v/>
      </c>
      <c r="F28424" s="102" t="str">
        <f ca="1">IFERROR(__xludf.DUMMYFUNCTION("IMPORTRANGE(H28424,""IDENTITAS UNIT!D9"")"),"#N/A")</f>
        <v>#N/A</v>
      </c>
      <c r="H28424" s="4" t="str">
        <v/>
      </c>
      <c r="I28424" s="4" t="str">
        <v/>
      </c>
    </row>
    <row r="28425" spans="5:9" ht="16.5" hidden="1">
      <c r="E28425" s="4" t="str">
        <v/>
      </c>
      <c r="F28425" s="102" t="str">
        <f ca="1">IFERROR(__xludf.DUMMYFUNCTION("IMPORTRANGE(H28425,""IDENTITAS UNIT!D9"")"),"#N/A")</f>
        <v>#N/A</v>
      </c>
      <c r="H28425" s="4" t="str">
        <v/>
      </c>
      <c r="I28425" s="4" t="str">
        <v/>
      </c>
    </row>
    <row r="28426" spans="5:9" ht="16.5" hidden="1">
      <c r="E28426" s="4" t="str">
        <v/>
      </c>
      <c r="F28426" s="102" t="str">
        <f ca="1">IFERROR(__xludf.DUMMYFUNCTION("IMPORTRANGE(H28426,""IDENTITAS UNIT!D9"")"),"#N/A")</f>
        <v>#N/A</v>
      </c>
      <c r="H28426" s="4" t="str">
        <v/>
      </c>
      <c r="I28426" s="4" t="str">
        <v/>
      </c>
    </row>
    <row r="28427" spans="5:9" ht="16.5" hidden="1">
      <c r="E28427" s="4" t="str">
        <v/>
      </c>
      <c r="F28427" s="102" t="str">
        <f ca="1">IFERROR(__xludf.DUMMYFUNCTION("IMPORTRANGE(H28427,""IDENTITAS UNIT!D9"")"),"#N/A")</f>
        <v>#N/A</v>
      </c>
      <c r="H28427" s="4" t="str">
        <v/>
      </c>
      <c r="I28427" s="4" t="str">
        <v/>
      </c>
    </row>
    <row r="28428" spans="5:9" ht="16.5" hidden="1">
      <c r="E28428" s="4" t="str">
        <v/>
      </c>
      <c r="F28428" s="102" t="str">
        <f ca="1">IFERROR(__xludf.DUMMYFUNCTION("IMPORTRANGE(H28428,""IDENTITAS UNIT!D9"")"),"#N/A")</f>
        <v>#N/A</v>
      </c>
      <c r="H28428" s="4" t="str">
        <v/>
      </c>
      <c r="I28428" s="4" t="str">
        <v/>
      </c>
    </row>
    <row r="28429" spans="5:9" ht="16.5" hidden="1">
      <c r="E28429" s="4" t="str">
        <v/>
      </c>
      <c r="F28429" s="102" t="str">
        <f ca="1">IFERROR(__xludf.DUMMYFUNCTION("IMPORTRANGE(H28429,""IDENTITAS UNIT!D9"")"),"#N/A")</f>
        <v>#N/A</v>
      </c>
      <c r="H28429" s="4" t="str">
        <v/>
      </c>
      <c r="I28429" s="4" t="str">
        <v/>
      </c>
    </row>
    <row r="28430" spans="5:9" ht="16.5" hidden="1">
      <c r="E28430" s="4" t="str">
        <v/>
      </c>
      <c r="F28430" s="102" t="str">
        <f ca="1">IFERROR(__xludf.DUMMYFUNCTION("IMPORTRANGE(H28430,""IDENTITAS UNIT!D9"")"),"#N/A")</f>
        <v>#N/A</v>
      </c>
      <c r="H28430" s="4" t="str">
        <v/>
      </c>
      <c r="I28430" s="4" t="str">
        <v/>
      </c>
    </row>
    <row r="28431" spans="5:9" ht="16.5" hidden="1">
      <c r="E28431" s="4" t="str">
        <v/>
      </c>
      <c r="F28431" s="102" t="str">
        <f ca="1">IFERROR(__xludf.DUMMYFUNCTION("IMPORTRANGE(H28431,""IDENTITAS UNIT!D9"")"),"#N/A")</f>
        <v>#N/A</v>
      </c>
      <c r="H28431" s="4" t="str">
        <v/>
      </c>
      <c r="I28431" s="4" t="str">
        <v/>
      </c>
    </row>
    <row r="28432" spans="5:9" ht="16.5" hidden="1">
      <c r="E28432" s="4" t="str">
        <v/>
      </c>
      <c r="F28432" s="102" t="str">
        <f ca="1">IFERROR(__xludf.DUMMYFUNCTION("IMPORTRANGE(H28432,""IDENTITAS UNIT!D9"")"),"#N/A")</f>
        <v>#N/A</v>
      </c>
      <c r="H28432" s="4" t="str">
        <v/>
      </c>
      <c r="I28432" s="4" t="str">
        <v/>
      </c>
    </row>
    <row r="28433" spans="5:9" ht="16.5" hidden="1">
      <c r="E28433" s="4" t="str">
        <v/>
      </c>
      <c r="F28433" s="102" t="str">
        <f ca="1">IFERROR(__xludf.DUMMYFUNCTION("IMPORTRANGE(H28433,""IDENTITAS UNIT!D9"")"),"#N/A")</f>
        <v>#N/A</v>
      </c>
      <c r="H28433" s="4" t="str">
        <v/>
      </c>
      <c r="I28433" s="4" t="str">
        <v/>
      </c>
    </row>
    <row r="28434" spans="5:9" ht="16.5" hidden="1">
      <c r="E28434" s="4" t="str">
        <v/>
      </c>
      <c r="F28434" s="102" t="str">
        <f ca="1">IFERROR(__xludf.DUMMYFUNCTION("IMPORTRANGE(H28434,""IDENTITAS UNIT!D9"")"),"#N/A")</f>
        <v>#N/A</v>
      </c>
      <c r="H28434" s="4" t="str">
        <v/>
      </c>
      <c r="I28434" s="4" t="str">
        <v/>
      </c>
    </row>
    <row r="28435" spans="5:9" ht="16.5" hidden="1">
      <c r="E28435" s="4" t="str">
        <v/>
      </c>
      <c r="F28435" s="102" t="str">
        <f ca="1">IFERROR(__xludf.DUMMYFUNCTION("IMPORTRANGE(H28435,""IDENTITAS UNIT!D9"")"),"#N/A")</f>
        <v>#N/A</v>
      </c>
      <c r="H28435" s="4" t="str">
        <v/>
      </c>
      <c r="I28435" s="4" t="str">
        <v/>
      </c>
    </row>
    <row r="28436" spans="5:9" ht="16.5" hidden="1">
      <c r="E28436" s="4" t="str">
        <v/>
      </c>
      <c r="F28436" s="102" t="str">
        <f ca="1">IFERROR(__xludf.DUMMYFUNCTION("IMPORTRANGE(H28436,""IDENTITAS UNIT!D9"")"),"#N/A")</f>
        <v>#N/A</v>
      </c>
      <c r="H28436" s="4" t="str">
        <v/>
      </c>
      <c r="I28436" s="4" t="str">
        <v/>
      </c>
    </row>
    <row r="28437" spans="5:9" ht="16.5" hidden="1">
      <c r="E28437" s="4" t="str">
        <v/>
      </c>
      <c r="F28437" s="102" t="str">
        <f ca="1">IFERROR(__xludf.DUMMYFUNCTION("IMPORTRANGE(H28437,""IDENTITAS UNIT!D9"")"),"#N/A")</f>
        <v>#N/A</v>
      </c>
      <c r="H28437" s="4" t="str">
        <v/>
      </c>
      <c r="I28437" s="4" t="str">
        <v/>
      </c>
    </row>
    <row r="28438" spans="5:9" ht="16.5" hidden="1">
      <c r="E28438" s="4" t="str">
        <v/>
      </c>
      <c r="F28438" s="102" t="str">
        <f ca="1">IFERROR(__xludf.DUMMYFUNCTION("IMPORTRANGE(H28438,""IDENTITAS UNIT!D9"")"),"#N/A")</f>
        <v>#N/A</v>
      </c>
      <c r="H28438" s="4" t="str">
        <v/>
      </c>
      <c r="I28438" s="4" t="str">
        <v/>
      </c>
    </row>
    <row r="28439" spans="5:9" ht="16.5" hidden="1">
      <c r="E28439" s="4" t="str">
        <v/>
      </c>
      <c r="F28439" s="102" t="str">
        <f ca="1">IFERROR(__xludf.DUMMYFUNCTION("IMPORTRANGE(H28439,""IDENTITAS UNIT!D9"")"),"#N/A")</f>
        <v>#N/A</v>
      </c>
      <c r="H28439" s="4" t="str">
        <v/>
      </c>
      <c r="I28439" s="4" t="str">
        <v/>
      </c>
    </row>
    <row r="28440" spans="5:9" ht="16.5" hidden="1">
      <c r="E28440" s="4" t="str">
        <v/>
      </c>
      <c r="F28440" s="102" t="str">
        <f ca="1">IFERROR(__xludf.DUMMYFUNCTION("IMPORTRANGE(H28440,""IDENTITAS UNIT!D9"")"),"#N/A")</f>
        <v>#N/A</v>
      </c>
      <c r="H28440" s="4" t="str">
        <v/>
      </c>
      <c r="I28440" s="4" t="str">
        <v/>
      </c>
    </row>
    <row r="28441" spans="5:9" ht="16.5" hidden="1">
      <c r="E28441" s="4" t="str">
        <v/>
      </c>
      <c r="F28441" s="102" t="str">
        <f ca="1">IFERROR(__xludf.DUMMYFUNCTION("IMPORTRANGE(H28441,""IDENTITAS UNIT!D9"")"),"#N/A")</f>
        <v>#N/A</v>
      </c>
      <c r="H28441" s="4" t="str">
        <v/>
      </c>
      <c r="I28441" s="4" t="str">
        <v/>
      </c>
    </row>
    <row r="28442" spans="5:9" ht="16.5" hidden="1">
      <c r="E28442" s="4" t="str">
        <v/>
      </c>
      <c r="F28442" s="102" t="str">
        <f ca="1">IFERROR(__xludf.DUMMYFUNCTION("IMPORTRANGE(H28442,""IDENTITAS UNIT!D9"")"),"#N/A")</f>
        <v>#N/A</v>
      </c>
      <c r="H28442" s="4" t="str">
        <v/>
      </c>
      <c r="I28442" s="4" t="str">
        <v/>
      </c>
    </row>
    <row r="28443" spans="5:9" ht="16.5" hidden="1">
      <c r="E28443" s="4" t="str">
        <v/>
      </c>
      <c r="F28443" s="102" t="str">
        <f ca="1">IFERROR(__xludf.DUMMYFUNCTION("IMPORTRANGE(H28443,""IDENTITAS UNIT!D9"")"),"#N/A")</f>
        <v>#N/A</v>
      </c>
      <c r="H28443" s="4" t="str">
        <v/>
      </c>
      <c r="I28443" s="4" t="str">
        <v/>
      </c>
    </row>
    <row r="28444" spans="5:9" ht="16.5" hidden="1">
      <c r="E28444" s="4" t="str">
        <v/>
      </c>
      <c r="F28444" s="102" t="str">
        <f ca="1">IFERROR(__xludf.DUMMYFUNCTION("IMPORTRANGE(H28444,""IDENTITAS UNIT!D9"")"),"#N/A")</f>
        <v>#N/A</v>
      </c>
      <c r="H28444" s="4" t="str">
        <v/>
      </c>
      <c r="I28444" s="4" t="str">
        <v/>
      </c>
    </row>
    <row r="28445" spans="5:9" ht="16.5" hidden="1">
      <c r="E28445" s="4" t="str">
        <v/>
      </c>
      <c r="F28445" s="102" t="str">
        <f ca="1">IFERROR(__xludf.DUMMYFUNCTION("IMPORTRANGE(H28445,""IDENTITAS UNIT!D9"")"),"#N/A")</f>
        <v>#N/A</v>
      </c>
      <c r="H28445" s="4" t="str">
        <v/>
      </c>
      <c r="I28445" s="4" t="str">
        <v/>
      </c>
    </row>
    <row r="28446" spans="5:9" ht="16.5" hidden="1">
      <c r="E28446" s="4" t="str">
        <v/>
      </c>
      <c r="F28446" s="102" t="str">
        <f ca="1">IFERROR(__xludf.DUMMYFUNCTION("IMPORTRANGE(H28446,""IDENTITAS UNIT!D9"")"),"#N/A")</f>
        <v>#N/A</v>
      </c>
      <c r="H28446" s="4" t="str">
        <v/>
      </c>
      <c r="I28446" s="4" t="str">
        <v/>
      </c>
    </row>
    <row r="28447" spans="5:9" ht="16.5" hidden="1">
      <c r="E28447" s="4" t="str">
        <v/>
      </c>
      <c r="F28447" s="102" t="str">
        <f ca="1">IFERROR(__xludf.DUMMYFUNCTION("IMPORTRANGE(H28447,""IDENTITAS UNIT!D9"")"),"#N/A")</f>
        <v>#N/A</v>
      </c>
      <c r="H28447" s="4" t="str">
        <v/>
      </c>
      <c r="I28447" s="4" t="str">
        <v/>
      </c>
    </row>
    <row r="28448" spans="5:9" ht="16.5" hidden="1">
      <c r="E28448" s="4" t="str">
        <v/>
      </c>
      <c r="F28448" s="102" t="str">
        <f ca="1">IFERROR(__xludf.DUMMYFUNCTION("IMPORTRANGE(H28448,""IDENTITAS UNIT!D9"")"),"#N/A")</f>
        <v>#N/A</v>
      </c>
      <c r="H28448" s="4" t="str">
        <v/>
      </c>
      <c r="I28448" s="4" t="str">
        <v/>
      </c>
    </row>
    <row r="28449" spans="5:9" ht="16.5" hidden="1">
      <c r="E28449" s="4" t="str">
        <v/>
      </c>
      <c r="F28449" s="102" t="str">
        <f ca="1">IFERROR(__xludf.DUMMYFUNCTION("IMPORTRANGE(H28449,""IDENTITAS UNIT!D9"")"),"#N/A")</f>
        <v>#N/A</v>
      </c>
      <c r="H28449" s="4" t="str">
        <v/>
      </c>
      <c r="I28449" s="4" t="str">
        <v/>
      </c>
    </row>
    <row r="28450" spans="5:9" ht="16.5" hidden="1">
      <c r="E28450" s="4" t="str">
        <v/>
      </c>
      <c r="F28450" s="102" t="str">
        <f ca="1">IFERROR(__xludf.DUMMYFUNCTION("IMPORTRANGE(H28450,""IDENTITAS UNIT!D9"")"),"#N/A")</f>
        <v>#N/A</v>
      </c>
      <c r="H28450" s="4" t="str">
        <v/>
      </c>
      <c r="I28450" s="4" t="str">
        <v/>
      </c>
    </row>
    <row r="28451" spans="5:9" ht="16.5" hidden="1">
      <c r="E28451" s="4" t="str">
        <v/>
      </c>
      <c r="F28451" s="102" t="str">
        <f ca="1">IFERROR(__xludf.DUMMYFUNCTION("IMPORTRANGE(H28451,""IDENTITAS UNIT!D9"")"),"#N/A")</f>
        <v>#N/A</v>
      </c>
      <c r="H28451" s="4" t="str">
        <v/>
      </c>
      <c r="I28451" s="4" t="str">
        <v/>
      </c>
    </row>
    <row r="28452" spans="5:9" ht="16.5" hidden="1">
      <c r="E28452" s="4" t="str">
        <v/>
      </c>
      <c r="F28452" s="102" t="str">
        <f ca="1">IFERROR(__xludf.DUMMYFUNCTION("IMPORTRANGE(H28452,""IDENTITAS UNIT!D9"")"),"#N/A")</f>
        <v>#N/A</v>
      </c>
      <c r="H28452" s="4" t="str">
        <v/>
      </c>
      <c r="I28452" s="4" t="str">
        <v/>
      </c>
    </row>
    <row r="28453" spans="5:9" ht="16.5" hidden="1">
      <c r="E28453" s="4" t="str">
        <v/>
      </c>
      <c r="F28453" s="102" t="str">
        <f ca="1">IFERROR(__xludf.DUMMYFUNCTION("IMPORTRANGE(H28453,""IDENTITAS UNIT!D9"")"),"#N/A")</f>
        <v>#N/A</v>
      </c>
      <c r="H28453" s="4" t="str">
        <v/>
      </c>
      <c r="I28453" s="4" t="str">
        <v/>
      </c>
    </row>
    <row r="28454" spans="5:9" ht="16.5" hidden="1">
      <c r="E28454" s="4" t="str">
        <v/>
      </c>
      <c r="F28454" s="102" t="str">
        <f ca="1">IFERROR(__xludf.DUMMYFUNCTION("IMPORTRANGE(H28454,""IDENTITAS UNIT!D9"")"),"#N/A")</f>
        <v>#N/A</v>
      </c>
      <c r="H28454" s="4" t="str">
        <v/>
      </c>
      <c r="I28454" s="4" t="str">
        <v/>
      </c>
    </row>
    <row r="28455" spans="5:9" ht="16.5" hidden="1">
      <c r="E28455" s="4" t="str">
        <v/>
      </c>
      <c r="F28455" s="102" t="str">
        <f ca="1">IFERROR(__xludf.DUMMYFUNCTION("IMPORTRANGE(H28455,""IDENTITAS UNIT!D9"")"),"#N/A")</f>
        <v>#N/A</v>
      </c>
      <c r="H28455" s="4" t="str">
        <v/>
      </c>
      <c r="I28455" s="4" t="str">
        <v/>
      </c>
    </row>
    <row r="28456" spans="5:9" ht="16.5" hidden="1">
      <c r="E28456" s="4" t="str">
        <v/>
      </c>
      <c r="F28456" s="102" t="str">
        <f ca="1">IFERROR(__xludf.DUMMYFUNCTION("IMPORTRANGE(H28456,""IDENTITAS UNIT!D9"")"),"#N/A")</f>
        <v>#N/A</v>
      </c>
      <c r="H28456" s="4" t="str">
        <v/>
      </c>
      <c r="I28456" s="4" t="str">
        <v/>
      </c>
    </row>
    <row r="28457" spans="5:9" ht="16.5" hidden="1">
      <c r="E28457" s="4" t="str">
        <v/>
      </c>
      <c r="F28457" s="102" t="str">
        <f ca="1">IFERROR(__xludf.DUMMYFUNCTION("IMPORTRANGE(H28457,""IDENTITAS UNIT!D9"")"),"#N/A")</f>
        <v>#N/A</v>
      </c>
      <c r="H28457" s="4" t="str">
        <v/>
      </c>
      <c r="I28457" s="4" t="str">
        <v/>
      </c>
    </row>
    <row r="28458" spans="5:9" ht="16.5" hidden="1">
      <c r="E28458" s="4" t="str">
        <v/>
      </c>
      <c r="F28458" s="102" t="str">
        <f ca="1">IFERROR(__xludf.DUMMYFUNCTION("IMPORTRANGE(H28458,""IDENTITAS UNIT!D9"")"),"#N/A")</f>
        <v>#N/A</v>
      </c>
      <c r="H28458" s="4" t="str">
        <v/>
      </c>
      <c r="I28458" s="4" t="str">
        <v/>
      </c>
    </row>
    <row r="28459" spans="5:9" ht="16.5" hidden="1">
      <c r="E28459" s="4" t="str">
        <v/>
      </c>
      <c r="F28459" s="102" t="str">
        <f ca="1">IFERROR(__xludf.DUMMYFUNCTION("IMPORTRANGE(H28459,""IDENTITAS UNIT!D9"")"),"#N/A")</f>
        <v>#N/A</v>
      </c>
      <c r="H28459" s="4" t="str">
        <v/>
      </c>
      <c r="I28459" s="4" t="str">
        <v/>
      </c>
    </row>
    <row r="28460" spans="5:9" ht="16.5" hidden="1">
      <c r="E28460" s="4" t="str">
        <v/>
      </c>
      <c r="F28460" s="102" t="str">
        <f ca="1">IFERROR(__xludf.DUMMYFUNCTION("IMPORTRANGE(H28460,""IDENTITAS UNIT!D9"")"),"#N/A")</f>
        <v>#N/A</v>
      </c>
      <c r="H28460" s="4" t="str">
        <v/>
      </c>
      <c r="I28460" s="4" t="str">
        <v/>
      </c>
    </row>
    <row r="28461" spans="5:9" ht="16.5" hidden="1">
      <c r="E28461" s="4" t="str">
        <v/>
      </c>
      <c r="F28461" s="102" t="str">
        <f ca="1">IFERROR(__xludf.DUMMYFUNCTION("IMPORTRANGE(H28461,""IDENTITAS UNIT!D9"")"),"#N/A")</f>
        <v>#N/A</v>
      </c>
      <c r="H28461" s="4" t="str">
        <v/>
      </c>
      <c r="I28461" s="4" t="str">
        <v/>
      </c>
    </row>
    <row r="28462" spans="5:9" ht="16.5" hidden="1">
      <c r="E28462" s="4" t="str">
        <v/>
      </c>
      <c r="F28462" s="102" t="str">
        <f ca="1">IFERROR(__xludf.DUMMYFUNCTION("IMPORTRANGE(H28462,""IDENTITAS UNIT!D9"")"),"#N/A")</f>
        <v>#N/A</v>
      </c>
      <c r="H28462" s="4" t="str">
        <v/>
      </c>
      <c r="I28462" s="4" t="str">
        <v/>
      </c>
    </row>
    <row r="28463" spans="5:9" ht="16.5" hidden="1">
      <c r="E28463" s="4" t="str">
        <v/>
      </c>
      <c r="F28463" s="102" t="str">
        <f ca="1">IFERROR(__xludf.DUMMYFUNCTION("IMPORTRANGE(H28463,""IDENTITAS UNIT!D9"")"),"#N/A")</f>
        <v>#N/A</v>
      </c>
      <c r="H28463" s="4" t="str">
        <v/>
      </c>
      <c r="I28463" s="4" t="str">
        <v/>
      </c>
    </row>
    <row r="28464" spans="5:9" ht="16.5" hidden="1">
      <c r="E28464" s="4" t="str">
        <v/>
      </c>
      <c r="F28464" s="102" t="str">
        <f ca="1">IFERROR(__xludf.DUMMYFUNCTION("IMPORTRANGE(H28464,""IDENTITAS UNIT!D9"")"),"#N/A")</f>
        <v>#N/A</v>
      </c>
      <c r="H28464" s="4" t="str">
        <v/>
      </c>
      <c r="I28464" s="4" t="str">
        <v/>
      </c>
    </row>
    <row r="28465" spans="5:9" ht="16.5" hidden="1">
      <c r="E28465" s="4" t="str">
        <v/>
      </c>
      <c r="F28465" s="102" t="str">
        <f ca="1">IFERROR(__xludf.DUMMYFUNCTION("IMPORTRANGE(H28465,""IDENTITAS UNIT!D9"")"),"#N/A")</f>
        <v>#N/A</v>
      </c>
      <c r="H28465" s="4" t="str">
        <v/>
      </c>
      <c r="I28465" s="4" t="str">
        <v/>
      </c>
    </row>
    <row r="28466" spans="5:9" ht="16.5" hidden="1">
      <c r="E28466" s="4" t="str">
        <v/>
      </c>
      <c r="F28466" s="102" t="str">
        <f ca="1">IFERROR(__xludf.DUMMYFUNCTION("IMPORTRANGE(H28466,""IDENTITAS UNIT!D9"")"),"#N/A")</f>
        <v>#N/A</v>
      </c>
      <c r="H28466" s="4" t="str">
        <v/>
      </c>
      <c r="I28466" s="4" t="str">
        <v/>
      </c>
    </row>
    <row r="28467" spans="5:9" ht="16.5" hidden="1">
      <c r="E28467" s="4" t="str">
        <v/>
      </c>
      <c r="F28467" s="102" t="str">
        <f ca="1">IFERROR(__xludf.DUMMYFUNCTION("IMPORTRANGE(H28467,""IDENTITAS UNIT!D9"")"),"#N/A")</f>
        <v>#N/A</v>
      </c>
      <c r="H28467" s="4" t="str">
        <v/>
      </c>
      <c r="I28467" s="4" t="str">
        <v/>
      </c>
    </row>
    <row r="28468" spans="5:9" ht="16.5" hidden="1">
      <c r="E28468" s="4" t="str">
        <v/>
      </c>
      <c r="F28468" s="102" t="str">
        <f ca="1">IFERROR(__xludf.DUMMYFUNCTION("IMPORTRANGE(H28468,""IDENTITAS UNIT!D9"")"),"#N/A")</f>
        <v>#N/A</v>
      </c>
      <c r="H28468" s="4" t="str">
        <v/>
      </c>
      <c r="I28468" s="4" t="str">
        <v/>
      </c>
    </row>
    <row r="28469" spans="5:9" ht="16.5" hidden="1">
      <c r="E28469" s="4" t="str">
        <v/>
      </c>
      <c r="F28469" s="102" t="str">
        <f ca="1">IFERROR(__xludf.DUMMYFUNCTION("IMPORTRANGE(H28469,""IDENTITAS UNIT!D9"")"),"#N/A")</f>
        <v>#N/A</v>
      </c>
      <c r="H28469" s="4" t="str">
        <v/>
      </c>
      <c r="I28469" s="4" t="str">
        <v/>
      </c>
    </row>
    <row r="28470" spans="5:9" ht="16.5" hidden="1">
      <c r="E28470" s="4" t="str">
        <v/>
      </c>
      <c r="F28470" s="102" t="str">
        <f ca="1">IFERROR(__xludf.DUMMYFUNCTION("IMPORTRANGE(H28470,""IDENTITAS UNIT!D9"")"),"#N/A")</f>
        <v>#N/A</v>
      </c>
      <c r="H28470" s="4" t="str">
        <v/>
      </c>
      <c r="I28470" s="4" t="str">
        <v/>
      </c>
    </row>
    <row r="28471" spans="5:9" ht="16.5" hidden="1">
      <c r="E28471" s="4" t="str">
        <v/>
      </c>
      <c r="F28471" s="102" t="str">
        <f ca="1">IFERROR(__xludf.DUMMYFUNCTION("IMPORTRANGE(H28471,""IDENTITAS UNIT!D9"")"),"#N/A")</f>
        <v>#N/A</v>
      </c>
      <c r="H28471" s="4" t="str">
        <v/>
      </c>
      <c r="I28471" s="4" t="str">
        <v/>
      </c>
    </row>
    <row r="28472" spans="5:9" ht="16.5" hidden="1">
      <c r="E28472" s="4" t="str">
        <v/>
      </c>
      <c r="F28472" s="102" t="str">
        <f ca="1">IFERROR(__xludf.DUMMYFUNCTION("IMPORTRANGE(H28472,""IDENTITAS UNIT!D9"")"),"#N/A")</f>
        <v>#N/A</v>
      </c>
      <c r="H28472" s="4" t="str">
        <v/>
      </c>
      <c r="I28472" s="4" t="str">
        <v/>
      </c>
    </row>
    <row r="28473" spans="5:9" ht="16.5" hidden="1">
      <c r="E28473" s="4" t="str">
        <v/>
      </c>
      <c r="F28473" s="102" t="str">
        <f ca="1">IFERROR(__xludf.DUMMYFUNCTION("IMPORTRANGE(H28473,""IDENTITAS UNIT!D9"")"),"#N/A")</f>
        <v>#N/A</v>
      </c>
      <c r="H28473" s="4" t="str">
        <v/>
      </c>
      <c r="I28473" s="4" t="str">
        <v/>
      </c>
    </row>
    <row r="28474" spans="5:9" ht="16.5" hidden="1">
      <c r="E28474" s="4" t="str">
        <v/>
      </c>
      <c r="F28474" s="102" t="str">
        <f ca="1">IFERROR(__xludf.DUMMYFUNCTION("IMPORTRANGE(H28474,""IDENTITAS UNIT!D9"")"),"#N/A")</f>
        <v>#N/A</v>
      </c>
      <c r="H28474" s="4" t="str">
        <v/>
      </c>
      <c r="I28474" s="4" t="str">
        <v/>
      </c>
    </row>
    <row r="28475" spans="5:9" ht="16.5" hidden="1">
      <c r="E28475" s="4" t="str">
        <v/>
      </c>
      <c r="F28475" s="102" t="str">
        <f ca="1">IFERROR(__xludf.DUMMYFUNCTION("IMPORTRANGE(H28475,""IDENTITAS UNIT!D9"")"),"#N/A")</f>
        <v>#N/A</v>
      </c>
      <c r="H28475" s="4" t="str">
        <v/>
      </c>
      <c r="I28475" s="4" t="str">
        <v/>
      </c>
    </row>
    <row r="28476" spans="5:9" ht="16.5" hidden="1">
      <c r="E28476" s="4" t="str">
        <v/>
      </c>
      <c r="F28476" s="102" t="str">
        <f ca="1">IFERROR(__xludf.DUMMYFUNCTION("IMPORTRANGE(H28476,""IDENTITAS UNIT!D9"")"),"#N/A")</f>
        <v>#N/A</v>
      </c>
      <c r="H28476" s="4" t="str">
        <v/>
      </c>
      <c r="I28476" s="4" t="str">
        <v/>
      </c>
    </row>
    <row r="28477" spans="5:9" ht="16.5" hidden="1">
      <c r="E28477" s="4" t="str">
        <v/>
      </c>
      <c r="F28477" s="102" t="str">
        <f ca="1">IFERROR(__xludf.DUMMYFUNCTION("IMPORTRANGE(H28477,""IDENTITAS UNIT!D9"")"),"#N/A")</f>
        <v>#N/A</v>
      </c>
      <c r="H28477" s="4" t="str">
        <v/>
      </c>
      <c r="I28477" s="4" t="str">
        <v/>
      </c>
    </row>
    <row r="28478" spans="5:9" ht="16.5" hidden="1">
      <c r="E28478" s="4" t="str">
        <v/>
      </c>
      <c r="F28478" s="102" t="str">
        <f ca="1">IFERROR(__xludf.DUMMYFUNCTION("IMPORTRANGE(H28478,""IDENTITAS UNIT!D9"")"),"#N/A")</f>
        <v>#N/A</v>
      </c>
      <c r="H28478" s="4" t="str">
        <v/>
      </c>
      <c r="I28478" s="4" t="str">
        <v/>
      </c>
    </row>
    <row r="28479" spans="5:9" ht="16.5" hidden="1">
      <c r="E28479" s="4" t="str">
        <v/>
      </c>
      <c r="F28479" s="102" t="str">
        <f ca="1">IFERROR(__xludf.DUMMYFUNCTION("IMPORTRANGE(H28479,""IDENTITAS UNIT!D9"")"),"#N/A")</f>
        <v>#N/A</v>
      </c>
      <c r="H28479" s="4" t="str">
        <v/>
      </c>
      <c r="I28479" s="4" t="str">
        <v/>
      </c>
    </row>
    <row r="28480" spans="5:9" ht="16.5" hidden="1">
      <c r="E28480" s="4" t="str">
        <v/>
      </c>
      <c r="F28480" s="102" t="str">
        <f ca="1">IFERROR(__xludf.DUMMYFUNCTION("IMPORTRANGE(H28480,""IDENTITAS UNIT!D9"")"),"#N/A")</f>
        <v>#N/A</v>
      </c>
      <c r="H28480" s="4" t="str">
        <v/>
      </c>
      <c r="I28480" s="4" t="str">
        <v/>
      </c>
    </row>
    <row r="28481" spans="5:9" ht="16.5" hidden="1">
      <c r="E28481" s="4" t="str">
        <v/>
      </c>
      <c r="F28481" s="102" t="str">
        <f ca="1">IFERROR(__xludf.DUMMYFUNCTION("IMPORTRANGE(H28481,""IDENTITAS UNIT!D9"")"),"#N/A")</f>
        <v>#N/A</v>
      </c>
      <c r="H28481" s="4" t="str">
        <v/>
      </c>
      <c r="I28481" s="4" t="str">
        <v/>
      </c>
    </row>
    <row r="28482" spans="5:9" ht="16.5" hidden="1">
      <c r="E28482" s="4" t="str">
        <v/>
      </c>
      <c r="F28482" s="102" t="str">
        <f ca="1">IFERROR(__xludf.DUMMYFUNCTION("IMPORTRANGE(H28482,""IDENTITAS UNIT!D9"")"),"#N/A")</f>
        <v>#N/A</v>
      </c>
      <c r="H28482" s="4" t="str">
        <v/>
      </c>
      <c r="I28482" s="4" t="str">
        <v/>
      </c>
    </row>
    <row r="28483" spans="5:9" ht="16.5" hidden="1">
      <c r="E28483" s="4" t="str">
        <v/>
      </c>
      <c r="F28483" s="102" t="str">
        <f ca="1">IFERROR(__xludf.DUMMYFUNCTION("IMPORTRANGE(H28483,""IDENTITAS UNIT!D9"")"),"#N/A")</f>
        <v>#N/A</v>
      </c>
      <c r="H28483" s="4" t="str">
        <v/>
      </c>
      <c r="I28483" s="4" t="str">
        <v/>
      </c>
    </row>
    <row r="28484" spans="5:9" ht="16.5" hidden="1">
      <c r="E28484" s="4" t="str">
        <v/>
      </c>
      <c r="F28484" s="102" t="str">
        <f ca="1">IFERROR(__xludf.DUMMYFUNCTION("IMPORTRANGE(H28484,""IDENTITAS UNIT!D9"")"),"#N/A")</f>
        <v>#N/A</v>
      </c>
      <c r="H28484" s="4" t="str">
        <v/>
      </c>
      <c r="I28484" s="4" t="str">
        <v/>
      </c>
    </row>
    <row r="28485" spans="5:9" ht="16.5" hidden="1">
      <c r="E28485" s="4" t="str">
        <v/>
      </c>
      <c r="F28485" s="102" t="str">
        <f ca="1">IFERROR(__xludf.DUMMYFUNCTION("IMPORTRANGE(H28485,""IDENTITAS UNIT!D9"")"),"#N/A")</f>
        <v>#N/A</v>
      </c>
      <c r="H28485" s="4" t="str">
        <v/>
      </c>
      <c r="I28485" s="4" t="str">
        <v/>
      </c>
    </row>
    <row r="28486" spans="5:9" ht="16.5" hidden="1">
      <c r="E28486" s="4" t="str">
        <v/>
      </c>
      <c r="F28486" s="102" t="str">
        <f ca="1">IFERROR(__xludf.DUMMYFUNCTION("IMPORTRANGE(H28486,""IDENTITAS UNIT!D9"")"),"#N/A")</f>
        <v>#N/A</v>
      </c>
      <c r="H28486" s="4" t="str">
        <v/>
      </c>
      <c r="I28486" s="4" t="str">
        <v/>
      </c>
    </row>
    <row r="28487" spans="5:9" ht="16.5" hidden="1">
      <c r="E28487" s="4" t="str">
        <v/>
      </c>
      <c r="F28487" s="102" t="str">
        <f ca="1">IFERROR(__xludf.DUMMYFUNCTION("IMPORTRANGE(H28487,""IDENTITAS UNIT!D9"")"),"#N/A")</f>
        <v>#N/A</v>
      </c>
      <c r="H28487" s="4" t="str">
        <v/>
      </c>
      <c r="I28487" s="4" t="str">
        <v/>
      </c>
    </row>
    <row r="28488" spans="5:9" ht="16.5" hidden="1">
      <c r="E28488" s="4" t="str">
        <v/>
      </c>
      <c r="F28488" s="102" t="str">
        <f ca="1">IFERROR(__xludf.DUMMYFUNCTION("IMPORTRANGE(H28488,""IDENTITAS UNIT!D9"")"),"#N/A")</f>
        <v>#N/A</v>
      </c>
      <c r="H28488" s="4" t="str">
        <v/>
      </c>
      <c r="I28488" s="4" t="str">
        <v/>
      </c>
    </row>
    <row r="28489" spans="5:9" ht="16.5" hidden="1">
      <c r="E28489" s="4" t="str">
        <v/>
      </c>
      <c r="F28489" s="102" t="str">
        <f ca="1">IFERROR(__xludf.DUMMYFUNCTION("IMPORTRANGE(H28489,""IDENTITAS UNIT!D9"")"),"#N/A")</f>
        <v>#N/A</v>
      </c>
      <c r="H28489" s="4" t="str">
        <v/>
      </c>
      <c r="I28489" s="4" t="str">
        <v/>
      </c>
    </row>
    <row r="28490" spans="5:9" ht="16.5" hidden="1">
      <c r="E28490" s="4" t="str">
        <v/>
      </c>
      <c r="F28490" s="102" t="str">
        <f ca="1">IFERROR(__xludf.DUMMYFUNCTION("IMPORTRANGE(H28490,""IDENTITAS UNIT!D9"")"),"#N/A")</f>
        <v>#N/A</v>
      </c>
      <c r="H28490" s="4" t="str">
        <v/>
      </c>
      <c r="I28490" s="4" t="str">
        <v/>
      </c>
    </row>
    <row r="28491" spans="5:9" ht="16.5" hidden="1">
      <c r="E28491" s="4" t="str">
        <v/>
      </c>
      <c r="F28491" s="102" t="str">
        <f ca="1">IFERROR(__xludf.DUMMYFUNCTION("IMPORTRANGE(H28491,""IDENTITAS UNIT!D9"")"),"#N/A")</f>
        <v>#N/A</v>
      </c>
      <c r="H28491" s="4" t="str">
        <v/>
      </c>
      <c r="I28491" s="4" t="str">
        <v/>
      </c>
    </row>
    <row r="28492" spans="5:9" ht="16.5" hidden="1">
      <c r="E28492" s="4" t="str">
        <v/>
      </c>
      <c r="F28492" s="102" t="str">
        <f ca="1">IFERROR(__xludf.DUMMYFUNCTION("IMPORTRANGE(H28492,""IDENTITAS UNIT!D9"")"),"#N/A")</f>
        <v>#N/A</v>
      </c>
      <c r="H28492" s="4" t="str">
        <v/>
      </c>
      <c r="I28492" s="4" t="str">
        <v/>
      </c>
    </row>
    <row r="28493" spans="5:9" ht="16.5" hidden="1">
      <c r="E28493" s="4" t="str">
        <v/>
      </c>
      <c r="F28493" s="102" t="str">
        <f ca="1">IFERROR(__xludf.DUMMYFUNCTION("IMPORTRANGE(H28493,""IDENTITAS UNIT!D9"")"),"#N/A")</f>
        <v>#N/A</v>
      </c>
      <c r="H28493" s="4" t="str">
        <v/>
      </c>
      <c r="I28493" s="4" t="str">
        <v/>
      </c>
    </row>
    <row r="28494" spans="5:9" ht="16.5" hidden="1">
      <c r="E28494" s="4" t="str">
        <v/>
      </c>
      <c r="F28494" s="102" t="str">
        <f ca="1">IFERROR(__xludf.DUMMYFUNCTION("IMPORTRANGE(H28494,""IDENTITAS UNIT!D9"")"),"#N/A")</f>
        <v>#N/A</v>
      </c>
      <c r="H28494" s="4" t="str">
        <v/>
      </c>
      <c r="I28494" s="4" t="str">
        <v/>
      </c>
    </row>
    <row r="28495" spans="5:9" ht="16.5" hidden="1">
      <c r="E28495" s="4" t="str">
        <v/>
      </c>
      <c r="F28495" s="102" t="str">
        <f ca="1">IFERROR(__xludf.DUMMYFUNCTION("IMPORTRANGE(H28495,""IDENTITAS UNIT!D9"")"),"#N/A")</f>
        <v>#N/A</v>
      </c>
      <c r="H28495" s="4" t="str">
        <v/>
      </c>
      <c r="I28495" s="4" t="str">
        <v/>
      </c>
    </row>
    <row r="28496" spans="5:9" ht="16.5" hidden="1">
      <c r="E28496" s="4" t="str">
        <v/>
      </c>
      <c r="F28496" s="102" t="str">
        <f ca="1">IFERROR(__xludf.DUMMYFUNCTION("IMPORTRANGE(H28496,""IDENTITAS UNIT!D9"")"),"#N/A")</f>
        <v>#N/A</v>
      </c>
      <c r="H28496" s="4" t="str">
        <v/>
      </c>
      <c r="I28496" s="4" t="str">
        <v/>
      </c>
    </row>
    <row r="28497" spans="5:9" ht="16.5" hidden="1">
      <c r="E28497" s="4" t="str">
        <v/>
      </c>
      <c r="F28497" s="102" t="str">
        <f ca="1">IFERROR(__xludf.DUMMYFUNCTION("IMPORTRANGE(H28497,""IDENTITAS UNIT!D9"")"),"#N/A")</f>
        <v>#N/A</v>
      </c>
      <c r="H28497" s="4" t="str">
        <v/>
      </c>
      <c r="I28497" s="4" t="str">
        <v/>
      </c>
    </row>
    <row r="28498" spans="5:9" ht="16.5" hidden="1">
      <c r="E28498" s="4" t="str">
        <v/>
      </c>
      <c r="F28498" s="102" t="str">
        <f ca="1">IFERROR(__xludf.DUMMYFUNCTION("IMPORTRANGE(H28498,""IDENTITAS UNIT!D9"")"),"#N/A")</f>
        <v>#N/A</v>
      </c>
      <c r="H28498" s="4" t="str">
        <v/>
      </c>
      <c r="I28498" s="4" t="str">
        <v/>
      </c>
    </row>
    <row r="28499" spans="5:9" ht="16.5" hidden="1">
      <c r="E28499" s="4" t="str">
        <v/>
      </c>
      <c r="F28499" s="102" t="str">
        <f ca="1">IFERROR(__xludf.DUMMYFUNCTION("IMPORTRANGE(H28499,""IDENTITAS UNIT!D9"")"),"#N/A")</f>
        <v>#N/A</v>
      </c>
      <c r="H28499" s="4" t="str">
        <v/>
      </c>
      <c r="I28499" s="4" t="str">
        <v/>
      </c>
    </row>
    <row r="28500" spans="5:9" ht="16.5" hidden="1">
      <c r="E28500" s="4" t="str">
        <v/>
      </c>
      <c r="F28500" s="102" t="str">
        <f ca="1">IFERROR(__xludf.DUMMYFUNCTION("IMPORTRANGE(H28500,""IDENTITAS UNIT!D9"")"),"#N/A")</f>
        <v>#N/A</v>
      </c>
      <c r="H28500" s="4" t="str">
        <v/>
      </c>
      <c r="I28500" s="4" t="str">
        <v/>
      </c>
    </row>
    <row r="28501" spans="5:9" ht="16.5" hidden="1">
      <c r="E28501" s="4" t="str">
        <v/>
      </c>
      <c r="F28501" s="102" t="str">
        <f ca="1">IFERROR(__xludf.DUMMYFUNCTION("IMPORTRANGE(H28501,""IDENTITAS UNIT!D9"")"),"#N/A")</f>
        <v>#N/A</v>
      </c>
      <c r="H28501" s="4" t="str">
        <v/>
      </c>
      <c r="I28501" s="4" t="str">
        <v/>
      </c>
    </row>
    <row r="28502" spans="5:9" ht="16.5" hidden="1">
      <c r="E28502" s="4" t="str">
        <v/>
      </c>
      <c r="F28502" s="102" t="str">
        <f ca="1">IFERROR(__xludf.DUMMYFUNCTION("IMPORTRANGE(H28502,""IDENTITAS UNIT!D9"")"),"#N/A")</f>
        <v>#N/A</v>
      </c>
      <c r="H28502" s="4" t="str">
        <v/>
      </c>
      <c r="I28502" s="4" t="str">
        <v/>
      </c>
    </row>
    <row r="28503" spans="5:9" ht="16.5" hidden="1">
      <c r="E28503" s="4" t="str">
        <v/>
      </c>
      <c r="F28503" s="102" t="str">
        <f ca="1">IFERROR(__xludf.DUMMYFUNCTION("IMPORTRANGE(H28503,""IDENTITAS UNIT!D9"")"),"#N/A")</f>
        <v>#N/A</v>
      </c>
      <c r="H28503" s="4" t="str">
        <v/>
      </c>
      <c r="I28503" s="4" t="str">
        <v/>
      </c>
    </row>
    <row r="28504" spans="5:9" ht="16.5" hidden="1">
      <c r="E28504" s="4" t="str">
        <v/>
      </c>
      <c r="F28504" s="102" t="str">
        <f ca="1">IFERROR(__xludf.DUMMYFUNCTION("IMPORTRANGE(H28504,""IDENTITAS UNIT!D9"")"),"#N/A")</f>
        <v>#N/A</v>
      </c>
      <c r="H28504" s="4" t="str">
        <v/>
      </c>
      <c r="I28504" s="4" t="str">
        <v/>
      </c>
    </row>
    <row r="28505" spans="5:9" ht="16.5" hidden="1">
      <c r="E28505" s="4" t="str">
        <v/>
      </c>
      <c r="F28505" s="102" t="str">
        <f ca="1">IFERROR(__xludf.DUMMYFUNCTION("IMPORTRANGE(H28505,""IDENTITAS UNIT!D9"")"),"#N/A")</f>
        <v>#N/A</v>
      </c>
      <c r="H28505" s="4" t="str">
        <v/>
      </c>
      <c r="I28505" s="4" t="str">
        <v/>
      </c>
    </row>
    <row r="28506" spans="5:9" ht="16.5" hidden="1">
      <c r="E28506" s="4" t="str">
        <v/>
      </c>
      <c r="F28506" s="102" t="str">
        <f ca="1">IFERROR(__xludf.DUMMYFUNCTION("IMPORTRANGE(H28506,""IDENTITAS UNIT!D9"")"),"#N/A")</f>
        <v>#N/A</v>
      </c>
      <c r="H28506" s="4" t="str">
        <v/>
      </c>
      <c r="I28506" s="4" t="str">
        <v/>
      </c>
    </row>
    <row r="28507" spans="5:9" ht="16.5" hidden="1">
      <c r="E28507" s="4" t="str">
        <v/>
      </c>
      <c r="F28507" s="102" t="str">
        <f ca="1">IFERROR(__xludf.DUMMYFUNCTION("IMPORTRANGE(H28507,""IDENTITAS UNIT!D9"")"),"#N/A")</f>
        <v>#N/A</v>
      </c>
      <c r="H28507" s="4" t="str">
        <v/>
      </c>
      <c r="I28507" s="4" t="str">
        <v/>
      </c>
    </row>
    <row r="28508" spans="5:9" ht="16.5" hidden="1">
      <c r="E28508" s="4" t="str">
        <v/>
      </c>
      <c r="F28508" s="102" t="str">
        <f ca="1">IFERROR(__xludf.DUMMYFUNCTION("IMPORTRANGE(H28508,""IDENTITAS UNIT!D9"")"),"#N/A")</f>
        <v>#N/A</v>
      </c>
      <c r="H28508" s="4" t="str">
        <v/>
      </c>
      <c r="I28508" s="4" t="str">
        <v/>
      </c>
    </row>
    <row r="28509" spans="5:9" ht="16.5" hidden="1">
      <c r="E28509" s="4" t="str">
        <v/>
      </c>
      <c r="F28509" s="102" t="str">
        <f ca="1">IFERROR(__xludf.DUMMYFUNCTION("IMPORTRANGE(H28509,""IDENTITAS UNIT!D9"")"),"#N/A")</f>
        <v>#N/A</v>
      </c>
      <c r="H28509" s="4" t="str">
        <v/>
      </c>
      <c r="I28509" s="4" t="str">
        <v/>
      </c>
    </row>
    <row r="28510" spans="5:9" ht="16.5" hidden="1">
      <c r="E28510" s="4" t="str">
        <v/>
      </c>
      <c r="F28510" s="102" t="str">
        <f ca="1">IFERROR(__xludf.DUMMYFUNCTION("IMPORTRANGE(H28510,""IDENTITAS UNIT!D9"")"),"#N/A")</f>
        <v>#N/A</v>
      </c>
      <c r="H28510" s="4" t="str">
        <v/>
      </c>
      <c r="I28510" s="4" t="str">
        <v/>
      </c>
    </row>
    <row r="28511" spans="5:9" ht="16.5" hidden="1">
      <c r="E28511" s="4" t="str">
        <v/>
      </c>
      <c r="F28511" s="102" t="str">
        <f ca="1">IFERROR(__xludf.DUMMYFUNCTION("IMPORTRANGE(H28511,""IDENTITAS UNIT!D9"")"),"#N/A")</f>
        <v>#N/A</v>
      </c>
      <c r="H28511" s="4" t="str">
        <v/>
      </c>
      <c r="I28511" s="4" t="str">
        <v/>
      </c>
    </row>
    <row r="28512" spans="5:9" ht="16.5" hidden="1">
      <c r="E28512" s="4" t="str">
        <v/>
      </c>
      <c r="F28512" s="102" t="str">
        <f ca="1">IFERROR(__xludf.DUMMYFUNCTION("IMPORTRANGE(H28512,""IDENTITAS UNIT!D9"")"),"#N/A")</f>
        <v>#N/A</v>
      </c>
      <c r="H28512" s="4" t="str">
        <v/>
      </c>
      <c r="I28512" s="4" t="str">
        <v/>
      </c>
    </row>
    <row r="28513" spans="5:9" ht="16.5" hidden="1">
      <c r="E28513" s="4" t="str">
        <v/>
      </c>
      <c r="F28513" s="102" t="str">
        <f ca="1">IFERROR(__xludf.DUMMYFUNCTION("IMPORTRANGE(H28513,""IDENTITAS UNIT!D9"")"),"#N/A")</f>
        <v>#N/A</v>
      </c>
      <c r="H28513" s="4" t="str">
        <v/>
      </c>
      <c r="I28513" s="4" t="str">
        <v/>
      </c>
    </row>
    <row r="28514" spans="5:9" ht="16.5" hidden="1">
      <c r="E28514" s="4" t="str">
        <v/>
      </c>
      <c r="F28514" s="102" t="str">
        <f ca="1">IFERROR(__xludf.DUMMYFUNCTION("IMPORTRANGE(H28514,""IDENTITAS UNIT!D9"")"),"#N/A")</f>
        <v>#N/A</v>
      </c>
      <c r="H28514" s="4" t="str">
        <v/>
      </c>
      <c r="I28514" s="4" t="str">
        <v/>
      </c>
    </row>
    <row r="28515" spans="5:9" ht="16.5" hidden="1">
      <c r="E28515" s="4" t="str">
        <v/>
      </c>
      <c r="F28515" s="102" t="str">
        <f ca="1">IFERROR(__xludf.DUMMYFUNCTION("IMPORTRANGE(H28515,""IDENTITAS UNIT!D9"")"),"#N/A")</f>
        <v>#N/A</v>
      </c>
      <c r="H28515" s="4" t="str">
        <v/>
      </c>
      <c r="I28515" s="4" t="str">
        <v/>
      </c>
    </row>
    <row r="28516" spans="5:9" ht="16.5" hidden="1">
      <c r="E28516" s="4" t="str">
        <v/>
      </c>
      <c r="F28516" s="102" t="str">
        <f ca="1">IFERROR(__xludf.DUMMYFUNCTION("IMPORTRANGE(H28516,""IDENTITAS UNIT!D9"")"),"#N/A")</f>
        <v>#N/A</v>
      </c>
      <c r="H28516" s="4" t="str">
        <v/>
      </c>
      <c r="I28516" s="4" t="str">
        <v/>
      </c>
    </row>
    <row r="28517" spans="5:9" ht="16.5" hidden="1">
      <c r="E28517" s="4" t="str">
        <v/>
      </c>
      <c r="F28517" s="102" t="str">
        <f ca="1">IFERROR(__xludf.DUMMYFUNCTION("IMPORTRANGE(H28517,""IDENTITAS UNIT!D9"")"),"#N/A")</f>
        <v>#N/A</v>
      </c>
      <c r="H28517" s="4" t="str">
        <v/>
      </c>
      <c r="I28517" s="4" t="str">
        <v/>
      </c>
    </row>
    <row r="28518" spans="5:9" ht="16.5" hidden="1">
      <c r="E28518" s="4" t="str">
        <v/>
      </c>
      <c r="F28518" s="102" t="str">
        <f ca="1">IFERROR(__xludf.DUMMYFUNCTION("IMPORTRANGE(H28518,""IDENTITAS UNIT!D9"")"),"#N/A")</f>
        <v>#N/A</v>
      </c>
      <c r="H28518" s="4" t="str">
        <v/>
      </c>
      <c r="I28518" s="4" t="str">
        <v/>
      </c>
    </row>
    <row r="28519" spans="5:9" ht="16.5" hidden="1">
      <c r="E28519" s="4" t="str">
        <v/>
      </c>
      <c r="F28519" s="102" t="str">
        <f ca="1">IFERROR(__xludf.DUMMYFUNCTION("IMPORTRANGE(H28519,""IDENTITAS UNIT!D9"")"),"#N/A")</f>
        <v>#N/A</v>
      </c>
      <c r="H28519" s="4" t="str">
        <v/>
      </c>
      <c r="I28519" s="4" t="str">
        <v/>
      </c>
    </row>
    <row r="28520" spans="5:9" ht="16.5" hidden="1">
      <c r="E28520" s="4" t="str">
        <v/>
      </c>
      <c r="F28520" s="102" t="str">
        <f ca="1">IFERROR(__xludf.DUMMYFUNCTION("IMPORTRANGE(H28520,""IDENTITAS UNIT!D9"")"),"#N/A")</f>
        <v>#N/A</v>
      </c>
      <c r="H28520" s="4" t="str">
        <v/>
      </c>
      <c r="I28520" s="4" t="str">
        <v/>
      </c>
    </row>
    <row r="28521" spans="5:9" ht="16.5" hidden="1">
      <c r="E28521" s="4" t="str">
        <v/>
      </c>
      <c r="F28521" s="102" t="str">
        <f ca="1">IFERROR(__xludf.DUMMYFUNCTION("IMPORTRANGE(H28521,""IDENTITAS UNIT!D9"")"),"#N/A")</f>
        <v>#N/A</v>
      </c>
      <c r="H28521" s="4" t="str">
        <v/>
      </c>
      <c r="I28521" s="4" t="str">
        <v/>
      </c>
    </row>
    <row r="28522" spans="5:9" ht="16.5" hidden="1">
      <c r="E28522" s="4" t="str">
        <v/>
      </c>
      <c r="F28522" s="102" t="str">
        <f ca="1">IFERROR(__xludf.DUMMYFUNCTION("IMPORTRANGE(H28522,""IDENTITAS UNIT!D9"")"),"#N/A")</f>
        <v>#N/A</v>
      </c>
      <c r="H28522" s="4" t="str">
        <v/>
      </c>
      <c r="I28522" s="4" t="str">
        <v/>
      </c>
    </row>
    <row r="28523" spans="5:9" ht="16.5" hidden="1">
      <c r="E28523" s="4" t="str">
        <v/>
      </c>
      <c r="F28523" s="102" t="str">
        <f ca="1">IFERROR(__xludf.DUMMYFUNCTION("IMPORTRANGE(H28523,""IDENTITAS UNIT!D9"")"),"#N/A")</f>
        <v>#N/A</v>
      </c>
      <c r="H28523" s="4" t="str">
        <v/>
      </c>
      <c r="I28523" s="4" t="str">
        <v/>
      </c>
    </row>
    <row r="28524" spans="5:9" ht="16.5" hidden="1">
      <c r="E28524" s="4" t="str">
        <v/>
      </c>
      <c r="F28524" s="102" t="str">
        <f ca="1">IFERROR(__xludf.DUMMYFUNCTION("IMPORTRANGE(H28524,""IDENTITAS UNIT!D9"")"),"#N/A")</f>
        <v>#N/A</v>
      </c>
      <c r="H28524" s="4" t="str">
        <v/>
      </c>
      <c r="I28524" s="4" t="str">
        <v/>
      </c>
    </row>
    <row r="28525" spans="5:9" ht="16.5" hidden="1">
      <c r="E28525" s="4" t="str">
        <v/>
      </c>
      <c r="F28525" s="102" t="str">
        <f ca="1">IFERROR(__xludf.DUMMYFUNCTION("IMPORTRANGE(H28525,""IDENTITAS UNIT!D9"")"),"#N/A")</f>
        <v>#N/A</v>
      </c>
      <c r="H28525" s="4" t="str">
        <v/>
      </c>
      <c r="I28525" s="4" t="str">
        <v/>
      </c>
    </row>
    <row r="28526" spans="5:9" ht="16.5" hidden="1">
      <c r="E28526" s="4" t="str">
        <v/>
      </c>
      <c r="F28526" s="102" t="str">
        <f ca="1">IFERROR(__xludf.DUMMYFUNCTION("IMPORTRANGE(H28526,""IDENTITAS UNIT!D9"")"),"#N/A")</f>
        <v>#N/A</v>
      </c>
      <c r="H28526" s="4" t="str">
        <v/>
      </c>
      <c r="I28526" s="4" t="str">
        <v/>
      </c>
    </row>
    <row r="28527" spans="5:9" ht="16.5" hidden="1">
      <c r="E28527" s="4" t="str">
        <v/>
      </c>
      <c r="F28527" s="102" t="str">
        <f ca="1">IFERROR(__xludf.DUMMYFUNCTION("IMPORTRANGE(H28527,""IDENTITAS UNIT!D9"")"),"#N/A")</f>
        <v>#N/A</v>
      </c>
      <c r="H28527" s="4" t="str">
        <v/>
      </c>
      <c r="I28527" s="4" t="str">
        <v/>
      </c>
    </row>
    <row r="28528" spans="5:9" ht="16.5" hidden="1">
      <c r="E28528" s="4" t="str">
        <v/>
      </c>
      <c r="F28528" s="102" t="str">
        <f ca="1">IFERROR(__xludf.DUMMYFUNCTION("IMPORTRANGE(H28528,""IDENTITAS UNIT!D9"")"),"#N/A")</f>
        <v>#N/A</v>
      </c>
      <c r="H28528" s="4" t="str">
        <v/>
      </c>
      <c r="I28528" s="4" t="str">
        <v/>
      </c>
    </row>
    <row r="28529" spans="5:9" ht="16.5" hidden="1">
      <c r="E28529" s="4" t="str">
        <v/>
      </c>
      <c r="F28529" s="102" t="str">
        <f ca="1">IFERROR(__xludf.DUMMYFUNCTION("IMPORTRANGE(H28529,""IDENTITAS UNIT!D9"")"),"#N/A")</f>
        <v>#N/A</v>
      </c>
      <c r="H28529" s="4" t="str">
        <v/>
      </c>
      <c r="I28529" s="4" t="str">
        <v/>
      </c>
    </row>
    <row r="28530" spans="5:9" ht="16.5" hidden="1">
      <c r="E28530" s="4" t="str">
        <v/>
      </c>
      <c r="F28530" s="102" t="str">
        <f ca="1">IFERROR(__xludf.DUMMYFUNCTION("IMPORTRANGE(H28530,""IDENTITAS UNIT!D9"")"),"#N/A")</f>
        <v>#N/A</v>
      </c>
      <c r="H28530" s="4" t="str">
        <v/>
      </c>
      <c r="I28530" s="4" t="str">
        <v/>
      </c>
    </row>
    <row r="28531" spans="5:9" ht="16.5" hidden="1">
      <c r="E28531" s="4" t="str">
        <v/>
      </c>
      <c r="F28531" s="102" t="str">
        <f ca="1">IFERROR(__xludf.DUMMYFUNCTION("IMPORTRANGE(H28531,""IDENTITAS UNIT!D9"")"),"#N/A")</f>
        <v>#N/A</v>
      </c>
      <c r="H28531" s="4" t="str">
        <v/>
      </c>
      <c r="I28531" s="4" t="str">
        <v/>
      </c>
    </row>
    <row r="28532" spans="5:9" ht="16.5" hidden="1">
      <c r="E28532" s="4" t="str">
        <v/>
      </c>
      <c r="F28532" s="102" t="str">
        <f ca="1">IFERROR(__xludf.DUMMYFUNCTION("IMPORTRANGE(H28532,""IDENTITAS UNIT!D9"")"),"#N/A")</f>
        <v>#N/A</v>
      </c>
      <c r="H28532" s="4" t="str">
        <v/>
      </c>
      <c r="I28532" s="4" t="str">
        <v/>
      </c>
    </row>
    <row r="28533" spans="5:9" ht="16.5" hidden="1">
      <c r="E28533" s="4" t="str">
        <v/>
      </c>
      <c r="F28533" s="102" t="str">
        <f ca="1">IFERROR(__xludf.DUMMYFUNCTION("IMPORTRANGE(H28533,""IDENTITAS UNIT!D9"")"),"#N/A")</f>
        <v>#N/A</v>
      </c>
      <c r="H28533" s="4" t="str">
        <v/>
      </c>
      <c r="I28533" s="4" t="str">
        <v/>
      </c>
    </row>
    <row r="28534" spans="5:9" ht="16.5" hidden="1">
      <c r="E28534" s="4" t="str">
        <v/>
      </c>
      <c r="F28534" s="102" t="str">
        <f ca="1">IFERROR(__xludf.DUMMYFUNCTION("IMPORTRANGE(H28534,""IDENTITAS UNIT!D9"")"),"#N/A")</f>
        <v>#N/A</v>
      </c>
      <c r="H28534" s="4" t="str">
        <v/>
      </c>
      <c r="I28534" s="4" t="str">
        <v/>
      </c>
    </row>
    <row r="28535" spans="5:9" ht="16.5" hidden="1">
      <c r="E28535" s="4" t="str">
        <v/>
      </c>
      <c r="F28535" s="102" t="str">
        <f ca="1">IFERROR(__xludf.DUMMYFUNCTION("IMPORTRANGE(H28535,""IDENTITAS UNIT!D9"")"),"#N/A")</f>
        <v>#N/A</v>
      </c>
      <c r="H28535" s="4" t="str">
        <v/>
      </c>
      <c r="I28535" s="4" t="str">
        <v/>
      </c>
    </row>
    <row r="28536" spans="5:9" ht="16.5" hidden="1">
      <c r="E28536" s="4" t="str">
        <v/>
      </c>
      <c r="F28536" s="102" t="str">
        <f ca="1">IFERROR(__xludf.DUMMYFUNCTION("IMPORTRANGE(H28536,""IDENTITAS UNIT!D9"")"),"#N/A")</f>
        <v>#N/A</v>
      </c>
      <c r="H28536" s="4" t="str">
        <v/>
      </c>
      <c r="I28536" s="4" t="str">
        <v/>
      </c>
    </row>
    <row r="28537" spans="5:9" ht="16.5" hidden="1">
      <c r="E28537" s="4" t="str">
        <v/>
      </c>
      <c r="F28537" s="102" t="str">
        <f ca="1">IFERROR(__xludf.DUMMYFUNCTION("IMPORTRANGE(H28537,""IDENTITAS UNIT!D9"")"),"#N/A")</f>
        <v>#N/A</v>
      </c>
      <c r="H28537" s="4" t="str">
        <v/>
      </c>
      <c r="I28537" s="4" t="str">
        <v/>
      </c>
    </row>
    <row r="28538" spans="5:9" ht="16.5" hidden="1">
      <c r="E28538" s="4" t="str">
        <v/>
      </c>
      <c r="F28538" s="102" t="str">
        <f ca="1">IFERROR(__xludf.DUMMYFUNCTION("IMPORTRANGE(H28538,""IDENTITAS UNIT!D9"")"),"#N/A")</f>
        <v>#N/A</v>
      </c>
      <c r="H28538" s="4" t="str">
        <v/>
      </c>
      <c r="I28538" s="4" t="str">
        <v/>
      </c>
    </row>
    <row r="28539" spans="5:9" ht="16.5" hidden="1">
      <c r="E28539" s="4" t="str">
        <v/>
      </c>
      <c r="F28539" s="102" t="str">
        <f ca="1">IFERROR(__xludf.DUMMYFUNCTION("IMPORTRANGE(H28539,""IDENTITAS UNIT!D9"")"),"#N/A")</f>
        <v>#N/A</v>
      </c>
      <c r="H28539" s="4" t="str">
        <v/>
      </c>
      <c r="I28539" s="4" t="str">
        <v/>
      </c>
    </row>
    <row r="28540" spans="5:9" ht="16.5" hidden="1">
      <c r="E28540" s="4" t="str">
        <v/>
      </c>
      <c r="F28540" s="102" t="str">
        <f ca="1">IFERROR(__xludf.DUMMYFUNCTION("IMPORTRANGE(H28540,""IDENTITAS UNIT!D9"")"),"#N/A")</f>
        <v>#N/A</v>
      </c>
      <c r="H28540" s="4" t="str">
        <v/>
      </c>
      <c r="I28540" s="4" t="str">
        <v/>
      </c>
    </row>
    <row r="28541" spans="5:9" ht="16.5" hidden="1">
      <c r="E28541" s="4" t="str">
        <v/>
      </c>
      <c r="F28541" s="102" t="str">
        <f ca="1">IFERROR(__xludf.DUMMYFUNCTION("IMPORTRANGE(H28541,""IDENTITAS UNIT!D9"")"),"#N/A")</f>
        <v>#N/A</v>
      </c>
      <c r="H28541" s="4" t="str">
        <v/>
      </c>
      <c r="I28541" s="4" t="str">
        <v/>
      </c>
    </row>
    <row r="28542" spans="5:9" ht="16.5" hidden="1">
      <c r="E28542" s="4" t="str">
        <v/>
      </c>
      <c r="F28542" s="102" t="str">
        <f ca="1">IFERROR(__xludf.DUMMYFUNCTION("IMPORTRANGE(H28542,""IDENTITAS UNIT!D9"")"),"#N/A")</f>
        <v>#N/A</v>
      </c>
      <c r="H28542" s="4" t="str">
        <v/>
      </c>
      <c r="I28542" s="4" t="str">
        <v/>
      </c>
    </row>
    <row r="28543" spans="5:9" ht="16.5" hidden="1">
      <c r="E28543" s="4" t="str">
        <v/>
      </c>
      <c r="F28543" s="102" t="str">
        <f ca="1">IFERROR(__xludf.DUMMYFUNCTION("IMPORTRANGE(H28543,""IDENTITAS UNIT!D9"")"),"#N/A")</f>
        <v>#N/A</v>
      </c>
      <c r="H28543" s="4" t="str">
        <v/>
      </c>
      <c r="I28543" s="4" t="str">
        <v/>
      </c>
    </row>
    <row r="28544" spans="5:9" ht="16.5" hidden="1">
      <c r="E28544" s="4" t="str">
        <v/>
      </c>
      <c r="F28544" s="102" t="str">
        <f ca="1">IFERROR(__xludf.DUMMYFUNCTION("IMPORTRANGE(H28544,""IDENTITAS UNIT!D9"")"),"#N/A")</f>
        <v>#N/A</v>
      </c>
      <c r="H28544" s="4" t="str">
        <v/>
      </c>
      <c r="I28544" s="4" t="str">
        <v/>
      </c>
    </row>
    <row r="28545" spans="5:9" ht="16.5" hidden="1">
      <c r="E28545" s="4" t="str">
        <v/>
      </c>
      <c r="F28545" s="102" t="str">
        <f ca="1">IFERROR(__xludf.DUMMYFUNCTION("IMPORTRANGE(H28545,""IDENTITAS UNIT!D9"")"),"#N/A")</f>
        <v>#N/A</v>
      </c>
      <c r="H28545" s="4" t="str">
        <v/>
      </c>
      <c r="I28545" s="4" t="str">
        <v/>
      </c>
    </row>
    <row r="28546" spans="5:9" ht="16.5" hidden="1">
      <c r="E28546" s="4" t="str">
        <v/>
      </c>
      <c r="F28546" s="102" t="str">
        <f ca="1">IFERROR(__xludf.DUMMYFUNCTION("IMPORTRANGE(H28546,""IDENTITAS UNIT!D9"")"),"#N/A")</f>
        <v>#N/A</v>
      </c>
      <c r="H28546" s="4" t="str">
        <v/>
      </c>
      <c r="I28546" s="4" t="str">
        <v/>
      </c>
    </row>
    <row r="28547" spans="5:9" ht="16.5" hidden="1">
      <c r="E28547" s="4" t="str">
        <v/>
      </c>
      <c r="F28547" s="102" t="str">
        <f ca="1">IFERROR(__xludf.DUMMYFUNCTION("IMPORTRANGE(H28547,""IDENTITAS UNIT!D9"")"),"#N/A")</f>
        <v>#N/A</v>
      </c>
      <c r="H28547" s="4" t="str">
        <v/>
      </c>
      <c r="I28547" s="4" t="str">
        <v/>
      </c>
    </row>
    <row r="28548" spans="5:9" ht="16.5" hidden="1">
      <c r="E28548" s="4" t="str">
        <v/>
      </c>
      <c r="F28548" s="102" t="str">
        <f ca="1">IFERROR(__xludf.DUMMYFUNCTION("IMPORTRANGE(H28548,""IDENTITAS UNIT!D9"")"),"#N/A")</f>
        <v>#N/A</v>
      </c>
      <c r="H28548" s="4" t="str">
        <v/>
      </c>
      <c r="I28548" s="4" t="str">
        <v/>
      </c>
    </row>
    <row r="28549" spans="5:9" ht="16.5" hidden="1">
      <c r="E28549" s="4" t="str">
        <v/>
      </c>
      <c r="F28549" s="102" t="str">
        <f ca="1">IFERROR(__xludf.DUMMYFUNCTION("IMPORTRANGE(H28549,""IDENTITAS UNIT!D9"")"),"#N/A")</f>
        <v>#N/A</v>
      </c>
      <c r="H28549" s="4" t="str">
        <v/>
      </c>
      <c r="I28549" s="4" t="str">
        <v/>
      </c>
    </row>
    <row r="28550" spans="5:9" ht="16.5" hidden="1">
      <c r="E28550" s="4" t="str">
        <v/>
      </c>
      <c r="F28550" s="102" t="str">
        <f ca="1">IFERROR(__xludf.DUMMYFUNCTION("IMPORTRANGE(H28550,""IDENTITAS UNIT!D9"")"),"#N/A")</f>
        <v>#N/A</v>
      </c>
      <c r="H28550" s="4" t="str">
        <v/>
      </c>
      <c r="I28550" s="4" t="str">
        <v/>
      </c>
    </row>
    <row r="28551" spans="5:9" ht="16.5" hidden="1">
      <c r="E28551" s="4" t="str">
        <v/>
      </c>
      <c r="F28551" s="102" t="str">
        <f ca="1">IFERROR(__xludf.DUMMYFUNCTION("IMPORTRANGE(H28551,""IDENTITAS UNIT!D9"")"),"#N/A")</f>
        <v>#N/A</v>
      </c>
      <c r="H28551" s="4" t="str">
        <v/>
      </c>
      <c r="I28551" s="4" t="str">
        <v/>
      </c>
    </row>
    <row r="28552" spans="5:9" ht="16.5" hidden="1">
      <c r="E28552" s="4" t="str">
        <v/>
      </c>
      <c r="F28552" s="102" t="str">
        <f ca="1">IFERROR(__xludf.DUMMYFUNCTION("IMPORTRANGE(H28552,""IDENTITAS UNIT!D9"")"),"#N/A")</f>
        <v>#N/A</v>
      </c>
      <c r="H28552" s="4" t="str">
        <v/>
      </c>
      <c r="I28552" s="4" t="str">
        <v/>
      </c>
    </row>
    <row r="28553" spans="5:9" ht="16.5" hidden="1">
      <c r="E28553" s="4" t="str">
        <v/>
      </c>
      <c r="F28553" s="102" t="str">
        <f ca="1">IFERROR(__xludf.DUMMYFUNCTION("IMPORTRANGE(H28553,""IDENTITAS UNIT!D9"")"),"#N/A")</f>
        <v>#N/A</v>
      </c>
      <c r="H28553" s="4" t="str">
        <v/>
      </c>
      <c r="I28553" s="4" t="str">
        <v/>
      </c>
    </row>
    <row r="28554" spans="5:9" ht="16.5" hidden="1">
      <c r="E28554" s="4" t="str">
        <v/>
      </c>
      <c r="F28554" s="102" t="str">
        <f ca="1">IFERROR(__xludf.DUMMYFUNCTION("IMPORTRANGE(H28554,""IDENTITAS UNIT!D9"")"),"#N/A")</f>
        <v>#N/A</v>
      </c>
      <c r="H28554" s="4" t="str">
        <v/>
      </c>
      <c r="I28554" s="4" t="str">
        <v/>
      </c>
    </row>
    <row r="28555" spans="5:9" ht="16.5" hidden="1">
      <c r="E28555" s="4" t="str">
        <v/>
      </c>
      <c r="F28555" s="102" t="str">
        <f ca="1">IFERROR(__xludf.DUMMYFUNCTION("IMPORTRANGE(H28555,""IDENTITAS UNIT!D9"")"),"#N/A")</f>
        <v>#N/A</v>
      </c>
      <c r="H28555" s="4" t="str">
        <v/>
      </c>
      <c r="I28555" s="4" t="str">
        <v/>
      </c>
    </row>
    <row r="28556" spans="5:9" ht="16.5" hidden="1">
      <c r="E28556" s="4" t="str">
        <v/>
      </c>
      <c r="F28556" s="102" t="str">
        <f ca="1">IFERROR(__xludf.DUMMYFUNCTION("IMPORTRANGE(H28556,""IDENTITAS UNIT!D9"")"),"#N/A")</f>
        <v>#N/A</v>
      </c>
      <c r="H28556" s="4" t="str">
        <v/>
      </c>
      <c r="I28556" s="4" t="str">
        <v/>
      </c>
    </row>
    <row r="28557" spans="5:9" ht="16.5" hidden="1">
      <c r="E28557" s="4" t="str">
        <v/>
      </c>
      <c r="F28557" s="102" t="str">
        <f ca="1">IFERROR(__xludf.DUMMYFUNCTION("IMPORTRANGE(H28557,""IDENTITAS UNIT!D9"")"),"#N/A")</f>
        <v>#N/A</v>
      </c>
      <c r="H28557" s="4" t="str">
        <v/>
      </c>
      <c r="I28557" s="4" t="str">
        <v/>
      </c>
    </row>
    <row r="28558" spans="5:9" ht="16.5" hidden="1">
      <c r="E28558" s="4" t="str">
        <v/>
      </c>
      <c r="F28558" s="102" t="str">
        <f ca="1">IFERROR(__xludf.DUMMYFUNCTION("IMPORTRANGE(H28558,""IDENTITAS UNIT!D9"")"),"#N/A")</f>
        <v>#N/A</v>
      </c>
      <c r="H28558" s="4" t="str">
        <v/>
      </c>
      <c r="I28558" s="4" t="str">
        <v/>
      </c>
    </row>
    <row r="28559" spans="5:9" ht="16.5" hidden="1">
      <c r="E28559" s="4" t="str">
        <v/>
      </c>
      <c r="F28559" s="102" t="str">
        <f ca="1">IFERROR(__xludf.DUMMYFUNCTION("IMPORTRANGE(H28559,""IDENTITAS UNIT!D9"")"),"#N/A")</f>
        <v>#N/A</v>
      </c>
      <c r="H28559" s="4" t="str">
        <v/>
      </c>
      <c r="I28559" s="4" t="str">
        <v/>
      </c>
    </row>
    <row r="28560" spans="5:9" ht="16.5" hidden="1">
      <c r="E28560" s="4" t="str">
        <v/>
      </c>
      <c r="F28560" s="102" t="str">
        <f ca="1">IFERROR(__xludf.DUMMYFUNCTION("IMPORTRANGE(H28560,""IDENTITAS UNIT!D9"")"),"#N/A")</f>
        <v>#N/A</v>
      </c>
      <c r="H28560" s="4" t="str">
        <v/>
      </c>
      <c r="I28560" s="4" t="str">
        <v/>
      </c>
    </row>
    <row r="28561" spans="5:9" ht="16.5" hidden="1">
      <c r="E28561" s="4" t="str">
        <v/>
      </c>
      <c r="F28561" s="102" t="str">
        <f ca="1">IFERROR(__xludf.DUMMYFUNCTION("IMPORTRANGE(H28561,""IDENTITAS UNIT!D9"")"),"#N/A")</f>
        <v>#N/A</v>
      </c>
      <c r="H28561" s="4" t="str">
        <v/>
      </c>
      <c r="I28561" s="4" t="str">
        <v/>
      </c>
    </row>
    <row r="28562" spans="5:9" ht="16.5" hidden="1">
      <c r="E28562" s="4" t="str">
        <v/>
      </c>
      <c r="F28562" s="102" t="str">
        <f ca="1">IFERROR(__xludf.DUMMYFUNCTION("IMPORTRANGE(H28562,""IDENTITAS UNIT!D9"")"),"#N/A")</f>
        <v>#N/A</v>
      </c>
      <c r="H28562" s="4" t="str">
        <v/>
      </c>
      <c r="I28562" s="4" t="str">
        <v/>
      </c>
    </row>
    <row r="28563" spans="5:9" ht="16.5" hidden="1">
      <c r="E28563" s="4" t="str">
        <v/>
      </c>
      <c r="F28563" s="102" t="str">
        <f ca="1">IFERROR(__xludf.DUMMYFUNCTION("IMPORTRANGE(H28563,""IDENTITAS UNIT!D9"")"),"#N/A")</f>
        <v>#N/A</v>
      </c>
      <c r="H28563" s="4" t="str">
        <v/>
      </c>
      <c r="I28563" s="4" t="str">
        <v/>
      </c>
    </row>
    <row r="28564" spans="5:9" ht="16.5" hidden="1">
      <c r="E28564" s="4" t="str">
        <v/>
      </c>
      <c r="F28564" s="102" t="str">
        <f ca="1">IFERROR(__xludf.DUMMYFUNCTION("IMPORTRANGE(H28564,""IDENTITAS UNIT!D9"")"),"#N/A")</f>
        <v>#N/A</v>
      </c>
      <c r="H28564" s="4" t="str">
        <v/>
      </c>
      <c r="I28564" s="4" t="str">
        <v/>
      </c>
    </row>
    <row r="28565" spans="5:9" ht="16.5" hidden="1">
      <c r="E28565" s="4" t="str">
        <v/>
      </c>
      <c r="F28565" s="102" t="str">
        <f ca="1">IFERROR(__xludf.DUMMYFUNCTION("IMPORTRANGE(H28565,""IDENTITAS UNIT!D9"")"),"#N/A")</f>
        <v>#N/A</v>
      </c>
      <c r="H28565" s="4" t="str">
        <v/>
      </c>
      <c r="I28565" s="4" t="str">
        <v/>
      </c>
    </row>
    <row r="28566" spans="5:9" ht="16.5" hidden="1">
      <c r="E28566" s="4" t="str">
        <v/>
      </c>
      <c r="F28566" s="102" t="str">
        <f ca="1">IFERROR(__xludf.DUMMYFUNCTION("IMPORTRANGE(H28566,""IDENTITAS UNIT!D9"")"),"#N/A")</f>
        <v>#N/A</v>
      </c>
      <c r="H28566" s="4" t="str">
        <v/>
      </c>
      <c r="I28566" s="4" t="str">
        <v/>
      </c>
    </row>
    <row r="28567" spans="5:9" ht="16.5" hidden="1">
      <c r="E28567" s="4" t="str">
        <v/>
      </c>
      <c r="F28567" s="102" t="str">
        <f ca="1">IFERROR(__xludf.DUMMYFUNCTION("IMPORTRANGE(H28567,""IDENTITAS UNIT!D9"")"),"#N/A")</f>
        <v>#N/A</v>
      </c>
      <c r="H28567" s="4" t="str">
        <v/>
      </c>
      <c r="I28567" s="4" t="str">
        <v/>
      </c>
    </row>
    <row r="28568" spans="5:9" ht="16.5" hidden="1">
      <c r="E28568" s="4" t="str">
        <v/>
      </c>
      <c r="F28568" s="102" t="str">
        <f ca="1">IFERROR(__xludf.DUMMYFUNCTION("IMPORTRANGE(H28568,""IDENTITAS UNIT!D9"")"),"#N/A")</f>
        <v>#N/A</v>
      </c>
      <c r="H28568" s="4" t="str">
        <v/>
      </c>
      <c r="I28568" s="4" t="str">
        <v/>
      </c>
    </row>
    <row r="28569" spans="5:9" ht="16.5" hidden="1">
      <c r="E28569" s="4" t="str">
        <v/>
      </c>
      <c r="F28569" s="102" t="str">
        <f ca="1">IFERROR(__xludf.DUMMYFUNCTION("IMPORTRANGE(H28569,""IDENTITAS UNIT!D9"")"),"#N/A")</f>
        <v>#N/A</v>
      </c>
      <c r="H28569" s="4" t="str">
        <v/>
      </c>
      <c r="I28569" s="4" t="str">
        <v/>
      </c>
    </row>
    <row r="28570" spans="5:9" ht="16.5" hidden="1">
      <c r="E28570" s="4" t="str">
        <v/>
      </c>
      <c r="F28570" s="102" t="str">
        <f ca="1">IFERROR(__xludf.DUMMYFUNCTION("IMPORTRANGE(H28570,""IDENTITAS UNIT!D9"")"),"#N/A")</f>
        <v>#N/A</v>
      </c>
      <c r="H28570" s="4" t="str">
        <v/>
      </c>
      <c r="I28570" s="4" t="str">
        <v/>
      </c>
    </row>
    <row r="28571" spans="5:9" ht="16.5" hidden="1">
      <c r="E28571" s="4" t="str">
        <v/>
      </c>
      <c r="F28571" s="102" t="str">
        <f ca="1">IFERROR(__xludf.DUMMYFUNCTION("IMPORTRANGE(H28571,""IDENTITAS UNIT!D9"")"),"#N/A")</f>
        <v>#N/A</v>
      </c>
      <c r="H28571" s="4" t="str">
        <v/>
      </c>
      <c r="I28571" s="4" t="str">
        <v/>
      </c>
    </row>
    <row r="28572" spans="5:9" ht="16.5" hidden="1">
      <c r="E28572" s="4" t="str">
        <v/>
      </c>
      <c r="F28572" s="102" t="str">
        <f ca="1">IFERROR(__xludf.DUMMYFUNCTION("IMPORTRANGE(H28572,""IDENTITAS UNIT!D9"")"),"#N/A")</f>
        <v>#N/A</v>
      </c>
      <c r="H28572" s="4" t="str">
        <v/>
      </c>
      <c r="I28572" s="4" t="str">
        <v/>
      </c>
    </row>
    <row r="28573" spans="5:9" ht="16.5" hidden="1">
      <c r="E28573" s="4" t="str">
        <v/>
      </c>
      <c r="F28573" s="102" t="str">
        <f ca="1">IFERROR(__xludf.DUMMYFUNCTION("IMPORTRANGE(H28573,""IDENTITAS UNIT!D9"")"),"#N/A")</f>
        <v>#N/A</v>
      </c>
      <c r="H28573" s="4" t="str">
        <v/>
      </c>
      <c r="I28573" s="4" t="str">
        <v/>
      </c>
    </row>
    <row r="28574" spans="5:9" ht="16.5" hidden="1">
      <c r="E28574" s="4" t="str">
        <v/>
      </c>
      <c r="F28574" s="102" t="str">
        <f ca="1">IFERROR(__xludf.DUMMYFUNCTION("IMPORTRANGE(H28574,""IDENTITAS UNIT!D9"")"),"#N/A")</f>
        <v>#N/A</v>
      </c>
      <c r="H28574" s="4" t="str">
        <v/>
      </c>
      <c r="I28574" s="4" t="str">
        <v/>
      </c>
    </row>
    <row r="28575" spans="5:9" ht="16.5" hidden="1">
      <c r="E28575" s="4" t="str">
        <v/>
      </c>
      <c r="F28575" s="102" t="str">
        <f ca="1">IFERROR(__xludf.DUMMYFUNCTION("IMPORTRANGE(H28575,""IDENTITAS UNIT!D9"")"),"#N/A")</f>
        <v>#N/A</v>
      </c>
      <c r="H28575" s="4" t="str">
        <v/>
      </c>
      <c r="I28575" s="4" t="str">
        <v/>
      </c>
    </row>
    <row r="28576" spans="5:9" ht="16.5" hidden="1">
      <c r="E28576" s="4" t="str">
        <v/>
      </c>
      <c r="F28576" s="102" t="str">
        <f ca="1">IFERROR(__xludf.DUMMYFUNCTION("IMPORTRANGE(H28576,""IDENTITAS UNIT!D9"")"),"#N/A")</f>
        <v>#N/A</v>
      </c>
      <c r="H28576" s="4" t="str">
        <v/>
      </c>
      <c r="I28576" s="4" t="str">
        <v/>
      </c>
    </row>
    <row r="28577" spans="5:9" ht="16.5" hidden="1">
      <c r="E28577" s="4" t="str">
        <v/>
      </c>
      <c r="F28577" s="102" t="str">
        <f ca="1">IFERROR(__xludf.DUMMYFUNCTION("IMPORTRANGE(H28577,""IDENTITAS UNIT!D9"")"),"#N/A")</f>
        <v>#N/A</v>
      </c>
      <c r="H28577" s="4" t="str">
        <v/>
      </c>
      <c r="I28577" s="4" t="str">
        <v/>
      </c>
    </row>
    <row r="28578" spans="5:9" ht="16.5" hidden="1">
      <c r="E28578" s="4" t="str">
        <v/>
      </c>
      <c r="F28578" s="102" t="str">
        <f ca="1">IFERROR(__xludf.DUMMYFUNCTION("IMPORTRANGE(H28578,""IDENTITAS UNIT!D9"")"),"#N/A")</f>
        <v>#N/A</v>
      </c>
      <c r="H28578" s="4" t="str">
        <v/>
      </c>
      <c r="I28578" s="4" t="str">
        <v/>
      </c>
    </row>
    <row r="28579" spans="5:9" ht="16.5" hidden="1">
      <c r="E28579" s="4" t="str">
        <v/>
      </c>
      <c r="F28579" s="102" t="str">
        <f ca="1">IFERROR(__xludf.DUMMYFUNCTION("IMPORTRANGE(H28579,""IDENTITAS UNIT!D9"")"),"#N/A")</f>
        <v>#N/A</v>
      </c>
      <c r="H28579" s="4" t="str">
        <v/>
      </c>
      <c r="I28579" s="4" t="str">
        <v/>
      </c>
    </row>
    <row r="28580" spans="5:9" ht="16.5" hidden="1">
      <c r="E28580" s="4" t="str">
        <v/>
      </c>
      <c r="F28580" s="102" t="str">
        <f ca="1">IFERROR(__xludf.DUMMYFUNCTION("IMPORTRANGE(H28580,""IDENTITAS UNIT!D9"")"),"#N/A")</f>
        <v>#N/A</v>
      </c>
      <c r="H28580" s="4" t="str">
        <v/>
      </c>
      <c r="I28580" s="4" t="str">
        <v/>
      </c>
    </row>
    <row r="28581" spans="5:9" ht="16.5" hidden="1">
      <c r="E28581" s="4" t="str">
        <v/>
      </c>
      <c r="F28581" s="102" t="str">
        <f ca="1">IFERROR(__xludf.DUMMYFUNCTION("IMPORTRANGE(H28581,""IDENTITAS UNIT!D9"")"),"#N/A")</f>
        <v>#N/A</v>
      </c>
      <c r="H28581" s="4" t="str">
        <v/>
      </c>
      <c r="I28581" s="4" t="str">
        <v/>
      </c>
    </row>
    <row r="28582" spans="5:9" ht="16.5" hidden="1">
      <c r="E28582" s="4" t="str">
        <v/>
      </c>
      <c r="F28582" s="102" t="str">
        <f ca="1">IFERROR(__xludf.DUMMYFUNCTION("IMPORTRANGE(H28582,""IDENTITAS UNIT!D9"")"),"#N/A")</f>
        <v>#N/A</v>
      </c>
      <c r="H28582" s="4" t="str">
        <v/>
      </c>
      <c r="I28582" s="4" t="str">
        <v/>
      </c>
    </row>
    <row r="28583" spans="5:9" ht="16.5" hidden="1">
      <c r="E28583" s="4" t="str">
        <v/>
      </c>
      <c r="F28583" s="102" t="str">
        <f ca="1">IFERROR(__xludf.DUMMYFUNCTION("IMPORTRANGE(H28583,""IDENTITAS UNIT!D9"")"),"#N/A")</f>
        <v>#N/A</v>
      </c>
      <c r="H28583" s="4" t="str">
        <v/>
      </c>
      <c r="I28583" s="4" t="str">
        <v/>
      </c>
    </row>
    <row r="28584" spans="5:9" ht="16.5" hidden="1">
      <c r="E28584" s="4" t="str">
        <v/>
      </c>
      <c r="F28584" s="102" t="str">
        <f ca="1">IFERROR(__xludf.DUMMYFUNCTION("IMPORTRANGE(H28584,""IDENTITAS UNIT!D9"")"),"#N/A")</f>
        <v>#N/A</v>
      </c>
      <c r="H28584" s="4" t="str">
        <v/>
      </c>
      <c r="I28584" s="4" t="str">
        <v/>
      </c>
    </row>
    <row r="28585" spans="5:9" ht="16.5" hidden="1">
      <c r="E28585" s="4" t="str">
        <v/>
      </c>
      <c r="F28585" s="102" t="str">
        <f ca="1">IFERROR(__xludf.DUMMYFUNCTION("IMPORTRANGE(H28585,""IDENTITAS UNIT!D9"")"),"#N/A")</f>
        <v>#N/A</v>
      </c>
      <c r="H28585" s="4" t="str">
        <v/>
      </c>
      <c r="I28585" s="4" t="str">
        <v/>
      </c>
    </row>
    <row r="28586" spans="5:9" ht="16.5" hidden="1">
      <c r="E28586" s="4" t="str">
        <v/>
      </c>
      <c r="F28586" s="102" t="str">
        <f ca="1">IFERROR(__xludf.DUMMYFUNCTION("IMPORTRANGE(H28586,""IDENTITAS UNIT!D9"")"),"#N/A")</f>
        <v>#N/A</v>
      </c>
      <c r="H28586" s="4" t="str">
        <v/>
      </c>
      <c r="I28586" s="4" t="str">
        <v/>
      </c>
    </row>
    <row r="28587" spans="5:9" ht="16.5" hidden="1">
      <c r="E28587" s="4" t="str">
        <v/>
      </c>
      <c r="F28587" s="102" t="str">
        <f ca="1">IFERROR(__xludf.DUMMYFUNCTION("IMPORTRANGE(H28587,""IDENTITAS UNIT!D9"")"),"#N/A")</f>
        <v>#N/A</v>
      </c>
      <c r="H28587" s="4" t="str">
        <v/>
      </c>
      <c r="I28587" s="4" t="str">
        <v/>
      </c>
    </row>
    <row r="28588" spans="5:9" ht="16.5" hidden="1">
      <c r="E28588" s="4" t="str">
        <v/>
      </c>
      <c r="F28588" s="102" t="str">
        <f ca="1">IFERROR(__xludf.DUMMYFUNCTION("IMPORTRANGE(H28588,""IDENTITAS UNIT!D9"")"),"#N/A")</f>
        <v>#N/A</v>
      </c>
      <c r="H28588" s="4" t="str">
        <v/>
      </c>
      <c r="I28588" s="4" t="str">
        <v/>
      </c>
    </row>
    <row r="28589" spans="5:9" ht="16.5" hidden="1">
      <c r="E28589" s="4" t="str">
        <v/>
      </c>
      <c r="F28589" s="102" t="str">
        <f ca="1">IFERROR(__xludf.DUMMYFUNCTION("IMPORTRANGE(H28589,""IDENTITAS UNIT!D9"")"),"#N/A")</f>
        <v>#N/A</v>
      </c>
      <c r="H28589" s="4" t="str">
        <v/>
      </c>
      <c r="I28589" s="4" t="str">
        <v/>
      </c>
    </row>
    <row r="28590" spans="5:9" ht="16.5" hidden="1">
      <c r="E28590" s="4" t="str">
        <v/>
      </c>
      <c r="F28590" s="102" t="str">
        <f ca="1">IFERROR(__xludf.DUMMYFUNCTION("IMPORTRANGE(H28590,""IDENTITAS UNIT!D9"")"),"#N/A")</f>
        <v>#N/A</v>
      </c>
      <c r="H28590" s="4" t="str">
        <v/>
      </c>
      <c r="I28590" s="4" t="str">
        <v/>
      </c>
    </row>
    <row r="28591" spans="5:9" ht="16.5" hidden="1">
      <c r="E28591" s="4" t="str">
        <v/>
      </c>
      <c r="F28591" s="102" t="str">
        <f ca="1">IFERROR(__xludf.DUMMYFUNCTION("IMPORTRANGE(H28591,""IDENTITAS UNIT!D9"")"),"#N/A")</f>
        <v>#N/A</v>
      </c>
      <c r="H28591" s="4" t="str">
        <v/>
      </c>
      <c r="I28591" s="4" t="str">
        <v/>
      </c>
    </row>
    <row r="28592" spans="5:9" ht="16.5" hidden="1">
      <c r="E28592" s="4" t="str">
        <v/>
      </c>
      <c r="F28592" s="102" t="str">
        <f ca="1">IFERROR(__xludf.DUMMYFUNCTION("IMPORTRANGE(H28592,""IDENTITAS UNIT!D9"")"),"#N/A")</f>
        <v>#N/A</v>
      </c>
      <c r="H28592" s="4" t="str">
        <v/>
      </c>
      <c r="I28592" s="4" t="str">
        <v/>
      </c>
    </row>
    <row r="28593" spans="5:9" ht="16.5" hidden="1">
      <c r="E28593" s="4" t="str">
        <v/>
      </c>
      <c r="F28593" s="102" t="str">
        <f ca="1">IFERROR(__xludf.DUMMYFUNCTION("IMPORTRANGE(H28593,""IDENTITAS UNIT!D9"")"),"#N/A")</f>
        <v>#N/A</v>
      </c>
      <c r="H28593" s="4" t="str">
        <v/>
      </c>
      <c r="I28593" s="4" t="str">
        <v/>
      </c>
    </row>
    <row r="28594" spans="5:9" ht="16.5" hidden="1">
      <c r="E28594" s="4" t="str">
        <v/>
      </c>
      <c r="F28594" s="102" t="str">
        <f ca="1">IFERROR(__xludf.DUMMYFUNCTION("IMPORTRANGE(H28594,""IDENTITAS UNIT!D9"")"),"#N/A")</f>
        <v>#N/A</v>
      </c>
      <c r="H28594" s="4" t="str">
        <v/>
      </c>
      <c r="I28594" s="4" t="str">
        <v/>
      </c>
    </row>
    <row r="28595" spans="5:9" ht="16.5" hidden="1">
      <c r="E28595" s="4" t="str">
        <v/>
      </c>
      <c r="F28595" s="102" t="str">
        <f ca="1">IFERROR(__xludf.DUMMYFUNCTION("IMPORTRANGE(H28595,""IDENTITAS UNIT!D9"")"),"#N/A")</f>
        <v>#N/A</v>
      </c>
      <c r="H28595" s="4" t="str">
        <v/>
      </c>
      <c r="I28595" s="4" t="str">
        <v/>
      </c>
    </row>
    <row r="28596" spans="5:9" ht="16.5" hidden="1">
      <c r="E28596" s="4" t="str">
        <v/>
      </c>
      <c r="F28596" s="102" t="str">
        <f ca="1">IFERROR(__xludf.DUMMYFUNCTION("IMPORTRANGE(H28596,""IDENTITAS UNIT!D9"")"),"#N/A")</f>
        <v>#N/A</v>
      </c>
      <c r="H28596" s="4" t="str">
        <v/>
      </c>
      <c r="I28596" s="4" t="str">
        <v/>
      </c>
    </row>
    <row r="28597" spans="5:9" ht="16.5" hidden="1">
      <c r="E28597" s="4" t="str">
        <v/>
      </c>
      <c r="F28597" s="102" t="str">
        <f ca="1">IFERROR(__xludf.DUMMYFUNCTION("IMPORTRANGE(H28597,""IDENTITAS UNIT!D9"")"),"#N/A")</f>
        <v>#N/A</v>
      </c>
      <c r="H28597" s="4" t="str">
        <v/>
      </c>
      <c r="I28597" s="4" t="str">
        <v/>
      </c>
    </row>
    <row r="28598" spans="5:9" ht="16.5" hidden="1">
      <c r="E28598" s="4" t="str">
        <v/>
      </c>
      <c r="F28598" s="102" t="str">
        <f ca="1">IFERROR(__xludf.DUMMYFUNCTION("IMPORTRANGE(H28598,""IDENTITAS UNIT!D9"")"),"#N/A")</f>
        <v>#N/A</v>
      </c>
      <c r="H28598" s="4" t="str">
        <v/>
      </c>
      <c r="I28598" s="4" t="str">
        <v/>
      </c>
    </row>
    <row r="28599" spans="5:9" ht="16.5" hidden="1">
      <c r="E28599" s="4" t="str">
        <v/>
      </c>
      <c r="F28599" s="102" t="str">
        <f ca="1">IFERROR(__xludf.DUMMYFUNCTION("IMPORTRANGE(H28599,""IDENTITAS UNIT!D9"")"),"#N/A")</f>
        <v>#N/A</v>
      </c>
      <c r="H28599" s="4" t="str">
        <v/>
      </c>
      <c r="I28599" s="4" t="str">
        <v/>
      </c>
    </row>
    <row r="28600" spans="5:9" ht="16.5" hidden="1">
      <c r="E28600" s="4" t="str">
        <v/>
      </c>
      <c r="F28600" s="102" t="str">
        <f ca="1">IFERROR(__xludf.DUMMYFUNCTION("IMPORTRANGE(H28600,""IDENTITAS UNIT!D9"")"),"#N/A")</f>
        <v>#N/A</v>
      </c>
      <c r="H28600" s="4" t="str">
        <v/>
      </c>
      <c r="I28600" s="4" t="str">
        <v/>
      </c>
    </row>
    <row r="28601" spans="5:9" ht="16.5" hidden="1">
      <c r="E28601" s="4" t="str">
        <v/>
      </c>
      <c r="F28601" s="102" t="str">
        <f ca="1">IFERROR(__xludf.DUMMYFUNCTION("IMPORTRANGE(H28601,""IDENTITAS UNIT!D9"")"),"#N/A")</f>
        <v>#N/A</v>
      </c>
      <c r="H28601" s="4" t="str">
        <v/>
      </c>
      <c r="I28601" s="4" t="str">
        <v/>
      </c>
    </row>
    <row r="28602" spans="5:9" ht="16.5" hidden="1">
      <c r="E28602" s="4" t="str">
        <v/>
      </c>
      <c r="F28602" s="102" t="str">
        <f ca="1">IFERROR(__xludf.DUMMYFUNCTION("IMPORTRANGE(H28602,""IDENTITAS UNIT!D9"")"),"#N/A")</f>
        <v>#N/A</v>
      </c>
      <c r="H28602" s="4" t="str">
        <v/>
      </c>
      <c r="I28602" s="4" t="str">
        <v/>
      </c>
    </row>
    <row r="28603" spans="5:9" ht="16.5" hidden="1">
      <c r="E28603" s="4" t="str">
        <v/>
      </c>
      <c r="F28603" s="102" t="str">
        <f ca="1">IFERROR(__xludf.DUMMYFUNCTION("IMPORTRANGE(H28603,""IDENTITAS UNIT!D9"")"),"#N/A")</f>
        <v>#N/A</v>
      </c>
      <c r="H28603" s="4" t="str">
        <v/>
      </c>
      <c r="I28603" s="4" t="str">
        <v/>
      </c>
    </row>
    <row r="28604" spans="5:9" ht="16.5" hidden="1">
      <c r="E28604" s="4" t="str">
        <v/>
      </c>
      <c r="F28604" s="102" t="str">
        <f ca="1">IFERROR(__xludf.DUMMYFUNCTION("IMPORTRANGE(H28604,""IDENTITAS UNIT!D9"")"),"#N/A")</f>
        <v>#N/A</v>
      </c>
      <c r="H28604" s="4" t="str">
        <v/>
      </c>
      <c r="I28604" s="4" t="str">
        <v/>
      </c>
    </row>
    <row r="28605" spans="5:9" ht="16.5" hidden="1">
      <c r="E28605" s="4" t="str">
        <v/>
      </c>
      <c r="F28605" s="102" t="str">
        <f ca="1">IFERROR(__xludf.DUMMYFUNCTION("IMPORTRANGE(H28605,""IDENTITAS UNIT!D9"")"),"#N/A")</f>
        <v>#N/A</v>
      </c>
      <c r="H28605" s="4" t="str">
        <v/>
      </c>
      <c r="I28605" s="4" t="str">
        <v/>
      </c>
    </row>
    <row r="28606" spans="5:9" ht="16.5" hidden="1">
      <c r="E28606" s="4" t="str">
        <v/>
      </c>
      <c r="F28606" s="102" t="str">
        <f ca="1">IFERROR(__xludf.DUMMYFUNCTION("IMPORTRANGE(H28606,""IDENTITAS UNIT!D9"")"),"#N/A")</f>
        <v>#N/A</v>
      </c>
      <c r="H28606" s="4" t="str">
        <v/>
      </c>
      <c r="I28606" s="4" t="str">
        <v/>
      </c>
    </row>
    <row r="28607" spans="5:9" ht="16.5" hidden="1">
      <c r="E28607" s="4" t="str">
        <v/>
      </c>
      <c r="F28607" s="102" t="str">
        <f ca="1">IFERROR(__xludf.DUMMYFUNCTION("IMPORTRANGE(H28607,""IDENTITAS UNIT!D9"")"),"#N/A")</f>
        <v>#N/A</v>
      </c>
      <c r="H28607" s="4" t="str">
        <v/>
      </c>
      <c r="I28607" s="4" t="str">
        <v/>
      </c>
    </row>
    <row r="28608" spans="5:9" ht="16.5" hidden="1">
      <c r="E28608" s="4" t="str">
        <v/>
      </c>
      <c r="F28608" s="102" t="str">
        <f ca="1">IFERROR(__xludf.DUMMYFUNCTION("IMPORTRANGE(H28608,""IDENTITAS UNIT!D9"")"),"#N/A")</f>
        <v>#N/A</v>
      </c>
      <c r="H28608" s="4" t="str">
        <v/>
      </c>
      <c r="I28608" s="4" t="str">
        <v/>
      </c>
    </row>
    <row r="28609" spans="5:9" ht="16.5" hidden="1">
      <c r="E28609" s="4" t="str">
        <v/>
      </c>
      <c r="F28609" s="102" t="str">
        <f ca="1">IFERROR(__xludf.DUMMYFUNCTION("IMPORTRANGE(H28609,""IDENTITAS UNIT!D9"")"),"#N/A")</f>
        <v>#N/A</v>
      </c>
      <c r="H28609" s="4" t="str">
        <v/>
      </c>
      <c r="I28609" s="4" t="str">
        <v/>
      </c>
    </row>
    <row r="28610" spans="5:9" ht="16.5" hidden="1">
      <c r="E28610" s="4" t="str">
        <v/>
      </c>
      <c r="F28610" s="102" t="str">
        <f ca="1">IFERROR(__xludf.DUMMYFUNCTION("IMPORTRANGE(H28610,""IDENTITAS UNIT!D9"")"),"#N/A")</f>
        <v>#N/A</v>
      </c>
      <c r="H28610" s="4" t="str">
        <v/>
      </c>
      <c r="I28610" s="4" t="str">
        <v/>
      </c>
    </row>
    <row r="28611" spans="5:9" ht="16.5" hidden="1">
      <c r="E28611" s="4" t="str">
        <v/>
      </c>
      <c r="F28611" s="102" t="str">
        <f ca="1">IFERROR(__xludf.DUMMYFUNCTION("IMPORTRANGE(H28611,""IDENTITAS UNIT!D9"")"),"#N/A")</f>
        <v>#N/A</v>
      </c>
      <c r="H28611" s="4" t="str">
        <v/>
      </c>
      <c r="I28611" s="4" t="str">
        <v/>
      </c>
    </row>
    <row r="28612" spans="5:9" ht="16.5" hidden="1">
      <c r="E28612" s="4" t="str">
        <v/>
      </c>
      <c r="F28612" s="102" t="str">
        <f ca="1">IFERROR(__xludf.DUMMYFUNCTION("IMPORTRANGE(H28612,""IDENTITAS UNIT!D9"")"),"#N/A")</f>
        <v>#N/A</v>
      </c>
      <c r="H28612" s="4" t="str">
        <v/>
      </c>
      <c r="I28612" s="4" t="str">
        <v/>
      </c>
    </row>
    <row r="28613" spans="5:9" ht="16.5" hidden="1">
      <c r="E28613" s="4" t="str">
        <v/>
      </c>
      <c r="F28613" s="102" t="str">
        <f ca="1">IFERROR(__xludf.DUMMYFUNCTION("IMPORTRANGE(H28613,""IDENTITAS UNIT!D9"")"),"#N/A")</f>
        <v>#N/A</v>
      </c>
      <c r="H28613" s="4" t="str">
        <v/>
      </c>
      <c r="I28613" s="4" t="str">
        <v/>
      </c>
    </row>
    <row r="28614" spans="5:9" ht="16.5" hidden="1">
      <c r="E28614" s="4" t="str">
        <v/>
      </c>
      <c r="F28614" s="102" t="str">
        <f ca="1">IFERROR(__xludf.DUMMYFUNCTION("IMPORTRANGE(H28614,""IDENTITAS UNIT!D9"")"),"#N/A")</f>
        <v>#N/A</v>
      </c>
      <c r="H28614" s="4" t="str">
        <v/>
      </c>
      <c r="I28614" s="4" t="str">
        <v/>
      </c>
    </row>
    <row r="28615" spans="5:9" ht="16.5" hidden="1">
      <c r="E28615" s="4" t="str">
        <v/>
      </c>
      <c r="F28615" s="102" t="str">
        <f ca="1">IFERROR(__xludf.DUMMYFUNCTION("IMPORTRANGE(H28615,""IDENTITAS UNIT!D9"")"),"#N/A")</f>
        <v>#N/A</v>
      </c>
      <c r="H28615" s="4" t="str">
        <v/>
      </c>
      <c r="I28615" s="4" t="str">
        <v/>
      </c>
    </row>
    <row r="28616" spans="5:9" ht="16.5" hidden="1">
      <c r="E28616" s="4" t="str">
        <v/>
      </c>
      <c r="F28616" s="102" t="str">
        <f ca="1">IFERROR(__xludf.DUMMYFUNCTION("IMPORTRANGE(H28616,""IDENTITAS UNIT!D9"")"),"#N/A")</f>
        <v>#N/A</v>
      </c>
      <c r="H28616" s="4" t="str">
        <v/>
      </c>
      <c r="I28616" s="4" t="str">
        <v/>
      </c>
    </row>
    <row r="28617" spans="5:9" ht="16.5" hidden="1">
      <c r="E28617" s="4" t="str">
        <v/>
      </c>
      <c r="F28617" s="102" t="str">
        <f ca="1">IFERROR(__xludf.DUMMYFUNCTION("IMPORTRANGE(H28617,""IDENTITAS UNIT!D9"")"),"#N/A")</f>
        <v>#N/A</v>
      </c>
      <c r="H28617" s="4" t="str">
        <v/>
      </c>
      <c r="I28617" s="4" t="str">
        <v/>
      </c>
    </row>
    <row r="28618" spans="5:9" ht="16.5" hidden="1">
      <c r="E28618" s="4" t="str">
        <v/>
      </c>
      <c r="F28618" s="102" t="str">
        <f ca="1">IFERROR(__xludf.DUMMYFUNCTION("IMPORTRANGE(H28618,""IDENTITAS UNIT!D9"")"),"#N/A")</f>
        <v>#N/A</v>
      </c>
      <c r="H28618" s="4" t="str">
        <v/>
      </c>
      <c r="I28618" s="4" t="str">
        <v/>
      </c>
    </row>
    <row r="28619" spans="5:9" ht="16.5" hidden="1">
      <c r="E28619" s="4" t="str">
        <v/>
      </c>
      <c r="F28619" s="102" t="str">
        <f ca="1">IFERROR(__xludf.DUMMYFUNCTION("IMPORTRANGE(H28619,""IDENTITAS UNIT!D9"")"),"#N/A")</f>
        <v>#N/A</v>
      </c>
      <c r="H28619" s="4" t="str">
        <v/>
      </c>
      <c r="I28619" s="4" t="str">
        <v/>
      </c>
    </row>
    <row r="28620" spans="5:9" ht="16.5" hidden="1">
      <c r="E28620" s="4" t="str">
        <v/>
      </c>
      <c r="F28620" s="102" t="str">
        <f ca="1">IFERROR(__xludf.DUMMYFUNCTION("IMPORTRANGE(H28620,""IDENTITAS UNIT!D9"")"),"#N/A")</f>
        <v>#N/A</v>
      </c>
      <c r="H28620" s="4" t="str">
        <v/>
      </c>
      <c r="I28620" s="4" t="str">
        <v/>
      </c>
    </row>
    <row r="28621" spans="5:9" ht="16.5" hidden="1">
      <c r="E28621" s="4" t="str">
        <v/>
      </c>
      <c r="F28621" s="102" t="str">
        <f ca="1">IFERROR(__xludf.DUMMYFUNCTION("IMPORTRANGE(H28621,""IDENTITAS UNIT!D9"")"),"#N/A")</f>
        <v>#N/A</v>
      </c>
      <c r="H28621" s="4" t="str">
        <v/>
      </c>
      <c r="I28621" s="4" t="str">
        <v/>
      </c>
    </row>
    <row r="28622" spans="5:9" ht="16.5" hidden="1">
      <c r="E28622" s="4" t="str">
        <v/>
      </c>
      <c r="F28622" s="102" t="str">
        <f ca="1">IFERROR(__xludf.DUMMYFUNCTION("IMPORTRANGE(H28622,""IDENTITAS UNIT!D9"")"),"#N/A")</f>
        <v>#N/A</v>
      </c>
      <c r="H28622" s="4" t="str">
        <v/>
      </c>
      <c r="I28622" s="4" t="str">
        <v/>
      </c>
    </row>
    <row r="28623" spans="5:9" ht="16.5" hidden="1">
      <c r="E28623" s="4" t="str">
        <v/>
      </c>
      <c r="F28623" s="102" t="str">
        <f ca="1">IFERROR(__xludf.DUMMYFUNCTION("IMPORTRANGE(H28623,""IDENTITAS UNIT!D9"")"),"#N/A")</f>
        <v>#N/A</v>
      </c>
      <c r="H28623" s="4" t="str">
        <v/>
      </c>
      <c r="I28623" s="4" t="str">
        <v/>
      </c>
    </row>
    <row r="28624" spans="5:9" ht="16.5" hidden="1">
      <c r="E28624" s="4" t="str">
        <v/>
      </c>
      <c r="F28624" s="102" t="str">
        <f ca="1">IFERROR(__xludf.DUMMYFUNCTION("IMPORTRANGE(H28624,""IDENTITAS UNIT!D9"")"),"#N/A")</f>
        <v>#N/A</v>
      </c>
      <c r="H28624" s="4" t="str">
        <v/>
      </c>
      <c r="I28624" s="4" t="str">
        <v/>
      </c>
    </row>
    <row r="28625" spans="5:9" ht="16.5" hidden="1">
      <c r="E28625" s="4" t="str">
        <v/>
      </c>
      <c r="F28625" s="102" t="str">
        <f ca="1">IFERROR(__xludf.DUMMYFUNCTION("IMPORTRANGE(H28625,""IDENTITAS UNIT!D9"")"),"#N/A")</f>
        <v>#N/A</v>
      </c>
      <c r="H28625" s="4" t="str">
        <v/>
      </c>
      <c r="I28625" s="4" t="str">
        <v/>
      </c>
    </row>
    <row r="28626" spans="5:9" ht="16.5" hidden="1">
      <c r="E28626" s="4" t="str">
        <v/>
      </c>
      <c r="F28626" s="102" t="str">
        <f ca="1">IFERROR(__xludf.DUMMYFUNCTION("IMPORTRANGE(H28626,""IDENTITAS UNIT!D9"")"),"#N/A")</f>
        <v>#N/A</v>
      </c>
      <c r="H28626" s="4" t="str">
        <v/>
      </c>
      <c r="I28626" s="4" t="str">
        <v/>
      </c>
    </row>
    <row r="28627" spans="5:9" ht="16.5" hidden="1">
      <c r="E28627" s="4" t="str">
        <v/>
      </c>
      <c r="F28627" s="102" t="str">
        <f ca="1">IFERROR(__xludf.DUMMYFUNCTION("IMPORTRANGE(H28627,""IDENTITAS UNIT!D9"")"),"#N/A")</f>
        <v>#N/A</v>
      </c>
      <c r="H28627" s="4" t="str">
        <v/>
      </c>
      <c r="I28627" s="4" t="str">
        <v/>
      </c>
    </row>
    <row r="28628" spans="5:9" ht="16.5" hidden="1">
      <c r="E28628" s="4" t="str">
        <v/>
      </c>
      <c r="F28628" s="102" t="str">
        <f ca="1">IFERROR(__xludf.DUMMYFUNCTION("IMPORTRANGE(H28628,""IDENTITAS UNIT!D9"")"),"#N/A")</f>
        <v>#N/A</v>
      </c>
      <c r="H28628" s="4" t="str">
        <v/>
      </c>
      <c r="I28628" s="4" t="str">
        <v/>
      </c>
    </row>
    <row r="28629" spans="5:9" ht="16.5" hidden="1">
      <c r="E28629" s="4" t="str">
        <v/>
      </c>
      <c r="F28629" s="102" t="str">
        <f ca="1">IFERROR(__xludf.DUMMYFUNCTION("IMPORTRANGE(H28629,""IDENTITAS UNIT!D9"")"),"#N/A")</f>
        <v>#N/A</v>
      </c>
      <c r="H28629" s="4" t="str">
        <v/>
      </c>
      <c r="I28629" s="4" t="str">
        <v/>
      </c>
    </row>
    <row r="28630" spans="5:9" ht="16.5" hidden="1">
      <c r="E28630" s="4" t="str">
        <v/>
      </c>
      <c r="F28630" s="102" t="str">
        <f ca="1">IFERROR(__xludf.DUMMYFUNCTION("IMPORTRANGE(H28630,""IDENTITAS UNIT!D9"")"),"#N/A")</f>
        <v>#N/A</v>
      </c>
      <c r="H28630" s="4" t="str">
        <v/>
      </c>
      <c r="I28630" s="4" t="str">
        <v/>
      </c>
    </row>
    <row r="28631" spans="5:9" ht="16.5" hidden="1">
      <c r="E28631" s="4" t="str">
        <v/>
      </c>
      <c r="F28631" s="102" t="str">
        <f ca="1">IFERROR(__xludf.DUMMYFUNCTION("IMPORTRANGE(H28631,""IDENTITAS UNIT!D9"")"),"#N/A")</f>
        <v>#N/A</v>
      </c>
      <c r="H28631" s="4" t="str">
        <v/>
      </c>
      <c r="I28631" s="4" t="str">
        <v/>
      </c>
    </row>
    <row r="28632" spans="5:9" ht="16.5" hidden="1">
      <c r="E28632" s="4" t="str">
        <v/>
      </c>
      <c r="F28632" s="102" t="str">
        <f ca="1">IFERROR(__xludf.DUMMYFUNCTION("IMPORTRANGE(H28632,""IDENTITAS UNIT!D9"")"),"#N/A")</f>
        <v>#N/A</v>
      </c>
      <c r="H28632" s="4" t="str">
        <v/>
      </c>
      <c r="I28632" s="4" t="str">
        <v/>
      </c>
    </row>
    <row r="28633" spans="5:9" ht="16.5" hidden="1">
      <c r="E28633" s="4" t="str">
        <v/>
      </c>
      <c r="F28633" s="102" t="str">
        <f ca="1">IFERROR(__xludf.DUMMYFUNCTION("IMPORTRANGE(H28633,""IDENTITAS UNIT!D9"")"),"#N/A")</f>
        <v>#N/A</v>
      </c>
      <c r="H28633" s="4" t="str">
        <v/>
      </c>
      <c r="I28633" s="4" t="str">
        <v/>
      </c>
    </row>
    <row r="28634" spans="5:9" ht="16.5" hidden="1">
      <c r="E28634" s="4" t="str">
        <v/>
      </c>
      <c r="F28634" s="102" t="str">
        <f ca="1">IFERROR(__xludf.DUMMYFUNCTION("IMPORTRANGE(H28634,""IDENTITAS UNIT!D9"")"),"#N/A")</f>
        <v>#N/A</v>
      </c>
      <c r="H28634" s="4" t="str">
        <v/>
      </c>
      <c r="I28634" s="4" t="str">
        <v/>
      </c>
    </row>
    <row r="28635" spans="5:9" ht="16.5" hidden="1">
      <c r="E28635" s="4" t="str">
        <v/>
      </c>
      <c r="F28635" s="102" t="str">
        <f ca="1">IFERROR(__xludf.DUMMYFUNCTION("IMPORTRANGE(H28635,""IDENTITAS UNIT!D9"")"),"#N/A")</f>
        <v>#N/A</v>
      </c>
      <c r="H28635" s="4" t="str">
        <v/>
      </c>
      <c r="I28635" s="4" t="str">
        <v/>
      </c>
    </row>
    <row r="28636" spans="5:9" ht="16.5" hidden="1">
      <c r="E28636" s="4" t="str">
        <v/>
      </c>
      <c r="F28636" s="102" t="str">
        <f ca="1">IFERROR(__xludf.DUMMYFUNCTION("IMPORTRANGE(H28636,""IDENTITAS UNIT!D9"")"),"#N/A")</f>
        <v>#N/A</v>
      </c>
      <c r="H28636" s="4" t="str">
        <v/>
      </c>
      <c r="I28636" s="4" t="str">
        <v/>
      </c>
    </row>
    <row r="28637" spans="5:9" ht="16.5" hidden="1">
      <c r="E28637" s="4" t="str">
        <v/>
      </c>
      <c r="F28637" s="102" t="str">
        <f ca="1">IFERROR(__xludf.DUMMYFUNCTION("IMPORTRANGE(H28637,""IDENTITAS UNIT!D9"")"),"#N/A")</f>
        <v>#N/A</v>
      </c>
      <c r="H28637" s="4" t="str">
        <v/>
      </c>
      <c r="I28637" s="4" t="str">
        <v/>
      </c>
    </row>
    <row r="28638" spans="5:9" ht="16.5" hidden="1">
      <c r="E28638" s="4" t="str">
        <v/>
      </c>
      <c r="F28638" s="102" t="str">
        <f ca="1">IFERROR(__xludf.DUMMYFUNCTION("IMPORTRANGE(H28638,""IDENTITAS UNIT!D9"")"),"#N/A")</f>
        <v>#N/A</v>
      </c>
      <c r="H28638" s="4" t="str">
        <v/>
      </c>
      <c r="I28638" s="4" t="str">
        <v/>
      </c>
    </row>
    <row r="28639" spans="5:9" ht="16.5" hidden="1">
      <c r="E28639" s="4" t="str">
        <v/>
      </c>
      <c r="F28639" s="102" t="str">
        <f ca="1">IFERROR(__xludf.DUMMYFUNCTION("IMPORTRANGE(H28639,""IDENTITAS UNIT!D9"")"),"#N/A")</f>
        <v>#N/A</v>
      </c>
      <c r="H28639" s="4" t="str">
        <v/>
      </c>
      <c r="I28639" s="4" t="str">
        <v/>
      </c>
    </row>
    <row r="28640" spans="5:9" ht="16.5" hidden="1">
      <c r="E28640" s="4" t="str">
        <v/>
      </c>
      <c r="F28640" s="102" t="str">
        <f ca="1">IFERROR(__xludf.DUMMYFUNCTION("IMPORTRANGE(H28640,""IDENTITAS UNIT!D9"")"),"#N/A")</f>
        <v>#N/A</v>
      </c>
      <c r="H28640" s="4" t="str">
        <v/>
      </c>
      <c r="I28640" s="4" t="str">
        <v/>
      </c>
    </row>
    <row r="28641" spans="5:9" ht="16.5" hidden="1">
      <c r="E28641" s="4" t="str">
        <v/>
      </c>
      <c r="F28641" s="102" t="str">
        <f ca="1">IFERROR(__xludf.DUMMYFUNCTION("IMPORTRANGE(H28641,""IDENTITAS UNIT!D9"")"),"#N/A")</f>
        <v>#N/A</v>
      </c>
      <c r="H28641" s="4" t="str">
        <v/>
      </c>
      <c r="I28641" s="4" t="str">
        <v/>
      </c>
    </row>
    <row r="28642" spans="5:9" ht="16.5" hidden="1">
      <c r="E28642" s="4" t="str">
        <v/>
      </c>
      <c r="F28642" s="102" t="str">
        <f ca="1">IFERROR(__xludf.DUMMYFUNCTION("IMPORTRANGE(H28642,""IDENTITAS UNIT!D9"")"),"#N/A")</f>
        <v>#N/A</v>
      </c>
      <c r="H28642" s="4" t="str">
        <v/>
      </c>
      <c r="I28642" s="4" t="str">
        <v/>
      </c>
    </row>
    <row r="28643" spans="5:9" ht="16.5" hidden="1">
      <c r="E28643" s="4" t="str">
        <v/>
      </c>
      <c r="F28643" s="102" t="str">
        <f ca="1">IFERROR(__xludf.DUMMYFUNCTION("IMPORTRANGE(H28643,""IDENTITAS UNIT!D9"")"),"#N/A")</f>
        <v>#N/A</v>
      </c>
      <c r="H28643" s="4" t="str">
        <v/>
      </c>
      <c r="I28643" s="4" t="str">
        <v/>
      </c>
    </row>
    <row r="28644" spans="5:9" ht="16.5" hidden="1">
      <c r="E28644" s="4" t="str">
        <v/>
      </c>
      <c r="F28644" s="102" t="str">
        <f ca="1">IFERROR(__xludf.DUMMYFUNCTION("IMPORTRANGE(H28644,""IDENTITAS UNIT!D9"")"),"#N/A")</f>
        <v>#N/A</v>
      </c>
      <c r="H28644" s="4" t="str">
        <v/>
      </c>
      <c r="I28644" s="4" t="str">
        <v/>
      </c>
    </row>
    <row r="28645" spans="5:9" ht="16.5" hidden="1">
      <c r="E28645" s="4" t="str">
        <v/>
      </c>
      <c r="F28645" s="102" t="str">
        <f ca="1">IFERROR(__xludf.DUMMYFUNCTION("IMPORTRANGE(H28645,""IDENTITAS UNIT!D9"")"),"#N/A")</f>
        <v>#N/A</v>
      </c>
      <c r="H28645" s="4" t="str">
        <v/>
      </c>
      <c r="I28645" s="4" t="str">
        <v/>
      </c>
    </row>
    <row r="28646" spans="5:9" ht="16.5" hidden="1">
      <c r="E28646" s="4" t="str">
        <v/>
      </c>
      <c r="F28646" s="102" t="str">
        <f ca="1">IFERROR(__xludf.DUMMYFUNCTION("IMPORTRANGE(H28646,""IDENTITAS UNIT!D9"")"),"#N/A")</f>
        <v>#N/A</v>
      </c>
      <c r="H28646" s="4" t="str">
        <v/>
      </c>
      <c r="I28646" s="4" t="str">
        <v/>
      </c>
    </row>
    <row r="28647" spans="5:9" ht="16.5" hidden="1">
      <c r="E28647" s="4" t="str">
        <v/>
      </c>
      <c r="F28647" s="102" t="str">
        <f ca="1">IFERROR(__xludf.DUMMYFUNCTION("IMPORTRANGE(H28647,""IDENTITAS UNIT!D9"")"),"#N/A")</f>
        <v>#N/A</v>
      </c>
      <c r="H28647" s="4" t="str">
        <v/>
      </c>
      <c r="I28647" s="4" t="str">
        <v/>
      </c>
    </row>
    <row r="28648" spans="5:9" ht="16.5" hidden="1">
      <c r="E28648" s="4" t="str">
        <v/>
      </c>
      <c r="F28648" s="102" t="str">
        <f ca="1">IFERROR(__xludf.DUMMYFUNCTION("IMPORTRANGE(H28648,""IDENTITAS UNIT!D9"")"),"#N/A")</f>
        <v>#N/A</v>
      </c>
      <c r="H28648" s="4" t="str">
        <v/>
      </c>
      <c r="I28648" s="4" t="str">
        <v/>
      </c>
    </row>
    <row r="28649" spans="5:9" ht="16.5" hidden="1">
      <c r="E28649" s="4" t="str">
        <v/>
      </c>
      <c r="F28649" s="102" t="str">
        <f ca="1">IFERROR(__xludf.DUMMYFUNCTION("IMPORTRANGE(H28649,""IDENTITAS UNIT!D9"")"),"#N/A")</f>
        <v>#N/A</v>
      </c>
      <c r="H28649" s="4" t="str">
        <v/>
      </c>
      <c r="I28649" s="4" t="str">
        <v/>
      </c>
    </row>
    <row r="28650" spans="5:9" ht="16.5" hidden="1">
      <c r="E28650" s="4" t="str">
        <v/>
      </c>
      <c r="F28650" s="102" t="str">
        <f ca="1">IFERROR(__xludf.DUMMYFUNCTION("IMPORTRANGE(H28650,""IDENTITAS UNIT!D9"")"),"#N/A")</f>
        <v>#N/A</v>
      </c>
      <c r="H28650" s="4" t="str">
        <v/>
      </c>
      <c r="I28650" s="4" t="str">
        <v/>
      </c>
    </row>
    <row r="28651" spans="5:9" ht="16.5" hidden="1">
      <c r="E28651" s="4" t="str">
        <v/>
      </c>
      <c r="F28651" s="102" t="str">
        <f ca="1">IFERROR(__xludf.DUMMYFUNCTION("IMPORTRANGE(H28651,""IDENTITAS UNIT!D9"")"),"#N/A")</f>
        <v>#N/A</v>
      </c>
      <c r="H28651" s="4" t="str">
        <v/>
      </c>
      <c r="I28651" s="4" t="str">
        <v/>
      </c>
    </row>
    <row r="28652" spans="5:9" ht="16.5" hidden="1">
      <c r="E28652" s="4" t="str">
        <v/>
      </c>
      <c r="F28652" s="102" t="str">
        <f ca="1">IFERROR(__xludf.DUMMYFUNCTION("IMPORTRANGE(H28652,""IDENTITAS UNIT!D9"")"),"#N/A")</f>
        <v>#N/A</v>
      </c>
      <c r="H28652" s="4" t="str">
        <v/>
      </c>
      <c r="I28652" s="4" t="str">
        <v/>
      </c>
    </row>
    <row r="28653" spans="5:9" ht="16.5" hidden="1">
      <c r="E28653" s="4" t="str">
        <v/>
      </c>
      <c r="F28653" s="102" t="str">
        <f ca="1">IFERROR(__xludf.DUMMYFUNCTION("IMPORTRANGE(H28653,""IDENTITAS UNIT!D9"")"),"#N/A")</f>
        <v>#N/A</v>
      </c>
      <c r="H28653" s="4" t="str">
        <v/>
      </c>
      <c r="I28653" s="4" t="str">
        <v/>
      </c>
    </row>
    <row r="28654" spans="5:9" ht="16.5" hidden="1">
      <c r="E28654" s="4" t="str">
        <v/>
      </c>
      <c r="F28654" s="102" t="str">
        <f ca="1">IFERROR(__xludf.DUMMYFUNCTION("IMPORTRANGE(H28654,""IDENTITAS UNIT!D9"")"),"#N/A")</f>
        <v>#N/A</v>
      </c>
      <c r="H28654" s="4" t="str">
        <v/>
      </c>
      <c r="I28654" s="4" t="str">
        <v/>
      </c>
    </row>
    <row r="28655" spans="5:9" ht="16.5" hidden="1">
      <c r="E28655" s="4" t="str">
        <v/>
      </c>
      <c r="F28655" s="102" t="str">
        <f ca="1">IFERROR(__xludf.DUMMYFUNCTION("IMPORTRANGE(H28655,""IDENTITAS UNIT!D9"")"),"#N/A")</f>
        <v>#N/A</v>
      </c>
      <c r="H28655" s="4" t="str">
        <v/>
      </c>
      <c r="I28655" s="4" t="str">
        <v/>
      </c>
    </row>
    <row r="28656" spans="5:9" ht="16.5" hidden="1">
      <c r="E28656" s="4" t="str">
        <v/>
      </c>
      <c r="F28656" s="102" t="str">
        <f ca="1">IFERROR(__xludf.DUMMYFUNCTION("IMPORTRANGE(H28656,""IDENTITAS UNIT!D9"")"),"#N/A")</f>
        <v>#N/A</v>
      </c>
      <c r="H28656" s="4" t="str">
        <v/>
      </c>
      <c r="I28656" s="4" t="str">
        <v/>
      </c>
    </row>
    <row r="28657" spans="5:9" ht="16.5" hidden="1">
      <c r="E28657" s="4" t="str">
        <v/>
      </c>
      <c r="F28657" s="102" t="str">
        <f ca="1">IFERROR(__xludf.DUMMYFUNCTION("IMPORTRANGE(H28657,""IDENTITAS UNIT!D9"")"),"#N/A")</f>
        <v>#N/A</v>
      </c>
      <c r="H28657" s="4" t="str">
        <v/>
      </c>
      <c r="I28657" s="4" t="str">
        <v/>
      </c>
    </row>
    <row r="28658" spans="5:9" ht="16.5" hidden="1">
      <c r="E28658" s="4" t="str">
        <v/>
      </c>
      <c r="F28658" s="102" t="str">
        <f ca="1">IFERROR(__xludf.DUMMYFUNCTION("IMPORTRANGE(H28658,""IDENTITAS UNIT!D9"")"),"#N/A")</f>
        <v>#N/A</v>
      </c>
      <c r="H28658" s="4" t="str">
        <v/>
      </c>
      <c r="I28658" s="4" t="str">
        <v/>
      </c>
    </row>
    <row r="28659" spans="5:9" ht="16.5" hidden="1">
      <c r="E28659" s="4" t="str">
        <v/>
      </c>
      <c r="F28659" s="102" t="str">
        <f ca="1">IFERROR(__xludf.DUMMYFUNCTION("IMPORTRANGE(H28659,""IDENTITAS UNIT!D9"")"),"#N/A")</f>
        <v>#N/A</v>
      </c>
      <c r="H28659" s="4" t="str">
        <v/>
      </c>
      <c r="I28659" s="4" t="str">
        <v/>
      </c>
    </row>
    <row r="28660" spans="5:9" ht="16.5" hidden="1">
      <c r="E28660" s="4" t="str">
        <v/>
      </c>
      <c r="F28660" s="102" t="str">
        <f ca="1">IFERROR(__xludf.DUMMYFUNCTION("IMPORTRANGE(H28660,""IDENTITAS UNIT!D9"")"),"#N/A")</f>
        <v>#N/A</v>
      </c>
      <c r="H28660" s="4" t="str">
        <v/>
      </c>
      <c r="I28660" s="4" t="str">
        <v/>
      </c>
    </row>
    <row r="28661" spans="5:9" ht="16.5" hidden="1">
      <c r="E28661" s="4" t="str">
        <v/>
      </c>
      <c r="F28661" s="102" t="str">
        <f ca="1">IFERROR(__xludf.DUMMYFUNCTION("IMPORTRANGE(H28661,""IDENTITAS UNIT!D9"")"),"#N/A")</f>
        <v>#N/A</v>
      </c>
      <c r="H28661" s="4" t="str">
        <v/>
      </c>
      <c r="I28661" s="4" t="str">
        <v/>
      </c>
    </row>
    <row r="28662" spans="5:9" ht="16.5" hidden="1">
      <c r="E28662" s="4" t="str">
        <v/>
      </c>
      <c r="F28662" s="102" t="str">
        <f ca="1">IFERROR(__xludf.DUMMYFUNCTION("IMPORTRANGE(H28662,""IDENTITAS UNIT!D9"")"),"#N/A")</f>
        <v>#N/A</v>
      </c>
      <c r="H28662" s="4" t="str">
        <v/>
      </c>
      <c r="I28662" s="4" t="str">
        <v/>
      </c>
    </row>
    <row r="28663" spans="5:9" ht="16.5" hidden="1">
      <c r="E28663" s="4" t="str">
        <v/>
      </c>
      <c r="F28663" s="102" t="str">
        <f ca="1">IFERROR(__xludf.DUMMYFUNCTION("IMPORTRANGE(H28663,""IDENTITAS UNIT!D9"")"),"#N/A")</f>
        <v>#N/A</v>
      </c>
      <c r="H28663" s="4" t="str">
        <v/>
      </c>
      <c r="I28663" s="4" t="str">
        <v/>
      </c>
    </row>
    <row r="28664" spans="5:9" ht="16.5" hidden="1">
      <c r="E28664" s="4" t="str">
        <v/>
      </c>
      <c r="F28664" s="102" t="str">
        <f ca="1">IFERROR(__xludf.DUMMYFUNCTION("IMPORTRANGE(H28664,""IDENTITAS UNIT!D9"")"),"#N/A")</f>
        <v>#N/A</v>
      </c>
      <c r="H28664" s="4" t="str">
        <v/>
      </c>
      <c r="I28664" s="4" t="str">
        <v/>
      </c>
    </row>
    <row r="28665" spans="5:9" ht="16.5" hidden="1">
      <c r="E28665" s="4" t="str">
        <v/>
      </c>
      <c r="F28665" s="102" t="str">
        <f ca="1">IFERROR(__xludf.DUMMYFUNCTION("IMPORTRANGE(H28665,""IDENTITAS UNIT!D9"")"),"#N/A")</f>
        <v>#N/A</v>
      </c>
      <c r="H28665" s="4" t="str">
        <v/>
      </c>
      <c r="I28665" s="4" t="str">
        <v/>
      </c>
    </row>
    <row r="28666" spans="5:9" ht="16.5" hidden="1">
      <c r="E28666" s="4" t="str">
        <v/>
      </c>
      <c r="F28666" s="102" t="str">
        <f ca="1">IFERROR(__xludf.DUMMYFUNCTION("IMPORTRANGE(H28666,""IDENTITAS UNIT!D9"")"),"#N/A")</f>
        <v>#N/A</v>
      </c>
      <c r="H28666" s="4" t="str">
        <v/>
      </c>
      <c r="I28666" s="4" t="str">
        <v/>
      </c>
    </row>
    <row r="28667" spans="5:9" ht="16.5" hidden="1">
      <c r="E28667" s="4" t="str">
        <v/>
      </c>
      <c r="F28667" s="102" t="str">
        <f ca="1">IFERROR(__xludf.DUMMYFUNCTION("IMPORTRANGE(H28667,""IDENTITAS UNIT!D9"")"),"#N/A")</f>
        <v>#N/A</v>
      </c>
      <c r="H28667" s="4" t="str">
        <v/>
      </c>
      <c r="I28667" s="4" t="str">
        <v/>
      </c>
    </row>
    <row r="28668" spans="5:9" ht="16.5" hidden="1">
      <c r="E28668" s="4" t="str">
        <v/>
      </c>
      <c r="F28668" s="102" t="str">
        <f ca="1">IFERROR(__xludf.DUMMYFUNCTION("IMPORTRANGE(H28668,""IDENTITAS UNIT!D9"")"),"#N/A")</f>
        <v>#N/A</v>
      </c>
      <c r="H28668" s="4" t="str">
        <v/>
      </c>
      <c r="I28668" s="4" t="str">
        <v/>
      </c>
    </row>
    <row r="28669" spans="5:9" ht="16.5" hidden="1">
      <c r="E28669" s="4" t="str">
        <v/>
      </c>
      <c r="F28669" s="102" t="str">
        <f ca="1">IFERROR(__xludf.DUMMYFUNCTION("IMPORTRANGE(H28669,""IDENTITAS UNIT!D9"")"),"#N/A")</f>
        <v>#N/A</v>
      </c>
      <c r="H28669" s="4" t="str">
        <v/>
      </c>
      <c r="I28669" s="4" t="str">
        <v/>
      </c>
    </row>
    <row r="28670" spans="5:9" ht="16.5" hidden="1">
      <c r="E28670" s="4" t="str">
        <v/>
      </c>
      <c r="F28670" s="102" t="str">
        <f ca="1">IFERROR(__xludf.DUMMYFUNCTION("IMPORTRANGE(H28670,""IDENTITAS UNIT!D9"")"),"#N/A")</f>
        <v>#N/A</v>
      </c>
      <c r="H28670" s="4" t="str">
        <v/>
      </c>
      <c r="I28670" s="4" t="str">
        <v/>
      </c>
    </row>
    <row r="28671" spans="5:9" ht="16.5" hidden="1">
      <c r="E28671" s="4" t="str">
        <v/>
      </c>
      <c r="F28671" s="102" t="str">
        <f ca="1">IFERROR(__xludf.DUMMYFUNCTION("IMPORTRANGE(H28671,""IDENTITAS UNIT!D9"")"),"#N/A")</f>
        <v>#N/A</v>
      </c>
      <c r="H28671" s="4" t="str">
        <v/>
      </c>
      <c r="I28671" s="4" t="str">
        <v/>
      </c>
    </row>
    <row r="28672" spans="5:9" ht="16.5" hidden="1">
      <c r="E28672" s="4" t="str">
        <v/>
      </c>
      <c r="F28672" s="102" t="str">
        <f ca="1">IFERROR(__xludf.DUMMYFUNCTION("IMPORTRANGE(H28672,""IDENTITAS UNIT!D9"")"),"#N/A")</f>
        <v>#N/A</v>
      </c>
      <c r="H28672" s="4" t="str">
        <v/>
      </c>
      <c r="I28672" s="4" t="str">
        <v/>
      </c>
    </row>
    <row r="28673" spans="5:9" ht="16.5" hidden="1">
      <c r="E28673" s="4" t="str">
        <v/>
      </c>
      <c r="F28673" s="102" t="str">
        <f ca="1">IFERROR(__xludf.DUMMYFUNCTION("IMPORTRANGE(H28673,""IDENTITAS UNIT!D9"")"),"#N/A")</f>
        <v>#N/A</v>
      </c>
      <c r="H28673" s="4" t="str">
        <v/>
      </c>
      <c r="I28673" s="4" t="str">
        <v/>
      </c>
    </row>
    <row r="28674" spans="5:9" ht="16.5" hidden="1">
      <c r="E28674" s="4" t="str">
        <v/>
      </c>
      <c r="F28674" s="102" t="str">
        <f ca="1">IFERROR(__xludf.DUMMYFUNCTION("IMPORTRANGE(H28674,""IDENTITAS UNIT!D9"")"),"#N/A")</f>
        <v>#N/A</v>
      </c>
      <c r="H28674" s="4" t="str">
        <v/>
      </c>
      <c r="I28674" s="4" t="str">
        <v/>
      </c>
    </row>
    <row r="28675" spans="5:9" ht="16.5" hidden="1">
      <c r="E28675" s="4" t="str">
        <v/>
      </c>
      <c r="F28675" s="102" t="str">
        <f ca="1">IFERROR(__xludf.DUMMYFUNCTION("IMPORTRANGE(H28675,""IDENTITAS UNIT!D9"")"),"#N/A")</f>
        <v>#N/A</v>
      </c>
      <c r="H28675" s="4" t="str">
        <v/>
      </c>
      <c r="I28675" s="4" t="str">
        <v/>
      </c>
    </row>
    <row r="28676" spans="5:9" ht="16.5" hidden="1">
      <c r="E28676" s="4" t="str">
        <v/>
      </c>
      <c r="F28676" s="102" t="str">
        <f ca="1">IFERROR(__xludf.DUMMYFUNCTION("IMPORTRANGE(H28676,""IDENTITAS UNIT!D9"")"),"#N/A")</f>
        <v>#N/A</v>
      </c>
      <c r="H28676" s="4" t="str">
        <v/>
      </c>
      <c r="I28676" s="4" t="str">
        <v/>
      </c>
    </row>
    <row r="28677" spans="5:9" ht="16.5" hidden="1">
      <c r="E28677" s="4" t="str">
        <v/>
      </c>
      <c r="F28677" s="102" t="str">
        <f ca="1">IFERROR(__xludf.DUMMYFUNCTION("IMPORTRANGE(H28677,""IDENTITAS UNIT!D9"")"),"#N/A")</f>
        <v>#N/A</v>
      </c>
      <c r="H28677" s="4" t="str">
        <v/>
      </c>
      <c r="I28677" s="4" t="str">
        <v/>
      </c>
    </row>
    <row r="28678" spans="5:9" ht="16.5" hidden="1">
      <c r="E28678" s="4" t="str">
        <v/>
      </c>
      <c r="F28678" s="102" t="str">
        <f ca="1">IFERROR(__xludf.DUMMYFUNCTION("IMPORTRANGE(H28678,""IDENTITAS UNIT!D9"")"),"#N/A")</f>
        <v>#N/A</v>
      </c>
      <c r="H28678" s="4" t="str">
        <v/>
      </c>
      <c r="I28678" s="4" t="str">
        <v/>
      </c>
    </row>
    <row r="28679" spans="5:9" ht="16.5" hidden="1">
      <c r="E28679" s="4" t="str">
        <v/>
      </c>
      <c r="F28679" s="102" t="str">
        <f ca="1">IFERROR(__xludf.DUMMYFUNCTION("IMPORTRANGE(H28679,""IDENTITAS UNIT!D9"")"),"#N/A")</f>
        <v>#N/A</v>
      </c>
      <c r="H28679" s="4" t="str">
        <v/>
      </c>
      <c r="I28679" s="4" t="str">
        <v/>
      </c>
    </row>
    <row r="28680" spans="5:9" ht="16.5" hidden="1">
      <c r="E28680" s="4" t="str">
        <v/>
      </c>
      <c r="F28680" s="102" t="str">
        <f ca="1">IFERROR(__xludf.DUMMYFUNCTION("IMPORTRANGE(H28680,""IDENTITAS UNIT!D9"")"),"#N/A")</f>
        <v>#N/A</v>
      </c>
      <c r="H28680" s="4" t="str">
        <v/>
      </c>
      <c r="I28680" s="4" t="str">
        <v/>
      </c>
    </row>
    <row r="28681" spans="5:9" ht="16.5" hidden="1">
      <c r="E28681" s="4" t="str">
        <v/>
      </c>
      <c r="F28681" s="102" t="str">
        <f ca="1">IFERROR(__xludf.DUMMYFUNCTION("IMPORTRANGE(H28681,""IDENTITAS UNIT!D9"")"),"#N/A")</f>
        <v>#N/A</v>
      </c>
      <c r="H28681" s="4" t="str">
        <v/>
      </c>
      <c r="I28681" s="4" t="str">
        <v/>
      </c>
    </row>
    <row r="28682" spans="5:9" ht="16.5" hidden="1">
      <c r="E28682" s="4" t="str">
        <v/>
      </c>
      <c r="F28682" s="102" t="str">
        <f ca="1">IFERROR(__xludf.DUMMYFUNCTION("IMPORTRANGE(H28682,""IDENTITAS UNIT!D9"")"),"#N/A")</f>
        <v>#N/A</v>
      </c>
      <c r="H28682" s="4" t="str">
        <v/>
      </c>
      <c r="I28682" s="4" t="str">
        <v/>
      </c>
    </row>
    <row r="28683" spans="5:9" ht="16.5" hidden="1">
      <c r="E28683" s="4" t="str">
        <v/>
      </c>
      <c r="F28683" s="102" t="str">
        <f ca="1">IFERROR(__xludf.DUMMYFUNCTION("IMPORTRANGE(H28683,""IDENTITAS UNIT!D9"")"),"#N/A")</f>
        <v>#N/A</v>
      </c>
      <c r="H28683" s="4" t="str">
        <v/>
      </c>
      <c r="I28683" s="4" t="str">
        <v/>
      </c>
    </row>
    <row r="28684" spans="5:9" ht="16.5" hidden="1">
      <c r="E28684" s="4" t="str">
        <v/>
      </c>
      <c r="F28684" s="102" t="str">
        <f ca="1">IFERROR(__xludf.DUMMYFUNCTION("IMPORTRANGE(H28684,""IDENTITAS UNIT!D9"")"),"#N/A")</f>
        <v>#N/A</v>
      </c>
      <c r="H28684" s="4" t="str">
        <v/>
      </c>
      <c r="I28684" s="4" t="str">
        <v/>
      </c>
    </row>
    <row r="28685" spans="5:9" ht="16.5" hidden="1">
      <c r="E28685" s="4" t="str">
        <v/>
      </c>
      <c r="F28685" s="102" t="str">
        <f ca="1">IFERROR(__xludf.DUMMYFUNCTION("IMPORTRANGE(H28685,""IDENTITAS UNIT!D9"")"),"#N/A")</f>
        <v>#N/A</v>
      </c>
      <c r="H28685" s="4" t="str">
        <v/>
      </c>
      <c r="I28685" s="4" t="str">
        <v/>
      </c>
    </row>
    <row r="28686" spans="5:9" ht="16.5" hidden="1">
      <c r="E28686" s="4" t="str">
        <v/>
      </c>
      <c r="F28686" s="102" t="str">
        <f ca="1">IFERROR(__xludf.DUMMYFUNCTION("IMPORTRANGE(H28686,""IDENTITAS UNIT!D9"")"),"#N/A")</f>
        <v>#N/A</v>
      </c>
      <c r="H28686" s="4" t="str">
        <v/>
      </c>
      <c r="I28686" s="4" t="str">
        <v/>
      </c>
    </row>
    <row r="28687" spans="5:9" ht="16.5" hidden="1">
      <c r="E28687" s="4" t="str">
        <v/>
      </c>
      <c r="F28687" s="102" t="str">
        <f ca="1">IFERROR(__xludf.DUMMYFUNCTION("IMPORTRANGE(H28687,""IDENTITAS UNIT!D9"")"),"#N/A")</f>
        <v>#N/A</v>
      </c>
      <c r="H28687" s="4" t="str">
        <v/>
      </c>
      <c r="I28687" s="4" t="str">
        <v/>
      </c>
    </row>
    <row r="28688" spans="5:9" ht="16.5" hidden="1">
      <c r="E28688" s="4" t="str">
        <v/>
      </c>
      <c r="F28688" s="102" t="str">
        <f ca="1">IFERROR(__xludf.DUMMYFUNCTION("IMPORTRANGE(H28688,""IDENTITAS UNIT!D9"")"),"#N/A")</f>
        <v>#N/A</v>
      </c>
      <c r="H28688" s="4" t="str">
        <v/>
      </c>
      <c r="I28688" s="4" t="str">
        <v/>
      </c>
    </row>
    <row r="28689" spans="5:9" ht="16.5" hidden="1">
      <c r="E28689" s="4" t="str">
        <v/>
      </c>
      <c r="F28689" s="102" t="str">
        <f ca="1">IFERROR(__xludf.DUMMYFUNCTION("IMPORTRANGE(H28689,""IDENTITAS UNIT!D9"")"),"#N/A")</f>
        <v>#N/A</v>
      </c>
      <c r="H28689" s="4" t="str">
        <v/>
      </c>
      <c r="I28689" s="4" t="str">
        <v/>
      </c>
    </row>
    <row r="28690" spans="5:9" ht="16.5" hidden="1">
      <c r="E28690" s="4" t="str">
        <v/>
      </c>
      <c r="F28690" s="102" t="str">
        <f ca="1">IFERROR(__xludf.DUMMYFUNCTION("IMPORTRANGE(H28690,""IDENTITAS UNIT!D9"")"),"#N/A")</f>
        <v>#N/A</v>
      </c>
      <c r="H28690" s="4" t="str">
        <v/>
      </c>
      <c r="I28690" s="4" t="str">
        <v/>
      </c>
    </row>
    <row r="28691" spans="5:9" ht="16.5" hidden="1">
      <c r="E28691" s="4" t="str">
        <v/>
      </c>
      <c r="F28691" s="102" t="str">
        <f ca="1">IFERROR(__xludf.DUMMYFUNCTION("IMPORTRANGE(H28691,""IDENTITAS UNIT!D9"")"),"#N/A")</f>
        <v>#N/A</v>
      </c>
      <c r="H28691" s="4" t="str">
        <v/>
      </c>
      <c r="I28691" s="4" t="str">
        <v/>
      </c>
    </row>
    <row r="28692" spans="5:9" ht="16.5" hidden="1">
      <c r="E28692" s="4" t="str">
        <v/>
      </c>
      <c r="F28692" s="102" t="str">
        <f ca="1">IFERROR(__xludf.DUMMYFUNCTION("IMPORTRANGE(H28692,""IDENTITAS UNIT!D9"")"),"#N/A")</f>
        <v>#N/A</v>
      </c>
      <c r="H28692" s="4" t="str">
        <v/>
      </c>
      <c r="I28692" s="4" t="str">
        <v/>
      </c>
    </row>
    <row r="28693" spans="5:9" ht="16.5" hidden="1">
      <c r="E28693" s="4" t="str">
        <v/>
      </c>
      <c r="F28693" s="102" t="str">
        <f ca="1">IFERROR(__xludf.DUMMYFUNCTION("IMPORTRANGE(H28693,""IDENTITAS UNIT!D9"")"),"#N/A")</f>
        <v>#N/A</v>
      </c>
      <c r="H28693" s="4" t="str">
        <v/>
      </c>
      <c r="I28693" s="4" t="str">
        <v/>
      </c>
    </row>
    <row r="28694" spans="5:9" ht="16.5" hidden="1">
      <c r="E28694" s="4" t="str">
        <v/>
      </c>
      <c r="F28694" s="102" t="str">
        <f ca="1">IFERROR(__xludf.DUMMYFUNCTION("IMPORTRANGE(H28694,""IDENTITAS UNIT!D9"")"),"#N/A")</f>
        <v>#N/A</v>
      </c>
      <c r="H28694" s="4" t="str">
        <v/>
      </c>
      <c r="I28694" s="4" t="str">
        <v/>
      </c>
    </row>
    <row r="28695" spans="5:9" ht="16.5" hidden="1">
      <c r="E28695" s="4" t="str">
        <v/>
      </c>
      <c r="F28695" s="102" t="str">
        <f ca="1">IFERROR(__xludf.DUMMYFUNCTION("IMPORTRANGE(H28695,""IDENTITAS UNIT!D9"")"),"#N/A")</f>
        <v>#N/A</v>
      </c>
      <c r="H28695" s="4" t="str">
        <v/>
      </c>
      <c r="I28695" s="4" t="str">
        <v/>
      </c>
    </row>
    <row r="28696" spans="5:9" ht="16.5" hidden="1">
      <c r="E28696" s="4" t="str">
        <v/>
      </c>
      <c r="F28696" s="102" t="str">
        <f ca="1">IFERROR(__xludf.DUMMYFUNCTION("IMPORTRANGE(H28696,""IDENTITAS UNIT!D9"")"),"#N/A")</f>
        <v>#N/A</v>
      </c>
      <c r="H28696" s="4" t="str">
        <v/>
      </c>
      <c r="I28696" s="4" t="str">
        <v/>
      </c>
    </row>
    <row r="28697" spans="5:9" ht="16.5" hidden="1">
      <c r="E28697" s="4" t="str">
        <v/>
      </c>
      <c r="F28697" s="102" t="str">
        <f ca="1">IFERROR(__xludf.DUMMYFUNCTION("IMPORTRANGE(H28697,""IDENTITAS UNIT!D9"")"),"#N/A")</f>
        <v>#N/A</v>
      </c>
      <c r="H28697" s="4" t="str">
        <v/>
      </c>
      <c r="I28697" s="4" t="str">
        <v/>
      </c>
    </row>
    <row r="28698" spans="5:9" ht="16.5" hidden="1">
      <c r="E28698" s="4" t="str">
        <v/>
      </c>
      <c r="F28698" s="102" t="str">
        <f ca="1">IFERROR(__xludf.DUMMYFUNCTION("IMPORTRANGE(H28698,""IDENTITAS UNIT!D9"")"),"#N/A")</f>
        <v>#N/A</v>
      </c>
      <c r="H28698" s="4" t="str">
        <v/>
      </c>
      <c r="I28698" s="4" t="str">
        <v/>
      </c>
    </row>
    <row r="28699" spans="5:9" ht="16.5" hidden="1">
      <c r="E28699" s="4" t="str">
        <v/>
      </c>
      <c r="F28699" s="102" t="str">
        <f ca="1">IFERROR(__xludf.DUMMYFUNCTION("IMPORTRANGE(H28699,""IDENTITAS UNIT!D9"")"),"#N/A")</f>
        <v>#N/A</v>
      </c>
      <c r="H28699" s="4" t="str">
        <v/>
      </c>
      <c r="I28699" s="4" t="str">
        <v/>
      </c>
    </row>
    <row r="28700" spans="5:9" ht="16.5" hidden="1">
      <c r="E28700" s="4" t="str">
        <v/>
      </c>
      <c r="F28700" s="102" t="str">
        <f ca="1">IFERROR(__xludf.DUMMYFUNCTION("IMPORTRANGE(H28700,""IDENTITAS UNIT!D9"")"),"#N/A")</f>
        <v>#N/A</v>
      </c>
      <c r="H28700" s="4" t="str">
        <v/>
      </c>
      <c r="I28700" s="4" t="str">
        <v/>
      </c>
    </row>
    <row r="28701" spans="5:9" ht="16.5" hidden="1">
      <c r="E28701" s="4" t="str">
        <v/>
      </c>
      <c r="F28701" s="102" t="str">
        <f ca="1">IFERROR(__xludf.DUMMYFUNCTION("IMPORTRANGE(H28701,""IDENTITAS UNIT!D9"")"),"#N/A")</f>
        <v>#N/A</v>
      </c>
      <c r="H28701" s="4" t="str">
        <v/>
      </c>
      <c r="I28701" s="4" t="str">
        <v/>
      </c>
    </row>
    <row r="28702" spans="5:9" ht="16.5" hidden="1">
      <c r="E28702" s="4" t="str">
        <v/>
      </c>
      <c r="F28702" s="102" t="str">
        <f ca="1">IFERROR(__xludf.DUMMYFUNCTION("IMPORTRANGE(H28702,""IDENTITAS UNIT!D9"")"),"#N/A")</f>
        <v>#N/A</v>
      </c>
      <c r="H28702" s="4" t="str">
        <v/>
      </c>
      <c r="I28702" s="4" t="str">
        <v/>
      </c>
    </row>
    <row r="28703" spans="5:9" ht="16.5" hidden="1">
      <c r="E28703" s="4" t="str">
        <v/>
      </c>
      <c r="F28703" s="102" t="str">
        <f ca="1">IFERROR(__xludf.DUMMYFUNCTION("IMPORTRANGE(H28703,""IDENTITAS UNIT!D9"")"),"#N/A")</f>
        <v>#N/A</v>
      </c>
      <c r="H28703" s="4" t="str">
        <v/>
      </c>
      <c r="I28703" s="4" t="str">
        <v/>
      </c>
    </row>
    <row r="28704" spans="5:9" ht="16.5" hidden="1">
      <c r="E28704" s="4" t="str">
        <v/>
      </c>
      <c r="F28704" s="102" t="str">
        <f ca="1">IFERROR(__xludf.DUMMYFUNCTION("IMPORTRANGE(H28704,""IDENTITAS UNIT!D9"")"),"#N/A")</f>
        <v>#N/A</v>
      </c>
      <c r="H28704" s="4" t="str">
        <v/>
      </c>
      <c r="I28704" s="4" t="str">
        <v/>
      </c>
    </row>
    <row r="28705" spans="5:9" ht="16.5" hidden="1">
      <c r="E28705" s="4" t="str">
        <v/>
      </c>
      <c r="F28705" s="102" t="str">
        <f ca="1">IFERROR(__xludf.DUMMYFUNCTION("IMPORTRANGE(H28705,""IDENTITAS UNIT!D9"")"),"#N/A")</f>
        <v>#N/A</v>
      </c>
      <c r="H28705" s="4" t="str">
        <v/>
      </c>
      <c r="I28705" s="4" t="str">
        <v/>
      </c>
    </row>
    <row r="28706" spans="5:9" ht="16.5" hidden="1">
      <c r="E28706" s="4" t="str">
        <v/>
      </c>
      <c r="F28706" s="102" t="str">
        <f ca="1">IFERROR(__xludf.DUMMYFUNCTION("IMPORTRANGE(H28706,""IDENTITAS UNIT!D9"")"),"#N/A")</f>
        <v>#N/A</v>
      </c>
      <c r="H28706" s="4" t="str">
        <v/>
      </c>
      <c r="I28706" s="4" t="str">
        <v/>
      </c>
    </row>
    <row r="28707" spans="5:9" ht="16.5" hidden="1">
      <c r="E28707" s="4" t="str">
        <v/>
      </c>
      <c r="F28707" s="102" t="str">
        <f ca="1">IFERROR(__xludf.DUMMYFUNCTION("IMPORTRANGE(H28707,""IDENTITAS UNIT!D9"")"),"#N/A")</f>
        <v>#N/A</v>
      </c>
      <c r="H28707" s="4" t="str">
        <v/>
      </c>
      <c r="I28707" s="4" t="str">
        <v/>
      </c>
    </row>
    <row r="28708" spans="5:9" ht="16.5" hidden="1">
      <c r="E28708" s="4" t="str">
        <v/>
      </c>
      <c r="F28708" s="102" t="str">
        <f ca="1">IFERROR(__xludf.DUMMYFUNCTION("IMPORTRANGE(H28708,""IDENTITAS UNIT!D9"")"),"#N/A")</f>
        <v>#N/A</v>
      </c>
      <c r="H28708" s="4" t="str">
        <v/>
      </c>
      <c r="I28708" s="4" t="str">
        <v/>
      </c>
    </row>
    <row r="28709" spans="5:9" ht="16.5" hidden="1">
      <c r="E28709" s="4" t="str">
        <v/>
      </c>
      <c r="F28709" s="102" t="str">
        <f ca="1">IFERROR(__xludf.DUMMYFUNCTION("IMPORTRANGE(H28709,""IDENTITAS UNIT!D9"")"),"#N/A")</f>
        <v>#N/A</v>
      </c>
      <c r="H28709" s="4" t="str">
        <v/>
      </c>
      <c r="I28709" s="4" t="str">
        <v/>
      </c>
    </row>
    <row r="28710" spans="5:9" ht="16.5" hidden="1">
      <c r="E28710" s="4" t="str">
        <v/>
      </c>
      <c r="F28710" s="102" t="str">
        <f ca="1">IFERROR(__xludf.DUMMYFUNCTION("IMPORTRANGE(H28710,""IDENTITAS UNIT!D9"")"),"#N/A")</f>
        <v>#N/A</v>
      </c>
      <c r="H28710" s="4" t="str">
        <v/>
      </c>
      <c r="I28710" s="4" t="str">
        <v/>
      </c>
    </row>
    <row r="28711" spans="5:9" ht="16.5" hidden="1">
      <c r="E28711" s="4" t="str">
        <v/>
      </c>
      <c r="F28711" s="102" t="str">
        <f ca="1">IFERROR(__xludf.DUMMYFUNCTION("IMPORTRANGE(H28711,""IDENTITAS UNIT!D9"")"),"#N/A")</f>
        <v>#N/A</v>
      </c>
      <c r="H28711" s="4" t="str">
        <v/>
      </c>
      <c r="I28711" s="4" t="str">
        <v/>
      </c>
    </row>
    <row r="28712" spans="5:9" ht="16.5" hidden="1">
      <c r="E28712" s="4" t="str">
        <v/>
      </c>
      <c r="F28712" s="102" t="str">
        <f ca="1">IFERROR(__xludf.DUMMYFUNCTION("IMPORTRANGE(H28712,""IDENTITAS UNIT!D9"")"),"#N/A")</f>
        <v>#N/A</v>
      </c>
      <c r="H28712" s="4" t="str">
        <v/>
      </c>
      <c r="I28712" s="4" t="str">
        <v/>
      </c>
    </row>
    <row r="28713" spans="5:9" ht="16.5" hidden="1">
      <c r="E28713" s="4" t="str">
        <v/>
      </c>
      <c r="F28713" s="102" t="str">
        <f ca="1">IFERROR(__xludf.DUMMYFUNCTION("IMPORTRANGE(H28713,""IDENTITAS UNIT!D9"")"),"#N/A")</f>
        <v>#N/A</v>
      </c>
      <c r="H28713" s="4" t="str">
        <v/>
      </c>
      <c r="I28713" s="4" t="str">
        <v/>
      </c>
    </row>
    <row r="28714" spans="5:9" ht="16.5" hidden="1">
      <c r="E28714" s="4" t="str">
        <v/>
      </c>
      <c r="F28714" s="102" t="str">
        <f ca="1">IFERROR(__xludf.DUMMYFUNCTION("IMPORTRANGE(H28714,""IDENTITAS UNIT!D9"")"),"#N/A")</f>
        <v>#N/A</v>
      </c>
      <c r="H28714" s="4" t="str">
        <v/>
      </c>
      <c r="I28714" s="4" t="str">
        <v/>
      </c>
    </row>
    <row r="28715" spans="5:9" ht="16.5" hidden="1">
      <c r="E28715" s="4" t="str">
        <v/>
      </c>
      <c r="F28715" s="102" t="str">
        <f ca="1">IFERROR(__xludf.DUMMYFUNCTION("IMPORTRANGE(H28715,""IDENTITAS UNIT!D9"")"),"#N/A")</f>
        <v>#N/A</v>
      </c>
      <c r="H28715" s="4" t="str">
        <v/>
      </c>
      <c r="I28715" s="4" t="str">
        <v/>
      </c>
    </row>
    <row r="28716" spans="5:9" ht="16.5" hidden="1">
      <c r="E28716" s="4" t="str">
        <v/>
      </c>
      <c r="F28716" s="102" t="str">
        <f ca="1">IFERROR(__xludf.DUMMYFUNCTION("IMPORTRANGE(H28716,""IDENTITAS UNIT!D9"")"),"#N/A")</f>
        <v>#N/A</v>
      </c>
      <c r="H28716" s="4" t="str">
        <v/>
      </c>
      <c r="I28716" s="4" t="str">
        <v/>
      </c>
    </row>
    <row r="28717" spans="5:9" ht="16.5" hidden="1">
      <c r="E28717" s="4" t="str">
        <v/>
      </c>
      <c r="F28717" s="102" t="str">
        <f ca="1">IFERROR(__xludf.DUMMYFUNCTION("IMPORTRANGE(H28717,""IDENTITAS UNIT!D9"")"),"#N/A")</f>
        <v>#N/A</v>
      </c>
      <c r="H28717" s="4" t="str">
        <v/>
      </c>
      <c r="I28717" s="4" t="str">
        <v/>
      </c>
    </row>
    <row r="28718" spans="5:9" ht="16.5" hidden="1">
      <c r="E28718" s="4" t="str">
        <v/>
      </c>
      <c r="F28718" s="102" t="str">
        <f ca="1">IFERROR(__xludf.DUMMYFUNCTION("IMPORTRANGE(H28718,""IDENTITAS UNIT!D9"")"),"#N/A")</f>
        <v>#N/A</v>
      </c>
      <c r="H28718" s="4" t="str">
        <v/>
      </c>
      <c r="I28718" s="4" t="str">
        <v/>
      </c>
    </row>
    <row r="28719" spans="5:9" ht="16.5" hidden="1">
      <c r="E28719" s="4" t="str">
        <v/>
      </c>
      <c r="F28719" s="102" t="str">
        <f ca="1">IFERROR(__xludf.DUMMYFUNCTION("IMPORTRANGE(H28719,""IDENTITAS UNIT!D9"")"),"#N/A")</f>
        <v>#N/A</v>
      </c>
      <c r="H28719" s="4" t="str">
        <v/>
      </c>
      <c r="I28719" s="4" t="str">
        <v/>
      </c>
    </row>
    <row r="28720" spans="5:9" ht="16.5" hidden="1">
      <c r="E28720" s="4" t="str">
        <v/>
      </c>
      <c r="F28720" s="102" t="str">
        <f ca="1">IFERROR(__xludf.DUMMYFUNCTION("IMPORTRANGE(H28720,""IDENTITAS UNIT!D9"")"),"#N/A")</f>
        <v>#N/A</v>
      </c>
      <c r="H28720" s="4" t="str">
        <v/>
      </c>
      <c r="I28720" s="4" t="str">
        <v/>
      </c>
    </row>
    <row r="28721" spans="5:9" ht="16.5" hidden="1">
      <c r="E28721" s="4" t="str">
        <v/>
      </c>
      <c r="F28721" s="102" t="str">
        <f ca="1">IFERROR(__xludf.DUMMYFUNCTION("IMPORTRANGE(H28721,""IDENTITAS UNIT!D9"")"),"#N/A")</f>
        <v>#N/A</v>
      </c>
      <c r="H28721" s="4" t="str">
        <v/>
      </c>
      <c r="I28721" s="4" t="str">
        <v/>
      </c>
    </row>
    <row r="28722" spans="5:9" ht="16.5" hidden="1">
      <c r="E28722" s="4" t="str">
        <v/>
      </c>
      <c r="F28722" s="102" t="str">
        <f ca="1">IFERROR(__xludf.DUMMYFUNCTION("IMPORTRANGE(H28722,""IDENTITAS UNIT!D9"")"),"#N/A")</f>
        <v>#N/A</v>
      </c>
      <c r="H28722" s="4" t="str">
        <v/>
      </c>
      <c r="I28722" s="4" t="str">
        <v/>
      </c>
    </row>
    <row r="28723" spans="5:9" ht="16.5" hidden="1">
      <c r="E28723" s="4" t="str">
        <v/>
      </c>
      <c r="F28723" s="102" t="str">
        <f ca="1">IFERROR(__xludf.DUMMYFUNCTION("IMPORTRANGE(H28723,""IDENTITAS UNIT!D9"")"),"#N/A")</f>
        <v>#N/A</v>
      </c>
      <c r="H28723" s="4" t="str">
        <v/>
      </c>
      <c r="I28723" s="4" t="str">
        <v/>
      </c>
    </row>
    <row r="28724" spans="5:9" ht="16.5" hidden="1">
      <c r="E28724" s="4" t="str">
        <v/>
      </c>
      <c r="F28724" s="102" t="str">
        <f ca="1">IFERROR(__xludf.DUMMYFUNCTION("IMPORTRANGE(H28724,""IDENTITAS UNIT!D9"")"),"#N/A")</f>
        <v>#N/A</v>
      </c>
      <c r="H28724" s="4" t="str">
        <v/>
      </c>
      <c r="I28724" s="4" t="str">
        <v/>
      </c>
    </row>
    <row r="28725" spans="5:9" ht="16.5" hidden="1">
      <c r="E28725" s="4" t="str">
        <v/>
      </c>
      <c r="F28725" s="102" t="str">
        <f ca="1">IFERROR(__xludf.DUMMYFUNCTION("IMPORTRANGE(H28725,""IDENTITAS UNIT!D9"")"),"#N/A")</f>
        <v>#N/A</v>
      </c>
      <c r="H28725" s="4" t="str">
        <v/>
      </c>
      <c r="I28725" s="4" t="str">
        <v/>
      </c>
    </row>
    <row r="28726" spans="5:9" ht="16.5" hidden="1">
      <c r="E28726" s="4" t="str">
        <v/>
      </c>
      <c r="F28726" s="102" t="str">
        <f ca="1">IFERROR(__xludf.DUMMYFUNCTION("IMPORTRANGE(H28726,""IDENTITAS UNIT!D9"")"),"#N/A")</f>
        <v>#N/A</v>
      </c>
      <c r="H28726" s="4" t="str">
        <v/>
      </c>
      <c r="I28726" s="4" t="str">
        <v/>
      </c>
    </row>
    <row r="28727" spans="5:9" ht="16.5" hidden="1">
      <c r="E28727" s="4" t="str">
        <v/>
      </c>
      <c r="F28727" s="102" t="str">
        <f ca="1">IFERROR(__xludf.DUMMYFUNCTION("IMPORTRANGE(H28727,""IDENTITAS UNIT!D9"")"),"#N/A")</f>
        <v>#N/A</v>
      </c>
      <c r="H28727" s="4" t="str">
        <v/>
      </c>
      <c r="I28727" s="4" t="str">
        <v/>
      </c>
    </row>
    <row r="28728" spans="5:9" ht="16.5" hidden="1">
      <c r="E28728" s="4" t="str">
        <v/>
      </c>
      <c r="F28728" s="102" t="str">
        <f ca="1">IFERROR(__xludf.DUMMYFUNCTION("IMPORTRANGE(H28728,""IDENTITAS UNIT!D9"")"),"#N/A")</f>
        <v>#N/A</v>
      </c>
      <c r="H28728" s="4" t="str">
        <v/>
      </c>
      <c r="I28728" s="4" t="str">
        <v/>
      </c>
    </row>
    <row r="28729" spans="5:9" ht="16.5" hidden="1">
      <c r="E28729" s="4" t="str">
        <v/>
      </c>
      <c r="F28729" s="102" t="str">
        <f ca="1">IFERROR(__xludf.DUMMYFUNCTION("IMPORTRANGE(H28729,""IDENTITAS UNIT!D9"")"),"#N/A")</f>
        <v>#N/A</v>
      </c>
      <c r="H28729" s="4" t="str">
        <v/>
      </c>
      <c r="I28729" s="4" t="str">
        <v/>
      </c>
    </row>
    <row r="28730" spans="5:9" ht="16.5" hidden="1">
      <c r="E28730" s="4" t="str">
        <v/>
      </c>
      <c r="F28730" s="102" t="str">
        <f ca="1">IFERROR(__xludf.DUMMYFUNCTION("IMPORTRANGE(H28730,""IDENTITAS UNIT!D9"")"),"#N/A")</f>
        <v>#N/A</v>
      </c>
      <c r="H28730" s="4" t="str">
        <v/>
      </c>
      <c r="I28730" s="4" t="str">
        <v/>
      </c>
    </row>
    <row r="28731" spans="5:9" ht="16.5" hidden="1">
      <c r="E28731" s="4" t="str">
        <v/>
      </c>
      <c r="F28731" s="102" t="str">
        <f ca="1">IFERROR(__xludf.DUMMYFUNCTION("IMPORTRANGE(H28731,""IDENTITAS UNIT!D9"")"),"#N/A")</f>
        <v>#N/A</v>
      </c>
      <c r="H28731" s="4" t="str">
        <v/>
      </c>
      <c r="I28731" s="4" t="str">
        <v/>
      </c>
    </row>
    <row r="28732" spans="5:9" ht="16.5" hidden="1">
      <c r="E28732" s="4" t="str">
        <v/>
      </c>
      <c r="F28732" s="102" t="str">
        <f ca="1">IFERROR(__xludf.DUMMYFUNCTION("IMPORTRANGE(H28732,""IDENTITAS UNIT!D9"")"),"#N/A")</f>
        <v>#N/A</v>
      </c>
      <c r="H28732" s="4" t="str">
        <v/>
      </c>
      <c r="I28732" s="4" t="str">
        <v/>
      </c>
    </row>
    <row r="28733" spans="5:9" ht="16.5" hidden="1">
      <c r="E28733" s="4" t="str">
        <v/>
      </c>
      <c r="F28733" s="102" t="str">
        <f ca="1">IFERROR(__xludf.DUMMYFUNCTION("IMPORTRANGE(H28733,""IDENTITAS UNIT!D9"")"),"#N/A")</f>
        <v>#N/A</v>
      </c>
      <c r="H28733" s="4" t="str">
        <v/>
      </c>
      <c r="I28733" s="4" t="str">
        <v/>
      </c>
    </row>
    <row r="28734" spans="5:9" ht="16.5" hidden="1">
      <c r="E28734" s="4" t="str">
        <v/>
      </c>
      <c r="F28734" s="102" t="str">
        <f ca="1">IFERROR(__xludf.DUMMYFUNCTION("IMPORTRANGE(H28734,""IDENTITAS UNIT!D9"")"),"#N/A")</f>
        <v>#N/A</v>
      </c>
      <c r="H28734" s="4" t="str">
        <v/>
      </c>
      <c r="I28734" s="4" t="str">
        <v/>
      </c>
    </row>
    <row r="28735" spans="5:9" ht="16.5" hidden="1">
      <c r="E28735" s="4" t="str">
        <v/>
      </c>
      <c r="F28735" s="102" t="str">
        <f ca="1">IFERROR(__xludf.DUMMYFUNCTION("IMPORTRANGE(H28735,""IDENTITAS UNIT!D9"")"),"#N/A")</f>
        <v>#N/A</v>
      </c>
      <c r="H28735" s="4" t="str">
        <v/>
      </c>
      <c r="I28735" s="4" t="str">
        <v/>
      </c>
    </row>
    <row r="28736" spans="5:9" ht="16.5" hidden="1">
      <c r="E28736" s="4" t="str">
        <v/>
      </c>
      <c r="F28736" s="102" t="str">
        <f ca="1">IFERROR(__xludf.DUMMYFUNCTION("IMPORTRANGE(H28736,""IDENTITAS UNIT!D9"")"),"#N/A")</f>
        <v>#N/A</v>
      </c>
      <c r="H28736" s="4" t="str">
        <v/>
      </c>
      <c r="I28736" s="4" t="str">
        <v/>
      </c>
    </row>
    <row r="28737" spans="5:9" ht="16.5" hidden="1">
      <c r="E28737" s="4" t="str">
        <v/>
      </c>
      <c r="F28737" s="102" t="str">
        <f ca="1">IFERROR(__xludf.DUMMYFUNCTION("IMPORTRANGE(H28737,""IDENTITAS UNIT!D9"")"),"#N/A")</f>
        <v>#N/A</v>
      </c>
      <c r="H28737" s="4" t="str">
        <v/>
      </c>
      <c r="I28737" s="4" t="str">
        <v/>
      </c>
    </row>
    <row r="28738" spans="5:9" ht="16.5" hidden="1">
      <c r="E28738" s="4" t="str">
        <v/>
      </c>
      <c r="F28738" s="102" t="str">
        <f ca="1">IFERROR(__xludf.DUMMYFUNCTION("IMPORTRANGE(H28738,""IDENTITAS UNIT!D9"")"),"#N/A")</f>
        <v>#N/A</v>
      </c>
      <c r="H28738" s="4" t="str">
        <v/>
      </c>
      <c r="I28738" s="4" t="str">
        <v/>
      </c>
    </row>
    <row r="28739" spans="5:9" ht="16.5" hidden="1">
      <c r="E28739" s="4" t="str">
        <v/>
      </c>
      <c r="F28739" s="102" t="str">
        <f ca="1">IFERROR(__xludf.DUMMYFUNCTION("IMPORTRANGE(H28739,""IDENTITAS UNIT!D9"")"),"#N/A")</f>
        <v>#N/A</v>
      </c>
      <c r="H28739" s="4" t="str">
        <v/>
      </c>
      <c r="I28739" s="4" t="str">
        <v/>
      </c>
    </row>
    <row r="28740" spans="5:9" ht="16.5" hidden="1">
      <c r="E28740" s="4" t="str">
        <v/>
      </c>
      <c r="F28740" s="102" t="str">
        <f ca="1">IFERROR(__xludf.DUMMYFUNCTION("IMPORTRANGE(H28740,""IDENTITAS UNIT!D9"")"),"#N/A")</f>
        <v>#N/A</v>
      </c>
      <c r="H28740" s="4" t="str">
        <v/>
      </c>
      <c r="I28740" s="4" t="str">
        <v/>
      </c>
    </row>
    <row r="28741" spans="5:9" ht="16.5" hidden="1">
      <c r="E28741" s="4" t="str">
        <v/>
      </c>
      <c r="F28741" s="102" t="str">
        <f ca="1">IFERROR(__xludf.DUMMYFUNCTION("IMPORTRANGE(H28741,""IDENTITAS UNIT!D9"")"),"#N/A")</f>
        <v>#N/A</v>
      </c>
      <c r="H28741" s="4" t="str">
        <v/>
      </c>
      <c r="I28741" s="4" t="str">
        <v/>
      </c>
    </row>
    <row r="28742" spans="5:9" ht="16.5" hidden="1">
      <c r="E28742" s="4" t="str">
        <v/>
      </c>
      <c r="F28742" s="102" t="str">
        <f ca="1">IFERROR(__xludf.DUMMYFUNCTION("IMPORTRANGE(H28742,""IDENTITAS UNIT!D9"")"),"#N/A")</f>
        <v>#N/A</v>
      </c>
      <c r="H28742" s="4" t="str">
        <v/>
      </c>
      <c r="I28742" s="4" t="str">
        <v/>
      </c>
    </row>
    <row r="28743" spans="5:9" ht="16.5" hidden="1">
      <c r="E28743" s="4" t="str">
        <v/>
      </c>
      <c r="F28743" s="102" t="str">
        <f ca="1">IFERROR(__xludf.DUMMYFUNCTION("IMPORTRANGE(H28743,""IDENTITAS UNIT!D9"")"),"#N/A")</f>
        <v>#N/A</v>
      </c>
      <c r="H28743" s="4" t="str">
        <v/>
      </c>
      <c r="I28743" s="4" t="str">
        <v/>
      </c>
    </row>
    <row r="28744" spans="5:9" ht="16.5" hidden="1">
      <c r="E28744" s="4" t="str">
        <v/>
      </c>
      <c r="F28744" s="102" t="str">
        <f ca="1">IFERROR(__xludf.DUMMYFUNCTION("IMPORTRANGE(H28744,""IDENTITAS UNIT!D9"")"),"#N/A")</f>
        <v>#N/A</v>
      </c>
      <c r="H28744" s="4" t="str">
        <v/>
      </c>
      <c r="I28744" s="4" t="str">
        <v/>
      </c>
    </row>
    <row r="28745" spans="5:9" ht="16.5" hidden="1">
      <c r="E28745" s="4" t="str">
        <v/>
      </c>
      <c r="F28745" s="102" t="str">
        <f ca="1">IFERROR(__xludf.DUMMYFUNCTION("IMPORTRANGE(H28745,""IDENTITAS UNIT!D9"")"),"#N/A")</f>
        <v>#N/A</v>
      </c>
      <c r="H28745" s="4" t="str">
        <v/>
      </c>
      <c r="I28745" s="4" t="str">
        <v/>
      </c>
    </row>
    <row r="28746" spans="5:9" ht="16.5" hidden="1">
      <c r="E28746" s="4" t="str">
        <v/>
      </c>
      <c r="F28746" s="102" t="str">
        <f ca="1">IFERROR(__xludf.DUMMYFUNCTION("IMPORTRANGE(H28746,""IDENTITAS UNIT!D9"")"),"#N/A")</f>
        <v>#N/A</v>
      </c>
      <c r="H28746" s="4" t="str">
        <v/>
      </c>
      <c r="I28746" s="4" t="str">
        <v/>
      </c>
    </row>
    <row r="28747" spans="5:9" ht="16.5" hidden="1">
      <c r="E28747" s="4" t="str">
        <v/>
      </c>
      <c r="F28747" s="102" t="str">
        <f ca="1">IFERROR(__xludf.DUMMYFUNCTION("IMPORTRANGE(H28747,""IDENTITAS UNIT!D9"")"),"#N/A")</f>
        <v>#N/A</v>
      </c>
      <c r="H28747" s="4" t="str">
        <v/>
      </c>
      <c r="I28747" s="4" t="str">
        <v/>
      </c>
    </row>
    <row r="28748" spans="5:9" ht="16.5" hidden="1">
      <c r="E28748" s="4" t="str">
        <v/>
      </c>
      <c r="F28748" s="102" t="str">
        <f ca="1">IFERROR(__xludf.DUMMYFUNCTION("IMPORTRANGE(H28748,""IDENTITAS UNIT!D9"")"),"#N/A")</f>
        <v>#N/A</v>
      </c>
      <c r="H28748" s="4" t="str">
        <v/>
      </c>
      <c r="I28748" s="4" t="str">
        <v/>
      </c>
    </row>
    <row r="28749" spans="5:9" ht="16.5" hidden="1">
      <c r="E28749" s="4" t="str">
        <v/>
      </c>
      <c r="F28749" s="102" t="str">
        <f ca="1">IFERROR(__xludf.DUMMYFUNCTION("IMPORTRANGE(H28749,""IDENTITAS UNIT!D9"")"),"#N/A")</f>
        <v>#N/A</v>
      </c>
      <c r="H28749" s="4" t="str">
        <v/>
      </c>
      <c r="I28749" s="4" t="str">
        <v/>
      </c>
    </row>
    <row r="28750" spans="5:9" ht="16.5" hidden="1">
      <c r="E28750" s="4" t="str">
        <v/>
      </c>
      <c r="F28750" s="102" t="str">
        <f ca="1">IFERROR(__xludf.DUMMYFUNCTION("IMPORTRANGE(H28750,""IDENTITAS UNIT!D9"")"),"#N/A")</f>
        <v>#N/A</v>
      </c>
      <c r="H28750" s="4" t="str">
        <v/>
      </c>
      <c r="I28750" s="4" t="str">
        <v/>
      </c>
    </row>
    <row r="28751" spans="5:9" ht="16.5" hidden="1">
      <c r="E28751" s="4" t="str">
        <v/>
      </c>
      <c r="F28751" s="102" t="str">
        <f ca="1">IFERROR(__xludf.DUMMYFUNCTION("IMPORTRANGE(H28751,""IDENTITAS UNIT!D9"")"),"#N/A")</f>
        <v>#N/A</v>
      </c>
      <c r="H28751" s="4" t="str">
        <v/>
      </c>
      <c r="I28751" s="4" t="str">
        <v/>
      </c>
    </row>
    <row r="28752" spans="5:9" ht="16.5" hidden="1">
      <c r="E28752" s="4" t="str">
        <v/>
      </c>
      <c r="F28752" s="102" t="str">
        <f ca="1">IFERROR(__xludf.DUMMYFUNCTION("IMPORTRANGE(H28752,""IDENTITAS UNIT!D9"")"),"#N/A")</f>
        <v>#N/A</v>
      </c>
      <c r="H28752" s="4" t="str">
        <v/>
      </c>
      <c r="I28752" s="4" t="str">
        <v/>
      </c>
    </row>
    <row r="28753" spans="5:9" ht="16.5" hidden="1">
      <c r="E28753" s="4" t="str">
        <v/>
      </c>
      <c r="F28753" s="102" t="str">
        <f ca="1">IFERROR(__xludf.DUMMYFUNCTION("IMPORTRANGE(H28753,""IDENTITAS UNIT!D9"")"),"#N/A")</f>
        <v>#N/A</v>
      </c>
      <c r="H28753" s="4" t="str">
        <v/>
      </c>
      <c r="I28753" s="4" t="str">
        <v/>
      </c>
    </row>
    <row r="28754" spans="5:9" ht="16.5" hidden="1">
      <c r="E28754" s="4" t="str">
        <v/>
      </c>
      <c r="F28754" s="102" t="str">
        <f ca="1">IFERROR(__xludf.DUMMYFUNCTION("IMPORTRANGE(H28754,""IDENTITAS UNIT!D9"")"),"#N/A")</f>
        <v>#N/A</v>
      </c>
      <c r="H28754" s="4" t="str">
        <v/>
      </c>
      <c r="I28754" s="4" t="str">
        <v/>
      </c>
    </row>
    <row r="28755" spans="5:9" ht="16.5" hidden="1">
      <c r="E28755" s="4" t="str">
        <v/>
      </c>
      <c r="F28755" s="102" t="str">
        <f ca="1">IFERROR(__xludf.DUMMYFUNCTION("IMPORTRANGE(H28755,""IDENTITAS UNIT!D9"")"),"#N/A")</f>
        <v>#N/A</v>
      </c>
      <c r="H28755" s="4" t="str">
        <v/>
      </c>
      <c r="I28755" s="4" t="str">
        <v/>
      </c>
    </row>
    <row r="28756" spans="5:9" ht="16.5" hidden="1">
      <c r="E28756" s="4" t="str">
        <v/>
      </c>
      <c r="F28756" s="102" t="str">
        <f ca="1">IFERROR(__xludf.DUMMYFUNCTION("IMPORTRANGE(H28756,""IDENTITAS UNIT!D9"")"),"#N/A")</f>
        <v>#N/A</v>
      </c>
      <c r="H28756" s="4" t="str">
        <v/>
      </c>
      <c r="I28756" s="4" t="str">
        <v/>
      </c>
    </row>
    <row r="28757" spans="5:9" ht="16.5" hidden="1">
      <c r="E28757" s="4" t="str">
        <v/>
      </c>
      <c r="F28757" s="102" t="str">
        <f ca="1">IFERROR(__xludf.DUMMYFUNCTION("IMPORTRANGE(H28757,""IDENTITAS UNIT!D9"")"),"#N/A")</f>
        <v>#N/A</v>
      </c>
      <c r="H28757" s="4" t="str">
        <v/>
      </c>
      <c r="I28757" s="4" t="str">
        <v/>
      </c>
    </row>
    <row r="28758" spans="5:9" ht="16.5" hidden="1">
      <c r="E28758" s="4" t="str">
        <v/>
      </c>
      <c r="F28758" s="102" t="str">
        <f ca="1">IFERROR(__xludf.DUMMYFUNCTION("IMPORTRANGE(H28758,""IDENTITAS UNIT!D9"")"),"#N/A")</f>
        <v>#N/A</v>
      </c>
      <c r="H28758" s="4" t="str">
        <v/>
      </c>
      <c r="I28758" s="4" t="str">
        <v/>
      </c>
    </row>
    <row r="28759" spans="5:9" ht="16.5" hidden="1">
      <c r="E28759" s="4" t="str">
        <v/>
      </c>
      <c r="F28759" s="102" t="str">
        <f ca="1">IFERROR(__xludf.DUMMYFUNCTION("IMPORTRANGE(H28759,""IDENTITAS UNIT!D9"")"),"#N/A")</f>
        <v>#N/A</v>
      </c>
      <c r="H28759" s="4" t="str">
        <v/>
      </c>
      <c r="I28759" s="4" t="str">
        <v/>
      </c>
    </row>
    <row r="28760" spans="5:9" ht="16.5" hidden="1">
      <c r="E28760" s="4" t="str">
        <v/>
      </c>
      <c r="F28760" s="102" t="str">
        <f ca="1">IFERROR(__xludf.DUMMYFUNCTION("IMPORTRANGE(H28760,""IDENTITAS UNIT!D9"")"),"#N/A")</f>
        <v>#N/A</v>
      </c>
      <c r="H28760" s="4" t="str">
        <v/>
      </c>
      <c r="I28760" s="4" t="str">
        <v/>
      </c>
    </row>
    <row r="28761" spans="5:9" ht="16.5" hidden="1">
      <c r="E28761" s="4" t="str">
        <v/>
      </c>
      <c r="F28761" s="102" t="str">
        <f ca="1">IFERROR(__xludf.DUMMYFUNCTION("IMPORTRANGE(H28761,""IDENTITAS UNIT!D9"")"),"#N/A")</f>
        <v>#N/A</v>
      </c>
      <c r="H28761" s="4" t="str">
        <v/>
      </c>
      <c r="I28761" s="4" t="str">
        <v/>
      </c>
    </row>
    <row r="28762" spans="5:9" ht="16.5" hidden="1">
      <c r="E28762" s="4" t="str">
        <v/>
      </c>
      <c r="F28762" s="102" t="str">
        <f ca="1">IFERROR(__xludf.DUMMYFUNCTION("IMPORTRANGE(H28762,""IDENTITAS UNIT!D9"")"),"#N/A")</f>
        <v>#N/A</v>
      </c>
      <c r="H28762" s="4" t="str">
        <v/>
      </c>
      <c r="I28762" s="4" t="str">
        <v/>
      </c>
    </row>
    <row r="28763" spans="5:9" ht="16.5" hidden="1">
      <c r="E28763" s="4" t="str">
        <v/>
      </c>
      <c r="F28763" s="102" t="str">
        <f ca="1">IFERROR(__xludf.DUMMYFUNCTION("IMPORTRANGE(H28763,""IDENTITAS UNIT!D9"")"),"#N/A")</f>
        <v>#N/A</v>
      </c>
      <c r="H28763" s="4" t="str">
        <v/>
      </c>
      <c r="I28763" s="4" t="str">
        <v/>
      </c>
    </row>
    <row r="28764" spans="5:9" ht="16.5" hidden="1">
      <c r="E28764" s="4" t="str">
        <v/>
      </c>
      <c r="F28764" s="102" t="str">
        <f ca="1">IFERROR(__xludf.DUMMYFUNCTION("IMPORTRANGE(H28764,""IDENTITAS UNIT!D9"")"),"#N/A")</f>
        <v>#N/A</v>
      </c>
      <c r="H28764" s="4" t="str">
        <v/>
      </c>
      <c r="I28764" s="4" t="str">
        <v/>
      </c>
    </row>
    <row r="28765" spans="5:9" ht="16.5" hidden="1">
      <c r="E28765" s="4" t="str">
        <v/>
      </c>
      <c r="F28765" s="102" t="str">
        <f ca="1">IFERROR(__xludf.DUMMYFUNCTION("IMPORTRANGE(H28765,""IDENTITAS UNIT!D9"")"),"#N/A")</f>
        <v>#N/A</v>
      </c>
      <c r="H28765" s="4" t="str">
        <v/>
      </c>
      <c r="I28765" s="4" t="str">
        <v/>
      </c>
    </row>
    <row r="28766" spans="5:9" ht="16.5" hidden="1">
      <c r="E28766" s="4" t="str">
        <v/>
      </c>
      <c r="F28766" s="102" t="str">
        <f ca="1">IFERROR(__xludf.DUMMYFUNCTION("IMPORTRANGE(H28766,""IDENTITAS UNIT!D9"")"),"#N/A")</f>
        <v>#N/A</v>
      </c>
      <c r="H28766" s="4" t="str">
        <v/>
      </c>
      <c r="I28766" s="4" t="str">
        <v/>
      </c>
    </row>
    <row r="28767" spans="5:9" ht="16.5" hidden="1">
      <c r="E28767" s="4" t="str">
        <v/>
      </c>
      <c r="F28767" s="102" t="str">
        <f ca="1">IFERROR(__xludf.DUMMYFUNCTION("IMPORTRANGE(H28767,""IDENTITAS UNIT!D9"")"),"#N/A")</f>
        <v>#N/A</v>
      </c>
      <c r="H28767" s="4" t="str">
        <v/>
      </c>
      <c r="I28767" s="4" t="str">
        <v/>
      </c>
    </row>
    <row r="28768" spans="5:9" ht="16.5" hidden="1">
      <c r="E28768" s="4" t="str">
        <v/>
      </c>
      <c r="F28768" s="102" t="str">
        <f ca="1">IFERROR(__xludf.DUMMYFUNCTION("IMPORTRANGE(H28768,""IDENTITAS UNIT!D9"")"),"#N/A")</f>
        <v>#N/A</v>
      </c>
      <c r="H28768" s="4" t="str">
        <v/>
      </c>
      <c r="I28768" s="4" t="str">
        <v/>
      </c>
    </row>
    <row r="28769" spans="5:9" ht="16.5" hidden="1">
      <c r="E28769" s="4" t="str">
        <v/>
      </c>
      <c r="F28769" s="102" t="str">
        <f ca="1">IFERROR(__xludf.DUMMYFUNCTION("IMPORTRANGE(H28769,""IDENTITAS UNIT!D9"")"),"#N/A")</f>
        <v>#N/A</v>
      </c>
      <c r="H28769" s="4" t="str">
        <v/>
      </c>
      <c r="I28769" s="4" t="str">
        <v/>
      </c>
    </row>
    <row r="28770" spans="5:9" ht="16.5" hidden="1">
      <c r="E28770" s="4" t="str">
        <v/>
      </c>
      <c r="F28770" s="102" t="str">
        <f ca="1">IFERROR(__xludf.DUMMYFUNCTION("IMPORTRANGE(H28770,""IDENTITAS UNIT!D9"")"),"#N/A")</f>
        <v>#N/A</v>
      </c>
      <c r="H28770" s="4" t="str">
        <v/>
      </c>
      <c r="I28770" s="4" t="str">
        <v/>
      </c>
    </row>
    <row r="28771" spans="5:9" ht="16.5" hidden="1">
      <c r="E28771" s="4" t="str">
        <v/>
      </c>
      <c r="F28771" s="102" t="str">
        <f ca="1">IFERROR(__xludf.DUMMYFUNCTION("IMPORTRANGE(H28771,""IDENTITAS UNIT!D9"")"),"#N/A")</f>
        <v>#N/A</v>
      </c>
      <c r="H28771" s="4" t="str">
        <v/>
      </c>
      <c r="I28771" s="4" t="str">
        <v/>
      </c>
    </row>
    <row r="28772" spans="5:9" ht="16.5" hidden="1">
      <c r="E28772" s="4" t="str">
        <v/>
      </c>
      <c r="F28772" s="102" t="str">
        <f ca="1">IFERROR(__xludf.DUMMYFUNCTION("IMPORTRANGE(H28772,""IDENTITAS UNIT!D9"")"),"#N/A")</f>
        <v>#N/A</v>
      </c>
      <c r="H28772" s="4" t="str">
        <v/>
      </c>
      <c r="I28772" s="4" t="str">
        <v/>
      </c>
    </row>
    <row r="28773" spans="5:9" ht="16.5" hidden="1">
      <c r="E28773" s="4" t="str">
        <v/>
      </c>
      <c r="F28773" s="102" t="str">
        <f ca="1">IFERROR(__xludf.DUMMYFUNCTION("IMPORTRANGE(H28773,""IDENTITAS UNIT!D9"")"),"#N/A")</f>
        <v>#N/A</v>
      </c>
      <c r="H28773" s="4" t="str">
        <v/>
      </c>
      <c r="I28773" s="4" t="str">
        <v/>
      </c>
    </row>
    <row r="28774" spans="5:9" ht="16.5" hidden="1">
      <c r="E28774" s="4" t="str">
        <v/>
      </c>
      <c r="F28774" s="102" t="str">
        <f ca="1">IFERROR(__xludf.DUMMYFUNCTION("IMPORTRANGE(H28774,""IDENTITAS UNIT!D9"")"),"#N/A")</f>
        <v>#N/A</v>
      </c>
      <c r="H28774" s="4" t="str">
        <v/>
      </c>
      <c r="I28774" s="4" t="str">
        <v/>
      </c>
    </row>
    <row r="28775" spans="5:9" ht="16.5" hidden="1">
      <c r="E28775" s="4" t="str">
        <v/>
      </c>
      <c r="F28775" s="102" t="str">
        <f ca="1">IFERROR(__xludf.DUMMYFUNCTION("IMPORTRANGE(H28775,""IDENTITAS UNIT!D9"")"),"#N/A")</f>
        <v>#N/A</v>
      </c>
      <c r="H28775" s="4" t="str">
        <v/>
      </c>
      <c r="I28775" s="4" t="str">
        <v/>
      </c>
    </row>
    <row r="28776" spans="5:9" ht="16.5" hidden="1">
      <c r="E28776" s="4" t="str">
        <v/>
      </c>
      <c r="F28776" s="102" t="str">
        <f ca="1">IFERROR(__xludf.DUMMYFUNCTION("IMPORTRANGE(H28776,""IDENTITAS UNIT!D9"")"),"#N/A")</f>
        <v>#N/A</v>
      </c>
      <c r="H28776" s="4" t="str">
        <v/>
      </c>
      <c r="I28776" s="4" t="str">
        <v/>
      </c>
    </row>
    <row r="28777" spans="5:9" ht="16.5" hidden="1">
      <c r="E28777" s="4" t="str">
        <v/>
      </c>
      <c r="F28777" s="102" t="str">
        <f ca="1">IFERROR(__xludf.DUMMYFUNCTION("IMPORTRANGE(H28777,""IDENTITAS UNIT!D9"")"),"#N/A")</f>
        <v>#N/A</v>
      </c>
      <c r="H28777" s="4" t="str">
        <v/>
      </c>
      <c r="I28777" s="4" t="str">
        <v/>
      </c>
    </row>
    <row r="28778" spans="5:9" ht="16.5" hidden="1">
      <c r="E28778" s="4" t="str">
        <v/>
      </c>
      <c r="F28778" s="102" t="str">
        <f ca="1">IFERROR(__xludf.DUMMYFUNCTION("IMPORTRANGE(H28778,""IDENTITAS UNIT!D9"")"),"#N/A")</f>
        <v>#N/A</v>
      </c>
      <c r="H28778" s="4" t="str">
        <v/>
      </c>
      <c r="I28778" s="4" t="str">
        <v/>
      </c>
    </row>
    <row r="28779" spans="5:9" ht="16.5" hidden="1">
      <c r="E28779" s="4" t="str">
        <v/>
      </c>
      <c r="F28779" s="102" t="str">
        <f ca="1">IFERROR(__xludf.DUMMYFUNCTION("IMPORTRANGE(H28779,""IDENTITAS UNIT!D9"")"),"#N/A")</f>
        <v>#N/A</v>
      </c>
      <c r="H28779" s="4" t="str">
        <v/>
      </c>
      <c r="I28779" s="4" t="str">
        <v/>
      </c>
    </row>
    <row r="28780" spans="5:9" ht="16.5" hidden="1">
      <c r="E28780" s="4" t="str">
        <v/>
      </c>
      <c r="F28780" s="102" t="str">
        <f ca="1">IFERROR(__xludf.DUMMYFUNCTION("IMPORTRANGE(H28780,""IDENTITAS UNIT!D9"")"),"#N/A")</f>
        <v>#N/A</v>
      </c>
      <c r="H28780" s="4" t="str">
        <v/>
      </c>
      <c r="I28780" s="4" t="str">
        <v/>
      </c>
    </row>
    <row r="28781" spans="5:9" ht="16.5" hidden="1">
      <c r="E28781" s="4" t="str">
        <v/>
      </c>
      <c r="F28781" s="102" t="str">
        <f ca="1">IFERROR(__xludf.DUMMYFUNCTION("IMPORTRANGE(H28781,""IDENTITAS UNIT!D9"")"),"#N/A")</f>
        <v>#N/A</v>
      </c>
      <c r="H28781" s="4" t="str">
        <v/>
      </c>
      <c r="I28781" s="4" t="str">
        <v/>
      </c>
    </row>
    <row r="28782" spans="5:9" ht="16.5" hidden="1">
      <c r="E28782" s="4" t="str">
        <v/>
      </c>
      <c r="F28782" s="102" t="str">
        <f ca="1">IFERROR(__xludf.DUMMYFUNCTION("IMPORTRANGE(H28782,""IDENTITAS UNIT!D9"")"),"#N/A")</f>
        <v>#N/A</v>
      </c>
      <c r="H28782" s="4" t="str">
        <v/>
      </c>
      <c r="I28782" s="4" t="str">
        <v/>
      </c>
    </row>
    <row r="28783" spans="5:9" ht="16.5" hidden="1">
      <c r="E28783" s="4" t="str">
        <v/>
      </c>
      <c r="F28783" s="102" t="str">
        <f ca="1">IFERROR(__xludf.DUMMYFUNCTION("IMPORTRANGE(H28783,""IDENTITAS UNIT!D9"")"),"#N/A")</f>
        <v>#N/A</v>
      </c>
      <c r="H28783" s="4" t="str">
        <v/>
      </c>
      <c r="I28783" s="4" t="str">
        <v/>
      </c>
    </row>
    <row r="28784" spans="5:9" ht="16.5" hidden="1">
      <c r="E28784" s="4" t="str">
        <v/>
      </c>
      <c r="F28784" s="102" t="str">
        <f ca="1">IFERROR(__xludf.DUMMYFUNCTION("IMPORTRANGE(H28784,""IDENTITAS UNIT!D9"")"),"#N/A")</f>
        <v>#N/A</v>
      </c>
      <c r="H28784" s="4" t="str">
        <v/>
      </c>
      <c r="I28784" s="4" t="str">
        <v/>
      </c>
    </row>
    <row r="28785" spans="5:9" ht="16.5" hidden="1">
      <c r="E28785" s="4" t="str">
        <v/>
      </c>
      <c r="F28785" s="102" t="str">
        <f ca="1">IFERROR(__xludf.DUMMYFUNCTION("IMPORTRANGE(H28785,""IDENTITAS UNIT!D9"")"),"#N/A")</f>
        <v>#N/A</v>
      </c>
      <c r="H28785" s="4" t="str">
        <v/>
      </c>
      <c r="I28785" s="4" t="str">
        <v/>
      </c>
    </row>
    <row r="28786" spans="5:9" ht="16.5" hidden="1">
      <c r="E28786" s="4" t="str">
        <v/>
      </c>
      <c r="F28786" s="102" t="str">
        <f ca="1">IFERROR(__xludf.DUMMYFUNCTION("IMPORTRANGE(H28786,""IDENTITAS UNIT!D9"")"),"#N/A")</f>
        <v>#N/A</v>
      </c>
      <c r="H28786" s="4" t="str">
        <v/>
      </c>
      <c r="I28786" s="4" t="str">
        <v/>
      </c>
    </row>
    <row r="28787" spans="5:9" ht="16.5" hidden="1">
      <c r="E28787" s="4" t="str">
        <v/>
      </c>
      <c r="F28787" s="102" t="str">
        <f ca="1">IFERROR(__xludf.DUMMYFUNCTION("IMPORTRANGE(H28787,""IDENTITAS UNIT!D9"")"),"#N/A")</f>
        <v>#N/A</v>
      </c>
      <c r="H28787" s="4" t="str">
        <v/>
      </c>
      <c r="I28787" s="4" t="str">
        <v/>
      </c>
    </row>
    <row r="28788" spans="5:9" ht="16.5" hidden="1">
      <c r="E28788" s="4" t="str">
        <v/>
      </c>
      <c r="F28788" s="102" t="str">
        <f ca="1">IFERROR(__xludf.DUMMYFUNCTION("IMPORTRANGE(H28788,""IDENTITAS UNIT!D9"")"),"#N/A")</f>
        <v>#N/A</v>
      </c>
      <c r="H28788" s="4" t="str">
        <v/>
      </c>
      <c r="I28788" s="4" t="str">
        <v/>
      </c>
    </row>
    <row r="28789" spans="5:9" ht="16.5" hidden="1">
      <c r="E28789" s="4" t="str">
        <v/>
      </c>
      <c r="F28789" s="102" t="str">
        <f ca="1">IFERROR(__xludf.DUMMYFUNCTION("IMPORTRANGE(H28789,""IDENTITAS UNIT!D9"")"),"#N/A")</f>
        <v>#N/A</v>
      </c>
      <c r="H28789" s="4" t="str">
        <v/>
      </c>
      <c r="I28789" s="4" t="str">
        <v/>
      </c>
    </row>
    <row r="28790" spans="5:9" ht="16.5" hidden="1">
      <c r="E28790" s="4" t="str">
        <v/>
      </c>
      <c r="F28790" s="102" t="str">
        <f ca="1">IFERROR(__xludf.DUMMYFUNCTION("IMPORTRANGE(H28790,""IDENTITAS UNIT!D9"")"),"#N/A")</f>
        <v>#N/A</v>
      </c>
      <c r="H28790" s="4" t="str">
        <v/>
      </c>
      <c r="I28790" s="4" t="str">
        <v/>
      </c>
    </row>
    <row r="28791" spans="5:9" ht="16.5" hidden="1">
      <c r="E28791" s="4" t="str">
        <v/>
      </c>
      <c r="F28791" s="102" t="str">
        <f ca="1">IFERROR(__xludf.DUMMYFUNCTION("IMPORTRANGE(H28791,""IDENTITAS UNIT!D9"")"),"#N/A")</f>
        <v>#N/A</v>
      </c>
      <c r="H28791" s="4" t="str">
        <v/>
      </c>
      <c r="I28791" s="4" t="str">
        <v/>
      </c>
    </row>
    <row r="28792" spans="5:9" ht="16.5" hidden="1">
      <c r="E28792" s="4" t="str">
        <v/>
      </c>
      <c r="F28792" s="102" t="str">
        <f ca="1">IFERROR(__xludf.DUMMYFUNCTION("IMPORTRANGE(H28792,""IDENTITAS UNIT!D9"")"),"#N/A")</f>
        <v>#N/A</v>
      </c>
      <c r="H28792" s="4" t="str">
        <v/>
      </c>
      <c r="I28792" s="4" t="str">
        <v/>
      </c>
    </row>
    <row r="28793" spans="5:9" ht="16.5" hidden="1">
      <c r="E28793" s="4" t="str">
        <v/>
      </c>
      <c r="F28793" s="102" t="str">
        <f ca="1">IFERROR(__xludf.DUMMYFUNCTION("IMPORTRANGE(H28793,""IDENTITAS UNIT!D9"")"),"#N/A")</f>
        <v>#N/A</v>
      </c>
      <c r="H28793" s="4" t="str">
        <v/>
      </c>
      <c r="I28793" s="4" t="str">
        <v/>
      </c>
    </row>
    <row r="28794" spans="5:9" ht="16.5" hidden="1">
      <c r="E28794" s="4" t="str">
        <v/>
      </c>
      <c r="F28794" s="102" t="str">
        <f ca="1">IFERROR(__xludf.DUMMYFUNCTION("IMPORTRANGE(H28794,""IDENTITAS UNIT!D9"")"),"#N/A")</f>
        <v>#N/A</v>
      </c>
      <c r="H28794" s="4" t="str">
        <v/>
      </c>
      <c r="I28794" s="4" t="str">
        <v/>
      </c>
    </row>
    <row r="28795" spans="5:9" ht="16.5" hidden="1">
      <c r="E28795" s="4" t="str">
        <v/>
      </c>
      <c r="F28795" s="102" t="str">
        <f ca="1">IFERROR(__xludf.DUMMYFUNCTION("IMPORTRANGE(H28795,""IDENTITAS UNIT!D9"")"),"#N/A")</f>
        <v>#N/A</v>
      </c>
      <c r="H28795" s="4" t="str">
        <v/>
      </c>
      <c r="I28795" s="4" t="str">
        <v/>
      </c>
    </row>
    <row r="28796" spans="5:9" ht="16.5" hidden="1">
      <c r="E28796" s="4" t="str">
        <v/>
      </c>
      <c r="F28796" s="102" t="str">
        <f ca="1">IFERROR(__xludf.DUMMYFUNCTION("IMPORTRANGE(H28796,""IDENTITAS UNIT!D9"")"),"#N/A")</f>
        <v>#N/A</v>
      </c>
      <c r="H28796" s="4" t="str">
        <v/>
      </c>
      <c r="I28796" s="4" t="str">
        <v/>
      </c>
    </row>
    <row r="28797" spans="5:9" ht="16.5" hidden="1">
      <c r="E28797" s="4" t="str">
        <v/>
      </c>
      <c r="F28797" s="102" t="str">
        <f ca="1">IFERROR(__xludf.DUMMYFUNCTION("IMPORTRANGE(H28797,""IDENTITAS UNIT!D9"")"),"#N/A")</f>
        <v>#N/A</v>
      </c>
      <c r="H28797" s="4" t="str">
        <v/>
      </c>
      <c r="I28797" s="4" t="str">
        <v/>
      </c>
    </row>
    <row r="28798" spans="5:9" ht="16.5" hidden="1">
      <c r="E28798" s="4" t="str">
        <v/>
      </c>
      <c r="F28798" s="102" t="str">
        <f ca="1">IFERROR(__xludf.DUMMYFUNCTION("IMPORTRANGE(H28798,""IDENTITAS UNIT!D9"")"),"#N/A")</f>
        <v>#N/A</v>
      </c>
      <c r="H28798" s="4" t="str">
        <v/>
      </c>
      <c r="I28798" s="4" t="str">
        <v/>
      </c>
    </row>
    <row r="28799" spans="5:9" ht="16.5" hidden="1">
      <c r="E28799" s="4" t="str">
        <v/>
      </c>
      <c r="F28799" s="102" t="str">
        <f ca="1">IFERROR(__xludf.DUMMYFUNCTION("IMPORTRANGE(H28799,""IDENTITAS UNIT!D9"")"),"#N/A")</f>
        <v>#N/A</v>
      </c>
      <c r="H28799" s="4" t="str">
        <v/>
      </c>
      <c r="I28799" s="4" t="str">
        <v/>
      </c>
    </row>
    <row r="28800" spans="5:9" ht="16.5" hidden="1">
      <c r="E28800" s="4" t="str">
        <v/>
      </c>
      <c r="F28800" s="102" t="str">
        <f ca="1">IFERROR(__xludf.DUMMYFUNCTION("IMPORTRANGE(H28800,""IDENTITAS UNIT!D9"")"),"#N/A")</f>
        <v>#N/A</v>
      </c>
      <c r="H28800" s="4" t="str">
        <v/>
      </c>
      <c r="I28800" s="4" t="str">
        <v/>
      </c>
    </row>
    <row r="28801" spans="5:9" ht="16.5" hidden="1">
      <c r="E28801" s="4" t="str">
        <v/>
      </c>
      <c r="F28801" s="102" t="str">
        <f ca="1">IFERROR(__xludf.DUMMYFUNCTION("IMPORTRANGE(H28801,""IDENTITAS UNIT!D9"")"),"#N/A")</f>
        <v>#N/A</v>
      </c>
      <c r="H28801" s="4" t="str">
        <v/>
      </c>
      <c r="I28801" s="4" t="str">
        <v/>
      </c>
    </row>
    <row r="28802" spans="5:9" ht="16.5" hidden="1">
      <c r="E28802" s="4" t="str">
        <v/>
      </c>
      <c r="F28802" s="102" t="str">
        <f ca="1">IFERROR(__xludf.DUMMYFUNCTION("IMPORTRANGE(H28802,""IDENTITAS UNIT!D9"")"),"#N/A")</f>
        <v>#N/A</v>
      </c>
      <c r="H28802" s="4" t="str">
        <v/>
      </c>
      <c r="I28802" s="4" t="str">
        <v/>
      </c>
    </row>
    <row r="28803" spans="5:9" ht="16.5" hidden="1">
      <c r="E28803" s="4" t="str">
        <v/>
      </c>
      <c r="F28803" s="102" t="str">
        <f ca="1">IFERROR(__xludf.DUMMYFUNCTION("IMPORTRANGE(H28803,""IDENTITAS UNIT!D9"")"),"#N/A")</f>
        <v>#N/A</v>
      </c>
      <c r="H28803" s="4" t="str">
        <v/>
      </c>
      <c r="I28803" s="4" t="str">
        <v/>
      </c>
    </row>
    <row r="28804" spans="5:9" ht="16.5" hidden="1">
      <c r="E28804" s="4" t="str">
        <v/>
      </c>
      <c r="F28804" s="102" t="str">
        <f ca="1">IFERROR(__xludf.DUMMYFUNCTION("IMPORTRANGE(H28804,""IDENTITAS UNIT!D9"")"),"#N/A")</f>
        <v>#N/A</v>
      </c>
      <c r="H28804" s="4" t="str">
        <v/>
      </c>
      <c r="I28804" s="4" t="str">
        <v/>
      </c>
    </row>
    <row r="28805" spans="5:9" ht="16.5" hidden="1">
      <c r="E28805" s="4" t="str">
        <v/>
      </c>
      <c r="F28805" s="102" t="str">
        <f ca="1">IFERROR(__xludf.DUMMYFUNCTION("IMPORTRANGE(H28805,""IDENTITAS UNIT!D9"")"),"#N/A")</f>
        <v>#N/A</v>
      </c>
      <c r="H28805" s="4" t="str">
        <v/>
      </c>
      <c r="I28805" s="4" t="str">
        <v/>
      </c>
    </row>
    <row r="28806" spans="5:9" ht="16.5" hidden="1">
      <c r="E28806" s="4" t="str">
        <v/>
      </c>
      <c r="F28806" s="102" t="str">
        <f ca="1">IFERROR(__xludf.DUMMYFUNCTION("IMPORTRANGE(H28806,""IDENTITAS UNIT!D9"")"),"#N/A")</f>
        <v>#N/A</v>
      </c>
      <c r="H28806" s="4" t="str">
        <v/>
      </c>
      <c r="I28806" s="4" t="str">
        <v/>
      </c>
    </row>
    <row r="28807" spans="5:9" ht="16.5" hidden="1">
      <c r="E28807" s="4" t="str">
        <v/>
      </c>
      <c r="F28807" s="102" t="str">
        <f ca="1">IFERROR(__xludf.DUMMYFUNCTION("IMPORTRANGE(H28807,""IDENTITAS UNIT!D9"")"),"#N/A")</f>
        <v>#N/A</v>
      </c>
      <c r="H28807" s="4" t="str">
        <v/>
      </c>
      <c r="I28807" s="4" t="str">
        <v/>
      </c>
    </row>
    <row r="28808" spans="5:9" ht="16.5" hidden="1">
      <c r="E28808" s="4" t="str">
        <v/>
      </c>
      <c r="F28808" s="102" t="str">
        <f ca="1">IFERROR(__xludf.DUMMYFUNCTION("IMPORTRANGE(H28808,""IDENTITAS UNIT!D9"")"),"#N/A")</f>
        <v>#N/A</v>
      </c>
      <c r="H28808" s="4" t="str">
        <v/>
      </c>
      <c r="I28808" s="4" t="str">
        <v/>
      </c>
    </row>
    <row r="28809" spans="5:9" ht="16.5" hidden="1">
      <c r="E28809" s="4" t="str">
        <v/>
      </c>
      <c r="F28809" s="102" t="str">
        <f ca="1">IFERROR(__xludf.DUMMYFUNCTION("IMPORTRANGE(H28809,""IDENTITAS UNIT!D9"")"),"#N/A")</f>
        <v>#N/A</v>
      </c>
      <c r="H28809" s="4" t="str">
        <v/>
      </c>
      <c r="I28809" s="4" t="str">
        <v/>
      </c>
    </row>
    <row r="28810" spans="5:9" ht="16.5" hidden="1">
      <c r="E28810" s="4" t="str">
        <v/>
      </c>
      <c r="F28810" s="102" t="str">
        <f ca="1">IFERROR(__xludf.DUMMYFUNCTION("IMPORTRANGE(H28810,""IDENTITAS UNIT!D9"")"),"#N/A")</f>
        <v>#N/A</v>
      </c>
      <c r="H28810" s="4" t="str">
        <v/>
      </c>
      <c r="I28810" s="4" t="str">
        <v/>
      </c>
    </row>
    <row r="28811" spans="5:9" ht="16.5" hidden="1">
      <c r="E28811" s="4" t="str">
        <v/>
      </c>
      <c r="F28811" s="102" t="str">
        <f ca="1">IFERROR(__xludf.DUMMYFUNCTION("IMPORTRANGE(H28811,""IDENTITAS UNIT!D9"")"),"#N/A")</f>
        <v>#N/A</v>
      </c>
      <c r="H28811" s="4" t="str">
        <v/>
      </c>
      <c r="I28811" s="4" t="str">
        <v/>
      </c>
    </row>
    <row r="28812" spans="5:9" ht="16.5" hidden="1">
      <c r="E28812" s="4" t="str">
        <v/>
      </c>
      <c r="F28812" s="102" t="str">
        <f ca="1">IFERROR(__xludf.DUMMYFUNCTION("IMPORTRANGE(H28812,""IDENTITAS UNIT!D9"")"),"#N/A")</f>
        <v>#N/A</v>
      </c>
      <c r="H28812" s="4" t="str">
        <v/>
      </c>
      <c r="I28812" s="4" t="str">
        <v/>
      </c>
    </row>
    <row r="28813" spans="5:9" ht="16.5" hidden="1">
      <c r="E28813" s="4" t="str">
        <v/>
      </c>
      <c r="F28813" s="102" t="str">
        <f ca="1">IFERROR(__xludf.DUMMYFUNCTION("IMPORTRANGE(H28813,""IDENTITAS UNIT!D9"")"),"#N/A")</f>
        <v>#N/A</v>
      </c>
      <c r="H28813" s="4" t="str">
        <v/>
      </c>
      <c r="I28813" s="4" t="str">
        <v/>
      </c>
    </row>
    <row r="28814" spans="5:9" ht="16.5" hidden="1">
      <c r="E28814" s="4" t="str">
        <v/>
      </c>
      <c r="F28814" s="102" t="str">
        <f ca="1">IFERROR(__xludf.DUMMYFUNCTION("IMPORTRANGE(H28814,""IDENTITAS UNIT!D9"")"),"#N/A")</f>
        <v>#N/A</v>
      </c>
      <c r="H28814" s="4" t="str">
        <v/>
      </c>
      <c r="I28814" s="4" t="str">
        <v/>
      </c>
    </row>
    <row r="28815" spans="5:9" ht="16.5" hidden="1">
      <c r="E28815" s="4" t="str">
        <v/>
      </c>
      <c r="F28815" s="102" t="str">
        <f ca="1">IFERROR(__xludf.DUMMYFUNCTION("IMPORTRANGE(H28815,""IDENTITAS UNIT!D9"")"),"#N/A")</f>
        <v>#N/A</v>
      </c>
      <c r="H28815" s="4" t="str">
        <v/>
      </c>
      <c r="I28815" s="4" t="str">
        <v/>
      </c>
    </row>
    <row r="28816" spans="5:9" ht="16.5" hidden="1">
      <c r="E28816" s="4" t="str">
        <v/>
      </c>
      <c r="F28816" s="102" t="str">
        <f ca="1">IFERROR(__xludf.DUMMYFUNCTION("IMPORTRANGE(H28816,""IDENTITAS UNIT!D9"")"),"#N/A")</f>
        <v>#N/A</v>
      </c>
      <c r="H28816" s="4" t="str">
        <v/>
      </c>
      <c r="I28816" s="4" t="str">
        <v/>
      </c>
    </row>
    <row r="28817" spans="5:9" ht="16.5" hidden="1">
      <c r="E28817" s="4" t="str">
        <v/>
      </c>
      <c r="F28817" s="102" t="str">
        <f ca="1">IFERROR(__xludf.DUMMYFUNCTION("IMPORTRANGE(H28817,""IDENTITAS UNIT!D9"")"),"#N/A")</f>
        <v>#N/A</v>
      </c>
      <c r="H28817" s="4" t="str">
        <v/>
      </c>
      <c r="I28817" s="4" t="str">
        <v/>
      </c>
    </row>
    <row r="28818" spans="5:9" ht="16.5" hidden="1">
      <c r="E28818" s="4" t="str">
        <v/>
      </c>
      <c r="F28818" s="102" t="str">
        <f ca="1">IFERROR(__xludf.DUMMYFUNCTION("IMPORTRANGE(H28818,""IDENTITAS UNIT!D9"")"),"#N/A")</f>
        <v>#N/A</v>
      </c>
      <c r="H28818" s="4" t="str">
        <v/>
      </c>
      <c r="I28818" s="4" t="str">
        <v/>
      </c>
    </row>
    <row r="28819" spans="5:9" ht="16.5" hidden="1">
      <c r="E28819" s="4" t="str">
        <v/>
      </c>
      <c r="F28819" s="102" t="str">
        <f ca="1">IFERROR(__xludf.DUMMYFUNCTION("IMPORTRANGE(H28819,""IDENTITAS UNIT!D9"")"),"#N/A")</f>
        <v>#N/A</v>
      </c>
      <c r="H28819" s="4" t="str">
        <v/>
      </c>
      <c r="I28819" s="4" t="str">
        <v/>
      </c>
    </row>
    <row r="28820" spans="5:9" ht="16.5" hidden="1">
      <c r="E28820" s="4" t="str">
        <v/>
      </c>
      <c r="F28820" s="102" t="str">
        <f ca="1">IFERROR(__xludf.DUMMYFUNCTION("IMPORTRANGE(H28820,""IDENTITAS UNIT!D9"")"),"#N/A")</f>
        <v>#N/A</v>
      </c>
      <c r="H28820" s="4" t="str">
        <v/>
      </c>
      <c r="I28820" s="4" t="str">
        <v/>
      </c>
    </row>
    <row r="28821" spans="5:9" ht="16.5" hidden="1">
      <c r="E28821" s="4" t="str">
        <v/>
      </c>
      <c r="F28821" s="102" t="str">
        <f ca="1">IFERROR(__xludf.DUMMYFUNCTION("IMPORTRANGE(H28821,""IDENTITAS UNIT!D9"")"),"#N/A")</f>
        <v>#N/A</v>
      </c>
      <c r="H28821" s="4" t="str">
        <v/>
      </c>
      <c r="I28821" s="4" t="str">
        <v/>
      </c>
    </row>
    <row r="28822" spans="5:9" ht="16.5" hidden="1">
      <c r="E28822" s="4" t="str">
        <v/>
      </c>
      <c r="F28822" s="102" t="str">
        <f ca="1">IFERROR(__xludf.DUMMYFUNCTION("IMPORTRANGE(H28822,""IDENTITAS UNIT!D9"")"),"#N/A")</f>
        <v>#N/A</v>
      </c>
      <c r="H28822" s="4" t="str">
        <v/>
      </c>
      <c r="I28822" s="4" t="str">
        <v/>
      </c>
    </row>
    <row r="28823" spans="5:9" ht="16.5" hidden="1">
      <c r="E28823" s="4" t="str">
        <v/>
      </c>
      <c r="F28823" s="102" t="str">
        <f ca="1">IFERROR(__xludf.DUMMYFUNCTION("IMPORTRANGE(H28823,""IDENTITAS UNIT!D9"")"),"#N/A")</f>
        <v>#N/A</v>
      </c>
      <c r="H28823" s="4" t="str">
        <v/>
      </c>
      <c r="I28823" s="4" t="str">
        <v/>
      </c>
    </row>
    <row r="28824" spans="5:9" ht="16.5" hidden="1">
      <c r="E28824" s="4" t="str">
        <v/>
      </c>
      <c r="F28824" s="102" t="str">
        <f ca="1">IFERROR(__xludf.DUMMYFUNCTION("IMPORTRANGE(H28824,""IDENTITAS UNIT!D9"")"),"#N/A")</f>
        <v>#N/A</v>
      </c>
      <c r="H28824" s="4" t="str">
        <v/>
      </c>
      <c r="I28824" s="4" t="str">
        <v/>
      </c>
    </row>
    <row r="28825" spans="5:9" ht="16.5" hidden="1">
      <c r="E28825" s="4" t="str">
        <v/>
      </c>
      <c r="F28825" s="102" t="str">
        <f ca="1">IFERROR(__xludf.DUMMYFUNCTION("IMPORTRANGE(H28825,""IDENTITAS UNIT!D9"")"),"#N/A")</f>
        <v>#N/A</v>
      </c>
      <c r="H28825" s="4" t="str">
        <v/>
      </c>
      <c r="I28825" s="4" t="str">
        <v/>
      </c>
    </row>
    <row r="28826" spans="5:9" ht="16.5" hidden="1">
      <c r="E28826" s="4" t="str">
        <v/>
      </c>
      <c r="F28826" s="102" t="str">
        <f ca="1">IFERROR(__xludf.DUMMYFUNCTION("IMPORTRANGE(H28826,""IDENTITAS UNIT!D9"")"),"#N/A")</f>
        <v>#N/A</v>
      </c>
      <c r="H28826" s="4" t="str">
        <v/>
      </c>
      <c r="I28826" s="4" t="str">
        <v/>
      </c>
    </row>
    <row r="28827" spans="5:9" ht="16.5" hidden="1">
      <c r="E28827" s="4" t="str">
        <v/>
      </c>
      <c r="F28827" s="102" t="str">
        <f ca="1">IFERROR(__xludf.DUMMYFUNCTION("IMPORTRANGE(H28827,""IDENTITAS UNIT!D9"")"),"#N/A")</f>
        <v>#N/A</v>
      </c>
      <c r="H28827" s="4" t="str">
        <v/>
      </c>
      <c r="I28827" s="4" t="str">
        <v/>
      </c>
    </row>
    <row r="28828" spans="5:9" ht="16.5" hidden="1">
      <c r="E28828" s="4" t="str">
        <v/>
      </c>
      <c r="F28828" s="102" t="str">
        <f ca="1">IFERROR(__xludf.DUMMYFUNCTION("IMPORTRANGE(H28828,""IDENTITAS UNIT!D9"")"),"#N/A")</f>
        <v>#N/A</v>
      </c>
      <c r="H28828" s="4" t="str">
        <v/>
      </c>
      <c r="I28828" s="4" t="str">
        <v/>
      </c>
    </row>
    <row r="28829" spans="5:9" ht="16.5" hidden="1">
      <c r="E28829" s="4" t="str">
        <v/>
      </c>
      <c r="F28829" s="102" t="str">
        <f ca="1">IFERROR(__xludf.DUMMYFUNCTION("IMPORTRANGE(H28829,""IDENTITAS UNIT!D9"")"),"#N/A")</f>
        <v>#N/A</v>
      </c>
      <c r="H28829" s="4" t="str">
        <v/>
      </c>
      <c r="I28829" s="4" t="str">
        <v/>
      </c>
    </row>
    <row r="28830" spans="5:9" ht="16.5" hidden="1">
      <c r="E28830" s="4" t="str">
        <v/>
      </c>
      <c r="F28830" s="102" t="str">
        <f ca="1">IFERROR(__xludf.DUMMYFUNCTION("IMPORTRANGE(H28830,""IDENTITAS UNIT!D9"")"),"#N/A")</f>
        <v>#N/A</v>
      </c>
      <c r="H28830" s="4" t="str">
        <v/>
      </c>
      <c r="I28830" s="4" t="str">
        <v/>
      </c>
    </row>
    <row r="28831" spans="5:9" ht="16.5" hidden="1">
      <c r="E28831" s="4" t="str">
        <v/>
      </c>
      <c r="F28831" s="102" t="str">
        <f ca="1">IFERROR(__xludf.DUMMYFUNCTION("IMPORTRANGE(H28831,""IDENTITAS UNIT!D9"")"),"#N/A")</f>
        <v>#N/A</v>
      </c>
      <c r="H28831" s="4" t="str">
        <v/>
      </c>
      <c r="I28831" s="4" t="str">
        <v/>
      </c>
    </row>
    <row r="28832" spans="5:9" ht="16.5" hidden="1">
      <c r="E28832" s="4" t="str">
        <v/>
      </c>
      <c r="F28832" s="102" t="str">
        <f ca="1">IFERROR(__xludf.DUMMYFUNCTION("IMPORTRANGE(H28832,""IDENTITAS UNIT!D9"")"),"#N/A")</f>
        <v>#N/A</v>
      </c>
      <c r="H28832" s="4" t="str">
        <v/>
      </c>
      <c r="I28832" s="4" t="str">
        <v/>
      </c>
    </row>
    <row r="28833" spans="5:9" ht="16.5" hidden="1">
      <c r="E28833" s="4" t="str">
        <v/>
      </c>
      <c r="F28833" s="102" t="str">
        <f ca="1">IFERROR(__xludf.DUMMYFUNCTION("IMPORTRANGE(H28833,""IDENTITAS UNIT!D9"")"),"#N/A")</f>
        <v>#N/A</v>
      </c>
      <c r="H28833" s="4" t="str">
        <v/>
      </c>
      <c r="I28833" s="4" t="str">
        <v/>
      </c>
    </row>
    <row r="28834" spans="5:9" ht="16.5" hidden="1">
      <c r="E28834" s="4" t="str">
        <v/>
      </c>
      <c r="F28834" s="102" t="str">
        <f ca="1">IFERROR(__xludf.DUMMYFUNCTION("IMPORTRANGE(H28834,""IDENTITAS UNIT!D9"")"),"#N/A")</f>
        <v>#N/A</v>
      </c>
      <c r="H28834" s="4" t="str">
        <v/>
      </c>
      <c r="I28834" s="4" t="str">
        <v/>
      </c>
    </row>
    <row r="28835" spans="5:9" ht="16.5" hidden="1">
      <c r="E28835" s="4" t="str">
        <v/>
      </c>
      <c r="F28835" s="102" t="str">
        <f ca="1">IFERROR(__xludf.DUMMYFUNCTION("IMPORTRANGE(H28835,""IDENTITAS UNIT!D9"")"),"#N/A")</f>
        <v>#N/A</v>
      </c>
      <c r="H28835" s="4" t="str">
        <v/>
      </c>
      <c r="I28835" s="4" t="str">
        <v/>
      </c>
    </row>
    <row r="28836" spans="5:9" ht="16.5" hidden="1">
      <c r="E28836" s="4" t="str">
        <v/>
      </c>
      <c r="F28836" s="102" t="str">
        <f ca="1">IFERROR(__xludf.DUMMYFUNCTION("IMPORTRANGE(H28836,""IDENTITAS UNIT!D9"")"),"#N/A")</f>
        <v>#N/A</v>
      </c>
      <c r="H28836" s="4" t="str">
        <v/>
      </c>
      <c r="I28836" s="4" t="str">
        <v/>
      </c>
    </row>
    <row r="28837" spans="5:9" ht="16.5" hidden="1">
      <c r="E28837" s="4" t="str">
        <v/>
      </c>
      <c r="F28837" s="102" t="str">
        <f ca="1">IFERROR(__xludf.DUMMYFUNCTION("IMPORTRANGE(H28837,""IDENTITAS UNIT!D9"")"),"#N/A")</f>
        <v>#N/A</v>
      </c>
      <c r="H28837" s="4" t="str">
        <v/>
      </c>
      <c r="I28837" s="4" t="str">
        <v/>
      </c>
    </row>
    <row r="28838" spans="5:9" ht="16.5" hidden="1">
      <c r="E28838" s="4" t="str">
        <v/>
      </c>
      <c r="F28838" s="102" t="str">
        <f ca="1">IFERROR(__xludf.DUMMYFUNCTION("IMPORTRANGE(H28838,""IDENTITAS UNIT!D9"")"),"#N/A")</f>
        <v>#N/A</v>
      </c>
      <c r="H28838" s="4" t="str">
        <v/>
      </c>
      <c r="I28838" s="4" t="str">
        <v/>
      </c>
    </row>
    <row r="28839" spans="5:9" ht="16.5" hidden="1">
      <c r="E28839" s="4" t="str">
        <v/>
      </c>
      <c r="F28839" s="102" t="str">
        <f ca="1">IFERROR(__xludf.DUMMYFUNCTION("IMPORTRANGE(H28839,""IDENTITAS UNIT!D9"")"),"#N/A")</f>
        <v>#N/A</v>
      </c>
      <c r="H28839" s="4" t="str">
        <v/>
      </c>
      <c r="I28839" s="4" t="str">
        <v/>
      </c>
    </row>
    <row r="28840" spans="5:9" ht="16.5" hidden="1">
      <c r="E28840" s="4" t="str">
        <v/>
      </c>
      <c r="F28840" s="102" t="str">
        <f ca="1">IFERROR(__xludf.DUMMYFUNCTION("IMPORTRANGE(H28840,""IDENTITAS UNIT!D9"")"),"#N/A")</f>
        <v>#N/A</v>
      </c>
      <c r="H28840" s="4" t="str">
        <v/>
      </c>
      <c r="I28840" s="4" t="str">
        <v/>
      </c>
    </row>
    <row r="28841" spans="5:9" ht="16.5" hidden="1">
      <c r="E28841" s="4" t="str">
        <v/>
      </c>
      <c r="F28841" s="102" t="str">
        <f ca="1">IFERROR(__xludf.DUMMYFUNCTION("IMPORTRANGE(H28841,""IDENTITAS UNIT!D9"")"),"#N/A")</f>
        <v>#N/A</v>
      </c>
      <c r="H28841" s="4" t="str">
        <v/>
      </c>
      <c r="I28841" s="4" t="str">
        <v/>
      </c>
    </row>
    <row r="28842" spans="5:9" ht="16.5" hidden="1">
      <c r="E28842" s="4" t="str">
        <v/>
      </c>
      <c r="F28842" s="102" t="str">
        <f ca="1">IFERROR(__xludf.DUMMYFUNCTION("IMPORTRANGE(H28842,""IDENTITAS UNIT!D9"")"),"#N/A")</f>
        <v>#N/A</v>
      </c>
      <c r="H28842" s="4" t="str">
        <v/>
      </c>
      <c r="I28842" s="4" t="str">
        <v/>
      </c>
    </row>
    <row r="28843" spans="5:9" ht="16.5" hidden="1">
      <c r="E28843" s="4" t="str">
        <v/>
      </c>
      <c r="F28843" s="102" t="str">
        <f ca="1">IFERROR(__xludf.DUMMYFUNCTION("IMPORTRANGE(H28843,""IDENTITAS UNIT!D9"")"),"#N/A")</f>
        <v>#N/A</v>
      </c>
      <c r="H28843" s="4" t="str">
        <v/>
      </c>
      <c r="I28843" s="4" t="str">
        <v/>
      </c>
    </row>
    <row r="28844" spans="5:9" ht="16.5" hidden="1">
      <c r="E28844" s="4" t="str">
        <v/>
      </c>
      <c r="F28844" s="102" t="str">
        <f ca="1">IFERROR(__xludf.DUMMYFUNCTION("IMPORTRANGE(H28844,""IDENTITAS UNIT!D9"")"),"#N/A")</f>
        <v>#N/A</v>
      </c>
      <c r="H28844" s="4" t="str">
        <v/>
      </c>
      <c r="I28844" s="4" t="str">
        <v/>
      </c>
    </row>
    <row r="28845" spans="5:9" ht="16.5" hidden="1">
      <c r="E28845" s="4" t="str">
        <v/>
      </c>
      <c r="F28845" s="102" t="str">
        <f ca="1">IFERROR(__xludf.DUMMYFUNCTION("IMPORTRANGE(H28845,""IDENTITAS UNIT!D9"")"),"#N/A")</f>
        <v>#N/A</v>
      </c>
      <c r="H28845" s="4" t="str">
        <v/>
      </c>
      <c r="I28845" s="4" t="str">
        <v/>
      </c>
    </row>
    <row r="28846" spans="5:9" ht="16.5" hidden="1">
      <c r="E28846" s="4" t="str">
        <v/>
      </c>
      <c r="F28846" s="102" t="str">
        <f ca="1">IFERROR(__xludf.DUMMYFUNCTION("IMPORTRANGE(H28846,""IDENTITAS UNIT!D9"")"),"#N/A")</f>
        <v>#N/A</v>
      </c>
      <c r="H28846" s="4" t="str">
        <v/>
      </c>
      <c r="I28846" s="4" t="str">
        <v/>
      </c>
    </row>
    <row r="28847" spans="5:9" ht="16.5" hidden="1">
      <c r="E28847" s="4" t="str">
        <v/>
      </c>
      <c r="F28847" s="102" t="str">
        <f ca="1">IFERROR(__xludf.DUMMYFUNCTION("IMPORTRANGE(H28847,""IDENTITAS UNIT!D9"")"),"#N/A")</f>
        <v>#N/A</v>
      </c>
      <c r="H28847" s="4" t="str">
        <v/>
      </c>
      <c r="I28847" s="4" t="str">
        <v/>
      </c>
    </row>
    <row r="28848" spans="5:9" ht="16.5" hidden="1">
      <c r="E28848" s="4" t="str">
        <v/>
      </c>
      <c r="F28848" s="102" t="str">
        <f ca="1">IFERROR(__xludf.DUMMYFUNCTION("IMPORTRANGE(H28848,""IDENTITAS UNIT!D9"")"),"#N/A")</f>
        <v>#N/A</v>
      </c>
      <c r="H28848" s="4" t="str">
        <v/>
      </c>
      <c r="I28848" s="4" t="str">
        <v/>
      </c>
    </row>
    <row r="28849" spans="5:9" ht="16.5" hidden="1">
      <c r="E28849" s="4" t="str">
        <v/>
      </c>
      <c r="F28849" s="102" t="str">
        <f ca="1">IFERROR(__xludf.DUMMYFUNCTION("IMPORTRANGE(H28849,""IDENTITAS UNIT!D9"")"),"#N/A")</f>
        <v>#N/A</v>
      </c>
      <c r="H28849" s="4" t="str">
        <v/>
      </c>
      <c r="I28849" s="4" t="str">
        <v/>
      </c>
    </row>
    <row r="28850" spans="5:9" ht="16.5" hidden="1">
      <c r="E28850" s="4" t="str">
        <v/>
      </c>
      <c r="F28850" s="102" t="str">
        <f ca="1">IFERROR(__xludf.DUMMYFUNCTION("IMPORTRANGE(H28850,""IDENTITAS UNIT!D9"")"),"#N/A")</f>
        <v>#N/A</v>
      </c>
      <c r="H28850" s="4" t="str">
        <v/>
      </c>
      <c r="I28850" s="4" t="str">
        <v/>
      </c>
    </row>
    <row r="28851" spans="5:9" ht="16.5" hidden="1">
      <c r="E28851" s="4" t="str">
        <v/>
      </c>
      <c r="F28851" s="102" t="str">
        <f ca="1">IFERROR(__xludf.DUMMYFUNCTION("IMPORTRANGE(H28851,""IDENTITAS UNIT!D9"")"),"#N/A")</f>
        <v>#N/A</v>
      </c>
      <c r="H28851" s="4" t="str">
        <v/>
      </c>
      <c r="I28851" s="4" t="str">
        <v/>
      </c>
    </row>
    <row r="28852" spans="5:9" ht="16.5" hidden="1">
      <c r="E28852" s="4" t="str">
        <v/>
      </c>
      <c r="F28852" s="102" t="str">
        <f ca="1">IFERROR(__xludf.DUMMYFUNCTION("IMPORTRANGE(H28852,""IDENTITAS UNIT!D9"")"),"#N/A")</f>
        <v>#N/A</v>
      </c>
      <c r="H28852" s="4" t="str">
        <v/>
      </c>
      <c r="I28852" s="4" t="str">
        <v/>
      </c>
    </row>
    <row r="28853" spans="5:9" ht="16.5" hidden="1">
      <c r="E28853" s="4" t="str">
        <v/>
      </c>
      <c r="F28853" s="102" t="str">
        <f ca="1">IFERROR(__xludf.DUMMYFUNCTION("IMPORTRANGE(H28853,""IDENTITAS UNIT!D9"")"),"#N/A")</f>
        <v>#N/A</v>
      </c>
      <c r="H28853" s="4" t="str">
        <v/>
      </c>
      <c r="I28853" s="4" t="str">
        <v/>
      </c>
    </row>
    <row r="28854" spans="5:9" ht="16.5" hidden="1">
      <c r="E28854" s="4" t="str">
        <v/>
      </c>
      <c r="F28854" s="102" t="str">
        <f ca="1">IFERROR(__xludf.DUMMYFUNCTION("IMPORTRANGE(H28854,""IDENTITAS UNIT!D9"")"),"#N/A")</f>
        <v>#N/A</v>
      </c>
      <c r="H28854" s="4" t="str">
        <v/>
      </c>
      <c r="I28854" s="4" t="str">
        <v/>
      </c>
    </row>
    <row r="28855" spans="5:9" ht="16.5" hidden="1">
      <c r="E28855" s="4" t="str">
        <v/>
      </c>
      <c r="F28855" s="102" t="str">
        <f ca="1">IFERROR(__xludf.DUMMYFUNCTION("IMPORTRANGE(H28855,""IDENTITAS UNIT!D9"")"),"#N/A")</f>
        <v>#N/A</v>
      </c>
      <c r="H28855" s="4" t="str">
        <v/>
      </c>
      <c r="I28855" s="4" t="str">
        <v/>
      </c>
    </row>
    <row r="28856" spans="5:9" ht="16.5" hidden="1">
      <c r="E28856" s="4" t="str">
        <v/>
      </c>
      <c r="F28856" s="102" t="str">
        <f ca="1">IFERROR(__xludf.DUMMYFUNCTION("IMPORTRANGE(H28856,""IDENTITAS UNIT!D9"")"),"#N/A")</f>
        <v>#N/A</v>
      </c>
      <c r="H28856" s="4" t="str">
        <v/>
      </c>
      <c r="I28856" s="4" t="str">
        <v/>
      </c>
    </row>
    <row r="28857" spans="5:9" ht="16.5" hidden="1">
      <c r="E28857" s="4" t="str">
        <v/>
      </c>
      <c r="F28857" s="102" t="str">
        <f ca="1">IFERROR(__xludf.DUMMYFUNCTION("IMPORTRANGE(H28857,""IDENTITAS UNIT!D9"")"),"#N/A")</f>
        <v>#N/A</v>
      </c>
      <c r="H28857" s="4" t="str">
        <v/>
      </c>
      <c r="I28857" s="4" t="str">
        <v/>
      </c>
    </row>
    <row r="28858" spans="5:9" ht="16.5" hidden="1">
      <c r="E28858" s="4" t="str">
        <v/>
      </c>
      <c r="F28858" s="102" t="str">
        <f ca="1">IFERROR(__xludf.DUMMYFUNCTION("IMPORTRANGE(H28858,""IDENTITAS UNIT!D9"")"),"#N/A")</f>
        <v>#N/A</v>
      </c>
      <c r="H28858" s="4" t="str">
        <v/>
      </c>
      <c r="I28858" s="4" t="str">
        <v/>
      </c>
    </row>
    <row r="28859" spans="5:9" ht="16.5" hidden="1">
      <c r="E28859" s="4" t="str">
        <v/>
      </c>
      <c r="F28859" s="102" t="str">
        <f ca="1">IFERROR(__xludf.DUMMYFUNCTION("IMPORTRANGE(H28859,""IDENTITAS UNIT!D9"")"),"#N/A")</f>
        <v>#N/A</v>
      </c>
      <c r="H28859" s="4" t="str">
        <v/>
      </c>
      <c r="I28859" s="4" t="str">
        <v/>
      </c>
    </row>
    <row r="28860" spans="5:9" ht="16.5" hidden="1">
      <c r="E28860" s="4" t="str">
        <v/>
      </c>
      <c r="F28860" s="102" t="str">
        <f ca="1">IFERROR(__xludf.DUMMYFUNCTION("IMPORTRANGE(H28860,""IDENTITAS UNIT!D9"")"),"#N/A")</f>
        <v>#N/A</v>
      </c>
      <c r="H28860" s="4" t="str">
        <v/>
      </c>
      <c r="I28860" s="4" t="str">
        <v/>
      </c>
    </row>
    <row r="28861" spans="5:9" ht="16.5" hidden="1">
      <c r="E28861" s="4" t="str">
        <v/>
      </c>
      <c r="F28861" s="102" t="str">
        <f ca="1">IFERROR(__xludf.DUMMYFUNCTION("IMPORTRANGE(H28861,""IDENTITAS UNIT!D9"")"),"#N/A")</f>
        <v>#N/A</v>
      </c>
      <c r="H28861" s="4" t="str">
        <v/>
      </c>
      <c r="I28861" s="4" t="str">
        <v/>
      </c>
    </row>
    <row r="28862" spans="5:9" ht="16.5" hidden="1">
      <c r="E28862" s="4" t="str">
        <v/>
      </c>
      <c r="F28862" s="102" t="str">
        <f ca="1">IFERROR(__xludf.DUMMYFUNCTION("IMPORTRANGE(H28862,""IDENTITAS UNIT!D9"")"),"#N/A")</f>
        <v>#N/A</v>
      </c>
      <c r="H28862" s="4" t="str">
        <v/>
      </c>
      <c r="I28862" s="4" t="str">
        <v/>
      </c>
    </row>
    <row r="28863" spans="5:9" ht="16.5" hidden="1">
      <c r="E28863" s="4" t="str">
        <v/>
      </c>
      <c r="F28863" s="102" t="str">
        <f ca="1">IFERROR(__xludf.DUMMYFUNCTION("IMPORTRANGE(H28863,""IDENTITAS UNIT!D9"")"),"#N/A")</f>
        <v>#N/A</v>
      </c>
      <c r="H28863" s="4" t="str">
        <v/>
      </c>
      <c r="I28863" s="4" t="str">
        <v/>
      </c>
    </row>
    <row r="28864" spans="5:9" ht="16.5" hidden="1">
      <c r="E28864" s="4" t="str">
        <v/>
      </c>
      <c r="F28864" s="102" t="str">
        <f ca="1">IFERROR(__xludf.DUMMYFUNCTION("IMPORTRANGE(H28864,""IDENTITAS UNIT!D9"")"),"#N/A")</f>
        <v>#N/A</v>
      </c>
      <c r="H28864" s="4" t="str">
        <v/>
      </c>
      <c r="I28864" s="4" t="str">
        <v/>
      </c>
    </row>
    <row r="28865" spans="5:9" ht="16.5" hidden="1">
      <c r="E28865" s="4" t="str">
        <v/>
      </c>
      <c r="F28865" s="102" t="str">
        <f ca="1">IFERROR(__xludf.DUMMYFUNCTION("IMPORTRANGE(H28865,""IDENTITAS UNIT!D9"")"),"#N/A")</f>
        <v>#N/A</v>
      </c>
      <c r="H28865" s="4" t="str">
        <v/>
      </c>
      <c r="I28865" s="4" t="str">
        <v/>
      </c>
    </row>
    <row r="28866" spans="5:9" ht="16.5" hidden="1">
      <c r="E28866" s="4" t="str">
        <v/>
      </c>
      <c r="F28866" s="102" t="str">
        <f ca="1">IFERROR(__xludf.DUMMYFUNCTION("IMPORTRANGE(H28866,""IDENTITAS UNIT!D9"")"),"#N/A")</f>
        <v>#N/A</v>
      </c>
      <c r="H28866" s="4" t="str">
        <v/>
      </c>
      <c r="I28866" s="4" t="str">
        <v/>
      </c>
    </row>
    <row r="28867" spans="5:9" ht="16.5" hidden="1">
      <c r="E28867" s="4" t="str">
        <v/>
      </c>
      <c r="F28867" s="102" t="str">
        <f ca="1">IFERROR(__xludf.DUMMYFUNCTION("IMPORTRANGE(H28867,""IDENTITAS UNIT!D9"")"),"#N/A")</f>
        <v>#N/A</v>
      </c>
      <c r="H28867" s="4" t="str">
        <v/>
      </c>
      <c r="I28867" s="4" t="str">
        <v/>
      </c>
    </row>
    <row r="28868" spans="5:9" ht="16.5" hidden="1">
      <c r="E28868" s="4" t="str">
        <v/>
      </c>
      <c r="F28868" s="102" t="str">
        <f ca="1">IFERROR(__xludf.DUMMYFUNCTION("IMPORTRANGE(H28868,""IDENTITAS UNIT!D9"")"),"#N/A")</f>
        <v>#N/A</v>
      </c>
      <c r="H28868" s="4" t="str">
        <v/>
      </c>
      <c r="I28868" s="4" t="str">
        <v/>
      </c>
    </row>
    <row r="28869" spans="5:9" ht="16.5" hidden="1">
      <c r="E28869" s="4" t="str">
        <v/>
      </c>
      <c r="F28869" s="102" t="str">
        <f ca="1">IFERROR(__xludf.DUMMYFUNCTION("IMPORTRANGE(H28869,""IDENTITAS UNIT!D9"")"),"#N/A")</f>
        <v>#N/A</v>
      </c>
      <c r="H28869" s="4" t="str">
        <v/>
      </c>
      <c r="I28869" s="4" t="str">
        <v/>
      </c>
    </row>
    <row r="28870" spans="5:9" ht="16.5" hidden="1">
      <c r="E28870" s="4" t="str">
        <v/>
      </c>
      <c r="F28870" s="102" t="str">
        <f ca="1">IFERROR(__xludf.DUMMYFUNCTION("IMPORTRANGE(H28870,""IDENTITAS UNIT!D9"")"),"#N/A")</f>
        <v>#N/A</v>
      </c>
      <c r="H28870" s="4" t="str">
        <v/>
      </c>
      <c r="I28870" s="4" t="str">
        <v/>
      </c>
    </row>
    <row r="28871" spans="5:9" ht="16.5" hidden="1">
      <c r="E28871" s="4" t="str">
        <v/>
      </c>
      <c r="F28871" s="102" t="str">
        <f ca="1">IFERROR(__xludf.DUMMYFUNCTION("IMPORTRANGE(H28871,""IDENTITAS UNIT!D9"")"),"#N/A")</f>
        <v>#N/A</v>
      </c>
      <c r="H28871" s="4" t="str">
        <v/>
      </c>
      <c r="I28871" s="4" t="str">
        <v/>
      </c>
    </row>
    <row r="28872" spans="5:9" ht="16.5" hidden="1">
      <c r="E28872" s="4" t="str">
        <v/>
      </c>
      <c r="F28872" s="102" t="str">
        <f ca="1">IFERROR(__xludf.DUMMYFUNCTION("IMPORTRANGE(H28872,""IDENTITAS UNIT!D9"")"),"#N/A")</f>
        <v>#N/A</v>
      </c>
      <c r="H28872" s="4" t="str">
        <v/>
      </c>
      <c r="I28872" s="4" t="str">
        <v/>
      </c>
    </row>
    <row r="28873" spans="5:9" ht="16.5" hidden="1">
      <c r="E28873" s="4" t="str">
        <v/>
      </c>
      <c r="F28873" s="102" t="str">
        <f ca="1">IFERROR(__xludf.DUMMYFUNCTION("IMPORTRANGE(H28873,""IDENTITAS UNIT!D9"")"),"#N/A")</f>
        <v>#N/A</v>
      </c>
      <c r="H28873" s="4" t="str">
        <v/>
      </c>
      <c r="I28873" s="4" t="str">
        <v/>
      </c>
    </row>
    <row r="28874" spans="5:9" ht="16.5" hidden="1">
      <c r="E28874" s="4" t="str">
        <v/>
      </c>
      <c r="F28874" s="102" t="str">
        <f ca="1">IFERROR(__xludf.DUMMYFUNCTION("IMPORTRANGE(H28874,""IDENTITAS UNIT!D9"")"),"#N/A")</f>
        <v>#N/A</v>
      </c>
      <c r="H28874" s="4" t="str">
        <v/>
      </c>
      <c r="I28874" s="4" t="str">
        <v/>
      </c>
    </row>
    <row r="28875" spans="5:9" ht="16.5" hidden="1">
      <c r="E28875" s="4" t="str">
        <v/>
      </c>
      <c r="F28875" s="102" t="str">
        <f ca="1">IFERROR(__xludf.DUMMYFUNCTION("IMPORTRANGE(H28875,""IDENTITAS UNIT!D9"")"),"#N/A")</f>
        <v>#N/A</v>
      </c>
      <c r="H28875" s="4" t="str">
        <v/>
      </c>
      <c r="I28875" s="4" t="str">
        <v/>
      </c>
    </row>
    <row r="28876" spans="5:9" ht="16.5" hidden="1">
      <c r="E28876" s="4" t="str">
        <v/>
      </c>
      <c r="F28876" s="102" t="str">
        <f ca="1">IFERROR(__xludf.DUMMYFUNCTION("IMPORTRANGE(H28876,""IDENTITAS UNIT!D9"")"),"#N/A")</f>
        <v>#N/A</v>
      </c>
      <c r="H28876" s="4" t="str">
        <v/>
      </c>
      <c r="I28876" s="4" t="str">
        <v/>
      </c>
    </row>
    <row r="28877" spans="5:9" ht="16.5" hidden="1">
      <c r="E28877" s="4" t="str">
        <v/>
      </c>
      <c r="F28877" s="102" t="str">
        <f ca="1">IFERROR(__xludf.DUMMYFUNCTION("IMPORTRANGE(H28877,""IDENTITAS UNIT!D9"")"),"#N/A")</f>
        <v>#N/A</v>
      </c>
      <c r="H28877" s="4" t="str">
        <v/>
      </c>
      <c r="I28877" s="4" t="str">
        <v/>
      </c>
    </row>
    <row r="28878" spans="5:9" ht="16.5" hidden="1">
      <c r="E28878" s="4" t="str">
        <v/>
      </c>
      <c r="F28878" s="102" t="str">
        <f ca="1">IFERROR(__xludf.DUMMYFUNCTION("IMPORTRANGE(H28878,""IDENTITAS UNIT!D9"")"),"#N/A")</f>
        <v>#N/A</v>
      </c>
      <c r="H28878" s="4" t="str">
        <v/>
      </c>
      <c r="I28878" s="4" t="str">
        <v/>
      </c>
    </row>
    <row r="28879" spans="5:9" ht="16.5" hidden="1">
      <c r="E28879" s="4" t="str">
        <v/>
      </c>
      <c r="F28879" s="102" t="str">
        <f ca="1">IFERROR(__xludf.DUMMYFUNCTION("IMPORTRANGE(H28879,""IDENTITAS UNIT!D9"")"),"#N/A")</f>
        <v>#N/A</v>
      </c>
      <c r="H28879" s="4" t="str">
        <v/>
      </c>
      <c r="I28879" s="4" t="str">
        <v/>
      </c>
    </row>
    <row r="28880" spans="5:9" ht="16.5" hidden="1">
      <c r="E28880" s="4" t="str">
        <v/>
      </c>
      <c r="F28880" s="102" t="str">
        <f ca="1">IFERROR(__xludf.DUMMYFUNCTION("IMPORTRANGE(H28880,""IDENTITAS UNIT!D9"")"),"#N/A")</f>
        <v>#N/A</v>
      </c>
      <c r="H28880" s="4" t="str">
        <v/>
      </c>
      <c r="I28880" s="4" t="str">
        <v/>
      </c>
    </row>
    <row r="28881" spans="5:9" ht="16.5" hidden="1">
      <c r="E28881" s="4" t="str">
        <v/>
      </c>
      <c r="F28881" s="102" t="str">
        <f ca="1">IFERROR(__xludf.DUMMYFUNCTION("IMPORTRANGE(H28881,""IDENTITAS UNIT!D9"")"),"#N/A")</f>
        <v>#N/A</v>
      </c>
      <c r="H28881" s="4" t="str">
        <v/>
      </c>
      <c r="I28881" s="4" t="str">
        <v/>
      </c>
    </row>
    <row r="28882" spans="5:9" ht="16.5" hidden="1">
      <c r="E28882" s="4" t="str">
        <v/>
      </c>
      <c r="F28882" s="102" t="str">
        <f ca="1">IFERROR(__xludf.DUMMYFUNCTION("IMPORTRANGE(H28882,""IDENTITAS UNIT!D9"")"),"#N/A")</f>
        <v>#N/A</v>
      </c>
      <c r="H28882" s="4" t="str">
        <v/>
      </c>
      <c r="I28882" s="4" t="str">
        <v/>
      </c>
    </row>
    <row r="28883" spans="5:9" ht="16.5" hidden="1">
      <c r="E28883" s="4" t="str">
        <v/>
      </c>
      <c r="F28883" s="102" t="str">
        <f ca="1">IFERROR(__xludf.DUMMYFUNCTION("IMPORTRANGE(H28883,""IDENTITAS UNIT!D9"")"),"#N/A")</f>
        <v>#N/A</v>
      </c>
      <c r="H28883" s="4" t="str">
        <v/>
      </c>
      <c r="I28883" s="4" t="str">
        <v/>
      </c>
    </row>
    <row r="28884" spans="5:9" ht="16.5" hidden="1">
      <c r="E28884" s="4" t="str">
        <v/>
      </c>
      <c r="F28884" s="102" t="str">
        <f ca="1">IFERROR(__xludf.DUMMYFUNCTION("IMPORTRANGE(H28884,""IDENTITAS UNIT!D9"")"),"#N/A")</f>
        <v>#N/A</v>
      </c>
      <c r="H28884" s="4" t="str">
        <v/>
      </c>
      <c r="I28884" s="4" t="str">
        <v/>
      </c>
    </row>
    <row r="28885" spans="5:9" ht="16.5" hidden="1">
      <c r="E28885" s="4" t="str">
        <v/>
      </c>
      <c r="F28885" s="102" t="str">
        <f ca="1">IFERROR(__xludf.DUMMYFUNCTION("IMPORTRANGE(H28885,""IDENTITAS UNIT!D9"")"),"#N/A")</f>
        <v>#N/A</v>
      </c>
      <c r="H28885" s="4" t="str">
        <v/>
      </c>
      <c r="I28885" s="4" t="str">
        <v/>
      </c>
    </row>
    <row r="28886" spans="5:9" ht="16.5" hidden="1">
      <c r="E28886" s="4" t="str">
        <v/>
      </c>
      <c r="F28886" s="102" t="str">
        <f ca="1">IFERROR(__xludf.DUMMYFUNCTION("IMPORTRANGE(H28886,""IDENTITAS UNIT!D9"")"),"#N/A")</f>
        <v>#N/A</v>
      </c>
      <c r="H28886" s="4" t="str">
        <v/>
      </c>
      <c r="I28886" s="4" t="str">
        <v/>
      </c>
    </row>
    <row r="28887" spans="5:9" ht="16.5" hidden="1">
      <c r="E28887" s="4" t="str">
        <v/>
      </c>
      <c r="F28887" s="102" t="str">
        <f ca="1">IFERROR(__xludf.DUMMYFUNCTION("IMPORTRANGE(H28887,""IDENTITAS UNIT!D9"")"),"#N/A")</f>
        <v>#N/A</v>
      </c>
      <c r="H28887" s="4" t="str">
        <v/>
      </c>
      <c r="I28887" s="4" t="str">
        <v/>
      </c>
    </row>
    <row r="28888" spans="5:9" ht="16.5" hidden="1">
      <c r="E28888" s="4" t="str">
        <v/>
      </c>
      <c r="F28888" s="102" t="str">
        <f ca="1">IFERROR(__xludf.DUMMYFUNCTION("IMPORTRANGE(H28888,""IDENTITAS UNIT!D9"")"),"#N/A")</f>
        <v>#N/A</v>
      </c>
      <c r="H28888" s="4" t="str">
        <v/>
      </c>
      <c r="I28888" s="4" t="str">
        <v/>
      </c>
    </row>
    <row r="28889" spans="5:9" ht="16.5" hidden="1">
      <c r="E28889" s="4" t="str">
        <v/>
      </c>
      <c r="F28889" s="102" t="str">
        <f ca="1">IFERROR(__xludf.DUMMYFUNCTION("IMPORTRANGE(H28889,""IDENTITAS UNIT!D9"")"),"#N/A")</f>
        <v>#N/A</v>
      </c>
      <c r="H28889" s="4" t="str">
        <v/>
      </c>
      <c r="I28889" s="4" t="str">
        <v/>
      </c>
    </row>
    <row r="28890" spans="5:9" ht="16.5" hidden="1">
      <c r="E28890" s="4" t="str">
        <v/>
      </c>
      <c r="F28890" s="102" t="str">
        <f ca="1">IFERROR(__xludf.DUMMYFUNCTION("IMPORTRANGE(H28890,""IDENTITAS UNIT!D9"")"),"#N/A")</f>
        <v>#N/A</v>
      </c>
      <c r="H28890" s="4" t="str">
        <v/>
      </c>
      <c r="I28890" s="4" t="str">
        <v/>
      </c>
    </row>
    <row r="28891" spans="5:9" ht="16.5" hidden="1">
      <c r="E28891" s="4" t="str">
        <v/>
      </c>
      <c r="F28891" s="102" t="str">
        <f ca="1">IFERROR(__xludf.DUMMYFUNCTION("IMPORTRANGE(H28891,""IDENTITAS UNIT!D9"")"),"#N/A")</f>
        <v>#N/A</v>
      </c>
      <c r="H28891" s="4" t="str">
        <v/>
      </c>
      <c r="I28891" s="4" t="str">
        <v/>
      </c>
    </row>
    <row r="28892" spans="5:9" ht="16.5" hidden="1">
      <c r="E28892" s="4" t="str">
        <v/>
      </c>
      <c r="F28892" s="102" t="str">
        <f ca="1">IFERROR(__xludf.DUMMYFUNCTION("IMPORTRANGE(H28892,""IDENTITAS UNIT!D9"")"),"#N/A")</f>
        <v>#N/A</v>
      </c>
      <c r="H28892" s="4" t="str">
        <v/>
      </c>
      <c r="I28892" s="4" t="str">
        <v/>
      </c>
    </row>
    <row r="28893" spans="5:9" ht="16.5" hidden="1">
      <c r="E28893" s="4" t="str">
        <v/>
      </c>
      <c r="F28893" s="102" t="str">
        <f ca="1">IFERROR(__xludf.DUMMYFUNCTION("IMPORTRANGE(H28893,""IDENTITAS UNIT!D9"")"),"#N/A")</f>
        <v>#N/A</v>
      </c>
      <c r="H28893" s="4" t="str">
        <v/>
      </c>
      <c r="I28893" s="4" t="str">
        <v/>
      </c>
    </row>
    <row r="28894" spans="5:9" ht="16.5" hidden="1">
      <c r="E28894" s="4" t="str">
        <v/>
      </c>
      <c r="F28894" s="102" t="str">
        <f ca="1">IFERROR(__xludf.DUMMYFUNCTION("IMPORTRANGE(H28894,""IDENTITAS UNIT!D9"")"),"#N/A")</f>
        <v>#N/A</v>
      </c>
      <c r="H28894" s="4" t="str">
        <v/>
      </c>
      <c r="I28894" s="4" t="str">
        <v/>
      </c>
    </row>
    <row r="28895" spans="5:9" ht="16.5" hidden="1">
      <c r="E28895" s="4" t="str">
        <v/>
      </c>
      <c r="F28895" s="102" t="str">
        <f ca="1">IFERROR(__xludf.DUMMYFUNCTION("IMPORTRANGE(H28895,""IDENTITAS UNIT!D9"")"),"#N/A")</f>
        <v>#N/A</v>
      </c>
      <c r="H28895" s="4" t="str">
        <v/>
      </c>
      <c r="I28895" s="4" t="str">
        <v/>
      </c>
    </row>
    <row r="28896" spans="5:9" ht="16.5" hidden="1">
      <c r="E28896" s="4" t="str">
        <v/>
      </c>
      <c r="F28896" s="102" t="str">
        <f ca="1">IFERROR(__xludf.DUMMYFUNCTION("IMPORTRANGE(H28896,""IDENTITAS UNIT!D9"")"),"#N/A")</f>
        <v>#N/A</v>
      </c>
      <c r="H28896" s="4" t="str">
        <v/>
      </c>
      <c r="I28896" s="4" t="str">
        <v/>
      </c>
    </row>
    <row r="28897" spans="5:9" ht="16.5" hidden="1">
      <c r="E28897" s="4" t="str">
        <v/>
      </c>
      <c r="F28897" s="102" t="str">
        <f ca="1">IFERROR(__xludf.DUMMYFUNCTION("IMPORTRANGE(H28897,""IDENTITAS UNIT!D9"")"),"#N/A")</f>
        <v>#N/A</v>
      </c>
      <c r="H28897" s="4" t="str">
        <v/>
      </c>
      <c r="I28897" s="4" t="str">
        <v/>
      </c>
    </row>
    <row r="28898" spans="5:9" ht="16.5" hidden="1">
      <c r="E28898" s="4" t="str">
        <v/>
      </c>
      <c r="F28898" s="102" t="str">
        <f ca="1">IFERROR(__xludf.DUMMYFUNCTION("IMPORTRANGE(H28898,""IDENTITAS UNIT!D9"")"),"#N/A")</f>
        <v>#N/A</v>
      </c>
      <c r="H28898" s="4" t="str">
        <v/>
      </c>
      <c r="I28898" s="4" t="str">
        <v/>
      </c>
    </row>
    <row r="28899" spans="5:9" ht="16.5" hidden="1">
      <c r="E28899" s="4" t="str">
        <v/>
      </c>
      <c r="F28899" s="102" t="str">
        <f ca="1">IFERROR(__xludf.DUMMYFUNCTION("IMPORTRANGE(H28899,""IDENTITAS UNIT!D9"")"),"#N/A")</f>
        <v>#N/A</v>
      </c>
      <c r="H28899" s="4" t="str">
        <v/>
      </c>
      <c r="I28899" s="4" t="str">
        <v/>
      </c>
    </row>
    <row r="28900" spans="5:9" ht="16.5" hidden="1">
      <c r="E28900" s="4" t="str">
        <v/>
      </c>
      <c r="F28900" s="102" t="str">
        <f ca="1">IFERROR(__xludf.DUMMYFUNCTION("IMPORTRANGE(H28900,""IDENTITAS UNIT!D9"")"),"#N/A")</f>
        <v>#N/A</v>
      </c>
      <c r="H28900" s="4" t="str">
        <v/>
      </c>
      <c r="I28900" s="4" t="str">
        <v/>
      </c>
    </row>
    <row r="28901" spans="5:9" ht="16.5" hidden="1">
      <c r="E28901" s="4" t="str">
        <v/>
      </c>
      <c r="F28901" s="102" t="str">
        <f ca="1">IFERROR(__xludf.DUMMYFUNCTION("IMPORTRANGE(H28901,""IDENTITAS UNIT!D9"")"),"#N/A")</f>
        <v>#N/A</v>
      </c>
      <c r="H28901" s="4" t="str">
        <v/>
      </c>
      <c r="I28901" s="4" t="str">
        <v/>
      </c>
    </row>
    <row r="28902" spans="5:9" ht="16.5" hidden="1">
      <c r="E28902" s="4" t="str">
        <v/>
      </c>
      <c r="F28902" s="102" t="str">
        <f ca="1">IFERROR(__xludf.DUMMYFUNCTION("IMPORTRANGE(H28902,""IDENTITAS UNIT!D9"")"),"#N/A")</f>
        <v>#N/A</v>
      </c>
      <c r="H28902" s="4" t="str">
        <v/>
      </c>
      <c r="I28902" s="4" t="str">
        <v/>
      </c>
    </row>
    <row r="28903" spans="5:9" ht="16.5" hidden="1">
      <c r="E28903" s="4" t="str">
        <v/>
      </c>
      <c r="F28903" s="102" t="str">
        <f ca="1">IFERROR(__xludf.DUMMYFUNCTION("IMPORTRANGE(H28903,""IDENTITAS UNIT!D9"")"),"#N/A")</f>
        <v>#N/A</v>
      </c>
      <c r="H28903" s="4" t="str">
        <v/>
      </c>
      <c r="I28903" s="4" t="str">
        <v/>
      </c>
    </row>
    <row r="28904" spans="5:9" ht="16.5" hidden="1">
      <c r="E28904" s="4" t="str">
        <v/>
      </c>
      <c r="F28904" s="102" t="str">
        <f ca="1">IFERROR(__xludf.DUMMYFUNCTION("IMPORTRANGE(H28904,""IDENTITAS UNIT!D9"")"),"#N/A")</f>
        <v>#N/A</v>
      </c>
      <c r="H28904" s="4" t="str">
        <v/>
      </c>
      <c r="I28904" s="4" t="str">
        <v/>
      </c>
    </row>
    <row r="28905" spans="5:9" ht="16.5" hidden="1">
      <c r="E28905" s="4" t="str">
        <v/>
      </c>
      <c r="F28905" s="102" t="str">
        <f ca="1">IFERROR(__xludf.DUMMYFUNCTION("IMPORTRANGE(H28905,""IDENTITAS UNIT!D9"")"),"#N/A")</f>
        <v>#N/A</v>
      </c>
      <c r="H28905" s="4" t="str">
        <v/>
      </c>
      <c r="I28905" s="4" t="str">
        <v/>
      </c>
    </row>
    <row r="28906" spans="5:9" ht="16.5" hidden="1">
      <c r="E28906" s="4" t="str">
        <v/>
      </c>
      <c r="F28906" s="102" t="str">
        <f ca="1">IFERROR(__xludf.DUMMYFUNCTION("IMPORTRANGE(H28906,""IDENTITAS UNIT!D9"")"),"#N/A")</f>
        <v>#N/A</v>
      </c>
      <c r="H28906" s="4" t="str">
        <v/>
      </c>
      <c r="I28906" s="4" t="str">
        <v/>
      </c>
    </row>
    <row r="28907" spans="5:9" ht="16.5" hidden="1">
      <c r="E28907" s="4" t="str">
        <v/>
      </c>
      <c r="F28907" s="102" t="str">
        <f ca="1">IFERROR(__xludf.DUMMYFUNCTION("IMPORTRANGE(H28907,""IDENTITAS UNIT!D9"")"),"#N/A")</f>
        <v>#N/A</v>
      </c>
      <c r="H28907" s="4" t="str">
        <v/>
      </c>
      <c r="I28907" s="4" t="str">
        <v/>
      </c>
    </row>
    <row r="28908" spans="5:9" ht="16.5" hidden="1">
      <c r="E28908" s="4" t="str">
        <v/>
      </c>
      <c r="F28908" s="102" t="str">
        <f ca="1">IFERROR(__xludf.DUMMYFUNCTION("IMPORTRANGE(H28908,""IDENTITAS UNIT!D9"")"),"#N/A")</f>
        <v>#N/A</v>
      </c>
      <c r="H28908" s="4" t="str">
        <v/>
      </c>
      <c r="I28908" s="4" t="str">
        <v/>
      </c>
    </row>
    <row r="28909" spans="5:9" ht="16.5" hidden="1">
      <c r="E28909" s="4" t="str">
        <v/>
      </c>
      <c r="F28909" s="102" t="str">
        <f ca="1">IFERROR(__xludf.DUMMYFUNCTION("IMPORTRANGE(H28909,""IDENTITAS UNIT!D9"")"),"#N/A")</f>
        <v>#N/A</v>
      </c>
      <c r="H28909" s="4" t="str">
        <v/>
      </c>
      <c r="I28909" s="4" t="str">
        <v/>
      </c>
    </row>
    <row r="28910" spans="5:9" ht="16.5" hidden="1">
      <c r="E28910" s="4" t="str">
        <v/>
      </c>
      <c r="F28910" s="102" t="str">
        <f ca="1">IFERROR(__xludf.DUMMYFUNCTION("IMPORTRANGE(H28910,""IDENTITAS UNIT!D9"")"),"#N/A")</f>
        <v>#N/A</v>
      </c>
      <c r="H28910" s="4" t="str">
        <v/>
      </c>
      <c r="I28910" s="4" t="str">
        <v/>
      </c>
    </row>
    <row r="28911" spans="5:9" ht="16.5" hidden="1">
      <c r="E28911" s="4" t="str">
        <v/>
      </c>
      <c r="F28911" s="102" t="str">
        <f ca="1">IFERROR(__xludf.DUMMYFUNCTION("IMPORTRANGE(H28911,""IDENTITAS UNIT!D9"")"),"#N/A")</f>
        <v>#N/A</v>
      </c>
      <c r="H28911" s="4" t="str">
        <v/>
      </c>
      <c r="I28911" s="4" t="str">
        <v/>
      </c>
    </row>
    <row r="28912" spans="5:9" ht="16.5" hidden="1">
      <c r="E28912" s="4" t="str">
        <v/>
      </c>
      <c r="F28912" s="102" t="str">
        <f ca="1">IFERROR(__xludf.DUMMYFUNCTION("IMPORTRANGE(H28912,""IDENTITAS UNIT!D9"")"),"#N/A")</f>
        <v>#N/A</v>
      </c>
      <c r="H28912" s="4" t="str">
        <v/>
      </c>
      <c r="I28912" s="4" t="str">
        <v/>
      </c>
    </row>
    <row r="28913" spans="5:9" ht="16.5" hidden="1">
      <c r="E28913" s="4" t="str">
        <v/>
      </c>
      <c r="F28913" s="102" t="str">
        <f ca="1">IFERROR(__xludf.DUMMYFUNCTION("IMPORTRANGE(H28913,""IDENTITAS UNIT!D9"")"),"#N/A")</f>
        <v>#N/A</v>
      </c>
      <c r="H28913" s="4" t="str">
        <v/>
      </c>
      <c r="I28913" s="4" t="str">
        <v/>
      </c>
    </row>
    <row r="28914" spans="5:9" ht="16.5" hidden="1">
      <c r="E28914" s="4" t="str">
        <v/>
      </c>
      <c r="F28914" s="102" t="str">
        <f ca="1">IFERROR(__xludf.DUMMYFUNCTION("IMPORTRANGE(H28914,""IDENTITAS UNIT!D9"")"),"#N/A")</f>
        <v>#N/A</v>
      </c>
      <c r="H28914" s="4" t="str">
        <v/>
      </c>
      <c r="I28914" s="4" t="str">
        <v/>
      </c>
    </row>
    <row r="28915" spans="5:9" ht="16.5" hidden="1">
      <c r="E28915" s="4" t="str">
        <v/>
      </c>
      <c r="F28915" s="102" t="str">
        <f ca="1">IFERROR(__xludf.DUMMYFUNCTION("IMPORTRANGE(H28915,""IDENTITAS UNIT!D9"")"),"#N/A")</f>
        <v>#N/A</v>
      </c>
      <c r="H28915" s="4" t="str">
        <v/>
      </c>
      <c r="I28915" s="4" t="str">
        <v/>
      </c>
    </row>
    <row r="28916" spans="5:9" ht="16.5" hidden="1">
      <c r="E28916" s="4" t="str">
        <v/>
      </c>
      <c r="F28916" s="102" t="str">
        <f ca="1">IFERROR(__xludf.DUMMYFUNCTION("IMPORTRANGE(H28916,""IDENTITAS UNIT!D9"")"),"#N/A")</f>
        <v>#N/A</v>
      </c>
      <c r="H28916" s="4" t="str">
        <v/>
      </c>
      <c r="I28916" s="4" t="str">
        <v/>
      </c>
    </row>
    <row r="28917" spans="5:9" ht="16.5" hidden="1">
      <c r="E28917" s="4" t="str">
        <v/>
      </c>
      <c r="F28917" s="102" t="str">
        <f ca="1">IFERROR(__xludf.DUMMYFUNCTION("IMPORTRANGE(H28917,""IDENTITAS UNIT!D9"")"),"#N/A")</f>
        <v>#N/A</v>
      </c>
      <c r="H28917" s="4" t="str">
        <v/>
      </c>
      <c r="I28917" s="4" t="str">
        <v/>
      </c>
    </row>
    <row r="28918" spans="5:9" ht="16.5" hidden="1">
      <c r="E28918" s="4" t="str">
        <v/>
      </c>
      <c r="F28918" s="102" t="str">
        <f ca="1">IFERROR(__xludf.DUMMYFUNCTION("IMPORTRANGE(H28918,""IDENTITAS UNIT!D9"")"),"#N/A")</f>
        <v>#N/A</v>
      </c>
      <c r="H28918" s="4" t="str">
        <v/>
      </c>
      <c r="I28918" s="4" t="str">
        <v/>
      </c>
    </row>
    <row r="28919" spans="5:9" ht="16.5" hidden="1">
      <c r="E28919" s="4" t="str">
        <v/>
      </c>
      <c r="F28919" s="102" t="str">
        <f ca="1">IFERROR(__xludf.DUMMYFUNCTION("IMPORTRANGE(H28919,""IDENTITAS UNIT!D9"")"),"#N/A")</f>
        <v>#N/A</v>
      </c>
      <c r="H28919" s="4" t="str">
        <v/>
      </c>
      <c r="I28919" s="4" t="str">
        <v/>
      </c>
    </row>
    <row r="28920" spans="5:9" ht="16.5" hidden="1">
      <c r="E28920" s="4" t="str">
        <v/>
      </c>
      <c r="F28920" s="102" t="str">
        <f ca="1">IFERROR(__xludf.DUMMYFUNCTION("IMPORTRANGE(H28920,""IDENTITAS UNIT!D9"")"),"#N/A")</f>
        <v>#N/A</v>
      </c>
      <c r="H28920" s="4" t="str">
        <v/>
      </c>
      <c r="I28920" s="4" t="str">
        <v/>
      </c>
    </row>
    <row r="28921" spans="5:9" ht="16.5" hidden="1">
      <c r="E28921" s="4" t="str">
        <v/>
      </c>
      <c r="F28921" s="102" t="str">
        <f ca="1">IFERROR(__xludf.DUMMYFUNCTION("IMPORTRANGE(H28921,""IDENTITAS UNIT!D9"")"),"#N/A")</f>
        <v>#N/A</v>
      </c>
      <c r="H28921" s="4" t="str">
        <v/>
      </c>
      <c r="I28921" s="4" t="str">
        <v/>
      </c>
    </row>
    <row r="28922" spans="5:9" ht="16.5" hidden="1">
      <c r="E28922" s="4" t="str">
        <v/>
      </c>
      <c r="F28922" s="102" t="str">
        <f ca="1">IFERROR(__xludf.DUMMYFUNCTION("IMPORTRANGE(H28922,""IDENTITAS UNIT!D9"")"),"#N/A")</f>
        <v>#N/A</v>
      </c>
      <c r="H28922" s="4" t="str">
        <v/>
      </c>
      <c r="I28922" s="4" t="str">
        <v/>
      </c>
    </row>
    <row r="28923" spans="5:9" ht="16.5" hidden="1">
      <c r="E28923" s="4" t="str">
        <v/>
      </c>
      <c r="F28923" s="102" t="str">
        <f ca="1">IFERROR(__xludf.DUMMYFUNCTION("IMPORTRANGE(H28923,""IDENTITAS UNIT!D9"")"),"#N/A")</f>
        <v>#N/A</v>
      </c>
      <c r="H28923" s="4" t="str">
        <v/>
      </c>
      <c r="I28923" s="4" t="str">
        <v/>
      </c>
    </row>
    <row r="28924" spans="5:9" ht="16.5" hidden="1">
      <c r="E28924" s="4" t="str">
        <v/>
      </c>
      <c r="F28924" s="102" t="str">
        <f ca="1">IFERROR(__xludf.DUMMYFUNCTION("IMPORTRANGE(H28924,""IDENTITAS UNIT!D9"")"),"#N/A")</f>
        <v>#N/A</v>
      </c>
      <c r="H28924" s="4" t="str">
        <v/>
      </c>
      <c r="I28924" s="4" t="str">
        <v/>
      </c>
    </row>
    <row r="28925" spans="5:9" ht="16.5" hidden="1">
      <c r="E28925" s="4" t="str">
        <v/>
      </c>
      <c r="F28925" s="102" t="str">
        <f ca="1">IFERROR(__xludf.DUMMYFUNCTION("IMPORTRANGE(H28925,""IDENTITAS UNIT!D9"")"),"#N/A")</f>
        <v>#N/A</v>
      </c>
      <c r="H28925" s="4" t="str">
        <v/>
      </c>
      <c r="I28925" s="4" t="str">
        <v/>
      </c>
    </row>
    <row r="28926" spans="5:9" ht="16.5" hidden="1">
      <c r="E28926" s="4" t="str">
        <v/>
      </c>
      <c r="F28926" s="102" t="str">
        <f ca="1">IFERROR(__xludf.DUMMYFUNCTION("IMPORTRANGE(H28926,""IDENTITAS UNIT!D9"")"),"#N/A")</f>
        <v>#N/A</v>
      </c>
      <c r="H28926" s="4" t="str">
        <v/>
      </c>
      <c r="I28926" s="4" t="str">
        <v/>
      </c>
    </row>
    <row r="28927" spans="5:9" ht="16.5" hidden="1">
      <c r="E28927" s="4" t="str">
        <v/>
      </c>
      <c r="F28927" s="102" t="str">
        <f ca="1">IFERROR(__xludf.DUMMYFUNCTION("IMPORTRANGE(H28927,""IDENTITAS UNIT!D9"")"),"#N/A")</f>
        <v>#N/A</v>
      </c>
      <c r="H28927" s="4" t="str">
        <v/>
      </c>
      <c r="I28927" s="4" t="str">
        <v/>
      </c>
    </row>
    <row r="28928" spans="5:9" ht="16.5" hidden="1">
      <c r="E28928" s="4" t="str">
        <v/>
      </c>
      <c r="F28928" s="102" t="str">
        <f ca="1">IFERROR(__xludf.DUMMYFUNCTION("IMPORTRANGE(H28928,""IDENTITAS UNIT!D9"")"),"#N/A")</f>
        <v>#N/A</v>
      </c>
      <c r="H28928" s="4" t="str">
        <v/>
      </c>
      <c r="I28928" s="4" t="str">
        <v/>
      </c>
    </row>
    <row r="28929" spans="5:9" ht="16.5" hidden="1">
      <c r="E28929" s="4" t="str">
        <v/>
      </c>
      <c r="F28929" s="102" t="str">
        <f ca="1">IFERROR(__xludf.DUMMYFUNCTION("IMPORTRANGE(H28929,""IDENTITAS UNIT!D9"")"),"#N/A")</f>
        <v>#N/A</v>
      </c>
      <c r="H28929" s="4" t="str">
        <v/>
      </c>
      <c r="I28929" s="4" t="str">
        <v/>
      </c>
    </row>
    <row r="28930" spans="5:9" ht="16.5" hidden="1">
      <c r="E28930" s="4" t="str">
        <v/>
      </c>
      <c r="F28930" s="102" t="str">
        <f ca="1">IFERROR(__xludf.DUMMYFUNCTION("IMPORTRANGE(H28930,""IDENTITAS UNIT!D9"")"),"#N/A")</f>
        <v>#N/A</v>
      </c>
      <c r="H28930" s="4" t="str">
        <v/>
      </c>
      <c r="I28930" s="4" t="str">
        <v/>
      </c>
    </row>
    <row r="28931" spans="5:9" ht="16.5" hidden="1">
      <c r="E28931" s="4" t="str">
        <v/>
      </c>
      <c r="F28931" s="102" t="str">
        <f ca="1">IFERROR(__xludf.DUMMYFUNCTION("IMPORTRANGE(H28931,""IDENTITAS UNIT!D9"")"),"#N/A")</f>
        <v>#N/A</v>
      </c>
      <c r="H28931" s="4" t="str">
        <v/>
      </c>
      <c r="I28931" s="4" t="str">
        <v/>
      </c>
    </row>
    <row r="28932" spans="5:9" ht="16.5" hidden="1">
      <c r="E28932" s="4" t="str">
        <v/>
      </c>
      <c r="F28932" s="102" t="str">
        <f ca="1">IFERROR(__xludf.DUMMYFUNCTION("IMPORTRANGE(H28932,""IDENTITAS UNIT!D9"")"),"#N/A")</f>
        <v>#N/A</v>
      </c>
      <c r="H28932" s="4" t="str">
        <v/>
      </c>
      <c r="I28932" s="4" t="str">
        <v/>
      </c>
    </row>
    <row r="28933" spans="5:9" ht="16.5" hidden="1">
      <c r="E28933" s="4" t="str">
        <v/>
      </c>
      <c r="F28933" s="102" t="str">
        <f ca="1">IFERROR(__xludf.DUMMYFUNCTION("IMPORTRANGE(H28933,""IDENTITAS UNIT!D9"")"),"#N/A")</f>
        <v>#N/A</v>
      </c>
      <c r="H28933" s="4" t="str">
        <v/>
      </c>
      <c r="I28933" s="4" t="str">
        <v/>
      </c>
    </row>
    <row r="28934" spans="5:9" ht="16.5" hidden="1">
      <c r="E28934" s="4" t="str">
        <v/>
      </c>
      <c r="F28934" s="102" t="str">
        <f ca="1">IFERROR(__xludf.DUMMYFUNCTION("IMPORTRANGE(H28934,""IDENTITAS UNIT!D9"")"),"#N/A")</f>
        <v>#N/A</v>
      </c>
      <c r="H28934" s="4" t="str">
        <v/>
      </c>
      <c r="I28934" s="4" t="str">
        <v/>
      </c>
    </row>
    <row r="28935" spans="5:9" ht="16.5" hidden="1">
      <c r="E28935" s="4" t="str">
        <v/>
      </c>
      <c r="F28935" s="102" t="str">
        <f ca="1">IFERROR(__xludf.DUMMYFUNCTION("IMPORTRANGE(H28935,""IDENTITAS UNIT!D9"")"),"#N/A")</f>
        <v>#N/A</v>
      </c>
      <c r="H28935" s="4" t="str">
        <v/>
      </c>
      <c r="I28935" s="4" t="str">
        <v/>
      </c>
    </row>
    <row r="28936" spans="5:9" ht="16.5" hidden="1">
      <c r="E28936" s="4" t="str">
        <v/>
      </c>
      <c r="F28936" s="102" t="str">
        <f ca="1">IFERROR(__xludf.DUMMYFUNCTION("IMPORTRANGE(H28936,""IDENTITAS UNIT!D9"")"),"#N/A")</f>
        <v>#N/A</v>
      </c>
      <c r="H28936" s="4" t="str">
        <v/>
      </c>
      <c r="I28936" s="4" t="str">
        <v/>
      </c>
    </row>
    <row r="28937" spans="5:9" ht="16.5" hidden="1">
      <c r="E28937" s="4" t="str">
        <v/>
      </c>
      <c r="F28937" s="102" t="str">
        <f ca="1">IFERROR(__xludf.DUMMYFUNCTION("IMPORTRANGE(H28937,""IDENTITAS UNIT!D9"")"),"#N/A")</f>
        <v>#N/A</v>
      </c>
      <c r="H28937" s="4" t="str">
        <v/>
      </c>
      <c r="I28937" s="4" t="str">
        <v/>
      </c>
    </row>
    <row r="28938" spans="5:9" ht="16.5" hidden="1">
      <c r="E28938" s="4" t="str">
        <v/>
      </c>
      <c r="F28938" s="102" t="str">
        <f ca="1">IFERROR(__xludf.DUMMYFUNCTION("IMPORTRANGE(H28938,""IDENTITAS UNIT!D9"")"),"#N/A")</f>
        <v>#N/A</v>
      </c>
      <c r="H28938" s="4" t="str">
        <v/>
      </c>
      <c r="I28938" s="4" t="str">
        <v/>
      </c>
    </row>
    <row r="28939" spans="5:9" ht="16.5" hidden="1">
      <c r="E28939" s="4" t="str">
        <v/>
      </c>
      <c r="F28939" s="102" t="str">
        <f ca="1">IFERROR(__xludf.DUMMYFUNCTION("IMPORTRANGE(H28939,""IDENTITAS UNIT!D9"")"),"#N/A")</f>
        <v>#N/A</v>
      </c>
      <c r="H28939" s="4" t="str">
        <v/>
      </c>
      <c r="I28939" s="4" t="str">
        <v/>
      </c>
    </row>
    <row r="28940" spans="5:9" ht="16.5" hidden="1">
      <c r="E28940" s="4" t="str">
        <v/>
      </c>
      <c r="F28940" s="102" t="str">
        <f ca="1">IFERROR(__xludf.DUMMYFUNCTION("IMPORTRANGE(H28940,""IDENTITAS UNIT!D9"")"),"#N/A")</f>
        <v>#N/A</v>
      </c>
      <c r="H28940" s="4" t="str">
        <v/>
      </c>
      <c r="I28940" s="4" t="str">
        <v/>
      </c>
    </row>
    <row r="28941" spans="5:9" ht="16.5" hidden="1">
      <c r="E28941" s="4" t="str">
        <v/>
      </c>
      <c r="F28941" s="102" t="str">
        <f ca="1">IFERROR(__xludf.DUMMYFUNCTION("IMPORTRANGE(H28941,""IDENTITAS UNIT!D9"")"),"#N/A")</f>
        <v>#N/A</v>
      </c>
      <c r="H28941" s="4" t="str">
        <v/>
      </c>
      <c r="I28941" s="4" t="str">
        <v/>
      </c>
    </row>
    <row r="28942" spans="5:9" ht="16.5" hidden="1">
      <c r="E28942" s="4" t="str">
        <v/>
      </c>
      <c r="F28942" s="102" t="str">
        <f ca="1">IFERROR(__xludf.DUMMYFUNCTION("IMPORTRANGE(H28942,""IDENTITAS UNIT!D9"")"),"#N/A")</f>
        <v>#N/A</v>
      </c>
      <c r="H28942" s="4" t="str">
        <v/>
      </c>
      <c r="I28942" s="4" t="str">
        <v/>
      </c>
    </row>
    <row r="28943" spans="5:9" ht="16.5" hidden="1">
      <c r="E28943" s="4" t="str">
        <v/>
      </c>
      <c r="F28943" s="102" t="str">
        <f ca="1">IFERROR(__xludf.DUMMYFUNCTION("IMPORTRANGE(H28943,""IDENTITAS UNIT!D9"")"),"#N/A")</f>
        <v>#N/A</v>
      </c>
      <c r="H28943" s="4" t="str">
        <v/>
      </c>
      <c r="I28943" s="4" t="str">
        <v/>
      </c>
    </row>
    <row r="28944" spans="5:9" ht="16.5" hidden="1">
      <c r="E28944" s="4" t="str">
        <v/>
      </c>
      <c r="F28944" s="102" t="str">
        <f ca="1">IFERROR(__xludf.DUMMYFUNCTION("IMPORTRANGE(H28944,""IDENTITAS UNIT!D9"")"),"#N/A")</f>
        <v>#N/A</v>
      </c>
      <c r="H28944" s="4" t="str">
        <v/>
      </c>
      <c r="I28944" s="4" t="str">
        <v/>
      </c>
    </row>
    <row r="28945" spans="5:9" ht="16.5" hidden="1">
      <c r="E28945" s="4" t="str">
        <v/>
      </c>
      <c r="F28945" s="102" t="str">
        <f ca="1">IFERROR(__xludf.DUMMYFUNCTION("IMPORTRANGE(H28945,""IDENTITAS UNIT!D9"")"),"#N/A")</f>
        <v>#N/A</v>
      </c>
      <c r="H28945" s="4" t="str">
        <v/>
      </c>
      <c r="I28945" s="4" t="str">
        <v/>
      </c>
    </row>
    <row r="28946" spans="5:9" ht="16.5" hidden="1">
      <c r="E28946" s="4" t="str">
        <v/>
      </c>
      <c r="F28946" s="102" t="str">
        <f ca="1">IFERROR(__xludf.DUMMYFUNCTION("IMPORTRANGE(H28946,""IDENTITAS UNIT!D9"")"),"#N/A")</f>
        <v>#N/A</v>
      </c>
      <c r="H28946" s="4" t="str">
        <v/>
      </c>
      <c r="I28946" s="4" t="str">
        <v/>
      </c>
    </row>
    <row r="28947" spans="5:9" ht="16.5" hidden="1">
      <c r="E28947" s="4" t="str">
        <v/>
      </c>
      <c r="F28947" s="102" t="str">
        <f ca="1">IFERROR(__xludf.DUMMYFUNCTION("IMPORTRANGE(H28947,""IDENTITAS UNIT!D9"")"),"#N/A")</f>
        <v>#N/A</v>
      </c>
      <c r="H28947" s="4" t="str">
        <v/>
      </c>
      <c r="I28947" s="4" t="str">
        <v/>
      </c>
    </row>
    <row r="28948" spans="5:9" ht="16.5" hidden="1">
      <c r="E28948" s="4" t="str">
        <v/>
      </c>
      <c r="F28948" s="102" t="str">
        <f ca="1">IFERROR(__xludf.DUMMYFUNCTION("IMPORTRANGE(H28948,""IDENTITAS UNIT!D9"")"),"#N/A")</f>
        <v>#N/A</v>
      </c>
      <c r="H28948" s="4" t="str">
        <v/>
      </c>
      <c r="I28948" s="4" t="str">
        <v/>
      </c>
    </row>
    <row r="28949" spans="5:9" ht="16.5" hidden="1">
      <c r="E28949" s="4" t="str">
        <v/>
      </c>
      <c r="F28949" s="102" t="str">
        <f ca="1">IFERROR(__xludf.DUMMYFUNCTION("IMPORTRANGE(H28949,""IDENTITAS UNIT!D9"")"),"#N/A")</f>
        <v>#N/A</v>
      </c>
      <c r="H28949" s="4" t="str">
        <v/>
      </c>
      <c r="I28949" s="4" t="str">
        <v/>
      </c>
    </row>
    <row r="28950" spans="5:9" ht="16.5" hidden="1">
      <c r="E28950" s="4" t="str">
        <v/>
      </c>
      <c r="F28950" s="102" t="str">
        <f ca="1">IFERROR(__xludf.DUMMYFUNCTION("IMPORTRANGE(H28950,""IDENTITAS UNIT!D9"")"),"#N/A")</f>
        <v>#N/A</v>
      </c>
      <c r="H28950" s="4" t="str">
        <v/>
      </c>
      <c r="I28950" s="4" t="str">
        <v/>
      </c>
    </row>
    <row r="28951" spans="5:9" ht="16.5" hidden="1">
      <c r="E28951" s="4" t="str">
        <v/>
      </c>
      <c r="F28951" s="102" t="str">
        <f ca="1">IFERROR(__xludf.DUMMYFUNCTION("IMPORTRANGE(H28951,""IDENTITAS UNIT!D9"")"),"#N/A")</f>
        <v>#N/A</v>
      </c>
      <c r="H28951" s="4" t="str">
        <v/>
      </c>
      <c r="I28951" s="4" t="str">
        <v/>
      </c>
    </row>
    <row r="28952" spans="5:9" ht="16.5" hidden="1">
      <c r="E28952" s="4" t="str">
        <v/>
      </c>
      <c r="F28952" s="102" t="str">
        <f ca="1">IFERROR(__xludf.DUMMYFUNCTION("IMPORTRANGE(H28952,""IDENTITAS UNIT!D9"")"),"#N/A")</f>
        <v>#N/A</v>
      </c>
      <c r="H28952" s="4" t="str">
        <v/>
      </c>
      <c r="I28952" s="4" t="str">
        <v/>
      </c>
    </row>
    <row r="28953" spans="5:9" ht="16.5" hidden="1">
      <c r="E28953" s="4" t="str">
        <v/>
      </c>
      <c r="F28953" s="102" t="str">
        <f ca="1">IFERROR(__xludf.DUMMYFUNCTION("IMPORTRANGE(H28953,""IDENTITAS UNIT!D9"")"),"#N/A")</f>
        <v>#N/A</v>
      </c>
      <c r="H28953" s="4" t="str">
        <v/>
      </c>
      <c r="I28953" s="4" t="str">
        <v/>
      </c>
    </row>
    <row r="28954" spans="5:9" ht="16.5" hidden="1">
      <c r="E28954" s="4" t="str">
        <v/>
      </c>
      <c r="F28954" s="102" t="str">
        <f ca="1">IFERROR(__xludf.DUMMYFUNCTION("IMPORTRANGE(H28954,""IDENTITAS UNIT!D9"")"),"#N/A")</f>
        <v>#N/A</v>
      </c>
      <c r="H28954" s="4" t="str">
        <v/>
      </c>
      <c r="I28954" s="4" t="str">
        <v/>
      </c>
    </row>
    <row r="28955" spans="5:9" ht="16.5" hidden="1">
      <c r="E28955" s="4" t="str">
        <v/>
      </c>
      <c r="F28955" s="102" t="str">
        <f ca="1">IFERROR(__xludf.DUMMYFUNCTION("IMPORTRANGE(H28955,""IDENTITAS UNIT!D9"")"),"#N/A")</f>
        <v>#N/A</v>
      </c>
      <c r="H28955" s="4" t="str">
        <v/>
      </c>
      <c r="I28955" s="4" t="str">
        <v/>
      </c>
    </row>
    <row r="28956" spans="5:9" ht="16.5" hidden="1">
      <c r="E28956" s="4" t="str">
        <v/>
      </c>
      <c r="F28956" s="102" t="str">
        <f ca="1">IFERROR(__xludf.DUMMYFUNCTION("IMPORTRANGE(H28956,""IDENTITAS UNIT!D9"")"),"#N/A")</f>
        <v>#N/A</v>
      </c>
      <c r="H28956" s="4" t="str">
        <v/>
      </c>
      <c r="I28956" s="4" t="str">
        <v/>
      </c>
    </row>
    <row r="28957" spans="5:9" ht="16.5" hidden="1">
      <c r="E28957" s="4" t="str">
        <v/>
      </c>
      <c r="F28957" s="102" t="str">
        <f ca="1">IFERROR(__xludf.DUMMYFUNCTION("IMPORTRANGE(H28957,""IDENTITAS UNIT!D9"")"),"#N/A")</f>
        <v>#N/A</v>
      </c>
      <c r="H28957" s="4" t="str">
        <v/>
      </c>
      <c r="I28957" s="4" t="str">
        <v/>
      </c>
    </row>
    <row r="28958" spans="5:9" ht="16.5" hidden="1">
      <c r="E28958" s="4" t="str">
        <v/>
      </c>
      <c r="F28958" s="102" t="str">
        <f ca="1">IFERROR(__xludf.DUMMYFUNCTION("IMPORTRANGE(H28958,""IDENTITAS UNIT!D9"")"),"#N/A")</f>
        <v>#N/A</v>
      </c>
      <c r="H28958" s="4" t="str">
        <v/>
      </c>
      <c r="I28958" s="4" t="str">
        <v/>
      </c>
    </row>
    <row r="28959" spans="5:9" ht="16.5" hidden="1">
      <c r="E28959" s="4" t="str">
        <v/>
      </c>
      <c r="F28959" s="102" t="str">
        <f ca="1">IFERROR(__xludf.DUMMYFUNCTION("IMPORTRANGE(H28959,""IDENTITAS UNIT!D9"")"),"#N/A")</f>
        <v>#N/A</v>
      </c>
      <c r="H28959" s="4" t="str">
        <v/>
      </c>
      <c r="I28959" s="4" t="str">
        <v/>
      </c>
    </row>
    <row r="28960" spans="5:9" ht="16.5" hidden="1">
      <c r="E28960" s="4" t="str">
        <v/>
      </c>
      <c r="F28960" s="102" t="str">
        <f ca="1">IFERROR(__xludf.DUMMYFUNCTION("IMPORTRANGE(H28960,""IDENTITAS UNIT!D9"")"),"#N/A")</f>
        <v>#N/A</v>
      </c>
      <c r="H28960" s="4" t="str">
        <v/>
      </c>
      <c r="I28960" s="4" t="str">
        <v/>
      </c>
    </row>
    <row r="28961" spans="5:9" ht="16.5" hidden="1">
      <c r="E28961" s="4" t="str">
        <v/>
      </c>
      <c r="F28961" s="102" t="str">
        <f ca="1">IFERROR(__xludf.DUMMYFUNCTION("IMPORTRANGE(H28961,""IDENTITAS UNIT!D9"")"),"#N/A")</f>
        <v>#N/A</v>
      </c>
      <c r="H28961" s="4" t="str">
        <v/>
      </c>
      <c r="I28961" s="4" t="str">
        <v/>
      </c>
    </row>
    <row r="28962" spans="5:9" ht="16.5" hidden="1">
      <c r="E28962" s="4" t="str">
        <v/>
      </c>
      <c r="F28962" s="102" t="str">
        <f ca="1">IFERROR(__xludf.DUMMYFUNCTION("IMPORTRANGE(H28962,""IDENTITAS UNIT!D9"")"),"#N/A")</f>
        <v>#N/A</v>
      </c>
      <c r="H28962" s="4" t="str">
        <v/>
      </c>
      <c r="I28962" s="4" t="str">
        <v/>
      </c>
    </row>
    <row r="28963" spans="5:9" ht="16.5" hidden="1">
      <c r="E28963" s="4" t="str">
        <v/>
      </c>
      <c r="F28963" s="102" t="str">
        <f ca="1">IFERROR(__xludf.DUMMYFUNCTION("IMPORTRANGE(H28963,""IDENTITAS UNIT!D9"")"),"#N/A")</f>
        <v>#N/A</v>
      </c>
      <c r="H28963" s="4" t="str">
        <v/>
      </c>
      <c r="I28963" s="4" t="str">
        <v/>
      </c>
    </row>
    <row r="28964" spans="5:9" ht="16.5" hidden="1">
      <c r="E28964" s="4" t="str">
        <v/>
      </c>
      <c r="F28964" s="102" t="str">
        <f ca="1">IFERROR(__xludf.DUMMYFUNCTION("IMPORTRANGE(H28964,""IDENTITAS UNIT!D9"")"),"#N/A")</f>
        <v>#N/A</v>
      </c>
      <c r="H28964" s="4" t="str">
        <v/>
      </c>
      <c r="I28964" s="4" t="str">
        <v/>
      </c>
    </row>
    <row r="28965" spans="5:9" ht="16.5" hidden="1">
      <c r="E28965" s="4" t="str">
        <v/>
      </c>
      <c r="F28965" s="102" t="str">
        <f ca="1">IFERROR(__xludf.DUMMYFUNCTION("IMPORTRANGE(H28965,""IDENTITAS UNIT!D9"")"),"#N/A")</f>
        <v>#N/A</v>
      </c>
      <c r="H28965" s="4" t="str">
        <v/>
      </c>
      <c r="I28965" s="4" t="str">
        <v/>
      </c>
    </row>
    <row r="28966" spans="5:9" ht="16.5" hidden="1">
      <c r="E28966" s="4" t="str">
        <v/>
      </c>
      <c r="F28966" s="102" t="str">
        <f ca="1">IFERROR(__xludf.DUMMYFUNCTION("IMPORTRANGE(H28966,""IDENTITAS UNIT!D9"")"),"#N/A")</f>
        <v>#N/A</v>
      </c>
      <c r="H28966" s="4" t="str">
        <v/>
      </c>
      <c r="I28966" s="4" t="str">
        <v/>
      </c>
    </row>
    <row r="28967" spans="5:9" ht="16.5" hidden="1">
      <c r="E28967" s="4" t="str">
        <v/>
      </c>
      <c r="F28967" s="102" t="str">
        <f ca="1">IFERROR(__xludf.DUMMYFUNCTION("IMPORTRANGE(H28967,""IDENTITAS UNIT!D9"")"),"#N/A")</f>
        <v>#N/A</v>
      </c>
      <c r="H28967" s="4" t="str">
        <v/>
      </c>
      <c r="I28967" s="4" t="str">
        <v/>
      </c>
    </row>
    <row r="28968" spans="5:9" ht="16.5" hidden="1">
      <c r="E28968" s="4" t="str">
        <v/>
      </c>
      <c r="F28968" s="102" t="str">
        <f ca="1">IFERROR(__xludf.DUMMYFUNCTION("IMPORTRANGE(H28968,""IDENTITAS UNIT!D9"")"),"#N/A")</f>
        <v>#N/A</v>
      </c>
      <c r="H28968" s="4" t="str">
        <v/>
      </c>
      <c r="I28968" s="4" t="str">
        <v/>
      </c>
    </row>
    <row r="28969" spans="5:9" ht="16.5" hidden="1">
      <c r="E28969" s="4" t="str">
        <v/>
      </c>
      <c r="F28969" s="102" t="str">
        <f ca="1">IFERROR(__xludf.DUMMYFUNCTION("IMPORTRANGE(H28969,""IDENTITAS UNIT!D9"")"),"#N/A")</f>
        <v>#N/A</v>
      </c>
      <c r="H28969" s="4" t="str">
        <v/>
      </c>
      <c r="I28969" s="4" t="str">
        <v/>
      </c>
    </row>
    <row r="28970" spans="5:9" ht="16.5" hidden="1">
      <c r="E28970" s="4" t="str">
        <v/>
      </c>
      <c r="F28970" s="102" t="str">
        <f ca="1">IFERROR(__xludf.DUMMYFUNCTION("IMPORTRANGE(H28970,""IDENTITAS UNIT!D9"")"),"#N/A")</f>
        <v>#N/A</v>
      </c>
      <c r="H28970" s="4" t="str">
        <v/>
      </c>
      <c r="I28970" s="4" t="str">
        <v/>
      </c>
    </row>
    <row r="28971" spans="5:9" ht="16.5" hidden="1">
      <c r="E28971" s="4" t="str">
        <v/>
      </c>
      <c r="F28971" s="102" t="str">
        <f ca="1">IFERROR(__xludf.DUMMYFUNCTION("IMPORTRANGE(H28971,""IDENTITAS UNIT!D9"")"),"#N/A")</f>
        <v>#N/A</v>
      </c>
      <c r="H28971" s="4" t="str">
        <v/>
      </c>
      <c r="I28971" s="4" t="str">
        <v/>
      </c>
    </row>
    <row r="28972" spans="5:9" ht="16.5" hidden="1">
      <c r="E28972" s="4" t="str">
        <v/>
      </c>
      <c r="F28972" s="102" t="str">
        <f ca="1">IFERROR(__xludf.DUMMYFUNCTION("IMPORTRANGE(H28972,""IDENTITAS UNIT!D9"")"),"#N/A")</f>
        <v>#N/A</v>
      </c>
      <c r="H28972" s="4" t="str">
        <v/>
      </c>
      <c r="I28972" s="4" t="str">
        <v/>
      </c>
    </row>
    <row r="28973" spans="5:9" ht="16.5" hidden="1">
      <c r="E28973" s="4" t="str">
        <v/>
      </c>
      <c r="F28973" s="102" t="str">
        <f ca="1">IFERROR(__xludf.DUMMYFUNCTION("IMPORTRANGE(H28973,""IDENTITAS UNIT!D9"")"),"#N/A")</f>
        <v>#N/A</v>
      </c>
      <c r="H28973" s="4" t="str">
        <v/>
      </c>
      <c r="I28973" s="4" t="str">
        <v/>
      </c>
    </row>
    <row r="28974" spans="5:9" ht="16.5" hidden="1">
      <c r="E28974" s="4" t="str">
        <v/>
      </c>
      <c r="F28974" s="102" t="str">
        <f ca="1">IFERROR(__xludf.DUMMYFUNCTION("IMPORTRANGE(H28974,""IDENTITAS UNIT!D9"")"),"#N/A")</f>
        <v>#N/A</v>
      </c>
      <c r="H28974" s="4" t="str">
        <v/>
      </c>
      <c r="I28974" s="4" t="str">
        <v/>
      </c>
    </row>
    <row r="28975" spans="5:9" ht="16.5" hidden="1">
      <c r="E28975" s="4" t="str">
        <v/>
      </c>
      <c r="F28975" s="102" t="str">
        <f ca="1">IFERROR(__xludf.DUMMYFUNCTION("IMPORTRANGE(H28975,""IDENTITAS UNIT!D9"")"),"#N/A")</f>
        <v>#N/A</v>
      </c>
      <c r="H28975" s="4" t="str">
        <v/>
      </c>
      <c r="I28975" s="4" t="str">
        <v/>
      </c>
    </row>
    <row r="28976" spans="5:9" ht="16.5" hidden="1">
      <c r="E28976" s="4" t="str">
        <v/>
      </c>
      <c r="F28976" s="102" t="str">
        <f ca="1">IFERROR(__xludf.DUMMYFUNCTION("IMPORTRANGE(H28976,""IDENTITAS UNIT!D9"")"),"#N/A")</f>
        <v>#N/A</v>
      </c>
      <c r="H28976" s="4" t="str">
        <v/>
      </c>
      <c r="I28976" s="4" t="str">
        <v/>
      </c>
    </row>
    <row r="28977" spans="5:9" ht="16.5" hidden="1">
      <c r="E28977" s="4" t="str">
        <v/>
      </c>
      <c r="F28977" s="102" t="str">
        <f ca="1">IFERROR(__xludf.DUMMYFUNCTION("IMPORTRANGE(H28977,""IDENTITAS UNIT!D9"")"),"#N/A")</f>
        <v>#N/A</v>
      </c>
      <c r="H28977" s="4" t="str">
        <v/>
      </c>
      <c r="I28977" s="4" t="str">
        <v/>
      </c>
    </row>
    <row r="28978" spans="5:9" ht="16.5" hidden="1">
      <c r="E28978" s="4" t="str">
        <v/>
      </c>
      <c r="F28978" s="102" t="str">
        <f ca="1">IFERROR(__xludf.DUMMYFUNCTION("IMPORTRANGE(H28978,""IDENTITAS UNIT!D9"")"),"#N/A")</f>
        <v>#N/A</v>
      </c>
      <c r="H28978" s="4" t="str">
        <v/>
      </c>
      <c r="I28978" s="4" t="str">
        <v/>
      </c>
    </row>
    <row r="28979" spans="5:9" ht="16.5" hidden="1">
      <c r="E28979" s="4" t="str">
        <v/>
      </c>
      <c r="F28979" s="102" t="str">
        <f ca="1">IFERROR(__xludf.DUMMYFUNCTION("IMPORTRANGE(H28979,""IDENTITAS UNIT!D9"")"),"#N/A")</f>
        <v>#N/A</v>
      </c>
      <c r="H28979" s="4" t="str">
        <v/>
      </c>
      <c r="I28979" s="4" t="str">
        <v/>
      </c>
    </row>
    <row r="28980" spans="5:9" ht="16.5" hidden="1">
      <c r="E28980" s="4" t="str">
        <v/>
      </c>
      <c r="F28980" s="102" t="str">
        <f ca="1">IFERROR(__xludf.DUMMYFUNCTION("IMPORTRANGE(H28980,""IDENTITAS UNIT!D9"")"),"#N/A")</f>
        <v>#N/A</v>
      </c>
      <c r="H28980" s="4" t="str">
        <v/>
      </c>
      <c r="I28980" s="4" t="str">
        <v/>
      </c>
    </row>
    <row r="28981" spans="5:9" ht="16.5" hidden="1">
      <c r="E28981" s="4" t="str">
        <v/>
      </c>
      <c r="F28981" s="102" t="str">
        <f ca="1">IFERROR(__xludf.DUMMYFUNCTION("IMPORTRANGE(H28981,""IDENTITAS UNIT!D9"")"),"#N/A")</f>
        <v>#N/A</v>
      </c>
      <c r="H28981" s="4" t="str">
        <v/>
      </c>
      <c r="I28981" s="4" t="str">
        <v/>
      </c>
    </row>
    <row r="28982" spans="5:9" ht="16.5" hidden="1">
      <c r="E28982" s="4" t="str">
        <v/>
      </c>
      <c r="F28982" s="102" t="str">
        <f ca="1">IFERROR(__xludf.DUMMYFUNCTION("IMPORTRANGE(H28982,""IDENTITAS UNIT!D9"")"),"#N/A")</f>
        <v>#N/A</v>
      </c>
      <c r="H28982" s="4" t="str">
        <v/>
      </c>
      <c r="I28982" s="4" t="str">
        <v/>
      </c>
    </row>
    <row r="28983" spans="5:9" ht="16.5" hidden="1">
      <c r="E28983" s="4" t="str">
        <v/>
      </c>
      <c r="F28983" s="102" t="str">
        <f ca="1">IFERROR(__xludf.DUMMYFUNCTION("IMPORTRANGE(H28983,""IDENTITAS UNIT!D9"")"),"#N/A")</f>
        <v>#N/A</v>
      </c>
      <c r="H28983" s="4" t="str">
        <v/>
      </c>
      <c r="I28983" s="4" t="str">
        <v/>
      </c>
    </row>
    <row r="28984" spans="5:9" ht="16.5" hidden="1">
      <c r="E28984" s="4" t="str">
        <v/>
      </c>
      <c r="F28984" s="102" t="str">
        <f ca="1">IFERROR(__xludf.DUMMYFUNCTION("IMPORTRANGE(H28984,""IDENTITAS UNIT!D9"")"),"#N/A")</f>
        <v>#N/A</v>
      </c>
      <c r="H28984" s="4" t="str">
        <v/>
      </c>
      <c r="I28984" s="4" t="str">
        <v/>
      </c>
    </row>
    <row r="28985" spans="5:9" ht="16.5" hidden="1">
      <c r="E28985" s="4" t="str">
        <v/>
      </c>
      <c r="F28985" s="102" t="str">
        <f ca="1">IFERROR(__xludf.DUMMYFUNCTION("IMPORTRANGE(H28985,""IDENTITAS UNIT!D9"")"),"#N/A")</f>
        <v>#N/A</v>
      </c>
      <c r="H28985" s="4" t="str">
        <v/>
      </c>
      <c r="I28985" s="4" t="str">
        <v/>
      </c>
    </row>
    <row r="28986" spans="5:9" ht="16.5" hidden="1">
      <c r="E28986" s="4" t="str">
        <v/>
      </c>
      <c r="F28986" s="102" t="str">
        <f ca="1">IFERROR(__xludf.DUMMYFUNCTION("IMPORTRANGE(H28986,""IDENTITAS UNIT!D9"")"),"#N/A")</f>
        <v>#N/A</v>
      </c>
      <c r="H28986" s="4" t="str">
        <v/>
      </c>
      <c r="I28986" s="4" t="str">
        <v/>
      </c>
    </row>
    <row r="28987" spans="5:9" ht="16.5" hidden="1">
      <c r="E28987" s="4" t="str">
        <v/>
      </c>
      <c r="F28987" s="102" t="str">
        <f ca="1">IFERROR(__xludf.DUMMYFUNCTION("IMPORTRANGE(H28987,""IDENTITAS UNIT!D9"")"),"#N/A")</f>
        <v>#N/A</v>
      </c>
      <c r="H28987" s="4" t="str">
        <v/>
      </c>
      <c r="I28987" s="4" t="str">
        <v/>
      </c>
    </row>
    <row r="28988" spans="5:9" ht="16.5" hidden="1">
      <c r="E28988" s="4" t="str">
        <v/>
      </c>
      <c r="F28988" s="102" t="str">
        <f ca="1">IFERROR(__xludf.DUMMYFUNCTION("IMPORTRANGE(H28988,""IDENTITAS UNIT!D9"")"),"#N/A")</f>
        <v>#N/A</v>
      </c>
      <c r="H28988" s="4" t="str">
        <v/>
      </c>
      <c r="I28988" s="4" t="str">
        <v/>
      </c>
    </row>
    <row r="28989" spans="5:9" ht="16.5" hidden="1">
      <c r="E28989" s="4" t="str">
        <v/>
      </c>
      <c r="F28989" s="102" t="str">
        <f ca="1">IFERROR(__xludf.DUMMYFUNCTION("IMPORTRANGE(H28989,""IDENTITAS UNIT!D9"")"),"#N/A")</f>
        <v>#N/A</v>
      </c>
      <c r="H28989" s="4" t="str">
        <v/>
      </c>
      <c r="I28989" s="4" t="str">
        <v/>
      </c>
    </row>
    <row r="28990" spans="5:9" ht="16.5" hidden="1">
      <c r="E28990" s="4" t="str">
        <v/>
      </c>
      <c r="F28990" s="102" t="str">
        <f ca="1">IFERROR(__xludf.DUMMYFUNCTION("IMPORTRANGE(H28990,""IDENTITAS UNIT!D9"")"),"#N/A")</f>
        <v>#N/A</v>
      </c>
      <c r="H28990" s="4" t="str">
        <v/>
      </c>
      <c r="I28990" s="4" t="str">
        <v/>
      </c>
    </row>
    <row r="28991" spans="5:9" ht="16.5" hidden="1">
      <c r="E28991" s="4" t="str">
        <v/>
      </c>
      <c r="F28991" s="102" t="str">
        <f ca="1">IFERROR(__xludf.DUMMYFUNCTION("IMPORTRANGE(H28991,""IDENTITAS UNIT!D9"")"),"#N/A")</f>
        <v>#N/A</v>
      </c>
      <c r="H28991" s="4" t="str">
        <v/>
      </c>
      <c r="I28991" s="4" t="str">
        <v/>
      </c>
    </row>
    <row r="28992" spans="5:9" ht="16.5" hidden="1">
      <c r="E28992" s="4" t="str">
        <v/>
      </c>
      <c r="F28992" s="102" t="str">
        <f ca="1">IFERROR(__xludf.DUMMYFUNCTION("IMPORTRANGE(H28992,""IDENTITAS UNIT!D9"")"),"#N/A")</f>
        <v>#N/A</v>
      </c>
      <c r="H28992" s="4" t="str">
        <v/>
      </c>
      <c r="I28992" s="4" t="str">
        <v/>
      </c>
    </row>
    <row r="28993" spans="5:9" ht="16.5" hidden="1">
      <c r="E28993" s="4" t="str">
        <v/>
      </c>
      <c r="F28993" s="102" t="str">
        <f ca="1">IFERROR(__xludf.DUMMYFUNCTION("IMPORTRANGE(H28993,""IDENTITAS UNIT!D9"")"),"#N/A")</f>
        <v>#N/A</v>
      </c>
      <c r="H28993" s="4" t="str">
        <v/>
      </c>
      <c r="I28993" s="4" t="str">
        <v/>
      </c>
    </row>
    <row r="28994" spans="5:9" ht="16.5" hidden="1">
      <c r="E28994" s="4" t="str">
        <v/>
      </c>
      <c r="F28994" s="102" t="str">
        <f ca="1">IFERROR(__xludf.DUMMYFUNCTION("IMPORTRANGE(H28994,""IDENTITAS UNIT!D9"")"),"#N/A")</f>
        <v>#N/A</v>
      </c>
      <c r="H28994" s="4" t="str">
        <v/>
      </c>
      <c r="I28994" s="4" t="str">
        <v/>
      </c>
    </row>
    <row r="28995" spans="5:9" ht="16.5" hidden="1">
      <c r="E28995" s="4" t="str">
        <v/>
      </c>
      <c r="F28995" s="102" t="str">
        <f ca="1">IFERROR(__xludf.DUMMYFUNCTION("IMPORTRANGE(H28995,""IDENTITAS UNIT!D9"")"),"#N/A")</f>
        <v>#N/A</v>
      </c>
      <c r="H28995" s="4" t="str">
        <v/>
      </c>
      <c r="I28995" s="4" t="str">
        <v/>
      </c>
    </row>
    <row r="28996" spans="5:9" ht="16.5" hidden="1">
      <c r="E28996" s="4" t="str">
        <v/>
      </c>
      <c r="F28996" s="102" t="str">
        <f ca="1">IFERROR(__xludf.DUMMYFUNCTION("IMPORTRANGE(H28996,""IDENTITAS UNIT!D9"")"),"#N/A")</f>
        <v>#N/A</v>
      </c>
      <c r="H28996" s="4" t="str">
        <v/>
      </c>
      <c r="I28996" s="4" t="str">
        <v/>
      </c>
    </row>
    <row r="28997" spans="5:9" ht="16.5" hidden="1">
      <c r="E28997" s="4" t="str">
        <v/>
      </c>
      <c r="F28997" s="102" t="str">
        <f ca="1">IFERROR(__xludf.DUMMYFUNCTION("IMPORTRANGE(H28997,""IDENTITAS UNIT!D9"")"),"#N/A")</f>
        <v>#N/A</v>
      </c>
      <c r="H28997" s="4" t="str">
        <v/>
      </c>
      <c r="I28997" s="4" t="str">
        <v/>
      </c>
    </row>
    <row r="28998" spans="5:9" ht="16.5" hidden="1">
      <c r="E28998" s="4" t="str">
        <v/>
      </c>
      <c r="F28998" s="102" t="str">
        <f ca="1">IFERROR(__xludf.DUMMYFUNCTION("IMPORTRANGE(H28998,""IDENTITAS UNIT!D9"")"),"#N/A")</f>
        <v>#N/A</v>
      </c>
      <c r="H28998" s="4" t="str">
        <v/>
      </c>
      <c r="I28998" s="4" t="str">
        <v/>
      </c>
    </row>
    <row r="28999" spans="5:9" ht="16.5" hidden="1">
      <c r="E28999" s="4" t="str">
        <v/>
      </c>
      <c r="F28999" s="102" t="str">
        <f ca="1">IFERROR(__xludf.DUMMYFUNCTION("IMPORTRANGE(H28999,""IDENTITAS UNIT!D9"")"),"#N/A")</f>
        <v>#N/A</v>
      </c>
      <c r="H28999" s="4" t="str">
        <v/>
      </c>
      <c r="I28999" s="4" t="str">
        <v/>
      </c>
    </row>
    <row r="29000" spans="5:9" ht="16.5" hidden="1">
      <c r="E29000" s="4" t="str">
        <v/>
      </c>
      <c r="F29000" s="102" t="str">
        <f ca="1">IFERROR(__xludf.DUMMYFUNCTION("IMPORTRANGE(H29000,""IDENTITAS UNIT!D9"")"),"#N/A")</f>
        <v>#N/A</v>
      </c>
      <c r="H29000" s="4" t="str">
        <v/>
      </c>
      <c r="I29000" s="4" t="str">
        <v/>
      </c>
    </row>
    <row r="29001" spans="5:9" ht="16.5" hidden="1">
      <c r="E29001" s="4" t="str">
        <v/>
      </c>
      <c r="F29001" s="102" t="str">
        <f ca="1">IFERROR(__xludf.DUMMYFUNCTION("IMPORTRANGE(H29001,""IDENTITAS UNIT!D9"")"),"#N/A")</f>
        <v>#N/A</v>
      </c>
      <c r="H29001" s="4" t="str">
        <v/>
      </c>
      <c r="I29001" s="4" t="str">
        <v/>
      </c>
    </row>
    <row r="29002" spans="5:9" ht="16.5" hidden="1">
      <c r="E29002" s="4" t="str">
        <v/>
      </c>
      <c r="F29002" s="102" t="str">
        <f ca="1">IFERROR(__xludf.DUMMYFUNCTION("IMPORTRANGE(H29002,""IDENTITAS UNIT!D9"")"),"#N/A")</f>
        <v>#N/A</v>
      </c>
      <c r="H29002" s="4" t="str">
        <v/>
      </c>
      <c r="I29002" s="4" t="str">
        <v/>
      </c>
    </row>
    <row r="29003" spans="5:9" ht="16.5" hidden="1">
      <c r="E29003" s="4" t="str">
        <v/>
      </c>
      <c r="F29003" s="102" t="str">
        <f ca="1">IFERROR(__xludf.DUMMYFUNCTION("IMPORTRANGE(H29003,""IDENTITAS UNIT!D9"")"),"#N/A")</f>
        <v>#N/A</v>
      </c>
      <c r="H29003" s="4" t="str">
        <v/>
      </c>
      <c r="I29003" s="4" t="str">
        <v/>
      </c>
    </row>
    <row r="29004" spans="5:9" ht="16.5" hidden="1">
      <c r="E29004" s="4" t="str">
        <v/>
      </c>
      <c r="F29004" s="102" t="str">
        <f ca="1">IFERROR(__xludf.DUMMYFUNCTION("IMPORTRANGE(H29004,""IDENTITAS UNIT!D9"")"),"#N/A")</f>
        <v>#N/A</v>
      </c>
      <c r="H29004" s="4" t="str">
        <v/>
      </c>
      <c r="I29004" s="4" t="str">
        <v/>
      </c>
    </row>
    <row r="29005" spans="5:9" ht="16.5" hidden="1">
      <c r="E29005" s="4" t="str">
        <v/>
      </c>
      <c r="F29005" s="102" t="str">
        <f ca="1">IFERROR(__xludf.DUMMYFUNCTION("IMPORTRANGE(H29005,""IDENTITAS UNIT!D9"")"),"#N/A")</f>
        <v>#N/A</v>
      </c>
      <c r="H29005" s="4" t="str">
        <v/>
      </c>
      <c r="I29005" s="4" t="str">
        <v/>
      </c>
    </row>
    <row r="29006" spans="5:9" ht="16.5" hidden="1">
      <c r="E29006" s="4" t="str">
        <v/>
      </c>
      <c r="F29006" s="102" t="str">
        <f ca="1">IFERROR(__xludf.DUMMYFUNCTION("IMPORTRANGE(H29006,""IDENTITAS UNIT!D9"")"),"#N/A")</f>
        <v>#N/A</v>
      </c>
      <c r="H29006" s="4" t="str">
        <v/>
      </c>
      <c r="I29006" s="4" t="str">
        <v/>
      </c>
    </row>
    <row r="29007" spans="5:9" ht="16.5" hidden="1">
      <c r="E29007" s="4" t="str">
        <v/>
      </c>
      <c r="F29007" s="102" t="str">
        <f ca="1">IFERROR(__xludf.DUMMYFUNCTION("IMPORTRANGE(H29007,""IDENTITAS UNIT!D9"")"),"#N/A")</f>
        <v>#N/A</v>
      </c>
      <c r="H29007" s="4" t="str">
        <v/>
      </c>
      <c r="I29007" s="4" t="str">
        <v/>
      </c>
    </row>
    <row r="29008" spans="5:9" ht="16.5" hidden="1">
      <c r="E29008" s="4" t="str">
        <v/>
      </c>
      <c r="F29008" s="102" t="str">
        <f ca="1">IFERROR(__xludf.DUMMYFUNCTION("IMPORTRANGE(H29008,""IDENTITAS UNIT!D9"")"),"#N/A")</f>
        <v>#N/A</v>
      </c>
      <c r="H29008" s="4" t="str">
        <v/>
      </c>
      <c r="I29008" s="4" t="str">
        <v/>
      </c>
    </row>
    <row r="29009" spans="5:9" ht="16.5" hidden="1">
      <c r="E29009" s="4" t="str">
        <v/>
      </c>
      <c r="F29009" s="102" t="str">
        <f ca="1">IFERROR(__xludf.DUMMYFUNCTION("IMPORTRANGE(H29009,""IDENTITAS UNIT!D9"")"),"#N/A")</f>
        <v>#N/A</v>
      </c>
      <c r="H29009" s="4" t="str">
        <v/>
      </c>
      <c r="I29009" s="4" t="str">
        <v/>
      </c>
    </row>
    <row r="29010" spans="5:9" ht="16.5" hidden="1">
      <c r="E29010" s="4" t="str">
        <v/>
      </c>
      <c r="F29010" s="102" t="str">
        <f ca="1">IFERROR(__xludf.DUMMYFUNCTION("IMPORTRANGE(H29010,""IDENTITAS UNIT!D9"")"),"#N/A")</f>
        <v>#N/A</v>
      </c>
      <c r="H29010" s="4" t="str">
        <v/>
      </c>
      <c r="I29010" s="4" t="str">
        <v/>
      </c>
    </row>
    <row r="29011" spans="5:9" ht="16.5" hidden="1">
      <c r="E29011" s="4" t="str">
        <v/>
      </c>
      <c r="F29011" s="102" t="str">
        <f ca="1">IFERROR(__xludf.DUMMYFUNCTION("IMPORTRANGE(H29011,""IDENTITAS UNIT!D9"")"),"#N/A")</f>
        <v>#N/A</v>
      </c>
      <c r="H29011" s="4" t="str">
        <v/>
      </c>
      <c r="I29011" s="4" t="str">
        <v/>
      </c>
    </row>
    <row r="29012" spans="5:9" ht="16.5" hidden="1">
      <c r="E29012" s="4" t="str">
        <v/>
      </c>
      <c r="F29012" s="102" t="str">
        <f ca="1">IFERROR(__xludf.DUMMYFUNCTION("IMPORTRANGE(H29012,""IDENTITAS UNIT!D9"")"),"#N/A")</f>
        <v>#N/A</v>
      </c>
      <c r="H29012" s="4" t="str">
        <v/>
      </c>
      <c r="I29012" s="4" t="str">
        <v/>
      </c>
    </row>
    <row r="29013" spans="5:9" ht="16.5" hidden="1">
      <c r="E29013" s="4" t="str">
        <v/>
      </c>
      <c r="F29013" s="102" t="str">
        <f ca="1">IFERROR(__xludf.DUMMYFUNCTION("IMPORTRANGE(H29013,""IDENTITAS UNIT!D9"")"),"#N/A")</f>
        <v>#N/A</v>
      </c>
      <c r="H29013" s="4" t="str">
        <v/>
      </c>
      <c r="I29013" s="4" t="str">
        <v/>
      </c>
    </row>
    <row r="29014" spans="5:9" ht="16.5" hidden="1">
      <c r="E29014" s="4" t="str">
        <v/>
      </c>
      <c r="F29014" s="102" t="str">
        <f ca="1">IFERROR(__xludf.DUMMYFUNCTION("IMPORTRANGE(H29014,""IDENTITAS UNIT!D9"")"),"#N/A")</f>
        <v>#N/A</v>
      </c>
      <c r="H29014" s="4" t="str">
        <v/>
      </c>
      <c r="I29014" s="4" t="str">
        <v/>
      </c>
    </row>
    <row r="29015" spans="5:9" ht="16.5" hidden="1">
      <c r="E29015" s="4" t="str">
        <v/>
      </c>
      <c r="F29015" s="102" t="str">
        <f ca="1">IFERROR(__xludf.DUMMYFUNCTION("IMPORTRANGE(H29015,""IDENTITAS UNIT!D9"")"),"#N/A")</f>
        <v>#N/A</v>
      </c>
      <c r="H29015" s="4" t="str">
        <v/>
      </c>
      <c r="I29015" s="4" t="str">
        <v/>
      </c>
    </row>
    <row r="29016" spans="5:9" ht="16.5" hidden="1">
      <c r="E29016" s="4" t="str">
        <v/>
      </c>
      <c r="F29016" s="102" t="str">
        <f ca="1">IFERROR(__xludf.DUMMYFUNCTION("IMPORTRANGE(H29016,""IDENTITAS UNIT!D9"")"),"#N/A")</f>
        <v>#N/A</v>
      </c>
      <c r="H29016" s="4" t="str">
        <v/>
      </c>
      <c r="I29016" s="4" t="str">
        <v/>
      </c>
    </row>
    <row r="29017" spans="5:9" ht="16.5" hidden="1">
      <c r="E29017" s="4" t="str">
        <v/>
      </c>
      <c r="F29017" s="102" t="str">
        <f ca="1">IFERROR(__xludf.DUMMYFUNCTION("IMPORTRANGE(H29017,""IDENTITAS UNIT!D9"")"),"#N/A")</f>
        <v>#N/A</v>
      </c>
      <c r="H29017" s="4" t="str">
        <v/>
      </c>
      <c r="I29017" s="4" t="str">
        <v/>
      </c>
    </row>
    <row r="29018" spans="5:9" ht="16.5" hidden="1">
      <c r="E29018" s="4" t="str">
        <v/>
      </c>
      <c r="F29018" s="102" t="str">
        <f ca="1">IFERROR(__xludf.DUMMYFUNCTION("IMPORTRANGE(H29018,""IDENTITAS UNIT!D9"")"),"#N/A")</f>
        <v>#N/A</v>
      </c>
      <c r="H29018" s="4" t="str">
        <v/>
      </c>
      <c r="I29018" s="4" t="str">
        <v/>
      </c>
    </row>
    <row r="29019" spans="5:9" ht="16.5" hidden="1">
      <c r="E29019" s="4" t="str">
        <v/>
      </c>
      <c r="F29019" s="102" t="str">
        <f ca="1">IFERROR(__xludf.DUMMYFUNCTION("IMPORTRANGE(H29019,""IDENTITAS UNIT!D9"")"),"#N/A")</f>
        <v>#N/A</v>
      </c>
      <c r="H29019" s="4" t="str">
        <v/>
      </c>
      <c r="I29019" s="4" t="str">
        <v/>
      </c>
    </row>
    <row r="29020" spans="5:9" ht="16.5" hidden="1">
      <c r="E29020" s="4" t="str">
        <v/>
      </c>
      <c r="F29020" s="102" t="str">
        <f ca="1">IFERROR(__xludf.DUMMYFUNCTION("IMPORTRANGE(H29020,""IDENTITAS UNIT!D9"")"),"#N/A")</f>
        <v>#N/A</v>
      </c>
      <c r="H29020" s="4" t="str">
        <v/>
      </c>
      <c r="I29020" s="4" t="str">
        <v/>
      </c>
    </row>
    <row r="29021" spans="5:9" ht="16.5" hidden="1">
      <c r="E29021" s="4" t="str">
        <v/>
      </c>
      <c r="F29021" s="102" t="str">
        <f ca="1">IFERROR(__xludf.DUMMYFUNCTION("IMPORTRANGE(H29021,""IDENTITAS UNIT!D9"")"),"#N/A")</f>
        <v>#N/A</v>
      </c>
      <c r="H29021" s="4" t="str">
        <v/>
      </c>
      <c r="I29021" s="4" t="str">
        <v/>
      </c>
    </row>
    <row r="29022" spans="5:9" ht="16.5" hidden="1">
      <c r="E29022" s="4" t="str">
        <v/>
      </c>
      <c r="F29022" s="102" t="str">
        <f ca="1">IFERROR(__xludf.DUMMYFUNCTION("IMPORTRANGE(H29022,""IDENTITAS UNIT!D9"")"),"#N/A")</f>
        <v>#N/A</v>
      </c>
      <c r="H29022" s="4" t="str">
        <v/>
      </c>
      <c r="I29022" s="4" t="str">
        <v/>
      </c>
    </row>
    <row r="29023" spans="5:9" ht="16.5" hidden="1">
      <c r="E29023" s="4" t="str">
        <v/>
      </c>
      <c r="F29023" s="102" t="str">
        <f ca="1">IFERROR(__xludf.DUMMYFUNCTION("IMPORTRANGE(H29023,""IDENTITAS UNIT!D9"")"),"#N/A")</f>
        <v>#N/A</v>
      </c>
      <c r="H29023" s="4" t="str">
        <v/>
      </c>
      <c r="I29023" s="4" t="str">
        <v/>
      </c>
    </row>
    <row r="29024" spans="5:9" ht="16.5" hidden="1">
      <c r="E29024" s="4" t="str">
        <v/>
      </c>
      <c r="F29024" s="102" t="str">
        <f ca="1">IFERROR(__xludf.DUMMYFUNCTION("IMPORTRANGE(H29024,""IDENTITAS UNIT!D9"")"),"#N/A")</f>
        <v>#N/A</v>
      </c>
      <c r="H29024" s="4" t="str">
        <v/>
      </c>
      <c r="I29024" s="4" t="str">
        <v/>
      </c>
    </row>
    <row r="29025" spans="5:9" ht="16.5" hidden="1">
      <c r="E29025" s="4" t="str">
        <v/>
      </c>
      <c r="F29025" s="102" t="str">
        <f ca="1">IFERROR(__xludf.DUMMYFUNCTION("IMPORTRANGE(H29025,""IDENTITAS UNIT!D9"")"),"#N/A")</f>
        <v>#N/A</v>
      </c>
      <c r="H29025" s="4" t="str">
        <v/>
      </c>
      <c r="I29025" s="4" t="str">
        <v/>
      </c>
    </row>
    <row r="29026" spans="5:9" ht="16.5" hidden="1">
      <c r="E29026" s="4" t="str">
        <v/>
      </c>
      <c r="F29026" s="102" t="str">
        <f ca="1">IFERROR(__xludf.DUMMYFUNCTION("IMPORTRANGE(H29026,""IDENTITAS UNIT!D9"")"),"#N/A")</f>
        <v>#N/A</v>
      </c>
      <c r="H29026" s="4" t="str">
        <v/>
      </c>
      <c r="I29026" s="4" t="str">
        <v/>
      </c>
    </row>
    <row r="29027" spans="5:9" ht="16.5" hidden="1">
      <c r="E29027" s="4" t="str">
        <v/>
      </c>
      <c r="F29027" s="102" t="str">
        <f ca="1">IFERROR(__xludf.DUMMYFUNCTION("IMPORTRANGE(H29027,""IDENTITAS UNIT!D9"")"),"#N/A")</f>
        <v>#N/A</v>
      </c>
      <c r="H29027" s="4" t="str">
        <v/>
      </c>
      <c r="I29027" s="4" t="str">
        <v/>
      </c>
    </row>
    <row r="29028" spans="5:9" ht="16.5" hidden="1">
      <c r="E29028" s="4" t="str">
        <v/>
      </c>
      <c r="F29028" s="102" t="str">
        <f ca="1">IFERROR(__xludf.DUMMYFUNCTION("IMPORTRANGE(H29028,""IDENTITAS UNIT!D9"")"),"#N/A")</f>
        <v>#N/A</v>
      </c>
      <c r="H29028" s="4" t="str">
        <v/>
      </c>
      <c r="I29028" s="4" t="str">
        <v/>
      </c>
    </row>
    <row r="29029" spans="5:9" ht="16.5" hidden="1">
      <c r="E29029" s="4" t="str">
        <v/>
      </c>
      <c r="F29029" s="102" t="str">
        <f ca="1">IFERROR(__xludf.DUMMYFUNCTION("IMPORTRANGE(H29029,""IDENTITAS UNIT!D9"")"),"#N/A")</f>
        <v>#N/A</v>
      </c>
      <c r="H29029" s="4" t="str">
        <v/>
      </c>
      <c r="I29029" s="4" t="str">
        <v/>
      </c>
    </row>
    <row r="29030" spans="5:9" ht="16.5" hidden="1">
      <c r="E29030" s="4" t="str">
        <v/>
      </c>
      <c r="F29030" s="102" t="str">
        <f ca="1">IFERROR(__xludf.DUMMYFUNCTION("IMPORTRANGE(H29030,""IDENTITAS UNIT!D9"")"),"#N/A")</f>
        <v>#N/A</v>
      </c>
      <c r="H29030" s="4" t="str">
        <v/>
      </c>
      <c r="I29030" s="4" t="str">
        <v/>
      </c>
    </row>
    <row r="29031" spans="5:9" ht="16.5" hidden="1">
      <c r="E29031" s="4" t="str">
        <v/>
      </c>
      <c r="F29031" s="102" t="str">
        <f ca="1">IFERROR(__xludf.DUMMYFUNCTION("IMPORTRANGE(H29031,""IDENTITAS UNIT!D9"")"),"#N/A")</f>
        <v>#N/A</v>
      </c>
      <c r="H29031" s="4" t="str">
        <v/>
      </c>
      <c r="I29031" s="4" t="str">
        <v/>
      </c>
    </row>
    <row r="29032" spans="5:9" ht="16.5" hidden="1">
      <c r="E29032" s="4" t="str">
        <v/>
      </c>
      <c r="F29032" s="102" t="str">
        <f ca="1">IFERROR(__xludf.DUMMYFUNCTION("IMPORTRANGE(H29032,""IDENTITAS UNIT!D9"")"),"#N/A")</f>
        <v>#N/A</v>
      </c>
      <c r="H29032" s="4" t="str">
        <v/>
      </c>
      <c r="I29032" s="4" t="str">
        <v/>
      </c>
    </row>
    <row r="29033" spans="5:9" ht="16.5" hidden="1">
      <c r="E29033" s="4" t="str">
        <v/>
      </c>
      <c r="F29033" s="102" t="str">
        <f ca="1">IFERROR(__xludf.DUMMYFUNCTION("IMPORTRANGE(H29033,""IDENTITAS UNIT!D9"")"),"#N/A")</f>
        <v>#N/A</v>
      </c>
      <c r="H29033" s="4" t="str">
        <v/>
      </c>
      <c r="I29033" s="4" t="str">
        <v/>
      </c>
    </row>
    <row r="29034" spans="5:9" ht="16.5" hidden="1">
      <c r="E29034" s="4" t="str">
        <v/>
      </c>
      <c r="F29034" s="102" t="str">
        <f ca="1">IFERROR(__xludf.DUMMYFUNCTION("IMPORTRANGE(H29034,""IDENTITAS UNIT!D9"")"),"#N/A")</f>
        <v>#N/A</v>
      </c>
      <c r="H29034" s="4" t="str">
        <v/>
      </c>
      <c r="I29034" s="4" t="str">
        <v/>
      </c>
    </row>
    <row r="29035" spans="5:9" ht="16.5" hidden="1">
      <c r="E29035" s="4" t="str">
        <v/>
      </c>
      <c r="F29035" s="102" t="str">
        <f ca="1">IFERROR(__xludf.DUMMYFUNCTION("IMPORTRANGE(H29035,""IDENTITAS UNIT!D9"")"),"#N/A")</f>
        <v>#N/A</v>
      </c>
      <c r="H29035" s="4" t="str">
        <v/>
      </c>
      <c r="I29035" s="4" t="str">
        <v/>
      </c>
    </row>
    <row r="29036" spans="5:9" ht="16.5" hidden="1">
      <c r="E29036" s="4" t="str">
        <v/>
      </c>
      <c r="F29036" s="102" t="str">
        <f ca="1">IFERROR(__xludf.DUMMYFUNCTION("IMPORTRANGE(H29036,""IDENTITAS UNIT!D9"")"),"#N/A")</f>
        <v>#N/A</v>
      </c>
      <c r="H29036" s="4" t="str">
        <v/>
      </c>
      <c r="I29036" s="4" t="str">
        <v/>
      </c>
    </row>
    <row r="29037" spans="5:9" ht="16.5" hidden="1">
      <c r="E29037" s="4" t="str">
        <v/>
      </c>
      <c r="F29037" s="102" t="str">
        <f ca="1">IFERROR(__xludf.DUMMYFUNCTION("IMPORTRANGE(H29037,""IDENTITAS UNIT!D9"")"),"#N/A")</f>
        <v>#N/A</v>
      </c>
      <c r="H29037" s="4" t="str">
        <v/>
      </c>
      <c r="I29037" s="4" t="str">
        <v/>
      </c>
    </row>
    <row r="29038" spans="5:9" ht="16.5" hidden="1">
      <c r="E29038" s="4" t="str">
        <v/>
      </c>
      <c r="F29038" s="102" t="str">
        <f ca="1">IFERROR(__xludf.DUMMYFUNCTION("IMPORTRANGE(H29038,""IDENTITAS UNIT!D9"")"),"#N/A")</f>
        <v>#N/A</v>
      </c>
      <c r="H29038" s="4" t="str">
        <v/>
      </c>
      <c r="I29038" s="4" t="str">
        <v/>
      </c>
    </row>
    <row r="29039" spans="5:9" ht="16.5" hidden="1">
      <c r="E29039" s="4" t="str">
        <v/>
      </c>
      <c r="F29039" s="102" t="str">
        <f ca="1">IFERROR(__xludf.DUMMYFUNCTION("IMPORTRANGE(H29039,""IDENTITAS UNIT!D9"")"),"#N/A")</f>
        <v>#N/A</v>
      </c>
      <c r="H29039" s="4" t="str">
        <v/>
      </c>
      <c r="I29039" s="4" t="str">
        <v/>
      </c>
    </row>
    <row r="29040" spans="5:9" ht="16.5" hidden="1">
      <c r="E29040" s="4" t="str">
        <v/>
      </c>
      <c r="F29040" s="102" t="str">
        <f ca="1">IFERROR(__xludf.DUMMYFUNCTION("IMPORTRANGE(H29040,""IDENTITAS UNIT!D9"")"),"#N/A")</f>
        <v>#N/A</v>
      </c>
      <c r="H29040" s="4" t="str">
        <v/>
      </c>
      <c r="I29040" s="4" t="str">
        <v/>
      </c>
    </row>
    <row r="29041" spans="5:9" ht="16.5" hidden="1">
      <c r="E29041" s="4" t="str">
        <v/>
      </c>
      <c r="F29041" s="102" t="str">
        <f ca="1">IFERROR(__xludf.DUMMYFUNCTION("IMPORTRANGE(H29041,""IDENTITAS UNIT!D9"")"),"#N/A")</f>
        <v>#N/A</v>
      </c>
      <c r="H29041" s="4" t="str">
        <v/>
      </c>
      <c r="I29041" s="4" t="str">
        <v/>
      </c>
    </row>
    <row r="29042" spans="5:9" ht="16.5" hidden="1">
      <c r="E29042" s="4" t="str">
        <v/>
      </c>
      <c r="F29042" s="102" t="str">
        <f ca="1">IFERROR(__xludf.DUMMYFUNCTION("IMPORTRANGE(H29042,""IDENTITAS UNIT!D9"")"),"#N/A")</f>
        <v>#N/A</v>
      </c>
      <c r="H29042" s="4" t="str">
        <v/>
      </c>
      <c r="I29042" s="4" t="str">
        <v/>
      </c>
    </row>
    <row r="29043" spans="5:9" ht="16.5" hidden="1">
      <c r="E29043" s="4" t="str">
        <v/>
      </c>
      <c r="F29043" s="102" t="str">
        <f ca="1">IFERROR(__xludf.DUMMYFUNCTION("IMPORTRANGE(H29043,""IDENTITAS UNIT!D9"")"),"#N/A")</f>
        <v>#N/A</v>
      </c>
      <c r="H29043" s="4" t="str">
        <v/>
      </c>
      <c r="I29043" s="4" t="str">
        <v/>
      </c>
    </row>
    <row r="29044" spans="5:9" ht="16.5" hidden="1">
      <c r="E29044" s="4" t="str">
        <v/>
      </c>
      <c r="F29044" s="102" t="str">
        <f ca="1">IFERROR(__xludf.DUMMYFUNCTION("IMPORTRANGE(H29044,""IDENTITAS UNIT!D9"")"),"#N/A")</f>
        <v>#N/A</v>
      </c>
      <c r="H29044" s="4" t="str">
        <v/>
      </c>
      <c r="I29044" s="4" t="str">
        <v/>
      </c>
    </row>
    <row r="29045" spans="5:9" ht="16.5" hidden="1">
      <c r="E29045" s="4" t="str">
        <v/>
      </c>
      <c r="F29045" s="102" t="str">
        <f ca="1">IFERROR(__xludf.DUMMYFUNCTION("IMPORTRANGE(H29045,""IDENTITAS UNIT!D9"")"),"#N/A")</f>
        <v>#N/A</v>
      </c>
      <c r="H29045" s="4" t="str">
        <v/>
      </c>
      <c r="I29045" s="4" t="str">
        <v/>
      </c>
    </row>
    <row r="29046" spans="5:9" ht="16.5" hidden="1">
      <c r="E29046" s="4" t="str">
        <v/>
      </c>
      <c r="F29046" s="102" t="str">
        <f ca="1">IFERROR(__xludf.DUMMYFUNCTION("IMPORTRANGE(H29046,""IDENTITAS UNIT!D9"")"),"#N/A")</f>
        <v>#N/A</v>
      </c>
      <c r="H29046" s="4" t="str">
        <v/>
      </c>
      <c r="I29046" s="4" t="str">
        <v/>
      </c>
    </row>
    <row r="29047" spans="5:9" ht="16.5" hidden="1">
      <c r="E29047" s="4" t="str">
        <v/>
      </c>
      <c r="F29047" s="102" t="str">
        <f ca="1">IFERROR(__xludf.DUMMYFUNCTION("IMPORTRANGE(H29047,""IDENTITAS UNIT!D9"")"),"#N/A")</f>
        <v>#N/A</v>
      </c>
      <c r="H29047" s="4" t="str">
        <v/>
      </c>
      <c r="I29047" s="4" t="str">
        <v/>
      </c>
    </row>
    <row r="29048" spans="5:9" ht="16.5" hidden="1">
      <c r="E29048" s="4" t="str">
        <v/>
      </c>
      <c r="F29048" s="102" t="str">
        <f ca="1">IFERROR(__xludf.DUMMYFUNCTION("IMPORTRANGE(H29048,""IDENTITAS UNIT!D9"")"),"#N/A")</f>
        <v>#N/A</v>
      </c>
      <c r="H29048" s="4" t="str">
        <v/>
      </c>
      <c r="I29048" s="4" t="str">
        <v/>
      </c>
    </row>
    <row r="29049" spans="5:9" ht="16.5" hidden="1">
      <c r="E29049" s="4" t="str">
        <v/>
      </c>
      <c r="F29049" s="102" t="str">
        <f ca="1">IFERROR(__xludf.DUMMYFUNCTION("IMPORTRANGE(H29049,""IDENTITAS UNIT!D9"")"),"#N/A")</f>
        <v>#N/A</v>
      </c>
      <c r="H29049" s="4" t="str">
        <v/>
      </c>
      <c r="I29049" s="4" t="str">
        <v/>
      </c>
    </row>
    <row r="29050" spans="5:9" ht="16.5" hidden="1">
      <c r="E29050" s="4" t="str">
        <v/>
      </c>
      <c r="F29050" s="102" t="str">
        <f ca="1">IFERROR(__xludf.DUMMYFUNCTION("IMPORTRANGE(H29050,""IDENTITAS UNIT!D9"")"),"#N/A")</f>
        <v>#N/A</v>
      </c>
      <c r="H29050" s="4" t="str">
        <v/>
      </c>
      <c r="I29050" s="4" t="str">
        <v/>
      </c>
    </row>
    <row r="29051" spans="5:9" ht="16.5" hidden="1">
      <c r="E29051" s="4" t="str">
        <v/>
      </c>
      <c r="F29051" s="102" t="str">
        <f ca="1">IFERROR(__xludf.DUMMYFUNCTION("IMPORTRANGE(H29051,""IDENTITAS UNIT!D9"")"),"#N/A")</f>
        <v>#N/A</v>
      </c>
      <c r="H29051" s="4" t="str">
        <v/>
      </c>
      <c r="I29051" s="4" t="str">
        <v/>
      </c>
    </row>
    <row r="29052" spans="5:9" ht="16.5" hidden="1">
      <c r="E29052" s="4" t="str">
        <v/>
      </c>
      <c r="F29052" s="102" t="str">
        <f ca="1">IFERROR(__xludf.DUMMYFUNCTION("IMPORTRANGE(H29052,""IDENTITAS UNIT!D9"")"),"#N/A")</f>
        <v>#N/A</v>
      </c>
      <c r="H29052" s="4" t="str">
        <v/>
      </c>
      <c r="I29052" s="4" t="str">
        <v/>
      </c>
    </row>
    <row r="29053" spans="5:9" ht="16.5" hidden="1">
      <c r="E29053" s="4" t="str">
        <v/>
      </c>
      <c r="F29053" s="102" t="str">
        <f ca="1">IFERROR(__xludf.DUMMYFUNCTION("IMPORTRANGE(H29053,""IDENTITAS UNIT!D9"")"),"#N/A")</f>
        <v>#N/A</v>
      </c>
      <c r="H29053" s="4" t="str">
        <v/>
      </c>
      <c r="I29053" s="4" t="str">
        <v/>
      </c>
    </row>
    <row r="29054" spans="5:9" ht="16.5" hidden="1">
      <c r="E29054" s="4" t="str">
        <v/>
      </c>
      <c r="F29054" s="102" t="str">
        <f ca="1">IFERROR(__xludf.DUMMYFUNCTION("IMPORTRANGE(H29054,""IDENTITAS UNIT!D9"")"),"#N/A")</f>
        <v>#N/A</v>
      </c>
      <c r="H29054" s="4" t="str">
        <v/>
      </c>
      <c r="I29054" s="4" t="str">
        <v/>
      </c>
    </row>
    <row r="29055" spans="5:9" ht="16.5" hidden="1">
      <c r="E29055" s="4" t="str">
        <v/>
      </c>
      <c r="F29055" s="102" t="str">
        <f ca="1">IFERROR(__xludf.DUMMYFUNCTION("IMPORTRANGE(H29055,""IDENTITAS UNIT!D9"")"),"#N/A")</f>
        <v>#N/A</v>
      </c>
      <c r="H29055" s="4" t="str">
        <v/>
      </c>
      <c r="I29055" s="4" t="str">
        <v/>
      </c>
    </row>
    <row r="29056" spans="5:9" ht="16.5" hidden="1">
      <c r="E29056" s="4" t="str">
        <v/>
      </c>
      <c r="F29056" s="102" t="str">
        <f ca="1">IFERROR(__xludf.DUMMYFUNCTION("IMPORTRANGE(H29056,""IDENTITAS UNIT!D9"")"),"#N/A")</f>
        <v>#N/A</v>
      </c>
      <c r="H29056" s="4" t="str">
        <v/>
      </c>
      <c r="I29056" s="4" t="str">
        <v/>
      </c>
    </row>
    <row r="29057" spans="5:9" ht="16.5" hidden="1">
      <c r="E29057" s="4" t="str">
        <v/>
      </c>
      <c r="F29057" s="102" t="str">
        <f ca="1">IFERROR(__xludf.DUMMYFUNCTION("IMPORTRANGE(H29057,""IDENTITAS UNIT!D9"")"),"#N/A")</f>
        <v>#N/A</v>
      </c>
      <c r="H29057" s="4" t="str">
        <v/>
      </c>
      <c r="I29057" s="4" t="str">
        <v/>
      </c>
    </row>
    <row r="29058" spans="5:9" ht="16.5" hidden="1">
      <c r="E29058" s="4" t="str">
        <v/>
      </c>
      <c r="F29058" s="102" t="str">
        <f ca="1">IFERROR(__xludf.DUMMYFUNCTION("IMPORTRANGE(H29058,""IDENTITAS UNIT!D9"")"),"#N/A")</f>
        <v>#N/A</v>
      </c>
      <c r="H29058" s="4" t="str">
        <v/>
      </c>
      <c r="I29058" s="4" t="str">
        <v/>
      </c>
    </row>
    <row r="29059" spans="5:9" ht="16.5" hidden="1">
      <c r="E29059" s="4" t="str">
        <v/>
      </c>
      <c r="F29059" s="102" t="str">
        <f ca="1">IFERROR(__xludf.DUMMYFUNCTION("IMPORTRANGE(H29059,""IDENTITAS UNIT!D9"")"),"#N/A")</f>
        <v>#N/A</v>
      </c>
      <c r="H29059" s="4" t="str">
        <v/>
      </c>
      <c r="I29059" s="4" t="str">
        <v/>
      </c>
    </row>
    <row r="29060" spans="5:9" ht="16.5" hidden="1">
      <c r="E29060" s="4" t="str">
        <v/>
      </c>
      <c r="F29060" s="102" t="str">
        <f ca="1">IFERROR(__xludf.DUMMYFUNCTION("IMPORTRANGE(H29060,""IDENTITAS UNIT!D9"")"),"#N/A")</f>
        <v>#N/A</v>
      </c>
      <c r="H29060" s="4" t="str">
        <v/>
      </c>
      <c r="I29060" s="4" t="str">
        <v/>
      </c>
    </row>
    <row r="29061" spans="5:9" ht="16.5" hidden="1">
      <c r="E29061" s="4" t="str">
        <v/>
      </c>
      <c r="F29061" s="102" t="str">
        <f ca="1">IFERROR(__xludf.DUMMYFUNCTION("IMPORTRANGE(H29061,""IDENTITAS UNIT!D9"")"),"#N/A")</f>
        <v>#N/A</v>
      </c>
      <c r="H29061" s="4" t="str">
        <v/>
      </c>
      <c r="I29061" s="4" t="str">
        <v/>
      </c>
    </row>
    <row r="29062" spans="5:9" ht="16.5" hidden="1">
      <c r="E29062" s="4" t="str">
        <v/>
      </c>
      <c r="F29062" s="102" t="str">
        <f ca="1">IFERROR(__xludf.DUMMYFUNCTION("IMPORTRANGE(H29062,""IDENTITAS UNIT!D9"")"),"#N/A")</f>
        <v>#N/A</v>
      </c>
      <c r="H29062" s="4" t="str">
        <v/>
      </c>
      <c r="I29062" s="4" t="str">
        <v/>
      </c>
    </row>
    <row r="29063" spans="5:9" ht="16.5" hidden="1">
      <c r="E29063" s="4" t="str">
        <v/>
      </c>
      <c r="F29063" s="102" t="str">
        <f ca="1">IFERROR(__xludf.DUMMYFUNCTION("IMPORTRANGE(H29063,""IDENTITAS UNIT!D9"")"),"#N/A")</f>
        <v>#N/A</v>
      </c>
      <c r="H29063" s="4" t="str">
        <v/>
      </c>
      <c r="I29063" s="4" t="str">
        <v/>
      </c>
    </row>
    <row r="29064" spans="5:9" ht="16.5" hidden="1">
      <c r="E29064" s="4" t="str">
        <v/>
      </c>
      <c r="F29064" s="102" t="str">
        <f ca="1">IFERROR(__xludf.DUMMYFUNCTION("IMPORTRANGE(H29064,""IDENTITAS UNIT!D9"")"),"#N/A")</f>
        <v>#N/A</v>
      </c>
      <c r="H29064" s="4" t="str">
        <v/>
      </c>
      <c r="I29064" s="4" t="str">
        <v/>
      </c>
    </row>
    <row r="29065" spans="5:9" ht="16.5" hidden="1">
      <c r="E29065" s="4" t="str">
        <v/>
      </c>
      <c r="F29065" s="102" t="str">
        <f ca="1">IFERROR(__xludf.DUMMYFUNCTION("IMPORTRANGE(H29065,""IDENTITAS UNIT!D9"")"),"#N/A")</f>
        <v>#N/A</v>
      </c>
      <c r="H29065" s="4" t="str">
        <v/>
      </c>
      <c r="I29065" s="4" t="str">
        <v/>
      </c>
    </row>
    <row r="29066" spans="5:9" ht="16.5" hidden="1">
      <c r="E29066" s="4" t="str">
        <v/>
      </c>
      <c r="F29066" s="102" t="str">
        <f ca="1">IFERROR(__xludf.DUMMYFUNCTION("IMPORTRANGE(H29066,""IDENTITAS UNIT!D9"")"),"#N/A")</f>
        <v>#N/A</v>
      </c>
      <c r="H29066" s="4" t="str">
        <v/>
      </c>
      <c r="I29066" s="4" t="str">
        <v/>
      </c>
    </row>
    <row r="29067" spans="5:9" ht="16.5" hidden="1">
      <c r="E29067" s="4" t="str">
        <v/>
      </c>
      <c r="F29067" s="102" t="str">
        <f ca="1">IFERROR(__xludf.DUMMYFUNCTION("IMPORTRANGE(H29067,""IDENTITAS UNIT!D9"")"),"#N/A")</f>
        <v>#N/A</v>
      </c>
      <c r="H29067" s="4" t="str">
        <v/>
      </c>
      <c r="I29067" s="4" t="str">
        <v/>
      </c>
    </row>
    <row r="29068" spans="5:9" ht="16.5" hidden="1">
      <c r="E29068" s="4" t="str">
        <v/>
      </c>
      <c r="F29068" s="102" t="str">
        <f ca="1">IFERROR(__xludf.DUMMYFUNCTION("IMPORTRANGE(H29068,""IDENTITAS UNIT!D9"")"),"#N/A")</f>
        <v>#N/A</v>
      </c>
      <c r="H29068" s="4" t="str">
        <v/>
      </c>
      <c r="I29068" s="4" t="str">
        <v/>
      </c>
    </row>
    <row r="29069" spans="5:9" ht="16.5" hidden="1">
      <c r="E29069" s="4" t="str">
        <v/>
      </c>
      <c r="F29069" s="102" t="str">
        <f ca="1">IFERROR(__xludf.DUMMYFUNCTION("IMPORTRANGE(H29069,""IDENTITAS UNIT!D9"")"),"#N/A")</f>
        <v>#N/A</v>
      </c>
      <c r="H29069" s="4" t="str">
        <v/>
      </c>
      <c r="I29069" s="4" t="str">
        <v/>
      </c>
    </row>
    <row r="29070" spans="5:9" ht="16.5" hidden="1">
      <c r="E29070" s="4" t="str">
        <v/>
      </c>
      <c r="F29070" s="102" t="str">
        <f ca="1">IFERROR(__xludf.DUMMYFUNCTION("IMPORTRANGE(H29070,""IDENTITAS UNIT!D9"")"),"#N/A")</f>
        <v>#N/A</v>
      </c>
      <c r="H29070" s="4" t="str">
        <v/>
      </c>
      <c r="I29070" s="4" t="str">
        <v/>
      </c>
    </row>
    <row r="29071" spans="5:9" ht="16.5" hidden="1">
      <c r="E29071" s="4" t="str">
        <v/>
      </c>
      <c r="F29071" s="102" t="str">
        <f ca="1">IFERROR(__xludf.DUMMYFUNCTION("IMPORTRANGE(H29071,""IDENTITAS UNIT!D9"")"),"#N/A")</f>
        <v>#N/A</v>
      </c>
      <c r="H29071" s="4" t="str">
        <v/>
      </c>
      <c r="I29071" s="4" t="str">
        <v/>
      </c>
    </row>
    <row r="29072" spans="5:9" ht="16.5" hidden="1">
      <c r="E29072" s="4" t="str">
        <v/>
      </c>
      <c r="F29072" s="102" t="str">
        <f ca="1">IFERROR(__xludf.DUMMYFUNCTION("IMPORTRANGE(H29072,""IDENTITAS UNIT!D9"")"),"#N/A")</f>
        <v>#N/A</v>
      </c>
      <c r="H29072" s="4" t="str">
        <v/>
      </c>
      <c r="I29072" s="4" t="str">
        <v/>
      </c>
    </row>
    <row r="29073" spans="5:9" ht="16.5" hidden="1">
      <c r="E29073" s="4" t="str">
        <v/>
      </c>
      <c r="F29073" s="102" t="str">
        <f ca="1">IFERROR(__xludf.DUMMYFUNCTION("IMPORTRANGE(H29073,""IDENTITAS UNIT!D9"")"),"#N/A")</f>
        <v>#N/A</v>
      </c>
      <c r="H29073" s="4" t="str">
        <v/>
      </c>
      <c r="I29073" s="4" t="str">
        <v/>
      </c>
    </row>
    <row r="29074" spans="5:9" ht="16.5" hidden="1">
      <c r="E29074" s="4" t="str">
        <v/>
      </c>
      <c r="F29074" s="102" t="str">
        <f ca="1">IFERROR(__xludf.DUMMYFUNCTION("IMPORTRANGE(H29074,""IDENTITAS UNIT!D9"")"),"#N/A")</f>
        <v>#N/A</v>
      </c>
      <c r="H29074" s="4" t="str">
        <v/>
      </c>
      <c r="I29074" s="4" t="str">
        <v/>
      </c>
    </row>
    <row r="29075" spans="5:9" ht="16.5" hidden="1">
      <c r="E29075" s="4" t="str">
        <v/>
      </c>
      <c r="F29075" s="102" t="str">
        <f ca="1">IFERROR(__xludf.DUMMYFUNCTION("IMPORTRANGE(H29075,""IDENTITAS UNIT!D9"")"),"#N/A")</f>
        <v>#N/A</v>
      </c>
      <c r="H29075" s="4" t="str">
        <v/>
      </c>
      <c r="I29075" s="4" t="str">
        <v/>
      </c>
    </row>
    <row r="29076" spans="5:9" ht="16.5" hidden="1">
      <c r="E29076" s="4" t="str">
        <v/>
      </c>
      <c r="F29076" s="102" t="str">
        <f ca="1">IFERROR(__xludf.DUMMYFUNCTION("IMPORTRANGE(H29076,""IDENTITAS UNIT!D9"")"),"#N/A")</f>
        <v>#N/A</v>
      </c>
      <c r="H29076" s="4" t="str">
        <v/>
      </c>
      <c r="I29076" s="4" t="str">
        <v/>
      </c>
    </row>
    <row r="29077" spans="5:9" ht="16.5" hidden="1">
      <c r="E29077" s="4" t="str">
        <v/>
      </c>
      <c r="F29077" s="102" t="str">
        <f ca="1">IFERROR(__xludf.DUMMYFUNCTION("IMPORTRANGE(H29077,""IDENTITAS UNIT!D9"")"),"#N/A")</f>
        <v>#N/A</v>
      </c>
      <c r="H29077" s="4" t="str">
        <v/>
      </c>
      <c r="I29077" s="4" t="str">
        <v/>
      </c>
    </row>
    <row r="29078" spans="5:9" ht="16.5" hidden="1">
      <c r="E29078" s="4" t="str">
        <v/>
      </c>
      <c r="F29078" s="102" t="str">
        <f ca="1">IFERROR(__xludf.DUMMYFUNCTION("IMPORTRANGE(H29078,""IDENTITAS UNIT!D9"")"),"#N/A")</f>
        <v>#N/A</v>
      </c>
      <c r="H29078" s="4" t="str">
        <v/>
      </c>
      <c r="I29078" s="4" t="str">
        <v/>
      </c>
    </row>
    <row r="29079" spans="5:9" ht="16.5" hidden="1">
      <c r="E29079" s="4" t="str">
        <v/>
      </c>
      <c r="F29079" s="102" t="str">
        <f ca="1">IFERROR(__xludf.DUMMYFUNCTION("IMPORTRANGE(H29079,""IDENTITAS UNIT!D9"")"),"#N/A")</f>
        <v>#N/A</v>
      </c>
      <c r="H29079" s="4" t="str">
        <v/>
      </c>
      <c r="I29079" s="4" t="str">
        <v/>
      </c>
    </row>
    <row r="29080" spans="5:9" ht="16.5" hidden="1">
      <c r="E29080" s="4" t="str">
        <v/>
      </c>
      <c r="F29080" s="102" t="str">
        <f ca="1">IFERROR(__xludf.DUMMYFUNCTION("IMPORTRANGE(H29080,""IDENTITAS UNIT!D9"")"),"#N/A")</f>
        <v>#N/A</v>
      </c>
      <c r="H29080" s="4" t="str">
        <v/>
      </c>
      <c r="I29080" s="4" t="str">
        <v/>
      </c>
    </row>
    <row r="29081" spans="5:9" ht="16.5" hidden="1">
      <c r="E29081" s="4" t="str">
        <v/>
      </c>
      <c r="F29081" s="102" t="str">
        <f ca="1">IFERROR(__xludf.DUMMYFUNCTION("IMPORTRANGE(H29081,""IDENTITAS UNIT!D9"")"),"#N/A")</f>
        <v>#N/A</v>
      </c>
      <c r="H29081" s="4" t="str">
        <v/>
      </c>
      <c r="I29081" s="4" t="str">
        <v/>
      </c>
    </row>
    <row r="29082" spans="5:9" ht="16.5" hidden="1">
      <c r="E29082" s="4" t="str">
        <v/>
      </c>
      <c r="F29082" s="102" t="str">
        <f ca="1">IFERROR(__xludf.DUMMYFUNCTION("IMPORTRANGE(H29082,""IDENTITAS UNIT!D9"")"),"#N/A")</f>
        <v>#N/A</v>
      </c>
      <c r="H29082" s="4" t="str">
        <v/>
      </c>
      <c r="I29082" s="4" t="str">
        <v/>
      </c>
    </row>
    <row r="29083" spans="5:9" ht="16.5" hidden="1">
      <c r="E29083" s="4" t="str">
        <v/>
      </c>
      <c r="F29083" s="102" t="str">
        <f ca="1">IFERROR(__xludf.DUMMYFUNCTION("IMPORTRANGE(H29083,""IDENTITAS UNIT!D9"")"),"#N/A")</f>
        <v>#N/A</v>
      </c>
      <c r="H29083" s="4" t="str">
        <v/>
      </c>
      <c r="I29083" s="4" t="str">
        <v/>
      </c>
    </row>
    <row r="29084" spans="5:9" ht="16.5" hidden="1">
      <c r="E29084" s="4" t="str">
        <v/>
      </c>
      <c r="F29084" s="102" t="str">
        <f ca="1">IFERROR(__xludf.DUMMYFUNCTION("IMPORTRANGE(H29084,""IDENTITAS UNIT!D9"")"),"#N/A")</f>
        <v>#N/A</v>
      </c>
      <c r="H29084" s="4" t="str">
        <v/>
      </c>
      <c r="I29084" s="4" t="str">
        <v/>
      </c>
    </row>
    <row r="29085" spans="5:9" ht="16.5" hidden="1">
      <c r="E29085" s="4" t="str">
        <v/>
      </c>
      <c r="F29085" s="102" t="str">
        <f ca="1">IFERROR(__xludf.DUMMYFUNCTION("IMPORTRANGE(H29085,""IDENTITAS UNIT!D9"")"),"#N/A")</f>
        <v>#N/A</v>
      </c>
      <c r="H29085" s="4" t="str">
        <v/>
      </c>
      <c r="I29085" s="4" t="str">
        <v/>
      </c>
    </row>
    <row r="29086" spans="5:9" ht="16.5" hidden="1">
      <c r="E29086" s="4" t="str">
        <v/>
      </c>
      <c r="F29086" s="102" t="str">
        <f ca="1">IFERROR(__xludf.DUMMYFUNCTION("IMPORTRANGE(H29086,""IDENTITAS UNIT!D9"")"),"#N/A")</f>
        <v>#N/A</v>
      </c>
      <c r="H29086" s="4" t="str">
        <v/>
      </c>
      <c r="I29086" s="4" t="str">
        <v/>
      </c>
    </row>
    <row r="29087" spans="5:9" ht="16.5" hidden="1">
      <c r="E29087" s="4" t="str">
        <v/>
      </c>
      <c r="F29087" s="102" t="str">
        <f ca="1">IFERROR(__xludf.DUMMYFUNCTION("IMPORTRANGE(H29087,""IDENTITAS UNIT!D9"")"),"#N/A")</f>
        <v>#N/A</v>
      </c>
      <c r="H29087" s="4" t="str">
        <v/>
      </c>
      <c r="I29087" s="4" t="str">
        <v/>
      </c>
    </row>
    <row r="29088" spans="5:9" ht="16.5" hidden="1">
      <c r="E29088" s="4" t="str">
        <v/>
      </c>
      <c r="F29088" s="102" t="str">
        <f ca="1">IFERROR(__xludf.DUMMYFUNCTION("IMPORTRANGE(H29088,""IDENTITAS UNIT!D9"")"),"#N/A")</f>
        <v>#N/A</v>
      </c>
      <c r="H29088" s="4" t="str">
        <v/>
      </c>
      <c r="I29088" s="4" t="str">
        <v/>
      </c>
    </row>
    <row r="29089" spans="5:9" ht="16.5" hidden="1">
      <c r="E29089" s="4" t="str">
        <v/>
      </c>
      <c r="F29089" s="102" t="str">
        <f ca="1">IFERROR(__xludf.DUMMYFUNCTION("IMPORTRANGE(H29089,""IDENTITAS UNIT!D9"")"),"#N/A")</f>
        <v>#N/A</v>
      </c>
      <c r="H29089" s="4" t="str">
        <v/>
      </c>
      <c r="I29089" s="4" t="str">
        <v/>
      </c>
    </row>
    <row r="29090" spans="5:9" ht="16.5" hidden="1">
      <c r="E29090" s="4" t="str">
        <v/>
      </c>
      <c r="F29090" s="102" t="str">
        <f ca="1">IFERROR(__xludf.DUMMYFUNCTION("IMPORTRANGE(H29090,""IDENTITAS UNIT!D9"")"),"#N/A")</f>
        <v>#N/A</v>
      </c>
      <c r="H29090" s="4" t="str">
        <v/>
      </c>
      <c r="I29090" s="4" t="str">
        <v/>
      </c>
    </row>
    <row r="29091" spans="5:9" ht="16.5" hidden="1">
      <c r="E29091" s="4" t="str">
        <v/>
      </c>
      <c r="F29091" s="102" t="str">
        <f ca="1">IFERROR(__xludf.DUMMYFUNCTION("IMPORTRANGE(H29091,""IDENTITAS UNIT!D9"")"),"#N/A")</f>
        <v>#N/A</v>
      </c>
      <c r="H29091" s="4" t="str">
        <v/>
      </c>
      <c r="I29091" s="4" t="str">
        <v/>
      </c>
    </row>
    <row r="29092" spans="5:9" ht="16.5" hidden="1">
      <c r="E29092" s="4" t="str">
        <v/>
      </c>
      <c r="F29092" s="102" t="str">
        <f ca="1">IFERROR(__xludf.DUMMYFUNCTION("IMPORTRANGE(H29092,""IDENTITAS UNIT!D9"")"),"#N/A")</f>
        <v>#N/A</v>
      </c>
      <c r="H29092" s="4" t="str">
        <v/>
      </c>
      <c r="I29092" s="4" t="str">
        <v/>
      </c>
    </row>
    <row r="29093" spans="5:9" ht="16.5" hidden="1">
      <c r="E29093" s="4" t="str">
        <v/>
      </c>
      <c r="F29093" s="102" t="str">
        <f ca="1">IFERROR(__xludf.DUMMYFUNCTION("IMPORTRANGE(H29093,""IDENTITAS UNIT!D9"")"),"#N/A")</f>
        <v>#N/A</v>
      </c>
      <c r="H29093" s="4" t="str">
        <v/>
      </c>
      <c r="I29093" s="4" t="str">
        <v/>
      </c>
    </row>
    <row r="29094" spans="5:9" ht="16.5" hidden="1">
      <c r="E29094" s="4" t="str">
        <v/>
      </c>
      <c r="F29094" s="102" t="str">
        <f ca="1">IFERROR(__xludf.DUMMYFUNCTION("IMPORTRANGE(H29094,""IDENTITAS UNIT!D9"")"),"#N/A")</f>
        <v>#N/A</v>
      </c>
      <c r="H29094" s="4" t="str">
        <v/>
      </c>
      <c r="I29094" s="4" t="str">
        <v/>
      </c>
    </row>
    <row r="29095" spans="5:9" ht="16.5" hidden="1">
      <c r="E29095" s="4" t="str">
        <v/>
      </c>
      <c r="F29095" s="102" t="str">
        <f ca="1">IFERROR(__xludf.DUMMYFUNCTION("IMPORTRANGE(H29095,""IDENTITAS UNIT!D9"")"),"#N/A")</f>
        <v>#N/A</v>
      </c>
      <c r="H29095" s="4" t="str">
        <v/>
      </c>
      <c r="I29095" s="4" t="str">
        <v/>
      </c>
    </row>
    <row r="29096" spans="5:9" ht="16.5" hidden="1">
      <c r="E29096" s="4" t="str">
        <v/>
      </c>
      <c r="F29096" s="102" t="str">
        <f ca="1">IFERROR(__xludf.DUMMYFUNCTION("IMPORTRANGE(H29096,""IDENTITAS UNIT!D9"")"),"#N/A")</f>
        <v>#N/A</v>
      </c>
      <c r="H29096" s="4" t="str">
        <v/>
      </c>
      <c r="I29096" s="4" t="str">
        <v/>
      </c>
    </row>
    <row r="29097" spans="5:9" ht="16.5" hidden="1">
      <c r="E29097" s="4" t="str">
        <v/>
      </c>
      <c r="F29097" s="102" t="str">
        <f ca="1">IFERROR(__xludf.DUMMYFUNCTION("IMPORTRANGE(H29097,""IDENTITAS UNIT!D9"")"),"#N/A")</f>
        <v>#N/A</v>
      </c>
      <c r="H29097" s="4" t="str">
        <v/>
      </c>
      <c r="I29097" s="4" t="str">
        <v/>
      </c>
    </row>
    <row r="29098" spans="5:9" ht="16.5" hidden="1">
      <c r="E29098" s="4" t="str">
        <v/>
      </c>
      <c r="F29098" s="102" t="str">
        <f ca="1">IFERROR(__xludf.DUMMYFUNCTION("IMPORTRANGE(H29098,""IDENTITAS UNIT!D9"")"),"#N/A")</f>
        <v>#N/A</v>
      </c>
      <c r="H29098" s="4" t="str">
        <v/>
      </c>
      <c r="I29098" s="4" t="str">
        <v/>
      </c>
    </row>
    <row r="29099" spans="5:9" ht="16.5" hidden="1">
      <c r="E29099" s="4" t="str">
        <v/>
      </c>
      <c r="F29099" s="102" t="str">
        <f ca="1">IFERROR(__xludf.DUMMYFUNCTION("IMPORTRANGE(H29099,""IDENTITAS UNIT!D9"")"),"#N/A")</f>
        <v>#N/A</v>
      </c>
      <c r="H29099" s="4" t="str">
        <v/>
      </c>
      <c r="I29099" s="4" t="str">
        <v/>
      </c>
    </row>
    <row r="29100" spans="5:9" ht="16.5" hidden="1">
      <c r="E29100" s="4" t="str">
        <v/>
      </c>
      <c r="F29100" s="102" t="str">
        <f ca="1">IFERROR(__xludf.DUMMYFUNCTION("IMPORTRANGE(H29100,""IDENTITAS UNIT!D9"")"),"#N/A")</f>
        <v>#N/A</v>
      </c>
      <c r="H29100" s="4" t="str">
        <v/>
      </c>
      <c r="I29100" s="4" t="str">
        <v/>
      </c>
    </row>
    <row r="29101" spans="5:9" ht="16.5" hidden="1">
      <c r="E29101" s="4" t="str">
        <v/>
      </c>
      <c r="F29101" s="102" t="str">
        <f ca="1">IFERROR(__xludf.DUMMYFUNCTION("IMPORTRANGE(H29101,""IDENTITAS UNIT!D9"")"),"#N/A")</f>
        <v>#N/A</v>
      </c>
      <c r="H29101" s="4" t="str">
        <v/>
      </c>
      <c r="I29101" s="4" t="str">
        <v/>
      </c>
    </row>
    <row r="29102" spans="5:9" ht="16.5" hidden="1">
      <c r="E29102" s="4" t="str">
        <v/>
      </c>
      <c r="F29102" s="102" t="str">
        <f ca="1">IFERROR(__xludf.DUMMYFUNCTION("IMPORTRANGE(H29102,""IDENTITAS UNIT!D9"")"),"#N/A")</f>
        <v>#N/A</v>
      </c>
      <c r="H29102" s="4" t="str">
        <v/>
      </c>
      <c r="I29102" s="4" t="str">
        <v/>
      </c>
    </row>
    <row r="29103" spans="5:9" ht="16.5" hidden="1">
      <c r="E29103" s="4" t="str">
        <v/>
      </c>
      <c r="F29103" s="102" t="str">
        <f ca="1">IFERROR(__xludf.DUMMYFUNCTION("IMPORTRANGE(H29103,""IDENTITAS UNIT!D9"")"),"#N/A")</f>
        <v>#N/A</v>
      </c>
      <c r="H29103" s="4" t="str">
        <v/>
      </c>
      <c r="I29103" s="4" t="str">
        <v/>
      </c>
    </row>
    <row r="29104" spans="5:9" ht="16.5" hidden="1">
      <c r="E29104" s="4" t="str">
        <v/>
      </c>
      <c r="F29104" s="102" t="str">
        <f ca="1">IFERROR(__xludf.DUMMYFUNCTION("IMPORTRANGE(H29104,""IDENTITAS UNIT!D9"")"),"#N/A")</f>
        <v>#N/A</v>
      </c>
      <c r="H29104" s="4" t="str">
        <v/>
      </c>
      <c r="I29104" s="4" t="str">
        <v/>
      </c>
    </row>
    <row r="29105" spans="5:9" ht="16.5" hidden="1">
      <c r="E29105" s="4" t="str">
        <v/>
      </c>
      <c r="F29105" s="102" t="str">
        <f ca="1">IFERROR(__xludf.DUMMYFUNCTION("IMPORTRANGE(H29105,""IDENTITAS UNIT!D9"")"),"#N/A")</f>
        <v>#N/A</v>
      </c>
      <c r="H29105" s="4" t="str">
        <v/>
      </c>
      <c r="I29105" s="4" t="str">
        <v/>
      </c>
    </row>
    <row r="29106" spans="5:9" ht="16.5" hidden="1">
      <c r="E29106" s="4" t="str">
        <v/>
      </c>
      <c r="F29106" s="102" t="str">
        <f ca="1">IFERROR(__xludf.DUMMYFUNCTION("IMPORTRANGE(H29106,""IDENTITAS UNIT!D9"")"),"#N/A")</f>
        <v>#N/A</v>
      </c>
      <c r="H29106" s="4" t="str">
        <v/>
      </c>
      <c r="I29106" s="4" t="str">
        <v/>
      </c>
    </row>
    <row r="29107" spans="5:9" ht="16.5" hidden="1">
      <c r="E29107" s="4" t="str">
        <v/>
      </c>
      <c r="F29107" s="102" t="str">
        <f ca="1">IFERROR(__xludf.DUMMYFUNCTION("IMPORTRANGE(H29107,""IDENTITAS UNIT!D9"")"),"#N/A")</f>
        <v>#N/A</v>
      </c>
      <c r="H29107" s="4" t="str">
        <v/>
      </c>
      <c r="I29107" s="4" t="str">
        <v/>
      </c>
    </row>
    <row r="29108" spans="5:9" ht="16.5" hidden="1">
      <c r="E29108" s="4" t="str">
        <v/>
      </c>
      <c r="F29108" s="102" t="str">
        <f ca="1">IFERROR(__xludf.DUMMYFUNCTION("IMPORTRANGE(H29108,""IDENTITAS UNIT!D9"")"),"#N/A")</f>
        <v>#N/A</v>
      </c>
      <c r="H29108" s="4" t="str">
        <v/>
      </c>
      <c r="I29108" s="4" t="str">
        <v/>
      </c>
    </row>
    <row r="29109" spans="5:9" ht="16.5" hidden="1">
      <c r="E29109" s="4" t="str">
        <v/>
      </c>
      <c r="F29109" s="102" t="str">
        <f ca="1">IFERROR(__xludf.DUMMYFUNCTION("IMPORTRANGE(H29109,""IDENTITAS UNIT!D9"")"),"#N/A")</f>
        <v>#N/A</v>
      </c>
      <c r="H29109" s="4" t="str">
        <v/>
      </c>
      <c r="I29109" s="4" t="str">
        <v/>
      </c>
    </row>
    <row r="29110" spans="5:9" ht="16.5" hidden="1">
      <c r="E29110" s="4" t="str">
        <v/>
      </c>
      <c r="F29110" s="102" t="str">
        <f ca="1">IFERROR(__xludf.DUMMYFUNCTION("IMPORTRANGE(H29110,""IDENTITAS UNIT!D9"")"),"#N/A")</f>
        <v>#N/A</v>
      </c>
      <c r="H29110" s="4" t="str">
        <v/>
      </c>
      <c r="I29110" s="4" t="str">
        <v/>
      </c>
    </row>
    <row r="29111" spans="5:9" ht="16.5" hidden="1">
      <c r="E29111" s="4" t="str">
        <v/>
      </c>
      <c r="F29111" s="102" t="str">
        <f ca="1">IFERROR(__xludf.DUMMYFUNCTION("IMPORTRANGE(H29111,""IDENTITAS UNIT!D9"")"),"#N/A")</f>
        <v>#N/A</v>
      </c>
      <c r="H29111" s="4" t="str">
        <v/>
      </c>
      <c r="I29111" s="4" t="str">
        <v/>
      </c>
    </row>
    <row r="29112" spans="5:9" ht="16.5" hidden="1">
      <c r="E29112" s="4" t="str">
        <v/>
      </c>
      <c r="F29112" s="102" t="str">
        <f ca="1">IFERROR(__xludf.DUMMYFUNCTION("IMPORTRANGE(H29112,""IDENTITAS UNIT!D9"")"),"#N/A")</f>
        <v>#N/A</v>
      </c>
      <c r="H29112" s="4" t="str">
        <v/>
      </c>
      <c r="I29112" s="4" t="str">
        <v/>
      </c>
    </row>
    <row r="29113" spans="5:9" ht="16.5" hidden="1">
      <c r="E29113" s="4" t="str">
        <v/>
      </c>
      <c r="F29113" s="102" t="str">
        <f ca="1">IFERROR(__xludf.DUMMYFUNCTION("IMPORTRANGE(H29113,""IDENTITAS UNIT!D9"")"),"#N/A")</f>
        <v>#N/A</v>
      </c>
      <c r="H29113" s="4" t="str">
        <v/>
      </c>
      <c r="I29113" s="4" t="str">
        <v/>
      </c>
    </row>
    <row r="29114" spans="5:9" ht="16.5" hidden="1">
      <c r="E29114" s="4" t="str">
        <v/>
      </c>
      <c r="F29114" s="102" t="str">
        <f ca="1">IFERROR(__xludf.DUMMYFUNCTION("IMPORTRANGE(H29114,""IDENTITAS UNIT!D9"")"),"#N/A")</f>
        <v>#N/A</v>
      </c>
      <c r="H29114" s="4" t="str">
        <v/>
      </c>
      <c r="I29114" s="4" t="str">
        <v/>
      </c>
    </row>
    <row r="29115" spans="5:9" ht="16.5" hidden="1">
      <c r="E29115" s="4" t="str">
        <v/>
      </c>
      <c r="F29115" s="102" t="str">
        <f ca="1">IFERROR(__xludf.DUMMYFUNCTION("IMPORTRANGE(H29115,""IDENTITAS UNIT!D9"")"),"#N/A")</f>
        <v>#N/A</v>
      </c>
      <c r="H29115" s="4" t="str">
        <v/>
      </c>
      <c r="I29115" s="4" t="str">
        <v/>
      </c>
    </row>
    <row r="29116" spans="5:9" ht="16.5" hidden="1">
      <c r="E29116" s="4" t="str">
        <v/>
      </c>
      <c r="F29116" s="102" t="str">
        <f ca="1">IFERROR(__xludf.DUMMYFUNCTION("IMPORTRANGE(H29116,""IDENTITAS UNIT!D9"")"),"#N/A")</f>
        <v>#N/A</v>
      </c>
      <c r="H29116" s="4" t="str">
        <v/>
      </c>
      <c r="I29116" s="4" t="str">
        <v/>
      </c>
    </row>
    <row r="29117" spans="5:9" ht="16.5" hidden="1">
      <c r="E29117" s="4" t="str">
        <v/>
      </c>
      <c r="F29117" s="102" t="str">
        <f ca="1">IFERROR(__xludf.DUMMYFUNCTION("IMPORTRANGE(H29117,""IDENTITAS UNIT!D9"")"),"#N/A")</f>
        <v>#N/A</v>
      </c>
      <c r="H29117" s="4" t="str">
        <v/>
      </c>
      <c r="I29117" s="4" t="str">
        <v/>
      </c>
    </row>
    <row r="29118" spans="5:9" ht="16.5" hidden="1">
      <c r="E29118" s="4" t="str">
        <v/>
      </c>
      <c r="F29118" s="102" t="str">
        <f ca="1">IFERROR(__xludf.DUMMYFUNCTION("IMPORTRANGE(H29118,""IDENTITAS UNIT!D9"")"),"#N/A")</f>
        <v>#N/A</v>
      </c>
      <c r="H29118" s="4" t="str">
        <v/>
      </c>
      <c r="I29118" s="4" t="str">
        <v/>
      </c>
    </row>
    <row r="29119" spans="5:9" ht="16.5" hidden="1">
      <c r="E29119" s="4" t="str">
        <v/>
      </c>
      <c r="F29119" s="102" t="str">
        <f ca="1">IFERROR(__xludf.DUMMYFUNCTION("IMPORTRANGE(H29119,""IDENTITAS UNIT!D9"")"),"#N/A")</f>
        <v>#N/A</v>
      </c>
      <c r="H29119" s="4" t="str">
        <v/>
      </c>
      <c r="I29119" s="4" t="str">
        <v/>
      </c>
    </row>
    <row r="29120" spans="5:9" ht="16.5" hidden="1">
      <c r="E29120" s="4" t="str">
        <v/>
      </c>
      <c r="F29120" s="102" t="str">
        <f ca="1">IFERROR(__xludf.DUMMYFUNCTION("IMPORTRANGE(H29120,""IDENTITAS UNIT!D9"")"),"#N/A")</f>
        <v>#N/A</v>
      </c>
      <c r="H29120" s="4" t="str">
        <v/>
      </c>
      <c r="I29120" s="4" t="str">
        <v/>
      </c>
    </row>
    <row r="29121" spans="5:9" ht="16.5" hidden="1">
      <c r="E29121" s="4" t="str">
        <v/>
      </c>
      <c r="F29121" s="102" t="str">
        <f ca="1">IFERROR(__xludf.DUMMYFUNCTION("IMPORTRANGE(H29121,""IDENTITAS UNIT!D9"")"),"#N/A")</f>
        <v>#N/A</v>
      </c>
      <c r="H29121" s="4" t="str">
        <v/>
      </c>
      <c r="I29121" s="4" t="str">
        <v/>
      </c>
    </row>
    <row r="29122" spans="5:9" ht="16.5" hidden="1">
      <c r="E29122" s="4" t="str">
        <v/>
      </c>
      <c r="F29122" s="102" t="str">
        <f ca="1">IFERROR(__xludf.DUMMYFUNCTION("IMPORTRANGE(H29122,""IDENTITAS UNIT!D9"")"),"#N/A")</f>
        <v>#N/A</v>
      </c>
      <c r="H29122" s="4" t="str">
        <v/>
      </c>
      <c r="I29122" s="4" t="str">
        <v/>
      </c>
    </row>
    <row r="29123" spans="5:9" ht="16.5" hidden="1">
      <c r="E29123" s="4" t="str">
        <v/>
      </c>
      <c r="F29123" s="102" t="str">
        <f ca="1">IFERROR(__xludf.DUMMYFUNCTION("IMPORTRANGE(H29123,""IDENTITAS UNIT!D9"")"),"#N/A")</f>
        <v>#N/A</v>
      </c>
      <c r="H29123" s="4" t="str">
        <v/>
      </c>
      <c r="I29123" s="4" t="str">
        <v/>
      </c>
    </row>
    <row r="29124" spans="5:9" ht="16.5" hidden="1">
      <c r="E29124" s="4" t="str">
        <v/>
      </c>
      <c r="F29124" s="102" t="str">
        <f ca="1">IFERROR(__xludf.DUMMYFUNCTION("IMPORTRANGE(H29124,""IDENTITAS UNIT!D9"")"),"#N/A")</f>
        <v>#N/A</v>
      </c>
      <c r="H29124" s="4" t="str">
        <v/>
      </c>
      <c r="I29124" s="4" t="str">
        <v/>
      </c>
    </row>
    <row r="29125" spans="5:9" ht="16.5" hidden="1">
      <c r="E29125" s="4" t="str">
        <v/>
      </c>
      <c r="F29125" s="102" t="str">
        <f ca="1">IFERROR(__xludf.DUMMYFUNCTION("IMPORTRANGE(H29125,""IDENTITAS UNIT!D9"")"),"#N/A")</f>
        <v>#N/A</v>
      </c>
      <c r="H29125" s="4" t="str">
        <v/>
      </c>
      <c r="I29125" s="4" t="str">
        <v/>
      </c>
    </row>
    <row r="29126" spans="5:9" ht="16.5" hidden="1">
      <c r="E29126" s="4" t="str">
        <v/>
      </c>
      <c r="F29126" s="102" t="str">
        <f ca="1">IFERROR(__xludf.DUMMYFUNCTION("IMPORTRANGE(H29126,""IDENTITAS UNIT!D9"")"),"#N/A")</f>
        <v>#N/A</v>
      </c>
      <c r="H29126" s="4" t="str">
        <v/>
      </c>
      <c r="I29126" s="4" t="str">
        <v/>
      </c>
    </row>
    <row r="29127" spans="5:9" ht="16.5" hidden="1">
      <c r="E29127" s="4" t="str">
        <v/>
      </c>
      <c r="F29127" s="102" t="str">
        <f ca="1">IFERROR(__xludf.DUMMYFUNCTION("IMPORTRANGE(H29127,""IDENTITAS UNIT!D9"")"),"#N/A")</f>
        <v>#N/A</v>
      </c>
      <c r="H29127" s="4" t="str">
        <v/>
      </c>
      <c r="I29127" s="4" t="str">
        <v/>
      </c>
    </row>
    <row r="29128" spans="5:9" ht="16.5" hidden="1">
      <c r="E29128" s="4" t="str">
        <v/>
      </c>
      <c r="F29128" s="102" t="str">
        <f ca="1">IFERROR(__xludf.DUMMYFUNCTION("IMPORTRANGE(H29128,""IDENTITAS UNIT!D9"")"),"#N/A")</f>
        <v>#N/A</v>
      </c>
      <c r="H29128" s="4" t="str">
        <v/>
      </c>
      <c r="I29128" s="4" t="str">
        <v/>
      </c>
    </row>
    <row r="29129" spans="5:9" ht="16.5" hidden="1">
      <c r="E29129" s="4" t="str">
        <v/>
      </c>
      <c r="F29129" s="102" t="str">
        <f ca="1">IFERROR(__xludf.DUMMYFUNCTION("IMPORTRANGE(H29129,""IDENTITAS UNIT!D9"")"),"#N/A")</f>
        <v>#N/A</v>
      </c>
      <c r="H29129" s="4" t="str">
        <v/>
      </c>
      <c r="I29129" s="4" t="str">
        <v/>
      </c>
    </row>
    <row r="29130" spans="5:9" ht="16.5" hidden="1">
      <c r="E29130" s="4" t="str">
        <v/>
      </c>
      <c r="F29130" s="102" t="str">
        <f ca="1">IFERROR(__xludf.DUMMYFUNCTION("IMPORTRANGE(H29130,""IDENTITAS UNIT!D9"")"),"#N/A")</f>
        <v>#N/A</v>
      </c>
      <c r="H29130" s="4" t="str">
        <v/>
      </c>
      <c r="I29130" s="4" t="str">
        <v/>
      </c>
    </row>
    <row r="29131" spans="5:9" ht="16.5" hidden="1">
      <c r="E29131" s="4" t="str">
        <v/>
      </c>
      <c r="F29131" s="102" t="str">
        <f ca="1">IFERROR(__xludf.DUMMYFUNCTION("IMPORTRANGE(H29131,""IDENTITAS UNIT!D9"")"),"#N/A")</f>
        <v>#N/A</v>
      </c>
      <c r="H29131" s="4" t="str">
        <v/>
      </c>
      <c r="I29131" s="4" t="str">
        <v/>
      </c>
    </row>
    <row r="29132" spans="5:9" ht="16.5" hidden="1">
      <c r="E29132" s="4" t="str">
        <v/>
      </c>
      <c r="F29132" s="102" t="str">
        <f ca="1">IFERROR(__xludf.DUMMYFUNCTION("IMPORTRANGE(H29132,""IDENTITAS UNIT!D9"")"),"#N/A")</f>
        <v>#N/A</v>
      </c>
      <c r="H29132" s="4" t="str">
        <v/>
      </c>
      <c r="I29132" s="4" t="str">
        <v/>
      </c>
    </row>
    <row r="29133" spans="5:9" ht="16.5" hidden="1">
      <c r="E29133" s="4" t="str">
        <v/>
      </c>
      <c r="F29133" s="102" t="str">
        <f ca="1">IFERROR(__xludf.DUMMYFUNCTION("IMPORTRANGE(H29133,""IDENTITAS UNIT!D9"")"),"#N/A")</f>
        <v>#N/A</v>
      </c>
      <c r="H29133" s="4" t="str">
        <v/>
      </c>
      <c r="I29133" s="4" t="str">
        <v/>
      </c>
    </row>
    <row r="29134" spans="5:9" ht="16.5" hidden="1">
      <c r="E29134" s="4" t="str">
        <v/>
      </c>
      <c r="F29134" s="102" t="str">
        <f ca="1">IFERROR(__xludf.DUMMYFUNCTION("IMPORTRANGE(H29134,""IDENTITAS UNIT!D9"")"),"#N/A")</f>
        <v>#N/A</v>
      </c>
      <c r="H29134" s="4" t="str">
        <v/>
      </c>
      <c r="I29134" s="4" t="str">
        <v/>
      </c>
    </row>
    <row r="29135" spans="5:9" ht="16.5" hidden="1">
      <c r="E29135" s="4" t="str">
        <v/>
      </c>
      <c r="F29135" s="102" t="str">
        <f ca="1">IFERROR(__xludf.DUMMYFUNCTION("IMPORTRANGE(H29135,""IDENTITAS UNIT!D9"")"),"#N/A")</f>
        <v>#N/A</v>
      </c>
      <c r="H29135" s="4" t="str">
        <v/>
      </c>
      <c r="I29135" s="4" t="str">
        <v/>
      </c>
    </row>
    <row r="29136" spans="5:9" ht="16.5" hidden="1">
      <c r="E29136" s="4" t="str">
        <v/>
      </c>
      <c r="F29136" s="102" t="str">
        <f ca="1">IFERROR(__xludf.DUMMYFUNCTION("IMPORTRANGE(H29136,""IDENTITAS UNIT!D9"")"),"#N/A")</f>
        <v>#N/A</v>
      </c>
      <c r="H29136" s="4" t="str">
        <v/>
      </c>
      <c r="I29136" s="4" t="str">
        <v/>
      </c>
    </row>
    <row r="29137" spans="5:9" ht="16.5" hidden="1">
      <c r="E29137" s="4" t="str">
        <v/>
      </c>
      <c r="F29137" s="102" t="str">
        <f ca="1">IFERROR(__xludf.DUMMYFUNCTION("IMPORTRANGE(H29137,""IDENTITAS UNIT!D9"")"),"#N/A")</f>
        <v>#N/A</v>
      </c>
      <c r="H29137" s="4" t="str">
        <v/>
      </c>
      <c r="I29137" s="4" t="str">
        <v/>
      </c>
    </row>
    <row r="29138" spans="5:9" ht="16.5" hidden="1">
      <c r="E29138" s="4" t="str">
        <v/>
      </c>
      <c r="F29138" s="102" t="str">
        <f ca="1">IFERROR(__xludf.DUMMYFUNCTION("IMPORTRANGE(H29138,""IDENTITAS UNIT!D9"")"),"#N/A")</f>
        <v>#N/A</v>
      </c>
      <c r="H29138" s="4" t="str">
        <v/>
      </c>
      <c r="I29138" s="4" t="str">
        <v/>
      </c>
    </row>
    <row r="29139" spans="5:9" ht="16.5" hidden="1">
      <c r="E29139" s="4" t="str">
        <v/>
      </c>
      <c r="F29139" s="102" t="str">
        <f ca="1">IFERROR(__xludf.DUMMYFUNCTION("IMPORTRANGE(H29139,""IDENTITAS UNIT!D9"")"),"#N/A")</f>
        <v>#N/A</v>
      </c>
      <c r="H29139" s="4" t="str">
        <v/>
      </c>
      <c r="I29139" s="4" t="str">
        <v/>
      </c>
    </row>
    <row r="29140" spans="5:9" ht="16.5" hidden="1">
      <c r="E29140" s="4" t="str">
        <v/>
      </c>
      <c r="F29140" s="102" t="str">
        <f ca="1">IFERROR(__xludf.DUMMYFUNCTION("IMPORTRANGE(H29140,""IDENTITAS UNIT!D9"")"),"#N/A")</f>
        <v>#N/A</v>
      </c>
      <c r="H29140" s="4" t="str">
        <v/>
      </c>
      <c r="I29140" s="4" t="str">
        <v/>
      </c>
    </row>
    <row r="29141" spans="5:9" ht="16.5" hidden="1">
      <c r="E29141" s="4" t="str">
        <v/>
      </c>
      <c r="F29141" s="102" t="str">
        <f ca="1">IFERROR(__xludf.DUMMYFUNCTION("IMPORTRANGE(H29141,""IDENTITAS UNIT!D9"")"),"#N/A")</f>
        <v>#N/A</v>
      </c>
      <c r="H29141" s="4" t="str">
        <v/>
      </c>
      <c r="I29141" s="4" t="str">
        <v/>
      </c>
    </row>
    <row r="29142" spans="5:9" ht="16.5" hidden="1">
      <c r="E29142" s="4" t="str">
        <v/>
      </c>
      <c r="F29142" s="102" t="str">
        <f ca="1">IFERROR(__xludf.DUMMYFUNCTION("IMPORTRANGE(H29142,""IDENTITAS UNIT!D9"")"),"#N/A")</f>
        <v>#N/A</v>
      </c>
      <c r="H29142" s="4" t="str">
        <v/>
      </c>
      <c r="I29142" s="4" t="str">
        <v/>
      </c>
    </row>
    <row r="29143" spans="5:9" ht="16.5" hidden="1">
      <c r="E29143" s="4" t="str">
        <v/>
      </c>
      <c r="F29143" s="102" t="str">
        <f ca="1">IFERROR(__xludf.DUMMYFUNCTION("IMPORTRANGE(H29143,""IDENTITAS UNIT!D9"")"),"#N/A")</f>
        <v>#N/A</v>
      </c>
      <c r="H29143" s="4" t="str">
        <v/>
      </c>
      <c r="I29143" s="4" t="str">
        <v/>
      </c>
    </row>
    <row r="29144" spans="5:9" ht="16.5" hidden="1">
      <c r="E29144" s="4" t="str">
        <v/>
      </c>
      <c r="F29144" s="102" t="str">
        <f ca="1">IFERROR(__xludf.DUMMYFUNCTION("IMPORTRANGE(H29144,""IDENTITAS UNIT!D9"")"),"#N/A")</f>
        <v>#N/A</v>
      </c>
      <c r="H29144" s="4" t="str">
        <v/>
      </c>
      <c r="I29144" s="4" t="str">
        <v/>
      </c>
    </row>
    <row r="29145" spans="5:9" ht="16.5" hidden="1">
      <c r="E29145" s="4" t="str">
        <v/>
      </c>
      <c r="F29145" s="102" t="str">
        <f ca="1">IFERROR(__xludf.DUMMYFUNCTION("IMPORTRANGE(H29145,""IDENTITAS UNIT!D9"")"),"#N/A")</f>
        <v>#N/A</v>
      </c>
      <c r="H29145" s="4" t="str">
        <v/>
      </c>
      <c r="I29145" s="4" t="str">
        <v/>
      </c>
    </row>
    <row r="29146" spans="5:9" ht="16.5" hidden="1">
      <c r="E29146" s="4" t="str">
        <v/>
      </c>
      <c r="F29146" s="102" t="str">
        <f ca="1">IFERROR(__xludf.DUMMYFUNCTION("IMPORTRANGE(H29146,""IDENTITAS UNIT!D9"")"),"#N/A")</f>
        <v>#N/A</v>
      </c>
      <c r="H29146" s="4" t="str">
        <v/>
      </c>
      <c r="I29146" s="4" t="str">
        <v/>
      </c>
    </row>
    <row r="29147" spans="5:9" ht="16.5" hidden="1">
      <c r="E29147" s="4" t="str">
        <v/>
      </c>
      <c r="F29147" s="102" t="str">
        <f ca="1">IFERROR(__xludf.DUMMYFUNCTION("IMPORTRANGE(H29147,""IDENTITAS UNIT!D9"")"),"#N/A")</f>
        <v>#N/A</v>
      </c>
      <c r="H29147" s="4" t="str">
        <v/>
      </c>
      <c r="I29147" s="4" t="str">
        <v/>
      </c>
    </row>
    <row r="29148" spans="5:9" ht="16.5" hidden="1">
      <c r="E29148" s="4" t="str">
        <v/>
      </c>
      <c r="F29148" s="102" t="str">
        <f ca="1">IFERROR(__xludf.DUMMYFUNCTION("IMPORTRANGE(H29148,""IDENTITAS UNIT!D9"")"),"#N/A")</f>
        <v>#N/A</v>
      </c>
      <c r="H29148" s="4" t="str">
        <v/>
      </c>
      <c r="I29148" s="4" t="str">
        <v/>
      </c>
    </row>
    <row r="29149" spans="5:9" ht="16.5" hidden="1">
      <c r="E29149" s="4" t="str">
        <v/>
      </c>
      <c r="F29149" s="102" t="str">
        <f ca="1">IFERROR(__xludf.DUMMYFUNCTION("IMPORTRANGE(H29149,""IDENTITAS UNIT!D9"")"),"#N/A")</f>
        <v>#N/A</v>
      </c>
      <c r="H29149" s="4" t="str">
        <v/>
      </c>
      <c r="I29149" s="4" t="str">
        <v/>
      </c>
    </row>
    <row r="29150" spans="5:9" ht="16.5" hidden="1">
      <c r="E29150" s="4" t="str">
        <v/>
      </c>
      <c r="F29150" s="102" t="str">
        <f ca="1">IFERROR(__xludf.DUMMYFUNCTION("IMPORTRANGE(H29150,""IDENTITAS UNIT!D9"")"),"#N/A")</f>
        <v>#N/A</v>
      </c>
      <c r="H29150" s="4" t="str">
        <v/>
      </c>
      <c r="I29150" s="4" t="str">
        <v/>
      </c>
    </row>
    <row r="29151" spans="5:9" ht="16.5" hidden="1">
      <c r="E29151" s="4" t="str">
        <v/>
      </c>
      <c r="F29151" s="102" t="str">
        <f ca="1">IFERROR(__xludf.DUMMYFUNCTION("IMPORTRANGE(H29151,""IDENTITAS UNIT!D9"")"),"#N/A")</f>
        <v>#N/A</v>
      </c>
      <c r="H29151" s="4" t="str">
        <v/>
      </c>
      <c r="I29151" s="4" t="str">
        <v/>
      </c>
    </row>
    <row r="29152" spans="5:9" ht="16.5" hidden="1">
      <c r="E29152" s="4" t="str">
        <v/>
      </c>
      <c r="F29152" s="102" t="str">
        <f ca="1">IFERROR(__xludf.DUMMYFUNCTION("IMPORTRANGE(H29152,""IDENTITAS UNIT!D9"")"),"#N/A")</f>
        <v>#N/A</v>
      </c>
      <c r="H29152" s="4" t="str">
        <v/>
      </c>
      <c r="I29152" s="4" t="str">
        <v/>
      </c>
    </row>
    <row r="29153" spans="5:9" ht="16.5" hidden="1">
      <c r="E29153" s="4" t="str">
        <v/>
      </c>
      <c r="F29153" s="102" t="str">
        <f ca="1">IFERROR(__xludf.DUMMYFUNCTION("IMPORTRANGE(H29153,""IDENTITAS UNIT!D9"")"),"#N/A")</f>
        <v>#N/A</v>
      </c>
      <c r="H29153" s="4" t="str">
        <v/>
      </c>
      <c r="I29153" s="4" t="str">
        <v/>
      </c>
    </row>
    <row r="29154" spans="5:9" ht="16.5" hidden="1">
      <c r="E29154" s="4" t="str">
        <v/>
      </c>
      <c r="F29154" s="102" t="str">
        <f ca="1">IFERROR(__xludf.DUMMYFUNCTION("IMPORTRANGE(H29154,""IDENTITAS UNIT!D9"")"),"#N/A")</f>
        <v>#N/A</v>
      </c>
      <c r="H29154" s="4" t="str">
        <v/>
      </c>
      <c r="I29154" s="4" t="str">
        <v/>
      </c>
    </row>
    <row r="29155" spans="5:9" ht="16.5" hidden="1">
      <c r="E29155" s="4" t="str">
        <v/>
      </c>
      <c r="F29155" s="102" t="str">
        <f ca="1">IFERROR(__xludf.DUMMYFUNCTION("IMPORTRANGE(H29155,""IDENTITAS UNIT!D9"")"),"#N/A")</f>
        <v>#N/A</v>
      </c>
      <c r="H29155" s="4" t="str">
        <v/>
      </c>
      <c r="I29155" s="4" t="str">
        <v/>
      </c>
    </row>
    <row r="29156" spans="5:9" ht="16.5" hidden="1">
      <c r="E29156" s="4" t="str">
        <v/>
      </c>
      <c r="F29156" s="102" t="str">
        <f ca="1">IFERROR(__xludf.DUMMYFUNCTION("IMPORTRANGE(H29156,""IDENTITAS UNIT!D9"")"),"#N/A")</f>
        <v>#N/A</v>
      </c>
      <c r="H29156" s="4" t="str">
        <v/>
      </c>
      <c r="I29156" s="4" t="str">
        <v/>
      </c>
    </row>
    <row r="29157" spans="5:9" ht="16.5" hidden="1">
      <c r="E29157" s="4" t="str">
        <v/>
      </c>
      <c r="F29157" s="102" t="str">
        <f ca="1">IFERROR(__xludf.DUMMYFUNCTION("IMPORTRANGE(H29157,""IDENTITAS UNIT!D9"")"),"#N/A")</f>
        <v>#N/A</v>
      </c>
      <c r="H29157" s="4" t="str">
        <v/>
      </c>
      <c r="I29157" s="4" t="str">
        <v/>
      </c>
    </row>
    <row r="29158" spans="5:9" ht="16.5" hidden="1">
      <c r="E29158" s="4" t="str">
        <v/>
      </c>
      <c r="F29158" s="102" t="str">
        <f ca="1">IFERROR(__xludf.DUMMYFUNCTION("IMPORTRANGE(H29158,""IDENTITAS UNIT!D9"")"),"#N/A")</f>
        <v>#N/A</v>
      </c>
      <c r="H29158" s="4" t="str">
        <v/>
      </c>
      <c r="I29158" s="4" t="str">
        <v/>
      </c>
    </row>
    <row r="29159" spans="5:9" ht="16.5" hidden="1">
      <c r="E29159" s="4" t="str">
        <v/>
      </c>
      <c r="F29159" s="102" t="str">
        <f ca="1">IFERROR(__xludf.DUMMYFUNCTION("IMPORTRANGE(H29159,""IDENTITAS UNIT!D9"")"),"#N/A")</f>
        <v>#N/A</v>
      </c>
      <c r="H29159" s="4" t="str">
        <v/>
      </c>
      <c r="I29159" s="4" t="str">
        <v/>
      </c>
    </row>
    <row r="29160" spans="5:9" ht="16.5" hidden="1">
      <c r="E29160" s="4" t="str">
        <v/>
      </c>
      <c r="F29160" s="102" t="str">
        <f ca="1">IFERROR(__xludf.DUMMYFUNCTION("IMPORTRANGE(H29160,""IDENTITAS UNIT!D9"")"),"#N/A")</f>
        <v>#N/A</v>
      </c>
      <c r="H29160" s="4" t="str">
        <v/>
      </c>
      <c r="I29160" s="4" t="str">
        <v/>
      </c>
    </row>
    <row r="29161" spans="5:9" ht="16.5" hidden="1">
      <c r="E29161" s="4" t="str">
        <v/>
      </c>
      <c r="F29161" s="102" t="str">
        <f ca="1">IFERROR(__xludf.DUMMYFUNCTION("IMPORTRANGE(H29161,""IDENTITAS UNIT!D9"")"),"#N/A")</f>
        <v>#N/A</v>
      </c>
      <c r="H29161" s="4" t="str">
        <v/>
      </c>
      <c r="I29161" s="4" t="str">
        <v/>
      </c>
    </row>
    <row r="29162" spans="5:9" ht="16.5" hidden="1">
      <c r="E29162" s="4" t="str">
        <v/>
      </c>
      <c r="F29162" s="102" t="str">
        <f ca="1">IFERROR(__xludf.DUMMYFUNCTION("IMPORTRANGE(H29162,""IDENTITAS UNIT!D9"")"),"#N/A")</f>
        <v>#N/A</v>
      </c>
      <c r="H29162" s="4" t="str">
        <v/>
      </c>
      <c r="I29162" s="4" t="str">
        <v/>
      </c>
    </row>
    <row r="29163" spans="5:9" ht="16.5" hidden="1">
      <c r="E29163" s="4" t="str">
        <v/>
      </c>
      <c r="F29163" s="102" t="str">
        <f ca="1">IFERROR(__xludf.DUMMYFUNCTION("IMPORTRANGE(H29163,""IDENTITAS UNIT!D9"")"),"#N/A")</f>
        <v>#N/A</v>
      </c>
      <c r="H29163" s="4" t="str">
        <v/>
      </c>
      <c r="I29163" s="4" t="str">
        <v/>
      </c>
    </row>
    <row r="29164" spans="5:9" ht="16.5" hidden="1">
      <c r="E29164" s="4" t="str">
        <v/>
      </c>
      <c r="F29164" s="102" t="str">
        <f ca="1">IFERROR(__xludf.DUMMYFUNCTION("IMPORTRANGE(H29164,""IDENTITAS UNIT!D9"")"),"#N/A")</f>
        <v>#N/A</v>
      </c>
      <c r="H29164" s="4" t="str">
        <v/>
      </c>
      <c r="I29164" s="4" t="str">
        <v/>
      </c>
    </row>
    <row r="29165" spans="5:9" ht="16.5" hidden="1">
      <c r="E29165" s="4" t="str">
        <v/>
      </c>
      <c r="F29165" s="102" t="str">
        <f ca="1">IFERROR(__xludf.DUMMYFUNCTION("IMPORTRANGE(H29165,""IDENTITAS UNIT!D9"")"),"#N/A")</f>
        <v>#N/A</v>
      </c>
      <c r="H29165" s="4" t="str">
        <v/>
      </c>
      <c r="I29165" s="4" t="str">
        <v/>
      </c>
    </row>
    <row r="29166" spans="5:9" ht="16.5" hidden="1">
      <c r="E29166" s="4" t="str">
        <v/>
      </c>
      <c r="F29166" s="102" t="str">
        <f ca="1">IFERROR(__xludf.DUMMYFUNCTION("IMPORTRANGE(H29166,""IDENTITAS UNIT!D9"")"),"#N/A")</f>
        <v>#N/A</v>
      </c>
      <c r="H29166" s="4" t="str">
        <v/>
      </c>
      <c r="I29166" s="4" t="str">
        <v/>
      </c>
    </row>
    <row r="29167" spans="5:9" ht="16.5" hidden="1">
      <c r="E29167" s="4" t="str">
        <v/>
      </c>
      <c r="F29167" s="102" t="str">
        <f ca="1">IFERROR(__xludf.DUMMYFUNCTION("IMPORTRANGE(H29167,""IDENTITAS UNIT!D9"")"),"#N/A")</f>
        <v>#N/A</v>
      </c>
      <c r="H29167" s="4" t="str">
        <v/>
      </c>
      <c r="I29167" s="4" t="str">
        <v/>
      </c>
    </row>
    <row r="29168" spans="5:9" ht="16.5" hidden="1">
      <c r="E29168" s="4" t="str">
        <v/>
      </c>
      <c r="F29168" s="102" t="str">
        <f ca="1">IFERROR(__xludf.DUMMYFUNCTION("IMPORTRANGE(H29168,""IDENTITAS UNIT!D9"")"),"#N/A")</f>
        <v>#N/A</v>
      </c>
      <c r="H29168" s="4" t="str">
        <v/>
      </c>
      <c r="I29168" s="4" t="str">
        <v/>
      </c>
    </row>
    <row r="29169" spans="5:9" ht="16.5" hidden="1">
      <c r="E29169" s="4" t="str">
        <v/>
      </c>
      <c r="F29169" s="102" t="str">
        <f ca="1">IFERROR(__xludf.DUMMYFUNCTION("IMPORTRANGE(H29169,""IDENTITAS UNIT!D9"")"),"#N/A")</f>
        <v>#N/A</v>
      </c>
      <c r="H29169" s="4" t="str">
        <v/>
      </c>
      <c r="I29169" s="4" t="str">
        <v/>
      </c>
    </row>
    <row r="29170" spans="5:9" ht="16.5" hidden="1">
      <c r="E29170" s="4" t="str">
        <v/>
      </c>
      <c r="F29170" s="102" t="str">
        <f ca="1">IFERROR(__xludf.DUMMYFUNCTION("IMPORTRANGE(H29170,""IDENTITAS UNIT!D9"")"),"#N/A")</f>
        <v>#N/A</v>
      </c>
      <c r="H29170" s="4" t="str">
        <v/>
      </c>
      <c r="I29170" s="4" t="str">
        <v/>
      </c>
    </row>
    <row r="29171" spans="5:9" ht="16.5" hidden="1">
      <c r="E29171" s="4" t="str">
        <v/>
      </c>
      <c r="F29171" s="102" t="str">
        <f ca="1">IFERROR(__xludf.DUMMYFUNCTION("IMPORTRANGE(H29171,""IDENTITAS UNIT!D9"")"),"#N/A")</f>
        <v>#N/A</v>
      </c>
      <c r="H29171" s="4" t="str">
        <v/>
      </c>
      <c r="I29171" s="4" t="str">
        <v/>
      </c>
    </row>
    <row r="29172" spans="5:9" ht="16.5" hidden="1">
      <c r="E29172" s="4" t="str">
        <v/>
      </c>
      <c r="F29172" s="102" t="str">
        <f ca="1">IFERROR(__xludf.DUMMYFUNCTION("IMPORTRANGE(H29172,""IDENTITAS UNIT!D9"")"),"#N/A")</f>
        <v>#N/A</v>
      </c>
      <c r="H29172" s="4" t="str">
        <v/>
      </c>
      <c r="I29172" s="4" t="str">
        <v/>
      </c>
    </row>
    <row r="29173" spans="5:9" ht="16.5" hidden="1">
      <c r="E29173" s="4" t="str">
        <v/>
      </c>
      <c r="F29173" s="102" t="str">
        <f ca="1">IFERROR(__xludf.DUMMYFUNCTION("IMPORTRANGE(H29173,""IDENTITAS UNIT!D9"")"),"#N/A")</f>
        <v>#N/A</v>
      </c>
      <c r="H29173" s="4" t="str">
        <v/>
      </c>
      <c r="I29173" s="4" t="str">
        <v/>
      </c>
    </row>
    <row r="29174" spans="5:9" ht="16.5" hidden="1">
      <c r="E29174" s="4" t="str">
        <v/>
      </c>
      <c r="F29174" s="102" t="str">
        <f ca="1">IFERROR(__xludf.DUMMYFUNCTION("IMPORTRANGE(H29174,""IDENTITAS UNIT!D9"")"),"#N/A")</f>
        <v>#N/A</v>
      </c>
      <c r="H29174" s="4" t="str">
        <v/>
      </c>
      <c r="I29174" s="4" t="str">
        <v/>
      </c>
    </row>
    <row r="29175" spans="5:9" ht="16.5" hidden="1">
      <c r="E29175" s="4" t="str">
        <v/>
      </c>
      <c r="F29175" s="102" t="str">
        <f ca="1">IFERROR(__xludf.DUMMYFUNCTION("IMPORTRANGE(H29175,""IDENTITAS UNIT!D9"")"),"#N/A")</f>
        <v>#N/A</v>
      </c>
      <c r="H29175" s="4" t="str">
        <v/>
      </c>
      <c r="I29175" s="4" t="str">
        <v/>
      </c>
    </row>
    <row r="29176" spans="5:9" ht="16.5" hidden="1">
      <c r="E29176" s="4" t="str">
        <v/>
      </c>
      <c r="F29176" s="102" t="str">
        <f ca="1">IFERROR(__xludf.DUMMYFUNCTION("IMPORTRANGE(H29176,""IDENTITAS UNIT!D9"")"),"#N/A")</f>
        <v>#N/A</v>
      </c>
      <c r="H29176" s="4" t="str">
        <v/>
      </c>
      <c r="I29176" s="4" t="str">
        <v/>
      </c>
    </row>
    <row r="29177" spans="5:9" ht="16.5" hidden="1">
      <c r="E29177" s="4" t="str">
        <v/>
      </c>
      <c r="F29177" s="102" t="str">
        <f ca="1">IFERROR(__xludf.DUMMYFUNCTION("IMPORTRANGE(H29177,""IDENTITAS UNIT!D9"")"),"#N/A")</f>
        <v>#N/A</v>
      </c>
      <c r="H29177" s="4" t="str">
        <v/>
      </c>
      <c r="I29177" s="4" t="str">
        <v/>
      </c>
    </row>
    <row r="29178" spans="5:9" ht="16.5" hidden="1">
      <c r="E29178" s="4" t="str">
        <v/>
      </c>
      <c r="F29178" s="102" t="str">
        <f ca="1">IFERROR(__xludf.DUMMYFUNCTION("IMPORTRANGE(H29178,""IDENTITAS UNIT!D9"")"),"#N/A")</f>
        <v>#N/A</v>
      </c>
      <c r="H29178" s="4" t="str">
        <v/>
      </c>
      <c r="I29178" s="4" t="str">
        <v/>
      </c>
    </row>
    <row r="29179" spans="5:9" ht="16.5" hidden="1">
      <c r="E29179" s="4" t="str">
        <v/>
      </c>
      <c r="F29179" s="102" t="str">
        <f ca="1">IFERROR(__xludf.DUMMYFUNCTION("IMPORTRANGE(H29179,""IDENTITAS UNIT!D9"")"),"#N/A")</f>
        <v>#N/A</v>
      </c>
      <c r="H29179" s="4" t="str">
        <v/>
      </c>
      <c r="I29179" s="4" t="str">
        <v/>
      </c>
    </row>
    <row r="29180" spans="5:9" ht="16.5" hidden="1">
      <c r="E29180" s="4" t="str">
        <v/>
      </c>
      <c r="F29180" s="102" t="str">
        <f ca="1">IFERROR(__xludf.DUMMYFUNCTION("IMPORTRANGE(H29180,""IDENTITAS UNIT!D9"")"),"#N/A")</f>
        <v>#N/A</v>
      </c>
      <c r="H29180" s="4" t="str">
        <v/>
      </c>
      <c r="I29180" s="4" t="str">
        <v/>
      </c>
    </row>
    <row r="29181" spans="5:9" ht="16.5" hidden="1">
      <c r="E29181" s="4" t="str">
        <v/>
      </c>
      <c r="F29181" s="102" t="str">
        <f ca="1">IFERROR(__xludf.DUMMYFUNCTION("IMPORTRANGE(H29181,""IDENTITAS UNIT!D9"")"),"#N/A")</f>
        <v>#N/A</v>
      </c>
      <c r="H29181" s="4" t="str">
        <v/>
      </c>
      <c r="I29181" s="4" t="str">
        <v/>
      </c>
    </row>
    <row r="29182" spans="5:9" ht="16.5" hidden="1">
      <c r="E29182" s="4" t="str">
        <v/>
      </c>
      <c r="F29182" s="102" t="str">
        <f ca="1">IFERROR(__xludf.DUMMYFUNCTION("IMPORTRANGE(H29182,""IDENTITAS UNIT!D9"")"),"#N/A")</f>
        <v>#N/A</v>
      </c>
      <c r="H29182" s="4" t="str">
        <v/>
      </c>
      <c r="I29182" s="4" t="str">
        <v/>
      </c>
    </row>
    <row r="29183" spans="5:9" ht="16.5" hidden="1">
      <c r="E29183" s="4" t="str">
        <v/>
      </c>
      <c r="F29183" s="102" t="str">
        <f ca="1">IFERROR(__xludf.DUMMYFUNCTION("IMPORTRANGE(H29183,""IDENTITAS UNIT!D9"")"),"#N/A")</f>
        <v>#N/A</v>
      </c>
      <c r="H29183" s="4" t="str">
        <v/>
      </c>
      <c r="I29183" s="4" t="str">
        <v/>
      </c>
    </row>
    <row r="29184" spans="5:9" ht="16.5" hidden="1">
      <c r="E29184" s="4" t="str">
        <v/>
      </c>
      <c r="F29184" s="102" t="str">
        <f ca="1">IFERROR(__xludf.DUMMYFUNCTION("IMPORTRANGE(H29184,""IDENTITAS UNIT!D9"")"),"#N/A")</f>
        <v>#N/A</v>
      </c>
      <c r="H29184" s="4" t="str">
        <v/>
      </c>
      <c r="I29184" s="4" t="str">
        <v/>
      </c>
    </row>
    <row r="29185" spans="5:9" ht="16.5" hidden="1">
      <c r="E29185" s="4" t="str">
        <v/>
      </c>
      <c r="F29185" s="102" t="str">
        <f ca="1">IFERROR(__xludf.DUMMYFUNCTION("IMPORTRANGE(H29185,""IDENTITAS UNIT!D9"")"),"#N/A")</f>
        <v>#N/A</v>
      </c>
      <c r="H29185" s="4" t="str">
        <v/>
      </c>
      <c r="I29185" s="4" t="str">
        <v/>
      </c>
    </row>
    <row r="29186" spans="5:9" ht="16.5" hidden="1">
      <c r="E29186" s="4" t="str">
        <v/>
      </c>
      <c r="F29186" s="102" t="str">
        <f ca="1">IFERROR(__xludf.DUMMYFUNCTION("IMPORTRANGE(H29186,""IDENTITAS UNIT!D9"")"),"#N/A")</f>
        <v>#N/A</v>
      </c>
      <c r="H29186" s="4" t="str">
        <v/>
      </c>
      <c r="I29186" s="4" t="str">
        <v/>
      </c>
    </row>
    <row r="29187" spans="5:9" ht="16.5" hidden="1">
      <c r="E29187" s="4" t="str">
        <v/>
      </c>
      <c r="F29187" s="102" t="str">
        <f ca="1">IFERROR(__xludf.DUMMYFUNCTION("IMPORTRANGE(H29187,""IDENTITAS UNIT!D9"")"),"#N/A")</f>
        <v>#N/A</v>
      </c>
      <c r="H29187" s="4" t="str">
        <v/>
      </c>
      <c r="I29187" s="4" t="str">
        <v/>
      </c>
    </row>
    <row r="29188" spans="5:9" ht="16.5" hidden="1">
      <c r="E29188" s="4" t="str">
        <v/>
      </c>
      <c r="F29188" s="102" t="str">
        <f ca="1">IFERROR(__xludf.DUMMYFUNCTION("IMPORTRANGE(H29188,""IDENTITAS UNIT!D9"")"),"#N/A")</f>
        <v>#N/A</v>
      </c>
      <c r="H29188" s="4" t="str">
        <v/>
      </c>
      <c r="I29188" s="4" t="str">
        <v/>
      </c>
    </row>
    <row r="29189" spans="5:9" ht="16.5" hidden="1">
      <c r="E29189" s="4" t="str">
        <v/>
      </c>
      <c r="F29189" s="102" t="str">
        <f ca="1">IFERROR(__xludf.DUMMYFUNCTION("IMPORTRANGE(H29189,""IDENTITAS UNIT!D9"")"),"#N/A")</f>
        <v>#N/A</v>
      </c>
      <c r="H29189" s="4" t="str">
        <v/>
      </c>
      <c r="I29189" s="4" t="str">
        <v/>
      </c>
    </row>
    <row r="29190" spans="5:9" ht="16.5" hidden="1">
      <c r="E29190" s="4" t="str">
        <v/>
      </c>
      <c r="F29190" s="102" t="str">
        <f ca="1">IFERROR(__xludf.DUMMYFUNCTION("IMPORTRANGE(H29190,""IDENTITAS UNIT!D9"")"),"#N/A")</f>
        <v>#N/A</v>
      </c>
      <c r="H29190" s="4" t="str">
        <v/>
      </c>
      <c r="I29190" s="4" t="str">
        <v/>
      </c>
    </row>
    <row r="29191" spans="5:9" ht="16.5" hidden="1">
      <c r="E29191" s="4" t="str">
        <v/>
      </c>
      <c r="F29191" s="102" t="str">
        <f ca="1">IFERROR(__xludf.DUMMYFUNCTION("IMPORTRANGE(H29191,""IDENTITAS UNIT!D9"")"),"#N/A")</f>
        <v>#N/A</v>
      </c>
      <c r="H29191" s="4" t="str">
        <v/>
      </c>
      <c r="I29191" s="4" t="str">
        <v/>
      </c>
    </row>
    <row r="29192" spans="5:9" ht="16.5" hidden="1">
      <c r="E29192" s="4" t="str">
        <v/>
      </c>
      <c r="F29192" s="102" t="str">
        <f ca="1">IFERROR(__xludf.DUMMYFUNCTION("IMPORTRANGE(H29192,""IDENTITAS UNIT!D9"")"),"#N/A")</f>
        <v>#N/A</v>
      </c>
      <c r="H29192" s="4" t="str">
        <v/>
      </c>
      <c r="I29192" s="4" t="str">
        <v/>
      </c>
    </row>
    <row r="29193" spans="5:9" ht="16.5" hidden="1">
      <c r="E29193" s="4" t="str">
        <v/>
      </c>
      <c r="F29193" s="102" t="str">
        <f ca="1">IFERROR(__xludf.DUMMYFUNCTION("IMPORTRANGE(H29193,""IDENTITAS UNIT!D9"")"),"#N/A")</f>
        <v>#N/A</v>
      </c>
      <c r="H29193" s="4" t="str">
        <v/>
      </c>
      <c r="I29193" s="4" t="str">
        <v/>
      </c>
    </row>
    <row r="29194" spans="5:9" ht="16.5" hidden="1">
      <c r="E29194" s="4" t="str">
        <v/>
      </c>
      <c r="F29194" s="102" t="str">
        <f ca="1">IFERROR(__xludf.DUMMYFUNCTION("IMPORTRANGE(H29194,""IDENTITAS UNIT!D9"")"),"#N/A")</f>
        <v>#N/A</v>
      </c>
      <c r="H29194" s="4" t="str">
        <v/>
      </c>
      <c r="I29194" s="4" t="str">
        <v/>
      </c>
    </row>
    <row r="29195" spans="5:9" ht="16.5" hidden="1">
      <c r="E29195" s="4" t="str">
        <v/>
      </c>
      <c r="F29195" s="102" t="str">
        <f ca="1">IFERROR(__xludf.DUMMYFUNCTION("IMPORTRANGE(H29195,""IDENTITAS UNIT!D9"")"),"#N/A")</f>
        <v>#N/A</v>
      </c>
      <c r="H29195" s="4" t="str">
        <v/>
      </c>
      <c r="I29195" s="4" t="str">
        <v/>
      </c>
    </row>
    <row r="29196" spans="5:9" ht="16.5" hidden="1">
      <c r="E29196" s="4" t="str">
        <v/>
      </c>
      <c r="F29196" s="102" t="str">
        <f ca="1">IFERROR(__xludf.DUMMYFUNCTION("IMPORTRANGE(H29196,""IDENTITAS UNIT!D9"")"),"#N/A")</f>
        <v>#N/A</v>
      </c>
      <c r="H29196" s="4" t="str">
        <v/>
      </c>
      <c r="I29196" s="4" t="str">
        <v/>
      </c>
    </row>
    <row r="29197" spans="5:9" ht="16.5" hidden="1">
      <c r="E29197" s="4" t="str">
        <v/>
      </c>
      <c r="F29197" s="102" t="str">
        <f ca="1">IFERROR(__xludf.DUMMYFUNCTION("IMPORTRANGE(H29197,""IDENTITAS UNIT!D9"")"),"#N/A")</f>
        <v>#N/A</v>
      </c>
      <c r="H29197" s="4" t="str">
        <v/>
      </c>
      <c r="I29197" s="4" t="str">
        <v/>
      </c>
    </row>
    <row r="29198" spans="5:9" ht="16.5" hidden="1">
      <c r="E29198" s="4" t="str">
        <v/>
      </c>
      <c r="F29198" s="102" t="str">
        <f ca="1">IFERROR(__xludf.DUMMYFUNCTION("IMPORTRANGE(H29198,""IDENTITAS UNIT!D9"")"),"#N/A")</f>
        <v>#N/A</v>
      </c>
      <c r="H29198" s="4" t="str">
        <v/>
      </c>
      <c r="I29198" s="4" t="str">
        <v/>
      </c>
    </row>
    <row r="29199" spans="5:9" ht="16.5" hidden="1">
      <c r="E29199" s="4" t="str">
        <v/>
      </c>
      <c r="F29199" s="102" t="str">
        <f ca="1">IFERROR(__xludf.DUMMYFUNCTION("IMPORTRANGE(H29199,""IDENTITAS UNIT!D9"")"),"#N/A")</f>
        <v>#N/A</v>
      </c>
      <c r="H29199" s="4" t="str">
        <v/>
      </c>
      <c r="I29199" s="4" t="str">
        <v/>
      </c>
    </row>
    <row r="29200" spans="5:9" ht="16.5" hidden="1">
      <c r="E29200" s="4" t="str">
        <v/>
      </c>
      <c r="F29200" s="102" t="str">
        <f ca="1">IFERROR(__xludf.DUMMYFUNCTION("IMPORTRANGE(H29200,""IDENTITAS UNIT!D9"")"),"#N/A")</f>
        <v>#N/A</v>
      </c>
      <c r="H29200" s="4" t="str">
        <v/>
      </c>
      <c r="I29200" s="4" t="str">
        <v/>
      </c>
    </row>
    <row r="29201" spans="5:9" ht="16.5" hidden="1">
      <c r="E29201" s="4" t="str">
        <v/>
      </c>
      <c r="F29201" s="102" t="str">
        <f ca="1">IFERROR(__xludf.DUMMYFUNCTION("IMPORTRANGE(H29201,""IDENTITAS UNIT!D9"")"),"#N/A")</f>
        <v>#N/A</v>
      </c>
      <c r="H29201" s="4" t="str">
        <v/>
      </c>
      <c r="I29201" s="4" t="str">
        <v/>
      </c>
    </row>
    <row r="29202" spans="5:9" ht="16.5" hidden="1">
      <c r="E29202" s="4" t="str">
        <v/>
      </c>
      <c r="F29202" s="102" t="str">
        <f ca="1">IFERROR(__xludf.DUMMYFUNCTION("IMPORTRANGE(H29202,""IDENTITAS UNIT!D9"")"),"#N/A")</f>
        <v>#N/A</v>
      </c>
      <c r="H29202" s="4" t="str">
        <v/>
      </c>
      <c r="I29202" s="4" t="str">
        <v/>
      </c>
    </row>
    <row r="29203" spans="5:9" ht="16.5" hidden="1">
      <c r="E29203" s="4" t="str">
        <v/>
      </c>
      <c r="F29203" s="102" t="str">
        <f ca="1">IFERROR(__xludf.DUMMYFUNCTION("IMPORTRANGE(H29203,""IDENTITAS UNIT!D9"")"),"#N/A")</f>
        <v>#N/A</v>
      </c>
      <c r="H29203" s="4" t="str">
        <v/>
      </c>
      <c r="I29203" s="4" t="str">
        <v/>
      </c>
    </row>
    <row r="29204" spans="5:9" ht="16.5" hidden="1">
      <c r="E29204" s="4" t="str">
        <v/>
      </c>
      <c r="F29204" s="102" t="str">
        <f ca="1">IFERROR(__xludf.DUMMYFUNCTION("IMPORTRANGE(H29204,""IDENTITAS UNIT!D9"")"),"#N/A")</f>
        <v>#N/A</v>
      </c>
      <c r="H29204" s="4" t="str">
        <v/>
      </c>
      <c r="I29204" s="4" t="str">
        <v/>
      </c>
    </row>
    <row r="29205" spans="5:9" ht="16.5" hidden="1">
      <c r="E29205" s="4" t="str">
        <v/>
      </c>
      <c r="F29205" s="102" t="str">
        <f ca="1">IFERROR(__xludf.DUMMYFUNCTION("IMPORTRANGE(H29205,""IDENTITAS UNIT!D9"")"),"#N/A")</f>
        <v>#N/A</v>
      </c>
      <c r="H29205" s="4" t="str">
        <v/>
      </c>
      <c r="I29205" s="4" t="str">
        <v/>
      </c>
    </row>
    <row r="29206" spans="5:9" ht="16.5" hidden="1">
      <c r="E29206" s="4" t="str">
        <v/>
      </c>
      <c r="F29206" s="102" t="str">
        <f ca="1">IFERROR(__xludf.DUMMYFUNCTION("IMPORTRANGE(H29206,""IDENTITAS UNIT!D9"")"),"#N/A")</f>
        <v>#N/A</v>
      </c>
      <c r="H29206" s="4" t="str">
        <v/>
      </c>
      <c r="I29206" s="4" t="str">
        <v/>
      </c>
    </row>
    <row r="29207" spans="5:9" ht="16.5" hidden="1">
      <c r="E29207" s="4" t="str">
        <v/>
      </c>
      <c r="F29207" s="102" t="str">
        <f ca="1">IFERROR(__xludf.DUMMYFUNCTION("IMPORTRANGE(H29207,""IDENTITAS UNIT!D9"")"),"#N/A")</f>
        <v>#N/A</v>
      </c>
      <c r="H29207" s="4" t="str">
        <v/>
      </c>
      <c r="I29207" s="4" t="str">
        <v/>
      </c>
    </row>
    <row r="29208" spans="5:9" ht="16.5" hidden="1">
      <c r="E29208" s="4" t="str">
        <v/>
      </c>
      <c r="F29208" s="102" t="str">
        <f ca="1">IFERROR(__xludf.DUMMYFUNCTION("IMPORTRANGE(H29208,""IDENTITAS UNIT!D9"")"),"#N/A")</f>
        <v>#N/A</v>
      </c>
      <c r="H29208" s="4" t="str">
        <v/>
      </c>
      <c r="I29208" s="4" t="str">
        <v/>
      </c>
    </row>
    <row r="29209" spans="5:9" ht="16.5" hidden="1">
      <c r="E29209" s="4" t="str">
        <v/>
      </c>
      <c r="F29209" s="102" t="str">
        <f ca="1">IFERROR(__xludf.DUMMYFUNCTION("IMPORTRANGE(H29209,""IDENTITAS UNIT!D9"")"),"#N/A")</f>
        <v>#N/A</v>
      </c>
      <c r="H29209" s="4" t="str">
        <v/>
      </c>
      <c r="I29209" s="4" t="str">
        <v/>
      </c>
    </row>
    <row r="29210" spans="5:9" ht="16.5" hidden="1">
      <c r="E29210" s="4" t="str">
        <v/>
      </c>
      <c r="F29210" s="102" t="str">
        <f ca="1">IFERROR(__xludf.DUMMYFUNCTION("IMPORTRANGE(H29210,""IDENTITAS UNIT!D9"")"),"#N/A")</f>
        <v>#N/A</v>
      </c>
      <c r="H29210" s="4" t="str">
        <v/>
      </c>
      <c r="I29210" s="4" t="str">
        <v/>
      </c>
    </row>
    <row r="29211" spans="5:9" ht="16.5" hidden="1">
      <c r="E29211" s="4" t="str">
        <v/>
      </c>
      <c r="F29211" s="102" t="str">
        <f ca="1">IFERROR(__xludf.DUMMYFUNCTION("IMPORTRANGE(H29211,""IDENTITAS UNIT!D9"")"),"#N/A")</f>
        <v>#N/A</v>
      </c>
      <c r="H29211" s="4" t="str">
        <v/>
      </c>
      <c r="I29211" s="4" t="str">
        <v/>
      </c>
    </row>
    <row r="29212" spans="5:9" ht="16.5" hidden="1">
      <c r="E29212" s="4" t="str">
        <v/>
      </c>
      <c r="F29212" s="102" t="str">
        <f ca="1">IFERROR(__xludf.DUMMYFUNCTION("IMPORTRANGE(H29212,""IDENTITAS UNIT!D9"")"),"#N/A")</f>
        <v>#N/A</v>
      </c>
      <c r="H29212" s="4" t="str">
        <v/>
      </c>
      <c r="I29212" s="4" t="str">
        <v/>
      </c>
    </row>
    <row r="29213" spans="5:9" ht="16.5" hidden="1">
      <c r="E29213" s="4" t="str">
        <v/>
      </c>
      <c r="F29213" s="102" t="str">
        <f ca="1">IFERROR(__xludf.DUMMYFUNCTION("IMPORTRANGE(H29213,""IDENTITAS UNIT!D9"")"),"#N/A")</f>
        <v>#N/A</v>
      </c>
      <c r="H29213" s="4" t="str">
        <v/>
      </c>
      <c r="I29213" s="4" t="str">
        <v/>
      </c>
    </row>
    <row r="29214" spans="5:9" ht="16.5" hidden="1">
      <c r="E29214" s="4" t="str">
        <v/>
      </c>
      <c r="F29214" s="102" t="str">
        <f ca="1">IFERROR(__xludf.DUMMYFUNCTION("IMPORTRANGE(H29214,""IDENTITAS UNIT!D9"")"),"#N/A")</f>
        <v>#N/A</v>
      </c>
      <c r="H29214" s="4" t="str">
        <v/>
      </c>
      <c r="I29214" s="4" t="str">
        <v/>
      </c>
    </row>
    <row r="29215" spans="5:9" ht="16.5" hidden="1">
      <c r="E29215" s="4" t="str">
        <v/>
      </c>
      <c r="F29215" s="102" t="str">
        <f ca="1">IFERROR(__xludf.DUMMYFUNCTION("IMPORTRANGE(H29215,""IDENTITAS UNIT!D9"")"),"#N/A")</f>
        <v>#N/A</v>
      </c>
      <c r="H29215" s="4" t="str">
        <v/>
      </c>
      <c r="I29215" s="4" t="str">
        <v/>
      </c>
    </row>
    <row r="29216" spans="5:9" ht="16.5" hidden="1">
      <c r="E29216" s="4" t="str">
        <v/>
      </c>
      <c r="F29216" s="102" t="str">
        <f ca="1">IFERROR(__xludf.DUMMYFUNCTION("IMPORTRANGE(H29216,""IDENTITAS UNIT!D9"")"),"#N/A")</f>
        <v>#N/A</v>
      </c>
      <c r="H29216" s="4" t="str">
        <v/>
      </c>
      <c r="I29216" s="4" t="str">
        <v/>
      </c>
    </row>
    <row r="29217" spans="5:9" ht="16.5" hidden="1">
      <c r="E29217" s="4" t="str">
        <v/>
      </c>
      <c r="F29217" s="102" t="str">
        <f ca="1">IFERROR(__xludf.DUMMYFUNCTION("IMPORTRANGE(H29217,""IDENTITAS UNIT!D9"")"),"#N/A")</f>
        <v>#N/A</v>
      </c>
      <c r="H29217" s="4" t="str">
        <v/>
      </c>
      <c r="I29217" s="4" t="str">
        <v/>
      </c>
    </row>
    <row r="29218" spans="5:9" ht="16.5" hidden="1">
      <c r="E29218" s="4" t="str">
        <v/>
      </c>
      <c r="F29218" s="102" t="str">
        <f ca="1">IFERROR(__xludf.DUMMYFUNCTION("IMPORTRANGE(H29218,""IDENTITAS UNIT!D9"")"),"#N/A")</f>
        <v>#N/A</v>
      </c>
      <c r="H29218" s="4" t="str">
        <v/>
      </c>
      <c r="I29218" s="4" t="str">
        <v/>
      </c>
    </row>
    <row r="29219" spans="5:9" ht="16.5" hidden="1">
      <c r="E29219" s="4" t="str">
        <v/>
      </c>
      <c r="F29219" s="102" t="str">
        <f ca="1">IFERROR(__xludf.DUMMYFUNCTION("IMPORTRANGE(H29219,""IDENTITAS UNIT!D9"")"),"#N/A")</f>
        <v>#N/A</v>
      </c>
      <c r="H29219" s="4" t="str">
        <v/>
      </c>
      <c r="I29219" s="4" t="str">
        <v/>
      </c>
    </row>
    <row r="29220" spans="5:9" ht="16.5" hidden="1">
      <c r="E29220" s="4" t="str">
        <v/>
      </c>
      <c r="F29220" s="102" t="str">
        <f ca="1">IFERROR(__xludf.DUMMYFUNCTION("IMPORTRANGE(H29220,""IDENTITAS UNIT!D9"")"),"#N/A")</f>
        <v>#N/A</v>
      </c>
      <c r="H29220" s="4" t="str">
        <v/>
      </c>
      <c r="I29220" s="4" t="str">
        <v/>
      </c>
    </row>
    <row r="29221" spans="5:9" ht="16.5" hidden="1">
      <c r="E29221" s="4" t="str">
        <v/>
      </c>
      <c r="F29221" s="102" t="str">
        <f ca="1">IFERROR(__xludf.DUMMYFUNCTION("IMPORTRANGE(H29221,""IDENTITAS UNIT!D9"")"),"#N/A")</f>
        <v>#N/A</v>
      </c>
      <c r="H29221" s="4" t="str">
        <v/>
      </c>
      <c r="I29221" s="4" t="str">
        <v/>
      </c>
    </row>
    <row r="29222" spans="5:9" ht="16.5" hidden="1">
      <c r="E29222" s="4" t="str">
        <v/>
      </c>
      <c r="F29222" s="102" t="str">
        <f ca="1">IFERROR(__xludf.DUMMYFUNCTION("IMPORTRANGE(H29222,""IDENTITAS UNIT!D9"")"),"#N/A")</f>
        <v>#N/A</v>
      </c>
      <c r="H29222" s="4" t="str">
        <v/>
      </c>
      <c r="I29222" s="4" t="str">
        <v/>
      </c>
    </row>
    <row r="29223" spans="5:9" ht="16.5" hidden="1">
      <c r="E29223" s="4" t="str">
        <v/>
      </c>
      <c r="F29223" s="102" t="str">
        <f ca="1">IFERROR(__xludf.DUMMYFUNCTION("IMPORTRANGE(H29223,""IDENTITAS UNIT!D9"")"),"#N/A")</f>
        <v>#N/A</v>
      </c>
      <c r="H29223" s="4" t="str">
        <v/>
      </c>
      <c r="I29223" s="4" t="str">
        <v/>
      </c>
    </row>
    <row r="29224" spans="5:9" ht="16.5" hidden="1">
      <c r="E29224" s="4" t="str">
        <v/>
      </c>
      <c r="F29224" s="102" t="str">
        <f ca="1">IFERROR(__xludf.DUMMYFUNCTION("IMPORTRANGE(H29224,""IDENTITAS UNIT!D9"")"),"#N/A")</f>
        <v>#N/A</v>
      </c>
      <c r="H29224" s="4" t="str">
        <v/>
      </c>
      <c r="I29224" s="4" t="str">
        <v/>
      </c>
    </row>
    <row r="29225" spans="5:9" ht="16.5" hidden="1">
      <c r="E29225" s="4" t="str">
        <v/>
      </c>
      <c r="F29225" s="102" t="str">
        <f ca="1">IFERROR(__xludf.DUMMYFUNCTION("IMPORTRANGE(H29225,""IDENTITAS UNIT!D9"")"),"#N/A")</f>
        <v>#N/A</v>
      </c>
      <c r="H29225" s="4" t="str">
        <v/>
      </c>
      <c r="I29225" s="4" t="str">
        <v/>
      </c>
    </row>
    <row r="29226" spans="5:9" ht="16.5" hidden="1">
      <c r="E29226" s="4" t="str">
        <v/>
      </c>
      <c r="F29226" s="102" t="str">
        <f ca="1">IFERROR(__xludf.DUMMYFUNCTION("IMPORTRANGE(H29226,""IDENTITAS UNIT!D9"")"),"#N/A")</f>
        <v>#N/A</v>
      </c>
      <c r="H29226" s="4" t="str">
        <v/>
      </c>
      <c r="I29226" s="4" t="str">
        <v/>
      </c>
    </row>
    <row r="29227" spans="5:9" ht="16.5" hidden="1">
      <c r="E29227" s="4" t="str">
        <v/>
      </c>
      <c r="F29227" s="102" t="str">
        <f ca="1">IFERROR(__xludf.DUMMYFUNCTION("IMPORTRANGE(H29227,""IDENTITAS UNIT!D9"")"),"#N/A")</f>
        <v>#N/A</v>
      </c>
      <c r="H29227" s="4" t="str">
        <v/>
      </c>
      <c r="I29227" s="4" t="str">
        <v/>
      </c>
    </row>
    <row r="29228" spans="5:9" ht="16.5" hidden="1">
      <c r="E29228" s="4" t="str">
        <v/>
      </c>
      <c r="F29228" s="102" t="str">
        <f ca="1">IFERROR(__xludf.DUMMYFUNCTION("IMPORTRANGE(H29228,""IDENTITAS UNIT!D9"")"),"#N/A")</f>
        <v>#N/A</v>
      </c>
      <c r="H29228" s="4" t="str">
        <v/>
      </c>
      <c r="I29228" s="4" t="str">
        <v/>
      </c>
    </row>
    <row r="29229" spans="5:9" ht="16.5" hidden="1">
      <c r="E29229" s="4" t="str">
        <v/>
      </c>
      <c r="F29229" s="102" t="str">
        <f ca="1">IFERROR(__xludf.DUMMYFUNCTION("IMPORTRANGE(H29229,""IDENTITAS UNIT!D9"")"),"#N/A")</f>
        <v>#N/A</v>
      </c>
      <c r="H29229" s="4" t="str">
        <v/>
      </c>
      <c r="I29229" s="4" t="str">
        <v/>
      </c>
    </row>
    <row r="29230" spans="5:9" ht="16.5" hidden="1">
      <c r="E29230" s="4" t="str">
        <v/>
      </c>
      <c r="F29230" s="102" t="str">
        <f ca="1">IFERROR(__xludf.DUMMYFUNCTION("IMPORTRANGE(H29230,""IDENTITAS UNIT!D9"")"),"#N/A")</f>
        <v>#N/A</v>
      </c>
      <c r="H29230" s="4" t="str">
        <v/>
      </c>
      <c r="I29230" s="4" t="str">
        <v/>
      </c>
    </row>
    <row r="29231" spans="5:9" ht="16.5" hidden="1">
      <c r="E29231" s="4" t="str">
        <v/>
      </c>
      <c r="F29231" s="102" t="str">
        <f ca="1">IFERROR(__xludf.DUMMYFUNCTION("IMPORTRANGE(H29231,""IDENTITAS UNIT!D9"")"),"#N/A")</f>
        <v>#N/A</v>
      </c>
      <c r="H29231" s="4" t="str">
        <v/>
      </c>
      <c r="I29231" s="4" t="str">
        <v/>
      </c>
    </row>
    <row r="29232" spans="5:9" ht="16.5" hidden="1">
      <c r="E29232" s="4" t="str">
        <v/>
      </c>
      <c r="F29232" s="102" t="str">
        <f ca="1">IFERROR(__xludf.DUMMYFUNCTION("IMPORTRANGE(H29232,""IDENTITAS UNIT!D9"")"),"#N/A")</f>
        <v>#N/A</v>
      </c>
      <c r="H29232" s="4" t="str">
        <v/>
      </c>
      <c r="I29232" s="4" t="str">
        <v/>
      </c>
    </row>
    <row r="29233" spans="5:9" ht="16.5" hidden="1">
      <c r="E29233" s="4" t="str">
        <v/>
      </c>
      <c r="F29233" s="102" t="str">
        <f ca="1">IFERROR(__xludf.DUMMYFUNCTION("IMPORTRANGE(H29233,""IDENTITAS UNIT!D9"")"),"#N/A")</f>
        <v>#N/A</v>
      </c>
      <c r="H29233" s="4" t="str">
        <v/>
      </c>
      <c r="I29233" s="4" t="str">
        <v/>
      </c>
    </row>
    <row r="29234" spans="5:9" ht="16.5" hidden="1">
      <c r="E29234" s="4" t="str">
        <v/>
      </c>
      <c r="F29234" s="102" t="str">
        <f ca="1">IFERROR(__xludf.DUMMYFUNCTION("IMPORTRANGE(H29234,""IDENTITAS UNIT!D9"")"),"#N/A")</f>
        <v>#N/A</v>
      </c>
      <c r="H29234" s="4" t="str">
        <v/>
      </c>
      <c r="I29234" s="4" t="str">
        <v/>
      </c>
    </row>
    <row r="29235" spans="5:9" ht="16.5" hidden="1">
      <c r="E29235" s="4" t="str">
        <v/>
      </c>
      <c r="F29235" s="102" t="str">
        <f ca="1">IFERROR(__xludf.DUMMYFUNCTION("IMPORTRANGE(H29235,""IDENTITAS UNIT!D9"")"),"#N/A")</f>
        <v>#N/A</v>
      </c>
      <c r="H29235" s="4" t="str">
        <v/>
      </c>
      <c r="I29235" s="4" t="str">
        <v/>
      </c>
    </row>
    <row r="29236" spans="5:9" ht="16.5" hidden="1">
      <c r="E29236" s="4" t="str">
        <v/>
      </c>
      <c r="F29236" s="102" t="str">
        <f ca="1">IFERROR(__xludf.DUMMYFUNCTION("IMPORTRANGE(H29236,""IDENTITAS UNIT!D9"")"),"#N/A")</f>
        <v>#N/A</v>
      </c>
      <c r="H29236" s="4" t="str">
        <v/>
      </c>
      <c r="I29236" s="4" t="str">
        <v/>
      </c>
    </row>
    <row r="29237" spans="5:9" ht="16.5" hidden="1">
      <c r="E29237" s="4" t="str">
        <v/>
      </c>
      <c r="F29237" s="102" t="str">
        <f ca="1">IFERROR(__xludf.DUMMYFUNCTION("IMPORTRANGE(H29237,""IDENTITAS UNIT!D9"")"),"#N/A")</f>
        <v>#N/A</v>
      </c>
      <c r="H29237" s="4" t="str">
        <v/>
      </c>
      <c r="I29237" s="4" t="str">
        <v/>
      </c>
    </row>
    <row r="29238" spans="5:9" ht="16.5" hidden="1">
      <c r="E29238" s="4" t="str">
        <v/>
      </c>
      <c r="F29238" s="102" t="str">
        <f ca="1">IFERROR(__xludf.DUMMYFUNCTION("IMPORTRANGE(H29238,""IDENTITAS UNIT!D9"")"),"#N/A")</f>
        <v>#N/A</v>
      </c>
      <c r="H29238" s="4" t="str">
        <v/>
      </c>
      <c r="I29238" s="4" t="str">
        <v/>
      </c>
    </row>
    <row r="29239" spans="5:9" ht="16.5" hidden="1">
      <c r="E29239" s="4" t="str">
        <v/>
      </c>
      <c r="F29239" s="102" t="str">
        <f ca="1">IFERROR(__xludf.DUMMYFUNCTION("IMPORTRANGE(H29239,""IDENTITAS UNIT!D9"")"),"#N/A")</f>
        <v>#N/A</v>
      </c>
      <c r="H29239" s="4" t="str">
        <v/>
      </c>
      <c r="I29239" s="4" t="str">
        <v/>
      </c>
    </row>
    <row r="29240" spans="5:9" ht="16.5" hidden="1">
      <c r="E29240" s="4" t="str">
        <v/>
      </c>
      <c r="F29240" s="102" t="str">
        <f ca="1">IFERROR(__xludf.DUMMYFUNCTION("IMPORTRANGE(H29240,""IDENTITAS UNIT!D9"")"),"#N/A")</f>
        <v>#N/A</v>
      </c>
      <c r="H29240" s="4" t="str">
        <v/>
      </c>
      <c r="I29240" s="4" t="str">
        <v/>
      </c>
    </row>
    <row r="29241" spans="5:9" ht="16.5" hidden="1">
      <c r="E29241" s="4" t="str">
        <v/>
      </c>
      <c r="F29241" s="102" t="str">
        <f ca="1">IFERROR(__xludf.DUMMYFUNCTION("IMPORTRANGE(H29241,""IDENTITAS UNIT!D9"")"),"#N/A")</f>
        <v>#N/A</v>
      </c>
      <c r="H29241" s="4" t="str">
        <v/>
      </c>
      <c r="I29241" s="4" t="str">
        <v/>
      </c>
    </row>
    <row r="29242" spans="5:9" ht="16.5" hidden="1">
      <c r="E29242" s="4" t="str">
        <v/>
      </c>
      <c r="F29242" s="102" t="str">
        <f ca="1">IFERROR(__xludf.DUMMYFUNCTION("IMPORTRANGE(H29242,""IDENTITAS UNIT!D9"")"),"#N/A")</f>
        <v>#N/A</v>
      </c>
      <c r="H29242" s="4" t="str">
        <v/>
      </c>
      <c r="I29242" s="4" t="str">
        <v/>
      </c>
    </row>
    <row r="29243" spans="5:9" ht="16.5" hidden="1">
      <c r="E29243" s="4" t="str">
        <v/>
      </c>
      <c r="F29243" s="102" t="str">
        <f ca="1">IFERROR(__xludf.DUMMYFUNCTION("IMPORTRANGE(H29243,""IDENTITAS UNIT!D9"")"),"#N/A")</f>
        <v>#N/A</v>
      </c>
      <c r="H29243" s="4" t="str">
        <v/>
      </c>
      <c r="I29243" s="4" t="str">
        <v/>
      </c>
    </row>
    <row r="29244" spans="5:9" ht="16.5" hidden="1">
      <c r="E29244" s="4" t="str">
        <v/>
      </c>
      <c r="F29244" s="102" t="str">
        <f ca="1">IFERROR(__xludf.DUMMYFUNCTION("IMPORTRANGE(H29244,""IDENTITAS UNIT!D9"")"),"#N/A")</f>
        <v>#N/A</v>
      </c>
      <c r="H29244" s="4" t="str">
        <v/>
      </c>
      <c r="I29244" s="4" t="str">
        <v/>
      </c>
    </row>
    <row r="29245" spans="5:9" ht="16.5" hidden="1">
      <c r="E29245" s="4" t="str">
        <v/>
      </c>
      <c r="F29245" s="102" t="str">
        <f ca="1">IFERROR(__xludf.DUMMYFUNCTION("IMPORTRANGE(H29245,""IDENTITAS UNIT!D9"")"),"#N/A")</f>
        <v>#N/A</v>
      </c>
      <c r="H29245" s="4" t="str">
        <v/>
      </c>
      <c r="I29245" s="4" t="str">
        <v/>
      </c>
    </row>
    <row r="29246" spans="5:9" ht="16.5" hidden="1">
      <c r="E29246" s="4" t="str">
        <v/>
      </c>
      <c r="F29246" s="102" t="str">
        <f ca="1">IFERROR(__xludf.DUMMYFUNCTION("IMPORTRANGE(H29246,""IDENTITAS UNIT!D9"")"),"#N/A")</f>
        <v>#N/A</v>
      </c>
      <c r="H29246" s="4" t="str">
        <v/>
      </c>
      <c r="I29246" s="4" t="str">
        <v/>
      </c>
    </row>
    <row r="29247" spans="5:9" ht="16.5" hidden="1">
      <c r="E29247" s="4" t="str">
        <v/>
      </c>
      <c r="F29247" s="102" t="str">
        <f ca="1">IFERROR(__xludf.DUMMYFUNCTION("IMPORTRANGE(H29247,""IDENTITAS UNIT!D9"")"),"#N/A")</f>
        <v>#N/A</v>
      </c>
      <c r="H29247" s="4" t="str">
        <v/>
      </c>
      <c r="I29247" s="4" t="str">
        <v/>
      </c>
    </row>
    <row r="29248" spans="5:9" ht="16.5" hidden="1">
      <c r="E29248" s="4" t="str">
        <v/>
      </c>
      <c r="F29248" s="102" t="str">
        <f ca="1">IFERROR(__xludf.DUMMYFUNCTION("IMPORTRANGE(H29248,""IDENTITAS UNIT!D9"")"),"#N/A")</f>
        <v>#N/A</v>
      </c>
      <c r="H29248" s="4" t="str">
        <v/>
      </c>
      <c r="I29248" s="4" t="str">
        <v/>
      </c>
    </row>
    <row r="29249" spans="5:9" ht="16.5" hidden="1">
      <c r="E29249" s="4" t="str">
        <v/>
      </c>
      <c r="F29249" s="102" t="str">
        <f ca="1">IFERROR(__xludf.DUMMYFUNCTION("IMPORTRANGE(H29249,""IDENTITAS UNIT!D9"")"),"#N/A")</f>
        <v>#N/A</v>
      </c>
      <c r="H29249" s="4" t="str">
        <v/>
      </c>
      <c r="I29249" s="4" t="str">
        <v/>
      </c>
    </row>
    <row r="29250" spans="5:9" ht="16.5" hidden="1">
      <c r="E29250" s="4" t="str">
        <v/>
      </c>
      <c r="F29250" s="102" t="str">
        <f ca="1">IFERROR(__xludf.DUMMYFUNCTION("IMPORTRANGE(H29250,""IDENTITAS UNIT!D9"")"),"#N/A")</f>
        <v>#N/A</v>
      </c>
      <c r="H29250" s="4" t="str">
        <v/>
      </c>
      <c r="I29250" s="4" t="str">
        <v/>
      </c>
    </row>
    <row r="29251" spans="5:9" ht="16.5" hidden="1">
      <c r="E29251" s="4" t="str">
        <v/>
      </c>
      <c r="F29251" s="102" t="str">
        <f ca="1">IFERROR(__xludf.DUMMYFUNCTION("IMPORTRANGE(H29251,""IDENTITAS UNIT!D9"")"),"#N/A")</f>
        <v>#N/A</v>
      </c>
      <c r="H29251" s="4" t="str">
        <v/>
      </c>
      <c r="I29251" s="4" t="str">
        <v/>
      </c>
    </row>
    <row r="29252" spans="5:9" ht="16.5" hidden="1">
      <c r="E29252" s="4" t="str">
        <v/>
      </c>
      <c r="F29252" s="102" t="str">
        <f ca="1">IFERROR(__xludf.DUMMYFUNCTION("IMPORTRANGE(H29252,""IDENTITAS UNIT!D9"")"),"#N/A")</f>
        <v>#N/A</v>
      </c>
      <c r="H29252" s="4" t="str">
        <v/>
      </c>
      <c r="I29252" s="4" t="str">
        <v/>
      </c>
    </row>
    <row r="29253" spans="5:9" ht="16.5" hidden="1">
      <c r="E29253" s="4" t="str">
        <v/>
      </c>
      <c r="F29253" s="102" t="str">
        <f ca="1">IFERROR(__xludf.DUMMYFUNCTION("IMPORTRANGE(H29253,""IDENTITAS UNIT!D9"")"),"#N/A")</f>
        <v>#N/A</v>
      </c>
      <c r="H29253" s="4" t="str">
        <v/>
      </c>
      <c r="I29253" s="4" t="str">
        <v/>
      </c>
    </row>
    <row r="29254" spans="5:9" ht="16.5" hidden="1">
      <c r="E29254" s="4" t="str">
        <v/>
      </c>
      <c r="F29254" s="102" t="str">
        <f ca="1">IFERROR(__xludf.DUMMYFUNCTION("IMPORTRANGE(H29254,""IDENTITAS UNIT!D9"")"),"#N/A")</f>
        <v>#N/A</v>
      </c>
      <c r="H29254" s="4" t="str">
        <v/>
      </c>
      <c r="I29254" s="4" t="str">
        <v/>
      </c>
    </row>
    <row r="29255" spans="5:9" ht="16.5" hidden="1">
      <c r="E29255" s="4" t="str">
        <v/>
      </c>
      <c r="F29255" s="102" t="str">
        <f ca="1">IFERROR(__xludf.DUMMYFUNCTION("IMPORTRANGE(H29255,""IDENTITAS UNIT!D9"")"),"#N/A")</f>
        <v>#N/A</v>
      </c>
      <c r="H29255" s="4" t="str">
        <v/>
      </c>
      <c r="I29255" s="4" t="str">
        <v/>
      </c>
    </row>
    <row r="29256" spans="5:9" ht="16.5" hidden="1">
      <c r="E29256" s="4" t="str">
        <v/>
      </c>
      <c r="F29256" s="102" t="str">
        <f ca="1">IFERROR(__xludf.DUMMYFUNCTION("IMPORTRANGE(H29256,""IDENTITAS UNIT!D9"")"),"#N/A")</f>
        <v>#N/A</v>
      </c>
      <c r="H29256" s="4" t="str">
        <v/>
      </c>
      <c r="I29256" s="4" t="str">
        <v/>
      </c>
    </row>
    <row r="29257" spans="5:9" ht="16.5" hidden="1">
      <c r="E29257" s="4" t="str">
        <v/>
      </c>
      <c r="F29257" s="102" t="str">
        <f ca="1">IFERROR(__xludf.DUMMYFUNCTION("IMPORTRANGE(H29257,""IDENTITAS UNIT!D9"")"),"#N/A")</f>
        <v>#N/A</v>
      </c>
      <c r="H29257" s="4" t="str">
        <v/>
      </c>
      <c r="I29257" s="4" t="str">
        <v/>
      </c>
    </row>
    <row r="29258" spans="5:9" ht="16.5" hidden="1">
      <c r="E29258" s="4" t="str">
        <v/>
      </c>
      <c r="F29258" s="102" t="str">
        <f ca="1">IFERROR(__xludf.DUMMYFUNCTION("IMPORTRANGE(H29258,""IDENTITAS UNIT!D9"")"),"#N/A")</f>
        <v>#N/A</v>
      </c>
      <c r="H29258" s="4" t="str">
        <v/>
      </c>
      <c r="I29258" s="4" t="str">
        <v/>
      </c>
    </row>
    <row r="29259" spans="5:9" ht="16.5" hidden="1">
      <c r="E29259" s="4" t="str">
        <v/>
      </c>
      <c r="F29259" s="102" t="str">
        <f ca="1">IFERROR(__xludf.DUMMYFUNCTION("IMPORTRANGE(H29259,""IDENTITAS UNIT!D9"")"),"#N/A")</f>
        <v>#N/A</v>
      </c>
      <c r="H29259" s="4" t="str">
        <v/>
      </c>
      <c r="I29259" s="4" t="str">
        <v/>
      </c>
    </row>
    <row r="29260" spans="5:9" ht="16.5" hidden="1">
      <c r="E29260" s="4" t="str">
        <v/>
      </c>
      <c r="F29260" s="102" t="str">
        <f ca="1">IFERROR(__xludf.DUMMYFUNCTION("IMPORTRANGE(H29260,""IDENTITAS UNIT!D9"")"),"#N/A")</f>
        <v>#N/A</v>
      </c>
      <c r="H29260" s="4" t="str">
        <v/>
      </c>
      <c r="I29260" s="4" t="str">
        <v/>
      </c>
    </row>
    <row r="29261" spans="5:9" ht="16.5" hidden="1">
      <c r="E29261" s="4" t="str">
        <v/>
      </c>
      <c r="F29261" s="102" t="str">
        <f ca="1">IFERROR(__xludf.DUMMYFUNCTION("IMPORTRANGE(H29261,""IDENTITAS UNIT!D9"")"),"#N/A")</f>
        <v>#N/A</v>
      </c>
      <c r="H29261" s="4" t="str">
        <v/>
      </c>
      <c r="I29261" s="4" t="str">
        <v/>
      </c>
    </row>
    <row r="29262" spans="5:9" ht="16.5" hidden="1">
      <c r="E29262" s="4" t="str">
        <v/>
      </c>
      <c r="F29262" s="102" t="str">
        <f ca="1">IFERROR(__xludf.DUMMYFUNCTION("IMPORTRANGE(H29262,""IDENTITAS UNIT!D9"")"),"#N/A")</f>
        <v>#N/A</v>
      </c>
      <c r="H29262" s="4" t="str">
        <v/>
      </c>
      <c r="I29262" s="4" t="str">
        <v/>
      </c>
    </row>
    <row r="29263" spans="5:9" ht="16.5" hidden="1">
      <c r="E29263" s="4" t="str">
        <v/>
      </c>
      <c r="F29263" s="102" t="str">
        <f ca="1">IFERROR(__xludf.DUMMYFUNCTION("IMPORTRANGE(H29263,""IDENTITAS UNIT!D9"")"),"#N/A")</f>
        <v>#N/A</v>
      </c>
      <c r="H29263" s="4" t="str">
        <v/>
      </c>
      <c r="I29263" s="4" t="str">
        <v/>
      </c>
    </row>
    <row r="29264" spans="5:9" ht="16.5" hidden="1">
      <c r="E29264" s="4" t="str">
        <v/>
      </c>
      <c r="F29264" s="102" t="str">
        <f ca="1">IFERROR(__xludf.DUMMYFUNCTION("IMPORTRANGE(H29264,""IDENTITAS UNIT!D9"")"),"#N/A")</f>
        <v>#N/A</v>
      </c>
      <c r="H29264" s="4" t="str">
        <v/>
      </c>
      <c r="I29264" s="4" t="str">
        <v/>
      </c>
    </row>
    <row r="29265" spans="5:9" ht="16.5" hidden="1">
      <c r="E29265" s="4" t="str">
        <v/>
      </c>
      <c r="F29265" s="102" t="str">
        <f ca="1">IFERROR(__xludf.DUMMYFUNCTION("IMPORTRANGE(H29265,""IDENTITAS UNIT!D9"")"),"#N/A")</f>
        <v>#N/A</v>
      </c>
      <c r="H29265" s="4" t="str">
        <v/>
      </c>
      <c r="I29265" s="4" t="str">
        <v/>
      </c>
    </row>
    <row r="29266" spans="5:9" ht="16.5" hidden="1">
      <c r="E29266" s="4" t="str">
        <v/>
      </c>
      <c r="F29266" s="102" t="str">
        <f ca="1">IFERROR(__xludf.DUMMYFUNCTION("IMPORTRANGE(H29266,""IDENTITAS UNIT!D9"")"),"#N/A")</f>
        <v>#N/A</v>
      </c>
      <c r="H29266" s="4" t="str">
        <v/>
      </c>
      <c r="I29266" s="4" t="str">
        <v/>
      </c>
    </row>
    <row r="29267" spans="5:9" ht="16.5" hidden="1">
      <c r="E29267" s="4" t="str">
        <v/>
      </c>
      <c r="F29267" s="102" t="str">
        <f ca="1">IFERROR(__xludf.DUMMYFUNCTION("IMPORTRANGE(H29267,""IDENTITAS UNIT!D9"")"),"#N/A")</f>
        <v>#N/A</v>
      </c>
      <c r="H29267" s="4" t="str">
        <v/>
      </c>
      <c r="I29267" s="4" t="str">
        <v/>
      </c>
    </row>
    <row r="29268" spans="5:9" ht="16.5" hidden="1">
      <c r="E29268" s="4" t="str">
        <v/>
      </c>
      <c r="F29268" s="102" t="str">
        <f ca="1">IFERROR(__xludf.DUMMYFUNCTION("IMPORTRANGE(H29268,""IDENTITAS UNIT!D9"")"),"#N/A")</f>
        <v>#N/A</v>
      </c>
      <c r="H29268" s="4" t="str">
        <v/>
      </c>
      <c r="I29268" s="4" t="str">
        <v/>
      </c>
    </row>
    <row r="29269" spans="5:9" ht="16.5" hidden="1">
      <c r="E29269" s="4" t="str">
        <v/>
      </c>
      <c r="F29269" s="102" t="str">
        <f ca="1">IFERROR(__xludf.DUMMYFUNCTION("IMPORTRANGE(H29269,""IDENTITAS UNIT!D9"")"),"#N/A")</f>
        <v>#N/A</v>
      </c>
      <c r="H29269" s="4" t="str">
        <v/>
      </c>
      <c r="I29269" s="4" t="str">
        <v/>
      </c>
    </row>
    <row r="29270" spans="5:9" ht="16.5" hidden="1">
      <c r="E29270" s="4" t="str">
        <v/>
      </c>
      <c r="F29270" s="102" t="str">
        <f ca="1">IFERROR(__xludf.DUMMYFUNCTION("IMPORTRANGE(H29270,""IDENTITAS UNIT!D9"")"),"#N/A")</f>
        <v>#N/A</v>
      </c>
      <c r="H29270" s="4" t="str">
        <v/>
      </c>
      <c r="I29270" s="4" t="str">
        <v/>
      </c>
    </row>
    <row r="29271" spans="5:9" ht="16.5" hidden="1">
      <c r="E29271" s="4" t="str">
        <v/>
      </c>
      <c r="F29271" s="102" t="str">
        <f ca="1">IFERROR(__xludf.DUMMYFUNCTION("IMPORTRANGE(H29271,""IDENTITAS UNIT!D9"")"),"#N/A")</f>
        <v>#N/A</v>
      </c>
      <c r="H29271" s="4" t="str">
        <v/>
      </c>
      <c r="I29271" s="4" t="str">
        <v/>
      </c>
    </row>
    <row r="29272" spans="5:9" ht="16.5" hidden="1">
      <c r="E29272" s="4" t="str">
        <v/>
      </c>
      <c r="F29272" s="102" t="str">
        <f ca="1">IFERROR(__xludf.DUMMYFUNCTION("IMPORTRANGE(H29272,""IDENTITAS UNIT!D9"")"),"#N/A")</f>
        <v>#N/A</v>
      </c>
      <c r="H29272" s="4" t="str">
        <v/>
      </c>
      <c r="I29272" s="4" t="str">
        <v/>
      </c>
    </row>
    <row r="29273" spans="5:9" ht="16.5" hidden="1">
      <c r="E29273" s="4" t="str">
        <v/>
      </c>
      <c r="F29273" s="102" t="str">
        <f ca="1">IFERROR(__xludf.DUMMYFUNCTION("IMPORTRANGE(H29273,""IDENTITAS UNIT!D9"")"),"#N/A")</f>
        <v>#N/A</v>
      </c>
      <c r="H29273" s="4" t="str">
        <v/>
      </c>
      <c r="I29273" s="4" t="str">
        <v/>
      </c>
    </row>
    <row r="29274" spans="5:9" ht="16.5" hidden="1">
      <c r="E29274" s="4" t="str">
        <v/>
      </c>
      <c r="F29274" s="102" t="str">
        <f ca="1">IFERROR(__xludf.DUMMYFUNCTION("IMPORTRANGE(H29274,""IDENTITAS UNIT!D9"")"),"#N/A")</f>
        <v>#N/A</v>
      </c>
      <c r="H29274" s="4" t="str">
        <v/>
      </c>
      <c r="I29274" s="4" t="str">
        <v/>
      </c>
    </row>
    <row r="29275" spans="5:9" ht="16.5" hidden="1">
      <c r="E29275" s="4" t="str">
        <v/>
      </c>
      <c r="F29275" s="102" t="str">
        <f ca="1">IFERROR(__xludf.DUMMYFUNCTION("IMPORTRANGE(H29275,""IDENTITAS UNIT!D9"")"),"#N/A")</f>
        <v>#N/A</v>
      </c>
      <c r="H29275" s="4" t="str">
        <v/>
      </c>
      <c r="I29275" s="4" t="str">
        <v/>
      </c>
    </row>
    <row r="29276" spans="5:9" ht="16.5" hidden="1">
      <c r="E29276" s="4" t="str">
        <v/>
      </c>
      <c r="F29276" s="102" t="str">
        <f ca="1">IFERROR(__xludf.DUMMYFUNCTION("IMPORTRANGE(H29276,""IDENTITAS UNIT!D9"")"),"#N/A")</f>
        <v>#N/A</v>
      </c>
      <c r="H29276" s="4" t="str">
        <v/>
      </c>
      <c r="I29276" s="4" t="str">
        <v/>
      </c>
    </row>
    <row r="29277" spans="5:9" ht="16.5" hidden="1">
      <c r="E29277" s="4" t="str">
        <v/>
      </c>
      <c r="F29277" s="102" t="str">
        <f ca="1">IFERROR(__xludf.DUMMYFUNCTION("IMPORTRANGE(H29277,""IDENTITAS UNIT!D9"")"),"#N/A")</f>
        <v>#N/A</v>
      </c>
      <c r="H29277" s="4" t="str">
        <v/>
      </c>
      <c r="I29277" s="4" t="str">
        <v/>
      </c>
    </row>
    <row r="29278" spans="5:9" ht="16.5" hidden="1">
      <c r="E29278" s="4" t="str">
        <v/>
      </c>
      <c r="F29278" s="102" t="str">
        <f ca="1">IFERROR(__xludf.DUMMYFUNCTION("IMPORTRANGE(H29278,""IDENTITAS UNIT!D9"")"),"#N/A")</f>
        <v>#N/A</v>
      </c>
      <c r="H29278" s="4" t="str">
        <v/>
      </c>
      <c r="I29278" s="4" t="str">
        <v/>
      </c>
    </row>
    <row r="29279" spans="5:9" ht="16.5" hidden="1">
      <c r="E29279" s="4" t="str">
        <v/>
      </c>
      <c r="F29279" s="102" t="str">
        <f ca="1">IFERROR(__xludf.DUMMYFUNCTION("IMPORTRANGE(H29279,""IDENTITAS UNIT!D9"")"),"#N/A")</f>
        <v>#N/A</v>
      </c>
      <c r="H29279" s="4" t="str">
        <v/>
      </c>
      <c r="I29279" s="4" t="str">
        <v/>
      </c>
    </row>
    <row r="29280" spans="5:9" ht="16.5" hidden="1">
      <c r="E29280" s="4" t="str">
        <v/>
      </c>
      <c r="F29280" s="102" t="str">
        <f ca="1">IFERROR(__xludf.DUMMYFUNCTION("IMPORTRANGE(H29280,""IDENTITAS UNIT!D9"")"),"#N/A")</f>
        <v>#N/A</v>
      </c>
      <c r="H29280" s="4" t="str">
        <v/>
      </c>
      <c r="I29280" s="4" t="str">
        <v/>
      </c>
    </row>
    <row r="29281" spans="5:9" ht="16.5" hidden="1">
      <c r="E29281" s="4" t="str">
        <v/>
      </c>
      <c r="F29281" s="102" t="str">
        <f ca="1">IFERROR(__xludf.DUMMYFUNCTION("IMPORTRANGE(H29281,""IDENTITAS UNIT!D9"")"),"#N/A")</f>
        <v>#N/A</v>
      </c>
      <c r="H29281" s="4" t="str">
        <v/>
      </c>
      <c r="I29281" s="4" t="str">
        <v/>
      </c>
    </row>
    <row r="29282" spans="5:9" ht="16.5" hidden="1">
      <c r="E29282" s="4" t="str">
        <v/>
      </c>
      <c r="F29282" s="102" t="str">
        <f ca="1">IFERROR(__xludf.DUMMYFUNCTION("IMPORTRANGE(H29282,""IDENTITAS UNIT!D9"")"),"#N/A")</f>
        <v>#N/A</v>
      </c>
      <c r="H29282" s="4" t="str">
        <v/>
      </c>
      <c r="I29282" s="4" t="str">
        <v/>
      </c>
    </row>
    <row r="29283" spans="5:9" ht="16.5" hidden="1">
      <c r="E29283" s="4" t="str">
        <v/>
      </c>
      <c r="F29283" s="102" t="str">
        <f ca="1">IFERROR(__xludf.DUMMYFUNCTION("IMPORTRANGE(H29283,""IDENTITAS UNIT!D9"")"),"#N/A")</f>
        <v>#N/A</v>
      </c>
      <c r="H29283" s="4" t="str">
        <v/>
      </c>
      <c r="I29283" s="4" t="str">
        <v/>
      </c>
    </row>
    <row r="29284" spans="5:9" ht="16.5" hidden="1">
      <c r="E29284" s="4" t="str">
        <v/>
      </c>
      <c r="F29284" s="102" t="str">
        <f ca="1">IFERROR(__xludf.DUMMYFUNCTION("IMPORTRANGE(H29284,""IDENTITAS UNIT!D9"")"),"#N/A")</f>
        <v>#N/A</v>
      </c>
      <c r="H29284" s="4" t="str">
        <v/>
      </c>
      <c r="I29284" s="4" t="str">
        <v/>
      </c>
    </row>
    <row r="29285" spans="5:9" ht="16.5" hidden="1">
      <c r="E29285" s="4" t="str">
        <v/>
      </c>
      <c r="F29285" s="102" t="str">
        <f ca="1">IFERROR(__xludf.DUMMYFUNCTION("IMPORTRANGE(H29285,""IDENTITAS UNIT!D9"")"),"#N/A")</f>
        <v>#N/A</v>
      </c>
      <c r="H29285" s="4" t="str">
        <v/>
      </c>
      <c r="I29285" s="4" t="str">
        <v/>
      </c>
    </row>
    <row r="29286" spans="5:9" ht="16.5" hidden="1">
      <c r="E29286" s="4" t="str">
        <v/>
      </c>
      <c r="F29286" s="102" t="str">
        <f ca="1">IFERROR(__xludf.DUMMYFUNCTION("IMPORTRANGE(H29286,""IDENTITAS UNIT!D9"")"),"#N/A")</f>
        <v>#N/A</v>
      </c>
      <c r="H29286" s="4" t="str">
        <v/>
      </c>
      <c r="I29286" s="4" t="str">
        <v/>
      </c>
    </row>
    <row r="29287" spans="5:9" ht="16.5" hidden="1">
      <c r="E29287" s="4" t="str">
        <v/>
      </c>
      <c r="F29287" s="102" t="str">
        <f ca="1">IFERROR(__xludf.DUMMYFUNCTION("IMPORTRANGE(H29287,""IDENTITAS UNIT!D9"")"),"#N/A")</f>
        <v>#N/A</v>
      </c>
      <c r="H29287" s="4" t="str">
        <v/>
      </c>
      <c r="I29287" s="4" t="str">
        <v/>
      </c>
    </row>
    <row r="29288" spans="5:9" ht="16.5" hidden="1">
      <c r="E29288" s="4" t="str">
        <v/>
      </c>
      <c r="F29288" s="102" t="str">
        <f ca="1">IFERROR(__xludf.DUMMYFUNCTION("IMPORTRANGE(H29288,""IDENTITAS UNIT!D9"")"),"#N/A")</f>
        <v>#N/A</v>
      </c>
      <c r="H29288" s="4" t="str">
        <v/>
      </c>
      <c r="I29288" s="4" t="str">
        <v/>
      </c>
    </row>
    <row r="29289" spans="5:9" ht="16.5" hidden="1">
      <c r="E29289" s="4" t="str">
        <v/>
      </c>
      <c r="F29289" s="102" t="str">
        <f ca="1">IFERROR(__xludf.DUMMYFUNCTION("IMPORTRANGE(H29289,""IDENTITAS UNIT!D9"")"),"#N/A")</f>
        <v>#N/A</v>
      </c>
      <c r="H29289" s="4" t="str">
        <v/>
      </c>
      <c r="I29289" s="4" t="str">
        <v/>
      </c>
    </row>
    <row r="29290" spans="5:9" ht="16.5" hidden="1">
      <c r="E29290" s="4" t="str">
        <v/>
      </c>
      <c r="F29290" s="102" t="str">
        <f ca="1">IFERROR(__xludf.DUMMYFUNCTION("IMPORTRANGE(H29290,""IDENTITAS UNIT!D9"")"),"#N/A")</f>
        <v>#N/A</v>
      </c>
      <c r="H29290" s="4" t="str">
        <v/>
      </c>
      <c r="I29290" s="4" t="str">
        <v/>
      </c>
    </row>
    <row r="29291" spans="5:9" ht="16.5" hidden="1">
      <c r="E29291" s="4" t="str">
        <v/>
      </c>
      <c r="F29291" s="102" t="str">
        <f ca="1">IFERROR(__xludf.DUMMYFUNCTION("IMPORTRANGE(H29291,""IDENTITAS UNIT!D9"")"),"#N/A")</f>
        <v>#N/A</v>
      </c>
      <c r="H29291" s="4" t="str">
        <v/>
      </c>
      <c r="I29291" s="4" t="str">
        <v/>
      </c>
    </row>
    <row r="29292" spans="5:9" ht="16.5" hidden="1">
      <c r="E29292" s="4" t="str">
        <v/>
      </c>
      <c r="F29292" s="102" t="str">
        <f ca="1">IFERROR(__xludf.DUMMYFUNCTION("IMPORTRANGE(H29292,""IDENTITAS UNIT!D9"")"),"#N/A")</f>
        <v>#N/A</v>
      </c>
      <c r="H29292" s="4" t="str">
        <v/>
      </c>
      <c r="I29292" s="4" t="str">
        <v/>
      </c>
    </row>
    <row r="29293" spans="5:9" ht="16.5" hidden="1">
      <c r="E29293" s="4" t="str">
        <v/>
      </c>
      <c r="F29293" s="102" t="str">
        <f ca="1">IFERROR(__xludf.DUMMYFUNCTION("IMPORTRANGE(H29293,""IDENTITAS UNIT!D9"")"),"#N/A")</f>
        <v>#N/A</v>
      </c>
      <c r="H29293" s="4" t="str">
        <v/>
      </c>
      <c r="I29293" s="4" t="str">
        <v/>
      </c>
    </row>
    <row r="29294" spans="5:9" ht="16.5" hidden="1">
      <c r="E29294" s="4" t="str">
        <v/>
      </c>
      <c r="F29294" s="102" t="str">
        <f ca="1">IFERROR(__xludf.DUMMYFUNCTION("IMPORTRANGE(H29294,""IDENTITAS UNIT!D9"")"),"#N/A")</f>
        <v>#N/A</v>
      </c>
      <c r="H29294" s="4" t="str">
        <v/>
      </c>
      <c r="I29294" s="4" t="str">
        <v/>
      </c>
    </row>
    <row r="29295" spans="5:9" ht="16.5" hidden="1">
      <c r="E29295" s="4" t="str">
        <v/>
      </c>
      <c r="F29295" s="102" t="str">
        <f ca="1">IFERROR(__xludf.DUMMYFUNCTION("IMPORTRANGE(H29295,""IDENTITAS UNIT!D9"")"),"#N/A")</f>
        <v>#N/A</v>
      </c>
      <c r="H29295" s="4" t="str">
        <v/>
      </c>
      <c r="I29295" s="4" t="str">
        <v/>
      </c>
    </row>
    <row r="29296" spans="5:9" ht="16.5" hidden="1">
      <c r="E29296" s="4" t="str">
        <v/>
      </c>
      <c r="F29296" s="102" t="str">
        <f ca="1">IFERROR(__xludf.DUMMYFUNCTION("IMPORTRANGE(H29296,""IDENTITAS UNIT!D9"")"),"#N/A")</f>
        <v>#N/A</v>
      </c>
      <c r="H29296" s="4" t="str">
        <v/>
      </c>
      <c r="I29296" s="4" t="str">
        <v/>
      </c>
    </row>
    <row r="29297" spans="5:9" ht="16.5" hidden="1">
      <c r="E29297" s="4" t="str">
        <v/>
      </c>
      <c r="F29297" s="102" t="str">
        <f ca="1">IFERROR(__xludf.DUMMYFUNCTION("IMPORTRANGE(H29297,""IDENTITAS UNIT!D9"")"),"#N/A")</f>
        <v>#N/A</v>
      </c>
      <c r="H29297" s="4" t="str">
        <v/>
      </c>
      <c r="I29297" s="4" t="str">
        <v/>
      </c>
    </row>
    <row r="29298" spans="5:9" ht="16.5" hidden="1">
      <c r="E29298" s="4" t="str">
        <v/>
      </c>
      <c r="F29298" s="102" t="str">
        <f ca="1">IFERROR(__xludf.DUMMYFUNCTION("IMPORTRANGE(H29298,""IDENTITAS UNIT!D9"")"),"#N/A")</f>
        <v>#N/A</v>
      </c>
      <c r="H29298" s="4" t="str">
        <v/>
      </c>
      <c r="I29298" s="4" t="str">
        <v/>
      </c>
    </row>
    <row r="29299" spans="5:9" ht="16.5" hidden="1">
      <c r="E29299" s="4" t="str">
        <v/>
      </c>
      <c r="F29299" s="102" t="str">
        <f ca="1">IFERROR(__xludf.DUMMYFUNCTION("IMPORTRANGE(H29299,""IDENTITAS UNIT!D9"")"),"#N/A")</f>
        <v>#N/A</v>
      </c>
      <c r="H29299" s="4" t="str">
        <v/>
      </c>
      <c r="I29299" s="4" t="str">
        <v/>
      </c>
    </row>
    <row r="29300" spans="5:9" ht="16.5" hidden="1">
      <c r="E29300" s="4" t="str">
        <v/>
      </c>
      <c r="F29300" s="102" t="str">
        <f ca="1">IFERROR(__xludf.DUMMYFUNCTION("IMPORTRANGE(H29300,""IDENTITAS UNIT!D9"")"),"#N/A")</f>
        <v>#N/A</v>
      </c>
      <c r="H29300" s="4" t="str">
        <v/>
      </c>
      <c r="I29300" s="4" t="str">
        <v/>
      </c>
    </row>
    <row r="29301" spans="5:9" ht="16.5" hidden="1">
      <c r="E29301" s="4" t="str">
        <v/>
      </c>
      <c r="F29301" s="102" t="str">
        <f ca="1">IFERROR(__xludf.DUMMYFUNCTION("IMPORTRANGE(H29301,""IDENTITAS UNIT!D9"")"),"#N/A")</f>
        <v>#N/A</v>
      </c>
      <c r="H29301" s="4" t="str">
        <v/>
      </c>
      <c r="I29301" s="4" t="str">
        <v/>
      </c>
    </row>
    <row r="29302" spans="5:9" ht="16.5" hidden="1">
      <c r="E29302" s="4" t="str">
        <v/>
      </c>
      <c r="F29302" s="102" t="str">
        <f ca="1">IFERROR(__xludf.DUMMYFUNCTION("IMPORTRANGE(H29302,""IDENTITAS UNIT!D9"")"),"#N/A")</f>
        <v>#N/A</v>
      </c>
      <c r="H29302" s="4" t="str">
        <v/>
      </c>
      <c r="I29302" s="4" t="str">
        <v/>
      </c>
    </row>
    <row r="29303" spans="5:9" ht="16.5" hidden="1">
      <c r="E29303" s="4" t="str">
        <v/>
      </c>
      <c r="F29303" s="102" t="str">
        <f ca="1">IFERROR(__xludf.DUMMYFUNCTION("IMPORTRANGE(H29303,""IDENTITAS UNIT!D9"")"),"#N/A")</f>
        <v>#N/A</v>
      </c>
      <c r="H29303" s="4" t="str">
        <v/>
      </c>
      <c r="I29303" s="4" t="str">
        <v/>
      </c>
    </row>
    <row r="29304" spans="5:9" ht="16.5" hidden="1">
      <c r="E29304" s="4" t="str">
        <v/>
      </c>
      <c r="F29304" s="102" t="str">
        <f ca="1">IFERROR(__xludf.DUMMYFUNCTION("IMPORTRANGE(H29304,""IDENTITAS UNIT!D9"")"),"#N/A")</f>
        <v>#N/A</v>
      </c>
      <c r="H29304" s="4" t="str">
        <v/>
      </c>
      <c r="I29304" s="4" t="str">
        <v/>
      </c>
    </row>
    <row r="29305" spans="5:9" ht="16.5" hidden="1">
      <c r="E29305" s="4" t="str">
        <v/>
      </c>
      <c r="F29305" s="102" t="str">
        <f ca="1">IFERROR(__xludf.DUMMYFUNCTION("IMPORTRANGE(H29305,""IDENTITAS UNIT!D9"")"),"#N/A")</f>
        <v>#N/A</v>
      </c>
      <c r="H29305" s="4" t="str">
        <v/>
      </c>
      <c r="I29305" s="4" t="str">
        <v/>
      </c>
    </row>
    <row r="29306" spans="5:9" ht="16.5" hidden="1">
      <c r="E29306" s="4" t="str">
        <v/>
      </c>
      <c r="F29306" s="102" t="str">
        <f ca="1">IFERROR(__xludf.DUMMYFUNCTION("IMPORTRANGE(H29306,""IDENTITAS UNIT!D9"")"),"#N/A")</f>
        <v>#N/A</v>
      </c>
      <c r="H29306" s="4" t="str">
        <v/>
      </c>
      <c r="I29306" s="4" t="str">
        <v/>
      </c>
    </row>
    <row r="29307" spans="5:9" ht="16.5" hidden="1">
      <c r="E29307" s="4" t="str">
        <v/>
      </c>
      <c r="F29307" s="102" t="str">
        <f ca="1">IFERROR(__xludf.DUMMYFUNCTION("IMPORTRANGE(H29307,""IDENTITAS UNIT!D9"")"),"#N/A")</f>
        <v>#N/A</v>
      </c>
      <c r="H29307" s="4" t="str">
        <v/>
      </c>
      <c r="I29307" s="4" t="str">
        <v/>
      </c>
    </row>
    <row r="29308" spans="5:9" ht="16.5" hidden="1">
      <c r="E29308" s="4" t="str">
        <v/>
      </c>
      <c r="F29308" s="102" t="str">
        <f ca="1">IFERROR(__xludf.DUMMYFUNCTION("IMPORTRANGE(H29308,""IDENTITAS UNIT!D9"")"),"#N/A")</f>
        <v>#N/A</v>
      </c>
      <c r="H29308" s="4" t="str">
        <v/>
      </c>
      <c r="I29308" s="4" t="str">
        <v/>
      </c>
    </row>
    <row r="29309" spans="5:9" ht="16.5" hidden="1">
      <c r="E29309" s="4" t="str">
        <v/>
      </c>
      <c r="F29309" s="102" t="str">
        <f ca="1">IFERROR(__xludf.DUMMYFUNCTION("IMPORTRANGE(H29309,""IDENTITAS UNIT!D9"")"),"#N/A")</f>
        <v>#N/A</v>
      </c>
      <c r="H29309" s="4" t="str">
        <v/>
      </c>
      <c r="I29309" s="4" t="str">
        <v/>
      </c>
    </row>
    <row r="29310" spans="5:9" ht="16.5" hidden="1">
      <c r="E29310" s="4" t="str">
        <v/>
      </c>
      <c r="F29310" s="102" t="str">
        <f ca="1">IFERROR(__xludf.DUMMYFUNCTION("IMPORTRANGE(H29310,""IDENTITAS UNIT!D9"")"),"#N/A")</f>
        <v>#N/A</v>
      </c>
      <c r="H29310" s="4" t="str">
        <v/>
      </c>
      <c r="I29310" s="4" t="str">
        <v/>
      </c>
    </row>
    <row r="29311" spans="5:9" ht="16.5" hidden="1">
      <c r="E29311" s="4" t="str">
        <v/>
      </c>
      <c r="F29311" s="102" t="str">
        <f ca="1">IFERROR(__xludf.DUMMYFUNCTION("IMPORTRANGE(H29311,""IDENTITAS UNIT!D9"")"),"#N/A")</f>
        <v>#N/A</v>
      </c>
      <c r="H29311" s="4" t="str">
        <v/>
      </c>
      <c r="I29311" s="4" t="str">
        <v/>
      </c>
    </row>
    <row r="29312" spans="5:9" ht="16.5" hidden="1">
      <c r="E29312" s="4" t="str">
        <v/>
      </c>
      <c r="F29312" s="102" t="str">
        <f ca="1">IFERROR(__xludf.DUMMYFUNCTION("IMPORTRANGE(H29312,""IDENTITAS UNIT!D9"")"),"#N/A")</f>
        <v>#N/A</v>
      </c>
      <c r="H29312" s="4" t="str">
        <v/>
      </c>
      <c r="I29312" s="4" t="str">
        <v/>
      </c>
    </row>
    <row r="29313" spans="5:9" ht="16.5" hidden="1">
      <c r="E29313" s="4" t="str">
        <v/>
      </c>
      <c r="F29313" s="102" t="str">
        <f ca="1">IFERROR(__xludf.DUMMYFUNCTION("IMPORTRANGE(H29313,""IDENTITAS UNIT!D9"")"),"#N/A")</f>
        <v>#N/A</v>
      </c>
      <c r="H29313" s="4" t="str">
        <v/>
      </c>
      <c r="I29313" s="4" t="str">
        <v/>
      </c>
    </row>
    <row r="29314" spans="5:9" ht="16.5" hidden="1">
      <c r="E29314" s="4" t="str">
        <v/>
      </c>
      <c r="F29314" s="102" t="str">
        <f ca="1">IFERROR(__xludf.DUMMYFUNCTION("IMPORTRANGE(H29314,""IDENTITAS UNIT!D9"")"),"#N/A")</f>
        <v>#N/A</v>
      </c>
      <c r="H29314" s="4" t="str">
        <v/>
      </c>
      <c r="I29314" s="4" t="str">
        <v/>
      </c>
    </row>
    <row r="29315" spans="5:9" ht="16.5" hidden="1">
      <c r="E29315" s="4" t="str">
        <v/>
      </c>
      <c r="F29315" s="102" t="str">
        <f ca="1">IFERROR(__xludf.DUMMYFUNCTION("IMPORTRANGE(H29315,""IDENTITAS UNIT!D9"")"),"#N/A")</f>
        <v>#N/A</v>
      </c>
      <c r="H29315" s="4" t="str">
        <v/>
      </c>
      <c r="I29315" s="4" t="str">
        <v/>
      </c>
    </row>
    <row r="29316" spans="5:9" ht="16.5" hidden="1">
      <c r="E29316" s="4" t="str">
        <v/>
      </c>
      <c r="F29316" s="102" t="str">
        <f ca="1">IFERROR(__xludf.DUMMYFUNCTION("IMPORTRANGE(H29316,""IDENTITAS UNIT!D9"")"),"#N/A")</f>
        <v>#N/A</v>
      </c>
      <c r="H29316" s="4" t="str">
        <v/>
      </c>
      <c r="I29316" s="4" t="str">
        <v/>
      </c>
    </row>
    <row r="29317" spans="5:9" ht="16.5" hidden="1">
      <c r="E29317" s="4" t="str">
        <v/>
      </c>
      <c r="F29317" s="102" t="str">
        <f ca="1">IFERROR(__xludf.DUMMYFUNCTION("IMPORTRANGE(H29317,""IDENTITAS UNIT!D9"")"),"#N/A")</f>
        <v>#N/A</v>
      </c>
      <c r="H29317" s="4" t="str">
        <v/>
      </c>
      <c r="I29317" s="4" t="str">
        <v/>
      </c>
    </row>
    <row r="29318" spans="5:9" ht="16.5" hidden="1">
      <c r="E29318" s="4" t="str">
        <v/>
      </c>
      <c r="F29318" s="102" t="str">
        <f ca="1">IFERROR(__xludf.DUMMYFUNCTION("IMPORTRANGE(H29318,""IDENTITAS UNIT!D9"")"),"#N/A")</f>
        <v>#N/A</v>
      </c>
      <c r="H29318" s="4" t="str">
        <v/>
      </c>
      <c r="I29318" s="4" t="str">
        <v/>
      </c>
    </row>
    <row r="29319" spans="5:9" ht="16.5" hidden="1">
      <c r="E29319" s="4" t="str">
        <v/>
      </c>
      <c r="F29319" s="102" t="str">
        <f ca="1">IFERROR(__xludf.DUMMYFUNCTION("IMPORTRANGE(H29319,""IDENTITAS UNIT!D9"")"),"#N/A")</f>
        <v>#N/A</v>
      </c>
      <c r="H29319" s="4" t="str">
        <v/>
      </c>
      <c r="I29319" s="4" t="str">
        <v/>
      </c>
    </row>
    <row r="29320" spans="5:9" ht="16.5" hidden="1">
      <c r="E29320" s="4" t="str">
        <v/>
      </c>
      <c r="F29320" s="102" t="str">
        <f ca="1">IFERROR(__xludf.DUMMYFUNCTION("IMPORTRANGE(H29320,""IDENTITAS UNIT!D9"")"),"#N/A")</f>
        <v>#N/A</v>
      </c>
      <c r="H29320" s="4" t="str">
        <v/>
      </c>
      <c r="I29320" s="4" t="str">
        <v/>
      </c>
    </row>
    <row r="29321" spans="5:9" ht="16.5" hidden="1">
      <c r="E29321" s="4" t="str">
        <v/>
      </c>
      <c r="F29321" s="102" t="str">
        <f ca="1">IFERROR(__xludf.DUMMYFUNCTION("IMPORTRANGE(H29321,""IDENTITAS UNIT!D9"")"),"#N/A")</f>
        <v>#N/A</v>
      </c>
      <c r="H29321" s="4" t="str">
        <v/>
      </c>
      <c r="I29321" s="4" t="str">
        <v/>
      </c>
    </row>
    <row r="29322" spans="5:9" ht="16.5" hidden="1">
      <c r="E29322" s="4" t="str">
        <v/>
      </c>
      <c r="F29322" s="102" t="str">
        <f ca="1">IFERROR(__xludf.DUMMYFUNCTION("IMPORTRANGE(H29322,""IDENTITAS UNIT!D9"")"),"#N/A")</f>
        <v>#N/A</v>
      </c>
      <c r="H29322" s="4" t="str">
        <v/>
      </c>
      <c r="I29322" s="4" t="str">
        <v/>
      </c>
    </row>
    <row r="29323" spans="5:9" ht="16.5" hidden="1">
      <c r="E29323" s="4" t="str">
        <v/>
      </c>
      <c r="F29323" s="102" t="str">
        <f ca="1">IFERROR(__xludf.DUMMYFUNCTION("IMPORTRANGE(H29323,""IDENTITAS UNIT!D9"")"),"#N/A")</f>
        <v>#N/A</v>
      </c>
      <c r="H29323" s="4" t="str">
        <v/>
      </c>
      <c r="I29323" s="4" t="str">
        <v/>
      </c>
    </row>
    <row r="29324" spans="5:9" ht="16.5" hidden="1">
      <c r="E29324" s="4" t="str">
        <v/>
      </c>
      <c r="F29324" s="102" t="str">
        <f ca="1">IFERROR(__xludf.DUMMYFUNCTION("IMPORTRANGE(H29324,""IDENTITAS UNIT!D9"")"),"#N/A")</f>
        <v>#N/A</v>
      </c>
      <c r="H29324" s="4" t="str">
        <v/>
      </c>
      <c r="I29324" s="4" t="str">
        <v/>
      </c>
    </row>
    <row r="29325" spans="5:9" ht="16.5" hidden="1">
      <c r="E29325" s="4" t="str">
        <v/>
      </c>
      <c r="F29325" s="102" t="str">
        <f ca="1">IFERROR(__xludf.DUMMYFUNCTION("IMPORTRANGE(H29325,""IDENTITAS UNIT!D9"")"),"#N/A")</f>
        <v>#N/A</v>
      </c>
      <c r="H29325" s="4" t="str">
        <v/>
      </c>
      <c r="I29325" s="4" t="str">
        <v/>
      </c>
    </row>
    <row r="29326" spans="5:9" ht="16.5" hidden="1">
      <c r="E29326" s="4" t="str">
        <v/>
      </c>
      <c r="F29326" s="102" t="str">
        <f ca="1">IFERROR(__xludf.DUMMYFUNCTION("IMPORTRANGE(H29326,""IDENTITAS UNIT!D9"")"),"#N/A")</f>
        <v>#N/A</v>
      </c>
      <c r="H29326" s="4" t="str">
        <v/>
      </c>
      <c r="I29326" s="4" t="str">
        <v/>
      </c>
    </row>
    <row r="29327" spans="5:9" ht="16.5" hidden="1">
      <c r="E29327" s="4" t="str">
        <v/>
      </c>
      <c r="F29327" s="102" t="str">
        <f ca="1">IFERROR(__xludf.DUMMYFUNCTION("IMPORTRANGE(H29327,""IDENTITAS UNIT!D9"")"),"#N/A")</f>
        <v>#N/A</v>
      </c>
      <c r="H29327" s="4" t="str">
        <v/>
      </c>
      <c r="I29327" s="4" t="str">
        <v/>
      </c>
    </row>
    <row r="29328" spans="5:9" ht="16.5" hidden="1">
      <c r="E29328" s="4" t="str">
        <v/>
      </c>
      <c r="F29328" s="102" t="str">
        <f ca="1">IFERROR(__xludf.DUMMYFUNCTION("IMPORTRANGE(H29328,""IDENTITAS UNIT!D9"")"),"#N/A")</f>
        <v>#N/A</v>
      </c>
      <c r="H29328" s="4" t="str">
        <v/>
      </c>
      <c r="I29328" s="4" t="str">
        <v/>
      </c>
    </row>
    <row r="29329" spans="5:9" ht="16.5" hidden="1">
      <c r="E29329" s="4" t="str">
        <v/>
      </c>
      <c r="F29329" s="102" t="str">
        <f ca="1">IFERROR(__xludf.DUMMYFUNCTION("IMPORTRANGE(H29329,""IDENTITAS UNIT!D9"")"),"#N/A")</f>
        <v>#N/A</v>
      </c>
      <c r="H29329" s="4" t="str">
        <v/>
      </c>
      <c r="I29329" s="4" t="str">
        <v/>
      </c>
    </row>
    <row r="29330" spans="5:9" ht="16.5" hidden="1">
      <c r="E29330" s="4" t="str">
        <v/>
      </c>
      <c r="F29330" s="102" t="str">
        <f ca="1">IFERROR(__xludf.DUMMYFUNCTION("IMPORTRANGE(H29330,""IDENTITAS UNIT!D9"")"),"#N/A")</f>
        <v>#N/A</v>
      </c>
      <c r="H29330" s="4" t="str">
        <v/>
      </c>
      <c r="I29330" s="4" t="str">
        <v/>
      </c>
    </row>
    <row r="29331" spans="5:9" ht="16.5" hidden="1">
      <c r="E29331" s="4" t="str">
        <v/>
      </c>
      <c r="F29331" s="102" t="str">
        <f ca="1">IFERROR(__xludf.DUMMYFUNCTION("IMPORTRANGE(H29331,""IDENTITAS UNIT!D9"")"),"#N/A")</f>
        <v>#N/A</v>
      </c>
      <c r="H29331" s="4" t="str">
        <v/>
      </c>
      <c r="I29331" s="4" t="str">
        <v/>
      </c>
    </row>
    <row r="29332" spans="5:9" ht="16.5" hidden="1">
      <c r="E29332" s="4" t="str">
        <v/>
      </c>
      <c r="F29332" s="102" t="str">
        <f ca="1">IFERROR(__xludf.DUMMYFUNCTION("IMPORTRANGE(H29332,""IDENTITAS UNIT!D9"")"),"#N/A")</f>
        <v>#N/A</v>
      </c>
      <c r="H29332" s="4" t="str">
        <v/>
      </c>
      <c r="I29332" s="4" t="str">
        <v/>
      </c>
    </row>
    <row r="29333" spans="5:9" ht="16.5" hidden="1">
      <c r="E29333" s="4" t="str">
        <v/>
      </c>
      <c r="F29333" s="102" t="str">
        <f ca="1">IFERROR(__xludf.DUMMYFUNCTION("IMPORTRANGE(H29333,""IDENTITAS UNIT!D9"")"),"#N/A")</f>
        <v>#N/A</v>
      </c>
      <c r="H29333" s="4" t="str">
        <v/>
      </c>
      <c r="I29333" s="4" t="str">
        <v/>
      </c>
    </row>
    <row r="29334" spans="5:9" ht="16.5" hidden="1">
      <c r="E29334" s="4" t="str">
        <v/>
      </c>
      <c r="F29334" s="102" t="str">
        <f ca="1">IFERROR(__xludf.DUMMYFUNCTION("IMPORTRANGE(H29334,""IDENTITAS UNIT!D9"")"),"#N/A")</f>
        <v>#N/A</v>
      </c>
      <c r="H29334" s="4" t="str">
        <v/>
      </c>
      <c r="I29334" s="4" t="str">
        <v/>
      </c>
    </row>
    <row r="29335" spans="5:9" ht="16.5" hidden="1">
      <c r="E29335" s="4" t="str">
        <v/>
      </c>
      <c r="F29335" s="102" t="str">
        <f ca="1">IFERROR(__xludf.DUMMYFUNCTION("IMPORTRANGE(H29335,""IDENTITAS UNIT!D9"")"),"#N/A")</f>
        <v>#N/A</v>
      </c>
      <c r="H29335" s="4" t="str">
        <v/>
      </c>
      <c r="I29335" s="4" t="str">
        <v/>
      </c>
    </row>
    <row r="29336" spans="5:9" ht="16.5" hidden="1">
      <c r="E29336" s="4" t="str">
        <v/>
      </c>
      <c r="F29336" s="102" t="str">
        <f ca="1">IFERROR(__xludf.DUMMYFUNCTION("IMPORTRANGE(H29336,""IDENTITAS UNIT!D9"")"),"#N/A")</f>
        <v>#N/A</v>
      </c>
      <c r="H29336" s="4" t="str">
        <v/>
      </c>
      <c r="I29336" s="4" t="str">
        <v/>
      </c>
    </row>
    <row r="29337" spans="5:9" ht="16.5" hidden="1">
      <c r="E29337" s="4" t="str">
        <v/>
      </c>
      <c r="F29337" s="102" t="str">
        <f ca="1">IFERROR(__xludf.DUMMYFUNCTION("IMPORTRANGE(H29337,""IDENTITAS UNIT!D9"")"),"#N/A")</f>
        <v>#N/A</v>
      </c>
      <c r="H29337" s="4" t="str">
        <v/>
      </c>
      <c r="I29337" s="4" t="str">
        <v/>
      </c>
    </row>
    <row r="29338" spans="5:9" ht="16.5" hidden="1">
      <c r="E29338" s="4" t="str">
        <v/>
      </c>
      <c r="F29338" s="102" t="str">
        <f ca="1">IFERROR(__xludf.DUMMYFUNCTION("IMPORTRANGE(H29338,""IDENTITAS UNIT!D9"")"),"#N/A")</f>
        <v>#N/A</v>
      </c>
      <c r="H29338" s="4" t="str">
        <v/>
      </c>
      <c r="I29338" s="4" t="str">
        <v/>
      </c>
    </row>
    <row r="29339" spans="5:9" ht="16.5" hidden="1">
      <c r="E29339" s="4" t="str">
        <v/>
      </c>
      <c r="F29339" s="102" t="str">
        <f ca="1">IFERROR(__xludf.DUMMYFUNCTION("IMPORTRANGE(H29339,""IDENTITAS UNIT!D9"")"),"#N/A")</f>
        <v>#N/A</v>
      </c>
      <c r="H29339" s="4" t="str">
        <v/>
      </c>
      <c r="I29339" s="4" t="str">
        <v/>
      </c>
    </row>
    <row r="29340" spans="5:9" ht="16.5" hidden="1">
      <c r="E29340" s="4" t="str">
        <v/>
      </c>
      <c r="F29340" s="102" t="str">
        <f ca="1">IFERROR(__xludf.DUMMYFUNCTION("IMPORTRANGE(H29340,""IDENTITAS UNIT!D9"")"),"#N/A")</f>
        <v>#N/A</v>
      </c>
      <c r="H29340" s="4" t="str">
        <v/>
      </c>
      <c r="I29340" s="4" t="str">
        <v/>
      </c>
    </row>
    <row r="29341" spans="5:9" ht="16.5" hidden="1">
      <c r="E29341" s="4" t="str">
        <v/>
      </c>
      <c r="F29341" s="102" t="str">
        <f ca="1">IFERROR(__xludf.DUMMYFUNCTION("IMPORTRANGE(H29341,""IDENTITAS UNIT!D9"")"),"#N/A")</f>
        <v>#N/A</v>
      </c>
      <c r="H29341" s="4" t="str">
        <v/>
      </c>
      <c r="I29341" s="4" t="str">
        <v/>
      </c>
    </row>
    <row r="29342" spans="5:9" ht="16.5" hidden="1">
      <c r="E29342" s="4" t="str">
        <v/>
      </c>
      <c r="F29342" s="102" t="str">
        <f ca="1">IFERROR(__xludf.DUMMYFUNCTION("IMPORTRANGE(H29342,""IDENTITAS UNIT!D9"")"),"#N/A")</f>
        <v>#N/A</v>
      </c>
      <c r="H29342" s="4" t="str">
        <v/>
      </c>
      <c r="I29342" s="4" t="str">
        <v/>
      </c>
    </row>
    <row r="29343" spans="5:9" ht="16.5" hidden="1">
      <c r="E29343" s="4" t="str">
        <v/>
      </c>
      <c r="F29343" s="102" t="str">
        <f ca="1">IFERROR(__xludf.DUMMYFUNCTION("IMPORTRANGE(H29343,""IDENTITAS UNIT!D9"")"),"#N/A")</f>
        <v>#N/A</v>
      </c>
      <c r="H29343" s="4" t="str">
        <v/>
      </c>
      <c r="I29343" s="4" t="str">
        <v/>
      </c>
    </row>
    <row r="29344" spans="5:9" ht="16.5" hidden="1">
      <c r="E29344" s="4" t="str">
        <v/>
      </c>
      <c r="F29344" s="102" t="str">
        <f ca="1">IFERROR(__xludf.DUMMYFUNCTION("IMPORTRANGE(H29344,""IDENTITAS UNIT!D9"")"),"#N/A")</f>
        <v>#N/A</v>
      </c>
      <c r="H29344" s="4" t="str">
        <v/>
      </c>
      <c r="I29344" s="4" t="str">
        <v/>
      </c>
    </row>
    <row r="29345" spans="5:9" ht="16.5" hidden="1">
      <c r="E29345" s="4" t="str">
        <v/>
      </c>
      <c r="F29345" s="102" t="str">
        <f ca="1">IFERROR(__xludf.DUMMYFUNCTION("IMPORTRANGE(H29345,""IDENTITAS UNIT!D9"")"),"#N/A")</f>
        <v>#N/A</v>
      </c>
      <c r="H29345" s="4" t="str">
        <v/>
      </c>
      <c r="I29345" s="4" t="str">
        <v/>
      </c>
    </row>
    <row r="29346" spans="5:9" ht="16.5" hidden="1">
      <c r="E29346" s="4" t="str">
        <v/>
      </c>
      <c r="F29346" s="102" t="str">
        <f ca="1">IFERROR(__xludf.DUMMYFUNCTION("IMPORTRANGE(H29346,""IDENTITAS UNIT!D9"")"),"#N/A")</f>
        <v>#N/A</v>
      </c>
      <c r="H29346" s="4" t="str">
        <v/>
      </c>
      <c r="I29346" s="4" t="str">
        <v/>
      </c>
    </row>
    <row r="29347" spans="5:9" ht="16.5" hidden="1">
      <c r="E29347" s="4" t="str">
        <v/>
      </c>
      <c r="F29347" s="102" t="str">
        <f ca="1">IFERROR(__xludf.DUMMYFUNCTION("IMPORTRANGE(H29347,""IDENTITAS UNIT!D9"")"),"#N/A")</f>
        <v>#N/A</v>
      </c>
      <c r="H29347" s="4" t="str">
        <v/>
      </c>
      <c r="I29347" s="4" t="str">
        <v/>
      </c>
    </row>
    <row r="29348" spans="5:9" ht="16.5" hidden="1">
      <c r="E29348" s="4" t="str">
        <v/>
      </c>
      <c r="F29348" s="102" t="str">
        <f ca="1">IFERROR(__xludf.DUMMYFUNCTION("IMPORTRANGE(H29348,""IDENTITAS UNIT!D9"")"),"#N/A")</f>
        <v>#N/A</v>
      </c>
      <c r="H29348" s="4" t="str">
        <v/>
      </c>
      <c r="I29348" s="4" t="str">
        <v/>
      </c>
    </row>
    <row r="29349" spans="5:9" ht="16.5" hidden="1">
      <c r="E29349" s="4" t="str">
        <v/>
      </c>
      <c r="F29349" s="102" t="str">
        <f ca="1">IFERROR(__xludf.DUMMYFUNCTION("IMPORTRANGE(H29349,""IDENTITAS UNIT!D9"")"),"#N/A")</f>
        <v>#N/A</v>
      </c>
      <c r="H29349" s="4" t="str">
        <v/>
      </c>
      <c r="I29349" s="4" t="str">
        <v/>
      </c>
    </row>
    <row r="29350" spans="5:9" ht="16.5" hidden="1">
      <c r="E29350" s="4" t="str">
        <v/>
      </c>
      <c r="F29350" s="102" t="str">
        <f ca="1">IFERROR(__xludf.DUMMYFUNCTION("IMPORTRANGE(H29350,""IDENTITAS UNIT!D9"")"),"#N/A")</f>
        <v>#N/A</v>
      </c>
      <c r="H29350" s="4" t="str">
        <v/>
      </c>
      <c r="I29350" s="4" t="str">
        <v/>
      </c>
    </row>
    <row r="29351" spans="5:9" ht="16.5" hidden="1">
      <c r="E29351" s="4" t="str">
        <v/>
      </c>
      <c r="F29351" s="102" t="str">
        <f ca="1">IFERROR(__xludf.DUMMYFUNCTION("IMPORTRANGE(H29351,""IDENTITAS UNIT!D9"")"),"#N/A")</f>
        <v>#N/A</v>
      </c>
      <c r="H29351" s="4" t="str">
        <v/>
      </c>
      <c r="I29351" s="4" t="str">
        <v/>
      </c>
    </row>
    <row r="29352" spans="5:9" ht="16.5" hidden="1">
      <c r="E29352" s="4" t="str">
        <v/>
      </c>
      <c r="F29352" s="102" t="str">
        <f ca="1">IFERROR(__xludf.DUMMYFUNCTION("IMPORTRANGE(H29352,""IDENTITAS UNIT!D9"")"),"#N/A")</f>
        <v>#N/A</v>
      </c>
      <c r="H29352" s="4" t="str">
        <v/>
      </c>
      <c r="I29352" s="4" t="str">
        <v/>
      </c>
    </row>
    <row r="29353" spans="5:9" ht="16.5" hidden="1">
      <c r="E29353" s="4" t="str">
        <v/>
      </c>
      <c r="F29353" s="102" t="str">
        <f ca="1">IFERROR(__xludf.DUMMYFUNCTION("IMPORTRANGE(H29353,""IDENTITAS UNIT!D9"")"),"#N/A")</f>
        <v>#N/A</v>
      </c>
      <c r="H29353" s="4" t="str">
        <v/>
      </c>
      <c r="I29353" s="4" t="str">
        <v/>
      </c>
    </row>
    <row r="29354" spans="5:9" ht="16.5" hidden="1">
      <c r="E29354" s="4" t="str">
        <v/>
      </c>
      <c r="F29354" s="102" t="str">
        <f ca="1">IFERROR(__xludf.DUMMYFUNCTION("IMPORTRANGE(H29354,""IDENTITAS UNIT!D9"")"),"#N/A")</f>
        <v>#N/A</v>
      </c>
      <c r="H29354" s="4" t="str">
        <v/>
      </c>
      <c r="I29354" s="4" t="str">
        <v/>
      </c>
    </row>
    <row r="29355" spans="5:9" ht="16.5" hidden="1">
      <c r="E29355" s="4" t="str">
        <v/>
      </c>
      <c r="F29355" s="102" t="str">
        <f ca="1">IFERROR(__xludf.DUMMYFUNCTION("IMPORTRANGE(H29355,""IDENTITAS UNIT!D9"")"),"#N/A")</f>
        <v>#N/A</v>
      </c>
      <c r="H29355" s="4" t="str">
        <v/>
      </c>
      <c r="I29355" s="4" t="str">
        <v/>
      </c>
    </row>
    <row r="29356" spans="5:9" ht="16.5" hidden="1">
      <c r="E29356" s="4" t="str">
        <v/>
      </c>
      <c r="F29356" s="102" t="str">
        <f ca="1">IFERROR(__xludf.DUMMYFUNCTION("IMPORTRANGE(H29356,""IDENTITAS UNIT!D9"")"),"#N/A")</f>
        <v>#N/A</v>
      </c>
      <c r="H29356" s="4" t="str">
        <v/>
      </c>
      <c r="I29356" s="4" t="str">
        <v/>
      </c>
    </row>
    <row r="29357" spans="5:9" ht="16.5" hidden="1">
      <c r="E29357" s="4" t="str">
        <v/>
      </c>
      <c r="F29357" s="102" t="str">
        <f ca="1">IFERROR(__xludf.DUMMYFUNCTION("IMPORTRANGE(H29357,""IDENTITAS UNIT!D9"")"),"#N/A")</f>
        <v>#N/A</v>
      </c>
      <c r="H29357" s="4" t="str">
        <v/>
      </c>
      <c r="I29357" s="4" t="str">
        <v/>
      </c>
    </row>
    <row r="29358" spans="5:9" ht="16.5" hidden="1">
      <c r="E29358" s="4" t="str">
        <v/>
      </c>
      <c r="F29358" s="102" t="str">
        <f ca="1">IFERROR(__xludf.DUMMYFUNCTION("IMPORTRANGE(H29358,""IDENTITAS UNIT!D9"")"),"#N/A")</f>
        <v>#N/A</v>
      </c>
      <c r="H29358" s="4" t="str">
        <v/>
      </c>
      <c r="I29358" s="4" t="str">
        <v/>
      </c>
    </row>
    <row r="29359" spans="5:9" ht="16.5" hidden="1">
      <c r="E29359" s="4" t="str">
        <v/>
      </c>
      <c r="F29359" s="102" t="str">
        <f ca="1">IFERROR(__xludf.DUMMYFUNCTION("IMPORTRANGE(H29359,""IDENTITAS UNIT!D9"")"),"#N/A")</f>
        <v>#N/A</v>
      </c>
      <c r="H29359" s="4" t="str">
        <v/>
      </c>
      <c r="I29359" s="4" t="str">
        <v/>
      </c>
    </row>
    <row r="29360" spans="5:9" ht="16.5" hidden="1">
      <c r="E29360" s="4" t="str">
        <v/>
      </c>
      <c r="F29360" s="102" t="str">
        <f ca="1">IFERROR(__xludf.DUMMYFUNCTION("IMPORTRANGE(H29360,""IDENTITAS UNIT!D9"")"),"#N/A")</f>
        <v>#N/A</v>
      </c>
      <c r="H29360" s="4" t="str">
        <v/>
      </c>
      <c r="I29360" s="4" t="str">
        <v/>
      </c>
    </row>
    <row r="29361" spans="5:9" ht="16.5" hidden="1">
      <c r="E29361" s="4" t="str">
        <v/>
      </c>
      <c r="F29361" s="102" t="str">
        <f ca="1">IFERROR(__xludf.DUMMYFUNCTION("IMPORTRANGE(H29361,""IDENTITAS UNIT!D9"")"),"#N/A")</f>
        <v>#N/A</v>
      </c>
      <c r="H29361" s="4" t="str">
        <v/>
      </c>
      <c r="I29361" s="4" t="str">
        <v/>
      </c>
    </row>
    <row r="29362" spans="5:9" ht="16.5" hidden="1">
      <c r="E29362" s="4" t="str">
        <v/>
      </c>
      <c r="F29362" s="102" t="str">
        <f ca="1">IFERROR(__xludf.DUMMYFUNCTION("IMPORTRANGE(H29362,""IDENTITAS UNIT!D9"")"),"#N/A")</f>
        <v>#N/A</v>
      </c>
      <c r="H29362" s="4" t="str">
        <v/>
      </c>
      <c r="I29362" s="4" t="str">
        <v/>
      </c>
    </row>
    <row r="29363" spans="5:9" ht="16.5" hidden="1">
      <c r="E29363" s="4" t="str">
        <v/>
      </c>
      <c r="F29363" s="102" t="str">
        <f ca="1">IFERROR(__xludf.DUMMYFUNCTION("IMPORTRANGE(H29363,""IDENTITAS UNIT!D9"")"),"#N/A")</f>
        <v>#N/A</v>
      </c>
      <c r="H29363" s="4" t="str">
        <v/>
      </c>
      <c r="I29363" s="4" t="str">
        <v/>
      </c>
    </row>
    <row r="29364" spans="5:9" ht="16.5" hidden="1">
      <c r="E29364" s="4" t="str">
        <v/>
      </c>
      <c r="F29364" s="102" t="str">
        <f ca="1">IFERROR(__xludf.DUMMYFUNCTION("IMPORTRANGE(H29364,""IDENTITAS UNIT!D9"")"),"#N/A")</f>
        <v>#N/A</v>
      </c>
      <c r="H29364" s="4" t="str">
        <v/>
      </c>
      <c r="I29364" s="4" t="str">
        <v/>
      </c>
    </row>
    <row r="29365" spans="5:9" ht="16.5" hidden="1">
      <c r="E29365" s="4" t="str">
        <v/>
      </c>
      <c r="F29365" s="102" t="str">
        <f ca="1">IFERROR(__xludf.DUMMYFUNCTION("IMPORTRANGE(H29365,""IDENTITAS UNIT!D9"")"),"#N/A")</f>
        <v>#N/A</v>
      </c>
      <c r="H29365" s="4" t="str">
        <v/>
      </c>
      <c r="I29365" s="4" t="str">
        <v/>
      </c>
    </row>
    <row r="29366" spans="5:9" ht="16.5" hidden="1">
      <c r="E29366" s="4" t="str">
        <v/>
      </c>
      <c r="F29366" s="102" t="str">
        <f ca="1">IFERROR(__xludf.DUMMYFUNCTION("IMPORTRANGE(H29366,""IDENTITAS UNIT!D9"")"),"#N/A")</f>
        <v>#N/A</v>
      </c>
      <c r="H29366" s="4" t="str">
        <v/>
      </c>
      <c r="I29366" s="4" t="str">
        <v/>
      </c>
    </row>
    <row r="29367" spans="5:9" ht="16.5" hidden="1">
      <c r="E29367" s="4" t="str">
        <v/>
      </c>
      <c r="F29367" s="102" t="str">
        <f ca="1">IFERROR(__xludf.DUMMYFUNCTION("IMPORTRANGE(H29367,""IDENTITAS UNIT!D9"")"),"#N/A")</f>
        <v>#N/A</v>
      </c>
      <c r="H29367" s="4" t="str">
        <v/>
      </c>
      <c r="I29367" s="4" t="str">
        <v/>
      </c>
    </row>
    <row r="29368" spans="5:9" ht="16.5" hidden="1">
      <c r="E29368" s="4" t="str">
        <v/>
      </c>
      <c r="F29368" s="102" t="str">
        <f ca="1">IFERROR(__xludf.DUMMYFUNCTION("IMPORTRANGE(H29368,""IDENTITAS UNIT!D9"")"),"#N/A")</f>
        <v>#N/A</v>
      </c>
      <c r="H29368" s="4" t="str">
        <v/>
      </c>
      <c r="I29368" s="4" t="str">
        <v/>
      </c>
    </row>
    <row r="29369" spans="5:9" ht="16.5" hidden="1">
      <c r="E29369" s="4" t="str">
        <v/>
      </c>
      <c r="F29369" s="102" t="str">
        <f ca="1">IFERROR(__xludf.DUMMYFUNCTION("IMPORTRANGE(H29369,""IDENTITAS UNIT!D9"")"),"#N/A")</f>
        <v>#N/A</v>
      </c>
      <c r="H29369" s="4" t="str">
        <v/>
      </c>
      <c r="I29369" s="4" t="str">
        <v/>
      </c>
    </row>
    <row r="29370" spans="5:9" ht="16.5" hidden="1">
      <c r="E29370" s="4" t="str">
        <v/>
      </c>
      <c r="F29370" s="102" t="str">
        <f ca="1">IFERROR(__xludf.DUMMYFUNCTION("IMPORTRANGE(H29370,""IDENTITAS UNIT!D9"")"),"#N/A")</f>
        <v>#N/A</v>
      </c>
      <c r="H29370" s="4" t="str">
        <v/>
      </c>
      <c r="I29370" s="4" t="str">
        <v/>
      </c>
    </row>
    <row r="29371" spans="5:9" ht="16.5" hidden="1">
      <c r="E29371" s="4" t="str">
        <v/>
      </c>
      <c r="F29371" s="102" t="str">
        <f ca="1">IFERROR(__xludf.DUMMYFUNCTION("IMPORTRANGE(H29371,""IDENTITAS UNIT!D9"")"),"#N/A")</f>
        <v>#N/A</v>
      </c>
      <c r="H29371" s="4" t="str">
        <v/>
      </c>
      <c r="I29371" s="4" t="str">
        <v/>
      </c>
    </row>
    <row r="29372" spans="5:9" ht="16.5" hidden="1">
      <c r="E29372" s="4" t="str">
        <v/>
      </c>
      <c r="F29372" s="102" t="str">
        <f ca="1">IFERROR(__xludf.DUMMYFUNCTION("IMPORTRANGE(H29372,""IDENTITAS UNIT!D9"")"),"#N/A")</f>
        <v>#N/A</v>
      </c>
      <c r="H29372" s="4" t="str">
        <v/>
      </c>
      <c r="I29372" s="4" t="str">
        <v/>
      </c>
    </row>
    <row r="29373" spans="5:9" ht="16.5" hidden="1">
      <c r="E29373" s="4" t="str">
        <v/>
      </c>
      <c r="F29373" s="102" t="str">
        <f ca="1">IFERROR(__xludf.DUMMYFUNCTION("IMPORTRANGE(H29373,""IDENTITAS UNIT!D9"")"),"#N/A")</f>
        <v>#N/A</v>
      </c>
      <c r="H29373" s="4" t="str">
        <v/>
      </c>
      <c r="I29373" s="4" t="str">
        <v/>
      </c>
    </row>
    <row r="29374" spans="5:9" ht="16.5" hidden="1">
      <c r="E29374" s="4" t="str">
        <v/>
      </c>
      <c r="F29374" s="102" t="str">
        <f ca="1">IFERROR(__xludf.DUMMYFUNCTION("IMPORTRANGE(H29374,""IDENTITAS UNIT!D9"")"),"#N/A")</f>
        <v>#N/A</v>
      </c>
      <c r="H29374" s="4" t="str">
        <v/>
      </c>
      <c r="I29374" s="4" t="str">
        <v/>
      </c>
    </row>
    <row r="29375" spans="5:9" ht="16.5" hidden="1">
      <c r="E29375" s="4" t="str">
        <v/>
      </c>
      <c r="F29375" s="102" t="str">
        <f ca="1">IFERROR(__xludf.DUMMYFUNCTION("IMPORTRANGE(H29375,""IDENTITAS UNIT!D9"")"),"#N/A")</f>
        <v>#N/A</v>
      </c>
      <c r="H29375" s="4" t="str">
        <v/>
      </c>
      <c r="I29375" s="4" t="str">
        <v/>
      </c>
    </row>
    <row r="29376" spans="5:9" ht="16.5" hidden="1">
      <c r="E29376" s="4" t="str">
        <v/>
      </c>
      <c r="F29376" s="102" t="str">
        <f ca="1">IFERROR(__xludf.DUMMYFUNCTION("IMPORTRANGE(H29376,""IDENTITAS UNIT!D9"")"),"#N/A")</f>
        <v>#N/A</v>
      </c>
      <c r="H29376" s="4" t="str">
        <v/>
      </c>
      <c r="I29376" s="4" t="str">
        <v/>
      </c>
    </row>
    <row r="29377" spans="5:9" ht="16.5" hidden="1">
      <c r="E29377" s="4" t="str">
        <v/>
      </c>
      <c r="F29377" s="102" t="str">
        <f ca="1">IFERROR(__xludf.DUMMYFUNCTION("IMPORTRANGE(H29377,""IDENTITAS UNIT!D9"")"),"#N/A")</f>
        <v>#N/A</v>
      </c>
      <c r="H29377" s="4" t="str">
        <v/>
      </c>
      <c r="I29377" s="4" t="str">
        <v/>
      </c>
    </row>
    <row r="29378" spans="5:9" ht="16.5" hidden="1">
      <c r="E29378" s="4" t="str">
        <v/>
      </c>
      <c r="F29378" s="102" t="str">
        <f ca="1">IFERROR(__xludf.DUMMYFUNCTION("IMPORTRANGE(H29378,""IDENTITAS UNIT!D9"")"),"#N/A")</f>
        <v>#N/A</v>
      </c>
      <c r="H29378" s="4" t="str">
        <v/>
      </c>
      <c r="I29378" s="4" t="str">
        <v/>
      </c>
    </row>
    <row r="29379" spans="5:9" ht="16.5" hidden="1">
      <c r="E29379" s="4" t="str">
        <v/>
      </c>
      <c r="F29379" s="102" t="str">
        <f ca="1">IFERROR(__xludf.DUMMYFUNCTION("IMPORTRANGE(H29379,""IDENTITAS UNIT!D9"")"),"#N/A")</f>
        <v>#N/A</v>
      </c>
      <c r="H29379" s="4" t="str">
        <v/>
      </c>
      <c r="I29379" s="4" t="str">
        <v/>
      </c>
    </row>
    <row r="29380" spans="5:9" ht="16.5" hidden="1">
      <c r="E29380" s="4" t="str">
        <v/>
      </c>
      <c r="F29380" s="102" t="str">
        <f ca="1">IFERROR(__xludf.DUMMYFUNCTION("IMPORTRANGE(H29380,""IDENTITAS UNIT!D9"")"),"#N/A")</f>
        <v>#N/A</v>
      </c>
      <c r="H29380" s="4" t="str">
        <v/>
      </c>
      <c r="I29380" s="4" t="str">
        <v/>
      </c>
    </row>
    <row r="29381" spans="5:9" ht="16.5" hidden="1">
      <c r="E29381" s="4" t="str">
        <v/>
      </c>
      <c r="F29381" s="102" t="str">
        <f ca="1">IFERROR(__xludf.DUMMYFUNCTION("IMPORTRANGE(H29381,""IDENTITAS UNIT!D9"")"),"#N/A")</f>
        <v>#N/A</v>
      </c>
      <c r="H29381" s="4" t="str">
        <v/>
      </c>
      <c r="I29381" s="4" t="str">
        <v/>
      </c>
    </row>
    <row r="29382" spans="5:9" ht="16.5" hidden="1">
      <c r="E29382" s="4" t="str">
        <v/>
      </c>
      <c r="F29382" s="102" t="str">
        <f ca="1">IFERROR(__xludf.DUMMYFUNCTION("IMPORTRANGE(H29382,""IDENTITAS UNIT!D9"")"),"#N/A")</f>
        <v>#N/A</v>
      </c>
      <c r="H29382" s="4" t="str">
        <v/>
      </c>
      <c r="I29382" s="4" t="str">
        <v/>
      </c>
    </row>
    <row r="29383" spans="5:9" ht="16.5" hidden="1">
      <c r="E29383" s="4" t="str">
        <v/>
      </c>
      <c r="F29383" s="102" t="str">
        <f ca="1">IFERROR(__xludf.DUMMYFUNCTION("IMPORTRANGE(H29383,""IDENTITAS UNIT!D9"")"),"#N/A")</f>
        <v>#N/A</v>
      </c>
      <c r="H29383" s="4" t="str">
        <v/>
      </c>
      <c r="I29383" s="4" t="str">
        <v/>
      </c>
    </row>
    <row r="29384" spans="5:9" ht="16.5" hidden="1">
      <c r="E29384" s="4" t="str">
        <v/>
      </c>
      <c r="F29384" s="102" t="str">
        <f ca="1">IFERROR(__xludf.DUMMYFUNCTION("IMPORTRANGE(H29384,""IDENTITAS UNIT!D9"")"),"#N/A")</f>
        <v>#N/A</v>
      </c>
      <c r="H29384" s="4" t="str">
        <v/>
      </c>
      <c r="I29384" s="4" t="str">
        <v/>
      </c>
    </row>
    <row r="29385" spans="5:9" ht="16.5" hidden="1">
      <c r="E29385" s="4" t="str">
        <v/>
      </c>
      <c r="F29385" s="102" t="str">
        <f ca="1">IFERROR(__xludf.DUMMYFUNCTION("IMPORTRANGE(H29385,""IDENTITAS UNIT!D9"")"),"#N/A")</f>
        <v>#N/A</v>
      </c>
      <c r="H29385" s="4" t="str">
        <v/>
      </c>
      <c r="I29385" s="4" t="str">
        <v/>
      </c>
    </row>
    <row r="29386" spans="5:9" ht="16.5" hidden="1">
      <c r="E29386" s="4" t="str">
        <v/>
      </c>
      <c r="F29386" s="102" t="str">
        <f ca="1">IFERROR(__xludf.DUMMYFUNCTION("IMPORTRANGE(H29386,""IDENTITAS UNIT!D9"")"),"#N/A")</f>
        <v>#N/A</v>
      </c>
      <c r="H29386" s="4" t="str">
        <v/>
      </c>
      <c r="I29386" s="4" t="str">
        <v/>
      </c>
    </row>
    <row r="29387" spans="5:9" ht="16.5" hidden="1">
      <c r="E29387" s="4" t="str">
        <v/>
      </c>
      <c r="F29387" s="102" t="str">
        <f ca="1">IFERROR(__xludf.DUMMYFUNCTION("IMPORTRANGE(H29387,""IDENTITAS UNIT!D9"")"),"#N/A")</f>
        <v>#N/A</v>
      </c>
      <c r="H29387" s="4" t="str">
        <v/>
      </c>
      <c r="I29387" s="4" t="str">
        <v/>
      </c>
    </row>
    <row r="29388" spans="5:9" ht="16.5" hidden="1">
      <c r="E29388" s="4" t="str">
        <v/>
      </c>
      <c r="F29388" s="102" t="str">
        <f ca="1">IFERROR(__xludf.DUMMYFUNCTION("IMPORTRANGE(H29388,""IDENTITAS UNIT!D9"")"),"#N/A")</f>
        <v>#N/A</v>
      </c>
      <c r="H29388" s="4" t="str">
        <v/>
      </c>
      <c r="I29388" s="4" t="str">
        <v/>
      </c>
    </row>
    <row r="29389" spans="5:9" ht="16.5" hidden="1">
      <c r="E29389" s="4" t="str">
        <v/>
      </c>
      <c r="F29389" s="102" t="str">
        <f ca="1">IFERROR(__xludf.DUMMYFUNCTION("IMPORTRANGE(H29389,""IDENTITAS UNIT!D9"")"),"#N/A")</f>
        <v>#N/A</v>
      </c>
      <c r="H29389" s="4" t="str">
        <v/>
      </c>
      <c r="I29389" s="4" t="str">
        <v/>
      </c>
    </row>
    <row r="29390" spans="5:9" ht="16.5" hidden="1">
      <c r="E29390" s="4" t="str">
        <v/>
      </c>
      <c r="F29390" s="102" t="str">
        <f ca="1">IFERROR(__xludf.DUMMYFUNCTION("IMPORTRANGE(H29390,""IDENTITAS UNIT!D9"")"),"#N/A")</f>
        <v>#N/A</v>
      </c>
      <c r="H29390" s="4" t="str">
        <v/>
      </c>
      <c r="I29390" s="4" t="str">
        <v/>
      </c>
    </row>
    <row r="29391" spans="5:9" ht="16.5" hidden="1">
      <c r="E29391" s="4" t="str">
        <v/>
      </c>
      <c r="F29391" s="102" t="str">
        <f ca="1">IFERROR(__xludf.DUMMYFUNCTION("IMPORTRANGE(H29391,""IDENTITAS UNIT!D9"")"),"#N/A")</f>
        <v>#N/A</v>
      </c>
      <c r="H29391" s="4" t="str">
        <v/>
      </c>
      <c r="I29391" s="4" t="str">
        <v/>
      </c>
    </row>
    <row r="29392" spans="5:9" ht="16.5" hidden="1">
      <c r="E29392" s="4" t="str">
        <v/>
      </c>
      <c r="F29392" s="102" t="str">
        <f ca="1">IFERROR(__xludf.DUMMYFUNCTION("IMPORTRANGE(H29392,""IDENTITAS UNIT!D9"")"),"#N/A")</f>
        <v>#N/A</v>
      </c>
      <c r="H29392" s="4" t="str">
        <v/>
      </c>
      <c r="I29392" s="4" t="str">
        <v/>
      </c>
    </row>
    <row r="29393" spans="5:9" ht="16.5" hidden="1">
      <c r="E29393" s="4" t="str">
        <v/>
      </c>
      <c r="F29393" s="102" t="str">
        <f ca="1">IFERROR(__xludf.DUMMYFUNCTION("IMPORTRANGE(H29393,""IDENTITAS UNIT!D9"")"),"#N/A")</f>
        <v>#N/A</v>
      </c>
      <c r="H29393" s="4" t="str">
        <v/>
      </c>
      <c r="I29393" s="4" t="str">
        <v/>
      </c>
    </row>
    <row r="29394" spans="5:9" ht="16.5" hidden="1">
      <c r="E29394" s="4" t="str">
        <v/>
      </c>
      <c r="F29394" s="102" t="str">
        <f ca="1">IFERROR(__xludf.DUMMYFUNCTION("IMPORTRANGE(H29394,""IDENTITAS UNIT!D9"")"),"#N/A")</f>
        <v>#N/A</v>
      </c>
      <c r="H29394" s="4" t="str">
        <v/>
      </c>
      <c r="I29394" s="4" t="str">
        <v/>
      </c>
    </row>
    <row r="29395" spans="5:9" ht="16.5" hidden="1">
      <c r="E29395" s="4" t="str">
        <v/>
      </c>
      <c r="F29395" s="102" t="str">
        <f ca="1">IFERROR(__xludf.DUMMYFUNCTION("IMPORTRANGE(H29395,""IDENTITAS UNIT!D9"")"),"#N/A")</f>
        <v>#N/A</v>
      </c>
      <c r="H29395" s="4" t="str">
        <v/>
      </c>
      <c r="I29395" s="4" t="str">
        <v/>
      </c>
    </row>
    <row r="29396" spans="5:9" ht="16.5" hidden="1">
      <c r="E29396" s="4" t="str">
        <v/>
      </c>
      <c r="F29396" s="102" t="str">
        <f ca="1">IFERROR(__xludf.DUMMYFUNCTION("IMPORTRANGE(H29396,""IDENTITAS UNIT!D9"")"),"#N/A")</f>
        <v>#N/A</v>
      </c>
      <c r="H29396" s="4" t="str">
        <v/>
      </c>
      <c r="I29396" s="4" t="str">
        <v/>
      </c>
    </row>
    <row r="29397" spans="5:9" ht="16.5" hidden="1">
      <c r="E29397" s="4" t="str">
        <v/>
      </c>
      <c r="F29397" s="102" t="str">
        <f ca="1">IFERROR(__xludf.DUMMYFUNCTION("IMPORTRANGE(H29397,""IDENTITAS UNIT!D9"")"),"#N/A")</f>
        <v>#N/A</v>
      </c>
      <c r="H29397" s="4" t="str">
        <v/>
      </c>
      <c r="I29397" s="4" t="str">
        <v/>
      </c>
    </row>
    <row r="29398" spans="5:9" ht="16.5" hidden="1">
      <c r="E29398" s="4" t="str">
        <v/>
      </c>
      <c r="F29398" s="102" t="str">
        <f ca="1">IFERROR(__xludf.DUMMYFUNCTION("IMPORTRANGE(H29398,""IDENTITAS UNIT!D9"")"),"#N/A")</f>
        <v>#N/A</v>
      </c>
      <c r="H29398" s="4" t="str">
        <v/>
      </c>
      <c r="I29398" s="4" t="str">
        <v/>
      </c>
    </row>
    <row r="29399" spans="5:9" ht="16.5" hidden="1">
      <c r="E29399" s="4" t="str">
        <v/>
      </c>
      <c r="F29399" s="102" t="str">
        <f ca="1">IFERROR(__xludf.DUMMYFUNCTION("IMPORTRANGE(H29399,""IDENTITAS UNIT!D9"")"),"#N/A")</f>
        <v>#N/A</v>
      </c>
      <c r="H29399" s="4" t="str">
        <v/>
      </c>
      <c r="I29399" s="4" t="str">
        <v/>
      </c>
    </row>
    <row r="29400" spans="5:9" ht="16.5" hidden="1">
      <c r="E29400" s="4" t="str">
        <v/>
      </c>
      <c r="F29400" s="102" t="str">
        <f ca="1">IFERROR(__xludf.DUMMYFUNCTION("IMPORTRANGE(H29400,""IDENTITAS UNIT!D9"")"),"#N/A")</f>
        <v>#N/A</v>
      </c>
      <c r="H29400" s="4" t="str">
        <v/>
      </c>
      <c r="I29400" s="4" t="str">
        <v/>
      </c>
    </row>
    <row r="29401" spans="5:9" ht="16.5" hidden="1">
      <c r="E29401" s="4" t="str">
        <v/>
      </c>
      <c r="F29401" s="102" t="str">
        <f ca="1">IFERROR(__xludf.DUMMYFUNCTION("IMPORTRANGE(H29401,""IDENTITAS UNIT!D9"")"),"#N/A")</f>
        <v>#N/A</v>
      </c>
      <c r="H29401" s="4" t="str">
        <v/>
      </c>
      <c r="I29401" s="4" t="str">
        <v/>
      </c>
    </row>
    <row r="29402" spans="5:9" ht="16.5" hidden="1">
      <c r="E29402" s="4" t="str">
        <v/>
      </c>
      <c r="F29402" s="102" t="str">
        <f ca="1">IFERROR(__xludf.DUMMYFUNCTION("IMPORTRANGE(H29402,""IDENTITAS UNIT!D9"")"),"#N/A")</f>
        <v>#N/A</v>
      </c>
      <c r="H29402" s="4" t="str">
        <v/>
      </c>
      <c r="I29402" s="4" t="str">
        <v/>
      </c>
    </row>
    <row r="29403" spans="5:9" ht="16.5" hidden="1">
      <c r="E29403" s="4" t="str">
        <v/>
      </c>
      <c r="F29403" s="102" t="str">
        <f ca="1">IFERROR(__xludf.DUMMYFUNCTION("IMPORTRANGE(H29403,""IDENTITAS UNIT!D9"")"),"#N/A")</f>
        <v>#N/A</v>
      </c>
      <c r="H29403" s="4" t="str">
        <v/>
      </c>
      <c r="I29403" s="4" t="str">
        <v/>
      </c>
    </row>
    <row r="29404" spans="5:9" ht="16.5" hidden="1">
      <c r="E29404" s="4" t="str">
        <v/>
      </c>
      <c r="F29404" s="102" t="str">
        <f ca="1">IFERROR(__xludf.DUMMYFUNCTION("IMPORTRANGE(H29404,""IDENTITAS UNIT!D9"")"),"#N/A")</f>
        <v>#N/A</v>
      </c>
      <c r="H29404" s="4" t="str">
        <v/>
      </c>
      <c r="I29404" s="4" t="str">
        <v/>
      </c>
    </row>
    <row r="29405" spans="5:9" ht="16.5" hidden="1">
      <c r="E29405" s="4" t="str">
        <v/>
      </c>
      <c r="F29405" s="102" t="str">
        <f ca="1">IFERROR(__xludf.DUMMYFUNCTION("IMPORTRANGE(H29405,""IDENTITAS UNIT!D9"")"),"#N/A")</f>
        <v>#N/A</v>
      </c>
      <c r="H29405" s="4" t="str">
        <v/>
      </c>
      <c r="I29405" s="4" t="str">
        <v/>
      </c>
    </row>
    <row r="29406" spans="5:9" ht="16.5" hidden="1">
      <c r="E29406" s="4" t="str">
        <v/>
      </c>
      <c r="F29406" s="102" t="str">
        <f ca="1">IFERROR(__xludf.DUMMYFUNCTION("IMPORTRANGE(H29406,""IDENTITAS UNIT!D9"")"),"#N/A")</f>
        <v>#N/A</v>
      </c>
      <c r="H29406" s="4" t="str">
        <v/>
      </c>
      <c r="I29406" s="4" t="str">
        <v/>
      </c>
    </row>
    <row r="29407" spans="5:9" ht="16.5" hidden="1">
      <c r="E29407" s="4" t="str">
        <v/>
      </c>
      <c r="F29407" s="102" t="str">
        <f ca="1">IFERROR(__xludf.DUMMYFUNCTION("IMPORTRANGE(H29407,""IDENTITAS UNIT!D9"")"),"#N/A")</f>
        <v>#N/A</v>
      </c>
      <c r="H29407" s="4" t="str">
        <v/>
      </c>
      <c r="I29407" s="4" t="str">
        <v/>
      </c>
    </row>
    <row r="29408" spans="5:9" ht="16.5" hidden="1">
      <c r="E29408" s="4" t="str">
        <v/>
      </c>
      <c r="F29408" s="102" t="str">
        <f ca="1">IFERROR(__xludf.DUMMYFUNCTION("IMPORTRANGE(H29408,""IDENTITAS UNIT!D9"")"),"#N/A")</f>
        <v>#N/A</v>
      </c>
      <c r="H29408" s="4" t="str">
        <v/>
      </c>
      <c r="I29408" s="4" t="str">
        <v/>
      </c>
    </row>
    <row r="29409" spans="5:9" ht="16.5" hidden="1">
      <c r="E29409" s="4" t="str">
        <v/>
      </c>
      <c r="F29409" s="102" t="str">
        <f ca="1">IFERROR(__xludf.DUMMYFUNCTION("IMPORTRANGE(H29409,""IDENTITAS UNIT!D9"")"),"#N/A")</f>
        <v>#N/A</v>
      </c>
      <c r="H29409" s="4" t="str">
        <v/>
      </c>
      <c r="I29409" s="4" t="str">
        <v/>
      </c>
    </row>
    <row r="29410" spans="5:9" ht="16.5" hidden="1">
      <c r="E29410" s="4" t="str">
        <v/>
      </c>
      <c r="F29410" s="102" t="str">
        <f ca="1">IFERROR(__xludf.DUMMYFUNCTION("IMPORTRANGE(H29410,""IDENTITAS UNIT!D9"")"),"#N/A")</f>
        <v>#N/A</v>
      </c>
      <c r="H29410" s="4" t="str">
        <v/>
      </c>
      <c r="I29410" s="4" t="str">
        <v/>
      </c>
    </row>
    <row r="29411" spans="5:9" ht="16.5" hidden="1">
      <c r="E29411" s="4" t="str">
        <v/>
      </c>
      <c r="F29411" s="102" t="str">
        <f ca="1">IFERROR(__xludf.DUMMYFUNCTION("IMPORTRANGE(H29411,""IDENTITAS UNIT!D9"")"),"#N/A")</f>
        <v>#N/A</v>
      </c>
      <c r="H29411" s="4" t="str">
        <v/>
      </c>
      <c r="I29411" s="4" t="str">
        <v/>
      </c>
    </row>
    <row r="29412" spans="5:9" ht="16.5" hidden="1">
      <c r="E29412" s="4" t="str">
        <v/>
      </c>
      <c r="F29412" s="102" t="str">
        <f ca="1">IFERROR(__xludf.DUMMYFUNCTION("IMPORTRANGE(H29412,""IDENTITAS UNIT!D9"")"),"#N/A")</f>
        <v>#N/A</v>
      </c>
      <c r="H29412" s="4" t="str">
        <v/>
      </c>
      <c r="I29412" s="4" t="str">
        <v/>
      </c>
    </row>
    <row r="29413" spans="5:9" ht="16.5" hidden="1">
      <c r="E29413" s="4" t="str">
        <v/>
      </c>
      <c r="F29413" s="102" t="str">
        <f ca="1">IFERROR(__xludf.DUMMYFUNCTION("IMPORTRANGE(H29413,""IDENTITAS UNIT!D9"")"),"#N/A")</f>
        <v>#N/A</v>
      </c>
      <c r="H29413" s="4" t="str">
        <v/>
      </c>
      <c r="I29413" s="4" t="str">
        <v/>
      </c>
    </row>
    <row r="29414" spans="5:9" ht="16.5" hidden="1">
      <c r="E29414" s="4" t="str">
        <v/>
      </c>
      <c r="F29414" s="102" t="str">
        <f ca="1">IFERROR(__xludf.DUMMYFUNCTION("IMPORTRANGE(H29414,""IDENTITAS UNIT!D9"")"),"#N/A")</f>
        <v>#N/A</v>
      </c>
      <c r="H29414" s="4" t="str">
        <v/>
      </c>
      <c r="I29414" s="4" t="str">
        <v/>
      </c>
    </row>
    <row r="29415" spans="5:9" ht="16.5" hidden="1">
      <c r="E29415" s="4" t="str">
        <v/>
      </c>
      <c r="F29415" s="102" t="str">
        <f ca="1">IFERROR(__xludf.DUMMYFUNCTION("IMPORTRANGE(H29415,""IDENTITAS UNIT!D9"")"),"#N/A")</f>
        <v>#N/A</v>
      </c>
      <c r="H29415" s="4" t="str">
        <v/>
      </c>
      <c r="I29415" s="4" t="str">
        <v/>
      </c>
    </row>
    <row r="29416" spans="5:9" ht="16.5" hidden="1">
      <c r="E29416" s="4" t="str">
        <v/>
      </c>
      <c r="F29416" s="102" t="str">
        <f ca="1">IFERROR(__xludf.DUMMYFUNCTION("IMPORTRANGE(H29416,""IDENTITAS UNIT!D9"")"),"#N/A")</f>
        <v>#N/A</v>
      </c>
      <c r="H29416" s="4" t="str">
        <v/>
      </c>
      <c r="I29416" s="4" t="str">
        <v/>
      </c>
    </row>
    <row r="29417" spans="5:9" ht="16.5" hidden="1">
      <c r="E29417" s="4" t="str">
        <v/>
      </c>
      <c r="F29417" s="102" t="str">
        <f ca="1">IFERROR(__xludf.DUMMYFUNCTION("IMPORTRANGE(H29417,""IDENTITAS UNIT!D9"")"),"#N/A")</f>
        <v>#N/A</v>
      </c>
      <c r="H29417" s="4" t="str">
        <v/>
      </c>
      <c r="I29417" s="4" t="str">
        <v/>
      </c>
    </row>
    <row r="29418" spans="5:9" ht="16.5" hidden="1">
      <c r="E29418" s="4" t="str">
        <v/>
      </c>
      <c r="F29418" s="102" t="str">
        <f ca="1">IFERROR(__xludf.DUMMYFUNCTION("IMPORTRANGE(H29418,""IDENTITAS UNIT!D9"")"),"#N/A")</f>
        <v>#N/A</v>
      </c>
      <c r="H29418" s="4" t="str">
        <v/>
      </c>
      <c r="I29418" s="4" t="str">
        <v/>
      </c>
    </row>
    <row r="29419" spans="5:9" ht="16.5" hidden="1">
      <c r="E29419" s="4" t="str">
        <v/>
      </c>
      <c r="F29419" s="102" t="str">
        <f ca="1">IFERROR(__xludf.DUMMYFUNCTION("IMPORTRANGE(H29419,""IDENTITAS UNIT!D9"")"),"#N/A")</f>
        <v>#N/A</v>
      </c>
      <c r="H29419" s="4" t="str">
        <v/>
      </c>
      <c r="I29419" s="4" t="str">
        <v/>
      </c>
    </row>
    <row r="29420" spans="5:9" ht="16.5" hidden="1">
      <c r="E29420" s="4" t="str">
        <v/>
      </c>
      <c r="F29420" s="102" t="str">
        <f ca="1">IFERROR(__xludf.DUMMYFUNCTION("IMPORTRANGE(H29420,""IDENTITAS UNIT!D9"")"),"#N/A")</f>
        <v>#N/A</v>
      </c>
      <c r="H29420" s="4" t="str">
        <v/>
      </c>
      <c r="I29420" s="4" t="str">
        <v/>
      </c>
    </row>
    <row r="29421" spans="5:9" ht="16.5" hidden="1">
      <c r="E29421" s="4" t="str">
        <v/>
      </c>
      <c r="F29421" s="102" t="str">
        <f ca="1">IFERROR(__xludf.DUMMYFUNCTION("IMPORTRANGE(H29421,""IDENTITAS UNIT!D9"")"),"#N/A")</f>
        <v>#N/A</v>
      </c>
      <c r="H29421" s="4" t="str">
        <v/>
      </c>
      <c r="I29421" s="4" t="str">
        <v/>
      </c>
    </row>
    <row r="29422" spans="5:9" ht="16.5" hidden="1">
      <c r="E29422" s="4" t="str">
        <v/>
      </c>
      <c r="F29422" s="102" t="str">
        <f ca="1">IFERROR(__xludf.DUMMYFUNCTION("IMPORTRANGE(H29422,""IDENTITAS UNIT!D9"")"),"#N/A")</f>
        <v>#N/A</v>
      </c>
      <c r="H29422" s="4" t="str">
        <v/>
      </c>
      <c r="I29422" s="4" t="str">
        <v/>
      </c>
    </row>
    <row r="29423" spans="5:9" ht="16.5" hidden="1">
      <c r="E29423" s="4" t="str">
        <v/>
      </c>
      <c r="F29423" s="102" t="str">
        <f ca="1">IFERROR(__xludf.DUMMYFUNCTION("IMPORTRANGE(H29423,""IDENTITAS UNIT!D9"")"),"#N/A")</f>
        <v>#N/A</v>
      </c>
      <c r="H29423" s="4" t="str">
        <v/>
      </c>
      <c r="I29423" s="4" t="str">
        <v/>
      </c>
    </row>
    <row r="29424" spans="5:9" ht="16.5" hidden="1">
      <c r="E29424" s="4" t="str">
        <v/>
      </c>
      <c r="F29424" s="102" t="str">
        <f ca="1">IFERROR(__xludf.DUMMYFUNCTION("IMPORTRANGE(H29424,""IDENTITAS UNIT!D9"")"),"#N/A")</f>
        <v>#N/A</v>
      </c>
      <c r="H29424" s="4" t="str">
        <v/>
      </c>
      <c r="I29424" s="4" t="str">
        <v/>
      </c>
    </row>
    <row r="29425" spans="5:9" ht="16.5" hidden="1">
      <c r="E29425" s="4" t="str">
        <v/>
      </c>
      <c r="F29425" s="102" t="str">
        <f ca="1">IFERROR(__xludf.DUMMYFUNCTION("IMPORTRANGE(H29425,""IDENTITAS UNIT!D9"")"),"#N/A")</f>
        <v>#N/A</v>
      </c>
      <c r="H29425" s="4" t="str">
        <v/>
      </c>
      <c r="I29425" s="4" t="str">
        <v/>
      </c>
    </row>
    <row r="29426" spans="5:9" ht="16.5" hidden="1">
      <c r="E29426" s="4" t="str">
        <v/>
      </c>
      <c r="F29426" s="102" t="str">
        <f ca="1">IFERROR(__xludf.DUMMYFUNCTION("IMPORTRANGE(H29426,""IDENTITAS UNIT!D9"")"),"#N/A")</f>
        <v>#N/A</v>
      </c>
      <c r="H29426" s="4" t="str">
        <v/>
      </c>
      <c r="I29426" s="4" t="str">
        <v/>
      </c>
    </row>
    <row r="29427" spans="5:9" ht="16.5" hidden="1">
      <c r="E29427" s="4" t="str">
        <v/>
      </c>
      <c r="F29427" s="102" t="str">
        <f ca="1">IFERROR(__xludf.DUMMYFUNCTION("IMPORTRANGE(H29427,""IDENTITAS UNIT!D9"")"),"#N/A")</f>
        <v>#N/A</v>
      </c>
      <c r="H29427" s="4" t="str">
        <v/>
      </c>
      <c r="I29427" s="4" t="str">
        <v/>
      </c>
    </row>
    <row r="29428" spans="5:9" ht="16.5" hidden="1">
      <c r="E29428" s="4" t="str">
        <v/>
      </c>
      <c r="F29428" s="102" t="str">
        <f ca="1">IFERROR(__xludf.DUMMYFUNCTION("IMPORTRANGE(H29428,""IDENTITAS UNIT!D9"")"),"#N/A")</f>
        <v>#N/A</v>
      </c>
      <c r="H29428" s="4" t="str">
        <v/>
      </c>
      <c r="I29428" s="4" t="str">
        <v/>
      </c>
    </row>
    <row r="29429" spans="5:9" ht="16.5" hidden="1">
      <c r="E29429" s="4" t="str">
        <v/>
      </c>
      <c r="F29429" s="102" t="str">
        <f ca="1">IFERROR(__xludf.DUMMYFUNCTION("IMPORTRANGE(H29429,""IDENTITAS UNIT!D9"")"),"#N/A")</f>
        <v>#N/A</v>
      </c>
      <c r="H29429" s="4" t="str">
        <v/>
      </c>
      <c r="I29429" s="4" t="str">
        <v/>
      </c>
    </row>
    <row r="29430" spans="5:9" ht="16.5" hidden="1">
      <c r="E29430" s="4" t="str">
        <v/>
      </c>
      <c r="F29430" s="102" t="str">
        <f ca="1">IFERROR(__xludf.DUMMYFUNCTION("IMPORTRANGE(H29430,""IDENTITAS UNIT!D9"")"),"#N/A")</f>
        <v>#N/A</v>
      </c>
      <c r="H29430" s="4" t="str">
        <v/>
      </c>
      <c r="I29430" s="4" t="str">
        <v/>
      </c>
    </row>
    <row r="29431" spans="5:9" ht="16.5" hidden="1">
      <c r="E29431" s="4" t="str">
        <v/>
      </c>
      <c r="F29431" s="102" t="str">
        <f ca="1">IFERROR(__xludf.DUMMYFUNCTION("IMPORTRANGE(H29431,""IDENTITAS UNIT!D9"")"),"#N/A")</f>
        <v>#N/A</v>
      </c>
      <c r="H29431" s="4" t="str">
        <v/>
      </c>
      <c r="I29431" s="4" t="str">
        <v/>
      </c>
    </row>
    <row r="29432" spans="5:9" ht="16.5" hidden="1">
      <c r="E29432" s="4" t="str">
        <v/>
      </c>
      <c r="F29432" s="102" t="str">
        <f ca="1">IFERROR(__xludf.DUMMYFUNCTION("IMPORTRANGE(H29432,""IDENTITAS UNIT!D9"")"),"#N/A")</f>
        <v>#N/A</v>
      </c>
      <c r="H29432" s="4" t="str">
        <v/>
      </c>
      <c r="I29432" s="4" t="str">
        <v/>
      </c>
    </row>
    <row r="29433" spans="5:9" ht="16.5" hidden="1">
      <c r="E29433" s="4" t="str">
        <v/>
      </c>
      <c r="F29433" s="102" t="str">
        <f ca="1">IFERROR(__xludf.DUMMYFUNCTION("IMPORTRANGE(H29433,""IDENTITAS UNIT!D9"")"),"#N/A")</f>
        <v>#N/A</v>
      </c>
      <c r="H29433" s="4" t="str">
        <v/>
      </c>
      <c r="I29433" s="4" t="str">
        <v/>
      </c>
    </row>
    <row r="29434" spans="5:9" ht="16.5" hidden="1">
      <c r="E29434" s="4" t="str">
        <v/>
      </c>
      <c r="F29434" s="102" t="str">
        <f ca="1">IFERROR(__xludf.DUMMYFUNCTION("IMPORTRANGE(H29434,""IDENTITAS UNIT!D9"")"),"#N/A")</f>
        <v>#N/A</v>
      </c>
      <c r="H29434" s="4" t="str">
        <v/>
      </c>
      <c r="I29434" s="4" t="str">
        <v/>
      </c>
    </row>
    <row r="29435" spans="5:9" ht="16.5" hidden="1">
      <c r="E29435" s="4" t="str">
        <v/>
      </c>
      <c r="F29435" s="102" t="str">
        <f ca="1">IFERROR(__xludf.DUMMYFUNCTION("IMPORTRANGE(H29435,""IDENTITAS UNIT!D9"")"),"#N/A")</f>
        <v>#N/A</v>
      </c>
      <c r="H29435" s="4" t="str">
        <v/>
      </c>
      <c r="I29435" s="4" t="str">
        <v/>
      </c>
    </row>
    <row r="29436" spans="5:9" ht="16.5" hidden="1">
      <c r="E29436" s="4" t="str">
        <v/>
      </c>
      <c r="F29436" s="102" t="str">
        <f ca="1">IFERROR(__xludf.DUMMYFUNCTION("IMPORTRANGE(H29436,""IDENTITAS UNIT!D9"")"),"#N/A")</f>
        <v>#N/A</v>
      </c>
      <c r="H29436" s="4" t="str">
        <v/>
      </c>
      <c r="I29436" s="4" t="str">
        <v/>
      </c>
    </row>
    <row r="29437" spans="5:9" ht="16.5" hidden="1">
      <c r="E29437" s="4" t="str">
        <v/>
      </c>
      <c r="F29437" s="102" t="str">
        <f ca="1">IFERROR(__xludf.DUMMYFUNCTION("IMPORTRANGE(H29437,""IDENTITAS UNIT!D9"")"),"#N/A")</f>
        <v>#N/A</v>
      </c>
      <c r="H29437" s="4" t="str">
        <v/>
      </c>
      <c r="I29437" s="4" t="str">
        <v/>
      </c>
    </row>
    <row r="29438" spans="5:9" ht="16.5" hidden="1">
      <c r="E29438" s="4" t="str">
        <v/>
      </c>
      <c r="F29438" s="102" t="str">
        <f ca="1">IFERROR(__xludf.DUMMYFUNCTION("IMPORTRANGE(H29438,""IDENTITAS UNIT!D9"")"),"#N/A")</f>
        <v>#N/A</v>
      </c>
      <c r="H29438" s="4" t="str">
        <v/>
      </c>
      <c r="I29438" s="4" t="str">
        <v/>
      </c>
    </row>
    <row r="29439" spans="5:9" ht="16.5" hidden="1">
      <c r="E29439" s="4" t="str">
        <v/>
      </c>
      <c r="F29439" s="102" t="str">
        <f ca="1">IFERROR(__xludf.DUMMYFUNCTION("IMPORTRANGE(H29439,""IDENTITAS UNIT!D9"")"),"#N/A")</f>
        <v>#N/A</v>
      </c>
      <c r="H29439" s="4" t="str">
        <v/>
      </c>
      <c r="I29439" s="4" t="str">
        <v/>
      </c>
    </row>
    <row r="29440" spans="5:9" ht="16.5" hidden="1">
      <c r="E29440" s="4" t="str">
        <v/>
      </c>
      <c r="F29440" s="102" t="str">
        <f ca="1">IFERROR(__xludf.DUMMYFUNCTION("IMPORTRANGE(H29440,""IDENTITAS UNIT!D9"")"),"#N/A")</f>
        <v>#N/A</v>
      </c>
      <c r="H29440" s="4" t="str">
        <v/>
      </c>
      <c r="I29440" s="4" t="str">
        <v/>
      </c>
    </row>
    <row r="29441" spans="5:9" ht="16.5" hidden="1">
      <c r="E29441" s="4" t="str">
        <v/>
      </c>
      <c r="F29441" s="102" t="str">
        <f ca="1">IFERROR(__xludf.DUMMYFUNCTION("IMPORTRANGE(H29441,""IDENTITAS UNIT!D9"")"),"#N/A")</f>
        <v>#N/A</v>
      </c>
      <c r="H29441" s="4" t="str">
        <v/>
      </c>
      <c r="I29441" s="4" t="str">
        <v/>
      </c>
    </row>
    <row r="29442" spans="5:9" ht="16.5" hidden="1">
      <c r="E29442" s="4" t="str">
        <v/>
      </c>
      <c r="F29442" s="102" t="str">
        <f ca="1">IFERROR(__xludf.DUMMYFUNCTION("IMPORTRANGE(H29442,""IDENTITAS UNIT!D9"")"),"#N/A")</f>
        <v>#N/A</v>
      </c>
      <c r="H29442" s="4" t="str">
        <v/>
      </c>
      <c r="I29442" s="4" t="str">
        <v/>
      </c>
    </row>
    <row r="29443" spans="5:9" ht="16.5" hidden="1">
      <c r="E29443" s="4" t="str">
        <v/>
      </c>
      <c r="F29443" s="102" t="str">
        <f ca="1">IFERROR(__xludf.DUMMYFUNCTION("IMPORTRANGE(H29443,""IDENTITAS UNIT!D9"")"),"#N/A")</f>
        <v>#N/A</v>
      </c>
      <c r="H29443" s="4" t="str">
        <v/>
      </c>
      <c r="I29443" s="4" t="str">
        <v/>
      </c>
    </row>
    <row r="29444" spans="5:9" ht="16.5" hidden="1">
      <c r="E29444" s="4" t="str">
        <v/>
      </c>
      <c r="F29444" s="102" t="str">
        <f ca="1">IFERROR(__xludf.DUMMYFUNCTION("IMPORTRANGE(H29444,""IDENTITAS UNIT!D9"")"),"#N/A")</f>
        <v>#N/A</v>
      </c>
      <c r="H29444" s="4" t="str">
        <v/>
      </c>
      <c r="I29444" s="4" t="str">
        <v/>
      </c>
    </row>
    <row r="29445" spans="5:9" ht="16.5" hidden="1">
      <c r="E29445" s="4" t="str">
        <v/>
      </c>
      <c r="F29445" s="102" t="str">
        <f ca="1">IFERROR(__xludf.DUMMYFUNCTION("IMPORTRANGE(H29445,""IDENTITAS UNIT!D9"")"),"#N/A")</f>
        <v>#N/A</v>
      </c>
      <c r="H29445" s="4" t="str">
        <v/>
      </c>
      <c r="I29445" s="4" t="str">
        <v/>
      </c>
    </row>
    <row r="29446" spans="5:9" ht="16.5" hidden="1">
      <c r="E29446" s="4" t="str">
        <v/>
      </c>
      <c r="F29446" s="102" t="str">
        <f ca="1">IFERROR(__xludf.DUMMYFUNCTION("IMPORTRANGE(H29446,""IDENTITAS UNIT!D9"")"),"#N/A")</f>
        <v>#N/A</v>
      </c>
      <c r="H29446" s="4" t="str">
        <v/>
      </c>
      <c r="I29446" s="4" t="str">
        <v/>
      </c>
    </row>
    <row r="29447" spans="5:9" ht="16.5" hidden="1">
      <c r="E29447" s="4" t="str">
        <v/>
      </c>
      <c r="F29447" s="102" t="str">
        <f ca="1">IFERROR(__xludf.DUMMYFUNCTION("IMPORTRANGE(H29447,""IDENTITAS UNIT!D9"")"),"#N/A")</f>
        <v>#N/A</v>
      </c>
      <c r="H29447" s="4" t="str">
        <v/>
      </c>
      <c r="I29447" s="4" t="str">
        <v/>
      </c>
    </row>
    <row r="29448" spans="5:9" ht="16.5" hidden="1">
      <c r="E29448" s="4" t="str">
        <v/>
      </c>
      <c r="F29448" s="102" t="str">
        <f ca="1">IFERROR(__xludf.DUMMYFUNCTION("IMPORTRANGE(H29448,""IDENTITAS UNIT!D9"")"),"#N/A")</f>
        <v>#N/A</v>
      </c>
      <c r="H29448" s="4" t="str">
        <v/>
      </c>
      <c r="I29448" s="4" t="str">
        <v/>
      </c>
    </row>
    <row r="29449" spans="5:9" ht="16.5" hidden="1">
      <c r="E29449" s="4" t="str">
        <v/>
      </c>
      <c r="F29449" s="102" t="str">
        <f ca="1">IFERROR(__xludf.DUMMYFUNCTION("IMPORTRANGE(H29449,""IDENTITAS UNIT!D9"")"),"#N/A")</f>
        <v>#N/A</v>
      </c>
      <c r="H29449" s="4" t="str">
        <v/>
      </c>
      <c r="I29449" s="4" t="str">
        <v/>
      </c>
    </row>
    <row r="29450" spans="5:9" ht="16.5" hidden="1">
      <c r="E29450" s="4" t="str">
        <v/>
      </c>
      <c r="F29450" s="102" t="str">
        <f ca="1">IFERROR(__xludf.DUMMYFUNCTION("IMPORTRANGE(H29450,""IDENTITAS UNIT!D9"")"),"#N/A")</f>
        <v>#N/A</v>
      </c>
      <c r="H29450" s="4" t="str">
        <v/>
      </c>
      <c r="I29450" s="4" t="str">
        <v/>
      </c>
    </row>
    <row r="29451" spans="5:9" ht="16.5" hidden="1">
      <c r="E29451" s="4" t="str">
        <v/>
      </c>
      <c r="F29451" s="102" t="str">
        <f ca="1">IFERROR(__xludf.DUMMYFUNCTION("IMPORTRANGE(H29451,""IDENTITAS UNIT!D9"")"),"#N/A")</f>
        <v>#N/A</v>
      </c>
      <c r="H29451" s="4" t="str">
        <v/>
      </c>
      <c r="I29451" s="4" t="str">
        <v/>
      </c>
    </row>
    <row r="29452" spans="5:9" ht="16.5" hidden="1">
      <c r="E29452" s="4" t="str">
        <v/>
      </c>
      <c r="F29452" s="102" t="str">
        <f ca="1">IFERROR(__xludf.DUMMYFUNCTION("IMPORTRANGE(H29452,""IDENTITAS UNIT!D9"")"),"#N/A")</f>
        <v>#N/A</v>
      </c>
      <c r="H29452" s="4" t="str">
        <v/>
      </c>
      <c r="I29452" s="4" t="str">
        <v/>
      </c>
    </row>
    <row r="29453" spans="5:9" ht="16.5" hidden="1">
      <c r="E29453" s="4" t="str">
        <v/>
      </c>
      <c r="F29453" s="102" t="str">
        <f ca="1">IFERROR(__xludf.DUMMYFUNCTION("IMPORTRANGE(H29453,""IDENTITAS UNIT!D9"")"),"#N/A")</f>
        <v>#N/A</v>
      </c>
      <c r="H29453" s="4" t="str">
        <v/>
      </c>
      <c r="I29453" s="4" t="str">
        <v/>
      </c>
    </row>
    <row r="29454" spans="5:9" ht="16.5" hidden="1">
      <c r="E29454" s="4" t="str">
        <v/>
      </c>
      <c r="F29454" s="102" t="str">
        <f ca="1">IFERROR(__xludf.DUMMYFUNCTION("IMPORTRANGE(H29454,""IDENTITAS UNIT!D9"")"),"#N/A")</f>
        <v>#N/A</v>
      </c>
      <c r="H29454" s="4" t="str">
        <v/>
      </c>
      <c r="I29454" s="4" t="str">
        <v/>
      </c>
    </row>
    <row r="29455" spans="5:9" ht="16.5" hidden="1">
      <c r="E29455" s="4" t="str">
        <v/>
      </c>
      <c r="F29455" s="102" t="str">
        <f ca="1">IFERROR(__xludf.DUMMYFUNCTION("IMPORTRANGE(H29455,""IDENTITAS UNIT!D9"")"),"#N/A")</f>
        <v>#N/A</v>
      </c>
      <c r="H29455" s="4" t="str">
        <v/>
      </c>
      <c r="I29455" s="4" t="str">
        <v/>
      </c>
    </row>
    <row r="29456" spans="5:9" ht="16.5" hidden="1">
      <c r="E29456" s="4" t="str">
        <v/>
      </c>
      <c r="F29456" s="102" t="str">
        <f ca="1">IFERROR(__xludf.DUMMYFUNCTION("IMPORTRANGE(H29456,""IDENTITAS UNIT!D9"")"),"#N/A")</f>
        <v>#N/A</v>
      </c>
      <c r="H29456" s="4" t="str">
        <v/>
      </c>
      <c r="I29456" s="4" t="str">
        <v/>
      </c>
    </row>
    <row r="29457" spans="5:9" ht="16.5" hidden="1">
      <c r="E29457" s="4" t="str">
        <v/>
      </c>
      <c r="F29457" s="102" t="str">
        <f ca="1">IFERROR(__xludf.DUMMYFUNCTION("IMPORTRANGE(H29457,""IDENTITAS UNIT!D9"")"),"#N/A")</f>
        <v>#N/A</v>
      </c>
      <c r="H29457" s="4" t="str">
        <v/>
      </c>
      <c r="I29457" s="4" t="str">
        <v/>
      </c>
    </row>
    <row r="29458" spans="5:9" ht="16.5" hidden="1">
      <c r="E29458" s="4" t="str">
        <v/>
      </c>
      <c r="F29458" s="102" t="str">
        <f ca="1">IFERROR(__xludf.DUMMYFUNCTION("IMPORTRANGE(H29458,""IDENTITAS UNIT!D9"")"),"#N/A")</f>
        <v>#N/A</v>
      </c>
      <c r="H29458" s="4" t="str">
        <v/>
      </c>
      <c r="I29458" s="4" t="str">
        <v/>
      </c>
    </row>
    <row r="29459" spans="5:9" ht="16.5" hidden="1">
      <c r="E29459" s="4" t="str">
        <v/>
      </c>
      <c r="F29459" s="102" t="str">
        <f ca="1">IFERROR(__xludf.DUMMYFUNCTION("IMPORTRANGE(H29459,""IDENTITAS UNIT!D9"")"),"#N/A")</f>
        <v>#N/A</v>
      </c>
      <c r="H29459" s="4" t="str">
        <v/>
      </c>
      <c r="I29459" s="4" t="str">
        <v/>
      </c>
    </row>
    <row r="29460" spans="5:9" ht="16.5" hidden="1">
      <c r="E29460" s="4" t="str">
        <v/>
      </c>
      <c r="F29460" s="102" t="str">
        <f ca="1">IFERROR(__xludf.DUMMYFUNCTION("IMPORTRANGE(H29460,""IDENTITAS UNIT!D9"")"),"#N/A")</f>
        <v>#N/A</v>
      </c>
      <c r="H29460" s="4" t="str">
        <v/>
      </c>
      <c r="I29460" s="4" t="str">
        <v/>
      </c>
    </row>
    <row r="29461" spans="5:9" ht="16.5" hidden="1">
      <c r="E29461" s="4" t="str">
        <v/>
      </c>
      <c r="F29461" s="102" t="str">
        <f ca="1">IFERROR(__xludf.DUMMYFUNCTION("IMPORTRANGE(H29461,""IDENTITAS UNIT!D9"")"),"#N/A")</f>
        <v>#N/A</v>
      </c>
      <c r="H29461" s="4" t="str">
        <v/>
      </c>
      <c r="I29461" s="4" t="str">
        <v/>
      </c>
    </row>
    <row r="29462" spans="5:9" ht="16.5" hidden="1">
      <c r="E29462" s="4" t="str">
        <v/>
      </c>
      <c r="F29462" s="102" t="str">
        <f ca="1">IFERROR(__xludf.DUMMYFUNCTION("IMPORTRANGE(H29462,""IDENTITAS UNIT!D9"")"),"#N/A")</f>
        <v>#N/A</v>
      </c>
      <c r="H29462" s="4" t="str">
        <v/>
      </c>
      <c r="I29462" s="4" t="str">
        <v/>
      </c>
    </row>
    <row r="29463" spans="5:9" ht="16.5" hidden="1">
      <c r="E29463" s="4" t="str">
        <v/>
      </c>
      <c r="F29463" s="102" t="str">
        <f ca="1">IFERROR(__xludf.DUMMYFUNCTION("IMPORTRANGE(H29463,""IDENTITAS UNIT!D9"")"),"#N/A")</f>
        <v>#N/A</v>
      </c>
      <c r="H29463" s="4" t="str">
        <v/>
      </c>
      <c r="I29463" s="4" t="str">
        <v/>
      </c>
    </row>
    <row r="29464" spans="5:9" ht="16.5" hidden="1">
      <c r="E29464" s="4" t="str">
        <v/>
      </c>
      <c r="F29464" s="102" t="str">
        <f ca="1">IFERROR(__xludf.DUMMYFUNCTION("IMPORTRANGE(H29464,""IDENTITAS UNIT!D9"")"),"#N/A")</f>
        <v>#N/A</v>
      </c>
      <c r="H29464" s="4" t="str">
        <v/>
      </c>
      <c r="I29464" s="4" t="str">
        <v/>
      </c>
    </row>
    <row r="29465" spans="5:9" ht="16.5" hidden="1">
      <c r="E29465" s="4" t="str">
        <v/>
      </c>
      <c r="F29465" s="102" t="str">
        <f ca="1">IFERROR(__xludf.DUMMYFUNCTION("IMPORTRANGE(H29465,""IDENTITAS UNIT!D9"")"),"#N/A")</f>
        <v>#N/A</v>
      </c>
      <c r="H29465" s="4" t="str">
        <v/>
      </c>
      <c r="I29465" s="4" t="str">
        <v/>
      </c>
    </row>
    <row r="29466" spans="5:9" ht="16.5" hidden="1">
      <c r="E29466" s="4" t="str">
        <v/>
      </c>
      <c r="F29466" s="102" t="str">
        <f ca="1">IFERROR(__xludf.DUMMYFUNCTION("IMPORTRANGE(H29466,""IDENTITAS UNIT!D9"")"),"#N/A")</f>
        <v>#N/A</v>
      </c>
      <c r="H29466" s="4" t="str">
        <v/>
      </c>
      <c r="I29466" s="4" t="str">
        <v/>
      </c>
    </row>
    <row r="29467" spans="5:9" ht="16.5" hidden="1">
      <c r="E29467" s="4" t="str">
        <v/>
      </c>
      <c r="F29467" s="102" t="str">
        <f ca="1">IFERROR(__xludf.DUMMYFUNCTION("IMPORTRANGE(H29467,""IDENTITAS UNIT!D9"")"),"#N/A")</f>
        <v>#N/A</v>
      </c>
      <c r="H29467" s="4" t="str">
        <v/>
      </c>
      <c r="I29467" s="4" t="str">
        <v/>
      </c>
    </row>
    <row r="29468" spans="5:9" ht="16.5" hidden="1">
      <c r="E29468" s="4" t="str">
        <v/>
      </c>
      <c r="F29468" s="102" t="str">
        <f ca="1">IFERROR(__xludf.DUMMYFUNCTION("IMPORTRANGE(H29468,""IDENTITAS UNIT!D9"")"),"#N/A")</f>
        <v>#N/A</v>
      </c>
      <c r="H29468" s="4" t="str">
        <v/>
      </c>
      <c r="I29468" s="4" t="str">
        <v/>
      </c>
    </row>
    <row r="29469" spans="5:9" ht="16.5" hidden="1">
      <c r="E29469" s="4" t="str">
        <v/>
      </c>
      <c r="F29469" s="102" t="str">
        <f ca="1">IFERROR(__xludf.DUMMYFUNCTION("IMPORTRANGE(H29469,""IDENTITAS UNIT!D9"")"),"#N/A")</f>
        <v>#N/A</v>
      </c>
      <c r="H29469" s="4" t="str">
        <v/>
      </c>
      <c r="I29469" s="4" t="str">
        <v/>
      </c>
    </row>
    <row r="29470" spans="5:9" ht="16.5" hidden="1">
      <c r="E29470" s="4" t="str">
        <v/>
      </c>
      <c r="F29470" s="102" t="str">
        <f ca="1">IFERROR(__xludf.DUMMYFUNCTION("IMPORTRANGE(H29470,""IDENTITAS UNIT!D9"")"),"#N/A")</f>
        <v>#N/A</v>
      </c>
      <c r="H29470" s="4" t="str">
        <v/>
      </c>
      <c r="I29470" s="4" t="str">
        <v/>
      </c>
    </row>
    <row r="29471" spans="5:9" ht="16.5" hidden="1">
      <c r="E29471" s="4" t="str">
        <v/>
      </c>
      <c r="F29471" s="102" t="str">
        <f ca="1">IFERROR(__xludf.DUMMYFUNCTION("IMPORTRANGE(H29471,""IDENTITAS UNIT!D9"")"),"#N/A")</f>
        <v>#N/A</v>
      </c>
      <c r="H29471" s="4" t="str">
        <v/>
      </c>
      <c r="I29471" s="4" t="str">
        <v/>
      </c>
    </row>
    <row r="29472" spans="5:9" ht="16.5" hidden="1">
      <c r="E29472" s="4" t="str">
        <v/>
      </c>
      <c r="F29472" s="102" t="str">
        <f ca="1">IFERROR(__xludf.DUMMYFUNCTION("IMPORTRANGE(H29472,""IDENTITAS UNIT!D9"")"),"#N/A")</f>
        <v>#N/A</v>
      </c>
      <c r="H29472" s="4" t="str">
        <v/>
      </c>
      <c r="I29472" s="4" t="str">
        <v/>
      </c>
    </row>
    <row r="29473" spans="5:9" ht="16.5" hidden="1">
      <c r="E29473" s="4" t="str">
        <v/>
      </c>
      <c r="F29473" s="102" t="str">
        <f ca="1">IFERROR(__xludf.DUMMYFUNCTION("IMPORTRANGE(H29473,""IDENTITAS UNIT!D9"")"),"#N/A")</f>
        <v>#N/A</v>
      </c>
      <c r="H29473" s="4" t="str">
        <v/>
      </c>
      <c r="I29473" s="4" t="str">
        <v/>
      </c>
    </row>
    <row r="29474" spans="5:9" ht="16.5" hidden="1">
      <c r="E29474" s="4" t="str">
        <v/>
      </c>
      <c r="F29474" s="102" t="str">
        <f ca="1">IFERROR(__xludf.DUMMYFUNCTION("IMPORTRANGE(H29474,""IDENTITAS UNIT!D9"")"),"#N/A")</f>
        <v>#N/A</v>
      </c>
      <c r="H29474" s="4" t="str">
        <v/>
      </c>
      <c r="I29474" s="4" t="str">
        <v/>
      </c>
    </row>
    <row r="29475" spans="5:9" ht="16.5" hidden="1">
      <c r="E29475" s="4" t="str">
        <v/>
      </c>
      <c r="F29475" s="102" t="str">
        <f ca="1">IFERROR(__xludf.DUMMYFUNCTION("IMPORTRANGE(H29475,""IDENTITAS UNIT!D9"")"),"#N/A")</f>
        <v>#N/A</v>
      </c>
      <c r="H29475" s="4" t="str">
        <v/>
      </c>
      <c r="I29475" s="4" t="str">
        <v/>
      </c>
    </row>
    <row r="29476" spans="5:9" ht="16.5" hidden="1">
      <c r="E29476" s="4" t="str">
        <v/>
      </c>
      <c r="F29476" s="102" t="str">
        <f ca="1">IFERROR(__xludf.DUMMYFUNCTION("IMPORTRANGE(H29476,""IDENTITAS UNIT!D9"")"),"#N/A")</f>
        <v>#N/A</v>
      </c>
      <c r="H29476" s="4" t="str">
        <v/>
      </c>
      <c r="I29476" s="4" t="str">
        <v/>
      </c>
    </row>
    <row r="29477" spans="5:9" ht="16.5" hidden="1">
      <c r="E29477" s="4" t="str">
        <v/>
      </c>
      <c r="F29477" s="102" t="str">
        <f ca="1">IFERROR(__xludf.DUMMYFUNCTION("IMPORTRANGE(H29477,""IDENTITAS UNIT!D9"")"),"#N/A")</f>
        <v>#N/A</v>
      </c>
      <c r="H29477" s="4" t="str">
        <v/>
      </c>
      <c r="I29477" s="4" t="str">
        <v/>
      </c>
    </row>
    <row r="29478" spans="5:9" ht="16.5" hidden="1">
      <c r="E29478" s="4" t="str">
        <v/>
      </c>
      <c r="F29478" s="102" t="str">
        <f ca="1">IFERROR(__xludf.DUMMYFUNCTION("IMPORTRANGE(H29478,""IDENTITAS UNIT!D9"")"),"#N/A")</f>
        <v>#N/A</v>
      </c>
      <c r="H29478" s="4" t="str">
        <v/>
      </c>
      <c r="I29478" s="4" t="str">
        <v/>
      </c>
    </row>
    <row r="29479" spans="5:9" ht="16.5" hidden="1">
      <c r="E29479" s="4" t="str">
        <v/>
      </c>
      <c r="F29479" s="102" t="str">
        <f ca="1">IFERROR(__xludf.DUMMYFUNCTION("IMPORTRANGE(H29479,""IDENTITAS UNIT!D9"")"),"#N/A")</f>
        <v>#N/A</v>
      </c>
      <c r="H29479" s="4" t="str">
        <v/>
      </c>
      <c r="I29479" s="4" t="str">
        <v/>
      </c>
    </row>
    <row r="29480" spans="5:9" ht="16.5" hidden="1">
      <c r="E29480" s="4" t="str">
        <v/>
      </c>
      <c r="F29480" s="102" t="str">
        <f ca="1">IFERROR(__xludf.DUMMYFUNCTION("IMPORTRANGE(H29480,""IDENTITAS UNIT!D9"")"),"#N/A")</f>
        <v>#N/A</v>
      </c>
      <c r="H29480" s="4" t="str">
        <v/>
      </c>
      <c r="I29480" s="4" t="str">
        <v/>
      </c>
    </row>
    <row r="29481" spans="5:9" ht="16.5" hidden="1">
      <c r="E29481" s="4" t="str">
        <v/>
      </c>
      <c r="F29481" s="102" t="str">
        <f ca="1">IFERROR(__xludf.DUMMYFUNCTION("IMPORTRANGE(H29481,""IDENTITAS UNIT!D9"")"),"#N/A")</f>
        <v>#N/A</v>
      </c>
      <c r="H29481" s="4" t="str">
        <v/>
      </c>
      <c r="I29481" s="4" t="str">
        <v/>
      </c>
    </row>
    <row r="29482" spans="5:9" ht="16.5" hidden="1">
      <c r="E29482" s="4" t="str">
        <v/>
      </c>
      <c r="F29482" s="102" t="str">
        <f ca="1">IFERROR(__xludf.DUMMYFUNCTION("IMPORTRANGE(H29482,""IDENTITAS UNIT!D9"")"),"#N/A")</f>
        <v>#N/A</v>
      </c>
      <c r="H29482" s="4" t="str">
        <v/>
      </c>
      <c r="I29482" s="4" t="str">
        <v/>
      </c>
    </row>
    <row r="29483" spans="5:9" ht="16.5" hidden="1">
      <c r="E29483" s="4" t="str">
        <v/>
      </c>
      <c r="F29483" s="102" t="str">
        <f ca="1">IFERROR(__xludf.DUMMYFUNCTION("IMPORTRANGE(H29483,""IDENTITAS UNIT!D9"")"),"#N/A")</f>
        <v>#N/A</v>
      </c>
      <c r="H29483" s="4" t="str">
        <v/>
      </c>
      <c r="I29483" s="4" t="str">
        <v/>
      </c>
    </row>
    <row r="29484" spans="5:9" ht="16.5" hidden="1">
      <c r="E29484" s="4" t="str">
        <v/>
      </c>
      <c r="F29484" s="102" t="str">
        <f ca="1">IFERROR(__xludf.DUMMYFUNCTION("IMPORTRANGE(H29484,""IDENTITAS UNIT!D9"")"),"#N/A")</f>
        <v>#N/A</v>
      </c>
      <c r="H29484" s="4" t="str">
        <v/>
      </c>
      <c r="I29484" s="4" t="str">
        <v/>
      </c>
    </row>
    <row r="29485" spans="5:9" ht="16.5" hidden="1">
      <c r="E29485" s="4" t="str">
        <v/>
      </c>
      <c r="F29485" s="102" t="str">
        <f ca="1">IFERROR(__xludf.DUMMYFUNCTION("IMPORTRANGE(H29485,""IDENTITAS UNIT!D9"")"),"#N/A")</f>
        <v>#N/A</v>
      </c>
      <c r="H29485" s="4" t="str">
        <v/>
      </c>
      <c r="I29485" s="4" t="str">
        <v/>
      </c>
    </row>
    <row r="29486" spans="5:9" ht="16.5" hidden="1">
      <c r="E29486" s="4" t="str">
        <v/>
      </c>
      <c r="F29486" s="102" t="str">
        <f ca="1">IFERROR(__xludf.DUMMYFUNCTION("IMPORTRANGE(H29486,""IDENTITAS UNIT!D9"")"),"#N/A")</f>
        <v>#N/A</v>
      </c>
      <c r="H29486" s="4" t="str">
        <v/>
      </c>
      <c r="I29486" s="4" t="str">
        <v/>
      </c>
    </row>
    <row r="29487" spans="5:9" ht="16.5" hidden="1">
      <c r="E29487" s="4" t="str">
        <v/>
      </c>
      <c r="F29487" s="102" t="str">
        <f ca="1">IFERROR(__xludf.DUMMYFUNCTION("IMPORTRANGE(H29487,""IDENTITAS UNIT!D9"")"),"#N/A")</f>
        <v>#N/A</v>
      </c>
      <c r="H29487" s="4" t="str">
        <v/>
      </c>
      <c r="I29487" s="4" t="str">
        <v/>
      </c>
    </row>
    <row r="29488" spans="5:9" ht="16.5" hidden="1">
      <c r="E29488" s="4" t="str">
        <v/>
      </c>
      <c r="F29488" s="102" t="str">
        <f ca="1">IFERROR(__xludf.DUMMYFUNCTION("IMPORTRANGE(H29488,""IDENTITAS UNIT!D9"")"),"#N/A")</f>
        <v>#N/A</v>
      </c>
      <c r="H29488" s="4" t="str">
        <v/>
      </c>
      <c r="I29488" s="4" t="str">
        <v/>
      </c>
    </row>
    <row r="29489" spans="5:9" ht="16.5" hidden="1">
      <c r="E29489" s="4" t="str">
        <v/>
      </c>
      <c r="F29489" s="102" t="str">
        <f ca="1">IFERROR(__xludf.DUMMYFUNCTION("IMPORTRANGE(H29489,""IDENTITAS UNIT!D9"")"),"#N/A")</f>
        <v>#N/A</v>
      </c>
      <c r="H29489" s="4" t="str">
        <v/>
      </c>
      <c r="I29489" s="4" t="str">
        <v/>
      </c>
    </row>
    <row r="29490" spans="5:9" ht="16.5" hidden="1">
      <c r="E29490" s="4" t="str">
        <v/>
      </c>
      <c r="F29490" s="102" t="str">
        <f ca="1">IFERROR(__xludf.DUMMYFUNCTION("IMPORTRANGE(H29490,""IDENTITAS UNIT!D9"")"),"#N/A")</f>
        <v>#N/A</v>
      </c>
      <c r="H29490" s="4" t="str">
        <v/>
      </c>
      <c r="I29490" s="4" t="str">
        <v/>
      </c>
    </row>
    <row r="29491" spans="5:9" ht="16.5" hidden="1">
      <c r="E29491" s="4" t="str">
        <v/>
      </c>
      <c r="F29491" s="102" t="str">
        <f ca="1">IFERROR(__xludf.DUMMYFUNCTION("IMPORTRANGE(H29491,""IDENTITAS UNIT!D9"")"),"#N/A")</f>
        <v>#N/A</v>
      </c>
      <c r="H29491" s="4" t="str">
        <v/>
      </c>
      <c r="I29491" s="4" t="str">
        <v/>
      </c>
    </row>
    <row r="29492" spans="5:9" ht="16.5" hidden="1">
      <c r="E29492" s="4" t="str">
        <v/>
      </c>
      <c r="F29492" s="102" t="str">
        <f ca="1">IFERROR(__xludf.DUMMYFUNCTION("IMPORTRANGE(H29492,""IDENTITAS UNIT!D9"")"),"#N/A")</f>
        <v>#N/A</v>
      </c>
      <c r="H29492" s="4" t="str">
        <v/>
      </c>
      <c r="I29492" s="4" t="str">
        <v/>
      </c>
    </row>
    <row r="29493" spans="5:9" ht="16.5" hidden="1">
      <c r="E29493" s="4" t="str">
        <v/>
      </c>
      <c r="F29493" s="102" t="str">
        <f ca="1">IFERROR(__xludf.DUMMYFUNCTION("IMPORTRANGE(H29493,""IDENTITAS UNIT!D9"")"),"#N/A")</f>
        <v>#N/A</v>
      </c>
      <c r="H29493" s="4" t="str">
        <v/>
      </c>
      <c r="I29493" s="4" t="str">
        <v/>
      </c>
    </row>
    <row r="29494" spans="5:9" ht="16.5" hidden="1">
      <c r="E29494" s="4" t="str">
        <v/>
      </c>
      <c r="F29494" s="102" t="str">
        <f ca="1">IFERROR(__xludf.DUMMYFUNCTION("IMPORTRANGE(H29494,""IDENTITAS UNIT!D9"")"),"#N/A")</f>
        <v>#N/A</v>
      </c>
      <c r="H29494" s="4" t="str">
        <v/>
      </c>
      <c r="I29494" s="4" t="str">
        <v/>
      </c>
    </row>
    <row r="29495" spans="5:9" ht="16.5" hidden="1">
      <c r="E29495" s="4" t="str">
        <v/>
      </c>
      <c r="F29495" s="102" t="str">
        <f ca="1">IFERROR(__xludf.DUMMYFUNCTION("IMPORTRANGE(H29495,""IDENTITAS UNIT!D9"")"),"#N/A")</f>
        <v>#N/A</v>
      </c>
      <c r="H29495" s="4" t="str">
        <v/>
      </c>
      <c r="I29495" s="4" t="str">
        <v/>
      </c>
    </row>
    <row r="29496" spans="5:9" ht="16.5" hidden="1">
      <c r="E29496" s="4" t="str">
        <v/>
      </c>
      <c r="F29496" s="102" t="str">
        <f ca="1">IFERROR(__xludf.DUMMYFUNCTION("IMPORTRANGE(H29496,""IDENTITAS UNIT!D9"")"),"#N/A")</f>
        <v>#N/A</v>
      </c>
      <c r="H29496" s="4" t="str">
        <v/>
      </c>
      <c r="I29496" s="4" t="str">
        <v/>
      </c>
    </row>
    <row r="29497" spans="5:9" ht="16.5" hidden="1">
      <c r="E29497" s="4" t="str">
        <v/>
      </c>
      <c r="F29497" s="102" t="str">
        <f ca="1">IFERROR(__xludf.DUMMYFUNCTION("IMPORTRANGE(H29497,""IDENTITAS UNIT!D9"")"),"#N/A")</f>
        <v>#N/A</v>
      </c>
      <c r="H29497" s="4" t="str">
        <v/>
      </c>
      <c r="I29497" s="4" t="str">
        <v/>
      </c>
    </row>
    <row r="29498" spans="5:9" ht="16.5" hidden="1">
      <c r="E29498" s="4" t="str">
        <v/>
      </c>
      <c r="F29498" s="102" t="str">
        <f ca="1">IFERROR(__xludf.DUMMYFUNCTION("IMPORTRANGE(H29498,""IDENTITAS UNIT!D9"")"),"#N/A")</f>
        <v>#N/A</v>
      </c>
      <c r="H29498" s="4" t="str">
        <v/>
      </c>
      <c r="I29498" s="4" t="str">
        <v/>
      </c>
    </row>
    <row r="29499" spans="5:9" ht="16.5" hidden="1">
      <c r="E29499" s="4" t="str">
        <v/>
      </c>
      <c r="F29499" s="102" t="str">
        <f ca="1">IFERROR(__xludf.DUMMYFUNCTION("IMPORTRANGE(H29499,""IDENTITAS UNIT!D9"")"),"#N/A")</f>
        <v>#N/A</v>
      </c>
      <c r="H29499" s="4" t="str">
        <v/>
      </c>
      <c r="I29499" s="4" t="str">
        <v/>
      </c>
    </row>
    <row r="29500" spans="5:9" ht="16.5" hidden="1">
      <c r="E29500" s="4" t="str">
        <v/>
      </c>
      <c r="F29500" s="102" t="str">
        <f ca="1">IFERROR(__xludf.DUMMYFUNCTION("IMPORTRANGE(H29500,""IDENTITAS UNIT!D9"")"),"#N/A")</f>
        <v>#N/A</v>
      </c>
      <c r="H29500" s="4" t="str">
        <v/>
      </c>
      <c r="I29500" s="4" t="str">
        <v/>
      </c>
    </row>
    <row r="29501" spans="5:9" ht="16.5" hidden="1">
      <c r="E29501" s="4" t="str">
        <v/>
      </c>
      <c r="F29501" s="102" t="str">
        <f ca="1">IFERROR(__xludf.DUMMYFUNCTION("IMPORTRANGE(H29501,""IDENTITAS UNIT!D9"")"),"#N/A")</f>
        <v>#N/A</v>
      </c>
      <c r="H29501" s="4" t="str">
        <v/>
      </c>
      <c r="I29501" s="4" t="str">
        <v/>
      </c>
    </row>
    <row r="29502" spans="5:9" ht="16.5" hidden="1">
      <c r="E29502" s="4" t="str">
        <v/>
      </c>
      <c r="F29502" s="102" t="str">
        <f ca="1">IFERROR(__xludf.DUMMYFUNCTION("IMPORTRANGE(H29502,""IDENTITAS UNIT!D9"")"),"#N/A")</f>
        <v>#N/A</v>
      </c>
      <c r="H29502" s="4" t="str">
        <v/>
      </c>
      <c r="I29502" s="4" t="str">
        <v/>
      </c>
    </row>
    <row r="29503" spans="5:9" ht="16.5" hidden="1">
      <c r="E29503" s="4" t="str">
        <v/>
      </c>
      <c r="F29503" s="102" t="str">
        <f ca="1">IFERROR(__xludf.DUMMYFUNCTION("IMPORTRANGE(H29503,""IDENTITAS UNIT!D9"")"),"#N/A")</f>
        <v>#N/A</v>
      </c>
      <c r="H29503" s="4" t="str">
        <v/>
      </c>
      <c r="I29503" s="4" t="str">
        <v/>
      </c>
    </row>
    <row r="29504" spans="5:9" ht="16.5" hidden="1">
      <c r="E29504" s="4" t="str">
        <v/>
      </c>
      <c r="F29504" s="102" t="str">
        <f ca="1">IFERROR(__xludf.DUMMYFUNCTION("IMPORTRANGE(H29504,""IDENTITAS UNIT!D9"")"),"#N/A")</f>
        <v>#N/A</v>
      </c>
      <c r="H29504" s="4" t="str">
        <v/>
      </c>
      <c r="I29504" s="4" t="str">
        <v/>
      </c>
    </row>
    <row r="29505" spans="5:9" ht="16.5" hidden="1">
      <c r="E29505" s="4" t="str">
        <v/>
      </c>
      <c r="F29505" s="102" t="str">
        <f ca="1">IFERROR(__xludf.DUMMYFUNCTION("IMPORTRANGE(H29505,""IDENTITAS UNIT!D9"")"),"#N/A")</f>
        <v>#N/A</v>
      </c>
      <c r="H29505" s="4" t="str">
        <v/>
      </c>
      <c r="I29505" s="4" t="str">
        <v/>
      </c>
    </row>
    <row r="29506" spans="5:9" ht="16.5" hidden="1">
      <c r="E29506" s="4" t="str">
        <v/>
      </c>
      <c r="F29506" s="102" t="str">
        <f ca="1">IFERROR(__xludf.DUMMYFUNCTION("IMPORTRANGE(H29506,""IDENTITAS UNIT!D9"")"),"#N/A")</f>
        <v>#N/A</v>
      </c>
      <c r="H29506" s="4" t="str">
        <v/>
      </c>
      <c r="I29506" s="4" t="str">
        <v/>
      </c>
    </row>
    <row r="29507" spans="5:9" ht="16.5" hidden="1">
      <c r="E29507" s="4" t="str">
        <v/>
      </c>
      <c r="F29507" s="102" t="str">
        <f ca="1">IFERROR(__xludf.DUMMYFUNCTION("IMPORTRANGE(H29507,""IDENTITAS UNIT!D9"")"),"#N/A")</f>
        <v>#N/A</v>
      </c>
      <c r="H29507" s="4" t="str">
        <v/>
      </c>
      <c r="I29507" s="4" t="str">
        <v/>
      </c>
    </row>
    <row r="29508" spans="5:9" ht="16.5" hidden="1">
      <c r="E29508" s="4" t="str">
        <v/>
      </c>
      <c r="F29508" s="102" t="str">
        <f ca="1">IFERROR(__xludf.DUMMYFUNCTION("IMPORTRANGE(H29508,""IDENTITAS UNIT!D9"")"),"#N/A")</f>
        <v>#N/A</v>
      </c>
      <c r="H29508" s="4" t="str">
        <v/>
      </c>
      <c r="I29508" s="4" t="str">
        <v/>
      </c>
    </row>
    <row r="29509" spans="5:9" ht="16.5" hidden="1">
      <c r="E29509" s="4" t="str">
        <v/>
      </c>
      <c r="F29509" s="102" t="str">
        <f ca="1">IFERROR(__xludf.DUMMYFUNCTION("IMPORTRANGE(H29509,""IDENTITAS UNIT!D9"")"),"#N/A")</f>
        <v>#N/A</v>
      </c>
      <c r="H29509" s="4" t="str">
        <v/>
      </c>
      <c r="I29509" s="4" t="str">
        <v/>
      </c>
    </row>
    <row r="29510" spans="5:9" ht="16.5" hidden="1">
      <c r="E29510" s="4" t="str">
        <v/>
      </c>
      <c r="F29510" s="102" t="str">
        <f ca="1">IFERROR(__xludf.DUMMYFUNCTION("IMPORTRANGE(H29510,""IDENTITAS UNIT!D9"")"),"#N/A")</f>
        <v>#N/A</v>
      </c>
      <c r="H29510" s="4" t="str">
        <v/>
      </c>
      <c r="I29510" s="4" t="str">
        <v/>
      </c>
    </row>
    <row r="29511" spans="5:9" ht="16.5" hidden="1">
      <c r="E29511" s="4" t="str">
        <v/>
      </c>
      <c r="F29511" s="102" t="str">
        <f ca="1">IFERROR(__xludf.DUMMYFUNCTION("IMPORTRANGE(H29511,""IDENTITAS UNIT!D9"")"),"#N/A")</f>
        <v>#N/A</v>
      </c>
      <c r="H29511" s="4" t="str">
        <v/>
      </c>
      <c r="I29511" s="4" t="str">
        <v/>
      </c>
    </row>
    <row r="29512" spans="5:9" ht="16.5" hidden="1">
      <c r="E29512" s="4" t="str">
        <v/>
      </c>
      <c r="F29512" s="102" t="str">
        <f ca="1">IFERROR(__xludf.DUMMYFUNCTION("IMPORTRANGE(H29512,""IDENTITAS UNIT!D9"")"),"#N/A")</f>
        <v>#N/A</v>
      </c>
      <c r="H29512" s="4" t="str">
        <v/>
      </c>
      <c r="I29512" s="4" t="str">
        <v/>
      </c>
    </row>
    <row r="29513" spans="5:9" ht="16.5" hidden="1">
      <c r="E29513" s="4" t="str">
        <v/>
      </c>
      <c r="F29513" s="102" t="str">
        <f ca="1">IFERROR(__xludf.DUMMYFUNCTION("IMPORTRANGE(H29513,""IDENTITAS UNIT!D9"")"),"#N/A")</f>
        <v>#N/A</v>
      </c>
      <c r="H29513" s="4" t="str">
        <v/>
      </c>
      <c r="I29513" s="4" t="str">
        <v/>
      </c>
    </row>
    <row r="29514" spans="5:9" ht="16.5" hidden="1">
      <c r="E29514" s="4" t="str">
        <v/>
      </c>
      <c r="F29514" s="102" t="str">
        <f ca="1">IFERROR(__xludf.DUMMYFUNCTION("IMPORTRANGE(H29514,""IDENTITAS UNIT!D9"")"),"#N/A")</f>
        <v>#N/A</v>
      </c>
      <c r="H29514" s="4" t="str">
        <v/>
      </c>
      <c r="I29514" s="4" t="str">
        <v/>
      </c>
    </row>
    <row r="29515" spans="5:9" ht="16.5" hidden="1">
      <c r="E29515" s="4" t="str">
        <v/>
      </c>
      <c r="F29515" s="102" t="str">
        <f ca="1">IFERROR(__xludf.DUMMYFUNCTION("IMPORTRANGE(H29515,""IDENTITAS UNIT!D9"")"),"#N/A")</f>
        <v>#N/A</v>
      </c>
      <c r="H29515" s="4" t="str">
        <v/>
      </c>
      <c r="I29515" s="4" t="str">
        <v/>
      </c>
    </row>
    <row r="29516" spans="5:9" ht="16.5" hidden="1">
      <c r="E29516" s="4" t="str">
        <v/>
      </c>
      <c r="F29516" s="102" t="str">
        <f ca="1">IFERROR(__xludf.DUMMYFUNCTION("IMPORTRANGE(H29516,""IDENTITAS UNIT!D9"")"),"#N/A")</f>
        <v>#N/A</v>
      </c>
      <c r="H29516" s="4" t="str">
        <v/>
      </c>
      <c r="I29516" s="4" t="str">
        <v/>
      </c>
    </row>
    <row r="29517" spans="5:9" ht="16.5" hidden="1">
      <c r="E29517" s="4" t="str">
        <v/>
      </c>
      <c r="F29517" s="102" t="str">
        <f ca="1">IFERROR(__xludf.DUMMYFUNCTION("IMPORTRANGE(H29517,""IDENTITAS UNIT!D9"")"),"#N/A")</f>
        <v>#N/A</v>
      </c>
      <c r="H29517" s="4" t="str">
        <v/>
      </c>
      <c r="I29517" s="4" t="str">
        <v/>
      </c>
    </row>
    <row r="29518" spans="5:9" ht="16.5" hidden="1">
      <c r="E29518" s="4" t="str">
        <v/>
      </c>
      <c r="F29518" s="102" t="str">
        <f ca="1">IFERROR(__xludf.DUMMYFUNCTION("IMPORTRANGE(H29518,""IDENTITAS UNIT!D9"")"),"#N/A")</f>
        <v>#N/A</v>
      </c>
      <c r="H29518" s="4" t="str">
        <v/>
      </c>
      <c r="I29518" s="4" t="str">
        <v/>
      </c>
    </row>
    <row r="29519" spans="5:9" ht="16.5" hidden="1">
      <c r="E29519" s="4" t="str">
        <v/>
      </c>
      <c r="F29519" s="102" t="str">
        <f ca="1">IFERROR(__xludf.DUMMYFUNCTION("IMPORTRANGE(H29519,""IDENTITAS UNIT!D9"")"),"#N/A")</f>
        <v>#N/A</v>
      </c>
      <c r="H29519" s="4" t="str">
        <v/>
      </c>
      <c r="I29519" s="4" t="str">
        <v/>
      </c>
    </row>
    <row r="29520" spans="5:9" ht="16.5" hidden="1">
      <c r="E29520" s="4" t="str">
        <v/>
      </c>
      <c r="F29520" s="102" t="str">
        <f ca="1">IFERROR(__xludf.DUMMYFUNCTION("IMPORTRANGE(H29520,""IDENTITAS UNIT!D9"")"),"#N/A")</f>
        <v>#N/A</v>
      </c>
      <c r="H29520" s="4" t="str">
        <v/>
      </c>
      <c r="I29520" s="4" t="str">
        <v/>
      </c>
    </row>
    <row r="29521" spans="5:9" ht="16.5" hidden="1">
      <c r="E29521" s="4" t="str">
        <v/>
      </c>
      <c r="F29521" s="102" t="str">
        <f ca="1">IFERROR(__xludf.DUMMYFUNCTION("IMPORTRANGE(H29521,""IDENTITAS UNIT!D9"")"),"#N/A")</f>
        <v>#N/A</v>
      </c>
      <c r="H29521" s="4" t="str">
        <v/>
      </c>
      <c r="I29521" s="4" t="str">
        <v/>
      </c>
    </row>
    <row r="29522" spans="5:9" ht="16.5" hidden="1">
      <c r="E29522" s="4" t="str">
        <v/>
      </c>
      <c r="F29522" s="102" t="str">
        <f ca="1">IFERROR(__xludf.DUMMYFUNCTION("IMPORTRANGE(H29522,""IDENTITAS UNIT!D9"")"),"#N/A")</f>
        <v>#N/A</v>
      </c>
      <c r="H29522" s="4" t="str">
        <v/>
      </c>
      <c r="I29522" s="4" t="str">
        <v/>
      </c>
    </row>
    <row r="29523" spans="5:9" ht="16.5" hidden="1">
      <c r="E29523" s="4" t="str">
        <v/>
      </c>
      <c r="F29523" s="102" t="str">
        <f ca="1">IFERROR(__xludf.DUMMYFUNCTION("IMPORTRANGE(H29523,""IDENTITAS UNIT!D9"")"),"#N/A")</f>
        <v>#N/A</v>
      </c>
      <c r="H29523" s="4" t="str">
        <v/>
      </c>
      <c r="I29523" s="4" t="str">
        <v/>
      </c>
    </row>
    <row r="29524" spans="5:9" ht="16.5" hidden="1">
      <c r="E29524" s="4" t="str">
        <v/>
      </c>
      <c r="F29524" s="102" t="str">
        <f ca="1">IFERROR(__xludf.DUMMYFUNCTION("IMPORTRANGE(H29524,""IDENTITAS UNIT!D9"")"),"#N/A")</f>
        <v>#N/A</v>
      </c>
      <c r="H29524" s="4" t="str">
        <v/>
      </c>
      <c r="I29524" s="4" t="str">
        <v/>
      </c>
    </row>
    <row r="29525" spans="5:9" ht="16.5" hidden="1">
      <c r="E29525" s="4" t="str">
        <v/>
      </c>
      <c r="F29525" s="102" t="str">
        <f ca="1">IFERROR(__xludf.DUMMYFUNCTION("IMPORTRANGE(H29525,""IDENTITAS UNIT!D9"")"),"#N/A")</f>
        <v>#N/A</v>
      </c>
      <c r="H29525" s="4" t="str">
        <v/>
      </c>
      <c r="I29525" s="4" t="str">
        <v/>
      </c>
    </row>
    <row r="29526" spans="5:9" ht="16.5" hidden="1">
      <c r="E29526" s="4" t="str">
        <v/>
      </c>
      <c r="F29526" s="102" t="str">
        <f ca="1">IFERROR(__xludf.DUMMYFUNCTION("IMPORTRANGE(H29526,""IDENTITAS UNIT!D9"")"),"#N/A")</f>
        <v>#N/A</v>
      </c>
      <c r="H29526" s="4" t="str">
        <v/>
      </c>
      <c r="I29526" s="4" t="str">
        <v/>
      </c>
    </row>
    <row r="29527" spans="5:9" ht="16.5" hidden="1">
      <c r="E29527" s="4" t="str">
        <v/>
      </c>
      <c r="F29527" s="102" t="str">
        <f ca="1">IFERROR(__xludf.DUMMYFUNCTION("IMPORTRANGE(H29527,""IDENTITAS UNIT!D9"")"),"#N/A")</f>
        <v>#N/A</v>
      </c>
      <c r="H29527" s="4" t="str">
        <v/>
      </c>
      <c r="I29527" s="4" t="str">
        <v/>
      </c>
    </row>
    <row r="29528" spans="5:9" ht="16.5" hidden="1">
      <c r="E29528" s="4" t="str">
        <v/>
      </c>
      <c r="F29528" s="102" t="str">
        <f ca="1">IFERROR(__xludf.DUMMYFUNCTION("IMPORTRANGE(H29528,""IDENTITAS UNIT!D9"")"),"#N/A")</f>
        <v>#N/A</v>
      </c>
      <c r="H29528" s="4" t="str">
        <v/>
      </c>
      <c r="I29528" s="4" t="str">
        <v/>
      </c>
    </row>
    <row r="29529" spans="5:9" ht="16.5" hidden="1">
      <c r="E29529" s="4" t="str">
        <v/>
      </c>
      <c r="F29529" s="102" t="str">
        <f ca="1">IFERROR(__xludf.DUMMYFUNCTION("IMPORTRANGE(H29529,""IDENTITAS UNIT!D9"")"),"#N/A")</f>
        <v>#N/A</v>
      </c>
      <c r="H29529" s="4" t="str">
        <v/>
      </c>
      <c r="I29529" s="4" t="str">
        <v/>
      </c>
    </row>
    <row r="29530" spans="5:9" ht="16.5" hidden="1">
      <c r="E29530" s="4" t="str">
        <v/>
      </c>
      <c r="F29530" s="102" t="str">
        <f ca="1">IFERROR(__xludf.DUMMYFUNCTION("IMPORTRANGE(H29530,""IDENTITAS UNIT!D9"")"),"#N/A")</f>
        <v>#N/A</v>
      </c>
      <c r="H29530" s="4" t="str">
        <v/>
      </c>
      <c r="I29530" s="4" t="str">
        <v/>
      </c>
    </row>
    <row r="29531" spans="5:9" ht="16.5" hidden="1">
      <c r="E29531" s="4" t="str">
        <v/>
      </c>
      <c r="F29531" s="102" t="str">
        <f ca="1">IFERROR(__xludf.DUMMYFUNCTION("IMPORTRANGE(H29531,""IDENTITAS UNIT!D9"")"),"#N/A")</f>
        <v>#N/A</v>
      </c>
      <c r="H29531" s="4" t="str">
        <v/>
      </c>
      <c r="I29531" s="4" t="str">
        <v/>
      </c>
    </row>
    <row r="29532" spans="5:9" ht="16.5" hidden="1">
      <c r="E29532" s="4" t="str">
        <v/>
      </c>
      <c r="F29532" s="102" t="str">
        <f ca="1">IFERROR(__xludf.DUMMYFUNCTION("IMPORTRANGE(H29532,""IDENTITAS UNIT!D9"")"),"#N/A")</f>
        <v>#N/A</v>
      </c>
      <c r="H29532" s="4" t="str">
        <v/>
      </c>
      <c r="I29532" s="4" t="str">
        <v/>
      </c>
    </row>
    <row r="29533" spans="5:9" ht="16.5" hidden="1">
      <c r="E29533" s="4" t="str">
        <v/>
      </c>
      <c r="F29533" s="102" t="str">
        <f ca="1">IFERROR(__xludf.DUMMYFUNCTION("IMPORTRANGE(H29533,""IDENTITAS UNIT!D9"")"),"#N/A")</f>
        <v>#N/A</v>
      </c>
      <c r="H29533" s="4" t="str">
        <v/>
      </c>
      <c r="I29533" s="4" t="str">
        <v/>
      </c>
    </row>
    <row r="29534" spans="5:9" ht="16.5" hidden="1">
      <c r="E29534" s="4" t="str">
        <v/>
      </c>
      <c r="F29534" s="102" t="str">
        <f ca="1">IFERROR(__xludf.DUMMYFUNCTION("IMPORTRANGE(H29534,""IDENTITAS UNIT!D9"")"),"#N/A")</f>
        <v>#N/A</v>
      </c>
      <c r="H29534" s="4" t="str">
        <v/>
      </c>
      <c r="I29534" s="4" t="str">
        <v/>
      </c>
    </row>
    <row r="29535" spans="5:9" ht="16.5" hidden="1">
      <c r="E29535" s="4" t="str">
        <v/>
      </c>
      <c r="F29535" s="102" t="str">
        <f ca="1">IFERROR(__xludf.DUMMYFUNCTION("IMPORTRANGE(H29535,""IDENTITAS UNIT!D9"")"),"#N/A")</f>
        <v>#N/A</v>
      </c>
      <c r="H29535" s="4" t="str">
        <v/>
      </c>
      <c r="I29535" s="4" t="str">
        <v/>
      </c>
    </row>
    <row r="29536" spans="5:9" ht="16.5" hidden="1">
      <c r="E29536" s="4" t="str">
        <v/>
      </c>
      <c r="F29536" s="102" t="str">
        <f ca="1">IFERROR(__xludf.DUMMYFUNCTION("IMPORTRANGE(H29536,""IDENTITAS UNIT!D9"")"),"#N/A")</f>
        <v>#N/A</v>
      </c>
      <c r="H29536" s="4" t="str">
        <v/>
      </c>
      <c r="I29536" s="4" t="str">
        <v/>
      </c>
    </row>
    <row r="29537" spans="5:9" ht="16.5" hidden="1">
      <c r="E29537" s="4" t="str">
        <v/>
      </c>
      <c r="F29537" s="102" t="str">
        <f ca="1">IFERROR(__xludf.DUMMYFUNCTION("IMPORTRANGE(H29537,""IDENTITAS UNIT!D9"")"),"#N/A")</f>
        <v>#N/A</v>
      </c>
      <c r="H29537" s="4" t="str">
        <v/>
      </c>
      <c r="I29537" s="4" t="str">
        <v/>
      </c>
    </row>
    <row r="29538" spans="5:9" ht="16.5" hidden="1">
      <c r="E29538" s="4" t="str">
        <v/>
      </c>
      <c r="F29538" s="102" t="str">
        <f ca="1">IFERROR(__xludf.DUMMYFUNCTION("IMPORTRANGE(H29538,""IDENTITAS UNIT!D9"")"),"#N/A")</f>
        <v>#N/A</v>
      </c>
      <c r="H29538" s="4" t="str">
        <v/>
      </c>
      <c r="I29538" s="4" t="str">
        <v/>
      </c>
    </row>
    <row r="29539" spans="5:9" ht="16.5" hidden="1">
      <c r="E29539" s="4" t="str">
        <v/>
      </c>
      <c r="F29539" s="102" t="str">
        <f ca="1">IFERROR(__xludf.DUMMYFUNCTION("IMPORTRANGE(H29539,""IDENTITAS UNIT!D9"")"),"#N/A")</f>
        <v>#N/A</v>
      </c>
      <c r="H29539" s="4" t="str">
        <v/>
      </c>
      <c r="I29539" s="4" t="str">
        <v/>
      </c>
    </row>
    <row r="29540" spans="5:9" ht="16.5" hidden="1">
      <c r="E29540" s="4" t="str">
        <v/>
      </c>
      <c r="F29540" s="102" t="str">
        <f ca="1">IFERROR(__xludf.DUMMYFUNCTION("IMPORTRANGE(H29540,""IDENTITAS UNIT!D9"")"),"#N/A")</f>
        <v>#N/A</v>
      </c>
      <c r="H29540" s="4" t="str">
        <v/>
      </c>
      <c r="I29540" s="4" t="str">
        <v/>
      </c>
    </row>
    <row r="29541" spans="5:9" ht="16.5" hidden="1">
      <c r="E29541" s="4" t="str">
        <v/>
      </c>
      <c r="F29541" s="102" t="str">
        <f ca="1">IFERROR(__xludf.DUMMYFUNCTION("IMPORTRANGE(H29541,""IDENTITAS UNIT!D9"")"),"#N/A")</f>
        <v>#N/A</v>
      </c>
      <c r="H29541" s="4" t="str">
        <v/>
      </c>
      <c r="I29541" s="4" t="str">
        <v/>
      </c>
    </row>
    <row r="29542" spans="5:9" ht="16.5" hidden="1">
      <c r="E29542" s="4" t="str">
        <v/>
      </c>
      <c r="F29542" s="102" t="str">
        <f ca="1">IFERROR(__xludf.DUMMYFUNCTION("IMPORTRANGE(H29542,""IDENTITAS UNIT!D9"")"),"#N/A")</f>
        <v>#N/A</v>
      </c>
      <c r="H29542" s="4" t="str">
        <v/>
      </c>
      <c r="I29542" s="4" t="str">
        <v/>
      </c>
    </row>
    <row r="29543" spans="5:9" ht="16.5" hidden="1">
      <c r="E29543" s="4" t="str">
        <v/>
      </c>
      <c r="F29543" s="102" t="str">
        <f ca="1">IFERROR(__xludf.DUMMYFUNCTION("IMPORTRANGE(H29543,""IDENTITAS UNIT!D9"")"),"#N/A")</f>
        <v>#N/A</v>
      </c>
      <c r="H29543" s="4" t="str">
        <v/>
      </c>
      <c r="I29543" s="4" t="str">
        <v/>
      </c>
    </row>
    <row r="29544" spans="5:9" ht="16.5" hidden="1">
      <c r="E29544" s="4" t="str">
        <v/>
      </c>
      <c r="F29544" s="102" t="str">
        <f ca="1">IFERROR(__xludf.DUMMYFUNCTION("IMPORTRANGE(H29544,""IDENTITAS UNIT!D9"")"),"#N/A")</f>
        <v>#N/A</v>
      </c>
      <c r="H29544" s="4" t="str">
        <v/>
      </c>
      <c r="I29544" s="4" t="str">
        <v/>
      </c>
    </row>
    <row r="29545" spans="5:9" ht="16.5" hidden="1">
      <c r="E29545" s="4" t="str">
        <v/>
      </c>
      <c r="F29545" s="102" t="str">
        <f ca="1">IFERROR(__xludf.DUMMYFUNCTION("IMPORTRANGE(H29545,""IDENTITAS UNIT!D9"")"),"#N/A")</f>
        <v>#N/A</v>
      </c>
      <c r="H29545" s="4" t="str">
        <v/>
      </c>
      <c r="I29545" s="4" t="str">
        <v/>
      </c>
    </row>
    <row r="29546" spans="5:9" ht="16.5" hidden="1">
      <c r="E29546" s="4" t="str">
        <v/>
      </c>
      <c r="F29546" s="102" t="str">
        <f ca="1">IFERROR(__xludf.DUMMYFUNCTION("IMPORTRANGE(H29546,""IDENTITAS UNIT!D9"")"),"#N/A")</f>
        <v>#N/A</v>
      </c>
      <c r="H29546" s="4" t="str">
        <v/>
      </c>
      <c r="I29546" s="4" t="str">
        <v/>
      </c>
    </row>
    <row r="29547" spans="5:9" ht="16.5" hidden="1">
      <c r="E29547" s="4" t="str">
        <v/>
      </c>
      <c r="F29547" s="102" t="str">
        <f ca="1">IFERROR(__xludf.DUMMYFUNCTION("IMPORTRANGE(H29547,""IDENTITAS UNIT!D9"")"),"#N/A")</f>
        <v>#N/A</v>
      </c>
      <c r="H29547" s="4" t="str">
        <v/>
      </c>
      <c r="I29547" s="4" t="str">
        <v/>
      </c>
    </row>
    <row r="29548" spans="5:9" ht="16.5" hidden="1">
      <c r="E29548" s="4" t="str">
        <v/>
      </c>
      <c r="F29548" s="102" t="str">
        <f ca="1">IFERROR(__xludf.DUMMYFUNCTION("IMPORTRANGE(H29548,""IDENTITAS UNIT!D9"")"),"#N/A")</f>
        <v>#N/A</v>
      </c>
      <c r="H29548" s="4" t="str">
        <v/>
      </c>
      <c r="I29548" s="4" t="str">
        <v/>
      </c>
    </row>
    <row r="29549" spans="5:9" ht="16.5" hidden="1">
      <c r="E29549" s="4" t="str">
        <v/>
      </c>
      <c r="F29549" s="102" t="str">
        <f ca="1">IFERROR(__xludf.DUMMYFUNCTION("IMPORTRANGE(H29549,""IDENTITAS UNIT!D9"")"),"#N/A")</f>
        <v>#N/A</v>
      </c>
      <c r="H29549" s="4" t="str">
        <v/>
      </c>
      <c r="I29549" s="4" t="str">
        <v/>
      </c>
    </row>
    <row r="29550" spans="5:9" ht="16.5" hidden="1">
      <c r="E29550" s="4" t="str">
        <v/>
      </c>
      <c r="F29550" s="102" t="str">
        <f ca="1">IFERROR(__xludf.DUMMYFUNCTION("IMPORTRANGE(H29550,""IDENTITAS UNIT!D9"")"),"#N/A")</f>
        <v>#N/A</v>
      </c>
      <c r="H29550" s="4" t="str">
        <v/>
      </c>
      <c r="I29550" s="4" t="str">
        <v/>
      </c>
    </row>
    <row r="29551" spans="5:9" ht="16.5" hidden="1">
      <c r="E29551" s="4" t="str">
        <v/>
      </c>
      <c r="F29551" s="102" t="str">
        <f ca="1">IFERROR(__xludf.DUMMYFUNCTION("IMPORTRANGE(H29551,""IDENTITAS UNIT!D9"")"),"#N/A")</f>
        <v>#N/A</v>
      </c>
      <c r="H29551" s="4" t="str">
        <v/>
      </c>
      <c r="I29551" s="4" t="str">
        <v/>
      </c>
    </row>
    <row r="29552" spans="5:9" ht="16.5" hidden="1">
      <c r="E29552" s="4" t="str">
        <v/>
      </c>
      <c r="F29552" s="102" t="str">
        <f ca="1">IFERROR(__xludf.DUMMYFUNCTION("IMPORTRANGE(H29552,""IDENTITAS UNIT!D9"")"),"#N/A")</f>
        <v>#N/A</v>
      </c>
      <c r="H29552" s="4" t="str">
        <v/>
      </c>
      <c r="I29552" s="4" t="str">
        <v/>
      </c>
    </row>
    <row r="29553" spans="5:9" ht="16.5" hidden="1">
      <c r="E29553" s="4" t="str">
        <v/>
      </c>
      <c r="F29553" s="102" t="str">
        <f ca="1">IFERROR(__xludf.DUMMYFUNCTION("IMPORTRANGE(H29553,""IDENTITAS UNIT!D9"")"),"#N/A")</f>
        <v>#N/A</v>
      </c>
      <c r="H29553" s="4" t="str">
        <v/>
      </c>
      <c r="I29553" s="4" t="str">
        <v/>
      </c>
    </row>
    <row r="29554" spans="5:9" ht="16.5" hidden="1">
      <c r="E29554" s="4" t="str">
        <v/>
      </c>
      <c r="F29554" s="102" t="str">
        <f ca="1">IFERROR(__xludf.DUMMYFUNCTION("IMPORTRANGE(H29554,""IDENTITAS UNIT!D9"")"),"#N/A")</f>
        <v>#N/A</v>
      </c>
      <c r="H29554" s="4" t="str">
        <v/>
      </c>
      <c r="I29554" s="4" t="str">
        <v/>
      </c>
    </row>
    <row r="29555" spans="5:9" ht="16.5" hidden="1">
      <c r="E29555" s="4" t="str">
        <v/>
      </c>
      <c r="F29555" s="102" t="str">
        <f ca="1">IFERROR(__xludf.DUMMYFUNCTION("IMPORTRANGE(H29555,""IDENTITAS UNIT!D9"")"),"#N/A")</f>
        <v>#N/A</v>
      </c>
      <c r="H29555" s="4" t="str">
        <v/>
      </c>
      <c r="I29555" s="4" t="str">
        <v/>
      </c>
    </row>
    <row r="29556" spans="5:9" ht="16.5" hidden="1">
      <c r="E29556" s="4" t="str">
        <v/>
      </c>
      <c r="F29556" s="102" t="str">
        <f ca="1">IFERROR(__xludf.DUMMYFUNCTION("IMPORTRANGE(H29556,""IDENTITAS UNIT!D9"")"),"#N/A")</f>
        <v>#N/A</v>
      </c>
      <c r="H29556" s="4" t="str">
        <v/>
      </c>
      <c r="I29556" s="4" t="str">
        <v/>
      </c>
    </row>
    <row r="29557" spans="5:9" ht="16.5" hidden="1">
      <c r="E29557" s="4" t="str">
        <v/>
      </c>
      <c r="F29557" s="102" t="str">
        <f ca="1">IFERROR(__xludf.DUMMYFUNCTION("IMPORTRANGE(H29557,""IDENTITAS UNIT!D9"")"),"#N/A")</f>
        <v>#N/A</v>
      </c>
      <c r="H29557" s="4" t="str">
        <v/>
      </c>
      <c r="I29557" s="4" t="str">
        <v/>
      </c>
    </row>
    <row r="29558" spans="5:9" ht="16.5" hidden="1">
      <c r="E29558" s="4" t="str">
        <v/>
      </c>
      <c r="F29558" s="102" t="str">
        <f ca="1">IFERROR(__xludf.DUMMYFUNCTION("IMPORTRANGE(H29558,""IDENTITAS UNIT!D9"")"),"#N/A")</f>
        <v>#N/A</v>
      </c>
      <c r="H29558" s="4" t="str">
        <v/>
      </c>
      <c r="I29558" s="4" t="str">
        <v/>
      </c>
    </row>
    <row r="29559" spans="5:9" ht="16.5" hidden="1">
      <c r="E29559" s="4" t="str">
        <v/>
      </c>
      <c r="F29559" s="102" t="str">
        <f ca="1">IFERROR(__xludf.DUMMYFUNCTION("IMPORTRANGE(H29559,""IDENTITAS UNIT!D9"")"),"#N/A")</f>
        <v>#N/A</v>
      </c>
      <c r="H29559" s="4" t="str">
        <v/>
      </c>
      <c r="I29559" s="4" t="str">
        <v/>
      </c>
    </row>
    <row r="29560" spans="5:9" ht="16.5" hidden="1">
      <c r="E29560" s="4" t="str">
        <v/>
      </c>
      <c r="F29560" s="102" t="str">
        <f ca="1">IFERROR(__xludf.DUMMYFUNCTION("IMPORTRANGE(H29560,""IDENTITAS UNIT!D9"")"),"#N/A")</f>
        <v>#N/A</v>
      </c>
      <c r="H29560" s="4" t="str">
        <v/>
      </c>
      <c r="I29560" s="4" t="str">
        <v/>
      </c>
    </row>
    <row r="29561" spans="5:9" ht="16.5" hidden="1">
      <c r="E29561" s="4" t="str">
        <v/>
      </c>
      <c r="F29561" s="102" t="str">
        <f ca="1">IFERROR(__xludf.DUMMYFUNCTION("IMPORTRANGE(H29561,""IDENTITAS UNIT!D9"")"),"#N/A")</f>
        <v>#N/A</v>
      </c>
      <c r="H29561" s="4" t="str">
        <v/>
      </c>
      <c r="I29561" s="4" t="str">
        <v/>
      </c>
    </row>
    <row r="29562" spans="5:9" ht="16.5" hidden="1">
      <c r="E29562" s="4" t="str">
        <v/>
      </c>
      <c r="F29562" s="102" t="str">
        <f ca="1">IFERROR(__xludf.DUMMYFUNCTION("IMPORTRANGE(H29562,""IDENTITAS UNIT!D9"")"),"#N/A")</f>
        <v>#N/A</v>
      </c>
      <c r="H29562" s="4" t="str">
        <v/>
      </c>
      <c r="I29562" s="4" t="str">
        <v/>
      </c>
    </row>
    <row r="29563" spans="5:9" ht="16.5" hidden="1">
      <c r="E29563" s="4" t="str">
        <v/>
      </c>
      <c r="F29563" s="102" t="str">
        <f ca="1">IFERROR(__xludf.DUMMYFUNCTION("IMPORTRANGE(H29563,""IDENTITAS UNIT!D9"")"),"#N/A")</f>
        <v>#N/A</v>
      </c>
      <c r="H29563" s="4" t="str">
        <v/>
      </c>
      <c r="I29563" s="4" t="str">
        <v/>
      </c>
    </row>
    <row r="29564" spans="5:9" ht="16.5" hidden="1">
      <c r="E29564" s="4" t="str">
        <v/>
      </c>
      <c r="F29564" s="102" t="str">
        <f ca="1">IFERROR(__xludf.DUMMYFUNCTION("IMPORTRANGE(H29564,""IDENTITAS UNIT!D9"")"),"#N/A")</f>
        <v>#N/A</v>
      </c>
      <c r="H29564" s="4" t="str">
        <v/>
      </c>
      <c r="I29564" s="4" t="str">
        <v/>
      </c>
    </row>
    <row r="29565" spans="5:9" ht="16.5" hidden="1">
      <c r="E29565" s="4" t="str">
        <v/>
      </c>
      <c r="F29565" s="102" t="str">
        <f ca="1">IFERROR(__xludf.DUMMYFUNCTION("IMPORTRANGE(H29565,""IDENTITAS UNIT!D9"")"),"#N/A")</f>
        <v>#N/A</v>
      </c>
      <c r="H29565" s="4" t="str">
        <v/>
      </c>
      <c r="I29565" s="4" t="str">
        <v/>
      </c>
    </row>
    <row r="29566" spans="5:9" ht="16.5" hidden="1">
      <c r="E29566" s="4" t="str">
        <v/>
      </c>
      <c r="F29566" s="102" t="str">
        <f ca="1">IFERROR(__xludf.DUMMYFUNCTION("IMPORTRANGE(H29566,""IDENTITAS UNIT!D9"")"),"#N/A")</f>
        <v>#N/A</v>
      </c>
      <c r="H29566" s="4" t="str">
        <v/>
      </c>
      <c r="I29566" s="4" t="str">
        <v/>
      </c>
    </row>
    <row r="29567" spans="5:9" ht="16.5" hidden="1">
      <c r="E29567" s="4" t="str">
        <v/>
      </c>
      <c r="F29567" s="102" t="str">
        <f ca="1">IFERROR(__xludf.DUMMYFUNCTION("IMPORTRANGE(H29567,""IDENTITAS UNIT!D9"")"),"#N/A")</f>
        <v>#N/A</v>
      </c>
      <c r="H29567" s="4" t="str">
        <v/>
      </c>
      <c r="I29567" s="4" t="str">
        <v/>
      </c>
    </row>
    <row r="29568" spans="5:9" ht="16.5" hidden="1">
      <c r="E29568" s="4" t="str">
        <v/>
      </c>
      <c r="F29568" s="102" t="str">
        <f ca="1">IFERROR(__xludf.DUMMYFUNCTION("IMPORTRANGE(H29568,""IDENTITAS UNIT!D9"")"),"#N/A")</f>
        <v>#N/A</v>
      </c>
      <c r="H29568" s="4" t="str">
        <v/>
      </c>
      <c r="I29568" s="4" t="str">
        <v/>
      </c>
    </row>
    <row r="29569" spans="5:9" ht="16.5" hidden="1">
      <c r="E29569" s="4" t="str">
        <v/>
      </c>
      <c r="F29569" s="102" t="str">
        <f ca="1">IFERROR(__xludf.DUMMYFUNCTION("IMPORTRANGE(H29569,""IDENTITAS UNIT!D9"")"),"#N/A")</f>
        <v>#N/A</v>
      </c>
      <c r="H29569" s="4" t="str">
        <v/>
      </c>
      <c r="I29569" s="4" t="str">
        <v/>
      </c>
    </row>
    <row r="29570" spans="5:9" ht="16.5" hidden="1">
      <c r="E29570" s="4" t="str">
        <v/>
      </c>
      <c r="F29570" s="102" t="str">
        <f ca="1">IFERROR(__xludf.DUMMYFUNCTION("IMPORTRANGE(H29570,""IDENTITAS UNIT!D9"")"),"#N/A")</f>
        <v>#N/A</v>
      </c>
      <c r="H29570" s="4" t="str">
        <v/>
      </c>
      <c r="I29570" s="4" t="str">
        <v/>
      </c>
    </row>
    <row r="29571" spans="5:9" ht="16.5" hidden="1">
      <c r="E29571" s="4" t="str">
        <v/>
      </c>
      <c r="F29571" s="102" t="str">
        <f ca="1">IFERROR(__xludf.DUMMYFUNCTION("IMPORTRANGE(H29571,""IDENTITAS UNIT!D9"")"),"#N/A")</f>
        <v>#N/A</v>
      </c>
      <c r="H29571" s="4" t="str">
        <v/>
      </c>
      <c r="I29571" s="4" t="str">
        <v/>
      </c>
    </row>
    <row r="29572" spans="5:9" ht="16.5" hidden="1">
      <c r="E29572" s="4" t="str">
        <v/>
      </c>
      <c r="F29572" s="102" t="str">
        <f ca="1">IFERROR(__xludf.DUMMYFUNCTION("IMPORTRANGE(H29572,""IDENTITAS UNIT!D9"")"),"#N/A")</f>
        <v>#N/A</v>
      </c>
      <c r="H29572" s="4" t="str">
        <v/>
      </c>
      <c r="I29572" s="4" t="str">
        <v/>
      </c>
    </row>
    <row r="29573" spans="5:9" ht="16.5" hidden="1">
      <c r="E29573" s="4" t="str">
        <v/>
      </c>
      <c r="F29573" s="102" t="str">
        <f ca="1">IFERROR(__xludf.DUMMYFUNCTION("IMPORTRANGE(H29573,""IDENTITAS UNIT!D9"")"),"#N/A")</f>
        <v>#N/A</v>
      </c>
      <c r="H29573" s="4" t="str">
        <v/>
      </c>
      <c r="I29573" s="4" t="str">
        <v/>
      </c>
    </row>
    <row r="29574" spans="5:9" ht="16.5" hidden="1">
      <c r="E29574" s="4" t="str">
        <v/>
      </c>
      <c r="F29574" s="102" t="str">
        <f ca="1">IFERROR(__xludf.DUMMYFUNCTION("IMPORTRANGE(H29574,""IDENTITAS UNIT!D9"")"),"#N/A")</f>
        <v>#N/A</v>
      </c>
      <c r="H29574" s="4" t="str">
        <v/>
      </c>
      <c r="I29574" s="4" t="str">
        <v/>
      </c>
    </row>
    <row r="29575" spans="5:9" ht="16.5" hidden="1">
      <c r="E29575" s="4" t="str">
        <v/>
      </c>
      <c r="F29575" s="102" t="str">
        <f ca="1">IFERROR(__xludf.DUMMYFUNCTION("IMPORTRANGE(H29575,""IDENTITAS UNIT!D9"")"),"#N/A")</f>
        <v>#N/A</v>
      </c>
      <c r="H29575" s="4" t="str">
        <v/>
      </c>
      <c r="I29575" s="4" t="str">
        <v/>
      </c>
    </row>
    <row r="29576" spans="5:9" ht="16.5" hidden="1">
      <c r="E29576" s="4" t="str">
        <v/>
      </c>
      <c r="F29576" s="102" t="str">
        <f ca="1">IFERROR(__xludf.DUMMYFUNCTION("IMPORTRANGE(H29576,""IDENTITAS UNIT!D9"")"),"#N/A")</f>
        <v>#N/A</v>
      </c>
      <c r="H29576" s="4" t="str">
        <v/>
      </c>
      <c r="I29576" s="4" t="str">
        <v/>
      </c>
    </row>
    <row r="29577" spans="5:9" ht="16.5" hidden="1">
      <c r="E29577" s="4" t="str">
        <v/>
      </c>
      <c r="F29577" s="102" t="str">
        <f ca="1">IFERROR(__xludf.DUMMYFUNCTION("IMPORTRANGE(H29577,""IDENTITAS UNIT!D9"")"),"#N/A")</f>
        <v>#N/A</v>
      </c>
      <c r="H29577" s="4" t="str">
        <v/>
      </c>
      <c r="I29577" s="4" t="str">
        <v/>
      </c>
    </row>
    <row r="29578" spans="5:9" ht="16.5" hidden="1">
      <c r="E29578" s="4" t="str">
        <v/>
      </c>
      <c r="F29578" s="102" t="str">
        <f ca="1">IFERROR(__xludf.DUMMYFUNCTION("IMPORTRANGE(H29578,""IDENTITAS UNIT!D9"")"),"#N/A")</f>
        <v>#N/A</v>
      </c>
      <c r="H29578" s="4" t="str">
        <v/>
      </c>
      <c r="I29578" s="4" t="str">
        <v/>
      </c>
    </row>
    <row r="29579" spans="5:9" ht="16.5" hidden="1">
      <c r="E29579" s="4" t="str">
        <v/>
      </c>
      <c r="F29579" s="102" t="str">
        <f ca="1">IFERROR(__xludf.DUMMYFUNCTION("IMPORTRANGE(H29579,""IDENTITAS UNIT!D9"")"),"#N/A")</f>
        <v>#N/A</v>
      </c>
      <c r="H29579" s="4" t="str">
        <v/>
      </c>
      <c r="I29579" s="4" t="str">
        <v/>
      </c>
    </row>
    <row r="29580" spans="5:9" ht="16.5" hidden="1">
      <c r="E29580" s="4" t="str">
        <v/>
      </c>
      <c r="F29580" s="102" t="str">
        <f ca="1">IFERROR(__xludf.DUMMYFUNCTION("IMPORTRANGE(H29580,""IDENTITAS UNIT!D9"")"),"#N/A")</f>
        <v>#N/A</v>
      </c>
      <c r="H29580" s="4" t="str">
        <v/>
      </c>
      <c r="I29580" s="4" t="str">
        <v/>
      </c>
    </row>
    <row r="29581" spans="5:9" ht="16.5" hidden="1">
      <c r="E29581" s="4" t="str">
        <v/>
      </c>
      <c r="F29581" s="102" t="str">
        <f ca="1">IFERROR(__xludf.DUMMYFUNCTION("IMPORTRANGE(H29581,""IDENTITAS UNIT!D9"")"),"#N/A")</f>
        <v>#N/A</v>
      </c>
      <c r="H29581" s="4" t="str">
        <v/>
      </c>
      <c r="I29581" s="4" t="str">
        <v/>
      </c>
    </row>
    <row r="29582" spans="5:9" ht="16.5" hidden="1">
      <c r="E29582" s="4" t="str">
        <v/>
      </c>
      <c r="F29582" s="102" t="str">
        <f ca="1">IFERROR(__xludf.DUMMYFUNCTION("IMPORTRANGE(H29582,""IDENTITAS UNIT!D9"")"),"#N/A")</f>
        <v>#N/A</v>
      </c>
      <c r="H29582" s="4" t="str">
        <v/>
      </c>
      <c r="I29582" s="4" t="str">
        <v/>
      </c>
    </row>
    <row r="29583" spans="5:9" ht="16.5" hidden="1">
      <c r="E29583" s="4" t="str">
        <v/>
      </c>
      <c r="F29583" s="102" t="str">
        <f ca="1">IFERROR(__xludf.DUMMYFUNCTION("IMPORTRANGE(H29583,""IDENTITAS UNIT!D9"")"),"#N/A")</f>
        <v>#N/A</v>
      </c>
      <c r="H29583" s="4" t="str">
        <v/>
      </c>
      <c r="I29583" s="4" t="str">
        <v/>
      </c>
    </row>
    <row r="29584" spans="5:9" ht="16.5" hidden="1">
      <c r="E29584" s="4" t="str">
        <v/>
      </c>
      <c r="F29584" s="102" t="str">
        <f ca="1">IFERROR(__xludf.DUMMYFUNCTION("IMPORTRANGE(H29584,""IDENTITAS UNIT!D9"")"),"#N/A")</f>
        <v>#N/A</v>
      </c>
      <c r="H29584" s="4" t="str">
        <v/>
      </c>
      <c r="I29584" s="4" t="str">
        <v/>
      </c>
    </row>
    <row r="29585" spans="5:9" ht="16.5" hidden="1">
      <c r="E29585" s="4" t="str">
        <v/>
      </c>
      <c r="F29585" s="102" t="str">
        <f ca="1">IFERROR(__xludf.DUMMYFUNCTION("IMPORTRANGE(H29585,""IDENTITAS UNIT!D9"")"),"#N/A")</f>
        <v>#N/A</v>
      </c>
      <c r="H29585" s="4" t="str">
        <v/>
      </c>
      <c r="I29585" s="4" t="str">
        <v/>
      </c>
    </row>
    <row r="29586" spans="5:9" ht="16.5" hidden="1">
      <c r="E29586" s="4" t="str">
        <v/>
      </c>
      <c r="F29586" s="102" t="str">
        <f ca="1">IFERROR(__xludf.DUMMYFUNCTION("IMPORTRANGE(H29586,""IDENTITAS UNIT!D9"")"),"#N/A")</f>
        <v>#N/A</v>
      </c>
      <c r="H29586" s="4" t="str">
        <v/>
      </c>
      <c r="I29586" s="4" t="str">
        <v/>
      </c>
    </row>
    <row r="29587" spans="5:9" ht="16.5" hidden="1">
      <c r="E29587" s="4" t="str">
        <v/>
      </c>
      <c r="F29587" s="102" t="str">
        <f ca="1">IFERROR(__xludf.DUMMYFUNCTION("IMPORTRANGE(H29587,""IDENTITAS UNIT!D9"")"),"#N/A")</f>
        <v>#N/A</v>
      </c>
      <c r="H29587" s="4" t="str">
        <v/>
      </c>
      <c r="I29587" s="4" t="str">
        <v/>
      </c>
    </row>
    <row r="29588" spans="5:9" ht="16.5" hidden="1">
      <c r="E29588" s="4" t="str">
        <v/>
      </c>
      <c r="F29588" s="102" t="str">
        <f ca="1">IFERROR(__xludf.DUMMYFUNCTION("IMPORTRANGE(H29588,""IDENTITAS UNIT!D9"")"),"#N/A")</f>
        <v>#N/A</v>
      </c>
      <c r="H29588" s="4" t="str">
        <v/>
      </c>
      <c r="I29588" s="4" t="str">
        <v/>
      </c>
    </row>
    <row r="29589" spans="5:9" ht="16.5" hidden="1">
      <c r="E29589" s="4" t="str">
        <v/>
      </c>
      <c r="F29589" s="102" t="str">
        <f ca="1">IFERROR(__xludf.DUMMYFUNCTION("IMPORTRANGE(H29589,""IDENTITAS UNIT!D9"")"),"#N/A")</f>
        <v>#N/A</v>
      </c>
      <c r="H29589" s="4" t="str">
        <v/>
      </c>
      <c r="I29589" s="4" t="str">
        <v/>
      </c>
    </row>
    <row r="29590" spans="5:9" ht="16.5" hidden="1">
      <c r="E29590" s="4" t="str">
        <v/>
      </c>
      <c r="F29590" s="102" t="str">
        <f ca="1">IFERROR(__xludf.DUMMYFUNCTION("IMPORTRANGE(H29590,""IDENTITAS UNIT!D9"")"),"#N/A")</f>
        <v>#N/A</v>
      </c>
      <c r="H29590" s="4" t="str">
        <v/>
      </c>
      <c r="I29590" s="4" t="str">
        <v/>
      </c>
    </row>
    <row r="29591" spans="5:9" ht="16.5" hidden="1">
      <c r="E29591" s="4" t="str">
        <v/>
      </c>
      <c r="F29591" s="102" t="str">
        <f ca="1">IFERROR(__xludf.DUMMYFUNCTION("IMPORTRANGE(H29591,""IDENTITAS UNIT!D9"")"),"#N/A")</f>
        <v>#N/A</v>
      </c>
      <c r="H29591" s="4" t="str">
        <v/>
      </c>
      <c r="I29591" s="4" t="str">
        <v/>
      </c>
    </row>
    <row r="29592" spans="5:9" ht="16.5" hidden="1">
      <c r="E29592" s="4" t="str">
        <v/>
      </c>
      <c r="F29592" s="102" t="str">
        <f ca="1">IFERROR(__xludf.DUMMYFUNCTION("IMPORTRANGE(H29592,""IDENTITAS UNIT!D9"")"),"#N/A")</f>
        <v>#N/A</v>
      </c>
      <c r="H29592" s="4" t="str">
        <v/>
      </c>
      <c r="I29592" s="4" t="str">
        <v/>
      </c>
    </row>
    <row r="29593" spans="5:9" ht="16.5" hidden="1">
      <c r="E29593" s="4" t="str">
        <v/>
      </c>
      <c r="F29593" s="102" t="str">
        <f ca="1">IFERROR(__xludf.DUMMYFUNCTION("IMPORTRANGE(H29593,""IDENTITAS UNIT!D9"")"),"#N/A")</f>
        <v>#N/A</v>
      </c>
      <c r="H29593" s="4" t="str">
        <v/>
      </c>
      <c r="I29593" s="4" t="str">
        <v/>
      </c>
    </row>
    <row r="29594" spans="5:9" ht="16.5" hidden="1">
      <c r="E29594" s="4" t="str">
        <v/>
      </c>
      <c r="F29594" s="102" t="str">
        <f ca="1">IFERROR(__xludf.DUMMYFUNCTION("IMPORTRANGE(H29594,""IDENTITAS UNIT!D9"")"),"#N/A")</f>
        <v>#N/A</v>
      </c>
      <c r="H29594" s="4" t="str">
        <v/>
      </c>
      <c r="I29594" s="4" t="str">
        <v/>
      </c>
    </row>
    <row r="29595" spans="5:9" ht="16.5" hidden="1">
      <c r="E29595" s="4" t="str">
        <v/>
      </c>
      <c r="F29595" s="102" t="str">
        <f ca="1">IFERROR(__xludf.DUMMYFUNCTION("IMPORTRANGE(H29595,""IDENTITAS UNIT!D9"")"),"#N/A")</f>
        <v>#N/A</v>
      </c>
      <c r="H29595" s="4" t="str">
        <v/>
      </c>
      <c r="I29595" s="4" t="str">
        <v/>
      </c>
    </row>
    <row r="29596" spans="5:9" ht="16.5" hidden="1">
      <c r="E29596" s="4" t="str">
        <v/>
      </c>
      <c r="F29596" s="102" t="str">
        <f ca="1">IFERROR(__xludf.DUMMYFUNCTION("IMPORTRANGE(H29596,""IDENTITAS UNIT!D9"")"),"#N/A")</f>
        <v>#N/A</v>
      </c>
      <c r="H29596" s="4" t="str">
        <v/>
      </c>
      <c r="I29596" s="4" t="str">
        <v/>
      </c>
    </row>
    <row r="29597" spans="5:9" ht="16.5" hidden="1">
      <c r="E29597" s="4" t="str">
        <v/>
      </c>
      <c r="F29597" s="102" t="str">
        <f ca="1">IFERROR(__xludf.DUMMYFUNCTION("IMPORTRANGE(H29597,""IDENTITAS UNIT!D9"")"),"#N/A")</f>
        <v>#N/A</v>
      </c>
      <c r="H29597" s="4" t="str">
        <v/>
      </c>
      <c r="I29597" s="4" t="str">
        <v/>
      </c>
    </row>
    <row r="29598" spans="5:9" ht="16.5" hidden="1">
      <c r="E29598" s="4" t="str">
        <v/>
      </c>
      <c r="F29598" s="102" t="str">
        <f ca="1">IFERROR(__xludf.DUMMYFUNCTION("IMPORTRANGE(H29598,""IDENTITAS UNIT!D9"")"),"#N/A")</f>
        <v>#N/A</v>
      </c>
      <c r="H29598" s="4" t="str">
        <v/>
      </c>
      <c r="I29598" s="4" t="str">
        <v/>
      </c>
    </row>
    <row r="29599" spans="5:9" ht="16.5" hidden="1">
      <c r="E29599" s="4" t="str">
        <v/>
      </c>
      <c r="F29599" s="102" t="str">
        <f ca="1">IFERROR(__xludf.DUMMYFUNCTION("IMPORTRANGE(H29599,""IDENTITAS UNIT!D9"")"),"#N/A")</f>
        <v>#N/A</v>
      </c>
      <c r="H29599" s="4" t="str">
        <v/>
      </c>
      <c r="I29599" s="4" t="str">
        <v/>
      </c>
    </row>
    <row r="29600" spans="5:9" ht="16.5" hidden="1">
      <c r="E29600" s="4" t="str">
        <v/>
      </c>
      <c r="F29600" s="102" t="str">
        <f ca="1">IFERROR(__xludf.DUMMYFUNCTION("IMPORTRANGE(H29600,""IDENTITAS UNIT!D9"")"),"#N/A")</f>
        <v>#N/A</v>
      </c>
      <c r="H29600" s="4" t="str">
        <v/>
      </c>
      <c r="I29600" s="4" t="str">
        <v/>
      </c>
    </row>
    <row r="29601" spans="5:9" ht="16.5" hidden="1">
      <c r="E29601" s="4" t="str">
        <v/>
      </c>
      <c r="F29601" s="102" t="str">
        <f ca="1">IFERROR(__xludf.DUMMYFUNCTION("IMPORTRANGE(H29601,""IDENTITAS UNIT!D9"")"),"#N/A")</f>
        <v>#N/A</v>
      </c>
      <c r="H29601" s="4" t="str">
        <v/>
      </c>
      <c r="I29601" s="4" t="str">
        <v/>
      </c>
    </row>
    <row r="29602" spans="5:9" ht="16.5" hidden="1">
      <c r="E29602" s="4" t="str">
        <v/>
      </c>
      <c r="F29602" s="102" t="str">
        <f ca="1">IFERROR(__xludf.DUMMYFUNCTION("IMPORTRANGE(H29602,""IDENTITAS UNIT!D9"")"),"#N/A")</f>
        <v>#N/A</v>
      </c>
      <c r="H29602" s="4" t="str">
        <v/>
      </c>
      <c r="I29602" s="4" t="str">
        <v/>
      </c>
    </row>
    <row r="29603" spans="5:9" ht="16.5" hidden="1">
      <c r="E29603" s="4" t="str">
        <v/>
      </c>
      <c r="F29603" s="102" t="str">
        <f ca="1">IFERROR(__xludf.DUMMYFUNCTION("IMPORTRANGE(H29603,""IDENTITAS UNIT!D9"")"),"#N/A")</f>
        <v>#N/A</v>
      </c>
      <c r="H29603" s="4" t="str">
        <v/>
      </c>
      <c r="I29603" s="4" t="str">
        <v/>
      </c>
    </row>
    <row r="29604" spans="5:9" ht="16.5" hidden="1">
      <c r="E29604" s="4" t="str">
        <v/>
      </c>
      <c r="F29604" s="102" t="str">
        <f ca="1">IFERROR(__xludf.DUMMYFUNCTION("IMPORTRANGE(H29604,""IDENTITAS UNIT!D9"")"),"#N/A")</f>
        <v>#N/A</v>
      </c>
      <c r="H29604" s="4" t="str">
        <v/>
      </c>
      <c r="I29604" s="4" t="str">
        <v/>
      </c>
    </row>
    <row r="29605" spans="5:9" ht="16.5" hidden="1">
      <c r="E29605" s="4" t="str">
        <v/>
      </c>
      <c r="F29605" s="102" t="str">
        <f ca="1">IFERROR(__xludf.DUMMYFUNCTION("IMPORTRANGE(H29605,""IDENTITAS UNIT!D9"")"),"#N/A")</f>
        <v>#N/A</v>
      </c>
      <c r="H29605" s="4" t="str">
        <v/>
      </c>
      <c r="I29605" s="4" t="str">
        <v/>
      </c>
    </row>
    <row r="29606" spans="5:9" ht="16.5" hidden="1">
      <c r="E29606" s="4" t="str">
        <v/>
      </c>
      <c r="F29606" s="102" t="str">
        <f ca="1">IFERROR(__xludf.DUMMYFUNCTION("IMPORTRANGE(H29606,""IDENTITAS UNIT!D9"")"),"#N/A")</f>
        <v>#N/A</v>
      </c>
      <c r="H29606" s="4" t="str">
        <v/>
      </c>
      <c r="I29606" s="4" t="str">
        <v/>
      </c>
    </row>
    <row r="29607" spans="5:9" ht="16.5" hidden="1">
      <c r="E29607" s="4" t="str">
        <v/>
      </c>
      <c r="F29607" s="102" t="str">
        <f ca="1">IFERROR(__xludf.DUMMYFUNCTION("IMPORTRANGE(H29607,""IDENTITAS UNIT!D9"")"),"#N/A")</f>
        <v>#N/A</v>
      </c>
      <c r="H29607" s="4" t="str">
        <v/>
      </c>
      <c r="I29607" s="4" t="str">
        <v/>
      </c>
    </row>
    <row r="29608" spans="5:9" ht="16.5" hidden="1">
      <c r="E29608" s="4" t="str">
        <v/>
      </c>
      <c r="F29608" s="102" t="str">
        <f ca="1">IFERROR(__xludf.DUMMYFUNCTION("IMPORTRANGE(H29608,""IDENTITAS UNIT!D9"")"),"#N/A")</f>
        <v>#N/A</v>
      </c>
      <c r="H29608" s="4" t="str">
        <v/>
      </c>
      <c r="I29608" s="4" t="str">
        <v/>
      </c>
    </row>
    <row r="29609" spans="5:9" ht="16.5" hidden="1">
      <c r="E29609" s="4" t="str">
        <v/>
      </c>
      <c r="F29609" s="102" t="str">
        <f ca="1">IFERROR(__xludf.DUMMYFUNCTION("IMPORTRANGE(H29609,""IDENTITAS UNIT!D9"")"),"#N/A")</f>
        <v>#N/A</v>
      </c>
      <c r="H29609" s="4" t="str">
        <v/>
      </c>
      <c r="I29609" s="4" t="str">
        <v/>
      </c>
    </row>
    <row r="29610" spans="5:9" ht="16.5" hidden="1">
      <c r="E29610" s="4" t="str">
        <v/>
      </c>
      <c r="F29610" s="102" t="str">
        <f ca="1">IFERROR(__xludf.DUMMYFUNCTION("IMPORTRANGE(H29610,""IDENTITAS UNIT!D9"")"),"#N/A")</f>
        <v>#N/A</v>
      </c>
      <c r="H29610" s="4" t="str">
        <v/>
      </c>
      <c r="I29610" s="4" t="str">
        <v/>
      </c>
    </row>
    <row r="29611" spans="5:9" ht="16.5" hidden="1">
      <c r="E29611" s="4" t="str">
        <v/>
      </c>
      <c r="F29611" s="102" t="str">
        <f ca="1">IFERROR(__xludf.DUMMYFUNCTION("IMPORTRANGE(H29611,""IDENTITAS UNIT!D9"")"),"#N/A")</f>
        <v>#N/A</v>
      </c>
      <c r="H29611" s="4" t="str">
        <v/>
      </c>
      <c r="I29611" s="4" t="str">
        <v/>
      </c>
    </row>
    <row r="29612" spans="5:9" ht="16.5" hidden="1">
      <c r="E29612" s="4" t="str">
        <v/>
      </c>
      <c r="F29612" s="102" t="str">
        <f ca="1">IFERROR(__xludf.DUMMYFUNCTION("IMPORTRANGE(H29612,""IDENTITAS UNIT!D9"")"),"#N/A")</f>
        <v>#N/A</v>
      </c>
      <c r="H29612" s="4" t="str">
        <v/>
      </c>
      <c r="I29612" s="4" t="str">
        <v/>
      </c>
    </row>
    <row r="29613" spans="5:9" ht="16.5" hidden="1">
      <c r="E29613" s="4" t="str">
        <v/>
      </c>
      <c r="F29613" s="102" t="str">
        <f ca="1">IFERROR(__xludf.DUMMYFUNCTION("IMPORTRANGE(H29613,""IDENTITAS UNIT!D9"")"),"#N/A")</f>
        <v>#N/A</v>
      </c>
      <c r="H29613" s="4" t="str">
        <v/>
      </c>
      <c r="I29613" s="4" t="str">
        <v/>
      </c>
    </row>
    <row r="29614" spans="5:9" ht="16.5" hidden="1">
      <c r="E29614" s="4" t="str">
        <v/>
      </c>
      <c r="F29614" s="102" t="str">
        <f ca="1">IFERROR(__xludf.DUMMYFUNCTION("IMPORTRANGE(H29614,""IDENTITAS UNIT!D9"")"),"#N/A")</f>
        <v>#N/A</v>
      </c>
      <c r="H29614" s="4" t="str">
        <v/>
      </c>
      <c r="I29614" s="4" t="str">
        <v/>
      </c>
    </row>
    <row r="29615" spans="5:9" ht="16.5" hidden="1">
      <c r="E29615" s="4" t="str">
        <v/>
      </c>
      <c r="F29615" s="102" t="str">
        <f ca="1">IFERROR(__xludf.DUMMYFUNCTION("IMPORTRANGE(H29615,""IDENTITAS UNIT!D9"")"),"#N/A")</f>
        <v>#N/A</v>
      </c>
      <c r="H29615" s="4" t="str">
        <v/>
      </c>
      <c r="I29615" s="4" t="str">
        <v/>
      </c>
    </row>
    <row r="29616" spans="5:9" ht="16.5" hidden="1">
      <c r="E29616" s="4" t="str">
        <v/>
      </c>
      <c r="F29616" s="102" t="str">
        <f ca="1">IFERROR(__xludf.DUMMYFUNCTION("IMPORTRANGE(H29616,""IDENTITAS UNIT!D9"")"),"#N/A")</f>
        <v>#N/A</v>
      </c>
      <c r="H29616" s="4" t="str">
        <v/>
      </c>
      <c r="I29616" s="4" t="str">
        <v/>
      </c>
    </row>
    <row r="29617" spans="5:9" ht="16.5" hidden="1">
      <c r="E29617" s="4" t="str">
        <v/>
      </c>
      <c r="F29617" s="102" t="str">
        <f ca="1">IFERROR(__xludf.DUMMYFUNCTION("IMPORTRANGE(H29617,""IDENTITAS UNIT!D9"")"),"#N/A")</f>
        <v>#N/A</v>
      </c>
      <c r="H29617" s="4" t="str">
        <v/>
      </c>
      <c r="I29617" s="4" t="str">
        <v/>
      </c>
    </row>
    <row r="29618" spans="5:9" ht="16.5" hidden="1">
      <c r="E29618" s="4" t="str">
        <v/>
      </c>
      <c r="F29618" s="102" t="str">
        <f ca="1">IFERROR(__xludf.DUMMYFUNCTION("IMPORTRANGE(H29618,""IDENTITAS UNIT!D9"")"),"#N/A")</f>
        <v>#N/A</v>
      </c>
      <c r="H29618" s="4" t="str">
        <v/>
      </c>
      <c r="I29618" s="4" t="str">
        <v/>
      </c>
    </row>
    <row r="29619" spans="5:9" ht="16.5" hidden="1">
      <c r="E29619" s="4" t="str">
        <v/>
      </c>
      <c r="F29619" s="102" t="str">
        <f ca="1">IFERROR(__xludf.DUMMYFUNCTION("IMPORTRANGE(H29619,""IDENTITAS UNIT!D9"")"),"#N/A")</f>
        <v>#N/A</v>
      </c>
      <c r="H29619" s="4" t="str">
        <v/>
      </c>
      <c r="I29619" s="4" t="str">
        <v/>
      </c>
    </row>
    <row r="29620" spans="5:9" ht="16.5" hidden="1">
      <c r="E29620" s="4" t="str">
        <v/>
      </c>
      <c r="F29620" s="102" t="str">
        <f ca="1">IFERROR(__xludf.DUMMYFUNCTION("IMPORTRANGE(H29620,""IDENTITAS UNIT!D9"")"),"#N/A")</f>
        <v>#N/A</v>
      </c>
      <c r="H29620" s="4" t="str">
        <v/>
      </c>
      <c r="I29620" s="4" t="str">
        <v/>
      </c>
    </row>
    <row r="29621" spans="5:9" ht="16.5" hidden="1">
      <c r="E29621" s="4" t="str">
        <v/>
      </c>
      <c r="F29621" s="102" t="str">
        <f ca="1">IFERROR(__xludf.DUMMYFUNCTION("IMPORTRANGE(H29621,""IDENTITAS UNIT!D9"")"),"#N/A")</f>
        <v>#N/A</v>
      </c>
      <c r="H29621" s="4" t="str">
        <v/>
      </c>
      <c r="I29621" s="4" t="str">
        <v/>
      </c>
    </row>
    <row r="29622" spans="5:9" ht="16.5" hidden="1">
      <c r="E29622" s="4" t="str">
        <v/>
      </c>
      <c r="F29622" s="102" t="str">
        <f ca="1">IFERROR(__xludf.DUMMYFUNCTION("IMPORTRANGE(H29622,""IDENTITAS UNIT!D9"")"),"#N/A")</f>
        <v>#N/A</v>
      </c>
      <c r="H29622" s="4" t="str">
        <v/>
      </c>
      <c r="I29622" s="4" t="str">
        <v/>
      </c>
    </row>
    <row r="29623" spans="5:9" ht="16.5" hidden="1">
      <c r="E29623" s="4" t="str">
        <v/>
      </c>
      <c r="F29623" s="102" t="str">
        <f ca="1">IFERROR(__xludf.DUMMYFUNCTION("IMPORTRANGE(H29623,""IDENTITAS UNIT!D9"")"),"#N/A")</f>
        <v>#N/A</v>
      </c>
      <c r="H29623" s="4" t="str">
        <v/>
      </c>
      <c r="I29623" s="4" t="str">
        <v/>
      </c>
    </row>
    <row r="29624" spans="5:9" ht="16.5" hidden="1">
      <c r="E29624" s="4" t="str">
        <v/>
      </c>
      <c r="F29624" s="102" t="str">
        <f ca="1">IFERROR(__xludf.DUMMYFUNCTION("IMPORTRANGE(H29624,""IDENTITAS UNIT!D9"")"),"#N/A")</f>
        <v>#N/A</v>
      </c>
      <c r="H29624" s="4" t="str">
        <v/>
      </c>
      <c r="I29624" s="4" t="str">
        <v/>
      </c>
    </row>
    <row r="29625" spans="5:9" ht="16.5" hidden="1">
      <c r="E29625" s="4" t="str">
        <v/>
      </c>
      <c r="F29625" s="102" t="str">
        <f ca="1">IFERROR(__xludf.DUMMYFUNCTION("IMPORTRANGE(H29625,""IDENTITAS UNIT!D9"")"),"#N/A")</f>
        <v>#N/A</v>
      </c>
      <c r="H29625" s="4" t="str">
        <v/>
      </c>
      <c r="I29625" s="4" t="str">
        <v/>
      </c>
    </row>
    <row r="29626" spans="5:9" ht="16.5" hidden="1">
      <c r="E29626" s="4" t="str">
        <v/>
      </c>
      <c r="F29626" s="102" t="str">
        <f ca="1">IFERROR(__xludf.DUMMYFUNCTION("IMPORTRANGE(H29626,""IDENTITAS UNIT!D9"")"),"#N/A")</f>
        <v>#N/A</v>
      </c>
      <c r="H29626" s="4" t="str">
        <v/>
      </c>
      <c r="I29626" s="4" t="str">
        <v/>
      </c>
    </row>
    <row r="29627" spans="5:9" ht="16.5" hidden="1">
      <c r="E29627" s="4" t="str">
        <v/>
      </c>
      <c r="F29627" s="102" t="str">
        <f ca="1">IFERROR(__xludf.DUMMYFUNCTION("IMPORTRANGE(H29627,""IDENTITAS UNIT!D9"")"),"#N/A")</f>
        <v>#N/A</v>
      </c>
      <c r="H29627" s="4" t="str">
        <v/>
      </c>
      <c r="I29627" s="4" t="str">
        <v/>
      </c>
    </row>
    <row r="29628" spans="5:9" ht="16.5" hidden="1">
      <c r="E29628" s="4" t="str">
        <v/>
      </c>
      <c r="F29628" s="102" t="str">
        <f ca="1">IFERROR(__xludf.DUMMYFUNCTION("IMPORTRANGE(H29628,""IDENTITAS UNIT!D9"")"),"#N/A")</f>
        <v>#N/A</v>
      </c>
      <c r="H29628" s="4" t="str">
        <v/>
      </c>
      <c r="I29628" s="4" t="str">
        <v/>
      </c>
    </row>
    <row r="29629" spans="5:9" ht="16.5" hidden="1">
      <c r="E29629" s="4" t="str">
        <v/>
      </c>
      <c r="F29629" s="102" t="str">
        <f ca="1">IFERROR(__xludf.DUMMYFUNCTION("IMPORTRANGE(H29629,""IDENTITAS UNIT!D9"")"),"#N/A")</f>
        <v>#N/A</v>
      </c>
      <c r="H29629" s="4" t="str">
        <v/>
      </c>
      <c r="I29629" s="4" t="str">
        <v/>
      </c>
    </row>
    <row r="29630" spans="5:9" ht="16.5" hidden="1">
      <c r="E29630" s="4" t="str">
        <v/>
      </c>
      <c r="F29630" s="102" t="str">
        <f ca="1">IFERROR(__xludf.DUMMYFUNCTION("IMPORTRANGE(H29630,""IDENTITAS UNIT!D9"")"),"#N/A")</f>
        <v>#N/A</v>
      </c>
      <c r="H29630" s="4" t="str">
        <v/>
      </c>
      <c r="I29630" s="4" t="str">
        <v/>
      </c>
    </row>
    <row r="29631" spans="5:9" ht="16.5" hidden="1">
      <c r="E29631" s="4" t="str">
        <v/>
      </c>
      <c r="F29631" s="102" t="str">
        <f ca="1">IFERROR(__xludf.DUMMYFUNCTION("IMPORTRANGE(H29631,""IDENTITAS UNIT!D9"")"),"#N/A")</f>
        <v>#N/A</v>
      </c>
      <c r="H29631" s="4" t="str">
        <v/>
      </c>
      <c r="I29631" s="4" t="str">
        <v/>
      </c>
    </row>
    <row r="29632" spans="5:9" ht="16.5" hidden="1">
      <c r="E29632" s="4" t="str">
        <v/>
      </c>
      <c r="F29632" s="102" t="str">
        <f ca="1">IFERROR(__xludf.DUMMYFUNCTION("IMPORTRANGE(H29632,""IDENTITAS UNIT!D9"")"),"#N/A")</f>
        <v>#N/A</v>
      </c>
      <c r="H29632" s="4" t="str">
        <v/>
      </c>
      <c r="I29632" s="4" t="str">
        <v/>
      </c>
    </row>
    <row r="29633" spans="5:9" ht="16.5" hidden="1">
      <c r="E29633" s="4" t="str">
        <v/>
      </c>
      <c r="F29633" s="102" t="str">
        <f ca="1">IFERROR(__xludf.DUMMYFUNCTION("IMPORTRANGE(H29633,""IDENTITAS UNIT!D9"")"),"#N/A")</f>
        <v>#N/A</v>
      </c>
      <c r="H29633" s="4" t="str">
        <v/>
      </c>
      <c r="I29633" s="4" t="str">
        <v/>
      </c>
    </row>
    <row r="29634" spans="5:9" ht="16.5" hidden="1">
      <c r="E29634" s="4" t="str">
        <v/>
      </c>
      <c r="F29634" s="102" t="str">
        <f ca="1">IFERROR(__xludf.DUMMYFUNCTION("IMPORTRANGE(H29634,""IDENTITAS UNIT!D9"")"),"#N/A")</f>
        <v>#N/A</v>
      </c>
      <c r="H29634" s="4" t="str">
        <v/>
      </c>
      <c r="I29634" s="4" t="str">
        <v/>
      </c>
    </row>
    <row r="29635" spans="5:9" ht="16.5" hidden="1">
      <c r="E29635" s="4" t="str">
        <v/>
      </c>
      <c r="F29635" s="102" t="str">
        <f ca="1">IFERROR(__xludf.DUMMYFUNCTION("IMPORTRANGE(H29635,""IDENTITAS UNIT!D9"")"),"#N/A")</f>
        <v>#N/A</v>
      </c>
      <c r="H29635" s="4" t="str">
        <v/>
      </c>
      <c r="I29635" s="4" t="str">
        <v/>
      </c>
    </row>
    <row r="29636" spans="5:9" ht="16.5" hidden="1">
      <c r="E29636" s="4" t="str">
        <v/>
      </c>
      <c r="F29636" s="102" t="str">
        <f ca="1">IFERROR(__xludf.DUMMYFUNCTION("IMPORTRANGE(H29636,""IDENTITAS UNIT!D9"")"),"#N/A")</f>
        <v>#N/A</v>
      </c>
      <c r="H29636" s="4" t="str">
        <v/>
      </c>
      <c r="I29636" s="4" t="str">
        <v/>
      </c>
    </row>
    <row r="29637" spans="5:9" ht="16.5" hidden="1">
      <c r="E29637" s="4" t="str">
        <v/>
      </c>
      <c r="F29637" s="102" t="str">
        <f ca="1">IFERROR(__xludf.DUMMYFUNCTION("IMPORTRANGE(H29637,""IDENTITAS UNIT!D9"")"),"#N/A")</f>
        <v>#N/A</v>
      </c>
      <c r="H29637" s="4" t="str">
        <v/>
      </c>
      <c r="I29637" s="4" t="str">
        <v/>
      </c>
    </row>
    <row r="29638" spans="5:9" ht="16.5" hidden="1">
      <c r="E29638" s="4" t="str">
        <v/>
      </c>
      <c r="F29638" s="102" t="str">
        <f ca="1">IFERROR(__xludf.DUMMYFUNCTION("IMPORTRANGE(H29638,""IDENTITAS UNIT!D9"")"),"#N/A")</f>
        <v>#N/A</v>
      </c>
      <c r="H29638" s="4" t="str">
        <v/>
      </c>
      <c r="I29638" s="4" t="str">
        <v/>
      </c>
    </row>
    <row r="29639" spans="5:9" ht="16.5" hidden="1">
      <c r="E29639" s="4" t="str">
        <v/>
      </c>
      <c r="F29639" s="102" t="str">
        <f ca="1">IFERROR(__xludf.DUMMYFUNCTION("IMPORTRANGE(H29639,""IDENTITAS UNIT!D9"")"),"#N/A")</f>
        <v>#N/A</v>
      </c>
      <c r="H29639" s="4" t="str">
        <v/>
      </c>
      <c r="I29639" s="4" t="str">
        <v/>
      </c>
    </row>
    <row r="29640" spans="5:9" ht="16.5" hidden="1">
      <c r="E29640" s="4" t="str">
        <v/>
      </c>
      <c r="F29640" s="102" t="str">
        <f ca="1">IFERROR(__xludf.DUMMYFUNCTION("IMPORTRANGE(H29640,""IDENTITAS UNIT!D9"")"),"#N/A")</f>
        <v>#N/A</v>
      </c>
      <c r="H29640" s="4" t="str">
        <v/>
      </c>
      <c r="I29640" s="4" t="str">
        <v/>
      </c>
    </row>
    <row r="29641" spans="5:9" ht="16.5" hidden="1">
      <c r="E29641" s="4" t="str">
        <v/>
      </c>
      <c r="F29641" s="102" t="str">
        <f ca="1">IFERROR(__xludf.DUMMYFUNCTION("IMPORTRANGE(H29641,""IDENTITAS UNIT!D9"")"),"#N/A")</f>
        <v>#N/A</v>
      </c>
      <c r="H29641" s="4" t="str">
        <v/>
      </c>
      <c r="I29641" s="4" t="str">
        <v/>
      </c>
    </row>
    <row r="29642" spans="5:9" ht="16.5" hidden="1">
      <c r="E29642" s="4" t="str">
        <v/>
      </c>
      <c r="F29642" s="102" t="str">
        <f ca="1">IFERROR(__xludf.DUMMYFUNCTION("IMPORTRANGE(H29642,""IDENTITAS UNIT!D9"")"),"#N/A")</f>
        <v>#N/A</v>
      </c>
      <c r="H29642" s="4" t="str">
        <v/>
      </c>
      <c r="I29642" s="4" t="str">
        <v/>
      </c>
    </row>
    <row r="29643" spans="5:9" ht="16.5" hidden="1">
      <c r="E29643" s="4" t="str">
        <v/>
      </c>
      <c r="F29643" s="102" t="str">
        <f ca="1">IFERROR(__xludf.DUMMYFUNCTION("IMPORTRANGE(H29643,""IDENTITAS UNIT!D9"")"),"#N/A")</f>
        <v>#N/A</v>
      </c>
      <c r="H29643" s="4" t="str">
        <v/>
      </c>
      <c r="I29643" s="4" t="str">
        <v/>
      </c>
    </row>
    <row r="29644" spans="5:9" ht="16.5" hidden="1">
      <c r="E29644" s="4" t="str">
        <v/>
      </c>
      <c r="F29644" s="102" t="str">
        <f ca="1">IFERROR(__xludf.DUMMYFUNCTION("IMPORTRANGE(H29644,""IDENTITAS UNIT!D9"")"),"#N/A")</f>
        <v>#N/A</v>
      </c>
      <c r="H29644" s="4" t="str">
        <v/>
      </c>
      <c r="I29644" s="4" t="str">
        <v/>
      </c>
    </row>
    <row r="29645" spans="5:9" ht="16.5" hidden="1">
      <c r="E29645" s="4" t="str">
        <v/>
      </c>
      <c r="F29645" s="102" t="str">
        <f ca="1">IFERROR(__xludf.DUMMYFUNCTION("IMPORTRANGE(H29645,""IDENTITAS UNIT!D9"")"),"#N/A")</f>
        <v>#N/A</v>
      </c>
      <c r="H29645" s="4" t="str">
        <v/>
      </c>
      <c r="I29645" s="4" t="str">
        <v/>
      </c>
    </row>
    <row r="29646" spans="5:9" ht="16.5" hidden="1">
      <c r="E29646" s="4" t="str">
        <v/>
      </c>
      <c r="F29646" s="102" t="str">
        <f ca="1">IFERROR(__xludf.DUMMYFUNCTION("IMPORTRANGE(H29646,""IDENTITAS UNIT!D9"")"),"#N/A")</f>
        <v>#N/A</v>
      </c>
      <c r="H29646" s="4" t="str">
        <v/>
      </c>
      <c r="I29646" s="4" t="str">
        <v/>
      </c>
    </row>
    <row r="29647" spans="5:9" ht="16.5" hidden="1">
      <c r="E29647" s="4" t="str">
        <v/>
      </c>
      <c r="F29647" s="102" t="str">
        <f ca="1">IFERROR(__xludf.DUMMYFUNCTION("IMPORTRANGE(H29647,""IDENTITAS UNIT!D9"")"),"#N/A")</f>
        <v>#N/A</v>
      </c>
      <c r="H29647" s="4" t="str">
        <v/>
      </c>
      <c r="I29647" s="4" t="str">
        <v/>
      </c>
    </row>
    <row r="29648" spans="5:9" ht="16.5" hidden="1">
      <c r="E29648" s="4" t="str">
        <v/>
      </c>
      <c r="F29648" s="102" t="str">
        <f ca="1">IFERROR(__xludf.DUMMYFUNCTION("IMPORTRANGE(H29648,""IDENTITAS UNIT!D9"")"),"#N/A")</f>
        <v>#N/A</v>
      </c>
      <c r="H29648" s="4" t="str">
        <v/>
      </c>
      <c r="I29648" s="4" t="str">
        <v/>
      </c>
    </row>
    <row r="29649" spans="5:9" ht="16.5" hidden="1">
      <c r="E29649" s="4" t="str">
        <v/>
      </c>
      <c r="F29649" s="102" t="str">
        <f ca="1">IFERROR(__xludf.DUMMYFUNCTION("IMPORTRANGE(H29649,""IDENTITAS UNIT!D9"")"),"#N/A")</f>
        <v>#N/A</v>
      </c>
      <c r="H29649" s="4" t="str">
        <v/>
      </c>
      <c r="I29649" s="4" t="str">
        <v/>
      </c>
    </row>
    <row r="29650" spans="5:9" ht="16.5" hidden="1">
      <c r="E29650" s="4" t="str">
        <v/>
      </c>
      <c r="F29650" s="102" t="str">
        <f ca="1">IFERROR(__xludf.DUMMYFUNCTION("IMPORTRANGE(H29650,""IDENTITAS UNIT!D9"")"),"#N/A")</f>
        <v>#N/A</v>
      </c>
      <c r="H29650" s="4" t="str">
        <v/>
      </c>
      <c r="I29650" s="4" t="str">
        <v/>
      </c>
    </row>
    <row r="29651" spans="5:9" ht="16.5" hidden="1">
      <c r="E29651" s="4" t="str">
        <v/>
      </c>
      <c r="F29651" s="102" t="str">
        <f ca="1">IFERROR(__xludf.DUMMYFUNCTION("IMPORTRANGE(H29651,""IDENTITAS UNIT!D9"")"),"#N/A")</f>
        <v>#N/A</v>
      </c>
      <c r="H29651" s="4" t="str">
        <v/>
      </c>
      <c r="I29651" s="4" t="str">
        <v/>
      </c>
    </row>
    <row r="29652" spans="5:9" ht="16.5" hidden="1">
      <c r="E29652" s="4" t="str">
        <v/>
      </c>
      <c r="F29652" s="102" t="str">
        <f ca="1">IFERROR(__xludf.DUMMYFUNCTION("IMPORTRANGE(H29652,""IDENTITAS UNIT!D9"")"),"#N/A")</f>
        <v>#N/A</v>
      </c>
      <c r="H29652" s="4" t="str">
        <v/>
      </c>
      <c r="I29652" s="4" t="str">
        <v/>
      </c>
    </row>
    <row r="29653" spans="5:9" ht="16.5" hidden="1">
      <c r="E29653" s="4" t="str">
        <v/>
      </c>
      <c r="F29653" s="102" t="str">
        <f ca="1">IFERROR(__xludf.DUMMYFUNCTION("IMPORTRANGE(H29653,""IDENTITAS UNIT!D9"")"),"#N/A")</f>
        <v>#N/A</v>
      </c>
      <c r="H29653" s="4" t="str">
        <v/>
      </c>
      <c r="I29653" s="4" t="str">
        <v/>
      </c>
    </row>
    <row r="29654" spans="5:9" ht="16.5" hidden="1">
      <c r="E29654" s="4" t="str">
        <v/>
      </c>
      <c r="F29654" s="102" t="str">
        <f ca="1">IFERROR(__xludf.DUMMYFUNCTION("IMPORTRANGE(H29654,""IDENTITAS UNIT!D9"")"),"#N/A")</f>
        <v>#N/A</v>
      </c>
      <c r="H29654" s="4" t="str">
        <v/>
      </c>
      <c r="I29654" s="4" t="str">
        <v/>
      </c>
    </row>
    <row r="29655" spans="5:9" ht="16.5" hidden="1">
      <c r="E29655" s="4" t="str">
        <v/>
      </c>
      <c r="F29655" s="102" t="str">
        <f ca="1">IFERROR(__xludf.DUMMYFUNCTION("IMPORTRANGE(H29655,""IDENTITAS UNIT!D9"")"),"#N/A")</f>
        <v>#N/A</v>
      </c>
      <c r="H29655" s="4" t="str">
        <v/>
      </c>
      <c r="I29655" s="4" t="str">
        <v/>
      </c>
    </row>
    <row r="29656" spans="5:9" ht="16.5" hidden="1">
      <c r="E29656" s="4" t="str">
        <v/>
      </c>
      <c r="F29656" s="102" t="str">
        <f ca="1">IFERROR(__xludf.DUMMYFUNCTION("IMPORTRANGE(H29656,""IDENTITAS UNIT!D9"")"),"#N/A")</f>
        <v>#N/A</v>
      </c>
      <c r="H29656" s="4" t="str">
        <v/>
      </c>
      <c r="I29656" s="4" t="str">
        <v/>
      </c>
    </row>
    <row r="29657" spans="5:9" ht="16.5" hidden="1">
      <c r="E29657" s="4" t="str">
        <v/>
      </c>
      <c r="F29657" s="102" t="str">
        <f ca="1">IFERROR(__xludf.DUMMYFUNCTION("IMPORTRANGE(H29657,""IDENTITAS UNIT!D9"")"),"#N/A")</f>
        <v>#N/A</v>
      </c>
      <c r="H29657" s="4" t="str">
        <v/>
      </c>
      <c r="I29657" s="4" t="str">
        <v/>
      </c>
    </row>
    <row r="29658" spans="5:9" ht="16.5" hidden="1">
      <c r="E29658" s="4" t="str">
        <v/>
      </c>
      <c r="F29658" s="102" t="str">
        <f ca="1">IFERROR(__xludf.DUMMYFUNCTION("IMPORTRANGE(H29658,""IDENTITAS UNIT!D9"")"),"#N/A")</f>
        <v>#N/A</v>
      </c>
      <c r="H29658" s="4" t="str">
        <v/>
      </c>
      <c r="I29658" s="4" t="str">
        <v/>
      </c>
    </row>
    <row r="29659" spans="5:9" ht="16.5" hidden="1">
      <c r="E29659" s="4" t="str">
        <v/>
      </c>
      <c r="F29659" s="102" t="str">
        <f ca="1">IFERROR(__xludf.DUMMYFUNCTION("IMPORTRANGE(H29659,""IDENTITAS UNIT!D9"")"),"#N/A")</f>
        <v>#N/A</v>
      </c>
      <c r="H29659" s="4" t="str">
        <v/>
      </c>
      <c r="I29659" s="4" t="str">
        <v/>
      </c>
    </row>
    <row r="29660" spans="5:9" ht="16.5" hidden="1">
      <c r="E29660" s="4" t="str">
        <v/>
      </c>
      <c r="F29660" s="102" t="str">
        <f ca="1">IFERROR(__xludf.DUMMYFUNCTION("IMPORTRANGE(H29660,""IDENTITAS UNIT!D9"")"),"#N/A")</f>
        <v>#N/A</v>
      </c>
      <c r="H29660" s="4" t="str">
        <v/>
      </c>
      <c r="I29660" s="4" t="str">
        <v/>
      </c>
    </row>
    <row r="29661" spans="5:9" ht="16.5" hidden="1">
      <c r="E29661" s="4" t="str">
        <v/>
      </c>
      <c r="F29661" s="102" t="str">
        <f ca="1">IFERROR(__xludf.DUMMYFUNCTION("IMPORTRANGE(H29661,""IDENTITAS UNIT!D9"")"),"#N/A")</f>
        <v>#N/A</v>
      </c>
      <c r="H29661" s="4" t="str">
        <v/>
      </c>
      <c r="I29661" s="4" t="str">
        <v/>
      </c>
    </row>
    <row r="29662" spans="5:9" ht="16.5" hidden="1">
      <c r="E29662" s="4" t="str">
        <v/>
      </c>
      <c r="F29662" s="102" t="str">
        <f ca="1">IFERROR(__xludf.DUMMYFUNCTION("IMPORTRANGE(H29662,""IDENTITAS UNIT!D9"")"),"#N/A")</f>
        <v>#N/A</v>
      </c>
      <c r="H29662" s="4" t="str">
        <v/>
      </c>
      <c r="I29662" s="4" t="str">
        <v/>
      </c>
    </row>
    <row r="29663" spans="5:9" ht="16.5" hidden="1">
      <c r="E29663" s="4" t="str">
        <v/>
      </c>
      <c r="F29663" s="102" t="str">
        <f ca="1">IFERROR(__xludf.DUMMYFUNCTION("IMPORTRANGE(H29663,""IDENTITAS UNIT!D9"")"),"#N/A")</f>
        <v>#N/A</v>
      </c>
      <c r="H29663" s="4" t="str">
        <v/>
      </c>
      <c r="I29663" s="4" t="str">
        <v/>
      </c>
    </row>
    <row r="29664" spans="5:9" ht="16.5" hidden="1">
      <c r="E29664" s="4" t="str">
        <v/>
      </c>
      <c r="F29664" s="102" t="str">
        <f ca="1">IFERROR(__xludf.DUMMYFUNCTION("IMPORTRANGE(H29664,""IDENTITAS UNIT!D9"")"),"#N/A")</f>
        <v>#N/A</v>
      </c>
      <c r="H29664" s="4" t="str">
        <v/>
      </c>
      <c r="I29664" s="4" t="str">
        <v/>
      </c>
    </row>
    <row r="29665" spans="5:9" ht="16.5" hidden="1">
      <c r="E29665" s="4" t="str">
        <v/>
      </c>
      <c r="F29665" s="102" t="str">
        <f ca="1">IFERROR(__xludf.DUMMYFUNCTION("IMPORTRANGE(H29665,""IDENTITAS UNIT!D9"")"),"#N/A")</f>
        <v>#N/A</v>
      </c>
      <c r="H29665" s="4" t="str">
        <v/>
      </c>
      <c r="I29665" s="4" t="str">
        <v/>
      </c>
    </row>
    <row r="29666" spans="5:9" ht="16.5" hidden="1">
      <c r="E29666" s="4" t="str">
        <v/>
      </c>
      <c r="F29666" s="102" t="str">
        <f ca="1">IFERROR(__xludf.DUMMYFUNCTION("IMPORTRANGE(H29666,""IDENTITAS UNIT!D9"")"),"#N/A")</f>
        <v>#N/A</v>
      </c>
      <c r="H29666" s="4" t="str">
        <v/>
      </c>
      <c r="I29666" s="4" t="str">
        <v/>
      </c>
    </row>
    <row r="29667" spans="5:9" ht="16.5" hidden="1">
      <c r="E29667" s="4" t="str">
        <v/>
      </c>
      <c r="F29667" s="102" t="str">
        <f ca="1">IFERROR(__xludf.DUMMYFUNCTION("IMPORTRANGE(H29667,""IDENTITAS UNIT!D9"")"),"#N/A")</f>
        <v>#N/A</v>
      </c>
      <c r="H29667" s="4" t="str">
        <v/>
      </c>
      <c r="I29667" s="4" t="str">
        <v/>
      </c>
    </row>
    <row r="29668" spans="5:9" ht="16.5" hidden="1">
      <c r="E29668" s="4" t="str">
        <v/>
      </c>
      <c r="F29668" s="102" t="str">
        <f ca="1">IFERROR(__xludf.DUMMYFUNCTION("IMPORTRANGE(H29668,""IDENTITAS UNIT!D9"")"),"#N/A")</f>
        <v>#N/A</v>
      </c>
      <c r="H29668" s="4" t="str">
        <v/>
      </c>
      <c r="I29668" s="4" t="str">
        <v/>
      </c>
    </row>
    <row r="29669" spans="5:9" ht="16.5" hidden="1">
      <c r="E29669" s="4" t="str">
        <v/>
      </c>
      <c r="F29669" s="102" t="str">
        <f ca="1">IFERROR(__xludf.DUMMYFUNCTION("IMPORTRANGE(H29669,""IDENTITAS UNIT!D9"")"),"#N/A")</f>
        <v>#N/A</v>
      </c>
      <c r="H29669" s="4" t="str">
        <v/>
      </c>
      <c r="I29669" s="4" t="str">
        <v/>
      </c>
    </row>
    <row r="29670" spans="5:9" ht="16.5" hidden="1">
      <c r="E29670" s="4" t="str">
        <v/>
      </c>
      <c r="F29670" s="102" t="str">
        <f ca="1">IFERROR(__xludf.DUMMYFUNCTION("IMPORTRANGE(H29670,""IDENTITAS UNIT!D9"")"),"#N/A")</f>
        <v>#N/A</v>
      </c>
      <c r="H29670" s="4" t="str">
        <v/>
      </c>
      <c r="I29670" s="4" t="str">
        <v/>
      </c>
    </row>
    <row r="29671" spans="5:9" ht="16.5" hidden="1">
      <c r="E29671" s="4" t="str">
        <v/>
      </c>
      <c r="F29671" s="102" t="str">
        <f ca="1">IFERROR(__xludf.DUMMYFUNCTION("IMPORTRANGE(H29671,""IDENTITAS UNIT!D9"")"),"#N/A")</f>
        <v>#N/A</v>
      </c>
      <c r="H29671" s="4" t="str">
        <v/>
      </c>
      <c r="I29671" s="4" t="str">
        <v/>
      </c>
    </row>
    <row r="29672" spans="5:9" ht="16.5" hidden="1">
      <c r="E29672" s="4" t="str">
        <v/>
      </c>
      <c r="F29672" s="102" t="str">
        <f ca="1">IFERROR(__xludf.DUMMYFUNCTION("IMPORTRANGE(H29672,""IDENTITAS UNIT!D9"")"),"#N/A")</f>
        <v>#N/A</v>
      </c>
      <c r="H29672" s="4" t="str">
        <v/>
      </c>
      <c r="I29672" s="4" t="str">
        <v/>
      </c>
    </row>
    <row r="29673" spans="5:9" ht="16.5" hidden="1">
      <c r="E29673" s="4" t="str">
        <v/>
      </c>
      <c r="F29673" s="102" t="str">
        <f ca="1">IFERROR(__xludf.DUMMYFUNCTION("IMPORTRANGE(H29673,""IDENTITAS UNIT!D9"")"),"#N/A")</f>
        <v>#N/A</v>
      </c>
      <c r="H29673" s="4" t="str">
        <v/>
      </c>
      <c r="I29673" s="4" t="str">
        <v/>
      </c>
    </row>
    <row r="29674" spans="5:9" ht="16.5" hidden="1">
      <c r="E29674" s="4" t="str">
        <v/>
      </c>
      <c r="F29674" s="102" t="str">
        <f ca="1">IFERROR(__xludf.DUMMYFUNCTION("IMPORTRANGE(H29674,""IDENTITAS UNIT!D9"")"),"#N/A")</f>
        <v>#N/A</v>
      </c>
      <c r="H29674" s="4" t="str">
        <v/>
      </c>
      <c r="I29674" s="4" t="str">
        <v/>
      </c>
    </row>
    <row r="29675" spans="5:9" ht="16.5" hidden="1">
      <c r="E29675" s="4" t="str">
        <v/>
      </c>
      <c r="F29675" s="102" t="str">
        <f ca="1">IFERROR(__xludf.DUMMYFUNCTION("IMPORTRANGE(H29675,""IDENTITAS UNIT!D9"")"),"#N/A")</f>
        <v>#N/A</v>
      </c>
      <c r="H29675" s="4" t="str">
        <v/>
      </c>
      <c r="I29675" s="4" t="str">
        <v/>
      </c>
    </row>
    <row r="29676" spans="5:9" ht="16.5" hidden="1">
      <c r="E29676" s="4" t="str">
        <v/>
      </c>
      <c r="F29676" s="102" t="str">
        <f ca="1">IFERROR(__xludf.DUMMYFUNCTION("IMPORTRANGE(H29676,""IDENTITAS UNIT!D9"")"),"#N/A")</f>
        <v>#N/A</v>
      </c>
      <c r="H29676" s="4" t="str">
        <v/>
      </c>
      <c r="I29676" s="4" t="str">
        <v/>
      </c>
    </row>
    <row r="29677" spans="5:9" ht="16.5" hidden="1">
      <c r="E29677" s="4" t="str">
        <v/>
      </c>
      <c r="F29677" s="102" t="str">
        <f ca="1">IFERROR(__xludf.DUMMYFUNCTION("IMPORTRANGE(H29677,""IDENTITAS UNIT!D9"")"),"#N/A")</f>
        <v>#N/A</v>
      </c>
      <c r="H29677" s="4" t="str">
        <v/>
      </c>
      <c r="I29677" s="4" t="str">
        <v/>
      </c>
    </row>
    <row r="29678" spans="5:9" ht="16.5" hidden="1">
      <c r="E29678" s="4" t="str">
        <v/>
      </c>
      <c r="F29678" s="102" t="str">
        <f ca="1">IFERROR(__xludf.DUMMYFUNCTION("IMPORTRANGE(H29678,""IDENTITAS UNIT!D9"")"),"#N/A")</f>
        <v>#N/A</v>
      </c>
      <c r="H29678" s="4" t="str">
        <v/>
      </c>
      <c r="I29678" s="4" t="str">
        <v/>
      </c>
    </row>
    <row r="29679" spans="5:9" ht="16.5" hidden="1">
      <c r="E29679" s="4" t="str">
        <v/>
      </c>
      <c r="F29679" s="102" t="str">
        <f ca="1">IFERROR(__xludf.DUMMYFUNCTION("IMPORTRANGE(H29679,""IDENTITAS UNIT!D9"")"),"#N/A")</f>
        <v>#N/A</v>
      </c>
      <c r="H29679" s="4" t="str">
        <v/>
      </c>
      <c r="I29679" s="4" t="str">
        <v/>
      </c>
    </row>
    <row r="29680" spans="5:9" ht="16.5" hidden="1">
      <c r="E29680" s="4" t="str">
        <v/>
      </c>
      <c r="F29680" s="102" t="str">
        <f ca="1">IFERROR(__xludf.DUMMYFUNCTION("IMPORTRANGE(H29680,""IDENTITAS UNIT!D9"")"),"#N/A")</f>
        <v>#N/A</v>
      </c>
      <c r="H29680" s="4" t="str">
        <v/>
      </c>
      <c r="I29680" s="4" t="str">
        <v/>
      </c>
    </row>
    <row r="29681" spans="5:9" ht="16.5" hidden="1">
      <c r="E29681" s="4" t="str">
        <v/>
      </c>
      <c r="F29681" s="102" t="str">
        <f ca="1">IFERROR(__xludf.DUMMYFUNCTION("IMPORTRANGE(H29681,""IDENTITAS UNIT!D9"")"),"#N/A")</f>
        <v>#N/A</v>
      </c>
      <c r="H29681" s="4" t="str">
        <v/>
      </c>
      <c r="I29681" s="4" t="str">
        <v/>
      </c>
    </row>
    <row r="29682" spans="5:9" ht="16.5" hidden="1">
      <c r="E29682" s="4" t="str">
        <v/>
      </c>
      <c r="F29682" s="102" t="str">
        <f ca="1">IFERROR(__xludf.DUMMYFUNCTION("IMPORTRANGE(H29682,""IDENTITAS UNIT!D9"")"),"#N/A")</f>
        <v>#N/A</v>
      </c>
      <c r="H29682" s="4" t="str">
        <v/>
      </c>
      <c r="I29682" s="4" t="str">
        <v/>
      </c>
    </row>
    <row r="29683" spans="5:9" ht="16.5" hidden="1">
      <c r="E29683" s="4" t="str">
        <v/>
      </c>
      <c r="F29683" s="102" t="str">
        <f ca="1">IFERROR(__xludf.DUMMYFUNCTION("IMPORTRANGE(H29683,""IDENTITAS UNIT!D9"")"),"#N/A")</f>
        <v>#N/A</v>
      </c>
      <c r="H29683" s="4" t="str">
        <v/>
      </c>
      <c r="I29683" s="4" t="str">
        <v/>
      </c>
    </row>
    <row r="29684" spans="5:9" ht="16.5" hidden="1">
      <c r="E29684" s="4" t="str">
        <v/>
      </c>
      <c r="F29684" s="102" t="str">
        <f ca="1">IFERROR(__xludf.DUMMYFUNCTION("IMPORTRANGE(H29684,""IDENTITAS UNIT!D9"")"),"#N/A")</f>
        <v>#N/A</v>
      </c>
      <c r="H29684" s="4" t="str">
        <v/>
      </c>
      <c r="I29684" s="4" t="str">
        <v/>
      </c>
    </row>
    <row r="29685" spans="5:9" ht="16.5" hidden="1">
      <c r="E29685" s="4" t="str">
        <v/>
      </c>
      <c r="F29685" s="102" t="str">
        <f ca="1">IFERROR(__xludf.DUMMYFUNCTION("IMPORTRANGE(H29685,""IDENTITAS UNIT!D9"")"),"#N/A")</f>
        <v>#N/A</v>
      </c>
      <c r="H29685" s="4" t="str">
        <v/>
      </c>
      <c r="I29685" s="4" t="str">
        <v/>
      </c>
    </row>
    <row r="29686" spans="5:9" ht="16.5" hidden="1">
      <c r="E29686" s="4" t="str">
        <v/>
      </c>
      <c r="F29686" s="102" t="str">
        <f ca="1">IFERROR(__xludf.DUMMYFUNCTION("IMPORTRANGE(H29686,""IDENTITAS UNIT!D9"")"),"#N/A")</f>
        <v>#N/A</v>
      </c>
      <c r="H29686" s="4" t="str">
        <v/>
      </c>
      <c r="I29686" s="4" t="str">
        <v/>
      </c>
    </row>
    <row r="29687" spans="5:9" ht="16.5" hidden="1">
      <c r="E29687" s="4" t="str">
        <v/>
      </c>
      <c r="F29687" s="102" t="str">
        <f ca="1">IFERROR(__xludf.DUMMYFUNCTION("IMPORTRANGE(H29687,""IDENTITAS UNIT!D9"")"),"#N/A")</f>
        <v>#N/A</v>
      </c>
      <c r="H29687" s="4" t="str">
        <v/>
      </c>
      <c r="I29687" s="4" t="str">
        <v/>
      </c>
    </row>
    <row r="29688" spans="5:9" ht="16.5" hidden="1">
      <c r="E29688" s="4" t="str">
        <v/>
      </c>
      <c r="F29688" s="102" t="str">
        <f ca="1">IFERROR(__xludf.DUMMYFUNCTION("IMPORTRANGE(H29688,""IDENTITAS UNIT!D9"")"),"#N/A")</f>
        <v>#N/A</v>
      </c>
      <c r="H29688" s="4" t="str">
        <v/>
      </c>
      <c r="I29688" s="4" t="str">
        <v/>
      </c>
    </row>
    <row r="29689" spans="5:9" ht="16.5" hidden="1">
      <c r="E29689" s="4" t="str">
        <v/>
      </c>
      <c r="F29689" s="102" t="str">
        <f ca="1">IFERROR(__xludf.DUMMYFUNCTION("IMPORTRANGE(H29689,""IDENTITAS UNIT!D9"")"),"#N/A")</f>
        <v>#N/A</v>
      </c>
      <c r="H29689" s="4" t="str">
        <v/>
      </c>
      <c r="I29689" s="4" t="str">
        <v/>
      </c>
    </row>
    <row r="29690" spans="5:9" ht="16.5" hidden="1">
      <c r="E29690" s="4" t="str">
        <v/>
      </c>
      <c r="F29690" s="102" t="str">
        <f ca="1">IFERROR(__xludf.DUMMYFUNCTION("IMPORTRANGE(H29690,""IDENTITAS UNIT!D9"")"),"#N/A")</f>
        <v>#N/A</v>
      </c>
      <c r="H29690" s="4" t="str">
        <v/>
      </c>
      <c r="I29690" s="4" t="str">
        <v/>
      </c>
    </row>
    <row r="29691" spans="5:9" ht="16.5" hidden="1">
      <c r="E29691" s="4" t="str">
        <v/>
      </c>
      <c r="F29691" s="102" t="str">
        <f ca="1">IFERROR(__xludf.DUMMYFUNCTION("IMPORTRANGE(H29691,""IDENTITAS UNIT!D9"")"),"#N/A")</f>
        <v>#N/A</v>
      </c>
      <c r="H29691" s="4" t="str">
        <v/>
      </c>
      <c r="I29691" s="4" t="str">
        <v/>
      </c>
    </row>
    <row r="29692" spans="5:9" ht="16.5" hidden="1">
      <c r="E29692" s="4" t="str">
        <v/>
      </c>
      <c r="F29692" s="102" t="str">
        <f ca="1">IFERROR(__xludf.DUMMYFUNCTION("IMPORTRANGE(H29692,""IDENTITAS UNIT!D9"")"),"#N/A")</f>
        <v>#N/A</v>
      </c>
      <c r="H29692" s="4" t="str">
        <v/>
      </c>
      <c r="I29692" s="4" t="str">
        <v/>
      </c>
    </row>
    <row r="29693" spans="5:9" ht="16.5" hidden="1">
      <c r="E29693" s="4" t="str">
        <v/>
      </c>
      <c r="F29693" s="102" t="str">
        <f ca="1">IFERROR(__xludf.DUMMYFUNCTION("IMPORTRANGE(H29693,""IDENTITAS UNIT!D9"")"),"#N/A")</f>
        <v>#N/A</v>
      </c>
      <c r="H29693" s="4" t="str">
        <v/>
      </c>
      <c r="I29693" s="4" t="str">
        <v/>
      </c>
    </row>
    <row r="29694" spans="5:9" ht="16.5" hidden="1">
      <c r="E29694" s="4" t="str">
        <v/>
      </c>
      <c r="F29694" s="102" t="str">
        <f ca="1">IFERROR(__xludf.DUMMYFUNCTION("IMPORTRANGE(H29694,""IDENTITAS UNIT!D9"")"),"#N/A")</f>
        <v>#N/A</v>
      </c>
      <c r="H29694" s="4" t="str">
        <v/>
      </c>
      <c r="I29694" s="4" t="str">
        <v/>
      </c>
    </row>
    <row r="29695" spans="5:9" ht="16.5" hidden="1">
      <c r="E29695" s="4" t="str">
        <v/>
      </c>
      <c r="F29695" s="102" t="str">
        <f ca="1">IFERROR(__xludf.DUMMYFUNCTION("IMPORTRANGE(H29695,""IDENTITAS UNIT!D9"")"),"#N/A")</f>
        <v>#N/A</v>
      </c>
      <c r="H29695" s="4" t="str">
        <v/>
      </c>
      <c r="I29695" s="4" t="str">
        <v/>
      </c>
    </row>
    <row r="29696" spans="5:9" ht="16.5" hidden="1">
      <c r="E29696" s="4" t="str">
        <v/>
      </c>
      <c r="F29696" s="102" t="str">
        <f ca="1">IFERROR(__xludf.DUMMYFUNCTION("IMPORTRANGE(H29696,""IDENTITAS UNIT!D9"")"),"#N/A")</f>
        <v>#N/A</v>
      </c>
      <c r="H29696" s="4" t="str">
        <v/>
      </c>
      <c r="I29696" s="4" t="str">
        <v/>
      </c>
    </row>
    <row r="29697" spans="5:9" ht="16.5" hidden="1">
      <c r="E29697" s="4" t="str">
        <v/>
      </c>
      <c r="F29697" s="102" t="str">
        <f ca="1">IFERROR(__xludf.DUMMYFUNCTION("IMPORTRANGE(H29697,""IDENTITAS UNIT!D9"")"),"#N/A")</f>
        <v>#N/A</v>
      </c>
      <c r="H29697" s="4" t="str">
        <v/>
      </c>
      <c r="I29697" s="4" t="str">
        <v/>
      </c>
    </row>
    <row r="29698" spans="5:9" ht="16.5" hidden="1">
      <c r="E29698" s="4" t="str">
        <v/>
      </c>
      <c r="F29698" s="102" t="str">
        <f ca="1">IFERROR(__xludf.DUMMYFUNCTION("IMPORTRANGE(H29698,""IDENTITAS UNIT!D9"")"),"#N/A")</f>
        <v>#N/A</v>
      </c>
      <c r="H29698" s="4" t="str">
        <v/>
      </c>
      <c r="I29698" s="4" t="str">
        <v/>
      </c>
    </row>
    <row r="29699" spans="5:9" ht="16.5" hidden="1">
      <c r="E29699" s="4" t="str">
        <v/>
      </c>
      <c r="F29699" s="102" t="str">
        <f ca="1">IFERROR(__xludf.DUMMYFUNCTION("IMPORTRANGE(H29699,""IDENTITAS UNIT!D9"")"),"#N/A")</f>
        <v>#N/A</v>
      </c>
      <c r="H29699" s="4" t="str">
        <v/>
      </c>
      <c r="I29699" s="4" t="str">
        <v/>
      </c>
    </row>
    <row r="29700" spans="5:9" ht="16.5" hidden="1">
      <c r="E29700" s="4" t="str">
        <v/>
      </c>
      <c r="F29700" s="102" t="str">
        <f ca="1">IFERROR(__xludf.DUMMYFUNCTION("IMPORTRANGE(H29700,""IDENTITAS UNIT!D9"")"),"#N/A")</f>
        <v>#N/A</v>
      </c>
      <c r="H29700" s="4" t="str">
        <v/>
      </c>
      <c r="I29700" s="4" t="str">
        <v/>
      </c>
    </row>
    <row r="29701" spans="5:9" ht="16.5" hidden="1">
      <c r="E29701" s="4" t="str">
        <v/>
      </c>
      <c r="F29701" s="102" t="str">
        <f ca="1">IFERROR(__xludf.DUMMYFUNCTION("IMPORTRANGE(H29701,""IDENTITAS UNIT!D9"")"),"#N/A")</f>
        <v>#N/A</v>
      </c>
      <c r="H29701" s="4" t="str">
        <v/>
      </c>
      <c r="I29701" s="4" t="str">
        <v/>
      </c>
    </row>
    <row r="29702" spans="5:9" ht="16.5" hidden="1">
      <c r="E29702" s="4" t="str">
        <v/>
      </c>
      <c r="F29702" s="102" t="str">
        <f ca="1">IFERROR(__xludf.DUMMYFUNCTION("IMPORTRANGE(H29702,""IDENTITAS UNIT!D9"")"),"#N/A")</f>
        <v>#N/A</v>
      </c>
      <c r="H29702" s="4" t="str">
        <v/>
      </c>
      <c r="I29702" s="4" t="str">
        <v/>
      </c>
    </row>
    <row r="29703" spans="5:9" ht="16.5" hidden="1">
      <c r="E29703" s="4" t="str">
        <v/>
      </c>
      <c r="F29703" s="102" t="str">
        <f ca="1">IFERROR(__xludf.DUMMYFUNCTION("IMPORTRANGE(H29703,""IDENTITAS UNIT!D9"")"),"#N/A")</f>
        <v>#N/A</v>
      </c>
      <c r="H29703" s="4" t="str">
        <v/>
      </c>
      <c r="I29703" s="4" t="str">
        <v/>
      </c>
    </row>
    <row r="29704" spans="5:9" ht="16.5" hidden="1">
      <c r="E29704" s="4" t="str">
        <v/>
      </c>
      <c r="F29704" s="102" t="str">
        <f ca="1">IFERROR(__xludf.DUMMYFUNCTION("IMPORTRANGE(H29704,""IDENTITAS UNIT!D9"")"),"#N/A")</f>
        <v>#N/A</v>
      </c>
      <c r="H29704" s="4" t="str">
        <v/>
      </c>
      <c r="I29704" s="4" t="str">
        <v/>
      </c>
    </row>
    <row r="29705" spans="5:9" ht="16.5" hidden="1">
      <c r="E29705" s="4" t="str">
        <v/>
      </c>
      <c r="F29705" s="102" t="str">
        <f ca="1">IFERROR(__xludf.DUMMYFUNCTION("IMPORTRANGE(H29705,""IDENTITAS UNIT!D9"")"),"#N/A")</f>
        <v>#N/A</v>
      </c>
      <c r="H29705" s="4" t="str">
        <v/>
      </c>
      <c r="I29705" s="4" t="str">
        <v/>
      </c>
    </row>
    <row r="29706" spans="5:9" ht="16.5" hidden="1">
      <c r="E29706" s="4" t="str">
        <v/>
      </c>
      <c r="F29706" s="102" t="str">
        <f ca="1">IFERROR(__xludf.DUMMYFUNCTION("IMPORTRANGE(H29706,""IDENTITAS UNIT!D9"")"),"#N/A")</f>
        <v>#N/A</v>
      </c>
      <c r="H29706" s="4" t="str">
        <v/>
      </c>
      <c r="I29706" s="4" t="str">
        <v/>
      </c>
    </row>
    <row r="29707" spans="5:9" ht="16.5" hidden="1">
      <c r="E29707" s="4" t="str">
        <v/>
      </c>
      <c r="F29707" s="102" t="str">
        <f ca="1">IFERROR(__xludf.DUMMYFUNCTION("IMPORTRANGE(H29707,""IDENTITAS UNIT!D9"")"),"#N/A")</f>
        <v>#N/A</v>
      </c>
      <c r="H29707" s="4" t="str">
        <v/>
      </c>
      <c r="I29707" s="4" t="str">
        <v/>
      </c>
    </row>
    <row r="29708" spans="5:9" ht="16.5" hidden="1">
      <c r="E29708" s="4" t="str">
        <v/>
      </c>
      <c r="F29708" s="102" t="str">
        <f ca="1">IFERROR(__xludf.DUMMYFUNCTION("IMPORTRANGE(H29708,""IDENTITAS UNIT!D9"")"),"#N/A")</f>
        <v>#N/A</v>
      </c>
      <c r="H29708" s="4" t="str">
        <v/>
      </c>
      <c r="I29708" s="4" t="str">
        <v/>
      </c>
    </row>
    <row r="29709" spans="5:9" ht="16.5" hidden="1">
      <c r="E29709" s="4" t="str">
        <v/>
      </c>
      <c r="F29709" s="102" t="str">
        <f ca="1">IFERROR(__xludf.DUMMYFUNCTION("IMPORTRANGE(H29709,""IDENTITAS UNIT!D9"")"),"#N/A")</f>
        <v>#N/A</v>
      </c>
      <c r="H29709" s="4" t="str">
        <v/>
      </c>
      <c r="I29709" s="4" t="str">
        <v/>
      </c>
    </row>
    <row r="29710" spans="5:9" ht="16.5" hidden="1">
      <c r="E29710" s="4" t="str">
        <v/>
      </c>
      <c r="F29710" s="102" t="str">
        <f ca="1">IFERROR(__xludf.DUMMYFUNCTION("IMPORTRANGE(H29710,""IDENTITAS UNIT!D9"")"),"#N/A")</f>
        <v>#N/A</v>
      </c>
      <c r="H29710" s="4" t="str">
        <v/>
      </c>
      <c r="I29710" s="4" t="str">
        <v/>
      </c>
    </row>
    <row r="29711" spans="5:9" ht="16.5" hidden="1">
      <c r="E29711" s="4" t="str">
        <v/>
      </c>
      <c r="F29711" s="102" t="str">
        <f ca="1">IFERROR(__xludf.DUMMYFUNCTION("IMPORTRANGE(H29711,""IDENTITAS UNIT!D9"")"),"#N/A")</f>
        <v>#N/A</v>
      </c>
      <c r="H29711" s="4" t="str">
        <v/>
      </c>
      <c r="I29711" s="4" t="str">
        <v/>
      </c>
    </row>
    <row r="29712" spans="5:9" ht="16.5" hidden="1">
      <c r="E29712" s="4" t="str">
        <v/>
      </c>
      <c r="F29712" s="102" t="str">
        <f ca="1">IFERROR(__xludf.DUMMYFUNCTION("IMPORTRANGE(H29712,""IDENTITAS UNIT!D9"")"),"#N/A")</f>
        <v>#N/A</v>
      </c>
      <c r="H29712" s="4" t="str">
        <v/>
      </c>
      <c r="I29712" s="4" t="str">
        <v/>
      </c>
    </row>
    <row r="29713" spans="5:9" ht="16.5" hidden="1">
      <c r="E29713" s="4" t="str">
        <v/>
      </c>
      <c r="F29713" s="102" t="str">
        <f ca="1">IFERROR(__xludf.DUMMYFUNCTION("IMPORTRANGE(H29713,""IDENTITAS UNIT!D9"")"),"#N/A")</f>
        <v>#N/A</v>
      </c>
      <c r="H29713" s="4" t="str">
        <v/>
      </c>
      <c r="I29713" s="4" t="str">
        <v/>
      </c>
    </row>
    <row r="29714" spans="5:9" ht="16.5" hidden="1">
      <c r="E29714" s="4" t="str">
        <v/>
      </c>
      <c r="F29714" s="102" t="str">
        <f ca="1">IFERROR(__xludf.DUMMYFUNCTION("IMPORTRANGE(H29714,""IDENTITAS UNIT!D9"")"),"#N/A")</f>
        <v>#N/A</v>
      </c>
      <c r="H29714" s="4" t="str">
        <v/>
      </c>
      <c r="I29714" s="4" t="str">
        <v/>
      </c>
    </row>
    <row r="29715" spans="5:9" ht="16.5" hidden="1">
      <c r="E29715" s="4" t="str">
        <v/>
      </c>
      <c r="F29715" s="102" t="str">
        <f ca="1">IFERROR(__xludf.DUMMYFUNCTION("IMPORTRANGE(H29715,""IDENTITAS UNIT!D9"")"),"#N/A")</f>
        <v>#N/A</v>
      </c>
      <c r="H29715" s="4" t="str">
        <v/>
      </c>
      <c r="I29715" s="4" t="str">
        <v/>
      </c>
    </row>
    <row r="29716" spans="5:9" ht="16.5" hidden="1">
      <c r="E29716" s="4" t="str">
        <v/>
      </c>
      <c r="F29716" s="102" t="str">
        <f ca="1">IFERROR(__xludf.DUMMYFUNCTION("IMPORTRANGE(H29716,""IDENTITAS UNIT!D9"")"),"#N/A")</f>
        <v>#N/A</v>
      </c>
      <c r="H29716" s="4" t="str">
        <v/>
      </c>
      <c r="I29716" s="4" t="str">
        <v/>
      </c>
    </row>
    <row r="29717" spans="5:9" ht="16.5" hidden="1">
      <c r="E29717" s="4" t="str">
        <v/>
      </c>
      <c r="F29717" s="102" t="str">
        <f ca="1">IFERROR(__xludf.DUMMYFUNCTION("IMPORTRANGE(H29717,""IDENTITAS UNIT!D9"")"),"#N/A")</f>
        <v>#N/A</v>
      </c>
      <c r="H29717" s="4" t="str">
        <v/>
      </c>
      <c r="I29717" s="4" t="str">
        <v/>
      </c>
    </row>
    <row r="29718" spans="5:9" ht="16.5" hidden="1">
      <c r="E29718" s="4" t="str">
        <v/>
      </c>
      <c r="F29718" s="102" t="str">
        <f ca="1">IFERROR(__xludf.DUMMYFUNCTION("IMPORTRANGE(H29718,""IDENTITAS UNIT!D9"")"),"#N/A")</f>
        <v>#N/A</v>
      </c>
      <c r="H29718" s="4" t="str">
        <v/>
      </c>
      <c r="I29718" s="4" t="str">
        <v/>
      </c>
    </row>
    <row r="29719" spans="5:9" ht="16.5" hidden="1">
      <c r="E29719" s="4" t="str">
        <v/>
      </c>
      <c r="F29719" s="102" t="str">
        <f ca="1">IFERROR(__xludf.DUMMYFUNCTION("IMPORTRANGE(H29719,""IDENTITAS UNIT!D9"")"),"#N/A")</f>
        <v>#N/A</v>
      </c>
      <c r="H29719" s="4" t="str">
        <v/>
      </c>
      <c r="I29719" s="4" t="str">
        <v/>
      </c>
    </row>
    <row r="29720" spans="5:9" ht="16.5" hidden="1">
      <c r="E29720" s="4" t="str">
        <v/>
      </c>
      <c r="F29720" s="102" t="str">
        <f ca="1">IFERROR(__xludf.DUMMYFUNCTION("IMPORTRANGE(H29720,""IDENTITAS UNIT!D9"")"),"#N/A")</f>
        <v>#N/A</v>
      </c>
      <c r="H29720" s="4" t="str">
        <v/>
      </c>
      <c r="I29720" s="4" t="str">
        <v/>
      </c>
    </row>
    <row r="29721" spans="5:9" ht="16.5" hidden="1">
      <c r="E29721" s="4" t="str">
        <v/>
      </c>
      <c r="F29721" s="102" t="str">
        <f ca="1">IFERROR(__xludf.DUMMYFUNCTION("IMPORTRANGE(H29721,""IDENTITAS UNIT!D9"")"),"#N/A")</f>
        <v>#N/A</v>
      </c>
      <c r="H29721" s="4" t="str">
        <v/>
      </c>
      <c r="I29721" s="4" t="str">
        <v/>
      </c>
    </row>
    <row r="29722" spans="5:9" ht="16.5" hidden="1">
      <c r="E29722" s="4" t="str">
        <v/>
      </c>
      <c r="F29722" s="102" t="str">
        <f ca="1">IFERROR(__xludf.DUMMYFUNCTION("IMPORTRANGE(H29722,""IDENTITAS UNIT!D9"")"),"#N/A")</f>
        <v>#N/A</v>
      </c>
      <c r="H29722" s="4" t="str">
        <v/>
      </c>
      <c r="I29722" s="4" t="str">
        <v/>
      </c>
    </row>
    <row r="29723" spans="5:9" ht="16.5" hidden="1">
      <c r="E29723" s="4" t="str">
        <v/>
      </c>
      <c r="F29723" s="102" t="str">
        <f ca="1">IFERROR(__xludf.DUMMYFUNCTION("IMPORTRANGE(H29723,""IDENTITAS UNIT!D9"")"),"#N/A")</f>
        <v>#N/A</v>
      </c>
      <c r="H29723" s="4" t="str">
        <v/>
      </c>
      <c r="I29723" s="4" t="str">
        <v/>
      </c>
    </row>
    <row r="29724" spans="5:9" ht="16.5" hidden="1">
      <c r="E29724" s="4" t="str">
        <v/>
      </c>
      <c r="F29724" s="102" t="str">
        <f ca="1">IFERROR(__xludf.DUMMYFUNCTION("IMPORTRANGE(H29724,""IDENTITAS UNIT!D9"")"),"#N/A")</f>
        <v>#N/A</v>
      </c>
      <c r="H29724" s="4" t="str">
        <v/>
      </c>
      <c r="I29724" s="4" t="str">
        <v/>
      </c>
    </row>
    <row r="29725" spans="5:9" ht="16.5" hidden="1">
      <c r="E29725" s="4" t="str">
        <v/>
      </c>
      <c r="F29725" s="102" t="str">
        <f ca="1">IFERROR(__xludf.DUMMYFUNCTION("IMPORTRANGE(H29725,""IDENTITAS UNIT!D9"")"),"#N/A")</f>
        <v>#N/A</v>
      </c>
      <c r="H29725" s="4" t="str">
        <v/>
      </c>
      <c r="I29725" s="4" t="str">
        <v/>
      </c>
    </row>
    <row r="29726" spans="5:9" ht="16.5" hidden="1">
      <c r="E29726" s="4" t="str">
        <v/>
      </c>
      <c r="F29726" s="102" t="str">
        <f ca="1">IFERROR(__xludf.DUMMYFUNCTION("IMPORTRANGE(H29726,""IDENTITAS UNIT!D9"")"),"#N/A")</f>
        <v>#N/A</v>
      </c>
      <c r="H29726" s="4" t="str">
        <v/>
      </c>
      <c r="I29726" s="4" t="str">
        <v/>
      </c>
    </row>
    <row r="29727" spans="5:9" ht="16.5" hidden="1">
      <c r="E29727" s="4" t="str">
        <v/>
      </c>
      <c r="F29727" s="102" t="str">
        <f ca="1">IFERROR(__xludf.DUMMYFUNCTION("IMPORTRANGE(H29727,""IDENTITAS UNIT!D9"")"),"#N/A")</f>
        <v>#N/A</v>
      </c>
      <c r="H29727" s="4" t="str">
        <v/>
      </c>
      <c r="I29727" s="4" t="str">
        <v/>
      </c>
    </row>
    <row r="29728" spans="5:9" ht="16.5" hidden="1">
      <c r="E29728" s="4" t="str">
        <v/>
      </c>
      <c r="F29728" s="102" t="str">
        <f ca="1">IFERROR(__xludf.DUMMYFUNCTION("IMPORTRANGE(H29728,""IDENTITAS UNIT!D9"")"),"#N/A")</f>
        <v>#N/A</v>
      </c>
      <c r="H29728" s="4" t="str">
        <v/>
      </c>
      <c r="I29728" s="4" t="str">
        <v/>
      </c>
    </row>
    <row r="29729" spans="5:9" ht="16.5" hidden="1">
      <c r="E29729" s="4" t="str">
        <v/>
      </c>
      <c r="F29729" s="102" t="str">
        <f ca="1">IFERROR(__xludf.DUMMYFUNCTION("IMPORTRANGE(H29729,""IDENTITAS UNIT!D9"")"),"#N/A")</f>
        <v>#N/A</v>
      </c>
      <c r="H29729" s="4" t="str">
        <v/>
      </c>
      <c r="I29729" s="4" t="str">
        <v/>
      </c>
    </row>
    <row r="29730" spans="5:9" ht="16.5" hidden="1">
      <c r="E29730" s="4" t="str">
        <v/>
      </c>
      <c r="F29730" s="102" t="str">
        <f ca="1">IFERROR(__xludf.DUMMYFUNCTION("IMPORTRANGE(H29730,""IDENTITAS UNIT!D9"")"),"#N/A")</f>
        <v>#N/A</v>
      </c>
      <c r="H29730" s="4" t="str">
        <v/>
      </c>
      <c r="I29730" s="4" t="str">
        <v/>
      </c>
    </row>
    <row r="29731" spans="5:9" ht="16.5" hidden="1">
      <c r="E29731" s="4" t="str">
        <v/>
      </c>
      <c r="F29731" s="102" t="str">
        <f ca="1">IFERROR(__xludf.DUMMYFUNCTION("IMPORTRANGE(H29731,""IDENTITAS UNIT!D9"")"),"#N/A")</f>
        <v>#N/A</v>
      </c>
      <c r="H29731" s="4" t="str">
        <v/>
      </c>
      <c r="I29731" s="4" t="str">
        <v/>
      </c>
    </row>
    <row r="29732" spans="5:9" ht="16.5" hidden="1">
      <c r="E29732" s="4" t="str">
        <v/>
      </c>
      <c r="F29732" s="102" t="str">
        <f ca="1">IFERROR(__xludf.DUMMYFUNCTION("IMPORTRANGE(H29732,""IDENTITAS UNIT!D9"")"),"#N/A")</f>
        <v>#N/A</v>
      </c>
      <c r="H29732" s="4" t="str">
        <v/>
      </c>
      <c r="I29732" s="4" t="str">
        <v/>
      </c>
    </row>
    <row r="29733" spans="5:9" ht="16.5" hidden="1">
      <c r="E29733" s="4" t="str">
        <v/>
      </c>
      <c r="F29733" s="102" t="str">
        <f ca="1">IFERROR(__xludf.DUMMYFUNCTION("IMPORTRANGE(H29733,""IDENTITAS UNIT!D9"")"),"#N/A")</f>
        <v>#N/A</v>
      </c>
      <c r="H29733" s="4" t="str">
        <v/>
      </c>
      <c r="I29733" s="4" t="str">
        <v/>
      </c>
    </row>
    <row r="29734" spans="5:9" ht="16.5" hidden="1">
      <c r="E29734" s="4" t="str">
        <v/>
      </c>
      <c r="F29734" s="102" t="str">
        <f ca="1">IFERROR(__xludf.DUMMYFUNCTION("IMPORTRANGE(H29734,""IDENTITAS UNIT!D9"")"),"#N/A")</f>
        <v>#N/A</v>
      </c>
      <c r="H29734" s="4" t="str">
        <v/>
      </c>
      <c r="I29734" s="4" t="str">
        <v/>
      </c>
    </row>
    <row r="29735" spans="5:9" ht="16.5" hidden="1">
      <c r="E29735" s="4" t="str">
        <v/>
      </c>
      <c r="F29735" s="102" t="str">
        <f ca="1">IFERROR(__xludf.DUMMYFUNCTION("IMPORTRANGE(H29735,""IDENTITAS UNIT!D9"")"),"#N/A")</f>
        <v>#N/A</v>
      </c>
      <c r="H29735" s="4" t="str">
        <v/>
      </c>
      <c r="I29735" s="4" t="str">
        <v/>
      </c>
    </row>
    <row r="29736" spans="5:9" ht="16.5" hidden="1">
      <c r="E29736" s="4" t="str">
        <v/>
      </c>
      <c r="F29736" s="102" t="str">
        <f ca="1">IFERROR(__xludf.DUMMYFUNCTION("IMPORTRANGE(H29736,""IDENTITAS UNIT!D9"")"),"#N/A")</f>
        <v>#N/A</v>
      </c>
      <c r="H29736" s="4" t="str">
        <v/>
      </c>
      <c r="I29736" s="4" t="str">
        <v/>
      </c>
    </row>
    <row r="29737" spans="5:9" ht="16.5" hidden="1">
      <c r="E29737" s="4" t="str">
        <v/>
      </c>
      <c r="F29737" s="102" t="str">
        <f ca="1">IFERROR(__xludf.DUMMYFUNCTION("IMPORTRANGE(H29737,""IDENTITAS UNIT!D9"")"),"#N/A")</f>
        <v>#N/A</v>
      </c>
      <c r="H29737" s="4" t="str">
        <v/>
      </c>
      <c r="I29737" s="4" t="str">
        <v/>
      </c>
    </row>
    <row r="29738" spans="5:9" ht="16.5" hidden="1">
      <c r="E29738" s="4" t="str">
        <v/>
      </c>
      <c r="F29738" s="102" t="str">
        <f ca="1">IFERROR(__xludf.DUMMYFUNCTION("IMPORTRANGE(H29738,""IDENTITAS UNIT!D9"")"),"#N/A")</f>
        <v>#N/A</v>
      </c>
      <c r="H29738" s="4" t="str">
        <v/>
      </c>
      <c r="I29738" s="4" t="str">
        <v/>
      </c>
    </row>
    <row r="29739" spans="5:9" ht="16.5" hidden="1">
      <c r="E29739" s="4" t="str">
        <v/>
      </c>
      <c r="F29739" s="102" t="str">
        <f ca="1">IFERROR(__xludf.DUMMYFUNCTION("IMPORTRANGE(H29739,""IDENTITAS UNIT!D9"")"),"#N/A")</f>
        <v>#N/A</v>
      </c>
      <c r="H29739" s="4" t="str">
        <v/>
      </c>
      <c r="I29739" s="4" t="str">
        <v/>
      </c>
    </row>
    <row r="29740" spans="5:9" ht="16.5" hidden="1">
      <c r="E29740" s="4" t="str">
        <v/>
      </c>
      <c r="F29740" s="102" t="str">
        <f ca="1">IFERROR(__xludf.DUMMYFUNCTION("IMPORTRANGE(H29740,""IDENTITAS UNIT!D9"")"),"#N/A")</f>
        <v>#N/A</v>
      </c>
      <c r="H29740" s="4" t="str">
        <v/>
      </c>
      <c r="I29740" s="4" t="str">
        <v/>
      </c>
    </row>
    <row r="29741" spans="5:9" ht="16.5" hidden="1">
      <c r="E29741" s="4" t="str">
        <v/>
      </c>
      <c r="F29741" s="102" t="str">
        <f ca="1">IFERROR(__xludf.DUMMYFUNCTION("IMPORTRANGE(H29741,""IDENTITAS UNIT!D9"")"),"#N/A")</f>
        <v>#N/A</v>
      </c>
      <c r="H29741" s="4" t="str">
        <v/>
      </c>
      <c r="I29741" s="4" t="str">
        <v/>
      </c>
    </row>
    <row r="29742" spans="5:9" ht="16.5" hidden="1">
      <c r="E29742" s="4" t="str">
        <v/>
      </c>
      <c r="F29742" s="102" t="str">
        <f ca="1">IFERROR(__xludf.DUMMYFUNCTION("IMPORTRANGE(H29742,""IDENTITAS UNIT!D9"")"),"#N/A")</f>
        <v>#N/A</v>
      </c>
      <c r="H29742" s="4" t="str">
        <v/>
      </c>
      <c r="I29742" s="4" t="str">
        <v/>
      </c>
    </row>
    <row r="29743" spans="5:9" ht="16.5" hidden="1">
      <c r="E29743" s="4" t="str">
        <v/>
      </c>
      <c r="F29743" s="102" t="str">
        <f ca="1">IFERROR(__xludf.DUMMYFUNCTION("IMPORTRANGE(H29743,""IDENTITAS UNIT!D9"")"),"#N/A")</f>
        <v>#N/A</v>
      </c>
      <c r="H29743" s="4" t="str">
        <v/>
      </c>
      <c r="I29743" s="4" t="str">
        <v/>
      </c>
    </row>
    <row r="29744" spans="5:9" ht="16.5" hidden="1">
      <c r="E29744" s="4" t="str">
        <v/>
      </c>
      <c r="F29744" s="102" t="str">
        <f ca="1">IFERROR(__xludf.DUMMYFUNCTION("IMPORTRANGE(H29744,""IDENTITAS UNIT!D9"")"),"#N/A")</f>
        <v>#N/A</v>
      </c>
      <c r="H29744" s="4" t="str">
        <v/>
      </c>
      <c r="I29744" s="4" t="str">
        <v/>
      </c>
    </row>
    <row r="29745" spans="5:9" ht="16.5" hidden="1">
      <c r="E29745" s="4" t="str">
        <v/>
      </c>
      <c r="F29745" s="102" t="str">
        <f ca="1">IFERROR(__xludf.DUMMYFUNCTION("IMPORTRANGE(H29745,""IDENTITAS UNIT!D9"")"),"#N/A")</f>
        <v>#N/A</v>
      </c>
      <c r="H29745" s="4" t="str">
        <v/>
      </c>
      <c r="I29745" s="4" t="str">
        <v/>
      </c>
    </row>
    <row r="29746" spans="5:9" ht="16.5" hidden="1">
      <c r="E29746" s="4" t="str">
        <v/>
      </c>
      <c r="F29746" s="102" t="str">
        <f ca="1">IFERROR(__xludf.DUMMYFUNCTION("IMPORTRANGE(H29746,""IDENTITAS UNIT!D9"")"),"#N/A")</f>
        <v>#N/A</v>
      </c>
      <c r="H29746" s="4" t="str">
        <v/>
      </c>
      <c r="I29746" s="4" t="str">
        <v/>
      </c>
    </row>
    <row r="29747" spans="5:9" ht="16.5" hidden="1">
      <c r="E29747" s="4" t="str">
        <v/>
      </c>
      <c r="F29747" s="102" t="str">
        <f ca="1">IFERROR(__xludf.DUMMYFUNCTION("IMPORTRANGE(H29747,""IDENTITAS UNIT!D9"")"),"#N/A")</f>
        <v>#N/A</v>
      </c>
      <c r="H29747" s="4" t="str">
        <v/>
      </c>
      <c r="I29747" s="4" t="str">
        <v/>
      </c>
    </row>
    <row r="29748" spans="5:9" ht="16.5" hidden="1">
      <c r="E29748" s="4" t="str">
        <v/>
      </c>
      <c r="F29748" s="102" t="str">
        <f ca="1">IFERROR(__xludf.DUMMYFUNCTION("IMPORTRANGE(H29748,""IDENTITAS UNIT!D9"")"),"#N/A")</f>
        <v>#N/A</v>
      </c>
      <c r="H29748" s="4" t="str">
        <v/>
      </c>
      <c r="I29748" s="4" t="str">
        <v/>
      </c>
    </row>
    <row r="29749" spans="5:9" ht="16.5" hidden="1">
      <c r="E29749" s="4" t="str">
        <v/>
      </c>
      <c r="F29749" s="102" t="str">
        <f ca="1">IFERROR(__xludf.DUMMYFUNCTION("IMPORTRANGE(H29749,""IDENTITAS UNIT!D9"")"),"#N/A")</f>
        <v>#N/A</v>
      </c>
      <c r="H29749" s="4" t="str">
        <v/>
      </c>
      <c r="I29749" s="4" t="str">
        <v/>
      </c>
    </row>
    <row r="29750" spans="5:9" ht="16.5" hidden="1">
      <c r="E29750" s="4" t="str">
        <v/>
      </c>
      <c r="F29750" s="102" t="str">
        <f ca="1">IFERROR(__xludf.DUMMYFUNCTION("IMPORTRANGE(H29750,""IDENTITAS UNIT!D9"")"),"#N/A")</f>
        <v>#N/A</v>
      </c>
      <c r="H29750" s="4" t="str">
        <v/>
      </c>
      <c r="I29750" s="4" t="str">
        <v/>
      </c>
    </row>
    <row r="29751" spans="5:9" ht="16.5" hidden="1">
      <c r="E29751" s="4" t="str">
        <v/>
      </c>
      <c r="F29751" s="102" t="str">
        <f ca="1">IFERROR(__xludf.DUMMYFUNCTION("IMPORTRANGE(H29751,""IDENTITAS UNIT!D9"")"),"#N/A")</f>
        <v>#N/A</v>
      </c>
      <c r="H29751" s="4" t="str">
        <v/>
      </c>
      <c r="I29751" s="4" t="str">
        <v/>
      </c>
    </row>
    <row r="29752" spans="5:9" ht="16.5" hidden="1">
      <c r="E29752" s="4" t="str">
        <v/>
      </c>
      <c r="F29752" s="102" t="str">
        <f ca="1">IFERROR(__xludf.DUMMYFUNCTION("IMPORTRANGE(H29752,""IDENTITAS UNIT!D9"")"),"#N/A")</f>
        <v>#N/A</v>
      </c>
      <c r="H29752" s="4" t="str">
        <v/>
      </c>
      <c r="I29752" s="4" t="str">
        <v/>
      </c>
    </row>
    <row r="29753" spans="5:9" ht="16.5" hidden="1">
      <c r="E29753" s="4" t="str">
        <v/>
      </c>
      <c r="F29753" s="102" t="str">
        <f ca="1">IFERROR(__xludf.DUMMYFUNCTION("IMPORTRANGE(H29753,""IDENTITAS UNIT!D9"")"),"#N/A")</f>
        <v>#N/A</v>
      </c>
      <c r="H29753" s="4" t="str">
        <v/>
      </c>
      <c r="I29753" s="4" t="str">
        <v/>
      </c>
    </row>
    <row r="29754" spans="5:9" ht="16.5" hidden="1">
      <c r="E29754" s="4" t="str">
        <v/>
      </c>
      <c r="F29754" s="102" t="str">
        <f ca="1">IFERROR(__xludf.DUMMYFUNCTION("IMPORTRANGE(H29754,""IDENTITAS UNIT!D9"")"),"#N/A")</f>
        <v>#N/A</v>
      </c>
      <c r="H29754" s="4" t="str">
        <v/>
      </c>
      <c r="I29754" s="4" t="str">
        <v/>
      </c>
    </row>
    <row r="29755" spans="5:9" ht="16.5" hidden="1">
      <c r="E29755" s="4" t="str">
        <v/>
      </c>
      <c r="F29755" s="102" t="str">
        <f ca="1">IFERROR(__xludf.DUMMYFUNCTION("IMPORTRANGE(H29755,""IDENTITAS UNIT!D9"")"),"#N/A")</f>
        <v>#N/A</v>
      </c>
      <c r="H29755" s="4" t="str">
        <v/>
      </c>
      <c r="I29755" s="4" t="str">
        <v/>
      </c>
    </row>
    <row r="29756" spans="5:9" ht="16.5" hidden="1">
      <c r="E29756" s="4" t="str">
        <v/>
      </c>
      <c r="F29756" s="102" t="str">
        <f ca="1">IFERROR(__xludf.DUMMYFUNCTION("IMPORTRANGE(H29756,""IDENTITAS UNIT!D9"")"),"#N/A")</f>
        <v>#N/A</v>
      </c>
      <c r="H29756" s="4" t="str">
        <v/>
      </c>
      <c r="I29756" s="4" t="str">
        <v/>
      </c>
    </row>
    <row r="29757" spans="5:9" ht="16.5" hidden="1">
      <c r="E29757" s="4" t="str">
        <v/>
      </c>
      <c r="F29757" s="102" t="str">
        <f ca="1">IFERROR(__xludf.DUMMYFUNCTION("IMPORTRANGE(H29757,""IDENTITAS UNIT!D9"")"),"#N/A")</f>
        <v>#N/A</v>
      </c>
      <c r="H29757" s="4" t="str">
        <v/>
      </c>
      <c r="I29757" s="4" t="str">
        <v/>
      </c>
    </row>
    <row r="29758" spans="5:9" ht="16.5" hidden="1">
      <c r="E29758" s="4" t="str">
        <v/>
      </c>
      <c r="F29758" s="102" t="str">
        <f ca="1">IFERROR(__xludf.DUMMYFUNCTION("IMPORTRANGE(H29758,""IDENTITAS UNIT!D9"")"),"#N/A")</f>
        <v>#N/A</v>
      </c>
      <c r="H29758" s="4" t="str">
        <v/>
      </c>
      <c r="I29758" s="4" t="str">
        <v/>
      </c>
    </row>
    <row r="29759" spans="5:9" ht="16.5" hidden="1">
      <c r="E29759" s="4" t="str">
        <v/>
      </c>
      <c r="F29759" s="102" t="str">
        <f ca="1">IFERROR(__xludf.DUMMYFUNCTION("IMPORTRANGE(H29759,""IDENTITAS UNIT!D9"")"),"#N/A")</f>
        <v>#N/A</v>
      </c>
      <c r="H29759" s="4" t="str">
        <v/>
      </c>
      <c r="I29759" s="4" t="str">
        <v/>
      </c>
    </row>
    <row r="29760" spans="5:9" ht="16.5" hidden="1">
      <c r="E29760" s="4" t="str">
        <v/>
      </c>
      <c r="F29760" s="102" t="str">
        <f ca="1">IFERROR(__xludf.DUMMYFUNCTION("IMPORTRANGE(H29760,""IDENTITAS UNIT!D9"")"),"#N/A")</f>
        <v>#N/A</v>
      </c>
      <c r="H29760" s="4" t="str">
        <v/>
      </c>
      <c r="I29760" s="4" t="str">
        <v/>
      </c>
    </row>
    <row r="29761" spans="5:9" ht="16.5" hidden="1">
      <c r="E29761" s="4" t="str">
        <v/>
      </c>
      <c r="F29761" s="102" t="str">
        <f ca="1">IFERROR(__xludf.DUMMYFUNCTION("IMPORTRANGE(H29761,""IDENTITAS UNIT!D9"")"),"#N/A")</f>
        <v>#N/A</v>
      </c>
      <c r="H29761" s="4" t="str">
        <v/>
      </c>
      <c r="I29761" s="4" t="str">
        <v/>
      </c>
    </row>
    <row r="29762" spans="5:9" ht="16.5" hidden="1">
      <c r="E29762" s="4" t="str">
        <v/>
      </c>
      <c r="F29762" s="102" t="str">
        <f ca="1">IFERROR(__xludf.DUMMYFUNCTION("IMPORTRANGE(H29762,""IDENTITAS UNIT!D9"")"),"#N/A")</f>
        <v>#N/A</v>
      </c>
      <c r="H29762" s="4" t="str">
        <v/>
      </c>
      <c r="I29762" s="4" t="str">
        <v/>
      </c>
    </row>
    <row r="29763" spans="5:9" ht="16.5" hidden="1">
      <c r="E29763" s="4" t="str">
        <v/>
      </c>
      <c r="F29763" s="102" t="str">
        <f ca="1">IFERROR(__xludf.DUMMYFUNCTION("IMPORTRANGE(H29763,""IDENTITAS UNIT!D9"")"),"#N/A")</f>
        <v>#N/A</v>
      </c>
      <c r="H29763" s="4" t="str">
        <v/>
      </c>
      <c r="I29763" s="4" t="str">
        <v/>
      </c>
    </row>
    <row r="29764" spans="5:9" ht="16.5" hidden="1">
      <c r="E29764" s="4" t="str">
        <v/>
      </c>
      <c r="F29764" s="102" t="str">
        <f ca="1">IFERROR(__xludf.DUMMYFUNCTION("IMPORTRANGE(H29764,""IDENTITAS UNIT!D9"")"),"#N/A")</f>
        <v>#N/A</v>
      </c>
      <c r="H29764" s="4" t="str">
        <v/>
      </c>
      <c r="I29764" s="4" t="str">
        <v/>
      </c>
    </row>
    <row r="29765" spans="5:9" ht="16.5" hidden="1">
      <c r="E29765" s="4" t="str">
        <v/>
      </c>
      <c r="F29765" s="102" t="str">
        <f ca="1">IFERROR(__xludf.DUMMYFUNCTION("IMPORTRANGE(H29765,""IDENTITAS UNIT!D9"")"),"#N/A")</f>
        <v>#N/A</v>
      </c>
      <c r="H29765" s="4" t="str">
        <v/>
      </c>
      <c r="I29765" s="4" t="str">
        <v/>
      </c>
    </row>
    <row r="29766" spans="5:9" ht="16.5" hidden="1">
      <c r="E29766" s="4" t="str">
        <v/>
      </c>
      <c r="F29766" s="102" t="str">
        <f ca="1">IFERROR(__xludf.DUMMYFUNCTION("IMPORTRANGE(H29766,""IDENTITAS UNIT!D9"")"),"#N/A")</f>
        <v>#N/A</v>
      </c>
      <c r="H29766" s="4" t="str">
        <v/>
      </c>
      <c r="I29766" s="4" t="str">
        <v/>
      </c>
    </row>
    <row r="29767" spans="5:9" ht="16.5" hidden="1">
      <c r="E29767" s="4" t="str">
        <v/>
      </c>
      <c r="F29767" s="102" t="str">
        <f ca="1">IFERROR(__xludf.DUMMYFUNCTION("IMPORTRANGE(H29767,""IDENTITAS UNIT!D9"")"),"#N/A")</f>
        <v>#N/A</v>
      </c>
      <c r="H29767" s="4" t="str">
        <v/>
      </c>
      <c r="I29767" s="4" t="str">
        <v/>
      </c>
    </row>
    <row r="29768" spans="5:9" ht="16.5" hidden="1">
      <c r="E29768" s="4" t="str">
        <v/>
      </c>
      <c r="F29768" s="102" t="str">
        <f ca="1">IFERROR(__xludf.DUMMYFUNCTION("IMPORTRANGE(H29768,""IDENTITAS UNIT!D9"")"),"#N/A")</f>
        <v>#N/A</v>
      </c>
      <c r="H29768" s="4" t="str">
        <v/>
      </c>
      <c r="I29768" s="4" t="str">
        <v/>
      </c>
    </row>
    <row r="29769" spans="5:9" ht="16.5" hidden="1">
      <c r="E29769" s="4" t="str">
        <v/>
      </c>
      <c r="F29769" s="102" t="str">
        <f ca="1">IFERROR(__xludf.DUMMYFUNCTION("IMPORTRANGE(H29769,""IDENTITAS UNIT!D9"")"),"#N/A")</f>
        <v>#N/A</v>
      </c>
      <c r="H29769" s="4" t="str">
        <v/>
      </c>
      <c r="I29769" s="4" t="str">
        <v/>
      </c>
    </row>
    <row r="29770" spans="5:9" ht="16.5" hidden="1">
      <c r="E29770" s="4" t="str">
        <v/>
      </c>
      <c r="F29770" s="102" t="str">
        <f ca="1">IFERROR(__xludf.DUMMYFUNCTION("IMPORTRANGE(H29770,""IDENTITAS UNIT!D9"")"),"#N/A")</f>
        <v>#N/A</v>
      </c>
      <c r="H29770" s="4" t="str">
        <v/>
      </c>
      <c r="I29770" s="4" t="str">
        <v/>
      </c>
    </row>
    <row r="29771" spans="5:9" ht="16.5" hidden="1">
      <c r="E29771" s="4" t="str">
        <v/>
      </c>
      <c r="F29771" s="102" t="str">
        <f ca="1">IFERROR(__xludf.DUMMYFUNCTION("IMPORTRANGE(H29771,""IDENTITAS UNIT!D9"")"),"#N/A")</f>
        <v>#N/A</v>
      </c>
      <c r="H29771" s="4" t="str">
        <v/>
      </c>
      <c r="I29771" s="4" t="str">
        <v/>
      </c>
    </row>
    <row r="29772" spans="5:9" ht="16.5" hidden="1">
      <c r="E29772" s="4" t="str">
        <v/>
      </c>
      <c r="F29772" s="102" t="str">
        <f ca="1">IFERROR(__xludf.DUMMYFUNCTION("IMPORTRANGE(H29772,""IDENTITAS UNIT!D9"")"),"#N/A")</f>
        <v>#N/A</v>
      </c>
      <c r="H29772" s="4" t="str">
        <v/>
      </c>
      <c r="I29772" s="4" t="str">
        <v/>
      </c>
    </row>
    <row r="29773" spans="5:9" ht="16.5" hidden="1">
      <c r="E29773" s="4" t="str">
        <v/>
      </c>
      <c r="F29773" s="102" t="str">
        <f ca="1">IFERROR(__xludf.DUMMYFUNCTION("IMPORTRANGE(H29773,""IDENTITAS UNIT!D9"")"),"#N/A")</f>
        <v>#N/A</v>
      </c>
      <c r="H29773" s="4" t="str">
        <v/>
      </c>
      <c r="I29773" s="4" t="str">
        <v/>
      </c>
    </row>
    <row r="29774" spans="5:9" ht="16.5" hidden="1">
      <c r="E29774" s="4" t="str">
        <v/>
      </c>
      <c r="F29774" s="102" t="str">
        <f ca="1">IFERROR(__xludf.DUMMYFUNCTION("IMPORTRANGE(H29774,""IDENTITAS UNIT!D9"")"),"#N/A")</f>
        <v>#N/A</v>
      </c>
      <c r="H29774" s="4" t="str">
        <v/>
      </c>
      <c r="I29774" s="4" t="str">
        <v/>
      </c>
    </row>
    <row r="29775" spans="5:9" ht="16.5" hidden="1">
      <c r="E29775" s="4" t="str">
        <v/>
      </c>
      <c r="F29775" s="102" t="str">
        <f ca="1">IFERROR(__xludf.DUMMYFUNCTION("IMPORTRANGE(H29775,""IDENTITAS UNIT!D9"")"),"#N/A")</f>
        <v>#N/A</v>
      </c>
      <c r="H29775" s="4" t="str">
        <v/>
      </c>
      <c r="I29775" s="4" t="str">
        <v/>
      </c>
    </row>
    <row r="29776" spans="5:9" ht="16.5" hidden="1">
      <c r="E29776" s="4" t="str">
        <v/>
      </c>
      <c r="F29776" s="102" t="str">
        <f ca="1">IFERROR(__xludf.DUMMYFUNCTION("IMPORTRANGE(H29776,""IDENTITAS UNIT!D9"")"),"#N/A")</f>
        <v>#N/A</v>
      </c>
      <c r="H29776" s="4" t="str">
        <v/>
      </c>
      <c r="I29776" s="4" t="str">
        <v/>
      </c>
    </row>
    <row r="29777" spans="5:9" ht="16.5" hidden="1">
      <c r="E29777" s="4" t="str">
        <v/>
      </c>
      <c r="F29777" s="102" t="str">
        <f ca="1">IFERROR(__xludf.DUMMYFUNCTION("IMPORTRANGE(H29777,""IDENTITAS UNIT!D9"")"),"#N/A")</f>
        <v>#N/A</v>
      </c>
      <c r="H29777" s="4" t="str">
        <v/>
      </c>
      <c r="I29777" s="4" t="str">
        <v/>
      </c>
    </row>
    <row r="29778" spans="5:9" ht="16.5" hidden="1">
      <c r="E29778" s="4" t="str">
        <v/>
      </c>
      <c r="F29778" s="102" t="str">
        <f ca="1">IFERROR(__xludf.DUMMYFUNCTION("IMPORTRANGE(H29778,""IDENTITAS UNIT!D9"")"),"#N/A")</f>
        <v>#N/A</v>
      </c>
      <c r="H29778" s="4" t="str">
        <v/>
      </c>
      <c r="I29778" s="4" t="str">
        <v/>
      </c>
    </row>
    <row r="29779" spans="5:9" ht="16.5" hidden="1">
      <c r="E29779" s="4" t="str">
        <v/>
      </c>
      <c r="F29779" s="102" t="str">
        <f ca="1">IFERROR(__xludf.DUMMYFUNCTION("IMPORTRANGE(H29779,""IDENTITAS UNIT!D9"")"),"#N/A")</f>
        <v>#N/A</v>
      </c>
      <c r="H29779" s="4" t="str">
        <v/>
      </c>
      <c r="I29779" s="4" t="str">
        <v/>
      </c>
    </row>
    <row r="29780" spans="5:9" ht="16.5" hidden="1">
      <c r="E29780" s="4" t="str">
        <v/>
      </c>
      <c r="F29780" s="102" t="str">
        <f ca="1">IFERROR(__xludf.DUMMYFUNCTION("IMPORTRANGE(H29780,""IDENTITAS UNIT!D9"")"),"#N/A")</f>
        <v>#N/A</v>
      </c>
      <c r="H29780" s="4" t="str">
        <v/>
      </c>
      <c r="I29780" s="4" t="str">
        <v/>
      </c>
    </row>
    <row r="29781" spans="5:9" ht="16.5" hidden="1">
      <c r="E29781" s="4" t="str">
        <v/>
      </c>
      <c r="F29781" s="102" t="str">
        <f ca="1">IFERROR(__xludf.DUMMYFUNCTION("IMPORTRANGE(H29781,""IDENTITAS UNIT!D9"")"),"#N/A")</f>
        <v>#N/A</v>
      </c>
      <c r="H29781" s="4" t="str">
        <v/>
      </c>
      <c r="I29781" s="4" t="str">
        <v/>
      </c>
    </row>
    <row r="29782" spans="5:9" ht="16.5" hidden="1">
      <c r="E29782" s="4" t="str">
        <v/>
      </c>
      <c r="F29782" s="102" t="str">
        <f ca="1">IFERROR(__xludf.DUMMYFUNCTION("IMPORTRANGE(H29782,""IDENTITAS UNIT!D9"")"),"#N/A")</f>
        <v>#N/A</v>
      </c>
      <c r="H29782" s="4" t="str">
        <v/>
      </c>
      <c r="I29782" s="4" t="str">
        <v/>
      </c>
    </row>
    <row r="29783" spans="5:9" ht="16.5" hidden="1">
      <c r="E29783" s="4" t="str">
        <v/>
      </c>
      <c r="F29783" s="102" t="str">
        <f ca="1">IFERROR(__xludf.DUMMYFUNCTION("IMPORTRANGE(H29783,""IDENTITAS UNIT!D9"")"),"#N/A")</f>
        <v>#N/A</v>
      </c>
      <c r="H29783" s="4" t="str">
        <v/>
      </c>
      <c r="I29783" s="4" t="str">
        <v/>
      </c>
    </row>
    <row r="29784" spans="5:9" ht="16.5" hidden="1">
      <c r="E29784" s="4" t="str">
        <v/>
      </c>
      <c r="F29784" s="102" t="str">
        <f ca="1">IFERROR(__xludf.DUMMYFUNCTION("IMPORTRANGE(H29784,""IDENTITAS UNIT!D9"")"),"#N/A")</f>
        <v>#N/A</v>
      </c>
      <c r="H29784" s="4" t="str">
        <v/>
      </c>
      <c r="I29784" s="4" t="str">
        <v/>
      </c>
    </row>
    <row r="29785" spans="5:9" ht="16.5" hidden="1">
      <c r="E29785" s="4" t="str">
        <v/>
      </c>
      <c r="F29785" s="102" t="str">
        <f ca="1">IFERROR(__xludf.DUMMYFUNCTION("IMPORTRANGE(H29785,""IDENTITAS UNIT!D9"")"),"#N/A")</f>
        <v>#N/A</v>
      </c>
      <c r="H29785" s="4" t="str">
        <v/>
      </c>
      <c r="I29785" s="4" t="str">
        <v/>
      </c>
    </row>
    <row r="29786" spans="5:9" ht="16.5" hidden="1">
      <c r="E29786" s="4" t="str">
        <v/>
      </c>
      <c r="F29786" s="102" t="str">
        <f ca="1">IFERROR(__xludf.DUMMYFUNCTION("IMPORTRANGE(H29786,""IDENTITAS UNIT!D9"")"),"#N/A")</f>
        <v>#N/A</v>
      </c>
      <c r="H29786" s="4" t="str">
        <v/>
      </c>
      <c r="I29786" s="4" t="str">
        <v/>
      </c>
    </row>
    <row r="29787" spans="5:9" ht="16.5" hidden="1">
      <c r="E29787" s="4" t="str">
        <v/>
      </c>
      <c r="F29787" s="102" t="str">
        <f ca="1">IFERROR(__xludf.DUMMYFUNCTION("IMPORTRANGE(H29787,""IDENTITAS UNIT!D9"")"),"#N/A")</f>
        <v>#N/A</v>
      </c>
      <c r="H29787" s="4" t="str">
        <v/>
      </c>
      <c r="I29787" s="4" t="str">
        <v/>
      </c>
    </row>
    <row r="29788" spans="5:9" ht="16.5" hidden="1">
      <c r="E29788" s="4" t="str">
        <v/>
      </c>
      <c r="F29788" s="102" t="str">
        <f ca="1">IFERROR(__xludf.DUMMYFUNCTION("IMPORTRANGE(H29788,""IDENTITAS UNIT!D9"")"),"#N/A")</f>
        <v>#N/A</v>
      </c>
      <c r="H29788" s="4" t="str">
        <v/>
      </c>
      <c r="I29788" s="4" t="str">
        <v/>
      </c>
    </row>
    <row r="29789" spans="5:9" ht="16.5" hidden="1">
      <c r="E29789" s="4" t="str">
        <v/>
      </c>
      <c r="F29789" s="102" t="str">
        <f ca="1">IFERROR(__xludf.DUMMYFUNCTION("IMPORTRANGE(H29789,""IDENTITAS UNIT!D9"")"),"#N/A")</f>
        <v>#N/A</v>
      </c>
      <c r="H29789" s="4" t="str">
        <v/>
      </c>
      <c r="I29789" s="4" t="str">
        <v/>
      </c>
    </row>
    <row r="29790" spans="5:9" ht="16.5" hidden="1">
      <c r="E29790" s="4" t="str">
        <v/>
      </c>
      <c r="F29790" s="102" t="str">
        <f ca="1">IFERROR(__xludf.DUMMYFUNCTION("IMPORTRANGE(H29790,""IDENTITAS UNIT!D9"")"),"#N/A")</f>
        <v>#N/A</v>
      </c>
      <c r="H29790" s="4" t="str">
        <v/>
      </c>
      <c r="I29790" s="4" t="str">
        <v/>
      </c>
    </row>
    <row r="29791" spans="5:9" ht="16.5" hidden="1">
      <c r="E29791" s="4" t="str">
        <v/>
      </c>
      <c r="F29791" s="102" t="str">
        <f ca="1">IFERROR(__xludf.DUMMYFUNCTION("IMPORTRANGE(H29791,""IDENTITAS UNIT!D9"")"),"#N/A")</f>
        <v>#N/A</v>
      </c>
      <c r="H29791" s="4" t="str">
        <v/>
      </c>
      <c r="I29791" s="4" t="str">
        <v/>
      </c>
    </row>
    <row r="29792" spans="5:9" ht="16.5" hidden="1">
      <c r="E29792" s="4" t="str">
        <v/>
      </c>
      <c r="F29792" s="102" t="str">
        <f ca="1">IFERROR(__xludf.DUMMYFUNCTION("IMPORTRANGE(H29792,""IDENTITAS UNIT!D9"")"),"#N/A")</f>
        <v>#N/A</v>
      </c>
      <c r="H29792" s="4" t="str">
        <v/>
      </c>
      <c r="I29792" s="4" t="str">
        <v/>
      </c>
    </row>
    <row r="29793" spans="5:9" ht="16.5" hidden="1">
      <c r="E29793" s="4" t="str">
        <v/>
      </c>
      <c r="F29793" s="102" t="str">
        <f ca="1">IFERROR(__xludf.DUMMYFUNCTION("IMPORTRANGE(H29793,""IDENTITAS UNIT!D9"")"),"#N/A")</f>
        <v>#N/A</v>
      </c>
      <c r="H29793" s="4" t="str">
        <v/>
      </c>
      <c r="I29793" s="4" t="str">
        <v/>
      </c>
    </row>
    <row r="29794" spans="5:9" ht="16.5" hidden="1">
      <c r="E29794" s="4" t="str">
        <v/>
      </c>
      <c r="F29794" s="102" t="str">
        <f ca="1">IFERROR(__xludf.DUMMYFUNCTION("IMPORTRANGE(H29794,""IDENTITAS UNIT!D9"")"),"#N/A")</f>
        <v>#N/A</v>
      </c>
      <c r="H29794" s="4" t="str">
        <v/>
      </c>
      <c r="I29794" s="4" t="str">
        <v/>
      </c>
    </row>
    <row r="29795" spans="5:9" ht="16.5" hidden="1">
      <c r="E29795" s="4" t="str">
        <v/>
      </c>
      <c r="F29795" s="102" t="str">
        <f ca="1">IFERROR(__xludf.DUMMYFUNCTION("IMPORTRANGE(H29795,""IDENTITAS UNIT!D9"")"),"#N/A")</f>
        <v>#N/A</v>
      </c>
      <c r="H29795" s="4" t="str">
        <v/>
      </c>
      <c r="I29795" s="4" t="str">
        <v/>
      </c>
    </row>
    <row r="29796" spans="5:9" ht="16.5" hidden="1">
      <c r="E29796" s="4" t="str">
        <v/>
      </c>
      <c r="F29796" s="102" t="str">
        <f ca="1">IFERROR(__xludf.DUMMYFUNCTION("IMPORTRANGE(H29796,""IDENTITAS UNIT!D9"")"),"#N/A")</f>
        <v>#N/A</v>
      </c>
      <c r="H29796" s="4" t="str">
        <v/>
      </c>
      <c r="I29796" s="4" t="str">
        <v/>
      </c>
    </row>
    <row r="29797" spans="5:9" ht="16.5" hidden="1">
      <c r="E29797" s="4" t="str">
        <v/>
      </c>
      <c r="F29797" s="102" t="str">
        <f ca="1">IFERROR(__xludf.DUMMYFUNCTION("IMPORTRANGE(H29797,""IDENTITAS UNIT!D9"")"),"#N/A")</f>
        <v>#N/A</v>
      </c>
      <c r="H29797" s="4" t="str">
        <v/>
      </c>
      <c r="I29797" s="4" t="str">
        <v/>
      </c>
    </row>
    <row r="29798" spans="5:9" ht="16.5" hidden="1">
      <c r="E29798" s="4" t="str">
        <v/>
      </c>
      <c r="F29798" s="102" t="str">
        <f ca="1">IFERROR(__xludf.DUMMYFUNCTION("IMPORTRANGE(H29798,""IDENTITAS UNIT!D9"")"),"#N/A")</f>
        <v>#N/A</v>
      </c>
      <c r="H29798" s="4" t="str">
        <v/>
      </c>
      <c r="I29798" s="4" t="str">
        <v/>
      </c>
    </row>
    <row r="29799" spans="5:9" ht="16.5" hidden="1">
      <c r="E29799" s="4" t="str">
        <v/>
      </c>
      <c r="F29799" s="102" t="str">
        <f ca="1">IFERROR(__xludf.DUMMYFUNCTION("IMPORTRANGE(H29799,""IDENTITAS UNIT!D9"")"),"#N/A")</f>
        <v>#N/A</v>
      </c>
      <c r="H29799" s="4" t="str">
        <v/>
      </c>
      <c r="I29799" s="4" t="str">
        <v/>
      </c>
    </row>
    <row r="29800" spans="5:9" ht="16.5" hidden="1">
      <c r="E29800" s="4" t="str">
        <v/>
      </c>
      <c r="F29800" s="102" t="str">
        <f ca="1">IFERROR(__xludf.DUMMYFUNCTION("IMPORTRANGE(H29800,""IDENTITAS UNIT!D9"")"),"#N/A")</f>
        <v>#N/A</v>
      </c>
      <c r="H29800" s="4" t="str">
        <v/>
      </c>
      <c r="I29800" s="4" t="str">
        <v/>
      </c>
    </row>
    <row r="29801" spans="5:9" ht="16.5" hidden="1">
      <c r="E29801" s="4" t="str">
        <v/>
      </c>
      <c r="F29801" s="102" t="str">
        <f ca="1">IFERROR(__xludf.DUMMYFUNCTION("IMPORTRANGE(H29801,""IDENTITAS UNIT!D9"")"),"#N/A")</f>
        <v>#N/A</v>
      </c>
      <c r="H29801" s="4" t="str">
        <v/>
      </c>
      <c r="I29801" s="4" t="str">
        <v/>
      </c>
    </row>
    <row r="29802" spans="5:9" ht="16.5" hidden="1">
      <c r="E29802" s="4" t="str">
        <v/>
      </c>
      <c r="F29802" s="102" t="str">
        <f ca="1">IFERROR(__xludf.DUMMYFUNCTION("IMPORTRANGE(H29802,""IDENTITAS UNIT!D9"")"),"#N/A")</f>
        <v>#N/A</v>
      </c>
      <c r="H29802" s="4" t="str">
        <v/>
      </c>
      <c r="I29802" s="4" t="str">
        <v/>
      </c>
    </row>
    <row r="29803" spans="5:9" ht="16.5" hidden="1">
      <c r="E29803" s="4" t="str">
        <v/>
      </c>
      <c r="F29803" s="102" t="str">
        <f ca="1">IFERROR(__xludf.DUMMYFUNCTION("IMPORTRANGE(H29803,""IDENTITAS UNIT!D9"")"),"#N/A")</f>
        <v>#N/A</v>
      </c>
      <c r="H29803" s="4" t="str">
        <v/>
      </c>
      <c r="I29803" s="4" t="str">
        <v/>
      </c>
    </row>
    <row r="29804" spans="5:9" ht="16.5" hidden="1">
      <c r="E29804" s="4" t="str">
        <v/>
      </c>
      <c r="F29804" s="102" t="str">
        <f ca="1">IFERROR(__xludf.DUMMYFUNCTION("IMPORTRANGE(H29804,""IDENTITAS UNIT!D9"")"),"#N/A")</f>
        <v>#N/A</v>
      </c>
      <c r="H29804" s="4" t="str">
        <v/>
      </c>
      <c r="I29804" s="4" t="str">
        <v/>
      </c>
    </row>
    <row r="29805" spans="5:9" ht="16.5" hidden="1">
      <c r="E29805" s="4" t="str">
        <v/>
      </c>
      <c r="F29805" s="102" t="str">
        <f ca="1">IFERROR(__xludf.DUMMYFUNCTION("IMPORTRANGE(H29805,""IDENTITAS UNIT!D9"")"),"#N/A")</f>
        <v>#N/A</v>
      </c>
      <c r="H29805" s="4" t="str">
        <v/>
      </c>
      <c r="I29805" s="4" t="str">
        <v/>
      </c>
    </row>
    <row r="29806" spans="5:9" ht="16.5" hidden="1">
      <c r="E29806" s="4" t="str">
        <v/>
      </c>
      <c r="F29806" s="102" t="str">
        <f ca="1">IFERROR(__xludf.DUMMYFUNCTION("IMPORTRANGE(H29806,""IDENTITAS UNIT!D9"")"),"#N/A")</f>
        <v>#N/A</v>
      </c>
      <c r="H29806" s="4" t="str">
        <v/>
      </c>
      <c r="I29806" s="4" t="str">
        <v/>
      </c>
    </row>
    <row r="29807" spans="5:9" ht="16.5" hidden="1">
      <c r="E29807" s="4" t="str">
        <v/>
      </c>
      <c r="F29807" s="102" t="str">
        <f ca="1">IFERROR(__xludf.DUMMYFUNCTION("IMPORTRANGE(H29807,""IDENTITAS UNIT!D9"")"),"#N/A")</f>
        <v>#N/A</v>
      </c>
      <c r="H29807" s="4" t="str">
        <v/>
      </c>
      <c r="I29807" s="4" t="str">
        <v/>
      </c>
    </row>
    <row r="29808" spans="5:9" ht="16.5" hidden="1">
      <c r="E29808" s="4" t="str">
        <v/>
      </c>
      <c r="F29808" s="102" t="str">
        <f ca="1">IFERROR(__xludf.DUMMYFUNCTION("IMPORTRANGE(H29808,""IDENTITAS UNIT!D9"")"),"#N/A")</f>
        <v>#N/A</v>
      </c>
      <c r="H29808" s="4" t="str">
        <v/>
      </c>
      <c r="I29808" s="4" t="str">
        <v/>
      </c>
    </row>
    <row r="29809" spans="5:9" ht="16.5" hidden="1">
      <c r="E29809" s="4" t="str">
        <v/>
      </c>
      <c r="F29809" s="102" t="str">
        <f ca="1">IFERROR(__xludf.DUMMYFUNCTION("IMPORTRANGE(H29809,""IDENTITAS UNIT!D9"")"),"#N/A")</f>
        <v>#N/A</v>
      </c>
      <c r="H29809" s="4" t="str">
        <v/>
      </c>
      <c r="I29809" s="4" t="str">
        <v/>
      </c>
    </row>
    <row r="29810" spans="5:9" ht="16.5" hidden="1">
      <c r="E29810" s="4" t="str">
        <v/>
      </c>
      <c r="F29810" s="102" t="str">
        <f ca="1">IFERROR(__xludf.DUMMYFUNCTION("IMPORTRANGE(H29810,""IDENTITAS UNIT!D9"")"),"#N/A")</f>
        <v>#N/A</v>
      </c>
      <c r="H29810" s="4" t="str">
        <v/>
      </c>
      <c r="I29810" s="4" t="str">
        <v/>
      </c>
    </row>
    <row r="29811" spans="5:9" ht="16.5" hidden="1">
      <c r="E29811" s="4" t="str">
        <v/>
      </c>
      <c r="F29811" s="102" t="str">
        <f ca="1">IFERROR(__xludf.DUMMYFUNCTION("IMPORTRANGE(H29811,""IDENTITAS UNIT!D9"")"),"#N/A")</f>
        <v>#N/A</v>
      </c>
      <c r="H29811" s="4" t="str">
        <v/>
      </c>
      <c r="I29811" s="4" t="str">
        <v/>
      </c>
    </row>
    <row r="29812" spans="5:9" ht="16.5" hidden="1">
      <c r="E29812" s="4" t="str">
        <v/>
      </c>
      <c r="F29812" s="102" t="str">
        <f ca="1">IFERROR(__xludf.DUMMYFUNCTION("IMPORTRANGE(H29812,""IDENTITAS UNIT!D9"")"),"#N/A")</f>
        <v>#N/A</v>
      </c>
      <c r="H29812" s="4" t="str">
        <v/>
      </c>
      <c r="I29812" s="4" t="str">
        <v/>
      </c>
    </row>
    <row r="29813" spans="5:9" ht="16.5" hidden="1">
      <c r="E29813" s="4" t="str">
        <v/>
      </c>
      <c r="F29813" s="102" t="str">
        <f ca="1">IFERROR(__xludf.DUMMYFUNCTION("IMPORTRANGE(H29813,""IDENTITAS UNIT!D9"")"),"#N/A")</f>
        <v>#N/A</v>
      </c>
      <c r="H29813" s="4" t="str">
        <v/>
      </c>
      <c r="I29813" s="4" t="str">
        <v/>
      </c>
    </row>
    <row r="29814" spans="5:9" ht="16.5" hidden="1">
      <c r="E29814" s="4" t="str">
        <v/>
      </c>
      <c r="F29814" s="102" t="str">
        <f ca="1">IFERROR(__xludf.DUMMYFUNCTION("IMPORTRANGE(H29814,""IDENTITAS UNIT!D9"")"),"#N/A")</f>
        <v>#N/A</v>
      </c>
      <c r="H29814" s="4" t="str">
        <v/>
      </c>
      <c r="I29814" s="4" t="str">
        <v/>
      </c>
    </row>
    <row r="29815" spans="5:9" ht="16.5" hidden="1">
      <c r="E29815" s="4" t="str">
        <v/>
      </c>
      <c r="F29815" s="102" t="str">
        <f ca="1">IFERROR(__xludf.DUMMYFUNCTION("IMPORTRANGE(H29815,""IDENTITAS UNIT!D9"")"),"#N/A")</f>
        <v>#N/A</v>
      </c>
      <c r="H29815" s="4" t="str">
        <v/>
      </c>
      <c r="I29815" s="4" t="str">
        <v/>
      </c>
    </row>
    <row r="29816" spans="5:9" ht="16.5" hidden="1">
      <c r="E29816" s="4" t="str">
        <v/>
      </c>
      <c r="F29816" s="102" t="str">
        <f ca="1">IFERROR(__xludf.DUMMYFUNCTION("IMPORTRANGE(H29816,""IDENTITAS UNIT!D9"")"),"#N/A")</f>
        <v>#N/A</v>
      </c>
      <c r="H29816" s="4" t="str">
        <v/>
      </c>
      <c r="I29816" s="4" t="str">
        <v/>
      </c>
    </row>
    <row r="29817" spans="5:9" ht="16.5" hidden="1">
      <c r="E29817" s="4" t="str">
        <v/>
      </c>
      <c r="F29817" s="102" t="str">
        <f ca="1">IFERROR(__xludf.DUMMYFUNCTION("IMPORTRANGE(H29817,""IDENTITAS UNIT!D9"")"),"#N/A")</f>
        <v>#N/A</v>
      </c>
      <c r="H29817" s="4" t="str">
        <v/>
      </c>
      <c r="I29817" s="4" t="str">
        <v/>
      </c>
    </row>
    <row r="29818" spans="5:9" ht="16.5" hidden="1">
      <c r="E29818" s="4" t="str">
        <v/>
      </c>
      <c r="F29818" s="102" t="str">
        <f ca="1">IFERROR(__xludf.DUMMYFUNCTION("IMPORTRANGE(H29818,""IDENTITAS UNIT!D9"")"),"#N/A")</f>
        <v>#N/A</v>
      </c>
      <c r="H29818" s="4" t="str">
        <v/>
      </c>
      <c r="I29818" s="4" t="str">
        <v/>
      </c>
    </row>
    <row r="29819" spans="5:9" ht="16.5" hidden="1">
      <c r="E29819" s="4" t="str">
        <v/>
      </c>
      <c r="F29819" s="102" t="str">
        <f ca="1">IFERROR(__xludf.DUMMYFUNCTION("IMPORTRANGE(H29819,""IDENTITAS UNIT!D9"")"),"#N/A")</f>
        <v>#N/A</v>
      </c>
      <c r="H29819" s="4" t="str">
        <v/>
      </c>
      <c r="I29819" s="4" t="str">
        <v/>
      </c>
    </row>
    <row r="29820" spans="5:9" ht="16.5" hidden="1">
      <c r="E29820" s="4" t="str">
        <v/>
      </c>
      <c r="F29820" s="102" t="str">
        <f ca="1">IFERROR(__xludf.DUMMYFUNCTION("IMPORTRANGE(H29820,""IDENTITAS UNIT!D9"")"),"#N/A")</f>
        <v>#N/A</v>
      </c>
      <c r="H29820" s="4" t="str">
        <v/>
      </c>
      <c r="I29820" s="4" t="str">
        <v/>
      </c>
    </row>
    <row r="29821" spans="5:9" ht="16.5" hidden="1">
      <c r="E29821" s="4" t="str">
        <v/>
      </c>
      <c r="F29821" s="102" t="str">
        <f ca="1">IFERROR(__xludf.DUMMYFUNCTION("IMPORTRANGE(H29821,""IDENTITAS UNIT!D9"")"),"#N/A")</f>
        <v>#N/A</v>
      </c>
      <c r="H29821" s="4" t="str">
        <v/>
      </c>
      <c r="I29821" s="4" t="str">
        <v/>
      </c>
    </row>
    <row r="29822" spans="5:9" ht="16.5" hidden="1">
      <c r="E29822" s="4" t="str">
        <v/>
      </c>
      <c r="F29822" s="102" t="str">
        <f ca="1">IFERROR(__xludf.DUMMYFUNCTION("IMPORTRANGE(H29822,""IDENTITAS UNIT!D9"")"),"#N/A")</f>
        <v>#N/A</v>
      </c>
      <c r="H29822" s="4" t="str">
        <v/>
      </c>
      <c r="I29822" s="4" t="str">
        <v/>
      </c>
    </row>
    <row r="29823" spans="5:9" ht="16.5" hidden="1">
      <c r="E29823" s="4" t="str">
        <v/>
      </c>
      <c r="F29823" s="102" t="str">
        <f ca="1">IFERROR(__xludf.DUMMYFUNCTION("IMPORTRANGE(H29823,""IDENTITAS UNIT!D9"")"),"#N/A")</f>
        <v>#N/A</v>
      </c>
      <c r="H29823" s="4" t="str">
        <v/>
      </c>
      <c r="I29823" s="4" t="str">
        <v/>
      </c>
    </row>
    <row r="29824" spans="5:9" ht="16.5" hidden="1">
      <c r="E29824" s="4" t="str">
        <v/>
      </c>
      <c r="F29824" s="102" t="str">
        <f ca="1">IFERROR(__xludf.DUMMYFUNCTION("IMPORTRANGE(H29824,""IDENTITAS UNIT!D9"")"),"#N/A")</f>
        <v>#N/A</v>
      </c>
      <c r="H29824" s="4" t="str">
        <v/>
      </c>
      <c r="I29824" s="4" t="str">
        <v/>
      </c>
    </row>
    <row r="29825" spans="5:9" ht="16.5" hidden="1">
      <c r="E29825" s="4" t="str">
        <v/>
      </c>
      <c r="F29825" s="102" t="str">
        <f ca="1">IFERROR(__xludf.DUMMYFUNCTION("IMPORTRANGE(H29825,""IDENTITAS UNIT!D9"")"),"#N/A")</f>
        <v>#N/A</v>
      </c>
      <c r="H29825" s="4" t="str">
        <v/>
      </c>
      <c r="I29825" s="4" t="str">
        <v/>
      </c>
    </row>
    <row r="29826" spans="5:9" ht="16.5" hidden="1">
      <c r="E29826" s="4" t="str">
        <v/>
      </c>
      <c r="F29826" s="102" t="str">
        <f ca="1">IFERROR(__xludf.DUMMYFUNCTION("IMPORTRANGE(H29826,""IDENTITAS UNIT!D9"")"),"#N/A")</f>
        <v>#N/A</v>
      </c>
      <c r="H29826" s="4" t="str">
        <v/>
      </c>
      <c r="I29826" s="4" t="str">
        <v/>
      </c>
    </row>
    <row r="29827" spans="5:9" ht="16.5" hidden="1">
      <c r="E29827" s="4" t="str">
        <v/>
      </c>
      <c r="F29827" s="102" t="str">
        <f ca="1">IFERROR(__xludf.DUMMYFUNCTION("IMPORTRANGE(H29827,""IDENTITAS UNIT!D9"")"),"#N/A")</f>
        <v>#N/A</v>
      </c>
      <c r="H29827" s="4" t="str">
        <v/>
      </c>
      <c r="I29827" s="4" t="str">
        <v/>
      </c>
    </row>
    <row r="29828" spans="5:9" ht="16.5" hidden="1">
      <c r="E29828" s="4" t="str">
        <v/>
      </c>
      <c r="F29828" s="102" t="str">
        <f ca="1">IFERROR(__xludf.DUMMYFUNCTION("IMPORTRANGE(H29828,""IDENTITAS UNIT!D9"")"),"#N/A")</f>
        <v>#N/A</v>
      </c>
      <c r="H29828" s="4" t="str">
        <v/>
      </c>
      <c r="I29828" s="4" t="str">
        <v/>
      </c>
    </row>
    <row r="29829" spans="5:9" ht="16.5" hidden="1">
      <c r="E29829" s="4" t="str">
        <v/>
      </c>
      <c r="F29829" s="102" t="str">
        <f ca="1">IFERROR(__xludf.DUMMYFUNCTION("IMPORTRANGE(H29829,""IDENTITAS UNIT!D9"")"),"#N/A")</f>
        <v>#N/A</v>
      </c>
      <c r="H29829" s="4" t="str">
        <v/>
      </c>
      <c r="I29829" s="4" t="str">
        <v/>
      </c>
    </row>
    <row r="29830" spans="5:9" ht="16.5" hidden="1">
      <c r="E29830" s="4" t="str">
        <v/>
      </c>
      <c r="F29830" s="102" t="str">
        <f ca="1">IFERROR(__xludf.DUMMYFUNCTION("IMPORTRANGE(H29830,""IDENTITAS UNIT!D9"")"),"#N/A")</f>
        <v>#N/A</v>
      </c>
      <c r="H29830" s="4" t="str">
        <v/>
      </c>
      <c r="I29830" s="4" t="str">
        <v/>
      </c>
    </row>
    <row r="29831" spans="5:9" ht="16.5" hidden="1">
      <c r="E29831" s="4" t="str">
        <v/>
      </c>
      <c r="F29831" s="102" t="str">
        <f ca="1">IFERROR(__xludf.DUMMYFUNCTION("IMPORTRANGE(H29831,""IDENTITAS UNIT!D9"")"),"#N/A")</f>
        <v>#N/A</v>
      </c>
      <c r="H29831" s="4" t="str">
        <v/>
      </c>
      <c r="I29831" s="4" t="str">
        <v/>
      </c>
    </row>
    <row r="29832" spans="5:9" ht="16.5" hidden="1">
      <c r="E29832" s="4" t="str">
        <v/>
      </c>
      <c r="F29832" s="102" t="str">
        <f ca="1">IFERROR(__xludf.DUMMYFUNCTION("IMPORTRANGE(H29832,""IDENTITAS UNIT!D9"")"),"#N/A")</f>
        <v>#N/A</v>
      </c>
      <c r="H29832" s="4" t="str">
        <v/>
      </c>
      <c r="I29832" s="4" t="str">
        <v/>
      </c>
    </row>
    <row r="29833" spans="5:9" ht="16.5" hidden="1">
      <c r="E29833" s="4" t="str">
        <v/>
      </c>
      <c r="F29833" s="102" t="str">
        <f ca="1">IFERROR(__xludf.DUMMYFUNCTION("IMPORTRANGE(H29833,""IDENTITAS UNIT!D9"")"),"#N/A")</f>
        <v>#N/A</v>
      </c>
      <c r="H29833" s="4" t="str">
        <v/>
      </c>
      <c r="I29833" s="4" t="str">
        <v/>
      </c>
    </row>
    <row r="29834" spans="5:9" ht="16.5" hidden="1">
      <c r="E29834" s="4" t="str">
        <v/>
      </c>
      <c r="F29834" s="102" t="str">
        <f ca="1">IFERROR(__xludf.DUMMYFUNCTION("IMPORTRANGE(H29834,""IDENTITAS UNIT!D9"")"),"#N/A")</f>
        <v>#N/A</v>
      </c>
      <c r="H29834" s="4" t="str">
        <v/>
      </c>
      <c r="I29834" s="4" t="str">
        <v/>
      </c>
    </row>
    <row r="29835" spans="5:9" ht="16.5" hidden="1">
      <c r="E29835" s="4" t="str">
        <v/>
      </c>
      <c r="F29835" s="102" t="str">
        <f ca="1">IFERROR(__xludf.DUMMYFUNCTION("IMPORTRANGE(H29835,""IDENTITAS UNIT!D9"")"),"#N/A")</f>
        <v>#N/A</v>
      </c>
      <c r="H29835" s="4" t="str">
        <v/>
      </c>
      <c r="I29835" s="4" t="str">
        <v/>
      </c>
    </row>
    <row r="29836" spans="5:9" ht="16.5" hidden="1">
      <c r="E29836" s="4" t="str">
        <v/>
      </c>
      <c r="F29836" s="102" t="str">
        <f ca="1">IFERROR(__xludf.DUMMYFUNCTION("IMPORTRANGE(H29836,""IDENTITAS UNIT!D9"")"),"#N/A")</f>
        <v>#N/A</v>
      </c>
      <c r="H29836" s="4" t="str">
        <v/>
      </c>
      <c r="I29836" s="4" t="str">
        <v/>
      </c>
    </row>
    <row r="29837" spans="5:9" ht="16.5" hidden="1">
      <c r="E29837" s="4" t="str">
        <v/>
      </c>
      <c r="F29837" s="102" t="str">
        <f ca="1">IFERROR(__xludf.DUMMYFUNCTION("IMPORTRANGE(H29837,""IDENTITAS UNIT!D9"")"),"#N/A")</f>
        <v>#N/A</v>
      </c>
      <c r="H29837" s="4" t="str">
        <v/>
      </c>
      <c r="I29837" s="4" t="str">
        <v/>
      </c>
    </row>
    <row r="29838" spans="5:9" ht="16.5" hidden="1">
      <c r="E29838" s="4" t="str">
        <v/>
      </c>
      <c r="F29838" s="102" t="str">
        <f ca="1">IFERROR(__xludf.DUMMYFUNCTION("IMPORTRANGE(H29838,""IDENTITAS UNIT!D9"")"),"#N/A")</f>
        <v>#N/A</v>
      </c>
      <c r="H29838" s="4" t="str">
        <v/>
      </c>
      <c r="I29838" s="4" t="str">
        <v/>
      </c>
    </row>
    <row r="29839" spans="5:9" ht="16.5" hidden="1">
      <c r="E29839" s="4" t="str">
        <v/>
      </c>
      <c r="F29839" s="102" t="str">
        <f ca="1">IFERROR(__xludf.DUMMYFUNCTION("IMPORTRANGE(H29839,""IDENTITAS UNIT!D9"")"),"#N/A")</f>
        <v>#N/A</v>
      </c>
      <c r="H29839" s="4" t="str">
        <v/>
      </c>
      <c r="I29839" s="4" t="str">
        <v/>
      </c>
    </row>
    <row r="29840" spans="5:9" ht="16.5" hidden="1">
      <c r="E29840" s="4" t="str">
        <v/>
      </c>
      <c r="F29840" s="102" t="str">
        <f ca="1">IFERROR(__xludf.DUMMYFUNCTION("IMPORTRANGE(H29840,""IDENTITAS UNIT!D9"")"),"#N/A")</f>
        <v>#N/A</v>
      </c>
      <c r="H29840" s="4" t="str">
        <v/>
      </c>
      <c r="I29840" s="4" t="str">
        <v/>
      </c>
    </row>
    <row r="29841" spans="5:9" ht="16.5" hidden="1">
      <c r="E29841" s="4" t="str">
        <v/>
      </c>
      <c r="F29841" s="102" t="str">
        <f ca="1">IFERROR(__xludf.DUMMYFUNCTION("IMPORTRANGE(H29841,""IDENTITAS UNIT!D9"")"),"#N/A")</f>
        <v>#N/A</v>
      </c>
      <c r="H29841" s="4" t="str">
        <v/>
      </c>
      <c r="I29841" s="4" t="str">
        <v/>
      </c>
    </row>
    <row r="29842" spans="5:9" ht="16.5" hidden="1">
      <c r="E29842" s="4" t="str">
        <v/>
      </c>
      <c r="F29842" s="102" t="str">
        <f ca="1">IFERROR(__xludf.DUMMYFUNCTION("IMPORTRANGE(H29842,""IDENTITAS UNIT!D9"")"),"#N/A")</f>
        <v>#N/A</v>
      </c>
      <c r="H29842" s="4" t="str">
        <v/>
      </c>
      <c r="I29842" s="4" t="str">
        <v/>
      </c>
    </row>
    <row r="29843" spans="5:9" ht="16.5" hidden="1">
      <c r="E29843" s="4" t="str">
        <v/>
      </c>
      <c r="F29843" s="102" t="str">
        <f ca="1">IFERROR(__xludf.DUMMYFUNCTION("IMPORTRANGE(H29843,""IDENTITAS UNIT!D9"")"),"#N/A")</f>
        <v>#N/A</v>
      </c>
      <c r="H29843" s="4" t="str">
        <v/>
      </c>
      <c r="I29843" s="4" t="str">
        <v/>
      </c>
    </row>
    <row r="29844" spans="5:9" ht="16.5" hidden="1">
      <c r="E29844" s="4" t="str">
        <v/>
      </c>
      <c r="F29844" s="102" t="str">
        <f ca="1">IFERROR(__xludf.DUMMYFUNCTION("IMPORTRANGE(H29844,""IDENTITAS UNIT!D9"")"),"#N/A")</f>
        <v>#N/A</v>
      </c>
      <c r="H29844" s="4" t="str">
        <v/>
      </c>
      <c r="I29844" s="4" t="str">
        <v/>
      </c>
    </row>
    <row r="29845" spans="5:9" ht="16.5" hidden="1">
      <c r="E29845" s="4" t="str">
        <v/>
      </c>
      <c r="F29845" s="102" t="str">
        <f ca="1">IFERROR(__xludf.DUMMYFUNCTION("IMPORTRANGE(H29845,""IDENTITAS UNIT!D9"")"),"#N/A")</f>
        <v>#N/A</v>
      </c>
      <c r="H29845" s="4" t="str">
        <v/>
      </c>
      <c r="I29845" s="4" t="str">
        <v/>
      </c>
    </row>
    <row r="29846" spans="5:9" ht="16.5" hidden="1">
      <c r="E29846" s="4" t="str">
        <v/>
      </c>
      <c r="F29846" s="102" t="str">
        <f ca="1">IFERROR(__xludf.DUMMYFUNCTION("IMPORTRANGE(H29846,""IDENTITAS UNIT!D9"")"),"#N/A")</f>
        <v>#N/A</v>
      </c>
      <c r="H29846" s="4" t="str">
        <v/>
      </c>
      <c r="I29846" s="4" t="str">
        <v/>
      </c>
    </row>
    <row r="29847" spans="5:9" ht="16.5" hidden="1">
      <c r="E29847" s="4" t="str">
        <v/>
      </c>
      <c r="F29847" s="102" t="str">
        <f ca="1">IFERROR(__xludf.DUMMYFUNCTION("IMPORTRANGE(H29847,""IDENTITAS UNIT!D9"")"),"#N/A")</f>
        <v>#N/A</v>
      </c>
      <c r="H29847" s="4" t="str">
        <v/>
      </c>
      <c r="I29847" s="4" t="str">
        <v/>
      </c>
    </row>
    <row r="29848" spans="5:9" ht="16.5" hidden="1">
      <c r="E29848" s="4" t="str">
        <v/>
      </c>
      <c r="F29848" s="102" t="str">
        <f ca="1">IFERROR(__xludf.DUMMYFUNCTION("IMPORTRANGE(H29848,""IDENTITAS UNIT!D9"")"),"#N/A")</f>
        <v>#N/A</v>
      </c>
      <c r="H29848" s="4" t="str">
        <v/>
      </c>
      <c r="I29848" s="4" t="str">
        <v/>
      </c>
    </row>
    <row r="29849" spans="5:9" ht="16.5" hidden="1">
      <c r="E29849" s="4" t="str">
        <v/>
      </c>
      <c r="F29849" s="102" t="str">
        <f ca="1">IFERROR(__xludf.DUMMYFUNCTION("IMPORTRANGE(H29849,""IDENTITAS UNIT!D9"")"),"#N/A")</f>
        <v>#N/A</v>
      </c>
      <c r="H29849" s="4" t="str">
        <v/>
      </c>
      <c r="I29849" s="4" t="str">
        <v/>
      </c>
    </row>
    <row r="29850" spans="5:9" ht="16.5" hidden="1">
      <c r="E29850" s="4" t="str">
        <v/>
      </c>
      <c r="F29850" s="102" t="str">
        <f ca="1">IFERROR(__xludf.DUMMYFUNCTION("IMPORTRANGE(H29850,""IDENTITAS UNIT!D9"")"),"#N/A")</f>
        <v>#N/A</v>
      </c>
      <c r="H29850" s="4" t="str">
        <v/>
      </c>
      <c r="I29850" s="4" t="str">
        <v/>
      </c>
    </row>
    <row r="29851" spans="5:9" ht="16.5" hidden="1">
      <c r="E29851" s="4" t="str">
        <v/>
      </c>
      <c r="F29851" s="102" t="str">
        <f ca="1">IFERROR(__xludf.DUMMYFUNCTION("IMPORTRANGE(H29851,""IDENTITAS UNIT!D9"")"),"#N/A")</f>
        <v>#N/A</v>
      </c>
      <c r="H29851" s="4" t="str">
        <v/>
      </c>
      <c r="I29851" s="4" t="str">
        <v/>
      </c>
    </row>
    <row r="29852" spans="5:9" ht="16.5" hidden="1">
      <c r="E29852" s="4" t="str">
        <v/>
      </c>
      <c r="F29852" s="102" t="str">
        <f ca="1">IFERROR(__xludf.DUMMYFUNCTION("IMPORTRANGE(H29852,""IDENTITAS UNIT!D9"")"),"#N/A")</f>
        <v>#N/A</v>
      </c>
      <c r="H29852" s="4" t="str">
        <v/>
      </c>
      <c r="I29852" s="4" t="str">
        <v/>
      </c>
    </row>
    <row r="29853" spans="5:9" ht="16.5" hidden="1">
      <c r="E29853" s="4" t="str">
        <v/>
      </c>
      <c r="F29853" s="102" t="str">
        <f ca="1">IFERROR(__xludf.DUMMYFUNCTION("IMPORTRANGE(H29853,""IDENTITAS UNIT!D9"")"),"#N/A")</f>
        <v>#N/A</v>
      </c>
      <c r="H29853" s="4" t="str">
        <v/>
      </c>
      <c r="I29853" s="4" t="str">
        <v/>
      </c>
    </row>
    <row r="29854" spans="5:9" ht="16.5" hidden="1">
      <c r="E29854" s="4" t="str">
        <v/>
      </c>
      <c r="F29854" s="102" t="str">
        <f ca="1">IFERROR(__xludf.DUMMYFUNCTION("IMPORTRANGE(H29854,""IDENTITAS UNIT!D9"")"),"#N/A")</f>
        <v>#N/A</v>
      </c>
      <c r="H29854" s="4" t="str">
        <v/>
      </c>
      <c r="I29854" s="4" t="str">
        <v/>
      </c>
    </row>
    <row r="29855" spans="5:9" ht="16.5" hidden="1">
      <c r="E29855" s="4" t="str">
        <v/>
      </c>
      <c r="F29855" s="102" t="str">
        <f ca="1">IFERROR(__xludf.DUMMYFUNCTION("IMPORTRANGE(H29855,""IDENTITAS UNIT!D9"")"),"#N/A")</f>
        <v>#N/A</v>
      </c>
      <c r="H29855" s="4" t="str">
        <v/>
      </c>
      <c r="I29855" s="4" t="str">
        <v/>
      </c>
    </row>
    <row r="29856" spans="5:9" ht="16.5" hidden="1">
      <c r="E29856" s="4" t="str">
        <v/>
      </c>
      <c r="F29856" s="102" t="str">
        <f ca="1">IFERROR(__xludf.DUMMYFUNCTION("IMPORTRANGE(H29856,""IDENTITAS UNIT!D9"")"),"#N/A")</f>
        <v>#N/A</v>
      </c>
      <c r="H29856" s="4" t="str">
        <v/>
      </c>
      <c r="I29856" s="4" t="str">
        <v/>
      </c>
    </row>
    <row r="29857" spans="5:9" ht="16.5" hidden="1">
      <c r="E29857" s="4" t="str">
        <v/>
      </c>
      <c r="F29857" s="102" t="str">
        <f ca="1">IFERROR(__xludf.DUMMYFUNCTION("IMPORTRANGE(H29857,""IDENTITAS UNIT!D9"")"),"#N/A")</f>
        <v>#N/A</v>
      </c>
      <c r="H29857" s="4" t="str">
        <v/>
      </c>
      <c r="I29857" s="4" t="str">
        <v/>
      </c>
    </row>
    <row r="29858" spans="5:9" ht="16.5" hidden="1">
      <c r="E29858" s="4" t="str">
        <v/>
      </c>
      <c r="F29858" s="102" t="str">
        <f ca="1">IFERROR(__xludf.DUMMYFUNCTION("IMPORTRANGE(H29858,""IDENTITAS UNIT!D9"")"),"#N/A")</f>
        <v>#N/A</v>
      </c>
      <c r="H29858" s="4" t="str">
        <v/>
      </c>
      <c r="I29858" s="4" t="str">
        <v/>
      </c>
    </row>
    <row r="29859" spans="5:9" ht="16.5" hidden="1">
      <c r="E29859" s="4" t="str">
        <v/>
      </c>
      <c r="F29859" s="102" t="str">
        <f ca="1">IFERROR(__xludf.DUMMYFUNCTION("IMPORTRANGE(H29859,""IDENTITAS UNIT!D9"")"),"#N/A")</f>
        <v>#N/A</v>
      </c>
      <c r="H29859" s="4" t="str">
        <v/>
      </c>
      <c r="I29859" s="4" t="str">
        <v/>
      </c>
    </row>
    <row r="29860" spans="5:9" ht="16.5" hidden="1">
      <c r="E29860" s="4" t="str">
        <v/>
      </c>
      <c r="F29860" s="102" t="str">
        <f ca="1">IFERROR(__xludf.DUMMYFUNCTION("IMPORTRANGE(H29860,""IDENTITAS UNIT!D9"")"),"#N/A")</f>
        <v>#N/A</v>
      </c>
      <c r="H29860" s="4" t="str">
        <v/>
      </c>
      <c r="I29860" s="4" t="str">
        <v/>
      </c>
    </row>
    <row r="29861" spans="5:9" ht="16.5" hidden="1">
      <c r="E29861" s="4" t="str">
        <v/>
      </c>
      <c r="F29861" s="102" t="str">
        <f ca="1">IFERROR(__xludf.DUMMYFUNCTION("IMPORTRANGE(H29861,""IDENTITAS UNIT!D9"")"),"#N/A")</f>
        <v>#N/A</v>
      </c>
      <c r="H29861" s="4" t="str">
        <v/>
      </c>
      <c r="I29861" s="4" t="str">
        <v/>
      </c>
    </row>
    <row r="29862" spans="5:9" ht="16.5" hidden="1">
      <c r="E29862" s="4" t="str">
        <v/>
      </c>
      <c r="F29862" s="102" t="str">
        <f ca="1">IFERROR(__xludf.DUMMYFUNCTION("IMPORTRANGE(H29862,""IDENTITAS UNIT!D9"")"),"#N/A")</f>
        <v>#N/A</v>
      </c>
      <c r="H29862" s="4" t="str">
        <v/>
      </c>
      <c r="I29862" s="4" t="str">
        <v/>
      </c>
    </row>
    <row r="29863" spans="5:9" ht="16.5" hidden="1">
      <c r="E29863" s="4" t="str">
        <v/>
      </c>
      <c r="F29863" s="102" t="str">
        <f ca="1">IFERROR(__xludf.DUMMYFUNCTION("IMPORTRANGE(H29863,""IDENTITAS UNIT!D9"")"),"#N/A")</f>
        <v>#N/A</v>
      </c>
      <c r="H29863" s="4" t="str">
        <v/>
      </c>
      <c r="I29863" s="4" t="str">
        <v/>
      </c>
    </row>
    <row r="29864" spans="5:9" ht="16.5" hidden="1">
      <c r="E29864" s="4" t="str">
        <v/>
      </c>
      <c r="F29864" s="102" t="str">
        <f ca="1">IFERROR(__xludf.DUMMYFUNCTION("IMPORTRANGE(H29864,""IDENTITAS UNIT!D9"")"),"#N/A")</f>
        <v>#N/A</v>
      </c>
      <c r="H29864" s="4" t="str">
        <v/>
      </c>
      <c r="I29864" s="4" t="str">
        <v/>
      </c>
    </row>
    <row r="29865" spans="5:9" ht="16.5" hidden="1">
      <c r="E29865" s="4" t="str">
        <v/>
      </c>
      <c r="F29865" s="102" t="str">
        <f ca="1">IFERROR(__xludf.DUMMYFUNCTION("IMPORTRANGE(H29865,""IDENTITAS UNIT!D9"")"),"#N/A")</f>
        <v>#N/A</v>
      </c>
      <c r="H29865" s="4" t="str">
        <v/>
      </c>
      <c r="I29865" s="4" t="str">
        <v/>
      </c>
    </row>
    <row r="29866" spans="5:9" ht="16.5" hidden="1">
      <c r="E29866" s="4" t="str">
        <v/>
      </c>
      <c r="F29866" s="102" t="str">
        <f ca="1">IFERROR(__xludf.DUMMYFUNCTION("IMPORTRANGE(H29866,""IDENTITAS UNIT!D9"")"),"#N/A")</f>
        <v>#N/A</v>
      </c>
      <c r="H29866" s="4" t="str">
        <v/>
      </c>
      <c r="I29866" s="4" t="str">
        <v/>
      </c>
    </row>
    <row r="29867" spans="5:9" ht="16.5" hidden="1">
      <c r="E29867" s="4" t="str">
        <v/>
      </c>
      <c r="F29867" s="102" t="str">
        <f ca="1">IFERROR(__xludf.DUMMYFUNCTION("IMPORTRANGE(H29867,""IDENTITAS UNIT!D9"")"),"#N/A")</f>
        <v>#N/A</v>
      </c>
      <c r="H29867" s="4" t="str">
        <v/>
      </c>
      <c r="I29867" s="4" t="str">
        <v/>
      </c>
    </row>
    <row r="29868" spans="5:9" ht="16.5" hidden="1">
      <c r="E29868" s="4" t="str">
        <v/>
      </c>
      <c r="F29868" s="102" t="str">
        <f ca="1">IFERROR(__xludf.DUMMYFUNCTION("IMPORTRANGE(H29868,""IDENTITAS UNIT!D9"")"),"#N/A")</f>
        <v>#N/A</v>
      </c>
      <c r="H29868" s="4" t="str">
        <v/>
      </c>
      <c r="I29868" s="4" t="str">
        <v/>
      </c>
    </row>
    <row r="29869" spans="5:9" ht="16.5" hidden="1">
      <c r="E29869" s="4" t="str">
        <v/>
      </c>
      <c r="F29869" s="102" t="str">
        <f ca="1">IFERROR(__xludf.DUMMYFUNCTION("IMPORTRANGE(H29869,""IDENTITAS UNIT!D9"")"),"#N/A")</f>
        <v>#N/A</v>
      </c>
      <c r="H29869" s="4" t="str">
        <v/>
      </c>
      <c r="I29869" s="4" t="str">
        <v/>
      </c>
    </row>
    <row r="29870" spans="5:9" ht="16.5" hidden="1">
      <c r="E29870" s="4" t="str">
        <v/>
      </c>
      <c r="F29870" s="102" t="str">
        <f ca="1">IFERROR(__xludf.DUMMYFUNCTION("IMPORTRANGE(H29870,""IDENTITAS UNIT!D9"")"),"#N/A")</f>
        <v>#N/A</v>
      </c>
      <c r="H29870" s="4" t="str">
        <v/>
      </c>
      <c r="I29870" s="4" t="str">
        <v/>
      </c>
    </row>
    <row r="29871" spans="5:9" ht="16.5" hidden="1">
      <c r="E29871" s="4" t="str">
        <v/>
      </c>
      <c r="F29871" s="102" t="str">
        <f ca="1">IFERROR(__xludf.DUMMYFUNCTION("IMPORTRANGE(H29871,""IDENTITAS UNIT!D9"")"),"#N/A")</f>
        <v>#N/A</v>
      </c>
      <c r="H29871" s="4" t="str">
        <v/>
      </c>
      <c r="I29871" s="4" t="str">
        <v/>
      </c>
    </row>
    <row r="29872" spans="5:9" ht="16.5" hidden="1">
      <c r="E29872" s="4" t="str">
        <v/>
      </c>
      <c r="F29872" s="102" t="str">
        <f ca="1">IFERROR(__xludf.DUMMYFUNCTION("IMPORTRANGE(H29872,""IDENTITAS UNIT!D9"")"),"#N/A")</f>
        <v>#N/A</v>
      </c>
      <c r="H29872" s="4" t="str">
        <v/>
      </c>
      <c r="I29872" s="4" t="str">
        <v/>
      </c>
    </row>
    <row r="29873" spans="5:9" ht="16.5" hidden="1">
      <c r="E29873" s="4" t="str">
        <v/>
      </c>
      <c r="F29873" s="102" t="str">
        <f ca="1">IFERROR(__xludf.DUMMYFUNCTION("IMPORTRANGE(H29873,""IDENTITAS UNIT!D9"")"),"#N/A")</f>
        <v>#N/A</v>
      </c>
      <c r="H29873" s="4" t="str">
        <v/>
      </c>
      <c r="I29873" s="4" t="str">
        <v/>
      </c>
    </row>
    <row r="29874" spans="5:9" ht="16.5" hidden="1">
      <c r="E29874" s="4" t="str">
        <v/>
      </c>
      <c r="F29874" s="102" t="str">
        <f ca="1">IFERROR(__xludf.DUMMYFUNCTION("IMPORTRANGE(H29874,""IDENTITAS UNIT!D9"")"),"#N/A")</f>
        <v>#N/A</v>
      </c>
      <c r="H29874" s="4" t="str">
        <v/>
      </c>
      <c r="I29874" s="4" t="str">
        <v/>
      </c>
    </row>
    <row r="29875" spans="5:9" ht="16.5" hidden="1">
      <c r="E29875" s="4" t="str">
        <v/>
      </c>
      <c r="F29875" s="102" t="str">
        <f ca="1">IFERROR(__xludf.DUMMYFUNCTION("IMPORTRANGE(H29875,""IDENTITAS UNIT!D9"")"),"#N/A")</f>
        <v>#N/A</v>
      </c>
      <c r="H29875" s="4" t="str">
        <v/>
      </c>
      <c r="I29875" s="4" t="str">
        <v/>
      </c>
    </row>
    <row r="29876" spans="5:9" ht="16.5" hidden="1">
      <c r="E29876" s="4" t="str">
        <v/>
      </c>
      <c r="F29876" s="102" t="str">
        <f ca="1">IFERROR(__xludf.DUMMYFUNCTION("IMPORTRANGE(H29876,""IDENTITAS UNIT!D9"")"),"#N/A")</f>
        <v>#N/A</v>
      </c>
      <c r="H29876" s="4" t="str">
        <v/>
      </c>
      <c r="I29876" s="4" t="str">
        <v/>
      </c>
    </row>
    <row r="29877" spans="5:9" ht="16.5" hidden="1">
      <c r="E29877" s="4" t="str">
        <v/>
      </c>
      <c r="F29877" s="102" t="str">
        <f ca="1">IFERROR(__xludf.DUMMYFUNCTION("IMPORTRANGE(H29877,""IDENTITAS UNIT!D9"")"),"#N/A")</f>
        <v>#N/A</v>
      </c>
      <c r="H29877" s="4" t="str">
        <v/>
      </c>
      <c r="I29877" s="4" t="str">
        <v/>
      </c>
    </row>
    <row r="29878" spans="5:9" ht="16.5" hidden="1">
      <c r="E29878" s="4" t="str">
        <v/>
      </c>
      <c r="F29878" s="102" t="str">
        <f ca="1">IFERROR(__xludf.DUMMYFUNCTION("IMPORTRANGE(H29878,""IDENTITAS UNIT!D9"")"),"#N/A")</f>
        <v>#N/A</v>
      </c>
      <c r="H29878" s="4" t="str">
        <v/>
      </c>
      <c r="I29878" s="4" t="str">
        <v/>
      </c>
    </row>
    <row r="29879" spans="5:9" ht="16.5" hidden="1">
      <c r="E29879" s="4" t="str">
        <v/>
      </c>
      <c r="F29879" s="102" t="str">
        <f ca="1">IFERROR(__xludf.DUMMYFUNCTION("IMPORTRANGE(H29879,""IDENTITAS UNIT!D9"")"),"#N/A")</f>
        <v>#N/A</v>
      </c>
      <c r="H29879" s="4" t="str">
        <v/>
      </c>
      <c r="I29879" s="4" t="str">
        <v/>
      </c>
    </row>
    <row r="29880" spans="5:9" ht="16.5" hidden="1">
      <c r="E29880" s="4" t="str">
        <v/>
      </c>
      <c r="F29880" s="102" t="str">
        <f ca="1">IFERROR(__xludf.DUMMYFUNCTION("IMPORTRANGE(H29880,""IDENTITAS UNIT!D9"")"),"#N/A")</f>
        <v>#N/A</v>
      </c>
      <c r="H29880" s="4" t="str">
        <v/>
      </c>
      <c r="I29880" s="4" t="str">
        <v/>
      </c>
    </row>
    <row r="29881" spans="5:9" ht="16.5" hidden="1">
      <c r="E29881" s="4" t="str">
        <v/>
      </c>
      <c r="F29881" s="102" t="str">
        <f ca="1">IFERROR(__xludf.DUMMYFUNCTION("IMPORTRANGE(H29881,""IDENTITAS UNIT!D9"")"),"#N/A")</f>
        <v>#N/A</v>
      </c>
      <c r="H29881" s="4" t="str">
        <v/>
      </c>
      <c r="I29881" s="4" t="str">
        <v/>
      </c>
    </row>
    <row r="29882" spans="5:9" ht="16.5" hidden="1">
      <c r="E29882" s="4" t="str">
        <v/>
      </c>
      <c r="F29882" s="102" t="str">
        <f ca="1">IFERROR(__xludf.DUMMYFUNCTION("IMPORTRANGE(H29882,""IDENTITAS UNIT!D9"")"),"#N/A")</f>
        <v>#N/A</v>
      </c>
      <c r="H29882" s="4" t="str">
        <v/>
      </c>
      <c r="I29882" s="4" t="str">
        <v/>
      </c>
    </row>
    <row r="29883" spans="5:9" ht="16.5" hidden="1">
      <c r="E29883" s="4" t="str">
        <v/>
      </c>
      <c r="F29883" s="102" t="str">
        <f ca="1">IFERROR(__xludf.DUMMYFUNCTION("IMPORTRANGE(H29883,""IDENTITAS UNIT!D9"")"),"#N/A")</f>
        <v>#N/A</v>
      </c>
      <c r="H29883" s="4" t="str">
        <v/>
      </c>
      <c r="I29883" s="4" t="str">
        <v/>
      </c>
    </row>
    <row r="29884" spans="5:9" ht="16.5" hidden="1">
      <c r="E29884" s="4" t="str">
        <v/>
      </c>
      <c r="F29884" s="102" t="str">
        <f ca="1">IFERROR(__xludf.DUMMYFUNCTION("IMPORTRANGE(H29884,""IDENTITAS UNIT!D9"")"),"#N/A")</f>
        <v>#N/A</v>
      </c>
      <c r="H29884" s="4" t="str">
        <v/>
      </c>
      <c r="I29884" s="4" t="str">
        <v/>
      </c>
    </row>
    <row r="29885" spans="5:9" ht="16.5" hidden="1">
      <c r="E29885" s="4" t="str">
        <v/>
      </c>
      <c r="F29885" s="102" t="str">
        <f ca="1">IFERROR(__xludf.DUMMYFUNCTION("IMPORTRANGE(H29885,""IDENTITAS UNIT!D9"")"),"#N/A")</f>
        <v>#N/A</v>
      </c>
      <c r="H29885" s="4" t="str">
        <v/>
      </c>
      <c r="I29885" s="4" t="str">
        <v/>
      </c>
    </row>
    <row r="29886" spans="5:9" ht="16.5" hidden="1">
      <c r="E29886" s="4" t="str">
        <v/>
      </c>
      <c r="F29886" s="102" t="str">
        <f ca="1">IFERROR(__xludf.DUMMYFUNCTION("IMPORTRANGE(H29886,""IDENTITAS UNIT!D9"")"),"#N/A")</f>
        <v>#N/A</v>
      </c>
      <c r="H29886" s="4" t="str">
        <v/>
      </c>
      <c r="I29886" s="4" t="str">
        <v/>
      </c>
    </row>
    <row r="29887" spans="5:9" ht="16.5" hidden="1">
      <c r="E29887" s="4" t="str">
        <v/>
      </c>
      <c r="F29887" s="102" t="str">
        <f ca="1">IFERROR(__xludf.DUMMYFUNCTION("IMPORTRANGE(H29887,""IDENTITAS UNIT!D9"")"),"#N/A")</f>
        <v>#N/A</v>
      </c>
      <c r="H29887" s="4" t="str">
        <v/>
      </c>
      <c r="I29887" s="4" t="str">
        <v/>
      </c>
    </row>
    <row r="29888" spans="5:9" ht="16.5" hidden="1">
      <c r="E29888" s="4" t="str">
        <v/>
      </c>
      <c r="F29888" s="102" t="str">
        <f ca="1">IFERROR(__xludf.DUMMYFUNCTION("IMPORTRANGE(H29888,""IDENTITAS UNIT!D9"")"),"#N/A")</f>
        <v>#N/A</v>
      </c>
      <c r="H29888" s="4" t="str">
        <v/>
      </c>
      <c r="I29888" s="4" t="str">
        <v/>
      </c>
    </row>
    <row r="29889" spans="5:9" ht="16.5" hidden="1">
      <c r="E29889" s="4" t="str">
        <v/>
      </c>
      <c r="F29889" s="102" t="str">
        <f ca="1">IFERROR(__xludf.DUMMYFUNCTION("IMPORTRANGE(H29889,""IDENTITAS UNIT!D9"")"),"#N/A")</f>
        <v>#N/A</v>
      </c>
      <c r="H29889" s="4" t="str">
        <v/>
      </c>
      <c r="I29889" s="4" t="str">
        <v/>
      </c>
    </row>
    <row r="29890" spans="5:9" ht="16.5" hidden="1">
      <c r="E29890" s="4" t="str">
        <v/>
      </c>
      <c r="F29890" s="102" t="str">
        <f ca="1">IFERROR(__xludf.DUMMYFUNCTION("IMPORTRANGE(H29890,""IDENTITAS UNIT!D9"")"),"#N/A")</f>
        <v>#N/A</v>
      </c>
      <c r="H29890" s="4" t="str">
        <v/>
      </c>
      <c r="I29890" s="4" t="str">
        <v/>
      </c>
    </row>
    <row r="29891" spans="5:9" ht="16.5" hidden="1">
      <c r="E29891" s="4" t="str">
        <v/>
      </c>
      <c r="F29891" s="102" t="str">
        <f ca="1">IFERROR(__xludf.DUMMYFUNCTION("IMPORTRANGE(H29891,""IDENTITAS UNIT!D9"")"),"#N/A")</f>
        <v>#N/A</v>
      </c>
      <c r="H29891" s="4" t="str">
        <v/>
      </c>
      <c r="I29891" s="4" t="str">
        <v/>
      </c>
    </row>
    <row r="29892" spans="5:9" ht="16.5" hidden="1">
      <c r="E29892" s="4" t="str">
        <v/>
      </c>
      <c r="F29892" s="102" t="str">
        <f ca="1">IFERROR(__xludf.DUMMYFUNCTION("IMPORTRANGE(H29892,""IDENTITAS UNIT!D9"")"),"#N/A")</f>
        <v>#N/A</v>
      </c>
      <c r="H29892" s="4" t="str">
        <v/>
      </c>
      <c r="I29892" s="4" t="str">
        <v/>
      </c>
    </row>
    <row r="29893" spans="5:9" ht="16.5" hidden="1">
      <c r="E29893" s="4" t="str">
        <v/>
      </c>
      <c r="F29893" s="102" t="str">
        <f ca="1">IFERROR(__xludf.DUMMYFUNCTION("IMPORTRANGE(H29893,""IDENTITAS UNIT!D9"")"),"#N/A")</f>
        <v>#N/A</v>
      </c>
      <c r="H29893" s="4" t="str">
        <v/>
      </c>
      <c r="I29893" s="4" t="str">
        <v/>
      </c>
    </row>
    <row r="29894" spans="5:9" ht="16.5" hidden="1">
      <c r="E29894" s="4" t="str">
        <v/>
      </c>
      <c r="F29894" s="102" t="str">
        <f ca="1">IFERROR(__xludf.DUMMYFUNCTION("IMPORTRANGE(H29894,""IDENTITAS UNIT!D9"")"),"#N/A")</f>
        <v>#N/A</v>
      </c>
      <c r="H29894" s="4" t="str">
        <v/>
      </c>
      <c r="I29894" s="4" t="str">
        <v/>
      </c>
    </row>
    <row r="29895" spans="5:9" ht="16.5" hidden="1">
      <c r="E29895" s="4" t="str">
        <v/>
      </c>
      <c r="F29895" s="102" t="str">
        <f ca="1">IFERROR(__xludf.DUMMYFUNCTION("IMPORTRANGE(H29895,""IDENTITAS UNIT!D9"")"),"#N/A")</f>
        <v>#N/A</v>
      </c>
      <c r="H29895" s="4" t="str">
        <v/>
      </c>
      <c r="I29895" s="4" t="str">
        <v/>
      </c>
    </row>
    <row r="29896" spans="5:9" ht="16.5" hidden="1">
      <c r="E29896" s="4" t="str">
        <v/>
      </c>
      <c r="F29896" s="102" t="str">
        <f ca="1">IFERROR(__xludf.DUMMYFUNCTION("IMPORTRANGE(H29896,""IDENTITAS UNIT!D9"")"),"#N/A")</f>
        <v>#N/A</v>
      </c>
      <c r="H29896" s="4" t="str">
        <v/>
      </c>
      <c r="I29896" s="4" t="str">
        <v/>
      </c>
    </row>
    <row r="29897" spans="5:9" ht="16.5" hidden="1">
      <c r="E29897" s="4" t="str">
        <v/>
      </c>
      <c r="F29897" s="102" t="str">
        <f ca="1">IFERROR(__xludf.DUMMYFUNCTION("IMPORTRANGE(H29897,""IDENTITAS UNIT!D9"")"),"#N/A")</f>
        <v>#N/A</v>
      </c>
      <c r="H29897" s="4" t="str">
        <v/>
      </c>
      <c r="I29897" s="4" t="str">
        <v/>
      </c>
    </row>
    <row r="29898" spans="5:9" ht="16.5" hidden="1">
      <c r="E29898" s="4" t="str">
        <v/>
      </c>
      <c r="F29898" s="102" t="str">
        <f ca="1">IFERROR(__xludf.DUMMYFUNCTION("IMPORTRANGE(H29898,""IDENTITAS UNIT!D9"")"),"#N/A")</f>
        <v>#N/A</v>
      </c>
      <c r="H29898" s="4" t="str">
        <v/>
      </c>
      <c r="I29898" s="4" t="str">
        <v/>
      </c>
    </row>
    <row r="29899" spans="5:9" ht="16.5" hidden="1">
      <c r="E29899" s="4" t="str">
        <v/>
      </c>
      <c r="F29899" s="102" t="str">
        <f ca="1">IFERROR(__xludf.DUMMYFUNCTION("IMPORTRANGE(H29899,""IDENTITAS UNIT!D9"")"),"#N/A")</f>
        <v>#N/A</v>
      </c>
      <c r="H29899" s="4" t="str">
        <v/>
      </c>
      <c r="I29899" s="4" t="str">
        <v/>
      </c>
    </row>
    <row r="29900" spans="5:9" ht="16.5" hidden="1">
      <c r="E29900" s="4" t="str">
        <v/>
      </c>
      <c r="F29900" s="102" t="str">
        <f ca="1">IFERROR(__xludf.DUMMYFUNCTION("IMPORTRANGE(H29900,""IDENTITAS UNIT!D9"")"),"#N/A")</f>
        <v>#N/A</v>
      </c>
      <c r="H29900" s="4" t="str">
        <v/>
      </c>
      <c r="I29900" s="4" t="str">
        <v/>
      </c>
    </row>
    <row r="29901" spans="5:9" ht="16.5" hidden="1">
      <c r="E29901" s="4" t="str">
        <v/>
      </c>
      <c r="F29901" s="102" t="str">
        <f ca="1">IFERROR(__xludf.DUMMYFUNCTION("IMPORTRANGE(H29901,""IDENTITAS UNIT!D9"")"),"#N/A")</f>
        <v>#N/A</v>
      </c>
      <c r="H29901" s="4" t="str">
        <v/>
      </c>
      <c r="I29901" s="4" t="str">
        <v/>
      </c>
    </row>
    <row r="29902" spans="5:9" ht="16.5" hidden="1">
      <c r="E29902" s="4" t="str">
        <v/>
      </c>
      <c r="F29902" s="102" t="str">
        <f ca="1">IFERROR(__xludf.DUMMYFUNCTION("IMPORTRANGE(H29902,""IDENTITAS UNIT!D9"")"),"#N/A")</f>
        <v>#N/A</v>
      </c>
      <c r="H29902" s="4" t="str">
        <v/>
      </c>
      <c r="I29902" s="4" t="str">
        <v/>
      </c>
    </row>
    <row r="29903" spans="5:9" ht="16.5" hidden="1">
      <c r="E29903" s="4" t="str">
        <v/>
      </c>
      <c r="F29903" s="102" t="str">
        <f ca="1">IFERROR(__xludf.DUMMYFUNCTION("IMPORTRANGE(H29903,""IDENTITAS UNIT!D9"")"),"#N/A")</f>
        <v>#N/A</v>
      </c>
      <c r="H29903" s="4" t="str">
        <v/>
      </c>
      <c r="I29903" s="4" t="str">
        <v/>
      </c>
    </row>
    <row r="29904" spans="5:9" ht="16.5" hidden="1">
      <c r="E29904" s="4" t="str">
        <v/>
      </c>
      <c r="F29904" s="102" t="str">
        <f ca="1">IFERROR(__xludf.DUMMYFUNCTION("IMPORTRANGE(H29904,""IDENTITAS UNIT!D9"")"),"#N/A")</f>
        <v>#N/A</v>
      </c>
      <c r="H29904" s="4" t="str">
        <v/>
      </c>
      <c r="I29904" s="4" t="str">
        <v/>
      </c>
    </row>
    <row r="29905" spans="5:9" ht="16.5" hidden="1">
      <c r="E29905" s="4" t="str">
        <v/>
      </c>
      <c r="F29905" s="102" t="str">
        <f ca="1">IFERROR(__xludf.DUMMYFUNCTION("IMPORTRANGE(H29905,""IDENTITAS UNIT!D9"")"),"#N/A")</f>
        <v>#N/A</v>
      </c>
      <c r="H29905" s="4" t="str">
        <v/>
      </c>
      <c r="I29905" s="4" t="str">
        <v/>
      </c>
    </row>
    <row r="29906" spans="5:9" ht="16.5" hidden="1">
      <c r="E29906" s="4" t="str">
        <v/>
      </c>
      <c r="F29906" s="102" t="str">
        <f ca="1">IFERROR(__xludf.DUMMYFUNCTION("IMPORTRANGE(H29906,""IDENTITAS UNIT!D9"")"),"#N/A")</f>
        <v>#N/A</v>
      </c>
      <c r="H29906" s="4" t="str">
        <v/>
      </c>
      <c r="I29906" s="4" t="str">
        <v/>
      </c>
    </row>
    <row r="29907" spans="5:9" ht="16.5" hidden="1">
      <c r="E29907" s="4" t="str">
        <v/>
      </c>
      <c r="F29907" s="102" t="str">
        <f ca="1">IFERROR(__xludf.DUMMYFUNCTION("IMPORTRANGE(H29907,""IDENTITAS UNIT!D9"")"),"#N/A")</f>
        <v>#N/A</v>
      </c>
      <c r="H29907" s="4" t="str">
        <v/>
      </c>
      <c r="I29907" s="4" t="str">
        <v/>
      </c>
    </row>
    <row r="29908" spans="5:9" ht="16.5" hidden="1">
      <c r="E29908" s="4" t="str">
        <v/>
      </c>
      <c r="F29908" s="102" t="str">
        <f ca="1">IFERROR(__xludf.DUMMYFUNCTION("IMPORTRANGE(H29908,""IDENTITAS UNIT!D9"")"),"#N/A")</f>
        <v>#N/A</v>
      </c>
      <c r="H29908" s="4" t="str">
        <v/>
      </c>
      <c r="I29908" s="4" t="str">
        <v/>
      </c>
    </row>
    <row r="29909" spans="5:9" ht="16.5" hidden="1">
      <c r="E29909" s="4" t="str">
        <v/>
      </c>
      <c r="F29909" s="102" t="str">
        <f ca="1">IFERROR(__xludf.DUMMYFUNCTION("IMPORTRANGE(H29909,""IDENTITAS UNIT!D9"")"),"#N/A")</f>
        <v>#N/A</v>
      </c>
      <c r="H29909" s="4" t="str">
        <v/>
      </c>
      <c r="I29909" s="4" t="str">
        <v/>
      </c>
    </row>
    <row r="29910" spans="5:9" ht="16.5" hidden="1">
      <c r="E29910" s="4" t="str">
        <v/>
      </c>
      <c r="F29910" s="102" t="str">
        <f ca="1">IFERROR(__xludf.DUMMYFUNCTION("IMPORTRANGE(H29910,""IDENTITAS UNIT!D9"")"),"#N/A")</f>
        <v>#N/A</v>
      </c>
      <c r="H29910" s="4" t="str">
        <v/>
      </c>
      <c r="I29910" s="4" t="str">
        <v/>
      </c>
    </row>
    <row r="29911" spans="5:9" ht="16.5" hidden="1">
      <c r="E29911" s="4" t="str">
        <v/>
      </c>
      <c r="F29911" s="102" t="str">
        <f ca="1">IFERROR(__xludf.DUMMYFUNCTION("IMPORTRANGE(H29911,""IDENTITAS UNIT!D9"")"),"#N/A")</f>
        <v>#N/A</v>
      </c>
      <c r="H29911" s="4" t="str">
        <v/>
      </c>
      <c r="I29911" s="4" t="str">
        <v/>
      </c>
    </row>
    <row r="29912" spans="5:9" ht="16.5" hidden="1">
      <c r="E29912" s="4" t="str">
        <v/>
      </c>
      <c r="F29912" s="102" t="str">
        <f ca="1">IFERROR(__xludf.DUMMYFUNCTION("IMPORTRANGE(H29912,""IDENTITAS UNIT!D9"")"),"#N/A")</f>
        <v>#N/A</v>
      </c>
      <c r="H29912" s="4" t="str">
        <v/>
      </c>
      <c r="I29912" s="4" t="str">
        <v/>
      </c>
    </row>
    <row r="29913" spans="5:9" ht="16.5" hidden="1">
      <c r="E29913" s="4" t="str">
        <v/>
      </c>
      <c r="F29913" s="102" t="str">
        <f ca="1">IFERROR(__xludf.DUMMYFUNCTION("IMPORTRANGE(H29913,""IDENTITAS UNIT!D9"")"),"#N/A")</f>
        <v>#N/A</v>
      </c>
      <c r="H29913" s="4" t="str">
        <v/>
      </c>
      <c r="I29913" s="4" t="str">
        <v/>
      </c>
    </row>
    <row r="29914" spans="5:9" ht="16.5" hidden="1">
      <c r="E29914" s="4" t="str">
        <v/>
      </c>
      <c r="F29914" s="102" t="str">
        <f ca="1">IFERROR(__xludf.DUMMYFUNCTION("IMPORTRANGE(H29914,""IDENTITAS UNIT!D9"")"),"#N/A")</f>
        <v>#N/A</v>
      </c>
      <c r="H29914" s="4" t="str">
        <v/>
      </c>
      <c r="I29914" s="4" t="str">
        <v/>
      </c>
    </row>
    <row r="29915" spans="5:9" ht="16.5" hidden="1">
      <c r="E29915" s="4" t="str">
        <v/>
      </c>
      <c r="F29915" s="102" t="str">
        <f ca="1">IFERROR(__xludf.DUMMYFUNCTION("IMPORTRANGE(H29915,""IDENTITAS UNIT!D9"")"),"#N/A")</f>
        <v>#N/A</v>
      </c>
      <c r="H29915" s="4" t="str">
        <v/>
      </c>
      <c r="I29915" s="4" t="str">
        <v/>
      </c>
    </row>
    <row r="29916" spans="5:9" ht="16.5" hidden="1">
      <c r="E29916" s="4" t="str">
        <v/>
      </c>
      <c r="F29916" s="102" t="str">
        <f ca="1">IFERROR(__xludf.DUMMYFUNCTION("IMPORTRANGE(H29916,""IDENTITAS UNIT!D9"")"),"#N/A")</f>
        <v>#N/A</v>
      </c>
      <c r="H29916" s="4" t="str">
        <v/>
      </c>
      <c r="I29916" s="4" t="str">
        <v/>
      </c>
    </row>
    <row r="29917" spans="5:9" ht="16.5" hidden="1">
      <c r="E29917" s="4" t="str">
        <v/>
      </c>
      <c r="F29917" s="102" t="str">
        <f ca="1">IFERROR(__xludf.DUMMYFUNCTION("IMPORTRANGE(H29917,""IDENTITAS UNIT!D9"")"),"#N/A")</f>
        <v>#N/A</v>
      </c>
      <c r="H29917" s="4" t="str">
        <v/>
      </c>
      <c r="I29917" s="4" t="str">
        <v/>
      </c>
    </row>
    <row r="29918" spans="5:9" ht="16.5" hidden="1">
      <c r="E29918" s="4" t="str">
        <v/>
      </c>
      <c r="F29918" s="102" t="str">
        <f ca="1">IFERROR(__xludf.DUMMYFUNCTION("IMPORTRANGE(H29918,""IDENTITAS UNIT!D9"")"),"#N/A")</f>
        <v>#N/A</v>
      </c>
      <c r="H29918" s="4" t="str">
        <v/>
      </c>
      <c r="I29918" s="4" t="str">
        <v/>
      </c>
    </row>
    <row r="29919" spans="5:9" ht="16.5" hidden="1">
      <c r="E29919" s="4" t="str">
        <v/>
      </c>
      <c r="F29919" s="102" t="str">
        <f ca="1">IFERROR(__xludf.DUMMYFUNCTION("IMPORTRANGE(H29919,""IDENTITAS UNIT!D9"")"),"#N/A")</f>
        <v>#N/A</v>
      </c>
      <c r="H29919" s="4" t="str">
        <v/>
      </c>
      <c r="I29919" s="4" t="str">
        <v/>
      </c>
    </row>
    <row r="29920" spans="5:9" ht="16.5" hidden="1">
      <c r="E29920" s="4" t="str">
        <v/>
      </c>
      <c r="F29920" s="102" t="str">
        <f ca="1">IFERROR(__xludf.DUMMYFUNCTION("IMPORTRANGE(H29920,""IDENTITAS UNIT!D9"")"),"#N/A")</f>
        <v>#N/A</v>
      </c>
      <c r="H29920" s="4" t="str">
        <v/>
      </c>
      <c r="I29920" s="4" t="str">
        <v/>
      </c>
    </row>
    <row r="29921" spans="5:9" ht="16.5" hidden="1">
      <c r="E29921" s="4" t="str">
        <v/>
      </c>
      <c r="F29921" s="102" t="str">
        <f ca="1">IFERROR(__xludf.DUMMYFUNCTION("IMPORTRANGE(H29921,""IDENTITAS UNIT!D9"")"),"#N/A")</f>
        <v>#N/A</v>
      </c>
      <c r="H29921" s="4" t="str">
        <v/>
      </c>
      <c r="I29921" s="4" t="str">
        <v/>
      </c>
    </row>
    <row r="29922" spans="5:9" ht="16.5" hidden="1">
      <c r="E29922" s="4" t="str">
        <v/>
      </c>
      <c r="F29922" s="102" t="str">
        <f ca="1">IFERROR(__xludf.DUMMYFUNCTION("IMPORTRANGE(H29922,""IDENTITAS UNIT!D9"")"),"#N/A")</f>
        <v>#N/A</v>
      </c>
      <c r="H29922" s="4" t="str">
        <v/>
      </c>
      <c r="I29922" s="4" t="str">
        <v/>
      </c>
    </row>
    <row r="29923" spans="5:9" ht="16.5" hidden="1">
      <c r="E29923" s="4" t="str">
        <v/>
      </c>
      <c r="F29923" s="102" t="str">
        <f ca="1">IFERROR(__xludf.DUMMYFUNCTION("IMPORTRANGE(H29923,""IDENTITAS UNIT!D9"")"),"#N/A")</f>
        <v>#N/A</v>
      </c>
      <c r="H29923" s="4" t="str">
        <v/>
      </c>
      <c r="I29923" s="4" t="str">
        <v/>
      </c>
    </row>
    <row r="29924" spans="5:9" ht="16.5" hidden="1">
      <c r="E29924" s="4" t="str">
        <v/>
      </c>
      <c r="F29924" s="102" t="str">
        <f ca="1">IFERROR(__xludf.DUMMYFUNCTION("IMPORTRANGE(H29924,""IDENTITAS UNIT!D9"")"),"#N/A")</f>
        <v>#N/A</v>
      </c>
      <c r="H29924" s="4" t="str">
        <v/>
      </c>
      <c r="I29924" s="4" t="str">
        <v/>
      </c>
    </row>
    <row r="29925" spans="5:9" ht="16.5" hidden="1">
      <c r="E29925" s="4" t="str">
        <v/>
      </c>
      <c r="F29925" s="102" t="str">
        <f ca="1">IFERROR(__xludf.DUMMYFUNCTION("IMPORTRANGE(H29925,""IDENTITAS UNIT!D9"")"),"#N/A")</f>
        <v>#N/A</v>
      </c>
      <c r="H29925" s="4" t="str">
        <v/>
      </c>
      <c r="I29925" s="4" t="str">
        <v/>
      </c>
    </row>
    <row r="29926" spans="5:9" ht="16.5" hidden="1">
      <c r="E29926" s="4" t="str">
        <v/>
      </c>
      <c r="F29926" s="102" t="str">
        <f ca="1">IFERROR(__xludf.DUMMYFUNCTION("IMPORTRANGE(H29926,""IDENTITAS UNIT!D9"")"),"#N/A")</f>
        <v>#N/A</v>
      </c>
      <c r="H29926" s="4" t="str">
        <v/>
      </c>
      <c r="I29926" s="4" t="str">
        <v/>
      </c>
    </row>
    <row r="29927" spans="5:9" ht="16.5" hidden="1">
      <c r="E29927" s="4" t="str">
        <v/>
      </c>
      <c r="F29927" s="102" t="str">
        <f ca="1">IFERROR(__xludf.DUMMYFUNCTION("IMPORTRANGE(H29927,""IDENTITAS UNIT!D9"")"),"#N/A")</f>
        <v>#N/A</v>
      </c>
      <c r="H29927" s="4" t="str">
        <v/>
      </c>
      <c r="I29927" s="4" t="str">
        <v/>
      </c>
    </row>
    <row r="29928" spans="5:9" ht="16.5" hidden="1">
      <c r="E29928" s="4" t="str">
        <v/>
      </c>
      <c r="F29928" s="102" t="str">
        <f ca="1">IFERROR(__xludf.DUMMYFUNCTION("IMPORTRANGE(H29928,""IDENTITAS UNIT!D9"")"),"#N/A")</f>
        <v>#N/A</v>
      </c>
      <c r="H29928" s="4" t="str">
        <v/>
      </c>
      <c r="I29928" s="4" t="str">
        <v/>
      </c>
    </row>
    <row r="29929" spans="5:9" ht="16.5" hidden="1">
      <c r="E29929" s="4" t="str">
        <v/>
      </c>
      <c r="F29929" s="102" t="str">
        <f ca="1">IFERROR(__xludf.DUMMYFUNCTION("IMPORTRANGE(H29929,""IDENTITAS UNIT!D9"")"),"#N/A")</f>
        <v>#N/A</v>
      </c>
      <c r="H29929" s="4" t="str">
        <v/>
      </c>
      <c r="I29929" s="4" t="str">
        <v/>
      </c>
    </row>
    <row r="29930" spans="5:9" ht="16.5" hidden="1">
      <c r="E29930" s="4" t="str">
        <v/>
      </c>
      <c r="F29930" s="102" t="str">
        <f ca="1">IFERROR(__xludf.DUMMYFUNCTION("IMPORTRANGE(H29930,""IDENTITAS UNIT!D9"")"),"#N/A")</f>
        <v>#N/A</v>
      </c>
      <c r="H29930" s="4" t="str">
        <v/>
      </c>
      <c r="I29930" s="4" t="str">
        <v/>
      </c>
    </row>
    <row r="29931" spans="5:9" ht="16.5" hidden="1">
      <c r="E29931" s="4" t="str">
        <v/>
      </c>
      <c r="F29931" s="102" t="str">
        <f ca="1">IFERROR(__xludf.DUMMYFUNCTION("IMPORTRANGE(H29931,""IDENTITAS UNIT!D9"")"),"#N/A")</f>
        <v>#N/A</v>
      </c>
      <c r="H29931" s="4" t="str">
        <v/>
      </c>
      <c r="I29931" s="4" t="str">
        <v/>
      </c>
    </row>
    <row r="29932" spans="5:9" ht="16.5" hidden="1">
      <c r="E29932" s="4" t="str">
        <v/>
      </c>
      <c r="F29932" s="102" t="str">
        <f ca="1">IFERROR(__xludf.DUMMYFUNCTION("IMPORTRANGE(H29932,""IDENTITAS UNIT!D9"")"),"#N/A")</f>
        <v>#N/A</v>
      </c>
      <c r="H29932" s="4" t="str">
        <v/>
      </c>
      <c r="I29932" s="4" t="str">
        <v/>
      </c>
    </row>
    <row r="29933" spans="5:9" ht="16.5" hidden="1">
      <c r="E29933" s="4" t="str">
        <v/>
      </c>
      <c r="F29933" s="102" t="str">
        <f ca="1">IFERROR(__xludf.DUMMYFUNCTION("IMPORTRANGE(H29933,""IDENTITAS UNIT!D9"")"),"#N/A")</f>
        <v>#N/A</v>
      </c>
      <c r="H29933" s="4" t="str">
        <v/>
      </c>
      <c r="I29933" s="4" t="str">
        <v/>
      </c>
    </row>
    <row r="29934" spans="5:9" ht="16.5" hidden="1">
      <c r="E29934" s="4" t="str">
        <v/>
      </c>
      <c r="F29934" s="102" t="str">
        <f ca="1">IFERROR(__xludf.DUMMYFUNCTION("IMPORTRANGE(H29934,""IDENTITAS UNIT!D9"")"),"#N/A")</f>
        <v>#N/A</v>
      </c>
      <c r="H29934" s="4" t="str">
        <v/>
      </c>
      <c r="I29934" s="4" t="str">
        <v/>
      </c>
    </row>
    <row r="29935" spans="5:9" ht="16.5" hidden="1">
      <c r="E29935" s="4" t="str">
        <v/>
      </c>
      <c r="F29935" s="102" t="str">
        <f ca="1">IFERROR(__xludf.DUMMYFUNCTION("IMPORTRANGE(H29935,""IDENTITAS UNIT!D9"")"),"#N/A")</f>
        <v>#N/A</v>
      </c>
      <c r="H29935" s="4" t="str">
        <v/>
      </c>
      <c r="I29935" s="4" t="str">
        <v/>
      </c>
    </row>
    <row r="29936" spans="5:9" ht="16.5" hidden="1">
      <c r="E29936" s="4" t="str">
        <v/>
      </c>
      <c r="F29936" s="102" t="str">
        <f ca="1">IFERROR(__xludf.DUMMYFUNCTION("IMPORTRANGE(H29936,""IDENTITAS UNIT!D9"")"),"#N/A")</f>
        <v>#N/A</v>
      </c>
      <c r="H29936" s="4" t="str">
        <v/>
      </c>
      <c r="I29936" s="4" t="str">
        <v/>
      </c>
    </row>
    <row r="29937" spans="5:9" ht="16.5" hidden="1">
      <c r="E29937" s="4" t="str">
        <v/>
      </c>
      <c r="F29937" s="102" t="str">
        <f ca="1">IFERROR(__xludf.DUMMYFUNCTION("IMPORTRANGE(H29937,""IDENTITAS UNIT!D9"")"),"#N/A")</f>
        <v>#N/A</v>
      </c>
      <c r="H29937" s="4" t="str">
        <v/>
      </c>
      <c r="I29937" s="4" t="str">
        <v/>
      </c>
    </row>
    <row r="29938" spans="5:9" ht="16.5" hidden="1">
      <c r="E29938" s="4" t="str">
        <v/>
      </c>
      <c r="F29938" s="102" t="str">
        <f ca="1">IFERROR(__xludf.DUMMYFUNCTION("IMPORTRANGE(H29938,""IDENTITAS UNIT!D9"")"),"#N/A")</f>
        <v>#N/A</v>
      </c>
      <c r="H29938" s="4" t="str">
        <v/>
      </c>
      <c r="I29938" s="4" t="str">
        <v/>
      </c>
    </row>
    <row r="29939" spans="5:9" ht="16.5" hidden="1">
      <c r="E29939" s="4" t="str">
        <v/>
      </c>
      <c r="F29939" s="102" t="str">
        <f ca="1">IFERROR(__xludf.DUMMYFUNCTION("IMPORTRANGE(H29939,""IDENTITAS UNIT!D9"")"),"#N/A")</f>
        <v>#N/A</v>
      </c>
      <c r="H29939" s="4" t="str">
        <v/>
      </c>
      <c r="I29939" s="4" t="str">
        <v/>
      </c>
    </row>
    <row r="29940" spans="5:9" ht="16.5" hidden="1">
      <c r="E29940" s="4" t="str">
        <v/>
      </c>
      <c r="F29940" s="102" t="str">
        <f ca="1">IFERROR(__xludf.DUMMYFUNCTION("IMPORTRANGE(H29940,""IDENTITAS UNIT!D9"")"),"#N/A")</f>
        <v>#N/A</v>
      </c>
      <c r="H29940" s="4" t="str">
        <v/>
      </c>
      <c r="I29940" s="4" t="str">
        <v/>
      </c>
    </row>
    <row r="29941" spans="5:9" ht="16.5" hidden="1">
      <c r="E29941" s="4" t="str">
        <v/>
      </c>
      <c r="F29941" s="102" t="str">
        <f ca="1">IFERROR(__xludf.DUMMYFUNCTION("IMPORTRANGE(H29941,""IDENTITAS UNIT!D9"")"),"#N/A")</f>
        <v>#N/A</v>
      </c>
      <c r="H29941" s="4" t="str">
        <v/>
      </c>
      <c r="I29941" s="4" t="str">
        <v/>
      </c>
    </row>
    <row r="29942" spans="5:9" ht="16.5" hidden="1">
      <c r="E29942" s="4" t="str">
        <v/>
      </c>
      <c r="F29942" s="102" t="str">
        <f ca="1">IFERROR(__xludf.DUMMYFUNCTION("IMPORTRANGE(H29942,""IDENTITAS UNIT!D9"")"),"#N/A")</f>
        <v>#N/A</v>
      </c>
      <c r="H29942" s="4" t="str">
        <v/>
      </c>
      <c r="I29942" s="4" t="str">
        <v/>
      </c>
    </row>
    <row r="29943" spans="5:9" ht="16.5" hidden="1">
      <c r="E29943" s="4" t="str">
        <v/>
      </c>
      <c r="F29943" s="102" t="str">
        <f ca="1">IFERROR(__xludf.DUMMYFUNCTION("IMPORTRANGE(H29943,""IDENTITAS UNIT!D9"")"),"#N/A")</f>
        <v>#N/A</v>
      </c>
      <c r="H29943" s="4" t="str">
        <v/>
      </c>
      <c r="I29943" s="4" t="str">
        <v/>
      </c>
    </row>
    <row r="29944" spans="5:9" ht="16.5" hidden="1">
      <c r="E29944" s="4" t="str">
        <v/>
      </c>
      <c r="F29944" s="102" t="str">
        <f ca="1">IFERROR(__xludf.DUMMYFUNCTION("IMPORTRANGE(H29944,""IDENTITAS UNIT!D9"")"),"#N/A")</f>
        <v>#N/A</v>
      </c>
      <c r="H29944" s="4" t="str">
        <v/>
      </c>
      <c r="I29944" s="4" t="str">
        <v/>
      </c>
    </row>
    <row r="29945" spans="5:9" ht="16.5" hidden="1">
      <c r="E29945" s="4" t="str">
        <v/>
      </c>
      <c r="F29945" s="102" t="str">
        <f ca="1">IFERROR(__xludf.DUMMYFUNCTION("IMPORTRANGE(H29945,""IDENTITAS UNIT!D9"")"),"#N/A")</f>
        <v>#N/A</v>
      </c>
      <c r="H29945" s="4" t="str">
        <v/>
      </c>
      <c r="I29945" s="4" t="str">
        <v/>
      </c>
    </row>
    <row r="29946" spans="5:9" ht="16.5" hidden="1">
      <c r="E29946" s="4" t="str">
        <v/>
      </c>
      <c r="F29946" s="102" t="str">
        <f ca="1">IFERROR(__xludf.DUMMYFUNCTION("IMPORTRANGE(H29946,""IDENTITAS UNIT!D9"")"),"#N/A")</f>
        <v>#N/A</v>
      </c>
      <c r="H29946" s="4" t="str">
        <v/>
      </c>
      <c r="I29946" s="4" t="str">
        <v/>
      </c>
    </row>
    <row r="29947" spans="5:9" ht="16.5" hidden="1">
      <c r="E29947" s="4" t="str">
        <v/>
      </c>
      <c r="F29947" s="102" t="str">
        <f ca="1">IFERROR(__xludf.DUMMYFUNCTION("IMPORTRANGE(H29947,""IDENTITAS UNIT!D9"")"),"#N/A")</f>
        <v>#N/A</v>
      </c>
      <c r="H29947" s="4" t="str">
        <v/>
      </c>
      <c r="I29947" s="4" t="str">
        <v/>
      </c>
    </row>
    <row r="29948" spans="5:9" ht="16.5" hidden="1">
      <c r="E29948" s="4" t="str">
        <v/>
      </c>
      <c r="F29948" s="102" t="str">
        <f ca="1">IFERROR(__xludf.DUMMYFUNCTION("IMPORTRANGE(H29948,""IDENTITAS UNIT!D9"")"),"#N/A")</f>
        <v>#N/A</v>
      </c>
      <c r="H29948" s="4" t="str">
        <v/>
      </c>
      <c r="I29948" s="4" t="str">
        <v/>
      </c>
    </row>
    <row r="29949" spans="5:9" ht="16.5" hidden="1">
      <c r="E29949" s="4" t="str">
        <v/>
      </c>
      <c r="F29949" s="102" t="str">
        <f ca="1">IFERROR(__xludf.DUMMYFUNCTION("IMPORTRANGE(H29949,""IDENTITAS UNIT!D9"")"),"#N/A")</f>
        <v>#N/A</v>
      </c>
      <c r="H29949" s="4" t="str">
        <v/>
      </c>
      <c r="I29949" s="4" t="str">
        <v/>
      </c>
    </row>
    <row r="29950" spans="5:9" ht="16.5" hidden="1">
      <c r="E29950" s="4" t="str">
        <v/>
      </c>
      <c r="F29950" s="102" t="str">
        <f ca="1">IFERROR(__xludf.DUMMYFUNCTION("IMPORTRANGE(H29950,""IDENTITAS UNIT!D9"")"),"#N/A")</f>
        <v>#N/A</v>
      </c>
      <c r="H29950" s="4" t="str">
        <v/>
      </c>
      <c r="I29950" s="4" t="str">
        <v/>
      </c>
    </row>
    <row r="29951" spans="5:9" ht="16.5" hidden="1">
      <c r="E29951" s="4" t="str">
        <v/>
      </c>
      <c r="F29951" s="102" t="str">
        <f ca="1">IFERROR(__xludf.DUMMYFUNCTION("IMPORTRANGE(H29951,""IDENTITAS UNIT!D9"")"),"#N/A")</f>
        <v>#N/A</v>
      </c>
      <c r="H29951" s="4" t="str">
        <v/>
      </c>
      <c r="I29951" s="4" t="str">
        <v/>
      </c>
    </row>
    <row r="29952" spans="5:9" ht="16.5" hidden="1">
      <c r="E29952" s="4" t="str">
        <v/>
      </c>
      <c r="F29952" s="102" t="str">
        <f ca="1">IFERROR(__xludf.DUMMYFUNCTION("IMPORTRANGE(H29952,""IDENTITAS UNIT!D9"")"),"#N/A")</f>
        <v>#N/A</v>
      </c>
      <c r="H29952" s="4" t="str">
        <v/>
      </c>
      <c r="I29952" s="4" t="str">
        <v/>
      </c>
    </row>
    <row r="29953" spans="5:9" ht="16.5" hidden="1">
      <c r="E29953" s="4" t="str">
        <v/>
      </c>
      <c r="F29953" s="102" t="str">
        <f ca="1">IFERROR(__xludf.DUMMYFUNCTION("IMPORTRANGE(H29953,""IDENTITAS UNIT!D9"")"),"#N/A")</f>
        <v>#N/A</v>
      </c>
      <c r="H29953" s="4" t="str">
        <v/>
      </c>
      <c r="I29953" s="4" t="str">
        <v/>
      </c>
    </row>
    <row r="29954" spans="5:9" ht="16.5" hidden="1">
      <c r="E29954" s="4" t="str">
        <v/>
      </c>
      <c r="F29954" s="102" t="str">
        <f ca="1">IFERROR(__xludf.DUMMYFUNCTION("IMPORTRANGE(H29954,""IDENTITAS UNIT!D9"")"),"#N/A")</f>
        <v>#N/A</v>
      </c>
      <c r="H29954" s="4" t="str">
        <v/>
      </c>
      <c r="I29954" s="4" t="str">
        <v/>
      </c>
    </row>
    <row r="29955" spans="5:9" ht="16.5" hidden="1">
      <c r="E29955" s="4" t="str">
        <v/>
      </c>
      <c r="F29955" s="102" t="str">
        <f ca="1">IFERROR(__xludf.DUMMYFUNCTION("IMPORTRANGE(H29955,""IDENTITAS UNIT!D9"")"),"#N/A")</f>
        <v>#N/A</v>
      </c>
      <c r="H29955" s="4" t="str">
        <v/>
      </c>
      <c r="I29955" s="4" t="str">
        <v/>
      </c>
    </row>
    <row r="29956" spans="5:9" ht="16.5" hidden="1">
      <c r="E29956" s="4" t="str">
        <v/>
      </c>
      <c r="F29956" s="102" t="str">
        <f ca="1">IFERROR(__xludf.DUMMYFUNCTION("IMPORTRANGE(H29956,""IDENTITAS UNIT!D9"")"),"#N/A")</f>
        <v>#N/A</v>
      </c>
      <c r="H29956" s="4" t="str">
        <v/>
      </c>
      <c r="I29956" s="4" t="str">
        <v/>
      </c>
    </row>
    <row r="29957" spans="5:9" ht="16.5" hidden="1">
      <c r="E29957" s="4" t="str">
        <v/>
      </c>
      <c r="F29957" s="102" t="str">
        <f ca="1">IFERROR(__xludf.DUMMYFUNCTION("IMPORTRANGE(H29957,""IDENTITAS UNIT!D9"")"),"#N/A")</f>
        <v>#N/A</v>
      </c>
      <c r="H29957" s="4" t="str">
        <v/>
      </c>
      <c r="I29957" s="4" t="str">
        <v/>
      </c>
    </row>
    <row r="29958" spans="5:9" ht="16.5" hidden="1">
      <c r="E29958" s="4" t="str">
        <v/>
      </c>
      <c r="F29958" s="102" t="str">
        <f ca="1">IFERROR(__xludf.DUMMYFUNCTION("IMPORTRANGE(H29958,""IDENTITAS UNIT!D9"")"),"#N/A")</f>
        <v>#N/A</v>
      </c>
      <c r="H29958" s="4" t="str">
        <v/>
      </c>
      <c r="I29958" s="4" t="str">
        <v/>
      </c>
    </row>
    <row r="29959" spans="5:9" ht="16.5" hidden="1">
      <c r="E29959" s="4" t="str">
        <v/>
      </c>
      <c r="F29959" s="102" t="str">
        <f ca="1">IFERROR(__xludf.DUMMYFUNCTION("IMPORTRANGE(H29959,""IDENTITAS UNIT!D9"")"),"#N/A")</f>
        <v>#N/A</v>
      </c>
      <c r="H29959" s="4" t="str">
        <v/>
      </c>
      <c r="I29959" s="4" t="str">
        <v/>
      </c>
    </row>
    <row r="29960" spans="5:9" ht="16.5" hidden="1">
      <c r="E29960" s="4" t="str">
        <v/>
      </c>
      <c r="F29960" s="102" t="str">
        <f ca="1">IFERROR(__xludf.DUMMYFUNCTION("IMPORTRANGE(H29960,""IDENTITAS UNIT!D9"")"),"#N/A")</f>
        <v>#N/A</v>
      </c>
      <c r="H29960" s="4" t="str">
        <v/>
      </c>
      <c r="I29960" s="4" t="str">
        <v/>
      </c>
    </row>
    <row r="29961" spans="5:9" ht="16.5" hidden="1">
      <c r="E29961" s="4" t="str">
        <v/>
      </c>
      <c r="F29961" s="102" t="str">
        <f ca="1">IFERROR(__xludf.DUMMYFUNCTION("IMPORTRANGE(H29961,""IDENTITAS UNIT!D9"")"),"#N/A")</f>
        <v>#N/A</v>
      </c>
      <c r="H29961" s="4" t="str">
        <v/>
      </c>
      <c r="I29961" s="4" t="str">
        <v/>
      </c>
    </row>
    <row r="29962" spans="5:9" ht="16.5" hidden="1">
      <c r="E29962" s="4" t="str">
        <v/>
      </c>
      <c r="F29962" s="102" t="str">
        <f ca="1">IFERROR(__xludf.DUMMYFUNCTION("IMPORTRANGE(H29962,""IDENTITAS UNIT!D9"")"),"#N/A")</f>
        <v>#N/A</v>
      </c>
      <c r="H29962" s="4" t="str">
        <v/>
      </c>
      <c r="I29962" s="4" t="str">
        <v/>
      </c>
    </row>
    <row r="29963" spans="5:9" ht="16.5" hidden="1">
      <c r="E29963" s="4" t="str">
        <v/>
      </c>
      <c r="F29963" s="102" t="str">
        <f ca="1">IFERROR(__xludf.DUMMYFUNCTION("IMPORTRANGE(H29963,""IDENTITAS UNIT!D9"")"),"#N/A")</f>
        <v>#N/A</v>
      </c>
      <c r="H29963" s="4" t="str">
        <v/>
      </c>
      <c r="I29963" s="4" t="str">
        <v/>
      </c>
    </row>
    <row r="29964" spans="5:9" ht="16.5" hidden="1">
      <c r="E29964" s="4" t="str">
        <v/>
      </c>
      <c r="F29964" s="102" t="str">
        <f ca="1">IFERROR(__xludf.DUMMYFUNCTION("IMPORTRANGE(H29964,""IDENTITAS UNIT!D9"")"),"#N/A")</f>
        <v>#N/A</v>
      </c>
      <c r="H29964" s="4" t="str">
        <v/>
      </c>
      <c r="I29964" s="4" t="str">
        <v/>
      </c>
    </row>
    <row r="29965" spans="5:9" ht="16.5" hidden="1">
      <c r="E29965" s="4" t="str">
        <v/>
      </c>
      <c r="F29965" s="102" t="str">
        <f ca="1">IFERROR(__xludf.DUMMYFUNCTION("IMPORTRANGE(H29965,""IDENTITAS UNIT!D9"")"),"#N/A")</f>
        <v>#N/A</v>
      </c>
      <c r="H29965" s="4" t="str">
        <v/>
      </c>
      <c r="I29965" s="4" t="str">
        <v/>
      </c>
    </row>
    <row r="29966" spans="5:9" ht="16.5" hidden="1">
      <c r="E29966" s="4" t="str">
        <v/>
      </c>
      <c r="F29966" s="102" t="str">
        <f ca="1">IFERROR(__xludf.DUMMYFUNCTION("IMPORTRANGE(H29966,""IDENTITAS UNIT!D9"")"),"#N/A")</f>
        <v>#N/A</v>
      </c>
      <c r="H29966" s="4" t="str">
        <v/>
      </c>
      <c r="I29966" s="4" t="str">
        <v/>
      </c>
    </row>
    <row r="29967" spans="5:9" ht="16.5" hidden="1">
      <c r="E29967" s="4" t="str">
        <v/>
      </c>
      <c r="F29967" s="102" t="str">
        <f ca="1">IFERROR(__xludf.DUMMYFUNCTION("IMPORTRANGE(H29967,""IDENTITAS UNIT!D9"")"),"#N/A")</f>
        <v>#N/A</v>
      </c>
      <c r="H29967" s="4" t="str">
        <v/>
      </c>
      <c r="I29967" s="4" t="str">
        <v/>
      </c>
    </row>
    <row r="29968" spans="5:9" ht="16.5" hidden="1">
      <c r="E29968" s="4" t="str">
        <v/>
      </c>
      <c r="F29968" s="102" t="str">
        <f ca="1">IFERROR(__xludf.DUMMYFUNCTION("IMPORTRANGE(H29968,""IDENTITAS UNIT!D9"")"),"#N/A")</f>
        <v>#N/A</v>
      </c>
      <c r="H29968" s="4" t="str">
        <v/>
      </c>
      <c r="I29968" s="4" t="str">
        <v/>
      </c>
    </row>
    <row r="29969" spans="5:9" ht="16.5" hidden="1">
      <c r="E29969" s="4" t="str">
        <v/>
      </c>
      <c r="F29969" s="102" t="str">
        <f ca="1">IFERROR(__xludf.DUMMYFUNCTION("IMPORTRANGE(H29969,""IDENTITAS UNIT!D9"")"),"#N/A")</f>
        <v>#N/A</v>
      </c>
      <c r="H29969" s="4" t="str">
        <v/>
      </c>
      <c r="I29969" s="4" t="str">
        <v/>
      </c>
    </row>
    <row r="29970" spans="5:9" ht="16.5" hidden="1">
      <c r="E29970" s="4" t="str">
        <v/>
      </c>
      <c r="F29970" s="102" t="str">
        <f ca="1">IFERROR(__xludf.DUMMYFUNCTION("IMPORTRANGE(H29970,""IDENTITAS UNIT!D9"")"),"#N/A")</f>
        <v>#N/A</v>
      </c>
      <c r="H29970" s="4" t="str">
        <v/>
      </c>
      <c r="I29970" s="4" t="str">
        <v/>
      </c>
    </row>
    <row r="29971" spans="5:9" ht="16.5" hidden="1">
      <c r="E29971" s="4" t="str">
        <v/>
      </c>
      <c r="F29971" s="102" t="str">
        <f ca="1">IFERROR(__xludf.DUMMYFUNCTION("IMPORTRANGE(H29971,""IDENTITAS UNIT!D9"")"),"#N/A")</f>
        <v>#N/A</v>
      </c>
      <c r="H29971" s="4" t="str">
        <v/>
      </c>
      <c r="I29971" s="4" t="str">
        <v/>
      </c>
    </row>
    <row r="29972" spans="5:9" ht="16.5" hidden="1">
      <c r="E29972" s="4" t="str">
        <v/>
      </c>
      <c r="F29972" s="102" t="str">
        <f ca="1">IFERROR(__xludf.DUMMYFUNCTION("IMPORTRANGE(H29972,""IDENTITAS UNIT!D9"")"),"#N/A")</f>
        <v>#N/A</v>
      </c>
      <c r="H29972" s="4" t="str">
        <v/>
      </c>
      <c r="I29972" s="4" t="str">
        <v/>
      </c>
    </row>
    <row r="29973" spans="5:9" ht="16.5" hidden="1">
      <c r="E29973" s="4" t="str">
        <v/>
      </c>
      <c r="F29973" s="102" t="str">
        <f ca="1">IFERROR(__xludf.DUMMYFUNCTION("IMPORTRANGE(H29973,""IDENTITAS UNIT!D9"")"),"#N/A")</f>
        <v>#N/A</v>
      </c>
      <c r="H29973" s="4" t="str">
        <v/>
      </c>
      <c r="I29973" s="4" t="str">
        <v/>
      </c>
    </row>
    <row r="29974" spans="5:9" ht="16.5" hidden="1">
      <c r="E29974" s="4" t="str">
        <v/>
      </c>
      <c r="F29974" s="102" t="str">
        <f ca="1">IFERROR(__xludf.DUMMYFUNCTION("IMPORTRANGE(H29974,""IDENTITAS UNIT!D9"")"),"#N/A")</f>
        <v>#N/A</v>
      </c>
      <c r="H29974" s="4" t="str">
        <v/>
      </c>
      <c r="I29974" s="4" t="str">
        <v/>
      </c>
    </row>
    <row r="29975" spans="5:9" ht="16.5" hidden="1">
      <c r="E29975" s="4" t="str">
        <v/>
      </c>
      <c r="F29975" s="102" t="str">
        <f ca="1">IFERROR(__xludf.DUMMYFUNCTION("IMPORTRANGE(H29975,""IDENTITAS UNIT!D9"")"),"#N/A")</f>
        <v>#N/A</v>
      </c>
      <c r="H29975" s="4" t="str">
        <v/>
      </c>
      <c r="I29975" s="4" t="str">
        <v/>
      </c>
    </row>
    <row r="29976" spans="5:9" ht="16.5" hidden="1">
      <c r="E29976" s="4" t="str">
        <v/>
      </c>
      <c r="F29976" s="102" t="str">
        <f ca="1">IFERROR(__xludf.DUMMYFUNCTION("IMPORTRANGE(H29976,""IDENTITAS UNIT!D9"")"),"#N/A")</f>
        <v>#N/A</v>
      </c>
      <c r="H29976" s="4" t="str">
        <v/>
      </c>
      <c r="I29976" s="4" t="str">
        <v/>
      </c>
    </row>
    <row r="29977" spans="5:9" ht="16.5" hidden="1">
      <c r="E29977" s="4" t="str">
        <v/>
      </c>
      <c r="F29977" s="102" t="str">
        <f ca="1">IFERROR(__xludf.DUMMYFUNCTION("IMPORTRANGE(H29977,""IDENTITAS UNIT!D9"")"),"#N/A")</f>
        <v>#N/A</v>
      </c>
      <c r="H29977" s="4" t="str">
        <v/>
      </c>
      <c r="I29977" s="4" t="str">
        <v/>
      </c>
    </row>
    <row r="29978" spans="5:9" ht="16.5" hidden="1">
      <c r="E29978" s="4" t="str">
        <v/>
      </c>
      <c r="F29978" s="102" t="str">
        <f ca="1">IFERROR(__xludf.DUMMYFUNCTION("IMPORTRANGE(H29978,""IDENTITAS UNIT!D9"")"),"#N/A")</f>
        <v>#N/A</v>
      </c>
      <c r="H29978" s="4" t="str">
        <v/>
      </c>
      <c r="I29978" s="4" t="str">
        <v/>
      </c>
    </row>
    <row r="29979" spans="5:9" ht="16.5" hidden="1">
      <c r="E29979" s="4" t="str">
        <v/>
      </c>
      <c r="F29979" s="102" t="str">
        <f ca="1">IFERROR(__xludf.DUMMYFUNCTION("IMPORTRANGE(H29979,""IDENTITAS UNIT!D9"")"),"#N/A")</f>
        <v>#N/A</v>
      </c>
      <c r="H29979" s="4" t="str">
        <v/>
      </c>
      <c r="I29979" s="4" t="str">
        <v/>
      </c>
    </row>
    <row r="29980" spans="5:9" ht="16.5" hidden="1">
      <c r="E29980" s="4" t="str">
        <v/>
      </c>
      <c r="F29980" s="102" t="str">
        <f ca="1">IFERROR(__xludf.DUMMYFUNCTION("IMPORTRANGE(H29980,""IDENTITAS UNIT!D9"")"),"#N/A")</f>
        <v>#N/A</v>
      </c>
      <c r="H29980" s="4" t="str">
        <v/>
      </c>
      <c r="I29980" s="4" t="str">
        <v/>
      </c>
    </row>
    <row r="29981" spans="5:9" ht="16.5" hidden="1">
      <c r="E29981" s="4" t="str">
        <v/>
      </c>
      <c r="F29981" s="102" t="str">
        <f ca="1">IFERROR(__xludf.DUMMYFUNCTION("IMPORTRANGE(H29981,""IDENTITAS UNIT!D9"")"),"#N/A")</f>
        <v>#N/A</v>
      </c>
      <c r="H29981" s="4" t="str">
        <v/>
      </c>
      <c r="I29981" s="4" t="str">
        <v/>
      </c>
    </row>
    <row r="29982" spans="5:9" ht="16.5" hidden="1">
      <c r="E29982" s="4" t="str">
        <v/>
      </c>
      <c r="F29982" s="102" t="str">
        <f ca="1">IFERROR(__xludf.DUMMYFUNCTION("IMPORTRANGE(H29982,""IDENTITAS UNIT!D9"")"),"#N/A")</f>
        <v>#N/A</v>
      </c>
      <c r="H29982" s="4" t="str">
        <v/>
      </c>
      <c r="I29982" s="4" t="str">
        <v/>
      </c>
    </row>
    <row r="29983" spans="5:9" ht="16.5" hidden="1">
      <c r="E29983" s="4" t="str">
        <v/>
      </c>
      <c r="F29983" s="102" t="str">
        <f ca="1">IFERROR(__xludf.DUMMYFUNCTION("IMPORTRANGE(H29983,""IDENTITAS UNIT!D9"")"),"#N/A")</f>
        <v>#N/A</v>
      </c>
      <c r="H29983" s="4" t="str">
        <v/>
      </c>
      <c r="I29983" s="4" t="str">
        <v/>
      </c>
    </row>
    <row r="29984" spans="5:9" ht="16.5" hidden="1">
      <c r="E29984" s="4" t="str">
        <v/>
      </c>
      <c r="F29984" s="102" t="str">
        <f ca="1">IFERROR(__xludf.DUMMYFUNCTION("IMPORTRANGE(H29984,""IDENTITAS UNIT!D9"")"),"#N/A")</f>
        <v>#N/A</v>
      </c>
      <c r="H29984" s="4" t="str">
        <v/>
      </c>
      <c r="I29984" s="4" t="str">
        <v/>
      </c>
    </row>
    <row r="29985" spans="5:9" ht="16.5" hidden="1">
      <c r="E29985" s="4" t="str">
        <v/>
      </c>
      <c r="F29985" s="102" t="str">
        <f ca="1">IFERROR(__xludf.DUMMYFUNCTION("IMPORTRANGE(H29985,""IDENTITAS UNIT!D9"")"),"#N/A")</f>
        <v>#N/A</v>
      </c>
      <c r="H29985" s="4" t="str">
        <v/>
      </c>
      <c r="I29985" s="4" t="str">
        <v/>
      </c>
    </row>
    <row r="29986" spans="5:9" ht="16.5" hidden="1">
      <c r="E29986" s="4" t="str">
        <v/>
      </c>
      <c r="F29986" s="102" t="str">
        <f ca="1">IFERROR(__xludf.DUMMYFUNCTION("IMPORTRANGE(H29986,""IDENTITAS UNIT!D9"")"),"#N/A")</f>
        <v>#N/A</v>
      </c>
      <c r="H29986" s="4" t="str">
        <v/>
      </c>
      <c r="I29986" s="4" t="str">
        <v/>
      </c>
    </row>
    <row r="29987" spans="5:9" ht="16.5" hidden="1">
      <c r="E29987" s="4" t="str">
        <v/>
      </c>
      <c r="F29987" s="102" t="str">
        <f ca="1">IFERROR(__xludf.DUMMYFUNCTION("IMPORTRANGE(H29987,""IDENTITAS UNIT!D9"")"),"#N/A")</f>
        <v>#N/A</v>
      </c>
      <c r="H29987" s="4" t="str">
        <v/>
      </c>
      <c r="I29987" s="4" t="str">
        <v/>
      </c>
    </row>
    <row r="29988" spans="5:9" ht="16.5" hidden="1">
      <c r="E29988" s="4" t="str">
        <v/>
      </c>
      <c r="F29988" s="102" t="str">
        <f ca="1">IFERROR(__xludf.DUMMYFUNCTION("IMPORTRANGE(H29988,""IDENTITAS UNIT!D9"")"),"#N/A")</f>
        <v>#N/A</v>
      </c>
      <c r="H29988" s="4" t="str">
        <v/>
      </c>
      <c r="I29988" s="4" t="str">
        <v/>
      </c>
    </row>
    <row r="29989" spans="5:9" ht="16.5" hidden="1">
      <c r="E29989" s="4" t="str">
        <v/>
      </c>
      <c r="F29989" s="102" t="str">
        <f ca="1">IFERROR(__xludf.DUMMYFUNCTION("IMPORTRANGE(H29989,""IDENTITAS UNIT!D9"")"),"#N/A")</f>
        <v>#N/A</v>
      </c>
      <c r="H29989" s="4" t="str">
        <v/>
      </c>
      <c r="I29989" s="4" t="str">
        <v/>
      </c>
    </row>
    <row r="29990" spans="5:9" ht="16.5" hidden="1">
      <c r="E29990" s="4" t="str">
        <v/>
      </c>
      <c r="F29990" s="102" t="str">
        <f ca="1">IFERROR(__xludf.DUMMYFUNCTION("IMPORTRANGE(H29990,""IDENTITAS UNIT!D9"")"),"#N/A")</f>
        <v>#N/A</v>
      </c>
      <c r="H29990" s="4" t="str">
        <v/>
      </c>
      <c r="I29990" s="4" t="str">
        <v/>
      </c>
    </row>
    <row r="29991" spans="5:9" ht="16.5" hidden="1">
      <c r="E29991" s="4" t="str">
        <v/>
      </c>
      <c r="F29991" s="102" t="str">
        <f ca="1">IFERROR(__xludf.DUMMYFUNCTION("IMPORTRANGE(H29991,""IDENTITAS UNIT!D9"")"),"#N/A")</f>
        <v>#N/A</v>
      </c>
      <c r="H29991" s="4" t="str">
        <v/>
      </c>
      <c r="I29991" s="4" t="str">
        <v/>
      </c>
    </row>
    <row r="29992" spans="5:9" ht="16.5" hidden="1">
      <c r="E29992" s="4" t="str">
        <v/>
      </c>
      <c r="F29992" s="102" t="str">
        <f ca="1">IFERROR(__xludf.DUMMYFUNCTION("IMPORTRANGE(H29992,""IDENTITAS UNIT!D9"")"),"#N/A")</f>
        <v>#N/A</v>
      </c>
      <c r="H29992" s="4" t="str">
        <v/>
      </c>
      <c r="I29992" s="4" t="str">
        <v/>
      </c>
    </row>
    <row r="29993" spans="5:9" ht="16.5" hidden="1">
      <c r="E29993" s="4" t="str">
        <v/>
      </c>
      <c r="F29993" s="102" t="str">
        <f ca="1">IFERROR(__xludf.DUMMYFUNCTION("IMPORTRANGE(H29993,""IDENTITAS UNIT!D9"")"),"#N/A")</f>
        <v>#N/A</v>
      </c>
      <c r="H29993" s="4" t="str">
        <v/>
      </c>
      <c r="I29993" s="4" t="str">
        <v/>
      </c>
    </row>
    <row r="29994" spans="5:9" ht="16.5" hidden="1">
      <c r="E29994" s="4" t="str">
        <v/>
      </c>
      <c r="F29994" s="102" t="str">
        <f ca="1">IFERROR(__xludf.DUMMYFUNCTION("IMPORTRANGE(H29994,""IDENTITAS UNIT!D9"")"),"#N/A")</f>
        <v>#N/A</v>
      </c>
      <c r="H29994" s="4" t="str">
        <v/>
      </c>
      <c r="I29994" s="4" t="str">
        <v/>
      </c>
    </row>
    <row r="29995" spans="5:9" ht="16.5" hidden="1">
      <c r="E29995" s="4" t="str">
        <v/>
      </c>
      <c r="F29995" s="102" t="str">
        <f ca="1">IFERROR(__xludf.DUMMYFUNCTION("IMPORTRANGE(H29995,""IDENTITAS UNIT!D9"")"),"#N/A")</f>
        <v>#N/A</v>
      </c>
      <c r="H29995" s="4" t="str">
        <v/>
      </c>
      <c r="I29995" s="4" t="str">
        <v/>
      </c>
    </row>
    <row r="29996" spans="5:9" ht="16.5" hidden="1">
      <c r="E29996" s="4" t="str">
        <v/>
      </c>
      <c r="F29996" s="102" t="str">
        <f ca="1">IFERROR(__xludf.DUMMYFUNCTION("IMPORTRANGE(H29996,""IDENTITAS UNIT!D9"")"),"#N/A")</f>
        <v>#N/A</v>
      </c>
      <c r="H29996" s="4" t="str">
        <v/>
      </c>
      <c r="I29996" s="4" t="str">
        <v/>
      </c>
    </row>
    <row r="29997" spans="5:9" ht="16.5" hidden="1">
      <c r="E29997" s="4" t="str">
        <v/>
      </c>
      <c r="F29997" s="102" t="str">
        <f ca="1">IFERROR(__xludf.DUMMYFUNCTION("IMPORTRANGE(H29997,""IDENTITAS UNIT!D9"")"),"#N/A")</f>
        <v>#N/A</v>
      </c>
      <c r="H29997" s="4" t="str">
        <v/>
      </c>
      <c r="I29997" s="4" t="str">
        <v/>
      </c>
    </row>
    <row r="29998" spans="5:9" ht="16.5" hidden="1">
      <c r="E29998" s="4" t="str">
        <v/>
      </c>
      <c r="F29998" s="102" t="str">
        <f ca="1">IFERROR(__xludf.DUMMYFUNCTION("IMPORTRANGE(H29998,""IDENTITAS UNIT!D9"")"),"#N/A")</f>
        <v>#N/A</v>
      </c>
      <c r="H29998" s="4" t="str">
        <v/>
      </c>
      <c r="I29998" s="4" t="str">
        <v/>
      </c>
    </row>
    <row r="29999" spans="5:9" ht="16.5" hidden="1">
      <c r="E29999" s="4" t="str">
        <v/>
      </c>
      <c r="F29999" s="102" t="str">
        <f ca="1">IFERROR(__xludf.DUMMYFUNCTION("IMPORTRANGE(H29999,""IDENTITAS UNIT!D9"")"),"#N/A")</f>
        <v>#N/A</v>
      </c>
      <c r="H29999" s="4" t="str">
        <v/>
      </c>
      <c r="I29999" s="4" t="str">
        <v/>
      </c>
    </row>
    <row r="30000" spans="5:9" ht="16.5" hidden="1">
      <c r="E30000" s="4" t="str">
        <v/>
      </c>
      <c r="F30000" s="102" t="str">
        <f ca="1">IFERROR(__xludf.DUMMYFUNCTION("IMPORTRANGE(H30000,""IDENTITAS UNIT!D9"")"),"#N/A")</f>
        <v>#N/A</v>
      </c>
      <c r="H30000" s="4" t="str">
        <v/>
      </c>
      <c r="I30000" s="4" t="str">
        <v/>
      </c>
    </row>
    <row r="30001" spans="5:9" ht="16.5" hidden="1">
      <c r="E30001" s="4" t="str">
        <v/>
      </c>
      <c r="F30001" s="102" t="str">
        <f ca="1">IFERROR(__xludf.DUMMYFUNCTION("IMPORTRANGE(H30001,""IDENTITAS UNIT!D9"")"),"#N/A")</f>
        <v>#N/A</v>
      </c>
      <c r="H30001" s="4" t="str">
        <v/>
      </c>
      <c r="I30001" s="4" t="str">
        <v/>
      </c>
    </row>
    <row r="30002" spans="5:9" ht="16.5" hidden="1">
      <c r="E30002" s="4" t="str">
        <v/>
      </c>
      <c r="F30002" s="102" t="str">
        <f ca="1">IFERROR(__xludf.DUMMYFUNCTION("IMPORTRANGE(H30002,""IDENTITAS UNIT!D9"")"),"#N/A")</f>
        <v>#N/A</v>
      </c>
      <c r="H30002" s="4" t="str">
        <v/>
      </c>
      <c r="I30002" s="4" t="str">
        <v/>
      </c>
    </row>
    <row r="30003" spans="5:9" ht="16.5" hidden="1">
      <c r="E30003" s="4" t="str">
        <v/>
      </c>
      <c r="F30003" s="102" t="str">
        <f ca="1">IFERROR(__xludf.DUMMYFUNCTION("IMPORTRANGE(H30003,""IDENTITAS UNIT!D9"")"),"#N/A")</f>
        <v>#N/A</v>
      </c>
      <c r="H30003" s="4" t="str">
        <v/>
      </c>
      <c r="I30003" s="4" t="str">
        <v/>
      </c>
    </row>
    <row r="30004" spans="5:9" ht="16.5" hidden="1">
      <c r="E30004" s="4" t="str">
        <v/>
      </c>
      <c r="F30004" s="102" t="str">
        <f ca="1">IFERROR(__xludf.DUMMYFUNCTION("IMPORTRANGE(H30004,""IDENTITAS UNIT!D9"")"),"#N/A")</f>
        <v>#N/A</v>
      </c>
      <c r="H30004" s="4" t="str">
        <v/>
      </c>
      <c r="I30004" s="4" t="str">
        <v/>
      </c>
    </row>
    <row r="30005" spans="5:9" ht="16.5" hidden="1">
      <c r="E30005" s="4" t="str">
        <v/>
      </c>
      <c r="F30005" s="102" t="str">
        <f ca="1">IFERROR(__xludf.DUMMYFUNCTION("IMPORTRANGE(H30005,""IDENTITAS UNIT!D9"")"),"#N/A")</f>
        <v>#N/A</v>
      </c>
      <c r="H30005" s="4" t="str">
        <v/>
      </c>
      <c r="I30005" s="4" t="str">
        <v/>
      </c>
    </row>
    <row r="30006" spans="5:9" ht="16.5" hidden="1">
      <c r="E30006" s="4" t="str">
        <v/>
      </c>
      <c r="F30006" s="102" t="str">
        <f ca="1">IFERROR(__xludf.DUMMYFUNCTION("IMPORTRANGE(H30006,""IDENTITAS UNIT!D9"")"),"#N/A")</f>
        <v>#N/A</v>
      </c>
      <c r="H30006" s="4" t="str">
        <v/>
      </c>
      <c r="I30006" s="4" t="str">
        <v/>
      </c>
    </row>
    <row r="30007" spans="5:9" ht="16.5" hidden="1">
      <c r="E30007" s="4" t="str">
        <v/>
      </c>
      <c r="F30007" s="102" t="str">
        <f ca="1">IFERROR(__xludf.DUMMYFUNCTION("IMPORTRANGE(H30007,""IDENTITAS UNIT!D9"")"),"#N/A")</f>
        <v>#N/A</v>
      </c>
      <c r="H30007" s="4" t="str">
        <v/>
      </c>
      <c r="I30007" s="4" t="str">
        <v/>
      </c>
    </row>
    <row r="30008" spans="5:9" ht="16.5" hidden="1">
      <c r="E30008" s="4" t="str">
        <v/>
      </c>
      <c r="F30008" s="102" t="str">
        <f ca="1">IFERROR(__xludf.DUMMYFUNCTION("IMPORTRANGE(H30008,""IDENTITAS UNIT!D9"")"),"#N/A")</f>
        <v>#N/A</v>
      </c>
      <c r="H30008" s="4" t="str">
        <v/>
      </c>
      <c r="I30008" s="4" t="str">
        <v/>
      </c>
    </row>
    <row r="30009" spans="5:9" ht="16.5" hidden="1">
      <c r="E30009" s="4" t="str">
        <v/>
      </c>
      <c r="F30009" s="102" t="str">
        <f ca="1">IFERROR(__xludf.DUMMYFUNCTION("IMPORTRANGE(H30009,""IDENTITAS UNIT!D9"")"),"#N/A")</f>
        <v>#N/A</v>
      </c>
      <c r="H30009" s="4" t="str">
        <v/>
      </c>
      <c r="I30009" s="4" t="str">
        <v/>
      </c>
    </row>
    <row r="30010" spans="5:9" ht="16.5" hidden="1">
      <c r="E30010" s="4" t="str">
        <v/>
      </c>
      <c r="F30010" s="102" t="str">
        <f ca="1">IFERROR(__xludf.DUMMYFUNCTION("IMPORTRANGE(H30010,""IDENTITAS UNIT!D9"")"),"#N/A")</f>
        <v>#N/A</v>
      </c>
      <c r="H30010" s="4" t="str">
        <v/>
      </c>
      <c r="I30010" s="4" t="str">
        <v/>
      </c>
    </row>
    <row r="30011" spans="5:9" ht="16.5" hidden="1">
      <c r="E30011" s="4" t="str">
        <v/>
      </c>
      <c r="F30011" s="102" t="str">
        <f ca="1">IFERROR(__xludf.DUMMYFUNCTION("IMPORTRANGE(H30011,""IDENTITAS UNIT!D9"")"),"#N/A")</f>
        <v>#N/A</v>
      </c>
      <c r="H30011" s="4" t="str">
        <v/>
      </c>
      <c r="I30011" s="4" t="str">
        <v/>
      </c>
    </row>
    <row r="30012" spans="5:9" ht="16.5" hidden="1">
      <c r="E30012" s="4" t="str">
        <v/>
      </c>
      <c r="F30012" s="102" t="str">
        <f ca="1">IFERROR(__xludf.DUMMYFUNCTION("IMPORTRANGE(H30012,""IDENTITAS UNIT!D9"")"),"#N/A")</f>
        <v>#N/A</v>
      </c>
      <c r="H30012" s="4" t="str">
        <v/>
      </c>
      <c r="I30012" s="4" t="str">
        <v/>
      </c>
    </row>
    <row r="30013" spans="5:9" ht="16.5" hidden="1">
      <c r="E30013" s="4" t="str">
        <v/>
      </c>
      <c r="F30013" s="102" t="str">
        <f ca="1">IFERROR(__xludf.DUMMYFUNCTION("IMPORTRANGE(H30013,""IDENTITAS UNIT!D9"")"),"#N/A")</f>
        <v>#N/A</v>
      </c>
      <c r="H30013" s="4" t="str">
        <v/>
      </c>
      <c r="I30013" s="4" t="str">
        <v/>
      </c>
    </row>
    <row r="30014" spans="5:9" ht="16.5" hidden="1">
      <c r="E30014" s="4" t="str">
        <v/>
      </c>
      <c r="F30014" s="102" t="str">
        <f ca="1">IFERROR(__xludf.DUMMYFUNCTION("IMPORTRANGE(H30014,""IDENTITAS UNIT!D9"")"),"#N/A")</f>
        <v>#N/A</v>
      </c>
      <c r="H30014" s="4" t="str">
        <v/>
      </c>
      <c r="I30014" s="4" t="str">
        <v/>
      </c>
    </row>
    <row r="30015" spans="5:9" ht="16.5" hidden="1">
      <c r="E30015" s="4" t="str">
        <v/>
      </c>
      <c r="F30015" s="102" t="str">
        <f ca="1">IFERROR(__xludf.DUMMYFUNCTION("IMPORTRANGE(H30015,""IDENTITAS UNIT!D9"")"),"#N/A")</f>
        <v>#N/A</v>
      </c>
      <c r="H30015" s="4" t="str">
        <v/>
      </c>
      <c r="I30015" s="4" t="str">
        <v/>
      </c>
    </row>
    <row r="30016" spans="5:9" ht="16.5" hidden="1">
      <c r="E30016" s="4" t="str">
        <v/>
      </c>
      <c r="F30016" s="102" t="str">
        <f ca="1">IFERROR(__xludf.DUMMYFUNCTION("IMPORTRANGE(H30016,""IDENTITAS UNIT!D9"")"),"#N/A")</f>
        <v>#N/A</v>
      </c>
      <c r="H30016" s="4" t="str">
        <v/>
      </c>
      <c r="I30016" s="4" t="str">
        <v/>
      </c>
    </row>
    <row r="30017" spans="5:9" ht="16.5" hidden="1">
      <c r="E30017" s="4" t="str">
        <v/>
      </c>
      <c r="F30017" s="102" t="str">
        <f ca="1">IFERROR(__xludf.DUMMYFUNCTION("IMPORTRANGE(H30017,""IDENTITAS UNIT!D9"")"),"#N/A")</f>
        <v>#N/A</v>
      </c>
      <c r="H30017" s="4" t="str">
        <v/>
      </c>
      <c r="I30017" s="4" t="str">
        <v/>
      </c>
    </row>
    <row r="30018" spans="5:9" ht="16.5" hidden="1">
      <c r="E30018" s="4" t="str">
        <v/>
      </c>
      <c r="F30018" s="102" t="str">
        <f ca="1">IFERROR(__xludf.DUMMYFUNCTION("IMPORTRANGE(H30018,""IDENTITAS UNIT!D9"")"),"#N/A")</f>
        <v>#N/A</v>
      </c>
      <c r="H30018" s="4" t="str">
        <v/>
      </c>
      <c r="I30018" s="4" t="str">
        <v/>
      </c>
    </row>
    <row r="30019" spans="5:9" ht="16.5" hidden="1">
      <c r="E30019" s="4" t="str">
        <v/>
      </c>
      <c r="F30019" s="102" t="str">
        <f ca="1">IFERROR(__xludf.DUMMYFUNCTION("IMPORTRANGE(H30019,""IDENTITAS UNIT!D9"")"),"#N/A")</f>
        <v>#N/A</v>
      </c>
      <c r="H30019" s="4" t="str">
        <v/>
      </c>
      <c r="I30019" s="4" t="str">
        <v/>
      </c>
    </row>
    <row r="30020" spans="5:9" ht="16.5" hidden="1">
      <c r="E30020" s="4" t="str">
        <v/>
      </c>
      <c r="F30020" s="102" t="str">
        <f ca="1">IFERROR(__xludf.DUMMYFUNCTION("IMPORTRANGE(H30020,""IDENTITAS UNIT!D9"")"),"#N/A")</f>
        <v>#N/A</v>
      </c>
      <c r="H30020" s="4" t="str">
        <v/>
      </c>
      <c r="I30020" s="4" t="str">
        <v/>
      </c>
    </row>
    <row r="30021" spans="5:9" ht="16.5" hidden="1">
      <c r="E30021" s="4" t="str">
        <v/>
      </c>
      <c r="F30021" s="102" t="str">
        <f ca="1">IFERROR(__xludf.DUMMYFUNCTION("IMPORTRANGE(H30021,""IDENTITAS UNIT!D9"")"),"#N/A")</f>
        <v>#N/A</v>
      </c>
      <c r="H30021" s="4" t="str">
        <v/>
      </c>
      <c r="I30021" s="4" t="str">
        <v/>
      </c>
    </row>
    <row r="30022" spans="5:9" ht="16.5" hidden="1">
      <c r="E30022" s="4" t="str">
        <v/>
      </c>
      <c r="F30022" s="102" t="str">
        <f ca="1">IFERROR(__xludf.DUMMYFUNCTION("IMPORTRANGE(H30022,""IDENTITAS UNIT!D9"")"),"#N/A")</f>
        <v>#N/A</v>
      </c>
      <c r="H30022" s="4" t="str">
        <v/>
      </c>
      <c r="I30022" s="4" t="str">
        <v/>
      </c>
    </row>
    <row r="30023" spans="5:9" ht="16.5" hidden="1">
      <c r="E30023" s="4" t="str">
        <v/>
      </c>
      <c r="F30023" s="102" t="str">
        <f ca="1">IFERROR(__xludf.DUMMYFUNCTION("IMPORTRANGE(H30023,""IDENTITAS UNIT!D9"")"),"#N/A")</f>
        <v>#N/A</v>
      </c>
      <c r="H30023" s="4" t="str">
        <v/>
      </c>
      <c r="I30023" s="4" t="str">
        <v/>
      </c>
    </row>
    <row r="30024" spans="5:9" ht="16.5" hidden="1">
      <c r="E30024" s="4" t="str">
        <v/>
      </c>
      <c r="F30024" s="102" t="str">
        <f ca="1">IFERROR(__xludf.DUMMYFUNCTION("IMPORTRANGE(H30024,""IDENTITAS UNIT!D9"")"),"#N/A")</f>
        <v>#N/A</v>
      </c>
      <c r="H30024" s="4" t="str">
        <v/>
      </c>
      <c r="I30024" s="4" t="str">
        <v/>
      </c>
    </row>
    <row r="30025" spans="5:9" ht="16.5" hidden="1">
      <c r="E30025" s="4" t="str">
        <v/>
      </c>
      <c r="F30025" s="102" t="str">
        <f ca="1">IFERROR(__xludf.DUMMYFUNCTION("IMPORTRANGE(H30025,""IDENTITAS UNIT!D9"")"),"#N/A")</f>
        <v>#N/A</v>
      </c>
      <c r="H30025" s="4" t="str">
        <v/>
      </c>
      <c r="I30025" s="4" t="str">
        <v/>
      </c>
    </row>
    <row r="30026" spans="5:9" ht="16.5" hidden="1">
      <c r="E30026" s="4" t="str">
        <v/>
      </c>
      <c r="F30026" s="102" t="str">
        <f ca="1">IFERROR(__xludf.DUMMYFUNCTION("IMPORTRANGE(H30026,""IDENTITAS UNIT!D9"")"),"#N/A")</f>
        <v>#N/A</v>
      </c>
      <c r="H30026" s="4" t="str">
        <v/>
      </c>
      <c r="I30026" s="4" t="str">
        <v/>
      </c>
    </row>
    <row r="30027" spans="5:9" ht="16.5" hidden="1">
      <c r="E30027" s="4" t="str">
        <v/>
      </c>
      <c r="F30027" s="102" t="str">
        <f ca="1">IFERROR(__xludf.DUMMYFUNCTION("IMPORTRANGE(H30027,""IDENTITAS UNIT!D9"")"),"#N/A")</f>
        <v>#N/A</v>
      </c>
      <c r="H30027" s="4" t="str">
        <v/>
      </c>
      <c r="I30027" s="4" t="str">
        <v/>
      </c>
    </row>
    <row r="30028" spans="5:9" ht="16.5" hidden="1">
      <c r="E30028" s="4" t="str">
        <v/>
      </c>
      <c r="F30028" s="102" t="str">
        <f ca="1">IFERROR(__xludf.DUMMYFUNCTION("IMPORTRANGE(H30028,""IDENTITAS UNIT!D9"")"),"#N/A")</f>
        <v>#N/A</v>
      </c>
      <c r="H30028" s="4" t="str">
        <v/>
      </c>
      <c r="I30028" s="4" t="str">
        <v/>
      </c>
    </row>
    <row r="30029" spans="5:9" ht="16.5" hidden="1">
      <c r="E30029" s="4" t="str">
        <v/>
      </c>
      <c r="F30029" s="102" t="str">
        <f ca="1">IFERROR(__xludf.DUMMYFUNCTION("IMPORTRANGE(H30029,""IDENTITAS UNIT!D9"")"),"#N/A")</f>
        <v>#N/A</v>
      </c>
      <c r="H30029" s="4" t="str">
        <v/>
      </c>
      <c r="I30029" s="4" t="str">
        <v/>
      </c>
    </row>
    <row r="30030" spans="5:9" ht="16.5" hidden="1">
      <c r="E30030" s="4" t="str">
        <v/>
      </c>
      <c r="F30030" s="102" t="str">
        <f ca="1">IFERROR(__xludf.DUMMYFUNCTION("IMPORTRANGE(H30030,""IDENTITAS UNIT!D9"")"),"#N/A")</f>
        <v>#N/A</v>
      </c>
      <c r="H30030" s="4" t="str">
        <v/>
      </c>
      <c r="I30030" s="4" t="str">
        <v/>
      </c>
    </row>
    <row r="30031" spans="5:9" ht="16.5" hidden="1">
      <c r="E30031" s="4" t="str">
        <v/>
      </c>
      <c r="F30031" s="102" t="str">
        <f ca="1">IFERROR(__xludf.DUMMYFUNCTION("IMPORTRANGE(H30031,""IDENTITAS UNIT!D9"")"),"#N/A")</f>
        <v>#N/A</v>
      </c>
      <c r="H30031" s="4" t="str">
        <v/>
      </c>
      <c r="I30031" s="4" t="str">
        <v/>
      </c>
    </row>
    <row r="30032" spans="5:9" ht="16.5" hidden="1">
      <c r="E30032" s="4" t="str">
        <v/>
      </c>
      <c r="F30032" s="102" t="str">
        <f ca="1">IFERROR(__xludf.DUMMYFUNCTION("IMPORTRANGE(H30032,""IDENTITAS UNIT!D9"")"),"#N/A")</f>
        <v>#N/A</v>
      </c>
      <c r="H30032" s="4" t="str">
        <v/>
      </c>
      <c r="I30032" s="4" t="str">
        <v/>
      </c>
    </row>
    <row r="30033" spans="5:9" ht="16.5" hidden="1">
      <c r="E30033" s="4" t="str">
        <v/>
      </c>
      <c r="F30033" s="102" t="str">
        <f ca="1">IFERROR(__xludf.DUMMYFUNCTION("IMPORTRANGE(H30033,""IDENTITAS UNIT!D9"")"),"#N/A")</f>
        <v>#N/A</v>
      </c>
      <c r="H30033" s="4" t="str">
        <v/>
      </c>
      <c r="I30033" s="4" t="str">
        <v/>
      </c>
    </row>
    <row r="30034" spans="5:9" ht="16.5" hidden="1">
      <c r="E30034" s="4" t="str">
        <v/>
      </c>
      <c r="F30034" s="102" t="str">
        <f ca="1">IFERROR(__xludf.DUMMYFUNCTION("IMPORTRANGE(H30034,""IDENTITAS UNIT!D9"")"),"#N/A")</f>
        <v>#N/A</v>
      </c>
      <c r="H30034" s="4" t="str">
        <v/>
      </c>
      <c r="I30034" s="4" t="str">
        <v/>
      </c>
    </row>
    <row r="30035" spans="5:9" ht="16.5" hidden="1">
      <c r="E30035" s="4" t="str">
        <v/>
      </c>
      <c r="F30035" s="102" t="str">
        <f ca="1">IFERROR(__xludf.DUMMYFUNCTION("IMPORTRANGE(H30035,""IDENTITAS UNIT!D9"")"),"#N/A")</f>
        <v>#N/A</v>
      </c>
      <c r="H30035" s="4" t="str">
        <v/>
      </c>
      <c r="I30035" s="4" t="str">
        <v/>
      </c>
    </row>
    <row r="30036" spans="5:9" ht="16.5" hidden="1">
      <c r="E30036" s="4" t="str">
        <v/>
      </c>
      <c r="F30036" s="102" t="str">
        <f ca="1">IFERROR(__xludf.DUMMYFUNCTION("IMPORTRANGE(H30036,""IDENTITAS UNIT!D9"")"),"#N/A")</f>
        <v>#N/A</v>
      </c>
      <c r="H30036" s="4" t="str">
        <v/>
      </c>
      <c r="I30036" s="4" t="str">
        <v/>
      </c>
    </row>
    <row r="30037" spans="5:9" ht="16.5" hidden="1">
      <c r="E30037" s="4" t="str">
        <v/>
      </c>
      <c r="F30037" s="102" t="str">
        <f ca="1">IFERROR(__xludf.DUMMYFUNCTION("IMPORTRANGE(H30037,""IDENTITAS UNIT!D9"")"),"#N/A")</f>
        <v>#N/A</v>
      </c>
      <c r="H30037" s="4" t="str">
        <v/>
      </c>
      <c r="I30037" s="4" t="str">
        <v/>
      </c>
    </row>
    <row r="30038" spans="5:9" ht="16.5" hidden="1">
      <c r="E30038" s="4" t="str">
        <v/>
      </c>
      <c r="F30038" s="102" t="str">
        <f ca="1">IFERROR(__xludf.DUMMYFUNCTION("IMPORTRANGE(H30038,""IDENTITAS UNIT!D9"")"),"#N/A")</f>
        <v>#N/A</v>
      </c>
      <c r="H30038" s="4" t="str">
        <v/>
      </c>
      <c r="I30038" s="4" t="str">
        <v/>
      </c>
    </row>
    <row r="30039" spans="5:9" ht="16.5" hidden="1">
      <c r="E30039" s="4" t="str">
        <v/>
      </c>
      <c r="F30039" s="102" t="str">
        <f ca="1">IFERROR(__xludf.DUMMYFUNCTION("IMPORTRANGE(H30039,""IDENTITAS UNIT!D9"")"),"#N/A")</f>
        <v>#N/A</v>
      </c>
      <c r="H30039" s="4" t="str">
        <v/>
      </c>
      <c r="I30039" s="4" t="str">
        <v/>
      </c>
    </row>
    <row r="30040" spans="5:9" ht="16.5" hidden="1">
      <c r="E30040" s="4" t="str">
        <v/>
      </c>
      <c r="F30040" s="102" t="str">
        <f ca="1">IFERROR(__xludf.DUMMYFUNCTION("IMPORTRANGE(H30040,""IDENTITAS UNIT!D9"")"),"#N/A")</f>
        <v>#N/A</v>
      </c>
      <c r="H30040" s="4" t="str">
        <v/>
      </c>
      <c r="I30040" s="4" t="str">
        <v/>
      </c>
    </row>
    <row r="30041" spans="5:9" ht="16.5" hidden="1">
      <c r="E30041" s="4" t="str">
        <v/>
      </c>
      <c r="F30041" s="102" t="str">
        <f ca="1">IFERROR(__xludf.DUMMYFUNCTION("IMPORTRANGE(H30041,""IDENTITAS UNIT!D9"")"),"#N/A")</f>
        <v>#N/A</v>
      </c>
      <c r="H30041" s="4" t="str">
        <v/>
      </c>
      <c r="I30041" s="4" t="str">
        <v/>
      </c>
    </row>
    <row r="30042" spans="5:9" ht="16.5" hidden="1">
      <c r="E30042" s="4" t="str">
        <v/>
      </c>
      <c r="F30042" s="102" t="str">
        <f ca="1">IFERROR(__xludf.DUMMYFUNCTION("IMPORTRANGE(H30042,""IDENTITAS UNIT!D9"")"),"#N/A")</f>
        <v>#N/A</v>
      </c>
      <c r="H30042" s="4" t="str">
        <v/>
      </c>
      <c r="I30042" s="4" t="str">
        <v/>
      </c>
    </row>
    <row r="30043" spans="5:9" ht="16.5" hidden="1">
      <c r="E30043" s="4" t="str">
        <v/>
      </c>
      <c r="F30043" s="102" t="str">
        <f ca="1">IFERROR(__xludf.DUMMYFUNCTION("IMPORTRANGE(H30043,""IDENTITAS UNIT!D9"")"),"#N/A")</f>
        <v>#N/A</v>
      </c>
      <c r="H30043" s="4" t="str">
        <v/>
      </c>
      <c r="I30043" s="4" t="str">
        <v/>
      </c>
    </row>
    <row r="30044" spans="5:9" ht="16.5" hidden="1">
      <c r="E30044" s="4" t="str">
        <v/>
      </c>
      <c r="F30044" s="102" t="str">
        <f ca="1">IFERROR(__xludf.DUMMYFUNCTION("IMPORTRANGE(H30044,""IDENTITAS UNIT!D9"")"),"#N/A")</f>
        <v>#N/A</v>
      </c>
      <c r="H30044" s="4" t="str">
        <v/>
      </c>
      <c r="I30044" s="4" t="str">
        <v/>
      </c>
    </row>
    <row r="30045" spans="5:9" ht="16.5" hidden="1">
      <c r="E30045" s="4" t="str">
        <v/>
      </c>
      <c r="F30045" s="102" t="str">
        <f ca="1">IFERROR(__xludf.DUMMYFUNCTION("IMPORTRANGE(H30045,""IDENTITAS UNIT!D9"")"),"#N/A")</f>
        <v>#N/A</v>
      </c>
      <c r="H30045" s="4" t="str">
        <v/>
      </c>
      <c r="I30045" s="4" t="str">
        <v/>
      </c>
    </row>
    <row r="30046" spans="5:9" ht="16.5" hidden="1">
      <c r="E30046" s="4" t="str">
        <v/>
      </c>
      <c r="F30046" s="102" t="str">
        <f ca="1">IFERROR(__xludf.DUMMYFUNCTION("IMPORTRANGE(H30046,""IDENTITAS UNIT!D9"")"),"#N/A")</f>
        <v>#N/A</v>
      </c>
      <c r="H30046" s="4" t="str">
        <v/>
      </c>
      <c r="I30046" s="4" t="str">
        <v/>
      </c>
    </row>
    <row r="30047" spans="5:9" ht="16.5" hidden="1">
      <c r="E30047" s="4" t="str">
        <v/>
      </c>
      <c r="F30047" s="102" t="str">
        <f ca="1">IFERROR(__xludf.DUMMYFUNCTION("IMPORTRANGE(H30047,""IDENTITAS UNIT!D9"")"),"#N/A")</f>
        <v>#N/A</v>
      </c>
      <c r="H30047" s="4" t="str">
        <v/>
      </c>
      <c r="I30047" s="4" t="str">
        <v/>
      </c>
    </row>
    <row r="30048" spans="5:9" ht="16.5" hidden="1">
      <c r="E30048" s="4" t="str">
        <v/>
      </c>
      <c r="F30048" s="102" t="str">
        <f ca="1">IFERROR(__xludf.DUMMYFUNCTION("IMPORTRANGE(H30048,""IDENTITAS UNIT!D9"")"),"#N/A")</f>
        <v>#N/A</v>
      </c>
      <c r="H30048" s="4" t="str">
        <v/>
      </c>
      <c r="I30048" s="4" t="str">
        <v/>
      </c>
    </row>
    <row r="30049" spans="5:9" ht="16.5" hidden="1">
      <c r="E30049" s="4" t="str">
        <v/>
      </c>
      <c r="F30049" s="102" t="str">
        <f ca="1">IFERROR(__xludf.DUMMYFUNCTION("IMPORTRANGE(H30049,""IDENTITAS UNIT!D9"")"),"#N/A")</f>
        <v>#N/A</v>
      </c>
      <c r="H30049" s="4" t="str">
        <v/>
      </c>
      <c r="I30049" s="4" t="str">
        <v/>
      </c>
    </row>
    <row r="30050" spans="5:9" ht="16.5" hidden="1">
      <c r="E30050" s="4" t="str">
        <v/>
      </c>
      <c r="F30050" s="102" t="str">
        <f ca="1">IFERROR(__xludf.DUMMYFUNCTION("IMPORTRANGE(H30050,""IDENTITAS UNIT!D9"")"),"#N/A")</f>
        <v>#N/A</v>
      </c>
      <c r="H30050" s="4" t="str">
        <v/>
      </c>
      <c r="I30050" s="4" t="str">
        <v/>
      </c>
    </row>
    <row r="30051" spans="5:9" ht="16.5" hidden="1">
      <c r="E30051" s="4" t="str">
        <v/>
      </c>
      <c r="F30051" s="102" t="str">
        <f ca="1">IFERROR(__xludf.DUMMYFUNCTION("IMPORTRANGE(H30051,""IDENTITAS UNIT!D9"")"),"#N/A")</f>
        <v>#N/A</v>
      </c>
      <c r="H30051" s="4" t="str">
        <v/>
      </c>
      <c r="I30051" s="4" t="str">
        <v/>
      </c>
    </row>
    <row r="30052" spans="5:9" ht="16.5" hidden="1">
      <c r="E30052" s="4" t="str">
        <v/>
      </c>
      <c r="F30052" s="102" t="str">
        <f ca="1">IFERROR(__xludf.DUMMYFUNCTION("IMPORTRANGE(H30052,""IDENTITAS UNIT!D9"")"),"#N/A")</f>
        <v>#N/A</v>
      </c>
      <c r="H30052" s="4" t="str">
        <v/>
      </c>
      <c r="I30052" s="4" t="str">
        <v/>
      </c>
    </row>
    <row r="30053" spans="5:9" ht="16.5" hidden="1">
      <c r="E30053" s="4" t="str">
        <v/>
      </c>
      <c r="F30053" s="102" t="str">
        <f ca="1">IFERROR(__xludf.DUMMYFUNCTION("IMPORTRANGE(H30053,""IDENTITAS UNIT!D9"")"),"#N/A")</f>
        <v>#N/A</v>
      </c>
      <c r="H30053" s="4" t="str">
        <v/>
      </c>
      <c r="I30053" s="4" t="str">
        <v/>
      </c>
    </row>
    <row r="30054" spans="5:9" ht="16.5" hidden="1">
      <c r="E30054" s="4" t="str">
        <v/>
      </c>
      <c r="F30054" s="102" t="str">
        <f ca="1">IFERROR(__xludf.DUMMYFUNCTION("IMPORTRANGE(H30054,""IDENTITAS UNIT!D9"")"),"#N/A")</f>
        <v>#N/A</v>
      </c>
      <c r="H30054" s="4" t="str">
        <v/>
      </c>
      <c r="I30054" s="4" t="str">
        <v/>
      </c>
    </row>
    <row r="30055" spans="5:9" ht="16.5" hidden="1">
      <c r="E30055" s="4" t="str">
        <v/>
      </c>
      <c r="F30055" s="102" t="str">
        <f ca="1">IFERROR(__xludf.DUMMYFUNCTION("IMPORTRANGE(H30055,""IDENTITAS UNIT!D9"")"),"#N/A")</f>
        <v>#N/A</v>
      </c>
      <c r="H30055" s="4" t="str">
        <v/>
      </c>
      <c r="I30055" s="4" t="str">
        <v/>
      </c>
    </row>
    <row r="30056" spans="5:9" ht="16.5" hidden="1">
      <c r="E30056" s="4" t="str">
        <v/>
      </c>
      <c r="F30056" s="102" t="str">
        <f ca="1">IFERROR(__xludf.DUMMYFUNCTION("IMPORTRANGE(H30056,""IDENTITAS UNIT!D9"")"),"#N/A")</f>
        <v>#N/A</v>
      </c>
      <c r="H30056" s="4" t="str">
        <v/>
      </c>
      <c r="I30056" s="4" t="str">
        <v/>
      </c>
    </row>
    <row r="30057" spans="5:9" ht="16.5" hidden="1">
      <c r="E30057" s="4" t="str">
        <v/>
      </c>
      <c r="F30057" s="102" t="str">
        <f ca="1">IFERROR(__xludf.DUMMYFUNCTION("IMPORTRANGE(H30057,""IDENTITAS UNIT!D9"")"),"#N/A")</f>
        <v>#N/A</v>
      </c>
      <c r="H30057" s="4" t="str">
        <v/>
      </c>
      <c r="I30057" s="4" t="str">
        <v/>
      </c>
    </row>
    <row r="30058" spans="5:9" ht="16.5" hidden="1">
      <c r="E30058" s="4" t="str">
        <v/>
      </c>
      <c r="F30058" s="102" t="str">
        <f ca="1">IFERROR(__xludf.DUMMYFUNCTION("IMPORTRANGE(H30058,""IDENTITAS UNIT!D9"")"),"#N/A")</f>
        <v>#N/A</v>
      </c>
      <c r="H30058" s="4" t="str">
        <v/>
      </c>
      <c r="I30058" s="4" t="str">
        <v/>
      </c>
    </row>
    <row r="30059" spans="5:9" ht="16.5" hidden="1">
      <c r="E30059" s="4" t="str">
        <v/>
      </c>
      <c r="F30059" s="102" t="str">
        <f ca="1">IFERROR(__xludf.DUMMYFUNCTION("IMPORTRANGE(H30059,""IDENTITAS UNIT!D9"")"),"#N/A")</f>
        <v>#N/A</v>
      </c>
      <c r="H30059" s="4" t="str">
        <v/>
      </c>
      <c r="I30059" s="4" t="str">
        <v/>
      </c>
    </row>
    <row r="30060" spans="5:9" ht="16.5" hidden="1">
      <c r="E30060" s="4" t="str">
        <v/>
      </c>
      <c r="F30060" s="102" t="str">
        <f ca="1">IFERROR(__xludf.DUMMYFUNCTION("IMPORTRANGE(H30060,""IDENTITAS UNIT!D9"")"),"#N/A")</f>
        <v>#N/A</v>
      </c>
      <c r="H30060" s="4" t="str">
        <v/>
      </c>
      <c r="I30060" s="4" t="str">
        <v/>
      </c>
    </row>
    <row r="30061" spans="5:9" ht="16.5" hidden="1">
      <c r="E30061" s="4" t="str">
        <v/>
      </c>
      <c r="F30061" s="102" t="str">
        <f ca="1">IFERROR(__xludf.DUMMYFUNCTION("IMPORTRANGE(H30061,""IDENTITAS UNIT!D9"")"),"#N/A")</f>
        <v>#N/A</v>
      </c>
      <c r="H30061" s="4" t="str">
        <v/>
      </c>
      <c r="I30061" s="4" t="str">
        <v/>
      </c>
    </row>
    <row r="30062" spans="5:9" ht="16.5" hidden="1">
      <c r="E30062" s="4" t="str">
        <v/>
      </c>
      <c r="F30062" s="102" t="str">
        <f ca="1">IFERROR(__xludf.DUMMYFUNCTION("IMPORTRANGE(H30062,""IDENTITAS UNIT!D9"")"),"#N/A")</f>
        <v>#N/A</v>
      </c>
      <c r="H30062" s="4" t="str">
        <v/>
      </c>
      <c r="I30062" s="4" t="str">
        <v/>
      </c>
    </row>
    <row r="30063" spans="5:9" ht="16.5" hidden="1">
      <c r="E30063" s="4" t="str">
        <v/>
      </c>
      <c r="F30063" s="102" t="str">
        <f ca="1">IFERROR(__xludf.DUMMYFUNCTION("IMPORTRANGE(H30063,""IDENTITAS UNIT!D9"")"),"#N/A")</f>
        <v>#N/A</v>
      </c>
      <c r="H30063" s="4" t="str">
        <v/>
      </c>
      <c r="I30063" s="4" t="str">
        <v/>
      </c>
    </row>
    <row r="30064" spans="5:9" ht="16.5" hidden="1">
      <c r="E30064" s="4" t="str">
        <v/>
      </c>
      <c r="F30064" s="102" t="str">
        <f ca="1">IFERROR(__xludf.DUMMYFUNCTION("IMPORTRANGE(H30064,""IDENTITAS UNIT!D9"")"),"#N/A")</f>
        <v>#N/A</v>
      </c>
      <c r="H30064" s="4" t="str">
        <v/>
      </c>
      <c r="I30064" s="4" t="str">
        <v/>
      </c>
    </row>
    <row r="30065" spans="5:9" ht="16.5" hidden="1">
      <c r="E30065" s="4" t="str">
        <v/>
      </c>
      <c r="F30065" s="102" t="str">
        <f ca="1">IFERROR(__xludf.DUMMYFUNCTION("IMPORTRANGE(H30065,""IDENTITAS UNIT!D9"")"),"#N/A")</f>
        <v>#N/A</v>
      </c>
      <c r="H30065" s="4" t="str">
        <v/>
      </c>
      <c r="I30065" s="4" t="str">
        <v/>
      </c>
    </row>
    <row r="30066" spans="5:9" ht="16.5" hidden="1">
      <c r="E30066" s="4" t="str">
        <v/>
      </c>
      <c r="F30066" s="102" t="str">
        <f ca="1">IFERROR(__xludf.DUMMYFUNCTION("IMPORTRANGE(H30066,""IDENTITAS UNIT!D9"")"),"#N/A")</f>
        <v>#N/A</v>
      </c>
      <c r="H30066" s="4" t="str">
        <v/>
      </c>
      <c r="I30066" s="4" t="str">
        <v/>
      </c>
    </row>
    <row r="30067" spans="5:9" ht="16.5" hidden="1">
      <c r="E30067" s="4" t="str">
        <v/>
      </c>
      <c r="F30067" s="102" t="str">
        <f ca="1">IFERROR(__xludf.DUMMYFUNCTION("IMPORTRANGE(H30067,""IDENTITAS UNIT!D9"")"),"#N/A")</f>
        <v>#N/A</v>
      </c>
      <c r="H30067" s="4" t="str">
        <v/>
      </c>
      <c r="I30067" s="4" t="str">
        <v/>
      </c>
    </row>
    <row r="30068" spans="5:9" ht="16.5" hidden="1">
      <c r="E30068" s="4" t="str">
        <v/>
      </c>
      <c r="F30068" s="102" t="str">
        <f ca="1">IFERROR(__xludf.DUMMYFUNCTION("IMPORTRANGE(H30068,""IDENTITAS UNIT!D9"")"),"#N/A")</f>
        <v>#N/A</v>
      </c>
      <c r="H30068" s="4" t="str">
        <v/>
      </c>
      <c r="I30068" s="4" t="str">
        <v/>
      </c>
    </row>
    <row r="30069" spans="5:9" ht="16.5" hidden="1">
      <c r="E30069" s="4" t="str">
        <v/>
      </c>
      <c r="F30069" s="102" t="str">
        <f ca="1">IFERROR(__xludf.DUMMYFUNCTION("IMPORTRANGE(H30069,""IDENTITAS UNIT!D9"")"),"#N/A")</f>
        <v>#N/A</v>
      </c>
      <c r="H30069" s="4" t="str">
        <v/>
      </c>
      <c r="I30069" s="4" t="str">
        <v/>
      </c>
    </row>
    <row r="30070" spans="5:9" ht="16.5" hidden="1">
      <c r="E30070" s="4" t="str">
        <v/>
      </c>
      <c r="F30070" s="102" t="str">
        <f ca="1">IFERROR(__xludf.DUMMYFUNCTION("IMPORTRANGE(H30070,""IDENTITAS UNIT!D9"")"),"#N/A")</f>
        <v>#N/A</v>
      </c>
      <c r="H30070" s="4" t="str">
        <v/>
      </c>
      <c r="I30070" s="4" t="str">
        <v/>
      </c>
    </row>
    <row r="30071" spans="5:9" ht="16.5" hidden="1">
      <c r="E30071" s="4" t="str">
        <v/>
      </c>
      <c r="F30071" s="102" t="str">
        <f ca="1">IFERROR(__xludf.DUMMYFUNCTION("IMPORTRANGE(H30071,""IDENTITAS UNIT!D9"")"),"#N/A")</f>
        <v>#N/A</v>
      </c>
      <c r="H30071" s="4" t="str">
        <v/>
      </c>
      <c r="I30071" s="4" t="str">
        <v/>
      </c>
    </row>
    <row r="30072" spans="5:9" ht="16.5" hidden="1">
      <c r="E30072" s="4" t="str">
        <v/>
      </c>
      <c r="F30072" s="102" t="str">
        <f ca="1">IFERROR(__xludf.DUMMYFUNCTION("IMPORTRANGE(H30072,""IDENTITAS UNIT!D9"")"),"#N/A")</f>
        <v>#N/A</v>
      </c>
      <c r="H30072" s="4" t="str">
        <v/>
      </c>
      <c r="I30072" s="4" t="str">
        <v/>
      </c>
    </row>
    <row r="30073" spans="5:9" ht="16.5" hidden="1">
      <c r="E30073" s="4" t="str">
        <v/>
      </c>
      <c r="F30073" s="102" t="str">
        <f ca="1">IFERROR(__xludf.DUMMYFUNCTION("IMPORTRANGE(H30073,""IDENTITAS UNIT!D9"")"),"#N/A")</f>
        <v>#N/A</v>
      </c>
      <c r="H30073" s="4" t="str">
        <v/>
      </c>
      <c r="I30073" s="4" t="str">
        <v/>
      </c>
    </row>
    <row r="30074" spans="5:9" ht="16.5" hidden="1">
      <c r="E30074" s="4" t="str">
        <v/>
      </c>
      <c r="F30074" s="102" t="str">
        <f ca="1">IFERROR(__xludf.DUMMYFUNCTION("IMPORTRANGE(H30074,""IDENTITAS UNIT!D9"")"),"#N/A")</f>
        <v>#N/A</v>
      </c>
      <c r="H30074" s="4" t="str">
        <v/>
      </c>
      <c r="I30074" s="4" t="str">
        <v/>
      </c>
    </row>
    <row r="30075" spans="5:9" ht="16.5" hidden="1">
      <c r="E30075" s="4" t="str">
        <v/>
      </c>
      <c r="F30075" s="102" t="str">
        <f ca="1">IFERROR(__xludf.DUMMYFUNCTION("IMPORTRANGE(H30075,""IDENTITAS UNIT!D9"")"),"#N/A")</f>
        <v>#N/A</v>
      </c>
      <c r="H30075" s="4" t="str">
        <v/>
      </c>
      <c r="I30075" s="4" t="str">
        <v/>
      </c>
    </row>
    <row r="30076" spans="5:9" ht="16.5" hidden="1">
      <c r="E30076" s="4" t="str">
        <v/>
      </c>
      <c r="F30076" s="102" t="str">
        <f ca="1">IFERROR(__xludf.DUMMYFUNCTION("IMPORTRANGE(H30076,""IDENTITAS UNIT!D9"")"),"#N/A")</f>
        <v>#N/A</v>
      </c>
      <c r="H30076" s="4" t="str">
        <v/>
      </c>
      <c r="I30076" s="4" t="str">
        <v/>
      </c>
    </row>
    <row r="30077" spans="5:9" ht="16.5" hidden="1">
      <c r="E30077" s="4" t="str">
        <v/>
      </c>
      <c r="F30077" s="102" t="str">
        <f ca="1">IFERROR(__xludf.DUMMYFUNCTION("IMPORTRANGE(H30077,""IDENTITAS UNIT!D9"")"),"#N/A")</f>
        <v>#N/A</v>
      </c>
      <c r="H30077" s="4" t="str">
        <v/>
      </c>
      <c r="I30077" s="4" t="str">
        <v/>
      </c>
    </row>
    <row r="30078" spans="5:9" ht="16.5" hidden="1">
      <c r="E30078" s="4" t="str">
        <v/>
      </c>
      <c r="F30078" s="102" t="str">
        <f ca="1">IFERROR(__xludf.DUMMYFUNCTION("IMPORTRANGE(H30078,""IDENTITAS UNIT!D9"")"),"#N/A")</f>
        <v>#N/A</v>
      </c>
      <c r="H30078" s="4" t="str">
        <v/>
      </c>
      <c r="I30078" s="4" t="str">
        <v/>
      </c>
    </row>
    <row r="30079" spans="5:9" ht="16.5" hidden="1">
      <c r="E30079" s="4" t="str">
        <v/>
      </c>
      <c r="F30079" s="102" t="str">
        <f ca="1">IFERROR(__xludf.DUMMYFUNCTION("IMPORTRANGE(H30079,""IDENTITAS UNIT!D9"")"),"#N/A")</f>
        <v>#N/A</v>
      </c>
      <c r="H30079" s="4" t="str">
        <v/>
      </c>
      <c r="I30079" s="4" t="str">
        <v/>
      </c>
    </row>
    <row r="30080" spans="5:9" ht="16.5" hidden="1">
      <c r="E30080" s="4" t="str">
        <v/>
      </c>
      <c r="F30080" s="102" t="str">
        <f ca="1">IFERROR(__xludf.DUMMYFUNCTION("IMPORTRANGE(H30080,""IDENTITAS UNIT!D9"")"),"#N/A")</f>
        <v>#N/A</v>
      </c>
      <c r="H30080" s="4" t="str">
        <v/>
      </c>
      <c r="I30080" s="4" t="str">
        <v/>
      </c>
    </row>
    <row r="30081" spans="5:9" ht="16.5" hidden="1">
      <c r="E30081" s="4" t="str">
        <v/>
      </c>
      <c r="F30081" s="102" t="str">
        <f ca="1">IFERROR(__xludf.DUMMYFUNCTION("IMPORTRANGE(H30081,""IDENTITAS UNIT!D9"")"),"#N/A")</f>
        <v>#N/A</v>
      </c>
      <c r="H30081" s="4" t="str">
        <v/>
      </c>
      <c r="I30081" s="4" t="str">
        <v/>
      </c>
    </row>
    <row r="30082" spans="5:9" ht="16.5" hidden="1">
      <c r="E30082" s="4" t="str">
        <v/>
      </c>
      <c r="F30082" s="102" t="str">
        <f ca="1">IFERROR(__xludf.DUMMYFUNCTION("IMPORTRANGE(H30082,""IDENTITAS UNIT!D9"")"),"#N/A")</f>
        <v>#N/A</v>
      </c>
      <c r="H30082" s="4" t="str">
        <v/>
      </c>
      <c r="I30082" s="4" t="str">
        <v/>
      </c>
    </row>
    <row r="30083" spans="5:9" ht="16.5" hidden="1">
      <c r="E30083" s="4" t="str">
        <v/>
      </c>
      <c r="F30083" s="102" t="str">
        <f ca="1">IFERROR(__xludf.DUMMYFUNCTION("IMPORTRANGE(H30083,""IDENTITAS UNIT!D9"")"),"#N/A")</f>
        <v>#N/A</v>
      </c>
      <c r="H30083" s="4" t="str">
        <v/>
      </c>
      <c r="I30083" s="4" t="str">
        <v/>
      </c>
    </row>
    <row r="30084" spans="5:9" ht="16.5" hidden="1">
      <c r="E30084" s="4" t="str">
        <v/>
      </c>
      <c r="F30084" s="102" t="str">
        <f ca="1">IFERROR(__xludf.DUMMYFUNCTION("IMPORTRANGE(H30084,""IDENTITAS UNIT!D9"")"),"#N/A")</f>
        <v>#N/A</v>
      </c>
      <c r="H30084" s="4" t="str">
        <v/>
      </c>
      <c r="I30084" s="4" t="str">
        <v/>
      </c>
    </row>
    <row r="30085" spans="5:9" ht="16.5" hidden="1">
      <c r="E30085" s="4" t="str">
        <v/>
      </c>
      <c r="F30085" s="102" t="str">
        <f ca="1">IFERROR(__xludf.DUMMYFUNCTION("IMPORTRANGE(H30085,""IDENTITAS UNIT!D9"")"),"#N/A")</f>
        <v>#N/A</v>
      </c>
      <c r="H30085" s="4" t="str">
        <v/>
      </c>
      <c r="I30085" s="4" t="str">
        <v/>
      </c>
    </row>
    <row r="30086" spans="5:9" ht="16.5" hidden="1">
      <c r="E30086" s="4" t="str">
        <v/>
      </c>
      <c r="F30086" s="102" t="str">
        <f ca="1">IFERROR(__xludf.DUMMYFUNCTION("IMPORTRANGE(H30086,""IDENTITAS UNIT!D9"")"),"#N/A")</f>
        <v>#N/A</v>
      </c>
      <c r="H30086" s="4" t="str">
        <v/>
      </c>
      <c r="I30086" s="4" t="str">
        <v/>
      </c>
    </row>
    <row r="30087" spans="5:9" ht="16.5" hidden="1">
      <c r="E30087" s="4" t="str">
        <v/>
      </c>
      <c r="F30087" s="102" t="str">
        <f ca="1">IFERROR(__xludf.DUMMYFUNCTION("IMPORTRANGE(H30087,""IDENTITAS UNIT!D9"")"),"#N/A")</f>
        <v>#N/A</v>
      </c>
      <c r="H30087" s="4" t="str">
        <v/>
      </c>
      <c r="I30087" s="4" t="str">
        <v/>
      </c>
    </row>
    <row r="30088" spans="5:9" ht="16.5" hidden="1">
      <c r="E30088" s="4" t="str">
        <v/>
      </c>
      <c r="F30088" s="102" t="str">
        <f ca="1">IFERROR(__xludf.DUMMYFUNCTION("IMPORTRANGE(H30088,""IDENTITAS UNIT!D9"")"),"#N/A")</f>
        <v>#N/A</v>
      </c>
      <c r="H30088" s="4" t="str">
        <v/>
      </c>
      <c r="I30088" s="4" t="str">
        <v/>
      </c>
    </row>
    <row r="30089" spans="5:9" ht="16.5" hidden="1">
      <c r="E30089" s="4" t="str">
        <v/>
      </c>
      <c r="F30089" s="102" t="str">
        <f ca="1">IFERROR(__xludf.DUMMYFUNCTION("IMPORTRANGE(H30089,""IDENTITAS UNIT!D9"")"),"#N/A")</f>
        <v>#N/A</v>
      </c>
      <c r="H30089" s="4" t="str">
        <v/>
      </c>
      <c r="I30089" s="4" t="str">
        <v/>
      </c>
    </row>
    <row r="30090" spans="5:9" ht="16.5" hidden="1">
      <c r="E30090" s="4" t="str">
        <v/>
      </c>
      <c r="F30090" s="102" t="str">
        <f ca="1">IFERROR(__xludf.DUMMYFUNCTION("IMPORTRANGE(H30090,""IDENTITAS UNIT!D9"")"),"#N/A")</f>
        <v>#N/A</v>
      </c>
      <c r="H30090" s="4" t="str">
        <v/>
      </c>
      <c r="I30090" s="4" t="str">
        <v/>
      </c>
    </row>
    <row r="30091" spans="5:9" ht="16.5" hidden="1">
      <c r="E30091" s="4" t="str">
        <v/>
      </c>
      <c r="F30091" s="102" t="str">
        <f ca="1">IFERROR(__xludf.DUMMYFUNCTION("IMPORTRANGE(H30091,""IDENTITAS UNIT!D9"")"),"#N/A")</f>
        <v>#N/A</v>
      </c>
      <c r="H30091" s="4" t="str">
        <v/>
      </c>
      <c r="I30091" s="4" t="str">
        <v/>
      </c>
    </row>
    <row r="30092" spans="5:9" ht="16.5" hidden="1">
      <c r="E30092" s="4" t="str">
        <v/>
      </c>
      <c r="F30092" s="102" t="str">
        <f ca="1">IFERROR(__xludf.DUMMYFUNCTION("IMPORTRANGE(H30092,""IDENTITAS UNIT!D9"")"),"#N/A")</f>
        <v>#N/A</v>
      </c>
      <c r="H30092" s="4" t="str">
        <v/>
      </c>
      <c r="I30092" s="4" t="str">
        <v/>
      </c>
    </row>
    <row r="30093" spans="5:9" ht="16.5" hidden="1">
      <c r="E30093" s="4" t="str">
        <v/>
      </c>
      <c r="F30093" s="102" t="str">
        <f ca="1">IFERROR(__xludf.DUMMYFUNCTION("IMPORTRANGE(H30093,""IDENTITAS UNIT!D9"")"),"#N/A")</f>
        <v>#N/A</v>
      </c>
      <c r="H30093" s="4" t="str">
        <v/>
      </c>
      <c r="I30093" s="4" t="str">
        <v/>
      </c>
    </row>
    <row r="30094" spans="5:9" ht="16.5" hidden="1">
      <c r="E30094" s="4" t="str">
        <v/>
      </c>
      <c r="F30094" s="102" t="str">
        <f ca="1">IFERROR(__xludf.DUMMYFUNCTION("IMPORTRANGE(H30094,""IDENTITAS UNIT!D9"")"),"#N/A")</f>
        <v>#N/A</v>
      </c>
      <c r="H30094" s="4" t="str">
        <v/>
      </c>
      <c r="I30094" s="4" t="str">
        <v/>
      </c>
    </row>
    <row r="30095" spans="5:9" ht="16.5" hidden="1">
      <c r="E30095" s="4" t="str">
        <v/>
      </c>
      <c r="F30095" s="102" t="str">
        <f ca="1">IFERROR(__xludf.DUMMYFUNCTION("IMPORTRANGE(H30095,""IDENTITAS UNIT!D9"")"),"#N/A")</f>
        <v>#N/A</v>
      </c>
      <c r="H30095" s="4" t="str">
        <v/>
      </c>
      <c r="I30095" s="4" t="str">
        <v/>
      </c>
    </row>
    <row r="30096" spans="5:9" ht="16.5" hidden="1">
      <c r="E30096" s="4" t="str">
        <v/>
      </c>
      <c r="F30096" s="102" t="str">
        <f ca="1">IFERROR(__xludf.DUMMYFUNCTION("IMPORTRANGE(H30096,""IDENTITAS UNIT!D9"")"),"#N/A")</f>
        <v>#N/A</v>
      </c>
      <c r="H30096" s="4" t="str">
        <v/>
      </c>
      <c r="I30096" s="4" t="str">
        <v/>
      </c>
    </row>
    <row r="30097" spans="5:9" ht="16.5" hidden="1">
      <c r="E30097" s="4" t="str">
        <v/>
      </c>
      <c r="F30097" s="102" t="str">
        <f ca="1">IFERROR(__xludf.DUMMYFUNCTION("IMPORTRANGE(H30097,""IDENTITAS UNIT!D9"")"),"#N/A")</f>
        <v>#N/A</v>
      </c>
      <c r="H30097" s="4" t="str">
        <v/>
      </c>
      <c r="I30097" s="4" t="str">
        <v/>
      </c>
    </row>
    <row r="30098" spans="5:9" ht="16.5" hidden="1">
      <c r="E30098" s="4" t="str">
        <v/>
      </c>
      <c r="F30098" s="102" t="str">
        <f ca="1">IFERROR(__xludf.DUMMYFUNCTION("IMPORTRANGE(H30098,""IDENTITAS UNIT!D9"")"),"#N/A")</f>
        <v>#N/A</v>
      </c>
      <c r="H30098" s="4" t="str">
        <v/>
      </c>
      <c r="I30098" s="4" t="str">
        <v/>
      </c>
    </row>
    <row r="30099" spans="5:9" ht="16.5" hidden="1">
      <c r="E30099" s="4" t="str">
        <v/>
      </c>
      <c r="F30099" s="102" t="str">
        <f ca="1">IFERROR(__xludf.DUMMYFUNCTION("IMPORTRANGE(H30099,""IDENTITAS UNIT!D9"")"),"#N/A")</f>
        <v>#N/A</v>
      </c>
      <c r="H30099" s="4" t="str">
        <v/>
      </c>
      <c r="I30099" s="4" t="str">
        <v/>
      </c>
    </row>
    <row r="30100" spans="5:9" ht="16.5" hidden="1">
      <c r="E30100" s="4" t="str">
        <v/>
      </c>
      <c r="F30100" s="102" t="str">
        <f ca="1">IFERROR(__xludf.DUMMYFUNCTION("IMPORTRANGE(H30100,""IDENTITAS UNIT!D9"")"),"#N/A")</f>
        <v>#N/A</v>
      </c>
      <c r="H30100" s="4" t="str">
        <v/>
      </c>
      <c r="I30100" s="4" t="str">
        <v/>
      </c>
    </row>
    <row r="30101" spans="5:9" ht="16.5" hidden="1">
      <c r="E30101" s="4" t="str">
        <v/>
      </c>
      <c r="F30101" s="102" t="str">
        <f ca="1">IFERROR(__xludf.DUMMYFUNCTION("IMPORTRANGE(H30101,""IDENTITAS UNIT!D9"")"),"#N/A")</f>
        <v>#N/A</v>
      </c>
      <c r="H30101" s="4" t="str">
        <v/>
      </c>
      <c r="I30101" s="4" t="str">
        <v/>
      </c>
    </row>
    <row r="30102" spans="5:9" ht="16.5" hidden="1">
      <c r="E30102" s="4" t="str">
        <v/>
      </c>
      <c r="F30102" s="102" t="str">
        <f ca="1">IFERROR(__xludf.DUMMYFUNCTION("IMPORTRANGE(H30102,""IDENTITAS UNIT!D9"")"),"#N/A")</f>
        <v>#N/A</v>
      </c>
      <c r="H30102" s="4" t="str">
        <v/>
      </c>
      <c r="I30102" s="4" t="str">
        <v/>
      </c>
    </row>
    <row r="30103" spans="5:9" ht="16.5" hidden="1">
      <c r="E30103" s="4" t="str">
        <v/>
      </c>
      <c r="F30103" s="102" t="str">
        <f ca="1">IFERROR(__xludf.DUMMYFUNCTION("IMPORTRANGE(H30103,""IDENTITAS UNIT!D9"")"),"#N/A")</f>
        <v>#N/A</v>
      </c>
      <c r="H30103" s="4" t="str">
        <v/>
      </c>
      <c r="I30103" s="4" t="str">
        <v/>
      </c>
    </row>
    <row r="30104" spans="5:9" ht="16.5" hidden="1">
      <c r="E30104" s="4" t="str">
        <v/>
      </c>
      <c r="F30104" s="102" t="str">
        <f ca="1">IFERROR(__xludf.DUMMYFUNCTION("IMPORTRANGE(H30104,""IDENTITAS UNIT!D9"")"),"#N/A")</f>
        <v>#N/A</v>
      </c>
      <c r="H30104" s="4" t="str">
        <v/>
      </c>
      <c r="I30104" s="4" t="str">
        <v/>
      </c>
    </row>
    <row r="30105" spans="5:9" ht="16.5" hidden="1">
      <c r="E30105" s="4" t="str">
        <v/>
      </c>
      <c r="F30105" s="102" t="str">
        <f ca="1">IFERROR(__xludf.DUMMYFUNCTION("IMPORTRANGE(H30105,""IDENTITAS UNIT!D9"")"),"#N/A")</f>
        <v>#N/A</v>
      </c>
      <c r="H30105" s="4" t="str">
        <v/>
      </c>
      <c r="I30105" s="4" t="str">
        <v/>
      </c>
    </row>
    <row r="30106" spans="5:9" ht="16.5" hidden="1">
      <c r="E30106" s="4" t="str">
        <v/>
      </c>
      <c r="F30106" s="102" t="str">
        <f ca="1">IFERROR(__xludf.DUMMYFUNCTION("IMPORTRANGE(H30106,""IDENTITAS UNIT!D9"")"),"#N/A")</f>
        <v>#N/A</v>
      </c>
      <c r="H30106" s="4" t="str">
        <v/>
      </c>
      <c r="I30106" s="4" t="str">
        <v/>
      </c>
    </row>
    <row r="30107" spans="5:9" ht="16.5" hidden="1">
      <c r="E30107" s="4" t="str">
        <v/>
      </c>
      <c r="F30107" s="102" t="str">
        <f ca="1">IFERROR(__xludf.DUMMYFUNCTION("IMPORTRANGE(H30107,""IDENTITAS UNIT!D9"")"),"#N/A")</f>
        <v>#N/A</v>
      </c>
      <c r="H30107" s="4" t="str">
        <v/>
      </c>
      <c r="I30107" s="4" t="str">
        <v/>
      </c>
    </row>
    <row r="30108" spans="5:9" ht="16.5" hidden="1">
      <c r="E30108" s="4" t="str">
        <v/>
      </c>
      <c r="F30108" s="102" t="str">
        <f ca="1">IFERROR(__xludf.DUMMYFUNCTION("IMPORTRANGE(H30108,""IDENTITAS UNIT!D9"")"),"#N/A")</f>
        <v>#N/A</v>
      </c>
      <c r="H30108" s="4" t="str">
        <v/>
      </c>
      <c r="I30108" s="4" t="str">
        <v/>
      </c>
    </row>
    <row r="30109" spans="5:9" ht="16.5" hidden="1">
      <c r="E30109" s="4" t="str">
        <v/>
      </c>
      <c r="F30109" s="102" t="str">
        <f ca="1">IFERROR(__xludf.DUMMYFUNCTION("IMPORTRANGE(H30109,""IDENTITAS UNIT!D9"")"),"#N/A")</f>
        <v>#N/A</v>
      </c>
      <c r="H30109" s="4" t="str">
        <v/>
      </c>
      <c r="I30109" s="4" t="str">
        <v/>
      </c>
    </row>
    <row r="30110" spans="5:9" ht="16.5" hidden="1">
      <c r="E30110" s="4" t="str">
        <v/>
      </c>
      <c r="F30110" s="102" t="str">
        <f ca="1">IFERROR(__xludf.DUMMYFUNCTION("IMPORTRANGE(H30110,""IDENTITAS UNIT!D9"")"),"#N/A")</f>
        <v>#N/A</v>
      </c>
      <c r="H30110" s="4" t="str">
        <v/>
      </c>
      <c r="I30110" s="4" t="str">
        <v/>
      </c>
    </row>
    <row r="30111" spans="5:9" ht="16.5" hidden="1">
      <c r="E30111" s="4" t="str">
        <v/>
      </c>
      <c r="F30111" s="102" t="str">
        <f ca="1">IFERROR(__xludf.DUMMYFUNCTION("IMPORTRANGE(H30111,""IDENTITAS UNIT!D9"")"),"#N/A")</f>
        <v>#N/A</v>
      </c>
      <c r="H30111" s="4" t="str">
        <v/>
      </c>
      <c r="I30111" s="4" t="str">
        <v/>
      </c>
    </row>
    <row r="30112" spans="5:9" ht="16.5" hidden="1">
      <c r="E30112" s="4" t="str">
        <v/>
      </c>
      <c r="F30112" s="102" t="str">
        <f ca="1">IFERROR(__xludf.DUMMYFUNCTION("IMPORTRANGE(H30112,""IDENTITAS UNIT!D9"")"),"#N/A")</f>
        <v>#N/A</v>
      </c>
      <c r="H30112" s="4" t="str">
        <v/>
      </c>
      <c r="I30112" s="4" t="str">
        <v/>
      </c>
    </row>
    <row r="30113" spans="5:9" ht="16.5" hidden="1">
      <c r="E30113" s="4" t="str">
        <v/>
      </c>
      <c r="F30113" s="102" t="str">
        <f ca="1">IFERROR(__xludf.DUMMYFUNCTION("IMPORTRANGE(H30113,""IDENTITAS UNIT!D9"")"),"#N/A")</f>
        <v>#N/A</v>
      </c>
      <c r="H30113" s="4" t="str">
        <v/>
      </c>
      <c r="I30113" s="4" t="str">
        <v/>
      </c>
    </row>
    <row r="30114" spans="5:9" ht="16.5" hidden="1">
      <c r="E30114" s="4" t="str">
        <v/>
      </c>
      <c r="F30114" s="102" t="str">
        <f ca="1">IFERROR(__xludf.DUMMYFUNCTION("IMPORTRANGE(H30114,""IDENTITAS UNIT!D9"")"),"#N/A")</f>
        <v>#N/A</v>
      </c>
      <c r="H30114" s="4" t="str">
        <v/>
      </c>
      <c r="I30114" s="4" t="str">
        <v/>
      </c>
    </row>
    <row r="30115" spans="5:9" ht="16.5" hidden="1">
      <c r="E30115" s="4" t="str">
        <v/>
      </c>
      <c r="F30115" s="102" t="str">
        <f ca="1">IFERROR(__xludf.DUMMYFUNCTION("IMPORTRANGE(H30115,""IDENTITAS UNIT!D9"")"),"#N/A")</f>
        <v>#N/A</v>
      </c>
      <c r="H30115" s="4" t="str">
        <v/>
      </c>
      <c r="I30115" s="4" t="str">
        <v/>
      </c>
    </row>
    <row r="30116" spans="5:9" ht="16.5" hidden="1">
      <c r="E30116" s="4" t="str">
        <v/>
      </c>
      <c r="F30116" s="102" t="str">
        <f ca="1">IFERROR(__xludf.DUMMYFUNCTION("IMPORTRANGE(H30116,""IDENTITAS UNIT!D9"")"),"#N/A")</f>
        <v>#N/A</v>
      </c>
      <c r="H30116" s="4" t="str">
        <v/>
      </c>
      <c r="I30116" s="4" t="str">
        <v/>
      </c>
    </row>
    <row r="30117" spans="5:9" ht="16.5" hidden="1">
      <c r="E30117" s="4" t="str">
        <v/>
      </c>
      <c r="F30117" s="102" t="str">
        <f ca="1">IFERROR(__xludf.DUMMYFUNCTION("IMPORTRANGE(H30117,""IDENTITAS UNIT!D9"")"),"#N/A")</f>
        <v>#N/A</v>
      </c>
      <c r="H30117" s="4" t="str">
        <v/>
      </c>
      <c r="I30117" s="4" t="str">
        <v/>
      </c>
    </row>
    <row r="30118" spans="5:9" ht="16.5" hidden="1">
      <c r="E30118" s="4" t="str">
        <v/>
      </c>
      <c r="F30118" s="102" t="str">
        <f ca="1">IFERROR(__xludf.DUMMYFUNCTION("IMPORTRANGE(H30118,""IDENTITAS UNIT!D9"")"),"#N/A")</f>
        <v>#N/A</v>
      </c>
      <c r="H30118" s="4" t="str">
        <v/>
      </c>
      <c r="I30118" s="4" t="str">
        <v/>
      </c>
    </row>
    <row r="30119" spans="5:9" ht="16.5" hidden="1">
      <c r="E30119" s="4" t="str">
        <v/>
      </c>
      <c r="F30119" s="102" t="str">
        <f ca="1">IFERROR(__xludf.DUMMYFUNCTION("IMPORTRANGE(H30119,""IDENTITAS UNIT!D9"")"),"#N/A")</f>
        <v>#N/A</v>
      </c>
      <c r="H30119" s="4" t="str">
        <v/>
      </c>
      <c r="I30119" s="4" t="str">
        <v/>
      </c>
    </row>
    <row r="30120" spans="5:9" ht="16.5" hidden="1">
      <c r="E30120" s="4" t="str">
        <v/>
      </c>
      <c r="F30120" s="102" t="str">
        <f ca="1">IFERROR(__xludf.DUMMYFUNCTION("IMPORTRANGE(H30120,""IDENTITAS UNIT!D9"")"),"#N/A")</f>
        <v>#N/A</v>
      </c>
      <c r="H30120" s="4" t="str">
        <v/>
      </c>
      <c r="I30120" s="4" t="str">
        <v/>
      </c>
    </row>
    <row r="30121" spans="5:9" ht="16.5" hidden="1">
      <c r="E30121" s="4" t="str">
        <v/>
      </c>
      <c r="F30121" s="102" t="str">
        <f ca="1">IFERROR(__xludf.DUMMYFUNCTION("IMPORTRANGE(H30121,""IDENTITAS UNIT!D9"")"),"#N/A")</f>
        <v>#N/A</v>
      </c>
      <c r="H30121" s="4" t="str">
        <v/>
      </c>
      <c r="I30121" s="4" t="str">
        <v/>
      </c>
    </row>
    <row r="30122" spans="5:9" ht="16.5" hidden="1">
      <c r="E30122" s="4" t="str">
        <v/>
      </c>
      <c r="F30122" s="102" t="str">
        <f ca="1">IFERROR(__xludf.DUMMYFUNCTION("IMPORTRANGE(H30122,""IDENTITAS UNIT!D9"")"),"#N/A")</f>
        <v>#N/A</v>
      </c>
      <c r="H30122" s="4" t="str">
        <v/>
      </c>
      <c r="I30122" s="4" t="str">
        <v/>
      </c>
    </row>
    <row r="30123" spans="5:9" ht="16.5" hidden="1">
      <c r="E30123" s="4" t="str">
        <v/>
      </c>
      <c r="F30123" s="102" t="str">
        <f ca="1">IFERROR(__xludf.DUMMYFUNCTION("IMPORTRANGE(H30123,""IDENTITAS UNIT!D9"")"),"#N/A")</f>
        <v>#N/A</v>
      </c>
      <c r="H30123" s="4" t="str">
        <v/>
      </c>
      <c r="I30123" s="4" t="str">
        <v/>
      </c>
    </row>
    <row r="30124" spans="5:9" ht="16.5" hidden="1">
      <c r="E30124" s="4" t="str">
        <v/>
      </c>
      <c r="F30124" s="102" t="str">
        <f ca="1">IFERROR(__xludf.DUMMYFUNCTION("IMPORTRANGE(H30124,""IDENTITAS UNIT!D9"")"),"#N/A")</f>
        <v>#N/A</v>
      </c>
      <c r="H30124" s="4" t="str">
        <v/>
      </c>
      <c r="I30124" s="4" t="str">
        <v/>
      </c>
    </row>
    <row r="30125" spans="5:9" ht="16.5" hidden="1">
      <c r="E30125" s="4" t="str">
        <v/>
      </c>
      <c r="F30125" s="102" t="str">
        <f ca="1">IFERROR(__xludf.DUMMYFUNCTION("IMPORTRANGE(H30125,""IDENTITAS UNIT!D9"")"),"#N/A")</f>
        <v>#N/A</v>
      </c>
      <c r="H30125" s="4" t="str">
        <v/>
      </c>
      <c r="I30125" s="4" t="str">
        <v/>
      </c>
    </row>
    <row r="30126" spans="5:9" ht="16.5" hidden="1">
      <c r="E30126" s="4" t="str">
        <v/>
      </c>
      <c r="F30126" s="102" t="str">
        <f ca="1">IFERROR(__xludf.DUMMYFUNCTION("IMPORTRANGE(H30126,""IDENTITAS UNIT!D9"")"),"#N/A")</f>
        <v>#N/A</v>
      </c>
      <c r="H30126" s="4" t="str">
        <v/>
      </c>
      <c r="I30126" s="4" t="str">
        <v/>
      </c>
    </row>
    <row r="30127" spans="5:9" ht="16.5" hidden="1">
      <c r="E30127" s="4" t="str">
        <v/>
      </c>
      <c r="F30127" s="102" t="str">
        <f ca="1">IFERROR(__xludf.DUMMYFUNCTION("IMPORTRANGE(H30127,""IDENTITAS UNIT!D9"")"),"#N/A")</f>
        <v>#N/A</v>
      </c>
      <c r="H30127" s="4" t="str">
        <v/>
      </c>
      <c r="I30127" s="4" t="str">
        <v/>
      </c>
    </row>
    <row r="30128" spans="5:9" ht="16.5" hidden="1">
      <c r="E30128" s="4" t="str">
        <v/>
      </c>
      <c r="F30128" s="102" t="str">
        <f ca="1">IFERROR(__xludf.DUMMYFUNCTION("IMPORTRANGE(H30128,""IDENTITAS UNIT!D9"")"),"#N/A")</f>
        <v>#N/A</v>
      </c>
      <c r="H30128" s="4" t="str">
        <v/>
      </c>
      <c r="I30128" s="4" t="str">
        <v/>
      </c>
    </row>
    <row r="30129" spans="5:9" ht="16.5" hidden="1">
      <c r="E30129" s="4" t="str">
        <v/>
      </c>
      <c r="F30129" s="102" t="str">
        <f ca="1">IFERROR(__xludf.DUMMYFUNCTION("IMPORTRANGE(H30129,""IDENTITAS UNIT!D9"")"),"#N/A")</f>
        <v>#N/A</v>
      </c>
      <c r="H30129" s="4" t="str">
        <v/>
      </c>
      <c r="I30129" s="4" t="str">
        <v/>
      </c>
    </row>
    <row r="30130" spans="5:9" ht="16.5" hidden="1">
      <c r="E30130" s="4" t="str">
        <v/>
      </c>
      <c r="F30130" s="102" t="str">
        <f ca="1">IFERROR(__xludf.DUMMYFUNCTION("IMPORTRANGE(H30130,""IDENTITAS UNIT!D9"")"),"#N/A")</f>
        <v>#N/A</v>
      </c>
      <c r="H30130" s="4" t="str">
        <v/>
      </c>
      <c r="I30130" s="4" t="str">
        <v/>
      </c>
    </row>
    <row r="30131" spans="5:9" ht="16.5" hidden="1">
      <c r="E30131" s="4" t="str">
        <v/>
      </c>
      <c r="F30131" s="102" t="str">
        <f ca="1">IFERROR(__xludf.DUMMYFUNCTION("IMPORTRANGE(H30131,""IDENTITAS UNIT!D9"")"),"#N/A")</f>
        <v>#N/A</v>
      </c>
      <c r="H30131" s="4" t="str">
        <v/>
      </c>
      <c r="I30131" s="4" t="str">
        <v/>
      </c>
    </row>
    <row r="30132" spans="5:9" ht="16.5" hidden="1">
      <c r="E30132" s="4" t="str">
        <v/>
      </c>
      <c r="F30132" s="102" t="str">
        <f ca="1">IFERROR(__xludf.DUMMYFUNCTION("IMPORTRANGE(H30132,""IDENTITAS UNIT!D9"")"),"#N/A")</f>
        <v>#N/A</v>
      </c>
      <c r="H30132" s="4" t="str">
        <v/>
      </c>
      <c r="I30132" s="4" t="str">
        <v/>
      </c>
    </row>
    <row r="30133" spans="5:9" ht="16.5" hidden="1">
      <c r="E30133" s="4" t="str">
        <v/>
      </c>
      <c r="F30133" s="102" t="str">
        <f ca="1">IFERROR(__xludf.DUMMYFUNCTION("IMPORTRANGE(H30133,""IDENTITAS UNIT!D9"")"),"#N/A")</f>
        <v>#N/A</v>
      </c>
      <c r="H30133" s="4" t="str">
        <v/>
      </c>
      <c r="I30133" s="4" t="str">
        <v/>
      </c>
    </row>
    <row r="30134" spans="5:9" ht="16.5" hidden="1">
      <c r="E30134" s="4" t="str">
        <v/>
      </c>
      <c r="F30134" s="102" t="str">
        <f ca="1">IFERROR(__xludf.DUMMYFUNCTION("IMPORTRANGE(H30134,""IDENTITAS UNIT!D9"")"),"#N/A")</f>
        <v>#N/A</v>
      </c>
      <c r="H30134" s="4" t="str">
        <v/>
      </c>
      <c r="I30134" s="4" t="str">
        <v/>
      </c>
    </row>
    <row r="30135" spans="5:9" ht="16.5" hidden="1">
      <c r="E30135" s="4" t="str">
        <v/>
      </c>
      <c r="F30135" s="102" t="str">
        <f ca="1">IFERROR(__xludf.DUMMYFUNCTION("IMPORTRANGE(H30135,""IDENTITAS UNIT!D9"")"),"#N/A")</f>
        <v>#N/A</v>
      </c>
      <c r="H30135" s="4" t="str">
        <v/>
      </c>
      <c r="I30135" s="4" t="str">
        <v/>
      </c>
    </row>
    <row r="30136" spans="5:9" ht="16.5" hidden="1">
      <c r="E30136" s="4" t="str">
        <v/>
      </c>
      <c r="F30136" s="102" t="str">
        <f ca="1">IFERROR(__xludf.DUMMYFUNCTION("IMPORTRANGE(H30136,""IDENTITAS UNIT!D9"")"),"#N/A")</f>
        <v>#N/A</v>
      </c>
      <c r="H30136" s="4" t="str">
        <v/>
      </c>
      <c r="I30136" s="4" t="str">
        <v/>
      </c>
    </row>
    <row r="30137" spans="5:9" ht="16.5" hidden="1">
      <c r="E30137" s="4" t="str">
        <v/>
      </c>
      <c r="F30137" s="102" t="str">
        <f ca="1">IFERROR(__xludf.DUMMYFUNCTION("IMPORTRANGE(H30137,""IDENTITAS UNIT!D9"")"),"#N/A")</f>
        <v>#N/A</v>
      </c>
      <c r="H30137" s="4" t="str">
        <v/>
      </c>
      <c r="I30137" s="4" t="str">
        <v/>
      </c>
    </row>
    <row r="30138" spans="5:9" ht="16.5" hidden="1">
      <c r="E30138" s="4" t="str">
        <v/>
      </c>
      <c r="F30138" s="102" t="str">
        <f ca="1">IFERROR(__xludf.DUMMYFUNCTION("IMPORTRANGE(H30138,""IDENTITAS UNIT!D9"")"),"#N/A")</f>
        <v>#N/A</v>
      </c>
      <c r="H30138" s="4" t="str">
        <v/>
      </c>
      <c r="I30138" s="4" t="str">
        <v/>
      </c>
    </row>
    <row r="30139" spans="5:9" ht="16.5" hidden="1">
      <c r="E30139" s="4" t="str">
        <v/>
      </c>
      <c r="F30139" s="102" t="str">
        <f ca="1">IFERROR(__xludf.DUMMYFUNCTION("IMPORTRANGE(H30139,""IDENTITAS UNIT!D9"")"),"#N/A")</f>
        <v>#N/A</v>
      </c>
      <c r="H30139" s="4" t="str">
        <v/>
      </c>
      <c r="I30139" s="4" t="str">
        <v/>
      </c>
    </row>
    <row r="30140" spans="5:9" ht="16.5" hidden="1">
      <c r="E30140" s="4" t="str">
        <v/>
      </c>
      <c r="F30140" s="102" t="str">
        <f ca="1">IFERROR(__xludf.DUMMYFUNCTION("IMPORTRANGE(H30140,""IDENTITAS UNIT!D9"")"),"#N/A")</f>
        <v>#N/A</v>
      </c>
      <c r="H30140" s="4" t="str">
        <v/>
      </c>
      <c r="I30140" s="4" t="str">
        <v/>
      </c>
    </row>
    <row r="30141" spans="5:9" ht="16.5" hidden="1">
      <c r="E30141" s="4" t="str">
        <v/>
      </c>
      <c r="F30141" s="102" t="str">
        <f ca="1">IFERROR(__xludf.DUMMYFUNCTION("IMPORTRANGE(H30141,""IDENTITAS UNIT!D9"")"),"#N/A")</f>
        <v>#N/A</v>
      </c>
      <c r="H30141" s="4" t="str">
        <v/>
      </c>
      <c r="I30141" s="4" t="str">
        <v/>
      </c>
    </row>
    <row r="30142" spans="5:9" ht="16.5" hidden="1">
      <c r="E30142" s="4" t="str">
        <v/>
      </c>
      <c r="F30142" s="102" t="str">
        <f ca="1">IFERROR(__xludf.DUMMYFUNCTION("IMPORTRANGE(H30142,""IDENTITAS UNIT!D9"")"),"#N/A")</f>
        <v>#N/A</v>
      </c>
      <c r="H30142" s="4" t="str">
        <v/>
      </c>
      <c r="I30142" s="4" t="str">
        <v/>
      </c>
    </row>
    <row r="30143" spans="5:9" ht="16.5" hidden="1">
      <c r="E30143" s="4" t="str">
        <v/>
      </c>
      <c r="F30143" s="102" t="str">
        <f ca="1">IFERROR(__xludf.DUMMYFUNCTION("IMPORTRANGE(H30143,""IDENTITAS UNIT!D9"")"),"#N/A")</f>
        <v>#N/A</v>
      </c>
      <c r="H30143" s="4" t="str">
        <v/>
      </c>
      <c r="I30143" s="4" t="str">
        <v/>
      </c>
    </row>
    <row r="30144" spans="5:9" ht="16.5" hidden="1">
      <c r="E30144" s="4" t="str">
        <v/>
      </c>
      <c r="F30144" s="102" t="str">
        <f ca="1">IFERROR(__xludf.DUMMYFUNCTION("IMPORTRANGE(H30144,""IDENTITAS UNIT!D9"")"),"#N/A")</f>
        <v>#N/A</v>
      </c>
      <c r="H30144" s="4" t="str">
        <v/>
      </c>
      <c r="I30144" s="4" t="str">
        <v/>
      </c>
    </row>
    <row r="30145" spans="5:9" ht="16.5" hidden="1">
      <c r="E30145" s="4" t="str">
        <v/>
      </c>
      <c r="F30145" s="102" t="str">
        <f ca="1">IFERROR(__xludf.DUMMYFUNCTION("IMPORTRANGE(H30145,""IDENTITAS UNIT!D9"")"),"#N/A")</f>
        <v>#N/A</v>
      </c>
      <c r="H30145" s="4" t="str">
        <v/>
      </c>
      <c r="I30145" s="4" t="str">
        <v/>
      </c>
    </row>
    <row r="30146" spans="5:9" ht="16.5" hidden="1">
      <c r="E30146" s="4" t="str">
        <v/>
      </c>
      <c r="F30146" s="102" t="str">
        <f ca="1">IFERROR(__xludf.DUMMYFUNCTION("IMPORTRANGE(H30146,""IDENTITAS UNIT!D9"")"),"#N/A")</f>
        <v>#N/A</v>
      </c>
      <c r="H30146" s="4" t="str">
        <v/>
      </c>
      <c r="I30146" s="4" t="str">
        <v/>
      </c>
    </row>
    <row r="30147" spans="5:9" ht="16.5" hidden="1">
      <c r="E30147" s="4" t="str">
        <v/>
      </c>
      <c r="F30147" s="102" t="str">
        <f ca="1">IFERROR(__xludf.DUMMYFUNCTION("IMPORTRANGE(H30147,""IDENTITAS UNIT!D9"")"),"#N/A")</f>
        <v>#N/A</v>
      </c>
      <c r="H30147" s="4" t="str">
        <v/>
      </c>
      <c r="I30147" s="4" t="str">
        <v/>
      </c>
    </row>
    <row r="30148" spans="5:9" ht="16.5" hidden="1">
      <c r="E30148" s="4" t="str">
        <v/>
      </c>
      <c r="F30148" s="102" t="str">
        <f ca="1">IFERROR(__xludf.DUMMYFUNCTION("IMPORTRANGE(H30148,""IDENTITAS UNIT!D9"")"),"#N/A")</f>
        <v>#N/A</v>
      </c>
      <c r="H30148" s="4" t="str">
        <v/>
      </c>
      <c r="I30148" s="4" t="str">
        <v/>
      </c>
    </row>
    <row r="30149" spans="5:9" ht="16.5" hidden="1">
      <c r="E30149" s="4" t="str">
        <v/>
      </c>
      <c r="F30149" s="102" t="str">
        <f ca="1">IFERROR(__xludf.DUMMYFUNCTION("IMPORTRANGE(H30149,""IDENTITAS UNIT!D9"")"),"#N/A")</f>
        <v>#N/A</v>
      </c>
      <c r="H30149" s="4" t="str">
        <v/>
      </c>
      <c r="I30149" s="4" t="str">
        <v/>
      </c>
    </row>
    <row r="30150" spans="5:9" ht="16.5" hidden="1">
      <c r="E30150" s="4" t="str">
        <v/>
      </c>
      <c r="F30150" s="102" t="str">
        <f ca="1">IFERROR(__xludf.DUMMYFUNCTION("IMPORTRANGE(H30150,""IDENTITAS UNIT!D9"")"),"#N/A")</f>
        <v>#N/A</v>
      </c>
      <c r="H30150" s="4" t="str">
        <v/>
      </c>
      <c r="I30150" s="4" t="str">
        <v/>
      </c>
    </row>
    <row r="30151" spans="5:9" ht="16.5" hidden="1">
      <c r="E30151" s="4" t="str">
        <v/>
      </c>
      <c r="F30151" s="102" t="str">
        <f ca="1">IFERROR(__xludf.DUMMYFUNCTION("IMPORTRANGE(H30151,""IDENTITAS UNIT!D9"")"),"#N/A")</f>
        <v>#N/A</v>
      </c>
      <c r="H30151" s="4" t="str">
        <v/>
      </c>
      <c r="I30151" s="4" t="str">
        <v/>
      </c>
    </row>
    <row r="30152" spans="5:9" ht="16.5" hidden="1">
      <c r="E30152" s="4" t="str">
        <v/>
      </c>
      <c r="F30152" s="102" t="str">
        <f ca="1">IFERROR(__xludf.DUMMYFUNCTION("IMPORTRANGE(H30152,""IDENTITAS UNIT!D9"")"),"#N/A")</f>
        <v>#N/A</v>
      </c>
      <c r="H30152" s="4" t="str">
        <v/>
      </c>
      <c r="I30152" s="4" t="str">
        <v/>
      </c>
    </row>
    <row r="30153" spans="5:9" ht="16.5" hidden="1">
      <c r="E30153" s="4" t="str">
        <v/>
      </c>
      <c r="F30153" s="102" t="str">
        <f ca="1">IFERROR(__xludf.DUMMYFUNCTION("IMPORTRANGE(H30153,""IDENTITAS UNIT!D9"")"),"#N/A")</f>
        <v>#N/A</v>
      </c>
      <c r="H30153" s="4" t="str">
        <v/>
      </c>
      <c r="I30153" s="4" t="str">
        <v/>
      </c>
    </row>
    <row r="30154" spans="5:9" ht="16.5" hidden="1">
      <c r="E30154" s="4" t="str">
        <v/>
      </c>
      <c r="F30154" s="102" t="str">
        <f ca="1">IFERROR(__xludf.DUMMYFUNCTION("IMPORTRANGE(H30154,""IDENTITAS UNIT!D9"")"),"#N/A")</f>
        <v>#N/A</v>
      </c>
      <c r="H30154" s="4" t="str">
        <v/>
      </c>
      <c r="I30154" s="4" t="str">
        <v/>
      </c>
    </row>
    <row r="30155" spans="5:9" ht="16.5" hidden="1">
      <c r="E30155" s="4" t="str">
        <v/>
      </c>
      <c r="F30155" s="102" t="str">
        <f ca="1">IFERROR(__xludf.DUMMYFUNCTION("IMPORTRANGE(H30155,""IDENTITAS UNIT!D9"")"),"#N/A")</f>
        <v>#N/A</v>
      </c>
      <c r="H30155" s="4" t="str">
        <v/>
      </c>
      <c r="I30155" s="4" t="str">
        <v/>
      </c>
    </row>
    <row r="30156" spans="5:9" ht="16.5" hidden="1">
      <c r="E30156" s="4" t="str">
        <v/>
      </c>
      <c r="F30156" s="102" t="str">
        <f ca="1">IFERROR(__xludf.DUMMYFUNCTION("IMPORTRANGE(H30156,""IDENTITAS UNIT!D9"")"),"#N/A")</f>
        <v>#N/A</v>
      </c>
      <c r="H30156" s="4" t="str">
        <v/>
      </c>
      <c r="I30156" s="4" t="str">
        <v/>
      </c>
    </row>
    <row r="30157" spans="5:9" ht="16.5" hidden="1">
      <c r="E30157" s="4" t="str">
        <v/>
      </c>
      <c r="F30157" s="102" t="str">
        <f ca="1">IFERROR(__xludf.DUMMYFUNCTION("IMPORTRANGE(H30157,""IDENTITAS UNIT!D9"")"),"#N/A")</f>
        <v>#N/A</v>
      </c>
      <c r="H30157" s="4" t="str">
        <v/>
      </c>
      <c r="I30157" s="4" t="str">
        <v/>
      </c>
    </row>
    <row r="30158" spans="5:9" ht="16.5" hidden="1">
      <c r="E30158" s="4" t="str">
        <v/>
      </c>
      <c r="F30158" s="102" t="str">
        <f ca="1">IFERROR(__xludf.DUMMYFUNCTION("IMPORTRANGE(H30158,""IDENTITAS UNIT!D9"")"),"#N/A")</f>
        <v>#N/A</v>
      </c>
      <c r="H30158" s="4" t="str">
        <v/>
      </c>
      <c r="I30158" s="4" t="str">
        <v/>
      </c>
    </row>
    <row r="30159" spans="5:9" ht="16.5" hidden="1">
      <c r="E30159" s="4" t="str">
        <v/>
      </c>
      <c r="F30159" s="102" t="str">
        <f ca="1">IFERROR(__xludf.DUMMYFUNCTION("IMPORTRANGE(H30159,""IDENTITAS UNIT!D9"")"),"#N/A")</f>
        <v>#N/A</v>
      </c>
      <c r="H30159" s="4" t="str">
        <v/>
      </c>
      <c r="I30159" s="4" t="str">
        <v/>
      </c>
    </row>
    <row r="30160" spans="5:9" ht="16.5" hidden="1">
      <c r="E30160" s="4" t="str">
        <v/>
      </c>
      <c r="F30160" s="102" t="str">
        <f ca="1">IFERROR(__xludf.DUMMYFUNCTION("IMPORTRANGE(H30160,""IDENTITAS UNIT!D9"")"),"#N/A")</f>
        <v>#N/A</v>
      </c>
      <c r="H30160" s="4" t="str">
        <v/>
      </c>
      <c r="I30160" s="4" t="str">
        <v/>
      </c>
    </row>
    <row r="30161" spans="5:9" ht="16.5" hidden="1">
      <c r="E30161" s="4" t="str">
        <v/>
      </c>
      <c r="F30161" s="102" t="str">
        <f ca="1">IFERROR(__xludf.DUMMYFUNCTION("IMPORTRANGE(H30161,""IDENTITAS UNIT!D9"")"),"#N/A")</f>
        <v>#N/A</v>
      </c>
      <c r="H30161" s="4" t="str">
        <v/>
      </c>
      <c r="I30161" s="4" t="str">
        <v/>
      </c>
    </row>
    <row r="30162" spans="5:9" ht="16.5" hidden="1">
      <c r="E30162" s="4" t="str">
        <v/>
      </c>
      <c r="F30162" s="102" t="str">
        <f ca="1">IFERROR(__xludf.DUMMYFUNCTION("IMPORTRANGE(H30162,""IDENTITAS UNIT!D9"")"),"#N/A")</f>
        <v>#N/A</v>
      </c>
      <c r="H30162" s="4" t="str">
        <v/>
      </c>
      <c r="I30162" s="4" t="str">
        <v/>
      </c>
    </row>
    <row r="30163" spans="5:9" ht="16.5" hidden="1">
      <c r="E30163" s="4" t="str">
        <v/>
      </c>
      <c r="F30163" s="102" t="str">
        <f ca="1">IFERROR(__xludf.DUMMYFUNCTION("IMPORTRANGE(H30163,""IDENTITAS UNIT!D9"")"),"#N/A")</f>
        <v>#N/A</v>
      </c>
      <c r="H30163" s="4" t="str">
        <v/>
      </c>
      <c r="I30163" s="4" t="str">
        <v/>
      </c>
    </row>
    <row r="30164" spans="5:9" ht="16.5" hidden="1">
      <c r="E30164" s="4" t="str">
        <v/>
      </c>
      <c r="F30164" s="102" t="str">
        <f ca="1">IFERROR(__xludf.DUMMYFUNCTION("IMPORTRANGE(H30164,""IDENTITAS UNIT!D9"")"),"#N/A")</f>
        <v>#N/A</v>
      </c>
      <c r="H30164" s="4" t="str">
        <v/>
      </c>
      <c r="I30164" s="4" t="str">
        <v/>
      </c>
    </row>
    <row r="30165" spans="5:9" ht="16.5" hidden="1">
      <c r="E30165" s="4" t="str">
        <v/>
      </c>
      <c r="F30165" s="102" t="str">
        <f ca="1">IFERROR(__xludf.DUMMYFUNCTION("IMPORTRANGE(H30165,""IDENTITAS UNIT!D9"")"),"#N/A")</f>
        <v>#N/A</v>
      </c>
      <c r="H30165" s="4" t="str">
        <v/>
      </c>
      <c r="I30165" s="4" t="str">
        <v/>
      </c>
    </row>
    <row r="30166" spans="5:9" ht="16.5" hidden="1">
      <c r="E30166" s="4" t="str">
        <v/>
      </c>
      <c r="F30166" s="102" t="str">
        <f ca="1">IFERROR(__xludf.DUMMYFUNCTION("IMPORTRANGE(H30166,""IDENTITAS UNIT!D9"")"),"#N/A")</f>
        <v>#N/A</v>
      </c>
      <c r="H30166" s="4" t="str">
        <v/>
      </c>
      <c r="I30166" s="4" t="str">
        <v/>
      </c>
    </row>
    <row r="30167" spans="5:9" ht="16.5" hidden="1">
      <c r="E30167" s="4" t="str">
        <v/>
      </c>
      <c r="F30167" s="102" t="str">
        <f ca="1">IFERROR(__xludf.DUMMYFUNCTION("IMPORTRANGE(H30167,""IDENTITAS UNIT!D9"")"),"#N/A")</f>
        <v>#N/A</v>
      </c>
      <c r="H30167" s="4" t="str">
        <v/>
      </c>
      <c r="I30167" s="4" t="str">
        <v/>
      </c>
    </row>
    <row r="30168" spans="5:9" ht="16.5" hidden="1">
      <c r="E30168" s="4" t="str">
        <v/>
      </c>
      <c r="F30168" s="102" t="str">
        <f ca="1">IFERROR(__xludf.DUMMYFUNCTION("IMPORTRANGE(H30168,""IDENTITAS UNIT!D9"")"),"#N/A")</f>
        <v>#N/A</v>
      </c>
      <c r="H30168" s="4" t="str">
        <v/>
      </c>
      <c r="I30168" s="4" t="str">
        <v/>
      </c>
    </row>
    <row r="30169" spans="5:9" ht="16.5" hidden="1">
      <c r="E30169" s="4" t="str">
        <v/>
      </c>
      <c r="F30169" s="102" t="str">
        <f ca="1">IFERROR(__xludf.DUMMYFUNCTION("IMPORTRANGE(H30169,""IDENTITAS UNIT!D9"")"),"#N/A")</f>
        <v>#N/A</v>
      </c>
      <c r="H30169" s="4" t="str">
        <v/>
      </c>
      <c r="I30169" s="4" t="str">
        <v/>
      </c>
    </row>
    <row r="30170" spans="5:9" ht="16.5" hidden="1">
      <c r="E30170" s="4" t="str">
        <v/>
      </c>
      <c r="F30170" s="102" t="str">
        <f ca="1">IFERROR(__xludf.DUMMYFUNCTION("IMPORTRANGE(H30170,""IDENTITAS UNIT!D9"")"),"#N/A")</f>
        <v>#N/A</v>
      </c>
      <c r="H30170" s="4" t="str">
        <v/>
      </c>
      <c r="I30170" s="4" t="str">
        <v/>
      </c>
    </row>
    <row r="30171" spans="5:9" ht="16.5" hidden="1">
      <c r="E30171" s="4" t="str">
        <v/>
      </c>
      <c r="F30171" s="102" t="str">
        <f ca="1">IFERROR(__xludf.DUMMYFUNCTION("IMPORTRANGE(H30171,""IDENTITAS UNIT!D9"")"),"#N/A")</f>
        <v>#N/A</v>
      </c>
      <c r="H30171" s="4" t="str">
        <v/>
      </c>
      <c r="I30171" s="4" t="str">
        <v/>
      </c>
    </row>
    <row r="30172" spans="5:9" ht="16.5" hidden="1">
      <c r="E30172" s="4" t="str">
        <v/>
      </c>
      <c r="F30172" s="102" t="str">
        <f ca="1">IFERROR(__xludf.DUMMYFUNCTION("IMPORTRANGE(H30172,""IDENTITAS UNIT!D9"")"),"#N/A")</f>
        <v>#N/A</v>
      </c>
      <c r="H30172" s="4" t="str">
        <v/>
      </c>
      <c r="I30172" s="4" t="str">
        <v/>
      </c>
    </row>
    <row r="30173" spans="5:9" ht="16.5" hidden="1">
      <c r="E30173" s="4" t="str">
        <v/>
      </c>
      <c r="F30173" s="102" t="str">
        <f ca="1">IFERROR(__xludf.DUMMYFUNCTION("IMPORTRANGE(H30173,""IDENTITAS UNIT!D9"")"),"#N/A")</f>
        <v>#N/A</v>
      </c>
      <c r="H30173" s="4" t="str">
        <v/>
      </c>
      <c r="I30173" s="4" t="str">
        <v/>
      </c>
    </row>
    <row r="30174" spans="5:9" ht="16.5" hidden="1">
      <c r="E30174" s="4" t="str">
        <v/>
      </c>
      <c r="F30174" s="102" t="str">
        <f ca="1">IFERROR(__xludf.DUMMYFUNCTION("IMPORTRANGE(H30174,""IDENTITAS UNIT!D9"")"),"#N/A")</f>
        <v>#N/A</v>
      </c>
      <c r="H30174" s="4" t="str">
        <v/>
      </c>
      <c r="I30174" s="4" t="str">
        <v/>
      </c>
    </row>
    <row r="30175" spans="5:9" ht="16.5" hidden="1">
      <c r="E30175" s="4" t="str">
        <v/>
      </c>
      <c r="F30175" s="102" t="str">
        <f ca="1">IFERROR(__xludf.DUMMYFUNCTION("IMPORTRANGE(H30175,""IDENTITAS UNIT!D9"")"),"#N/A")</f>
        <v>#N/A</v>
      </c>
      <c r="H30175" s="4" t="str">
        <v/>
      </c>
      <c r="I30175" s="4" t="str">
        <v/>
      </c>
    </row>
    <row r="30176" spans="5:9" ht="16.5" hidden="1">
      <c r="E30176" s="4" t="str">
        <v/>
      </c>
      <c r="F30176" s="102" t="str">
        <f ca="1">IFERROR(__xludf.DUMMYFUNCTION("IMPORTRANGE(H30176,""IDENTITAS UNIT!D9"")"),"#N/A")</f>
        <v>#N/A</v>
      </c>
      <c r="H30176" s="4" t="str">
        <v/>
      </c>
      <c r="I30176" s="4" t="str">
        <v/>
      </c>
    </row>
    <row r="30177" spans="5:9" ht="16.5" hidden="1">
      <c r="E30177" s="4" t="str">
        <v/>
      </c>
      <c r="F30177" s="102" t="str">
        <f ca="1">IFERROR(__xludf.DUMMYFUNCTION("IMPORTRANGE(H30177,""IDENTITAS UNIT!D9"")"),"#N/A")</f>
        <v>#N/A</v>
      </c>
      <c r="H30177" s="4" t="str">
        <v/>
      </c>
      <c r="I30177" s="4" t="str">
        <v/>
      </c>
    </row>
    <row r="30178" spans="5:9" ht="16.5" hidden="1">
      <c r="E30178" s="4" t="str">
        <v/>
      </c>
      <c r="F30178" s="102" t="str">
        <f ca="1">IFERROR(__xludf.DUMMYFUNCTION("IMPORTRANGE(H30178,""IDENTITAS UNIT!D9"")"),"#N/A")</f>
        <v>#N/A</v>
      </c>
      <c r="H30178" s="4" t="str">
        <v/>
      </c>
      <c r="I30178" s="4" t="str">
        <v/>
      </c>
    </row>
    <row r="30179" spans="5:9" ht="16.5" hidden="1">
      <c r="E30179" s="4" t="str">
        <v/>
      </c>
      <c r="F30179" s="102" t="str">
        <f ca="1">IFERROR(__xludf.DUMMYFUNCTION("IMPORTRANGE(H30179,""IDENTITAS UNIT!D9"")"),"#N/A")</f>
        <v>#N/A</v>
      </c>
      <c r="H30179" s="4" t="str">
        <v/>
      </c>
      <c r="I30179" s="4" t="str">
        <v/>
      </c>
    </row>
    <row r="30180" spans="5:9" ht="16.5" hidden="1">
      <c r="E30180" s="4" t="str">
        <v/>
      </c>
      <c r="F30180" s="102" t="str">
        <f ca="1">IFERROR(__xludf.DUMMYFUNCTION("IMPORTRANGE(H30180,""IDENTITAS UNIT!D9"")"),"#N/A")</f>
        <v>#N/A</v>
      </c>
      <c r="H30180" s="4" t="str">
        <v/>
      </c>
      <c r="I30180" s="4" t="str">
        <v/>
      </c>
    </row>
    <row r="30181" spans="5:9" ht="16.5" hidden="1">
      <c r="E30181" s="4" t="str">
        <v/>
      </c>
      <c r="F30181" s="102" t="str">
        <f ca="1">IFERROR(__xludf.DUMMYFUNCTION("IMPORTRANGE(H30181,""IDENTITAS UNIT!D9"")"),"#N/A")</f>
        <v>#N/A</v>
      </c>
      <c r="H30181" s="4" t="str">
        <v/>
      </c>
      <c r="I30181" s="4" t="str">
        <v/>
      </c>
    </row>
    <row r="30182" spans="5:9" ht="16.5" hidden="1">
      <c r="E30182" s="4" t="str">
        <v/>
      </c>
      <c r="F30182" s="102" t="str">
        <f ca="1">IFERROR(__xludf.DUMMYFUNCTION("IMPORTRANGE(H30182,""IDENTITAS UNIT!D9"")"),"#N/A")</f>
        <v>#N/A</v>
      </c>
      <c r="H30182" s="4" t="str">
        <v/>
      </c>
      <c r="I30182" s="4" t="str">
        <v/>
      </c>
    </row>
    <row r="30183" spans="5:9" ht="16.5" hidden="1">
      <c r="E30183" s="4" t="str">
        <v/>
      </c>
      <c r="F30183" s="102" t="str">
        <f ca="1">IFERROR(__xludf.DUMMYFUNCTION("IMPORTRANGE(H30183,""IDENTITAS UNIT!D9"")"),"#N/A")</f>
        <v>#N/A</v>
      </c>
      <c r="H30183" s="4" t="str">
        <v/>
      </c>
      <c r="I30183" s="4" t="str">
        <v/>
      </c>
    </row>
    <row r="30184" spans="5:9" ht="16.5" hidden="1">
      <c r="E30184" s="4" t="str">
        <v/>
      </c>
      <c r="F30184" s="102" t="str">
        <f ca="1">IFERROR(__xludf.DUMMYFUNCTION("IMPORTRANGE(H30184,""IDENTITAS UNIT!D9"")"),"#N/A")</f>
        <v>#N/A</v>
      </c>
      <c r="H30184" s="4" t="str">
        <v/>
      </c>
      <c r="I30184" s="4" t="str">
        <v/>
      </c>
    </row>
    <row r="30185" spans="5:9" ht="16.5" hidden="1">
      <c r="E30185" s="4" t="str">
        <v/>
      </c>
      <c r="F30185" s="102" t="str">
        <f ca="1">IFERROR(__xludf.DUMMYFUNCTION("IMPORTRANGE(H30185,""IDENTITAS UNIT!D9"")"),"#N/A")</f>
        <v>#N/A</v>
      </c>
      <c r="H30185" s="4" t="str">
        <v/>
      </c>
      <c r="I30185" s="4" t="str">
        <v/>
      </c>
    </row>
    <row r="30186" spans="5:9" ht="16.5" hidden="1">
      <c r="E30186" s="4" t="str">
        <v/>
      </c>
      <c r="F30186" s="102" t="str">
        <f ca="1">IFERROR(__xludf.DUMMYFUNCTION("IMPORTRANGE(H30186,""IDENTITAS UNIT!D9"")"),"#N/A")</f>
        <v>#N/A</v>
      </c>
      <c r="H30186" s="4" t="str">
        <v/>
      </c>
      <c r="I30186" s="4" t="str">
        <v/>
      </c>
    </row>
    <row r="30187" spans="5:9" ht="16.5" hidden="1">
      <c r="E30187" s="4" t="str">
        <v/>
      </c>
      <c r="F30187" s="102" t="str">
        <f ca="1">IFERROR(__xludf.DUMMYFUNCTION("IMPORTRANGE(H30187,""IDENTITAS UNIT!D9"")"),"#N/A")</f>
        <v>#N/A</v>
      </c>
      <c r="H30187" s="4" t="str">
        <v/>
      </c>
      <c r="I30187" s="4" t="str">
        <v/>
      </c>
    </row>
    <row r="30188" spans="5:9" ht="16.5" hidden="1">
      <c r="E30188" s="4" t="str">
        <v/>
      </c>
      <c r="F30188" s="102" t="str">
        <f ca="1">IFERROR(__xludf.DUMMYFUNCTION("IMPORTRANGE(H30188,""IDENTITAS UNIT!D9"")"),"#N/A")</f>
        <v>#N/A</v>
      </c>
      <c r="H30188" s="4" t="str">
        <v/>
      </c>
      <c r="I30188" s="4" t="str">
        <v/>
      </c>
    </row>
    <row r="30189" spans="5:9" ht="16.5" hidden="1">
      <c r="E30189" s="4" t="str">
        <v/>
      </c>
      <c r="F30189" s="102" t="str">
        <f ca="1">IFERROR(__xludf.DUMMYFUNCTION("IMPORTRANGE(H30189,""IDENTITAS UNIT!D9"")"),"#N/A")</f>
        <v>#N/A</v>
      </c>
      <c r="H30189" s="4" t="str">
        <v/>
      </c>
      <c r="I30189" s="4" t="str">
        <v/>
      </c>
    </row>
    <row r="30190" spans="5:9" ht="16.5" hidden="1">
      <c r="E30190" s="4" t="str">
        <v/>
      </c>
      <c r="F30190" s="102" t="str">
        <f ca="1">IFERROR(__xludf.DUMMYFUNCTION("IMPORTRANGE(H30190,""IDENTITAS UNIT!D9"")"),"#N/A")</f>
        <v>#N/A</v>
      </c>
      <c r="H30190" s="4" t="str">
        <v/>
      </c>
      <c r="I30190" s="4" t="str">
        <v/>
      </c>
    </row>
    <row r="30191" spans="5:9" ht="16.5" hidden="1">
      <c r="E30191" s="4" t="str">
        <v/>
      </c>
      <c r="F30191" s="102" t="str">
        <f ca="1">IFERROR(__xludf.DUMMYFUNCTION("IMPORTRANGE(H30191,""IDENTITAS UNIT!D9"")"),"#N/A")</f>
        <v>#N/A</v>
      </c>
      <c r="H30191" s="4" t="str">
        <v/>
      </c>
      <c r="I30191" s="4" t="str">
        <v/>
      </c>
    </row>
    <row r="30192" spans="5:9" ht="16.5" hidden="1">
      <c r="E30192" s="4" t="str">
        <v/>
      </c>
      <c r="F30192" s="102" t="str">
        <f ca="1">IFERROR(__xludf.DUMMYFUNCTION("IMPORTRANGE(H30192,""IDENTITAS UNIT!D9"")"),"#N/A")</f>
        <v>#N/A</v>
      </c>
      <c r="H30192" s="4" t="str">
        <v/>
      </c>
      <c r="I30192" s="4" t="str">
        <v/>
      </c>
    </row>
    <row r="30193" spans="5:9" ht="16.5" hidden="1">
      <c r="E30193" s="4" t="str">
        <v/>
      </c>
      <c r="F30193" s="102" t="str">
        <f ca="1">IFERROR(__xludf.DUMMYFUNCTION("IMPORTRANGE(H30193,""IDENTITAS UNIT!D9"")"),"#N/A")</f>
        <v>#N/A</v>
      </c>
      <c r="H30193" s="4" t="str">
        <v/>
      </c>
      <c r="I30193" s="4" t="str">
        <v/>
      </c>
    </row>
    <row r="30194" spans="5:9" ht="16.5" hidden="1">
      <c r="E30194" s="4" t="str">
        <v/>
      </c>
      <c r="F30194" s="102" t="str">
        <f ca="1">IFERROR(__xludf.DUMMYFUNCTION("IMPORTRANGE(H30194,""IDENTITAS UNIT!D9"")"),"#N/A")</f>
        <v>#N/A</v>
      </c>
      <c r="H30194" s="4" t="str">
        <v/>
      </c>
      <c r="I30194" s="4" t="str">
        <v/>
      </c>
    </row>
    <row r="30195" spans="5:9" ht="16.5" hidden="1">
      <c r="E30195" s="4" t="str">
        <v/>
      </c>
      <c r="F30195" s="102" t="str">
        <f ca="1">IFERROR(__xludf.DUMMYFUNCTION("IMPORTRANGE(H30195,""IDENTITAS UNIT!D9"")"),"#N/A")</f>
        <v>#N/A</v>
      </c>
      <c r="H30195" s="4" t="str">
        <v/>
      </c>
      <c r="I30195" s="4" t="str">
        <v/>
      </c>
    </row>
    <row r="30196" spans="5:9" ht="16.5" hidden="1">
      <c r="E30196" s="4" t="str">
        <v/>
      </c>
      <c r="F30196" s="102" t="str">
        <f ca="1">IFERROR(__xludf.DUMMYFUNCTION("IMPORTRANGE(H30196,""IDENTITAS UNIT!D9"")"),"#N/A")</f>
        <v>#N/A</v>
      </c>
      <c r="H30196" s="4" t="str">
        <v/>
      </c>
      <c r="I30196" s="4" t="str">
        <v/>
      </c>
    </row>
    <row r="30197" spans="5:9" ht="16.5" hidden="1">
      <c r="E30197" s="4" t="str">
        <v/>
      </c>
      <c r="F30197" s="102" t="str">
        <f ca="1">IFERROR(__xludf.DUMMYFUNCTION("IMPORTRANGE(H30197,""IDENTITAS UNIT!D9"")"),"#N/A")</f>
        <v>#N/A</v>
      </c>
      <c r="H30197" s="4" t="str">
        <v/>
      </c>
      <c r="I30197" s="4" t="str">
        <v/>
      </c>
    </row>
    <row r="30198" spans="5:9" ht="16.5" hidden="1">
      <c r="E30198" s="4" t="str">
        <v/>
      </c>
      <c r="F30198" s="102" t="str">
        <f ca="1">IFERROR(__xludf.DUMMYFUNCTION("IMPORTRANGE(H30198,""IDENTITAS UNIT!D9"")"),"#N/A")</f>
        <v>#N/A</v>
      </c>
      <c r="H30198" s="4" t="str">
        <v/>
      </c>
      <c r="I30198" s="4" t="str">
        <v/>
      </c>
    </row>
    <row r="30199" spans="5:9" ht="16.5" hidden="1">
      <c r="E30199" s="4" t="str">
        <v/>
      </c>
      <c r="F30199" s="102" t="str">
        <f ca="1">IFERROR(__xludf.DUMMYFUNCTION("IMPORTRANGE(H30199,""IDENTITAS UNIT!D9"")"),"#N/A")</f>
        <v>#N/A</v>
      </c>
      <c r="H30199" s="4" t="str">
        <v/>
      </c>
      <c r="I30199" s="4" t="str">
        <v/>
      </c>
    </row>
    <row r="30200" spans="5:9" ht="16.5" hidden="1">
      <c r="E30200" s="4" t="str">
        <v/>
      </c>
      <c r="F30200" s="102" t="str">
        <f ca="1">IFERROR(__xludf.DUMMYFUNCTION("IMPORTRANGE(H30200,""IDENTITAS UNIT!D9"")"),"#N/A")</f>
        <v>#N/A</v>
      </c>
      <c r="H30200" s="4" t="str">
        <v/>
      </c>
      <c r="I30200" s="4" t="str">
        <v/>
      </c>
    </row>
    <row r="30201" spans="5:9" ht="16.5" hidden="1">
      <c r="E30201" s="4" t="str">
        <v/>
      </c>
      <c r="F30201" s="102" t="str">
        <f ca="1">IFERROR(__xludf.DUMMYFUNCTION("IMPORTRANGE(H30201,""IDENTITAS UNIT!D9"")"),"#N/A")</f>
        <v>#N/A</v>
      </c>
      <c r="H30201" s="4" t="str">
        <v/>
      </c>
      <c r="I30201" s="4" t="str">
        <v/>
      </c>
    </row>
    <row r="30202" spans="5:9" ht="16.5" hidden="1">
      <c r="E30202" s="4" t="str">
        <v/>
      </c>
      <c r="F30202" s="102" t="str">
        <f ca="1">IFERROR(__xludf.DUMMYFUNCTION("IMPORTRANGE(H30202,""IDENTITAS UNIT!D9"")"),"#N/A")</f>
        <v>#N/A</v>
      </c>
      <c r="H30202" s="4" t="str">
        <v/>
      </c>
      <c r="I30202" s="4" t="str">
        <v/>
      </c>
    </row>
    <row r="30203" spans="5:9" ht="16.5" hidden="1">
      <c r="E30203" s="4" t="str">
        <v/>
      </c>
      <c r="F30203" s="102" t="str">
        <f ca="1">IFERROR(__xludf.DUMMYFUNCTION("IMPORTRANGE(H30203,""IDENTITAS UNIT!D9"")"),"#N/A")</f>
        <v>#N/A</v>
      </c>
      <c r="H30203" s="4" t="str">
        <v/>
      </c>
      <c r="I30203" s="4" t="str">
        <v/>
      </c>
    </row>
    <row r="30204" spans="5:9" ht="16.5" hidden="1">
      <c r="E30204" s="4" t="str">
        <v/>
      </c>
      <c r="F30204" s="102" t="str">
        <f ca="1">IFERROR(__xludf.DUMMYFUNCTION("IMPORTRANGE(H30204,""IDENTITAS UNIT!D9"")"),"#N/A")</f>
        <v>#N/A</v>
      </c>
      <c r="H30204" s="4" t="str">
        <v/>
      </c>
      <c r="I30204" s="4" t="str">
        <v/>
      </c>
    </row>
    <row r="30205" spans="5:9" ht="16.5" hidden="1">
      <c r="E30205" s="4" t="str">
        <v/>
      </c>
      <c r="F30205" s="102" t="str">
        <f ca="1">IFERROR(__xludf.DUMMYFUNCTION("IMPORTRANGE(H30205,""IDENTITAS UNIT!D9"")"),"#N/A")</f>
        <v>#N/A</v>
      </c>
      <c r="H30205" s="4" t="str">
        <v/>
      </c>
      <c r="I30205" s="4" t="str">
        <v/>
      </c>
    </row>
    <row r="30206" spans="5:9" ht="16.5" hidden="1">
      <c r="E30206" s="4" t="str">
        <v/>
      </c>
      <c r="F30206" s="102" t="str">
        <f ca="1">IFERROR(__xludf.DUMMYFUNCTION("IMPORTRANGE(H30206,""IDENTITAS UNIT!D9"")"),"#N/A")</f>
        <v>#N/A</v>
      </c>
      <c r="H30206" s="4" t="str">
        <v/>
      </c>
      <c r="I30206" s="4" t="str">
        <v/>
      </c>
    </row>
    <row r="30207" spans="5:9" ht="16.5" hidden="1">
      <c r="E30207" s="4" t="str">
        <v/>
      </c>
      <c r="F30207" s="102" t="str">
        <f ca="1">IFERROR(__xludf.DUMMYFUNCTION("IMPORTRANGE(H30207,""IDENTITAS UNIT!D9"")"),"#N/A")</f>
        <v>#N/A</v>
      </c>
      <c r="H30207" s="4" t="str">
        <v/>
      </c>
      <c r="I30207" s="4" t="str">
        <v/>
      </c>
    </row>
    <row r="30208" spans="5:9" ht="16.5" hidden="1">
      <c r="E30208" s="4" t="str">
        <v/>
      </c>
      <c r="F30208" s="102" t="str">
        <f ca="1">IFERROR(__xludf.DUMMYFUNCTION("IMPORTRANGE(H30208,""IDENTITAS UNIT!D9"")"),"#N/A")</f>
        <v>#N/A</v>
      </c>
      <c r="H30208" s="4" t="str">
        <v/>
      </c>
      <c r="I30208" s="4" t="str">
        <v/>
      </c>
    </row>
    <row r="30209" spans="5:9" ht="16.5" hidden="1">
      <c r="E30209" s="4" t="str">
        <v/>
      </c>
      <c r="F30209" s="102" t="str">
        <f ca="1">IFERROR(__xludf.DUMMYFUNCTION("IMPORTRANGE(H30209,""IDENTITAS UNIT!D9"")"),"#N/A")</f>
        <v>#N/A</v>
      </c>
      <c r="H30209" s="4" t="str">
        <v/>
      </c>
      <c r="I30209" s="4" t="str">
        <v/>
      </c>
    </row>
    <row r="30210" spans="5:9" ht="16.5" hidden="1">
      <c r="E30210" s="4" t="str">
        <v/>
      </c>
      <c r="F30210" s="102" t="str">
        <f ca="1">IFERROR(__xludf.DUMMYFUNCTION("IMPORTRANGE(H30210,""IDENTITAS UNIT!D9"")"),"#N/A")</f>
        <v>#N/A</v>
      </c>
      <c r="H30210" s="4" t="str">
        <v/>
      </c>
      <c r="I30210" s="4" t="str">
        <v/>
      </c>
    </row>
    <row r="30211" spans="5:9" ht="16.5" hidden="1">
      <c r="E30211" s="4" t="str">
        <v/>
      </c>
      <c r="F30211" s="102" t="str">
        <f ca="1">IFERROR(__xludf.DUMMYFUNCTION("IMPORTRANGE(H30211,""IDENTITAS UNIT!D9"")"),"#N/A")</f>
        <v>#N/A</v>
      </c>
      <c r="H30211" s="4" t="str">
        <v/>
      </c>
      <c r="I30211" s="4" t="str">
        <v/>
      </c>
    </row>
    <row r="30212" spans="5:9" ht="16.5" hidden="1">
      <c r="E30212" s="4" t="str">
        <v/>
      </c>
      <c r="F30212" s="102" t="str">
        <f ca="1">IFERROR(__xludf.DUMMYFUNCTION("IMPORTRANGE(H30212,""IDENTITAS UNIT!D9"")"),"#N/A")</f>
        <v>#N/A</v>
      </c>
      <c r="H30212" s="4" t="str">
        <v/>
      </c>
      <c r="I30212" s="4" t="str">
        <v/>
      </c>
    </row>
    <row r="30213" spans="5:9" ht="16.5" hidden="1">
      <c r="E30213" s="4" t="str">
        <v/>
      </c>
      <c r="F30213" s="102" t="str">
        <f ca="1">IFERROR(__xludf.DUMMYFUNCTION("IMPORTRANGE(H30213,""IDENTITAS UNIT!D9"")"),"#N/A")</f>
        <v>#N/A</v>
      </c>
      <c r="H30213" s="4" t="str">
        <v/>
      </c>
      <c r="I30213" s="4" t="str">
        <v/>
      </c>
    </row>
    <row r="30214" spans="5:9" ht="16.5" hidden="1">
      <c r="E30214" s="4" t="str">
        <v/>
      </c>
      <c r="F30214" s="102" t="str">
        <f ca="1">IFERROR(__xludf.DUMMYFUNCTION("IMPORTRANGE(H30214,""IDENTITAS UNIT!D9"")"),"#N/A")</f>
        <v>#N/A</v>
      </c>
      <c r="H30214" s="4" t="str">
        <v/>
      </c>
      <c r="I30214" s="4" t="str">
        <v/>
      </c>
    </row>
    <row r="30215" spans="5:9" ht="16.5" hidden="1">
      <c r="E30215" s="4" t="str">
        <v/>
      </c>
      <c r="F30215" s="102" t="str">
        <f ca="1">IFERROR(__xludf.DUMMYFUNCTION("IMPORTRANGE(H30215,""IDENTITAS UNIT!D9"")"),"#N/A")</f>
        <v>#N/A</v>
      </c>
      <c r="H30215" s="4" t="str">
        <v/>
      </c>
      <c r="I30215" s="4" t="str">
        <v/>
      </c>
    </row>
    <row r="30216" spans="5:9" ht="16.5" hidden="1">
      <c r="E30216" s="4" t="str">
        <v/>
      </c>
      <c r="F30216" s="102" t="str">
        <f ca="1">IFERROR(__xludf.DUMMYFUNCTION("IMPORTRANGE(H30216,""IDENTITAS UNIT!D9"")"),"#N/A")</f>
        <v>#N/A</v>
      </c>
      <c r="H30216" s="4" t="str">
        <v/>
      </c>
      <c r="I30216" s="4" t="str">
        <v/>
      </c>
    </row>
    <row r="30217" spans="5:9" ht="16.5" hidden="1">
      <c r="E30217" s="4" t="str">
        <v/>
      </c>
      <c r="F30217" s="102" t="str">
        <f ca="1">IFERROR(__xludf.DUMMYFUNCTION("IMPORTRANGE(H30217,""IDENTITAS UNIT!D9"")"),"#N/A")</f>
        <v>#N/A</v>
      </c>
      <c r="H30217" s="4" t="str">
        <v/>
      </c>
      <c r="I30217" s="4" t="str">
        <v/>
      </c>
    </row>
    <row r="30218" spans="5:9" ht="16.5" hidden="1">
      <c r="E30218" s="4" t="str">
        <v/>
      </c>
      <c r="F30218" s="102" t="str">
        <f ca="1">IFERROR(__xludf.DUMMYFUNCTION("IMPORTRANGE(H30218,""IDENTITAS UNIT!D9"")"),"#N/A")</f>
        <v>#N/A</v>
      </c>
      <c r="H30218" s="4" t="str">
        <v/>
      </c>
      <c r="I30218" s="4" t="str">
        <v/>
      </c>
    </row>
    <row r="30219" spans="5:9" ht="16.5" hidden="1">
      <c r="E30219" s="4" t="str">
        <v/>
      </c>
      <c r="F30219" s="102" t="str">
        <f ca="1">IFERROR(__xludf.DUMMYFUNCTION("IMPORTRANGE(H30219,""IDENTITAS UNIT!D9"")"),"#N/A")</f>
        <v>#N/A</v>
      </c>
      <c r="H30219" s="4" t="str">
        <v/>
      </c>
      <c r="I30219" s="4" t="str">
        <v/>
      </c>
    </row>
    <row r="30220" spans="5:9" ht="16.5" hidden="1">
      <c r="E30220" s="4" t="str">
        <v/>
      </c>
      <c r="F30220" s="102" t="str">
        <f ca="1">IFERROR(__xludf.DUMMYFUNCTION("IMPORTRANGE(H30220,""IDENTITAS UNIT!D9"")"),"#N/A")</f>
        <v>#N/A</v>
      </c>
      <c r="H30220" s="4" t="str">
        <v/>
      </c>
      <c r="I30220" s="4" t="str">
        <v/>
      </c>
    </row>
    <row r="30221" spans="5:9" ht="16.5" hidden="1">
      <c r="E30221" s="4" t="str">
        <v/>
      </c>
      <c r="F30221" s="102" t="str">
        <f ca="1">IFERROR(__xludf.DUMMYFUNCTION("IMPORTRANGE(H30221,""IDENTITAS UNIT!D9"")"),"#N/A")</f>
        <v>#N/A</v>
      </c>
      <c r="H30221" s="4" t="str">
        <v/>
      </c>
      <c r="I30221" s="4" t="str">
        <v/>
      </c>
    </row>
    <row r="30222" spans="5:9" ht="16.5" hidden="1">
      <c r="E30222" s="4" t="str">
        <v/>
      </c>
      <c r="F30222" s="102" t="str">
        <f ca="1">IFERROR(__xludf.DUMMYFUNCTION("IMPORTRANGE(H30222,""IDENTITAS UNIT!D9"")"),"#N/A")</f>
        <v>#N/A</v>
      </c>
      <c r="H30222" s="4" t="str">
        <v/>
      </c>
      <c r="I30222" s="4" t="str">
        <v/>
      </c>
    </row>
    <row r="30223" spans="5:9" ht="16.5" hidden="1">
      <c r="E30223" s="4" t="str">
        <v/>
      </c>
      <c r="F30223" s="102" t="str">
        <f ca="1">IFERROR(__xludf.DUMMYFUNCTION("IMPORTRANGE(H30223,""IDENTITAS UNIT!D9"")"),"#N/A")</f>
        <v>#N/A</v>
      </c>
      <c r="H30223" s="4" t="str">
        <v/>
      </c>
      <c r="I30223" s="4" t="str">
        <v/>
      </c>
    </row>
    <row r="30224" spans="5:9" ht="16.5" hidden="1">
      <c r="E30224" s="4" t="str">
        <v/>
      </c>
      <c r="F30224" s="102" t="str">
        <f ca="1">IFERROR(__xludf.DUMMYFUNCTION("IMPORTRANGE(H30224,""IDENTITAS UNIT!D9"")"),"#N/A")</f>
        <v>#N/A</v>
      </c>
      <c r="H30224" s="4" t="str">
        <v/>
      </c>
      <c r="I30224" s="4" t="str">
        <v/>
      </c>
    </row>
    <row r="30225" spans="5:9" ht="16.5" hidden="1">
      <c r="E30225" s="4" t="str">
        <v/>
      </c>
      <c r="F30225" s="102" t="str">
        <f ca="1">IFERROR(__xludf.DUMMYFUNCTION("IMPORTRANGE(H30225,""IDENTITAS UNIT!D9"")"),"#N/A")</f>
        <v>#N/A</v>
      </c>
      <c r="H30225" s="4" t="str">
        <v/>
      </c>
      <c r="I30225" s="4" t="str">
        <v/>
      </c>
    </row>
    <row r="30226" spans="5:9" ht="16.5" hidden="1">
      <c r="E30226" s="4" t="str">
        <v/>
      </c>
      <c r="F30226" s="102" t="str">
        <f ca="1">IFERROR(__xludf.DUMMYFUNCTION("IMPORTRANGE(H30226,""IDENTITAS UNIT!D9"")"),"#N/A")</f>
        <v>#N/A</v>
      </c>
      <c r="H30226" s="4" t="str">
        <v/>
      </c>
      <c r="I30226" s="4" t="str">
        <v/>
      </c>
    </row>
    <row r="30227" spans="5:9" ht="16.5" hidden="1">
      <c r="E30227" s="4" t="str">
        <v/>
      </c>
      <c r="F30227" s="102" t="str">
        <f ca="1">IFERROR(__xludf.DUMMYFUNCTION("IMPORTRANGE(H30227,""IDENTITAS UNIT!D9"")"),"#N/A")</f>
        <v>#N/A</v>
      </c>
      <c r="H30227" s="4" t="str">
        <v/>
      </c>
      <c r="I30227" s="4" t="str">
        <v/>
      </c>
    </row>
    <row r="30228" spans="5:9" ht="16.5" hidden="1">
      <c r="E30228" s="4" t="str">
        <v/>
      </c>
      <c r="F30228" s="102" t="str">
        <f ca="1">IFERROR(__xludf.DUMMYFUNCTION("IMPORTRANGE(H30228,""IDENTITAS UNIT!D9"")"),"#N/A")</f>
        <v>#N/A</v>
      </c>
      <c r="H30228" s="4" t="str">
        <v/>
      </c>
      <c r="I30228" s="4" t="str">
        <v/>
      </c>
    </row>
    <row r="30229" spans="5:9" ht="16.5" hidden="1">
      <c r="E30229" s="4" t="str">
        <v/>
      </c>
      <c r="F30229" s="102" t="str">
        <f ca="1">IFERROR(__xludf.DUMMYFUNCTION("IMPORTRANGE(H30229,""IDENTITAS UNIT!D9"")"),"#N/A")</f>
        <v>#N/A</v>
      </c>
      <c r="H30229" s="4" t="str">
        <v/>
      </c>
      <c r="I30229" s="4" t="str">
        <v/>
      </c>
    </row>
    <row r="30230" spans="5:9" ht="16.5" hidden="1">
      <c r="E30230" s="4" t="str">
        <v/>
      </c>
      <c r="F30230" s="102" t="str">
        <f ca="1">IFERROR(__xludf.DUMMYFUNCTION("IMPORTRANGE(H30230,""IDENTITAS UNIT!D9"")"),"#N/A")</f>
        <v>#N/A</v>
      </c>
      <c r="H30230" s="4" t="str">
        <v/>
      </c>
      <c r="I30230" s="4" t="str">
        <v/>
      </c>
    </row>
    <row r="30231" spans="5:9" ht="16.5" hidden="1">
      <c r="E30231" s="4" t="str">
        <v/>
      </c>
      <c r="F30231" s="102" t="str">
        <f ca="1">IFERROR(__xludf.DUMMYFUNCTION("IMPORTRANGE(H30231,""IDENTITAS UNIT!D9"")"),"#N/A")</f>
        <v>#N/A</v>
      </c>
      <c r="H30231" s="4" t="str">
        <v/>
      </c>
      <c r="I30231" s="4" t="str">
        <v/>
      </c>
    </row>
    <row r="30232" spans="5:9" ht="16.5" hidden="1">
      <c r="E30232" s="4" t="str">
        <v/>
      </c>
      <c r="F30232" s="102" t="str">
        <f ca="1">IFERROR(__xludf.DUMMYFUNCTION("IMPORTRANGE(H30232,""IDENTITAS UNIT!D9"")"),"#N/A")</f>
        <v>#N/A</v>
      </c>
      <c r="H30232" s="4" t="str">
        <v/>
      </c>
      <c r="I30232" s="4" t="str">
        <v/>
      </c>
    </row>
    <row r="30233" spans="5:9" ht="16.5" hidden="1">
      <c r="E30233" s="4" t="str">
        <v/>
      </c>
      <c r="F30233" s="102" t="str">
        <f ca="1">IFERROR(__xludf.DUMMYFUNCTION("IMPORTRANGE(H30233,""IDENTITAS UNIT!D9"")"),"#N/A")</f>
        <v>#N/A</v>
      </c>
      <c r="H30233" s="4" t="str">
        <v/>
      </c>
      <c r="I30233" s="4" t="str">
        <v/>
      </c>
    </row>
    <row r="30234" spans="5:9" ht="16.5" hidden="1">
      <c r="E30234" s="4" t="str">
        <v/>
      </c>
      <c r="F30234" s="102" t="str">
        <f ca="1">IFERROR(__xludf.DUMMYFUNCTION("IMPORTRANGE(H30234,""IDENTITAS UNIT!D9"")"),"#N/A")</f>
        <v>#N/A</v>
      </c>
      <c r="H30234" s="4" t="str">
        <v/>
      </c>
      <c r="I30234" s="4" t="str">
        <v/>
      </c>
    </row>
    <row r="30235" spans="5:9" ht="16.5" hidden="1">
      <c r="E30235" s="4" t="str">
        <v/>
      </c>
      <c r="F30235" s="102" t="str">
        <f ca="1">IFERROR(__xludf.DUMMYFUNCTION("IMPORTRANGE(H30235,""IDENTITAS UNIT!D9"")"),"#N/A")</f>
        <v>#N/A</v>
      </c>
      <c r="H30235" s="4" t="str">
        <v/>
      </c>
      <c r="I30235" s="4" t="str">
        <v/>
      </c>
    </row>
    <row r="30236" spans="5:9" ht="16.5" hidden="1">
      <c r="E30236" s="4" t="str">
        <v/>
      </c>
      <c r="F30236" s="102" t="str">
        <f ca="1">IFERROR(__xludf.DUMMYFUNCTION("IMPORTRANGE(H30236,""IDENTITAS UNIT!D9"")"),"#N/A")</f>
        <v>#N/A</v>
      </c>
      <c r="H30236" s="4" t="str">
        <v/>
      </c>
      <c r="I30236" s="4" t="str">
        <v/>
      </c>
    </row>
    <row r="30237" spans="5:9" ht="16.5" hidden="1">
      <c r="E30237" s="4" t="str">
        <v/>
      </c>
      <c r="F30237" s="102" t="str">
        <f ca="1">IFERROR(__xludf.DUMMYFUNCTION("IMPORTRANGE(H30237,""IDENTITAS UNIT!D9"")"),"#N/A")</f>
        <v>#N/A</v>
      </c>
      <c r="H30237" s="4" t="str">
        <v/>
      </c>
      <c r="I30237" s="4" t="str">
        <v/>
      </c>
    </row>
    <row r="30238" spans="5:9" ht="16.5" hidden="1">
      <c r="E30238" s="4" t="str">
        <v/>
      </c>
      <c r="F30238" s="102" t="str">
        <f ca="1">IFERROR(__xludf.DUMMYFUNCTION("IMPORTRANGE(H30238,""IDENTITAS UNIT!D9"")"),"#N/A")</f>
        <v>#N/A</v>
      </c>
      <c r="H30238" s="4" t="str">
        <v/>
      </c>
      <c r="I30238" s="4" t="str">
        <v/>
      </c>
    </row>
    <row r="30239" spans="5:9" ht="16.5" hidden="1">
      <c r="E30239" s="4" t="str">
        <v/>
      </c>
      <c r="F30239" s="102" t="str">
        <f ca="1">IFERROR(__xludf.DUMMYFUNCTION("IMPORTRANGE(H30239,""IDENTITAS UNIT!D9"")"),"#N/A")</f>
        <v>#N/A</v>
      </c>
      <c r="H30239" s="4" t="str">
        <v/>
      </c>
      <c r="I30239" s="4" t="str">
        <v/>
      </c>
    </row>
    <row r="30240" spans="5:9" ht="16.5" hidden="1">
      <c r="E30240" s="4" t="str">
        <v/>
      </c>
      <c r="F30240" s="102" t="str">
        <f ca="1">IFERROR(__xludf.DUMMYFUNCTION("IMPORTRANGE(H30240,""IDENTITAS UNIT!D9"")"),"#N/A")</f>
        <v>#N/A</v>
      </c>
      <c r="H30240" s="4" t="str">
        <v/>
      </c>
      <c r="I30240" s="4" t="str">
        <v/>
      </c>
    </row>
    <row r="30241" spans="5:9" ht="16.5" hidden="1">
      <c r="E30241" s="4" t="str">
        <v/>
      </c>
      <c r="F30241" s="102" t="str">
        <f ca="1">IFERROR(__xludf.DUMMYFUNCTION("IMPORTRANGE(H30241,""IDENTITAS UNIT!D9"")"),"#N/A")</f>
        <v>#N/A</v>
      </c>
      <c r="H30241" s="4" t="str">
        <v/>
      </c>
      <c r="I30241" s="4" t="str">
        <v/>
      </c>
    </row>
    <row r="30242" spans="5:9" ht="16.5" hidden="1">
      <c r="E30242" s="4" t="str">
        <v/>
      </c>
      <c r="F30242" s="102" t="str">
        <f ca="1">IFERROR(__xludf.DUMMYFUNCTION("IMPORTRANGE(H30242,""IDENTITAS UNIT!D9"")"),"#N/A")</f>
        <v>#N/A</v>
      </c>
      <c r="H30242" s="4" t="str">
        <v/>
      </c>
      <c r="I30242" s="4" t="str">
        <v/>
      </c>
    </row>
    <row r="30243" spans="5:9" ht="16.5" hidden="1">
      <c r="E30243" s="4" t="str">
        <v/>
      </c>
      <c r="F30243" s="102" t="str">
        <f ca="1">IFERROR(__xludf.DUMMYFUNCTION("IMPORTRANGE(H30243,""IDENTITAS UNIT!D9"")"),"#N/A")</f>
        <v>#N/A</v>
      </c>
      <c r="H30243" s="4" t="str">
        <v/>
      </c>
      <c r="I30243" s="4" t="str">
        <v/>
      </c>
    </row>
    <row r="30244" spans="5:9" ht="16.5" hidden="1">
      <c r="E30244" s="4" t="str">
        <v/>
      </c>
      <c r="F30244" s="102" t="str">
        <f ca="1">IFERROR(__xludf.DUMMYFUNCTION("IMPORTRANGE(H30244,""IDENTITAS UNIT!D9"")"),"#N/A")</f>
        <v>#N/A</v>
      </c>
      <c r="H30244" s="4" t="str">
        <v/>
      </c>
      <c r="I30244" s="4" t="str">
        <v/>
      </c>
    </row>
    <row r="30245" spans="5:9" ht="16.5" hidden="1">
      <c r="E30245" s="4" t="str">
        <v/>
      </c>
      <c r="F30245" s="102" t="str">
        <f ca="1">IFERROR(__xludf.DUMMYFUNCTION("IMPORTRANGE(H30245,""IDENTITAS UNIT!D9"")"),"#N/A")</f>
        <v>#N/A</v>
      </c>
      <c r="H30245" s="4" t="str">
        <v/>
      </c>
      <c r="I30245" s="4" t="str">
        <v/>
      </c>
    </row>
    <row r="30246" spans="5:9" ht="16.5" hidden="1">
      <c r="E30246" s="4" t="str">
        <v/>
      </c>
      <c r="F30246" s="102" t="str">
        <f ca="1">IFERROR(__xludf.DUMMYFUNCTION("IMPORTRANGE(H30246,""IDENTITAS UNIT!D9"")"),"#N/A")</f>
        <v>#N/A</v>
      </c>
      <c r="H30246" s="4" t="str">
        <v/>
      </c>
      <c r="I30246" s="4" t="str">
        <v/>
      </c>
    </row>
    <row r="30247" spans="5:9" ht="16.5" hidden="1">
      <c r="E30247" s="4" t="str">
        <v/>
      </c>
      <c r="F30247" s="102" t="str">
        <f ca="1">IFERROR(__xludf.DUMMYFUNCTION("IMPORTRANGE(H30247,""IDENTITAS UNIT!D9"")"),"#N/A")</f>
        <v>#N/A</v>
      </c>
      <c r="H30247" s="4" t="str">
        <v/>
      </c>
      <c r="I30247" s="4" t="str">
        <v/>
      </c>
    </row>
    <row r="30248" spans="5:9" ht="16.5" hidden="1">
      <c r="E30248" s="4" t="str">
        <v/>
      </c>
      <c r="F30248" s="102" t="str">
        <f ca="1">IFERROR(__xludf.DUMMYFUNCTION("IMPORTRANGE(H30248,""IDENTITAS UNIT!D9"")"),"#N/A")</f>
        <v>#N/A</v>
      </c>
      <c r="H30248" s="4" t="str">
        <v/>
      </c>
      <c r="I30248" s="4" t="str">
        <v/>
      </c>
    </row>
    <row r="30249" spans="5:9" ht="16.5" hidden="1">
      <c r="E30249" s="4" t="str">
        <v/>
      </c>
      <c r="F30249" s="102" t="str">
        <f ca="1">IFERROR(__xludf.DUMMYFUNCTION("IMPORTRANGE(H30249,""IDENTITAS UNIT!D9"")"),"#N/A")</f>
        <v>#N/A</v>
      </c>
      <c r="H30249" s="4" t="str">
        <v/>
      </c>
      <c r="I30249" s="4" t="str">
        <v/>
      </c>
    </row>
    <row r="30250" spans="5:9" ht="16.5" hidden="1">
      <c r="E30250" s="4" t="str">
        <v/>
      </c>
      <c r="F30250" s="102" t="str">
        <f ca="1">IFERROR(__xludf.DUMMYFUNCTION("IMPORTRANGE(H30250,""IDENTITAS UNIT!D9"")"),"#N/A")</f>
        <v>#N/A</v>
      </c>
      <c r="H30250" s="4" t="str">
        <v/>
      </c>
      <c r="I30250" s="4" t="str">
        <v/>
      </c>
    </row>
    <row r="30251" spans="5:9" ht="16.5" hidden="1">
      <c r="E30251" s="4" t="str">
        <v/>
      </c>
      <c r="F30251" s="102" t="str">
        <f ca="1">IFERROR(__xludf.DUMMYFUNCTION("IMPORTRANGE(H30251,""IDENTITAS UNIT!D9"")"),"#N/A")</f>
        <v>#N/A</v>
      </c>
      <c r="H30251" s="4" t="str">
        <v/>
      </c>
      <c r="I30251" s="4" t="str">
        <v/>
      </c>
    </row>
    <row r="30252" spans="5:9" ht="16.5" hidden="1">
      <c r="E30252" s="4" t="str">
        <v/>
      </c>
      <c r="F30252" s="102" t="str">
        <f ca="1">IFERROR(__xludf.DUMMYFUNCTION("IMPORTRANGE(H30252,""IDENTITAS UNIT!D9"")"),"#N/A")</f>
        <v>#N/A</v>
      </c>
      <c r="H30252" s="4" t="str">
        <v/>
      </c>
      <c r="I30252" s="4" t="str">
        <v/>
      </c>
    </row>
    <row r="30253" spans="5:9" ht="16.5" hidden="1">
      <c r="E30253" s="4" t="str">
        <v/>
      </c>
      <c r="F30253" s="102" t="str">
        <f ca="1">IFERROR(__xludf.DUMMYFUNCTION("IMPORTRANGE(H30253,""IDENTITAS UNIT!D9"")"),"#N/A")</f>
        <v>#N/A</v>
      </c>
      <c r="H30253" s="4" t="str">
        <v/>
      </c>
      <c r="I30253" s="4" t="str">
        <v/>
      </c>
    </row>
    <row r="30254" spans="5:9" ht="16.5" hidden="1">
      <c r="E30254" s="4" t="str">
        <v/>
      </c>
      <c r="F30254" s="102" t="str">
        <f ca="1">IFERROR(__xludf.DUMMYFUNCTION("IMPORTRANGE(H30254,""IDENTITAS UNIT!D9"")"),"#N/A")</f>
        <v>#N/A</v>
      </c>
      <c r="H30254" s="4" t="str">
        <v/>
      </c>
      <c r="I30254" s="4" t="str">
        <v/>
      </c>
    </row>
    <row r="30255" spans="5:9" ht="16.5" hidden="1">
      <c r="E30255" s="4" t="str">
        <v/>
      </c>
      <c r="F30255" s="102" t="str">
        <f ca="1">IFERROR(__xludf.DUMMYFUNCTION("IMPORTRANGE(H30255,""IDENTITAS UNIT!D9"")"),"#N/A")</f>
        <v>#N/A</v>
      </c>
      <c r="H30255" s="4" t="str">
        <v/>
      </c>
      <c r="I30255" s="4" t="str">
        <v/>
      </c>
    </row>
    <row r="30256" spans="5:9" ht="16.5" hidden="1">
      <c r="E30256" s="4" t="str">
        <v/>
      </c>
      <c r="F30256" s="102" t="str">
        <f ca="1">IFERROR(__xludf.DUMMYFUNCTION("IMPORTRANGE(H30256,""IDENTITAS UNIT!D9"")"),"#N/A")</f>
        <v>#N/A</v>
      </c>
      <c r="H30256" s="4" t="str">
        <v/>
      </c>
      <c r="I30256" s="4" t="str">
        <v/>
      </c>
    </row>
    <row r="30257" spans="5:9" ht="16.5" hidden="1">
      <c r="E30257" s="4" t="str">
        <v/>
      </c>
      <c r="F30257" s="102" t="str">
        <f ca="1">IFERROR(__xludf.DUMMYFUNCTION("IMPORTRANGE(H30257,""IDENTITAS UNIT!D9"")"),"#N/A")</f>
        <v>#N/A</v>
      </c>
      <c r="H30257" s="4" t="str">
        <v/>
      </c>
      <c r="I30257" s="4" t="str">
        <v/>
      </c>
    </row>
    <row r="30258" spans="5:9" ht="16.5" hidden="1">
      <c r="E30258" s="4" t="str">
        <v/>
      </c>
      <c r="F30258" s="102" t="str">
        <f ca="1">IFERROR(__xludf.DUMMYFUNCTION("IMPORTRANGE(H30258,""IDENTITAS UNIT!D9"")"),"#N/A")</f>
        <v>#N/A</v>
      </c>
      <c r="H30258" s="4" t="str">
        <v/>
      </c>
      <c r="I30258" s="4" t="str">
        <v/>
      </c>
    </row>
    <row r="30259" spans="5:9" ht="16.5" hidden="1">
      <c r="E30259" s="4" t="str">
        <v/>
      </c>
      <c r="F30259" s="102" t="str">
        <f ca="1">IFERROR(__xludf.DUMMYFUNCTION("IMPORTRANGE(H30259,""IDENTITAS UNIT!D9"")"),"#N/A")</f>
        <v>#N/A</v>
      </c>
      <c r="H30259" s="4" t="str">
        <v/>
      </c>
      <c r="I30259" s="4" t="str">
        <v/>
      </c>
    </row>
    <row r="30260" spans="5:9" ht="16.5" hidden="1">
      <c r="E30260" s="4" t="str">
        <v/>
      </c>
      <c r="F30260" s="102" t="str">
        <f ca="1">IFERROR(__xludf.DUMMYFUNCTION("IMPORTRANGE(H30260,""IDENTITAS UNIT!D9"")"),"#N/A")</f>
        <v>#N/A</v>
      </c>
      <c r="H30260" s="4" t="str">
        <v/>
      </c>
      <c r="I30260" s="4" t="str">
        <v/>
      </c>
    </row>
    <row r="30261" spans="5:9" ht="16.5" hidden="1">
      <c r="E30261" s="4" t="str">
        <v/>
      </c>
      <c r="F30261" s="102" t="str">
        <f ca="1">IFERROR(__xludf.DUMMYFUNCTION("IMPORTRANGE(H30261,""IDENTITAS UNIT!D9"")"),"#N/A")</f>
        <v>#N/A</v>
      </c>
      <c r="H30261" s="4" t="str">
        <v/>
      </c>
      <c r="I30261" s="4" t="str">
        <v/>
      </c>
    </row>
    <row r="30262" spans="5:9" ht="16.5" hidden="1">
      <c r="E30262" s="4" t="str">
        <v/>
      </c>
      <c r="F30262" s="102" t="str">
        <f ca="1">IFERROR(__xludf.DUMMYFUNCTION("IMPORTRANGE(H30262,""IDENTITAS UNIT!D9"")"),"#N/A")</f>
        <v>#N/A</v>
      </c>
      <c r="H30262" s="4" t="str">
        <v/>
      </c>
      <c r="I30262" s="4" t="str">
        <v/>
      </c>
    </row>
    <row r="30263" spans="5:9" ht="16.5" hidden="1">
      <c r="E30263" s="4" t="str">
        <v/>
      </c>
      <c r="F30263" s="102" t="str">
        <f ca="1">IFERROR(__xludf.DUMMYFUNCTION("IMPORTRANGE(H30263,""IDENTITAS UNIT!D9"")"),"#N/A")</f>
        <v>#N/A</v>
      </c>
      <c r="H30263" s="4" t="str">
        <v/>
      </c>
      <c r="I30263" s="4" t="str">
        <v/>
      </c>
    </row>
    <row r="30264" spans="5:9" ht="16.5" hidden="1">
      <c r="E30264" s="4" t="str">
        <v/>
      </c>
      <c r="F30264" s="102" t="str">
        <f ca="1">IFERROR(__xludf.DUMMYFUNCTION("IMPORTRANGE(H30264,""IDENTITAS UNIT!D9"")"),"#N/A")</f>
        <v>#N/A</v>
      </c>
      <c r="H30264" s="4" t="str">
        <v/>
      </c>
      <c r="I30264" s="4" t="str">
        <v/>
      </c>
    </row>
    <row r="30265" spans="5:9" ht="16.5" hidden="1">
      <c r="E30265" s="4" t="str">
        <v/>
      </c>
      <c r="F30265" s="102" t="str">
        <f ca="1">IFERROR(__xludf.DUMMYFUNCTION("IMPORTRANGE(H30265,""IDENTITAS UNIT!D9"")"),"#N/A")</f>
        <v>#N/A</v>
      </c>
      <c r="H30265" s="4" t="str">
        <v/>
      </c>
      <c r="I30265" s="4" t="str">
        <v/>
      </c>
    </row>
    <row r="30266" spans="5:9" ht="16.5" hidden="1">
      <c r="E30266" s="4" t="str">
        <v/>
      </c>
      <c r="F30266" s="102" t="str">
        <f ca="1">IFERROR(__xludf.DUMMYFUNCTION("IMPORTRANGE(H30266,""IDENTITAS UNIT!D9"")"),"#N/A")</f>
        <v>#N/A</v>
      </c>
      <c r="H30266" s="4" t="str">
        <v/>
      </c>
      <c r="I30266" s="4" t="str">
        <v/>
      </c>
    </row>
    <row r="30267" spans="5:9" ht="16.5" hidden="1">
      <c r="E30267" s="4" t="str">
        <v/>
      </c>
      <c r="F30267" s="102" t="str">
        <f ca="1">IFERROR(__xludf.DUMMYFUNCTION("IMPORTRANGE(H30267,""IDENTITAS UNIT!D9"")"),"#N/A")</f>
        <v>#N/A</v>
      </c>
      <c r="H30267" s="4" t="str">
        <v/>
      </c>
      <c r="I30267" s="4" t="str">
        <v/>
      </c>
    </row>
    <row r="30268" spans="5:9" ht="16.5" hidden="1">
      <c r="E30268" s="4" t="str">
        <v/>
      </c>
      <c r="F30268" s="102" t="str">
        <f ca="1">IFERROR(__xludf.DUMMYFUNCTION("IMPORTRANGE(H30268,""IDENTITAS UNIT!D9"")"),"#N/A")</f>
        <v>#N/A</v>
      </c>
      <c r="H30268" s="4" t="str">
        <v/>
      </c>
      <c r="I30268" s="4" t="str">
        <v/>
      </c>
    </row>
    <row r="30269" spans="5:9" ht="16.5" hidden="1">
      <c r="E30269" s="4" t="str">
        <v/>
      </c>
      <c r="F30269" s="102" t="str">
        <f ca="1">IFERROR(__xludf.DUMMYFUNCTION("IMPORTRANGE(H30269,""IDENTITAS UNIT!D9"")"),"#N/A")</f>
        <v>#N/A</v>
      </c>
      <c r="H30269" s="4" t="str">
        <v/>
      </c>
      <c r="I30269" s="4" t="str">
        <v/>
      </c>
    </row>
    <row r="30270" spans="5:9" ht="16.5" hidden="1">
      <c r="E30270" s="4" t="str">
        <v/>
      </c>
      <c r="F30270" s="102" t="str">
        <f ca="1">IFERROR(__xludf.DUMMYFUNCTION("IMPORTRANGE(H30270,""IDENTITAS UNIT!D9"")"),"#N/A")</f>
        <v>#N/A</v>
      </c>
      <c r="H30270" s="4" t="str">
        <v/>
      </c>
      <c r="I30270" s="4" t="str">
        <v/>
      </c>
    </row>
    <row r="30271" spans="5:9" ht="16.5" hidden="1">
      <c r="E30271" s="4" t="str">
        <v/>
      </c>
      <c r="F30271" s="102" t="str">
        <f ca="1">IFERROR(__xludf.DUMMYFUNCTION("IMPORTRANGE(H30271,""IDENTITAS UNIT!D9"")"),"#N/A")</f>
        <v>#N/A</v>
      </c>
      <c r="H30271" s="4" t="str">
        <v/>
      </c>
      <c r="I30271" s="4" t="str">
        <v/>
      </c>
    </row>
    <row r="30272" spans="5:9" ht="16.5" hidden="1">
      <c r="E30272" s="4" t="str">
        <v/>
      </c>
      <c r="F30272" s="102" t="str">
        <f ca="1">IFERROR(__xludf.DUMMYFUNCTION("IMPORTRANGE(H30272,""IDENTITAS UNIT!D9"")"),"#N/A")</f>
        <v>#N/A</v>
      </c>
      <c r="H30272" s="4" t="str">
        <v/>
      </c>
      <c r="I30272" s="4" t="str">
        <v/>
      </c>
    </row>
    <row r="30273" spans="5:9" ht="16.5" hidden="1">
      <c r="E30273" s="4" t="str">
        <v/>
      </c>
      <c r="F30273" s="102" t="str">
        <f ca="1">IFERROR(__xludf.DUMMYFUNCTION("IMPORTRANGE(H30273,""IDENTITAS UNIT!D9"")"),"#N/A")</f>
        <v>#N/A</v>
      </c>
      <c r="H30273" s="4" t="str">
        <v/>
      </c>
      <c r="I30273" s="4" t="str">
        <v/>
      </c>
    </row>
    <row r="30274" spans="5:9" ht="16.5" hidden="1">
      <c r="E30274" s="4" t="str">
        <v/>
      </c>
      <c r="F30274" s="102" t="str">
        <f ca="1">IFERROR(__xludf.DUMMYFUNCTION("IMPORTRANGE(H30274,""IDENTITAS UNIT!D9"")"),"#N/A")</f>
        <v>#N/A</v>
      </c>
      <c r="H30274" s="4" t="str">
        <v/>
      </c>
      <c r="I30274" s="4" t="str">
        <v/>
      </c>
    </row>
    <row r="30275" spans="5:9" ht="16.5" hidden="1">
      <c r="E30275" s="4" t="str">
        <v/>
      </c>
      <c r="F30275" s="102" t="str">
        <f ca="1">IFERROR(__xludf.DUMMYFUNCTION("IMPORTRANGE(H30275,""IDENTITAS UNIT!D9"")"),"#N/A")</f>
        <v>#N/A</v>
      </c>
      <c r="H30275" s="4" t="str">
        <v/>
      </c>
      <c r="I30275" s="4" t="str">
        <v/>
      </c>
    </row>
    <row r="30276" spans="5:9" ht="16.5" hidden="1">
      <c r="E30276" s="4" t="str">
        <v/>
      </c>
      <c r="F30276" s="102" t="str">
        <f ca="1">IFERROR(__xludf.DUMMYFUNCTION("IMPORTRANGE(H30276,""IDENTITAS UNIT!D9"")"),"#N/A")</f>
        <v>#N/A</v>
      </c>
      <c r="H30276" s="4" t="str">
        <v/>
      </c>
      <c r="I30276" s="4" t="str">
        <v/>
      </c>
    </row>
    <row r="30277" spans="5:9" ht="16.5" hidden="1">
      <c r="E30277" s="4" t="str">
        <v/>
      </c>
      <c r="F30277" s="102" t="str">
        <f ca="1">IFERROR(__xludf.DUMMYFUNCTION("IMPORTRANGE(H30277,""IDENTITAS UNIT!D9"")"),"#N/A")</f>
        <v>#N/A</v>
      </c>
      <c r="H30277" s="4" t="str">
        <v/>
      </c>
      <c r="I30277" s="4" t="str">
        <v/>
      </c>
    </row>
    <row r="30278" spans="5:9" ht="16.5" hidden="1">
      <c r="E30278" s="4" t="str">
        <v/>
      </c>
      <c r="F30278" s="102" t="str">
        <f ca="1">IFERROR(__xludf.DUMMYFUNCTION("IMPORTRANGE(H30278,""IDENTITAS UNIT!D9"")"),"#N/A")</f>
        <v>#N/A</v>
      </c>
      <c r="H30278" s="4" t="str">
        <v/>
      </c>
      <c r="I30278" s="4" t="str">
        <v/>
      </c>
    </row>
    <row r="30279" spans="5:9" ht="16.5" hidden="1">
      <c r="E30279" s="4" t="str">
        <v/>
      </c>
      <c r="F30279" s="102" t="str">
        <f ca="1">IFERROR(__xludf.DUMMYFUNCTION("IMPORTRANGE(H30279,""IDENTITAS UNIT!D9"")"),"#N/A")</f>
        <v>#N/A</v>
      </c>
      <c r="H30279" s="4" t="str">
        <v/>
      </c>
      <c r="I30279" s="4" t="str">
        <v/>
      </c>
    </row>
    <row r="30280" spans="5:9" ht="16.5" hidden="1">
      <c r="E30280" s="4" t="str">
        <v/>
      </c>
      <c r="F30280" s="102" t="str">
        <f ca="1">IFERROR(__xludf.DUMMYFUNCTION("IMPORTRANGE(H30280,""IDENTITAS UNIT!D9"")"),"#N/A")</f>
        <v>#N/A</v>
      </c>
      <c r="H30280" s="4" t="str">
        <v/>
      </c>
      <c r="I30280" s="4" t="str">
        <v/>
      </c>
    </row>
    <row r="30281" spans="5:9" ht="16.5" hidden="1">
      <c r="E30281" s="4" t="str">
        <v/>
      </c>
      <c r="F30281" s="102" t="str">
        <f ca="1">IFERROR(__xludf.DUMMYFUNCTION("IMPORTRANGE(H30281,""IDENTITAS UNIT!D9"")"),"#N/A")</f>
        <v>#N/A</v>
      </c>
      <c r="H30281" s="4" t="str">
        <v/>
      </c>
      <c r="I30281" s="4" t="str">
        <v/>
      </c>
    </row>
    <row r="30282" spans="5:9" ht="16.5" hidden="1">
      <c r="E30282" s="4" t="str">
        <v/>
      </c>
      <c r="F30282" s="102" t="str">
        <f ca="1">IFERROR(__xludf.DUMMYFUNCTION("IMPORTRANGE(H30282,""IDENTITAS UNIT!D9"")"),"#N/A")</f>
        <v>#N/A</v>
      </c>
      <c r="H30282" s="4" t="str">
        <v/>
      </c>
      <c r="I30282" s="4" t="str">
        <v/>
      </c>
    </row>
    <row r="30283" spans="5:9" ht="16.5" hidden="1">
      <c r="E30283" s="4" t="str">
        <v/>
      </c>
      <c r="F30283" s="102" t="str">
        <f ca="1">IFERROR(__xludf.DUMMYFUNCTION("IMPORTRANGE(H30283,""IDENTITAS UNIT!D9"")"),"#N/A")</f>
        <v>#N/A</v>
      </c>
      <c r="H30283" s="4" t="str">
        <v/>
      </c>
      <c r="I30283" s="4" t="str">
        <v/>
      </c>
    </row>
    <row r="30284" spans="5:9" ht="16.5" hidden="1">
      <c r="E30284" s="4" t="str">
        <v/>
      </c>
      <c r="F30284" s="102" t="str">
        <f ca="1">IFERROR(__xludf.DUMMYFUNCTION("IMPORTRANGE(H30284,""IDENTITAS UNIT!D9"")"),"#N/A")</f>
        <v>#N/A</v>
      </c>
      <c r="H30284" s="4" t="str">
        <v/>
      </c>
      <c r="I30284" s="4" t="str">
        <v/>
      </c>
    </row>
    <row r="30285" spans="5:9" ht="16.5" hidden="1">
      <c r="E30285" s="4" t="str">
        <v/>
      </c>
      <c r="F30285" s="102" t="str">
        <f ca="1">IFERROR(__xludf.DUMMYFUNCTION("IMPORTRANGE(H30285,""IDENTITAS UNIT!D9"")"),"#N/A")</f>
        <v>#N/A</v>
      </c>
      <c r="H30285" s="4" t="str">
        <v/>
      </c>
      <c r="I30285" s="4" t="str">
        <v/>
      </c>
    </row>
    <row r="30286" spans="5:9" ht="16.5" hidden="1">
      <c r="E30286" s="4" t="str">
        <v/>
      </c>
      <c r="F30286" s="102" t="str">
        <f ca="1">IFERROR(__xludf.DUMMYFUNCTION("IMPORTRANGE(H30286,""IDENTITAS UNIT!D9"")"),"#N/A")</f>
        <v>#N/A</v>
      </c>
      <c r="H30286" s="4" t="str">
        <v/>
      </c>
      <c r="I30286" s="4" t="str">
        <v/>
      </c>
    </row>
    <row r="30287" spans="5:9" ht="16.5" hidden="1">
      <c r="E30287" s="4" t="str">
        <v/>
      </c>
      <c r="F30287" s="102" t="str">
        <f ca="1">IFERROR(__xludf.DUMMYFUNCTION("IMPORTRANGE(H30287,""IDENTITAS UNIT!D9"")"),"#N/A")</f>
        <v>#N/A</v>
      </c>
      <c r="H30287" s="4" t="str">
        <v/>
      </c>
      <c r="I30287" s="4" t="str">
        <v/>
      </c>
    </row>
    <row r="30288" spans="5:9" ht="16.5" hidden="1">
      <c r="E30288" s="4" t="str">
        <v/>
      </c>
      <c r="F30288" s="102" t="str">
        <f ca="1">IFERROR(__xludf.DUMMYFUNCTION("IMPORTRANGE(H30288,""IDENTITAS UNIT!D9"")"),"#N/A")</f>
        <v>#N/A</v>
      </c>
      <c r="H30288" s="4" t="str">
        <v/>
      </c>
      <c r="I30288" s="4" t="str">
        <v/>
      </c>
    </row>
    <row r="30289" spans="5:9" ht="16.5" hidden="1">
      <c r="E30289" s="4" t="str">
        <v/>
      </c>
      <c r="F30289" s="102" t="str">
        <f ca="1">IFERROR(__xludf.DUMMYFUNCTION("IMPORTRANGE(H30289,""IDENTITAS UNIT!D9"")"),"#N/A")</f>
        <v>#N/A</v>
      </c>
      <c r="H30289" s="4" t="str">
        <v/>
      </c>
      <c r="I30289" s="4" t="str">
        <v/>
      </c>
    </row>
    <row r="30290" spans="5:9" ht="16.5" hidden="1">
      <c r="E30290" s="4" t="str">
        <v/>
      </c>
      <c r="F30290" s="102" t="str">
        <f ca="1">IFERROR(__xludf.DUMMYFUNCTION("IMPORTRANGE(H30290,""IDENTITAS UNIT!D9"")"),"#N/A")</f>
        <v>#N/A</v>
      </c>
      <c r="H30290" s="4" t="str">
        <v/>
      </c>
      <c r="I30290" s="4" t="str">
        <v/>
      </c>
    </row>
    <row r="30291" spans="5:9" ht="16.5" hidden="1">
      <c r="E30291" s="4" t="str">
        <v/>
      </c>
      <c r="F30291" s="102" t="str">
        <f ca="1">IFERROR(__xludf.DUMMYFUNCTION("IMPORTRANGE(H30291,""IDENTITAS UNIT!D9"")"),"#N/A")</f>
        <v>#N/A</v>
      </c>
      <c r="H30291" s="4" t="str">
        <v/>
      </c>
      <c r="I30291" s="4" t="str">
        <v/>
      </c>
    </row>
    <row r="30292" spans="5:9" ht="16.5" hidden="1">
      <c r="E30292" s="4" t="str">
        <v/>
      </c>
      <c r="F30292" s="102" t="str">
        <f ca="1">IFERROR(__xludf.DUMMYFUNCTION("IMPORTRANGE(H30292,""IDENTITAS UNIT!D9"")"),"#N/A")</f>
        <v>#N/A</v>
      </c>
      <c r="H30292" s="4" t="str">
        <v/>
      </c>
      <c r="I30292" s="4" t="str">
        <v/>
      </c>
    </row>
    <row r="30293" spans="5:9" ht="16.5" hidden="1">
      <c r="E30293" s="4" t="str">
        <v/>
      </c>
      <c r="F30293" s="102" t="str">
        <f ca="1">IFERROR(__xludf.DUMMYFUNCTION("IMPORTRANGE(H30293,""IDENTITAS UNIT!D9"")"),"#N/A")</f>
        <v>#N/A</v>
      </c>
      <c r="H30293" s="4" t="str">
        <v/>
      </c>
      <c r="I30293" s="4" t="str">
        <v/>
      </c>
    </row>
    <row r="30294" spans="5:9" ht="16.5" hidden="1">
      <c r="E30294" s="4" t="str">
        <v/>
      </c>
      <c r="F30294" s="102" t="str">
        <f ca="1">IFERROR(__xludf.DUMMYFUNCTION("IMPORTRANGE(H30294,""IDENTITAS UNIT!D9"")"),"#N/A")</f>
        <v>#N/A</v>
      </c>
      <c r="H30294" s="4" t="str">
        <v/>
      </c>
      <c r="I30294" s="4" t="str">
        <v/>
      </c>
    </row>
    <row r="30295" spans="5:9" ht="16.5" hidden="1">
      <c r="E30295" s="4" t="str">
        <v/>
      </c>
      <c r="F30295" s="102" t="str">
        <f ca="1">IFERROR(__xludf.DUMMYFUNCTION("IMPORTRANGE(H30295,""IDENTITAS UNIT!D9"")"),"#N/A")</f>
        <v>#N/A</v>
      </c>
      <c r="H30295" s="4" t="str">
        <v/>
      </c>
      <c r="I30295" s="4" t="str">
        <v/>
      </c>
    </row>
    <row r="30296" spans="5:9" ht="16.5" hidden="1">
      <c r="E30296" s="4" t="str">
        <v/>
      </c>
      <c r="F30296" s="102" t="str">
        <f ca="1">IFERROR(__xludf.DUMMYFUNCTION("IMPORTRANGE(H30296,""IDENTITAS UNIT!D9"")"),"#N/A")</f>
        <v>#N/A</v>
      </c>
      <c r="H30296" s="4" t="str">
        <v/>
      </c>
      <c r="I30296" s="4" t="str">
        <v/>
      </c>
    </row>
    <row r="30297" spans="5:9" ht="16.5" hidden="1">
      <c r="E30297" s="4" t="str">
        <v/>
      </c>
      <c r="F30297" s="102" t="str">
        <f ca="1">IFERROR(__xludf.DUMMYFUNCTION("IMPORTRANGE(H30297,""IDENTITAS UNIT!D9"")"),"#N/A")</f>
        <v>#N/A</v>
      </c>
      <c r="H30297" s="4" t="str">
        <v/>
      </c>
      <c r="I30297" s="4" t="str">
        <v/>
      </c>
    </row>
    <row r="30298" spans="5:9" ht="16.5" hidden="1">
      <c r="E30298" s="4" t="str">
        <v/>
      </c>
      <c r="F30298" s="102" t="str">
        <f ca="1">IFERROR(__xludf.DUMMYFUNCTION("IMPORTRANGE(H30298,""IDENTITAS UNIT!D9"")"),"#N/A")</f>
        <v>#N/A</v>
      </c>
      <c r="H30298" s="4" t="str">
        <v/>
      </c>
      <c r="I30298" s="4" t="str">
        <v/>
      </c>
    </row>
    <row r="30299" spans="5:9" ht="16.5" hidden="1">
      <c r="E30299" s="4" t="str">
        <v/>
      </c>
      <c r="F30299" s="102" t="str">
        <f ca="1">IFERROR(__xludf.DUMMYFUNCTION("IMPORTRANGE(H30299,""IDENTITAS UNIT!D9"")"),"#N/A")</f>
        <v>#N/A</v>
      </c>
      <c r="H30299" s="4" t="str">
        <v/>
      </c>
      <c r="I30299" s="4" t="str">
        <v/>
      </c>
    </row>
    <row r="30300" spans="5:9" ht="16.5" hidden="1">
      <c r="E30300" s="4" t="str">
        <v/>
      </c>
      <c r="F30300" s="102" t="str">
        <f ca="1">IFERROR(__xludf.DUMMYFUNCTION("IMPORTRANGE(H30300,""IDENTITAS UNIT!D9"")"),"#N/A")</f>
        <v>#N/A</v>
      </c>
      <c r="H30300" s="4" t="str">
        <v/>
      </c>
      <c r="I30300" s="4" t="str">
        <v/>
      </c>
    </row>
    <row r="30301" spans="5:9" ht="16.5" hidden="1">
      <c r="E30301" s="4" t="str">
        <v/>
      </c>
      <c r="F30301" s="102" t="str">
        <f ca="1">IFERROR(__xludf.DUMMYFUNCTION("IMPORTRANGE(H30301,""IDENTITAS UNIT!D9"")"),"#N/A")</f>
        <v>#N/A</v>
      </c>
      <c r="H30301" s="4" t="str">
        <v/>
      </c>
      <c r="I30301" s="4" t="str">
        <v/>
      </c>
    </row>
    <row r="30302" spans="5:9" ht="16.5" hidden="1">
      <c r="E30302" s="4" t="str">
        <v/>
      </c>
      <c r="F30302" s="102" t="str">
        <f ca="1">IFERROR(__xludf.DUMMYFUNCTION("IMPORTRANGE(H30302,""IDENTITAS UNIT!D9"")"),"#N/A")</f>
        <v>#N/A</v>
      </c>
      <c r="H30302" s="4" t="str">
        <v/>
      </c>
      <c r="I30302" s="4" t="str">
        <v/>
      </c>
    </row>
    <row r="30303" spans="5:9" ht="16.5" hidden="1">
      <c r="E30303" s="4" t="str">
        <v/>
      </c>
      <c r="F30303" s="102" t="str">
        <f ca="1">IFERROR(__xludf.DUMMYFUNCTION("IMPORTRANGE(H30303,""IDENTITAS UNIT!D9"")"),"#N/A")</f>
        <v>#N/A</v>
      </c>
      <c r="H30303" s="4" t="str">
        <v/>
      </c>
      <c r="I30303" s="4" t="str">
        <v/>
      </c>
    </row>
    <row r="30304" spans="5:9" ht="16.5" hidden="1">
      <c r="E30304" s="4" t="str">
        <v/>
      </c>
      <c r="F30304" s="102" t="str">
        <f ca="1">IFERROR(__xludf.DUMMYFUNCTION("IMPORTRANGE(H30304,""IDENTITAS UNIT!D9"")"),"#N/A")</f>
        <v>#N/A</v>
      </c>
      <c r="H30304" s="4" t="str">
        <v/>
      </c>
      <c r="I30304" s="4" t="str">
        <v/>
      </c>
    </row>
    <row r="30305" spans="5:9" ht="16.5" hidden="1">
      <c r="E30305" s="4" t="str">
        <v/>
      </c>
      <c r="F30305" s="102" t="str">
        <f ca="1">IFERROR(__xludf.DUMMYFUNCTION("IMPORTRANGE(H30305,""IDENTITAS UNIT!D9"")"),"#N/A")</f>
        <v>#N/A</v>
      </c>
      <c r="H30305" s="4" t="str">
        <v/>
      </c>
      <c r="I30305" s="4" t="str">
        <v/>
      </c>
    </row>
    <row r="30306" spans="5:9" ht="16.5" hidden="1">
      <c r="E30306" s="4" t="str">
        <v/>
      </c>
      <c r="F30306" s="102" t="str">
        <f ca="1">IFERROR(__xludf.DUMMYFUNCTION("IMPORTRANGE(H30306,""IDENTITAS UNIT!D9"")"),"#N/A")</f>
        <v>#N/A</v>
      </c>
      <c r="H30306" s="4" t="str">
        <v/>
      </c>
      <c r="I30306" s="4" t="str">
        <v/>
      </c>
    </row>
    <row r="30307" spans="5:9" ht="16.5" hidden="1">
      <c r="E30307" s="4" t="str">
        <v/>
      </c>
      <c r="F30307" s="102" t="str">
        <f ca="1">IFERROR(__xludf.DUMMYFUNCTION("IMPORTRANGE(H30307,""IDENTITAS UNIT!D9"")"),"#N/A")</f>
        <v>#N/A</v>
      </c>
      <c r="H30307" s="4" t="str">
        <v/>
      </c>
      <c r="I30307" s="4" t="str">
        <v/>
      </c>
    </row>
    <row r="30308" spans="5:9" ht="16.5" hidden="1">
      <c r="E30308" s="4" t="str">
        <v/>
      </c>
      <c r="F30308" s="102" t="str">
        <f ca="1">IFERROR(__xludf.DUMMYFUNCTION("IMPORTRANGE(H30308,""IDENTITAS UNIT!D9"")"),"#N/A")</f>
        <v>#N/A</v>
      </c>
      <c r="H30308" s="4" t="str">
        <v/>
      </c>
      <c r="I30308" s="4" t="str">
        <v/>
      </c>
    </row>
    <row r="30309" spans="5:9" ht="16.5" hidden="1">
      <c r="E30309" s="4" t="str">
        <v/>
      </c>
      <c r="F30309" s="102" t="str">
        <f ca="1">IFERROR(__xludf.DUMMYFUNCTION("IMPORTRANGE(H30309,""IDENTITAS UNIT!D9"")"),"#N/A")</f>
        <v>#N/A</v>
      </c>
      <c r="H30309" s="4" t="str">
        <v/>
      </c>
      <c r="I30309" s="4" t="str">
        <v/>
      </c>
    </row>
    <row r="30310" spans="5:9" ht="16.5" hidden="1">
      <c r="E30310" s="4" t="str">
        <v/>
      </c>
      <c r="F30310" s="102" t="str">
        <f ca="1">IFERROR(__xludf.DUMMYFUNCTION("IMPORTRANGE(H30310,""IDENTITAS UNIT!D9"")"),"#N/A")</f>
        <v>#N/A</v>
      </c>
      <c r="H30310" s="4" t="str">
        <v/>
      </c>
      <c r="I30310" s="4" t="str">
        <v/>
      </c>
    </row>
    <row r="30311" spans="5:9" ht="16.5" hidden="1">
      <c r="E30311" s="4" t="str">
        <v/>
      </c>
      <c r="F30311" s="102" t="str">
        <f ca="1">IFERROR(__xludf.DUMMYFUNCTION("IMPORTRANGE(H30311,""IDENTITAS UNIT!D9"")"),"#N/A")</f>
        <v>#N/A</v>
      </c>
      <c r="H30311" s="4" t="str">
        <v/>
      </c>
      <c r="I30311" s="4" t="str">
        <v/>
      </c>
    </row>
    <row r="30312" spans="5:9" ht="16.5" hidden="1">
      <c r="E30312" s="4" t="str">
        <v/>
      </c>
      <c r="F30312" s="102" t="str">
        <f ca="1">IFERROR(__xludf.DUMMYFUNCTION("IMPORTRANGE(H30312,""IDENTITAS UNIT!D9"")"),"#N/A")</f>
        <v>#N/A</v>
      </c>
      <c r="H30312" s="4" t="str">
        <v/>
      </c>
      <c r="I30312" s="4" t="str">
        <v/>
      </c>
    </row>
    <row r="30313" spans="5:9" ht="16.5" hidden="1">
      <c r="E30313" s="4" t="str">
        <v/>
      </c>
      <c r="F30313" s="102" t="str">
        <f ca="1">IFERROR(__xludf.DUMMYFUNCTION("IMPORTRANGE(H30313,""IDENTITAS UNIT!D9"")"),"#N/A")</f>
        <v>#N/A</v>
      </c>
      <c r="H30313" s="4" t="str">
        <v/>
      </c>
      <c r="I30313" s="4" t="str">
        <v/>
      </c>
    </row>
    <row r="30314" spans="5:9" ht="16.5" hidden="1">
      <c r="E30314" s="4" t="str">
        <v/>
      </c>
      <c r="F30314" s="102" t="str">
        <f ca="1">IFERROR(__xludf.DUMMYFUNCTION("IMPORTRANGE(H30314,""IDENTITAS UNIT!D9"")"),"#N/A")</f>
        <v>#N/A</v>
      </c>
      <c r="H30314" s="4" t="str">
        <v/>
      </c>
      <c r="I30314" s="4" t="str">
        <v/>
      </c>
    </row>
    <row r="30315" spans="5:9" ht="16.5" hidden="1">
      <c r="E30315" s="4" t="str">
        <v/>
      </c>
      <c r="F30315" s="102" t="str">
        <f ca="1">IFERROR(__xludf.DUMMYFUNCTION("IMPORTRANGE(H30315,""IDENTITAS UNIT!D9"")"),"#N/A")</f>
        <v>#N/A</v>
      </c>
      <c r="H30315" s="4" t="str">
        <v/>
      </c>
      <c r="I30315" s="4" t="str">
        <v/>
      </c>
    </row>
    <row r="30316" spans="5:9" ht="16.5" hidden="1">
      <c r="E30316" s="4" t="str">
        <v/>
      </c>
      <c r="F30316" s="102" t="str">
        <f ca="1">IFERROR(__xludf.DUMMYFUNCTION("IMPORTRANGE(H30316,""IDENTITAS UNIT!D9"")"),"#N/A")</f>
        <v>#N/A</v>
      </c>
      <c r="H30316" s="4" t="str">
        <v/>
      </c>
      <c r="I30316" s="4" t="str">
        <v/>
      </c>
    </row>
    <row r="30317" spans="5:9" ht="16.5" hidden="1">
      <c r="E30317" s="4" t="str">
        <v/>
      </c>
      <c r="F30317" s="102" t="str">
        <f ca="1">IFERROR(__xludf.DUMMYFUNCTION("IMPORTRANGE(H30317,""IDENTITAS UNIT!D9"")"),"#N/A")</f>
        <v>#N/A</v>
      </c>
      <c r="H30317" s="4" t="str">
        <v/>
      </c>
      <c r="I30317" s="4" t="str">
        <v/>
      </c>
    </row>
    <row r="30318" spans="5:9" ht="16.5" hidden="1">
      <c r="E30318" s="4" t="str">
        <v/>
      </c>
      <c r="F30318" s="102" t="str">
        <f ca="1">IFERROR(__xludf.DUMMYFUNCTION("IMPORTRANGE(H30318,""IDENTITAS UNIT!D9"")"),"#N/A")</f>
        <v>#N/A</v>
      </c>
      <c r="H30318" s="4" t="str">
        <v/>
      </c>
      <c r="I30318" s="4" t="str">
        <v/>
      </c>
    </row>
    <row r="30319" spans="5:9" ht="16.5" hidden="1">
      <c r="E30319" s="4" t="str">
        <v/>
      </c>
      <c r="F30319" s="102" t="str">
        <f ca="1">IFERROR(__xludf.DUMMYFUNCTION("IMPORTRANGE(H30319,""IDENTITAS UNIT!D9"")"),"#N/A")</f>
        <v>#N/A</v>
      </c>
      <c r="H30319" s="4" t="str">
        <v/>
      </c>
      <c r="I30319" s="4" t="str">
        <v/>
      </c>
    </row>
    <row r="30320" spans="5:9" ht="16.5" hidden="1">
      <c r="E30320" s="4" t="str">
        <v/>
      </c>
      <c r="F30320" s="102" t="str">
        <f ca="1">IFERROR(__xludf.DUMMYFUNCTION("IMPORTRANGE(H30320,""IDENTITAS UNIT!D9"")"),"#N/A")</f>
        <v>#N/A</v>
      </c>
      <c r="H30320" s="4" t="str">
        <v/>
      </c>
      <c r="I30320" s="4" t="str">
        <v/>
      </c>
    </row>
    <row r="30321" spans="5:9" ht="16.5" hidden="1">
      <c r="E30321" s="4" t="str">
        <v/>
      </c>
      <c r="F30321" s="102" t="str">
        <f ca="1">IFERROR(__xludf.DUMMYFUNCTION("IMPORTRANGE(H30321,""IDENTITAS UNIT!D9"")"),"#N/A")</f>
        <v>#N/A</v>
      </c>
      <c r="H30321" s="4" t="str">
        <v/>
      </c>
      <c r="I30321" s="4" t="str">
        <v/>
      </c>
    </row>
    <row r="30322" spans="5:9" ht="16.5" hidden="1">
      <c r="E30322" s="4" t="str">
        <v/>
      </c>
      <c r="F30322" s="102" t="str">
        <f ca="1">IFERROR(__xludf.DUMMYFUNCTION("IMPORTRANGE(H30322,""IDENTITAS UNIT!D9"")"),"#N/A")</f>
        <v>#N/A</v>
      </c>
      <c r="H30322" s="4" t="str">
        <v/>
      </c>
      <c r="I30322" s="4" t="str">
        <v/>
      </c>
    </row>
    <row r="30323" spans="5:9" ht="16.5" hidden="1">
      <c r="E30323" s="4" t="str">
        <v/>
      </c>
      <c r="F30323" s="102" t="str">
        <f ca="1">IFERROR(__xludf.DUMMYFUNCTION("IMPORTRANGE(H30323,""IDENTITAS UNIT!D9"")"),"#N/A")</f>
        <v>#N/A</v>
      </c>
      <c r="H30323" s="4" t="str">
        <v/>
      </c>
      <c r="I30323" s="4" t="str">
        <v/>
      </c>
    </row>
    <row r="30324" spans="5:9" ht="16.5" hidden="1">
      <c r="E30324" s="4" t="str">
        <v/>
      </c>
      <c r="F30324" s="102" t="str">
        <f ca="1">IFERROR(__xludf.DUMMYFUNCTION("IMPORTRANGE(H30324,""IDENTITAS UNIT!D9"")"),"#N/A")</f>
        <v>#N/A</v>
      </c>
      <c r="H30324" s="4" t="str">
        <v/>
      </c>
      <c r="I30324" s="4" t="str">
        <v/>
      </c>
    </row>
    <row r="30325" spans="5:9" ht="16.5" hidden="1">
      <c r="E30325" s="4" t="str">
        <v/>
      </c>
      <c r="F30325" s="102" t="str">
        <f ca="1">IFERROR(__xludf.DUMMYFUNCTION("IMPORTRANGE(H30325,""IDENTITAS UNIT!D9"")"),"#N/A")</f>
        <v>#N/A</v>
      </c>
      <c r="H30325" s="4" t="str">
        <v/>
      </c>
      <c r="I30325" s="4" t="str">
        <v/>
      </c>
    </row>
    <row r="30326" spans="5:9" ht="16.5" hidden="1">
      <c r="E30326" s="4" t="str">
        <v/>
      </c>
      <c r="F30326" s="102" t="str">
        <f ca="1">IFERROR(__xludf.DUMMYFUNCTION("IMPORTRANGE(H30326,""IDENTITAS UNIT!D9"")"),"#N/A")</f>
        <v>#N/A</v>
      </c>
      <c r="H30326" s="4" t="str">
        <v/>
      </c>
      <c r="I30326" s="4" t="str">
        <v/>
      </c>
    </row>
    <row r="30327" spans="5:9" ht="16.5" hidden="1">
      <c r="E30327" s="4" t="str">
        <v/>
      </c>
      <c r="F30327" s="102" t="str">
        <f ca="1">IFERROR(__xludf.DUMMYFUNCTION("IMPORTRANGE(H30327,""IDENTITAS UNIT!D9"")"),"#N/A")</f>
        <v>#N/A</v>
      </c>
      <c r="H30327" s="4" t="str">
        <v/>
      </c>
      <c r="I30327" s="4" t="str">
        <v/>
      </c>
    </row>
    <row r="30328" spans="5:9" ht="16.5" hidden="1">
      <c r="E30328" s="4" t="str">
        <v/>
      </c>
      <c r="F30328" s="102" t="str">
        <f ca="1">IFERROR(__xludf.DUMMYFUNCTION("IMPORTRANGE(H30328,""IDENTITAS UNIT!D9"")"),"#N/A")</f>
        <v>#N/A</v>
      </c>
      <c r="H30328" s="4" t="str">
        <v/>
      </c>
      <c r="I30328" s="4" t="str">
        <v/>
      </c>
    </row>
    <row r="30329" spans="5:9" ht="16.5" hidden="1">
      <c r="E30329" s="4" t="str">
        <v/>
      </c>
      <c r="F30329" s="102" t="str">
        <f ca="1">IFERROR(__xludf.DUMMYFUNCTION("IMPORTRANGE(H30329,""IDENTITAS UNIT!D9"")"),"#N/A")</f>
        <v>#N/A</v>
      </c>
      <c r="H30329" s="4" t="str">
        <v/>
      </c>
      <c r="I30329" s="4" t="str">
        <v/>
      </c>
    </row>
    <row r="30330" spans="5:9" ht="16.5" hidden="1">
      <c r="E30330" s="4" t="str">
        <v/>
      </c>
      <c r="F30330" s="102" t="str">
        <f ca="1">IFERROR(__xludf.DUMMYFUNCTION("IMPORTRANGE(H30330,""IDENTITAS UNIT!D9"")"),"#N/A")</f>
        <v>#N/A</v>
      </c>
      <c r="H30330" s="4" t="str">
        <v/>
      </c>
      <c r="I30330" s="4" t="str">
        <v/>
      </c>
    </row>
    <row r="30331" spans="5:9" ht="16.5" hidden="1">
      <c r="E30331" s="4" t="str">
        <v/>
      </c>
      <c r="F30331" s="102" t="str">
        <f ca="1">IFERROR(__xludf.DUMMYFUNCTION("IMPORTRANGE(H30331,""IDENTITAS UNIT!D9"")"),"#N/A")</f>
        <v>#N/A</v>
      </c>
      <c r="H30331" s="4" t="str">
        <v/>
      </c>
      <c r="I30331" s="4" t="str">
        <v/>
      </c>
    </row>
    <row r="30332" spans="5:9" ht="16.5" hidden="1">
      <c r="E30332" s="4" t="str">
        <v/>
      </c>
      <c r="F30332" s="102" t="str">
        <f ca="1">IFERROR(__xludf.DUMMYFUNCTION("IMPORTRANGE(H30332,""IDENTITAS UNIT!D9"")"),"#N/A")</f>
        <v>#N/A</v>
      </c>
      <c r="H30332" s="4" t="str">
        <v/>
      </c>
      <c r="I30332" s="4" t="str">
        <v/>
      </c>
    </row>
    <row r="30333" spans="5:9" ht="16.5" hidden="1">
      <c r="E30333" s="4" t="str">
        <v/>
      </c>
      <c r="F30333" s="102" t="str">
        <f ca="1">IFERROR(__xludf.DUMMYFUNCTION("IMPORTRANGE(H30333,""IDENTITAS UNIT!D9"")"),"#N/A")</f>
        <v>#N/A</v>
      </c>
      <c r="H30333" s="4" t="str">
        <v/>
      </c>
      <c r="I30333" s="4" t="str">
        <v/>
      </c>
    </row>
    <row r="30334" spans="5:9" ht="16.5" hidden="1">
      <c r="E30334" s="4" t="str">
        <v/>
      </c>
      <c r="F30334" s="102" t="str">
        <f ca="1">IFERROR(__xludf.DUMMYFUNCTION("IMPORTRANGE(H30334,""IDENTITAS UNIT!D9"")"),"#N/A")</f>
        <v>#N/A</v>
      </c>
      <c r="H30334" s="4" t="str">
        <v/>
      </c>
      <c r="I30334" s="4" t="str">
        <v/>
      </c>
    </row>
    <row r="30335" spans="5:9" ht="16.5" hidden="1">
      <c r="E30335" s="4" t="str">
        <v/>
      </c>
      <c r="F30335" s="102" t="str">
        <f ca="1">IFERROR(__xludf.DUMMYFUNCTION("IMPORTRANGE(H30335,""IDENTITAS UNIT!D9"")"),"#N/A")</f>
        <v>#N/A</v>
      </c>
      <c r="H30335" s="4" t="str">
        <v/>
      </c>
      <c r="I30335" s="4" t="str">
        <v/>
      </c>
    </row>
    <row r="30336" spans="5:9" ht="16.5" hidden="1">
      <c r="E30336" s="4" t="str">
        <v/>
      </c>
      <c r="F30336" s="102" t="str">
        <f ca="1">IFERROR(__xludf.DUMMYFUNCTION("IMPORTRANGE(H30336,""IDENTITAS UNIT!D9"")"),"#N/A")</f>
        <v>#N/A</v>
      </c>
      <c r="H30336" s="4" t="str">
        <v/>
      </c>
      <c r="I30336" s="4" t="str">
        <v/>
      </c>
    </row>
    <row r="30337" spans="5:9" ht="16.5" hidden="1">
      <c r="E30337" s="4" t="str">
        <v/>
      </c>
      <c r="F30337" s="102" t="str">
        <f ca="1">IFERROR(__xludf.DUMMYFUNCTION("IMPORTRANGE(H30337,""IDENTITAS UNIT!D9"")"),"#N/A")</f>
        <v>#N/A</v>
      </c>
      <c r="H30337" s="4" t="str">
        <v/>
      </c>
      <c r="I30337" s="4" t="str">
        <v/>
      </c>
    </row>
    <row r="30338" spans="5:9" ht="16.5" hidden="1">
      <c r="E30338" s="4" t="str">
        <v/>
      </c>
      <c r="F30338" s="102" t="str">
        <f ca="1">IFERROR(__xludf.DUMMYFUNCTION("IMPORTRANGE(H30338,""IDENTITAS UNIT!D9"")"),"#N/A")</f>
        <v>#N/A</v>
      </c>
      <c r="H30338" s="4" t="str">
        <v/>
      </c>
      <c r="I30338" s="4" t="str">
        <v/>
      </c>
    </row>
    <row r="30339" spans="5:9" ht="16.5" hidden="1">
      <c r="E30339" s="4" t="str">
        <v/>
      </c>
      <c r="F30339" s="102" t="str">
        <f ca="1">IFERROR(__xludf.DUMMYFUNCTION("IMPORTRANGE(H30339,""IDENTITAS UNIT!D9"")"),"#N/A")</f>
        <v>#N/A</v>
      </c>
      <c r="H30339" s="4" t="str">
        <v/>
      </c>
      <c r="I30339" s="4" t="str">
        <v/>
      </c>
    </row>
    <row r="30340" spans="5:9" ht="16.5" hidden="1">
      <c r="E30340" s="4" t="str">
        <v/>
      </c>
      <c r="F30340" s="102" t="str">
        <f ca="1">IFERROR(__xludf.DUMMYFUNCTION("IMPORTRANGE(H30340,""IDENTITAS UNIT!D9"")"),"#N/A")</f>
        <v>#N/A</v>
      </c>
      <c r="H30340" s="4" t="str">
        <v/>
      </c>
      <c r="I30340" s="4" t="str">
        <v/>
      </c>
    </row>
    <row r="30341" spans="5:9" ht="16.5" hidden="1">
      <c r="E30341" s="4" t="str">
        <v/>
      </c>
      <c r="F30341" s="102" t="str">
        <f ca="1">IFERROR(__xludf.DUMMYFUNCTION("IMPORTRANGE(H30341,""IDENTITAS UNIT!D9"")"),"#N/A")</f>
        <v>#N/A</v>
      </c>
      <c r="H30341" s="4" t="str">
        <v/>
      </c>
      <c r="I30341" s="4" t="str">
        <v/>
      </c>
    </row>
    <row r="30342" spans="5:9" ht="16.5" hidden="1">
      <c r="E30342" s="4" t="str">
        <v/>
      </c>
      <c r="F30342" s="102" t="str">
        <f ca="1">IFERROR(__xludf.DUMMYFUNCTION("IMPORTRANGE(H30342,""IDENTITAS UNIT!D9"")"),"#N/A")</f>
        <v>#N/A</v>
      </c>
      <c r="H30342" s="4" t="str">
        <v/>
      </c>
      <c r="I30342" s="4" t="str">
        <v/>
      </c>
    </row>
    <row r="30343" spans="5:9" ht="16.5" hidden="1">
      <c r="E30343" s="4" t="str">
        <v/>
      </c>
      <c r="F30343" s="102" t="str">
        <f ca="1">IFERROR(__xludf.DUMMYFUNCTION("IMPORTRANGE(H30343,""IDENTITAS UNIT!D9"")"),"#N/A")</f>
        <v>#N/A</v>
      </c>
      <c r="H30343" s="4" t="str">
        <v/>
      </c>
      <c r="I30343" s="4" t="str">
        <v/>
      </c>
    </row>
    <row r="30344" spans="5:9" ht="16.5" hidden="1">
      <c r="E30344" s="4" t="str">
        <v/>
      </c>
      <c r="F30344" s="102" t="str">
        <f ca="1">IFERROR(__xludf.DUMMYFUNCTION("IMPORTRANGE(H30344,""IDENTITAS UNIT!D9"")"),"#N/A")</f>
        <v>#N/A</v>
      </c>
      <c r="H30344" s="4" t="str">
        <v/>
      </c>
      <c r="I30344" s="4" t="str">
        <v/>
      </c>
    </row>
    <row r="30345" spans="5:9" ht="16.5" hidden="1">
      <c r="E30345" s="4" t="str">
        <v/>
      </c>
      <c r="F30345" s="102" t="str">
        <f ca="1">IFERROR(__xludf.DUMMYFUNCTION("IMPORTRANGE(H30345,""IDENTITAS UNIT!D9"")"),"#N/A")</f>
        <v>#N/A</v>
      </c>
      <c r="H30345" s="4" t="str">
        <v/>
      </c>
      <c r="I30345" s="4" t="str">
        <v/>
      </c>
    </row>
    <row r="30346" spans="5:9" ht="16.5" hidden="1">
      <c r="E30346" s="4" t="str">
        <v/>
      </c>
      <c r="F30346" s="102" t="str">
        <f ca="1">IFERROR(__xludf.DUMMYFUNCTION("IMPORTRANGE(H30346,""IDENTITAS UNIT!D9"")"),"#N/A")</f>
        <v>#N/A</v>
      </c>
      <c r="H30346" s="4" t="str">
        <v/>
      </c>
      <c r="I30346" s="4" t="str">
        <v/>
      </c>
    </row>
    <row r="30347" spans="5:9" ht="16.5" hidden="1">
      <c r="E30347" s="4" t="str">
        <v/>
      </c>
      <c r="F30347" s="102" t="str">
        <f ca="1">IFERROR(__xludf.DUMMYFUNCTION("IMPORTRANGE(H30347,""IDENTITAS UNIT!D9"")"),"#N/A")</f>
        <v>#N/A</v>
      </c>
      <c r="H30347" s="4" t="str">
        <v/>
      </c>
      <c r="I30347" s="4" t="str">
        <v/>
      </c>
    </row>
    <row r="30348" spans="5:9" ht="16.5" hidden="1">
      <c r="E30348" s="4" t="str">
        <v/>
      </c>
      <c r="F30348" s="102" t="str">
        <f ca="1">IFERROR(__xludf.DUMMYFUNCTION("IMPORTRANGE(H30348,""IDENTITAS UNIT!D9"")"),"#N/A")</f>
        <v>#N/A</v>
      </c>
      <c r="H30348" s="4" t="str">
        <v/>
      </c>
      <c r="I30348" s="4" t="str">
        <v/>
      </c>
    </row>
    <row r="30349" spans="5:9" ht="16.5" hidden="1">
      <c r="E30349" s="4" t="str">
        <v/>
      </c>
      <c r="F30349" s="102" t="str">
        <f ca="1">IFERROR(__xludf.DUMMYFUNCTION("IMPORTRANGE(H30349,""IDENTITAS UNIT!D9"")"),"#N/A")</f>
        <v>#N/A</v>
      </c>
      <c r="H30349" s="4" t="str">
        <v/>
      </c>
      <c r="I30349" s="4" t="str">
        <v/>
      </c>
    </row>
    <row r="30350" spans="5:9" ht="16.5" hidden="1">
      <c r="E30350" s="4" t="str">
        <v/>
      </c>
      <c r="F30350" s="102" t="str">
        <f ca="1">IFERROR(__xludf.DUMMYFUNCTION("IMPORTRANGE(H30350,""IDENTITAS UNIT!D9"")"),"#N/A")</f>
        <v>#N/A</v>
      </c>
      <c r="H30350" s="4" t="str">
        <v/>
      </c>
      <c r="I30350" s="4" t="str">
        <v/>
      </c>
    </row>
    <row r="30351" spans="5:9" ht="16.5" hidden="1">
      <c r="E30351" s="4" t="str">
        <v/>
      </c>
      <c r="F30351" s="102" t="str">
        <f ca="1">IFERROR(__xludf.DUMMYFUNCTION("IMPORTRANGE(H30351,""IDENTITAS UNIT!D9"")"),"#N/A")</f>
        <v>#N/A</v>
      </c>
      <c r="H30351" s="4" t="str">
        <v/>
      </c>
      <c r="I30351" s="4" t="str">
        <v/>
      </c>
    </row>
    <row r="30352" spans="5:9" ht="16.5" hidden="1">
      <c r="E30352" s="4" t="str">
        <v/>
      </c>
      <c r="F30352" s="102" t="str">
        <f ca="1">IFERROR(__xludf.DUMMYFUNCTION("IMPORTRANGE(H30352,""IDENTITAS UNIT!D9"")"),"#N/A")</f>
        <v>#N/A</v>
      </c>
      <c r="H30352" s="4" t="str">
        <v/>
      </c>
      <c r="I30352" s="4" t="str">
        <v/>
      </c>
    </row>
    <row r="30353" spans="5:9" ht="16.5" hidden="1">
      <c r="E30353" s="4" t="str">
        <v/>
      </c>
      <c r="F30353" s="102" t="str">
        <f ca="1">IFERROR(__xludf.DUMMYFUNCTION("IMPORTRANGE(H30353,""IDENTITAS UNIT!D9"")"),"#N/A")</f>
        <v>#N/A</v>
      </c>
      <c r="H30353" s="4" t="str">
        <v/>
      </c>
      <c r="I30353" s="4" t="str">
        <v/>
      </c>
    </row>
    <row r="30354" spans="5:9" ht="16.5" hidden="1">
      <c r="E30354" s="4" t="str">
        <v/>
      </c>
      <c r="F30354" s="102" t="str">
        <f ca="1">IFERROR(__xludf.DUMMYFUNCTION("IMPORTRANGE(H30354,""IDENTITAS UNIT!D9"")"),"#N/A")</f>
        <v>#N/A</v>
      </c>
      <c r="H30354" s="4" t="str">
        <v/>
      </c>
      <c r="I30354" s="4" t="str">
        <v/>
      </c>
    </row>
    <row r="30355" spans="5:9" ht="16.5" hidden="1">
      <c r="E30355" s="4" t="str">
        <v/>
      </c>
      <c r="F30355" s="102" t="str">
        <f ca="1">IFERROR(__xludf.DUMMYFUNCTION("IMPORTRANGE(H30355,""IDENTITAS UNIT!D9"")"),"#N/A")</f>
        <v>#N/A</v>
      </c>
      <c r="H30355" s="4" t="str">
        <v/>
      </c>
      <c r="I30355" s="4" t="str">
        <v/>
      </c>
    </row>
    <row r="30356" spans="5:9" ht="16.5" hidden="1">
      <c r="E30356" s="4" t="str">
        <v/>
      </c>
      <c r="F30356" s="102" t="str">
        <f ca="1">IFERROR(__xludf.DUMMYFUNCTION("IMPORTRANGE(H30356,""IDENTITAS UNIT!D9"")"),"#N/A")</f>
        <v>#N/A</v>
      </c>
      <c r="H30356" s="4" t="str">
        <v/>
      </c>
      <c r="I30356" s="4" t="str">
        <v/>
      </c>
    </row>
    <row r="30357" spans="5:9" ht="16.5" hidden="1">
      <c r="E30357" s="4" t="str">
        <v/>
      </c>
      <c r="F30357" s="102" t="str">
        <f ca="1">IFERROR(__xludf.DUMMYFUNCTION("IMPORTRANGE(H30357,""IDENTITAS UNIT!D9"")"),"#N/A")</f>
        <v>#N/A</v>
      </c>
      <c r="H30357" s="4" t="str">
        <v/>
      </c>
      <c r="I30357" s="4" t="str">
        <v/>
      </c>
    </row>
    <row r="30358" spans="5:9" ht="16.5" hidden="1">
      <c r="E30358" s="4" t="str">
        <v/>
      </c>
      <c r="F30358" s="102" t="str">
        <f ca="1">IFERROR(__xludf.DUMMYFUNCTION("IMPORTRANGE(H30358,""IDENTITAS UNIT!D9"")"),"#N/A")</f>
        <v>#N/A</v>
      </c>
      <c r="H30358" s="4" t="str">
        <v/>
      </c>
      <c r="I30358" s="4" t="str">
        <v/>
      </c>
    </row>
    <row r="30359" spans="5:9" ht="16.5" hidden="1">
      <c r="E30359" s="4" t="str">
        <v/>
      </c>
      <c r="F30359" s="102" t="str">
        <f ca="1">IFERROR(__xludf.DUMMYFUNCTION("IMPORTRANGE(H30359,""IDENTITAS UNIT!D9"")"),"#N/A")</f>
        <v>#N/A</v>
      </c>
      <c r="H30359" s="4" t="str">
        <v/>
      </c>
      <c r="I30359" s="4" t="str">
        <v/>
      </c>
    </row>
    <row r="30360" spans="5:9" ht="16.5" hidden="1">
      <c r="E30360" s="4" t="str">
        <v/>
      </c>
      <c r="F30360" s="102" t="str">
        <f ca="1">IFERROR(__xludf.DUMMYFUNCTION("IMPORTRANGE(H30360,""IDENTITAS UNIT!D9"")"),"#N/A")</f>
        <v>#N/A</v>
      </c>
      <c r="H30360" s="4" t="str">
        <v/>
      </c>
      <c r="I30360" s="4" t="str">
        <v/>
      </c>
    </row>
    <row r="30361" spans="5:9" ht="16.5" hidden="1">
      <c r="E30361" s="4" t="str">
        <v/>
      </c>
      <c r="F30361" s="102" t="str">
        <f ca="1">IFERROR(__xludf.DUMMYFUNCTION("IMPORTRANGE(H30361,""IDENTITAS UNIT!D9"")"),"#N/A")</f>
        <v>#N/A</v>
      </c>
      <c r="H30361" s="4" t="str">
        <v/>
      </c>
      <c r="I30361" s="4" t="str">
        <v/>
      </c>
    </row>
    <row r="30362" spans="5:9" ht="16.5" hidden="1">
      <c r="E30362" s="4" t="str">
        <v/>
      </c>
      <c r="F30362" s="102" t="str">
        <f ca="1">IFERROR(__xludf.DUMMYFUNCTION("IMPORTRANGE(H30362,""IDENTITAS UNIT!D9"")"),"#N/A")</f>
        <v>#N/A</v>
      </c>
      <c r="H30362" s="4" t="str">
        <v/>
      </c>
      <c r="I30362" s="4" t="str">
        <v/>
      </c>
    </row>
    <row r="30363" spans="5:9" ht="16.5" hidden="1">
      <c r="E30363" s="4" t="str">
        <v/>
      </c>
      <c r="F30363" s="102" t="str">
        <f ca="1">IFERROR(__xludf.DUMMYFUNCTION("IMPORTRANGE(H30363,""IDENTITAS UNIT!D9"")"),"#N/A")</f>
        <v>#N/A</v>
      </c>
      <c r="H30363" s="4" t="str">
        <v/>
      </c>
      <c r="I30363" s="4" t="str">
        <v/>
      </c>
    </row>
    <row r="30364" spans="5:9" ht="16.5" hidden="1">
      <c r="E30364" s="4" t="str">
        <v/>
      </c>
      <c r="F30364" s="102" t="str">
        <f ca="1">IFERROR(__xludf.DUMMYFUNCTION("IMPORTRANGE(H30364,""IDENTITAS UNIT!D9"")"),"#N/A")</f>
        <v>#N/A</v>
      </c>
      <c r="H30364" s="4" t="str">
        <v/>
      </c>
      <c r="I30364" s="4" t="str">
        <v/>
      </c>
    </row>
    <row r="30365" spans="5:9" ht="16.5" hidden="1">
      <c r="E30365" s="4" t="str">
        <v/>
      </c>
      <c r="F30365" s="102" t="str">
        <f ca="1">IFERROR(__xludf.DUMMYFUNCTION("IMPORTRANGE(H30365,""IDENTITAS UNIT!D9"")"),"#N/A")</f>
        <v>#N/A</v>
      </c>
      <c r="H30365" s="4" t="str">
        <v/>
      </c>
      <c r="I30365" s="4" t="str">
        <v/>
      </c>
    </row>
    <row r="30366" spans="5:9" ht="16.5" hidden="1">
      <c r="E30366" s="4" t="str">
        <v/>
      </c>
      <c r="F30366" s="102" t="str">
        <f ca="1">IFERROR(__xludf.DUMMYFUNCTION("IMPORTRANGE(H30366,""IDENTITAS UNIT!D9"")"),"#N/A")</f>
        <v>#N/A</v>
      </c>
      <c r="H30366" s="4" t="str">
        <v/>
      </c>
      <c r="I30366" s="4" t="str">
        <v/>
      </c>
    </row>
    <row r="30367" spans="5:9" ht="16.5" hidden="1">
      <c r="E30367" s="4" t="str">
        <v/>
      </c>
      <c r="F30367" s="102" t="str">
        <f ca="1">IFERROR(__xludf.DUMMYFUNCTION("IMPORTRANGE(H30367,""IDENTITAS UNIT!D9"")"),"#N/A")</f>
        <v>#N/A</v>
      </c>
      <c r="H30367" s="4" t="str">
        <v/>
      </c>
      <c r="I30367" s="4" t="str">
        <v/>
      </c>
    </row>
    <row r="30368" spans="5:9" ht="16.5" hidden="1">
      <c r="E30368" s="4" t="str">
        <v/>
      </c>
      <c r="F30368" s="102" t="str">
        <f ca="1">IFERROR(__xludf.DUMMYFUNCTION("IMPORTRANGE(H30368,""IDENTITAS UNIT!D9"")"),"#N/A")</f>
        <v>#N/A</v>
      </c>
      <c r="H30368" s="4" t="str">
        <v/>
      </c>
      <c r="I30368" s="4" t="str">
        <v/>
      </c>
    </row>
    <row r="30369" spans="5:9" ht="16.5" hidden="1">
      <c r="E30369" s="4" t="str">
        <v/>
      </c>
      <c r="F30369" s="102" t="str">
        <f ca="1">IFERROR(__xludf.DUMMYFUNCTION("IMPORTRANGE(H30369,""IDENTITAS UNIT!D9"")"),"#N/A")</f>
        <v>#N/A</v>
      </c>
      <c r="H30369" s="4" t="str">
        <v/>
      </c>
      <c r="I30369" s="4" t="str">
        <v/>
      </c>
    </row>
    <row r="30370" spans="5:9" ht="16.5" hidden="1">
      <c r="E30370" s="4" t="str">
        <v/>
      </c>
      <c r="F30370" s="102" t="str">
        <f ca="1">IFERROR(__xludf.DUMMYFUNCTION("IMPORTRANGE(H30370,""IDENTITAS UNIT!D9"")"),"#N/A")</f>
        <v>#N/A</v>
      </c>
      <c r="H30370" s="4" t="str">
        <v/>
      </c>
      <c r="I30370" s="4" t="str">
        <v/>
      </c>
    </row>
    <row r="30371" spans="5:9" ht="16.5" hidden="1">
      <c r="E30371" s="4" t="str">
        <v/>
      </c>
      <c r="F30371" s="102" t="str">
        <f ca="1">IFERROR(__xludf.DUMMYFUNCTION("IMPORTRANGE(H30371,""IDENTITAS UNIT!D9"")"),"#N/A")</f>
        <v>#N/A</v>
      </c>
      <c r="H30371" s="4" t="str">
        <v/>
      </c>
      <c r="I30371" s="4" t="str">
        <v/>
      </c>
    </row>
    <row r="30372" spans="5:9" ht="16.5" hidden="1">
      <c r="E30372" s="4" t="str">
        <v/>
      </c>
      <c r="F30372" s="102" t="str">
        <f ca="1">IFERROR(__xludf.DUMMYFUNCTION("IMPORTRANGE(H30372,""IDENTITAS UNIT!D9"")"),"#N/A")</f>
        <v>#N/A</v>
      </c>
      <c r="H30372" s="4" t="str">
        <v/>
      </c>
      <c r="I30372" s="4" t="str">
        <v/>
      </c>
    </row>
    <row r="30373" spans="5:9" ht="16.5" hidden="1">
      <c r="E30373" s="4" t="str">
        <v/>
      </c>
      <c r="F30373" s="102" t="str">
        <f ca="1">IFERROR(__xludf.DUMMYFUNCTION("IMPORTRANGE(H30373,""IDENTITAS UNIT!D9"")"),"#N/A")</f>
        <v>#N/A</v>
      </c>
      <c r="H30373" s="4" t="str">
        <v/>
      </c>
      <c r="I30373" s="4" t="str">
        <v/>
      </c>
    </row>
    <row r="30374" spans="5:9" ht="16.5" hidden="1">
      <c r="E30374" s="4" t="str">
        <v/>
      </c>
      <c r="F30374" s="102" t="str">
        <f ca="1">IFERROR(__xludf.DUMMYFUNCTION("IMPORTRANGE(H30374,""IDENTITAS UNIT!D9"")"),"#N/A")</f>
        <v>#N/A</v>
      </c>
      <c r="H30374" s="4" t="str">
        <v/>
      </c>
      <c r="I30374" s="4" t="str">
        <v/>
      </c>
    </row>
    <row r="30375" spans="5:9" ht="16.5" hidden="1">
      <c r="E30375" s="4" t="str">
        <v/>
      </c>
      <c r="F30375" s="102" t="str">
        <f ca="1">IFERROR(__xludf.DUMMYFUNCTION("IMPORTRANGE(H30375,""IDENTITAS UNIT!D9"")"),"#N/A")</f>
        <v>#N/A</v>
      </c>
      <c r="H30375" s="4" t="str">
        <v/>
      </c>
      <c r="I30375" s="4" t="str">
        <v/>
      </c>
    </row>
    <row r="30376" spans="5:9" ht="16.5" hidden="1">
      <c r="E30376" s="4" t="str">
        <v/>
      </c>
      <c r="F30376" s="102" t="str">
        <f ca="1">IFERROR(__xludf.DUMMYFUNCTION("IMPORTRANGE(H30376,""IDENTITAS UNIT!D9"")"),"#N/A")</f>
        <v>#N/A</v>
      </c>
      <c r="H30376" s="4" t="str">
        <v/>
      </c>
      <c r="I30376" s="4" t="str">
        <v/>
      </c>
    </row>
    <row r="30377" spans="5:9" ht="16.5" hidden="1">
      <c r="E30377" s="4" t="str">
        <v/>
      </c>
      <c r="F30377" s="102" t="str">
        <f ca="1">IFERROR(__xludf.DUMMYFUNCTION("IMPORTRANGE(H30377,""IDENTITAS UNIT!D9"")"),"#N/A")</f>
        <v>#N/A</v>
      </c>
      <c r="H30377" s="4" t="str">
        <v/>
      </c>
      <c r="I30377" s="4" t="str">
        <v/>
      </c>
    </row>
    <row r="30378" spans="5:9" ht="16.5" hidden="1">
      <c r="E30378" s="4" t="str">
        <v/>
      </c>
      <c r="F30378" s="102" t="str">
        <f ca="1">IFERROR(__xludf.DUMMYFUNCTION("IMPORTRANGE(H30378,""IDENTITAS UNIT!D9"")"),"#N/A")</f>
        <v>#N/A</v>
      </c>
      <c r="H30378" s="4" t="str">
        <v/>
      </c>
      <c r="I30378" s="4" t="str">
        <v/>
      </c>
    </row>
    <row r="30379" spans="5:9" ht="16.5" hidden="1">
      <c r="E30379" s="4" t="str">
        <v/>
      </c>
      <c r="F30379" s="102" t="str">
        <f ca="1">IFERROR(__xludf.DUMMYFUNCTION("IMPORTRANGE(H30379,""IDENTITAS UNIT!D9"")"),"#N/A")</f>
        <v>#N/A</v>
      </c>
      <c r="H30379" s="4" t="str">
        <v/>
      </c>
      <c r="I30379" s="4" t="str">
        <v/>
      </c>
    </row>
    <row r="30380" spans="5:9" ht="16.5" hidden="1">
      <c r="E30380" s="4" t="str">
        <v/>
      </c>
      <c r="F30380" s="102" t="str">
        <f ca="1">IFERROR(__xludf.DUMMYFUNCTION("IMPORTRANGE(H30380,""IDENTITAS UNIT!D9"")"),"#N/A")</f>
        <v>#N/A</v>
      </c>
      <c r="H30380" s="4" t="str">
        <v/>
      </c>
      <c r="I30380" s="4" t="str">
        <v/>
      </c>
    </row>
    <row r="30381" spans="5:9" ht="16.5" hidden="1">
      <c r="E30381" s="4" t="str">
        <v/>
      </c>
      <c r="F30381" s="102" t="str">
        <f ca="1">IFERROR(__xludf.DUMMYFUNCTION("IMPORTRANGE(H30381,""IDENTITAS UNIT!D9"")"),"#N/A")</f>
        <v>#N/A</v>
      </c>
      <c r="H30381" s="4" t="str">
        <v/>
      </c>
      <c r="I30381" s="4" t="str">
        <v/>
      </c>
    </row>
    <row r="30382" spans="5:9" ht="16.5" hidden="1">
      <c r="E30382" s="4" t="str">
        <v/>
      </c>
      <c r="F30382" s="102" t="str">
        <f ca="1">IFERROR(__xludf.DUMMYFUNCTION("IMPORTRANGE(H30382,""IDENTITAS UNIT!D9"")"),"#N/A")</f>
        <v>#N/A</v>
      </c>
      <c r="H30382" s="4" t="str">
        <v/>
      </c>
      <c r="I30382" s="4" t="str">
        <v/>
      </c>
    </row>
    <row r="30383" spans="5:9" ht="16.5" hidden="1">
      <c r="E30383" s="4" t="str">
        <v/>
      </c>
      <c r="F30383" s="102" t="str">
        <f ca="1">IFERROR(__xludf.DUMMYFUNCTION("IMPORTRANGE(H30383,""IDENTITAS UNIT!D9"")"),"#N/A")</f>
        <v>#N/A</v>
      </c>
      <c r="H30383" s="4" t="str">
        <v/>
      </c>
      <c r="I30383" s="4" t="str">
        <v/>
      </c>
    </row>
    <row r="30384" spans="5:9" ht="16.5" hidden="1">
      <c r="E30384" s="4" t="str">
        <v/>
      </c>
      <c r="F30384" s="102" t="str">
        <f ca="1">IFERROR(__xludf.DUMMYFUNCTION("IMPORTRANGE(H30384,""IDENTITAS UNIT!D9"")"),"#N/A")</f>
        <v>#N/A</v>
      </c>
      <c r="H30384" s="4" t="str">
        <v/>
      </c>
      <c r="I30384" s="4" t="str">
        <v/>
      </c>
    </row>
    <row r="30385" spans="5:9" ht="16.5" hidden="1">
      <c r="E30385" s="4" t="str">
        <v/>
      </c>
      <c r="F30385" s="102" t="str">
        <f ca="1">IFERROR(__xludf.DUMMYFUNCTION("IMPORTRANGE(H30385,""IDENTITAS UNIT!D9"")"),"#N/A")</f>
        <v>#N/A</v>
      </c>
      <c r="H30385" s="4" t="str">
        <v/>
      </c>
      <c r="I30385" s="4" t="str">
        <v/>
      </c>
    </row>
    <row r="30386" spans="5:9" ht="16.5" hidden="1">
      <c r="E30386" s="4" t="str">
        <v/>
      </c>
      <c r="F30386" s="102" t="str">
        <f ca="1">IFERROR(__xludf.DUMMYFUNCTION("IMPORTRANGE(H30386,""IDENTITAS UNIT!D9"")"),"#N/A")</f>
        <v>#N/A</v>
      </c>
      <c r="H30386" s="4" t="str">
        <v/>
      </c>
      <c r="I30386" s="4" t="str">
        <v/>
      </c>
    </row>
    <row r="30387" spans="5:9" ht="16.5" hidden="1">
      <c r="E30387" s="4" t="str">
        <v/>
      </c>
      <c r="F30387" s="102" t="str">
        <f ca="1">IFERROR(__xludf.DUMMYFUNCTION("IMPORTRANGE(H30387,""IDENTITAS UNIT!D9"")"),"#N/A")</f>
        <v>#N/A</v>
      </c>
      <c r="H30387" s="4" t="str">
        <v/>
      </c>
      <c r="I30387" s="4" t="str">
        <v/>
      </c>
    </row>
    <row r="30388" spans="5:9" ht="16.5" hidden="1">
      <c r="E30388" s="4" t="str">
        <v/>
      </c>
      <c r="F30388" s="102" t="str">
        <f ca="1">IFERROR(__xludf.DUMMYFUNCTION("IMPORTRANGE(H30388,""IDENTITAS UNIT!D9"")"),"#N/A")</f>
        <v>#N/A</v>
      </c>
      <c r="H30388" s="4" t="str">
        <v/>
      </c>
      <c r="I30388" s="4" t="str">
        <v/>
      </c>
    </row>
    <row r="30389" spans="5:9" ht="16.5" hidden="1">
      <c r="E30389" s="4" t="str">
        <v/>
      </c>
      <c r="F30389" s="102" t="str">
        <f ca="1">IFERROR(__xludf.DUMMYFUNCTION("IMPORTRANGE(H30389,""IDENTITAS UNIT!D9"")"),"#N/A")</f>
        <v>#N/A</v>
      </c>
      <c r="H30389" s="4" t="str">
        <v/>
      </c>
      <c r="I30389" s="4" t="str">
        <v/>
      </c>
    </row>
    <row r="30390" spans="5:9" ht="16.5" hidden="1">
      <c r="E30390" s="4" t="str">
        <v/>
      </c>
      <c r="F30390" s="102" t="str">
        <f ca="1">IFERROR(__xludf.DUMMYFUNCTION("IMPORTRANGE(H30390,""IDENTITAS UNIT!D9"")"),"#N/A")</f>
        <v>#N/A</v>
      </c>
      <c r="H30390" s="4" t="str">
        <v/>
      </c>
      <c r="I30390" s="4" t="str">
        <v/>
      </c>
    </row>
    <row r="30391" spans="5:9" ht="16.5" hidden="1">
      <c r="E30391" s="4" t="str">
        <v/>
      </c>
      <c r="F30391" s="102" t="str">
        <f ca="1">IFERROR(__xludf.DUMMYFUNCTION("IMPORTRANGE(H30391,""IDENTITAS UNIT!D9"")"),"#N/A")</f>
        <v>#N/A</v>
      </c>
      <c r="H30391" s="4" t="str">
        <v/>
      </c>
      <c r="I30391" s="4" t="str">
        <v/>
      </c>
    </row>
    <row r="30392" spans="5:9" ht="16.5" hidden="1">
      <c r="E30392" s="4" t="str">
        <v/>
      </c>
      <c r="F30392" s="102" t="str">
        <f ca="1">IFERROR(__xludf.DUMMYFUNCTION("IMPORTRANGE(H30392,""IDENTITAS UNIT!D9"")"),"#N/A")</f>
        <v>#N/A</v>
      </c>
      <c r="H30392" s="4" t="str">
        <v/>
      </c>
      <c r="I30392" s="4" t="str">
        <v/>
      </c>
    </row>
    <row r="30393" spans="5:9" ht="16.5" hidden="1">
      <c r="E30393" s="4" t="str">
        <v/>
      </c>
      <c r="F30393" s="102" t="str">
        <f ca="1">IFERROR(__xludf.DUMMYFUNCTION("IMPORTRANGE(H30393,""IDENTITAS UNIT!D9"")"),"#N/A")</f>
        <v>#N/A</v>
      </c>
      <c r="H30393" s="4" t="str">
        <v/>
      </c>
      <c r="I30393" s="4" t="str">
        <v/>
      </c>
    </row>
    <row r="30394" spans="5:9" ht="16.5" hidden="1">
      <c r="E30394" s="4" t="str">
        <v/>
      </c>
      <c r="F30394" s="102" t="str">
        <f ca="1">IFERROR(__xludf.DUMMYFUNCTION("IMPORTRANGE(H30394,""IDENTITAS UNIT!D9"")"),"#N/A")</f>
        <v>#N/A</v>
      </c>
      <c r="H30394" s="4" t="str">
        <v/>
      </c>
      <c r="I30394" s="4" t="str">
        <v/>
      </c>
    </row>
    <row r="30395" spans="5:9" ht="16.5" hidden="1">
      <c r="E30395" s="4" t="str">
        <v/>
      </c>
      <c r="F30395" s="102" t="str">
        <f ca="1">IFERROR(__xludf.DUMMYFUNCTION("IMPORTRANGE(H30395,""IDENTITAS UNIT!D9"")"),"#N/A")</f>
        <v>#N/A</v>
      </c>
      <c r="H30395" s="4" t="str">
        <v/>
      </c>
      <c r="I30395" s="4" t="str">
        <v/>
      </c>
    </row>
    <row r="30396" spans="5:9" ht="16.5" hidden="1">
      <c r="E30396" s="4" t="str">
        <v/>
      </c>
      <c r="F30396" s="102" t="str">
        <f ca="1">IFERROR(__xludf.DUMMYFUNCTION("IMPORTRANGE(H30396,""IDENTITAS UNIT!D9"")"),"#N/A")</f>
        <v>#N/A</v>
      </c>
      <c r="H30396" s="4" t="str">
        <v/>
      </c>
      <c r="I30396" s="4" t="str">
        <v/>
      </c>
    </row>
    <row r="30397" spans="5:9" ht="16.5" hidden="1">
      <c r="E30397" s="4" t="str">
        <v/>
      </c>
      <c r="F30397" s="102" t="str">
        <f ca="1">IFERROR(__xludf.DUMMYFUNCTION("IMPORTRANGE(H30397,""IDENTITAS UNIT!D9"")"),"#N/A")</f>
        <v>#N/A</v>
      </c>
      <c r="H30397" s="4" t="str">
        <v/>
      </c>
      <c r="I30397" s="4" t="str">
        <v/>
      </c>
    </row>
    <row r="30398" spans="5:9" ht="16.5" hidden="1">
      <c r="E30398" s="4" t="str">
        <v/>
      </c>
      <c r="F30398" s="102" t="str">
        <f ca="1">IFERROR(__xludf.DUMMYFUNCTION("IMPORTRANGE(H30398,""IDENTITAS UNIT!D9"")"),"#N/A")</f>
        <v>#N/A</v>
      </c>
      <c r="H30398" s="4" t="str">
        <v/>
      </c>
      <c r="I30398" s="4" t="str">
        <v/>
      </c>
    </row>
    <row r="30399" spans="5:9" ht="16.5" hidden="1">
      <c r="E30399" s="4" t="str">
        <v/>
      </c>
      <c r="F30399" s="102" t="str">
        <f ca="1">IFERROR(__xludf.DUMMYFUNCTION("IMPORTRANGE(H30399,""IDENTITAS UNIT!D9"")"),"#N/A")</f>
        <v>#N/A</v>
      </c>
      <c r="H30399" s="4" t="str">
        <v/>
      </c>
      <c r="I30399" s="4" t="str">
        <v/>
      </c>
    </row>
    <row r="30400" spans="5:9" ht="16.5" hidden="1">
      <c r="E30400" s="4" t="str">
        <v/>
      </c>
      <c r="F30400" s="102" t="str">
        <f ca="1">IFERROR(__xludf.DUMMYFUNCTION("IMPORTRANGE(H30400,""IDENTITAS UNIT!D9"")"),"#N/A")</f>
        <v>#N/A</v>
      </c>
      <c r="H30400" s="4" t="str">
        <v/>
      </c>
      <c r="I30400" s="4" t="str">
        <v/>
      </c>
    </row>
    <row r="30401" spans="5:9" ht="16.5" hidden="1">
      <c r="E30401" s="4" t="str">
        <v/>
      </c>
      <c r="F30401" s="102" t="str">
        <f ca="1">IFERROR(__xludf.DUMMYFUNCTION("IMPORTRANGE(H30401,""IDENTITAS UNIT!D9"")"),"#N/A")</f>
        <v>#N/A</v>
      </c>
      <c r="H30401" s="4" t="str">
        <v/>
      </c>
      <c r="I30401" s="4" t="str">
        <v/>
      </c>
    </row>
    <row r="30402" spans="5:9" ht="16.5" hidden="1">
      <c r="E30402" s="4" t="str">
        <v/>
      </c>
      <c r="F30402" s="102" t="str">
        <f ca="1">IFERROR(__xludf.DUMMYFUNCTION("IMPORTRANGE(H30402,""IDENTITAS UNIT!D9"")"),"#N/A")</f>
        <v>#N/A</v>
      </c>
      <c r="H30402" s="4" t="str">
        <v/>
      </c>
      <c r="I30402" s="4" t="str">
        <v/>
      </c>
    </row>
    <row r="30403" spans="5:9" ht="16.5" hidden="1">
      <c r="E30403" s="4" t="str">
        <v/>
      </c>
      <c r="F30403" s="102" t="str">
        <f ca="1">IFERROR(__xludf.DUMMYFUNCTION("IMPORTRANGE(H30403,""IDENTITAS UNIT!D9"")"),"#N/A")</f>
        <v>#N/A</v>
      </c>
      <c r="H30403" s="4" t="str">
        <v/>
      </c>
      <c r="I30403" s="4" t="str">
        <v/>
      </c>
    </row>
    <row r="30404" spans="5:9" ht="16.5" hidden="1">
      <c r="E30404" s="4" t="str">
        <v/>
      </c>
      <c r="F30404" s="102" t="str">
        <f ca="1">IFERROR(__xludf.DUMMYFUNCTION("IMPORTRANGE(H30404,""IDENTITAS UNIT!D9"")"),"#N/A")</f>
        <v>#N/A</v>
      </c>
      <c r="H30404" s="4" t="str">
        <v/>
      </c>
      <c r="I30404" s="4" t="str">
        <v/>
      </c>
    </row>
    <row r="30405" spans="5:9" ht="16.5" hidden="1">
      <c r="E30405" s="4" t="str">
        <v/>
      </c>
      <c r="F30405" s="102" t="str">
        <f ca="1">IFERROR(__xludf.DUMMYFUNCTION("IMPORTRANGE(H30405,""IDENTITAS UNIT!D9"")"),"#N/A")</f>
        <v>#N/A</v>
      </c>
      <c r="H30405" s="4" t="str">
        <v/>
      </c>
      <c r="I30405" s="4" t="str">
        <v/>
      </c>
    </row>
    <row r="30406" spans="5:9" ht="16.5" hidden="1">
      <c r="E30406" s="4" t="str">
        <v/>
      </c>
      <c r="F30406" s="102" t="str">
        <f ca="1">IFERROR(__xludf.DUMMYFUNCTION("IMPORTRANGE(H30406,""IDENTITAS UNIT!D9"")"),"#N/A")</f>
        <v>#N/A</v>
      </c>
      <c r="H30406" s="4" t="str">
        <v/>
      </c>
      <c r="I30406" s="4" t="str">
        <v/>
      </c>
    </row>
    <row r="30407" spans="5:9" ht="16.5" hidden="1">
      <c r="E30407" s="4" t="str">
        <v/>
      </c>
      <c r="F30407" s="102" t="str">
        <f ca="1">IFERROR(__xludf.DUMMYFUNCTION("IMPORTRANGE(H30407,""IDENTITAS UNIT!D9"")"),"#N/A")</f>
        <v>#N/A</v>
      </c>
      <c r="H30407" s="4" t="str">
        <v/>
      </c>
      <c r="I30407" s="4" t="str">
        <v/>
      </c>
    </row>
    <row r="30408" spans="5:9" ht="16.5" hidden="1">
      <c r="E30408" s="4" t="str">
        <v/>
      </c>
      <c r="F30408" s="102" t="str">
        <f ca="1">IFERROR(__xludf.DUMMYFUNCTION("IMPORTRANGE(H30408,""IDENTITAS UNIT!D9"")"),"#N/A")</f>
        <v>#N/A</v>
      </c>
      <c r="H30408" s="4" t="str">
        <v/>
      </c>
      <c r="I30408" s="4" t="str">
        <v/>
      </c>
    </row>
    <row r="30409" spans="5:9" ht="16.5" hidden="1">
      <c r="E30409" s="4" t="str">
        <v/>
      </c>
      <c r="F30409" s="102" t="str">
        <f ca="1">IFERROR(__xludf.DUMMYFUNCTION("IMPORTRANGE(H30409,""IDENTITAS UNIT!D9"")"),"#N/A")</f>
        <v>#N/A</v>
      </c>
      <c r="H30409" s="4" t="str">
        <v/>
      </c>
      <c r="I30409" s="4" t="str">
        <v/>
      </c>
    </row>
    <row r="30410" spans="5:9" ht="16.5" hidden="1">
      <c r="E30410" s="4" t="str">
        <v/>
      </c>
      <c r="F30410" s="102" t="str">
        <f ca="1">IFERROR(__xludf.DUMMYFUNCTION("IMPORTRANGE(H30410,""IDENTITAS UNIT!D9"")"),"#N/A")</f>
        <v>#N/A</v>
      </c>
      <c r="H30410" s="4" t="str">
        <v/>
      </c>
      <c r="I30410" s="4" t="str">
        <v/>
      </c>
    </row>
    <row r="30411" spans="5:9" ht="16.5" hidden="1">
      <c r="E30411" s="4" t="str">
        <v/>
      </c>
      <c r="F30411" s="102" t="str">
        <f ca="1">IFERROR(__xludf.DUMMYFUNCTION("IMPORTRANGE(H30411,""IDENTITAS UNIT!D9"")"),"#N/A")</f>
        <v>#N/A</v>
      </c>
      <c r="H30411" s="4" t="str">
        <v/>
      </c>
      <c r="I30411" s="4" t="str">
        <v/>
      </c>
    </row>
    <row r="30412" spans="5:9" ht="16.5" hidden="1">
      <c r="E30412" s="4" t="str">
        <v/>
      </c>
      <c r="F30412" s="102" t="str">
        <f ca="1">IFERROR(__xludf.DUMMYFUNCTION("IMPORTRANGE(H30412,""IDENTITAS UNIT!D9"")"),"#N/A")</f>
        <v>#N/A</v>
      </c>
      <c r="H30412" s="4" t="str">
        <v/>
      </c>
      <c r="I30412" s="4" t="str">
        <v/>
      </c>
    </row>
    <row r="30413" spans="5:9" ht="16.5" hidden="1">
      <c r="E30413" s="4" t="str">
        <v/>
      </c>
      <c r="F30413" s="102" t="str">
        <f ca="1">IFERROR(__xludf.DUMMYFUNCTION("IMPORTRANGE(H30413,""IDENTITAS UNIT!D9"")"),"#N/A")</f>
        <v>#N/A</v>
      </c>
      <c r="H30413" s="4" t="str">
        <v/>
      </c>
      <c r="I30413" s="4" t="str">
        <v/>
      </c>
    </row>
    <row r="30414" spans="5:9" ht="16.5" hidden="1">
      <c r="E30414" s="4" t="str">
        <v/>
      </c>
      <c r="F30414" s="102" t="str">
        <f ca="1">IFERROR(__xludf.DUMMYFUNCTION("IMPORTRANGE(H30414,""IDENTITAS UNIT!D9"")"),"#N/A")</f>
        <v>#N/A</v>
      </c>
      <c r="H30414" s="4" t="str">
        <v/>
      </c>
      <c r="I30414" s="4" t="str">
        <v/>
      </c>
    </row>
    <row r="30415" spans="5:9" ht="16.5" hidden="1">
      <c r="E30415" s="4" t="str">
        <v/>
      </c>
      <c r="F30415" s="102" t="str">
        <f ca="1">IFERROR(__xludf.DUMMYFUNCTION("IMPORTRANGE(H30415,""IDENTITAS UNIT!D9"")"),"#N/A")</f>
        <v>#N/A</v>
      </c>
      <c r="H30415" s="4" t="str">
        <v/>
      </c>
      <c r="I30415" s="4" t="str">
        <v/>
      </c>
    </row>
    <row r="30416" spans="5:9" ht="16.5" hidden="1">
      <c r="E30416" s="4" t="str">
        <v/>
      </c>
      <c r="F30416" s="102" t="str">
        <f ca="1">IFERROR(__xludf.DUMMYFUNCTION("IMPORTRANGE(H30416,""IDENTITAS UNIT!D9"")"),"#N/A")</f>
        <v>#N/A</v>
      </c>
      <c r="H30416" s="4" t="str">
        <v/>
      </c>
      <c r="I30416" s="4" t="str">
        <v/>
      </c>
    </row>
    <row r="30417" spans="5:9" ht="16.5" hidden="1">
      <c r="E30417" s="4" t="str">
        <v/>
      </c>
      <c r="F30417" s="102" t="str">
        <f ca="1">IFERROR(__xludf.DUMMYFUNCTION("IMPORTRANGE(H30417,""IDENTITAS UNIT!D9"")"),"#N/A")</f>
        <v>#N/A</v>
      </c>
      <c r="H30417" s="4" t="str">
        <v/>
      </c>
      <c r="I30417" s="4" t="str">
        <v/>
      </c>
    </row>
    <row r="30418" spans="5:9" ht="16.5" hidden="1">
      <c r="E30418" s="4" t="str">
        <v/>
      </c>
      <c r="F30418" s="102" t="str">
        <f ca="1">IFERROR(__xludf.DUMMYFUNCTION("IMPORTRANGE(H30418,""IDENTITAS UNIT!D9"")"),"#N/A")</f>
        <v>#N/A</v>
      </c>
      <c r="H30418" s="4" t="str">
        <v/>
      </c>
      <c r="I30418" s="4" t="str">
        <v/>
      </c>
    </row>
    <row r="30419" spans="5:9" ht="16.5" hidden="1">
      <c r="E30419" s="4" t="str">
        <v/>
      </c>
      <c r="F30419" s="102" t="str">
        <f ca="1">IFERROR(__xludf.DUMMYFUNCTION("IMPORTRANGE(H30419,""IDENTITAS UNIT!D9"")"),"#N/A")</f>
        <v>#N/A</v>
      </c>
      <c r="H30419" s="4" t="str">
        <v/>
      </c>
      <c r="I30419" s="4" t="str">
        <v/>
      </c>
    </row>
    <row r="30420" spans="5:9" ht="16.5" hidden="1">
      <c r="E30420" s="4" t="str">
        <v/>
      </c>
      <c r="F30420" s="102" t="str">
        <f ca="1">IFERROR(__xludf.DUMMYFUNCTION("IMPORTRANGE(H30420,""IDENTITAS UNIT!D9"")"),"#N/A")</f>
        <v>#N/A</v>
      </c>
      <c r="H30420" s="4" t="str">
        <v/>
      </c>
      <c r="I30420" s="4" t="str">
        <v/>
      </c>
    </row>
    <row r="30421" spans="5:9" ht="16.5" hidden="1">
      <c r="E30421" s="4" t="str">
        <v/>
      </c>
      <c r="F30421" s="102" t="str">
        <f ca="1">IFERROR(__xludf.DUMMYFUNCTION("IMPORTRANGE(H30421,""IDENTITAS UNIT!D9"")"),"#N/A")</f>
        <v>#N/A</v>
      </c>
      <c r="H30421" s="4" t="str">
        <v/>
      </c>
      <c r="I30421" s="4" t="str">
        <v/>
      </c>
    </row>
    <row r="30422" spans="5:9" ht="16.5" hidden="1">
      <c r="E30422" s="4" t="str">
        <v/>
      </c>
      <c r="F30422" s="102" t="str">
        <f ca="1">IFERROR(__xludf.DUMMYFUNCTION("IMPORTRANGE(H30422,""IDENTITAS UNIT!D9"")"),"#N/A")</f>
        <v>#N/A</v>
      </c>
      <c r="H30422" s="4" t="str">
        <v/>
      </c>
      <c r="I30422" s="4" t="str">
        <v/>
      </c>
    </row>
    <row r="30423" spans="5:9" ht="16.5" hidden="1">
      <c r="E30423" s="4" t="str">
        <v/>
      </c>
      <c r="F30423" s="102" t="str">
        <f ca="1">IFERROR(__xludf.DUMMYFUNCTION("IMPORTRANGE(H30423,""IDENTITAS UNIT!D9"")"),"#N/A")</f>
        <v>#N/A</v>
      </c>
      <c r="H30423" s="4" t="str">
        <v/>
      </c>
      <c r="I30423" s="4" t="str">
        <v/>
      </c>
    </row>
    <row r="30424" spans="5:9" ht="16.5" hidden="1">
      <c r="E30424" s="4" t="str">
        <v/>
      </c>
      <c r="F30424" s="102" t="str">
        <f ca="1">IFERROR(__xludf.DUMMYFUNCTION("IMPORTRANGE(H30424,""IDENTITAS UNIT!D9"")"),"#N/A")</f>
        <v>#N/A</v>
      </c>
      <c r="H30424" s="4" t="str">
        <v/>
      </c>
      <c r="I30424" s="4" t="str">
        <v/>
      </c>
    </row>
    <row r="30425" spans="5:9" ht="16.5" hidden="1">
      <c r="E30425" s="4" t="str">
        <v/>
      </c>
      <c r="F30425" s="102" t="str">
        <f ca="1">IFERROR(__xludf.DUMMYFUNCTION("IMPORTRANGE(H30425,""IDENTITAS UNIT!D9"")"),"#N/A")</f>
        <v>#N/A</v>
      </c>
      <c r="H30425" s="4" t="str">
        <v/>
      </c>
      <c r="I30425" s="4" t="str">
        <v/>
      </c>
    </row>
    <row r="30426" spans="5:9" ht="16.5" hidden="1">
      <c r="E30426" s="4" t="str">
        <v/>
      </c>
      <c r="F30426" s="102" t="str">
        <f ca="1">IFERROR(__xludf.DUMMYFUNCTION("IMPORTRANGE(H30426,""IDENTITAS UNIT!D9"")"),"#N/A")</f>
        <v>#N/A</v>
      </c>
      <c r="H30426" s="4" t="str">
        <v/>
      </c>
      <c r="I30426" s="4" t="str">
        <v/>
      </c>
    </row>
    <row r="30427" spans="5:9" ht="16.5" hidden="1">
      <c r="E30427" s="4" t="str">
        <v/>
      </c>
      <c r="F30427" s="102" t="str">
        <f ca="1">IFERROR(__xludf.DUMMYFUNCTION("IMPORTRANGE(H30427,""IDENTITAS UNIT!D9"")"),"#N/A")</f>
        <v>#N/A</v>
      </c>
      <c r="H30427" s="4" t="str">
        <v/>
      </c>
      <c r="I30427" s="4" t="str">
        <v/>
      </c>
    </row>
    <row r="30428" spans="5:9" ht="16.5" hidden="1">
      <c r="E30428" s="4" t="str">
        <v/>
      </c>
      <c r="F30428" s="102" t="str">
        <f ca="1">IFERROR(__xludf.DUMMYFUNCTION("IMPORTRANGE(H30428,""IDENTITAS UNIT!D9"")"),"#N/A")</f>
        <v>#N/A</v>
      </c>
      <c r="H30428" s="4" t="str">
        <v/>
      </c>
      <c r="I30428" s="4" t="str">
        <v/>
      </c>
    </row>
    <row r="30429" spans="5:9" ht="16.5" hidden="1">
      <c r="E30429" s="4" t="str">
        <v/>
      </c>
      <c r="F30429" s="102" t="str">
        <f ca="1">IFERROR(__xludf.DUMMYFUNCTION("IMPORTRANGE(H30429,""IDENTITAS UNIT!D9"")"),"#N/A")</f>
        <v>#N/A</v>
      </c>
      <c r="H30429" s="4" t="str">
        <v/>
      </c>
      <c r="I30429" s="4" t="str">
        <v/>
      </c>
    </row>
    <row r="30430" spans="5:9" ht="16.5" hidden="1">
      <c r="E30430" s="4" t="str">
        <v/>
      </c>
      <c r="F30430" s="102" t="str">
        <f ca="1">IFERROR(__xludf.DUMMYFUNCTION("IMPORTRANGE(H30430,""IDENTITAS UNIT!D9"")"),"#N/A")</f>
        <v>#N/A</v>
      </c>
      <c r="H30430" s="4" t="str">
        <v/>
      </c>
      <c r="I30430" s="4" t="str">
        <v/>
      </c>
    </row>
    <row r="30431" spans="5:9" ht="16.5" hidden="1">
      <c r="E30431" s="4" t="str">
        <v/>
      </c>
      <c r="F30431" s="102" t="str">
        <f ca="1">IFERROR(__xludf.DUMMYFUNCTION("IMPORTRANGE(H30431,""IDENTITAS UNIT!D9"")"),"#N/A")</f>
        <v>#N/A</v>
      </c>
      <c r="H30431" s="4" t="str">
        <v/>
      </c>
      <c r="I30431" s="4" t="str">
        <v/>
      </c>
    </row>
    <row r="30432" spans="5:9" ht="16.5" hidden="1">
      <c r="E30432" s="4" t="str">
        <v/>
      </c>
      <c r="F30432" s="102" t="str">
        <f ca="1">IFERROR(__xludf.DUMMYFUNCTION("IMPORTRANGE(H30432,""IDENTITAS UNIT!D9"")"),"#N/A")</f>
        <v>#N/A</v>
      </c>
      <c r="H30432" s="4" t="str">
        <v/>
      </c>
      <c r="I30432" s="4" t="str">
        <v/>
      </c>
    </row>
    <row r="30433" spans="5:9" ht="16.5" hidden="1">
      <c r="E30433" s="4" t="str">
        <v/>
      </c>
      <c r="F30433" s="102" t="str">
        <f ca="1">IFERROR(__xludf.DUMMYFUNCTION("IMPORTRANGE(H30433,""IDENTITAS UNIT!D9"")"),"#N/A")</f>
        <v>#N/A</v>
      </c>
      <c r="H30433" s="4" t="str">
        <v/>
      </c>
      <c r="I30433" s="4" t="str">
        <v/>
      </c>
    </row>
    <row r="30434" spans="5:9" ht="16.5" hidden="1">
      <c r="E30434" s="4" t="str">
        <v/>
      </c>
      <c r="F30434" s="102" t="str">
        <f ca="1">IFERROR(__xludf.DUMMYFUNCTION("IMPORTRANGE(H30434,""IDENTITAS UNIT!D9"")"),"#N/A")</f>
        <v>#N/A</v>
      </c>
      <c r="H30434" s="4" t="str">
        <v/>
      </c>
      <c r="I30434" s="4" t="str">
        <v/>
      </c>
    </row>
    <row r="30435" spans="5:9" ht="16.5" hidden="1">
      <c r="E30435" s="4" t="str">
        <v/>
      </c>
      <c r="F30435" s="102" t="str">
        <f ca="1">IFERROR(__xludf.DUMMYFUNCTION("IMPORTRANGE(H30435,""IDENTITAS UNIT!D9"")"),"#N/A")</f>
        <v>#N/A</v>
      </c>
      <c r="H30435" s="4" t="str">
        <v/>
      </c>
      <c r="I30435" s="4" t="str">
        <v/>
      </c>
    </row>
    <row r="30436" spans="5:9" ht="16.5" hidden="1">
      <c r="E30436" s="4" t="str">
        <v/>
      </c>
      <c r="F30436" s="102" t="str">
        <f ca="1">IFERROR(__xludf.DUMMYFUNCTION("IMPORTRANGE(H30436,""IDENTITAS UNIT!D9"")"),"#N/A")</f>
        <v>#N/A</v>
      </c>
      <c r="H30436" s="4" t="str">
        <v/>
      </c>
      <c r="I30436" s="4" t="str">
        <v/>
      </c>
    </row>
    <row r="30437" spans="5:9" ht="16.5" hidden="1">
      <c r="E30437" s="4" t="str">
        <v/>
      </c>
      <c r="F30437" s="102" t="str">
        <f ca="1">IFERROR(__xludf.DUMMYFUNCTION("IMPORTRANGE(H30437,""IDENTITAS UNIT!D9"")"),"#N/A")</f>
        <v>#N/A</v>
      </c>
      <c r="H30437" s="4" t="str">
        <v/>
      </c>
      <c r="I30437" s="4" t="str">
        <v/>
      </c>
    </row>
    <row r="30438" spans="5:9" ht="16.5" hidden="1">
      <c r="E30438" s="4" t="str">
        <v/>
      </c>
      <c r="F30438" s="102" t="str">
        <f ca="1">IFERROR(__xludf.DUMMYFUNCTION("IMPORTRANGE(H30438,""IDENTITAS UNIT!D9"")"),"#N/A")</f>
        <v>#N/A</v>
      </c>
      <c r="H30438" s="4" t="str">
        <v/>
      </c>
      <c r="I30438" s="4" t="str">
        <v/>
      </c>
    </row>
    <row r="30439" spans="5:9" ht="16.5" hidden="1">
      <c r="E30439" s="4" t="str">
        <v/>
      </c>
      <c r="F30439" s="102" t="str">
        <f ca="1">IFERROR(__xludf.DUMMYFUNCTION("IMPORTRANGE(H30439,""IDENTITAS UNIT!D9"")"),"#N/A")</f>
        <v>#N/A</v>
      </c>
      <c r="H30439" s="4" t="str">
        <v/>
      </c>
      <c r="I30439" s="4" t="str">
        <v/>
      </c>
    </row>
    <row r="30440" spans="5:9" ht="16.5" hidden="1">
      <c r="E30440" s="4" t="str">
        <v/>
      </c>
      <c r="F30440" s="102" t="str">
        <f ca="1">IFERROR(__xludf.DUMMYFUNCTION("IMPORTRANGE(H30440,""IDENTITAS UNIT!D9"")"),"#N/A")</f>
        <v>#N/A</v>
      </c>
      <c r="H30440" s="4" t="str">
        <v/>
      </c>
      <c r="I30440" s="4" t="str">
        <v/>
      </c>
    </row>
    <row r="30441" spans="5:9" ht="16.5" hidden="1">
      <c r="E30441" s="4" t="str">
        <v/>
      </c>
      <c r="F30441" s="102" t="str">
        <f ca="1">IFERROR(__xludf.DUMMYFUNCTION("IMPORTRANGE(H30441,""IDENTITAS UNIT!D9"")"),"#N/A")</f>
        <v>#N/A</v>
      </c>
      <c r="H30441" s="4" t="str">
        <v/>
      </c>
      <c r="I30441" s="4" t="str">
        <v/>
      </c>
    </row>
    <row r="30442" spans="5:9" ht="16.5" hidden="1">
      <c r="E30442" s="4" t="str">
        <v/>
      </c>
      <c r="F30442" s="102" t="str">
        <f ca="1">IFERROR(__xludf.DUMMYFUNCTION("IMPORTRANGE(H30442,""IDENTITAS UNIT!D9"")"),"#N/A")</f>
        <v>#N/A</v>
      </c>
      <c r="H30442" s="4" t="str">
        <v/>
      </c>
      <c r="I30442" s="4" t="str">
        <v/>
      </c>
    </row>
    <row r="30443" spans="5:9" ht="16.5" hidden="1">
      <c r="E30443" s="4" t="str">
        <v/>
      </c>
      <c r="F30443" s="102" t="str">
        <f ca="1">IFERROR(__xludf.DUMMYFUNCTION("IMPORTRANGE(H30443,""IDENTITAS UNIT!D9"")"),"#N/A")</f>
        <v>#N/A</v>
      </c>
      <c r="H30443" s="4" t="str">
        <v/>
      </c>
      <c r="I30443" s="4" t="str">
        <v/>
      </c>
    </row>
    <row r="30444" spans="5:9" ht="16.5" hidden="1">
      <c r="E30444" s="4" t="str">
        <v/>
      </c>
      <c r="F30444" s="102" t="str">
        <f ca="1">IFERROR(__xludf.DUMMYFUNCTION("IMPORTRANGE(H30444,""IDENTITAS UNIT!D9"")"),"#N/A")</f>
        <v>#N/A</v>
      </c>
      <c r="H30444" s="4" t="str">
        <v/>
      </c>
      <c r="I30444" s="4" t="str">
        <v/>
      </c>
    </row>
    <row r="30445" spans="5:9" ht="16.5" hidden="1">
      <c r="E30445" s="4" t="str">
        <v/>
      </c>
      <c r="F30445" s="102" t="str">
        <f ca="1">IFERROR(__xludf.DUMMYFUNCTION("IMPORTRANGE(H30445,""IDENTITAS UNIT!D9"")"),"#N/A")</f>
        <v>#N/A</v>
      </c>
      <c r="H30445" s="4" t="str">
        <v/>
      </c>
      <c r="I30445" s="4" t="str">
        <v/>
      </c>
    </row>
    <row r="30446" spans="5:9" ht="16.5" hidden="1">
      <c r="E30446" s="4" t="str">
        <v/>
      </c>
      <c r="F30446" s="102" t="str">
        <f ca="1">IFERROR(__xludf.DUMMYFUNCTION("IMPORTRANGE(H30446,""IDENTITAS UNIT!D9"")"),"#N/A")</f>
        <v>#N/A</v>
      </c>
      <c r="H30446" s="4" t="str">
        <v/>
      </c>
      <c r="I30446" s="4" t="str">
        <v/>
      </c>
    </row>
    <row r="30447" spans="5:9" ht="16.5" hidden="1">
      <c r="E30447" s="4" t="str">
        <v/>
      </c>
      <c r="F30447" s="102" t="str">
        <f ca="1">IFERROR(__xludf.DUMMYFUNCTION("IMPORTRANGE(H30447,""IDENTITAS UNIT!D9"")"),"#N/A")</f>
        <v>#N/A</v>
      </c>
      <c r="H30447" s="4" t="str">
        <v/>
      </c>
      <c r="I30447" s="4" t="str">
        <v/>
      </c>
    </row>
    <row r="30448" spans="5:9" ht="16.5" hidden="1">
      <c r="E30448" s="4" t="str">
        <v/>
      </c>
      <c r="F30448" s="102" t="str">
        <f ca="1">IFERROR(__xludf.DUMMYFUNCTION("IMPORTRANGE(H30448,""IDENTITAS UNIT!D9"")"),"#N/A")</f>
        <v>#N/A</v>
      </c>
      <c r="H30448" s="4" t="str">
        <v/>
      </c>
      <c r="I30448" s="4" t="str">
        <v/>
      </c>
    </row>
    <row r="30449" spans="5:9" ht="16.5" hidden="1">
      <c r="E30449" s="4" t="str">
        <v/>
      </c>
      <c r="F30449" s="102" t="str">
        <f ca="1">IFERROR(__xludf.DUMMYFUNCTION("IMPORTRANGE(H30449,""IDENTITAS UNIT!D9"")"),"#N/A")</f>
        <v>#N/A</v>
      </c>
      <c r="H30449" s="4" t="str">
        <v/>
      </c>
      <c r="I30449" s="4" t="str">
        <v/>
      </c>
    </row>
    <row r="30450" spans="5:9" ht="16.5" hidden="1">
      <c r="E30450" s="4" t="str">
        <v/>
      </c>
      <c r="F30450" s="102" t="str">
        <f ca="1">IFERROR(__xludf.DUMMYFUNCTION("IMPORTRANGE(H30450,""IDENTITAS UNIT!D9"")"),"#N/A")</f>
        <v>#N/A</v>
      </c>
      <c r="H30450" s="4" t="str">
        <v/>
      </c>
      <c r="I30450" s="4" t="str">
        <v/>
      </c>
    </row>
    <row r="30451" spans="5:9" ht="16.5" hidden="1">
      <c r="E30451" s="4" t="str">
        <v/>
      </c>
      <c r="F30451" s="102" t="str">
        <f ca="1">IFERROR(__xludf.DUMMYFUNCTION("IMPORTRANGE(H30451,""IDENTITAS UNIT!D9"")"),"#N/A")</f>
        <v>#N/A</v>
      </c>
      <c r="H30451" s="4" t="str">
        <v/>
      </c>
      <c r="I30451" s="4" t="str">
        <v/>
      </c>
    </row>
    <row r="30452" spans="5:9" ht="16.5" hidden="1">
      <c r="E30452" s="4" t="str">
        <v/>
      </c>
      <c r="F30452" s="102" t="str">
        <f ca="1">IFERROR(__xludf.DUMMYFUNCTION("IMPORTRANGE(H30452,""IDENTITAS UNIT!D9"")"),"#N/A")</f>
        <v>#N/A</v>
      </c>
      <c r="H30452" s="4" t="str">
        <v/>
      </c>
      <c r="I30452" s="4" t="str">
        <v/>
      </c>
    </row>
    <row r="30453" spans="5:9" ht="16.5" hidden="1">
      <c r="E30453" s="4" t="str">
        <v/>
      </c>
      <c r="F30453" s="102" t="str">
        <f ca="1">IFERROR(__xludf.DUMMYFUNCTION("IMPORTRANGE(H30453,""IDENTITAS UNIT!D9"")"),"#N/A")</f>
        <v>#N/A</v>
      </c>
      <c r="H30453" s="4" t="str">
        <v/>
      </c>
      <c r="I30453" s="4" t="str">
        <v/>
      </c>
    </row>
    <row r="30454" spans="5:9" ht="16.5" hidden="1">
      <c r="E30454" s="4" t="str">
        <v/>
      </c>
      <c r="F30454" s="102" t="str">
        <f ca="1">IFERROR(__xludf.DUMMYFUNCTION("IMPORTRANGE(H30454,""IDENTITAS UNIT!D9"")"),"#N/A")</f>
        <v>#N/A</v>
      </c>
      <c r="H30454" s="4" t="str">
        <v/>
      </c>
      <c r="I30454" s="4" t="str">
        <v/>
      </c>
    </row>
    <row r="30455" spans="5:9" ht="16.5" hidden="1">
      <c r="E30455" s="4" t="str">
        <v/>
      </c>
      <c r="F30455" s="102" t="str">
        <f ca="1">IFERROR(__xludf.DUMMYFUNCTION("IMPORTRANGE(H30455,""IDENTITAS UNIT!D9"")"),"#N/A")</f>
        <v>#N/A</v>
      </c>
      <c r="H30455" s="4" t="str">
        <v/>
      </c>
      <c r="I30455" s="4" t="str">
        <v/>
      </c>
    </row>
    <row r="30456" spans="5:9" ht="16.5" hidden="1">
      <c r="E30456" s="4" t="str">
        <v/>
      </c>
      <c r="F30456" s="102" t="str">
        <f ca="1">IFERROR(__xludf.DUMMYFUNCTION("IMPORTRANGE(H30456,""IDENTITAS UNIT!D9"")"),"#N/A")</f>
        <v>#N/A</v>
      </c>
      <c r="H30456" s="4" t="str">
        <v/>
      </c>
      <c r="I30456" s="4" t="str">
        <v/>
      </c>
    </row>
    <row r="30457" spans="5:9" ht="16.5" hidden="1">
      <c r="E30457" s="4" t="str">
        <v/>
      </c>
      <c r="F30457" s="102" t="str">
        <f ca="1">IFERROR(__xludf.DUMMYFUNCTION("IMPORTRANGE(H30457,""IDENTITAS UNIT!D9"")"),"#N/A")</f>
        <v>#N/A</v>
      </c>
      <c r="H30457" s="4" t="str">
        <v/>
      </c>
      <c r="I30457" s="4" t="str">
        <v/>
      </c>
    </row>
    <row r="30458" spans="5:9" ht="16.5" hidden="1">
      <c r="E30458" s="4" t="str">
        <v/>
      </c>
      <c r="F30458" s="102" t="str">
        <f ca="1">IFERROR(__xludf.DUMMYFUNCTION("IMPORTRANGE(H30458,""IDENTITAS UNIT!D9"")"),"#N/A")</f>
        <v>#N/A</v>
      </c>
      <c r="H30458" s="4" t="str">
        <v/>
      </c>
      <c r="I30458" s="4" t="str">
        <v/>
      </c>
    </row>
    <row r="30459" spans="5:9" ht="16.5" hidden="1">
      <c r="E30459" s="4" t="str">
        <v/>
      </c>
      <c r="F30459" s="102" t="str">
        <f ca="1">IFERROR(__xludf.DUMMYFUNCTION("IMPORTRANGE(H30459,""IDENTITAS UNIT!D9"")"),"#N/A")</f>
        <v>#N/A</v>
      </c>
      <c r="H30459" s="4" t="str">
        <v/>
      </c>
      <c r="I30459" s="4" t="str">
        <v/>
      </c>
    </row>
    <row r="30460" spans="5:9" ht="16.5" hidden="1">
      <c r="E30460" s="4" t="str">
        <v/>
      </c>
      <c r="F30460" s="102" t="str">
        <f ca="1">IFERROR(__xludf.DUMMYFUNCTION("IMPORTRANGE(H30460,""IDENTITAS UNIT!D9"")"),"#N/A")</f>
        <v>#N/A</v>
      </c>
      <c r="H30460" s="4" t="str">
        <v/>
      </c>
      <c r="I30460" s="4" t="str">
        <v/>
      </c>
    </row>
    <row r="30461" spans="5:9" ht="16.5" hidden="1">
      <c r="E30461" s="4" t="str">
        <v/>
      </c>
      <c r="F30461" s="102" t="str">
        <f ca="1">IFERROR(__xludf.DUMMYFUNCTION("IMPORTRANGE(H30461,""IDENTITAS UNIT!D9"")"),"#N/A")</f>
        <v>#N/A</v>
      </c>
      <c r="H30461" s="4" t="str">
        <v/>
      </c>
      <c r="I30461" s="4" t="str">
        <v/>
      </c>
    </row>
    <row r="30462" spans="5:9" ht="16.5" hidden="1">
      <c r="E30462" s="4" t="str">
        <v/>
      </c>
      <c r="F30462" s="102" t="str">
        <f ca="1">IFERROR(__xludf.DUMMYFUNCTION("IMPORTRANGE(H30462,""IDENTITAS UNIT!D9"")"),"#N/A")</f>
        <v>#N/A</v>
      </c>
      <c r="H30462" s="4" t="str">
        <v/>
      </c>
      <c r="I30462" s="4" t="str">
        <v/>
      </c>
    </row>
    <row r="30463" spans="5:9" ht="16.5" hidden="1">
      <c r="E30463" s="4" t="str">
        <v/>
      </c>
      <c r="F30463" s="102" t="str">
        <f ca="1">IFERROR(__xludf.DUMMYFUNCTION("IMPORTRANGE(H30463,""IDENTITAS UNIT!D9"")"),"#N/A")</f>
        <v>#N/A</v>
      </c>
      <c r="H30463" s="4" t="str">
        <v/>
      </c>
      <c r="I30463" s="4" t="str">
        <v/>
      </c>
    </row>
    <row r="30464" spans="5:9" ht="16.5" hidden="1">
      <c r="E30464" s="4" t="str">
        <v/>
      </c>
      <c r="F30464" s="102" t="str">
        <f ca="1">IFERROR(__xludf.DUMMYFUNCTION("IMPORTRANGE(H30464,""IDENTITAS UNIT!D9"")"),"#N/A")</f>
        <v>#N/A</v>
      </c>
      <c r="H30464" s="4" t="str">
        <v/>
      </c>
      <c r="I30464" s="4" t="str">
        <v/>
      </c>
    </row>
    <row r="30465" spans="5:9" ht="16.5" hidden="1">
      <c r="E30465" s="4" t="str">
        <v/>
      </c>
      <c r="F30465" s="102" t="str">
        <f ca="1">IFERROR(__xludf.DUMMYFUNCTION("IMPORTRANGE(H30465,""IDENTITAS UNIT!D9"")"),"#N/A")</f>
        <v>#N/A</v>
      </c>
      <c r="H30465" s="4" t="str">
        <v/>
      </c>
      <c r="I30465" s="4" t="str">
        <v/>
      </c>
    </row>
    <row r="30466" spans="5:9" ht="16.5" hidden="1">
      <c r="E30466" s="4" t="str">
        <v/>
      </c>
      <c r="F30466" s="102" t="str">
        <f ca="1">IFERROR(__xludf.DUMMYFUNCTION("IMPORTRANGE(H30466,""IDENTITAS UNIT!D9"")"),"#N/A")</f>
        <v>#N/A</v>
      </c>
      <c r="H30466" s="4" t="str">
        <v/>
      </c>
      <c r="I30466" s="4" t="str">
        <v/>
      </c>
    </row>
    <row r="30467" spans="5:9" ht="16.5" hidden="1">
      <c r="E30467" s="4" t="str">
        <v/>
      </c>
      <c r="F30467" s="102" t="str">
        <f ca="1">IFERROR(__xludf.DUMMYFUNCTION("IMPORTRANGE(H30467,""IDENTITAS UNIT!D9"")"),"#N/A")</f>
        <v>#N/A</v>
      </c>
      <c r="H30467" s="4" t="str">
        <v/>
      </c>
      <c r="I30467" s="4" t="str">
        <v/>
      </c>
    </row>
    <row r="30468" spans="5:9" ht="16.5" hidden="1">
      <c r="E30468" s="4" t="str">
        <v/>
      </c>
      <c r="F30468" s="102" t="str">
        <f ca="1">IFERROR(__xludf.DUMMYFUNCTION("IMPORTRANGE(H30468,""IDENTITAS UNIT!D9"")"),"#N/A")</f>
        <v>#N/A</v>
      </c>
      <c r="H30468" s="4" t="str">
        <v/>
      </c>
      <c r="I30468" s="4" t="str">
        <v/>
      </c>
    </row>
    <row r="30469" spans="5:9" ht="16.5" hidden="1">
      <c r="E30469" s="4" t="str">
        <v/>
      </c>
      <c r="F30469" s="102" t="str">
        <f ca="1">IFERROR(__xludf.DUMMYFUNCTION("IMPORTRANGE(H30469,""IDENTITAS UNIT!D9"")"),"#N/A")</f>
        <v>#N/A</v>
      </c>
      <c r="H30469" s="4" t="str">
        <v/>
      </c>
      <c r="I30469" s="4" t="str">
        <v/>
      </c>
    </row>
    <row r="30470" spans="5:9" ht="16.5" hidden="1">
      <c r="E30470" s="4" t="str">
        <v/>
      </c>
      <c r="F30470" s="102" t="str">
        <f ca="1">IFERROR(__xludf.DUMMYFUNCTION("IMPORTRANGE(H30470,""IDENTITAS UNIT!D9"")"),"#N/A")</f>
        <v>#N/A</v>
      </c>
      <c r="H30470" s="4" t="str">
        <v/>
      </c>
      <c r="I30470" s="4" t="str">
        <v/>
      </c>
    </row>
    <row r="30471" spans="5:9" ht="16.5" hidden="1">
      <c r="E30471" s="4" t="str">
        <v/>
      </c>
      <c r="F30471" s="102" t="str">
        <f ca="1">IFERROR(__xludf.DUMMYFUNCTION("IMPORTRANGE(H30471,""IDENTITAS UNIT!D9"")"),"#N/A")</f>
        <v>#N/A</v>
      </c>
      <c r="H30471" s="4" t="str">
        <v/>
      </c>
      <c r="I30471" s="4" t="str">
        <v/>
      </c>
    </row>
    <row r="30472" spans="5:9" ht="16.5" hidden="1">
      <c r="E30472" s="4" t="str">
        <v/>
      </c>
      <c r="F30472" s="102" t="str">
        <f ca="1">IFERROR(__xludf.DUMMYFUNCTION("IMPORTRANGE(H30472,""IDENTITAS UNIT!D9"")"),"#N/A")</f>
        <v>#N/A</v>
      </c>
      <c r="H30472" s="4" t="str">
        <v/>
      </c>
      <c r="I30472" s="4" t="str">
        <v/>
      </c>
    </row>
    <row r="30473" spans="5:9" ht="16.5" hidden="1">
      <c r="E30473" s="4" t="str">
        <v/>
      </c>
      <c r="F30473" s="102" t="str">
        <f ca="1">IFERROR(__xludf.DUMMYFUNCTION("IMPORTRANGE(H30473,""IDENTITAS UNIT!D9"")"),"#N/A")</f>
        <v>#N/A</v>
      </c>
      <c r="H30473" s="4" t="str">
        <v/>
      </c>
      <c r="I30473" s="4" t="str">
        <v/>
      </c>
    </row>
    <row r="30474" spans="5:9" ht="16.5" hidden="1">
      <c r="E30474" s="4" t="str">
        <v/>
      </c>
      <c r="F30474" s="102" t="str">
        <f ca="1">IFERROR(__xludf.DUMMYFUNCTION("IMPORTRANGE(H30474,""IDENTITAS UNIT!D9"")"),"#N/A")</f>
        <v>#N/A</v>
      </c>
      <c r="H30474" s="4" t="str">
        <v/>
      </c>
      <c r="I30474" s="4" t="str">
        <v/>
      </c>
    </row>
    <row r="30475" spans="5:9" ht="16.5" hidden="1">
      <c r="E30475" s="4" t="str">
        <v/>
      </c>
      <c r="F30475" s="102" t="str">
        <f ca="1">IFERROR(__xludf.DUMMYFUNCTION("IMPORTRANGE(H30475,""IDENTITAS UNIT!D9"")"),"#N/A")</f>
        <v>#N/A</v>
      </c>
      <c r="H30475" s="4" t="str">
        <v/>
      </c>
      <c r="I30475" s="4" t="str">
        <v/>
      </c>
    </row>
    <row r="30476" spans="5:9" ht="16.5" hidden="1">
      <c r="E30476" s="4" t="str">
        <v/>
      </c>
      <c r="F30476" s="102" t="str">
        <f ca="1">IFERROR(__xludf.DUMMYFUNCTION("IMPORTRANGE(H30476,""IDENTITAS UNIT!D9"")"),"#N/A")</f>
        <v>#N/A</v>
      </c>
      <c r="H30476" s="4" t="str">
        <v/>
      </c>
      <c r="I30476" s="4" t="str">
        <v/>
      </c>
    </row>
    <row r="30477" spans="5:9" ht="16.5" hidden="1">
      <c r="E30477" s="4" t="str">
        <v/>
      </c>
      <c r="F30477" s="102" t="str">
        <f ca="1">IFERROR(__xludf.DUMMYFUNCTION("IMPORTRANGE(H30477,""IDENTITAS UNIT!D9"")"),"#N/A")</f>
        <v>#N/A</v>
      </c>
      <c r="H30477" s="4" t="str">
        <v/>
      </c>
      <c r="I30477" s="4" t="str">
        <v/>
      </c>
    </row>
    <row r="30478" spans="5:9" ht="16.5" hidden="1">
      <c r="E30478" s="4" t="str">
        <v/>
      </c>
      <c r="F30478" s="102" t="str">
        <f ca="1">IFERROR(__xludf.DUMMYFUNCTION("IMPORTRANGE(H30478,""IDENTITAS UNIT!D9"")"),"#N/A")</f>
        <v>#N/A</v>
      </c>
      <c r="H30478" s="4" t="str">
        <v/>
      </c>
      <c r="I30478" s="4" t="str">
        <v/>
      </c>
    </row>
    <row r="30479" spans="5:9" ht="16.5" hidden="1">
      <c r="E30479" s="4" t="str">
        <v/>
      </c>
      <c r="F30479" s="102" t="str">
        <f ca="1">IFERROR(__xludf.DUMMYFUNCTION("IMPORTRANGE(H30479,""IDENTITAS UNIT!D9"")"),"#N/A")</f>
        <v>#N/A</v>
      </c>
      <c r="H30479" s="4" t="str">
        <v/>
      </c>
      <c r="I30479" s="4" t="str">
        <v/>
      </c>
    </row>
    <row r="30480" spans="5:9" ht="16.5" hidden="1">
      <c r="E30480" s="4" t="str">
        <v/>
      </c>
      <c r="F30480" s="102" t="str">
        <f ca="1">IFERROR(__xludf.DUMMYFUNCTION("IMPORTRANGE(H30480,""IDENTITAS UNIT!D9"")"),"#N/A")</f>
        <v>#N/A</v>
      </c>
      <c r="H30480" s="4" t="str">
        <v/>
      </c>
      <c r="I30480" s="4" t="str">
        <v/>
      </c>
    </row>
    <row r="30481" spans="5:9" ht="16.5" hidden="1">
      <c r="E30481" s="4" t="str">
        <v/>
      </c>
      <c r="F30481" s="102" t="str">
        <f ca="1">IFERROR(__xludf.DUMMYFUNCTION("IMPORTRANGE(H30481,""IDENTITAS UNIT!D9"")"),"#N/A")</f>
        <v>#N/A</v>
      </c>
      <c r="H30481" s="4" t="str">
        <v/>
      </c>
      <c r="I30481" s="4" t="str">
        <v/>
      </c>
    </row>
    <row r="30482" spans="5:9" ht="16.5" hidden="1">
      <c r="E30482" s="4" t="str">
        <v/>
      </c>
      <c r="F30482" s="102" t="str">
        <f ca="1">IFERROR(__xludf.DUMMYFUNCTION("IMPORTRANGE(H30482,""IDENTITAS UNIT!D9"")"),"#N/A")</f>
        <v>#N/A</v>
      </c>
      <c r="H30482" s="4" t="str">
        <v/>
      </c>
      <c r="I30482" s="4" t="str">
        <v/>
      </c>
    </row>
    <row r="30483" spans="5:9" ht="16.5" hidden="1">
      <c r="E30483" s="4" t="str">
        <v/>
      </c>
      <c r="F30483" s="102" t="str">
        <f ca="1">IFERROR(__xludf.DUMMYFUNCTION("IMPORTRANGE(H30483,""IDENTITAS UNIT!D9"")"),"#N/A")</f>
        <v>#N/A</v>
      </c>
      <c r="H30483" s="4" t="str">
        <v/>
      </c>
      <c r="I30483" s="4" t="str">
        <v/>
      </c>
    </row>
    <row r="30484" spans="5:9" ht="16.5" hidden="1">
      <c r="E30484" s="4" t="str">
        <v/>
      </c>
      <c r="F30484" s="102" t="str">
        <f ca="1">IFERROR(__xludf.DUMMYFUNCTION("IMPORTRANGE(H30484,""IDENTITAS UNIT!D9"")"),"#N/A")</f>
        <v>#N/A</v>
      </c>
      <c r="H30484" s="4" t="str">
        <v/>
      </c>
      <c r="I30484" s="4" t="str">
        <v/>
      </c>
    </row>
    <row r="30485" spans="5:9" ht="16.5" hidden="1">
      <c r="E30485" s="4" t="str">
        <v/>
      </c>
      <c r="F30485" s="102" t="str">
        <f ca="1">IFERROR(__xludf.DUMMYFUNCTION("IMPORTRANGE(H30485,""IDENTITAS UNIT!D9"")"),"#N/A")</f>
        <v>#N/A</v>
      </c>
      <c r="H30485" s="4" t="str">
        <v/>
      </c>
      <c r="I30485" s="4" t="str">
        <v/>
      </c>
    </row>
    <row r="30486" spans="5:9" ht="16.5" hidden="1">
      <c r="E30486" s="4" t="str">
        <v/>
      </c>
      <c r="F30486" s="102" t="str">
        <f ca="1">IFERROR(__xludf.DUMMYFUNCTION("IMPORTRANGE(H30486,""IDENTITAS UNIT!D9"")"),"#N/A")</f>
        <v>#N/A</v>
      </c>
      <c r="H30486" s="4" t="str">
        <v/>
      </c>
      <c r="I30486" s="4" t="str">
        <v/>
      </c>
    </row>
    <row r="30487" spans="5:9" ht="16.5" hidden="1">
      <c r="E30487" s="4" t="str">
        <v/>
      </c>
      <c r="F30487" s="102" t="str">
        <f ca="1">IFERROR(__xludf.DUMMYFUNCTION("IMPORTRANGE(H30487,""IDENTITAS UNIT!D9"")"),"#N/A")</f>
        <v>#N/A</v>
      </c>
      <c r="H30487" s="4" t="str">
        <v/>
      </c>
      <c r="I30487" s="4" t="str">
        <v/>
      </c>
    </row>
    <row r="30488" spans="5:9" ht="16.5" hidden="1">
      <c r="E30488" s="4" t="str">
        <v/>
      </c>
      <c r="F30488" s="102" t="str">
        <f ca="1">IFERROR(__xludf.DUMMYFUNCTION("IMPORTRANGE(H30488,""IDENTITAS UNIT!D9"")"),"#N/A")</f>
        <v>#N/A</v>
      </c>
      <c r="H30488" s="4" t="str">
        <v/>
      </c>
      <c r="I30488" s="4" t="str">
        <v/>
      </c>
    </row>
    <row r="30489" spans="5:9" ht="16.5" hidden="1">
      <c r="E30489" s="4" t="str">
        <v/>
      </c>
      <c r="F30489" s="102" t="str">
        <f ca="1">IFERROR(__xludf.DUMMYFUNCTION("IMPORTRANGE(H30489,""IDENTITAS UNIT!D9"")"),"#N/A")</f>
        <v>#N/A</v>
      </c>
      <c r="H30489" s="4" t="str">
        <v/>
      </c>
      <c r="I30489" s="4" t="str">
        <v/>
      </c>
    </row>
    <row r="30490" spans="5:9" ht="16.5" hidden="1">
      <c r="E30490" s="4" t="str">
        <v/>
      </c>
      <c r="F30490" s="102" t="str">
        <f ca="1">IFERROR(__xludf.DUMMYFUNCTION("IMPORTRANGE(H30490,""IDENTITAS UNIT!D9"")"),"#N/A")</f>
        <v>#N/A</v>
      </c>
      <c r="H30490" s="4" t="str">
        <v/>
      </c>
      <c r="I30490" s="4" t="str">
        <v/>
      </c>
    </row>
    <row r="30491" spans="5:9" ht="16.5" hidden="1">
      <c r="E30491" s="4" t="str">
        <v/>
      </c>
      <c r="F30491" s="102" t="str">
        <f ca="1">IFERROR(__xludf.DUMMYFUNCTION("IMPORTRANGE(H30491,""IDENTITAS UNIT!D9"")"),"#N/A")</f>
        <v>#N/A</v>
      </c>
      <c r="H30491" s="4" t="str">
        <v/>
      </c>
      <c r="I30491" s="4" t="str">
        <v/>
      </c>
    </row>
    <row r="30492" spans="5:9" ht="16.5" hidden="1">
      <c r="E30492" s="4" t="str">
        <v/>
      </c>
      <c r="F30492" s="102" t="str">
        <f ca="1">IFERROR(__xludf.DUMMYFUNCTION("IMPORTRANGE(H30492,""IDENTITAS UNIT!D9"")"),"#N/A")</f>
        <v>#N/A</v>
      </c>
      <c r="H30492" s="4" t="str">
        <v/>
      </c>
      <c r="I30492" s="4" t="str">
        <v/>
      </c>
    </row>
    <row r="30493" spans="5:9" ht="16.5" hidden="1">
      <c r="E30493" s="4" t="str">
        <v/>
      </c>
      <c r="F30493" s="102" t="str">
        <f ca="1">IFERROR(__xludf.DUMMYFUNCTION("IMPORTRANGE(H30493,""IDENTITAS UNIT!D9"")"),"#N/A")</f>
        <v>#N/A</v>
      </c>
      <c r="H30493" s="4" t="str">
        <v/>
      </c>
      <c r="I30493" s="4" t="str">
        <v/>
      </c>
    </row>
    <row r="30494" spans="5:9" ht="16.5" hidden="1">
      <c r="E30494" s="4" t="str">
        <v/>
      </c>
      <c r="F30494" s="102" t="str">
        <f ca="1">IFERROR(__xludf.DUMMYFUNCTION("IMPORTRANGE(H30494,""IDENTITAS UNIT!D9"")"),"#N/A")</f>
        <v>#N/A</v>
      </c>
      <c r="H30494" s="4" t="str">
        <v/>
      </c>
      <c r="I30494" s="4" t="str">
        <v/>
      </c>
    </row>
    <row r="30495" spans="5:9" ht="16.5" hidden="1">
      <c r="E30495" s="4" t="str">
        <v/>
      </c>
      <c r="F30495" s="102" t="str">
        <f ca="1">IFERROR(__xludf.DUMMYFUNCTION("IMPORTRANGE(H30495,""IDENTITAS UNIT!D9"")"),"#N/A")</f>
        <v>#N/A</v>
      </c>
      <c r="H30495" s="4" t="str">
        <v/>
      </c>
      <c r="I30495" s="4" t="str">
        <v/>
      </c>
    </row>
    <row r="30496" spans="5:9" ht="16.5" hidden="1">
      <c r="E30496" s="4" t="str">
        <v/>
      </c>
      <c r="F30496" s="102" t="str">
        <f ca="1">IFERROR(__xludf.DUMMYFUNCTION("IMPORTRANGE(H30496,""IDENTITAS UNIT!D9"")"),"#N/A")</f>
        <v>#N/A</v>
      </c>
      <c r="H30496" s="4" t="str">
        <v/>
      </c>
      <c r="I30496" s="4" t="str">
        <v/>
      </c>
    </row>
    <row r="30497" spans="5:9" ht="16.5" hidden="1">
      <c r="E30497" s="4" t="str">
        <v/>
      </c>
      <c r="F30497" s="102" t="str">
        <f ca="1">IFERROR(__xludf.DUMMYFUNCTION("IMPORTRANGE(H30497,""IDENTITAS UNIT!D9"")"),"#N/A")</f>
        <v>#N/A</v>
      </c>
      <c r="H30497" s="4" t="str">
        <v/>
      </c>
      <c r="I30497" s="4" t="str">
        <v/>
      </c>
    </row>
    <row r="30498" spans="5:9" ht="16.5" hidden="1">
      <c r="E30498" s="4" t="str">
        <v/>
      </c>
      <c r="F30498" s="102" t="str">
        <f ca="1">IFERROR(__xludf.DUMMYFUNCTION("IMPORTRANGE(H30498,""IDENTITAS UNIT!D9"")"),"#N/A")</f>
        <v>#N/A</v>
      </c>
      <c r="H30498" s="4" t="str">
        <v/>
      </c>
      <c r="I30498" s="4" t="str">
        <v/>
      </c>
    </row>
    <row r="30499" spans="5:9" ht="16.5" hidden="1">
      <c r="E30499" s="4" t="str">
        <v/>
      </c>
      <c r="F30499" s="102" t="str">
        <f ca="1">IFERROR(__xludf.DUMMYFUNCTION("IMPORTRANGE(H30499,""IDENTITAS UNIT!D9"")"),"#N/A")</f>
        <v>#N/A</v>
      </c>
      <c r="H30499" s="4" t="str">
        <v/>
      </c>
      <c r="I30499" s="4" t="str">
        <v/>
      </c>
    </row>
    <row r="30500" spans="5:9" ht="16.5" hidden="1">
      <c r="E30500" s="4" t="str">
        <v/>
      </c>
      <c r="F30500" s="102" t="str">
        <f ca="1">IFERROR(__xludf.DUMMYFUNCTION("IMPORTRANGE(H30500,""IDENTITAS UNIT!D9"")"),"#N/A")</f>
        <v>#N/A</v>
      </c>
      <c r="H30500" s="4" t="str">
        <v/>
      </c>
      <c r="I30500" s="4" t="str">
        <v/>
      </c>
    </row>
    <row r="30501" spans="5:9" ht="16.5" hidden="1">
      <c r="E30501" s="4" t="str">
        <v/>
      </c>
      <c r="F30501" s="102" t="str">
        <f ca="1">IFERROR(__xludf.DUMMYFUNCTION("IMPORTRANGE(H30501,""IDENTITAS UNIT!D9"")"),"#N/A")</f>
        <v>#N/A</v>
      </c>
      <c r="H30501" s="4" t="str">
        <v/>
      </c>
      <c r="I30501" s="4" t="str">
        <v/>
      </c>
    </row>
    <row r="30502" spans="5:9" ht="16.5" hidden="1">
      <c r="E30502" s="4" t="str">
        <v/>
      </c>
      <c r="F30502" s="102" t="str">
        <f ca="1">IFERROR(__xludf.DUMMYFUNCTION("IMPORTRANGE(H30502,""IDENTITAS UNIT!D9"")"),"#N/A")</f>
        <v>#N/A</v>
      </c>
      <c r="H30502" s="4" t="str">
        <v/>
      </c>
      <c r="I30502" s="4" t="str">
        <v/>
      </c>
    </row>
    <row r="30503" spans="5:9" ht="16.5" hidden="1">
      <c r="E30503" s="4" t="str">
        <v/>
      </c>
      <c r="F30503" s="102" t="str">
        <f ca="1">IFERROR(__xludf.DUMMYFUNCTION("IMPORTRANGE(H30503,""IDENTITAS UNIT!D9"")"),"#N/A")</f>
        <v>#N/A</v>
      </c>
      <c r="H30503" s="4" t="str">
        <v/>
      </c>
      <c r="I30503" s="4" t="str">
        <v/>
      </c>
    </row>
    <row r="30504" spans="5:9" ht="16.5" hidden="1">
      <c r="E30504" s="4" t="str">
        <v/>
      </c>
      <c r="F30504" s="102" t="str">
        <f ca="1">IFERROR(__xludf.DUMMYFUNCTION("IMPORTRANGE(H30504,""IDENTITAS UNIT!D9"")"),"#N/A")</f>
        <v>#N/A</v>
      </c>
      <c r="H30504" s="4" t="str">
        <v/>
      </c>
      <c r="I30504" s="4" t="str">
        <v/>
      </c>
    </row>
    <row r="30505" spans="5:9" ht="16.5" hidden="1">
      <c r="E30505" s="4" t="str">
        <v/>
      </c>
      <c r="F30505" s="102" t="str">
        <f ca="1">IFERROR(__xludf.DUMMYFUNCTION("IMPORTRANGE(H30505,""IDENTITAS UNIT!D9"")"),"#N/A")</f>
        <v>#N/A</v>
      </c>
      <c r="H30505" s="4" t="str">
        <v/>
      </c>
      <c r="I30505" s="4" t="str">
        <v/>
      </c>
    </row>
    <row r="30506" spans="5:9" ht="16.5" hidden="1">
      <c r="E30506" s="4" t="str">
        <v/>
      </c>
      <c r="F30506" s="102" t="str">
        <f ca="1">IFERROR(__xludf.DUMMYFUNCTION("IMPORTRANGE(H30506,""IDENTITAS UNIT!D9"")"),"#N/A")</f>
        <v>#N/A</v>
      </c>
      <c r="H30506" s="4" t="str">
        <v/>
      </c>
      <c r="I30506" s="4" t="str">
        <v/>
      </c>
    </row>
    <row r="30507" spans="5:9" ht="16.5" hidden="1">
      <c r="E30507" s="4" t="str">
        <v/>
      </c>
      <c r="F30507" s="102" t="str">
        <f ca="1">IFERROR(__xludf.DUMMYFUNCTION("IMPORTRANGE(H30507,""IDENTITAS UNIT!D9"")"),"#N/A")</f>
        <v>#N/A</v>
      </c>
      <c r="H30507" s="4" t="str">
        <v/>
      </c>
      <c r="I30507" s="4" t="str">
        <v/>
      </c>
    </row>
    <row r="30508" spans="5:9" ht="16.5" hidden="1">
      <c r="E30508" s="4" t="str">
        <v/>
      </c>
      <c r="F30508" s="102" t="str">
        <f ca="1">IFERROR(__xludf.DUMMYFUNCTION("IMPORTRANGE(H30508,""IDENTITAS UNIT!D9"")"),"#N/A")</f>
        <v>#N/A</v>
      </c>
      <c r="H30508" s="4" t="str">
        <v/>
      </c>
      <c r="I30508" s="4" t="str">
        <v/>
      </c>
    </row>
    <row r="30509" spans="5:9" ht="16.5" hidden="1">
      <c r="E30509" s="4" t="str">
        <v/>
      </c>
      <c r="F30509" s="102" t="str">
        <f ca="1">IFERROR(__xludf.DUMMYFUNCTION("IMPORTRANGE(H30509,""IDENTITAS UNIT!D9"")"),"#N/A")</f>
        <v>#N/A</v>
      </c>
      <c r="H30509" s="4" t="str">
        <v/>
      </c>
      <c r="I30509" s="4" t="str">
        <v/>
      </c>
    </row>
    <row r="30510" spans="5:9" ht="16.5" hidden="1">
      <c r="E30510" s="4" t="str">
        <v/>
      </c>
      <c r="F30510" s="102" t="str">
        <f ca="1">IFERROR(__xludf.DUMMYFUNCTION("IMPORTRANGE(H30510,""IDENTITAS UNIT!D9"")"),"#N/A")</f>
        <v>#N/A</v>
      </c>
      <c r="H30510" s="4" t="str">
        <v/>
      </c>
      <c r="I30510" s="4" t="str">
        <v/>
      </c>
    </row>
    <row r="30511" spans="5:9" ht="16.5" hidden="1">
      <c r="E30511" s="4" t="str">
        <v/>
      </c>
      <c r="F30511" s="102" t="str">
        <f ca="1">IFERROR(__xludf.DUMMYFUNCTION("IMPORTRANGE(H30511,""IDENTITAS UNIT!D9"")"),"#N/A")</f>
        <v>#N/A</v>
      </c>
      <c r="H30511" s="4" t="str">
        <v/>
      </c>
      <c r="I30511" s="4" t="str">
        <v/>
      </c>
    </row>
    <row r="30512" spans="5:9" ht="16.5" hidden="1">
      <c r="E30512" s="4" t="str">
        <v/>
      </c>
      <c r="F30512" s="102" t="str">
        <f ca="1">IFERROR(__xludf.DUMMYFUNCTION("IMPORTRANGE(H30512,""IDENTITAS UNIT!D9"")"),"#N/A")</f>
        <v>#N/A</v>
      </c>
      <c r="H30512" s="4" t="str">
        <v/>
      </c>
      <c r="I30512" s="4" t="str">
        <v/>
      </c>
    </row>
    <row r="30513" spans="5:9" ht="16.5" hidden="1">
      <c r="E30513" s="4" t="str">
        <v/>
      </c>
      <c r="F30513" s="102" t="str">
        <f ca="1">IFERROR(__xludf.DUMMYFUNCTION("IMPORTRANGE(H30513,""IDENTITAS UNIT!D9"")"),"#N/A")</f>
        <v>#N/A</v>
      </c>
      <c r="H30513" s="4" t="str">
        <v/>
      </c>
      <c r="I30513" s="4" t="str">
        <v/>
      </c>
    </row>
    <row r="30514" spans="5:9" ht="16.5" hidden="1">
      <c r="E30514" s="4" t="str">
        <v/>
      </c>
      <c r="F30514" s="102" t="str">
        <f ca="1">IFERROR(__xludf.DUMMYFUNCTION("IMPORTRANGE(H30514,""IDENTITAS UNIT!D9"")"),"#N/A")</f>
        <v>#N/A</v>
      </c>
      <c r="H30514" s="4" t="str">
        <v/>
      </c>
      <c r="I30514" s="4" t="str">
        <v/>
      </c>
    </row>
    <row r="30515" spans="5:9" ht="16.5" hidden="1">
      <c r="E30515" s="4" t="str">
        <v/>
      </c>
      <c r="F30515" s="102" t="str">
        <f ca="1">IFERROR(__xludf.DUMMYFUNCTION("IMPORTRANGE(H30515,""IDENTITAS UNIT!D9"")"),"#N/A")</f>
        <v>#N/A</v>
      </c>
      <c r="H30515" s="4" t="str">
        <v/>
      </c>
      <c r="I30515" s="4" t="str">
        <v/>
      </c>
    </row>
    <row r="30516" spans="5:9" ht="16.5" hidden="1">
      <c r="E30516" s="4" t="str">
        <v/>
      </c>
      <c r="F30516" s="102" t="str">
        <f ca="1">IFERROR(__xludf.DUMMYFUNCTION("IMPORTRANGE(H30516,""IDENTITAS UNIT!D9"")"),"#N/A")</f>
        <v>#N/A</v>
      </c>
      <c r="H30516" s="4" t="str">
        <v/>
      </c>
      <c r="I30516" s="4" t="str">
        <v/>
      </c>
    </row>
    <row r="30517" spans="5:9" ht="16.5" hidden="1">
      <c r="E30517" s="4" t="str">
        <v/>
      </c>
      <c r="F30517" s="102" t="str">
        <f ca="1">IFERROR(__xludf.DUMMYFUNCTION("IMPORTRANGE(H30517,""IDENTITAS UNIT!D9"")"),"#N/A")</f>
        <v>#N/A</v>
      </c>
      <c r="H30517" s="4" t="str">
        <v/>
      </c>
      <c r="I30517" s="4" t="str">
        <v/>
      </c>
    </row>
    <row r="30518" spans="5:9" ht="16.5" hidden="1">
      <c r="E30518" s="4" t="str">
        <v/>
      </c>
      <c r="F30518" s="102" t="str">
        <f ca="1">IFERROR(__xludf.DUMMYFUNCTION("IMPORTRANGE(H30518,""IDENTITAS UNIT!D9"")"),"#N/A")</f>
        <v>#N/A</v>
      </c>
      <c r="H30518" s="4" t="str">
        <v/>
      </c>
      <c r="I30518" s="4" t="str">
        <v/>
      </c>
    </row>
    <row r="30519" spans="5:9" ht="16.5" hidden="1">
      <c r="E30519" s="4" t="str">
        <v/>
      </c>
      <c r="F30519" s="102" t="str">
        <f ca="1">IFERROR(__xludf.DUMMYFUNCTION("IMPORTRANGE(H30519,""IDENTITAS UNIT!D9"")"),"#N/A")</f>
        <v>#N/A</v>
      </c>
      <c r="H30519" s="4" t="str">
        <v/>
      </c>
      <c r="I30519" s="4" t="str">
        <v/>
      </c>
    </row>
    <row r="30520" spans="5:9" ht="16.5" hidden="1">
      <c r="E30520" s="4" t="str">
        <v/>
      </c>
      <c r="F30520" s="102" t="str">
        <f ca="1">IFERROR(__xludf.DUMMYFUNCTION("IMPORTRANGE(H30520,""IDENTITAS UNIT!D9"")"),"#N/A")</f>
        <v>#N/A</v>
      </c>
      <c r="H30520" s="4" t="str">
        <v/>
      </c>
      <c r="I30520" s="4" t="str">
        <v/>
      </c>
    </row>
    <row r="30521" spans="5:9" ht="16.5" hidden="1">
      <c r="E30521" s="4" t="str">
        <v/>
      </c>
      <c r="F30521" s="102" t="str">
        <f ca="1">IFERROR(__xludf.DUMMYFUNCTION("IMPORTRANGE(H30521,""IDENTITAS UNIT!D9"")"),"#N/A")</f>
        <v>#N/A</v>
      </c>
      <c r="H30521" s="4" t="str">
        <v/>
      </c>
      <c r="I30521" s="4" t="str">
        <v/>
      </c>
    </row>
    <row r="30522" spans="5:9" ht="16.5" hidden="1">
      <c r="E30522" s="4" t="str">
        <v/>
      </c>
      <c r="F30522" s="102" t="str">
        <f ca="1">IFERROR(__xludf.DUMMYFUNCTION("IMPORTRANGE(H30522,""IDENTITAS UNIT!D9"")"),"#N/A")</f>
        <v>#N/A</v>
      </c>
      <c r="H30522" s="4" t="str">
        <v/>
      </c>
      <c r="I30522" s="4" t="str">
        <v/>
      </c>
    </row>
    <row r="30523" spans="5:9" ht="16.5" hidden="1">
      <c r="E30523" s="4" t="str">
        <v/>
      </c>
      <c r="F30523" s="102" t="str">
        <f ca="1">IFERROR(__xludf.DUMMYFUNCTION("IMPORTRANGE(H30523,""IDENTITAS UNIT!D9"")"),"#N/A")</f>
        <v>#N/A</v>
      </c>
      <c r="H30523" s="4" t="str">
        <v/>
      </c>
      <c r="I30523" s="4" t="str">
        <v/>
      </c>
    </row>
    <row r="30524" spans="5:9" ht="16.5" hidden="1">
      <c r="E30524" s="4" t="str">
        <v/>
      </c>
      <c r="F30524" s="102" t="str">
        <f ca="1">IFERROR(__xludf.DUMMYFUNCTION("IMPORTRANGE(H30524,""IDENTITAS UNIT!D9"")"),"#N/A")</f>
        <v>#N/A</v>
      </c>
      <c r="H30524" s="4" t="str">
        <v/>
      </c>
      <c r="I30524" s="4" t="str">
        <v/>
      </c>
    </row>
    <row r="30525" spans="5:9" ht="16.5" hidden="1">
      <c r="E30525" s="4" t="str">
        <v/>
      </c>
      <c r="F30525" s="102" t="str">
        <f ca="1">IFERROR(__xludf.DUMMYFUNCTION("IMPORTRANGE(H30525,""IDENTITAS UNIT!D9"")"),"#N/A")</f>
        <v>#N/A</v>
      </c>
      <c r="H30525" s="4" t="str">
        <v/>
      </c>
      <c r="I30525" s="4" t="str">
        <v/>
      </c>
    </row>
    <row r="30526" spans="5:9" ht="16.5" hidden="1">
      <c r="E30526" s="4" t="str">
        <v/>
      </c>
      <c r="F30526" s="102" t="str">
        <f ca="1">IFERROR(__xludf.DUMMYFUNCTION("IMPORTRANGE(H30526,""IDENTITAS UNIT!D9"")"),"#N/A")</f>
        <v>#N/A</v>
      </c>
      <c r="H30526" s="4" t="str">
        <v/>
      </c>
      <c r="I30526" s="4" t="str">
        <v/>
      </c>
    </row>
    <row r="30527" spans="5:9" ht="16.5" hidden="1">
      <c r="E30527" s="4" t="str">
        <v/>
      </c>
      <c r="F30527" s="102" t="str">
        <f ca="1">IFERROR(__xludf.DUMMYFUNCTION("IMPORTRANGE(H30527,""IDENTITAS UNIT!D9"")"),"#N/A")</f>
        <v>#N/A</v>
      </c>
      <c r="H30527" s="4" t="str">
        <v/>
      </c>
      <c r="I30527" s="4" t="str">
        <v/>
      </c>
    </row>
    <row r="30528" spans="5:9" ht="16.5" hidden="1">
      <c r="E30528" s="4" t="str">
        <v/>
      </c>
      <c r="F30528" s="102" t="str">
        <f ca="1">IFERROR(__xludf.DUMMYFUNCTION("IMPORTRANGE(H30528,""IDENTITAS UNIT!D9"")"),"#N/A")</f>
        <v>#N/A</v>
      </c>
      <c r="H30528" s="4" t="str">
        <v/>
      </c>
      <c r="I30528" s="4" t="str">
        <v/>
      </c>
    </row>
    <row r="30529" spans="5:9" ht="16.5" hidden="1">
      <c r="E30529" s="4" t="str">
        <v/>
      </c>
      <c r="F30529" s="102" t="str">
        <f ca="1">IFERROR(__xludf.DUMMYFUNCTION("IMPORTRANGE(H30529,""IDENTITAS UNIT!D9"")"),"#N/A")</f>
        <v>#N/A</v>
      </c>
      <c r="H30529" s="4" t="str">
        <v/>
      </c>
      <c r="I30529" s="4" t="str">
        <v/>
      </c>
    </row>
    <row r="30530" spans="5:9" ht="16.5" hidden="1">
      <c r="E30530" s="4" t="str">
        <v/>
      </c>
      <c r="F30530" s="102" t="str">
        <f ca="1">IFERROR(__xludf.DUMMYFUNCTION("IMPORTRANGE(H30530,""IDENTITAS UNIT!D9"")"),"#N/A")</f>
        <v>#N/A</v>
      </c>
      <c r="H30530" s="4" t="str">
        <v/>
      </c>
      <c r="I30530" s="4" t="str">
        <v/>
      </c>
    </row>
    <row r="30531" spans="5:9" ht="16.5" hidden="1">
      <c r="E30531" s="4" t="str">
        <v/>
      </c>
      <c r="F30531" s="102" t="str">
        <f ca="1">IFERROR(__xludf.DUMMYFUNCTION("IMPORTRANGE(H30531,""IDENTITAS UNIT!D9"")"),"#N/A")</f>
        <v>#N/A</v>
      </c>
      <c r="H30531" s="4" t="str">
        <v/>
      </c>
      <c r="I30531" s="4" t="str">
        <v/>
      </c>
    </row>
    <row r="30532" spans="5:9" ht="16.5" hidden="1">
      <c r="E30532" s="4" t="str">
        <v/>
      </c>
      <c r="F30532" s="102" t="str">
        <f ca="1">IFERROR(__xludf.DUMMYFUNCTION("IMPORTRANGE(H30532,""IDENTITAS UNIT!D9"")"),"#N/A")</f>
        <v>#N/A</v>
      </c>
      <c r="H30532" s="4" t="str">
        <v/>
      </c>
      <c r="I30532" s="4" t="str">
        <v/>
      </c>
    </row>
    <row r="30533" spans="5:9" ht="16.5" hidden="1">
      <c r="E30533" s="4" t="str">
        <v/>
      </c>
      <c r="F30533" s="102" t="str">
        <f ca="1">IFERROR(__xludf.DUMMYFUNCTION("IMPORTRANGE(H30533,""IDENTITAS UNIT!D9"")"),"#N/A")</f>
        <v>#N/A</v>
      </c>
      <c r="H30533" s="4" t="str">
        <v/>
      </c>
      <c r="I30533" s="4" t="str">
        <v/>
      </c>
    </row>
    <row r="30534" spans="5:9" ht="16.5" hidden="1">
      <c r="E30534" s="4" t="str">
        <v/>
      </c>
      <c r="F30534" s="102" t="str">
        <f ca="1">IFERROR(__xludf.DUMMYFUNCTION("IMPORTRANGE(H30534,""IDENTITAS UNIT!D9"")"),"#N/A")</f>
        <v>#N/A</v>
      </c>
      <c r="H30534" s="4" t="str">
        <v/>
      </c>
      <c r="I30534" s="4" t="str">
        <v/>
      </c>
    </row>
    <row r="30535" spans="5:9" ht="16.5" hidden="1">
      <c r="E30535" s="4" t="str">
        <v/>
      </c>
      <c r="F30535" s="102" t="str">
        <f ca="1">IFERROR(__xludf.DUMMYFUNCTION("IMPORTRANGE(H30535,""IDENTITAS UNIT!D9"")"),"#N/A")</f>
        <v>#N/A</v>
      </c>
      <c r="H30535" s="4" t="str">
        <v/>
      </c>
      <c r="I30535" s="4" t="str">
        <v/>
      </c>
    </row>
    <row r="30536" spans="5:9" ht="16.5" hidden="1">
      <c r="E30536" s="4" t="str">
        <v/>
      </c>
      <c r="F30536" s="102" t="str">
        <f ca="1">IFERROR(__xludf.DUMMYFUNCTION("IMPORTRANGE(H30536,""IDENTITAS UNIT!D9"")"),"#N/A")</f>
        <v>#N/A</v>
      </c>
      <c r="H30536" s="4" t="str">
        <v/>
      </c>
      <c r="I30536" s="4" t="str">
        <v/>
      </c>
    </row>
    <row r="30537" spans="5:9" ht="16.5" hidden="1">
      <c r="E30537" s="4" t="str">
        <v/>
      </c>
      <c r="F30537" s="102" t="str">
        <f ca="1">IFERROR(__xludf.DUMMYFUNCTION("IMPORTRANGE(H30537,""IDENTITAS UNIT!D9"")"),"#N/A")</f>
        <v>#N/A</v>
      </c>
      <c r="H30537" s="4" t="str">
        <v/>
      </c>
      <c r="I30537" s="4" t="str">
        <v/>
      </c>
    </row>
    <row r="30538" spans="5:9" ht="16.5" hidden="1">
      <c r="E30538" s="4" t="str">
        <v/>
      </c>
      <c r="F30538" s="102" t="str">
        <f ca="1">IFERROR(__xludf.DUMMYFUNCTION("IMPORTRANGE(H30538,""IDENTITAS UNIT!D9"")"),"#N/A")</f>
        <v>#N/A</v>
      </c>
      <c r="H30538" s="4" t="str">
        <v/>
      </c>
      <c r="I30538" s="4" t="str">
        <v/>
      </c>
    </row>
    <row r="30539" spans="5:9" ht="16.5" hidden="1">
      <c r="E30539" s="4" t="str">
        <v/>
      </c>
      <c r="F30539" s="102" t="str">
        <f ca="1">IFERROR(__xludf.DUMMYFUNCTION("IMPORTRANGE(H30539,""IDENTITAS UNIT!D9"")"),"#N/A")</f>
        <v>#N/A</v>
      </c>
      <c r="H30539" s="4" t="str">
        <v/>
      </c>
      <c r="I30539" s="4" t="str">
        <v/>
      </c>
    </row>
    <row r="30540" spans="5:9" ht="16.5" hidden="1">
      <c r="E30540" s="4" t="str">
        <v/>
      </c>
      <c r="F30540" s="102" t="str">
        <f ca="1">IFERROR(__xludf.DUMMYFUNCTION("IMPORTRANGE(H30540,""IDENTITAS UNIT!D9"")"),"#N/A")</f>
        <v>#N/A</v>
      </c>
      <c r="H30540" s="4" t="str">
        <v/>
      </c>
      <c r="I30540" s="4" t="str">
        <v/>
      </c>
    </row>
    <row r="30541" spans="5:9" ht="16.5" hidden="1">
      <c r="E30541" s="4" t="str">
        <v/>
      </c>
      <c r="F30541" s="102" t="str">
        <f ca="1">IFERROR(__xludf.DUMMYFUNCTION("IMPORTRANGE(H30541,""IDENTITAS UNIT!D9"")"),"#N/A")</f>
        <v>#N/A</v>
      </c>
      <c r="H30541" s="4" t="str">
        <v/>
      </c>
      <c r="I30541" s="4" t="str">
        <v/>
      </c>
    </row>
    <row r="30542" spans="5:9" ht="16.5" hidden="1">
      <c r="E30542" s="4" t="str">
        <v/>
      </c>
      <c r="F30542" s="102" t="str">
        <f ca="1">IFERROR(__xludf.DUMMYFUNCTION("IMPORTRANGE(H30542,""IDENTITAS UNIT!D9"")"),"#N/A")</f>
        <v>#N/A</v>
      </c>
      <c r="H30542" s="4" t="str">
        <v/>
      </c>
      <c r="I30542" s="4" t="str">
        <v/>
      </c>
    </row>
    <row r="30543" spans="5:9" ht="16.5" hidden="1">
      <c r="E30543" s="4" t="str">
        <v/>
      </c>
      <c r="F30543" s="102" t="str">
        <f ca="1">IFERROR(__xludf.DUMMYFUNCTION("IMPORTRANGE(H30543,""IDENTITAS UNIT!D9"")"),"#N/A")</f>
        <v>#N/A</v>
      </c>
      <c r="H30543" s="4" t="str">
        <v/>
      </c>
      <c r="I30543" s="4" t="str">
        <v/>
      </c>
    </row>
    <row r="30544" spans="5:9" ht="16.5" hidden="1">
      <c r="E30544" s="4" t="str">
        <v/>
      </c>
      <c r="F30544" s="102" t="str">
        <f ca="1">IFERROR(__xludf.DUMMYFUNCTION("IMPORTRANGE(H30544,""IDENTITAS UNIT!D9"")"),"#N/A")</f>
        <v>#N/A</v>
      </c>
      <c r="H30544" s="4" t="str">
        <v/>
      </c>
      <c r="I30544" s="4" t="str">
        <v/>
      </c>
    </row>
    <row r="30545" spans="5:9" ht="16.5" hidden="1">
      <c r="E30545" s="4" t="str">
        <v/>
      </c>
      <c r="F30545" s="102" t="str">
        <f ca="1">IFERROR(__xludf.DUMMYFUNCTION("IMPORTRANGE(H30545,""IDENTITAS UNIT!D9"")"),"#N/A")</f>
        <v>#N/A</v>
      </c>
      <c r="H30545" s="4" t="str">
        <v/>
      </c>
      <c r="I30545" s="4" t="str">
        <v/>
      </c>
    </row>
    <row r="30546" spans="5:9" ht="16.5" hidden="1">
      <c r="E30546" s="4" t="str">
        <v/>
      </c>
      <c r="F30546" s="102" t="str">
        <f ca="1">IFERROR(__xludf.DUMMYFUNCTION("IMPORTRANGE(H30546,""IDENTITAS UNIT!D9"")"),"#N/A")</f>
        <v>#N/A</v>
      </c>
      <c r="H30546" s="4" t="str">
        <v/>
      </c>
      <c r="I30546" s="4" t="str">
        <v/>
      </c>
    </row>
    <row r="30547" spans="5:9" ht="16.5" hidden="1">
      <c r="E30547" s="4" t="str">
        <v/>
      </c>
      <c r="F30547" s="102" t="str">
        <f ca="1">IFERROR(__xludf.DUMMYFUNCTION("IMPORTRANGE(H30547,""IDENTITAS UNIT!D9"")"),"#N/A")</f>
        <v>#N/A</v>
      </c>
      <c r="H30547" s="4" t="str">
        <v/>
      </c>
      <c r="I30547" s="4" t="str">
        <v/>
      </c>
    </row>
    <row r="30548" spans="5:9" ht="16.5" hidden="1">
      <c r="E30548" s="4" t="str">
        <v/>
      </c>
      <c r="F30548" s="102" t="str">
        <f ca="1">IFERROR(__xludf.DUMMYFUNCTION("IMPORTRANGE(H30548,""IDENTITAS UNIT!D9"")"),"#N/A")</f>
        <v>#N/A</v>
      </c>
      <c r="H30548" s="4" t="str">
        <v/>
      </c>
      <c r="I30548" s="4" t="str">
        <v/>
      </c>
    </row>
    <row r="30549" spans="5:9" ht="16.5" hidden="1">
      <c r="E30549" s="4" t="str">
        <v/>
      </c>
      <c r="F30549" s="102" t="str">
        <f ca="1">IFERROR(__xludf.DUMMYFUNCTION("IMPORTRANGE(H30549,""IDENTITAS UNIT!D9"")"),"#N/A")</f>
        <v>#N/A</v>
      </c>
      <c r="H30549" s="4" t="str">
        <v/>
      </c>
      <c r="I30549" s="4" t="str">
        <v/>
      </c>
    </row>
    <row r="30550" spans="5:9" ht="16.5" hidden="1">
      <c r="E30550" s="4" t="str">
        <v/>
      </c>
      <c r="F30550" s="102" t="str">
        <f ca="1">IFERROR(__xludf.DUMMYFUNCTION("IMPORTRANGE(H30550,""IDENTITAS UNIT!D9"")"),"#N/A")</f>
        <v>#N/A</v>
      </c>
      <c r="H30550" s="4" t="str">
        <v/>
      </c>
      <c r="I30550" s="4" t="str">
        <v/>
      </c>
    </row>
    <row r="30551" spans="5:9" ht="16.5" hidden="1">
      <c r="E30551" s="4" t="str">
        <v/>
      </c>
      <c r="F30551" s="102" t="str">
        <f ca="1">IFERROR(__xludf.DUMMYFUNCTION("IMPORTRANGE(H30551,""IDENTITAS UNIT!D9"")"),"#N/A")</f>
        <v>#N/A</v>
      </c>
      <c r="H30551" s="4" t="str">
        <v/>
      </c>
      <c r="I30551" s="4" t="str">
        <v/>
      </c>
    </row>
    <row r="30552" spans="5:9" ht="16.5" hidden="1">
      <c r="E30552" s="4" t="str">
        <v/>
      </c>
      <c r="F30552" s="102" t="str">
        <f ca="1">IFERROR(__xludf.DUMMYFUNCTION("IMPORTRANGE(H30552,""IDENTITAS UNIT!D9"")"),"#N/A")</f>
        <v>#N/A</v>
      </c>
      <c r="H30552" s="4" t="str">
        <v/>
      </c>
      <c r="I30552" s="4" t="str">
        <v/>
      </c>
    </row>
    <row r="30553" spans="5:9" ht="16.5" hidden="1">
      <c r="E30553" s="4" t="str">
        <v/>
      </c>
      <c r="F30553" s="102" t="str">
        <f ca="1">IFERROR(__xludf.DUMMYFUNCTION("IMPORTRANGE(H30553,""IDENTITAS UNIT!D9"")"),"#N/A")</f>
        <v>#N/A</v>
      </c>
      <c r="H30553" s="4" t="str">
        <v/>
      </c>
      <c r="I30553" s="4" t="str">
        <v/>
      </c>
    </row>
    <row r="30554" spans="5:9" ht="16.5" hidden="1">
      <c r="E30554" s="4" t="str">
        <v/>
      </c>
      <c r="F30554" s="102" t="str">
        <f ca="1">IFERROR(__xludf.DUMMYFUNCTION("IMPORTRANGE(H30554,""IDENTITAS UNIT!D9"")"),"#N/A")</f>
        <v>#N/A</v>
      </c>
      <c r="H30554" s="4" t="str">
        <v/>
      </c>
      <c r="I30554" s="4" t="str">
        <v/>
      </c>
    </row>
    <row r="30555" spans="5:9" ht="16.5" hidden="1">
      <c r="E30555" s="4" t="str">
        <v/>
      </c>
      <c r="F30555" s="102" t="str">
        <f ca="1">IFERROR(__xludf.DUMMYFUNCTION("IMPORTRANGE(H30555,""IDENTITAS UNIT!D9"")"),"#N/A")</f>
        <v>#N/A</v>
      </c>
      <c r="H30555" s="4" t="str">
        <v/>
      </c>
      <c r="I30555" s="4" t="str">
        <v/>
      </c>
    </row>
    <row r="30556" spans="5:9" ht="16.5" hidden="1">
      <c r="E30556" s="4" t="str">
        <v/>
      </c>
      <c r="F30556" s="102" t="str">
        <f ca="1">IFERROR(__xludf.DUMMYFUNCTION("IMPORTRANGE(H30556,""IDENTITAS UNIT!D9"")"),"#N/A")</f>
        <v>#N/A</v>
      </c>
      <c r="H30556" s="4" t="str">
        <v/>
      </c>
      <c r="I30556" s="4" t="str">
        <v/>
      </c>
    </row>
    <row r="30557" spans="5:9" ht="16.5" hidden="1">
      <c r="E30557" s="4" t="str">
        <v/>
      </c>
      <c r="F30557" s="102" t="str">
        <f ca="1">IFERROR(__xludf.DUMMYFUNCTION("IMPORTRANGE(H30557,""IDENTITAS UNIT!D9"")"),"#N/A")</f>
        <v>#N/A</v>
      </c>
      <c r="H30557" s="4" t="str">
        <v/>
      </c>
      <c r="I30557" s="4" t="str">
        <v/>
      </c>
    </row>
    <row r="30558" spans="5:9" ht="16.5" hidden="1">
      <c r="E30558" s="4" t="str">
        <v/>
      </c>
      <c r="F30558" s="102" t="str">
        <f ca="1">IFERROR(__xludf.DUMMYFUNCTION("IMPORTRANGE(H30558,""IDENTITAS UNIT!D9"")"),"#N/A")</f>
        <v>#N/A</v>
      </c>
      <c r="H30558" s="4" t="str">
        <v/>
      </c>
      <c r="I30558" s="4" t="str">
        <v/>
      </c>
    </row>
    <row r="30559" spans="5:9" ht="16.5" hidden="1">
      <c r="E30559" s="4" t="str">
        <v/>
      </c>
      <c r="F30559" s="102" t="str">
        <f ca="1">IFERROR(__xludf.DUMMYFUNCTION("IMPORTRANGE(H30559,""IDENTITAS UNIT!D9"")"),"#N/A")</f>
        <v>#N/A</v>
      </c>
      <c r="H30559" s="4" t="str">
        <v/>
      </c>
      <c r="I30559" s="4" t="str">
        <v/>
      </c>
    </row>
    <row r="30560" spans="5:9" ht="16.5" hidden="1">
      <c r="E30560" s="4" t="str">
        <v/>
      </c>
      <c r="F30560" s="102" t="str">
        <f ca="1">IFERROR(__xludf.DUMMYFUNCTION("IMPORTRANGE(H30560,""IDENTITAS UNIT!D9"")"),"#N/A")</f>
        <v>#N/A</v>
      </c>
      <c r="H30560" s="4" t="str">
        <v/>
      </c>
      <c r="I30560" s="4" t="str">
        <v/>
      </c>
    </row>
    <row r="30561" spans="5:9" ht="16.5" hidden="1">
      <c r="E30561" s="4" t="str">
        <v/>
      </c>
      <c r="F30561" s="102" t="str">
        <f ca="1">IFERROR(__xludf.DUMMYFUNCTION("IMPORTRANGE(H30561,""IDENTITAS UNIT!D9"")"),"#N/A")</f>
        <v>#N/A</v>
      </c>
      <c r="H30561" s="4" t="str">
        <v/>
      </c>
      <c r="I30561" s="4" t="str">
        <v/>
      </c>
    </row>
    <row r="30562" spans="5:9" ht="16.5" hidden="1">
      <c r="E30562" s="4" t="str">
        <v/>
      </c>
      <c r="F30562" s="102" t="str">
        <f ca="1">IFERROR(__xludf.DUMMYFUNCTION("IMPORTRANGE(H30562,""IDENTITAS UNIT!D9"")"),"#N/A")</f>
        <v>#N/A</v>
      </c>
      <c r="H30562" s="4" t="str">
        <v/>
      </c>
      <c r="I30562" s="4" t="str">
        <v/>
      </c>
    </row>
    <row r="30563" spans="5:9" ht="16.5" hidden="1">
      <c r="E30563" s="4" t="str">
        <v/>
      </c>
      <c r="F30563" s="102" t="str">
        <f ca="1">IFERROR(__xludf.DUMMYFUNCTION("IMPORTRANGE(H30563,""IDENTITAS UNIT!D9"")"),"#N/A")</f>
        <v>#N/A</v>
      </c>
      <c r="H30563" s="4" t="str">
        <v/>
      </c>
      <c r="I30563" s="4" t="str">
        <v/>
      </c>
    </row>
    <row r="30564" spans="5:9" ht="16.5" hidden="1">
      <c r="E30564" s="4" t="str">
        <v/>
      </c>
      <c r="F30564" s="102" t="str">
        <f ca="1">IFERROR(__xludf.DUMMYFUNCTION("IMPORTRANGE(H30564,""IDENTITAS UNIT!D9"")"),"#N/A")</f>
        <v>#N/A</v>
      </c>
      <c r="H30564" s="4" t="str">
        <v/>
      </c>
      <c r="I30564" s="4" t="str">
        <v/>
      </c>
    </row>
    <row r="30565" spans="5:9" ht="16.5" hidden="1">
      <c r="E30565" s="4" t="str">
        <v/>
      </c>
      <c r="F30565" s="102" t="str">
        <f ca="1">IFERROR(__xludf.DUMMYFUNCTION("IMPORTRANGE(H30565,""IDENTITAS UNIT!D9"")"),"#N/A")</f>
        <v>#N/A</v>
      </c>
      <c r="H30565" s="4" t="str">
        <v/>
      </c>
      <c r="I30565" s="4" t="str">
        <v/>
      </c>
    </row>
    <row r="30566" spans="5:9" ht="16.5" hidden="1">
      <c r="E30566" s="4" t="str">
        <v/>
      </c>
      <c r="F30566" s="102" t="str">
        <f ca="1">IFERROR(__xludf.DUMMYFUNCTION("IMPORTRANGE(H30566,""IDENTITAS UNIT!D9"")"),"#N/A")</f>
        <v>#N/A</v>
      </c>
      <c r="H30566" s="4" t="str">
        <v/>
      </c>
      <c r="I30566" s="4" t="str">
        <v/>
      </c>
    </row>
    <row r="30567" spans="5:9" ht="16.5" hidden="1">
      <c r="E30567" s="4" t="str">
        <v/>
      </c>
      <c r="F30567" s="102" t="str">
        <f ca="1">IFERROR(__xludf.DUMMYFUNCTION("IMPORTRANGE(H30567,""IDENTITAS UNIT!D9"")"),"#N/A")</f>
        <v>#N/A</v>
      </c>
      <c r="H30567" s="4" t="str">
        <v/>
      </c>
      <c r="I30567" s="4" t="str">
        <v/>
      </c>
    </row>
    <row r="30568" spans="5:9" ht="16.5" hidden="1">
      <c r="E30568" s="4" t="str">
        <v/>
      </c>
      <c r="F30568" s="102" t="str">
        <f ca="1">IFERROR(__xludf.DUMMYFUNCTION("IMPORTRANGE(H30568,""IDENTITAS UNIT!D9"")"),"#N/A")</f>
        <v>#N/A</v>
      </c>
      <c r="H30568" s="4" t="str">
        <v/>
      </c>
      <c r="I30568" s="4" t="str">
        <v/>
      </c>
    </row>
    <row r="30569" spans="5:9" ht="16.5" hidden="1">
      <c r="E30569" s="4" t="str">
        <v/>
      </c>
      <c r="F30569" s="102" t="str">
        <f ca="1">IFERROR(__xludf.DUMMYFUNCTION("IMPORTRANGE(H30569,""IDENTITAS UNIT!D9"")"),"#N/A")</f>
        <v>#N/A</v>
      </c>
      <c r="H30569" s="4" t="str">
        <v/>
      </c>
      <c r="I30569" s="4" t="str">
        <v/>
      </c>
    </row>
    <row r="30570" spans="5:9" ht="16.5" hidden="1">
      <c r="E30570" s="4" t="str">
        <v/>
      </c>
      <c r="F30570" s="102" t="str">
        <f ca="1">IFERROR(__xludf.DUMMYFUNCTION("IMPORTRANGE(H30570,""IDENTITAS UNIT!D9"")"),"#N/A")</f>
        <v>#N/A</v>
      </c>
      <c r="H30570" s="4" t="str">
        <v/>
      </c>
      <c r="I30570" s="4" t="str">
        <v/>
      </c>
    </row>
    <row r="30571" spans="5:9" ht="16.5" hidden="1">
      <c r="E30571" s="4" t="str">
        <v/>
      </c>
      <c r="F30571" s="102" t="str">
        <f ca="1">IFERROR(__xludf.DUMMYFUNCTION("IMPORTRANGE(H30571,""IDENTITAS UNIT!D9"")"),"#N/A")</f>
        <v>#N/A</v>
      </c>
      <c r="H30571" s="4" t="str">
        <v/>
      </c>
      <c r="I30571" s="4" t="str">
        <v/>
      </c>
    </row>
    <row r="30572" spans="5:9" ht="16.5" hidden="1">
      <c r="E30572" s="4" t="str">
        <v/>
      </c>
      <c r="F30572" s="102" t="str">
        <f ca="1">IFERROR(__xludf.DUMMYFUNCTION("IMPORTRANGE(H30572,""IDENTITAS UNIT!D9"")"),"#N/A")</f>
        <v>#N/A</v>
      </c>
      <c r="H30572" s="4" t="str">
        <v/>
      </c>
      <c r="I30572" s="4" t="str">
        <v/>
      </c>
    </row>
    <row r="30573" spans="5:9" ht="16.5" hidden="1">
      <c r="E30573" s="4" t="str">
        <v/>
      </c>
      <c r="F30573" s="102" t="str">
        <f ca="1">IFERROR(__xludf.DUMMYFUNCTION("IMPORTRANGE(H30573,""IDENTITAS UNIT!D9"")"),"#N/A")</f>
        <v>#N/A</v>
      </c>
      <c r="H30573" s="4" t="str">
        <v/>
      </c>
      <c r="I30573" s="4" t="str">
        <v/>
      </c>
    </row>
    <row r="30574" spans="5:9" ht="16.5" hidden="1">
      <c r="E30574" s="4" t="str">
        <v/>
      </c>
      <c r="F30574" s="102" t="str">
        <f ca="1">IFERROR(__xludf.DUMMYFUNCTION("IMPORTRANGE(H30574,""IDENTITAS UNIT!D9"")"),"#N/A")</f>
        <v>#N/A</v>
      </c>
      <c r="H30574" s="4" t="str">
        <v/>
      </c>
      <c r="I30574" s="4" t="str">
        <v/>
      </c>
    </row>
    <row r="30575" spans="5:9" ht="16.5" hidden="1">
      <c r="E30575" s="4" t="str">
        <v/>
      </c>
      <c r="F30575" s="102" t="str">
        <f ca="1">IFERROR(__xludf.DUMMYFUNCTION("IMPORTRANGE(H30575,""IDENTITAS UNIT!D9"")"),"#N/A")</f>
        <v>#N/A</v>
      </c>
      <c r="H30575" s="4" t="str">
        <v/>
      </c>
      <c r="I30575" s="4" t="str">
        <v/>
      </c>
    </row>
    <row r="30576" spans="5:9" ht="16.5" hidden="1">
      <c r="E30576" s="4" t="str">
        <v/>
      </c>
      <c r="F30576" s="102" t="str">
        <f ca="1">IFERROR(__xludf.DUMMYFUNCTION("IMPORTRANGE(H30576,""IDENTITAS UNIT!D9"")"),"#N/A")</f>
        <v>#N/A</v>
      </c>
      <c r="H30576" s="4" t="str">
        <v/>
      </c>
      <c r="I30576" s="4" t="str">
        <v/>
      </c>
    </row>
    <row r="30577" spans="5:9" ht="16.5" hidden="1">
      <c r="E30577" s="4" t="str">
        <v/>
      </c>
      <c r="F30577" s="102" t="str">
        <f ca="1">IFERROR(__xludf.DUMMYFUNCTION("IMPORTRANGE(H30577,""IDENTITAS UNIT!D9"")"),"#N/A")</f>
        <v>#N/A</v>
      </c>
      <c r="H30577" s="4" t="str">
        <v/>
      </c>
      <c r="I30577" s="4" t="str">
        <v/>
      </c>
    </row>
    <row r="30578" spans="5:9" ht="16.5" hidden="1">
      <c r="E30578" s="4" t="str">
        <v/>
      </c>
      <c r="F30578" s="102" t="str">
        <f ca="1">IFERROR(__xludf.DUMMYFUNCTION("IMPORTRANGE(H30578,""IDENTITAS UNIT!D9"")"),"#N/A")</f>
        <v>#N/A</v>
      </c>
      <c r="H30578" s="4" t="str">
        <v/>
      </c>
      <c r="I30578" s="4" t="str">
        <v/>
      </c>
    </row>
    <row r="30579" spans="5:9" ht="16.5" hidden="1">
      <c r="E30579" s="4" t="str">
        <v/>
      </c>
      <c r="F30579" s="102" t="str">
        <f ca="1">IFERROR(__xludf.DUMMYFUNCTION("IMPORTRANGE(H30579,""IDENTITAS UNIT!D9"")"),"#N/A")</f>
        <v>#N/A</v>
      </c>
      <c r="H30579" s="4" t="str">
        <v/>
      </c>
      <c r="I30579" s="4" t="str">
        <v/>
      </c>
    </row>
    <row r="30580" spans="5:9" ht="16.5" hidden="1">
      <c r="E30580" s="4" t="str">
        <v/>
      </c>
      <c r="F30580" s="102" t="str">
        <f ca="1">IFERROR(__xludf.DUMMYFUNCTION("IMPORTRANGE(H30580,""IDENTITAS UNIT!D9"")"),"#N/A")</f>
        <v>#N/A</v>
      </c>
      <c r="H30580" s="4" t="str">
        <v/>
      </c>
      <c r="I30580" s="4" t="str">
        <v/>
      </c>
    </row>
    <row r="30581" spans="5:9" ht="16.5" hidden="1">
      <c r="E30581" s="4" t="str">
        <v/>
      </c>
      <c r="F30581" s="102" t="str">
        <f ca="1">IFERROR(__xludf.DUMMYFUNCTION("IMPORTRANGE(H30581,""IDENTITAS UNIT!D9"")"),"#N/A")</f>
        <v>#N/A</v>
      </c>
      <c r="H30581" s="4" t="str">
        <v/>
      </c>
      <c r="I30581" s="4" t="str">
        <v/>
      </c>
    </row>
    <row r="30582" spans="5:9" ht="16.5" hidden="1">
      <c r="E30582" s="4" t="str">
        <v/>
      </c>
      <c r="F30582" s="102" t="str">
        <f ca="1">IFERROR(__xludf.DUMMYFUNCTION("IMPORTRANGE(H30582,""IDENTITAS UNIT!D9"")"),"#N/A")</f>
        <v>#N/A</v>
      </c>
      <c r="H30582" s="4" t="str">
        <v/>
      </c>
      <c r="I30582" s="4" t="str">
        <v/>
      </c>
    </row>
    <row r="30583" spans="5:9" ht="16.5" hidden="1">
      <c r="E30583" s="4" t="str">
        <v/>
      </c>
      <c r="F30583" s="102" t="str">
        <f ca="1">IFERROR(__xludf.DUMMYFUNCTION("IMPORTRANGE(H30583,""IDENTITAS UNIT!D9"")"),"#N/A")</f>
        <v>#N/A</v>
      </c>
      <c r="H30583" s="4" t="str">
        <v/>
      </c>
      <c r="I30583" s="4" t="str">
        <v/>
      </c>
    </row>
    <row r="30584" spans="5:9" ht="16.5" hidden="1">
      <c r="E30584" s="4" t="str">
        <v/>
      </c>
      <c r="F30584" s="102" t="str">
        <f ca="1">IFERROR(__xludf.DUMMYFUNCTION("IMPORTRANGE(H30584,""IDENTITAS UNIT!D9"")"),"#N/A")</f>
        <v>#N/A</v>
      </c>
      <c r="H30584" s="4" t="str">
        <v/>
      </c>
      <c r="I30584" s="4" t="str">
        <v/>
      </c>
    </row>
    <row r="30585" spans="5:9" ht="16.5" hidden="1">
      <c r="E30585" s="4" t="str">
        <v/>
      </c>
      <c r="F30585" s="102" t="str">
        <f ca="1">IFERROR(__xludf.DUMMYFUNCTION("IMPORTRANGE(H30585,""IDENTITAS UNIT!D9"")"),"#N/A")</f>
        <v>#N/A</v>
      </c>
      <c r="H30585" s="4" t="str">
        <v/>
      </c>
      <c r="I30585" s="4" t="str">
        <v/>
      </c>
    </row>
    <row r="30586" spans="5:9" ht="16.5" hidden="1">
      <c r="E30586" s="4" t="str">
        <v/>
      </c>
      <c r="F30586" s="102" t="str">
        <f ca="1">IFERROR(__xludf.DUMMYFUNCTION("IMPORTRANGE(H30586,""IDENTITAS UNIT!D9"")"),"#N/A")</f>
        <v>#N/A</v>
      </c>
      <c r="H30586" s="4" t="str">
        <v/>
      </c>
      <c r="I30586" s="4" t="str">
        <v/>
      </c>
    </row>
    <row r="30587" spans="5:9" ht="16.5" hidden="1">
      <c r="E30587" s="4" t="str">
        <v/>
      </c>
      <c r="F30587" s="102" t="str">
        <f ca="1">IFERROR(__xludf.DUMMYFUNCTION("IMPORTRANGE(H30587,""IDENTITAS UNIT!D9"")"),"#N/A")</f>
        <v>#N/A</v>
      </c>
      <c r="H30587" s="4" t="str">
        <v/>
      </c>
      <c r="I30587" s="4" t="str">
        <v/>
      </c>
    </row>
    <row r="30588" spans="5:9" ht="16.5" hidden="1">
      <c r="E30588" s="4" t="str">
        <v/>
      </c>
      <c r="F30588" s="102" t="str">
        <f ca="1">IFERROR(__xludf.DUMMYFUNCTION("IMPORTRANGE(H30588,""IDENTITAS UNIT!D9"")"),"#N/A")</f>
        <v>#N/A</v>
      </c>
      <c r="H30588" s="4" t="str">
        <v/>
      </c>
      <c r="I30588" s="4" t="str">
        <v/>
      </c>
    </row>
    <row r="30589" spans="5:9" ht="16.5" hidden="1">
      <c r="E30589" s="4" t="str">
        <v/>
      </c>
      <c r="F30589" s="102" t="str">
        <f ca="1">IFERROR(__xludf.DUMMYFUNCTION("IMPORTRANGE(H30589,""IDENTITAS UNIT!D9"")"),"#N/A")</f>
        <v>#N/A</v>
      </c>
      <c r="H30589" s="4" t="str">
        <v/>
      </c>
      <c r="I30589" s="4" t="str">
        <v/>
      </c>
    </row>
    <row r="30590" spans="5:9" ht="16.5" hidden="1">
      <c r="E30590" s="4" t="str">
        <v/>
      </c>
      <c r="F30590" s="102" t="str">
        <f ca="1">IFERROR(__xludf.DUMMYFUNCTION("IMPORTRANGE(H30590,""IDENTITAS UNIT!D9"")"),"#N/A")</f>
        <v>#N/A</v>
      </c>
      <c r="H30590" s="4" t="str">
        <v/>
      </c>
      <c r="I30590" s="4" t="str">
        <v/>
      </c>
    </row>
    <row r="30591" spans="5:9" ht="16.5" hidden="1">
      <c r="E30591" s="4" t="str">
        <v/>
      </c>
      <c r="F30591" s="102" t="str">
        <f ca="1">IFERROR(__xludf.DUMMYFUNCTION("IMPORTRANGE(H30591,""IDENTITAS UNIT!D9"")"),"#N/A")</f>
        <v>#N/A</v>
      </c>
      <c r="H30591" s="4" t="str">
        <v/>
      </c>
      <c r="I30591" s="4" t="str">
        <v/>
      </c>
    </row>
    <row r="30592" spans="5:9" ht="16.5" hidden="1">
      <c r="E30592" s="4" t="str">
        <v/>
      </c>
      <c r="F30592" s="102" t="str">
        <f ca="1">IFERROR(__xludf.DUMMYFUNCTION("IMPORTRANGE(H30592,""IDENTITAS UNIT!D9"")"),"#N/A")</f>
        <v>#N/A</v>
      </c>
      <c r="H30592" s="4" t="str">
        <v/>
      </c>
      <c r="I30592" s="4" t="str">
        <v/>
      </c>
    </row>
    <row r="30593" spans="5:9" ht="16.5" hidden="1">
      <c r="E30593" s="4" t="str">
        <v/>
      </c>
      <c r="F30593" s="102" t="str">
        <f ca="1">IFERROR(__xludf.DUMMYFUNCTION("IMPORTRANGE(H30593,""IDENTITAS UNIT!D9"")"),"#N/A")</f>
        <v>#N/A</v>
      </c>
      <c r="H30593" s="4" t="str">
        <v/>
      </c>
      <c r="I30593" s="4" t="str">
        <v/>
      </c>
    </row>
    <row r="30594" spans="5:9" ht="16.5" hidden="1">
      <c r="E30594" s="4" t="str">
        <v/>
      </c>
      <c r="F30594" s="102" t="str">
        <f ca="1">IFERROR(__xludf.DUMMYFUNCTION("IMPORTRANGE(H30594,""IDENTITAS UNIT!D9"")"),"#N/A")</f>
        <v>#N/A</v>
      </c>
      <c r="H30594" s="4" t="str">
        <v/>
      </c>
      <c r="I30594" s="4" t="str">
        <v/>
      </c>
    </row>
    <row r="30595" spans="5:9" ht="16.5" hidden="1">
      <c r="E30595" s="4" t="str">
        <v/>
      </c>
      <c r="F30595" s="102" t="str">
        <f ca="1">IFERROR(__xludf.DUMMYFUNCTION("IMPORTRANGE(H30595,""IDENTITAS UNIT!D9"")"),"#N/A")</f>
        <v>#N/A</v>
      </c>
      <c r="H30595" s="4" t="str">
        <v/>
      </c>
      <c r="I30595" s="4" t="str">
        <v/>
      </c>
    </row>
    <row r="30596" spans="5:9" ht="16.5" hidden="1">
      <c r="E30596" s="4" t="str">
        <v/>
      </c>
      <c r="F30596" s="102" t="str">
        <f ca="1">IFERROR(__xludf.DUMMYFUNCTION("IMPORTRANGE(H30596,""IDENTITAS UNIT!D9"")"),"#N/A")</f>
        <v>#N/A</v>
      </c>
      <c r="H30596" s="4" t="str">
        <v/>
      </c>
      <c r="I30596" s="4" t="str">
        <v/>
      </c>
    </row>
    <row r="30597" spans="5:9" ht="16.5" hidden="1">
      <c r="E30597" s="4" t="str">
        <v/>
      </c>
      <c r="F30597" s="102" t="str">
        <f ca="1">IFERROR(__xludf.DUMMYFUNCTION("IMPORTRANGE(H30597,""IDENTITAS UNIT!D9"")"),"#N/A")</f>
        <v>#N/A</v>
      </c>
      <c r="H30597" s="4" t="str">
        <v/>
      </c>
      <c r="I30597" s="4" t="str">
        <v/>
      </c>
    </row>
    <row r="30598" spans="5:9" ht="16.5" hidden="1">
      <c r="E30598" s="4" t="str">
        <v/>
      </c>
      <c r="F30598" s="102" t="str">
        <f ca="1">IFERROR(__xludf.DUMMYFUNCTION("IMPORTRANGE(H30598,""IDENTITAS UNIT!D9"")"),"#N/A")</f>
        <v>#N/A</v>
      </c>
      <c r="H30598" s="4" t="str">
        <v/>
      </c>
      <c r="I30598" s="4" t="str">
        <v/>
      </c>
    </row>
    <row r="30599" spans="5:9" ht="16.5" hidden="1">
      <c r="E30599" s="4" t="str">
        <v/>
      </c>
      <c r="F30599" s="102" t="str">
        <f ca="1">IFERROR(__xludf.DUMMYFUNCTION("IMPORTRANGE(H30599,""IDENTITAS UNIT!D9"")"),"#N/A")</f>
        <v>#N/A</v>
      </c>
      <c r="H30599" s="4" t="str">
        <v/>
      </c>
      <c r="I30599" s="4" t="str">
        <v/>
      </c>
    </row>
    <row r="30600" spans="5:9" ht="16.5" hidden="1">
      <c r="E30600" s="4" t="str">
        <v/>
      </c>
      <c r="F30600" s="102" t="str">
        <f ca="1">IFERROR(__xludf.DUMMYFUNCTION("IMPORTRANGE(H30600,""IDENTITAS UNIT!D9"")"),"#N/A")</f>
        <v>#N/A</v>
      </c>
      <c r="H30600" s="4" t="str">
        <v/>
      </c>
      <c r="I30600" s="4" t="str">
        <v/>
      </c>
    </row>
    <row r="30601" spans="5:9" ht="16.5" hidden="1">
      <c r="E30601" s="4" t="str">
        <v/>
      </c>
      <c r="F30601" s="102" t="str">
        <f ca="1">IFERROR(__xludf.DUMMYFUNCTION("IMPORTRANGE(H30601,""IDENTITAS UNIT!D9"")"),"#N/A")</f>
        <v>#N/A</v>
      </c>
      <c r="H30601" s="4" t="str">
        <v/>
      </c>
      <c r="I30601" s="4" t="str">
        <v/>
      </c>
    </row>
    <row r="30602" spans="5:9" ht="16.5" hidden="1">
      <c r="E30602" s="4" t="str">
        <v/>
      </c>
      <c r="F30602" s="102" t="str">
        <f ca="1">IFERROR(__xludf.DUMMYFUNCTION("IMPORTRANGE(H30602,""IDENTITAS UNIT!D9"")"),"#N/A")</f>
        <v>#N/A</v>
      </c>
      <c r="H30602" s="4" t="str">
        <v/>
      </c>
      <c r="I30602" s="4" t="str">
        <v/>
      </c>
    </row>
    <row r="30603" spans="5:9" ht="16.5" hidden="1">
      <c r="E30603" s="4" t="str">
        <v/>
      </c>
      <c r="F30603" s="102" t="str">
        <f ca="1">IFERROR(__xludf.DUMMYFUNCTION("IMPORTRANGE(H30603,""IDENTITAS UNIT!D9"")"),"#N/A")</f>
        <v>#N/A</v>
      </c>
      <c r="H30603" s="4" t="str">
        <v/>
      </c>
      <c r="I30603" s="4" t="str">
        <v/>
      </c>
    </row>
    <row r="30604" spans="5:9" ht="16.5" hidden="1">
      <c r="E30604" s="4" t="str">
        <v/>
      </c>
      <c r="F30604" s="102" t="str">
        <f ca="1">IFERROR(__xludf.DUMMYFUNCTION("IMPORTRANGE(H30604,""IDENTITAS UNIT!D9"")"),"#N/A")</f>
        <v>#N/A</v>
      </c>
      <c r="H30604" s="4" t="str">
        <v/>
      </c>
      <c r="I30604" s="4" t="str">
        <v/>
      </c>
    </row>
    <row r="30605" spans="5:9" ht="16.5" hidden="1">
      <c r="E30605" s="4" t="str">
        <v/>
      </c>
      <c r="F30605" s="102" t="str">
        <f ca="1">IFERROR(__xludf.DUMMYFUNCTION("IMPORTRANGE(H30605,""IDENTITAS UNIT!D9"")"),"#N/A")</f>
        <v>#N/A</v>
      </c>
      <c r="H30605" s="4" t="str">
        <v/>
      </c>
      <c r="I30605" s="4" t="str">
        <v/>
      </c>
    </row>
    <row r="30606" spans="5:9" ht="16.5" hidden="1">
      <c r="E30606" s="4" t="str">
        <v/>
      </c>
      <c r="F30606" s="102" t="str">
        <f ca="1">IFERROR(__xludf.DUMMYFUNCTION("IMPORTRANGE(H30606,""IDENTITAS UNIT!D9"")"),"#N/A")</f>
        <v>#N/A</v>
      </c>
      <c r="H30606" s="4" t="str">
        <v/>
      </c>
      <c r="I30606" s="4" t="str">
        <v/>
      </c>
    </row>
    <row r="30607" spans="5:9" ht="16.5" hidden="1">
      <c r="E30607" s="4" t="str">
        <v/>
      </c>
      <c r="F30607" s="102" t="str">
        <f ca="1">IFERROR(__xludf.DUMMYFUNCTION("IMPORTRANGE(H30607,""IDENTITAS UNIT!D9"")"),"#N/A")</f>
        <v>#N/A</v>
      </c>
      <c r="H30607" s="4" t="str">
        <v/>
      </c>
      <c r="I30607" s="4" t="str">
        <v/>
      </c>
    </row>
    <row r="30608" spans="5:9" ht="16.5" hidden="1">
      <c r="E30608" s="4" t="str">
        <v/>
      </c>
      <c r="F30608" s="102" t="str">
        <f ca="1">IFERROR(__xludf.DUMMYFUNCTION("IMPORTRANGE(H30608,""IDENTITAS UNIT!D9"")"),"#N/A")</f>
        <v>#N/A</v>
      </c>
      <c r="H30608" s="4" t="str">
        <v/>
      </c>
      <c r="I30608" s="4" t="str">
        <v/>
      </c>
    </row>
    <row r="30609" spans="5:9" ht="16.5" hidden="1">
      <c r="E30609" s="4" t="str">
        <v/>
      </c>
      <c r="F30609" s="102" t="str">
        <f ca="1">IFERROR(__xludf.DUMMYFUNCTION("IMPORTRANGE(H30609,""IDENTITAS UNIT!D9"")"),"#N/A")</f>
        <v>#N/A</v>
      </c>
      <c r="H30609" s="4" t="str">
        <v/>
      </c>
      <c r="I30609" s="4" t="str">
        <v/>
      </c>
    </row>
    <row r="30610" spans="5:9" ht="16.5" hidden="1">
      <c r="E30610" s="4" t="str">
        <v/>
      </c>
      <c r="F30610" s="102" t="str">
        <f ca="1">IFERROR(__xludf.DUMMYFUNCTION("IMPORTRANGE(H30610,""IDENTITAS UNIT!D9"")"),"#N/A")</f>
        <v>#N/A</v>
      </c>
      <c r="H30610" s="4" t="str">
        <v/>
      </c>
      <c r="I30610" s="4" t="str">
        <v/>
      </c>
    </row>
    <row r="30611" spans="5:9" ht="16.5" hidden="1">
      <c r="E30611" s="4" t="str">
        <v/>
      </c>
      <c r="F30611" s="102" t="str">
        <f ca="1">IFERROR(__xludf.DUMMYFUNCTION("IMPORTRANGE(H30611,""IDENTITAS UNIT!D9"")"),"#N/A")</f>
        <v>#N/A</v>
      </c>
      <c r="H30611" s="4" t="str">
        <v/>
      </c>
      <c r="I30611" s="4" t="str">
        <v/>
      </c>
    </row>
    <row r="30612" spans="5:9" ht="16.5" hidden="1">
      <c r="E30612" s="4" t="str">
        <v/>
      </c>
      <c r="F30612" s="102" t="str">
        <f ca="1">IFERROR(__xludf.DUMMYFUNCTION("IMPORTRANGE(H30612,""IDENTITAS UNIT!D9"")"),"#N/A")</f>
        <v>#N/A</v>
      </c>
      <c r="H30612" s="4" t="str">
        <v/>
      </c>
      <c r="I30612" s="4" t="str">
        <v/>
      </c>
    </row>
    <row r="30613" spans="5:9" ht="16.5" hidden="1">
      <c r="E30613" s="4" t="str">
        <v/>
      </c>
      <c r="F30613" s="102" t="str">
        <f ca="1">IFERROR(__xludf.DUMMYFUNCTION("IMPORTRANGE(H30613,""IDENTITAS UNIT!D9"")"),"#N/A")</f>
        <v>#N/A</v>
      </c>
      <c r="H30613" s="4" t="str">
        <v/>
      </c>
      <c r="I30613" s="4" t="str">
        <v/>
      </c>
    </row>
    <row r="30614" spans="5:9" ht="16.5" hidden="1">
      <c r="E30614" s="4" t="str">
        <v/>
      </c>
      <c r="F30614" s="102" t="str">
        <f ca="1">IFERROR(__xludf.DUMMYFUNCTION("IMPORTRANGE(H30614,""IDENTITAS UNIT!D9"")"),"#N/A")</f>
        <v>#N/A</v>
      </c>
      <c r="H30614" s="4" t="str">
        <v/>
      </c>
      <c r="I30614" s="4" t="str">
        <v/>
      </c>
    </row>
    <row r="30615" spans="5:9" ht="16.5" hidden="1">
      <c r="E30615" s="4" t="str">
        <v/>
      </c>
      <c r="F30615" s="102" t="str">
        <f ca="1">IFERROR(__xludf.DUMMYFUNCTION("IMPORTRANGE(H30615,""IDENTITAS UNIT!D9"")"),"#N/A")</f>
        <v>#N/A</v>
      </c>
      <c r="H30615" s="4" t="str">
        <v/>
      </c>
      <c r="I30615" s="4" t="str">
        <v/>
      </c>
    </row>
    <row r="30616" spans="5:9" ht="16.5" hidden="1">
      <c r="E30616" s="4" t="str">
        <v/>
      </c>
      <c r="F30616" s="102" t="str">
        <f ca="1">IFERROR(__xludf.DUMMYFUNCTION("IMPORTRANGE(H30616,""IDENTITAS UNIT!D9"")"),"#N/A")</f>
        <v>#N/A</v>
      </c>
      <c r="H30616" s="4" t="str">
        <v/>
      </c>
      <c r="I30616" s="4" t="str">
        <v/>
      </c>
    </row>
    <row r="30617" spans="5:9" ht="16.5" hidden="1">
      <c r="E30617" s="4" t="str">
        <v/>
      </c>
      <c r="F30617" s="102" t="str">
        <f ca="1">IFERROR(__xludf.DUMMYFUNCTION("IMPORTRANGE(H30617,""IDENTITAS UNIT!D9"")"),"#N/A")</f>
        <v>#N/A</v>
      </c>
      <c r="H30617" s="4" t="str">
        <v/>
      </c>
      <c r="I30617" s="4" t="str">
        <v/>
      </c>
    </row>
    <row r="30618" spans="5:9" ht="16.5" hidden="1">
      <c r="E30618" s="4" t="str">
        <v/>
      </c>
      <c r="F30618" s="102" t="str">
        <f ca="1">IFERROR(__xludf.DUMMYFUNCTION("IMPORTRANGE(H30618,""IDENTITAS UNIT!D9"")"),"#N/A")</f>
        <v>#N/A</v>
      </c>
      <c r="H30618" s="4" t="str">
        <v/>
      </c>
      <c r="I30618" s="4" t="str">
        <v/>
      </c>
    </row>
    <row r="30619" spans="5:9" ht="16.5" hidden="1">
      <c r="E30619" s="4" t="str">
        <v/>
      </c>
      <c r="F30619" s="102" t="str">
        <f ca="1">IFERROR(__xludf.DUMMYFUNCTION("IMPORTRANGE(H30619,""IDENTITAS UNIT!D9"")"),"#N/A")</f>
        <v>#N/A</v>
      </c>
      <c r="H30619" s="4" t="str">
        <v/>
      </c>
      <c r="I30619" s="4" t="str">
        <v/>
      </c>
    </row>
    <row r="30620" spans="5:9" ht="16.5" hidden="1">
      <c r="E30620" s="4" t="str">
        <v/>
      </c>
      <c r="F30620" s="102" t="str">
        <f ca="1">IFERROR(__xludf.DUMMYFUNCTION("IMPORTRANGE(H30620,""IDENTITAS UNIT!D9"")"),"#N/A")</f>
        <v>#N/A</v>
      </c>
      <c r="H30620" s="4" t="str">
        <v/>
      </c>
      <c r="I30620" s="4" t="str">
        <v/>
      </c>
    </row>
    <row r="30621" spans="5:9" ht="16.5" hidden="1">
      <c r="E30621" s="4" t="str">
        <v/>
      </c>
      <c r="F30621" s="102" t="str">
        <f ca="1">IFERROR(__xludf.DUMMYFUNCTION("IMPORTRANGE(H30621,""IDENTITAS UNIT!D9"")"),"#N/A")</f>
        <v>#N/A</v>
      </c>
      <c r="H30621" s="4" t="str">
        <v/>
      </c>
      <c r="I30621" s="4" t="str">
        <v/>
      </c>
    </row>
    <row r="30622" spans="5:9" ht="16.5" hidden="1">
      <c r="E30622" s="4" t="str">
        <v/>
      </c>
      <c r="F30622" s="102" t="str">
        <f ca="1">IFERROR(__xludf.DUMMYFUNCTION("IMPORTRANGE(H30622,""IDENTITAS UNIT!D9"")"),"#N/A")</f>
        <v>#N/A</v>
      </c>
      <c r="H30622" s="4" t="str">
        <v/>
      </c>
      <c r="I30622" s="4" t="str">
        <v/>
      </c>
    </row>
    <row r="30623" spans="5:9" ht="16.5" hidden="1">
      <c r="E30623" s="4" t="str">
        <v/>
      </c>
      <c r="F30623" s="102" t="str">
        <f ca="1">IFERROR(__xludf.DUMMYFUNCTION("IMPORTRANGE(H30623,""IDENTITAS UNIT!D9"")"),"#N/A")</f>
        <v>#N/A</v>
      </c>
      <c r="H30623" s="4" t="str">
        <v/>
      </c>
      <c r="I30623" s="4" t="str">
        <v/>
      </c>
    </row>
    <row r="30624" spans="5:9" ht="16.5" hidden="1">
      <c r="E30624" s="4" t="str">
        <v/>
      </c>
      <c r="F30624" s="102" t="str">
        <f ca="1">IFERROR(__xludf.DUMMYFUNCTION("IMPORTRANGE(H30624,""IDENTITAS UNIT!D9"")"),"#N/A")</f>
        <v>#N/A</v>
      </c>
      <c r="H30624" s="4" t="str">
        <v/>
      </c>
      <c r="I30624" s="4" t="str">
        <v/>
      </c>
    </row>
    <row r="30625" spans="5:9" ht="16.5" hidden="1">
      <c r="E30625" s="4" t="str">
        <v/>
      </c>
      <c r="F30625" s="102" t="str">
        <f ca="1">IFERROR(__xludf.DUMMYFUNCTION("IMPORTRANGE(H30625,""IDENTITAS UNIT!D9"")"),"#N/A")</f>
        <v>#N/A</v>
      </c>
      <c r="H30625" s="4" t="str">
        <v/>
      </c>
      <c r="I30625" s="4" t="str">
        <v/>
      </c>
    </row>
    <row r="30626" spans="5:9" ht="16.5" hidden="1">
      <c r="E30626" s="4" t="str">
        <v/>
      </c>
      <c r="F30626" s="102" t="str">
        <f ca="1">IFERROR(__xludf.DUMMYFUNCTION("IMPORTRANGE(H30626,""IDENTITAS UNIT!D9"")"),"#N/A")</f>
        <v>#N/A</v>
      </c>
      <c r="H30626" s="4" t="str">
        <v/>
      </c>
      <c r="I30626" s="4" t="str">
        <v/>
      </c>
    </row>
    <row r="30627" spans="5:9" ht="16.5" hidden="1">
      <c r="E30627" s="4" t="str">
        <v/>
      </c>
      <c r="F30627" s="102" t="str">
        <f ca="1">IFERROR(__xludf.DUMMYFUNCTION("IMPORTRANGE(H30627,""IDENTITAS UNIT!D9"")"),"#N/A")</f>
        <v>#N/A</v>
      </c>
      <c r="H30627" s="4" t="str">
        <v/>
      </c>
      <c r="I30627" s="4" t="str">
        <v/>
      </c>
    </row>
    <row r="30628" spans="5:9" ht="16.5" hidden="1">
      <c r="E30628" s="4" t="str">
        <v/>
      </c>
      <c r="F30628" s="102" t="str">
        <f ca="1">IFERROR(__xludf.DUMMYFUNCTION("IMPORTRANGE(H30628,""IDENTITAS UNIT!D9"")"),"#N/A")</f>
        <v>#N/A</v>
      </c>
      <c r="H30628" s="4" t="str">
        <v/>
      </c>
      <c r="I30628" s="4" t="str">
        <v/>
      </c>
    </row>
    <row r="30629" spans="5:9" ht="16.5" hidden="1">
      <c r="E30629" s="4" t="str">
        <v/>
      </c>
      <c r="F30629" s="102" t="str">
        <f ca="1">IFERROR(__xludf.DUMMYFUNCTION("IMPORTRANGE(H30629,""IDENTITAS UNIT!D9"")"),"#N/A")</f>
        <v>#N/A</v>
      </c>
      <c r="H30629" s="4" t="str">
        <v/>
      </c>
      <c r="I30629" s="4" t="str">
        <v/>
      </c>
    </row>
    <row r="30630" spans="5:9" ht="16.5" hidden="1">
      <c r="E30630" s="4" t="str">
        <v/>
      </c>
      <c r="F30630" s="102" t="str">
        <f ca="1">IFERROR(__xludf.DUMMYFUNCTION("IMPORTRANGE(H30630,""IDENTITAS UNIT!D9"")"),"#N/A")</f>
        <v>#N/A</v>
      </c>
      <c r="H30630" s="4" t="str">
        <v/>
      </c>
      <c r="I30630" s="4" t="str">
        <v/>
      </c>
    </row>
    <row r="30631" spans="5:9" ht="16.5" hidden="1">
      <c r="E30631" s="4" t="str">
        <v/>
      </c>
      <c r="F30631" s="102" t="str">
        <f ca="1">IFERROR(__xludf.DUMMYFUNCTION("IMPORTRANGE(H30631,""IDENTITAS UNIT!D9"")"),"#N/A")</f>
        <v>#N/A</v>
      </c>
      <c r="H30631" s="4" t="str">
        <v/>
      </c>
      <c r="I30631" s="4" t="str">
        <v/>
      </c>
    </row>
    <row r="30632" spans="5:9" ht="16.5" hidden="1">
      <c r="E30632" s="4" t="str">
        <v/>
      </c>
      <c r="F30632" s="102" t="str">
        <f ca="1">IFERROR(__xludf.DUMMYFUNCTION("IMPORTRANGE(H30632,""IDENTITAS UNIT!D9"")"),"#N/A")</f>
        <v>#N/A</v>
      </c>
      <c r="H30632" s="4" t="str">
        <v/>
      </c>
      <c r="I30632" s="4" t="str">
        <v/>
      </c>
    </row>
    <row r="30633" spans="5:9" ht="16.5" hidden="1">
      <c r="E30633" s="4" t="str">
        <v/>
      </c>
      <c r="F30633" s="102" t="str">
        <f ca="1">IFERROR(__xludf.DUMMYFUNCTION("IMPORTRANGE(H30633,""IDENTITAS UNIT!D9"")"),"#N/A")</f>
        <v>#N/A</v>
      </c>
      <c r="H30633" s="4" t="str">
        <v/>
      </c>
      <c r="I30633" s="4" t="str">
        <v/>
      </c>
    </row>
    <row r="30634" spans="5:9" ht="16.5" hidden="1">
      <c r="E30634" s="4" t="str">
        <v/>
      </c>
      <c r="F30634" s="102" t="str">
        <f ca="1">IFERROR(__xludf.DUMMYFUNCTION("IMPORTRANGE(H30634,""IDENTITAS UNIT!D9"")"),"#N/A")</f>
        <v>#N/A</v>
      </c>
      <c r="H30634" s="4" t="str">
        <v/>
      </c>
      <c r="I30634" s="4" t="str">
        <v/>
      </c>
    </row>
    <row r="30635" spans="5:9" ht="16.5" hidden="1">
      <c r="E30635" s="4" t="str">
        <v/>
      </c>
      <c r="F30635" s="102" t="str">
        <f ca="1">IFERROR(__xludf.DUMMYFUNCTION("IMPORTRANGE(H30635,""IDENTITAS UNIT!D9"")"),"#N/A")</f>
        <v>#N/A</v>
      </c>
      <c r="H30635" s="4" t="str">
        <v/>
      </c>
      <c r="I30635" s="4" t="str">
        <v/>
      </c>
    </row>
    <row r="30636" spans="5:9" ht="16.5" hidden="1">
      <c r="E30636" s="4" t="str">
        <v/>
      </c>
      <c r="F30636" s="102" t="str">
        <f ca="1">IFERROR(__xludf.DUMMYFUNCTION("IMPORTRANGE(H30636,""IDENTITAS UNIT!D9"")"),"#N/A")</f>
        <v>#N/A</v>
      </c>
      <c r="H30636" s="4" t="str">
        <v/>
      </c>
      <c r="I30636" s="4" t="str">
        <v/>
      </c>
    </row>
    <row r="30637" spans="5:9" ht="16.5" hidden="1">
      <c r="E30637" s="4" t="str">
        <v/>
      </c>
      <c r="F30637" s="102" t="str">
        <f ca="1">IFERROR(__xludf.DUMMYFUNCTION("IMPORTRANGE(H30637,""IDENTITAS UNIT!D9"")"),"#N/A")</f>
        <v>#N/A</v>
      </c>
      <c r="H30637" s="4" t="str">
        <v/>
      </c>
      <c r="I30637" s="4" t="str">
        <v/>
      </c>
    </row>
    <row r="30638" spans="5:9" ht="16.5" hidden="1">
      <c r="E30638" s="4" t="str">
        <v/>
      </c>
      <c r="F30638" s="102" t="str">
        <f ca="1">IFERROR(__xludf.DUMMYFUNCTION("IMPORTRANGE(H30638,""IDENTITAS UNIT!D9"")"),"#N/A")</f>
        <v>#N/A</v>
      </c>
      <c r="H30638" s="4" t="str">
        <v/>
      </c>
      <c r="I30638" s="4" t="str">
        <v/>
      </c>
    </row>
    <row r="30639" spans="5:9" ht="16.5" hidden="1">
      <c r="E30639" s="4" t="str">
        <v/>
      </c>
      <c r="F30639" s="102" t="str">
        <f ca="1">IFERROR(__xludf.DUMMYFUNCTION("IMPORTRANGE(H30639,""IDENTITAS UNIT!D9"")"),"#N/A")</f>
        <v>#N/A</v>
      </c>
      <c r="H30639" s="4" t="str">
        <v/>
      </c>
      <c r="I30639" s="4" t="str">
        <v/>
      </c>
    </row>
    <row r="30640" spans="5:9" ht="16.5" hidden="1">
      <c r="E30640" s="4" t="str">
        <v/>
      </c>
      <c r="F30640" s="102" t="str">
        <f ca="1">IFERROR(__xludf.DUMMYFUNCTION("IMPORTRANGE(H30640,""IDENTITAS UNIT!D9"")"),"#N/A")</f>
        <v>#N/A</v>
      </c>
      <c r="H30640" s="4" t="str">
        <v/>
      </c>
      <c r="I30640" s="4" t="str">
        <v/>
      </c>
    </row>
    <row r="30641" spans="5:9" ht="16.5" hidden="1">
      <c r="E30641" s="4" t="str">
        <v/>
      </c>
      <c r="F30641" s="102" t="str">
        <f ca="1">IFERROR(__xludf.DUMMYFUNCTION("IMPORTRANGE(H30641,""IDENTITAS UNIT!D9"")"),"#N/A")</f>
        <v>#N/A</v>
      </c>
      <c r="H30641" s="4" t="str">
        <v/>
      </c>
      <c r="I30641" s="4" t="str">
        <v/>
      </c>
    </row>
    <row r="30642" spans="5:9" ht="16.5" hidden="1">
      <c r="E30642" s="4" t="str">
        <v/>
      </c>
      <c r="F30642" s="102" t="str">
        <f ca="1">IFERROR(__xludf.DUMMYFUNCTION("IMPORTRANGE(H30642,""IDENTITAS UNIT!D9"")"),"#N/A")</f>
        <v>#N/A</v>
      </c>
      <c r="H30642" s="4" t="str">
        <v/>
      </c>
      <c r="I30642" s="4" t="str">
        <v/>
      </c>
    </row>
    <row r="30643" spans="5:9" ht="16.5" hidden="1">
      <c r="E30643" s="4" t="str">
        <v/>
      </c>
      <c r="F30643" s="102" t="str">
        <f ca="1">IFERROR(__xludf.DUMMYFUNCTION("IMPORTRANGE(H30643,""IDENTITAS UNIT!D9"")"),"#N/A")</f>
        <v>#N/A</v>
      </c>
      <c r="H30643" s="4" t="str">
        <v/>
      </c>
      <c r="I30643" s="4" t="str">
        <v/>
      </c>
    </row>
    <row r="30644" spans="5:9" ht="16.5" hidden="1">
      <c r="E30644" s="4" t="str">
        <v/>
      </c>
      <c r="F30644" s="102" t="str">
        <f ca="1">IFERROR(__xludf.DUMMYFUNCTION("IMPORTRANGE(H30644,""IDENTITAS UNIT!D9"")"),"#N/A")</f>
        <v>#N/A</v>
      </c>
      <c r="H30644" s="4" t="str">
        <v/>
      </c>
      <c r="I30644" s="4" t="str">
        <v/>
      </c>
    </row>
    <row r="30645" spans="5:9" ht="16.5" hidden="1">
      <c r="E30645" s="4" t="str">
        <v/>
      </c>
      <c r="F30645" s="102" t="str">
        <f ca="1">IFERROR(__xludf.DUMMYFUNCTION("IMPORTRANGE(H30645,""IDENTITAS UNIT!D9"")"),"#N/A")</f>
        <v>#N/A</v>
      </c>
      <c r="H30645" s="4" t="str">
        <v/>
      </c>
      <c r="I30645" s="4" t="str">
        <v/>
      </c>
    </row>
    <row r="30646" spans="5:9" ht="16.5" hidden="1">
      <c r="E30646" s="4" t="str">
        <v/>
      </c>
      <c r="F30646" s="102" t="str">
        <f ca="1">IFERROR(__xludf.DUMMYFUNCTION("IMPORTRANGE(H30646,""IDENTITAS UNIT!D9"")"),"#N/A")</f>
        <v>#N/A</v>
      </c>
      <c r="H30646" s="4" t="str">
        <v/>
      </c>
      <c r="I30646" s="4" t="str">
        <v/>
      </c>
    </row>
    <row r="30647" spans="5:9" ht="16.5" hidden="1">
      <c r="E30647" s="4" t="str">
        <v/>
      </c>
      <c r="F30647" s="102" t="str">
        <f ca="1">IFERROR(__xludf.DUMMYFUNCTION("IMPORTRANGE(H30647,""IDENTITAS UNIT!D9"")"),"#N/A")</f>
        <v>#N/A</v>
      </c>
      <c r="H30647" s="4" t="str">
        <v/>
      </c>
      <c r="I30647" s="4" t="str">
        <v/>
      </c>
    </row>
    <row r="30648" spans="5:9" ht="16.5" hidden="1">
      <c r="E30648" s="4" t="str">
        <v/>
      </c>
      <c r="F30648" s="102" t="str">
        <f ca="1">IFERROR(__xludf.DUMMYFUNCTION("IMPORTRANGE(H30648,""IDENTITAS UNIT!D9"")"),"#N/A")</f>
        <v>#N/A</v>
      </c>
      <c r="H30648" s="4" t="str">
        <v/>
      </c>
      <c r="I30648" s="4" t="str">
        <v/>
      </c>
    </row>
    <row r="30649" spans="5:9" ht="16.5" hidden="1">
      <c r="E30649" s="4" t="str">
        <v/>
      </c>
      <c r="F30649" s="102" t="str">
        <f ca="1">IFERROR(__xludf.DUMMYFUNCTION("IMPORTRANGE(H30649,""IDENTITAS UNIT!D9"")"),"#N/A")</f>
        <v>#N/A</v>
      </c>
      <c r="H30649" s="4" t="str">
        <v/>
      </c>
      <c r="I30649" s="4" t="str">
        <v/>
      </c>
    </row>
    <row r="30650" spans="5:9" ht="16.5" hidden="1">
      <c r="E30650" s="4" t="str">
        <v/>
      </c>
      <c r="F30650" s="102" t="str">
        <f ca="1">IFERROR(__xludf.DUMMYFUNCTION("IMPORTRANGE(H30650,""IDENTITAS UNIT!D9"")"),"#N/A")</f>
        <v>#N/A</v>
      </c>
      <c r="H30650" s="4" t="str">
        <v/>
      </c>
      <c r="I30650" s="4" t="str">
        <v/>
      </c>
    </row>
    <row r="30651" spans="5:9" ht="16.5" hidden="1">
      <c r="E30651" s="4" t="str">
        <v/>
      </c>
      <c r="F30651" s="102" t="str">
        <f ca="1">IFERROR(__xludf.DUMMYFUNCTION("IMPORTRANGE(H30651,""IDENTITAS UNIT!D9"")"),"#N/A")</f>
        <v>#N/A</v>
      </c>
      <c r="H30651" s="4" t="str">
        <v/>
      </c>
      <c r="I30651" s="4" t="str">
        <v/>
      </c>
    </row>
    <row r="30652" spans="5:9" ht="16.5" hidden="1">
      <c r="E30652" s="4" t="str">
        <v/>
      </c>
      <c r="F30652" s="102" t="str">
        <f ca="1">IFERROR(__xludf.DUMMYFUNCTION("IMPORTRANGE(H30652,""IDENTITAS UNIT!D9"")"),"#N/A")</f>
        <v>#N/A</v>
      </c>
      <c r="H30652" s="4" t="str">
        <v/>
      </c>
      <c r="I30652" s="4" t="str">
        <v/>
      </c>
    </row>
    <row r="30653" spans="5:9" ht="16.5" hidden="1">
      <c r="E30653" s="4" t="str">
        <v/>
      </c>
      <c r="F30653" s="102" t="str">
        <f ca="1">IFERROR(__xludf.DUMMYFUNCTION("IMPORTRANGE(H30653,""IDENTITAS UNIT!D9"")"),"#N/A")</f>
        <v>#N/A</v>
      </c>
      <c r="H30653" s="4" t="str">
        <v/>
      </c>
      <c r="I30653" s="4" t="str">
        <v/>
      </c>
    </row>
    <row r="30654" spans="5:9" ht="16.5" hidden="1">
      <c r="E30654" s="4" t="str">
        <v/>
      </c>
      <c r="F30654" s="102" t="str">
        <f ca="1">IFERROR(__xludf.DUMMYFUNCTION("IMPORTRANGE(H30654,""IDENTITAS UNIT!D9"")"),"#N/A")</f>
        <v>#N/A</v>
      </c>
      <c r="H30654" s="4" t="str">
        <v/>
      </c>
      <c r="I30654" s="4" t="str">
        <v/>
      </c>
    </row>
    <row r="30655" spans="5:9" ht="16.5" hidden="1">
      <c r="E30655" s="4" t="str">
        <v/>
      </c>
      <c r="F30655" s="102" t="str">
        <f ca="1">IFERROR(__xludf.DUMMYFUNCTION("IMPORTRANGE(H30655,""IDENTITAS UNIT!D9"")"),"#N/A")</f>
        <v>#N/A</v>
      </c>
      <c r="H30655" s="4" t="str">
        <v/>
      </c>
      <c r="I30655" s="4" t="str">
        <v/>
      </c>
    </row>
    <row r="30656" spans="5:9" ht="16.5" hidden="1">
      <c r="E30656" s="4" t="str">
        <v/>
      </c>
      <c r="F30656" s="102" t="str">
        <f ca="1">IFERROR(__xludf.DUMMYFUNCTION("IMPORTRANGE(H30656,""IDENTITAS UNIT!D9"")"),"#N/A")</f>
        <v>#N/A</v>
      </c>
      <c r="H30656" s="4" t="str">
        <v/>
      </c>
      <c r="I30656" s="4" t="str">
        <v/>
      </c>
    </row>
    <row r="30657" spans="5:9" ht="16.5" hidden="1">
      <c r="E30657" s="4" t="str">
        <v/>
      </c>
      <c r="F30657" s="102" t="str">
        <f ca="1">IFERROR(__xludf.DUMMYFUNCTION("IMPORTRANGE(H30657,""IDENTITAS UNIT!D9"")"),"#N/A")</f>
        <v>#N/A</v>
      </c>
      <c r="H30657" s="4" t="str">
        <v/>
      </c>
      <c r="I30657" s="4" t="str">
        <v/>
      </c>
    </row>
    <row r="30658" spans="5:9" ht="16.5" hidden="1">
      <c r="E30658" s="4" t="str">
        <v/>
      </c>
      <c r="F30658" s="102" t="str">
        <f ca="1">IFERROR(__xludf.DUMMYFUNCTION("IMPORTRANGE(H30658,""IDENTITAS UNIT!D9"")"),"#N/A")</f>
        <v>#N/A</v>
      </c>
      <c r="H30658" s="4" t="str">
        <v/>
      </c>
      <c r="I30658" s="4" t="str">
        <v/>
      </c>
    </row>
    <row r="30659" spans="5:9" ht="16.5" hidden="1">
      <c r="E30659" s="4" t="str">
        <v/>
      </c>
      <c r="F30659" s="102" t="str">
        <f ca="1">IFERROR(__xludf.DUMMYFUNCTION("IMPORTRANGE(H30659,""IDENTITAS UNIT!D9"")"),"#N/A")</f>
        <v>#N/A</v>
      </c>
      <c r="H30659" s="4" t="str">
        <v/>
      </c>
      <c r="I30659" s="4" t="str">
        <v/>
      </c>
    </row>
    <row r="30660" spans="5:9" ht="16.5" hidden="1">
      <c r="E30660" s="4" t="str">
        <v/>
      </c>
      <c r="F30660" s="102" t="str">
        <f ca="1">IFERROR(__xludf.DUMMYFUNCTION("IMPORTRANGE(H30660,""IDENTITAS UNIT!D9"")"),"#N/A")</f>
        <v>#N/A</v>
      </c>
      <c r="H30660" s="4" t="str">
        <v/>
      </c>
      <c r="I30660" s="4" t="str">
        <v/>
      </c>
    </row>
    <row r="30661" spans="5:9" ht="16.5" hidden="1">
      <c r="E30661" s="4" t="str">
        <v/>
      </c>
      <c r="F30661" s="102" t="str">
        <f ca="1">IFERROR(__xludf.DUMMYFUNCTION("IMPORTRANGE(H30661,""IDENTITAS UNIT!D9"")"),"#N/A")</f>
        <v>#N/A</v>
      </c>
      <c r="H30661" s="4" t="str">
        <v/>
      </c>
      <c r="I30661" s="4" t="str">
        <v/>
      </c>
    </row>
    <row r="30662" spans="5:9" ht="16.5" hidden="1">
      <c r="E30662" s="4" t="str">
        <v/>
      </c>
      <c r="F30662" s="102" t="str">
        <f ca="1">IFERROR(__xludf.DUMMYFUNCTION("IMPORTRANGE(H30662,""IDENTITAS UNIT!D9"")"),"#N/A")</f>
        <v>#N/A</v>
      </c>
      <c r="H30662" s="4" t="str">
        <v/>
      </c>
      <c r="I30662" s="4" t="str">
        <v/>
      </c>
    </row>
    <row r="30663" spans="5:9" ht="16.5" hidden="1">
      <c r="E30663" s="4" t="str">
        <v/>
      </c>
      <c r="F30663" s="102" t="str">
        <f ca="1">IFERROR(__xludf.DUMMYFUNCTION("IMPORTRANGE(H30663,""IDENTITAS UNIT!D9"")"),"#N/A")</f>
        <v>#N/A</v>
      </c>
      <c r="H30663" s="4" t="str">
        <v/>
      </c>
      <c r="I30663" s="4" t="str">
        <v/>
      </c>
    </row>
    <row r="30664" spans="5:9" ht="16.5" hidden="1">
      <c r="E30664" s="4" t="str">
        <v/>
      </c>
      <c r="F30664" s="102" t="str">
        <f ca="1">IFERROR(__xludf.DUMMYFUNCTION("IMPORTRANGE(H30664,""IDENTITAS UNIT!D9"")"),"#N/A")</f>
        <v>#N/A</v>
      </c>
      <c r="H30664" s="4" t="str">
        <v/>
      </c>
      <c r="I30664" s="4" t="str">
        <v/>
      </c>
    </row>
    <row r="30665" spans="5:9" ht="16.5" hidden="1">
      <c r="E30665" s="4" t="str">
        <v/>
      </c>
      <c r="F30665" s="102" t="str">
        <f ca="1">IFERROR(__xludf.DUMMYFUNCTION("IMPORTRANGE(H30665,""IDENTITAS UNIT!D9"")"),"#N/A")</f>
        <v>#N/A</v>
      </c>
      <c r="H30665" s="4" t="str">
        <v/>
      </c>
      <c r="I30665" s="4" t="str">
        <v/>
      </c>
    </row>
    <row r="30666" spans="5:9" ht="16.5" hidden="1">
      <c r="E30666" s="4" t="str">
        <v/>
      </c>
      <c r="F30666" s="102" t="str">
        <f ca="1">IFERROR(__xludf.DUMMYFUNCTION("IMPORTRANGE(H30666,""IDENTITAS UNIT!D9"")"),"#N/A")</f>
        <v>#N/A</v>
      </c>
      <c r="H30666" s="4" t="str">
        <v/>
      </c>
      <c r="I30666" s="4" t="str">
        <v/>
      </c>
    </row>
    <row r="30667" spans="5:9" ht="16.5" hidden="1">
      <c r="E30667" s="4" t="str">
        <v/>
      </c>
      <c r="F30667" s="102" t="str">
        <f ca="1">IFERROR(__xludf.DUMMYFUNCTION("IMPORTRANGE(H30667,""IDENTITAS UNIT!D9"")"),"#N/A")</f>
        <v>#N/A</v>
      </c>
      <c r="H30667" s="4" t="str">
        <v/>
      </c>
      <c r="I30667" s="4" t="str">
        <v/>
      </c>
    </row>
    <row r="30668" spans="5:9" ht="16.5" hidden="1">
      <c r="E30668" s="4" t="str">
        <v/>
      </c>
      <c r="F30668" s="102" t="str">
        <f ca="1">IFERROR(__xludf.DUMMYFUNCTION("IMPORTRANGE(H30668,""IDENTITAS UNIT!D9"")"),"#N/A")</f>
        <v>#N/A</v>
      </c>
      <c r="H30668" s="4" t="str">
        <v/>
      </c>
      <c r="I30668" s="4" t="str">
        <v/>
      </c>
    </row>
    <row r="30669" spans="5:9" ht="16.5" hidden="1">
      <c r="E30669" s="4" t="str">
        <v/>
      </c>
      <c r="F30669" s="102" t="str">
        <f ca="1">IFERROR(__xludf.DUMMYFUNCTION("IMPORTRANGE(H30669,""IDENTITAS UNIT!D9"")"),"#N/A")</f>
        <v>#N/A</v>
      </c>
      <c r="H30669" s="4" t="str">
        <v/>
      </c>
      <c r="I30669" s="4" t="str">
        <v/>
      </c>
    </row>
    <row r="30670" spans="5:9" ht="16.5" hidden="1">
      <c r="E30670" s="4" t="str">
        <v/>
      </c>
      <c r="F30670" s="102" t="str">
        <f ca="1">IFERROR(__xludf.DUMMYFUNCTION("IMPORTRANGE(H30670,""IDENTITAS UNIT!D9"")"),"#N/A")</f>
        <v>#N/A</v>
      </c>
      <c r="H30670" s="4" t="str">
        <v/>
      </c>
      <c r="I30670" s="4" t="str">
        <v/>
      </c>
    </row>
    <row r="30671" spans="5:9" ht="16.5" hidden="1">
      <c r="E30671" s="4" t="str">
        <v/>
      </c>
      <c r="F30671" s="102" t="str">
        <f ca="1">IFERROR(__xludf.DUMMYFUNCTION("IMPORTRANGE(H30671,""IDENTITAS UNIT!D9"")"),"#N/A")</f>
        <v>#N/A</v>
      </c>
      <c r="H30671" s="4" t="str">
        <v/>
      </c>
      <c r="I30671" s="4" t="str">
        <v/>
      </c>
    </row>
    <row r="30672" spans="5:9" ht="16.5" hidden="1">
      <c r="E30672" s="4" t="str">
        <v/>
      </c>
      <c r="F30672" s="102" t="str">
        <f ca="1">IFERROR(__xludf.DUMMYFUNCTION("IMPORTRANGE(H30672,""IDENTITAS UNIT!D9"")"),"#N/A")</f>
        <v>#N/A</v>
      </c>
      <c r="H30672" s="4" t="str">
        <v/>
      </c>
      <c r="I30672" s="4" t="str">
        <v/>
      </c>
    </row>
    <row r="30673" spans="5:9" ht="16.5" hidden="1">
      <c r="E30673" s="4" t="str">
        <v/>
      </c>
      <c r="F30673" s="102" t="str">
        <f ca="1">IFERROR(__xludf.DUMMYFUNCTION("IMPORTRANGE(H30673,""IDENTITAS UNIT!D9"")"),"#N/A")</f>
        <v>#N/A</v>
      </c>
      <c r="H30673" s="4" t="str">
        <v/>
      </c>
      <c r="I30673" s="4" t="str">
        <v/>
      </c>
    </row>
    <row r="30674" spans="5:9" ht="16.5" hidden="1">
      <c r="E30674" s="4" t="str">
        <v/>
      </c>
      <c r="F30674" s="102" t="str">
        <f ca="1">IFERROR(__xludf.DUMMYFUNCTION("IMPORTRANGE(H30674,""IDENTITAS UNIT!D9"")"),"#N/A")</f>
        <v>#N/A</v>
      </c>
      <c r="H30674" s="4" t="str">
        <v/>
      </c>
      <c r="I30674" s="4" t="str">
        <v/>
      </c>
    </row>
    <row r="30675" spans="5:9" ht="16.5" hidden="1">
      <c r="E30675" s="4" t="str">
        <v/>
      </c>
      <c r="F30675" s="102" t="str">
        <f ca="1">IFERROR(__xludf.DUMMYFUNCTION("IMPORTRANGE(H30675,""IDENTITAS UNIT!D9"")"),"#N/A")</f>
        <v>#N/A</v>
      </c>
      <c r="H30675" s="4" t="str">
        <v/>
      </c>
      <c r="I30675" s="4" t="str">
        <v/>
      </c>
    </row>
    <row r="30676" spans="5:9" ht="16.5" hidden="1">
      <c r="E30676" s="4" t="str">
        <v/>
      </c>
      <c r="F30676" s="102" t="str">
        <f ca="1">IFERROR(__xludf.DUMMYFUNCTION("IMPORTRANGE(H30676,""IDENTITAS UNIT!D9"")"),"#N/A")</f>
        <v>#N/A</v>
      </c>
      <c r="H30676" s="4" t="str">
        <v/>
      </c>
      <c r="I30676" s="4" t="str">
        <v/>
      </c>
    </row>
    <row r="30677" spans="5:9" ht="16.5" hidden="1">
      <c r="E30677" s="4" t="str">
        <v/>
      </c>
      <c r="F30677" s="102" t="str">
        <f ca="1">IFERROR(__xludf.DUMMYFUNCTION("IMPORTRANGE(H30677,""IDENTITAS UNIT!D9"")"),"#N/A")</f>
        <v>#N/A</v>
      </c>
      <c r="H30677" s="4" t="str">
        <v/>
      </c>
      <c r="I30677" s="4" t="str">
        <v/>
      </c>
    </row>
    <row r="30678" spans="5:9" ht="16.5" hidden="1">
      <c r="E30678" s="4" t="str">
        <v/>
      </c>
      <c r="F30678" s="102" t="str">
        <f ca="1">IFERROR(__xludf.DUMMYFUNCTION("IMPORTRANGE(H30678,""IDENTITAS UNIT!D9"")"),"#N/A")</f>
        <v>#N/A</v>
      </c>
      <c r="H30678" s="4" t="str">
        <v/>
      </c>
      <c r="I30678" s="4" t="str">
        <v/>
      </c>
    </row>
    <row r="30679" spans="5:9" ht="16.5" hidden="1">
      <c r="E30679" s="4" t="str">
        <v/>
      </c>
      <c r="F30679" s="102" t="str">
        <f ca="1">IFERROR(__xludf.DUMMYFUNCTION("IMPORTRANGE(H30679,""IDENTITAS UNIT!D9"")"),"#N/A")</f>
        <v>#N/A</v>
      </c>
      <c r="H30679" s="4" t="str">
        <v/>
      </c>
      <c r="I30679" s="4" t="str">
        <v/>
      </c>
    </row>
    <row r="30680" spans="5:9" ht="16.5" hidden="1">
      <c r="E30680" s="4" t="str">
        <v/>
      </c>
      <c r="F30680" s="102" t="str">
        <f ca="1">IFERROR(__xludf.DUMMYFUNCTION("IMPORTRANGE(H30680,""IDENTITAS UNIT!D9"")"),"#N/A")</f>
        <v>#N/A</v>
      </c>
      <c r="H30680" s="4" t="str">
        <v/>
      </c>
      <c r="I30680" s="4" t="str">
        <v/>
      </c>
    </row>
    <row r="30681" spans="5:9" ht="16.5" hidden="1">
      <c r="E30681" s="4" t="str">
        <v/>
      </c>
      <c r="F30681" s="102" t="str">
        <f ca="1">IFERROR(__xludf.DUMMYFUNCTION("IMPORTRANGE(H30681,""IDENTITAS UNIT!D9"")"),"#N/A")</f>
        <v>#N/A</v>
      </c>
      <c r="H30681" s="4" t="str">
        <v/>
      </c>
      <c r="I30681" s="4" t="str">
        <v/>
      </c>
    </row>
    <row r="30682" spans="5:9" ht="16.5" hidden="1">
      <c r="E30682" s="4" t="str">
        <v/>
      </c>
      <c r="F30682" s="102" t="str">
        <f ca="1">IFERROR(__xludf.DUMMYFUNCTION("IMPORTRANGE(H30682,""IDENTITAS UNIT!D9"")"),"#N/A")</f>
        <v>#N/A</v>
      </c>
      <c r="H30682" s="4" t="str">
        <v/>
      </c>
      <c r="I30682" s="4" t="str">
        <v/>
      </c>
    </row>
    <row r="30683" spans="5:9" ht="16.5" hidden="1">
      <c r="E30683" s="4" t="str">
        <v/>
      </c>
      <c r="F30683" s="102" t="str">
        <f ca="1">IFERROR(__xludf.DUMMYFUNCTION("IMPORTRANGE(H30683,""IDENTITAS UNIT!D9"")"),"#N/A")</f>
        <v>#N/A</v>
      </c>
      <c r="H30683" s="4" t="str">
        <v/>
      </c>
      <c r="I30683" s="4" t="str">
        <v/>
      </c>
    </row>
    <row r="30684" spans="5:9" ht="16.5" hidden="1">
      <c r="E30684" s="4" t="str">
        <v/>
      </c>
      <c r="F30684" s="102" t="str">
        <f ca="1">IFERROR(__xludf.DUMMYFUNCTION("IMPORTRANGE(H30684,""IDENTITAS UNIT!D9"")"),"#N/A")</f>
        <v>#N/A</v>
      </c>
      <c r="H30684" s="4" t="str">
        <v/>
      </c>
      <c r="I30684" s="4" t="str">
        <v/>
      </c>
    </row>
    <row r="30685" spans="5:9" ht="16.5" hidden="1">
      <c r="E30685" s="4" t="str">
        <v/>
      </c>
      <c r="F30685" s="102" t="str">
        <f ca="1">IFERROR(__xludf.DUMMYFUNCTION("IMPORTRANGE(H30685,""IDENTITAS UNIT!D9"")"),"#N/A")</f>
        <v>#N/A</v>
      </c>
      <c r="H30685" s="4" t="str">
        <v/>
      </c>
      <c r="I30685" s="4" t="str">
        <v/>
      </c>
    </row>
    <row r="30686" spans="5:9" ht="16.5" hidden="1">
      <c r="E30686" s="4" t="str">
        <v/>
      </c>
      <c r="F30686" s="102" t="str">
        <f ca="1">IFERROR(__xludf.DUMMYFUNCTION("IMPORTRANGE(H30686,""IDENTITAS UNIT!D9"")"),"#N/A")</f>
        <v>#N/A</v>
      </c>
      <c r="H30686" s="4" t="str">
        <v/>
      </c>
      <c r="I30686" s="4" t="str">
        <v/>
      </c>
    </row>
    <row r="30687" spans="5:9" ht="16.5" hidden="1">
      <c r="E30687" s="4" t="str">
        <v/>
      </c>
      <c r="F30687" s="102" t="str">
        <f ca="1">IFERROR(__xludf.DUMMYFUNCTION("IMPORTRANGE(H30687,""IDENTITAS UNIT!D9"")"),"#N/A")</f>
        <v>#N/A</v>
      </c>
      <c r="H30687" s="4" t="str">
        <v/>
      </c>
      <c r="I30687" s="4" t="str">
        <v/>
      </c>
    </row>
    <row r="30688" spans="5:9" ht="16.5" hidden="1">
      <c r="E30688" s="4" t="str">
        <v/>
      </c>
      <c r="F30688" s="102" t="str">
        <f ca="1">IFERROR(__xludf.DUMMYFUNCTION("IMPORTRANGE(H30688,""IDENTITAS UNIT!D9"")"),"#N/A")</f>
        <v>#N/A</v>
      </c>
      <c r="H30688" s="4" t="str">
        <v/>
      </c>
      <c r="I30688" s="4" t="str">
        <v/>
      </c>
    </row>
    <row r="30689" spans="5:9" ht="16.5" hidden="1">
      <c r="E30689" s="4" t="str">
        <v/>
      </c>
      <c r="F30689" s="102" t="str">
        <f ca="1">IFERROR(__xludf.DUMMYFUNCTION("IMPORTRANGE(H30689,""IDENTITAS UNIT!D9"")"),"#N/A")</f>
        <v>#N/A</v>
      </c>
      <c r="H30689" s="4" t="str">
        <v/>
      </c>
      <c r="I30689" s="4" t="str">
        <v/>
      </c>
    </row>
    <row r="30690" spans="5:9" ht="16.5" hidden="1">
      <c r="E30690" s="4" t="str">
        <v/>
      </c>
      <c r="F30690" s="102" t="str">
        <f ca="1">IFERROR(__xludf.DUMMYFUNCTION("IMPORTRANGE(H30690,""IDENTITAS UNIT!D9"")"),"#N/A")</f>
        <v>#N/A</v>
      </c>
      <c r="H30690" s="4" t="str">
        <v/>
      </c>
      <c r="I30690" s="4" t="str">
        <v/>
      </c>
    </row>
    <row r="30691" spans="5:9" ht="16.5" hidden="1">
      <c r="E30691" s="4" t="str">
        <v/>
      </c>
      <c r="F30691" s="102" t="str">
        <f ca="1">IFERROR(__xludf.DUMMYFUNCTION("IMPORTRANGE(H30691,""IDENTITAS UNIT!D9"")"),"#N/A")</f>
        <v>#N/A</v>
      </c>
      <c r="H30691" s="4" t="str">
        <v/>
      </c>
      <c r="I30691" s="4" t="str">
        <v/>
      </c>
    </row>
    <row r="30692" spans="5:9" ht="16.5" hidden="1">
      <c r="E30692" s="4" t="str">
        <v/>
      </c>
      <c r="F30692" s="102" t="str">
        <f ca="1">IFERROR(__xludf.DUMMYFUNCTION("IMPORTRANGE(H30692,""IDENTITAS UNIT!D9"")"),"#N/A")</f>
        <v>#N/A</v>
      </c>
      <c r="H30692" s="4" t="str">
        <v/>
      </c>
      <c r="I30692" s="4" t="str">
        <v/>
      </c>
    </row>
    <row r="30693" spans="5:9" ht="16.5" hidden="1">
      <c r="E30693" s="4" t="str">
        <v/>
      </c>
      <c r="F30693" s="102" t="str">
        <f ca="1">IFERROR(__xludf.DUMMYFUNCTION("IMPORTRANGE(H30693,""IDENTITAS UNIT!D9"")"),"#N/A")</f>
        <v>#N/A</v>
      </c>
      <c r="H30693" s="4" t="str">
        <v/>
      </c>
      <c r="I30693" s="4" t="str">
        <v/>
      </c>
    </row>
    <row r="30694" spans="5:9" ht="16.5" hidden="1">
      <c r="E30694" s="4" t="str">
        <v/>
      </c>
      <c r="F30694" s="102" t="str">
        <f ca="1">IFERROR(__xludf.DUMMYFUNCTION("IMPORTRANGE(H30694,""IDENTITAS UNIT!D9"")"),"#N/A")</f>
        <v>#N/A</v>
      </c>
      <c r="H30694" s="4" t="str">
        <v/>
      </c>
      <c r="I30694" s="4" t="str">
        <v/>
      </c>
    </row>
    <row r="30695" spans="5:9" ht="16.5" hidden="1">
      <c r="E30695" s="4" t="str">
        <v/>
      </c>
      <c r="F30695" s="102" t="str">
        <f ca="1">IFERROR(__xludf.DUMMYFUNCTION("IMPORTRANGE(H30695,""IDENTITAS UNIT!D9"")"),"#N/A")</f>
        <v>#N/A</v>
      </c>
      <c r="H30695" s="4" t="str">
        <v/>
      </c>
      <c r="I30695" s="4" t="str">
        <v/>
      </c>
    </row>
    <row r="30696" spans="5:9" ht="16.5" hidden="1">
      <c r="E30696" s="4" t="str">
        <v/>
      </c>
      <c r="F30696" s="102" t="str">
        <f ca="1">IFERROR(__xludf.DUMMYFUNCTION("IMPORTRANGE(H30696,""IDENTITAS UNIT!D9"")"),"#N/A")</f>
        <v>#N/A</v>
      </c>
      <c r="H30696" s="4" t="str">
        <v/>
      </c>
      <c r="I30696" s="4" t="str">
        <v/>
      </c>
    </row>
    <row r="30697" spans="5:9" ht="16.5" hidden="1">
      <c r="E30697" s="4" t="str">
        <v/>
      </c>
      <c r="F30697" s="102" t="str">
        <f ca="1">IFERROR(__xludf.DUMMYFUNCTION("IMPORTRANGE(H30697,""IDENTITAS UNIT!D9"")"),"#N/A")</f>
        <v>#N/A</v>
      </c>
      <c r="H30697" s="4" t="str">
        <v/>
      </c>
      <c r="I30697" s="4" t="str">
        <v/>
      </c>
    </row>
    <row r="30698" spans="5:9" ht="16.5" hidden="1">
      <c r="E30698" s="4" t="str">
        <v/>
      </c>
      <c r="F30698" s="102" t="str">
        <f ca="1">IFERROR(__xludf.DUMMYFUNCTION("IMPORTRANGE(H30698,""IDENTITAS UNIT!D9"")"),"#N/A")</f>
        <v>#N/A</v>
      </c>
      <c r="H30698" s="4" t="str">
        <v/>
      </c>
      <c r="I30698" s="4" t="str">
        <v/>
      </c>
    </row>
    <row r="30699" spans="5:9" ht="16.5" hidden="1">
      <c r="E30699" s="4" t="str">
        <v/>
      </c>
      <c r="F30699" s="102" t="str">
        <f ca="1">IFERROR(__xludf.DUMMYFUNCTION("IMPORTRANGE(H30699,""IDENTITAS UNIT!D9"")"),"#N/A")</f>
        <v>#N/A</v>
      </c>
      <c r="H30699" s="4" t="str">
        <v/>
      </c>
      <c r="I30699" s="4" t="str">
        <v/>
      </c>
    </row>
    <row r="30700" spans="5:9" ht="16.5" hidden="1">
      <c r="E30700" s="4" t="str">
        <v/>
      </c>
      <c r="F30700" s="102" t="str">
        <f ca="1">IFERROR(__xludf.DUMMYFUNCTION("IMPORTRANGE(H30700,""IDENTITAS UNIT!D9"")"),"#N/A")</f>
        <v>#N/A</v>
      </c>
      <c r="H30700" s="4" t="str">
        <v/>
      </c>
      <c r="I30700" s="4" t="str">
        <v/>
      </c>
    </row>
    <row r="30701" spans="5:9" ht="16.5" hidden="1">
      <c r="E30701" s="4" t="str">
        <v/>
      </c>
      <c r="F30701" s="102" t="str">
        <f ca="1">IFERROR(__xludf.DUMMYFUNCTION("IMPORTRANGE(H30701,""IDENTITAS UNIT!D9"")"),"#N/A")</f>
        <v>#N/A</v>
      </c>
      <c r="H30701" s="4" t="str">
        <v/>
      </c>
      <c r="I30701" s="4" t="str">
        <v/>
      </c>
    </row>
    <row r="30702" spans="5:9" ht="16.5" hidden="1">
      <c r="E30702" s="4" t="str">
        <v/>
      </c>
      <c r="F30702" s="102" t="str">
        <f ca="1">IFERROR(__xludf.DUMMYFUNCTION("IMPORTRANGE(H30702,""IDENTITAS UNIT!D9"")"),"#N/A")</f>
        <v>#N/A</v>
      </c>
      <c r="H30702" s="4" t="str">
        <v/>
      </c>
      <c r="I30702" s="4" t="str">
        <v/>
      </c>
    </row>
    <row r="30703" spans="5:9" ht="16.5" hidden="1">
      <c r="E30703" s="4" t="str">
        <v/>
      </c>
      <c r="F30703" s="102" t="str">
        <f ca="1">IFERROR(__xludf.DUMMYFUNCTION("IMPORTRANGE(H30703,""IDENTITAS UNIT!D9"")"),"#N/A")</f>
        <v>#N/A</v>
      </c>
      <c r="H30703" s="4" t="str">
        <v/>
      </c>
      <c r="I30703" s="4" t="str">
        <v/>
      </c>
    </row>
    <row r="30704" spans="5:9" ht="16.5" hidden="1">
      <c r="E30704" s="4" t="str">
        <v/>
      </c>
      <c r="F30704" s="102" t="str">
        <f ca="1">IFERROR(__xludf.DUMMYFUNCTION("IMPORTRANGE(H30704,""IDENTITAS UNIT!D9"")"),"#N/A")</f>
        <v>#N/A</v>
      </c>
      <c r="H30704" s="4" t="str">
        <v/>
      </c>
      <c r="I30704" s="4" t="str">
        <v/>
      </c>
    </row>
    <row r="30705" spans="5:9" ht="16.5" hidden="1">
      <c r="E30705" s="4" t="str">
        <v/>
      </c>
      <c r="F30705" s="102" t="str">
        <f ca="1">IFERROR(__xludf.DUMMYFUNCTION("IMPORTRANGE(H30705,""IDENTITAS UNIT!D9"")"),"#N/A")</f>
        <v>#N/A</v>
      </c>
      <c r="H30705" s="4" t="str">
        <v/>
      </c>
      <c r="I30705" s="4" t="str">
        <v/>
      </c>
    </row>
    <row r="30706" spans="5:9" ht="16.5" hidden="1">
      <c r="E30706" s="4" t="str">
        <v/>
      </c>
      <c r="F30706" s="102" t="str">
        <f ca="1">IFERROR(__xludf.DUMMYFUNCTION("IMPORTRANGE(H30706,""IDENTITAS UNIT!D9"")"),"#N/A")</f>
        <v>#N/A</v>
      </c>
      <c r="H30706" s="4" t="str">
        <v/>
      </c>
      <c r="I30706" s="4" t="str">
        <v/>
      </c>
    </row>
    <row r="30707" spans="5:9" ht="16.5" hidden="1">
      <c r="E30707" s="4" t="str">
        <v/>
      </c>
      <c r="F30707" s="102" t="str">
        <f ca="1">IFERROR(__xludf.DUMMYFUNCTION("IMPORTRANGE(H30707,""IDENTITAS UNIT!D9"")"),"#N/A")</f>
        <v>#N/A</v>
      </c>
      <c r="H30707" s="4" t="str">
        <v/>
      </c>
      <c r="I30707" s="4" t="str">
        <v/>
      </c>
    </row>
    <row r="30708" spans="5:9" ht="16.5" hidden="1">
      <c r="E30708" s="4" t="str">
        <v/>
      </c>
      <c r="F30708" s="102" t="str">
        <f ca="1">IFERROR(__xludf.DUMMYFUNCTION("IMPORTRANGE(H30708,""IDENTITAS UNIT!D9"")"),"#N/A")</f>
        <v>#N/A</v>
      </c>
      <c r="H30708" s="4" t="str">
        <v/>
      </c>
      <c r="I30708" s="4" t="str">
        <v/>
      </c>
    </row>
    <row r="30709" spans="5:9" ht="16.5" hidden="1">
      <c r="E30709" s="4" t="str">
        <v/>
      </c>
      <c r="F30709" s="102" t="str">
        <f ca="1">IFERROR(__xludf.DUMMYFUNCTION("IMPORTRANGE(H30709,""IDENTITAS UNIT!D9"")"),"#N/A")</f>
        <v>#N/A</v>
      </c>
      <c r="H30709" s="4" t="str">
        <v/>
      </c>
      <c r="I30709" s="4" t="str">
        <v/>
      </c>
    </row>
    <row r="30710" spans="5:9" ht="16.5" hidden="1">
      <c r="E30710" s="4" t="str">
        <v/>
      </c>
      <c r="F30710" s="102" t="str">
        <f ca="1">IFERROR(__xludf.DUMMYFUNCTION("IMPORTRANGE(H30710,""IDENTITAS UNIT!D9"")"),"#N/A")</f>
        <v>#N/A</v>
      </c>
      <c r="H30710" s="4" t="str">
        <v/>
      </c>
      <c r="I30710" s="4" t="str">
        <v/>
      </c>
    </row>
    <row r="30711" spans="5:9" ht="16.5" hidden="1">
      <c r="E30711" s="4" t="str">
        <v/>
      </c>
      <c r="F30711" s="102" t="str">
        <f ca="1">IFERROR(__xludf.DUMMYFUNCTION("IMPORTRANGE(H30711,""IDENTITAS UNIT!D9"")"),"#N/A")</f>
        <v>#N/A</v>
      </c>
      <c r="H30711" s="4" t="str">
        <v/>
      </c>
      <c r="I30711" s="4" t="str">
        <v/>
      </c>
    </row>
    <row r="30712" spans="5:9" ht="16.5" hidden="1">
      <c r="E30712" s="4" t="str">
        <v/>
      </c>
      <c r="F30712" s="102" t="str">
        <f ca="1">IFERROR(__xludf.DUMMYFUNCTION("IMPORTRANGE(H30712,""IDENTITAS UNIT!D9"")"),"#N/A")</f>
        <v>#N/A</v>
      </c>
      <c r="H30712" s="4" t="str">
        <v/>
      </c>
      <c r="I30712" s="4" t="str">
        <v/>
      </c>
    </row>
    <row r="30713" spans="5:9" ht="16.5" hidden="1">
      <c r="E30713" s="4" t="str">
        <v/>
      </c>
      <c r="F30713" s="102" t="str">
        <f ca="1">IFERROR(__xludf.DUMMYFUNCTION("IMPORTRANGE(H30713,""IDENTITAS UNIT!D9"")"),"#N/A")</f>
        <v>#N/A</v>
      </c>
      <c r="H30713" s="4" t="str">
        <v/>
      </c>
      <c r="I30713" s="4" t="str">
        <v/>
      </c>
    </row>
    <row r="30714" spans="5:9" ht="16.5" hidden="1">
      <c r="E30714" s="4" t="str">
        <v/>
      </c>
      <c r="F30714" s="102" t="str">
        <f ca="1">IFERROR(__xludf.DUMMYFUNCTION("IMPORTRANGE(H30714,""IDENTITAS UNIT!D9"")"),"#N/A")</f>
        <v>#N/A</v>
      </c>
      <c r="H30714" s="4" t="str">
        <v/>
      </c>
      <c r="I30714" s="4" t="str">
        <v/>
      </c>
    </row>
    <row r="30715" spans="5:9" ht="16.5" hidden="1">
      <c r="E30715" s="4" t="str">
        <v/>
      </c>
      <c r="F30715" s="102" t="str">
        <f ca="1">IFERROR(__xludf.DUMMYFUNCTION("IMPORTRANGE(H30715,""IDENTITAS UNIT!D9"")"),"#N/A")</f>
        <v>#N/A</v>
      </c>
      <c r="H30715" s="4" t="str">
        <v/>
      </c>
      <c r="I30715" s="4" t="str">
        <v/>
      </c>
    </row>
    <row r="30716" spans="5:9" ht="16.5" hidden="1">
      <c r="E30716" s="4" t="str">
        <v/>
      </c>
      <c r="F30716" s="102" t="str">
        <f ca="1">IFERROR(__xludf.DUMMYFUNCTION("IMPORTRANGE(H30716,""IDENTITAS UNIT!D9"")"),"#N/A")</f>
        <v>#N/A</v>
      </c>
      <c r="H30716" s="4" t="str">
        <v/>
      </c>
      <c r="I30716" s="4" t="str">
        <v/>
      </c>
    </row>
    <row r="30717" spans="5:9" ht="16.5" hidden="1">
      <c r="E30717" s="4" t="str">
        <v/>
      </c>
      <c r="F30717" s="102" t="str">
        <f ca="1">IFERROR(__xludf.DUMMYFUNCTION("IMPORTRANGE(H30717,""IDENTITAS UNIT!D9"")"),"#N/A")</f>
        <v>#N/A</v>
      </c>
      <c r="H30717" s="4" t="str">
        <v/>
      </c>
      <c r="I30717" s="4" t="str">
        <v/>
      </c>
    </row>
    <row r="30718" spans="5:9" ht="16.5" hidden="1">
      <c r="E30718" s="4" t="str">
        <v/>
      </c>
      <c r="F30718" s="102" t="str">
        <f ca="1">IFERROR(__xludf.DUMMYFUNCTION("IMPORTRANGE(H30718,""IDENTITAS UNIT!D9"")"),"#N/A")</f>
        <v>#N/A</v>
      </c>
      <c r="H30718" s="4" t="str">
        <v/>
      </c>
      <c r="I30718" s="4" t="str">
        <v/>
      </c>
    </row>
    <row r="30719" spans="5:9" ht="16.5" hidden="1">
      <c r="E30719" s="4" t="str">
        <v/>
      </c>
      <c r="F30719" s="102" t="str">
        <f ca="1">IFERROR(__xludf.DUMMYFUNCTION("IMPORTRANGE(H30719,""IDENTITAS UNIT!D9"")"),"#N/A")</f>
        <v>#N/A</v>
      </c>
      <c r="H30719" s="4" t="str">
        <v/>
      </c>
      <c r="I30719" s="4" t="str">
        <v/>
      </c>
    </row>
    <row r="30720" spans="5:9" ht="16.5" hidden="1">
      <c r="E30720" s="4" t="str">
        <v/>
      </c>
      <c r="F30720" s="102" t="str">
        <f ca="1">IFERROR(__xludf.DUMMYFUNCTION("IMPORTRANGE(H30720,""IDENTITAS UNIT!D9"")"),"#N/A")</f>
        <v>#N/A</v>
      </c>
      <c r="H30720" s="4" t="str">
        <v/>
      </c>
      <c r="I30720" s="4" t="str">
        <v/>
      </c>
    </row>
    <row r="30721" spans="5:9" ht="16.5" hidden="1">
      <c r="E30721" s="4" t="str">
        <v/>
      </c>
      <c r="F30721" s="102" t="str">
        <f ca="1">IFERROR(__xludf.DUMMYFUNCTION("IMPORTRANGE(H30721,""IDENTITAS UNIT!D9"")"),"#N/A")</f>
        <v>#N/A</v>
      </c>
      <c r="H30721" s="4" t="str">
        <v/>
      </c>
      <c r="I30721" s="4" t="str">
        <v/>
      </c>
    </row>
    <row r="30722" spans="5:9" ht="16.5" hidden="1">
      <c r="E30722" s="4" t="str">
        <v/>
      </c>
      <c r="F30722" s="102" t="str">
        <f ca="1">IFERROR(__xludf.DUMMYFUNCTION("IMPORTRANGE(H30722,""IDENTITAS UNIT!D9"")"),"#N/A")</f>
        <v>#N/A</v>
      </c>
      <c r="H30722" s="4" t="str">
        <v/>
      </c>
      <c r="I30722" s="4" t="str">
        <v/>
      </c>
    </row>
    <row r="30723" spans="5:9" ht="16.5" hidden="1">
      <c r="E30723" s="4" t="str">
        <v/>
      </c>
      <c r="F30723" s="102" t="str">
        <f ca="1">IFERROR(__xludf.DUMMYFUNCTION("IMPORTRANGE(H30723,""IDENTITAS UNIT!D9"")"),"#N/A")</f>
        <v>#N/A</v>
      </c>
      <c r="H30723" s="4" t="str">
        <v/>
      </c>
      <c r="I30723" s="4" t="str">
        <v/>
      </c>
    </row>
    <row r="30724" spans="5:9" ht="16.5" hidden="1">
      <c r="E30724" s="4" t="str">
        <v/>
      </c>
      <c r="F30724" s="102" t="str">
        <f ca="1">IFERROR(__xludf.DUMMYFUNCTION("IMPORTRANGE(H30724,""IDENTITAS UNIT!D9"")"),"#N/A")</f>
        <v>#N/A</v>
      </c>
      <c r="H30724" s="4" t="str">
        <v/>
      </c>
      <c r="I30724" s="4" t="str">
        <v/>
      </c>
    </row>
    <row r="30725" spans="5:9" ht="16.5" hidden="1">
      <c r="E30725" s="4" t="str">
        <v/>
      </c>
      <c r="F30725" s="102" t="str">
        <f ca="1">IFERROR(__xludf.DUMMYFUNCTION("IMPORTRANGE(H30725,""IDENTITAS UNIT!D9"")"),"#N/A")</f>
        <v>#N/A</v>
      </c>
      <c r="H30725" s="4" t="str">
        <v/>
      </c>
      <c r="I30725" s="4" t="str">
        <v/>
      </c>
    </row>
    <row r="30726" spans="5:9" ht="16.5" hidden="1">
      <c r="E30726" s="4" t="str">
        <v/>
      </c>
      <c r="F30726" s="102" t="str">
        <f ca="1">IFERROR(__xludf.DUMMYFUNCTION("IMPORTRANGE(H30726,""IDENTITAS UNIT!D9"")"),"#N/A")</f>
        <v>#N/A</v>
      </c>
      <c r="H30726" s="4" t="str">
        <v/>
      </c>
      <c r="I30726" s="4" t="str">
        <v/>
      </c>
    </row>
    <row r="30727" spans="5:9" ht="16.5" hidden="1">
      <c r="E30727" s="4" t="str">
        <v/>
      </c>
      <c r="F30727" s="102" t="str">
        <f ca="1">IFERROR(__xludf.DUMMYFUNCTION("IMPORTRANGE(H30727,""IDENTITAS UNIT!D9"")"),"#N/A")</f>
        <v>#N/A</v>
      </c>
      <c r="H30727" s="4" t="str">
        <v/>
      </c>
      <c r="I30727" s="4" t="str">
        <v/>
      </c>
    </row>
    <row r="30728" spans="5:9" ht="16.5" hidden="1">
      <c r="E30728" s="4" t="str">
        <v/>
      </c>
      <c r="F30728" s="102" t="str">
        <f ca="1">IFERROR(__xludf.DUMMYFUNCTION("IMPORTRANGE(H30728,""IDENTITAS UNIT!D9"")"),"#N/A")</f>
        <v>#N/A</v>
      </c>
      <c r="H30728" s="4" t="str">
        <v/>
      </c>
      <c r="I30728" s="4" t="str">
        <v/>
      </c>
    </row>
    <row r="30729" spans="5:9" ht="16.5" hidden="1">
      <c r="E30729" s="4" t="str">
        <v/>
      </c>
      <c r="F30729" s="102" t="str">
        <f ca="1">IFERROR(__xludf.DUMMYFUNCTION("IMPORTRANGE(H30729,""IDENTITAS UNIT!D9"")"),"#N/A")</f>
        <v>#N/A</v>
      </c>
      <c r="H30729" s="4" t="str">
        <v/>
      </c>
      <c r="I30729" s="4" t="str">
        <v/>
      </c>
    </row>
    <row r="30730" spans="5:9" ht="16.5" hidden="1">
      <c r="E30730" s="4" t="str">
        <v/>
      </c>
      <c r="F30730" s="102" t="str">
        <f ca="1">IFERROR(__xludf.DUMMYFUNCTION("IMPORTRANGE(H30730,""IDENTITAS UNIT!D9"")"),"#N/A")</f>
        <v>#N/A</v>
      </c>
      <c r="H30730" s="4" t="str">
        <v/>
      </c>
      <c r="I30730" s="4" t="str">
        <v/>
      </c>
    </row>
    <row r="30731" spans="5:9" ht="16.5" hidden="1">
      <c r="E30731" s="4" t="str">
        <v/>
      </c>
      <c r="F30731" s="102" t="str">
        <f ca="1">IFERROR(__xludf.DUMMYFUNCTION("IMPORTRANGE(H30731,""IDENTITAS UNIT!D9"")"),"#N/A")</f>
        <v>#N/A</v>
      </c>
      <c r="H30731" s="4" t="str">
        <v/>
      </c>
      <c r="I30731" s="4" t="str">
        <v/>
      </c>
    </row>
    <row r="30732" spans="5:9" ht="16.5" hidden="1">
      <c r="E30732" s="4" t="str">
        <v/>
      </c>
      <c r="F30732" s="102" t="str">
        <f ca="1">IFERROR(__xludf.DUMMYFUNCTION("IMPORTRANGE(H30732,""IDENTITAS UNIT!D9"")"),"#N/A")</f>
        <v>#N/A</v>
      </c>
      <c r="H30732" s="4" t="str">
        <v/>
      </c>
      <c r="I30732" s="4" t="str">
        <v/>
      </c>
    </row>
    <row r="30733" spans="5:9" ht="16.5" hidden="1">
      <c r="E30733" s="4" t="str">
        <v/>
      </c>
      <c r="F30733" s="102" t="str">
        <f ca="1">IFERROR(__xludf.DUMMYFUNCTION("IMPORTRANGE(H30733,""IDENTITAS UNIT!D9"")"),"#N/A")</f>
        <v>#N/A</v>
      </c>
      <c r="H30733" s="4" t="str">
        <v/>
      </c>
      <c r="I30733" s="4" t="str">
        <v/>
      </c>
    </row>
    <row r="30734" spans="5:9" ht="16.5" hidden="1">
      <c r="E30734" s="4" t="str">
        <v/>
      </c>
      <c r="F30734" s="102" t="str">
        <f ca="1">IFERROR(__xludf.DUMMYFUNCTION("IMPORTRANGE(H30734,""IDENTITAS UNIT!D9"")"),"#N/A")</f>
        <v>#N/A</v>
      </c>
      <c r="H30734" s="4" t="str">
        <v/>
      </c>
      <c r="I30734" s="4" t="str">
        <v/>
      </c>
    </row>
    <row r="30735" spans="5:9" ht="16.5" hidden="1">
      <c r="E30735" s="4" t="str">
        <v/>
      </c>
      <c r="F30735" s="102" t="str">
        <f ca="1">IFERROR(__xludf.DUMMYFUNCTION("IMPORTRANGE(H30735,""IDENTITAS UNIT!D9"")"),"#N/A")</f>
        <v>#N/A</v>
      </c>
      <c r="H30735" s="4" t="str">
        <v/>
      </c>
      <c r="I30735" s="4" t="str">
        <v/>
      </c>
    </row>
    <row r="30736" spans="5:9" ht="16.5" hidden="1">
      <c r="E30736" s="4" t="str">
        <v/>
      </c>
      <c r="F30736" s="102" t="str">
        <f ca="1">IFERROR(__xludf.DUMMYFUNCTION("IMPORTRANGE(H30736,""IDENTITAS UNIT!D9"")"),"#N/A")</f>
        <v>#N/A</v>
      </c>
      <c r="H30736" s="4" t="str">
        <v/>
      </c>
      <c r="I30736" s="4" t="str">
        <v/>
      </c>
    </row>
    <row r="30737" spans="5:9" ht="16.5" hidden="1">
      <c r="E30737" s="4" t="str">
        <v/>
      </c>
      <c r="F30737" s="102" t="str">
        <f ca="1">IFERROR(__xludf.DUMMYFUNCTION("IMPORTRANGE(H30737,""IDENTITAS UNIT!D9"")"),"#N/A")</f>
        <v>#N/A</v>
      </c>
      <c r="H30737" s="4" t="str">
        <v/>
      </c>
      <c r="I30737" s="4" t="str">
        <v/>
      </c>
    </row>
    <row r="30738" spans="5:9" ht="16.5" hidden="1">
      <c r="E30738" s="4" t="str">
        <v/>
      </c>
      <c r="F30738" s="102" t="str">
        <f ca="1">IFERROR(__xludf.DUMMYFUNCTION("IMPORTRANGE(H30738,""IDENTITAS UNIT!D9"")"),"#N/A")</f>
        <v>#N/A</v>
      </c>
      <c r="H30738" s="4" t="str">
        <v/>
      </c>
      <c r="I30738" s="4" t="str">
        <v/>
      </c>
    </row>
    <row r="30739" spans="5:9" ht="16.5" hidden="1">
      <c r="E30739" s="4" t="str">
        <v/>
      </c>
      <c r="F30739" s="102" t="str">
        <f ca="1">IFERROR(__xludf.DUMMYFUNCTION("IMPORTRANGE(H30739,""IDENTITAS UNIT!D9"")"),"#N/A")</f>
        <v>#N/A</v>
      </c>
      <c r="H30739" s="4" t="str">
        <v/>
      </c>
      <c r="I30739" s="4" t="str">
        <v/>
      </c>
    </row>
    <row r="30740" spans="5:9" ht="16.5" hidden="1">
      <c r="E30740" s="4" t="str">
        <v/>
      </c>
      <c r="F30740" s="102" t="str">
        <f ca="1">IFERROR(__xludf.DUMMYFUNCTION("IMPORTRANGE(H30740,""IDENTITAS UNIT!D9"")"),"#N/A")</f>
        <v>#N/A</v>
      </c>
      <c r="H30740" s="4" t="str">
        <v/>
      </c>
      <c r="I30740" s="4" t="str">
        <v/>
      </c>
    </row>
    <row r="30741" spans="5:9" ht="16.5" hidden="1">
      <c r="E30741" s="4" t="str">
        <v/>
      </c>
      <c r="F30741" s="102" t="str">
        <f ca="1">IFERROR(__xludf.DUMMYFUNCTION("IMPORTRANGE(H30741,""IDENTITAS UNIT!D9"")"),"#N/A")</f>
        <v>#N/A</v>
      </c>
      <c r="H30741" s="4" t="str">
        <v/>
      </c>
      <c r="I30741" s="4" t="str">
        <v/>
      </c>
    </row>
    <row r="30742" spans="5:9" ht="16.5" hidden="1">
      <c r="E30742" s="4" t="str">
        <v/>
      </c>
      <c r="F30742" s="102" t="str">
        <f ca="1">IFERROR(__xludf.DUMMYFUNCTION("IMPORTRANGE(H30742,""IDENTITAS UNIT!D9"")"),"#N/A")</f>
        <v>#N/A</v>
      </c>
      <c r="H30742" s="4" t="str">
        <v/>
      </c>
      <c r="I30742" s="4" t="str">
        <v/>
      </c>
    </row>
    <row r="30743" spans="5:9" ht="16.5" hidden="1">
      <c r="E30743" s="4" t="str">
        <v/>
      </c>
      <c r="F30743" s="102" t="str">
        <f ca="1">IFERROR(__xludf.DUMMYFUNCTION("IMPORTRANGE(H30743,""IDENTITAS UNIT!D9"")"),"#N/A")</f>
        <v>#N/A</v>
      </c>
      <c r="H30743" s="4" t="str">
        <v/>
      </c>
      <c r="I30743" s="4" t="str">
        <v/>
      </c>
    </row>
    <row r="30744" spans="5:9" ht="16.5" hidden="1">
      <c r="E30744" s="4" t="str">
        <v/>
      </c>
      <c r="F30744" s="102" t="str">
        <f ca="1">IFERROR(__xludf.DUMMYFUNCTION("IMPORTRANGE(H30744,""IDENTITAS UNIT!D9"")"),"#N/A")</f>
        <v>#N/A</v>
      </c>
      <c r="H30744" s="4" t="str">
        <v/>
      </c>
      <c r="I30744" s="4" t="str">
        <v/>
      </c>
    </row>
    <row r="30745" spans="5:9" ht="16.5" hidden="1">
      <c r="E30745" s="4" t="str">
        <v/>
      </c>
      <c r="F30745" s="102" t="str">
        <f ca="1">IFERROR(__xludf.DUMMYFUNCTION("IMPORTRANGE(H30745,""IDENTITAS UNIT!D9"")"),"#N/A")</f>
        <v>#N/A</v>
      </c>
      <c r="H30745" s="4" t="str">
        <v/>
      </c>
      <c r="I30745" s="4" t="str">
        <v/>
      </c>
    </row>
    <row r="30746" spans="5:9" ht="16.5" hidden="1">
      <c r="E30746" s="4" t="str">
        <v/>
      </c>
      <c r="F30746" s="102" t="str">
        <f ca="1">IFERROR(__xludf.DUMMYFUNCTION("IMPORTRANGE(H30746,""IDENTITAS UNIT!D9"")"),"#N/A")</f>
        <v>#N/A</v>
      </c>
      <c r="H30746" s="4" t="str">
        <v/>
      </c>
      <c r="I30746" s="4" t="str">
        <v/>
      </c>
    </row>
    <row r="30747" spans="5:9" ht="16.5" hidden="1">
      <c r="E30747" s="4" t="str">
        <v/>
      </c>
      <c r="F30747" s="102" t="str">
        <f ca="1">IFERROR(__xludf.DUMMYFUNCTION("IMPORTRANGE(H30747,""IDENTITAS UNIT!D9"")"),"#N/A")</f>
        <v>#N/A</v>
      </c>
      <c r="H30747" s="4" t="str">
        <v/>
      </c>
      <c r="I30747" s="4" t="str">
        <v/>
      </c>
    </row>
    <row r="30748" spans="5:9" ht="16.5" hidden="1">
      <c r="E30748" s="4" t="str">
        <v/>
      </c>
      <c r="F30748" s="102" t="str">
        <f ca="1">IFERROR(__xludf.DUMMYFUNCTION("IMPORTRANGE(H30748,""IDENTITAS UNIT!D9"")"),"#N/A")</f>
        <v>#N/A</v>
      </c>
      <c r="H30748" s="4" t="str">
        <v/>
      </c>
      <c r="I30748" s="4" t="str">
        <v/>
      </c>
    </row>
    <row r="30749" spans="5:9" ht="16.5" hidden="1">
      <c r="E30749" s="4" t="str">
        <v/>
      </c>
      <c r="F30749" s="102" t="str">
        <f ca="1">IFERROR(__xludf.DUMMYFUNCTION("IMPORTRANGE(H30749,""IDENTITAS UNIT!D9"")"),"#N/A")</f>
        <v>#N/A</v>
      </c>
      <c r="H30749" s="4" t="str">
        <v/>
      </c>
      <c r="I30749" s="4" t="str">
        <v/>
      </c>
    </row>
    <row r="30750" spans="5:9" ht="16.5" hidden="1">
      <c r="E30750" s="4" t="str">
        <v/>
      </c>
      <c r="F30750" s="102" t="str">
        <f ca="1">IFERROR(__xludf.DUMMYFUNCTION("IMPORTRANGE(H30750,""IDENTITAS UNIT!D9"")"),"#N/A")</f>
        <v>#N/A</v>
      </c>
      <c r="H30750" s="4" t="str">
        <v/>
      </c>
      <c r="I30750" s="4" t="str">
        <v/>
      </c>
    </row>
    <row r="30751" spans="5:9" ht="16.5" hidden="1">
      <c r="E30751" s="4" t="str">
        <v/>
      </c>
      <c r="F30751" s="102" t="str">
        <f ca="1">IFERROR(__xludf.DUMMYFUNCTION("IMPORTRANGE(H30751,""IDENTITAS UNIT!D9"")"),"#N/A")</f>
        <v>#N/A</v>
      </c>
      <c r="H30751" s="4" t="str">
        <v/>
      </c>
      <c r="I30751" s="4" t="str">
        <v/>
      </c>
    </row>
    <row r="30752" spans="5:9" ht="16.5" hidden="1">
      <c r="E30752" s="4" t="str">
        <v/>
      </c>
      <c r="F30752" s="102" t="str">
        <f ca="1">IFERROR(__xludf.DUMMYFUNCTION("IMPORTRANGE(H30752,""IDENTITAS UNIT!D9"")"),"#N/A")</f>
        <v>#N/A</v>
      </c>
      <c r="H30752" s="4" t="str">
        <v/>
      </c>
      <c r="I30752" s="4" t="str">
        <v/>
      </c>
    </row>
    <row r="30753" spans="5:9" ht="16.5" hidden="1">
      <c r="E30753" s="4" t="str">
        <v/>
      </c>
      <c r="F30753" s="102" t="str">
        <f ca="1">IFERROR(__xludf.DUMMYFUNCTION("IMPORTRANGE(H30753,""IDENTITAS UNIT!D9"")"),"#N/A")</f>
        <v>#N/A</v>
      </c>
      <c r="H30753" s="4" t="str">
        <v/>
      </c>
      <c r="I30753" s="4" t="str">
        <v/>
      </c>
    </row>
    <row r="30754" spans="5:9" ht="16.5" hidden="1">
      <c r="E30754" s="4" t="str">
        <v/>
      </c>
      <c r="F30754" s="102" t="str">
        <f ca="1">IFERROR(__xludf.DUMMYFUNCTION("IMPORTRANGE(H30754,""IDENTITAS UNIT!D9"")"),"#N/A")</f>
        <v>#N/A</v>
      </c>
      <c r="H30754" s="4" t="str">
        <v/>
      </c>
      <c r="I30754" s="4" t="str">
        <v/>
      </c>
    </row>
    <row r="30755" spans="5:9" ht="16.5" hidden="1">
      <c r="E30755" s="4" t="str">
        <v/>
      </c>
      <c r="F30755" s="102" t="str">
        <f ca="1">IFERROR(__xludf.DUMMYFUNCTION("IMPORTRANGE(H30755,""IDENTITAS UNIT!D9"")"),"#N/A")</f>
        <v>#N/A</v>
      </c>
      <c r="H30755" s="4" t="str">
        <v/>
      </c>
      <c r="I30755" s="4" t="str">
        <v/>
      </c>
    </row>
    <row r="30756" spans="5:9" ht="16.5" hidden="1">
      <c r="E30756" s="4" t="str">
        <v/>
      </c>
      <c r="F30756" s="102" t="str">
        <f ca="1">IFERROR(__xludf.DUMMYFUNCTION("IMPORTRANGE(H30756,""IDENTITAS UNIT!D9"")"),"#N/A")</f>
        <v>#N/A</v>
      </c>
      <c r="H30756" s="4" t="str">
        <v/>
      </c>
      <c r="I30756" s="4" t="str">
        <v/>
      </c>
    </row>
    <row r="30757" spans="5:9" ht="16.5" hidden="1">
      <c r="E30757" s="4" t="str">
        <v/>
      </c>
      <c r="F30757" s="102" t="str">
        <f ca="1">IFERROR(__xludf.DUMMYFUNCTION("IMPORTRANGE(H30757,""IDENTITAS UNIT!D9"")"),"#N/A")</f>
        <v>#N/A</v>
      </c>
      <c r="H30757" s="4" t="str">
        <v/>
      </c>
      <c r="I30757" s="4" t="str">
        <v/>
      </c>
    </row>
    <row r="30758" spans="5:9" ht="16.5" hidden="1">
      <c r="E30758" s="4" t="str">
        <v/>
      </c>
      <c r="F30758" s="102" t="str">
        <f ca="1">IFERROR(__xludf.DUMMYFUNCTION("IMPORTRANGE(H30758,""IDENTITAS UNIT!D9"")"),"#N/A")</f>
        <v>#N/A</v>
      </c>
      <c r="H30758" s="4" t="str">
        <v/>
      </c>
      <c r="I30758" s="4" t="str">
        <v/>
      </c>
    </row>
    <row r="30759" spans="5:9" ht="16.5" hidden="1">
      <c r="E30759" s="4" t="str">
        <v/>
      </c>
      <c r="F30759" s="102" t="str">
        <f ca="1">IFERROR(__xludf.DUMMYFUNCTION("IMPORTRANGE(H30759,""IDENTITAS UNIT!D9"")"),"#N/A")</f>
        <v>#N/A</v>
      </c>
      <c r="H30759" s="4" t="str">
        <v/>
      </c>
      <c r="I30759" s="4" t="str">
        <v/>
      </c>
    </row>
    <row r="30760" spans="5:9" ht="16.5" hidden="1">
      <c r="E30760" s="4" t="str">
        <v/>
      </c>
      <c r="F30760" s="102" t="str">
        <f ca="1">IFERROR(__xludf.DUMMYFUNCTION("IMPORTRANGE(H30760,""IDENTITAS UNIT!D9"")"),"#N/A")</f>
        <v>#N/A</v>
      </c>
      <c r="H30760" s="4" t="str">
        <v/>
      </c>
      <c r="I30760" s="4" t="str">
        <v/>
      </c>
    </row>
    <row r="30761" spans="5:9" ht="16.5" hidden="1">
      <c r="E30761" s="4" t="str">
        <v/>
      </c>
      <c r="F30761" s="102" t="str">
        <f ca="1">IFERROR(__xludf.DUMMYFUNCTION("IMPORTRANGE(H30761,""IDENTITAS UNIT!D9"")"),"#N/A")</f>
        <v>#N/A</v>
      </c>
      <c r="H30761" s="4" t="str">
        <v/>
      </c>
      <c r="I30761" s="4" t="str">
        <v/>
      </c>
    </row>
    <row r="30762" spans="5:9" ht="16.5" hidden="1">
      <c r="E30762" s="4" t="str">
        <v/>
      </c>
      <c r="F30762" s="102" t="str">
        <f ca="1">IFERROR(__xludf.DUMMYFUNCTION("IMPORTRANGE(H30762,""IDENTITAS UNIT!D9"")"),"#N/A")</f>
        <v>#N/A</v>
      </c>
      <c r="H30762" s="4" t="str">
        <v/>
      </c>
      <c r="I30762" s="4" t="str">
        <v/>
      </c>
    </row>
    <row r="30763" spans="5:9" ht="16.5" hidden="1">
      <c r="E30763" s="4" t="str">
        <v/>
      </c>
      <c r="F30763" s="102" t="str">
        <f ca="1">IFERROR(__xludf.DUMMYFUNCTION("IMPORTRANGE(H30763,""IDENTITAS UNIT!D9"")"),"#N/A")</f>
        <v>#N/A</v>
      </c>
      <c r="H30763" s="4" t="str">
        <v/>
      </c>
      <c r="I30763" s="4" t="str">
        <v/>
      </c>
    </row>
    <row r="30764" spans="5:9" ht="16.5" hidden="1">
      <c r="E30764" s="4" t="str">
        <v/>
      </c>
      <c r="F30764" s="102" t="str">
        <f ca="1">IFERROR(__xludf.DUMMYFUNCTION("IMPORTRANGE(H30764,""IDENTITAS UNIT!D9"")"),"#N/A")</f>
        <v>#N/A</v>
      </c>
      <c r="H30764" s="4" t="str">
        <v/>
      </c>
      <c r="I30764" s="4" t="str">
        <v/>
      </c>
    </row>
    <row r="30765" spans="5:9" ht="16.5" hidden="1">
      <c r="E30765" s="4" t="str">
        <v/>
      </c>
      <c r="F30765" s="102" t="str">
        <f ca="1">IFERROR(__xludf.DUMMYFUNCTION("IMPORTRANGE(H30765,""IDENTITAS UNIT!D9"")"),"#N/A")</f>
        <v>#N/A</v>
      </c>
      <c r="H30765" s="4" t="str">
        <v/>
      </c>
      <c r="I30765" s="4" t="str">
        <v/>
      </c>
    </row>
    <row r="30766" spans="5:9" ht="16.5" hidden="1">
      <c r="E30766" s="4" t="str">
        <v/>
      </c>
      <c r="F30766" s="102" t="str">
        <f ca="1">IFERROR(__xludf.DUMMYFUNCTION("IMPORTRANGE(H30766,""IDENTITAS UNIT!D9"")"),"#N/A")</f>
        <v>#N/A</v>
      </c>
      <c r="H30766" s="4" t="str">
        <v/>
      </c>
      <c r="I30766" s="4" t="str">
        <v/>
      </c>
    </row>
    <row r="30767" spans="5:9" ht="16.5" hidden="1">
      <c r="E30767" s="4" t="str">
        <v/>
      </c>
      <c r="F30767" s="102" t="str">
        <f ca="1">IFERROR(__xludf.DUMMYFUNCTION("IMPORTRANGE(H30767,""IDENTITAS UNIT!D9"")"),"#N/A")</f>
        <v>#N/A</v>
      </c>
      <c r="H30767" s="4" t="str">
        <v/>
      </c>
      <c r="I30767" s="4" t="str">
        <v/>
      </c>
    </row>
    <row r="30768" spans="5:9" ht="16.5" hidden="1">
      <c r="E30768" s="4" t="str">
        <v/>
      </c>
      <c r="F30768" s="102" t="str">
        <f ca="1">IFERROR(__xludf.DUMMYFUNCTION("IMPORTRANGE(H30768,""IDENTITAS UNIT!D9"")"),"#N/A")</f>
        <v>#N/A</v>
      </c>
      <c r="H30768" s="4" t="str">
        <v/>
      </c>
      <c r="I30768" s="4" t="str">
        <v/>
      </c>
    </row>
    <row r="30769" spans="5:9" ht="16.5" hidden="1">
      <c r="E30769" s="4" t="str">
        <v/>
      </c>
      <c r="F30769" s="102" t="str">
        <f ca="1">IFERROR(__xludf.DUMMYFUNCTION("IMPORTRANGE(H30769,""IDENTITAS UNIT!D9"")"),"#N/A")</f>
        <v>#N/A</v>
      </c>
      <c r="H30769" s="4" t="str">
        <v/>
      </c>
      <c r="I30769" s="4" t="str">
        <v/>
      </c>
    </row>
    <row r="30770" spans="5:9" ht="16.5" hidden="1">
      <c r="E30770" s="4" t="str">
        <v/>
      </c>
      <c r="F30770" s="102" t="str">
        <f ca="1">IFERROR(__xludf.DUMMYFUNCTION("IMPORTRANGE(H30770,""IDENTITAS UNIT!D9"")"),"#N/A")</f>
        <v>#N/A</v>
      </c>
      <c r="H30770" s="4" t="str">
        <v/>
      </c>
      <c r="I30770" s="4" t="str">
        <v/>
      </c>
    </row>
    <row r="30771" spans="5:9" ht="16.5" hidden="1">
      <c r="E30771" s="4" t="str">
        <v/>
      </c>
      <c r="F30771" s="102" t="str">
        <f ca="1">IFERROR(__xludf.DUMMYFUNCTION("IMPORTRANGE(H30771,""IDENTITAS UNIT!D9"")"),"#N/A")</f>
        <v>#N/A</v>
      </c>
      <c r="H30771" s="4" t="str">
        <v/>
      </c>
      <c r="I30771" s="4" t="str">
        <v/>
      </c>
    </row>
    <row r="30772" spans="5:9" ht="16.5" hidden="1">
      <c r="E30772" s="4" t="str">
        <v/>
      </c>
      <c r="F30772" s="102" t="str">
        <f ca="1">IFERROR(__xludf.DUMMYFUNCTION("IMPORTRANGE(H30772,""IDENTITAS UNIT!D9"")"),"#N/A")</f>
        <v>#N/A</v>
      </c>
      <c r="H30772" s="4" t="str">
        <v/>
      </c>
      <c r="I30772" s="4" t="str">
        <v/>
      </c>
    </row>
    <row r="30773" spans="5:9" ht="16.5" hidden="1">
      <c r="E30773" s="4" t="str">
        <v/>
      </c>
      <c r="F30773" s="102" t="str">
        <f ca="1">IFERROR(__xludf.DUMMYFUNCTION("IMPORTRANGE(H30773,""IDENTITAS UNIT!D9"")"),"#N/A")</f>
        <v>#N/A</v>
      </c>
      <c r="H30773" s="4" t="str">
        <v/>
      </c>
      <c r="I30773" s="4" t="str">
        <v/>
      </c>
    </row>
    <row r="30774" spans="5:9" ht="16.5" hidden="1">
      <c r="E30774" s="4" t="str">
        <v/>
      </c>
      <c r="F30774" s="102" t="str">
        <f ca="1">IFERROR(__xludf.DUMMYFUNCTION("IMPORTRANGE(H30774,""IDENTITAS UNIT!D9"")"),"#N/A")</f>
        <v>#N/A</v>
      </c>
      <c r="H30774" s="4" t="str">
        <v/>
      </c>
      <c r="I30774" s="4" t="str">
        <v/>
      </c>
    </row>
    <row r="30775" spans="5:9" ht="16.5" hidden="1">
      <c r="E30775" s="4" t="str">
        <v/>
      </c>
      <c r="F30775" s="102" t="str">
        <f ca="1">IFERROR(__xludf.DUMMYFUNCTION("IMPORTRANGE(H30775,""IDENTITAS UNIT!D9"")"),"#N/A")</f>
        <v>#N/A</v>
      </c>
      <c r="H30775" s="4" t="str">
        <v/>
      </c>
      <c r="I30775" s="4" t="str">
        <v/>
      </c>
    </row>
    <row r="30776" spans="5:9" ht="16.5" hidden="1">
      <c r="E30776" s="4" t="str">
        <v/>
      </c>
      <c r="F30776" s="102" t="str">
        <f ca="1">IFERROR(__xludf.DUMMYFUNCTION("IMPORTRANGE(H30776,""IDENTITAS UNIT!D9"")"),"#N/A")</f>
        <v>#N/A</v>
      </c>
      <c r="H30776" s="4" t="str">
        <v/>
      </c>
      <c r="I30776" s="4" t="str">
        <v/>
      </c>
    </row>
    <row r="30777" spans="5:9" ht="16.5" hidden="1">
      <c r="E30777" s="4" t="str">
        <v/>
      </c>
      <c r="F30777" s="102" t="str">
        <f ca="1">IFERROR(__xludf.DUMMYFUNCTION("IMPORTRANGE(H30777,""IDENTITAS UNIT!D9"")"),"#N/A")</f>
        <v>#N/A</v>
      </c>
      <c r="H30777" s="4" t="str">
        <v/>
      </c>
      <c r="I30777" s="4" t="str">
        <v/>
      </c>
    </row>
    <row r="30778" spans="5:9" ht="16.5" hidden="1">
      <c r="E30778" s="4" t="str">
        <v/>
      </c>
      <c r="F30778" s="102" t="str">
        <f ca="1">IFERROR(__xludf.DUMMYFUNCTION("IMPORTRANGE(H30778,""IDENTITAS UNIT!D9"")"),"#N/A")</f>
        <v>#N/A</v>
      </c>
      <c r="H30778" s="4" t="str">
        <v/>
      </c>
      <c r="I30778" s="4" t="str">
        <v/>
      </c>
    </row>
    <row r="30779" spans="5:9" ht="16.5" hidden="1">
      <c r="E30779" s="4" t="str">
        <v/>
      </c>
      <c r="F30779" s="102" t="str">
        <f ca="1">IFERROR(__xludf.DUMMYFUNCTION("IMPORTRANGE(H30779,""IDENTITAS UNIT!D9"")"),"#N/A")</f>
        <v>#N/A</v>
      </c>
      <c r="H30779" s="4" t="str">
        <v/>
      </c>
      <c r="I30779" s="4" t="str">
        <v/>
      </c>
    </row>
    <row r="30780" spans="5:9" ht="16.5" hidden="1">
      <c r="E30780" s="4" t="str">
        <v/>
      </c>
      <c r="F30780" s="102" t="str">
        <f ca="1">IFERROR(__xludf.DUMMYFUNCTION("IMPORTRANGE(H30780,""IDENTITAS UNIT!D9"")"),"#N/A")</f>
        <v>#N/A</v>
      </c>
      <c r="H30780" s="4" t="str">
        <v/>
      </c>
      <c r="I30780" s="4" t="str">
        <v/>
      </c>
    </row>
    <row r="30781" spans="5:9" ht="16.5" hidden="1">
      <c r="E30781" s="4" t="str">
        <v/>
      </c>
      <c r="F30781" s="102" t="str">
        <f ca="1">IFERROR(__xludf.DUMMYFUNCTION("IMPORTRANGE(H30781,""IDENTITAS UNIT!D9"")"),"#N/A")</f>
        <v>#N/A</v>
      </c>
      <c r="H30781" s="4" t="str">
        <v/>
      </c>
      <c r="I30781" s="4" t="str">
        <v/>
      </c>
    </row>
    <row r="30782" spans="5:9" ht="16.5" hidden="1">
      <c r="E30782" s="4" t="str">
        <v/>
      </c>
      <c r="F30782" s="102" t="str">
        <f ca="1">IFERROR(__xludf.DUMMYFUNCTION("IMPORTRANGE(H30782,""IDENTITAS UNIT!D9"")"),"#N/A")</f>
        <v>#N/A</v>
      </c>
      <c r="H30782" s="4" t="str">
        <v/>
      </c>
      <c r="I30782" s="4" t="str">
        <v/>
      </c>
    </row>
    <row r="30783" spans="5:9" ht="16.5" hidden="1">
      <c r="E30783" s="4" t="str">
        <v/>
      </c>
      <c r="F30783" s="102" t="str">
        <f ca="1">IFERROR(__xludf.DUMMYFUNCTION("IMPORTRANGE(H30783,""IDENTITAS UNIT!D9"")"),"#N/A")</f>
        <v>#N/A</v>
      </c>
      <c r="H30783" s="4" t="str">
        <v/>
      </c>
      <c r="I30783" s="4" t="str">
        <v/>
      </c>
    </row>
    <row r="30784" spans="5:9" ht="16.5" hidden="1">
      <c r="E30784" s="4" t="str">
        <v/>
      </c>
      <c r="F30784" s="102" t="str">
        <f ca="1">IFERROR(__xludf.DUMMYFUNCTION("IMPORTRANGE(H30784,""IDENTITAS UNIT!D9"")"),"#N/A")</f>
        <v>#N/A</v>
      </c>
      <c r="H30784" s="4" t="str">
        <v/>
      </c>
      <c r="I30784" s="4" t="str">
        <v/>
      </c>
    </row>
    <row r="30785" spans="5:9" ht="16.5" hidden="1">
      <c r="E30785" s="4" t="str">
        <v/>
      </c>
      <c r="F30785" s="102" t="str">
        <f ca="1">IFERROR(__xludf.DUMMYFUNCTION("IMPORTRANGE(H30785,""IDENTITAS UNIT!D9"")"),"#N/A")</f>
        <v>#N/A</v>
      </c>
      <c r="H30785" s="4" t="str">
        <v/>
      </c>
      <c r="I30785" s="4" t="str">
        <v/>
      </c>
    </row>
    <row r="30786" spans="5:9" ht="16.5" hidden="1">
      <c r="E30786" s="4" t="str">
        <v/>
      </c>
      <c r="F30786" s="102" t="str">
        <f ca="1">IFERROR(__xludf.DUMMYFUNCTION("IMPORTRANGE(H30786,""IDENTITAS UNIT!D9"")"),"#N/A")</f>
        <v>#N/A</v>
      </c>
      <c r="H30786" s="4" t="str">
        <v/>
      </c>
      <c r="I30786" s="4" t="str">
        <v/>
      </c>
    </row>
    <row r="30787" spans="5:9" ht="16.5" hidden="1">
      <c r="E30787" s="4" t="str">
        <v/>
      </c>
      <c r="F30787" s="102" t="str">
        <f ca="1">IFERROR(__xludf.DUMMYFUNCTION("IMPORTRANGE(H30787,""IDENTITAS UNIT!D9"")"),"#N/A")</f>
        <v>#N/A</v>
      </c>
      <c r="H30787" s="4" t="str">
        <v/>
      </c>
      <c r="I30787" s="4" t="str">
        <v/>
      </c>
    </row>
    <row r="30788" spans="5:9" ht="16.5" hidden="1">
      <c r="E30788" s="4" t="str">
        <v/>
      </c>
      <c r="F30788" s="102" t="str">
        <f ca="1">IFERROR(__xludf.DUMMYFUNCTION("IMPORTRANGE(H30788,""IDENTITAS UNIT!D9"")"),"#N/A")</f>
        <v>#N/A</v>
      </c>
      <c r="H30788" s="4" t="str">
        <v/>
      </c>
      <c r="I30788" s="4" t="str">
        <v/>
      </c>
    </row>
    <row r="30789" spans="5:9" ht="16.5" hidden="1">
      <c r="E30789" s="4" t="str">
        <v/>
      </c>
      <c r="F30789" s="102" t="str">
        <f ca="1">IFERROR(__xludf.DUMMYFUNCTION("IMPORTRANGE(H30789,""IDENTITAS UNIT!D9"")"),"#N/A")</f>
        <v>#N/A</v>
      </c>
      <c r="H30789" s="4" t="str">
        <v/>
      </c>
      <c r="I30789" s="4" t="str">
        <v/>
      </c>
    </row>
    <row r="30790" spans="5:9" ht="16.5" hidden="1">
      <c r="E30790" s="4" t="str">
        <v/>
      </c>
      <c r="F30790" s="102" t="str">
        <f ca="1">IFERROR(__xludf.DUMMYFUNCTION("IMPORTRANGE(H30790,""IDENTITAS UNIT!D9"")"),"#N/A")</f>
        <v>#N/A</v>
      </c>
      <c r="H30790" s="4" t="str">
        <v/>
      </c>
      <c r="I30790" s="4" t="str">
        <v/>
      </c>
    </row>
    <row r="30791" spans="5:9" ht="16.5" hidden="1">
      <c r="E30791" s="4" t="str">
        <v/>
      </c>
      <c r="F30791" s="102" t="str">
        <f ca="1">IFERROR(__xludf.DUMMYFUNCTION("IMPORTRANGE(H30791,""IDENTITAS UNIT!D9"")"),"#N/A")</f>
        <v>#N/A</v>
      </c>
      <c r="H30791" s="4" t="str">
        <v/>
      </c>
      <c r="I30791" s="4" t="str">
        <v/>
      </c>
    </row>
    <row r="30792" spans="5:9" ht="16.5" hidden="1">
      <c r="E30792" s="4" t="str">
        <v/>
      </c>
      <c r="F30792" s="102" t="str">
        <f ca="1">IFERROR(__xludf.DUMMYFUNCTION("IMPORTRANGE(H30792,""IDENTITAS UNIT!D9"")"),"#N/A")</f>
        <v>#N/A</v>
      </c>
      <c r="H30792" s="4" t="str">
        <v/>
      </c>
      <c r="I30792" s="4" t="str">
        <v/>
      </c>
    </row>
    <row r="30793" spans="5:9" ht="16.5" hidden="1">
      <c r="E30793" s="4" t="str">
        <v/>
      </c>
      <c r="F30793" s="102" t="str">
        <f ca="1">IFERROR(__xludf.DUMMYFUNCTION("IMPORTRANGE(H30793,""IDENTITAS UNIT!D9"")"),"#N/A")</f>
        <v>#N/A</v>
      </c>
      <c r="H30793" s="4" t="str">
        <v/>
      </c>
      <c r="I30793" s="4" t="str">
        <v/>
      </c>
    </row>
    <row r="30794" spans="5:9" ht="16.5" hidden="1">
      <c r="E30794" s="4" t="str">
        <v/>
      </c>
      <c r="F30794" s="102" t="str">
        <f ca="1">IFERROR(__xludf.DUMMYFUNCTION("IMPORTRANGE(H30794,""IDENTITAS UNIT!D9"")"),"#N/A")</f>
        <v>#N/A</v>
      </c>
      <c r="H30794" s="4" t="str">
        <v/>
      </c>
      <c r="I30794" s="4" t="str">
        <v/>
      </c>
    </row>
    <row r="30795" spans="5:9" ht="16.5" hidden="1">
      <c r="E30795" s="4" t="str">
        <v/>
      </c>
      <c r="F30795" s="102" t="str">
        <f ca="1">IFERROR(__xludf.DUMMYFUNCTION("IMPORTRANGE(H30795,""IDENTITAS UNIT!D9"")"),"#N/A")</f>
        <v>#N/A</v>
      </c>
      <c r="H30795" s="4" t="str">
        <v/>
      </c>
      <c r="I30795" s="4" t="str">
        <v/>
      </c>
    </row>
    <row r="30796" spans="5:9" ht="16.5" hidden="1">
      <c r="E30796" s="4" t="str">
        <v/>
      </c>
      <c r="F30796" s="102" t="str">
        <f ca="1">IFERROR(__xludf.DUMMYFUNCTION("IMPORTRANGE(H30796,""IDENTITAS UNIT!D9"")"),"#N/A")</f>
        <v>#N/A</v>
      </c>
      <c r="H30796" s="4" t="str">
        <v/>
      </c>
      <c r="I30796" s="4" t="str">
        <v/>
      </c>
    </row>
    <row r="30797" spans="5:9" ht="16.5" hidden="1">
      <c r="E30797" s="4" t="str">
        <v/>
      </c>
      <c r="F30797" s="102" t="str">
        <f ca="1">IFERROR(__xludf.DUMMYFUNCTION("IMPORTRANGE(H30797,""IDENTITAS UNIT!D9"")"),"#N/A")</f>
        <v>#N/A</v>
      </c>
      <c r="H30797" s="4" t="str">
        <v/>
      </c>
      <c r="I30797" s="4" t="str">
        <v/>
      </c>
    </row>
    <row r="30798" spans="5:9" ht="16.5" hidden="1">
      <c r="E30798" s="4" t="str">
        <v/>
      </c>
      <c r="F30798" s="102" t="str">
        <f ca="1">IFERROR(__xludf.DUMMYFUNCTION("IMPORTRANGE(H30798,""IDENTITAS UNIT!D9"")"),"#N/A")</f>
        <v>#N/A</v>
      </c>
      <c r="H30798" s="4" t="str">
        <v/>
      </c>
      <c r="I30798" s="4" t="str">
        <v/>
      </c>
    </row>
    <row r="30799" spans="5:9" ht="16.5" hidden="1">
      <c r="E30799" s="4" t="str">
        <v/>
      </c>
      <c r="F30799" s="102" t="str">
        <f ca="1">IFERROR(__xludf.DUMMYFUNCTION("IMPORTRANGE(H30799,""IDENTITAS UNIT!D9"")"),"#N/A")</f>
        <v>#N/A</v>
      </c>
      <c r="H30799" s="4" t="str">
        <v/>
      </c>
      <c r="I30799" s="4" t="str">
        <v/>
      </c>
    </row>
    <row r="30800" spans="5:9" ht="16.5" hidden="1">
      <c r="E30800" s="4" t="str">
        <v/>
      </c>
      <c r="F30800" s="102" t="str">
        <f ca="1">IFERROR(__xludf.DUMMYFUNCTION("IMPORTRANGE(H30800,""IDENTITAS UNIT!D9"")"),"#N/A")</f>
        <v>#N/A</v>
      </c>
      <c r="H30800" s="4" t="str">
        <v/>
      </c>
      <c r="I30800" s="4" t="str">
        <v/>
      </c>
    </row>
    <row r="30801" spans="5:9" ht="16.5" hidden="1">
      <c r="E30801" s="4" t="str">
        <v/>
      </c>
      <c r="F30801" s="102" t="str">
        <f ca="1">IFERROR(__xludf.DUMMYFUNCTION("IMPORTRANGE(H30801,""IDENTITAS UNIT!D9"")"),"#N/A")</f>
        <v>#N/A</v>
      </c>
      <c r="H30801" s="4" t="str">
        <v/>
      </c>
      <c r="I30801" s="4" t="str">
        <v/>
      </c>
    </row>
    <row r="30802" spans="5:9" ht="16.5" hidden="1">
      <c r="E30802" s="4" t="str">
        <v/>
      </c>
      <c r="F30802" s="102" t="str">
        <f ca="1">IFERROR(__xludf.DUMMYFUNCTION("IMPORTRANGE(H30802,""IDENTITAS UNIT!D9"")"),"#N/A")</f>
        <v>#N/A</v>
      </c>
      <c r="H30802" s="4" t="str">
        <v/>
      </c>
      <c r="I30802" s="4" t="str">
        <v/>
      </c>
    </row>
    <row r="30803" spans="5:9" ht="16.5" hidden="1">
      <c r="E30803" s="4" t="str">
        <v/>
      </c>
      <c r="F30803" s="102" t="str">
        <f ca="1">IFERROR(__xludf.DUMMYFUNCTION("IMPORTRANGE(H30803,""IDENTITAS UNIT!D9"")"),"#N/A")</f>
        <v>#N/A</v>
      </c>
      <c r="H30803" s="4" t="str">
        <v/>
      </c>
      <c r="I30803" s="4" t="str">
        <v/>
      </c>
    </row>
    <row r="30804" spans="5:9" ht="16.5" hidden="1">
      <c r="E30804" s="4" t="str">
        <v/>
      </c>
      <c r="F30804" s="102" t="str">
        <f ca="1">IFERROR(__xludf.DUMMYFUNCTION("IMPORTRANGE(H30804,""IDENTITAS UNIT!D9"")"),"#N/A")</f>
        <v>#N/A</v>
      </c>
      <c r="H30804" s="4" t="str">
        <v/>
      </c>
      <c r="I30804" s="4" t="str">
        <v/>
      </c>
    </row>
    <row r="30805" spans="5:9" ht="16.5" hidden="1">
      <c r="E30805" s="4" t="str">
        <v/>
      </c>
      <c r="F30805" s="102" t="str">
        <f ca="1">IFERROR(__xludf.DUMMYFUNCTION("IMPORTRANGE(H30805,""IDENTITAS UNIT!D9"")"),"#N/A")</f>
        <v>#N/A</v>
      </c>
      <c r="H30805" s="4" t="str">
        <v/>
      </c>
      <c r="I30805" s="4" t="str">
        <v/>
      </c>
    </row>
    <row r="30806" spans="5:9" ht="16.5" hidden="1">
      <c r="E30806" s="4" t="str">
        <v/>
      </c>
      <c r="F30806" s="102" t="str">
        <f ca="1">IFERROR(__xludf.DUMMYFUNCTION("IMPORTRANGE(H30806,""IDENTITAS UNIT!D9"")"),"#N/A")</f>
        <v>#N/A</v>
      </c>
      <c r="H30806" s="4" t="str">
        <v/>
      </c>
      <c r="I30806" s="4" t="str">
        <v/>
      </c>
    </row>
    <row r="30807" spans="5:9" ht="16.5" hidden="1">
      <c r="E30807" s="4" t="str">
        <v/>
      </c>
      <c r="F30807" s="102" t="str">
        <f ca="1">IFERROR(__xludf.DUMMYFUNCTION("IMPORTRANGE(H30807,""IDENTITAS UNIT!D9"")"),"#N/A")</f>
        <v>#N/A</v>
      </c>
      <c r="H30807" s="4" t="str">
        <v/>
      </c>
      <c r="I30807" s="4" t="str">
        <v/>
      </c>
    </row>
    <row r="30808" spans="5:9" ht="16.5" hidden="1">
      <c r="E30808" s="4" t="str">
        <v/>
      </c>
      <c r="F30808" s="102" t="str">
        <f ca="1">IFERROR(__xludf.DUMMYFUNCTION("IMPORTRANGE(H30808,""IDENTITAS UNIT!D9"")"),"#N/A")</f>
        <v>#N/A</v>
      </c>
      <c r="H30808" s="4" t="str">
        <v/>
      </c>
      <c r="I30808" s="4" t="str">
        <v/>
      </c>
    </row>
    <row r="30809" spans="5:9" ht="16.5" hidden="1">
      <c r="E30809" s="4" t="str">
        <v/>
      </c>
      <c r="F30809" s="102" t="str">
        <f ca="1">IFERROR(__xludf.DUMMYFUNCTION("IMPORTRANGE(H30809,""IDENTITAS UNIT!D9"")"),"#N/A")</f>
        <v>#N/A</v>
      </c>
      <c r="H30809" s="4" t="str">
        <v/>
      </c>
      <c r="I30809" s="4" t="str">
        <v/>
      </c>
    </row>
    <row r="30810" spans="5:9" ht="16.5" hidden="1">
      <c r="E30810" s="4" t="str">
        <v/>
      </c>
      <c r="F30810" s="102" t="str">
        <f ca="1">IFERROR(__xludf.DUMMYFUNCTION("IMPORTRANGE(H30810,""IDENTITAS UNIT!D9"")"),"#N/A")</f>
        <v>#N/A</v>
      </c>
      <c r="H30810" s="4" t="str">
        <v/>
      </c>
      <c r="I30810" s="4" t="str">
        <v/>
      </c>
    </row>
    <row r="30811" spans="5:9" ht="16.5" hidden="1">
      <c r="E30811" s="4" t="str">
        <v/>
      </c>
      <c r="F30811" s="102" t="str">
        <f ca="1">IFERROR(__xludf.DUMMYFUNCTION("IMPORTRANGE(H30811,""IDENTITAS UNIT!D9"")"),"#N/A")</f>
        <v>#N/A</v>
      </c>
      <c r="H30811" s="4" t="str">
        <v/>
      </c>
      <c r="I30811" s="4" t="str">
        <v/>
      </c>
    </row>
    <row r="30812" spans="5:9" ht="16.5" hidden="1">
      <c r="E30812" s="4" t="str">
        <v/>
      </c>
      <c r="F30812" s="102" t="str">
        <f ca="1">IFERROR(__xludf.DUMMYFUNCTION("IMPORTRANGE(H30812,""IDENTITAS UNIT!D9"")"),"#N/A")</f>
        <v>#N/A</v>
      </c>
      <c r="H30812" s="4" t="str">
        <v/>
      </c>
      <c r="I30812" s="4" t="str">
        <v/>
      </c>
    </row>
    <row r="30813" spans="5:9" ht="16.5" hidden="1">
      <c r="E30813" s="4" t="str">
        <v/>
      </c>
      <c r="F30813" s="102" t="str">
        <f ca="1">IFERROR(__xludf.DUMMYFUNCTION("IMPORTRANGE(H30813,""IDENTITAS UNIT!D9"")"),"#N/A")</f>
        <v>#N/A</v>
      </c>
      <c r="H30813" s="4" t="str">
        <v/>
      </c>
      <c r="I30813" s="4" t="str">
        <v/>
      </c>
    </row>
    <row r="30814" spans="5:9" ht="16.5" hidden="1">
      <c r="E30814" s="4" t="str">
        <v/>
      </c>
      <c r="F30814" s="102" t="str">
        <f ca="1">IFERROR(__xludf.DUMMYFUNCTION("IMPORTRANGE(H30814,""IDENTITAS UNIT!D9"")"),"#N/A")</f>
        <v>#N/A</v>
      </c>
      <c r="H30814" s="4" t="str">
        <v/>
      </c>
      <c r="I30814" s="4" t="str">
        <v/>
      </c>
    </row>
    <row r="30815" spans="5:9" ht="16.5" hidden="1">
      <c r="E30815" s="4" t="str">
        <v/>
      </c>
      <c r="F30815" s="102" t="str">
        <f ca="1">IFERROR(__xludf.DUMMYFUNCTION("IMPORTRANGE(H30815,""IDENTITAS UNIT!D9"")"),"#N/A")</f>
        <v>#N/A</v>
      </c>
      <c r="H30815" s="4" t="str">
        <v/>
      </c>
      <c r="I30815" s="4" t="str">
        <v/>
      </c>
    </row>
    <row r="30816" spans="5:9" ht="16.5" hidden="1">
      <c r="E30816" s="4" t="str">
        <v/>
      </c>
      <c r="F30816" s="102" t="str">
        <f ca="1">IFERROR(__xludf.DUMMYFUNCTION("IMPORTRANGE(H30816,""IDENTITAS UNIT!D9"")"),"#N/A")</f>
        <v>#N/A</v>
      </c>
      <c r="H30816" s="4" t="str">
        <v/>
      </c>
      <c r="I30816" s="4" t="str">
        <v/>
      </c>
    </row>
    <row r="30817" spans="5:9" ht="16.5" hidden="1">
      <c r="E30817" s="4" t="str">
        <v/>
      </c>
      <c r="F30817" s="102" t="str">
        <f ca="1">IFERROR(__xludf.DUMMYFUNCTION("IMPORTRANGE(H30817,""IDENTITAS UNIT!D9"")"),"#N/A")</f>
        <v>#N/A</v>
      </c>
      <c r="H30817" s="4" t="str">
        <v/>
      </c>
      <c r="I30817" s="4" t="str">
        <v/>
      </c>
    </row>
    <row r="30818" spans="5:9" ht="16.5" hidden="1">
      <c r="E30818" s="4" t="str">
        <v/>
      </c>
      <c r="F30818" s="102" t="str">
        <f ca="1">IFERROR(__xludf.DUMMYFUNCTION("IMPORTRANGE(H30818,""IDENTITAS UNIT!D9"")"),"#N/A")</f>
        <v>#N/A</v>
      </c>
      <c r="H30818" s="4" t="str">
        <v/>
      </c>
      <c r="I30818" s="4" t="str">
        <v/>
      </c>
    </row>
    <row r="30819" spans="5:9" ht="16.5" hidden="1">
      <c r="E30819" s="4" t="str">
        <v/>
      </c>
      <c r="F30819" s="102" t="str">
        <f ca="1">IFERROR(__xludf.DUMMYFUNCTION("IMPORTRANGE(H30819,""IDENTITAS UNIT!D9"")"),"#N/A")</f>
        <v>#N/A</v>
      </c>
      <c r="H30819" s="4" t="str">
        <v/>
      </c>
      <c r="I30819" s="4" t="str">
        <v/>
      </c>
    </row>
    <row r="30820" spans="5:9" ht="16.5" hidden="1">
      <c r="E30820" s="4" t="str">
        <v/>
      </c>
      <c r="F30820" s="102" t="str">
        <f ca="1">IFERROR(__xludf.DUMMYFUNCTION("IMPORTRANGE(H30820,""IDENTITAS UNIT!D9"")"),"#N/A")</f>
        <v>#N/A</v>
      </c>
      <c r="H30820" s="4" t="str">
        <v/>
      </c>
      <c r="I30820" s="4" t="str">
        <v/>
      </c>
    </row>
    <row r="30821" spans="5:9" ht="16.5" hidden="1">
      <c r="E30821" s="4" t="str">
        <v/>
      </c>
      <c r="F30821" s="102" t="str">
        <f ca="1">IFERROR(__xludf.DUMMYFUNCTION("IMPORTRANGE(H30821,""IDENTITAS UNIT!D9"")"),"#N/A")</f>
        <v>#N/A</v>
      </c>
      <c r="H30821" s="4" t="str">
        <v/>
      </c>
      <c r="I30821" s="4" t="str">
        <v/>
      </c>
    </row>
    <row r="30822" spans="5:9" ht="16.5" hidden="1">
      <c r="E30822" s="4" t="str">
        <v/>
      </c>
      <c r="F30822" s="102" t="str">
        <f ca="1">IFERROR(__xludf.DUMMYFUNCTION("IMPORTRANGE(H30822,""IDENTITAS UNIT!D9"")"),"#N/A")</f>
        <v>#N/A</v>
      </c>
      <c r="H30822" s="4" t="str">
        <v/>
      </c>
      <c r="I30822" s="4" t="str">
        <v/>
      </c>
    </row>
    <row r="30823" spans="5:9" ht="16.5" hidden="1">
      <c r="E30823" s="4" t="str">
        <v/>
      </c>
      <c r="F30823" s="102" t="str">
        <f ca="1">IFERROR(__xludf.DUMMYFUNCTION("IMPORTRANGE(H30823,""IDENTITAS UNIT!D9"")"),"#N/A")</f>
        <v>#N/A</v>
      </c>
      <c r="H30823" s="4" t="str">
        <v/>
      </c>
      <c r="I30823" s="4" t="str">
        <v/>
      </c>
    </row>
    <row r="30824" spans="5:9" ht="16.5" hidden="1">
      <c r="E30824" s="4" t="str">
        <v/>
      </c>
      <c r="F30824" s="102" t="str">
        <f ca="1">IFERROR(__xludf.DUMMYFUNCTION("IMPORTRANGE(H30824,""IDENTITAS UNIT!D9"")"),"#N/A")</f>
        <v>#N/A</v>
      </c>
      <c r="H30824" s="4" t="str">
        <v/>
      </c>
      <c r="I30824" s="4" t="str">
        <v/>
      </c>
    </row>
    <row r="30825" spans="5:9" ht="16.5" hidden="1">
      <c r="E30825" s="4" t="str">
        <v/>
      </c>
      <c r="F30825" s="102" t="str">
        <f ca="1">IFERROR(__xludf.DUMMYFUNCTION("IMPORTRANGE(H30825,""IDENTITAS UNIT!D9"")"),"#N/A")</f>
        <v>#N/A</v>
      </c>
      <c r="H30825" s="4" t="str">
        <v/>
      </c>
      <c r="I30825" s="4" t="str">
        <v/>
      </c>
    </row>
    <row r="30826" spans="5:9" ht="16.5" hidden="1">
      <c r="E30826" s="4" t="str">
        <v/>
      </c>
      <c r="F30826" s="102" t="str">
        <f ca="1">IFERROR(__xludf.DUMMYFUNCTION("IMPORTRANGE(H30826,""IDENTITAS UNIT!D9"")"),"#N/A")</f>
        <v>#N/A</v>
      </c>
      <c r="H30826" s="4" t="str">
        <v/>
      </c>
      <c r="I30826" s="4" t="str">
        <v/>
      </c>
    </row>
    <row r="30827" spans="5:9" ht="16.5" hidden="1">
      <c r="E30827" s="4" t="str">
        <v/>
      </c>
      <c r="F30827" s="102" t="str">
        <f ca="1">IFERROR(__xludf.DUMMYFUNCTION("IMPORTRANGE(H30827,""IDENTITAS UNIT!D9"")"),"#N/A")</f>
        <v>#N/A</v>
      </c>
      <c r="H30827" s="4" t="str">
        <v/>
      </c>
      <c r="I30827" s="4" t="str">
        <v/>
      </c>
    </row>
    <row r="30828" spans="5:9" ht="16.5" hidden="1">
      <c r="E30828" s="4" t="str">
        <v/>
      </c>
      <c r="F30828" s="102" t="str">
        <f ca="1">IFERROR(__xludf.DUMMYFUNCTION("IMPORTRANGE(H30828,""IDENTITAS UNIT!D9"")"),"#N/A")</f>
        <v>#N/A</v>
      </c>
      <c r="H30828" s="4" t="str">
        <v/>
      </c>
      <c r="I30828" s="4" t="str">
        <v/>
      </c>
    </row>
    <row r="30829" spans="5:9" ht="16.5" hidden="1">
      <c r="E30829" s="4" t="str">
        <v/>
      </c>
      <c r="F30829" s="102" t="str">
        <f ca="1">IFERROR(__xludf.DUMMYFUNCTION("IMPORTRANGE(H30829,""IDENTITAS UNIT!D9"")"),"#N/A")</f>
        <v>#N/A</v>
      </c>
      <c r="H30829" s="4" t="str">
        <v/>
      </c>
      <c r="I30829" s="4" t="str">
        <v/>
      </c>
    </row>
    <row r="30830" spans="5:9" ht="16.5" hidden="1">
      <c r="E30830" s="4" t="str">
        <v/>
      </c>
      <c r="F30830" s="102" t="str">
        <f ca="1">IFERROR(__xludf.DUMMYFUNCTION("IMPORTRANGE(H30830,""IDENTITAS UNIT!D9"")"),"#N/A")</f>
        <v>#N/A</v>
      </c>
      <c r="H30830" s="4" t="str">
        <v/>
      </c>
      <c r="I30830" s="4" t="str">
        <v/>
      </c>
    </row>
    <row r="30831" spans="5:9" ht="16.5" hidden="1">
      <c r="E30831" s="4" t="str">
        <v/>
      </c>
      <c r="F30831" s="102" t="str">
        <f ca="1">IFERROR(__xludf.DUMMYFUNCTION("IMPORTRANGE(H30831,""IDENTITAS UNIT!D9"")"),"#N/A")</f>
        <v>#N/A</v>
      </c>
      <c r="H30831" s="4" t="str">
        <v/>
      </c>
      <c r="I30831" s="4" t="str">
        <v/>
      </c>
    </row>
    <row r="30832" spans="5:9" ht="16.5" hidden="1">
      <c r="E30832" s="4" t="str">
        <v/>
      </c>
      <c r="F30832" s="102" t="str">
        <f ca="1">IFERROR(__xludf.DUMMYFUNCTION("IMPORTRANGE(H30832,""IDENTITAS UNIT!D9"")"),"#N/A")</f>
        <v>#N/A</v>
      </c>
      <c r="H30832" s="4" t="str">
        <v/>
      </c>
      <c r="I30832" s="4" t="str">
        <v/>
      </c>
    </row>
    <row r="30833" spans="5:9" ht="16.5" hidden="1">
      <c r="E30833" s="4" t="str">
        <v/>
      </c>
      <c r="F30833" s="102" t="str">
        <f ca="1">IFERROR(__xludf.DUMMYFUNCTION("IMPORTRANGE(H30833,""IDENTITAS UNIT!D9"")"),"#N/A")</f>
        <v>#N/A</v>
      </c>
      <c r="H30833" s="4" t="str">
        <v/>
      </c>
      <c r="I30833" s="4" t="str">
        <v/>
      </c>
    </row>
    <row r="30834" spans="5:9" ht="16.5" hidden="1">
      <c r="E30834" s="4" t="str">
        <v/>
      </c>
      <c r="F30834" s="102" t="str">
        <f ca="1">IFERROR(__xludf.DUMMYFUNCTION("IMPORTRANGE(H30834,""IDENTITAS UNIT!D9"")"),"#N/A")</f>
        <v>#N/A</v>
      </c>
      <c r="H30834" s="4" t="str">
        <v/>
      </c>
      <c r="I30834" s="4" t="str">
        <v/>
      </c>
    </row>
    <row r="30835" spans="5:9" ht="16.5" hidden="1">
      <c r="E30835" s="4" t="str">
        <v/>
      </c>
      <c r="F30835" s="102" t="str">
        <f ca="1">IFERROR(__xludf.DUMMYFUNCTION("IMPORTRANGE(H30835,""IDENTITAS UNIT!D9"")"),"#N/A")</f>
        <v>#N/A</v>
      </c>
      <c r="H30835" s="4" t="str">
        <v/>
      </c>
      <c r="I30835" s="4" t="str">
        <v/>
      </c>
    </row>
    <row r="30836" spans="5:9" ht="16.5" hidden="1">
      <c r="E30836" s="4" t="str">
        <v/>
      </c>
      <c r="F30836" s="102" t="str">
        <f ca="1">IFERROR(__xludf.DUMMYFUNCTION("IMPORTRANGE(H30836,""IDENTITAS UNIT!D9"")"),"#N/A")</f>
        <v>#N/A</v>
      </c>
      <c r="H30836" s="4" t="str">
        <v/>
      </c>
      <c r="I30836" s="4" t="str">
        <v/>
      </c>
    </row>
    <row r="30837" spans="5:9" ht="16.5" hidden="1">
      <c r="E30837" s="4" t="str">
        <v/>
      </c>
      <c r="F30837" s="102" t="str">
        <f ca="1">IFERROR(__xludf.DUMMYFUNCTION("IMPORTRANGE(H30837,""IDENTITAS UNIT!D9"")"),"#N/A")</f>
        <v>#N/A</v>
      </c>
      <c r="H30837" s="4" t="str">
        <v/>
      </c>
      <c r="I30837" s="4" t="str">
        <v/>
      </c>
    </row>
    <row r="30838" spans="5:9" ht="16.5" hidden="1">
      <c r="E30838" s="4" t="str">
        <v/>
      </c>
      <c r="F30838" s="102" t="str">
        <f ca="1">IFERROR(__xludf.DUMMYFUNCTION("IMPORTRANGE(H30838,""IDENTITAS UNIT!D9"")"),"#N/A")</f>
        <v>#N/A</v>
      </c>
      <c r="H30838" s="4" t="str">
        <v/>
      </c>
      <c r="I30838" s="4" t="str">
        <v/>
      </c>
    </row>
    <row r="30839" spans="5:9" ht="16.5" hidden="1">
      <c r="E30839" s="4" t="str">
        <v/>
      </c>
      <c r="F30839" s="102" t="str">
        <f ca="1">IFERROR(__xludf.DUMMYFUNCTION("IMPORTRANGE(H30839,""IDENTITAS UNIT!D9"")"),"#N/A")</f>
        <v>#N/A</v>
      </c>
      <c r="H30839" s="4" t="str">
        <v/>
      </c>
      <c r="I30839" s="4" t="str">
        <v/>
      </c>
    </row>
    <row r="30840" spans="5:9" ht="16.5" hidden="1">
      <c r="E30840" s="4" t="str">
        <v/>
      </c>
      <c r="F30840" s="102" t="str">
        <f ca="1">IFERROR(__xludf.DUMMYFUNCTION("IMPORTRANGE(H30840,""IDENTITAS UNIT!D9"")"),"#N/A")</f>
        <v>#N/A</v>
      </c>
      <c r="H30840" s="4" t="str">
        <v/>
      </c>
      <c r="I30840" s="4" t="str">
        <v/>
      </c>
    </row>
    <row r="30841" spans="5:9" ht="16.5" hidden="1">
      <c r="E30841" s="4" t="str">
        <v/>
      </c>
      <c r="F30841" s="102" t="str">
        <f ca="1">IFERROR(__xludf.DUMMYFUNCTION("IMPORTRANGE(H30841,""IDENTITAS UNIT!D9"")"),"#N/A")</f>
        <v>#N/A</v>
      </c>
      <c r="H30841" s="4" t="str">
        <v/>
      </c>
      <c r="I30841" s="4" t="str">
        <v/>
      </c>
    </row>
    <row r="30842" spans="5:9" ht="16.5" hidden="1">
      <c r="E30842" s="4" t="str">
        <v/>
      </c>
      <c r="F30842" s="102" t="str">
        <f ca="1">IFERROR(__xludf.DUMMYFUNCTION("IMPORTRANGE(H30842,""IDENTITAS UNIT!D9"")"),"#N/A")</f>
        <v>#N/A</v>
      </c>
      <c r="H30842" s="4" t="str">
        <v/>
      </c>
      <c r="I30842" s="4" t="str">
        <v/>
      </c>
    </row>
    <row r="30843" spans="5:9" ht="16.5" hidden="1">
      <c r="E30843" s="4" t="str">
        <v/>
      </c>
      <c r="F30843" s="102" t="str">
        <f ca="1">IFERROR(__xludf.DUMMYFUNCTION("IMPORTRANGE(H30843,""IDENTITAS UNIT!D9"")"),"#N/A")</f>
        <v>#N/A</v>
      </c>
      <c r="H30843" s="4" t="str">
        <v/>
      </c>
      <c r="I30843" s="4" t="str">
        <v/>
      </c>
    </row>
    <row r="30844" spans="5:9" ht="16.5" hidden="1">
      <c r="E30844" s="4" t="str">
        <v/>
      </c>
      <c r="F30844" s="102" t="str">
        <f ca="1">IFERROR(__xludf.DUMMYFUNCTION("IMPORTRANGE(H30844,""IDENTITAS UNIT!D9"")"),"#N/A")</f>
        <v>#N/A</v>
      </c>
      <c r="H30844" s="4" t="str">
        <v/>
      </c>
      <c r="I30844" s="4" t="str">
        <v/>
      </c>
    </row>
    <row r="30845" spans="5:9" ht="16.5" hidden="1">
      <c r="E30845" s="4" t="str">
        <v/>
      </c>
      <c r="F30845" s="102" t="str">
        <f ca="1">IFERROR(__xludf.DUMMYFUNCTION("IMPORTRANGE(H30845,""IDENTITAS UNIT!D9"")"),"#N/A")</f>
        <v>#N/A</v>
      </c>
      <c r="H30845" s="4" t="str">
        <v/>
      </c>
      <c r="I30845" s="4" t="str">
        <v/>
      </c>
    </row>
    <row r="30846" spans="5:9" ht="16.5" hidden="1">
      <c r="E30846" s="4" t="str">
        <v/>
      </c>
      <c r="F30846" s="102" t="str">
        <f ca="1">IFERROR(__xludf.DUMMYFUNCTION("IMPORTRANGE(H30846,""IDENTITAS UNIT!D9"")"),"#N/A")</f>
        <v>#N/A</v>
      </c>
      <c r="H30846" s="4" t="str">
        <v/>
      </c>
      <c r="I30846" s="4" t="str">
        <v/>
      </c>
    </row>
    <row r="30847" spans="5:9" ht="16.5" hidden="1">
      <c r="E30847" s="4" t="str">
        <v/>
      </c>
      <c r="F30847" s="102" t="str">
        <f ca="1">IFERROR(__xludf.DUMMYFUNCTION("IMPORTRANGE(H30847,""IDENTITAS UNIT!D9"")"),"#N/A")</f>
        <v>#N/A</v>
      </c>
      <c r="H30847" s="4" t="str">
        <v/>
      </c>
      <c r="I30847" s="4" t="str">
        <v/>
      </c>
    </row>
    <row r="30848" spans="5:9" ht="16.5" hidden="1">
      <c r="E30848" s="4" t="str">
        <v/>
      </c>
      <c r="F30848" s="102" t="str">
        <f ca="1">IFERROR(__xludf.DUMMYFUNCTION("IMPORTRANGE(H30848,""IDENTITAS UNIT!D9"")"),"#N/A")</f>
        <v>#N/A</v>
      </c>
      <c r="H30848" s="4" t="str">
        <v/>
      </c>
      <c r="I30848" s="4" t="str">
        <v/>
      </c>
    </row>
    <row r="30849" spans="5:9" ht="16.5" hidden="1">
      <c r="E30849" s="4" t="str">
        <v/>
      </c>
      <c r="F30849" s="102" t="str">
        <f ca="1">IFERROR(__xludf.DUMMYFUNCTION("IMPORTRANGE(H30849,""IDENTITAS UNIT!D9"")"),"#N/A")</f>
        <v>#N/A</v>
      </c>
      <c r="H30849" s="4" t="str">
        <v/>
      </c>
      <c r="I30849" s="4" t="str">
        <v/>
      </c>
    </row>
    <row r="30850" spans="5:9" ht="16.5" hidden="1">
      <c r="E30850" s="4" t="str">
        <v/>
      </c>
      <c r="F30850" s="102" t="str">
        <f ca="1">IFERROR(__xludf.DUMMYFUNCTION("IMPORTRANGE(H30850,""IDENTITAS UNIT!D9"")"),"#N/A")</f>
        <v>#N/A</v>
      </c>
      <c r="H30850" s="4" t="str">
        <v/>
      </c>
      <c r="I30850" s="4" t="str">
        <v/>
      </c>
    </row>
    <row r="30851" spans="5:9" ht="16.5" hidden="1">
      <c r="E30851" s="4" t="str">
        <v/>
      </c>
      <c r="F30851" s="102" t="str">
        <f ca="1">IFERROR(__xludf.DUMMYFUNCTION("IMPORTRANGE(H30851,""IDENTITAS UNIT!D9"")"),"#N/A")</f>
        <v>#N/A</v>
      </c>
      <c r="H30851" s="4" t="str">
        <v/>
      </c>
      <c r="I30851" s="4" t="str">
        <v/>
      </c>
    </row>
    <row r="30852" spans="5:9" ht="16.5" hidden="1">
      <c r="E30852" s="4" t="str">
        <v/>
      </c>
      <c r="F30852" s="102" t="str">
        <f ca="1">IFERROR(__xludf.DUMMYFUNCTION("IMPORTRANGE(H30852,""IDENTITAS UNIT!D9"")"),"#N/A")</f>
        <v>#N/A</v>
      </c>
      <c r="H30852" s="4" t="str">
        <v/>
      </c>
      <c r="I30852" s="4" t="str">
        <v/>
      </c>
    </row>
    <row r="30853" spans="5:9" ht="16.5" hidden="1">
      <c r="E30853" s="4" t="str">
        <v/>
      </c>
      <c r="F30853" s="102" t="str">
        <f ca="1">IFERROR(__xludf.DUMMYFUNCTION("IMPORTRANGE(H30853,""IDENTITAS UNIT!D9"")"),"#N/A")</f>
        <v>#N/A</v>
      </c>
      <c r="H30853" s="4" t="str">
        <v/>
      </c>
      <c r="I30853" s="4" t="str">
        <v/>
      </c>
    </row>
    <row r="30854" spans="5:9" ht="16.5" hidden="1">
      <c r="E30854" s="4" t="str">
        <v/>
      </c>
      <c r="F30854" s="102" t="str">
        <f ca="1">IFERROR(__xludf.DUMMYFUNCTION("IMPORTRANGE(H30854,""IDENTITAS UNIT!D9"")"),"#N/A")</f>
        <v>#N/A</v>
      </c>
      <c r="H30854" s="4" t="str">
        <v/>
      </c>
      <c r="I30854" s="4" t="str">
        <v/>
      </c>
    </row>
    <row r="30855" spans="5:9" ht="16.5" hidden="1">
      <c r="E30855" s="4" t="str">
        <v/>
      </c>
      <c r="F30855" s="102" t="str">
        <f ca="1">IFERROR(__xludf.DUMMYFUNCTION("IMPORTRANGE(H30855,""IDENTITAS UNIT!D9"")"),"#N/A")</f>
        <v>#N/A</v>
      </c>
      <c r="H30855" s="4" t="str">
        <v/>
      </c>
      <c r="I30855" s="4" t="str">
        <v/>
      </c>
    </row>
    <row r="30856" spans="5:9" ht="16.5" hidden="1">
      <c r="E30856" s="4" t="str">
        <v/>
      </c>
      <c r="F30856" s="102" t="str">
        <f ca="1">IFERROR(__xludf.DUMMYFUNCTION("IMPORTRANGE(H30856,""IDENTITAS UNIT!D9"")"),"#N/A")</f>
        <v>#N/A</v>
      </c>
      <c r="H30856" s="4" t="str">
        <v/>
      </c>
      <c r="I30856" s="4" t="str">
        <v/>
      </c>
    </row>
    <row r="30857" spans="5:9" ht="16.5" hidden="1">
      <c r="E30857" s="4" t="str">
        <v/>
      </c>
      <c r="F30857" s="102" t="str">
        <f ca="1">IFERROR(__xludf.DUMMYFUNCTION("IMPORTRANGE(H30857,""IDENTITAS UNIT!D9"")"),"#N/A")</f>
        <v>#N/A</v>
      </c>
      <c r="H30857" s="4" t="str">
        <v/>
      </c>
      <c r="I30857" s="4" t="str">
        <v/>
      </c>
    </row>
    <row r="30858" spans="5:9" ht="16.5" hidden="1">
      <c r="E30858" s="4" t="str">
        <v/>
      </c>
      <c r="F30858" s="102" t="str">
        <f ca="1">IFERROR(__xludf.DUMMYFUNCTION("IMPORTRANGE(H30858,""IDENTITAS UNIT!D9"")"),"#N/A")</f>
        <v>#N/A</v>
      </c>
      <c r="H30858" s="4" t="str">
        <v/>
      </c>
      <c r="I30858" s="4" t="str">
        <v/>
      </c>
    </row>
    <row r="30859" spans="5:9" ht="16.5" hidden="1">
      <c r="E30859" s="4" t="str">
        <v/>
      </c>
      <c r="F30859" s="102" t="str">
        <f ca="1">IFERROR(__xludf.DUMMYFUNCTION("IMPORTRANGE(H30859,""IDENTITAS UNIT!D9"")"),"#N/A")</f>
        <v>#N/A</v>
      </c>
      <c r="H30859" s="4" t="str">
        <v/>
      </c>
      <c r="I30859" s="4" t="str">
        <v/>
      </c>
    </row>
    <row r="30860" spans="5:9" ht="16.5" hidden="1">
      <c r="E30860" s="4" t="str">
        <v/>
      </c>
      <c r="F30860" s="102" t="str">
        <f ca="1">IFERROR(__xludf.DUMMYFUNCTION("IMPORTRANGE(H30860,""IDENTITAS UNIT!D9"")"),"#N/A")</f>
        <v>#N/A</v>
      </c>
      <c r="H30860" s="4" t="str">
        <v/>
      </c>
      <c r="I30860" s="4" t="str">
        <v/>
      </c>
    </row>
    <row r="30861" spans="5:9" ht="16.5" hidden="1">
      <c r="E30861" s="4" t="str">
        <v/>
      </c>
      <c r="F30861" s="102" t="str">
        <f ca="1">IFERROR(__xludf.DUMMYFUNCTION("IMPORTRANGE(H30861,""IDENTITAS UNIT!D9"")"),"#N/A")</f>
        <v>#N/A</v>
      </c>
      <c r="H30861" s="4" t="str">
        <v/>
      </c>
      <c r="I30861" s="4" t="str">
        <v/>
      </c>
    </row>
    <row r="30862" spans="5:9" ht="16.5" hidden="1">
      <c r="E30862" s="4" t="str">
        <v/>
      </c>
      <c r="F30862" s="102" t="str">
        <f ca="1">IFERROR(__xludf.DUMMYFUNCTION("IMPORTRANGE(H30862,""IDENTITAS UNIT!D9"")"),"#N/A")</f>
        <v>#N/A</v>
      </c>
      <c r="H30862" s="4" t="str">
        <v/>
      </c>
      <c r="I30862" s="4" t="str">
        <v/>
      </c>
    </row>
    <row r="30863" spans="5:9" ht="16.5" hidden="1">
      <c r="E30863" s="4" t="str">
        <v/>
      </c>
      <c r="F30863" s="102" t="str">
        <f ca="1">IFERROR(__xludf.DUMMYFUNCTION("IMPORTRANGE(H30863,""IDENTITAS UNIT!D9"")"),"#N/A")</f>
        <v>#N/A</v>
      </c>
      <c r="H30863" s="4" t="str">
        <v/>
      </c>
      <c r="I30863" s="4" t="str">
        <v/>
      </c>
    </row>
    <row r="30864" spans="5:9" ht="16.5" hidden="1">
      <c r="E30864" s="4" t="str">
        <v/>
      </c>
      <c r="F30864" s="102" t="str">
        <f ca="1">IFERROR(__xludf.DUMMYFUNCTION("IMPORTRANGE(H30864,""IDENTITAS UNIT!D9"")"),"#N/A")</f>
        <v>#N/A</v>
      </c>
      <c r="H30864" s="4" t="str">
        <v/>
      </c>
      <c r="I30864" s="4" t="str">
        <v/>
      </c>
    </row>
    <row r="30865" spans="5:9" ht="16.5" hidden="1">
      <c r="E30865" s="4" t="str">
        <v/>
      </c>
      <c r="F30865" s="102" t="str">
        <f ca="1">IFERROR(__xludf.DUMMYFUNCTION("IMPORTRANGE(H30865,""IDENTITAS UNIT!D9"")"),"#N/A")</f>
        <v>#N/A</v>
      </c>
      <c r="H30865" s="4" t="str">
        <v/>
      </c>
      <c r="I30865" s="4" t="str">
        <v/>
      </c>
    </row>
    <row r="30866" spans="5:9" ht="16.5" hidden="1">
      <c r="E30866" s="4" t="str">
        <v/>
      </c>
      <c r="F30866" s="102" t="str">
        <f ca="1">IFERROR(__xludf.DUMMYFUNCTION("IMPORTRANGE(H30866,""IDENTITAS UNIT!D9"")"),"#N/A")</f>
        <v>#N/A</v>
      </c>
      <c r="H30866" s="4" t="str">
        <v/>
      </c>
      <c r="I30866" s="4" t="str">
        <v/>
      </c>
    </row>
    <row r="30867" spans="5:9" ht="16.5" hidden="1">
      <c r="E30867" s="4" t="str">
        <v/>
      </c>
      <c r="F30867" s="102" t="str">
        <f ca="1">IFERROR(__xludf.DUMMYFUNCTION("IMPORTRANGE(H30867,""IDENTITAS UNIT!D9"")"),"#N/A")</f>
        <v>#N/A</v>
      </c>
      <c r="H30867" s="4" t="str">
        <v/>
      </c>
      <c r="I30867" s="4" t="str">
        <v/>
      </c>
    </row>
    <row r="30868" spans="5:9" ht="16.5" hidden="1">
      <c r="E30868" s="4" t="str">
        <v/>
      </c>
      <c r="F30868" s="102" t="str">
        <f ca="1">IFERROR(__xludf.DUMMYFUNCTION("IMPORTRANGE(H30868,""IDENTITAS UNIT!D9"")"),"#N/A")</f>
        <v>#N/A</v>
      </c>
      <c r="H30868" s="4" t="str">
        <v/>
      </c>
      <c r="I30868" s="4" t="str">
        <v/>
      </c>
    </row>
    <row r="30869" spans="5:9" ht="16.5" hidden="1">
      <c r="E30869" s="4" t="str">
        <v/>
      </c>
      <c r="F30869" s="102" t="str">
        <f ca="1">IFERROR(__xludf.DUMMYFUNCTION("IMPORTRANGE(H30869,""IDENTITAS UNIT!D9"")"),"#N/A")</f>
        <v>#N/A</v>
      </c>
      <c r="H30869" s="4" t="str">
        <v/>
      </c>
      <c r="I30869" s="4" t="str">
        <v/>
      </c>
    </row>
    <row r="30870" spans="5:9" ht="16.5" hidden="1">
      <c r="E30870" s="4" t="str">
        <v/>
      </c>
      <c r="F30870" s="102" t="str">
        <f ca="1">IFERROR(__xludf.DUMMYFUNCTION("IMPORTRANGE(H30870,""IDENTITAS UNIT!D9"")"),"#N/A")</f>
        <v>#N/A</v>
      </c>
      <c r="H30870" s="4" t="str">
        <v/>
      </c>
      <c r="I30870" s="4" t="str">
        <v/>
      </c>
    </row>
    <row r="30871" spans="5:9" ht="16.5" hidden="1">
      <c r="E30871" s="4" t="str">
        <v/>
      </c>
      <c r="F30871" s="102" t="str">
        <f ca="1">IFERROR(__xludf.DUMMYFUNCTION("IMPORTRANGE(H30871,""IDENTITAS UNIT!D9"")"),"#N/A")</f>
        <v>#N/A</v>
      </c>
      <c r="H30871" s="4" t="str">
        <v/>
      </c>
      <c r="I30871" s="4" t="str">
        <v/>
      </c>
    </row>
    <row r="30872" spans="5:9" ht="16.5" hidden="1">
      <c r="E30872" s="4" t="str">
        <v/>
      </c>
      <c r="F30872" s="102" t="str">
        <f ca="1">IFERROR(__xludf.DUMMYFUNCTION("IMPORTRANGE(H30872,""IDENTITAS UNIT!D9"")"),"#N/A")</f>
        <v>#N/A</v>
      </c>
      <c r="H30872" s="4" t="str">
        <v/>
      </c>
      <c r="I30872" s="4" t="str">
        <v/>
      </c>
    </row>
    <row r="30873" spans="5:9" ht="16.5" hidden="1">
      <c r="E30873" s="4" t="str">
        <v/>
      </c>
      <c r="F30873" s="102" t="str">
        <f ca="1">IFERROR(__xludf.DUMMYFUNCTION("IMPORTRANGE(H30873,""IDENTITAS UNIT!D9"")"),"#N/A")</f>
        <v>#N/A</v>
      </c>
      <c r="H30873" s="4" t="str">
        <v/>
      </c>
      <c r="I30873" s="4" t="str">
        <v/>
      </c>
    </row>
    <row r="30874" spans="5:9" ht="16.5" hidden="1">
      <c r="E30874" s="4" t="str">
        <v/>
      </c>
      <c r="F30874" s="102" t="str">
        <f ca="1">IFERROR(__xludf.DUMMYFUNCTION("IMPORTRANGE(H30874,""IDENTITAS UNIT!D9"")"),"#N/A")</f>
        <v>#N/A</v>
      </c>
      <c r="H30874" s="4" t="str">
        <v/>
      </c>
      <c r="I30874" s="4" t="str">
        <v/>
      </c>
    </row>
    <row r="30875" spans="5:9" ht="16.5" hidden="1">
      <c r="E30875" s="4" t="str">
        <v/>
      </c>
      <c r="F30875" s="102" t="str">
        <f ca="1">IFERROR(__xludf.DUMMYFUNCTION("IMPORTRANGE(H30875,""IDENTITAS UNIT!D9"")"),"#N/A")</f>
        <v>#N/A</v>
      </c>
      <c r="H30875" s="4" t="str">
        <v/>
      </c>
      <c r="I30875" s="4" t="str">
        <v/>
      </c>
    </row>
    <row r="30876" spans="5:9" ht="16.5" hidden="1">
      <c r="E30876" s="4" t="str">
        <v/>
      </c>
      <c r="F30876" s="102" t="str">
        <f ca="1">IFERROR(__xludf.DUMMYFUNCTION("IMPORTRANGE(H30876,""IDENTITAS UNIT!D9"")"),"#N/A")</f>
        <v>#N/A</v>
      </c>
      <c r="H30876" s="4" t="str">
        <v/>
      </c>
      <c r="I30876" s="4" t="str">
        <v/>
      </c>
    </row>
    <row r="30877" spans="5:9" ht="16.5" hidden="1">
      <c r="E30877" s="4" t="str">
        <v/>
      </c>
      <c r="F30877" s="102" t="str">
        <f ca="1">IFERROR(__xludf.DUMMYFUNCTION("IMPORTRANGE(H30877,""IDENTITAS UNIT!D9"")"),"#N/A")</f>
        <v>#N/A</v>
      </c>
      <c r="H30877" s="4" t="str">
        <v/>
      </c>
      <c r="I30877" s="4" t="str">
        <v/>
      </c>
    </row>
    <row r="30878" spans="5:9" ht="16.5" hidden="1">
      <c r="E30878" s="4" t="str">
        <v/>
      </c>
      <c r="F30878" s="102" t="str">
        <f ca="1">IFERROR(__xludf.DUMMYFUNCTION("IMPORTRANGE(H30878,""IDENTITAS UNIT!D9"")"),"#N/A")</f>
        <v>#N/A</v>
      </c>
      <c r="H30878" s="4" t="str">
        <v/>
      </c>
      <c r="I30878" s="4" t="str">
        <v/>
      </c>
    </row>
    <row r="30879" spans="5:9" ht="16.5" hidden="1">
      <c r="E30879" s="4" t="str">
        <v/>
      </c>
      <c r="F30879" s="102" t="str">
        <f ca="1">IFERROR(__xludf.DUMMYFUNCTION("IMPORTRANGE(H30879,""IDENTITAS UNIT!D9"")"),"#N/A")</f>
        <v>#N/A</v>
      </c>
      <c r="H30879" s="4" t="str">
        <v/>
      </c>
      <c r="I30879" s="4" t="str">
        <v/>
      </c>
    </row>
    <row r="30880" spans="5:9" ht="16.5" hidden="1">
      <c r="E30880" s="4" t="str">
        <v/>
      </c>
      <c r="F30880" s="102" t="str">
        <f ca="1">IFERROR(__xludf.DUMMYFUNCTION("IMPORTRANGE(H30880,""IDENTITAS UNIT!D9"")"),"#N/A")</f>
        <v>#N/A</v>
      </c>
      <c r="H30880" s="4" t="str">
        <v/>
      </c>
      <c r="I30880" s="4" t="str">
        <v/>
      </c>
    </row>
    <row r="30881" spans="5:9" ht="16.5" hidden="1">
      <c r="E30881" s="4" t="str">
        <v/>
      </c>
      <c r="F30881" s="102" t="str">
        <f ca="1">IFERROR(__xludf.DUMMYFUNCTION("IMPORTRANGE(H30881,""IDENTITAS UNIT!D9"")"),"#N/A")</f>
        <v>#N/A</v>
      </c>
      <c r="H30881" s="4" t="str">
        <v/>
      </c>
      <c r="I30881" s="4" t="str">
        <v/>
      </c>
    </row>
    <row r="30882" spans="5:9" ht="16.5" hidden="1">
      <c r="E30882" s="4" t="str">
        <v/>
      </c>
      <c r="F30882" s="102" t="str">
        <f ca="1">IFERROR(__xludf.DUMMYFUNCTION("IMPORTRANGE(H30882,""IDENTITAS UNIT!D9"")"),"#N/A")</f>
        <v>#N/A</v>
      </c>
      <c r="H30882" s="4" t="str">
        <v/>
      </c>
      <c r="I30882" s="4" t="str">
        <v/>
      </c>
    </row>
    <row r="30883" spans="5:9" ht="16.5" hidden="1">
      <c r="E30883" s="4" t="str">
        <v/>
      </c>
      <c r="F30883" s="102" t="str">
        <f ca="1">IFERROR(__xludf.DUMMYFUNCTION("IMPORTRANGE(H30883,""IDENTITAS UNIT!D9"")"),"#N/A")</f>
        <v>#N/A</v>
      </c>
      <c r="H30883" s="4" t="str">
        <v/>
      </c>
      <c r="I30883" s="4" t="str">
        <v/>
      </c>
    </row>
    <row r="30884" spans="5:9" ht="16.5" hidden="1">
      <c r="E30884" s="4" t="str">
        <v/>
      </c>
      <c r="F30884" s="102" t="str">
        <f ca="1">IFERROR(__xludf.DUMMYFUNCTION("IMPORTRANGE(H30884,""IDENTITAS UNIT!D9"")"),"#N/A")</f>
        <v>#N/A</v>
      </c>
      <c r="H30884" s="4" t="str">
        <v/>
      </c>
      <c r="I30884" s="4" t="str">
        <v/>
      </c>
    </row>
    <row r="30885" spans="5:9" ht="16.5" hidden="1">
      <c r="E30885" s="4" t="str">
        <v/>
      </c>
      <c r="F30885" s="102" t="str">
        <f ca="1">IFERROR(__xludf.DUMMYFUNCTION("IMPORTRANGE(H30885,""IDENTITAS UNIT!D9"")"),"#N/A")</f>
        <v>#N/A</v>
      </c>
      <c r="H30885" s="4" t="str">
        <v/>
      </c>
      <c r="I30885" s="4" t="str">
        <v/>
      </c>
    </row>
    <row r="30886" spans="5:9" ht="16.5" hidden="1">
      <c r="E30886" s="4" t="str">
        <v/>
      </c>
      <c r="F30886" s="102" t="str">
        <f ca="1">IFERROR(__xludf.DUMMYFUNCTION("IMPORTRANGE(H30886,""IDENTITAS UNIT!D9"")"),"#N/A")</f>
        <v>#N/A</v>
      </c>
      <c r="H30886" s="4" t="str">
        <v/>
      </c>
      <c r="I30886" s="4" t="str">
        <v/>
      </c>
    </row>
    <row r="30887" spans="5:9" ht="16.5" hidden="1">
      <c r="E30887" s="4" t="str">
        <v/>
      </c>
      <c r="F30887" s="102" t="str">
        <f ca="1">IFERROR(__xludf.DUMMYFUNCTION("IMPORTRANGE(H30887,""IDENTITAS UNIT!D9"")"),"#N/A")</f>
        <v>#N/A</v>
      </c>
      <c r="H30887" s="4" t="str">
        <v/>
      </c>
      <c r="I30887" s="4" t="str">
        <v/>
      </c>
    </row>
    <row r="30888" spans="5:9" ht="16.5" hidden="1">
      <c r="E30888" s="4" t="str">
        <v/>
      </c>
      <c r="F30888" s="102" t="str">
        <f ca="1">IFERROR(__xludf.DUMMYFUNCTION("IMPORTRANGE(H30888,""IDENTITAS UNIT!D9"")"),"#N/A")</f>
        <v>#N/A</v>
      </c>
      <c r="H30888" s="4" t="str">
        <v/>
      </c>
      <c r="I30888" s="4" t="str">
        <v/>
      </c>
    </row>
    <row r="30889" spans="5:9" ht="16.5" hidden="1">
      <c r="E30889" s="4" t="str">
        <v/>
      </c>
      <c r="F30889" s="102" t="str">
        <f ca="1">IFERROR(__xludf.DUMMYFUNCTION("IMPORTRANGE(H30889,""IDENTITAS UNIT!D9"")"),"#N/A")</f>
        <v>#N/A</v>
      </c>
      <c r="H30889" s="4" t="str">
        <v/>
      </c>
      <c r="I30889" s="4" t="str">
        <v/>
      </c>
    </row>
    <row r="30890" spans="5:9" ht="16.5" hidden="1">
      <c r="E30890" s="4" t="str">
        <v/>
      </c>
      <c r="F30890" s="102" t="str">
        <f ca="1">IFERROR(__xludf.DUMMYFUNCTION("IMPORTRANGE(H30890,""IDENTITAS UNIT!D9"")"),"#N/A")</f>
        <v>#N/A</v>
      </c>
      <c r="H30890" s="4" t="str">
        <v/>
      </c>
      <c r="I30890" s="4" t="str">
        <v/>
      </c>
    </row>
    <row r="30891" spans="5:9" ht="16.5" hidden="1">
      <c r="E30891" s="4" t="str">
        <v/>
      </c>
      <c r="F30891" s="102" t="str">
        <f ca="1">IFERROR(__xludf.DUMMYFUNCTION("IMPORTRANGE(H30891,""IDENTITAS UNIT!D9"")"),"#N/A")</f>
        <v>#N/A</v>
      </c>
      <c r="H30891" s="4" t="str">
        <v/>
      </c>
      <c r="I30891" s="4" t="str">
        <v/>
      </c>
    </row>
    <row r="30892" spans="5:9" ht="16.5" hidden="1">
      <c r="E30892" s="4" t="str">
        <v/>
      </c>
      <c r="F30892" s="102" t="str">
        <f ca="1">IFERROR(__xludf.DUMMYFUNCTION("IMPORTRANGE(H30892,""IDENTITAS UNIT!D9"")"),"#N/A")</f>
        <v>#N/A</v>
      </c>
      <c r="H30892" s="4" t="str">
        <v/>
      </c>
      <c r="I30892" s="4" t="str">
        <v/>
      </c>
    </row>
    <row r="30893" spans="5:9" ht="16.5" hidden="1">
      <c r="E30893" s="4" t="str">
        <v/>
      </c>
      <c r="F30893" s="102" t="str">
        <f ca="1">IFERROR(__xludf.DUMMYFUNCTION("IMPORTRANGE(H30893,""IDENTITAS UNIT!D9"")"),"#N/A")</f>
        <v>#N/A</v>
      </c>
      <c r="H30893" s="4" t="str">
        <v/>
      </c>
      <c r="I30893" s="4" t="str">
        <v/>
      </c>
    </row>
    <row r="30894" spans="5:9" ht="16.5" hidden="1">
      <c r="E30894" s="4" t="str">
        <v/>
      </c>
      <c r="F30894" s="102" t="str">
        <f ca="1">IFERROR(__xludf.DUMMYFUNCTION("IMPORTRANGE(H30894,""IDENTITAS UNIT!D9"")"),"#N/A")</f>
        <v>#N/A</v>
      </c>
      <c r="H30894" s="4" t="str">
        <v/>
      </c>
      <c r="I30894" s="4" t="str">
        <v/>
      </c>
    </row>
    <row r="30895" spans="5:9" ht="16.5" hidden="1">
      <c r="E30895" s="4" t="str">
        <v/>
      </c>
      <c r="F30895" s="102" t="str">
        <f ca="1">IFERROR(__xludf.DUMMYFUNCTION("IMPORTRANGE(H30895,""IDENTITAS UNIT!D9"")"),"#N/A")</f>
        <v>#N/A</v>
      </c>
      <c r="H30895" s="4" t="str">
        <v/>
      </c>
      <c r="I30895" s="4" t="str">
        <v/>
      </c>
    </row>
    <row r="30896" spans="5:9" ht="16.5" hidden="1">
      <c r="E30896" s="4" t="str">
        <v/>
      </c>
      <c r="F30896" s="102" t="str">
        <f ca="1">IFERROR(__xludf.DUMMYFUNCTION("IMPORTRANGE(H30896,""IDENTITAS UNIT!D9"")"),"#N/A")</f>
        <v>#N/A</v>
      </c>
      <c r="H30896" s="4" t="str">
        <v/>
      </c>
      <c r="I30896" s="4" t="str">
        <v/>
      </c>
    </row>
    <row r="30897" spans="5:9" ht="16.5" hidden="1">
      <c r="E30897" s="4" t="str">
        <v/>
      </c>
      <c r="F30897" s="102" t="str">
        <f ca="1">IFERROR(__xludf.DUMMYFUNCTION("IMPORTRANGE(H30897,""IDENTITAS UNIT!D9"")"),"#N/A")</f>
        <v>#N/A</v>
      </c>
      <c r="H30897" s="4" t="str">
        <v/>
      </c>
      <c r="I30897" s="4" t="str">
        <v/>
      </c>
    </row>
    <row r="30898" spans="5:9" ht="16.5" hidden="1">
      <c r="E30898" s="4" t="str">
        <v/>
      </c>
      <c r="F30898" s="102" t="str">
        <f ca="1">IFERROR(__xludf.DUMMYFUNCTION("IMPORTRANGE(H30898,""IDENTITAS UNIT!D9"")"),"#N/A")</f>
        <v>#N/A</v>
      </c>
      <c r="H30898" s="4" t="str">
        <v/>
      </c>
      <c r="I30898" s="4" t="str">
        <v/>
      </c>
    </row>
    <row r="30899" spans="5:9" ht="16.5" hidden="1">
      <c r="E30899" s="4" t="str">
        <v/>
      </c>
      <c r="F30899" s="102" t="str">
        <f ca="1">IFERROR(__xludf.DUMMYFUNCTION("IMPORTRANGE(H30899,""IDENTITAS UNIT!D9"")"),"#N/A")</f>
        <v>#N/A</v>
      </c>
      <c r="H30899" s="4" t="str">
        <v/>
      </c>
      <c r="I30899" s="4" t="str">
        <v/>
      </c>
    </row>
    <row r="30900" spans="5:9" ht="16.5" hidden="1">
      <c r="E30900" s="4" t="str">
        <v/>
      </c>
      <c r="F30900" s="102" t="str">
        <f ca="1">IFERROR(__xludf.DUMMYFUNCTION("IMPORTRANGE(H30900,""IDENTITAS UNIT!D9"")"),"#N/A")</f>
        <v>#N/A</v>
      </c>
      <c r="H30900" s="4" t="str">
        <v/>
      </c>
      <c r="I30900" s="4" t="str">
        <v/>
      </c>
    </row>
    <row r="30901" spans="5:9" ht="16.5" hidden="1">
      <c r="E30901" s="4" t="str">
        <v/>
      </c>
      <c r="F30901" s="102" t="str">
        <f ca="1">IFERROR(__xludf.DUMMYFUNCTION("IMPORTRANGE(H30901,""IDENTITAS UNIT!D9"")"),"#N/A")</f>
        <v>#N/A</v>
      </c>
      <c r="H30901" s="4" t="str">
        <v/>
      </c>
      <c r="I30901" s="4" t="str">
        <v/>
      </c>
    </row>
    <row r="30902" spans="5:9" ht="16.5" hidden="1">
      <c r="E30902" s="4" t="str">
        <v/>
      </c>
      <c r="F30902" s="102" t="str">
        <f ca="1">IFERROR(__xludf.DUMMYFUNCTION("IMPORTRANGE(H30902,""IDENTITAS UNIT!D9"")"),"#N/A")</f>
        <v>#N/A</v>
      </c>
      <c r="H30902" s="4" t="str">
        <v/>
      </c>
      <c r="I30902" s="4" t="str">
        <v/>
      </c>
    </row>
    <row r="30903" spans="5:9" ht="16.5" hidden="1">
      <c r="E30903" s="4" t="str">
        <v/>
      </c>
      <c r="F30903" s="102" t="str">
        <f ca="1">IFERROR(__xludf.DUMMYFUNCTION("IMPORTRANGE(H30903,""IDENTITAS UNIT!D9"")"),"#N/A")</f>
        <v>#N/A</v>
      </c>
      <c r="H30903" s="4" t="str">
        <v/>
      </c>
      <c r="I30903" s="4" t="str">
        <v/>
      </c>
    </row>
    <row r="30904" spans="5:9" ht="16.5" hidden="1">
      <c r="E30904" s="4" t="str">
        <v/>
      </c>
      <c r="F30904" s="102" t="str">
        <f ca="1">IFERROR(__xludf.DUMMYFUNCTION("IMPORTRANGE(H30904,""IDENTITAS UNIT!D9"")"),"#N/A")</f>
        <v>#N/A</v>
      </c>
      <c r="H30904" s="4" t="str">
        <v/>
      </c>
      <c r="I30904" s="4" t="str">
        <v/>
      </c>
    </row>
    <row r="30905" spans="5:9" ht="16.5" hidden="1">
      <c r="E30905" s="4" t="str">
        <v/>
      </c>
      <c r="F30905" s="102" t="str">
        <f ca="1">IFERROR(__xludf.DUMMYFUNCTION("IMPORTRANGE(H30905,""IDENTITAS UNIT!D9"")"),"#N/A")</f>
        <v>#N/A</v>
      </c>
      <c r="H30905" s="4" t="str">
        <v/>
      </c>
      <c r="I30905" s="4" t="str">
        <v/>
      </c>
    </row>
    <row r="30906" spans="5:9" ht="16.5" hidden="1">
      <c r="E30906" s="4" t="str">
        <v/>
      </c>
      <c r="F30906" s="102" t="str">
        <f ca="1">IFERROR(__xludf.DUMMYFUNCTION("IMPORTRANGE(H30906,""IDENTITAS UNIT!D9"")"),"#N/A")</f>
        <v>#N/A</v>
      </c>
      <c r="H30906" s="4" t="str">
        <v/>
      </c>
      <c r="I30906" s="4" t="str">
        <v/>
      </c>
    </row>
    <row r="30907" spans="5:9" ht="16.5" hidden="1">
      <c r="E30907" s="4" t="str">
        <v/>
      </c>
      <c r="F30907" s="102" t="str">
        <f ca="1">IFERROR(__xludf.DUMMYFUNCTION("IMPORTRANGE(H30907,""IDENTITAS UNIT!D9"")"),"#N/A")</f>
        <v>#N/A</v>
      </c>
      <c r="H30907" s="4" t="str">
        <v/>
      </c>
      <c r="I30907" s="4" t="str">
        <v/>
      </c>
    </row>
    <row r="30908" spans="5:9" ht="16.5" hidden="1">
      <c r="E30908" s="4" t="str">
        <v/>
      </c>
      <c r="F30908" s="102" t="str">
        <f ca="1">IFERROR(__xludf.DUMMYFUNCTION("IMPORTRANGE(H30908,""IDENTITAS UNIT!D9"")"),"#N/A")</f>
        <v>#N/A</v>
      </c>
      <c r="H30908" s="4" t="str">
        <v/>
      </c>
      <c r="I30908" s="4" t="str">
        <v/>
      </c>
    </row>
    <row r="30909" spans="5:9" ht="16.5" hidden="1">
      <c r="E30909" s="4" t="str">
        <v/>
      </c>
      <c r="F30909" s="102" t="str">
        <f ca="1">IFERROR(__xludf.DUMMYFUNCTION("IMPORTRANGE(H30909,""IDENTITAS UNIT!D9"")"),"#N/A")</f>
        <v>#N/A</v>
      </c>
      <c r="H30909" s="4" t="str">
        <v/>
      </c>
      <c r="I30909" s="4" t="str">
        <v/>
      </c>
    </row>
    <row r="30910" spans="5:9" ht="16.5" hidden="1">
      <c r="E30910" s="4" t="str">
        <v/>
      </c>
      <c r="F30910" s="102" t="str">
        <f ca="1">IFERROR(__xludf.DUMMYFUNCTION("IMPORTRANGE(H30910,""IDENTITAS UNIT!D9"")"),"#N/A")</f>
        <v>#N/A</v>
      </c>
      <c r="H30910" s="4" t="str">
        <v/>
      </c>
      <c r="I30910" s="4" t="str">
        <v/>
      </c>
    </row>
    <row r="30911" spans="5:9" ht="16.5" hidden="1">
      <c r="E30911" s="4" t="str">
        <v/>
      </c>
      <c r="F30911" s="102" t="str">
        <f ca="1">IFERROR(__xludf.DUMMYFUNCTION("IMPORTRANGE(H30911,""IDENTITAS UNIT!D9"")"),"#N/A")</f>
        <v>#N/A</v>
      </c>
      <c r="H30911" s="4" t="str">
        <v/>
      </c>
      <c r="I30911" s="4" t="str">
        <v/>
      </c>
    </row>
    <row r="30912" spans="5:9" ht="16.5" hidden="1">
      <c r="E30912" s="4" t="str">
        <v/>
      </c>
      <c r="F30912" s="102" t="str">
        <f ca="1">IFERROR(__xludf.DUMMYFUNCTION("IMPORTRANGE(H30912,""IDENTITAS UNIT!D9"")"),"#N/A")</f>
        <v>#N/A</v>
      </c>
      <c r="H30912" s="4" t="str">
        <v/>
      </c>
      <c r="I30912" s="4" t="str">
        <v/>
      </c>
    </row>
    <row r="30913" spans="5:9" ht="16.5" hidden="1">
      <c r="E30913" s="4" t="str">
        <v/>
      </c>
      <c r="F30913" s="102" t="str">
        <f ca="1">IFERROR(__xludf.DUMMYFUNCTION("IMPORTRANGE(H30913,""IDENTITAS UNIT!D9"")"),"#N/A")</f>
        <v>#N/A</v>
      </c>
      <c r="H30913" s="4" t="str">
        <v/>
      </c>
      <c r="I30913" s="4" t="str">
        <v/>
      </c>
    </row>
    <row r="30914" spans="5:9" ht="16.5" hidden="1">
      <c r="E30914" s="4" t="str">
        <v/>
      </c>
      <c r="F30914" s="102" t="str">
        <f ca="1">IFERROR(__xludf.DUMMYFUNCTION("IMPORTRANGE(H30914,""IDENTITAS UNIT!D9"")"),"#N/A")</f>
        <v>#N/A</v>
      </c>
      <c r="H30914" s="4" t="str">
        <v/>
      </c>
      <c r="I30914" s="4" t="str">
        <v/>
      </c>
    </row>
    <row r="30915" spans="5:9" ht="16.5" hidden="1">
      <c r="E30915" s="4" t="str">
        <v/>
      </c>
      <c r="F30915" s="102" t="str">
        <f ca="1">IFERROR(__xludf.DUMMYFUNCTION("IMPORTRANGE(H30915,""IDENTITAS UNIT!D9"")"),"#N/A")</f>
        <v>#N/A</v>
      </c>
      <c r="H30915" s="4" t="str">
        <v/>
      </c>
      <c r="I30915" s="4" t="str">
        <v/>
      </c>
    </row>
    <row r="30916" spans="5:9" ht="16.5" hidden="1">
      <c r="E30916" s="4" t="str">
        <v/>
      </c>
      <c r="F30916" s="102" t="str">
        <f ca="1">IFERROR(__xludf.DUMMYFUNCTION("IMPORTRANGE(H30916,""IDENTITAS UNIT!D9"")"),"#N/A")</f>
        <v>#N/A</v>
      </c>
      <c r="H30916" s="4" t="str">
        <v/>
      </c>
      <c r="I30916" s="4" t="str">
        <v/>
      </c>
    </row>
    <row r="30917" spans="5:9" ht="16.5" hidden="1">
      <c r="E30917" s="4" t="str">
        <v/>
      </c>
      <c r="F30917" s="102" t="str">
        <f ca="1">IFERROR(__xludf.DUMMYFUNCTION("IMPORTRANGE(H30917,""IDENTITAS UNIT!D9"")"),"#N/A")</f>
        <v>#N/A</v>
      </c>
      <c r="H30917" s="4" t="str">
        <v/>
      </c>
      <c r="I30917" s="4" t="str">
        <v/>
      </c>
    </row>
    <row r="30918" spans="5:9" ht="16.5" hidden="1">
      <c r="E30918" s="4" t="str">
        <v/>
      </c>
      <c r="F30918" s="102" t="str">
        <f ca="1">IFERROR(__xludf.DUMMYFUNCTION("IMPORTRANGE(H30918,""IDENTITAS UNIT!D9"")"),"#N/A")</f>
        <v>#N/A</v>
      </c>
      <c r="H30918" s="4" t="str">
        <v/>
      </c>
      <c r="I30918" s="4" t="str">
        <v/>
      </c>
    </row>
    <row r="30919" spans="5:9" ht="16.5" hidden="1">
      <c r="E30919" s="4" t="str">
        <v/>
      </c>
      <c r="F30919" s="102" t="str">
        <f ca="1">IFERROR(__xludf.DUMMYFUNCTION("IMPORTRANGE(H30919,""IDENTITAS UNIT!D9"")"),"#N/A")</f>
        <v>#N/A</v>
      </c>
      <c r="H30919" s="4" t="str">
        <v/>
      </c>
      <c r="I30919" s="4" t="str">
        <v/>
      </c>
    </row>
    <row r="30920" spans="5:9" ht="16.5" hidden="1">
      <c r="E30920" s="4" t="str">
        <v/>
      </c>
      <c r="F30920" s="102" t="str">
        <f ca="1">IFERROR(__xludf.DUMMYFUNCTION("IMPORTRANGE(H30920,""IDENTITAS UNIT!D9"")"),"#N/A")</f>
        <v>#N/A</v>
      </c>
      <c r="H30920" s="4" t="str">
        <v/>
      </c>
      <c r="I30920" s="4" t="str">
        <v/>
      </c>
    </row>
    <row r="30921" spans="5:9" ht="16.5" hidden="1">
      <c r="E30921" s="4" t="str">
        <v/>
      </c>
      <c r="F30921" s="102" t="str">
        <f ca="1">IFERROR(__xludf.DUMMYFUNCTION("IMPORTRANGE(H30921,""IDENTITAS UNIT!D9"")"),"#N/A")</f>
        <v>#N/A</v>
      </c>
      <c r="H30921" s="4" t="str">
        <v/>
      </c>
      <c r="I30921" s="4" t="str">
        <v/>
      </c>
    </row>
    <row r="30922" spans="5:9" ht="16.5" hidden="1">
      <c r="E30922" s="4" t="str">
        <v/>
      </c>
      <c r="F30922" s="102" t="str">
        <f ca="1">IFERROR(__xludf.DUMMYFUNCTION("IMPORTRANGE(H30922,""IDENTITAS UNIT!D9"")"),"#N/A")</f>
        <v>#N/A</v>
      </c>
      <c r="H30922" s="4" t="str">
        <v/>
      </c>
      <c r="I30922" s="4" t="str">
        <v/>
      </c>
    </row>
    <row r="30923" spans="5:9" ht="16.5" hidden="1">
      <c r="E30923" s="4" t="str">
        <v/>
      </c>
      <c r="F30923" s="102" t="str">
        <f ca="1">IFERROR(__xludf.DUMMYFUNCTION("IMPORTRANGE(H30923,""IDENTITAS UNIT!D9"")"),"#N/A")</f>
        <v>#N/A</v>
      </c>
      <c r="H30923" s="4" t="str">
        <v/>
      </c>
      <c r="I30923" s="4" t="str">
        <v/>
      </c>
    </row>
    <row r="30924" spans="5:9" ht="16.5" hidden="1">
      <c r="E30924" s="4" t="str">
        <v/>
      </c>
      <c r="F30924" s="102" t="str">
        <f ca="1">IFERROR(__xludf.DUMMYFUNCTION("IMPORTRANGE(H30924,""IDENTITAS UNIT!D9"")"),"#N/A")</f>
        <v>#N/A</v>
      </c>
      <c r="H30924" s="4" t="str">
        <v/>
      </c>
      <c r="I30924" s="4" t="str">
        <v/>
      </c>
    </row>
    <row r="30925" spans="5:9" ht="16.5" hidden="1">
      <c r="E30925" s="4" t="str">
        <v/>
      </c>
      <c r="F30925" s="102" t="str">
        <f ca="1">IFERROR(__xludf.DUMMYFUNCTION("IMPORTRANGE(H30925,""IDENTITAS UNIT!D9"")"),"#N/A")</f>
        <v>#N/A</v>
      </c>
      <c r="H30925" s="4" t="str">
        <v/>
      </c>
      <c r="I30925" s="4" t="str">
        <v/>
      </c>
    </row>
    <row r="30926" spans="5:9" ht="16.5" hidden="1">
      <c r="E30926" s="4" t="str">
        <v/>
      </c>
      <c r="F30926" s="102" t="str">
        <f ca="1">IFERROR(__xludf.DUMMYFUNCTION("IMPORTRANGE(H30926,""IDENTITAS UNIT!D9"")"),"#N/A")</f>
        <v>#N/A</v>
      </c>
      <c r="H30926" s="4" t="str">
        <v/>
      </c>
      <c r="I30926" s="4" t="str">
        <v/>
      </c>
    </row>
    <row r="30927" spans="5:9" ht="16.5" hidden="1">
      <c r="E30927" s="4" t="str">
        <v/>
      </c>
      <c r="F30927" s="102" t="str">
        <f ca="1">IFERROR(__xludf.DUMMYFUNCTION("IMPORTRANGE(H30927,""IDENTITAS UNIT!D9"")"),"#N/A")</f>
        <v>#N/A</v>
      </c>
      <c r="H30927" s="4" t="str">
        <v/>
      </c>
      <c r="I30927" s="4" t="str">
        <v/>
      </c>
    </row>
    <row r="30928" spans="5:9" ht="16.5" hidden="1">
      <c r="E30928" s="4" t="str">
        <v/>
      </c>
      <c r="F30928" s="102" t="str">
        <f ca="1">IFERROR(__xludf.DUMMYFUNCTION("IMPORTRANGE(H30928,""IDENTITAS UNIT!D9"")"),"#N/A")</f>
        <v>#N/A</v>
      </c>
      <c r="H30928" s="4" t="str">
        <v/>
      </c>
      <c r="I30928" s="4" t="str">
        <v/>
      </c>
    </row>
    <row r="30929" spans="5:9" ht="16.5" hidden="1">
      <c r="E30929" s="4" t="str">
        <v/>
      </c>
      <c r="F30929" s="102" t="str">
        <f ca="1">IFERROR(__xludf.DUMMYFUNCTION("IMPORTRANGE(H30929,""IDENTITAS UNIT!D9"")"),"#N/A")</f>
        <v>#N/A</v>
      </c>
      <c r="H30929" s="4" t="str">
        <v/>
      </c>
      <c r="I30929" s="4" t="str">
        <v/>
      </c>
    </row>
    <row r="30930" spans="5:9" ht="16.5" hidden="1">
      <c r="E30930" s="4" t="str">
        <v/>
      </c>
      <c r="F30930" s="102" t="str">
        <f ca="1">IFERROR(__xludf.DUMMYFUNCTION("IMPORTRANGE(H30930,""IDENTITAS UNIT!D9"")"),"#N/A")</f>
        <v>#N/A</v>
      </c>
      <c r="H30930" s="4" t="str">
        <v/>
      </c>
      <c r="I30930" s="4" t="str">
        <v/>
      </c>
    </row>
    <row r="30931" spans="5:9" ht="16.5" hidden="1">
      <c r="E30931" s="4" t="str">
        <v/>
      </c>
      <c r="F30931" s="102" t="str">
        <f ca="1">IFERROR(__xludf.DUMMYFUNCTION("IMPORTRANGE(H30931,""IDENTITAS UNIT!D9"")"),"#N/A")</f>
        <v>#N/A</v>
      </c>
      <c r="H30931" s="4" t="str">
        <v/>
      </c>
      <c r="I30931" s="4" t="str">
        <v/>
      </c>
    </row>
    <row r="30932" spans="5:9" ht="16.5" hidden="1">
      <c r="E30932" s="4" t="str">
        <v/>
      </c>
      <c r="F30932" s="102" t="str">
        <f ca="1">IFERROR(__xludf.DUMMYFUNCTION("IMPORTRANGE(H30932,""IDENTITAS UNIT!D9"")"),"#N/A")</f>
        <v>#N/A</v>
      </c>
      <c r="H30932" s="4" t="str">
        <v/>
      </c>
      <c r="I30932" s="4" t="str">
        <v/>
      </c>
    </row>
    <row r="30933" spans="5:9" ht="16.5" hidden="1">
      <c r="E30933" s="4" t="str">
        <v/>
      </c>
      <c r="F30933" s="102" t="str">
        <f ca="1">IFERROR(__xludf.DUMMYFUNCTION("IMPORTRANGE(H30933,""IDENTITAS UNIT!D9"")"),"#N/A")</f>
        <v>#N/A</v>
      </c>
      <c r="H30933" s="4" t="str">
        <v/>
      </c>
      <c r="I30933" s="4" t="str">
        <v/>
      </c>
    </row>
    <row r="30934" spans="5:9" ht="16.5" hidden="1">
      <c r="E30934" s="4" t="str">
        <v/>
      </c>
      <c r="F30934" s="102" t="str">
        <f ca="1">IFERROR(__xludf.DUMMYFUNCTION("IMPORTRANGE(H30934,""IDENTITAS UNIT!D9"")"),"#N/A")</f>
        <v>#N/A</v>
      </c>
      <c r="H30934" s="4" t="str">
        <v/>
      </c>
      <c r="I30934" s="4" t="str">
        <v/>
      </c>
    </row>
    <row r="30935" spans="5:9" ht="16.5" hidden="1">
      <c r="E30935" s="4" t="str">
        <v/>
      </c>
      <c r="F30935" s="102" t="str">
        <f ca="1">IFERROR(__xludf.DUMMYFUNCTION("IMPORTRANGE(H30935,""IDENTITAS UNIT!D9"")"),"#N/A")</f>
        <v>#N/A</v>
      </c>
      <c r="H30935" s="4" t="str">
        <v/>
      </c>
      <c r="I30935" s="4" t="str">
        <v/>
      </c>
    </row>
    <row r="30936" spans="5:9" ht="16.5" hidden="1">
      <c r="E30936" s="4" t="str">
        <v/>
      </c>
      <c r="F30936" s="102" t="str">
        <f ca="1">IFERROR(__xludf.DUMMYFUNCTION("IMPORTRANGE(H30936,""IDENTITAS UNIT!D9"")"),"#N/A")</f>
        <v>#N/A</v>
      </c>
      <c r="H30936" s="4" t="str">
        <v/>
      </c>
      <c r="I30936" s="4" t="str">
        <v/>
      </c>
    </row>
    <row r="30937" spans="5:9" ht="16.5" hidden="1">
      <c r="E30937" s="4" t="str">
        <v/>
      </c>
      <c r="F30937" s="102" t="str">
        <f ca="1">IFERROR(__xludf.DUMMYFUNCTION("IMPORTRANGE(H30937,""IDENTITAS UNIT!D9"")"),"#N/A")</f>
        <v>#N/A</v>
      </c>
      <c r="H30937" s="4" t="str">
        <v/>
      </c>
      <c r="I30937" s="4" t="str">
        <v/>
      </c>
    </row>
    <row r="30938" spans="5:9" ht="16.5" hidden="1">
      <c r="E30938" s="4" t="str">
        <v/>
      </c>
      <c r="F30938" s="102" t="str">
        <f ca="1">IFERROR(__xludf.DUMMYFUNCTION("IMPORTRANGE(H30938,""IDENTITAS UNIT!D9"")"),"#N/A")</f>
        <v>#N/A</v>
      </c>
      <c r="H30938" s="4" t="str">
        <v/>
      </c>
      <c r="I30938" s="4" t="str">
        <v/>
      </c>
    </row>
    <row r="30939" spans="5:9" ht="16.5" hidden="1">
      <c r="E30939" s="4" t="str">
        <v/>
      </c>
      <c r="F30939" s="102" t="str">
        <f ca="1">IFERROR(__xludf.DUMMYFUNCTION("IMPORTRANGE(H30939,""IDENTITAS UNIT!D9"")"),"#N/A")</f>
        <v>#N/A</v>
      </c>
      <c r="H30939" s="4" t="str">
        <v/>
      </c>
      <c r="I30939" s="4" t="str">
        <v/>
      </c>
    </row>
    <row r="30940" spans="5:9" ht="16.5" hidden="1">
      <c r="E30940" s="4" t="str">
        <v/>
      </c>
      <c r="F30940" s="102" t="str">
        <f ca="1">IFERROR(__xludf.DUMMYFUNCTION("IMPORTRANGE(H30940,""IDENTITAS UNIT!D9"")"),"#N/A")</f>
        <v>#N/A</v>
      </c>
      <c r="H30940" s="4" t="str">
        <v/>
      </c>
      <c r="I30940" s="4" t="str">
        <v/>
      </c>
    </row>
    <row r="30941" spans="5:9" ht="16.5" hidden="1">
      <c r="E30941" s="4" t="str">
        <v/>
      </c>
      <c r="F30941" s="102" t="str">
        <f ca="1">IFERROR(__xludf.DUMMYFUNCTION("IMPORTRANGE(H30941,""IDENTITAS UNIT!D9"")"),"#N/A")</f>
        <v>#N/A</v>
      </c>
      <c r="H30941" s="4" t="str">
        <v/>
      </c>
      <c r="I30941" s="4" t="str">
        <v/>
      </c>
    </row>
    <row r="30942" spans="5:9" ht="16.5" hidden="1">
      <c r="E30942" s="4" t="str">
        <v/>
      </c>
      <c r="F30942" s="102" t="str">
        <f ca="1">IFERROR(__xludf.DUMMYFUNCTION("IMPORTRANGE(H30942,""IDENTITAS UNIT!D9"")"),"#N/A")</f>
        <v>#N/A</v>
      </c>
      <c r="H30942" s="4" t="str">
        <v/>
      </c>
      <c r="I30942" s="4" t="str">
        <v/>
      </c>
    </row>
    <row r="30943" spans="5:9" ht="16.5" hidden="1">
      <c r="E30943" s="4" t="str">
        <v/>
      </c>
      <c r="F30943" s="102" t="str">
        <f ca="1">IFERROR(__xludf.DUMMYFUNCTION("IMPORTRANGE(H30943,""IDENTITAS UNIT!D9"")"),"#N/A")</f>
        <v>#N/A</v>
      </c>
      <c r="H30943" s="4" t="str">
        <v/>
      </c>
      <c r="I30943" s="4" t="str">
        <v/>
      </c>
    </row>
    <row r="30944" spans="5:9" ht="16.5" hidden="1">
      <c r="E30944" s="4" t="str">
        <v/>
      </c>
      <c r="F30944" s="102" t="str">
        <f ca="1">IFERROR(__xludf.DUMMYFUNCTION("IMPORTRANGE(H30944,""IDENTITAS UNIT!D9"")"),"#N/A")</f>
        <v>#N/A</v>
      </c>
      <c r="H30944" s="4" t="str">
        <v/>
      </c>
      <c r="I30944" s="4" t="str">
        <v/>
      </c>
    </row>
    <row r="30945" spans="5:9" ht="16.5" hidden="1">
      <c r="E30945" s="4" t="str">
        <v/>
      </c>
      <c r="F30945" s="102" t="str">
        <f ca="1">IFERROR(__xludf.DUMMYFUNCTION("IMPORTRANGE(H30945,""IDENTITAS UNIT!D9"")"),"#N/A")</f>
        <v>#N/A</v>
      </c>
      <c r="H30945" s="4" t="str">
        <v/>
      </c>
      <c r="I30945" s="4" t="str">
        <v/>
      </c>
    </row>
    <row r="30946" spans="5:9" ht="16.5" hidden="1">
      <c r="E30946" s="4" t="str">
        <v/>
      </c>
      <c r="F30946" s="102" t="str">
        <f ca="1">IFERROR(__xludf.DUMMYFUNCTION("IMPORTRANGE(H30946,""IDENTITAS UNIT!D9"")"),"#N/A")</f>
        <v>#N/A</v>
      </c>
      <c r="H30946" s="4" t="str">
        <v/>
      </c>
      <c r="I30946" s="4" t="str">
        <v/>
      </c>
    </row>
    <row r="30947" spans="5:9" ht="16.5" hidden="1">
      <c r="E30947" s="4" t="str">
        <v/>
      </c>
      <c r="F30947" s="102" t="str">
        <f ca="1">IFERROR(__xludf.DUMMYFUNCTION("IMPORTRANGE(H30947,""IDENTITAS UNIT!D9"")"),"#N/A")</f>
        <v>#N/A</v>
      </c>
      <c r="H30947" s="4" t="str">
        <v/>
      </c>
      <c r="I30947" s="4" t="str">
        <v/>
      </c>
    </row>
    <row r="30948" spans="5:9" ht="16.5" hidden="1">
      <c r="E30948" s="4" t="str">
        <v/>
      </c>
      <c r="F30948" s="102" t="str">
        <f ca="1">IFERROR(__xludf.DUMMYFUNCTION("IMPORTRANGE(H30948,""IDENTITAS UNIT!D9"")"),"#N/A")</f>
        <v>#N/A</v>
      </c>
      <c r="H30948" s="4" t="str">
        <v/>
      </c>
      <c r="I30948" s="4" t="str">
        <v/>
      </c>
    </row>
    <row r="30949" spans="5:9" ht="16.5" hidden="1">
      <c r="E30949" s="4" t="str">
        <v/>
      </c>
      <c r="F30949" s="102" t="str">
        <f ca="1">IFERROR(__xludf.DUMMYFUNCTION("IMPORTRANGE(H30949,""IDENTITAS UNIT!D9"")"),"#N/A")</f>
        <v>#N/A</v>
      </c>
      <c r="H30949" s="4" t="str">
        <v/>
      </c>
      <c r="I30949" s="4" t="str">
        <v/>
      </c>
    </row>
    <row r="30950" spans="5:9" ht="16.5" hidden="1">
      <c r="E30950" s="4" t="str">
        <v/>
      </c>
      <c r="F30950" s="102" t="str">
        <f ca="1">IFERROR(__xludf.DUMMYFUNCTION("IMPORTRANGE(H30950,""IDENTITAS UNIT!D9"")"),"#N/A")</f>
        <v>#N/A</v>
      </c>
      <c r="H30950" s="4" t="str">
        <v/>
      </c>
      <c r="I30950" s="4" t="str">
        <v/>
      </c>
    </row>
    <row r="30951" spans="5:9" ht="16.5" hidden="1">
      <c r="E30951" s="4" t="str">
        <v/>
      </c>
      <c r="F30951" s="102" t="str">
        <f ca="1">IFERROR(__xludf.DUMMYFUNCTION("IMPORTRANGE(H30951,""IDENTITAS UNIT!D9"")"),"#N/A")</f>
        <v>#N/A</v>
      </c>
      <c r="H30951" s="4" t="str">
        <v/>
      </c>
      <c r="I30951" s="4" t="str">
        <v/>
      </c>
    </row>
    <row r="30952" spans="5:9" ht="16.5" hidden="1">
      <c r="E30952" s="4" t="str">
        <v/>
      </c>
      <c r="F30952" s="102" t="str">
        <f ca="1">IFERROR(__xludf.DUMMYFUNCTION("IMPORTRANGE(H30952,""IDENTITAS UNIT!D9"")"),"#N/A")</f>
        <v>#N/A</v>
      </c>
      <c r="H30952" s="4" t="str">
        <v/>
      </c>
      <c r="I30952" s="4" t="str">
        <v/>
      </c>
    </row>
    <row r="30953" spans="5:9" ht="16.5" hidden="1">
      <c r="E30953" s="4" t="str">
        <v/>
      </c>
      <c r="F30953" s="102" t="str">
        <f ca="1">IFERROR(__xludf.DUMMYFUNCTION("IMPORTRANGE(H30953,""IDENTITAS UNIT!D9"")"),"#N/A")</f>
        <v>#N/A</v>
      </c>
      <c r="H30953" s="4" t="str">
        <v/>
      </c>
      <c r="I30953" s="4" t="str">
        <v/>
      </c>
    </row>
    <row r="30954" spans="5:9" ht="16.5" hidden="1">
      <c r="E30954" s="4" t="str">
        <v/>
      </c>
      <c r="F30954" s="102" t="str">
        <f ca="1">IFERROR(__xludf.DUMMYFUNCTION("IMPORTRANGE(H30954,""IDENTITAS UNIT!D9"")"),"#N/A")</f>
        <v>#N/A</v>
      </c>
      <c r="H30954" s="4" t="str">
        <v/>
      </c>
      <c r="I30954" s="4" t="str">
        <v/>
      </c>
    </row>
    <row r="30955" spans="5:9" ht="16.5" hidden="1">
      <c r="E30955" s="4" t="str">
        <v/>
      </c>
      <c r="F30955" s="102" t="str">
        <f ca="1">IFERROR(__xludf.DUMMYFUNCTION("IMPORTRANGE(H30955,""IDENTITAS UNIT!D9"")"),"#N/A")</f>
        <v>#N/A</v>
      </c>
      <c r="H30955" s="4" t="str">
        <v/>
      </c>
      <c r="I30955" s="4" t="str">
        <v/>
      </c>
    </row>
    <row r="30956" spans="5:9" ht="16.5" hidden="1">
      <c r="E30956" s="4" t="str">
        <v/>
      </c>
      <c r="F30956" s="102" t="str">
        <f ca="1">IFERROR(__xludf.DUMMYFUNCTION("IMPORTRANGE(H30956,""IDENTITAS UNIT!D9"")"),"#N/A")</f>
        <v>#N/A</v>
      </c>
      <c r="H30956" s="4" t="str">
        <v/>
      </c>
      <c r="I30956" s="4" t="str">
        <v/>
      </c>
    </row>
    <row r="30957" spans="5:9" ht="16.5" hidden="1">
      <c r="E30957" s="4" t="str">
        <v/>
      </c>
      <c r="F30957" s="102" t="str">
        <f ca="1">IFERROR(__xludf.DUMMYFUNCTION("IMPORTRANGE(H30957,""IDENTITAS UNIT!D9"")"),"#N/A")</f>
        <v>#N/A</v>
      </c>
      <c r="H30957" s="4" t="str">
        <v/>
      </c>
      <c r="I30957" s="4" t="str">
        <v/>
      </c>
    </row>
    <row r="30958" spans="5:9" ht="16.5" hidden="1">
      <c r="E30958" s="4" t="str">
        <v/>
      </c>
      <c r="F30958" s="102" t="str">
        <f ca="1">IFERROR(__xludf.DUMMYFUNCTION("IMPORTRANGE(H30958,""IDENTITAS UNIT!D9"")"),"#N/A")</f>
        <v>#N/A</v>
      </c>
      <c r="H30958" s="4" t="str">
        <v/>
      </c>
      <c r="I30958" s="4" t="str">
        <v/>
      </c>
    </row>
    <row r="30959" spans="5:9" ht="16.5" hidden="1">
      <c r="E30959" s="4" t="str">
        <v/>
      </c>
      <c r="F30959" s="102" t="str">
        <f ca="1">IFERROR(__xludf.DUMMYFUNCTION("IMPORTRANGE(H30959,""IDENTITAS UNIT!D9"")"),"#N/A")</f>
        <v>#N/A</v>
      </c>
      <c r="H30959" s="4" t="str">
        <v/>
      </c>
      <c r="I30959" s="4" t="str">
        <v/>
      </c>
    </row>
    <row r="30960" spans="5:9" ht="16.5" hidden="1">
      <c r="E30960" s="4" t="str">
        <v/>
      </c>
      <c r="F30960" s="102" t="str">
        <f ca="1">IFERROR(__xludf.DUMMYFUNCTION("IMPORTRANGE(H30960,""IDENTITAS UNIT!D9"")"),"#N/A")</f>
        <v>#N/A</v>
      </c>
      <c r="H30960" s="4" t="str">
        <v/>
      </c>
      <c r="I30960" s="4" t="str">
        <v/>
      </c>
    </row>
    <row r="30961" spans="5:9" ht="16.5" hidden="1">
      <c r="E30961" s="4" t="str">
        <v/>
      </c>
      <c r="F30961" s="102" t="str">
        <f ca="1">IFERROR(__xludf.DUMMYFUNCTION("IMPORTRANGE(H30961,""IDENTITAS UNIT!D9"")"),"#N/A")</f>
        <v>#N/A</v>
      </c>
      <c r="H30961" s="4" t="str">
        <v/>
      </c>
      <c r="I30961" s="4" t="str">
        <v/>
      </c>
    </row>
    <row r="30962" spans="5:9" ht="16.5" hidden="1">
      <c r="E30962" s="4" t="str">
        <v/>
      </c>
      <c r="F30962" s="102" t="str">
        <f ca="1">IFERROR(__xludf.DUMMYFUNCTION("IMPORTRANGE(H30962,""IDENTITAS UNIT!D9"")"),"#N/A")</f>
        <v>#N/A</v>
      </c>
      <c r="H30962" s="4" t="str">
        <v/>
      </c>
      <c r="I30962" s="4" t="str">
        <v/>
      </c>
    </row>
    <row r="30963" spans="5:9" ht="16.5" hidden="1">
      <c r="E30963" s="4" t="str">
        <v/>
      </c>
      <c r="F30963" s="102" t="str">
        <f ca="1">IFERROR(__xludf.DUMMYFUNCTION("IMPORTRANGE(H30963,""IDENTITAS UNIT!D9"")"),"#N/A")</f>
        <v>#N/A</v>
      </c>
      <c r="H30963" s="4" t="str">
        <v/>
      </c>
      <c r="I30963" s="4" t="str">
        <v/>
      </c>
    </row>
    <row r="30964" spans="5:9" ht="16.5" hidden="1">
      <c r="E30964" s="4" t="str">
        <v/>
      </c>
      <c r="F30964" s="102" t="str">
        <f ca="1">IFERROR(__xludf.DUMMYFUNCTION("IMPORTRANGE(H30964,""IDENTITAS UNIT!D9"")"),"#N/A")</f>
        <v>#N/A</v>
      </c>
      <c r="H30964" s="4" t="str">
        <v/>
      </c>
      <c r="I30964" s="4" t="str">
        <v/>
      </c>
    </row>
    <row r="30965" spans="5:9" ht="16.5" hidden="1">
      <c r="E30965" s="4" t="str">
        <v/>
      </c>
      <c r="F30965" s="102" t="str">
        <f ca="1">IFERROR(__xludf.DUMMYFUNCTION("IMPORTRANGE(H30965,""IDENTITAS UNIT!D9"")"),"#N/A")</f>
        <v>#N/A</v>
      </c>
      <c r="H30965" s="4" t="str">
        <v/>
      </c>
      <c r="I30965" s="4" t="str">
        <v/>
      </c>
    </row>
    <row r="30966" spans="5:9" ht="16.5" hidden="1">
      <c r="E30966" s="4" t="str">
        <v/>
      </c>
      <c r="F30966" s="102" t="str">
        <f ca="1">IFERROR(__xludf.DUMMYFUNCTION("IMPORTRANGE(H30966,""IDENTITAS UNIT!D9"")"),"#N/A")</f>
        <v>#N/A</v>
      </c>
      <c r="H30966" s="4" t="str">
        <v/>
      </c>
      <c r="I30966" s="4" t="str">
        <v/>
      </c>
    </row>
    <row r="30967" spans="5:9" ht="16.5" hidden="1">
      <c r="E30967" s="4" t="str">
        <v/>
      </c>
      <c r="F30967" s="102" t="str">
        <f ca="1">IFERROR(__xludf.DUMMYFUNCTION("IMPORTRANGE(H30967,""IDENTITAS UNIT!D9"")"),"#N/A")</f>
        <v>#N/A</v>
      </c>
      <c r="H30967" s="4" t="str">
        <v/>
      </c>
      <c r="I30967" s="4" t="str">
        <v/>
      </c>
    </row>
    <row r="30968" spans="5:9" ht="16.5" hidden="1">
      <c r="E30968" s="4" t="str">
        <v/>
      </c>
      <c r="F30968" s="102" t="str">
        <f ca="1">IFERROR(__xludf.DUMMYFUNCTION("IMPORTRANGE(H30968,""IDENTITAS UNIT!D9"")"),"#N/A")</f>
        <v>#N/A</v>
      </c>
      <c r="H30968" s="4" t="str">
        <v/>
      </c>
      <c r="I30968" s="4" t="str">
        <v/>
      </c>
    </row>
    <row r="30969" spans="5:9" ht="16.5" hidden="1">
      <c r="E30969" s="4" t="str">
        <v/>
      </c>
      <c r="F30969" s="102" t="str">
        <f ca="1">IFERROR(__xludf.DUMMYFUNCTION("IMPORTRANGE(H30969,""IDENTITAS UNIT!D9"")"),"#N/A")</f>
        <v>#N/A</v>
      </c>
      <c r="H30969" s="4" t="str">
        <v/>
      </c>
      <c r="I30969" s="4" t="str">
        <v/>
      </c>
    </row>
    <row r="30970" spans="5:9" ht="16.5" hidden="1">
      <c r="E30970" s="4" t="str">
        <v/>
      </c>
      <c r="F30970" s="102" t="str">
        <f ca="1">IFERROR(__xludf.DUMMYFUNCTION("IMPORTRANGE(H30970,""IDENTITAS UNIT!D9"")"),"#N/A")</f>
        <v>#N/A</v>
      </c>
      <c r="H30970" s="4" t="str">
        <v/>
      </c>
      <c r="I30970" s="4" t="str">
        <v/>
      </c>
    </row>
    <row r="30971" spans="5:9" ht="16.5" hidden="1">
      <c r="E30971" s="4" t="str">
        <v/>
      </c>
      <c r="F30971" s="102" t="str">
        <f ca="1">IFERROR(__xludf.DUMMYFUNCTION("IMPORTRANGE(H30971,""IDENTITAS UNIT!D9"")"),"#N/A")</f>
        <v>#N/A</v>
      </c>
      <c r="H30971" s="4" t="str">
        <v/>
      </c>
      <c r="I30971" s="4" t="str">
        <v/>
      </c>
    </row>
    <row r="30972" spans="5:9" ht="16.5" hidden="1">
      <c r="E30972" s="4" t="str">
        <v/>
      </c>
      <c r="F30972" s="102" t="str">
        <f ca="1">IFERROR(__xludf.DUMMYFUNCTION("IMPORTRANGE(H30972,""IDENTITAS UNIT!D9"")"),"#N/A")</f>
        <v>#N/A</v>
      </c>
      <c r="H30972" s="4" t="str">
        <v/>
      </c>
      <c r="I30972" s="4" t="str">
        <v/>
      </c>
    </row>
    <row r="30973" spans="5:9" ht="16.5" hidden="1">
      <c r="E30973" s="4" t="str">
        <v/>
      </c>
      <c r="F30973" s="102" t="str">
        <f ca="1">IFERROR(__xludf.DUMMYFUNCTION("IMPORTRANGE(H30973,""IDENTITAS UNIT!D9"")"),"#N/A")</f>
        <v>#N/A</v>
      </c>
      <c r="H30973" s="4" t="str">
        <v/>
      </c>
      <c r="I30973" s="4" t="str">
        <v/>
      </c>
    </row>
    <row r="30974" spans="5:9" ht="16.5" hidden="1">
      <c r="E30974" s="4" t="str">
        <v/>
      </c>
      <c r="F30974" s="102" t="str">
        <f ca="1">IFERROR(__xludf.DUMMYFUNCTION("IMPORTRANGE(H30974,""IDENTITAS UNIT!D9"")"),"#N/A")</f>
        <v>#N/A</v>
      </c>
      <c r="H30974" s="4" t="str">
        <v/>
      </c>
      <c r="I30974" s="4" t="str">
        <v/>
      </c>
    </row>
    <row r="30975" spans="5:9" ht="16.5" hidden="1">
      <c r="E30975" s="4" t="str">
        <v/>
      </c>
      <c r="F30975" s="102" t="str">
        <f ca="1">IFERROR(__xludf.DUMMYFUNCTION("IMPORTRANGE(H30975,""IDENTITAS UNIT!D9"")"),"#N/A")</f>
        <v>#N/A</v>
      </c>
      <c r="H30975" s="4" t="str">
        <v/>
      </c>
      <c r="I30975" s="4" t="str">
        <v/>
      </c>
    </row>
    <row r="30976" spans="5:9" ht="16.5" hidden="1">
      <c r="E30976" s="4" t="str">
        <v/>
      </c>
      <c r="F30976" s="102" t="str">
        <f ca="1">IFERROR(__xludf.DUMMYFUNCTION("IMPORTRANGE(H30976,""IDENTITAS UNIT!D9"")"),"#N/A")</f>
        <v>#N/A</v>
      </c>
      <c r="H30976" s="4" t="str">
        <v/>
      </c>
      <c r="I30976" s="4" t="str">
        <v/>
      </c>
    </row>
    <row r="30977" spans="5:9" ht="16.5" hidden="1">
      <c r="E30977" s="4" t="str">
        <v/>
      </c>
      <c r="F30977" s="102" t="str">
        <f ca="1">IFERROR(__xludf.DUMMYFUNCTION("IMPORTRANGE(H30977,""IDENTITAS UNIT!D9"")"),"#N/A")</f>
        <v>#N/A</v>
      </c>
      <c r="H30977" s="4" t="str">
        <v/>
      </c>
      <c r="I30977" s="4" t="str">
        <v/>
      </c>
    </row>
    <row r="30978" spans="5:9" ht="16.5" hidden="1">
      <c r="E30978" s="4" t="str">
        <v/>
      </c>
      <c r="F30978" s="102" t="str">
        <f ca="1">IFERROR(__xludf.DUMMYFUNCTION("IMPORTRANGE(H30978,""IDENTITAS UNIT!D9"")"),"#N/A")</f>
        <v>#N/A</v>
      </c>
      <c r="H30978" s="4" t="str">
        <v/>
      </c>
      <c r="I30978" s="4" t="str">
        <v/>
      </c>
    </row>
    <row r="30979" spans="5:9" ht="16.5" hidden="1">
      <c r="E30979" s="4" t="str">
        <v/>
      </c>
      <c r="F30979" s="102" t="str">
        <f ca="1">IFERROR(__xludf.DUMMYFUNCTION("IMPORTRANGE(H30979,""IDENTITAS UNIT!D9"")"),"#N/A")</f>
        <v>#N/A</v>
      </c>
      <c r="H30979" s="4" t="str">
        <v/>
      </c>
      <c r="I30979" s="4" t="str">
        <v/>
      </c>
    </row>
    <row r="30980" spans="5:9" ht="16.5" hidden="1">
      <c r="E30980" s="4" t="str">
        <v/>
      </c>
      <c r="F30980" s="102" t="str">
        <f ca="1">IFERROR(__xludf.DUMMYFUNCTION("IMPORTRANGE(H30980,""IDENTITAS UNIT!D9"")"),"#N/A")</f>
        <v>#N/A</v>
      </c>
      <c r="H30980" s="4" t="str">
        <v/>
      </c>
      <c r="I30980" s="4" t="str">
        <v/>
      </c>
    </row>
    <row r="30981" spans="5:9" ht="16.5" hidden="1">
      <c r="E30981" s="4" t="str">
        <v/>
      </c>
      <c r="F30981" s="102" t="str">
        <f ca="1">IFERROR(__xludf.DUMMYFUNCTION("IMPORTRANGE(H30981,""IDENTITAS UNIT!D9"")"),"#N/A")</f>
        <v>#N/A</v>
      </c>
      <c r="H30981" s="4" t="str">
        <v/>
      </c>
      <c r="I30981" s="4" t="str">
        <v/>
      </c>
    </row>
    <row r="30982" spans="5:9" ht="16.5" hidden="1">
      <c r="E30982" s="4" t="str">
        <v/>
      </c>
      <c r="F30982" s="102" t="str">
        <f ca="1">IFERROR(__xludf.DUMMYFUNCTION("IMPORTRANGE(H30982,""IDENTITAS UNIT!D9"")"),"#N/A")</f>
        <v>#N/A</v>
      </c>
      <c r="H30982" s="4" t="str">
        <v/>
      </c>
      <c r="I30982" s="4" t="str">
        <v/>
      </c>
    </row>
    <row r="30983" spans="5:9" ht="16.5" hidden="1">
      <c r="E30983" s="4" t="str">
        <v/>
      </c>
      <c r="F30983" s="102" t="str">
        <f ca="1">IFERROR(__xludf.DUMMYFUNCTION("IMPORTRANGE(H30983,""IDENTITAS UNIT!D9"")"),"#N/A")</f>
        <v>#N/A</v>
      </c>
      <c r="H30983" s="4" t="str">
        <v/>
      </c>
      <c r="I30983" s="4" t="str">
        <v/>
      </c>
    </row>
    <row r="30984" spans="5:9" ht="16.5" hidden="1">
      <c r="E30984" s="4" t="str">
        <v/>
      </c>
      <c r="F30984" s="102" t="str">
        <f ca="1">IFERROR(__xludf.DUMMYFUNCTION("IMPORTRANGE(H30984,""IDENTITAS UNIT!D9"")"),"#N/A")</f>
        <v>#N/A</v>
      </c>
      <c r="H30984" s="4" t="str">
        <v/>
      </c>
      <c r="I30984" s="4" t="str">
        <v/>
      </c>
    </row>
    <row r="30985" spans="5:9" ht="16.5" hidden="1">
      <c r="E30985" s="4" t="str">
        <v/>
      </c>
      <c r="F30985" s="102" t="str">
        <f ca="1">IFERROR(__xludf.DUMMYFUNCTION("IMPORTRANGE(H30985,""IDENTITAS UNIT!D9"")"),"#N/A")</f>
        <v>#N/A</v>
      </c>
      <c r="H30985" s="4" t="str">
        <v/>
      </c>
      <c r="I30985" s="4" t="str">
        <v/>
      </c>
    </row>
    <row r="30986" spans="5:9" ht="16.5" hidden="1">
      <c r="E30986" s="4" t="str">
        <v/>
      </c>
      <c r="F30986" s="102" t="str">
        <f ca="1">IFERROR(__xludf.DUMMYFUNCTION("IMPORTRANGE(H30986,""IDENTITAS UNIT!D9"")"),"#N/A")</f>
        <v>#N/A</v>
      </c>
      <c r="H30986" s="4" t="str">
        <v/>
      </c>
      <c r="I30986" s="4" t="str">
        <v/>
      </c>
    </row>
    <row r="30987" spans="5:9" ht="16.5" hidden="1">
      <c r="E30987" s="4" t="str">
        <v/>
      </c>
      <c r="F30987" s="102" t="str">
        <f ca="1">IFERROR(__xludf.DUMMYFUNCTION("IMPORTRANGE(H30987,""IDENTITAS UNIT!D9"")"),"#N/A")</f>
        <v>#N/A</v>
      </c>
      <c r="H30987" s="4" t="str">
        <v/>
      </c>
      <c r="I30987" s="4" t="str">
        <v/>
      </c>
    </row>
    <row r="30988" spans="5:9" ht="16.5" hidden="1">
      <c r="E30988" s="4" t="str">
        <v/>
      </c>
      <c r="F30988" s="102" t="str">
        <f ca="1">IFERROR(__xludf.DUMMYFUNCTION("IMPORTRANGE(H30988,""IDENTITAS UNIT!D9"")"),"#N/A")</f>
        <v>#N/A</v>
      </c>
      <c r="H30988" s="4" t="str">
        <v/>
      </c>
      <c r="I30988" s="4" t="str">
        <v/>
      </c>
    </row>
    <row r="30989" spans="5:9" ht="16.5" hidden="1">
      <c r="E30989" s="4" t="str">
        <v/>
      </c>
      <c r="F30989" s="102" t="str">
        <f ca="1">IFERROR(__xludf.DUMMYFUNCTION("IMPORTRANGE(H30989,""IDENTITAS UNIT!D9"")"),"#N/A")</f>
        <v>#N/A</v>
      </c>
      <c r="H30989" s="4" t="str">
        <v/>
      </c>
      <c r="I30989" s="4" t="str">
        <v/>
      </c>
    </row>
    <row r="30990" spans="5:9" ht="16.5" hidden="1">
      <c r="E30990" s="4" t="str">
        <v/>
      </c>
      <c r="F30990" s="102" t="str">
        <f ca="1">IFERROR(__xludf.DUMMYFUNCTION("IMPORTRANGE(H30990,""IDENTITAS UNIT!D9"")"),"#N/A")</f>
        <v>#N/A</v>
      </c>
      <c r="H30990" s="4" t="str">
        <v/>
      </c>
      <c r="I30990" s="4" t="str">
        <v/>
      </c>
    </row>
    <row r="30991" spans="5:9" ht="16.5" hidden="1">
      <c r="E30991" s="4" t="str">
        <v/>
      </c>
      <c r="F30991" s="102" t="str">
        <f ca="1">IFERROR(__xludf.DUMMYFUNCTION("IMPORTRANGE(H30991,""IDENTITAS UNIT!D9"")"),"#N/A")</f>
        <v>#N/A</v>
      </c>
      <c r="H30991" s="4" t="str">
        <v/>
      </c>
      <c r="I30991" s="4" t="str">
        <v/>
      </c>
    </row>
    <row r="30992" spans="5:9" ht="16.5" hidden="1">
      <c r="E30992" s="4" t="str">
        <v/>
      </c>
      <c r="F30992" s="102" t="str">
        <f ca="1">IFERROR(__xludf.DUMMYFUNCTION("IMPORTRANGE(H30992,""IDENTITAS UNIT!D9"")"),"#N/A")</f>
        <v>#N/A</v>
      </c>
      <c r="H30992" s="4" t="str">
        <v/>
      </c>
      <c r="I30992" s="4" t="str">
        <v/>
      </c>
    </row>
    <row r="30993" spans="5:9" ht="16.5" hidden="1">
      <c r="E30993" s="4" t="str">
        <v/>
      </c>
      <c r="F30993" s="102" t="str">
        <f ca="1">IFERROR(__xludf.DUMMYFUNCTION("IMPORTRANGE(H30993,""IDENTITAS UNIT!D9"")"),"#N/A")</f>
        <v>#N/A</v>
      </c>
      <c r="H30993" s="4" t="str">
        <v/>
      </c>
      <c r="I30993" s="4" t="str">
        <v/>
      </c>
    </row>
    <row r="30994" spans="5:9" ht="16.5" hidden="1">
      <c r="E30994" s="4" t="str">
        <v/>
      </c>
      <c r="F30994" s="102" t="str">
        <f ca="1">IFERROR(__xludf.DUMMYFUNCTION("IMPORTRANGE(H30994,""IDENTITAS UNIT!D9"")"),"#N/A")</f>
        <v>#N/A</v>
      </c>
      <c r="H30994" s="4" t="str">
        <v/>
      </c>
      <c r="I30994" s="4" t="str">
        <v/>
      </c>
    </row>
    <row r="30995" spans="5:9" ht="16.5" hidden="1">
      <c r="E30995" s="4" t="str">
        <v/>
      </c>
      <c r="F30995" s="102" t="str">
        <f ca="1">IFERROR(__xludf.DUMMYFUNCTION("IMPORTRANGE(H30995,""IDENTITAS UNIT!D9"")"),"#N/A")</f>
        <v>#N/A</v>
      </c>
      <c r="H30995" s="4" t="str">
        <v/>
      </c>
      <c r="I30995" s="4" t="str">
        <v/>
      </c>
    </row>
    <row r="30996" spans="5:9" ht="16.5" hidden="1">
      <c r="E30996" s="4" t="str">
        <v/>
      </c>
      <c r="F30996" s="102" t="str">
        <f ca="1">IFERROR(__xludf.DUMMYFUNCTION("IMPORTRANGE(H30996,""IDENTITAS UNIT!D9"")"),"#N/A")</f>
        <v>#N/A</v>
      </c>
      <c r="H30996" s="4" t="str">
        <v/>
      </c>
      <c r="I30996" s="4" t="str">
        <v/>
      </c>
    </row>
    <row r="30997" spans="5:9" ht="16.5" hidden="1">
      <c r="E30997" s="4" t="str">
        <v/>
      </c>
      <c r="F30997" s="102" t="str">
        <f ca="1">IFERROR(__xludf.DUMMYFUNCTION("IMPORTRANGE(H30997,""IDENTITAS UNIT!D9"")"),"#N/A")</f>
        <v>#N/A</v>
      </c>
      <c r="H30997" s="4" t="str">
        <v/>
      </c>
      <c r="I30997" s="4" t="str">
        <v/>
      </c>
    </row>
    <row r="30998" spans="5:9" ht="16.5" hidden="1">
      <c r="E30998" s="4" t="str">
        <v/>
      </c>
      <c r="F30998" s="102" t="str">
        <f ca="1">IFERROR(__xludf.DUMMYFUNCTION("IMPORTRANGE(H30998,""IDENTITAS UNIT!D9"")"),"#N/A")</f>
        <v>#N/A</v>
      </c>
      <c r="H30998" s="4" t="str">
        <v/>
      </c>
      <c r="I30998" s="4" t="str">
        <v/>
      </c>
    </row>
    <row r="30999" spans="5:9" ht="16.5" hidden="1">
      <c r="E30999" s="4" t="str">
        <v/>
      </c>
      <c r="F30999" s="102" t="str">
        <f ca="1">IFERROR(__xludf.DUMMYFUNCTION("IMPORTRANGE(H30999,""IDENTITAS UNIT!D9"")"),"#N/A")</f>
        <v>#N/A</v>
      </c>
      <c r="H30999" s="4" t="str">
        <v/>
      </c>
      <c r="I30999" s="4" t="str">
        <v/>
      </c>
    </row>
    <row r="31000" spans="5:9" ht="16.5" hidden="1">
      <c r="E31000" s="4" t="str">
        <v/>
      </c>
      <c r="F31000" s="102" t="str">
        <f ca="1">IFERROR(__xludf.DUMMYFUNCTION("IMPORTRANGE(H31000,""IDENTITAS UNIT!D9"")"),"#N/A")</f>
        <v>#N/A</v>
      </c>
      <c r="H31000" s="4" t="str">
        <v/>
      </c>
      <c r="I31000" s="4" t="str">
        <v/>
      </c>
    </row>
    <row r="31001" spans="5:9" ht="16.5" hidden="1">
      <c r="E31001" s="4" t="str">
        <v/>
      </c>
      <c r="F31001" s="102" t="str">
        <f ca="1">IFERROR(__xludf.DUMMYFUNCTION("IMPORTRANGE(H31001,""IDENTITAS UNIT!D9"")"),"#N/A")</f>
        <v>#N/A</v>
      </c>
      <c r="H31001" s="4" t="str">
        <v/>
      </c>
      <c r="I31001" s="4" t="str">
        <v/>
      </c>
    </row>
    <row r="31002" spans="5:9" ht="16.5" hidden="1">
      <c r="E31002" s="4" t="str">
        <v/>
      </c>
      <c r="F31002" s="102" t="str">
        <f ca="1">IFERROR(__xludf.DUMMYFUNCTION("IMPORTRANGE(H31002,""IDENTITAS UNIT!D9"")"),"#N/A")</f>
        <v>#N/A</v>
      </c>
      <c r="H31002" s="4" t="str">
        <v/>
      </c>
      <c r="I31002" s="4" t="str">
        <v/>
      </c>
    </row>
    <row r="31003" spans="5:9" ht="16.5" hidden="1">
      <c r="E31003" s="4" t="str">
        <v/>
      </c>
      <c r="F31003" s="102" t="str">
        <f ca="1">IFERROR(__xludf.DUMMYFUNCTION("IMPORTRANGE(H31003,""IDENTITAS UNIT!D9"")"),"#N/A")</f>
        <v>#N/A</v>
      </c>
      <c r="H31003" s="4" t="str">
        <v/>
      </c>
      <c r="I31003" s="4" t="str">
        <v/>
      </c>
    </row>
    <row r="31004" spans="5:9" ht="16.5" hidden="1">
      <c r="E31004" s="4" t="str">
        <v/>
      </c>
      <c r="F31004" s="102" t="str">
        <f ca="1">IFERROR(__xludf.DUMMYFUNCTION("IMPORTRANGE(H31004,""IDENTITAS UNIT!D9"")"),"#N/A")</f>
        <v>#N/A</v>
      </c>
      <c r="H31004" s="4" t="str">
        <v/>
      </c>
      <c r="I31004" s="4" t="str">
        <v/>
      </c>
    </row>
    <row r="31005" spans="5:9" ht="16.5" hidden="1">
      <c r="E31005" s="4" t="str">
        <v/>
      </c>
      <c r="F31005" s="102" t="str">
        <f ca="1">IFERROR(__xludf.DUMMYFUNCTION("IMPORTRANGE(H31005,""IDENTITAS UNIT!D9"")"),"#N/A")</f>
        <v>#N/A</v>
      </c>
      <c r="H31005" s="4" t="str">
        <v/>
      </c>
      <c r="I31005" s="4" t="str">
        <v/>
      </c>
    </row>
    <row r="31006" spans="5:9" ht="16.5" hidden="1">
      <c r="E31006" s="4" t="str">
        <v/>
      </c>
      <c r="F31006" s="102" t="str">
        <f ca="1">IFERROR(__xludf.DUMMYFUNCTION("IMPORTRANGE(H31006,""IDENTITAS UNIT!D9"")"),"#N/A")</f>
        <v>#N/A</v>
      </c>
      <c r="H31006" s="4" t="str">
        <v/>
      </c>
      <c r="I31006" s="4" t="str">
        <v/>
      </c>
    </row>
    <row r="31007" spans="5:9" ht="16.5" hidden="1">
      <c r="E31007" s="4" t="str">
        <v/>
      </c>
      <c r="F31007" s="102" t="str">
        <f ca="1">IFERROR(__xludf.DUMMYFUNCTION("IMPORTRANGE(H31007,""IDENTITAS UNIT!D9"")"),"#N/A")</f>
        <v>#N/A</v>
      </c>
      <c r="H31007" s="4" t="str">
        <v/>
      </c>
      <c r="I31007" s="4" t="str">
        <v/>
      </c>
    </row>
    <row r="31008" spans="5:9" ht="16.5" hidden="1">
      <c r="E31008" s="4" t="str">
        <v/>
      </c>
      <c r="F31008" s="102" t="str">
        <f ca="1">IFERROR(__xludf.DUMMYFUNCTION("IMPORTRANGE(H31008,""IDENTITAS UNIT!D9"")"),"#N/A")</f>
        <v>#N/A</v>
      </c>
      <c r="H31008" s="4" t="str">
        <v/>
      </c>
      <c r="I31008" s="4" t="str">
        <v/>
      </c>
    </row>
    <row r="31009" spans="5:9" ht="16.5" hidden="1">
      <c r="E31009" s="4" t="str">
        <v/>
      </c>
      <c r="F31009" s="102" t="str">
        <f ca="1">IFERROR(__xludf.DUMMYFUNCTION("IMPORTRANGE(H31009,""IDENTITAS UNIT!D9"")"),"#N/A")</f>
        <v>#N/A</v>
      </c>
      <c r="H31009" s="4" t="str">
        <v/>
      </c>
      <c r="I31009" s="4" t="str">
        <v/>
      </c>
    </row>
    <row r="31010" spans="5:9" ht="16.5" hidden="1">
      <c r="E31010" s="4" t="str">
        <v/>
      </c>
      <c r="F31010" s="102" t="str">
        <f ca="1">IFERROR(__xludf.DUMMYFUNCTION("IMPORTRANGE(H31010,""IDENTITAS UNIT!D9"")"),"#N/A")</f>
        <v>#N/A</v>
      </c>
      <c r="H31010" s="4" t="str">
        <v/>
      </c>
      <c r="I31010" s="4" t="str">
        <v/>
      </c>
    </row>
    <row r="31011" spans="5:9" ht="16.5" hidden="1">
      <c r="E31011" s="4" t="str">
        <v/>
      </c>
      <c r="F31011" s="102" t="str">
        <f ca="1">IFERROR(__xludf.DUMMYFUNCTION("IMPORTRANGE(H31011,""IDENTITAS UNIT!D9"")"),"#N/A")</f>
        <v>#N/A</v>
      </c>
      <c r="H31011" s="4" t="str">
        <v/>
      </c>
      <c r="I31011" s="4" t="str">
        <v/>
      </c>
    </row>
    <row r="31012" spans="5:9" ht="16.5" hidden="1">
      <c r="E31012" s="4" t="str">
        <v/>
      </c>
      <c r="F31012" s="102" t="str">
        <f ca="1">IFERROR(__xludf.DUMMYFUNCTION("IMPORTRANGE(H31012,""IDENTITAS UNIT!D9"")"),"#N/A")</f>
        <v>#N/A</v>
      </c>
      <c r="H31012" s="4" t="str">
        <v/>
      </c>
      <c r="I31012" s="4" t="str">
        <v/>
      </c>
    </row>
    <row r="31013" spans="5:9" ht="16.5" hidden="1">
      <c r="E31013" s="4" t="str">
        <v/>
      </c>
      <c r="F31013" s="102" t="str">
        <f ca="1">IFERROR(__xludf.DUMMYFUNCTION("IMPORTRANGE(H31013,""IDENTITAS UNIT!D9"")"),"#N/A")</f>
        <v>#N/A</v>
      </c>
      <c r="H31013" s="4" t="str">
        <v/>
      </c>
      <c r="I31013" s="4" t="str">
        <v/>
      </c>
    </row>
    <row r="31014" spans="5:9" ht="16.5" hidden="1">
      <c r="E31014" s="4" t="str">
        <v/>
      </c>
      <c r="F31014" s="102" t="str">
        <f ca="1">IFERROR(__xludf.DUMMYFUNCTION("IMPORTRANGE(H31014,""IDENTITAS UNIT!D9"")"),"#N/A")</f>
        <v>#N/A</v>
      </c>
      <c r="H31014" s="4" t="str">
        <v/>
      </c>
      <c r="I31014" s="4" t="str">
        <v/>
      </c>
    </row>
    <row r="31015" spans="5:9" ht="16.5" hidden="1">
      <c r="E31015" s="4" t="str">
        <v/>
      </c>
      <c r="F31015" s="102" t="str">
        <f ca="1">IFERROR(__xludf.DUMMYFUNCTION("IMPORTRANGE(H31015,""IDENTITAS UNIT!D9"")"),"#N/A")</f>
        <v>#N/A</v>
      </c>
      <c r="H31015" s="4" t="str">
        <v/>
      </c>
      <c r="I31015" s="4" t="str">
        <v/>
      </c>
    </row>
    <row r="31016" spans="5:9" ht="16.5" hidden="1">
      <c r="E31016" s="4" t="str">
        <v/>
      </c>
      <c r="F31016" s="102" t="str">
        <f ca="1">IFERROR(__xludf.DUMMYFUNCTION("IMPORTRANGE(H31016,""IDENTITAS UNIT!D9"")"),"#N/A")</f>
        <v>#N/A</v>
      </c>
      <c r="H31016" s="4" t="str">
        <v/>
      </c>
      <c r="I31016" s="4" t="str">
        <v/>
      </c>
    </row>
    <row r="31017" spans="5:9" ht="16.5" hidden="1">
      <c r="E31017" s="4" t="str">
        <v/>
      </c>
      <c r="F31017" s="102" t="str">
        <f ca="1">IFERROR(__xludf.DUMMYFUNCTION("IMPORTRANGE(H31017,""IDENTITAS UNIT!D9"")"),"#N/A")</f>
        <v>#N/A</v>
      </c>
      <c r="H31017" s="4" t="str">
        <v/>
      </c>
      <c r="I31017" s="4" t="str">
        <v/>
      </c>
    </row>
    <row r="31018" spans="5:9" ht="16.5" hidden="1">
      <c r="E31018" s="4" t="str">
        <v/>
      </c>
      <c r="F31018" s="102" t="str">
        <f ca="1">IFERROR(__xludf.DUMMYFUNCTION("IMPORTRANGE(H31018,""IDENTITAS UNIT!D9"")"),"#N/A")</f>
        <v>#N/A</v>
      </c>
      <c r="H31018" s="4" t="str">
        <v/>
      </c>
      <c r="I31018" s="4" t="str">
        <v/>
      </c>
    </row>
    <row r="31019" spans="5:9" ht="16.5" hidden="1">
      <c r="E31019" s="4" t="str">
        <v/>
      </c>
      <c r="F31019" s="102" t="str">
        <f ca="1">IFERROR(__xludf.DUMMYFUNCTION("IMPORTRANGE(H31019,""IDENTITAS UNIT!D9"")"),"#N/A")</f>
        <v>#N/A</v>
      </c>
      <c r="H31019" s="4" t="str">
        <v/>
      </c>
      <c r="I31019" s="4" t="str">
        <v/>
      </c>
    </row>
    <row r="31020" spans="5:9" ht="16.5" hidden="1">
      <c r="E31020" s="4" t="str">
        <v/>
      </c>
      <c r="F31020" s="102" t="str">
        <f ca="1">IFERROR(__xludf.DUMMYFUNCTION("IMPORTRANGE(H31020,""IDENTITAS UNIT!D9"")"),"#N/A")</f>
        <v>#N/A</v>
      </c>
      <c r="H31020" s="4" t="str">
        <v/>
      </c>
      <c r="I31020" s="4" t="str">
        <v/>
      </c>
    </row>
    <row r="31021" spans="5:9" ht="16.5" hidden="1">
      <c r="E31021" s="4" t="str">
        <v/>
      </c>
      <c r="F31021" s="102" t="str">
        <f ca="1">IFERROR(__xludf.DUMMYFUNCTION("IMPORTRANGE(H31021,""IDENTITAS UNIT!D9"")"),"#N/A")</f>
        <v>#N/A</v>
      </c>
      <c r="H31021" s="4" t="str">
        <v/>
      </c>
      <c r="I31021" s="4" t="str">
        <v/>
      </c>
    </row>
    <row r="31022" spans="5:9" ht="16.5" hidden="1">
      <c r="E31022" s="4" t="str">
        <v/>
      </c>
      <c r="F31022" s="102" t="str">
        <f ca="1">IFERROR(__xludf.DUMMYFUNCTION("IMPORTRANGE(H31022,""IDENTITAS UNIT!D9"")"),"#N/A")</f>
        <v>#N/A</v>
      </c>
      <c r="H31022" s="4" t="str">
        <v/>
      </c>
      <c r="I31022" s="4" t="str">
        <v/>
      </c>
    </row>
    <row r="31023" spans="5:9" ht="16.5" hidden="1">
      <c r="E31023" s="4" t="str">
        <v/>
      </c>
      <c r="F31023" s="102" t="str">
        <f ca="1">IFERROR(__xludf.DUMMYFUNCTION("IMPORTRANGE(H31023,""IDENTITAS UNIT!D9"")"),"#N/A")</f>
        <v>#N/A</v>
      </c>
      <c r="H31023" s="4" t="str">
        <v/>
      </c>
      <c r="I31023" s="4" t="str">
        <v/>
      </c>
    </row>
    <row r="31024" spans="5:9" ht="16.5" hidden="1">
      <c r="E31024" s="4" t="str">
        <v/>
      </c>
      <c r="F31024" s="102" t="str">
        <f ca="1">IFERROR(__xludf.DUMMYFUNCTION("IMPORTRANGE(H31024,""IDENTITAS UNIT!D9"")"),"#N/A")</f>
        <v>#N/A</v>
      </c>
      <c r="H31024" s="4" t="str">
        <v/>
      </c>
      <c r="I31024" s="4" t="str">
        <v/>
      </c>
    </row>
    <row r="31025" spans="5:9" ht="16.5" hidden="1">
      <c r="E31025" s="4" t="str">
        <v/>
      </c>
      <c r="F31025" s="102" t="str">
        <f ca="1">IFERROR(__xludf.DUMMYFUNCTION("IMPORTRANGE(H31025,""IDENTITAS UNIT!D9"")"),"#N/A")</f>
        <v>#N/A</v>
      </c>
      <c r="H31025" s="4" t="str">
        <v/>
      </c>
      <c r="I31025" s="4" t="str">
        <v/>
      </c>
    </row>
    <row r="31026" spans="5:9" ht="16.5" hidden="1">
      <c r="E31026" s="4" t="str">
        <v/>
      </c>
      <c r="F31026" s="102" t="str">
        <f ca="1">IFERROR(__xludf.DUMMYFUNCTION("IMPORTRANGE(H31026,""IDENTITAS UNIT!D9"")"),"#N/A")</f>
        <v>#N/A</v>
      </c>
      <c r="H31026" s="4" t="str">
        <v/>
      </c>
      <c r="I31026" s="4" t="str">
        <v/>
      </c>
    </row>
    <row r="31027" spans="5:9" ht="16.5" hidden="1">
      <c r="E31027" s="4" t="str">
        <v/>
      </c>
      <c r="F31027" s="102" t="str">
        <f ca="1">IFERROR(__xludf.DUMMYFUNCTION("IMPORTRANGE(H31027,""IDENTITAS UNIT!D9"")"),"#N/A")</f>
        <v>#N/A</v>
      </c>
      <c r="H31027" s="4" t="str">
        <v/>
      </c>
      <c r="I31027" s="4" t="str">
        <v/>
      </c>
    </row>
    <row r="31028" spans="5:9" ht="16.5" hidden="1">
      <c r="E31028" s="4" t="str">
        <v/>
      </c>
      <c r="F31028" s="102" t="str">
        <f ca="1">IFERROR(__xludf.DUMMYFUNCTION("IMPORTRANGE(H31028,""IDENTITAS UNIT!D9"")"),"#N/A")</f>
        <v>#N/A</v>
      </c>
      <c r="H31028" s="4" t="str">
        <v/>
      </c>
      <c r="I31028" s="4" t="str">
        <v/>
      </c>
    </row>
    <row r="31029" spans="5:9" ht="16.5" hidden="1">
      <c r="E31029" s="4" t="str">
        <v/>
      </c>
      <c r="F31029" s="102" t="str">
        <f ca="1">IFERROR(__xludf.DUMMYFUNCTION("IMPORTRANGE(H31029,""IDENTITAS UNIT!D9"")"),"#N/A")</f>
        <v>#N/A</v>
      </c>
      <c r="H31029" s="4" t="str">
        <v/>
      </c>
      <c r="I31029" s="4" t="str">
        <v/>
      </c>
    </row>
    <row r="31030" spans="5:9" ht="16.5" hidden="1">
      <c r="E31030" s="4" t="str">
        <v/>
      </c>
      <c r="F31030" s="102" t="str">
        <f ca="1">IFERROR(__xludf.DUMMYFUNCTION("IMPORTRANGE(H31030,""IDENTITAS UNIT!D9"")"),"#N/A")</f>
        <v>#N/A</v>
      </c>
      <c r="H31030" s="4" t="str">
        <v/>
      </c>
      <c r="I31030" s="4" t="str">
        <v/>
      </c>
    </row>
    <row r="31031" spans="5:9" ht="16.5" hidden="1">
      <c r="E31031" s="4" t="str">
        <v/>
      </c>
      <c r="F31031" s="102" t="str">
        <f ca="1">IFERROR(__xludf.DUMMYFUNCTION("IMPORTRANGE(H31031,""IDENTITAS UNIT!D9"")"),"#N/A")</f>
        <v>#N/A</v>
      </c>
      <c r="H31031" s="4" t="str">
        <v/>
      </c>
      <c r="I31031" s="4" t="str">
        <v/>
      </c>
    </row>
    <row r="31032" spans="5:9" ht="16.5" hidden="1">
      <c r="E31032" s="4" t="str">
        <v/>
      </c>
      <c r="F31032" s="102" t="str">
        <f ca="1">IFERROR(__xludf.DUMMYFUNCTION("IMPORTRANGE(H31032,""IDENTITAS UNIT!D9"")"),"#N/A")</f>
        <v>#N/A</v>
      </c>
      <c r="H31032" s="4" t="str">
        <v/>
      </c>
      <c r="I31032" s="4" t="str">
        <v/>
      </c>
    </row>
    <row r="31033" spans="5:9" ht="16.5" hidden="1">
      <c r="E31033" s="4" t="str">
        <v/>
      </c>
      <c r="F31033" s="102" t="str">
        <f ca="1">IFERROR(__xludf.DUMMYFUNCTION("IMPORTRANGE(H31033,""IDENTITAS UNIT!D9"")"),"#N/A")</f>
        <v>#N/A</v>
      </c>
      <c r="H31033" s="4" t="str">
        <v/>
      </c>
      <c r="I31033" s="4" t="str">
        <v/>
      </c>
    </row>
    <row r="31034" spans="5:9" ht="16.5" hidden="1">
      <c r="E31034" s="4" t="str">
        <v/>
      </c>
      <c r="F31034" s="102" t="str">
        <f ca="1">IFERROR(__xludf.DUMMYFUNCTION("IMPORTRANGE(H31034,""IDENTITAS UNIT!D9"")"),"#N/A")</f>
        <v>#N/A</v>
      </c>
      <c r="H31034" s="4" t="str">
        <v/>
      </c>
      <c r="I31034" s="4" t="str">
        <v/>
      </c>
    </row>
    <row r="31035" spans="5:9" ht="16.5" hidden="1">
      <c r="E31035" s="4" t="str">
        <v/>
      </c>
      <c r="F31035" s="102" t="str">
        <f ca="1">IFERROR(__xludf.DUMMYFUNCTION("IMPORTRANGE(H31035,""IDENTITAS UNIT!D9"")"),"#N/A")</f>
        <v>#N/A</v>
      </c>
      <c r="H31035" s="4" t="str">
        <v/>
      </c>
      <c r="I31035" s="4" t="str">
        <v/>
      </c>
    </row>
    <row r="31036" spans="5:9" ht="16.5" hidden="1">
      <c r="E31036" s="4" t="str">
        <v/>
      </c>
      <c r="F31036" s="102" t="str">
        <f ca="1">IFERROR(__xludf.DUMMYFUNCTION("IMPORTRANGE(H31036,""IDENTITAS UNIT!D9"")"),"#N/A")</f>
        <v>#N/A</v>
      </c>
      <c r="H31036" s="4" t="str">
        <v/>
      </c>
      <c r="I31036" s="4" t="str">
        <v/>
      </c>
    </row>
    <row r="31037" spans="5:9" ht="16.5" hidden="1">
      <c r="E31037" s="4" t="str">
        <v/>
      </c>
      <c r="F31037" s="102" t="str">
        <f ca="1">IFERROR(__xludf.DUMMYFUNCTION("IMPORTRANGE(H31037,""IDENTITAS UNIT!D9"")"),"#N/A")</f>
        <v>#N/A</v>
      </c>
      <c r="H31037" s="4" t="str">
        <v/>
      </c>
      <c r="I31037" s="4" t="str">
        <v/>
      </c>
    </row>
    <row r="31038" spans="5:9" ht="16.5" hidden="1">
      <c r="E31038" s="4" t="str">
        <v/>
      </c>
      <c r="F31038" s="102" t="str">
        <f ca="1">IFERROR(__xludf.DUMMYFUNCTION("IMPORTRANGE(H31038,""IDENTITAS UNIT!D9"")"),"#N/A")</f>
        <v>#N/A</v>
      </c>
      <c r="H31038" s="4" t="str">
        <v/>
      </c>
      <c r="I31038" s="4" t="str">
        <v/>
      </c>
    </row>
    <row r="31039" spans="5:9" ht="16.5" hidden="1">
      <c r="E31039" s="4" t="str">
        <v/>
      </c>
      <c r="F31039" s="102" t="str">
        <f ca="1">IFERROR(__xludf.DUMMYFUNCTION("IMPORTRANGE(H31039,""IDENTITAS UNIT!D9"")"),"#N/A")</f>
        <v>#N/A</v>
      </c>
      <c r="H31039" s="4" t="str">
        <v/>
      </c>
      <c r="I31039" s="4" t="str">
        <v/>
      </c>
    </row>
    <row r="31040" spans="5:9" ht="16.5" hidden="1">
      <c r="E31040" s="4" t="str">
        <v/>
      </c>
      <c r="F31040" s="102" t="str">
        <f ca="1">IFERROR(__xludf.DUMMYFUNCTION("IMPORTRANGE(H31040,""IDENTITAS UNIT!D9"")"),"#N/A")</f>
        <v>#N/A</v>
      </c>
      <c r="H31040" s="4" t="str">
        <v/>
      </c>
      <c r="I31040" s="4" t="str">
        <v/>
      </c>
    </row>
    <row r="31041" spans="5:9" ht="16.5" hidden="1">
      <c r="E31041" s="4" t="str">
        <v/>
      </c>
      <c r="F31041" s="102" t="str">
        <f ca="1">IFERROR(__xludf.DUMMYFUNCTION("IMPORTRANGE(H31041,""IDENTITAS UNIT!D9"")"),"#N/A")</f>
        <v>#N/A</v>
      </c>
      <c r="H31041" s="4" t="str">
        <v/>
      </c>
      <c r="I31041" s="4" t="str">
        <v/>
      </c>
    </row>
    <row r="31042" spans="5:9" ht="16.5" hidden="1">
      <c r="E31042" s="4" t="str">
        <v/>
      </c>
      <c r="F31042" s="102" t="str">
        <f ca="1">IFERROR(__xludf.DUMMYFUNCTION("IMPORTRANGE(H31042,""IDENTITAS UNIT!D9"")"),"#N/A")</f>
        <v>#N/A</v>
      </c>
      <c r="H31042" s="4" t="str">
        <v/>
      </c>
      <c r="I31042" s="4" t="str">
        <v/>
      </c>
    </row>
    <row r="31043" spans="5:9" ht="16.5" hidden="1">
      <c r="E31043" s="4" t="str">
        <v/>
      </c>
      <c r="F31043" s="102" t="str">
        <f ca="1">IFERROR(__xludf.DUMMYFUNCTION("IMPORTRANGE(H31043,""IDENTITAS UNIT!D9"")"),"#N/A")</f>
        <v>#N/A</v>
      </c>
      <c r="H31043" s="4" t="str">
        <v/>
      </c>
      <c r="I31043" s="4" t="str">
        <v/>
      </c>
    </row>
    <row r="31044" spans="5:9" ht="16.5" hidden="1">
      <c r="E31044" s="4" t="str">
        <v/>
      </c>
      <c r="F31044" s="102" t="str">
        <f ca="1">IFERROR(__xludf.DUMMYFUNCTION("IMPORTRANGE(H31044,""IDENTITAS UNIT!D9"")"),"#N/A")</f>
        <v>#N/A</v>
      </c>
      <c r="H31044" s="4" t="str">
        <v/>
      </c>
      <c r="I31044" s="4" t="str">
        <v/>
      </c>
    </row>
    <row r="31045" spans="5:9" ht="16.5" hidden="1">
      <c r="E31045" s="4" t="str">
        <v/>
      </c>
      <c r="F31045" s="102" t="str">
        <f ca="1">IFERROR(__xludf.DUMMYFUNCTION("IMPORTRANGE(H31045,""IDENTITAS UNIT!D9"")"),"#N/A")</f>
        <v>#N/A</v>
      </c>
      <c r="H31045" s="4" t="str">
        <v/>
      </c>
      <c r="I31045" s="4" t="str">
        <v/>
      </c>
    </row>
    <row r="31046" spans="5:9" ht="16.5" hidden="1">
      <c r="E31046" s="4" t="str">
        <v/>
      </c>
      <c r="F31046" s="102" t="str">
        <f ca="1">IFERROR(__xludf.DUMMYFUNCTION("IMPORTRANGE(H31046,""IDENTITAS UNIT!D9"")"),"#N/A")</f>
        <v>#N/A</v>
      </c>
      <c r="H31046" s="4" t="str">
        <v/>
      </c>
      <c r="I31046" s="4" t="str">
        <v/>
      </c>
    </row>
    <row r="31047" spans="5:9" ht="16.5" hidden="1">
      <c r="E31047" s="4" t="str">
        <v/>
      </c>
      <c r="F31047" s="102" t="str">
        <f ca="1">IFERROR(__xludf.DUMMYFUNCTION("IMPORTRANGE(H31047,""IDENTITAS UNIT!D9"")"),"#N/A")</f>
        <v>#N/A</v>
      </c>
      <c r="H31047" s="4" t="str">
        <v/>
      </c>
      <c r="I31047" s="4" t="str">
        <v/>
      </c>
    </row>
    <row r="31048" spans="5:9" ht="16.5" hidden="1">
      <c r="E31048" s="4" t="str">
        <v/>
      </c>
      <c r="F31048" s="102" t="str">
        <f ca="1">IFERROR(__xludf.DUMMYFUNCTION("IMPORTRANGE(H31048,""IDENTITAS UNIT!D9"")"),"#N/A")</f>
        <v>#N/A</v>
      </c>
      <c r="H31048" s="4" t="str">
        <v/>
      </c>
      <c r="I31048" s="4" t="str">
        <v/>
      </c>
    </row>
    <row r="31049" spans="5:9" ht="16.5" hidden="1">
      <c r="E31049" s="4" t="str">
        <v/>
      </c>
      <c r="F31049" s="102" t="str">
        <f ca="1">IFERROR(__xludf.DUMMYFUNCTION("IMPORTRANGE(H31049,""IDENTITAS UNIT!D9"")"),"#N/A")</f>
        <v>#N/A</v>
      </c>
      <c r="H31049" s="4" t="str">
        <v/>
      </c>
      <c r="I31049" s="4" t="str">
        <v/>
      </c>
    </row>
    <row r="31050" spans="5:9" ht="16.5" hidden="1">
      <c r="E31050" s="4" t="str">
        <v/>
      </c>
      <c r="F31050" s="102" t="str">
        <f ca="1">IFERROR(__xludf.DUMMYFUNCTION("IMPORTRANGE(H31050,""IDENTITAS UNIT!D9"")"),"#N/A")</f>
        <v>#N/A</v>
      </c>
      <c r="H31050" s="4" t="str">
        <v/>
      </c>
      <c r="I31050" s="4" t="str">
        <v/>
      </c>
    </row>
    <row r="31051" spans="5:9" ht="16.5" hidden="1">
      <c r="E31051" s="4" t="str">
        <v/>
      </c>
      <c r="F31051" s="102" t="str">
        <f ca="1">IFERROR(__xludf.DUMMYFUNCTION("IMPORTRANGE(H31051,""IDENTITAS UNIT!D9"")"),"#N/A")</f>
        <v>#N/A</v>
      </c>
      <c r="H31051" s="4" t="str">
        <v/>
      </c>
      <c r="I31051" s="4" t="str">
        <v/>
      </c>
    </row>
    <row r="31052" spans="5:9" ht="16.5" hidden="1">
      <c r="E31052" s="4" t="str">
        <v/>
      </c>
      <c r="F31052" s="102" t="str">
        <f ca="1">IFERROR(__xludf.DUMMYFUNCTION("IMPORTRANGE(H31052,""IDENTITAS UNIT!D9"")"),"#N/A")</f>
        <v>#N/A</v>
      </c>
      <c r="H31052" s="4" t="str">
        <v/>
      </c>
      <c r="I31052" s="4" t="str">
        <v/>
      </c>
    </row>
    <row r="31053" spans="5:9" ht="16.5" hidden="1">
      <c r="E31053" s="4" t="str">
        <v/>
      </c>
      <c r="F31053" s="102" t="str">
        <f ca="1">IFERROR(__xludf.DUMMYFUNCTION("IMPORTRANGE(H31053,""IDENTITAS UNIT!D9"")"),"#N/A")</f>
        <v>#N/A</v>
      </c>
      <c r="H31053" s="4" t="str">
        <v/>
      </c>
      <c r="I31053" s="4" t="str">
        <v/>
      </c>
    </row>
    <row r="31054" spans="5:9" ht="16.5" hidden="1">
      <c r="E31054" s="4" t="str">
        <v/>
      </c>
      <c r="F31054" s="102" t="str">
        <f ca="1">IFERROR(__xludf.DUMMYFUNCTION("IMPORTRANGE(H31054,""IDENTITAS UNIT!D9"")"),"#N/A")</f>
        <v>#N/A</v>
      </c>
      <c r="H31054" s="4" t="str">
        <v/>
      </c>
      <c r="I31054" s="4" t="str">
        <v/>
      </c>
    </row>
    <row r="31055" spans="5:9" ht="16.5" hidden="1">
      <c r="E31055" s="4" t="str">
        <v/>
      </c>
      <c r="F31055" s="102" t="str">
        <f ca="1">IFERROR(__xludf.DUMMYFUNCTION("IMPORTRANGE(H31055,""IDENTITAS UNIT!D9"")"),"#N/A")</f>
        <v>#N/A</v>
      </c>
      <c r="H31055" s="4" t="str">
        <v/>
      </c>
      <c r="I31055" s="4" t="str">
        <v/>
      </c>
    </row>
    <row r="31056" spans="5:9" ht="16.5" hidden="1">
      <c r="E31056" s="4" t="str">
        <v/>
      </c>
      <c r="F31056" s="102" t="str">
        <f ca="1">IFERROR(__xludf.DUMMYFUNCTION("IMPORTRANGE(H31056,""IDENTITAS UNIT!D9"")"),"#N/A")</f>
        <v>#N/A</v>
      </c>
      <c r="H31056" s="4" t="str">
        <v/>
      </c>
      <c r="I31056" s="4" t="str">
        <v/>
      </c>
    </row>
    <row r="31057" spans="5:9" ht="16.5" hidden="1">
      <c r="E31057" s="4" t="str">
        <v/>
      </c>
      <c r="F31057" s="102" t="str">
        <f ca="1">IFERROR(__xludf.DUMMYFUNCTION("IMPORTRANGE(H31057,""IDENTITAS UNIT!D9"")"),"#N/A")</f>
        <v>#N/A</v>
      </c>
      <c r="H31057" s="4" t="str">
        <v/>
      </c>
      <c r="I31057" s="4" t="str">
        <v/>
      </c>
    </row>
    <row r="31058" spans="5:9" ht="16.5" hidden="1">
      <c r="E31058" s="4" t="str">
        <v/>
      </c>
      <c r="F31058" s="102" t="str">
        <f ca="1">IFERROR(__xludf.DUMMYFUNCTION("IMPORTRANGE(H31058,""IDENTITAS UNIT!D9"")"),"#N/A")</f>
        <v>#N/A</v>
      </c>
      <c r="H31058" s="4" t="str">
        <v/>
      </c>
      <c r="I31058" s="4" t="str">
        <v/>
      </c>
    </row>
    <row r="31059" spans="5:9" ht="16.5" hidden="1">
      <c r="E31059" s="4" t="str">
        <v/>
      </c>
      <c r="F31059" s="102" t="str">
        <f ca="1">IFERROR(__xludf.DUMMYFUNCTION("IMPORTRANGE(H31059,""IDENTITAS UNIT!D9"")"),"#N/A")</f>
        <v>#N/A</v>
      </c>
      <c r="H31059" s="4" t="str">
        <v/>
      </c>
      <c r="I31059" s="4" t="str">
        <v/>
      </c>
    </row>
    <row r="31060" spans="5:9" ht="16.5" hidden="1">
      <c r="E31060" s="4" t="str">
        <v/>
      </c>
      <c r="F31060" s="102" t="str">
        <f ca="1">IFERROR(__xludf.DUMMYFUNCTION("IMPORTRANGE(H31060,""IDENTITAS UNIT!D9"")"),"#N/A")</f>
        <v>#N/A</v>
      </c>
      <c r="H31060" s="4" t="str">
        <v/>
      </c>
      <c r="I31060" s="4" t="str">
        <v/>
      </c>
    </row>
    <row r="31061" spans="5:9" ht="16.5" hidden="1">
      <c r="E31061" s="4" t="str">
        <v/>
      </c>
      <c r="F31061" s="102" t="str">
        <f ca="1">IFERROR(__xludf.DUMMYFUNCTION("IMPORTRANGE(H31061,""IDENTITAS UNIT!D9"")"),"#N/A")</f>
        <v>#N/A</v>
      </c>
      <c r="H31061" s="4" t="str">
        <v/>
      </c>
      <c r="I31061" s="4" t="str">
        <v/>
      </c>
    </row>
    <row r="31062" spans="5:9" ht="16.5" hidden="1">
      <c r="E31062" s="4" t="str">
        <v/>
      </c>
      <c r="F31062" s="102" t="str">
        <f ca="1">IFERROR(__xludf.DUMMYFUNCTION("IMPORTRANGE(H31062,""IDENTITAS UNIT!D9"")"),"#N/A")</f>
        <v>#N/A</v>
      </c>
      <c r="H31062" s="4" t="str">
        <v/>
      </c>
      <c r="I31062" s="4" t="str">
        <v/>
      </c>
    </row>
    <row r="31063" spans="5:9" ht="16.5" hidden="1">
      <c r="E31063" s="4" t="str">
        <v/>
      </c>
      <c r="F31063" s="102" t="str">
        <f ca="1">IFERROR(__xludf.DUMMYFUNCTION("IMPORTRANGE(H31063,""IDENTITAS UNIT!D9"")"),"#N/A")</f>
        <v>#N/A</v>
      </c>
      <c r="H31063" s="4" t="str">
        <v/>
      </c>
      <c r="I31063" s="4" t="str">
        <v/>
      </c>
    </row>
    <row r="31064" spans="5:9" ht="16.5" hidden="1">
      <c r="E31064" s="4" t="str">
        <v/>
      </c>
      <c r="F31064" s="102" t="str">
        <f ca="1">IFERROR(__xludf.DUMMYFUNCTION("IMPORTRANGE(H31064,""IDENTITAS UNIT!D9"")"),"#N/A")</f>
        <v>#N/A</v>
      </c>
      <c r="H31064" s="4" t="str">
        <v/>
      </c>
      <c r="I31064" s="4" t="str">
        <v/>
      </c>
    </row>
    <row r="31065" spans="5:9" ht="16.5" hidden="1">
      <c r="E31065" s="4" t="str">
        <v/>
      </c>
      <c r="F31065" s="102" t="str">
        <f ca="1">IFERROR(__xludf.DUMMYFUNCTION("IMPORTRANGE(H31065,""IDENTITAS UNIT!D9"")"),"#N/A")</f>
        <v>#N/A</v>
      </c>
      <c r="H31065" s="4" t="str">
        <v/>
      </c>
      <c r="I31065" s="4" t="str">
        <v/>
      </c>
    </row>
    <row r="31066" spans="5:9" ht="16.5" hidden="1">
      <c r="E31066" s="4" t="str">
        <v/>
      </c>
      <c r="F31066" s="102" t="str">
        <f ca="1">IFERROR(__xludf.DUMMYFUNCTION("IMPORTRANGE(H31066,""IDENTITAS UNIT!D9"")"),"#N/A")</f>
        <v>#N/A</v>
      </c>
      <c r="H31066" s="4" t="str">
        <v/>
      </c>
      <c r="I31066" s="4" t="str">
        <v/>
      </c>
    </row>
    <row r="31067" spans="5:9" ht="16.5" hidden="1">
      <c r="E31067" s="4" t="str">
        <v/>
      </c>
      <c r="F31067" s="102" t="str">
        <f ca="1">IFERROR(__xludf.DUMMYFUNCTION("IMPORTRANGE(H31067,""IDENTITAS UNIT!D9"")"),"#N/A")</f>
        <v>#N/A</v>
      </c>
      <c r="H31067" s="4" t="str">
        <v/>
      </c>
      <c r="I31067" s="4" t="str">
        <v/>
      </c>
    </row>
    <row r="31068" spans="5:9" ht="16.5" hidden="1">
      <c r="E31068" s="4" t="str">
        <v/>
      </c>
      <c r="F31068" s="102" t="str">
        <f ca="1">IFERROR(__xludf.DUMMYFUNCTION("IMPORTRANGE(H31068,""IDENTITAS UNIT!D9"")"),"#N/A")</f>
        <v>#N/A</v>
      </c>
      <c r="H31068" s="4" t="str">
        <v/>
      </c>
      <c r="I31068" s="4" t="str">
        <v/>
      </c>
    </row>
    <row r="31069" spans="5:9" ht="16.5" hidden="1">
      <c r="E31069" s="4" t="str">
        <v/>
      </c>
      <c r="F31069" s="102" t="str">
        <f ca="1">IFERROR(__xludf.DUMMYFUNCTION("IMPORTRANGE(H31069,""IDENTITAS UNIT!D9"")"),"#N/A")</f>
        <v>#N/A</v>
      </c>
      <c r="H31069" s="4" t="str">
        <v/>
      </c>
      <c r="I31069" s="4" t="str">
        <v/>
      </c>
    </row>
    <row r="31070" spans="5:9" ht="16.5" hidden="1">
      <c r="E31070" s="4" t="str">
        <v/>
      </c>
      <c r="F31070" s="102" t="str">
        <f ca="1">IFERROR(__xludf.DUMMYFUNCTION("IMPORTRANGE(H31070,""IDENTITAS UNIT!D9"")"),"#N/A")</f>
        <v>#N/A</v>
      </c>
      <c r="H31070" s="4" t="str">
        <v/>
      </c>
      <c r="I31070" s="4" t="str">
        <v/>
      </c>
    </row>
    <row r="31071" spans="5:9" ht="16.5" hidden="1">
      <c r="E31071" s="4" t="str">
        <v/>
      </c>
      <c r="F31071" s="102" t="str">
        <f ca="1">IFERROR(__xludf.DUMMYFUNCTION("IMPORTRANGE(H31071,""IDENTITAS UNIT!D9"")"),"#N/A")</f>
        <v>#N/A</v>
      </c>
      <c r="H31071" s="4" t="str">
        <v/>
      </c>
      <c r="I31071" s="4" t="str">
        <v/>
      </c>
    </row>
    <row r="31072" spans="5:9" ht="16.5" hidden="1">
      <c r="E31072" s="4" t="str">
        <v/>
      </c>
      <c r="F31072" s="102" t="str">
        <f ca="1">IFERROR(__xludf.DUMMYFUNCTION("IMPORTRANGE(H31072,""IDENTITAS UNIT!D9"")"),"#N/A")</f>
        <v>#N/A</v>
      </c>
      <c r="H31072" s="4" t="str">
        <v/>
      </c>
      <c r="I31072" s="4" t="str">
        <v/>
      </c>
    </row>
    <row r="31073" spans="5:9" ht="16.5" hidden="1">
      <c r="E31073" s="4" t="str">
        <v/>
      </c>
      <c r="F31073" s="102" t="str">
        <f ca="1">IFERROR(__xludf.DUMMYFUNCTION("IMPORTRANGE(H31073,""IDENTITAS UNIT!D9"")"),"#N/A")</f>
        <v>#N/A</v>
      </c>
      <c r="H31073" s="4" t="str">
        <v/>
      </c>
      <c r="I31073" s="4" t="str">
        <v/>
      </c>
    </row>
    <row r="31074" spans="5:9" ht="16.5" hidden="1">
      <c r="E31074" s="4" t="str">
        <v/>
      </c>
      <c r="F31074" s="102" t="str">
        <f ca="1">IFERROR(__xludf.DUMMYFUNCTION("IMPORTRANGE(H31074,""IDENTITAS UNIT!D9"")"),"#N/A")</f>
        <v>#N/A</v>
      </c>
      <c r="H31074" s="4" t="str">
        <v/>
      </c>
      <c r="I31074" s="4" t="str">
        <v/>
      </c>
    </row>
    <row r="31075" spans="5:9" ht="16.5" hidden="1">
      <c r="E31075" s="4" t="str">
        <v/>
      </c>
      <c r="F31075" s="102" t="str">
        <f ca="1">IFERROR(__xludf.DUMMYFUNCTION("IMPORTRANGE(H31075,""IDENTITAS UNIT!D9"")"),"#N/A")</f>
        <v>#N/A</v>
      </c>
      <c r="H31075" s="4" t="str">
        <v/>
      </c>
      <c r="I31075" s="4" t="str">
        <v/>
      </c>
    </row>
    <row r="31076" spans="5:9" ht="16.5" hidden="1">
      <c r="E31076" s="4" t="str">
        <v/>
      </c>
      <c r="F31076" s="102" t="str">
        <f ca="1">IFERROR(__xludf.DUMMYFUNCTION("IMPORTRANGE(H31076,""IDENTITAS UNIT!D9"")"),"#N/A")</f>
        <v>#N/A</v>
      </c>
      <c r="H31076" s="4" t="str">
        <v/>
      </c>
      <c r="I31076" s="4" t="str">
        <v/>
      </c>
    </row>
    <row r="31077" spans="5:9" ht="16.5" hidden="1">
      <c r="E31077" s="4" t="str">
        <v/>
      </c>
      <c r="F31077" s="102" t="str">
        <f ca="1">IFERROR(__xludf.DUMMYFUNCTION("IMPORTRANGE(H31077,""IDENTITAS UNIT!D9"")"),"#N/A")</f>
        <v>#N/A</v>
      </c>
      <c r="H31077" s="4" t="str">
        <v/>
      </c>
      <c r="I31077" s="4" t="str">
        <v/>
      </c>
    </row>
    <row r="31078" spans="5:9" ht="16.5" hidden="1">
      <c r="E31078" s="4" t="str">
        <v/>
      </c>
      <c r="F31078" s="102" t="str">
        <f ca="1">IFERROR(__xludf.DUMMYFUNCTION("IMPORTRANGE(H31078,""IDENTITAS UNIT!D9"")"),"#N/A")</f>
        <v>#N/A</v>
      </c>
      <c r="H31078" s="4" t="str">
        <v/>
      </c>
      <c r="I31078" s="4" t="str">
        <v/>
      </c>
    </row>
    <row r="31079" spans="5:9" ht="16.5" hidden="1">
      <c r="E31079" s="4" t="str">
        <v/>
      </c>
      <c r="F31079" s="102" t="str">
        <f ca="1">IFERROR(__xludf.DUMMYFUNCTION("IMPORTRANGE(H31079,""IDENTITAS UNIT!D9"")"),"#N/A")</f>
        <v>#N/A</v>
      </c>
      <c r="H31079" s="4" t="str">
        <v/>
      </c>
      <c r="I31079" s="4" t="str">
        <v/>
      </c>
    </row>
    <row r="31080" spans="5:9" ht="16.5" hidden="1">
      <c r="E31080" s="4" t="str">
        <v/>
      </c>
      <c r="F31080" s="102" t="str">
        <f ca="1">IFERROR(__xludf.DUMMYFUNCTION("IMPORTRANGE(H31080,""IDENTITAS UNIT!D9"")"),"#N/A")</f>
        <v>#N/A</v>
      </c>
      <c r="H31080" s="4" t="str">
        <v/>
      </c>
      <c r="I31080" s="4" t="str">
        <v/>
      </c>
    </row>
    <row r="31081" spans="5:9" ht="16.5" hidden="1">
      <c r="E31081" s="4" t="str">
        <v/>
      </c>
      <c r="F31081" s="102" t="str">
        <f ca="1">IFERROR(__xludf.DUMMYFUNCTION("IMPORTRANGE(H31081,""IDENTITAS UNIT!D9"")"),"#N/A")</f>
        <v>#N/A</v>
      </c>
      <c r="H31081" s="4" t="str">
        <v/>
      </c>
      <c r="I31081" s="4" t="str">
        <v/>
      </c>
    </row>
    <row r="31082" spans="5:9" ht="16.5" hidden="1">
      <c r="E31082" s="4" t="str">
        <v/>
      </c>
      <c r="F31082" s="102" t="str">
        <f ca="1">IFERROR(__xludf.DUMMYFUNCTION("IMPORTRANGE(H31082,""IDENTITAS UNIT!D9"")"),"#N/A")</f>
        <v>#N/A</v>
      </c>
      <c r="H31082" s="4" t="str">
        <v/>
      </c>
      <c r="I31082" s="4" t="str">
        <v/>
      </c>
    </row>
    <row r="31083" spans="5:9" ht="16.5" hidden="1">
      <c r="E31083" s="4" t="str">
        <v/>
      </c>
      <c r="F31083" s="102" t="str">
        <f ca="1">IFERROR(__xludf.DUMMYFUNCTION("IMPORTRANGE(H31083,""IDENTITAS UNIT!D9"")"),"#N/A")</f>
        <v>#N/A</v>
      </c>
      <c r="H31083" s="4" t="str">
        <v/>
      </c>
      <c r="I31083" s="4" t="str">
        <v/>
      </c>
    </row>
    <row r="31084" spans="5:9" ht="16.5" hidden="1">
      <c r="E31084" s="4" t="str">
        <v/>
      </c>
      <c r="F31084" s="102" t="str">
        <f ca="1">IFERROR(__xludf.DUMMYFUNCTION("IMPORTRANGE(H31084,""IDENTITAS UNIT!D9"")"),"#N/A")</f>
        <v>#N/A</v>
      </c>
      <c r="H31084" s="4" t="str">
        <v/>
      </c>
      <c r="I31084" s="4" t="str">
        <v/>
      </c>
    </row>
    <row r="31085" spans="5:9" ht="16.5" hidden="1">
      <c r="E31085" s="4" t="str">
        <v/>
      </c>
      <c r="F31085" s="102" t="str">
        <f ca="1">IFERROR(__xludf.DUMMYFUNCTION("IMPORTRANGE(H31085,""IDENTITAS UNIT!D9"")"),"#N/A")</f>
        <v>#N/A</v>
      </c>
      <c r="H31085" s="4" t="str">
        <v/>
      </c>
      <c r="I31085" s="4" t="str">
        <v/>
      </c>
    </row>
    <row r="31086" spans="5:9" ht="16.5" hidden="1">
      <c r="E31086" s="4" t="str">
        <v/>
      </c>
      <c r="F31086" s="102" t="str">
        <f ca="1">IFERROR(__xludf.DUMMYFUNCTION("IMPORTRANGE(H31086,""IDENTITAS UNIT!D9"")"),"#N/A")</f>
        <v>#N/A</v>
      </c>
      <c r="H31086" s="4" t="str">
        <v/>
      </c>
      <c r="I31086" s="4" t="str">
        <v/>
      </c>
    </row>
    <row r="31087" spans="5:9" ht="16.5" hidden="1">
      <c r="E31087" s="4" t="str">
        <v/>
      </c>
      <c r="F31087" s="102" t="str">
        <f ca="1">IFERROR(__xludf.DUMMYFUNCTION("IMPORTRANGE(H31087,""IDENTITAS UNIT!D9"")"),"#N/A")</f>
        <v>#N/A</v>
      </c>
      <c r="H31087" s="4" t="str">
        <v/>
      </c>
      <c r="I31087" s="4" t="str">
        <v/>
      </c>
    </row>
    <row r="31088" spans="5:9" ht="16.5" hidden="1">
      <c r="E31088" s="4" t="str">
        <v/>
      </c>
      <c r="F31088" s="102" t="str">
        <f ca="1">IFERROR(__xludf.DUMMYFUNCTION("IMPORTRANGE(H31088,""IDENTITAS UNIT!D9"")"),"#N/A")</f>
        <v>#N/A</v>
      </c>
      <c r="H31088" s="4" t="str">
        <v/>
      </c>
      <c r="I31088" s="4" t="str">
        <v/>
      </c>
    </row>
    <row r="31089" spans="5:9" ht="16.5" hidden="1">
      <c r="E31089" s="4" t="str">
        <v/>
      </c>
      <c r="F31089" s="102" t="str">
        <f ca="1">IFERROR(__xludf.DUMMYFUNCTION("IMPORTRANGE(H31089,""IDENTITAS UNIT!D9"")"),"#N/A")</f>
        <v>#N/A</v>
      </c>
      <c r="H31089" s="4" t="str">
        <v/>
      </c>
      <c r="I31089" s="4" t="str">
        <v/>
      </c>
    </row>
    <row r="31090" spans="5:9" ht="16.5" hidden="1">
      <c r="E31090" s="4" t="str">
        <v/>
      </c>
      <c r="F31090" s="102" t="str">
        <f ca="1">IFERROR(__xludf.DUMMYFUNCTION("IMPORTRANGE(H31090,""IDENTITAS UNIT!D9"")"),"#N/A")</f>
        <v>#N/A</v>
      </c>
      <c r="H31090" s="4" t="str">
        <v/>
      </c>
      <c r="I31090" s="4" t="str">
        <v/>
      </c>
    </row>
    <row r="31091" spans="5:9" ht="16.5" hidden="1">
      <c r="E31091" s="4" t="str">
        <v/>
      </c>
      <c r="F31091" s="102" t="str">
        <f ca="1">IFERROR(__xludf.DUMMYFUNCTION("IMPORTRANGE(H31091,""IDENTITAS UNIT!D9"")"),"#N/A")</f>
        <v>#N/A</v>
      </c>
      <c r="H31091" s="4" t="str">
        <v/>
      </c>
      <c r="I31091" s="4" t="str">
        <v/>
      </c>
    </row>
    <row r="31092" spans="5:9" ht="16.5" hidden="1">
      <c r="E31092" s="4" t="str">
        <v/>
      </c>
      <c r="F31092" s="102" t="str">
        <f ca="1">IFERROR(__xludf.DUMMYFUNCTION("IMPORTRANGE(H31092,""IDENTITAS UNIT!D9"")"),"#N/A")</f>
        <v>#N/A</v>
      </c>
      <c r="H31092" s="4" t="str">
        <v/>
      </c>
      <c r="I31092" s="4" t="str">
        <v/>
      </c>
    </row>
    <row r="31093" spans="5:9" ht="16.5" hidden="1">
      <c r="E31093" s="4" t="str">
        <v/>
      </c>
      <c r="F31093" s="102" t="str">
        <f ca="1">IFERROR(__xludf.DUMMYFUNCTION("IMPORTRANGE(H31093,""IDENTITAS UNIT!D9"")"),"#N/A")</f>
        <v>#N/A</v>
      </c>
      <c r="H31093" s="4" t="str">
        <v/>
      </c>
      <c r="I31093" s="4" t="str">
        <v/>
      </c>
    </row>
    <row r="31094" spans="5:9" ht="16.5" hidden="1">
      <c r="E31094" s="4" t="str">
        <v/>
      </c>
      <c r="F31094" s="102" t="str">
        <f ca="1">IFERROR(__xludf.DUMMYFUNCTION("IMPORTRANGE(H31094,""IDENTITAS UNIT!D9"")"),"#N/A")</f>
        <v>#N/A</v>
      </c>
      <c r="H31094" s="4" t="str">
        <v/>
      </c>
      <c r="I31094" s="4" t="str">
        <v/>
      </c>
    </row>
    <row r="31095" spans="5:9" ht="16.5" hidden="1">
      <c r="E31095" s="4" t="str">
        <v/>
      </c>
      <c r="F31095" s="102" t="str">
        <f ca="1">IFERROR(__xludf.DUMMYFUNCTION("IMPORTRANGE(H31095,""IDENTITAS UNIT!D9"")"),"#N/A")</f>
        <v>#N/A</v>
      </c>
      <c r="H31095" s="4" t="str">
        <v/>
      </c>
      <c r="I31095" s="4" t="str">
        <v/>
      </c>
    </row>
    <row r="31096" spans="5:9" ht="16.5" hidden="1">
      <c r="E31096" s="4" t="str">
        <v/>
      </c>
      <c r="F31096" s="102" t="str">
        <f ca="1">IFERROR(__xludf.DUMMYFUNCTION("IMPORTRANGE(H31096,""IDENTITAS UNIT!D9"")"),"#N/A")</f>
        <v>#N/A</v>
      </c>
      <c r="H31096" s="4" t="str">
        <v/>
      </c>
      <c r="I31096" s="4" t="str">
        <v/>
      </c>
    </row>
    <row r="31097" spans="5:9" ht="16.5" hidden="1">
      <c r="E31097" s="4" t="str">
        <v/>
      </c>
      <c r="F31097" s="102" t="str">
        <f ca="1">IFERROR(__xludf.DUMMYFUNCTION("IMPORTRANGE(H31097,""IDENTITAS UNIT!D9"")"),"#N/A")</f>
        <v>#N/A</v>
      </c>
      <c r="H31097" s="4" t="str">
        <v/>
      </c>
      <c r="I31097" s="4" t="str">
        <v/>
      </c>
    </row>
    <row r="31098" spans="5:9" ht="16.5" hidden="1">
      <c r="E31098" s="4" t="str">
        <v/>
      </c>
      <c r="F31098" s="102" t="str">
        <f ca="1">IFERROR(__xludf.DUMMYFUNCTION("IMPORTRANGE(H31098,""IDENTITAS UNIT!D9"")"),"#N/A")</f>
        <v>#N/A</v>
      </c>
      <c r="H31098" s="4" t="str">
        <v/>
      </c>
      <c r="I31098" s="4" t="str">
        <v/>
      </c>
    </row>
    <row r="31099" spans="5:9" ht="16.5" hidden="1">
      <c r="E31099" s="4" t="str">
        <v/>
      </c>
      <c r="F31099" s="102" t="str">
        <f ca="1">IFERROR(__xludf.DUMMYFUNCTION("IMPORTRANGE(H31099,""IDENTITAS UNIT!D9"")"),"#N/A")</f>
        <v>#N/A</v>
      </c>
      <c r="H31099" s="4" t="str">
        <v/>
      </c>
      <c r="I31099" s="4" t="str">
        <v/>
      </c>
    </row>
    <row r="31100" spans="5:9" ht="16.5" hidden="1">
      <c r="E31100" s="4" t="str">
        <v/>
      </c>
      <c r="F31100" s="102" t="str">
        <f ca="1">IFERROR(__xludf.DUMMYFUNCTION("IMPORTRANGE(H31100,""IDENTITAS UNIT!D9"")"),"#N/A")</f>
        <v>#N/A</v>
      </c>
      <c r="H31100" s="4" t="str">
        <v/>
      </c>
      <c r="I31100" s="4" t="str">
        <v/>
      </c>
    </row>
    <row r="31101" spans="5:9" ht="16.5" hidden="1">
      <c r="E31101" s="4" t="str">
        <v/>
      </c>
      <c r="F31101" s="102" t="str">
        <f ca="1">IFERROR(__xludf.DUMMYFUNCTION("IMPORTRANGE(H31101,""IDENTITAS UNIT!D9"")"),"#N/A")</f>
        <v>#N/A</v>
      </c>
      <c r="H31101" s="4" t="str">
        <v/>
      </c>
      <c r="I31101" s="4" t="str">
        <v/>
      </c>
    </row>
    <row r="31102" spans="5:9" ht="16.5" hidden="1">
      <c r="E31102" s="4" t="str">
        <v/>
      </c>
      <c r="F31102" s="102" t="str">
        <f ca="1">IFERROR(__xludf.DUMMYFUNCTION("IMPORTRANGE(H31102,""IDENTITAS UNIT!D9"")"),"#N/A")</f>
        <v>#N/A</v>
      </c>
      <c r="H31102" s="4" t="str">
        <v/>
      </c>
      <c r="I31102" s="4" t="str">
        <v/>
      </c>
    </row>
    <row r="31103" spans="5:9" ht="16.5" hidden="1">
      <c r="E31103" s="4" t="str">
        <v/>
      </c>
      <c r="F31103" s="102" t="str">
        <f ca="1">IFERROR(__xludf.DUMMYFUNCTION("IMPORTRANGE(H31103,""IDENTITAS UNIT!D9"")"),"#N/A")</f>
        <v>#N/A</v>
      </c>
      <c r="H31103" s="4" t="str">
        <v/>
      </c>
      <c r="I31103" s="4" t="str">
        <v/>
      </c>
    </row>
    <row r="31104" spans="5:9" ht="16.5" hidden="1">
      <c r="E31104" s="4" t="str">
        <v/>
      </c>
      <c r="F31104" s="102" t="str">
        <f ca="1">IFERROR(__xludf.DUMMYFUNCTION("IMPORTRANGE(H31104,""IDENTITAS UNIT!D9"")"),"#N/A")</f>
        <v>#N/A</v>
      </c>
      <c r="H31104" s="4" t="str">
        <v/>
      </c>
      <c r="I31104" s="4" t="str">
        <v/>
      </c>
    </row>
    <row r="31105" spans="5:9" ht="16.5" hidden="1">
      <c r="E31105" s="4" t="str">
        <v/>
      </c>
      <c r="F31105" s="102" t="str">
        <f ca="1">IFERROR(__xludf.DUMMYFUNCTION("IMPORTRANGE(H31105,""IDENTITAS UNIT!D9"")"),"#N/A")</f>
        <v>#N/A</v>
      </c>
      <c r="H31105" s="4" t="str">
        <v/>
      </c>
      <c r="I31105" s="4" t="str">
        <v/>
      </c>
    </row>
    <row r="31106" spans="5:9" ht="16.5" hidden="1">
      <c r="E31106" s="4" t="str">
        <v/>
      </c>
      <c r="F31106" s="102" t="str">
        <f ca="1">IFERROR(__xludf.DUMMYFUNCTION("IMPORTRANGE(H31106,""IDENTITAS UNIT!D9"")"),"#N/A")</f>
        <v>#N/A</v>
      </c>
      <c r="H31106" s="4" t="str">
        <v/>
      </c>
      <c r="I31106" s="4" t="str">
        <v/>
      </c>
    </row>
    <row r="31107" spans="5:9" ht="16.5" hidden="1">
      <c r="E31107" s="4" t="str">
        <v/>
      </c>
      <c r="F31107" s="102" t="str">
        <f ca="1">IFERROR(__xludf.DUMMYFUNCTION("IMPORTRANGE(H31107,""IDENTITAS UNIT!D9"")"),"#N/A")</f>
        <v>#N/A</v>
      </c>
      <c r="H31107" s="4" t="str">
        <v/>
      </c>
      <c r="I31107" s="4" t="str">
        <v/>
      </c>
    </row>
    <row r="31108" spans="5:9" ht="16.5" hidden="1">
      <c r="E31108" s="4" t="str">
        <v/>
      </c>
      <c r="F31108" s="102" t="str">
        <f ca="1">IFERROR(__xludf.DUMMYFUNCTION("IMPORTRANGE(H31108,""IDENTITAS UNIT!D9"")"),"#N/A")</f>
        <v>#N/A</v>
      </c>
      <c r="H31108" s="4" t="str">
        <v/>
      </c>
      <c r="I31108" s="4" t="str">
        <v/>
      </c>
    </row>
    <row r="31109" spans="5:9" ht="16.5" hidden="1">
      <c r="E31109" s="4" t="str">
        <v/>
      </c>
      <c r="F31109" s="102" t="str">
        <f ca="1">IFERROR(__xludf.DUMMYFUNCTION("IMPORTRANGE(H31109,""IDENTITAS UNIT!D9"")"),"#N/A")</f>
        <v>#N/A</v>
      </c>
      <c r="H31109" s="4" t="str">
        <v/>
      </c>
      <c r="I31109" s="4" t="str">
        <v/>
      </c>
    </row>
    <row r="31110" spans="5:9" ht="16.5" hidden="1">
      <c r="E31110" s="4" t="str">
        <v/>
      </c>
      <c r="F31110" s="102" t="str">
        <f ca="1">IFERROR(__xludf.DUMMYFUNCTION("IMPORTRANGE(H31110,""IDENTITAS UNIT!D9"")"),"#N/A")</f>
        <v>#N/A</v>
      </c>
      <c r="H31110" s="4" t="str">
        <v/>
      </c>
      <c r="I31110" s="4" t="str">
        <v/>
      </c>
    </row>
    <row r="31111" spans="5:9" ht="16.5" hidden="1">
      <c r="E31111" s="4" t="str">
        <v/>
      </c>
      <c r="F31111" s="102" t="str">
        <f ca="1">IFERROR(__xludf.DUMMYFUNCTION("IMPORTRANGE(H31111,""IDENTITAS UNIT!D9"")"),"#N/A")</f>
        <v>#N/A</v>
      </c>
      <c r="H31111" s="4" t="str">
        <v/>
      </c>
      <c r="I31111" s="4" t="str">
        <v/>
      </c>
    </row>
    <row r="31112" spans="5:9" ht="16.5" hidden="1">
      <c r="E31112" s="4" t="str">
        <v/>
      </c>
      <c r="F31112" s="102" t="str">
        <f ca="1">IFERROR(__xludf.DUMMYFUNCTION("IMPORTRANGE(H31112,""IDENTITAS UNIT!D9"")"),"#N/A")</f>
        <v>#N/A</v>
      </c>
      <c r="H31112" s="4" t="str">
        <v/>
      </c>
      <c r="I31112" s="4" t="str">
        <v/>
      </c>
    </row>
    <row r="31113" spans="5:9" ht="16.5" hidden="1">
      <c r="E31113" s="4" t="str">
        <v/>
      </c>
      <c r="F31113" s="102" t="str">
        <f ca="1">IFERROR(__xludf.DUMMYFUNCTION("IMPORTRANGE(H31113,""IDENTITAS UNIT!D9"")"),"#N/A")</f>
        <v>#N/A</v>
      </c>
      <c r="H31113" s="4" t="str">
        <v/>
      </c>
      <c r="I31113" s="4" t="str">
        <v/>
      </c>
    </row>
    <row r="31114" spans="5:9" ht="16.5" hidden="1">
      <c r="E31114" s="4" t="str">
        <v/>
      </c>
      <c r="F31114" s="102" t="str">
        <f ca="1">IFERROR(__xludf.DUMMYFUNCTION("IMPORTRANGE(H31114,""IDENTITAS UNIT!D9"")"),"#N/A")</f>
        <v>#N/A</v>
      </c>
      <c r="H31114" s="4" t="str">
        <v/>
      </c>
      <c r="I31114" s="4" t="str">
        <v/>
      </c>
    </row>
    <row r="31115" spans="5:9" ht="16.5" hidden="1">
      <c r="E31115" s="4" t="str">
        <v/>
      </c>
      <c r="F31115" s="102" t="str">
        <f ca="1">IFERROR(__xludf.DUMMYFUNCTION("IMPORTRANGE(H31115,""IDENTITAS UNIT!D9"")"),"#N/A")</f>
        <v>#N/A</v>
      </c>
      <c r="H31115" s="4" t="str">
        <v/>
      </c>
      <c r="I31115" s="4" t="str">
        <v/>
      </c>
    </row>
    <row r="31116" spans="5:9" ht="16.5" hidden="1">
      <c r="E31116" s="4" t="str">
        <v/>
      </c>
      <c r="F31116" s="102" t="str">
        <f ca="1">IFERROR(__xludf.DUMMYFUNCTION("IMPORTRANGE(H31116,""IDENTITAS UNIT!D9"")"),"#N/A")</f>
        <v>#N/A</v>
      </c>
      <c r="H31116" s="4" t="str">
        <v/>
      </c>
      <c r="I31116" s="4" t="str">
        <v/>
      </c>
    </row>
    <row r="31117" spans="5:9" ht="16.5" hidden="1">
      <c r="E31117" s="4" t="str">
        <v/>
      </c>
      <c r="F31117" s="102" t="str">
        <f ca="1">IFERROR(__xludf.DUMMYFUNCTION("IMPORTRANGE(H31117,""IDENTITAS UNIT!D9"")"),"#N/A")</f>
        <v>#N/A</v>
      </c>
      <c r="H31117" s="4" t="str">
        <v/>
      </c>
      <c r="I31117" s="4" t="str">
        <v/>
      </c>
    </row>
    <row r="31118" spans="5:9" ht="16.5" hidden="1">
      <c r="E31118" s="4" t="str">
        <v/>
      </c>
      <c r="F31118" s="102" t="str">
        <f ca="1">IFERROR(__xludf.DUMMYFUNCTION("IMPORTRANGE(H31118,""IDENTITAS UNIT!D9"")"),"#N/A")</f>
        <v>#N/A</v>
      </c>
      <c r="H31118" s="4" t="str">
        <v/>
      </c>
      <c r="I31118" s="4" t="str">
        <v/>
      </c>
    </row>
    <row r="31119" spans="5:9" ht="16.5" hidden="1">
      <c r="E31119" s="4" t="str">
        <v/>
      </c>
      <c r="F31119" s="102" t="str">
        <f ca="1">IFERROR(__xludf.DUMMYFUNCTION("IMPORTRANGE(H31119,""IDENTITAS UNIT!D9"")"),"#N/A")</f>
        <v>#N/A</v>
      </c>
      <c r="H31119" s="4" t="str">
        <v/>
      </c>
      <c r="I31119" s="4" t="str">
        <v/>
      </c>
    </row>
    <row r="31120" spans="5:9" ht="16.5" hidden="1">
      <c r="E31120" s="4" t="str">
        <v/>
      </c>
      <c r="F31120" s="102" t="str">
        <f ca="1">IFERROR(__xludf.DUMMYFUNCTION("IMPORTRANGE(H31120,""IDENTITAS UNIT!D9"")"),"#N/A")</f>
        <v>#N/A</v>
      </c>
      <c r="H31120" s="4" t="str">
        <v/>
      </c>
      <c r="I31120" s="4" t="str">
        <v/>
      </c>
    </row>
    <row r="31121" spans="5:9" ht="16.5" hidden="1">
      <c r="E31121" s="4" t="str">
        <v/>
      </c>
      <c r="F31121" s="102" t="str">
        <f ca="1">IFERROR(__xludf.DUMMYFUNCTION("IMPORTRANGE(H31121,""IDENTITAS UNIT!D9"")"),"#N/A")</f>
        <v>#N/A</v>
      </c>
      <c r="H31121" s="4" t="str">
        <v/>
      </c>
      <c r="I31121" s="4" t="str">
        <v/>
      </c>
    </row>
    <row r="31122" spans="5:9" ht="16.5" hidden="1">
      <c r="E31122" s="4" t="str">
        <v/>
      </c>
      <c r="F31122" s="102" t="str">
        <f ca="1">IFERROR(__xludf.DUMMYFUNCTION("IMPORTRANGE(H31122,""IDENTITAS UNIT!D9"")"),"#N/A")</f>
        <v>#N/A</v>
      </c>
      <c r="H31122" s="4" t="str">
        <v/>
      </c>
      <c r="I31122" s="4" t="str">
        <v/>
      </c>
    </row>
    <row r="31123" spans="5:9" ht="16.5" hidden="1">
      <c r="E31123" s="4" t="str">
        <v/>
      </c>
      <c r="F31123" s="102" t="str">
        <f ca="1">IFERROR(__xludf.DUMMYFUNCTION("IMPORTRANGE(H31123,""IDENTITAS UNIT!D9"")"),"#N/A")</f>
        <v>#N/A</v>
      </c>
      <c r="H31123" s="4" t="str">
        <v/>
      </c>
      <c r="I31123" s="4" t="str">
        <v/>
      </c>
    </row>
    <row r="31124" spans="5:9" ht="16.5" hidden="1">
      <c r="E31124" s="4" t="str">
        <v/>
      </c>
      <c r="F31124" s="102" t="str">
        <f ca="1">IFERROR(__xludf.DUMMYFUNCTION("IMPORTRANGE(H31124,""IDENTITAS UNIT!D9"")"),"#N/A")</f>
        <v>#N/A</v>
      </c>
      <c r="H31124" s="4" t="str">
        <v/>
      </c>
      <c r="I31124" s="4" t="str">
        <v/>
      </c>
    </row>
    <row r="31125" spans="5:9" ht="16.5" hidden="1">
      <c r="E31125" s="4" t="str">
        <v/>
      </c>
      <c r="F31125" s="102" t="str">
        <f ca="1">IFERROR(__xludf.DUMMYFUNCTION("IMPORTRANGE(H31125,""IDENTITAS UNIT!D9"")"),"#N/A")</f>
        <v>#N/A</v>
      </c>
      <c r="H31125" s="4" t="str">
        <v/>
      </c>
      <c r="I31125" s="4" t="str">
        <v/>
      </c>
    </row>
    <row r="31126" spans="5:9" ht="16.5" hidden="1">
      <c r="E31126" s="4" t="str">
        <v/>
      </c>
      <c r="F31126" s="102" t="str">
        <f ca="1">IFERROR(__xludf.DUMMYFUNCTION("IMPORTRANGE(H31126,""IDENTITAS UNIT!D9"")"),"#N/A")</f>
        <v>#N/A</v>
      </c>
      <c r="H31126" s="4" t="str">
        <v/>
      </c>
      <c r="I31126" s="4" t="str">
        <v/>
      </c>
    </row>
    <row r="31127" spans="5:9" ht="16.5" hidden="1">
      <c r="E31127" s="4" t="str">
        <v/>
      </c>
      <c r="F31127" s="102" t="str">
        <f ca="1">IFERROR(__xludf.DUMMYFUNCTION("IMPORTRANGE(H31127,""IDENTITAS UNIT!D9"")"),"#N/A")</f>
        <v>#N/A</v>
      </c>
      <c r="H31127" s="4" t="str">
        <v/>
      </c>
      <c r="I31127" s="4" t="str">
        <v/>
      </c>
    </row>
    <row r="31128" spans="5:9" ht="16.5" hidden="1">
      <c r="E31128" s="4" t="str">
        <v/>
      </c>
      <c r="F31128" s="102" t="str">
        <f ca="1">IFERROR(__xludf.DUMMYFUNCTION("IMPORTRANGE(H31128,""IDENTITAS UNIT!D9"")"),"#N/A")</f>
        <v>#N/A</v>
      </c>
      <c r="H31128" s="4" t="str">
        <v/>
      </c>
      <c r="I31128" s="4" t="str">
        <v/>
      </c>
    </row>
    <row r="31129" spans="5:9" ht="16.5" hidden="1">
      <c r="E31129" s="4" t="str">
        <v/>
      </c>
      <c r="F31129" s="102" t="str">
        <f ca="1">IFERROR(__xludf.DUMMYFUNCTION("IMPORTRANGE(H31129,""IDENTITAS UNIT!D9"")"),"#N/A")</f>
        <v>#N/A</v>
      </c>
      <c r="H31129" s="4" t="str">
        <v/>
      </c>
      <c r="I31129" s="4" t="str">
        <v/>
      </c>
    </row>
    <row r="31130" spans="5:9" ht="16.5" hidden="1">
      <c r="E31130" s="4" t="str">
        <v/>
      </c>
      <c r="F31130" s="102" t="str">
        <f ca="1">IFERROR(__xludf.DUMMYFUNCTION("IMPORTRANGE(H31130,""IDENTITAS UNIT!D9"")"),"#N/A")</f>
        <v>#N/A</v>
      </c>
      <c r="H31130" s="4" t="str">
        <v/>
      </c>
      <c r="I31130" s="4" t="str">
        <v/>
      </c>
    </row>
    <row r="31131" spans="5:9" ht="16.5" hidden="1">
      <c r="E31131" s="4" t="str">
        <v/>
      </c>
      <c r="F31131" s="102" t="str">
        <f ca="1">IFERROR(__xludf.DUMMYFUNCTION("IMPORTRANGE(H31131,""IDENTITAS UNIT!D9"")"),"#N/A")</f>
        <v>#N/A</v>
      </c>
      <c r="H31131" s="4" t="str">
        <v/>
      </c>
      <c r="I31131" s="4" t="str">
        <v/>
      </c>
    </row>
    <row r="31132" spans="5:9" ht="16.5" hidden="1">
      <c r="E31132" s="4" t="str">
        <v/>
      </c>
      <c r="F31132" s="102" t="str">
        <f ca="1">IFERROR(__xludf.DUMMYFUNCTION("IMPORTRANGE(H31132,""IDENTITAS UNIT!D9"")"),"#N/A")</f>
        <v>#N/A</v>
      </c>
      <c r="H31132" s="4" t="str">
        <v/>
      </c>
      <c r="I31132" s="4" t="str">
        <v/>
      </c>
    </row>
    <row r="31133" spans="5:9" ht="16.5" hidden="1">
      <c r="E31133" s="4" t="str">
        <v/>
      </c>
      <c r="F31133" s="102" t="str">
        <f ca="1">IFERROR(__xludf.DUMMYFUNCTION("IMPORTRANGE(H31133,""IDENTITAS UNIT!D9"")"),"#N/A")</f>
        <v>#N/A</v>
      </c>
      <c r="H31133" s="4" t="str">
        <v/>
      </c>
      <c r="I31133" s="4" t="str">
        <v/>
      </c>
    </row>
    <row r="31134" spans="5:9" ht="16.5" hidden="1">
      <c r="E31134" s="4" t="str">
        <v/>
      </c>
      <c r="F31134" s="102" t="str">
        <f ca="1">IFERROR(__xludf.DUMMYFUNCTION("IMPORTRANGE(H31134,""IDENTITAS UNIT!D9"")"),"#N/A")</f>
        <v>#N/A</v>
      </c>
      <c r="H31134" s="4" t="str">
        <v/>
      </c>
      <c r="I31134" s="4" t="str">
        <v/>
      </c>
    </row>
    <row r="31135" spans="5:9" ht="16.5" hidden="1">
      <c r="E31135" s="4" t="str">
        <v/>
      </c>
      <c r="F31135" s="102" t="str">
        <f ca="1">IFERROR(__xludf.DUMMYFUNCTION("IMPORTRANGE(H31135,""IDENTITAS UNIT!D9"")"),"#N/A")</f>
        <v>#N/A</v>
      </c>
      <c r="H31135" s="4" t="str">
        <v/>
      </c>
      <c r="I31135" s="4" t="str">
        <v/>
      </c>
    </row>
    <row r="31136" spans="5:9" ht="16.5" hidden="1">
      <c r="E31136" s="4" t="str">
        <v/>
      </c>
      <c r="F31136" s="102" t="str">
        <f ca="1">IFERROR(__xludf.DUMMYFUNCTION("IMPORTRANGE(H31136,""IDENTITAS UNIT!D9"")"),"#N/A")</f>
        <v>#N/A</v>
      </c>
      <c r="H31136" s="4" t="str">
        <v/>
      </c>
      <c r="I31136" s="4" t="str">
        <v/>
      </c>
    </row>
    <row r="31137" spans="5:9" ht="16.5" hidden="1">
      <c r="E31137" s="4" t="str">
        <v/>
      </c>
      <c r="F31137" s="102" t="str">
        <f ca="1">IFERROR(__xludf.DUMMYFUNCTION("IMPORTRANGE(H31137,""IDENTITAS UNIT!D9"")"),"#N/A")</f>
        <v>#N/A</v>
      </c>
      <c r="H31137" s="4" t="str">
        <v/>
      </c>
      <c r="I31137" s="4" t="str">
        <v/>
      </c>
    </row>
    <row r="31138" spans="5:9" ht="16.5" hidden="1">
      <c r="E31138" s="4" t="str">
        <v/>
      </c>
      <c r="F31138" s="102" t="str">
        <f ca="1">IFERROR(__xludf.DUMMYFUNCTION("IMPORTRANGE(H31138,""IDENTITAS UNIT!D9"")"),"#N/A")</f>
        <v>#N/A</v>
      </c>
      <c r="H31138" s="4" t="str">
        <v/>
      </c>
      <c r="I31138" s="4" t="str">
        <v/>
      </c>
    </row>
    <row r="31139" spans="5:9" ht="16.5" hidden="1">
      <c r="E31139" s="4" t="str">
        <v/>
      </c>
      <c r="F31139" s="102" t="str">
        <f ca="1">IFERROR(__xludf.DUMMYFUNCTION("IMPORTRANGE(H31139,""IDENTITAS UNIT!D9"")"),"#N/A")</f>
        <v>#N/A</v>
      </c>
      <c r="H31139" s="4" t="str">
        <v/>
      </c>
      <c r="I31139" s="4" t="str">
        <v/>
      </c>
    </row>
    <row r="31140" spans="5:9" ht="16.5" hidden="1">
      <c r="E31140" s="4" t="str">
        <v/>
      </c>
      <c r="F31140" s="102" t="str">
        <f ca="1">IFERROR(__xludf.DUMMYFUNCTION("IMPORTRANGE(H31140,""IDENTITAS UNIT!D9"")"),"#N/A")</f>
        <v>#N/A</v>
      </c>
      <c r="H31140" s="4" t="str">
        <v/>
      </c>
      <c r="I31140" s="4" t="str">
        <v/>
      </c>
    </row>
    <row r="31141" spans="5:9" ht="16.5" hidden="1">
      <c r="E31141" s="4" t="str">
        <v/>
      </c>
      <c r="F31141" s="102" t="str">
        <f ca="1">IFERROR(__xludf.DUMMYFUNCTION("IMPORTRANGE(H31141,""IDENTITAS UNIT!D9"")"),"#N/A")</f>
        <v>#N/A</v>
      </c>
      <c r="H31141" s="4" t="str">
        <v/>
      </c>
      <c r="I31141" s="4" t="str">
        <v/>
      </c>
    </row>
    <row r="31142" spans="5:9" ht="16.5" hidden="1">
      <c r="E31142" s="4" t="str">
        <v/>
      </c>
      <c r="F31142" s="102" t="str">
        <f ca="1">IFERROR(__xludf.DUMMYFUNCTION("IMPORTRANGE(H31142,""IDENTITAS UNIT!D9"")"),"#N/A")</f>
        <v>#N/A</v>
      </c>
      <c r="H31142" s="4" t="str">
        <v/>
      </c>
      <c r="I31142" s="4" t="str">
        <v/>
      </c>
    </row>
    <row r="31143" spans="5:9" ht="16.5" hidden="1">
      <c r="E31143" s="4" t="str">
        <v/>
      </c>
      <c r="F31143" s="102" t="str">
        <f ca="1">IFERROR(__xludf.DUMMYFUNCTION("IMPORTRANGE(H31143,""IDENTITAS UNIT!D9"")"),"#N/A")</f>
        <v>#N/A</v>
      </c>
      <c r="H31143" s="4" t="str">
        <v/>
      </c>
      <c r="I31143" s="4" t="str">
        <v/>
      </c>
    </row>
    <row r="31144" spans="5:9" ht="16.5" hidden="1">
      <c r="E31144" s="4" t="str">
        <v/>
      </c>
      <c r="F31144" s="102" t="str">
        <f ca="1">IFERROR(__xludf.DUMMYFUNCTION("IMPORTRANGE(H31144,""IDENTITAS UNIT!D9"")"),"#N/A")</f>
        <v>#N/A</v>
      </c>
      <c r="H31144" s="4" t="str">
        <v/>
      </c>
      <c r="I31144" s="4" t="str">
        <v/>
      </c>
    </row>
    <row r="31145" spans="5:9" ht="16.5" hidden="1">
      <c r="E31145" s="4" t="str">
        <v/>
      </c>
      <c r="F31145" s="102" t="str">
        <f ca="1">IFERROR(__xludf.DUMMYFUNCTION("IMPORTRANGE(H31145,""IDENTITAS UNIT!D9"")"),"#N/A")</f>
        <v>#N/A</v>
      </c>
      <c r="H31145" s="4" t="str">
        <v/>
      </c>
      <c r="I31145" s="4" t="str">
        <v/>
      </c>
    </row>
    <row r="31146" spans="5:9" ht="16.5" hidden="1">
      <c r="E31146" s="4" t="str">
        <v/>
      </c>
      <c r="F31146" s="102" t="str">
        <f ca="1">IFERROR(__xludf.DUMMYFUNCTION("IMPORTRANGE(H31146,""IDENTITAS UNIT!D9"")"),"#N/A")</f>
        <v>#N/A</v>
      </c>
      <c r="H31146" s="4" t="str">
        <v/>
      </c>
      <c r="I31146" s="4" t="str">
        <v/>
      </c>
    </row>
    <row r="31147" spans="5:9" ht="16.5" hidden="1">
      <c r="E31147" s="4" t="str">
        <v/>
      </c>
      <c r="F31147" s="102" t="str">
        <f ca="1">IFERROR(__xludf.DUMMYFUNCTION("IMPORTRANGE(H31147,""IDENTITAS UNIT!D9"")"),"#N/A")</f>
        <v>#N/A</v>
      </c>
      <c r="H31147" s="4" t="str">
        <v/>
      </c>
      <c r="I31147" s="4" t="str">
        <v/>
      </c>
    </row>
    <row r="31148" spans="5:9" ht="16.5" hidden="1">
      <c r="E31148" s="4" t="str">
        <v/>
      </c>
      <c r="F31148" s="102" t="str">
        <f ca="1">IFERROR(__xludf.DUMMYFUNCTION("IMPORTRANGE(H31148,""IDENTITAS UNIT!D9"")"),"#N/A")</f>
        <v>#N/A</v>
      </c>
      <c r="H31148" s="4" t="str">
        <v/>
      </c>
      <c r="I31148" s="4" t="str">
        <v/>
      </c>
    </row>
    <row r="31149" spans="5:9" ht="16.5" hidden="1">
      <c r="E31149" s="4" t="str">
        <v/>
      </c>
      <c r="F31149" s="102" t="str">
        <f ca="1">IFERROR(__xludf.DUMMYFUNCTION("IMPORTRANGE(H31149,""IDENTITAS UNIT!D9"")"),"#N/A")</f>
        <v>#N/A</v>
      </c>
      <c r="H31149" s="4" t="str">
        <v/>
      </c>
      <c r="I31149" s="4" t="str">
        <v/>
      </c>
    </row>
    <row r="31150" spans="5:9" ht="16.5" hidden="1">
      <c r="E31150" s="4" t="str">
        <v/>
      </c>
      <c r="F31150" s="102" t="str">
        <f ca="1">IFERROR(__xludf.DUMMYFUNCTION("IMPORTRANGE(H31150,""IDENTITAS UNIT!D9"")"),"#N/A")</f>
        <v>#N/A</v>
      </c>
      <c r="H31150" s="4" t="str">
        <v/>
      </c>
      <c r="I31150" s="4" t="str">
        <v/>
      </c>
    </row>
    <row r="31151" spans="5:9" ht="16.5" hidden="1">
      <c r="E31151" s="4" t="str">
        <v/>
      </c>
      <c r="F31151" s="102" t="str">
        <f ca="1">IFERROR(__xludf.DUMMYFUNCTION("IMPORTRANGE(H31151,""IDENTITAS UNIT!D9"")"),"#N/A")</f>
        <v>#N/A</v>
      </c>
      <c r="H31151" s="4" t="str">
        <v/>
      </c>
      <c r="I31151" s="4" t="str">
        <v/>
      </c>
    </row>
    <row r="31152" spans="5:9" ht="16.5" hidden="1">
      <c r="E31152" s="4" t="str">
        <v/>
      </c>
      <c r="F31152" s="102" t="str">
        <f ca="1">IFERROR(__xludf.DUMMYFUNCTION("IMPORTRANGE(H31152,""IDENTITAS UNIT!D9"")"),"#N/A")</f>
        <v>#N/A</v>
      </c>
      <c r="H31152" s="4" t="str">
        <v/>
      </c>
      <c r="I31152" s="4" t="str">
        <v/>
      </c>
    </row>
    <row r="31153" spans="5:9" ht="16.5" hidden="1">
      <c r="E31153" s="4" t="str">
        <v/>
      </c>
      <c r="F31153" s="102" t="str">
        <f ca="1">IFERROR(__xludf.DUMMYFUNCTION("IMPORTRANGE(H31153,""IDENTITAS UNIT!D9"")"),"#N/A")</f>
        <v>#N/A</v>
      </c>
      <c r="H31153" s="4" t="str">
        <v/>
      </c>
      <c r="I31153" s="4" t="str">
        <v/>
      </c>
    </row>
    <row r="31154" spans="5:9" ht="16.5" hidden="1">
      <c r="E31154" s="4" t="str">
        <v/>
      </c>
      <c r="F31154" s="102" t="str">
        <f ca="1">IFERROR(__xludf.DUMMYFUNCTION("IMPORTRANGE(H31154,""IDENTITAS UNIT!D9"")"),"#N/A")</f>
        <v>#N/A</v>
      </c>
      <c r="H31154" s="4" t="str">
        <v/>
      </c>
      <c r="I31154" s="4" t="str">
        <v/>
      </c>
    </row>
    <row r="31155" spans="5:9" ht="16.5" hidden="1">
      <c r="E31155" s="4" t="str">
        <v/>
      </c>
      <c r="F31155" s="102" t="str">
        <f ca="1">IFERROR(__xludf.DUMMYFUNCTION("IMPORTRANGE(H31155,""IDENTITAS UNIT!D9"")"),"#N/A")</f>
        <v>#N/A</v>
      </c>
      <c r="H31155" s="4" t="str">
        <v/>
      </c>
      <c r="I31155" s="4" t="str">
        <v/>
      </c>
    </row>
    <row r="31156" spans="5:9" ht="16.5" hidden="1">
      <c r="E31156" s="4" t="str">
        <v/>
      </c>
      <c r="F31156" s="102" t="str">
        <f ca="1">IFERROR(__xludf.DUMMYFUNCTION("IMPORTRANGE(H31156,""IDENTITAS UNIT!D9"")"),"#N/A")</f>
        <v>#N/A</v>
      </c>
      <c r="H31156" s="4" t="str">
        <v/>
      </c>
      <c r="I31156" s="4" t="str">
        <v/>
      </c>
    </row>
    <row r="31157" spans="5:9" ht="16.5" hidden="1">
      <c r="E31157" s="4" t="str">
        <v/>
      </c>
      <c r="F31157" s="102" t="str">
        <f ca="1">IFERROR(__xludf.DUMMYFUNCTION("IMPORTRANGE(H31157,""IDENTITAS UNIT!D9"")"),"#N/A")</f>
        <v>#N/A</v>
      </c>
      <c r="H31157" s="4" t="str">
        <v/>
      </c>
      <c r="I31157" s="4" t="str">
        <v/>
      </c>
    </row>
    <row r="31158" spans="5:9" ht="16.5" hidden="1">
      <c r="E31158" s="4" t="str">
        <v/>
      </c>
      <c r="F31158" s="102" t="str">
        <f ca="1">IFERROR(__xludf.DUMMYFUNCTION("IMPORTRANGE(H31158,""IDENTITAS UNIT!D9"")"),"#N/A")</f>
        <v>#N/A</v>
      </c>
      <c r="H31158" s="4" t="str">
        <v/>
      </c>
      <c r="I31158" s="4" t="str">
        <v/>
      </c>
    </row>
    <row r="31159" spans="5:9" ht="16.5" hidden="1">
      <c r="E31159" s="4" t="str">
        <v/>
      </c>
      <c r="F31159" s="102" t="str">
        <f ca="1">IFERROR(__xludf.DUMMYFUNCTION("IMPORTRANGE(H31159,""IDENTITAS UNIT!D9"")"),"#N/A")</f>
        <v>#N/A</v>
      </c>
      <c r="H31159" s="4" t="str">
        <v/>
      </c>
      <c r="I31159" s="4" t="str">
        <v/>
      </c>
    </row>
    <row r="31160" spans="5:9" ht="16.5" hidden="1">
      <c r="E31160" s="4" t="str">
        <v/>
      </c>
      <c r="F31160" s="102" t="str">
        <f ca="1">IFERROR(__xludf.DUMMYFUNCTION("IMPORTRANGE(H31160,""IDENTITAS UNIT!D9"")"),"#N/A")</f>
        <v>#N/A</v>
      </c>
      <c r="H31160" s="4" t="str">
        <v/>
      </c>
      <c r="I31160" s="4" t="str">
        <v/>
      </c>
    </row>
    <row r="31161" spans="5:9" ht="16.5" hidden="1">
      <c r="E31161" s="4" t="str">
        <v/>
      </c>
      <c r="F31161" s="102" t="str">
        <f ca="1">IFERROR(__xludf.DUMMYFUNCTION("IMPORTRANGE(H31161,""IDENTITAS UNIT!D9"")"),"#N/A")</f>
        <v>#N/A</v>
      </c>
      <c r="H31161" s="4" t="str">
        <v/>
      </c>
      <c r="I31161" s="4" t="str">
        <v/>
      </c>
    </row>
    <row r="31162" spans="5:9" ht="16.5" hidden="1">
      <c r="E31162" s="4" t="str">
        <v/>
      </c>
      <c r="F31162" s="102" t="str">
        <f ca="1">IFERROR(__xludf.DUMMYFUNCTION("IMPORTRANGE(H31162,""IDENTITAS UNIT!D9"")"),"#N/A")</f>
        <v>#N/A</v>
      </c>
      <c r="H31162" s="4" t="str">
        <v/>
      </c>
      <c r="I31162" s="4" t="str">
        <v/>
      </c>
    </row>
    <row r="31163" spans="5:9" ht="16.5" hidden="1">
      <c r="E31163" s="4" t="str">
        <v/>
      </c>
      <c r="F31163" s="102" t="str">
        <f ca="1">IFERROR(__xludf.DUMMYFUNCTION("IMPORTRANGE(H31163,""IDENTITAS UNIT!D9"")"),"#N/A")</f>
        <v>#N/A</v>
      </c>
      <c r="H31163" s="4" t="str">
        <v/>
      </c>
      <c r="I31163" s="4" t="str">
        <v/>
      </c>
    </row>
    <row r="31164" spans="5:9" ht="16.5" hidden="1">
      <c r="E31164" s="4" t="str">
        <v/>
      </c>
      <c r="F31164" s="102" t="str">
        <f ca="1">IFERROR(__xludf.DUMMYFUNCTION("IMPORTRANGE(H31164,""IDENTITAS UNIT!D9"")"),"#N/A")</f>
        <v>#N/A</v>
      </c>
      <c r="H31164" s="4" t="str">
        <v/>
      </c>
      <c r="I31164" s="4" t="str">
        <v/>
      </c>
    </row>
    <row r="31165" spans="5:9" ht="16.5" hidden="1">
      <c r="E31165" s="4" t="str">
        <v/>
      </c>
      <c r="F31165" s="102" t="str">
        <f ca="1">IFERROR(__xludf.DUMMYFUNCTION("IMPORTRANGE(H31165,""IDENTITAS UNIT!D9"")"),"#N/A")</f>
        <v>#N/A</v>
      </c>
      <c r="H31165" s="4" t="str">
        <v/>
      </c>
      <c r="I31165" s="4" t="str">
        <v/>
      </c>
    </row>
    <row r="31166" spans="5:9" ht="16.5" hidden="1">
      <c r="E31166" s="4" t="str">
        <v/>
      </c>
      <c r="F31166" s="102" t="str">
        <f ca="1">IFERROR(__xludf.DUMMYFUNCTION("IMPORTRANGE(H31166,""IDENTITAS UNIT!D9"")"),"#N/A")</f>
        <v>#N/A</v>
      </c>
      <c r="H31166" s="4" t="str">
        <v/>
      </c>
      <c r="I31166" s="4" t="str">
        <v/>
      </c>
    </row>
    <row r="31167" spans="5:9" ht="16.5" hidden="1">
      <c r="E31167" s="4" t="str">
        <v/>
      </c>
      <c r="F31167" s="102" t="str">
        <f ca="1">IFERROR(__xludf.DUMMYFUNCTION("IMPORTRANGE(H31167,""IDENTITAS UNIT!D9"")"),"#N/A")</f>
        <v>#N/A</v>
      </c>
      <c r="H31167" s="4" t="str">
        <v/>
      </c>
      <c r="I31167" s="4" t="str">
        <v/>
      </c>
    </row>
    <row r="31168" spans="5:9" ht="16.5" hidden="1">
      <c r="E31168" s="4" t="str">
        <v/>
      </c>
      <c r="F31168" s="102" t="str">
        <f ca="1">IFERROR(__xludf.DUMMYFUNCTION("IMPORTRANGE(H31168,""IDENTITAS UNIT!D9"")"),"#N/A")</f>
        <v>#N/A</v>
      </c>
      <c r="H31168" s="4" t="str">
        <v/>
      </c>
      <c r="I31168" s="4" t="str">
        <v/>
      </c>
    </row>
    <row r="31169" spans="5:9" ht="16.5" hidden="1">
      <c r="E31169" s="4" t="str">
        <v/>
      </c>
      <c r="F31169" s="102" t="str">
        <f ca="1">IFERROR(__xludf.DUMMYFUNCTION("IMPORTRANGE(H31169,""IDENTITAS UNIT!D9"")"),"#N/A")</f>
        <v>#N/A</v>
      </c>
      <c r="H31169" s="4" t="str">
        <v/>
      </c>
      <c r="I31169" s="4" t="str">
        <v/>
      </c>
    </row>
    <row r="31170" spans="5:9" ht="16.5" hidden="1">
      <c r="E31170" s="4" t="str">
        <v/>
      </c>
      <c r="F31170" s="102" t="str">
        <f ca="1">IFERROR(__xludf.DUMMYFUNCTION("IMPORTRANGE(H31170,""IDENTITAS UNIT!D9"")"),"#N/A")</f>
        <v>#N/A</v>
      </c>
      <c r="H31170" s="4" t="str">
        <v/>
      </c>
      <c r="I31170" s="4" t="str">
        <v/>
      </c>
    </row>
    <row r="31171" spans="5:9" ht="16.5" hidden="1">
      <c r="E31171" s="4" t="str">
        <v/>
      </c>
      <c r="F31171" s="102" t="str">
        <f ca="1">IFERROR(__xludf.DUMMYFUNCTION("IMPORTRANGE(H31171,""IDENTITAS UNIT!D9"")"),"#N/A")</f>
        <v>#N/A</v>
      </c>
      <c r="H31171" s="4" t="str">
        <v/>
      </c>
      <c r="I31171" s="4" t="str">
        <v/>
      </c>
    </row>
    <row r="31172" spans="5:9" ht="16.5" hidden="1">
      <c r="E31172" s="4" t="str">
        <v/>
      </c>
      <c r="F31172" s="102" t="str">
        <f ca="1">IFERROR(__xludf.DUMMYFUNCTION("IMPORTRANGE(H31172,""IDENTITAS UNIT!D9"")"),"#N/A")</f>
        <v>#N/A</v>
      </c>
      <c r="H31172" s="4" t="str">
        <v/>
      </c>
      <c r="I31172" s="4" t="str">
        <v/>
      </c>
    </row>
    <row r="31173" spans="5:9" ht="16.5" hidden="1">
      <c r="E31173" s="4" t="str">
        <v/>
      </c>
      <c r="F31173" s="102" t="str">
        <f ca="1">IFERROR(__xludf.DUMMYFUNCTION("IMPORTRANGE(H31173,""IDENTITAS UNIT!D9"")"),"#N/A")</f>
        <v>#N/A</v>
      </c>
      <c r="H31173" s="4" t="str">
        <v/>
      </c>
      <c r="I31173" s="4" t="str">
        <v/>
      </c>
    </row>
    <row r="31174" spans="5:9" ht="16.5" hidden="1">
      <c r="E31174" s="4" t="str">
        <v/>
      </c>
      <c r="F31174" s="102" t="str">
        <f ca="1">IFERROR(__xludf.DUMMYFUNCTION("IMPORTRANGE(H31174,""IDENTITAS UNIT!D9"")"),"#N/A")</f>
        <v>#N/A</v>
      </c>
      <c r="H31174" s="4" t="str">
        <v/>
      </c>
      <c r="I31174" s="4" t="str">
        <v/>
      </c>
    </row>
    <row r="31175" spans="5:9" ht="16.5" hidden="1">
      <c r="E31175" s="4" t="str">
        <v/>
      </c>
      <c r="F31175" s="102" t="str">
        <f ca="1">IFERROR(__xludf.DUMMYFUNCTION("IMPORTRANGE(H31175,""IDENTITAS UNIT!D9"")"),"#N/A")</f>
        <v>#N/A</v>
      </c>
      <c r="H31175" s="4" t="str">
        <v/>
      </c>
      <c r="I31175" s="4" t="str">
        <v/>
      </c>
    </row>
    <row r="31176" spans="5:9" ht="16.5" hidden="1">
      <c r="E31176" s="4" t="str">
        <v/>
      </c>
      <c r="F31176" s="102" t="str">
        <f ca="1">IFERROR(__xludf.DUMMYFUNCTION("IMPORTRANGE(H31176,""IDENTITAS UNIT!D9"")"),"#N/A")</f>
        <v>#N/A</v>
      </c>
      <c r="H31176" s="4" t="str">
        <v/>
      </c>
      <c r="I31176" s="4" t="str">
        <v/>
      </c>
    </row>
    <row r="31177" spans="5:9" ht="16.5" hidden="1">
      <c r="E31177" s="4" t="str">
        <v/>
      </c>
      <c r="F31177" s="102" t="str">
        <f ca="1">IFERROR(__xludf.DUMMYFUNCTION("IMPORTRANGE(H31177,""IDENTITAS UNIT!D9"")"),"#N/A")</f>
        <v>#N/A</v>
      </c>
      <c r="H31177" s="4" t="str">
        <v/>
      </c>
      <c r="I31177" s="4" t="str">
        <v/>
      </c>
    </row>
    <row r="31178" spans="5:9" ht="16.5" hidden="1">
      <c r="E31178" s="4" t="str">
        <v/>
      </c>
      <c r="F31178" s="102" t="str">
        <f ca="1">IFERROR(__xludf.DUMMYFUNCTION("IMPORTRANGE(H31178,""IDENTITAS UNIT!D9"")"),"#N/A")</f>
        <v>#N/A</v>
      </c>
      <c r="H31178" s="4" t="str">
        <v/>
      </c>
      <c r="I31178" s="4" t="str">
        <v/>
      </c>
    </row>
    <row r="31179" spans="5:9" ht="16.5" hidden="1">
      <c r="E31179" s="4" t="str">
        <v/>
      </c>
      <c r="F31179" s="102" t="str">
        <f ca="1">IFERROR(__xludf.DUMMYFUNCTION("IMPORTRANGE(H31179,""IDENTITAS UNIT!D9"")"),"#N/A")</f>
        <v>#N/A</v>
      </c>
      <c r="H31179" s="4" t="str">
        <v/>
      </c>
      <c r="I31179" s="4" t="str">
        <v/>
      </c>
    </row>
    <row r="31180" spans="5:9" ht="16.5" hidden="1">
      <c r="E31180" s="4" t="str">
        <v/>
      </c>
      <c r="F31180" s="102" t="str">
        <f ca="1">IFERROR(__xludf.DUMMYFUNCTION("IMPORTRANGE(H31180,""IDENTITAS UNIT!D9"")"),"#N/A")</f>
        <v>#N/A</v>
      </c>
      <c r="H31180" s="4" t="str">
        <v/>
      </c>
      <c r="I31180" s="4" t="str">
        <v/>
      </c>
    </row>
    <row r="31181" spans="5:9" ht="16.5" hidden="1">
      <c r="E31181" s="4" t="str">
        <v/>
      </c>
      <c r="F31181" s="102" t="str">
        <f ca="1">IFERROR(__xludf.DUMMYFUNCTION("IMPORTRANGE(H31181,""IDENTITAS UNIT!D9"")"),"#N/A")</f>
        <v>#N/A</v>
      </c>
      <c r="H31181" s="4" t="str">
        <v/>
      </c>
      <c r="I31181" s="4" t="str">
        <v/>
      </c>
    </row>
    <row r="31182" spans="5:9" ht="16.5" hidden="1">
      <c r="E31182" s="4" t="str">
        <v/>
      </c>
      <c r="F31182" s="102" t="str">
        <f ca="1">IFERROR(__xludf.DUMMYFUNCTION("IMPORTRANGE(H31182,""IDENTITAS UNIT!D9"")"),"#N/A")</f>
        <v>#N/A</v>
      </c>
      <c r="H31182" s="4" t="str">
        <v/>
      </c>
      <c r="I31182" s="4" t="str">
        <v/>
      </c>
    </row>
    <row r="31183" spans="5:9" ht="16.5" hidden="1">
      <c r="E31183" s="4" t="str">
        <v/>
      </c>
      <c r="F31183" s="102" t="str">
        <f ca="1">IFERROR(__xludf.DUMMYFUNCTION("IMPORTRANGE(H31183,""IDENTITAS UNIT!D9"")"),"#N/A")</f>
        <v>#N/A</v>
      </c>
      <c r="H31183" s="4" t="str">
        <v/>
      </c>
      <c r="I31183" s="4" t="str">
        <v/>
      </c>
    </row>
    <row r="31184" spans="5:9" ht="16.5" hidden="1">
      <c r="E31184" s="4" t="str">
        <v/>
      </c>
      <c r="F31184" s="102" t="str">
        <f ca="1">IFERROR(__xludf.DUMMYFUNCTION("IMPORTRANGE(H31184,""IDENTITAS UNIT!D9"")"),"#N/A")</f>
        <v>#N/A</v>
      </c>
      <c r="H31184" s="4" t="str">
        <v/>
      </c>
      <c r="I31184" s="4" t="str">
        <v/>
      </c>
    </row>
    <row r="31185" spans="5:9" ht="16.5" hidden="1">
      <c r="E31185" s="4" t="str">
        <v/>
      </c>
      <c r="F31185" s="102" t="str">
        <f ca="1">IFERROR(__xludf.DUMMYFUNCTION("IMPORTRANGE(H31185,""IDENTITAS UNIT!D9"")"),"#N/A")</f>
        <v>#N/A</v>
      </c>
      <c r="H31185" s="4" t="str">
        <v/>
      </c>
      <c r="I31185" s="4" t="str">
        <v/>
      </c>
    </row>
    <row r="31186" spans="5:9" ht="16.5" hidden="1">
      <c r="E31186" s="4" t="str">
        <v/>
      </c>
      <c r="F31186" s="102" t="str">
        <f ca="1">IFERROR(__xludf.DUMMYFUNCTION("IMPORTRANGE(H31186,""IDENTITAS UNIT!D9"")"),"#N/A")</f>
        <v>#N/A</v>
      </c>
      <c r="H31186" s="4" t="str">
        <v/>
      </c>
      <c r="I31186" s="4" t="str">
        <v/>
      </c>
    </row>
    <row r="31187" spans="5:9" ht="16.5" hidden="1">
      <c r="E31187" s="4" t="str">
        <v/>
      </c>
      <c r="F31187" s="102" t="str">
        <f ca="1">IFERROR(__xludf.DUMMYFUNCTION("IMPORTRANGE(H31187,""IDENTITAS UNIT!D9"")"),"#N/A")</f>
        <v>#N/A</v>
      </c>
      <c r="H31187" s="4" t="str">
        <v/>
      </c>
      <c r="I31187" s="4" t="str">
        <v/>
      </c>
    </row>
    <row r="31188" spans="5:9" ht="16.5" hidden="1">
      <c r="E31188" s="4" t="str">
        <v/>
      </c>
      <c r="F31188" s="102" t="str">
        <f ca="1">IFERROR(__xludf.DUMMYFUNCTION("IMPORTRANGE(H31188,""IDENTITAS UNIT!D9"")"),"#N/A")</f>
        <v>#N/A</v>
      </c>
      <c r="H31188" s="4" t="str">
        <v/>
      </c>
      <c r="I31188" s="4" t="str">
        <v/>
      </c>
    </row>
    <row r="31189" spans="5:9" ht="16.5" hidden="1">
      <c r="E31189" s="4" t="str">
        <v/>
      </c>
      <c r="F31189" s="102" t="str">
        <f ca="1">IFERROR(__xludf.DUMMYFUNCTION("IMPORTRANGE(H31189,""IDENTITAS UNIT!D9"")"),"#N/A")</f>
        <v>#N/A</v>
      </c>
      <c r="H31189" s="4" t="str">
        <v/>
      </c>
      <c r="I31189" s="4" t="str">
        <v/>
      </c>
    </row>
    <row r="31190" spans="5:9" ht="16.5" hidden="1">
      <c r="E31190" s="4" t="str">
        <v/>
      </c>
      <c r="F31190" s="102" t="str">
        <f ca="1">IFERROR(__xludf.DUMMYFUNCTION("IMPORTRANGE(H31190,""IDENTITAS UNIT!D9"")"),"#N/A")</f>
        <v>#N/A</v>
      </c>
      <c r="H31190" s="4" t="str">
        <v/>
      </c>
      <c r="I31190" s="4" t="str">
        <v/>
      </c>
    </row>
    <row r="31191" spans="5:9" ht="16.5" hidden="1">
      <c r="E31191" s="4" t="str">
        <v/>
      </c>
      <c r="F31191" s="102" t="str">
        <f ca="1">IFERROR(__xludf.DUMMYFUNCTION("IMPORTRANGE(H31191,""IDENTITAS UNIT!D9"")"),"#N/A")</f>
        <v>#N/A</v>
      </c>
      <c r="H31191" s="4" t="str">
        <v/>
      </c>
      <c r="I31191" s="4" t="str">
        <v/>
      </c>
    </row>
    <row r="31192" spans="5:9" ht="16.5" hidden="1">
      <c r="E31192" s="4" t="str">
        <v/>
      </c>
      <c r="F31192" s="102" t="str">
        <f ca="1">IFERROR(__xludf.DUMMYFUNCTION("IMPORTRANGE(H31192,""IDENTITAS UNIT!D9"")"),"#N/A")</f>
        <v>#N/A</v>
      </c>
      <c r="H31192" s="4" t="str">
        <v/>
      </c>
      <c r="I31192" s="4" t="str">
        <v/>
      </c>
    </row>
    <row r="31193" spans="5:9" ht="16.5" hidden="1">
      <c r="E31193" s="4" t="str">
        <v/>
      </c>
      <c r="F31193" s="102" t="str">
        <f ca="1">IFERROR(__xludf.DUMMYFUNCTION("IMPORTRANGE(H31193,""IDENTITAS UNIT!D9"")"),"#N/A")</f>
        <v>#N/A</v>
      </c>
      <c r="H31193" s="4" t="str">
        <v/>
      </c>
      <c r="I31193" s="4" t="str">
        <v/>
      </c>
    </row>
    <row r="31194" spans="5:9" ht="16.5" hidden="1">
      <c r="E31194" s="4" t="str">
        <v/>
      </c>
      <c r="F31194" s="102" t="str">
        <f ca="1">IFERROR(__xludf.DUMMYFUNCTION("IMPORTRANGE(H31194,""IDENTITAS UNIT!D9"")"),"#N/A")</f>
        <v>#N/A</v>
      </c>
      <c r="H31194" s="4" t="str">
        <v/>
      </c>
      <c r="I31194" s="4" t="str">
        <v/>
      </c>
    </row>
    <row r="31195" spans="5:9" ht="16.5" hidden="1">
      <c r="E31195" s="4" t="str">
        <v/>
      </c>
      <c r="F31195" s="102" t="str">
        <f ca="1">IFERROR(__xludf.DUMMYFUNCTION("IMPORTRANGE(H31195,""IDENTITAS UNIT!D9"")"),"#N/A")</f>
        <v>#N/A</v>
      </c>
      <c r="H31195" s="4" t="str">
        <v/>
      </c>
      <c r="I31195" s="4" t="str">
        <v/>
      </c>
    </row>
    <row r="31196" spans="5:9" ht="16.5" hidden="1">
      <c r="E31196" s="4" t="str">
        <v/>
      </c>
      <c r="F31196" s="102" t="str">
        <f ca="1">IFERROR(__xludf.DUMMYFUNCTION("IMPORTRANGE(H31196,""IDENTITAS UNIT!D9"")"),"#N/A")</f>
        <v>#N/A</v>
      </c>
      <c r="H31196" s="4" t="str">
        <v/>
      </c>
      <c r="I31196" s="4" t="str">
        <v/>
      </c>
    </row>
    <row r="31197" spans="5:9" ht="16.5" hidden="1">
      <c r="E31197" s="4" t="str">
        <v/>
      </c>
      <c r="F31197" s="102" t="str">
        <f ca="1">IFERROR(__xludf.DUMMYFUNCTION("IMPORTRANGE(H31197,""IDENTITAS UNIT!D9"")"),"#N/A")</f>
        <v>#N/A</v>
      </c>
      <c r="H31197" s="4" t="str">
        <v/>
      </c>
      <c r="I31197" s="4" t="str">
        <v/>
      </c>
    </row>
    <row r="31198" spans="5:9" ht="16.5" hidden="1">
      <c r="E31198" s="4" t="str">
        <v/>
      </c>
      <c r="F31198" s="102" t="str">
        <f ca="1">IFERROR(__xludf.DUMMYFUNCTION("IMPORTRANGE(H31198,""IDENTITAS UNIT!D9"")"),"#N/A")</f>
        <v>#N/A</v>
      </c>
      <c r="H31198" s="4" t="str">
        <v/>
      </c>
      <c r="I31198" s="4" t="str">
        <v/>
      </c>
    </row>
    <row r="31199" spans="5:9" ht="16.5" hidden="1">
      <c r="E31199" s="4" t="str">
        <v/>
      </c>
      <c r="F31199" s="102" t="str">
        <f ca="1">IFERROR(__xludf.DUMMYFUNCTION("IMPORTRANGE(H31199,""IDENTITAS UNIT!D9"")"),"#N/A")</f>
        <v>#N/A</v>
      </c>
      <c r="H31199" s="4" t="str">
        <v/>
      </c>
      <c r="I31199" s="4" t="str">
        <v/>
      </c>
    </row>
    <row r="31200" spans="5:9" ht="16.5" hidden="1">
      <c r="E31200" s="4" t="str">
        <v/>
      </c>
      <c r="F31200" s="102" t="str">
        <f ca="1">IFERROR(__xludf.DUMMYFUNCTION("IMPORTRANGE(H31200,""IDENTITAS UNIT!D9"")"),"#N/A")</f>
        <v>#N/A</v>
      </c>
      <c r="H31200" s="4" t="str">
        <v/>
      </c>
      <c r="I31200" s="4" t="str">
        <v/>
      </c>
    </row>
    <row r="31201" spans="5:9" ht="16.5" hidden="1">
      <c r="E31201" s="4" t="str">
        <v/>
      </c>
      <c r="F31201" s="102" t="str">
        <f ca="1">IFERROR(__xludf.DUMMYFUNCTION("IMPORTRANGE(H31201,""IDENTITAS UNIT!D9"")"),"#N/A")</f>
        <v>#N/A</v>
      </c>
      <c r="H31201" s="4" t="str">
        <v/>
      </c>
      <c r="I31201" s="4" t="str">
        <v/>
      </c>
    </row>
    <row r="31202" spans="5:9" ht="16.5" hidden="1">
      <c r="E31202" s="4" t="str">
        <v/>
      </c>
      <c r="F31202" s="102" t="str">
        <f ca="1">IFERROR(__xludf.DUMMYFUNCTION("IMPORTRANGE(H31202,""IDENTITAS UNIT!D9"")"),"#N/A")</f>
        <v>#N/A</v>
      </c>
      <c r="H31202" s="4" t="str">
        <v/>
      </c>
      <c r="I31202" s="4" t="str">
        <v/>
      </c>
    </row>
    <row r="31203" spans="5:9" ht="16.5" hidden="1">
      <c r="E31203" s="4" t="str">
        <v/>
      </c>
      <c r="F31203" s="102" t="str">
        <f ca="1">IFERROR(__xludf.DUMMYFUNCTION("IMPORTRANGE(H31203,""IDENTITAS UNIT!D9"")"),"#N/A")</f>
        <v>#N/A</v>
      </c>
      <c r="H31203" s="4" t="str">
        <v/>
      </c>
      <c r="I31203" s="4" t="str">
        <v/>
      </c>
    </row>
    <row r="31204" spans="5:9" ht="16.5" hidden="1">
      <c r="E31204" s="4" t="str">
        <v/>
      </c>
      <c r="F31204" s="102" t="str">
        <f ca="1">IFERROR(__xludf.DUMMYFUNCTION("IMPORTRANGE(H31204,""IDENTITAS UNIT!D9"")"),"#N/A")</f>
        <v>#N/A</v>
      </c>
      <c r="H31204" s="4" t="str">
        <v/>
      </c>
      <c r="I31204" s="4" t="str">
        <v/>
      </c>
    </row>
    <row r="31205" spans="5:9" ht="16.5" hidden="1">
      <c r="E31205" s="4" t="str">
        <v/>
      </c>
      <c r="F31205" s="102" t="str">
        <f ca="1">IFERROR(__xludf.DUMMYFUNCTION("IMPORTRANGE(H31205,""IDENTITAS UNIT!D9"")"),"#N/A")</f>
        <v>#N/A</v>
      </c>
      <c r="H31205" s="4" t="str">
        <v/>
      </c>
      <c r="I31205" s="4" t="str">
        <v/>
      </c>
    </row>
    <row r="31206" spans="5:9" ht="16.5" hidden="1">
      <c r="E31206" s="4" t="str">
        <v/>
      </c>
      <c r="F31206" s="102" t="str">
        <f ca="1">IFERROR(__xludf.DUMMYFUNCTION("IMPORTRANGE(H31206,""IDENTITAS UNIT!D9"")"),"#N/A")</f>
        <v>#N/A</v>
      </c>
      <c r="H31206" s="4" t="str">
        <v/>
      </c>
      <c r="I31206" s="4" t="str">
        <v/>
      </c>
    </row>
    <row r="31207" spans="5:9" ht="16.5" hidden="1">
      <c r="E31207" s="4" t="str">
        <v/>
      </c>
      <c r="F31207" s="102" t="str">
        <f ca="1">IFERROR(__xludf.DUMMYFUNCTION("IMPORTRANGE(H31207,""IDENTITAS UNIT!D9"")"),"#N/A")</f>
        <v>#N/A</v>
      </c>
      <c r="H31207" s="4" t="str">
        <v/>
      </c>
      <c r="I31207" s="4" t="str">
        <v/>
      </c>
    </row>
    <row r="31208" spans="5:9" ht="16.5" hidden="1">
      <c r="E31208" s="4" t="str">
        <v/>
      </c>
      <c r="F31208" s="102" t="str">
        <f ca="1">IFERROR(__xludf.DUMMYFUNCTION("IMPORTRANGE(H31208,""IDENTITAS UNIT!D9"")"),"#N/A")</f>
        <v>#N/A</v>
      </c>
      <c r="H31208" s="4" t="str">
        <v/>
      </c>
      <c r="I31208" s="4" t="str">
        <v/>
      </c>
    </row>
    <row r="31209" spans="5:9" ht="16.5" hidden="1">
      <c r="E31209" s="4" t="str">
        <v/>
      </c>
      <c r="F31209" s="102" t="str">
        <f ca="1">IFERROR(__xludf.DUMMYFUNCTION("IMPORTRANGE(H31209,""IDENTITAS UNIT!D9"")"),"#N/A")</f>
        <v>#N/A</v>
      </c>
      <c r="H31209" s="4" t="str">
        <v/>
      </c>
      <c r="I31209" s="4" t="str">
        <v/>
      </c>
    </row>
    <row r="31210" spans="5:9" ht="16.5" hidden="1">
      <c r="E31210" s="4" t="str">
        <v/>
      </c>
      <c r="F31210" s="102" t="str">
        <f ca="1">IFERROR(__xludf.DUMMYFUNCTION("IMPORTRANGE(H31210,""IDENTITAS UNIT!D9"")"),"#N/A")</f>
        <v>#N/A</v>
      </c>
      <c r="H31210" s="4" t="str">
        <v/>
      </c>
      <c r="I31210" s="4" t="str">
        <v/>
      </c>
    </row>
    <row r="31211" spans="5:9" ht="16.5" hidden="1">
      <c r="E31211" s="4" t="str">
        <v/>
      </c>
      <c r="F31211" s="102" t="str">
        <f ca="1">IFERROR(__xludf.DUMMYFUNCTION("IMPORTRANGE(H31211,""IDENTITAS UNIT!D9"")"),"#N/A")</f>
        <v>#N/A</v>
      </c>
      <c r="H31211" s="4" t="str">
        <v/>
      </c>
      <c r="I31211" s="4" t="str">
        <v/>
      </c>
    </row>
    <row r="31212" spans="5:9" ht="16.5" hidden="1">
      <c r="E31212" s="4" t="str">
        <v/>
      </c>
      <c r="F31212" s="102" t="str">
        <f ca="1">IFERROR(__xludf.DUMMYFUNCTION("IMPORTRANGE(H31212,""IDENTITAS UNIT!D9"")"),"#N/A")</f>
        <v>#N/A</v>
      </c>
      <c r="H31212" s="4" t="str">
        <v/>
      </c>
      <c r="I31212" s="4" t="str">
        <v/>
      </c>
    </row>
    <row r="31213" spans="5:9" ht="16.5" hidden="1">
      <c r="E31213" s="4" t="str">
        <v/>
      </c>
      <c r="F31213" s="102" t="str">
        <f ca="1">IFERROR(__xludf.DUMMYFUNCTION("IMPORTRANGE(H31213,""IDENTITAS UNIT!D9"")"),"#N/A")</f>
        <v>#N/A</v>
      </c>
      <c r="H31213" s="4" t="str">
        <v/>
      </c>
      <c r="I31213" s="4" t="str">
        <v/>
      </c>
    </row>
    <row r="31214" spans="5:9" ht="16.5" hidden="1">
      <c r="E31214" s="4" t="str">
        <v/>
      </c>
      <c r="F31214" s="102" t="str">
        <f ca="1">IFERROR(__xludf.DUMMYFUNCTION("IMPORTRANGE(H31214,""IDENTITAS UNIT!D9"")"),"#N/A")</f>
        <v>#N/A</v>
      </c>
      <c r="H31214" s="4" t="str">
        <v/>
      </c>
      <c r="I31214" s="4" t="str">
        <v/>
      </c>
    </row>
    <row r="31215" spans="5:9" ht="16.5" hidden="1">
      <c r="E31215" s="4" t="str">
        <v/>
      </c>
      <c r="F31215" s="102" t="str">
        <f ca="1">IFERROR(__xludf.DUMMYFUNCTION("IMPORTRANGE(H31215,""IDENTITAS UNIT!D9"")"),"#N/A")</f>
        <v>#N/A</v>
      </c>
      <c r="H31215" s="4" t="str">
        <v/>
      </c>
      <c r="I31215" s="4" t="str">
        <v/>
      </c>
    </row>
    <row r="31216" spans="5:9" ht="16.5" hidden="1">
      <c r="E31216" s="4" t="str">
        <v/>
      </c>
      <c r="F31216" s="102" t="str">
        <f ca="1">IFERROR(__xludf.DUMMYFUNCTION("IMPORTRANGE(H31216,""IDENTITAS UNIT!D9"")"),"#N/A")</f>
        <v>#N/A</v>
      </c>
      <c r="H31216" s="4" t="str">
        <v/>
      </c>
      <c r="I31216" s="4" t="str">
        <v/>
      </c>
    </row>
    <row r="31217" spans="5:9" ht="16.5" hidden="1">
      <c r="E31217" s="4" t="str">
        <v/>
      </c>
      <c r="F31217" s="102" t="str">
        <f ca="1">IFERROR(__xludf.DUMMYFUNCTION("IMPORTRANGE(H31217,""IDENTITAS UNIT!D9"")"),"#N/A")</f>
        <v>#N/A</v>
      </c>
      <c r="H31217" s="4" t="str">
        <v/>
      </c>
      <c r="I31217" s="4" t="str">
        <v/>
      </c>
    </row>
    <row r="31218" spans="5:9" ht="16.5" hidden="1">
      <c r="E31218" s="4" t="str">
        <v/>
      </c>
      <c r="F31218" s="102" t="str">
        <f ca="1">IFERROR(__xludf.DUMMYFUNCTION("IMPORTRANGE(H31218,""IDENTITAS UNIT!D9"")"),"#N/A")</f>
        <v>#N/A</v>
      </c>
      <c r="H31218" s="4" t="str">
        <v/>
      </c>
      <c r="I31218" s="4" t="str">
        <v/>
      </c>
    </row>
    <row r="31219" spans="5:9" ht="16.5" hidden="1">
      <c r="E31219" s="4" t="str">
        <v/>
      </c>
      <c r="F31219" s="102" t="str">
        <f ca="1">IFERROR(__xludf.DUMMYFUNCTION("IMPORTRANGE(H31219,""IDENTITAS UNIT!D9"")"),"#N/A")</f>
        <v>#N/A</v>
      </c>
      <c r="H31219" s="4" t="str">
        <v/>
      </c>
      <c r="I31219" s="4" t="str">
        <v/>
      </c>
    </row>
    <row r="31220" spans="5:9" ht="16.5" hidden="1">
      <c r="E31220" s="4" t="str">
        <v/>
      </c>
      <c r="F31220" s="102" t="str">
        <f ca="1">IFERROR(__xludf.DUMMYFUNCTION("IMPORTRANGE(H31220,""IDENTITAS UNIT!D9"")"),"#N/A")</f>
        <v>#N/A</v>
      </c>
      <c r="H31220" s="4" t="str">
        <v/>
      </c>
      <c r="I31220" s="4" t="str">
        <v/>
      </c>
    </row>
    <row r="31221" spans="5:9" ht="16.5" hidden="1">
      <c r="E31221" s="4" t="str">
        <v/>
      </c>
      <c r="F31221" s="102" t="str">
        <f ca="1">IFERROR(__xludf.DUMMYFUNCTION("IMPORTRANGE(H31221,""IDENTITAS UNIT!D9"")"),"#N/A")</f>
        <v>#N/A</v>
      </c>
      <c r="H31221" s="4" t="str">
        <v/>
      </c>
      <c r="I31221" s="4" t="str">
        <v/>
      </c>
    </row>
    <row r="31222" spans="5:9" ht="16.5" hidden="1">
      <c r="E31222" s="4" t="str">
        <v/>
      </c>
      <c r="F31222" s="102" t="str">
        <f ca="1">IFERROR(__xludf.DUMMYFUNCTION("IMPORTRANGE(H31222,""IDENTITAS UNIT!D9"")"),"#N/A")</f>
        <v>#N/A</v>
      </c>
      <c r="H31222" s="4" t="str">
        <v/>
      </c>
      <c r="I31222" s="4" t="str">
        <v/>
      </c>
    </row>
    <row r="31223" spans="5:9" ht="16.5" hidden="1">
      <c r="E31223" s="4" t="str">
        <v/>
      </c>
      <c r="F31223" s="102" t="str">
        <f ca="1">IFERROR(__xludf.DUMMYFUNCTION("IMPORTRANGE(H31223,""IDENTITAS UNIT!D9"")"),"#N/A")</f>
        <v>#N/A</v>
      </c>
      <c r="H31223" s="4" t="str">
        <v/>
      </c>
      <c r="I31223" s="4" t="str">
        <v/>
      </c>
    </row>
    <row r="31224" spans="5:9" ht="16.5" hidden="1">
      <c r="E31224" s="4" t="str">
        <v/>
      </c>
      <c r="F31224" s="102" t="str">
        <f ca="1">IFERROR(__xludf.DUMMYFUNCTION("IMPORTRANGE(H31224,""IDENTITAS UNIT!D9"")"),"#N/A")</f>
        <v>#N/A</v>
      </c>
      <c r="H31224" s="4" t="str">
        <v/>
      </c>
      <c r="I31224" s="4" t="str">
        <v/>
      </c>
    </row>
    <row r="31225" spans="5:9" ht="16.5" hidden="1">
      <c r="E31225" s="4" t="str">
        <v/>
      </c>
      <c r="F31225" s="102" t="str">
        <f ca="1">IFERROR(__xludf.DUMMYFUNCTION("IMPORTRANGE(H31225,""IDENTITAS UNIT!D9"")"),"#N/A")</f>
        <v>#N/A</v>
      </c>
      <c r="H31225" s="4" t="str">
        <v/>
      </c>
      <c r="I31225" s="4" t="str">
        <v/>
      </c>
    </row>
    <row r="31226" spans="5:9" ht="16.5" hidden="1">
      <c r="E31226" s="4" t="str">
        <v/>
      </c>
      <c r="F31226" s="102" t="str">
        <f ca="1">IFERROR(__xludf.DUMMYFUNCTION("IMPORTRANGE(H31226,""IDENTITAS UNIT!D9"")"),"#N/A")</f>
        <v>#N/A</v>
      </c>
      <c r="H31226" s="4" t="str">
        <v/>
      </c>
      <c r="I31226" s="4" t="str">
        <v/>
      </c>
    </row>
    <row r="31227" spans="5:9" ht="16.5" hidden="1">
      <c r="E31227" s="4" t="str">
        <v/>
      </c>
      <c r="F31227" s="102" t="str">
        <f ca="1">IFERROR(__xludf.DUMMYFUNCTION("IMPORTRANGE(H31227,""IDENTITAS UNIT!D9"")"),"#N/A")</f>
        <v>#N/A</v>
      </c>
      <c r="H31227" s="4" t="str">
        <v/>
      </c>
      <c r="I31227" s="4" t="str">
        <v/>
      </c>
    </row>
    <row r="31228" spans="5:9" ht="16.5" hidden="1">
      <c r="E31228" s="4" t="str">
        <v/>
      </c>
      <c r="F31228" s="102" t="str">
        <f ca="1">IFERROR(__xludf.DUMMYFUNCTION("IMPORTRANGE(H31228,""IDENTITAS UNIT!D9"")"),"#N/A")</f>
        <v>#N/A</v>
      </c>
      <c r="H31228" s="4" t="str">
        <v/>
      </c>
      <c r="I31228" s="4" t="str">
        <v/>
      </c>
    </row>
    <row r="31229" spans="5:9" ht="16.5" hidden="1">
      <c r="E31229" s="4" t="str">
        <v/>
      </c>
      <c r="F31229" s="102" t="str">
        <f ca="1">IFERROR(__xludf.DUMMYFUNCTION("IMPORTRANGE(H31229,""IDENTITAS UNIT!D9"")"),"#N/A")</f>
        <v>#N/A</v>
      </c>
      <c r="H31229" s="4" t="str">
        <v/>
      </c>
      <c r="I31229" s="4" t="str">
        <v/>
      </c>
    </row>
    <row r="31230" spans="5:9" ht="16.5" hidden="1">
      <c r="E31230" s="4" t="str">
        <v/>
      </c>
      <c r="F31230" s="102" t="str">
        <f ca="1">IFERROR(__xludf.DUMMYFUNCTION("IMPORTRANGE(H31230,""IDENTITAS UNIT!D9"")"),"#N/A")</f>
        <v>#N/A</v>
      </c>
      <c r="H31230" s="4" t="str">
        <v/>
      </c>
      <c r="I31230" s="4" t="str">
        <v/>
      </c>
    </row>
    <row r="31231" spans="5:9" ht="16.5" hidden="1">
      <c r="E31231" s="4" t="str">
        <v/>
      </c>
      <c r="F31231" s="102" t="str">
        <f ca="1">IFERROR(__xludf.DUMMYFUNCTION("IMPORTRANGE(H31231,""IDENTITAS UNIT!D9"")"),"#N/A")</f>
        <v>#N/A</v>
      </c>
      <c r="H31231" s="4" t="str">
        <v/>
      </c>
      <c r="I31231" s="4" t="str">
        <v/>
      </c>
    </row>
    <row r="31232" spans="5:9" ht="16.5" hidden="1">
      <c r="E31232" s="4" t="str">
        <v/>
      </c>
      <c r="F31232" s="102" t="str">
        <f ca="1">IFERROR(__xludf.DUMMYFUNCTION("IMPORTRANGE(H31232,""IDENTITAS UNIT!D9"")"),"#N/A")</f>
        <v>#N/A</v>
      </c>
      <c r="H31232" s="4" t="str">
        <v/>
      </c>
      <c r="I31232" s="4" t="str">
        <v/>
      </c>
    </row>
    <row r="31233" spans="5:9" ht="16.5" hidden="1">
      <c r="E31233" s="4" t="str">
        <v/>
      </c>
      <c r="F31233" s="102" t="str">
        <f ca="1">IFERROR(__xludf.DUMMYFUNCTION("IMPORTRANGE(H31233,""IDENTITAS UNIT!D9"")"),"#N/A")</f>
        <v>#N/A</v>
      </c>
      <c r="H31233" s="4" t="str">
        <v/>
      </c>
      <c r="I31233" s="4" t="str">
        <v/>
      </c>
    </row>
    <row r="31234" spans="5:9" ht="16.5" hidden="1">
      <c r="E31234" s="4" t="str">
        <v/>
      </c>
      <c r="F31234" s="102" t="str">
        <f ca="1">IFERROR(__xludf.DUMMYFUNCTION("IMPORTRANGE(H31234,""IDENTITAS UNIT!D9"")"),"#N/A")</f>
        <v>#N/A</v>
      </c>
      <c r="H31234" s="4" t="str">
        <v/>
      </c>
      <c r="I31234" s="4" t="str">
        <v/>
      </c>
    </row>
    <row r="31235" spans="5:9" ht="16.5" hidden="1">
      <c r="E31235" s="4" t="str">
        <v/>
      </c>
      <c r="F31235" s="102" t="str">
        <f ca="1">IFERROR(__xludf.DUMMYFUNCTION("IMPORTRANGE(H31235,""IDENTITAS UNIT!D9"")"),"#N/A")</f>
        <v>#N/A</v>
      </c>
      <c r="H31235" s="4" t="str">
        <v/>
      </c>
      <c r="I31235" s="4" t="str">
        <v/>
      </c>
    </row>
    <row r="31236" spans="5:9" ht="16.5" hidden="1">
      <c r="E31236" s="4" t="str">
        <v/>
      </c>
      <c r="F31236" s="102" t="str">
        <f ca="1">IFERROR(__xludf.DUMMYFUNCTION("IMPORTRANGE(H31236,""IDENTITAS UNIT!D9"")"),"#N/A")</f>
        <v>#N/A</v>
      </c>
      <c r="H31236" s="4" t="str">
        <v/>
      </c>
      <c r="I31236" s="4" t="str">
        <v/>
      </c>
    </row>
    <row r="31237" spans="5:9" ht="16.5" hidden="1">
      <c r="E31237" s="4" t="str">
        <v/>
      </c>
      <c r="F31237" s="102" t="str">
        <f ca="1">IFERROR(__xludf.DUMMYFUNCTION("IMPORTRANGE(H31237,""IDENTITAS UNIT!D9"")"),"#N/A")</f>
        <v>#N/A</v>
      </c>
      <c r="H31237" s="4" t="str">
        <v/>
      </c>
      <c r="I31237" s="4" t="str">
        <v/>
      </c>
    </row>
    <row r="31238" spans="5:9" ht="16.5" hidden="1">
      <c r="E31238" s="4" t="str">
        <v/>
      </c>
      <c r="F31238" s="102" t="str">
        <f ca="1">IFERROR(__xludf.DUMMYFUNCTION("IMPORTRANGE(H31238,""IDENTITAS UNIT!D9"")"),"#N/A")</f>
        <v>#N/A</v>
      </c>
      <c r="H31238" s="4" t="str">
        <v/>
      </c>
      <c r="I31238" s="4" t="str">
        <v/>
      </c>
    </row>
    <row r="31239" spans="5:9" ht="16.5" hidden="1">
      <c r="E31239" s="4" t="str">
        <v/>
      </c>
      <c r="F31239" s="102" t="str">
        <f ca="1">IFERROR(__xludf.DUMMYFUNCTION("IMPORTRANGE(H31239,""IDENTITAS UNIT!D9"")"),"#N/A")</f>
        <v>#N/A</v>
      </c>
      <c r="H31239" s="4" t="str">
        <v/>
      </c>
      <c r="I31239" s="4" t="str">
        <v/>
      </c>
    </row>
    <row r="31240" spans="5:9" ht="16.5" hidden="1">
      <c r="E31240" s="4" t="str">
        <v/>
      </c>
      <c r="F31240" s="102" t="str">
        <f ca="1">IFERROR(__xludf.DUMMYFUNCTION("IMPORTRANGE(H31240,""IDENTITAS UNIT!D9"")"),"#N/A")</f>
        <v>#N/A</v>
      </c>
      <c r="H31240" s="4" t="str">
        <v/>
      </c>
      <c r="I31240" s="4" t="str">
        <v/>
      </c>
    </row>
    <row r="31241" spans="5:9" ht="16.5" hidden="1">
      <c r="E31241" s="4" t="str">
        <v/>
      </c>
      <c r="F31241" s="102" t="str">
        <f ca="1">IFERROR(__xludf.DUMMYFUNCTION("IMPORTRANGE(H31241,""IDENTITAS UNIT!D9"")"),"#N/A")</f>
        <v>#N/A</v>
      </c>
      <c r="H31241" s="4" t="str">
        <v/>
      </c>
      <c r="I31241" s="4" t="str">
        <v/>
      </c>
    </row>
    <row r="31242" spans="5:9" ht="16.5" hidden="1">
      <c r="E31242" s="4" t="str">
        <v/>
      </c>
      <c r="F31242" s="102" t="str">
        <f ca="1">IFERROR(__xludf.DUMMYFUNCTION("IMPORTRANGE(H31242,""IDENTITAS UNIT!D9"")"),"#N/A")</f>
        <v>#N/A</v>
      </c>
      <c r="H31242" s="4" t="str">
        <v/>
      </c>
      <c r="I31242" s="4" t="str">
        <v/>
      </c>
    </row>
    <row r="31243" spans="5:9" ht="16.5" hidden="1">
      <c r="E31243" s="4" t="str">
        <v/>
      </c>
      <c r="F31243" s="102" t="str">
        <f ca="1">IFERROR(__xludf.DUMMYFUNCTION("IMPORTRANGE(H31243,""IDENTITAS UNIT!D9"")"),"#N/A")</f>
        <v>#N/A</v>
      </c>
      <c r="H31243" s="4" t="str">
        <v/>
      </c>
      <c r="I31243" s="4" t="str">
        <v/>
      </c>
    </row>
    <row r="31244" spans="5:9" ht="16.5" hidden="1">
      <c r="E31244" s="4" t="str">
        <v/>
      </c>
      <c r="F31244" s="102" t="str">
        <f ca="1">IFERROR(__xludf.DUMMYFUNCTION("IMPORTRANGE(H31244,""IDENTITAS UNIT!D9"")"),"#N/A")</f>
        <v>#N/A</v>
      </c>
      <c r="H31244" s="4" t="str">
        <v/>
      </c>
      <c r="I31244" s="4" t="str">
        <v/>
      </c>
    </row>
    <row r="31245" spans="5:9" ht="16.5" hidden="1">
      <c r="E31245" s="4" t="str">
        <v/>
      </c>
      <c r="F31245" s="102" t="str">
        <f ca="1">IFERROR(__xludf.DUMMYFUNCTION("IMPORTRANGE(H31245,""IDENTITAS UNIT!D9"")"),"#N/A")</f>
        <v>#N/A</v>
      </c>
      <c r="H31245" s="4" t="str">
        <v/>
      </c>
      <c r="I31245" s="4" t="str">
        <v/>
      </c>
    </row>
    <row r="31246" spans="5:9" ht="16.5" hidden="1">
      <c r="E31246" s="4" t="str">
        <v/>
      </c>
      <c r="F31246" s="102" t="str">
        <f ca="1">IFERROR(__xludf.DUMMYFUNCTION("IMPORTRANGE(H31246,""IDENTITAS UNIT!D9"")"),"#N/A")</f>
        <v>#N/A</v>
      </c>
      <c r="H31246" s="4" t="str">
        <v/>
      </c>
      <c r="I31246" s="4" t="str">
        <v/>
      </c>
    </row>
    <row r="31247" spans="5:9" ht="16.5" hidden="1">
      <c r="E31247" s="4" t="str">
        <v/>
      </c>
      <c r="F31247" s="102" t="str">
        <f ca="1">IFERROR(__xludf.DUMMYFUNCTION("IMPORTRANGE(H31247,""IDENTITAS UNIT!D9"")"),"#N/A")</f>
        <v>#N/A</v>
      </c>
      <c r="H31247" s="4" t="str">
        <v/>
      </c>
      <c r="I31247" s="4" t="str">
        <v/>
      </c>
    </row>
    <row r="31248" spans="5:9" ht="16.5" hidden="1">
      <c r="E31248" s="4" t="str">
        <v/>
      </c>
      <c r="F31248" s="102" t="str">
        <f ca="1">IFERROR(__xludf.DUMMYFUNCTION("IMPORTRANGE(H31248,""IDENTITAS UNIT!D9"")"),"#N/A")</f>
        <v>#N/A</v>
      </c>
      <c r="H31248" s="4" t="str">
        <v/>
      </c>
      <c r="I31248" s="4" t="str">
        <v/>
      </c>
    </row>
    <row r="31249" spans="5:9" ht="16.5" hidden="1">
      <c r="E31249" s="4" t="str">
        <v/>
      </c>
      <c r="F31249" s="102" t="str">
        <f ca="1">IFERROR(__xludf.DUMMYFUNCTION("IMPORTRANGE(H31249,""IDENTITAS UNIT!D9"")"),"#N/A")</f>
        <v>#N/A</v>
      </c>
      <c r="H31249" s="4" t="str">
        <v/>
      </c>
      <c r="I31249" s="4" t="str">
        <v/>
      </c>
    </row>
    <row r="31250" spans="5:9" ht="16.5" hidden="1">
      <c r="E31250" s="4" t="str">
        <v/>
      </c>
      <c r="F31250" s="102" t="str">
        <f ca="1">IFERROR(__xludf.DUMMYFUNCTION("IMPORTRANGE(H31250,""IDENTITAS UNIT!D9"")"),"#N/A")</f>
        <v>#N/A</v>
      </c>
      <c r="H31250" s="4" t="str">
        <v/>
      </c>
      <c r="I31250" s="4" t="str">
        <v/>
      </c>
    </row>
    <row r="31251" spans="5:9" ht="16.5" hidden="1">
      <c r="E31251" s="4" t="str">
        <v/>
      </c>
      <c r="F31251" s="102" t="str">
        <f ca="1">IFERROR(__xludf.DUMMYFUNCTION("IMPORTRANGE(H31251,""IDENTITAS UNIT!D9"")"),"#N/A")</f>
        <v>#N/A</v>
      </c>
      <c r="H31251" s="4" t="str">
        <v/>
      </c>
      <c r="I31251" s="4" t="str">
        <v/>
      </c>
    </row>
    <row r="31252" spans="5:9" ht="16.5" hidden="1">
      <c r="E31252" s="4" t="str">
        <v/>
      </c>
      <c r="F31252" s="102" t="str">
        <f ca="1">IFERROR(__xludf.DUMMYFUNCTION("IMPORTRANGE(H31252,""IDENTITAS UNIT!D9"")"),"#N/A")</f>
        <v>#N/A</v>
      </c>
      <c r="H31252" s="4" t="str">
        <v/>
      </c>
      <c r="I31252" s="4" t="str">
        <v/>
      </c>
    </row>
    <row r="31253" spans="5:9" ht="16.5" hidden="1">
      <c r="E31253" s="4" t="str">
        <v/>
      </c>
      <c r="F31253" s="102" t="str">
        <f ca="1">IFERROR(__xludf.DUMMYFUNCTION("IMPORTRANGE(H31253,""IDENTITAS UNIT!D9"")"),"#N/A")</f>
        <v>#N/A</v>
      </c>
      <c r="H31253" s="4" t="str">
        <v/>
      </c>
      <c r="I31253" s="4" t="str">
        <v/>
      </c>
    </row>
    <row r="31254" spans="5:9" ht="16.5" hidden="1">
      <c r="E31254" s="4" t="str">
        <v/>
      </c>
      <c r="F31254" s="102" t="str">
        <f ca="1">IFERROR(__xludf.DUMMYFUNCTION("IMPORTRANGE(H31254,""IDENTITAS UNIT!D9"")"),"#N/A")</f>
        <v>#N/A</v>
      </c>
      <c r="H31254" s="4" t="str">
        <v/>
      </c>
      <c r="I31254" s="4" t="str">
        <v/>
      </c>
    </row>
    <row r="31255" spans="5:9" ht="16.5" hidden="1">
      <c r="E31255" s="4" t="str">
        <v/>
      </c>
      <c r="F31255" s="102" t="str">
        <f ca="1">IFERROR(__xludf.DUMMYFUNCTION("IMPORTRANGE(H31255,""IDENTITAS UNIT!D9"")"),"#N/A")</f>
        <v>#N/A</v>
      </c>
      <c r="H31255" s="4" t="str">
        <v/>
      </c>
      <c r="I31255" s="4" t="str">
        <v/>
      </c>
    </row>
    <row r="31256" spans="5:9" ht="16.5" hidden="1">
      <c r="E31256" s="4" t="str">
        <v/>
      </c>
      <c r="F31256" s="102" t="str">
        <f ca="1">IFERROR(__xludf.DUMMYFUNCTION("IMPORTRANGE(H31256,""IDENTITAS UNIT!D9"")"),"#N/A")</f>
        <v>#N/A</v>
      </c>
      <c r="H31256" s="4" t="str">
        <v/>
      </c>
      <c r="I31256" s="4" t="str">
        <v/>
      </c>
    </row>
    <row r="31257" spans="5:9" ht="16.5" hidden="1">
      <c r="E31257" s="4" t="str">
        <v/>
      </c>
      <c r="F31257" s="102" t="str">
        <f ca="1">IFERROR(__xludf.DUMMYFUNCTION("IMPORTRANGE(H31257,""IDENTITAS UNIT!D9"")"),"#N/A")</f>
        <v>#N/A</v>
      </c>
      <c r="H31257" s="4" t="str">
        <v/>
      </c>
      <c r="I31257" s="4" t="str">
        <v/>
      </c>
    </row>
    <row r="31258" spans="5:9" ht="16.5" hidden="1">
      <c r="E31258" s="4" t="str">
        <v/>
      </c>
      <c r="F31258" s="102" t="str">
        <f ca="1">IFERROR(__xludf.DUMMYFUNCTION("IMPORTRANGE(H31258,""IDENTITAS UNIT!D9"")"),"#N/A")</f>
        <v>#N/A</v>
      </c>
      <c r="H31258" s="4" t="str">
        <v/>
      </c>
      <c r="I31258" s="4" t="str">
        <v/>
      </c>
    </row>
    <row r="31259" spans="5:9" ht="16.5" hidden="1">
      <c r="E31259" s="4" t="str">
        <v/>
      </c>
      <c r="F31259" s="102" t="str">
        <f ca="1">IFERROR(__xludf.DUMMYFUNCTION("IMPORTRANGE(H31259,""IDENTITAS UNIT!D9"")"),"#N/A")</f>
        <v>#N/A</v>
      </c>
      <c r="H31259" s="4" t="str">
        <v/>
      </c>
      <c r="I31259" s="4" t="str">
        <v/>
      </c>
    </row>
    <row r="31260" spans="5:9" ht="16.5" hidden="1">
      <c r="E31260" s="4" t="str">
        <v/>
      </c>
      <c r="F31260" s="102" t="str">
        <f ca="1">IFERROR(__xludf.DUMMYFUNCTION("IMPORTRANGE(H31260,""IDENTITAS UNIT!D9"")"),"#N/A")</f>
        <v>#N/A</v>
      </c>
      <c r="H31260" s="4" t="str">
        <v/>
      </c>
      <c r="I31260" s="4" t="str">
        <v/>
      </c>
    </row>
    <row r="31261" spans="5:9" ht="16.5" hidden="1">
      <c r="E31261" s="4" t="str">
        <v/>
      </c>
      <c r="F31261" s="102" t="str">
        <f ca="1">IFERROR(__xludf.DUMMYFUNCTION("IMPORTRANGE(H31261,""IDENTITAS UNIT!D9"")"),"#N/A")</f>
        <v>#N/A</v>
      </c>
      <c r="H31261" s="4" t="str">
        <v/>
      </c>
      <c r="I31261" s="4" t="str">
        <v/>
      </c>
    </row>
    <row r="31262" spans="5:9" ht="16.5" hidden="1">
      <c r="E31262" s="4" t="str">
        <v/>
      </c>
      <c r="F31262" s="102" t="str">
        <f ca="1">IFERROR(__xludf.DUMMYFUNCTION("IMPORTRANGE(H31262,""IDENTITAS UNIT!D9"")"),"#N/A")</f>
        <v>#N/A</v>
      </c>
      <c r="H31262" s="4" t="str">
        <v/>
      </c>
      <c r="I31262" s="4" t="str">
        <v/>
      </c>
    </row>
    <row r="31263" spans="5:9" ht="16.5" hidden="1">
      <c r="E31263" s="4" t="str">
        <v/>
      </c>
      <c r="F31263" s="102" t="str">
        <f ca="1">IFERROR(__xludf.DUMMYFUNCTION("IMPORTRANGE(H31263,""IDENTITAS UNIT!D9"")"),"#N/A")</f>
        <v>#N/A</v>
      </c>
      <c r="H31263" s="4" t="str">
        <v/>
      </c>
      <c r="I31263" s="4" t="str">
        <v/>
      </c>
    </row>
    <row r="31264" spans="5:9" ht="16.5" hidden="1">
      <c r="E31264" s="4" t="str">
        <v/>
      </c>
      <c r="F31264" s="102" t="str">
        <f ca="1">IFERROR(__xludf.DUMMYFUNCTION("IMPORTRANGE(H31264,""IDENTITAS UNIT!D9"")"),"#N/A")</f>
        <v>#N/A</v>
      </c>
      <c r="H31264" s="4" t="str">
        <v/>
      </c>
      <c r="I31264" s="4" t="str">
        <v/>
      </c>
    </row>
    <row r="31265" spans="5:9" ht="16.5" hidden="1">
      <c r="E31265" s="4" t="str">
        <v/>
      </c>
      <c r="F31265" s="102" t="str">
        <f ca="1">IFERROR(__xludf.DUMMYFUNCTION("IMPORTRANGE(H31265,""IDENTITAS UNIT!D9"")"),"#N/A")</f>
        <v>#N/A</v>
      </c>
      <c r="H31265" s="4" t="str">
        <v/>
      </c>
      <c r="I31265" s="4" t="str">
        <v/>
      </c>
    </row>
    <row r="31266" spans="5:9" ht="16.5" hidden="1">
      <c r="E31266" s="4" t="str">
        <v/>
      </c>
      <c r="F31266" s="102" t="str">
        <f ca="1">IFERROR(__xludf.DUMMYFUNCTION("IMPORTRANGE(H31266,""IDENTITAS UNIT!D9"")"),"#N/A")</f>
        <v>#N/A</v>
      </c>
      <c r="H31266" s="4" t="str">
        <v/>
      </c>
      <c r="I31266" s="4" t="str">
        <v/>
      </c>
    </row>
    <row r="31267" spans="5:9" ht="16.5" hidden="1">
      <c r="E31267" s="4" t="str">
        <v/>
      </c>
      <c r="F31267" s="102" t="str">
        <f ca="1">IFERROR(__xludf.DUMMYFUNCTION("IMPORTRANGE(H31267,""IDENTITAS UNIT!D9"")"),"#N/A")</f>
        <v>#N/A</v>
      </c>
      <c r="H31267" s="4" t="str">
        <v/>
      </c>
      <c r="I31267" s="4" t="str">
        <v/>
      </c>
    </row>
    <row r="31268" spans="5:9" ht="16.5" hidden="1">
      <c r="E31268" s="4" t="str">
        <v/>
      </c>
      <c r="F31268" s="102" t="str">
        <f ca="1">IFERROR(__xludf.DUMMYFUNCTION("IMPORTRANGE(H31268,""IDENTITAS UNIT!D9"")"),"#N/A")</f>
        <v>#N/A</v>
      </c>
      <c r="H31268" s="4" t="str">
        <v/>
      </c>
      <c r="I31268" s="4" t="str">
        <v/>
      </c>
    </row>
    <row r="31269" spans="5:9" ht="16.5" hidden="1">
      <c r="E31269" s="4" t="str">
        <v/>
      </c>
      <c r="F31269" s="102" t="str">
        <f ca="1">IFERROR(__xludf.DUMMYFUNCTION("IMPORTRANGE(H31269,""IDENTITAS UNIT!D9"")"),"#N/A")</f>
        <v>#N/A</v>
      </c>
      <c r="H31269" s="4" t="str">
        <v/>
      </c>
      <c r="I31269" s="4" t="str">
        <v/>
      </c>
    </row>
    <row r="31270" spans="5:9" ht="16.5" hidden="1">
      <c r="E31270" s="4" t="str">
        <v/>
      </c>
      <c r="F31270" s="102" t="str">
        <f ca="1">IFERROR(__xludf.DUMMYFUNCTION("IMPORTRANGE(H31270,""IDENTITAS UNIT!D9"")"),"#N/A")</f>
        <v>#N/A</v>
      </c>
      <c r="H31270" s="4" t="str">
        <v/>
      </c>
      <c r="I31270" s="4" t="str">
        <v/>
      </c>
    </row>
    <row r="31271" spans="5:9" ht="16.5" hidden="1">
      <c r="E31271" s="4" t="str">
        <v/>
      </c>
      <c r="F31271" s="102" t="str">
        <f ca="1">IFERROR(__xludf.DUMMYFUNCTION("IMPORTRANGE(H31271,""IDENTITAS UNIT!D9"")"),"#N/A")</f>
        <v>#N/A</v>
      </c>
      <c r="H31271" s="4" t="str">
        <v/>
      </c>
      <c r="I31271" s="4" t="str">
        <v/>
      </c>
    </row>
    <row r="31272" spans="5:9" ht="16.5" hidden="1">
      <c r="E31272" s="4" t="str">
        <v/>
      </c>
      <c r="F31272" s="102" t="str">
        <f ca="1">IFERROR(__xludf.DUMMYFUNCTION("IMPORTRANGE(H31272,""IDENTITAS UNIT!D9"")"),"#N/A")</f>
        <v>#N/A</v>
      </c>
      <c r="H31272" s="4" t="str">
        <v/>
      </c>
      <c r="I31272" s="4" t="str">
        <v/>
      </c>
    </row>
    <row r="31273" spans="5:9" ht="16.5" hidden="1">
      <c r="E31273" s="4" t="str">
        <v/>
      </c>
      <c r="F31273" s="102" t="str">
        <f ca="1">IFERROR(__xludf.DUMMYFUNCTION("IMPORTRANGE(H31273,""IDENTITAS UNIT!D9"")"),"#N/A")</f>
        <v>#N/A</v>
      </c>
      <c r="H31273" s="4" t="str">
        <v/>
      </c>
      <c r="I31273" s="4" t="str">
        <v/>
      </c>
    </row>
    <row r="31274" spans="5:9" ht="16.5" hidden="1">
      <c r="E31274" s="4" t="str">
        <v/>
      </c>
      <c r="F31274" s="102" t="str">
        <f ca="1">IFERROR(__xludf.DUMMYFUNCTION("IMPORTRANGE(H31274,""IDENTITAS UNIT!D9"")"),"#N/A")</f>
        <v>#N/A</v>
      </c>
      <c r="H31274" s="4" t="str">
        <v/>
      </c>
      <c r="I31274" s="4" t="str">
        <v/>
      </c>
    </row>
    <row r="31275" spans="5:9" ht="16.5" hidden="1">
      <c r="E31275" s="4" t="str">
        <v/>
      </c>
      <c r="F31275" s="102" t="str">
        <f ca="1">IFERROR(__xludf.DUMMYFUNCTION("IMPORTRANGE(H31275,""IDENTITAS UNIT!D9"")"),"#N/A")</f>
        <v>#N/A</v>
      </c>
      <c r="H31275" s="4" t="str">
        <v/>
      </c>
      <c r="I31275" s="4" t="str">
        <v/>
      </c>
    </row>
    <row r="31276" spans="5:9" ht="16.5" hidden="1">
      <c r="E31276" s="4" t="str">
        <v/>
      </c>
      <c r="F31276" s="102" t="str">
        <f ca="1">IFERROR(__xludf.DUMMYFUNCTION("IMPORTRANGE(H31276,""IDENTITAS UNIT!D9"")"),"#N/A")</f>
        <v>#N/A</v>
      </c>
      <c r="H31276" s="4" t="str">
        <v/>
      </c>
      <c r="I31276" s="4" t="str">
        <v/>
      </c>
    </row>
    <row r="31277" spans="5:9" ht="16.5" hidden="1">
      <c r="E31277" s="4" t="str">
        <v/>
      </c>
      <c r="F31277" s="102" t="str">
        <f ca="1">IFERROR(__xludf.DUMMYFUNCTION("IMPORTRANGE(H31277,""IDENTITAS UNIT!D9"")"),"#N/A")</f>
        <v>#N/A</v>
      </c>
      <c r="H31277" s="4" t="str">
        <v/>
      </c>
      <c r="I31277" s="4" t="str">
        <v/>
      </c>
    </row>
    <row r="31278" spans="5:9" ht="16.5" hidden="1">
      <c r="E31278" s="4" t="str">
        <v/>
      </c>
      <c r="F31278" s="102" t="str">
        <f ca="1">IFERROR(__xludf.DUMMYFUNCTION("IMPORTRANGE(H31278,""IDENTITAS UNIT!D9"")"),"#N/A")</f>
        <v>#N/A</v>
      </c>
      <c r="H31278" s="4" t="str">
        <v/>
      </c>
      <c r="I31278" s="4" t="str">
        <v/>
      </c>
    </row>
    <row r="31279" spans="5:9" ht="16.5" hidden="1">
      <c r="E31279" s="4" t="str">
        <v/>
      </c>
      <c r="F31279" s="102" t="str">
        <f ca="1">IFERROR(__xludf.DUMMYFUNCTION("IMPORTRANGE(H31279,""IDENTITAS UNIT!D9"")"),"#N/A")</f>
        <v>#N/A</v>
      </c>
      <c r="H31279" s="4" t="str">
        <v/>
      </c>
      <c r="I31279" s="4" t="str">
        <v/>
      </c>
    </row>
    <row r="31280" spans="5:9" ht="16.5" hidden="1">
      <c r="E31280" s="4" t="str">
        <v/>
      </c>
      <c r="F31280" s="102" t="str">
        <f ca="1">IFERROR(__xludf.DUMMYFUNCTION("IMPORTRANGE(H31280,""IDENTITAS UNIT!D9"")"),"#N/A")</f>
        <v>#N/A</v>
      </c>
      <c r="H31280" s="4" t="str">
        <v/>
      </c>
      <c r="I31280" s="4" t="str">
        <v/>
      </c>
    </row>
    <row r="31281" spans="5:9" ht="16.5" hidden="1">
      <c r="E31281" s="4" t="str">
        <v/>
      </c>
      <c r="F31281" s="102" t="str">
        <f ca="1">IFERROR(__xludf.DUMMYFUNCTION("IMPORTRANGE(H31281,""IDENTITAS UNIT!D9"")"),"#N/A")</f>
        <v>#N/A</v>
      </c>
      <c r="H31281" s="4" t="str">
        <v/>
      </c>
      <c r="I31281" s="4" t="str">
        <v/>
      </c>
    </row>
    <row r="31282" spans="5:9" ht="16.5" hidden="1">
      <c r="E31282" s="4" t="str">
        <v/>
      </c>
      <c r="F31282" s="102" t="str">
        <f ca="1">IFERROR(__xludf.DUMMYFUNCTION("IMPORTRANGE(H31282,""IDENTITAS UNIT!D9"")"),"#N/A")</f>
        <v>#N/A</v>
      </c>
      <c r="H31282" s="4" t="str">
        <v/>
      </c>
      <c r="I31282" s="4" t="str">
        <v/>
      </c>
    </row>
    <row r="31283" spans="5:9" ht="16.5" hidden="1">
      <c r="E31283" s="4" t="str">
        <v/>
      </c>
      <c r="F31283" s="102" t="str">
        <f ca="1">IFERROR(__xludf.DUMMYFUNCTION("IMPORTRANGE(H31283,""IDENTITAS UNIT!D9"")"),"#N/A")</f>
        <v>#N/A</v>
      </c>
      <c r="H31283" s="4" t="str">
        <v/>
      </c>
      <c r="I31283" s="4" t="str">
        <v/>
      </c>
    </row>
    <row r="31284" spans="5:9" ht="16.5" hidden="1">
      <c r="E31284" s="4" t="str">
        <v/>
      </c>
      <c r="F31284" s="102" t="str">
        <f ca="1">IFERROR(__xludf.DUMMYFUNCTION("IMPORTRANGE(H31284,""IDENTITAS UNIT!D9"")"),"#N/A")</f>
        <v>#N/A</v>
      </c>
      <c r="H31284" s="4" t="str">
        <v/>
      </c>
      <c r="I31284" s="4" t="str">
        <v/>
      </c>
    </row>
    <row r="31285" spans="5:9" ht="16.5" hidden="1">
      <c r="E31285" s="4" t="str">
        <v/>
      </c>
      <c r="F31285" s="102" t="str">
        <f ca="1">IFERROR(__xludf.DUMMYFUNCTION("IMPORTRANGE(H31285,""IDENTITAS UNIT!D9"")"),"#N/A")</f>
        <v>#N/A</v>
      </c>
      <c r="H31285" s="4" t="str">
        <v/>
      </c>
      <c r="I31285" s="4" t="str">
        <v/>
      </c>
    </row>
    <row r="31286" spans="5:9" ht="16.5" hidden="1">
      <c r="E31286" s="4" t="str">
        <v/>
      </c>
      <c r="F31286" s="102" t="str">
        <f ca="1">IFERROR(__xludf.DUMMYFUNCTION("IMPORTRANGE(H31286,""IDENTITAS UNIT!D9"")"),"#N/A")</f>
        <v>#N/A</v>
      </c>
      <c r="H31286" s="4" t="str">
        <v/>
      </c>
      <c r="I31286" s="4" t="str">
        <v/>
      </c>
    </row>
    <row r="31287" spans="5:9" ht="16.5" hidden="1">
      <c r="E31287" s="4" t="str">
        <v/>
      </c>
      <c r="F31287" s="102" t="str">
        <f ca="1">IFERROR(__xludf.DUMMYFUNCTION("IMPORTRANGE(H31287,""IDENTITAS UNIT!D9"")"),"#N/A")</f>
        <v>#N/A</v>
      </c>
      <c r="H31287" s="4" t="str">
        <v/>
      </c>
      <c r="I31287" s="4" t="str">
        <v/>
      </c>
    </row>
    <row r="31288" spans="5:9" ht="16.5" hidden="1">
      <c r="E31288" s="4" t="str">
        <v/>
      </c>
      <c r="F31288" s="102" t="str">
        <f ca="1">IFERROR(__xludf.DUMMYFUNCTION("IMPORTRANGE(H31288,""IDENTITAS UNIT!D9"")"),"#N/A")</f>
        <v>#N/A</v>
      </c>
      <c r="H31288" s="4" t="str">
        <v/>
      </c>
      <c r="I31288" s="4" t="str">
        <v/>
      </c>
    </row>
    <row r="31289" spans="5:9" ht="16.5" hidden="1">
      <c r="E31289" s="4" t="str">
        <v/>
      </c>
      <c r="F31289" s="102" t="str">
        <f ca="1">IFERROR(__xludf.DUMMYFUNCTION("IMPORTRANGE(H31289,""IDENTITAS UNIT!D9"")"),"#N/A")</f>
        <v>#N/A</v>
      </c>
      <c r="H31289" s="4" t="str">
        <v/>
      </c>
      <c r="I31289" s="4" t="str">
        <v/>
      </c>
    </row>
    <row r="31290" spans="5:9" ht="16.5" hidden="1">
      <c r="E31290" s="4" t="str">
        <v/>
      </c>
      <c r="F31290" s="102" t="str">
        <f ca="1">IFERROR(__xludf.DUMMYFUNCTION("IMPORTRANGE(H31290,""IDENTITAS UNIT!D9"")"),"#N/A")</f>
        <v>#N/A</v>
      </c>
      <c r="H31290" s="4" t="str">
        <v/>
      </c>
      <c r="I31290" s="4" t="str">
        <v/>
      </c>
    </row>
    <row r="31291" spans="5:9" ht="16.5" hidden="1">
      <c r="E31291" s="4" t="str">
        <v/>
      </c>
      <c r="F31291" s="102" t="str">
        <f ca="1">IFERROR(__xludf.DUMMYFUNCTION("IMPORTRANGE(H31291,""IDENTITAS UNIT!D9"")"),"#N/A")</f>
        <v>#N/A</v>
      </c>
      <c r="H31291" s="4" t="str">
        <v/>
      </c>
      <c r="I31291" s="4" t="str">
        <v/>
      </c>
    </row>
    <row r="31292" spans="5:9" ht="16.5" hidden="1">
      <c r="E31292" s="4" t="str">
        <v/>
      </c>
      <c r="F31292" s="102" t="str">
        <f ca="1">IFERROR(__xludf.DUMMYFUNCTION("IMPORTRANGE(H31292,""IDENTITAS UNIT!D9"")"),"#N/A")</f>
        <v>#N/A</v>
      </c>
      <c r="H31292" s="4" t="str">
        <v/>
      </c>
      <c r="I31292" s="4" t="str">
        <v/>
      </c>
    </row>
    <row r="31293" spans="5:9" ht="16.5" hidden="1">
      <c r="E31293" s="4" t="str">
        <v/>
      </c>
      <c r="F31293" s="102" t="str">
        <f ca="1">IFERROR(__xludf.DUMMYFUNCTION("IMPORTRANGE(H31293,""IDENTITAS UNIT!D9"")"),"#N/A")</f>
        <v>#N/A</v>
      </c>
      <c r="H31293" s="4" t="str">
        <v/>
      </c>
      <c r="I31293" s="4" t="str">
        <v/>
      </c>
    </row>
    <row r="31294" spans="5:9" ht="16.5" hidden="1">
      <c r="E31294" s="4" t="str">
        <v/>
      </c>
      <c r="F31294" s="102" t="str">
        <f ca="1">IFERROR(__xludf.DUMMYFUNCTION("IMPORTRANGE(H31294,""IDENTITAS UNIT!D9"")"),"#N/A")</f>
        <v>#N/A</v>
      </c>
      <c r="H31294" s="4" t="str">
        <v/>
      </c>
      <c r="I31294" s="4" t="str">
        <v/>
      </c>
    </row>
    <row r="31295" spans="5:9" ht="16.5" hidden="1">
      <c r="E31295" s="4" t="str">
        <v/>
      </c>
      <c r="F31295" s="102" t="str">
        <f ca="1">IFERROR(__xludf.DUMMYFUNCTION("IMPORTRANGE(H31295,""IDENTITAS UNIT!D9"")"),"#N/A")</f>
        <v>#N/A</v>
      </c>
      <c r="H31295" s="4" t="str">
        <v/>
      </c>
      <c r="I31295" s="4" t="str">
        <v/>
      </c>
    </row>
    <row r="31296" spans="5:9" ht="16.5" hidden="1">
      <c r="E31296" s="4" t="str">
        <v/>
      </c>
      <c r="F31296" s="102" t="str">
        <f ca="1">IFERROR(__xludf.DUMMYFUNCTION("IMPORTRANGE(H31296,""IDENTITAS UNIT!D9"")"),"#N/A")</f>
        <v>#N/A</v>
      </c>
      <c r="H31296" s="4" t="str">
        <v/>
      </c>
      <c r="I31296" s="4" t="str">
        <v/>
      </c>
    </row>
    <row r="31297" spans="5:9" ht="16.5" hidden="1">
      <c r="E31297" s="4" t="str">
        <v/>
      </c>
      <c r="F31297" s="102" t="str">
        <f ca="1">IFERROR(__xludf.DUMMYFUNCTION("IMPORTRANGE(H31297,""IDENTITAS UNIT!D9"")"),"#N/A")</f>
        <v>#N/A</v>
      </c>
      <c r="H31297" s="4" t="str">
        <v/>
      </c>
      <c r="I31297" s="4" t="str">
        <v/>
      </c>
    </row>
    <row r="31298" spans="5:9" ht="16.5" hidden="1">
      <c r="E31298" s="4" t="str">
        <v/>
      </c>
      <c r="F31298" s="102" t="str">
        <f ca="1">IFERROR(__xludf.DUMMYFUNCTION("IMPORTRANGE(H31298,""IDENTITAS UNIT!D9"")"),"#N/A")</f>
        <v>#N/A</v>
      </c>
      <c r="H31298" s="4" t="str">
        <v/>
      </c>
      <c r="I31298" s="4" t="str">
        <v/>
      </c>
    </row>
    <row r="31299" spans="5:9" ht="16.5" hidden="1">
      <c r="E31299" s="4" t="str">
        <v/>
      </c>
      <c r="F31299" s="102" t="str">
        <f ca="1">IFERROR(__xludf.DUMMYFUNCTION("IMPORTRANGE(H31299,""IDENTITAS UNIT!D9"")"),"#N/A")</f>
        <v>#N/A</v>
      </c>
      <c r="H31299" s="4" t="str">
        <v/>
      </c>
      <c r="I31299" s="4" t="str">
        <v/>
      </c>
    </row>
    <row r="31300" spans="5:9" ht="16.5" hidden="1">
      <c r="E31300" s="4" t="str">
        <v/>
      </c>
      <c r="F31300" s="102" t="str">
        <f ca="1">IFERROR(__xludf.DUMMYFUNCTION("IMPORTRANGE(H31300,""IDENTITAS UNIT!D9"")"),"#N/A")</f>
        <v>#N/A</v>
      </c>
      <c r="H31300" s="4" t="str">
        <v/>
      </c>
      <c r="I31300" s="4" t="str">
        <v/>
      </c>
    </row>
    <row r="31301" spans="5:9" ht="16.5" hidden="1">
      <c r="E31301" s="4" t="str">
        <v/>
      </c>
      <c r="F31301" s="102" t="str">
        <f ca="1">IFERROR(__xludf.DUMMYFUNCTION("IMPORTRANGE(H31301,""IDENTITAS UNIT!D9"")"),"#N/A")</f>
        <v>#N/A</v>
      </c>
      <c r="H31301" s="4" t="str">
        <v/>
      </c>
      <c r="I31301" s="4" t="str">
        <v/>
      </c>
    </row>
    <row r="31302" spans="5:9" ht="16.5" hidden="1">
      <c r="E31302" s="4" t="str">
        <v/>
      </c>
      <c r="F31302" s="102" t="str">
        <f ca="1">IFERROR(__xludf.DUMMYFUNCTION("IMPORTRANGE(H31302,""IDENTITAS UNIT!D9"")"),"#N/A")</f>
        <v>#N/A</v>
      </c>
      <c r="H31302" s="4" t="str">
        <v/>
      </c>
      <c r="I31302" s="4" t="str">
        <v/>
      </c>
    </row>
    <row r="31303" spans="5:9" ht="16.5" hidden="1">
      <c r="E31303" s="4" t="str">
        <v/>
      </c>
      <c r="F31303" s="102" t="str">
        <f ca="1">IFERROR(__xludf.DUMMYFUNCTION("IMPORTRANGE(H31303,""IDENTITAS UNIT!D9"")"),"#N/A")</f>
        <v>#N/A</v>
      </c>
      <c r="H31303" s="4" t="str">
        <v/>
      </c>
      <c r="I31303" s="4" t="str">
        <v/>
      </c>
    </row>
    <row r="31304" spans="5:9" ht="16.5" hidden="1">
      <c r="E31304" s="4" t="str">
        <v/>
      </c>
      <c r="F31304" s="102" t="str">
        <f ca="1">IFERROR(__xludf.DUMMYFUNCTION("IMPORTRANGE(H31304,""IDENTITAS UNIT!D9"")"),"#N/A")</f>
        <v>#N/A</v>
      </c>
      <c r="H31304" s="4" t="str">
        <v/>
      </c>
      <c r="I31304" s="4" t="str">
        <v/>
      </c>
    </row>
    <row r="31305" spans="5:9" ht="16.5" hidden="1">
      <c r="E31305" s="4" t="str">
        <v/>
      </c>
      <c r="F31305" s="102" t="str">
        <f ca="1">IFERROR(__xludf.DUMMYFUNCTION("IMPORTRANGE(H31305,""IDENTITAS UNIT!D9"")"),"#N/A")</f>
        <v>#N/A</v>
      </c>
      <c r="H31305" s="4" t="str">
        <v/>
      </c>
      <c r="I31305" s="4" t="str">
        <v/>
      </c>
    </row>
    <row r="31306" spans="5:9" ht="16.5" hidden="1">
      <c r="E31306" s="4" t="str">
        <v/>
      </c>
      <c r="F31306" s="102" t="str">
        <f ca="1">IFERROR(__xludf.DUMMYFUNCTION("IMPORTRANGE(H31306,""IDENTITAS UNIT!D9"")"),"#N/A")</f>
        <v>#N/A</v>
      </c>
      <c r="H31306" s="4" t="str">
        <v/>
      </c>
      <c r="I31306" s="4" t="str">
        <v/>
      </c>
    </row>
    <row r="31307" spans="5:9" ht="16.5" hidden="1">
      <c r="E31307" s="4" t="str">
        <v/>
      </c>
      <c r="F31307" s="102" t="str">
        <f ca="1">IFERROR(__xludf.DUMMYFUNCTION("IMPORTRANGE(H31307,""IDENTITAS UNIT!D9"")"),"#N/A")</f>
        <v>#N/A</v>
      </c>
      <c r="H31307" s="4" t="str">
        <v/>
      </c>
      <c r="I31307" s="4" t="str">
        <v/>
      </c>
    </row>
    <row r="31308" spans="5:9" ht="16.5" hidden="1">
      <c r="E31308" s="4" t="str">
        <v/>
      </c>
      <c r="F31308" s="102" t="str">
        <f ca="1">IFERROR(__xludf.DUMMYFUNCTION("IMPORTRANGE(H31308,""IDENTITAS UNIT!D9"")"),"#N/A")</f>
        <v>#N/A</v>
      </c>
      <c r="H31308" s="4" t="str">
        <v/>
      </c>
      <c r="I31308" s="4" t="str">
        <v/>
      </c>
    </row>
    <row r="31309" spans="5:9" ht="16.5" hidden="1">
      <c r="E31309" s="4" t="str">
        <v/>
      </c>
      <c r="F31309" s="102" t="str">
        <f ca="1">IFERROR(__xludf.DUMMYFUNCTION("IMPORTRANGE(H31309,""IDENTITAS UNIT!D9"")"),"#N/A")</f>
        <v>#N/A</v>
      </c>
      <c r="H31309" s="4" t="str">
        <v/>
      </c>
      <c r="I31309" s="4" t="str">
        <v/>
      </c>
    </row>
    <row r="31310" spans="5:9" ht="16.5" hidden="1">
      <c r="E31310" s="4" t="str">
        <v/>
      </c>
      <c r="F31310" s="102" t="str">
        <f ca="1">IFERROR(__xludf.DUMMYFUNCTION("IMPORTRANGE(H31310,""IDENTITAS UNIT!D9"")"),"#N/A")</f>
        <v>#N/A</v>
      </c>
      <c r="H31310" s="4" t="str">
        <v/>
      </c>
      <c r="I31310" s="4" t="str">
        <v/>
      </c>
    </row>
    <row r="31311" spans="5:9" ht="16.5" hidden="1">
      <c r="E31311" s="4" t="str">
        <v/>
      </c>
      <c r="F31311" s="102" t="str">
        <f ca="1">IFERROR(__xludf.DUMMYFUNCTION("IMPORTRANGE(H31311,""IDENTITAS UNIT!D9"")"),"#N/A")</f>
        <v>#N/A</v>
      </c>
      <c r="H31311" s="4" t="str">
        <v/>
      </c>
      <c r="I31311" s="4" t="str">
        <v/>
      </c>
    </row>
    <row r="31312" spans="5:9" ht="16.5" hidden="1">
      <c r="E31312" s="4" t="str">
        <v/>
      </c>
      <c r="F31312" s="102" t="str">
        <f ca="1">IFERROR(__xludf.DUMMYFUNCTION("IMPORTRANGE(H31312,""IDENTITAS UNIT!D9"")"),"#N/A")</f>
        <v>#N/A</v>
      </c>
      <c r="H31312" s="4" t="str">
        <v/>
      </c>
      <c r="I31312" s="4" t="str">
        <v/>
      </c>
    </row>
    <row r="31313" spans="5:9" ht="16.5" hidden="1">
      <c r="E31313" s="4" t="str">
        <v/>
      </c>
      <c r="F31313" s="102" t="str">
        <f ca="1">IFERROR(__xludf.DUMMYFUNCTION("IMPORTRANGE(H31313,""IDENTITAS UNIT!D9"")"),"#N/A")</f>
        <v>#N/A</v>
      </c>
      <c r="H31313" s="4" t="str">
        <v/>
      </c>
      <c r="I31313" s="4" t="str">
        <v/>
      </c>
    </row>
    <row r="31314" spans="5:9" ht="16.5" hidden="1">
      <c r="E31314" s="4" t="str">
        <v/>
      </c>
      <c r="F31314" s="102" t="str">
        <f ca="1">IFERROR(__xludf.DUMMYFUNCTION("IMPORTRANGE(H31314,""IDENTITAS UNIT!D9"")"),"#N/A")</f>
        <v>#N/A</v>
      </c>
      <c r="H31314" s="4" t="str">
        <v/>
      </c>
      <c r="I31314" s="4" t="str">
        <v/>
      </c>
    </row>
    <row r="31315" spans="5:9" ht="16.5" hidden="1">
      <c r="E31315" s="4" t="str">
        <v/>
      </c>
      <c r="F31315" s="102" t="str">
        <f ca="1">IFERROR(__xludf.DUMMYFUNCTION("IMPORTRANGE(H31315,""IDENTITAS UNIT!D9"")"),"#N/A")</f>
        <v>#N/A</v>
      </c>
      <c r="H31315" s="4" t="str">
        <v/>
      </c>
      <c r="I31315" s="4" t="str">
        <v/>
      </c>
    </row>
    <row r="31316" spans="5:9" ht="16.5" hidden="1">
      <c r="E31316" s="4" t="str">
        <v/>
      </c>
      <c r="F31316" s="102" t="str">
        <f ca="1">IFERROR(__xludf.DUMMYFUNCTION("IMPORTRANGE(H31316,""IDENTITAS UNIT!D9"")"),"#N/A")</f>
        <v>#N/A</v>
      </c>
      <c r="H31316" s="4" t="str">
        <v/>
      </c>
      <c r="I31316" s="4" t="str">
        <v/>
      </c>
    </row>
    <row r="31317" spans="5:9" ht="16.5" hidden="1">
      <c r="E31317" s="4" t="str">
        <v/>
      </c>
      <c r="F31317" s="102" t="str">
        <f ca="1">IFERROR(__xludf.DUMMYFUNCTION("IMPORTRANGE(H31317,""IDENTITAS UNIT!D9"")"),"#N/A")</f>
        <v>#N/A</v>
      </c>
      <c r="H31317" s="4" t="str">
        <v/>
      </c>
      <c r="I31317" s="4" t="str">
        <v/>
      </c>
    </row>
    <row r="31318" spans="5:9" ht="16.5" hidden="1">
      <c r="E31318" s="4" t="str">
        <v/>
      </c>
      <c r="F31318" s="102" t="str">
        <f ca="1">IFERROR(__xludf.DUMMYFUNCTION("IMPORTRANGE(H31318,""IDENTITAS UNIT!D9"")"),"#N/A")</f>
        <v>#N/A</v>
      </c>
      <c r="H31318" s="4" t="str">
        <v/>
      </c>
      <c r="I31318" s="4" t="str">
        <v/>
      </c>
    </row>
    <row r="31319" spans="5:9" ht="16.5" hidden="1">
      <c r="E31319" s="4" t="str">
        <v/>
      </c>
      <c r="F31319" s="102" t="str">
        <f ca="1">IFERROR(__xludf.DUMMYFUNCTION("IMPORTRANGE(H31319,""IDENTITAS UNIT!D9"")"),"#N/A")</f>
        <v>#N/A</v>
      </c>
      <c r="H31319" s="4" t="str">
        <v/>
      </c>
      <c r="I31319" s="4" t="str">
        <v/>
      </c>
    </row>
    <row r="31320" spans="5:9" ht="16.5" hidden="1">
      <c r="E31320" s="4" t="str">
        <v/>
      </c>
      <c r="F31320" s="102" t="str">
        <f ca="1">IFERROR(__xludf.DUMMYFUNCTION("IMPORTRANGE(H31320,""IDENTITAS UNIT!D9"")"),"#N/A")</f>
        <v>#N/A</v>
      </c>
      <c r="H31320" s="4" t="str">
        <v/>
      </c>
      <c r="I31320" s="4" t="str">
        <v/>
      </c>
    </row>
    <row r="31321" spans="5:9" ht="16.5" hidden="1">
      <c r="E31321" s="4" t="str">
        <v/>
      </c>
      <c r="F31321" s="102" t="str">
        <f ca="1">IFERROR(__xludf.DUMMYFUNCTION("IMPORTRANGE(H31321,""IDENTITAS UNIT!D9"")"),"#N/A")</f>
        <v>#N/A</v>
      </c>
      <c r="H31321" s="4" t="str">
        <v/>
      </c>
      <c r="I31321" s="4" t="str">
        <v/>
      </c>
    </row>
    <row r="31322" spans="5:9" ht="16.5" hidden="1">
      <c r="E31322" s="4" t="str">
        <v/>
      </c>
      <c r="F31322" s="102" t="str">
        <f ca="1">IFERROR(__xludf.DUMMYFUNCTION("IMPORTRANGE(H31322,""IDENTITAS UNIT!D9"")"),"#N/A")</f>
        <v>#N/A</v>
      </c>
      <c r="H31322" s="4" t="str">
        <v/>
      </c>
      <c r="I31322" s="4" t="str">
        <v/>
      </c>
    </row>
    <row r="31323" spans="5:9" ht="16.5" hidden="1">
      <c r="E31323" s="4" t="str">
        <v/>
      </c>
      <c r="F31323" s="102" t="str">
        <f ca="1">IFERROR(__xludf.DUMMYFUNCTION("IMPORTRANGE(H31323,""IDENTITAS UNIT!D9"")"),"#N/A")</f>
        <v>#N/A</v>
      </c>
      <c r="H31323" s="4" t="str">
        <v/>
      </c>
      <c r="I31323" s="4" t="str">
        <v/>
      </c>
    </row>
    <row r="31324" spans="5:9" ht="16.5" hidden="1">
      <c r="E31324" s="4" t="str">
        <v/>
      </c>
      <c r="F31324" s="102" t="str">
        <f ca="1">IFERROR(__xludf.DUMMYFUNCTION("IMPORTRANGE(H31324,""IDENTITAS UNIT!D9"")"),"#N/A")</f>
        <v>#N/A</v>
      </c>
      <c r="H31324" s="4" t="str">
        <v/>
      </c>
      <c r="I31324" s="4" t="str">
        <v/>
      </c>
    </row>
    <row r="31325" spans="5:9" ht="16.5" hidden="1">
      <c r="E31325" s="4" t="str">
        <v/>
      </c>
      <c r="F31325" s="102" t="str">
        <f ca="1">IFERROR(__xludf.DUMMYFUNCTION("IMPORTRANGE(H31325,""IDENTITAS UNIT!D9"")"),"#N/A")</f>
        <v>#N/A</v>
      </c>
      <c r="H31325" s="4" t="str">
        <v/>
      </c>
      <c r="I31325" s="4" t="str">
        <v/>
      </c>
    </row>
    <row r="31326" spans="5:9" ht="16.5" hidden="1">
      <c r="E31326" s="4" t="str">
        <v/>
      </c>
      <c r="F31326" s="102" t="str">
        <f ca="1">IFERROR(__xludf.DUMMYFUNCTION("IMPORTRANGE(H31326,""IDENTITAS UNIT!D9"")"),"#N/A")</f>
        <v>#N/A</v>
      </c>
      <c r="H31326" s="4" t="str">
        <v/>
      </c>
      <c r="I31326" s="4" t="str">
        <v/>
      </c>
    </row>
    <row r="31327" spans="5:9" ht="16.5" hidden="1">
      <c r="E31327" s="4" t="str">
        <v/>
      </c>
      <c r="F31327" s="102" t="str">
        <f ca="1">IFERROR(__xludf.DUMMYFUNCTION("IMPORTRANGE(H31327,""IDENTITAS UNIT!D9"")"),"#N/A")</f>
        <v>#N/A</v>
      </c>
      <c r="H31327" s="4" t="str">
        <v/>
      </c>
      <c r="I31327" s="4" t="str">
        <v/>
      </c>
    </row>
    <row r="31328" spans="5:9" ht="16.5" hidden="1">
      <c r="E31328" s="4" t="str">
        <v/>
      </c>
      <c r="F31328" s="102" t="str">
        <f ca="1">IFERROR(__xludf.DUMMYFUNCTION("IMPORTRANGE(H31328,""IDENTITAS UNIT!D9"")"),"#N/A")</f>
        <v>#N/A</v>
      </c>
      <c r="H31328" s="4" t="str">
        <v/>
      </c>
      <c r="I31328" s="4" t="str">
        <v/>
      </c>
    </row>
    <row r="31329" spans="5:9" ht="16.5" hidden="1">
      <c r="E31329" s="4" t="str">
        <v/>
      </c>
      <c r="F31329" s="102" t="str">
        <f ca="1">IFERROR(__xludf.DUMMYFUNCTION("IMPORTRANGE(H31329,""IDENTITAS UNIT!D9"")"),"#N/A")</f>
        <v>#N/A</v>
      </c>
      <c r="H31329" s="4" t="str">
        <v/>
      </c>
      <c r="I31329" s="4" t="str">
        <v/>
      </c>
    </row>
    <row r="31330" spans="5:9" ht="16.5" hidden="1">
      <c r="E31330" s="4" t="str">
        <v/>
      </c>
      <c r="F31330" s="102" t="str">
        <f ca="1">IFERROR(__xludf.DUMMYFUNCTION("IMPORTRANGE(H31330,""IDENTITAS UNIT!D9"")"),"#N/A")</f>
        <v>#N/A</v>
      </c>
      <c r="H31330" s="4" t="str">
        <v/>
      </c>
      <c r="I31330" s="4" t="str">
        <v/>
      </c>
    </row>
    <row r="31331" spans="5:9" ht="16.5" hidden="1">
      <c r="E31331" s="4" t="str">
        <v/>
      </c>
      <c r="F31331" s="102" t="str">
        <f ca="1">IFERROR(__xludf.DUMMYFUNCTION("IMPORTRANGE(H31331,""IDENTITAS UNIT!D9"")"),"#N/A")</f>
        <v>#N/A</v>
      </c>
      <c r="H31331" s="4" t="str">
        <v/>
      </c>
      <c r="I31331" s="4" t="str">
        <v/>
      </c>
    </row>
    <row r="31332" spans="5:9" ht="16.5" hidden="1">
      <c r="E31332" s="4" t="str">
        <v/>
      </c>
      <c r="F31332" s="102" t="str">
        <f ca="1">IFERROR(__xludf.DUMMYFUNCTION("IMPORTRANGE(H31332,""IDENTITAS UNIT!D9"")"),"#N/A")</f>
        <v>#N/A</v>
      </c>
      <c r="H31332" s="4" t="str">
        <v/>
      </c>
      <c r="I31332" s="4" t="str">
        <v/>
      </c>
    </row>
    <row r="31333" spans="5:9" ht="16.5" hidden="1">
      <c r="E31333" s="4" t="str">
        <v/>
      </c>
      <c r="F31333" s="102" t="str">
        <f ca="1">IFERROR(__xludf.DUMMYFUNCTION("IMPORTRANGE(H31333,""IDENTITAS UNIT!D9"")"),"#N/A")</f>
        <v>#N/A</v>
      </c>
      <c r="H31333" s="4" t="str">
        <v/>
      </c>
      <c r="I31333" s="4" t="str">
        <v/>
      </c>
    </row>
    <row r="31334" spans="5:9" ht="16.5" hidden="1">
      <c r="E31334" s="4" t="str">
        <v/>
      </c>
      <c r="F31334" s="102" t="str">
        <f ca="1">IFERROR(__xludf.DUMMYFUNCTION("IMPORTRANGE(H31334,""IDENTITAS UNIT!D9"")"),"#N/A")</f>
        <v>#N/A</v>
      </c>
      <c r="H31334" s="4" t="str">
        <v/>
      </c>
      <c r="I31334" s="4" t="str">
        <v/>
      </c>
    </row>
    <row r="31335" spans="5:9" ht="16.5" hidden="1">
      <c r="E31335" s="4" t="str">
        <v/>
      </c>
      <c r="F31335" s="102" t="str">
        <f ca="1">IFERROR(__xludf.DUMMYFUNCTION("IMPORTRANGE(H31335,""IDENTITAS UNIT!D9"")"),"#N/A")</f>
        <v>#N/A</v>
      </c>
      <c r="H31335" s="4" t="str">
        <v/>
      </c>
      <c r="I31335" s="4" t="str">
        <v/>
      </c>
    </row>
    <row r="31336" spans="5:9" ht="16.5" hidden="1">
      <c r="E31336" s="4" t="str">
        <v/>
      </c>
      <c r="F31336" s="102" t="str">
        <f ca="1">IFERROR(__xludf.DUMMYFUNCTION("IMPORTRANGE(H31336,""IDENTITAS UNIT!D9"")"),"#N/A")</f>
        <v>#N/A</v>
      </c>
      <c r="H31336" s="4" t="str">
        <v/>
      </c>
      <c r="I31336" s="4" t="str">
        <v/>
      </c>
    </row>
    <row r="31337" spans="5:9" ht="16.5" hidden="1">
      <c r="E31337" s="4" t="str">
        <v/>
      </c>
      <c r="F31337" s="102" t="str">
        <f ca="1">IFERROR(__xludf.DUMMYFUNCTION("IMPORTRANGE(H31337,""IDENTITAS UNIT!D9"")"),"#N/A")</f>
        <v>#N/A</v>
      </c>
      <c r="H31337" s="4" t="str">
        <v/>
      </c>
      <c r="I31337" s="4" t="str">
        <v/>
      </c>
    </row>
    <row r="31338" spans="5:9" ht="16.5" hidden="1">
      <c r="E31338" s="4" t="str">
        <v/>
      </c>
      <c r="F31338" s="102" t="str">
        <f ca="1">IFERROR(__xludf.DUMMYFUNCTION("IMPORTRANGE(H31338,""IDENTITAS UNIT!D9"")"),"#N/A")</f>
        <v>#N/A</v>
      </c>
      <c r="H31338" s="4" t="str">
        <v/>
      </c>
      <c r="I31338" s="4" t="str">
        <v/>
      </c>
    </row>
    <row r="31339" spans="5:9" ht="16.5" hidden="1">
      <c r="E31339" s="4" t="str">
        <v/>
      </c>
      <c r="F31339" s="102" t="str">
        <f ca="1">IFERROR(__xludf.DUMMYFUNCTION("IMPORTRANGE(H31339,""IDENTITAS UNIT!D9"")"),"#N/A")</f>
        <v>#N/A</v>
      </c>
      <c r="H31339" s="4" t="str">
        <v/>
      </c>
      <c r="I31339" s="4" t="str">
        <v/>
      </c>
    </row>
    <row r="31340" spans="5:9" ht="16.5" hidden="1">
      <c r="E31340" s="4" t="str">
        <v/>
      </c>
      <c r="F31340" s="102" t="str">
        <f ca="1">IFERROR(__xludf.DUMMYFUNCTION("IMPORTRANGE(H31340,""IDENTITAS UNIT!D9"")"),"#N/A")</f>
        <v>#N/A</v>
      </c>
      <c r="H31340" s="4" t="str">
        <v/>
      </c>
      <c r="I31340" s="4" t="str">
        <v/>
      </c>
    </row>
    <row r="31341" spans="5:9" ht="16.5" hidden="1">
      <c r="E31341" s="4" t="str">
        <v/>
      </c>
      <c r="F31341" s="102" t="str">
        <f ca="1">IFERROR(__xludf.DUMMYFUNCTION("IMPORTRANGE(H31341,""IDENTITAS UNIT!D9"")"),"#N/A")</f>
        <v>#N/A</v>
      </c>
      <c r="H31341" s="4" t="str">
        <v/>
      </c>
      <c r="I31341" s="4" t="str">
        <v/>
      </c>
    </row>
    <row r="31342" spans="5:9" ht="16.5" hidden="1">
      <c r="E31342" s="4" t="str">
        <v/>
      </c>
      <c r="F31342" s="102" t="str">
        <f ca="1">IFERROR(__xludf.DUMMYFUNCTION("IMPORTRANGE(H31342,""IDENTITAS UNIT!D9"")"),"#N/A")</f>
        <v>#N/A</v>
      </c>
      <c r="H31342" s="4" t="str">
        <v/>
      </c>
      <c r="I31342" s="4" t="str">
        <v/>
      </c>
    </row>
    <row r="31343" spans="5:9" ht="16.5" hidden="1">
      <c r="E31343" s="4" t="str">
        <v/>
      </c>
      <c r="F31343" s="102" t="str">
        <f ca="1">IFERROR(__xludf.DUMMYFUNCTION("IMPORTRANGE(H31343,""IDENTITAS UNIT!D9"")"),"#N/A")</f>
        <v>#N/A</v>
      </c>
      <c r="H31343" s="4" t="str">
        <v/>
      </c>
      <c r="I31343" s="4" t="str">
        <v/>
      </c>
    </row>
    <row r="31344" spans="5:9" ht="16.5" hidden="1">
      <c r="E31344" s="4" t="str">
        <v/>
      </c>
      <c r="F31344" s="102" t="str">
        <f ca="1">IFERROR(__xludf.DUMMYFUNCTION("IMPORTRANGE(H31344,""IDENTITAS UNIT!D9"")"),"#N/A")</f>
        <v>#N/A</v>
      </c>
      <c r="H31344" s="4" t="str">
        <v/>
      </c>
      <c r="I31344" s="4" t="str">
        <v/>
      </c>
    </row>
    <row r="31345" spans="5:9" ht="16.5" hidden="1">
      <c r="E31345" s="4" t="str">
        <v/>
      </c>
      <c r="F31345" s="102" t="str">
        <f ca="1">IFERROR(__xludf.DUMMYFUNCTION("IMPORTRANGE(H31345,""IDENTITAS UNIT!D9"")"),"#N/A")</f>
        <v>#N/A</v>
      </c>
      <c r="H31345" s="4" t="str">
        <v/>
      </c>
      <c r="I31345" s="4" t="str">
        <v/>
      </c>
    </row>
    <row r="31346" spans="5:9" ht="16.5" hidden="1">
      <c r="E31346" s="4" t="str">
        <v/>
      </c>
      <c r="F31346" s="102" t="str">
        <f ca="1">IFERROR(__xludf.DUMMYFUNCTION("IMPORTRANGE(H31346,""IDENTITAS UNIT!D9"")"),"#N/A")</f>
        <v>#N/A</v>
      </c>
      <c r="H31346" s="4" t="str">
        <v/>
      </c>
      <c r="I31346" s="4" t="str">
        <v/>
      </c>
    </row>
    <row r="31347" spans="5:9" ht="16.5" hidden="1">
      <c r="E31347" s="4" t="str">
        <v/>
      </c>
      <c r="F31347" s="102" t="str">
        <f ca="1">IFERROR(__xludf.DUMMYFUNCTION("IMPORTRANGE(H31347,""IDENTITAS UNIT!D9"")"),"#N/A")</f>
        <v>#N/A</v>
      </c>
      <c r="H31347" s="4" t="str">
        <v/>
      </c>
      <c r="I31347" s="4" t="str">
        <v/>
      </c>
    </row>
    <row r="31348" spans="5:9" ht="16.5" hidden="1">
      <c r="E31348" s="4" t="str">
        <v/>
      </c>
      <c r="F31348" s="102" t="str">
        <f ca="1">IFERROR(__xludf.DUMMYFUNCTION("IMPORTRANGE(H31348,""IDENTITAS UNIT!D9"")"),"#N/A")</f>
        <v>#N/A</v>
      </c>
      <c r="H31348" s="4" t="str">
        <v/>
      </c>
      <c r="I31348" s="4" t="str">
        <v/>
      </c>
    </row>
    <row r="31349" spans="5:9" ht="16.5" hidden="1">
      <c r="E31349" s="4" t="str">
        <v/>
      </c>
      <c r="F31349" s="102" t="str">
        <f ca="1">IFERROR(__xludf.DUMMYFUNCTION("IMPORTRANGE(H31349,""IDENTITAS UNIT!D9"")"),"#N/A")</f>
        <v>#N/A</v>
      </c>
      <c r="H31349" s="4" t="str">
        <v/>
      </c>
      <c r="I31349" s="4" t="str">
        <v/>
      </c>
    </row>
    <row r="31350" spans="5:9" ht="16.5" hidden="1">
      <c r="E31350" s="4" t="str">
        <v/>
      </c>
      <c r="F31350" s="102" t="str">
        <f ca="1">IFERROR(__xludf.DUMMYFUNCTION("IMPORTRANGE(H31350,""IDENTITAS UNIT!D9"")"),"#N/A")</f>
        <v>#N/A</v>
      </c>
      <c r="H31350" s="4" t="str">
        <v/>
      </c>
      <c r="I31350" s="4" t="str">
        <v/>
      </c>
    </row>
    <row r="31351" spans="5:9" ht="16.5" hidden="1">
      <c r="E31351" s="4" t="str">
        <v/>
      </c>
      <c r="F31351" s="102" t="str">
        <f ca="1">IFERROR(__xludf.DUMMYFUNCTION("IMPORTRANGE(H31351,""IDENTITAS UNIT!D9"")"),"#N/A")</f>
        <v>#N/A</v>
      </c>
      <c r="H31351" s="4" t="str">
        <v/>
      </c>
      <c r="I31351" s="4" t="str">
        <v/>
      </c>
    </row>
    <row r="31352" spans="5:9" ht="16.5" hidden="1">
      <c r="E31352" s="4" t="str">
        <v/>
      </c>
      <c r="F31352" s="102" t="str">
        <f ca="1">IFERROR(__xludf.DUMMYFUNCTION("IMPORTRANGE(H31352,""IDENTITAS UNIT!D9"")"),"#N/A")</f>
        <v>#N/A</v>
      </c>
      <c r="H31352" s="4" t="str">
        <v/>
      </c>
      <c r="I31352" s="4" t="str">
        <v/>
      </c>
    </row>
    <row r="31353" spans="5:9" ht="16.5" hidden="1">
      <c r="E31353" s="4" t="str">
        <v/>
      </c>
      <c r="F31353" s="102" t="str">
        <f ca="1">IFERROR(__xludf.DUMMYFUNCTION("IMPORTRANGE(H31353,""IDENTITAS UNIT!D9"")"),"#N/A")</f>
        <v>#N/A</v>
      </c>
      <c r="H31353" s="4" t="str">
        <v/>
      </c>
      <c r="I31353" s="4" t="str">
        <v/>
      </c>
    </row>
    <row r="31354" spans="5:9" ht="16.5" hidden="1">
      <c r="E31354" s="4" t="str">
        <v/>
      </c>
      <c r="F31354" s="102" t="str">
        <f ca="1">IFERROR(__xludf.DUMMYFUNCTION("IMPORTRANGE(H31354,""IDENTITAS UNIT!D9"")"),"#N/A")</f>
        <v>#N/A</v>
      </c>
      <c r="H31354" s="4" t="str">
        <v/>
      </c>
      <c r="I31354" s="4" t="str">
        <v/>
      </c>
    </row>
    <row r="31355" spans="5:9" ht="16.5" hidden="1">
      <c r="E31355" s="4" t="str">
        <v/>
      </c>
      <c r="F31355" s="102" t="str">
        <f ca="1">IFERROR(__xludf.DUMMYFUNCTION("IMPORTRANGE(H31355,""IDENTITAS UNIT!D9"")"),"#N/A")</f>
        <v>#N/A</v>
      </c>
      <c r="H31355" s="4" t="str">
        <v/>
      </c>
      <c r="I31355" s="4" t="str">
        <v/>
      </c>
    </row>
    <row r="31356" spans="5:9" ht="16.5" hidden="1">
      <c r="E31356" s="4" t="str">
        <v/>
      </c>
      <c r="F31356" s="102" t="str">
        <f ca="1">IFERROR(__xludf.DUMMYFUNCTION("IMPORTRANGE(H31356,""IDENTITAS UNIT!D9"")"),"#N/A")</f>
        <v>#N/A</v>
      </c>
      <c r="H31356" s="4" t="str">
        <v/>
      </c>
      <c r="I31356" s="4" t="str">
        <v/>
      </c>
    </row>
    <row r="31357" spans="5:9" ht="16.5" hidden="1">
      <c r="E31357" s="4" t="str">
        <v/>
      </c>
      <c r="F31357" s="102" t="str">
        <f ca="1">IFERROR(__xludf.DUMMYFUNCTION("IMPORTRANGE(H31357,""IDENTITAS UNIT!D9"")"),"#N/A")</f>
        <v>#N/A</v>
      </c>
      <c r="H31357" s="4" t="str">
        <v/>
      </c>
      <c r="I31357" s="4" t="str">
        <v/>
      </c>
    </row>
    <row r="31358" spans="5:9" ht="16.5" hidden="1">
      <c r="E31358" s="4" t="str">
        <v/>
      </c>
      <c r="F31358" s="102" t="str">
        <f ca="1">IFERROR(__xludf.DUMMYFUNCTION("IMPORTRANGE(H31358,""IDENTITAS UNIT!D9"")"),"#N/A")</f>
        <v>#N/A</v>
      </c>
      <c r="H31358" s="4" t="str">
        <v/>
      </c>
      <c r="I31358" s="4" t="str">
        <v/>
      </c>
    </row>
    <row r="31359" spans="5:9" ht="16.5" hidden="1">
      <c r="E31359" s="4" t="str">
        <v/>
      </c>
      <c r="F31359" s="102" t="str">
        <f ca="1">IFERROR(__xludf.DUMMYFUNCTION("IMPORTRANGE(H31359,""IDENTITAS UNIT!D9"")"),"#N/A")</f>
        <v>#N/A</v>
      </c>
      <c r="H31359" s="4" t="str">
        <v/>
      </c>
      <c r="I31359" s="4" t="str">
        <v/>
      </c>
    </row>
    <row r="31360" spans="5:9" ht="16.5" hidden="1">
      <c r="E31360" s="4" t="str">
        <v/>
      </c>
      <c r="F31360" s="102" t="str">
        <f ca="1">IFERROR(__xludf.DUMMYFUNCTION("IMPORTRANGE(H31360,""IDENTITAS UNIT!D9"")"),"#N/A")</f>
        <v>#N/A</v>
      </c>
      <c r="H31360" s="4" t="str">
        <v/>
      </c>
      <c r="I31360" s="4" t="str">
        <v/>
      </c>
    </row>
    <row r="31361" spans="5:9" ht="16.5" hidden="1">
      <c r="E31361" s="4" t="str">
        <v/>
      </c>
      <c r="F31361" s="102" t="str">
        <f ca="1">IFERROR(__xludf.DUMMYFUNCTION("IMPORTRANGE(H31361,""IDENTITAS UNIT!D9"")"),"#N/A")</f>
        <v>#N/A</v>
      </c>
      <c r="H31361" s="4" t="str">
        <v/>
      </c>
      <c r="I31361" s="4" t="str">
        <v/>
      </c>
    </row>
    <row r="31362" spans="5:9" ht="16.5" hidden="1">
      <c r="E31362" s="4" t="str">
        <v/>
      </c>
      <c r="F31362" s="102" t="str">
        <f ca="1">IFERROR(__xludf.DUMMYFUNCTION("IMPORTRANGE(H31362,""IDENTITAS UNIT!D9"")"),"#N/A")</f>
        <v>#N/A</v>
      </c>
      <c r="H31362" s="4" t="str">
        <v/>
      </c>
      <c r="I31362" s="4" t="str">
        <v/>
      </c>
    </row>
    <row r="31363" spans="5:9" ht="16.5" hidden="1">
      <c r="E31363" s="4" t="str">
        <v/>
      </c>
      <c r="F31363" s="102" t="str">
        <f ca="1">IFERROR(__xludf.DUMMYFUNCTION("IMPORTRANGE(H31363,""IDENTITAS UNIT!D9"")"),"#N/A")</f>
        <v>#N/A</v>
      </c>
      <c r="H31363" s="4" t="str">
        <v/>
      </c>
      <c r="I31363" s="4" t="str">
        <v/>
      </c>
    </row>
    <row r="31364" spans="5:9" ht="16.5" hidden="1">
      <c r="E31364" s="4" t="str">
        <v/>
      </c>
      <c r="F31364" s="102" t="str">
        <f ca="1">IFERROR(__xludf.DUMMYFUNCTION("IMPORTRANGE(H31364,""IDENTITAS UNIT!D9"")"),"#N/A")</f>
        <v>#N/A</v>
      </c>
      <c r="H31364" s="4" t="str">
        <v/>
      </c>
      <c r="I31364" s="4" t="str">
        <v/>
      </c>
    </row>
    <row r="31365" spans="5:9" ht="16.5" hidden="1">
      <c r="E31365" s="4" t="str">
        <v/>
      </c>
      <c r="F31365" s="102" t="str">
        <f ca="1">IFERROR(__xludf.DUMMYFUNCTION("IMPORTRANGE(H31365,""IDENTITAS UNIT!D9"")"),"#N/A")</f>
        <v>#N/A</v>
      </c>
      <c r="H31365" s="4" t="str">
        <v/>
      </c>
      <c r="I31365" s="4" t="str">
        <v/>
      </c>
    </row>
    <row r="31366" spans="5:9" ht="16.5" hidden="1">
      <c r="E31366" s="4" t="str">
        <v/>
      </c>
      <c r="F31366" s="102" t="str">
        <f ca="1">IFERROR(__xludf.DUMMYFUNCTION("IMPORTRANGE(H31366,""IDENTITAS UNIT!D9"")"),"#N/A")</f>
        <v>#N/A</v>
      </c>
      <c r="H31366" s="4" t="str">
        <v/>
      </c>
      <c r="I31366" s="4" t="str">
        <v/>
      </c>
    </row>
    <row r="31367" spans="5:9" ht="16.5" hidden="1">
      <c r="E31367" s="4" t="str">
        <v/>
      </c>
      <c r="F31367" s="102" t="str">
        <f ca="1">IFERROR(__xludf.DUMMYFUNCTION("IMPORTRANGE(H31367,""IDENTITAS UNIT!D9"")"),"#N/A")</f>
        <v>#N/A</v>
      </c>
      <c r="H31367" s="4" t="str">
        <v/>
      </c>
      <c r="I31367" s="4" t="str">
        <v/>
      </c>
    </row>
    <row r="31368" spans="5:9" ht="16.5" hidden="1">
      <c r="E31368" s="4" t="str">
        <v/>
      </c>
      <c r="F31368" s="102" t="str">
        <f ca="1">IFERROR(__xludf.DUMMYFUNCTION("IMPORTRANGE(H31368,""IDENTITAS UNIT!D9"")"),"#N/A")</f>
        <v>#N/A</v>
      </c>
      <c r="H31368" s="4" t="str">
        <v/>
      </c>
      <c r="I31368" s="4" t="str">
        <v/>
      </c>
    </row>
    <row r="31369" spans="5:9" ht="16.5" hidden="1">
      <c r="E31369" s="4" t="str">
        <v/>
      </c>
      <c r="F31369" s="102" t="str">
        <f ca="1">IFERROR(__xludf.DUMMYFUNCTION("IMPORTRANGE(H31369,""IDENTITAS UNIT!D9"")"),"#N/A")</f>
        <v>#N/A</v>
      </c>
      <c r="H31369" s="4" t="str">
        <v/>
      </c>
      <c r="I31369" s="4" t="str">
        <v/>
      </c>
    </row>
    <row r="31370" spans="5:9" ht="16.5" hidden="1">
      <c r="E31370" s="4" t="str">
        <v/>
      </c>
      <c r="F31370" s="102" t="str">
        <f ca="1">IFERROR(__xludf.DUMMYFUNCTION("IMPORTRANGE(H31370,""IDENTITAS UNIT!D9"")"),"#N/A")</f>
        <v>#N/A</v>
      </c>
      <c r="H31370" s="4" t="str">
        <v/>
      </c>
      <c r="I31370" s="4" t="str">
        <v/>
      </c>
    </row>
    <row r="31371" spans="5:9" ht="16.5" hidden="1">
      <c r="E31371" s="4" t="str">
        <v/>
      </c>
      <c r="F31371" s="102" t="str">
        <f ca="1">IFERROR(__xludf.DUMMYFUNCTION("IMPORTRANGE(H31371,""IDENTITAS UNIT!D9"")"),"#N/A")</f>
        <v>#N/A</v>
      </c>
      <c r="H31371" s="4" t="str">
        <v/>
      </c>
      <c r="I31371" s="4" t="str">
        <v/>
      </c>
    </row>
    <row r="31372" spans="5:9" ht="16.5" hidden="1">
      <c r="E31372" s="4" t="str">
        <v/>
      </c>
      <c r="F31372" s="102" t="str">
        <f ca="1">IFERROR(__xludf.DUMMYFUNCTION("IMPORTRANGE(H31372,""IDENTITAS UNIT!D9"")"),"#N/A")</f>
        <v>#N/A</v>
      </c>
      <c r="H31372" s="4" t="str">
        <v/>
      </c>
      <c r="I31372" s="4" t="str">
        <v/>
      </c>
    </row>
    <row r="31373" spans="5:9" ht="16.5" hidden="1">
      <c r="E31373" s="4" t="str">
        <v/>
      </c>
      <c r="F31373" s="102" t="str">
        <f ca="1">IFERROR(__xludf.DUMMYFUNCTION("IMPORTRANGE(H31373,""IDENTITAS UNIT!D9"")"),"#N/A")</f>
        <v>#N/A</v>
      </c>
      <c r="H31373" s="4" t="str">
        <v/>
      </c>
      <c r="I31373" s="4" t="str">
        <v/>
      </c>
    </row>
    <row r="31374" spans="5:9" ht="16.5" hidden="1">
      <c r="E31374" s="4" t="str">
        <v/>
      </c>
      <c r="F31374" s="102" t="str">
        <f ca="1">IFERROR(__xludf.DUMMYFUNCTION("IMPORTRANGE(H31374,""IDENTITAS UNIT!D9"")"),"#N/A")</f>
        <v>#N/A</v>
      </c>
      <c r="H31374" s="4" t="str">
        <v/>
      </c>
      <c r="I31374" s="4" t="str">
        <v/>
      </c>
    </row>
    <row r="31375" spans="5:9" ht="16.5" hidden="1">
      <c r="E31375" s="4" t="str">
        <v/>
      </c>
      <c r="F31375" s="102" t="str">
        <f ca="1">IFERROR(__xludf.DUMMYFUNCTION("IMPORTRANGE(H31375,""IDENTITAS UNIT!D9"")"),"#N/A")</f>
        <v>#N/A</v>
      </c>
      <c r="H31375" s="4" t="str">
        <v/>
      </c>
      <c r="I31375" s="4" t="str">
        <v/>
      </c>
    </row>
    <row r="31376" spans="5:9" ht="16.5" hidden="1">
      <c r="E31376" s="4" t="str">
        <v/>
      </c>
      <c r="F31376" s="102" t="str">
        <f ca="1">IFERROR(__xludf.DUMMYFUNCTION("IMPORTRANGE(H31376,""IDENTITAS UNIT!D9"")"),"#N/A")</f>
        <v>#N/A</v>
      </c>
      <c r="H31376" s="4" t="str">
        <v/>
      </c>
      <c r="I31376" s="4" t="str">
        <v/>
      </c>
    </row>
    <row r="31377" spans="5:9" ht="16.5" hidden="1">
      <c r="E31377" s="4" t="str">
        <v/>
      </c>
      <c r="F31377" s="102" t="str">
        <f ca="1">IFERROR(__xludf.DUMMYFUNCTION("IMPORTRANGE(H31377,""IDENTITAS UNIT!D9"")"),"#N/A")</f>
        <v>#N/A</v>
      </c>
      <c r="H31377" s="4" t="str">
        <v/>
      </c>
      <c r="I31377" s="4" t="str">
        <v/>
      </c>
    </row>
    <row r="31378" spans="5:9" ht="16.5" hidden="1">
      <c r="E31378" s="4" t="str">
        <v/>
      </c>
      <c r="F31378" s="102" t="str">
        <f ca="1">IFERROR(__xludf.DUMMYFUNCTION("IMPORTRANGE(H31378,""IDENTITAS UNIT!D9"")"),"#N/A")</f>
        <v>#N/A</v>
      </c>
      <c r="H31378" s="4" t="str">
        <v/>
      </c>
      <c r="I31378" s="4" t="str">
        <v/>
      </c>
    </row>
    <row r="31379" spans="5:9" ht="16.5" hidden="1">
      <c r="E31379" s="4" t="str">
        <v/>
      </c>
      <c r="F31379" s="102" t="str">
        <f ca="1">IFERROR(__xludf.DUMMYFUNCTION("IMPORTRANGE(H31379,""IDENTITAS UNIT!D9"")"),"#N/A")</f>
        <v>#N/A</v>
      </c>
      <c r="H31379" s="4" t="str">
        <v/>
      </c>
      <c r="I31379" s="4" t="str">
        <v/>
      </c>
    </row>
    <row r="31380" spans="5:9" ht="16.5" hidden="1">
      <c r="E31380" s="4" t="str">
        <v/>
      </c>
      <c r="F31380" s="102" t="str">
        <f ca="1">IFERROR(__xludf.DUMMYFUNCTION("IMPORTRANGE(H31380,""IDENTITAS UNIT!D9"")"),"#N/A")</f>
        <v>#N/A</v>
      </c>
      <c r="H31380" s="4" t="str">
        <v/>
      </c>
      <c r="I31380" s="4" t="str">
        <v/>
      </c>
    </row>
    <row r="31381" spans="5:9" ht="16.5" hidden="1">
      <c r="E31381" s="4" t="str">
        <v/>
      </c>
      <c r="F31381" s="102" t="str">
        <f ca="1">IFERROR(__xludf.DUMMYFUNCTION("IMPORTRANGE(H31381,""IDENTITAS UNIT!D9"")"),"#N/A")</f>
        <v>#N/A</v>
      </c>
      <c r="H31381" s="4" t="str">
        <v/>
      </c>
      <c r="I31381" s="4" t="str">
        <v/>
      </c>
    </row>
    <row r="31382" spans="5:9" ht="16.5" hidden="1">
      <c r="E31382" s="4" t="str">
        <v/>
      </c>
      <c r="F31382" s="102" t="str">
        <f ca="1">IFERROR(__xludf.DUMMYFUNCTION("IMPORTRANGE(H31382,""IDENTITAS UNIT!D9"")"),"#N/A")</f>
        <v>#N/A</v>
      </c>
      <c r="H31382" s="4" t="str">
        <v/>
      </c>
      <c r="I31382" s="4" t="str">
        <v/>
      </c>
    </row>
    <row r="31383" spans="5:9" ht="16.5" hidden="1">
      <c r="E31383" s="4" t="str">
        <v/>
      </c>
      <c r="F31383" s="102" t="str">
        <f ca="1">IFERROR(__xludf.DUMMYFUNCTION("IMPORTRANGE(H31383,""IDENTITAS UNIT!D9"")"),"#N/A")</f>
        <v>#N/A</v>
      </c>
      <c r="H31383" s="4" t="str">
        <v/>
      </c>
      <c r="I31383" s="4" t="str">
        <v/>
      </c>
    </row>
    <row r="31384" spans="5:9" ht="16.5" hidden="1">
      <c r="E31384" s="4" t="str">
        <v/>
      </c>
      <c r="F31384" s="102" t="str">
        <f ca="1">IFERROR(__xludf.DUMMYFUNCTION("IMPORTRANGE(H31384,""IDENTITAS UNIT!D9"")"),"#N/A")</f>
        <v>#N/A</v>
      </c>
      <c r="H31384" s="4" t="str">
        <v/>
      </c>
      <c r="I31384" s="4" t="str">
        <v/>
      </c>
    </row>
    <row r="31385" spans="5:9" ht="16.5" hidden="1">
      <c r="E31385" s="4" t="str">
        <v/>
      </c>
      <c r="F31385" s="102" t="str">
        <f ca="1">IFERROR(__xludf.DUMMYFUNCTION("IMPORTRANGE(H31385,""IDENTITAS UNIT!D9"")"),"#N/A")</f>
        <v>#N/A</v>
      </c>
      <c r="H31385" s="4" t="str">
        <v/>
      </c>
      <c r="I31385" s="4" t="str">
        <v/>
      </c>
    </row>
    <row r="31386" spans="5:9" ht="16.5" hidden="1">
      <c r="E31386" s="4" t="str">
        <v/>
      </c>
      <c r="F31386" s="102" t="str">
        <f ca="1">IFERROR(__xludf.DUMMYFUNCTION("IMPORTRANGE(H31386,""IDENTITAS UNIT!D9"")"),"#N/A")</f>
        <v>#N/A</v>
      </c>
      <c r="H31386" s="4" t="str">
        <v/>
      </c>
      <c r="I31386" s="4" t="str">
        <v/>
      </c>
    </row>
    <row r="31387" spans="5:9" ht="16.5" hidden="1">
      <c r="E31387" s="4" t="str">
        <v/>
      </c>
      <c r="F31387" s="102" t="str">
        <f ca="1">IFERROR(__xludf.DUMMYFUNCTION("IMPORTRANGE(H31387,""IDENTITAS UNIT!D9"")"),"#N/A")</f>
        <v>#N/A</v>
      </c>
      <c r="H31387" s="4" t="str">
        <v/>
      </c>
      <c r="I31387" s="4" t="str">
        <v/>
      </c>
    </row>
    <row r="31388" spans="5:9" ht="16.5" hidden="1">
      <c r="E31388" s="4" t="str">
        <v/>
      </c>
      <c r="F31388" s="102" t="str">
        <f ca="1">IFERROR(__xludf.DUMMYFUNCTION("IMPORTRANGE(H31388,""IDENTITAS UNIT!D9"")"),"#N/A")</f>
        <v>#N/A</v>
      </c>
      <c r="H31388" s="4" t="str">
        <v/>
      </c>
      <c r="I31388" s="4" t="str">
        <v/>
      </c>
    </row>
    <row r="31389" spans="5:9" ht="16.5" hidden="1">
      <c r="E31389" s="4" t="str">
        <v/>
      </c>
      <c r="F31389" s="102" t="str">
        <f ca="1">IFERROR(__xludf.DUMMYFUNCTION("IMPORTRANGE(H31389,""IDENTITAS UNIT!D9"")"),"#N/A")</f>
        <v>#N/A</v>
      </c>
      <c r="H31389" s="4" t="str">
        <v/>
      </c>
      <c r="I31389" s="4" t="str">
        <v/>
      </c>
    </row>
    <row r="31390" spans="5:9" ht="16.5" hidden="1">
      <c r="E31390" s="4" t="str">
        <v/>
      </c>
      <c r="F31390" s="102" t="str">
        <f ca="1">IFERROR(__xludf.DUMMYFUNCTION("IMPORTRANGE(H31390,""IDENTITAS UNIT!D9"")"),"#N/A")</f>
        <v>#N/A</v>
      </c>
      <c r="H31390" s="4" t="str">
        <v/>
      </c>
      <c r="I31390" s="4" t="str">
        <v/>
      </c>
    </row>
    <row r="31391" spans="5:9" ht="16.5" hidden="1">
      <c r="E31391" s="4" t="str">
        <v/>
      </c>
      <c r="F31391" s="102" t="str">
        <f ca="1">IFERROR(__xludf.DUMMYFUNCTION("IMPORTRANGE(H31391,""IDENTITAS UNIT!D9"")"),"#N/A")</f>
        <v>#N/A</v>
      </c>
      <c r="H31391" s="4" t="str">
        <v/>
      </c>
      <c r="I31391" s="4" t="str">
        <v/>
      </c>
    </row>
    <row r="31392" spans="5:9" ht="16.5" hidden="1">
      <c r="E31392" s="4" t="str">
        <v/>
      </c>
      <c r="F31392" s="102" t="str">
        <f ca="1">IFERROR(__xludf.DUMMYFUNCTION("IMPORTRANGE(H31392,""IDENTITAS UNIT!D9"")"),"#N/A")</f>
        <v>#N/A</v>
      </c>
      <c r="H31392" s="4" t="str">
        <v/>
      </c>
      <c r="I31392" s="4" t="str">
        <v/>
      </c>
    </row>
    <row r="31393" spans="5:9" ht="16.5" hidden="1">
      <c r="E31393" s="4" t="str">
        <v/>
      </c>
      <c r="F31393" s="102" t="str">
        <f ca="1">IFERROR(__xludf.DUMMYFUNCTION("IMPORTRANGE(H31393,""IDENTITAS UNIT!D9"")"),"#N/A")</f>
        <v>#N/A</v>
      </c>
      <c r="H31393" s="4" t="str">
        <v/>
      </c>
      <c r="I31393" s="4" t="str">
        <v/>
      </c>
    </row>
    <row r="31394" spans="5:9" ht="16.5" hidden="1">
      <c r="E31394" s="4" t="str">
        <v/>
      </c>
      <c r="F31394" s="102" t="str">
        <f ca="1">IFERROR(__xludf.DUMMYFUNCTION("IMPORTRANGE(H31394,""IDENTITAS UNIT!D9"")"),"#N/A")</f>
        <v>#N/A</v>
      </c>
      <c r="H31394" s="4" t="str">
        <v/>
      </c>
      <c r="I31394" s="4" t="str">
        <v/>
      </c>
    </row>
    <row r="31395" spans="5:9" ht="16.5" hidden="1">
      <c r="E31395" s="4" t="str">
        <v/>
      </c>
      <c r="F31395" s="102" t="str">
        <f ca="1">IFERROR(__xludf.DUMMYFUNCTION("IMPORTRANGE(H31395,""IDENTITAS UNIT!D9"")"),"#N/A")</f>
        <v>#N/A</v>
      </c>
      <c r="H31395" s="4" t="str">
        <v/>
      </c>
      <c r="I31395" s="4" t="str">
        <v/>
      </c>
    </row>
    <row r="31396" spans="5:9" ht="16.5" hidden="1">
      <c r="E31396" s="4" t="str">
        <v/>
      </c>
      <c r="F31396" s="102" t="str">
        <f ca="1">IFERROR(__xludf.DUMMYFUNCTION("IMPORTRANGE(H31396,""IDENTITAS UNIT!D9"")"),"#N/A")</f>
        <v>#N/A</v>
      </c>
      <c r="H31396" s="4" t="str">
        <v/>
      </c>
      <c r="I31396" s="4" t="str">
        <v/>
      </c>
    </row>
    <row r="31397" spans="5:9" ht="16.5" hidden="1">
      <c r="E31397" s="4" t="str">
        <v/>
      </c>
      <c r="F31397" s="102" t="str">
        <f ca="1">IFERROR(__xludf.DUMMYFUNCTION("IMPORTRANGE(H31397,""IDENTITAS UNIT!D9"")"),"#N/A")</f>
        <v>#N/A</v>
      </c>
      <c r="H31397" s="4" t="str">
        <v/>
      </c>
      <c r="I31397" s="4" t="str">
        <v/>
      </c>
    </row>
    <row r="31398" spans="5:9" ht="16.5" hidden="1">
      <c r="E31398" s="4" t="str">
        <v/>
      </c>
      <c r="F31398" s="102" t="str">
        <f ca="1">IFERROR(__xludf.DUMMYFUNCTION("IMPORTRANGE(H31398,""IDENTITAS UNIT!D9"")"),"#N/A")</f>
        <v>#N/A</v>
      </c>
      <c r="H31398" s="4" t="str">
        <v/>
      </c>
      <c r="I31398" s="4" t="str">
        <v/>
      </c>
    </row>
    <row r="31399" spans="5:9" ht="16.5" hidden="1">
      <c r="E31399" s="4" t="str">
        <v/>
      </c>
      <c r="F31399" s="102" t="str">
        <f ca="1">IFERROR(__xludf.DUMMYFUNCTION("IMPORTRANGE(H31399,""IDENTITAS UNIT!D9"")"),"#N/A")</f>
        <v>#N/A</v>
      </c>
      <c r="H31399" s="4" t="str">
        <v/>
      </c>
      <c r="I31399" s="4" t="str">
        <v/>
      </c>
    </row>
    <row r="31400" spans="5:9" ht="16.5" hidden="1">
      <c r="E31400" s="4" t="str">
        <v/>
      </c>
      <c r="F31400" s="102" t="str">
        <f ca="1">IFERROR(__xludf.DUMMYFUNCTION("IMPORTRANGE(H31400,""IDENTITAS UNIT!D9"")"),"#N/A")</f>
        <v>#N/A</v>
      </c>
      <c r="H31400" s="4" t="str">
        <v/>
      </c>
      <c r="I31400" s="4" t="str">
        <v/>
      </c>
    </row>
    <row r="31401" spans="5:9" ht="16.5" hidden="1">
      <c r="E31401" s="4" t="str">
        <v/>
      </c>
      <c r="F31401" s="102" t="str">
        <f ca="1">IFERROR(__xludf.DUMMYFUNCTION("IMPORTRANGE(H31401,""IDENTITAS UNIT!D9"")"),"#N/A")</f>
        <v>#N/A</v>
      </c>
      <c r="H31401" s="4" t="str">
        <v/>
      </c>
      <c r="I31401" s="4" t="str">
        <v/>
      </c>
    </row>
    <row r="31402" spans="5:9" ht="16.5" hidden="1">
      <c r="E31402" s="4" t="str">
        <v/>
      </c>
      <c r="F31402" s="102" t="str">
        <f ca="1">IFERROR(__xludf.DUMMYFUNCTION("IMPORTRANGE(H31402,""IDENTITAS UNIT!D9"")"),"#N/A")</f>
        <v>#N/A</v>
      </c>
      <c r="H31402" s="4" t="str">
        <v/>
      </c>
      <c r="I31402" s="4" t="str">
        <v/>
      </c>
    </row>
    <row r="31403" spans="5:9" ht="16.5" hidden="1">
      <c r="E31403" s="4" t="str">
        <v/>
      </c>
      <c r="F31403" s="102" t="str">
        <f ca="1">IFERROR(__xludf.DUMMYFUNCTION("IMPORTRANGE(H31403,""IDENTITAS UNIT!D9"")"),"#N/A")</f>
        <v>#N/A</v>
      </c>
      <c r="H31403" s="4" t="str">
        <v/>
      </c>
      <c r="I31403" s="4" t="str">
        <v/>
      </c>
    </row>
    <row r="31404" spans="5:9" ht="16.5" hidden="1">
      <c r="E31404" s="4" t="str">
        <v/>
      </c>
      <c r="F31404" s="102" t="str">
        <f ca="1">IFERROR(__xludf.DUMMYFUNCTION("IMPORTRANGE(H31404,""IDENTITAS UNIT!D9"")"),"#N/A")</f>
        <v>#N/A</v>
      </c>
      <c r="H31404" s="4" t="str">
        <v/>
      </c>
      <c r="I31404" s="4" t="str">
        <v/>
      </c>
    </row>
    <row r="31405" spans="5:9" ht="16.5" hidden="1">
      <c r="E31405" s="4" t="str">
        <v/>
      </c>
      <c r="F31405" s="102" t="str">
        <f ca="1">IFERROR(__xludf.DUMMYFUNCTION("IMPORTRANGE(H31405,""IDENTITAS UNIT!D9"")"),"#N/A")</f>
        <v>#N/A</v>
      </c>
      <c r="H31405" s="4" t="str">
        <v/>
      </c>
      <c r="I31405" s="4" t="str">
        <v/>
      </c>
    </row>
    <row r="31406" spans="5:9" ht="16.5" hidden="1">
      <c r="E31406" s="4" t="str">
        <v/>
      </c>
      <c r="F31406" s="102" t="str">
        <f ca="1">IFERROR(__xludf.DUMMYFUNCTION("IMPORTRANGE(H31406,""IDENTITAS UNIT!D9"")"),"#N/A")</f>
        <v>#N/A</v>
      </c>
      <c r="H31406" s="4" t="str">
        <v/>
      </c>
      <c r="I31406" s="4" t="str">
        <v/>
      </c>
    </row>
    <row r="31407" spans="5:9" ht="16.5" hidden="1">
      <c r="E31407" s="4" t="str">
        <v/>
      </c>
      <c r="F31407" s="102" t="str">
        <f ca="1">IFERROR(__xludf.DUMMYFUNCTION("IMPORTRANGE(H31407,""IDENTITAS UNIT!D9"")"),"#N/A")</f>
        <v>#N/A</v>
      </c>
      <c r="H31407" s="4" t="str">
        <v/>
      </c>
      <c r="I31407" s="4" t="str">
        <v/>
      </c>
    </row>
    <row r="31408" spans="5:9" ht="16.5" hidden="1">
      <c r="E31408" s="4" t="str">
        <v/>
      </c>
      <c r="F31408" s="102" t="str">
        <f ca="1">IFERROR(__xludf.DUMMYFUNCTION("IMPORTRANGE(H31408,""IDENTITAS UNIT!D9"")"),"#N/A")</f>
        <v>#N/A</v>
      </c>
      <c r="H31408" s="4" t="str">
        <v/>
      </c>
      <c r="I31408" s="4" t="str">
        <v/>
      </c>
    </row>
    <row r="31409" spans="5:9" ht="16.5" hidden="1">
      <c r="E31409" s="4" t="str">
        <v/>
      </c>
      <c r="F31409" s="102" t="str">
        <f ca="1">IFERROR(__xludf.DUMMYFUNCTION("IMPORTRANGE(H31409,""IDENTITAS UNIT!D9"")"),"#N/A")</f>
        <v>#N/A</v>
      </c>
      <c r="H31409" s="4" t="str">
        <v/>
      </c>
      <c r="I31409" s="4" t="str">
        <v/>
      </c>
    </row>
    <row r="31410" spans="5:9" ht="16.5" hidden="1">
      <c r="E31410" s="4" t="str">
        <v/>
      </c>
      <c r="F31410" s="102" t="str">
        <f ca="1">IFERROR(__xludf.DUMMYFUNCTION("IMPORTRANGE(H31410,""IDENTITAS UNIT!D9"")"),"#N/A")</f>
        <v>#N/A</v>
      </c>
      <c r="H31410" s="4" t="str">
        <v/>
      </c>
      <c r="I31410" s="4" t="str">
        <v/>
      </c>
    </row>
    <row r="31411" spans="5:9" ht="16.5" hidden="1">
      <c r="E31411" s="4" t="str">
        <v/>
      </c>
      <c r="F31411" s="102" t="str">
        <f ca="1">IFERROR(__xludf.DUMMYFUNCTION("IMPORTRANGE(H31411,""IDENTITAS UNIT!D9"")"),"#N/A")</f>
        <v>#N/A</v>
      </c>
      <c r="H31411" s="4" t="str">
        <v/>
      </c>
      <c r="I31411" s="4" t="str">
        <v/>
      </c>
    </row>
    <row r="31412" spans="5:9" ht="16.5" hidden="1">
      <c r="E31412" s="4" t="str">
        <v/>
      </c>
      <c r="F31412" s="102" t="str">
        <f ca="1">IFERROR(__xludf.DUMMYFUNCTION("IMPORTRANGE(H31412,""IDENTITAS UNIT!D9"")"),"#N/A")</f>
        <v>#N/A</v>
      </c>
      <c r="H31412" s="4" t="str">
        <v/>
      </c>
      <c r="I31412" s="4" t="str">
        <v/>
      </c>
    </row>
    <row r="31413" spans="5:9" ht="16.5" hidden="1">
      <c r="E31413" s="4" t="str">
        <v/>
      </c>
      <c r="F31413" s="102" t="str">
        <f ca="1">IFERROR(__xludf.DUMMYFUNCTION("IMPORTRANGE(H31413,""IDENTITAS UNIT!D9"")"),"#N/A")</f>
        <v>#N/A</v>
      </c>
      <c r="H31413" s="4" t="str">
        <v/>
      </c>
      <c r="I31413" s="4" t="str">
        <v/>
      </c>
    </row>
    <row r="31414" spans="5:9" ht="16.5" hidden="1">
      <c r="E31414" s="4" t="str">
        <v/>
      </c>
      <c r="F31414" s="102" t="str">
        <f ca="1">IFERROR(__xludf.DUMMYFUNCTION("IMPORTRANGE(H31414,""IDENTITAS UNIT!D9"")"),"#N/A")</f>
        <v>#N/A</v>
      </c>
      <c r="H31414" s="4" t="str">
        <v/>
      </c>
      <c r="I31414" s="4" t="str">
        <v/>
      </c>
    </row>
    <row r="31415" spans="5:9" ht="16.5" hidden="1">
      <c r="E31415" s="4" t="str">
        <v/>
      </c>
      <c r="F31415" s="102" t="str">
        <f ca="1">IFERROR(__xludf.DUMMYFUNCTION("IMPORTRANGE(H31415,""IDENTITAS UNIT!D9"")"),"#N/A")</f>
        <v>#N/A</v>
      </c>
      <c r="H31415" s="4" t="str">
        <v/>
      </c>
      <c r="I31415" s="4" t="str">
        <v/>
      </c>
    </row>
    <row r="31416" spans="5:9" ht="16.5" hidden="1">
      <c r="E31416" s="4" t="str">
        <v/>
      </c>
      <c r="F31416" s="102" t="str">
        <f ca="1">IFERROR(__xludf.DUMMYFUNCTION("IMPORTRANGE(H31416,""IDENTITAS UNIT!D9"")"),"#N/A")</f>
        <v>#N/A</v>
      </c>
      <c r="H31416" s="4" t="str">
        <v/>
      </c>
      <c r="I31416" s="4" t="str">
        <v/>
      </c>
    </row>
    <row r="31417" spans="5:9" ht="16.5" hidden="1">
      <c r="E31417" s="4" t="str">
        <v/>
      </c>
      <c r="F31417" s="102" t="str">
        <f ca="1">IFERROR(__xludf.DUMMYFUNCTION("IMPORTRANGE(H31417,""IDENTITAS UNIT!D9"")"),"#N/A")</f>
        <v>#N/A</v>
      </c>
      <c r="H31417" s="4" t="str">
        <v/>
      </c>
      <c r="I31417" s="4" t="str">
        <v/>
      </c>
    </row>
    <row r="31418" spans="5:9" ht="16.5" hidden="1">
      <c r="E31418" s="4" t="str">
        <v/>
      </c>
      <c r="F31418" s="102" t="str">
        <f ca="1">IFERROR(__xludf.DUMMYFUNCTION("IMPORTRANGE(H31418,""IDENTITAS UNIT!D9"")"),"#N/A")</f>
        <v>#N/A</v>
      </c>
      <c r="H31418" s="4" t="str">
        <v/>
      </c>
      <c r="I31418" s="4" t="str">
        <v/>
      </c>
    </row>
    <row r="31419" spans="5:9" ht="16.5" hidden="1">
      <c r="E31419" s="4" t="str">
        <v/>
      </c>
      <c r="F31419" s="102" t="str">
        <f ca="1">IFERROR(__xludf.DUMMYFUNCTION("IMPORTRANGE(H31419,""IDENTITAS UNIT!D9"")"),"#N/A")</f>
        <v>#N/A</v>
      </c>
      <c r="H31419" s="4" t="str">
        <v/>
      </c>
      <c r="I31419" s="4" t="str">
        <v/>
      </c>
    </row>
    <row r="31420" spans="5:9" ht="16.5" hidden="1">
      <c r="E31420" s="4" t="str">
        <v/>
      </c>
      <c r="F31420" s="102" t="str">
        <f ca="1">IFERROR(__xludf.DUMMYFUNCTION("IMPORTRANGE(H31420,""IDENTITAS UNIT!D9"")"),"#N/A")</f>
        <v>#N/A</v>
      </c>
      <c r="H31420" s="4" t="str">
        <v/>
      </c>
      <c r="I31420" s="4" t="str">
        <v/>
      </c>
    </row>
    <row r="31421" spans="5:9" ht="16.5" hidden="1">
      <c r="E31421" s="4" t="str">
        <v/>
      </c>
      <c r="F31421" s="102" t="str">
        <f ca="1">IFERROR(__xludf.DUMMYFUNCTION("IMPORTRANGE(H31421,""IDENTITAS UNIT!D9"")"),"#N/A")</f>
        <v>#N/A</v>
      </c>
      <c r="H31421" s="4" t="str">
        <v/>
      </c>
      <c r="I31421" s="4" t="str">
        <v/>
      </c>
    </row>
    <row r="31422" spans="5:9" ht="16.5" hidden="1">
      <c r="E31422" s="4" t="str">
        <v/>
      </c>
      <c r="F31422" s="102" t="str">
        <f ca="1">IFERROR(__xludf.DUMMYFUNCTION("IMPORTRANGE(H31422,""IDENTITAS UNIT!D9"")"),"#N/A")</f>
        <v>#N/A</v>
      </c>
      <c r="H31422" s="4" t="str">
        <v/>
      </c>
      <c r="I31422" s="4" t="str">
        <v/>
      </c>
    </row>
    <row r="31423" spans="5:9" ht="16.5" hidden="1">
      <c r="E31423" s="4" t="str">
        <v/>
      </c>
      <c r="F31423" s="102" t="str">
        <f ca="1">IFERROR(__xludf.DUMMYFUNCTION("IMPORTRANGE(H31423,""IDENTITAS UNIT!D9"")"),"#N/A")</f>
        <v>#N/A</v>
      </c>
      <c r="H31423" s="4" t="str">
        <v/>
      </c>
      <c r="I31423" s="4" t="str">
        <v/>
      </c>
    </row>
    <row r="31424" spans="5:9" ht="16.5" hidden="1">
      <c r="E31424" s="4" t="str">
        <v/>
      </c>
      <c r="F31424" s="102" t="str">
        <f ca="1">IFERROR(__xludf.DUMMYFUNCTION("IMPORTRANGE(H31424,""IDENTITAS UNIT!D9"")"),"#N/A")</f>
        <v>#N/A</v>
      </c>
      <c r="H31424" s="4" t="str">
        <v/>
      </c>
      <c r="I31424" s="4" t="str">
        <v/>
      </c>
    </row>
    <row r="31425" spans="5:9" ht="16.5" hidden="1">
      <c r="E31425" s="4" t="str">
        <v/>
      </c>
      <c r="F31425" s="102" t="str">
        <f ca="1">IFERROR(__xludf.DUMMYFUNCTION("IMPORTRANGE(H31425,""IDENTITAS UNIT!D9"")"),"#N/A")</f>
        <v>#N/A</v>
      </c>
      <c r="H31425" s="4" t="str">
        <v/>
      </c>
      <c r="I31425" s="4" t="str">
        <v/>
      </c>
    </row>
    <row r="31426" spans="5:9" ht="16.5" hidden="1">
      <c r="E31426" s="4" t="str">
        <v/>
      </c>
      <c r="F31426" s="102" t="str">
        <f ca="1">IFERROR(__xludf.DUMMYFUNCTION("IMPORTRANGE(H31426,""IDENTITAS UNIT!D9"")"),"#N/A")</f>
        <v>#N/A</v>
      </c>
      <c r="H31426" s="4" t="str">
        <v/>
      </c>
      <c r="I31426" s="4" t="str">
        <v/>
      </c>
    </row>
    <row r="31427" spans="5:9" ht="16.5" hidden="1">
      <c r="E31427" s="4" t="str">
        <v/>
      </c>
      <c r="F31427" s="102" t="str">
        <f ca="1">IFERROR(__xludf.DUMMYFUNCTION("IMPORTRANGE(H31427,""IDENTITAS UNIT!D9"")"),"#N/A")</f>
        <v>#N/A</v>
      </c>
      <c r="H31427" s="4" t="str">
        <v/>
      </c>
      <c r="I31427" s="4" t="str">
        <v/>
      </c>
    </row>
    <row r="31428" spans="5:9" ht="16.5" hidden="1">
      <c r="E31428" s="4" t="str">
        <v/>
      </c>
      <c r="F31428" s="102" t="str">
        <f ca="1">IFERROR(__xludf.DUMMYFUNCTION("IMPORTRANGE(H31428,""IDENTITAS UNIT!D9"")"),"#N/A")</f>
        <v>#N/A</v>
      </c>
      <c r="H31428" s="4" t="str">
        <v/>
      </c>
      <c r="I31428" s="4" t="str">
        <v/>
      </c>
    </row>
    <row r="31429" spans="5:9" ht="16.5" hidden="1">
      <c r="E31429" s="4" t="str">
        <v/>
      </c>
      <c r="F31429" s="102" t="str">
        <f ca="1">IFERROR(__xludf.DUMMYFUNCTION("IMPORTRANGE(H31429,""IDENTITAS UNIT!D9"")"),"#N/A")</f>
        <v>#N/A</v>
      </c>
      <c r="H31429" s="4" t="str">
        <v/>
      </c>
      <c r="I31429" s="4" t="str">
        <v/>
      </c>
    </row>
    <row r="31430" spans="5:9" ht="16.5" hidden="1">
      <c r="E31430" s="4" t="str">
        <v/>
      </c>
      <c r="F31430" s="102" t="str">
        <f ca="1">IFERROR(__xludf.DUMMYFUNCTION("IMPORTRANGE(H31430,""IDENTITAS UNIT!D9"")"),"#N/A")</f>
        <v>#N/A</v>
      </c>
      <c r="H31430" s="4" t="str">
        <v/>
      </c>
      <c r="I31430" s="4" t="str">
        <v/>
      </c>
    </row>
    <row r="31431" spans="5:9" ht="16.5" hidden="1">
      <c r="E31431" s="4" t="str">
        <v/>
      </c>
      <c r="F31431" s="102" t="str">
        <f ca="1">IFERROR(__xludf.DUMMYFUNCTION("IMPORTRANGE(H31431,""IDENTITAS UNIT!D9"")"),"#N/A")</f>
        <v>#N/A</v>
      </c>
      <c r="H31431" s="4" t="str">
        <v/>
      </c>
      <c r="I31431" s="4" t="str">
        <v/>
      </c>
    </row>
    <row r="31432" spans="5:9" ht="16.5" hidden="1">
      <c r="E31432" s="4" t="str">
        <v/>
      </c>
      <c r="F31432" s="102" t="str">
        <f ca="1">IFERROR(__xludf.DUMMYFUNCTION("IMPORTRANGE(H31432,""IDENTITAS UNIT!D9"")"),"#N/A")</f>
        <v>#N/A</v>
      </c>
      <c r="H31432" s="4" t="str">
        <v/>
      </c>
      <c r="I31432" s="4" t="str">
        <v/>
      </c>
    </row>
    <row r="31433" spans="5:9" ht="16.5" hidden="1">
      <c r="E31433" s="4" t="str">
        <v/>
      </c>
      <c r="F31433" s="102" t="str">
        <f ca="1">IFERROR(__xludf.DUMMYFUNCTION("IMPORTRANGE(H31433,""IDENTITAS UNIT!D9"")"),"#N/A")</f>
        <v>#N/A</v>
      </c>
      <c r="H31433" s="4" t="str">
        <v/>
      </c>
      <c r="I31433" s="4" t="str">
        <v/>
      </c>
    </row>
    <row r="31434" spans="5:9" ht="16.5" hidden="1">
      <c r="E31434" s="4" t="str">
        <v/>
      </c>
      <c r="F31434" s="102" t="str">
        <f ca="1">IFERROR(__xludf.DUMMYFUNCTION("IMPORTRANGE(H31434,""IDENTITAS UNIT!D9"")"),"#N/A")</f>
        <v>#N/A</v>
      </c>
      <c r="H31434" s="4" t="str">
        <v/>
      </c>
      <c r="I31434" s="4" t="str">
        <v/>
      </c>
    </row>
    <row r="31435" spans="5:9" ht="16.5" hidden="1">
      <c r="E31435" s="4" t="str">
        <v/>
      </c>
      <c r="F31435" s="102" t="str">
        <f ca="1">IFERROR(__xludf.DUMMYFUNCTION("IMPORTRANGE(H31435,""IDENTITAS UNIT!D9"")"),"#N/A")</f>
        <v>#N/A</v>
      </c>
      <c r="H31435" s="4" t="str">
        <v/>
      </c>
      <c r="I31435" s="4" t="str">
        <v/>
      </c>
    </row>
    <row r="31436" spans="5:9" ht="16.5" hidden="1">
      <c r="E31436" s="4" t="str">
        <v/>
      </c>
      <c r="F31436" s="102" t="str">
        <f ca="1">IFERROR(__xludf.DUMMYFUNCTION("IMPORTRANGE(H31436,""IDENTITAS UNIT!D9"")"),"#N/A")</f>
        <v>#N/A</v>
      </c>
      <c r="H31436" s="4" t="str">
        <v/>
      </c>
      <c r="I31436" s="4" t="str">
        <v/>
      </c>
    </row>
    <row r="31437" spans="5:9" ht="16.5" hidden="1">
      <c r="E31437" s="4" t="str">
        <v/>
      </c>
      <c r="F31437" s="102" t="str">
        <f ca="1">IFERROR(__xludf.DUMMYFUNCTION("IMPORTRANGE(H31437,""IDENTITAS UNIT!D9"")"),"#N/A")</f>
        <v>#N/A</v>
      </c>
      <c r="H31437" s="4" t="str">
        <v/>
      </c>
      <c r="I31437" s="4" t="str">
        <v/>
      </c>
    </row>
    <row r="31438" spans="5:9" ht="16.5" hidden="1">
      <c r="E31438" s="4" t="str">
        <v/>
      </c>
      <c r="F31438" s="102" t="str">
        <f ca="1">IFERROR(__xludf.DUMMYFUNCTION("IMPORTRANGE(H31438,""IDENTITAS UNIT!D9"")"),"#N/A")</f>
        <v>#N/A</v>
      </c>
      <c r="H31438" s="4" t="str">
        <v/>
      </c>
      <c r="I31438" s="4" t="str">
        <v/>
      </c>
    </row>
    <row r="31439" spans="5:9" ht="16.5" hidden="1">
      <c r="E31439" s="4" t="str">
        <v/>
      </c>
      <c r="F31439" s="102" t="str">
        <f ca="1">IFERROR(__xludf.DUMMYFUNCTION("IMPORTRANGE(H31439,""IDENTITAS UNIT!D9"")"),"#N/A")</f>
        <v>#N/A</v>
      </c>
      <c r="H31439" s="4" t="str">
        <v/>
      </c>
      <c r="I31439" s="4" t="str">
        <v/>
      </c>
    </row>
    <row r="31440" spans="5:9" ht="16.5" hidden="1">
      <c r="E31440" s="4" t="str">
        <v/>
      </c>
      <c r="F31440" s="102" t="str">
        <f ca="1">IFERROR(__xludf.DUMMYFUNCTION("IMPORTRANGE(H31440,""IDENTITAS UNIT!D9"")"),"#N/A")</f>
        <v>#N/A</v>
      </c>
      <c r="H31440" s="4" t="str">
        <v/>
      </c>
      <c r="I31440" s="4" t="str">
        <v/>
      </c>
    </row>
    <row r="31441" spans="5:9" ht="16.5" hidden="1">
      <c r="E31441" s="4" t="str">
        <v/>
      </c>
      <c r="F31441" s="102" t="str">
        <f ca="1">IFERROR(__xludf.DUMMYFUNCTION("IMPORTRANGE(H31441,""IDENTITAS UNIT!D9"")"),"#N/A")</f>
        <v>#N/A</v>
      </c>
      <c r="H31441" s="4" t="str">
        <v/>
      </c>
      <c r="I31441" s="4" t="str">
        <v/>
      </c>
    </row>
    <row r="31442" spans="5:9" ht="16.5" hidden="1">
      <c r="E31442" s="4" t="str">
        <v/>
      </c>
      <c r="F31442" s="102" t="str">
        <f ca="1">IFERROR(__xludf.DUMMYFUNCTION("IMPORTRANGE(H31442,""IDENTITAS UNIT!D9"")"),"#N/A")</f>
        <v>#N/A</v>
      </c>
      <c r="H31442" s="4" t="str">
        <v/>
      </c>
      <c r="I31442" s="4" t="str">
        <v/>
      </c>
    </row>
    <row r="31443" spans="5:9" ht="16.5" hidden="1">
      <c r="E31443" s="4" t="str">
        <v/>
      </c>
      <c r="F31443" s="102" t="str">
        <f ca="1">IFERROR(__xludf.DUMMYFUNCTION("IMPORTRANGE(H31443,""IDENTITAS UNIT!D9"")"),"#N/A")</f>
        <v>#N/A</v>
      </c>
      <c r="H31443" s="4" t="str">
        <v/>
      </c>
      <c r="I31443" s="4" t="str">
        <v/>
      </c>
    </row>
    <row r="31444" spans="5:9" ht="16.5" hidden="1">
      <c r="E31444" s="4" t="str">
        <v/>
      </c>
      <c r="F31444" s="102" t="str">
        <f ca="1">IFERROR(__xludf.DUMMYFUNCTION("IMPORTRANGE(H31444,""IDENTITAS UNIT!D9"")"),"#N/A")</f>
        <v>#N/A</v>
      </c>
      <c r="H31444" s="4" t="str">
        <v/>
      </c>
      <c r="I31444" s="4" t="str">
        <v/>
      </c>
    </row>
    <row r="31445" spans="5:9" ht="16.5" hidden="1">
      <c r="E31445" s="4" t="str">
        <v/>
      </c>
      <c r="F31445" s="102" t="str">
        <f ca="1">IFERROR(__xludf.DUMMYFUNCTION("IMPORTRANGE(H31445,""IDENTITAS UNIT!D9"")"),"#N/A")</f>
        <v>#N/A</v>
      </c>
      <c r="H31445" s="4" t="str">
        <v/>
      </c>
      <c r="I31445" s="4" t="str">
        <v/>
      </c>
    </row>
    <row r="31446" spans="5:9" ht="16.5" hidden="1">
      <c r="E31446" s="4" t="str">
        <v/>
      </c>
      <c r="F31446" s="102" t="str">
        <f ca="1">IFERROR(__xludf.DUMMYFUNCTION("IMPORTRANGE(H31446,""IDENTITAS UNIT!D9"")"),"#N/A")</f>
        <v>#N/A</v>
      </c>
      <c r="H31446" s="4" t="str">
        <v/>
      </c>
      <c r="I31446" s="4" t="str">
        <v/>
      </c>
    </row>
    <row r="31447" spans="5:9" ht="16.5" hidden="1">
      <c r="E31447" s="4" t="str">
        <v/>
      </c>
      <c r="F31447" s="102" t="str">
        <f ca="1">IFERROR(__xludf.DUMMYFUNCTION("IMPORTRANGE(H31447,""IDENTITAS UNIT!D9"")"),"#N/A")</f>
        <v>#N/A</v>
      </c>
      <c r="H31447" s="4" t="str">
        <v/>
      </c>
      <c r="I31447" s="4" t="str">
        <v/>
      </c>
    </row>
    <row r="31448" spans="5:9" ht="16.5" hidden="1">
      <c r="E31448" s="4" t="str">
        <v/>
      </c>
      <c r="F31448" s="102" t="str">
        <f ca="1">IFERROR(__xludf.DUMMYFUNCTION("IMPORTRANGE(H31448,""IDENTITAS UNIT!D9"")"),"#N/A")</f>
        <v>#N/A</v>
      </c>
      <c r="H31448" s="4" t="str">
        <v/>
      </c>
      <c r="I31448" s="4" t="str">
        <v/>
      </c>
    </row>
    <row r="31449" spans="5:9" ht="16.5" hidden="1">
      <c r="E31449" s="4" t="str">
        <v/>
      </c>
      <c r="F31449" s="102" t="str">
        <f ca="1">IFERROR(__xludf.DUMMYFUNCTION("IMPORTRANGE(H31449,""IDENTITAS UNIT!D9"")"),"#N/A")</f>
        <v>#N/A</v>
      </c>
      <c r="H31449" s="4" t="str">
        <v/>
      </c>
      <c r="I31449" s="4" t="str">
        <v/>
      </c>
    </row>
    <row r="31450" spans="5:9" ht="16.5" hidden="1">
      <c r="E31450" s="4" t="str">
        <v/>
      </c>
      <c r="F31450" s="102" t="str">
        <f ca="1">IFERROR(__xludf.DUMMYFUNCTION("IMPORTRANGE(H31450,""IDENTITAS UNIT!D9"")"),"#N/A")</f>
        <v>#N/A</v>
      </c>
      <c r="H31450" s="4" t="str">
        <v/>
      </c>
      <c r="I31450" s="4" t="str">
        <v/>
      </c>
    </row>
    <row r="31451" spans="5:9" ht="16.5" hidden="1">
      <c r="E31451" s="4" t="str">
        <v/>
      </c>
      <c r="F31451" s="102" t="str">
        <f ca="1">IFERROR(__xludf.DUMMYFUNCTION("IMPORTRANGE(H31451,""IDENTITAS UNIT!D9"")"),"#N/A")</f>
        <v>#N/A</v>
      </c>
      <c r="H31451" s="4" t="str">
        <v/>
      </c>
      <c r="I31451" s="4" t="str">
        <v/>
      </c>
    </row>
    <row r="31452" spans="5:9" ht="16.5" hidden="1">
      <c r="E31452" s="4" t="str">
        <v/>
      </c>
      <c r="F31452" s="102" t="str">
        <f ca="1">IFERROR(__xludf.DUMMYFUNCTION("IMPORTRANGE(H31452,""IDENTITAS UNIT!D9"")"),"#N/A")</f>
        <v>#N/A</v>
      </c>
      <c r="H31452" s="4" t="str">
        <v/>
      </c>
      <c r="I31452" s="4" t="str">
        <v/>
      </c>
    </row>
    <row r="31453" spans="5:9" ht="16.5" hidden="1">
      <c r="E31453" s="4" t="str">
        <v/>
      </c>
      <c r="F31453" s="102" t="str">
        <f ca="1">IFERROR(__xludf.DUMMYFUNCTION("IMPORTRANGE(H31453,""IDENTITAS UNIT!D9"")"),"#N/A")</f>
        <v>#N/A</v>
      </c>
      <c r="H31453" s="4" t="str">
        <v/>
      </c>
      <c r="I31453" s="4" t="str">
        <v/>
      </c>
    </row>
    <row r="31454" spans="5:9" ht="16.5" hidden="1">
      <c r="E31454" s="4" t="str">
        <v/>
      </c>
      <c r="F31454" s="102" t="str">
        <f ca="1">IFERROR(__xludf.DUMMYFUNCTION("IMPORTRANGE(H31454,""IDENTITAS UNIT!D9"")"),"#N/A")</f>
        <v>#N/A</v>
      </c>
      <c r="H31454" s="4" t="str">
        <v/>
      </c>
      <c r="I31454" s="4" t="str">
        <v/>
      </c>
    </row>
    <row r="31455" spans="5:9" ht="16.5" hidden="1">
      <c r="E31455" s="4" t="str">
        <v/>
      </c>
      <c r="F31455" s="102" t="str">
        <f ca="1">IFERROR(__xludf.DUMMYFUNCTION("IMPORTRANGE(H31455,""IDENTITAS UNIT!D9"")"),"#N/A")</f>
        <v>#N/A</v>
      </c>
      <c r="H31455" s="4" t="str">
        <v/>
      </c>
      <c r="I31455" s="4" t="str">
        <v/>
      </c>
    </row>
    <row r="31456" spans="5:9" ht="16.5" hidden="1">
      <c r="E31456" s="4" t="str">
        <v/>
      </c>
      <c r="F31456" s="102" t="str">
        <f ca="1">IFERROR(__xludf.DUMMYFUNCTION("IMPORTRANGE(H31456,""IDENTITAS UNIT!D9"")"),"#N/A")</f>
        <v>#N/A</v>
      </c>
      <c r="H31456" s="4" t="str">
        <v/>
      </c>
      <c r="I31456" s="4" t="str">
        <v/>
      </c>
    </row>
    <row r="31457" spans="5:9" ht="16.5" hidden="1">
      <c r="E31457" s="4" t="str">
        <v/>
      </c>
      <c r="F31457" s="102" t="str">
        <f ca="1">IFERROR(__xludf.DUMMYFUNCTION("IMPORTRANGE(H31457,""IDENTITAS UNIT!D9"")"),"#N/A")</f>
        <v>#N/A</v>
      </c>
      <c r="H31457" s="4" t="str">
        <v/>
      </c>
      <c r="I31457" s="4" t="str">
        <v/>
      </c>
    </row>
    <row r="31458" spans="5:9" ht="16.5" hidden="1">
      <c r="E31458" s="4" t="str">
        <v/>
      </c>
      <c r="F31458" s="102" t="str">
        <f ca="1">IFERROR(__xludf.DUMMYFUNCTION("IMPORTRANGE(H31458,""IDENTITAS UNIT!D9"")"),"#N/A")</f>
        <v>#N/A</v>
      </c>
      <c r="H31458" s="4" t="str">
        <v/>
      </c>
      <c r="I31458" s="4" t="str">
        <v/>
      </c>
    </row>
    <row r="31459" spans="5:9" ht="16.5" hidden="1">
      <c r="E31459" s="4" t="str">
        <v/>
      </c>
      <c r="F31459" s="102" t="str">
        <f ca="1">IFERROR(__xludf.DUMMYFUNCTION("IMPORTRANGE(H31459,""IDENTITAS UNIT!D9"")"),"#N/A")</f>
        <v>#N/A</v>
      </c>
      <c r="H31459" s="4" t="str">
        <v/>
      </c>
      <c r="I31459" s="4" t="str">
        <v/>
      </c>
    </row>
    <row r="31460" spans="5:9" ht="16.5" hidden="1">
      <c r="E31460" s="4" t="str">
        <v/>
      </c>
      <c r="F31460" s="102" t="str">
        <f ca="1">IFERROR(__xludf.DUMMYFUNCTION("IMPORTRANGE(H31460,""IDENTITAS UNIT!D9"")"),"#N/A")</f>
        <v>#N/A</v>
      </c>
      <c r="H31460" s="4" t="str">
        <v/>
      </c>
      <c r="I31460" s="4" t="str">
        <v/>
      </c>
    </row>
    <row r="31461" spans="5:9" ht="16.5" hidden="1">
      <c r="E31461" s="4" t="str">
        <v/>
      </c>
      <c r="F31461" s="102" t="str">
        <f ca="1">IFERROR(__xludf.DUMMYFUNCTION("IMPORTRANGE(H31461,""IDENTITAS UNIT!D9"")"),"#N/A")</f>
        <v>#N/A</v>
      </c>
      <c r="H31461" s="4" t="str">
        <v/>
      </c>
      <c r="I31461" s="4" t="str">
        <v/>
      </c>
    </row>
    <row r="31462" spans="5:9" ht="16.5" hidden="1">
      <c r="E31462" s="4" t="str">
        <v/>
      </c>
      <c r="F31462" s="102" t="str">
        <f ca="1">IFERROR(__xludf.DUMMYFUNCTION("IMPORTRANGE(H31462,""IDENTITAS UNIT!D9"")"),"#N/A")</f>
        <v>#N/A</v>
      </c>
      <c r="H31462" s="4" t="str">
        <v/>
      </c>
      <c r="I31462" s="4" t="str">
        <v/>
      </c>
    </row>
    <row r="31463" spans="5:9" ht="16.5" hidden="1">
      <c r="E31463" s="4" t="str">
        <v/>
      </c>
      <c r="F31463" s="102" t="str">
        <f ca="1">IFERROR(__xludf.DUMMYFUNCTION("IMPORTRANGE(H31463,""IDENTITAS UNIT!D9"")"),"#N/A")</f>
        <v>#N/A</v>
      </c>
      <c r="H31463" s="4" t="str">
        <v/>
      </c>
      <c r="I31463" s="4" t="str">
        <v/>
      </c>
    </row>
    <row r="31464" spans="5:9" ht="16.5" hidden="1">
      <c r="E31464" s="4" t="str">
        <v/>
      </c>
      <c r="F31464" s="102" t="str">
        <f ca="1">IFERROR(__xludf.DUMMYFUNCTION("IMPORTRANGE(H31464,""IDENTITAS UNIT!D9"")"),"#N/A")</f>
        <v>#N/A</v>
      </c>
      <c r="H31464" s="4" t="str">
        <v/>
      </c>
      <c r="I31464" s="4" t="str">
        <v/>
      </c>
    </row>
    <row r="31465" spans="5:9" ht="16.5" hidden="1">
      <c r="E31465" s="4" t="str">
        <v/>
      </c>
      <c r="F31465" s="102" t="str">
        <f ca="1">IFERROR(__xludf.DUMMYFUNCTION("IMPORTRANGE(H31465,""IDENTITAS UNIT!D9"")"),"#N/A")</f>
        <v>#N/A</v>
      </c>
      <c r="H31465" s="4" t="str">
        <v/>
      </c>
      <c r="I31465" s="4" t="str">
        <v/>
      </c>
    </row>
    <row r="31466" spans="5:9" ht="16.5" hidden="1">
      <c r="E31466" s="4" t="str">
        <v/>
      </c>
      <c r="F31466" s="102" t="str">
        <f ca="1">IFERROR(__xludf.DUMMYFUNCTION("IMPORTRANGE(H31466,""IDENTITAS UNIT!D9"")"),"#N/A")</f>
        <v>#N/A</v>
      </c>
      <c r="H31466" s="4" t="str">
        <v/>
      </c>
      <c r="I31466" s="4" t="str">
        <v/>
      </c>
    </row>
    <row r="31467" spans="5:9" ht="16.5" hidden="1">
      <c r="E31467" s="4" t="str">
        <v/>
      </c>
      <c r="F31467" s="102" t="str">
        <f ca="1">IFERROR(__xludf.DUMMYFUNCTION("IMPORTRANGE(H31467,""IDENTITAS UNIT!D9"")"),"#N/A")</f>
        <v>#N/A</v>
      </c>
      <c r="H31467" s="4" t="str">
        <v/>
      </c>
      <c r="I31467" s="4" t="str">
        <v/>
      </c>
    </row>
    <row r="31468" spans="5:9" ht="16.5" hidden="1">
      <c r="E31468" s="4" t="str">
        <v/>
      </c>
      <c r="F31468" s="102" t="str">
        <f ca="1">IFERROR(__xludf.DUMMYFUNCTION("IMPORTRANGE(H31468,""IDENTITAS UNIT!D9"")"),"#N/A")</f>
        <v>#N/A</v>
      </c>
      <c r="H31468" s="4" t="str">
        <v/>
      </c>
      <c r="I31468" s="4" t="str">
        <v/>
      </c>
    </row>
    <row r="31469" spans="5:9" ht="16.5" hidden="1">
      <c r="E31469" s="4" t="str">
        <v/>
      </c>
      <c r="F31469" s="102" t="str">
        <f ca="1">IFERROR(__xludf.DUMMYFUNCTION("IMPORTRANGE(H31469,""IDENTITAS UNIT!D9"")"),"#N/A")</f>
        <v>#N/A</v>
      </c>
      <c r="H31469" s="4" t="str">
        <v/>
      </c>
      <c r="I31469" s="4" t="str">
        <v/>
      </c>
    </row>
    <row r="31470" spans="5:9" ht="16.5" hidden="1">
      <c r="E31470" s="4" t="str">
        <v/>
      </c>
      <c r="F31470" s="102" t="str">
        <f ca="1">IFERROR(__xludf.DUMMYFUNCTION("IMPORTRANGE(H31470,""IDENTITAS UNIT!D9"")"),"#N/A")</f>
        <v>#N/A</v>
      </c>
      <c r="H31470" s="4" t="str">
        <v/>
      </c>
      <c r="I31470" s="4" t="str">
        <v/>
      </c>
    </row>
    <row r="31471" spans="5:9" ht="16.5" hidden="1">
      <c r="E31471" s="4" t="str">
        <v/>
      </c>
      <c r="F31471" s="102" t="str">
        <f ca="1">IFERROR(__xludf.DUMMYFUNCTION("IMPORTRANGE(H31471,""IDENTITAS UNIT!D9"")"),"#N/A")</f>
        <v>#N/A</v>
      </c>
      <c r="H31471" s="4" t="str">
        <v/>
      </c>
      <c r="I31471" s="4" t="str">
        <v/>
      </c>
    </row>
    <row r="31472" spans="5:9" ht="16.5" hidden="1">
      <c r="E31472" s="4" t="str">
        <v/>
      </c>
      <c r="F31472" s="102" t="str">
        <f ca="1">IFERROR(__xludf.DUMMYFUNCTION("IMPORTRANGE(H31472,""IDENTITAS UNIT!D9"")"),"#N/A")</f>
        <v>#N/A</v>
      </c>
      <c r="H31472" s="4" t="str">
        <v/>
      </c>
      <c r="I31472" s="4" t="str">
        <v/>
      </c>
    </row>
    <row r="31473" spans="5:9" ht="16.5" hidden="1">
      <c r="E31473" s="4" t="str">
        <v/>
      </c>
      <c r="F31473" s="102" t="str">
        <f ca="1">IFERROR(__xludf.DUMMYFUNCTION("IMPORTRANGE(H31473,""IDENTITAS UNIT!D9"")"),"#N/A")</f>
        <v>#N/A</v>
      </c>
      <c r="H31473" s="4" t="str">
        <v/>
      </c>
      <c r="I31473" s="4" t="str">
        <v/>
      </c>
    </row>
    <row r="31474" spans="5:9" ht="16.5" hidden="1">
      <c r="E31474" s="4" t="str">
        <v/>
      </c>
      <c r="F31474" s="102" t="str">
        <f ca="1">IFERROR(__xludf.DUMMYFUNCTION("IMPORTRANGE(H31474,""IDENTITAS UNIT!D9"")"),"#N/A")</f>
        <v>#N/A</v>
      </c>
      <c r="H31474" s="4" t="str">
        <v/>
      </c>
      <c r="I31474" s="4" t="str">
        <v/>
      </c>
    </row>
    <row r="31475" spans="5:9" ht="16.5" hidden="1">
      <c r="E31475" s="4" t="str">
        <v/>
      </c>
      <c r="F31475" s="102" t="str">
        <f ca="1">IFERROR(__xludf.DUMMYFUNCTION("IMPORTRANGE(H31475,""IDENTITAS UNIT!D9"")"),"#N/A")</f>
        <v>#N/A</v>
      </c>
      <c r="H31475" s="4" t="str">
        <v/>
      </c>
      <c r="I31475" s="4" t="str">
        <v/>
      </c>
    </row>
    <row r="31476" spans="5:9" ht="16.5" hidden="1">
      <c r="E31476" s="4" t="str">
        <v/>
      </c>
      <c r="F31476" s="102" t="str">
        <f ca="1">IFERROR(__xludf.DUMMYFUNCTION("IMPORTRANGE(H31476,""IDENTITAS UNIT!D9"")"),"#N/A")</f>
        <v>#N/A</v>
      </c>
      <c r="H31476" s="4" t="str">
        <v/>
      </c>
      <c r="I31476" s="4" t="str">
        <v/>
      </c>
    </row>
    <row r="31477" spans="5:9" ht="16.5" hidden="1">
      <c r="E31477" s="4" t="str">
        <v/>
      </c>
      <c r="F31477" s="102" t="str">
        <f ca="1">IFERROR(__xludf.DUMMYFUNCTION("IMPORTRANGE(H31477,""IDENTITAS UNIT!D9"")"),"#N/A")</f>
        <v>#N/A</v>
      </c>
      <c r="H31477" s="4" t="str">
        <v/>
      </c>
      <c r="I31477" s="4" t="str">
        <v/>
      </c>
    </row>
    <row r="31478" spans="5:9" ht="16.5" hidden="1">
      <c r="E31478" s="4" t="str">
        <v/>
      </c>
      <c r="F31478" s="102" t="str">
        <f ca="1">IFERROR(__xludf.DUMMYFUNCTION("IMPORTRANGE(H31478,""IDENTITAS UNIT!D9"")"),"#N/A")</f>
        <v>#N/A</v>
      </c>
      <c r="H31478" s="4" t="str">
        <v/>
      </c>
      <c r="I31478" s="4" t="str">
        <v/>
      </c>
    </row>
    <row r="31479" spans="5:9" ht="16.5" hidden="1">
      <c r="E31479" s="4" t="str">
        <v/>
      </c>
      <c r="F31479" s="102" t="str">
        <f ca="1">IFERROR(__xludf.DUMMYFUNCTION("IMPORTRANGE(H31479,""IDENTITAS UNIT!D9"")"),"#N/A")</f>
        <v>#N/A</v>
      </c>
      <c r="H31479" s="4" t="str">
        <v/>
      </c>
      <c r="I31479" s="4" t="str">
        <v/>
      </c>
    </row>
    <row r="31480" spans="5:9" ht="16.5" hidden="1">
      <c r="E31480" s="4" t="str">
        <v/>
      </c>
      <c r="F31480" s="102" t="str">
        <f ca="1">IFERROR(__xludf.DUMMYFUNCTION("IMPORTRANGE(H31480,""IDENTITAS UNIT!D9"")"),"#N/A")</f>
        <v>#N/A</v>
      </c>
      <c r="H31480" s="4" t="str">
        <v/>
      </c>
      <c r="I31480" s="4" t="str">
        <v/>
      </c>
    </row>
    <row r="31481" spans="5:9" ht="16.5" hidden="1">
      <c r="E31481" s="4" t="str">
        <v/>
      </c>
      <c r="F31481" s="102" t="str">
        <f ca="1">IFERROR(__xludf.DUMMYFUNCTION("IMPORTRANGE(H31481,""IDENTITAS UNIT!D9"")"),"#N/A")</f>
        <v>#N/A</v>
      </c>
      <c r="H31481" s="4" t="str">
        <v/>
      </c>
      <c r="I31481" s="4" t="str">
        <v/>
      </c>
    </row>
    <row r="31482" spans="5:9" ht="16.5" hidden="1">
      <c r="E31482" s="4" t="str">
        <v/>
      </c>
      <c r="F31482" s="102" t="str">
        <f ca="1">IFERROR(__xludf.DUMMYFUNCTION("IMPORTRANGE(H31482,""IDENTITAS UNIT!D9"")"),"#N/A")</f>
        <v>#N/A</v>
      </c>
      <c r="H31482" s="4" t="str">
        <v/>
      </c>
      <c r="I31482" s="4" t="str">
        <v/>
      </c>
    </row>
    <row r="31483" spans="5:9" ht="16.5" hidden="1">
      <c r="E31483" s="4" t="str">
        <v/>
      </c>
      <c r="F31483" s="102" t="str">
        <f ca="1">IFERROR(__xludf.DUMMYFUNCTION("IMPORTRANGE(H31483,""IDENTITAS UNIT!D9"")"),"#N/A")</f>
        <v>#N/A</v>
      </c>
      <c r="H31483" s="4" t="str">
        <v/>
      </c>
      <c r="I31483" s="4" t="str">
        <v/>
      </c>
    </row>
    <row r="31484" spans="5:9" ht="16.5" hidden="1">
      <c r="E31484" s="4" t="str">
        <v/>
      </c>
      <c r="F31484" s="102" t="str">
        <f ca="1">IFERROR(__xludf.DUMMYFUNCTION("IMPORTRANGE(H31484,""IDENTITAS UNIT!D9"")"),"#N/A")</f>
        <v>#N/A</v>
      </c>
      <c r="H31484" s="4" t="str">
        <v/>
      </c>
      <c r="I31484" s="4" t="str">
        <v/>
      </c>
    </row>
    <row r="31485" spans="5:9" ht="16.5" hidden="1">
      <c r="E31485" s="4" t="str">
        <v/>
      </c>
      <c r="F31485" s="102" t="str">
        <f ca="1">IFERROR(__xludf.DUMMYFUNCTION("IMPORTRANGE(H31485,""IDENTITAS UNIT!D9"")"),"#N/A")</f>
        <v>#N/A</v>
      </c>
      <c r="H31485" s="4" t="str">
        <v/>
      </c>
      <c r="I31485" s="4" t="str">
        <v/>
      </c>
    </row>
    <row r="31486" spans="5:9" ht="16.5" hidden="1">
      <c r="E31486" s="4" t="str">
        <v/>
      </c>
      <c r="F31486" s="102" t="str">
        <f ca="1">IFERROR(__xludf.DUMMYFUNCTION("IMPORTRANGE(H31486,""IDENTITAS UNIT!D9"")"),"#N/A")</f>
        <v>#N/A</v>
      </c>
      <c r="H31486" s="4" t="str">
        <v/>
      </c>
      <c r="I31486" s="4" t="str">
        <v/>
      </c>
    </row>
    <row r="31487" spans="5:9" ht="16.5" hidden="1">
      <c r="E31487" s="4" t="str">
        <v/>
      </c>
      <c r="F31487" s="102" t="str">
        <f ca="1">IFERROR(__xludf.DUMMYFUNCTION("IMPORTRANGE(H31487,""IDENTITAS UNIT!D9"")"),"#N/A")</f>
        <v>#N/A</v>
      </c>
      <c r="H31487" s="4" t="str">
        <v/>
      </c>
      <c r="I31487" s="4" t="str">
        <v/>
      </c>
    </row>
    <row r="31488" spans="5:9" ht="16.5" hidden="1">
      <c r="E31488" s="4" t="str">
        <v/>
      </c>
      <c r="F31488" s="102" t="str">
        <f ca="1">IFERROR(__xludf.DUMMYFUNCTION("IMPORTRANGE(H31488,""IDENTITAS UNIT!D9"")"),"#N/A")</f>
        <v>#N/A</v>
      </c>
      <c r="H31488" s="4" t="str">
        <v/>
      </c>
      <c r="I31488" s="4" t="str">
        <v/>
      </c>
    </row>
    <row r="31489" spans="5:9" ht="16.5" hidden="1">
      <c r="E31489" s="4" t="str">
        <v/>
      </c>
      <c r="F31489" s="102" t="str">
        <f ca="1">IFERROR(__xludf.DUMMYFUNCTION("IMPORTRANGE(H31489,""IDENTITAS UNIT!D9"")"),"#N/A")</f>
        <v>#N/A</v>
      </c>
      <c r="H31489" s="4" t="str">
        <v/>
      </c>
      <c r="I31489" s="4" t="str">
        <v/>
      </c>
    </row>
    <row r="31490" spans="5:9" ht="16.5" hidden="1">
      <c r="E31490" s="4" t="str">
        <v/>
      </c>
      <c r="F31490" s="102" t="str">
        <f ca="1">IFERROR(__xludf.DUMMYFUNCTION("IMPORTRANGE(H31490,""IDENTITAS UNIT!D9"")"),"#N/A")</f>
        <v>#N/A</v>
      </c>
      <c r="H31490" s="4" t="str">
        <v/>
      </c>
      <c r="I31490" s="4" t="str">
        <v/>
      </c>
    </row>
    <row r="31491" spans="5:9" ht="16.5" hidden="1">
      <c r="E31491" s="4" t="str">
        <v/>
      </c>
      <c r="F31491" s="102" t="str">
        <f ca="1">IFERROR(__xludf.DUMMYFUNCTION("IMPORTRANGE(H31491,""IDENTITAS UNIT!D9"")"),"#N/A")</f>
        <v>#N/A</v>
      </c>
      <c r="H31491" s="4" t="str">
        <v/>
      </c>
      <c r="I31491" s="4" t="str">
        <v/>
      </c>
    </row>
    <row r="31492" spans="5:9" ht="16.5" hidden="1">
      <c r="E31492" s="4" t="str">
        <v/>
      </c>
      <c r="F31492" s="102" t="str">
        <f ca="1">IFERROR(__xludf.DUMMYFUNCTION("IMPORTRANGE(H31492,""IDENTITAS UNIT!D9"")"),"#N/A")</f>
        <v>#N/A</v>
      </c>
      <c r="H31492" s="4" t="str">
        <v/>
      </c>
      <c r="I31492" s="4" t="str">
        <v/>
      </c>
    </row>
    <row r="31493" spans="5:9" ht="16.5" hidden="1">
      <c r="E31493" s="4" t="str">
        <v/>
      </c>
      <c r="F31493" s="102" t="str">
        <f ca="1">IFERROR(__xludf.DUMMYFUNCTION("IMPORTRANGE(H31493,""IDENTITAS UNIT!D9"")"),"#N/A")</f>
        <v>#N/A</v>
      </c>
      <c r="H31493" s="4" t="str">
        <v/>
      </c>
      <c r="I31493" s="4" t="str">
        <v/>
      </c>
    </row>
    <row r="31494" spans="5:9" ht="16.5" hidden="1">
      <c r="E31494" s="4" t="str">
        <v/>
      </c>
      <c r="F31494" s="102" t="str">
        <f ca="1">IFERROR(__xludf.DUMMYFUNCTION("IMPORTRANGE(H31494,""IDENTITAS UNIT!D9"")"),"#N/A")</f>
        <v>#N/A</v>
      </c>
      <c r="H31494" s="4" t="str">
        <v/>
      </c>
      <c r="I31494" s="4" t="str">
        <v/>
      </c>
    </row>
    <row r="31495" spans="5:9" ht="16.5" hidden="1">
      <c r="E31495" s="4" t="str">
        <v/>
      </c>
      <c r="F31495" s="102" t="str">
        <f ca="1">IFERROR(__xludf.DUMMYFUNCTION("IMPORTRANGE(H31495,""IDENTITAS UNIT!D9"")"),"#N/A")</f>
        <v>#N/A</v>
      </c>
      <c r="H31495" s="4" t="str">
        <v/>
      </c>
      <c r="I31495" s="4" t="str">
        <v/>
      </c>
    </row>
    <row r="31496" spans="5:9" ht="16.5" hidden="1">
      <c r="E31496" s="4" t="str">
        <v/>
      </c>
      <c r="F31496" s="102" t="str">
        <f ca="1">IFERROR(__xludf.DUMMYFUNCTION("IMPORTRANGE(H31496,""IDENTITAS UNIT!D9"")"),"#N/A")</f>
        <v>#N/A</v>
      </c>
      <c r="H31496" s="4" t="str">
        <v/>
      </c>
      <c r="I31496" s="4" t="str">
        <v/>
      </c>
    </row>
    <row r="31497" spans="5:9" ht="16.5" hidden="1">
      <c r="E31497" s="4" t="str">
        <v/>
      </c>
      <c r="F31497" s="102" t="str">
        <f ca="1">IFERROR(__xludf.DUMMYFUNCTION("IMPORTRANGE(H31497,""IDENTITAS UNIT!D9"")"),"#N/A")</f>
        <v>#N/A</v>
      </c>
      <c r="H31497" s="4" t="str">
        <v/>
      </c>
      <c r="I31497" s="4" t="str">
        <v/>
      </c>
    </row>
    <row r="31498" spans="5:9" ht="16.5" hidden="1">
      <c r="E31498" s="4" t="str">
        <v/>
      </c>
      <c r="F31498" s="102" t="str">
        <f ca="1">IFERROR(__xludf.DUMMYFUNCTION("IMPORTRANGE(H31498,""IDENTITAS UNIT!D9"")"),"#N/A")</f>
        <v>#N/A</v>
      </c>
      <c r="H31498" s="4" t="str">
        <v/>
      </c>
      <c r="I31498" s="4" t="str">
        <v/>
      </c>
    </row>
    <row r="31499" spans="5:9" ht="16.5" hidden="1">
      <c r="E31499" s="4" t="str">
        <v/>
      </c>
      <c r="F31499" s="102" t="str">
        <f ca="1">IFERROR(__xludf.DUMMYFUNCTION("IMPORTRANGE(H31499,""IDENTITAS UNIT!D9"")"),"#N/A")</f>
        <v>#N/A</v>
      </c>
      <c r="H31499" s="4" t="str">
        <v/>
      </c>
      <c r="I31499" s="4" t="str">
        <v/>
      </c>
    </row>
    <row r="31500" spans="5:9" ht="16.5" hidden="1">
      <c r="E31500" s="4" t="str">
        <v/>
      </c>
      <c r="F31500" s="102" t="str">
        <f ca="1">IFERROR(__xludf.DUMMYFUNCTION("IMPORTRANGE(H31500,""IDENTITAS UNIT!D9"")"),"#N/A")</f>
        <v>#N/A</v>
      </c>
      <c r="H31500" s="4" t="str">
        <v/>
      </c>
      <c r="I31500" s="4" t="str">
        <v/>
      </c>
    </row>
    <row r="31501" spans="5:9" ht="16.5" hidden="1">
      <c r="E31501" s="4" t="str">
        <v/>
      </c>
      <c r="F31501" s="102" t="str">
        <f ca="1">IFERROR(__xludf.DUMMYFUNCTION("IMPORTRANGE(H31501,""IDENTITAS UNIT!D9"")"),"#N/A")</f>
        <v>#N/A</v>
      </c>
      <c r="H31501" s="4" t="str">
        <v/>
      </c>
      <c r="I31501" s="4" t="str">
        <v/>
      </c>
    </row>
    <row r="31502" spans="5:9" ht="16.5" hidden="1">
      <c r="E31502" s="4" t="str">
        <v/>
      </c>
      <c r="F31502" s="102" t="str">
        <f ca="1">IFERROR(__xludf.DUMMYFUNCTION("IMPORTRANGE(H31502,""IDENTITAS UNIT!D9"")"),"#N/A")</f>
        <v>#N/A</v>
      </c>
      <c r="H31502" s="4" t="str">
        <v/>
      </c>
      <c r="I31502" s="4" t="str">
        <v/>
      </c>
    </row>
    <row r="31503" spans="5:9" ht="16.5" hidden="1">
      <c r="E31503" s="4" t="str">
        <v/>
      </c>
      <c r="F31503" s="102" t="str">
        <f ca="1">IFERROR(__xludf.DUMMYFUNCTION("IMPORTRANGE(H31503,""IDENTITAS UNIT!D9"")"),"#N/A")</f>
        <v>#N/A</v>
      </c>
      <c r="H31503" s="4" t="str">
        <v/>
      </c>
      <c r="I31503" s="4" t="str">
        <v/>
      </c>
    </row>
    <row r="31504" spans="5:9" ht="16.5" hidden="1">
      <c r="E31504" s="4" t="str">
        <v/>
      </c>
      <c r="F31504" s="102" t="str">
        <f ca="1">IFERROR(__xludf.DUMMYFUNCTION("IMPORTRANGE(H31504,""IDENTITAS UNIT!D9"")"),"#N/A")</f>
        <v>#N/A</v>
      </c>
      <c r="H31504" s="4" t="str">
        <v/>
      </c>
      <c r="I31504" s="4" t="str">
        <v/>
      </c>
    </row>
    <row r="31505" spans="5:9" ht="16.5" hidden="1">
      <c r="E31505" s="4" t="str">
        <v/>
      </c>
      <c r="F31505" s="102" t="str">
        <f ca="1">IFERROR(__xludf.DUMMYFUNCTION("IMPORTRANGE(H31505,""IDENTITAS UNIT!D9"")"),"#N/A")</f>
        <v>#N/A</v>
      </c>
      <c r="H31505" s="4" t="str">
        <v/>
      </c>
      <c r="I31505" s="4" t="str">
        <v/>
      </c>
    </row>
    <row r="31506" spans="5:9" ht="16.5" hidden="1">
      <c r="E31506" s="4" t="str">
        <v/>
      </c>
      <c r="F31506" s="102" t="str">
        <f ca="1">IFERROR(__xludf.DUMMYFUNCTION("IMPORTRANGE(H31506,""IDENTITAS UNIT!D9"")"),"#N/A")</f>
        <v>#N/A</v>
      </c>
      <c r="H31506" s="4" t="str">
        <v/>
      </c>
      <c r="I31506" s="4" t="str">
        <v/>
      </c>
    </row>
    <row r="31507" spans="5:9" ht="16.5" hidden="1">
      <c r="E31507" s="4" t="str">
        <v/>
      </c>
      <c r="F31507" s="102" t="str">
        <f ca="1">IFERROR(__xludf.DUMMYFUNCTION("IMPORTRANGE(H31507,""IDENTITAS UNIT!D9"")"),"#N/A")</f>
        <v>#N/A</v>
      </c>
      <c r="H31507" s="4" t="str">
        <v/>
      </c>
      <c r="I31507" s="4" t="str">
        <v/>
      </c>
    </row>
    <row r="31508" spans="5:9" ht="16.5" hidden="1">
      <c r="E31508" s="4" t="str">
        <v/>
      </c>
      <c r="F31508" s="102" t="str">
        <f ca="1">IFERROR(__xludf.DUMMYFUNCTION("IMPORTRANGE(H31508,""IDENTITAS UNIT!D9"")"),"#N/A")</f>
        <v>#N/A</v>
      </c>
      <c r="H31508" s="4" t="str">
        <v/>
      </c>
      <c r="I31508" s="4" t="str">
        <v/>
      </c>
    </row>
    <row r="31509" spans="5:9" ht="16.5" hidden="1">
      <c r="E31509" s="4" t="str">
        <v/>
      </c>
      <c r="F31509" s="102" t="str">
        <f ca="1">IFERROR(__xludf.DUMMYFUNCTION("IMPORTRANGE(H31509,""IDENTITAS UNIT!D9"")"),"#N/A")</f>
        <v>#N/A</v>
      </c>
      <c r="H31509" s="4" t="str">
        <v/>
      </c>
      <c r="I31509" s="4" t="str">
        <v/>
      </c>
    </row>
    <row r="31510" spans="5:9" ht="16.5" hidden="1">
      <c r="E31510" s="4" t="str">
        <v/>
      </c>
      <c r="F31510" s="102" t="str">
        <f ca="1">IFERROR(__xludf.DUMMYFUNCTION("IMPORTRANGE(H31510,""IDENTITAS UNIT!D9"")"),"#N/A")</f>
        <v>#N/A</v>
      </c>
      <c r="H31510" s="4" t="str">
        <v/>
      </c>
      <c r="I31510" s="4" t="str">
        <v/>
      </c>
    </row>
    <row r="31511" spans="5:9" ht="16.5" hidden="1">
      <c r="E31511" s="4" t="str">
        <v/>
      </c>
      <c r="F31511" s="102" t="str">
        <f ca="1">IFERROR(__xludf.DUMMYFUNCTION("IMPORTRANGE(H31511,""IDENTITAS UNIT!D9"")"),"#N/A")</f>
        <v>#N/A</v>
      </c>
      <c r="H31511" s="4" t="str">
        <v/>
      </c>
      <c r="I31511" s="4" t="str">
        <v/>
      </c>
    </row>
    <row r="31512" spans="5:9" ht="16.5" hidden="1">
      <c r="E31512" s="4" t="str">
        <v/>
      </c>
      <c r="F31512" s="102" t="str">
        <f ca="1">IFERROR(__xludf.DUMMYFUNCTION("IMPORTRANGE(H31512,""IDENTITAS UNIT!D9"")"),"#N/A")</f>
        <v>#N/A</v>
      </c>
      <c r="H31512" s="4" t="str">
        <v/>
      </c>
      <c r="I31512" s="4" t="str">
        <v/>
      </c>
    </row>
    <row r="31513" spans="5:9" ht="16.5" hidden="1">
      <c r="E31513" s="4" t="str">
        <v/>
      </c>
      <c r="F31513" s="102" t="str">
        <f ca="1">IFERROR(__xludf.DUMMYFUNCTION("IMPORTRANGE(H31513,""IDENTITAS UNIT!D9"")"),"#N/A")</f>
        <v>#N/A</v>
      </c>
      <c r="H31513" s="4" t="str">
        <v/>
      </c>
      <c r="I31513" s="4" t="str">
        <v/>
      </c>
    </row>
    <row r="31514" spans="5:9" ht="16.5" hidden="1">
      <c r="E31514" s="4" t="str">
        <v/>
      </c>
      <c r="F31514" s="102" t="str">
        <f ca="1">IFERROR(__xludf.DUMMYFUNCTION("IMPORTRANGE(H31514,""IDENTITAS UNIT!D9"")"),"#N/A")</f>
        <v>#N/A</v>
      </c>
      <c r="H31514" s="4" t="str">
        <v/>
      </c>
      <c r="I31514" s="4" t="str">
        <v/>
      </c>
    </row>
    <row r="31515" spans="5:9" ht="16.5" hidden="1">
      <c r="E31515" s="4" t="str">
        <v/>
      </c>
      <c r="F31515" s="102" t="str">
        <f ca="1">IFERROR(__xludf.DUMMYFUNCTION("IMPORTRANGE(H31515,""IDENTITAS UNIT!D9"")"),"#N/A")</f>
        <v>#N/A</v>
      </c>
      <c r="H31515" s="4" t="str">
        <v/>
      </c>
      <c r="I31515" s="4" t="str">
        <v/>
      </c>
    </row>
    <row r="31516" spans="5:9" ht="16.5" hidden="1">
      <c r="E31516" s="4" t="str">
        <v/>
      </c>
      <c r="F31516" s="102" t="str">
        <f ca="1">IFERROR(__xludf.DUMMYFUNCTION("IMPORTRANGE(H31516,""IDENTITAS UNIT!D9"")"),"#N/A")</f>
        <v>#N/A</v>
      </c>
      <c r="H31516" s="4" t="str">
        <v/>
      </c>
      <c r="I31516" s="4" t="str">
        <v/>
      </c>
    </row>
    <row r="31517" spans="5:9" ht="16.5" hidden="1">
      <c r="E31517" s="4" t="str">
        <v/>
      </c>
      <c r="F31517" s="102" t="str">
        <f ca="1">IFERROR(__xludf.DUMMYFUNCTION("IMPORTRANGE(H31517,""IDENTITAS UNIT!D9"")"),"#N/A")</f>
        <v>#N/A</v>
      </c>
      <c r="H31517" s="4" t="str">
        <v/>
      </c>
      <c r="I31517" s="4" t="str">
        <v/>
      </c>
    </row>
    <row r="31518" spans="5:9" ht="16.5" hidden="1">
      <c r="E31518" s="4" t="str">
        <v/>
      </c>
      <c r="F31518" s="102" t="str">
        <f ca="1">IFERROR(__xludf.DUMMYFUNCTION("IMPORTRANGE(H31518,""IDENTITAS UNIT!D9"")"),"#N/A")</f>
        <v>#N/A</v>
      </c>
      <c r="H31518" s="4" t="str">
        <v/>
      </c>
      <c r="I31518" s="4" t="str">
        <v/>
      </c>
    </row>
    <row r="31519" spans="5:9" ht="16.5" hidden="1">
      <c r="E31519" s="4" t="str">
        <v/>
      </c>
      <c r="F31519" s="102" t="str">
        <f ca="1">IFERROR(__xludf.DUMMYFUNCTION("IMPORTRANGE(H31519,""IDENTITAS UNIT!D9"")"),"#N/A")</f>
        <v>#N/A</v>
      </c>
      <c r="H31519" s="4" t="str">
        <v/>
      </c>
      <c r="I31519" s="4" t="str">
        <v/>
      </c>
    </row>
    <row r="31520" spans="5:9" ht="16.5" hidden="1">
      <c r="E31520" s="4" t="str">
        <v/>
      </c>
      <c r="F31520" s="102" t="str">
        <f ca="1">IFERROR(__xludf.DUMMYFUNCTION("IMPORTRANGE(H31520,""IDENTITAS UNIT!D9"")"),"#N/A")</f>
        <v>#N/A</v>
      </c>
      <c r="H31520" s="4" t="str">
        <v/>
      </c>
      <c r="I31520" s="4" t="str">
        <v/>
      </c>
    </row>
    <row r="31521" spans="5:9" ht="16.5" hidden="1">
      <c r="E31521" s="4" t="str">
        <v/>
      </c>
      <c r="F31521" s="102" t="str">
        <f ca="1">IFERROR(__xludf.DUMMYFUNCTION("IMPORTRANGE(H31521,""IDENTITAS UNIT!D9"")"),"#N/A")</f>
        <v>#N/A</v>
      </c>
      <c r="H31521" s="4" t="str">
        <v/>
      </c>
      <c r="I31521" s="4" t="str">
        <v/>
      </c>
    </row>
    <row r="31522" spans="5:9" ht="16.5" hidden="1">
      <c r="E31522" s="4" t="str">
        <v/>
      </c>
      <c r="F31522" s="102" t="str">
        <f ca="1">IFERROR(__xludf.DUMMYFUNCTION("IMPORTRANGE(H31522,""IDENTITAS UNIT!D9"")"),"#N/A")</f>
        <v>#N/A</v>
      </c>
      <c r="H31522" s="4" t="str">
        <v/>
      </c>
      <c r="I31522" s="4" t="str">
        <v/>
      </c>
    </row>
    <row r="31523" spans="5:9" ht="16.5" hidden="1">
      <c r="E31523" s="4" t="str">
        <v/>
      </c>
      <c r="F31523" s="102" t="str">
        <f ca="1">IFERROR(__xludf.DUMMYFUNCTION("IMPORTRANGE(H31523,""IDENTITAS UNIT!D9"")"),"#N/A")</f>
        <v>#N/A</v>
      </c>
      <c r="H31523" s="4" t="str">
        <v/>
      </c>
      <c r="I31523" s="4" t="str">
        <v/>
      </c>
    </row>
    <row r="31524" spans="5:9" ht="16.5" hidden="1">
      <c r="E31524" s="4" t="str">
        <v/>
      </c>
      <c r="F31524" s="102" t="str">
        <f ca="1">IFERROR(__xludf.DUMMYFUNCTION("IMPORTRANGE(H31524,""IDENTITAS UNIT!D9"")"),"#N/A")</f>
        <v>#N/A</v>
      </c>
      <c r="H31524" s="4" t="str">
        <v/>
      </c>
      <c r="I31524" s="4" t="str">
        <v/>
      </c>
    </row>
    <row r="31525" spans="5:9" ht="16.5" hidden="1">
      <c r="E31525" s="4" t="str">
        <v/>
      </c>
      <c r="F31525" s="102" t="str">
        <f ca="1">IFERROR(__xludf.DUMMYFUNCTION("IMPORTRANGE(H31525,""IDENTITAS UNIT!D9"")"),"#N/A")</f>
        <v>#N/A</v>
      </c>
      <c r="H31525" s="4" t="str">
        <v/>
      </c>
      <c r="I31525" s="4" t="str">
        <v/>
      </c>
    </row>
    <row r="31526" spans="5:9" ht="16.5" hidden="1">
      <c r="E31526" s="4" t="str">
        <v/>
      </c>
      <c r="F31526" s="102" t="str">
        <f ca="1">IFERROR(__xludf.DUMMYFUNCTION("IMPORTRANGE(H31526,""IDENTITAS UNIT!D9"")"),"#N/A")</f>
        <v>#N/A</v>
      </c>
      <c r="H31526" s="4" t="str">
        <v/>
      </c>
      <c r="I31526" s="4" t="str">
        <v/>
      </c>
    </row>
    <row r="31527" spans="5:9" ht="16.5" hidden="1">
      <c r="E31527" s="4" t="str">
        <v/>
      </c>
      <c r="F31527" s="102" t="str">
        <f ca="1">IFERROR(__xludf.DUMMYFUNCTION("IMPORTRANGE(H31527,""IDENTITAS UNIT!D9"")"),"#N/A")</f>
        <v>#N/A</v>
      </c>
      <c r="H31527" s="4" t="str">
        <v/>
      </c>
      <c r="I31527" s="4" t="str">
        <v/>
      </c>
    </row>
    <row r="31528" spans="5:9" ht="16.5" hidden="1">
      <c r="E31528" s="4" t="str">
        <v/>
      </c>
      <c r="F31528" s="102" t="str">
        <f ca="1">IFERROR(__xludf.DUMMYFUNCTION("IMPORTRANGE(H31528,""IDENTITAS UNIT!D9"")"),"#N/A")</f>
        <v>#N/A</v>
      </c>
      <c r="H31528" s="4" t="str">
        <v/>
      </c>
      <c r="I31528" s="4" t="str">
        <v/>
      </c>
    </row>
    <row r="31529" spans="5:9" ht="16.5" hidden="1">
      <c r="E31529" s="4" t="str">
        <v/>
      </c>
      <c r="F31529" s="102" t="str">
        <f ca="1">IFERROR(__xludf.DUMMYFUNCTION("IMPORTRANGE(H31529,""IDENTITAS UNIT!D9"")"),"#N/A")</f>
        <v>#N/A</v>
      </c>
      <c r="H31529" s="4" t="str">
        <v/>
      </c>
      <c r="I31529" s="4" t="str">
        <v/>
      </c>
    </row>
    <row r="31530" spans="5:9" ht="16.5" hidden="1">
      <c r="E31530" s="4" t="str">
        <v/>
      </c>
      <c r="F31530" s="102" t="str">
        <f ca="1">IFERROR(__xludf.DUMMYFUNCTION("IMPORTRANGE(H31530,""IDENTITAS UNIT!D9"")"),"#N/A")</f>
        <v>#N/A</v>
      </c>
      <c r="H31530" s="4" t="str">
        <v/>
      </c>
      <c r="I31530" s="4" t="str">
        <v/>
      </c>
    </row>
    <row r="31531" spans="5:9" ht="16.5" hidden="1">
      <c r="E31531" s="4" t="str">
        <v/>
      </c>
      <c r="F31531" s="102" t="str">
        <f ca="1">IFERROR(__xludf.DUMMYFUNCTION("IMPORTRANGE(H31531,""IDENTITAS UNIT!D9"")"),"#N/A")</f>
        <v>#N/A</v>
      </c>
      <c r="H31531" s="4" t="str">
        <v/>
      </c>
      <c r="I31531" s="4" t="str">
        <v/>
      </c>
    </row>
    <row r="31532" spans="5:9" ht="16.5" hidden="1">
      <c r="E31532" s="4" t="str">
        <v/>
      </c>
      <c r="F31532" s="102" t="str">
        <f ca="1">IFERROR(__xludf.DUMMYFUNCTION("IMPORTRANGE(H31532,""IDENTITAS UNIT!D9"")"),"#N/A")</f>
        <v>#N/A</v>
      </c>
      <c r="H31532" s="4" t="str">
        <v/>
      </c>
      <c r="I31532" s="4" t="str">
        <v/>
      </c>
    </row>
    <row r="31533" spans="5:9" ht="16.5" hidden="1">
      <c r="E31533" s="4" t="str">
        <v/>
      </c>
      <c r="F31533" s="102" t="str">
        <f ca="1">IFERROR(__xludf.DUMMYFUNCTION("IMPORTRANGE(H31533,""IDENTITAS UNIT!D9"")"),"#N/A")</f>
        <v>#N/A</v>
      </c>
      <c r="H31533" s="4" t="str">
        <v/>
      </c>
      <c r="I31533" s="4" t="str">
        <v/>
      </c>
    </row>
    <row r="31534" spans="5:9" ht="16.5" hidden="1">
      <c r="E31534" s="4" t="str">
        <v/>
      </c>
      <c r="F31534" s="102" t="str">
        <f ca="1">IFERROR(__xludf.DUMMYFUNCTION("IMPORTRANGE(H31534,""IDENTITAS UNIT!D9"")"),"#N/A")</f>
        <v>#N/A</v>
      </c>
      <c r="H31534" s="4" t="str">
        <v/>
      </c>
      <c r="I31534" s="4" t="str">
        <v/>
      </c>
    </row>
    <row r="31535" spans="5:9" ht="16.5" hidden="1">
      <c r="E31535" s="4" t="str">
        <v/>
      </c>
      <c r="F31535" s="102" t="str">
        <f ca="1">IFERROR(__xludf.DUMMYFUNCTION("IMPORTRANGE(H31535,""IDENTITAS UNIT!D9"")"),"#N/A")</f>
        <v>#N/A</v>
      </c>
      <c r="H31535" s="4" t="str">
        <v/>
      </c>
      <c r="I31535" s="4" t="str">
        <v/>
      </c>
    </row>
    <row r="31536" spans="5:9" ht="16.5" hidden="1">
      <c r="E31536" s="4" t="str">
        <v/>
      </c>
      <c r="F31536" s="102" t="str">
        <f ca="1">IFERROR(__xludf.DUMMYFUNCTION("IMPORTRANGE(H31536,""IDENTITAS UNIT!D9"")"),"#N/A")</f>
        <v>#N/A</v>
      </c>
      <c r="H31536" s="4" t="str">
        <v/>
      </c>
      <c r="I31536" s="4" t="str">
        <v/>
      </c>
    </row>
    <row r="31537" spans="5:9" ht="16.5" hidden="1">
      <c r="E31537" s="4" t="str">
        <v/>
      </c>
      <c r="F31537" s="102" t="str">
        <f ca="1">IFERROR(__xludf.DUMMYFUNCTION("IMPORTRANGE(H31537,""IDENTITAS UNIT!D9"")"),"#N/A")</f>
        <v>#N/A</v>
      </c>
      <c r="H31537" s="4" t="str">
        <v/>
      </c>
      <c r="I31537" s="4" t="str">
        <v/>
      </c>
    </row>
    <row r="31538" spans="5:9" ht="16.5" hidden="1">
      <c r="E31538" s="4" t="str">
        <v/>
      </c>
      <c r="F31538" s="102" t="str">
        <f ca="1">IFERROR(__xludf.DUMMYFUNCTION("IMPORTRANGE(H31538,""IDENTITAS UNIT!D9"")"),"#N/A")</f>
        <v>#N/A</v>
      </c>
      <c r="H31538" s="4" t="str">
        <v/>
      </c>
      <c r="I31538" s="4" t="str">
        <v/>
      </c>
    </row>
    <row r="31539" spans="5:9" ht="16.5" hidden="1">
      <c r="E31539" s="4" t="str">
        <v/>
      </c>
      <c r="F31539" s="102" t="str">
        <f ca="1">IFERROR(__xludf.DUMMYFUNCTION("IMPORTRANGE(H31539,""IDENTITAS UNIT!D9"")"),"#N/A")</f>
        <v>#N/A</v>
      </c>
      <c r="H31539" s="4" t="str">
        <v/>
      </c>
      <c r="I31539" s="4" t="str">
        <v/>
      </c>
    </row>
    <row r="31540" spans="5:9" ht="16.5" hidden="1">
      <c r="E31540" s="4" t="str">
        <v/>
      </c>
      <c r="F31540" s="102" t="str">
        <f ca="1">IFERROR(__xludf.DUMMYFUNCTION("IMPORTRANGE(H31540,""IDENTITAS UNIT!D9"")"),"#N/A")</f>
        <v>#N/A</v>
      </c>
      <c r="H31540" s="4" t="str">
        <v/>
      </c>
      <c r="I31540" s="4" t="str">
        <v/>
      </c>
    </row>
    <row r="31541" spans="5:9" ht="16.5" hidden="1">
      <c r="E31541" s="4" t="str">
        <v/>
      </c>
      <c r="F31541" s="102" t="str">
        <f ca="1">IFERROR(__xludf.DUMMYFUNCTION("IMPORTRANGE(H31541,""IDENTITAS UNIT!D9"")"),"#N/A")</f>
        <v>#N/A</v>
      </c>
      <c r="H31541" s="4" t="str">
        <v/>
      </c>
      <c r="I31541" s="4" t="str">
        <v/>
      </c>
    </row>
    <row r="31542" spans="5:9" ht="16.5" hidden="1">
      <c r="E31542" s="4" t="str">
        <v/>
      </c>
      <c r="F31542" s="102" t="str">
        <f ca="1">IFERROR(__xludf.DUMMYFUNCTION("IMPORTRANGE(H31542,""IDENTITAS UNIT!D9"")"),"#N/A")</f>
        <v>#N/A</v>
      </c>
      <c r="H31542" s="4" t="str">
        <v/>
      </c>
      <c r="I31542" s="4" t="str">
        <v/>
      </c>
    </row>
    <row r="31543" spans="5:9" ht="16.5" hidden="1">
      <c r="E31543" s="4" t="str">
        <v/>
      </c>
      <c r="F31543" s="102" t="str">
        <f ca="1">IFERROR(__xludf.DUMMYFUNCTION("IMPORTRANGE(H31543,""IDENTITAS UNIT!D9"")"),"#N/A")</f>
        <v>#N/A</v>
      </c>
      <c r="H31543" s="4" t="str">
        <v/>
      </c>
      <c r="I31543" s="4" t="str">
        <v/>
      </c>
    </row>
    <row r="31544" spans="5:9" ht="16.5" hidden="1">
      <c r="E31544" s="4" t="str">
        <v/>
      </c>
      <c r="F31544" s="102" t="str">
        <f ca="1">IFERROR(__xludf.DUMMYFUNCTION("IMPORTRANGE(H31544,""IDENTITAS UNIT!D9"")"),"#N/A")</f>
        <v>#N/A</v>
      </c>
      <c r="H31544" s="4" t="str">
        <v/>
      </c>
      <c r="I31544" s="4" t="str">
        <v/>
      </c>
    </row>
    <row r="31545" spans="5:9" ht="16.5" hidden="1">
      <c r="E31545" s="4" t="str">
        <v/>
      </c>
      <c r="F31545" s="102" t="str">
        <f ca="1">IFERROR(__xludf.DUMMYFUNCTION("IMPORTRANGE(H31545,""IDENTITAS UNIT!D9"")"),"#N/A")</f>
        <v>#N/A</v>
      </c>
      <c r="H31545" s="4" t="str">
        <v/>
      </c>
      <c r="I31545" s="4" t="str">
        <v/>
      </c>
    </row>
    <row r="31546" spans="5:9" ht="16.5" hidden="1">
      <c r="E31546" s="4" t="str">
        <v/>
      </c>
      <c r="F31546" s="102" t="str">
        <f ca="1">IFERROR(__xludf.DUMMYFUNCTION("IMPORTRANGE(H31546,""IDENTITAS UNIT!D9"")"),"#N/A")</f>
        <v>#N/A</v>
      </c>
      <c r="H31546" s="4" t="str">
        <v/>
      </c>
      <c r="I31546" s="4" t="str">
        <v/>
      </c>
    </row>
    <row r="31547" spans="5:9" ht="16.5" hidden="1">
      <c r="E31547" s="4" t="str">
        <v/>
      </c>
      <c r="F31547" s="102" t="str">
        <f ca="1">IFERROR(__xludf.DUMMYFUNCTION("IMPORTRANGE(H31547,""IDENTITAS UNIT!D9"")"),"#N/A")</f>
        <v>#N/A</v>
      </c>
      <c r="H31547" s="4" t="str">
        <v/>
      </c>
      <c r="I31547" s="4" t="str">
        <v/>
      </c>
    </row>
    <row r="31548" spans="5:9" ht="16.5" hidden="1">
      <c r="E31548" s="4" t="str">
        <v/>
      </c>
      <c r="F31548" s="102" t="str">
        <f ca="1">IFERROR(__xludf.DUMMYFUNCTION("IMPORTRANGE(H31548,""IDENTITAS UNIT!D9"")"),"#N/A")</f>
        <v>#N/A</v>
      </c>
      <c r="H31548" s="4" t="str">
        <v/>
      </c>
      <c r="I31548" s="4" t="str">
        <v/>
      </c>
    </row>
    <row r="31549" spans="5:9" ht="16.5" hidden="1">
      <c r="E31549" s="4" t="str">
        <v/>
      </c>
      <c r="F31549" s="102" t="str">
        <f ca="1">IFERROR(__xludf.DUMMYFUNCTION("IMPORTRANGE(H31549,""IDENTITAS UNIT!D9"")"),"#N/A")</f>
        <v>#N/A</v>
      </c>
      <c r="H31549" s="4" t="str">
        <v/>
      </c>
      <c r="I31549" s="4" t="str">
        <v/>
      </c>
    </row>
    <row r="31550" spans="5:9" ht="16.5" hidden="1">
      <c r="E31550" s="4" t="str">
        <v/>
      </c>
      <c r="F31550" s="102" t="str">
        <f ca="1">IFERROR(__xludf.DUMMYFUNCTION("IMPORTRANGE(H31550,""IDENTITAS UNIT!D9"")"),"#N/A")</f>
        <v>#N/A</v>
      </c>
      <c r="H31550" s="4" t="str">
        <v/>
      </c>
      <c r="I31550" s="4" t="str">
        <v/>
      </c>
    </row>
    <row r="31551" spans="5:9" ht="16.5" hidden="1">
      <c r="E31551" s="4" t="str">
        <v/>
      </c>
      <c r="F31551" s="102" t="str">
        <f ca="1">IFERROR(__xludf.DUMMYFUNCTION("IMPORTRANGE(H31551,""IDENTITAS UNIT!D9"")"),"#N/A")</f>
        <v>#N/A</v>
      </c>
      <c r="H31551" s="4" t="str">
        <v/>
      </c>
      <c r="I31551" s="4" t="str">
        <v/>
      </c>
    </row>
    <row r="31552" spans="5:9" ht="16.5" hidden="1">
      <c r="E31552" s="4" t="str">
        <v/>
      </c>
      <c r="F31552" s="102" t="str">
        <f ca="1">IFERROR(__xludf.DUMMYFUNCTION("IMPORTRANGE(H31552,""IDENTITAS UNIT!D9"")"),"#N/A")</f>
        <v>#N/A</v>
      </c>
      <c r="H31552" s="4" t="str">
        <v/>
      </c>
      <c r="I31552" s="4" t="str">
        <v/>
      </c>
    </row>
    <row r="31553" spans="5:9" ht="16.5" hidden="1">
      <c r="E31553" s="4" t="str">
        <v/>
      </c>
      <c r="F31553" s="102" t="str">
        <f ca="1">IFERROR(__xludf.DUMMYFUNCTION("IMPORTRANGE(H31553,""IDENTITAS UNIT!D9"")"),"#N/A")</f>
        <v>#N/A</v>
      </c>
      <c r="H31553" s="4" t="str">
        <v/>
      </c>
      <c r="I31553" s="4" t="str">
        <v/>
      </c>
    </row>
    <row r="31554" spans="5:9" ht="16.5" hidden="1">
      <c r="E31554" s="4" t="str">
        <v/>
      </c>
      <c r="F31554" s="102" t="str">
        <f ca="1">IFERROR(__xludf.DUMMYFUNCTION("IMPORTRANGE(H31554,""IDENTITAS UNIT!D9"")"),"#N/A")</f>
        <v>#N/A</v>
      </c>
      <c r="H31554" s="4" t="str">
        <v/>
      </c>
      <c r="I31554" s="4" t="str">
        <v/>
      </c>
    </row>
    <row r="31555" spans="5:9" ht="16.5" hidden="1">
      <c r="E31555" s="4" t="str">
        <v/>
      </c>
      <c r="F31555" s="102" t="str">
        <f ca="1">IFERROR(__xludf.DUMMYFUNCTION("IMPORTRANGE(H31555,""IDENTITAS UNIT!D9"")"),"#N/A")</f>
        <v>#N/A</v>
      </c>
      <c r="H31555" s="4" t="str">
        <v/>
      </c>
      <c r="I31555" s="4" t="str">
        <v/>
      </c>
    </row>
    <row r="31556" spans="5:9" ht="16.5" hidden="1">
      <c r="E31556" s="4" t="str">
        <v/>
      </c>
      <c r="F31556" s="102" t="str">
        <f ca="1">IFERROR(__xludf.DUMMYFUNCTION("IMPORTRANGE(H31556,""IDENTITAS UNIT!D9"")"),"#N/A")</f>
        <v>#N/A</v>
      </c>
      <c r="H31556" s="4" t="str">
        <v/>
      </c>
      <c r="I31556" s="4" t="str">
        <v/>
      </c>
    </row>
    <row r="31557" spans="5:9" ht="16.5" hidden="1">
      <c r="E31557" s="4" t="str">
        <v/>
      </c>
      <c r="F31557" s="102" t="str">
        <f ca="1">IFERROR(__xludf.DUMMYFUNCTION("IMPORTRANGE(H31557,""IDENTITAS UNIT!D9"")"),"#N/A")</f>
        <v>#N/A</v>
      </c>
      <c r="H31557" s="4" t="str">
        <v/>
      </c>
      <c r="I31557" s="4" t="str">
        <v/>
      </c>
    </row>
    <row r="31558" spans="5:9" ht="16.5" hidden="1">
      <c r="E31558" s="4" t="str">
        <v/>
      </c>
      <c r="F31558" s="102" t="str">
        <f ca="1">IFERROR(__xludf.DUMMYFUNCTION("IMPORTRANGE(H31558,""IDENTITAS UNIT!D9"")"),"#N/A")</f>
        <v>#N/A</v>
      </c>
      <c r="H31558" s="4" t="str">
        <v/>
      </c>
      <c r="I31558" s="4" t="str">
        <v/>
      </c>
    </row>
    <row r="31559" spans="5:9" ht="16.5" hidden="1">
      <c r="E31559" s="4" t="str">
        <v/>
      </c>
      <c r="F31559" s="102" t="str">
        <f ca="1">IFERROR(__xludf.DUMMYFUNCTION("IMPORTRANGE(H31559,""IDENTITAS UNIT!D9"")"),"#N/A")</f>
        <v>#N/A</v>
      </c>
      <c r="H31559" s="4" t="str">
        <v/>
      </c>
      <c r="I31559" s="4" t="str">
        <v/>
      </c>
    </row>
    <row r="31560" spans="5:9" ht="16.5" hidden="1">
      <c r="E31560" s="4" t="str">
        <v/>
      </c>
      <c r="F31560" s="102" t="str">
        <f ca="1">IFERROR(__xludf.DUMMYFUNCTION("IMPORTRANGE(H31560,""IDENTITAS UNIT!D9"")"),"#N/A")</f>
        <v>#N/A</v>
      </c>
      <c r="H31560" s="4" t="str">
        <v/>
      </c>
      <c r="I31560" s="4" t="str">
        <v/>
      </c>
    </row>
    <row r="31561" spans="5:9" ht="16.5" hidden="1">
      <c r="E31561" s="4" t="str">
        <v/>
      </c>
      <c r="F31561" s="102" t="str">
        <f ca="1">IFERROR(__xludf.DUMMYFUNCTION("IMPORTRANGE(H31561,""IDENTITAS UNIT!D9"")"),"#N/A")</f>
        <v>#N/A</v>
      </c>
      <c r="H31561" s="4" t="str">
        <v/>
      </c>
      <c r="I31561" s="4" t="str">
        <v/>
      </c>
    </row>
    <row r="31562" spans="5:9" ht="16.5" hidden="1">
      <c r="E31562" s="4" t="str">
        <v/>
      </c>
      <c r="F31562" s="102" t="str">
        <f ca="1">IFERROR(__xludf.DUMMYFUNCTION("IMPORTRANGE(H31562,""IDENTITAS UNIT!D9"")"),"#N/A")</f>
        <v>#N/A</v>
      </c>
      <c r="H31562" s="4" t="str">
        <v/>
      </c>
      <c r="I31562" s="4" t="str">
        <v/>
      </c>
    </row>
    <row r="31563" spans="5:9" ht="16.5" hidden="1">
      <c r="E31563" s="4" t="str">
        <v/>
      </c>
      <c r="F31563" s="102" t="str">
        <f ca="1">IFERROR(__xludf.DUMMYFUNCTION("IMPORTRANGE(H31563,""IDENTITAS UNIT!D9"")"),"#N/A")</f>
        <v>#N/A</v>
      </c>
      <c r="H31563" s="4" t="str">
        <v/>
      </c>
      <c r="I31563" s="4" t="str">
        <v/>
      </c>
    </row>
    <row r="31564" spans="5:9" ht="16.5" hidden="1">
      <c r="E31564" s="4" t="str">
        <v/>
      </c>
      <c r="F31564" s="102" t="str">
        <f ca="1">IFERROR(__xludf.DUMMYFUNCTION("IMPORTRANGE(H31564,""IDENTITAS UNIT!D9"")"),"#N/A")</f>
        <v>#N/A</v>
      </c>
      <c r="H31564" s="4" t="str">
        <v/>
      </c>
      <c r="I31564" s="4" t="str">
        <v/>
      </c>
    </row>
    <row r="31565" spans="5:9" ht="16.5" hidden="1">
      <c r="E31565" s="4" t="str">
        <v/>
      </c>
      <c r="F31565" s="102" t="str">
        <f ca="1">IFERROR(__xludf.DUMMYFUNCTION("IMPORTRANGE(H31565,""IDENTITAS UNIT!D9"")"),"#N/A")</f>
        <v>#N/A</v>
      </c>
      <c r="H31565" s="4" t="str">
        <v/>
      </c>
      <c r="I31565" s="4" t="str">
        <v/>
      </c>
    </row>
    <row r="31566" spans="5:9" ht="16.5" hidden="1">
      <c r="E31566" s="4" t="str">
        <v/>
      </c>
      <c r="F31566" s="102" t="str">
        <f ca="1">IFERROR(__xludf.DUMMYFUNCTION("IMPORTRANGE(H31566,""IDENTITAS UNIT!D9"")"),"#N/A")</f>
        <v>#N/A</v>
      </c>
      <c r="H31566" s="4" t="str">
        <v/>
      </c>
      <c r="I31566" s="4" t="str">
        <v/>
      </c>
    </row>
    <row r="31567" spans="5:9" ht="16.5" hidden="1">
      <c r="E31567" s="4" t="str">
        <v/>
      </c>
      <c r="F31567" s="102" t="str">
        <f ca="1">IFERROR(__xludf.DUMMYFUNCTION("IMPORTRANGE(H31567,""IDENTITAS UNIT!D9"")"),"#N/A")</f>
        <v>#N/A</v>
      </c>
      <c r="H31567" s="4" t="str">
        <v/>
      </c>
      <c r="I31567" s="4" t="str">
        <v/>
      </c>
    </row>
    <row r="31568" spans="5:9" ht="16.5" hidden="1">
      <c r="E31568" s="4" t="str">
        <v/>
      </c>
      <c r="F31568" s="102" t="str">
        <f ca="1">IFERROR(__xludf.DUMMYFUNCTION("IMPORTRANGE(H31568,""IDENTITAS UNIT!D9"")"),"#N/A")</f>
        <v>#N/A</v>
      </c>
      <c r="H31568" s="4" t="str">
        <v/>
      </c>
      <c r="I31568" s="4" t="str">
        <v/>
      </c>
    </row>
    <row r="31569" spans="5:9" ht="16.5" hidden="1">
      <c r="E31569" s="4" t="str">
        <v/>
      </c>
      <c r="F31569" s="102" t="str">
        <f ca="1">IFERROR(__xludf.DUMMYFUNCTION("IMPORTRANGE(H31569,""IDENTITAS UNIT!D9"")"),"#N/A")</f>
        <v>#N/A</v>
      </c>
      <c r="H31569" s="4" t="str">
        <v/>
      </c>
      <c r="I31569" s="4" t="str">
        <v/>
      </c>
    </row>
    <row r="31570" spans="5:9" ht="16.5" hidden="1">
      <c r="E31570" s="4" t="str">
        <v/>
      </c>
      <c r="F31570" s="102" t="str">
        <f ca="1">IFERROR(__xludf.DUMMYFUNCTION("IMPORTRANGE(H31570,""IDENTITAS UNIT!D9"")"),"#N/A")</f>
        <v>#N/A</v>
      </c>
      <c r="H31570" s="4" t="str">
        <v/>
      </c>
      <c r="I31570" s="4" t="str">
        <v/>
      </c>
    </row>
    <row r="31571" spans="5:9" ht="16.5" hidden="1">
      <c r="E31571" s="4" t="str">
        <v/>
      </c>
      <c r="F31571" s="102" t="str">
        <f ca="1">IFERROR(__xludf.DUMMYFUNCTION("IMPORTRANGE(H31571,""IDENTITAS UNIT!D9"")"),"#N/A")</f>
        <v>#N/A</v>
      </c>
      <c r="H31571" s="4" t="str">
        <v/>
      </c>
      <c r="I31571" s="4" t="str">
        <v/>
      </c>
    </row>
    <row r="31572" spans="5:9" ht="16.5" hidden="1">
      <c r="E31572" s="4" t="str">
        <v/>
      </c>
      <c r="F31572" s="102" t="str">
        <f ca="1">IFERROR(__xludf.DUMMYFUNCTION("IMPORTRANGE(H31572,""IDENTITAS UNIT!D9"")"),"#N/A")</f>
        <v>#N/A</v>
      </c>
      <c r="H31572" s="4" t="str">
        <v/>
      </c>
      <c r="I31572" s="4" t="str">
        <v/>
      </c>
    </row>
    <row r="31573" spans="5:9" ht="16.5" hidden="1">
      <c r="E31573" s="4" t="str">
        <v/>
      </c>
      <c r="F31573" s="102" t="str">
        <f ca="1">IFERROR(__xludf.DUMMYFUNCTION("IMPORTRANGE(H31573,""IDENTITAS UNIT!D9"")"),"#N/A")</f>
        <v>#N/A</v>
      </c>
      <c r="H31573" s="4" t="str">
        <v/>
      </c>
      <c r="I31573" s="4" t="str">
        <v/>
      </c>
    </row>
    <row r="31574" spans="5:9" ht="16.5" hidden="1">
      <c r="E31574" s="4" t="str">
        <v/>
      </c>
      <c r="F31574" s="102" t="str">
        <f ca="1">IFERROR(__xludf.DUMMYFUNCTION("IMPORTRANGE(H31574,""IDENTITAS UNIT!D9"")"),"#N/A")</f>
        <v>#N/A</v>
      </c>
      <c r="H31574" s="4" t="str">
        <v/>
      </c>
      <c r="I31574" s="4" t="str">
        <v/>
      </c>
    </row>
    <row r="31575" spans="5:9" ht="16.5" hidden="1">
      <c r="E31575" s="4" t="str">
        <v/>
      </c>
      <c r="F31575" s="102" t="str">
        <f ca="1">IFERROR(__xludf.DUMMYFUNCTION("IMPORTRANGE(H31575,""IDENTITAS UNIT!D9"")"),"#N/A")</f>
        <v>#N/A</v>
      </c>
      <c r="H31575" s="4" t="str">
        <v/>
      </c>
      <c r="I31575" s="4" t="str">
        <v/>
      </c>
    </row>
    <row r="31576" spans="5:9" ht="16.5" hidden="1">
      <c r="E31576" s="4" t="str">
        <v/>
      </c>
      <c r="F31576" s="102" t="str">
        <f ca="1">IFERROR(__xludf.DUMMYFUNCTION("IMPORTRANGE(H31576,""IDENTITAS UNIT!D9"")"),"#N/A")</f>
        <v>#N/A</v>
      </c>
      <c r="H31576" s="4" t="str">
        <v/>
      </c>
      <c r="I31576" s="4" t="str">
        <v/>
      </c>
    </row>
    <row r="31577" spans="5:9" ht="16.5" hidden="1">
      <c r="E31577" s="4" t="str">
        <v/>
      </c>
      <c r="F31577" s="102" t="str">
        <f ca="1">IFERROR(__xludf.DUMMYFUNCTION("IMPORTRANGE(H31577,""IDENTITAS UNIT!D9"")"),"#N/A")</f>
        <v>#N/A</v>
      </c>
      <c r="H31577" s="4" t="str">
        <v/>
      </c>
      <c r="I31577" s="4" t="str">
        <v/>
      </c>
    </row>
    <row r="31578" spans="5:9" ht="16.5" hidden="1">
      <c r="E31578" s="4" t="str">
        <v/>
      </c>
      <c r="F31578" s="102" t="str">
        <f ca="1">IFERROR(__xludf.DUMMYFUNCTION("IMPORTRANGE(H31578,""IDENTITAS UNIT!D9"")"),"#N/A")</f>
        <v>#N/A</v>
      </c>
      <c r="H31578" s="4" t="str">
        <v/>
      </c>
      <c r="I31578" s="4" t="str">
        <v/>
      </c>
    </row>
    <row r="31579" spans="5:9" ht="16.5" hidden="1">
      <c r="E31579" s="4" t="str">
        <v/>
      </c>
      <c r="F31579" s="102" t="str">
        <f ca="1">IFERROR(__xludf.DUMMYFUNCTION("IMPORTRANGE(H31579,""IDENTITAS UNIT!D9"")"),"#N/A")</f>
        <v>#N/A</v>
      </c>
      <c r="H31579" s="4" t="str">
        <v/>
      </c>
      <c r="I31579" s="4" t="str">
        <v/>
      </c>
    </row>
    <row r="31580" spans="5:9" ht="16.5" hidden="1">
      <c r="E31580" s="4" t="str">
        <v/>
      </c>
      <c r="F31580" s="102" t="str">
        <f ca="1">IFERROR(__xludf.DUMMYFUNCTION("IMPORTRANGE(H31580,""IDENTITAS UNIT!D9"")"),"#N/A")</f>
        <v>#N/A</v>
      </c>
      <c r="H31580" s="4" t="str">
        <v/>
      </c>
      <c r="I31580" s="4" t="str">
        <v/>
      </c>
    </row>
    <row r="31581" spans="5:9" ht="16.5" hidden="1">
      <c r="E31581" s="4" t="str">
        <v/>
      </c>
      <c r="F31581" s="102" t="str">
        <f ca="1">IFERROR(__xludf.DUMMYFUNCTION("IMPORTRANGE(H31581,""IDENTITAS UNIT!D9"")"),"#N/A")</f>
        <v>#N/A</v>
      </c>
      <c r="H31581" s="4" t="str">
        <v/>
      </c>
      <c r="I31581" s="4" t="str">
        <v/>
      </c>
    </row>
    <row r="31582" spans="5:9" ht="16.5" hidden="1">
      <c r="E31582" s="4" t="str">
        <v/>
      </c>
      <c r="F31582" s="102" t="str">
        <f ca="1">IFERROR(__xludf.DUMMYFUNCTION("IMPORTRANGE(H31582,""IDENTITAS UNIT!D9"")"),"#N/A")</f>
        <v>#N/A</v>
      </c>
      <c r="H31582" s="4" t="str">
        <v/>
      </c>
      <c r="I31582" s="4" t="str">
        <v/>
      </c>
    </row>
    <row r="31583" spans="5:9" ht="16.5" hidden="1">
      <c r="E31583" s="4" t="str">
        <v/>
      </c>
      <c r="F31583" s="102" t="str">
        <f ca="1">IFERROR(__xludf.DUMMYFUNCTION("IMPORTRANGE(H31583,""IDENTITAS UNIT!D9"")"),"#N/A")</f>
        <v>#N/A</v>
      </c>
      <c r="H31583" s="4" t="str">
        <v/>
      </c>
      <c r="I31583" s="4" t="str">
        <v/>
      </c>
    </row>
    <row r="31584" spans="5:9" ht="16.5" hidden="1">
      <c r="E31584" s="4" t="str">
        <v/>
      </c>
      <c r="F31584" s="102" t="str">
        <f ca="1">IFERROR(__xludf.DUMMYFUNCTION("IMPORTRANGE(H31584,""IDENTITAS UNIT!D9"")"),"#N/A")</f>
        <v>#N/A</v>
      </c>
      <c r="H31584" s="4" t="str">
        <v/>
      </c>
      <c r="I31584" s="4" t="str">
        <v/>
      </c>
    </row>
    <row r="31585" spans="5:9" ht="16.5" hidden="1">
      <c r="E31585" s="4" t="str">
        <v/>
      </c>
      <c r="F31585" s="102" t="str">
        <f ca="1">IFERROR(__xludf.DUMMYFUNCTION("IMPORTRANGE(H31585,""IDENTITAS UNIT!D9"")"),"#N/A")</f>
        <v>#N/A</v>
      </c>
      <c r="H31585" s="4" t="str">
        <v/>
      </c>
      <c r="I31585" s="4" t="str">
        <v/>
      </c>
    </row>
    <row r="31586" spans="5:9" ht="16.5" hidden="1">
      <c r="E31586" s="4" t="str">
        <v/>
      </c>
      <c r="F31586" s="102" t="str">
        <f ca="1">IFERROR(__xludf.DUMMYFUNCTION("IMPORTRANGE(H31586,""IDENTITAS UNIT!D9"")"),"#N/A")</f>
        <v>#N/A</v>
      </c>
      <c r="H31586" s="4" t="str">
        <v/>
      </c>
      <c r="I31586" s="4" t="str">
        <v/>
      </c>
    </row>
    <row r="31587" spans="5:9" ht="16.5" hidden="1">
      <c r="E31587" s="4" t="str">
        <v/>
      </c>
      <c r="F31587" s="102" t="str">
        <f ca="1">IFERROR(__xludf.DUMMYFUNCTION("IMPORTRANGE(H31587,""IDENTITAS UNIT!D9"")"),"#N/A")</f>
        <v>#N/A</v>
      </c>
      <c r="H31587" s="4" t="str">
        <v/>
      </c>
      <c r="I31587" s="4" t="str">
        <v/>
      </c>
    </row>
    <row r="31588" spans="5:9" ht="16.5" hidden="1">
      <c r="E31588" s="4" t="str">
        <v/>
      </c>
      <c r="F31588" s="102" t="str">
        <f ca="1">IFERROR(__xludf.DUMMYFUNCTION("IMPORTRANGE(H31588,""IDENTITAS UNIT!D9"")"),"#N/A")</f>
        <v>#N/A</v>
      </c>
      <c r="H31588" s="4" t="str">
        <v/>
      </c>
      <c r="I31588" s="4" t="str">
        <v/>
      </c>
    </row>
    <row r="31589" spans="5:9" ht="16.5" hidden="1">
      <c r="E31589" s="4" t="str">
        <v/>
      </c>
      <c r="F31589" s="102" t="str">
        <f ca="1">IFERROR(__xludf.DUMMYFUNCTION("IMPORTRANGE(H31589,""IDENTITAS UNIT!D9"")"),"#N/A")</f>
        <v>#N/A</v>
      </c>
      <c r="H31589" s="4" t="str">
        <v/>
      </c>
      <c r="I31589" s="4" t="str">
        <v/>
      </c>
    </row>
    <row r="31590" spans="5:9" ht="16.5" hidden="1">
      <c r="E31590" s="4" t="str">
        <v/>
      </c>
      <c r="F31590" s="102" t="str">
        <f ca="1">IFERROR(__xludf.DUMMYFUNCTION("IMPORTRANGE(H31590,""IDENTITAS UNIT!D9"")"),"#N/A")</f>
        <v>#N/A</v>
      </c>
      <c r="H31590" s="4" t="str">
        <v/>
      </c>
      <c r="I31590" s="4" t="str">
        <v/>
      </c>
    </row>
    <row r="31591" spans="5:9" ht="16.5" hidden="1">
      <c r="E31591" s="4" t="str">
        <v/>
      </c>
      <c r="F31591" s="102" t="str">
        <f ca="1">IFERROR(__xludf.DUMMYFUNCTION("IMPORTRANGE(H31591,""IDENTITAS UNIT!D9"")"),"#N/A")</f>
        <v>#N/A</v>
      </c>
      <c r="H31591" s="4" t="str">
        <v/>
      </c>
      <c r="I31591" s="4" t="str">
        <v/>
      </c>
    </row>
    <row r="31592" spans="5:9" ht="16.5" hidden="1">
      <c r="E31592" s="4" t="str">
        <v/>
      </c>
      <c r="F31592" s="102" t="str">
        <f ca="1">IFERROR(__xludf.DUMMYFUNCTION("IMPORTRANGE(H31592,""IDENTITAS UNIT!D9"")"),"#N/A")</f>
        <v>#N/A</v>
      </c>
      <c r="H31592" s="4" t="str">
        <v/>
      </c>
      <c r="I31592" s="4" t="str">
        <v/>
      </c>
    </row>
    <row r="31593" spans="5:9" ht="16.5" hidden="1">
      <c r="E31593" s="4" t="str">
        <v/>
      </c>
      <c r="F31593" s="102" t="str">
        <f ca="1">IFERROR(__xludf.DUMMYFUNCTION("IMPORTRANGE(H31593,""IDENTITAS UNIT!D9"")"),"#N/A")</f>
        <v>#N/A</v>
      </c>
      <c r="H31593" s="4" t="str">
        <v/>
      </c>
      <c r="I31593" s="4" t="str">
        <v/>
      </c>
    </row>
    <row r="31594" spans="5:9" ht="16.5" hidden="1">
      <c r="E31594" s="4" t="str">
        <v/>
      </c>
      <c r="F31594" s="102" t="str">
        <f ca="1">IFERROR(__xludf.DUMMYFUNCTION("IMPORTRANGE(H31594,""IDENTITAS UNIT!D9"")"),"#N/A")</f>
        <v>#N/A</v>
      </c>
      <c r="H31594" s="4" t="str">
        <v/>
      </c>
      <c r="I31594" s="4" t="str">
        <v/>
      </c>
    </row>
    <row r="31595" spans="5:9" ht="16.5" hidden="1">
      <c r="E31595" s="4" t="str">
        <v/>
      </c>
      <c r="F31595" s="102" t="str">
        <f ca="1">IFERROR(__xludf.DUMMYFUNCTION("IMPORTRANGE(H31595,""IDENTITAS UNIT!D9"")"),"#N/A")</f>
        <v>#N/A</v>
      </c>
      <c r="H31595" s="4" t="str">
        <v/>
      </c>
      <c r="I31595" s="4" t="str">
        <v/>
      </c>
    </row>
    <row r="31596" spans="5:9" ht="16.5" hidden="1">
      <c r="E31596" s="4" t="str">
        <v/>
      </c>
      <c r="F31596" s="102" t="str">
        <f ca="1">IFERROR(__xludf.DUMMYFUNCTION("IMPORTRANGE(H31596,""IDENTITAS UNIT!D9"")"),"#N/A")</f>
        <v>#N/A</v>
      </c>
      <c r="H31596" s="4" t="str">
        <v/>
      </c>
      <c r="I31596" s="4" t="str">
        <v/>
      </c>
    </row>
    <row r="31597" spans="5:9" ht="16.5" hidden="1">
      <c r="E31597" s="4" t="str">
        <v/>
      </c>
      <c r="F31597" s="102" t="str">
        <f ca="1">IFERROR(__xludf.DUMMYFUNCTION("IMPORTRANGE(H31597,""IDENTITAS UNIT!D9"")"),"#N/A")</f>
        <v>#N/A</v>
      </c>
      <c r="H31597" s="4" t="str">
        <v/>
      </c>
      <c r="I31597" s="4" t="str">
        <v/>
      </c>
    </row>
    <row r="31598" spans="5:9" ht="16.5" hidden="1">
      <c r="E31598" s="4" t="str">
        <v/>
      </c>
      <c r="F31598" s="102" t="str">
        <f ca="1">IFERROR(__xludf.DUMMYFUNCTION("IMPORTRANGE(H31598,""IDENTITAS UNIT!D9"")"),"#N/A")</f>
        <v>#N/A</v>
      </c>
      <c r="H31598" s="4" t="str">
        <v/>
      </c>
      <c r="I31598" s="4" t="str">
        <v/>
      </c>
    </row>
    <row r="31599" spans="5:9" ht="16.5" hidden="1">
      <c r="E31599" s="4" t="str">
        <v/>
      </c>
      <c r="F31599" s="102" t="str">
        <f ca="1">IFERROR(__xludf.DUMMYFUNCTION("IMPORTRANGE(H31599,""IDENTITAS UNIT!D9"")"),"#N/A")</f>
        <v>#N/A</v>
      </c>
      <c r="H31599" s="4" t="str">
        <v/>
      </c>
      <c r="I31599" s="4" t="str">
        <v/>
      </c>
    </row>
    <row r="31600" spans="5:9" ht="16.5" hidden="1">
      <c r="E31600" s="4" t="str">
        <v/>
      </c>
      <c r="F31600" s="102" t="str">
        <f ca="1">IFERROR(__xludf.DUMMYFUNCTION("IMPORTRANGE(H31600,""IDENTITAS UNIT!D9"")"),"#N/A")</f>
        <v>#N/A</v>
      </c>
      <c r="H31600" s="4" t="str">
        <v/>
      </c>
      <c r="I31600" s="4" t="str">
        <v/>
      </c>
    </row>
    <row r="31601" spans="5:9" ht="16.5" hidden="1">
      <c r="E31601" s="4" t="str">
        <v/>
      </c>
      <c r="F31601" s="102" t="str">
        <f ca="1">IFERROR(__xludf.DUMMYFUNCTION("IMPORTRANGE(H31601,""IDENTITAS UNIT!D9"")"),"#N/A")</f>
        <v>#N/A</v>
      </c>
      <c r="H31601" s="4" t="str">
        <v/>
      </c>
      <c r="I31601" s="4" t="str">
        <v/>
      </c>
    </row>
    <row r="31602" spans="5:9" ht="16.5" hidden="1">
      <c r="E31602" s="4" t="str">
        <v/>
      </c>
      <c r="F31602" s="102" t="str">
        <f ca="1">IFERROR(__xludf.DUMMYFUNCTION("IMPORTRANGE(H31602,""IDENTITAS UNIT!D9"")"),"#N/A")</f>
        <v>#N/A</v>
      </c>
      <c r="H31602" s="4" t="str">
        <v/>
      </c>
      <c r="I31602" s="4" t="str">
        <v/>
      </c>
    </row>
    <row r="31603" spans="5:9" ht="16.5" hidden="1">
      <c r="E31603" s="4" t="str">
        <v/>
      </c>
      <c r="F31603" s="102" t="str">
        <f ca="1">IFERROR(__xludf.DUMMYFUNCTION("IMPORTRANGE(H31603,""IDENTITAS UNIT!D9"")"),"#N/A")</f>
        <v>#N/A</v>
      </c>
      <c r="H31603" s="4" t="str">
        <v/>
      </c>
      <c r="I31603" s="4" t="str">
        <v/>
      </c>
    </row>
    <row r="31604" spans="5:9" ht="16.5" hidden="1">
      <c r="E31604" s="4" t="str">
        <v/>
      </c>
      <c r="F31604" s="102" t="str">
        <f ca="1">IFERROR(__xludf.DUMMYFUNCTION("IMPORTRANGE(H31604,""IDENTITAS UNIT!D9"")"),"#N/A")</f>
        <v>#N/A</v>
      </c>
      <c r="H31604" s="4" t="str">
        <v/>
      </c>
      <c r="I31604" s="4" t="str">
        <v/>
      </c>
    </row>
    <row r="31605" spans="5:9" ht="16.5" hidden="1">
      <c r="E31605" s="4" t="str">
        <v/>
      </c>
      <c r="F31605" s="102" t="str">
        <f ca="1">IFERROR(__xludf.DUMMYFUNCTION("IMPORTRANGE(H31605,""IDENTITAS UNIT!D9"")"),"#N/A")</f>
        <v>#N/A</v>
      </c>
      <c r="H31605" s="4" t="str">
        <v/>
      </c>
      <c r="I31605" s="4" t="str">
        <v/>
      </c>
    </row>
    <row r="31606" spans="5:9" ht="16.5" hidden="1">
      <c r="E31606" s="4" t="str">
        <v/>
      </c>
      <c r="F31606" s="102" t="str">
        <f ca="1">IFERROR(__xludf.DUMMYFUNCTION("IMPORTRANGE(H31606,""IDENTITAS UNIT!D9"")"),"#N/A")</f>
        <v>#N/A</v>
      </c>
      <c r="H31606" s="4" t="str">
        <v/>
      </c>
      <c r="I31606" s="4" t="str">
        <v/>
      </c>
    </row>
    <row r="31607" spans="5:9" ht="16.5" hidden="1">
      <c r="E31607" s="4" t="str">
        <v/>
      </c>
      <c r="F31607" s="102" t="str">
        <f ca="1">IFERROR(__xludf.DUMMYFUNCTION("IMPORTRANGE(H31607,""IDENTITAS UNIT!D9"")"),"#N/A")</f>
        <v>#N/A</v>
      </c>
      <c r="H31607" s="4" t="str">
        <v/>
      </c>
      <c r="I31607" s="4" t="str">
        <v/>
      </c>
    </row>
    <row r="31608" spans="5:9" ht="16.5" hidden="1">
      <c r="E31608" s="4" t="str">
        <v/>
      </c>
      <c r="F31608" s="102" t="str">
        <f ca="1">IFERROR(__xludf.DUMMYFUNCTION("IMPORTRANGE(H31608,""IDENTITAS UNIT!D9"")"),"#N/A")</f>
        <v>#N/A</v>
      </c>
      <c r="H31608" s="4" t="str">
        <v/>
      </c>
      <c r="I31608" s="4" t="str">
        <v/>
      </c>
    </row>
    <row r="31609" spans="5:9" ht="16.5" hidden="1">
      <c r="E31609" s="4" t="str">
        <v/>
      </c>
      <c r="F31609" s="102" t="str">
        <f ca="1">IFERROR(__xludf.DUMMYFUNCTION("IMPORTRANGE(H31609,""IDENTITAS UNIT!D9"")"),"#N/A")</f>
        <v>#N/A</v>
      </c>
      <c r="H31609" s="4" t="str">
        <v/>
      </c>
      <c r="I31609" s="4" t="str">
        <v/>
      </c>
    </row>
    <row r="31610" spans="5:9" ht="16.5" hidden="1">
      <c r="E31610" s="4" t="str">
        <v/>
      </c>
      <c r="F31610" s="102" t="str">
        <f ca="1">IFERROR(__xludf.DUMMYFUNCTION("IMPORTRANGE(H31610,""IDENTITAS UNIT!D9"")"),"#N/A")</f>
        <v>#N/A</v>
      </c>
      <c r="H31610" s="4" t="str">
        <v/>
      </c>
      <c r="I31610" s="4" t="str">
        <v/>
      </c>
    </row>
    <row r="31611" spans="5:9" ht="16.5" hidden="1">
      <c r="E31611" s="4" t="str">
        <v/>
      </c>
      <c r="F31611" s="102" t="str">
        <f ca="1">IFERROR(__xludf.DUMMYFUNCTION("IMPORTRANGE(H31611,""IDENTITAS UNIT!D9"")"),"#N/A")</f>
        <v>#N/A</v>
      </c>
      <c r="H31611" s="4" t="str">
        <v/>
      </c>
      <c r="I31611" s="4" t="str">
        <v/>
      </c>
    </row>
    <row r="31612" spans="5:9" ht="16.5" hidden="1">
      <c r="E31612" s="4" t="str">
        <v/>
      </c>
      <c r="F31612" s="102" t="str">
        <f ca="1">IFERROR(__xludf.DUMMYFUNCTION("IMPORTRANGE(H31612,""IDENTITAS UNIT!D9"")"),"#N/A")</f>
        <v>#N/A</v>
      </c>
      <c r="H31612" s="4" t="str">
        <v/>
      </c>
      <c r="I31612" s="4" t="str">
        <v/>
      </c>
    </row>
    <row r="31613" spans="5:9" ht="16.5" hidden="1">
      <c r="E31613" s="4" t="str">
        <v/>
      </c>
      <c r="F31613" s="102" t="str">
        <f ca="1">IFERROR(__xludf.DUMMYFUNCTION("IMPORTRANGE(H31613,""IDENTITAS UNIT!D9"")"),"#N/A")</f>
        <v>#N/A</v>
      </c>
      <c r="H31613" s="4" t="str">
        <v/>
      </c>
      <c r="I31613" s="4" t="str">
        <v/>
      </c>
    </row>
    <row r="31614" spans="5:9" ht="16.5" hidden="1">
      <c r="E31614" s="4" t="str">
        <v/>
      </c>
      <c r="F31614" s="102" t="str">
        <f ca="1">IFERROR(__xludf.DUMMYFUNCTION("IMPORTRANGE(H31614,""IDENTITAS UNIT!D9"")"),"#N/A")</f>
        <v>#N/A</v>
      </c>
      <c r="H31614" s="4" t="str">
        <v/>
      </c>
      <c r="I31614" s="4" t="str">
        <v/>
      </c>
    </row>
    <row r="31615" spans="5:9" ht="16.5" hidden="1">
      <c r="E31615" s="4" t="str">
        <v/>
      </c>
      <c r="F31615" s="102" t="str">
        <f ca="1">IFERROR(__xludf.DUMMYFUNCTION("IMPORTRANGE(H31615,""IDENTITAS UNIT!D9"")"),"#N/A")</f>
        <v>#N/A</v>
      </c>
      <c r="H31615" s="4" t="str">
        <v/>
      </c>
      <c r="I31615" s="4" t="str">
        <v/>
      </c>
    </row>
    <row r="31616" spans="5:9" ht="16.5" hidden="1">
      <c r="E31616" s="4" t="str">
        <v/>
      </c>
      <c r="F31616" s="102" t="str">
        <f ca="1">IFERROR(__xludf.DUMMYFUNCTION("IMPORTRANGE(H31616,""IDENTITAS UNIT!D9"")"),"#N/A")</f>
        <v>#N/A</v>
      </c>
      <c r="H31616" s="4" t="str">
        <v/>
      </c>
      <c r="I31616" s="4" t="str">
        <v/>
      </c>
    </row>
    <row r="31617" spans="5:9" ht="16.5" hidden="1">
      <c r="E31617" s="4" t="str">
        <v/>
      </c>
      <c r="F31617" s="102" t="str">
        <f ca="1">IFERROR(__xludf.DUMMYFUNCTION("IMPORTRANGE(H31617,""IDENTITAS UNIT!D9"")"),"#N/A")</f>
        <v>#N/A</v>
      </c>
      <c r="H31617" s="4" t="str">
        <v/>
      </c>
      <c r="I31617" s="4" t="str">
        <v/>
      </c>
    </row>
    <row r="31618" spans="5:9" ht="16.5" hidden="1">
      <c r="E31618" s="4" t="str">
        <v/>
      </c>
      <c r="F31618" s="102" t="str">
        <f ca="1">IFERROR(__xludf.DUMMYFUNCTION("IMPORTRANGE(H31618,""IDENTITAS UNIT!D9"")"),"#N/A")</f>
        <v>#N/A</v>
      </c>
      <c r="H31618" s="4" t="str">
        <v/>
      </c>
      <c r="I31618" s="4" t="str">
        <v/>
      </c>
    </row>
    <row r="31619" spans="5:9" ht="16.5" hidden="1">
      <c r="E31619" s="4" t="str">
        <v/>
      </c>
      <c r="F31619" s="102" t="str">
        <f ca="1">IFERROR(__xludf.DUMMYFUNCTION("IMPORTRANGE(H31619,""IDENTITAS UNIT!D9"")"),"#N/A")</f>
        <v>#N/A</v>
      </c>
      <c r="H31619" s="4" t="str">
        <v/>
      </c>
      <c r="I31619" s="4" t="str">
        <v/>
      </c>
    </row>
    <row r="31620" spans="5:9" ht="16.5" hidden="1">
      <c r="E31620" s="4" t="str">
        <v/>
      </c>
      <c r="F31620" s="102" t="str">
        <f ca="1">IFERROR(__xludf.DUMMYFUNCTION("IMPORTRANGE(H31620,""IDENTITAS UNIT!D9"")"),"#N/A")</f>
        <v>#N/A</v>
      </c>
      <c r="H31620" s="4" t="str">
        <v/>
      </c>
      <c r="I31620" s="4" t="str">
        <v/>
      </c>
    </row>
    <row r="31621" spans="5:9" ht="16.5" hidden="1">
      <c r="E31621" s="4" t="str">
        <v/>
      </c>
      <c r="F31621" s="102" t="str">
        <f ca="1">IFERROR(__xludf.DUMMYFUNCTION("IMPORTRANGE(H31621,""IDENTITAS UNIT!D9"")"),"#N/A")</f>
        <v>#N/A</v>
      </c>
      <c r="H31621" s="4" t="str">
        <v/>
      </c>
      <c r="I31621" s="4" t="str">
        <v/>
      </c>
    </row>
    <row r="31622" spans="5:9" ht="16.5" hidden="1">
      <c r="E31622" s="4" t="str">
        <v/>
      </c>
      <c r="F31622" s="102" t="str">
        <f ca="1">IFERROR(__xludf.DUMMYFUNCTION("IMPORTRANGE(H31622,""IDENTITAS UNIT!D9"")"),"#N/A")</f>
        <v>#N/A</v>
      </c>
      <c r="H31622" s="4" t="str">
        <v/>
      </c>
      <c r="I31622" s="4" t="str">
        <v/>
      </c>
    </row>
    <row r="31623" spans="5:9" ht="16.5" hidden="1">
      <c r="E31623" s="4" t="str">
        <v/>
      </c>
      <c r="F31623" s="102" t="str">
        <f ca="1">IFERROR(__xludf.DUMMYFUNCTION("IMPORTRANGE(H31623,""IDENTITAS UNIT!D9"")"),"#N/A")</f>
        <v>#N/A</v>
      </c>
      <c r="H31623" s="4" t="str">
        <v/>
      </c>
      <c r="I31623" s="4" t="str">
        <v/>
      </c>
    </row>
    <row r="31624" spans="5:9" ht="16.5" hidden="1">
      <c r="E31624" s="4" t="str">
        <v/>
      </c>
      <c r="F31624" s="102" t="str">
        <f ca="1">IFERROR(__xludf.DUMMYFUNCTION("IMPORTRANGE(H31624,""IDENTITAS UNIT!D9"")"),"#N/A")</f>
        <v>#N/A</v>
      </c>
      <c r="H31624" s="4" t="str">
        <v/>
      </c>
      <c r="I31624" s="4" t="str">
        <v/>
      </c>
    </row>
    <row r="31625" spans="5:9" ht="16.5" hidden="1">
      <c r="E31625" s="4" t="str">
        <v/>
      </c>
      <c r="F31625" s="102" t="str">
        <f ca="1">IFERROR(__xludf.DUMMYFUNCTION("IMPORTRANGE(H31625,""IDENTITAS UNIT!D9"")"),"#N/A")</f>
        <v>#N/A</v>
      </c>
      <c r="H31625" s="4" t="str">
        <v/>
      </c>
      <c r="I31625" s="4" t="str">
        <v/>
      </c>
    </row>
    <row r="31626" spans="5:9" ht="16.5" hidden="1">
      <c r="E31626" s="4" t="str">
        <v/>
      </c>
      <c r="F31626" s="102" t="str">
        <f ca="1">IFERROR(__xludf.DUMMYFUNCTION("IMPORTRANGE(H31626,""IDENTITAS UNIT!D9"")"),"#N/A")</f>
        <v>#N/A</v>
      </c>
      <c r="H31626" s="4" t="str">
        <v/>
      </c>
      <c r="I31626" s="4" t="str">
        <v/>
      </c>
    </row>
    <row r="31627" spans="5:9" ht="16.5" hidden="1">
      <c r="E31627" s="4" t="str">
        <v/>
      </c>
      <c r="F31627" s="102" t="str">
        <f ca="1">IFERROR(__xludf.DUMMYFUNCTION("IMPORTRANGE(H31627,""IDENTITAS UNIT!D9"")"),"#N/A")</f>
        <v>#N/A</v>
      </c>
      <c r="H31627" s="4" t="str">
        <v/>
      </c>
      <c r="I31627" s="4" t="str">
        <v/>
      </c>
    </row>
    <row r="31628" spans="5:9" ht="16.5" hidden="1">
      <c r="E31628" s="4" t="str">
        <v/>
      </c>
      <c r="F31628" s="102" t="str">
        <f ca="1">IFERROR(__xludf.DUMMYFUNCTION("IMPORTRANGE(H31628,""IDENTITAS UNIT!D9"")"),"#N/A")</f>
        <v>#N/A</v>
      </c>
      <c r="H31628" s="4" t="str">
        <v/>
      </c>
      <c r="I31628" s="4" t="str">
        <v/>
      </c>
    </row>
    <row r="31629" spans="5:9" ht="16.5" hidden="1">
      <c r="E31629" s="4" t="str">
        <v/>
      </c>
      <c r="F31629" s="102" t="str">
        <f ca="1">IFERROR(__xludf.DUMMYFUNCTION("IMPORTRANGE(H31629,""IDENTITAS UNIT!D9"")"),"#N/A")</f>
        <v>#N/A</v>
      </c>
      <c r="H31629" s="4" t="str">
        <v/>
      </c>
      <c r="I31629" s="4" t="str">
        <v/>
      </c>
    </row>
    <row r="31630" spans="5:9" ht="16.5" hidden="1">
      <c r="E31630" s="4" t="str">
        <v/>
      </c>
      <c r="F31630" s="102" t="str">
        <f ca="1">IFERROR(__xludf.DUMMYFUNCTION("IMPORTRANGE(H31630,""IDENTITAS UNIT!D9"")"),"#N/A")</f>
        <v>#N/A</v>
      </c>
      <c r="H31630" s="4" t="str">
        <v/>
      </c>
      <c r="I31630" s="4" t="str">
        <v/>
      </c>
    </row>
    <row r="31631" spans="5:9" ht="16.5" hidden="1">
      <c r="E31631" s="4" t="str">
        <v/>
      </c>
      <c r="F31631" s="102" t="str">
        <f ca="1">IFERROR(__xludf.DUMMYFUNCTION("IMPORTRANGE(H31631,""IDENTITAS UNIT!D9"")"),"#N/A")</f>
        <v>#N/A</v>
      </c>
      <c r="H31631" s="4" t="str">
        <v/>
      </c>
      <c r="I31631" s="4" t="str">
        <v/>
      </c>
    </row>
    <row r="31632" spans="5:9" ht="16.5" hidden="1">
      <c r="E31632" s="4" t="str">
        <v/>
      </c>
      <c r="F31632" s="102" t="str">
        <f ca="1">IFERROR(__xludf.DUMMYFUNCTION("IMPORTRANGE(H31632,""IDENTITAS UNIT!D9"")"),"#N/A")</f>
        <v>#N/A</v>
      </c>
      <c r="H31632" s="4" t="str">
        <v/>
      </c>
      <c r="I31632" s="4" t="str">
        <v/>
      </c>
    </row>
    <row r="31633" spans="5:9" ht="16.5" hidden="1">
      <c r="E31633" s="4" t="str">
        <v/>
      </c>
      <c r="F31633" s="102" t="str">
        <f ca="1">IFERROR(__xludf.DUMMYFUNCTION("IMPORTRANGE(H31633,""IDENTITAS UNIT!D9"")"),"#N/A")</f>
        <v>#N/A</v>
      </c>
      <c r="H31633" s="4" t="str">
        <v/>
      </c>
      <c r="I31633" s="4" t="str">
        <v/>
      </c>
    </row>
    <row r="31634" spans="5:9" ht="16.5" hidden="1">
      <c r="E31634" s="4" t="str">
        <v/>
      </c>
      <c r="F31634" s="102" t="str">
        <f ca="1">IFERROR(__xludf.DUMMYFUNCTION("IMPORTRANGE(H31634,""IDENTITAS UNIT!D9"")"),"#N/A")</f>
        <v>#N/A</v>
      </c>
      <c r="H31634" s="4" t="str">
        <v/>
      </c>
      <c r="I31634" s="4" t="str">
        <v/>
      </c>
    </row>
    <row r="31635" spans="5:9" ht="16.5" hidden="1">
      <c r="E31635" s="4" t="str">
        <v/>
      </c>
      <c r="F31635" s="102" t="str">
        <f ca="1">IFERROR(__xludf.DUMMYFUNCTION("IMPORTRANGE(H31635,""IDENTITAS UNIT!D9"")"),"#N/A")</f>
        <v>#N/A</v>
      </c>
      <c r="H31635" s="4" t="str">
        <v/>
      </c>
      <c r="I31635" s="4" t="str">
        <v/>
      </c>
    </row>
    <row r="31636" spans="5:9" ht="16.5" hidden="1">
      <c r="E31636" s="4" t="str">
        <v/>
      </c>
      <c r="F31636" s="102" t="str">
        <f ca="1">IFERROR(__xludf.DUMMYFUNCTION("IMPORTRANGE(H31636,""IDENTITAS UNIT!D9"")"),"#N/A")</f>
        <v>#N/A</v>
      </c>
      <c r="H31636" s="4" t="str">
        <v/>
      </c>
      <c r="I31636" s="4" t="str">
        <v/>
      </c>
    </row>
    <row r="31637" spans="5:9" ht="16.5" hidden="1">
      <c r="E31637" s="4" t="str">
        <v/>
      </c>
      <c r="F31637" s="102" t="str">
        <f ca="1">IFERROR(__xludf.DUMMYFUNCTION("IMPORTRANGE(H31637,""IDENTITAS UNIT!D9"")"),"#N/A")</f>
        <v>#N/A</v>
      </c>
      <c r="H31637" s="4" t="str">
        <v/>
      </c>
      <c r="I31637" s="4" t="str">
        <v/>
      </c>
    </row>
    <row r="31638" spans="5:9" ht="16.5" hidden="1">
      <c r="E31638" s="4" t="str">
        <v/>
      </c>
      <c r="F31638" s="102" t="str">
        <f ca="1">IFERROR(__xludf.DUMMYFUNCTION("IMPORTRANGE(H31638,""IDENTITAS UNIT!D9"")"),"#N/A")</f>
        <v>#N/A</v>
      </c>
      <c r="H31638" s="4" t="str">
        <v/>
      </c>
      <c r="I31638" s="4" t="str">
        <v/>
      </c>
    </row>
    <row r="31639" spans="5:9" ht="16.5" hidden="1">
      <c r="E31639" s="4" t="str">
        <v/>
      </c>
      <c r="F31639" s="102" t="str">
        <f ca="1">IFERROR(__xludf.DUMMYFUNCTION("IMPORTRANGE(H31639,""IDENTITAS UNIT!D9"")"),"#N/A")</f>
        <v>#N/A</v>
      </c>
      <c r="H31639" s="4" t="str">
        <v/>
      </c>
      <c r="I31639" s="4" t="str">
        <v/>
      </c>
    </row>
    <row r="31640" spans="5:9" ht="16.5" hidden="1">
      <c r="E31640" s="4" t="str">
        <v/>
      </c>
      <c r="F31640" s="102" t="str">
        <f ca="1">IFERROR(__xludf.DUMMYFUNCTION("IMPORTRANGE(H31640,""IDENTITAS UNIT!D9"")"),"#N/A")</f>
        <v>#N/A</v>
      </c>
      <c r="H31640" s="4" t="str">
        <v/>
      </c>
      <c r="I31640" s="4" t="str">
        <v/>
      </c>
    </row>
    <row r="31641" spans="5:9" ht="16.5" hidden="1">
      <c r="E31641" s="4" t="str">
        <v/>
      </c>
      <c r="F31641" s="102" t="str">
        <f ca="1">IFERROR(__xludf.DUMMYFUNCTION("IMPORTRANGE(H31641,""IDENTITAS UNIT!D9"")"),"#N/A")</f>
        <v>#N/A</v>
      </c>
      <c r="H31641" s="4" t="str">
        <v/>
      </c>
      <c r="I31641" s="4" t="str">
        <v/>
      </c>
    </row>
    <row r="31642" spans="5:9" ht="16.5" hidden="1">
      <c r="E31642" s="4" t="str">
        <v/>
      </c>
      <c r="F31642" s="102" t="str">
        <f ca="1">IFERROR(__xludf.DUMMYFUNCTION("IMPORTRANGE(H31642,""IDENTITAS UNIT!D9"")"),"#N/A")</f>
        <v>#N/A</v>
      </c>
      <c r="H31642" s="4" t="str">
        <v/>
      </c>
      <c r="I31642" s="4" t="str">
        <v/>
      </c>
    </row>
    <row r="31643" spans="5:9" ht="16.5" hidden="1">
      <c r="E31643" s="4" t="str">
        <v/>
      </c>
      <c r="F31643" s="102" t="str">
        <f ca="1">IFERROR(__xludf.DUMMYFUNCTION("IMPORTRANGE(H31643,""IDENTITAS UNIT!D9"")"),"#N/A")</f>
        <v>#N/A</v>
      </c>
      <c r="H31643" s="4" t="str">
        <v/>
      </c>
      <c r="I31643" s="4" t="str">
        <v/>
      </c>
    </row>
    <row r="31644" spans="5:9" ht="16.5" hidden="1">
      <c r="E31644" s="4" t="str">
        <v/>
      </c>
      <c r="F31644" s="102" t="str">
        <f ca="1">IFERROR(__xludf.DUMMYFUNCTION("IMPORTRANGE(H31644,""IDENTITAS UNIT!D9"")"),"#N/A")</f>
        <v>#N/A</v>
      </c>
      <c r="H31644" s="4" t="str">
        <v/>
      </c>
      <c r="I31644" s="4" t="str">
        <v/>
      </c>
    </row>
    <row r="31645" spans="5:9" ht="16.5" hidden="1">
      <c r="E31645" s="4" t="str">
        <v/>
      </c>
      <c r="F31645" s="102" t="str">
        <f ca="1">IFERROR(__xludf.DUMMYFUNCTION("IMPORTRANGE(H31645,""IDENTITAS UNIT!D9"")"),"#N/A")</f>
        <v>#N/A</v>
      </c>
      <c r="H31645" s="4" t="str">
        <v/>
      </c>
      <c r="I31645" s="4" t="str">
        <v/>
      </c>
    </row>
    <row r="31646" spans="5:9" ht="16.5" hidden="1">
      <c r="E31646" s="4" t="str">
        <v/>
      </c>
      <c r="F31646" s="102" t="str">
        <f ca="1">IFERROR(__xludf.DUMMYFUNCTION("IMPORTRANGE(H31646,""IDENTITAS UNIT!D9"")"),"#N/A")</f>
        <v>#N/A</v>
      </c>
      <c r="H31646" s="4" t="str">
        <v/>
      </c>
      <c r="I31646" s="4" t="str">
        <v/>
      </c>
    </row>
    <row r="31647" spans="5:9" ht="16.5" hidden="1">
      <c r="E31647" s="4" t="str">
        <v/>
      </c>
      <c r="F31647" s="102" t="str">
        <f ca="1">IFERROR(__xludf.DUMMYFUNCTION("IMPORTRANGE(H31647,""IDENTITAS UNIT!D9"")"),"#N/A")</f>
        <v>#N/A</v>
      </c>
      <c r="H31647" s="4" t="str">
        <v/>
      </c>
      <c r="I31647" s="4" t="str">
        <v/>
      </c>
    </row>
    <row r="31648" spans="5:9" ht="16.5" hidden="1">
      <c r="E31648" s="4" t="str">
        <v/>
      </c>
      <c r="F31648" s="102" t="str">
        <f ca="1">IFERROR(__xludf.DUMMYFUNCTION("IMPORTRANGE(H31648,""IDENTITAS UNIT!D9"")"),"#N/A")</f>
        <v>#N/A</v>
      </c>
      <c r="H31648" s="4" t="str">
        <v/>
      </c>
      <c r="I31648" s="4" t="str">
        <v/>
      </c>
    </row>
    <row r="31649" spans="5:9" ht="16.5" hidden="1">
      <c r="E31649" s="4" t="str">
        <v/>
      </c>
      <c r="F31649" s="102" t="str">
        <f ca="1">IFERROR(__xludf.DUMMYFUNCTION("IMPORTRANGE(H31649,""IDENTITAS UNIT!D9"")"),"#N/A")</f>
        <v>#N/A</v>
      </c>
      <c r="H31649" s="4" t="str">
        <v/>
      </c>
      <c r="I31649" s="4" t="str">
        <v/>
      </c>
    </row>
    <row r="31650" spans="5:9" ht="16.5" hidden="1">
      <c r="E31650" s="4" t="str">
        <v/>
      </c>
      <c r="F31650" s="102" t="str">
        <f ca="1">IFERROR(__xludf.DUMMYFUNCTION("IMPORTRANGE(H31650,""IDENTITAS UNIT!D9"")"),"#N/A")</f>
        <v>#N/A</v>
      </c>
      <c r="H31650" s="4" t="str">
        <v/>
      </c>
      <c r="I31650" s="4" t="str">
        <v/>
      </c>
    </row>
    <row r="31651" spans="5:9" ht="16.5" hidden="1">
      <c r="E31651" s="4" t="str">
        <v/>
      </c>
      <c r="F31651" s="102" t="str">
        <f ca="1">IFERROR(__xludf.DUMMYFUNCTION("IMPORTRANGE(H31651,""IDENTITAS UNIT!D9"")"),"#N/A")</f>
        <v>#N/A</v>
      </c>
      <c r="H31651" s="4" t="str">
        <v/>
      </c>
      <c r="I31651" s="4" t="str">
        <v/>
      </c>
    </row>
    <row r="31652" spans="5:9" ht="16.5" hidden="1">
      <c r="E31652" s="4" t="str">
        <v/>
      </c>
      <c r="F31652" s="102" t="str">
        <f ca="1">IFERROR(__xludf.DUMMYFUNCTION("IMPORTRANGE(H31652,""IDENTITAS UNIT!D9"")"),"#N/A")</f>
        <v>#N/A</v>
      </c>
      <c r="H31652" s="4" t="str">
        <v/>
      </c>
      <c r="I31652" s="4" t="str">
        <v/>
      </c>
    </row>
    <row r="31653" spans="5:9" ht="16.5" hidden="1">
      <c r="E31653" s="4" t="str">
        <v/>
      </c>
      <c r="F31653" s="102" t="str">
        <f ca="1">IFERROR(__xludf.DUMMYFUNCTION("IMPORTRANGE(H31653,""IDENTITAS UNIT!D9"")"),"#N/A")</f>
        <v>#N/A</v>
      </c>
      <c r="H31653" s="4" t="str">
        <v/>
      </c>
      <c r="I31653" s="4" t="str">
        <v/>
      </c>
    </row>
    <row r="31654" spans="5:9" ht="16.5" hidden="1">
      <c r="E31654" s="4" t="str">
        <v/>
      </c>
      <c r="F31654" s="102" t="str">
        <f ca="1">IFERROR(__xludf.DUMMYFUNCTION("IMPORTRANGE(H31654,""IDENTITAS UNIT!D9"")"),"#N/A")</f>
        <v>#N/A</v>
      </c>
      <c r="H31654" s="4" t="str">
        <v/>
      </c>
      <c r="I31654" s="4" t="str">
        <v/>
      </c>
    </row>
    <row r="31655" spans="5:9" ht="16.5" hidden="1">
      <c r="E31655" s="4" t="str">
        <v/>
      </c>
      <c r="F31655" s="102" t="str">
        <f ca="1">IFERROR(__xludf.DUMMYFUNCTION("IMPORTRANGE(H31655,""IDENTITAS UNIT!D9"")"),"#N/A")</f>
        <v>#N/A</v>
      </c>
      <c r="H31655" s="4" t="str">
        <v/>
      </c>
      <c r="I31655" s="4" t="str">
        <v/>
      </c>
    </row>
    <row r="31656" spans="5:9" ht="16.5" hidden="1">
      <c r="E31656" s="4" t="str">
        <v/>
      </c>
      <c r="F31656" s="102" t="str">
        <f ca="1">IFERROR(__xludf.DUMMYFUNCTION("IMPORTRANGE(H31656,""IDENTITAS UNIT!D9"")"),"#N/A")</f>
        <v>#N/A</v>
      </c>
      <c r="H31656" s="4" t="str">
        <v/>
      </c>
      <c r="I31656" s="4" t="str">
        <v/>
      </c>
    </row>
    <row r="31657" spans="5:9" ht="16.5" hidden="1">
      <c r="E31657" s="4" t="str">
        <v/>
      </c>
      <c r="F31657" s="102" t="str">
        <f ca="1">IFERROR(__xludf.DUMMYFUNCTION("IMPORTRANGE(H31657,""IDENTITAS UNIT!D9"")"),"#N/A")</f>
        <v>#N/A</v>
      </c>
      <c r="H31657" s="4" t="str">
        <v/>
      </c>
      <c r="I31657" s="4" t="str">
        <v/>
      </c>
    </row>
    <row r="31658" spans="5:9" ht="16.5" hidden="1">
      <c r="E31658" s="4" t="str">
        <v/>
      </c>
      <c r="F31658" s="102" t="str">
        <f ca="1">IFERROR(__xludf.DUMMYFUNCTION("IMPORTRANGE(H31658,""IDENTITAS UNIT!D9"")"),"#N/A")</f>
        <v>#N/A</v>
      </c>
      <c r="H31658" s="4" t="str">
        <v/>
      </c>
      <c r="I31658" s="4" t="str">
        <v/>
      </c>
    </row>
    <row r="31659" spans="5:9" ht="16.5" hidden="1">
      <c r="E31659" s="4" t="str">
        <v/>
      </c>
      <c r="F31659" s="102" t="str">
        <f ca="1">IFERROR(__xludf.DUMMYFUNCTION("IMPORTRANGE(H31659,""IDENTITAS UNIT!D9"")"),"#N/A")</f>
        <v>#N/A</v>
      </c>
      <c r="H31659" s="4" t="str">
        <v/>
      </c>
      <c r="I31659" s="4" t="str">
        <v/>
      </c>
    </row>
    <row r="31660" spans="5:9" ht="16.5" hidden="1">
      <c r="E31660" s="4" t="str">
        <v/>
      </c>
      <c r="F31660" s="102" t="str">
        <f ca="1">IFERROR(__xludf.DUMMYFUNCTION("IMPORTRANGE(H31660,""IDENTITAS UNIT!D9"")"),"#N/A")</f>
        <v>#N/A</v>
      </c>
      <c r="H31660" s="4" t="str">
        <v/>
      </c>
      <c r="I31660" s="4" t="str">
        <v/>
      </c>
    </row>
    <row r="31661" spans="5:9" ht="16.5" hidden="1">
      <c r="E31661" s="4" t="str">
        <v/>
      </c>
      <c r="F31661" s="102" t="str">
        <f ca="1">IFERROR(__xludf.DUMMYFUNCTION("IMPORTRANGE(H31661,""IDENTITAS UNIT!D9"")"),"#N/A")</f>
        <v>#N/A</v>
      </c>
      <c r="H31661" s="4" t="str">
        <v/>
      </c>
      <c r="I31661" s="4" t="str">
        <v/>
      </c>
    </row>
    <row r="31662" spans="5:9" ht="16.5" hidden="1">
      <c r="E31662" s="4" t="str">
        <v/>
      </c>
      <c r="F31662" s="102" t="str">
        <f ca="1">IFERROR(__xludf.DUMMYFUNCTION("IMPORTRANGE(H31662,""IDENTITAS UNIT!D9"")"),"#N/A")</f>
        <v>#N/A</v>
      </c>
      <c r="H31662" s="4" t="str">
        <v/>
      </c>
      <c r="I31662" s="4" t="str">
        <v/>
      </c>
    </row>
    <row r="31663" spans="5:9" ht="16.5" hidden="1">
      <c r="E31663" s="4" t="str">
        <v/>
      </c>
      <c r="F31663" s="102" t="str">
        <f ca="1">IFERROR(__xludf.DUMMYFUNCTION("IMPORTRANGE(H31663,""IDENTITAS UNIT!D9"")"),"#N/A")</f>
        <v>#N/A</v>
      </c>
      <c r="H31663" s="4" t="str">
        <v/>
      </c>
      <c r="I31663" s="4" t="str">
        <v/>
      </c>
    </row>
    <row r="31664" spans="5:9" ht="16.5" hidden="1">
      <c r="E31664" s="4" t="str">
        <v/>
      </c>
      <c r="F31664" s="102" t="str">
        <f ca="1">IFERROR(__xludf.DUMMYFUNCTION("IMPORTRANGE(H31664,""IDENTITAS UNIT!D9"")"),"#N/A")</f>
        <v>#N/A</v>
      </c>
      <c r="H31664" s="4" t="str">
        <v/>
      </c>
      <c r="I31664" s="4" t="str">
        <v/>
      </c>
    </row>
    <row r="31665" spans="5:9" ht="16.5" hidden="1">
      <c r="E31665" s="4" t="str">
        <v/>
      </c>
      <c r="F31665" s="102" t="str">
        <f ca="1">IFERROR(__xludf.DUMMYFUNCTION("IMPORTRANGE(H31665,""IDENTITAS UNIT!D9"")"),"#N/A")</f>
        <v>#N/A</v>
      </c>
      <c r="H31665" s="4" t="str">
        <v/>
      </c>
      <c r="I31665" s="4" t="str">
        <v/>
      </c>
    </row>
    <row r="31666" spans="5:9" ht="16.5" hidden="1">
      <c r="E31666" s="4" t="str">
        <v/>
      </c>
      <c r="F31666" s="102" t="str">
        <f ca="1">IFERROR(__xludf.DUMMYFUNCTION("IMPORTRANGE(H31666,""IDENTITAS UNIT!D9"")"),"#N/A")</f>
        <v>#N/A</v>
      </c>
      <c r="H31666" s="4" t="str">
        <v/>
      </c>
      <c r="I31666" s="4" t="str">
        <v/>
      </c>
    </row>
    <row r="31667" spans="5:9" ht="16.5" hidden="1">
      <c r="E31667" s="4" t="str">
        <v/>
      </c>
      <c r="F31667" s="102" t="str">
        <f ca="1">IFERROR(__xludf.DUMMYFUNCTION("IMPORTRANGE(H31667,""IDENTITAS UNIT!D9"")"),"#N/A")</f>
        <v>#N/A</v>
      </c>
      <c r="H31667" s="4" t="str">
        <v/>
      </c>
      <c r="I31667" s="4" t="str">
        <v/>
      </c>
    </row>
    <row r="31668" spans="5:9" ht="16.5" hidden="1">
      <c r="E31668" s="4" t="str">
        <v/>
      </c>
      <c r="F31668" s="102" t="str">
        <f ca="1">IFERROR(__xludf.DUMMYFUNCTION("IMPORTRANGE(H31668,""IDENTITAS UNIT!D9"")"),"#N/A")</f>
        <v>#N/A</v>
      </c>
      <c r="H31668" s="4" t="str">
        <v/>
      </c>
      <c r="I31668" s="4" t="str">
        <v/>
      </c>
    </row>
    <row r="31669" spans="5:9" ht="16.5" hidden="1">
      <c r="E31669" s="4" t="str">
        <v/>
      </c>
      <c r="F31669" s="102" t="str">
        <f ca="1">IFERROR(__xludf.DUMMYFUNCTION("IMPORTRANGE(H31669,""IDENTITAS UNIT!D9"")"),"#N/A")</f>
        <v>#N/A</v>
      </c>
      <c r="H31669" s="4" t="str">
        <v/>
      </c>
      <c r="I31669" s="4" t="str">
        <v/>
      </c>
    </row>
    <row r="31670" spans="5:9" ht="16.5" hidden="1">
      <c r="E31670" s="4" t="str">
        <v/>
      </c>
      <c r="F31670" s="102" t="str">
        <f ca="1">IFERROR(__xludf.DUMMYFUNCTION("IMPORTRANGE(H31670,""IDENTITAS UNIT!D9"")"),"#N/A")</f>
        <v>#N/A</v>
      </c>
      <c r="H31670" s="4" t="str">
        <v/>
      </c>
      <c r="I31670" s="4" t="str">
        <v/>
      </c>
    </row>
    <row r="31671" spans="5:9" ht="16.5" hidden="1">
      <c r="E31671" s="4" t="str">
        <v/>
      </c>
      <c r="F31671" s="102" t="str">
        <f ca="1">IFERROR(__xludf.DUMMYFUNCTION("IMPORTRANGE(H31671,""IDENTITAS UNIT!D9"")"),"#N/A")</f>
        <v>#N/A</v>
      </c>
      <c r="H31671" s="4" t="str">
        <v/>
      </c>
      <c r="I31671" s="4" t="str">
        <v/>
      </c>
    </row>
    <row r="31672" spans="5:9" ht="16.5" hidden="1">
      <c r="E31672" s="4" t="str">
        <v/>
      </c>
      <c r="F31672" s="102" t="str">
        <f ca="1">IFERROR(__xludf.DUMMYFUNCTION("IMPORTRANGE(H31672,""IDENTITAS UNIT!D9"")"),"#N/A")</f>
        <v>#N/A</v>
      </c>
      <c r="H31672" s="4" t="str">
        <v/>
      </c>
      <c r="I31672" s="4" t="str">
        <v/>
      </c>
    </row>
    <row r="31673" spans="5:9" ht="16.5" hidden="1">
      <c r="E31673" s="4" t="str">
        <v/>
      </c>
      <c r="F31673" s="102" t="str">
        <f ca="1">IFERROR(__xludf.DUMMYFUNCTION("IMPORTRANGE(H31673,""IDENTITAS UNIT!D9"")"),"#N/A")</f>
        <v>#N/A</v>
      </c>
      <c r="H31673" s="4" t="str">
        <v/>
      </c>
      <c r="I31673" s="4" t="str">
        <v/>
      </c>
    </row>
    <row r="31674" spans="5:9" ht="16.5" hidden="1">
      <c r="E31674" s="4" t="str">
        <v/>
      </c>
      <c r="F31674" s="102" t="str">
        <f ca="1">IFERROR(__xludf.DUMMYFUNCTION("IMPORTRANGE(H31674,""IDENTITAS UNIT!D9"")"),"#N/A")</f>
        <v>#N/A</v>
      </c>
      <c r="H31674" s="4" t="str">
        <v/>
      </c>
      <c r="I31674" s="4" t="str">
        <v/>
      </c>
    </row>
    <row r="31675" spans="5:9" ht="16.5" hidden="1">
      <c r="E31675" s="4" t="str">
        <v/>
      </c>
      <c r="F31675" s="102" t="str">
        <f ca="1">IFERROR(__xludf.DUMMYFUNCTION("IMPORTRANGE(H31675,""IDENTITAS UNIT!D9"")"),"#N/A")</f>
        <v>#N/A</v>
      </c>
      <c r="H31675" s="4" t="str">
        <v/>
      </c>
      <c r="I31675" s="4" t="str">
        <v/>
      </c>
    </row>
    <row r="31676" spans="5:9" ht="16.5" hidden="1">
      <c r="E31676" s="4" t="str">
        <v/>
      </c>
      <c r="F31676" s="102" t="str">
        <f ca="1">IFERROR(__xludf.DUMMYFUNCTION("IMPORTRANGE(H31676,""IDENTITAS UNIT!D9"")"),"#N/A")</f>
        <v>#N/A</v>
      </c>
      <c r="H31676" s="4" t="str">
        <v/>
      </c>
      <c r="I31676" s="4" t="str">
        <v/>
      </c>
    </row>
    <row r="31677" spans="5:9" ht="16.5" hidden="1">
      <c r="E31677" s="4" t="str">
        <v/>
      </c>
      <c r="F31677" s="102" t="str">
        <f ca="1">IFERROR(__xludf.DUMMYFUNCTION("IMPORTRANGE(H31677,""IDENTITAS UNIT!D9"")"),"#N/A")</f>
        <v>#N/A</v>
      </c>
      <c r="H31677" s="4" t="str">
        <v/>
      </c>
      <c r="I31677" s="4" t="str">
        <v/>
      </c>
    </row>
    <row r="31678" spans="5:9" ht="16.5" hidden="1">
      <c r="E31678" s="4" t="str">
        <v/>
      </c>
      <c r="F31678" s="102" t="str">
        <f ca="1">IFERROR(__xludf.DUMMYFUNCTION("IMPORTRANGE(H31678,""IDENTITAS UNIT!D9"")"),"#N/A")</f>
        <v>#N/A</v>
      </c>
      <c r="H31678" s="4" t="str">
        <v/>
      </c>
      <c r="I31678" s="4" t="str">
        <v/>
      </c>
    </row>
    <row r="31679" spans="5:9" ht="16.5" hidden="1">
      <c r="E31679" s="4" t="str">
        <v/>
      </c>
      <c r="F31679" s="102" t="str">
        <f ca="1">IFERROR(__xludf.DUMMYFUNCTION("IMPORTRANGE(H31679,""IDENTITAS UNIT!D9"")"),"#N/A")</f>
        <v>#N/A</v>
      </c>
      <c r="H31679" s="4" t="str">
        <v/>
      </c>
      <c r="I31679" s="4" t="str">
        <v/>
      </c>
    </row>
    <row r="31680" spans="5:9" ht="16.5" hidden="1">
      <c r="E31680" s="4" t="str">
        <v/>
      </c>
      <c r="F31680" s="102" t="str">
        <f ca="1">IFERROR(__xludf.DUMMYFUNCTION("IMPORTRANGE(H31680,""IDENTITAS UNIT!D9"")"),"#N/A")</f>
        <v>#N/A</v>
      </c>
      <c r="H31680" s="4" t="str">
        <v/>
      </c>
      <c r="I31680" s="4" t="str">
        <v/>
      </c>
    </row>
    <row r="31681" spans="5:9" ht="16.5" hidden="1">
      <c r="E31681" s="4" t="str">
        <v/>
      </c>
      <c r="F31681" s="102" t="str">
        <f ca="1">IFERROR(__xludf.DUMMYFUNCTION("IMPORTRANGE(H31681,""IDENTITAS UNIT!D9"")"),"#N/A")</f>
        <v>#N/A</v>
      </c>
      <c r="H31681" s="4" t="str">
        <v/>
      </c>
      <c r="I31681" s="4" t="str">
        <v/>
      </c>
    </row>
    <row r="31682" spans="5:9" ht="16.5" hidden="1">
      <c r="E31682" s="4" t="str">
        <v/>
      </c>
      <c r="F31682" s="102" t="str">
        <f ca="1">IFERROR(__xludf.DUMMYFUNCTION("IMPORTRANGE(H31682,""IDENTITAS UNIT!D9"")"),"#N/A")</f>
        <v>#N/A</v>
      </c>
      <c r="H31682" s="4" t="str">
        <v/>
      </c>
      <c r="I31682" s="4" t="str">
        <v/>
      </c>
    </row>
    <row r="31683" spans="5:9" ht="16.5" hidden="1">
      <c r="E31683" s="4" t="str">
        <v/>
      </c>
      <c r="F31683" s="102" t="str">
        <f ca="1">IFERROR(__xludf.DUMMYFUNCTION("IMPORTRANGE(H31683,""IDENTITAS UNIT!D9"")"),"#N/A")</f>
        <v>#N/A</v>
      </c>
      <c r="H31683" s="4" t="str">
        <v/>
      </c>
      <c r="I31683" s="4" t="str">
        <v/>
      </c>
    </row>
    <row r="31684" spans="5:9" ht="16.5" hidden="1">
      <c r="E31684" s="4" t="str">
        <v/>
      </c>
      <c r="F31684" s="102" t="str">
        <f ca="1">IFERROR(__xludf.DUMMYFUNCTION("IMPORTRANGE(H31684,""IDENTITAS UNIT!D9"")"),"#N/A")</f>
        <v>#N/A</v>
      </c>
      <c r="H31684" s="4" t="str">
        <v/>
      </c>
      <c r="I31684" s="4" t="str">
        <v/>
      </c>
    </row>
    <row r="31685" spans="5:9" ht="16.5" hidden="1">
      <c r="E31685" s="4" t="str">
        <v/>
      </c>
      <c r="F31685" s="102" t="str">
        <f ca="1">IFERROR(__xludf.DUMMYFUNCTION("IMPORTRANGE(H31685,""IDENTITAS UNIT!D9"")"),"#N/A")</f>
        <v>#N/A</v>
      </c>
      <c r="H31685" s="4" t="str">
        <v/>
      </c>
      <c r="I31685" s="4" t="str">
        <v/>
      </c>
    </row>
    <row r="31686" spans="5:9" ht="16.5" hidden="1">
      <c r="E31686" s="4" t="str">
        <v/>
      </c>
      <c r="F31686" s="102" t="str">
        <f ca="1">IFERROR(__xludf.DUMMYFUNCTION("IMPORTRANGE(H31686,""IDENTITAS UNIT!D9"")"),"#N/A")</f>
        <v>#N/A</v>
      </c>
      <c r="H31686" s="4" t="str">
        <v/>
      </c>
      <c r="I31686" s="4" t="str">
        <v/>
      </c>
    </row>
    <row r="31687" spans="5:9" ht="16.5" hidden="1">
      <c r="E31687" s="4" t="str">
        <v/>
      </c>
      <c r="F31687" s="102" t="str">
        <f ca="1">IFERROR(__xludf.DUMMYFUNCTION("IMPORTRANGE(H31687,""IDENTITAS UNIT!D9"")"),"#N/A")</f>
        <v>#N/A</v>
      </c>
      <c r="H31687" s="4" t="str">
        <v/>
      </c>
      <c r="I31687" s="4" t="str">
        <v/>
      </c>
    </row>
    <row r="31688" spans="5:9" ht="16.5" hidden="1">
      <c r="E31688" s="4" t="str">
        <v/>
      </c>
      <c r="F31688" s="102" t="str">
        <f ca="1">IFERROR(__xludf.DUMMYFUNCTION("IMPORTRANGE(H31688,""IDENTITAS UNIT!D9"")"),"#N/A")</f>
        <v>#N/A</v>
      </c>
      <c r="H31688" s="4" t="str">
        <v/>
      </c>
      <c r="I31688" s="4" t="str">
        <v/>
      </c>
    </row>
    <row r="31689" spans="5:9" ht="16.5" hidden="1">
      <c r="E31689" s="4" t="str">
        <v/>
      </c>
      <c r="F31689" s="102" t="str">
        <f ca="1">IFERROR(__xludf.DUMMYFUNCTION("IMPORTRANGE(H31689,""IDENTITAS UNIT!D9"")"),"#N/A")</f>
        <v>#N/A</v>
      </c>
      <c r="H31689" s="4" t="str">
        <v/>
      </c>
      <c r="I31689" s="4" t="str">
        <v/>
      </c>
    </row>
    <row r="31690" spans="5:9" ht="16.5" hidden="1">
      <c r="E31690" s="4" t="str">
        <v/>
      </c>
      <c r="F31690" s="102" t="str">
        <f ca="1">IFERROR(__xludf.DUMMYFUNCTION("IMPORTRANGE(H31690,""IDENTITAS UNIT!D9"")"),"#N/A")</f>
        <v>#N/A</v>
      </c>
      <c r="H31690" s="4" t="str">
        <v/>
      </c>
      <c r="I31690" s="4" t="str">
        <v/>
      </c>
    </row>
    <row r="31691" spans="5:9" ht="16.5" hidden="1">
      <c r="E31691" s="4" t="str">
        <v/>
      </c>
      <c r="F31691" s="102" t="str">
        <f ca="1">IFERROR(__xludf.DUMMYFUNCTION("IMPORTRANGE(H31691,""IDENTITAS UNIT!D9"")"),"#N/A")</f>
        <v>#N/A</v>
      </c>
      <c r="H31691" s="4" t="str">
        <v/>
      </c>
      <c r="I31691" s="4" t="str">
        <v/>
      </c>
    </row>
    <row r="31692" spans="5:9" ht="16.5" hidden="1">
      <c r="E31692" s="4" t="str">
        <v/>
      </c>
      <c r="F31692" s="102" t="str">
        <f ca="1">IFERROR(__xludf.DUMMYFUNCTION("IMPORTRANGE(H31692,""IDENTITAS UNIT!D9"")"),"#N/A")</f>
        <v>#N/A</v>
      </c>
      <c r="H31692" s="4" t="str">
        <v/>
      </c>
      <c r="I31692" s="4" t="str">
        <v/>
      </c>
    </row>
    <row r="31693" spans="5:9" ht="16.5" hidden="1">
      <c r="E31693" s="4" t="str">
        <v/>
      </c>
      <c r="F31693" s="102" t="str">
        <f ca="1">IFERROR(__xludf.DUMMYFUNCTION("IMPORTRANGE(H31693,""IDENTITAS UNIT!D9"")"),"#N/A")</f>
        <v>#N/A</v>
      </c>
      <c r="H31693" s="4" t="str">
        <v/>
      </c>
      <c r="I31693" s="4" t="str">
        <v/>
      </c>
    </row>
    <row r="31694" spans="5:9" ht="16.5" hidden="1">
      <c r="E31694" s="4" t="str">
        <v/>
      </c>
      <c r="F31694" s="102" t="str">
        <f ca="1">IFERROR(__xludf.DUMMYFUNCTION("IMPORTRANGE(H31694,""IDENTITAS UNIT!D9"")"),"#N/A")</f>
        <v>#N/A</v>
      </c>
      <c r="H31694" s="4" t="str">
        <v/>
      </c>
      <c r="I31694" s="4" t="str">
        <v/>
      </c>
    </row>
    <row r="31695" spans="5:9" ht="16.5" hidden="1">
      <c r="E31695" s="4" t="str">
        <v/>
      </c>
      <c r="F31695" s="102" t="str">
        <f ca="1">IFERROR(__xludf.DUMMYFUNCTION("IMPORTRANGE(H31695,""IDENTITAS UNIT!D9"")"),"#N/A")</f>
        <v>#N/A</v>
      </c>
      <c r="H31695" s="4" t="str">
        <v/>
      </c>
      <c r="I31695" s="4" t="str">
        <v/>
      </c>
    </row>
    <row r="31696" spans="5:9" ht="16.5" hidden="1">
      <c r="E31696" s="4" t="str">
        <v/>
      </c>
      <c r="F31696" s="102" t="str">
        <f ca="1">IFERROR(__xludf.DUMMYFUNCTION("IMPORTRANGE(H31696,""IDENTITAS UNIT!D9"")"),"#N/A")</f>
        <v>#N/A</v>
      </c>
      <c r="H31696" s="4" t="str">
        <v/>
      </c>
      <c r="I31696" s="4" t="str">
        <v/>
      </c>
    </row>
    <row r="31697" spans="5:9" ht="16.5" hidden="1">
      <c r="E31697" s="4" t="str">
        <v/>
      </c>
      <c r="F31697" s="102" t="str">
        <f ca="1">IFERROR(__xludf.DUMMYFUNCTION("IMPORTRANGE(H31697,""IDENTITAS UNIT!D9"")"),"#N/A")</f>
        <v>#N/A</v>
      </c>
      <c r="H31697" s="4" t="str">
        <v/>
      </c>
      <c r="I31697" s="4" t="str">
        <v/>
      </c>
    </row>
    <row r="31698" spans="5:9" ht="16.5" hidden="1">
      <c r="E31698" s="4" t="str">
        <v/>
      </c>
      <c r="F31698" s="102" t="str">
        <f ca="1">IFERROR(__xludf.DUMMYFUNCTION("IMPORTRANGE(H31698,""IDENTITAS UNIT!D9"")"),"#N/A")</f>
        <v>#N/A</v>
      </c>
      <c r="H31698" s="4" t="str">
        <v/>
      </c>
      <c r="I31698" s="4" t="str">
        <v/>
      </c>
    </row>
    <row r="31699" spans="5:9" ht="16.5" hidden="1">
      <c r="E31699" s="4" t="str">
        <v/>
      </c>
      <c r="F31699" s="102" t="str">
        <f ca="1">IFERROR(__xludf.DUMMYFUNCTION("IMPORTRANGE(H31699,""IDENTITAS UNIT!D9"")"),"#N/A")</f>
        <v>#N/A</v>
      </c>
      <c r="H31699" s="4" t="str">
        <v/>
      </c>
      <c r="I31699" s="4" t="str">
        <v/>
      </c>
    </row>
    <row r="31700" spans="5:9" ht="16.5" hidden="1">
      <c r="E31700" s="4" t="str">
        <v/>
      </c>
      <c r="F31700" s="102" t="str">
        <f ca="1">IFERROR(__xludf.DUMMYFUNCTION("IMPORTRANGE(H31700,""IDENTITAS UNIT!D9"")"),"#N/A")</f>
        <v>#N/A</v>
      </c>
      <c r="H31700" s="4" t="str">
        <v/>
      </c>
      <c r="I31700" s="4" t="str">
        <v/>
      </c>
    </row>
    <row r="31701" spans="5:9" ht="16.5" hidden="1">
      <c r="E31701" s="4" t="str">
        <v/>
      </c>
      <c r="F31701" s="102" t="str">
        <f ca="1">IFERROR(__xludf.DUMMYFUNCTION("IMPORTRANGE(H31701,""IDENTITAS UNIT!D9"")"),"#N/A")</f>
        <v>#N/A</v>
      </c>
      <c r="H31701" s="4" t="str">
        <v/>
      </c>
      <c r="I31701" s="4" t="str">
        <v/>
      </c>
    </row>
    <row r="31702" spans="5:9" ht="16.5" hidden="1">
      <c r="E31702" s="4" t="str">
        <v/>
      </c>
      <c r="F31702" s="102" t="str">
        <f ca="1">IFERROR(__xludf.DUMMYFUNCTION("IMPORTRANGE(H31702,""IDENTITAS UNIT!D9"")"),"#N/A")</f>
        <v>#N/A</v>
      </c>
      <c r="H31702" s="4" t="str">
        <v/>
      </c>
      <c r="I31702" s="4" t="str">
        <v/>
      </c>
    </row>
    <row r="31703" spans="5:9" ht="16.5" hidden="1">
      <c r="E31703" s="4" t="str">
        <v/>
      </c>
      <c r="F31703" s="102" t="str">
        <f ca="1">IFERROR(__xludf.DUMMYFUNCTION("IMPORTRANGE(H31703,""IDENTITAS UNIT!D9"")"),"#N/A")</f>
        <v>#N/A</v>
      </c>
      <c r="H31703" s="4" t="str">
        <v/>
      </c>
      <c r="I31703" s="4" t="str">
        <v/>
      </c>
    </row>
    <row r="31704" spans="5:9" ht="16.5" hidden="1">
      <c r="E31704" s="4" t="str">
        <v/>
      </c>
      <c r="F31704" s="102" t="str">
        <f ca="1">IFERROR(__xludf.DUMMYFUNCTION("IMPORTRANGE(H31704,""IDENTITAS UNIT!D9"")"),"#N/A")</f>
        <v>#N/A</v>
      </c>
      <c r="H31704" s="4" t="str">
        <v/>
      </c>
      <c r="I31704" s="4" t="str">
        <v/>
      </c>
    </row>
    <row r="31705" spans="5:9" ht="16.5" hidden="1">
      <c r="E31705" s="4" t="str">
        <v/>
      </c>
      <c r="F31705" s="102" t="str">
        <f ca="1">IFERROR(__xludf.DUMMYFUNCTION("IMPORTRANGE(H31705,""IDENTITAS UNIT!D9"")"),"#N/A")</f>
        <v>#N/A</v>
      </c>
      <c r="H31705" s="4" t="str">
        <v/>
      </c>
      <c r="I31705" s="4" t="str">
        <v/>
      </c>
    </row>
    <row r="31706" spans="5:9" ht="16.5" hidden="1">
      <c r="E31706" s="4" t="str">
        <v/>
      </c>
      <c r="F31706" s="102" t="str">
        <f ca="1">IFERROR(__xludf.DUMMYFUNCTION("IMPORTRANGE(H31706,""IDENTITAS UNIT!D9"")"),"#N/A")</f>
        <v>#N/A</v>
      </c>
      <c r="H31706" s="4" t="str">
        <v/>
      </c>
      <c r="I31706" s="4" t="str">
        <v/>
      </c>
    </row>
    <row r="31707" spans="5:9" ht="16.5" hidden="1">
      <c r="E31707" s="4" t="str">
        <v/>
      </c>
      <c r="F31707" s="102" t="str">
        <f ca="1">IFERROR(__xludf.DUMMYFUNCTION("IMPORTRANGE(H31707,""IDENTITAS UNIT!D9"")"),"#N/A")</f>
        <v>#N/A</v>
      </c>
      <c r="H31707" s="4" t="str">
        <v/>
      </c>
      <c r="I31707" s="4" t="str">
        <v/>
      </c>
    </row>
    <row r="31708" spans="5:9" ht="16.5" hidden="1">
      <c r="E31708" s="4" t="str">
        <v/>
      </c>
      <c r="F31708" s="102" t="str">
        <f ca="1">IFERROR(__xludf.DUMMYFUNCTION("IMPORTRANGE(H31708,""IDENTITAS UNIT!D9"")"),"#N/A")</f>
        <v>#N/A</v>
      </c>
      <c r="H31708" s="4" t="str">
        <v/>
      </c>
      <c r="I31708" s="4" t="str">
        <v/>
      </c>
    </row>
    <row r="31709" spans="5:9" ht="16.5" hidden="1">
      <c r="E31709" s="4" t="str">
        <v/>
      </c>
      <c r="F31709" s="102" t="str">
        <f ca="1">IFERROR(__xludf.DUMMYFUNCTION("IMPORTRANGE(H31709,""IDENTITAS UNIT!D9"")"),"#N/A")</f>
        <v>#N/A</v>
      </c>
      <c r="H31709" s="4" t="str">
        <v/>
      </c>
      <c r="I31709" s="4" t="str">
        <v/>
      </c>
    </row>
    <row r="31710" spans="5:9" ht="16.5" hidden="1">
      <c r="E31710" s="4" t="str">
        <v/>
      </c>
      <c r="F31710" s="102" t="str">
        <f ca="1">IFERROR(__xludf.DUMMYFUNCTION("IMPORTRANGE(H31710,""IDENTITAS UNIT!D9"")"),"#N/A")</f>
        <v>#N/A</v>
      </c>
      <c r="H31710" s="4" t="str">
        <v/>
      </c>
      <c r="I31710" s="4" t="str">
        <v/>
      </c>
    </row>
    <row r="31711" spans="5:9" ht="16.5" hidden="1">
      <c r="E31711" s="4" t="str">
        <v/>
      </c>
      <c r="F31711" s="102" t="str">
        <f ca="1">IFERROR(__xludf.DUMMYFUNCTION("IMPORTRANGE(H31711,""IDENTITAS UNIT!D9"")"),"#N/A")</f>
        <v>#N/A</v>
      </c>
      <c r="H31711" s="4" t="str">
        <v/>
      </c>
      <c r="I31711" s="4" t="str">
        <v/>
      </c>
    </row>
    <row r="31712" spans="5:9" ht="16.5" hidden="1">
      <c r="E31712" s="4" t="str">
        <v/>
      </c>
      <c r="F31712" s="102" t="str">
        <f ca="1">IFERROR(__xludf.DUMMYFUNCTION("IMPORTRANGE(H31712,""IDENTITAS UNIT!D9"")"),"#N/A")</f>
        <v>#N/A</v>
      </c>
      <c r="H31712" s="4" t="str">
        <v/>
      </c>
      <c r="I31712" s="4" t="str">
        <v/>
      </c>
    </row>
    <row r="31713" spans="5:9" ht="16.5" hidden="1">
      <c r="E31713" s="4" t="str">
        <v/>
      </c>
      <c r="F31713" s="102" t="str">
        <f ca="1">IFERROR(__xludf.DUMMYFUNCTION("IMPORTRANGE(H31713,""IDENTITAS UNIT!D9"")"),"#N/A")</f>
        <v>#N/A</v>
      </c>
      <c r="H31713" s="4" t="str">
        <v/>
      </c>
      <c r="I31713" s="4" t="str">
        <v/>
      </c>
    </row>
    <row r="31714" spans="5:9" ht="16.5" hidden="1">
      <c r="E31714" s="4" t="str">
        <v/>
      </c>
      <c r="F31714" s="102" t="str">
        <f ca="1">IFERROR(__xludf.DUMMYFUNCTION("IMPORTRANGE(H31714,""IDENTITAS UNIT!D9"")"),"#N/A")</f>
        <v>#N/A</v>
      </c>
      <c r="H31714" s="4" t="str">
        <v/>
      </c>
      <c r="I31714" s="4" t="str">
        <v/>
      </c>
    </row>
    <row r="31715" spans="5:9" ht="16.5" hidden="1">
      <c r="E31715" s="4" t="str">
        <v/>
      </c>
      <c r="F31715" s="102" t="str">
        <f ca="1">IFERROR(__xludf.DUMMYFUNCTION("IMPORTRANGE(H31715,""IDENTITAS UNIT!D9"")"),"#N/A")</f>
        <v>#N/A</v>
      </c>
      <c r="H31715" s="4" t="str">
        <v/>
      </c>
      <c r="I31715" s="4" t="str">
        <v/>
      </c>
    </row>
    <row r="31716" spans="5:9" ht="16.5" hidden="1">
      <c r="E31716" s="4" t="str">
        <v/>
      </c>
      <c r="F31716" s="102" t="str">
        <f ca="1">IFERROR(__xludf.DUMMYFUNCTION("IMPORTRANGE(H31716,""IDENTITAS UNIT!D9"")"),"#N/A")</f>
        <v>#N/A</v>
      </c>
      <c r="H31716" s="4" t="str">
        <v/>
      </c>
      <c r="I31716" s="4" t="str">
        <v/>
      </c>
    </row>
    <row r="31717" spans="5:9" ht="16.5" hidden="1">
      <c r="E31717" s="4" t="str">
        <v/>
      </c>
      <c r="F31717" s="102" t="str">
        <f ca="1">IFERROR(__xludf.DUMMYFUNCTION("IMPORTRANGE(H31717,""IDENTITAS UNIT!D9"")"),"#N/A")</f>
        <v>#N/A</v>
      </c>
      <c r="H31717" s="4" t="str">
        <v/>
      </c>
      <c r="I31717" s="4" t="str">
        <v/>
      </c>
    </row>
    <row r="31718" spans="5:9" ht="16.5" hidden="1">
      <c r="E31718" s="4" t="str">
        <v/>
      </c>
      <c r="F31718" s="102" t="str">
        <f ca="1">IFERROR(__xludf.DUMMYFUNCTION("IMPORTRANGE(H31718,""IDENTITAS UNIT!D9"")"),"#N/A")</f>
        <v>#N/A</v>
      </c>
      <c r="H31718" s="4" t="str">
        <v/>
      </c>
      <c r="I31718" s="4" t="str">
        <v/>
      </c>
    </row>
    <row r="31719" spans="5:9" ht="16.5" hidden="1">
      <c r="E31719" s="4" t="str">
        <v/>
      </c>
      <c r="F31719" s="102" t="str">
        <f ca="1">IFERROR(__xludf.DUMMYFUNCTION("IMPORTRANGE(H31719,""IDENTITAS UNIT!D9"")"),"#N/A")</f>
        <v>#N/A</v>
      </c>
      <c r="H31719" s="4" t="str">
        <v/>
      </c>
      <c r="I31719" s="4" t="str">
        <v/>
      </c>
    </row>
    <row r="31720" spans="5:9" ht="16.5" hidden="1">
      <c r="E31720" s="4" t="str">
        <v/>
      </c>
      <c r="F31720" s="102" t="str">
        <f ca="1">IFERROR(__xludf.DUMMYFUNCTION("IMPORTRANGE(H31720,""IDENTITAS UNIT!D9"")"),"#N/A")</f>
        <v>#N/A</v>
      </c>
      <c r="H31720" s="4" t="str">
        <v/>
      </c>
      <c r="I31720" s="4" t="str">
        <v/>
      </c>
    </row>
    <row r="31721" spans="5:9" ht="16.5" hidden="1">
      <c r="E31721" s="4" t="str">
        <v/>
      </c>
      <c r="F31721" s="102" t="str">
        <f ca="1">IFERROR(__xludf.DUMMYFUNCTION("IMPORTRANGE(H31721,""IDENTITAS UNIT!D9"")"),"#N/A")</f>
        <v>#N/A</v>
      </c>
      <c r="H31721" s="4" t="str">
        <v/>
      </c>
      <c r="I31721" s="4" t="str">
        <v/>
      </c>
    </row>
    <row r="31722" spans="5:9" ht="16.5" hidden="1">
      <c r="E31722" s="4" t="str">
        <v/>
      </c>
      <c r="F31722" s="102" t="str">
        <f ca="1">IFERROR(__xludf.DUMMYFUNCTION("IMPORTRANGE(H31722,""IDENTITAS UNIT!D9"")"),"#N/A")</f>
        <v>#N/A</v>
      </c>
      <c r="H31722" s="4" t="str">
        <v/>
      </c>
      <c r="I31722" s="4" t="str">
        <v/>
      </c>
    </row>
    <row r="31723" spans="5:9" ht="16.5" hidden="1">
      <c r="E31723" s="4" t="str">
        <v/>
      </c>
      <c r="F31723" s="102" t="str">
        <f ca="1">IFERROR(__xludf.DUMMYFUNCTION("IMPORTRANGE(H31723,""IDENTITAS UNIT!D9"")"),"#N/A")</f>
        <v>#N/A</v>
      </c>
      <c r="H31723" s="4" t="str">
        <v/>
      </c>
      <c r="I31723" s="4" t="str">
        <v/>
      </c>
    </row>
    <row r="31724" spans="5:9" ht="16.5" hidden="1">
      <c r="E31724" s="4" t="str">
        <v/>
      </c>
      <c r="F31724" s="102" t="str">
        <f ca="1">IFERROR(__xludf.DUMMYFUNCTION("IMPORTRANGE(H31724,""IDENTITAS UNIT!D9"")"),"#N/A")</f>
        <v>#N/A</v>
      </c>
      <c r="H31724" s="4" t="str">
        <v/>
      </c>
      <c r="I31724" s="4" t="str">
        <v/>
      </c>
    </row>
    <row r="31725" spans="5:9" ht="16.5" hidden="1">
      <c r="E31725" s="4" t="str">
        <v/>
      </c>
      <c r="F31725" s="102" t="str">
        <f ca="1">IFERROR(__xludf.DUMMYFUNCTION("IMPORTRANGE(H31725,""IDENTITAS UNIT!D9"")"),"#N/A")</f>
        <v>#N/A</v>
      </c>
      <c r="H31725" s="4" t="str">
        <v/>
      </c>
      <c r="I31725" s="4" t="str">
        <v/>
      </c>
    </row>
    <row r="31726" spans="5:9" ht="16.5" hidden="1">
      <c r="E31726" s="4" t="str">
        <v/>
      </c>
      <c r="F31726" s="102" t="str">
        <f ca="1">IFERROR(__xludf.DUMMYFUNCTION("IMPORTRANGE(H31726,""IDENTITAS UNIT!D9"")"),"#N/A")</f>
        <v>#N/A</v>
      </c>
      <c r="H31726" s="4" t="str">
        <v/>
      </c>
      <c r="I31726" s="4" t="str">
        <v/>
      </c>
    </row>
    <row r="31727" spans="5:9" ht="16.5" hidden="1">
      <c r="E31727" s="4" t="str">
        <v/>
      </c>
      <c r="F31727" s="102" t="str">
        <f ca="1">IFERROR(__xludf.DUMMYFUNCTION("IMPORTRANGE(H31727,""IDENTITAS UNIT!D9"")"),"#N/A")</f>
        <v>#N/A</v>
      </c>
      <c r="H31727" s="4" t="str">
        <v/>
      </c>
      <c r="I31727" s="4" t="str">
        <v/>
      </c>
    </row>
    <row r="31728" spans="5:9" ht="16.5" hidden="1">
      <c r="E31728" s="4" t="str">
        <v/>
      </c>
      <c r="F31728" s="102" t="str">
        <f ca="1">IFERROR(__xludf.DUMMYFUNCTION("IMPORTRANGE(H31728,""IDENTITAS UNIT!D9"")"),"#N/A")</f>
        <v>#N/A</v>
      </c>
      <c r="H31728" s="4" t="str">
        <v/>
      </c>
      <c r="I31728" s="4" t="str">
        <v/>
      </c>
    </row>
    <row r="31729" spans="5:9" ht="16.5" hidden="1">
      <c r="E31729" s="4" t="str">
        <v/>
      </c>
      <c r="F31729" s="102" t="str">
        <f ca="1">IFERROR(__xludf.DUMMYFUNCTION("IMPORTRANGE(H31729,""IDENTITAS UNIT!D9"")"),"#N/A")</f>
        <v>#N/A</v>
      </c>
      <c r="H31729" s="4" t="str">
        <v/>
      </c>
      <c r="I31729" s="4" t="str">
        <v/>
      </c>
    </row>
    <row r="31730" spans="5:9" ht="16.5" hidden="1">
      <c r="E31730" s="4" t="str">
        <v/>
      </c>
      <c r="F31730" s="102" t="str">
        <f ca="1">IFERROR(__xludf.DUMMYFUNCTION("IMPORTRANGE(H31730,""IDENTITAS UNIT!D9"")"),"#N/A")</f>
        <v>#N/A</v>
      </c>
      <c r="H31730" s="4" t="str">
        <v/>
      </c>
      <c r="I31730" s="4" t="str">
        <v/>
      </c>
    </row>
    <row r="31731" spans="5:9" ht="16.5" hidden="1">
      <c r="E31731" s="4" t="str">
        <v/>
      </c>
      <c r="F31731" s="102" t="str">
        <f ca="1">IFERROR(__xludf.DUMMYFUNCTION("IMPORTRANGE(H31731,""IDENTITAS UNIT!D9"")"),"#N/A")</f>
        <v>#N/A</v>
      </c>
      <c r="H31731" s="4" t="str">
        <v/>
      </c>
      <c r="I31731" s="4" t="str">
        <v/>
      </c>
    </row>
    <row r="31732" spans="5:9" ht="16.5" hidden="1">
      <c r="E31732" s="4" t="str">
        <v/>
      </c>
      <c r="F31732" s="102" t="str">
        <f ca="1">IFERROR(__xludf.DUMMYFUNCTION("IMPORTRANGE(H31732,""IDENTITAS UNIT!D9"")"),"#N/A")</f>
        <v>#N/A</v>
      </c>
      <c r="H31732" s="4" t="str">
        <v/>
      </c>
      <c r="I31732" s="4" t="str">
        <v/>
      </c>
    </row>
    <row r="31733" spans="5:9" ht="16.5" hidden="1">
      <c r="E31733" s="4" t="str">
        <v/>
      </c>
      <c r="F31733" s="102" t="str">
        <f ca="1">IFERROR(__xludf.DUMMYFUNCTION("IMPORTRANGE(H31733,""IDENTITAS UNIT!D9"")"),"#N/A")</f>
        <v>#N/A</v>
      </c>
      <c r="H31733" s="4" t="str">
        <v/>
      </c>
      <c r="I31733" s="4" t="str">
        <v/>
      </c>
    </row>
    <row r="31734" spans="5:9" ht="16.5" hidden="1">
      <c r="E31734" s="4" t="str">
        <v/>
      </c>
      <c r="F31734" s="102" t="str">
        <f ca="1">IFERROR(__xludf.DUMMYFUNCTION("IMPORTRANGE(H31734,""IDENTITAS UNIT!D9"")"),"#N/A")</f>
        <v>#N/A</v>
      </c>
      <c r="H31734" s="4" t="str">
        <v/>
      </c>
      <c r="I31734" s="4" t="str">
        <v/>
      </c>
    </row>
    <row r="31735" spans="5:9" ht="16.5" hidden="1">
      <c r="E31735" s="4" t="str">
        <v/>
      </c>
      <c r="F31735" s="102" t="str">
        <f ca="1">IFERROR(__xludf.DUMMYFUNCTION("IMPORTRANGE(H31735,""IDENTITAS UNIT!D9"")"),"#N/A")</f>
        <v>#N/A</v>
      </c>
      <c r="H31735" s="4" t="str">
        <v/>
      </c>
      <c r="I31735" s="4" t="str">
        <v/>
      </c>
    </row>
    <row r="31736" spans="5:9" ht="16.5" hidden="1">
      <c r="E31736" s="4" t="str">
        <v/>
      </c>
      <c r="F31736" s="102" t="str">
        <f ca="1">IFERROR(__xludf.DUMMYFUNCTION("IMPORTRANGE(H31736,""IDENTITAS UNIT!D9"")"),"#N/A")</f>
        <v>#N/A</v>
      </c>
      <c r="H31736" s="4" t="str">
        <v/>
      </c>
      <c r="I31736" s="4" t="str">
        <v/>
      </c>
    </row>
    <row r="31737" spans="5:9" ht="16.5" hidden="1">
      <c r="E31737" s="4" t="str">
        <v/>
      </c>
      <c r="F31737" s="102" t="str">
        <f ca="1">IFERROR(__xludf.DUMMYFUNCTION("IMPORTRANGE(H31737,""IDENTITAS UNIT!D9"")"),"#N/A")</f>
        <v>#N/A</v>
      </c>
      <c r="H31737" s="4" t="str">
        <v/>
      </c>
      <c r="I31737" s="4" t="str">
        <v/>
      </c>
    </row>
    <row r="31738" spans="5:9" ht="16.5" hidden="1">
      <c r="E31738" s="4" t="str">
        <v/>
      </c>
      <c r="F31738" s="102" t="str">
        <f ca="1">IFERROR(__xludf.DUMMYFUNCTION("IMPORTRANGE(H31738,""IDENTITAS UNIT!D9"")"),"#N/A")</f>
        <v>#N/A</v>
      </c>
      <c r="H31738" s="4" t="str">
        <v/>
      </c>
      <c r="I31738" s="4" t="str">
        <v/>
      </c>
    </row>
    <row r="31739" spans="5:9" ht="16.5" hidden="1">
      <c r="E31739" s="4" t="str">
        <v/>
      </c>
      <c r="F31739" s="102" t="str">
        <f ca="1">IFERROR(__xludf.DUMMYFUNCTION("IMPORTRANGE(H31739,""IDENTITAS UNIT!D9"")"),"#N/A")</f>
        <v>#N/A</v>
      </c>
      <c r="H31739" s="4" t="str">
        <v/>
      </c>
      <c r="I31739" s="4" t="str">
        <v/>
      </c>
    </row>
    <row r="31740" spans="5:9" ht="16.5" hidden="1">
      <c r="E31740" s="4" t="str">
        <v/>
      </c>
      <c r="F31740" s="102" t="str">
        <f ca="1">IFERROR(__xludf.DUMMYFUNCTION("IMPORTRANGE(H31740,""IDENTITAS UNIT!D9"")"),"#N/A")</f>
        <v>#N/A</v>
      </c>
      <c r="H31740" s="4" t="str">
        <v/>
      </c>
      <c r="I31740" s="4" t="str">
        <v/>
      </c>
    </row>
    <row r="31741" spans="5:9" ht="16.5" hidden="1">
      <c r="E31741" s="4" t="str">
        <v/>
      </c>
      <c r="F31741" s="102" t="str">
        <f ca="1">IFERROR(__xludf.DUMMYFUNCTION("IMPORTRANGE(H31741,""IDENTITAS UNIT!D9"")"),"#N/A")</f>
        <v>#N/A</v>
      </c>
      <c r="H31741" s="4" t="str">
        <v/>
      </c>
      <c r="I31741" s="4" t="str">
        <v/>
      </c>
    </row>
    <row r="31742" spans="5:9" ht="16.5" hidden="1">
      <c r="E31742" s="4" t="str">
        <v/>
      </c>
      <c r="F31742" s="102" t="str">
        <f ca="1">IFERROR(__xludf.DUMMYFUNCTION("IMPORTRANGE(H31742,""IDENTITAS UNIT!D9"")"),"#N/A")</f>
        <v>#N/A</v>
      </c>
      <c r="H31742" s="4" t="str">
        <v/>
      </c>
      <c r="I31742" s="4" t="str">
        <v/>
      </c>
    </row>
    <row r="31743" spans="5:9" ht="16.5" hidden="1">
      <c r="E31743" s="4" t="str">
        <v/>
      </c>
      <c r="F31743" s="102" t="str">
        <f ca="1">IFERROR(__xludf.DUMMYFUNCTION("IMPORTRANGE(H31743,""IDENTITAS UNIT!D9"")"),"#N/A")</f>
        <v>#N/A</v>
      </c>
      <c r="H31743" s="4" t="str">
        <v/>
      </c>
      <c r="I31743" s="4" t="str">
        <v/>
      </c>
    </row>
    <row r="31744" spans="5:9" ht="16.5" hidden="1">
      <c r="E31744" s="4" t="str">
        <v/>
      </c>
      <c r="F31744" s="102" t="str">
        <f ca="1">IFERROR(__xludf.DUMMYFUNCTION("IMPORTRANGE(H31744,""IDENTITAS UNIT!D9"")"),"#N/A")</f>
        <v>#N/A</v>
      </c>
      <c r="H31744" s="4" t="str">
        <v/>
      </c>
      <c r="I31744" s="4" t="str">
        <v/>
      </c>
    </row>
    <row r="31745" spans="5:9" ht="16.5" hidden="1">
      <c r="E31745" s="4" t="str">
        <v/>
      </c>
      <c r="F31745" s="102" t="str">
        <f ca="1">IFERROR(__xludf.DUMMYFUNCTION("IMPORTRANGE(H31745,""IDENTITAS UNIT!D9"")"),"#N/A")</f>
        <v>#N/A</v>
      </c>
      <c r="H31745" s="4" t="str">
        <v/>
      </c>
      <c r="I31745" s="4" t="str">
        <v/>
      </c>
    </row>
    <row r="31746" spans="5:9" ht="16.5" hidden="1">
      <c r="E31746" s="4" t="str">
        <v/>
      </c>
      <c r="F31746" s="102" t="str">
        <f ca="1">IFERROR(__xludf.DUMMYFUNCTION("IMPORTRANGE(H31746,""IDENTITAS UNIT!D9"")"),"#N/A")</f>
        <v>#N/A</v>
      </c>
      <c r="H31746" s="4" t="str">
        <v/>
      </c>
      <c r="I31746" s="4" t="str">
        <v/>
      </c>
    </row>
    <row r="31747" spans="5:9" ht="16.5" hidden="1">
      <c r="E31747" s="4" t="str">
        <v/>
      </c>
      <c r="F31747" s="102" t="str">
        <f ca="1">IFERROR(__xludf.DUMMYFUNCTION("IMPORTRANGE(H31747,""IDENTITAS UNIT!D9"")"),"#N/A")</f>
        <v>#N/A</v>
      </c>
      <c r="H31747" s="4" t="str">
        <v/>
      </c>
      <c r="I31747" s="4" t="str">
        <v/>
      </c>
    </row>
    <row r="31748" spans="5:9" ht="16.5" hidden="1">
      <c r="E31748" s="4" t="str">
        <v/>
      </c>
      <c r="F31748" s="102" t="str">
        <f ca="1">IFERROR(__xludf.DUMMYFUNCTION("IMPORTRANGE(H31748,""IDENTITAS UNIT!D9"")"),"#N/A")</f>
        <v>#N/A</v>
      </c>
      <c r="H31748" s="4" t="str">
        <v/>
      </c>
      <c r="I31748" s="4" t="str">
        <v/>
      </c>
    </row>
    <row r="31749" spans="5:9" ht="16.5" hidden="1">
      <c r="E31749" s="4" t="str">
        <v/>
      </c>
      <c r="F31749" s="102" t="str">
        <f ca="1">IFERROR(__xludf.DUMMYFUNCTION("IMPORTRANGE(H31749,""IDENTITAS UNIT!D9"")"),"#N/A")</f>
        <v>#N/A</v>
      </c>
      <c r="H31749" s="4" t="str">
        <v/>
      </c>
      <c r="I31749" s="4" t="str">
        <v/>
      </c>
    </row>
    <row r="31750" spans="5:9" ht="16.5" hidden="1">
      <c r="E31750" s="4" t="str">
        <v/>
      </c>
      <c r="F31750" s="102" t="str">
        <f ca="1">IFERROR(__xludf.DUMMYFUNCTION("IMPORTRANGE(H31750,""IDENTITAS UNIT!D9"")"),"#N/A")</f>
        <v>#N/A</v>
      </c>
      <c r="H31750" s="4" t="str">
        <v/>
      </c>
      <c r="I31750" s="4" t="str">
        <v/>
      </c>
    </row>
    <row r="31751" spans="5:9" ht="16.5" hidden="1">
      <c r="E31751" s="4" t="str">
        <v/>
      </c>
      <c r="F31751" s="102" t="str">
        <f ca="1">IFERROR(__xludf.DUMMYFUNCTION("IMPORTRANGE(H31751,""IDENTITAS UNIT!D9"")"),"#N/A")</f>
        <v>#N/A</v>
      </c>
      <c r="H31751" s="4" t="str">
        <v/>
      </c>
      <c r="I31751" s="4" t="str">
        <v/>
      </c>
    </row>
    <row r="31752" spans="5:9" ht="16.5" hidden="1">
      <c r="E31752" s="4" t="str">
        <v/>
      </c>
      <c r="F31752" s="102" t="str">
        <f ca="1">IFERROR(__xludf.DUMMYFUNCTION("IMPORTRANGE(H31752,""IDENTITAS UNIT!D9"")"),"#N/A")</f>
        <v>#N/A</v>
      </c>
      <c r="H31752" s="4" t="str">
        <v/>
      </c>
      <c r="I31752" s="4" t="str">
        <v/>
      </c>
    </row>
    <row r="31753" spans="5:9" ht="16.5" hidden="1">
      <c r="E31753" s="4" t="str">
        <v/>
      </c>
      <c r="F31753" s="102" t="str">
        <f ca="1">IFERROR(__xludf.DUMMYFUNCTION("IMPORTRANGE(H31753,""IDENTITAS UNIT!D9"")"),"#N/A")</f>
        <v>#N/A</v>
      </c>
      <c r="H31753" s="4" t="str">
        <v/>
      </c>
      <c r="I31753" s="4" t="str">
        <v/>
      </c>
    </row>
    <row r="31754" spans="5:9" ht="16.5" hidden="1">
      <c r="E31754" s="4" t="str">
        <v/>
      </c>
      <c r="F31754" s="102" t="str">
        <f ca="1">IFERROR(__xludf.DUMMYFUNCTION("IMPORTRANGE(H31754,""IDENTITAS UNIT!D9"")"),"#N/A")</f>
        <v>#N/A</v>
      </c>
      <c r="H31754" s="4" t="str">
        <v/>
      </c>
      <c r="I31754" s="4" t="str">
        <v/>
      </c>
    </row>
    <row r="31755" spans="5:9" ht="16.5" hidden="1">
      <c r="E31755" s="4" t="str">
        <v/>
      </c>
      <c r="F31755" s="102" t="str">
        <f ca="1">IFERROR(__xludf.DUMMYFUNCTION("IMPORTRANGE(H31755,""IDENTITAS UNIT!D9"")"),"#N/A")</f>
        <v>#N/A</v>
      </c>
      <c r="H31755" s="4" t="str">
        <v/>
      </c>
      <c r="I31755" s="4" t="str">
        <v/>
      </c>
    </row>
    <row r="31756" spans="5:9" ht="16.5" hidden="1">
      <c r="E31756" s="4" t="str">
        <v/>
      </c>
      <c r="F31756" s="102" t="str">
        <f ca="1">IFERROR(__xludf.DUMMYFUNCTION("IMPORTRANGE(H31756,""IDENTITAS UNIT!D9"")"),"#N/A")</f>
        <v>#N/A</v>
      </c>
      <c r="H31756" s="4" t="str">
        <v/>
      </c>
      <c r="I31756" s="4" t="str">
        <v/>
      </c>
    </row>
    <row r="31757" spans="5:9" ht="16.5" hidden="1">
      <c r="E31757" s="4" t="str">
        <v/>
      </c>
      <c r="F31757" s="102" t="str">
        <f ca="1">IFERROR(__xludf.DUMMYFUNCTION("IMPORTRANGE(H31757,""IDENTITAS UNIT!D9"")"),"#N/A")</f>
        <v>#N/A</v>
      </c>
      <c r="H31757" s="4" t="str">
        <v/>
      </c>
      <c r="I31757" s="4" t="str">
        <v/>
      </c>
    </row>
    <row r="31758" spans="5:9" ht="16.5" hidden="1">
      <c r="E31758" s="4" t="str">
        <v/>
      </c>
      <c r="F31758" s="102" t="str">
        <f ca="1">IFERROR(__xludf.DUMMYFUNCTION("IMPORTRANGE(H31758,""IDENTITAS UNIT!D9"")"),"#N/A")</f>
        <v>#N/A</v>
      </c>
      <c r="H31758" s="4" t="str">
        <v/>
      </c>
      <c r="I31758" s="4" t="str">
        <v/>
      </c>
    </row>
    <row r="31759" spans="5:9" ht="16.5" hidden="1">
      <c r="E31759" s="4" t="str">
        <v/>
      </c>
      <c r="F31759" s="102" t="str">
        <f ca="1">IFERROR(__xludf.DUMMYFUNCTION("IMPORTRANGE(H31759,""IDENTITAS UNIT!D9"")"),"#N/A")</f>
        <v>#N/A</v>
      </c>
      <c r="H31759" s="4" t="str">
        <v/>
      </c>
      <c r="I31759" s="4" t="str">
        <v/>
      </c>
    </row>
    <row r="31760" spans="5:9" ht="16.5" hidden="1">
      <c r="E31760" s="4" t="str">
        <v/>
      </c>
      <c r="F31760" s="102" t="str">
        <f ca="1">IFERROR(__xludf.DUMMYFUNCTION("IMPORTRANGE(H31760,""IDENTITAS UNIT!D9"")"),"#N/A")</f>
        <v>#N/A</v>
      </c>
      <c r="H31760" s="4" t="str">
        <v/>
      </c>
      <c r="I31760" s="4" t="str">
        <v/>
      </c>
    </row>
    <row r="31761" spans="5:9" ht="16.5" hidden="1">
      <c r="E31761" s="4" t="str">
        <v/>
      </c>
      <c r="F31761" s="102" t="str">
        <f ca="1">IFERROR(__xludf.DUMMYFUNCTION("IMPORTRANGE(H31761,""IDENTITAS UNIT!D9"")"),"#N/A")</f>
        <v>#N/A</v>
      </c>
      <c r="H31761" s="4" t="str">
        <v/>
      </c>
      <c r="I31761" s="4" t="str">
        <v/>
      </c>
    </row>
    <row r="31762" spans="5:9" ht="16.5" hidden="1">
      <c r="E31762" s="4" t="str">
        <v/>
      </c>
      <c r="F31762" s="102" t="str">
        <f ca="1">IFERROR(__xludf.DUMMYFUNCTION("IMPORTRANGE(H31762,""IDENTITAS UNIT!D9"")"),"#N/A")</f>
        <v>#N/A</v>
      </c>
      <c r="H31762" s="4" t="str">
        <v/>
      </c>
      <c r="I31762" s="4" t="str">
        <v/>
      </c>
    </row>
    <row r="31763" spans="5:9" ht="16.5" hidden="1">
      <c r="E31763" s="4" t="str">
        <v/>
      </c>
      <c r="F31763" s="102" t="str">
        <f ca="1">IFERROR(__xludf.DUMMYFUNCTION("IMPORTRANGE(H31763,""IDENTITAS UNIT!D9"")"),"#N/A")</f>
        <v>#N/A</v>
      </c>
      <c r="H31763" s="4" t="str">
        <v/>
      </c>
      <c r="I31763" s="4" t="str">
        <v/>
      </c>
    </row>
    <row r="31764" spans="5:9" ht="16.5" hidden="1">
      <c r="E31764" s="4" t="str">
        <v/>
      </c>
      <c r="F31764" s="102" t="str">
        <f ca="1">IFERROR(__xludf.DUMMYFUNCTION("IMPORTRANGE(H31764,""IDENTITAS UNIT!D9"")"),"#N/A")</f>
        <v>#N/A</v>
      </c>
      <c r="H31764" s="4" t="str">
        <v/>
      </c>
      <c r="I31764" s="4" t="str">
        <v/>
      </c>
    </row>
    <row r="31765" spans="5:9" ht="16.5" hidden="1">
      <c r="E31765" s="4" t="str">
        <v/>
      </c>
      <c r="F31765" s="102" t="str">
        <f ca="1">IFERROR(__xludf.DUMMYFUNCTION("IMPORTRANGE(H31765,""IDENTITAS UNIT!D9"")"),"#N/A")</f>
        <v>#N/A</v>
      </c>
      <c r="H31765" s="4" t="str">
        <v/>
      </c>
      <c r="I31765" s="4" t="str">
        <v/>
      </c>
    </row>
    <row r="31766" spans="5:9" ht="16.5" hidden="1">
      <c r="E31766" s="4" t="str">
        <v/>
      </c>
      <c r="F31766" s="102" t="str">
        <f ca="1">IFERROR(__xludf.DUMMYFUNCTION("IMPORTRANGE(H31766,""IDENTITAS UNIT!D9"")"),"#N/A")</f>
        <v>#N/A</v>
      </c>
      <c r="H31766" s="4" t="str">
        <v/>
      </c>
      <c r="I31766" s="4" t="str">
        <v/>
      </c>
    </row>
    <row r="31767" spans="5:9" ht="16.5" hidden="1">
      <c r="E31767" s="4" t="str">
        <v/>
      </c>
      <c r="F31767" s="102" t="str">
        <f ca="1">IFERROR(__xludf.DUMMYFUNCTION("IMPORTRANGE(H31767,""IDENTITAS UNIT!D9"")"),"#N/A")</f>
        <v>#N/A</v>
      </c>
      <c r="H31767" s="4" t="str">
        <v/>
      </c>
      <c r="I31767" s="4" t="str">
        <v/>
      </c>
    </row>
    <row r="31768" spans="5:9" ht="16.5" hidden="1">
      <c r="E31768" s="4" t="str">
        <v/>
      </c>
      <c r="F31768" s="102" t="str">
        <f ca="1">IFERROR(__xludf.DUMMYFUNCTION("IMPORTRANGE(H31768,""IDENTITAS UNIT!D9"")"),"#N/A")</f>
        <v>#N/A</v>
      </c>
      <c r="H31768" s="4" t="str">
        <v/>
      </c>
      <c r="I31768" s="4" t="str">
        <v/>
      </c>
    </row>
    <row r="31769" spans="5:9" ht="16.5" hidden="1">
      <c r="E31769" s="4" t="str">
        <v/>
      </c>
      <c r="F31769" s="102" t="str">
        <f ca="1">IFERROR(__xludf.DUMMYFUNCTION("IMPORTRANGE(H31769,""IDENTITAS UNIT!D9"")"),"#N/A")</f>
        <v>#N/A</v>
      </c>
      <c r="H31769" s="4" t="str">
        <v/>
      </c>
      <c r="I31769" s="4" t="str">
        <v/>
      </c>
    </row>
    <row r="31770" spans="5:9" ht="16.5" hidden="1">
      <c r="E31770" s="4" t="str">
        <v/>
      </c>
      <c r="F31770" s="102" t="str">
        <f ca="1">IFERROR(__xludf.DUMMYFUNCTION("IMPORTRANGE(H31770,""IDENTITAS UNIT!D9"")"),"#N/A")</f>
        <v>#N/A</v>
      </c>
      <c r="H31770" s="4" t="str">
        <v/>
      </c>
      <c r="I31770" s="4" t="str">
        <v/>
      </c>
    </row>
    <row r="31771" spans="5:9" ht="16.5" hidden="1">
      <c r="E31771" s="4" t="str">
        <v/>
      </c>
      <c r="F31771" s="102" t="str">
        <f ca="1">IFERROR(__xludf.DUMMYFUNCTION("IMPORTRANGE(H31771,""IDENTITAS UNIT!D9"")"),"#N/A")</f>
        <v>#N/A</v>
      </c>
      <c r="H31771" s="4" t="str">
        <v/>
      </c>
      <c r="I31771" s="4" t="str">
        <v/>
      </c>
    </row>
    <row r="31772" spans="5:9" ht="16.5" hidden="1">
      <c r="E31772" s="4" t="str">
        <v/>
      </c>
      <c r="F31772" s="102" t="str">
        <f ca="1">IFERROR(__xludf.DUMMYFUNCTION("IMPORTRANGE(H31772,""IDENTITAS UNIT!D9"")"),"#N/A")</f>
        <v>#N/A</v>
      </c>
      <c r="H31772" s="4" t="str">
        <v/>
      </c>
      <c r="I31772" s="4" t="str">
        <v/>
      </c>
    </row>
    <row r="31773" spans="5:9" ht="16.5" hidden="1">
      <c r="E31773" s="4" t="str">
        <v/>
      </c>
      <c r="F31773" s="102" t="str">
        <f ca="1">IFERROR(__xludf.DUMMYFUNCTION("IMPORTRANGE(H31773,""IDENTITAS UNIT!D9"")"),"#N/A")</f>
        <v>#N/A</v>
      </c>
      <c r="H31773" s="4" t="str">
        <v/>
      </c>
      <c r="I31773" s="4" t="str">
        <v/>
      </c>
    </row>
    <row r="31774" spans="5:9" ht="16.5" hidden="1">
      <c r="E31774" s="4" t="str">
        <v/>
      </c>
      <c r="F31774" s="102" t="str">
        <f ca="1">IFERROR(__xludf.DUMMYFUNCTION("IMPORTRANGE(H31774,""IDENTITAS UNIT!D9"")"),"#N/A")</f>
        <v>#N/A</v>
      </c>
      <c r="H31774" s="4" t="str">
        <v/>
      </c>
      <c r="I31774" s="4" t="str">
        <v/>
      </c>
    </row>
    <row r="31775" spans="5:9" ht="16.5" hidden="1">
      <c r="E31775" s="4" t="str">
        <v/>
      </c>
      <c r="F31775" s="102" t="str">
        <f ca="1">IFERROR(__xludf.DUMMYFUNCTION("IMPORTRANGE(H31775,""IDENTITAS UNIT!D9"")"),"#N/A")</f>
        <v>#N/A</v>
      </c>
      <c r="H31775" s="4" t="str">
        <v/>
      </c>
      <c r="I31775" s="4" t="str">
        <v/>
      </c>
    </row>
    <row r="31776" spans="5:9" ht="16.5" hidden="1">
      <c r="E31776" s="4" t="str">
        <v/>
      </c>
      <c r="F31776" s="102" t="str">
        <f ca="1">IFERROR(__xludf.DUMMYFUNCTION("IMPORTRANGE(H31776,""IDENTITAS UNIT!D9"")"),"#N/A")</f>
        <v>#N/A</v>
      </c>
      <c r="H31776" s="4" t="str">
        <v/>
      </c>
      <c r="I31776" s="4" t="str">
        <v/>
      </c>
    </row>
    <row r="31777" spans="5:9" ht="16.5" hidden="1">
      <c r="E31777" s="4" t="str">
        <v/>
      </c>
      <c r="F31777" s="102" t="str">
        <f ca="1">IFERROR(__xludf.DUMMYFUNCTION("IMPORTRANGE(H31777,""IDENTITAS UNIT!D9"")"),"#N/A")</f>
        <v>#N/A</v>
      </c>
      <c r="H31777" s="4" t="str">
        <v/>
      </c>
      <c r="I31777" s="4" t="str">
        <v/>
      </c>
    </row>
    <row r="31778" spans="5:9" ht="16.5" hidden="1">
      <c r="E31778" s="4" t="str">
        <v/>
      </c>
      <c r="F31778" s="102" t="str">
        <f ca="1">IFERROR(__xludf.DUMMYFUNCTION("IMPORTRANGE(H31778,""IDENTITAS UNIT!D9"")"),"#N/A")</f>
        <v>#N/A</v>
      </c>
      <c r="H31778" s="4" t="str">
        <v/>
      </c>
      <c r="I31778" s="4" t="str">
        <v/>
      </c>
    </row>
    <row r="31779" spans="5:9" ht="16.5" hidden="1">
      <c r="E31779" s="4" t="str">
        <v/>
      </c>
      <c r="F31779" s="102" t="str">
        <f ca="1">IFERROR(__xludf.DUMMYFUNCTION("IMPORTRANGE(H31779,""IDENTITAS UNIT!D9"")"),"#N/A")</f>
        <v>#N/A</v>
      </c>
      <c r="H31779" s="4" t="str">
        <v/>
      </c>
      <c r="I31779" s="4" t="str">
        <v/>
      </c>
    </row>
    <row r="31780" spans="5:9" ht="16.5" hidden="1">
      <c r="E31780" s="4" t="str">
        <v/>
      </c>
      <c r="F31780" s="102" t="str">
        <f ca="1">IFERROR(__xludf.DUMMYFUNCTION("IMPORTRANGE(H31780,""IDENTITAS UNIT!D9"")"),"#N/A")</f>
        <v>#N/A</v>
      </c>
      <c r="H31780" s="4" t="str">
        <v/>
      </c>
      <c r="I31780" s="4" t="str">
        <v/>
      </c>
    </row>
    <row r="31781" spans="5:9" ht="16.5" hidden="1">
      <c r="E31781" s="4" t="str">
        <v/>
      </c>
      <c r="F31781" s="102" t="str">
        <f ca="1">IFERROR(__xludf.DUMMYFUNCTION("IMPORTRANGE(H31781,""IDENTITAS UNIT!D9"")"),"#N/A")</f>
        <v>#N/A</v>
      </c>
      <c r="H31781" s="4" t="str">
        <v/>
      </c>
      <c r="I31781" s="4" t="str">
        <v/>
      </c>
    </row>
    <row r="31782" spans="5:9" ht="16.5" hidden="1">
      <c r="E31782" s="4" t="str">
        <v/>
      </c>
      <c r="F31782" s="102" t="str">
        <f ca="1">IFERROR(__xludf.DUMMYFUNCTION("IMPORTRANGE(H31782,""IDENTITAS UNIT!D9"")"),"#N/A")</f>
        <v>#N/A</v>
      </c>
      <c r="H31782" s="4" t="str">
        <v/>
      </c>
      <c r="I31782" s="4" t="str">
        <v/>
      </c>
    </row>
    <row r="31783" spans="5:9" ht="16.5" hidden="1">
      <c r="E31783" s="4" t="str">
        <v/>
      </c>
      <c r="F31783" s="102" t="str">
        <f ca="1">IFERROR(__xludf.DUMMYFUNCTION("IMPORTRANGE(H31783,""IDENTITAS UNIT!D9"")"),"#N/A")</f>
        <v>#N/A</v>
      </c>
      <c r="H31783" s="4" t="str">
        <v/>
      </c>
      <c r="I31783" s="4" t="str">
        <v/>
      </c>
    </row>
    <row r="31784" spans="5:9" ht="16.5" hidden="1">
      <c r="E31784" s="4" t="str">
        <v/>
      </c>
      <c r="F31784" s="102" t="str">
        <f ca="1">IFERROR(__xludf.DUMMYFUNCTION("IMPORTRANGE(H31784,""IDENTITAS UNIT!D9"")"),"#N/A")</f>
        <v>#N/A</v>
      </c>
      <c r="H31784" s="4" t="str">
        <v/>
      </c>
      <c r="I31784" s="4" t="str">
        <v/>
      </c>
    </row>
    <row r="31785" spans="5:9" ht="16.5" hidden="1">
      <c r="E31785" s="4" t="str">
        <v/>
      </c>
      <c r="F31785" s="102" t="str">
        <f ca="1">IFERROR(__xludf.DUMMYFUNCTION("IMPORTRANGE(H31785,""IDENTITAS UNIT!D9"")"),"#N/A")</f>
        <v>#N/A</v>
      </c>
      <c r="H31785" s="4" t="str">
        <v/>
      </c>
      <c r="I31785" s="4" t="str">
        <v/>
      </c>
    </row>
    <row r="31786" spans="5:9" ht="16.5" hidden="1">
      <c r="E31786" s="4" t="str">
        <v/>
      </c>
      <c r="F31786" s="102" t="str">
        <f ca="1">IFERROR(__xludf.DUMMYFUNCTION("IMPORTRANGE(H31786,""IDENTITAS UNIT!D9"")"),"#N/A")</f>
        <v>#N/A</v>
      </c>
      <c r="H31786" s="4" t="str">
        <v/>
      </c>
      <c r="I31786" s="4" t="str">
        <v/>
      </c>
    </row>
    <row r="31787" spans="5:9" ht="16.5" hidden="1">
      <c r="E31787" s="4" t="str">
        <v/>
      </c>
      <c r="F31787" s="102" t="str">
        <f ca="1">IFERROR(__xludf.DUMMYFUNCTION("IMPORTRANGE(H31787,""IDENTITAS UNIT!D9"")"),"#N/A")</f>
        <v>#N/A</v>
      </c>
      <c r="H31787" s="4" t="str">
        <v/>
      </c>
      <c r="I31787" s="4" t="str">
        <v/>
      </c>
    </row>
    <row r="31788" spans="5:9" ht="16.5" hidden="1">
      <c r="E31788" s="4" t="str">
        <v/>
      </c>
      <c r="F31788" s="102" t="str">
        <f ca="1">IFERROR(__xludf.DUMMYFUNCTION("IMPORTRANGE(H31788,""IDENTITAS UNIT!D9"")"),"#N/A")</f>
        <v>#N/A</v>
      </c>
      <c r="H31788" s="4" t="str">
        <v/>
      </c>
      <c r="I31788" s="4" t="str">
        <v/>
      </c>
    </row>
    <row r="31789" spans="5:9" ht="16.5" hidden="1">
      <c r="E31789" s="4" t="str">
        <v/>
      </c>
      <c r="F31789" s="102" t="str">
        <f ca="1">IFERROR(__xludf.DUMMYFUNCTION("IMPORTRANGE(H31789,""IDENTITAS UNIT!D9"")"),"#N/A")</f>
        <v>#N/A</v>
      </c>
      <c r="H31789" s="4" t="str">
        <v/>
      </c>
      <c r="I31789" s="4" t="str">
        <v/>
      </c>
    </row>
    <row r="31790" spans="5:9" ht="16.5" hidden="1">
      <c r="E31790" s="4" t="str">
        <v/>
      </c>
      <c r="F31790" s="102" t="str">
        <f ca="1">IFERROR(__xludf.DUMMYFUNCTION("IMPORTRANGE(H31790,""IDENTITAS UNIT!D9"")"),"#N/A")</f>
        <v>#N/A</v>
      </c>
      <c r="H31790" s="4" t="str">
        <v/>
      </c>
      <c r="I31790" s="4" t="str">
        <v/>
      </c>
    </row>
    <row r="31791" spans="5:9" ht="16.5" hidden="1">
      <c r="E31791" s="4" t="str">
        <v/>
      </c>
      <c r="F31791" s="102" t="str">
        <f ca="1">IFERROR(__xludf.DUMMYFUNCTION("IMPORTRANGE(H31791,""IDENTITAS UNIT!D9"")"),"#N/A")</f>
        <v>#N/A</v>
      </c>
      <c r="H31791" s="4" t="str">
        <v/>
      </c>
      <c r="I31791" s="4" t="str">
        <v/>
      </c>
    </row>
    <row r="31792" spans="5:9" ht="16.5" hidden="1">
      <c r="E31792" s="4" t="str">
        <v/>
      </c>
      <c r="F31792" s="102" t="str">
        <f ca="1">IFERROR(__xludf.DUMMYFUNCTION("IMPORTRANGE(H31792,""IDENTITAS UNIT!D9"")"),"#N/A")</f>
        <v>#N/A</v>
      </c>
      <c r="H31792" s="4" t="str">
        <v/>
      </c>
      <c r="I31792" s="4" t="str">
        <v/>
      </c>
    </row>
    <row r="31793" spans="5:9" ht="16.5" hidden="1">
      <c r="E31793" s="4" t="str">
        <v/>
      </c>
      <c r="F31793" s="102" t="str">
        <f ca="1">IFERROR(__xludf.DUMMYFUNCTION("IMPORTRANGE(H31793,""IDENTITAS UNIT!D9"")"),"#N/A")</f>
        <v>#N/A</v>
      </c>
      <c r="H31793" s="4" t="str">
        <v/>
      </c>
      <c r="I31793" s="4" t="str">
        <v/>
      </c>
    </row>
    <row r="31794" spans="5:9" ht="16.5" hidden="1">
      <c r="E31794" s="4" t="str">
        <v/>
      </c>
      <c r="F31794" s="102" t="str">
        <f ca="1">IFERROR(__xludf.DUMMYFUNCTION("IMPORTRANGE(H31794,""IDENTITAS UNIT!D9"")"),"#N/A")</f>
        <v>#N/A</v>
      </c>
      <c r="H31794" s="4" t="str">
        <v/>
      </c>
      <c r="I31794" s="4" t="str">
        <v/>
      </c>
    </row>
    <row r="31795" spans="5:9" ht="16.5" hidden="1">
      <c r="E31795" s="4" t="str">
        <v/>
      </c>
      <c r="F31795" s="102" t="str">
        <f ca="1">IFERROR(__xludf.DUMMYFUNCTION("IMPORTRANGE(H31795,""IDENTITAS UNIT!D9"")"),"#N/A")</f>
        <v>#N/A</v>
      </c>
      <c r="H31795" s="4" t="str">
        <v/>
      </c>
      <c r="I31795" s="4" t="str">
        <v/>
      </c>
    </row>
    <row r="31796" spans="5:9" ht="16.5" hidden="1">
      <c r="E31796" s="4" t="str">
        <v/>
      </c>
      <c r="F31796" s="102" t="str">
        <f ca="1">IFERROR(__xludf.DUMMYFUNCTION("IMPORTRANGE(H31796,""IDENTITAS UNIT!D9"")"),"#N/A")</f>
        <v>#N/A</v>
      </c>
      <c r="H31796" s="4" t="str">
        <v/>
      </c>
      <c r="I31796" s="4" t="str">
        <v/>
      </c>
    </row>
    <row r="31797" spans="5:9" ht="16.5" hidden="1">
      <c r="E31797" s="4" t="str">
        <v/>
      </c>
      <c r="F31797" s="102" t="str">
        <f ca="1">IFERROR(__xludf.DUMMYFUNCTION("IMPORTRANGE(H31797,""IDENTITAS UNIT!D9"")"),"#N/A")</f>
        <v>#N/A</v>
      </c>
      <c r="H31797" s="4" t="str">
        <v/>
      </c>
      <c r="I31797" s="4" t="str">
        <v/>
      </c>
    </row>
    <row r="31798" spans="5:9" ht="16.5" hidden="1">
      <c r="E31798" s="4" t="str">
        <v/>
      </c>
      <c r="F31798" s="102" t="str">
        <f ca="1">IFERROR(__xludf.DUMMYFUNCTION("IMPORTRANGE(H31798,""IDENTITAS UNIT!D9"")"),"#N/A")</f>
        <v>#N/A</v>
      </c>
      <c r="H31798" s="4" t="str">
        <v/>
      </c>
      <c r="I31798" s="4" t="str">
        <v/>
      </c>
    </row>
    <row r="31799" spans="5:9" ht="16.5" hidden="1">
      <c r="E31799" s="4" t="str">
        <v/>
      </c>
      <c r="F31799" s="102" t="str">
        <f ca="1">IFERROR(__xludf.DUMMYFUNCTION("IMPORTRANGE(H31799,""IDENTITAS UNIT!D9"")"),"#N/A")</f>
        <v>#N/A</v>
      </c>
      <c r="H31799" s="4" t="str">
        <v/>
      </c>
      <c r="I31799" s="4" t="str">
        <v/>
      </c>
    </row>
    <row r="31800" spans="5:9" ht="16.5" hidden="1">
      <c r="E31800" s="4" t="str">
        <v/>
      </c>
      <c r="F31800" s="102" t="str">
        <f ca="1">IFERROR(__xludf.DUMMYFUNCTION("IMPORTRANGE(H31800,""IDENTITAS UNIT!D9"")"),"#N/A")</f>
        <v>#N/A</v>
      </c>
      <c r="H31800" s="4" t="str">
        <v/>
      </c>
      <c r="I31800" s="4" t="str">
        <v/>
      </c>
    </row>
    <row r="31801" spans="5:9" ht="16.5" hidden="1">
      <c r="E31801" s="4" t="str">
        <v/>
      </c>
      <c r="F31801" s="102" t="str">
        <f ca="1">IFERROR(__xludf.DUMMYFUNCTION("IMPORTRANGE(H31801,""IDENTITAS UNIT!D9"")"),"#N/A")</f>
        <v>#N/A</v>
      </c>
      <c r="H31801" s="4" t="str">
        <v/>
      </c>
      <c r="I31801" s="4" t="str">
        <v/>
      </c>
    </row>
    <row r="31802" spans="5:9" ht="16.5" hidden="1">
      <c r="E31802" s="4" t="str">
        <v/>
      </c>
      <c r="F31802" s="102" t="str">
        <f ca="1">IFERROR(__xludf.DUMMYFUNCTION("IMPORTRANGE(H31802,""IDENTITAS UNIT!D9"")"),"#N/A")</f>
        <v>#N/A</v>
      </c>
      <c r="H31802" s="4" t="str">
        <v/>
      </c>
      <c r="I31802" s="4" t="str">
        <v/>
      </c>
    </row>
    <row r="31803" spans="5:9" ht="16.5" hidden="1">
      <c r="E31803" s="4" t="str">
        <v/>
      </c>
      <c r="F31803" s="102" t="str">
        <f ca="1">IFERROR(__xludf.DUMMYFUNCTION("IMPORTRANGE(H31803,""IDENTITAS UNIT!D9"")"),"#N/A")</f>
        <v>#N/A</v>
      </c>
      <c r="H31803" s="4" t="str">
        <v/>
      </c>
      <c r="I31803" s="4" t="str">
        <v/>
      </c>
    </row>
    <row r="31804" spans="5:9" ht="16.5" hidden="1">
      <c r="E31804" s="4" t="str">
        <v/>
      </c>
      <c r="F31804" s="102" t="str">
        <f ca="1">IFERROR(__xludf.DUMMYFUNCTION("IMPORTRANGE(H31804,""IDENTITAS UNIT!D9"")"),"#N/A")</f>
        <v>#N/A</v>
      </c>
      <c r="H31804" s="4" t="str">
        <v/>
      </c>
      <c r="I31804" s="4" t="str">
        <v/>
      </c>
    </row>
    <row r="31805" spans="5:9" ht="16.5" hidden="1">
      <c r="E31805" s="4" t="str">
        <v/>
      </c>
      <c r="F31805" s="102" t="str">
        <f ca="1">IFERROR(__xludf.DUMMYFUNCTION("IMPORTRANGE(H31805,""IDENTITAS UNIT!D9"")"),"#N/A")</f>
        <v>#N/A</v>
      </c>
      <c r="H31805" s="4" t="str">
        <v/>
      </c>
      <c r="I31805" s="4" t="str">
        <v/>
      </c>
    </row>
    <row r="31806" spans="5:9" ht="16.5" hidden="1">
      <c r="E31806" s="4" t="str">
        <v/>
      </c>
      <c r="F31806" s="102" t="str">
        <f ca="1">IFERROR(__xludf.DUMMYFUNCTION("IMPORTRANGE(H31806,""IDENTITAS UNIT!D9"")"),"#N/A")</f>
        <v>#N/A</v>
      </c>
      <c r="H31806" s="4" t="str">
        <v/>
      </c>
      <c r="I31806" s="4" t="str">
        <v/>
      </c>
    </row>
    <row r="31807" spans="5:9" ht="16.5" hidden="1">
      <c r="E31807" s="4" t="str">
        <v/>
      </c>
      <c r="F31807" s="102" t="str">
        <f ca="1">IFERROR(__xludf.DUMMYFUNCTION("IMPORTRANGE(H31807,""IDENTITAS UNIT!D9"")"),"#N/A")</f>
        <v>#N/A</v>
      </c>
      <c r="H31807" s="4" t="str">
        <v/>
      </c>
      <c r="I31807" s="4" t="str">
        <v/>
      </c>
    </row>
    <row r="31808" spans="5:9" ht="16.5" hidden="1">
      <c r="E31808" s="4" t="str">
        <v/>
      </c>
      <c r="F31808" s="102" t="str">
        <f ca="1">IFERROR(__xludf.DUMMYFUNCTION("IMPORTRANGE(H31808,""IDENTITAS UNIT!D9"")"),"#N/A")</f>
        <v>#N/A</v>
      </c>
      <c r="H31808" s="4" t="str">
        <v/>
      </c>
      <c r="I31808" s="4" t="str">
        <v/>
      </c>
    </row>
    <row r="31809" spans="5:9" ht="16.5" hidden="1">
      <c r="E31809" s="4" t="str">
        <v/>
      </c>
      <c r="F31809" s="102" t="str">
        <f ca="1">IFERROR(__xludf.DUMMYFUNCTION("IMPORTRANGE(H31809,""IDENTITAS UNIT!D9"")"),"#N/A")</f>
        <v>#N/A</v>
      </c>
      <c r="H31809" s="4" t="str">
        <v/>
      </c>
      <c r="I31809" s="4" t="str">
        <v/>
      </c>
    </row>
    <row r="31810" spans="5:9" ht="16.5" hidden="1">
      <c r="E31810" s="4" t="str">
        <v/>
      </c>
      <c r="F31810" s="102" t="str">
        <f ca="1">IFERROR(__xludf.DUMMYFUNCTION("IMPORTRANGE(H31810,""IDENTITAS UNIT!D9"")"),"#N/A")</f>
        <v>#N/A</v>
      </c>
      <c r="H31810" s="4" t="str">
        <v/>
      </c>
      <c r="I31810" s="4" t="str">
        <v/>
      </c>
    </row>
    <row r="31811" spans="5:9" ht="16.5" hidden="1">
      <c r="E31811" s="4" t="str">
        <v/>
      </c>
      <c r="F31811" s="102" t="str">
        <f ca="1">IFERROR(__xludf.DUMMYFUNCTION("IMPORTRANGE(H31811,""IDENTITAS UNIT!D9"")"),"#N/A")</f>
        <v>#N/A</v>
      </c>
      <c r="H31811" s="4" t="str">
        <v/>
      </c>
      <c r="I31811" s="4" t="str">
        <v/>
      </c>
    </row>
    <row r="31812" spans="5:9" ht="16.5" hidden="1">
      <c r="E31812" s="4" t="str">
        <v/>
      </c>
      <c r="F31812" s="102" t="str">
        <f ca="1">IFERROR(__xludf.DUMMYFUNCTION("IMPORTRANGE(H31812,""IDENTITAS UNIT!D9"")"),"#N/A")</f>
        <v>#N/A</v>
      </c>
      <c r="H31812" s="4" t="str">
        <v/>
      </c>
      <c r="I31812" s="4" t="str">
        <v/>
      </c>
    </row>
    <row r="31813" spans="5:9" ht="16.5" hidden="1">
      <c r="E31813" s="4" t="str">
        <v/>
      </c>
      <c r="F31813" s="102" t="str">
        <f ca="1">IFERROR(__xludf.DUMMYFUNCTION("IMPORTRANGE(H31813,""IDENTITAS UNIT!D9"")"),"#N/A")</f>
        <v>#N/A</v>
      </c>
      <c r="H31813" s="4" t="str">
        <v/>
      </c>
      <c r="I31813" s="4" t="str">
        <v/>
      </c>
    </row>
    <row r="31814" spans="5:9" ht="16.5" hidden="1">
      <c r="E31814" s="4" t="str">
        <v/>
      </c>
      <c r="F31814" s="102" t="str">
        <f ca="1">IFERROR(__xludf.DUMMYFUNCTION("IMPORTRANGE(H31814,""IDENTITAS UNIT!D9"")"),"#N/A")</f>
        <v>#N/A</v>
      </c>
      <c r="H31814" s="4" t="str">
        <v/>
      </c>
      <c r="I31814" s="4" t="str">
        <v/>
      </c>
    </row>
    <row r="31815" spans="5:9" ht="16.5" hidden="1">
      <c r="E31815" s="4" t="str">
        <v/>
      </c>
      <c r="F31815" s="102" t="str">
        <f ca="1">IFERROR(__xludf.DUMMYFUNCTION("IMPORTRANGE(H31815,""IDENTITAS UNIT!D9"")"),"#N/A")</f>
        <v>#N/A</v>
      </c>
      <c r="H31815" s="4" t="str">
        <v/>
      </c>
      <c r="I31815" s="4" t="str">
        <v/>
      </c>
    </row>
    <row r="31816" spans="5:9" ht="16.5" hidden="1">
      <c r="E31816" s="4" t="str">
        <v/>
      </c>
      <c r="F31816" s="102" t="str">
        <f ca="1">IFERROR(__xludf.DUMMYFUNCTION("IMPORTRANGE(H31816,""IDENTITAS UNIT!D9"")"),"#N/A")</f>
        <v>#N/A</v>
      </c>
      <c r="H31816" s="4" t="str">
        <v/>
      </c>
      <c r="I31816" s="4" t="str">
        <v/>
      </c>
    </row>
    <row r="31817" spans="5:9" ht="16.5" hidden="1">
      <c r="E31817" s="4" t="str">
        <v/>
      </c>
      <c r="F31817" s="102" t="str">
        <f ca="1">IFERROR(__xludf.DUMMYFUNCTION("IMPORTRANGE(H31817,""IDENTITAS UNIT!D9"")"),"#N/A")</f>
        <v>#N/A</v>
      </c>
      <c r="H31817" s="4" t="str">
        <v/>
      </c>
      <c r="I31817" s="4" t="str">
        <v/>
      </c>
    </row>
    <row r="31818" spans="5:9" ht="16.5" hidden="1">
      <c r="E31818" s="4" t="str">
        <v/>
      </c>
      <c r="F31818" s="102" t="str">
        <f ca="1">IFERROR(__xludf.DUMMYFUNCTION("IMPORTRANGE(H31818,""IDENTITAS UNIT!D9"")"),"#N/A")</f>
        <v>#N/A</v>
      </c>
      <c r="H31818" s="4" t="str">
        <v/>
      </c>
      <c r="I31818" s="4" t="str">
        <v/>
      </c>
    </row>
    <row r="31819" spans="5:9" ht="16.5" hidden="1">
      <c r="E31819" s="4" t="str">
        <v/>
      </c>
      <c r="F31819" s="102" t="str">
        <f ca="1">IFERROR(__xludf.DUMMYFUNCTION("IMPORTRANGE(H31819,""IDENTITAS UNIT!D9"")"),"#N/A")</f>
        <v>#N/A</v>
      </c>
      <c r="H31819" s="4" t="str">
        <v/>
      </c>
      <c r="I31819" s="4" t="str">
        <v/>
      </c>
    </row>
    <row r="31820" spans="5:9" ht="16.5" hidden="1">
      <c r="E31820" s="4" t="str">
        <v/>
      </c>
      <c r="F31820" s="102" t="str">
        <f ca="1">IFERROR(__xludf.DUMMYFUNCTION("IMPORTRANGE(H31820,""IDENTITAS UNIT!D9"")"),"#N/A")</f>
        <v>#N/A</v>
      </c>
      <c r="H31820" s="4" t="str">
        <v/>
      </c>
      <c r="I31820" s="4" t="str">
        <v/>
      </c>
    </row>
    <row r="31821" spans="5:9" ht="16.5" hidden="1">
      <c r="E31821" s="4" t="str">
        <v/>
      </c>
      <c r="F31821" s="102" t="str">
        <f ca="1">IFERROR(__xludf.DUMMYFUNCTION("IMPORTRANGE(H31821,""IDENTITAS UNIT!D9"")"),"#N/A")</f>
        <v>#N/A</v>
      </c>
      <c r="H31821" s="4" t="str">
        <v/>
      </c>
      <c r="I31821" s="4" t="str">
        <v/>
      </c>
    </row>
    <row r="31822" spans="5:9" ht="16.5" hidden="1">
      <c r="E31822" s="4" t="str">
        <v/>
      </c>
      <c r="F31822" s="102" t="str">
        <f ca="1">IFERROR(__xludf.DUMMYFUNCTION("IMPORTRANGE(H31822,""IDENTITAS UNIT!D9"")"),"#N/A")</f>
        <v>#N/A</v>
      </c>
      <c r="H31822" s="4" t="str">
        <v/>
      </c>
      <c r="I31822" s="4" t="str">
        <v/>
      </c>
    </row>
    <row r="31823" spans="5:9" ht="16.5" hidden="1">
      <c r="E31823" s="4" t="str">
        <v/>
      </c>
      <c r="F31823" s="102" t="str">
        <f ca="1">IFERROR(__xludf.DUMMYFUNCTION("IMPORTRANGE(H31823,""IDENTITAS UNIT!D9"")"),"#N/A")</f>
        <v>#N/A</v>
      </c>
      <c r="H31823" s="4" t="str">
        <v/>
      </c>
      <c r="I31823" s="4" t="str">
        <v/>
      </c>
    </row>
    <row r="31824" spans="5:9" ht="16.5" hidden="1">
      <c r="E31824" s="4" t="str">
        <v/>
      </c>
      <c r="F31824" s="102" t="str">
        <f ca="1">IFERROR(__xludf.DUMMYFUNCTION("IMPORTRANGE(H31824,""IDENTITAS UNIT!D9"")"),"#N/A")</f>
        <v>#N/A</v>
      </c>
      <c r="H31824" s="4" t="str">
        <v/>
      </c>
      <c r="I31824" s="4" t="str">
        <v/>
      </c>
    </row>
    <row r="31825" spans="5:9" ht="16.5" hidden="1">
      <c r="E31825" s="4" t="str">
        <v/>
      </c>
      <c r="F31825" s="102" t="str">
        <f ca="1">IFERROR(__xludf.DUMMYFUNCTION("IMPORTRANGE(H31825,""IDENTITAS UNIT!D9"")"),"#N/A")</f>
        <v>#N/A</v>
      </c>
      <c r="H31825" s="4" t="str">
        <v/>
      </c>
      <c r="I31825" s="4" t="str">
        <v/>
      </c>
    </row>
    <row r="31826" spans="5:9" ht="16.5" hidden="1">
      <c r="E31826" s="4" t="str">
        <v/>
      </c>
      <c r="F31826" s="102" t="str">
        <f ca="1">IFERROR(__xludf.DUMMYFUNCTION("IMPORTRANGE(H31826,""IDENTITAS UNIT!D9"")"),"#N/A")</f>
        <v>#N/A</v>
      </c>
      <c r="H31826" s="4" t="str">
        <v/>
      </c>
      <c r="I31826" s="4" t="str">
        <v/>
      </c>
    </row>
    <row r="31827" spans="5:9" ht="16.5" hidden="1">
      <c r="E31827" s="4" t="str">
        <v/>
      </c>
      <c r="F31827" s="102" t="str">
        <f ca="1">IFERROR(__xludf.DUMMYFUNCTION("IMPORTRANGE(H31827,""IDENTITAS UNIT!D9"")"),"#N/A")</f>
        <v>#N/A</v>
      </c>
      <c r="H31827" s="4" t="str">
        <v/>
      </c>
      <c r="I31827" s="4" t="str">
        <v/>
      </c>
    </row>
    <row r="31828" spans="5:9" ht="16.5" hidden="1">
      <c r="E31828" s="4" t="str">
        <v/>
      </c>
      <c r="F31828" s="102" t="str">
        <f ca="1">IFERROR(__xludf.DUMMYFUNCTION("IMPORTRANGE(H31828,""IDENTITAS UNIT!D9"")"),"#N/A")</f>
        <v>#N/A</v>
      </c>
      <c r="H31828" s="4" t="str">
        <v/>
      </c>
      <c r="I31828" s="4" t="str">
        <v/>
      </c>
    </row>
    <row r="31829" spans="5:9" ht="16.5" hidden="1">
      <c r="E31829" s="4" t="str">
        <v/>
      </c>
      <c r="F31829" s="102" t="str">
        <f ca="1">IFERROR(__xludf.DUMMYFUNCTION("IMPORTRANGE(H31829,""IDENTITAS UNIT!D9"")"),"#N/A")</f>
        <v>#N/A</v>
      </c>
      <c r="H31829" s="4" t="str">
        <v/>
      </c>
      <c r="I31829" s="4" t="str">
        <v/>
      </c>
    </row>
    <row r="31830" spans="5:9" ht="16.5" hidden="1">
      <c r="E31830" s="4" t="str">
        <v/>
      </c>
      <c r="F31830" s="102" t="str">
        <f ca="1">IFERROR(__xludf.DUMMYFUNCTION("IMPORTRANGE(H31830,""IDENTITAS UNIT!D9"")"),"#N/A")</f>
        <v>#N/A</v>
      </c>
      <c r="H31830" s="4" t="str">
        <v/>
      </c>
      <c r="I31830" s="4" t="str">
        <v/>
      </c>
    </row>
    <row r="31831" spans="5:9" ht="16.5" hidden="1">
      <c r="E31831" s="4" t="str">
        <v/>
      </c>
      <c r="F31831" s="102" t="str">
        <f ca="1">IFERROR(__xludf.DUMMYFUNCTION("IMPORTRANGE(H31831,""IDENTITAS UNIT!D9"")"),"#N/A")</f>
        <v>#N/A</v>
      </c>
      <c r="H31831" s="4" t="str">
        <v/>
      </c>
      <c r="I31831" s="4" t="str">
        <v/>
      </c>
    </row>
    <row r="31832" spans="5:9" ht="16.5" hidden="1">
      <c r="E31832" s="4" t="str">
        <v/>
      </c>
      <c r="F31832" s="102" t="str">
        <f ca="1">IFERROR(__xludf.DUMMYFUNCTION("IMPORTRANGE(H31832,""IDENTITAS UNIT!D9"")"),"#N/A")</f>
        <v>#N/A</v>
      </c>
      <c r="H31832" s="4" t="str">
        <v/>
      </c>
      <c r="I31832" s="4" t="str">
        <v/>
      </c>
    </row>
    <row r="31833" spans="5:9" ht="16.5" hidden="1">
      <c r="E31833" s="4" t="str">
        <v/>
      </c>
      <c r="F31833" s="102" t="str">
        <f ca="1">IFERROR(__xludf.DUMMYFUNCTION("IMPORTRANGE(H31833,""IDENTITAS UNIT!D9"")"),"#N/A")</f>
        <v>#N/A</v>
      </c>
      <c r="H31833" s="4" t="str">
        <v/>
      </c>
      <c r="I31833" s="4" t="str">
        <v/>
      </c>
    </row>
    <row r="31834" spans="5:9" ht="16.5" hidden="1">
      <c r="E31834" s="4" t="str">
        <v/>
      </c>
      <c r="F31834" s="102" t="str">
        <f ca="1">IFERROR(__xludf.DUMMYFUNCTION("IMPORTRANGE(H31834,""IDENTITAS UNIT!D9"")"),"#N/A")</f>
        <v>#N/A</v>
      </c>
      <c r="H31834" s="4" t="str">
        <v/>
      </c>
      <c r="I31834" s="4" t="str">
        <v/>
      </c>
    </row>
    <row r="31835" spans="5:9" ht="16.5" hidden="1">
      <c r="E31835" s="4" t="str">
        <v/>
      </c>
      <c r="F31835" s="102" t="str">
        <f ca="1">IFERROR(__xludf.DUMMYFUNCTION("IMPORTRANGE(H31835,""IDENTITAS UNIT!D9"")"),"#N/A")</f>
        <v>#N/A</v>
      </c>
      <c r="H31835" s="4" t="str">
        <v/>
      </c>
      <c r="I31835" s="4" t="str">
        <v/>
      </c>
    </row>
    <row r="31836" spans="5:9" ht="16.5" hidden="1">
      <c r="E31836" s="4" t="str">
        <v/>
      </c>
      <c r="F31836" s="102" t="str">
        <f ca="1">IFERROR(__xludf.DUMMYFUNCTION("IMPORTRANGE(H31836,""IDENTITAS UNIT!D9"")"),"#N/A")</f>
        <v>#N/A</v>
      </c>
      <c r="H31836" s="4" t="str">
        <v/>
      </c>
      <c r="I31836" s="4" t="str">
        <v/>
      </c>
    </row>
    <row r="31837" spans="5:9" ht="16.5" hidden="1">
      <c r="E31837" s="4" t="str">
        <v/>
      </c>
      <c r="F31837" s="102" t="str">
        <f ca="1">IFERROR(__xludf.DUMMYFUNCTION("IMPORTRANGE(H31837,""IDENTITAS UNIT!D9"")"),"#N/A")</f>
        <v>#N/A</v>
      </c>
      <c r="H31837" s="4" t="str">
        <v/>
      </c>
      <c r="I31837" s="4" t="str">
        <v/>
      </c>
    </row>
    <row r="31838" spans="5:9" ht="16.5" hidden="1">
      <c r="E31838" s="4" t="str">
        <v/>
      </c>
      <c r="F31838" s="102" t="str">
        <f ca="1">IFERROR(__xludf.DUMMYFUNCTION("IMPORTRANGE(H31838,""IDENTITAS UNIT!D9"")"),"#N/A")</f>
        <v>#N/A</v>
      </c>
      <c r="H31838" s="4" t="str">
        <v/>
      </c>
      <c r="I31838" s="4" t="str">
        <v/>
      </c>
    </row>
    <row r="31839" spans="5:9" ht="16.5" hidden="1">
      <c r="E31839" s="4" t="str">
        <v/>
      </c>
      <c r="F31839" s="102" t="str">
        <f ca="1">IFERROR(__xludf.DUMMYFUNCTION("IMPORTRANGE(H31839,""IDENTITAS UNIT!D9"")"),"#N/A")</f>
        <v>#N/A</v>
      </c>
      <c r="H31839" s="4" t="str">
        <v/>
      </c>
      <c r="I31839" s="4" t="str">
        <v/>
      </c>
    </row>
    <row r="31840" spans="5:9" ht="16.5" hidden="1">
      <c r="E31840" s="4" t="str">
        <v/>
      </c>
      <c r="F31840" s="102" t="str">
        <f ca="1">IFERROR(__xludf.DUMMYFUNCTION("IMPORTRANGE(H31840,""IDENTITAS UNIT!D9"")"),"#N/A")</f>
        <v>#N/A</v>
      </c>
      <c r="H31840" s="4" t="str">
        <v/>
      </c>
      <c r="I31840" s="4" t="str">
        <v/>
      </c>
    </row>
    <row r="31841" spans="5:9" ht="16.5" hidden="1">
      <c r="E31841" s="4" t="str">
        <v/>
      </c>
      <c r="F31841" s="102" t="str">
        <f ca="1">IFERROR(__xludf.DUMMYFUNCTION("IMPORTRANGE(H31841,""IDENTITAS UNIT!D9"")"),"#N/A")</f>
        <v>#N/A</v>
      </c>
      <c r="H31841" s="4" t="str">
        <v/>
      </c>
      <c r="I31841" s="4" t="str">
        <v/>
      </c>
    </row>
    <row r="31842" spans="5:9" ht="16.5" hidden="1">
      <c r="E31842" s="4" t="str">
        <v/>
      </c>
      <c r="F31842" s="102" t="str">
        <f ca="1">IFERROR(__xludf.DUMMYFUNCTION("IMPORTRANGE(H31842,""IDENTITAS UNIT!D9"")"),"#N/A")</f>
        <v>#N/A</v>
      </c>
      <c r="H31842" s="4" t="str">
        <v/>
      </c>
      <c r="I31842" s="4" t="str">
        <v/>
      </c>
    </row>
    <row r="31843" spans="5:9" ht="16.5" hidden="1">
      <c r="E31843" s="4" t="str">
        <v/>
      </c>
      <c r="F31843" s="102" t="str">
        <f ca="1">IFERROR(__xludf.DUMMYFUNCTION("IMPORTRANGE(H31843,""IDENTITAS UNIT!D9"")"),"#N/A")</f>
        <v>#N/A</v>
      </c>
      <c r="H31843" s="4" t="str">
        <v/>
      </c>
      <c r="I31843" s="4" t="str">
        <v/>
      </c>
    </row>
    <row r="31844" spans="5:9" ht="16.5" hidden="1">
      <c r="E31844" s="4" t="str">
        <v/>
      </c>
      <c r="F31844" s="102" t="str">
        <f ca="1">IFERROR(__xludf.DUMMYFUNCTION("IMPORTRANGE(H31844,""IDENTITAS UNIT!D9"")"),"#N/A")</f>
        <v>#N/A</v>
      </c>
      <c r="H31844" s="4" t="str">
        <v/>
      </c>
      <c r="I31844" s="4" t="str">
        <v/>
      </c>
    </row>
    <row r="31845" spans="5:9" ht="16.5" hidden="1">
      <c r="E31845" s="4" t="str">
        <v/>
      </c>
      <c r="F31845" s="102" t="str">
        <f ca="1">IFERROR(__xludf.DUMMYFUNCTION("IMPORTRANGE(H31845,""IDENTITAS UNIT!D9"")"),"#N/A")</f>
        <v>#N/A</v>
      </c>
      <c r="H31845" s="4" t="str">
        <v/>
      </c>
      <c r="I31845" s="4" t="str">
        <v/>
      </c>
    </row>
    <row r="31846" spans="5:9" ht="16.5" hidden="1">
      <c r="E31846" s="4" t="str">
        <v/>
      </c>
      <c r="F31846" s="102" t="str">
        <f ca="1">IFERROR(__xludf.DUMMYFUNCTION("IMPORTRANGE(H31846,""IDENTITAS UNIT!D9"")"),"#N/A")</f>
        <v>#N/A</v>
      </c>
      <c r="H31846" s="4" t="str">
        <v/>
      </c>
      <c r="I31846" s="4" t="str">
        <v/>
      </c>
    </row>
    <row r="31847" spans="5:9" ht="16.5" hidden="1">
      <c r="E31847" s="4" t="str">
        <v/>
      </c>
      <c r="F31847" s="102" t="str">
        <f ca="1">IFERROR(__xludf.DUMMYFUNCTION("IMPORTRANGE(H31847,""IDENTITAS UNIT!D9"")"),"#N/A")</f>
        <v>#N/A</v>
      </c>
      <c r="H31847" s="4" t="str">
        <v/>
      </c>
      <c r="I31847" s="4" t="str">
        <v/>
      </c>
    </row>
    <row r="31848" spans="5:9" ht="16.5" hidden="1">
      <c r="E31848" s="4" t="str">
        <v/>
      </c>
      <c r="F31848" s="102" t="str">
        <f ca="1">IFERROR(__xludf.DUMMYFUNCTION("IMPORTRANGE(H31848,""IDENTITAS UNIT!D9"")"),"#N/A")</f>
        <v>#N/A</v>
      </c>
      <c r="H31848" s="4" t="str">
        <v/>
      </c>
      <c r="I31848" s="4" t="str">
        <v/>
      </c>
    </row>
    <row r="31849" spans="5:9" ht="16.5" hidden="1">
      <c r="E31849" s="4" t="str">
        <v/>
      </c>
      <c r="F31849" s="102" t="str">
        <f ca="1">IFERROR(__xludf.DUMMYFUNCTION("IMPORTRANGE(H31849,""IDENTITAS UNIT!D9"")"),"#N/A")</f>
        <v>#N/A</v>
      </c>
      <c r="H31849" s="4" t="str">
        <v/>
      </c>
      <c r="I31849" s="4" t="str">
        <v/>
      </c>
    </row>
    <row r="31850" spans="5:9" ht="16.5" hidden="1">
      <c r="E31850" s="4" t="str">
        <v/>
      </c>
      <c r="F31850" s="102" t="str">
        <f ca="1">IFERROR(__xludf.DUMMYFUNCTION("IMPORTRANGE(H31850,""IDENTITAS UNIT!D9"")"),"#N/A")</f>
        <v>#N/A</v>
      </c>
      <c r="H31850" s="4" t="str">
        <v/>
      </c>
      <c r="I31850" s="4" t="str">
        <v/>
      </c>
    </row>
    <row r="31851" spans="5:9" ht="16.5" hidden="1">
      <c r="E31851" s="4" t="str">
        <v/>
      </c>
      <c r="F31851" s="102" t="str">
        <f ca="1">IFERROR(__xludf.DUMMYFUNCTION("IMPORTRANGE(H31851,""IDENTITAS UNIT!D9"")"),"#N/A")</f>
        <v>#N/A</v>
      </c>
      <c r="H31851" s="4" t="str">
        <v/>
      </c>
      <c r="I31851" s="4" t="str">
        <v/>
      </c>
    </row>
    <row r="31852" spans="5:9" ht="16.5" hidden="1">
      <c r="E31852" s="4" t="str">
        <v/>
      </c>
      <c r="F31852" s="102" t="str">
        <f ca="1">IFERROR(__xludf.DUMMYFUNCTION("IMPORTRANGE(H31852,""IDENTITAS UNIT!D9"")"),"#N/A")</f>
        <v>#N/A</v>
      </c>
      <c r="H31852" s="4" t="str">
        <v/>
      </c>
      <c r="I31852" s="4" t="str">
        <v/>
      </c>
    </row>
    <row r="31853" spans="5:9" ht="16.5" hidden="1">
      <c r="E31853" s="4" t="str">
        <v/>
      </c>
      <c r="F31853" s="102" t="str">
        <f ca="1">IFERROR(__xludf.DUMMYFUNCTION("IMPORTRANGE(H31853,""IDENTITAS UNIT!D9"")"),"#N/A")</f>
        <v>#N/A</v>
      </c>
      <c r="H31853" s="4" t="str">
        <v/>
      </c>
      <c r="I31853" s="4" t="str">
        <v/>
      </c>
    </row>
    <row r="31854" spans="5:9" ht="16.5" hidden="1">
      <c r="E31854" s="4" t="str">
        <v/>
      </c>
      <c r="F31854" s="102" t="str">
        <f ca="1">IFERROR(__xludf.DUMMYFUNCTION("IMPORTRANGE(H31854,""IDENTITAS UNIT!D9"")"),"#N/A")</f>
        <v>#N/A</v>
      </c>
      <c r="H31854" s="4" t="str">
        <v/>
      </c>
      <c r="I31854" s="4" t="str">
        <v/>
      </c>
    </row>
    <row r="31855" spans="5:9" ht="16.5" hidden="1">
      <c r="E31855" s="4" t="str">
        <v/>
      </c>
      <c r="F31855" s="102" t="str">
        <f ca="1">IFERROR(__xludf.DUMMYFUNCTION("IMPORTRANGE(H31855,""IDENTITAS UNIT!D9"")"),"#N/A")</f>
        <v>#N/A</v>
      </c>
      <c r="H31855" s="4" t="str">
        <v/>
      </c>
      <c r="I31855" s="4" t="str">
        <v/>
      </c>
    </row>
    <row r="31856" spans="5:9" ht="16.5" hidden="1">
      <c r="E31856" s="4" t="str">
        <v/>
      </c>
      <c r="F31856" s="102" t="str">
        <f ca="1">IFERROR(__xludf.DUMMYFUNCTION("IMPORTRANGE(H31856,""IDENTITAS UNIT!D9"")"),"#N/A")</f>
        <v>#N/A</v>
      </c>
      <c r="H31856" s="4" t="str">
        <v/>
      </c>
      <c r="I31856" s="4" t="str">
        <v/>
      </c>
    </row>
    <row r="31857" spans="5:9" ht="16.5" hidden="1">
      <c r="E31857" s="4" t="str">
        <v/>
      </c>
      <c r="F31857" s="102" t="str">
        <f ca="1">IFERROR(__xludf.DUMMYFUNCTION("IMPORTRANGE(H31857,""IDENTITAS UNIT!D9"")"),"#N/A")</f>
        <v>#N/A</v>
      </c>
      <c r="H31857" s="4" t="str">
        <v/>
      </c>
      <c r="I31857" s="4" t="str">
        <v/>
      </c>
    </row>
    <row r="31858" spans="5:9" ht="16.5" hidden="1">
      <c r="E31858" s="4" t="str">
        <v/>
      </c>
      <c r="F31858" s="102" t="str">
        <f ca="1">IFERROR(__xludf.DUMMYFUNCTION("IMPORTRANGE(H31858,""IDENTITAS UNIT!D9"")"),"#N/A")</f>
        <v>#N/A</v>
      </c>
      <c r="H31858" s="4" t="str">
        <v/>
      </c>
      <c r="I31858" s="4" t="str">
        <v/>
      </c>
    </row>
    <row r="31859" spans="5:9" ht="16.5" hidden="1">
      <c r="E31859" s="4" t="str">
        <v/>
      </c>
      <c r="F31859" s="102" t="str">
        <f ca="1">IFERROR(__xludf.DUMMYFUNCTION("IMPORTRANGE(H31859,""IDENTITAS UNIT!D9"")"),"#N/A")</f>
        <v>#N/A</v>
      </c>
      <c r="H31859" s="4" t="str">
        <v/>
      </c>
      <c r="I31859" s="4" t="str">
        <v/>
      </c>
    </row>
    <row r="31860" spans="5:9" ht="16.5" hidden="1">
      <c r="E31860" s="4" t="str">
        <v/>
      </c>
      <c r="F31860" s="102" t="str">
        <f ca="1">IFERROR(__xludf.DUMMYFUNCTION("IMPORTRANGE(H31860,""IDENTITAS UNIT!D9"")"),"#N/A")</f>
        <v>#N/A</v>
      </c>
      <c r="H31860" s="4" t="str">
        <v/>
      </c>
      <c r="I31860" s="4" t="str">
        <v/>
      </c>
    </row>
    <row r="31861" spans="5:9" ht="16.5" hidden="1">
      <c r="E31861" s="4" t="str">
        <v/>
      </c>
      <c r="F31861" s="102" t="str">
        <f ca="1">IFERROR(__xludf.DUMMYFUNCTION("IMPORTRANGE(H31861,""IDENTITAS UNIT!D9"")"),"#N/A")</f>
        <v>#N/A</v>
      </c>
      <c r="H31861" s="4" t="str">
        <v/>
      </c>
      <c r="I31861" s="4" t="str">
        <v/>
      </c>
    </row>
    <row r="31862" spans="5:9" ht="16.5" hidden="1">
      <c r="E31862" s="4" t="str">
        <v/>
      </c>
      <c r="F31862" s="102" t="str">
        <f ca="1">IFERROR(__xludf.DUMMYFUNCTION("IMPORTRANGE(H31862,""IDENTITAS UNIT!D9"")"),"#N/A")</f>
        <v>#N/A</v>
      </c>
      <c r="H31862" s="4" t="str">
        <v/>
      </c>
      <c r="I31862" s="4" t="str">
        <v/>
      </c>
    </row>
    <row r="31863" spans="5:9" ht="16.5" hidden="1">
      <c r="E31863" s="4" t="str">
        <v/>
      </c>
      <c r="F31863" s="102" t="str">
        <f ca="1">IFERROR(__xludf.DUMMYFUNCTION("IMPORTRANGE(H31863,""IDENTITAS UNIT!D9"")"),"#N/A")</f>
        <v>#N/A</v>
      </c>
      <c r="H31863" s="4" t="str">
        <v/>
      </c>
      <c r="I31863" s="4" t="str">
        <v/>
      </c>
    </row>
    <row r="31864" spans="5:9" ht="16.5" hidden="1">
      <c r="E31864" s="4" t="str">
        <v/>
      </c>
      <c r="F31864" s="102" t="str">
        <f ca="1">IFERROR(__xludf.DUMMYFUNCTION("IMPORTRANGE(H31864,""IDENTITAS UNIT!D9"")"),"#N/A")</f>
        <v>#N/A</v>
      </c>
      <c r="H31864" s="4" t="str">
        <v/>
      </c>
      <c r="I31864" s="4" t="str">
        <v/>
      </c>
    </row>
    <row r="31865" spans="5:9" ht="16.5" hidden="1">
      <c r="E31865" s="4" t="str">
        <v/>
      </c>
      <c r="F31865" s="102" t="str">
        <f ca="1">IFERROR(__xludf.DUMMYFUNCTION("IMPORTRANGE(H31865,""IDENTITAS UNIT!D9"")"),"#N/A")</f>
        <v>#N/A</v>
      </c>
      <c r="H31865" s="4" t="str">
        <v/>
      </c>
      <c r="I31865" s="4" t="str">
        <v/>
      </c>
    </row>
    <row r="31866" spans="5:9" ht="16.5" hidden="1">
      <c r="E31866" s="4" t="str">
        <v/>
      </c>
      <c r="F31866" s="102" t="str">
        <f ca="1">IFERROR(__xludf.DUMMYFUNCTION("IMPORTRANGE(H31866,""IDENTITAS UNIT!D9"")"),"#N/A")</f>
        <v>#N/A</v>
      </c>
      <c r="H31866" s="4" t="str">
        <v/>
      </c>
      <c r="I31866" s="4" t="str">
        <v/>
      </c>
    </row>
    <row r="31867" spans="5:9" ht="16.5" hidden="1">
      <c r="E31867" s="4" t="str">
        <v/>
      </c>
      <c r="F31867" s="102" t="str">
        <f ca="1">IFERROR(__xludf.DUMMYFUNCTION("IMPORTRANGE(H31867,""IDENTITAS UNIT!D9"")"),"#N/A")</f>
        <v>#N/A</v>
      </c>
      <c r="H31867" s="4" t="str">
        <v/>
      </c>
      <c r="I31867" s="4" t="str">
        <v/>
      </c>
    </row>
    <row r="31868" spans="5:9" ht="16.5" hidden="1">
      <c r="E31868" s="4" t="str">
        <v/>
      </c>
      <c r="F31868" s="102" t="str">
        <f ca="1">IFERROR(__xludf.DUMMYFUNCTION("IMPORTRANGE(H31868,""IDENTITAS UNIT!D9"")"),"#N/A")</f>
        <v>#N/A</v>
      </c>
      <c r="H31868" s="4" t="str">
        <v/>
      </c>
      <c r="I31868" s="4" t="str">
        <v/>
      </c>
    </row>
    <row r="31869" spans="5:9" ht="16.5" hidden="1">
      <c r="E31869" s="4" t="str">
        <v/>
      </c>
      <c r="F31869" s="102" t="str">
        <f ca="1">IFERROR(__xludf.DUMMYFUNCTION("IMPORTRANGE(H31869,""IDENTITAS UNIT!D9"")"),"#N/A")</f>
        <v>#N/A</v>
      </c>
      <c r="H31869" s="4" t="str">
        <v/>
      </c>
      <c r="I31869" s="4" t="str">
        <v/>
      </c>
    </row>
    <row r="31870" spans="5:9" ht="16.5" hidden="1">
      <c r="E31870" s="4" t="str">
        <v/>
      </c>
      <c r="F31870" s="102" t="str">
        <f ca="1">IFERROR(__xludf.DUMMYFUNCTION("IMPORTRANGE(H31870,""IDENTITAS UNIT!D9"")"),"#N/A")</f>
        <v>#N/A</v>
      </c>
      <c r="H31870" s="4" t="str">
        <v/>
      </c>
      <c r="I31870" s="4" t="str">
        <v/>
      </c>
    </row>
    <row r="31871" spans="5:9" ht="16.5" hidden="1">
      <c r="E31871" s="4" t="str">
        <v/>
      </c>
      <c r="F31871" s="102" t="str">
        <f ca="1">IFERROR(__xludf.DUMMYFUNCTION("IMPORTRANGE(H31871,""IDENTITAS UNIT!D9"")"),"#N/A")</f>
        <v>#N/A</v>
      </c>
      <c r="H31871" s="4" t="str">
        <v/>
      </c>
      <c r="I31871" s="4" t="str">
        <v/>
      </c>
    </row>
    <row r="31872" spans="5:9" ht="16.5" hidden="1">
      <c r="E31872" s="4" t="str">
        <v/>
      </c>
      <c r="F31872" s="102" t="str">
        <f ca="1">IFERROR(__xludf.DUMMYFUNCTION("IMPORTRANGE(H31872,""IDENTITAS UNIT!D9"")"),"#N/A")</f>
        <v>#N/A</v>
      </c>
      <c r="H31872" s="4" t="str">
        <v/>
      </c>
      <c r="I31872" s="4" t="str">
        <v/>
      </c>
    </row>
    <row r="31873" spans="5:9" ht="16.5" hidden="1">
      <c r="E31873" s="4" t="str">
        <v/>
      </c>
      <c r="F31873" s="102" t="str">
        <f ca="1">IFERROR(__xludf.DUMMYFUNCTION("IMPORTRANGE(H31873,""IDENTITAS UNIT!D9"")"),"#N/A")</f>
        <v>#N/A</v>
      </c>
      <c r="H31873" s="4" t="str">
        <v/>
      </c>
      <c r="I31873" s="4" t="str">
        <v/>
      </c>
    </row>
    <row r="31874" spans="5:9" ht="16.5" hidden="1">
      <c r="E31874" s="4" t="str">
        <v/>
      </c>
      <c r="F31874" s="102" t="str">
        <f ca="1">IFERROR(__xludf.DUMMYFUNCTION("IMPORTRANGE(H31874,""IDENTITAS UNIT!D9"")"),"#N/A")</f>
        <v>#N/A</v>
      </c>
      <c r="H31874" s="4" t="str">
        <v/>
      </c>
      <c r="I31874" s="4" t="str">
        <v/>
      </c>
    </row>
    <row r="31875" spans="5:9" ht="16.5" hidden="1">
      <c r="E31875" s="4" t="str">
        <v/>
      </c>
      <c r="F31875" s="102" t="str">
        <f ca="1">IFERROR(__xludf.DUMMYFUNCTION("IMPORTRANGE(H31875,""IDENTITAS UNIT!D9"")"),"#N/A")</f>
        <v>#N/A</v>
      </c>
      <c r="H31875" s="4" t="str">
        <v/>
      </c>
      <c r="I31875" s="4" t="str">
        <v/>
      </c>
    </row>
    <row r="31876" spans="5:9" ht="16.5" hidden="1">
      <c r="E31876" s="4" t="str">
        <v/>
      </c>
      <c r="F31876" s="102" t="str">
        <f ca="1">IFERROR(__xludf.DUMMYFUNCTION("IMPORTRANGE(H31876,""IDENTITAS UNIT!D9"")"),"#N/A")</f>
        <v>#N/A</v>
      </c>
      <c r="H31876" s="4" t="str">
        <v/>
      </c>
      <c r="I31876" s="4" t="str">
        <v/>
      </c>
    </row>
    <row r="31877" spans="5:9" ht="16.5" hidden="1">
      <c r="E31877" s="4" t="str">
        <v/>
      </c>
      <c r="F31877" s="102" t="str">
        <f ca="1">IFERROR(__xludf.DUMMYFUNCTION("IMPORTRANGE(H31877,""IDENTITAS UNIT!D9"")"),"#N/A")</f>
        <v>#N/A</v>
      </c>
      <c r="H31877" s="4" t="str">
        <v/>
      </c>
      <c r="I31877" s="4" t="str">
        <v/>
      </c>
    </row>
    <row r="31878" spans="5:9" ht="16.5" hidden="1">
      <c r="E31878" s="4" t="str">
        <v/>
      </c>
      <c r="F31878" s="102" t="str">
        <f ca="1">IFERROR(__xludf.DUMMYFUNCTION("IMPORTRANGE(H31878,""IDENTITAS UNIT!D9"")"),"#N/A")</f>
        <v>#N/A</v>
      </c>
      <c r="H31878" s="4" t="str">
        <v/>
      </c>
      <c r="I31878" s="4" t="str">
        <v/>
      </c>
    </row>
    <row r="31879" spans="5:9" ht="16.5" hidden="1">
      <c r="E31879" s="4" t="str">
        <v/>
      </c>
      <c r="F31879" s="102" t="str">
        <f ca="1">IFERROR(__xludf.DUMMYFUNCTION("IMPORTRANGE(H31879,""IDENTITAS UNIT!D9"")"),"#N/A")</f>
        <v>#N/A</v>
      </c>
      <c r="H31879" s="4" t="str">
        <v/>
      </c>
      <c r="I31879" s="4" t="str">
        <v/>
      </c>
    </row>
    <row r="31880" spans="5:9" ht="16.5" hidden="1">
      <c r="E31880" s="4" t="str">
        <v/>
      </c>
      <c r="F31880" s="102" t="str">
        <f ca="1">IFERROR(__xludf.DUMMYFUNCTION("IMPORTRANGE(H31880,""IDENTITAS UNIT!D9"")"),"#N/A")</f>
        <v>#N/A</v>
      </c>
      <c r="H31880" s="4" t="str">
        <v/>
      </c>
      <c r="I31880" s="4" t="str">
        <v/>
      </c>
    </row>
    <row r="31881" spans="5:9" ht="16.5" hidden="1">
      <c r="E31881" s="4" t="str">
        <v/>
      </c>
      <c r="F31881" s="102" t="str">
        <f ca="1">IFERROR(__xludf.DUMMYFUNCTION("IMPORTRANGE(H31881,""IDENTITAS UNIT!D9"")"),"#N/A")</f>
        <v>#N/A</v>
      </c>
      <c r="H31881" s="4" t="str">
        <v/>
      </c>
      <c r="I31881" s="4" t="str">
        <v/>
      </c>
    </row>
    <row r="31882" spans="5:9" ht="16.5" hidden="1">
      <c r="E31882" s="4" t="str">
        <v/>
      </c>
      <c r="F31882" s="102" t="str">
        <f ca="1">IFERROR(__xludf.DUMMYFUNCTION("IMPORTRANGE(H31882,""IDENTITAS UNIT!D9"")"),"#N/A")</f>
        <v>#N/A</v>
      </c>
      <c r="H31882" s="4" t="str">
        <v/>
      </c>
      <c r="I31882" s="4" t="str">
        <v/>
      </c>
    </row>
    <row r="31883" spans="5:9" ht="16.5" hidden="1">
      <c r="E31883" s="4" t="str">
        <v/>
      </c>
      <c r="F31883" s="102" t="str">
        <f ca="1">IFERROR(__xludf.DUMMYFUNCTION("IMPORTRANGE(H31883,""IDENTITAS UNIT!D9"")"),"#N/A")</f>
        <v>#N/A</v>
      </c>
      <c r="H31883" s="4" t="str">
        <v/>
      </c>
      <c r="I31883" s="4" t="str">
        <v/>
      </c>
    </row>
    <row r="31884" spans="5:9" ht="16.5" hidden="1">
      <c r="E31884" s="4" t="str">
        <v/>
      </c>
      <c r="F31884" s="102" t="str">
        <f ca="1">IFERROR(__xludf.DUMMYFUNCTION("IMPORTRANGE(H31884,""IDENTITAS UNIT!D9"")"),"#N/A")</f>
        <v>#N/A</v>
      </c>
      <c r="H31884" s="4" t="str">
        <v/>
      </c>
      <c r="I31884" s="4" t="str">
        <v/>
      </c>
    </row>
    <row r="31885" spans="5:9" ht="16.5" hidden="1">
      <c r="E31885" s="4" t="str">
        <v/>
      </c>
      <c r="F31885" s="102" t="str">
        <f ca="1">IFERROR(__xludf.DUMMYFUNCTION("IMPORTRANGE(H31885,""IDENTITAS UNIT!D9"")"),"#N/A")</f>
        <v>#N/A</v>
      </c>
      <c r="H31885" s="4" t="str">
        <v/>
      </c>
      <c r="I31885" s="4" t="str">
        <v/>
      </c>
    </row>
    <row r="31886" spans="5:9" ht="16.5" hidden="1">
      <c r="E31886" s="4" t="str">
        <v/>
      </c>
      <c r="F31886" s="102" t="str">
        <f ca="1">IFERROR(__xludf.DUMMYFUNCTION("IMPORTRANGE(H31886,""IDENTITAS UNIT!D9"")"),"#N/A")</f>
        <v>#N/A</v>
      </c>
      <c r="H31886" s="4" t="str">
        <v/>
      </c>
      <c r="I31886" s="4" t="str">
        <v/>
      </c>
    </row>
    <row r="31887" spans="5:9" ht="16.5" hidden="1">
      <c r="E31887" s="4" t="str">
        <v/>
      </c>
      <c r="F31887" s="102" t="str">
        <f ca="1">IFERROR(__xludf.DUMMYFUNCTION("IMPORTRANGE(H31887,""IDENTITAS UNIT!D9"")"),"#N/A")</f>
        <v>#N/A</v>
      </c>
      <c r="H31887" s="4" t="str">
        <v/>
      </c>
      <c r="I31887" s="4" t="str">
        <v/>
      </c>
    </row>
    <row r="31888" spans="5:9" ht="16.5" hidden="1">
      <c r="E31888" s="4" t="str">
        <v/>
      </c>
      <c r="F31888" s="102" t="str">
        <f ca="1">IFERROR(__xludf.DUMMYFUNCTION("IMPORTRANGE(H31888,""IDENTITAS UNIT!D9"")"),"#N/A")</f>
        <v>#N/A</v>
      </c>
      <c r="H31888" s="4" t="str">
        <v/>
      </c>
      <c r="I31888" s="4" t="str">
        <v/>
      </c>
    </row>
    <row r="31889" spans="5:9" ht="16.5" hidden="1">
      <c r="E31889" s="4" t="str">
        <v/>
      </c>
      <c r="F31889" s="102" t="str">
        <f ca="1">IFERROR(__xludf.DUMMYFUNCTION("IMPORTRANGE(H31889,""IDENTITAS UNIT!D9"")"),"#N/A")</f>
        <v>#N/A</v>
      </c>
      <c r="H31889" s="4" t="str">
        <v/>
      </c>
      <c r="I31889" s="4" t="str">
        <v/>
      </c>
    </row>
    <row r="31890" spans="5:9" ht="16.5" hidden="1">
      <c r="E31890" s="4" t="str">
        <v/>
      </c>
      <c r="F31890" s="102" t="str">
        <f ca="1">IFERROR(__xludf.DUMMYFUNCTION("IMPORTRANGE(H31890,""IDENTITAS UNIT!D9"")"),"#N/A")</f>
        <v>#N/A</v>
      </c>
      <c r="H31890" s="4" t="str">
        <v/>
      </c>
      <c r="I31890" s="4" t="str">
        <v/>
      </c>
    </row>
    <row r="31891" spans="5:9" ht="16.5" hidden="1">
      <c r="E31891" s="4" t="str">
        <v/>
      </c>
      <c r="F31891" s="102" t="str">
        <f ca="1">IFERROR(__xludf.DUMMYFUNCTION("IMPORTRANGE(H31891,""IDENTITAS UNIT!D9"")"),"#N/A")</f>
        <v>#N/A</v>
      </c>
      <c r="H31891" s="4" t="str">
        <v/>
      </c>
      <c r="I31891" s="4" t="str">
        <v/>
      </c>
    </row>
    <row r="31892" spans="5:9" ht="16.5" hidden="1">
      <c r="E31892" s="4" t="str">
        <v/>
      </c>
      <c r="F31892" s="102" t="str">
        <f ca="1">IFERROR(__xludf.DUMMYFUNCTION("IMPORTRANGE(H31892,""IDENTITAS UNIT!D9"")"),"#N/A")</f>
        <v>#N/A</v>
      </c>
      <c r="H31892" s="4" t="str">
        <v/>
      </c>
      <c r="I31892" s="4" t="str">
        <v/>
      </c>
    </row>
    <row r="31893" spans="5:9" ht="16.5" hidden="1">
      <c r="E31893" s="4" t="str">
        <v/>
      </c>
      <c r="F31893" s="102" t="str">
        <f ca="1">IFERROR(__xludf.DUMMYFUNCTION("IMPORTRANGE(H31893,""IDENTITAS UNIT!D9"")"),"#N/A")</f>
        <v>#N/A</v>
      </c>
      <c r="H31893" s="4" t="str">
        <v/>
      </c>
      <c r="I31893" s="4" t="str">
        <v/>
      </c>
    </row>
    <row r="31894" spans="5:9" ht="16.5" hidden="1">
      <c r="E31894" s="4" t="str">
        <v/>
      </c>
      <c r="F31894" s="102" t="str">
        <f ca="1">IFERROR(__xludf.DUMMYFUNCTION("IMPORTRANGE(H31894,""IDENTITAS UNIT!D9"")"),"#N/A")</f>
        <v>#N/A</v>
      </c>
      <c r="H31894" s="4" t="str">
        <v/>
      </c>
      <c r="I31894" s="4" t="str">
        <v/>
      </c>
    </row>
    <row r="31895" spans="5:9" ht="16.5" hidden="1">
      <c r="E31895" s="4" t="str">
        <v/>
      </c>
      <c r="F31895" s="102" t="str">
        <f ca="1">IFERROR(__xludf.DUMMYFUNCTION("IMPORTRANGE(H31895,""IDENTITAS UNIT!D9"")"),"#N/A")</f>
        <v>#N/A</v>
      </c>
      <c r="H31895" s="4" t="str">
        <v/>
      </c>
      <c r="I31895" s="4" t="str">
        <v/>
      </c>
    </row>
    <row r="31896" spans="5:9" ht="16.5" hidden="1">
      <c r="E31896" s="4" t="str">
        <v/>
      </c>
      <c r="F31896" s="102" t="str">
        <f ca="1">IFERROR(__xludf.DUMMYFUNCTION("IMPORTRANGE(H31896,""IDENTITAS UNIT!D9"")"),"#N/A")</f>
        <v>#N/A</v>
      </c>
      <c r="H31896" s="4" t="str">
        <v/>
      </c>
      <c r="I31896" s="4" t="str">
        <v/>
      </c>
    </row>
    <row r="31897" spans="5:9" ht="16.5" hidden="1">
      <c r="E31897" s="4" t="str">
        <v/>
      </c>
      <c r="F31897" s="102" t="str">
        <f ca="1">IFERROR(__xludf.DUMMYFUNCTION("IMPORTRANGE(H31897,""IDENTITAS UNIT!D9"")"),"#N/A")</f>
        <v>#N/A</v>
      </c>
      <c r="H31897" s="4" t="str">
        <v/>
      </c>
      <c r="I31897" s="4" t="str">
        <v/>
      </c>
    </row>
    <row r="31898" spans="5:9" ht="16.5" hidden="1">
      <c r="E31898" s="4" t="str">
        <v/>
      </c>
      <c r="F31898" s="102" t="str">
        <f ca="1">IFERROR(__xludf.DUMMYFUNCTION("IMPORTRANGE(H31898,""IDENTITAS UNIT!D9"")"),"#N/A")</f>
        <v>#N/A</v>
      </c>
      <c r="H31898" s="4" t="str">
        <v/>
      </c>
      <c r="I31898" s="4" t="str">
        <v/>
      </c>
    </row>
    <row r="31899" spans="5:9" ht="16.5" hidden="1">
      <c r="E31899" s="4" t="str">
        <v/>
      </c>
      <c r="F31899" s="102" t="str">
        <f ca="1">IFERROR(__xludf.DUMMYFUNCTION("IMPORTRANGE(H31899,""IDENTITAS UNIT!D9"")"),"#N/A")</f>
        <v>#N/A</v>
      </c>
      <c r="H31899" s="4" t="str">
        <v/>
      </c>
      <c r="I31899" s="4" t="str">
        <v/>
      </c>
    </row>
    <row r="31900" spans="5:9" ht="16.5" hidden="1">
      <c r="E31900" s="4" t="str">
        <v/>
      </c>
      <c r="F31900" s="102" t="str">
        <f ca="1">IFERROR(__xludf.DUMMYFUNCTION("IMPORTRANGE(H31900,""IDENTITAS UNIT!D9"")"),"#N/A")</f>
        <v>#N/A</v>
      </c>
      <c r="H31900" s="4" t="str">
        <v/>
      </c>
      <c r="I31900" s="4" t="str">
        <v/>
      </c>
    </row>
    <row r="31901" spans="5:9" ht="16.5" hidden="1">
      <c r="E31901" s="4" t="str">
        <v/>
      </c>
      <c r="F31901" s="102" t="str">
        <f ca="1">IFERROR(__xludf.DUMMYFUNCTION("IMPORTRANGE(H31901,""IDENTITAS UNIT!D9"")"),"#N/A")</f>
        <v>#N/A</v>
      </c>
      <c r="H31901" s="4" t="str">
        <v/>
      </c>
      <c r="I31901" s="4" t="str">
        <v/>
      </c>
    </row>
    <row r="31902" spans="5:9" ht="16.5" hidden="1">
      <c r="E31902" s="4" t="str">
        <v/>
      </c>
      <c r="F31902" s="102" t="str">
        <f ca="1">IFERROR(__xludf.DUMMYFUNCTION("IMPORTRANGE(H31902,""IDENTITAS UNIT!D9"")"),"#N/A")</f>
        <v>#N/A</v>
      </c>
      <c r="H31902" s="4" t="str">
        <v/>
      </c>
      <c r="I31902" s="4" t="str">
        <v/>
      </c>
    </row>
    <row r="31903" spans="5:9" ht="16.5" hidden="1">
      <c r="E31903" s="4" t="str">
        <v/>
      </c>
      <c r="F31903" s="102" t="str">
        <f ca="1">IFERROR(__xludf.DUMMYFUNCTION("IMPORTRANGE(H31903,""IDENTITAS UNIT!D9"")"),"#N/A")</f>
        <v>#N/A</v>
      </c>
      <c r="H31903" s="4" t="str">
        <v/>
      </c>
      <c r="I31903" s="4" t="str">
        <v/>
      </c>
    </row>
    <row r="31904" spans="5:9" ht="16.5" hidden="1">
      <c r="E31904" s="4" t="str">
        <v/>
      </c>
      <c r="F31904" s="102" t="str">
        <f ca="1">IFERROR(__xludf.DUMMYFUNCTION("IMPORTRANGE(H31904,""IDENTITAS UNIT!D9"")"),"#N/A")</f>
        <v>#N/A</v>
      </c>
      <c r="H31904" s="4" t="str">
        <v/>
      </c>
      <c r="I31904" s="4" t="str">
        <v/>
      </c>
    </row>
    <row r="31905" spans="5:9" ht="16.5" hidden="1">
      <c r="E31905" s="4" t="str">
        <v/>
      </c>
      <c r="F31905" s="102" t="str">
        <f ca="1">IFERROR(__xludf.DUMMYFUNCTION("IMPORTRANGE(H31905,""IDENTITAS UNIT!D9"")"),"#N/A")</f>
        <v>#N/A</v>
      </c>
      <c r="H31905" s="4" t="str">
        <v/>
      </c>
      <c r="I31905" s="4" t="str">
        <v/>
      </c>
    </row>
    <row r="31906" spans="5:9" ht="16.5" hidden="1">
      <c r="E31906" s="4" t="str">
        <v/>
      </c>
      <c r="F31906" s="102" t="str">
        <f ca="1">IFERROR(__xludf.DUMMYFUNCTION("IMPORTRANGE(H31906,""IDENTITAS UNIT!D9"")"),"#N/A")</f>
        <v>#N/A</v>
      </c>
      <c r="H31906" s="4" t="str">
        <v/>
      </c>
      <c r="I31906" s="4" t="str">
        <v/>
      </c>
    </row>
    <row r="31907" spans="5:9" ht="16.5" hidden="1">
      <c r="E31907" s="4" t="str">
        <v/>
      </c>
      <c r="F31907" s="102" t="str">
        <f ca="1">IFERROR(__xludf.DUMMYFUNCTION("IMPORTRANGE(H31907,""IDENTITAS UNIT!D9"")"),"#N/A")</f>
        <v>#N/A</v>
      </c>
      <c r="H31907" s="4" t="str">
        <v/>
      </c>
      <c r="I31907" s="4" t="str">
        <v/>
      </c>
    </row>
    <row r="31908" spans="5:9" ht="16.5" hidden="1">
      <c r="E31908" s="4" t="str">
        <v/>
      </c>
      <c r="F31908" s="102" t="str">
        <f ca="1">IFERROR(__xludf.DUMMYFUNCTION("IMPORTRANGE(H31908,""IDENTITAS UNIT!D9"")"),"#N/A")</f>
        <v>#N/A</v>
      </c>
      <c r="H31908" s="4" t="str">
        <v/>
      </c>
      <c r="I31908" s="4" t="str">
        <v/>
      </c>
    </row>
    <row r="31909" spans="5:9" ht="16.5" hidden="1">
      <c r="E31909" s="4" t="str">
        <v/>
      </c>
      <c r="F31909" s="102" t="str">
        <f ca="1">IFERROR(__xludf.DUMMYFUNCTION("IMPORTRANGE(H31909,""IDENTITAS UNIT!D9"")"),"#N/A")</f>
        <v>#N/A</v>
      </c>
      <c r="H31909" s="4" t="str">
        <v/>
      </c>
      <c r="I31909" s="4" t="str">
        <v/>
      </c>
    </row>
    <row r="31910" spans="5:9" ht="16.5" hidden="1">
      <c r="E31910" s="4" t="str">
        <v/>
      </c>
      <c r="F31910" s="102" t="str">
        <f ca="1">IFERROR(__xludf.DUMMYFUNCTION("IMPORTRANGE(H31910,""IDENTITAS UNIT!D9"")"),"#N/A")</f>
        <v>#N/A</v>
      </c>
      <c r="H31910" s="4" t="str">
        <v/>
      </c>
      <c r="I31910" s="4" t="str">
        <v/>
      </c>
    </row>
    <row r="31911" spans="5:9" ht="16.5" hidden="1">
      <c r="E31911" s="4" t="str">
        <v/>
      </c>
      <c r="F31911" s="102" t="str">
        <f ca="1">IFERROR(__xludf.DUMMYFUNCTION("IMPORTRANGE(H31911,""IDENTITAS UNIT!D9"")"),"#N/A")</f>
        <v>#N/A</v>
      </c>
      <c r="H31911" s="4" t="str">
        <v/>
      </c>
      <c r="I31911" s="4" t="str">
        <v/>
      </c>
    </row>
    <row r="31912" spans="5:9" ht="16.5" hidden="1">
      <c r="E31912" s="4" t="str">
        <v/>
      </c>
      <c r="F31912" s="102" t="str">
        <f ca="1">IFERROR(__xludf.DUMMYFUNCTION("IMPORTRANGE(H31912,""IDENTITAS UNIT!D9"")"),"#N/A")</f>
        <v>#N/A</v>
      </c>
      <c r="H31912" s="4" t="str">
        <v/>
      </c>
      <c r="I31912" s="4" t="str">
        <v/>
      </c>
    </row>
    <row r="31913" spans="5:9" ht="16.5" hidden="1">
      <c r="E31913" s="4" t="str">
        <v/>
      </c>
      <c r="F31913" s="102" t="str">
        <f ca="1">IFERROR(__xludf.DUMMYFUNCTION("IMPORTRANGE(H31913,""IDENTITAS UNIT!D9"")"),"#N/A")</f>
        <v>#N/A</v>
      </c>
      <c r="H31913" s="4" t="str">
        <v/>
      </c>
      <c r="I31913" s="4" t="str">
        <v/>
      </c>
    </row>
    <row r="31914" spans="5:9" ht="16.5" hidden="1">
      <c r="E31914" s="4" t="str">
        <v/>
      </c>
      <c r="F31914" s="102" t="str">
        <f ca="1">IFERROR(__xludf.DUMMYFUNCTION("IMPORTRANGE(H31914,""IDENTITAS UNIT!D9"")"),"#N/A")</f>
        <v>#N/A</v>
      </c>
      <c r="H31914" s="4" t="str">
        <v/>
      </c>
      <c r="I31914" s="4" t="str">
        <v/>
      </c>
    </row>
    <row r="31915" spans="5:9" ht="16.5" hidden="1">
      <c r="E31915" s="4" t="str">
        <v/>
      </c>
      <c r="F31915" s="102" t="str">
        <f ca="1">IFERROR(__xludf.DUMMYFUNCTION("IMPORTRANGE(H31915,""IDENTITAS UNIT!D9"")"),"#N/A")</f>
        <v>#N/A</v>
      </c>
      <c r="H31915" s="4" t="str">
        <v/>
      </c>
      <c r="I31915" s="4" t="str">
        <v/>
      </c>
    </row>
    <row r="31916" spans="5:9" ht="16.5" hidden="1">
      <c r="E31916" s="4" t="str">
        <v/>
      </c>
      <c r="F31916" s="102" t="str">
        <f ca="1">IFERROR(__xludf.DUMMYFUNCTION("IMPORTRANGE(H31916,""IDENTITAS UNIT!D9"")"),"#N/A")</f>
        <v>#N/A</v>
      </c>
      <c r="H31916" s="4" t="str">
        <v/>
      </c>
      <c r="I31916" s="4" t="str">
        <v/>
      </c>
    </row>
    <row r="31917" spans="5:9" ht="16.5" hidden="1">
      <c r="E31917" s="4" t="str">
        <v/>
      </c>
      <c r="F31917" s="102" t="str">
        <f ca="1">IFERROR(__xludf.DUMMYFUNCTION("IMPORTRANGE(H31917,""IDENTITAS UNIT!D9"")"),"#N/A")</f>
        <v>#N/A</v>
      </c>
      <c r="H31917" s="4" t="str">
        <v/>
      </c>
      <c r="I31917" s="4" t="str">
        <v/>
      </c>
    </row>
    <row r="31918" spans="5:9" ht="16.5" hidden="1">
      <c r="E31918" s="4" t="str">
        <v/>
      </c>
      <c r="F31918" s="102" t="str">
        <f ca="1">IFERROR(__xludf.DUMMYFUNCTION("IMPORTRANGE(H31918,""IDENTITAS UNIT!D9"")"),"#N/A")</f>
        <v>#N/A</v>
      </c>
      <c r="H31918" s="4" t="str">
        <v/>
      </c>
      <c r="I31918" s="4" t="str">
        <v/>
      </c>
    </row>
    <row r="31919" spans="5:9" ht="16.5" hidden="1">
      <c r="E31919" s="4" t="str">
        <v/>
      </c>
      <c r="F31919" s="102" t="str">
        <f ca="1">IFERROR(__xludf.DUMMYFUNCTION("IMPORTRANGE(H31919,""IDENTITAS UNIT!D9"")"),"#N/A")</f>
        <v>#N/A</v>
      </c>
      <c r="H31919" s="4" t="str">
        <v/>
      </c>
      <c r="I31919" s="4" t="str">
        <v/>
      </c>
    </row>
    <row r="31920" spans="5:9" ht="16.5" hidden="1">
      <c r="E31920" s="4" t="str">
        <v/>
      </c>
      <c r="F31920" s="102" t="str">
        <f ca="1">IFERROR(__xludf.DUMMYFUNCTION("IMPORTRANGE(H31920,""IDENTITAS UNIT!D9"")"),"#N/A")</f>
        <v>#N/A</v>
      </c>
      <c r="H31920" s="4" t="str">
        <v/>
      </c>
      <c r="I31920" s="4" t="str">
        <v/>
      </c>
    </row>
    <row r="31921" spans="5:9" ht="16.5" hidden="1">
      <c r="E31921" s="4" t="str">
        <v/>
      </c>
      <c r="F31921" s="102" t="str">
        <f ca="1">IFERROR(__xludf.DUMMYFUNCTION("IMPORTRANGE(H31921,""IDENTITAS UNIT!D9"")"),"#N/A")</f>
        <v>#N/A</v>
      </c>
      <c r="H31921" s="4" t="str">
        <v/>
      </c>
      <c r="I31921" s="4" t="str">
        <v/>
      </c>
    </row>
    <row r="31922" spans="5:9" ht="16.5" hidden="1">
      <c r="E31922" s="4" t="str">
        <v/>
      </c>
      <c r="F31922" s="102" t="str">
        <f ca="1">IFERROR(__xludf.DUMMYFUNCTION("IMPORTRANGE(H31922,""IDENTITAS UNIT!D9"")"),"#N/A")</f>
        <v>#N/A</v>
      </c>
      <c r="H31922" s="4" t="str">
        <v/>
      </c>
      <c r="I31922" s="4" t="str">
        <v/>
      </c>
    </row>
    <row r="31923" spans="5:9" ht="16.5" hidden="1">
      <c r="E31923" s="4" t="str">
        <v/>
      </c>
      <c r="F31923" s="102" t="str">
        <f ca="1">IFERROR(__xludf.DUMMYFUNCTION("IMPORTRANGE(H31923,""IDENTITAS UNIT!D9"")"),"#N/A")</f>
        <v>#N/A</v>
      </c>
      <c r="H31923" s="4" t="str">
        <v/>
      </c>
      <c r="I31923" s="4" t="str">
        <v/>
      </c>
    </row>
    <row r="31924" spans="5:9" ht="16.5" hidden="1">
      <c r="E31924" s="4" t="str">
        <v/>
      </c>
      <c r="F31924" s="102" t="str">
        <f ca="1">IFERROR(__xludf.DUMMYFUNCTION("IMPORTRANGE(H31924,""IDENTITAS UNIT!D9"")"),"#N/A")</f>
        <v>#N/A</v>
      </c>
      <c r="H31924" s="4" t="str">
        <v/>
      </c>
      <c r="I31924" s="4" t="str">
        <v/>
      </c>
    </row>
    <row r="31925" spans="5:9" ht="16.5" hidden="1">
      <c r="E31925" s="4" t="str">
        <v/>
      </c>
      <c r="F31925" s="102" t="str">
        <f ca="1">IFERROR(__xludf.DUMMYFUNCTION("IMPORTRANGE(H31925,""IDENTITAS UNIT!D9"")"),"#N/A")</f>
        <v>#N/A</v>
      </c>
      <c r="H31925" s="4" t="str">
        <v/>
      </c>
      <c r="I31925" s="4" t="str">
        <v/>
      </c>
    </row>
    <row r="31926" spans="5:9" ht="16.5" hidden="1">
      <c r="E31926" s="4" t="str">
        <v/>
      </c>
      <c r="F31926" s="102" t="str">
        <f ca="1">IFERROR(__xludf.DUMMYFUNCTION("IMPORTRANGE(H31926,""IDENTITAS UNIT!D9"")"),"#N/A")</f>
        <v>#N/A</v>
      </c>
      <c r="H31926" s="4" t="str">
        <v/>
      </c>
      <c r="I31926" s="4" t="str">
        <v/>
      </c>
    </row>
    <row r="31927" spans="5:9" ht="16.5" hidden="1">
      <c r="E31927" s="4" t="str">
        <v/>
      </c>
      <c r="F31927" s="102" t="str">
        <f ca="1">IFERROR(__xludf.DUMMYFUNCTION("IMPORTRANGE(H31927,""IDENTITAS UNIT!D9"")"),"#N/A")</f>
        <v>#N/A</v>
      </c>
      <c r="H31927" s="4" t="str">
        <v/>
      </c>
      <c r="I31927" s="4" t="str">
        <v/>
      </c>
    </row>
    <row r="31928" spans="5:9" ht="16.5" hidden="1">
      <c r="E31928" s="4" t="str">
        <v/>
      </c>
      <c r="F31928" s="102" t="str">
        <f ca="1">IFERROR(__xludf.DUMMYFUNCTION("IMPORTRANGE(H31928,""IDENTITAS UNIT!D9"")"),"#N/A")</f>
        <v>#N/A</v>
      </c>
      <c r="H31928" s="4" t="str">
        <v/>
      </c>
      <c r="I31928" s="4" t="str">
        <v/>
      </c>
    </row>
    <row r="31929" spans="5:9" ht="16.5" hidden="1">
      <c r="E31929" s="4" t="str">
        <v/>
      </c>
      <c r="F31929" s="102" t="str">
        <f ca="1">IFERROR(__xludf.DUMMYFUNCTION("IMPORTRANGE(H31929,""IDENTITAS UNIT!D9"")"),"#N/A")</f>
        <v>#N/A</v>
      </c>
      <c r="H31929" s="4" t="str">
        <v/>
      </c>
      <c r="I31929" s="4" t="str">
        <v/>
      </c>
    </row>
    <row r="31930" spans="5:9" ht="16.5" hidden="1">
      <c r="E31930" s="4" t="str">
        <v/>
      </c>
      <c r="F31930" s="102" t="str">
        <f ca="1">IFERROR(__xludf.DUMMYFUNCTION("IMPORTRANGE(H31930,""IDENTITAS UNIT!D9"")"),"#N/A")</f>
        <v>#N/A</v>
      </c>
      <c r="H31930" s="4" t="str">
        <v/>
      </c>
      <c r="I31930" s="4" t="str">
        <v/>
      </c>
    </row>
    <row r="31931" spans="5:9" ht="16.5" hidden="1">
      <c r="E31931" s="4" t="str">
        <v/>
      </c>
      <c r="F31931" s="102" t="str">
        <f ca="1">IFERROR(__xludf.DUMMYFUNCTION("IMPORTRANGE(H31931,""IDENTITAS UNIT!D9"")"),"#N/A")</f>
        <v>#N/A</v>
      </c>
      <c r="H31931" s="4" t="str">
        <v/>
      </c>
      <c r="I31931" s="4" t="str">
        <v/>
      </c>
    </row>
    <row r="31932" spans="5:9" ht="16.5" hidden="1">
      <c r="E31932" s="4" t="str">
        <v/>
      </c>
      <c r="F31932" s="102" t="str">
        <f ca="1">IFERROR(__xludf.DUMMYFUNCTION("IMPORTRANGE(H31932,""IDENTITAS UNIT!D9"")"),"#N/A")</f>
        <v>#N/A</v>
      </c>
      <c r="H31932" s="4" t="str">
        <v/>
      </c>
      <c r="I31932" s="4" t="str">
        <v/>
      </c>
    </row>
    <row r="31933" spans="5:9" ht="16.5" hidden="1">
      <c r="E31933" s="4" t="str">
        <v/>
      </c>
      <c r="F31933" s="102" t="str">
        <f ca="1">IFERROR(__xludf.DUMMYFUNCTION("IMPORTRANGE(H31933,""IDENTITAS UNIT!D9"")"),"#N/A")</f>
        <v>#N/A</v>
      </c>
      <c r="H31933" s="4" t="str">
        <v/>
      </c>
      <c r="I31933" s="4" t="str">
        <v/>
      </c>
    </row>
    <row r="31934" spans="5:9" ht="16.5" hidden="1">
      <c r="E31934" s="4" t="str">
        <v/>
      </c>
      <c r="F31934" s="102" t="str">
        <f ca="1">IFERROR(__xludf.DUMMYFUNCTION("IMPORTRANGE(H31934,""IDENTITAS UNIT!D9"")"),"#N/A")</f>
        <v>#N/A</v>
      </c>
      <c r="H31934" s="4" t="str">
        <v/>
      </c>
      <c r="I31934" s="4" t="str">
        <v/>
      </c>
    </row>
    <row r="31935" spans="5:9" ht="16.5" hidden="1">
      <c r="E31935" s="4" t="str">
        <v/>
      </c>
      <c r="F31935" s="102" t="str">
        <f ca="1">IFERROR(__xludf.DUMMYFUNCTION("IMPORTRANGE(H31935,""IDENTITAS UNIT!D9"")"),"#N/A")</f>
        <v>#N/A</v>
      </c>
      <c r="H31935" s="4" t="str">
        <v/>
      </c>
      <c r="I31935" s="4" t="str">
        <v/>
      </c>
    </row>
    <row r="31936" spans="5:9" ht="16.5" hidden="1">
      <c r="E31936" s="4" t="str">
        <v/>
      </c>
      <c r="F31936" s="102" t="str">
        <f ca="1">IFERROR(__xludf.DUMMYFUNCTION("IMPORTRANGE(H31936,""IDENTITAS UNIT!D9"")"),"#N/A")</f>
        <v>#N/A</v>
      </c>
      <c r="H31936" s="4" t="str">
        <v/>
      </c>
      <c r="I31936" s="4" t="str">
        <v/>
      </c>
    </row>
    <row r="31937" spans="5:9" ht="16.5" hidden="1">
      <c r="E31937" s="4" t="str">
        <v/>
      </c>
      <c r="F31937" s="102" t="str">
        <f ca="1">IFERROR(__xludf.DUMMYFUNCTION("IMPORTRANGE(H31937,""IDENTITAS UNIT!D9"")"),"#N/A")</f>
        <v>#N/A</v>
      </c>
      <c r="H31937" s="4" t="str">
        <v/>
      </c>
      <c r="I31937" s="4" t="str">
        <v/>
      </c>
    </row>
    <row r="31938" spans="5:9" ht="16.5" hidden="1">
      <c r="E31938" s="4" t="str">
        <v/>
      </c>
      <c r="F31938" s="102" t="str">
        <f ca="1">IFERROR(__xludf.DUMMYFUNCTION("IMPORTRANGE(H31938,""IDENTITAS UNIT!D9"")"),"#N/A")</f>
        <v>#N/A</v>
      </c>
      <c r="H31938" s="4" t="str">
        <v/>
      </c>
      <c r="I31938" s="4" t="str">
        <v/>
      </c>
    </row>
    <row r="31939" spans="5:9" ht="16.5" hidden="1">
      <c r="E31939" s="4" t="str">
        <v/>
      </c>
      <c r="F31939" s="102" t="str">
        <f ca="1">IFERROR(__xludf.DUMMYFUNCTION("IMPORTRANGE(H31939,""IDENTITAS UNIT!D9"")"),"#N/A")</f>
        <v>#N/A</v>
      </c>
      <c r="H31939" s="4" t="str">
        <v/>
      </c>
      <c r="I31939" s="4" t="str">
        <v/>
      </c>
    </row>
    <row r="31940" spans="5:9" ht="16.5" hidden="1">
      <c r="E31940" s="4" t="str">
        <v/>
      </c>
      <c r="F31940" s="102" t="str">
        <f ca="1">IFERROR(__xludf.DUMMYFUNCTION("IMPORTRANGE(H31940,""IDENTITAS UNIT!D9"")"),"#N/A")</f>
        <v>#N/A</v>
      </c>
      <c r="H31940" s="4" t="str">
        <v/>
      </c>
      <c r="I31940" s="4" t="str">
        <v/>
      </c>
    </row>
    <row r="31941" spans="5:9" ht="16.5" hidden="1">
      <c r="E31941" s="4" t="str">
        <v/>
      </c>
      <c r="F31941" s="102" t="str">
        <f ca="1">IFERROR(__xludf.DUMMYFUNCTION("IMPORTRANGE(H31941,""IDENTITAS UNIT!D9"")"),"#N/A")</f>
        <v>#N/A</v>
      </c>
      <c r="H31941" s="4" t="str">
        <v/>
      </c>
      <c r="I31941" s="4" t="str">
        <v/>
      </c>
    </row>
    <row r="31942" spans="5:9" ht="16.5" hidden="1">
      <c r="E31942" s="4" t="str">
        <v/>
      </c>
      <c r="F31942" s="102" t="str">
        <f ca="1">IFERROR(__xludf.DUMMYFUNCTION("IMPORTRANGE(H31942,""IDENTITAS UNIT!D9"")"),"#N/A")</f>
        <v>#N/A</v>
      </c>
      <c r="H31942" s="4" t="str">
        <v/>
      </c>
      <c r="I31942" s="4" t="str">
        <v/>
      </c>
    </row>
    <row r="31943" spans="5:9" ht="16.5" hidden="1">
      <c r="E31943" s="4" t="str">
        <v/>
      </c>
      <c r="F31943" s="102" t="str">
        <f ca="1">IFERROR(__xludf.DUMMYFUNCTION("IMPORTRANGE(H31943,""IDENTITAS UNIT!D9"")"),"#N/A")</f>
        <v>#N/A</v>
      </c>
      <c r="H31943" s="4" t="str">
        <v/>
      </c>
      <c r="I31943" s="4" t="str">
        <v/>
      </c>
    </row>
    <row r="31944" spans="5:9" ht="16.5" hidden="1">
      <c r="E31944" s="4" t="str">
        <v/>
      </c>
      <c r="F31944" s="102" t="str">
        <f ca="1">IFERROR(__xludf.DUMMYFUNCTION("IMPORTRANGE(H31944,""IDENTITAS UNIT!D9"")"),"#N/A")</f>
        <v>#N/A</v>
      </c>
      <c r="H31944" s="4" t="str">
        <v/>
      </c>
      <c r="I31944" s="4" t="str">
        <v/>
      </c>
    </row>
    <row r="31945" spans="5:9" ht="16.5" hidden="1">
      <c r="E31945" s="4" t="str">
        <v/>
      </c>
      <c r="F31945" s="102" t="str">
        <f ca="1">IFERROR(__xludf.DUMMYFUNCTION("IMPORTRANGE(H31945,""IDENTITAS UNIT!D9"")"),"#N/A")</f>
        <v>#N/A</v>
      </c>
      <c r="H31945" s="4" t="str">
        <v/>
      </c>
      <c r="I31945" s="4" t="str">
        <v/>
      </c>
    </row>
    <row r="31946" spans="5:9" ht="16.5" hidden="1">
      <c r="E31946" s="4" t="str">
        <v/>
      </c>
      <c r="F31946" s="102" t="str">
        <f ca="1">IFERROR(__xludf.DUMMYFUNCTION("IMPORTRANGE(H31946,""IDENTITAS UNIT!D9"")"),"#N/A")</f>
        <v>#N/A</v>
      </c>
      <c r="H31946" s="4" t="str">
        <v/>
      </c>
      <c r="I31946" s="4" t="str">
        <v/>
      </c>
    </row>
    <row r="31947" spans="5:9" ht="16.5" hidden="1">
      <c r="E31947" s="4" t="str">
        <v/>
      </c>
      <c r="F31947" s="102" t="str">
        <f ca="1">IFERROR(__xludf.DUMMYFUNCTION("IMPORTRANGE(H31947,""IDENTITAS UNIT!D9"")"),"#N/A")</f>
        <v>#N/A</v>
      </c>
      <c r="H31947" s="4" t="str">
        <v/>
      </c>
      <c r="I31947" s="4" t="str">
        <v/>
      </c>
    </row>
    <row r="31948" spans="5:9" ht="16.5" hidden="1">
      <c r="E31948" s="4" t="str">
        <v/>
      </c>
      <c r="F31948" s="102" t="str">
        <f ca="1">IFERROR(__xludf.DUMMYFUNCTION("IMPORTRANGE(H31948,""IDENTITAS UNIT!D9"")"),"#N/A")</f>
        <v>#N/A</v>
      </c>
      <c r="H31948" s="4" t="str">
        <v/>
      </c>
      <c r="I31948" s="4" t="str">
        <v/>
      </c>
    </row>
    <row r="31949" spans="5:9" ht="16.5" hidden="1">
      <c r="E31949" s="4" t="str">
        <v/>
      </c>
      <c r="F31949" s="102" t="str">
        <f ca="1">IFERROR(__xludf.DUMMYFUNCTION("IMPORTRANGE(H31949,""IDENTITAS UNIT!D9"")"),"#N/A")</f>
        <v>#N/A</v>
      </c>
      <c r="H31949" s="4" t="str">
        <v/>
      </c>
      <c r="I31949" s="4" t="str">
        <v/>
      </c>
    </row>
    <row r="31950" spans="5:9" ht="16.5" hidden="1">
      <c r="E31950" s="4" t="str">
        <v/>
      </c>
      <c r="F31950" s="102" t="str">
        <f ca="1">IFERROR(__xludf.DUMMYFUNCTION("IMPORTRANGE(H31950,""IDENTITAS UNIT!D9"")"),"#N/A")</f>
        <v>#N/A</v>
      </c>
      <c r="H31950" s="4" t="str">
        <v/>
      </c>
      <c r="I31950" s="4" t="str">
        <v/>
      </c>
    </row>
    <row r="31951" spans="5:9" ht="16.5" hidden="1">
      <c r="E31951" s="4" t="str">
        <v/>
      </c>
      <c r="F31951" s="102" t="str">
        <f ca="1">IFERROR(__xludf.DUMMYFUNCTION("IMPORTRANGE(H31951,""IDENTITAS UNIT!D9"")"),"#N/A")</f>
        <v>#N/A</v>
      </c>
      <c r="H31951" s="4" t="str">
        <v/>
      </c>
      <c r="I31951" s="4" t="str">
        <v/>
      </c>
    </row>
    <row r="31952" spans="5:9" ht="16.5" hidden="1">
      <c r="E31952" s="4" t="str">
        <v/>
      </c>
      <c r="F31952" s="102" t="str">
        <f ca="1">IFERROR(__xludf.DUMMYFUNCTION("IMPORTRANGE(H31952,""IDENTITAS UNIT!D9"")"),"#N/A")</f>
        <v>#N/A</v>
      </c>
      <c r="H31952" s="4" t="str">
        <v/>
      </c>
      <c r="I31952" s="4" t="str">
        <v/>
      </c>
    </row>
    <row r="31953" spans="5:9" ht="16.5" hidden="1">
      <c r="E31953" s="4" t="str">
        <v/>
      </c>
      <c r="F31953" s="102" t="str">
        <f ca="1">IFERROR(__xludf.DUMMYFUNCTION("IMPORTRANGE(H31953,""IDENTITAS UNIT!D9"")"),"#N/A")</f>
        <v>#N/A</v>
      </c>
      <c r="H31953" s="4" t="str">
        <v/>
      </c>
      <c r="I31953" s="4" t="str">
        <v/>
      </c>
    </row>
    <row r="31954" spans="5:9" ht="16.5" hidden="1">
      <c r="E31954" s="4" t="str">
        <v/>
      </c>
      <c r="F31954" s="102" t="str">
        <f ca="1">IFERROR(__xludf.DUMMYFUNCTION("IMPORTRANGE(H31954,""IDENTITAS UNIT!D9"")"),"#N/A")</f>
        <v>#N/A</v>
      </c>
      <c r="H31954" s="4" t="str">
        <v/>
      </c>
      <c r="I31954" s="4" t="str">
        <v/>
      </c>
    </row>
    <row r="31955" spans="5:9" ht="16.5" hidden="1">
      <c r="E31955" s="4" t="str">
        <v/>
      </c>
      <c r="F31955" s="102" t="str">
        <f ca="1">IFERROR(__xludf.DUMMYFUNCTION("IMPORTRANGE(H31955,""IDENTITAS UNIT!D9"")"),"#N/A")</f>
        <v>#N/A</v>
      </c>
      <c r="H31955" s="4" t="str">
        <v/>
      </c>
      <c r="I31955" s="4" t="str">
        <v/>
      </c>
    </row>
    <row r="31956" spans="5:9" ht="16.5" hidden="1">
      <c r="E31956" s="4" t="str">
        <v/>
      </c>
      <c r="F31956" s="102" t="str">
        <f ca="1">IFERROR(__xludf.DUMMYFUNCTION("IMPORTRANGE(H31956,""IDENTITAS UNIT!D9"")"),"#N/A")</f>
        <v>#N/A</v>
      </c>
      <c r="H31956" s="4" t="str">
        <v/>
      </c>
      <c r="I31956" s="4" t="str">
        <v/>
      </c>
    </row>
    <row r="31957" spans="5:9" ht="16.5" hidden="1">
      <c r="E31957" s="4" t="str">
        <v/>
      </c>
      <c r="F31957" s="102" t="str">
        <f ca="1">IFERROR(__xludf.DUMMYFUNCTION("IMPORTRANGE(H31957,""IDENTITAS UNIT!D9"")"),"#N/A")</f>
        <v>#N/A</v>
      </c>
      <c r="H31957" s="4" t="str">
        <v/>
      </c>
      <c r="I31957" s="4" t="str">
        <v/>
      </c>
    </row>
    <row r="31958" spans="5:9" ht="16.5" hidden="1">
      <c r="E31958" s="4" t="str">
        <v/>
      </c>
      <c r="F31958" s="102" t="str">
        <f ca="1">IFERROR(__xludf.DUMMYFUNCTION("IMPORTRANGE(H31958,""IDENTITAS UNIT!D9"")"),"#N/A")</f>
        <v>#N/A</v>
      </c>
      <c r="H31958" s="4" t="str">
        <v/>
      </c>
      <c r="I31958" s="4" t="str">
        <v/>
      </c>
    </row>
    <row r="31959" spans="5:9" ht="16.5" hidden="1">
      <c r="E31959" s="4" t="str">
        <v/>
      </c>
      <c r="F31959" s="102" t="str">
        <f ca="1">IFERROR(__xludf.DUMMYFUNCTION("IMPORTRANGE(H31959,""IDENTITAS UNIT!D9"")"),"#N/A")</f>
        <v>#N/A</v>
      </c>
      <c r="H31959" s="4" t="str">
        <v/>
      </c>
      <c r="I31959" s="4" t="str">
        <v/>
      </c>
    </row>
    <row r="31960" spans="5:9" ht="16.5" hidden="1">
      <c r="E31960" s="4" t="str">
        <v/>
      </c>
      <c r="F31960" s="102" t="str">
        <f ca="1">IFERROR(__xludf.DUMMYFUNCTION("IMPORTRANGE(H31960,""IDENTITAS UNIT!D9"")"),"#N/A")</f>
        <v>#N/A</v>
      </c>
      <c r="H31960" s="4" t="str">
        <v/>
      </c>
      <c r="I31960" s="4" t="str">
        <v/>
      </c>
    </row>
    <row r="31961" spans="5:9" ht="16.5" hidden="1">
      <c r="E31961" s="4" t="str">
        <v/>
      </c>
      <c r="F31961" s="102" t="str">
        <f ca="1">IFERROR(__xludf.DUMMYFUNCTION("IMPORTRANGE(H31961,""IDENTITAS UNIT!D9"")"),"#N/A")</f>
        <v>#N/A</v>
      </c>
      <c r="H31961" s="4" t="str">
        <v/>
      </c>
      <c r="I31961" s="4" t="str">
        <v/>
      </c>
    </row>
    <row r="31962" spans="5:9" ht="16.5" hidden="1">
      <c r="E31962" s="4" t="str">
        <v/>
      </c>
      <c r="F31962" s="102" t="str">
        <f ca="1">IFERROR(__xludf.DUMMYFUNCTION("IMPORTRANGE(H31962,""IDENTITAS UNIT!D9"")"),"#N/A")</f>
        <v>#N/A</v>
      </c>
      <c r="H31962" s="4" t="str">
        <v/>
      </c>
      <c r="I31962" s="4" t="str">
        <v/>
      </c>
    </row>
    <row r="31963" spans="5:9" ht="16.5" hidden="1">
      <c r="E31963" s="4" t="str">
        <v/>
      </c>
      <c r="F31963" s="102" t="str">
        <f ca="1">IFERROR(__xludf.DUMMYFUNCTION("IMPORTRANGE(H31963,""IDENTITAS UNIT!D9"")"),"#N/A")</f>
        <v>#N/A</v>
      </c>
      <c r="H31963" s="4" t="str">
        <v/>
      </c>
      <c r="I31963" s="4" t="str">
        <v/>
      </c>
    </row>
    <row r="31964" spans="5:9" ht="16.5" hidden="1">
      <c r="E31964" s="4" t="str">
        <v/>
      </c>
      <c r="F31964" s="102" t="str">
        <f ca="1">IFERROR(__xludf.DUMMYFUNCTION("IMPORTRANGE(H31964,""IDENTITAS UNIT!D9"")"),"#N/A")</f>
        <v>#N/A</v>
      </c>
      <c r="H31964" s="4" t="str">
        <v/>
      </c>
      <c r="I31964" s="4" t="str">
        <v/>
      </c>
    </row>
    <row r="31965" spans="5:9" ht="16.5" hidden="1">
      <c r="E31965" s="4" t="str">
        <v/>
      </c>
      <c r="F31965" s="102" t="str">
        <f ca="1">IFERROR(__xludf.DUMMYFUNCTION("IMPORTRANGE(H31965,""IDENTITAS UNIT!D9"")"),"#N/A")</f>
        <v>#N/A</v>
      </c>
      <c r="H31965" s="4" t="str">
        <v/>
      </c>
      <c r="I31965" s="4" t="str">
        <v/>
      </c>
    </row>
    <row r="31966" spans="5:9" ht="16.5" hidden="1">
      <c r="E31966" s="4" t="str">
        <v/>
      </c>
      <c r="F31966" s="102" t="str">
        <f ca="1">IFERROR(__xludf.DUMMYFUNCTION("IMPORTRANGE(H31966,""IDENTITAS UNIT!D9"")"),"#N/A")</f>
        <v>#N/A</v>
      </c>
      <c r="H31966" s="4" t="str">
        <v/>
      </c>
      <c r="I31966" s="4" t="str">
        <v/>
      </c>
    </row>
    <row r="31967" spans="5:9" ht="16.5" hidden="1">
      <c r="E31967" s="4" t="str">
        <v/>
      </c>
      <c r="F31967" s="102" t="str">
        <f ca="1">IFERROR(__xludf.DUMMYFUNCTION("IMPORTRANGE(H31967,""IDENTITAS UNIT!D9"")"),"#N/A")</f>
        <v>#N/A</v>
      </c>
      <c r="H31967" s="4" t="str">
        <v/>
      </c>
      <c r="I31967" s="4" t="str">
        <v/>
      </c>
    </row>
    <row r="31968" spans="5:9" ht="16.5" hidden="1">
      <c r="E31968" s="4" t="str">
        <v/>
      </c>
      <c r="F31968" s="102" t="str">
        <f ca="1">IFERROR(__xludf.DUMMYFUNCTION("IMPORTRANGE(H31968,""IDENTITAS UNIT!D9"")"),"#N/A")</f>
        <v>#N/A</v>
      </c>
      <c r="H31968" s="4" t="str">
        <v/>
      </c>
      <c r="I31968" s="4" t="str">
        <v/>
      </c>
    </row>
    <row r="31969" spans="5:9" ht="16.5" hidden="1">
      <c r="E31969" s="4" t="str">
        <v/>
      </c>
      <c r="F31969" s="102" t="str">
        <f ca="1">IFERROR(__xludf.DUMMYFUNCTION("IMPORTRANGE(H31969,""IDENTITAS UNIT!D9"")"),"#N/A")</f>
        <v>#N/A</v>
      </c>
      <c r="H31969" s="4" t="str">
        <v/>
      </c>
      <c r="I31969" s="4" t="str">
        <v/>
      </c>
    </row>
    <row r="31970" spans="5:9" ht="16.5" hidden="1">
      <c r="E31970" s="4" t="str">
        <v/>
      </c>
      <c r="F31970" s="102" t="str">
        <f ca="1">IFERROR(__xludf.DUMMYFUNCTION("IMPORTRANGE(H31970,""IDENTITAS UNIT!D9"")"),"#N/A")</f>
        <v>#N/A</v>
      </c>
      <c r="H31970" s="4" t="str">
        <v/>
      </c>
      <c r="I31970" s="4" t="str">
        <v/>
      </c>
    </row>
    <row r="31971" spans="5:9" ht="16.5" hidden="1">
      <c r="E31971" s="4" t="str">
        <v/>
      </c>
      <c r="F31971" s="102" t="str">
        <f ca="1">IFERROR(__xludf.DUMMYFUNCTION("IMPORTRANGE(H31971,""IDENTITAS UNIT!D9"")"),"#N/A")</f>
        <v>#N/A</v>
      </c>
      <c r="H31971" s="4" t="str">
        <v/>
      </c>
      <c r="I31971" s="4" t="str">
        <v/>
      </c>
    </row>
    <row r="31972" spans="5:9" ht="16.5" hidden="1">
      <c r="E31972" s="4" t="str">
        <v/>
      </c>
      <c r="F31972" s="102" t="str">
        <f ca="1">IFERROR(__xludf.DUMMYFUNCTION("IMPORTRANGE(H31972,""IDENTITAS UNIT!D9"")"),"#N/A")</f>
        <v>#N/A</v>
      </c>
      <c r="H31972" s="4" t="str">
        <v/>
      </c>
      <c r="I31972" s="4" t="str">
        <v/>
      </c>
    </row>
    <row r="31973" spans="5:9" ht="16.5" hidden="1">
      <c r="E31973" s="4" t="str">
        <v/>
      </c>
      <c r="F31973" s="102" t="str">
        <f ca="1">IFERROR(__xludf.DUMMYFUNCTION("IMPORTRANGE(H31973,""IDENTITAS UNIT!D9"")"),"#N/A")</f>
        <v>#N/A</v>
      </c>
      <c r="H31973" s="4" t="str">
        <v/>
      </c>
      <c r="I31973" s="4" t="str">
        <v/>
      </c>
    </row>
    <row r="31974" spans="5:9" ht="16.5" hidden="1">
      <c r="E31974" s="4" t="str">
        <v/>
      </c>
      <c r="F31974" s="102" t="str">
        <f ca="1">IFERROR(__xludf.DUMMYFUNCTION("IMPORTRANGE(H31974,""IDENTITAS UNIT!D9"")"),"#N/A")</f>
        <v>#N/A</v>
      </c>
      <c r="H31974" s="4" t="str">
        <v/>
      </c>
      <c r="I31974" s="4" t="str">
        <v/>
      </c>
    </row>
    <row r="31975" spans="5:9" ht="16.5" hidden="1">
      <c r="E31975" s="4" t="str">
        <v/>
      </c>
      <c r="F31975" s="102" t="str">
        <f ca="1">IFERROR(__xludf.DUMMYFUNCTION("IMPORTRANGE(H31975,""IDENTITAS UNIT!D9"")"),"#N/A")</f>
        <v>#N/A</v>
      </c>
      <c r="H31975" s="4" t="str">
        <v/>
      </c>
      <c r="I31975" s="4" t="str">
        <v/>
      </c>
    </row>
    <row r="31976" spans="5:9" ht="16.5" hidden="1">
      <c r="E31976" s="4" t="str">
        <v/>
      </c>
      <c r="F31976" s="102" t="str">
        <f ca="1">IFERROR(__xludf.DUMMYFUNCTION("IMPORTRANGE(H31976,""IDENTITAS UNIT!D9"")"),"#N/A")</f>
        <v>#N/A</v>
      </c>
      <c r="H31976" s="4" t="str">
        <v/>
      </c>
      <c r="I31976" s="4" t="str">
        <v/>
      </c>
    </row>
    <row r="31977" spans="5:9" ht="16.5" hidden="1">
      <c r="E31977" s="4" t="str">
        <v/>
      </c>
      <c r="F31977" s="102" t="str">
        <f ca="1">IFERROR(__xludf.DUMMYFUNCTION("IMPORTRANGE(H31977,""IDENTITAS UNIT!D9"")"),"#N/A")</f>
        <v>#N/A</v>
      </c>
      <c r="H31977" s="4" t="str">
        <v/>
      </c>
      <c r="I31977" s="4" t="str">
        <v/>
      </c>
    </row>
    <row r="31978" spans="5:9" ht="16.5" hidden="1">
      <c r="E31978" s="4" t="str">
        <v/>
      </c>
      <c r="F31978" s="102" t="str">
        <f ca="1">IFERROR(__xludf.DUMMYFUNCTION("IMPORTRANGE(H31978,""IDENTITAS UNIT!D9"")"),"#N/A")</f>
        <v>#N/A</v>
      </c>
      <c r="H31978" s="4" t="str">
        <v/>
      </c>
      <c r="I31978" s="4" t="str">
        <v/>
      </c>
    </row>
    <row r="31979" spans="5:9" ht="16.5" hidden="1">
      <c r="E31979" s="4" t="str">
        <v/>
      </c>
      <c r="F31979" s="102" t="str">
        <f ca="1">IFERROR(__xludf.DUMMYFUNCTION("IMPORTRANGE(H31979,""IDENTITAS UNIT!D9"")"),"#N/A")</f>
        <v>#N/A</v>
      </c>
      <c r="H31979" s="4" t="str">
        <v/>
      </c>
      <c r="I31979" s="4" t="str">
        <v/>
      </c>
    </row>
    <row r="31980" spans="5:9" ht="16.5" hidden="1">
      <c r="E31980" s="4" t="str">
        <v/>
      </c>
      <c r="F31980" s="102" t="str">
        <f ca="1">IFERROR(__xludf.DUMMYFUNCTION("IMPORTRANGE(H31980,""IDENTITAS UNIT!D9"")"),"#N/A")</f>
        <v>#N/A</v>
      </c>
      <c r="H31980" s="4" t="str">
        <v/>
      </c>
      <c r="I31980" s="4" t="str">
        <v/>
      </c>
    </row>
    <row r="31981" spans="5:9" ht="16.5" hidden="1">
      <c r="E31981" s="4" t="str">
        <v/>
      </c>
      <c r="F31981" s="102" t="str">
        <f ca="1">IFERROR(__xludf.DUMMYFUNCTION("IMPORTRANGE(H31981,""IDENTITAS UNIT!D9"")"),"#N/A")</f>
        <v>#N/A</v>
      </c>
      <c r="H31981" s="4" t="str">
        <v/>
      </c>
      <c r="I31981" s="4" t="str">
        <v/>
      </c>
    </row>
    <row r="31982" spans="5:9" ht="16.5" hidden="1">
      <c r="E31982" s="4" t="str">
        <v/>
      </c>
      <c r="F31982" s="102" t="str">
        <f ca="1">IFERROR(__xludf.DUMMYFUNCTION("IMPORTRANGE(H31982,""IDENTITAS UNIT!D9"")"),"#N/A")</f>
        <v>#N/A</v>
      </c>
      <c r="H31982" s="4" t="str">
        <v/>
      </c>
      <c r="I31982" s="4" t="str">
        <v/>
      </c>
    </row>
    <row r="31983" spans="5:9" ht="16.5" hidden="1">
      <c r="E31983" s="4" t="str">
        <v/>
      </c>
      <c r="F31983" s="102" t="str">
        <f ca="1">IFERROR(__xludf.DUMMYFUNCTION("IMPORTRANGE(H31983,""IDENTITAS UNIT!D9"")"),"#N/A")</f>
        <v>#N/A</v>
      </c>
      <c r="H31983" s="4" t="str">
        <v/>
      </c>
      <c r="I31983" s="4" t="str">
        <v/>
      </c>
    </row>
    <row r="31984" spans="5:9" ht="16.5" hidden="1">
      <c r="E31984" s="4" t="str">
        <v/>
      </c>
      <c r="F31984" s="102" t="str">
        <f ca="1">IFERROR(__xludf.DUMMYFUNCTION("IMPORTRANGE(H31984,""IDENTITAS UNIT!D9"")"),"#N/A")</f>
        <v>#N/A</v>
      </c>
      <c r="H31984" s="4" t="str">
        <v/>
      </c>
      <c r="I31984" s="4" t="str">
        <v/>
      </c>
    </row>
    <row r="31985" spans="5:9" ht="16.5" hidden="1">
      <c r="E31985" s="4" t="str">
        <v/>
      </c>
      <c r="F31985" s="102" t="str">
        <f ca="1">IFERROR(__xludf.DUMMYFUNCTION("IMPORTRANGE(H31985,""IDENTITAS UNIT!D9"")"),"#N/A")</f>
        <v>#N/A</v>
      </c>
      <c r="H31985" s="4" t="str">
        <v/>
      </c>
      <c r="I31985" s="4" t="str">
        <v/>
      </c>
    </row>
    <row r="31986" spans="5:9" ht="16.5" hidden="1">
      <c r="E31986" s="4" t="str">
        <v/>
      </c>
      <c r="F31986" s="102" t="str">
        <f ca="1">IFERROR(__xludf.DUMMYFUNCTION("IMPORTRANGE(H31986,""IDENTITAS UNIT!D9"")"),"#N/A")</f>
        <v>#N/A</v>
      </c>
      <c r="H31986" s="4" t="str">
        <v/>
      </c>
      <c r="I31986" s="4" t="str">
        <v/>
      </c>
    </row>
    <row r="31987" spans="5:9" ht="16.5" hidden="1">
      <c r="E31987" s="4" t="str">
        <v/>
      </c>
      <c r="F31987" s="102" t="str">
        <f ca="1">IFERROR(__xludf.DUMMYFUNCTION("IMPORTRANGE(H31987,""IDENTITAS UNIT!D9"")"),"#N/A")</f>
        <v>#N/A</v>
      </c>
      <c r="H31987" s="4" t="str">
        <v/>
      </c>
      <c r="I31987" s="4" t="str">
        <v/>
      </c>
    </row>
    <row r="31988" spans="5:9" ht="16.5" hidden="1">
      <c r="E31988" s="4" t="str">
        <v/>
      </c>
      <c r="F31988" s="102" t="str">
        <f ca="1">IFERROR(__xludf.DUMMYFUNCTION("IMPORTRANGE(H31988,""IDENTITAS UNIT!D9"")"),"#N/A")</f>
        <v>#N/A</v>
      </c>
      <c r="H31988" s="4" t="str">
        <v/>
      </c>
      <c r="I31988" s="4" t="str">
        <v/>
      </c>
    </row>
    <row r="31989" spans="5:9" ht="16.5" hidden="1">
      <c r="E31989" s="4" t="str">
        <v/>
      </c>
      <c r="F31989" s="102" t="str">
        <f ca="1">IFERROR(__xludf.DUMMYFUNCTION("IMPORTRANGE(H31989,""IDENTITAS UNIT!D9"")"),"#N/A")</f>
        <v>#N/A</v>
      </c>
      <c r="H31989" s="4" t="str">
        <v/>
      </c>
      <c r="I31989" s="4" t="str">
        <v/>
      </c>
    </row>
    <row r="31990" spans="5:9" ht="16.5" hidden="1">
      <c r="E31990" s="4" t="str">
        <v/>
      </c>
      <c r="F31990" s="102" t="str">
        <f ca="1">IFERROR(__xludf.DUMMYFUNCTION("IMPORTRANGE(H31990,""IDENTITAS UNIT!D9"")"),"#N/A")</f>
        <v>#N/A</v>
      </c>
      <c r="H31990" s="4" t="str">
        <v/>
      </c>
      <c r="I31990" s="4" t="str">
        <v/>
      </c>
    </row>
    <row r="31991" spans="5:9" ht="16.5" hidden="1">
      <c r="E31991" s="4" t="str">
        <v/>
      </c>
      <c r="F31991" s="102" t="str">
        <f ca="1">IFERROR(__xludf.DUMMYFUNCTION("IMPORTRANGE(H31991,""IDENTITAS UNIT!D9"")"),"#N/A")</f>
        <v>#N/A</v>
      </c>
      <c r="H31991" s="4" t="str">
        <v/>
      </c>
      <c r="I31991" s="4" t="str">
        <v/>
      </c>
    </row>
    <row r="31992" spans="5:9" ht="16.5" hidden="1">
      <c r="E31992" s="4" t="str">
        <v/>
      </c>
      <c r="F31992" s="102" t="str">
        <f ca="1">IFERROR(__xludf.DUMMYFUNCTION("IMPORTRANGE(H31992,""IDENTITAS UNIT!D9"")"),"#N/A")</f>
        <v>#N/A</v>
      </c>
      <c r="H31992" s="4" t="str">
        <v/>
      </c>
      <c r="I31992" s="4" t="str">
        <v/>
      </c>
    </row>
    <row r="31993" spans="5:9" ht="16.5" hidden="1">
      <c r="E31993" s="4" t="str">
        <v/>
      </c>
      <c r="F31993" s="102" t="str">
        <f ca="1">IFERROR(__xludf.DUMMYFUNCTION("IMPORTRANGE(H31993,""IDENTITAS UNIT!D9"")"),"#N/A")</f>
        <v>#N/A</v>
      </c>
      <c r="H31993" s="4" t="str">
        <v/>
      </c>
      <c r="I31993" s="4" t="str">
        <v/>
      </c>
    </row>
    <row r="31994" spans="5:9" ht="16.5" hidden="1">
      <c r="E31994" s="4" t="str">
        <v/>
      </c>
      <c r="F31994" s="102" t="str">
        <f ca="1">IFERROR(__xludf.DUMMYFUNCTION("IMPORTRANGE(H31994,""IDENTITAS UNIT!D9"")"),"#N/A")</f>
        <v>#N/A</v>
      </c>
      <c r="H31994" s="4" t="str">
        <v/>
      </c>
      <c r="I31994" s="4" t="str">
        <v/>
      </c>
    </row>
    <row r="31995" spans="5:9" ht="16.5" hidden="1">
      <c r="E31995" s="4" t="str">
        <v/>
      </c>
      <c r="F31995" s="102" t="str">
        <f ca="1">IFERROR(__xludf.DUMMYFUNCTION("IMPORTRANGE(H31995,""IDENTITAS UNIT!D9"")"),"#N/A")</f>
        <v>#N/A</v>
      </c>
      <c r="H31995" s="4" t="str">
        <v/>
      </c>
      <c r="I31995" s="4" t="str">
        <v/>
      </c>
    </row>
    <row r="31996" spans="5:9" ht="16.5" hidden="1">
      <c r="E31996" s="4" t="str">
        <v/>
      </c>
      <c r="F31996" s="102" t="str">
        <f ca="1">IFERROR(__xludf.DUMMYFUNCTION("IMPORTRANGE(H31996,""IDENTITAS UNIT!D9"")"),"#N/A")</f>
        <v>#N/A</v>
      </c>
      <c r="H31996" s="4" t="str">
        <v/>
      </c>
      <c r="I31996" s="4" t="str">
        <v/>
      </c>
    </row>
    <row r="31997" spans="5:9" ht="16.5" hidden="1">
      <c r="E31997" s="4" t="str">
        <v/>
      </c>
      <c r="F31997" s="102" t="str">
        <f ca="1">IFERROR(__xludf.DUMMYFUNCTION("IMPORTRANGE(H31997,""IDENTITAS UNIT!D9"")"),"#N/A")</f>
        <v>#N/A</v>
      </c>
      <c r="H31997" s="4" t="str">
        <v/>
      </c>
      <c r="I31997" s="4" t="str">
        <v/>
      </c>
    </row>
    <row r="31998" spans="5:9" ht="16.5" hidden="1">
      <c r="E31998" s="4" t="str">
        <v/>
      </c>
      <c r="F31998" s="102" t="str">
        <f ca="1">IFERROR(__xludf.DUMMYFUNCTION("IMPORTRANGE(H31998,""IDENTITAS UNIT!D9"")"),"#N/A")</f>
        <v>#N/A</v>
      </c>
      <c r="H31998" s="4" t="str">
        <v/>
      </c>
      <c r="I31998" s="4" t="str">
        <v/>
      </c>
    </row>
    <row r="31999" spans="5:9" ht="16.5" hidden="1">
      <c r="E31999" s="4" t="str">
        <v/>
      </c>
      <c r="F31999" s="102" t="str">
        <f ca="1">IFERROR(__xludf.DUMMYFUNCTION("IMPORTRANGE(H31999,""IDENTITAS UNIT!D9"")"),"#N/A")</f>
        <v>#N/A</v>
      </c>
      <c r="H31999" s="4" t="str">
        <v/>
      </c>
      <c r="I31999" s="4" t="str">
        <v/>
      </c>
    </row>
    <row r="32000" spans="5:9" ht="16.5" hidden="1">
      <c r="E32000" s="4" t="str">
        <v/>
      </c>
      <c r="F32000" s="102" t="str">
        <f ca="1">IFERROR(__xludf.DUMMYFUNCTION("IMPORTRANGE(H32000,""IDENTITAS UNIT!D9"")"),"#N/A")</f>
        <v>#N/A</v>
      </c>
      <c r="H32000" s="4" t="str">
        <v/>
      </c>
      <c r="I32000" s="4" t="str">
        <v/>
      </c>
    </row>
    <row r="32001" spans="5:9" ht="16.5" hidden="1">
      <c r="E32001" s="4" t="str">
        <v/>
      </c>
      <c r="F32001" s="102" t="str">
        <f ca="1">IFERROR(__xludf.DUMMYFUNCTION("IMPORTRANGE(H32001,""IDENTITAS UNIT!D9"")"),"#N/A")</f>
        <v>#N/A</v>
      </c>
      <c r="H32001" s="4" t="str">
        <v/>
      </c>
      <c r="I32001" s="4" t="str">
        <v/>
      </c>
    </row>
    <row r="32002" spans="5:9" ht="16.5" hidden="1">
      <c r="E32002" s="4" t="str">
        <v/>
      </c>
      <c r="F32002" s="102" t="str">
        <f ca="1">IFERROR(__xludf.DUMMYFUNCTION("IMPORTRANGE(H32002,""IDENTITAS UNIT!D9"")"),"#N/A")</f>
        <v>#N/A</v>
      </c>
      <c r="H32002" s="4" t="str">
        <v/>
      </c>
      <c r="I32002" s="4" t="str">
        <v/>
      </c>
    </row>
    <row r="32003" spans="5:9" ht="16.5" hidden="1">
      <c r="E32003" s="4" t="str">
        <v/>
      </c>
      <c r="F32003" s="102" t="str">
        <f ca="1">IFERROR(__xludf.DUMMYFUNCTION("IMPORTRANGE(H32003,""IDENTITAS UNIT!D9"")"),"#N/A")</f>
        <v>#N/A</v>
      </c>
      <c r="H32003" s="4" t="str">
        <v/>
      </c>
      <c r="I32003" s="4" t="str">
        <v/>
      </c>
    </row>
    <row r="32004" spans="5:9" ht="16.5" hidden="1">
      <c r="E32004" s="4" t="str">
        <v/>
      </c>
      <c r="F32004" s="102" t="str">
        <f ca="1">IFERROR(__xludf.DUMMYFUNCTION("IMPORTRANGE(H32004,""IDENTITAS UNIT!D9"")"),"#N/A")</f>
        <v>#N/A</v>
      </c>
      <c r="H32004" s="4" t="str">
        <v/>
      </c>
      <c r="I32004" s="4" t="str">
        <v/>
      </c>
    </row>
    <row r="32005" spans="5:9" ht="16.5" hidden="1">
      <c r="E32005" s="4" t="str">
        <v/>
      </c>
      <c r="F32005" s="102" t="str">
        <f ca="1">IFERROR(__xludf.DUMMYFUNCTION("IMPORTRANGE(H32005,""IDENTITAS UNIT!D9"")"),"#N/A")</f>
        <v>#N/A</v>
      </c>
      <c r="H32005" s="4" t="str">
        <v/>
      </c>
      <c r="I32005" s="4" t="str">
        <v/>
      </c>
    </row>
    <row r="32006" spans="5:9" ht="16.5" hidden="1">
      <c r="E32006" s="4" t="str">
        <v/>
      </c>
      <c r="F32006" s="102" t="str">
        <f ca="1">IFERROR(__xludf.DUMMYFUNCTION("IMPORTRANGE(H32006,""IDENTITAS UNIT!D9"")"),"#N/A")</f>
        <v>#N/A</v>
      </c>
      <c r="H32006" s="4" t="str">
        <v/>
      </c>
      <c r="I32006" s="4" t="str">
        <v/>
      </c>
    </row>
    <row r="32007" spans="5:9" ht="16.5" hidden="1">
      <c r="E32007" s="4" t="str">
        <v/>
      </c>
      <c r="F32007" s="102" t="str">
        <f ca="1">IFERROR(__xludf.DUMMYFUNCTION("IMPORTRANGE(H32007,""IDENTITAS UNIT!D9"")"),"#N/A")</f>
        <v>#N/A</v>
      </c>
      <c r="H32007" s="4" t="str">
        <v/>
      </c>
      <c r="I32007" s="4" t="str">
        <v/>
      </c>
    </row>
    <row r="32008" spans="5:9" ht="16.5" hidden="1">
      <c r="E32008" s="4" t="str">
        <v/>
      </c>
      <c r="F32008" s="102" t="str">
        <f ca="1">IFERROR(__xludf.DUMMYFUNCTION("IMPORTRANGE(H32008,""IDENTITAS UNIT!D9"")"),"#N/A")</f>
        <v>#N/A</v>
      </c>
      <c r="H32008" s="4" t="str">
        <v/>
      </c>
      <c r="I32008" s="4" t="str">
        <v/>
      </c>
    </row>
    <row r="32009" spans="5:9" ht="16.5" hidden="1">
      <c r="E32009" s="4" t="str">
        <v/>
      </c>
      <c r="F32009" s="102" t="str">
        <f ca="1">IFERROR(__xludf.DUMMYFUNCTION("IMPORTRANGE(H32009,""IDENTITAS UNIT!D9"")"),"#N/A")</f>
        <v>#N/A</v>
      </c>
      <c r="H32009" s="4" t="str">
        <v/>
      </c>
      <c r="I32009" s="4" t="str">
        <v/>
      </c>
    </row>
    <row r="32010" spans="5:9" ht="16.5" hidden="1">
      <c r="E32010" s="4" t="str">
        <v/>
      </c>
      <c r="F32010" s="102" t="str">
        <f ca="1">IFERROR(__xludf.DUMMYFUNCTION("IMPORTRANGE(H32010,""IDENTITAS UNIT!D9"")"),"#N/A")</f>
        <v>#N/A</v>
      </c>
      <c r="H32010" s="4" t="str">
        <v/>
      </c>
      <c r="I32010" s="4" t="str">
        <v/>
      </c>
    </row>
    <row r="32011" spans="5:9" ht="16.5" hidden="1">
      <c r="E32011" s="4" t="str">
        <v/>
      </c>
      <c r="F32011" s="102" t="str">
        <f ca="1">IFERROR(__xludf.DUMMYFUNCTION("IMPORTRANGE(H32011,""IDENTITAS UNIT!D9"")"),"#N/A")</f>
        <v>#N/A</v>
      </c>
      <c r="H32011" s="4" t="str">
        <v/>
      </c>
      <c r="I32011" s="4" t="str">
        <v/>
      </c>
    </row>
    <row r="32012" spans="5:9" ht="16.5" hidden="1">
      <c r="E32012" s="4" t="str">
        <v/>
      </c>
      <c r="F32012" s="102" t="str">
        <f ca="1">IFERROR(__xludf.DUMMYFUNCTION("IMPORTRANGE(H32012,""IDENTITAS UNIT!D9"")"),"#N/A")</f>
        <v>#N/A</v>
      </c>
      <c r="H32012" s="4" t="str">
        <v/>
      </c>
      <c r="I32012" s="4" t="str">
        <v/>
      </c>
    </row>
    <row r="32013" spans="5:9" ht="16.5" hidden="1">
      <c r="E32013" s="4" t="str">
        <v/>
      </c>
      <c r="F32013" s="102" t="str">
        <f ca="1">IFERROR(__xludf.DUMMYFUNCTION("IMPORTRANGE(H32013,""IDENTITAS UNIT!D9"")"),"#N/A")</f>
        <v>#N/A</v>
      </c>
      <c r="H32013" s="4" t="str">
        <v/>
      </c>
      <c r="I32013" s="4" t="str">
        <v/>
      </c>
    </row>
    <row r="32014" spans="5:9" ht="16.5" hidden="1">
      <c r="E32014" s="4" t="str">
        <v/>
      </c>
      <c r="F32014" s="102" t="str">
        <f ca="1">IFERROR(__xludf.DUMMYFUNCTION("IMPORTRANGE(H32014,""IDENTITAS UNIT!D9"")"),"#N/A")</f>
        <v>#N/A</v>
      </c>
      <c r="H32014" s="4" t="str">
        <v/>
      </c>
      <c r="I32014" s="4" t="str">
        <v/>
      </c>
    </row>
    <row r="32015" spans="5:9" ht="16.5" hidden="1">
      <c r="E32015" s="4" t="str">
        <v/>
      </c>
      <c r="F32015" s="102" t="str">
        <f ca="1">IFERROR(__xludf.DUMMYFUNCTION("IMPORTRANGE(H32015,""IDENTITAS UNIT!D9"")"),"#N/A")</f>
        <v>#N/A</v>
      </c>
      <c r="H32015" s="4" t="str">
        <v/>
      </c>
      <c r="I32015" s="4" t="str">
        <v/>
      </c>
    </row>
    <row r="32016" spans="5:9" ht="16.5" hidden="1">
      <c r="E32016" s="4" t="str">
        <v/>
      </c>
      <c r="F32016" s="102" t="str">
        <f ca="1">IFERROR(__xludf.DUMMYFUNCTION("IMPORTRANGE(H32016,""IDENTITAS UNIT!D9"")"),"#N/A")</f>
        <v>#N/A</v>
      </c>
      <c r="H32016" s="4" t="str">
        <v/>
      </c>
      <c r="I32016" s="4" t="str">
        <v/>
      </c>
    </row>
    <row r="32017" spans="5:9" ht="16.5" hidden="1">
      <c r="E32017" s="4" t="str">
        <v/>
      </c>
      <c r="F32017" s="102" t="str">
        <f ca="1">IFERROR(__xludf.DUMMYFUNCTION("IMPORTRANGE(H32017,""IDENTITAS UNIT!D9"")"),"#N/A")</f>
        <v>#N/A</v>
      </c>
      <c r="H32017" s="4" t="str">
        <v/>
      </c>
      <c r="I32017" s="4" t="str">
        <v/>
      </c>
    </row>
    <row r="32018" spans="5:9" ht="16.5" hidden="1">
      <c r="E32018" s="4" t="str">
        <v/>
      </c>
      <c r="F32018" s="102" t="str">
        <f ca="1">IFERROR(__xludf.DUMMYFUNCTION("IMPORTRANGE(H32018,""IDENTITAS UNIT!D9"")"),"#N/A")</f>
        <v>#N/A</v>
      </c>
      <c r="H32018" s="4" t="str">
        <v/>
      </c>
      <c r="I32018" s="4" t="str">
        <v/>
      </c>
    </row>
    <row r="32019" spans="5:9" ht="16.5" hidden="1">
      <c r="E32019" s="4" t="str">
        <v/>
      </c>
      <c r="F32019" s="102" t="str">
        <f ca="1">IFERROR(__xludf.DUMMYFUNCTION("IMPORTRANGE(H32019,""IDENTITAS UNIT!D9"")"),"#N/A")</f>
        <v>#N/A</v>
      </c>
      <c r="H32019" s="4" t="str">
        <v/>
      </c>
      <c r="I32019" s="4" t="str">
        <v/>
      </c>
    </row>
    <row r="32020" spans="5:9" ht="16.5" hidden="1">
      <c r="E32020" s="4" t="str">
        <v/>
      </c>
      <c r="F32020" s="102" t="str">
        <f ca="1">IFERROR(__xludf.DUMMYFUNCTION("IMPORTRANGE(H32020,""IDENTITAS UNIT!D9"")"),"#N/A")</f>
        <v>#N/A</v>
      </c>
      <c r="H32020" s="4" t="str">
        <v/>
      </c>
      <c r="I32020" s="4" t="str">
        <v/>
      </c>
    </row>
    <row r="32021" spans="5:9" ht="16.5" hidden="1">
      <c r="E32021" s="4" t="str">
        <v/>
      </c>
      <c r="F32021" s="102" t="str">
        <f ca="1">IFERROR(__xludf.DUMMYFUNCTION("IMPORTRANGE(H32021,""IDENTITAS UNIT!D9"")"),"#N/A")</f>
        <v>#N/A</v>
      </c>
      <c r="H32021" s="4" t="str">
        <v/>
      </c>
      <c r="I32021" s="4" t="str">
        <v/>
      </c>
    </row>
    <row r="32022" spans="5:9" ht="16.5" hidden="1">
      <c r="E32022" s="4" t="str">
        <v/>
      </c>
      <c r="F32022" s="102" t="str">
        <f ca="1">IFERROR(__xludf.DUMMYFUNCTION("IMPORTRANGE(H32022,""IDENTITAS UNIT!D9"")"),"#N/A")</f>
        <v>#N/A</v>
      </c>
      <c r="H32022" s="4" t="str">
        <v/>
      </c>
      <c r="I32022" s="4" t="str">
        <v/>
      </c>
    </row>
    <row r="32023" spans="5:9" ht="16.5" hidden="1">
      <c r="E32023" s="4" t="str">
        <v/>
      </c>
      <c r="F32023" s="102" t="str">
        <f ca="1">IFERROR(__xludf.DUMMYFUNCTION("IMPORTRANGE(H32023,""IDENTITAS UNIT!D9"")"),"#N/A")</f>
        <v>#N/A</v>
      </c>
      <c r="H32023" s="4" t="str">
        <v/>
      </c>
      <c r="I32023" s="4" t="str">
        <v/>
      </c>
    </row>
    <row r="32024" spans="5:9" ht="16.5" hidden="1">
      <c r="E32024" s="4" t="str">
        <v/>
      </c>
      <c r="F32024" s="102" t="str">
        <f ca="1">IFERROR(__xludf.DUMMYFUNCTION("IMPORTRANGE(H32024,""IDENTITAS UNIT!D9"")"),"#N/A")</f>
        <v>#N/A</v>
      </c>
      <c r="H32024" s="4" t="str">
        <v/>
      </c>
      <c r="I32024" s="4" t="str">
        <v/>
      </c>
    </row>
    <row r="32025" spans="5:9" ht="16.5" hidden="1">
      <c r="E32025" s="4" t="str">
        <v/>
      </c>
      <c r="F32025" s="102" t="str">
        <f ca="1">IFERROR(__xludf.DUMMYFUNCTION("IMPORTRANGE(H32025,""IDENTITAS UNIT!D9"")"),"#N/A")</f>
        <v>#N/A</v>
      </c>
      <c r="H32025" s="4" t="str">
        <v/>
      </c>
      <c r="I32025" s="4" t="str">
        <v/>
      </c>
    </row>
    <row r="32026" spans="5:9" ht="16.5" hidden="1">
      <c r="E32026" s="4" t="str">
        <v/>
      </c>
      <c r="F32026" s="102" t="str">
        <f ca="1">IFERROR(__xludf.DUMMYFUNCTION("IMPORTRANGE(H32026,""IDENTITAS UNIT!D9"")"),"#N/A")</f>
        <v>#N/A</v>
      </c>
      <c r="H32026" s="4" t="str">
        <v/>
      </c>
      <c r="I32026" s="4" t="str">
        <v/>
      </c>
    </row>
    <row r="32027" spans="5:9" ht="16.5" hidden="1">
      <c r="E32027" s="4" t="str">
        <v/>
      </c>
      <c r="F32027" s="102" t="str">
        <f ca="1">IFERROR(__xludf.DUMMYFUNCTION("IMPORTRANGE(H32027,""IDENTITAS UNIT!D9"")"),"#N/A")</f>
        <v>#N/A</v>
      </c>
      <c r="H32027" s="4" t="str">
        <v/>
      </c>
      <c r="I32027" s="4" t="str">
        <v/>
      </c>
    </row>
    <row r="32028" spans="5:9" ht="16.5" hidden="1">
      <c r="E32028" s="4" t="str">
        <v/>
      </c>
      <c r="F32028" s="102" t="str">
        <f ca="1">IFERROR(__xludf.DUMMYFUNCTION("IMPORTRANGE(H32028,""IDENTITAS UNIT!D9"")"),"#N/A")</f>
        <v>#N/A</v>
      </c>
      <c r="H32028" s="4" t="str">
        <v/>
      </c>
      <c r="I32028" s="4" t="str">
        <v/>
      </c>
    </row>
    <row r="32029" spans="5:9" ht="16.5" hidden="1">
      <c r="E32029" s="4" t="str">
        <v/>
      </c>
      <c r="F32029" s="102" t="str">
        <f ca="1">IFERROR(__xludf.DUMMYFUNCTION("IMPORTRANGE(H32029,""IDENTITAS UNIT!D9"")"),"#N/A")</f>
        <v>#N/A</v>
      </c>
      <c r="H32029" s="4" t="str">
        <v/>
      </c>
      <c r="I32029" s="4" t="str">
        <v/>
      </c>
    </row>
    <row r="32030" spans="5:9" ht="16.5" hidden="1">
      <c r="E32030" s="4" t="str">
        <v/>
      </c>
      <c r="F32030" s="102" t="str">
        <f ca="1">IFERROR(__xludf.DUMMYFUNCTION("IMPORTRANGE(H32030,""IDENTITAS UNIT!D9"")"),"#N/A")</f>
        <v>#N/A</v>
      </c>
      <c r="H32030" s="4" t="str">
        <v/>
      </c>
      <c r="I32030" s="4" t="str">
        <v/>
      </c>
    </row>
    <row r="32031" spans="5:9" ht="16.5" hidden="1">
      <c r="E32031" s="4" t="str">
        <v/>
      </c>
      <c r="F32031" s="102" t="str">
        <f ca="1">IFERROR(__xludf.DUMMYFUNCTION("IMPORTRANGE(H32031,""IDENTITAS UNIT!D9"")"),"#N/A")</f>
        <v>#N/A</v>
      </c>
      <c r="H32031" s="4" t="str">
        <v/>
      </c>
      <c r="I32031" s="4" t="str">
        <v/>
      </c>
    </row>
    <row r="32032" spans="5:9" ht="16.5" hidden="1">
      <c r="E32032" s="4" t="str">
        <v/>
      </c>
      <c r="F32032" s="102" t="str">
        <f ca="1">IFERROR(__xludf.DUMMYFUNCTION("IMPORTRANGE(H32032,""IDENTITAS UNIT!D9"")"),"#N/A")</f>
        <v>#N/A</v>
      </c>
      <c r="H32032" s="4" t="str">
        <v/>
      </c>
      <c r="I32032" s="4" t="str">
        <v/>
      </c>
    </row>
    <row r="32033" spans="5:9" ht="16.5" hidden="1">
      <c r="E32033" s="4" t="str">
        <v/>
      </c>
      <c r="F32033" s="102" t="str">
        <f ca="1">IFERROR(__xludf.DUMMYFUNCTION("IMPORTRANGE(H32033,""IDENTITAS UNIT!D9"")"),"#N/A")</f>
        <v>#N/A</v>
      </c>
      <c r="H32033" s="4" t="str">
        <v/>
      </c>
      <c r="I32033" s="4" t="str">
        <v/>
      </c>
    </row>
    <row r="32034" spans="5:9" ht="16.5" hidden="1">
      <c r="E32034" s="4" t="str">
        <v/>
      </c>
      <c r="F32034" s="102" t="str">
        <f ca="1">IFERROR(__xludf.DUMMYFUNCTION("IMPORTRANGE(H32034,""IDENTITAS UNIT!D9"")"),"#N/A")</f>
        <v>#N/A</v>
      </c>
      <c r="H32034" s="4" t="str">
        <v/>
      </c>
      <c r="I32034" s="4" t="str">
        <v/>
      </c>
    </row>
    <row r="32035" spans="5:9" ht="16.5" hidden="1">
      <c r="E32035" s="4" t="str">
        <v/>
      </c>
      <c r="F32035" s="102" t="str">
        <f ca="1">IFERROR(__xludf.DUMMYFUNCTION("IMPORTRANGE(H32035,""IDENTITAS UNIT!D9"")"),"#N/A")</f>
        <v>#N/A</v>
      </c>
      <c r="H32035" s="4" t="str">
        <v/>
      </c>
      <c r="I32035" s="4" t="str">
        <v/>
      </c>
    </row>
    <row r="32036" spans="5:9" ht="16.5" hidden="1">
      <c r="E32036" s="4" t="str">
        <v/>
      </c>
      <c r="F32036" s="102" t="str">
        <f ca="1">IFERROR(__xludf.DUMMYFUNCTION("IMPORTRANGE(H32036,""IDENTITAS UNIT!D9"")"),"#N/A")</f>
        <v>#N/A</v>
      </c>
      <c r="H32036" s="4" t="str">
        <v/>
      </c>
      <c r="I32036" s="4" t="str">
        <v/>
      </c>
    </row>
    <row r="32037" spans="5:9" ht="16.5" hidden="1">
      <c r="E32037" s="4" t="str">
        <v/>
      </c>
      <c r="F32037" s="102" t="str">
        <f ca="1">IFERROR(__xludf.DUMMYFUNCTION("IMPORTRANGE(H32037,""IDENTITAS UNIT!D9"")"),"#N/A")</f>
        <v>#N/A</v>
      </c>
      <c r="H32037" s="4" t="str">
        <v/>
      </c>
      <c r="I32037" s="4" t="str">
        <v/>
      </c>
    </row>
    <row r="32038" spans="5:9" ht="16.5" hidden="1">
      <c r="E32038" s="4" t="str">
        <v/>
      </c>
      <c r="F32038" s="102" t="str">
        <f ca="1">IFERROR(__xludf.DUMMYFUNCTION("IMPORTRANGE(H32038,""IDENTITAS UNIT!D9"")"),"#N/A")</f>
        <v>#N/A</v>
      </c>
      <c r="H32038" s="4" t="str">
        <v/>
      </c>
      <c r="I32038" s="4" t="str">
        <v/>
      </c>
    </row>
    <row r="32039" spans="5:9" ht="16.5" hidden="1">
      <c r="E32039" s="4" t="str">
        <v/>
      </c>
      <c r="F32039" s="102" t="str">
        <f ca="1">IFERROR(__xludf.DUMMYFUNCTION("IMPORTRANGE(H32039,""IDENTITAS UNIT!D9"")"),"#N/A")</f>
        <v>#N/A</v>
      </c>
      <c r="H32039" s="4" t="str">
        <v/>
      </c>
      <c r="I32039" s="4" t="str">
        <v/>
      </c>
    </row>
    <row r="32040" spans="5:9" ht="16.5" hidden="1">
      <c r="E32040" s="4" t="str">
        <v/>
      </c>
      <c r="F32040" s="102" t="str">
        <f ca="1">IFERROR(__xludf.DUMMYFUNCTION("IMPORTRANGE(H32040,""IDENTITAS UNIT!D9"")"),"#N/A")</f>
        <v>#N/A</v>
      </c>
      <c r="H32040" s="4" t="str">
        <v/>
      </c>
      <c r="I32040" s="4" t="str">
        <v/>
      </c>
    </row>
    <row r="32041" spans="5:9" ht="16.5" hidden="1">
      <c r="E32041" s="4" t="str">
        <v/>
      </c>
      <c r="F32041" s="102" t="str">
        <f ca="1">IFERROR(__xludf.DUMMYFUNCTION("IMPORTRANGE(H32041,""IDENTITAS UNIT!D9"")"),"#N/A")</f>
        <v>#N/A</v>
      </c>
      <c r="H32041" s="4" t="str">
        <v/>
      </c>
      <c r="I32041" s="4" t="str">
        <v/>
      </c>
    </row>
    <row r="32042" spans="5:9" ht="16.5" hidden="1">
      <c r="E32042" s="4" t="str">
        <v/>
      </c>
      <c r="F32042" s="102" t="str">
        <f ca="1">IFERROR(__xludf.DUMMYFUNCTION("IMPORTRANGE(H32042,""IDENTITAS UNIT!D9"")"),"#N/A")</f>
        <v>#N/A</v>
      </c>
      <c r="H32042" s="4" t="str">
        <v/>
      </c>
      <c r="I32042" s="4" t="str">
        <v/>
      </c>
    </row>
    <row r="32043" spans="5:9" ht="16.5" hidden="1">
      <c r="E32043" s="4" t="str">
        <v/>
      </c>
      <c r="F32043" s="102" t="str">
        <f ca="1">IFERROR(__xludf.DUMMYFUNCTION("IMPORTRANGE(H32043,""IDENTITAS UNIT!D9"")"),"#N/A")</f>
        <v>#N/A</v>
      </c>
      <c r="H32043" s="4" t="str">
        <v/>
      </c>
      <c r="I32043" s="4" t="str">
        <v/>
      </c>
    </row>
    <row r="32044" spans="5:9" ht="16.5" hidden="1">
      <c r="E32044" s="4" t="str">
        <v/>
      </c>
      <c r="F32044" s="102" t="str">
        <f ca="1">IFERROR(__xludf.DUMMYFUNCTION("IMPORTRANGE(H32044,""IDENTITAS UNIT!D9"")"),"#N/A")</f>
        <v>#N/A</v>
      </c>
      <c r="H32044" s="4" t="str">
        <v/>
      </c>
      <c r="I32044" s="4" t="str">
        <v/>
      </c>
    </row>
    <row r="32045" spans="5:9" ht="16.5" hidden="1">
      <c r="E32045" s="4" t="str">
        <v/>
      </c>
      <c r="F32045" s="102" t="str">
        <f ca="1">IFERROR(__xludf.DUMMYFUNCTION("IMPORTRANGE(H32045,""IDENTITAS UNIT!D9"")"),"#N/A")</f>
        <v>#N/A</v>
      </c>
      <c r="H32045" s="4" t="str">
        <v/>
      </c>
      <c r="I32045" s="4" t="str">
        <v/>
      </c>
    </row>
    <row r="32046" spans="5:9" ht="16.5" hidden="1">
      <c r="E32046" s="4" t="str">
        <v/>
      </c>
      <c r="F32046" s="102" t="str">
        <f ca="1">IFERROR(__xludf.DUMMYFUNCTION("IMPORTRANGE(H32046,""IDENTITAS UNIT!D9"")"),"#N/A")</f>
        <v>#N/A</v>
      </c>
      <c r="H32046" s="4" t="str">
        <v/>
      </c>
      <c r="I32046" s="4" t="str">
        <v/>
      </c>
    </row>
    <row r="32047" spans="5:9" ht="16.5" hidden="1">
      <c r="E32047" s="4" t="str">
        <v/>
      </c>
      <c r="F32047" s="102" t="str">
        <f ca="1">IFERROR(__xludf.DUMMYFUNCTION("IMPORTRANGE(H32047,""IDENTITAS UNIT!D9"")"),"#N/A")</f>
        <v>#N/A</v>
      </c>
      <c r="H32047" s="4" t="str">
        <v/>
      </c>
      <c r="I32047" s="4" t="str">
        <v/>
      </c>
    </row>
    <row r="32048" spans="5:9" ht="16.5" hidden="1">
      <c r="E32048" s="4" t="str">
        <v/>
      </c>
      <c r="F32048" s="102" t="str">
        <f ca="1">IFERROR(__xludf.DUMMYFUNCTION("IMPORTRANGE(H32048,""IDENTITAS UNIT!D9"")"),"#N/A")</f>
        <v>#N/A</v>
      </c>
      <c r="H32048" s="4" t="str">
        <v/>
      </c>
      <c r="I32048" s="4" t="str">
        <v/>
      </c>
    </row>
    <row r="32049" spans="5:9" ht="16.5" hidden="1">
      <c r="E32049" s="4" t="str">
        <v/>
      </c>
      <c r="F32049" s="102" t="str">
        <f ca="1">IFERROR(__xludf.DUMMYFUNCTION("IMPORTRANGE(H32049,""IDENTITAS UNIT!D9"")"),"#N/A")</f>
        <v>#N/A</v>
      </c>
      <c r="H32049" s="4" t="str">
        <v/>
      </c>
      <c r="I32049" s="4" t="str">
        <v/>
      </c>
    </row>
    <row r="32050" spans="5:9" ht="16.5" hidden="1">
      <c r="E32050" s="4" t="str">
        <v/>
      </c>
      <c r="F32050" s="102" t="str">
        <f ca="1">IFERROR(__xludf.DUMMYFUNCTION("IMPORTRANGE(H32050,""IDENTITAS UNIT!D9"")"),"#N/A")</f>
        <v>#N/A</v>
      </c>
      <c r="H32050" s="4" t="str">
        <v/>
      </c>
      <c r="I32050" s="4" t="str">
        <v/>
      </c>
    </row>
    <row r="32051" spans="5:9" ht="16.5" hidden="1">
      <c r="E32051" s="4" t="str">
        <v/>
      </c>
      <c r="F32051" s="102" t="str">
        <f ca="1">IFERROR(__xludf.DUMMYFUNCTION("IMPORTRANGE(H32051,""IDENTITAS UNIT!D9"")"),"#N/A")</f>
        <v>#N/A</v>
      </c>
      <c r="H32051" s="4" t="str">
        <v/>
      </c>
      <c r="I32051" s="4" t="str">
        <v/>
      </c>
    </row>
    <row r="32052" spans="5:9" ht="16.5" hidden="1">
      <c r="E32052" s="4" t="str">
        <v/>
      </c>
      <c r="F32052" s="102" t="str">
        <f ca="1">IFERROR(__xludf.DUMMYFUNCTION("IMPORTRANGE(H32052,""IDENTITAS UNIT!D9"")"),"#N/A")</f>
        <v>#N/A</v>
      </c>
      <c r="H32052" s="4" t="str">
        <v/>
      </c>
      <c r="I32052" s="4" t="str">
        <v/>
      </c>
    </row>
    <row r="32053" spans="5:9" ht="16.5" hidden="1">
      <c r="E32053" s="4" t="str">
        <v/>
      </c>
      <c r="F32053" s="102" t="str">
        <f ca="1">IFERROR(__xludf.DUMMYFUNCTION("IMPORTRANGE(H32053,""IDENTITAS UNIT!D9"")"),"#N/A")</f>
        <v>#N/A</v>
      </c>
      <c r="H32053" s="4" t="str">
        <v/>
      </c>
      <c r="I32053" s="4" t="str">
        <v/>
      </c>
    </row>
    <row r="32054" spans="5:9" ht="16.5" hidden="1">
      <c r="E32054" s="4" t="str">
        <v/>
      </c>
      <c r="F32054" s="102" t="str">
        <f ca="1">IFERROR(__xludf.DUMMYFUNCTION("IMPORTRANGE(H32054,""IDENTITAS UNIT!D9"")"),"#N/A")</f>
        <v>#N/A</v>
      </c>
      <c r="H32054" s="4" t="str">
        <v/>
      </c>
      <c r="I32054" s="4" t="str">
        <v/>
      </c>
    </row>
    <row r="32055" spans="5:9" ht="16.5" hidden="1">
      <c r="E32055" s="4" t="str">
        <v/>
      </c>
      <c r="F32055" s="102" t="str">
        <f ca="1">IFERROR(__xludf.DUMMYFUNCTION("IMPORTRANGE(H32055,""IDENTITAS UNIT!D9"")"),"#N/A")</f>
        <v>#N/A</v>
      </c>
      <c r="H32055" s="4" t="str">
        <v/>
      </c>
      <c r="I32055" s="4" t="str">
        <v/>
      </c>
    </row>
    <row r="32056" spans="5:9" ht="16.5" hidden="1">
      <c r="E32056" s="4" t="str">
        <v/>
      </c>
      <c r="F32056" s="102" t="str">
        <f ca="1">IFERROR(__xludf.DUMMYFUNCTION("IMPORTRANGE(H32056,""IDENTITAS UNIT!D9"")"),"#N/A")</f>
        <v>#N/A</v>
      </c>
      <c r="H32056" s="4" t="str">
        <v/>
      </c>
      <c r="I32056" s="4" t="str">
        <v/>
      </c>
    </row>
    <row r="32057" spans="5:9" ht="16.5" hidden="1">
      <c r="E32057" s="4" t="str">
        <v/>
      </c>
      <c r="F32057" s="102" t="str">
        <f ca="1">IFERROR(__xludf.DUMMYFUNCTION("IMPORTRANGE(H32057,""IDENTITAS UNIT!D9"")"),"#N/A")</f>
        <v>#N/A</v>
      </c>
      <c r="H32057" s="4" t="str">
        <v/>
      </c>
      <c r="I32057" s="4" t="str">
        <v/>
      </c>
    </row>
    <row r="32058" spans="5:9" ht="16.5" hidden="1">
      <c r="E32058" s="4" t="str">
        <v/>
      </c>
      <c r="F32058" s="102" t="str">
        <f ca="1">IFERROR(__xludf.DUMMYFUNCTION("IMPORTRANGE(H32058,""IDENTITAS UNIT!D9"")"),"#N/A")</f>
        <v>#N/A</v>
      </c>
      <c r="H32058" s="4" t="str">
        <v/>
      </c>
      <c r="I32058" s="4" t="str">
        <v/>
      </c>
    </row>
    <row r="32059" spans="5:9" ht="16.5" hidden="1">
      <c r="E32059" s="4" t="str">
        <v/>
      </c>
      <c r="F32059" s="102" t="str">
        <f ca="1">IFERROR(__xludf.DUMMYFUNCTION("IMPORTRANGE(H32059,""IDENTITAS UNIT!D9"")"),"#N/A")</f>
        <v>#N/A</v>
      </c>
      <c r="H32059" s="4" t="str">
        <v/>
      </c>
      <c r="I32059" s="4" t="str">
        <v/>
      </c>
    </row>
    <row r="32060" spans="5:9" ht="16.5" hidden="1">
      <c r="E32060" s="4" t="str">
        <v/>
      </c>
      <c r="F32060" s="102" t="str">
        <f ca="1">IFERROR(__xludf.DUMMYFUNCTION("IMPORTRANGE(H32060,""IDENTITAS UNIT!D9"")"),"#N/A")</f>
        <v>#N/A</v>
      </c>
      <c r="H32060" s="4" t="str">
        <v/>
      </c>
      <c r="I32060" s="4" t="str">
        <v/>
      </c>
    </row>
    <row r="32061" spans="5:9" ht="16.5" hidden="1">
      <c r="E32061" s="4" t="str">
        <v/>
      </c>
      <c r="F32061" s="102" t="str">
        <f ca="1">IFERROR(__xludf.DUMMYFUNCTION("IMPORTRANGE(H32061,""IDENTITAS UNIT!D9"")"),"#N/A")</f>
        <v>#N/A</v>
      </c>
      <c r="H32061" s="4" t="str">
        <v/>
      </c>
      <c r="I32061" s="4" t="str">
        <v/>
      </c>
    </row>
    <row r="32062" spans="5:9" ht="16.5" hidden="1">
      <c r="E32062" s="4" t="str">
        <v/>
      </c>
      <c r="F32062" s="102" t="str">
        <f ca="1">IFERROR(__xludf.DUMMYFUNCTION("IMPORTRANGE(H32062,""IDENTITAS UNIT!D9"")"),"#N/A")</f>
        <v>#N/A</v>
      </c>
      <c r="H32062" s="4" t="str">
        <v/>
      </c>
      <c r="I32062" s="4" t="str">
        <v/>
      </c>
    </row>
    <row r="32063" spans="5:9" ht="16.5" hidden="1">
      <c r="E32063" s="4" t="str">
        <v/>
      </c>
      <c r="F32063" s="102" t="str">
        <f ca="1">IFERROR(__xludf.DUMMYFUNCTION("IMPORTRANGE(H32063,""IDENTITAS UNIT!D9"")"),"#N/A")</f>
        <v>#N/A</v>
      </c>
      <c r="H32063" s="4" t="str">
        <v/>
      </c>
      <c r="I32063" s="4" t="str">
        <v/>
      </c>
    </row>
    <row r="32064" spans="5:9" ht="16.5" hidden="1">
      <c r="E32064" s="4" t="str">
        <v/>
      </c>
      <c r="F32064" s="102" t="str">
        <f ca="1">IFERROR(__xludf.DUMMYFUNCTION("IMPORTRANGE(H32064,""IDENTITAS UNIT!D9"")"),"#N/A")</f>
        <v>#N/A</v>
      </c>
      <c r="H32064" s="4" t="str">
        <v/>
      </c>
      <c r="I32064" s="4" t="str">
        <v/>
      </c>
    </row>
    <row r="32065" spans="5:9" ht="16.5" hidden="1">
      <c r="E32065" s="4" t="str">
        <v/>
      </c>
      <c r="F32065" s="102" t="str">
        <f ca="1">IFERROR(__xludf.DUMMYFUNCTION("IMPORTRANGE(H32065,""IDENTITAS UNIT!D9"")"),"#N/A")</f>
        <v>#N/A</v>
      </c>
      <c r="H32065" s="4" t="str">
        <v/>
      </c>
      <c r="I32065" s="4" t="str">
        <v/>
      </c>
    </row>
    <row r="32066" spans="5:9" ht="16.5" hidden="1">
      <c r="E32066" s="4" t="str">
        <v/>
      </c>
      <c r="F32066" s="102" t="str">
        <f ca="1">IFERROR(__xludf.DUMMYFUNCTION("IMPORTRANGE(H32066,""IDENTITAS UNIT!D9"")"),"#N/A")</f>
        <v>#N/A</v>
      </c>
      <c r="H32066" s="4" t="str">
        <v/>
      </c>
      <c r="I32066" s="4" t="str">
        <v/>
      </c>
    </row>
    <row r="32067" spans="5:9" ht="16.5" hidden="1">
      <c r="E32067" s="4" t="str">
        <v/>
      </c>
      <c r="F32067" s="102" t="str">
        <f ca="1">IFERROR(__xludf.DUMMYFUNCTION("IMPORTRANGE(H32067,""IDENTITAS UNIT!D9"")"),"#N/A")</f>
        <v>#N/A</v>
      </c>
      <c r="H32067" s="4" t="str">
        <v/>
      </c>
      <c r="I32067" s="4" t="str">
        <v/>
      </c>
    </row>
    <row r="32068" spans="5:9" ht="16.5" hidden="1">
      <c r="E32068" s="4" t="str">
        <v/>
      </c>
      <c r="F32068" s="102" t="str">
        <f ca="1">IFERROR(__xludf.DUMMYFUNCTION("IMPORTRANGE(H32068,""IDENTITAS UNIT!D9"")"),"#N/A")</f>
        <v>#N/A</v>
      </c>
      <c r="H32068" s="4" t="str">
        <v/>
      </c>
      <c r="I32068" s="4" t="str">
        <v/>
      </c>
    </row>
    <row r="32069" spans="5:9" ht="16.5" hidden="1">
      <c r="E32069" s="4" t="str">
        <v/>
      </c>
      <c r="F32069" s="102" t="str">
        <f ca="1">IFERROR(__xludf.DUMMYFUNCTION("IMPORTRANGE(H32069,""IDENTITAS UNIT!D9"")"),"#N/A")</f>
        <v>#N/A</v>
      </c>
      <c r="H32069" s="4" t="str">
        <v/>
      </c>
      <c r="I32069" s="4" t="str">
        <v/>
      </c>
    </row>
    <row r="32070" spans="5:9" ht="16.5" hidden="1">
      <c r="E32070" s="4" t="str">
        <v/>
      </c>
      <c r="F32070" s="102" t="str">
        <f ca="1">IFERROR(__xludf.DUMMYFUNCTION("IMPORTRANGE(H32070,""IDENTITAS UNIT!D9"")"),"#N/A")</f>
        <v>#N/A</v>
      </c>
      <c r="H32070" s="4" t="str">
        <v/>
      </c>
      <c r="I32070" s="4" t="str">
        <v/>
      </c>
    </row>
    <row r="32071" spans="5:9" ht="16.5" hidden="1">
      <c r="E32071" s="4" t="str">
        <v/>
      </c>
      <c r="F32071" s="102" t="str">
        <f ca="1">IFERROR(__xludf.DUMMYFUNCTION("IMPORTRANGE(H32071,""IDENTITAS UNIT!D9"")"),"#N/A")</f>
        <v>#N/A</v>
      </c>
      <c r="H32071" s="4" t="str">
        <v/>
      </c>
      <c r="I32071" s="4" t="str">
        <v/>
      </c>
    </row>
    <row r="32072" spans="5:9" ht="16.5" hidden="1">
      <c r="E32072" s="4" t="str">
        <v/>
      </c>
      <c r="F32072" s="102" t="str">
        <f ca="1">IFERROR(__xludf.DUMMYFUNCTION("IMPORTRANGE(H32072,""IDENTITAS UNIT!D9"")"),"#N/A")</f>
        <v>#N/A</v>
      </c>
      <c r="H32072" s="4" t="str">
        <v/>
      </c>
      <c r="I32072" s="4" t="str">
        <v/>
      </c>
    </row>
    <row r="32073" spans="5:9" ht="16.5" hidden="1">
      <c r="E32073" s="4" t="str">
        <v/>
      </c>
      <c r="F32073" s="102" t="str">
        <f ca="1">IFERROR(__xludf.DUMMYFUNCTION("IMPORTRANGE(H32073,""IDENTITAS UNIT!D9"")"),"#N/A")</f>
        <v>#N/A</v>
      </c>
      <c r="H32073" s="4" t="str">
        <v/>
      </c>
      <c r="I32073" s="4" t="str">
        <v/>
      </c>
    </row>
    <row r="32074" spans="5:9" ht="16.5" hidden="1">
      <c r="E32074" s="4" t="str">
        <v/>
      </c>
      <c r="F32074" s="102" t="str">
        <f ca="1">IFERROR(__xludf.DUMMYFUNCTION("IMPORTRANGE(H32074,""IDENTITAS UNIT!D9"")"),"#N/A")</f>
        <v>#N/A</v>
      </c>
      <c r="H32074" s="4" t="str">
        <v/>
      </c>
      <c r="I32074" s="4" t="str">
        <v/>
      </c>
    </row>
    <row r="32075" spans="5:9" ht="16.5" hidden="1">
      <c r="E32075" s="4" t="str">
        <v/>
      </c>
      <c r="F32075" s="102" t="str">
        <f ca="1">IFERROR(__xludf.DUMMYFUNCTION("IMPORTRANGE(H32075,""IDENTITAS UNIT!D9"")"),"#N/A")</f>
        <v>#N/A</v>
      </c>
      <c r="H32075" s="4" t="str">
        <v/>
      </c>
      <c r="I32075" s="4" t="str">
        <v/>
      </c>
    </row>
    <row r="32076" spans="5:9" ht="16.5" hidden="1">
      <c r="E32076" s="4" t="str">
        <v/>
      </c>
      <c r="F32076" s="102" t="str">
        <f ca="1">IFERROR(__xludf.DUMMYFUNCTION("IMPORTRANGE(H32076,""IDENTITAS UNIT!D9"")"),"#N/A")</f>
        <v>#N/A</v>
      </c>
      <c r="H32076" s="4" t="str">
        <v/>
      </c>
      <c r="I32076" s="4" t="str">
        <v/>
      </c>
    </row>
    <row r="32077" spans="5:9" ht="16.5" hidden="1">
      <c r="E32077" s="4" t="str">
        <v/>
      </c>
      <c r="F32077" s="102" t="str">
        <f ca="1">IFERROR(__xludf.DUMMYFUNCTION("IMPORTRANGE(H32077,""IDENTITAS UNIT!D9"")"),"#N/A")</f>
        <v>#N/A</v>
      </c>
      <c r="H32077" s="4" t="str">
        <v/>
      </c>
      <c r="I32077" s="4" t="str">
        <v/>
      </c>
    </row>
    <row r="32078" spans="5:9" ht="16.5" hidden="1">
      <c r="E32078" s="4" t="str">
        <v/>
      </c>
      <c r="F32078" s="102" t="str">
        <f ca="1">IFERROR(__xludf.DUMMYFUNCTION("IMPORTRANGE(H32078,""IDENTITAS UNIT!D9"")"),"#N/A")</f>
        <v>#N/A</v>
      </c>
      <c r="H32078" s="4" t="str">
        <v/>
      </c>
      <c r="I32078" s="4" t="str">
        <v/>
      </c>
    </row>
    <row r="32079" spans="5:9" ht="16.5" hidden="1">
      <c r="E32079" s="4" t="str">
        <v/>
      </c>
      <c r="F32079" s="102" t="str">
        <f ca="1">IFERROR(__xludf.DUMMYFUNCTION("IMPORTRANGE(H32079,""IDENTITAS UNIT!D9"")"),"#N/A")</f>
        <v>#N/A</v>
      </c>
      <c r="H32079" s="4" t="str">
        <v/>
      </c>
      <c r="I32079" s="4" t="str">
        <v/>
      </c>
    </row>
    <row r="32080" spans="5:9" ht="16.5" hidden="1">
      <c r="E32080" s="4" t="str">
        <v/>
      </c>
      <c r="F32080" s="102" t="str">
        <f ca="1">IFERROR(__xludf.DUMMYFUNCTION("IMPORTRANGE(H32080,""IDENTITAS UNIT!D9"")"),"#N/A")</f>
        <v>#N/A</v>
      </c>
      <c r="H32080" s="4" t="str">
        <v/>
      </c>
      <c r="I32080" s="4" t="str">
        <v/>
      </c>
    </row>
    <row r="32081" spans="5:9" ht="16.5" hidden="1">
      <c r="E32081" s="4" t="str">
        <v/>
      </c>
      <c r="F32081" s="102" t="str">
        <f ca="1">IFERROR(__xludf.DUMMYFUNCTION("IMPORTRANGE(H32081,""IDENTITAS UNIT!D9"")"),"#N/A")</f>
        <v>#N/A</v>
      </c>
      <c r="H32081" s="4" t="str">
        <v/>
      </c>
      <c r="I32081" s="4" t="str">
        <v/>
      </c>
    </row>
    <row r="32082" spans="5:9" ht="16.5" hidden="1">
      <c r="E32082" s="4" t="str">
        <v/>
      </c>
      <c r="F32082" s="102" t="str">
        <f ca="1">IFERROR(__xludf.DUMMYFUNCTION("IMPORTRANGE(H32082,""IDENTITAS UNIT!D9"")"),"#N/A")</f>
        <v>#N/A</v>
      </c>
      <c r="H32082" s="4" t="str">
        <v/>
      </c>
      <c r="I32082" s="4" t="str">
        <v/>
      </c>
    </row>
    <row r="32083" spans="5:9" ht="16.5" hidden="1">
      <c r="E32083" s="4" t="str">
        <v/>
      </c>
      <c r="F32083" s="102" t="str">
        <f ca="1">IFERROR(__xludf.DUMMYFUNCTION("IMPORTRANGE(H32083,""IDENTITAS UNIT!D9"")"),"#N/A")</f>
        <v>#N/A</v>
      </c>
      <c r="H32083" s="4" t="str">
        <v/>
      </c>
      <c r="I32083" s="4" t="str">
        <v/>
      </c>
    </row>
    <row r="32084" spans="5:9" ht="16.5" hidden="1">
      <c r="E32084" s="4" t="str">
        <v/>
      </c>
      <c r="F32084" s="102" t="str">
        <f ca="1">IFERROR(__xludf.DUMMYFUNCTION("IMPORTRANGE(H32084,""IDENTITAS UNIT!D9"")"),"#N/A")</f>
        <v>#N/A</v>
      </c>
      <c r="H32084" s="4" t="str">
        <v/>
      </c>
      <c r="I32084" s="4" t="str">
        <v/>
      </c>
    </row>
    <row r="32085" spans="5:9" ht="16.5" hidden="1">
      <c r="E32085" s="4" t="str">
        <v/>
      </c>
      <c r="F32085" s="102" t="str">
        <f ca="1">IFERROR(__xludf.DUMMYFUNCTION("IMPORTRANGE(H32085,""IDENTITAS UNIT!D9"")"),"#N/A")</f>
        <v>#N/A</v>
      </c>
      <c r="H32085" s="4" t="str">
        <v/>
      </c>
      <c r="I32085" s="4" t="str">
        <v/>
      </c>
    </row>
    <row r="32086" spans="5:9" ht="16.5" hidden="1">
      <c r="E32086" s="4" t="str">
        <v/>
      </c>
      <c r="F32086" s="102" t="str">
        <f ca="1">IFERROR(__xludf.DUMMYFUNCTION("IMPORTRANGE(H32086,""IDENTITAS UNIT!D9"")"),"#N/A")</f>
        <v>#N/A</v>
      </c>
      <c r="H32086" s="4" t="str">
        <v/>
      </c>
      <c r="I32086" s="4" t="str">
        <v/>
      </c>
    </row>
    <row r="32087" spans="5:9" ht="16.5" hidden="1">
      <c r="E32087" s="4" t="str">
        <v/>
      </c>
      <c r="F32087" s="102" t="str">
        <f ca="1">IFERROR(__xludf.DUMMYFUNCTION("IMPORTRANGE(H32087,""IDENTITAS UNIT!D9"")"),"#N/A")</f>
        <v>#N/A</v>
      </c>
      <c r="H32087" s="4" t="str">
        <v/>
      </c>
      <c r="I32087" s="4" t="str">
        <v/>
      </c>
    </row>
    <row r="32088" spans="5:9" ht="16.5" hidden="1">
      <c r="E32088" s="4" t="str">
        <v/>
      </c>
      <c r="F32088" s="102" t="str">
        <f ca="1">IFERROR(__xludf.DUMMYFUNCTION("IMPORTRANGE(H32088,""IDENTITAS UNIT!D9"")"),"#N/A")</f>
        <v>#N/A</v>
      </c>
      <c r="H32088" s="4" t="str">
        <v/>
      </c>
      <c r="I32088" s="4" t="str">
        <v/>
      </c>
    </row>
    <row r="32089" spans="5:9" ht="16.5" hidden="1">
      <c r="E32089" s="4" t="str">
        <v/>
      </c>
      <c r="F32089" s="102" t="str">
        <f ca="1">IFERROR(__xludf.DUMMYFUNCTION("IMPORTRANGE(H32089,""IDENTITAS UNIT!D9"")"),"#N/A")</f>
        <v>#N/A</v>
      </c>
      <c r="H32089" s="4" t="str">
        <v/>
      </c>
      <c r="I32089" s="4" t="str">
        <v/>
      </c>
    </row>
    <row r="32090" spans="5:9" ht="16.5" hidden="1">
      <c r="E32090" s="4" t="str">
        <v/>
      </c>
      <c r="F32090" s="102" t="str">
        <f ca="1">IFERROR(__xludf.DUMMYFUNCTION("IMPORTRANGE(H32090,""IDENTITAS UNIT!D9"")"),"#N/A")</f>
        <v>#N/A</v>
      </c>
      <c r="H32090" s="4" t="str">
        <v/>
      </c>
      <c r="I32090" s="4" t="str">
        <v/>
      </c>
    </row>
    <row r="32091" spans="5:9" ht="16.5" hidden="1">
      <c r="E32091" s="4" t="str">
        <v/>
      </c>
      <c r="F32091" s="102" t="str">
        <f ca="1">IFERROR(__xludf.DUMMYFUNCTION("IMPORTRANGE(H32091,""IDENTITAS UNIT!D9"")"),"#N/A")</f>
        <v>#N/A</v>
      </c>
      <c r="H32091" s="4" t="str">
        <v/>
      </c>
      <c r="I32091" s="4" t="str">
        <v/>
      </c>
    </row>
    <row r="32092" spans="5:9" ht="16.5" hidden="1">
      <c r="E32092" s="4" t="str">
        <v/>
      </c>
      <c r="F32092" s="102" t="str">
        <f ca="1">IFERROR(__xludf.DUMMYFUNCTION("IMPORTRANGE(H32092,""IDENTITAS UNIT!D9"")"),"#N/A")</f>
        <v>#N/A</v>
      </c>
      <c r="H32092" s="4" t="str">
        <v/>
      </c>
      <c r="I32092" s="4" t="str">
        <v/>
      </c>
    </row>
    <row r="32093" spans="5:9" ht="16.5" hidden="1">
      <c r="E32093" s="4" t="str">
        <v/>
      </c>
      <c r="F32093" s="102" t="str">
        <f ca="1">IFERROR(__xludf.DUMMYFUNCTION("IMPORTRANGE(H32093,""IDENTITAS UNIT!D9"")"),"#N/A")</f>
        <v>#N/A</v>
      </c>
      <c r="H32093" s="4" t="str">
        <v/>
      </c>
      <c r="I32093" s="4" t="str">
        <v/>
      </c>
    </row>
    <row r="32094" spans="5:9" ht="16.5" hidden="1">
      <c r="E32094" s="4" t="str">
        <v/>
      </c>
      <c r="F32094" s="102" t="str">
        <f ca="1">IFERROR(__xludf.DUMMYFUNCTION("IMPORTRANGE(H32094,""IDENTITAS UNIT!D9"")"),"#N/A")</f>
        <v>#N/A</v>
      </c>
      <c r="H32094" s="4" t="str">
        <v/>
      </c>
      <c r="I32094" s="4" t="str">
        <v/>
      </c>
    </row>
    <row r="32095" spans="5:9" ht="16.5" hidden="1">
      <c r="E32095" s="4" t="str">
        <v/>
      </c>
      <c r="F32095" s="102" t="str">
        <f ca="1">IFERROR(__xludf.DUMMYFUNCTION("IMPORTRANGE(H32095,""IDENTITAS UNIT!D9"")"),"#N/A")</f>
        <v>#N/A</v>
      </c>
      <c r="H32095" s="4" t="str">
        <v/>
      </c>
      <c r="I32095" s="4" t="str">
        <v/>
      </c>
    </row>
    <row r="32096" spans="5:9" ht="16.5" hidden="1">
      <c r="E32096" s="4" t="str">
        <v/>
      </c>
      <c r="F32096" s="102" t="str">
        <f ca="1">IFERROR(__xludf.DUMMYFUNCTION("IMPORTRANGE(H32096,""IDENTITAS UNIT!D9"")"),"#N/A")</f>
        <v>#N/A</v>
      </c>
      <c r="H32096" s="4" t="str">
        <v/>
      </c>
      <c r="I32096" s="4" t="str">
        <v/>
      </c>
    </row>
    <row r="32097" spans="5:9" ht="16.5" hidden="1">
      <c r="E32097" s="4" t="str">
        <v/>
      </c>
      <c r="F32097" s="102" t="str">
        <f ca="1">IFERROR(__xludf.DUMMYFUNCTION("IMPORTRANGE(H32097,""IDENTITAS UNIT!D9"")"),"#N/A")</f>
        <v>#N/A</v>
      </c>
      <c r="H32097" s="4" t="str">
        <v/>
      </c>
      <c r="I32097" s="4" t="str">
        <v/>
      </c>
    </row>
    <row r="32098" spans="5:9" ht="16.5" hidden="1">
      <c r="E32098" s="4" t="str">
        <v/>
      </c>
      <c r="F32098" s="102" t="str">
        <f ca="1">IFERROR(__xludf.DUMMYFUNCTION("IMPORTRANGE(H32098,""IDENTITAS UNIT!D9"")"),"#N/A")</f>
        <v>#N/A</v>
      </c>
      <c r="H32098" s="4" t="str">
        <v/>
      </c>
      <c r="I32098" s="4" t="str">
        <v/>
      </c>
    </row>
    <row r="32099" spans="5:9" ht="16.5" hidden="1">
      <c r="E32099" s="4" t="str">
        <v/>
      </c>
      <c r="F32099" s="102" t="str">
        <f ca="1">IFERROR(__xludf.DUMMYFUNCTION("IMPORTRANGE(H32099,""IDENTITAS UNIT!D9"")"),"#N/A")</f>
        <v>#N/A</v>
      </c>
      <c r="H32099" s="4" t="str">
        <v/>
      </c>
      <c r="I32099" s="4" t="str">
        <v/>
      </c>
    </row>
    <row r="32100" spans="5:9" ht="16.5" hidden="1">
      <c r="E32100" s="4" t="str">
        <v/>
      </c>
      <c r="F32100" s="102" t="str">
        <f ca="1">IFERROR(__xludf.DUMMYFUNCTION("IMPORTRANGE(H32100,""IDENTITAS UNIT!D9"")"),"#N/A")</f>
        <v>#N/A</v>
      </c>
      <c r="H32100" s="4" t="str">
        <v/>
      </c>
      <c r="I32100" s="4" t="str">
        <v/>
      </c>
    </row>
    <row r="32101" spans="5:9" ht="16.5" hidden="1">
      <c r="E32101" s="4" t="str">
        <v/>
      </c>
      <c r="F32101" s="102" t="str">
        <f ca="1">IFERROR(__xludf.DUMMYFUNCTION("IMPORTRANGE(H32101,""IDENTITAS UNIT!D9"")"),"#N/A")</f>
        <v>#N/A</v>
      </c>
      <c r="H32101" s="4" t="str">
        <v/>
      </c>
      <c r="I32101" s="4" t="str">
        <v/>
      </c>
    </row>
    <row r="32102" spans="5:9" ht="16.5" hidden="1">
      <c r="E32102" s="4" t="str">
        <v/>
      </c>
      <c r="F32102" s="102" t="str">
        <f ca="1">IFERROR(__xludf.DUMMYFUNCTION("IMPORTRANGE(H32102,""IDENTITAS UNIT!D9"")"),"#N/A")</f>
        <v>#N/A</v>
      </c>
      <c r="H32102" s="4" t="str">
        <v/>
      </c>
      <c r="I32102" s="4" t="str">
        <v/>
      </c>
    </row>
    <row r="32103" spans="5:9" ht="16.5" hidden="1">
      <c r="E32103" s="4" t="str">
        <v/>
      </c>
      <c r="F32103" s="102" t="str">
        <f ca="1">IFERROR(__xludf.DUMMYFUNCTION("IMPORTRANGE(H32103,""IDENTITAS UNIT!D9"")"),"#N/A")</f>
        <v>#N/A</v>
      </c>
      <c r="H32103" s="4" t="str">
        <v/>
      </c>
      <c r="I32103" s="4" t="str">
        <v/>
      </c>
    </row>
    <row r="32104" spans="5:9" ht="16.5" hidden="1">
      <c r="E32104" s="4" t="str">
        <v/>
      </c>
      <c r="F32104" s="102" t="str">
        <f ca="1">IFERROR(__xludf.DUMMYFUNCTION("IMPORTRANGE(H32104,""IDENTITAS UNIT!D9"")"),"#N/A")</f>
        <v>#N/A</v>
      </c>
      <c r="H32104" s="4" t="str">
        <v/>
      </c>
      <c r="I32104" s="4" t="str">
        <v/>
      </c>
    </row>
    <row r="32105" spans="5:9" ht="16.5" hidden="1">
      <c r="E32105" s="4" t="str">
        <v/>
      </c>
      <c r="F32105" s="102" t="str">
        <f ca="1">IFERROR(__xludf.DUMMYFUNCTION("IMPORTRANGE(H32105,""IDENTITAS UNIT!D9"")"),"#N/A")</f>
        <v>#N/A</v>
      </c>
      <c r="H32105" s="4" t="str">
        <v/>
      </c>
      <c r="I32105" s="4" t="str">
        <v/>
      </c>
    </row>
    <row r="32106" spans="5:9" ht="16.5" hidden="1">
      <c r="E32106" s="4" t="str">
        <v/>
      </c>
      <c r="F32106" s="102" t="str">
        <f ca="1">IFERROR(__xludf.DUMMYFUNCTION("IMPORTRANGE(H32106,""IDENTITAS UNIT!D9"")"),"#N/A")</f>
        <v>#N/A</v>
      </c>
      <c r="H32106" s="4" t="str">
        <v/>
      </c>
      <c r="I32106" s="4" t="str">
        <v/>
      </c>
    </row>
    <row r="32107" spans="5:9" ht="16.5" hidden="1">
      <c r="E32107" s="4" t="str">
        <v/>
      </c>
      <c r="F32107" s="102" t="str">
        <f ca="1">IFERROR(__xludf.DUMMYFUNCTION("IMPORTRANGE(H32107,""IDENTITAS UNIT!D9"")"),"#N/A")</f>
        <v>#N/A</v>
      </c>
      <c r="H32107" s="4" t="str">
        <v/>
      </c>
      <c r="I32107" s="4" t="str">
        <v/>
      </c>
    </row>
    <row r="32108" spans="5:9" ht="16.5" hidden="1">
      <c r="E32108" s="4" t="str">
        <v/>
      </c>
      <c r="F32108" s="102" t="str">
        <f ca="1">IFERROR(__xludf.DUMMYFUNCTION("IMPORTRANGE(H32108,""IDENTITAS UNIT!D9"")"),"#N/A")</f>
        <v>#N/A</v>
      </c>
      <c r="H32108" s="4" t="str">
        <v/>
      </c>
      <c r="I32108" s="4" t="str">
        <v/>
      </c>
    </row>
    <row r="32109" spans="5:9" ht="16.5" hidden="1">
      <c r="E32109" s="4" t="str">
        <v/>
      </c>
      <c r="F32109" s="102" t="str">
        <f ca="1">IFERROR(__xludf.DUMMYFUNCTION("IMPORTRANGE(H32109,""IDENTITAS UNIT!D9"")"),"#N/A")</f>
        <v>#N/A</v>
      </c>
      <c r="H32109" s="4" t="str">
        <v/>
      </c>
      <c r="I32109" s="4" t="str">
        <v/>
      </c>
    </row>
    <row r="32110" spans="5:9" ht="16.5" hidden="1">
      <c r="E32110" s="4" t="str">
        <v/>
      </c>
      <c r="F32110" s="102" t="str">
        <f ca="1">IFERROR(__xludf.DUMMYFUNCTION("IMPORTRANGE(H32110,""IDENTITAS UNIT!D9"")"),"#N/A")</f>
        <v>#N/A</v>
      </c>
      <c r="H32110" s="4" t="str">
        <v/>
      </c>
      <c r="I32110" s="4" t="str">
        <v/>
      </c>
    </row>
    <row r="32111" spans="5:9" ht="16.5" hidden="1">
      <c r="E32111" s="4" t="str">
        <v/>
      </c>
      <c r="F32111" s="102" t="str">
        <f ca="1">IFERROR(__xludf.DUMMYFUNCTION("IMPORTRANGE(H32111,""IDENTITAS UNIT!D9"")"),"#N/A")</f>
        <v>#N/A</v>
      </c>
      <c r="H32111" s="4" t="str">
        <v/>
      </c>
      <c r="I32111" s="4" t="str">
        <v/>
      </c>
    </row>
    <row r="32112" spans="5:9" ht="16.5" hidden="1">
      <c r="E32112" s="4" t="str">
        <v/>
      </c>
      <c r="F32112" s="102" t="str">
        <f ca="1">IFERROR(__xludf.DUMMYFUNCTION("IMPORTRANGE(H32112,""IDENTITAS UNIT!D9"")"),"#N/A")</f>
        <v>#N/A</v>
      </c>
      <c r="H32112" s="4" t="str">
        <v/>
      </c>
      <c r="I32112" s="4" t="str">
        <v/>
      </c>
    </row>
    <row r="32113" spans="5:9" ht="16.5" hidden="1">
      <c r="E32113" s="4" t="str">
        <v/>
      </c>
      <c r="F32113" s="102" t="str">
        <f ca="1">IFERROR(__xludf.DUMMYFUNCTION("IMPORTRANGE(H32113,""IDENTITAS UNIT!D9"")"),"#N/A")</f>
        <v>#N/A</v>
      </c>
      <c r="H32113" s="4" t="str">
        <v/>
      </c>
      <c r="I32113" s="4" t="str">
        <v/>
      </c>
    </row>
    <row r="32114" spans="5:9" ht="16.5" hidden="1">
      <c r="E32114" s="4" t="str">
        <v/>
      </c>
      <c r="F32114" s="102" t="str">
        <f ca="1">IFERROR(__xludf.DUMMYFUNCTION("IMPORTRANGE(H32114,""IDENTITAS UNIT!D9"")"),"#N/A")</f>
        <v>#N/A</v>
      </c>
      <c r="H32114" s="4" t="str">
        <v/>
      </c>
      <c r="I32114" s="4" t="str">
        <v/>
      </c>
    </row>
    <row r="32115" spans="5:9" ht="16.5" hidden="1">
      <c r="E32115" s="4" t="str">
        <v/>
      </c>
      <c r="F32115" s="102" t="str">
        <f ca="1">IFERROR(__xludf.DUMMYFUNCTION("IMPORTRANGE(H32115,""IDENTITAS UNIT!D9"")"),"#N/A")</f>
        <v>#N/A</v>
      </c>
      <c r="H32115" s="4" t="str">
        <v/>
      </c>
      <c r="I32115" s="4" t="str">
        <v/>
      </c>
    </row>
    <row r="32116" spans="5:9" ht="16.5" hidden="1">
      <c r="E32116" s="4" t="str">
        <v/>
      </c>
      <c r="F32116" s="102" t="str">
        <f ca="1">IFERROR(__xludf.DUMMYFUNCTION("IMPORTRANGE(H32116,""IDENTITAS UNIT!D9"")"),"#N/A")</f>
        <v>#N/A</v>
      </c>
      <c r="H32116" s="4" t="str">
        <v/>
      </c>
      <c r="I32116" s="4" t="str">
        <v/>
      </c>
    </row>
    <row r="32117" spans="5:9" ht="16.5" hidden="1">
      <c r="E32117" s="4" t="str">
        <v/>
      </c>
      <c r="F32117" s="102" t="str">
        <f ca="1">IFERROR(__xludf.DUMMYFUNCTION("IMPORTRANGE(H32117,""IDENTITAS UNIT!D9"")"),"#N/A")</f>
        <v>#N/A</v>
      </c>
      <c r="H32117" s="4" t="str">
        <v/>
      </c>
      <c r="I32117" s="4" t="str">
        <v/>
      </c>
    </row>
    <row r="32118" spans="5:9" ht="16.5" hidden="1">
      <c r="E32118" s="4" t="str">
        <v/>
      </c>
      <c r="F32118" s="102" t="str">
        <f ca="1">IFERROR(__xludf.DUMMYFUNCTION("IMPORTRANGE(H32118,""IDENTITAS UNIT!D9"")"),"#N/A")</f>
        <v>#N/A</v>
      </c>
      <c r="H32118" s="4" t="str">
        <v/>
      </c>
      <c r="I32118" s="4" t="str">
        <v/>
      </c>
    </row>
    <row r="32119" spans="5:9" ht="16.5" hidden="1">
      <c r="E32119" s="4" t="str">
        <v/>
      </c>
      <c r="F32119" s="102" t="str">
        <f ca="1">IFERROR(__xludf.DUMMYFUNCTION("IMPORTRANGE(H32119,""IDENTITAS UNIT!D9"")"),"#N/A")</f>
        <v>#N/A</v>
      </c>
      <c r="H32119" s="4" t="str">
        <v/>
      </c>
      <c r="I32119" s="4" t="str">
        <v/>
      </c>
    </row>
    <row r="32120" spans="5:9" ht="16.5" hidden="1">
      <c r="E32120" s="4" t="str">
        <v/>
      </c>
      <c r="F32120" s="102" t="str">
        <f ca="1">IFERROR(__xludf.DUMMYFUNCTION("IMPORTRANGE(H32120,""IDENTITAS UNIT!D9"")"),"#N/A")</f>
        <v>#N/A</v>
      </c>
      <c r="H32120" s="4" t="str">
        <v/>
      </c>
      <c r="I32120" s="4" t="str">
        <v/>
      </c>
    </row>
    <row r="32121" spans="5:9" ht="16.5" hidden="1">
      <c r="E32121" s="4" t="str">
        <v/>
      </c>
      <c r="F32121" s="102" t="str">
        <f ca="1">IFERROR(__xludf.DUMMYFUNCTION("IMPORTRANGE(H32121,""IDENTITAS UNIT!D9"")"),"#N/A")</f>
        <v>#N/A</v>
      </c>
      <c r="H32121" s="4" t="str">
        <v/>
      </c>
      <c r="I32121" s="4" t="str">
        <v/>
      </c>
    </row>
    <row r="32122" spans="5:9" ht="16.5" hidden="1">
      <c r="E32122" s="4" t="str">
        <v/>
      </c>
      <c r="F32122" s="102" t="str">
        <f ca="1">IFERROR(__xludf.DUMMYFUNCTION("IMPORTRANGE(H32122,""IDENTITAS UNIT!D9"")"),"#N/A")</f>
        <v>#N/A</v>
      </c>
      <c r="H32122" s="4" t="str">
        <v/>
      </c>
      <c r="I32122" s="4" t="str">
        <v/>
      </c>
    </row>
    <row r="32123" spans="5:9" ht="16.5" hidden="1">
      <c r="E32123" s="4" t="str">
        <v/>
      </c>
      <c r="F32123" s="102" t="str">
        <f ca="1">IFERROR(__xludf.DUMMYFUNCTION("IMPORTRANGE(H32123,""IDENTITAS UNIT!D9"")"),"#N/A")</f>
        <v>#N/A</v>
      </c>
      <c r="H32123" s="4" t="str">
        <v/>
      </c>
      <c r="I32123" s="4" t="str">
        <v/>
      </c>
    </row>
    <row r="32124" spans="5:9" ht="16.5" hidden="1">
      <c r="E32124" s="4" t="str">
        <v/>
      </c>
      <c r="F32124" s="102" t="str">
        <f ca="1">IFERROR(__xludf.DUMMYFUNCTION("IMPORTRANGE(H32124,""IDENTITAS UNIT!D9"")"),"#N/A")</f>
        <v>#N/A</v>
      </c>
      <c r="H32124" s="4" t="str">
        <v/>
      </c>
      <c r="I32124" s="4" t="str">
        <v/>
      </c>
    </row>
    <row r="32125" spans="5:9" ht="16.5" hidden="1">
      <c r="E32125" s="4" t="str">
        <v/>
      </c>
      <c r="F32125" s="102" t="str">
        <f ca="1">IFERROR(__xludf.DUMMYFUNCTION("IMPORTRANGE(H32125,""IDENTITAS UNIT!D9"")"),"#N/A")</f>
        <v>#N/A</v>
      </c>
      <c r="H32125" s="4" t="str">
        <v/>
      </c>
      <c r="I32125" s="4" t="str">
        <v/>
      </c>
    </row>
    <row r="32126" spans="5:9" ht="16.5" hidden="1">
      <c r="E32126" s="4" t="str">
        <v/>
      </c>
      <c r="F32126" s="102" t="str">
        <f ca="1">IFERROR(__xludf.DUMMYFUNCTION("IMPORTRANGE(H32126,""IDENTITAS UNIT!D9"")"),"#N/A")</f>
        <v>#N/A</v>
      </c>
      <c r="H32126" s="4" t="str">
        <v/>
      </c>
      <c r="I32126" s="4" t="str">
        <v/>
      </c>
    </row>
    <row r="32127" spans="5:9" ht="16.5" hidden="1">
      <c r="E32127" s="4" t="str">
        <v/>
      </c>
      <c r="F32127" s="102" t="str">
        <f ca="1">IFERROR(__xludf.DUMMYFUNCTION("IMPORTRANGE(H32127,""IDENTITAS UNIT!D9"")"),"#N/A")</f>
        <v>#N/A</v>
      </c>
      <c r="H32127" s="4" t="str">
        <v/>
      </c>
      <c r="I32127" s="4" t="str">
        <v/>
      </c>
    </row>
    <row r="32128" spans="5:9" ht="16.5" hidden="1">
      <c r="E32128" s="4" t="str">
        <v/>
      </c>
      <c r="F32128" s="102" t="str">
        <f ca="1">IFERROR(__xludf.DUMMYFUNCTION("IMPORTRANGE(H32128,""IDENTITAS UNIT!D9"")"),"#N/A")</f>
        <v>#N/A</v>
      </c>
      <c r="H32128" s="4" t="str">
        <v/>
      </c>
      <c r="I32128" s="4" t="str">
        <v/>
      </c>
    </row>
    <row r="32129" spans="5:9" ht="16.5" hidden="1">
      <c r="E32129" s="4" t="str">
        <v/>
      </c>
      <c r="F32129" s="102" t="str">
        <f ca="1">IFERROR(__xludf.DUMMYFUNCTION("IMPORTRANGE(H32129,""IDENTITAS UNIT!D9"")"),"#N/A")</f>
        <v>#N/A</v>
      </c>
      <c r="H32129" s="4" t="str">
        <v/>
      </c>
      <c r="I32129" s="4" t="str">
        <v/>
      </c>
    </row>
    <row r="32130" spans="5:9" ht="16.5" hidden="1">
      <c r="E32130" s="4" t="str">
        <v/>
      </c>
      <c r="F32130" s="102" t="str">
        <f ca="1">IFERROR(__xludf.DUMMYFUNCTION("IMPORTRANGE(H32130,""IDENTITAS UNIT!D9"")"),"#N/A")</f>
        <v>#N/A</v>
      </c>
      <c r="H32130" s="4" t="str">
        <v/>
      </c>
      <c r="I32130" s="4" t="str">
        <v/>
      </c>
    </row>
    <row r="32131" spans="5:9" ht="16.5" hidden="1">
      <c r="E32131" s="4" t="str">
        <v/>
      </c>
      <c r="F32131" s="102" t="str">
        <f ca="1">IFERROR(__xludf.DUMMYFUNCTION("IMPORTRANGE(H32131,""IDENTITAS UNIT!D9"")"),"#N/A")</f>
        <v>#N/A</v>
      </c>
      <c r="H32131" s="4" t="str">
        <v/>
      </c>
      <c r="I32131" s="4" t="str">
        <v/>
      </c>
    </row>
    <row r="32132" spans="5:9" ht="16.5" hidden="1">
      <c r="E32132" s="4" t="str">
        <v/>
      </c>
      <c r="F32132" s="102" t="str">
        <f ca="1">IFERROR(__xludf.DUMMYFUNCTION("IMPORTRANGE(H32132,""IDENTITAS UNIT!D9"")"),"#N/A")</f>
        <v>#N/A</v>
      </c>
      <c r="H32132" s="4" t="str">
        <v/>
      </c>
      <c r="I32132" s="4" t="str">
        <v/>
      </c>
    </row>
    <row r="32133" spans="5:9" ht="16.5" hidden="1">
      <c r="E32133" s="4" t="str">
        <v/>
      </c>
      <c r="F32133" s="102" t="str">
        <f ca="1">IFERROR(__xludf.DUMMYFUNCTION("IMPORTRANGE(H32133,""IDENTITAS UNIT!D9"")"),"#N/A")</f>
        <v>#N/A</v>
      </c>
      <c r="H32133" s="4" t="str">
        <v/>
      </c>
      <c r="I32133" s="4" t="str">
        <v/>
      </c>
    </row>
    <row r="32134" spans="5:9" ht="16.5" hidden="1">
      <c r="E32134" s="4" t="str">
        <v/>
      </c>
      <c r="F32134" s="102" t="str">
        <f ca="1">IFERROR(__xludf.DUMMYFUNCTION("IMPORTRANGE(H32134,""IDENTITAS UNIT!D9"")"),"#N/A")</f>
        <v>#N/A</v>
      </c>
      <c r="H32134" s="4" t="str">
        <v/>
      </c>
      <c r="I32134" s="4" t="str">
        <v/>
      </c>
    </row>
    <row r="32135" spans="5:9" ht="16.5" hidden="1">
      <c r="E32135" s="4" t="str">
        <v/>
      </c>
      <c r="F32135" s="102" t="str">
        <f ca="1">IFERROR(__xludf.DUMMYFUNCTION("IMPORTRANGE(H32135,""IDENTITAS UNIT!D9"")"),"#N/A")</f>
        <v>#N/A</v>
      </c>
      <c r="H32135" s="4" t="str">
        <v/>
      </c>
      <c r="I32135" s="4" t="str">
        <v/>
      </c>
    </row>
    <row r="32136" spans="5:9" ht="16.5" hidden="1">
      <c r="E32136" s="4" t="str">
        <v/>
      </c>
      <c r="F32136" s="102" t="str">
        <f ca="1">IFERROR(__xludf.DUMMYFUNCTION("IMPORTRANGE(H32136,""IDENTITAS UNIT!D9"")"),"#N/A")</f>
        <v>#N/A</v>
      </c>
      <c r="H32136" s="4" t="str">
        <v/>
      </c>
      <c r="I32136" s="4" t="str">
        <v/>
      </c>
    </row>
    <row r="32137" spans="5:9" ht="16.5" hidden="1">
      <c r="E32137" s="4" t="str">
        <v/>
      </c>
      <c r="F32137" s="102" t="str">
        <f ca="1">IFERROR(__xludf.DUMMYFUNCTION("IMPORTRANGE(H32137,""IDENTITAS UNIT!D9"")"),"#N/A")</f>
        <v>#N/A</v>
      </c>
      <c r="H32137" s="4" t="str">
        <v/>
      </c>
      <c r="I32137" s="4" t="str">
        <v/>
      </c>
    </row>
    <row r="32138" spans="5:9" ht="16.5" hidden="1">
      <c r="E32138" s="4" t="str">
        <v/>
      </c>
      <c r="F32138" s="102" t="str">
        <f ca="1">IFERROR(__xludf.DUMMYFUNCTION("IMPORTRANGE(H32138,""IDENTITAS UNIT!D9"")"),"#N/A")</f>
        <v>#N/A</v>
      </c>
      <c r="H32138" s="4" t="str">
        <v/>
      </c>
      <c r="I32138" s="4" t="str">
        <v/>
      </c>
    </row>
    <row r="32139" spans="5:9" ht="16.5" hidden="1">
      <c r="E32139" s="4" t="str">
        <v/>
      </c>
      <c r="F32139" s="102" t="str">
        <f ca="1">IFERROR(__xludf.DUMMYFUNCTION("IMPORTRANGE(H32139,""IDENTITAS UNIT!D9"")"),"#N/A")</f>
        <v>#N/A</v>
      </c>
      <c r="H32139" s="4" t="str">
        <v/>
      </c>
      <c r="I32139" s="4" t="str">
        <v/>
      </c>
    </row>
    <row r="32140" spans="5:9" ht="16.5" hidden="1">
      <c r="E32140" s="4" t="str">
        <v/>
      </c>
      <c r="F32140" s="102" t="str">
        <f ca="1">IFERROR(__xludf.DUMMYFUNCTION("IMPORTRANGE(H32140,""IDENTITAS UNIT!D9"")"),"#N/A")</f>
        <v>#N/A</v>
      </c>
      <c r="H32140" s="4" t="str">
        <v/>
      </c>
      <c r="I32140" s="4" t="str">
        <v/>
      </c>
    </row>
    <row r="32141" spans="5:9" ht="16.5" hidden="1">
      <c r="E32141" s="4" t="str">
        <v/>
      </c>
      <c r="F32141" s="102" t="str">
        <f ca="1">IFERROR(__xludf.DUMMYFUNCTION("IMPORTRANGE(H32141,""IDENTITAS UNIT!D9"")"),"#N/A")</f>
        <v>#N/A</v>
      </c>
      <c r="H32141" s="4" t="str">
        <v/>
      </c>
      <c r="I32141" s="4" t="str">
        <v/>
      </c>
    </row>
    <row r="32142" spans="5:9" ht="16.5" hidden="1">
      <c r="E32142" s="4" t="str">
        <v/>
      </c>
      <c r="F32142" s="102" t="str">
        <f ca="1">IFERROR(__xludf.DUMMYFUNCTION("IMPORTRANGE(H32142,""IDENTITAS UNIT!D9"")"),"#N/A")</f>
        <v>#N/A</v>
      </c>
      <c r="H32142" s="4" t="str">
        <v/>
      </c>
      <c r="I32142" s="4" t="str">
        <v/>
      </c>
    </row>
    <row r="32143" spans="5:9" ht="16.5" hidden="1">
      <c r="E32143" s="4" t="str">
        <v/>
      </c>
      <c r="F32143" s="102" t="str">
        <f ca="1">IFERROR(__xludf.DUMMYFUNCTION("IMPORTRANGE(H32143,""IDENTITAS UNIT!D9"")"),"#N/A")</f>
        <v>#N/A</v>
      </c>
      <c r="H32143" s="4" t="str">
        <v/>
      </c>
      <c r="I32143" s="4" t="str">
        <v/>
      </c>
    </row>
    <row r="32144" spans="5:9" ht="16.5" hidden="1">
      <c r="E32144" s="4" t="str">
        <v/>
      </c>
      <c r="F32144" s="102" t="str">
        <f ca="1">IFERROR(__xludf.DUMMYFUNCTION("IMPORTRANGE(H32144,""IDENTITAS UNIT!D9"")"),"#N/A")</f>
        <v>#N/A</v>
      </c>
      <c r="H32144" s="4" t="str">
        <v/>
      </c>
      <c r="I32144" s="4" t="str">
        <v/>
      </c>
    </row>
    <row r="32145" spans="5:9" ht="16.5" hidden="1">
      <c r="E32145" s="4" t="str">
        <v/>
      </c>
      <c r="F32145" s="102" t="str">
        <f ca="1">IFERROR(__xludf.DUMMYFUNCTION("IMPORTRANGE(H32145,""IDENTITAS UNIT!D9"")"),"#N/A")</f>
        <v>#N/A</v>
      </c>
      <c r="H32145" s="4" t="str">
        <v/>
      </c>
      <c r="I32145" s="4" t="str">
        <v/>
      </c>
    </row>
    <row r="32146" spans="5:9" ht="16.5" hidden="1">
      <c r="E32146" s="4" t="str">
        <v/>
      </c>
      <c r="F32146" s="102" t="str">
        <f ca="1">IFERROR(__xludf.DUMMYFUNCTION("IMPORTRANGE(H32146,""IDENTITAS UNIT!D9"")"),"#N/A")</f>
        <v>#N/A</v>
      </c>
      <c r="H32146" s="4" t="str">
        <v/>
      </c>
      <c r="I32146" s="4" t="str">
        <v/>
      </c>
    </row>
    <row r="32147" spans="5:9" ht="16.5" hidden="1">
      <c r="E32147" s="4" t="str">
        <v/>
      </c>
      <c r="F32147" s="102" t="str">
        <f ca="1">IFERROR(__xludf.DUMMYFUNCTION("IMPORTRANGE(H32147,""IDENTITAS UNIT!D9"")"),"#N/A")</f>
        <v>#N/A</v>
      </c>
      <c r="H32147" s="4" t="str">
        <v/>
      </c>
      <c r="I32147" s="4" t="str">
        <v/>
      </c>
    </row>
    <row r="32148" spans="5:9" ht="16.5" hidden="1">
      <c r="E32148" s="4" t="str">
        <v/>
      </c>
      <c r="F32148" s="102" t="str">
        <f ca="1">IFERROR(__xludf.DUMMYFUNCTION("IMPORTRANGE(H32148,""IDENTITAS UNIT!D9"")"),"#N/A")</f>
        <v>#N/A</v>
      </c>
      <c r="H32148" s="4" t="str">
        <v/>
      </c>
      <c r="I32148" s="4" t="str">
        <v/>
      </c>
    </row>
    <row r="32149" spans="5:9" ht="16.5" hidden="1">
      <c r="E32149" s="4" t="str">
        <v/>
      </c>
      <c r="F32149" s="102" t="str">
        <f ca="1">IFERROR(__xludf.DUMMYFUNCTION("IMPORTRANGE(H32149,""IDENTITAS UNIT!D9"")"),"#N/A")</f>
        <v>#N/A</v>
      </c>
      <c r="H32149" s="4" t="str">
        <v/>
      </c>
      <c r="I32149" s="4" t="str">
        <v/>
      </c>
    </row>
    <row r="32150" spans="5:9" ht="16.5" hidden="1">
      <c r="E32150" s="4" t="str">
        <v/>
      </c>
      <c r="F32150" s="102" t="str">
        <f ca="1">IFERROR(__xludf.DUMMYFUNCTION("IMPORTRANGE(H32150,""IDENTITAS UNIT!D9"")"),"#N/A")</f>
        <v>#N/A</v>
      </c>
      <c r="H32150" s="4" t="str">
        <v/>
      </c>
      <c r="I32150" s="4" t="str">
        <v/>
      </c>
    </row>
    <row r="32151" spans="5:9" ht="16.5" hidden="1">
      <c r="E32151" s="4" t="str">
        <v/>
      </c>
      <c r="F32151" s="102" t="str">
        <f ca="1">IFERROR(__xludf.DUMMYFUNCTION("IMPORTRANGE(H32151,""IDENTITAS UNIT!D9"")"),"#N/A")</f>
        <v>#N/A</v>
      </c>
      <c r="H32151" s="4" t="str">
        <v/>
      </c>
      <c r="I32151" s="4" t="str">
        <v/>
      </c>
    </row>
    <row r="32152" spans="5:9" ht="16.5" hidden="1">
      <c r="E32152" s="4" t="str">
        <v/>
      </c>
      <c r="F32152" s="102" t="str">
        <f ca="1">IFERROR(__xludf.DUMMYFUNCTION("IMPORTRANGE(H32152,""IDENTITAS UNIT!D9"")"),"#N/A")</f>
        <v>#N/A</v>
      </c>
      <c r="H32152" s="4" t="str">
        <v/>
      </c>
      <c r="I32152" s="4" t="str">
        <v/>
      </c>
    </row>
    <row r="32153" spans="5:9" ht="16.5" hidden="1">
      <c r="E32153" s="4" t="str">
        <v/>
      </c>
      <c r="F32153" s="102" t="str">
        <f ca="1">IFERROR(__xludf.DUMMYFUNCTION("IMPORTRANGE(H32153,""IDENTITAS UNIT!D9"")"),"#N/A")</f>
        <v>#N/A</v>
      </c>
      <c r="H32153" s="4" t="str">
        <v/>
      </c>
      <c r="I32153" s="4" t="str">
        <v/>
      </c>
    </row>
    <row r="32154" spans="5:9" ht="16.5" hidden="1">
      <c r="E32154" s="4" t="str">
        <v/>
      </c>
      <c r="F32154" s="102" t="str">
        <f ca="1">IFERROR(__xludf.DUMMYFUNCTION("IMPORTRANGE(H32154,""IDENTITAS UNIT!D9"")"),"#N/A")</f>
        <v>#N/A</v>
      </c>
      <c r="H32154" s="4" t="str">
        <v/>
      </c>
      <c r="I32154" s="4" t="str">
        <v/>
      </c>
    </row>
    <row r="32155" spans="5:9" ht="16.5" hidden="1">
      <c r="E32155" s="4" t="str">
        <v/>
      </c>
      <c r="F32155" s="102" t="str">
        <f ca="1">IFERROR(__xludf.DUMMYFUNCTION("IMPORTRANGE(H32155,""IDENTITAS UNIT!D9"")"),"#N/A")</f>
        <v>#N/A</v>
      </c>
      <c r="H32155" s="4" t="str">
        <v/>
      </c>
      <c r="I32155" s="4" t="str">
        <v/>
      </c>
    </row>
    <row r="32156" spans="5:9" ht="16.5" hidden="1">
      <c r="E32156" s="4" t="str">
        <v/>
      </c>
      <c r="F32156" s="102" t="str">
        <f ca="1">IFERROR(__xludf.DUMMYFUNCTION("IMPORTRANGE(H32156,""IDENTITAS UNIT!D9"")"),"#N/A")</f>
        <v>#N/A</v>
      </c>
      <c r="H32156" s="4" t="str">
        <v/>
      </c>
      <c r="I32156" s="4" t="str">
        <v/>
      </c>
    </row>
    <row r="32157" spans="5:9" ht="16.5" hidden="1">
      <c r="E32157" s="4" t="str">
        <v/>
      </c>
      <c r="F32157" s="102" t="str">
        <f ca="1">IFERROR(__xludf.DUMMYFUNCTION("IMPORTRANGE(H32157,""IDENTITAS UNIT!D9"")"),"#N/A")</f>
        <v>#N/A</v>
      </c>
      <c r="H32157" s="4" t="str">
        <v/>
      </c>
      <c r="I32157" s="4" t="str">
        <v/>
      </c>
    </row>
    <row r="32158" spans="5:9" ht="16.5" hidden="1">
      <c r="E32158" s="4" t="str">
        <v/>
      </c>
      <c r="F32158" s="102" t="str">
        <f ca="1">IFERROR(__xludf.DUMMYFUNCTION("IMPORTRANGE(H32158,""IDENTITAS UNIT!D9"")"),"#N/A")</f>
        <v>#N/A</v>
      </c>
      <c r="H32158" s="4" t="str">
        <v/>
      </c>
      <c r="I32158" s="4" t="str">
        <v/>
      </c>
    </row>
    <row r="32159" spans="5:9" ht="16.5" hidden="1">
      <c r="E32159" s="4" t="str">
        <v/>
      </c>
      <c r="F32159" s="102" t="str">
        <f ca="1">IFERROR(__xludf.DUMMYFUNCTION("IMPORTRANGE(H32159,""IDENTITAS UNIT!D9"")"),"#N/A")</f>
        <v>#N/A</v>
      </c>
      <c r="H32159" s="4" t="str">
        <v/>
      </c>
      <c r="I32159" s="4" t="str">
        <v/>
      </c>
    </row>
    <row r="32160" spans="5:9" ht="16.5" hidden="1">
      <c r="E32160" s="4" t="str">
        <v/>
      </c>
      <c r="F32160" s="102" t="str">
        <f ca="1">IFERROR(__xludf.DUMMYFUNCTION("IMPORTRANGE(H32160,""IDENTITAS UNIT!D9"")"),"#N/A")</f>
        <v>#N/A</v>
      </c>
      <c r="H32160" s="4" t="str">
        <v/>
      </c>
      <c r="I32160" s="4" t="str">
        <v/>
      </c>
    </row>
    <row r="32161" spans="5:9" ht="16.5" hidden="1">
      <c r="E32161" s="4" t="str">
        <v/>
      </c>
      <c r="F32161" s="102" t="str">
        <f ca="1">IFERROR(__xludf.DUMMYFUNCTION("IMPORTRANGE(H32161,""IDENTITAS UNIT!D9"")"),"#N/A")</f>
        <v>#N/A</v>
      </c>
      <c r="H32161" s="4" t="str">
        <v/>
      </c>
      <c r="I32161" s="4" t="str">
        <v/>
      </c>
    </row>
    <row r="32162" spans="5:9" ht="16.5" hidden="1">
      <c r="E32162" s="4" t="str">
        <v/>
      </c>
      <c r="F32162" s="102" t="str">
        <f ca="1">IFERROR(__xludf.DUMMYFUNCTION("IMPORTRANGE(H32162,""IDENTITAS UNIT!D9"")"),"#N/A")</f>
        <v>#N/A</v>
      </c>
      <c r="H32162" s="4" t="str">
        <v/>
      </c>
      <c r="I32162" s="4" t="str">
        <v/>
      </c>
    </row>
    <row r="32163" spans="5:9" ht="16.5" hidden="1">
      <c r="E32163" s="4" t="str">
        <v/>
      </c>
      <c r="F32163" s="102" t="str">
        <f ca="1">IFERROR(__xludf.DUMMYFUNCTION("IMPORTRANGE(H32163,""IDENTITAS UNIT!D9"")"),"#N/A")</f>
        <v>#N/A</v>
      </c>
      <c r="H32163" s="4" t="str">
        <v/>
      </c>
      <c r="I32163" s="4" t="str">
        <v/>
      </c>
    </row>
    <row r="32164" spans="5:9" ht="16.5" hidden="1">
      <c r="E32164" s="4" t="str">
        <v/>
      </c>
      <c r="F32164" s="102" t="str">
        <f ca="1">IFERROR(__xludf.DUMMYFUNCTION("IMPORTRANGE(H32164,""IDENTITAS UNIT!D9"")"),"#N/A")</f>
        <v>#N/A</v>
      </c>
      <c r="H32164" s="4" t="str">
        <v/>
      </c>
      <c r="I32164" s="4" t="str">
        <v/>
      </c>
    </row>
    <row r="32165" spans="5:9" ht="16.5" hidden="1">
      <c r="E32165" s="4" t="str">
        <v/>
      </c>
      <c r="F32165" s="102" t="str">
        <f ca="1">IFERROR(__xludf.DUMMYFUNCTION("IMPORTRANGE(H32165,""IDENTITAS UNIT!D9"")"),"#N/A")</f>
        <v>#N/A</v>
      </c>
      <c r="H32165" s="4" t="str">
        <v/>
      </c>
      <c r="I32165" s="4" t="str">
        <v/>
      </c>
    </row>
    <row r="32166" spans="5:9" ht="16.5" hidden="1">
      <c r="E32166" s="4" t="str">
        <v/>
      </c>
      <c r="F32166" s="102" t="str">
        <f ca="1">IFERROR(__xludf.DUMMYFUNCTION("IMPORTRANGE(H32166,""IDENTITAS UNIT!D9"")"),"#N/A")</f>
        <v>#N/A</v>
      </c>
      <c r="H32166" s="4" t="str">
        <v/>
      </c>
      <c r="I32166" s="4" t="str">
        <v/>
      </c>
    </row>
    <row r="32167" spans="5:9" ht="16.5" hidden="1">
      <c r="E32167" s="4" t="str">
        <v/>
      </c>
      <c r="F32167" s="102" t="str">
        <f ca="1">IFERROR(__xludf.DUMMYFUNCTION("IMPORTRANGE(H32167,""IDENTITAS UNIT!D9"")"),"#N/A")</f>
        <v>#N/A</v>
      </c>
      <c r="H32167" s="4" t="str">
        <v/>
      </c>
      <c r="I32167" s="4" t="str">
        <v/>
      </c>
    </row>
    <row r="32168" spans="5:9" ht="16.5" hidden="1">
      <c r="E32168" s="4" t="str">
        <v/>
      </c>
      <c r="F32168" s="102" t="str">
        <f ca="1">IFERROR(__xludf.DUMMYFUNCTION("IMPORTRANGE(H32168,""IDENTITAS UNIT!D9"")"),"#N/A")</f>
        <v>#N/A</v>
      </c>
      <c r="H32168" s="4" t="str">
        <v/>
      </c>
      <c r="I32168" s="4" t="str">
        <v/>
      </c>
    </row>
    <row r="32169" spans="5:9" ht="16.5" hidden="1">
      <c r="E32169" s="4" t="str">
        <v/>
      </c>
      <c r="F32169" s="102" t="str">
        <f ca="1">IFERROR(__xludf.DUMMYFUNCTION("IMPORTRANGE(H32169,""IDENTITAS UNIT!D9"")"),"#N/A")</f>
        <v>#N/A</v>
      </c>
      <c r="H32169" s="4" t="str">
        <v/>
      </c>
      <c r="I32169" s="4" t="str">
        <v/>
      </c>
    </row>
    <row r="32170" spans="5:9" ht="16.5" hidden="1">
      <c r="E32170" s="4" t="str">
        <v/>
      </c>
      <c r="F32170" s="102" t="str">
        <f ca="1">IFERROR(__xludf.DUMMYFUNCTION("IMPORTRANGE(H32170,""IDENTITAS UNIT!D9"")"),"#N/A")</f>
        <v>#N/A</v>
      </c>
      <c r="H32170" s="4" t="str">
        <v/>
      </c>
      <c r="I32170" s="4" t="str">
        <v/>
      </c>
    </row>
    <row r="32171" spans="5:9" ht="16.5" hidden="1">
      <c r="E32171" s="4" t="str">
        <v/>
      </c>
      <c r="F32171" s="102" t="str">
        <f ca="1">IFERROR(__xludf.DUMMYFUNCTION("IMPORTRANGE(H32171,""IDENTITAS UNIT!D9"")"),"#N/A")</f>
        <v>#N/A</v>
      </c>
      <c r="H32171" s="4" t="str">
        <v/>
      </c>
      <c r="I32171" s="4" t="str">
        <v/>
      </c>
    </row>
    <row r="32172" spans="5:9" ht="16.5" hidden="1">
      <c r="E32172" s="4" t="str">
        <v/>
      </c>
      <c r="F32172" s="102" t="str">
        <f ca="1">IFERROR(__xludf.DUMMYFUNCTION("IMPORTRANGE(H32172,""IDENTITAS UNIT!D9"")"),"#N/A")</f>
        <v>#N/A</v>
      </c>
      <c r="H32172" s="4" t="str">
        <v/>
      </c>
      <c r="I32172" s="4" t="str">
        <v/>
      </c>
    </row>
    <row r="32173" spans="5:9" ht="16.5" hidden="1">
      <c r="E32173" s="4" t="str">
        <v/>
      </c>
      <c r="F32173" s="102" t="str">
        <f ca="1">IFERROR(__xludf.DUMMYFUNCTION("IMPORTRANGE(H32173,""IDENTITAS UNIT!D9"")"),"#N/A")</f>
        <v>#N/A</v>
      </c>
      <c r="H32173" s="4" t="str">
        <v/>
      </c>
      <c r="I32173" s="4" t="str">
        <v/>
      </c>
    </row>
    <row r="32174" spans="5:9" ht="16.5" hidden="1">
      <c r="E32174" s="4" t="str">
        <v/>
      </c>
      <c r="F32174" s="102" t="str">
        <f ca="1">IFERROR(__xludf.DUMMYFUNCTION("IMPORTRANGE(H32174,""IDENTITAS UNIT!D9"")"),"#N/A")</f>
        <v>#N/A</v>
      </c>
      <c r="H32174" s="4" t="str">
        <v/>
      </c>
      <c r="I32174" s="4" t="str">
        <v/>
      </c>
    </row>
    <row r="32175" spans="5:9" ht="16.5" hidden="1">
      <c r="E32175" s="4" t="str">
        <v/>
      </c>
      <c r="F32175" s="102" t="str">
        <f ca="1">IFERROR(__xludf.DUMMYFUNCTION("IMPORTRANGE(H32175,""IDENTITAS UNIT!D9"")"),"#N/A")</f>
        <v>#N/A</v>
      </c>
      <c r="H32175" s="4" t="str">
        <v/>
      </c>
      <c r="I32175" s="4" t="str">
        <v/>
      </c>
    </row>
    <row r="32176" spans="5:9" ht="16.5" hidden="1">
      <c r="E32176" s="4" t="str">
        <v/>
      </c>
      <c r="F32176" s="102" t="str">
        <f ca="1">IFERROR(__xludf.DUMMYFUNCTION("IMPORTRANGE(H32176,""IDENTITAS UNIT!D9"")"),"#N/A")</f>
        <v>#N/A</v>
      </c>
      <c r="H32176" s="4" t="str">
        <v/>
      </c>
      <c r="I32176" s="4" t="str">
        <v/>
      </c>
    </row>
    <row r="32177" spans="5:9" ht="16.5" hidden="1">
      <c r="E32177" s="4" t="str">
        <v/>
      </c>
      <c r="F32177" s="102" t="str">
        <f ca="1">IFERROR(__xludf.DUMMYFUNCTION("IMPORTRANGE(H32177,""IDENTITAS UNIT!D9"")"),"#N/A")</f>
        <v>#N/A</v>
      </c>
      <c r="H32177" s="4" t="str">
        <v/>
      </c>
      <c r="I32177" s="4" t="str">
        <v/>
      </c>
    </row>
    <row r="32178" spans="5:9" ht="16.5" hidden="1">
      <c r="E32178" s="4" t="str">
        <v/>
      </c>
      <c r="F32178" s="102" t="str">
        <f ca="1">IFERROR(__xludf.DUMMYFUNCTION("IMPORTRANGE(H32178,""IDENTITAS UNIT!D9"")"),"#N/A")</f>
        <v>#N/A</v>
      </c>
      <c r="H32178" s="4" t="str">
        <v/>
      </c>
      <c r="I32178" s="4" t="str">
        <v/>
      </c>
    </row>
    <row r="32179" spans="5:9" ht="16.5" hidden="1">
      <c r="E32179" s="4" t="str">
        <v/>
      </c>
      <c r="F32179" s="102" t="str">
        <f ca="1">IFERROR(__xludf.DUMMYFUNCTION("IMPORTRANGE(H32179,""IDENTITAS UNIT!D9"")"),"#N/A")</f>
        <v>#N/A</v>
      </c>
      <c r="H32179" s="4" t="str">
        <v/>
      </c>
      <c r="I32179" s="4" t="str">
        <v/>
      </c>
    </row>
    <row r="32180" spans="5:9" ht="16.5" hidden="1">
      <c r="E32180" s="4" t="str">
        <v/>
      </c>
      <c r="F32180" s="102" t="str">
        <f ca="1">IFERROR(__xludf.DUMMYFUNCTION("IMPORTRANGE(H32180,""IDENTITAS UNIT!D9"")"),"#N/A")</f>
        <v>#N/A</v>
      </c>
      <c r="H32180" s="4" t="str">
        <v/>
      </c>
      <c r="I32180" s="4" t="str">
        <v/>
      </c>
    </row>
    <row r="32181" spans="5:9" ht="16.5" hidden="1">
      <c r="E32181" s="4" t="str">
        <v/>
      </c>
      <c r="F32181" s="102" t="str">
        <f ca="1">IFERROR(__xludf.DUMMYFUNCTION("IMPORTRANGE(H32181,""IDENTITAS UNIT!D9"")"),"#N/A")</f>
        <v>#N/A</v>
      </c>
      <c r="H32181" s="4" t="str">
        <v/>
      </c>
      <c r="I32181" s="4" t="str">
        <v/>
      </c>
    </row>
    <row r="32182" spans="5:9" ht="16.5" hidden="1">
      <c r="E32182" s="4" t="str">
        <v/>
      </c>
      <c r="F32182" s="102" t="str">
        <f ca="1">IFERROR(__xludf.DUMMYFUNCTION("IMPORTRANGE(H32182,""IDENTITAS UNIT!D9"")"),"#N/A")</f>
        <v>#N/A</v>
      </c>
      <c r="H32182" s="4" t="str">
        <v/>
      </c>
      <c r="I32182" s="4" t="str">
        <v/>
      </c>
    </row>
    <row r="32183" spans="5:9" ht="16.5" hidden="1">
      <c r="E32183" s="4" t="str">
        <v/>
      </c>
      <c r="F32183" s="102" t="str">
        <f ca="1">IFERROR(__xludf.DUMMYFUNCTION("IMPORTRANGE(H32183,""IDENTITAS UNIT!D9"")"),"#N/A")</f>
        <v>#N/A</v>
      </c>
      <c r="H32183" s="4" t="str">
        <v/>
      </c>
      <c r="I32183" s="4" t="str">
        <v/>
      </c>
    </row>
    <row r="32184" spans="5:9" ht="16.5" hidden="1">
      <c r="E32184" s="4" t="str">
        <v/>
      </c>
      <c r="F32184" s="102" t="str">
        <f ca="1">IFERROR(__xludf.DUMMYFUNCTION("IMPORTRANGE(H32184,""IDENTITAS UNIT!D9"")"),"#N/A")</f>
        <v>#N/A</v>
      </c>
      <c r="H32184" s="4" t="str">
        <v/>
      </c>
      <c r="I32184" s="4" t="str">
        <v/>
      </c>
    </row>
    <row r="32185" spans="5:9" ht="16.5" hidden="1">
      <c r="E32185" s="4" t="str">
        <v/>
      </c>
      <c r="F32185" s="102" t="str">
        <f ca="1">IFERROR(__xludf.DUMMYFUNCTION("IMPORTRANGE(H32185,""IDENTITAS UNIT!D9"")"),"#N/A")</f>
        <v>#N/A</v>
      </c>
      <c r="H32185" s="4" t="str">
        <v/>
      </c>
      <c r="I32185" s="4" t="str">
        <v/>
      </c>
    </row>
    <row r="32186" spans="5:9" ht="16.5" hidden="1">
      <c r="E32186" s="4" t="str">
        <v/>
      </c>
      <c r="F32186" s="102" t="str">
        <f ca="1">IFERROR(__xludf.DUMMYFUNCTION("IMPORTRANGE(H32186,""IDENTITAS UNIT!D9"")"),"#N/A")</f>
        <v>#N/A</v>
      </c>
      <c r="H32186" s="4" t="str">
        <v/>
      </c>
      <c r="I32186" s="4" t="str">
        <v/>
      </c>
    </row>
    <row r="32187" spans="5:9" ht="16.5" hidden="1">
      <c r="E32187" s="4" t="str">
        <v/>
      </c>
      <c r="F32187" s="102" t="str">
        <f ca="1">IFERROR(__xludf.DUMMYFUNCTION("IMPORTRANGE(H32187,""IDENTITAS UNIT!D9"")"),"#N/A")</f>
        <v>#N/A</v>
      </c>
      <c r="H32187" s="4" t="str">
        <v/>
      </c>
      <c r="I32187" s="4" t="str">
        <v/>
      </c>
    </row>
    <row r="32188" spans="5:9" ht="16.5" hidden="1">
      <c r="E32188" s="4" t="str">
        <v/>
      </c>
      <c r="F32188" s="102" t="str">
        <f ca="1">IFERROR(__xludf.DUMMYFUNCTION("IMPORTRANGE(H32188,""IDENTITAS UNIT!D9"")"),"#N/A")</f>
        <v>#N/A</v>
      </c>
      <c r="H32188" s="4" t="str">
        <v/>
      </c>
      <c r="I32188" s="4" t="str">
        <v/>
      </c>
    </row>
    <row r="32189" spans="5:9" ht="16.5" hidden="1">
      <c r="E32189" s="4" t="str">
        <v/>
      </c>
      <c r="F32189" s="102" t="str">
        <f ca="1">IFERROR(__xludf.DUMMYFUNCTION("IMPORTRANGE(H32189,""IDENTITAS UNIT!D9"")"),"#N/A")</f>
        <v>#N/A</v>
      </c>
      <c r="H32189" s="4" t="str">
        <v/>
      </c>
      <c r="I32189" s="4" t="str">
        <v/>
      </c>
    </row>
    <row r="32190" spans="5:9" ht="16.5" hidden="1">
      <c r="E32190" s="4" t="str">
        <v/>
      </c>
      <c r="F32190" s="102" t="str">
        <f ca="1">IFERROR(__xludf.DUMMYFUNCTION("IMPORTRANGE(H32190,""IDENTITAS UNIT!D9"")"),"#N/A")</f>
        <v>#N/A</v>
      </c>
      <c r="H32190" s="4" t="str">
        <v/>
      </c>
      <c r="I32190" s="4" t="str">
        <v/>
      </c>
    </row>
    <row r="32191" spans="5:9" ht="16.5" hidden="1">
      <c r="E32191" s="4" t="str">
        <v/>
      </c>
      <c r="F32191" s="102" t="str">
        <f ca="1">IFERROR(__xludf.DUMMYFUNCTION("IMPORTRANGE(H32191,""IDENTITAS UNIT!D9"")"),"#N/A")</f>
        <v>#N/A</v>
      </c>
      <c r="H32191" s="4" t="str">
        <v/>
      </c>
      <c r="I32191" s="4" t="str">
        <v/>
      </c>
    </row>
    <row r="32192" spans="5:9" ht="16.5" hidden="1">
      <c r="E32192" s="4" t="str">
        <v/>
      </c>
      <c r="F32192" s="102" t="str">
        <f ca="1">IFERROR(__xludf.DUMMYFUNCTION("IMPORTRANGE(H32192,""IDENTITAS UNIT!D9"")"),"#N/A")</f>
        <v>#N/A</v>
      </c>
      <c r="H32192" s="4" t="str">
        <v/>
      </c>
      <c r="I32192" s="4" t="str">
        <v/>
      </c>
    </row>
    <row r="32193" spans="5:9" ht="16.5" hidden="1">
      <c r="E32193" s="4" t="str">
        <v/>
      </c>
      <c r="F32193" s="102" t="str">
        <f ca="1">IFERROR(__xludf.DUMMYFUNCTION("IMPORTRANGE(H32193,""IDENTITAS UNIT!D9"")"),"#N/A")</f>
        <v>#N/A</v>
      </c>
      <c r="H32193" s="4" t="str">
        <v/>
      </c>
      <c r="I32193" s="4" t="str">
        <v/>
      </c>
    </row>
    <row r="32194" spans="5:9" ht="16.5" hidden="1">
      <c r="E32194" s="4" t="str">
        <v/>
      </c>
      <c r="F32194" s="102" t="str">
        <f ca="1">IFERROR(__xludf.DUMMYFUNCTION("IMPORTRANGE(H32194,""IDENTITAS UNIT!D9"")"),"#N/A")</f>
        <v>#N/A</v>
      </c>
      <c r="H32194" s="4" t="str">
        <v/>
      </c>
      <c r="I32194" s="4" t="str">
        <v/>
      </c>
    </row>
    <row r="32195" spans="5:9" ht="16.5" hidden="1">
      <c r="E32195" s="4" t="str">
        <v/>
      </c>
      <c r="F32195" s="102" t="str">
        <f ca="1">IFERROR(__xludf.DUMMYFUNCTION("IMPORTRANGE(H32195,""IDENTITAS UNIT!D9"")"),"#N/A")</f>
        <v>#N/A</v>
      </c>
      <c r="H32195" s="4" t="str">
        <v/>
      </c>
      <c r="I32195" s="4" t="str">
        <v/>
      </c>
    </row>
    <row r="32196" spans="5:9" ht="16.5" hidden="1">
      <c r="E32196" s="4" t="str">
        <v/>
      </c>
      <c r="F32196" s="102" t="str">
        <f ca="1">IFERROR(__xludf.DUMMYFUNCTION("IMPORTRANGE(H32196,""IDENTITAS UNIT!D9"")"),"#N/A")</f>
        <v>#N/A</v>
      </c>
      <c r="H32196" s="4" t="str">
        <v/>
      </c>
      <c r="I32196" s="4" t="str">
        <v/>
      </c>
    </row>
    <row r="32197" spans="5:9" ht="16.5" hidden="1">
      <c r="E32197" s="4" t="str">
        <v/>
      </c>
      <c r="F32197" s="102" t="str">
        <f ca="1">IFERROR(__xludf.DUMMYFUNCTION("IMPORTRANGE(H32197,""IDENTITAS UNIT!D9"")"),"#N/A")</f>
        <v>#N/A</v>
      </c>
      <c r="H32197" s="4" t="str">
        <v/>
      </c>
      <c r="I32197" s="4" t="str">
        <v/>
      </c>
    </row>
    <row r="32198" spans="5:9" ht="16.5" hidden="1">
      <c r="E32198" s="4" t="str">
        <v/>
      </c>
      <c r="F32198" s="102" t="str">
        <f ca="1">IFERROR(__xludf.DUMMYFUNCTION("IMPORTRANGE(H32198,""IDENTITAS UNIT!D9"")"),"#N/A")</f>
        <v>#N/A</v>
      </c>
      <c r="H32198" s="4" t="str">
        <v/>
      </c>
      <c r="I32198" s="4" t="str">
        <v/>
      </c>
    </row>
    <row r="32199" spans="5:9" ht="16.5" hidden="1">
      <c r="E32199" s="4" t="str">
        <v/>
      </c>
      <c r="F32199" s="102" t="str">
        <f ca="1">IFERROR(__xludf.DUMMYFUNCTION("IMPORTRANGE(H32199,""IDENTITAS UNIT!D9"")"),"#N/A")</f>
        <v>#N/A</v>
      </c>
      <c r="H32199" s="4" t="str">
        <v/>
      </c>
      <c r="I32199" s="4" t="str">
        <v/>
      </c>
    </row>
    <row r="32200" spans="5:9" ht="16.5" hidden="1">
      <c r="E32200" s="4" t="str">
        <v/>
      </c>
      <c r="F32200" s="102" t="str">
        <f ca="1">IFERROR(__xludf.DUMMYFUNCTION("IMPORTRANGE(H32200,""IDENTITAS UNIT!D9"")"),"#N/A")</f>
        <v>#N/A</v>
      </c>
      <c r="H32200" s="4" t="str">
        <v/>
      </c>
      <c r="I32200" s="4" t="str">
        <v/>
      </c>
    </row>
    <row r="32201" spans="5:9" ht="16.5" hidden="1">
      <c r="E32201" s="4" t="str">
        <v/>
      </c>
      <c r="F32201" s="102" t="str">
        <f ca="1">IFERROR(__xludf.DUMMYFUNCTION("IMPORTRANGE(H32201,""IDENTITAS UNIT!D9"")"),"#N/A")</f>
        <v>#N/A</v>
      </c>
      <c r="H32201" s="4" t="str">
        <v/>
      </c>
      <c r="I32201" s="4" t="str">
        <v/>
      </c>
    </row>
    <row r="32202" spans="5:9" ht="16.5" hidden="1">
      <c r="E32202" s="4" t="str">
        <v/>
      </c>
      <c r="F32202" s="102" t="str">
        <f ca="1">IFERROR(__xludf.DUMMYFUNCTION("IMPORTRANGE(H32202,""IDENTITAS UNIT!D9"")"),"#N/A")</f>
        <v>#N/A</v>
      </c>
      <c r="H32202" s="4" t="str">
        <v/>
      </c>
      <c r="I32202" s="4" t="str">
        <v/>
      </c>
    </row>
    <row r="32203" spans="5:9" ht="16.5" hidden="1">
      <c r="E32203" s="4" t="str">
        <v/>
      </c>
      <c r="F32203" s="102" t="str">
        <f ca="1">IFERROR(__xludf.DUMMYFUNCTION("IMPORTRANGE(H32203,""IDENTITAS UNIT!D9"")"),"#N/A")</f>
        <v>#N/A</v>
      </c>
      <c r="H32203" s="4" t="str">
        <v/>
      </c>
      <c r="I32203" s="4" t="str">
        <v/>
      </c>
    </row>
    <row r="32204" spans="5:9" ht="16.5" hidden="1">
      <c r="E32204" s="4" t="str">
        <v/>
      </c>
      <c r="F32204" s="102" t="str">
        <f ca="1">IFERROR(__xludf.DUMMYFUNCTION("IMPORTRANGE(H32204,""IDENTITAS UNIT!D9"")"),"#N/A")</f>
        <v>#N/A</v>
      </c>
      <c r="H32204" s="4" t="str">
        <v/>
      </c>
      <c r="I32204" s="4" t="str">
        <v/>
      </c>
    </row>
    <row r="32205" spans="5:9" ht="16.5" hidden="1">
      <c r="E32205" s="4" t="str">
        <v/>
      </c>
      <c r="F32205" s="102" t="str">
        <f ca="1">IFERROR(__xludf.DUMMYFUNCTION("IMPORTRANGE(H32205,""IDENTITAS UNIT!D9"")"),"#N/A")</f>
        <v>#N/A</v>
      </c>
      <c r="H32205" s="4" t="str">
        <v/>
      </c>
      <c r="I32205" s="4" t="str">
        <v/>
      </c>
    </row>
    <row r="32206" spans="5:9" ht="16.5" hidden="1">
      <c r="E32206" s="4" t="str">
        <v/>
      </c>
      <c r="F32206" s="102" t="str">
        <f ca="1">IFERROR(__xludf.DUMMYFUNCTION("IMPORTRANGE(H32206,""IDENTITAS UNIT!D9"")"),"#N/A")</f>
        <v>#N/A</v>
      </c>
      <c r="H32206" s="4" t="str">
        <v/>
      </c>
      <c r="I32206" s="4" t="str">
        <v/>
      </c>
    </row>
    <row r="32207" spans="5:9" ht="16.5" hidden="1">
      <c r="E32207" s="4" t="str">
        <v/>
      </c>
      <c r="F32207" s="102" t="str">
        <f ca="1">IFERROR(__xludf.DUMMYFUNCTION("IMPORTRANGE(H32207,""IDENTITAS UNIT!D9"")"),"#N/A")</f>
        <v>#N/A</v>
      </c>
      <c r="H32207" s="4" t="str">
        <v/>
      </c>
      <c r="I32207" s="4" t="str">
        <v/>
      </c>
    </row>
    <row r="32208" spans="5:9" ht="16.5" hidden="1">
      <c r="E32208" s="4" t="str">
        <v/>
      </c>
      <c r="F32208" s="102" t="str">
        <f ca="1">IFERROR(__xludf.DUMMYFUNCTION("IMPORTRANGE(H32208,""IDENTITAS UNIT!D9"")"),"#N/A")</f>
        <v>#N/A</v>
      </c>
      <c r="H32208" s="4" t="str">
        <v/>
      </c>
      <c r="I32208" s="4" t="str">
        <v/>
      </c>
    </row>
    <row r="32209" spans="5:9" ht="16.5" hidden="1">
      <c r="E32209" s="4" t="str">
        <v/>
      </c>
      <c r="F32209" s="102" t="str">
        <f ca="1">IFERROR(__xludf.DUMMYFUNCTION("IMPORTRANGE(H32209,""IDENTITAS UNIT!D9"")"),"#N/A")</f>
        <v>#N/A</v>
      </c>
      <c r="H32209" s="4" t="str">
        <v/>
      </c>
      <c r="I32209" s="4" t="str">
        <v/>
      </c>
    </row>
    <row r="32210" spans="5:9" ht="16.5" hidden="1">
      <c r="E32210" s="4" t="str">
        <v/>
      </c>
      <c r="F32210" s="102" t="str">
        <f ca="1">IFERROR(__xludf.DUMMYFUNCTION("IMPORTRANGE(H32210,""IDENTITAS UNIT!D9"")"),"#N/A")</f>
        <v>#N/A</v>
      </c>
      <c r="H32210" s="4" t="str">
        <v/>
      </c>
      <c r="I32210" s="4" t="str">
        <v/>
      </c>
    </row>
    <row r="32211" spans="5:9" ht="16.5" hidden="1">
      <c r="E32211" s="4" t="str">
        <v/>
      </c>
      <c r="F32211" s="102" t="str">
        <f ca="1">IFERROR(__xludf.DUMMYFUNCTION("IMPORTRANGE(H32211,""IDENTITAS UNIT!D9"")"),"#N/A")</f>
        <v>#N/A</v>
      </c>
      <c r="H32211" s="4" t="str">
        <v/>
      </c>
      <c r="I32211" s="4" t="str">
        <v/>
      </c>
    </row>
    <row r="32212" spans="5:9" ht="16.5" hidden="1">
      <c r="E32212" s="4" t="str">
        <v/>
      </c>
      <c r="F32212" s="102" t="str">
        <f ca="1">IFERROR(__xludf.DUMMYFUNCTION("IMPORTRANGE(H32212,""IDENTITAS UNIT!D9"")"),"#N/A")</f>
        <v>#N/A</v>
      </c>
      <c r="H32212" s="4" t="str">
        <v/>
      </c>
      <c r="I32212" s="4" t="str">
        <v/>
      </c>
    </row>
    <row r="32213" spans="5:9" ht="16.5" hidden="1">
      <c r="E32213" s="4" t="str">
        <v/>
      </c>
      <c r="F32213" s="102" t="str">
        <f ca="1">IFERROR(__xludf.DUMMYFUNCTION("IMPORTRANGE(H32213,""IDENTITAS UNIT!D9"")"),"#N/A")</f>
        <v>#N/A</v>
      </c>
      <c r="H32213" s="4" t="str">
        <v/>
      </c>
      <c r="I32213" s="4" t="str">
        <v/>
      </c>
    </row>
    <row r="32214" spans="5:9" ht="16.5" hidden="1">
      <c r="E32214" s="4" t="str">
        <v/>
      </c>
      <c r="F32214" s="102" t="str">
        <f ca="1">IFERROR(__xludf.DUMMYFUNCTION("IMPORTRANGE(H32214,""IDENTITAS UNIT!D9"")"),"#N/A")</f>
        <v>#N/A</v>
      </c>
      <c r="H32214" s="4" t="str">
        <v/>
      </c>
      <c r="I32214" s="4" t="str">
        <v/>
      </c>
    </row>
    <row r="32215" spans="5:9" ht="16.5" hidden="1">
      <c r="E32215" s="4" t="str">
        <v/>
      </c>
      <c r="F32215" s="102" t="str">
        <f ca="1">IFERROR(__xludf.DUMMYFUNCTION("IMPORTRANGE(H32215,""IDENTITAS UNIT!D9"")"),"#N/A")</f>
        <v>#N/A</v>
      </c>
      <c r="H32215" s="4" t="str">
        <v/>
      </c>
      <c r="I32215" s="4" t="str">
        <v/>
      </c>
    </row>
    <row r="32216" spans="5:9" ht="16.5" hidden="1">
      <c r="E32216" s="4" t="str">
        <v/>
      </c>
      <c r="F32216" s="102" t="str">
        <f ca="1">IFERROR(__xludf.DUMMYFUNCTION("IMPORTRANGE(H32216,""IDENTITAS UNIT!D9"")"),"#N/A")</f>
        <v>#N/A</v>
      </c>
      <c r="H32216" s="4" t="str">
        <v/>
      </c>
      <c r="I32216" s="4" t="str">
        <v/>
      </c>
    </row>
    <row r="32217" spans="5:9" ht="16.5" hidden="1">
      <c r="E32217" s="4" t="str">
        <v/>
      </c>
      <c r="F32217" s="102" t="str">
        <f ca="1">IFERROR(__xludf.DUMMYFUNCTION("IMPORTRANGE(H32217,""IDENTITAS UNIT!D9"")"),"#N/A")</f>
        <v>#N/A</v>
      </c>
      <c r="H32217" s="4" t="str">
        <v/>
      </c>
      <c r="I32217" s="4" t="str">
        <v/>
      </c>
    </row>
    <row r="32218" spans="5:9" ht="16.5" hidden="1">
      <c r="E32218" s="4" t="str">
        <v/>
      </c>
      <c r="F32218" s="102" t="str">
        <f ca="1">IFERROR(__xludf.DUMMYFUNCTION("IMPORTRANGE(H32218,""IDENTITAS UNIT!D9"")"),"#N/A")</f>
        <v>#N/A</v>
      </c>
      <c r="H32218" s="4" t="str">
        <v/>
      </c>
      <c r="I32218" s="4" t="str">
        <v/>
      </c>
    </row>
    <row r="32219" spans="5:9" ht="16.5" hidden="1">
      <c r="E32219" s="4" t="str">
        <v/>
      </c>
      <c r="F32219" s="102" t="str">
        <f ca="1">IFERROR(__xludf.DUMMYFUNCTION("IMPORTRANGE(H32219,""IDENTITAS UNIT!D9"")"),"#N/A")</f>
        <v>#N/A</v>
      </c>
      <c r="H32219" s="4" t="str">
        <v/>
      </c>
      <c r="I32219" s="4" t="str">
        <v/>
      </c>
    </row>
    <row r="32220" spans="5:9" ht="16.5" hidden="1">
      <c r="E32220" s="4" t="str">
        <v/>
      </c>
      <c r="F32220" s="102" t="str">
        <f ca="1">IFERROR(__xludf.DUMMYFUNCTION("IMPORTRANGE(H32220,""IDENTITAS UNIT!D9"")"),"#N/A")</f>
        <v>#N/A</v>
      </c>
      <c r="H32220" s="4" t="str">
        <v/>
      </c>
      <c r="I32220" s="4" t="str">
        <v/>
      </c>
    </row>
    <row r="32221" spans="5:9" ht="16.5" hidden="1">
      <c r="E32221" s="4" t="str">
        <v/>
      </c>
      <c r="F32221" s="102" t="str">
        <f ca="1">IFERROR(__xludf.DUMMYFUNCTION("IMPORTRANGE(H32221,""IDENTITAS UNIT!D9"")"),"#N/A")</f>
        <v>#N/A</v>
      </c>
      <c r="H32221" s="4" t="str">
        <v/>
      </c>
      <c r="I32221" s="4" t="str">
        <v/>
      </c>
    </row>
    <row r="32222" spans="5:9" ht="16.5" hidden="1">
      <c r="E32222" s="4" t="str">
        <v/>
      </c>
      <c r="F32222" s="102" t="str">
        <f ca="1">IFERROR(__xludf.DUMMYFUNCTION("IMPORTRANGE(H32222,""IDENTITAS UNIT!D9"")"),"#N/A")</f>
        <v>#N/A</v>
      </c>
      <c r="H32222" s="4" t="str">
        <v/>
      </c>
      <c r="I32222" s="4" t="str">
        <v/>
      </c>
    </row>
    <row r="32223" spans="5:9" ht="16.5" hidden="1">
      <c r="E32223" s="4" t="str">
        <v/>
      </c>
      <c r="F32223" s="102" t="str">
        <f ca="1">IFERROR(__xludf.DUMMYFUNCTION("IMPORTRANGE(H32223,""IDENTITAS UNIT!D9"")"),"#N/A")</f>
        <v>#N/A</v>
      </c>
      <c r="H32223" s="4" t="str">
        <v/>
      </c>
      <c r="I32223" s="4" t="str">
        <v/>
      </c>
    </row>
    <row r="32224" spans="5:9" ht="16.5" hidden="1">
      <c r="E32224" s="4" t="str">
        <v/>
      </c>
      <c r="F32224" s="102" t="str">
        <f ca="1">IFERROR(__xludf.DUMMYFUNCTION("IMPORTRANGE(H32224,""IDENTITAS UNIT!D9"")"),"#N/A")</f>
        <v>#N/A</v>
      </c>
      <c r="H32224" s="4" t="str">
        <v/>
      </c>
      <c r="I32224" s="4" t="str">
        <v/>
      </c>
    </row>
    <row r="32225" spans="5:9" ht="16.5" hidden="1">
      <c r="E32225" s="4" t="str">
        <v/>
      </c>
      <c r="F32225" s="102" t="str">
        <f ca="1">IFERROR(__xludf.DUMMYFUNCTION("IMPORTRANGE(H32225,""IDENTITAS UNIT!D9"")"),"#N/A")</f>
        <v>#N/A</v>
      </c>
      <c r="H32225" s="4" t="str">
        <v/>
      </c>
      <c r="I32225" s="4" t="str">
        <v/>
      </c>
    </row>
    <row r="32226" spans="5:9" ht="16.5" hidden="1">
      <c r="E32226" s="4" t="str">
        <v/>
      </c>
      <c r="F32226" s="102" t="str">
        <f ca="1">IFERROR(__xludf.DUMMYFUNCTION("IMPORTRANGE(H32226,""IDENTITAS UNIT!D9"")"),"#N/A")</f>
        <v>#N/A</v>
      </c>
      <c r="H32226" s="4" t="str">
        <v/>
      </c>
      <c r="I32226" s="4" t="str">
        <v/>
      </c>
    </row>
    <row r="32227" spans="5:9" ht="16.5" hidden="1">
      <c r="E32227" s="4" t="str">
        <v/>
      </c>
      <c r="F32227" s="102" t="str">
        <f ca="1">IFERROR(__xludf.DUMMYFUNCTION("IMPORTRANGE(H32227,""IDENTITAS UNIT!D9"")"),"#N/A")</f>
        <v>#N/A</v>
      </c>
      <c r="H32227" s="4" t="str">
        <v/>
      </c>
      <c r="I32227" s="4" t="str">
        <v/>
      </c>
    </row>
    <row r="32228" spans="5:9" ht="16.5" hidden="1">
      <c r="E32228" s="4" t="str">
        <v/>
      </c>
      <c r="F32228" s="102" t="str">
        <f ca="1">IFERROR(__xludf.DUMMYFUNCTION("IMPORTRANGE(H32228,""IDENTITAS UNIT!D9"")"),"#N/A")</f>
        <v>#N/A</v>
      </c>
      <c r="H32228" s="4" t="str">
        <v/>
      </c>
      <c r="I32228" s="4" t="str">
        <v/>
      </c>
    </row>
    <row r="32229" spans="5:9" ht="16.5" hidden="1">
      <c r="E32229" s="4" t="str">
        <v/>
      </c>
      <c r="F32229" s="102" t="str">
        <f ca="1">IFERROR(__xludf.DUMMYFUNCTION("IMPORTRANGE(H32229,""IDENTITAS UNIT!D9"")"),"#N/A")</f>
        <v>#N/A</v>
      </c>
      <c r="H32229" s="4" t="str">
        <v/>
      </c>
      <c r="I32229" s="4" t="str">
        <v/>
      </c>
    </row>
    <row r="32230" spans="5:9" ht="16.5" hidden="1">
      <c r="E32230" s="4" t="str">
        <v/>
      </c>
      <c r="F32230" s="102" t="str">
        <f ca="1">IFERROR(__xludf.DUMMYFUNCTION("IMPORTRANGE(H32230,""IDENTITAS UNIT!D9"")"),"#N/A")</f>
        <v>#N/A</v>
      </c>
      <c r="H32230" s="4" t="str">
        <v/>
      </c>
      <c r="I32230" s="4" t="str">
        <v/>
      </c>
    </row>
    <row r="32231" spans="5:9" ht="16.5" hidden="1">
      <c r="E32231" s="4" t="str">
        <v/>
      </c>
      <c r="F32231" s="102" t="str">
        <f ca="1">IFERROR(__xludf.DUMMYFUNCTION("IMPORTRANGE(H32231,""IDENTITAS UNIT!D9"")"),"#N/A")</f>
        <v>#N/A</v>
      </c>
      <c r="H32231" s="4" t="str">
        <v/>
      </c>
      <c r="I32231" s="4" t="str">
        <v/>
      </c>
    </row>
    <row r="32232" spans="5:9" ht="16.5" hidden="1">
      <c r="E32232" s="4" t="str">
        <v/>
      </c>
      <c r="F32232" s="102" t="str">
        <f ca="1">IFERROR(__xludf.DUMMYFUNCTION("IMPORTRANGE(H32232,""IDENTITAS UNIT!D9"")"),"#N/A")</f>
        <v>#N/A</v>
      </c>
      <c r="H32232" s="4" t="str">
        <v/>
      </c>
      <c r="I32232" s="4" t="str">
        <v/>
      </c>
    </row>
    <row r="32233" spans="5:9" ht="16.5" hidden="1">
      <c r="E32233" s="4" t="str">
        <v/>
      </c>
      <c r="F32233" s="102" t="str">
        <f ca="1">IFERROR(__xludf.DUMMYFUNCTION("IMPORTRANGE(H32233,""IDENTITAS UNIT!D9"")"),"#N/A")</f>
        <v>#N/A</v>
      </c>
      <c r="H32233" s="4" t="str">
        <v/>
      </c>
      <c r="I32233" s="4" t="str">
        <v/>
      </c>
    </row>
    <row r="32234" spans="5:9" ht="16.5" hidden="1">
      <c r="E32234" s="4" t="str">
        <v/>
      </c>
      <c r="F32234" s="102" t="str">
        <f ca="1">IFERROR(__xludf.DUMMYFUNCTION("IMPORTRANGE(H32234,""IDENTITAS UNIT!D9"")"),"#N/A")</f>
        <v>#N/A</v>
      </c>
      <c r="H32234" s="4" t="str">
        <v/>
      </c>
      <c r="I32234" s="4" t="str">
        <v/>
      </c>
    </row>
    <row r="32235" spans="5:9" ht="16.5" hidden="1">
      <c r="E32235" s="4" t="str">
        <v/>
      </c>
      <c r="F32235" s="102" t="str">
        <f ca="1">IFERROR(__xludf.DUMMYFUNCTION("IMPORTRANGE(H32235,""IDENTITAS UNIT!D9"")"),"#N/A")</f>
        <v>#N/A</v>
      </c>
      <c r="H32235" s="4" t="str">
        <v/>
      </c>
      <c r="I32235" s="4" t="str">
        <v/>
      </c>
    </row>
    <row r="32236" spans="5:9" ht="16.5" hidden="1">
      <c r="E32236" s="4" t="str">
        <v/>
      </c>
      <c r="F32236" s="102" t="str">
        <f ca="1">IFERROR(__xludf.DUMMYFUNCTION("IMPORTRANGE(H32236,""IDENTITAS UNIT!D9"")"),"#N/A")</f>
        <v>#N/A</v>
      </c>
      <c r="H32236" s="4" t="str">
        <v/>
      </c>
      <c r="I32236" s="4" t="str">
        <v/>
      </c>
    </row>
    <row r="32237" spans="5:9" ht="16.5" hidden="1">
      <c r="E32237" s="4" t="str">
        <v/>
      </c>
      <c r="F32237" s="102" t="str">
        <f ca="1">IFERROR(__xludf.DUMMYFUNCTION("IMPORTRANGE(H32237,""IDENTITAS UNIT!D9"")"),"#N/A")</f>
        <v>#N/A</v>
      </c>
      <c r="H32237" s="4" t="str">
        <v/>
      </c>
      <c r="I32237" s="4" t="str">
        <v/>
      </c>
    </row>
    <row r="32238" spans="5:9" ht="16.5" hidden="1">
      <c r="E32238" s="4" t="str">
        <v/>
      </c>
      <c r="F32238" s="102" t="str">
        <f ca="1">IFERROR(__xludf.DUMMYFUNCTION("IMPORTRANGE(H32238,""IDENTITAS UNIT!D9"")"),"#N/A")</f>
        <v>#N/A</v>
      </c>
      <c r="H32238" s="4" t="str">
        <v/>
      </c>
      <c r="I32238" s="4" t="str">
        <v/>
      </c>
    </row>
    <row r="32239" spans="5:9" ht="16.5" hidden="1">
      <c r="E32239" s="4" t="str">
        <v/>
      </c>
      <c r="F32239" s="102" t="str">
        <f ca="1">IFERROR(__xludf.DUMMYFUNCTION("IMPORTRANGE(H32239,""IDENTITAS UNIT!D9"")"),"#N/A")</f>
        <v>#N/A</v>
      </c>
      <c r="H32239" s="4" t="str">
        <v/>
      </c>
      <c r="I32239" s="4" t="str">
        <v/>
      </c>
    </row>
    <row r="32240" spans="5:9" ht="16.5" hidden="1">
      <c r="E32240" s="4" t="str">
        <v/>
      </c>
      <c r="F32240" s="102" t="str">
        <f ca="1">IFERROR(__xludf.DUMMYFUNCTION("IMPORTRANGE(H32240,""IDENTITAS UNIT!D9"")"),"#N/A")</f>
        <v>#N/A</v>
      </c>
      <c r="H32240" s="4" t="str">
        <v/>
      </c>
      <c r="I32240" s="4" t="str">
        <v/>
      </c>
    </row>
    <row r="32241" spans="5:9" ht="16.5" hidden="1">
      <c r="E32241" s="4" t="str">
        <v/>
      </c>
      <c r="F32241" s="102" t="str">
        <f ca="1">IFERROR(__xludf.DUMMYFUNCTION("IMPORTRANGE(H32241,""IDENTITAS UNIT!D9"")"),"#N/A")</f>
        <v>#N/A</v>
      </c>
      <c r="H32241" s="4" t="str">
        <v/>
      </c>
      <c r="I32241" s="4" t="str">
        <v/>
      </c>
    </row>
    <row r="32242" spans="5:9" ht="16.5" hidden="1">
      <c r="E32242" s="4" t="str">
        <v/>
      </c>
      <c r="F32242" s="102" t="str">
        <f ca="1">IFERROR(__xludf.DUMMYFUNCTION("IMPORTRANGE(H32242,""IDENTITAS UNIT!D9"")"),"#N/A")</f>
        <v>#N/A</v>
      </c>
      <c r="H32242" s="4" t="str">
        <v/>
      </c>
      <c r="I32242" s="4" t="str">
        <v/>
      </c>
    </row>
    <row r="32243" spans="5:9" ht="16.5" hidden="1">
      <c r="E32243" s="4" t="str">
        <v/>
      </c>
      <c r="F32243" s="102" t="str">
        <f ca="1">IFERROR(__xludf.DUMMYFUNCTION("IMPORTRANGE(H32243,""IDENTITAS UNIT!D9"")"),"#N/A")</f>
        <v>#N/A</v>
      </c>
      <c r="H32243" s="4" t="str">
        <v/>
      </c>
      <c r="I32243" s="4" t="str">
        <v/>
      </c>
    </row>
    <row r="32244" spans="5:9" ht="16.5" hidden="1">
      <c r="E32244" s="4" t="str">
        <v/>
      </c>
      <c r="F32244" s="102" t="str">
        <f ca="1">IFERROR(__xludf.DUMMYFUNCTION("IMPORTRANGE(H32244,""IDENTITAS UNIT!D9"")"),"#N/A")</f>
        <v>#N/A</v>
      </c>
      <c r="H32244" s="4" t="str">
        <v/>
      </c>
      <c r="I32244" s="4" t="str">
        <v/>
      </c>
    </row>
    <row r="32245" spans="5:9" ht="16.5" hidden="1">
      <c r="E32245" s="4" t="str">
        <v/>
      </c>
      <c r="F32245" s="102" t="str">
        <f ca="1">IFERROR(__xludf.DUMMYFUNCTION("IMPORTRANGE(H32245,""IDENTITAS UNIT!D9"")"),"#N/A")</f>
        <v>#N/A</v>
      </c>
      <c r="H32245" s="4" t="str">
        <v/>
      </c>
      <c r="I32245" s="4" t="str">
        <v/>
      </c>
    </row>
    <row r="32246" spans="5:9" ht="16.5" hidden="1">
      <c r="E32246" s="4" t="str">
        <v/>
      </c>
      <c r="F32246" s="102" t="str">
        <f ca="1">IFERROR(__xludf.DUMMYFUNCTION("IMPORTRANGE(H32246,""IDENTITAS UNIT!D9"")"),"#N/A")</f>
        <v>#N/A</v>
      </c>
      <c r="H32246" s="4" t="str">
        <v/>
      </c>
      <c r="I32246" s="4" t="str">
        <v/>
      </c>
    </row>
    <row r="32247" spans="5:9" ht="16.5" hidden="1">
      <c r="E32247" s="4" t="str">
        <v/>
      </c>
      <c r="F32247" s="102" t="str">
        <f ca="1">IFERROR(__xludf.DUMMYFUNCTION("IMPORTRANGE(H32247,""IDENTITAS UNIT!D9"")"),"#N/A")</f>
        <v>#N/A</v>
      </c>
      <c r="H32247" s="4" t="str">
        <v/>
      </c>
      <c r="I32247" s="4" t="str">
        <v/>
      </c>
    </row>
    <row r="32248" spans="5:9" ht="16.5" hidden="1">
      <c r="E32248" s="4" t="str">
        <v/>
      </c>
      <c r="F32248" s="102" t="str">
        <f ca="1">IFERROR(__xludf.DUMMYFUNCTION("IMPORTRANGE(H32248,""IDENTITAS UNIT!D9"")"),"#N/A")</f>
        <v>#N/A</v>
      </c>
      <c r="H32248" s="4" t="str">
        <v/>
      </c>
      <c r="I32248" s="4" t="str">
        <v/>
      </c>
    </row>
    <row r="32249" spans="5:9" ht="16.5" hidden="1">
      <c r="E32249" s="4" t="str">
        <v/>
      </c>
      <c r="F32249" s="102" t="str">
        <f ca="1">IFERROR(__xludf.DUMMYFUNCTION("IMPORTRANGE(H32249,""IDENTITAS UNIT!D9"")"),"#N/A")</f>
        <v>#N/A</v>
      </c>
      <c r="H32249" s="4" t="str">
        <v/>
      </c>
      <c r="I32249" s="4" t="str">
        <v/>
      </c>
    </row>
    <row r="32250" spans="5:9" ht="16.5" hidden="1">
      <c r="E32250" s="4" t="str">
        <v/>
      </c>
      <c r="F32250" s="102" t="str">
        <f ca="1">IFERROR(__xludf.DUMMYFUNCTION("IMPORTRANGE(H32250,""IDENTITAS UNIT!D9"")"),"#N/A")</f>
        <v>#N/A</v>
      </c>
      <c r="H32250" s="4" t="str">
        <v/>
      </c>
      <c r="I32250" s="4" t="str">
        <v/>
      </c>
    </row>
    <row r="32251" spans="5:9" ht="16.5" hidden="1">
      <c r="E32251" s="4" t="str">
        <v/>
      </c>
      <c r="F32251" s="102" t="str">
        <f ca="1">IFERROR(__xludf.DUMMYFUNCTION("IMPORTRANGE(H32251,""IDENTITAS UNIT!D9"")"),"#N/A")</f>
        <v>#N/A</v>
      </c>
      <c r="H32251" s="4" t="str">
        <v/>
      </c>
      <c r="I32251" s="4" t="str">
        <v/>
      </c>
    </row>
    <row r="32252" spans="5:9" ht="16.5" hidden="1">
      <c r="E32252" s="4" t="str">
        <v/>
      </c>
      <c r="F32252" s="102" t="str">
        <f ca="1">IFERROR(__xludf.DUMMYFUNCTION("IMPORTRANGE(H32252,""IDENTITAS UNIT!D9"")"),"#N/A")</f>
        <v>#N/A</v>
      </c>
      <c r="H32252" s="4" t="str">
        <v/>
      </c>
      <c r="I32252" s="4" t="str">
        <v/>
      </c>
    </row>
    <row r="32253" spans="5:9" ht="16.5" hidden="1">
      <c r="E32253" s="4" t="str">
        <v/>
      </c>
      <c r="F32253" s="102" t="str">
        <f ca="1">IFERROR(__xludf.DUMMYFUNCTION("IMPORTRANGE(H32253,""IDENTITAS UNIT!D9"")"),"#N/A")</f>
        <v>#N/A</v>
      </c>
      <c r="H32253" s="4" t="str">
        <v/>
      </c>
      <c r="I32253" s="4" t="str">
        <v/>
      </c>
    </row>
    <row r="32254" spans="5:9" ht="16.5" hidden="1">
      <c r="E32254" s="4" t="str">
        <v/>
      </c>
      <c r="F32254" s="102" t="str">
        <f ca="1">IFERROR(__xludf.DUMMYFUNCTION("IMPORTRANGE(H32254,""IDENTITAS UNIT!D9"")"),"#N/A")</f>
        <v>#N/A</v>
      </c>
      <c r="H32254" s="4" t="str">
        <v/>
      </c>
      <c r="I32254" s="4" t="str">
        <v/>
      </c>
    </row>
    <row r="32255" spans="5:9" ht="16.5" hidden="1">
      <c r="E32255" s="4" t="str">
        <v/>
      </c>
      <c r="F32255" s="102" t="str">
        <f ca="1">IFERROR(__xludf.DUMMYFUNCTION("IMPORTRANGE(H32255,""IDENTITAS UNIT!D9"")"),"#N/A")</f>
        <v>#N/A</v>
      </c>
      <c r="H32255" s="4" t="str">
        <v/>
      </c>
      <c r="I32255" s="4" t="str">
        <v/>
      </c>
    </row>
    <row r="32256" spans="5:9" ht="16.5" hidden="1">
      <c r="E32256" s="4" t="str">
        <v/>
      </c>
      <c r="F32256" s="102" t="str">
        <f ca="1">IFERROR(__xludf.DUMMYFUNCTION("IMPORTRANGE(H32256,""IDENTITAS UNIT!D9"")"),"#N/A")</f>
        <v>#N/A</v>
      </c>
      <c r="H32256" s="4" t="str">
        <v/>
      </c>
      <c r="I32256" s="4" t="str">
        <v/>
      </c>
    </row>
    <row r="32257" spans="5:9" ht="16.5" hidden="1">
      <c r="E32257" s="4" t="str">
        <v/>
      </c>
      <c r="F32257" s="102" t="str">
        <f ca="1">IFERROR(__xludf.DUMMYFUNCTION("IMPORTRANGE(H32257,""IDENTITAS UNIT!D9"")"),"#N/A")</f>
        <v>#N/A</v>
      </c>
      <c r="H32257" s="4" t="str">
        <v/>
      </c>
      <c r="I32257" s="4" t="str">
        <v/>
      </c>
    </row>
    <row r="32258" spans="5:9" ht="16.5" hidden="1">
      <c r="E32258" s="4" t="str">
        <v/>
      </c>
      <c r="F32258" s="102" t="str">
        <f ca="1">IFERROR(__xludf.DUMMYFUNCTION("IMPORTRANGE(H32258,""IDENTITAS UNIT!D9"")"),"#N/A")</f>
        <v>#N/A</v>
      </c>
      <c r="H32258" s="4" t="str">
        <v/>
      </c>
      <c r="I32258" s="4" t="str">
        <v/>
      </c>
    </row>
    <row r="32259" spans="5:9" ht="16.5" hidden="1">
      <c r="E32259" s="4" t="str">
        <v/>
      </c>
      <c r="F32259" s="102" t="str">
        <f ca="1">IFERROR(__xludf.DUMMYFUNCTION("IMPORTRANGE(H32259,""IDENTITAS UNIT!D9"")"),"#N/A")</f>
        <v>#N/A</v>
      </c>
      <c r="H32259" s="4" t="str">
        <v/>
      </c>
      <c r="I32259" s="4" t="str">
        <v/>
      </c>
    </row>
    <row r="32260" spans="5:9" ht="16.5" hidden="1">
      <c r="E32260" s="4" t="str">
        <v/>
      </c>
      <c r="F32260" s="102" t="str">
        <f ca="1">IFERROR(__xludf.DUMMYFUNCTION("IMPORTRANGE(H32260,""IDENTITAS UNIT!D9"")"),"#N/A")</f>
        <v>#N/A</v>
      </c>
      <c r="H32260" s="4" t="str">
        <v/>
      </c>
      <c r="I32260" s="4" t="str">
        <v/>
      </c>
    </row>
    <row r="32261" spans="5:9" ht="16.5" hidden="1">
      <c r="E32261" s="4" t="str">
        <v/>
      </c>
      <c r="F32261" s="102" t="str">
        <f ca="1">IFERROR(__xludf.DUMMYFUNCTION("IMPORTRANGE(H32261,""IDENTITAS UNIT!D9"")"),"#N/A")</f>
        <v>#N/A</v>
      </c>
      <c r="H32261" s="4" t="str">
        <v/>
      </c>
      <c r="I32261" s="4" t="str">
        <v/>
      </c>
    </row>
    <row r="32262" spans="5:9" ht="16.5" hidden="1">
      <c r="E32262" s="4" t="str">
        <v/>
      </c>
      <c r="F32262" s="102" t="str">
        <f ca="1">IFERROR(__xludf.DUMMYFUNCTION("IMPORTRANGE(H32262,""IDENTITAS UNIT!D9"")"),"#N/A")</f>
        <v>#N/A</v>
      </c>
      <c r="H32262" s="4" t="str">
        <v/>
      </c>
      <c r="I32262" s="4" t="str">
        <v/>
      </c>
    </row>
    <row r="32263" spans="5:9" ht="16.5" hidden="1">
      <c r="E32263" s="4" t="str">
        <v/>
      </c>
      <c r="F32263" s="102" t="str">
        <f ca="1">IFERROR(__xludf.DUMMYFUNCTION("IMPORTRANGE(H32263,""IDENTITAS UNIT!D9"")"),"#N/A")</f>
        <v>#N/A</v>
      </c>
      <c r="H32263" s="4" t="str">
        <v/>
      </c>
      <c r="I32263" s="4" t="str">
        <v/>
      </c>
    </row>
    <row r="32264" spans="5:9" ht="16.5" hidden="1">
      <c r="E32264" s="4" t="str">
        <v/>
      </c>
      <c r="F32264" s="102" t="str">
        <f ca="1">IFERROR(__xludf.DUMMYFUNCTION("IMPORTRANGE(H32264,""IDENTITAS UNIT!D9"")"),"#N/A")</f>
        <v>#N/A</v>
      </c>
      <c r="H32264" s="4" t="str">
        <v/>
      </c>
      <c r="I32264" s="4" t="str">
        <v/>
      </c>
    </row>
    <row r="32265" spans="5:9" ht="16.5" hidden="1">
      <c r="E32265" s="4" t="str">
        <v/>
      </c>
      <c r="F32265" s="102" t="str">
        <f ca="1">IFERROR(__xludf.DUMMYFUNCTION("IMPORTRANGE(H32265,""IDENTITAS UNIT!D9"")"),"#N/A")</f>
        <v>#N/A</v>
      </c>
      <c r="H32265" s="4" t="str">
        <v/>
      </c>
      <c r="I32265" s="4" t="str">
        <v/>
      </c>
    </row>
    <row r="32266" spans="5:9" ht="16.5" hidden="1">
      <c r="E32266" s="4" t="str">
        <v/>
      </c>
      <c r="F32266" s="102" t="str">
        <f ca="1">IFERROR(__xludf.DUMMYFUNCTION("IMPORTRANGE(H32266,""IDENTITAS UNIT!D9"")"),"#N/A")</f>
        <v>#N/A</v>
      </c>
      <c r="H32266" s="4" t="str">
        <v/>
      </c>
      <c r="I32266" s="4" t="str">
        <v/>
      </c>
    </row>
    <row r="32267" spans="5:9" ht="16.5" hidden="1">
      <c r="E32267" s="4" t="str">
        <v/>
      </c>
      <c r="F32267" s="102" t="str">
        <f ca="1">IFERROR(__xludf.DUMMYFUNCTION("IMPORTRANGE(H32267,""IDENTITAS UNIT!D9"")"),"#N/A")</f>
        <v>#N/A</v>
      </c>
      <c r="H32267" s="4" t="str">
        <v/>
      </c>
      <c r="I32267" s="4" t="str">
        <v/>
      </c>
    </row>
    <row r="32268" spans="5:9" ht="16.5" hidden="1">
      <c r="E32268" s="4" t="str">
        <v/>
      </c>
      <c r="F32268" s="102" t="str">
        <f ca="1">IFERROR(__xludf.DUMMYFUNCTION("IMPORTRANGE(H32268,""IDENTITAS UNIT!D9"")"),"#N/A")</f>
        <v>#N/A</v>
      </c>
      <c r="H32268" s="4" t="str">
        <v/>
      </c>
      <c r="I32268" s="4" t="str">
        <v/>
      </c>
    </row>
    <row r="32269" spans="5:9" ht="16.5" hidden="1">
      <c r="E32269" s="4" t="str">
        <v/>
      </c>
      <c r="F32269" s="102" t="str">
        <f ca="1">IFERROR(__xludf.DUMMYFUNCTION("IMPORTRANGE(H32269,""IDENTITAS UNIT!D9"")"),"#N/A")</f>
        <v>#N/A</v>
      </c>
      <c r="H32269" s="4" t="str">
        <v/>
      </c>
      <c r="I32269" s="4" t="str">
        <v/>
      </c>
    </row>
    <row r="32270" spans="5:9" ht="16.5" hidden="1">
      <c r="E32270" s="4" t="str">
        <v/>
      </c>
      <c r="F32270" s="102" t="str">
        <f ca="1">IFERROR(__xludf.DUMMYFUNCTION("IMPORTRANGE(H32270,""IDENTITAS UNIT!D9"")"),"#N/A")</f>
        <v>#N/A</v>
      </c>
      <c r="H32270" s="4" t="str">
        <v/>
      </c>
      <c r="I32270" s="4" t="str">
        <v/>
      </c>
    </row>
    <row r="32271" spans="5:9" ht="16.5" hidden="1">
      <c r="E32271" s="4" t="str">
        <v/>
      </c>
      <c r="F32271" s="102" t="str">
        <f ca="1">IFERROR(__xludf.DUMMYFUNCTION("IMPORTRANGE(H32271,""IDENTITAS UNIT!D9"")"),"#N/A")</f>
        <v>#N/A</v>
      </c>
      <c r="H32271" s="4" t="str">
        <v/>
      </c>
      <c r="I32271" s="4" t="str">
        <v/>
      </c>
    </row>
    <row r="32272" spans="5:9" ht="16.5" hidden="1">
      <c r="E32272" s="4" t="str">
        <v/>
      </c>
      <c r="F32272" s="102" t="str">
        <f ca="1">IFERROR(__xludf.DUMMYFUNCTION("IMPORTRANGE(H32272,""IDENTITAS UNIT!D9"")"),"#N/A")</f>
        <v>#N/A</v>
      </c>
      <c r="H32272" s="4" t="str">
        <v/>
      </c>
      <c r="I32272" s="4" t="str">
        <v/>
      </c>
    </row>
    <row r="32273" spans="5:9" ht="16.5" hidden="1">
      <c r="E32273" s="4" t="str">
        <v/>
      </c>
      <c r="F32273" s="102" t="str">
        <f ca="1">IFERROR(__xludf.DUMMYFUNCTION("IMPORTRANGE(H32273,""IDENTITAS UNIT!D9"")"),"#N/A")</f>
        <v>#N/A</v>
      </c>
      <c r="H32273" s="4" t="str">
        <v/>
      </c>
      <c r="I32273" s="4" t="str">
        <v/>
      </c>
    </row>
    <row r="32274" spans="5:9" ht="16.5" hidden="1">
      <c r="E32274" s="4" t="str">
        <v/>
      </c>
      <c r="F32274" s="102" t="str">
        <f ca="1">IFERROR(__xludf.DUMMYFUNCTION("IMPORTRANGE(H32274,""IDENTITAS UNIT!D9"")"),"#N/A")</f>
        <v>#N/A</v>
      </c>
      <c r="H32274" s="4" t="str">
        <v/>
      </c>
      <c r="I32274" s="4" t="str">
        <v/>
      </c>
    </row>
    <row r="32275" spans="5:9" ht="16.5" hidden="1">
      <c r="E32275" s="4" t="str">
        <v/>
      </c>
      <c r="F32275" s="102" t="str">
        <f ca="1">IFERROR(__xludf.DUMMYFUNCTION("IMPORTRANGE(H32275,""IDENTITAS UNIT!D9"")"),"#N/A")</f>
        <v>#N/A</v>
      </c>
      <c r="H32275" s="4" t="str">
        <v/>
      </c>
      <c r="I32275" s="4" t="str">
        <v/>
      </c>
    </row>
    <row r="32276" spans="5:9" ht="16.5" hidden="1">
      <c r="E32276" s="4" t="str">
        <v/>
      </c>
      <c r="F32276" s="102" t="str">
        <f ca="1">IFERROR(__xludf.DUMMYFUNCTION("IMPORTRANGE(H32276,""IDENTITAS UNIT!D9"")"),"#N/A")</f>
        <v>#N/A</v>
      </c>
      <c r="H32276" s="4" t="str">
        <v/>
      </c>
      <c r="I32276" s="4" t="str">
        <v/>
      </c>
    </row>
    <row r="32277" spans="5:9" ht="16.5" hidden="1">
      <c r="E32277" s="4" t="str">
        <v/>
      </c>
      <c r="F32277" s="102" t="str">
        <f ca="1">IFERROR(__xludf.DUMMYFUNCTION("IMPORTRANGE(H32277,""IDENTITAS UNIT!D9"")"),"#N/A")</f>
        <v>#N/A</v>
      </c>
      <c r="H32277" s="4" t="str">
        <v/>
      </c>
      <c r="I32277" s="4" t="str">
        <v/>
      </c>
    </row>
    <row r="32278" spans="5:9" ht="16.5" hidden="1">
      <c r="E32278" s="4" t="str">
        <v/>
      </c>
      <c r="F32278" s="102" t="str">
        <f ca="1">IFERROR(__xludf.DUMMYFUNCTION("IMPORTRANGE(H32278,""IDENTITAS UNIT!D9"")"),"#N/A")</f>
        <v>#N/A</v>
      </c>
      <c r="H32278" s="4" t="str">
        <v/>
      </c>
      <c r="I32278" s="4" t="str">
        <v/>
      </c>
    </row>
    <row r="32279" spans="5:9" ht="16.5" hidden="1">
      <c r="E32279" s="4" t="str">
        <v/>
      </c>
      <c r="F32279" s="102" t="str">
        <f ca="1">IFERROR(__xludf.DUMMYFUNCTION("IMPORTRANGE(H32279,""IDENTITAS UNIT!D9"")"),"#N/A")</f>
        <v>#N/A</v>
      </c>
      <c r="H32279" s="4" t="str">
        <v/>
      </c>
      <c r="I32279" s="4" t="str">
        <v/>
      </c>
    </row>
    <row r="32280" spans="5:9" ht="16.5" hidden="1">
      <c r="E32280" s="4" t="str">
        <v/>
      </c>
      <c r="F32280" s="102" t="str">
        <f ca="1">IFERROR(__xludf.DUMMYFUNCTION("IMPORTRANGE(H32280,""IDENTITAS UNIT!D9"")"),"#N/A")</f>
        <v>#N/A</v>
      </c>
      <c r="H32280" s="4" t="str">
        <v/>
      </c>
      <c r="I32280" s="4" t="str">
        <v/>
      </c>
    </row>
    <row r="32281" spans="5:9" ht="16.5" hidden="1">
      <c r="E32281" s="4" t="str">
        <v/>
      </c>
      <c r="F32281" s="102" t="str">
        <f ca="1">IFERROR(__xludf.DUMMYFUNCTION("IMPORTRANGE(H32281,""IDENTITAS UNIT!D9"")"),"#N/A")</f>
        <v>#N/A</v>
      </c>
      <c r="H32281" s="4" t="str">
        <v/>
      </c>
      <c r="I32281" s="4" t="str">
        <v/>
      </c>
    </row>
    <row r="32282" spans="5:9" ht="16.5" hidden="1">
      <c r="E32282" s="4" t="str">
        <v/>
      </c>
      <c r="F32282" s="102" t="str">
        <f ca="1">IFERROR(__xludf.DUMMYFUNCTION("IMPORTRANGE(H32282,""IDENTITAS UNIT!D9"")"),"#N/A")</f>
        <v>#N/A</v>
      </c>
      <c r="H32282" s="4" t="str">
        <v/>
      </c>
      <c r="I32282" s="4" t="str">
        <v/>
      </c>
    </row>
    <row r="32283" spans="5:9" ht="16.5" hidden="1">
      <c r="E32283" s="4" t="str">
        <v/>
      </c>
      <c r="F32283" s="102" t="str">
        <f ca="1">IFERROR(__xludf.DUMMYFUNCTION("IMPORTRANGE(H32283,""IDENTITAS UNIT!D9"")"),"#N/A")</f>
        <v>#N/A</v>
      </c>
      <c r="H32283" s="4" t="str">
        <v/>
      </c>
      <c r="I32283" s="4" t="str">
        <v/>
      </c>
    </row>
    <row r="32284" spans="5:9" ht="16.5" hidden="1">
      <c r="E32284" s="4" t="str">
        <v/>
      </c>
      <c r="F32284" s="102" t="str">
        <f ca="1">IFERROR(__xludf.DUMMYFUNCTION("IMPORTRANGE(H32284,""IDENTITAS UNIT!D9"")"),"#N/A")</f>
        <v>#N/A</v>
      </c>
      <c r="H32284" s="4" t="str">
        <v/>
      </c>
      <c r="I32284" s="4" t="str">
        <v/>
      </c>
    </row>
    <row r="32285" spans="5:9" ht="16.5" hidden="1">
      <c r="E32285" s="4" t="str">
        <v/>
      </c>
      <c r="F32285" s="102" t="str">
        <f ca="1">IFERROR(__xludf.DUMMYFUNCTION("IMPORTRANGE(H32285,""IDENTITAS UNIT!D9"")"),"#N/A")</f>
        <v>#N/A</v>
      </c>
      <c r="H32285" s="4" t="str">
        <v/>
      </c>
      <c r="I32285" s="4" t="str">
        <v/>
      </c>
    </row>
    <row r="32286" spans="5:9" ht="16.5" hidden="1">
      <c r="E32286" s="4" t="str">
        <v/>
      </c>
      <c r="F32286" s="102" t="str">
        <f ca="1">IFERROR(__xludf.DUMMYFUNCTION("IMPORTRANGE(H32286,""IDENTITAS UNIT!D9"")"),"#N/A")</f>
        <v>#N/A</v>
      </c>
      <c r="H32286" s="4" t="str">
        <v/>
      </c>
      <c r="I32286" s="4" t="str">
        <v/>
      </c>
    </row>
    <row r="32287" spans="5:9" ht="16.5" hidden="1">
      <c r="E32287" s="4" t="str">
        <v/>
      </c>
      <c r="F32287" s="102" t="str">
        <f ca="1">IFERROR(__xludf.DUMMYFUNCTION("IMPORTRANGE(H32287,""IDENTITAS UNIT!D9"")"),"#N/A")</f>
        <v>#N/A</v>
      </c>
      <c r="H32287" s="4" t="str">
        <v/>
      </c>
      <c r="I32287" s="4" t="str">
        <v/>
      </c>
    </row>
    <row r="32288" spans="5:9" ht="16.5" hidden="1">
      <c r="E32288" s="4" t="str">
        <v/>
      </c>
      <c r="F32288" s="102" t="str">
        <f ca="1">IFERROR(__xludf.DUMMYFUNCTION("IMPORTRANGE(H32288,""IDENTITAS UNIT!D9"")"),"#N/A")</f>
        <v>#N/A</v>
      </c>
      <c r="H32288" s="4" t="str">
        <v/>
      </c>
      <c r="I32288" s="4" t="str">
        <v/>
      </c>
    </row>
    <row r="32289" spans="5:9" ht="16.5" hidden="1">
      <c r="E32289" s="4" t="str">
        <v/>
      </c>
      <c r="F32289" s="102" t="str">
        <f ca="1">IFERROR(__xludf.DUMMYFUNCTION("IMPORTRANGE(H32289,""IDENTITAS UNIT!D9"")"),"#N/A")</f>
        <v>#N/A</v>
      </c>
      <c r="H32289" s="4" t="str">
        <v/>
      </c>
      <c r="I32289" s="4" t="str">
        <v/>
      </c>
    </row>
    <row r="32290" spans="5:9" ht="16.5" hidden="1">
      <c r="E32290" s="4" t="str">
        <v/>
      </c>
      <c r="F32290" s="102" t="str">
        <f ca="1">IFERROR(__xludf.DUMMYFUNCTION("IMPORTRANGE(H32290,""IDENTITAS UNIT!D9"")"),"#N/A")</f>
        <v>#N/A</v>
      </c>
      <c r="H32290" s="4" t="str">
        <v/>
      </c>
      <c r="I32290" s="4" t="str">
        <v/>
      </c>
    </row>
    <row r="32291" spans="5:9" ht="16.5" hidden="1">
      <c r="E32291" s="4" t="str">
        <v/>
      </c>
      <c r="F32291" s="102" t="str">
        <f ca="1">IFERROR(__xludf.DUMMYFUNCTION("IMPORTRANGE(H32291,""IDENTITAS UNIT!D9"")"),"#N/A")</f>
        <v>#N/A</v>
      </c>
      <c r="H32291" s="4" t="str">
        <v/>
      </c>
      <c r="I32291" s="4" t="str">
        <v/>
      </c>
    </row>
    <row r="32292" spans="5:9" ht="16.5" hidden="1">
      <c r="E32292" s="4" t="str">
        <v/>
      </c>
      <c r="F32292" s="102" t="str">
        <f ca="1">IFERROR(__xludf.DUMMYFUNCTION("IMPORTRANGE(H32292,""IDENTITAS UNIT!D9"")"),"#N/A")</f>
        <v>#N/A</v>
      </c>
      <c r="H32292" s="4" t="str">
        <v/>
      </c>
      <c r="I32292" s="4" t="str">
        <v/>
      </c>
    </row>
    <row r="32293" spans="5:9" ht="16.5" hidden="1">
      <c r="E32293" s="4" t="str">
        <v/>
      </c>
      <c r="F32293" s="102" t="str">
        <f ca="1">IFERROR(__xludf.DUMMYFUNCTION("IMPORTRANGE(H32293,""IDENTITAS UNIT!D9"")"),"#N/A")</f>
        <v>#N/A</v>
      </c>
      <c r="H32293" s="4" t="str">
        <v/>
      </c>
      <c r="I32293" s="4" t="str">
        <v/>
      </c>
    </row>
    <row r="32294" spans="5:9" ht="16.5" hidden="1">
      <c r="E32294" s="4" t="str">
        <v/>
      </c>
      <c r="F32294" s="102" t="str">
        <f ca="1">IFERROR(__xludf.DUMMYFUNCTION("IMPORTRANGE(H32294,""IDENTITAS UNIT!D9"")"),"#N/A")</f>
        <v>#N/A</v>
      </c>
      <c r="H32294" s="4" t="str">
        <v/>
      </c>
      <c r="I32294" s="4" t="str">
        <v/>
      </c>
    </row>
    <row r="32295" spans="5:9" ht="16.5" hidden="1">
      <c r="E32295" s="4" t="str">
        <v/>
      </c>
      <c r="F32295" s="102" t="str">
        <f ca="1">IFERROR(__xludf.DUMMYFUNCTION("IMPORTRANGE(H32295,""IDENTITAS UNIT!D9"")"),"#N/A")</f>
        <v>#N/A</v>
      </c>
      <c r="H32295" s="4" t="str">
        <v/>
      </c>
      <c r="I32295" s="4" t="str">
        <v/>
      </c>
    </row>
    <row r="32296" spans="5:9" ht="16.5" hidden="1">
      <c r="E32296" s="4" t="str">
        <v/>
      </c>
      <c r="F32296" s="102" t="str">
        <f ca="1">IFERROR(__xludf.DUMMYFUNCTION("IMPORTRANGE(H32296,""IDENTITAS UNIT!D9"")"),"#N/A")</f>
        <v>#N/A</v>
      </c>
      <c r="H32296" s="4" t="str">
        <v/>
      </c>
      <c r="I32296" s="4" t="str">
        <v/>
      </c>
    </row>
    <row r="32297" spans="5:9" ht="16.5" hidden="1">
      <c r="E32297" s="4" t="str">
        <v/>
      </c>
      <c r="F32297" s="102" t="str">
        <f ca="1">IFERROR(__xludf.DUMMYFUNCTION("IMPORTRANGE(H32297,""IDENTITAS UNIT!D9"")"),"#N/A")</f>
        <v>#N/A</v>
      </c>
      <c r="H32297" s="4" t="str">
        <v/>
      </c>
      <c r="I32297" s="4" t="str">
        <v/>
      </c>
    </row>
    <row r="32298" spans="5:9" ht="16.5" hidden="1">
      <c r="E32298" s="4" t="str">
        <v/>
      </c>
      <c r="F32298" s="102" t="str">
        <f ca="1">IFERROR(__xludf.DUMMYFUNCTION("IMPORTRANGE(H32298,""IDENTITAS UNIT!D9"")"),"#N/A")</f>
        <v>#N/A</v>
      </c>
      <c r="H32298" s="4" t="str">
        <v/>
      </c>
      <c r="I32298" s="4" t="str">
        <v/>
      </c>
    </row>
    <row r="32299" spans="5:9" ht="16.5" hidden="1">
      <c r="E32299" s="4" t="str">
        <v/>
      </c>
      <c r="F32299" s="102" t="str">
        <f ca="1">IFERROR(__xludf.DUMMYFUNCTION("IMPORTRANGE(H32299,""IDENTITAS UNIT!D9"")"),"#N/A")</f>
        <v>#N/A</v>
      </c>
      <c r="H32299" s="4" t="str">
        <v/>
      </c>
      <c r="I32299" s="4" t="str">
        <v/>
      </c>
    </row>
    <row r="32300" spans="5:9" ht="16.5" hidden="1">
      <c r="E32300" s="4" t="str">
        <v/>
      </c>
      <c r="F32300" s="102" t="str">
        <f ca="1">IFERROR(__xludf.DUMMYFUNCTION("IMPORTRANGE(H32300,""IDENTITAS UNIT!D9"")"),"#N/A")</f>
        <v>#N/A</v>
      </c>
      <c r="H32300" s="4" t="str">
        <v/>
      </c>
      <c r="I32300" s="4" t="str">
        <v/>
      </c>
    </row>
    <row r="32301" spans="5:9" ht="16.5" hidden="1">
      <c r="E32301" s="4" t="str">
        <v/>
      </c>
      <c r="F32301" s="102" t="str">
        <f ca="1">IFERROR(__xludf.DUMMYFUNCTION("IMPORTRANGE(H32301,""IDENTITAS UNIT!D9"")"),"#N/A")</f>
        <v>#N/A</v>
      </c>
      <c r="H32301" s="4" t="str">
        <v/>
      </c>
      <c r="I32301" s="4" t="str">
        <v/>
      </c>
    </row>
    <row r="32302" spans="5:9" ht="16.5" hidden="1">
      <c r="E32302" s="4" t="str">
        <v/>
      </c>
      <c r="F32302" s="102" t="str">
        <f ca="1">IFERROR(__xludf.DUMMYFUNCTION("IMPORTRANGE(H32302,""IDENTITAS UNIT!D9"")"),"#N/A")</f>
        <v>#N/A</v>
      </c>
      <c r="H32302" s="4" t="str">
        <v/>
      </c>
      <c r="I32302" s="4" t="str">
        <v/>
      </c>
    </row>
    <row r="32303" spans="5:9" ht="16.5" hidden="1">
      <c r="E32303" s="4" t="str">
        <v/>
      </c>
      <c r="F32303" s="102" t="str">
        <f ca="1">IFERROR(__xludf.DUMMYFUNCTION("IMPORTRANGE(H32303,""IDENTITAS UNIT!D9"")"),"#N/A")</f>
        <v>#N/A</v>
      </c>
      <c r="H32303" s="4" t="str">
        <v/>
      </c>
      <c r="I32303" s="4" t="str">
        <v/>
      </c>
    </row>
    <row r="32304" spans="5:9" ht="16.5" hidden="1">
      <c r="E32304" s="4" t="str">
        <v/>
      </c>
      <c r="F32304" s="102" t="str">
        <f ca="1">IFERROR(__xludf.DUMMYFUNCTION("IMPORTRANGE(H32304,""IDENTITAS UNIT!D9"")"),"#N/A")</f>
        <v>#N/A</v>
      </c>
      <c r="H32304" s="4" t="str">
        <v/>
      </c>
      <c r="I32304" s="4" t="str">
        <v/>
      </c>
    </row>
    <row r="32305" spans="5:9" ht="16.5" hidden="1">
      <c r="E32305" s="4" t="str">
        <v/>
      </c>
      <c r="F32305" s="102" t="str">
        <f ca="1">IFERROR(__xludf.DUMMYFUNCTION("IMPORTRANGE(H32305,""IDENTITAS UNIT!D9"")"),"#N/A")</f>
        <v>#N/A</v>
      </c>
      <c r="H32305" s="4" t="str">
        <v/>
      </c>
      <c r="I32305" s="4" t="str">
        <v/>
      </c>
    </row>
    <row r="32306" spans="5:9" ht="16.5" hidden="1">
      <c r="E32306" s="4" t="str">
        <v/>
      </c>
      <c r="F32306" s="102" t="str">
        <f ca="1">IFERROR(__xludf.DUMMYFUNCTION("IMPORTRANGE(H32306,""IDENTITAS UNIT!D9"")"),"#N/A")</f>
        <v>#N/A</v>
      </c>
      <c r="H32306" s="4" t="str">
        <v/>
      </c>
      <c r="I32306" s="4" t="str">
        <v/>
      </c>
    </row>
    <row r="32307" spans="5:9" ht="16.5" hidden="1">
      <c r="E32307" s="4" t="str">
        <v/>
      </c>
      <c r="F32307" s="102" t="str">
        <f ca="1">IFERROR(__xludf.DUMMYFUNCTION("IMPORTRANGE(H32307,""IDENTITAS UNIT!D9"")"),"#N/A")</f>
        <v>#N/A</v>
      </c>
      <c r="H32307" s="4" t="str">
        <v/>
      </c>
      <c r="I32307" s="4" t="str">
        <v/>
      </c>
    </row>
    <row r="32308" spans="5:9" ht="16.5" hidden="1">
      <c r="E32308" s="4" t="str">
        <v/>
      </c>
      <c r="F32308" s="102" t="str">
        <f ca="1">IFERROR(__xludf.DUMMYFUNCTION("IMPORTRANGE(H32308,""IDENTITAS UNIT!D9"")"),"#N/A")</f>
        <v>#N/A</v>
      </c>
      <c r="H32308" s="4" t="str">
        <v/>
      </c>
      <c r="I32308" s="4" t="str">
        <v/>
      </c>
    </row>
    <row r="32309" spans="5:9" ht="16.5" hidden="1">
      <c r="E32309" s="4" t="str">
        <v/>
      </c>
      <c r="F32309" s="102" t="str">
        <f ca="1">IFERROR(__xludf.DUMMYFUNCTION("IMPORTRANGE(H32309,""IDENTITAS UNIT!D9"")"),"#N/A")</f>
        <v>#N/A</v>
      </c>
      <c r="H32309" s="4" t="str">
        <v/>
      </c>
      <c r="I32309" s="4" t="str">
        <v/>
      </c>
    </row>
    <row r="32310" spans="5:9" ht="16.5" hidden="1">
      <c r="E32310" s="4" t="str">
        <v/>
      </c>
      <c r="F32310" s="102" t="str">
        <f ca="1">IFERROR(__xludf.DUMMYFUNCTION("IMPORTRANGE(H32310,""IDENTITAS UNIT!D9"")"),"#N/A")</f>
        <v>#N/A</v>
      </c>
      <c r="H32310" s="4" t="str">
        <v/>
      </c>
      <c r="I32310" s="4" t="str">
        <v/>
      </c>
    </row>
    <row r="32311" spans="5:9" ht="16.5" hidden="1">
      <c r="E32311" s="4" t="str">
        <v/>
      </c>
      <c r="F32311" s="102" t="str">
        <f ca="1">IFERROR(__xludf.DUMMYFUNCTION("IMPORTRANGE(H32311,""IDENTITAS UNIT!D9"")"),"#N/A")</f>
        <v>#N/A</v>
      </c>
      <c r="H32311" s="4" t="str">
        <v/>
      </c>
      <c r="I32311" s="4" t="str">
        <v/>
      </c>
    </row>
    <row r="32312" spans="5:9" ht="16.5" hidden="1">
      <c r="E32312" s="4" t="str">
        <v/>
      </c>
      <c r="F32312" s="102" t="str">
        <f ca="1">IFERROR(__xludf.DUMMYFUNCTION("IMPORTRANGE(H32312,""IDENTITAS UNIT!D9"")"),"#N/A")</f>
        <v>#N/A</v>
      </c>
      <c r="H32312" s="4" t="str">
        <v/>
      </c>
      <c r="I32312" s="4" t="str">
        <v/>
      </c>
    </row>
    <row r="32313" spans="5:9" ht="16.5" hidden="1">
      <c r="E32313" s="4" t="str">
        <v/>
      </c>
      <c r="F32313" s="102" t="str">
        <f ca="1">IFERROR(__xludf.DUMMYFUNCTION("IMPORTRANGE(H32313,""IDENTITAS UNIT!D9"")"),"#N/A")</f>
        <v>#N/A</v>
      </c>
      <c r="H32313" s="4" t="str">
        <v/>
      </c>
      <c r="I32313" s="4" t="str">
        <v/>
      </c>
    </row>
    <row r="32314" spans="5:9" ht="16.5" hidden="1">
      <c r="E32314" s="4" t="str">
        <v/>
      </c>
      <c r="F32314" s="102" t="str">
        <f ca="1">IFERROR(__xludf.DUMMYFUNCTION("IMPORTRANGE(H32314,""IDENTITAS UNIT!D9"")"),"#N/A")</f>
        <v>#N/A</v>
      </c>
      <c r="H32314" s="4" t="str">
        <v/>
      </c>
      <c r="I32314" s="4" t="str">
        <v/>
      </c>
    </row>
    <row r="32315" spans="5:9" ht="16.5" hidden="1">
      <c r="E32315" s="4" t="str">
        <v/>
      </c>
      <c r="F32315" s="102" t="str">
        <f ca="1">IFERROR(__xludf.DUMMYFUNCTION("IMPORTRANGE(H32315,""IDENTITAS UNIT!D9"")"),"#N/A")</f>
        <v>#N/A</v>
      </c>
      <c r="H32315" s="4" t="str">
        <v/>
      </c>
      <c r="I32315" s="4" t="str">
        <v/>
      </c>
    </row>
    <row r="32316" spans="5:9" ht="16.5" hidden="1">
      <c r="E32316" s="4" t="str">
        <v/>
      </c>
      <c r="F32316" s="102" t="str">
        <f ca="1">IFERROR(__xludf.DUMMYFUNCTION("IMPORTRANGE(H32316,""IDENTITAS UNIT!D9"")"),"#N/A")</f>
        <v>#N/A</v>
      </c>
      <c r="H32316" s="4" t="str">
        <v/>
      </c>
      <c r="I32316" s="4" t="str">
        <v/>
      </c>
    </row>
    <row r="32317" spans="5:9" ht="16.5" hidden="1">
      <c r="E32317" s="4" t="str">
        <v/>
      </c>
      <c r="F32317" s="102" t="str">
        <f ca="1">IFERROR(__xludf.DUMMYFUNCTION("IMPORTRANGE(H32317,""IDENTITAS UNIT!D9"")"),"#N/A")</f>
        <v>#N/A</v>
      </c>
      <c r="H32317" s="4" t="str">
        <v/>
      </c>
      <c r="I32317" s="4" t="str">
        <v/>
      </c>
    </row>
    <row r="32318" spans="5:9" ht="16.5" hidden="1">
      <c r="E32318" s="4" t="str">
        <v/>
      </c>
      <c r="F32318" s="102" t="str">
        <f ca="1">IFERROR(__xludf.DUMMYFUNCTION("IMPORTRANGE(H32318,""IDENTITAS UNIT!D9"")"),"#N/A")</f>
        <v>#N/A</v>
      </c>
      <c r="H32318" s="4" t="str">
        <v/>
      </c>
      <c r="I32318" s="4" t="str">
        <v/>
      </c>
    </row>
    <row r="32319" spans="5:9" ht="16.5" hidden="1">
      <c r="E32319" s="4" t="str">
        <v/>
      </c>
      <c r="F32319" s="102" t="str">
        <f ca="1">IFERROR(__xludf.DUMMYFUNCTION("IMPORTRANGE(H32319,""IDENTITAS UNIT!D9"")"),"#N/A")</f>
        <v>#N/A</v>
      </c>
      <c r="H32319" s="4" t="str">
        <v/>
      </c>
      <c r="I32319" s="4" t="str">
        <v/>
      </c>
    </row>
    <row r="32320" spans="5:9" ht="16.5" hidden="1">
      <c r="E32320" s="4" t="str">
        <v/>
      </c>
      <c r="F32320" s="102" t="str">
        <f ca="1">IFERROR(__xludf.DUMMYFUNCTION("IMPORTRANGE(H32320,""IDENTITAS UNIT!D9"")"),"#N/A")</f>
        <v>#N/A</v>
      </c>
      <c r="H32320" s="4" t="str">
        <v/>
      </c>
      <c r="I32320" s="4" t="str">
        <v/>
      </c>
    </row>
    <row r="32321" spans="5:9" ht="16.5" hidden="1">
      <c r="E32321" s="4" t="str">
        <v/>
      </c>
      <c r="F32321" s="102" t="str">
        <f ca="1">IFERROR(__xludf.DUMMYFUNCTION("IMPORTRANGE(H32321,""IDENTITAS UNIT!D9"")"),"#N/A")</f>
        <v>#N/A</v>
      </c>
      <c r="H32321" s="4" t="str">
        <v/>
      </c>
      <c r="I32321" s="4" t="str">
        <v/>
      </c>
    </row>
    <row r="32322" spans="5:9" ht="16.5" hidden="1">
      <c r="E32322" s="4" t="str">
        <v/>
      </c>
      <c r="F32322" s="102" t="str">
        <f ca="1">IFERROR(__xludf.DUMMYFUNCTION("IMPORTRANGE(H32322,""IDENTITAS UNIT!D9"")"),"#N/A")</f>
        <v>#N/A</v>
      </c>
      <c r="H32322" s="4" t="str">
        <v/>
      </c>
      <c r="I32322" s="4" t="str">
        <v/>
      </c>
    </row>
    <row r="32323" spans="5:9" ht="16.5" hidden="1">
      <c r="E32323" s="4" t="str">
        <v/>
      </c>
      <c r="F32323" s="102" t="str">
        <f ca="1">IFERROR(__xludf.DUMMYFUNCTION("IMPORTRANGE(H32323,""IDENTITAS UNIT!D9"")"),"#N/A")</f>
        <v>#N/A</v>
      </c>
      <c r="H32323" s="4" t="str">
        <v/>
      </c>
      <c r="I32323" s="4" t="str">
        <v/>
      </c>
    </row>
    <row r="32324" spans="5:9" ht="16.5" hidden="1">
      <c r="E32324" s="4" t="str">
        <v/>
      </c>
      <c r="F32324" s="102" t="str">
        <f ca="1">IFERROR(__xludf.DUMMYFUNCTION("IMPORTRANGE(H32324,""IDENTITAS UNIT!D9"")"),"#N/A")</f>
        <v>#N/A</v>
      </c>
      <c r="H32324" s="4" t="str">
        <v/>
      </c>
      <c r="I32324" s="4" t="str">
        <v/>
      </c>
    </row>
    <row r="32325" spans="5:9" ht="16.5" hidden="1">
      <c r="E32325" s="4" t="str">
        <v/>
      </c>
      <c r="F32325" s="102" t="str">
        <f ca="1">IFERROR(__xludf.DUMMYFUNCTION("IMPORTRANGE(H32325,""IDENTITAS UNIT!D9"")"),"#N/A")</f>
        <v>#N/A</v>
      </c>
      <c r="H32325" s="4" t="str">
        <v/>
      </c>
      <c r="I32325" s="4" t="str">
        <v/>
      </c>
    </row>
    <row r="32326" spans="5:9" ht="16.5" hidden="1">
      <c r="E32326" s="4" t="str">
        <v/>
      </c>
      <c r="F32326" s="102" t="str">
        <f ca="1">IFERROR(__xludf.DUMMYFUNCTION("IMPORTRANGE(H32326,""IDENTITAS UNIT!D9"")"),"#N/A")</f>
        <v>#N/A</v>
      </c>
      <c r="H32326" s="4" t="str">
        <v/>
      </c>
      <c r="I32326" s="4" t="str">
        <v/>
      </c>
    </row>
    <row r="32327" spans="5:9" ht="16.5" hidden="1">
      <c r="E32327" s="4" t="str">
        <v/>
      </c>
      <c r="F32327" s="102" t="str">
        <f ca="1">IFERROR(__xludf.DUMMYFUNCTION("IMPORTRANGE(H32327,""IDENTITAS UNIT!D9"")"),"#N/A")</f>
        <v>#N/A</v>
      </c>
      <c r="H32327" s="4" t="str">
        <v/>
      </c>
      <c r="I32327" s="4" t="str">
        <v/>
      </c>
    </row>
    <row r="32328" spans="5:9" ht="16.5" hidden="1">
      <c r="E32328" s="4" t="str">
        <v/>
      </c>
      <c r="F32328" s="102" t="str">
        <f ca="1">IFERROR(__xludf.DUMMYFUNCTION("IMPORTRANGE(H32328,""IDENTITAS UNIT!D9"")"),"#N/A")</f>
        <v>#N/A</v>
      </c>
      <c r="H32328" s="4" t="str">
        <v/>
      </c>
      <c r="I32328" s="4" t="str">
        <v/>
      </c>
    </row>
    <row r="32329" spans="5:9" ht="16.5" hidden="1">
      <c r="E32329" s="4" t="str">
        <v/>
      </c>
      <c r="F32329" s="102" t="str">
        <f ca="1">IFERROR(__xludf.DUMMYFUNCTION("IMPORTRANGE(H32329,""IDENTITAS UNIT!D9"")"),"#N/A")</f>
        <v>#N/A</v>
      </c>
      <c r="H32329" s="4" t="str">
        <v/>
      </c>
      <c r="I32329" s="4" t="str">
        <v/>
      </c>
    </row>
    <row r="32330" spans="5:9" ht="16.5" hidden="1">
      <c r="E32330" s="4" t="str">
        <v/>
      </c>
      <c r="F32330" s="102" t="str">
        <f ca="1">IFERROR(__xludf.DUMMYFUNCTION("IMPORTRANGE(H32330,""IDENTITAS UNIT!D9"")"),"#N/A")</f>
        <v>#N/A</v>
      </c>
      <c r="H32330" s="4" t="str">
        <v/>
      </c>
      <c r="I32330" s="4" t="str">
        <v/>
      </c>
    </row>
    <row r="32331" spans="5:9" ht="16.5" hidden="1">
      <c r="E32331" s="4" t="str">
        <v/>
      </c>
      <c r="F32331" s="102" t="str">
        <f ca="1">IFERROR(__xludf.DUMMYFUNCTION("IMPORTRANGE(H32331,""IDENTITAS UNIT!D9"")"),"#N/A")</f>
        <v>#N/A</v>
      </c>
      <c r="H32331" s="4" t="str">
        <v/>
      </c>
      <c r="I32331" s="4" t="str">
        <v/>
      </c>
    </row>
    <row r="32332" spans="5:9" ht="16.5" hidden="1">
      <c r="E32332" s="4" t="str">
        <v/>
      </c>
      <c r="F32332" s="102" t="str">
        <f ca="1">IFERROR(__xludf.DUMMYFUNCTION("IMPORTRANGE(H32332,""IDENTITAS UNIT!D9"")"),"#N/A")</f>
        <v>#N/A</v>
      </c>
      <c r="H32332" s="4" t="str">
        <v/>
      </c>
      <c r="I32332" s="4" t="str">
        <v/>
      </c>
    </row>
    <row r="32333" spans="5:9" ht="16.5" hidden="1">
      <c r="E32333" s="4" t="str">
        <v/>
      </c>
      <c r="F32333" s="102" t="str">
        <f ca="1">IFERROR(__xludf.DUMMYFUNCTION("IMPORTRANGE(H32333,""IDENTITAS UNIT!D9"")"),"#N/A")</f>
        <v>#N/A</v>
      </c>
      <c r="H32333" s="4" t="str">
        <v/>
      </c>
      <c r="I32333" s="4" t="str">
        <v/>
      </c>
    </row>
    <row r="32334" spans="5:9" ht="16.5" hidden="1">
      <c r="E32334" s="4" t="str">
        <v/>
      </c>
      <c r="F32334" s="102" t="str">
        <f ca="1">IFERROR(__xludf.DUMMYFUNCTION("IMPORTRANGE(H32334,""IDENTITAS UNIT!D9"")"),"#N/A")</f>
        <v>#N/A</v>
      </c>
      <c r="H32334" s="4" t="str">
        <v/>
      </c>
      <c r="I32334" s="4" t="str">
        <v/>
      </c>
    </row>
    <row r="32335" spans="5:9" ht="16.5" hidden="1">
      <c r="E32335" s="4" t="str">
        <v/>
      </c>
      <c r="F32335" s="102" t="str">
        <f ca="1">IFERROR(__xludf.DUMMYFUNCTION("IMPORTRANGE(H32335,""IDENTITAS UNIT!D9"")"),"#N/A")</f>
        <v>#N/A</v>
      </c>
      <c r="H32335" s="4" t="str">
        <v/>
      </c>
      <c r="I32335" s="4" t="str">
        <v/>
      </c>
    </row>
    <row r="32336" spans="5:9" ht="16.5" hidden="1">
      <c r="E32336" s="4" t="str">
        <v/>
      </c>
      <c r="F32336" s="102" t="str">
        <f ca="1">IFERROR(__xludf.DUMMYFUNCTION("IMPORTRANGE(H32336,""IDENTITAS UNIT!D9"")"),"#N/A")</f>
        <v>#N/A</v>
      </c>
      <c r="H32336" s="4" t="str">
        <v/>
      </c>
      <c r="I32336" s="4" t="str">
        <v/>
      </c>
    </row>
    <row r="32337" spans="5:9" ht="16.5" hidden="1">
      <c r="E32337" s="4" t="str">
        <v/>
      </c>
      <c r="F32337" s="102" t="str">
        <f ca="1">IFERROR(__xludf.DUMMYFUNCTION("IMPORTRANGE(H32337,""IDENTITAS UNIT!D9"")"),"#N/A")</f>
        <v>#N/A</v>
      </c>
      <c r="H32337" s="4" t="str">
        <v/>
      </c>
      <c r="I32337" s="4" t="str">
        <v/>
      </c>
    </row>
    <row r="32338" spans="5:9" ht="16.5" hidden="1">
      <c r="E32338" s="4" t="str">
        <v/>
      </c>
      <c r="F32338" s="102" t="str">
        <f ca="1">IFERROR(__xludf.DUMMYFUNCTION("IMPORTRANGE(H32338,""IDENTITAS UNIT!D9"")"),"#N/A")</f>
        <v>#N/A</v>
      </c>
      <c r="H32338" s="4" t="str">
        <v/>
      </c>
      <c r="I32338" s="4" t="str">
        <v/>
      </c>
    </row>
    <row r="32339" spans="5:9" ht="16.5" hidden="1">
      <c r="E32339" s="4" t="str">
        <v/>
      </c>
      <c r="F32339" s="102" t="str">
        <f ca="1">IFERROR(__xludf.DUMMYFUNCTION("IMPORTRANGE(H32339,""IDENTITAS UNIT!D9"")"),"#N/A")</f>
        <v>#N/A</v>
      </c>
      <c r="H32339" s="4" t="str">
        <v/>
      </c>
      <c r="I32339" s="4" t="str">
        <v/>
      </c>
    </row>
    <row r="32340" spans="5:9" ht="16.5" hidden="1">
      <c r="E32340" s="4" t="str">
        <v/>
      </c>
      <c r="F32340" s="102" t="str">
        <f ca="1">IFERROR(__xludf.DUMMYFUNCTION("IMPORTRANGE(H32340,""IDENTITAS UNIT!D9"")"),"#N/A")</f>
        <v>#N/A</v>
      </c>
      <c r="H32340" s="4" t="str">
        <v/>
      </c>
      <c r="I32340" s="4" t="str">
        <v/>
      </c>
    </row>
    <row r="32341" spans="5:9" ht="16.5" hidden="1">
      <c r="E32341" s="4" t="str">
        <v/>
      </c>
      <c r="F32341" s="102" t="str">
        <f ca="1">IFERROR(__xludf.DUMMYFUNCTION("IMPORTRANGE(H32341,""IDENTITAS UNIT!D9"")"),"#N/A")</f>
        <v>#N/A</v>
      </c>
      <c r="H32341" s="4" t="str">
        <v/>
      </c>
      <c r="I32341" s="4" t="str">
        <v/>
      </c>
    </row>
    <row r="32342" spans="5:9" ht="16.5" hidden="1">
      <c r="E32342" s="4" t="str">
        <v/>
      </c>
      <c r="F32342" s="102" t="str">
        <f ca="1">IFERROR(__xludf.DUMMYFUNCTION("IMPORTRANGE(H32342,""IDENTITAS UNIT!D9"")"),"#N/A")</f>
        <v>#N/A</v>
      </c>
      <c r="H32342" s="4" t="str">
        <v/>
      </c>
      <c r="I32342" s="4" t="str">
        <v/>
      </c>
    </row>
    <row r="32343" spans="5:9" ht="16.5" hidden="1">
      <c r="E32343" s="4" t="str">
        <v/>
      </c>
      <c r="F32343" s="102" t="str">
        <f ca="1">IFERROR(__xludf.DUMMYFUNCTION("IMPORTRANGE(H32343,""IDENTITAS UNIT!D9"")"),"#N/A")</f>
        <v>#N/A</v>
      </c>
      <c r="H32343" s="4" t="str">
        <v/>
      </c>
      <c r="I32343" s="4" t="str">
        <v/>
      </c>
    </row>
    <row r="32344" spans="5:9" ht="16.5" hidden="1">
      <c r="E32344" s="4" t="str">
        <v/>
      </c>
      <c r="F32344" s="102" t="str">
        <f ca="1">IFERROR(__xludf.DUMMYFUNCTION("IMPORTRANGE(H32344,""IDENTITAS UNIT!D9"")"),"#N/A")</f>
        <v>#N/A</v>
      </c>
      <c r="H32344" s="4" t="str">
        <v/>
      </c>
      <c r="I32344" s="4" t="str">
        <v/>
      </c>
    </row>
    <row r="32345" spans="5:9" ht="16.5" hidden="1">
      <c r="E32345" s="4" t="str">
        <v/>
      </c>
      <c r="F32345" s="102" t="str">
        <f ca="1">IFERROR(__xludf.DUMMYFUNCTION("IMPORTRANGE(H32345,""IDENTITAS UNIT!D9"")"),"#N/A")</f>
        <v>#N/A</v>
      </c>
      <c r="H32345" s="4" t="str">
        <v/>
      </c>
      <c r="I32345" s="4" t="str">
        <v/>
      </c>
    </row>
    <row r="32346" spans="5:9" ht="16.5" hidden="1">
      <c r="E32346" s="4" t="str">
        <v/>
      </c>
      <c r="F32346" s="102" t="str">
        <f ca="1">IFERROR(__xludf.DUMMYFUNCTION("IMPORTRANGE(H32346,""IDENTITAS UNIT!D9"")"),"#N/A")</f>
        <v>#N/A</v>
      </c>
      <c r="H32346" s="4" t="str">
        <v/>
      </c>
      <c r="I32346" s="4" t="str">
        <v/>
      </c>
    </row>
    <row r="32347" spans="5:9" ht="16.5" hidden="1">
      <c r="E32347" s="4" t="str">
        <v/>
      </c>
      <c r="F32347" s="102" t="str">
        <f ca="1">IFERROR(__xludf.DUMMYFUNCTION("IMPORTRANGE(H32347,""IDENTITAS UNIT!D9"")"),"#N/A")</f>
        <v>#N/A</v>
      </c>
      <c r="H32347" s="4" t="str">
        <v/>
      </c>
      <c r="I32347" s="4" t="str">
        <v/>
      </c>
    </row>
    <row r="32348" spans="5:9" ht="16.5" hidden="1">
      <c r="E32348" s="4" t="str">
        <v/>
      </c>
      <c r="F32348" s="102" t="str">
        <f ca="1">IFERROR(__xludf.DUMMYFUNCTION("IMPORTRANGE(H32348,""IDENTITAS UNIT!D9"")"),"#N/A")</f>
        <v>#N/A</v>
      </c>
      <c r="H32348" s="4" t="str">
        <v/>
      </c>
      <c r="I32348" s="4" t="str">
        <v/>
      </c>
    </row>
    <row r="32349" spans="5:9" ht="16.5" hidden="1">
      <c r="E32349" s="4" t="str">
        <v/>
      </c>
      <c r="F32349" s="102" t="str">
        <f ca="1">IFERROR(__xludf.DUMMYFUNCTION("IMPORTRANGE(H32349,""IDENTITAS UNIT!D9"")"),"#N/A")</f>
        <v>#N/A</v>
      </c>
      <c r="H32349" s="4" t="str">
        <v/>
      </c>
      <c r="I32349" s="4" t="str">
        <v/>
      </c>
    </row>
    <row r="32350" spans="5:9" ht="16.5" hidden="1">
      <c r="E32350" s="4" t="str">
        <v/>
      </c>
      <c r="F32350" s="102" t="str">
        <f ca="1">IFERROR(__xludf.DUMMYFUNCTION("IMPORTRANGE(H32350,""IDENTITAS UNIT!D9"")"),"#N/A")</f>
        <v>#N/A</v>
      </c>
      <c r="H32350" s="4" t="str">
        <v/>
      </c>
      <c r="I32350" s="4" t="str">
        <v/>
      </c>
    </row>
    <row r="32351" spans="5:9" ht="16.5" hidden="1">
      <c r="E32351" s="4" t="str">
        <v/>
      </c>
      <c r="F32351" s="102" t="str">
        <f ca="1">IFERROR(__xludf.DUMMYFUNCTION("IMPORTRANGE(H32351,""IDENTITAS UNIT!D9"")"),"#N/A")</f>
        <v>#N/A</v>
      </c>
      <c r="H32351" s="4" t="str">
        <v/>
      </c>
      <c r="I32351" s="4" t="str">
        <v/>
      </c>
    </row>
    <row r="32352" spans="5:9" ht="16.5" hidden="1">
      <c r="E32352" s="4" t="str">
        <v/>
      </c>
      <c r="F32352" s="102" t="str">
        <f ca="1">IFERROR(__xludf.DUMMYFUNCTION("IMPORTRANGE(H32352,""IDENTITAS UNIT!D9"")"),"#N/A")</f>
        <v>#N/A</v>
      </c>
      <c r="H32352" s="4" t="str">
        <v/>
      </c>
      <c r="I32352" s="4" t="str">
        <v/>
      </c>
    </row>
    <row r="32353" spans="5:9" ht="16.5" hidden="1">
      <c r="E32353" s="4" t="str">
        <v/>
      </c>
      <c r="F32353" s="102" t="str">
        <f ca="1">IFERROR(__xludf.DUMMYFUNCTION("IMPORTRANGE(H32353,""IDENTITAS UNIT!D9"")"),"#N/A")</f>
        <v>#N/A</v>
      </c>
      <c r="H32353" s="4" t="str">
        <v/>
      </c>
      <c r="I32353" s="4" t="str">
        <v/>
      </c>
    </row>
    <row r="32354" spans="5:9" ht="16.5" hidden="1">
      <c r="E32354" s="4" t="str">
        <v/>
      </c>
      <c r="F32354" s="102" t="str">
        <f ca="1">IFERROR(__xludf.DUMMYFUNCTION("IMPORTRANGE(H32354,""IDENTITAS UNIT!D9"")"),"#N/A")</f>
        <v>#N/A</v>
      </c>
      <c r="H32354" s="4" t="str">
        <v/>
      </c>
      <c r="I32354" s="4" t="str">
        <v/>
      </c>
    </row>
    <row r="32355" spans="5:9" ht="16.5" hidden="1">
      <c r="E32355" s="4" t="str">
        <v/>
      </c>
      <c r="F32355" s="102" t="str">
        <f ca="1">IFERROR(__xludf.DUMMYFUNCTION("IMPORTRANGE(H32355,""IDENTITAS UNIT!D9"")"),"#N/A")</f>
        <v>#N/A</v>
      </c>
      <c r="H32355" s="4" t="str">
        <v/>
      </c>
      <c r="I32355" s="4" t="str">
        <v/>
      </c>
    </row>
    <row r="32356" spans="5:9" ht="16.5" hidden="1">
      <c r="E32356" s="4" t="str">
        <v/>
      </c>
      <c r="F32356" s="102" t="str">
        <f ca="1">IFERROR(__xludf.DUMMYFUNCTION("IMPORTRANGE(H32356,""IDENTITAS UNIT!D9"")"),"#N/A")</f>
        <v>#N/A</v>
      </c>
      <c r="H32356" s="4" t="str">
        <v/>
      </c>
      <c r="I32356" s="4" t="str">
        <v/>
      </c>
    </row>
    <row r="32357" spans="5:9" ht="16.5" hidden="1">
      <c r="E32357" s="4" t="str">
        <v/>
      </c>
      <c r="F32357" s="102" t="str">
        <f ca="1">IFERROR(__xludf.DUMMYFUNCTION("IMPORTRANGE(H32357,""IDENTITAS UNIT!D9"")"),"#N/A")</f>
        <v>#N/A</v>
      </c>
      <c r="H32357" s="4" t="str">
        <v/>
      </c>
      <c r="I32357" s="4" t="str">
        <v/>
      </c>
    </row>
    <row r="32358" spans="5:9" ht="16.5" hidden="1">
      <c r="E32358" s="4" t="str">
        <v/>
      </c>
      <c r="F32358" s="102" t="str">
        <f ca="1">IFERROR(__xludf.DUMMYFUNCTION("IMPORTRANGE(H32358,""IDENTITAS UNIT!D9"")"),"#N/A")</f>
        <v>#N/A</v>
      </c>
      <c r="H32358" s="4" t="str">
        <v/>
      </c>
      <c r="I32358" s="4" t="str">
        <v/>
      </c>
    </row>
    <row r="32359" spans="5:9" ht="16.5" hidden="1">
      <c r="E32359" s="4" t="str">
        <v/>
      </c>
      <c r="F32359" s="102" t="str">
        <f ca="1">IFERROR(__xludf.DUMMYFUNCTION("IMPORTRANGE(H32359,""IDENTITAS UNIT!D9"")"),"#N/A")</f>
        <v>#N/A</v>
      </c>
      <c r="H32359" s="4" t="str">
        <v/>
      </c>
      <c r="I32359" s="4" t="str">
        <v/>
      </c>
    </row>
    <row r="32360" spans="5:9" ht="16.5" hidden="1">
      <c r="E32360" s="4" t="str">
        <v/>
      </c>
      <c r="F32360" s="102" t="str">
        <f ca="1">IFERROR(__xludf.DUMMYFUNCTION("IMPORTRANGE(H32360,""IDENTITAS UNIT!D9"")"),"#N/A")</f>
        <v>#N/A</v>
      </c>
      <c r="H32360" s="4" t="str">
        <v/>
      </c>
      <c r="I32360" s="4" t="str">
        <v/>
      </c>
    </row>
    <row r="32361" spans="5:9" ht="16.5" hidden="1">
      <c r="E32361" s="4" t="str">
        <v/>
      </c>
      <c r="F32361" s="102" t="str">
        <f ca="1">IFERROR(__xludf.DUMMYFUNCTION("IMPORTRANGE(H32361,""IDENTITAS UNIT!D9"")"),"#N/A")</f>
        <v>#N/A</v>
      </c>
      <c r="H32361" s="4" t="str">
        <v/>
      </c>
      <c r="I32361" s="4" t="str">
        <v/>
      </c>
    </row>
    <row r="32362" spans="5:9" ht="16.5" hidden="1">
      <c r="E32362" s="4" t="str">
        <v/>
      </c>
      <c r="F32362" s="102" t="str">
        <f ca="1">IFERROR(__xludf.DUMMYFUNCTION("IMPORTRANGE(H32362,""IDENTITAS UNIT!D9"")"),"#N/A")</f>
        <v>#N/A</v>
      </c>
      <c r="H32362" s="4" t="str">
        <v/>
      </c>
      <c r="I32362" s="4" t="str">
        <v/>
      </c>
    </row>
    <row r="32363" spans="5:9" ht="16.5" hidden="1">
      <c r="E32363" s="4" t="str">
        <v/>
      </c>
      <c r="F32363" s="102" t="str">
        <f ca="1">IFERROR(__xludf.DUMMYFUNCTION("IMPORTRANGE(H32363,""IDENTITAS UNIT!D9"")"),"#N/A")</f>
        <v>#N/A</v>
      </c>
      <c r="H32363" s="4" t="str">
        <v/>
      </c>
      <c r="I32363" s="4" t="str">
        <v/>
      </c>
    </row>
    <row r="32364" spans="5:9" ht="16.5" hidden="1">
      <c r="E32364" s="4" t="str">
        <v/>
      </c>
      <c r="F32364" s="102" t="str">
        <f ca="1">IFERROR(__xludf.DUMMYFUNCTION("IMPORTRANGE(H32364,""IDENTITAS UNIT!D9"")"),"#N/A")</f>
        <v>#N/A</v>
      </c>
      <c r="H32364" s="4" t="str">
        <v/>
      </c>
      <c r="I32364" s="4" t="str">
        <v/>
      </c>
    </row>
    <row r="32365" spans="5:9" ht="16.5" hidden="1">
      <c r="E32365" s="4" t="str">
        <v/>
      </c>
      <c r="F32365" s="102" t="str">
        <f ca="1">IFERROR(__xludf.DUMMYFUNCTION("IMPORTRANGE(H32365,""IDENTITAS UNIT!D9"")"),"#N/A")</f>
        <v>#N/A</v>
      </c>
      <c r="H32365" s="4" t="str">
        <v/>
      </c>
      <c r="I32365" s="4" t="str">
        <v/>
      </c>
    </row>
    <row r="32366" spans="5:9" ht="16.5" hidden="1">
      <c r="E32366" s="4" t="str">
        <v/>
      </c>
      <c r="F32366" s="102" t="str">
        <f ca="1">IFERROR(__xludf.DUMMYFUNCTION("IMPORTRANGE(H32366,""IDENTITAS UNIT!D9"")"),"#N/A")</f>
        <v>#N/A</v>
      </c>
      <c r="H32366" s="4" t="str">
        <v/>
      </c>
      <c r="I32366" s="4" t="str">
        <v/>
      </c>
    </row>
    <row r="32367" spans="5:9" ht="16.5" hidden="1">
      <c r="E32367" s="4" t="str">
        <v/>
      </c>
      <c r="F32367" s="102" t="str">
        <f ca="1">IFERROR(__xludf.DUMMYFUNCTION("IMPORTRANGE(H32367,""IDENTITAS UNIT!D9"")"),"#N/A")</f>
        <v>#N/A</v>
      </c>
      <c r="H32367" s="4" t="str">
        <v/>
      </c>
      <c r="I32367" s="4" t="str">
        <v/>
      </c>
    </row>
    <row r="32368" spans="5:9" ht="16.5" hidden="1">
      <c r="E32368" s="4" t="str">
        <v/>
      </c>
      <c r="F32368" s="102" t="str">
        <f ca="1">IFERROR(__xludf.DUMMYFUNCTION("IMPORTRANGE(H32368,""IDENTITAS UNIT!D9"")"),"#N/A")</f>
        <v>#N/A</v>
      </c>
      <c r="H32368" s="4" t="str">
        <v/>
      </c>
      <c r="I32368" s="4" t="str">
        <v/>
      </c>
    </row>
    <row r="32369" spans="5:9" ht="16.5" hidden="1">
      <c r="E32369" s="4" t="str">
        <v/>
      </c>
      <c r="F32369" s="102" t="str">
        <f ca="1">IFERROR(__xludf.DUMMYFUNCTION("IMPORTRANGE(H32369,""IDENTITAS UNIT!D9"")"),"#N/A")</f>
        <v>#N/A</v>
      </c>
      <c r="H32369" s="4" t="str">
        <v/>
      </c>
      <c r="I32369" s="4" t="str">
        <v/>
      </c>
    </row>
    <row r="32370" spans="5:9" ht="16.5" hidden="1">
      <c r="E32370" s="4" t="str">
        <v/>
      </c>
      <c r="F32370" s="102" t="str">
        <f ca="1">IFERROR(__xludf.DUMMYFUNCTION("IMPORTRANGE(H32370,""IDENTITAS UNIT!D9"")"),"#N/A")</f>
        <v>#N/A</v>
      </c>
      <c r="H32370" s="4" t="str">
        <v/>
      </c>
      <c r="I32370" s="4" t="str">
        <v/>
      </c>
    </row>
    <row r="32371" spans="5:9" ht="16.5" hidden="1">
      <c r="E32371" s="4" t="str">
        <v/>
      </c>
      <c r="F32371" s="102" t="str">
        <f ca="1">IFERROR(__xludf.DUMMYFUNCTION("IMPORTRANGE(H32371,""IDENTITAS UNIT!D9"")"),"#N/A")</f>
        <v>#N/A</v>
      </c>
      <c r="H32371" s="4" t="str">
        <v/>
      </c>
      <c r="I32371" s="4" t="str">
        <v/>
      </c>
    </row>
    <row r="32372" spans="5:9" ht="16.5" hidden="1">
      <c r="E32372" s="4" t="str">
        <v/>
      </c>
      <c r="F32372" s="102" t="str">
        <f ca="1">IFERROR(__xludf.DUMMYFUNCTION("IMPORTRANGE(H32372,""IDENTITAS UNIT!D9"")"),"#N/A")</f>
        <v>#N/A</v>
      </c>
      <c r="H32372" s="4" t="str">
        <v/>
      </c>
      <c r="I32372" s="4" t="str">
        <v/>
      </c>
    </row>
    <row r="32373" spans="5:9" ht="16.5" hidden="1">
      <c r="E32373" s="4" t="str">
        <v/>
      </c>
      <c r="F32373" s="102" t="str">
        <f ca="1">IFERROR(__xludf.DUMMYFUNCTION("IMPORTRANGE(H32373,""IDENTITAS UNIT!D9"")"),"#N/A")</f>
        <v>#N/A</v>
      </c>
      <c r="H32373" s="4" t="str">
        <v/>
      </c>
      <c r="I32373" s="4" t="str">
        <v/>
      </c>
    </row>
    <row r="32374" spans="5:9" ht="16.5" hidden="1">
      <c r="E32374" s="4" t="str">
        <v/>
      </c>
      <c r="F32374" s="102" t="str">
        <f ca="1">IFERROR(__xludf.DUMMYFUNCTION("IMPORTRANGE(H32374,""IDENTITAS UNIT!D9"")"),"#N/A")</f>
        <v>#N/A</v>
      </c>
      <c r="H32374" s="4" t="str">
        <v/>
      </c>
      <c r="I32374" s="4" t="str">
        <v/>
      </c>
    </row>
    <row r="32375" spans="5:9" ht="16.5" hidden="1">
      <c r="E32375" s="4" t="str">
        <v/>
      </c>
      <c r="F32375" s="102" t="str">
        <f ca="1">IFERROR(__xludf.DUMMYFUNCTION("IMPORTRANGE(H32375,""IDENTITAS UNIT!D9"")"),"#N/A")</f>
        <v>#N/A</v>
      </c>
      <c r="H32375" s="4" t="str">
        <v/>
      </c>
      <c r="I32375" s="4" t="str">
        <v/>
      </c>
    </row>
    <row r="32376" spans="5:9" ht="16.5" hidden="1">
      <c r="E32376" s="4" t="str">
        <v/>
      </c>
      <c r="F32376" s="102" t="str">
        <f ca="1">IFERROR(__xludf.DUMMYFUNCTION("IMPORTRANGE(H32376,""IDENTITAS UNIT!D9"")"),"#N/A")</f>
        <v>#N/A</v>
      </c>
      <c r="H32376" s="4" t="str">
        <v/>
      </c>
      <c r="I32376" s="4" t="str">
        <v/>
      </c>
    </row>
    <row r="32377" spans="5:9" ht="16.5" hidden="1">
      <c r="E32377" s="4" t="str">
        <v/>
      </c>
      <c r="F32377" s="102" t="str">
        <f ca="1">IFERROR(__xludf.DUMMYFUNCTION("IMPORTRANGE(H32377,""IDENTITAS UNIT!D9"")"),"#N/A")</f>
        <v>#N/A</v>
      </c>
      <c r="H32377" s="4" t="str">
        <v/>
      </c>
      <c r="I32377" s="4" t="str">
        <v/>
      </c>
    </row>
    <row r="32378" spans="5:9" ht="16.5" hidden="1">
      <c r="E32378" s="4" t="str">
        <v/>
      </c>
      <c r="F32378" s="102" t="str">
        <f ca="1">IFERROR(__xludf.DUMMYFUNCTION("IMPORTRANGE(H32378,""IDENTITAS UNIT!D9"")"),"#N/A")</f>
        <v>#N/A</v>
      </c>
      <c r="H32378" s="4" t="str">
        <v/>
      </c>
      <c r="I32378" s="4" t="str">
        <v/>
      </c>
    </row>
    <row r="32379" spans="5:9" ht="16.5" hidden="1">
      <c r="E32379" s="4" t="str">
        <v/>
      </c>
      <c r="F32379" s="102" t="str">
        <f ca="1">IFERROR(__xludf.DUMMYFUNCTION("IMPORTRANGE(H32379,""IDENTITAS UNIT!D9"")"),"#N/A")</f>
        <v>#N/A</v>
      </c>
      <c r="H32379" s="4" t="str">
        <v/>
      </c>
      <c r="I32379" s="4" t="str">
        <v/>
      </c>
    </row>
    <row r="32380" spans="5:9" ht="16.5" hidden="1">
      <c r="E32380" s="4" t="str">
        <v/>
      </c>
      <c r="F32380" s="102" t="str">
        <f ca="1">IFERROR(__xludf.DUMMYFUNCTION("IMPORTRANGE(H32380,""IDENTITAS UNIT!D9"")"),"#N/A")</f>
        <v>#N/A</v>
      </c>
      <c r="H32380" s="4" t="str">
        <v/>
      </c>
      <c r="I32380" s="4" t="str">
        <v/>
      </c>
    </row>
    <row r="32381" spans="5:9" ht="16.5" hidden="1">
      <c r="E32381" s="4" t="str">
        <v/>
      </c>
      <c r="F32381" s="102" t="str">
        <f ca="1">IFERROR(__xludf.DUMMYFUNCTION("IMPORTRANGE(H32381,""IDENTITAS UNIT!D9"")"),"#N/A")</f>
        <v>#N/A</v>
      </c>
      <c r="H32381" s="4" t="str">
        <v/>
      </c>
      <c r="I32381" s="4" t="str">
        <v/>
      </c>
    </row>
    <row r="32382" spans="5:9" ht="16.5" hidden="1">
      <c r="E32382" s="4" t="str">
        <v/>
      </c>
      <c r="F32382" s="102" t="str">
        <f ca="1">IFERROR(__xludf.DUMMYFUNCTION("IMPORTRANGE(H32382,""IDENTITAS UNIT!D9"")"),"#N/A")</f>
        <v>#N/A</v>
      </c>
      <c r="H32382" s="4" t="str">
        <v/>
      </c>
      <c r="I32382" s="4" t="str">
        <v/>
      </c>
    </row>
    <row r="32383" spans="5:9" ht="16.5" hidden="1">
      <c r="E32383" s="4" t="str">
        <v/>
      </c>
      <c r="F32383" s="102" t="str">
        <f ca="1">IFERROR(__xludf.DUMMYFUNCTION("IMPORTRANGE(H32383,""IDENTITAS UNIT!D9"")"),"#N/A")</f>
        <v>#N/A</v>
      </c>
      <c r="H32383" s="4" t="str">
        <v/>
      </c>
      <c r="I32383" s="4" t="str">
        <v/>
      </c>
    </row>
    <row r="32384" spans="5:9" ht="16.5" hidden="1">
      <c r="E32384" s="4" t="str">
        <v/>
      </c>
      <c r="F32384" s="102" t="str">
        <f ca="1">IFERROR(__xludf.DUMMYFUNCTION("IMPORTRANGE(H32384,""IDENTITAS UNIT!D9"")"),"#N/A")</f>
        <v>#N/A</v>
      </c>
      <c r="H32384" s="4" t="str">
        <v/>
      </c>
      <c r="I32384" s="4" t="str">
        <v/>
      </c>
    </row>
    <row r="32385" spans="5:9" ht="16.5" hidden="1">
      <c r="E32385" s="4" t="str">
        <v/>
      </c>
      <c r="F32385" s="102" t="str">
        <f ca="1">IFERROR(__xludf.DUMMYFUNCTION("IMPORTRANGE(H32385,""IDENTITAS UNIT!D9"")"),"#N/A")</f>
        <v>#N/A</v>
      </c>
      <c r="H32385" s="4" t="str">
        <v/>
      </c>
      <c r="I32385" s="4" t="str">
        <v/>
      </c>
    </row>
    <row r="32386" spans="5:9" ht="16.5" hidden="1">
      <c r="E32386" s="4" t="str">
        <v/>
      </c>
      <c r="F32386" s="102" t="str">
        <f ca="1">IFERROR(__xludf.DUMMYFUNCTION("IMPORTRANGE(H32386,""IDENTITAS UNIT!D9"")"),"#N/A")</f>
        <v>#N/A</v>
      </c>
      <c r="H32386" s="4" t="str">
        <v/>
      </c>
      <c r="I32386" s="4" t="str">
        <v/>
      </c>
    </row>
    <row r="32387" spans="5:9" ht="16.5" hidden="1">
      <c r="E32387" s="4" t="str">
        <v/>
      </c>
      <c r="F32387" s="102" t="str">
        <f ca="1">IFERROR(__xludf.DUMMYFUNCTION("IMPORTRANGE(H32387,""IDENTITAS UNIT!D9"")"),"#N/A")</f>
        <v>#N/A</v>
      </c>
      <c r="H32387" s="4" t="str">
        <v/>
      </c>
      <c r="I32387" s="4" t="str">
        <v/>
      </c>
    </row>
    <row r="32388" spans="5:9" ht="16.5" hidden="1">
      <c r="E32388" s="4" t="str">
        <v/>
      </c>
      <c r="F32388" s="102" t="str">
        <f ca="1">IFERROR(__xludf.DUMMYFUNCTION("IMPORTRANGE(H32388,""IDENTITAS UNIT!D9"")"),"#N/A")</f>
        <v>#N/A</v>
      </c>
      <c r="H32388" s="4" t="str">
        <v/>
      </c>
      <c r="I32388" s="4" t="str">
        <v/>
      </c>
    </row>
    <row r="32389" spans="5:9" ht="16.5" hidden="1">
      <c r="E32389" s="4" t="str">
        <v/>
      </c>
      <c r="F32389" s="102" t="str">
        <f ca="1">IFERROR(__xludf.DUMMYFUNCTION("IMPORTRANGE(H32389,""IDENTITAS UNIT!D9"")"),"#N/A")</f>
        <v>#N/A</v>
      </c>
      <c r="H32389" s="4" t="str">
        <v/>
      </c>
      <c r="I32389" s="4" t="str">
        <v/>
      </c>
    </row>
    <row r="32390" spans="5:9" ht="16.5" hidden="1">
      <c r="E32390" s="4" t="str">
        <v/>
      </c>
      <c r="F32390" s="102" t="str">
        <f ca="1">IFERROR(__xludf.DUMMYFUNCTION("IMPORTRANGE(H32390,""IDENTITAS UNIT!D9"")"),"#N/A")</f>
        <v>#N/A</v>
      </c>
      <c r="H32390" s="4" t="str">
        <v/>
      </c>
      <c r="I32390" s="4" t="str">
        <v/>
      </c>
    </row>
    <row r="32391" spans="5:9" ht="16.5" hidden="1">
      <c r="E32391" s="4" t="str">
        <v/>
      </c>
      <c r="F32391" s="102" t="str">
        <f ca="1">IFERROR(__xludf.DUMMYFUNCTION("IMPORTRANGE(H32391,""IDENTITAS UNIT!D9"")"),"#N/A")</f>
        <v>#N/A</v>
      </c>
      <c r="H32391" s="4" t="str">
        <v/>
      </c>
      <c r="I32391" s="4" t="str">
        <v/>
      </c>
    </row>
    <row r="32392" spans="5:9" ht="16.5" hidden="1">
      <c r="E32392" s="4" t="str">
        <v/>
      </c>
      <c r="F32392" s="102" t="str">
        <f ca="1">IFERROR(__xludf.DUMMYFUNCTION("IMPORTRANGE(H32392,""IDENTITAS UNIT!D9"")"),"#N/A")</f>
        <v>#N/A</v>
      </c>
      <c r="H32392" s="4" t="str">
        <v/>
      </c>
      <c r="I32392" s="4" t="str">
        <v/>
      </c>
    </row>
    <row r="32393" spans="5:9" ht="16.5" hidden="1">
      <c r="E32393" s="4" t="str">
        <v/>
      </c>
      <c r="F32393" s="102" t="str">
        <f ca="1">IFERROR(__xludf.DUMMYFUNCTION("IMPORTRANGE(H32393,""IDENTITAS UNIT!D9"")"),"#N/A")</f>
        <v>#N/A</v>
      </c>
      <c r="H32393" s="4" t="str">
        <v/>
      </c>
      <c r="I32393" s="4" t="str">
        <v/>
      </c>
    </row>
    <row r="32394" spans="5:9" ht="16.5" hidden="1">
      <c r="E32394" s="4" t="str">
        <v/>
      </c>
      <c r="F32394" s="102" t="str">
        <f ca="1">IFERROR(__xludf.DUMMYFUNCTION("IMPORTRANGE(H32394,""IDENTITAS UNIT!D9"")"),"#N/A")</f>
        <v>#N/A</v>
      </c>
      <c r="H32394" s="4" t="str">
        <v/>
      </c>
      <c r="I32394" s="4" t="str">
        <v/>
      </c>
    </row>
    <row r="32395" spans="5:9" ht="16.5" hidden="1">
      <c r="E32395" s="4" t="str">
        <v/>
      </c>
      <c r="F32395" s="102" t="str">
        <f ca="1">IFERROR(__xludf.DUMMYFUNCTION("IMPORTRANGE(H32395,""IDENTITAS UNIT!D9"")"),"#N/A")</f>
        <v>#N/A</v>
      </c>
      <c r="H32395" s="4" t="str">
        <v/>
      </c>
      <c r="I32395" s="4" t="str">
        <v/>
      </c>
    </row>
    <row r="32396" spans="5:9" ht="16.5" hidden="1">
      <c r="E32396" s="4" t="str">
        <v/>
      </c>
      <c r="F32396" s="102" t="str">
        <f ca="1">IFERROR(__xludf.DUMMYFUNCTION("IMPORTRANGE(H32396,""IDENTITAS UNIT!D9"")"),"#N/A")</f>
        <v>#N/A</v>
      </c>
      <c r="H32396" s="4" t="str">
        <v/>
      </c>
      <c r="I32396" s="4" t="str">
        <v/>
      </c>
    </row>
    <row r="32397" spans="5:9" ht="16.5" hidden="1">
      <c r="E32397" s="4" t="str">
        <v/>
      </c>
      <c r="F32397" s="102" t="str">
        <f ca="1">IFERROR(__xludf.DUMMYFUNCTION("IMPORTRANGE(H32397,""IDENTITAS UNIT!D9"")"),"#N/A")</f>
        <v>#N/A</v>
      </c>
      <c r="H32397" s="4" t="str">
        <v/>
      </c>
      <c r="I32397" s="4" t="str">
        <v/>
      </c>
    </row>
    <row r="32398" spans="5:9" ht="16.5" hidden="1">
      <c r="E32398" s="4" t="str">
        <v/>
      </c>
      <c r="F32398" s="102" t="str">
        <f ca="1">IFERROR(__xludf.DUMMYFUNCTION("IMPORTRANGE(H32398,""IDENTITAS UNIT!D9"")"),"#N/A")</f>
        <v>#N/A</v>
      </c>
      <c r="H32398" s="4" t="str">
        <v/>
      </c>
      <c r="I32398" s="4" t="str">
        <v/>
      </c>
    </row>
    <row r="32399" spans="5:9" ht="16.5" hidden="1">
      <c r="E32399" s="4" t="str">
        <v/>
      </c>
      <c r="F32399" s="102" t="str">
        <f ca="1">IFERROR(__xludf.DUMMYFUNCTION("IMPORTRANGE(H32399,""IDENTITAS UNIT!D9"")"),"#N/A")</f>
        <v>#N/A</v>
      </c>
      <c r="H32399" s="4" t="str">
        <v/>
      </c>
      <c r="I32399" s="4" t="str">
        <v/>
      </c>
    </row>
    <row r="32400" spans="5:9" ht="16.5" hidden="1">
      <c r="E32400" s="4" t="str">
        <v/>
      </c>
      <c r="F32400" s="102" t="str">
        <f ca="1">IFERROR(__xludf.DUMMYFUNCTION("IMPORTRANGE(H32400,""IDENTITAS UNIT!D9"")"),"#N/A")</f>
        <v>#N/A</v>
      </c>
      <c r="H32400" s="4" t="str">
        <v/>
      </c>
      <c r="I32400" s="4" t="str">
        <v/>
      </c>
    </row>
    <row r="32401" spans="5:9" ht="16.5" hidden="1">
      <c r="E32401" s="4" t="str">
        <v/>
      </c>
      <c r="F32401" s="102" t="str">
        <f ca="1">IFERROR(__xludf.DUMMYFUNCTION("IMPORTRANGE(H32401,""IDENTITAS UNIT!D9"")"),"#N/A")</f>
        <v>#N/A</v>
      </c>
      <c r="H32401" s="4" t="str">
        <v/>
      </c>
      <c r="I32401" s="4" t="str">
        <v/>
      </c>
    </row>
    <row r="32402" spans="5:9" ht="16.5" hidden="1">
      <c r="E32402" s="4" t="str">
        <v/>
      </c>
      <c r="F32402" s="102" t="str">
        <f ca="1">IFERROR(__xludf.DUMMYFUNCTION("IMPORTRANGE(H32402,""IDENTITAS UNIT!D9"")"),"#N/A")</f>
        <v>#N/A</v>
      </c>
      <c r="H32402" s="4" t="str">
        <v/>
      </c>
      <c r="I32402" s="4" t="str">
        <v/>
      </c>
    </row>
    <row r="32403" spans="5:9" ht="16.5" hidden="1">
      <c r="E32403" s="4" t="str">
        <v/>
      </c>
      <c r="F32403" s="102" t="str">
        <f ca="1">IFERROR(__xludf.DUMMYFUNCTION("IMPORTRANGE(H32403,""IDENTITAS UNIT!D9"")"),"#N/A")</f>
        <v>#N/A</v>
      </c>
      <c r="H32403" s="4" t="str">
        <v/>
      </c>
      <c r="I32403" s="4" t="str">
        <v/>
      </c>
    </row>
    <row r="32404" spans="5:9" ht="16.5" hidden="1">
      <c r="E32404" s="4" t="str">
        <v/>
      </c>
      <c r="F32404" s="102" t="str">
        <f ca="1">IFERROR(__xludf.DUMMYFUNCTION("IMPORTRANGE(H32404,""IDENTITAS UNIT!D9"")"),"#N/A")</f>
        <v>#N/A</v>
      </c>
      <c r="H32404" s="4" t="str">
        <v/>
      </c>
      <c r="I32404" s="4" t="str">
        <v/>
      </c>
    </row>
    <row r="32405" spans="5:9" ht="16.5" hidden="1">
      <c r="E32405" s="4" t="str">
        <v/>
      </c>
      <c r="F32405" s="102" t="str">
        <f ca="1">IFERROR(__xludf.DUMMYFUNCTION("IMPORTRANGE(H32405,""IDENTITAS UNIT!D9"")"),"#N/A")</f>
        <v>#N/A</v>
      </c>
      <c r="H32405" s="4" t="str">
        <v/>
      </c>
      <c r="I32405" s="4" t="str">
        <v/>
      </c>
    </row>
    <row r="32406" spans="5:9" ht="16.5" hidden="1">
      <c r="E32406" s="4" t="str">
        <v/>
      </c>
      <c r="F32406" s="102" t="str">
        <f ca="1">IFERROR(__xludf.DUMMYFUNCTION("IMPORTRANGE(H32406,""IDENTITAS UNIT!D9"")"),"#N/A")</f>
        <v>#N/A</v>
      </c>
      <c r="H32406" s="4" t="str">
        <v/>
      </c>
      <c r="I32406" s="4" t="str">
        <v/>
      </c>
    </row>
    <row r="32407" spans="5:9" ht="16.5" hidden="1">
      <c r="E32407" s="4" t="str">
        <v/>
      </c>
      <c r="F32407" s="102" t="str">
        <f ca="1">IFERROR(__xludf.DUMMYFUNCTION("IMPORTRANGE(H32407,""IDENTITAS UNIT!D9"")"),"#N/A")</f>
        <v>#N/A</v>
      </c>
      <c r="H32407" s="4" t="str">
        <v/>
      </c>
      <c r="I32407" s="4" t="str">
        <v/>
      </c>
    </row>
    <row r="32408" spans="5:9" ht="16.5" hidden="1">
      <c r="E32408" s="4" t="str">
        <v/>
      </c>
      <c r="F32408" s="102" t="str">
        <f ca="1">IFERROR(__xludf.DUMMYFUNCTION("IMPORTRANGE(H32408,""IDENTITAS UNIT!D9"")"),"#N/A")</f>
        <v>#N/A</v>
      </c>
      <c r="H32408" s="4" t="str">
        <v/>
      </c>
      <c r="I32408" s="4" t="str">
        <v/>
      </c>
    </row>
    <row r="32409" spans="5:9" ht="16.5" hidden="1">
      <c r="E32409" s="4" t="str">
        <v/>
      </c>
      <c r="F32409" s="102" t="str">
        <f ca="1">IFERROR(__xludf.DUMMYFUNCTION("IMPORTRANGE(H32409,""IDENTITAS UNIT!D9"")"),"#N/A")</f>
        <v>#N/A</v>
      </c>
      <c r="H32409" s="4" t="str">
        <v/>
      </c>
      <c r="I32409" s="4" t="str">
        <v/>
      </c>
    </row>
    <row r="32410" spans="5:9" ht="16.5" hidden="1">
      <c r="E32410" s="4" t="str">
        <v/>
      </c>
      <c r="F32410" s="102" t="str">
        <f ca="1">IFERROR(__xludf.DUMMYFUNCTION("IMPORTRANGE(H32410,""IDENTITAS UNIT!D9"")"),"#N/A")</f>
        <v>#N/A</v>
      </c>
      <c r="H32410" s="4" t="str">
        <v/>
      </c>
      <c r="I32410" s="4" t="str">
        <v/>
      </c>
    </row>
    <row r="32411" spans="5:9" ht="16.5" hidden="1">
      <c r="E32411" s="4" t="str">
        <v/>
      </c>
      <c r="F32411" s="102" t="str">
        <f ca="1">IFERROR(__xludf.DUMMYFUNCTION("IMPORTRANGE(H32411,""IDENTITAS UNIT!D9"")"),"#N/A")</f>
        <v>#N/A</v>
      </c>
      <c r="H32411" s="4" t="str">
        <v/>
      </c>
      <c r="I32411" s="4" t="str">
        <v/>
      </c>
    </row>
    <row r="32412" spans="5:9" ht="16.5" hidden="1">
      <c r="E32412" s="4" t="str">
        <v/>
      </c>
      <c r="F32412" s="102" t="str">
        <f ca="1">IFERROR(__xludf.DUMMYFUNCTION("IMPORTRANGE(H32412,""IDENTITAS UNIT!D9"")"),"#N/A")</f>
        <v>#N/A</v>
      </c>
      <c r="H32412" s="4" t="str">
        <v/>
      </c>
      <c r="I32412" s="4" t="str">
        <v/>
      </c>
    </row>
    <row r="32413" spans="5:9" ht="16.5" hidden="1">
      <c r="E32413" s="4" t="str">
        <v/>
      </c>
      <c r="F32413" s="102" t="str">
        <f ca="1">IFERROR(__xludf.DUMMYFUNCTION("IMPORTRANGE(H32413,""IDENTITAS UNIT!D9"")"),"#N/A")</f>
        <v>#N/A</v>
      </c>
      <c r="H32413" s="4" t="str">
        <v/>
      </c>
      <c r="I32413" s="4" t="str">
        <v/>
      </c>
    </row>
    <row r="32414" spans="5:9" ht="16.5" hidden="1">
      <c r="E32414" s="4" t="str">
        <v/>
      </c>
      <c r="F32414" s="102" t="str">
        <f ca="1">IFERROR(__xludf.DUMMYFUNCTION("IMPORTRANGE(H32414,""IDENTITAS UNIT!D9"")"),"#N/A")</f>
        <v>#N/A</v>
      </c>
      <c r="H32414" s="4" t="str">
        <v/>
      </c>
      <c r="I32414" s="4" t="str">
        <v/>
      </c>
    </row>
    <row r="32415" spans="5:9" ht="16.5" hidden="1">
      <c r="E32415" s="4" t="str">
        <v/>
      </c>
      <c r="F32415" s="102" t="str">
        <f ca="1">IFERROR(__xludf.DUMMYFUNCTION("IMPORTRANGE(H32415,""IDENTITAS UNIT!D9"")"),"#N/A")</f>
        <v>#N/A</v>
      </c>
      <c r="H32415" s="4" t="str">
        <v/>
      </c>
      <c r="I32415" s="4" t="str">
        <v/>
      </c>
    </row>
    <row r="32416" spans="5:9" ht="16.5" hidden="1">
      <c r="E32416" s="4" t="str">
        <v/>
      </c>
      <c r="F32416" s="102" t="str">
        <f ca="1">IFERROR(__xludf.DUMMYFUNCTION("IMPORTRANGE(H32416,""IDENTITAS UNIT!D9"")"),"#N/A")</f>
        <v>#N/A</v>
      </c>
      <c r="H32416" s="4" t="str">
        <v/>
      </c>
      <c r="I32416" s="4" t="str">
        <v/>
      </c>
    </row>
    <row r="32417" spans="5:9" ht="16.5" hidden="1">
      <c r="E32417" s="4" t="str">
        <v/>
      </c>
      <c r="F32417" s="102" t="str">
        <f ca="1">IFERROR(__xludf.DUMMYFUNCTION("IMPORTRANGE(H32417,""IDENTITAS UNIT!D9"")"),"#N/A")</f>
        <v>#N/A</v>
      </c>
      <c r="H32417" s="4" t="str">
        <v/>
      </c>
      <c r="I32417" s="4" t="str">
        <v/>
      </c>
    </row>
    <row r="32418" spans="5:9" ht="16.5" hidden="1">
      <c r="E32418" s="4" t="str">
        <v/>
      </c>
      <c r="F32418" s="102" t="str">
        <f ca="1">IFERROR(__xludf.DUMMYFUNCTION("IMPORTRANGE(H32418,""IDENTITAS UNIT!D9"")"),"#N/A")</f>
        <v>#N/A</v>
      </c>
      <c r="H32418" s="4" t="str">
        <v/>
      </c>
      <c r="I32418" s="4" t="str">
        <v/>
      </c>
    </row>
    <row r="32419" spans="5:9" ht="16.5" hidden="1">
      <c r="E32419" s="4" t="str">
        <v/>
      </c>
      <c r="F32419" s="102" t="str">
        <f ca="1">IFERROR(__xludf.DUMMYFUNCTION("IMPORTRANGE(H32419,""IDENTITAS UNIT!D9"")"),"#N/A")</f>
        <v>#N/A</v>
      </c>
      <c r="H32419" s="4" t="str">
        <v/>
      </c>
      <c r="I32419" s="4" t="str">
        <v/>
      </c>
    </row>
    <row r="32420" spans="5:9" ht="16.5" hidden="1">
      <c r="E32420" s="4" t="str">
        <v/>
      </c>
      <c r="F32420" s="102" t="str">
        <f ca="1">IFERROR(__xludf.DUMMYFUNCTION("IMPORTRANGE(H32420,""IDENTITAS UNIT!D9"")"),"#N/A")</f>
        <v>#N/A</v>
      </c>
      <c r="H32420" s="4" t="str">
        <v/>
      </c>
      <c r="I32420" s="4" t="str">
        <v/>
      </c>
    </row>
    <row r="32421" spans="5:9" ht="16.5" hidden="1">
      <c r="E32421" s="4" t="str">
        <v/>
      </c>
      <c r="F32421" s="102" t="str">
        <f ca="1">IFERROR(__xludf.DUMMYFUNCTION("IMPORTRANGE(H32421,""IDENTITAS UNIT!D9"")"),"#N/A")</f>
        <v>#N/A</v>
      </c>
      <c r="H32421" s="4" t="str">
        <v/>
      </c>
      <c r="I32421" s="4" t="str">
        <v/>
      </c>
    </row>
    <row r="32422" spans="5:9" ht="16.5" hidden="1">
      <c r="E32422" s="4" t="str">
        <v/>
      </c>
      <c r="F32422" s="102" t="str">
        <f ca="1">IFERROR(__xludf.DUMMYFUNCTION("IMPORTRANGE(H32422,""IDENTITAS UNIT!D9"")"),"#N/A")</f>
        <v>#N/A</v>
      </c>
      <c r="H32422" s="4" t="str">
        <v/>
      </c>
      <c r="I32422" s="4" t="str">
        <v/>
      </c>
    </row>
    <row r="32423" spans="5:9" ht="16.5" hidden="1">
      <c r="E32423" s="4" t="str">
        <v/>
      </c>
      <c r="F32423" s="102" t="str">
        <f ca="1">IFERROR(__xludf.DUMMYFUNCTION("IMPORTRANGE(H32423,""IDENTITAS UNIT!D9"")"),"#N/A")</f>
        <v>#N/A</v>
      </c>
      <c r="H32423" s="4" t="str">
        <v/>
      </c>
      <c r="I32423" s="4" t="str">
        <v/>
      </c>
    </row>
    <row r="32424" spans="5:9" ht="16.5" hidden="1">
      <c r="E32424" s="4" t="str">
        <v/>
      </c>
      <c r="F32424" s="102" t="str">
        <f ca="1">IFERROR(__xludf.DUMMYFUNCTION("IMPORTRANGE(H32424,""IDENTITAS UNIT!D9"")"),"#N/A")</f>
        <v>#N/A</v>
      </c>
      <c r="H32424" s="4" t="str">
        <v/>
      </c>
      <c r="I32424" s="4" t="str">
        <v/>
      </c>
    </row>
    <row r="32425" spans="5:9" ht="16.5" hidden="1">
      <c r="E32425" s="4" t="str">
        <v/>
      </c>
      <c r="F32425" s="102" t="str">
        <f ca="1">IFERROR(__xludf.DUMMYFUNCTION("IMPORTRANGE(H32425,""IDENTITAS UNIT!D9"")"),"#N/A")</f>
        <v>#N/A</v>
      </c>
      <c r="H32425" s="4" t="str">
        <v/>
      </c>
      <c r="I32425" s="4" t="str">
        <v/>
      </c>
    </row>
    <row r="32426" spans="5:9" ht="16.5" hidden="1">
      <c r="E32426" s="4" t="str">
        <v/>
      </c>
      <c r="F32426" s="102" t="str">
        <f ca="1">IFERROR(__xludf.DUMMYFUNCTION("IMPORTRANGE(H32426,""IDENTITAS UNIT!D9"")"),"#N/A")</f>
        <v>#N/A</v>
      </c>
      <c r="H32426" s="4" t="str">
        <v/>
      </c>
      <c r="I32426" s="4" t="str">
        <v/>
      </c>
    </row>
    <row r="32427" spans="5:9" ht="16.5" hidden="1">
      <c r="E32427" s="4" t="str">
        <v/>
      </c>
      <c r="F32427" s="102" t="str">
        <f ca="1">IFERROR(__xludf.DUMMYFUNCTION("IMPORTRANGE(H32427,""IDENTITAS UNIT!D9"")"),"#N/A")</f>
        <v>#N/A</v>
      </c>
      <c r="H32427" s="4" t="str">
        <v/>
      </c>
      <c r="I32427" s="4" t="str">
        <v/>
      </c>
    </row>
    <row r="32428" spans="5:9" ht="16.5" hidden="1">
      <c r="E32428" s="4" t="str">
        <v/>
      </c>
      <c r="F32428" s="102" t="str">
        <f ca="1">IFERROR(__xludf.DUMMYFUNCTION("IMPORTRANGE(H32428,""IDENTITAS UNIT!D9"")"),"#N/A")</f>
        <v>#N/A</v>
      </c>
      <c r="H32428" s="4" t="str">
        <v/>
      </c>
      <c r="I32428" s="4" t="str">
        <v/>
      </c>
    </row>
    <row r="32429" spans="5:9" ht="16.5" hidden="1">
      <c r="E32429" s="4" t="str">
        <v/>
      </c>
      <c r="F32429" s="102" t="str">
        <f ca="1">IFERROR(__xludf.DUMMYFUNCTION("IMPORTRANGE(H32429,""IDENTITAS UNIT!D9"")"),"#N/A")</f>
        <v>#N/A</v>
      </c>
      <c r="H32429" s="4" t="str">
        <v/>
      </c>
      <c r="I32429" s="4" t="str">
        <v/>
      </c>
    </row>
    <row r="32430" spans="5:9" ht="16.5" hidden="1">
      <c r="E32430" s="4" t="str">
        <v/>
      </c>
      <c r="F32430" s="102" t="str">
        <f ca="1">IFERROR(__xludf.DUMMYFUNCTION("IMPORTRANGE(H32430,""IDENTITAS UNIT!D9"")"),"#N/A")</f>
        <v>#N/A</v>
      </c>
      <c r="H32430" s="4" t="str">
        <v/>
      </c>
      <c r="I32430" s="4" t="str">
        <v/>
      </c>
    </row>
    <row r="32431" spans="5:9" ht="16.5" hidden="1">
      <c r="E32431" s="4" t="str">
        <v/>
      </c>
      <c r="F32431" s="102" t="str">
        <f ca="1">IFERROR(__xludf.DUMMYFUNCTION("IMPORTRANGE(H32431,""IDENTITAS UNIT!D9"")"),"#N/A")</f>
        <v>#N/A</v>
      </c>
      <c r="H32431" s="4" t="str">
        <v/>
      </c>
      <c r="I32431" s="4" t="str">
        <v/>
      </c>
    </row>
    <row r="32432" spans="5:9" ht="16.5" hidden="1">
      <c r="E32432" s="4" t="str">
        <v/>
      </c>
      <c r="F32432" s="102" t="str">
        <f ca="1">IFERROR(__xludf.DUMMYFUNCTION("IMPORTRANGE(H32432,""IDENTITAS UNIT!D9"")"),"#N/A")</f>
        <v>#N/A</v>
      </c>
      <c r="H32432" s="4" t="str">
        <v/>
      </c>
      <c r="I32432" s="4" t="str">
        <v/>
      </c>
    </row>
    <row r="32433" spans="5:9" ht="16.5" hidden="1">
      <c r="E32433" s="4" t="str">
        <v/>
      </c>
      <c r="F32433" s="102" t="str">
        <f ca="1">IFERROR(__xludf.DUMMYFUNCTION("IMPORTRANGE(H32433,""IDENTITAS UNIT!D9"")"),"#N/A")</f>
        <v>#N/A</v>
      </c>
      <c r="H32433" s="4" t="str">
        <v/>
      </c>
      <c r="I32433" s="4" t="str">
        <v/>
      </c>
    </row>
    <row r="32434" spans="5:9" ht="16.5" hidden="1">
      <c r="E32434" s="4" t="str">
        <v/>
      </c>
      <c r="F32434" s="102" t="str">
        <f ca="1">IFERROR(__xludf.DUMMYFUNCTION("IMPORTRANGE(H32434,""IDENTITAS UNIT!D9"")"),"#N/A")</f>
        <v>#N/A</v>
      </c>
      <c r="H32434" s="4" t="str">
        <v/>
      </c>
      <c r="I32434" s="4" t="str">
        <v/>
      </c>
    </row>
    <row r="32435" spans="5:9" ht="16.5" hidden="1">
      <c r="E32435" s="4" t="str">
        <v/>
      </c>
      <c r="F32435" s="102" t="str">
        <f ca="1">IFERROR(__xludf.DUMMYFUNCTION("IMPORTRANGE(H32435,""IDENTITAS UNIT!D9"")"),"#N/A")</f>
        <v>#N/A</v>
      </c>
      <c r="H32435" s="4" t="str">
        <v/>
      </c>
      <c r="I32435" s="4" t="str">
        <v/>
      </c>
    </row>
    <row r="32436" spans="5:9" ht="16.5" hidden="1">
      <c r="E32436" s="4" t="str">
        <v/>
      </c>
      <c r="F32436" s="102" t="str">
        <f ca="1">IFERROR(__xludf.DUMMYFUNCTION("IMPORTRANGE(H32436,""IDENTITAS UNIT!D9"")"),"#N/A")</f>
        <v>#N/A</v>
      </c>
      <c r="H32436" s="4" t="str">
        <v/>
      </c>
      <c r="I32436" s="4" t="str">
        <v/>
      </c>
    </row>
    <row r="32437" spans="5:9" ht="16.5" hidden="1">
      <c r="E32437" s="4" t="str">
        <v/>
      </c>
      <c r="F32437" s="102" t="str">
        <f ca="1">IFERROR(__xludf.DUMMYFUNCTION("IMPORTRANGE(H32437,""IDENTITAS UNIT!D9"")"),"#N/A")</f>
        <v>#N/A</v>
      </c>
      <c r="H32437" s="4" t="str">
        <v/>
      </c>
      <c r="I32437" s="4" t="str">
        <v/>
      </c>
    </row>
    <row r="32438" spans="5:9" ht="16.5" hidden="1">
      <c r="E32438" s="4" t="str">
        <v/>
      </c>
      <c r="F32438" s="102" t="str">
        <f ca="1">IFERROR(__xludf.DUMMYFUNCTION("IMPORTRANGE(H32438,""IDENTITAS UNIT!D9"")"),"#N/A")</f>
        <v>#N/A</v>
      </c>
      <c r="H32438" s="4" t="str">
        <v/>
      </c>
      <c r="I32438" s="4" t="str">
        <v/>
      </c>
    </row>
    <row r="32439" spans="5:9" ht="16.5" hidden="1">
      <c r="E32439" s="4" t="str">
        <v/>
      </c>
      <c r="F32439" s="102" t="str">
        <f ca="1">IFERROR(__xludf.DUMMYFUNCTION("IMPORTRANGE(H32439,""IDENTITAS UNIT!D9"")"),"#N/A")</f>
        <v>#N/A</v>
      </c>
      <c r="H32439" s="4" t="str">
        <v/>
      </c>
      <c r="I32439" s="4" t="str">
        <v/>
      </c>
    </row>
    <row r="32440" spans="5:9" ht="16.5" hidden="1">
      <c r="E32440" s="4" t="str">
        <v/>
      </c>
      <c r="F32440" s="102" t="str">
        <f ca="1">IFERROR(__xludf.DUMMYFUNCTION("IMPORTRANGE(H32440,""IDENTITAS UNIT!D9"")"),"#N/A")</f>
        <v>#N/A</v>
      </c>
      <c r="H32440" s="4" t="str">
        <v/>
      </c>
      <c r="I32440" s="4" t="str">
        <v/>
      </c>
    </row>
    <row r="32441" spans="5:9" ht="16.5" hidden="1">
      <c r="E32441" s="4" t="str">
        <v/>
      </c>
      <c r="F32441" s="102" t="str">
        <f ca="1">IFERROR(__xludf.DUMMYFUNCTION("IMPORTRANGE(H32441,""IDENTITAS UNIT!D9"")"),"#N/A")</f>
        <v>#N/A</v>
      </c>
      <c r="H32441" s="4" t="str">
        <v/>
      </c>
      <c r="I32441" s="4" t="str">
        <v/>
      </c>
    </row>
    <row r="32442" spans="5:9" ht="16.5" hidden="1">
      <c r="E32442" s="4" t="str">
        <v/>
      </c>
      <c r="F32442" s="102" t="str">
        <f ca="1">IFERROR(__xludf.DUMMYFUNCTION("IMPORTRANGE(H32442,""IDENTITAS UNIT!D9"")"),"#N/A")</f>
        <v>#N/A</v>
      </c>
      <c r="H32442" s="4" t="str">
        <v/>
      </c>
      <c r="I32442" s="4" t="str">
        <v/>
      </c>
    </row>
    <row r="32443" spans="5:9" ht="16.5" hidden="1">
      <c r="E32443" s="4" t="str">
        <v/>
      </c>
      <c r="F32443" s="102" t="str">
        <f ca="1">IFERROR(__xludf.DUMMYFUNCTION("IMPORTRANGE(H32443,""IDENTITAS UNIT!D9"")"),"#N/A")</f>
        <v>#N/A</v>
      </c>
      <c r="H32443" s="4" t="str">
        <v/>
      </c>
      <c r="I32443" s="4" t="str">
        <v/>
      </c>
    </row>
    <row r="32444" spans="5:9" ht="16.5" hidden="1">
      <c r="E32444" s="4" t="str">
        <v/>
      </c>
      <c r="F32444" s="102" t="str">
        <f ca="1">IFERROR(__xludf.DUMMYFUNCTION("IMPORTRANGE(H32444,""IDENTITAS UNIT!D9"")"),"#N/A")</f>
        <v>#N/A</v>
      </c>
      <c r="H32444" s="4" t="str">
        <v/>
      </c>
      <c r="I32444" s="4" t="str">
        <v/>
      </c>
    </row>
    <row r="32445" spans="5:9" ht="16.5" hidden="1">
      <c r="E32445" s="4" t="str">
        <v/>
      </c>
      <c r="F32445" s="102" t="str">
        <f ca="1">IFERROR(__xludf.DUMMYFUNCTION("IMPORTRANGE(H32445,""IDENTITAS UNIT!D9"")"),"#N/A")</f>
        <v>#N/A</v>
      </c>
      <c r="H32445" s="4" t="str">
        <v/>
      </c>
      <c r="I32445" s="4" t="str">
        <v/>
      </c>
    </row>
    <row r="32446" spans="5:9" ht="16.5" hidden="1">
      <c r="E32446" s="4" t="str">
        <v/>
      </c>
      <c r="F32446" s="102" t="str">
        <f ca="1">IFERROR(__xludf.DUMMYFUNCTION("IMPORTRANGE(H32446,""IDENTITAS UNIT!D9"")"),"#N/A")</f>
        <v>#N/A</v>
      </c>
      <c r="H32446" s="4" t="str">
        <v/>
      </c>
      <c r="I32446" s="4" t="str">
        <v/>
      </c>
    </row>
    <row r="32447" spans="5:9" ht="16.5" hidden="1">
      <c r="E32447" s="4" t="str">
        <v/>
      </c>
      <c r="F32447" s="102" t="str">
        <f ca="1">IFERROR(__xludf.DUMMYFUNCTION("IMPORTRANGE(H32447,""IDENTITAS UNIT!D9"")"),"#N/A")</f>
        <v>#N/A</v>
      </c>
      <c r="H32447" s="4" t="str">
        <v/>
      </c>
      <c r="I32447" s="4" t="str">
        <v/>
      </c>
    </row>
    <row r="32448" spans="5:9" ht="16.5" hidden="1">
      <c r="E32448" s="4" t="str">
        <v/>
      </c>
      <c r="F32448" s="102" t="str">
        <f ca="1">IFERROR(__xludf.DUMMYFUNCTION("IMPORTRANGE(H32448,""IDENTITAS UNIT!D9"")"),"#N/A")</f>
        <v>#N/A</v>
      </c>
      <c r="H32448" s="4" t="str">
        <v/>
      </c>
      <c r="I32448" s="4" t="str">
        <v/>
      </c>
    </row>
    <row r="32449" spans="5:9" ht="16.5" hidden="1">
      <c r="E32449" s="4" t="str">
        <v/>
      </c>
      <c r="F32449" s="102" t="str">
        <f ca="1">IFERROR(__xludf.DUMMYFUNCTION("IMPORTRANGE(H32449,""IDENTITAS UNIT!D9"")"),"#N/A")</f>
        <v>#N/A</v>
      </c>
      <c r="H32449" s="4" t="str">
        <v/>
      </c>
      <c r="I32449" s="4" t="str">
        <v/>
      </c>
    </row>
    <row r="32450" spans="5:9" ht="16.5" hidden="1">
      <c r="E32450" s="4" t="str">
        <v/>
      </c>
      <c r="F32450" s="102" t="str">
        <f ca="1">IFERROR(__xludf.DUMMYFUNCTION("IMPORTRANGE(H32450,""IDENTITAS UNIT!D9"")"),"#N/A")</f>
        <v>#N/A</v>
      </c>
      <c r="H32450" s="4" t="str">
        <v/>
      </c>
      <c r="I32450" s="4" t="str">
        <v/>
      </c>
    </row>
    <row r="32451" spans="5:9" ht="16.5" hidden="1">
      <c r="E32451" s="4" t="str">
        <v/>
      </c>
      <c r="F32451" s="102" t="str">
        <f ca="1">IFERROR(__xludf.DUMMYFUNCTION("IMPORTRANGE(H32451,""IDENTITAS UNIT!D9"")"),"#N/A")</f>
        <v>#N/A</v>
      </c>
      <c r="H32451" s="4" t="str">
        <v/>
      </c>
      <c r="I32451" s="4" t="str">
        <v/>
      </c>
    </row>
    <row r="32452" spans="5:9" ht="16.5" hidden="1">
      <c r="E32452" s="4" t="str">
        <v/>
      </c>
      <c r="F32452" s="102" t="str">
        <f ca="1">IFERROR(__xludf.DUMMYFUNCTION("IMPORTRANGE(H32452,""IDENTITAS UNIT!D9"")"),"#N/A")</f>
        <v>#N/A</v>
      </c>
      <c r="H32452" s="4" t="str">
        <v/>
      </c>
      <c r="I32452" s="4" t="str">
        <v/>
      </c>
    </row>
    <row r="32453" spans="5:9" ht="16.5" hidden="1">
      <c r="E32453" s="4" t="str">
        <v/>
      </c>
      <c r="F32453" s="102" t="str">
        <f ca="1">IFERROR(__xludf.DUMMYFUNCTION("IMPORTRANGE(H32453,""IDENTITAS UNIT!D9"")"),"#N/A")</f>
        <v>#N/A</v>
      </c>
      <c r="H32453" s="4" t="str">
        <v/>
      </c>
      <c r="I32453" s="4" t="str">
        <v/>
      </c>
    </row>
    <row r="32454" spans="5:9" ht="16.5" hidden="1">
      <c r="E32454" s="4" t="str">
        <v/>
      </c>
      <c r="F32454" s="102" t="str">
        <f ca="1">IFERROR(__xludf.DUMMYFUNCTION("IMPORTRANGE(H32454,""IDENTITAS UNIT!D9"")"),"#N/A")</f>
        <v>#N/A</v>
      </c>
      <c r="H32454" s="4" t="str">
        <v/>
      </c>
      <c r="I32454" s="4" t="str">
        <v/>
      </c>
    </row>
    <row r="32455" spans="5:9" ht="16.5" hidden="1">
      <c r="E32455" s="4" t="str">
        <v/>
      </c>
      <c r="F32455" s="102" t="str">
        <f ca="1">IFERROR(__xludf.DUMMYFUNCTION("IMPORTRANGE(H32455,""IDENTITAS UNIT!D9"")"),"#N/A")</f>
        <v>#N/A</v>
      </c>
      <c r="H32455" s="4" t="str">
        <v/>
      </c>
      <c r="I32455" s="4" t="str">
        <v/>
      </c>
    </row>
    <row r="32456" spans="5:9" ht="16.5" hidden="1">
      <c r="E32456" s="4" t="str">
        <v/>
      </c>
      <c r="F32456" s="102" t="str">
        <f ca="1">IFERROR(__xludf.DUMMYFUNCTION("IMPORTRANGE(H32456,""IDENTITAS UNIT!D9"")"),"#N/A")</f>
        <v>#N/A</v>
      </c>
      <c r="H32456" s="4" t="str">
        <v/>
      </c>
      <c r="I32456" s="4" t="str">
        <v/>
      </c>
    </row>
    <row r="32457" spans="5:9" ht="16.5" hidden="1">
      <c r="E32457" s="4" t="str">
        <v/>
      </c>
      <c r="F32457" s="102" t="str">
        <f ca="1">IFERROR(__xludf.DUMMYFUNCTION("IMPORTRANGE(H32457,""IDENTITAS UNIT!D9"")"),"#N/A")</f>
        <v>#N/A</v>
      </c>
      <c r="H32457" s="4" t="str">
        <v/>
      </c>
      <c r="I32457" s="4" t="str">
        <v/>
      </c>
    </row>
    <row r="32458" spans="5:9" ht="16.5" hidden="1">
      <c r="E32458" s="4" t="str">
        <v/>
      </c>
      <c r="F32458" s="102" t="str">
        <f ca="1">IFERROR(__xludf.DUMMYFUNCTION("IMPORTRANGE(H32458,""IDENTITAS UNIT!D9"")"),"#N/A")</f>
        <v>#N/A</v>
      </c>
      <c r="H32458" s="4" t="str">
        <v/>
      </c>
      <c r="I32458" s="4" t="str">
        <v/>
      </c>
    </row>
    <row r="32459" spans="5:9" ht="16.5" hidden="1">
      <c r="E32459" s="4" t="str">
        <v/>
      </c>
      <c r="F32459" s="102" t="str">
        <f ca="1">IFERROR(__xludf.DUMMYFUNCTION("IMPORTRANGE(H32459,""IDENTITAS UNIT!D9"")"),"#N/A")</f>
        <v>#N/A</v>
      </c>
      <c r="H32459" s="4" t="str">
        <v/>
      </c>
      <c r="I32459" s="4" t="str">
        <v/>
      </c>
    </row>
    <row r="32460" spans="5:9" ht="16.5" hidden="1">
      <c r="E32460" s="4" t="str">
        <v/>
      </c>
      <c r="F32460" s="102" t="str">
        <f ca="1">IFERROR(__xludf.DUMMYFUNCTION("IMPORTRANGE(H32460,""IDENTITAS UNIT!D9"")"),"#N/A")</f>
        <v>#N/A</v>
      </c>
      <c r="H32460" s="4" t="str">
        <v/>
      </c>
      <c r="I32460" s="4" t="str">
        <v/>
      </c>
    </row>
    <row r="32461" spans="5:9" ht="16.5" hidden="1">
      <c r="E32461" s="4" t="str">
        <v/>
      </c>
      <c r="F32461" s="102" t="str">
        <f ca="1">IFERROR(__xludf.DUMMYFUNCTION("IMPORTRANGE(H32461,""IDENTITAS UNIT!D9"")"),"#N/A")</f>
        <v>#N/A</v>
      </c>
      <c r="H32461" s="4" t="str">
        <v/>
      </c>
      <c r="I32461" s="4" t="str">
        <v/>
      </c>
    </row>
    <row r="32462" spans="5:9" ht="16.5" hidden="1">
      <c r="E32462" s="4" t="str">
        <v/>
      </c>
      <c r="F32462" s="102" t="str">
        <f ca="1">IFERROR(__xludf.DUMMYFUNCTION("IMPORTRANGE(H32462,""IDENTITAS UNIT!D9"")"),"#N/A")</f>
        <v>#N/A</v>
      </c>
      <c r="H32462" s="4" t="str">
        <v/>
      </c>
      <c r="I32462" s="4" t="str">
        <v/>
      </c>
    </row>
    <row r="32463" spans="5:9" ht="16.5" hidden="1">
      <c r="E32463" s="4" t="str">
        <v/>
      </c>
      <c r="F32463" s="102" t="str">
        <f ca="1">IFERROR(__xludf.DUMMYFUNCTION("IMPORTRANGE(H32463,""IDENTITAS UNIT!D9"")"),"#N/A")</f>
        <v>#N/A</v>
      </c>
      <c r="H32463" s="4" t="str">
        <v/>
      </c>
      <c r="I32463" s="4" t="str">
        <v/>
      </c>
    </row>
    <row r="32464" spans="5:9" ht="16.5" hidden="1">
      <c r="E32464" s="4" t="str">
        <v/>
      </c>
      <c r="F32464" s="102" t="str">
        <f ca="1">IFERROR(__xludf.DUMMYFUNCTION("IMPORTRANGE(H32464,""IDENTITAS UNIT!D9"")"),"#N/A")</f>
        <v>#N/A</v>
      </c>
      <c r="H32464" s="4" t="str">
        <v/>
      </c>
      <c r="I32464" s="4" t="str">
        <v/>
      </c>
    </row>
    <row r="32465" spans="5:9" ht="16.5" hidden="1">
      <c r="E32465" s="4" t="str">
        <v/>
      </c>
      <c r="F32465" s="102" t="str">
        <f ca="1">IFERROR(__xludf.DUMMYFUNCTION("IMPORTRANGE(H32465,""IDENTITAS UNIT!D9"")"),"#N/A")</f>
        <v>#N/A</v>
      </c>
      <c r="H32465" s="4" t="str">
        <v/>
      </c>
      <c r="I32465" s="4" t="str">
        <v/>
      </c>
    </row>
    <row r="32466" spans="5:9" ht="16.5" hidden="1">
      <c r="E32466" s="4" t="str">
        <v/>
      </c>
      <c r="F32466" s="102" t="str">
        <f ca="1">IFERROR(__xludf.DUMMYFUNCTION("IMPORTRANGE(H32466,""IDENTITAS UNIT!D9"")"),"#N/A")</f>
        <v>#N/A</v>
      </c>
      <c r="H32466" s="4" t="str">
        <v/>
      </c>
      <c r="I32466" s="4" t="str">
        <v/>
      </c>
    </row>
    <row r="32467" spans="5:9" ht="16.5" hidden="1">
      <c r="E32467" s="4" t="str">
        <v/>
      </c>
      <c r="F32467" s="102" t="str">
        <f ca="1">IFERROR(__xludf.DUMMYFUNCTION("IMPORTRANGE(H32467,""IDENTITAS UNIT!D9"")"),"#N/A")</f>
        <v>#N/A</v>
      </c>
      <c r="H32467" s="4" t="str">
        <v/>
      </c>
      <c r="I32467" s="4" t="str">
        <v/>
      </c>
    </row>
    <row r="32468" spans="5:9" ht="16.5" hidden="1">
      <c r="E32468" s="4" t="str">
        <v/>
      </c>
      <c r="F32468" s="102" t="str">
        <f ca="1">IFERROR(__xludf.DUMMYFUNCTION("IMPORTRANGE(H32468,""IDENTITAS UNIT!D9"")"),"#N/A")</f>
        <v>#N/A</v>
      </c>
      <c r="H32468" s="4" t="str">
        <v/>
      </c>
      <c r="I32468" s="4" t="str">
        <v/>
      </c>
    </row>
    <row r="32469" spans="5:9" ht="16.5" hidden="1">
      <c r="E32469" s="4" t="str">
        <v/>
      </c>
      <c r="F32469" s="102" t="str">
        <f ca="1">IFERROR(__xludf.DUMMYFUNCTION("IMPORTRANGE(H32469,""IDENTITAS UNIT!D9"")"),"#N/A")</f>
        <v>#N/A</v>
      </c>
      <c r="H32469" s="4" t="str">
        <v/>
      </c>
      <c r="I32469" s="4" t="str">
        <v/>
      </c>
    </row>
    <row r="32470" spans="5:9" ht="16.5" hidden="1">
      <c r="E32470" s="4" t="str">
        <v/>
      </c>
      <c r="F32470" s="102" t="str">
        <f ca="1">IFERROR(__xludf.DUMMYFUNCTION("IMPORTRANGE(H32470,""IDENTITAS UNIT!D9"")"),"#N/A")</f>
        <v>#N/A</v>
      </c>
      <c r="H32470" s="4" t="str">
        <v/>
      </c>
      <c r="I32470" s="4" t="str">
        <v/>
      </c>
    </row>
    <row r="32471" spans="5:9" ht="16.5" hidden="1">
      <c r="E32471" s="4" t="str">
        <v/>
      </c>
      <c r="F32471" s="102" t="str">
        <f ca="1">IFERROR(__xludf.DUMMYFUNCTION("IMPORTRANGE(H32471,""IDENTITAS UNIT!D9"")"),"#N/A")</f>
        <v>#N/A</v>
      </c>
      <c r="H32471" s="4" t="str">
        <v/>
      </c>
      <c r="I32471" s="4" t="str">
        <v/>
      </c>
    </row>
    <row r="32472" spans="5:9" ht="16.5" hidden="1">
      <c r="E32472" s="4" t="str">
        <v/>
      </c>
      <c r="F32472" s="102" t="str">
        <f ca="1">IFERROR(__xludf.DUMMYFUNCTION("IMPORTRANGE(H32472,""IDENTITAS UNIT!D9"")"),"#N/A")</f>
        <v>#N/A</v>
      </c>
      <c r="H32472" s="4" t="str">
        <v/>
      </c>
      <c r="I32472" s="4" t="str">
        <v/>
      </c>
    </row>
    <row r="32473" spans="5:9" ht="16.5" hidden="1">
      <c r="E32473" s="4" t="str">
        <v/>
      </c>
      <c r="F32473" s="102" t="str">
        <f ca="1">IFERROR(__xludf.DUMMYFUNCTION("IMPORTRANGE(H32473,""IDENTITAS UNIT!D9"")"),"#N/A")</f>
        <v>#N/A</v>
      </c>
      <c r="H32473" s="4" t="str">
        <v/>
      </c>
      <c r="I32473" s="4" t="str">
        <v/>
      </c>
    </row>
    <row r="32474" spans="5:9" ht="16.5" hidden="1">
      <c r="E32474" s="4" t="str">
        <v/>
      </c>
      <c r="F32474" s="102" t="str">
        <f ca="1">IFERROR(__xludf.DUMMYFUNCTION("IMPORTRANGE(H32474,""IDENTITAS UNIT!D9"")"),"#N/A")</f>
        <v>#N/A</v>
      </c>
      <c r="H32474" s="4" t="str">
        <v/>
      </c>
      <c r="I32474" s="4" t="str">
        <v/>
      </c>
    </row>
    <row r="32475" spans="5:9" ht="16.5" hidden="1">
      <c r="E32475" s="4" t="str">
        <v/>
      </c>
      <c r="F32475" s="102" t="str">
        <f ca="1">IFERROR(__xludf.DUMMYFUNCTION("IMPORTRANGE(H32475,""IDENTITAS UNIT!D9"")"),"#N/A")</f>
        <v>#N/A</v>
      </c>
      <c r="H32475" s="4" t="str">
        <v/>
      </c>
      <c r="I32475" s="4" t="str">
        <v/>
      </c>
    </row>
    <row r="32476" spans="5:9" ht="16.5" hidden="1">
      <c r="E32476" s="4" t="str">
        <v/>
      </c>
      <c r="F32476" s="102" t="str">
        <f ca="1">IFERROR(__xludf.DUMMYFUNCTION("IMPORTRANGE(H32476,""IDENTITAS UNIT!D9"")"),"#N/A")</f>
        <v>#N/A</v>
      </c>
      <c r="H32476" s="4" t="str">
        <v/>
      </c>
      <c r="I32476" s="4" t="str">
        <v/>
      </c>
    </row>
    <row r="32477" spans="5:9" ht="16.5" hidden="1">
      <c r="E32477" s="4" t="str">
        <v/>
      </c>
      <c r="F32477" s="102" t="str">
        <f ca="1">IFERROR(__xludf.DUMMYFUNCTION("IMPORTRANGE(H32477,""IDENTITAS UNIT!D9"")"),"#N/A")</f>
        <v>#N/A</v>
      </c>
      <c r="H32477" s="4" t="str">
        <v/>
      </c>
      <c r="I32477" s="4" t="str">
        <v/>
      </c>
    </row>
    <row r="32478" spans="5:9" ht="16.5" hidden="1">
      <c r="E32478" s="4" t="str">
        <v/>
      </c>
      <c r="F32478" s="102" t="str">
        <f ca="1">IFERROR(__xludf.DUMMYFUNCTION("IMPORTRANGE(H32478,""IDENTITAS UNIT!D9"")"),"#N/A")</f>
        <v>#N/A</v>
      </c>
      <c r="H32478" s="4" t="str">
        <v/>
      </c>
      <c r="I32478" s="4" t="str">
        <v/>
      </c>
    </row>
    <row r="32479" spans="5:9" ht="16.5" hidden="1">
      <c r="E32479" s="4" t="str">
        <v/>
      </c>
      <c r="F32479" s="102" t="str">
        <f ca="1">IFERROR(__xludf.DUMMYFUNCTION("IMPORTRANGE(H32479,""IDENTITAS UNIT!D9"")"),"#N/A")</f>
        <v>#N/A</v>
      </c>
      <c r="H32479" s="4" t="str">
        <v/>
      </c>
      <c r="I32479" s="4" t="str">
        <v/>
      </c>
    </row>
    <row r="32480" spans="5:9" ht="16.5" hidden="1">
      <c r="E32480" s="4" t="str">
        <v/>
      </c>
      <c r="F32480" s="102" t="str">
        <f ca="1">IFERROR(__xludf.DUMMYFUNCTION("IMPORTRANGE(H32480,""IDENTITAS UNIT!D9"")"),"#N/A")</f>
        <v>#N/A</v>
      </c>
      <c r="H32480" s="4" t="str">
        <v/>
      </c>
      <c r="I32480" s="4" t="str">
        <v/>
      </c>
    </row>
    <row r="32481" spans="5:9" ht="16.5" hidden="1">
      <c r="E32481" s="4" t="str">
        <v/>
      </c>
      <c r="F32481" s="102" t="str">
        <f ca="1">IFERROR(__xludf.DUMMYFUNCTION("IMPORTRANGE(H32481,""IDENTITAS UNIT!D9"")"),"#N/A")</f>
        <v>#N/A</v>
      </c>
      <c r="H32481" s="4" t="str">
        <v/>
      </c>
      <c r="I32481" s="4" t="str">
        <v/>
      </c>
    </row>
    <row r="32482" spans="5:9" ht="16.5" hidden="1">
      <c r="E32482" s="4" t="str">
        <v/>
      </c>
      <c r="F32482" s="102" t="str">
        <f ca="1">IFERROR(__xludf.DUMMYFUNCTION("IMPORTRANGE(H32482,""IDENTITAS UNIT!D9"")"),"#N/A")</f>
        <v>#N/A</v>
      </c>
      <c r="H32482" s="4" t="str">
        <v/>
      </c>
      <c r="I32482" s="4" t="str">
        <v/>
      </c>
    </row>
    <row r="32483" spans="5:9" ht="16.5" hidden="1">
      <c r="E32483" s="4" t="str">
        <v/>
      </c>
      <c r="F32483" s="102" t="str">
        <f ca="1">IFERROR(__xludf.DUMMYFUNCTION("IMPORTRANGE(H32483,""IDENTITAS UNIT!D9"")"),"#N/A")</f>
        <v>#N/A</v>
      </c>
      <c r="H32483" s="4" t="str">
        <v/>
      </c>
      <c r="I32483" s="4" t="str">
        <v/>
      </c>
    </row>
    <row r="32484" spans="5:9" ht="16.5" hidden="1">
      <c r="E32484" s="4" t="str">
        <v/>
      </c>
      <c r="F32484" s="102" t="str">
        <f ca="1">IFERROR(__xludf.DUMMYFUNCTION("IMPORTRANGE(H32484,""IDENTITAS UNIT!D9"")"),"#N/A")</f>
        <v>#N/A</v>
      </c>
      <c r="H32484" s="4" t="str">
        <v/>
      </c>
      <c r="I32484" s="4" t="str">
        <v/>
      </c>
    </row>
    <row r="32485" spans="5:9" ht="16.5" hidden="1">
      <c r="E32485" s="4" t="str">
        <v/>
      </c>
      <c r="F32485" s="102" t="str">
        <f ca="1">IFERROR(__xludf.DUMMYFUNCTION("IMPORTRANGE(H32485,""IDENTITAS UNIT!D9"")"),"#N/A")</f>
        <v>#N/A</v>
      </c>
      <c r="H32485" s="4" t="str">
        <v/>
      </c>
      <c r="I32485" s="4" t="str">
        <v/>
      </c>
    </row>
    <row r="32486" spans="5:9" ht="16.5" hidden="1">
      <c r="E32486" s="4" t="str">
        <v/>
      </c>
      <c r="F32486" s="102" t="str">
        <f ca="1">IFERROR(__xludf.DUMMYFUNCTION("IMPORTRANGE(H32486,""IDENTITAS UNIT!D9"")"),"#N/A")</f>
        <v>#N/A</v>
      </c>
      <c r="H32486" s="4" t="str">
        <v/>
      </c>
      <c r="I32486" s="4" t="str">
        <v/>
      </c>
    </row>
    <row r="32487" spans="5:9" ht="16.5" hidden="1">
      <c r="E32487" s="4" t="str">
        <v/>
      </c>
      <c r="F32487" s="102" t="str">
        <f ca="1">IFERROR(__xludf.DUMMYFUNCTION("IMPORTRANGE(H32487,""IDENTITAS UNIT!D9"")"),"#N/A")</f>
        <v>#N/A</v>
      </c>
      <c r="H32487" s="4" t="str">
        <v/>
      </c>
      <c r="I32487" s="4" t="str">
        <v/>
      </c>
    </row>
    <row r="32488" spans="5:9" ht="16.5" hidden="1">
      <c r="E32488" s="4" t="str">
        <v/>
      </c>
      <c r="F32488" s="102" t="str">
        <f ca="1">IFERROR(__xludf.DUMMYFUNCTION("IMPORTRANGE(H32488,""IDENTITAS UNIT!D9"")"),"#N/A")</f>
        <v>#N/A</v>
      </c>
      <c r="H32488" s="4" t="str">
        <v/>
      </c>
      <c r="I32488" s="4" t="str">
        <v/>
      </c>
    </row>
    <row r="32489" spans="5:9" ht="16.5" hidden="1">
      <c r="E32489" s="4" t="str">
        <v/>
      </c>
      <c r="F32489" s="102" t="str">
        <f ca="1">IFERROR(__xludf.DUMMYFUNCTION("IMPORTRANGE(H32489,""IDENTITAS UNIT!D9"")"),"#N/A")</f>
        <v>#N/A</v>
      </c>
      <c r="H32489" s="4" t="str">
        <v/>
      </c>
      <c r="I32489" s="4" t="str">
        <v/>
      </c>
    </row>
    <row r="32490" spans="5:9" ht="16.5" hidden="1">
      <c r="E32490" s="4" t="str">
        <v/>
      </c>
      <c r="F32490" s="102" t="str">
        <f ca="1">IFERROR(__xludf.DUMMYFUNCTION("IMPORTRANGE(H32490,""IDENTITAS UNIT!D9"")"),"#N/A")</f>
        <v>#N/A</v>
      </c>
      <c r="H32490" s="4" t="str">
        <v/>
      </c>
      <c r="I32490" s="4" t="str">
        <v/>
      </c>
    </row>
    <row r="32491" spans="5:9" ht="16.5" hidden="1">
      <c r="E32491" s="4" t="str">
        <v/>
      </c>
      <c r="F32491" s="102" t="str">
        <f ca="1">IFERROR(__xludf.DUMMYFUNCTION("IMPORTRANGE(H32491,""IDENTITAS UNIT!D9"")"),"#N/A")</f>
        <v>#N/A</v>
      </c>
      <c r="H32491" s="4" t="str">
        <v/>
      </c>
      <c r="I32491" s="4" t="str">
        <v/>
      </c>
    </row>
    <row r="32492" spans="5:9" ht="16.5" hidden="1">
      <c r="E32492" s="4" t="str">
        <v/>
      </c>
      <c r="F32492" s="102" t="str">
        <f ca="1">IFERROR(__xludf.DUMMYFUNCTION("IMPORTRANGE(H32492,""IDENTITAS UNIT!D9"")"),"#N/A")</f>
        <v>#N/A</v>
      </c>
      <c r="H32492" s="4" t="str">
        <v/>
      </c>
      <c r="I32492" s="4" t="str">
        <v/>
      </c>
    </row>
    <row r="32493" spans="5:9" ht="16.5" hidden="1">
      <c r="E32493" s="4" t="str">
        <v/>
      </c>
      <c r="F32493" s="102" t="str">
        <f ca="1">IFERROR(__xludf.DUMMYFUNCTION("IMPORTRANGE(H32493,""IDENTITAS UNIT!D9"")"),"#N/A")</f>
        <v>#N/A</v>
      </c>
      <c r="H32493" s="4" t="str">
        <v/>
      </c>
      <c r="I32493" s="4" t="str">
        <v/>
      </c>
    </row>
    <row r="32494" spans="5:9" ht="16.5" hidden="1">
      <c r="E32494" s="4" t="str">
        <v/>
      </c>
      <c r="F32494" s="102" t="str">
        <f ca="1">IFERROR(__xludf.DUMMYFUNCTION("IMPORTRANGE(H32494,""IDENTITAS UNIT!D9"")"),"#N/A")</f>
        <v>#N/A</v>
      </c>
      <c r="H32494" s="4" t="str">
        <v/>
      </c>
      <c r="I32494" s="4" t="str">
        <v/>
      </c>
    </row>
    <row r="32495" spans="5:9" ht="16.5" hidden="1">
      <c r="E32495" s="4" t="str">
        <v/>
      </c>
      <c r="F32495" s="102" t="str">
        <f ca="1">IFERROR(__xludf.DUMMYFUNCTION("IMPORTRANGE(H32495,""IDENTITAS UNIT!D9"")"),"#N/A")</f>
        <v>#N/A</v>
      </c>
      <c r="H32495" s="4" t="str">
        <v/>
      </c>
      <c r="I32495" s="4" t="str">
        <v/>
      </c>
    </row>
    <row r="32496" spans="5:9" ht="16.5" hidden="1">
      <c r="E32496" s="4" t="str">
        <v/>
      </c>
      <c r="F32496" s="102" t="str">
        <f ca="1">IFERROR(__xludf.DUMMYFUNCTION("IMPORTRANGE(H32496,""IDENTITAS UNIT!D9"")"),"#N/A")</f>
        <v>#N/A</v>
      </c>
      <c r="H32496" s="4" t="str">
        <v/>
      </c>
      <c r="I32496" s="4" t="str">
        <v/>
      </c>
    </row>
    <row r="32497" spans="5:9" ht="16.5" hidden="1">
      <c r="E32497" s="4" t="str">
        <v/>
      </c>
      <c r="F32497" s="102" t="str">
        <f ca="1">IFERROR(__xludf.DUMMYFUNCTION("IMPORTRANGE(H32497,""IDENTITAS UNIT!D9"")"),"#N/A")</f>
        <v>#N/A</v>
      </c>
      <c r="H32497" s="4" t="str">
        <v/>
      </c>
      <c r="I32497" s="4" t="str">
        <v/>
      </c>
    </row>
    <row r="32498" spans="5:9" ht="16.5" hidden="1">
      <c r="E32498" s="4" t="str">
        <v/>
      </c>
      <c r="F32498" s="102" t="str">
        <f ca="1">IFERROR(__xludf.DUMMYFUNCTION("IMPORTRANGE(H32498,""IDENTITAS UNIT!D9"")"),"#N/A")</f>
        <v>#N/A</v>
      </c>
      <c r="H32498" s="4" t="str">
        <v/>
      </c>
      <c r="I32498" s="4" t="str">
        <v/>
      </c>
    </row>
    <row r="32499" spans="5:9" ht="16.5" hidden="1">
      <c r="E32499" s="4" t="str">
        <v/>
      </c>
      <c r="F32499" s="102" t="str">
        <f ca="1">IFERROR(__xludf.DUMMYFUNCTION("IMPORTRANGE(H32499,""IDENTITAS UNIT!D9"")"),"#N/A")</f>
        <v>#N/A</v>
      </c>
      <c r="H32499" s="4" t="str">
        <v/>
      </c>
      <c r="I32499" s="4" t="str">
        <v/>
      </c>
    </row>
    <row r="32500" spans="5:9" ht="16.5" hidden="1">
      <c r="E32500" s="4" t="str">
        <v/>
      </c>
      <c r="F32500" s="102" t="str">
        <f ca="1">IFERROR(__xludf.DUMMYFUNCTION("IMPORTRANGE(H32500,""IDENTITAS UNIT!D9"")"),"#N/A")</f>
        <v>#N/A</v>
      </c>
      <c r="H32500" s="4" t="str">
        <v/>
      </c>
      <c r="I32500" s="4" t="str">
        <v/>
      </c>
    </row>
    <row r="32501" spans="5:9" ht="16.5" hidden="1">
      <c r="E32501" s="4" t="str">
        <v/>
      </c>
      <c r="F32501" s="102" t="str">
        <f ca="1">IFERROR(__xludf.DUMMYFUNCTION("IMPORTRANGE(H32501,""IDENTITAS UNIT!D9"")"),"#N/A")</f>
        <v>#N/A</v>
      </c>
      <c r="H32501" s="4" t="str">
        <v/>
      </c>
      <c r="I32501" s="4" t="str">
        <v/>
      </c>
    </row>
    <row r="32502" spans="5:9" ht="16.5" hidden="1">
      <c r="E32502" s="4" t="str">
        <v/>
      </c>
      <c r="F32502" s="102" t="str">
        <f ca="1">IFERROR(__xludf.DUMMYFUNCTION("IMPORTRANGE(H32502,""IDENTITAS UNIT!D9"")"),"#N/A")</f>
        <v>#N/A</v>
      </c>
      <c r="H32502" s="4" t="str">
        <v/>
      </c>
      <c r="I32502" s="4" t="str">
        <v/>
      </c>
    </row>
    <row r="32503" spans="5:9" ht="16.5" hidden="1">
      <c r="E32503" s="4" t="str">
        <v/>
      </c>
      <c r="F32503" s="102" t="str">
        <f ca="1">IFERROR(__xludf.DUMMYFUNCTION("IMPORTRANGE(H32503,""IDENTITAS UNIT!D9"")"),"#N/A")</f>
        <v>#N/A</v>
      </c>
      <c r="H32503" s="4" t="str">
        <v/>
      </c>
      <c r="I32503" s="4" t="str">
        <v/>
      </c>
    </row>
    <row r="32504" spans="5:9" ht="16.5" hidden="1">
      <c r="E32504" s="4" t="str">
        <v/>
      </c>
      <c r="F32504" s="102" t="str">
        <f ca="1">IFERROR(__xludf.DUMMYFUNCTION("IMPORTRANGE(H32504,""IDENTITAS UNIT!D9"")"),"#N/A")</f>
        <v>#N/A</v>
      </c>
      <c r="H32504" s="4" t="str">
        <v/>
      </c>
      <c r="I32504" s="4" t="str">
        <v/>
      </c>
    </row>
    <row r="32505" spans="5:9" ht="16.5" hidden="1">
      <c r="E32505" s="4" t="str">
        <v/>
      </c>
      <c r="F32505" s="102" t="str">
        <f ca="1">IFERROR(__xludf.DUMMYFUNCTION("IMPORTRANGE(H32505,""IDENTITAS UNIT!D9"")"),"#N/A")</f>
        <v>#N/A</v>
      </c>
      <c r="H32505" s="4" t="str">
        <v/>
      </c>
      <c r="I32505" s="4" t="str">
        <v/>
      </c>
    </row>
    <row r="32506" spans="5:9" ht="16.5" hidden="1">
      <c r="E32506" s="4" t="str">
        <v/>
      </c>
      <c r="F32506" s="102" t="str">
        <f ca="1">IFERROR(__xludf.DUMMYFUNCTION("IMPORTRANGE(H32506,""IDENTITAS UNIT!D9"")"),"#N/A")</f>
        <v>#N/A</v>
      </c>
      <c r="H32506" s="4" t="str">
        <v/>
      </c>
      <c r="I32506" s="4" t="str">
        <v/>
      </c>
    </row>
    <row r="32507" spans="5:9" ht="16.5" hidden="1">
      <c r="E32507" s="4" t="str">
        <v/>
      </c>
      <c r="F32507" s="102" t="str">
        <f ca="1">IFERROR(__xludf.DUMMYFUNCTION("IMPORTRANGE(H32507,""IDENTITAS UNIT!D9"")"),"#N/A")</f>
        <v>#N/A</v>
      </c>
      <c r="H32507" s="4" t="str">
        <v/>
      </c>
      <c r="I32507" s="4" t="str">
        <v/>
      </c>
    </row>
    <row r="32508" spans="5:9" ht="16.5" hidden="1">
      <c r="E32508" s="4" t="str">
        <v/>
      </c>
      <c r="F32508" s="102" t="str">
        <f ca="1">IFERROR(__xludf.DUMMYFUNCTION("IMPORTRANGE(H32508,""IDENTITAS UNIT!D9"")"),"#N/A")</f>
        <v>#N/A</v>
      </c>
      <c r="H32508" s="4" t="str">
        <v/>
      </c>
      <c r="I32508" s="4" t="str">
        <v/>
      </c>
    </row>
    <row r="32509" spans="5:9" ht="16.5" hidden="1">
      <c r="E32509" s="4" t="str">
        <v/>
      </c>
      <c r="F32509" s="102" t="str">
        <f ca="1">IFERROR(__xludf.DUMMYFUNCTION("IMPORTRANGE(H32509,""IDENTITAS UNIT!D9"")"),"#N/A")</f>
        <v>#N/A</v>
      </c>
      <c r="H32509" s="4" t="str">
        <v/>
      </c>
      <c r="I32509" s="4" t="str">
        <v/>
      </c>
    </row>
    <row r="32510" spans="5:9" ht="16.5" hidden="1">
      <c r="E32510" s="4" t="str">
        <v/>
      </c>
      <c r="F32510" s="102" t="str">
        <f ca="1">IFERROR(__xludf.DUMMYFUNCTION("IMPORTRANGE(H32510,""IDENTITAS UNIT!D9"")"),"#N/A")</f>
        <v>#N/A</v>
      </c>
      <c r="H32510" s="4" t="str">
        <v/>
      </c>
      <c r="I32510" s="4" t="str">
        <v/>
      </c>
    </row>
    <row r="32511" spans="5:9" ht="16.5" hidden="1">
      <c r="E32511" s="4" t="str">
        <v/>
      </c>
      <c r="F32511" s="102" t="str">
        <f ca="1">IFERROR(__xludf.DUMMYFUNCTION("IMPORTRANGE(H32511,""IDENTITAS UNIT!D9"")"),"#N/A")</f>
        <v>#N/A</v>
      </c>
      <c r="H32511" s="4" t="str">
        <v/>
      </c>
      <c r="I32511" s="4" t="str">
        <v/>
      </c>
    </row>
    <row r="32512" spans="5:9" ht="16.5" hidden="1">
      <c r="E32512" s="4" t="str">
        <v/>
      </c>
      <c r="F32512" s="102" t="str">
        <f ca="1">IFERROR(__xludf.DUMMYFUNCTION("IMPORTRANGE(H32512,""IDENTITAS UNIT!D9"")"),"#N/A")</f>
        <v>#N/A</v>
      </c>
      <c r="H32512" s="4" t="str">
        <v/>
      </c>
      <c r="I32512" s="4" t="str">
        <v/>
      </c>
    </row>
    <row r="32513" spans="5:9" ht="16.5" hidden="1">
      <c r="E32513" s="4" t="str">
        <v/>
      </c>
      <c r="F32513" s="102" t="str">
        <f ca="1">IFERROR(__xludf.DUMMYFUNCTION("IMPORTRANGE(H32513,""IDENTITAS UNIT!D9"")"),"#N/A")</f>
        <v>#N/A</v>
      </c>
      <c r="H32513" s="4" t="str">
        <v/>
      </c>
      <c r="I32513" s="4" t="str">
        <v/>
      </c>
    </row>
    <row r="32514" spans="5:9" ht="16.5" hidden="1">
      <c r="E32514" s="4" t="str">
        <v/>
      </c>
      <c r="F32514" s="102" t="str">
        <f ca="1">IFERROR(__xludf.DUMMYFUNCTION("IMPORTRANGE(H32514,""IDENTITAS UNIT!D9"")"),"#N/A")</f>
        <v>#N/A</v>
      </c>
      <c r="H32514" s="4" t="str">
        <v/>
      </c>
      <c r="I32514" s="4" t="str">
        <v/>
      </c>
    </row>
    <row r="32515" spans="5:9" ht="16.5" hidden="1">
      <c r="E32515" s="4" t="str">
        <v/>
      </c>
      <c r="F32515" s="102" t="str">
        <f ca="1">IFERROR(__xludf.DUMMYFUNCTION("IMPORTRANGE(H32515,""IDENTITAS UNIT!D9"")"),"#N/A")</f>
        <v>#N/A</v>
      </c>
      <c r="H32515" s="4" t="str">
        <v/>
      </c>
      <c r="I32515" s="4" t="str">
        <v/>
      </c>
    </row>
    <row r="32516" spans="5:9" ht="16.5" hidden="1">
      <c r="E32516" s="4" t="str">
        <v/>
      </c>
      <c r="F32516" s="102" t="str">
        <f ca="1">IFERROR(__xludf.DUMMYFUNCTION("IMPORTRANGE(H32516,""IDENTITAS UNIT!D9"")"),"#N/A")</f>
        <v>#N/A</v>
      </c>
      <c r="H32516" s="4" t="str">
        <v/>
      </c>
      <c r="I32516" s="4" t="str">
        <v/>
      </c>
    </row>
    <row r="32517" spans="5:9" ht="16.5" hidden="1">
      <c r="E32517" s="4" t="str">
        <v/>
      </c>
      <c r="F32517" s="102" t="str">
        <f ca="1">IFERROR(__xludf.DUMMYFUNCTION("IMPORTRANGE(H32517,""IDENTITAS UNIT!D9"")"),"#N/A")</f>
        <v>#N/A</v>
      </c>
      <c r="H32517" s="4" t="str">
        <v/>
      </c>
      <c r="I32517" s="4" t="str">
        <v/>
      </c>
    </row>
    <row r="32518" spans="5:9" ht="16.5" hidden="1">
      <c r="E32518" s="4" t="str">
        <v/>
      </c>
      <c r="F32518" s="102" t="str">
        <f ca="1">IFERROR(__xludf.DUMMYFUNCTION("IMPORTRANGE(H32518,""IDENTITAS UNIT!D9"")"),"#N/A")</f>
        <v>#N/A</v>
      </c>
      <c r="H32518" s="4" t="str">
        <v/>
      </c>
      <c r="I32518" s="4" t="str">
        <v/>
      </c>
    </row>
    <row r="32519" spans="5:9" ht="16.5" hidden="1">
      <c r="E32519" s="4" t="str">
        <v/>
      </c>
      <c r="F32519" s="102" t="str">
        <f ca="1">IFERROR(__xludf.DUMMYFUNCTION("IMPORTRANGE(H32519,""IDENTITAS UNIT!D9"")"),"#N/A")</f>
        <v>#N/A</v>
      </c>
      <c r="H32519" s="4" t="str">
        <v/>
      </c>
      <c r="I32519" s="4" t="str">
        <v/>
      </c>
    </row>
    <row r="32520" spans="5:9" ht="16.5" hidden="1">
      <c r="E32520" s="4" t="str">
        <v/>
      </c>
      <c r="F32520" s="102" t="str">
        <f ca="1">IFERROR(__xludf.DUMMYFUNCTION("IMPORTRANGE(H32520,""IDENTITAS UNIT!D9"")"),"#N/A")</f>
        <v>#N/A</v>
      </c>
      <c r="H32520" s="4" t="str">
        <v/>
      </c>
      <c r="I32520" s="4" t="str">
        <v/>
      </c>
    </row>
    <row r="32521" spans="5:9" ht="16.5" hidden="1">
      <c r="E32521" s="4" t="str">
        <v/>
      </c>
      <c r="F32521" s="102" t="str">
        <f ca="1">IFERROR(__xludf.DUMMYFUNCTION("IMPORTRANGE(H32521,""IDENTITAS UNIT!D9"")"),"#N/A")</f>
        <v>#N/A</v>
      </c>
      <c r="H32521" s="4" t="str">
        <v/>
      </c>
      <c r="I32521" s="4" t="str">
        <v/>
      </c>
    </row>
    <row r="32522" spans="5:9" ht="16.5" hidden="1">
      <c r="E32522" s="4" t="str">
        <v/>
      </c>
      <c r="F32522" s="102" t="str">
        <f ca="1">IFERROR(__xludf.DUMMYFUNCTION("IMPORTRANGE(H32522,""IDENTITAS UNIT!D9"")"),"#N/A")</f>
        <v>#N/A</v>
      </c>
      <c r="H32522" s="4" t="str">
        <v/>
      </c>
      <c r="I32522" s="4" t="str">
        <v/>
      </c>
    </row>
    <row r="32523" spans="5:9" ht="16.5" hidden="1">
      <c r="E32523" s="4" t="str">
        <v/>
      </c>
      <c r="F32523" s="102" t="str">
        <f ca="1">IFERROR(__xludf.DUMMYFUNCTION("IMPORTRANGE(H32523,""IDENTITAS UNIT!D9"")"),"#N/A")</f>
        <v>#N/A</v>
      </c>
      <c r="H32523" s="4" t="str">
        <v/>
      </c>
      <c r="I32523" s="4" t="str">
        <v/>
      </c>
    </row>
    <row r="32524" spans="5:9" ht="16.5" hidden="1">
      <c r="E32524" s="4" t="str">
        <v/>
      </c>
      <c r="F32524" s="102" t="str">
        <f ca="1">IFERROR(__xludf.DUMMYFUNCTION("IMPORTRANGE(H32524,""IDENTITAS UNIT!D9"")"),"#N/A")</f>
        <v>#N/A</v>
      </c>
      <c r="H32524" s="4" t="str">
        <v/>
      </c>
      <c r="I32524" s="4" t="str">
        <v/>
      </c>
    </row>
    <row r="32525" spans="5:9" ht="16.5" hidden="1">
      <c r="E32525" s="4" t="str">
        <v/>
      </c>
      <c r="F32525" s="102" t="str">
        <f ca="1">IFERROR(__xludf.DUMMYFUNCTION("IMPORTRANGE(H32525,""IDENTITAS UNIT!D9"")"),"#N/A")</f>
        <v>#N/A</v>
      </c>
      <c r="H32525" s="4" t="str">
        <v/>
      </c>
      <c r="I32525" s="4" t="str">
        <v/>
      </c>
    </row>
    <row r="32526" spans="5:9" ht="16.5" hidden="1">
      <c r="E32526" s="4" t="str">
        <v/>
      </c>
      <c r="F32526" s="102" t="str">
        <f ca="1">IFERROR(__xludf.DUMMYFUNCTION("IMPORTRANGE(H32526,""IDENTITAS UNIT!D9"")"),"#N/A")</f>
        <v>#N/A</v>
      </c>
      <c r="H32526" s="4" t="str">
        <v/>
      </c>
      <c r="I32526" s="4" t="str">
        <v/>
      </c>
    </row>
    <row r="32527" spans="5:9" ht="16.5" hidden="1">
      <c r="E32527" s="4" t="str">
        <v/>
      </c>
      <c r="F32527" s="102" t="str">
        <f ca="1">IFERROR(__xludf.DUMMYFUNCTION("IMPORTRANGE(H32527,""IDENTITAS UNIT!D9"")"),"#N/A")</f>
        <v>#N/A</v>
      </c>
      <c r="H32527" s="4" t="str">
        <v/>
      </c>
      <c r="I32527" s="4" t="str">
        <v/>
      </c>
    </row>
    <row r="32528" spans="5:9" ht="16.5" hidden="1">
      <c r="E32528" s="4" t="str">
        <v/>
      </c>
      <c r="F32528" s="102" t="str">
        <f ca="1">IFERROR(__xludf.DUMMYFUNCTION("IMPORTRANGE(H32528,""IDENTITAS UNIT!D9"")"),"#N/A")</f>
        <v>#N/A</v>
      </c>
      <c r="H32528" s="4" t="str">
        <v/>
      </c>
      <c r="I32528" s="4" t="str">
        <v/>
      </c>
    </row>
    <row r="32529" spans="5:9" ht="16.5" hidden="1">
      <c r="E32529" s="4" t="str">
        <v/>
      </c>
      <c r="F32529" s="102" t="str">
        <f ca="1">IFERROR(__xludf.DUMMYFUNCTION("IMPORTRANGE(H32529,""IDENTITAS UNIT!D9"")"),"#N/A")</f>
        <v>#N/A</v>
      </c>
      <c r="H32529" s="4" t="str">
        <v/>
      </c>
      <c r="I32529" s="4" t="str">
        <v/>
      </c>
    </row>
    <row r="32530" spans="5:9" ht="16.5" hidden="1">
      <c r="E32530" s="4" t="str">
        <v/>
      </c>
      <c r="F32530" s="102" t="str">
        <f ca="1">IFERROR(__xludf.DUMMYFUNCTION("IMPORTRANGE(H32530,""IDENTITAS UNIT!D9"")"),"#N/A")</f>
        <v>#N/A</v>
      </c>
      <c r="H32530" s="4" t="str">
        <v/>
      </c>
      <c r="I32530" s="4" t="str">
        <v/>
      </c>
    </row>
    <row r="32531" spans="5:9" ht="16.5" hidden="1">
      <c r="E32531" s="4" t="str">
        <v/>
      </c>
      <c r="F32531" s="102" t="str">
        <f ca="1">IFERROR(__xludf.DUMMYFUNCTION("IMPORTRANGE(H32531,""IDENTITAS UNIT!D9"")"),"#N/A")</f>
        <v>#N/A</v>
      </c>
      <c r="H32531" s="4" t="str">
        <v/>
      </c>
      <c r="I32531" s="4" t="str">
        <v/>
      </c>
    </row>
    <row r="32532" spans="5:9" ht="16.5" hidden="1">
      <c r="E32532" s="4" t="str">
        <v/>
      </c>
      <c r="F32532" s="102" t="str">
        <f ca="1">IFERROR(__xludf.DUMMYFUNCTION("IMPORTRANGE(H32532,""IDENTITAS UNIT!D9"")"),"#N/A")</f>
        <v>#N/A</v>
      </c>
      <c r="H32532" s="4" t="str">
        <v/>
      </c>
      <c r="I32532" s="4" t="str">
        <v/>
      </c>
    </row>
    <row r="32533" spans="5:9" ht="16.5" hidden="1">
      <c r="E32533" s="4" t="str">
        <v/>
      </c>
      <c r="F32533" s="102" t="str">
        <f ca="1">IFERROR(__xludf.DUMMYFUNCTION("IMPORTRANGE(H32533,""IDENTITAS UNIT!D9"")"),"#N/A")</f>
        <v>#N/A</v>
      </c>
      <c r="H32533" s="4" t="str">
        <v/>
      </c>
      <c r="I32533" s="4" t="str">
        <v/>
      </c>
    </row>
    <row r="32534" spans="5:9" ht="16.5" hidden="1">
      <c r="E32534" s="4" t="str">
        <v/>
      </c>
      <c r="F32534" s="102" t="str">
        <f ca="1">IFERROR(__xludf.DUMMYFUNCTION("IMPORTRANGE(H32534,""IDENTITAS UNIT!D9"")"),"#N/A")</f>
        <v>#N/A</v>
      </c>
      <c r="H32534" s="4" t="str">
        <v/>
      </c>
      <c r="I32534" s="4" t="str">
        <v/>
      </c>
    </row>
    <row r="32535" spans="5:9" ht="16.5" hidden="1">
      <c r="E32535" s="4" t="str">
        <v/>
      </c>
      <c r="F32535" s="102" t="str">
        <f ca="1">IFERROR(__xludf.DUMMYFUNCTION("IMPORTRANGE(H32535,""IDENTITAS UNIT!D9"")"),"#N/A")</f>
        <v>#N/A</v>
      </c>
      <c r="H32535" s="4" t="str">
        <v/>
      </c>
      <c r="I32535" s="4" t="str">
        <v/>
      </c>
    </row>
    <row r="32536" spans="5:9" ht="16.5" hidden="1">
      <c r="E32536" s="4" t="str">
        <v/>
      </c>
      <c r="F32536" s="102" t="str">
        <f ca="1">IFERROR(__xludf.DUMMYFUNCTION("IMPORTRANGE(H32536,""IDENTITAS UNIT!D9"")"),"#N/A")</f>
        <v>#N/A</v>
      </c>
      <c r="H32536" s="4" t="str">
        <v/>
      </c>
      <c r="I32536" s="4" t="str">
        <v/>
      </c>
    </row>
    <row r="32537" spans="5:9" ht="16.5" hidden="1">
      <c r="E32537" s="4" t="str">
        <v/>
      </c>
      <c r="F32537" s="102" t="str">
        <f ca="1">IFERROR(__xludf.DUMMYFUNCTION("IMPORTRANGE(H32537,""IDENTITAS UNIT!D9"")"),"#N/A")</f>
        <v>#N/A</v>
      </c>
      <c r="H32537" s="4" t="str">
        <v/>
      </c>
      <c r="I32537" s="4" t="str">
        <v/>
      </c>
    </row>
    <row r="32538" spans="5:9" ht="16.5" hidden="1">
      <c r="E32538" s="4" t="str">
        <v/>
      </c>
      <c r="F32538" s="102" t="str">
        <f ca="1">IFERROR(__xludf.DUMMYFUNCTION("IMPORTRANGE(H32538,""IDENTITAS UNIT!D9"")"),"#N/A")</f>
        <v>#N/A</v>
      </c>
      <c r="H32538" s="4" t="str">
        <v/>
      </c>
      <c r="I32538" s="4" t="str">
        <v/>
      </c>
    </row>
    <row r="32539" spans="5:9" ht="16.5" hidden="1">
      <c r="E32539" s="4" t="str">
        <v/>
      </c>
      <c r="F32539" s="102" t="str">
        <f ca="1">IFERROR(__xludf.DUMMYFUNCTION("IMPORTRANGE(H32539,""IDENTITAS UNIT!D9"")"),"#N/A")</f>
        <v>#N/A</v>
      </c>
      <c r="H32539" s="4" t="str">
        <v/>
      </c>
      <c r="I32539" s="4" t="str">
        <v/>
      </c>
    </row>
    <row r="32540" spans="5:9" ht="16.5" hidden="1">
      <c r="E32540" s="4" t="str">
        <v/>
      </c>
      <c r="F32540" s="102" t="str">
        <f ca="1">IFERROR(__xludf.DUMMYFUNCTION("IMPORTRANGE(H32540,""IDENTITAS UNIT!D9"")"),"#N/A")</f>
        <v>#N/A</v>
      </c>
      <c r="H32540" s="4" t="str">
        <v/>
      </c>
      <c r="I32540" s="4" t="str">
        <v/>
      </c>
    </row>
    <row r="32541" spans="5:9" ht="16.5" hidden="1">
      <c r="E32541" s="4" t="str">
        <v/>
      </c>
      <c r="F32541" s="102" t="str">
        <f ca="1">IFERROR(__xludf.DUMMYFUNCTION("IMPORTRANGE(H32541,""IDENTITAS UNIT!D9"")"),"#N/A")</f>
        <v>#N/A</v>
      </c>
      <c r="H32541" s="4" t="str">
        <v/>
      </c>
      <c r="I32541" s="4" t="str">
        <v/>
      </c>
    </row>
    <row r="32542" spans="5:9" ht="16.5" hidden="1">
      <c r="E32542" s="4" t="str">
        <v/>
      </c>
      <c r="F32542" s="102" t="str">
        <f ca="1">IFERROR(__xludf.DUMMYFUNCTION("IMPORTRANGE(H32542,""IDENTITAS UNIT!D9"")"),"#N/A")</f>
        <v>#N/A</v>
      </c>
      <c r="H32542" s="4" t="str">
        <v/>
      </c>
      <c r="I32542" s="4" t="str">
        <v/>
      </c>
    </row>
    <row r="32543" spans="5:9" ht="16.5" hidden="1">
      <c r="E32543" s="4" t="str">
        <v/>
      </c>
      <c r="F32543" s="102" t="str">
        <f ca="1">IFERROR(__xludf.DUMMYFUNCTION("IMPORTRANGE(H32543,""IDENTITAS UNIT!D9"")"),"#N/A")</f>
        <v>#N/A</v>
      </c>
      <c r="H32543" s="4" t="str">
        <v/>
      </c>
      <c r="I32543" s="4" t="str">
        <v/>
      </c>
    </row>
    <row r="32544" spans="5:9" ht="16.5" hidden="1">
      <c r="E32544" s="4" t="str">
        <v/>
      </c>
      <c r="F32544" s="102" t="str">
        <f ca="1">IFERROR(__xludf.DUMMYFUNCTION("IMPORTRANGE(H32544,""IDENTITAS UNIT!D9"")"),"#N/A")</f>
        <v>#N/A</v>
      </c>
      <c r="H32544" s="4" t="str">
        <v/>
      </c>
      <c r="I32544" s="4" t="str">
        <v/>
      </c>
    </row>
    <row r="32545" spans="5:9" ht="16.5" hidden="1">
      <c r="E32545" s="4" t="str">
        <v/>
      </c>
      <c r="F32545" s="102" t="str">
        <f ca="1">IFERROR(__xludf.DUMMYFUNCTION("IMPORTRANGE(H32545,""IDENTITAS UNIT!D9"")"),"#N/A")</f>
        <v>#N/A</v>
      </c>
      <c r="H32545" s="4" t="str">
        <v/>
      </c>
      <c r="I32545" s="4" t="str">
        <v/>
      </c>
    </row>
    <row r="32546" spans="5:9" ht="16.5" hidden="1">
      <c r="E32546" s="4" t="str">
        <v/>
      </c>
      <c r="F32546" s="102" t="str">
        <f ca="1">IFERROR(__xludf.DUMMYFUNCTION("IMPORTRANGE(H32546,""IDENTITAS UNIT!D9"")"),"#N/A")</f>
        <v>#N/A</v>
      </c>
      <c r="H32546" s="4" t="str">
        <v/>
      </c>
      <c r="I32546" s="4" t="str">
        <v/>
      </c>
    </row>
    <row r="32547" spans="5:9" ht="16.5" hidden="1">
      <c r="E32547" s="4" t="str">
        <v/>
      </c>
      <c r="F32547" s="102" t="str">
        <f ca="1">IFERROR(__xludf.DUMMYFUNCTION("IMPORTRANGE(H32547,""IDENTITAS UNIT!D9"")"),"#N/A")</f>
        <v>#N/A</v>
      </c>
      <c r="H32547" s="4" t="str">
        <v/>
      </c>
      <c r="I32547" s="4" t="str">
        <v/>
      </c>
    </row>
    <row r="32548" spans="5:9" ht="16.5" hidden="1">
      <c r="E32548" s="4" t="str">
        <v/>
      </c>
      <c r="F32548" s="102" t="str">
        <f ca="1">IFERROR(__xludf.DUMMYFUNCTION("IMPORTRANGE(H32548,""IDENTITAS UNIT!D9"")"),"#N/A")</f>
        <v>#N/A</v>
      </c>
      <c r="H32548" s="4" t="str">
        <v/>
      </c>
      <c r="I32548" s="4" t="str">
        <v/>
      </c>
    </row>
    <row r="32549" spans="5:9" ht="16.5" hidden="1">
      <c r="E32549" s="4" t="str">
        <v/>
      </c>
      <c r="F32549" s="102" t="str">
        <f ca="1">IFERROR(__xludf.DUMMYFUNCTION("IMPORTRANGE(H32549,""IDENTITAS UNIT!D9"")"),"#N/A")</f>
        <v>#N/A</v>
      </c>
      <c r="H32549" s="4" t="str">
        <v/>
      </c>
      <c r="I32549" s="4" t="str">
        <v/>
      </c>
    </row>
    <row r="32550" spans="5:9" ht="16.5" hidden="1">
      <c r="E32550" s="4" t="str">
        <v/>
      </c>
      <c r="F32550" s="102" t="str">
        <f ca="1">IFERROR(__xludf.DUMMYFUNCTION("IMPORTRANGE(H32550,""IDENTITAS UNIT!D9"")"),"#N/A")</f>
        <v>#N/A</v>
      </c>
      <c r="H32550" s="4" t="str">
        <v/>
      </c>
      <c r="I32550" s="4" t="str">
        <v/>
      </c>
    </row>
    <row r="32551" spans="5:9" ht="16.5" hidden="1">
      <c r="E32551" s="4" t="str">
        <v/>
      </c>
      <c r="F32551" s="102" t="str">
        <f ca="1">IFERROR(__xludf.DUMMYFUNCTION("IMPORTRANGE(H32551,""IDENTITAS UNIT!D9"")"),"#N/A")</f>
        <v>#N/A</v>
      </c>
      <c r="H32551" s="4" t="str">
        <v/>
      </c>
      <c r="I32551" s="4" t="str">
        <v/>
      </c>
    </row>
    <row r="32552" spans="5:9" ht="16.5" hidden="1">
      <c r="E32552" s="4" t="str">
        <v/>
      </c>
      <c r="F32552" s="102" t="str">
        <f ca="1">IFERROR(__xludf.DUMMYFUNCTION("IMPORTRANGE(H32552,""IDENTITAS UNIT!D9"")"),"#N/A")</f>
        <v>#N/A</v>
      </c>
      <c r="H32552" s="4" t="str">
        <v/>
      </c>
      <c r="I32552" s="4" t="str">
        <v/>
      </c>
    </row>
    <row r="32553" spans="5:9" ht="16.5" hidden="1">
      <c r="E32553" s="4" t="str">
        <v/>
      </c>
      <c r="F32553" s="102" t="str">
        <f ca="1">IFERROR(__xludf.DUMMYFUNCTION("IMPORTRANGE(H32553,""IDENTITAS UNIT!D9"")"),"#N/A")</f>
        <v>#N/A</v>
      </c>
      <c r="H32553" s="4" t="str">
        <v/>
      </c>
      <c r="I32553" s="4" t="str">
        <v/>
      </c>
    </row>
    <row r="32554" spans="5:9" ht="16.5" hidden="1">
      <c r="E32554" s="4" t="str">
        <v/>
      </c>
      <c r="F32554" s="102" t="str">
        <f ca="1">IFERROR(__xludf.DUMMYFUNCTION("IMPORTRANGE(H32554,""IDENTITAS UNIT!D9"")"),"#N/A")</f>
        <v>#N/A</v>
      </c>
      <c r="H32554" s="4" t="str">
        <v/>
      </c>
      <c r="I32554" s="4" t="str">
        <v/>
      </c>
    </row>
    <row r="32555" spans="5:9" ht="16.5" hidden="1">
      <c r="E32555" s="4" t="str">
        <v/>
      </c>
      <c r="F32555" s="102" t="str">
        <f ca="1">IFERROR(__xludf.DUMMYFUNCTION("IMPORTRANGE(H32555,""IDENTITAS UNIT!D9"")"),"#N/A")</f>
        <v>#N/A</v>
      </c>
      <c r="H32555" s="4" t="str">
        <v/>
      </c>
      <c r="I32555" s="4" t="str">
        <v/>
      </c>
    </row>
    <row r="32556" spans="5:9" ht="16.5" hidden="1">
      <c r="E32556" s="4" t="str">
        <v/>
      </c>
      <c r="F32556" s="102" t="str">
        <f ca="1">IFERROR(__xludf.DUMMYFUNCTION("IMPORTRANGE(H32556,""IDENTITAS UNIT!D9"")"),"#N/A")</f>
        <v>#N/A</v>
      </c>
      <c r="H32556" s="4" t="str">
        <v/>
      </c>
      <c r="I32556" s="4" t="str">
        <v/>
      </c>
    </row>
    <row r="32557" spans="5:9" ht="16.5" hidden="1">
      <c r="E32557" s="4" t="str">
        <v/>
      </c>
      <c r="F32557" s="102" t="str">
        <f ca="1">IFERROR(__xludf.DUMMYFUNCTION("IMPORTRANGE(H32557,""IDENTITAS UNIT!D9"")"),"#N/A")</f>
        <v>#N/A</v>
      </c>
      <c r="H32557" s="4" t="str">
        <v/>
      </c>
      <c r="I32557" s="4" t="str">
        <v/>
      </c>
    </row>
    <row r="32558" spans="5:9" ht="16.5" hidden="1">
      <c r="E32558" s="4" t="str">
        <v/>
      </c>
      <c r="F32558" s="102" t="str">
        <f ca="1">IFERROR(__xludf.DUMMYFUNCTION("IMPORTRANGE(H32558,""IDENTITAS UNIT!D9"")"),"#N/A")</f>
        <v>#N/A</v>
      </c>
      <c r="H32558" s="4" t="str">
        <v/>
      </c>
      <c r="I32558" s="4" t="str">
        <v/>
      </c>
    </row>
    <row r="32559" spans="5:9" ht="16.5" hidden="1">
      <c r="E32559" s="4" t="str">
        <v/>
      </c>
      <c r="F32559" s="102" t="str">
        <f ca="1">IFERROR(__xludf.DUMMYFUNCTION("IMPORTRANGE(H32559,""IDENTITAS UNIT!D9"")"),"#N/A")</f>
        <v>#N/A</v>
      </c>
      <c r="H32559" s="4" t="str">
        <v/>
      </c>
      <c r="I32559" s="4" t="str">
        <v/>
      </c>
    </row>
    <row r="32560" spans="5:9" ht="16.5" hidden="1">
      <c r="E32560" s="4" t="str">
        <v/>
      </c>
      <c r="F32560" s="102" t="str">
        <f ca="1">IFERROR(__xludf.DUMMYFUNCTION("IMPORTRANGE(H32560,""IDENTITAS UNIT!D9"")"),"#N/A")</f>
        <v>#N/A</v>
      </c>
      <c r="H32560" s="4" t="str">
        <v/>
      </c>
      <c r="I32560" s="4" t="str">
        <v/>
      </c>
    </row>
    <row r="32561" spans="5:9" ht="16.5" hidden="1">
      <c r="E32561" s="4" t="str">
        <v/>
      </c>
      <c r="F32561" s="102" t="str">
        <f ca="1">IFERROR(__xludf.DUMMYFUNCTION("IMPORTRANGE(H32561,""IDENTITAS UNIT!D9"")"),"#N/A")</f>
        <v>#N/A</v>
      </c>
      <c r="H32561" s="4" t="str">
        <v/>
      </c>
      <c r="I32561" s="4" t="str">
        <v/>
      </c>
    </row>
    <row r="32562" spans="5:9" ht="16.5" hidden="1">
      <c r="E32562" s="4" t="str">
        <v/>
      </c>
      <c r="F32562" s="102" t="str">
        <f ca="1">IFERROR(__xludf.DUMMYFUNCTION("IMPORTRANGE(H32562,""IDENTITAS UNIT!D9"")"),"#N/A")</f>
        <v>#N/A</v>
      </c>
      <c r="H32562" s="4" t="str">
        <v/>
      </c>
      <c r="I32562" s="4" t="str">
        <v/>
      </c>
    </row>
    <row r="32563" spans="5:9" ht="16.5" hidden="1">
      <c r="E32563" s="4" t="str">
        <v/>
      </c>
      <c r="F32563" s="102" t="str">
        <f ca="1">IFERROR(__xludf.DUMMYFUNCTION("IMPORTRANGE(H32563,""IDENTITAS UNIT!D9"")"),"#N/A")</f>
        <v>#N/A</v>
      </c>
      <c r="H32563" s="4" t="str">
        <v/>
      </c>
      <c r="I32563" s="4" t="str">
        <v/>
      </c>
    </row>
    <row r="32564" spans="5:9" ht="16.5" hidden="1">
      <c r="E32564" s="4" t="str">
        <v/>
      </c>
      <c r="F32564" s="102" t="str">
        <f ca="1">IFERROR(__xludf.DUMMYFUNCTION("IMPORTRANGE(H32564,""IDENTITAS UNIT!D9"")"),"#N/A")</f>
        <v>#N/A</v>
      </c>
      <c r="H32564" s="4" t="str">
        <v/>
      </c>
      <c r="I32564" s="4" t="str">
        <v/>
      </c>
    </row>
    <row r="32565" spans="5:9" ht="16.5" hidden="1">
      <c r="E32565" s="4" t="str">
        <v/>
      </c>
      <c r="F32565" s="102" t="str">
        <f ca="1">IFERROR(__xludf.DUMMYFUNCTION("IMPORTRANGE(H32565,""IDENTITAS UNIT!D9"")"),"#N/A")</f>
        <v>#N/A</v>
      </c>
      <c r="H32565" s="4" t="str">
        <v/>
      </c>
      <c r="I32565" s="4" t="str">
        <v/>
      </c>
    </row>
    <row r="32566" spans="5:9" ht="16.5" hidden="1">
      <c r="E32566" s="4" t="str">
        <v/>
      </c>
      <c r="F32566" s="102" t="str">
        <f ca="1">IFERROR(__xludf.DUMMYFUNCTION("IMPORTRANGE(H32566,""IDENTITAS UNIT!D9"")"),"#N/A")</f>
        <v>#N/A</v>
      </c>
      <c r="H32566" s="4" t="str">
        <v/>
      </c>
      <c r="I32566" s="4" t="str">
        <v/>
      </c>
    </row>
    <row r="32567" spans="5:9" ht="16.5" hidden="1">
      <c r="E32567" s="4" t="str">
        <v/>
      </c>
      <c r="F32567" s="102" t="str">
        <f ca="1">IFERROR(__xludf.DUMMYFUNCTION("IMPORTRANGE(H32567,""IDENTITAS UNIT!D9"")"),"#N/A")</f>
        <v>#N/A</v>
      </c>
      <c r="H32567" s="4" t="str">
        <v/>
      </c>
      <c r="I32567" s="4" t="str">
        <v/>
      </c>
    </row>
    <row r="32568" spans="5:9" ht="16.5" hidden="1">
      <c r="E32568" s="4" t="str">
        <v/>
      </c>
      <c r="F32568" s="102" t="str">
        <f ca="1">IFERROR(__xludf.DUMMYFUNCTION("IMPORTRANGE(H32568,""IDENTITAS UNIT!D9"")"),"#N/A")</f>
        <v>#N/A</v>
      </c>
      <c r="H32568" s="4" t="str">
        <v/>
      </c>
      <c r="I32568" s="4" t="str">
        <v/>
      </c>
    </row>
    <row r="32569" spans="5:9" ht="16.5" hidden="1">
      <c r="E32569" s="4" t="str">
        <v/>
      </c>
      <c r="F32569" s="102" t="str">
        <f ca="1">IFERROR(__xludf.DUMMYFUNCTION("IMPORTRANGE(H32569,""IDENTITAS UNIT!D9"")"),"#N/A")</f>
        <v>#N/A</v>
      </c>
      <c r="H32569" s="4" t="str">
        <v/>
      </c>
      <c r="I32569" s="4" t="str">
        <v/>
      </c>
    </row>
    <row r="32570" spans="5:9" ht="16.5" hidden="1">
      <c r="E32570" s="4" t="str">
        <v/>
      </c>
      <c r="F32570" s="102" t="str">
        <f ca="1">IFERROR(__xludf.DUMMYFUNCTION("IMPORTRANGE(H32570,""IDENTITAS UNIT!D9"")"),"#N/A")</f>
        <v>#N/A</v>
      </c>
      <c r="H32570" s="4" t="str">
        <v/>
      </c>
      <c r="I32570" s="4" t="str">
        <v/>
      </c>
    </row>
    <row r="32571" spans="5:9" ht="16.5" hidden="1">
      <c r="E32571" s="4" t="str">
        <v/>
      </c>
      <c r="F32571" s="102" t="str">
        <f ca="1">IFERROR(__xludf.DUMMYFUNCTION("IMPORTRANGE(H32571,""IDENTITAS UNIT!D9"")"),"#N/A")</f>
        <v>#N/A</v>
      </c>
      <c r="H32571" s="4" t="str">
        <v/>
      </c>
      <c r="I32571" s="4" t="str">
        <v/>
      </c>
    </row>
    <row r="32572" spans="5:9" ht="16.5" hidden="1">
      <c r="E32572" s="4" t="str">
        <v/>
      </c>
      <c r="F32572" s="102" t="str">
        <f ca="1">IFERROR(__xludf.DUMMYFUNCTION("IMPORTRANGE(H32572,""IDENTITAS UNIT!D9"")"),"#N/A")</f>
        <v>#N/A</v>
      </c>
      <c r="H32572" s="4" t="str">
        <v/>
      </c>
      <c r="I32572" s="4" t="str">
        <v/>
      </c>
    </row>
    <row r="32573" spans="5:9" ht="16.5" hidden="1">
      <c r="E32573" s="4" t="str">
        <v/>
      </c>
      <c r="F32573" s="102" t="str">
        <f ca="1">IFERROR(__xludf.DUMMYFUNCTION("IMPORTRANGE(H32573,""IDENTITAS UNIT!D9"")"),"#N/A")</f>
        <v>#N/A</v>
      </c>
      <c r="H32573" s="4" t="str">
        <v/>
      </c>
      <c r="I32573" s="4" t="str">
        <v/>
      </c>
    </row>
    <row r="32574" spans="5:9" ht="16.5" hidden="1">
      <c r="E32574" s="4" t="str">
        <v/>
      </c>
      <c r="F32574" s="102" t="str">
        <f ca="1">IFERROR(__xludf.DUMMYFUNCTION("IMPORTRANGE(H32574,""IDENTITAS UNIT!D9"")"),"#N/A")</f>
        <v>#N/A</v>
      </c>
      <c r="H32574" s="4" t="str">
        <v/>
      </c>
      <c r="I32574" s="4" t="str">
        <v/>
      </c>
    </row>
    <row r="32575" spans="5:9" ht="16.5" hidden="1">
      <c r="E32575" s="4" t="str">
        <v/>
      </c>
      <c r="F32575" s="102" t="str">
        <f ca="1">IFERROR(__xludf.DUMMYFUNCTION("IMPORTRANGE(H32575,""IDENTITAS UNIT!D9"")"),"#N/A")</f>
        <v>#N/A</v>
      </c>
      <c r="H32575" s="4" t="str">
        <v/>
      </c>
      <c r="I32575" s="4" t="str">
        <v/>
      </c>
    </row>
    <row r="32576" spans="5:9" ht="16.5" hidden="1">
      <c r="E32576" s="4" t="str">
        <v/>
      </c>
      <c r="F32576" s="102" t="str">
        <f ca="1">IFERROR(__xludf.DUMMYFUNCTION("IMPORTRANGE(H32576,""IDENTITAS UNIT!D9"")"),"#N/A")</f>
        <v>#N/A</v>
      </c>
      <c r="H32576" s="4" t="str">
        <v/>
      </c>
      <c r="I32576" s="4" t="str">
        <v/>
      </c>
    </row>
    <row r="32577" spans="5:9" ht="16.5" hidden="1">
      <c r="E32577" s="4" t="str">
        <v/>
      </c>
      <c r="F32577" s="102" t="str">
        <f ca="1">IFERROR(__xludf.DUMMYFUNCTION("IMPORTRANGE(H32577,""IDENTITAS UNIT!D9"")"),"#N/A")</f>
        <v>#N/A</v>
      </c>
      <c r="H32577" s="4" t="str">
        <v/>
      </c>
      <c r="I32577" s="4" t="str">
        <v/>
      </c>
    </row>
    <row r="32578" spans="5:9" ht="16.5" hidden="1">
      <c r="E32578" s="4" t="str">
        <v/>
      </c>
      <c r="F32578" s="102" t="str">
        <f ca="1">IFERROR(__xludf.DUMMYFUNCTION("IMPORTRANGE(H32578,""IDENTITAS UNIT!D9"")"),"#N/A")</f>
        <v>#N/A</v>
      </c>
      <c r="H32578" s="4" t="str">
        <v/>
      </c>
      <c r="I32578" s="4" t="str">
        <v/>
      </c>
    </row>
    <row r="32579" spans="5:9" ht="16.5" hidden="1">
      <c r="E32579" s="4" t="str">
        <v/>
      </c>
      <c r="F32579" s="102" t="str">
        <f ca="1">IFERROR(__xludf.DUMMYFUNCTION("IMPORTRANGE(H32579,""IDENTITAS UNIT!D9"")"),"#N/A")</f>
        <v>#N/A</v>
      </c>
      <c r="H32579" s="4" t="str">
        <v/>
      </c>
      <c r="I32579" s="4" t="str">
        <v/>
      </c>
    </row>
    <row r="32580" spans="5:9" ht="16.5" hidden="1">
      <c r="E32580" s="4" t="str">
        <v/>
      </c>
      <c r="F32580" s="102" t="str">
        <f ca="1">IFERROR(__xludf.DUMMYFUNCTION("IMPORTRANGE(H32580,""IDENTITAS UNIT!D9"")"),"#N/A")</f>
        <v>#N/A</v>
      </c>
      <c r="H32580" s="4" t="str">
        <v/>
      </c>
      <c r="I32580" s="4" t="str">
        <v/>
      </c>
    </row>
    <row r="32581" spans="5:9" ht="16.5" hidden="1">
      <c r="E32581" s="4" t="str">
        <v/>
      </c>
      <c r="F32581" s="102" t="str">
        <f ca="1">IFERROR(__xludf.DUMMYFUNCTION("IMPORTRANGE(H32581,""IDENTITAS UNIT!D9"")"),"#N/A")</f>
        <v>#N/A</v>
      </c>
      <c r="H32581" s="4" t="str">
        <v/>
      </c>
      <c r="I32581" s="4" t="str">
        <v/>
      </c>
    </row>
    <row r="32582" spans="5:9" ht="16.5" hidden="1">
      <c r="E32582" s="4" t="str">
        <v/>
      </c>
      <c r="F32582" s="102" t="str">
        <f ca="1">IFERROR(__xludf.DUMMYFUNCTION("IMPORTRANGE(H32582,""IDENTITAS UNIT!D9"")"),"#N/A")</f>
        <v>#N/A</v>
      </c>
      <c r="H32582" s="4" t="str">
        <v/>
      </c>
      <c r="I32582" s="4" t="str">
        <v/>
      </c>
    </row>
    <row r="32583" spans="5:9" ht="16.5" hidden="1">
      <c r="E32583" s="4" t="str">
        <v/>
      </c>
      <c r="F32583" s="102" t="str">
        <f ca="1">IFERROR(__xludf.DUMMYFUNCTION("IMPORTRANGE(H32583,""IDENTITAS UNIT!D9"")"),"#N/A")</f>
        <v>#N/A</v>
      </c>
      <c r="H32583" s="4" t="str">
        <v/>
      </c>
      <c r="I32583" s="4" t="str">
        <v/>
      </c>
    </row>
    <row r="32584" spans="5:9" ht="16.5" hidden="1">
      <c r="E32584" s="4" t="str">
        <v/>
      </c>
      <c r="F32584" s="102" t="str">
        <f ca="1">IFERROR(__xludf.DUMMYFUNCTION("IMPORTRANGE(H32584,""IDENTITAS UNIT!D9"")"),"#N/A")</f>
        <v>#N/A</v>
      </c>
      <c r="H32584" s="4" t="str">
        <v/>
      </c>
      <c r="I32584" s="4" t="str">
        <v/>
      </c>
    </row>
    <row r="32585" spans="5:9" ht="16.5" hidden="1">
      <c r="E32585" s="4" t="str">
        <v/>
      </c>
      <c r="F32585" s="102" t="str">
        <f ca="1">IFERROR(__xludf.DUMMYFUNCTION("IMPORTRANGE(H32585,""IDENTITAS UNIT!D9"")"),"#N/A")</f>
        <v>#N/A</v>
      </c>
      <c r="H32585" s="4" t="str">
        <v/>
      </c>
      <c r="I32585" s="4" t="str">
        <v/>
      </c>
    </row>
    <row r="32586" spans="5:9" ht="16.5" hidden="1">
      <c r="E32586" s="4" t="str">
        <v/>
      </c>
      <c r="F32586" s="102" t="str">
        <f ca="1">IFERROR(__xludf.DUMMYFUNCTION("IMPORTRANGE(H32586,""IDENTITAS UNIT!D9"")"),"#N/A")</f>
        <v>#N/A</v>
      </c>
      <c r="H32586" s="4" t="str">
        <v/>
      </c>
      <c r="I32586" s="4" t="str">
        <v/>
      </c>
    </row>
    <row r="32587" spans="5:9" ht="16.5" hidden="1">
      <c r="E32587" s="4" t="str">
        <v/>
      </c>
      <c r="F32587" s="102" t="str">
        <f ca="1">IFERROR(__xludf.DUMMYFUNCTION("IMPORTRANGE(H32587,""IDENTITAS UNIT!D9"")"),"#N/A")</f>
        <v>#N/A</v>
      </c>
      <c r="H32587" s="4" t="str">
        <v/>
      </c>
      <c r="I32587" s="4" t="str">
        <v/>
      </c>
    </row>
    <row r="32588" spans="5:9" ht="16.5" hidden="1">
      <c r="E32588" s="4" t="str">
        <v/>
      </c>
      <c r="F32588" s="102" t="str">
        <f ca="1">IFERROR(__xludf.DUMMYFUNCTION("IMPORTRANGE(H32588,""IDENTITAS UNIT!D9"")"),"#N/A")</f>
        <v>#N/A</v>
      </c>
      <c r="H32588" s="4" t="str">
        <v/>
      </c>
      <c r="I32588" s="4" t="str">
        <v/>
      </c>
    </row>
    <row r="32589" spans="5:9" ht="16.5" hidden="1">
      <c r="E32589" s="4" t="str">
        <v/>
      </c>
      <c r="F32589" s="102" t="str">
        <f ca="1">IFERROR(__xludf.DUMMYFUNCTION("IMPORTRANGE(H32589,""IDENTITAS UNIT!D9"")"),"#N/A")</f>
        <v>#N/A</v>
      </c>
      <c r="H32589" s="4" t="str">
        <v/>
      </c>
      <c r="I32589" s="4" t="str">
        <v/>
      </c>
    </row>
    <row r="32590" spans="5:9" ht="16.5" hidden="1">
      <c r="E32590" s="4" t="str">
        <v/>
      </c>
      <c r="F32590" s="102" t="str">
        <f ca="1">IFERROR(__xludf.DUMMYFUNCTION("IMPORTRANGE(H32590,""IDENTITAS UNIT!D9"")"),"#N/A")</f>
        <v>#N/A</v>
      </c>
      <c r="H32590" s="4" t="str">
        <v/>
      </c>
      <c r="I32590" s="4" t="str">
        <v/>
      </c>
    </row>
    <row r="32591" spans="5:9" ht="16.5" hidden="1">
      <c r="E32591" s="4" t="str">
        <v/>
      </c>
      <c r="F32591" s="102" t="str">
        <f ca="1">IFERROR(__xludf.DUMMYFUNCTION("IMPORTRANGE(H32591,""IDENTITAS UNIT!D9"")"),"#N/A")</f>
        <v>#N/A</v>
      </c>
      <c r="H32591" s="4" t="str">
        <v/>
      </c>
      <c r="I32591" s="4" t="str">
        <v/>
      </c>
    </row>
    <row r="32592" spans="5:9" ht="16.5" hidden="1">
      <c r="E32592" s="4" t="str">
        <v/>
      </c>
      <c r="F32592" s="102" t="str">
        <f ca="1">IFERROR(__xludf.DUMMYFUNCTION("IMPORTRANGE(H32592,""IDENTITAS UNIT!D9"")"),"#N/A")</f>
        <v>#N/A</v>
      </c>
      <c r="H32592" s="4" t="str">
        <v/>
      </c>
      <c r="I32592" s="4" t="str">
        <v/>
      </c>
    </row>
    <row r="32593" spans="5:9" ht="16.5" hidden="1">
      <c r="E32593" s="4" t="str">
        <v/>
      </c>
      <c r="F32593" s="102" t="str">
        <f ca="1">IFERROR(__xludf.DUMMYFUNCTION("IMPORTRANGE(H32593,""IDENTITAS UNIT!D9"")"),"#N/A")</f>
        <v>#N/A</v>
      </c>
      <c r="H32593" s="4" t="str">
        <v/>
      </c>
      <c r="I32593" s="4" t="str">
        <v/>
      </c>
    </row>
    <row r="32594" spans="5:9" ht="16.5" hidden="1">
      <c r="E32594" s="4" t="str">
        <v/>
      </c>
      <c r="F32594" s="102" t="str">
        <f ca="1">IFERROR(__xludf.DUMMYFUNCTION("IMPORTRANGE(H32594,""IDENTITAS UNIT!D9"")"),"#N/A")</f>
        <v>#N/A</v>
      </c>
      <c r="H32594" s="4" t="str">
        <v/>
      </c>
      <c r="I32594" s="4" t="str">
        <v/>
      </c>
    </row>
    <row r="32595" spans="5:9" ht="16.5" hidden="1">
      <c r="E32595" s="4" t="str">
        <v/>
      </c>
      <c r="F32595" s="102" t="str">
        <f ca="1">IFERROR(__xludf.DUMMYFUNCTION("IMPORTRANGE(H32595,""IDENTITAS UNIT!D9"")"),"#N/A")</f>
        <v>#N/A</v>
      </c>
      <c r="H32595" s="4" t="str">
        <v/>
      </c>
      <c r="I32595" s="4" t="str">
        <v/>
      </c>
    </row>
    <row r="32596" spans="5:9" ht="16.5" hidden="1">
      <c r="E32596" s="4" t="str">
        <v/>
      </c>
      <c r="F32596" s="102" t="str">
        <f ca="1">IFERROR(__xludf.DUMMYFUNCTION("IMPORTRANGE(H32596,""IDENTITAS UNIT!D9"")"),"#N/A")</f>
        <v>#N/A</v>
      </c>
      <c r="H32596" s="4" t="str">
        <v/>
      </c>
      <c r="I32596" s="4" t="str">
        <v/>
      </c>
    </row>
    <row r="32597" spans="5:9" ht="16.5" hidden="1">
      <c r="E32597" s="4" t="str">
        <v/>
      </c>
      <c r="F32597" s="102" t="str">
        <f ca="1">IFERROR(__xludf.DUMMYFUNCTION("IMPORTRANGE(H32597,""IDENTITAS UNIT!D9"")"),"#N/A")</f>
        <v>#N/A</v>
      </c>
      <c r="H32597" s="4" t="str">
        <v/>
      </c>
      <c r="I32597" s="4" t="str">
        <v/>
      </c>
    </row>
    <row r="32598" spans="5:9" ht="16.5" hidden="1">
      <c r="E32598" s="4" t="str">
        <v/>
      </c>
      <c r="F32598" s="102" t="str">
        <f ca="1">IFERROR(__xludf.DUMMYFUNCTION("IMPORTRANGE(H32598,""IDENTITAS UNIT!D9"")"),"#N/A")</f>
        <v>#N/A</v>
      </c>
      <c r="H32598" s="4" t="str">
        <v/>
      </c>
      <c r="I32598" s="4" t="str">
        <v/>
      </c>
    </row>
    <row r="32599" spans="5:9" ht="16.5" hidden="1">
      <c r="E32599" s="4" t="str">
        <v/>
      </c>
      <c r="F32599" s="102" t="str">
        <f ca="1">IFERROR(__xludf.DUMMYFUNCTION("IMPORTRANGE(H32599,""IDENTITAS UNIT!D9"")"),"#N/A")</f>
        <v>#N/A</v>
      </c>
      <c r="H32599" s="4" t="str">
        <v/>
      </c>
      <c r="I32599" s="4" t="str">
        <v/>
      </c>
    </row>
    <row r="32600" spans="5:9" ht="16.5" hidden="1">
      <c r="E32600" s="4" t="str">
        <v/>
      </c>
      <c r="F32600" s="102" t="str">
        <f ca="1">IFERROR(__xludf.DUMMYFUNCTION("IMPORTRANGE(H32600,""IDENTITAS UNIT!D9"")"),"#N/A")</f>
        <v>#N/A</v>
      </c>
      <c r="H32600" s="4" t="str">
        <v/>
      </c>
      <c r="I32600" s="4" t="str">
        <v/>
      </c>
    </row>
    <row r="32601" spans="5:9" ht="16.5" hidden="1">
      <c r="E32601" s="4" t="str">
        <v/>
      </c>
      <c r="F32601" s="102" t="str">
        <f ca="1">IFERROR(__xludf.DUMMYFUNCTION("IMPORTRANGE(H32601,""IDENTITAS UNIT!D9"")"),"#N/A")</f>
        <v>#N/A</v>
      </c>
      <c r="H32601" s="4" t="str">
        <v/>
      </c>
      <c r="I32601" s="4" t="str">
        <v/>
      </c>
    </row>
    <row r="32602" spans="5:9" ht="16.5" hidden="1">
      <c r="E32602" s="4" t="str">
        <v/>
      </c>
      <c r="F32602" s="102" t="str">
        <f ca="1">IFERROR(__xludf.DUMMYFUNCTION("IMPORTRANGE(H32602,""IDENTITAS UNIT!D9"")"),"#N/A")</f>
        <v>#N/A</v>
      </c>
      <c r="H32602" s="4" t="str">
        <v/>
      </c>
      <c r="I32602" s="4" t="str">
        <v/>
      </c>
    </row>
    <row r="32603" spans="5:9" ht="16.5" hidden="1">
      <c r="E32603" s="4" t="str">
        <v/>
      </c>
      <c r="F32603" s="102" t="str">
        <f ca="1">IFERROR(__xludf.DUMMYFUNCTION("IMPORTRANGE(H32603,""IDENTITAS UNIT!D9"")"),"#N/A")</f>
        <v>#N/A</v>
      </c>
      <c r="H32603" s="4" t="str">
        <v/>
      </c>
      <c r="I32603" s="4" t="str">
        <v/>
      </c>
    </row>
    <row r="32604" spans="5:9" ht="16.5" hidden="1">
      <c r="E32604" s="4" t="str">
        <v/>
      </c>
      <c r="F32604" s="102" t="str">
        <f ca="1">IFERROR(__xludf.DUMMYFUNCTION("IMPORTRANGE(H32604,""IDENTITAS UNIT!D9"")"),"#N/A")</f>
        <v>#N/A</v>
      </c>
      <c r="H32604" s="4" t="str">
        <v/>
      </c>
      <c r="I32604" s="4" t="str">
        <v/>
      </c>
    </row>
    <row r="32605" spans="5:9" ht="16.5" hidden="1">
      <c r="E32605" s="4" t="str">
        <v/>
      </c>
      <c r="F32605" s="102" t="str">
        <f ca="1">IFERROR(__xludf.DUMMYFUNCTION("IMPORTRANGE(H32605,""IDENTITAS UNIT!D9"")"),"#N/A")</f>
        <v>#N/A</v>
      </c>
      <c r="H32605" s="4" t="str">
        <v/>
      </c>
      <c r="I32605" s="4" t="str">
        <v/>
      </c>
    </row>
    <row r="32606" spans="5:9" ht="16.5" hidden="1">
      <c r="E32606" s="4" t="str">
        <v/>
      </c>
      <c r="F32606" s="102" t="str">
        <f ca="1">IFERROR(__xludf.DUMMYFUNCTION("IMPORTRANGE(H32606,""IDENTITAS UNIT!D9"")"),"#N/A")</f>
        <v>#N/A</v>
      </c>
      <c r="H32606" s="4" t="str">
        <v/>
      </c>
      <c r="I32606" s="4" t="str">
        <v/>
      </c>
    </row>
    <row r="32607" spans="5:9" ht="16.5" hidden="1">
      <c r="E32607" s="4" t="str">
        <v/>
      </c>
      <c r="F32607" s="102" t="str">
        <f ca="1">IFERROR(__xludf.DUMMYFUNCTION("IMPORTRANGE(H32607,""IDENTITAS UNIT!D9"")"),"#N/A")</f>
        <v>#N/A</v>
      </c>
      <c r="H32607" s="4" t="str">
        <v/>
      </c>
      <c r="I32607" s="4" t="str">
        <v/>
      </c>
    </row>
    <row r="32608" spans="5:9" ht="16.5" hidden="1">
      <c r="E32608" s="4" t="str">
        <v/>
      </c>
      <c r="F32608" s="102" t="str">
        <f ca="1">IFERROR(__xludf.DUMMYFUNCTION("IMPORTRANGE(H32608,""IDENTITAS UNIT!D9"")"),"#N/A")</f>
        <v>#N/A</v>
      </c>
      <c r="H32608" s="4" t="str">
        <v/>
      </c>
      <c r="I32608" s="4" t="str">
        <v/>
      </c>
    </row>
    <row r="32609" spans="5:9" ht="16.5" hidden="1">
      <c r="E32609" s="4" t="str">
        <v/>
      </c>
      <c r="F32609" s="102" t="str">
        <f ca="1">IFERROR(__xludf.DUMMYFUNCTION("IMPORTRANGE(H32609,""IDENTITAS UNIT!D9"")"),"#N/A")</f>
        <v>#N/A</v>
      </c>
      <c r="H32609" s="4" t="str">
        <v/>
      </c>
      <c r="I32609" s="4" t="str">
        <v/>
      </c>
    </row>
    <row r="32610" spans="5:9" ht="16.5" hidden="1">
      <c r="E32610" s="4" t="str">
        <v/>
      </c>
      <c r="F32610" s="102" t="str">
        <f ca="1">IFERROR(__xludf.DUMMYFUNCTION("IMPORTRANGE(H32610,""IDENTITAS UNIT!D9"")"),"#N/A")</f>
        <v>#N/A</v>
      </c>
      <c r="H32610" s="4" t="str">
        <v/>
      </c>
      <c r="I32610" s="4" t="str">
        <v/>
      </c>
    </row>
    <row r="32611" spans="5:9" ht="16.5" hidden="1">
      <c r="E32611" s="4" t="str">
        <v/>
      </c>
      <c r="F32611" s="102" t="str">
        <f ca="1">IFERROR(__xludf.DUMMYFUNCTION("IMPORTRANGE(H32611,""IDENTITAS UNIT!D9"")"),"#N/A")</f>
        <v>#N/A</v>
      </c>
      <c r="H32611" s="4" t="str">
        <v/>
      </c>
      <c r="I32611" s="4" t="str">
        <v/>
      </c>
    </row>
    <row r="32612" spans="5:9" ht="16.5" hidden="1">
      <c r="E32612" s="4" t="str">
        <v/>
      </c>
      <c r="F32612" s="102" t="str">
        <f ca="1">IFERROR(__xludf.DUMMYFUNCTION("IMPORTRANGE(H32612,""IDENTITAS UNIT!D9"")"),"#N/A")</f>
        <v>#N/A</v>
      </c>
      <c r="H32612" s="4" t="str">
        <v/>
      </c>
      <c r="I32612" s="4" t="str">
        <v/>
      </c>
    </row>
    <row r="32613" spans="5:9" ht="16.5" hidden="1">
      <c r="E32613" s="4" t="str">
        <v/>
      </c>
      <c r="F32613" s="102" t="str">
        <f ca="1">IFERROR(__xludf.DUMMYFUNCTION("IMPORTRANGE(H32613,""IDENTITAS UNIT!D9"")"),"#N/A")</f>
        <v>#N/A</v>
      </c>
      <c r="H32613" s="4" t="str">
        <v/>
      </c>
      <c r="I32613" s="4" t="str">
        <v/>
      </c>
    </row>
    <row r="32614" spans="5:9" ht="16.5" hidden="1">
      <c r="E32614" s="4" t="str">
        <v/>
      </c>
      <c r="F32614" s="102" t="str">
        <f ca="1">IFERROR(__xludf.DUMMYFUNCTION("IMPORTRANGE(H32614,""IDENTITAS UNIT!D9"")"),"#N/A")</f>
        <v>#N/A</v>
      </c>
      <c r="H32614" s="4" t="str">
        <v/>
      </c>
      <c r="I32614" s="4" t="str">
        <v/>
      </c>
    </row>
    <row r="32615" spans="5:9" ht="16.5" hidden="1">
      <c r="E32615" s="4" t="str">
        <v/>
      </c>
      <c r="F32615" s="102" t="str">
        <f ca="1">IFERROR(__xludf.DUMMYFUNCTION("IMPORTRANGE(H32615,""IDENTITAS UNIT!D9"")"),"#N/A")</f>
        <v>#N/A</v>
      </c>
      <c r="H32615" s="4" t="str">
        <v/>
      </c>
      <c r="I32615" s="4" t="str">
        <v/>
      </c>
    </row>
    <row r="32616" spans="5:9" ht="16.5" hidden="1">
      <c r="E32616" s="4" t="str">
        <v/>
      </c>
      <c r="F32616" s="102" t="str">
        <f ca="1">IFERROR(__xludf.DUMMYFUNCTION("IMPORTRANGE(H32616,""IDENTITAS UNIT!D9"")"),"#N/A")</f>
        <v>#N/A</v>
      </c>
      <c r="H32616" s="4" t="str">
        <v/>
      </c>
      <c r="I32616" s="4" t="str">
        <v/>
      </c>
    </row>
    <row r="32617" spans="5:9" ht="16.5" hidden="1">
      <c r="E32617" s="4" t="str">
        <v/>
      </c>
      <c r="F32617" s="102" t="str">
        <f ca="1">IFERROR(__xludf.DUMMYFUNCTION("IMPORTRANGE(H32617,""IDENTITAS UNIT!D9"")"),"#N/A")</f>
        <v>#N/A</v>
      </c>
      <c r="H32617" s="4" t="str">
        <v/>
      </c>
      <c r="I32617" s="4" t="str">
        <v/>
      </c>
    </row>
    <row r="32618" spans="5:9" ht="16.5" hidden="1">
      <c r="E32618" s="4" t="str">
        <v/>
      </c>
      <c r="F32618" s="102" t="str">
        <f ca="1">IFERROR(__xludf.DUMMYFUNCTION("IMPORTRANGE(H32618,""IDENTITAS UNIT!D9"")"),"#N/A")</f>
        <v>#N/A</v>
      </c>
      <c r="H32618" s="4" t="str">
        <v/>
      </c>
      <c r="I32618" s="4" t="str">
        <v/>
      </c>
    </row>
    <row r="32619" spans="5:9" ht="16.5" hidden="1">
      <c r="E32619" s="4" t="str">
        <v/>
      </c>
      <c r="F32619" s="102" t="str">
        <f ca="1">IFERROR(__xludf.DUMMYFUNCTION("IMPORTRANGE(H32619,""IDENTITAS UNIT!D9"")"),"#N/A")</f>
        <v>#N/A</v>
      </c>
      <c r="H32619" s="4" t="str">
        <v/>
      </c>
      <c r="I32619" s="4" t="str">
        <v/>
      </c>
    </row>
    <row r="32620" spans="5:9" ht="16.5" hidden="1">
      <c r="E32620" s="4" t="str">
        <v/>
      </c>
      <c r="F32620" s="102" t="str">
        <f ca="1">IFERROR(__xludf.DUMMYFUNCTION("IMPORTRANGE(H32620,""IDENTITAS UNIT!D9"")"),"#N/A")</f>
        <v>#N/A</v>
      </c>
      <c r="H32620" s="4" t="str">
        <v/>
      </c>
      <c r="I32620" s="4" t="str">
        <v/>
      </c>
    </row>
    <row r="32621" spans="5:9" ht="16.5" hidden="1">
      <c r="E32621" s="4" t="str">
        <v/>
      </c>
      <c r="F32621" s="102" t="str">
        <f ca="1">IFERROR(__xludf.DUMMYFUNCTION("IMPORTRANGE(H32621,""IDENTITAS UNIT!D9"")"),"#N/A")</f>
        <v>#N/A</v>
      </c>
      <c r="H32621" s="4" t="str">
        <v/>
      </c>
      <c r="I32621" s="4" t="str">
        <v/>
      </c>
    </row>
    <row r="32622" spans="5:9" ht="16.5" hidden="1">
      <c r="E32622" s="4" t="str">
        <v/>
      </c>
      <c r="F32622" s="102" t="str">
        <f ca="1">IFERROR(__xludf.DUMMYFUNCTION("IMPORTRANGE(H32622,""IDENTITAS UNIT!D9"")"),"#N/A")</f>
        <v>#N/A</v>
      </c>
      <c r="H32622" s="4" t="str">
        <v/>
      </c>
      <c r="I32622" s="4" t="str">
        <v/>
      </c>
    </row>
    <row r="32623" spans="5:9" ht="16.5" hidden="1">
      <c r="E32623" s="4" t="str">
        <v/>
      </c>
      <c r="F32623" s="102" t="str">
        <f ca="1">IFERROR(__xludf.DUMMYFUNCTION("IMPORTRANGE(H32623,""IDENTITAS UNIT!D9"")"),"#N/A")</f>
        <v>#N/A</v>
      </c>
      <c r="H32623" s="4" t="str">
        <v/>
      </c>
      <c r="I32623" s="4" t="str">
        <v/>
      </c>
    </row>
    <row r="32624" spans="5:9" ht="16.5" hidden="1">
      <c r="E32624" s="4" t="str">
        <v/>
      </c>
      <c r="F32624" s="102" t="str">
        <f ca="1">IFERROR(__xludf.DUMMYFUNCTION("IMPORTRANGE(H32624,""IDENTITAS UNIT!D9"")"),"#N/A")</f>
        <v>#N/A</v>
      </c>
      <c r="H32624" s="4" t="str">
        <v/>
      </c>
      <c r="I32624" s="4" t="str">
        <v/>
      </c>
    </row>
    <row r="32625" spans="5:9" ht="16.5" hidden="1">
      <c r="E32625" s="4" t="str">
        <v/>
      </c>
      <c r="F32625" s="102" t="str">
        <f ca="1">IFERROR(__xludf.DUMMYFUNCTION("IMPORTRANGE(H32625,""IDENTITAS UNIT!D9"")"),"#N/A")</f>
        <v>#N/A</v>
      </c>
      <c r="H32625" s="4" t="str">
        <v/>
      </c>
      <c r="I32625" s="4" t="str">
        <v/>
      </c>
    </row>
    <row r="32626" spans="5:9" ht="16.5" hidden="1">
      <c r="E32626" s="4" t="str">
        <v/>
      </c>
      <c r="F32626" s="102" t="str">
        <f ca="1">IFERROR(__xludf.DUMMYFUNCTION("IMPORTRANGE(H32626,""IDENTITAS UNIT!D9"")"),"#N/A")</f>
        <v>#N/A</v>
      </c>
      <c r="H32626" s="4" t="str">
        <v/>
      </c>
      <c r="I32626" s="4" t="str">
        <v/>
      </c>
    </row>
    <row r="32627" spans="5:9" ht="16.5" hidden="1">
      <c r="E32627" s="4" t="str">
        <v/>
      </c>
      <c r="F32627" s="102" t="str">
        <f ca="1">IFERROR(__xludf.DUMMYFUNCTION("IMPORTRANGE(H32627,""IDENTITAS UNIT!D9"")"),"#N/A")</f>
        <v>#N/A</v>
      </c>
      <c r="H32627" s="4" t="str">
        <v/>
      </c>
      <c r="I32627" s="4" t="str">
        <v/>
      </c>
    </row>
    <row r="32628" spans="5:9" ht="16.5" hidden="1">
      <c r="E32628" s="4" t="str">
        <v/>
      </c>
      <c r="F32628" s="102" t="str">
        <f ca="1">IFERROR(__xludf.DUMMYFUNCTION("IMPORTRANGE(H32628,""IDENTITAS UNIT!D9"")"),"#N/A")</f>
        <v>#N/A</v>
      </c>
      <c r="H32628" s="4" t="str">
        <v/>
      </c>
      <c r="I32628" s="4" t="str">
        <v/>
      </c>
    </row>
    <row r="32629" spans="5:9" ht="16.5" hidden="1">
      <c r="E32629" s="4" t="str">
        <v/>
      </c>
      <c r="F32629" s="102" t="str">
        <f ca="1">IFERROR(__xludf.DUMMYFUNCTION("IMPORTRANGE(H32629,""IDENTITAS UNIT!D9"")"),"#N/A")</f>
        <v>#N/A</v>
      </c>
      <c r="H32629" s="4" t="str">
        <v/>
      </c>
      <c r="I32629" s="4" t="str">
        <v/>
      </c>
    </row>
    <row r="32630" spans="5:9" ht="16.5" hidden="1">
      <c r="E32630" s="4" t="str">
        <v/>
      </c>
      <c r="F32630" s="102" t="str">
        <f ca="1">IFERROR(__xludf.DUMMYFUNCTION("IMPORTRANGE(H32630,""IDENTITAS UNIT!D9"")"),"#N/A")</f>
        <v>#N/A</v>
      </c>
      <c r="H32630" s="4" t="str">
        <v/>
      </c>
      <c r="I32630" s="4" t="str">
        <v/>
      </c>
    </row>
    <row r="32631" spans="5:9" ht="16.5" hidden="1">
      <c r="E32631" s="4" t="str">
        <v/>
      </c>
      <c r="F32631" s="102" t="str">
        <f ca="1">IFERROR(__xludf.DUMMYFUNCTION("IMPORTRANGE(H32631,""IDENTITAS UNIT!D9"")"),"#N/A")</f>
        <v>#N/A</v>
      </c>
      <c r="H32631" s="4" t="str">
        <v/>
      </c>
      <c r="I32631" s="4" t="str">
        <v/>
      </c>
    </row>
    <row r="32632" spans="5:9" ht="16.5" hidden="1">
      <c r="E32632" s="4" t="str">
        <v/>
      </c>
      <c r="F32632" s="102" t="str">
        <f ca="1">IFERROR(__xludf.DUMMYFUNCTION("IMPORTRANGE(H32632,""IDENTITAS UNIT!D9"")"),"#N/A")</f>
        <v>#N/A</v>
      </c>
      <c r="H32632" s="4" t="str">
        <v/>
      </c>
      <c r="I32632" s="4" t="str">
        <v/>
      </c>
    </row>
    <row r="32633" spans="5:9" ht="16.5" hidden="1">
      <c r="E32633" s="4" t="str">
        <v/>
      </c>
      <c r="F32633" s="102" t="str">
        <f ca="1">IFERROR(__xludf.DUMMYFUNCTION("IMPORTRANGE(H32633,""IDENTITAS UNIT!D9"")"),"#N/A")</f>
        <v>#N/A</v>
      </c>
      <c r="H32633" s="4" t="str">
        <v/>
      </c>
      <c r="I32633" s="4" t="str">
        <v/>
      </c>
    </row>
    <row r="32634" spans="5:9" ht="16.5" hidden="1">
      <c r="E32634" s="4" t="str">
        <v/>
      </c>
      <c r="F32634" s="102" t="str">
        <f ca="1">IFERROR(__xludf.DUMMYFUNCTION("IMPORTRANGE(H32634,""IDENTITAS UNIT!D9"")"),"#N/A")</f>
        <v>#N/A</v>
      </c>
      <c r="H32634" s="4" t="str">
        <v/>
      </c>
      <c r="I32634" s="4" t="str">
        <v/>
      </c>
    </row>
    <row r="32635" spans="5:9" ht="16.5" hidden="1">
      <c r="E32635" s="4" t="str">
        <v/>
      </c>
      <c r="F32635" s="102" t="str">
        <f ca="1">IFERROR(__xludf.DUMMYFUNCTION("IMPORTRANGE(H32635,""IDENTITAS UNIT!D9"")"),"#N/A")</f>
        <v>#N/A</v>
      </c>
      <c r="H32635" s="4" t="str">
        <v/>
      </c>
      <c r="I32635" s="4" t="str">
        <v/>
      </c>
    </row>
    <row r="32636" spans="5:9" ht="16.5" hidden="1">
      <c r="E32636" s="4" t="str">
        <v/>
      </c>
      <c r="F32636" s="102" t="str">
        <f ca="1">IFERROR(__xludf.DUMMYFUNCTION("IMPORTRANGE(H32636,""IDENTITAS UNIT!D9"")"),"#N/A")</f>
        <v>#N/A</v>
      </c>
      <c r="H32636" s="4" t="str">
        <v/>
      </c>
      <c r="I32636" s="4" t="str">
        <v/>
      </c>
    </row>
    <row r="32637" spans="5:9" ht="16.5" hidden="1">
      <c r="E32637" s="4" t="str">
        <v/>
      </c>
      <c r="F32637" s="102" t="str">
        <f ca="1">IFERROR(__xludf.DUMMYFUNCTION("IMPORTRANGE(H32637,""IDENTITAS UNIT!D9"")"),"#N/A")</f>
        <v>#N/A</v>
      </c>
      <c r="H32637" s="4" t="str">
        <v/>
      </c>
      <c r="I32637" s="4" t="str">
        <v/>
      </c>
    </row>
    <row r="32638" spans="5:9" ht="16.5" hidden="1">
      <c r="E32638" s="4" t="str">
        <v/>
      </c>
      <c r="F32638" s="102" t="str">
        <f ca="1">IFERROR(__xludf.DUMMYFUNCTION("IMPORTRANGE(H32638,""IDENTITAS UNIT!D9"")"),"#N/A")</f>
        <v>#N/A</v>
      </c>
      <c r="H32638" s="4" t="str">
        <v/>
      </c>
      <c r="I32638" s="4" t="str">
        <v/>
      </c>
    </row>
    <row r="32639" spans="5:9" ht="16.5" hidden="1">
      <c r="E32639" s="4" t="str">
        <v/>
      </c>
      <c r="F32639" s="102" t="str">
        <f ca="1">IFERROR(__xludf.DUMMYFUNCTION("IMPORTRANGE(H32639,""IDENTITAS UNIT!D9"")"),"#N/A")</f>
        <v>#N/A</v>
      </c>
      <c r="H32639" s="4" t="str">
        <v/>
      </c>
      <c r="I32639" s="4" t="str">
        <v/>
      </c>
    </row>
    <row r="32640" spans="5:9" ht="16.5" hidden="1">
      <c r="E32640" s="4" t="str">
        <v/>
      </c>
      <c r="F32640" s="102" t="str">
        <f ca="1">IFERROR(__xludf.DUMMYFUNCTION("IMPORTRANGE(H32640,""IDENTITAS UNIT!D9"")"),"#N/A")</f>
        <v>#N/A</v>
      </c>
      <c r="H32640" s="4" t="str">
        <v/>
      </c>
      <c r="I32640" s="4" t="str">
        <v/>
      </c>
    </row>
    <row r="32641" spans="5:9" ht="16.5" hidden="1">
      <c r="E32641" s="4" t="str">
        <v/>
      </c>
      <c r="F32641" s="102" t="str">
        <f ca="1">IFERROR(__xludf.DUMMYFUNCTION("IMPORTRANGE(H32641,""IDENTITAS UNIT!D9"")"),"#N/A")</f>
        <v>#N/A</v>
      </c>
      <c r="H32641" s="4" t="str">
        <v/>
      </c>
      <c r="I32641" s="4" t="str">
        <v/>
      </c>
    </row>
    <row r="32642" spans="5:9" ht="16.5" hidden="1">
      <c r="E32642" s="4" t="str">
        <v/>
      </c>
      <c r="F32642" s="102" t="str">
        <f ca="1">IFERROR(__xludf.DUMMYFUNCTION("IMPORTRANGE(H32642,""IDENTITAS UNIT!D9"")"),"#N/A")</f>
        <v>#N/A</v>
      </c>
      <c r="H32642" s="4" t="str">
        <v/>
      </c>
      <c r="I32642" s="4" t="str">
        <v/>
      </c>
    </row>
    <row r="32643" spans="5:9" ht="16.5" hidden="1">
      <c r="E32643" s="4" t="str">
        <v/>
      </c>
      <c r="F32643" s="102" t="str">
        <f ca="1">IFERROR(__xludf.DUMMYFUNCTION("IMPORTRANGE(H32643,""IDENTITAS UNIT!D9"")"),"#N/A")</f>
        <v>#N/A</v>
      </c>
      <c r="H32643" s="4" t="str">
        <v/>
      </c>
      <c r="I32643" s="4" t="str">
        <v/>
      </c>
    </row>
    <row r="32644" spans="5:9" ht="16.5" hidden="1">
      <c r="E32644" s="4" t="str">
        <v/>
      </c>
      <c r="F32644" s="102" t="str">
        <f ca="1">IFERROR(__xludf.DUMMYFUNCTION("IMPORTRANGE(H32644,""IDENTITAS UNIT!D9"")"),"#N/A")</f>
        <v>#N/A</v>
      </c>
      <c r="H32644" s="4" t="str">
        <v/>
      </c>
      <c r="I32644" s="4" t="str">
        <v/>
      </c>
    </row>
    <row r="32645" spans="5:9" ht="16.5" hidden="1">
      <c r="E32645" s="4" t="str">
        <v/>
      </c>
      <c r="F32645" s="102" t="str">
        <f ca="1">IFERROR(__xludf.DUMMYFUNCTION("IMPORTRANGE(H32645,""IDENTITAS UNIT!D9"")"),"#N/A")</f>
        <v>#N/A</v>
      </c>
      <c r="H32645" s="4" t="str">
        <v/>
      </c>
      <c r="I32645" s="4" t="str">
        <v/>
      </c>
    </row>
    <row r="32646" spans="5:9" ht="16.5" hidden="1">
      <c r="E32646" s="4" t="str">
        <v/>
      </c>
      <c r="F32646" s="102" t="str">
        <f ca="1">IFERROR(__xludf.DUMMYFUNCTION("IMPORTRANGE(H32646,""IDENTITAS UNIT!D9"")"),"#N/A")</f>
        <v>#N/A</v>
      </c>
      <c r="H32646" s="4" t="str">
        <v/>
      </c>
      <c r="I32646" s="4" t="str">
        <v/>
      </c>
    </row>
    <row r="32647" spans="5:9" ht="16.5" hidden="1">
      <c r="E32647" s="4" t="str">
        <v/>
      </c>
      <c r="F32647" s="102" t="str">
        <f ca="1">IFERROR(__xludf.DUMMYFUNCTION("IMPORTRANGE(H32647,""IDENTITAS UNIT!D9"")"),"#N/A")</f>
        <v>#N/A</v>
      </c>
      <c r="H32647" s="4" t="str">
        <v/>
      </c>
      <c r="I32647" s="4" t="str">
        <v/>
      </c>
    </row>
    <row r="32648" spans="5:9" ht="16.5" hidden="1">
      <c r="E32648" s="4" t="str">
        <v/>
      </c>
      <c r="F32648" s="102" t="str">
        <f ca="1">IFERROR(__xludf.DUMMYFUNCTION("IMPORTRANGE(H32648,""IDENTITAS UNIT!D9"")"),"#N/A")</f>
        <v>#N/A</v>
      </c>
      <c r="H32648" s="4" t="str">
        <v/>
      </c>
      <c r="I32648" s="4" t="str">
        <v/>
      </c>
    </row>
    <row r="32649" spans="5:9" ht="16.5" hidden="1">
      <c r="E32649" s="4" t="str">
        <v/>
      </c>
      <c r="F32649" s="102" t="str">
        <f ca="1">IFERROR(__xludf.DUMMYFUNCTION("IMPORTRANGE(H32649,""IDENTITAS UNIT!D9"")"),"#N/A")</f>
        <v>#N/A</v>
      </c>
      <c r="H32649" s="4" t="str">
        <v/>
      </c>
      <c r="I32649" s="4" t="str">
        <v/>
      </c>
    </row>
    <row r="32650" spans="5:9" ht="16.5" hidden="1">
      <c r="E32650" s="4" t="str">
        <v/>
      </c>
      <c r="F32650" s="102" t="str">
        <f ca="1">IFERROR(__xludf.DUMMYFUNCTION("IMPORTRANGE(H32650,""IDENTITAS UNIT!D9"")"),"#N/A")</f>
        <v>#N/A</v>
      </c>
      <c r="H32650" s="4" t="str">
        <v/>
      </c>
      <c r="I32650" s="4" t="str">
        <v/>
      </c>
    </row>
    <row r="32651" spans="5:9" ht="16.5" hidden="1">
      <c r="E32651" s="4" t="str">
        <v/>
      </c>
      <c r="F32651" s="102" t="str">
        <f ca="1">IFERROR(__xludf.DUMMYFUNCTION("IMPORTRANGE(H32651,""IDENTITAS UNIT!D9"")"),"#N/A")</f>
        <v>#N/A</v>
      </c>
      <c r="H32651" s="4" t="str">
        <v/>
      </c>
      <c r="I32651" s="4" t="str">
        <v/>
      </c>
    </row>
    <row r="32652" spans="5:9" ht="16.5" hidden="1">
      <c r="E32652" s="4" t="str">
        <v/>
      </c>
      <c r="F32652" s="102" t="str">
        <f ca="1">IFERROR(__xludf.DUMMYFUNCTION("IMPORTRANGE(H32652,""IDENTITAS UNIT!D9"")"),"#N/A")</f>
        <v>#N/A</v>
      </c>
      <c r="H32652" s="4" t="str">
        <v/>
      </c>
      <c r="I32652" s="4" t="str">
        <v/>
      </c>
    </row>
    <row r="32653" spans="5:9" ht="16.5" hidden="1">
      <c r="E32653" s="4" t="str">
        <v/>
      </c>
      <c r="F32653" s="102" t="str">
        <f ca="1">IFERROR(__xludf.DUMMYFUNCTION("IMPORTRANGE(H32653,""IDENTITAS UNIT!D9"")"),"#N/A")</f>
        <v>#N/A</v>
      </c>
      <c r="H32653" s="4" t="str">
        <v/>
      </c>
      <c r="I32653" s="4" t="str">
        <v/>
      </c>
    </row>
    <row r="32654" spans="5:9" ht="16.5" hidden="1">
      <c r="E32654" s="4" t="str">
        <v/>
      </c>
      <c r="F32654" s="102" t="str">
        <f ca="1">IFERROR(__xludf.DUMMYFUNCTION("IMPORTRANGE(H32654,""IDENTITAS UNIT!D9"")"),"#N/A")</f>
        <v>#N/A</v>
      </c>
      <c r="H32654" s="4" t="str">
        <v/>
      </c>
      <c r="I32654" s="4" t="str">
        <v/>
      </c>
    </row>
    <row r="32655" spans="5:9" ht="16.5" hidden="1">
      <c r="E32655" s="4" t="str">
        <v/>
      </c>
      <c r="F32655" s="102" t="str">
        <f ca="1">IFERROR(__xludf.DUMMYFUNCTION("IMPORTRANGE(H32655,""IDENTITAS UNIT!D9"")"),"#N/A")</f>
        <v>#N/A</v>
      </c>
      <c r="H32655" s="4" t="str">
        <v/>
      </c>
      <c r="I32655" s="4" t="str">
        <v/>
      </c>
    </row>
    <row r="32656" spans="5:9" ht="16.5" hidden="1">
      <c r="E32656" s="4" t="str">
        <v/>
      </c>
      <c r="F32656" s="102" t="str">
        <f ca="1">IFERROR(__xludf.DUMMYFUNCTION("IMPORTRANGE(H32656,""IDENTITAS UNIT!D9"")"),"#N/A")</f>
        <v>#N/A</v>
      </c>
      <c r="H32656" s="4" t="str">
        <v/>
      </c>
      <c r="I32656" s="4" t="str">
        <v/>
      </c>
    </row>
    <row r="32657" spans="5:9" ht="16.5" hidden="1">
      <c r="E32657" s="4" t="str">
        <v/>
      </c>
      <c r="F32657" s="102" t="str">
        <f ca="1">IFERROR(__xludf.DUMMYFUNCTION("IMPORTRANGE(H32657,""IDENTITAS UNIT!D9"")"),"#N/A")</f>
        <v>#N/A</v>
      </c>
      <c r="H32657" s="4" t="str">
        <v/>
      </c>
      <c r="I32657" s="4" t="str">
        <v/>
      </c>
    </row>
    <row r="32658" spans="5:9" ht="16.5" hidden="1">
      <c r="E32658" s="4" t="str">
        <v/>
      </c>
      <c r="F32658" s="102" t="str">
        <f ca="1">IFERROR(__xludf.DUMMYFUNCTION("IMPORTRANGE(H32658,""IDENTITAS UNIT!D9"")"),"#N/A")</f>
        <v>#N/A</v>
      </c>
      <c r="H32658" s="4" t="str">
        <v/>
      </c>
      <c r="I32658" s="4" t="str">
        <v/>
      </c>
    </row>
    <row r="32659" spans="5:9" ht="16.5" hidden="1">
      <c r="E32659" s="4" t="str">
        <v/>
      </c>
      <c r="F32659" s="102" t="str">
        <f ca="1">IFERROR(__xludf.DUMMYFUNCTION("IMPORTRANGE(H32659,""IDENTITAS UNIT!D9"")"),"#N/A")</f>
        <v>#N/A</v>
      </c>
      <c r="H32659" s="4" t="str">
        <v/>
      </c>
      <c r="I32659" s="4" t="str">
        <v/>
      </c>
    </row>
    <row r="32660" spans="5:9" ht="16.5" hidden="1">
      <c r="E32660" s="4" t="str">
        <v/>
      </c>
      <c r="F32660" s="102" t="str">
        <f ca="1">IFERROR(__xludf.DUMMYFUNCTION("IMPORTRANGE(H32660,""IDENTITAS UNIT!D9"")"),"#N/A")</f>
        <v>#N/A</v>
      </c>
      <c r="H32660" s="4" t="str">
        <v/>
      </c>
      <c r="I32660" s="4" t="str">
        <v/>
      </c>
    </row>
    <row r="32661" spans="5:9" ht="16.5" hidden="1">
      <c r="E32661" s="4" t="str">
        <v/>
      </c>
      <c r="F32661" s="102" t="str">
        <f ca="1">IFERROR(__xludf.DUMMYFUNCTION("IMPORTRANGE(H32661,""IDENTITAS UNIT!D9"")"),"#N/A")</f>
        <v>#N/A</v>
      </c>
      <c r="H32661" s="4" t="str">
        <v/>
      </c>
      <c r="I32661" s="4" t="str">
        <v/>
      </c>
    </row>
    <row r="32662" spans="5:9" ht="16.5" hidden="1">
      <c r="E32662" s="4" t="str">
        <v/>
      </c>
      <c r="F32662" s="102" t="str">
        <f ca="1">IFERROR(__xludf.DUMMYFUNCTION("IMPORTRANGE(H32662,""IDENTITAS UNIT!D9"")"),"#N/A")</f>
        <v>#N/A</v>
      </c>
      <c r="H32662" s="4" t="str">
        <v/>
      </c>
      <c r="I32662" s="4" t="str">
        <v/>
      </c>
    </row>
    <row r="32663" spans="5:9" ht="16.5" hidden="1">
      <c r="E32663" s="4" t="str">
        <v/>
      </c>
      <c r="F32663" s="102" t="str">
        <f ca="1">IFERROR(__xludf.DUMMYFUNCTION("IMPORTRANGE(H32663,""IDENTITAS UNIT!D9"")"),"#N/A")</f>
        <v>#N/A</v>
      </c>
      <c r="H32663" s="4" t="str">
        <v/>
      </c>
      <c r="I32663" s="4" t="str">
        <v/>
      </c>
    </row>
    <row r="32664" spans="5:9" ht="16.5" hidden="1">
      <c r="E32664" s="4" t="str">
        <v/>
      </c>
      <c r="F32664" s="102" t="str">
        <f ca="1">IFERROR(__xludf.DUMMYFUNCTION("IMPORTRANGE(H32664,""IDENTITAS UNIT!D9"")"),"#N/A")</f>
        <v>#N/A</v>
      </c>
      <c r="H32664" s="4" t="str">
        <v/>
      </c>
      <c r="I32664" s="4" t="str">
        <v/>
      </c>
    </row>
    <row r="32665" spans="5:9" ht="16.5" hidden="1">
      <c r="E32665" s="4" t="str">
        <v/>
      </c>
      <c r="F32665" s="102" t="str">
        <f ca="1">IFERROR(__xludf.DUMMYFUNCTION("IMPORTRANGE(H32665,""IDENTITAS UNIT!D9"")"),"#N/A")</f>
        <v>#N/A</v>
      </c>
      <c r="H32665" s="4" t="str">
        <v/>
      </c>
      <c r="I32665" s="4" t="str">
        <v/>
      </c>
    </row>
    <row r="32666" spans="5:9" ht="16.5" hidden="1">
      <c r="E32666" s="4" t="str">
        <v/>
      </c>
      <c r="F32666" s="102" t="str">
        <f ca="1">IFERROR(__xludf.DUMMYFUNCTION("IMPORTRANGE(H32666,""IDENTITAS UNIT!D9"")"),"#N/A")</f>
        <v>#N/A</v>
      </c>
      <c r="H32666" s="4" t="str">
        <v/>
      </c>
      <c r="I32666" s="4" t="str">
        <v/>
      </c>
    </row>
    <row r="32667" spans="5:9" ht="16.5" hidden="1">
      <c r="E32667" s="4" t="str">
        <v/>
      </c>
      <c r="F32667" s="102" t="str">
        <f ca="1">IFERROR(__xludf.DUMMYFUNCTION("IMPORTRANGE(H32667,""IDENTITAS UNIT!D9"")"),"#N/A")</f>
        <v>#N/A</v>
      </c>
      <c r="H32667" s="4" t="str">
        <v/>
      </c>
      <c r="I32667" s="4" t="str">
        <v/>
      </c>
    </row>
    <row r="32668" spans="5:9" ht="16.5" hidden="1">
      <c r="E32668" s="4" t="str">
        <v/>
      </c>
      <c r="F32668" s="102" t="str">
        <f ca="1">IFERROR(__xludf.DUMMYFUNCTION("IMPORTRANGE(H32668,""IDENTITAS UNIT!D9"")"),"#N/A")</f>
        <v>#N/A</v>
      </c>
      <c r="H32668" s="4" t="str">
        <v/>
      </c>
      <c r="I32668" s="4" t="str">
        <v/>
      </c>
    </row>
    <row r="32669" spans="5:9" ht="16.5" hidden="1">
      <c r="E32669" s="4" t="str">
        <v/>
      </c>
      <c r="F32669" s="102" t="str">
        <f ca="1">IFERROR(__xludf.DUMMYFUNCTION("IMPORTRANGE(H32669,""IDENTITAS UNIT!D9"")"),"#N/A")</f>
        <v>#N/A</v>
      </c>
      <c r="H32669" s="4" t="str">
        <v/>
      </c>
      <c r="I32669" s="4" t="str">
        <v/>
      </c>
    </row>
    <row r="32670" spans="5:9" ht="16.5" hidden="1">
      <c r="E32670" s="4" t="str">
        <v/>
      </c>
      <c r="F32670" s="102" t="str">
        <f ca="1">IFERROR(__xludf.DUMMYFUNCTION("IMPORTRANGE(H32670,""IDENTITAS UNIT!D9"")"),"#N/A")</f>
        <v>#N/A</v>
      </c>
      <c r="H32670" s="4" t="str">
        <v/>
      </c>
      <c r="I32670" s="4" t="str">
        <v/>
      </c>
    </row>
    <row r="32671" spans="5:9" ht="16.5" hidden="1">
      <c r="E32671" s="4" t="str">
        <v/>
      </c>
      <c r="F32671" s="102" t="str">
        <f ca="1">IFERROR(__xludf.DUMMYFUNCTION("IMPORTRANGE(H32671,""IDENTITAS UNIT!D9"")"),"#N/A")</f>
        <v>#N/A</v>
      </c>
      <c r="H32671" s="4" t="str">
        <v/>
      </c>
      <c r="I32671" s="4" t="str">
        <v/>
      </c>
    </row>
    <row r="32672" spans="5:9" ht="16.5" hidden="1">
      <c r="E32672" s="4" t="str">
        <v/>
      </c>
      <c r="F32672" s="102" t="str">
        <f ca="1">IFERROR(__xludf.DUMMYFUNCTION("IMPORTRANGE(H32672,""IDENTITAS UNIT!D9"")"),"#N/A")</f>
        <v>#N/A</v>
      </c>
      <c r="H32672" s="4" t="str">
        <v/>
      </c>
      <c r="I32672" s="4" t="str">
        <v/>
      </c>
    </row>
    <row r="32673" spans="5:9" ht="16.5" hidden="1">
      <c r="E32673" s="4" t="str">
        <v/>
      </c>
      <c r="F32673" s="102" t="str">
        <f ca="1">IFERROR(__xludf.DUMMYFUNCTION("IMPORTRANGE(H32673,""IDENTITAS UNIT!D9"")"),"#N/A")</f>
        <v>#N/A</v>
      </c>
      <c r="H32673" s="4" t="str">
        <v/>
      </c>
      <c r="I32673" s="4" t="str">
        <v/>
      </c>
    </row>
    <row r="32674" spans="5:9" ht="16.5" hidden="1">
      <c r="E32674" s="4" t="str">
        <v/>
      </c>
      <c r="F32674" s="102" t="str">
        <f ca="1">IFERROR(__xludf.DUMMYFUNCTION("IMPORTRANGE(H32674,""IDENTITAS UNIT!D9"")"),"#N/A")</f>
        <v>#N/A</v>
      </c>
      <c r="H32674" s="4" t="str">
        <v/>
      </c>
      <c r="I32674" s="4" t="str">
        <v/>
      </c>
    </row>
    <row r="32675" spans="5:9" ht="16.5" hidden="1">
      <c r="E32675" s="4" t="str">
        <v/>
      </c>
      <c r="F32675" s="102" t="str">
        <f ca="1">IFERROR(__xludf.DUMMYFUNCTION("IMPORTRANGE(H32675,""IDENTITAS UNIT!D9"")"),"#N/A")</f>
        <v>#N/A</v>
      </c>
      <c r="H32675" s="4" t="str">
        <v/>
      </c>
      <c r="I32675" s="4" t="str">
        <v/>
      </c>
    </row>
    <row r="32676" spans="5:9" ht="16.5" hidden="1">
      <c r="E32676" s="4" t="str">
        <v/>
      </c>
      <c r="F32676" s="102" t="str">
        <f ca="1">IFERROR(__xludf.DUMMYFUNCTION("IMPORTRANGE(H32676,""IDENTITAS UNIT!D9"")"),"#N/A")</f>
        <v>#N/A</v>
      </c>
      <c r="H32676" s="4" t="str">
        <v/>
      </c>
      <c r="I32676" s="4" t="str">
        <v/>
      </c>
    </row>
    <row r="32677" spans="5:9" ht="16.5" hidden="1">
      <c r="E32677" s="4" t="str">
        <v/>
      </c>
      <c r="F32677" s="102" t="str">
        <f ca="1">IFERROR(__xludf.DUMMYFUNCTION("IMPORTRANGE(H32677,""IDENTITAS UNIT!D9"")"),"#N/A")</f>
        <v>#N/A</v>
      </c>
      <c r="H32677" s="4" t="str">
        <v/>
      </c>
      <c r="I32677" s="4" t="str">
        <v/>
      </c>
    </row>
    <row r="32678" spans="5:9" ht="16.5" hidden="1">
      <c r="E32678" s="4" t="str">
        <v/>
      </c>
      <c r="F32678" s="102" t="str">
        <f ca="1">IFERROR(__xludf.DUMMYFUNCTION("IMPORTRANGE(H32678,""IDENTITAS UNIT!D9"")"),"#N/A")</f>
        <v>#N/A</v>
      </c>
      <c r="H32678" s="4" t="str">
        <v/>
      </c>
      <c r="I32678" s="4" t="str">
        <v/>
      </c>
    </row>
    <row r="32679" spans="5:9" ht="16.5" hidden="1">
      <c r="E32679" s="4" t="str">
        <v/>
      </c>
      <c r="F32679" s="102" t="str">
        <f ca="1">IFERROR(__xludf.DUMMYFUNCTION("IMPORTRANGE(H32679,""IDENTITAS UNIT!D9"")"),"#N/A")</f>
        <v>#N/A</v>
      </c>
      <c r="H32679" s="4" t="str">
        <v/>
      </c>
      <c r="I32679" s="4" t="str">
        <v/>
      </c>
    </row>
    <row r="32680" spans="5:9" ht="16.5" hidden="1">
      <c r="E32680" s="4" t="str">
        <v/>
      </c>
      <c r="F32680" s="102" t="str">
        <f ca="1">IFERROR(__xludf.DUMMYFUNCTION("IMPORTRANGE(H32680,""IDENTITAS UNIT!D9"")"),"#N/A")</f>
        <v>#N/A</v>
      </c>
      <c r="H32680" s="4" t="str">
        <v/>
      </c>
      <c r="I32680" s="4" t="str">
        <v/>
      </c>
    </row>
    <row r="32681" spans="5:9" ht="16.5" hidden="1">
      <c r="E32681" s="4" t="str">
        <v/>
      </c>
      <c r="F32681" s="102" t="str">
        <f ca="1">IFERROR(__xludf.DUMMYFUNCTION("IMPORTRANGE(H32681,""IDENTITAS UNIT!D9"")"),"#N/A")</f>
        <v>#N/A</v>
      </c>
      <c r="H32681" s="4" t="str">
        <v/>
      </c>
      <c r="I32681" s="4" t="str">
        <v/>
      </c>
    </row>
    <row r="32682" spans="5:9" ht="16.5" hidden="1">
      <c r="E32682" s="4" t="str">
        <v/>
      </c>
      <c r="F32682" s="102" t="str">
        <f ca="1">IFERROR(__xludf.DUMMYFUNCTION("IMPORTRANGE(H32682,""IDENTITAS UNIT!D9"")"),"#N/A")</f>
        <v>#N/A</v>
      </c>
      <c r="H32682" s="4" t="str">
        <v/>
      </c>
      <c r="I32682" s="4" t="str">
        <v/>
      </c>
    </row>
    <row r="32683" spans="5:9" ht="16.5" hidden="1">
      <c r="E32683" s="4" t="str">
        <v/>
      </c>
      <c r="F32683" s="102" t="str">
        <f ca="1">IFERROR(__xludf.DUMMYFUNCTION("IMPORTRANGE(H32683,""IDENTITAS UNIT!D9"")"),"#N/A")</f>
        <v>#N/A</v>
      </c>
      <c r="H32683" s="4" t="str">
        <v/>
      </c>
      <c r="I32683" s="4" t="str">
        <v/>
      </c>
    </row>
    <row r="32684" spans="5:9" ht="16.5" hidden="1">
      <c r="E32684" s="4" t="str">
        <v/>
      </c>
      <c r="F32684" s="102" t="str">
        <f ca="1">IFERROR(__xludf.DUMMYFUNCTION("IMPORTRANGE(H32684,""IDENTITAS UNIT!D9"")"),"#N/A")</f>
        <v>#N/A</v>
      </c>
      <c r="H32684" s="4" t="str">
        <v/>
      </c>
      <c r="I32684" s="4" t="str">
        <v/>
      </c>
    </row>
    <row r="32685" spans="5:9" ht="16.5" hidden="1">
      <c r="E32685" s="4" t="str">
        <v/>
      </c>
      <c r="F32685" s="102" t="str">
        <f ca="1">IFERROR(__xludf.DUMMYFUNCTION("IMPORTRANGE(H32685,""IDENTITAS UNIT!D9"")"),"#N/A")</f>
        <v>#N/A</v>
      </c>
      <c r="H32685" s="4" t="str">
        <v/>
      </c>
      <c r="I32685" s="4" t="str">
        <v/>
      </c>
    </row>
    <row r="32686" spans="5:9" ht="16.5" hidden="1">
      <c r="E32686" s="4" t="str">
        <v/>
      </c>
      <c r="F32686" s="102" t="str">
        <f ca="1">IFERROR(__xludf.DUMMYFUNCTION("IMPORTRANGE(H32686,""IDENTITAS UNIT!D9"")"),"#N/A")</f>
        <v>#N/A</v>
      </c>
      <c r="H32686" s="4" t="str">
        <v/>
      </c>
      <c r="I32686" s="4" t="str">
        <v/>
      </c>
    </row>
    <row r="32687" spans="5:9" ht="16.5" hidden="1">
      <c r="E32687" s="4" t="str">
        <v/>
      </c>
      <c r="F32687" s="102" t="str">
        <f ca="1">IFERROR(__xludf.DUMMYFUNCTION("IMPORTRANGE(H32687,""IDENTITAS UNIT!D9"")"),"#N/A")</f>
        <v>#N/A</v>
      </c>
      <c r="H32687" s="4" t="str">
        <v/>
      </c>
      <c r="I32687" s="4" t="str">
        <v/>
      </c>
    </row>
    <row r="32688" spans="5:9" ht="16.5" hidden="1">
      <c r="E32688" s="4" t="str">
        <v/>
      </c>
      <c r="F32688" s="102" t="str">
        <f ca="1">IFERROR(__xludf.DUMMYFUNCTION("IMPORTRANGE(H32688,""IDENTITAS UNIT!D9"")"),"#N/A")</f>
        <v>#N/A</v>
      </c>
      <c r="H32688" s="4" t="str">
        <v/>
      </c>
      <c r="I32688" s="4" t="str">
        <v/>
      </c>
    </row>
    <row r="32689" spans="5:9" ht="16.5" hidden="1">
      <c r="E32689" s="4" t="str">
        <v/>
      </c>
      <c r="F32689" s="102" t="str">
        <f ca="1">IFERROR(__xludf.DUMMYFUNCTION("IMPORTRANGE(H32689,""IDENTITAS UNIT!D9"")"),"#N/A")</f>
        <v>#N/A</v>
      </c>
      <c r="H32689" s="4" t="str">
        <v/>
      </c>
      <c r="I32689" s="4" t="str">
        <v/>
      </c>
    </row>
    <row r="32690" spans="5:9" ht="16.5" hidden="1">
      <c r="E32690" s="4" t="str">
        <v/>
      </c>
      <c r="F32690" s="102" t="str">
        <f ca="1">IFERROR(__xludf.DUMMYFUNCTION("IMPORTRANGE(H32690,""IDENTITAS UNIT!D9"")"),"#N/A")</f>
        <v>#N/A</v>
      </c>
      <c r="H32690" s="4" t="str">
        <v/>
      </c>
      <c r="I32690" s="4" t="str">
        <v/>
      </c>
    </row>
    <row r="32691" spans="5:9" ht="16.5" hidden="1">
      <c r="E32691" s="4" t="str">
        <v/>
      </c>
      <c r="F32691" s="102" t="str">
        <f ca="1">IFERROR(__xludf.DUMMYFUNCTION("IMPORTRANGE(H32691,""IDENTITAS UNIT!D9"")"),"#N/A")</f>
        <v>#N/A</v>
      </c>
      <c r="H32691" s="4" t="str">
        <v/>
      </c>
      <c r="I32691" s="4" t="str">
        <v/>
      </c>
    </row>
    <row r="32692" spans="5:9" ht="16.5" hidden="1">
      <c r="E32692" s="4" t="str">
        <v/>
      </c>
      <c r="F32692" s="102" t="str">
        <f ca="1">IFERROR(__xludf.DUMMYFUNCTION("IMPORTRANGE(H32692,""IDENTITAS UNIT!D9"")"),"#N/A")</f>
        <v>#N/A</v>
      </c>
      <c r="H32692" s="4" t="str">
        <v/>
      </c>
      <c r="I32692" s="4" t="str">
        <v/>
      </c>
    </row>
    <row r="32693" spans="5:9" ht="16.5" hidden="1">
      <c r="E32693" s="4" t="str">
        <v/>
      </c>
      <c r="F32693" s="102" t="str">
        <f ca="1">IFERROR(__xludf.DUMMYFUNCTION("IMPORTRANGE(H32693,""IDENTITAS UNIT!D9"")"),"#N/A")</f>
        <v>#N/A</v>
      </c>
      <c r="H32693" s="4" t="str">
        <v/>
      </c>
      <c r="I32693" s="4" t="str">
        <v/>
      </c>
    </row>
    <row r="32694" spans="5:9" ht="16.5" hidden="1">
      <c r="E32694" s="4" t="str">
        <v/>
      </c>
      <c r="F32694" s="102" t="str">
        <f ca="1">IFERROR(__xludf.DUMMYFUNCTION("IMPORTRANGE(H32694,""IDENTITAS UNIT!D9"")"),"#N/A")</f>
        <v>#N/A</v>
      </c>
      <c r="H32694" s="4" t="str">
        <v/>
      </c>
      <c r="I32694" s="4" t="str">
        <v/>
      </c>
    </row>
    <row r="32695" spans="5:9" ht="16.5" hidden="1">
      <c r="E32695" s="4" t="str">
        <v/>
      </c>
      <c r="F32695" s="102" t="str">
        <f ca="1">IFERROR(__xludf.DUMMYFUNCTION("IMPORTRANGE(H32695,""IDENTITAS UNIT!D9"")"),"#N/A")</f>
        <v>#N/A</v>
      </c>
      <c r="H32695" s="4" t="str">
        <v/>
      </c>
      <c r="I32695" s="4" t="str">
        <v/>
      </c>
    </row>
    <row r="32696" spans="5:9" ht="16.5" hidden="1">
      <c r="E32696" s="4" t="str">
        <v/>
      </c>
      <c r="F32696" s="102" t="str">
        <f ca="1">IFERROR(__xludf.DUMMYFUNCTION("IMPORTRANGE(H32696,""IDENTITAS UNIT!D9"")"),"#N/A")</f>
        <v>#N/A</v>
      </c>
      <c r="H32696" s="4" t="str">
        <v/>
      </c>
      <c r="I32696" s="4" t="str">
        <v/>
      </c>
    </row>
    <row r="32697" spans="5:9" ht="16.5" hidden="1">
      <c r="E32697" s="4" t="str">
        <v/>
      </c>
      <c r="F32697" s="102" t="str">
        <f ca="1">IFERROR(__xludf.DUMMYFUNCTION("IMPORTRANGE(H32697,""IDENTITAS UNIT!D9"")"),"#N/A")</f>
        <v>#N/A</v>
      </c>
      <c r="H32697" s="4" t="str">
        <v/>
      </c>
      <c r="I32697" s="4" t="str">
        <v/>
      </c>
    </row>
    <row r="32698" spans="5:9" ht="16.5" hidden="1">
      <c r="E32698" s="4" t="str">
        <v/>
      </c>
      <c r="F32698" s="102" t="str">
        <f ca="1">IFERROR(__xludf.DUMMYFUNCTION("IMPORTRANGE(H32698,""IDENTITAS UNIT!D9"")"),"#N/A")</f>
        <v>#N/A</v>
      </c>
      <c r="H32698" s="4" t="str">
        <v/>
      </c>
      <c r="I32698" s="4" t="str">
        <v/>
      </c>
    </row>
    <row r="32699" spans="5:9" ht="16.5" hidden="1">
      <c r="E32699" s="4" t="str">
        <v/>
      </c>
      <c r="F32699" s="102" t="str">
        <f ca="1">IFERROR(__xludf.DUMMYFUNCTION("IMPORTRANGE(H32699,""IDENTITAS UNIT!D9"")"),"#N/A")</f>
        <v>#N/A</v>
      </c>
      <c r="H32699" s="4" t="str">
        <v/>
      </c>
      <c r="I32699" s="4" t="str">
        <v/>
      </c>
    </row>
    <row r="32700" spans="5:9" ht="16.5" hidden="1">
      <c r="E32700" s="4" t="str">
        <v/>
      </c>
      <c r="F32700" s="102" t="str">
        <f ca="1">IFERROR(__xludf.DUMMYFUNCTION("IMPORTRANGE(H32700,""IDENTITAS UNIT!D9"")"),"#N/A")</f>
        <v>#N/A</v>
      </c>
      <c r="H32700" s="4" t="str">
        <v/>
      </c>
      <c r="I32700" s="4" t="str">
        <v/>
      </c>
    </row>
    <row r="32701" spans="5:9" ht="16.5" hidden="1">
      <c r="E32701" s="4" t="str">
        <v/>
      </c>
      <c r="F32701" s="102" t="str">
        <f ca="1">IFERROR(__xludf.DUMMYFUNCTION("IMPORTRANGE(H32701,""IDENTITAS UNIT!D9"")"),"#N/A")</f>
        <v>#N/A</v>
      </c>
      <c r="H32701" s="4" t="str">
        <v/>
      </c>
      <c r="I32701" s="4" t="str">
        <v/>
      </c>
    </row>
    <row r="32702" spans="5:9" ht="16.5" hidden="1">
      <c r="E32702" s="4" t="str">
        <v/>
      </c>
      <c r="F32702" s="102" t="str">
        <f ca="1">IFERROR(__xludf.DUMMYFUNCTION("IMPORTRANGE(H32702,""IDENTITAS UNIT!D9"")"),"#N/A")</f>
        <v>#N/A</v>
      </c>
      <c r="H32702" s="4" t="str">
        <v/>
      </c>
      <c r="I32702" s="4" t="str">
        <v/>
      </c>
    </row>
    <row r="32703" spans="5:9" ht="16.5" hidden="1">
      <c r="E32703" s="4" t="str">
        <v/>
      </c>
      <c r="F32703" s="102" t="str">
        <f ca="1">IFERROR(__xludf.DUMMYFUNCTION("IMPORTRANGE(H32703,""IDENTITAS UNIT!D9"")"),"#N/A")</f>
        <v>#N/A</v>
      </c>
      <c r="H32703" s="4" t="str">
        <v/>
      </c>
      <c r="I32703" s="4" t="str">
        <v/>
      </c>
    </row>
    <row r="32704" spans="5:9" ht="16.5" hidden="1">
      <c r="E32704" s="4" t="str">
        <v/>
      </c>
      <c r="F32704" s="102" t="str">
        <f ca="1">IFERROR(__xludf.DUMMYFUNCTION("IMPORTRANGE(H32704,""IDENTITAS UNIT!D9"")"),"#N/A")</f>
        <v>#N/A</v>
      </c>
      <c r="H32704" s="4" t="str">
        <v/>
      </c>
      <c r="I32704" s="4" t="str">
        <v/>
      </c>
    </row>
    <row r="32705" spans="5:9" ht="16.5" hidden="1">
      <c r="E32705" s="4" t="str">
        <v/>
      </c>
      <c r="F32705" s="102" t="str">
        <f ca="1">IFERROR(__xludf.DUMMYFUNCTION("IMPORTRANGE(H32705,""IDENTITAS UNIT!D9"")"),"#N/A")</f>
        <v>#N/A</v>
      </c>
      <c r="H32705" s="4" t="str">
        <v/>
      </c>
      <c r="I32705" s="4" t="str">
        <v/>
      </c>
    </row>
    <row r="32706" spans="5:9" ht="16.5" hidden="1">
      <c r="E32706" s="4" t="str">
        <v/>
      </c>
      <c r="F32706" s="102" t="str">
        <f ca="1">IFERROR(__xludf.DUMMYFUNCTION("IMPORTRANGE(H32706,""IDENTITAS UNIT!D9"")"),"#N/A")</f>
        <v>#N/A</v>
      </c>
      <c r="H32706" s="4" t="str">
        <v/>
      </c>
      <c r="I32706" s="4" t="str">
        <v/>
      </c>
    </row>
    <row r="32707" spans="5:9" ht="16.5" hidden="1">
      <c r="E32707" s="4" t="str">
        <v/>
      </c>
      <c r="F32707" s="102" t="str">
        <f ca="1">IFERROR(__xludf.DUMMYFUNCTION("IMPORTRANGE(H32707,""IDENTITAS UNIT!D9"")"),"#N/A")</f>
        <v>#N/A</v>
      </c>
      <c r="H32707" s="4" t="str">
        <v/>
      </c>
      <c r="I32707" s="4" t="str">
        <v/>
      </c>
    </row>
    <row r="32708" spans="5:9" ht="16.5" hidden="1">
      <c r="E32708" s="4" t="str">
        <v/>
      </c>
      <c r="F32708" s="102" t="str">
        <f ca="1">IFERROR(__xludf.DUMMYFUNCTION("IMPORTRANGE(H32708,""IDENTITAS UNIT!D9"")"),"#N/A")</f>
        <v>#N/A</v>
      </c>
      <c r="H32708" s="4" t="str">
        <v/>
      </c>
      <c r="I32708" s="4" t="str">
        <v/>
      </c>
    </row>
    <row r="32709" spans="5:9" ht="16.5" hidden="1">
      <c r="E32709" s="4" t="str">
        <v/>
      </c>
      <c r="F32709" s="102" t="str">
        <f ca="1">IFERROR(__xludf.DUMMYFUNCTION("IMPORTRANGE(H32709,""IDENTITAS UNIT!D9"")"),"#N/A")</f>
        <v>#N/A</v>
      </c>
      <c r="H32709" s="4" t="str">
        <v/>
      </c>
      <c r="I32709" s="4" t="str">
        <v/>
      </c>
    </row>
    <row r="32710" spans="5:9" ht="16.5" hidden="1">
      <c r="E32710" s="4" t="str">
        <v/>
      </c>
      <c r="F32710" s="102" t="str">
        <f ca="1">IFERROR(__xludf.DUMMYFUNCTION("IMPORTRANGE(H32710,""IDENTITAS UNIT!D9"")"),"#N/A")</f>
        <v>#N/A</v>
      </c>
      <c r="H32710" s="4" t="str">
        <v/>
      </c>
      <c r="I32710" s="4" t="str">
        <v/>
      </c>
    </row>
    <row r="32711" spans="5:9" ht="16.5" hidden="1">
      <c r="E32711" s="4" t="str">
        <v/>
      </c>
      <c r="F32711" s="102" t="str">
        <f ca="1">IFERROR(__xludf.DUMMYFUNCTION("IMPORTRANGE(H32711,""IDENTITAS UNIT!D9"")"),"#N/A")</f>
        <v>#N/A</v>
      </c>
      <c r="H32711" s="4" t="str">
        <v/>
      </c>
      <c r="I32711" s="4" t="str">
        <v/>
      </c>
    </row>
    <row r="32712" spans="5:9" ht="16.5" hidden="1">
      <c r="E32712" s="4" t="str">
        <v/>
      </c>
      <c r="F32712" s="102" t="str">
        <f ca="1">IFERROR(__xludf.DUMMYFUNCTION("IMPORTRANGE(H32712,""IDENTITAS UNIT!D9"")"),"#N/A")</f>
        <v>#N/A</v>
      </c>
      <c r="H32712" s="4" t="str">
        <v/>
      </c>
      <c r="I32712" s="4" t="str">
        <v/>
      </c>
    </row>
    <row r="32713" spans="5:9" ht="16.5" hidden="1">
      <c r="E32713" s="4" t="str">
        <v/>
      </c>
      <c r="F32713" s="102" t="str">
        <f ca="1">IFERROR(__xludf.DUMMYFUNCTION("IMPORTRANGE(H32713,""IDENTITAS UNIT!D9"")"),"#N/A")</f>
        <v>#N/A</v>
      </c>
      <c r="H32713" s="4" t="str">
        <v/>
      </c>
      <c r="I32713" s="4" t="str">
        <v/>
      </c>
    </row>
    <row r="32714" spans="5:9" ht="16.5" hidden="1">
      <c r="E32714" s="4" t="str">
        <v/>
      </c>
      <c r="F32714" s="102" t="str">
        <f ca="1">IFERROR(__xludf.DUMMYFUNCTION("IMPORTRANGE(H32714,""IDENTITAS UNIT!D9"")"),"#N/A")</f>
        <v>#N/A</v>
      </c>
      <c r="H32714" s="4" t="str">
        <v/>
      </c>
      <c r="I32714" s="4" t="str">
        <v/>
      </c>
    </row>
    <row r="32715" spans="5:9" ht="16.5" hidden="1">
      <c r="E32715" s="4" t="str">
        <v/>
      </c>
      <c r="F32715" s="102" t="str">
        <f ca="1">IFERROR(__xludf.DUMMYFUNCTION("IMPORTRANGE(H32715,""IDENTITAS UNIT!D9"")"),"#N/A")</f>
        <v>#N/A</v>
      </c>
      <c r="H32715" s="4" t="str">
        <v/>
      </c>
      <c r="I32715" s="4" t="str">
        <v/>
      </c>
    </row>
    <row r="32716" spans="5:9" ht="16.5" hidden="1">
      <c r="E32716" s="4" t="str">
        <v/>
      </c>
      <c r="F32716" s="102" t="str">
        <f ca="1">IFERROR(__xludf.DUMMYFUNCTION("IMPORTRANGE(H32716,""IDENTITAS UNIT!D9"")"),"#N/A")</f>
        <v>#N/A</v>
      </c>
      <c r="H32716" s="4" t="str">
        <v/>
      </c>
      <c r="I32716" s="4" t="str">
        <v/>
      </c>
    </row>
    <row r="32717" spans="5:9" ht="16.5" hidden="1">
      <c r="E32717" s="4" t="str">
        <v/>
      </c>
      <c r="F32717" s="102" t="str">
        <f ca="1">IFERROR(__xludf.DUMMYFUNCTION("IMPORTRANGE(H32717,""IDENTITAS UNIT!D9"")"),"#N/A")</f>
        <v>#N/A</v>
      </c>
      <c r="H32717" s="4" t="str">
        <v/>
      </c>
      <c r="I32717" s="4" t="str">
        <v/>
      </c>
    </row>
    <row r="32718" spans="5:9" ht="16.5" hidden="1">
      <c r="E32718" s="4" t="str">
        <v/>
      </c>
      <c r="F32718" s="102" t="str">
        <f ca="1">IFERROR(__xludf.DUMMYFUNCTION("IMPORTRANGE(H32718,""IDENTITAS UNIT!D9"")"),"#N/A")</f>
        <v>#N/A</v>
      </c>
      <c r="H32718" s="4" t="str">
        <v/>
      </c>
      <c r="I32718" s="4" t="str">
        <v/>
      </c>
    </row>
    <row r="32719" spans="5:9" ht="16.5" hidden="1">
      <c r="E32719" s="4" t="str">
        <v/>
      </c>
      <c r="F32719" s="102" t="str">
        <f ca="1">IFERROR(__xludf.DUMMYFUNCTION("IMPORTRANGE(H32719,""IDENTITAS UNIT!D9"")"),"#N/A")</f>
        <v>#N/A</v>
      </c>
      <c r="H32719" s="4" t="str">
        <v/>
      </c>
      <c r="I32719" s="4" t="str">
        <v/>
      </c>
    </row>
    <row r="32720" spans="5:9" ht="16.5" hidden="1">
      <c r="E32720" s="4" t="str">
        <v/>
      </c>
      <c r="F32720" s="102" t="str">
        <f ca="1">IFERROR(__xludf.DUMMYFUNCTION("IMPORTRANGE(H32720,""IDENTITAS UNIT!D9"")"),"#N/A")</f>
        <v>#N/A</v>
      </c>
      <c r="H32720" s="4" t="str">
        <v/>
      </c>
      <c r="I32720" s="4" t="str">
        <v/>
      </c>
    </row>
    <row r="32721" spans="5:9" ht="16.5" hidden="1">
      <c r="E32721" s="4" t="str">
        <v/>
      </c>
      <c r="F32721" s="102" t="str">
        <f ca="1">IFERROR(__xludf.DUMMYFUNCTION("IMPORTRANGE(H32721,""IDENTITAS UNIT!D9"")"),"#N/A")</f>
        <v>#N/A</v>
      </c>
      <c r="H32721" s="4" t="str">
        <v/>
      </c>
      <c r="I32721" s="4" t="str">
        <v/>
      </c>
    </row>
    <row r="32722" spans="5:9" ht="16.5" hidden="1">
      <c r="E32722" s="4" t="str">
        <v/>
      </c>
      <c r="F32722" s="102" t="str">
        <f ca="1">IFERROR(__xludf.DUMMYFUNCTION("IMPORTRANGE(H32722,""IDENTITAS UNIT!D9"")"),"#N/A")</f>
        <v>#N/A</v>
      </c>
      <c r="H32722" s="4" t="str">
        <v/>
      </c>
      <c r="I32722" s="4" t="str">
        <v/>
      </c>
    </row>
    <row r="32723" spans="5:9" ht="16.5" hidden="1">
      <c r="E32723" s="4" t="str">
        <v/>
      </c>
      <c r="F32723" s="102" t="str">
        <f ca="1">IFERROR(__xludf.DUMMYFUNCTION("IMPORTRANGE(H32723,""IDENTITAS UNIT!D9"")"),"#N/A")</f>
        <v>#N/A</v>
      </c>
      <c r="H32723" s="4" t="str">
        <v/>
      </c>
      <c r="I32723" s="4" t="str">
        <v/>
      </c>
    </row>
    <row r="32724" spans="5:9" ht="16.5" hidden="1">
      <c r="E32724" s="4" t="str">
        <v/>
      </c>
      <c r="F32724" s="102" t="str">
        <f ca="1">IFERROR(__xludf.DUMMYFUNCTION("IMPORTRANGE(H32724,""IDENTITAS UNIT!D9"")"),"#N/A")</f>
        <v>#N/A</v>
      </c>
      <c r="H32724" s="4" t="str">
        <v/>
      </c>
      <c r="I32724" s="4" t="str">
        <v/>
      </c>
    </row>
    <row r="32725" spans="5:9" ht="16.5" hidden="1">
      <c r="E32725" s="4" t="str">
        <v/>
      </c>
      <c r="F32725" s="102" t="str">
        <f ca="1">IFERROR(__xludf.DUMMYFUNCTION("IMPORTRANGE(H32725,""IDENTITAS UNIT!D9"")"),"#N/A")</f>
        <v>#N/A</v>
      </c>
      <c r="H32725" s="4" t="str">
        <v/>
      </c>
      <c r="I32725" s="4" t="str">
        <v/>
      </c>
    </row>
    <row r="32726" spans="5:9" ht="16.5" hidden="1">
      <c r="E32726" s="4" t="str">
        <v/>
      </c>
      <c r="F32726" s="102" t="str">
        <f ca="1">IFERROR(__xludf.DUMMYFUNCTION("IMPORTRANGE(H32726,""IDENTITAS UNIT!D9"")"),"#N/A")</f>
        <v>#N/A</v>
      </c>
      <c r="H32726" s="4" t="str">
        <v/>
      </c>
      <c r="I32726" s="4" t="str">
        <v/>
      </c>
    </row>
    <row r="32727" spans="5:9" ht="16.5" hidden="1">
      <c r="E32727" s="4" t="str">
        <v/>
      </c>
      <c r="F32727" s="102" t="str">
        <f ca="1">IFERROR(__xludf.DUMMYFUNCTION("IMPORTRANGE(H32727,""IDENTITAS UNIT!D9"")"),"#N/A")</f>
        <v>#N/A</v>
      </c>
      <c r="H32727" s="4" t="str">
        <v/>
      </c>
      <c r="I32727" s="4" t="str">
        <v/>
      </c>
    </row>
    <row r="32728" spans="5:9" ht="16.5" hidden="1">
      <c r="E32728" s="4" t="str">
        <v/>
      </c>
      <c r="F32728" s="102" t="str">
        <f ca="1">IFERROR(__xludf.DUMMYFUNCTION("IMPORTRANGE(H32728,""IDENTITAS UNIT!D9"")"),"#N/A")</f>
        <v>#N/A</v>
      </c>
      <c r="H32728" s="4" t="str">
        <v/>
      </c>
      <c r="I32728" s="4" t="str">
        <v/>
      </c>
    </row>
    <row r="32729" spans="5:9" ht="16.5" hidden="1">
      <c r="E32729" s="4" t="str">
        <v/>
      </c>
      <c r="F32729" s="102" t="str">
        <f ca="1">IFERROR(__xludf.DUMMYFUNCTION("IMPORTRANGE(H32729,""IDENTITAS UNIT!D9"")"),"#N/A")</f>
        <v>#N/A</v>
      </c>
      <c r="H32729" s="4" t="str">
        <v/>
      </c>
      <c r="I32729" s="4" t="str">
        <v/>
      </c>
    </row>
    <row r="32730" spans="5:9" ht="16.5" hidden="1">
      <c r="E32730" s="4" t="str">
        <v/>
      </c>
      <c r="F32730" s="102" t="str">
        <f ca="1">IFERROR(__xludf.DUMMYFUNCTION("IMPORTRANGE(H32730,""IDENTITAS UNIT!D9"")"),"#N/A")</f>
        <v>#N/A</v>
      </c>
      <c r="H32730" s="4" t="str">
        <v/>
      </c>
      <c r="I32730" s="4" t="str">
        <v/>
      </c>
    </row>
    <row r="32731" spans="5:9" ht="16.5" hidden="1">
      <c r="E32731" s="4" t="str">
        <v/>
      </c>
      <c r="F32731" s="102" t="str">
        <f ca="1">IFERROR(__xludf.DUMMYFUNCTION("IMPORTRANGE(H32731,""IDENTITAS UNIT!D9"")"),"#N/A")</f>
        <v>#N/A</v>
      </c>
      <c r="H32731" s="4" t="str">
        <v/>
      </c>
      <c r="I32731" s="4" t="str">
        <v/>
      </c>
    </row>
    <row r="32732" spans="5:9" ht="16.5" hidden="1">
      <c r="E32732" s="4" t="str">
        <v/>
      </c>
      <c r="F32732" s="102" t="str">
        <f ca="1">IFERROR(__xludf.DUMMYFUNCTION("IMPORTRANGE(H32732,""IDENTITAS UNIT!D9"")"),"#N/A")</f>
        <v>#N/A</v>
      </c>
      <c r="H32732" s="4" t="str">
        <v/>
      </c>
      <c r="I32732" s="4" t="str">
        <v/>
      </c>
    </row>
    <row r="32733" spans="5:9" ht="16.5" hidden="1">
      <c r="E32733" s="4" t="str">
        <v/>
      </c>
      <c r="F32733" s="102" t="str">
        <f ca="1">IFERROR(__xludf.DUMMYFUNCTION("IMPORTRANGE(H32733,""IDENTITAS UNIT!D9"")"),"#N/A")</f>
        <v>#N/A</v>
      </c>
      <c r="H32733" s="4" t="str">
        <v/>
      </c>
      <c r="I32733" s="4" t="str">
        <v/>
      </c>
    </row>
    <row r="32734" spans="5:9" ht="16.5" hidden="1">
      <c r="E32734" s="4" t="str">
        <v/>
      </c>
      <c r="F32734" s="102" t="str">
        <f ca="1">IFERROR(__xludf.DUMMYFUNCTION("IMPORTRANGE(H32734,""IDENTITAS UNIT!D9"")"),"#N/A")</f>
        <v>#N/A</v>
      </c>
      <c r="H32734" s="4" t="str">
        <v/>
      </c>
      <c r="I32734" s="4" t="str">
        <v/>
      </c>
    </row>
    <row r="32735" spans="5:9" ht="16.5" hidden="1">
      <c r="E32735" s="4" t="str">
        <v/>
      </c>
      <c r="F32735" s="102" t="str">
        <f ca="1">IFERROR(__xludf.DUMMYFUNCTION("IMPORTRANGE(H32735,""IDENTITAS UNIT!D9"")"),"#N/A")</f>
        <v>#N/A</v>
      </c>
      <c r="H32735" s="4" t="str">
        <v/>
      </c>
      <c r="I32735" s="4" t="str">
        <v/>
      </c>
    </row>
    <row r="32736" spans="5:9" ht="16.5" hidden="1">
      <c r="E32736" s="4" t="str">
        <v/>
      </c>
      <c r="F32736" s="102" t="str">
        <f ca="1">IFERROR(__xludf.DUMMYFUNCTION("IMPORTRANGE(H32736,""IDENTITAS UNIT!D9"")"),"#N/A")</f>
        <v>#N/A</v>
      </c>
      <c r="H32736" s="4" t="str">
        <v/>
      </c>
      <c r="I32736" s="4" t="str">
        <v/>
      </c>
    </row>
    <row r="32737" spans="5:9" ht="16.5" hidden="1">
      <c r="E32737" s="4" t="str">
        <v/>
      </c>
      <c r="F32737" s="102" t="str">
        <f ca="1">IFERROR(__xludf.DUMMYFUNCTION("IMPORTRANGE(H32737,""IDENTITAS UNIT!D9"")"),"#N/A")</f>
        <v>#N/A</v>
      </c>
      <c r="H32737" s="4" t="str">
        <v/>
      </c>
      <c r="I32737" s="4" t="str">
        <v/>
      </c>
    </row>
    <row r="32738" spans="5:9" ht="16.5" hidden="1">
      <c r="E32738" s="4" t="str">
        <v/>
      </c>
      <c r="F32738" s="102" t="str">
        <f ca="1">IFERROR(__xludf.DUMMYFUNCTION("IMPORTRANGE(H32738,""IDENTITAS UNIT!D9"")"),"#N/A")</f>
        <v>#N/A</v>
      </c>
      <c r="H32738" s="4" t="str">
        <v/>
      </c>
      <c r="I32738" s="4" t="str">
        <v/>
      </c>
    </row>
    <row r="32739" spans="5:9" ht="16.5" hidden="1">
      <c r="E32739" s="4" t="str">
        <v/>
      </c>
      <c r="F32739" s="102" t="str">
        <f ca="1">IFERROR(__xludf.DUMMYFUNCTION("IMPORTRANGE(H32739,""IDENTITAS UNIT!D9"")"),"#N/A")</f>
        <v>#N/A</v>
      </c>
      <c r="H32739" s="4" t="str">
        <v/>
      </c>
      <c r="I32739" s="4" t="str">
        <v/>
      </c>
    </row>
    <row r="32740" spans="5:9" ht="16.5" hidden="1">
      <c r="E32740" s="4" t="str">
        <v/>
      </c>
      <c r="F32740" s="102" t="str">
        <f ca="1">IFERROR(__xludf.DUMMYFUNCTION("IMPORTRANGE(H32740,""IDENTITAS UNIT!D9"")"),"#N/A")</f>
        <v>#N/A</v>
      </c>
      <c r="H32740" s="4" t="str">
        <v/>
      </c>
      <c r="I32740" s="4" t="str">
        <v/>
      </c>
    </row>
    <row r="32741" spans="5:9" ht="16.5" hidden="1">
      <c r="E32741" s="4" t="str">
        <v/>
      </c>
      <c r="F32741" s="102" t="str">
        <f ca="1">IFERROR(__xludf.DUMMYFUNCTION("IMPORTRANGE(H32741,""IDENTITAS UNIT!D9"")"),"#N/A")</f>
        <v>#N/A</v>
      </c>
      <c r="H32741" s="4" t="str">
        <v/>
      </c>
      <c r="I32741" s="4" t="str">
        <v/>
      </c>
    </row>
    <row r="32742" spans="5:9" ht="16.5" hidden="1">
      <c r="E32742" s="4" t="str">
        <v/>
      </c>
      <c r="F32742" s="102" t="str">
        <f ca="1">IFERROR(__xludf.DUMMYFUNCTION("IMPORTRANGE(H32742,""IDENTITAS UNIT!D9"")"),"#N/A")</f>
        <v>#N/A</v>
      </c>
      <c r="H32742" s="4" t="str">
        <v/>
      </c>
      <c r="I32742" s="4" t="str">
        <v/>
      </c>
    </row>
    <row r="32743" spans="5:9" ht="16.5" hidden="1">
      <c r="E32743" s="4" t="str">
        <v/>
      </c>
      <c r="F32743" s="102" t="str">
        <f ca="1">IFERROR(__xludf.DUMMYFUNCTION("IMPORTRANGE(H32743,""IDENTITAS UNIT!D9"")"),"#N/A")</f>
        <v>#N/A</v>
      </c>
      <c r="H32743" s="4" t="str">
        <v/>
      </c>
      <c r="I32743" s="4" t="str">
        <v/>
      </c>
    </row>
    <row r="32744" spans="5:9" ht="16.5" hidden="1">
      <c r="E32744" s="4" t="str">
        <v/>
      </c>
      <c r="F32744" s="102" t="str">
        <f ca="1">IFERROR(__xludf.DUMMYFUNCTION("IMPORTRANGE(H32744,""IDENTITAS UNIT!D9"")"),"#N/A")</f>
        <v>#N/A</v>
      </c>
      <c r="H32744" s="4" t="str">
        <v/>
      </c>
      <c r="I32744" s="4" t="str">
        <v/>
      </c>
    </row>
    <row r="32745" spans="5:9" ht="16.5" hidden="1">
      <c r="E32745" s="4" t="str">
        <v/>
      </c>
      <c r="F32745" s="102" t="str">
        <f ca="1">IFERROR(__xludf.DUMMYFUNCTION("IMPORTRANGE(H32745,""IDENTITAS UNIT!D9"")"),"#N/A")</f>
        <v>#N/A</v>
      </c>
      <c r="H32745" s="4" t="str">
        <v/>
      </c>
      <c r="I32745" s="4" t="str">
        <v/>
      </c>
    </row>
    <row r="32746" spans="5:9" ht="16.5" hidden="1">
      <c r="E32746" s="4" t="str">
        <v/>
      </c>
      <c r="F32746" s="102" t="str">
        <f ca="1">IFERROR(__xludf.DUMMYFUNCTION("IMPORTRANGE(H32746,""IDENTITAS UNIT!D9"")"),"#N/A")</f>
        <v>#N/A</v>
      </c>
      <c r="H32746" s="4" t="str">
        <v/>
      </c>
      <c r="I32746" s="4" t="str">
        <v/>
      </c>
    </row>
    <row r="32747" spans="5:9" ht="16.5" hidden="1">
      <c r="E32747" s="4" t="str">
        <v/>
      </c>
      <c r="F32747" s="102" t="str">
        <f ca="1">IFERROR(__xludf.DUMMYFUNCTION("IMPORTRANGE(H32747,""IDENTITAS UNIT!D9"")"),"#N/A")</f>
        <v>#N/A</v>
      </c>
      <c r="H32747" s="4" t="str">
        <v/>
      </c>
      <c r="I32747" s="4" t="str">
        <v/>
      </c>
    </row>
    <row r="32748" spans="5:9" ht="16.5" hidden="1">
      <c r="E32748" s="4" t="str">
        <v/>
      </c>
      <c r="F32748" s="102" t="str">
        <f ca="1">IFERROR(__xludf.DUMMYFUNCTION("IMPORTRANGE(H32748,""IDENTITAS UNIT!D9"")"),"#N/A")</f>
        <v>#N/A</v>
      </c>
      <c r="H32748" s="4" t="str">
        <v/>
      </c>
      <c r="I32748" s="4" t="str">
        <v/>
      </c>
    </row>
    <row r="32749" spans="5:9" ht="16.5" hidden="1">
      <c r="E32749" s="4" t="str">
        <v/>
      </c>
      <c r="F32749" s="102" t="str">
        <f ca="1">IFERROR(__xludf.DUMMYFUNCTION("IMPORTRANGE(H32749,""IDENTITAS UNIT!D9"")"),"#N/A")</f>
        <v>#N/A</v>
      </c>
      <c r="H32749" s="4" t="str">
        <v/>
      </c>
      <c r="I32749" s="4" t="str">
        <v/>
      </c>
    </row>
    <row r="32750" spans="5:9" ht="16.5" hidden="1">
      <c r="E32750" s="4" t="str">
        <v/>
      </c>
      <c r="F32750" s="102" t="str">
        <f ca="1">IFERROR(__xludf.DUMMYFUNCTION("IMPORTRANGE(H32750,""IDENTITAS UNIT!D9"")"),"#N/A")</f>
        <v>#N/A</v>
      </c>
      <c r="H32750" s="4" t="str">
        <v/>
      </c>
      <c r="I32750" s="4" t="str">
        <v/>
      </c>
    </row>
    <row r="32751" spans="5:9" ht="16.5" hidden="1">
      <c r="E32751" s="4" t="str">
        <v/>
      </c>
      <c r="F32751" s="102" t="str">
        <f ca="1">IFERROR(__xludf.DUMMYFUNCTION("IMPORTRANGE(H32751,""IDENTITAS UNIT!D9"")"),"#N/A")</f>
        <v>#N/A</v>
      </c>
      <c r="H32751" s="4" t="str">
        <v/>
      </c>
      <c r="I32751" s="4" t="str">
        <v/>
      </c>
    </row>
    <row r="32752" spans="5:9" ht="16.5" hidden="1">
      <c r="E32752" s="4" t="str">
        <v/>
      </c>
      <c r="F32752" s="102" t="str">
        <f ca="1">IFERROR(__xludf.DUMMYFUNCTION("IMPORTRANGE(H32752,""IDENTITAS UNIT!D9"")"),"#N/A")</f>
        <v>#N/A</v>
      </c>
      <c r="H32752" s="4" t="str">
        <v/>
      </c>
      <c r="I32752" s="4" t="str">
        <v/>
      </c>
    </row>
    <row r="32753" spans="5:9" ht="16.5" hidden="1">
      <c r="E32753" s="4" t="str">
        <v/>
      </c>
      <c r="F32753" s="102" t="str">
        <f ca="1">IFERROR(__xludf.DUMMYFUNCTION("IMPORTRANGE(H32753,""IDENTITAS UNIT!D9"")"),"#N/A")</f>
        <v>#N/A</v>
      </c>
      <c r="H32753" s="4" t="str">
        <v/>
      </c>
      <c r="I32753" s="4" t="str">
        <v/>
      </c>
    </row>
    <row r="32754" spans="5:9" ht="16.5" hidden="1">
      <c r="E32754" s="4" t="str">
        <v/>
      </c>
      <c r="F32754" s="102" t="str">
        <f ca="1">IFERROR(__xludf.DUMMYFUNCTION("IMPORTRANGE(H32754,""IDENTITAS UNIT!D9"")"),"#N/A")</f>
        <v>#N/A</v>
      </c>
      <c r="H32754" s="4" t="str">
        <v/>
      </c>
      <c r="I32754" s="4" t="str">
        <v/>
      </c>
    </row>
    <row r="32755" spans="5:9" ht="16.5" hidden="1">
      <c r="E32755" s="4" t="str">
        <v/>
      </c>
      <c r="F32755" s="102" t="str">
        <f ca="1">IFERROR(__xludf.DUMMYFUNCTION("IMPORTRANGE(H32755,""IDENTITAS UNIT!D9"")"),"#N/A")</f>
        <v>#N/A</v>
      </c>
      <c r="H32755" s="4" t="str">
        <v/>
      </c>
      <c r="I32755" s="4" t="str">
        <v/>
      </c>
    </row>
    <row r="32756" spans="5:9" ht="16.5" hidden="1">
      <c r="E32756" s="4" t="str">
        <v/>
      </c>
      <c r="F32756" s="102" t="str">
        <f ca="1">IFERROR(__xludf.DUMMYFUNCTION("IMPORTRANGE(H32756,""IDENTITAS UNIT!D9"")"),"#N/A")</f>
        <v>#N/A</v>
      </c>
      <c r="H32756" s="4" t="str">
        <v/>
      </c>
      <c r="I32756" s="4" t="str">
        <v/>
      </c>
    </row>
    <row r="32757" spans="5:9" ht="16.5" hidden="1">
      <c r="E32757" s="4" t="str">
        <v/>
      </c>
      <c r="F32757" s="102" t="str">
        <f ca="1">IFERROR(__xludf.DUMMYFUNCTION("IMPORTRANGE(H32757,""IDENTITAS UNIT!D9"")"),"#N/A")</f>
        <v>#N/A</v>
      </c>
      <c r="H32757" s="4" t="str">
        <v/>
      </c>
      <c r="I32757" s="4" t="str">
        <v/>
      </c>
    </row>
    <row r="32758" spans="5:9" ht="16.5" hidden="1">
      <c r="E32758" s="4" t="str">
        <v/>
      </c>
      <c r="F32758" s="102" t="str">
        <f ca="1">IFERROR(__xludf.DUMMYFUNCTION("IMPORTRANGE(H32758,""IDENTITAS UNIT!D9"")"),"#N/A")</f>
        <v>#N/A</v>
      </c>
      <c r="H32758" s="4" t="str">
        <v/>
      </c>
      <c r="I32758" s="4" t="str">
        <v/>
      </c>
    </row>
    <row r="32759" spans="5:9" ht="16.5" hidden="1">
      <c r="E32759" s="4" t="str">
        <v/>
      </c>
      <c r="F32759" s="102" t="str">
        <f ca="1">IFERROR(__xludf.DUMMYFUNCTION("IMPORTRANGE(H32759,""IDENTITAS UNIT!D9"")"),"#N/A")</f>
        <v>#N/A</v>
      </c>
      <c r="H32759" s="4" t="str">
        <v/>
      </c>
      <c r="I32759" s="4" t="str">
        <v/>
      </c>
    </row>
    <row r="32760" spans="5:9" ht="16.5" hidden="1">
      <c r="E32760" s="4" t="str">
        <v/>
      </c>
      <c r="F32760" s="102" t="str">
        <f ca="1">IFERROR(__xludf.DUMMYFUNCTION("IMPORTRANGE(H32760,""IDENTITAS UNIT!D9"")"),"#N/A")</f>
        <v>#N/A</v>
      </c>
      <c r="H32760" s="4" t="str">
        <v/>
      </c>
      <c r="I32760" s="4" t="str">
        <v/>
      </c>
    </row>
    <row r="32761" spans="5:9" ht="16.5" hidden="1">
      <c r="E32761" s="4" t="str">
        <v/>
      </c>
      <c r="F32761" s="102" t="str">
        <f ca="1">IFERROR(__xludf.DUMMYFUNCTION("IMPORTRANGE(H32761,""IDENTITAS UNIT!D9"")"),"#N/A")</f>
        <v>#N/A</v>
      </c>
      <c r="H32761" s="4" t="str">
        <v/>
      </c>
      <c r="I32761" s="4" t="str">
        <v/>
      </c>
    </row>
    <row r="32762" spans="5:9" ht="16.5" hidden="1">
      <c r="E32762" s="4" t="str">
        <v/>
      </c>
      <c r="F32762" s="102" t="str">
        <f ca="1">IFERROR(__xludf.DUMMYFUNCTION("IMPORTRANGE(H32762,""IDENTITAS UNIT!D9"")"),"#N/A")</f>
        <v>#N/A</v>
      </c>
      <c r="H32762" s="4" t="str">
        <v/>
      </c>
      <c r="I32762" s="4" t="str">
        <v/>
      </c>
    </row>
    <row r="32763" spans="5:9" ht="16.5" hidden="1">
      <c r="E32763" s="4" t="str">
        <v/>
      </c>
      <c r="F32763" s="102" t="str">
        <f ca="1">IFERROR(__xludf.DUMMYFUNCTION("IMPORTRANGE(H32763,""IDENTITAS UNIT!D9"")"),"#N/A")</f>
        <v>#N/A</v>
      </c>
      <c r="H32763" s="4" t="str">
        <v/>
      </c>
      <c r="I32763" s="4" t="str">
        <v/>
      </c>
    </row>
    <row r="32764" spans="5:9" ht="16.5" hidden="1">
      <c r="E32764" s="4" t="str">
        <v/>
      </c>
      <c r="F32764" s="102" t="str">
        <f ca="1">IFERROR(__xludf.DUMMYFUNCTION("IMPORTRANGE(H32764,""IDENTITAS UNIT!D9"")"),"#N/A")</f>
        <v>#N/A</v>
      </c>
      <c r="H32764" s="4" t="str">
        <v/>
      </c>
      <c r="I32764" s="4" t="str">
        <v/>
      </c>
    </row>
    <row r="32765" spans="5:9" ht="16.5" hidden="1">
      <c r="E32765" s="4" t="str">
        <v/>
      </c>
      <c r="F32765" s="102" t="str">
        <f ca="1">IFERROR(__xludf.DUMMYFUNCTION("IMPORTRANGE(H32765,""IDENTITAS UNIT!D9"")"),"#N/A")</f>
        <v>#N/A</v>
      </c>
      <c r="H32765" s="4" t="str">
        <v/>
      </c>
      <c r="I32765" s="4" t="str">
        <v/>
      </c>
    </row>
    <row r="32766" spans="5:9" ht="16.5" hidden="1">
      <c r="E32766" s="4" t="str">
        <v/>
      </c>
      <c r="F32766" s="102" t="str">
        <f ca="1">IFERROR(__xludf.DUMMYFUNCTION("IMPORTRANGE(H32766,""IDENTITAS UNIT!D9"")"),"#N/A")</f>
        <v>#N/A</v>
      </c>
      <c r="H32766" s="4" t="str">
        <v/>
      </c>
      <c r="I32766" s="4" t="str">
        <v/>
      </c>
    </row>
    <row r="32767" spans="5:9" ht="16.5" hidden="1">
      <c r="E32767" s="4" t="str">
        <v/>
      </c>
      <c r="F32767" s="102" t="str">
        <f ca="1">IFERROR(__xludf.DUMMYFUNCTION("IMPORTRANGE(H32767,""IDENTITAS UNIT!D9"")"),"#N/A")</f>
        <v>#N/A</v>
      </c>
      <c r="H32767" s="4" t="str">
        <v/>
      </c>
      <c r="I32767" s="4" t="str">
        <v/>
      </c>
    </row>
    <row r="32768" spans="5:9" ht="16.5" hidden="1">
      <c r="E32768" s="4" t="str">
        <v/>
      </c>
      <c r="F32768" s="102" t="str">
        <f ca="1">IFERROR(__xludf.DUMMYFUNCTION("IMPORTRANGE(H32768,""IDENTITAS UNIT!D9"")"),"#N/A")</f>
        <v>#N/A</v>
      </c>
      <c r="H32768" s="4" t="str">
        <v/>
      </c>
      <c r="I32768" s="4" t="str">
        <v/>
      </c>
    </row>
    <row r="32769" spans="5:9" ht="16.5" hidden="1">
      <c r="E32769" s="4" t="str">
        <v/>
      </c>
      <c r="F32769" s="102" t="str">
        <f ca="1">IFERROR(__xludf.DUMMYFUNCTION("IMPORTRANGE(H32769,""IDENTITAS UNIT!D9"")"),"#N/A")</f>
        <v>#N/A</v>
      </c>
      <c r="H32769" s="4" t="str">
        <v/>
      </c>
      <c r="I32769" s="4" t="str">
        <v/>
      </c>
    </row>
    <row r="32770" spans="5:9" ht="16.5" hidden="1">
      <c r="E32770" s="4" t="str">
        <v/>
      </c>
      <c r="F32770" s="102" t="str">
        <f ca="1">IFERROR(__xludf.DUMMYFUNCTION("IMPORTRANGE(H32770,""IDENTITAS UNIT!D9"")"),"#N/A")</f>
        <v>#N/A</v>
      </c>
      <c r="H32770" s="4" t="str">
        <v/>
      </c>
      <c r="I32770" s="4" t="str">
        <v/>
      </c>
    </row>
    <row r="32771" spans="5:9" ht="16.5" hidden="1">
      <c r="E32771" s="4" t="str">
        <v/>
      </c>
      <c r="F32771" s="102" t="str">
        <f ca="1">IFERROR(__xludf.DUMMYFUNCTION("IMPORTRANGE(H32771,""IDENTITAS UNIT!D9"")"),"#N/A")</f>
        <v>#N/A</v>
      </c>
      <c r="H32771" s="4" t="str">
        <v/>
      </c>
      <c r="I32771" s="4" t="str">
        <v/>
      </c>
    </row>
    <row r="32772" spans="5:9" ht="16.5" hidden="1">
      <c r="E32772" s="4" t="str">
        <v/>
      </c>
      <c r="F32772" s="102" t="str">
        <f ca="1">IFERROR(__xludf.DUMMYFUNCTION("IMPORTRANGE(H32772,""IDENTITAS UNIT!D9"")"),"#N/A")</f>
        <v>#N/A</v>
      </c>
      <c r="H32772" s="4" t="str">
        <v/>
      </c>
      <c r="I32772" s="4" t="str">
        <v/>
      </c>
    </row>
    <row r="32773" spans="5:9" ht="16.5" hidden="1">
      <c r="E32773" s="4" t="str">
        <v/>
      </c>
      <c r="F32773" s="102" t="str">
        <f ca="1">IFERROR(__xludf.DUMMYFUNCTION("IMPORTRANGE(H32773,""IDENTITAS UNIT!D9"")"),"#N/A")</f>
        <v>#N/A</v>
      </c>
      <c r="H32773" s="4" t="str">
        <v/>
      </c>
      <c r="I32773" s="4" t="str">
        <v/>
      </c>
    </row>
    <row r="32774" spans="5:9" ht="16.5" hidden="1">
      <c r="E32774" s="4" t="str">
        <v/>
      </c>
      <c r="F32774" s="102" t="str">
        <f ca="1">IFERROR(__xludf.DUMMYFUNCTION("IMPORTRANGE(H32774,""IDENTITAS UNIT!D9"")"),"#N/A")</f>
        <v>#N/A</v>
      </c>
      <c r="H32774" s="4" t="str">
        <v/>
      </c>
      <c r="I32774" s="4" t="str">
        <v/>
      </c>
    </row>
    <row r="32775" spans="5:9" ht="16.5" hidden="1">
      <c r="E32775" s="4" t="str">
        <v/>
      </c>
      <c r="F32775" s="102" t="str">
        <f ca="1">IFERROR(__xludf.DUMMYFUNCTION("IMPORTRANGE(H32775,""IDENTITAS UNIT!D9"")"),"#N/A")</f>
        <v>#N/A</v>
      </c>
      <c r="H32775" s="4" t="str">
        <v/>
      </c>
      <c r="I32775" s="4" t="str">
        <v/>
      </c>
    </row>
    <row r="32776" spans="5:9" ht="16.5" hidden="1">
      <c r="E32776" s="4" t="str">
        <v/>
      </c>
      <c r="F32776" s="102" t="str">
        <f ca="1">IFERROR(__xludf.DUMMYFUNCTION("IMPORTRANGE(H32776,""IDENTITAS UNIT!D9"")"),"#N/A")</f>
        <v>#N/A</v>
      </c>
      <c r="H32776" s="4" t="str">
        <v/>
      </c>
      <c r="I32776" s="4" t="str">
        <v/>
      </c>
    </row>
    <row r="32777" spans="5:9" ht="16.5" hidden="1">
      <c r="E32777" s="4" t="str">
        <v/>
      </c>
      <c r="F32777" s="102" t="str">
        <f ca="1">IFERROR(__xludf.DUMMYFUNCTION("IMPORTRANGE(H32777,""IDENTITAS UNIT!D9"")"),"#N/A")</f>
        <v>#N/A</v>
      </c>
      <c r="H32777" s="4" t="str">
        <v/>
      </c>
      <c r="I32777" s="4" t="str">
        <v/>
      </c>
    </row>
    <row r="32778" spans="5:9" ht="16.5" hidden="1">
      <c r="E32778" s="4" t="str">
        <v/>
      </c>
      <c r="F32778" s="102" t="str">
        <f ca="1">IFERROR(__xludf.DUMMYFUNCTION("IMPORTRANGE(H32778,""IDENTITAS UNIT!D9"")"),"#N/A")</f>
        <v>#N/A</v>
      </c>
      <c r="H32778" s="4" t="str">
        <v/>
      </c>
      <c r="I32778" s="4" t="str">
        <v/>
      </c>
    </row>
    <row r="32779" spans="5:9" ht="16.5" hidden="1">
      <c r="E32779" s="4" t="str">
        <v/>
      </c>
      <c r="F32779" s="102" t="str">
        <f ca="1">IFERROR(__xludf.DUMMYFUNCTION("IMPORTRANGE(H32779,""IDENTITAS UNIT!D9"")"),"#N/A")</f>
        <v>#N/A</v>
      </c>
      <c r="H32779" s="4" t="str">
        <v/>
      </c>
      <c r="I32779" s="4" t="str">
        <v/>
      </c>
    </row>
    <row r="32780" spans="5:9" ht="16.5" hidden="1">
      <c r="E32780" s="4" t="str">
        <v/>
      </c>
      <c r="F32780" s="102" t="str">
        <f ca="1">IFERROR(__xludf.DUMMYFUNCTION("IMPORTRANGE(H32780,""IDENTITAS UNIT!D9"")"),"#N/A")</f>
        <v>#N/A</v>
      </c>
      <c r="H32780" s="4" t="str">
        <v/>
      </c>
      <c r="I32780" s="4" t="str">
        <v/>
      </c>
    </row>
    <row r="32781" spans="5:9" ht="16.5" hidden="1">
      <c r="E32781" s="4" t="str">
        <v/>
      </c>
      <c r="F32781" s="102" t="str">
        <f ca="1">IFERROR(__xludf.DUMMYFUNCTION("IMPORTRANGE(H32781,""IDENTITAS UNIT!D9"")"),"#N/A")</f>
        <v>#N/A</v>
      </c>
      <c r="H32781" s="4" t="str">
        <v/>
      </c>
      <c r="I32781" s="4" t="str">
        <v/>
      </c>
    </row>
    <row r="32782" spans="5:9" ht="16.5" hidden="1">
      <c r="E32782" s="4" t="str">
        <v/>
      </c>
      <c r="F32782" s="102" t="str">
        <f ca="1">IFERROR(__xludf.DUMMYFUNCTION("IMPORTRANGE(H32782,""IDENTITAS UNIT!D9"")"),"#N/A")</f>
        <v>#N/A</v>
      </c>
      <c r="H32782" s="4" t="str">
        <v/>
      </c>
      <c r="I32782" s="4" t="str">
        <v/>
      </c>
    </row>
    <row r="32783" spans="5:9" ht="16.5" hidden="1">
      <c r="E32783" s="4" t="str">
        <v/>
      </c>
      <c r="F32783" s="102" t="str">
        <f ca="1">IFERROR(__xludf.DUMMYFUNCTION("IMPORTRANGE(H32783,""IDENTITAS UNIT!D9"")"),"#N/A")</f>
        <v>#N/A</v>
      </c>
      <c r="H32783" s="4" t="str">
        <v/>
      </c>
      <c r="I32783" s="4" t="str">
        <v/>
      </c>
    </row>
    <row r="32784" spans="5:9" ht="16.5" hidden="1">
      <c r="E32784" s="4" t="str">
        <v/>
      </c>
      <c r="F32784" s="102" t="str">
        <f ca="1">IFERROR(__xludf.DUMMYFUNCTION("IMPORTRANGE(H32784,""IDENTITAS UNIT!D9"")"),"#N/A")</f>
        <v>#N/A</v>
      </c>
      <c r="H32784" s="4" t="str">
        <v/>
      </c>
      <c r="I32784" s="4" t="str">
        <v/>
      </c>
    </row>
    <row r="32785" spans="5:9" ht="16.5" hidden="1">
      <c r="E32785" s="4" t="str">
        <v/>
      </c>
      <c r="F32785" s="102" t="str">
        <f ca="1">IFERROR(__xludf.DUMMYFUNCTION("IMPORTRANGE(H32785,""IDENTITAS UNIT!D9"")"),"#N/A")</f>
        <v>#N/A</v>
      </c>
      <c r="H32785" s="4" t="str">
        <v/>
      </c>
      <c r="I32785" s="4" t="str">
        <v/>
      </c>
    </row>
    <row r="32786" spans="5:9" ht="16.5" hidden="1">
      <c r="E32786" s="4" t="str">
        <v/>
      </c>
      <c r="F32786" s="102" t="str">
        <f ca="1">IFERROR(__xludf.DUMMYFUNCTION("IMPORTRANGE(H32786,""IDENTITAS UNIT!D9"")"),"#N/A")</f>
        <v>#N/A</v>
      </c>
      <c r="H32786" s="4" t="str">
        <v/>
      </c>
      <c r="I32786" s="4" t="str">
        <v/>
      </c>
    </row>
    <row r="32787" spans="5:9" ht="16.5" hidden="1">
      <c r="E32787" s="4" t="str">
        <v/>
      </c>
      <c r="F32787" s="102" t="str">
        <f ca="1">IFERROR(__xludf.DUMMYFUNCTION("IMPORTRANGE(H32787,""IDENTITAS UNIT!D9"")"),"#N/A")</f>
        <v>#N/A</v>
      </c>
      <c r="H32787" s="4" t="str">
        <v/>
      </c>
      <c r="I32787" s="4" t="str">
        <v/>
      </c>
    </row>
    <row r="32788" spans="5:9" ht="16.5" hidden="1">
      <c r="E32788" s="4" t="str">
        <v/>
      </c>
      <c r="F32788" s="102" t="str">
        <f ca="1">IFERROR(__xludf.DUMMYFUNCTION("IMPORTRANGE(H32788,""IDENTITAS UNIT!D9"")"),"#N/A")</f>
        <v>#N/A</v>
      </c>
      <c r="H32788" s="4" t="str">
        <v/>
      </c>
      <c r="I32788" s="4" t="str">
        <v/>
      </c>
    </row>
    <row r="32789" spans="5:9" ht="16.5" hidden="1">
      <c r="E32789" s="4" t="str">
        <v/>
      </c>
      <c r="F32789" s="102" t="str">
        <f ca="1">IFERROR(__xludf.DUMMYFUNCTION("IMPORTRANGE(H32789,""IDENTITAS UNIT!D9"")"),"#N/A")</f>
        <v>#N/A</v>
      </c>
      <c r="H32789" s="4" t="str">
        <v/>
      </c>
      <c r="I32789" s="4" t="str">
        <v/>
      </c>
    </row>
    <row r="32790" spans="5:9" ht="16.5" hidden="1">
      <c r="E32790" s="4" t="str">
        <v/>
      </c>
      <c r="F32790" s="102" t="str">
        <f ca="1">IFERROR(__xludf.DUMMYFUNCTION("IMPORTRANGE(H32790,""IDENTITAS UNIT!D9"")"),"#N/A")</f>
        <v>#N/A</v>
      </c>
      <c r="H32790" s="4" t="str">
        <v/>
      </c>
      <c r="I32790" s="4" t="str">
        <v/>
      </c>
    </row>
    <row r="32791" spans="5:9" ht="16.5" hidden="1">
      <c r="E32791" s="4" t="str">
        <v/>
      </c>
      <c r="F32791" s="102" t="str">
        <f ca="1">IFERROR(__xludf.DUMMYFUNCTION("IMPORTRANGE(H32791,""IDENTITAS UNIT!D9"")"),"#N/A")</f>
        <v>#N/A</v>
      </c>
      <c r="H32791" s="4" t="str">
        <v/>
      </c>
      <c r="I32791" s="4" t="str">
        <v/>
      </c>
    </row>
    <row r="32792" spans="5:9" ht="16.5" hidden="1">
      <c r="E32792" s="4" t="str">
        <v/>
      </c>
      <c r="F32792" s="102" t="str">
        <f ca="1">IFERROR(__xludf.DUMMYFUNCTION("IMPORTRANGE(H32792,""IDENTITAS UNIT!D9"")"),"#N/A")</f>
        <v>#N/A</v>
      </c>
      <c r="H32792" s="4" t="str">
        <v/>
      </c>
      <c r="I32792" s="4" t="str">
        <v/>
      </c>
    </row>
    <row r="32793" spans="5:9" ht="16.5" hidden="1">
      <c r="E32793" s="4" t="str">
        <v/>
      </c>
      <c r="F32793" s="102" t="str">
        <f ca="1">IFERROR(__xludf.DUMMYFUNCTION("IMPORTRANGE(H32793,""IDENTITAS UNIT!D9"")"),"#N/A")</f>
        <v>#N/A</v>
      </c>
      <c r="H32793" s="4" t="str">
        <v/>
      </c>
      <c r="I32793" s="4" t="str">
        <v/>
      </c>
    </row>
    <row r="32794" spans="5:9" ht="16.5" hidden="1">
      <c r="E32794" s="4" t="str">
        <v/>
      </c>
      <c r="F32794" s="102" t="str">
        <f ca="1">IFERROR(__xludf.DUMMYFUNCTION("IMPORTRANGE(H32794,""IDENTITAS UNIT!D9"")"),"#N/A")</f>
        <v>#N/A</v>
      </c>
      <c r="H32794" s="4" t="str">
        <v/>
      </c>
      <c r="I32794" s="4" t="str">
        <v/>
      </c>
    </row>
    <row r="32795" spans="5:9" ht="16.5" hidden="1">
      <c r="E32795" s="4" t="str">
        <v/>
      </c>
      <c r="F32795" s="102" t="str">
        <f ca="1">IFERROR(__xludf.DUMMYFUNCTION("IMPORTRANGE(H32795,""IDENTITAS UNIT!D9"")"),"#N/A")</f>
        <v>#N/A</v>
      </c>
      <c r="H32795" s="4" t="str">
        <v/>
      </c>
      <c r="I32795" s="4" t="str">
        <v/>
      </c>
    </row>
    <row r="32796" spans="5:9" ht="16.5" hidden="1">
      <c r="E32796" s="4" t="str">
        <v/>
      </c>
      <c r="F32796" s="102" t="str">
        <f ca="1">IFERROR(__xludf.DUMMYFUNCTION("IMPORTRANGE(H32796,""IDENTITAS UNIT!D9"")"),"#N/A")</f>
        <v>#N/A</v>
      </c>
      <c r="H32796" s="4" t="str">
        <v/>
      </c>
      <c r="I32796" s="4" t="str">
        <v/>
      </c>
    </row>
    <row r="32797" spans="5:9" ht="16.5" hidden="1">
      <c r="E32797" s="4" t="str">
        <v/>
      </c>
      <c r="F32797" s="102" t="str">
        <f ca="1">IFERROR(__xludf.DUMMYFUNCTION("IMPORTRANGE(H32797,""IDENTITAS UNIT!D9"")"),"#N/A")</f>
        <v>#N/A</v>
      </c>
      <c r="H32797" s="4" t="str">
        <v/>
      </c>
      <c r="I32797" s="4" t="str">
        <v/>
      </c>
    </row>
    <row r="32798" spans="5:9" ht="16.5" hidden="1">
      <c r="E32798" s="4" t="str">
        <v/>
      </c>
      <c r="F32798" s="102" t="str">
        <f ca="1">IFERROR(__xludf.DUMMYFUNCTION("IMPORTRANGE(H32798,""IDENTITAS UNIT!D9"")"),"#N/A")</f>
        <v>#N/A</v>
      </c>
      <c r="H32798" s="4" t="str">
        <v/>
      </c>
      <c r="I32798" s="4" t="str">
        <v/>
      </c>
    </row>
    <row r="32799" spans="5:9" ht="16.5" hidden="1">
      <c r="E32799" s="4" t="str">
        <v/>
      </c>
      <c r="F32799" s="102" t="str">
        <f ca="1">IFERROR(__xludf.DUMMYFUNCTION("IMPORTRANGE(H32799,""IDENTITAS UNIT!D9"")"),"#N/A")</f>
        <v>#N/A</v>
      </c>
      <c r="H32799" s="4" t="str">
        <v/>
      </c>
      <c r="I32799" s="4" t="str">
        <v/>
      </c>
    </row>
    <row r="32800" spans="5:9" ht="16.5" hidden="1">
      <c r="E32800" s="4" t="str">
        <v/>
      </c>
      <c r="F32800" s="102" t="str">
        <f ca="1">IFERROR(__xludf.DUMMYFUNCTION("IMPORTRANGE(H32800,""IDENTITAS UNIT!D9"")"),"#N/A")</f>
        <v>#N/A</v>
      </c>
      <c r="H32800" s="4" t="str">
        <v/>
      </c>
      <c r="I32800" s="4" t="str">
        <v/>
      </c>
    </row>
    <row r="32801" spans="5:9" ht="16.5" hidden="1">
      <c r="E32801" s="4" t="str">
        <v/>
      </c>
      <c r="F32801" s="102" t="str">
        <f ca="1">IFERROR(__xludf.DUMMYFUNCTION("IMPORTRANGE(H32801,""IDENTITAS UNIT!D9"")"),"#N/A")</f>
        <v>#N/A</v>
      </c>
      <c r="H32801" s="4" t="str">
        <v/>
      </c>
      <c r="I32801" s="4" t="str">
        <v/>
      </c>
    </row>
    <row r="32802" spans="5:9" ht="16.5" hidden="1">
      <c r="E32802" s="4" t="str">
        <v/>
      </c>
      <c r="F32802" s="102" t="str">
        <f ca="1">IFERROR(__xludf.DUMMYFUNCTION("IMPORTRANGE(H32802,""IDENTITAS UNIT!D9"")"),"#N/A")</f>
        <v>#N/A</v>
      </c>
      <c r="H32802" s="4" t="str">
        <v/>
      </c>
      <c r="I32802" s="4" t="str">
        <v/>
      </c>
    </row>
    <row r="32803" spans="5:9" ht="16.5" hidden="1">
      <c r="E32803" s="4" t="str">
        <v/>
      </c>
      <c r="F32803" s="102" t="str">
        <f ca="1">IFERROR(__xludf.DUMMYFUNCTION("IMPORTRANGE(H32803,""IDENTITAS UNIT!D9"")"),"#N/A")</f>
        <v>#N/A</v>
      </c>
      <c r="H32803" s="4" t="str">
        <v/>
      </c>
      <c r="I32803" s="4" t="str">
        <v/>
      </c>
    </row>
    <row r="32804" spans="5:9" ht="16.5" hidden="1">
      <c r="E32804" s="4" t="str">
        <v/>
      </c>
      <c r="F32804" s="102" t="str">
        <f ca="1">IFERROR(__xludf.DUMMYFUNCTION("IMPORTRANGE(H32804,""IDENTITAS UNIT!D9"")"),"#N/A")</f>
        <v>#N/A</v>
      </c>
      <c r="H32804" s="4" t="str">
        <v/>
      </c>
      <c r="I32804" s="4" t="str">
        <v/>
      </c>
    </row>
    <row r="32805" spans="5:9" ht="16.5" hidden="1">
      <c r="E32805" s="4" t="str">
        <v/>
      </c>
      <c r="F32805" s="102" t="str">
        <f ca="1">IFERROR(__xludf.DUMMYFUNCTION("IMPORTRANGE(H32805,""IDENTITAS UNIT!D9"")"),"#N/A")</f>
        <v>#N/A</v>
      </c>
      <c r="H32805" s="4" t="str">
        <v/>
      </c>
      <c r="I32805" s="4" t="str">
        <v/>
      </c>
    </row>
    <row r="32806" spans="5:9" ht="16.5" hidden="1">
      <c r="E32806" s="4" t="str">
        <v/>
      </c>
      <c r="F32806" s="102" t="str">
        <f ca="1">IFERROR(__xludf.DUMMYFUNCTION("IMPORTRANGE(H32806,""IDENTITAS UNIT!D9"")"),"#N/A")</f>
        <v>#N/A</v>
      </c>
      <c r="H32806" s="4" t="str">
        <v/>
      </c>
      <c r="I32806" s="4" t="str">
        <v/>
      </c>
    </row>
    <row r="32807" spans="5:9" ht="16.5" hidden="1">
      <c r="E32807" s="4" t="str">
        <v/>
      </c>
      <c r="F32807" s="102" t="str">
        <f ca="1">IFERROR(__xludf.DUMMYFUNCTION("IMPORTRANGE(H32807,""IDENTITAS UNIT!D9"")"),"#N/A")</f>
        <v>#N/A</v>
      </c>
      <c r="H32807" s="4" t="str">
        <v/>
      </c>
      <c r="I32807" s="4" t="str">
        <v/>
      </c>
    </row>
    <row r="32808" spans="5:9" ht="16.5" hidden="1">
      <c r="E32808" s="4" t="str">
        <v/>
      </c>
      <c r="F32808" s="102" t="str">
        <f ca="1">IFERROR(__xludf.DUMMYFUNCTION("IMPORTRANGE(H32808,""IDENTITAS UNIT!D9"")"),"#N/A")</f>
        <v>#N/A</v>
      </c>
      <c r="H32808" s="4" t="str">
        <v/>
      </c>
      <c r="I32808" s="4" t="str">
        <v/>
      </c>
    </row>
    <row r="32809" spans="5:9" ht="16.5" hidden="1">
      <c r="E32809" s="4" t="str">
        <v/>
      </c>
      <c r="F32809" s="102" t="str">
        <f ca="1">IFERROR(__xludf.DUMMYFUNCTION("IMPORTRANGE(H32809,""IDENTITAS UNIT!D9"")"),"#N/A")</f>
        <v>#N/A</v>
      </c>
      <c r="H32809" s="4" t="str">
        <v/>
      </c>
      <c r="I32809" s="4" t="str">
        <v/>
      </c>
    </row>
    <row r="32810" spans="5:9" ht="16.5" hidden="1">
      <c r="E32810" s="4" t="str">
        <v/>
      </c>
      <c r="F32810" s="102" t="str">
        <f ca="1">IFERROR(__xludf.DUMMYFUNCTION("IMPORTRANGE(H32810,""IDENTITAS UNIT!D9"")"),"#N/A")</f>
        <v>#N/A</v>
      </c>
      <c r="H32810" s="4" t="str">
        <v/>
      </c>
      <c r="I32810" s="4" t="str">
        <v/>
      </c>
    </row>
    <row r="32811" spans="5:9" ht="16.5" hidden="1">
      <c r="E32811" s="4" t="str">
        <v/>
      </c>
      <c r="F32811" s="102" t="str">
        <f ca="1">IFERROR(__xludf.DUMMYFUNCTION("IMPORTRANGE(H32811,""IDENTITAS UNIT!D9"")"),"#N/A")</f>
        <v>#N/A</v>
      </c>
      <c r="H32811" s="4" t="str">
        <v/>
      </c>
      <c r="I32811" s="4" t="str">
        <v/>
      </c>
    </row>
    <row r="32812" spans="5:9" ht="16.5" hidden="1">
      <c r="E32812" s="4" t="str">
        <v/>
      </c>
      <c r="F32812" s="102" t="str">
        <f ca="1">IFERROR(__xludf.DUMMYFUNCTION("IMPORTRANGE(H32812,""IDENTITAS UNIT!D9"")"),"#N/A")</f>
        <v>#N/A</v>
      </c>
      <c r="H32812" s="4" t="str">
        <v/>
      </c>
      <c r="I32812" s="4" t="str">
        <v/>
      </c>
    </row>
    <row r="32813" spans="5:9" ht="16.5" hidden="1">
      <c r="E32813" s="4" t="str">
        <v/>
      </c>
      <c r="F32813" s="102" t="str">
        <f ca="1">IFERROR(__xludf.DUMMYFUNCTION("IMPORTRANGE(H32813,""IDENTITAS UNIT!D9"")"),"#N/A")</f>
        <v>#N/A</v>
      </c>
      <c r="H32813" s="4" t="str">
        <v/>
      </c>
      <c r="I32813" s="4" t="str">
        <v/>
      </c>
    </row>
    <row r="32814" spans="5:9" ht="16.5" hidden="1">
      <c r="E32814" s="4" t="str">
        <v/>
      </c>
      <c r="F32814" s="102" t="str">
        <f ca="1">IFERROR(__xludf.DUMMYFUNCTION("IMPORTRANGE(H32814,""IDENTITAS UNIT!D9"")"),"#N/A")</f>
        <v>#N/A</v>
      </c>
      <c r="H32814" s="4" t="str">
        <v/>
      </c>
      <c r="I32814" s="4" t="str">
        <v/>
      </c>
    </row>
    <row r="32815" spans="5:9" ht="16.5" hidden="1">
      <c r="E32815" s="4" t="str">
        <v/>
      </c>
      <c r="F32815" s="102" t="str">
        <f ca="1">IFERROR(__xludf.DUMMYFUNCTION("IMPORTRANGE(H32815,""IDENTITAS UNIT!D9"")"),"#N/A")</f>
        <v>#N/A</v>
      </c>
      <c r="H32815" s="4" t="str">
        <v/>
      </c>
      <c r="I32815" s="4" t="str">
        <v/>
      </c>
    </row>
    <row r="32816" spans="5:9" ht="16.5" hidden="1">
      <c r="E32816" s="4" t="str">
        <v/>
      </c>
      <c r="F32816" s="102" t="str">
        <f ca="1">IFERROR(__xludf.DUMMYFUNCTION("IMPORTRANGE(H32816,""IDENTITAS UNIT!D9"")"),"#N/A")</f>
        <v>#N/A</v>
      </c>
      <c r="H32816" s="4" t="str">
        <v/>
      </c>
      <c r="I32816" s="4" t="str">
        <v/>
      </c>
    </row>
    <row r="32817" spans="5:9" ht="16.5" hidden="1">
      <c r="E32817" s="4" t="str">
        <v/>
      </c>
      <c r="F32817" s="102" t="str">
        <f ca="1">IFERROR(__xludf.DUMMYFUNCTION("IMPORTRANGE(H32817,""IDENTITAS UNIT!D9"")"),"#N/A")</f>
        <v>#N/A</v>
      </c>
      <c r="H32817" s="4" t="str">
        <v/>
      </c>
      <c r="I32817" s="4" t="str">
        <v/>
      </c>
    </row>
    <row r="32818" spans="5:9" ht="16.5" hidden="1">
      <c r="E32818" s="4" t="str">
        <v/>
      </c>
      <c r="F32818" s="102" t="str">
        <f ca="1">IFERROR(__xludf.DUMMYFUNCTION("IMPORTRANGE(H32818,""IDENTITAS UNIT!D9"")"),"#N/A")</f>
        <v>#N/A</v>
      </c>
      <c r="H32818" s="4" t="str">
        <v/>
      </c>
      <c r="I32818" s="4" t="str">
        <v/>
      </c>
    </row>
    <row r="32819" spans="5:9" ht="16.5" hidden="1">
      <c r="E32819" s="4" t="str">
        <v/>
      </c>
      <c r="F32819" s="102" t="str">
        <f ca="1">IFERROR(__xludf.DUMMYFUNCTION("IMPORTRANGE(H32819,""IDENTITAS UNIT!D9"")"),"#N/A")</f>
        <v>#N/A</v>
      </c>
      <c r="H32819" s="4" t="str">
        <v/>
      </c>
      <c r="I32819" s="4" t="str">
        <v/>
      </c>
    </row>
    <row r="32820" spans="5:9" ht="16.5" hidden="1">
      <c r="E32820" s="4" t="str">
        <v/>
      </c>
      <c r="F32820" s="102" t="str">
        <f ca="1">IFERROR(__xludf.DUMMYFUNCTION("IMPORTRANGE(H32820,""IDENTITAS UNIT!D9"")"),"#N/A")</f>
        <v>#N/A</v>
      </c>
      <c r="H32820" s="4" t="str">
        <v/>
      </c>
      <c r="I32820" s="4" t="str">
        <v/>
      </c>
    </row>
    <row r="32821" spans="5:9" ht="16.5" hidden="1">
      <c r="E32821" s="4" t="str">
        <v/>
      </c>
      <c r="F32821" s="102" t="str">
        <f ca="1">IFERROR(__xludf.DUMMYFUNCTION("IMPORTRANGE(H32821,""IDENTITAS UNIT!D9"")"),"#N/A")</f>
        <v>#N/A</v>
      </c>
      <c r="H32821" s="4" t="str">
        <v/>
      </c>
      <c r="I32821" s="4" t="str">
        <v/>
      </c>
    </row>
    <row r="32822" spans="5:9" ht="16.5" hidden="1">
      <c r="E32822" s="4" t="str">
        <v/>
      </c>
      <c r="F32822" s="102" t="str">
        <f ca="1">IFERROR(__xludf.DUMMYFUNCTION("IMPORTRANGE(H32822,""IDENTITAS UNIT!D9"")"),"#N/A")</f>
        <v>#N/A</v>
      </c>
      <c r="H32822" s="4" t="str">
        <v/>
      </c>
      <c r="I32822" s="4" t="str">
        <v/>
      </c>
    </row>
    <row r="32823" spans="5:9" ht="16.5" hidden="1">
      <c r="E32823" s="4" t="str">
        <v/>
      </c>
      <c r="F32823" s="102" t="str">
        <f ca="1">IFERROR(__xludf.DUMMYFUNCTION("IMPORTRANGE(H32823,""IDENTITAS UNIT!D9"")"),"#N/A")</f>
        <v>#N/A</v>
      </c>
      <c r="H32823" s="4" t="str">
        <v/>
      </c>
      <c r="I32823" s="4" t="str">
        <v/>
      </c>
    </row>
    <row r="32824" spans="5:9" ht="16.5" hidden="1">
      <c r="E32824" s="4" t="str">
        <v/>
      </c>
      <c r="F32824" s="102" t="str">
        <f ca="1">IFERROR(__xludf.DUMMYFUNCTION("IMPORTRANGE(H32824,""IDENTITAS UNIT!D9"")"),"#N/A")</f>
        <v>#N/A</v>
      </c>
      <c r="H32824" s="4" t="str">
        <v/>
      </c>
      <c r="I32824" s="4" t="str">
        <v/>
      </c>
    </row>
    <row r="32825" spans="5:9" ht="16.5" hidden="1">
      <c r="E32825" s="4" t="str">
        <v/>
      </c>
      <c r="F32825" s="102" t="str">
        <f ca="1">IFERROR(__xludf.DUMMYFUNCTION("IMPORTRANGE(H32825,""IDENTITAS UNIT!D9"")"),"#N/A")</f>
        <v>#N/A</v>
      </c>
      <c r="H32825" s="4" t="str">
        <v/>
      </c>
      <c r="I32825" s="4" t="str">
        <v/>
      </c>
    </row>
    <row r="32826" spans="5:9" ht="16.5" hidden="1">
      <c r="E32826" s="4" t="str">
        <v/>
      </c>
      <c r="F32826" s="102" t="str">
        <f ca="1">IFERROR(__xludf.DUMMYFUNCTION("IMPORTRANGE(H32826,""IDENTITAS UNIT!D9"")"),"#N/A")</f>
        <v>#N/A</v>
      </c>
      <c r="H32826" s="4" t="str">
        <v/>
      </c>
      <c r="I32826" s="4" t="str">
        <v/>
      </c>
    </row>
    <row r="32827" spans="5:9" ht="16.5" hidden="1">
      <c r="E32827" s="4" t="str">
        <v/>
      </c>
      <c r="F32827" s="102" t="str">
        <f ca="1">IFERROR(__xludf.DUMMYFUNCTION("IMPORTRANGE(H32827,""IDENTITAS UNIT!D9"")"),"#N/A")</f>
        <v>#N/A</v>
      </c>
      <c r="H32827" s="4" t="str">
        <v/>
      </c>
      <c r="I32827" s="4" t="str">
        <v/>
      </c>
    </row>
    <row r="32828" spans="5:9" ht="16.5" hidden="1">
      <c r="E32828" s="4" t="str">
        <v/>
      </c>
      <c r="F32828" s="102" t="str">
        <f ca="1">IFERROR(__xludf.DUMMYFUNCTION("IMPORTRANGE(H32828,""IDENTITAS UNIT!D9"")"),"#N/A")</f>
        <v>#N/A</v>
      </c>
      <c r="H32828" s="4" t="str">
        <v/>
      </c>
      <c r="I32828" s="4" t="str">
        <v/>
      </c>
    </row>
    <row r="32829" spans="5:9" ht="16.5" hidden="1">
      <c r="E32829" s="4" t="str">
        <v/>
      </c>
      <c r="F32829" s="102" t="str">
        <f ca="1">IFERROR(__xludf.DUMMYFUNCTION("IMPORTRANGE(H32829,""IDENTITAS UNIT!D9"")"),"#N/A")</f>
        <v>#N/A</v>
      </c>
      <c r="H32829" s="4" t="str">
        <v/>
      </c>
      <c r="I32829" s="4" t="str">
        <v/>
      </c>
    </row>
    <row r="32830" spans="5:9" ht="16.5" hidden="1">
      <c r="E32830" s="4" t="str">
        <v/>
      </c>
      <c r="F32830" s="102" t="str">
        <f ca="1">IFERROR(__xludf.DUMMYFUNCTION("IMPORTRANGE(H32830,""IDENTITAS UNIT!D9"")"),"#N/A")</f>
        <v>#N/A</v>
      </c>
      <c r="H32830" s="4" t="str">
        <v/>
      </c>
      <c r="I32830" s="4" t="str">
        <v/>
      </c>
    </row>
    <row r="32831" spans="5:9" ht="16.5" hidden="1">
      <c r="E32831" s="4" t="str">
        <v/>
      </c>
      <c r="F32831" s="102" t="str">
        <f ca="1">IFERROR(__xludf.DUMMYFUNCTION("IMPORTRANGE(H32831,""IDENTITAS UNIT!D9"")"),"#N/A")</f>
        <v>#N/A</v>
      </c>
      <c r="H32831" s="4" t="str">
        <v/>
      </c>
      <c r="I32831" s="4" t="str">
        <v/>
      </c>
    </row>
    <row r="32832" spans="5:9" ht="16.5" hidden="1">
      <c r="E32832" s="4" t="str">
        <v/>
      </c>
      <c r="F32832" s="102" t="str">
        <f ca="1">IFERROR(__xludf.DUMMYFUNCTION("IMPORTRANGE(H32832,""IDENTITAS UNIT!D9"")"),"#N/A")</f>
        <v>#N/A</v>
      </c>
      <c r="H32832" s="4" t="str">
        <v/>
      </c>
      <c r="I32832" s="4" t="str">
        <v/>
      </c>
    </row>
    <row r="32833" spans="5:9" ht="16.5" hidden="1">
      <c r="E32833" s="4" t="str">
        <v/>
      </c>
      <c r="F32833" s="102" t="str">
        <f ca="1">IFERROR(__xludf.DUMMYFUNCTION("IMPORTRANGE(H32833,""IDENTITAS UNIT!D9"")"),"#N/A")</f>
        <v>#N/A</v>
      </c>
      <c r="H32833" s="4" t="str">
        <v/>
      </c>
      <c r="I32833" s="4" t="str">
        <v/>
      </c>
    </row>
    <row r="32834" spans="5:9" ht="16.5" hidden="1">
      <c r="E32834" s="4" t="str">
        <v/>
      </c>
      <c r="F32834" s="102" t="str">
        <f ca="1">IFERROR(__xludf.DUMMYFUNCTION("IMPORTRANGE(H32834,""IDENTITAS UNIT!D9"")"),"#N/A")</f>
        <v>#N/A</v>
      </c>
      <c r="H32834" s="4" t="str">
        <v/>
      </c>
      <c r="I32834" s="4" t="str">
        <v/>
      </c>
    </row>
    <row r="32835" spans="5:9" ht="16.5" hidden="1">
      <c r="E32835" s="4" t="str">
        <v/>
      </c>
      <c r="F32835" s="102" t="str">
        <f ca="1">IFERROR(__xludf.DUMMYFUNCTION("IMPORTRANGE(H32835,""IDENTITAS UNIT!D9"")"),"#N/A")</f>
        <v>#N/A</v>
      </c>
      <c r="H32835" s="4" t="str">
        <v/>
      </c>
      <c r="I32835" s="4" t="str">
        <v/>
      </c>
    </row>
    <row r="32836" spans="5:9" ht="16.5" hidden="1">
      <c r="E32836" s="4" t="str">
        <v/>
      </c>
      <c r="F32836" s="102" t="str">
        <f ca="1">IFERROR(__xludf.DUMMYFUNCTION("IMPORTRANGE(H32836,""IDENTITAS UNIT!D9"")"),"#N/A")</f>
        <v>#N/A</v>
      </c>
      <c r="H32836" s="4" t="str">
        <v/>
      </c>
      <c r="I32836" s="4" t="str">
        <v/>
      </c>
    </row>
    <row r="32837" spans="5:9" ht="16.5" hidden="1">
      <c r="E32837" s="4" t="str">
        <v/>
      </c>
      <c r="F32837" s="102" t="str">
        <f ca="1">IFERROR(__xludf.DUMMYFUNCTION("IMPORTRANGE(H32837,""IDENTITAS UNIT!D9"")"),"#N/A")</f>
        <v>#N/A</v>
      </c>
      <c r="H32837" s="4" t="str">
        <v/>
      </c>
      <c r="I32837" s="4" t="str">
        <v/>
      </c>
    </row>
    <row r="32838" spans="5:9" ht="16.5" hidden="1">
      <c r="E32838" s="4" t="str">
        <v/>
      </c>
      <c r="F32838" s="102" t="str">
        <f ca="1">IFERROR(__xludf.DUMMYFUNCTION("IMPORTRANGE(H32838,""IDENTITAS UNIT!D9"")"),"#N/A")</f>
        <v>#N/A</v>
      </c>
      <c r="H32838" s="4" t="str">
        <v/>
      </c>
      <c r="I32838" s="4" t="str">
        <v/>
      </c>
    </row>
    <row r="32839" spans="5:9" ht="16.5" hidden="1">
      <c r="E32839" s="4" t="str">
        <v/>
      </c>
      <c r="F32839" s="102" t="str">
        <f ca="1">IFERROR(__xludf.DUMMYFUNCTION("IMPORTRANGE(H32839,""IDENTITAS UNIT!D9"")"),"#N/A")</f>
        <v>#N/A</v>
      </c>
      <c r="H32839" s="4" t="str">
        <v/>
      </c>
      <c r="I32839" s="4" t="str">
        <v/>
      </c>
    </row>
    <row r="32840" spans="5:9" ht="16.5" hidden="1">
      <c r="E32840" s="4" t="str">
        <v/>
      </c>
      <c r="F32840" s="102" t="str">
        <f ca="1">IFERROR(__xludf.DUMMYFUNCTION("IMPORTRANGE(H32840,""IDENTITAS UNIT!D9"")"),"#N/A")</f>
        <v>#N/A</v>
      </c>
      <c r="H32840" s="4" t="str">
        <v/>
      </c>
      <c r="I32840" s="4" t="str">
        <v/>
      </c>
    </row>
    <row r="32841" spans="5:9" ht="16.5" hidden="1">
      <c r="E32841" s="4" t="str">
        <v/>
      </c>
      <c r="F32841" s="102" t="str">
        <f ca="1">IFERROR(__xludf.DUMMYFUNCTION("IMPORTRANGE(H32841,""IDENTITAS UNIT!D9"")"),"#N/A")</f>
        <v>#N/A</v>
      </c>
      <c r="H32841" s="4" t="str">
        <v/>
      </c>
      <c r="I32841" s="4" t="str">
        <v/>
      </c>
    </row>
    <row r="32842" spans="5:9" ht="16.5" hidden="1">
      <c r="E32842" s="4" t="str">
        <v/>
      </c>
      <c r="F32842" s="102" t="str">
        <f ca="1">IFERROR(__xludf.DUMMYFUNCTION("IMPORTRANGE(H32842,""IDENTITAS UNIT!D9"")"),"#N/A")</f>
        <v>#N/A</v>
      </c>
      <c r="H32842" s="4" t="str">
        <v/>
      </c>
      <c r="I32842" s="4" t="str">
        <v/>
      </c>
    </row>
    <row r="32843" spans="5:9" ht="16.5" hidden="1">
      <c r="E32843" s="4" t="str">
        <v/>
      </c>
      <c r="F32843" s="102" t="str">
        <f ca="1">IFERROR(__xludf.DUMMYFUNCTION("IMPORTRANGE(H32843,""IDENTITAS UNIT!D9"")"),"#N/A")</f>
        <v>#N/A</v>
      </c>
      <c r="H32843" s="4" t="str">
        <v/>
      </c>
      <c r="I32843" s="4" t="str">
        <v/>
      </c>
    </row>
    <row r="32844" spans="5:9" ht="16.5" hidden="1">
      <c r="E32844" s="4" t="str">
        <v/>
      </c>
      <c r="F32844" s="102" t="str">
        <f ca="1">IFERROR(__xludf.DUMMYFUNCTION("IMPORTRANGE(H32844,""IDENTITAS UNIT!D9"")"),"#N/A")</f>
        <v>#N/A</v>
      </c>
      <c r="H32844" s="4" t="str">
        <v/>
      </c>
      <c r="I32844" s="4" t="str">
        <v/>
      </c>
    </row>
    <row r="32845" spans="5:9" ht="16.5" hidden="1">
      <c r="E32845" s="4" t="str">
        <v/>
      </c>
      <c r="F32845" s="102" t="str">
        <f ca="1">IFERROR(__xludf.DUMMYFUNCTION("IMPORTRANGE(H32845,""IDENTITAS UNIT!D9"")"),"#N/A")</f>
        <v>#N/A</v>
      </c>
      <c r="H32845" s="4" t="str">
        <v/>
      </c>
      <c r="I32845" s="4" t="str">
        <v/>
      </c>
    </row>
    <row r="32846" spans="5:9" ht="16.5" hidden="1">
      <c r="E32846" s="4" t="str">
        <v/>
      </c>
      <c r="F32846" s="102" t="str">
        <f ca="1">IFERROR(__xludf.DUMMYFUNCTION("IMPORTRANGE(H32846,""IDENTITAS UNIT!D9"")"),"#N/A")</f>
        <v>#N/A</v>
      </c>
      <c r="H32846" s="4" t="str">
        <v/>
      </c>
      <c r="I32846" s="4" t="str">
        <v/>
      </c>
    </row>
    <row r="32847" spans="5:9" ht="16.5" hidden="1">
      <c r="E32847" s="4" t="str">
        <v/>
      </c>
      <c r="F32847" s="102" t="str">
        <f ca="1">IFERROR(__xludf.DUMMYFUNCTION("IMPORTRANGE(H32847,""IDENTITAS UNIT!D9"")"),"#N/A")</f>
        <v>#N/A</v>
      </c>
      <c r="H32847" s="4" t="str">
        <v/>
      </c>
      <c r="I32847" s="4" t="str">
        <v/>
      </c>
    </row>
    <row r="32848" spans="5:9" ht="16.5" hidden="1">
      <c r="E32848" s="4" t="str">
        <v/>
      </c>
      <c r="F32848" s="102" t="str">
        <f ca="1">IFERROR(__xludf.DUMMYFUNCTION("IMPORTRANGE(H32848,""IDENTITAS UNIT!D9"")"),"#N/A")</f>
        <v>#N/A</v>
      </c>
      <c r="H32848" s="4" t="str">
        <v/>
      </c>
      <c r="I32848" s="4" t="str">
        <v/>
      </c>
    </row>
    <row r="32849" spans="5:9" ht="16.5" hidden="1">
      <c r="E32849" s="4" t="str">
        <v/>
      </c>
      <c r="F32849" s="102" t="str">
        <f ca="1">IFERROR(__xludf.DUMMYFUNCTION("IMPORTRANGE(H32849,""IDENTITAS UNIT!D9"")"),"#N/A")</f>
        <v>#N/A</v>
      </c>
      <c r="H32849" s="4" t="str">
        <v/>
      </c>
      <c r="I32849" s="4" t="str">
        <v/>
      </c>
    </row>
    <row r="32850" spans="5:9" ht="16.5" hidden="1">
      <c r="E32850" s="4" t="str">
        <v/>
      </c>
      <c r="F32850" s="102" t="str">
        <f ca="1">IFERROR(__xludf.DUMMYFUNCTION("IMPORTRANGE(H32850,""IDENTITAS UNIT!D9"")"),"#N/A")</f>
        <v>#N/A</v>
      </c>
      <c r="H32850" s="4" t="str">
        <v/>
      </c>
      <c r="I32850" s="4" t="str">
        <v/>
      </c>
    </row>
    <row r="32851" spans="5:9" ht="16.5" hidden="1">
      <c r="E32851" s="4" t="str">
        <v/>
      </c>
      <c r="F32851" s="102" t="str">
        <f ca="1">IFERROR(__xludf.DUMMYFUNCTION("IMPORTRANGE(H32851,""IDENTITAS UNIT!D9"")"),"#N/A")</f>
        <v>#N/A</v>
      </c>
      <c r="H32851" s="4" t="str">
        <v/>
      </c>
      <c r="I32851" s="4" t="str">
        <v/>
      </c>
    </row>
    <row r="32852" spans="5:9" ht="16.5" hidden="1">
      <c r="E32852" s="4" t="str">
        <v/>
      </c>
      <c r="F32852" s="102" t="str">
        <f ca="1">IFERROR(__xludf.DUMMYFUNCTION("IMPORTRANGE(H32852,""IDENTITAS UNIT!D9"")"),"#N/A")</f>
        <v>#N/A</v>
      </c>
      <c r="H32852" s="4" t="str">
        <v/>
      </c>
      <c r="I32852" s="4" t="str">
        <v/>
      </c>
    </row>
    <row r="32853" spans="5:9" ht="16.5" hidden="1">
      <c r="E32853" s="4" t="str">
        <v/>
      </c>
      <c r="F32853" s="102" t="str">
        <f ca="1">IFERROR(__xludf.DUMMYFUNCTION("IMPORTRANGE(H32853,""IDENTITAS UNIT!D9"")"),"#N/A")</f>
        <v>#N/A</v>
      </c>
      <c r="H32853" s="4" t="str">
        <v/>
      </c>
      <c r="I32853" s="4" t="str">
        <v/>
      </c>
    </row>
    <row r="32854" spans="5:9" ht="16.5" hidden="1">
      <c r="E32854" s="4" t="str">
        <v/>
      </c>
      <c r="F32854" s="102" t="str">
        <f ca="1">IFERROR(__xludf.DUMMYFUNCTION("IMPORTRANGE(H32854,""IDENTITAS UNIT!D9"")"),"#N/A")</f>
        <v>#N/A</v>
      </c>
      <c r="H32854" s="4" t="str">
        <v/>
      </c>
      <c r="I32854" s="4" t="str">
        <v/>
      </c>
    </row>
    <row r="32855" spans="5:9" ht="16.5" hidden="1">
      <c r="E32855" s="4" t="str">
        <v/>
      </c>
      <c r="F32855" s="102" t="str">
        <f ca="1">IFERROR(__xludf.DUMMYFUNCTION("IMPORTRANGE(H32855,""IDENTITAS UNIT!D9"")"),"#N/A")</f>
        <v>#N/A</v>
      </c>
      <c r="H32855" s="4" t="str">
        <v/>
      </c>
      <c r="I32855" s="4" t="str">
        <v/>
      </c>
    </row>
    <row r="32856" spans="5:9" ht="16.5" hidden="1">
      <c r="E32856" s="4" t="str">
        <v/>
      </c>
      <c r="F32856" s="102" t="str">
        <f ca="1">IFERROR(__xludf.DUMMYFUNCTION("IMPORTRANGE(H32856,""IDENTITAS UNIT!D9"")"),"#N/A")</f>
        <v>#N/A</v>
      </c>
      <c r="H32856" s="4" t="str">
        <v/>
      </c>
      <c r="I32856" s="4" t="str">
        <v/>
      </c>
    </row>
    <row r="32857" spans="5:9" ht="16.5" hidden="1">
      <c r="E32857" s="4" t="str">
        <v/>
      </c>
      <c r="F32857" s="102" t="str">
        <f ca="1">IFERROR(__xludf.DUMMYFUNCTION("IMPORTRANGE(H32857,""IDENTITAS UNIT!D9"")"),"#N/A")</f>
        <v>#N/A</v>
      </c>
      <c r="H32857" s="4" t="str">
        <v/>
      </c>
      <c r="I32857" s="4" t="str">
        <v/>
      </c>
    </row>
    <row r="32858" spans="5:9" ht="16.5" hidden="1">
      <c r="E32858" s="4" t="str">
        <v/>
      </c>
      <c r="F32858" s="102" t="str">
        <f ca="1">IFERROR(__xludf.DUMMYFUNCTION("IMPORTRANGE(H32858,""IDENTITAS UNIT!D9"")"),"#N/A")</f>
        <v>#N/A</v>
      </c>
      <c r="H32858" s="4" t="str">
        <v/>
      </c>
      <c r="I32858" s="4" t="str">
        <v/>
      </c>
    </row>
    <row r="32859" spans="5:9" ht="16.5" hidden="1">
      <c r="E32859" s="4" t="str">
        <v/>
      </c>
      <c r="F32859" s="102" t="str">
        <f ca="1">IFERROR(__xludf.DUMMYFUNCTION("IMPORTRANGE(H32859,""IDENTITAS UNIT!D9"")"),"#N/A")</f>
        <v>#N/A</v>
      </c>
      <c r="H32859" s="4" t="str">
        <v/>
      </c>
      <c r="I32859" s="4" t="str">
        <v/>
      </c>
    </row>
    <row r="32860" spans="5:9" ht="16.5" hidden="1">
      <c r="E32860" s="4" t="str">
        <v/>
      </c>
      <c r="F32860" s="102" t="str">
        <f ca="1">IFERROR(__xludf.DUMMYFUNCTION("IMPORTRANGE(H32860,""IDENTITAS UNIT!D9"")"),"#N/A")</f>
        <v>#N/A</v>
      </c>
      <c r="H32860" s="4" t="str">
        <v/>
      </c>
      <c r="I32860" s="4" t="str">
        <v/>
      </c>
    </row>
    <row r="32861" spans="5:9" ht="16.5" hidden="1">
      <c r="E32861" s="4" t="str">
        <v/>
      </c>
      <c r="F32861" s="102" t="str">
        <f ca="1">IFERROR(__xludf.DUMMYFUNCTION("IMPORTRANGE(H32861,""IDENTITAS UNIT!D9"")"),"#N/A")</f>
        <v>#N/A</v>
      </c>
      <c r="H32861" s="4" t="str">
        <v/>
      </c>
      <c r="I32861" s="4" t="str">
        <v/>
      </c>
    </row>
    <row r="32862" spans="5:9" ht="16.5" hidden="1">
      <c r="E32862" s="4" t="str">
        <v/>
      </c>
      <c r="F32862" s="102" t="str">
        <f ca="1">IFERROR(__xludf.DUMMYFUNCTION("IMPORTRANGE(H32862,""IDENTITAS UNIT!D9"")"),"#N/A")</f>
        <v>#N/A</v>
      </c>
      <c r="H32862" s="4" t="str">
        <v/>
      </c>
      <c r="I32862" s="4" t="str">
        <v/>
      </c>
    </row>
    <row r="32863" spans="5:9" ht="16.5" hidden="1">
      <c r="E32863" s="4" t="str">
        <v/>
      </c>
      <c r="F32863" s="102" t="str">
        <f ca="1">IFERROR(__xludf.DUMMYFUNCTION("IMPORTRANGE(H32863,""IDENTITAS UNIT!D9"")"),"#N/A")</f>
        <v>#N/A</v>
      </c>
      <c r="H32863" s="4" t="str">
        <v/>
      </c>
      <c r="I32863" s="4" t="str">
        <v/>
      </c>
    </row>
    <row r="32864" spans="5:9" ht="16.5" hidden="1">
      <c r="E32864" s="4" t="str">
        <v/>
      </c>
      <c r="F32864" s="102" t="str">
        <f ca="1">IFERROR(__xludf.DUMMYFUNCTION("IMPORTRANGE(H32864,""IDENTITAS UNIT!D9"")"),"#N/A")</f>
        <v>#N/A</v>
      </c>
      <c r="H32864" s="4" t="str">
        <v/>
      </c>
      <c r="I32864" s="4" t="str">
        <v/>
      </c>
    </row>
    <row r="32865" spans="5:9" ht="16.5" hidden="1">
      <c r="E32865" s="4" t="str">
        <v/>
      </c>
      <c r="F32865" s="102" t="str">
        <f ca="1">IFERROR(__xludf.DUMMYFUNCTION("IMPORTRANGE(H32865,""IDENTITAS UNIT!D9"")"),"#N/A")</f>
        <v>#N/A</v>
      </c>
      <c r="H32865" s="4" t="str">
        <v/>
      </c>
      <c r="I32865" s="4" t="str">
        <v/>
      </c>
    </row>
    <row r="32866" spans="5:9" ht="16.5" hidden="1">
      <c r="E32866" s="4" t="str">
        <v/>
      </c>
      <c r="F32866" s="102" t="str">
        <f ca="1">IFERROR(__xludf.DUMMYFUNCTION("IMPORTRANGE(H32866,""IDENTITAS UNIT!D9"")"),"#N/A")</f>
        <v>#N/A</v>
      </c>
      <c r="H32866" s="4" t="str">
        <v/>
      </c>
      <c r="I32866" s="4" t="str">
        <v/>
      </c>
    </row>
    <row r="32867" spans="5:9" ht="16.5" hidden="1">
      <c r="E32867" s="4" t="str">
        <v/>
      </c>
      <c r="F32867" s="102" t="str">
        <f ca="1">IFERROR(__xludf.DUMMYFUNCTION("IMPORTRANGE(H32867,""IDENTITAS UNIT!D9"")"),"#N/A")</f>
        <v>#N/A</v>
      </c>
      <c r="H32867" s="4" t="str">
        <v/>
      </c>
      <c r="I32867" s="4" t="str">
        <v/>
      </c>
    </row>
    <row r="32868" spans="5:9" ht="16.5" hidden="1">
      <c r="E32868" s="4" t="str">
        <v/>
      </c>
      <c r="F32868" s="102" t="str">
        <f ca="1">IFERROR(__xludf.DUMMYFUNCTION("IMPORTRANGE(H32868,""IDENTITAS UNIT!D9"")"),"#N/A")</f>
        <v>#N/A</v>
      </c>
      <c r="H32868" s="4" t="str">
        <v/>
      </c>
      <c r="I32868" s="4" t="str">
        <v/>
      </c>
    </row>
    <row r="32869" spans="5:9" ht="16.5" hidden="1">
      <c r="E32869" s="4" t="str">
        <v/>
      </c>
      <c r="F32869" s="102" t="str">
        <f ca="1">IFERROR(__xludf.DUMMYFUNCTION("IMPORTRANGE(H32869,""IDENTITAS UNIT!D9"")"),"#N/A")</f>
        <v>#N/A</v>
      </c>
      <c r="H32869" s="4" t="str">
        <v/>
      </c>
      <c r="I32869" s="4" t="str">
        <v/>
      </c>
    </row>
    <row r="32870" spans="5:9" ht="16.5" hidden="1">
      <c r="E32870" s="4" t="str">
        <v/>
      </c>
      <c r="F32870" s="102" t="str">
        <f ca="1">IFERROR(__xludf.DUMMYFUNCTION("IMPORTRANGE(H32870,""IDENTITAS UNIT!D9"")"),"#N/A")</f>
        <v>#N/A</v>
      </c>
      <c r="H32870" s="4" t="str">
        <v/>
      </c>
      <c r="I32870" s="4" t="str">
        <v/>
      </c>
    </row>
    <row r="32871" spans="5:9" ht="16.5" hidden="1">
      <c r="E32871" s="4" t="str">
        <v/>
      </c>
      <c r="F32871" s="102" t="str">
        <f ca="1">IFERROR(__xludf.DUMMYFUNCTION("IMPORTRANGE(H32871,""IDENTITAS UNIT!D9"")"),"#N/A")</f>
        <v>#N/A</v>
      </c>
      <c r="H32871" s="4" t="str">
        <v/>
      </c>
      <c r="I32871" s="4" t="str">
        <v/>
      </c>
    </row>
    <row r="32872" spans="5:9" ht="16.5" hidden="1">
      <c r="E32872" s="4" t="str">
        <v/>
      </c>
      <c r="F32872" s="102" t="str">
        <f ca="1">IFERROR(__xludf.DUMMYFUNCTION("IMPORTRANGE(H32872,""IDENTITAS UNIT!D9"")"),"#N/A")</f>
        <v>#N/A</v>
      </c>
      <c r="H32872" s="4" t="str">
        <v/>
      </c>
      <c r="I32872" s="4" t="str">
        <v/>
      </c>
    </row>
    <row r="32873" spans="5:9" ht="16.5" hidden="1">
      <c r="E32873" s="4" t="str">
        <v/>
      </c>
      <c r="F32873" s="102" t="str">
        <f ca="1">IFERROR(__xludf.DUMMYFUNCTION("IMPORTRANGE(H32873,""IDENTITAS UNIT!D9"")"),"#N/A")</f>
        <v>#N/A</v>
      </c>
      <c r="H32873" s="4" t="str">
        <v/>
      </c>
      <c r="I32873" s="4" t="str">
        <v/>
      </c>
    </row>
    <row r="32874" spans="5:9" ht="16.5" hidden="1">
      <c r="E32874" s="4" t="str">
        <v/>
      </c>
      <c r="F32874" s="102" t="str">
        <f ca="1">IFERROR(__xludf.DUMMYFUNCTION("IMPORTRANGE(H32874,""IDENTITAS UNIT!D9"")"),"#N/A")</f>
        <v>#N/A</v>
      </c>
      <c r="H32874" s="4" t="str">
        <v/>
      </c>
      <c r="I32874" s="4" t="str">
        <v/>
      </c>
    </row>
    <row r="32875" spans="5:9" ht="16.5" hidden="1">
      <c r="E32875" s="4" t="str">
        <v/>
      </c>
      <c r="F32875" s="102" t="str">
        <f ca="1">IFERROR(__xludf.DUMMYFUNCTION("IMPORTRANGE(H32875,""IDENTITAS UNIT!D9"")"),"#N/A")</f>
        <v>#N/A</v>
      </c>
      <c r="H32875" s="4" t="str">
        <v/>
      </c>
      <c r="I32875" s="4" t="str">
        <v/>
      </c>
    </row>
    <row r="32876" spans="5:9" ht="16.5" hidden="1">
      <c r="E32876" s="4" t="str">
        <v/>
      </c>
      <c r="F32876" s="102" t="str">
        <f ca="1">IFERROR(__xludf.DUMMYFUNCTION("IMPORTRANGE(H32876,""IDENTITAS UNIT!D9"")"),"#N/A")</f>
        <v>#N/A</v>
      </c>
      <c r="H32876" s="4" t="str">
        <v/>
      </c>
      <c r="I32876" s="4" t="str">
        <v/>
      </c>
    </row>
    <row r="32877" spans="5:9" ht="16.5" hidden="1">
      <c r="E32877" s="4" t="str">
        <v/>
      </c>
      <c r="F32877" s="102" t="str">
        <f ca="1">IFERROR(__xludf.DUMMYFUNCTION("IMPORTRANGE(H32877,""IDENTITAS UNIT!D9"")"),"#N/A")</f>
        <v>#N/A</v>
      </c>
      <c r="H32877" s="4" t="str">
        <v/>
      </c>
      <c r="I32877" s="4" t="str">
        <v/>
      </c>
    </row>
    <row r="32878" spans="5:9" ht="16.5" hidden="1">
      <c r="E32878" s="4" t="str">
        <v/>
      </c>
      <c r="F32878" s="102" t="str">
        <f ca="1">IFERROR(__xludf.DUMMYFUNCTION("IMPORTRANGE(H32878,""IDENTITAS UNIT!D9"")"),"#N/A")</f>
        <v>#N/A</v>
      </c>
      <c r="H32878" s="4" t="str">
        <v/>
      </c>
      <c r="I32878" s="4" t="str">
        <v/>
      </c>
    </row>
    <row r="32879" spans="5:9" ht="16.5" hidden="1">
      <c r="E32879" s="4" t="str">
        <v/>
      </c>
      <c r="F32879" s="102" t="str">
        <f ca="1">IFERROR(__xludf.DUMMYFUNCTION("IMPORTRANGE(H32879,""IDENTITAS UNIT!D9"")"),"#N/A")</f>
        <v>#N/A</v>
      </c>
      <c r="H32879" s="4" t="str">
        <v/>
      </c>
      <c r="I32879" s="4" t="str">
        <v/>
      </c>
    </row>
    <row r="32880" spans="5:9" ht="16.5" hidden="1">
      <c r="E32880" s="4" t="str">
        <v/>
      </c>
      <c r="F32880" s="102" t="str">
        <f ca="1">IFERROR(__xludf.DUMMYFUNCTION("IMPORTRANGE(H32880,""IDENTITAS UNIT!D9"")"),"#N/A")</f>
        <v>#N/A</v>
      </c>
      <c r="H32880" s="4" t="str">
        <v/>
      </c>
      <c r="I32880" s="4" t="str">
        <v/>
      </c>
    </row>
    <row r="32881" spans="5:9" ht="16.5" hidden="1">
      <c r="E32881" s="4" t="str">
        <v/>
      </c>
      <c r="F32881" s="102" t="str">
        <f ca="1">IFERROR(__xludf.DUMMYFUNCTION("IMPORTRANGE(H32881,""IDENTITAS UNIT!D9"")"),"#N/A")</f>
        <v>#N/A</v>
      </c>
      <c r="H32881" s="4" t="str">
        <v/>
      </c>
      <c r="I32881" s="4" t="str">
        <v/>
      </c>
    </row>
    <row r="32882" spans="5:9" ht="16.5" hidden="1">
      <c r="E32882" s="4" t="str">
        <v/>
      </c>
      <c r="F32882" s="102" t="str">
        <f ca="1">IFERROR(__xludf.DUMMYFUNCTION("IMPORTRANGE(H32882,""IDENTITAS UNIT!D9"")"),"#N/A")</f>
        <v>#N/A</v>
      </c>
      <c r="H32882" s="4" t="str">
        <v/>
      </c>
      <c r="I32882" s="4" t="str">
        <v/>
      </c>
    </row>
    <row r="32883" spans="5:9" ht="16.5" hidden="1">
      <c r="E32883" s="4" t="str">
        <v/>
      </c>
      <c r="F32883" s="102" t="str">
        <f ca="1">IFERROR(__xludf.DUMMYFUNCTION("IMPORTRANGE(H32883,""IDENTITAS UNIT!D9"")"),"#N/A")</f>
        <v>#N/A</v>
      </c>
      <c r="H32883" s="4" t="str">
        <v/>
      </c>
      <c r="I32883" s="4" t="str">
        <v/>
      </c>
    </row>
    <row r="32884" spans="5:9" ht="16.5" hidden="1">
      <c r="E32884" s="4" t="str">
        <v/>
      </c>
      <c r="F32884" s="102" t="str">
        <f ca="1">IFERROR(__xludf.DUMMYFUNCTION("IMPORTRANGE(H32884,""IDENTITAS UNIT!D9"")"),"#N/A")</f>
        <v>#N/A</v>
      </c>
      <c r="H32884" s="4" t="str">
        <v/>
      </c>
      <c r="I32884" s="4" t="str">
        <v/>
      </c>
    </row>
    <row r="32885" spans="5:9" ht="16.5" hidden="1">
      <c r="E32885" s="4" t="str">
        <v/>
      </c>
      <c r="F32885" s="102" t="str">
        <f ca="1">IFERROR(__xludf.DUMMYFUNCTION("IMPORTRANGE(H32885,""IDENTITAS UNIT!D9"")"),"#N/A")</f>
        <v>#N/A</v>
      </c>
      <c r="H32885" s="4" t="str">
        <v/>
      </c>
      <c r="I32885" s="4" t="str">
        <v/>
      </c>
    </row>
    <row r="32886" spans="5:9" ht="16.5" hidden="1">
      <c r="E32886" s="4" t="str">
        <v/>
      </c>
      <c r="F32886" s="102" t="str">
        <f ca="1">IFERROR(__xludf.DUMMYFUNCTION("IMPORTRANGE(H32886,""IDENTITAS UNIT!D9"")"),"#N/A")</f>
        <v>#N/A</v>
      </c>
      <c r="H32886" s="4" t="str">
        <v/>
      </c>
      <c r="I32886" s="4" t="str">
        <v/>
      </c>
    </row>
    <row r="32887" spans="5:9" ht="16.5" hidden="1">
      <c r="E32887" s="4" t="str">
        <v/>
      </c>
      <c r="F32887" s="102" t="str">
        <f ca="1">IFERROR(__xludf.DUMMYFUNCTION("IMPORTRANGE(H32887,""IDENTITAS UNIT!D9"")"),"#N/A")</f>
        <v>#N/A</v>
      </c>
      <c r="H32887" s="4" t="str">
        <v/>
      </c>
      <c r="I32887" s="4" t="str">
        <v/>
      </c>
    </row>
    <row r="32888" spans="5:9" ht="16.5" hidden="1">
      <c r="E32888" s="4" t="str">
        <v/>
      </c>
      <c r="F32888" s="102" t="str">
        <f ca="1">IFERROR(__xludf.DUMMYFUNCTION("IMPORTRANGE(H32888,""IDENTITAS UNIT!D9"")"),"#N/A")</f>
        <v>#N/A</v>
      </c>
      <c r="H32888" s="4" t="str">
        <v/>
      </c>
      <c r="I32888" s="4" t="str">
        <v/>
      </c>
    </row>
    <row r="32889" spans="5:9" ht="16.5" hidden="1">
      <c r="E32889" s="4" t="str">
        <v/>
      </c>
      <c r="F32889" s="102" t="str">
        <f ca="1">IFERROR(__xludf.DUMMYFUNCTION("IMPORTRANGE(H32889,""IDENTITAS UNIT!D9"")"),"#N/A")</f>
        <v>#N/A</v>
      </c>
      <c r="H32889" s="4" t="str">
        <v/>
      </c>
      <c r="I32889" s="4" t="str">
        <v/>
      </c>
    </row>
    <row r="32890" spans="5:9" ht="16.5" hidden="1">
      <c r="E32890" s="4" t="str">
        <v/>
      </c>
      <c r="F32890" s="102" t="str">
        <f ca="1">IFERROR(__xludf.DUMMYFUNCTION("IMPORTRANGE(H32890,""IDENTITAS UNIT!D9"")"),"#N/A")</f>
        <v>#N/A</v>
      </c>
      <c r="H32890" s="4" t="str">
        <v/>
      </c>
      <c r="I32890" s="4" t="str">
        <v/>
      </c>
    </row>
    <row r="32891" spans="5:9" ht="16.5" hidden="1">
      <c r="E32891" s="4" t="str">
        <v/>
      </c>
      <c r="F32891" s="102" t="str">
        <f ca="1">IFERROR(__xludf.DUMMYFUNCTION("IMPORTRANGE(H32891,""IDENTITAS UNIT!D9"")"),"#N/A")</f>
        <v>#N/A</v>
      </c>
      <c r="H32891" s="4" t="str">
        <v/>
      </c>
      <c r="I32891" s="4" t="str">
        <v/>
      </c>
    </row>
    <row r="32892" spans="5:9" ht="16.5" hidden="1">
      <c r="E32892" s="4" t="str">
        <v/>
      </c>
      <c r="F32892" s="102" t="str">
        <f ca="1">IFERROR(__xludf.DUMMYFUNCTION("IMPORTRANGE(H32892,""IDENTITAS UNIT!D9"")"),"#N/A")</f>
        <v>#N/A</v>
      </c>
      <c r="H32892" s="4" t="str">
        <v/>
      </c>
      <c r="I32892" s="4" t="str">
        <v/>
      </c>
    </row>
    <row r="32893" spans="5:9" ht="16.5" hidden="1">
      <c r="E32893" s="4" t="str">
        <v/>
      </c>
      <c r="F32893" s="102" t="str">
        <f ca="1">IFERROR(__xludf.DUMMYFUNCTION("IMPORTRANGE(H32893,""IDENTITAS UNIT!D9"")"),"#N/A")</f>
        <v>#N/A</v>
      </c>
      <c r="H32893" s="4" t="str">
        <v/>
      </c>
      <c r="I32893" s="4" t="str">
        <v/>
      </c>
    </row>
    <row r="32894" spans="5:9" ht="16.5" hidden="1">
      <c r="E32894" s="4" t="str">
        <v/>
      </c>
      <c r="F32894" s="102" t="str">
        <f ca="1">IFERROR(__xludf.DUMMYFUNCTION("IMPORTRANGE(H32894,""IDENTITAS UNIT!D9"")"),"#N/A")</f>
        <v>#N/A</v>
      </c>
      <c r="H32894" s="4" t="str">
        <v/>
      </c>
      <c r="I32894" s="4" t="str">
        <v/>
      </c>
    </row>
    <row r="32895" spans="5:9" ht="16.5" hidden="1">
      <c r="E32895" s="4" t="str">
        <v/>
      </c>
      <c r="F32895" s="102" t="str">
        <f ca="1">IFERROR(__xludf.DUMMYFUNCTION("IMPORTRANGE(H32895,""IDENTITAS UNIT!D9"")"),"#N/A")</f>
        <v>#N/A</v>
      </c>
      <c r="H32895" s="4" t="str">
        <v/>
      </c>
      <c r="I32895" s="4" t="str">
        <v/>
      </c>
    </row>
    <row r="32896" spans="5:9" ht="16.5" hidden="1">
      <c r="E32896" s="4" t="str">
        <v/>
      </c>
      <c r="F32896" s="102" t="str">
        <f ca="1">IFERROR(__xludf.DUMMYFUNCTION("IMPORTRANGE(H32896,""IDENTITAS UNIT!D9"")"),"#N/A")</f>
        <v>#N/A</v>
      </c>
      <c r="H32896" s="4" t="str">
        <v/>
      </c>
      <c r="I32896" s="4" t="str">
        <v/>
      </c>
    </row>
    <row r="32897" spans="5:9" ht="16.5" hidden="1">
      <c r="E32897" s="4" t="str">
        <v/>
      </c>
      <c r="F32897" s="102" t="str">
        <f ca="1">IFERROR(__xludf.DUMMYFUNCTION("IMPORTRANGE(H32897,""IDENTITAS UNIT!D9"")"),"#N/A")</f>
        <v>#N/A</v>
      </c>
      <c r="H32897" s="4" t="str">
        <v/>
      </c>
      <c r="I32897" s="4" t="str">
        <v/>
      </c>
    </row>
    <row r="32898" spans="5:9" ht="16.5" hidden="1">
      <c r="E32898" s="4" t="str">
        <v/>
      </c>
      <c r="F32898" s="102" t="str">
        <f ca="1">IFERROR(__xludf.DUMMYFUNCTION("IMPORTRANGE(H32898,""IDENTITAS UNIT!D9"")"),"#N/A")</f>
        <v>#N/A</v>
      </c>
      <c r="H32898" s="4" t="str">
        <v/>
      </c>
      <c r="I32898" s="4" t="str">
        <v/>
      </c>
    </row>
    <row r="32899" spans="5:9" ht="16.5" hidden="1">
      <c r="E32899" s="4" t="str">
        <v/>
      </c>
      <c r="F32899" s="102" t="str">
        <f ca="1">IFERROR(__xludf.DUMMYFUNCTION("IMPORTRANGE(H32899,""IDENTITAS UNIT!D9"")"),"#N/A")</f>
        <v>#N/A</v>
      </c>
      <c r="H32899" s="4" t="str">
        <v/>
      </c>
      <c r="I32899" s="4" t="str">
        <v/>
      </c>
    </row>
    <row r="32900" spans="5:9" ht="16.5" hidden="1">
      <c r="E32900" s="4" t="str">
        <v/>
      </c>
      <c r="F32900" s="102" t="str">
        <f ca="1">IFERROR(__xludf.DUMMYFUNCTION("IMPORTRANGE(H32900,""IDENTITAS UNIT!D9"")"),"#N/A")</f>
        <v>#N/A</v>
      </c>
      <c r="H32900" s="4" t="str">
        <v/>
      </c>
      <c r="I32900" s="4" t="str">
        <v/>
      </c>
    </row>
    <row r="32901" spans="5:9" ht="16.5" hidden="1">
      <c r="E32901" s="4" t="str">
        <v/>
      </c>
      <c r="F32901" s="102" t="str">
        <f ca="1">IFERROR(__xludf.DUMMYFUNCTION("IMPORTRANGE(H32901,""IDENTITAS UNIT!D9"")"),"#N/A")</f>
        <v>#N/A</v>
      </c>
      <c r="H32901" s="4" t="str">
        <v/>
      </c>
      <c r="I32901" s="4" t="str">
        <v/>
      </c>
    </row>
    <row r="32902" spans="5:9" ht="16.5" hidden="1">
      <c r="E32902" s="4" t="str">
        <v/>
      </c>
      <c r="F32902" s="102" t="str">
        <f ca="1">IFERROR(__xludf.DUMMYFUNCTION("IMPORTRANGE(H32902,""IDENTITAS UNIT!D9"")"),"#N/A")</f>
        <v>#N/A</v>
      </c>
      <c r="H32902" s="4" t="str">
        <v/>
      </c>
      <c r="I32902" s="4" t="str">
        <v/>
      </c>
    </row>
    <row r="32903" spans="5:9" ht="16.5" hidden="1">
      <c r="E32903" s="4" t="str">
        <v/>
      </c>
      <c r="F32903" s="102" t="str">
        <f ca="1">IFERROR(__xludf.DUMMYFUNCTION("IMPORTRANGE(H32903,""IDENTITAS UNIT!D9"")"),"#N/A")</f>
        <v>#N/A</v>
      </c>
      <c r="H32903" s="4" t="str">
        <v/>
      </c>
      <c r="I32903" s="4" t="str">
        <v/>
      </c>
    </row>
    <row r="32904" spans="5:9" ht="16.5" hidden="1">
      <c r="E32904" s="4" t="str">
        <v/>
      </c>
      <c r="F32904" s="102" t="str">
        <f ca="1">IFERROR(__xludf.DUMMYFUNCTION("IMPORTRANGE(H32904,""IDENTITAS UNIT!D9"")"),"#N/A")</f>
        <v>#N/A</v>
      </c>
      <c r="H32904" s="4" t="str">
        <v/>
      </c>
      <c r="I32904" s="4" t="str">
        <v/>
      </c>
    </row>
    <row r="32905" spans="5:9" ht="16.5" hidden="1">
      <c r="E32905" s="4" t="str">
        <v/>
      </c>
      <c r="F32905" s="102" t="str">
        <f ca="1">IFERROR(__xludf.DUMMYFUNCTION("IMPORTRANGE(H32905,""IDENTITAS UNIT!D9"")"),"#N/A")</f>
        <v>#N/A</v>
      </c>
      <c r="H32905" s="4" t="str">
        <v/>
      </c>
      <c r="I32905" s="4" t="str">
        <v/>
      </c>
    </row>
    <row r="32906" spans="5:9" ht="16.5" hidden="1">
      <c r="E32906" s="4" t="str">
        <v/>
      </c>
      <c r="F32906" s="102" t="str">
        <f ca="1">IFERROR(__xludf.DUMMYFUNCTION("IMPORTRANGE(H32906,""IDENTITAS UNIT!D9"")"),"#N/A")</f>
        <v>#N/A</v>
      </c>
      <c r="H32906" s="4" t="str">
        <v/>
      </c>
      <c r="I32906" s="4" t="str">
        <v/>
      </c>
    </row>
    <row r="32907" spans="5:9" ht="16.5" hidden="1">
      <c r="E32907" s="4" t="str">
        <v/>
      </c>
      <c r="F32907" s="102" t="str">
        <f ca="1">IFERROR(__xludf.DUMMYFUNCTION("IMPORTRANGE(H32907,""IDENTITAS UNIT!D9"")"),"#N/A")</f>
        <v>#N/A</v>
      </c>
      <c r="H32907" s="4" t="str">
        <v/>
      </c>
      <c r="I32907" s="4" t="str">
        <v/>
      </c>
    </row>
    <row r="32908" spans="5:9" ht="16.5" hidden="1">
      <c r="E32908" s="4" t="str">
        <v/>
      </c>
      <c r="F32908" s="102" t="str">
        <f ca="1">IFERROR(__xludf.DUMMYFUNCTION("IMPORTRANGE(H32908,""IDENTITAS UNIT!D9"")"),"#N/A")</f>
        <v>#N/A</v>
      </c>
      <c r="H32908" s="4" t="str">
        <v/>
      </c>
      <c r="I32908" s="4" t="str">
        <v/>
      </c>
    </row>
    <row r="32909" spans="5:9" ht="16.5" hidden="1">
      <c r="E32909" s="4" t="str">
        <v/>
      </c>
      <c r="F32909" s="102" t="str">
        <f ca="1">IFERROR(__xludf.DUMMYFUNCTION("IMPORTRANGE(H32909,""IDENTITAS UNIT!D9"")"),"#N/A")</f>
        <v>#N/A</v>
      </c>
      <c r="H32909" s="4" t="str">
        <v/>
      </c>
      <c r="I32909" s="4" t="str">
        <v/>
      </c>
    </row>
    <row r="32910" spans="5:9" ht="16.5" hidden="1">
      <c r="E32910" s="4" t="str">
        <v/>
      </c>
      <c r="F32910" s="102" t="str">
        <f ca="1">IFERROR(__xludf.DUMMYFUNCTION("IMPORTRANGE(H32910,""IDENTITAS UNIT!D9"")"),"#N/A")</f>
        <v>#N/A</v>
      </c>
      <c r="H32910" s="4" t="str">
        <v/>
      </c>
      <c r="I32910" s="4" t="str">
        <v/>
      </c>
    </row>
    <row r="32911" spans="5:9" ht="16.5" hidden="1">
      <c r="E32911" s="4" t="str">
        <v/>
      </c>
      <c r="F32911" s="102" t="str">
        <f ca="1">IFERROR(__xludf.DUMMYFUNCTION("IMPORTRANGE(H32911,""IDENTITAS UNIT!D9"")"),"#N/A")</f>
        <v>#N/A</v>
      </c>
      <c r="H32911" s="4" t="str">
        <v/>
      </c>
      <c r="I32911" s="4" t="str">
        <v/>
      </c>
    </row>
    <row r="32912" spans="5:9" ht="16.5" hidden="1">
      <c r="E32912" s="4" t="str">
        <v/>
      </c>
      <c r="F32912" s="102" t="str">
        <f ca="1">IFERROR(__xludf.DUMMYFUNCTION("IMPORTRANGE(H32912,""IDENTITAS UNIT!D9"")"),"#N/A")</f>
        <v>#N/A</v>
      </c>
      <c r="H32912" s="4" t="str">
        <v/>
      </c>
      <c r="I32912" s="4" t="str">
        <v/>
      </c>
    </row>
    <row r="32913" spans="5:9" ht="16.5" hidden="1">
      <c r="E32913" s="4" t="str">
        <v/>
      </c>
      <c r="F32913" s="102" t="str">
        <f ca="1">IFERROR(__xludf.DUMMYFUNCTION("IMPORTRANGE(H32913,""IDENTITAS UNIT!D9"")"),"#N/A")</f>
        <v>#N/A</v>
      </c>
      <c r="H32913" s="4" t="str">
        <v/>
      </c>
      <c r="I32913" s="4" t="str">
        <v/>
      </c>
    </row>
    <row r="32914" spans="5:9" ht="16.5" hidden="1">
      <c r="E32914" s="4" t="str">
        <v/>
      </c>
      <c r="F32914" s="102" t="str">
        <f ca="1">IFERROR(__xludf.DUMMYFUNCTION("IMPORTRANGE(H32914,""IDENTITAS UNIT!D9"")"),"#N/A")</f>
        <v>#N/A</v>
      </c>
      <c r="H32914" s="4" t="str">
        <v/>
      </c>
      <c r="I32914" s="4" t="str">
        <v/>
      </c>
    </row>
    <row r="32915" spans="5:9" ht="16.5" hidden="1">
      <c r="E32915" s="4" t="str">
        <v/>
      </c>
      <c r="F32915" s="102" t="str">
        <f ca="1">IFERROR(__xludf.DUMMYFUNCTION("IMPORTRANGE(H32915,""IDENTITAS UNIT!D9"")"),"#N/A")</f>
        <v>#N/A</v>
      </c>
      <c r="H32915" s="4" t="str">
        <v/>
      </c>
      <c r="I32915" s="4" t="str">
        <v/>
      </c>
    </row>
    <row r="32916" spans="5:9" ht="16.5" hidden="1">
      <c r="E32916" s="4" t="str">
        <v/>
      </c>
      <c r="F32916" s="102" t="str">
        <f ca="1">IFERROR(__xludf.DUMMYFUNCTION("IMPORTRANGE(H32916,""IDENTITAS UNIT!D9"")"),"#N/A")</f>
        <v>#N/A</v>
      </c>
      <c r="H32916" s="4" t="str">
        <v/>
      </c>
      <c r="I32916" s="4" t="str">
        <v/>
      </c>
    </row>
    <row r="32917" spans="5:9" ht="16.5" hidden="1">
      <c r="E32917" s="4" t="str">
        <v/>
      </c>
      <c r="F32917" s="102" t="str">
        <f ca="1">IFERROR(__xludf.DUMMYFUNCTION("IMPORTRANGE(H32917,""IDENTITAS UNIT!D9"")"),"#N/A")</f>
        <v>#N/A</v>
      </c>
      <c r="H32917" s="4" t="str">
        <v/>
      </c>
      <c r="I32917" s="4" t="str">
        <v/>
      </c>
    </row>
    <row r="32918" spans="5:9" ht="16.5" hidden="1">
      <c r="E32918" s="4" t="str">
        <v/>
      </c>
      <c r="F32918" s="102" t="str">
        <f ca="1">IFERROR(__xludf.DUMMYFUNCTION("IMPORTRANGE(H32918,""IDENTITAS UNIT!D9"")"),"#N/A")</f>
        <v>#N/A</v>
      </c>
      <c r="H32918" s="4" t="str">
        <v/>
      </c>
      <c r="I32918" s="4" t="str">
        <v/>
      </c>
    </row>
    <row r="32919" spans="5:9" ht="16.5" hidden="1">
      <c r="E32919" s="4" t="str">
        <v/>
      </c>
      <c r="F32919" s="102" t="str">
        <f ca="1">IFERROR(__xludf.DUMMYFUNCTION("IMPORTRANGE(H32919,""IDENTITAS UNIT!D9"")"),"#N/A")</f>
        <v>#N/A</v>
      </c>
      <c r="H32919" s="4" t="str">
        <v/>
      </c>
      <c r="I32919" s="4" t="str">
        <v/>
      </c>
    </row>
    <row r="32920" spans="5:9" ht="16.5" hidden="1">
      <c r="E32920" s="4" t="str">
        <v/>
      </c>
      <c r="F32920" s="102" t="str">
        <f ca="1">IFERROR(__xludf.DUMMYFUNCTION("IMPORTRANGE(H32920,""IDENTITAS UNIT!D9"")"),"#N/A")</f>
        <v>#N/A</v>
      </c>
      <c r="H32920" s="4" t="str">
        <v/>
      </c>
      <c r="I32920" s="4" t="str">
        <v/>
      </c>
    </row>
    <row r="32921" spans="5:9" ht="16.5" hidden="1">
      <c r="E32921" s="4" t="str">
        <v/>
      </c>
      <c r="F32921" s="102" t="str">
        <f ca="1">IFERROR(__xludf.DUMMYFUNCTION("IMPORTRANGE(H32921,""IDENTITAS UNIT!D9"")"),"#N/A")</f>
        <v>#N/A</v>
      </c>
      <c r="H32921" s="4" t="str">
        <v/>
      </c>
      <c r="I32921" s="4" t="str">
        <v/>
      </c>
    </row>
    <row r="32922" spans="5:9" ht="16.5" hidden="1">
      <c r="E32922" s="4" t="str">
        <v/>
      </c>
      <c r="F32922" s="102" t="str">
        <f ca="1">IFERROR(__xludf.DUMMYFUNCTION("IMPORTRANGE(H32922,""IDENTITAS UNIT!D9"")"),"#N/A")</f>
        <v>#N/A</v>
      </c>
      <c r="H32922" s="4" t="str">
        <v/>
      </c>
      <c r="I32922" s="4" t="str">
        <v/>
      </c>
    </row>
    <row r="32923" spans="5:9" ht="16.5" hidden="1">
      <c r="E32923" s="4" t="str">
        <v/>
      </c>
      <c r="F32923" s="102" t="str">
        <f ca="1">IFERROR(__xludf.DUMMYFUNCTION("IMPORTRANGE(H32923,""IDENTITAS UNIT!D9"")"),"#N/A")</f>
        <v>#N/A</v>
      </c>
      <c r="H32923" s="4" t="str">
        <v/>
      </c>
      <c r="I32923" s="4" t="str">
        <v/>
      </c>
    </row>
    <row r="32924" spans="5:9" ht="16.5" hidden="1">
      <c r="E32924" s="4" t="str">
        <v/>
      </c>
      <c r="F32924" s="102" t="str">
        <f ca="1">IFERROR(__xludf.DUMMYFUNCTION("IMPORTRANGE(H32924,""IDENTITAS UNIT!D9"")"),"#N/A")</f>
        <v>#N/A</v>
      </c>
      <c r="H32924" s="4" t="str">
        <v/>
      </c>
      <c r="I32924" s="4" t="str">
        <v/>
      </c>
    </row>
    <row r="32925" spans="5:9" ht="16.5" hidden="1">
      <c r="E32925" s="4" t="str">
        <v/>
      </c>
      <c r="F32925" s="102" t="str">
        <f ca="1">IFERROR(__xludf.DUMMYFUNCTION("IMPORTRANGE(H32925,""IDENTITAS UNIT!D9"")"),"#N/A")</f>
        <v>#N/A</v>
      </c>
      <c r="H32925" s="4" t="str">
        <v/>
      </c>
      <c r="I32925" s="4" t="str">
        <v/>
      </c>
    </row>
    <row r="32926" spans="5:9" ht="16.5" hidden="1">
      <c r="E32926" s="4" t="str">
        <v/>
      </c>
      <c r="F32926" s="102" t="str">
        <f ca="1">IFERROR(__xludf.DUMMYFUNCTION("IMPORTRANGE(H32926,""IDENTITAS UNIT!D9"")"),"#N/A")</f>
        <v>#N/A</v>
      </c>
      <c r="H32926" s="4" t="str">
        <v/>
      </c>
      <c r="I32926" s="4" t="str">
        <v/>
      </c>
    </row>
    <row r="32927" spans="5:9" ht="16.5" hidden="1">
      <c r="E32927" s="4" t="str">
        <v/>
      </c>
      <c r="F32927" s="102" t="str">
        <f ca="1">IFERROR(__xludf.DUMMYFUNCTION("IMPORTRANGE(H32927,""IDENTITAS UNIT!D9"")"),"#N/A")</f>
        <v>#N/A</v>
      </c>
      <c r="H32927" s="4" t="str">
        <v/>
      </c>
      <c r="I32927" s="4" t="str">
        <v/>
      </c>
    </row>
    <row r="32928" spans="5:9" ht="16.5" hidden="1">
      <c r="E32928" s="4" t="str">
        <v/>
      </c>
      <c r="F32928" s="102" t="str">
        <f ca="1">IFERROR(__xludf.DUMMYFUNCTION("IMPORTRANGE(H32928,""IDENTITAS UNIT!D9"")"),"#N/A")</f>
        <v>#N/A</v>
      </c>
      <c r="H32928" s="4" t="str">
        <v/>
      </c>
      <c r="I32928" s="4" t="str">
        <v/>
      </c>
    </row>
    <row r="32929" spans="5:9" ht="16.5" hidden="1">
      <c r="E32929" s="4" t="str">
        <v/>
      </c>
      <c r="F32929" s="102" t="str">
        <f ca="1">IFERROR(__xludf.DUMMYFUNCTION("IMPORTRANGE(H32929,""IDENTITAS UNIT!D9"")"),"#N/A")</f>
        <v>#N/A</v>
      </c>
      <c r="H32929" s="4" t="str">
        <v/>
      </c>
      <c r="I32929" s="4" t="str">
        <v/>
      </c>
    </row>
    <row r="32930" spans="5:9" ht="16.5" hidden="1">
      <c r="E32930" s="4" t="str">
        <v/>
      </c>
      <c r="F32930" s="102" t="str">
        <f ca="1">IFERROR(__xludf.DUMMYFUNCTION("IMPORTRANGE(H32930,""IDENTITAS UNIT!D9"")"),"#N/A")</f>
        <v>#N/A</v>
      </c>
      <c r="H32930" s="4" t="str">
        <v/>
      </c>
      <c r="I32930" s="4" t="str">
        <v/>
      </c>
    </row>
    <row r="32931" spans="5:9" ht="16.5" hidden="1">
      <c r="E32931" s="4" t="str">
        <v/>
      </c>
      <c r="F32931" s="102" t="str">
        <f ca="1">IFERROR(__xludf.DUMMYFUNCTION("IMPORTRANGE(H32931,""IDENTITAS UNIT!D9"")"),"#N/A")</f>
        <v>#N/A</v>
      </c>
      <c r="H32931" s="4" t="str">
        <v/>
      </c>
      <c r="I32931" s="4" t="str">
        <v/>
      </c>
    </row>
    <row r="32932" spans="5:9" ht="16.5" hidden="1">
      <c r="E32932" s="4" t="str">
        <v/>
      </c>
      <c r="F32932" s="102" t="str">
        <f ca="1">IFERROR(__xludf.DUMMYFUNCTION("IMPORTRANGE(H32932,""IDENTITAS UNIT!D9"")"),"#N/A")</f>
        <v>#N/A</v>
      </c>
      <c r="H32932" s="4" t="str">
        <v/>
      </c>
      <c r="I32932" s="4" t="str">
        <v/>
      </c>
    </row>
    <row r="32933" spans="5:9" ht="16.5" hidden="1">
      <c r="E32933" s="4" t="str">
        <v/>
      </c>
      <c r="F32933" s="102" t="str">
        <f ca="1">IFERROR(__xludf.DUMMYFUNCTION("IMPORTRANGE(H32933,""IDENTITAS UNIT!D9"")"),"#N/A")</f>
        <v>#N/A</v>
      </c>
      <c r="H32933" s="4" t="str">
        <v/>
      </c>
      <c r="I32933" s="4" t="str">
        <v/>
      </c>
    </row>
    <row r="32934" spans="5:9" ht="16.5" hidden="1">
      <c r="E32934" s="4" t="str">
        <v/>
      </c>
      <c r="F32934" s="102" t="str">
        <f ca="1">IFERROR(__xludf.DUMMYFUNCTION("IMPORTRANGE(H32934,""IDENTITAS UNIT!D9"")"),"#N/A")</f>
        <v>#N/A</v>
      </c>
      <c r="H32934" s="4" t="str">
        <v/>
      </c>
      <c r="I32934" s="4" t="str">
        <v/>
      </c>
    </row>
    <row r="32935" spans="5:9" ht="16.5" hidden="1">
      <c r="E32935" s="4" t="str">
        <v/>
      </c>
      <c r="F32935" s="102" t="str">
        <f ca="1">IFERROR(__xludf.DUMMYFUNCTION("IMPORTRANGE(H32935,""IDENTITAS UNIT!D9"")"),"#N/A")</f>
        <v>#N/A</v>
      </c>
      <c r="H32935" s="4" t="str">
        <v/>
      </c>
      <c r="I32935" s="4" t="str">
        <v/>
      </c>
    </row>
    <row r="32936" spans="5:9" ht="16.5" hidden="1">
      <c r="E32936" s="4" t="str">
        <v/>
      </c>
      <c r="F32936" s="102" t="str">
        <f ca="1">IFERROR(__xludf.DUMMYFUNCTION("IMPORTRANGE(H32936,""IDENTITAS UNIT!D9"")"),"#N/A")</f>
        <v>#N/A</v>
      </c>
      <c r="H32936" s="4" t="str">
        <v/>
      </c>
      <c r="I32936" s="4" t="str">
        <v/>
      </c>
    </row>
    <row r="32937" spans="5:9" ht="16.5" hidden="1">
      <c r="E32937" s="4" t="str">
        <v/>
      </c>
      <c r="F32937" s="102" t="str">
        <f ca="1">IFERROR(__xludf.DUMMYFUNCTION("IMPORTRANGE(H32937,""IDENTITAS UNIT!D9"")"),"#N/A")</f>
        <v>#N/A</v>
      </c>
      <c r="H32937" s="4" t="str">
        <v/>
      </c>
      <c r="I32937" s="4" t="str">
        <v/>
      </c>
    </row>
    <row r="32938" spans="5:9" ht="16.5" hidden="1">
      <c r="E32938" s="4" t="str">
        <v/>
      </c>
      <c r="F32938" s="102" t="str">
        <f ca="1">IFERROR(__xludf.DUMMYFUNCTION("IMPORTRANGE(H32938,""IDENTITAS UNIT!D9"")"),"#N/A")</f>
        <v>#N/A</v>
      </c>
      <c r="H32938" s="4" t="str">
        <v/>
      </c>
      <c r="I32938" s="4" t="str">
        <v/>
      </c>
    </row>
    <row r="32939" spans="5:9" ht="16.5" hidden="1">
      <c r="E32939" s="4" t="str">
        <v/>
      </c>
      <c r="F32939" s="102" t="str">
        <f ca="1">IFERROR(__xludf.DUMMYFUNCTION("IMPORTRANGE(H32939,""IDENTITAS UNIT!D9"")"),"#N/A")</f>
        <v>#N/A</v>
      </c>
      <c r="H32939" s="4" t="str">
        <v/>
      </c>
      <c r="I32939" s="4" t="str">
        <v/>
      </c>
    </row>
    <row r="32940" spans="5:9" ht="16.5" hidden="1">
      <c r="E32940" s="4" t="str">
        <v/>
      </c>
      <c r="F32940" s="102" t="str">
        <f ca="1">IFERROR(__xludf.DUMMYFUNCTION("IMPORTRANGE(H32940,""IDENTITAS UNIT!D9"")"),"#N/A")</f>
        <v>#N/A</v>
      </c>
      <c r="H32940" s="4" t="str">
        <v/>
      </c>
      <c r="I32940" s="4" t="str">
        <v/>
      </c>
    </row>
    <row r="32941" spans="5:9" ht="16.5" hidden="1">
      <c r="E32941" s="4" t="str">
        <v/>
      </c>
      <c r="F32941" s="102" t="str">
        <f ca="1">IFERROR(__xludf.DUMMYFUNCTION("IMPORTRANGE(H32941,""IDENTITAS UNIT!D9"")"),"#N/A")</f>
        <v>#N/A</v>
      </c>
      <c r="H32941" s="4" t="str">
        <v/>
      </c>
      <c r="I32941" s="4" t="str">
        <v/>
      </c>
    </row>
    <row r="32942" spans="5:9" ht="16.5" hidden="1">
      <c r="E32942" s="4" t="str">
        <v/>
      </c>
      <c r="F32942" s="102" t="str">
        <f ca="1">IFERROR(__xludf.DUMMYFUNCTION("IMPORTRANGE(H32942,""IDENTITAS UNIT!D9"")"),"#N/A")</f>
        <v>#N/A</v>
      </c>
      <c r="H32942" s="4" t="str">
        <v/>
      </c>
      <c r="I32942" s="4" t="str">
        <v/>
      </c>
    </row>
    <row r="32943" spans="5:9" ht="16.5" hidden="1">
      <c r="E32943" s="4" t="str">
        <v/>
      </c>
      <c r="F32943" s="102" t="str">
        <f ca="1">IFERROR(__xludf.DUMMYFUNCTION("IMPORTRANGE(H32943,""IDENTITAS UNIT!D9"")"),"#N/A")</f>
        <v>#N/A</v>
      </c>
      <c r="H32943" s="4" t="str">
        <v/>
      </c>
      <c r="I32943" s="4" t="str">
        <v/>
      </c>
    </row>
    <row r="32944" spans="5:9" ht="16.5" hidden="1">
      <c r="E32944" s="4" t="str">
        <v/>
      </c>
      <c r="F32944" s="102" t="str">
        <f ca="1">IFERROR(__xludf.DUMMYFUNCTION("IMPORTRANGE(H32944,""IDENTITAS UNIT!D9"")"),"#N/A")</f>
        <v>#N/A</v>
      </c>
      <c r="H32944" s="4" t="str">
        <v/>
      </c>
      <c r="I32944" s="4" t="str">
        <v/>
      </c>
    </row>
    <row r="32945" spans="5:9" ht="16.5" hidden="1">
      <c r="E32945" s="4" t="str">
        <v/>
      </c>
      <c r="F32945" s="102" t="str">
        <f ca="1">IFERROR(__xludf.DUMMYFUNCTION("IMPORTRANGE(H32945,""IDENTITAS UNIT!D9"")"),"#N/A")</f>
        <v>#N/A</v>
      </c>
      <c r="H32945" s="4" t="str">
        <v/>
      </c>
      <c r="I32945" s="4" t="str">
        <v/>
      </c>
    </row>
    <row r="32946" spans="5:9" ht="16.5" hidden="1">
      <c r="E32946" s="4" t="str">
        <v/>
      </c>
      <c r="F32946" s="102" t="str">
        <f ca="1">IFERROR(__xludf.DUMMYFUNCTION("IMPORTRANGE(H32946,""IDENTITAS UNIT!D9"")"),"#N/A")</f>
        <v>#N/A</v>
      </c>
      <c r="H32946" s="4" t="str">
        <v/>
      </c>
      <c r="I32946" s="4" t="str">
        <v/>
      </c>
    </row>
    <row r="32947" spans="5:9" ht="16.5" hidden="1">
      <c r="E32947" s="4" t="str">
        <v/>
      </c>
      <c r="F32947" s="102" t="str">
        <f ca="1">IFERROR(__xludf.DUMMYFUNCTION("IMPORTRANGE(H32947,""IDENTITAS UNIT!D9"")"),"#N/A")</f>
        <v>#N/A</v>
      </c>
      <c r="H32947" s="4" t="str">
        <v/>
      </c>
      <c r="I32947" s="4" t="str">
        <v/>
      </c>
    </row>
    <row r="32948" spans="5:9" ht="16.5" hidden="1">
      <c r="E32948" s="4" t="str">
        <v/>
      </c>
      <c r="F32948" s="102" t="str">
        <f ca="1">IFERROR(__xludf.DUMMYFUNCTION("IMPORTRANGE(H32948,""IDENTITAS UNIT!D9"")"),"#N/A")</f>
        <v>#N/A</v>
      </c>
      <c r="H32948" s="4" t="str">
        <v/>
      </c>
      <c r="I32948" s="4" t="str">
        <v/>
      </c>
    </row>
    <row r="32949" spans="5:9" ht="16.5" hidden="1">
      <c r="E32949" s="4" t="str">
        <v/>
      </c>
      <c r="F32949" s="102" t="str">
        <f ca="1">IFERROR(__xludf.DUMMYFUNCTION("IMPORTRANGE(H32949,""IDENTITAS UNIT!D9"")"),"#N/A")</f>
        <v>#N/A</v>
      </c>
      <c r="H32949" s="4" t="str">
        <v/>
      </c>
      <c r="I32949" s="4" t="str">
        <v/>
      </c>
    </row>
    <row r="32950" spans="5:9" ht="16.5" hidden="1">
      <c r="E32950" s="4" t="str">
        <v/>
      </c>
      <c r="F32950" s="102" t="str">
        <f ca="1">IFERROR(__xludf.DUMMYFUNCTION("IMPORTRANGE(H32950,""IDENTITAS UNIT!D9"")"),"#N/A")</f>
        <v>#N/A</v>
      </c>
      <c r="H32950" s="4" t="str">
        <v/>
      </c>
      <c r="I32950" s="4" t="str">
        <v/>
      </c>
    </row>
    <row r="32951" spans="5:9" ht="16.5" hidden="1">
      <c r="E32951" s="4" t="str">
        <v/>
      </c>
      <c r="F32951" s="102" t="str">
        <f ca="1">IFERROR(__xludf.DUMMYFUNCTION("IMPORTRANGE(H32951,""IDENTITAS UNIT!D9"")"),"#N/A")</f>
        <v>#N/A</v>
      </c>
      <c r="H32951" s="4" t="str">
        <v/>
      </c>
      <c r="I32951" s="4" t="str">
        <v/>
      </c>
    </row>
    <row r="32952" spans="5:9" ht="16.5" hidden="1">
      <c r="E32952" s="4" t="str">
        <v/>
      </c>
      <c r="F32952" s="102" t="str">
        <f ca="1">IFERROR(__xludf.DUMMYFUNCTION("IMPORTRANGE(H32952,""IDENTITAS UNIT!D9"")"),"#N/A")</f>
        <v>#N/A</v>
      </c>
      <c r="H32952" s="4" t="str">
        <v/>
      </c>
      <c r="I32952" s="4" t="str">
        <v/>
      </c>
    </row>
    <row r="32953" spans="5:9" ht="16.5" hidden="1">
      <c r="E32953" s="4" t="str">
        <v/>
      </c>
      <c r="F32953" s="102" t="str">
        <f ca="1">IFERROR(__xludf.DUMMYFUNCTION("IMPORTRANGE(H32953,""IDENTITAS UNIT!D9"")"),"#N/A")</f>
        <v>#N/A</v>
      </c>
      <c r="H32953" s="4" t="str">
        <v/>
      </c>
      <c r="I32953" s="4" t="str">
        <v/>
      </c>
    </row>
    <row r="32954" spans="5:9" ht="16.5" hidden="1">
      <c r="E32954" s="4" t="str">
        <v/>
      </c>
      <c r="F32954" s="102" t="str">
        <f ca="1">IFERROR(__xludf.DUMMYFUNCTION("IMPORTRANGE(H32954,""IDENTITAS UNIT!D9"")"),"#N/A")</f>
        <v>#N/A</v>
      </c>
      <c r="H32954" s="4" t="str">
        <v/>
      </c>
      <c r="I32954" s="4" t="str">
        <v/>
      </c>
    </row>
    <row r="32955" spans="5:9" ht="16.5" hidden="1">
      <c r="E32955" s="4" t="str">
        <v/>
      </c>
      <c r="F32955" s="102" t="str">
        <f ca="1">IFERROR(__xludf.DUMMYFUNCTION("IMPORTRANGE(H32955,""IDENTITAS UNIT!D9"")"),"#N/A")</f>
        <v>#N/A</v>
      </c>
      <c r="H32955" s="4" t="str">
        <v/>
      </c>
      <c r="I32955" s="4" t="str">
        <v/>
      </c>
    </row>
    <row r="32956" spans="5:9" ht="16.5" hidden="1">
      <c r="E32956" s="4" t="str">
        <v/>
      </c>
      <c r="F32956" s="102" t="str">
        <f ca="1">IFERROR(__xludf.DUMMYFUNCTION("IMPORTRANGE(H32956,""IDENTITAS UNIT!D9"")"),"#N/A")</f>
        <v>#N/A</v>
      </c>
      <c r="H32956" s="4" t="str">
        <v/>
      </c>
      <c r="I32956" s="4" t="str">
        <v/>
      </c>
    </row>
    <row r="32957" spans="5:9" ht="16.5" hidden="1">
      <c r="E32957" s="4" t="str">
        <v/>
      </c>
      <c r="F32957" s="102" t="str">
        <f ca="1">IFERROR(__xludf.DUMMYFUNCTION("IMPORTRANGE(H32957,""IDENTITAS UNIT!D9"")"),"#N/A")</f>
        <v>#N/A</v>
      </c>
      <c r="H32957" s="4" t="str">
        <v/>
      </c>
      <c r="I32957" s="4" t="str">
        <v/>
      </c>
    </row>
    <row r="32958" spans="5:9" ht="16.5" hidden="1">
      <c r="E32958" s="4" t="str">
        <v/>
      </c>
      <c r="F32958" s="102" t="str">
        <f ca="1">IFERROR(__xludf.DUMMYFUNCTION("IMPORTRANGE(H32958,""IDENTITAS UNIT!D9"")"),"#N/A")</f>
        <v>#N/A</v>
      </c>
      <c r="H32958" s="4" t="str">
        <v/>
      </c>
      <c r="I32958" s="4" t="str">
        <v/>
      </c>
    </row>
    <row r="32959" spans="5:9" ht="16.5" hidden="1">
      <c r="E32959" s="4" t="str">
        <v/>
      </c>
      <c r="F32959" s="102" t="str">
        <f ca="1">IFERROR(__xludf.DUMMYFUNCTION("IMPORTRANGE(H32959,""IDENTITAS UNIT!D9"")"),"#N/A")</f>
        <v>#N/A</v>
      </c>
      <c r="H32959" s="4" t="str">
        <v/>
      </c>
      <c r="I32959" s="4" t="str">
        <v/>
      </c>
    </row>
    <row r="32960" spans="5:9" ht="16.5" hidden="1">
      <c r="E32960" s="4" t="str">
        <v/>
      </c>
      <c r="F32960" s="102" t="str">
        <f ca="1">IFERROR(__xludf.DUMMYFUNCTION("IMPORTRANGE(H32960,""IDENTITAS UNIT!D9"")"),"#N/A")</f>
        <v>#N/A</v>
      </c>
      <c r="H32960" s="4" t="str">
        <v/>
      </c>
      <c r="I32960" s="4" t="str">
        <v/>
      </c>
    </row>
    <row r="32961" spans="5:9" ht="16.5" hidden="1">
      <c r="E32961" s="4" t="str">
        <v/>
      </c>
      <c r="F32961" s="102" t="str">
        <f ca="1">IFERROR(__xludf.DUMMYFUNCTION("IMPORTRANGE(H32961,""IDENTITAS UNIT!D9"")"),"#N/A")</f>
        <v>#N/A</v>
      </c>
      <c r="H32961" s="4" t="str">
        <v/>
      </c>
      <c r="I32961" s="4" t="str">
        <v/>
      </c>
    </row>
    <row r="32962" spans="5:9" ht="16.5" hidden="1">
      <c r="E32962" s="4" t="str">
        <v/>
      </c>
      <c r="F32962" s="102" t="str">
        <f ca="1">IFERROR(__xludf.DUMMYFUNCTION("IMPORTRANGE(H32962,""IDENTITAS UNIT!D9"")"),"#N/A")</f>
        <v>#N/A</v>
      </c>
      <c r="H32962" s="4" t="str">
        <v/>
      </c>
      <c r="I32962" s="4" t="str">
        <v/>
      </c>
    </row>
    <row r="32963" spans="5:9" ht="16.5" hidden="1">
      <c r="E32963" s="4" t="str">
        <v/>
      </c>
      <c r="F32963" s="102" t="str">
        <f ca="1">IFERROR(__xludf.DUMMYFUNCTION("IMPORTRANGE(H32963,""IDENTITAS UNIT!D9"")"),"#N/A")</f>
        <v>#N/A</v>
      </c>
      <c r="H32963" s="4" t="str">
        <v/>
      </c>
      <c r="I32963" s="4" t="str">
        <v/>
      </c>
    </row>
    <row r="32964" spans="5:9" ht="16.5" hidden="1">
      <c r="E32964" s="4" t="str">
        <v/>
      </c>
      <c r="F32964" s="102" t="str">
        <f ca="1">IFERROR(__xludf.DUMMYFUNCTION("IMPORTRANGE(H32964,""IDENTITAS UNIT!D9"")"),"#N/A")</f>
        <v>#N/A</v>
      </c>
      <c r="H32964" s="4" t="str">
        <v/>
      </c>
      <c r="I32964" s="4" t="str">
        <v/>
      </c>
    </row>
    <row r="32965" spans="5:9" ht="16.5" hidden="1">
      <c r="E32965" s="4" t="str">
        <v/>
      </c>
      <c r="F32965" s="102" t="str">
        <f ca="1">IFERROR(__xludf.DUMMYFUNCTION("IMPORTRANGE(H32965,""IDENTITAS UNIT!D9"")"),"#N/A")</f>
        <v>#N/A</v>
      </c>
      <c r="H32965" s="4" t="str">
        <v/>
      </c>
      <c r="I32965" s="4" t="str">
        <v/>
      </c>
    </row>
    <row r="32966" spans="5:9" ht="16.5" hidden="1">
      <c r="E32966" s="4" t="str">
        <v/>
      </c>
      <c r="F32966" s="102" t="str">
        <f ca="1">IFERROR(__xludf.DUMMYFUNCTION("IMPORTRANGE(H32966,""IDENTITAS UNIT!D9"")"),"#N/A")</f>
        <v>#N/A</v>
      </c>
      <c r="H32966" s="4" t="str">
        <v/>
      </c>
      <c r="I32966" s="4" t="str">
        <v/>
      </c>
    </row>
    <row r="32967" spans="5:9" ht="16.5" hidden="1">
      <c r="E32967" s="4" t="str">
        <v/>
      </c>
      <c r="F32967" s="102" t="str">
        <f ca="1">IFERROR(__xludf.DUMMYFUNCTION("IMPORTRANGE(H32967,""IDENTITAS UNIT!D9"")"),"#N/A")</f>
        <v>#N/A</v>
      </c>
      <c r="H32967" s="4" t="str">
        <v/>
      </c>
      <c r="I32967" s="4" t="str">
        <v/>
      </c>
    </row>
    <row r="32968" spans="5:9" ht="16.5" hidden="1">
      <c r="E32968" s="4" t="str">
        <v/>
      </c>
      <c r="F32968" s="102" t="str">
        <f ca="1">IFERROR(__xludf.DUMMYFUNCTION("IMPORTRANGE(H32968,""IDENTITAS UNIT!D9"")"),"#N/A")</f>
        <v>#N/A</v>
      </c>
      <c r="H32968" s="4" t="str">
        <v/>
      </c>
      <c r="I32968" s="4" t="str">
        <v/>
      </c>
    </row>
    <row r="32969" spans="5:9" ht="16.5" hidden="1">
      <c r="E32969" s="4" t="str">
        <v/>
      </c>
      <c r="F32969" s="102" t="str">
        <f ca="1">IFERROR(__xludf.DUMMYFUNCTION("IMPORTRANGE(H32969,""IDENTITAS UNIT!D9"")"),"#N/A")</f>
        <v>#N/A</v>
      </c>
      <c r="H32969" s="4" t="str">
        <v/>
      </c>
      <c r="I32969" s="4" t="str">
        <v/>
      </c>
    </row>
    <row r="32970" spans="5:9" ht="16.5" hidden="1">
      <c r="E32970" s="4" t="str">
        <v/>
      </c>
      <c r="F32970" s="102" t="str">
        <f ca="1">IFERROR(__xludf.DUMMYFUNCTION("IMPORTRANGE(H32970,""IDENTITAS UNIT!D9"")"),"#N/A")</f>
        <v>#N/A</v>
      </c>
      <c r="H32970" s="4" t="str">
        <v/>
      </c>
      <c r="I32970" s="4" t="str">
        <v/>
      </c>
    </row>
    <row r="32971" spans="5:9" ht="16.5" hidden="1">
      <c r="E32971" s="4" t="str">
        <v/>
      </c>
      <c r="F32971" s="102" t="str">
        <f ca="1">IFERROR(__xludf.DUMMYFUNCTION("IMPORTRANGE(H32971,""IDENTITAS UNIT!D9"")"),"#N/A")</f>
        <v>#N/A</v>
      </c>
      <c r="H32971" s="4" t="str">
        <v/>
      </c>
      <c r="I32971" s="4" t="str">
        <v/>
      </c>
    </row>
    <row r="32972" spans="5:9" ht="16.5" hidden="1">
      <c r="E32972" s="4" t="str">
        <v/>
      </c>
      <c r="F32972" s="102" t="str">
        <f ca="1">IFERROR(__xludf.DUMMYFUNCTION("IMPORTRANGE(H32972,""IDENTITAS UNIT!D9"")"),"#N/A")</f>
        <v>#N/A</v>
      </c>
      <c r="H32972" s="4" t="str">
        <v/>
      </c>
      <c r="I32972" s="4" t="str">
        <v/>
      </c>
    </row>
    <row r="32973" spans="5:9" ht="16.5" hidden="1">
      <c r="E32973" s="4" t="str">
        <v/>
      </c>
      <c r="F32973" s="102" t="str">
        <f ca="1">IFERROR(__xludf.DUMMYFUNCTION("IMPORTRANGE(H32973,""IDENTITAS UNIT!D9"")"),"#N/A")</f>
        <v>#N/A</v>
      </c>
      <c r="H32973" s="4" t="str">
        <v/>
      </c>
      <c r="I32973" s="4" t="str">
        <v/>
      </c>
    </row>
    <row r="32974" spans="5:9" ht="16.5" hidden="1">
      <c r="E32974" s="4" t="str">
        <v/>
      </c>
      <c r="F32974" s="102" t="str">
        <f ca="1">IFERROR(__xludf.DUMMYFUNCTION("IMPORTRANGE(H32974,""IDENTITAS UNIT!D9"")"),"#N/A")</f>
        <v>#N/A</v>
      </c>
      <c r="H32974" s="4" t="str">
        <v/>
      </c>
      <c r="I32974" s="4" t="str">
        <v/>
      </c>
    </row>
    <row r="32975" spans="5:9" ht="16.5" hidden="1">
      <c r="E32975" s="4" t="str">
        <v/>
      </c>
      <c r="F32975" s="102" t="str">
        <f ca="1">IFERROR(__xludf.DUMMYFUNCTION("IMPORTRANGE(H32975,""IDENTITAS UNIT!D9"")"),"#N/A")</f>
        <v>#N/A</v>
      </c>
      <c r="H32975" s="4" t="str">
        <v/>
      </c>
      <c r="I32975" s="4" t="str">
        <v/>
      </c>
    </row>
    <row r="32976" spans="5:9" ht="16.5" hidden="1">
      <c r="E32976" s="4" t="str">
        <v/>
      </c>
      <c r="F32976" s="102" t="str">
        <f ca="1">IFERROR(__xludf.DUMMYFUNCTION("IMPORTRANGE(H32976,""IDENTITAS UNIT!D9"")"),"#N/A")</f>
        <v>#N/A</v>
      </c>
      <c r="H32976" s="4" t="str">
        <v/>
      </c>
      <c r="I32976" s="4" t="str">
        <v/>
      </c>
    </row>
    <row r="32977" spans="5:9" ht="16.5" hidden="1">
      <c r="E32977" s="4" t="str">
        <v/>
      </c>
      <c r="F32977" s="102" t="str">
        <f ca="1">IFERROR(__xludf.DUMMYFUNCTION("IMPORTRANGE(H32977,""IDENTITAS UNIT!D9"")"),"#N/A")</f>
        <v>#N/A</v>
      </c>
      <c r="H32977" s="4" t="str">
        <v/>
      </c>
      <c r="I32977" s="4" t="str">
        <v/>
      </c>
    </row>
    <row r="32978" spans="5:9" ht="16.5" hidden="1">
      <c r="E32978" s="4" t="str">
        <v/>
      </c>
      <c r="F32978" s="102" t="str">
        <f ca="1">IFERROR(__xludf.DUMMYFUNCTION("IMPORTRANGE(H32978,""IDENTITAS UNIT!D9"")"),"#N/A")</f>
        <v>#N/A</v>
      </c>
      <c r="H32978" s="4" t="str">
        <v/>
      </c>
      <c r="I32978" s="4" t="str">
        <v/>
      </c>
    </row>
    <row r="32979" spans="5:9" ht="16.5" hidden="1">
      <c r="E32979" s="4" t="str">
        <v/>
      </c>
      <c r="F32979" s="102" t="str">
        <f ca="1">IFERROR(__xludf.DUMMYFUNCTION("IMPORTRANGE(H32979,""IDENTITAS UNIT!D9"")"),"#N/A")</f>
        <v>#N/A</v>
      </c>
      <c r="H32979" s="4" t="str">
        <v/>
      </c>
      <c r="I32979" s="4" t="str">
        <v/>
      </c>
    </row>
    <row r="32980" spans="5:9" ht="16.5" hidden="1">
      <c r="E32980" s="4" t="str">
        <v/>
      </c>
      <c r="F32980" s="102" t="str">
        <f ca="1">IFERROR(__xludf.DUMMYFUNCTION("IMPORTRANGE(H32980,""IDENTITAS UNIT!D9"")"),"#N/A")</f>
        <v>#N/A</v>
      </c>
      <c r="H32980" s="4" t="str">
        <v/>
      </c>
      <c r="I32980" s="4" t="str">
        <v/>
      </c>
    </row>
    <row r="32981" spans="5:9" ht="16.5" hidden="1">
      <c r="E32981" s="4" t="str">
        <v/>
      </c>
      <c r="F32981" s="102" t="str">
        <f ca="1">IFERROR(__xludf.DUMMYFUNCTION("IMPORTRANGE(H32981,""IDENTITAS UNIT!D9"")"),"#N/A")</f>
        <v>#N/A</v>
      </c>
      <c r="H32981" s="4" t="str">
        <v/>
      </c>
      <c r="I32981" s="4" t="str">
        <v/>
      </c>
    </row>
    <row r="32982" spans="5:9" ht="16.5" hidden="1">
      <c r="E32982" s="4" t="str">
        <v/>
      </c>
      <c r="F32982" s="102" t="str">
        <f ca="1">IFERROR(__xludf.DUMMYFUNCTION("IMPORTRANGE(H32982,""IDENTITAS UNIT!D9"")"),"#N/A")</f>
        <v>#N/A</v>
      </c>
      <c r="H32982" s="4" t="str">
        <v/>
      </c>
      <c r="I32982" s="4" t="str">
        <v/>
      </c>
    </row>
    <row r="32983" spans="5:9" ht="16.5" hidden="1">
      <c r="E32983" s="4" t="str">
        <v/>
      </c>
      <c r="F32983" s="102" t="str">
        <f ca="1">IFERROR(__xludf.DUMMYFUNCTION("IMPORTRANGE(H32983,""IDENTITAS UNIT!D9"")"),"#N/A")</f>
        <v>#N/A</v>
      </c>
      <c r="H32983" s="4" t="str">
        <v/>
      </c>
      <c r="I32983" s="4" t="str">
        <v/>
      </c>
    </row>
    <row r="32984" spans="5:9" ht="16.5" hidden="1">
      <c r="E32984" s="4" t="str">
        <v/>
      </c>
      <c r="F32984" s="102" t="str">
        <f ca="1">IFERROR(__xludf.DUMMYFUNCTION("IMPORTRANGE(H32984,""IDENTITAS UNIT!D9"")"),"#N/A")</f>
        <v>#N/A</v>
      </c>
      <c r="H32984" s="4" t="str">
        <v/>
      </c>
      <c r="I32984" s="4" t="str">
        <v/>
      </c>
    </row>
    <row r="32985" spans="5:9" ht="16.5" hidden="1">
      <c r="E32985" s="4" t="str">
        <v/>
      </c>
      <c r="F32985" s="102" t="str">
        <f ca="1">IFERROR(__xludf.DUMMYFUNCTION("IMPORTRANGE(H32985,""IDENTITAS UNIT!D9"")"),"#N/A")</f>
        <v>#N/A</v>
      </c>
      <c r="H32985" s="4" t="str">
        <v/>
      </c>
      <c r="I32985" s="4" t="str">
        <v/>
      </c>
    </row>
    <row r="32986" spans="5:9" ht="16.5" hidden="1">
      <c r="E32986" s="4" t="str">
        <v/>
      </c>
      <c r="F32986" s="102" t="str">
        <f ca="1">IFERROR(__xludf.DUMMYFUNCTION("IMPORTRANGE(H32986,""IDENTITAS UNIT!D9"")"),"#N/A")</f>
        <v>#N/A</v>
      </c>
      <c r="H32986" s="4" t="str">
        <v/>
      </c>
      <c r="I32986" s="4" t="str">
        <v/>
      </c>
    </row>
    <row r="32987" spans="5:9" ht="16.5" hidden="1">
      <c r="E32987" s="4" t="str">
        <v/>
      </c>
      <c r="F32987" s="102" t="str">
        <f ca="1">IFERROR(__xludf.DUMMYFUNCTION("IMPORTRANGE(H32987,""IDENTITAS UNIT!D9"")"),"#N/A")</f>
        <v>#N/A</v>
      </c>
      <c r="H32987" s="4" t="str">
        <v/>
      </c>
      <c r="I32987" s="4" t="str">
        <v/>
      </c>
    </row>
    <row r="32988" spans="5:9" ht="16.5" hidden="1">
      <c r="E32988" s="4" t="str">
        <v/>
      </c>
      <c r="F32988" s="102" t="str">
        <f ca="1">IFERROR(__xludf.DUMMYFUNCTION("IMPORTRANGE(H32988,""IDENTITAS UNIT!D9"")"),"#N/A")</f>
        <v>#N/A</v>
      </c>
      <c r="H32988" s="4" t="str">
        <v/>
      </c>
      <c r="I32988" s="4" t="str">
        <v/>
      </c>
    </row>
    <row r="32989" spans="5:9" ht="16.5" hidden="1">
      <c r="E32989" s="4" t="str">
        <v/>
      </c>
      <c r="F32989" s="102" t="str">
        <f ca="1">IFERROR(__xludf.DUMMYFUNCTION("IMPORTRANGE(H32989,""IDENTITAS UNIT!D9"")"),"#N/A")</f>
        <v>#N/A</v>
      </c>
      <c r="H32989" s="4" t="str">
        <v/>
      </c>
      <c r="I32989" s="4" t="str">
        <v/>
      </c>
    </row>
    <row r="32990" spans="5:9" ht="16.5" hidden="1">
      <c r="E32990" s="4" t="str">
        <v/>
      </c>
      <c r="F32990" s="102" t="str">
        <f ca="1">IFERROR(__xludf.DUMMYFUNCTION("IMPORTRANGE(H32990,""IDENTITAS UNIT!D9"")"),"#N/A")</f>
        <v>#N/A</v>
      </c>
      <c r="H32990" s="4" t="str">
        <v/>
      </c>
      <c r="I32990" s="4" t="str">
        <v/>
      </c>
    </row>
    <row r="32991" spans="5:9" ht="16.5" hidden="1">
      <c r="E32991" s="4" t="str">
        <v/>
      </c>
      <c r="F32991" s="102" t="str">
        <f ca="1">IFERROR(__xludf.DUMMYFUNCTION("IMPORTRANGE(H32991,""IDENTITAS UNIT!D9"")"),"#N/A")</f>
        <v>#N/A</v>
      </c>
      <c r="H32991" s="4" t="str">
        <v/>
      </c>
      <c r="I32991" s="4" t="str">
        <v/>
      </c>
    </row>
    <row r="32992" spans="5:9" ht="16.5" hidden="1">
      <c r="E32992" s="4" t="str">
        <v/>
      </c>
      <c r="F32992" s="102" t="str">
        <f ca="1">IFERROR(__xludf.DUMMYFUNCTION("IMPORTRANGE(H32992,""IDENTITAS UNIT!D9"")"),"#N/A")</f>
        <v>#N/A</v>
      </c>
      <c r="H32992" s="4" t="str">
        <v/>
      </c>
      <c r="I32992" s="4" t="str">
        <v/>
      </c>
    </row>
    <row r="32993" spans="5:9" ht="16.5" hidden="1">
      <c r="E32993" s="4" t="str">
        <v/>
      </c>
      <c r="F32993" s="102" t="str">
        <f ca="1">IFERROR(__xludf.DUMMYFUNCTION("IMPORTRANGE(H32993,""IDENTITAS UNIT!D9"")"),"#N/A")</f>
        <v>#N/A</v>
      </c>
      <c r="H32993" s="4" t="str">
        <v/>
      </c>
      <c r="I32993" s="4" t="str">
        <v/>
      </c>
    </row>
    <row r="32994" spans="5:9" ht="16.5" hidden="1">
      <c r="E32994" s="4" t="str">
        <v/>
      </c>
      <c r="F32994" s="102" t="str">
        <f ca="1">IFERROR(__xludf.DUMMYFUNCTION("IMPORTRANGE(H32994,""IDENTITAS UNIT!D9"")"),"#N/A")</f>
        <v>#N/A</v>
      </c>
      <c r="H32994" s="4" t="str">
        <v/>
      </c>
      <c r="I32994" s="4" t="str">
        <v/>
      </c>
    </row>
    <row r="32995" spans="5:9" ht="16.5" hidden="1">
      <c r="E32995" s="4" t="str">
        <v/>
      </c>
      <c r="F32995" s="102" t="str">
        <f ca="1">IFERROR(__xludf.DUMMYFUNCTION("IMPORTRANGE(H32995,""IDENTITAS UNIT!D9"")"),"#N/A")</f>
        <v>#N/A</v>
      </c>
      <c r="H32995" s="4" t="str">
        <v/>
      </c>
      <c r="I32995" s="4" t="str">
        <v/>
      </c>
    </row>
    <row r="32996" spans="5:9" ht="16.5" hidden="1">
      <c r="E32996" s="4" t="str">
        <v/>
      </c>
      <c r="F32996" s="102" t="str">
        <f ca="1">IFERROR(__xludf.DUMMYFUNCTION("IMPORTRANGE(H32996,""IDENTITAS UNIT!D9"")"),"#N/A")</f>
        <v>#N/A</v>
      </c>
      <c r="H32996" s="4" t="str">
        <v/>
      </c>
      <c r="I32996" s="4" t="str">
        <v/>
      </c>
    </row>
    <row r="32997" spans="5:9" ht="16.5" hidden="1">
      <c r="E32997" s="4" t="str">
        <v/>
      </c>
      <c r="F32997" s="102" t="str">
        <f ca="1">IFERROR(__xludf.DUMMYFUNCTION("IMPORTRANGE(H32997,""IDENTITAS UNIT!D9"")"),"#N/A")</f>
        <v>#N/A</v>
      </c>
      <c r="H32997" s="4" t="str">
        <v/>
      </c>
      <c r="I32997" s="4" t="str">
        <v/>
      </c>
    </row>
    <row r="32998" spans="5:9" ht="16.5" hidden="1">
      <c r="E32998" s="4" t="str">
        <v/>
      </c>
      <c r="F32998" s="102" t="str">
        <f ca="1">IFERROR(__xludf.DUMMYFUNCTION("IMPORTRANGE(H32998,""IDENTITAS UNIT!D9"")"),"#N/A")</f>
        <v>#N/A</v>
      </c>
      <c r="H32998" s="4" t="str">
        <v/>
      </c>
      <c r="I32998" s="4" t="str">
        <v/>
      </c>
    </row>
    <row r="32999" spans="5:9" ht="16.5" hidden="1">
      <c r="E32999" s="4" t="str">
        <v/>
      </c>
      <c r="F32999" s="102" t="str">
        <f ca="1">IFERROR(__xludf.DUMMYFUNCTION("IMPORTRANGE(H32999,""IDENTITAS UNIT!D9"")"),"#N/A")</f>
        <v>#N/A</v>
      </c>
      <c r="H32999" s="4" t="str">
        <v/>
      </c>
      <c r="I32999" s="4" t="str">
        <v/>
      </c>
    </row>
    <row r="33000" spans="5:9" ht="16.5" hidden="1">
      <c r="E33000" s="4" t="str">
        <v/>
      </c>
      <c r="F33000" s="102" t="str">
        <f ca="1">IFERROR(__xludf.DUMMYFUNCTION("IMPORTRANGE(H33000,""IDENTITAS UNIT!D9"")"),"#N/A")</f>
        <v>#N/A</v>
      </c>
      <c r="H33000" s="4" t="str">
        <v/>
      </c>
      <c r="I33000" s="4" t="str">
        <v/>
      </c>
    </row>
    <row r="33001" spans="5:9" ht="16.5" hidden="1">
      <c r="E33001" s="4" t="str">
        <v/>
      </c>
      <c r="F33001" s="102" t="str">
        <f ca="1">IFERROR(__xludf.DUMMYFUNCTION("IMPORTRANGE(H33001,""IDENTITAS UNIT!D9"")"),"#N/A")</f>
        <v>#N/A</v>
      </c>
      <c r="H33001" s="4" t="str">
        <v/>
      </c>
      <c r="I33001" s="4" t="str">
        <v/>
      </c>
    </row>
    <row r="33002" spans="5:9" ht="16.5" hidden="1">
      <c r="E33002" s="4" t="str">
        <v/>
      </c>
      <c r="F33002" s="102" t="str">
        <f ca="1">IFERROR(__xludf.DUMMYFUNCTION("IMPORTRANGE(H33002,""IDENTITAS UNIT!D9"")"),"#N/A")</f>
        <v>#N/A</v>
      </c>
      <c r="H33002" s="4" t="str">
        <v/>
      </c>
      <c r="I33002" s="4" t="str">
        <v/>
      </c>
    </row>
    <row r="33003" spans="5:9" ht="16.5" hidden="1">
      <c r="E33003" s="4" t="str">
        <v/>
      </c>
      <c r="F33003" s="102" t="str">
        <f ca="1">IFERROR(__xludf.DUMMYFUNCTION("IMPORTRANGE(H33003,""IDENTITAS UNIT!D9"")"),"#N/A")</f>
        <v>#N/A</v>
      </c>
      <c r="H33003" s="4" t="str">
        <v/>
      </c>
      <c r="I33003" s="4" t="str">
        <v/>
      </c>
    </row>
    <row r="33004" spans="5:9" ht="16.5" hidden="1">
      <c r="E33004" s="4" t="str">
        <v/>
      </c>
      <c r="F33004" s="102" t="str">
        <f ca="1">IFERROR(__xludf.DUMMYFUNCTION("IMPORTRANGE(H33004,""IDENTITAS UNIT!D9"")"),"#N/A")</f>
        <v>#N/A</v>
      </c>
      <c r="H33004" s="4" t="str">
        <v/>
      </c>
      <c r="I33004" s="4" t="str">
        <v/>
      </c>
    </row>
    <row r="33005" spans="5:9" ht="16.5" hidden="1">
      <c r="E33005" s="4" t="str">
        <v/>
      </c>
      <c r="F33005" s="102" t="str">
        <f ca="1">IFERROR(__xludf.DUMMYFUNCTION("IMPORTRANGE(H33005,""IDENTITAS UNIT!D9"")"),"#N/A")</f>
        <v>#N/A</v>
      </c>
      <c r="H33005" s="4" t="str">
        <v/>
      </c>
      <c r="I33005" s="4" t="str">
        <v/>
      </c>
    </row>
    <row r="33006" spans="5:9" ht="16.5" hidden="1">
      <c r="E33006" s="4" t="str">
        <v/>
      </c>
      <c r="F33006" s="102" t="str">
        <f ca="1">IFERROR(__xludf.DUMMYFUNCTION("IMPORTRANGE(H33006,""IDENTITAS UNIT!D9"")"),"#N/A")</f>
        <v>#N/A</v>
      </c>
      <c r="H33006" s="4" t="str">
        <v/>
      </c>
      <c r="I33006" s="4" t="str">
        <v/>
      </c>
    </row>
    <row r="33007" spans="5:9" ht="16.5" hidden="1">
      <c r="E33007" s="4" t="str">
        <v/>
      </c>
      <c r="F33007" s="102" t="str">
        <f ca="1">IFERROR(__xludf.DUMMYFUNCTION("IMPORTRANGE(H33007,""IDENTITAS UNIT!D9"")"),"#N/A")</f>
        <v>#N/A</v>
      </c>
      <c r="H33007" s="4" t="str">
        <v/>
      </c>
      <c r="I33007" s="4" t="str">
        <v/>
      </c>
    </row>
    <row r="33008" spans="5:9" ht="16.5" hidden="1">
      <c r="E33008" s="4" t="str">
        <v/>
      </c>
      <c r="F33008" s="102" t="str">
        <f ca="1">IFERROR(__xludf.DUMMYFUNCTION("IMPORTRANGE(H33008,""IDENTITAS UNIT!D9"")"),"#N/A")</f>
        <v>#N/A</v>
      </c>
      <c r="H33008" s="4" t="str">
        <v/>
      </c>
      <c r="I33008" s="4" t="str">
        <v/>
      </c>
    </row>
    <row r="33009" spans="5:9" ht="16.5" hidden="1">
      <c r="E33009" s="4" t="str">
        <v/>
      </c>
      <c r="F33009" s="102" t="str">
        <f ca="1">IFERROR(__xludf.DUMMYFUNCTION("IMPORTRANGE(H33009,""IDENTITAS UNIT!D9"")"),"#N/A")</f>
        <v>#N/A</v>
      </c>
      <c r="H33009" s="4" t="str">
        <v/>
      </c>
      <c r="I33009" s="4" t="str">
        <v/>
      </c>
    </row>
    <row r="33010" spans="5:9" ht="16.5" hidden="1">
      <c r="E33010" s="4" t="str">
        <v/>
      </c>
      <c r="F33010" s="102" t="str">
        <f ca="1">IFERROR(__xludf.DUMMYFUNCTION("IMPORTRANGE(H33010,""IDENTITAS UNIT!D9"")"),"#N/A")</f>
        <v>#N/A</v>
      </c>
      <c r="H33010" s="4" t="str">
        <v/>
      </c>
      <c r="I33010" s="4" t="str">
        <v/>
      </c>
    </row>
    <row r="33011" spans="5:9" ht="16.5" hidden="1">
      <c r="E33011" s="4" t="str">
        <v/>
      </c>
      <c r="F33011" s="102" t="str">
        <f ca="1">IFERROR(__xludf.DUMMYFUNCTION("IMPORTRANGE(H33011,""IDENTITAS UNIT!D9"")"),"#N/A")</f>
        <v>#N/A</v>
      </c>
      <c r="H33011" s="4" t="str">
        <v/>
      </c>
      <c r="I33011" s="4" t="str">
        <v/>
      </c>
    </row>
    <row r="33012" spans="5:9" ht="16.5" hidden="1">
      <c r="E33012" s="4" t="str">
        <v/>
      </c>
      <c r="F33012" s="102" t="str">
        <f ca="1">IFERROR(__xludf.DUMMYFUNCTION("IMPORTRANGE(H33012,""IDENTITAS UNIT!D9"")"),"#N/A")</f>
        <v>#N/A</v>
      </c>
      <c r="H33012" s="4" t="str">
        <v/>
      </c>
      <c r="I33012" s="4" t="str">
        <v/>
      </c>
    </row>
    <row r="33013" spans="5:9" ht="16.5" hidden="1">
      <c r="E33013" s="4" t="str">
        <v/>
      </c>
      <c r="F33013" s="102" t="str">
        <f ca="1">IFERROR(__xludf.DUMMYFUNCTION("IMPORTRANGE(H33013,""IDENTITAS UNIT!D9"")"),"#N/A")</f>
        <v>#N/A</v>
      </c>
      <c r="H33013" s="4" t="str">
        <v/>
      </c>
      <c r="I33013" s="4" t="str">
        <v/>
      </c>
    </row>
    <row r="33014" spans="5:9" ht="16.5" hidden="1">
      <c r="E33014" s="4" t="str">
        <v/>
      </c>
      <c r="F33014" s="102" t="str">
        <f ca="1">IFERROR(__xludf.DUMMYFUNCTION("IMPORTRANGE(H33014,""IDENTITAS UNIT!D9"")"),"#N/A")</f>
        <v>#N/A</v>
      </c>
      <c r="H33014" s="4" t="str">
        <v/>
      </c>
      <c r="I33014" s="4" t="str">
        <v/>
      </c>
    </row>
    <row r="33015" spans="5:9" ht="16.5" hidden="1">
      <c r="E33015" s="4" t="str">
        <v/>
      </c>
      <c r="F33015" s="102" t="str">
        <f ca="1">IFERROR(__xludf.DUMMYFUNCTION("IMPORTRANGE(H33015,""IDENTITAS UNIT!D9"")"),"#N/A")</f>
        <v>#N/A</v>
      </c>
      <c r="H33015" s="4" t="str">
        <v/>
      </c>
      <c r="I33015" s="4" t="str">
        <v/>
      </c>
    </row>
    <row r="33016" spans="5:9" ht="16.5" hidden="1">
      <c r="E33016" s="4" t="str">
        <v/>
      </c>
      <c r="F33016" s="102" t="str">
        <f ca="1">IFERROR(__xludf.DUMMYFUNCTION("IMPORTRANGE(H33016,""IDENTITAS UNIT!D9"")"),"#N/A")</f>
        <v>#N/A</v>
      </c>
      <c r="H33016" s="4" t="str">
        <v/>
      </c>
      <c r="I33016" s="4" t="str">
        <v/>
      </c>
    </row>
    <row r="33017" spans="5:9" ht="16.5" hidden="1">
      <c r="E33017" s="4" t="str">
        <v/>
      </c>
      <c r="F33017" s="102" t="str">
        <f ca="1">IFERROR(__xludf.DUMMYFUNCTION("IMPORTRANGE(H33017,""IDENTITAS UNIT!D9"")"),"#N/A")</f>
        <v>#N/A</v>
      </c>
      <c r="H33017" s="4" t="str">
        <v/>
      </c>
      <c r="I33017" s="4" t="str">
        <v/>
      </c>
    </row>
    <row r="33018" spans="5:9" ht="16.5" hidden="1">
      <c r="E33018" s="4" t="str">
        <v/>
      </c>
      <c r="F33018" s="102" t="str">
        <f ca="1">IFERROR(__xludf.DUMMYFUNCTION("IMPORTRANGE(H33018,""IDENTITAS UNIT!D9"")"),"#N/A")</f>
        <v>#N/A</v>
      </c>
      <c r="H33018" s="4" t="str">
        <v/>
      </c>
      <c r="I33018" s="4" t="str">
        <v/>
      </c>
    </row>
    <row r="33019" spans="5:9" ht="16.5" hidden="1">
      <c r="E33019" s="4" t="str">
        <v/>
      </c>
      <c r="F33019" s="102" t="str">
        <f ca="1">IFERROR(__xludf.DUMMYFUNCTION("IMPORTRANGE(H33019,""IDENTITAS UNIT!D9"")"),"#N/A")</f>
        <v>#N/A</v>
      </c>
      <c r="H33019" s="4" t="str">
        <v/>
      </c>
      <c r="I33019" s="4" t="str">
        <v/>
      </c>
    </row>
    <row r="33020" spans="5:9" ht="16.5" hidden="1">
      <c r="E33020" s="4" t="str">
        <v/>
      </c>
      <c r="F33020" s="102" t="str">
        <f ca="1">IFERROR(__xludf.DUMMYFUNCTION("IMPORTRANGE(H33020,""IDENTITAS UNIT!D9"")"),"#N/A")</f>
        <v>#N/A</v>
      </c>
      <c r="H33020" s="4" t="str">
        <v/>
      </c>
      <c r="I33020" s="4" t="str">
        <v/>
      </c>
    </row>
    <row r="33021" spans="5:9" ht="16.5" hidden="1">
      <c r="E33021" s="4" t="str">
        <v/>
      </c>
      <c r="F33021" s="102" t="str">
        <f ca="1">IFERROR(__xludf.DUMMYFUNCTION("IMPORTRANGE(H33021,""IDENTITAS UNIT!D9"")"),"#N/A")</f>
        <v>#N/A</v>
      </c>
      <c r="H33021" s="4" t="str">
        <v/>
      </c>
      <c r="I33021" s="4" t="str">
        <v/>
      </c>
    </row>
    <row r="33022" spans="5:9" ht="16.5" hidden="1">
      <c r="E33022" s="4" t="str">
        <v/>
      </c>
      <c r="F33022" s="102" t="str">
        <f ca="1">IFERROR(__xludf.DUMMYFUNCTION("IMPORTRANGE(H33022,""IDENTITAS UNIT!D9"")"),"#N/A")</f>
        <v>#N/A</v>
      </c>
      <c r="H33022" s="4" t="str">
        <v/>
      </c>
      <c r="I33022" s="4" t="str">
        <v/>
      </c>
    </row>
    <row r="33023" spans="5:9" ht="16.5" hidden="1">
      <c r="E33023" s="4" t="str">
        <v/>
      </c>
      <c r="F33023" s="102" t="str">
        <f ca="1">IFERROR(__xludf.DUMMYFUNCTION("IMPORTRANGE(H33023,""IDENTITAS UNIT!D9"")"),"#N/A")</f>
        <v>#N/A</v>
      </c>
      <c r="H33023" s="4" t="str">
        <v/>
      </c>
      <c r="I33023" s="4" t="str">
        <v/>
      </c>
    </row>
    <row r="33024" spans="5:9" ht="16.5" hidden="1">
      <c r="E33024" s="4" t="str">
        <v/>
      </c>
      <c r="F33024" s="102" t="str">
        <f ca="1">IFERROR(__xludf.DUMMYFUNCTION("IMPORTRANGE(H33024,""IDENTITAS UNIT!D9"")"),"#N/A")</f>
        <v>#N/A</v>
      </c>
      <c r="H33024" s="4" t="str">
        <v/>
      </c>
      <c r="I33024" s="4" t="str">
        <v/>
      </c>
    </row>
    <row r="33025" spans="5:9" ht="16.5" hidden="1">
      <c r="E33025" s="4" t="str">
        <v/>
      </c>
      <c r="F33025" s="102" t="str">
        <f ca="1">IFERROR(__xludf.DUMMYFUNCTION("IMPORTRANGE(H33025,""IDENTITAS UNIT!D9"")"),"#N/A")</f>
        <v>#N/A</v>
      </c>
      <c r="H33025" s="4" t="str">
        <v/>
      </c>
      <c r="I33025" s="4" t="str">
        <v/>
      </c>
    </row>
    <row r="33026" spans="5:9" ht="16.5" hidden="1">
      <c r="E33026" s="4" t="str">
        <v/>
      </c>
      <c r="F33026" s="102" t="str">
        <f ca="1">IFERROR(__xludf.DUMMYFUNCTION("IMPORTRANGE(H33026,""IDENTITAS UNIT!D9"")"),"#N/A")</f>
        <v>#N/A</v>
      </c>
      <c r="H33026" s="4" t="str">
        <v/>
      </c>
      <c r="I33026" s="4" t="str">
        <v/>
      </c>
    </row>
    <row r="33027" spans="5:9" ht="16.5" hidden="1">
      <c r="E33027" s="4" t="str">
        <v/>
      </c>
      <c r="F33027" s="102" t="str">
        <f ca="1">IFERROR(__xludf.DUMMYFUNCTION("IMPORTRANGE(H33027,""IDENTITAS UNIT!D9"")"),"#N/A")</f>
        <v>#N/A</v>
      </c>
      <c r="H33027" s="4" t="str">
        <v/>
      </c>
      <c r="I33027" s="4" t="str">
        <v/>
      </c>
    </row>
    <row r="33028" spans="5:9" ht="16.5" hidden="1">
      <c r="E33028" s="4" t="str">
        <v/>
      </c>
      <c r="F33028" s="102" t="str">
        <f ca="1">IFERROR(__xludf.DUMMYFUNCTION("IMPORTRANGE(H33028,""IDENTITAS UNIT!D9"")"),"#N/A")</f>
        <v>#N/A</v>
      </c>
      <c r="H33028" s="4" t="str">
        <v/>
      </c>
      <c r="I33028" s="4" t="str">
        <v/>
      </c>
    </row>
    <row r="33029" spans="5:9" ht="16.5" hidden="1">
      <c r="E33029" s="4" t="str">
        <v/>
      </c>
      <c r="F33029" s="102" t="str">
        <f ca="1">IFERROR(__xludf.DUMMYFUNCTION("IMPORTRANGE(H33029,""IDENTITAS UNIT!D9"")"),"#N/A")</f>
        <v>#N/A</v>
      </c>
      <c r="H33029" s="4" t="str">
        <v/>
      </c>
      <c r="I33029" s="4" t="str">
        <v/>
      </c>
    </row>
    <row r="33030" spans="5:9" ht="16.5" hidden="1">
      <c r="E33030" s="4" t="str">
        <v/>
      </c>
      <c r="F33030" s="102" t="str">
        <f ca="1">IFERROR(__xludf.DUMMYFUNCTION("IMPORTRANGE(H33030,""IDENTITAS UNIT!D9"")"),"#N/A")</f>
        <v>#N/A</v>
      </c>
      <c r="H33030" s="4" t="str">
        <v/>
      </c>
      <c r="I33030" s="4" t="str">
        <v/>
      </c>
    </row>
    <row r="33031" spans="5:9" ht="16.5" hidden="1">
      <c r="E33031" s="4" t="str">
        <v/>
      </c>
      <c r="F33031" s="102" t="str">
        <f ca="1">IFERROR(__xludf.DUMMYFUNCTION("IMPORTRANGE(H33031,""IDENTITAS UNIT!D9"")"),"#N/A")</f>
        <v>#N/A</v>
      </c>
      <c r="H33031" s="4" t="str">
        <v/>
      </c>
      <c r="I33031" s="4" t="str">
        <v/>
      </c>
    </row>
    <row r="33032" spans="5:9" ht="16.5" hidden="1">
      <c r="E33032" s="4" t="str">
        <v/>
      </c>
      <c r="F33032" s="102" t="str">
        <f ca="1">IFERROR(__xludf.DUMMYFUNCTION("IMPORTRANGE(H33032,""IDENTITAS UNIT!D9"")"),"#N/A")</f>
        <v>#N/A</v>
      </c>
      <c r="H33032" s="4" t="str">
        <v/>
      </c>
      <c r="I33032" s="4" t="str">
        <v/>
      </c>
    </row>
    <row r="33033" spans="5:9" ht="16.5" hidden="1">
      <c r="E33033" s="4" t="str">
        <v/>
      </c>
      <c r="F33033" s="102" t="str">
        <f ca="1">IFERROR(__xludf.DUMMYFUNCTION("IMPORTRANGE(H33033,""IDENTITAS UNIT!D9"")"),"#N/A")</f>
        <v>#N/A</v>
      </c>
      <c r="H33033" s="4" t="str">
        <v/>
      </c>
      <c r="I33033" s="4" t="str">
        <v/>
      </c>
    </row>
    <row r="33034" spans="5:9" ht="16.5" hidden="1">
      <c r="E33034" s="4" t="str">
        <v/>
      </c>
      <c r="F33034" s="102" t="str">
        <f ca="1">IFERROR(__xludf.DUMMYFUNCTION("IMPORTRANGE(H33034,""IDENTITAS UNIT!D9"")"),"#N/A")</f>
        <v>#N/A</v>
      </c>
      <c r="H33034" s="4" t="str">
        <v/>
      </c>
      <c r="I33034" s="4" t="str">
        <v/>
      </c>
    </row>
    <row r="33035" spans="5:9" ht="16.5" hidden="1">
      <c r="E33035" s="4" t="str">
        <v/>
      </c>
      <c r="F33035" s="102" t="str">
        <f ca="1">IFERROR(__xludf.DUMMYFUNCTION("IMPORTRANGE(H33035,""IDENTITAS UNIT!D9"")"),"#N/A")</f>
        <v>#N/A</v>
      </c>
      <c r="H33035" s="4" t="str">
        <v/>
      </c>
      <c r="I33035" s="4" t="str">
        <v/>
      </c>
    </row>
    <row r="33036" spans="5:9" ht="16.5" hidden="1">
      <c r="E33036" s="4" t="str">
        <v/>
      </c>
      <c r="F33036" s="102" t="str">
        <f ca="1">IFERROR(__xludf.DUMMYFUNCTION("IMPORTRANGE(H33036,""IDENTITAS UNIT!D9"")"),"#N/A")</f>
        <v>#N/A</v>
      </c>
      <c r="H33036" s="4" t="str">
        <v/>
      </c>
      <c r="I33036" s="4" t="str">
        <v/>
      </c>
    </row>
    <row r="33037" spans="5:9" ht="16.5" hidden="1">
      <c r="E33037" s="4" t="str">
        <v/>
      </c>
      <c r="F33037" s="102" t="str">
        <f ca="1">IFERROR(__xludf.DUMMYFUNCTION("IMPORTRANGE(H33037,""IDENTITAS UNIT!D9"")"),"#N/A")</f>
        <v>#N/A</v>
      </c>
      <c r="H33037" s="4" t="str">
        <v/>
      </c>
      <c r="I33037" s="4" t="str">
        <v/>
      </c>
    </row>
    <row r="33038" spans="5:9" ht="16.5" hidden="1">
      <c r="E33038" s="4" t="str">
        <v/>
      </c>
      <c r="F33038" s="102" t="str">
        <f ca="1">IFERROR(__xludf.DUMMYFUNCTION("IMPORTRANGE(H33038,""IDENTITAS UNIT!D9"")"),"#N/A")</f>
        <v>#N/A</v>
      </c>
      <c r="H33038" s="4" t="str">
        <v/>
      </c>
      <c r="I33038" s="4" t="str">
        <v/>
      </c>
    </row>
    <row r="33039" spans="5:9" ht="16.5" hidden="1">
      <c r="E33039" s="4" t="str">
        <v/>
      </c>
      <c r="F33039" s="102" t="str">
        <f ca="1">IFERROR(__xludf.DUMMYFUNCTION("IMPORTRANGE(H33039,""IDENTITAS UNIT!D9"")"),"#N/A")</f>
        <v>#N/A</v>
      </c>
      <c r="H33039" s="4" t="str">
        <v/>
      </c>
      <c r="I33039" s="4" t="str">
        <v/>
      </c>
    </row>
    <row r="33040" spans="5:9" ht="16.5" hidden="1">
      <c r="E33040" s="4" t="str">
        <v/>
      </c>
      <c r="F33040" s="102" t="str">
        <f ca="1">IFERROR(__xludf.DUMMYFUNCTION("IMPORTRANGE(H33040,""IDENTITAS UNIT!D9"")"),"#N/A")</f>
        <v>#N/A</v>
      </c>
      <c r="H33040" s="4" t="str">
        <v/>
      </c>
      <c r="I33040" s="4" t="str">
        <v/>
      </c>
    </row>
    <row r="33041" spans="5:9" ht="16.5" hidden="1">
      <c r="E33041" s="4" t="str">
        <v/>
      </c>
      <c r="F33041" s="102" t="str">
        <f ca="1">IFERROR(__xludf.DUMMYFUNCTION("IMPORTRANGE(H33041,""IDENTITAS UNIT!D9"")"),"#N/A")</f>
        <v>#N/A</v>
      </c>
      <c r="H33041" s="4" t="str">
        <v/>
      </c>
      <c r="I33041" s="4" t="str">
        <v/>
      </c>
    </row>
    <row r="33042" spans="5:9" ht="16.5" hidden="1">
      <c r="E33042" s="4" t="str">
        <v/>
      </c>
      <c r="F33042" s="102" t="str">
        <f ca="1">IFERROR(__xludf.DUMMYFUNCTION("IMPORTRANGE(H33042,""IDENTITAS UNIT!D9"")"),"#N/A")</f>
        <v>#N/A</v>
      </c>
      <c r="H33042" s="4" t="str">
        <v/>
      </c>
      <c r="I33042" s="4" t="str">
        <v/>
      </c>
    </row>
    <row r="33043" spans="5:9" ht="16.5" hidden="1">
      <c r="E33043" s="4" t="str">
        <v/>
      </c>
      <c r="F33043" s="102" t="str">
        <f ca="1">IFERROR(__xludf.DUMMYFUNCTION("IMPORTRANGE(H33043,""IDENTITAS UNIT!D9"")"),"#N/A")</f>
        <v>#N/A</v>
      </c>
      <c r="H33043" s="4" t="str">
        <v/>
      </c>
      <c r="I33043" s="4" t="str">
        <v/>
      </c>
    </row>
    <row r="33044" spans="5:9" ht="16.5" hidden="1">
      <c r="E33044" s="4" t="str">
        <v/>
      </c>
      <c r="F33044" s="102" t="str">
        <f ca="1">IFERROR(__xludf.DUMMYFUNCTION("IMPORTRANGE(H33044,""IDENTITAS UNIT!D9"")"),"#N/A")</f>
        <v>#N/A</v>
      </c>
      <c r="H33044" s="4" t="str">
        <v/>
      </c>
      <c r="I33044" s="4" t="str">
        <v/>
      </c>
    </row>
    <row r="33045" spans="5:9" ht="16.5" hidden="1">
      <c r="E33045" s="4" t="str">
        <v/>
      </c>
      <c r="F33045" s="102" t="str">
        <f ca="1">IFERROR(__xludf.DUMMYFUNCTION("IMPORTRANGE(H33045,""IDENTITAS UNIT!D9"")"),"#N/A")</f>
        <v>#N/A</v>
      </c>
      <c r="H33045" s="4" t="str">
        <v/>
      </c>
      <c r="I33045" s="4" t="str">
        <v/>
      </c>
    </row>
    <row r="33046" spans="5:9" ht="16.5" hidden="1">
      <c r="E33046" s="4" t="str">
        <v/>
      </c>
      <c r="F33046" s="102" t="str">
        <f ca="1">IFERROR(__xludf.DUMMYFUNCTION("IMPORTRANGE(H33046,""IDENTITAS UNIT!D9"")"),"#N/A")</f>
        <v>#N/A</v>
      </c>
      <c r="H33046" s="4" t="str">
        <v/>
      </c>
      <c r="I33046" s="4" t="str">
        <v/>
      </c>
    </row>
    <row r="33047" spans="5:9" ht="16.5" hidden="1">
      <c r="E33047" s="4" t="str">
        <v/>
      </c>
      <c r="F33047" s="102" t="str">
        <f ca="1">IFERROR(__xludf.DUMMYFUNCTION("IMPORTRANGE(H33047,""IDENTITAS UNIT!D9"")"),"#N/A")</f>
        <v>#N/A</v>
      </c>
      <c r="H33047" s="4" t="str">
        <v/>
      </c>
      <c r="I33047" s="4" t="str">
        <v/>
      </c>
    </row>
    <row r="33048" spans="5:9" ht="16.5" hidden="1">
      <c r="E33048" s="4" t="str">
        <v/>
      </c>
      <c r="F33048" s="102" t="str">
        <f ca="1">IFERROR(__xludf.DUMMYFUNCTION("IMPORTRANGE(H33048,""IDENTITAS UNIT!D9"")"),"#N/A")</f>
        <v>#N/A</v>
      </c>
      <c r="H33048" s="4" t="str">
        <v/>
      </c>
      <c r="I33048" s="4" t="str">
        <v/>
      </c>
    </row>
    <row r="33049" spans="5:9" ht="16.5" hidden="1">
      <c r="E33049" s="4" t="str">
        <v/>
      </c>
      <c r="F33049" s="102" t="str">
        <f ca="1">IFERROR(__xludf.DUMMYFUNCTION("IMPORTRANGE(H33049,""IDENTITAS UNIT!D9"")"),"#N/A")</f>
        <v>#N/A</v>
      </c>
      <c r="H33049" s="4" t="str">
        <v/>
      </c>
      <c r="I33049" s="4" t="str">
        <v/>
      </c>
    </row>
    <row r="33050" spans="5:9" ht="16.5" hidden="1">
      <c r="E33050" s="4" t="str">
        <v/>
      </c>
      <c r="F33050" s="102" t="str">
        <f ca="1">IFERROR(__xludf.DUMMYFUNCTION("IMPORTRANGE(H33050,""IDENTITAS UNIT!D9"")"),"#N/A")</f>
        <v>#N/A</v>
      </c>
      <c r="H33050" s="4" t="str">
        <v/>
      </c>
      <c r="I33050" s="4" t="str">
        <v/>
      </c>
    </row>
    <row r="33051" spans="5:9" ht="16.5" hidden="1">
      <c r="E33051" s="4" t="str">
        <v/>
      </c>
      <c r="F33051" s="102" t="str">
        <f ca="1">IFERROR(__xludf.DUMMYFUNCTION("IMPORTRANGE(H33051,""IDENTITAS UNIT!D9"")"),"#N/A")</f>
        <v>#N/A</v>
      </c>
      <c r="H33051" s="4" t="str">
        <v/>
      </c>
      <c r="I33051" s="4" t="str">
        <v/>
      </c>
    </row>
    <row r="33052" spans="5:9" ht="16.5" hidden="1">
      <c r="E33052" s="4" t="str">
        <v/>
      </c>
      <c r="F33052" s="102" t="str">
        <f ca="1">IFERROR(__xludf.DUMMYFUNCTION("IMPORTRANGE(H33052,""IDENTITAS UNIT!D9"")"),"#N/A")</f>
        <v>#N/A</v>
      </c>
      <c r="H33052" s="4" t="str">
        <v/>
      </c>
      <c r="I33052" s="4" t="str">
        <v/>
      </c>
    </row>
    <row r="33053" spans="5:9" ht="16.5" hidden="1">
      <c r="E33053" s="4" t="str">
        <v/>
      </c>
      <c r="F33053" s="102" t="str">
        <f ca="1">IFERROR(__xludf.DUMMYFUNCTION("IMPORTRANGE(H33053,""IDENTITAS UNIT!D9"")"),"#N/A")</f>
        <v>#N/A</v>
      </c>
      <c r="H33053" s="4" t="str">
        <v/>
      </c>
      <c r="I33053" s="4" t="str">
        <v/>
      </c>
    </row>
    <row r="33054" spans="5:9" ht="16.5" hidden="1">
      <c r="E33054" s="4" t="str">
        <v/>
      </c>
      <c r="F33054" s="102" t="str">
        <f ca="1">IFERROR(__xludf.DUMMYFUNCTION("IMPORTRANGE(H33054,""IDENTITAS UNIT!D9"")"),"#N/A")</f>
        <v>#N/A</v>
      </c>
      <c r="H33054" s="4" t="str">
        <v/>
      </c>
      <c r="I33054" s="4" t="str">
        <v/>
      </c>
    </row>
    <row r="33055" spans="5:9" ht="16.5" hidden="1">
      <c r="E33055" s="4" t="str">
        <v/>
      </c>
      <c r="F33055" s="102" t="str">
        <f ca="1">IFERROR(__xludf.DUMMYFUNCTION("IMPORTRANGE(H33055,""IDENTITAS UNIT!D9"")"),"#N/A")</f>
        <v>#N/A</v>
      </c>
      <c r="H33055" s="4" t="str">
        <v/>
      </c>
      <c r="I33055" s="4" t="str">
        <v/>
      </c>
    </row>
    <row r="33056" spans="5:9" ht="16.5" hidden="1">
      <c r="E33056" s="4" t="str">
        <v/>
      </c>
      <c r="F33056" s="102" t="str">
        <f ca="1">IFERROR(__xludf.DUMMYFUNCTION("IMPORTRANGE(H33056,""IDENTITAS UNIT!D9"")"),"#N/A")</f>
        <v>#N/A</v>
      </c>
      <c r="H33056" s="4" t="str">
        <v/>
      </c>
      <c r="I33056" s="4" t="str">
        <v/>
      </c>
    </row>
    <row r="33057" spans="5:9" ht="16.5" hidden="1">
      <c r="E33057" s="4" t="str">
        <v/>
      </c>
      <c r="F33057" s="102" t="str">
        <f ca="1">IFERROR(__xludf.DUMMYFUNCTION("IMPORTRANGE(H33057,""IDENTITAS UNIT!D9"")"),"#N/A")</f>
        <v>#N/A</v>
      </c>
      <c r="H33057" s="4" t="str">
        <v/>
      </c>
      <c r="I33057" s="4" t="str">
        <v/>
      </c>
    </row>
    <row r="33058" spans="5:9" ht="16.5" hidden="1">
      <c r="E33058" s="4" t="str">
        <v/>
      </c>
      <c r="F33058" s="102" t="str">
        <f ca="1">IFERROR(__xludf.DUMMYFUNCTION("IMPORTRANGE(H33058,""IDENTITAS UNIT!D9"")"),"#N/A")</f>
        <v>#N/A</v>
      </c>
      <c r="H33058" s="4" t="str">
        <v/>
      </c>
      <c r="I33058" s="4" t="str">
        <v/>
      </c>
    </row>
    <row r="33059" spans="5:9" ht="16.5" hidden="1">
      <c r="E33059" s="4" t="str">
        <v/>
      </c>
      <c r="F33059" s="102" t="str">
        <f ca="1">IFERROR(__xludf.DUMMYFUNCTION("IMPORTRANGE(H33059,""IDENTITAS UNIT!D9"")"),"#N/A")</f>
        <v>#N/A</v>
      </c>
      <c r="H33059" s="4" t="str">
        <v/>
      </c>
      <c r="I33059" s="4" t="str">
        <v/>
      </c>
    </row>
    <row r="33060" spans="5:9" ht="16.5" hidden="1">
      <c r="E33060" s="4" t="str">
        <v/>
      </c>
      <c r="F33060" s="102" t="str">
        <f ca="1">IFERROR(__xludf.DUMMYFUNCTION("IMPORTRANGE(H33060,""IDENTITAS UNIT!D9"")"),"#N/A")</f>
        <v>#N/A</v>
      </c>
      <c r="H33060" s="4" t="str">
        <v/>
      </c>
      <c r="I33060" s="4" t="str">
        <v/>
      </c>
    </row>
    <row r="33061" spans="5:9" ht="16.5" hidden="1">
      <c r="E33061" s="4" t="str">
        <v/>
      </c>
      <c r="F33061" s="102" t="str">
        <f ca="1">IFERROR(__xludf.DUMMYFUNCTION("IMPORTRANGE(H33061,""IDENTITAS UNIT!D9"")"),"#N/A")</f>
        <v>#N/A</v>
      </c>
      <c r="H33061" s="4" t="str">
        <v/>
      </c>
      <c r="I33061" s="4" t="str">
        <v/>
      </c>
    </row>
    <row r="33062" spans="5:9" ht="16.5" hidden="1">
      <c r="E33062" s="4" t="str">
        <v/>
      </c>
      <c r="F33062" s="102" t="str">
        <f ca="1">IFERROR(__xludf.DUMMYFUNCTION("IMPORTRANGE(H33062,""IDENTITAS UNIT!D9"")"),"#N/A")</f>
        <v>#N/A</v>
      </c>
      <c r="H33062" s="4" t="str">
        <v/>
      </c>
      <c r="I33062" s="4" t="str">
        <v/>
      </c>
    </row>
    <row r="33063" spans="5:9" ht="16.5" hidden="1">
      <c r="E33063" s="4" t="str">
        <v/>
      </c>
      <c r="F33063" s="102" t="str">
        <f ca="1">IFERROR(__xludf.DUMMYFUNCTION("IMPORTRANGE(H33063,""IDENTITAS UNIT!D9"")"),"#N/A")</f>
        <v>#N/A</v>
      </c>
      <c r="H33063" s="4" t="str">
        <v/>
      </c>
      <c r="I33063" s="4" t="str">
        <v/>
      </c>
    </row>
    <row r="33064" spans="5:9" ht="16.5" hidden="1">
      <c r="E33064" s="4" t="str">
        <v/>
      </c>
      <c r="F33064" s="102" t="str">
        <f ca="1">IFERROR(__xludf.DUMMYFUNCTION("IMPORTRANGE(H33064,""IDENTITAS UNIT!D9"")"),"#N/A")</f>
        <v>#N/A</v>
      </c>
      <c r="H33064" s="4" t="str">
        <v/>
      </c>
      <c r="I33064" s="4" t="str">
        <v/>
      </c>
    </row>
    <row r="33065" spans="5:9" ht="16.5" hidden="1">
      <c r="E33065" s="4" t="str">
        <v/>
      </c>
      <c r="F33065" s="102" t="str">
        <f ca="1">IFERROR(__xludf.DUMMYFUNCTION("IMPORTRANGE(H33065,""IDENTITAS UNIT!D9"")"),"#N/A")</f>
        <v>#N/A</v>
      </c>
      <c r="H33065" s="4" t="str">
        <v/>
      </c>
      <c r="I33065" s="4" t="str">
        <v/>
      </c>
    </row>
    <row r="33066" spans="5:9" ht="16.5" hidden="1">
      <c r="E33066" s="4" t="str">
        <v/>
      </c>
      <c r="F33066" s="102" t="str">
        <f ca="1">IFERROR(__xludf.DUMMYFUNCTION("IMPORTRANGE(H33066,""IDENTITAS UNIT!D9"")"),"#N/A")</f>
        <v>#N/A</v>
      </c>
      <c r="H33066" s="4" t="str">
        <v/>
      </c>
      <c r="I33066" s="4" t="str">
        <v/>
      </c>
    </row>
    <row r="33067" spans="5:9" ht="16.5" hidden="1">
      <c r="E33067" s="4" t="str">
        <v/>
      </c>
      <c r="F33067" s="102" t="str">
        <f ca="1">IFERROR(__xludf.DUMMYFUNCTION("IMPORTRANGE(H33067,""IDENTITAS UNIT!D9"")"),"#N/A")</f>
        <v>#N/A</v>
      </c>
      <c r="H33067" s="4" t="str">
        <v/>
      </c>
      <c r="I33067" s="4" t="str">
        <v/>
      </c>
    </row>
    <row r="33068" spans="5:9" ht="16.5" hidden="1">
      <c r="E33068" s="4" t="str">
        <v/>
      </c>
      <c r="F33068" s="102" t="str">
        <f ca="1">IFERROR(__xludf.DUMMYFUNCTION("IMPORTRANGE(H33068,""IDENTITAS UNIT!D9"")"),"#N/A")</f>
        <v>#N/A</v>
      </c>
      <c r="H33068" s="4" t="str">
        <v/>
      </c>
      <c r="I33068" s="4" t="str">
        <v/>
      </c>
    </row>
    <row r="33069" spans="5:9" ht="16.5" hidden="1">
      <c r="E33069" s="4" t="str">
        <v/>
      </c>
      <c r="F33069" s="102" t="str">
        <f ca="1">IFERROR(__xludf.DUMMYFUNCTION("IMPORTRANGE(H33069,""IDENTITAS UNIT!D9"")"),"#N/A")</f>
        <v>#N/A</v>
      </c>
      <c r="H33069" s="4" t="str">
        <v/>
      </c>
      <c r="I33069" s="4" t="str">
        <v/>
      </c>
    </row>
    <row r="33070" spans="5:9" ht="16.5" hidden="1">
      <c r="E33070" s="4" t="str">
        <v/>
      </c>
      <c r="F33070" s="102" t="str">
        <f ca="1">IFERROR(__xludf.DUMMYFUNCTION("IMPORTRANGE(H33070,""IDENTITAS UNIT!D9"")"),"#N/A")</f>
        <v>#N/A</v>
      </c>
      <c r="H33070" s="4" t="str">
        <v/>
      </c>
      <c r="I33070" s="4" t="str">
        <v/>
      </c>
    </row>
    <row r="33071" spans="5:9" ht="16.5" hidden="1">
      <c r="E33071" s="4" t="str">
        <v/>
      </c>
      <c r="F33071" s="102" t="str">
        <f ca="1">IFERROR(__xludf.DUMMYFUNCTION("IMPORTRANGE(H33071,""IDENTITAS UNIT!D9"")"),"#N/A")</f>
        <v>#N/A</v>
      </c>
      <c r="H33071" s="4" t="str">
        <v/>
      </c>
      <c r="I33071" s="4" t="str">
        <v/>
      </c>
    </row>
    <row r="33072" spans="5:9" ht="16.5" hidden="1">
      <c r="E33072" s="4" t="str">
        <v/>
      </c>
      <c r="F33072" s="102" t="str">
        <f ca="1">IFERROR(__xludf.DUMMYFUNCTION("IMPORTRANGE(H33072,""IDENTITAS UNIT!D9"")"),"#N/A")</f>
        <v>#N/A</v>
      </c>
      <c r="H33072" s="4" t="str">
        <v/>
      </c>
      <c r="I33072" s="4" t="str">
        <v/>
      </c>
    </row>
    <row r="33073" spans="5:9" ht="16.5" hidden="1">
      <c r="E33073" s="4" t="str">
        <v/>
      </c>
      <c r="F33073" s="102" t="str">
        <f ca="1">IFERROR(__xludf.DUMMYFUNCTION("IMPORTRANGE(H33073,""IDENTITAS UNIT!D9"")"),"#N/A")</f>
        <v>#N/A</v>
      </c>
      <c r="H33073" s="4" t="str">
        <v/>
      </c>
      <c r="I33073" s="4" t="str">
        <v/>
      </c>
    </row>
    <row r="33074" spans="5:9" ht="16.5" hidden="1">
      <c r="E33074" s="4" t="str">
        <v/>
      </c>
      <c r="F33074" s="102" t="str">
        <f ca="1">IFERROR(__xludf.DUMMYFUNCTION("IMPORTRANGE(H33074,""IDENTITAS UNIT!D9"")"),"#N/A")</f>
        <v>#N/A</v>
      </c>
      <c r="H33074" s="4" t="str">
        <v/>
      </c>
      <c r="I33074" s="4" t="str">
        <v/>
      </c>
    </row>
    <row r="33075" spans="5:9" ht="16.5" hidden="1">
      <c r="E33075" s="4" t="str">
        <v/>
      </c>
      <c r="F33075" s="102" t="str">
        <f ca="1">IFERROR(__xludf.DUMMYFUNCTION("IMPORTRANGE(H33075,""IDENTITAS UNIT!D9"")"),"#N/A")</f>
        <v>#N/A</v>
      </c>
      <c r="H33075" s="4" t="str">
        <v/>
      </c>
      <c r="I33075" s="4" t="str">
        <v/>
      </c>
    </row>
    <row r="33076" spans="5:9" ht="16.5" hidden="1">
      <c r="E33076" s="4" t="str">
        <v/>
      </c>
      <c r="F33076" s="102" t="str">
        <f ca="1">IFERROR(__xludf.DUMMYFUNCTION("IMPORTRANGE(H33076,""IDENTITAS UNIT!D9"")"),"#N/A")</f>
        <v>#N/A</v>
      </c>
      <c r="H33076" s="4" t="str">
        <v/>
      </c>
      <c r="I33076" s="4" t="str">
        <v/>
      </c>
    </row>
    <row r="33077" spans="5:9" ht="16.5" hidden="1">
      <c r="E33077" s="4" t="str">
        <v/>
      </c>
      <c r="F33077" s="102" t="str">
        <f ca="1">IFERROR(__xludf.DUMMYFUNCTION("IMPORTRANGE(H33077,""IDENTITAS UNIT!D9"")"),"#N/A")</f>
        <v>#N/A</v>
      </c>
      <c r="H33077" s="4" t="str">
        <v/>
      </c>
      <c r="I33077" s="4" t="str">
        <v/>
      </c>
    </row>
    <row r="33078" spans="5:9" ht="16.5" hidden="1">
      <c r="E33078" s="4" t="str">
        <v/>
      </c>
      <c r="F33078" s="102" t="str">
        <f ca="1">IFERROR(__xludf.DUMMYFUNCTION("IMPORTRANGE(H33078,""IDENTITAS UNIT!D9"")"),"#N/A")</f>
        <v>#N/A</v>
      </c>
      <c r="H33078" s="4" t="str">
        <v/>
      </c>
      <c r="I33078" s="4" t="str">
        <v/>
      </c>
    </row>
    <row r="33079" spans="5:9" ht="16.5" hidden="1">
      <c r="E33079" s="4" t="str">
        <v/>
      </c>
      <c r="F33079" s="102" t="str">
        <f ca="1">IFERROR(__xludf.DUMMYFUNCTION("IMPORTRANGE(H33079,""IDENTITAS UNIT!D9"")"),"#N/A")</f>
        <v>#N/A</v>
      </c>
      <c r="H33079" s="4" t="str">
        <v/>
      </c>
      <c r="I33079" s="4" t="str">
        <v/>
      </c>
    </row>
    <row r="33080" spans="5:9" ht="16.5" hidden="1">
      <c r="E33080" s="4" t="str">
        <v/>
      </c>
      <c r="F33080" s="102" t="str">
        <f ca="1">IFERROR(__xludf.DUMMYFUNCTION("IMPORTRANGE(H33080,""IDENTITAS UNIT!D9"")"),"#N/A")</f>
        <v>#N/A</v>
      </c>
      <c r="H33080" s="4" t="str">
        <v/>
      </c>
      <c r="I33080" s="4" t="str">
        <v/>
      </c>
    </row>
    <row r="33081" spans="5:9" ht="16.5" hidden="1">
      <c r="E33081" s="4" t="str">
        <v/>
      </c>
      <c r="F33081" s="102" t="str">
        <f ca="1">IFERROR(__xludf.DUMMYFUNCTION("IMPORTRANGE(H33081,""IDENTITAS UNIT!D9"")"),"#N/A")</f>
        <v>#N/A</v>
      </c>
      <c r="H33081" s="4" t="str">
        <v/>
      </c>
      <c r="I33081" s="4" t="str">
        <v/>
      </c>
    </row>
    <row r="33082" spans="5:9" ht="16.5" hidden="1">
      <c r="E33082" s="4" t="str">
        <v/>
      </c>
      <c r="F33082" s="102" t="str">
        <f ca="1">IFERROR(__xludf.DUMMYFUNCTION("IMPORTRANGE(H33082,""IDENTITAS UNIT!D9"")"),"#N/A")</f>
        <v>#N/A</v>
      </c>
      <c r="H33082" s="4" t="str">
        <v/>
      </c>
      <c r="I33082" s="4" t="str">
        <v/>
      </c>
    </row>
    <row r="33083" spans="5:9" ht="16.5" hidden="1">
      <c r="E33083" s="4" t="str">
        <v/>
      </c>
      <c r="F33083" s="102" t="str">
        <f ca="1">IFERROR(__xludf.DUMMYFUNCTION("IMPORTRANGE(H33083,""IDENTITAS UNIT!D9"")"),"#N/A")</f>
        <v>#N/A</v>
      </c>
      <c r="H33083" s="4" t="str">
        <v/>
      </c>
      <c r="I33083" s="4" t="str">
        <v/>
      </c>
    </row>
    <row r="33084" spans="5:9" ht="16.5" hidden="1">
      <c r="E33084" s="4" t="str">
        <v/>
      </c>
      <c r="F33084" s="102" t="str">
        <f ca="1">IFERROR(__xludf.DUMMYFUNCTION("IMPORTRANGE(H33084,""IDENTITAS UNIT!D9"")"),"#N/A")</f>
        <v>#N/A</v>
      </c>
      <c r="H33084" s="4" t="str">
        <v/>
      </c>
      <c r="I33084" s="4" t="str">
        <v/>
      </c>
    </row>
    <row r="33085" spans="5:9" ht="16.5" hidden="1">
      <c r="E33085" s="4" t="str">
        <v/>
      </c>
      <c r="F33085" s="102" t="str">
        <f ca="1">IFERROR(__xludf.DUMMYFUNCTION("IMPORTRANGE(H33085,""IDENTITAS UNIT!D9"")"),"#N/A")</f>
        <v>#N/A</v>
      </c>
      <c r="H33085" s="4" t="str">
        <v/>
      </c>
      <c r="I33085" s="4" t="str">
        <v/>
      </c>
    </row>
    <row r="33086" spans="5:9" ht="16.5" hidden="1">
      <c r="E33086" s="4" t="str">
        <v/>
      </c>
      <c r="F33086" s="102" t="str">
        <f ca="1">IFERROR(__xludf.DUMMYFUNCTION("IMPORTRANGE(H33086,""IDENTITAS UNIT!D9"")"),"#N/A")</f>
        <v>#N/A</v>
      </c>
      <c r="H33086" s="4" t="str">
        <v/>
      </c>
      <c r="I33086" s="4" t="str">
        <v/>
      </c>
    </row>
    <row r="33087" spans="5:9" ht="16.5" hidden="1">
      <c r="E33087" s="4" t="str">
        <v/>
      </c>
      <c r="F33087" s="102" t="str">
        <f ca="1">IFERROR(__xludf.DUMMYFUNCTION("IMPORTRANGE(H33087,""IDENTITAS UNIT!D9"")"),"#N/A")</f>
        <v>#N/A</v>
      </c>
      <c r="H33087" s="4" t="str">
        <v/>
      </c>
      <c r="I33087" s="4" t="str">
        <v/>
      </c>
    </row>
    <row r="33088" spans="5:9" ht="16.5" hidden="1">
      <c r="E33088" s="4" t="str">
        <v/>
      </c>
      <c r="F33088" s="102" t="str">
        <f ca="1">IFERROR(__xludf.DUMMYFUNCTION("IMPORTRANGE(H33088,""IDENTITAS UNIT!D9"")"),"#N/A")</f>
        <v>#N/A</v>
      </c>
      <c r="H33088" s="4" t="str">
        <v/>
      </c>
      <c r="I33088" s="4" t="str">
        <v/>
      </c>
    </row>
    <row r="33089" spans="5:9" ht="16.5" hidden="1">
      <c r="E33089" s="4" t="str">
        <v/>
      </c>
      <c r="F33089" s="102" t="str">
        <f ca="1">IFERROR(__xludf.DUMMYFUNCTION("IMPORTRANGE(H33089,""IDENTITAS UNIT!D9"")"),"#N/A")</f>
        <v>#N/A</v>
      </c>
      <c r="H33089" s="4" t="str">
        <v/>
      </c>
      <c r="I33089" s="4" t="str">
        <v/>
      </c>
    </row>
    <row r="33090" spans="5:9" ht="16.5" hidden="1">
      <c r="E33090" s="4" t="str">
        <v/>
      </c>
      <c r="F33090" s="102" t="str">
        <f ca="1">IFERROR(__xludf.DUMMYFUNCTION("IMPORTRANGE(H33090,""IDENTITAS UNIT!D9"")"),"#N/A")</f>
        <v>#N/A</v>
      </c>
      <c r="H33090" s="4" t="str">
        <v/>
      </c>
      <c r="I33090" s="4" t="str">
        <v/>
      </c>
    </row>
    <row r="33091" spans="5:9" ht="16.5" hidden="1">
      <c r="E33091" s="4" t="str">
        <v/>
      </c>
      <c r="F33091" s="102" t="str">
        <f ca="1">IFERROR(__xludf.DUMMYFUNCTION("IMPORTRANGE(H33091,""IDENTITAS UNIT!D9"")"),"#N/A")</f>
        <v>#N/A</v>
      </c>
      <c r="H33091" s="4" t="str">
        <v/>
      </c>
      <c r="I33091" s="4" t="str">
        <v/>
      </c>
    </row>
    <row r="33092" spans="5:9" ht="16.5" hidden="1">
      <c r="E33092" s="4" t="str">
        <v/>
      </c>
      <c r="F33092" s="102" t="str">
        <f ca="1">IFERROR(__xludf.DUMMYFUNCTION("IMPORTRANGE(H33092,""IDENTITAS UNIT!D9"")"),"#N/A")</f>
        <v>#N/A</v>
      </c>
      <c r="H33092" s="4" t="str">
        <v/>
      </c>
      <c r="I33092" s="4" t="str">
        <v/>
      </c>
    </row>
    <row r="33093" spans="5:9" ht="16.5" hidden="1">
      <c r="E33093" s="4" t="str">
        <v/>
      </c>
      <c r="F33093" s="102" t="str">
        <f ca="1">IFERROR(__xludf.DUMMYFUNCTION("IMPORTRANGE(H33093,""IDENTITAS UNIT!D9"")"),"#N/A")</f>
        <v>#N/A</v>
      </c>
      <c r="H33093" s="4" t="str">
        <v/>
      </c>
      <c r="I33093" s="4" t="str">
        <v/>
      </c>
    </row>
    <row r="33094" spans="5:9" ht="16.5" hidden="1">
      <c r="E33094" s="4" t="str">
        <v/>
      </c>
      <c r="F33094" s="102" t="str">
        <f ca="1">IFERROR(__xludf.DUMMYFUNCTION("IMPORTRANGE(H33094,""IDENTITAS UNIT!D9"")"),"#N/A")</f>
        <v>#N/A</v>
      </c>
      <c r="H33094" s="4" t="str">
        <v/>
      </c>
      <c r="I33094" s="4" t="str">
        <v/>
      </c>
    </row>
    <row r="33095" spans="5:9" ht="16.5" hidden="1">
      <c r="E33095" s="4" t="str">
        <v/>
      </c>
      <c r="F33095" s="102" t="str">
        <f ca="1">IFERROR(__xludf.DUMMYFUNCTION("IMPORTRANGE(H33095,""IDENTITAS UNIT!D9"")"),"#N/A")</f>
        <v>#N/A</v>
      </c>
      <c r="H33095" s="4" t="str">
        <v/>
      </c>
      <c r="I33095" s="4" t="str">
        <v/>
      </c>
    </row>
    <row r="33096" spans="5:9" ht="16.5" hidden="1">
      <c r="E33096" s="4" t="str">
        <v/>
      </c>
      <c r="F33096" s="102" t="str">
        <f ca="1">IFERROR(__xludf.DUMMYFUNCTION("IMPORTRANGE(H33096,""IDENTITAS UNIT!D9"")"),"#N/A")</f>
        <v>#N/A</v>
      </c>
      <c r="H33096" s="4" t="str">
        <v/>
      </c>
      <c r="I33096" s="4" t="str">
        <v/>
      </c>
    </row>
    <row r="33097" spans="5:9" ht="16.5" hidden="1">
      <c r="E33097" s="4" t="str">
        <v/>
      </c>
      <c r="F33097" s="102" t="str">
        <f ca="1">IFERROR(__xludf.DUMMYFUNCTION("IMPORTRANGE(H33097,""IDENTITAS UNIT!D9"")"),"#N/A")</f>
        <v>#N/A</v>
      </c>
      <c r="H33097" s="4" t="str">
        <v/>
      </c>
      <c r="I33097" s="4" t="str">
        <v/>
      </c>
    </row>
    <row r="33098" spans="5:9" ht="16.5" hidden="1">
      <c r="E33098" s="4" t="str">
        <v/>
      </c>
      <c r="F33098" s="102" t="str">
        <f ca="1">IFERROR(__xludf.DUMMYFUNCTION("IMPORTRANGE(H33098,""IDENTITAS UNIT!D9"")"),"#N/A")</f>
        <v>#N/A</v>
      </c>
      <c r="H33098" s="4" t="str">
        <v/>
      </c>
      <c r="I33098" s="4" t="str">
        <v/>
      </c>
    </row>
    <row r="33099" spans="5:9" ht="16.5" hidden="1">
      <c r="E33099" s="4" t="str">
        <v/>
      </c>
      <c r="F33099" s="102" t="str">
        <f ca="1">IFERROR(__xludf.DUMMYFUNCTION("IMPORTRANGE(H33099,""IDENTITAS UNIT!D9"")"),"#N/A")</f>
        <v>#N/A</v>
      </c>
      <c r="H33099" s="4" t="str">
        <v/>
      </c>
      <c r="I33099" s="4" t="str">
        <v/>
      </c>
    </row>
    <row r="33100" spans="5:9" ht="16.5" hidden="1">
      <c r="E33100" s="4" t="str">
        <v/>
      </c>
      <c r="F33100" s="102" t="str">
        <f ca="1">IFERROR(__xludf.DUMMYFUNCTION("IMPORTRANGE(H33100,""IDENTITAS UNIT!D9"")"),"#N/A")</f>
        <v>#N/A</v>
      </c>
      <c r="H33100" s="4" t="str">
        <v/>
      </c>
      <c r="I33100" s="4" t="str">
        <v/>
      </c>
    </row>
    <row r="33101" spans="5:9" ht="16.5" hidden="1">
      <c r="E33101" s="4" t="str">
        <v/>
      </c>
      <c r="F33101" s="102" t="str">
        <f ca="1">IFERROR(__xludf.DUMMYFUNCTION("IMPORTRANGE(H33101,""IDENTITAS UNIT!D9"")"),"#N/A")</f>
        <v>#N/A</v>
      </c>
      <c r="H33101" s="4" t="str">
        <v/>
      </c>
      <c r="I33101" s="4" t="str">
        <v/>
      </c>
    </row>
    <row r="33102" spans="5:9" ht="16.5" hidden="1">
      <c r="E33102" s="4" t="str">
        <v/>
      </c>
      <c r="F33102" s="102" t="str">
        <f ca="1">IFERROR(__xludf.DUMMYFUNCTION("IMPORTRANGE(H33102,""IDENTITAS UNIT!D9"")"),"#N/A")</f>
        <v>#N/A</v>
      </c>
      <c r="H33102" s="4" t="str">
        <v/>
      </c>
      <c r="I33102" s="4" t="str">
        <v/>
      </c>
    </row>
    <row r="33103" spans="5:9" ht="16.5" hidden="1">
      <c r="E33103" s="4" t="str">
        <v/>
      </c>
      <c r="F33103" s="102" t="str">
        <f ca="1">IFERROR(__xludf.DUMMYFUNCTION("IMPORTRANGE(H33103,""IDENTITAS UNIT!D9"")"),"#N/A")</f>
        <v>#N/A</v>
      </c>
      <c r="H33103" s="4" t="str">
        <v/>
      </c>
      <c r="I33103" s="4" t="str">
        <v/>
      </c>
    </row>
    <row r="33104" spans="5:9" ht="16.5" hidden="1">
      <c r="E33104" s="4" t="str">
        <v/>
      </c>
      <c r="F33104" s="102" t="str">
        <f ca="1">IFERROR(__xludf.DUMMYFUNCTION("IMPORTRANGE(H33104,""IDENTITAS UNIT!D9"")"),"#N/A")</f>
        <v>#N/A</v>
      </c>
      <c r="H33104" s="4" t="str">
        <v/>
      </c>
      <c r="I33104" s="4" t="str">
        <v/>
      </c>
    </row>
    <row r="33105" spans="5:9" ht="16.5" hidden="1">
      <c r="E33105" s="4" t="str">
        <v/>
      </c>
      <c r="F33105" s="102" t="str">
        <f ca="1">IFERROR(__xludf.DUMMYFUNCTION("IMPORTRANGE(H33105,""IDENTITAS UNIT!D9"")"),"#N/A")</f>
        <v>#N/A</v>
      </c>
      <c r="H33105" s="4" t="str">
        <v/>
      </c>
      <c r="I33105" s="4" t="str">
        <v/>
      </c>
    </row>
    <row r="33106" spans="5:9" ht="16.5" hidden="1">
      <c r="E33106" s="4" t="str">
        <v/>
      </c>
      <c r="F33106" s="102" t="str">
        <f ca="1">IFERROR(__xludf.DUMMYFUNCTION("IMPORTRANGE(H33106,""IDENTITAS UNIT!D9"")"),"#N/A")</f>
        <v>#N/A</v>
      </c>
      <c r="H33106" s="4" t="str">
        <v/>
      </c>
      <c r="I33106" s="4" t="str">
        <v/>
      </c>
    </row>
    <row r="33107" spans="5:9" ht="16.5" hidden="1">
      <c r="E33107" s="4" t="str">
        <v/>
      </c>
      <c r="F33107" s="102" t="str">
        <f ca="1">IFERROR(__xludf.DUMMYFUNCTION("IMPORTRANGE(H33107,""IDENTITAS UNIT!D9"")"),"#N/A")</f>
        <v>#N/A</v>
      </c>
      <c r="H33107" s="4" t="str">
        <v/>
      </c>
      <c r="I33107" s="4" t="str">
        <v/>
      </c>
    </row>
    <row r="33108" spans="5:9" ht="16.5" hidden="1">
      <c r="E33108" s="4" t="str">
        <v/>
      </c>
      <c r="F33108" s="102" t="str">
        <f ca="1">IFERROR(__xludf.DUMMYFUNCTION("IMPORTRANGE(H33108,""IDENTITAS UNIT!D9"")"),"#N/A")</f>
        <v>#N/A</v>
      </c>
      <c r="H33108" s="4" t="str">
        <v/>
      </c>
      <c r="I33108" s="4" t="str">
        <v/>
      </c>
    </row>
    <row r="33109" spans="5:9" ht="16.5" hidden="1">
      <c r="E33109" s="4" t="str">
        <v/>
      </c>
      <c r="F33109" s="102" t="str">
        <f ca="1">IFERROR(__xludf.DUMMYFUNCTION("IMPORTRANGE(H33109,""IDENTITAS UNIT!D9"")"),"#N/A")</f>
        <v>#N/A</v>
      </c>
      <c r="H33109" s="4" t="str">
        <v/>
      </c>
      <c r="I33109" s="4" t="str">
        <v/>
      </c>
    </row>
    <row r="33110" spans="5:9" ht="16.5" hidden="1">
      <c r="E33110" s="4" t="str">
        <v/>
      </c>
      <c r="F33110" s="102" t="str">
        <f ca="1">IFERROR(__xludf.DUMMYFUNCTION("IMPORTRANGE(H33110,""IDENTITAS UNIT!D9"")"),"#N/A")</f>
        <v>#N/A</v>
      </c>
      <c r="H33110" s="4" t="str">
        <v/>
      </c>
      <c r="I33110" s="4" t="str">
        <v/>
      </c>
    </row>
    <row r="33111" spans="5:9" ht="16.5" hidden="1">
      <c r="E33111" s="4" t="str">
        <v/>
      </c>
      <c r="F33111" s="102" t="str">
        <f ca="1">IFERROR(__xludf.DUMMYFUNCTION("IMPORTRANGE(H33111,""IDENTITAS UNIT!D9"")"),"#N/A")</f>
        <v>#N/A</v>
      </c>
      <c r="H33111" s="4" t="str">
        <v/>
      </c>
      <c r="I33111" s="4" t="str">
        <v/>
      </c>
    </row>
    <row r="33112" spans="5:9" ht="16.5" hidden="1">
      <c r="E33112" s="4" t="str">
        <v/>
      </c>
      <c r="F33112" s="102" t="str">
        <f ca="1">IFERROR(__xludf.DUMMYFUNCTION("IMPORTRANGE(H33112,""IDENTITAS UNIT!D9"")"),"#N/A")</f>
        <v>#N/A</v>
      </c>
      <c r="H33112" s="4" t="str">
        <v/>
      </c>
      <c r="I33112" s="4" t="str">
        <v/>
      </c>
    </row>
    <row r="33113" spans="5:9" ht="16.5" hidden="1">
      <c r="E33113" s="4" t="str">
        <v/>
      </c>
      <c r="F33113" s="102" t="str">
        <f ca="1">IFERROR(__xludf.DUMMYFUNCTION("IMPORTRANGE(H33113,""IDENTITAS UNIT!D9"")"),"#N/A")</f>
        <v>#N/A</v>
      </c>
      <c r="H33113" s="4" t="str">
        <v/>
      </c>
      <c r="I33113" s="4" t="str">
        <v/>
      </c>
    </row>
    <row r="33114" spans="5:9" ht="16.5" hidden="1">
      <c r="E33114" s="4" t="str">
        <v/>
      </c>
      <c r="F33114" s="102" t="str">
        <f ca="1">IFERROR(__xludf.DUMMYFUNCTION("IMPORTRANGE(H33114,""IDENTITAS UNIT!D9"")"),"#N/A")</f>
        <v>#N/A</v>
      </c>
      <c r="H33114" s="4" t="str">
        <v/>
      </c>
      <c r="I33114" s="4" t="str">
        <v/>
      </c>
    </row>
    <row r="33115" spans="5:9" ht="16.5" hidden="1">
      <c r="E33115" s="4" t="str">
        <v/>
      </c>
      <c r="F33115" s="102" t="str">
        <f ca="1">IFERROR(__xludf.DUMMYFUNCTION("IMPORTRANGE(H33115,""IDENTITAS UNIT!D9"")"),"#N/A")</f>
        <v>#N/A</v>
      </c>
      <c r="H33115" s="4" t="str">
        <v/>
      </c>
      <c r="I33115" s="4" t="str">
        <v/>
      </c>
    </row>
    <row r="33116" spans="5:9" ht="16.5" hidden="1">
      <c r="E33116" s="4" t="str">
        <v/>
      </c>
      <c r="F33116" s="102" t="str">
        <f ca="1">IFERROR(__xludf.DUMMYFUNCTION("IMPORTRANGE(H33116,""IDENTITAS UNIT!D9"")"),"#N/A")</f>
        <v>#N/A</v>
      </c>
      <c r="H33116" s="4" t="str">
        <v/>
      </c>
      <c r="I33116" s="4" t="str">
        <v/>
      </c>
    </row>
    <row r="33117" spans="5:9" ht="16.5" hidden="1">
      <c r="E33117" s="4" t="str">
        <v/>
      </c>
      <c r="F33117" s="102" t="str">
        <f ca="1">IFERROR(__xludf.DUMMYFUNCTION("IMPORTRANGE(H33117,""IDENTITAS UNIT!D9"")"),"#N/A")</f>
        <v>#N/A</v>
      </c>
      <c r="H33117" s="4" t="str">
        <v/>
      </c>
      <c r="I33117" s="4" t="str">
        <v/>
      </c>
    </row>
    <row r="33118" spans="5:9" ht="16.5" hidden="1">
      <c r="E33118" s="4" t="str">
        <v/>
      </c>
      <c r="F33118" s="102" t="str">
        <f ca="1">IFERROR(__xludf.DUMMYFUNCTION("IMPORTRANGE(H33118,""IDENTITAS UNIT!D9"")"),"#N/A")</f>
        <v>#N/A</v>
      </c>
      <c r="H33118" s="4" t="str">
        <v/>
      </c>
      <c r="I33118" s="4" t="str">
        <v/>
      </c>
    </row>
    <row r="33119" spans="5:9" ht="16.5" hidden="1">
      <c r="E33119" s="4" t="str">
        <v/>
      </c>
      <c r="F33119" s="102" t="str">
        <f ca="1">IFERROR(__xludf.DUMMYFUNCTION("IMPORTRANGE(H33119,""IDENTITAS UNIT!D9"")"),"#N/A")</f>
        <v>#N/A</v>
      </c>
      <c r="H33119" s="4" t="str">
        <v/>
      </c>
      <c r="I33119" s="4" t="str">
        <v/>
      </c>
    </row>
    <row r="33120" spans="5:9" ht="16.5" hidden="1">
      <c r="E33120" s="4" t="str">
        <v/>
      </c>
      <c r="F33120" s="102" t="str">
        <f ca="1">IFERROR(__xludf.DUMMYFUNCTION("IMPORTRANGE(H33120,""IDENTITAS UNIT!D9"")"),"#N/A")</f>
        <v>#N/A</v>
      </c>
      <c r="H33120" s="4" t="str">
        <v/>
      </c>
      <c r="I33120" s="4" t="str">
        <v/>
      </c>
    </row>
    <row r="33121" spans="5:9" ht="16.5" hidden="1">
      <c r="E33121" s="4" t="str">
        <v/>
      </c>
      <c r="F33121" s="102" t="str">
        <f ca="1">IFERROR(__xludf.DUMMYFUNCTION("IMPORTRANGE(H33121,""IDENTITAS UNIT!D9"")"),"#N/A")</f>
        <v>#N/A</v>
      </c>
      <c r="H33121" s="4" t="str">
        <v/>
      </c>
      <c r="I33121" s="4" t="str">
        <v/>
      </c>
    </row>
    <row r="33122" spans="5:9" ht="16.5" hidden="1">
      <c r="E33122" s="4" t="str">
        <v/>
      </c>
      <c r="F33122" s="102" t="str">
        <f ca="1">IFERROR(__xludf.DUMMYFUNCTION("IMPORTRANGE(H33122,""IDENTITAS UNIT!D9"")"),"#N/A")</f>
        <v>#N/A</v>
      </c>
      <c r="H33122" s="4" t="str">
        <v/>
      </c>
      <c r="I33122" s="4" t="str">
        <v/>
      </c>
    </row>
    <row r="33123" spans="5:9" ht="16.5" hidden="1">
      <c r="E33123" s="4" t="str">
        <v/>
      </c>
      <c r="F33123" s="102" t="str">
        <f ca="1">IFERROR(__xludf.DUMMYFUNCTION("IMPORTRANGE(H33123,""IDENTITAS UNIT!D9"")"),"#N/A")</f>
        <v>#N/A</v>
      </c>
      <c r="H33123" s="4" t="str">
        <v/>
      </c>
      <c r="I33123" s="4" t="str">
        <v/>
      </c>
    </row>
    <row r="33124" spans="5:9" ht="16.5" hidden="1">
      <c r="E33124" s="4" t="str">
        <v/>
      </c>
      <c r="F33124" s="102" t="str">
        <f ca="1">IFERROR(__xludf.DUMMYFUNCTION("IMPORTRANGE(H33124,""IDENTITAS UNIT!D9"")"),"#N/A")</f>
        <v>#N/A</v>
      </c>
      <c r="H33124" s="4" t="str">
        <v/>
      </c>
      <c r="I33124" s="4" t="str">
        <v/>
      </c>
    </row>
    <row r="33125" spans="5:9" ht="16.5" hidden="1">
      <c r="E33125" s="4" t="str">
        <v/>
      </c>
      <c r="F33125" s="102" t="str">
        <f ca="1">IFERROR(__xludf.DUMMYFUNCTION("IMPORTRANGE(H33125,""IDENTITAS UNIT!D9"")"),"#N/A")</f>
        <v>#N/A</v>
      </c>
      <c r="H33125" s="4" t="str">
        <v/>
      </c>
      <c r="I33125" s="4" t="str">
        <v/>
      </c>
    </row>
    <row r="33126" spans="5:9" ht="16.5" hidden="1">
      <c r="E33126" s="4" t="str">
        <v/>
      </c>
      <c r="F33126" s="102" t="str">
        <f ca="1">IFERROR(__xludf.DUMMYFUNCTION("IMPORTRANGE(H33126,""IDENTITAS UNIT!D9"")"),"#N/A")</f>
        <v>#N/A</v>
      </c>
      <c r="H33126" s="4" t="str">
        <v/>
      </c>
      <c r="I33126" s="4" t="str">
        <v/>
      </c>
    </row>
    <row r="33127" spans="5:9" ht="16.5" hidden="1">
      <c r="E33127" s="4" t="str">
        <v/>
      </c>
      <c r="F33127" s="102" t="str">
        <f ca="1">IFERROR(__xludf.DUMMYFUNCTION("IMPORTRANGE(H33127,""IDENTITAS UNIT!D9"")"),"#N/A")</f>
        <v>#N/A</v>
      </c>
      <c r="H33127" s="4" t="str">
        <v/>
      </c>
      <c r="I33127" s="4" t="str">
        <v/>
      </c>
    </row>
    <row r="33128" spans="5:9" ht="16.5" hidden="1">
      <c r="E33128" s="4" t="str">
        <v/>
      </c>
      <c r="F33128" s="102" t="str">
        <f ca="1">IFERROR(__xludf.DUMMYFUNCTION("IMPORTRANGE(H33128,""IDENTITAS UNIT!D9"")"),"#N/A")</f>
        <v>#N/A</v>
      </c>
      <c r="H33128" s="4" t="str">
        <v/>
      </c>
      <c r="I33128" s="4" t="str">
        <v/>
      </c>
    </row>
    <row r="33129" spans="5:9" ht="16.5" hidden="1">
      <c r="E33129" s="4" t="str">
        <v/>
      </c>
      <c r="F33129" s="102" t="str">
        <f ca="1">IFERROR(__xludf.DUMMYFUNCTION("IMPORTRANGE(H33129,""IDENTITAS UNIT!D9"")"),"#N/A")</f>
        <v>#N/A</v>
      </c>
      <c r="H33129" s="4" t="str">
        <v/>
      </c>
      <c r="I33129" s="4" t="str">
        <v/>
      </c>
    </row>
    <row r="33130" spans="5:9" ht="16.5" hidden="1">
      <c r="E33130" s="4" t="str">
        <v/>
      </c>
      <c r="F33130" s="102" t="str">
        <f ca="1">IFERROR(__xludf.DUMMYFUNCTION("IMPORTRANGE(H33130,""IDENTITAS UNIT!D9"")"),"#N/A")</f>
        <v>#N/A</v>
      </c>
      <c r="H33130" s="4" t="str">
        <v/>
      </c>
      <c r="I33130" s="4" t="str">
        <v/>
      </c>
    </row>
    <row r="33131" spans="5:9" ht="16.5" hidden="1">
      <c r="E33131" s="4" t="str">
        <v/>
      </c>
      <c r="F33131" s="102" t="str">
        <f ca="1">IFERROR(__xludf.DUMMYFUNCTION("IMPORTRANGE(H33131,""IDENTITAS UNIT!D9"")"),"#N/A")</f>
        <v>#N/A</v>
      </c>
      <c r="H33131" s="4" t="str">
        <v/>
      </c>
      <c r="I33131" s="4" t="str">
        <v/>
      </c>
    </row>
    <row r="33132" spans="5:9" ht="16.5" hidden="1">
      <c r="E33132" s="4" t="str">
        <v/>
      </c>
      <c r="F33132" s="102" t="str">
        <f ca="1">IFERROR(__xludf.DUMMYFUNCTION("IMPORTRANGE(H33132,""IDENTITAS UNIT!D9"")"),"#N/A")</f>
        <v>#N/A</v>
      </c>
      <c r="H33132" s="4" t="str">
        <v/>
      </c>
      <c r="I33132" s="4" t="str">
        <v/>
      </c>
    </row>
    <row r="33133" spans="5:9" ht="16.5" hidden="1">
      <c r="E33133" s="4" t="str">
        <v/>
      </c>
      <c r="F33133" s="102" t="str">
        <f ca="1">IFERROR(__xludf.DUMMYFUNCTION("IMPORTRANGE(H33133,""IDENTITAS UNIT!D9"")"),"#N/A")</f>
        <v>#N/A</v>
      </c>
      <c r="H33133" s="4" t="str">
        <v/>
      </c>
      <c r="I33133" s="4" t="str">
        <v/>
      </c>
    </row>
    <row r="33134" spans="5:9" ht="16.5" hidden="1">
      <c r="E33134" s="4" t="str">
        <v/>
      </c>
      <c r="F33134" s="102" t="str">
        <f ca="1">IFERROR(__xludf.DUMMYFUNCTION("IMPORTRANGE(H33134,""IDENTITAS UNIT!D9"")"),"#N/A")</f>
        <v>#N/A</v>
      </c>
      <c r="H33134" s="4" t="str">
        <v/>
      </c>
      <c r="I33134" s="4" t="str">
        <v/>
      </c>
    </row>
    <row r="33135" spans="5:9" ht="16.5" hidden="1">
      <c r="E33135" s="4" t="str">
        <v/>
      </c>
      <c r="F33135" s="102" t="str">
        <f ca="1">IFERROR(__xludf.DUMMYFUNCTION("IMPORTRANGE(H33135,""IDENTITAS UNIT!D9"")"),"#N/A")</f>
        <v>#N/A</v>
      </c>
      <c r="H33135" s="4" t="str">
        <v/>
      </c>
      <c r="I33135" s="4" t="str">
        <v/>
      </c>
    </row>
    <row r="33136" spans="5:9" ht="16.5" hidden="1">
      <c r="E33136" s="4" t="str">
        <v/>
      </c>
      <c r="F33136" s="102" t="str">
        <f ca="1">IFERROR(__xludf.DUMMYFUNCTION("IMPORTRANGE(H33136,""IDENTITAS UNIT!D9"")"),"#N/A")</f>
        <v>#N/A</v>
      </c>
      <c r="H33136" s="4" t="str">
        <v/>
      </c>
      <c r="I33136" s="4" t="str">
        <v/>
      </c>
    </row>
    <row r="33137" spans="5:9" ht="16.5" hidden="1">
      <c r="E33137" s="4" t="str">
        <v/>
      </c>
      <c r="F33137" s="102" t="str">
        <f ca="1">IFERROR(__xludf.DUMMYFUNCTION("IMPORTRANGE(H33137,""IDENTITAS UNIT!D9"")"),"#N/A")</f>
        <v>#N/A</v>
      </c>
      <c r="H33137" s="4" t="str">
        <v/>
      </c>
      <c r="I33137" s="4" t="str">
        <v/>
      </c>
    </row>
    <row r="33138" spans="5:9" ht="16.5" hidden="1">
      <c r="E33138" s="4" t="str">
        <v/>
      </c>
      <c r="F33138" s="102" t="str">
        <f ca="1">IFERROR(__xludf.DUMMYFUNCTION("IMPORTRANGE(H33138,""IDENTITAS UNIT!D9"")"),"#N/A")</f>
        <v>#N/A</v>
      </c>
      <c r="H33138" s="4" t="str">
        <v/>
      </c>
      <c r="I33138" s="4" t="str">
        <v/>
      </c>
    </row>
    <row r="33139" spans="5:9" ht="16.5" hidden="1">
      <c r="E33139" s="4" t="str">
        <v/>
      </c>
      <c r="F33139" s="102" t="str">
        <f ca="1">IFERROR(__xludf.DUMMYFUNCTION("IMPORTRANGE(H33139,""IDENTITAS UNIT!D9"")"),"#N/A")</f>
        <v>#N/A</v>
      </c>
      <c r="H33139" s="4" t="str">
        <v/>
      </c>
      <c r="I33139" s="4" t="str">
        <v/>
      </c>
    </row>
    <row r="33140" spans="5:9" ht="16.5" hidden="1">
      <c r="E33140" s="4" t="str">
        <v/>
      </c>
      <c r="F33140" s="102" t="str">
        <f ca="1">IFERROR(__xludf.DUMMYFUNCTION("IMPORTRANGE(H33140,""IDENTITAS UNIT!D9"")"),"#N/A")</f>
        <v>#N/A</v>
      </c>
      <c r="H33140" s="4" t="str">
        <v/>
      </c>
      <c r="I33140" s="4" t="str">
        <v/>
      </c>
    </row>
    <row r="33141" spans="5:9" ht="16.5" hidden="1">
      <c r="E33141" s="4" t="str">
        <v/>
      </c>
      <c r="F33141" s="102" t="str">
        <f ca="1">IFERROR(__xludf.DUMMYFUNCTION("IMPORTRANGE(H33141,""IDENTITAS UNIT!D9"")"),"#N/A")</f>
        <v>#N/A</v>
      </c>
      <c r="H33141" s="4" t="str">
        <v/>
      </c>
      <c r="I33141" s="4" t="str">
        <v/>
      </c>
    </row>
    <row r="33142" spans="5:9" ht="16.5" hidden="1">
      <c r="E33142" s="4" t="str">
        <v/>
      </c>
      <c r="F33142" s="102" t="str">
        <f ca="1">IFERROR(__xludf.DUMMYFUNCTION("IMPORTRANGE(H33142,""IDENTITAS UNIT!D9"")"),"#N/A")</f>
        <v>#N/A</v>
      </c>
      <c r="H33142" s="4" t="str">
        <v/>
      </c>
      <c r="I33142" s="4" t="str">
        <v/>
      </c>
    </row>
    <row r="33143" spans="5:9" ht="16.5" hidden="1">
      <c r="E33143" s="4" t="str">
        <v/>
      </c>
      <c r="F33143" s="102" t="str">
        <f ca="1">IFERROR(__xludf.DUMMYFUNCTION("IMPORTRANGE(H33143,""IDENTITAS UNIT!D9"")"),"#N/A")</f>
        <v>#N/A</v>
      </c>
      <c r="H33143" s="4" t="str">
        <v/>
      </c>
      <c r="I33143" s="4" t="str">
        <v/>
      </c>
    </row>
    <row r="33144" spans="5:9" ht="16.5" hidden="1">
      <c r="E33144" s="4" t="str">
        <v/>
      </c>
      <c r="F33144" s="102" t="str">
        <f ca="1">IFERROR(__xludf.DUMMYFUNCTION("IMPORTRANGE(H33144,""IDENTITAS UNIT!D9"")"),"#N/A")</f>
        <v>#N/A</v>
      </c>
      <c r="H33144" s="4" t="str">
        <v/>
      </c>
      <c r="I33144" s="4" t="str">
        <v/>
      </c>
    </row>
    <row r="33145" spans="5:9" ht="16.5" hidden="1">
      <c r="E33145" s="4" t="str">
        <v/>
      </c>
      <c r="F33145" s="102" t="str">
        <f ca="1">IFERROR(__xludf.DUMMYFUNCTION("IMPORTRANGE(H33145,""IDENTITAS UNIT!D9"")"),"#N/A")</f>
        <v>#N/A</v>
      </c>
      <c r="H33145" s="4" t="str">
        <v/>
      </c>
      <c r="I33145" s="4" t="str">
        <v/>
      </c>
    </row>
    <row r="33146" spans="5:9" ht="16.5" hidden="1">
      <c r="E33146" s="4" t="str">
        <v/>
      </c>
      <c r="F33146" s="102" t="str">
        <f ca="1">IFERROR(__xludf.DUMMYFUNCTION("IMPORTRANGE(H33146,""IDENTITAS UNIT!D9"")"),"#N/A")</f>
        <v>#N/A</v>
      </c>
      <c r="H33146" s="4" t="str">
        <v/>
      </c>
      <c r="I33146" s="4" t="str">
        <v/>
      </c>
    </row>
    <row r="33147" spans="5:9" ht="16.5" hidden="1">
      <c r="E33147" s="4" t="str">
        <v/>
      </c>
      <c r="F33147" s="102" t="str">
        <f ca="1">IFERROR(__xludf.DUMMYFUNCTION("IMPORTRANGE(H33147,""IDENTITAS UNIT!D9"")"),"#N/A")</f>
        <v>#N/A</v>
      </c>
      <c r="H33147" s="4" t="str">
        <v/>
      </c>
      <c r="I33147" s="4" t="str">
        <v/>
      </c>
    </row>
    <row r="33148" spans="5:9" ht="16.5" hidden="1">
      <c r="E33148" s="4" t="str">
        <v/>
      </c>
      <c r="F33148" s="102" t="str">
        <f ca="1">IFERROR(__xludf.DUMMYFUNCTION("IMPORTRANGE(H33148,""IDENTITAS UNIT!D9"")"),"#N/A")</f>
        <v>#N/A</v>
      </c>
      <c r="H33148" s="4" t="str">
        <v/>
      </c>
      <c r="I33148" s="4" t="str">
        <v/>
      </c>
    </row>
    <row r="33149" spans="5:9" ht="16.5" hidden="1">
      <c r="E33149" s="4" t="str">
        <v/>
      </c>
      <c r="F33149" s="102" t="str">
        <f ca="1">IFERROR(__xludf.DUMMYFUNCTION("IMPORTRANGE(H33149,""IDENTITAS UNIT!D9"")"),"#N/A")</f>
        <v>#N/A</v>
      </c>
      <c r="H33149" s="4" t="str">
        <v/>
      </c>
      <c r="I33149" s="4" t="str">
        <v/>
      </c>
    </row>
    <row r="33150" spans="5:9" ht="16.5" hidden="1">
      <c r="E33150" s="4" t="str">
        <v/>
      </c>
      <c r="F33150" s="102" t="str">
        <f ca="1">IFERROR(__xludf.DUMMYFUNCTION("IMPORTRANGE(H33150,""IDENTITAS UNIT!D9"")"),"#N/A")</f>
        <v>#N/A</v>
      </c>
      <c r="H33150" s="4" t="str">
        <v/>
      </c>
      <c r="I33150" s="4" t="str">
        <v/>
      </c>
    </row>
    <row r="33151" spans="5:9" ht="16.5" hidden="1">
      <c r="E33151" s="4" t="str">
        <v/>
      </c>
      <c r="F33151" s="102" t="str">
        <f ca="1">IFERROR(__xludf.DUMMYFUNCTION("IMPORTRANGE(H33151,""IDENTITAS UNIT!D9"")"),"#N/A")</f>
        <v>#N/A</v>
      </c>
      <c r="H33151" s="4" t="str">
        <v/>
      </c>
      <c r="I33151" s="4" t="str">
        <v/>
      </c>
    </row>
    <row r="33152" spans="5:9" ht="16.5" hidden="1">
      <c r="E33152" s="4" t="str">
        <v/>
      </c>
      <c r="F33152" s="102" t="str">
        <f ca="1">IFERROR(__xludf.DUMMYFUNCTION("IMPORTRANGE(H33152,""IDENTITAS UNIT!D9"")"),"#N/A")</f>
        <v>#N/A</v>
      </c>
      <c r="H33152" s="4" t="str">
        <v/>
      </c>
      <c r="I33152" s="4" t="str">
        <v/>
      </c>
    </row>
    <row r="33153" spans="5:9" ht="16.5" hidden="1">
      <c r="E33153" s="4" t="str">
        <v/>
      </c>
      <c r="F33153" s="102" t="str">
        <f ca="1">IFERROR(__xludf.DUMMYFUNCTION("IMPORTRANGE(H33153,""IDENTITAS UNIT!D9"")"),"#N/A")</f>
        <v>#N/A</v>
      </c>
      <c r="H33153" s="4" t="str">
        <v/>
      </c>
      <c r="I33153" s="4" t="str">
        <v/>
      </c>
    </row>
    <row r="33154" spans="5:9" ht="16.5" hidden="1">
      <c r="E33154" s="4" t="str">
        <v/>
      </c>
      <c r="F33154" s="102" t="str">
        <f ca="1">IFERROR(__xludf.DUMMYFUNCTION("IMPORTRANGE(H33154,""IDENTITAS UNIT!D9"")"),"#N/A")</f>
        <v>#N/A</v>
      </c>
      <c r="H33154" s="4" t="str">
        <v/>
      </c>
      <c r="I33154" s="4" t="str">
        <v/>
      </c>
    </row>
    <row r="33155" spans="5:9" ht="16.5" hidden="1">
      <c r="E33155" s="4" t="str">
        <v/>
      </c>
      <c r="F33155" s="102" t="str">
        <f ca="1">IFERROR(__xludf.DUMMYFUNCTION("IMPORTRANGE(H33155,""IDENTITAS UNIT!D9"")"),"#N/A")</f>
        <v>#N/A</v>
      </c>
      <c r="H33155" s="4" t="str">
        <v/>
      </c>
      <c r="I33155" s="4" t="str">
        <v/>
      </c>
    </row>
    <row r="33156" spans="5:9" ht="16.5" hidden="1">
      <c r="E33156" s="4" t="str">
        <v/>
      </c>
      <c r="F33156" s="102" t="str">
        <f ca="1">IFERROR(__xludf.DUMMYFUNCTION("IMPORTRANGE(H33156,""IDENTITAS UNIT!D9"")"),"#N/A")</f>
        <v>#N/A</v>
      </c>
      <c r="H33156" s="4" t="str">
        <v/>
      </c>
      <c r="I33156" s="4" t="str">
        <v/>
      </c>
    </row>
    <row r="33157" spans="5:9" ht="16.5" hidden="1">
      <c r="E33157" s="4" t="str">
        <v/>
      </c>
      <c r="F33157" s="102" t="str">
        <f ca="1">IFERROR(__xludf.DUMMYFUNCTION("IMPORTRANGE(H33157,""IDENTITAS UNIT!D9"")"),"#N/A")</f>
        <v>#N/A</v>
      </c>
      <c r="H33157" s="4" t="str">
        <v/>
      </c>
      <c r="I33157" s="4" t="str">
        <v/>
      </c>
    </row>
    <row r="33158" spans="5:9" ht="16.5" hidden="1">
      <c r="E33158" s="4" t="str">
        <v/>
      </c>
      <c r="F33158" s="102" t="str">
        <f ca="1">IFERROR(__xludf.DUMMYFUNCTION("IMPORTRANGE(H33158,""IDENTITAS UNIT!D9"")"),"#N/A")</f>
        <v>#N/A</v>
      </c>
      <c r="H33158" s="4" t="str">
        <v/>
      </c>
      <c r="I33158" s="4" t="str">
        <v/>
      </c>
    </row>
    <row r="33159" spans="5:9" ht="16.5" hidden="1">
      <c r="E33159" s="4" t="str">
        <v/>
      </c>
      <c r="F33159" s="102" t="str">
        <f ca="1">IFERROR(__xludf.DUMMYFUNCTION("IMPORTRANGE(H33159,""IDENTITAS UNIT!D9"")"),"#N/A")</f>
        <v>#N/A</v>
      </c>
      <c r="H33159" s="4" t="str">
        <v/>
      </c>
      <c r="I33159" s="4" t="str">
        <v/>
      </c>
    </row>
    <row r="33160" spans="5:9" ht="16.5" hidden="1">
      <c r="E33160" s="4" t="str">
        <v/>
      </c>
      <c r="F33160" s="102" t="str">
        <f ca="1">IFERROR(__xludf.DUMMYFUNCTION("IMPORTRANGE(H33160,""IDENTITAS UNIT!D9"")"),"#N/A")</f>
        <v>#N/A</v>
      </c>
      <c r="H33160" s="4" t="str">
        <v/>
      </c>
      <c r="I33160" s="4" t="str">
        <v/>
      </c>
    </row>
    <row r="33161" spans="5:9" ht="16.5" hidden="1">
      <c r="E33161" s="4" t="str">
        <v/>
      </c>
      <c r="F33161" s="102" t="str">
        <f ca="1">IFERROR(__xludf.DUMMYFUNCTION("IMPORTRANGE(H33161,""IDENTITAS UNIT!D9"")"),"#N/A")</f>
        <v>#N/A</v>
      </c>
      <c r="H33161" s="4" t="str">
        <v/>
      </c>
      <c r="I33161" s="4" t="str">
        <v/>
      </c>
    </row>
    <row r="33162" spans="5:9" ht="16.5" hidden="1">
      <c r="E33162" s="4" t="str">
        <v/>
      </c>
      <c r="F33162" s="102" t="str">
        <f ca="1">IFERROR(__xludf.DUMMYFUNCTION("IMPORTRANGE(H33162,""IDENTITAS UNIT!D9"")"),"#N/A")</f>
        <v>#N/A</v>
      </c>
      <c r="H33162" s="4" t="str">
        <v/>
      </c>
      <c r="I33162" s="4" t="str">
        <v/>
      </c>
    </row>
    <row r="33163" spans="5:9" ht="16.5" hidden="1">
      <c r="E33163" s="4" t="str">
        <v/>
      </c>
      <c r="F33163" s="102" t="str">
        <f ca="1">IFERROR(__xludf.DUMMYFUNCTION("IMPORTRANGE(H33163,""IDENTITAS UNIT!D9"")"),"#N/A")</f>
        <v>#N/A</v>
      </c>
      <c r="H33163" s="4" t="str">
        <v/>
      </c>
      <c r="I33163" s="4" t="str">
        <v/>
      </c>
    </row>
    <row r="33164" spans="5:9" ht="16.5" hidden="1">
      <c r="E33164" s="4" t="str">
        <v/>
      </c>
      <c r="F33164" s="102" t="str">
        <f ca="1">IFERROR(__xludf.DUMMYFUNCTION("IMPORTRANGE(H33164,""IDENTITAS UNIT!D9"")"),"#N/A")</f>
        <v>#N/A</v>
      </c>
      <c r="H33164" s="4" t="str">
        <v/>
      </c>
      <c r="I33164" s="4" t="str">
        <v/>
      </c>
    </row>
    <row r="33165" spans="5:9" ht="16.5" hidden="1">
      <c r="E33165" s="4" t="str">
        <v/>
      </c>
      <c r="F33165" s="102" t="str">
        <f ca="1">IFERROR(__xludf.DUMMYFUNCTION("IMPORTRANGE(H33165,""IDENTITAS UNIT!D9"")"),"#N/A")</f>
        <v>#N/A</v>
      </c>
      <c r="H33165" s="4" t="str">
        <v/>
      </c>
      <c r="I33165" s="4" t="str">
        <v/>
      </c>
    </row>
    <row r="33166" spans="5:9" ht="16.5" hidden="1">
      <c r="E33166" s="4" t="str">
        <v/>
      </c>
      <c r="F33166" s="102" t="str">
        <f ca="1">IFERROR(__xludf.DUMMYFUNCTION("IMPORTRANGE(H33166,""IDENTITAS UNIT!D9"")"),"#N/A")</f>
        <v>#N/A</v>
      </c>
      <c r="H33166" s="4" t="str">
        <v/>
      </c>
      <c r="I33166" s="4" t="str">
        <v/>
      </c>
    </row>
    <row r="33167" spans="5:9" ht="16.5" hidden="1">
      <c r="E33167" s="4" t="str">
        <v/>
      </c>
      <c r="F33167" s="102" t="str">
        <f ca="1">IFERROR(__xludf.DUMMYFUNCTION("IMPORTRANGE(H33167,""IDENTITAS UNIT!D9"")"),"#N/A")</f>
        <v>#N/A</v>
      </c>
      <c r="H33167" s="4" t="str">
        <v/>
      </c>
      <c r="I33167" s="4" t="str">
        <v/>
      </c>
    </row>
    <row r="33168" spans="5:9" ht="16.5" hidden="1">
      <c r="E33168" s="4" t="str">
        <v/>
      </c>
      <c r="F33168" s="102" t="str">
        <f ca="1">IFERROR(__xludf.DUMMYFUNCTION("IMPORTRANGE(H33168,""IDENTITAS UNIT!D9"")"),"#N/A")</f>
        <v>#N/A</v>
      </c>
      <c r="H33168" s="4" t="str">
        <v/>
      </c>
      <c r="I33168" s="4" t="str">
        <v/>
      </c>
    </row>
    <row r="33169" spans="5:9" ht="16.5" hidden="1">
      <c r="E33169" s="4" t="str">
        <v/>
      </c>
      <c r="F33169" s="102" t="str">
        <f ca="1">IFERROR(__xludf.DUMMYFUNCTION("IMPORTRANGE(H33169,""IDENTITAS UNIT!D9"")"),"#N/A")</f>
        <v>#N/A</v>
      </c>
      <c r="H33169" s="4" t="str">
        <v/>
      </c>
      <c r="I33169" s="4" t="str">
        <v/>
      </c>
    </row>
    <row r="33170" spans="5:9" ht="16.5" hidden="1">
      <c r="E33170" s="4" t="str">
        <v/>
      </c>
      <c r="F33170" s="102" t="str">
        <f ca="1">IFERROR(__xludf.DUMMYFUNCTION("IMPORTRANGE(H33170,""IDENTITAS UNIT!D9"")"),"#N/A")</f>
        <v>#N/A</v>
      </c>
      <c r="H33170" s="4" t="str">
        <v/>
      </c>
      <c r="I33170" s="4" t="str">
        <v/>
      </c>
    </row>
    <row r="33171" spans="5:9" ht="16.5" hidden="1">
      <c r="E33171" s="4" t="str">
        <v/>
      </c>
      <c r="F33171" s="102" t="str">
        <f ca="1">IFERROR(__xludf.DUMMYFUNCTION("IMPORTRANGE(H33171,""IDENTITAS UNIT!D9"")"),"#N/A")</f>
        <v>#N/A</v>
      </c>
      <c r="H33171" s="4" t="str">
        <v/>
      </c>
      <c r="I33171" s="4" t="str">
        <v/>
      </c>
    </row>
    <row r="33172" spans="5:9" ht="16.5" hidden="1">
      <c r="E33172" s="4" t="str">
        <v/>
      </c>
      <c r="F33172" s="102" t="str">
        <f ca="1">IFERROR(__xludf.DUMMYFUNCTION("IMPORTRANGE(H33172,""IDENTITAS UNIT!D9"")"),"#N/A")</f>
        <v>#N/A</v>
      </c>
      <c r="H33172" s="4" t="str">
        <v/>
      </c>
      <c r="I33172" s="4" t="str">
        <v/>
      </c>
    </row>
    <row r="33173" spans="5:9" ht="16.5" hidden="1">
      <c r="E33173" s="4" t="str">
        <v/>
      </c>
      <c r="F33173" s="102" t="str">
        <f ca="1">IFERROR(__xludf.DUMMYFUNCTION("IMPORTRANGE(H33173,""IDENTITAS UNIT!D9"")"),"#N/A")</f>
        <v>#N/A</v>
      </c>
      <c r="H33173" s="4" t="str">
        <v/>
      </c>
      <c r="I33173" s="4" t="str">
        <v/>
      </c>
    </row>
    <row r="33174" spans="5:9" ht="16.5" hidden="1">
      <c r="E33174" s="4" t="str">
        <v/>
      </c>
      <c r="F33174" s="102" t="str">
        <f ca="1">IFERROR(__xludf.DUMMYFUNCTION("IMPORTRANGE(H33174,""IDENTITAS UNIT!D9"")"),"#N/A")</f>
        <v>#N/A</v>
      </c>
      <c r="H33174" s="4" t="str">
        <v/>
      </c>
      <c r="I33174" s="4" t="str">
        <v/>
      </c>
    </row>
    <row r="33175" spans="5:9" ht="16.5" hidden="1">
      <c r="E33175" s="4" t="str">
        <v/>
      </c>
      <c r="F33175" s="102" t="str">
        <f ca="1">IFERROR(__xludf.DUMMYFUNCTION("IMPORTRANGE(H33175,""IDENTITAS UNIT!D9"")"),"#N/A")</f>
        <v>#N/A</v>
      </c>
      <c r="H33175" s="4" t="str">
        <v/>
      </c>
      <c r="I33175" s="4" t="str">
        <v/>
      </c>
    </row>
    <row r="33176" spans="5:9" ht="16.5" hidden="1">
      <c r="E33176" s="4" t="str">
        <v/>
      </c>
      <c r="F33176" s="102" t="str">
        <f ca="1">IFERROR(__xludf.DUMMYFUNCTION("IMPORTRANGE(H33176,""IDENTITAS UNIT!D9"")"),"#N/A")</f>
        <v>#N/A</v>
      </c>
      <c r="H33176" s="4" t="str">
        <v/>
      </c>
      <c r="I33176" s="4" t="str">
        <v/>
      </c>
    </row>
    <row r="33177" spans="5:9" ht="16.5" hidden="1">
      <c r="E33177" s="4" t="str">
        <v/>
      </c>
      <c r="F33177" s="102" t="str">
        <f ca="1">IFERROR(__xludf.DUMMYFUNCTION("IMPORTRANGE(H33177,""IDENTITAS UNIT!D9"")"),"#N/A")</f>
        <v>#N/A</v>
      </c>
      <c r="H33177" s="4" t="str">
        <v/>
      </c>
      <c r="I33177" s="4" t="str">
        <v/>
      </c>
    </row>
    <row r="33178" spans="5:9" ht="16.5" hidden="1">
      <c r="E33178" s="4" t="str">
        <v/>
      </c>
      <c r="F33178" s="102" t="str">
        <f ca="1">IFERROR(__xludf.DUMMYFUNCTION("IMPORTRANGE(H33178,""IDENTITAS UNIT!D9"")"),"#N/A")</f>
        <v>#N/A</v>
      </c>
      <c r="H33178" s="4" t="str">
        <v/>
      </c>
      <c r="I33178" s="4" t="str">
        <v/>
      </c>
    </row>
    <row r="33179" spans="5:9" ht="16.5" hidden="1">
      <c r="E33179" s="4" t="str">
        <v/>
      </c>
      <c r="F33179" s="102" t="str">
        <f ca="1">IFERROR(__xludf.DUMMYFUNCTION("IMPORTRANGE(H33179,""IDENTITAS UNIT!D9"")"),"#N/A")</f>
        <v>#N/A</v>
      </c>
      <c r="H33179" s="4" t="str">
        <v/>
      </c>
      <c r="I33179" s="4" t="str">
        <v/>
      </c>
    </row>
    <row r="33180" spans="5:9" ht="16.5" hidden="1">
      <c r="E33180" s="4" t="str">
        <v/>
      </c>
      <c r="F33180" s="102" t="str">
        <f ca="1">IFERROR(__xludf.DUMMYFUNCTION("IMPORTRANGE(H33180,""IDENTITAS UNIT!D9"")"),"#N/A")</f>
        <v>#N/A</v>
      </c>
      <c r="H33180" s="4" t="str">
        <v/>
      </c>
      <c r="I33180" s="4" t="str">
        <v/>
      </c>
    </row>
    <row r="33181" spans="5:9" ht="16.5" hidden="1">
      <c r="E33181" s="4" t="str">
        <v/>
      </c>
      <c r="F33181" s="102" t="str">
        <f ca="1">IFERROR(__xludf.DUMMYFUNCTION("IMPORTRANGE(H33181,""IDENTITAS UNIT!D9"")"),"#N/A")</f>
        <v>#N/A</v>
      </c>
      <c r="H33181" s="4" t="str">
        <v/>
      </c>
      <c r="I33181" s="4" t="str">
        <v/>
      </c>
    </row>
    <row r="33182" spans="5:9" ht="16.5" hidden="1">
      <c r="E33182" s="4" t="str">
        <v/>
      </c>
      <c r="F33182" s="102" t="str">
        <f ca="1">IFERROR(__xludf.DUMMYFUNCTION("IMPORTRANGE(H33182,""IDENTITAS UNIT!D9"")"),"#N/A")</f>
        <v>#N/A</v>
      </c>
      <c r="H33182" s="4" t="str">
        <v/>
      </c>
      <c r="I33182" s="4" t="str">
        <v/>
      </c>
    </row>
    <row r="33183" spans="5:9" ht="16.5" hidden="1">
      <c r="E33183" s="4" t="str">
        <v/>
      </c>
      <c r="F33183" s="102" t="str">
        <f ca="1">IFERROR(__xludf.DUMMYFUNCTION("IMPORTRANGE(H33183,""IDENTITAS UNIT!D9"")"),"#N/A")</f>
        <v>#N/A</v>
      </c>
      <c r="H33183" s="4" t="str">
        <v/>
      </c>
      <c r="I33183" s="4" t="str">
        <v/>
      </c>
    </row>
    <row r="33184" spans="5:9" ht="16.5" hidden="1">
      <c r="E33184" s="4" t="str">
        <v/>
      </c>
      <c r="F33184" s="102" t="str">
        <f ca="1">IFERROR(__xludf.DUMMYFUNCTION("IMPORTRANGE(H33184,""IDENTITAS UNIT!D9"")"),"#N/A")</f>
        <v>#N/A</v>
      </c>
      <c r="H33184" s="4" t="str">
        <v/>
      </c>
      <c r="I33184" s="4" t="str">
        <v/>
      </c>
    </row>
    <row r="33185" spans="5:9" ht="16.5" hidden="1">
      <c r="E33185" s="4" t="str">
        <v/>
      </c>
      <c r="F33185" s="102" t="str">
        <f ca="1">IFERROR(__xludf.DUMMYFUNCTION("IMPORTRANGE(H33185,""IDENTITAS UNIT!D9"")"),"#N/A")</f>
        <v>#N/A</v>
      </c>
      <c r="H33185" s="4" t="str">
        <v/>
      </c>
      <c r="I33185" s="4" t="str">
        <v/>
      </c>
    </row>
    <row r="33186" spans="5:9" ht="16.5" hidden="1">
      <c r="E33186" s="4" t="str">
        <v/>
      </c>
      <c r="F33186" s="102" t="str">
        <f ca="1">IFERROR(__xludf.DUMMYFUNCTION("IMPORTRANGE(H33186,""IDENTITAS UNIT!D9"")"),"#N/A")</f>
        <v>#N/A</v>
      </c>
      <c r="H33186" s="4" t="str">
        <v/>
      </c>
      <c r="I33186" s="4" t="str">
        <v/>
      </c>
    </row>
    <row r="33187" spans="5:9" ht="16.5" hidden="1">
      <c r="E33187" s="4" t="str">
        <v/>
      </c>
      <c r="F33187" s="102" t="str">
        <f ca="1">IFERROR(__xludf.DUMMYFUNCTION("IMPORTRANGE(H33187,""IDENTITAS UNIT!D9"")"),"#N/A")</f>
        <v>#N/A</v>
      </c>
      <c r="H33187" s="4" t="str">
        <v/>
      </c>
      <c r="I33187" s="4" t="str">
        <v/>
      </c>
    </row>
    <row r="33188" spans="5:9" ht="16.5" hidden="1">
      <c r="E33188" s="4" t="str">
        <v/>
      </c>
      <c r="F33188" s="102" t="str">
        <f ca="1">IFERROR(__xludf.DUMMYFUNCTION("IMPORTRANGE(H33188,""IDENTITAS UNIT!D9"")"),"#N/A")</f>
        <v>#N/A</v>
      </c>
      <c r="H33188" s="4" t="str">
        <v/>
      </c>
      <c r="I33188" s="4" t="str">
        <v/>
      </c>
    </row>
    <row r="33189" spans="5:9" ht="16.5" hidden="1">
      <c r="E33189" s="4" t="str">
        <v/>
      </c>
      <c r="F33189" s="102" t="str">
        <f ca="1">IFERROR(__xludf.DUMMYFUNCTION("IMPORTRANGE(H33189,""IDENTITAS UNIT!D9"")"),"#N/A")</f>
        <v>#N/A</v>
      </c>
      <c r="H33189" s="4" t="str">
        <v/>
      </c>
      <c r="I33189" s="4" t="str">
        <v/>
      </c>
    </row>
    <row r="33190" spans="5:9" ht="16.5" hidden="1">
      <c r="E33190" s="4" t="str">
        <v/>
      </c>
      <c r="F33190" s="102" t="str">
        <f ca="1">IFERROR(__xludf.DUMMYFUNCTION("IMPORTRANGE(H33190,""IDENTITAS UNIT!D9"")"),"#N/A")</f>
        <v>#N/A</v>
      </c>
      <c r="H33190" s="4" t="str">
        <v/>
      </c>
      <c r="I33190" s="4" t="str">
        <v/>
      </c>
    </row>
    <row r="33191" spans="5:9" ht="16.5" hidden="1">
      <c r="E33191" s="4" t="str">
        <v/>
      </c>
      <c r="F33191" s="102" t="str">
        <f ca="1">IFERROR(__xludf.DUMMYFUNCTION("IMPORTRANGE(H33191,""IDENTITAS UNIT!D9"")"),"#N/A")</f>
        <v>#N/A</v>
      </c>
      <c r="H33191" s="4" t="str">
        <v/>
      </c>
      <c r="I33191" s="4" t="str">
        <v/>
      </c>
    </row>
    <row r="33192" spans="5:9" ht="16.5" hidden="1">
      <c r="E33192" s="4" t="str">
        <v/>
      </c>
      <c r="F33192" s="102" t="str">
        <f ca="1">IFERROR(__xludf.DUMMYFUNCTION("IMPORTRANGE(H33192,""IDENTITAS UNIT!D9"")"),"#N/A")</f>
        <v>#N/A</v>
      </c>
      <c r="H33192" s="4" t="str">
        <v/>
      </c>
      <c r="I33192" s="4" t="str">
        <v/>
      </c>
    </row>
    <row r="33193" spans="5:9" ht="16.5" hidden="1">
      <c r="E33193" s="4" t="str">
        <v/>
      </c>
      <c r="F33193" s="102" t="str">
        <f ca="1">IFERROR(__xludf.DUMMYFUNCTION("IMPORTRANGE(H33193,""IDENTITAS UNIT!D9"")"),"#N/A")</f>
        <v>#N/A</v>
      </c>
      <c r="H33193" s="4" t="str">
        <v/>
      </c>
      <c r="I33193" s="4" t="str">
        <v/>
      </c>
    </row>
    <row r="33194" spans="5:9" ht="16.5" hidden="1">
      <c r="E33194" s="4" t="str">
        <v/>
      </c>
      <c r="F33194" s="102" t="str">
        <f ca="1">IFERROR(__xludf.DUMMYFUNCTION("IMPORTRANGE(H33194,""IDENTITAS UNIT!D9"")"),"#N/A")</f>
        <v>#N/A</v>
      </c>
      <c r="H33194" s="4" t="str">
        <v/>
      </c>
      <c r="I33194" s="4" t="str">
        <v/>
      </c>
    </row>
    <row r="33195" spans="5:9" ht="16.5" hidden="1">
      <c r="E33195" s="4" t="str">
        <v/>
      </c>
      <c r="F33195" s="102" t="str">
        <f ca="1">IFERROR(__xludf.DUMMYFUNCTION("IMPORTRANGE(H33195,""IDENTITAS UNIT!D9"")"),"#N/A")</f>
        <v>#N/A</v>
      </c>
      <c r="H33195" s="4" t="str">
        <v/>
      </c>
      <c r="I33195" s="4" t="str">
        <v/>
      </c>
    </row>
    <row r="33196" spans="5:9" ht="16.5" hidden="1">
      <c r="E33196" s="4" t="str">
        <v/>
      </c>
      <c r="F33196" s="102" t="str">
        <f ca="1">IFERROR(__xludf.DUMMYFUNCTION("IMPORTRANGE(H33196,""IDENTITAS UNIT!D9"")"),"#N/A")</f>
        <v>#N/A</v>
      </c>
      <c r="H33196" s="4" t="str">
        <v/>
      </c>
      <c r="I33196" s="4" t="str">
        <v/>
      </c>
    </row>
    <row r="33197" spans="5:9" ht="16.5" hidden="1">
      <c r="E33197" s="4" t="str">
        <v/>
      </c>
      <c r="F33197" s="102" t="str">
        <f ca="1">IFERROR(__xludf.DUMMYFUNCTION("IMPORTRANGE(H33197,""IDENTITAS UNIT!D9"")"),"#N/A")</f>
        <v>#N/A</v>
      </c>
      <c r="H33197" s="4" t="str">
        <v/>
      </c>
      <c r="I33197" s="4" t="str">
        <v/>
      </c>
    </row>
    <row r="33198" spans="5:9" ht="16.5" hidden="1">
      <c r="E33198" s="4" t="str">
        <v/>
      </c>
      <c r="F33198" s="102" t="str">
        <f ca="1">IFERROR(__xludf.DUMMYFUNCTION("IMPORTRANGE(H33198,""IDENTITAS UNIT!D9"")"),"#N/A")</f>
        <v>#N/A</v>
      </c>
      <c r="H33198" s="4" t="str">
        <v/>
      </c>
      <c r="I33198" s="4" t="str">
        <v/>
      </c>
    </row>
    <row r="33199" spans="5:9" ht="16.5" hidden="1">
      <c r="E33199" s="4" t="str">
        <v/>
      </c>
      <c r="F33199" s="102" t="str">
        <f ca="1">IFERROR(__xludf.DUMMYFUNCTION("IMPORTRANGE(H33199,""IDENTITAS UNIT!D9"")"),"#N/A")</f>
        <v>#N/A</v>
      </c>
      <c r="H33199" s="4" t="str">
        <v/>
      </c>
      <c r="I33199" s="4" t="str">
        <v/>
      </c>
    </row>
    <row r="33200" spans="5:9" ht="16.5" hidden="1">
      <c r="E33200" s="4" t="str">
        <v/>
      </c>
      <c r="F33200" s="102" t="str">
        <f ca="1">IFERROR(__xludf.DUMMYFUNCTION("IMPORTRANGE(H33200,""IDENTITAS UNIT!D9"")"),"#N/A")</f>
        <v>#N/A</v>
      </c>
      <c r="H33200" s="4" t="str">
        <v/>
      </c>
      <c r="I33200" s="4" t="str">
        <v/>
      </c>
    </row>
    <row r="33201" spans="5:9" ht="16.5" hidden="1">
      <c r="E33201" s="4" t="str">
        <v/>
      </c>
      <c r="F33201" s="102" t="str">
        <f ca="1">IFERROR(__xludf.DUMMYFUNCTION("IMPORTRANGE(H33201,""IDENTITAS UNIT!D9"")"),"#N/A")</f>
        <v>#N/A</v>
      </c>
      <c r="H33201" s="4" t="str">
        <v/>
      </c>
      <c r="I33201" s="4" t="str">
        <v/>
      </c>
    </row>
    <row r="33202" spans="5:9" ht="16.5" hidden="1">
      <c r="E33202" s="4" t="str">
        <v/>
      </c>
      <c r="F33202" s="102" t="str">
        <f ca="1">IFERROR(__xludf.DUMMYFUNCTION("IMPORTRANGE(H33202,""IDENTITAS UNIT!D9"")"),"#N/A")</f>
        <v>#N/A</v>
      </c>
      <c r="H33202" s="4" t="str">
        <v/>
      </c>
      <c r="I33202" s="4" t="str">
        <v/>
      </c>
    </row>
    <row r="33203" spans="5:9" ht="16.5" hidden="1">
      <c r="E33203" s="4" t="str">
        <v/>
      </c>
      <c r="F33203" s="102" t="str">
        <f ca="1">IFERROR(__xludf.DUMMYFUNCTION("IMPORTRANGE(H33203,""IDENTITAS UNIT!D9"")"),"#N/A")</f>
        <v>#N/A</v>
      </c>
      <c r="H33203" s="4" t="str">
        <v/>
      </c>
      <c r="I33203" s="4" t="str">
        <v/>
      </c>
    </row>
    <row r="33204" spans="5:9" ht="16.5" hidden="1">
      <c r="E33204" s="4" t="str">
        <v/>
      </c>
      <c r="F33204" s="102" t="str">
        <f ca="1">IFERROR(__xludf.DUMMYFUNCTION("IMPORTRANGE(H33204,""IDENTITAS UNIT!D9"")"),"#N/A")</f>
        <v>#N/A</v>
      </c>
      <c r="H33204" s="4" t="str">
        <v/>
      </c>
      <c r="I33204" s="4" t="str">
        <v/>
      </c>
    </row>
    <row r="33205" spans="5:9" ht="16.5" hidden="1">
      <c r="E33205" s="4" t="str">
        <v/>
      </c>
      <c r="F33205" s="102" t="str">
        <f ca="1">IFERROR(__xludf.DUMMYFUNCTION("IMPORTRANGE(H33205,""IDENTITAS UNIT!D9"")"),"#N/A")</f>
        <v>#N/A</v>
      </c>
      <c r="H33205" s="4" t="str">
        <v/>
      </c>
      <c r="I33205" s="4" t="str">
        <v/>
      </c>
    </row>
    <row r="33206" spans="5:9" ht="16.5" hidden="1">
      <c r="E33206" s="4" t="str">
        <v/>
      </c>
      <c r="F33206" s="102" t="str">
        <f ca="1">IFERROR(__xludf.DUMMYFUNCTION("IMPORTRANGE(H33206,""IDENTITAS UNIT!D9"")"),"#N/A")</f>
        <v>#N/A</v>
      </c>
      <c r="H33206" s="4" t="str">
        <v/>
      </c>
      <c r="I33206" s="4" t="str">
        <v/>
      </c>
    </row>
    <row r="33207" spans="5:9" ht="16.5" hidden="1">
      <c r="E33207" s="4" t="str">
        <v/>
      </c>
      <c r="F33207" s="102" t="str">
        <f ca="1">IFERROR(__xludf.DUMMYFUNCTION("IMPORTRANGE(H33207,""IDENTITAS UNIT!D9"")"),"#N/A")</f>
        <v>#N/A</v>
      </c>
      <c r="H33207" s="4" t="str">
        <v/>
      </c>
      <c r="I33207" s="4" t="str">
        <v/>
      </c>
    </row>
    <row r="33208" spans="5:9" ht="16.5" hidden="1">
      <c r="E33208" s="4" t="str">
        <v/>
      </c>
      <c r="F33208" s="102" t="str">
        <f ca="1">IFERROR(__xludf.DUMMYFUNCTION("IMPORTRANGE(H33208,""IDENTITAS UNIT!D9"")"),"#N/A")</f>
        <v>#N/A</v>
      </c>
      <c r="H33208" s="4" t="str">
        <v/>
      </c>
      <c r="I33208" s="4" t="str">
        <v/>
      </c>
    </row>
    <row r="33209" spans="5:9" ht="16.5" hidden="1">
      <c r="E33209" s="4" t="str">
        <v/>
      </c>
      <c r="F33209" s="102" t="str">
        <f ca="1">IFERROR(__xludf.DUMMYFUNCTION("IMPORTRANGE(H33209,""IDENTITAS UNIT!D9"")"),"#N/A")</f>
        <v>#N/A</v>
      </c>
      <c r="H33209" s="4" t="str">
        <v/>
      </c>
      <c r="I33209" s="4" t="str">
        <v/>
      </c>
    </row>
    <row r="33210" spans="5:9" ht="16.5" hidden="1">
      <c r="E33210" s="4" t="str">
        <v/>
      </c>
      <c r="F33210" s="102" t="str">
        <f ca="1">IFERROR(__xludf.DUMMYFUNCTION("IMPORTRANGE(H33210,""IDENTITAS UNIT!D9"")"),"#N/A")</f>
        <v>#N/A</v>
      </c>
      <c r="H33210" s="4" t="str">
        <v/>
      </c>
      <c r="I33210" s="4" t="str">
        <v/>
      </c>
    </row>
    <row r="33211" spans="5:9" ht="16.5" hidden="1">
      <c r="E33211" s="4" t="str">
        <v/>
      </c>
      <c r="F33211" s="102" t="str">
        <f ca="1">IFERROR(__xludf.DUMMYFUNCTION("IMPORTRANGE(H33211,""IDENTITAS UNIT!D9"")"),"#N/A")</f>
        <v>#N/A</v>
      </c>
      <c r="H33211" s="4" t="str">
        <v/>
      </c>
      <c r="I33211" s="4" t="str">
        <v/>
      </c>
    </row>
    <row r="33212" spans="5:9" ht="16.5" hidden="1">
      <c r="E33212" s="4" t="str">
        <v/>
      </c>
      <c r="F33212" s="102" t="str">
        <f ca="1">IFERROR(__xludf.DUMMYFUNCTION("IMPORTRANGE(H33212,""IDENTITAS UNIT!D9"")"),"#N/A")</f>
        <v>#N/A</v>
      </c>
      <c r="H33212" s="4" t="str">
        <v/>
      </c>
      <c r="I33212" s="4" t="str">
        <v/>
      </c>
    </row>
    <row r="33213" spans="5:9" ht="16.5" hidden="1">
      <c r="E33213" s="4" t="str">
        <v/>
      </c>
      <c r="F33213" s="102" t="str">
        <f ca="1">IFERROR(__xludf.DUMMYFUNCTION("IMPORTRANGE(H33213,""IDENTITAS UNIT!D9"")"),"#N/A")</f>
        <v>#N/A</v>
      </c>
      <c r="H33213" s="4" t="str">
        <v/>
      </c>
      <c r="I33213" s="4" t="str">
        <v/>
      </c>
    </row>
    <row r="33214" spans="5:9" ht="16.5" hidden="1">
      <c r="E33214" s="4" t="str">
        <v/>
      </c>
      <c r="F33214" s="102" t="str">
        <f ca="1">IFERROR(__xludf.DUMMYFUNCTION("IMPORTRANGE(H33214,""IDENTITAS UNIT!D9"")"),"#N/A")</f>
        <v>#N/A</v>
      </c>
      <c r="H33214" s="4" t="str">
        <v/>
      </c>
      <c r="I33214" s="4" t="str">
        <v/>
      </c>
    </row>
    <row r="33215" spans="5:9" ht="16.5" hidden="1">
      <c r="E33215" s="4" t="str">
        <v/>
      </c>
      <c r="F33215" s="102" t="str">
        <f ca="1">IFERROR(__xludf.DUMMYFUNCTION("IMPORTRANGE(H33215,""IDENTITAS UNIT!D9"")"),"#N/A")</f>
        <v>#N/A</v>
      </c>
      <c r="H33215" s="4" t="str">
        <v/>
      </c>
      <c r="I33215" s="4" t="str">
        <v/>
      </c>
    </row>
    <row r="33216" spans="5:9" ht="16.5" hidden="1">
      <c r="E33216" s="4" t="str">
        <v/>
      </c>
      <c r="F33216" s="102" t="str">
        <f ca="1">IFERROR(__xludf.DUMMYFUNCTION("IMPORTRANGE(H33216,""IDENTITAS UNIT!D9"")"),"#N/A")</f>
        <v>#N/A</v>
      </c>
      <c r="H33216" s="4" t="str">
        <v/>
      </c>
      <c r="I33216" s="4" t="str">
        <v/>
      </c>
    </row>
    <row r="33217" spans="5:9" ht="16.5" hidden="1">
      <c r="E33217" s="4" t="str">
        <v/>
      </c>
      <c r="F33217" s="102" t="str">
        <f ca="1">IFERROR(__xludf.DUMMYFUNCTION("IMPORTRANGE(H33217,""IDENTITAS UNIT!D9"")"),"#N/A")</f>
        <v>#N/A</v>
      </c>
      <c r="H33217" s="4" t="str">
        <v/>
      </c>
      <c r="I33217" s="4" t="str">
        <v/>
      </c>
    </row>
    <row r="33218" spans="5:9" ht="16.5" hidden="1">
      <c r="E33218" s="4" t="str">
        <v/>
      </c>
      <c r="F33218" s="102" t="str">
        <f ca="1">IFERROR(__xludf.DUMMYFUNCTION("IMPORTRANGE(H33218,""IDENTITAS UNIT!D9"")"),"#N/A")</f>
        <v>#N/A</v>
      </c>
      <c r="H33218" s="4" t="str">
        <v/>
      </c>
      <c r="I33218" s="4" t="str">
        <v/>
      </c>
    </row>
    <row r="33219" spans="5:9" ht="16.5" hidden="1">
      <c r="E33219" s="4" t="str">
        <v/>
      </c>
      <c r="F33219" s="102" t="str">
        <f ca="1">IFERROR(__xludf.DUMMYFUNCTION("IMPORTRANGE(H33219,""IDENTITAS UNIT!D9"")"),"#N/A")</f>
        <v>#N/A</v>
      </c>
      <c r="H33219" s="4" t="str">
        <v/>
      </c>
      <c r="I33219" s="4" t="str">
        <v/>
      </c>
    </row>
    <row r="33220" spans="5:9" ht="16.5" hidden="1">
      <c r="E33220" s="4" t="str">
        <v/>
      </c>
      <c r="F33220" s="102" t="str">
        <f ca="1">IFERROR(__xludf.DUMMYFUNCTION("IMPORTRANGE(H33220,""IDENTITAS UNIT!D9"")"),"#N/A")</f>
        <v>#N/A</v>
      </c>
      <c r="H33220" s="4" t="str">
        <v/>
      </c>
      <c r="I33220" s="4" t="str">
        <v/>
      </c>
    </row>
    <row r="33221" spans="5:9" ht="16.5" hidden="1">
      <c r="E33221" s="4" t="str">
        <v/>
      </c>
      <c r="F33221" s="102" t="str">
        <f ca="1">IFERROR(__xludf.DUMMYFUNCTION("IMPORTRANGE(H33221,""IDENTITAS UNIT!D9"")"),"#N/A")</f>
        <v>#N/A</v>
      </c>
      <c r="H33221" s="4" t="str">
        <v/>
      </c>
      <c r="I33221" s="4" t="str">
        <v/>
      </c>
    </row>
    <row r="33222" spans="5:9" ht="16.5" hidden="1">
      <c r="E33222" s="4" t="str">
        <v/>
      </c>
      <c r="F33222" s="102" t="str">
        <f ca="1">IFERROR(__xludf.DUMMYFUNCTION("IMPORTRANGE(H33222,""IDENTITAS UNIT!D9"")"),"#N/A")</f>
        <v>#N/A</v>
      </c>
      <c r="H33222" s="4" t="str">
        <v/>
      </c>
      <c r="I33222" s="4" t="str">
        <v/>
      </c>
    </row>
    <row r="33223" spans="5:9" ht="16.5" hidden="1">
      <c r="E33223" s="4" t="str">
        <v/>
      </c>
      <c r="F33223" s="102" t="str">
        <f ca="1">IFERROR(__xludf.DUMMYFUNCTION("IMPORTRANGE(H33223,""IDENTITAS UNIT!D9"")"),"#N/A")</f>
        <v>#N/A</v>
      </c>
      <c r="H33223" s="4" t="str">
        <v/>
      </c>
      <c r="I33223" s="4" t="str">
        <v/>
      </c>
    </row>
    <row r="33224" spans="5:9" ht="16.5" hidden="1">
      <c r="E33224" s="4" t="str">
        <v/>
      </c>
      <c r="F33224" s="102" t="str">
        <f ca="1">IFERROR(__xludf.DUMMYFUNCTION("IMPORTRANGE(H33224,""IDENTITAS UNIT!D9"")"),"#N/A")</f>
        <v>#N/A</v>
      </c>
      <c r="H33224" s="4" t="str">
        <v/>
      </c>
      <c r="I33224" s="4" t="str">
        <v/>
      </c>
    </row>
    <row r="33225" spans="5:9" ht="16.5" hidden="1">
      <c r="E33225" s="4" t="str">
        <v/>
      </c>
      <c r="F33225" s="102" t="str">
        <f ca="1">IFERROR(__xludf.DUMMYFUNCTION("IMPORTRANGE(H33225,""IDENTITAS UNIT!D9"")"),"#N/A")</f>
        <v>#N/A</v>
      </c>
      <c r="H33225" s="4" t="str">
        <v/>
      </c>
      <c r="I33225" s="4" t="str">
        <v/>
      </c>
    </row>
    <row r="33226" spans="5:9" ht="16.5" hidden="1">
      <c r="E33226" s="4" t="str">
        <v/>
      </c>
      <c r="F33226" s="102" t="str">
        <f ca="1">IFERROR(__xludf.DUMMYFUNCTION("IMPORTRANGE(H33226,""IDENTITAS UNIT!D9"")"),"#N/A")</f>
        <v>#N/A</v>
      </c>
      <c r="H33226" s="4" t="str">
        <v/>
      </c>
      <c r="I33226" s="4" t="str">
        <v/>
      </c>
    </row>
    <row r="33227" spans="5:9" ht="16.5" hidden="1">
      <c r="E33227" s="4" t="str">
        <v/>
      </c>
      <c r="F33227" s="102" t="str">
        <f ca="1">IFERROR(__xludf.DUMMYFUNCTION("IMPORTRANGE(H33227,""IDENTITAS UNIT!D9"")"),"#N/A")</f>
        <v>#N/A</v>
      </c>
      <c r="H33227" s="4" t="str">
        <v/>
      </c>
      <c r="I33227" s="4" t="str">
        <v/>
      </c>
    </row>
    <row r="33228" spans="5:9" ht="16.5" hidden="1">
      <c r="E33228" s="4" t="str">
        <v/>
      </c>
      <c r="F33228" s="102" t="str">
        <f ca="1">IFERROR(__xludf.DUMMYFUNCTION("IMPORTRANGE(H33228,""IDENTITAS UNIT!D9"")"),"#N/A")</f>
        <v>#N/A</v>
      </c>
      <c r="H33228" s="4" t="str">
        <v/>
      </c>
      <c r="I33228" s="4" t="str">
        <v/>
      </c>
    </row>
    <row r="33229" spans="5:9" ht="16.5" hidden="1">
      <c r="E33229" s="4" t="str">
        <v/>
      </c>
      <c r="F33229" s="102" t="str">
        <f ca="1">IFERROR(__xludf.DUMMYFUNCTION("IMPORTRANGE(H33229,""IDENTITAS UNIT!D9"")"),"#N/A")</f>
        <v>#N/A</v>
      </c>
      <c r="H33229" s="4" t="str">
        <v/>
      </c>
      <c r="I33229" s="4" t="str">
        <v/>
      </c>
    </row>
    <row r="33230" spans="5:9" ht="16.5" hidden="1">
      <c r="E33230" s="4" t="str">
        <v/>
      </c>
      <c r="F33230" s="102" t="str">
        <f ca="1">IFERROR(__xludf.DUMMYFUNCTION("IMPORTRANGE(H33230,""IDENTITAS UNIT!D9"")"),"#N/A")</f>
        <v>#N/A</v>
      </c>
      <c r="H33230" s="4" t="str">
        <v/>
      </c>
      <c r="I33230" s="4" t="str">
        <v/>
      </c>
    </row>
    <row r="33231" spans="5:9" ht="16.5" hidden="1">
      <c r="E33231" s="4" t="str">
        <v/>
      </c>
      <c r="F33231" s="102" t="str">
        <f ca="1">IFERROR(__xludf.DUMMYFUNCTION("IMPORTRANGE(H33231,""IDENTITAS UNIT!D9"")"),"#N/A")</f>
        <v>#N/A</v>
      </c>
      <c r="H33231" s="4" t="str">
        <v/>
      </c>
      <c r="I33231" s="4" t="str">
        <v/>
      </c>
    </row>
    <row r="33232" spans="5:9" ht="16.5" hidden="1">
      <c r="E33232" s="4" t="str">
        <v/>
      </c>
      <c r="F33232" s="102" t="str">
        <f ca="1">IFERROR(__xludf.DUMMYFUNCTION("IMPORTRANGE(H33232,""IDENTITAS UNIT!D9"")"),"#N/A")</f>
        <v>#N/A</v>
      </c>
      <c r="H33232" s="4" t="str">
        <v/>
      </c>
      <c r="I33232" s="4" t="str">
        <v/>
      </c>
    </row>
    <row r="33233" spans="5:9" ht="16.5" hidden="1">
      <c r="E33233" s="4" t="str">
        <v/>
      </c>
      <c r="F33233" s="102" t="str">
        <f ca="1">IFERROR(__xludf.DUMMYFUNCTION("IMPORTRANGE(H33233,""IDENTITAS UNIT!D9"")"),"#N/A")</f>
        <v>#N/A</v>
      </c>
      <c r="H33233" s="4" t="str">
        <v/>
      </c>
      <c r="I33233" s="4" t="str">
        <v/>
      </c>
    </row>
    <row r="33234" spans="5:9" ht="16.5" hidden="1">
      <c r="E33234" s="4" t="str">
        <v/>
      </c>
      <c r="F33234" s="102" t="str">
        <f ca="1">IFERROR(__xludf.DUMMYFUNCTION("IMPORTRANGE(H33234,""IDENTITAS UNIT!D9"")"),"#N/A")</f>
        <v>#N/A</v>
      </c>
      <c r="H33234" s="4" t="str">
        <v/>
      </c>
      <c r="I33234" s="4" t="str">
        <v/>
      </c>
    </row>
    <row r="33235" spans="5:9" ht="16.5" hidden="1">
      <c r="E33235" s="4" t="str">
        <v/>
      </c>
      <c r="F33235" s="102" t="str">
        <f ca="1">IFERROR(__xludf.DUMMYFUNCTION("IMPORTRANGE(H33235,""IDENTITAS UNIT!D9"")"),"#N/A")</f>
        <v>#N/A</v>
      </c>
      <c r="H33235" s="4" t="str">
        <v/>
      </c>
      <c r="I33235" s="4" t="str">
        <v/>
      </c>
    </row>
    <row r="33236" spans="5:9" ht="16.5" hidden="1">
      <c r="E33236" s="4" t="str">
        <v/>
      </c>
      <c r="F33236" s="102" t="str">
        <f ca="1">IFERROR(__xludf.DUMMYFUNCTION("IMPORTRANGE(H33236,""IDENTITAS UNIT!D9"")"),"#N/A")</f>
        <v>#N/A</v>
      </c>
      <c r="H33236" s="4" t="str">
        <v/>
      </c>
      <c r="I33236" s="4" t="str">
        <v/>
      </c>
    </row>
    <row r="33237" spans="5:9" ht="16.5" hidden="1">
      <c r="E33237" s="4" t="str">
        <v/>
      </c>
      <c r="F33237" s="102" t="str">
        <f ca="1">IFERROR(__xludf.DUMMYFUNCTION("IMPORTRANGE(H33237,""IDENTITAS UNIT!D9"")"),"#N/A")</f>
        <v>#N/A</v>
      </c>
      <c r="H33237" s="4" t="str">
        <v/>
      </c>
      <c r="I33237" s="4" t="str">
        <v/>
      </c>
    </row>
    <row r="33238" spans="5:9" ht="16.5" hidden="1">
      <c r="E33238" s="4" t="str">
        <v/>
      </c>
      <c r="F33238" s="102" t="str">
        <f ca="1">IFERROR(__xludf.DUMMYFUNCTION("IMPORTRANGE(H33238,""IDENTITAS UNIT!D9"")"),"#N/A")</f>
        <v>#N/A</v>
      </c>
      <c r="H33238" s="4" t="str">
        <v/>
      </c>
      <c r="I33238" s="4" t="str">
        <v/>
      </c>
    </row>
    <row r="33239" spans="5:9" ht="16.5" hidden="1">
      <c r="E33239" s="4" t="str">
        <v/>
      </c>
      <c r="F33239" s="102" t="str">
        <f ca="1">IFERROR(__xludf.DUMMYFUNCTION("IMPORTRANGE(H33239,""IDENTITAS UNIT!D9"")"),"#N/A")</f>
        <v>#N/A</v>
      </c>
      <c r="H33239" s="4" t="str">
        <v/>
      </c>
      <c r="I33239" s="4" t="str">
        <v/>
      </c>
    </row>
    <row r="33240" spans="5:9" ht="16.5" hidden="1">
      <c r="E33240" s="4" t="str">
        <v/>
      </c>
      <c r="F33240" s="102" t="str">
        <f ca="1">IFERROR(__xludf.DUMMYFUNCTION("IMPORTRANGE(H33240,""IDENTITAS UNIT!D9"")"),"#N/A")</f>
        <v>#N/A</v>
      </c>
      <c r="H33240" s="4" t="str">
        <v/>
      </c>
      <c r="I33240" s="4" t="str">
        <v/>
      </c>
    </row>
    <row r="33241" spans="5:9" ht="16.5" hidden="1">
      <c r="E33241" s="4" t="str">
        <v/>
      </c>
      <c r="F33241" s="102" t="str">
        <f ca="1">IFERROR(__xludf.DUMMYFUNCTION("IMPORTRANGE(H33241,""IDENTITAS UNIT!D9"")"),"#N/A")</f>
        <v>#N/A</v>
      </c>
      <c r="H33241" s="4" t="str">
        <v/>
      </c>
      <c r="I33241" s="4" t="str">
        <v/>
      </c>
    </row>
    <row r="33242" spans="5:9" ht="16.5" hidden="1">
      <c r="E33242" s="4" t="str">
        <v/>
      </c>
      <c r="F33242" s="102" t="str">
        <f ca="1">IFERROR(__xludf.DUMMYFUNCTION("IMPORTRANGE(H33242,""IDENTITAS UNIT!D9"")"),"#N/A")</f>
        <v>#N/A</v>
      </c>
      <c r="H33242" s="4" t="str">
        <v/>
      </c>
      <c r="I33242" s="4" t="str">
        <v/>
      </c>
    </row>
    <row r="33243" spans="5:9" ht="16.5" hidden="1">
      <c r="E33243" s="4" t="str">
        <v/>
      </c>
      <c r="F33243" s="102" t="str">
        <f ca="1">IFERROR(__xludf.DUMMYFUNCTION("IMPORTRANGE(H33243,""IDENTITAS UNIT!D9"")"),"#N/A")</f>
        <v>#N/A</v>
      </c>
      <c r="H33243" s="4" t="str">
        <v/>
      </c>
      <c r="I33243" s="4" t="str">
        <v/>
      </c>
    </row>
    <row r="33244" spans="5:9" ht="16.5" hidden="1">
      <c r="E33244" s="4" t="str">
        <v/>
      </c>
      <c r="F33244" s="102" t="str">
        <f ca="1">IFERROR(__xludf.DUMMYFUNCTION("IMPORTRANGE(H33244,""IDENTITAS UNIT!D9"")"),"#N/A")</f>
        <v>#N/A</v>
      </c>
      <c r="H33244" s="4" t="str">
        <v/>
      </c>
      <c r="I33244" s="4" t="str">
        <v/>
      </c>
    </row>
    <row r="33245" spans="5:9" ht="16.5" hidden="1">
      <c r="E33245" s="4" t="str">
        <v/>
      </c>
      <c r="F33245" s="102" t="str">
        <f ca="1">IFERROR(__xludf.DUMMYFUNCTION("IMPORTRANGE(H33245,""IDENTITAS UNIT!D9"")"),"#N/A")</f>
        <v>#N/A</v>
      </c>
      <c r="H33245" s="4" t="str">
        <v/>
      </c>
      <c r="I33245" s="4" t="str">
        <v/>
      </c>
    </row>
    <row r="33246" spans="5:9" ht="16.5" hidden="1">
      <c r="E33246" s="4" t="str">
        <v/>
      </c>
      <c r="F33246" s="102" t="str">
        <f ca="1">IFERROR(__xludf.DUMMYFUNCTION("IMPORTRANGE(H33246,""IDENTITAS UNIT!D9"")"),"#N/A")</f>
        <v>#N/A</v>
      </c>
      <c r="H33246" s="4" t="str">
        <v/>
      </c>
      <c r="I33246" s="4" t="str">
        <v/>
      </c>
    </row>
    <row r="33247" spans="5:9" ht="16.5" hidden="1">
      <c r="E33247" s="4" t="str">
        <v/>
      </c>
      <c r="F33247" s="102" t="str">
        <f ca="1">IFERROR(__xludf.DUMMYFUNCTION("IMPORTRANGE(H33247,""IDENTITAS UNIT!D9"")"),"#N/A")</f>
        <v>#N/A</v>
      </c>
      <c r="H33247" s="4" t="str">
        <v/>
      </c>
      <c r="I33247" s="4" t="str">
        <v/>
      </c>
    </row>
    <row r="33248" spans="5:9" ht="16.5" hidden="1">
      <c r="E33248" s="4" t="str">
        <v/>
      </c>
      <c r="F33248" s="102" t="str">
        <f ca="1">IFERROR(__xludf.DUMMYFUNCTION("IMPORTRANGE(H33248,""IDENTITAS UNIT!D9"")"),"#N/A")</f>
        <v>#N/A</v>
      </c>
      <c r="H33248" s="4" t="str">
        <v/>
      </c>
      <c r="I33248" s="4" t="str">
        <v/>
      </c>
    </row>
    <row r="33249" spans="5:9" ht="16.5" hidden="1">
      <c r="E33249" s="4" t="str">
        <v/>
      </c>
      <c r="F33249" s="102" t="str">
        <f ca="1">IFERROR(__xludf.DUMMYFUNCTION("IMPORTRANGE(H33249,""IDENTITAS UNIT!D9"")"),"#N/A")</f>
        <v>#N/A</v>
      </c>
      <c r="H33249" s="4" t="str">
        <v/>
      </c>
      <c r="I33249" s="4" t="str">
        <v/>
      </c>
    </row>
    <row r="33250" spans="5:9" ht="16.5" hidden="1">
      <c r="E33250" s="4" t="str">
        <v/>
      </c>
      <c r="F33250" s="102" t="str">
        <f ca="1">IFERROR(__xludf.DUMMYFUNCTION("IMPORTRANGE(H33250,""IDENTITAS UNIT!D9"")"),"#N/A")</f>
        <v>#N/A</v>
      </c>
      <c r="H33250" s="4" t="str">
        <v/>
      </c>
      <c r="I33250" s="4" t="str">
        <v/>
      </c>
    </row>
    <row r="33251" spans="5:9" ht="16.5" hidden="1">
      <c r="E33251" s="4" t="str">
        <v/>
      </c>
      <c r="F33251" s="102" t="str">
        <f ca="1">IFERROR(__xludf.DUMMYFUNCTION("IMPORTRANGE(H33251,""IDENTITAS UNIT!D9"")"),"#N/A")</f>
        <v>#N/A</v>
      </c>
      <c r="H33251" s="4" t="str">
        <v/>
      </c>
      <c r="I33251" s="4" t="str">
        <v/>
      </c>
    </row>
    <row r="33252" spans="5:9" ht="16.5" hidden="1">
      <c r="E33252" s="4" t="str">
        <v/>
      </c>
      <c r="F33252" s="102" t="str">
        <f ca="1">IFERROR(__xludf.DUMMYFUNCTION("IMPORTRANGE(H33252,""IDENTITAS UNIT!D9"")"),"#N/A")</f>
        <v>#N/A</v>
      </c>
      <c r="H33252" s="4" t="str">
        <v/>
      </c>
      <c r="I33252" s="4" t="str">
        <v/>
      </c>
    </row>
    <row r="33253" spans="5:9" ht="16.5" hidden="1">
      <c r="E33253" s="4" t="str">
        <v/>
      </c>
      <c r="F33253" s="102" t="str">
        <f ca="1">IFERROR(__xludf.DUMMYFUNCTION("IMPORTRANGE(H33253,""IDENTITAS UNIT!D9"")"),"#N/A")</f>
        <v>#N/A</v>
      </c>
      <c r="H33253" s="4" t="str">
        <v/>
      </c>
      <c r="I33253" s="4" t="str">
        <v/>
      </c>
    </row>
    <row r="33254" spans="5:9" ht="16.5" hidden="1">
      <c r="E33254" s="4" t="str">
        <v/>
      </c>
      <c r="F33254" s="102" t="str">
        <f ca="1">IFERROR(__xludf.DUMMYFUNCTION("IMPORTRANGE(H33254,""IDENTITAS UNIT!D9"")"),"#N/A")</f>
        <v>#N/A</v>
      </c>
      <c r="H33254" s="4" t="str">
        <v/>
      </c>
      <c r="I33254" s="4" t="str">
        <v/>
      </c>
    </row>
    <row r="33255" spans="5:9" ht="16.5" hidden="1">
      <c r="E33255" s="4" t="str">
        <v/>
      </c>
      <c r="F33255" s="102" t="str">
        <f ca="1">IFERROR(__xludf.DUMMYFUNCTION("IMPORTRANGE(H33255,""IDENTITAS UNIT!D9"")"),"#N/A")</f>
        <v>#N/A</v>
      </c>
      <c r="H33255" s="4" t="str">
        <v/>
      </c>
      <c r="I33255" s="4" t="str">
        <v/>
      </c>
    </row>
    <row r="33256" spans="5:9" ht="16.5" hidden="1">
      <c r="E33256" s="4" t="str">
        <v/>
      </c>
      <c r="F33256" s="102" t="str">
        <f ca="1">IFERROR(__xludf.DUMMYFUNCTION("IMPORTRANGE(H33256,""IDENTITAS UNIT!D9"")"),"#N/A")</f>
        <v>#N/A</v>
      </c>
      <c r="H33256" s="4" t="str">
        <v/>
      </c>
      <c r="I33256" s="4" t="str">
        <v/>
      </c>
    </row>
    <row r="33257" spans="5:9" ht="16.5" hidden="1">
      <c r="E33257" s="4" t="str">
        <v/>
      </c>
      <c r="F33257" s="102" t="str">
        <f ca="1">IFERROR(__xludf.DUMMYFUNCTION("IMPORTRANGE(H33257,""IDENTITAS UNIT!D9"")"),"#N/A")</f>
        <v>#N/A</v>
      </c>
      <c r="H33257" s="4" t="str">
        <v/>
      </c>
      <c r="I33257" s="4" t="str">
        <v/>
      </c>
    </row>
    <row r="33258" spans="5:9" ht="16.5" hidden="1">
      <c r="E33258" s="4" t="str">
        <v/>
      </c>
      <c r="F33258" s="102" t="str">
        <f ca="1">IFERROR(__xludf.DUMMYFUNCTION("IMPORTRANGE(H33258,""IDENTITAS UNIT!D9"")"),"#N/A")</f>
        <v>#N/A</v>
      </c>
      <c r="H33258" s="4" t="str">
        <v/>
      </c>
      <c r="I33258" s="4" t="str">
        <v/>
      </c>
    </row>
    <row r="33259" spans="5:9" ht="16.5" hidden="1">
      <c r="E33259" s="4" t="str">
        <v/>
      </c>
      <c r="F33259" s="102" t="str">
        <f ca="1">IFERROR(__xludf.DUMMYFUNCTION("IMPORTRANGE(H33259,""IDENTITAS UNIT!D9"")"),"#N/A")</f>
        <v>#N/A</v>
      </c>
      <c r="H33259" s="4" t="str">
        <v/>
      </c>
      <c r="I33259" s="4" t="str">
        <v/>
      </c>
    </row>
    <row r="33260" spans="5:9" ht="16.5" hidden="1">
      <c r="E33260" s="4" t="str">
        <v/>
      </c>
      <c r="F33260" s="102" t="str">
        <f ca="1">IFERROR(__xludf.DUMMYFUNCTION("IMPORTRANGE(H33260,""IDENTITAS UNIT!D9"")"),"#N/A")</f>
        <v>#N/A</v>
      </c>
      <c r="H33260" s="4" t="str">
        <v/>
      </c>
      <c r="I33260" s="4" t="str">
        <v/>
      </c>
    </row>
    <row r="33261" spans="5:9" ht="16.5" hidden="1">
      <c r="E33261" s="4" t="str">
        <v/>
      </c>
      <c r="F33261" s="102" t="str">
        <f ca="1">IFERROR(__xludf.DUMMYFUNCTION("IMPORTRANGE(H33261,""IDENTITAS UNIT!D9"")"),"#N/A")</f>
        <v>#N/A</v>
      </c>
      <c r="H33261" s="4" t="str">
        <v/>
      </c>
      <c r="I33261" s="4" t="str">
        <v/>
      </c>
    </row>
    <row r="33262" spans="5:9" ht="16.5" hidden="1">
      <c r="E33262" s="4" t="str">
        <v/>
      </c>
      <c r="F33262" s="102" t="str">
        <f ca="1">IFERROR(__xludf.DUMMYFUNCTION("IMPORTRANGE(H33262,""IDENTITAS UNIT!D9"")"),"#N/A")</f>
        <v>#N/A</v>
      </c>
      <c r="H33262" s="4" t="str">
        <v/>
      </c>
      <c r="I33262" s="4" t="str">
        <v/>
      </c>
    </row>
    <row r="33263" spans="5:9" ht="16.5" hidden="1">
      <c r="E33263" s="4" t="str">
        <v/>
      </c>
      <c r="F33263" s="102" t="str">
        <f ca="1">IFERROR(__xludf.DUMMYFUNCTION("IMPORTRANGE(H33263,""IDENTITAS UNIT!D9"")"),"#N/A")</f>
        <v>#N/A</v>
      </c>
      <c r="H33263" s="4" t="str">
        <v/>
      </c>
      <c r="I33263" s="4" t="str">
        <v/>
      </c>
    </row>
    <row r="33264" spans="5:9" ht="16.5" hidden="1">
      <c r="E33264" s="4" t="str">
        <v/>
      </c>
      <c r="F33264" s="102" t="str">
        <f ca="1">IFERROR(__xludf.DUMMYFUNCTION("IMPORTRANGE(H33264,""IDENTITAS UNIT!D9"")"),"#N/A")</f>
        <v>#N/A</v>
      </c>
      <c r="H33264" s="4" t="str">
        <v/>
      </c>
      <c r="I33264" s="4" t="str">
        <v/>
      </c>
    </row>
    <row r="33265" spans="5:9" ht="16.5" hidden="1">
      <c r="E33265" s="4" t="str">
        <v/>
      </c>
      <c r="F33265" s="102" t="str">
        <f ca="1">IFERROR(__xludf.DUMMYFUNCTION("IMPORTRANGE(H33265,""IDENTITAS UNIT!D9"")"),"#N/A")</f>
        <v>#N/A</v>
      </c>
      <c r="H33265" s="4" t="str">
        <v/>
      </c>
      <c r="I33265" s="4" t="str">
        <v/>
      </c>
    </row>
    <row r="33266" spans="5:9" ht="16.5" hidden="1">
      <c r="E33266" s="4" t="str">
        <v/>
      </c>
      <c r="F33266" s="102" t="str">
        <f ca="1">IFERROR(__xludf.DUMMYFUNCTION("IMPORTRANGE(H33266,""IDENTITAS UNIT!D9"")"),"#N/A")</f>
        <v>#N/A</v>
      </c>
      <c r="H33266" s="4" t="str">
        <v/>
      </c>
      <c r="I33266" s="4" t="str">
        <v/>
      </c>
    </row>
    <row r="33267" spans="5:9" ht="16.5" hidden="1">
      <c r="E33267" s="4" t="str">
        <v/>
      </c>
      <c r="F33267" s="102" t="str">
        <f ca="1">IFERROR(__xludf.DUMMYFUNCTION("IMPORTRANGE(H33267,""IDENTITAS UNIT!D9"")"),"#N/A")</f>
        <v>#N/A</v>
      </c>
      <c r="H33267" s="4" t="str">
        <v/>
      </c>
      <c r="I33267" s="4" t="str">
        <v/>
      </c>
    </row>
    <row r="33268" spans="5:9" ht="16.5" hidden="1">
      <c r="E33268" s="4" t="str">
        <v/>
      </c>
      <c r="F33268" s="102" t="str">
        <f ca="1">IFERROR(__xludf.DUMMYFUNCTION("IMPORTRANGE(H33268,""IDENTITAS UNIT!D9"")"),"#N/A")</f>
        <v>#N/A</v>
      </c>
      <c r="H33268" s="4" t="str">
        <v/>
      </c>
      <c r="I33268" s="4" t="str">
        <v/>
      </c>
    </row>
    <row r="33269" spans="5:9" ht="16.5" hidden="1">
      <c r="E33269" s="4" t="str">
        <v/>
      </c>
      <c r="F33269" s="102" t="str">
        <f ca="1">IFERROR(__xludf.DUMMYFUNCTION("IMPORTRANGE(H33269,""IDENTITAS UNIT!D9"")"),"#N/A")</f>
        <v>#N/A</v>
      </c>
      <c r="H33269" s="4" t="str">
        <v/>
      </c>
      <c r="I33269" s="4" t="str">
        <v/>
      </c>
    </row>
    <row r="33270" spans="5:9" ht="16.5" hidden="1">
      <c r="E33270" s="4" t="str">
        <v/>
      </c>
      <c r="F33270" s="102" t="str">
        <f ca="1">IFERROR(__xludf.DUMMYFUNCTION("IMPORTRANGE(H33270,""IDENTITAS UNIT!D9"")"),"#N/A")</f>
        <v>#N/A</v>
      </c>
      <c r="H33270" s="4" t="str">
        <v/>
      </c>
      <c r="I33270" s="4" t="str">
        <v/>
      </c>
    </row>
    <row r="33271" spans="5:9" ht="16.5" hidden="1">
      <c r="E33271" s="4" t="str">
        <v/>
      </c>
      <c r="F33271" s="102" t="str">
        <f ca="1">IFERROR(__xludf.DUMMYFUNCTION("IMPORTRANGE(H33271,""IDENTITAS UNIT!D9"")"),"#N/A")</f>
        <v>#N/A</v>
      </c>
      <c r="H33271" s="4" t="str">
        <v/>
      </c>
      <c r="I33271" s="4" t="str">
        <v/>
      </c>
    </row>
    <row r="33272" spans="5:9" ht="16.5" hidden="1">
      <c r="E33272" s="4" t="str">
        <v/>
      </c>
      <c r="F33272" s="102" t="str">
        <f ca="1">IFERROR(__xludf.DUMMYFUNCTION("IMPORTRANGE(H33272,""IDENTITAS UNIT!D9"")"),"#N/A")</f>
        <v>#N/A</v>
      </c>
      <c r="H33272" s="4" t="str">
        <v/>
      </c>
      <c r="I33272" s="4" t="str">
        <v/>
      </c>
    </row>
    <row r="33273" spans="5:9" ht="16.5" hidden="1">
      <c r="E33273" s="4" t="str">
        <v/>
      </c>
      <c r="F33273" s="102" t="str">
        <f ca="1">IFERROR(__xludf.DUMMYFUNCTION("IMPORTRANGE(H33273,""IDENTITAS UNIT!D9"")"),"#N/A")</f>
        <v>#N/A</v>
      </c>
      <c r="H33273" s="4" t="str">
        <v/>
      </c>
      <c r="I33273" s="4" t="str">
        <v/>
      </c>
    </row>
    <row r="33274" spans="5:9" ht="16.5" hidden="1">
      <c r="E33274" s="4" t="str">
        <v/>
      </c>
      <c r="F33274" s="102" t="str">
        <f ca="1">IFERROR(__xludf.DUMMYFUNCTION("IMPORTRANGE(H33274,""IDENTITAS UNIT!D9"")"),"#N/A")</f>
        <v>#N/A</v>
      </c>
      <c r="H33274" s="4" t="str">
        <v/>
      </c>
      <c r="I33274" s="4" t="str">
        <v/>
      </c>
    </row>
    <row r="33275" spans="5:9" ht="16.5" hidden="1">
      <c r="E33275" s="4" t="str">
        <v/>
      </c>
      <c r="F33275" s="102" t="str">
        <f ca="1">IFERROR(__xludf.DUMMYFUNCTION("IMPORTRANGE(H33275,""IDENTITAS UNIT!D9"")"),"#N/A")</f>
        <v>#N/A</v>
      </c>
      <c r="H33275" s="4" t="str">
        <v/>
      </c>
      <c r="I33275" s="4" t="str">
        <v/>
      </c>
    </row>
    <row r="33276" spans="5:9" ht="16.5" hidden="1">
      <c r="E33276" s="4" t="str">
        <v/>
      </c>
      <c r="F33276" s="102" t="str">
        <f ca="1">IFERROR(__xludf.DUMMYFUNCTION("IMPORTRANGE(H33276,""IDENTITAS UNIT!D9"")"),"#N/A")</f>
        <v>#N/A</v>
      </c>
      <c r="H33276" s="4" t="str">
        <v/>
      </c>
      <c r="I33276" s="4" t="str">
        <v/>
      </c>
    </row>
    <row r="33277" spans="5:9" ht="16.5" hidden="1">
      <c r="E33277" s="4" t="str">
        <v/>
      </c>
      <c r="F33277" s="102" t="str">
        <f ca="1">IFERROR(__xludf.DUMMYFUNCTION("IMPORTRANGE(H33277,""IDENTITAS UNIT!D9"")"),"#N/A")</f>
        <v>#N/A</v>
      </c>
      <c r="H33277" s="4" t="str">
        <v/>
      </c>
      <c r="I33277" s="4" t="str">
        <v/>
      </c>
    </row>
    <row r="33278" spans="5:9" ht="16.5" hidden="1">
      <c r="E33278" s="4" t="str">
        <v/>
      </c>
      <c r="F33278" s="102" t="str">
        <f ca="1">IFERROR(__xludf.DUMMYFUNCTION("IMPORTRANGE(H33278,""IDENTITAS UNIT!D9"")"),"#N/A")</f>
        <v>#N/A</v>
      </c>
      <c r="H33278" s="4" t="str">
        <v/>
      </c>
      <c r="I33278" s="4" t="str">
        <v/>
      </c>
    </row>
    <row r="33279" spans="5:9" ht="16.5" hidden="1">
      <c r="E33279" s="4" t="str">
        <v/>
      </c>
      <c r="F33279" s="102" t="str">
        <f ca="1">IFERROR(__xludf.DUMMYFUNCTION("IMPORTRANGE(H33279,""IDENTITAS UNIT!D9"")"),"#N/A")</f>
        <v>#N/A</v>
      </c>
      <c r="H33279" s="4" t="str">
        <v/>
      </c>
      <c r="I33279" s="4" t="str">
        <v/>
      </c>
    </row>
    <row r="33280" spans="5:9" ht="16.5" hidden="1">
      <c r="E33280" s="4" t="str">
        <v/>
      </c>
      <c r="F33280" s="102" t="str">
        <f ca="1">IFERROR(__xludf.DUMMYFUNCTION("IMPORTRANGE(H33280,""IDENTITAS UNIT!D9"")"),"#N/A")</f>
        <v>#N/A</v>
      </c>
      <c r="H33280" s="4" t="str">
        <v/>
      </c>
      <c r="I33280" s="4" t="str">
        <v/>
      </c>
    </row>
    <row r="33281" spans="5:9" ht="16.5" hidden="1">
      <c r="E33281" s="4" t="str">
        <v/>
      </c>
      <c r="F33281" s="102" t="str">
        <f ca="1">IFERROR(__xludf.DUMMYFUNCTION("IMPORTRANGE(H33281,""IDENTITAS UNIT!D9"")"),"#N/A")</f>
        <v>#N/A</v>
      </c>
      <c r="H33281" s="4" t="str">
        <v/>
      </c>
      <c r="I33281" s="4" t="str">
        <v/>
      </c>
    </row>
    <row r="33282" spans="5:9" ht="16.5" hidden="1">
      <c r="E33282" s="4" t="str">
        <v/>
      </c>
      <c r="F33282" s="102" t="str">
        <f ca="1">IFERROR(__xludf.DUMMYFUNCTION("IMPORTRANGE(H33282,""IDENTITAS UNIT!D9"")"),"#N/A")</f>
        <v>#N/A</v>
      </c>
      <c r="H33282" s="4" t="str">
        <v/>
      </c>
      <c r="I33282" s="4" t="str">
        <v/>
      </c>
    </row>
    <row r="33283" spans="5:9" ht="16.5" hidden="1">
      <c r="E33283" s="4" t="str">
        <v/>
      </c>
      <c r="F33283" s="102" t="str">
        <f ca="1">IFERROR(__xludf.DUMMYFUNCTION("IMPORTRANGE(H33283,""IDENTITAS UNIT!D9"")"),"#N/A")</f>
        <v>#N/A</v>
      </c>
      <c r="H33283" s="4" t="str">
        <v/>
      </c>
      <c r="I33283" s="4" t="str">
        <v/>
      </c>
    </row>
    <row r="33284" spans="5:9" ht="16.5" hidden="1">
      <c r="E33284" s="4" t="str">
        <v/>
      </c>
      <c r="F33284" s="102" t="str">
        <f ca="1">IFERROR(__xludf.DUMMYFUNCTION("IMPORTRANGE(H33284,""IDENTITAS UNIT!D9"")"),"#N/A")</f>
        <v>#N/A</v>
      </c>
      <c r="H33284" s="4" t="str">
        <v/>
      </c>
      <c r="I33284" s="4" t="str">
        <v/>
      </c>
    </row>
    <row r="33285" spans="5:9" ht="16.5" hidden="1">
      <c r="E33285" s="4" t="str">
        <v/>
      </c>
      <c r="F33285" s="102" t="str">
        <f ca="1">IFERROR(__xludf.DUMMYFUNCTION("IMPORTRANGE(H33285,""IDENTITAS UNIT!D9"")"),"#N/A")</f>
        <v>#N/A</v>
      </c>
      <c r="H33285" s="4" t="str">
        <v/>
      </c>
      <c r="I33285" s="4" t="str">
        <v/>
      </c>
    </row>
    <row r="33286" spans="5:9" ht="16.5" hidden="1">
      <c r="E33286" s="4" t="str">
        <v/>
      </c>
      <c r="F33286" s="102" t="str">
        <f ca="1">IFERROR(__xludf.DUMMYFUNCTION("IMPORTRANGE(H33286,""IDENTITAS UNIT!D9"")"),"#N/A")</f>
        <v>#N/A</v>
      </c>
      <c r="H33286" s="4" t="str">
        <v/>
      </c>
      <c r="I33286" s="4" t="str">
        <v/>
      </c>
    </row>
    <row r="33287" spans="5:9" ht="16.5" hidden="1">
      <c r="E33287" s="4" t="str">
        <v/>
      </c>
      <c r="F33287" s="102" t="str">
        <f ca="1">IFERROR(__xludf.DUMMYFUNCTION("IMPORTRANGE(H33287,""IDENTITAS UNIT!D9"")"),"#N/A")</f>
        <v>#N/A</v>
      </c>
      <c r="H33287" s="4" t="str">
        <v/>
      </c>
      <c r="I33287" s="4" t="str">
        <v/>
      </c>
    </row>
    <row r="33288" spans="5:9" ht="16.5" hidden="1">
      <c r="E33288" s="4" t="str">
        <v/>
      </c>
      <c r="F33288" s="102" t="str">
        <f ca="1">IFERROR(__xludf.DUMMYFUNCTION("IMPORTRANGE(H33288,""IDENTITAS UNIT!D9"")"),"#N/A")</f>
        <v>#N/A</v>
      </c>
      <c r="H33288" s="4" t="str">
        <v/>
      </c>
      <c r="I33288" s="4" t="str">
        <v/>
      </c>
    </row>
    <row r="33289" spans="5:9" ht="16.5" hidden="1">
      <c r="E33289" s="4" t="str">
        <v/>
      </c>
      <c r="F33289" s="102" t="str">
        <f ca="1">IFERROR(__xludf.DUMMYFUNCTION("IMPORTRANGE(H33289,""IDENTITAS UNIT!D9"")"),"#N/A")</f>
        <v>#N/A</v>
      </c>
      <c r="H33289" s="4" t="str">
        <v/>
      </c>
      <c r="I33289" s="4" t="str">
        <v/>
      </c>
    </row>
    <row r="33290" spans="5:9" ht="16.5" hidden="1">
      <c r="E33290" s="4" t="str">
        <v/>
      </c>
      <c r="F33290" s="102" t="str">
        <f ca="1">IFERROR(__xludf.DUMMYFUNCTION("IMPORTRANGE(H33290,""IDENTITAS UNIT!D9"")"),"#N/A")</f>
        <v>#N/A</v>
      </c>
      <c r="H33290" s="4" t="str">
        <v/>
      </c>
      <c r="I33290" s="4" t="str">
        <v/>
      </c>
    </row>
    <row r="33291" spans="5:9" ht="16.5" hidden="1">
      <c r="E33291" s="4" t="str">
        <v/>
      </c>
      <c r="F33291" s="102" t="str">
        <f ca="1">IFERROR(__xludf.DUMMYFUNCTION("IMPORTRANGE(H33291,""IDENTITAS UNIT!D9"")"),"#N/A")</f>
        <v>#N/A</v>
      </c>
      <c r="H33291" s="4" t="str">
        <v/>
      </c>
      <c r="I33291" s="4" t="str">
        <v/>
      </c>
    </row>
    <row r="33292" spans="5:9" ht="16.5" hidden="1">
      <c r="E33292" s="4" t="str">
        <v/>
      </c>
      <c r="F33292" s="102" t="str">
        <f ca="1">IFERROR(__xludf.DUMMYFUNCTION("IMPORTRANGE(H33292,""IDENTITAS UNIT!D9"")"),"#N/A")</f>
        <v>#N/A</v>
      </c>
      <c r="H33292" s="4" t="str">
        <v/>
      </c>
      <c r="I33292" s="4" t="str">
        <v/>
      </c>
    </row>
    <row r="33293" spans="5:9" ht="16.5" hidden="1">
      <c r="E33293" s="4" t="str">
        <v/>
      </c>
      <c r="F33293" s="102" t="str">
        <f ca="1">IFERROR(__xludf.DUMMYFUNCTION("IMPORTRANGE(H33293,""IDENTITAS UNIT!D9"")"),"#N/A")</f>
        <v>#N/A</v>
      </c>
      <c r="H33293" s="4" t="str">
        <v/>
      </c>
      <c r="I33293" s="4" t="str">
        <v/>
      </c>
    </row>
    <row r="33294" spans="5:9" ht="16.5" hidden="1">
      <c r="E33294" s="4" t="str">
        <v/>
      </c>
      <c r="F33294" s="102" t="str">
        <f ca="1">IFERROR(__xludf.DUMMYFUNCTION("IMPORTRANGE(H33294,""IDENTITAS UNIT!D9"")"),"#N/A")</f>
        <v>#N/A</v>
      </c>
      <c r="H33294" s="4" t="str">
        <v/>
      </c>
      <c r="I33294" s="4" t="str">
        <v/>
      </c>
    </row>
    <row r="33295" spans="5:9" ht="16.5" hidden="1">
      <c r="E33295" s="4" t="str">
        <v/>
      </c>
      <c r="F33295" s="102" t="str">
        <f ca="1">IFERROR(__xludf.DUMMYFUNCTION("IMPORTRANGE(H33295,""IDENTITAS UNIT!D9"")"),"#N/A")</f>
        <v>#N/A</v>
      </c>
      <c r="H33295" s="4" t="str">
        <v/>
      </c>
      <c r="I33295" s="4" t="str">
        <v/>
      </c>
    </row>
    <row r="33296" spans="5:9" ht="16.5" hidden="1">
      <c r="E33296" s="4" t="str">
        <v/>
      </c>
      <c r="F33296" s="102" t="str">
        <f ca="1">IFERROR(__xludf.DUMMYFUNCTION("IMPORTRANGE(H33296,""IDENTITAS UNIT!D9"")"),"#N/A")</f>
        <v>#N/A</v>
      </c>
      <c r="H33296" s="4" t="str">
        <v/>
      </c>
      <c r="I33296" s="4" t="str">
        <v/>
      </c>
    </row>
    <row r="33297" spans="5:9" ht="16.5" hidden="1">
      <c r="E33297" s="4" t="str">
        <v/>
      </c>
      <c r="F33297" s="102" t="str">
        <f ca="1">IFERROR(__xludf.DUMMYFUNCTION("IMPORTRANGE(H33297,""IDENTITAS UNIT!D9"")"),"#N/A")</f>
        <v>#N/A</v>
      </c>
      <c r="H33297" s="4" t="str">
        <v/>
      </c>
      <c r="I33297" s="4" t="str">
        <v/>
      </c>
    </row>
    <row r="33298" spans="5:9" ht="16.5" hidden="1">
      <c r="E33298" s="4" t="str">
        <v/>
      </c>
      <c r="F33298" s="102" t="str">
        <f ca="1">IFERROR(__xludf.DUMMYFUNCTION("IMPORTRANGE(H33298,""IDENTITAS UNIT!D9"")"),"#N/A")</f>
        <v>#N/A</v>
      </c>
      <c r="H33298" s="4" t="str">
        <v/>
      </c>
      <c r="I33298" s="4" t="str">
        <v/>
      </c>
    </row>
    <row r="33299" spans="5:9" ht="16.5" hidden="1">
      <c r="E33299" s="4" t="str">
        <v/>
      </c>
      <c r="F33299" s="102" t="str">
        <f ca="1">IFERROR(__xludf.DUMMYFUNCTION("IMPORTRANGE(H33299,""IDENTITAS UNIT!D9"")"),"#N/A")</f>
        <v>#N/A</v>
      </c>
      <c r="H33299" s="4" t="str">
        <v/>
      </c>
      <c r="I33299" s="4" t="str">
        <v/>
      </c>
    </row>
    <row r="33300" spans="5:9" ht="16.5" hidden="1">
      <c r="E33300" s="4" t="str">
        <v/>
      </c>
      <c r="F33300" s="102" t="str">
        <f ca="1">IFERROR(__xludf.DUMMYFUNCTION("IMPORTRANGE(H33300,""IDENTITAS UNIT!D9"")"),"#N/A")</f>
        <v>#N/A</v>
      </c>
      <c r="H33300" s="4" t="str">
        <v/>
      </c>
      <c r="I33300" s="4" t="str">
        <v/>
      </c>
    </row>
    <row r="33301" spans="5:9" ht="16.5" hidden="1">
      <c r="E33301" s="4" t="str">
        <v/>
      </c>
      <c r="F33301" s="102" t="str">
        <f ca="1">IFERROR(__xludf.DUMMYFUNCTION("IMPORTRANGE(H33301,""IDENTITAS UNIT!D9"")"),"#N/A")</f>
        <v>#N/A</v>
      </c>
      <c r="H33301" s="4" t="str">
        <v/>
      </c>
      <c r="I33301" s="4" t="str">
        <v/>
      </c>
    </row>
    <row r="33302" spans="5:9" ht="16.5" hidden="1">
      <c r="E33302" s="4" t="str">
        <v/>
      </c>
      <c r="F33302" s="102" t="str">
        <f ca="1">IFERROR(__xludf.DUMMYFUNCTION("IMPORTRANGE(H33302,""IDENTITAS UNIT!D9"")"),"#N/A")</f>
        <v>#N/A</v>
      </c>
      <c r="H33302" s="4" t="str">
        <v/>
      </c>
      <c r="I33302" s="4" t="str">
        <v/>
      </c>
    </row>
    <row r="33303" spans="5:9" ht="16.5" hidden="1">
      <c r="E33303" s="4" t="str">
        <v/>
      </c>
      <c r="F33303" s="102" t="str">
        <f ca="1">IFERROR(__xludf.DUMMYFUNCTION("IMPORTRANGE(H33303,""IDENTITAS UNIT!D9"")"),"#N/A")</f>
        <v>#N/A</v>
      </c>
      <c r="H33303" s="4" t="str">
        <v/>
      </c>
      <c r="I33303" s="4" t="str">
        <v/>
      </c>
    </row>
    <row r="33304" spans="5:9" ht="16.5" hidden="1">
      <c r="E33304" s="4" t="str">
        <v/>
      </c>
      <c r="F33304" s="102" t="str">
        <f ca="1">IFERROR(__xludf.DUMMYFUNCTION("IMPORTRANGE(H33304,""IDENTITAS UNIT!D9"")"),"#N/A")</f>
        <v>#N/A</v>
      </c>
      <c r="H33304" s="4" t="str">
        <v/>
      </c>
      <c r="I33304" s="4" t="str">
        <v/>
      </c>
    </row>
    <row r="33305" spans="5:9" ht="16.5" hidden="1">
      <c r="E33305" s="4" t="str">
        <v/>
      </c>
      <c r="F33305" s="102" t="str">
        <f ca="1">IFERROR(__xludf.DUMMYFUNCTION("IMPORTRANGE(H33305,""IDENTITAS UNIT!D9"")"),"#N/A")</f>
        <v>#N/A</v>
      </c>
      <c r="H33305" s="4" t="str">
        <v/>
      </c>
      <c r="I33305" s="4" t="str">
        <v/>
      </c>
    </row>
    <row r="33306" spans="5:9" ht="16.5" hidden="1">
      <c r="E33306" s="4" t="str">
        <v/>
      </c>
      <c r="F33306" s="102" t="str">
        <f ca="1">IFERROR(__xludf.DUMMYFUNCTION("IMPORTRANGE(H33306,""IDENTITAS UNIT!D9"")"),"#N/A")</f>
        <v>#N/A</v>
      </c>
      <c r="H33306" s="4" t="str">
        <v/>
      </c>
      <c r="I33306" s="4" t="str">
        <v/>
      </c>
    </row>
    <row r="33307" spans="5:9" ht="16.5" hidden="1">
      <c r="E33307" s="4" t="str">
        <v/>
      </c>
      <c r="F33307" s="102" t="str">
        <f ca="1">IFERROR(__xludf.DUMMYFUNCTION("IMPORTRANGE(H33307,""IDENTITAS UNIT!D9"")"),"#N/A")</f>
        <v>#N/A</v>
      </c>
      <c r="H33307" s="4" t="str">
        <v/>
      </c>
      <c r="I33307" s="4" t="str">
        <v/>
      </c>
    </row>
    <row r="33308" spans="5:9" ht="16.5" hidden="1">
      <c r="E33308" s="4" t="str">
        <v/>
      </c>
      <c r="F33308" s="102" t="str">
        <f ca="1">IFERROR(__xludf.DUMMYFUNCTION("IMPORTRANGE(H33308,""IDENTITAS UNIT!D9"")"),"#N/A")</f>
        <v>#N/A</v>
      </c>
      <c r="H33308" s="4" t="str">
        <v/>
      </c>
      <c r="I33308" s="4" t="str">
        <v/>
      </c>
    </row>
    <row r="33309" spans="5:9" ht="16.5" hidden="1">
      <c r="E33309" s="4" t="str">
        <v/>
      </c>
      <c r="F33309" s="102" t="str">
        <f ca="1">IFERROR(__xludf.DUMMYFUNCTION("IMPORTRANGE(H33309,""IDENTITAS UNIT!D9"")"),"#N/A")</f>
        <v>#N/A</v>
      </c>
      <c r="H33309" s="4" t="str">
        <v/>
      </c>
      <c r="I33309" s="4" t="str">
        <v/>
      </c>
    </row>
    <row r="33310" spans="5:9" ht="16.5" hidden="1">
      <c r="E33310" s="4" t="str">
        <v/>
      </c>
      <c r="F33310" s="102" t="str">
        <f ca="1">IFERROR(__xludf.DUMMYFUNCTION("IMPORTRANGE(H33310,""IDENTITAS UNIT!D9"")"),"#N/A")</f>
        <v>#N/A</v>
      </c>
      <c r="H33310" s="4" t="str">
        <v/>
      </c>
      <c r="I33310" s="4" t="str">
        <v/>
      </c>
    </row>
    <row r="33311" spans="5:9" ht="16.5" hidden="1">
      <c r="E33311" s="4" t="str">
        <v/>
      </c>
      <c r="F33311" s="102" t="str">
        <f ca="1">IFERROR(__xludf.DUMMYFUNCTION("IMPORTRANGE(H33311,""IDENTITAS UNIT!D9"")"),"#N/A")</f>
        <v>#N/A</v>
      </c>
      <c r="H33311" s="4" t="str">
        <v/>
      </c>
      <c r="I33311" s="4" t="str">
        <v/>
      </c>
    </row>
    <row r="33312" spans="5:9" ht="16.5" hidden="1">
      <c r="E33312" s="4" t="str">
        <v/>
      </c>
      <c r="F33312" s="102" t="str">
        <f ca="1">IFERROR(__xludf.DUMMYFUNCTION("IMPORTRANGE(H33312,""IDENTITAS UNIT!D9"")"),"#N/A")</f>
        <v>#N/A</v>
      </c>
      <c r="H33312" s="4" t="str">
        <v/>
      </c>
      <c r="I33312" s="4" t="str">
        <v/>
      </c>
    </row>
    <row r="33313" spans="5:9" ht="16.5" hidden="1">
      <c r="E33313" s="4" t="str">
        <v/>
      </c>
      <c r="F33313" s="102" t="str">
        <f ca="1">IFERROR(__xludf.DUMMYFUNCTION("IMPORTRANGE(H33313,""IDENTITAS UNIT!D9"")"),"#N/A")</f>
        <v>#N/A</v>
      </c>
      <c r="H33313" s="4" t="str">
        <v/>
      </c>
      <c r="I33313" s="4" t="str">
        <v/>
      </c>
    </row>
    <row r="33314" spans="5:9" ht="16.5" hidden="1">
      <c r="E33314" s="4" t="str">
        <v/>
      </c>
      <c r="F33314" s="102" t="str">
        <f ca="1">IFERROR(__xludf.DUMMYFUNCTION("IMPORTRANGE(H33314,""IDENTITAS UNIT!D9"")"),"#N/A")</f>
        <v>#N/A</v>
      </c>
      <c r="H33314" s="4" t="str">
        <v/>
      </c>
      <c r="I33314" s="4" t="str">
        <v/>
      </c>
    </row>
    <row r="33315" spans="5:9" ht="16.5" hidden="1">
      <c r="E33315" s="4" t="str">
        <v/>
      </c>
      <c r="F33315" s="102" t="str">
        <f ca="1">IFERROR(__xludf.DUMMYFUNCTION("IMPORTRANGE(H33315,""IDENTITAS UNIT!D9"")"),"#N/A")</f>
        <v>#N/A</v>
      </c>
      <c r="H33315" s="4" t="str">
        <v/>
      </c>
      <c r="I33315" s="4" t="str">
        <v/>
      </c>
    </row>
    <row r="33316" spans="5:9" ht="16.5" hidden="1">
      <c r="E33316" s="4" t="str">
        <v/>
      </c>
      <c r="F33316" s="102" t="str">
        <f ca="1">IFERROR(__xludf.DUMMYFUNCTION("IMPORTRANGE(H33316,""IDENTITAS UNIT!D9"")"),"#N/A")</f>
        <v>#N/A</v>
      </c>
      <c r="H33316" s="4" t="str">
        <v/>
      </c>
      <c r="I33316" s="4" t="str">
        <v/>
      </c>
    </row>
    <row r="33317" spans="5:9" ht="16.5" hidden="1">
      <c r="E33317" s="4" t="str">
        <v/>
      </c>
      <c r="F33317" s="102" t="str">
        <f ca="1">IFERROR(__xludf.DUMMYFUNCTION("IMPORTRANGE(H33317,""IDENTITAS UNIT!D9"")"),"#N/A")</f>
        <v>#N/A</v>
      </c>
      <c r="H33317" s="4" t="str">
        <v/>
      </c>
      <c r="I33317" s="4" t="str">
        <v/>
      </c>
    </row>
    <row r="33318" spans="5:9" ht="16.5" hidden="1">
      <c r="E33318" s="4" t="str">
        <v/>
      </c>
      <c r="F33318" s="102" t="str">
        <f ca="1">IFERROR(__xludf.DUMMYFUNCTION("IMPORTRANGE(H33318,""IDENTITAS UNIT!D9"")"),"#N/A")</f>
        <v>#N/A</v>
      </c>
      <c r="H33318" s="4" t="str">
        <v/>
      </c>
      <c r="I33318" s="4" t="str">
        <v/>
      </c>
    </row>
    <row r="33319" spans="5:9" ht="16.5" hidden="1">
      <c r="E33319" s="4" t="str">
        <v/>
      </c>
      <c r="F33319" s="102" t="str">
        <f ca="1">IFERROR(__xludf.DUMMYFUNCTION("IMPORTRANGE(H33319,""IDENTITAS UNIT!D9"")"),"#N/A")</f>
        <v>#N/A</v>
      </c>
      <c r="H33319" s="4" t="str">
        <v/>
      </c>
      <c r="I33319" s="4" t="str">
        <v/>
      </c>
    </row>
    <row r="33320" spans="5:9" ht="16.5" hidden="1">
      <c r="E33320" s="4" t="str">
        <v/>
      </c>
      <c r="F33320" s="102" t="str">
        <f ca="1">IFERROR(__xludf.DUMMYFUNCTION("IMPORTRANGE(H33320,""IDENTITAS UNIT!D9"")"),"#N/A")</f>
        <v>#N/A</v>
      </c>
      <c r="H33320" s="4" t="str">
        <v/>
      </c>
      <c r="I33320" s="4" t="str">
        <v/>
      </c>
    </row>
    <row r="33321" spans="5:9" ht="16.5" hidden="1">
      <c r="E33321" s="4" t="str">
        <v/>
      </c>
      <c r="F33321" s="102" t="str">
        <f ca="1">IFERROR(__xludf.DUMMYFUNCTION("IMPORTRANGE(H33321,""IDENTITAS UNIT!D9"")"),"#N/A")</f>
        <v>#N/A</v>
      </c>
      <c r="H33321" s="4" t="str">
        <v/>
      </c>
      <c r="I33321" s="4" t="str">
        <v/>
      </c>
    </row>
    <row r="33322" spans="5:9" ht="16.5" hidden="1">
      <c r="E33322" s="4" t="str">
        <v/>
      </c>
      <c r="F33322" s="102" t="str">
        <f ca="1">IFERROR(__xludf.DUMMYFUNCTION("IMPORTRANGE(H33322,""IDENTITAS UNIT!D9"")"),"#N/A")</f>
        <v>#N/A</v>
      </c>
      <c r="H33322" s="4" t="str">
        <v/>
      </c>
      <c r="I33322" s="4" t="str">
        <v/>
      </c>
    </row>
    <row r="33323" spans="5:9" ht="16.5" hidden="1">
      <c r="E33323" s="4" t="str">
        <v/>
      </c>
      <c r="F33323" s="102" t="str">
        <f ca="1">IFERROR(__xludf.DUMMYFUNCTION("IMPORTRANGE(H33323,""IDENTITAS UNIT!D9"")"),"#N/A")</f>
        <v>#N/A</v>
      </c>
      <c r="H33323" s="4" t="str">
        <v/>
      </c>
      <c r="I33323" s="4" t="str">
        <v/>
      </c>
    </row>
    <row r="33324" spans="5:9" ht="16.5" hidden="1">
      <c r="E33324" s="4" t="str">
        <v/>
      </c>
      <c r="F33324" s="102" t="str">
        <f ca="1">IFERROR(__xludf.DUMMYFUNCTION("IMPORTRANGE(H33324,""IDENTITAS UNIT!D9"")"),"#N/A")</f>
        <v>#N/A</v>
      </c>
      <c r="H33324" s="4" t="str">
        <v/>
      </c>
      <c r="I33324" s="4" t="str">
        <v/>
      </c>
    </row>
    <row r="33325" spans="5:9" ht="16.5" hidden="1">
      <c r="E33325" s="4" t="str">
        <v/>
      </c>
      <c r="F33325" s="102" t="str">
        <f ca="1">IFERROR(__xludf.DUMMYFUNCTION("IMPORTRANGE(H33325,""IDENTITAS UNIT!D9"")"),"#N/A")</f>
        <v>#N/A</v>
      </c>
      <c r="H33325" s="4" t="str">
        <v/>
      </c>
      <c r="I33325" s="4" t="str">
        <v/>
      </c>
    </row>
    <row r="33326" spans="5:9" ht="16.5" hidden="1">
      <c r="E33326" s="4" t="str">
        <v/>
      </c>
      <c r="F33326" s="102" t="str">
        <f ca="1">IFERROR(__xludf.DUMMYFUNCTION("IMPORTRANGE(H33326,""IDENTITAS UNIT!D9"")"),"#N/A")</f>
        <v>#N/A</v>
      </c>
      <c r="H33326" s="4" t="str">
        <v/>
      </c>
      <c r="I33326" s="4" t="str">
        <v/>
      </c>
    </row>
    <row r="33327" spans="5:9" ht="16.5" hidden="1">
      <c r="E33327" s="4" t="str">
        <v/>
      </c>
      <c r="F33327" s="102" t="str">
        <f ca="1">IFERROR(__xludf.DUMMYFUNCTION("IMPORTRANGE(H33327,""IDENTITAS UNIT!D9"")"),"#N/A")</f>
        <v>#N/A</v>
      </c>
      <c r="H33327" s="4" t="str">
        <v/>
      </c>
      <c r="I33327" s="4" t="str">
        <v/>
      </c>
    </row>
    <row r="33328" spans="5:9" ht="16.5" hidden="1">
      <c r="E33328" s="4" t="str">
        <v/>
      </c>
      <c r="F33328" s="102" t="str">
        <f ca="1">IFERROR(__xludf.DUMMYFUNCTION("IMPORTRANGE(H33328,""IDENTITAS UNIT!D9"")"),"#N/A")</f>
        <v>#N/A</v>
      </c>
      <c r="H33328" s="4" t="str">
        <v/>
      </c>
      <c r="I33328" s="4" t="str">
        <v/>
      </c>
    </row>
    <row r="33329" spans="5:9" ht="16.5" hidden="1">
      <c r="E33329" s="4" t="str">
        <v/>
      </c>
      <c r="F33329" s="102" t="str">
        <f ca="1">IFERROR(__xludf.DUMMYFUNCTION("IMPORTRANGE(H33329,""IDENTITAS UNIT!D9"")"),"#N/A")</f>
        <v>#N/A</v>
      </c>
      <c r="H33329" s="4" t="str">
        <v/>
      </c>
      <c r="I33329" s="4" t="str">
        <v/>
      </c>
    </row>
    <row r="33330" spans="5:9" ht="16.5" hidden="1">
      <c r="E33330" s="4" t="str">
        <v/>
      </c>
      <c r="F33330" s="102" t="str">
        <f ca="1">IFERROR(__xludf.DUMMYFUNCTION("IMPORTRANGE(H33330,""IDENTITAS UNIT!D9"")"),"#N/A")</f>
        <v>#N/A</v>
      </c>
      <c r="H33330" s="4" t="str">
        <v/>
      </c>
      <c r="I33330" s="4" t="str">
        <v/>
      </c>
    </row>
    <row r="33331" spans="5:9" ht="16.5" hidden="1">
      <c r="E33331" s="4" t="str">
        <v/>
      </c>
      <c r="F33331" s="102" t="str">
        <f ca="1">IFERROR(__xludf.DUMMYFUNCTION("IMPORTRANGE(H33331,""IDENTITAS UNIT!D9"")"),"#N/A")</f>
        <v>#N/A</v>
      </c>
      <c r="H33331" s="4" t="str">
        <v/>
      </c>
      <c r="I33331" s="4" t="str">
        <v/>
      </c>
    </row>
    <row r="33332" spans="5:9" ht="16.5" hidden="1">
      <c r="E33332" s="4" t="str">
        <v/>
      </c>
      <c r="F33332" s="102" t="str">
        <f ca="1">IFERROR(__xludf.DUMMYFUNCTION("IMPORTRANGE(H33332,""IDENTITAS UNIT!D9"")"),"#N/A")</f>
        <v>#N/A</v>
      </c>
      <c r="H33332" s="4" t="str">
        <v/>
      </c>
      <c r="I33332" s="4" t="str">
        <v/>
      </c>
    </row>
    <row r="33333" spans="5:9" ht="16.5" hidden="1">
      <c r="E33333" s="4" t="str">
        <v/>
      </c>
      <c r="F33333" s="102" t="str">
        <f ca="1">IFERROR(__xludf.DUMMYFUNCTION("IMPORTRANGE(H33333,""IDENTITAS UNIT!D9"")"),"#N/A")</f>
        <v>#N/A</v>
      </c>
      <c r="H33333" s="4" t="str">
        <v/>
      </c>
      <c r="I33333" s="4" t="str">
        <v/>
      </c>
    </row>
    <row r="33334" spans="5:9" ht="16.5" hidden="1">
      <c r="E33334" s="4" t="str">
        <v/>
      </c>
      <c r="F33334" s="102" t="str">
        <f ca="1">IFERROR(__xludf.DUMMYFUNCTION("IMPORTRANGE(H33334,""IDENTITAS UNIT!D9"")"),"#N/A")</f>
        <v>#N/A</v>
      </c>
      <c r="H33334" s="4" t="str">
        <v/>
      </c>
      <c r="I33334" s="4" t="str">
        <v/>
      </c>
    </row>
    <row r="33335" spans="5:9" ht="16.5" hidden="1">
      <c r="E33335" s="4" t="str">
        <v/>
      </c>
      <c r="F33335" s="102" t="str">
        <f ca="1">IFERROR(__xludf.DUMMYFUNCTION("IMPORTRANGE(H33335,""IDENTITAS UNIT!D9"")"),"#N/A")</f>
        <v>#N/A</v>
      </c>
      <c r="H33335" s="4" t="str">
        <v/>
      </c>
      <c r="I33335" s="4" t="str">
        <v/>
      </c>
    </row>
    <row r="33336" spans="5:9" ht="16.5" hidden="1">
      <c r="E33336" s="4" t="str">
        <v/>
      </c>
      <c r="F33336" s="102" t="str">
        <f ca="1">IFERROR(__xludf.DUMMYFUNCTION("IMPORTRANGE(H33336,""IDENTITAS UNIT!D9"")"),"#N/A")</f>
        <v>#N/A</v>
      </c>
      <c r="H33336" s="4" t="str">
        <v/>
      </c>
      <c r="I33336" s="4" t="str">
        <v/>
      </c>
    </row>
    <row r="33337" spans="5:9" ht="16.5" hidden="1">
      <c r="E33337" s="4" t="str">
        <v/>
      </c>
      <c r="F33337" s="102" t="str">
        <f ca="1">IFERROR(__xludf.DUMMYFUNCTION("IMPORTRANGE(H33337,""IDENTITAS UNIT!D9"")"),"#N/A")</f>
        <v>#N/A</v>
      </c>
      <c r="H33337" s="4" t="str">
        <v/>
      </c>
      <c r="I33337" s="4" t="str">
        <v/>
      </c>
    </row>
    <row r="33338" spans="5:9" ht="16.5" hidden="1">
      <c r="E33338" s="4" t="str">
        <v/>
      </c>
      <c r="F33338" s="102" t="str">
        <f ca="1">IFERROR(__xludf.DUMMYFUNCTION("IMPORTRANGE(H33338,""IDENTITAS UNIT!D9"")"),"#N/A")</f>
        <v>#N/A</v>
      </c>
      <c r="H33338" s="4" t="str">
        <v/>
      </c>
      <c r="I33338" s="4" t="str">
        <v/>
      </c>
    </row>
    <row r="33339" spans="5:9" ht="16.5" hidden="1">
      <c r="E33339" s="4" t="str">
        <v/>
      </c>
      <c r="F33339" s="102" t="str">
        <f ca="1">IFERROR(__xludf.DUMMYFUNCTION("IMPORTRANGE(H33339,""IDENTITAS UNIT!D9"")"),"#N/A")</f>
        <v>#N/A</v>
      </c>
      <c r="H33339" s="4" t="str">
        <v/>
      </c>
      <c r="I33339" s="4" t="str">
        <v/>
      </c>
    </row>
    <row r="33340" spans="5:9" ht="16.5" hidden="1">
      <c r="E33340" s="4" t="str">
        <v/>
      </c>
      <c r="F33340" s="102" t="str">
        <f ca="1">IFERROR(__xludf.DUMMYFUNCTION("IMPORTRANGE(H33340,""IDENTITAS UNIT!D9"")"),"#N/A")</f>
        <v>#N/A</v>
      </c>
      <c r="H33340" s="4" t="str">
        <v/>
      </c>
      <c r="I33340" s="4" t="str">
        <v/>
      </c>
    </row>
    <row r="33341" spans="5:9" ht="16.5" hidden="1">
      <c r="E33341" s="4" t="str">
        <v/>
      </c>
      <c r="F33341" s="102" t="str">
        <f ca="1">IFERROR(__xludf.DUMMYFUNCTION("IMPORTRANGE(H33341,""IDENTITAS UNIT!D9"")"),"#N/A")</f>
        <v>#N/A</v>
      </c>
      <c r="H33341" s="4" t="str">
        <v/>
      </c>
      <c r="I33341" s="4" t="str">
        <v/>
      </c>
    </row>
    <row r="33342" spans="5:9" ht="16.5" hidden="1">
      <c r="E33342" s="4" t="str">
        <v/>
      </c>
      <c r="F33342" s="102" t="str">
        <f ca="1">IFERROR(__xludf.DUMMYFUNCTION("IMPORTRANGE(H33342,""IDENTITAS UNIT!D9"")"),"#N/A")</f>
        <v>#N/A</v>
      </c>
      <c r="H33342" s="4" t="str">
        <v/>
      </c>
      <c r="I33342" s="4" t="str">
        <v/>
      </c>
    </row>
    <row r="33343" spans="5:9" ht="16.5" hidden="1">
      <c r="E33343" s="4" t="str">
        <v/>
      </c>
      <c r="F33343" s="102" t="str">
        <f ca="1">IFERROR(__xludf.DUMMYFUNCTION("IMPORTRANGE(H33343,""IDENTITAS UNIT!D9"")"),"#N/A")</f>
        <v>#N/A</v>
      </c>
      <c r="H33343" s="4" t="str">
        <v/>
      </c>
      <c r="I33343" s="4" t="str">
        <v/>
      </c>
    </row>
    <row r="33344" spans="5:9" ht="16.5" hidden="1">
      <c r="E33344" s="4" t="str">
        <v/>
      </c>
      <c r="F33344" s="102" t="str">
        <f ca="1">IFERROR(__xludf.DUMMYFUNCTION("IMPORTRANGE(H33344,""IDENTITAS UNIT!D9"")"),"#N/A")</f>
        <v>#N/A</v>
      </c>
      <c r="H33344" s="4" t="str">
        <v/>
      </c>
      <c r="I33344" s="4" t="str">
        <v/>
      </c>
    </row>
    <row r="33345" spans="5:9" ht="16.5" hidden="1">
      <c r="E33345" s="4" t="str">
        <v/>
      </c>
      <c r="F33345" s="102" t="str">
        <f ca="1">IFERROR(__xludf.DUMMYFUNCTION("IMPORTRANGE(H33345,""IDENTITAS UNIT!D9"")"),"#N/A")</f>
        <v>#N/A</v>
      </c>
      <c r="H33345" s="4" t="str">
        <v/>
      </c>
      <c r="I33345" s="4" t="str">
        <v/>
      </c>
    </row>
    <row r="33346" spans="5:9" ht="16.5" hidden="1">
      <c r="E33346" s="4" t="str">
        <v/>
      </c>
      <c r="F33346" s="102" t="str">
        <f ca="1">IFERROR(__xludf.DUMMYFUNCTION("IMPORTRANGE(H33346,""IDENTITAS UNIT!D9"")"),"#N/A")</f>
        <v>#N/A</v>
      </c>
      <c r="H33346" s="4" t="str">
        <v/>
      </c>
      <c r="I33346" s="4" t="str">
        <v/>
      </c>
    </row>
    <row r="33347" spans="5:9" ht="16.5" hidden="1">
      <c r="E33347" s="4" t="str">
        <v/>
      </c>
      <c r="F33347" s="102" t="str">
        <f ca="1">IFERROR(__xludf.DUMMYFUNCTION("IMPORTRANGE(H33347,""IDENTITAS UNIT!D9"")"),"#N/A")</f>
        <v>#N/A</v>
      </c>
      <c r="H33347" s="4" t="str">
        <v/>
      </c>
      <c r="I33347" s="4" t="str">
        <v/>
      </c>
    </row>
    <row r="33348" spans="5:9" ht="16.5" hidden="1">
      <c r="E33348" s="4" t="str">
        <v/>
      </c>
      <c r="F33348" s="102" t="str">
        <f ca="1">IFERROR(__xludf.DUMMYFUNCTION("IMPORTRANGE(H33348,""IDENTITAS UNIT!D9"")"),"#N/A")</f>
        <v>#N/A</v>
      </c>
      <c r="H33348" s="4" t="str">
        <v/>
      </c>
      <c r="I33348" s="4" t="str">
        <v/>
      </c>
    </row>
    <row r="33349" spans="5:9" ht="16.5" hidden="1">
      <c r="E33349" s="4" t="str">
        <v/>
      </c>
      <c r="F33349" s="102" t="str">
        <f ca="1">IFERROR(__xludf.DUMMYFUNCTION("IMPORTRANGE(H33349,""IDENTITAS UNIT!D9"")"),"#N/A")</f>
        <v>#N/A</v>
      </c>
      <c r="H33349" s="4" t="str">
        <v/>
      </c>
      <c r="I33349" s="4" t="str">
        <v/>
      </c>
    </row>
    <row r="33350" spans="5:9" ht="16.5" hidden="1">
      <c r="E33350" s="4" t="str">
        <v/>
      </c>
      <c r="F33350" s="102" t="str">
        <f ca="1">IFERROR(__xludf.DUMMYFUNCTION("IMPORTRANGE(H33350,""IDENTITAS UNIT!D9"")"),"#N/A")</f>
        <v>#N/A</v>
      </c>
      <c r="H33350" s="4" t="str">
        <v/>
      </c>
      <c r="I33350" s="4" t="str">
        <v/>
      </c>
    </row>
    <row r="33351" spans="5:9" ht="16.5" hidden="1">
      <c r="E33351" s="4" t="str">
        <v/>
      </c>
      <c r="F33351" s="102" t="str">
        <f ca="1">IFERROR(__xludf.DUMMYFUNCTION("IMPORTRANGE(H33351,""IDENTITAS UNIT!D9"")"),"#N/A")</f>
        <v>#N/A</v>
      </c>
      <c r="H33351" s="4" t="str">
        <v/>
      </c>
      <c r="I33351" s="4" t="str">
        <v/>
      </c>
    </row>
    <row r="33352" spans="5:9" ht="16.5" hidden="1">
      <c r="E33352" s="4" t="str">
        <v/>
      </c>
      <c r="F33352" s="102" t="str">
        <f ca="1">IFERROR(__xludf.DUMMYFUNCTION("IMPORTRANGE(H33352,""IDENTITAS UNIT!D9"")"),"#N/A")</f>
        <v>#N/A</v>
      </c>
      <c r="H33352" s="4" t="str">
        <v/>
      </c>
      <c r="I33352" s="4" t="str">
        <v/>
      </c>
    </row>
    <row r="33353" spans="5:9" ht="16.5" hidden="1">
      <c r="E33353" s="4" t="str">
        <v/>
      </c>
      <c r="F33353" s="102" t="str">
        <f ca="1">IFERROR(__xludf.DUMMYFUNCTION("IMPORTRANGE(H33353,""IDENTITAS UNIT!D9"")"),"#N/A")</f>
        <v>#N/A</v>
      </c>
      <c r="H33353" s="4" t="str">
        <v/>
      </c>
      <c r="I33353" s="4" t="str">
        <v/>
      </c>
    </row>
    <row r="33354" spans="5:9" ht="16.5" hidden="1">
      <c r="E33354" s="4" t="str">
        <v/>
      </c>
      <c r="F33354" s="102" t="str">
        <f ca="1">IFERROR(__xludf.DUMMYFUNCTION("IMPORTRANGE(H33354,""IDENTITAS UNIT!D9"")"),"#N/A")</f>
        <v>#N/A</v>
      </c>
      <c r="H33354" s="4" t="str">
        <v/>
      </c>
      <c r="I33354" s="4" t="str">
        <v/>
      </c>
    </row>
    <row r="33355" spans="5:9" ht="16.5" hidden="1">
      <c r="E33355" s="4" t="str">
        <v/>
      </c>
      <c r="F33355" s="102" t="str">
        <f ca="1">IFERROR(__xludf.DUMMYFUNCTION("IMPORTRANGE(H33355,""IDENTITAS UNIT!D9"")"),"#N/A")</f>
        <v>#N/A</v>
      </c>
      <c r="H33355" s="4" t="str">
        <v/>
      </c>
      <c r="I33355" s="4" t="str">
        <v/>
      </c>
    </row>
    <row r="33356" spans="5:9" ht="16.5" hidden="1">
      <c r="E33356" s="4" t="str">
        <v/>
      </c>
      <c r="F33356" s="102" t="str">
        <f ca="1">IFERROR(__xludf.DUMMYFUNCTION("IMPORTRANGE(H33356,""IDENTITAS UNIT!D9"")"),"#N/A")</f>
        <v>#N/A</v>
      </c>
      <c r="H33356" s="4" t="str">
        <v/>
      </c>
      <c r="I33356" s="4" t="str">
        <v/>
      </c>
    </row>
    <row r="33357" spans="5:9" ht="16.5" hidden="1">
      <c r="E33357" s="4" t="str">
        <v/>
      </c>
      <c r="F33357" s="102" t="str">
        <f ca="1">IFERROR(__xludf.DUMMYFUNCTION("IMPORTRANGE(H33357,""IDENTITAS UNIT!D9"")"),"#N/A")</f>
        <v>#N/A</v>
      </c>
      <c r="H33357" s="4" t="str">
        <v/>
      </c>
      <c r="I33357" s="4" t="str">
        <v/>
      </c>
    </row>
    <row r="33358" spans="5:9" ht="16.5" hidden="1">
      <c r="E33358" s="4" t="str">
        <v/>
      </c>
      <c r="F33358" s="102" t="str">
        <f ca="1">IFERROR(__xludf.DUMMYFUNCTION("IMPORTRANGE(H33358,""IDENTITAS UNIT!D9"")"),"#N/A")</f>
        <v>#N/A</v>
      </c>
      <c r="H33358" s="4" t="str">
        <v/>
      </c>
      <c r="I33358" s="4" t="str">
        <v/>
      </c>
    </row>
    <row r="33359" spans="5:9" ht="16.5" hidden="1">
      <c r="E33359" s="4" t="str">
        <v/>
      </c>
      <c r="F33359" s="102" t="str">
        <f ca="1">IFERROR(__xludf.DUMMYFUNCTION("IMPORTRANGE(H33359,""IDENTITAS UNIT!D9"")"),"#N/A")</f>
        <v>#N/A</v>
      </c>
      <c r="H33359" s="4" t="str">
        <v/>
      </c>
      <c r="I33359" s="4" t="str">
        <v/>
      </c>
    </row>
    <row r="33360" spans="5:9" ht="16.5" hidden="1">
      <c r="E33360" s="4" t="str">
        <v/>
      </c>
      <c r="F33360" s="102" t="str">
        <f ca="1">IFERROR(__xludf.DUMMYFUNCTION("IMPORTRANGE(H33360,""IDENTITAS UNIT!D9"")"),"#N/A")</f>
        <v>#N/A</v>
      </c>
      <c r="H33360" s="4" t="str">
        <v/>
      </c>
      <c r="I33360" s="4" t="str">
        <v/>
      </c>
    </row>
    <row r="33361" spans="5:9" ht="16.5" hidden="1">
      <c r="E33361" s="4" t="str">
        <v/>
      </c>
      <c r="F33361" s="102" t="str">
        <f ca="1">IFERROR(__xludf.DUMMYFUNCTION("IMPORTRANGE(H33361,""IDENTITAS UNIT!D9"")"),"#N/A")</f>
        <v>#N/A</v>
      </c>
      <c r="H33361" s="4" t="str">
        <v/>
      </c>
      <c r="I33361" s="4" t="str">
        <v/>
      </c>
    </row>
    <row r="33362" spans="5:9" ht="16.5" hidden="1">
      <c r="E33362" s="4" t="str">
        <v/>
      </c>
      <c r="F33362" s="102" t="str">
        <f ca="1">IFERROR(__xludf.DUMMYFUNCTION("IMPORTRANGE(H33362,""IDENTITAS UNIT!D9"")"),"#N/A")</f>
        <v>#N/A</v>
      </c>
      <c r="H33362" s="4" t="str">
        <v/>
      </c>
      <c r="I33362" s="4" t="str">
        <v/>
      </c>
    </row>
    <row r="33363" spans="5:9" ht="16.5" hidden="1">
      <c r="E33363" s="4" t="str">
        <v/>
      </c>
      <c r="F33363" s="102" t="str">
        <f ca="1">IFERROR(__xludf.DUMMYFUNCTION("IMPORTRANGE(H33363,""IDENTITAS UNIT!D9"")"),"#N/A")</f>
        <v>#N/A</v>
      </c>
      <c r="H33363" s="4" t="str">
        <v/>
      </c>
      <c r="I33363" s="4" t="str">
        <v/>
      </c>
    </row>
    <row r="33364" spans="5:9" ht="16.5" hidden="1">
      <c r="E33364" s="4" t="str">
        <v/>
      </c>
      <c r="F33364" s="102" t="str">
        <f ca="1">IFERROR(__xludf.DUMMYFUNCTION("IMPORTRANGE(H33364,""IDENTITAS UNIT!D9"")"),"#N/A")</f>
        <v>#N/A</v>
      </c>
      <c r="H33364" s="4" t="str">
        <v/>
      </c>
      <c r="I33364" s="4" t="str">
        <v/>
      </c>
    </row>
    <row r="33365" spans="5:9" ht="16.5" hidden="1">
      <c r="E33365" s="4" t="str">
        <v/>
      </c>
      <c r="F33365" s="102" t="str">
        <f ca="1">IFERROR(__xludf.DUMMYFUNCTION("IMPORTRANGE(H33365,""IDENTITAS UNIT!D9"")"),"#N/A")</f>
        <v>#N/A</v>
      </c>
      <c r="H33365" s="4" t="str">
        <v/>
      </c>
      <c r="I33365" s="4" t="str">
        <v/>
      </c>
    </row>
    <row r="33366" spans="5:9" ht="16.5" hidden="1">
      <c r="E33366" s="4" t="str">
        <v/>
      </c>
      <c r="F33366" s="102" t="str">
        <f ca="1">IFERROR(__xludf.DUMMYFUNCTION("IMPORTRANGE(H33366,""IDENTITAS UNIT!D9"")"),"#N/A")</f>
        <v>#N/A</v>
      </c>
      <c r="H33366" s="4" t="str">
        <v/>
      </c>
      <c r="I33366" s="4" t="str">
        <v/>
      </c>
    </row>
    <row r="33367" spans="5:9" ht="16.5" hidden="1">
      <c r="E33367" s="4" t="str">
        <v/>
      </c>
      <c r="F33367" s="102" t="str">
        <f ca="1">IFERROR(__xludf.DUMMYFUNCTION("IMPORTRANGE(H33367,""IDENTITAS UNIT!D9"")"),"#N/A")</f>
        <v>#N/A</v>
      </c>
      <c r="H33367" s="4" t="str">
        <v/>
      </c>
      <c r="I33367" s="4" t="str">
        <v/>
      </c>
    </row>
    <row r="33368" spans="5:9" ht="16.5" hidden="1">
      <c r="E33368" s="4" t="str">
        <v/>
      </c>
      <c r="F33368" s="102" t="str">
        <f ca="1">IFERROR(__xludf.DUMMYFUNCTION("IMPORTRANGE(H33368,""IDENTITAS UNIT!D9"")"),"#N/A")</f>
        <v>#N/A</v>
      </c>
      <c r="H33368" s="4" t="str">
        <v/>
      </c>
      <c r="I33368" s="4" t="str">
        <v/>
      </c>
    </row>
    <row r="33369" spans="5:9" ht="16.5" hidden="1">
      <c r="E33369" s="4" t="str">
        <v/>
      </c>
      <c r="F33369" s="102" t="str">
        <f ca="1">IFERROR(__xludf.DUMMYFUNCTION("IMPORTRANGE(H33369,""IDENTITAS UNIT!D9"")"),"#N/A")</f>
        <v>#N/A</v>
      </c>
      <c r="H33369" s="4" t="str">
        <v/>
      </c>
      <c r="I33369" s="4" t="str">
        <v/>
      </c>
    </row>
    <row r="33370" spans="5:9" ht="16.5" hidden="1">
      <c r="E33370" s="4" t="str">
        <v/>
      </c>
      <c r="F33370" s="102" t="str">
        <f ca="1">IFERROR(__xludf.DUMMYFUNCTION("IMPORTRANGE(H33370,""IDENTITAS UNIT!D9"")"),"#N/A")</f>
        <v>#N/A</v>
      </c>
      <c r="H33370" s="4" t="str">
        <v/>
      </c>
      <c r="I33370" s="4" t="str">
        <v/>
      </c>
    </row>
    <row r="33371" spans="5:9" ht="16.5" hidden="1">
      <c r="E33371" s="4" t="str">
        <v/>
      </c>
      <c r="F33371" s="102" t="str">
        <f ca="1">IFERROR(__xludf.DUMMYFUNCTION("IMPORTRANGE(H33371,""IDENTITAS UNIT!D9"")"),"#N/A")</f>
        <v>#N/A</v>
      </c>
      <c r="H33371" s="4" t="str">
        <v/>
      </c>
      <c r="I33371" s="4" t="str">
        <v/>
      </c>
    </row>
    <row r="33372" spans="5:9" ht="16.5" hidden="1">
      <c r="E33372" s="4" t="str">
        <v/>
      </c>
      <c r="F33372" s="102" t="str">
        <f ca="1">IFERROR(__xludf.DUMMYFUNCTION("IMPORTRANGE(H33372,""IDENTITAS UNIT!D9"")"),"#N/A")</f>
        <v>#N/A</v>
      </c>
      <c r="H33372" s="4" t="str">
        <v/>
      </c>
      <c r="I33372" s="4" t="str">
        <v/>
      </c>
    </row>
    <row r="33373" spans="5:9" ht="16.5" hidden="1">
      <c r="E33373" s="4" t="str">
        <v/>
      </c>
      <c r="F33373" s="102" t="str">
        <f ca="1">IFERROR(__xludf.DUMMYFUNCTION("IMPORTRANGE(H33373,""IDENTITAS UNIT!D9"")"),"#N/A")</f>
        <v>#N/A</v>
      </c>
      <c r="H33373" s="4" t="str">
        <v/>
      </c>
      <c r="I33373" s="4" t="str">
        <v/>
      </c>
    </row>
    <row r="33374" spans="5:9" ht="16.5" hidden="1">
      <c r="E33374" s="4" t="str">
        <v/>
      </c>
      <c r="F33374" s="102" t="str">
        <f ca="1">IFERROR(__xludf.DUMMYFUNCTION("IMPORTRANGE(H33374,""IDENTITAS UNIT!D9"")"),"#N/A")</f>
        <v>#N/A</v>
      </c>
      <c r="H33374" s="4" t="str">
        <v/>
      </c>
      <c r="I33374" s="4" t="str">
        <v/>
      </c>
    </row>
    <row r="33375" spans="5:9" ht="16.5" hidden="1">
      <c r="E33375" s="4" t="str">
        <v/>
      </c>
      <c r="F33375" s="102" t="str">
        <f ca="1">IFERROR(__xludf.DUMMYFUNCTION("IMPORTRANGE(H33375,""IDENTITAS UNIT!D9"")"),"#N/A")</f>
        <v>#N/A</v>
      </c>
      <c r="H33375" s="4" t="str">
        <v/>
      </c>
      <c r="I33375" s="4" t="str">
        <v/>
      </c>
    </row>
    <row r="33376" spans="5:9" ht="16.5" hidden="1">
      <c r="E33376" s="4" t="str">
        <v/>
      </c>
      <c r="F33376" s="102" t="str">
        <f ca="1">IFERROR(__xludf.DUMMYFUNCTION("IMPORTRANGE(H33376,""IDENTITAS UNIT!D9"")"),"#N/A")</f>
        <v>#N/A</v>
      </c>
      <c r="H33376" s="4" t="str">
        <v/>
      </c>
      <c r="I33376" s="4" t="str">
        <v/>
      </c>
    </row>
    <row r="33377" spans="5:9" ht="16.5" hidden="1">
      <c r="E33377" s="4" t="str">
        <v/>
      </c>
      <c r="F33377" s="102" t="str">
        <f ca="1">IFERROR(__xludf.DUMMYFUNCTION("IMPORTRANGE(H33377,""IDENTITAS UNIT!D9"")"),"#N/A")</f>
        <v>#N/A</v>
      </c>
      <c r="H33377" s="4" t="str">
        <v/>
      </c>
      <c r="I33377" s="4" t="str">
        <v/>
      </c>
    </row>
    <row r="33378" spans="5:9" ht="16.5" hidden="1">
      <c r="E33378" s="4" t="str">
        <v/>
      </c>
      <c r="F33378" s="102" t="str">
        <f ca="1">IFERROR(__xludf.DUMMYFUNCTION("IMPORTRANGE(H33378,""IDENTITAS UNIT!D9"")"),"#N/A")</f>
        <v>#N/A</v>
      </c>
      <c r="H33378" s="4" t="str">
        <v/>
      </c>
      <c r="I33378" s="4" t="str">
        <v/>
      </c>
    </row>
    <row r="33379" spans="5:9" ht="16.5" hidden="1">
      <c r="E33379" s="4" t="str">
        <v/>
      </c>
      <c r="F33379" s="102" t="str">
        <f ca="1">IFERROR(__xludf.DUMMYFUNCTION("IMPORTRANGE(H33379,""IDENTITAS UNIT!D9"")"),"#N/A")</f>
        <v>#N/A</v>
      </c>
      <c r="H33379" s="4" t="str">
        <v/>
      </c>
      <c r="I33379" s="4" t="str">
        <v/>
      </c>
    </row>
    <row r="33380" spans="5:9" ht="16.5" hidden="1">
      <c r="E33380" s="4" t="str">
        <v/>
      </c>
      <c r="F33380" s="102" t="str">
        <f ca="1">IFERROR(__xludf.DUMMYFUNCTION("IMPORTRANGE(H33380,""IDENTITAS UNIT!D9"")"),"#N/A")</f>
        <v>#N/A</v>
      </c>
      <c r="H33380" s="4" t="str">
        <v/>
      </c>
      <c r="I33380" s="4" t="str">
        <v/>
      </c>
    </row>
    <row r="33381" spans="5:9" ht="16.5" hidden="1">
      <c r="E33381" s="4" t="str">
        <v/>
      </c>
      <c r="F33381" s="102" t="str">
        <f ca="1">IFERROR(__xludf.DUMMYFUNCTION("IMPORTRANGE(H33381,""IDENTITAS UNIT!D9"")"),"#N/A")</f>
        <v>#N/A</v>
      </c>
      <c r="H33381" s="4" t="str">
        <v/>
      </c>
      <c r="I33381" s="4" t="str">
        <v/>
      </c>
    </row>
    <row r="33382" spans="5:9" ht="16.5" hidden="1">
      <c r="E33382" s="4" t="str">
        <v/>
      </c>
      <c r="F33382" s="102" t="str">
        <f ca="1">IFERROR(__xludf.DUMMYFUNCTION("IMPORTRANGE(H33382,""IDENTITAS UNIT!D9"")"),"#N/A")</f>
        <v>#N/A</v>
      </c>
      <c r="H33382" s="4" t="str">
        <v/>
      </c>
      <c r="I33382" s="4" t="str">
        <v/>
      </c>
    </row>
    <row r="33383" spans="5:9" ht="16.5" hidden="1">
      <c r="E33383" s="4" t="str">
        <v/>
      </c>
      <c r="F33383" s="102" t="str">
        <f ca="1">IFERROR(__xludf.DUMMYFUNCTION("IMPORTRANGE(H33383,""IDENTITAS UNIT!D9"")"),"#N/A")</f>
        <v>#N/A</v>
      </c>
      <c r="H33383" s="4" t="str">
        <v/>
      </c>
      <c r="I33383" s="4" t="str">
        <v/>
      </c>
    </row>
    <row r="33384" spans="5:9" ht="16.5" hidden="1">
      <c r="E33384" s="4" t="str">
        <v/>
      </c>
      <c r="F33384" s="102" t="str">
        <f ca="1">IFERROR(__xludf.DUMMYFUNCTION("IMPORTRANGE(H33384,""IDENTITAS UNIT!D9"")"),"#N/A")</f>
        <v>#N/A</v>
      </c>
      <c r="H33384" s="4" t="str">
        <v/>
      </c>
      <c r="I33384" s="4" t="str">
        <v/>
      </c>
    </row>
    <row r="33385" spans="5:9" ht="16.5" hidden="1">
      <c r="E33385" s="4" t="str">
        <v/>
      </c>
      <c r="F33385" s="102" t="str">
        <f ca="1">IFERROR(__xludf.DUMMYFUNCTION("IMPORTRANGE(H33385,""IDENTITAS UNIT!D9"")"),"#N/A")</f>
        <v>#N/A</v>
      </c>
      <c r="H33385" s="4" t="str">
        <v/>
      </c>
      <c r="I33385" s="4" t="str">
        <v/>
      </c>
    </row>
    <row r="33386" spans="5:9" ht="16.5" hidden="1">
      <c r="E33386" s="4" t="str">
        <v/>
      </c>
      <c r="F33386" s="102" t="str">
        <f ca="1">IFERROR(__xludf.DUMMYFUNCTION("IMPORTRANGE(H33386,""IDENTITAS UNIT!D9"")"),"#N/A")</f>
        <v>#N/A</v>
      </c>
      <c r="H33386" s="4" t="str">
        <v/>
      </c>
      <c r="I33386" s="4" t="str">
        <v/>
      </c>
    </row>
    <row r="33387" spans="5:9" ht="16.5" hidden="1">
      <c r="E33387" s="4" t="str">
        <v/>
      </c>
      <c r="F33387" s="102" t="str">
        <f ca="1">IFERROR(__xludf.DUMMYFUNCTION("IMPORTRANGE(H33387,""IDENTITAS UNIT!D9"")"),"#N/A")</f>
        <v>#N/A</v>
      </c>
      <c r="H33387" s="4" t="str">
        <v/>
      </c>
      <c r="I33387" s="4" t="str">
        <v/>
      </c>
    </row>
    <row r="33388" spans="5:9" ht="16.5" hidden="1">
      <c r="E33388" s="4" t="str">
        <v/>
      </c>
      <c r="F33388" s="102" t="str">
        <f ca="1">IFERROR(__xludf.DUMMYFUNCTION("IMPORTRANGE(H33388,""IDENTITAS UNIT!D9"")"),"#N/A")</f>
        <v>#N/A</v>
      </c>
      <c r="H33388" s="4" t="str">
        <v/>
      </c>
      <c r="I33388" s="4" t="str">
        <v/>
      </c>
    </row>
    <row r="33389" spans="5:9" ht="16.5" hidden="1">
      <c r="E33389" s="4" t="str">
        <v/>
      </c>
      <c r="F33389" s="102" t="str">
        <f ca="1">IFERROR(__xludf.DUMMYFUNCTION("IMPORTRANGE(H33389,""IDENTITAS UNIT!D9"")"),"#N/A")</f>
        <v>#N/A</v>
      </c>
      <c r="H33389" s="4" t="str">
        <v/>
      </c>
      <c r="I33389" s="4" t="str">
        <v/>
      </c>
    </row>
    <row r="33390" spans="5:9" ht="16.5" hidden="1">
      <c r="E33390" s="4" t="str">
        <v/>
      </c>
      <c r="F33390" s="102" t="str">
        <f ca="1">IFERROR(__xludf.DUMMYFUNCTION("IMPORTRANGE(H33390,""IDENTITAS UNIT!D9"")"),"#N/A")</f>
        <v>#N/A</v>
      </c>
      <c r="H33390" s="4" t="str">
        <v/>
      </c>
      <c r="I33390" s="4" t="str">
        <v/>
      </c>
    </row>
    <row r="33391" spans="5:9" ht="16.5" hidden="1">
      <c r="E33391" s="4" t="str">
        <v/>
      </c>
      <c r="F33391" s="102" t="str">
        <f ca="1">IFERROR(__xludf.DUMMYFUNCTION("IMPORTRANGE(H33391,""IDENTITAS UNIT!D9"")"),"#N/A")</f>
        <v>#N/A</v>
      </c>
      <c r="H33391" s="4" t="str">
        <v/>
      </c>
      <c r="I33391" s="4" t="str">
        <v/>
      </c>
    </row>
    <row r="33392" spans="5:9" ht="16.5" hidden="1">
      <c r="E33392" s="4" t="str">
        <v/>
      </c>
      <c r="F33392" s="102" t="str">
        <f ca="1">IFERROR(__xludf.DUMMYFUNCTION("IMPORTRANGE(H33392,""IDENTITAS UNIT!D9"")"),"#N/A")</f>
        <v>#N/A</v>
      </c>
      <c r="H33392" s="4" t="str">
        <v/>
      </c>
      <c r="I33392" s="4" t="str">
        <v/>
      </c>
    </row>
    <row r="33393" spans="5:9" ht="16.5" hidden="1">
      <c r="E33393" s="4" t="str">
        <v/>
      </c>
      <c r="F33393" s="102" t="str">
        <f ca="1">IFERROR(__xludf.DUMMYFUNCTION("IMPORTRANGE(H33393,""IDENTITAS UNIT!D9"")"),"#N/A")</f>
        <v>#N/A</v>
      </c>
      <c r="H33393" s="4" t="str">
        <v/>
      </c>
      <c r="I33393" s="4" t="str">
        <v/>
      </c>
    </row>
    <row r="33394" spans="5:9" ht="16.5" hidden="1">
      <c r="E33394" s="4" t="str">
        <v/>
      </c>
      <c r="F33394" s="102" t="str">
        <f ca="1">IFERROR(__xludf.DUMMYFUNCTION("IMPORTRANGE(H33394,""IDENTITAS UNIT!D9"")"),"#N/A")</f>
        <v>#N/A</v>
      </c>
      <c r="H33394" s="4" t="str">
        <v/>
      </c>
      <c r="I33394" s="4" t="str">
        <v/>
      </c>
    </row>
    <row r="33395" spans="5:9" ht="16.5" hidden="1">
      <c r="E33395" s="4" t="str">
        <v/>
      </c>
      <c r="F33395" s="102" t="str">
        <f ca="1">IFERROR(__xludf.DUMMYFUNCTION("IMPORTRANGE(H33395,""IDENTITAS UNIT!D9"")"),"#N/A")</f>
        <v>#N/A</v>
      </c>
      <c r="H33395" s="4" t="str">
        <v/>
      </c>
      <c r="I33395" s="4" t="str">
        <v/>
      </c>
    </row>
    <row r="33396" spans="5:9" ht="16.5" hidden="1">
      <c r="E33396" s="4" t="str">
        <v/>
      </c>
      <c r="F33396" s="102" t="str">
        <f ca="1">IFERROR(__xludf.DUMMYFUNCTION("IMPORTRANGE(H33396,""IDENTITAS UNIT!D9"")"),"#N/A")</f>
        <v>#N/A</v>
      </c>
      <c r="H33396" s="4" t="str">
        <v/>
      </c>
      <c r="I33396" s="4" t="str">
        <v/>
      </c>
    </row>
    <row r="33397" spans="5:9" ht="16.5" hidden="1">
      <c r="E33397" s="4" t="str">
        <v/>
      </c>
      <c r="F33397" s="102" t="str">
        <f ca="1">IFERROR(__xludf.DUMMYFUNCTION("IMPORTRANGE(H33397,""IDENTITAS UNIT!D9"")"),"#N/A")</f>
        <v>#N/A</v>
      </c>
      <c r="H33397" s="4" t="str">
        <v/>
      </c>
      <c r="I33397" s="4" t="str">
        <v/>
      </c>
    </row>
    <row r="33398" spans="5:9" ht="16.5" hidden="1">
      <c r="E33398" s="4" t="str">
        <v/>
      </c>
      <c r="F33398" s="102" t="str">
        <f ca="1">IFERROR(__xludf.DUMMYFUNCTION("IMPORTRANGE(H33398,""IDENTITAS UNIT!D9"")"),"#N/A")</f>
        <v>#N/A</v>
      </c>
      <c r="H33398" s="4" t="str">
        <v/>
      </c>
      <c r="I33398" s="4" t="str">
        <v/>
      </c>
    </row>
    <row r="33399" spans="5:9" ht="16.5" hidden="1">
      <c r="E33399" s="4" t="str">
        <v/>
      </c>
      <c r="F33399" s="102" t="str">
        <f ca="1">IFERROR(__xludf.DUMMYFUNCTION("IMPORTRANGE(H33399,""IDENTITAS UNIT!D9"")"),"#N/A")</f>
        <v>#N/A</v>
      </c>
      <c r="H33399" s="4" t="str">
        <v/>
      </c>
      <c r="I33399" s="4" t="str">
        <v/>
      </c>
    </row>
    <row r="33400" spans="5:9" ht="16.5" hidden="1">
      <c r="E33400" s="4" t="str">
        <v/>
      </c>
      <c r="F33400" s="102" t="str">
        <f ca="1">IFERROR(__xludf.DUMMYFUNCTION("IMPORTRANGE(H33400,""IDENTITAS UNIT!D9"")"),"#N/A")</f>
        <v>#N/A</v>
      </c>
      <c r="H33400" s="4" t="str">
        <v/>
      </c>
      <c r="I33400" s="4" t="str">
        <v/>
      </c>
    </row>
    <row r="33401" spans="5:9" ht="16.5" hidden="1">
      <c r="E33401" s="4" t="str">
        <v/>
      </c>
      <c r="F33401" s="102" t="str">
        <f ca="1">IFERROR(__xludf.DUMMYFUNCTION("IMPORTRANGE(H33401,""IDENTITAS UNIT!D9"")"),"#N/A")</f>
        <v>#N/A</v>
      </c>
      <c r="H33401" s="4" t="str">
        <v/>
      </c>
      <c r="I33401" s="4" t="str">
        <v/>
      </c>
    </row>
    <row r="33402" spans="5:9" ht="16.5" hidden="1">
      <c r="E33402" s="4" t="str">
        <v/>
      </c>
      <c r="F33402" s="102" t="str">
        <f ca="1">IFERROR(__xludf.DUMMYFUNCTION("IMPORTRANGE(H33402,""IDENTITAS UNIT!D9"")"),"#N/A")</f>
        <v>#N/A</v>
      </c>
      <c r="H33402" s="4" t="str">
        <v/>
      </c>
      <c r="I33402" s="4" t="str">
        <v/>
      </c>
    </row>
    <row r="33403" spans="5:9" ht="16.5" hidden="1">
      <c r="E33403" s="4" t="str">
        <v/>
      </c>
      <c r="F33403" s="102" t="str">
        <f ca="1">IFERROR(__xludf.DUMMYFUNCTION("IMPORTRANGE(H33403,""IDENTITAS UNIT!D9"")"),"#N/A")</f>
        <v>#N/A</v>
      </c>
      <c r="H33403" s="4" t="str">
        <v/>
      </c>
      <c r="I33403" s="4" t="str">
        <v/>
      </c>
    </row>
    <row r="33404" spans="5:9" ht="16.5" hidden="1">
      <c r="E33404" s="4" t="str">
        <v/>
      </c>
      <c r="F33404" s="102" t="str">
        <f ca="1">IFERROR(__xludf.DUMMYFUNCTION("IMPORTRANGE(H33404,""IDENTITAS UNIT!D9"")"),"#N/A")</f>
        <v>#N/A</v>
      </c>
      <c r="H33404" s="4" t="str">
        <v/>
      </c>
      <c r="I33404" s="4" t="str">
        <v/>
      </c>
    </row>
    <row r="33405" spans="5:9" ht="16.5" hidden="1">
      <c r="E33405" s="4" t="str">
        <v/>
      </c>
      <c r="F33405" s="102" t="str">
        <f ca="1">IFERROR(__xludf.DUMMYFUNCTION("IMPORTRANGE(H33405,""IDENTITAS UNIT!D9"")"),"#N/A")</f>
        <v>#N/A</v>
      </c>
      <c r="H33405" s="4" t="str">
        <v/>
      </c>
      <c r="I33405" s="4" t="str">
        <v/>
      </c>
    </row>
    <row r="33406" spans="5:9" ht="16.5" hidden="1">
      <c r="E33406" s="4" t="str">
        <v/>
      </c>
      <c r="F33406" s="102" t="str">
        <f ca="1">IFERROR(__xludf.DUMMYFUNCTION("IMPORTRANGE(H33406,""IDENTITAS UNIT!D9"")"),"#N/A")</f>
        <v>#N/A</v>
      </c>
      <c r="H33406" s="4" t="str">
        <v/>
      </c>
      <c r="I33406" s="4" t="str">
        <v/>
      </c>
    </row>
    <row r="33407" spans="5:9" ht="16.5" hidden="1">
      <c r="E33407" s="4" t="str">
        <v/>
      </c>
      <c r="F33407" s="102" t="str">
        <f ca="1">IFERROR(__xludf.DUMMYFUNCTION("IMPORTRANGE(H33407,""IDENTITAS UNIT!D9"")"),"#N/A")</f>
        <v>#N/A</v>
      </c>
      <c r="H33407" s="4" t="str">
        <v/>
      </c>
      <c r="I33407" s="4" t="str">
        <v/>
      </c>
    </row>
    <row r="33408" spans="5:9" ht="16.5" hidden="1">
      <c r="E33408" s="4" t="str">
        <v/>
      </c>
      <c r="F33408" s="102" t="str">
        <f ca="1">IFERROR(__xludf.DUMMYFUNCTION("IMPORTRANGE(H33408,""IDENTITAS UNIT!D9"")"),"#N/A")</f>
        <v>#N/A</v>
      </c>
      <c r="H33408" s="4" t="str">
        <v/>
      </c>
      <c r="I33408" s="4" t="str">
        <v/>
      </c>
    </row>
    <row r="33409" spans="5:9" ht="16.5" hidden="1">
      <c r="E33409" s="4" t="str">
        <v/>
      </c>
      <c r="F33409" s="102" t="str">
        <f ca="1">IFERROR(__xludf.DUMMYFUNCTION("IMPORTRANGE(H33409,""IDENTITAS UNIT!D9"")"),"#N/A")</f>
        <v>#N/A</v>
      </c>
      <c r="H33409" s="4" t="str">
        <v/>
      </c>
      <c r="I33409" s="4" t="str">
        <v/>
      </c>
    </row>
    <row r="33410" spans="5:9" ht="16.5" hidden="1">
      <c r="E33410" s="4" t="str">
        <v/>
      </c>
      <c r="F33410" s="102" t="str">
        <f ca="1">IFERROR(__xludf.DUMMYFUNCTION("IMPORTRANGE(H33410,""IDENTITAS UNIT!D9"")"),"#N/A")</f>
        <v>#N/A</v>
      </c>
      <c r="H33410" s="4" t="str">
        <v/>
      </c>
      <c r="I33410" s="4" t="str">
        <v/>
      </c>
    </row>
    <row r="33411" spans="5:9" ht="16.5" hidden="1">
      <c r="E33411" s="4" t="str">
        <v/>
      </c>
      <c r="F33411" s="102" t="str">
        <f ca="1">IFERROR(__xludf.DUMMYFUNCTION("IMPORTRANGE(H33411,""IDENTITAS UNIT!D9"")"),"#N/A")</f>
        <v>#N/A</v>
      </c>
      <c r="H33411" s="4" t="str">
        <v/>
      </c>
      <c r="I33411" s="4" t="str">
        <v/>
      </c>
    </row>
    <row r="33412" spans="5:9" ht="16.5" hidden="1">
      <c r="E33412" s="4" t="str">
        <v/>
      </c>
      <c r="F33412" s="102" t="str">
        <f ca="1">IFERROR(__xludf.DUMMYFUNCTION("IMPORTRANGE(H33412,""IDENTITAS UNIT!D9"")"),"#N/A")</f>
        <v>#N/A</v>
      </c>
      <c r="H33412" s="4" t="str">
        <v/>
      </c>
      <c r="I33412" s="4" t="str">
        <v/>
      </c>
    </row>
    <row r="33413" spans="5:9" ht="16.5" hidden="1">
      <c r="E33413" s="4" t="str">
        <v/>
      </c>
      <c r="F33413" s="102" t="str">
        <f ca="1">IFERROR(__xludf.DUMMYFUNCTION("IMPORTRANGE(H33413,""IDENTITAS UNIT!D9"")"),"#N/A")</f>
        <v>#N/A</v>
      </c>
      <c r="H33413" s="4" t="str">
        <v/>
      </c>
      <c r="I33413" s="4" t="str">
        <v/>
      </c>
    </row>
    <row r="33414" spans="5:9" ht="16.5" hidden="1">
      <c r="E33414" s="4" t="str">
        <v/>
      </c>
      <c r="F33414" s="102" t="str">
        <f ca="1">IFERROR(__xludf.DUMMYFUNCTION("IMPORTRANGE(H33414,""IDENTITAS UNIT!D9"")"),"#N/A")</f>
        <v>#N/A</v>
      </c>
      <c r="H33414" s="4" t="str">
        <v/>
      </c>
      <c r="I33414" s="4" t="str">
        <v/>
      </c>
    </row>
    <row r="33415" spans="5:9" ht="16.5" hidden="1">
      <c r="E33415" s="4" t="str">
        <v/>
      </c>
      <c r="F33415" s="102" t="str">
        <f ca="1">IFERROR(__xludf.DUMMYFUNCTION("IMPORTRANGE(H33415,""IDENTITAS UNIT!D9"")"),"#N/A")</f>
        <v>#N/A</v>
      </c>
      <c r="H33415" s="4" t="str">
        <v/>
      </c>
      <c r="I33415" s="4" t="str">
        <v/>
      </c>
    </row>
    <row r="33416" spans="5:9" ht="16.5" hidden="1">
      <c r="E33416" s="4" t="str">
        <v/>
      </c>
      <c r="F33416" s="102" t="str">
        <f ca="1">IFERROR(__xludf.DUMMYFUNCTION("IMPORTRANGE(H33416,""IDENTITAS UNIT!D9"")"),"#N/A")</f>
        <v>#N/A</v>
      </c>
      <c r="H33416" s="4" t="str">
        <v/>
      </c>
      <c r="I33416" s="4" t="str">
        <v/>
      </c>
    </row>
    <row r="33417" spans="5:9" ht="16.5" hidden="1">
      <c r="E33417" s="4" t="str">
        <v/>
      </c>
      <c r="F33417" s="102" t="str">
        <f ca="1">IFERROR(__xludf.DUMMYFUNCTION("IMPORTRANGE(H33417,""IDENTITAS UNIT!D9"")"),"#N/A")</f>
        <v>#N/A</v>
      </c>
      <c r="H33417" s="4" t="str">
        <v/>
      </c>
      <c r="I33417" s="4" t="str">
        <v/>
      </c>
    </row>
    <row r="33418" spans="5:9" ht="16.5" hidden="1">
      <c r="E33418" s="4" t="str">
        <v/>
      </c>
      <c r="F33418" s="102" t="str">
        <f ca="1">IFERROR(__xludf.DUMMYFUNCTION("IMPORTRANGE(H33418,""IDENTITAS UNIT!D9"")"),"#N/A")</f>
        <v>#N/A</v>
      </c>
      <c r="H33418" s="4" t="str">
        <v/>
      </c>
      <c r="I33418" s="4" t="str">
        <v/>
      </c>
    </row>
    <row r="33419" spans="5:9" ht="16.5" hidden="1">
      <c r="E33419" s="4" t="str">
        <v/>
      </c>
      <c r="F33419" s="102" t="str">
        <f ca="1">IFERROR(__xludf.DUMMYFUNCTION("IMPORTRANGE(H33419,""IDENTITAS UNIT!D9"")"),"#N/A")</f>
        <v>#N/A</v>
      </c>
      <c r="H33419" s="4" t="str">
        <v/>
      </c>
      <c r="I33419" s="4" t="str">
        <v/>
      </c>
    </row>
    <row r="33420" spans="5:9" ht="16.5" hidden="1">
      <c r="E33420" s="4" t="str">
        <v/>
      </c>
      <c r="F33420" s="102" t="str">
        <f ca="1">IFERROR(__xludf.DUMMYFUNCTION("IMPORTRANGE(H33420,""IDENTITAS UNIT!D9"")"),"#N/A")</f>
        <v>#N/A</v>
      </c>
      <c r="H33420" s="4" t="str">
        <v/>
      </c>
      <c r="I33420" s="4" t="str">
        <v/>
      </c>
    </row>
    <row r="33421" spans="5:9" ht="16.5" hidden="1">
      <c r="E33421" s="4" t="str">
        <v/>
      </c>
      <c r="F33421" s="102" t="str">
        <f ca="1">IFERROR(__xludf.DUMMYFUNCTION("IMPORTRANGE(H33421,""IDENTITAS UNIT!D9"")"),"#N/A")</f>
        <v>#N/A</v>
      </c>
      <c r="H33421" s="4" t="str">
        <v/>
      </c>
      <c r="I33421" s="4" t="str">
        <v/>
      </c>
    </row>
    <row r="33422" spans="5:9" ht="16.5" hidden="1">
      <c r="E33422" s="4" t="str">
        <v/>
      </c>
      <c r="F33422" s="102" t="str">
        <f ca="1">IFERROR(__xludf.DUMMYFUNCTION("IMPORTRANGE(H33422,""IDENTITAS UNIT!D9"")"),"#N/A")</f>
        <v>#N/A</v>
      </c>
      <c r="H33422" s="4" t="str">
        <v/>
      </c>
      <c r="I33422" s="4" t="str">
        <v/>
      </c>
    </row>
    <row r="33423" spans="5:9" ht="16.5" hidden="1">
      <c r="E33423" s="4" t="str">
        <v/>
      </c>
      <c r="F33423" s="102" t="str">
        <f ca="1">IFERROR(__xludf.DUMMYFUNCTION("IMPORTRANGE(H33423,""IDENTITAS UNIT!D9"")"),"#N/A")</f>
        <v>#N/A</v>
      </c>
      <c r="H33423" s="4" t="str">
        <v/>
      </c>
      <c r="I33423" s="4" t="str">
        <v/>
      </c>
    </row>
    <row r="33424" spans="5:9" ht="16.5" hidden="1">
      <c r="E33424" s="4" t="str">
        <v/>
      </c>
      <c r="F33424" s="102" t="str">
        <f ca="1">IFERROR(__xludf.DUMMYFUNCTION("IMPORTRANGE(H33424,""IDENTITAS UNIT!D9"")"),"#N/A")</f>
        <v>#N/A</v>
      </c>
      <c r="H33424" s="4" t="str">
        <v/>
      </c>
      <c r="I33424" s="4" t="str">
        <v/>
      </c>
    </row>
    <row r="33425" spans="5:9" ht="16.5" hidden="1">
      <c r="E33425" s="4" t="str">
        <v/>
      </c>
      <c r="F33425" s="102" t="str">
        <f ca="1">IFERROR(__xludf.DUMMYFUNCTION("IMPORTRANGE(H33425,""IDENTITAS UNIT!D9"")"),"#N/A")</f>
        <v>#N/A</v>
      </c>
      <c r="H33425" s="4" t="str">
        <v/>
      </c>
      <c r="I33425" s="4" t="str">
        <v/>
      </c>
    </row>
    <row r="33426" spans="5:9" ht="16.5" hidden="1">
      <c r="E33426" s="4" t="str">
        <v/>
      </c>
      <c r="F33426" s="102" t="str">
        <f ca="1">IFERROR(__xludf.DUMMYFUNCTION("IMPORTRANGE(H33426,""IDENTITAS UNIT!D9"")"),"#N/A")</f>
        <v>#N/A</v>
      </c>
      <c r="H33426" s="4" t="str">
        <v/>
      </c>
      <c r="I33426" s="4" t="str">
        <v/>
      </c>
    </row>
    <row r="33427" spans="5:9" ht="16.5" hidden="1">
      <c r="E33427" s="4" t="str">
        <v/>
      </c>
      <c r="F33427" s="102" t="str">
        <f ca="1">IFERROR(__xludf.DUMMYFUNCTION("IMPORTRANGE(H33427,""IDENTITAS UNIT!D9"")"),"#N/A")</f>
        <v>#N/A</v>
      </c>
      <c r="H33427" s="4" t="str">
        <v/>
      </c>
      <c r="I33427" s="4" t="str">
        <v/>
      </c>
    </row>
    <row r="33428" spans="5:9" ht="16.5" hidden="1">
      <c r="E33428" s="4" t="str">
        <v/>
      </c>
      <c r="F33428" s="102" t="str">
        <f ca="1">IFERROR(__xludf.DUMMYFUNCTION("IMPORTRANGE(H33428,""IDENTITAS UNIT!D9"")"),"#N/A")</f>
        <v>#N/A</v>
      </c>
      <c r="H33428" s="4" t="str">
        <v/>
      </c>
      <c r="I33428" s="4" t="str">
        <v/>
      </c>
    </row>
    <row r="33429" spans="5:9" ht="16.5" hidden="1">
      <c r="E33429" s="4" t="str">
        <v/>
      </c>
      <c r="F33429" s="102" t="str">
        <f ca="1">IFERROR(__xludf.DUMMYFUNCTION("IMPORTRANGE(H33429,""IDENTITAS UNIT!D9"")"),"#N/A")</f>
        <v>#N/A</v>
      </c>
      <c r="H33429" s="4" t="str">
        <v/>
      </c>
      <c r="I33429" s="4" t="str">
        <v/>
      </c>
    </row>
    <row r="33430" spans="5:9" ht="16.5" hidden="1">
      <c r="E33430" s="4" t="str">
        <v/>
      </c>
      <c r="F33430" s="102" t="str">
        <f ca="1">IFERROR(__xludf.DUMMYFUNCTION("IMPORTRANGE(H33430,""IDENTITAS UNIT!D9"")"),"#N/A")</f>
        <v>#N/A</v>
      </c>
      <c r="H33430" s="4" t="str">
        <v/>
      </c>
      <c r="I33430" s="4" t="str">
        <v/>
      </c>
    </row>
    <row r="33431" spans="5:9" ht="16.5" hidden="1">
      <c r="E33431" s="4" t="str">
        <v/>
      </c>
      <c r="F33431" s="102" t="str">
        <f ca="1">IFERROR(__xludf.DUMMYFUNCTION("IMPORTRANGE(H33431,""IDENTITAS UNIT!D9"")"),"#N/A")</f>
        <v>#N/A</v>
      </c>
      <c r="H33431" s="4" t="str">
        <v/>
      </c>
      <c r="I33431" s="4" t="str">
        <v/>
      </c>
    </row>
    <row r="33432" spans="5:9" ht="16.5" hidden="1">
      <c r="E33432" s="4" t="str">
        <v/>
      </c>
      <c r="F33432" s="102" t="str">
        <f ca="1">IFERROR(__xludf.DUMMYFUNCTION("IMPORTRANGE(H33432,""IDENTITAS UNIT!D9"")"),"#N/A")</f>
        <v>#N/A</v>
      </c>
      <c r="H33432" s="4" t="str">
        <v/>
      </c>
      <c r="I33432" s="4" t="str">
        <v/>
      </c>
    </row>
    <row r="33433" spans="5:9" ht="16.5" hidden="1">
      <c r="E33433" s="4" t="str">
        <v/>
      </c>
      <c r="F33433" s="102" t="str">
        <f ca="1">IFERROR(__xludf.DUMMYFUNCTION("IMPORTRANGE(H33433,""IDENTITAS UNIT!D9"")"),"#N/A")</f>
        <v>#N/A</v>
      </c>
      <c r="H33433" s="4" t="str">
        <v/>
      </c>
      <c r="I33433" s="4" t="str">
        <v/>
      </c>
    </row>
    <row r="33434" spans="5:9" ht="16.5" hidden="1">
      <c r="E33434" s="4" t="str">
        <v/>
      </c>
      <c r="F33434" s="102" t="str">
        <f ca="1">IFERROR(__xludf.DUMMYFUNCTION("IMPORTRANGE(H33434,""IDENTITAS UNIT!D9"")"),"#N/A")</f>
        <v>#N/A</v>
      </c>
      <c r="H33434" s="4" t="str">
        <v/>
      </c>
      <c r="I33434" s="4" t="str">
        <v/>
      </c>
    </row>
    <row r="33435" spans="5:9" ht="16.5" hidden="1">
      <c r="E33435" s="4" t="str">
        <v/>
      </c>
      <c r="F33435" s="102" t="str">
        <f ca="1">IFERROR(__xludf.DUMMYFUNCTION("IMPORTRANGE(H33435,""IDENTITAS UNIT!D9"")"),"#N/A")</f>
        <v>#N/A</v>
      </c>
      <c r="H33435" s="4" t="str">
        <v/>
      </c>
      <c r="I33435" s="4" t="str">
        <v/>
      </c>
    </row>
    <row r="33436" spans="5:9" ht="16.5" hidden="1">
      <c r="E33436" s="4" t="str">
        <v/>
      </c>
      <c r="F33436" s="102" t="str">
        <f ca="1">IFERROR(__xludf.DUMMYFUNCTION("IMPORTRANGE(H33436,""IDENTITAS UNIT!D9"")"),"#N/A")</f>
        <v>#N/A</v>
      </c>
      <c r="H33436" s="4" t="str">
        <v/>
      </c>
      <c r="I33436" s="4" t="str">
        <v/>
      </c>
    </row>
    <row r="33437" spans="5:9" ht="16.5" hidden="1">
      <c r="E33437" s="4" t="str">
        <v/>
      </c>
      <c r="F33437" s="102" t="str">
        <f ca="1">IFERROR(__xludf.DUMMYFUNCTION("IMPORTRANGE(H33437,""IDENTITAS UNIT!D9"")"),"#N/A")</f>
        <v>#N/A</v>
      </c>
      <c r="H33437" s="4" t="str">
        <v/>
      </c>
      <c r="I33437" s="4" t="str">
        <v/>
      </c>
    </row>
    <row r="33438" spans="5:9" ht="16.5" hidden="1">
      <c r="E33438" s="4" t="str">
        <v/>
      </c>
      <c r="F33438" s="102" t="str">
        <f ca="1">IFERROR(__xludf.DUMMYFUNCTION("IMPORTRANGE(H33438,""IDENTITAS UNIT!D9"")"),"#N/A")</f>
        <v>#N/A</v>
      </c>
      <c r="H33438" s="4" t="str">
        <v/>
      </c>
      <c r="I33438" s="4" t="str">
        <v/>
      </c>
    </row>
    <row r="33439" spans="5:9" ht="16.5" hidden="1">
      <c r="E33439" s="4" t="str">
        <v/>
      </c>
      <c r="F33439" s="102" t="str">
        <f ca="1">IFERROR(__xludf.DUMMYFUNCTION("IMPORTRANGE(H33439,""IDENTITAS UNIT!D9"")"),"#N/A")</f>
        <v>#N/A</v>
      </c>
      <c r="H33439" s="4" t="str">
        <v/>
      </c>
      <c r="I33439" s="4" t="str">
        <v/>
      </c>
    </row>
    <row r="33440" spans="5:9" ht="16.5" hidden="1">
      <c r="E33440" s="4" t="str">
        <v/>
      </c>
      <c r="F33440" s="102" t="str">
        <f ca="1">IFERROR(__xludf.DUMMYFUNCTION("IMPORTRANGE(H33440,""IDENTITAS UNIT!D9"")"),"#N/A")</f>
        <v>#N/A</v>
      </c>
      <c r="H33440" s="4" t="str">
        <v/>
      </c>
      <c r="I33440" s="4" t="str">
        <v/>
      </c>
    </row>
    <row r="33441" spans="5:9" ht="16.5" hidden="1">
      <c r="E33441" s="4" t="str">
        <v/>
      </c>
      <c r="F33441" s="102" t="str">
        <f ca="1">IFERROR(__xludf.DUMMYFUNCTION("IMPORTRANGE(H33441,""IDENTITAS UNIT!D9"")"),"#N/A")</f>
        <v>#N/A</v>
      </c>
      <c r="H33441" s="4" t="str">
        <v/>
      </c>
      <c r="I33441" s="4" t="str">
        <v/>
      </c>
    </row>
    <row r="33442" spans="5:9" ht="16.5" hidden="1">
      <c r="E33442" s="4" t="str">
        <v/>
      </c>
      <c r="F33442" s="102" t="str">
        <f ca="1">IFERROR(__xludf.DUMMYFUNCTION("IMPORTRANGE(H33442,""IDENTITAS UNIT!D9"")"),"#N/A")</f>
        <v>#N/A</v>
      </c>
      <c r="H33442" s="4" t="str">
        <v/>
      </c>
      <c r="I33442" s="4" t="str">
        <v/>
      </c>
    </row>
    <row r="33443" spans="5:9" ht="16.5" hidden="1">
      <c r="E33443" s="4" t="str">
        <v/>
      </c>
      <c r="F33443" s="102" t="str">
        <f ca="1">IFERROR(__xludf.DUMMYFUNCTION("IMPORTRANGE(H33443,""IDENTITAS UNIT!D9"")"),"#N/A")</f>
        <v>#N/A</v>
      </c>
      <c r="H33443" s="4" t="str">
        <v/>
      </c>
      <c r="I33443" s="4" t="str">
        <v/>
      </c>
    </row>
    <row r="33444" spans="5:9" ht="16.5" hidden="1">
      <c r="E33444" s="4" t="str">
        <v/>
      </c>
      <c r="F33444" s="102" t="str">
        <f ca="1">IFERROR(__xludf.DUMMYFUNCTION("IMPORTRANGE(H33444,""IDENTITAS UNIT!D9"")"),"#N/A")</f>
        <v>#N/A</v>
      </c>
      <c r="H33444" s="4" t="str">
        <v/>
      </c>
      <c r="I33444" s="4" t="str">
        <v/>
      </c>
    </row>
    <row r="33445" spans="5:9" ht="16.5" hidden="1">
      <c r="E33445" s="4" t="str">
        <v/>
      </c>
      <c r="F33445" s="102" t="str">
        <f ca="1">IFERROR(__xludf.DUMMYFUNCTION("IMPORTRANGE(H33445,""IDENTITAS UNIT!D9"")"),"#N/A")</f>
        <v>#N/A</v>
      </c>
      <c r="H33445" s="4" t="str">
        <v/>
      </c>
      <c r="I33445" s="4" t="str">
        <v/>
      </c>
    </row>
    <row r="33446" spans="5:9" ht="16.5" hidden="1">
      <c r="E33446" s="4" t="str">
        <v/>
      </c>
      <c r="F33446" s="102" t="str">
        <f ca="1">IFERROR(__xludf.DUMMYFUNCTION("IMPORTRANGE(H33446,""IDENTITAS UNIT!D9"")"),"#N/A")</f>
        <v>#N/A</v>
      </c>
      <c r="H33446" s="4" t="str">
        <v/>
      </c>
      <c r="I33446" s="4" t="str">
        <v/>
      </c>
    </row>
    <row r="33447" spans="5:9" ht="16.5" hidden="1">
      <c r="E33447" s="4" t="str">
        <v/>
      </c>
      <c r="F33447" s="102" t="str">
        <f ca="1">IFERROR(__xludf.DUMMYFUNCTION("IMPORTRANGE(H33447,""IDENTITAS UNIT!D9"")"),"#N/A")</f>
        <v>#N/A</v>
      </c>
      <c r="H33447" s="4" t="str">
        <v/>
      </c>
      <c r="I33447" s="4" t="str">
        <v/>
      </c>
    </row>
    <row r="33448" spans="5:9" ht="16.5" hidden="1">
      <c r="E33448" s="4" t="str">
        <v/>
      </c>
      <c r="F33448" s="102" t="str">
        <f ca="1">IFERROR(__xludf.DUMMYFUNCTION("IMPORTRANGE(H33448,""IDENTITAS UNIT!D9"")"),"#N/A")</f>
        <v>#N/A</v>
      </c>
      <c r="H33448" s="4" t="str">
        <v/>
      </c>
      <c r="I33448" s="4" t="str">
        <v/>
      </c>
    </row>
    <row r="33449" spans="5:9" ht="16.5" hidden="1">
      <c r="E33449" s="4" t="str">
        <v/>
      </c>
      <c r="F33449" s="102" t="str">
        <f ca="1">IFERROR(__xludf.DUMMYFUNCTION("IMPORTRANGE(H33449,""IDENTITAS UNIT!D9"")"),"#N/A")</f>
        <v>#N/A</v>
      </c>
      <c r="H33449" s="4" t="str">
        <v/>
      </c>
      <c r="I33449" s="4" t="str">
        <v/>
      </c>
    </row>
    <row r="33450" spans="5:9" ht="16.5" hidden="1">
      <c r="E33450" s="4" t="str">
        <v/>
      </c>
      <c r="F33450" s="102" t="str">
        <f ca="1">IFERROR(__xludf.DUMMYFUNCTION("IMPORTRANGE(H33450,""IDENTITAS UNIT!D9"")"),"#N/A")</f>
        <v>#N/A</v>
      </c>
      <c r="H33450" s="4" t="str">
        <v/>
      </c>
      <c r="I33450" s="4" t="str">
        <v/>
      </c>
    </row>
    <row r="33451" spans="5:9" ht="16.5" hidden="1">
      <c r="E33451" s="4" t="str">
        <v/>
      </c>
      <c r="F33451" s="102" t="str">
        <f ca="1">IFERROR(__xludf.DUMMYFUNCTION("IMPORTRANGE(H33451,""IDENTITAS UNIT!D9"")"),"#N/A")</f>
        <v>#N/A</v>
      </c>
      <c r="H33451" s="4" t="str">
        <v/>
      </c>
      <c r="I33451" s="4" t="str">
        <v/>
      </c>
    </row>
    <row r="33452" spans="5:9" ht="16.5" hidden="1">
      <c r="E33452" s="4" t="str">
        <v/>
      </c>
      <c r="F33452" s="102" t="str">
        <f ca="1">IFERROR(__xludf.DUMMYFUNCTION("IMPORTRANGE(H33452,""IDENTITAS UNIT!D9"")"),"#N/A")</f>
        <v>#N/A</v>
      </c>
      <c r="H33452" s="4" t="str">
        <v/>
      </c>
      <c r="I33452" s="4" t="str">
        <v/>
      </c>
    </row>
    <row r="33453" spans="5:9" ht="16.5" hidden="1">
      <c r="E33453" s="4" t="str">
        <v/>
      </c>
      <c r="F33453" s="102" t="str">
        <f ca="1">IFERROR(__xludf.DUMMYFUNCTION("IMPORTRANGE(H33453,""IDENTITAS UNIT!D9"")"),"#N/A")</f>
        <v>#N/A</v>
      </c>
      <c r="H33453" s="4" t="str">
        <v/>
      </c>
      <c r="I33453" s="4" t="str">
        <v/>
      </c>
    </row>
    <row r="33454" spans="5:9" ht="16.5" hidden="1">
      <c r="E33454" s="4" t="str">
        <v/>
      </c>
      <c r="F33454" s="102" t="str">
        <f ca="1">IFERROR(__xludf.DUMMYFUNCTION("IMPORTRANGE(H33454,""IDENTITAS UNIT!D9"")"),"#N/A")</f>
        <v>#N/A</v>
      </c>
      <c r="H33454" s="4" t="str">
        <v/>
      </c>
      <c r="I33454" s="4" t="str">
        <v/>
      </c>
    </row>
    <row r="33455" spans="5:9" ht="16.5" hidden="1">
      <c r="E33455" s="4" t="str">
        <v/>
      </c>
      <c r="F33455" s="102" t="str">
        <f ca="1">IFERROR(__xludf.DUMMYFUNCTION("IMPORTRANGE(H33455,""IDENTITAS UNIT!D9"")"),"#N/A")</f>
        <v>#N/A</v>
      </c>
      <c r="H33455" s="4" t="str">
        <v/>
      </c>
      <c r="I33455" s="4" t="str">
        <v/>
      </c>
    </row>
    <row r="33456" spans="5:9" ht="16.5" hidden="1">
      <c r="E33456" s="4" t="str">
        <v/>
      </c>
      <c r="F33456" s="102" t="str">
        <f ca="1">IFERROR(__xludf.DUMMYFUNCTION("IMPORTRANGE(H33456,""IDENTITAS UNIT!D9"")"),"#N/A")</f>
        <v>#N/A</v>
      </c>
      <c r="H33456" s="4" t="str">
        <v/>
      </c>
      <c r="I33456" s="4" t="str">
        <v/>
      </c>
    </row>
    <row r="33457" spans="5:9" ht="16.5" hidden="1">
      <c r="E33457" s="4" t="str">
        <v/>
      </c>
      <c r="F33457" s="102" t="str">
        <f ca="1">IFERROR(__xludf.DUMMYFUNCTION("IMPORTRANGE(H33457,""IDENTITAS UNIT!D9"")"),"#N/A")</f>
        <v>#N/A</v>
      </c>
      <c r="H33457" s="4" t="str">
        <v/>
      </c>
      <c r="I33457" s="4" t="str">
        <v/>
      </c>
    </row>
    <row r="33458" spans="5:9" ht="16.5" hidden="1">
      <c r="E33458" s="4" t="str">
        <v/>
      </c>
      <c r="F33458" s="102" t="str">
        <f ca="1">IFERROR(__xludf.DUMMYFUNCTION("IMPORTRANGE(H33458,""IDENTITAS UNIT!D9"")"),"#N/A")</f>
        <v>#N/A</v>
      </c>
      <c r="H33458" s="4" t="str">
        <v/>
      </c>
      <c r="I33458" s="4" t="str">
        <v/>
      </c>
    </row>
    <row r="33459" spans="5:9" ht="16.5" hidden="1">
      <c r="E33459" s="4" t="str">
        <v/>
      </c>
      <c r="F33459" s="102" t="str">
        <f ca="1">IFERROR(__xludf.DUMMYFUNCTION("IMPORTRANGE(H33459,""IDENTITAS UNIT!D9"")"),"#N/A")</f>
        <v>#N/A</v>
      </c>
      <c r="H33459" s="4" t="str">
        <v/>
      </c>
      <c r="I33459" s="4" t="str">
        <v/>
      </c>
    </row>
    <row r="33460" spans="5:9" ht="16.5" hidden="1">
      <c r="E33460" s="4" t="str">
        <v/>
      </c>
      <c r="F33460" s="102" t="str">
        <f ca="1">IFERROR(__xludf.DUMMYFUNCTION("IMPORTRANGE(H33460,""IDENTITAS UNIT!D9"")"),"#N/A")</f>
        <v>#N/A</v>
      </c>
      <c r="H33460" s="4" t="str">
        <v/>
      </c>
      <c r="I33460" s="4" t="str">
        <v/>
      </c>
    </row>
    <row r="33461" spans="5:9" ht="16.5" hidden="1">
      <c r="E33461" s="4" t="str">
        <v/>
      </c>
      <c r="F33461" s="102" t="str">
        <f ca="1">IFERROR(__xludf.DUMMYFUNCTION("IMPORTRANGE(H33461,""IDENTITAS UNIT!D9"")"),"#N/A")</f>
        <v>#N/A</v>
      </c>
      <c r="H33461" s="4" t="str">
        <v/>
      </c>
      <c r="I33461" s="4" t="str">
        <v/>
      </c>
    </row>
    <row r="33462" spans="5:9" ht="16.5" hidden="1">
      <c r="E33462" s="4" t="str">
        <v/>
      </c>
      <c r="F33462" s="102" t="str">
        <f ca="1">IFERROR(__xludf.DUMMYFUNCTION("IMPORTRANGE(H33462,""IDENTITAS UNIT!D9"")"),"#N/A")</f>
        <v>#N/A</v>
      </c>
      <c r="H33462" s="4" t="str">
        <v/>
      </c>
      <c r="I33462" s="4" t="str">
        <v/>
      </c>
    </row>
    <row r="33463" spans="5:9" ht="16.5" hidden="1">
      <c r="E33463" s="4" t="str">
        <v/>
      </c>
      <c r="F33463" s="102" t="str">
        <f ca="1">IFERROR(__xludf.DUMMYFUNCTION("IMPORTRANGE(H33463,""IDENTITAS UNIT!D9"")"),"#N/A")</f>
        <v>#N/A</v>
      </c>
      <c r="H33463" s="4" t="str">
        <v/>
      </c>
      <c r="I33463" s="4" t="str">
        <v/>
      </c>
    </row>
    <row r="33464" spans="5:9" ht="16.5" hidden="1">
      <c r="E33464" s="4" t="str">
        <v/>
      </c>
      <c r="F33464" s="102" t="str">
        <f ca="1">IFERROR(__xludf.DUMMYFUNCTION("IMPORTRANGE(H33464,""IDENTITAS UNIT!D9"")"),"#N/A")</f>
        <v>#N/A</v>
      </c>
      <c r="H33464" s="4" t="str">
        <v/>
      </c>
      <c r="I33464" s="4" t="str">
        <v/>
      </c>
    </row>
    <row r="33465" spans="5:9" ht="16.5" hidden="1">
      <c r="E33465" s="4" t="str">
        <v/>
      </c>
      <c r="F33465" s="102" t="str">
        <f ca="1">IFERROR(__xludf.DUMMYFUNCTION("IMPORTRANGE(H33465,""IDENTITAS UNIT!D9"")"),"#N/A")</f>
        <v>#N/A</v>
      </c>
      <c r="H33465" s="4" t="str">
        <v/>
      </c>
      <c r="I33465" s="4" t="str">
        <v/>
      </c>
    </row>
    <row r="33466" spans="5:9" ht="16.5" hidden="1">
      <c r="E33466" s="4" t="str">
        <v/>
      </c>
      <c r="F33466" s="102" t="str">
        <f ca="1">IFERROR(__xludf.DUMMYFUNCTION("IMPORTRANGE(H33466,""IDENTITAS UNIT!D9"")"),"#N/A")</f>
        <v>#N/A</v>
      </c>
      <c r="H33466" s="4" t="str">
        <v/>
      </c>
      <c r="I33466" s="4" t="str">
        <v/>
      </c>
    </row>
    <row r="33467" spans="5:9" ht="16.5" hidden="1">
      <c r="E33467" s="4" t="str">
        <v/>
      </c>
      <c r="F33467" s="102" t="str">
        <f ca="1">IFERROR(__xludf.DUMMYFUNCTION("IMPORTRANGE(H33467,""IDENTITAS UNIT!D9"")"),"#N/A")</f>
        <v>#N/A</v>
      </c>
      <c r="H33467" s="4" t="str">
        <v/>
      </c>
      <c r="I33467" s="4" t="str">
        <v/>
      </c>
    </row>
    <row r="33468" spans="5:9" ht="16.5" hidden="1">
      <c r="E33468" s="4" t="str">
        <v/>
      </c>
      <c r="F33468" s="102" t="str">
        <f ca="1">IFERROR(__xludf.DUMMYFUNCTION("IMPORTRANGE(H33468,""IDENTITAS UNIT!D9"")"),"#N/A")</f>
        <v>#N/A</v>
      </c>
      <c r="H33468" s="4" t="str">
        <v/>
      </c>
      <c r="I33468" s="4" t="str">
        <v/>
      </c>
    </row>
    <row r="33469" spans="5:9" ht="16.5" hidden="1">
      <c r="E33469" s="4" t="str">
        <v/>
      </c>
      <c r="F33469" s="102" t="str">
        <f ca="1">IFERROR(__xludf.DUMMYFUNCTION("IMPORTRANGE(H33469,""IDENTITAS UNIT!D9"")"),"#N/A")</f>
        <v>#N/A</v>
      </c>
      <c r="H33469" s="4" t="str">
        <v/>
      </c>
      <c r="I33469" s="4" t="str">
        <v/>
      </c>
    </row>
    <row r="33470" spans="5:9" ht="16.5" hidden="1">
      <c r="E33470" s="4" t="str">
        <v/>
      </c>
      <c r="F33470" s="102" t="str">
        <f ca="1">IFERROR(__xludf.DUMMYFUNCTION("IMPORTRANGE(H33470,""IDENTITAS UNIT!D9"")"),"#N/A")</f>
        <v>#N/A</v>
      </c>
      <c r="H33470" s="4" t="str">
        <v/>
      </c>
      <c r="I33470" s="4" t="str">
        <v/>
      </c>
    </row>
    <row r="33471" spans="5:9" ht="16.5" hidden="1">
      <c r="E33471" s="4" t="str">
        <v/>
      </c>
      <c r="F33471" s="102" t="str">
        <f ca="1">IFERROR(__xludf.DUMMYFUNCTION("IMPORTRANGE(H33471,""IDENTITAS UNIT!D9"")"),"#N/A")</f>
        <v>#N/A</v>
      </c>
      <c r="H33471" s="4" t="str">
        <v/>
      </c>
      <c r="I33471" s="4" t="str">
        <v/>
      </c>
    </row>
    <row r="33472" spans="5:9" ht="16.5" hidden="1">
      <c r="E33472" s="4" t="str">
        <v/>
      </c>
      <c r="F33472" s="102" t="str">
        <f ca="1">IFERROR(__xludf.DUMMYFUNCTION("IMPORTRANGE(H33472,""IDENTITAS UNIT!D9"")"),"#N/A")</f>
        <v>#N/A</v>
      </c>
      <c r="H33472" s="4" t="str">
        <v/>
      </c>
      <c r="I33472" s="4" t="str">
        <v/>
      </c>
    </row>
    <row r="33473" spans="5:9" ht="16.5" hidden="1">
      <c r="E33473" s="4" t="str">
        <v/>
      </c>
      <c r="F33473" s="102" t="str">
        <f ca="1">IFERROR(__xludf.DUMMYFUNCTION("IMPORTRANGE(H33473,""IDENTITAS UNIT!D9"")"),"#N/A")</f>
        <v>#N/A</v>
      </c>
      <c r="H33473" s="4" t="str">
        <v/>
      </c>
      <c r="I33473" s="4" t="str">
        <v/>
      </c>
    </row>
    <row r="33474" spans="5:9" ht="16.5" hidden="1">
      <c r="E33474" s="4" t="str">
        <v/>
      </c>
      <c r="F33474" s="102" t="str">
        <f ca="1">IFERROR(__xludf.DUMMYFUNCTION("IMPORTRANGE(H33474,""IDENTITAS UNIT!D9"")"),"#N/A")</f>
        <v>#N/A</v>
      </c>
      <c r="H33474" s="4" t="str">
        <v/>
      </c>
      <c r="I33474" s="4" t="str">
        <v/>
      </c>
    </row>
    <row r="33475" spans="5:9" ht="16.5" hidden="1">
      <c r="E33475" s="4" t="str">
        <v/>
      </c>
      <c r="F33475" s="102" t="str">
        <f ca="1">IFERROR(__xludf.DUMMYFUNCTION("IMPORTRANGE(H33475,""IDENTITAS UNIT!D9"")"),"#N/A")</f>
        <v>#N/A</v>
      </c>
      <c r="H33475" s="4" t="str">
        <v/>
      </c>
      <c r="I33475" s="4" t="str">
        <v/>
      </c>
    </row>
    <row r="33476" spans="5:9" ht="16.5" hidden="1">
      <c r="E33476" s="4" t="str">
        <v/>
      </c>
      <c r="F33476" s="102" t="str">
        <f ca="1">IFERROR(__xludf.DUMMYFUNCTION("IMPORTRANGE(H33476,""IDENTITAS UNIT!D9"")"),"#N/A")</f>
        <v>#N/A</v>
      </c>
      <c r="H33476" s="4" t="str">
        <v/>
      </c>
      <c r="I33476" s="4" t="str">
        <v/>
      </c>
    </row>
    <row r="33477" spans="5:9" ht="16.5" hidden="1">
      <c r="E33477" s="4" t="str">
        <v/>
      </c>
      <c r="F33477" s="102" t="str">
        <f ca="1">IFERROR(__xludf.DUMMYFUNCTION("IMPORTRANGE(H33477,""IDENTITAS UNIT!D9"")"),"#N/A")</f>
        <v>#N/A</v>
      </c>
      <c r="H33477" s="4" t="str">
        <v/>
      </c>
      <c r="I33477" s="4" t="str">
        <v/>
      </c>
    </row>
    <row r="33478" spans="5:9" ht="16.5" hidden="1">
      <c r="E33478" s="4" t="str">
        <v/>
      </c>
      <c r="F33478" s="102" t="str">
        <f ca="1">IFERROR(__xludf.DUMMYFUNCTION("IMPORTRANGE(H33478,""IDENTITAS UNIT!D9"")"),"#N/A")</f>
        <v>#N/A</v>
      </c>
      <c r="H33478" s="4" t="str">
        <v/>
      </c>
      <c r="I33478" s="4" t="str">
        <v/>
      </c>
    </row>
    <row r="33479" spans="5:9" ht="16.5" hidden="1">
      <c r="E33479" s="4" t="str">
        <v/>
      </c>
      <c r="F33479" s="102" t="str">
        <f ca="1">IFERROR(__xludf.DUMMYFUNCTION("IMPORTRANGE(H33479,""IDENTITAS UNIT!D9"")"),"#N/A")</f>
        <v>#N/A</v>
      </c>
      <c r="H33479" s="4" t="str">
        <v/>
      </c>
      <c r="I33479" s="4" t="str">
        <v/>
      </c>
    </row>
    <row r="33480" spans="5:9" ht="16.5" hidden="1">
      <c r="E33480" s="4" t="str">
        <v/>
      </c>
      <c r="F33480" s="102" t="str">
        <f ca="1">IFERROR(__xludf.DUMMYFUNCTION("IMPORTRANGE(H33480,""IDENTITAS UNIT!D9"")"),"#N/A")</f>
        <v>#N/A</v>
      </c>
      <c r="H33480" s="4" t="str">
        <v/>
      </c>
      <c r="I33480" s="4" t="str">
        <v/>
      </c>
    </row>
    <row r="33481" spans="5:9" ht="16.5" hidden="1">
      <c r="E33481" s="4" t="str">
        <v/>
      </c>
      <c r="F33481" s="102" t="str">
        <f ca="1">IFERROR(__xludf.DUMMYFUNCTION("IMPORTRANGE(H33481,""IDENTITAS UNIT!D9"")"),"#N/A")</f>
        <v>#N/A</v>
      </c>
      <c r="H33481" s="4" t="str">
        <v/>
      </c>
      <c r="I33481" s="4" t="str">
        <v/>
      </c>
    </row>
    <row r="33482" spans="5:9" ht="16.5" hidden="1">
      <c r="E33482" s="4" t="str">
        <v/>
      </c>
      <c r="F33482" s="102" t="str">
        <f ca="1">IFERROR(__xludf.DUMMYFUNCTION("IMPORTRANGE(H33482,""IDENTITAS UNIT!D9"")"),"#N/A")</f>
        <v>#N/A</v>
      </c>
      <c r="H33482" s="4" t="str">
        <v/>
      </c>
      <c r="I33482" s="4" t="str">
        <v/>
      </c>
    </row>
    <row r="33483" spans="5:9" ht="16.5" hidden="1">
      <c r="E33483" s="4" t="str">
        <v/>
      </c>
      <c r="F33483" s="102" t="str">
        <f ca="1">IFERROR(__xludf.DUMMYFUNCTION("IMPORTRANGE(H33483,""IDENTITAS UNIT!D9"")"),"#N/A")</f>
        <v>#N/A</v>
      </c>
      <c r="H33483" s="4" t="str">
        <v/>
      </c>
      <c r="I33483" s="4" t="str">
        <v/>
      </c>
    </row>
    <row r="33484" spans="5:9" ht="16.5" hidden="1">
      <c r="E33484" s="4" t="str">
        <v/>
      </c>
      <c r="F33484" s="102" t="str">
        <f ca="1">IFERROR(__xludf.DUMMYFUNCTION("IMPORTRANGE(H33484,""IDENTITAS UNIT!D9"")"),"#N/A")</f>
        <v>#N/A</v>
      </c>
      <c r="H33484" s="4" t="str">
        <v/>
      </c>
      <c r="I33484" s="4" t="str">
        <v/>
      </c>
    </row>
    <row r="33485" spans="5:9" ht="16.5" hidden="1">
      <c r="E33485" s="4" t="str">
        <v/>
      </c>
      <c r="F33485" s="102" t="str">
        <f ca="1">IFERROR(__xludf.DUMMYFUNCTION("IMPORTRANGE(H33485,""IDENTITAS UNIT!D9"")"),"#N/A")</f>
        <v>#N/A</v>
      </c>
      <c r="H33485" s="4" t="str">
        <v/>
      </c>
      <c r="I33485" s="4" t="str">
        <v/>
      </c>
    </row>
    <row r="33486" spans="5:9" ht="16.5" hidden="1">
      <c r="E33486" s="4" t="str">
        <v/>
      </c>
      <c r="F33486" s="102" t="str">
        <f ca="1">IFERROR(__xludf.DUMMYFUNCTION("IMPORTRANGE(H33486,""IDENTITAS UNIT!D9"")"),"#N/A")</f>
        <v>#N/A</v>
      </c>
      <c r="H33486" s="4" t="str">
        <v/>
      </c>
      <c r="I33486" s="4" t="str">
        <v/>
      </c>
    </row>
    <row r="33487" spans="5:9" ht="16.5" hidden="1">
      <c r="E33487" s="4" t="str">
        <v/>
      </c>
      <c r="F33487" s="102" t="str">
        <f ca="1">IFERROR(__xludf.DUMMYFUNCTION("IMPORTRANGE(H33487,""IDENTITAS UNIT!D9"")"),"#N/A")</f>
        <v>#N/A</v>
      </c>
      <c r="H33487" s="4" t="str">
        <v/>
      </c>
      <c r="I33487" s="4" t="str">
        <v/>
      </c>
    </row>
    <row r="33488" spans="5:9" ht="16.5" hidden="1">
      <c r="E33488" s="4" t="str">
        <v/>
      </c>
      <c r="F33488" s="102" t="str">
        <f ca="1">IFERROR(__xludf.DUMMYFUNCTION("IMPORTRANGE(H33488,""IDENTITAS UNIT!D9"")"),"#N/A")</f>
        <v>#N/A</v>
      </c>
      <c r="H33488" s="4" t="str">
        <v/>
      </c>
      <c r="I33488" s="4" t="str">
        <v/>
      </c>
    </row>
    <row r="33489" spans="5:9" ht="16.5" hidden="1">
      <c r="E33489" s="4" t="str">
        <v/>
      </c>
      <c r="F33489" s="102" t="str">
        <f ca="1">IFERROR(__xludf.DUMMYFUNCTION("IMPORTRANGE(H33489,""IDENTITAS UNIT!D9"")"),"#N/A")</f>
        <v>#N/A</v>
      </c>
      <c r="H33489" s="4" t="str">
        <v/>
      </c>
      <c r="I33489" s="4" t="str">
        <v/>
      </c>
    </row>
    <row r="33490" spans="5:9" ht="16.5" hidden="1">
      <c r="E33490" s="4" t="str">
        <v/>
      </c>
      <c r="F33490" s="102" t="str">
        <f ca="1">IFERROR(__xludf.DUMMYFUNCTION("IMPORTRANGE(H33490,""IDENTITAS UNIT!D9"")"),"#N/A")</f>
        <v>#N/A</v>
      </c>
      <c r="H33490" s="4" t="str">
        <v/>
      </c>
      <c r="I33490" s="4" t="str">
        <v/>
      </c>
    </row>
    <row r="33491" spans="5:9" ht="16.5" hidden="1">
      <c r="E33491" s="4" t="str">
        <v/>
      </c>
      <c r="F33491" s="102" t="str">
        <f ca="1">IFERROR(__xludf.DUMMYFUNCTION("IMPORTRANGE(H33491,""IDENTITAS UNIT!D9"")"),"#N/A")</f>
        <v>#N/A</v>
      </c>
      <c r="H33491" s="4" t="str">
        <v/>
      </c>
      <c r="I33491" s="4" t="str">
        <v/>
      </c>
    </row>
    <row r="33492" spans="5:9" ht="16.5" hidden="1">
      <c r="E33492" s="4" t="str">
        <v/>
      </c>
      <c r="F33492" s="102" t="str">
        <f ca="1">IFERROR(__xludf.DUMMYFUNCTION("IMPORTRANGE(H33492,""IDENTITAS UNIT!D9"")"),"#N/A")</f>
        <v>#N/A</v>
      </c>
      <c r="H33492" s="4" t="str">
        <v/>
      </c>
      <c r="I33492" s="4" t="str">
        <v/>
      </c>
    </row>
    <row r="33493" spans="5:9" ht="16.5" hidden="1">
      <c r="E33493" s="4" t="str">
        <v/>
      </c>
      <c r="F33493" s="102" t="str">
        <f ca="1">IFERROR(__xludf.DUMMYFUNCTION("IMPORTRANGE(H33493,""IDENTITAS UNIT!D9"")"),"#N/A")</f>
        <v>#N/A</v>
      </c>
      <c r="H33493" s="4" t="str">
        <v/>
      </c>
      <c r="I33493" s="4" t="str">
        <v/>
      </c>
    </row>
    <row r="33494" spans="5:9" ht="16.5" hidden="1">
      <c r="E33494" s="4" t="str">
        <v/>
      </c>
      <c r="F33494" s="102" t="str">
        <f ca="1">IFERROR(__xludf.DUMMYFUNCTION("IMPORTRANGE(H33494,""IDENTITAS UNIT!D9"")"),"#N/A")</f>
        <v>#N/A</v>
      </c>
      <c r="H33494" s="4" t="str">
        <v/>
      </c>
      <c r="I33494" s="4" t="str">
        <v/>
      </c>
    </row>
    <row r="33495" spans="5:9" ht="16.5" hidden="1">
      <c r="E33495" s="4" t="str">
        <v/>
      </c>
      <c r="F33495" s="102" t="str">
        <f ca="1">IFERROR(__xludf.DUMMYFUNCTION("IMPORTRANGE(H33495,""IDENTITAS UNIT!D9"")"),"#N/A")</f>
        <v>#N/A</v>
      </c>
      <c r="H33495" s="4" t="str">
        <v/>
      </c>
      <c r="I33495" s="4" t="str">
        <v/>
      </c>
    </row>
    <row r="33496" spans="5:9" ht="16.5" hidden="1">
      <c r="E33496" s="4" t="str">
        <v/>
      </c>
      <c r="F33496" s="102" t="str">
        <f ca="1">IFERROR(__xludf.DUMMYFUNCTION("IMPORTRANGE(H33496,""IDENTITAS UNIT!D9"")"),"#N/A")</f>
        <v>#N/A</v>
      </c>
      <c r="H33496" s="4" t="str">
        <v/>
      </c>
      <c r="I33496" s="4" t="str">
        <v/>
      </c>
    </row>
    <row r="33497" spans="5:9" ht="16.5" hidden="1">
      <c r="E33497" s="4" t="str">
        <v/>
      </c>
      <c r="F33497" s="102" t="str">
        <f ca="1">IFERROR(__xludf.DUMMYFUNCTION("IMPORTRANGE(H33497,""IDENTITAS UNIT!D9"")"),"#N/A")</f>
        <v>#N/A</v>
      </c>
      <c r="H33497" s="4" t="str">
        <v/>
      </c>
      <c r="I33497" s="4" t="str">
        <v/>
      </c>
    </row>
    <row r="33498" spans="5:9" ht="16.5" hidden="1">
      <c r="E33498" s="4" t="str">
        <v/>
      </c>
      <c r="F33498" s="102" t="str">
        <f ca="1">IFERROR(__xludf.DUMMYFUNCTION("IMPORTRANGE(H33498,""IDENTITAS UNIT!D9"")"),"#N/A")</f>
        <v>#N/A</v>
      </c>
      <c r="H33498" s="4" t="str">
        <v/>
      </c>
      <c r="I33498" s="4" t="str">
        <v/>
      </c>
    </row>
    <row r="33499" spans="5:9" ht="16.5" hidden="1">
      <c r="E33499" s="4" t="str">
        <v/>
      </c>
      <c r="F33499" s="102" t="str">
        <f ca="1">IFERROR(__xludf.DUMMYFUNCTION("IMPORTRANGE(H33499,""IDENTITAS UNIT!D9"")"),"#N/A")</f>
        <v>#N/A</v>
      </c>
      <c r="H33499" s="4" t="str">
        <v/>
      </c>
      <c r="I33499" s="4" t="str">
        <v/>
      </c>
    </row>
    <row r="33500" spans="5:9" ht="16.5" hidden="1">
      <c r="E33500" s="4" t="str">
        <v/>
      </c>
      <c r="F33500" s="102" t="str">
        <f ca="1">IFERROR(__xludf.DUMMYFUNCTION("IMPORTRANGE(H33500,""IDENTITAS UNIT!D9"")"),"#N/A")</f>
        <v>#N/A</v>
      </c>
      <c r="H33500" s="4" t="str">
        <v/>
      </c>
      <c r="I33500" s="4" t="str">
        <v/>
      </c>
    </row>
    <row r="33501" spans="5:9" ht="16.5" hidden="1">
      <c r="E33501" s="4" t="str">
        <v/>
      </c>
      <c r="F33501" s="102" t="str">
        <f ca="1">IFERROR(__xludf.DUMMYFUNCTION("IMPORTRANGE(H33501,""IDENTITAS UNIT!D9"")"),"#N/A")</f>
        <v>#N/A</v>
      </c>
      <c r="H33501" s="4" t="str">
        <v/>
      </c>
      <c r="I33501" s="4" t="str">
        <v/>
      </c>
    </row>
    <row r="33502" spans="5:9" ht="16.5" hidden="1">
      <c r="E33502" s="4" t="str">
        <v/>
      </c>
      <c r="F33502" s="102" t="str">
        <f ca="1">IFERROR(__xludf.DUMMYFUNCTION("IMPORTRANGE(H33502,""IDENTITAS UNIT!D9"")"),"#N/A")</f>
        <v>#N/A</v>
      </c>
      <c r="H33502" s="4" t="str">
        <v/>
      </c>
      <c r="I33502" s="4" t="str">
        <v/>
      </c>
    </row>
    <row r="33503" spans="5:9" ht="16.5" hidden="1">
      <c r="E33503" s="4" t="str">
        <v/>
      </c>
      <c r="F33503" s="102" t="str">
        <f ca="1">IFERROR(__xludf.DUMMYFUNCTION("IMPORTRANGE(H33503,""IDENTITAS UNIT!D9"")"),"#N/A")</f>
        <v>#N/A</v>
      </c>
      <c r="H33503" s="4" t="str">
        <v/>
      </c>
      <c r="I33503" s="4" t="str">
        <v/>
      </c>
    </row>
    <row r="33504" spans="5:9" ht="16.5" hidden="1">
      <c r="E33504" s="4" t="str">
        <v/>
      </c>
      <c r="F33504" s="102" t="str">
        <f ca="1">IFERROR(__xludf.DUMMYFUNCTION("IMPORTRANGE(H33504,""IDENTITAS UNIT!D9"")"),"#N/A")</f>
        <v>#N/A</v>
      </c>
      <c r="H33504" s="4" t="str">
        <v/>
      </c>
      <c r="I33504" s="4" t="str">
        <v/>
      </c>
    </row>
    <row r="33505" spans="5:9" ht="16.5" hidden="1">
      <c r="E33505" s="4" t="str">
        <v/>
      </c>
      <c r="F33505" s="102" t="str">
        <f ca="1">IFERROR(__xludf.DUMMYFUNCTION("IMPORTRANGE(H33505,""IDENTITAS UNIT!D9"")"),"#N/A")</f>
        <v>#N/A</v>
      </c>
      <c r="H33505" s="4" t="str">
        <v/>
      </c>
      <c r="I33505" s="4" t="str">
        <v/>
      </c>
    </row>
    <row r="33506" spans="5:9" ht="16.5" hidden="1">
      <c r="E33506" s="4" t="str">
        <v/>
      </c>
      <c r="F33506" s="102" t="str">
        <f ca="1">IFERROR(__xludf.DUMMYFUNCTION("IMPORTRANGE(H33506,""IDENTITAS UNIT!D9"")"),"#N/A")</f>
        <v>#N/A</v>
      </c>
      <c r="H33506" s="4" t="str">
        <v/>
      </c>
      <c r="I33506" s="4" t="str">
        <v/>
      </c>
    </row>
    <row r="33507" spans="5:9" ht="16.5" hidden="1">
      <c r="E33507" s="4" t="str">
        <v/>
      </c>
      <c r="F33507" s="102" t="str">
        <f ca="1">IFERROR(__xludf.DUMMYFUNCTION("IMPORTRANGE(H33507,""IDENTITAS UNIT!D9"")"),"#N/A")</f>
        <v>#N/A</v>
      </c>
      <c r="H33507" s="4" t="str">
        <v/>
      </c>
      <c r="I33507" s="4" t="str">
        <v/>
      </c>
    </row>
    <row r="33508" spans="5:9" ht="16.5" hidden="1">
      <c r="E33508" s="4" t="str">
        <v/>
      </c>
      <c r="F33508" s="102" t="str">
        <f ca="1">IFERROR(__xludf.DUMMYFUNCTION("IMPORTRANGE(H33508,""IDENTITAS UNIT!D9"")"),"#N/A")</f>
        <v>#N/A</v>
      </c>
      <c r="H33508" s="4" t="str">
        <v/>
      </c>
      <c r="I33508" s="4" t="str">
        <v/>
      </c>
    </row>
    <row r="33509" spans="5:9" ht="16.5" hidden="1">
      <c r="E33509" s="4" t="str">
        <v/>
      </c>
      <c r="F33509" s="102" t="str">
        <f ca="1">IFERROR(__xludf.DUMMYFUNCTION("IMPORTRANGE(H33509,""IDENTITAS UNIT!D9"")"),"#N/A")</f>
        <v>#N/A</v>
      </c>
      <c r="H33509" s="4" t="str">
        <v/>
      </c>
      <c r="I33509" s="4" t="str">
        <v/>
      </c>
    </row>
    <row r="33510" spans="5:9" ht="16.5" hidden="1">
      <c r="E33510" s="4" t="str">
        <v/>
      </c>
      <c r="F33510" s="102" t="str">
        <f ca="1">IFERROR(__xludf.DUMMYFUNCTION("IMPORTRANGE(H33510,""IDENTITAS UNIT!D9"")"),"#N/A")</f>
        <v>#N/A</v>
      </c>
      <c r="H33510" s="4" t="str">
        <v/>
      </c>
      <c r="I33510" s="4" t="str">
        <v/>
      </c>
    </row>
    <row r="33511" spans="5:9" ht="16.5" hidden="1">
      <c r="E33511" s="4" t="str">
        <v/>
      </c>
      <c r="F33511" s="102" t="str">
        <f ca="1">IFERROR(__xludf.DUMMYFUNCTION("IMPORTRANGE(H33511,""IDENTITAS UNIT!D9"")"),"#N/A")</f>
        <v>#N/A</v>
      </c>
      <c r="H33511" s="4" t="str">
        <v/>
      </c>
      <c r="I33511" s="4" t="str">
        <v/>
      </c>
    </row>
    <row r="33512" spans="5:9" ht="16.5" hidden="1">
      <c r="E33512" s="4" t="str">
        <v/>
      </c>
      <c r="F33512" s="102" t="str">
        <f ca="1">IFERROR(__xludf.DUMMYFUNCTION("IMPORTRANGE(H33512,""IDENTITAS UNIT!D9"")"),"#N/A")</f>
        <v>#N/A</v>
      </c>
      <c r="H33512" s="4" t="str">
        <v/>
      </c>
      <c r="I33512" s="4" t="str">
        <v/>
      </c>
    </row>
    <row r="33513" spans="5:9" ht="16.5" hidden="1">
      <c r="E33513" s="4" t="str">
        <v/>
      </c>
      <c r="F33513" s="102" t="str">
        <f ca="1">IFERROR(__xludf.DUMMYFUNCTION("IMPORTRANGE(H33513,""IDENTITAS UNIT!D9"")"),"#N/A")</f>
        <v>#N/A</v>
      </c>
      <c r="H33513" s="4" t="str">
        <v/>
      </c>
      <c r="I33513" s="4" t="str">
        <v/>
      </c>
    </row>
    <row r="33514" spans="5:9" ht="16.5" hidden="1">
      <c r="E33514" s="4" t="str">
        <v/>
      </c>
      <c r="F33514" s="102" t="str">
        <f ca="1">IFERROR(__xludf.DUMMYFUNCTION("IMPORTRANGE(H33514,""IDENTITAS UNIT!D9"")"),"#N/A")</f>
        <v>#N/A</v>
      </c>
      <c r="H33514" s="4" t="str">
        <v/>
      </c>
      <c r="I33514" s="4" t="str">
        <v/>
      </c>
    </row>
    <row r="33515" spans="5:9" ht="16.5" hidden="1">
      <c r="E33515" s="4" t="str">
        <v/>
      </c>
      <c r="F33515" s="102" t="str">
        <f ca="1">IFERROR(__xludf.DUMMYFUNCTION("IMPORTRANGE(H33515,""IDENTITAS UNIT!D9"")"),"#N/A")</f>
        <v>#N/A</v>
      </c>
      <c r="H33515" s="4" t="str">
        <v/>
      </c>
      <c r="I33515" s="4" t="str">
        <v/>
      </c>
    </row>
    <row r="33516" spans="5:9" ht="16.5" hidden="1">
      <c r="E33516" s="4" t="str">
        <v/>
      </c>
      <c r="F33516" s="102" t="str">
        <f ca="1">IFERROR(__xludf.DUMMYFUNCTION("IMPORTRANGE(H33516,""IDENTITAS UNIT!D9"")"),"#N/A")</f>
        <v>#N/A</v>
      </c>
      <c r="H33516" s="4" t="str">
        <v/>
      </c>
      <c r="I33516" s="4" t="str">
        <v/>
      </c>
    </row>
    <row r="33517" spans="5:9" ht="16.5" hidden="1">
      <c r="E33517" s="4" t="str">
        <v/>
      </c>
      <c r="F33517" s="102" t="str">
        <f ca="1">IFERROR(__xludf.DUMMYFUNCTION("IMPORTRANGE(H33517,""IDENTITAS UNIT!D9"")"),"#N/A")</f>
        <v>#N/A</v>
      </c>
      <c r="H33517" s="4" t="str">
        <v/>
      </c>
      <c r="I33517" s="4" t="str">
        <v/>
      </c>
    </row>
    <row r="33518" spans="5:9" ht="16.5" hidden="1">
      <c r="E33518" s="4" t="str">
        <v/>
      </c>
      <c r="F33518" s="102" t="str">
        <f ca="1">IFERROR(__xludf.DUMMYFUNCTION("IMPORTRANGE(H33518,""IDENTITAS UNIT!D9"")"),"#N/A")</f>
        <v>#N/A</v>
      </c>
      <c r="H33518" s="4" t="str">
        <v/>
      </c>
      <c r="I33518" s="4" t="str">
        <v/>
      </c>
    </row>
    <row r="33519" spans="5:9" ht="16.5" hidden="1">
      <c r="E33519" s="4" t="str">
        <v/>
      </c>
      <c r="F33519" s="102" t="str">
        <f ca="1">IFERROR(__xludf.DUMMYFUNCTION("IMPORTRANGE(H33519,""IDENTITAS UNIT!D9"")"),"#N/A")</f>
        <v>#N/A</v>
      </c>
      <c r="H33519" s="4" t="str">
        <v/>
      </c>
      <c r="I33519" s="4" t="str">
        <v/>
      </c>
    </row>
    <row r="33520" spans="5:9" ht="16.5" hidden="1">
      <c r="E33520" s="4" t="str">
        <v/>
      </c>
      <c r="F33520" s="102" t="str">
        <f ca="1">IFERROR(__xludf.DUMMYFUNCTION("IMPORTRANGE(H33520,""IDENTITAS UNIT!D9"")"),"#N/A")</f>
        <v>#N/A</v>
      </c>
      <c r="H33520" s="4" t="str">
        <v/>
      </c>
      <c r="I33520" s="4" t="str">
        <v/>
      </c>
    </row>
    <row r="33521" spans="5:9" ht="16.5" hidden="1">
      <c r="E33521" s="4" t="str">
        <v/>
      </c>
      <c r="F33521" s="102" t="str">
        <f ca="1">IFERROR(__xludf.DUMMYFUNCTION("IMPORTRANGE(H33521,""IDENTITAS UNIT!D9"")"),"#N/A")</f>
        <v>#N/A</v>
      </c>
      <c r="H33521" s="4" t="str">
        <v/>
      </c>
      <c r="I33521" s="4" t="str">
        <v/>
      </c>
    </row>
    <row r="33522" spans="5:9" ht="16.5" hidden="1">
      <c r="E33522" s="4" t="str">
        <v/>
      </c>
      <c r="F33522" s="102" t="str">
        <f ca="1">IFERROR(__xludf.DUMMYFUNCTION("IMPORTRANGE(H33522,""IDENTITAS UNIT!D9"")"),"#N/A")</f>
        <v>#N/A</v>
      </c>
      <c r="H33522" s="4" t="str">
        <v/>
      </c>
      <c r="I33522" s="4" t="str">
        <v/>
      </c>
    </row>
    <row r="33523" spans="5:9" ht="16.5" hidden="1">
      <c r="E33523" s="4" t="str">
        <v/>
      </c>
      <c r="F33523" s="102" t="str">
        <f ca="1">IFERROR(__xludf.DUMMYFUNCTION("IMPORTRANGE(H33523,""IDENTITAS UNIT!D9"")"),"#N/A")</f>
        <v>#N/A</v>
      </c>
      <c r="H33523" s="4" t="str">
        <v/>
      </c>
      <c r="I33523" s="4" t="str">
        <v/>
      </c>
    </row>
    <row r="33524" spans="5:9" ht="16.5" hidden="1">
      <c r="E33524" s="4" t="str">
        <v/>
      </c>
      <c r="F33524" s="102" t="str">
        <f ca="1">IFERROR(__xludf.DUMMYFUNCTION("IMPORTRANGE(H33524,""IDENTITAS UNIT!D9"")"),"#N/A")</f>
        <v>#N/A</v>
      </c>
      <c r="H33524" s="4" t="str">
        <v/>
      </c>
      <c r="I33524" s="4" t="str">
        <v/>
      </c>
    </row>
    <row r="33525" spans="5:9" ht="16.5" hidden="1">
      <c r="E33525" s="4" t="str">
        <v/>
      </c>
      <c r="F33525" s="102" t="str">
        <f ca="1">IFERROR(__xludf.DUMMYFUNCTION("IMPORTRANGE(H33525,""IDENTITAS UNIT!D9"")"),"#N/A")</f>
        <v>#N/A</v>
      </c>
      <c r="H33525" s="4" t="str">
        <v/>
      </c>
      <c r="I33525" s="4" t="str">
        <v/>
      </c>
    </row>
    <row r="33526" spans="5:9" ht="16.5" hidden="1">
      <c r="E33526" s="4" t="str">
        <v/>
      </c>
      <c r="F33526" s="102" t="str">
        <f ca="1">IFERROR(__xludf.DUMMYFUNCTION("IMPORTRANGE(H33526,""IDENTITAS UNIT!D9"")"),"#N/A")</f>
        <v>#N/A</v>
      </c>
      <c r="H33526" s="4" t="str">
        <v/>
      </c>
      <c r="I33526" s="4" t="str">
        <v/>
      </c>
    </row>
    <row r="33527" spans="5:9" ht="16.5" hidden="1">
      <c r="E33527" s="4" t="str">
        <v/>
      </c>
      <c r="F33527" s="102" t="str">
        <f ca="1">IFERROR(__xludf.DUMMYFUNCTION("IMPORTRANGE(H33527,""IDENTITAS UNIT!D9"")"),"#N/A")</f>
        <v>#N/A</v>
      </c>
      <c r="H33527" s="4" t="str">
        <v/>
      </c>
      <c r="I33527" s="4" t="str">
        <v/>
      </c>
    </row>
    <row r="33528" spans="5:9" ht="16.5" hidden="1">
      <c r="E33528" s="4" t="str">
        <v/>
      </c>
      <c r="F33528" s="102" t="str">
        <f ca="1">IFERROR(__xludf.DUMMYFUNCTION("IMPORTRANGE(H33528,""IDENTITAS UNIT!D9"")"),"#N/A")</f>
        <v>#N/A</v>
      </c>
      <c r="H33528" s="4" t="str">
        <v/>
      </c>
      <c r="I33528" s="4" t="str">
        <v/>
      </c>
    </row>
    <row r="33529" spans="5:9" ht="16.5" hidden="1">
      <c r="E33529" s="4" t="str">
        <v/>
      </c>
      <c r="F33529" s="102" t="str">
        <f ca="1">IFERROR(__xludf.DUMMYFUNCTION("IMPORTRANGE(H33529,""IDENTITAS UNIT!D9"")"),"#N/A")</f>
        <v>#N/A</v>
      </c>
      <c r="H33529" s="4" t="str">
        <v/>
      </c>
      <c r="I33529" s="4" t="str">
        <v/>
      </c>
    </row>
    <row r="33530" spans="5:9" ht="16.5" hidden="1">
      <c r="E33530" s="4" t="str">
        <v/>
      </c>
      <c r="F33530" s="102" t="str">
        <f ca="1">IFERROR(__xludf.DUMMYFUNCTION("IMPORTRANGE(H33530,""IDENTITAS UNIT!D9"")"),"#N/A")</f>
        <v>#N/A</v>
      </c>
      <c r="H33530" s="4" t="str">
        <v/>
      </c>
      <c r="I33530" s="4" t="str">
        <v/>
      </c>
    </row>
    <row r="33531" spans="5:9" ht="16.5" hidden="1">
      <c r="E33531" s="4" t="str">
        <v/>
      </c>
      <c r="F33531" s="102" t="str">
        <f ca="1">IFERROR(__xludf.DUMMYFUNCTION("IMPORTRANGE(H33531,""IDENTITAS UNIT!D9"")"),"#N/A")</f>
        <v>#N/A</v>
      </c>
      <c r="H33531" s="4" t="str">
        <v/>
      </c>
      <c r="I33531" s="4" t="str">
        <v/>
      </c>
    </row>
    <row r="33532" spans="5:9" ht="16.5" hidden="1">
      <c r="E33532" s="4" t="str">
        <v/>
      </c>
      <c r="F33532" s="102" t="str">
        <f ca="1">IFERROR(__xludf.DUMMYFUNCTION("IMPORTRANGE(H33532,""IDENTITAS UNIT!D9"")"),"#N/A")</f>
        <v>#N/A</v>
      </c>
      <c r="H33532" s="4" t="str">
        <v/>
      </c>
      <c r="I33532" s="4" t="str">
        <v/>
      </c>
    </row>
    <row r="33533" spans="5:9" ht="16.5" hidden="1">
      <c r="E33533" s="4" t="str">
        <v/>
      </c>
      <c r="F33533" s="102" t="str">
        <f ca="1">IFERROR(__xludf.DUMMYFUNCTION("IMPORTRANGE(H33533,""IDENTITAS UNIT!D9"")"),"#N/A")</f>
        <v>#N/A</v>
      </c>
      <c r="H33533" s="4" t="str">
        <v/>
      </c>
      <c r="I33533" s="4" t="str">
        <v/>
      </c>
    </row>
    <row r="33534" spans="5:9" ht="16.5" hidden="1">
      <c r="E33534" s="4" t="str">
        <v/>
      </c>
      <c r="F33534" s="102" t="str">
        <f ca="1">IFERROR(__xludf.DUMMYFUNCTION("IMPORTRANGE(H33534,""IDENTITAS UNIT!D9"")"),"#N/A")</f>
        <v>#N/A</v>
      </c>
      <c r="H33534" s="4" t="str">
        <v/>
      </c>
      <c r="I33534" s="4" t="str">
        <v/>
      </c>
    </row>
    <row r="33535" spans="5:9" ht="16.5" hidden="1">
      <c r="E33535" s="4" t="str">
        <v/>
      </c>
      <c r="F33535" s="102" t="str">
        <f ca="1">IFERROR(__xludf.DUMMYFUNCTION("IMPORTRANGE(H33535,""IDENTITAS UNIT!D9"")"),"#N/A")</f>
        <v>#N/A</v>
      </c>
      <c r="H33535" s="4" t="str">
        <v/>
      </c>
      <c r="I33535" s="4" t="str">
        <v/>
      </c>
    </row>
    <row r="33536" spans="5:9" ht="16.5" hidden="1">
      <c r="E33536" s="4" t="str">
        <v/>
      </c>
      <c r="F33536" s="102" t="str">
        <f ca="1">IFERROR(__xludf.DUMMYFUNCTION("IMPORTRANGE(H33536,""IDENTITAS UNIT!D9"")"),"#N/A")</f>
        <v>#N/A</v>
      </c>
      <c r="H33536" s="4" t="str">
        <v/>
      </c>
      <c r="I33536" s="4" t="str">
        <v/>
      </c>
    </row>
    <row r="33537" spans="5:9" ht="16.5" hidden="1">
      <c r="E33537" s="4" t="str">
        <v/>
      </c>
      <c r="F33537" s="102" t="str">
        <f ca="1">IFERROR(__xludf.DUMMYFUNCTION("IMPORTRANGE(H33537,""IDENTITAS UNIT!D9"")"),"#N/A")</f>
        <v>#N/A</v>
      </c>
      <c r="H33537" s="4" t="str">
        <v/>
      </c>
      <c r="I33537" s="4" t="str">
        <v/>
      </c>
    </row>
    <row r="33538" spans="5:9" ht="16.5" hidden="1">
      <c r="E33538" s="4" t="str">
        <v/>
      </c>
      <c r="F33538" s="102" t="str">
        <f ca="1">IFERROR(__xludf.DUMMYFUNCTION("IMPORTRANGE(H33538,""IDENTITAS UNIT!D9"")"),"#N/A")</f>
        <v>#N/A</v>
      </c>
      <c r="H33538" s="4" t="str">
        <v/>
      </c>
      <c r="I33538" s="4" t="str">
        <v/>
      </c>
    </row>
    <row r="33539" spans="5:9" ht="16.5" hidden="1">
      <c r="E33539" s="4" t="str">
        <v/>
      </c>
      <c r="F33539" s="102" t="str">
        <f ca="1">IFERROR(__xludf.DUMMYFUNCTION("IMPORTRANGE(H33539,""IDENTITAS UNIT!D9"")"),"#N/A")</f>
        <v>#N/A</v>
      </c>
      <c r="H33539" s="4" t="str">
        <v/>
      </c>
      <c r="I33539" s="4" t="str">
        <v/>
      </c>
    </row>
    <row r="33540" spans="5:9" ht="16.5" hidden="1">
      <c r="E33540" s="4" t="str">
        <v/>
      </c>
      <c r="F33540" s="102" t="str">
        <f ca="1">IFERROR(__xludf.DUMMYFUNCTION("IMPORTRANGE(H33540,""IDENTITAS UNIT!D9"")"),"#N/A")</f>
        <v>#N/A</v>
      </c>
      <c r="H33540" s="4" t="str">
        <v/>
      </c>
      <c r="I33540" s="4" t="str">
        <v/>
      </c>
    </row>
    <row r="33541" spans="5:9" ht="16.5" hidden="1">
      <c r="E33541" s="4" t="str">
        <v/>
      </c>
      <c r="F33541" s="102" t="str">
        <f ca="1">IFERROR(__xludf.DUMMYFUNCTION("IMPORTRANGE(H33541,""IDENTITAS UNIT!D9"")"),"#N/A")</f>
        <v>#N/A</v>
      </c>
      <c r="H33541" s="4" t="str">
        <v/>
      </c>
      <c r="I33541" s="4" t="str">
        <v/>
      </c>
    </row>
    <row r="33542" spans="5:9" ht="16.5" hidden="1">
      <c r="E33542" s="4" t="str">
        <v/>
      </c>
      <c r="F33542" s="102" t="str">
        <f ca="1">IFERROR(__xludf.DUMMYFUNCTION("IMPORTRANGE(H33542,""IDENTITAS UNIT!D9"")"),"#N/A")</f>
        <v>#N/A</v>
      </c>
      <c r="H33542" s="4" t="str">
        <v/>
      </c>
      <c r="I33542" s="4" t="str">
        <v/>
      </c>
    </row>
    <row r="33543" spans="5:9" ht="16.5" hidden="1">
      <c r="E33543" s="4" t="str">
        <v/>
      </c>
      <c r="F33543" s="102" t="str">
        <f ca="1">IFERROR(__xludf.DUMMYFUNCTION("IMPORTRANGE(H33543,""IDENTITAS UNIT!D9"")"),"#N/A")</f>
        <v>#N/A</v>
      </c>
      <c r="H33543" s="4" t="str">
        <v/>
      </c>
      <c r="I33543" s="4" t="str">
        <v/>
      </c>
    </row>
    <row r="33544" spans="5:9" ht="16.5" hidden="1">
      <c r="E33544" s="4" t="str">
        <v/>
      </c>
      <c r="F33544" s="102" t="str">
        <f ca="1">IFERROR(__xludf.DUMMYFUNCTION("IMPORTRANGE(H33544,""IDENTITAS UNIT!D9"")"),"#N/A")</f>
        <v>#N/A</v>
      </c>
      <c r="H33544" s="4" t="str">
        <v/>
      </c>
      <c r="I33544" s="4" t="str">
        <v/>
      </c>
    </row>
    <row r="33545" spans="5:9" ht="16.5" hidden="1">
      <c r="E33545" s="4" t="str">
        <v/>
      </c>
      <c r="F33545" s="102" t="str">
        <f ca="1">IFERROR(__xludf.DUMMYFUNCTION("IMPORTRANGE(H33545,""IDENTITAS UNIT!D9"")"),"#N/A")</f>
        <v>#N/A</v>
      </c>
      <c r="H33545" s="4" t="str">
        <v/>
      </c>
      <c r="I33545" s="4" t="str">
        <v/>
      </c>
    </row>
    <row r="33546" spans="5:9" ht="16.5" hidden="1">
      <c r="E33546" s="4" t="str">
        <v/>
      </c>
      <c r="F33546" s="102" t="str">
        <f ca="1">IFERROR(__xludf.DUMMYFUNCTION("IMPORTRANGE(H33546,""IDENTITAS UNIT!D9"")"),"#N/A")</f>
        <v>#N/A</v>
      </c>
      <c r="H33546" s="4" t="str">
        <v/>
      </c>
      <c r="I33546" s="4" t="str">
        <v/>
      </c>
    </row>
    <row r="33547" spans="5:9" ht="16.5" hidden="1">
      <c r="E33547" s="4" t="str">
        <v/>
      </c>
      <c r="F33547" s="102" t="str">
        <f ca="1">IFERROR(__xludf.DUMMYFUNCTION("IMPORTRANGE(H33547,""IDENTITAS UNIT!D9"")"),"#N/A")</f>
        <v>#N/A</v>
      </c>
      <c r="H33547" s="4" t="str">
        <v/>
      </c>
      <c r="I33547" s="4" t="str">
        <v/>
      </c>
    </row>
    <row r="33548" spans="5:9" ht="16.5" hidden="1">
      <c r="E33548" s="4" t="str">
        <v/>
      </c>
      <c r="F33548" s="102" t="str">
        <f ca="1">IFERROR(__xludf.DUMMYFUNCTION("IMPORTRANGE(H33548,""IDENTITAS UNIT!D9"")"),"#N/A")</f>
        <v>#N/A</v>
      </c>
      <c r="H33548" s="4" t="str">
        <v/>
      </c>
      <c r="I33548" s="4" t="str">
        <v/>
      </c>
    </row>
    <row r="33549" spans="5:9" ht="16.5" hidden="1">
      <c r="E33549" s="4" t="str">
        <v/>
      </c>
      <c r="F33549" s="102" t="str">
        <f ca="1">IFERROR(__xludf.DUMMYFUNCTION("IMPORTRANGE(H33549,""IDENTITAS UNIT!D9"")"),"#N/A")</f>
        <v>#N/A</v>
      </c>
      <c r="H33549" s="4" t="str">
        <v/>
      </c>
      <c r="I33549" s="4" t="str">
        <v/>
      </c>
    </row>
    <row r="33550" spans="5:9" ht="16.5" hidden="1">
      <c r="E33550" s="4" t="str">
        <v/>
      </c>
      <c r="F33550" s="102" t="str">
        <f ca="1">IFERROR(__xludf.DUMMYFUNCTION("IMPORTRANGE(H33550,""IDENTITAS UNIT!D9"")"),"#N/A")</f>
        <v>#N/A</v>
      </c>
      <c r="H33550" s="4" t="str">
        <v/>
      </c>
      <c r="I33550" s="4" t="str">
        <v/>
      </c>
    </row>
    <row r="33551" spans="5:9" ht="16.5" hidden="1">
      <c r="E33551" s="4" t="str">
        <v/>
      </c>
      <c r="F33551" s="102" t="str">
        <f ca="1">IFERROR(__xludf.DUMMYFUNCTION("IMPORTRANGE(H33551,""IDENTITAS UNIT!D9"")"),"#N/A")</f>
        <v>#N/A</v>
      </c>
      <c r="H33551" s="4" t="str">
        <v/>
      </c>
      <c r="I33551" s="4" t="str">
        <v/>
      </c>
    </row>
    <row r="33552" spans="5:9" ht="16.5" hidden="1">
      <c r="E33552" s="4" t="str">
        <v/>
      </c>
      <c r="F33552" s="102" t="str">
        <f ca="1">IFERROR(__xludf.DUMMYFUNCTION("IMPORTRANGE(H33552,""IDENTITAS UNIT!D9"")"),"#N/A")</f>
        <v>#N/A</v>
      </c>
      <c r="H33552" s="4" t="str">
        <v/>
      </c>
      <c r="I33552" s="4" t="str">
        <v/>
      </c>
    </row>
    <row r="33553" spans="5:9" ht="16.5" hidden="1">
      <c r="E33553" s="4" t="str">
        <v/>
      </c>
      <c r="F33553" s="102" t="str">
        <f ca="1">IFERROR(__xludf.DUMMYFUNCTION("IMPORTRANGE(H33553,""IDENTITAS UNIT!D9"")"),"#N/A")</f>
        <v>#N/A</v>
      </c>
      <c r="H33553" s="4" t="str">
        <v/>
      </c>
      <c r="I33553" s="4" t="str">
        <v/>
      </c>
    </row>
    <row r="33554" spans="5:9" ht="16.5" hidden="1">
      <c r="E33554" s="4" t="str">
        <v/>
      </c>
      <c r="F33554" s="102" t="str">
        <f ca="1">IFERROR(__xludf.DUMMYFUNCTION("IMPORTRANGE(H33554,""IDENTITAS UNIT!D9"")"),"#N/A")</f>
        <v>#N/A</v>
      </c>
      <c r="H33554" s="4" t="str">
        <v/>
      </c>
      <c r="I33554" s="4" t="str">
        <v/>
      </c>
    </row>
    <row r="33555" spans="5:9" ht="16.5" hidden="1">
      <c r="E33555" s="4" t="str">
        <v/>
      </c>
      <c r="F33555" s="102" t="str">
        <f ca="1">IFERROR(__xludf.DUMMYFUNCTION("IMPORTRANGE(H33555,""IDENTITAS UNIT!D9"")"),"#N/A")</f>
        <v>#N/A</v>
      </c>
      <c r="H33555" s="4" t="str">
        <v/>
      </c>
      <c r="I33555" s="4" t="str">
        <v/>
      </c>
    </row>
    <row r="33556" spans="5:9" ht="16.5" hidden="1">
      <c r="E33556" s="4" t="str">
        <v/>
      </c>
      <c r="F33556" s="102" t="str">
        <f ca="1">IFERROR(__xludf.DUMMYFUNCTION("IMPORTRANGE(H33556,""IDENTITAS UNIT!D9"")"),"#N/A")</f>
        <v>#N/A</v>
      </c>
      <c r="H33556" s="4" t="str">
        <v/>
      </c>
      <c r="I33556" s="4" t="str">
        <v/>
      </c>
    </row>
    <row r="33557" spans="5:9" ht="16.5" hidden="1">
      <c r="E33557" s="4" t="str">
        <v/>
      </c>
      <c r="F33557" s="102" t="str">
        <f ca="1">IFERROR(__xludf.DUMMYFUNCTION("IMPORTRANGE(H33557,""IDENTITAS UNIT!D9"")"),"#N/A")</f>
        <v>#N/A</v>
      </c>
      <c r="H33557" s="4" t="str">
        <v/>
      </c>
      <c r="I33557" s="4" t="str">
        <v/>
      </c>
    </row>
    <row r="33558" spans="5:9" ht="16.5" hidden="1">
      <c r="E33558" s="4" t="str">
        <v/>
      </c>
      <c r="F33558" s="102" t="str">
        <f ca="1">IFERROR(__xludf.DUMMYFUNCTION("IMPORTRANGE(H33558,""IDENTITAS UNIT!D9"")"),"#N/A")</f>
        <v>#N/A</v>
      </c>
      <c r="H33558" s="4" t="str">
        <v/>
      </c>
      <c r="I33558" s="4" t="str">
        <v/>
      </c>
    </row>
    <row r="33559" spans="5:9" ht="16.5" hidden="1">
      <c r="E33559" s="4" t="str">
        <v/>
      </c>
      <c r="F33559" s="102" t="str">
        <f ca="1">IFERROR(__xludf.DUMMYFUNCTION("IMPORTRANGE(H33559,""IDENTITAS UNIT!D9"")"),"#N/A")</f>
        <v>#N/A</v>
      </c>
      <c r="H33559" s="4" t="str">
        <v/>
      </c>
      <c r="I33559" s="4" t="str">
        <v/>
      </c>
    </row>
    <row r="33560" spans="5:9" ht="16.5" hidden="1">
      <c r="E33560" s="4" t="str">
        <v/>
      </c>
      <c r="F33560" s="102" t="str">
        <f ca="1">IFERROR(__xludf.DUMMYFUNCTION("IMPORTRANGE(H33560,""IDENTITAS UNIT!D9"")"),"#N/A")</f>
        <v>#N/A</v>
      </c>
      <c r="H33560" s="4" t="str">
        <v/>
      </c>
      <c r="I33560" s="4" t="str">
        <v/>
      </c>
    </row>
    <row r="33561" spans="5:9" ht="16.5" hidden="1">
      <c r="E33561" s="4" t="str">
        <v/>
      </c>
      <c r="F33561" s="102" t="str">
        <f ca="1">IFERROR(__xludf.DUMMYFUNCTION("IMPORTRANGE(H33561,""IDENTITAS UNIT!D9"")"),"#N/A")</f>
        <v>#N/A</v>
      </c>
      <c r="H33561" s="4" t="str">
        <v/>
      </c>
      <c r="I33561" s="4" t="str">
        <v/>
      </c>
    </row>
    <row r="33562" spans="5:9" ht="16.5" hidden="1">
      <c r="E33562" s="4" t="str">
        <v/>
      </c>
      <c r="F33562" s="102" t="str">
        <f ca="1">IFERROR(__xludf.DUMMYFUNCTION("IMPORTRANGE(H33562,""IDENTITAS UNIT!D9"")"),"#N/A")</f>
        <v>#N/A</v>
      </c>
      <c r="H33562" s="4" t="str">
        <v/>
      </c>
      <c r="I33562" s="4" t="str">
        <v/>
      </c>
    </row>
    <row r="33563" spans="5:9" ht="16.5" hidden="1">
      <c r="E33563" s="4" t="str">
        <v/>
      </c>
      <c r="F33563" s="102" t="str">
        <f ca="1">IFERROR(__xludf.DUMMYFUNCTION("IMPORTRANGE(H33563,""IDENTITAS UNIT!D9"")"),"#N/A")</f>
        <v>#N/A</v>
      </c>
      <c r="H33563" s="4" t="str">
        <v/>
      </c>
      <c r="I33563" s="4" t="str">
        <v/>
      </c>
    </row>
    <row r="33564" spans="5:9" ht="16.5" hidden="1">
      <c r="E33564" s="4" t="str">
        <v/>
      </c>
      <c r="F33564" s="102" t="str">
        <f ca="1">IFERROR(__xludf.DUMMYFUNCTION("IMPORTRANGE(H33564,""IDENTITAS UNIT!D9"")"),"#N/A")</f>
        <v>#N/A</v>
      </c>
      <c r="H33564" s="4" t="str">
        <v/>
      </c>
      <c r="I33564" s="4" t="str">
        <v/>
      </c>
    </row>
    <row r="33565" spans="5:9" ht="16.5" hidden="1">
      <c r="E33565" s="4" t="str">
        <v/>
      </c>
      <c r="F33565" s="102" t="str">
        <f ca="1">IFERROR(__xludf.DUMMYFUNCTION("IMPORTRANGE(H33565,""IDENTITAS UNIT!D9"")"),"#N/A")</f>
        <v>#N/A</v>
      </c>
      <c r="H33565" s="4" t="str">
        <v/>
      </c>
      <c r="I33565" s="4" t="str">
        <v/>
      </c>
    </row>
    <row r="33566" spans="5:9" ht="16.5" hidden="1">
      <c r="E33566" s="4" t="str">
        <v/>
      </c>
      <c r="F33566" s="102" t="str">
        <f ca="1">IFERROR(__xludf.DUMMYFUNCTION("IMPORTRANGE(H33566,""IDENTITAS UNIT!D9"")"),"#N/A")</f>
        <v>#N/A</v>
      </c>
      <c r="H33566" s="4" t="str">
        <v/>
      </c>
      <c r="I33566" s="4" t="str">
        <v/>
      </c>
    </row>
    <row r="33567" spans="5:9" ht="16.5" hidden="1">
      <c r="E33567" s="4" t="str">
        <v/>
      </c>
      <c r="F33567" s="102" t="str">
        <f ca="1">IFERROR(__xludf.DUMMYFUNCTION("IMPORTRANGE(H33567,""IDENTITAS UNIT!D9"")"),"#N/A")</f>
        <v>#N/A</v>
      </c>
      <c r="H33567" s="4" t="str">
        <v/>
      </c>
      <c r="I33567" s="4" t="str">
        <v/>
      </c>
    </row>
    <row r="33568" spans="5:9" ht="16.5" hidden="1">
      <c r="E33568" s="4" t="str">
        <v/>
      </c>
      <c r="F33568" s="102" t="str">
        <f ca="1">IFERROR(__xludf.DUMMYFUNCTION("IMPORTRANGE(H33568,""IDENTITAS UNIT!D9"")"),"#N/A")</f>
        <v>#N/A</v>
      </c>
      <c r="H33568" s="4" t="str">
        <v/>
      </c>
      <c r="I33568" s="4" t="str">
        <v/>
      </c>
    </row>
    <row r="33569" spans="5:9" ht="16.5" hidden="1">
      <c r="E33569" s="4" t="str">
        <v/>
      </c>
      <c r="F33569" s="102" t="str">
        <f ca="1">IFERROR(__xludf.DUMMYFUNCTION("IMPORTRANGE(H33569,""IDENTITAS UNIT!D9"")"),"#N/A")</f>
        <v>#N/A</v>
      </c>
      <c r="H33569" s="4" t="str">
        <v/>
      </c>
      <c r="I33569" s="4" t="str">
        <v/>
      </c>
    </row>
    <row r="33570" spans="5:9" ht="16.5" hidden="1">
      <c r="E33570" s="4" t="str">
        <v/>
      </c>
      <c r="F33570" s="102" t="str">
        <f ca="1">IFERROR(__xludf.DUMMYFUNCTION("IMPORTRANGE(H33570,""IDENTITAS UNIT!D9"")"),"#N/A")</f>
        <v>#N/A</v>
      </c>
      <c r="H33570" s="4" t="str">
        <v/>
      </c>
      <c r="I33570" s="4" t="str">
        <v/>
      </c>
    </row>
    <row r="33571" spans="5:9" ht="16.5" hidden="1">
      <c r="E33571" s="4" t="str">
        <v/>
      </c>
      <c r="F33571" s="102" t="str">
        <f ca="1">IFERROR(__xludf.DUMMYFUNCTION("IMPORTRANGE(H33571,""IDENTITAS UNIT!D9"")"),"#N/A")</f>
        <v>#N/A</v>
      </c>
      <c r="H33571" s="4" t="str">
        <v/>
      </c>
      <c r="I33571" s="4" t="str">
        <v/>
      </c>
    </row>
    <row r="33572" spans="5:9" ht="16.5" hidden="1">
      <c r="E33572" s="4" t="str">
        <v/>
      </c>
      <c r="F33572" s="102" t="str">
        <f ca="1">IFERROR(__xludf.DUMMYFUNCTION("IMPORTRANGE(H33572,""IDENTITAS UNIT!D9"")"),"#N/A")</f>
        <v>#N/A</v>
      </c>
      <c r="H33572" s="4" t="str">
        <v/>
      </c>
      <c r="I33572" s="4" t="str">
        <v/>
      </c>
    </row>
    <row r="33573" spans="5:9" ht="16.5" hidden="1">
      <c r="E33573" s="4" t="str">
        <v/>
      </c>
      <c r="F33573" s="102" t="str">
        <f ca="1">IFERROR(__xludf.DUMMYFUNCTION("IMPORTRANGE(H33573,""IDENTITAS UNIT!D9"")"),"#N/A")</f>
        <v>#N/A</v>
      </c>
      <c r="H33573" s="4" t="str">
        <v/>
      </c>
      <c r="I33573" s="4" t="str">
        <v/>
      </c>
    </row>
    <row r="33574" spans="5:9" ht="16.5" hidden="1">
      <c r="E33574" s="4" t="str">
        <v/>
      </c>
      <c r="F33574" s="102" t="str">
        <f ca="1">IFERROR(__xludf.DUMMYFUNCTION("IMPORTRANGE(H33574,""IDENTITAS UNIT!D9"")"),"#N/A")</f>
        <v>#N/A</v>
      </c>
      <c r="H33574" s="4" t="str">
        <v/>
      </c>
      <c r="I33574" s="4" t="str">
        <v/>
      </c>
    </row>
    <row r="33575" spans="5:9" ht="16.5" hidden="1">
      <c r="E33575" s="4" t="str">
        <v/>
      </c>
      <c r="F33575" s="102" t="str">
        <f ca="1">IFERROR(__xludf.DUMMYFUNCTION("IMPORTRANGE(H33575,""IDENTITAS UNIT!D9"")"),"#N/A")</f>
        <v>#N/A</v>
      </c>
      <c r="H33575" s="4" t="str">
        <v/>
      </c>
      <c r="I33575" s="4" t="str">
        <v/>
      </c>
    </row>
    <row r="33576" spans="5:9" ht="16.5" hidden="1">
      <c r="E33576" s="4" t="str">
        <v/>
      </c>
      <c r="F33576" s="102" t="str">
        <f ca="1">IFERROR(__xludf.DUMMYFUNCTION("IMPORTRANGE(H33576,""IDENTITAS UNIT!D9"")"),"#N/A")</f>
        <v>#N/A</v>
      </c>
      <c r="H33576" s="4" t="str">
        <v/>
      </c>
      <c r="I33576" s="4" t="str">
        <v/>
      </c>
    </row>
    <row r="33577" spans="5:9" ht="16.5" hidden="1">
      <c r="E33577" s="4" t="str">
        <v/>
      </c>
      <c r="F33577" s="102" t="str">
        <f ca="1">IFERROR(__xludf.DUMMYFUNCTION("IMPORTRANGE(H33577,""IDENTITAS UNIT!D9"")"),"#N/A")</f>
        <v>#N/A</v>
      </c>
      <c r="H33577" s="4" t="str">
        <v/>
      </c>
      <c r="I33577" s="4" t="str">
        <v/>
      </c>
    </row>
    <row r="33578" spans="5:9" ht="16.5" hidden="1">
      <c r="E33578" s="4" t="str">
        <v/>
      </c>
      <c r="F33578" s="102" t="str">
        <f ca="1">IFERROR(__xludf.DUMMYFUNCTION("IMPORTRANGE(H33578,""IDENTITAS UNIT!D9"")"),"#N/A")</f>
        <v>#N/A</v>
      </c>
      <c r="H33578" s="4" t="str">
        <v/>
      </c>
      <c r="I33578" s="4" t="str">
        <v/>
      </c>
    </row>
    <row r="33579" spans="5:9" ht="16.5" hidden="1">
      <c r="E33579" s="4" t="str">
        <v/>
      </c>
      <c r="F33579" s="102" t="str">
        <f ca="1">IFERROR(__xludf.DUMMYFUNCTION("IMPORTRANGE(H33579,""IDENTITAS UNIT!D9"")"),"#N/A")</f>
        <v>#N/A</v>
      </c>
      <c r="H33579" s="4" t="str">
        <v/>
      </c>
      <c r="I33579" s="4" t="str">
        <v/>
      </c>
    </row>
    <row r="33580" spans="5:9" ht="16.5" hidden="1">
      <c r="E33580" s="4" t="str">
        <v/>
      </c>
      <c r="F33580" s="102" t="str">
        <f ca="1">IFERROR(__xludf.DUMMYFUNCTION("IMPORTRANGE(H33580,""IDENTITAS UNIT!D9"")"),"#N/A")</f>
        <v>#N/A</v>
      </c>
      <c r="H33580" s="4" t="str">
        <v/>
      </c>
      <c r="I33580" s="4" t="str">
        <v/>
      </c>
    </row>
    <row r="33581" spans="5:9" ht="16.5" hidden="1">
      <c r="E33581" s="4" t="str">
        <v/>
      </c>
      <c r="F33581" s="102" t="str">
        <f ca="1">IFERROR(__xludf.DUMMYFUNCTION("IMPORTRANGE(H33581,""IDENTITAS UNIT!D9"")"),"#N/A")</f>
        <v>#N/A</v>
      </c>
      <c r="H33581" s="4" t="str">
        <v/>
      </c>
      <c r="I33581" s="4" t="str">
        <v/>
      </c>
    </row>
    <row r="33582" spans="5:9" ht="16.5" hidden="1">
      <c r="E33582" s="4" t="str">
        <v/>
      </c>
      <c r="F33582" s="102" t="str">
        <f ca="1">IFERROR(__xludf.DUMMYFUNCTION("IMPORTRANGE(H33582,""IDENTITAS UNIT!D9"")"),"#N/A")</f>
        <v>#N/A</v>
      </c>
      <c r="H33582" s="4" t="str">
        <v/>
      </c>
      <c r="I33582" s="4" t="str">
        <v/>
      </c>
    </row>
    <row r="33583" spans="5:9" ht="16.5" hidden="1">
      <c r="E33583" s="4" t="str">
        <v/>
      </c>
      <c r="F33583" s="102" t="str">
        <f ca="1">IFERROR(__xludf.DUMMYFUNCTION("IMPORTRANGE(H33583,""IDENTITAS UNIT!D9"")"),"#N/A")</f>
        <v>#N/A</v>
      </c>
      <c r="H33583" s="4" t="str">
        <v/>
      </c>
      <c r="I33583" s="4" t="str">
        <v/>
      </c>
    </row>
    <row r="33584" spans="5:9" ht="16.5" hidden="1">
      <c r="E33584" s="4" t="str">
        <v/>
      </c>
      <c r="F33584" s="102" t="str">
        <f ca="1">IFERROR(__xludf.DUMMYFUNCTION("IMPORTRANGE(H33584,""IDENTITAS UNIT!D9"")"),"#N/A")</f>
        <v>#N/A</v>
      </c>
      <c r="H33584" s="4" t="str">
        <v/>
      </c>
      <c r="I33584" s="4" t="str">
        <v/>
      </c>
    </row>
    <row r="33585" spans="5:9" ht="16.5" hidden="1">
      <c r="E33585" s="4" t="str">
        <v/>
      </c>
      <c r="F33585" s="102" t="str">
        <f ca="1">IFERROR(__xludf.DUMMYFUNCTION("IMPORTRANGE(H33585,""IDENTITAS UNIT!D9"")"),"#N/A")</f>
        <v>#N/A</v>
      </c>
      <c r="H33585" s="4" t="str">
        <v/>
      </c>
      <c r="I33585" s="4" t="str">
        <v/>
      </c>
    </row>
    <row r="33586" spans="5:9" ht="16.5" hidden="1">
      <c r="E33586" s="4" t="str">
        <v/>
      </c>
      <c r="F33586" s="102" t="str">
        <f ca="1">IFERROR(__xludf.DUMMYFUNCTION("IMPORTRANGE(H33586,""IDENTITAS UNIT!D9"")"),"#N/A")</f>
        <v>#N/A</v>
      </c>
      <c r="H33586" s="4" t="str">
        <v/>
      </c>
      <c r="I33586" s="4" t="str">
        <v/>
      </c>
    </row>
    <row r="33587" spans="5:9" ht="16.5" hidden="1">
      <c r="E33587" s="4" t="str">
        <v/>
      </c>
      <c r="F33587" s="102" t="str">
        <f ca="1">IFERROR(__xludf.DUMMYFUNCTION("IMPORTRANGE(H33587,""IDENTITAS UNIT!D9"")"),"#N/A")</f>
        <v>#N/A</v>
      </c>
      <c r="H33587" s="4" t="str">
        <v/>
      </c>
      <c r="I33587" s="4" t="str">
        <v/>
      </c>
    </row>
    <row r="33588" spans="5:9" ht="16.5" hidden="1">
      <c r="E33588" s="4" t="str">
        <v/>
      </c>
      <c r="F33588" s="102" t="str">
        <f ca="1">IFERROR(__xludf.DUMMYFUNCTION("IMPORTRANGE(H33588,""IDENTITAS UNIT!D9"")"),"#N/A")</f>
        <v>#N/A</v>
      </c>
      <c r="H33588" s="4" t="str">
        <v/>
      </c>
      <c r="I33588" s="4" t="str">
        <v/>
      </c>
    </row>
    <row r="33589" spans="5:9" ht="16.5" hidden="1">
      <c r="E33589" s="4" t="str">
        <v/>
      </c>
      <c r="F33589" s="102" t="str">
        <f ca="1">IFERROR(__xludf.DUMMYFUNCTION("IMPORTRANGE(H33589,""IDENTITAS UNIT!D9"")"),"#N/A")</f>
        <v>#N/A</v>
      </c>
      <c r="H33589" s="4" t="str">
        <v/>
      </c>
      <c r="I33589" s="4" t="str">
        <v/>
      </c>
    </row>
    <row r="33590" spans="5:9" ht="16.5" hidden="1">
      <c r="E33590" s="4" t="str">
        <v/>
      </c>
      <c r="F33590" s="102" t="str">
        <f ca="1">IFERROR(__xludf.DUMMYFUNCTION("IMPORTRANGE(H33590,""IDENTITAS UNIT!D9"")"),"#N/A")</f>
        <v>#N/A</v>
      </c>
      <c r="H33590" s="4" t="str">
        <v/>
      </c>
      <c r="I33590" s="4" t="str">
        <v/>
      </c>
    </row>
    <row r="33591" spans="5:9" ht="16.5" hidden="1">
      <c r="E33591" s="4" t="str">
        <v/>
      </c>
      <c r="F33591" s="102" t="str">
        <f ca="1">IFERROR(__xludf.DUMMYFUNCTION("IMPORTRANGE(H33591,""IDENTITAS UNIT!D9"")"),"#N/A")</f>
        <v>#N/A</v>
      </c>
      <c r="H33591" s="4" t="str">
        <v/>
      </c>
      <c r="I33591" s="4" t="str">
        <v/>
      </c>
    </row>
    <row r="33592" spans="5:9" ht="16.5" hidden="1">
      <c r="E33592" s="4" t="str">
        <v/>
      </c>
      <c r="F33592" s="102" t="str">
        <f ca="1">IFERROR(__xludf.DUMMYFUNCTION("IMPORTRANGE(H33592,""IDENTITAS UNIT!D9"")"),"#N/A")</f>
        <v>#N/A</v>
      </c>
      <c r="H33592" s="4" t="str">
        <v/>
      </c>
      <c r="I33592" s="4" t="str">
        <v/>
      </c>
    </row>
    <row r="33593" spans="5:9" ht="16.5" hidden="1">
      <c r="E33593" s="4" t="str">
        <v/>
      </c>
      <c r="F33593" s="102" t="str">
        <f ca="1">IFERROR(__xludf.DUMMYFUNCTION("IMPORTRANGE(H33593,""IDENTITAS UNIT!D9"")"),"#N/A")</f>
        <v>#N/A</v>
      </c>
      <c r="H33593" s="4" t="str">
        <v/>
      </c>
      <c r="I33593" s="4" t="str">
        <v/>
      </c>
    </row>
    <row r="33594" spans="5:9" ht="16.5" hidden="1">
      <c r="E33594" s="4" t="str">
        <v/>
      </c>
      <c r="F33594" s="102" t="str">
        <f ca="1">IFERROR(__xludf.DUMMYFUNCTION("IMPORTRANGE(H33594,""IDENTITAS UNIT!D9"")"),"#N/A")</f>
        <v>#N/A</v>
      </c>
      <c r="H33594" s="4" t="str">
        <v/>
      </c>
      <c r="I33594" s="4" t="str">
        <v/>
      </c>
    </row>
    <row r="33595" spans="5:9" ht="16.5" hidden="1">
      <c r="E33595" s="4" t="str">
        <v/>
      </c>
      <c r="F33595" s="102" t="str">
        <f ca="1">IFERROR(__xludf.DUMMYFUNCTION("IMPORTRANGE(H33595,""IDENTITAS UNIT!D9"")"),"#N/A")</f>
        <v>#N/A</v>
      </c>
      <c r="H33595" s="4" t="str">
        <v/>
      </c>
      <c r="I33595" s="4" t="str">
        <v/>
      </c>
    </row>
    <row r="33596" spans="5:9" ht="16.5" hidden="1">
      <c r="E33596" s="4" t="str">
        <v/>
      </c>
      <c r="F33596" s="102" t="str">
        <f ca="1">IFERROR(__xludf.DUMMYFUNCTION("IMPORTRANGE(H33596,""IDENTITAS UNIT!D9"")"),"#N/A")</f>
        <v>#N/A</v>
      </c>
      <c r="H33596" s="4" t="str">
        <v/>
      </c>
      <c r="I33596" s="4" t="str">
        <v/>
      </c>
    </row>
    <row r="33597" spans="5:9" ht="16.5" hidden="1">
      <c r="E33597" s="4" t="str">
        <v/>
      </c>
      <c r="F33597" s="102" t="str">
        <f ca="1">IFERROR(__xludf.DUMMYFUNCTION("IMPORTRANGE(H33597,""IDENTITAS UNIT!D9"")"),"#N/A")</f>
        <v>#N/A</v>
      </c>
      <c r="H33597" s="4" t="str">
        <v/>
      </c>
      <c r="I33597" s="4" t="str">
        <v/>
      </c>
    </row>
    <row r="33598" spans="5:9" ht="16.5" hidden="1">
      <c r="E33598" s="4" t="str">
        <v/>
      </c>
      <c r="F33598" s="102" t="str">
        <f ca="1">IFERROR(__xludf.DUMMYFUNCTION("IMPORTRANGE(H33598,""IDENTITAS UNIT!D9"")"),"#N/A")</f>
        <v>#N/A</v>
      </c>
      <c r="H33598" s="4" t="str">
        <v/>
      </c>
      <c r="I33598" s="4" t="str">
        <v/>
      </c>
    </row>
    <row r="33599" spans="5:9" ht="16.5" hidden="1">
      <c r="E33599" s="4" t="str">
        <v/>
      </c>
      <c r="F33599" s="102" t="str">
        <f ca="1">IFERROR(__xludf.DUMMYFUNCTION("IMPORTRANGE(H33599,""IDENTITAS UNIT!D9"")"),"#N/A")</f>
        <v>#N/A</v>
      </c>
      <c r="H33599" s="4" t="str">
        <v/>
      </c>
      <c r="I33599" s="4" t="str">
        <v/>
      </c>
    </row>
    <row r="33600" spans="5:9" ht="16.5" hidden="1">
      <c r="E33600" s="4" t="str">
        <v/>
      </c>
      <c r="F33600" s="102" t="str">
        <f ca="1">IFERROR(__xludf.DUMMYFUNCTION("IMPORTRANGE(H33600,""IDENTITAS UNIT!D9"")"),"#N/A")</f>
        <v>#N/A</v>
      </c>
      <c r="H33600" s="4" t="str">
        <v/>
      </c>
      <c r="I33600" s="4" t="str">
        <v/>
      </c>
    </row>
    <row r="33601" spans="5:9" ht="16.5" hidden="1">
      <c r="E33601" s="4" t="str">
        <v/>
      </c>
      <c r="F33601" s="102" t="str">
        <f ca="1">IFERROR(__xludf.DUMMYFUNCTION("IMPORTRANGE(H33601,""IDENTITAS UNIT!D9"")"),"#N/A")</f>
        <v>#N/A</v>
      </c>
      <c r="H33601" s="4" t="str">
        <v/>
      </c>
      <c r="I33601" s="4" t="str">
        <v/>
      </c>
    </row>
    <row r="33602" spans="5:9" ht="16.5" hidden="1">
      <c r="E33602" s="4" t="str">
        <v/>
      </c>
      <c r="F33602" s="102" t="str">
        <f ca="1">IFERROR(__xludf.DUMMYFUNCTION("IMPORTRANGE(H33602,""IDENTITAS UNIT!D9"")"),"#N/A")</f>
        <v>#N/A</v>
      </c>
      <c r="H33602" s="4" t="str">
        <v/>
      </c>
      <c r="I33602" s="4" t="str">
        <v/>
      </c>
    </row>
    <row r="33603" spans="5:9" ht="16.5" hidden="1">
      <c r="E33603" s="4" t="str">
        <v/>
      </c>
      <c r="F33603" s="102" t="str">
        <f ca="1">IFERROR(__xludf.DUMMYFUNCTION("IMPORTRANGE(H33603,""IDENTITAS UNIT!D9"")"),"#N/A")</f>
        <v>#N/A</v>
      </c>
      <c r="H33603" s="4" t="str">
        <v/>
      </c>
      <c r="I33603" s="4" t="str">
        <v/>
      </c>
    </row>
    <row r="33604" spans="5:9" ht="16.5" hidden="1">
      <c r="E33604" s="4" t="str">
        <v/>
      </c>
      <c r="F33604" s="102" t="str">
        <f ca="1">IFERROR(__xludf.DUMMYFUNCTION("IMPORTRANGE(H33604,""IDENTITAS UNIT!D9"")"),"#N/A")</f>
        <v>#N/A</v>
      </c>
      <c r="H33604" s="4" t="str">
        <v/>
      </c>
      <c r="I33604" s="4" t="str">
        <v/>
      </c>
    </row>
    <row r="33605" spans="5:9" ht="16.5" hidden="1">
      <c r="E33605" s="4" t="str">
        <v/>
      </c>
      <c r="F33605" s="102" t="str">
        <f ca="1">IFERROR(__xludf.DUMMYFUNCTION("IMPORTRANGE(H33605,""IDENTITAS UNIT!D9"")"),"#N/A")</f>
        <v>#N/A</v>
      </c>
      <c r="H33605" s="4" t="str">
        <v/>
      </c>
      <c r="I33605" s="4" t="str">
        <v/>
      </c>
    </row>
    <row r="33606" spans="5:9" ht="16.5" hidden="1">
      <c r="E33606" s="4" t="str">
        <v/>
      </c>
      <c r="F33606" s="102" t="str">
        <f ca="1">IFERROR(__xludf.DUMMYFUNCTION("IMPORTRANGE(H33606,""IDENTITAS UNIT!D9"")"),"#N/A")</f>
        <v>#N/A</v>
      </c>
      <c r="H33606" s="4" t="str">
        <v/>
      </c>
      <c r="I33606" s="4" t="str">
        <v/>
      </c>
    </row>
    <row r="33607" spans="5:9" ht="16.5" hidden="1">
      <c r="E33607" s="4" t="str">
        <v/>
      </c>
      <c r="F33607" s="102" t="str">
        <f ca="1">IFERROR(__xludf.DUMMYFUNCTION("IMPORTRANGE(H33607,""IDENTITAS UNIT!D9"")"),"#N/A")</f>
        <v>#N/A</v>
      </c>
      <c r="H33607" s="4" t="str">
        <v/>
      </c>
      <c r="I33607" s="4" t="str">
        <v/>
      </c>
    </row>
    <row r="33608" spans="5:9" ht="16.5" hidden="1">
      <c r="E33608" s="4" t="str">
        <v/>
      </c>
      <c r="F33608" s="102" t="str">
        <f ca="1">IFERROR(__xludf.DUMMYFUNCTION("IMPORTRANGE(H33608,""IDENTITAS UNIT!D9"")"),"#N/A")</f>
        <v>#N/A</v>
      </c>
      <c r="H33608" s="4" t="str">
        <v/>
      </c>
      <c r="I33608" s="4" t="str">
        <v/>
      </c>
    </row>
    <row r="33609" spans="5:9" ht="16.5" hidden="1">
      <c r="E33609" s="4" t="str">
        <v/>
      </c>
      <c r="F33609" s="102" t="str">
        <f ca="1">IFERROR(__xludf.DUMMYFUNCTION("IMPORTRANGE(H33609,""IDENTITAS UNIT!D9"")"),"#N/A")</f>
        <v>#N/A</v>
      </c>
      <c r="H33609" s="4" t="str">
        <v/>
      </c>
      <c r="I33609" s="4" t="str">
        <v/>
      </c>
    </row>
    <row r="33610" spans="5:9" ht="16.5" hidden="1">
      <c r="E33610" s="4" t="str">
        <v/>
      </c>
      <c r="F33610" s="102" t="str">
        <f ca="1">IFERROR(__xludf.DUMMYFUNCTION("IMPORTRANGE(H33610,""IDENTITAS UNIT!D9"")"),"#N/A")</f>
        <v>#N/A</v>
      </c>
      <c r="H33610" s="4" t="str">
        <v/>
      </c>
      <c r="I33610" s="4" t="str">
        <v/>
      </c>
    </row>
    <row r="33611" spans="5:9" ht="16.5" hidden="1">
      <c r="E33611" s="4" t="str">
        <v/>
      </c>
      <c r="F33611" s="102" t="str">
        <f ca="1">IFERROR(__xludf.DUMMYFUNCTION("IMPORTRANGE(H33611,""IDENTITAS UNIT!D9"")"),"#N/A")</f>
        <v>#N/A</v>
      </c>
      <c r="H33611" s="4" t="str">
        <v/>
      </c>
      <c r="I33611" s="4" t="str">
        <v/>
      </c>
    </row>
    <row r="33612" spans="5:9" ht="16.5" hidden="1">
      <c r="E33612" s="4" t="str">
        <v/>
      </c>
      <c r="F33612" s="102" t="str">
        <f ca="1">IFERROR(__xludf.DUMMYFUNCTION("IMPORTRANGE(H33612,""IDENTITAS UNIT!D9"")"),"#N/A")</f>
        <v>#N/A</v>
      </c>
      <c r="H33612" s="4" t="str">
        <v/>
      </c>
      <c r="I33612" s="4" t="str">
        <v/>
      </c>
    </row>
    <row r="33613" spans="5:9" ht="16.5" hidden="1">
      <c r="E33613" s="4" t="str">
        <v/>
      </c>
      <c r="F33613" s="102" t="str">
        <f ca="1">IFERROR(__xludf.DUMMYFUNCTION("IMPORTRANGE(H33613,""IDENTITAS UNIT!D9"")"),"#N/A")</f>
        <v>#N/A</v>
      </c>
      <c r="H33613" s="4" t="str">
        <v/>
      </c>
      <c r="I33613" s="4" t="str">
        <v/>
      </c>
    </row>
    <row r="33614" spans="5:9" ht="16.5" hidden="1">
      <c r="E33614" s="4" t="str">
        <v/>
      </c>
      <c r="F33614" s="102" t="str">
        <f ca="1">IFERROR(__xludf.DUMMYFUNCTION("IMPORTRANGE(H33614,""IDENTITAS UNIT!D9"")"),"#N/A")</f>
        <v>#N/A</v>
      </c>
      <c r="H33614" s="4" t="str">
        <v/>
      </c>
      <c r="I33614" s="4" t="str">
        <v/>
      </c>
    </row>
    <row r="33615" spans="5:9" ht="16.5" hidden="1">
      <c r="E33615" s="4" t="str">
        <v/>
      </c>
      <c r="F33615" s="102" t="str">
        <f ca="1">IFERROR(__xludf.DUMMYFUNCTION("IMPORTRANGE(H33615,""IDENTITAS UNIT!D9"")"),"#N/A")</f>
        <v>#N/A</v>
      </c>
      <c r="H33615" s="4" t="str">
        <v/>
      </c>
      <c r="I33615" s="4" t="str">
        <v/>
      </c>
    </row>
    <row r="33616" spans="5:9" ht="16.5" hidden="1">
      <c r="E33616" s="4" t="str">
        <v/>
      </c>
      <c r="F33616" s="102" t="str">
        <f ca="1">IFERROR(__xludf.DUMMYFUNCTION("IMPORTRANGE(H33616,""IDENTITAS UNIT!D9"")"),"#N/A")</f>
        <v>#N/A</v>
      </c>
      <c r="H33616" s="4" t="str">
        <v/>
      </c>
      <c r="I33616" s="4" t="str">
        <v/>
      </c>
    </row>
    <row r="33617" spans="5:9" ht="16.5" hidden="1">
      <c r="E33617" s="4" t="str">
        <v/>
      </c>
      <c r="F33617" s="102" t="str">
        <f ca="1">IFERROR(__xludf.DUMMYFUNCTION("IMPORTRANGE(H33617,""IDENTITAS UNIT!D9"")"),"#N/A")</f>
        <v>#N/A</v>
      </c>
      <c r="H33617" s="4" t="str">
        <v/>
      </c>
      <c r="I33617" s="4" t="str">
        <v/>
      </c>
    </row>
    <row r="33618" spans="5:9" ht="16.5" hidden="1">
      <c r="E33618" s="4" t="str">
        <v/>
      </c>
      <c r="F33618" s="102" t="str">
        <f ca="1">IFERROR(__xludf.DUMMYFUNCTION("IMPORTRANGE(H33618,""IDENTITAS UNIT!D9"")"),"#N/A")</f>
        <v>#N/A</v>
      </c>
      <c r="H33618" s="4" t="str">
        <v/>
      </c>
      <c r="I33618" s="4" t="str">
        <v/>
      </c>
    </row>
    <row r="33619" spans="5:9" ht="16.5" hidden="1">
      <c r="E33619" s="4" t="str">
        <v/>
      </c>
      <c r="F33619" s="102" t="str">
        <f ca="1">IFERROR(__xludf.DUMMYFUNCTION("IMPORTRANGE(H33619,""IDENTITAS UNIT!D9"")"),"#N/A")</f>
        <v>#N/A</v>
      </c>
      <c r="H33619" s="4" t="str">
        <v/>
      </c>
      <c r="I33619" s="4" t="str">
        <v/>
      </c>
    </row>
    <row r="33620" spans="5:9" ht="16.5" hidden="1">
      <c r="E33620" s="4" t="str">
        <v/>
      </c>
      <c r="F33620" s="102" t="str">
        <f ca="1">IFERROR(__xludf.DUMMYFUNCTION("IMPORTRANGE(H33620,""IDENTITAS UNIT!D9"")"),"#N/A")</f>
        <v>#N/A</v>
      </c>
      <c r="H33620" s="4" t="str">
        <v/>
      </c>
      <c r="I33620" s="4" t="str">
        <v/>
      </c>
    </row>
    <row r="33621" spans="5:9" ht="16.5" hidden="1">
      <c r="E33621" s="4" t="str">
        <v/>
      </c>
      <c r="F33621" s="102" t="str">
        <f ca="1">IFERROR(__xludf.DUMMYFUNCTION("IMPORTRANGE(H33621,""IDENTITAS UNIT!D9"")"),"#N/A")</f>
        <v>#N/A</v>
      </c>
      <c r="H33621" s="4" t="str">
        <v/>
      </c>
      <c r="I33621" s="4" t="str">
        <v/>
      </c>
    </row>
    <row r="33622" spans="5:9" ht="16.5" hidden="1">
      <c r="E33622" s="4" t="str">
        <v/>
      </c>
      <c r="F33622" s="102" t="str">
        <f ca="1">IFERROR(__xludf.DUMMYFUNCTION("IMPORTRANGE(H33622,""IDENTITAS UNIT!D9"")"),"#N/A")</f>
        <v>#N/A</v>
      </c>
      <c r="H33622" s="4" t="str">
        <v/>
      </c>
      <c r="I33622" s="4" t="str">
        <v/>
      </c>
    </row>
    <row r="33623" spans="5:9" ht="16.5" hidden="1">
      <c r="E33623" s="4" t="str">
        <v/>
      </c>
      <c r="F33623" s="102" t="str">
        <f ca="1">IFERROR(__xludf.DUMMYFUNCTION("IMPORTRANGE(H33623,""IDENTITAS UNIT!D9"")"),"#N/A")</f>
        <v>#N/A</v>
      </c>
      <c r="H33623" s="4" t="str">
        <v/>
      </c>
      <c r="I33623" s="4" t="str">
        <v/>
      </c>
    </row>
    <row r="33624" spans="5:9" ht="16.5" hidden="1">
      <c r="E33624" s="4" t="str">
        <v/>
      </c>
      <c r="F33624" s="102" t="str">
        <f ca="1">IFERROR(__xludf.DUMMYFUNCTION("IMPORTRANGE(H33624,""IDENTITAS UNIT!D9"")"),"#N/A")</f>
        <v>#N/A</v>
      </c>
      <c r="H33624" s="4" t="str">
        <v/>
      </c>
      <c r="I33624" s="4" t="str">
        <v/>
      </c>
    </row>
    <row r="33625" spans="5:9" ht="16.5" hidden="1">
      <c r="E33625" s="4" t="str">
        <v/>
      </c>
      <c r="F33625" s="102" t="str">
        <f ca="1">IFERROR(__xludf.DUMMYFUNCTION("IMPORTRANGE(H33625,""IDENTITAS UNIT!D9"")"),"#N/A")</f>
        <v>#N/A</v>
      </c>
      <c r="H33625" s="4" t="str">
        <v/>
      </c>
      <c r="I33625" s="4" t="str">
        <v/>
      </c>
    </row>
    <row r="33626" spans="5:9" ht="16.5" hidden="1">
      <c r="E33626" s="4" t="str">
        <v/>
      </c>
      <c r="F33626" s="102" t="str">
        <f ca="1">IFERROR(__xludf.DUMMYFUNCTION("IMPORTRANGE(H33626,""IDENTITAS UNIT!D9"")"),"#N/A")</f>
        <v>#N/A</v>
      </c>
      <c r="H33626" s="4" t="str">
        <v/>
      </c>
      <c r="I33626" s="4" t="str">
        <v/>
      </c>
    </row>
    <row r="33627" spans="5:9" ht="16.5" hidden="1">
      <c r="E33627" s="4" t="str">
        <v/>
      </c>
      <c r="F33627" s="102" t="str">
        <f ca="1">IFERROR(__xludf.DUMMYFUNCTION("IMPORTRANGE(H33627,""IDENTITAS UNIT!D9"")"),"#N/A")</f>
        <v>#N/A</v>
      </c>
      <c r="H33627" s="4" t="str">
        <v/>
      </c>
      <c r="I33627" s="4" t="str">
        <v/>
      </c>
    </row>
    <row r="33628" spans="5:9" ht="16.5" hidden="1">
      <c r="E33628" s="4" t="str">
        <v/>
      </c>
      <c r="F33628" s="102" t="str">
        <f ca="1">IFERROR(__xludf.DUMMYFUNCTION("IMPORTRANGE(H33628,""IDENTITAS UNIT!D9"")"),"#N/A")</f>
        <v>#N/A</v>
      </c>
      <c r="H33628" s="4" t="str">
        <v/>
      </c>
      <c r="I33628" s="4" t="str">
        <v/>
      </c>
    </row>
    <row r="33629" spans="5:9" ht="16.5" hidden="1">
      <c r="E33629" s="4" t="str">
        <v/>
      </c>
      <c r="F33629" s="102" t="str">
        <f ca="1">IFERROR(__xludf.DUMMYFUNCTION("IMPORTRANGE(H33629,""IDENTITAS UNIT!D9"")"),"#N/A")</f>
        <v>#N/A</v>
      </c>
      <c r="H33629" s="4" t="str">
        <v/>
      </c>
      <c r="I33629" s="4" t="str">
        <v/>
      </c>
    </row>
    <row r="33630" spans="5:9" ht="16.5" hidden="1">
      <c r="E33630" s="4" t="str">
        <v/>
      </c>
      <c r="F33630" s="102" t="str">
        <f ca="1">IFERROR(__xludf.DUMMYFUNCTION("IMPORTRANGE(H33630,""IDENTITAS UNIT!D9"")"),"#N/A")</f>
        <v>#N/A</v>
      </c>
      <c r="H33630" s="4" t="str">
        <v/>
      </c>
      <c r="I33630" s="4" t="str">
        <v/>
      </c>
    </row>
    <row r="33631" spans="5:9" ht="16.5" hidden="1">
      <c r="E33631" s="4" t="str">
        <v/>
      </c>
      <c r="F33631" s="102" t="str">
        <f ca="1">IFERROR(__xludf.DUMMYFUNCTION("IMPORTRANGE(H33631,""IDENTITAS UNIT!D9"")"),"#N/A")</f>
        <v>#N/A</v>
      </c>
      <c r="H33631" s="4" t="str">
        <v/>
      </c>
      <c r="I33631" s="4" t="str">
        <v/>
      </c>
    </row>
    <row r="33632" spans="5:9" ht="16.5" hidden="1">
      <c r="E33632" s="4" t="str">
        <v/>
      </c>
      <c r="F33632" s="102" t="str">
        <f ca="1">IFERROR(__xludf.DUMMYFUNCTION("IMPORTRANGE(H33632,""IDENTITAS UNIT!D9"")"),"#N/A")</f>
        <v>#N/A</v>
      </c>
      <c r="H33632" s="4" t="str">
        <v/>
      </c>
      <c r="I33632" s="4" t="str">
        <v/>
      </c>
    </row>
    <row r="33633" spans="5:9" ht="16.5" hidden="1">
      <c r="E33633" s="4" t="str">
        <v/>
      </c>
      <c r="F33633" s="102" t="str">
        <f ca="1">IFERROR(__xludf.DUMMYFUNCTION("IMPORTRANGE(H33633,""IDENTITAS UNIT!D9"")"),"#N/A")</f>
        <v>#N/A</v>
      </c>
      <c r="H33633" s="4" t="str">
        <v/>
      </c>
      <c r="I33633" s="4" t="str">
        <v/>
      </c>
    </row>
    <row r="33634" spans="5:9" ht="16.5" hidden="1">
      <c r="E33634" s="4" t="str">
        <v/>
      </c>
      <c r="F33634" s="102" t="str">
        <f ca="1">IFERROR(__xludf.DUMMYFUNCTION("IMPORTRANGE(H33634,""IDENTITAS UNIT!D9"")"),"#N/A")</f>
        <v>#N/A</v>
      </c>
      <c r="H33634" s="4" t="str">
        <v/>
      </c>
      <c r="I33634" s="4" t="str">
        <v/>
      </c>
    </row>
    <row r="33635" spans="5:9" ht="16.5" hidden="1">
      <c r="E33635" s="4" t="str">
        <v/>
      </c>
      <c r="F33635" s="102" t="str">
        <f ca="1">IFERROR(__xludf.DUMMYFUNCTION("IMPORTRANGE(H33635,""IDENTITAS UNIT!D9"")"),"#N/A")</f>
        <v>#N/A</v>
      </c>
      <c r="H33635" s="4" t="str">
        <v/>
      </c>
      <c r="I33635" s="4" t="str">
        <v/>
      </c>
    </row>
    <row r="33636" spans="5:9" ht="16.5" hidden="1">
      <c r="E33636" s="4" t="str">
        <v/>
      </c>
      <c r="F33636" s="102" t="str">
        <f ca="1">IFERROR(__xludf.DUMMYFUNCTION("IMPORTRANGE(H33636,""IDENTITAS UNIT!D9"")"),"#N/A")</f>
        <v>#N/A</v>
      </c>
      <c r="H33636" s="4" t="str">
        <v/>
      </c>
      <c r="I33636" s="4" t="str">
        <v/>
      </c>
    </row>
    <row r="33637" spans="5:9" ht="16.5" hidden="1">
      <c r="E33637" s="4" t="str">
        <v/>
      </c>
      <c r="F33637" s="102" t="str">
        <f ca="1">IFERROR(__xludf.DUMMYFUNCTION("IMPORTRANGE(H33637,""IDENTITAS UNIT!D9"")"),"#N/A")</f>
        <v>#N/A</v>
      </c>
      <c r="H33637" s="4" t="str">
        <v/>
      </c>
      <c r="I33637" s="4" t="str">
        <v/>
      </c>
    </row>
    <row r="33638" spans="5:9" ht="16.5" hidden="1">
      <c r="E33638" s="4" t="str">
        <v/>
      </c>
      <c r="F33638" s="102" t="str">
        <f ca="1">IFERROR(__xludf.DUMMYFUNCTION("IMPORTRANGE(H33638,""IDENTITAS UNIT!D9"")"),"#N/A")</f>
        <v>#N/A</v>
      </c>
      <c r="H33638" s="4" t="str">
        <v/>
      </c>
      <c r="I33638" s="4" t="str">
        <v/>
      </c>
    </row>
    <row r="33639" spans="5:9" ht="16.5" hidden="1">
      <c r="E33639" s="4" t="str">
        <v/>
      </c>
      <c r="F33639" s="102" t="str">
        <f ca="1">IFERROR(__xludf.DUMMYFUNCTION("IMPORTRANGE(H33639,""IDENTITAS UNIT!D9"")"),"#N/A")</f>
        <v>#N/A</v>
      </c>
      <c r="H33639" s="4" t="str">
        <v/>
      </c>
      <c r="I33639" s="4" t="str">
        <v/>
      </c>
    </row>
    <row r="33640" spans="5:9" ht="16.5" hidden="1">
      <c r="E33640" s="4" t="str">
        <v/>
      </c>
      <c r="F33640" s="102" t="str">
        <f ca="1">IFERROR(__xludf.DUMMYFUNCTION("IMPORTRANGE(H33640,""IDENTITAS UNIT!D9"")"),"#N/A")</f>
        <v>#N/A</v>
      </c>
      <c r="H33640" s="4" t="str">
        <v/>
      </c>
      <c r="I33640" s="4" t="str">
        <v/>
      </c>
    </row>
    <row r="33641" spans="5:9" ht="16.5" hidden="1">
      <c r="E33641" s="4" t="str">
        <v/>
      </c>
      <c r="F33641" s="102" t="str">
        <f ca="1">IFERROR(__xludf.DUMMYFUNCTION("IMPORTRANGE(H33641,""IDENTITAS UNIT!D9"")"),"#N/A")</f>
        <v>#N/A</v>
      </c>
      <c r="H33641" s="4" t="str">
        <v/>
      </c>
      <c r="I33641" s="4" t="str">
        <v/>
      </c>
    </row>
    <row r="33642" spans="5:9" ht="16.5" hidden="1">
      <c r="E33642" s="4" t="str">
        <v/>
      </c>
      <c r="F33642" s="102" t="str">
        <f ca="1">IFERROR(__xludf.DUMMYFUNCTION("IMPORTRANGE(H33642,""IDENTITAS UNIT!D9"")"),"#N/A")</f>
        <v>#N/A</v>
      </c>
      <c r="H33642" s="4" t="str">
        <v/>
      </c>
      <c r="I33642" s="4" t="str">
        <v/>
      </c>
    </row>
    <row r="33643" spans="5:9" ht="16.5" hidden="1">
      <c r="E33643" s="4" t="str">
        <v/>
      </c>
      <c r="F33643" s="102" t="str">
        <f ca="1">IFERROR(__xludf.DUMMYFUNCTION("IMPORTRANGE(H33643,""IDENTITAS UNIT!D9"")"),"#N/A")</f>
        <v>#N/A</v>
      </c>
      <c r="H33643" s="4" t="str">
        <v/>
      </c>
      <c r="I33643" s="4" t="str">
        <v/>
      </c>
    </row>
    <row r="33644" spans="5:9" ht="16.5" hidden="1">
      <c r="E33644" s="4" t="str">
        <v/>
      </c>
      <c r="F33644" s="102" t="str">
        <f ca="1">IFERROR(__xludf.DUMMYFUNCTION("IMPORTRANGE(H33644,""IDENTITAS UNIT!D9"")"),"#N/A")</f>
        <v>#N/A</v>
      </c>
      <c r="H33644" s="4" t="str">
        <v/>
      </c>
      <c r="I33644" s="4" t="str">
        <v/>
      </c>
    </row>
    <row r="33645" spans="5:9" ht="16.5" hidden="1">
      <c r="E33645" s="4" t="str">
        <v/>
      </c>
      <c r="F33645" s="102" t="str">
        <f ca="1">IFERROR(__xludf.DUMMYFUNCTION("IMPORTRANGE(H33645,""IDENTITAS UNIT!D9"")"),"#N/A")</f>
        <v>#N/A</v>
      </c>
      <c r="H33645" s="4" t="str">
        <v/>
      </c>
      <c r="I33645" s="4" t="str">
        <v/>
      </c>
    </row>
    <row r="33646" spans="5:9" ht="16.5" hidden="1">
      <c r="E33646" s="4" t="str">
        <v/>
      </c>
      <c r="F33646" s="102" t="str">
        <f ca="1">IFERROR(__xludf.DUMMYFUNCTION("IMPORTRANGE(H33646,""IDENTITAS UNIT!D9"")"),"#N/A")</f>
        <v>#N/A</v>
      </c>
      <c r="H33646" s="4" t="str">
        <v/>
      </c>
      <c r="I33646" s="4" t="str">
        <v/>
      </c>
    </row>
    <row r="33647" spans="5:9" ht="16.5" hidden="1">
      <c r="E33647" s="4" t="str">
        <v/>
      </c>
      <c r="F33647" s="102" t="str">
        <f ca="1">IFERROR(__xludf.DUMMYFUNCTION("IMPORTRANGE(H33647,""IDENTITAS UNIT!D9"")"),"#N/A")</f>
        <v>#N/A</v>
      </c>
      <c r="H33647" s="4" t="str">
        <v/>
      </c>
      <c r="I33647" s="4" t="str">
        <v/>
      </c>
    </row>
    <row r="33648" spans="5:9" ht="16.5" hidden="1">
      <c r="E33648" s="4" t="str">
        <v/>
      </c>
      <c r="F33648" s="102" t="str">
        <f ca="1">IFERROR(__xludf.DUMMYFUNCTION("IMPORTRANGE(H33648,""IDENTITAS UNIT!D9"")"),"#N/A")</f>
        <v>#N/A</v>
      </c>
      <c r="H33648" s="4" t="str">
        <v/>
      </c>
      <c r="I33648" s="4" t="str">
        <v/>
      </c>
    </row>
    <row r="33649" spans="5:9" ht="16.5" hidden="1">
      <c r="E33649" s="4" t="str">
        <v/>
      </c>
      <c r="F33649" s="102" t="str">
        <f ca="1">IFERROR(__xludf.DUMMYFUNCTION("IMPORTRANGE(H33649,""IDENTITAS UNIT!D9"")"),"#N/A")</f>
        <v>#N/A</v>
      </c>
      <c r="H33649" s="4" t="str">
        <v/>
      </c>
      <c r="I33649" s="4" t="str">
        <v/>
      </c>
    </row>
    <row r="33650" spans="5:9" ht="16.5" hidden="1">
      <c r="E33650" s="4" t="str">
        <v/>
      </c>
      <c r="F33650" s="102" t="str">
        <f ca="1">IFERROR(__xludf.DUMMYFUNCTION("IMPORTRANGE(H33650,""IDENTITAS UNIT!D9"")"),"#N/A")</f>
        <v>#N/A</v>
      </c>
      <c r="H33650" s="4" t="str">
        <v/>
      </c>
      <c r="I33650" s="4" t="str">
        <v/>
      </c>
    </row>
    <row r="33651" spans="5:9" ht="16.5" hidden="1">
      <c r="E33651" s="4" t="str">
        <v/>
      </c>
      <c r="F33651" s="102" t="str">
        <f ca="1">IFERROR(__xludf.DUMMYFUNCTION("IMPORTRANGE(H33651,""IDENTITAS UNIT!D9"")"),"#N/A")</f>
        <v>#N/A</v>
      </c>
      <c r="H33651" s="4" t="str">
        <v/>
      </c>
      <c r="I33651" s="4" t="str">
        <v/>
      </c>
    </row>
    <row r="33652" spans="5:9" ht="16.5" hidden="1">
      <c r="E33652" s="4" t="str">
        <v/>
      </c>
      <c r="F33652" s="102" t="str">
        <f ca="1">IFERROR(__xludf.DUMMYFUNCTION("IMPORTRANGE(H33652,""IDENTITAS UNIT!D9"")"),"#N/A")</f>
        <v>#N/A</v>
      </c>
      <c r="H33652" s="4" t="str">
        <v/>
      </c>
      <c r="I33652" s="4" t="str">
        <v/>
      </c>
    </row>
    <row r="33653" spans="5:9" ht="16.5" hidden="1">
      <c r="E33653" s="4" t="str">
        <v/>
      </c>
      <c r="F33653" s="102" t="str">
        <f ca="1">IFERROR(__xludf.DUMMYFUNCTION("IMPORTRANGE(H33653,""IDENTITAS UNIT!D9"")"),"#N/A")</f>
        <v>#N/A</v>
      </c>
      <c r="H33653" s="4" t="str">
        <v/>
      </c>
      <c r="I33653" s="4" t="str">
        <v/>
      </c>
    </row>
    <row r="33654" spans="5:9" ht="16.5" hidden="1">
      <c r="E33654" s="4" t="str">
        <v/>
      </c>
      <c r="F33654" s="102" t="str">
        <f ca="1">IFERROR(__xludf.DUMMYFUNCTION("IMPORTRANGE(H33654,""IDENTITAS UNIT!D9"")"),"#N/A")</f>
        <v>#N/A</v>
      </c>
      <c r="H33654" s="4" t="str">
        <v/>
      </c>
      <c r="I33654" s="4" t="str">
        <v/>
      </c>
    </row>
    <row r="33655" spans="5:9" ht="16.5" hidden="1">
      <c r="E33655" s="4" t="str">
        <v/>
      </c>
      <c r="F33655" s="102" t="str">
        <f ca="1">IFERROR(__xludf.DUMMYFUNCTION("IMPORTRANGE(H33655,""IDENTITAS UNIT!D9"")"),"#N/A")</f>
        <v>#N/A</v>
      </c>
      <c r="H33655" s="4" t="str">
        <v/>
      </c>
      <c r="I33655" s="4" t="str">
        <v/>
      </c>
    </row>
    <row r="33656" spans="5:9" ht="16.5" hidden="1">
      <c r="E33656" s="4" t="str">
        <v/>
      </c>
      <c r="F33656" s="102" t="str">
        <f ca="1">IFERROR(__xludf.DUMMYFUNCTION("IMPORTRANGE(H33656,""IDENTITAS UNIT!D9"")"),"#N/A")</f>
        <v>#N/A</v>
      </c>
      <c r="H33656" s="4" t="str">
        <v/>
      </c>
      <c r="I33656" s="4" t="str">
        <v/>
      </c>
    </row>
    <row r="33657" spans="5:9" ht="16.5" hidden="1">
      <c r="E33657" s="4" t="str">
        <v/>
      </c>
      <c r="F33657" s="102" t="str">
        <f ca="1">IFERROR(__xludf.DUMMYFUNCTION("IMPORTRANGE(H33657,""IDENTITAS UNIT!D9"")"),"#N/A")</f>
        <v>#N/A</v>
      </c>
      <c r="H33657" s="4" t="str">
        <v/>
      </c>
      <c r="I33657" s="4" t="str">
        <v/>
      </c>
    </row>
    <row r="33658" spans="5:9" ht="16.5" hidden="1">
      <c r="E33658" s="4" t="str">
        <v/>
      </c>
      <c r="F33658" s="102" t="str">
        <f ca="1">IFERROR(__xludf.DUMMYFUNCTION("IMPORTRANGE(H33658,""IDENTITAS UNIT!D9"")"),"#N/A")</f>
        <v>#N/A</v>
      </c>
      <c r="H33658" s="4" t="str">
        <v/>
      </c>
      <c r="I33658" s="4" t="str">
        <v/>
      </c>
    </row>
    <row r="33659" spans="5:9" ht="16.5" hidden="1">
      <c r="E33659" s="4" t="str">
        <v/>
      </c>
      <c r="F33659" s="102" t="str">
        <f ca="1">IFERROR(__xludf.DUMMYFUNCTION("IMPORTRANGE(H33659,""IDENTITAS UNIT!D9"")"),"#N/A")</f>
        <v>#N/A</v>
      </c>
      <c r="H33659" s="4" t="str">
        <v/>
      </c>
      <c r="I33659" s="4" t="str">
        <v/>
      </c>
    </row>
    <row r="33660" spans="5:9" ht="16.5" hidden="1">
      <c r="E33660" s="4" t="str">
        <v/>
      </c>
      <c r="F33660" s="102" t="str">
        <f ca="1">IFERROR(__xludf.DUMMYFUNCTION("IMPORTRANGE(H33660,""IDENTITAS UNIT!D9"")"),"#N/A")</f>
        <v>#N/A</v>
      </c>
      <c r="H33660" s="4" t="str">
        <v/>
      </c>
      <c r="I33660" s="4" t="str">
        <v/>
      </c>
    </row>
    <row r="33661" spans="5:9" ht="16.5" hidden="1">
      <c r="E33661" s="4" t="str">
        <v/>
      </c>
      <c r="F33661" s="102" t="str">
        <f ca="1">IFERROR(__xludf.DUMMYFUNCTION("IMPORTRANGE(H33661,""IDENTITAS UNIT!D9"")"),"#N/A")</f>
        <v>#N/A</v>
      </c>
      <c r="H33661" s="4" t="str">
        <v/>
      </c>
      <c r="I33661" s="4" t="str">
        <v/>
      </c>
    </row>
    <row r="33662" spans="5:9" ht="16.5" hidden="1">
      <c r="E33662" s="4" t="str">
        <v/>
      </c>
      <c r="F33662" s="102" t="str">
        <f ca="1">IFERROR(__xludf.DUMMYFUNCTION("IMPORTRANGE(H33662,""IDENTITAS UNIT!D9"")"),"#N/A")</f>
        <v>#N/A</v>
      </c>
      <c r="H33662" s="4" t="str">
        <v/>
      </c>
      <c r="I33662" s="4" t="str">
        <v/>
      </c>
    </row>
    <row r="33663" spans="5:9" ht="16.5" hidden="1">
      <c r="E33663" s="4" t="str">
        <v/>
      </c>
      <c r="F33663" s="102" t="str">
        <f ca="1">IFERROR(__xludf.DUMMYFUNCTION("IMPORTRANGE(H33663,""IDENTITAS UNIT!D9"")"),"#N/A")</f>
        <v>#N/A</v>
      </c>
      <c r="H33663" s="4" t="str">
        <v/>
      </c>
      <c r="I33663" s="4" t="str">
        <v/>
      </c>
    </row>
    <row r="33664" spans="5:9" ht="16.5" hidden="1">
      <c r="E33664" s="4" t="str">
        <v/>
      </c>
      <c r="F33664" s="102" t="str">
        <f ca="1">IFERROR(__xludf.DUMMYFUNCTION("IMPORTRANGE(H33664,""IDENTITAS UNIT!D9"")"),"#N/A")</f>
        <v>#N/A</v>
      </c>
      <c r="H33664" s="4" t="str">
        <v/>
      </c>
      <c r="I33664" s="4" t="str">
        <v/>
      </c>
    </row>
    <row r="33665" spans="5:9" ht="16.5" hidden="1">
      <c r="E33665" s="4" t="str">
        <v/>
      </c>
      <c r="F33665" s="102" t="str">
        <f ca="1">IFERROR(__xludf.DUMMYFUNCTION("IMPORTRANGE(H33665,""IDENTITAS UNIT!D9"")"),"#N/A")</f>
        <v>#N/A</v>
      </c>
      <c r="H33665" s="4" t="str">
        <v/>
      </c>
      <c r="I33665" s="4" t="str">
        <v/>
      </c>
    </row>
    <row r="33666" spans="5:9" ht="16.5" hidden="1">
      <c r="E33666" s="4" t="str">
        <v/>
      </c>
      <c r="F33666" s="102" t="str">
        <f ca="1">IFERROR(__xludf.DUMMYFUNCTION("IMPORTRANGE(H33666,""IDENTITAS UNIT!D9"")"),"#N/A")</f>
        <v>#N/A</v>
      </c>
      <c r="H33666" s="4" t="str">
        <v/>
      </c>
      <c r="I33666" s="4" t="str">
        <v/>
      </c>
    </row>
    <row r="33667" spans="5:9" ht="16.5" hidden="1">
      <c r="E33667" s="4" t="str">
        <v/>
      </c>
      <c r="F33667" s="102" t="str">
        <f ca="1">IFERROR(__xludf.DUMMYFUNCTION("IMPORTRANGE(H33667,""IDENTITAS UNIT!D9"")"),"#N/A")</f>
        <v>#N/A</v>
      </c>
      <c r="H33667" s="4" t="str">
        <v/>
      </c>
      <c r="I33667" s="4" t="str">
        <v/>
      </c>
    </row>
    <row r="33668" spans="5:9" ht="16.5" hidden="1">
      <c r="E33668" s="4" t="str">
        <v/>
      </c>
      <c r="F33668" s="102" t="str">
        <f ca="1">IFERROR(__xludf.DUMMYFUNCTION("IMPORTRANGE(H33668,""IDENTITAS UNIT!D9"")"),"#N/A")</f>
        <v>#N/A</v>
      </c>
      <c r="H33668" s="4" t="str">
        <v/>
      </c>
      <c r="I33668" s="4" t="str">
        <v/>
      </c>
    </row>
    <row r="33669" spans="5:9" ht="16.5" hidden="1">
      <c r="E33669" s="4" t="str">
        <v/>
      </c>
      <c r="F33669" s="102" t="str">
        <f ca="1">IFERROR(__xludf.DUMMYFUNCTION("IMPORTRANGE(H33669,""IDENTITAS UNIT!D9"")"),"#N/A")</f>
        <v>#N/A</v>
      </c>
      <c r="H33669" s="4" t="str">
        <v/>
      </c>
      <c r="I33669" s="4" t="str">
        <v/>
      </c>
    </row>
    <row r="33670" spans="5:9" ht="16.5" hidden="1">
      <c r="E33670" s="4" t="str">
        <v/>
      </c>
      <c r="F33670" s="102" t="str">
        <f ca="1">IFERROR(__xludf.DUMMYFUNCTION("IMPORTRANGE(H33670,""IDENTITAS UNIT!D9"")"),"#N/A")</f>
        <v>#N/A</v>
      </c>
      <c r="H33670" s="4" t="str">
        <v/>
      </c>
      <c r="I33670" s="4" t="str">
        <v/>
      </c>
    </row>
    <row r="33671" spans="5:9" ht="16.5" hidden="1">
      <c r="E33671" s="4" t="str">
        <v/>
      </c>
      <c r="F33671" s="102" t="str">
        <f ca="1">IFERROR(__xludf.DUMMYFUNCTION("IMPORTRANGE(H33671,""IDENTITAS UNIT!D9"")"),"#N/A")</f>
        <v>#N/A</v>
      </c>
      <c r="H33671" s="4" t="str">
        <v/>
      </c>
      <c r="I33671" s="4" t="str">
        <v/>
      </c>
    </row>
    <row r="33672" spans="5:9" ht="16.5" hidden="1">
      <c r="E33672" s="4" t="str">
        <v/>
      </c>
      <c r="F33672" s="102" t="str">
        <f ca="1">IFERROR(__xludf.DUMMYFUNCTION("IMPORTRANGE(H33672,""IDENTITAS UNIT!D9"")"),"#N/A")</f>
        <v>#N/A</v>
      </c>
      <c r="H33672" s="4" t="str">
        <v/>
      </c>
      <c r="I33672" s="4" t="str">
        <v/>
      </c>
    </row>
    <row r="33673" spans="5:9" ht="16.5" hidden="1">
      <c r="E33673" s="4" t="str">
        <v/>
      </c>
      <c r="F33673" s="102" t="str">
        <f ca="1">IFERROR(__xludf.DUMMYFUNCTION("IMPORTRANGE(H33673,""IDENTITAS UNIT!D9"")"),"#N/A")</f>
        <v>#N/A</v>
      </c>
      <c r="H33673" s="4" t="str">
        <v/>
      </c>
      <c r="I33673" s="4" t="str">
        <v/>
      </c>
    </row>
    <row r="33674" spans="5:9" ht="16.5" hidden="1">
      <c r="E33674" s="4" t="str">
        <v/>
      </c>
      <c r="F33674" s="102" t="str">
        <f ca="1">IFERROR(__xludf.DUMMYFUNCTION("IMPORTRANGE(H33674,""IDENTITAS UNIT!D9"")"),"#N/A")</f>
        <v>#N/A</v>
      </c>
      <c r="H33674" s="4" t="str">
        <v/>
      </c>
      <c r="I33674" s="4" t="str">
        <v/>
      </c>
    </row>
    <row r="33675" spans="5:9" ht="16.5" hidden="1">
      <c r="E33675" s="4" t="str">
        <v/>
      </c>
      <c r="F33675" s="102" t="str">
        <f ca="1">IFERROR(__xludf.DUMMYFUNCTION("IMPORTRANGE(H33675,""IDENTITAS UNIT!D9"")"),"#N/A")</f>
        <v>#N/A</v>
      </c>
      <c r="H33675" s="4" t="str">
        <v/>
      </c>
      <c r="I33675" s="4" t="str">
        <v/>
      </c>
    </row>
    <row r="33676" spans="5:9" ht="16.5" hidden="1">
      <c r="E33676" s="4" t="str">
        <v/>
      </c>
      <c r="F33676" s="102" t="str">
        <f ca="1">IFERROR(__xludf.DUMMYFUNCTION("IMPORTRANGE(H33676,""IDENTITAS UNIT!D9"")"),"#N/A")</f>
        <v>#N/A</v>
      </c>
      <c r="H33676" s="4" t="str">
        <v/>
      </c>
      <c r="I33676" s="4" t="str">
        <v/>
      </c>
    </row>
    <row r="33677" spans="5:9" ht="16.5" hidden="1">
      <c r="E33677" s="4" t="str">
        <v/>
      </c>
      <c r="F33677" s="102" t="str">
        <f ca="1">IFERROR(__xludf.DUMMYFUNCTION("IMPORTRANGE(H33677,""IDENTITAS UNIT!D9"")"),"#N/A")</f>
        <v>#N/A</v>
      </c>
      <c r="H33677" s="4" t="str">
        <v/>
      </c>
      <c r="I33677" s="4" t="str">
        <v/>
      </c>
    </row>
    <row r="33678" spans="5:9" ht="16.5" hidden="1">
      <c r="E33678" s="4" t="str">
        <v/>
      </c>
      <c r="F33678" s="102" t="str">
        <f ca="1">IFERROR(__xludf.DUMMYFUNCTION("IMPORTRANGE(H33678,""IDENTITAS UNIT!D9"")"),"#N/A")</f>
        <v>#N/A</v>
      </c>
      <c r="H33678" s="4" t="str">
        <v/>
      </c>
      <c r="I33678" s="4" t="str">
        <v/>
      </c>
    </row>
    <row r="33679" spans="5:9" ht="16.5" hidden="1">
      <c r="E33679" s="4" t="str">
        <v/>
      </c>
      <c r="F33679" s="102" t="str">
        <f ca="1">IFERROR(__xludf.DUMMYFUNCTION("IMPORTRANGE(H33679,""IDENTITAS UNIT!D9"")"),"#N/A")</f>
        <v>#N/A</v>
      </c>
      <c r="H33679" s="4" t="str">
        <v/>
      </c>
      <c r="I33679" s="4" t="str">
        <v/>
      </c>
    </row>
    <row r="33680" spans="5:9" ht="16.5" hidden="1">
      <c r="E33680" s="4" t="str">
        <v/>
      </c>
      <c r="F33680" s="102" t="str">
        <f ca="1">IFERROR(__xludf.DUMMYFUNCTION("IMPORTRANGE(H33680,""IDENTITAS UNIT!D9"")"),"#N/A")</f>
        <v>#N/A</v>
      </c>
      <c r="H33680" s="4" t="str">
        <v/>
      </c>
      <c r="I33680" s="4" t="str">
        <v/>
      </c>
    </row>
    <row r="33681" spans="5:9" ht="16.5" hidden="1">
      <c r="E33681" s="4" t="str">
        <v/>
      </c>
      <c r="F33681" s="102" t="str">
        <f ca="1">IFERROR(__xludf.DUMMYFUNCTION("IMPORTRANGE(H33681,""IDENTITAS UNIT!D9"")"),"#N/A")</f>
        <v>#N/A</v>
      </c>
      <c r="H33681" s="4" t="str">
        <v/>
      </c>
      <c r="I33681" s="4" t="str">
        <v/>
      </c>
    </row>
    <row r="33682" spans="5:9" ht="16.5" hidden="1">
      <c r="E33682" s="4" t="str">
        <v/>
      </c>
      <c r="F33682" s="102" t="str">
        <f ca="1">IFERROR(__xludf.DUMMYFUNCTION("IMPORTRANGE(H33682,""IDENTITAS UNIT!D9"")"),"#N/A")</f>
        <v>#N/A</v>
      </c>
      <c r="H33682" s="4" t="str">
        <v/>
      </c>
      <c r="I33682" s="4" t="str">
        <v/>
      </c>
    </row>
    <row r="33683" spans="5:9" ht="16.5" hidden="1">
      <c r="E33683" s="4" t="str">
        <v/>
      </c>
      <c r="F33683" s="102" t="str">
        <f ca="1">IFERROR(__xludf.DUMMYFUNCTION("IMPORTRANGE(H33683,""IDENTITAS UNIT!D9"")"),"#N/A")</f>
        <v>#N/A</v>
      </c>
      <c r="H33683" s="4" t="str">
        <v/>
      </c>
      <c r="I33683" s="4" t="str">
        <v/>
      </c>
    </row>
    <row r="33684" spans="5:9" ht="16.5" hidden="1">
      <c r="E33684" s="4" t="str">
        <v/>
      </c>
      <c r="F33684" s="102" t="str">
        <f ca="1">IFERROR(__xludf.DUMMYFUNCTION("IMPORTRANGE(H33684,""IDENTITAS UNIT!D9"")"),"#N/A")</f>
        <v>#N/A</v>
      </c>
      <c r="H33684" s="4" t="str">
        <v/>
      </c>
      <c r="I33684" s="4" t="str">
        <v/>
      </c>
    </row>
    <row r="33685" spans="5:9" ht="16.5" hidden="1">
      <c r="E33685" s="4" t="str">
        <v/>
      </c>
      <c r="F33685" s="102" t="str">
        <f ca="1">IFERROR(__xludf.DUMMYFUNCTION("IMPORTRANGE(H33685,""IDENTITAS UNIT!D9"")"),"#N/A")</f>
        <v>#N/A</v>
      </c>
      <c r="H33685" s="4" t="str">
        <v/>
      </c>
      <c r="I33685" s="4" t="str">
        <v/>
      </c>
    </row>
    <row r="33686" spans="5:9" ht="16.5" hidden="1">
      <c r="E33686" s="4" t="str">
        <v/>
      </c>
      <c r="F33686" s="102" t="str">
        <f ca="1">IFERROR(__xludf.DUMMYFUNCTION("IMPORTRANGE(H33686,""IDENTITAS UNIT!D9"")"),"#N/A")</f>
        <v>#N/A</v>
      </c>
      <c r="H33686" s="4" t="str">
        <v/>
      </c>
      <c r="I33686" s="4" t="str">
        <v/>
      </c>
    </row>
    <row r="33687" spans="5:9" ht="16.5" hidden="1">
      <c r="E33687" s="4" t="str">
        <v/>
      </c>
      <c r="F33687" s="102" t="str">
        <f ca="1">IFERROR(__xludf.DUMMYFUNCTION("IMPORTRANGE(H33687,""IDENTITAS UNIT!D9"")"),"#N/A")</f>
        <v>#N/A</v>
      </c>
      <c r="H33687" s="4" t="str">
        <v/>
      </c>
      <c r="I33687" s="4" t="str">
        <v/>
      </c>
    </row>
    <row r="33688" spans="5:9" ht="16.5" hidden="1">
      <c r="E33688" s="4" t="str">
        <v/>
      </c>
      <c r="F33688" s="102" t="str">
        <f ca="1">IFERROR(__xludf.DUMMYFUNCTION("IMPORTRANGE(H33688,""IDENTITAS UNIT!D9"")"),"#N/A")</f>
        <v>#N/A</v>
      </c>
      <c r="H33688" s="4" t="str">
        <v/>
      </c>
      <c r="I33688" s="4" t="str">
        <v/>
      </c>
    </row>
    <row r="33689" spans="5:9" ht="16.5" hidden="1">
      <c r="E33689" s="4" t="str">
        <v/>
      </c>
      <c r="F33689" s="102" t="str">
        <f ca="1">IFERROR(__xludf.DUMMYFUNCTION("IMPORTRANGE(H33689,""IDENTITAS UNIT!D9"")"),"#N/A")</f>
        <v>#N/A</v>
      </c>
      <c r="H33689" s="4" t="str">
        <v/>
      </c>
      <c r="I33689" s="4" t="str">
        <v/>
      </c>
    </row>
    <row r="33690" spans="5:9" ht="16.5" hidden="1">
      <c r="E33690" s="4" t="str">
        <v/>
      </c>
      <c r="F33690" s="102" t="str">
        <f ca="1">IFERROR(__xludf.DUMMYFUNCTION("IMPORTRANGE(H33690,""IDENTITAS UNIT!D9"")"),"#N/A")</f>
        <v>#N/A</v>
      </c>
      <c r="H33690" s="4" t="str">
        <v/>
      </c>
      <c r="I33690" s="4" t="str">
        <v/>
      </c>
    </row>
    <row r="33691" spans="5:9" ht="16.5" hidden="1">
      <c r="E33691" s="4" t="str">
        <v/>
      </c>
      <c r="F33691" s="102" t="str">
        <f ca="1">IFERROR(__xludf.DUMMYFUNCTION("IMPORTRANGE(H33691,""IDENTITAS UNIT!D9"")"),"#N/A")</f>
        <v>#N/A</v>
      </c>
      <c r="H33691" s="4" t="str">
        <v/>
      </c>
      <c r="I33691" s="4" t="str">
        <v/>
      </c>
    </row>
    <row r="33692" spans="5:9" ht="16.5" hidden="1">
      <c r="E33692" s="4" t="str">
        <v/>
      </c>
      <c r="F33692" s="102" t="str">
        <f ca="1">IFERROR(__xludf.DUMMYFUNCTION("IMPORTRANGE(H33692,""IDENTITAS UNIT!D9"")"),"#N/A")</f>
        <v>#N/A</v>
      </c>
      <c r="H33692" s="4" t="str">
        <v/>
      </c>
      <c r="I33692" s="4" t="str">
        <v/>
      </c>
    </row>
    <row r="33693" spans="5:9" ht="16.5" hidden="1">
      <c r="E33693" s="4" t="str">
        <v/>
      </c>
      <c r="F33693" s="102" t="str">
        <f ca="1">IFERROR(__xludf.DUMMYFUNCTION("IMPORTRANGE(H33693,""IDENTITAS UNIT!D9"")"),"#N/A")</f>
        <v>#N/A</v>
      </c>
      <c r="H33693" s="4" t="str">
        <v/>
      </c>
      <c r="I33693" s="4" t="str">
        <v/>
      </c>
    </row>
    <row r="33694" spans="5:9" ht="16.5" hidden="1">
      <c r="E33694" s="4" t="str">
        <v/>
      </c>
      <c r="F33694" s="102" t="str">
        <f ca="1">IFERROR(__xludf.DUMMYFUNCTION("IMPORTRANGE(H33694,""IDENTITAS UNIT!D9"")"),"#N/A")</f>
        <v>#N/A</v>
      </c>
      <c r="H33694" s="4" t="str">
        <v/>
      </c>
      <c r="I33694" s="4" t="str">
        <v/>
      </c>
    </row>
    <row r="33695" spans="5:9" ht="16.5" hidden="1">
      <c r="E33695" s="4" t="str">
        <v/>
      </c>
      <c r="F33695" s="102" t="str">
        <f ca="1">IFERROR(__xludf.DUMMYFUNCTION("IMPORTRANGE(H33695,""IDENTITAS UNIT!D9"")"),"#N/A")</f>
        <v>#N/A</v>
      </c>
      <c r="H33695" s="4" t="str">
        <v/>
      </c>
      <c r="I33695" s="4" t="str">
        <v/>
      </c>
    </row>
    <row r="33696" spans="5:9" ht="16.5" hidden="1">
      <c r="E33696" s="4" t="str">
        <v/>
      </c>
      <c r="F33696" s="102" t="str">
        <f ca="1">IFERROR(__xludf.DUMMYFUNCTION("IMPORTRANGE(H33696,""IDENTITAS UNIT!D9"")"),"#N/A")</f>
        <v>#N/A</v>
      </c>
      <c r="H33696" s="4" t="str">
        <v/>
      </c>
      <c r="I33696" s="4" t="str">
        <v/>
      </c>
    </row>
    <row r="33697" spans="5:9" ht="16.5" hidden="1">
      <c r="E33697" s="4" t="str">
        <v/>
      </c>
      <c r="F33697" s="102" t="str">
        <f ca="1">IFERROR(__xludf.DUMMYFUNCTION("IMPORTRANGE(H33697,""IDENTITAS UNIT!D9"")"),"#N/A")</f>
        <v>#N/A</v>
      </c>
      <c r="H33697" s="4" t="str">
        <v/>
      </c>
      <c r="I33697" s="4" t="str">
        <v/>
      </c>
    </row>
    <row r="33698" spans="5:9" ht="16.5" hidden="1">
      <c r="E33698" s="4" t="str">
        <v/>
      </c>
      <c r="F33698" s="102" t="str">
        <f ca="1">IFERROR(__xludf.DUMMYFUNCTION("IMPORTRANGE(H33698,""IDENTITAS UNIT!D9"")"),"#N/A")</f>
        <v>#N/A</v>
      </c>
      <c r="H33698" s="4" t="str">
        <v/>
      </c>
      <c r="I33698" s="4" t="str">
        <v/>
      </c>
    </row>
    <row r="33699" spans="5:9" ht="16.5" hidden="1">
      <c r="E33699" s="4" t="str">
        <v/>
      </c>
      <c r="F33699" s="102" t="str">
        <f ca="1">IFERROR(__xludf.DUMMYFUNCTION("IMPORTRANGE(H33699,""IDENTITAS UNIT!D9"")"),"#N/A")</f>
        <v>#N/A</v>
      </c>
      <c r="H33699" s="4" t="str">
        <v/>
      </c>
      <c r="I33699" s="4" t="str">
        <v/>
      </c>
    </row>
    <row r="33700" spans="5:9" ht="16.5" hidden="1">
      <c r="E33700" s="4" t="str">
        <v/>
      </c>
      <c r="F33700" s="102" t="str">
        <f ca="1">IFERROR(__xludf.DUMMYFUNCTION("IMPORTRANGE(H33700,""IDENTITAS UNIT!D9"")"),"#N/A")</f>
        <v>#N/A</v>
      </c>
      <c r="H33700" s="4" t="str">
        <v/>
      </c>
      <c r="I33700" s="4" t="str">
        <v/>
      </c>
    </row>
    <row r="33701" spans="5:9" ht="16.5" hidden="1">
      <c r="E33701" s="4" t="str">
        <v/>
      </c>
      <c r="F33701" s="102" t="str">
        <f ca="1">IFERROR(__xludf.DUMMYFUNCTION("IMPORTRANGE(H33701,""IDENTITAS UNIT!D9"")"),"#N/A")</f>
        <v>#N/A</v>
      </c>
      <c r="H33701" s="4" t="str">
        <v/>
      </c>
      <c r="I33701" s="4" t="str">
        <v/>
      </c>
    </row>
    <row r="33702" spans="5:9" ht="16.5" hidden="1">
      <c r="E33702" s="4" t="str">
        <v/>
      </c>
      <c r="F33702" s="102" t="str">
        <f ca="1">IFERROR(__xludf.DUMMYFUNCTION("IMPORTRANGE(H33702,""IDENTITAS UNIT!D9"")"),"#N/A")</f>
        <v>#N/A</v>
      </c>
      <c r="H33702" s="4" t="str">
        <v/>
      </c>
      <c r="I33702" s="4" t="str">
        <v/>
      </c>
    </row>
    <row r="33703" spans="5:9" ht="16.5" hidden="1">
      <c r="E33703" s="4" t="str">
        <v/>
      </c>
      <c r="F33703" s="102" t="str">
        <f ca="1">IFERROR(__xludf.DUMMYFUNCTION("IMPORTRANGE(H33703,""IDENTITAS UNIT!D9"")"),"#N/A")</f>
        <v>#N/A</v>
      </c>
      <c r="H33703" s="4" t="str">
        <v/>
      </c>
      <c r="I33703" s="4" t="str">
        <v/>
      </c>
    </row>
    <row r="33704" spans="5:9" ht="16.5" hidden="1">
      <c r="E33704" s="4" t="str">
        <v/>
      </c>
      <c r="F33704" s="102" t="str">
        <f ca="1">IFERROR(__xludf.DUMMYFUNCTION("IMPORTRANGE(H33704,""IDENTITAS UNIT!D9"")"),"#N/A")</f>
        <v>#N/A</v>
      </c>
      <c r="H33704" s="4" t="str">
        <v/>
      </c>
      <c r="I33704" s="4" t="str">
        <v/>
      </c>
    </row>
    <row r="33705" spans="5:9" ht="16.5" hidden="1">
      <c r="E33705" s="4" t="str">
        <v/>
      </c>
      <c r="F33705" s="102" t="str">
        <f ca="1">IFERROR(__xludf.DUMMYFUNCTION("IMPORTRANGE(H33705,""IDENTITAS UNIT!D9"")"),"#N/A")</f>
        <v>#N/A</v>
      </c>
      <c r="H33705" s="4" t="str">
        <v/>
      </c>
      <c r="I33705" s="4" t="str">
        <v/>
      </c>
    </row>
    <row r="33706" spans="5:9" ht="16.5" hidden="1">
      <c r="E33706" s="4" t="str">
        <v/>
      </c>
      <c r="F33706" s="102" t="str">
        <f ca="1">IFERROR(__xludf.DUMMYFUNCTION("IMPORTRANGE(H33706,""IDENTITAS UNIT!D9"")"),"#N/A")</f>
        <v>#N/A</v>
      </c>
      <c r="H33706" s="4" t="str">
        <v/>
      </c>
      <c r="I33706" s="4" t="str">
        <v/>
      </c>
    </row>
    <row r="33707" spans="5:9" ht="16.5" hidden="1">
      <c r="E33707" s="4" t="str">
        <v/>
      </c>
      <c r="F33707" s="102" t="str">
        <f ca="1">IFERROR(__xludf.DUMMYFUNCTION("IMPORTRANGE(H33707,""IDENTITAS UNIT!D9"")"),"#N/A")</f>
        <v>#N/A</v>
      </c>
      <c r="H33707" s="4" t="str">
        <v/>
      </c>
      <c r="I33707" s="4" t="str">
        <v/>
      </c>
    </row>
    <row r="33708" spans="5:9" ht="16.5" hidden="1">
      <c r="E33708" s="4" t="str">
        <v/>
      </c>
      <c r="F33708" s="102" t="str">
        <f ca="1">IFERROR(__xludf.DUMMYFUNCTION("IMPORTRANGE(H33708,""IDENTITAS UNIT!D9"")"),"#N/A")</f>
        <v>#N/A</v>
      </c>
      <c r="H33708" s="4" t="str">
        <v/>
      </c>
      <c r="I33708" s="4" t="str">
        <v/>
      </c>
    </row>
    <row r="33709" spans="5:9" ht="16.5" hidden="1">
      <c r="E33709" s="4" t="str">
        <v/>
      </c>
      <c r="F33709" s="102" t="str">
        <f ca="1">IFERROR(__xludf.DUMMYFUNCTION("IMPORTRANGE(H33709,""IDENTITAS UNIT!D9"")"),"#N/A")</f>
        <v>#N/A</v>
      </c>
      <c r="H33709" s="4" t="str">
        <v/>
      </c>
      <c r="I33709" s="4" t="str">
        <v/>
      </c>
    </row>
    <row r="33710" spans="5:9" ht="16.5" hidden="1">
      <c r="E33710" s="4" t="str">
        <v/>
      </c>
      <c r="F33710" s="102" t="str">
        <f ca="1">IFERROR(__xludf.DUMMYFUNCTION("IMPORTRANGE(H33710,""IDENTITAS UNIT!D9"")"),"#N/A")</f>
        <v>#N/A</v>
      </c>
      <c r="H33710" s="4" t="str">
        <v/>
      </c>
      <c r="I33710" s="4" t="str">
        <v/>
      </c>
    </row>
    <row r="33711" spans="5:9" ht="16.5" hidden="1">
      <c r="E33711" s="4" t="str">
        <v/>
      </c>
      <c r="F33711" s="102" t="str">
        <f ca="1">IFERROR(__xludf.DUMMYFUNCTION("IMPORTRANGE(H33711,""IDENTITAS UNIT!D9"")"),"#N/A")</f>
        <v>#N/A</v>
      </c>
      <c r="H33711" s="4" t="str">
        <v/>
      </c>
      <c r="I33711" s="4" t="str">
        <v/>
      </c>
    </row>
    <row r="33712" spans="5:9" ht="16.5" hidden="1">
      <c r="E33712" s="4" t="str">
        <v/>
      </c>
      <c r="F33712" s="102" t="str">
        <f ca="1">IFERROR(__xludf.DUMMYFUNCTION("IMPORTRANGE(H33712,""IDENTITAS UNIT!D9"")"),"#N/A")</f>
        <v>#N/A</v>
      </c>
      <c r="H33712" s="4" t="str">
        <v/>
      </c>
      <c r="I33712" s="4" t="str">
        <v/>
      </c>
    </row>
    <row r="33713" spans="5:9" ht="16.5" hidden="1">
      <c r="E33713" s="4" t="str">
        <v/>
      </c>
      <c r="F33713" s="102" t="str">
        <f ca="1">IFERROR(__xludf.DUMMYFUNCTION("IMPORTRANGE(H33713,""IDENTITAS UNIT!D9"")"),"#N/A")</f>
        <v>#N/A</v>
      </c>
      <c r="H33713" s="4" t="str">
        <v/>
      </c>
      <c r="I33713" s="4" t="str">
        <v/>
      </c>
    </row>
    <row r="33714" spans="5:9" ht="16.5" hidden="1">
      <c r="E33714" s="4" t="str">
        <v/>
      </c>
      <c r="F33714" s="102" t="str">
        <f ca="1">IFERROR(__xludf.DUMMYFUNCTION("IMPORTRANGE(H33714,""IDENTITAS UNIT!D9"")"),"#N/A")</f>
        <v>#N/A</v>
      </c>
      <c r="H33714" s="4" t="str">
        <v/>
      </c>
      <c r="I33714" s="4" t="str">
        <v/>
      </c>
    </row>
    <row r="33715" spans="5:9" ht="16.5" hidden="1">
      <c r="E33715" s="4" t="str">
        <v/>
      </c>
      <c r="F33715" s="102" t="str">
        <f ca="1">IFERROR(__xludf.DUMMYFUNCTION("IMPORTRANGE(H33715,""IDENTITAS UNIT!D9"")"),"#N/A")</f>
        <v>#N/A</v>
      </c>
      <c r="H33715" s="4" t="str">
        <v/>
      </c>
      <c r="I33715" s="4" t="str">
        <v/>
      </c>
    </row>
    <row r="33716" spans="5:9" ht="16.5" hidden="1">
      <c r="E33716" s="4" t="str">
        <v/>
      </c>
      <c r="F33716" s="102" t="str">
        <f ca="1">IFERROR(__xludf.DUMMYFUNCTION("IMPORTRANGE(H33716,""IDENTITAS UNIT!D9"")"),"#N/A")</f>
        <v>#N/A</v>
      </c>
      <c r="H33716" s="4" t="str">
        <v/>
      </c>
      <c r="I33716" s="4" t="str">
        <v/>
      </c>
    </row>
    <row r="33717" spans="5:9" ht="16.5" hidden="1">
      <c r="E33717" s="4" t="str">
        <v/>
      </c>
      <c r="F33717" s="102" t="str">
        <f ca="1">IFERROR(__xludf.DUMMYFUNCTION("IMPORTRANGE(H33717,""IDENTITAS UNIT!D9"")"),"#N/A")</f>
        <v>#N/A</v>
      </c>
      <c r="H33717" s="4" t="str">
        <v/>
      </c>
      <c r="I33717" s="4" t="str">
        <v/>
      </c>
    </row>
    <row r="33718" spans="5:9" ht="16.5" hidden="1">
      <c r="E33718" s="4" t="str">
        <v/>
      </c>
      <c r="F33718" s="102" t="str">
        <f ca="1">IFERROR(__xludf.DUMMYFUNCTION("IMPORTRANGE(H33718,""IDENTITAS UNIT!D9"")"),"#N/A")</f>
        <v>#N/A</v>
      </c>
      <c r="H33718" s="4" t="str">
        <v/>
      </c>
      <c r="I33718" s="4" t="str">
        <v/>
      </c>
    </row>
    <row r="33719" spans="5:9" ht="16.5" hidden="1">
      <c r="E33719" s="4" t="str">
        <v/>
      </c>
      <c r="F33719" s="102" t="str">
        <f ca="1">IFERROR(__xludf.DUMMYFUNCTION("IMPORTRANGE(H33719,""IDENTITAS UNIT!D9"")"),"#N/A")</f>
        <v>#N/A</v>
      </c>
      <c r="H33719" s="4" t="str">
        <v/>
      </c>
      <c r="I33719" s="4" t="str">
        <v/>
      </c>
    </row>
    <row r="33720" spans="5:9" ht="16.5" hidden="1">
      <c r="E33720" s="4" t="str">
        <v/>
      </c>
      <c r="F33720" s="102" t="str">
        <f ca="1">IFERROR(__xludf.DUMMYFUNCTION("IMPORTRANGE(H33720,""IDENTITAS UNIT!D9"")"),"#N/A")</f>
        <v>#N/A</v>
      </c>
      <c r="H33720" s="4" t="str">
        <v/>
      </c>
      <c r="I33720" s="4" t="str">
        <v/>
      </c>
    </row>
    <row r="33721" spans="5:9" ht="16.5" hidden="1">
      <c r="E33721" s="4" t="str">
        <v/>
      </c>
      <c r="F33721" s="102" t="str">
        <f ca="1">IFERROR(__xludf.DUMMYFUNCTION("IMPORTRANGE(H33721,""IDENTITAS UNIT!D9"")"),"#N/A")</f>
        <v>#N/A</v>
      </c>
      <c r="H33721" s="4" t="str">
        <v/>
      </c>
      <c r="I33721" s="4" t="str">
        <v/>
      </c>
    </row>
    <row r="33722" spans="5:9" ht="16.5" hidden="1">
      <c r="E33722" s="4" t="str">
        <v/>
      </c>
      <c r="F33722" s="102" t="str">
        <f ca="1">IFERROR(__xludf.DUMMYFUNCTION("IMPORTRANGE(H33722,""IDENTITAS UNIT!D9"")"),"#N/A")</f>
        <v>#N/A</v>
      </c>
      <c r="H33722" s="4" t="str">
        <v/>
      </c>
      <c r="I33722" s="4" t="str">
        <v/>
      </c>
    </row>
    <row r="33723" spans="5:9" ht="16.5" hidden="1">
      <c r="E33723" s="4" t="str">
        <v/>
      </c>
      <c r="F33723" s="102" t="str">
        <f ca="1">IFERROR(__xludf.DUMMYFUNCTION("IMPORTRANGE(H33723,""IDENTITAS UNIT!D9"")"),"#N/A")</f>
        <v>#N/A</v>
      </c>
      <c r="H33723" s="4" t="str">
        <v/>
      </c>
      <c r="I33723" s="4" t="str">
        <v/>
      </c>
    </row>
    <row r="33724" spans="5:9" ht="16.5" hidden="1">
      <c r="E33724" s="4" t="str">
        <v/>
      </c>
      <c r="F33724" s="102" t="str">
        <f ca="1">IFERROR(__xludf.DUMMYFUNCTION("IMPORTRANGE(H33724,""IDENTITAS UNIT!D9"")"),"#N/A")</f>
        <v>#N/A</v>
      </c>
      <c r="H33724" s="4" t="str">
        <v/>
      </c>
      <c r="I33724" s="4" t="str">
        <v/>
      </c>
    </row>
    <row r="33725" spans="5:9" ht="16.5" hidden="1">
      <c r="E33725" s="4" t="str">
        <v/>
      </c>
      <c r="F33725" s="102" t="str">
        <f ca="1">IFERROR(__xludf.DUMMYFUNCTION("IMPORTRANGE(H33725,""IDENTITAS UNIT!D9"")"),"#N/A")</f>
        <v>#N/A</v>
      </c>
      <c r="H33725" s="4" t="str">
        <v/>
      </c>
      <c r="I33725" s="4" t="str">
        <v/>
      </c>
    </row>
    <row r="33726" spans="5:9" ht="16.5" hidden="1">
      <c r="E33726" s="4" t="str">
        <v/>
      </c>
      <c r="F33726" s="102" t="str">
        <f ca="1">IFERROR(__xludf.DUMMYFUNCTION("IMPORTRANGE(H33726,""IDENTITAS UNIT!D9"")"),"#N/A")</f>
        <v>#N/A</v>
      </c>
      <c r="H33726" s="4" t="str">
        <v/>
      </c>
      <c r="I33726" s="4" t="str">
        <v/>
      </c>
    </row>
    <row r="33727" spans="5:9" ht="16.5" hidden="1">
      <c r="E33727" s="4" t="str">
        <v/>
      </c>
      <c r="F33727" s="102" t="str">
        <f ca="1">IFERROR(__xludf.DUMMYFUNCTION("IMPORTRANGE(H33727,""IDENTITAS UNIT!D9"")"),"#N/A")</f>
        <v>#N/A</v>
      </c>
      <c r="H33727" s="4" t="str">
        <v/>
      </c>
      <c r="I33727" s="4" t="str">
        <v/>
      </c>
    </row>
    <row r="33728" spans="5:9" ht="16.5" hidden="1">
      <c r="E33728" s="4" t="str">
        <v/>
      </c>
      <c r="F33728" s="102" t="str">
        <f ca="1">IFERROR(__xludf.DUMMYFUNCTION("IMPORTRANGE(H33728,""IDENTITAS UNIT!D9"")"),"#N/A")</f>
        <v>#N/A</v>
      </c>
      <c r="H33728" s="4" t="str">
        <v/>
      </c>
      <c r="I33728" s="4" t="str">
        <v/>
      </c>
    </row>
    <row r="33729" spans="5:9" ht="16.5" hidden="1">
      <c r="E33729" s="4" t="str">
        <v/>
      </c>
      <c r="F33729" s="102" t="str">
        <f ca="1">IFERROR(__xludf.DUMMYFUNCTION("IMPORTRANGE(H33729,""IDENTITAS UNIT!D9"")"),"#N/A")</f>
        <v>#N/A</v>
      </c>
      <c r="H33729" s="4" t="str">
        <v/>
      </c>
      <c r="I33729" s="4" t="str">
        <v/>
      </c>
    </row>
    <row r="33730" spans="5:9" ht="16.5" hidden="1">
      <c r="E33730" s="4" t="str">
        <v/>
      </c>
      <c r="F33730" s="102" t="str">
        <f ca="1">IFERROR(__xludf.DUMMYFUNCTION("IMPORTRANGE(H33730,""IDENTITAS UNIT!D9"")"),"#N/A")</f>
        <v>#N/A</v>
      </c>
      <c r="H33730" s="4" t="str">
        <v/>
      </c>
      <c r="I33730" s="4" t="str">
        <v/>
      </c>
    </row>
    <row r="33731" spans="5:9" ht="16.5" hidden="1">
      <c r="E33731" s="4" t="str">
        <v/>
      </c>
      <c r="F33731" s="102" t="str">
        <f ca="1">IFERROR(__xludf.DUMMYFUNCTION("IMPORTRANGE(H33731,""IDENTITAS UNIT!D9"")"),"#N/A")</f>
        <v>#N/A</v>
      </c>
      <c r="H33731" s="4" t="str">
        <v/>
      </c>
      <c r="I33731" s="4" t="str">
        <v/>
      </c>
    </row>
    <row r="33732" spans="5:9" ht="16.5" hidden="1">
      <c r="E33732" s="4" t="str">
        <v/>
      </c>
      <c r="F33732" s="102" t="str">
        <f ca="1">IFERROR(__xludf.DUMMYFUNCTION("IMPORTRANGE(H33732,""IDENTITAS UNIT!D9"")"),"#N/A")</f>
        <v>#N/A</v>
      </c>
      <c r="H33732" s="4" t="str">
        <v/>
      </c>
      <c r="I33732" s="4" t="str">
        <v/>
      </c>
    </row>
    <row r="33733" spans="5:9" ht="16.5" hidden="1">
      <c r="E33733" s="4" t="str">
        <v/>
      </c>
      <c r="F33733" s="102" t="str">
        <f ca="1">IFERROR(__xludf.DUMMYFUNCTION("IMPORTRANGE(H33733,""IDENTITAS UNIT!D9"")"),"#N/A")</f>
        <v>#N/A</v>
      </c>
      <c r="H33733" s="4" t="str">
        <v/>
      </c>
      <c r="I33733" s="4" t="str">
        <v/>
      </c>
    </row>
    <row r="33734" spans="5:9" ht="16.5" hidden="1">
      <c r="E33734" s="4" t="str">
        <v/>
      </c>
      <c r="F33734" s="102" t="str">
        <f ca="1">IFERROR(__xludf.DUMMYFUNCTION("IMPORTRANGE(H33734,""IDENTITAS UNIT!D9"")"),"#N/A")</f>
        <v>#N/A</v>
      </c>
      <c r="H33734" s="4" t="str">
        <v/>
      </c>
      <c r="I33734" s="4" t="str">
        <v/>
      </c>
    </row>
    <row r="33735" spans="5:9" ht="16.5" hidden="1">
      <c r="E33735" s="4" t="str">
        <v/>
      </c>
      <c r="F33735" s="102" t="str">
        <f ca="1">IFERROR(__xludf.DUMMYFUNCTION("IMPORTRANGE(H33735,""IDENTITAS UNIT!D9"")"),"#N/A")</f>
        <v>#N/A</v>
      </c>
      <c r="H33735" s="4" t="str">
        <v/>
      </c>
      <c r="I33735" s="4" t="str">
        <v/>
      </c>
    </row>
    <row r="33736" spans="5:9" ht="16.5" hidden="1">
      <c r="E33736" s="4" t="str">
        <v/>
      </c>
      <c r="F33736" s="102" t="str">
        <f ca="1">IFERROR(__xludf.DUMMYFUNCTION("IMPORTRANGE(H33736,""IDENTITAS UNIT!D9"")"),"#N/A")</f>
        <v>#N/A</v>
      </c>
      <c r="H33736" s="4" t="str">
        <v/>
      </c>
      <c r="I33736" s="4" t="str">
        <v/>
      </c>
    </row>
    <row r="33737" spans="5:9" ht="16.5" hidden="1">
      <c r="E33737" s="4" t="str">
        <v/>
      </c>
      <c r="F33737" s="102" t="str">
        <f ca="1">IFERROR(__xludf.DUMMYFUNCTION("IMPORTRANGE(H33737,""IDENTITAS UNIT!D9"")"),"#N/A")</f>
        <v>#N/A</v>
      </c>
      <c r="H33737" s="4" t="str">
        <v/>
      </c>
      <c r="I33737" s="4" t="str">
        <v/>
      </c>
    </row>
    <row r="33738" spans="5:9" ht="16.5" hidden="1">
      <c r="E33738" s="4" t="str">
        <v/>
      </c>
      <c r="F33738" s="102" t="str">
        <f ca="1">IFERROR(__xludf.DUMMYFUNCTION("IMPORTRANGE(H33738,""IDENTITAS UNIT!D9"")"),"#N/A")</f>
        <v>#N/A</v>
      </c>
      <c r="H33738" s="4" t="str">
        <v/>
      </c>
      <c r="I33738" s="4" t="str">
        <v/>
      </c>
    </row>
    <row r="33739" spans="5:9" ht="16.5" hidden="1">
      <c r="E33739" s="4" t="str">
        <v/>
      </c>
      <c r="F33739" s="102" t="str">
        <f ca="1">IFERROR(__xludf.DUMMYFUNCTION("IMPORTRANGE(H33739,""IDENTITAS UNIT!D9"")"),"#N/A")</f>
        <v>#N/A</v>
      </c>
      <c r="H33739" s="4" t="str">
        <v/>
      </c>
      <c r="I33739" s="4" t="str">
        <v/>
      </c>
    </row>
    <row r="33740" spans="5:9" ht="16.5" hidden="1">
      <c r="E33740" s="4" t="str">
        <v/>
      </c>
      <c r="F33740" s="102" t="str">
        <f ca="1">IFERROR(__xludf.DUMMYFUNCTION("IMPORTRANGE(H33740,""IDENTITAS UNIT!D9"")"),"#N/A")</f>
        <v>#N/A</v>
      </c>
      <c r="H33740" s="4" t="str">
        <v/>
      </c>
      <c r="I33740" s="4" t="str">
        <v/>
      </c>
    </row>
    <row r="33741" spans="5:9" ht="16.5" hidden="1">
      <c r="E33741" s="4" t="str">
        <v/>
      </c>
      <c r="F33741" s="102" t="str">
        <f ca="1">IFERROR(__xludf.DUMMYFUNCTION("IMPORTRANGE(H33741,""IDENTITAS UNIT!D9"")"),"#N/A")</f>
        <v>#N/A</v>
      </c>
      <c r="H33741" s="4" t="str">
        <v/>
      </c>
      <c r="I33741" s="4" t="str">
        <v/>
      </c>
    </row>
    <row r="33742" spans="5:9" ht="16.5" hidden="1">
      <c r="E33742" s="4" t="str">
        <v/>
      </c>
      <c r="F33742" s="102" t="str">
        <f ca="1">IFERROR(__xludf.DUMMYFUNCTION("IMPORTRANGE(H33742,""IDENTITAS UNIT!D9"")"),"#N/A")</f>
        <v>#N/A</v>
      </c>
      <c r="H33742" s="4" t="str">
        <v/>
      </c>
      <c r="I33742" s="4" t="str">
        <v/>
      </c>
    </row>
    <row r="33743" spans="5:9" ht="16.5" hidden="1">
      <c r="E33743" s="4" t="str">
        <v/>
      </c>
      <c r="F33743" s="102" t="str">
        <f ca="1">IFERROR(__xludf.DUMMYFUNCTION("IMPORTRANGE(H33743,""IDENTITAS UNIT!D9"")"),"#N/A")</f>
        <v>#N/A</v>
      </c>
      <c r="H33743" s="4" t="str">
        <v/>
      </c>
      <c r="I33743" s="4" t="str">
        <v/>
      </c>
    </row>
    <row r="33744" spans="5:9" ht="16.5" hidden="1">
      <c r="E33744" s="4" t="str">
        <v/>
      </c>
      <c r="F33744" s="102" t="str">
        <f ca="1">IFERROR(__xludf.DUMMYFUNCTION("IMPORTRANGE(H33744,""IDENTITAS UNIT!D9"")"),"#N/A")</f>
        <v>#N/A</v>
      </c>
      <c r="H33744" s="4" t="str">
        <v/>
      </c>
      <c r="I33744" s="4" t="str">
        <v/>
      </c>
    </row>
    <row r="33745" spans="5:9" ht="16.5" hidden="1">
      <c r="E33745" s="4" t="str">
        <v/>
      </c>
      <c r="F33745" s="102" t="str">
        <f ca="1">IFERROR(__xludf.DUMMYFUNCTION("IMPORTRANGE(H33745,""IDENTITAS UNIT!D9"")"),"#N/A")</f>
        <v>#N/A</v>
      </c>
      <c r="H33745" s="4" t="str">
        <v/>
      </c>
      <c r="I33745" s="4" t="str">
        <v/>
      </c>
    </row>
    <row r="33746" spans="5:9" ht="16.5" hidden="1">
      <c r="E33746" s="4" t="str">
        <v/>
      </c>
      <c r="F33746" s="102" t="str">
        <f ca="1">IFERROR(__xludf.DUMMYFUNCTION("IMPORTRANGE(H33746,""IDENTITAS UNIT!D9"")"),"#N/A")</f>
        <v>#N/A</v>
      </c>
      <c r="H33746" s="4" t="str">
        <v/>
      </c>
      <c r="I33746" s="4" t="str">
        <v/>
      </c>
    </row>
    <row r="33747" spans="5:9" ht="16.5" hidden="1">
      <c r="E33747" s="4" t="str">
        <v/>
      </c>
      <c r="F33747" s="102" t="str">
        <f ca="1">IFERROR(__xludf.DUMMYFUNCTION("IMPORTRANGE(H33747,""IDENTITAS UNIT!D9"")"),"#N/A")</f>
        <v>#N/A</v>
      </c>
      <c r="H33747" s="4" t="str">
        <v/>
      </c>
      <c r="I33747" s="4" t="str">
        <v/>
      </c>
    </row>
    <row r="33748" spans="5:9" ht="16.5" hidden="1">
      <c r="E33748" s="4" t="str">
        <v/>
      </c>
      <c r="F33748" s="102" t="str">
        <f ca="1">IFERROR(__xludf.DUMMYFUNCTION("IMPORTRANGE(H33748,""IDENTITAS UNIT!D9"")"),"#N/A")</f>
        <v>#N/A</v>
      </c>
      <c r="H33748" s="4" t="str">
        <v/>
      </c>
      <c r="I33748" s="4" t="str">
        <v/>
      </c>
    </row>
    <row r="33749" spans="5:9" ht="16.5" hidden="1">
      <c r="E33749" s="4" t="str">
        <v/>
      </c>
      <c r="F33749" s="102" t="str">
        <f ca="1">IFERROR(__xludf.DUMMYFUNCTION("IMPORTRANGE(H33749,""IDENTITAS UNIT!D9"")"),"#N/A")</f>
        <v>#N/A</v>
      </c>
      <c r="H33749" s="4" t="str">
        <v/>
      </c>
      <c r="I33749" s="4" t="str">
        <v/>
      </c>
    </row>
    <row r="33750" spans="5:9" ht="16.5" hidden="1">
      <c r="E33750" s="4" t="str">
        <v/>
      </c>
      <c r="F33750" s="102" t="str">
        <f ca="1">IFERROR(__xludf.DUMMYFUNCTION("IMPORTRANGE(H33750,""IDENTITAS UNIT!D9"")"),"#N/A")</f>
        <v>#N/A</v>
      </c>
      <c r="H33750" s="4" t="str">
        <v/>
      </c>
      <c r="I33750" s="4" t="str">
        <v/>
      </c>
    </row>
    <row r="33751" spans="5:9" ht="16.5" hidden="1">
      <c r="E33751" s="4" t="str">
        <v/>
      </c>
      <c r="F33751" s="102" t="str">
        <f ca="1">IFERROR(__xludf.DUMMYFUNCTION("IMPORTRANGE(H33751,""IDENTITAS UNIT!D9"")"),"#N/A")</f>
        <v>#N/A</v>
      </c>
      <c r="H33751" s="4" t="str">
        <v/>
      </c>
      <c r="I33751" s="4" t="str">
        <v/>
      </c>
    </row>
    <row r="33752" spans="5:9" ht="16.5" hidden="1">
      <c r="E33752" s="4" t="str">
        <v/>
      </c>
      <c r="F33752" s="102" t="str">
        <f ca="1">IFERROR(__xludf.DUMMYFUNCTION("IMPORTRANGE(H33752,""IDENTITAS UNIT!D9"")"),"#N/A")</f>
        <v>#N/A</v>
      </c>
      <c r="H33752" s="4" t="str">
        <v/>
      </c>
      <c r="I33752" s="4" t="str">
        <v/>
      </c>
    </row>
    <row r="33753" spans="5:9" ht="16.5" hidden="1">
      <c r="E33753" s="4" t="str">
        <v/>
      </c>
      <c r="F33753" s="102" t="str">
        <f ca="1">IFERROR(__xludf.DUMMYFUNCTION("IMPORTRANGE(H33753,""IDENTITAS UNIT!D9"")"),"#N/A")</f>
        <v>#N/A</v>
      </c>
      <c r="H33753" s="4" t="str">
        <v/>
      </c>
      <c r="I33753" s="4" t="str">
        <v/>
      </c>
    </row>
    <row r="33754" spans="5:9" ht="16.5" hidden="1">
      <c r="E33754" s="4" t="str">
        <v/>
      </c>
      <c r="F33754" s="102" t="str">
        <f ca="1">IFERROR(__xludf.DUMMYFUNCTION("IMPORTRANGE(H33754,""IDENTITAS UNIT!D9"")"),"#N/A")</f>
        <v>#N/A</v>
      </c>
      <c r="H33754" s="4" t="str">
        <v/>
      </c>
      <c r="I33754" s="4" t="str">
        <v/>
      </c>
    </row>
    <row r="33755" spans="5:9" ht="16.5" hidden="1">
      <c r="E33755" s="4" t="str">
        <v/>
      </c>
      <c r="F33755" s="102" t="str">
        <f ca="1">IFERROR(__xludf.DUMMYFUNCTION("IMPORTRANGE(H33755,""IDENTITAS UNIT!D9"")"),"#N/A")</f>
        <v>#N/A</v>
      </c>
      <c r="H33755" s="4" t="str">
        <v/>
      </c>
      <c r="I33755" s="4" t="str">
        <v/>
      </c>
    </row>
    <row r="33756" spans="5:9" ht="16.5" hidden="1">
      <c r="E33756" s="4" t="str">
        <v/>
      </c>
      <c r="F33756" s="102" t="str">
        <f ca="1">IFERROR(__xludf.DUMMYFUNCTION("IMPORTRANGE(H33756,""IDENTITAS UNIT!D9"")"),"#N/A")</f>
        <v>#N/A</v>
      </c>
      <c r="H33756" s="4" t="str">
        <v/>
      </c>
      <c r="I33756" s="4" t="str">
        <v/>
      </c>
    </row>
    <row r="33757" spans="5:9" ht="16.5" hidden="1">
      <c r="E33757" s="4" t="str">
        <v/>
      </c>
      <c r="F33757" s="102" t="str">
        <f ca="1">IFERROR(__xludf.DUMMYFUNCTION("IMPORTRANGE(H33757,""IDENTITAS UNIT!D9"")"),"#N/A")</f>
        <v>#N/A</v>
      </c>
      <c r="H33757" s="4" t="str">
        <v/>
      </c>
      <c r="I33757" s="4" t="str">
        <v/>
      </c>
    </row>
    <row r="33758" spans="5:9" ht="16.5" hidden="1">
      <c r="E33758" s="4" t="str">
        <v/>
      </c>
      <c r="F33758" s="102" t="str">
        <f ca="1">IFERROR(__xludf.DUMMYFUNCTION("IMPORTRANGE(H33758,""IDENTITAS UNIT!D9"")"),"#N/A")</f>
        <v>#N/A</v>
      </c>
      <c r="H33758" s="4" t="str">
        <v/>
      </c>
      <c r="I33758" s="4" t="str">
        <v/>
      </c>
    </row>
    <row r="33759" spans="5:9" ht="16.5" hidden="1">
      <c r="E33759" s="4" t="str">
        <v/>
      </c>
      <c r="F33759" s="102" t="str">
        <f ca="1">IFERROR(__xludf.DUMMYFUNCTION("IMPORTRANGE(H33759,""IDENTITAS UNIT!D9"")"),"#N/A")</f>
        <v>#N/A</v>
      </c>
      <c r="H33759" s="4" t="str">
        <v/>
      </c>
      <c r="I33759" s="4" t="str">
        <v/>
      </c>
    </row>
    <row r="33760" spans="5:9" ht="16.5" hidden="1">
      <c r="E33760" s="4" t="str">
        <v/>
      </c>
      <c r="F33760" s="102" t="str">
        <f ca="1">IFERROR(__xludf.DUMMYFUNCTION("IMPORTRANGE(H33760,""IDENTITAS UNIT!D9"")"),"#N/A")</f>
        <v>#N/A</v>
      </c>
      <c r="H33760" s="4" t="str">
        <v/>
      </c>
      <c r="I33760" s="4" t="str">
        <v/>
      </c>
    </row>
    <row r="33761" spans="5:9" ht="16.5" hidden="1">
      <c r="E33761" s="4" t="str">
        <v/>
      </c>
      <c r="F33761" s="102" t="str">
        <f ca="1">IFERROR(__xludf.DUMMYFUNCTION("IMPORTRANGE(H33761,""IDENTITAS UNIT!D9"")"),"#N/A")</f>
        <v>#N/A</v>
      </c>
      <c r="H33761" s="4" t="str">
        <v/>
      </c>
      <c r="I33761" s="4" t="str">
        <v/>
      </c>
    </row>
    <row r="33762" spans="5:9" ht="16.5" hidden="1">
      <c r="E33762" s="4" t="str">
        <v/>
      </c>
      <c r="F33762" s="102" t="str">
        <f ca="1">IFERROR(__xludf.DUMMYFUNCTION("IMPORTRANGE(H33762,""IDENTITAS UNIT!D9"")"),"#N/A")</f>
        <v>#N/A</v>
      </c>
      <c r="H33762" s="4" t="str">
        <v/>
      </c>
      <c r="I33762" s="4" t="str">
        <v/>
      </c>
    </row>
    <row r="33763" spans="5:9" ht="16.5" hidden="1">
      <c r="E33763" s="4" t="str">
        <v/>
      </c>
      <c r="F33763" s="102" t="str">
        <f ca="1">IFERROR(__xludf.DUMMYFUNCTION("IMPORTRANGE(H33763,""IDENTITAS UNIT!D9"")"),"#N/A")</f>
        <v>#N/A</v>
      </c>
      <c r="H33763" s="4" t="str">
        <v/>
      </c>
      <c r="I33763" s="4" t="str">
        <v/>
      </c>
    </row>
    <row r="33764" spans="5:9" ht="16.5" hidden="1">
      <c r="E33764" s="4" t="str">
        <v/>
      </c>
      <c r="F33764" s="102" t="str">
        <f ca="1">IFERROR(__xludf.DUMMYFUNCTION("IMPORTRANGE(H33764,""IDENTITAS UNIT!D9"")"),"#N/A")</f>
        <v>#N/A</v>
      </c>
      <c r="H33764" s="4" t="str">
        <v/>
      </c>
      <c r="I33764" s="4" t="str">
        <v/>
      </c>
    </row>
    <row r="33765" spans="5:9" ht="16.5" hidden="1">
      <c r="E33765" s="4" t="str">
        <v/>
      </c>
      <c r="F33765" s="102" t="str">
        <f ca="1">IFERROR(__xludf.DUMMYFUNCTION("IMPORTRANGE(H33765,""IDENTITAS UNIT!D9"")"),"#N/A")</f>
        <v>#N/A</v>
      </c>
      <c r="H33765" s="4" t="str">
        <v/>
      </c>
      <c r="I33765" s="4" t="str">
        <v/>
      </c>
    </row>
    <row r="33766" spans="5:9" ht="16.5" hidden="1">
      <c r="E33766" s="4" t="str">
        <v/>
      </c>
      <c r="F33766" s="102" t="str">
        <f ca="1">IFERROR(__xludf.DUMMYFUNCTION("IMPORTRANGE(H33766,""IDENTITAS UNIT!D9"")"),"#N/A")</f>
        <v>#N/A</v>
      </c>
      <c r="H33766" s="4" t="str">
        <v/>
      </c>
      <c r="I33766" s="4" t="str">
        <v/>
      </c>
    </row>
    <row r="33767" spans="5:9" ht="16.5" hidden="1">
      <c r="E33767" s="4" t="str">
        <v/>
      </c>
      <c r="F33767" s="102" t="str">
        <f ca="1">IFERROR(__xludf.DUMMYFUNCTION("IMPORTRANGE(H33767,""IDENTITAS UNIT!D9"")"),"#N/A")</f>
        <v>#N/A</v>
      </c>
      <c r="H33767" s="4" t="str">
        <v/>
      </c>
      <c r="I33767" s="4" t="str">
        <v/>
      </c>
    </row>
    <row r="33768" spans="5:9" ht="16.5" hidden="1">
      <c r="E33768" s="4" t="str">
        <v/>
      </c>
      <c r="F33768" s="102" t="str">
        <f ca="1">IFERROR(__xludf.DUMMYFUNCTION("IMPORTRANGE(H33768,""IDENTITAS UNIT!D9"")"),"#N/A")</f>
        <v>#N/A</v>
      </c>
      <c r="H33768" s="4" t="str">
        <v/>
      </c>
      <c r="I33768" s="4" t="str">
        <v/>
      </c>
    </row>
    <row r="33769" spans="5:9" ht="16.5" hidden="1">
      <c r="E33769" s="4" t="str">
        <v/>
      </c>
      <c r="F33769" s="102" t="str">
        <f ca="1">IFERROR(__xludf.DUMMYFUNCTION("IMPORTRANGE(H33769,""IDENTITAS UNIT!D9"")"),"#N/A")</f>
        <v>#N/A</v>
      </c>
      <c r="H33769" s="4" t="str">
        <v/>
      </c>
      <c r="I33769" s="4" t="str">
        <v/>
      </c>
    </row>
    <row r="33770" spans="5:9" ht="16.5" hidden="1">
      <c r="E33770" s="4" t="str">
        <v/>
      </c>
      <c r="F33770" s="102" t="str">
        <f ca="1">IFERROR(__xludf.DUMMYFUNCTION("IMPORTRANGE(H33770,""IDENTITAS UNIT!D9"")"),"#N/A")</f>
        <v>#N/A</v>
      </c>
      <c r="H33770" s="4" t="str">
        <v/>
      </c>
      <c r="I33770" s="4" t="str">
        <v/>
      </c>
    </row>
    <row r="33771" spans="5:9" ht="16.5" hidden="1">
      <c r="E33771" s="4" t="str">
        <v/>
      </c>
      <c r="F33771" s="102" t="str">
        <f ca="1">IFERROR(__xludf.DUMMYFUNCTION("IMPORTRANGE(H33771,""IDENTITAS UNIT!D9"")"),"#N/A")</f>
        <v>#N/A</v>
      </c>
      <c r="H33771" s="4" t="str">
        <v/>
      </c>
      <c r="I33771" s="4" t="str">
        <v/>
      </c>
    </row>
    <row r="33772" spans="5:9" ht="16.5" hidden="1">
      <c r="E33772" s="4" t="str">
        <v/>
      </c>
      <c r="F33772" s="102" t="str">
        <f ca="1">IFERROR(__xludf.DUMMYFUNCTION("IMPORTRANGE(H33772,""IDENTITAS UNIT!D9"")"),"#N/A")</f>
        <v>#N/A</v>
      </c>
      <c r="H33772" s="4" t="str">
        <v/>
      </c>
      <c r="I33772" s="4" t="str">
        <v/>
      </c>
    </row>
    <row r="33773" spans="5:9" ht="16.5" hidden="1">
      <c r="E33773" s="4" t="str">
        <v/>
      </c>
      <c r="F33773" s="102" t="str">
        <f ca="1">IFERROR(__xludf.DUMMYFUNCTION("IMPORTRANGE(H33773,""IDENTITAS UNIT!D9"")"),"#N/A")</f>
        <v>#N/A</v>
      </c>
      <c r="H33773" s="4" t="str">
        <v/>
      </c>
      <c r="I33773" s="4" t="str">
        <v/>
      </c>
    </row>
    <row r="33774" spans="5:9" ht="16.5" hidden="1">
      <c r="E33774" s="4" t="str">
        <v/>
      </c>
      <c r="F33774" s="102" t="str">
        <f ca="1">IFERROR(__xludf.DUMMYFUNCTION("IMPORTRANGE(H33774,""IDENTITAS UNIT!D9"")"),"#N/A")</f>
        <v>#N/A</v>
      </c>
      <c r="H33774" s="4" t="str">
        <v/>
      </c>
      <c r="I33774" s="4" t="str">
        <v/>
      </c>
    </row>
    <row r="33775" spans="5:9" ht="16.5" hidden="1">
      <c r="E33775" s="4" t="str">
        <v/>
      </c>
      <c r="F33775" s="102" t="str">
        <f ca="1">IFERROR(__xludf.DUMMYFUNCTION("IMPORTRANGE(H33775,""IDENTITAS UNIT!D9"")"),"#N/A")</f>
        <v>#N/A</v>
      </c>
      <c r="H33775" s="4" t="str">
        <v/>
      </c>
      <c r="I33775" s="4" t="str">
        <v/>
      </c>
    </row>
    <row r="33776" spans="5:9" ht="16.5" hidden="1">
      <c r="E33776" s="4" t="str">
        <v/>
      </c>
      <c r="F33776" s="102" t="str">
        <f ca="1">IFERROR(__xludf.DUMMYFUNCTION("IMPORTRANGE(H33776,""IDENTITAS UNIT!D9"")"),"#N/A")</f>
        <v>#N/A</v>
      </c>
      <c r="H33776" s="4" t="str">
        <v/>
      </c>
      <c r="I33776" s="4" t="str">
        <v/>
      </c>
    </row>
    <row r="33777" spans="5:9" ht="16.5" hidden="1">
      <c r="E33777" s="4" t="str">
        <v/>
      </c>
      <c r="F33777" s="102" t="str">
        <f ca="1">IFERROR(__xludf.DUMMYFUNCTION("IMPORTRANGE(H33777,""IDENTITAS UNIT!D9"")"),"#N/A")</f>
        <v>#N/A</v>
      </c>
      <c r="H33777" s="4" t="str">
        <v/>
      </c>
      <c r="I33777" s="4" t="str">
        <v/>
      </c>
    </row>
    <row r="33778" spans="5:9" ht="16.5" hidden="1">
      <c r="E33778" s="4" t="str">
        <v/>
      </c>
      <c r="F33778" s="102" t="str">
        <f ca="1">IFERROR(__xludf.DUMMYFUNCTION("IMPORTRANGE(H33778,""IDENTITAS UNIT!D9"")"),"#N/A")</f>
        <v>#N/A</v>
      </c>
      <c r="H33778" s="4" t="str">
        <v/>
      </c>
      <c r="I33778" s="4" t="str">
        <v/>
      </c>
    </row>
    <row r="33779" spans="5:9" ht="16.5" hidden="1">
      <c r="E33779" s="4" t="str">
        <v/>
      </c>
      <c r="F33779" s="102" t="str">
        <f ca="1">IFERROR(__xludf.DUMMYFUNCTION("IMPORTRANGE(H33779,""IDENTITAS UNIT!D9"")"),"#N/A")</f>
        <v>#N/A</v>
      </c>
      <c r="H33779" s="4" t="str">
        <v/>
      </c>
      <c r="I33779" s="4" t="str">
        <v/>
      </c>
    </row>
    <row r="33780" spans="5:9" ht="16.5" hidden="1">
      <c r="E33780" s="4" t="str">
        <v/>
      </c>
      <c r="F33780" s="102" t="str">
        <f ca="1">IFERROR(__xludf.DUMMYFUNCTION("IMPORTRANGE(H33780,""IDENTITAS UNIT!D9"")"),"#N/A")</f>
        <v>#N/A</v>
      </c>
      <c r="H33780" s="4" t="str">
        <v/>
      </c>
      <c r="I33780" s="4" t="str">
        <v/>
      </c>
    </row>
    <row r="33781" spans="5:9" ht="16.5" hidden="1">
      <c r="E33781" s="4" t="str">
        <v/>
      </c>
      <c r="F33781" s="102" t="str">
        <f ca="1">IFERROR(__xludf.DUMMYFUNCTION("IMPORTRANGE(H33781,""IDENTITAS UNIT!D9"")"),"#N/A")</f>
        <v>#N/A</v>
      </c>
      <c r="H33781" s="4" t="str">
        <v/>
      </c>
      <c r="I33781" s="4" t="str">
        <v/>
      </c>
    </row>
    <row r="33782" spans="5:9" ht="16.5" hidden="1">
      <c r="E33782" s="4" t="str">
        <v/>
      </c>
      <c r="F33782" s="102" t="str">
        <f ca="1">IFERROR(__xludf.DUMMYFUNCTION("IMPORTRANGE(H33782,""IDENTITAS UNIT!D9"")"),"#N/A")</f>
        <v>#N/A</v>
      </c>
      <c r="H33782" s="4" t="str">
        <v/>
      </c>
      <c r="I33782" s="4" t="str">
        <v/>
      </c>
    </row>
    <row r="33783" spans="5:9" ht="16.5" hidden="1">
      <c r="E33783" s="4" t="str">
        <v/>
      </c>
      <c r="F33783" s="102" t="str">
        <f ca="1">IFERROR(__xludf.DUMMYFUNCTION("IMPORTRANGE(H33783,""IDENTITAS UNIT!D9"")"),"#N/A")</f>
        <v>#N/A</v>
      </c>
      <c r="H33783" s="4" t="str">
        <v/>
      </c>
      <c r="I33783" s="4" t="str">
        <v/>
      </c>
    </row>
    <row r="33784" spans="5:9" ht="16.5" hidden="1">
      <c r="E33784" s="4" t="str">
        <v/>
      </c>
      <c r="F33784" s="102" t="str">
        <f ca="1">IFERROR(__xludf.DUMMYFUNCTION("IMPORTRANGE(H33784,""IDENTITAS UNIT!D9"")"),"#N/A")</f>
        <v>#N/A</v>
      </c>
      <c r="H33784" s="4" t="str">
        <v/>
      </c>
      <c r="I33784" s="4" t="str">
        <v/>
      </c>
    </row>
    <row r="33785" spans="5:9" ht="16.5" hidden="1">
      <c r="E33785" s="4" t="str">
        <v/>
      </c>
      <c r="F33785" s="102" t="str">
        <f ca="1">IFERROR(__xludf.DUMMYFUNCTION("IMPORTRANGE(H33785,""IDENTITAS UNIT!D9"")"),"#N/A")</f>
        <v>#N/A</v>
      </c>
      <c r="H33785" s="4" t="str">
        <v/>
      </c>
      <c r="I33785" s="4" t="str">
        <v/>
      </c>
    </row>
    <row r="33786" spans="5:9" ht="16.5" hidden="1">
      <c r="E33786" s="4" t="str">
        <v/>
      </c>
      <c r="F33786" s="102" t="str">
        <f ca="1">IFERROR(__xludf.DUMMYFUNCTION("IMPORTRANGE(H33786,""IDENTITAS UNIT!D9"")"),"#N/A")</f>
        <v>#N/A</v>
      </c>
      <c r="H33786" s="4" t="str">
        <v/>
      </c>
      <c r="I33786" s="4" t="str">
        <v/>
      </c>
    </row>
    <row r="33787" spans="5:9" ht="16.5" hidden="1">
      <c r="E33787" s="4" t="str">
        <v/>
      </c>
      <c r="F33787" s="102" t="str">
        <f ca="1">IFERROR(__xludf.DUMMYFUNCTION("IMPORTRANGE(H33787,""IDENTITAS UNIT!D9"")"),"#N/A")</f>
        <v>#N/A</v>
      </c>
      <c r="H33787" s="4" t="str">
        <v/>
      </c>
      <c r="I33787" s="4" t="str">
        <v/>
      </c>
    </row>
    <row r="33788" spans="5:9" ht="16.5" hidden="1">
      <c r="E33788" s="4" t="str">
        <v/>
      </c>
      <c r="F33788" s="102" t="str">
        <f ca="1">IFERROR(__xludf.DUMMYFUNCTION("IMPORTRANGE(H33788,""IDENTITAS UNIT!D9"")"),"#N/A")</f>
        <v>#N/A</v>
      </c>
      <c r="H33788" s="4" t="str">
        <v/>
      </c>
      <c r="I33788" s="4" t="str">
        <v/>
      </c>
    </row>
    <row r="33789" spans="5:9" ht="16.5" hidden="1">
      <c r="E33789" s="4" t="str">
        <v/>
      </c>
      <c r="F33789" s="102" t="str">
        <f ca="1">IFERROR(__xludf.DUMMYFUNCTION("IMPORTRANGE(H33789,""IDENTITAS UNIT!D9"")"),"#N/A")</f>
        <v>#N/A</v>
      </c>
      <c r="H33789" s="4" t="str">
        <v/>
      </c>
      <c r="I33789" s="4" t="str">
        <v/>
      </c>
    </row>
    <row r="33790" spans="5:9" ht="16.5" hidden="1">
      <c r="E33790" s="4" t="str">
        <v/>
      </c>
      <c r="F33790" s="102" t="str">
        <f ca="1">IFERROR(__xludf.DUMMYFUNCTION("IMPORTRANGE(H33790,""IDENTITAS UNIT!D9"")"),"#N/A")</f>
        <v>#N/A</v>
      </c>
      <c r="H33790" s="4" t="str">
        <v/>
      </c>
      <c r="I33790" s="4" t="str">
        <v/>
      </c>
    </row>
    <row r="33791" spans="5:9" ht="16.5" hidden="1">
      <c r="E33791" s="4" t="str">
        <v/>
      </c>
      <c r="F33791" s="102" t="str">
        <f ca="1">IFERROR(__xludf.DUMMYFUNCTION("IMPORTRANGE(H33791,""IDENTITAS UNIT!D9"")"),"#N/A")</f>
        <v>#N/A</v>
      </c>
      <c r="H33791" s="4" t="str">
        <v/>
      </c>
      <c r="I33791" s="4" t="str">
        <v/>
      </c>
    </row>
    <row r="33792" spans="5:9" ht="16.5" hidden="1">
      <c r="E33792" s="4" t="str">
        <v/>
      </c>
      <c r="F33792" s="102" t="str">
        <f ca="1">IFERROR(__xludf.DUMMYFUNCTION("IMPORTRANGE(H33792,""IDENTITAS UNIT!D9"")"),"#N/A")</f>
        <v>#N/A</v>
      </c>
      <c r="H33792" s="4" t="str">
        <v/>
      </c>
      <c r="I33792" s="4" t="str">
        <v/>
      </c>
    </row>
    <row r="33793" spans="5:9" ht="16.5" hidden="1">
      <c r="E33793" s="4" t="str">
        <v/>
      </c>
      <c r="F33793" s="102" t="str">
        <f ca="1">IFERROR(__xludf.DUMMYFUNCTION("IMPORTRANGE(H33793,""IDENTITAS UNIT!D9"")"),"#N/A")</f>
        <v>#N/A</v>
      </c>
      <c r="H33793" s="4" t="str">
        <v/>
      </c>
      <c r="I33793" s="4" t="str">
        <v/>
      </c>
    </row>
    <row r="33794" spans="5:9" ht="16.5" hidden="1">
      <c r="E33794" s="4" t="str">
        <v/>
      </c>
      <c r="F33794" s="102" t="str">
        <f ca="1">IFERROR(__xludf.DUMMYFUNCTION("IMPORTRANGE(H33794,""IDENTITAS UNIT!D9"")"),"#N/A")</f>
        <v>#N/A</v>
      </c>
      <c r="H33794" s="4" t="str">
        <v/>
      </c>
      <c r="I33794" s="4" t="str">
        <v/>
      </c>
    </row>
    <row r="33795" spans="5:9" ht="16.5" hidden="1">
      <c r="E33795" s="4" t="str">
        <v/>
      </c>
      <c r="F33795" s="102" t="str">
        <f ca="1">IFERROR(__xludf.DUMMYFUNCTION("IMPORTRANGE(H33795,""IDENTITAS UNIT!D9"")"),"#N/A")</f>
        <v>#N/A</v>
      </c>
      <c r="H33795" s="4" t="str">
        <v/>
      </c>
      <c r="I33795" s="4" t="str">
        <v/>
      </c>
    </row>
    <row r="33796" spans="5:9" ht="16.5" hidden="1">
      <c r="E33796" s="4" t="str">
        <v/>
      </c>
      <c r="F33796" s="102" t="str">
        <f ca="1">IFERROR(__xludf.DUMMYFUNCTION("IMPORTRANGE(H33796,""IDENTITAS UNIT!D9"")"),"#N/A")</f>
        <v>#N/A</v>
      </c>
      <c r="H33796" s="4" t="str">
        <v/>
      </c>
      <c r="I33796" s="4" t="str">
        <v/>
      </c>
    </row>
    <row r="33797" spans="5:9" ht="16.5" hidden="1">
      <c r="E33797" s="4" t="str">
        <v/>
      </c>
      <c r="F33797" s="102" t="str">
        <f ca="1">IFERROR(__xludf.DUMMYFUNCTION("IMPORTRANGE(H33797,""IDENTITAS UNIT!D9"")"),"#N/A")</f>
        <v>#N/A</v>
      </c>
      <c r="H33797" s="4" t="str">
        <v/>
      </c>
      <c r="I33797" s="4" t="str">
        <v/>
      </c>
    </row>
    <row r="33798" spans="5:9" ht="16.5" hidden="1">
      <c r="E33798" s="4" t="str">
        <v/>
      </c>
      <c r="F33798" s="102" t="str">
        <f ca="1">IFERROR(__xludf.DUMMYFUNCTION("IMPORTRANGE(H33798,""IDENTITAS UNIT!D9"")"),"#N/A")</f>
        <v>#N/A</v>
      </c>
      <c r="H33798" s="4" t="str">
        <v/>
      </c>
      <c r="I33798" s="4" t="str">
        <v/>
      </c>
    </row>
    <row r="33799" spans="5:9" ht="16.5" hidden="1">
      <c r="E33799" s="4" t="str">
        <v/>
      </c>
      <c r="F33799" s="102" t="str">
        <f ca="1">IFERROR(__xludf.DUMMYFUNCTION("IMPORTRANGE(H33799,""IDENTITAS UNIT!D9"")"),"#N/A")</f>
        <v>#N/A</v>
      </c>
      <c r="H33799" s="4" t="str">
        <v/>
      </c>
      <c r="I33799" s="4" t="str">
        <v/>
      </c>
    </row>
    <row r="33800" spans="5:9" ht="16.5" hidden="1">
      <c r="E33800" s="4" t="str">
        <v/>
      </c>
      <c r="F33800" s="102" t="str">
        <f ca="1">IFERROR(__xludf.DUMMYFUNCTION("IMPORTRANGE(H33800,""IDENTITAS UNIT!D9"")"),"#N/A")</f>
        <v>#N/A</v>
      </c>
      <c r="H33800" s="4" t="str">
        <v/>
      </c>
      <c r="I33800" s="4" t="str">
        <v/>
      </c>
    </row>
    <row r="33801" spans="5:9" ht="16.5" hidden="1">
      <c r="E33801" s="4" t="str">
        <v/>
      </c>
      <c r="F33801" s="102" t="str">
        <f ca="1">IFERROR(__xludf.DUMMYFUNCTION("IMPORTRANGE(H33801,""IDENTITAS UNIT!D9"")"),"#N/A")</f>
        <v>#N/A</v>
      </c>
      <c r="H33801" s="4" t="str">
        <v/>
      </c>
      <c r="I33801" s="4" t="str">
        <v/>
      </c>
    </row>
    <row r="33802" spans="5:9" ht="16.5" hidden="1">
      <c r="E33802" s="4" t="str">
        <v/>
      </c>
      <c r="F33802" s="102" t="str">
        <f ca="1">IFERROR(__xludf.DUMMYFUNCTION("IMPORTRANGE(H33802,""IDENTITAS UNIT!D9"")"),"#N/A")</f>
        <v>#N/A</v>
      </c>
      <c r="H33802" s="4" t="str">
        <v/>
      </c>
      <c r="I33802" s="4" t="str">
        <v/>
      </c>
    </row>
    <row r="33803" spans="5:9" ht="16.5" hidden="1">
      <c r="E33803" s="4" t="str">
        <v/>
      </c>
      <c r="F33803" s="102" t="str">
        <f ca="1">IFERROR(__xludf.DUMMYFUNCTION("IMPORTRANGE(H33803,""IDENTITAS UNIT!D9"")"),"#N/A")</f>
        <v>#N/A</v>
      </c>
      <c r="H33803" s="4" t="str">
        <v/>
      </c>
      <c r="I33803" s="4" t="str">
        <v/>
      </c>
    </row>
    <row r="33804" spans="5:9" ht="16.5" hidden="1">
      <c r="E33804" s="4" t="str">
        <v/>
      </c>
      <c r="F33804" s="102" t="str">
        <f ca="1">IFERROR(__xludf.DUMMYFUNCTION("IMPORTRANGE(H33804,""IDENTITAS UNIT!D9"")"),"#N/A")</f>
        <v>#N/A</v>
      </c>
      <c r="H33804" s="4" t="str">
        <v/>
      </c>
      <c r="I33804" s="4" t="str">
        <v/>
      </c>
    </row>
    <row r="33805" spans="5:9" ht="16.5" hidden="1">
      <c r="E33805" s="4" t="str">
        <v/>
      </c>
      <c r="F33805" s="102" t="str">
        <f ca="1">IFERROR(__xludf.DUMMYFUNCTION("IMPORTRANGE(H33805,""IDENTITAS UNIT!D9"")"),"#N/A")</f>
        <v>#N/A</v>
      </c>
      <c r="H33805" s="4" t="str">
        <v/>
      </c>
      <c r="I33805" s="4" t="str">
        <v/>
      </c>
    </row>
    <row r="33806" spans="5:9" ht="16.5" hidden="1">
      <c r="E33806" s="4" t="str">
        <v/>
      </c>
      <c r="F33806" s="102" t="str">
        <f ca="1">IFERROR(__xludf.DUMMYFUNCTION("IMPORTRANGE(H33806,""IDENTITAS UNIT!D9"")"),"#N/A")</f>
        <v>#N/A</v>
      </c>
      <c r="H33806" s="4" t="str">
        <v/>
      </c>
      <c r="I33806" s="4" t="str">
        <v/>
      </c>
    </row>
    <row r="33807" spans="5:9" ht="16.5" hidden="1">
      <c r="E33807" s="4" t="str">
        <v/>
      </c>
      <c r="F33807" s="102" t="str">
        <f ca="1">IFERROR(__xludf.DUMMYFUNCTION("IMPORTRANGE(H33807,""IDENTITAS UNIT!D9"")"),"#N/A")</f>
        <v>#N/A</v>
      </c>
      <c r="H33807" s="4" t="str">
        <v/>
      </c>
      <c r="I33807" s="4" t="str">
        <v/>
      </c>
    </row>
    <row r="33808" spans="5:9" ht="16.5" hidden="1">
      <c r="E33808" s="4" t="str">
        <v/>
      </c>
      <c r="F33808" s="102" t="str">
        <f ca="1">IFERROR(__xludf.DUMMYFUNCTION("IMPORTRANGE(H33808,""IDENTITAS UNIT!D9"")"),"#N/A")</f>
        <v>#N/A</v>
      </c>
      <c r="H33808" s="4" t="str">
        <v/>
      </c>
      <c r="I33808" s="4" t="str">
        <v/>
      </c>
    </row>
    <row r="33809" spans="5:9" ht="16.5" hidden="1">
      <c r="E33809" s="4" t="str">
        <v/>
      </c>
      <c r="F33809" s="102" t="str">
        <f ca="1">IFERROR(__xludf.DUMMYFUNCTION("IMPORTRANGE(H33809,""IDENTITAS UNIT!D9"")"),"#N/A")</f>
        <v>#N/A</v>
      </c>
      <c r="H33809" s="4" t="str">
        <v/>
      </c>
      <c r="I33809" s="4" t="str">
        <v/>
      </c>
    </row>
    <row r="33810" spans="5:9" ht="16.5" hidden="1">
      <c r="E33810" s="4" t="str">
        <v/>
      </c>
      <c r="F33810" s="102" t="str">
        <f ca="1">IFERROR(__xludf.DUMMYFUNCTION("IMPORTRANGE(H33810,""IDENTITAS UNIT!D9"")"),"#N/A")</f>
        <v>#N/A</v>
      </c>
      <c r="H33810" s="4" t="str">
        <v/>
      </c>
      <c r="I33810" s="4" t="str">
        <v/>
      </c>
    </row>
    <row r="33811" spans="5:9" ht="16.5" hidden="1">
      <c r="E33811" s="4" t="str">
        <v/>
      </c>
      <c r="F33811" s="102" t="str">
        <f ca="1">IFERROR(__xludf.DUMMYFUNCTION("IMPORTRANGE(H33811,""IDENTITAS UNIT!D9"")"),"#N/A")</f>
        <v>#N/A</v>
      </c>
      <c r="H33811" s="4" t="str">
        <v/>
      </c>
      <c r="I33811" s="4" t="str">
        <v/>
      </c>
    </row>
    <row r="33812" spans="5:9" ht="16.5" hidden="1">
      <c r="E33812" s="4" t="str">
        <v/>
      </c>
      <c r="F33812" s="102" t="str">
        <f ca="1">IFERROR(__xludf.DUMMYFUNCTION("IMPORTRANGE(H33812,""IDENTITAS UNIT!D9"")"),"#N/A")</f>
        <v>#N/A</v>
      </c>
      <c r="H33812" s="4" t="str">
        <v/>
      </c>
      <c r="I33812" s="4" t="str">
        <v/>
      </c>
    </row>
    <row r="33813" spans="5:9" ht="16.5" hidden="1">
      <c r="E33813" s="4" t="str">
        <v/>
      </c>
      <c r="F33813" s="102" t="str">
        <f ca="1">IFERROR(__xludf.DUMMYFUNCTION("IMPORTRANGE(H33813,""IDENTITAS UNIT!D9"")"),"#N/A")</f>
        <v>#N/A</v>
      </c>
      <c r="H33813" s="4" t="str">
        <v/>
      </c>
      <c r="I33813" s="4" t="str">
        <v/>
      </c>
    </row>
    <row r="33814" spans="5:9" ht="16.5" hidden="1">
      <c r="E33814" s="4" t="str">
        <v/>
      </c>
      <c r="F33814" s="102" t="str">
        <f ca="1">IFERROR(__xludf.DUMMYFUNCTION("IMPORTRANGE(H33814,""IDENTITAS UNIT!D9"")"),"#N/A")</f>
        <v>#N/A</v>
      </c>
      <c r="H33814" s="4" t="str">
        <v/>
      </c>
      <c r="I33814" s="4" t="str">
        <v/>
      </c>
    </row>
    <row r="33815" spans="5:9" ht="16.5" hidden="1">
      <c r="E33815" s="4" t="str">
        <v/>
      </c>
      <c r="F33815" s="102" t="str">
        <f ca="1">IFERROR(__xludf.DUMMYFUNCTION("IMPORTRANGE(H33815,""IDENTITAS UNIT!D9"")"),"#N/A")</f>
        <v>#N/A</v>
      </c>
      <c r="H33815" s="4" t="str">
        <v/>
      </c>
      <c r="I33815" s="4" t="str">
        <v/>
      </c>
    </row>
    <row r="33816" spans="5:9" ht="16.5" hidden="1">
      <c r="E33816" s="4" t="str">
        <v/>
      </c>
      <c r="F33816" s="102" t="str">
        <f ca="1">IFERROR(__xludf.DUMMYFUNCTION("IMPORTRANGE(H33816,""IDENTITAS UNIT!D9"")"),"#N/A")</f>
        <v>#N/A</v>
      </c>
      <c r="H33816" s="4" t="str">
        <v/>
      </c>
      <c r="I33816" s="4" t="str">
        <v/>
      </c>
    </row>
    <row r="33817" spans="5:9" ht="16.5" hidden="1">
      <c r="E33817" s="4" t="str">
        <v/>
      </c>
      <c r="F33817" s="102" t="str">
        <f ca="1">IFERROR(__xludf.DUMMYFUNCTION("IMPORTRANGE(H33817,""IDENTITAS UNIT!D9"")"),"#N/A")</f>
        <v>#N/A</v>
      </c>
      <c r="H33817" s="4" t="str">
        <v/>
      </c>
      <c r="I33817" s="4" t="str">
        <v/>
      </c>
    </row>
    <row r="33818" spans="5:9" ht="16.5" hidden="1">
      <c r="E33818" s="4" t="str">
        <v/>
      </c>
      <c r="F33818" s="102" t="str">
        <f ca="1">IFERROR(__xludf.DUMMYFUNCTION("IMPORTRANGE(H33818,""IDENTITAS UNIT!D9"")"),"#N/A")</f>
        <v>#N/A</v>
      </c>
      <c r="H33818" s="4" t="str">
        <v/>
      </c>
      <c r="I33818" s="4" t="str">
        <v/>
      </c>
    </row>
    <row r="33819" spans="5:9" ht="16.5" hidden="1">
      <c r="E33819" s="4" t="str">
        <v/>
      </c>
      <c r="F33819" s="102" t="str">
        <f ca="1">IFERROR(__xludf.DUMMYFUNCTION("IMPORTRANGE(H33819,""IDENTITAS UNIT!D9"")"),"#N/A")</f>
        <v>#N/A</v>
      </c>
      <c r="H33819" s="4" t="str">
        <v/>
      </c>
      <c r="I33819" s="4" t="str">
        <v/>
      </c>
    </row>
    <row r="33820" spans="5:9" ht="16.5" hidden="1">
      <c r="E33820" s="4" t="str">
        <v/>
      </c>
      <c r="F33820" s="102" t="str">
        <f ca="1">IFERROR(__xludf.DUMMYFUNCTION("IMPORTRANGE(H33820,""IDENTITAS UNIT!D9"")"),"#N/A")</f>
        <v>#N/A</v>
      </c>
      <c r="H33820" s="4" t="str">
        <v/>
      </c>
      <c r="I33820" s="4" t="str">
        <v/>
      </c>
    </row>
    <row r="33821" spans="5:9" ht="16.5" hidden="1">
      <c r="E33821" s="4" t="str">
        <v/>
      </c>
      <c r="F33821" s="102" t="str">
        <f ca="1">IFERROR(__xludf.DUMMYFUNCTION("IMPORTRANGE(H33821,""IDENTITAS UNIT!D9"")"),"#N/A")</f>
        <v>#N/A</v>
      </c>
      <c r="H33821" s="4" t="str">
        <v/>
      </c>
      <c r="I33821" s="4" t="str">
        <v/>
      </c>
    </row>
    <row r="33822" spans="5:9" ht="16.5" hidden="1">
      <c r="E33822" s="4" t="str">
        <v/>
      </c>
      <c r="F33822" s="102" t="str">
        <f ca="1">IFERROR(__xludf.DUMMYFUNCTION("IMPORTRANGE(H33822,""IDENTITAS UNIT!D9"")"),"#N/A")</f>
        <v>#N/A</v>
      </c>
      <c r="H33822" s="4" t="str">
        <v/>
      </c>
      <c r="I33822" s="4" t="str">
        <v/>
      </c>
    </row>
    <row r="33823" spans="5:9" ht="16.5" hidden="1">
      <c r="E33823" s="4" t="str">
        <v/>
      </c>
      <c r="F33823" s="102" t="str">
        <f ca="1">IFERROR(__xludf.DUMMYFUNCTION("IMPORTRANGE(H33823,""IDENTITAS UNIT!D9"")"),"#N/A")</f>
        <v>#N/A</v>
      </c>
      <c r="H33823" s="4" t="str">
        <v/>
      </c>
      <c r="I33823" s="4" t="str">
        <v/>
      </c>
    </row>
    <row r="33824" spans="5:9" ht="16.5" hidden="1">
      <c r="E33824" s="4" t="str">
        <v/>
      </c>
      <c r="F33824" s="102" t="str">
        <f ca="1">IFERROR(__xludf.DUMMYFUNCTION("IMPORTRANGE(H33824,""IDENTITAS UNIT!D9"")"),"#N/A")</f>
        <v>#N/A</v>
      </c>
      <c r="H33824" s="4" t="str">
        <v/>
      </c>
      <c r="I33824" s="4" t="str">
        <v/>
      </c>
    </row>
    <row r="33825" spans="5:9" ht="16.5" hidden="1">
      <c r="E33825" s="4" t="str">
        <v/>
      </c>
      <c r="F33825" s="102" t="str">
        <f ca="1">IFERROR(__xludf.DUMMYFUNCTION("IMPORTRANGE(H33825,""IDENTITAS UNIT!D9"")"),"#N/A")</f>
        <v>#N/A</v>
      </c>
      <c r="H33825" s="4" t="str">
        <v/>
      </c>
      <c r="I33825" s="4" t="str">
        <v/>
      </c>
    </row>
    <row r="33826" spans="5:9" ht="16.5" hidden="1">
      <c r="E33826" s="4" t="str">
        <v/>
      </c>
      <c r="F33826" s="102" t="str">
        <f ca="1">IFERROR(__xludf.DUMMYFUNCTION("IMPORTRANGE(H33826,""IDENTITAS UNIT!D9"")"),"#N/A")</f>
        <v>#N/A</v>
      </c>
      <c r="H33826" s="4" t="str">
        <v/>
      </c>
      <c r="I33826" s="4" t="str">
        <v/>
      </c>
    </row>
    <row r="33827" spans="5:9" ht="16.5" hidden="1">
      <c r="E33827" s="4" t="str">
        <v/>
      </c>
      <c r="F33827" s="102" t="str">
        <f ca="1">IFERROR(__xludf.DUMMYFUNCTION("IMPORTRANGE(H33827,""IDENTITAS UNIT!D9"")"),"#N/A")</f>
        <v>#N/A</v>
      </c>
      <c r="H33827" s="4" t="str">
        <v/>
      </c>
      <c r="I33827" s="4" t="str">
        <v/>
      </c>
    </row>
    <row r="33828" spans="5:9" ht="16.5" hidden="1">
      <c r="E33828" s="4" t="str">
        <v/>
      </c>
      <c r="F33828" s="102" t="str">
        <f ca="1">IFERROR(__xludf.DUMMYFUNCTION("IMPORTRANGE(H33828,""IDENTITAS UNIT!D9"")"),"#N/A")</f>
        <v>#N/A</v>
      </c>
      <c r="H33828" s="4" t="str">
        <v/>
      </c>
      <c r="I33828" s="4" t="str">
        <v/>
      </c>
    </row>
    <row r="33829" spans="5:9" ht="16.5" hidden="1">
      <c r="E33829" s="4" t="str">
        <v/>
      </c>
      <c r="F33829" s="102" t="str">
        <f ca="1">IFERROR(__xludf.DUMMYFUNCTION("IMPORTRANGE(H33829,""IDENTITAS UNIT!D9"")"),"#N/A")</f>
        <v>#N/A</v>
      </c>
      <c r="H33829" s="4" t="str">
        <v/>
      </c>
      <c r="I33829" s="4" t="str">
        <v/>
      </c>
    </row>
    <row r="33830" spans="5:9" ht="16.5" hidden="1">
      <c r="E33830" s="4" t="str">
        <v/>
      </c>
      <c r="F33830" s="102" t="str">
        <f ca="1">IFERROR(__xludf.DUMMYFUNCTION("IMPORTRANGE(H33830,""IDENTITAS UNIT!D9"")"),"#N/A")</f>
        <v>#N/A</v>
      </c>
      <c r="H33830" s="4" t="str">
        <v/>
      </c>
      <c r="I33830" s="4" t="str">
        <v/>
      </c>
    </row>
    <row r="33831" spans="5:9" ht="16.5" hidden="1">
      <c r="E33831" s="4" t="str">
        <v/>
      </c>
      <c r="F33831" s="102" t="str">
        <f ca="1">IFERROR(__xludf.DUMMYFUNCTION("IMPORTRANGE(H33831,""IDENTITAS UNIT!D9"")"),"#N/A")</f>
        <v>#N/A</v>
      </c>
      <c r="H33831" s="4" t="str">
        <v/>
      </c>
      <c r="I33831" s="4" t="str">
        <v/>
      </c>
    </row>
    <row r="33832" spans="5:9" ht="16.5" hidden="1">
      <c r="E33832" s="4" t="str">
        <v/>
      </c>
      <c r="F33832" s="102" t="str">
        <f ca="1">IFERROR(__xludf.DUMMYFUNCTION("IMPORTRANGE(H33832,""IDENTITAS UNIT!D9"")"),"#N/A")</f>
        <v>#N/A</v>
      </c>
      <c r="H33832" s="4" t="str">
        <v/>
      </c>
      <c r="I33832" s="4" t="str">
        <v/>
      </c>
    </row>
    <row r="33833" spans="5:9" ht="16.5" hidden="1">
      <c r="E33833" s="4" t="str">
        <v/>
      </c>
      <c r="F33833" s="102" t="str">
        <f ca="1">IFERROR(__xludf.DUMMYFUNCTION("IMPORTRANGE(H33833,""IDENTITAS UNIT!D9"")"),"#N/A")</f>
        <v>#N/A</v>
      </c>
      <c r="H33833" s="4" t="str">
        <v/>
      </c>
      <c r="I33833" s="4" t="str">
        <v/>
      </c>
    </row>
    <row r="33834" spans="5:9" ht="16.5" hidden="1">
      <c r="E33834" s="4" t="str">
        <v/>
      </c>
      <c r="F33834" s="102" t="str">
        <f ca="1">IFERROR(__xludf.DUMMYFUNCTION("IMPORTRANGE(H33834,""IDENTITAS UNIT!D9"")"),"#N/A")</f>
        <v>#N/A</v>
      </c>
      <c r="H33834" s="4" t="str">
        <v/>
      </c>
      <c r="I33834" s="4" t="str">
        <v/>
      </c>
    </row>
    <row r="33835" spans="5:9" ht="16.5" hidden="1">
      <c r="E33835" s="4" t="str">
        <v/>
      </c>
      <c r="F33835" s="102" t="str">
        <f ca="1">IFERROR(__xludf.DUMMYFUNCTION("IMPORTRANGE(H33835,""IDENTITAS UNIT!D9"")"),"#N/A")</f>
        <v>#N/A</v>
      </c>
      <c r="H33835" s="4" t="str">
        <v/>
      </c>
      <c r="I33835" s="4" t="str">
        <v/>
      </c>
    </row>
    <row r="33836" spans="5:9" ht="16.5" hidden="1">
      <c r="E33836" s="4" t="str">
        <v/>
      </c>
      <c r="F33836" s="102" t="str">
        <f ca="1">IFERROR(__xludf.DUMMYFUNCTION("IMPORTRANGE(H33836,""IDENTITAS UNIT!D9"")"),"#N/A")</f>
        <v>#N/A</v>
      </c>
      <c r="H33836" s="4" t="str">
        <v/>
      </c>
      <c r="I33836" s="4" t="str">
        <v/>
      </c>
    </row>
    <row r="33837" spans="5:9" ht="16.5" hidden="1">
      <c r="E33837" s="4" t="str">
        <v/>
      </c>
      <c r="F33837" s="102" t="str">
        <f ca="1">IFERROR(__xludf.DUMMYFUNCTION("IMPORTRANGE(H33837,""IDENTITAS UNIT!D9"")"),"#N/A")</f>
        <v>#N/A</v>
      </c>
      <c r="H33837" s="4" t="str">
        <v/>
      </c>
      <c r="I33837" s="4" t="str">
        <v/>
      </c>
    </row>
    <row r="33838" spans="5:9" ht="16.5" hidden="1">
      <c r="E33838" s="4" t="str">
        <v/>
      </c>
      <c r="F33838" s="102" t="str">
        <f ca="1">IFERROR(__xludf.DUMMYFUNCTION("IMPORTRANGE(H33838,""IDENTITAS UNIT!D9"")"),"#N/A")</f>
        <v>#N/A</v>
      </c>
      <c r="H33838" s="4" t="str">
        <v/>
      </c>
      <c r="I33838" s="4" t="str">
        <v/>
      </c>
    </row>
    <row r="33839" spans="5:9" ht="16.5" hidden="1">
      <c r="E33839" s="4" t="str">
        <v/>
      </c>
      <c r="F33839" s="102" t="str">
        <f ca="1">IFERROR(__xludf.DUMMYFUNCTION("IMPORTRANGE(H33839,""IDENTITAS UNIT!D9"")"),"#N/A")</f>
        <v>#N/A</v>
      </c>
      <c r="H33839" s="4" t="str">
        <v/>
      </c>
      <c r="I33839" s="4" t="str">
        <v/>
      </c>
    </row>
    <row r="33840" spans="5:9" ht="16.5" hidden="1">
      <c r="E33840" s="4" t="str">
        <v/>
      </c>
      <c r="F33840" s="102" t="str">
        <f ca="1">IFERROR(__xludf.DUMMYFUNCTION("IMPORTRANGE(H33840,""IDENTITAS UNIT!D9"")"),"#N/A")</f>
        <v>#N/A</v>
      </c>
      <c r="H33840" s="4" t="str">
        <v/>
      </c>
      <c r="I33840" s="4" t="str">
        <v/>
      </c>
    </row>
    <row r="33841" spans="5:9" ht="16.5" hidden="1">
      <c r="E33841" s="4" t="str">
        <v/>
      </c>
      <c r="F33841" s="102" t="str">
        <f ca="1">IFERROR(__xludf.DUMMYFUNCTION("IMPORTRANGE(H33841,""IDENTITAS UNIT!D9"")"),"#N/A")</f>
        <v>#N/A</v>
      </c>
      <c r="H33841" s="4" t="str">
        <v/>
      </c>
      <c r="I33841" s="4" t="str">
        <v/>
      </c>
    </row>
    <row r="33842" spans="5:9" ht="16.5" hidden="1">
      <c r="E33842" s="4" t="str">
        <v/>
      </c>
      <c r="F33842" s="102" t="str">
        <f ca="1">IFERROR(__xludf.DUMMYFUNCTION("IMPORTRANGE(H33842,""IDENTITAS UNIT!D9"")"),"#N/A")</f>
        <v>#N/A</v>
      </c>
      <c r="H33842" s="4" t="str">
        <v/>
      </c>
      <c r="I33842" s="4" t="str">
        <v/>
      </c>
    </row>
    <row r="33843" spans="5:9" ht="16.5" hidden="1">
      <c r="E33843" s="4" t="str">
        <v/>
      </c>
      <c r="F33843" s="102" t="str">
        <f ca="1">IFERROR(__xludf.DUMMYFUNCTION("IMPORTRANGE(H33843,""IDENTITAS UNIT!D9"")"),"#N/A")</f>
        <v>#N/A</v>
      </c>
      <c r="H33843" s="4" t="str">
        <v/>
      </c>
      <c r="I33843" s="4" t="str">
        <v/>
      </c>
    </row>
    <row r="33844" spans="5:9" ht="16.5" hidden="1">
      <c r="E33844" s="4" t="str">
        <v/>
      </c>
      <c r="F33844" s="102" t="str">
        <f ca="1">IFERROR(__xludf.DUMMYFUNCTION("IMPORTRANGE(H33844,""IDENTITAS UNIT!D9"")"),"#N/A")</f>
        <v>#N/A</v>
      </c>
      <c r="H33844" s="4" t="str">
        <v/>
      </c>
      <c r="I33844" s="4" t="str">
        <v/>
      </c>
    </row>
    <row r="33845" spans="5:9" ht="16.5" hidden="1">
      <c r="E33845" s="4" t="str">
        <v/>
      </c>
      <c r="F33845" s="102" t="str">
        <f ca="1">IFERROR(__xludf.DUMMYFUNCTION("IMPORTRANGE(H33845,""IDENTITAS UNIT!D9"")"),"#N/A")</f>
        <v>#N/A</v>
      </c>
      <c r="H33845" s="4" t="str">
        <v/>
      </c>
      <c r="I33845" s="4" t="str">
        <v/>
      </c>
    </row>
    <row r="33846" spans="5:9" ht="16.5" hidden="1">
      <c r="E33846" s="4" t="str">
        <v/>
      </c>
      <c r="F33846" s="102" t="str">
        <f ca="1">IFERROR(__xludf.DUMMYFUNCTION("IMPORTRANGE(H33846,""IDENTITAS UNIT!D9"")"),"#N/A")</f>
        <v>#N/A</v>
      </c>
      <c r="H33846" s="4" t="str">
        <v/>
      </c>
      <c r="I33846" s="4" t="str">
        <v/>
      </c>
    </row>
    <row r="33847" spans="5:9" ht="16.5" hidden="1">
      <c r="E33847" s="4" t="str">
        <v/>
      </c>
      <c r="F33847" s="102" t="str">
        <f ca="1">IFERROR(__xludf.DUMMYFUNCTION("IMPORTRANGE(H33847,""IDENTITAS UNIT!D9"")"),"#N/A")</f>
        <v>#N/A</v>
      </c>
      <c r="H33847" s="4" t="str">
        <v/>
      </c>
      <c r="I33847" s="4" t="str">
        <v/>
      </c>
    </row>
    <row r="33848" spans="5:9" ht="16.5" hidden="1">
      <c r="E33848" s="4" t="str">
        <v/>
      </c>
      <c r="F33848" s="102" t="str">
        <f ca="1">IFERROR(__xludf.DUMMYFUNCTION("IMPORTRANGE(H33848,""IDENTITAS UNIT!D9"")"),"#N/A")</f>
        <v>#N/A</v>
      </c>
      <c r="H33848" s="4" t="str">
        <v/>
      </c>
      <c r="I33848" s="4" t="str">
        <v/>
      </c>
    </row>
    <row r="33849" spans="5:9" ht="16.5" hidden="1">
      <c r="E33849" s="4" t="str">
        <v/>
      </c>
      <c r="F33849" s="102" t="str">
        <f ca="1">IFERROR(__xludf.DUMMYFUNCTION("IMPORTRANGE(H33849,""IDENTITAS UNIT!D9"")"),"#N/A")</f>
        <v>#N/A</v>
      </c>
      <c r="H33849" s="4" t="str">
        <v/>
      </c>
      <c r="I33849" s="4" t="str">
        <v/>
      </c>
    </row>
    <row r="33850" spans="5:9" ht="16.5" hidden="1">
      <c r="E33850" s="4" t="str">
        <v/>
      </c>
      <c r="F33850" s="102" t="str">
        <f ca="1">IFERROR(__xludf.DUMMYFUNCTION("IMPORTRANGE(H33850,""IDENTITAS UNIT!D9"")"),"#N/A")</f>
        <v>#N/A</v>
      </c>
      <c r="H33850" s="4" t="str">
        <v/>
      </c>
      <c r="I33850" s="4" t="str">
        <v/>
      </c>
    </row>
    <row r="33851" spans="5:9" ht="16.5" hidden="1">
      <c r="E33851" s="4" t="str">
        <v/>
      </c>
      <c r="F33851" s="102" t="str">
        <f ca="1">IFERROR(__xludf.DUMMYFUNCTION("IMPORTRANGE(H33851,""IDENTITAS UNIT!D9"")"),"#N/A")</f>
        <v>#N/A</v>
      </c>
      <c r="H33851" s="4" t="str">
        <v/>
      </c>
      <c r="I33851" s="4" t="str">
        <v/>
      </c>
    </row>
    <row r="33852" spans="5:9" ht="16.5" hidden="1">
      <c r="E33852" s="4" t="str">
        <v/>
      </c>
      <c r="F33852" s="102" t="str">
        <f ca="1">IFERROR(__xludf.DUMMYFUNCTION("IMPORTRANGE(H33852,""IDENTITAS UNIT!D9"")"),"#N/A")</f>
        <v>#N/A</v>
      </c>
      <c r="H33852" s="4" t="str">
        <v/>
      </c>
      <c r="I33852" s="4" t="str">
        <v/>
      </c>
    </row>
    <row r="33853" spans="5:9" ht="16.5" hidden="1">
      <c r="E33853" s="4" t="str">
        <v/>
      </c>
      <c r="F33853" s="102" t="str">
        <f ca="1">IFERROR(__xludf.DUMMYFUNCTION("IMPORTRANGE(H33853,""IDENTITAS UNIT!D9"")"),"#N/A")</f>
        <v>#N/A</v>
      </c>
      <c r="H33853" s="4" t="str">
        <v/>
      </c>
      <c r="I33853" s="4" t="str">
        <v/>
      </c>
    </row>
    <row r="33854" spans="5:9" ht="16.5" hidden="1">
      <c r="E33854" s="4" t="str">
        <v/>
      </c>
      <c r="F33854" s="102" t="str">
        <f ca="1">IFERROR(__xludf.DUMMYFUNCTION("IMPORTRANGE(H33854,""IDENTITAS UNIT!D9"")"),"#N/A")</f>
        <v>#N/A</v>
      </c>
      <c r="H33854" s="4" t="str">
        <v/>
      </c>
      <c r="I33854" s="4" t="str">
        <v/>
      </c>
    </row>
    <row r="33855" spans="5:9" ht="16.5" hidden="1">
      <c r="E33855" s="4" t="str">
        <v/>
      </c>
      <c r="F33855" s="102" t="str">
        <f ca="1">IFERROR(__xludf.DUMMYFUNCTION("IMPORTRANGE(H33855,""IDENTITAS UNIT!D9"")"),"#N/A")</f>
        <v>#N/A</v>
      </c>
      <c r="H33855" s="4" t="str">
        <v/>
      </c>
      <c r="I33855" s="4" t="str">
        <v/>
      </c>
    </row>
    <row r="33856" spans="5:9" ht="16.5" hidden="1">
      <c r="E33856" s="4" t="str">
        <v/>
      </c>
      <c r="F33856" s="102" t="str">
        <f ca="1">IFERROR(__xludf.DUMMYFUNCTION("IMPORTRANGE(H33856,""IDENTITAS UNIT!D9"")"),"#N/A")</f>
        <v>#N/A</v>
      </c>
      <c r="H33856" s="4" t="str">
        <v/>
      </c>
      <c r="I33856" s="4" t="str">
        <v/>
      </c>
    </row>
    <row r="33857" spans="5:9" ht="16.5" hidden="1">
      <c r="E33857" s="4" t="str">
        <v/>
      </c>
      <c r="F33857" s="102" t="str">
        <f ca="1">IFERROR(__xludf.DUMMYFUNCTION("IMPORTRANGE(H33857,""IDENTITAS UNIT!D9"")"),"#N/A")</f>
        <v>#N/A</v>
      </c>
      <c r="H33857" s="4" t="str">
        <v/>
      </c>
      <c r="I33857" s="4" t="str">
        <v/>
      </c>
    </row>
    <row r="33858" spans="5:9" ht="16.5" hidden="1">
      <c r="E33858" s="4" t="str">
        <v/>
      </c>
      <c r="F33858" s="102" t="str">
        <f ca="1">IFERROR(__xludf.DUMMYFUNCTION("IMPORTRANGE(H33858,""IDENTITAS UNIT!D9"")"),"#N/A")</f>
        <v>#N/A</v>
      </c>
      <c r="H33858" s="4" t="str">
        <v/>
      </c>
      <c r="I33858" s="4" t="str">
        <v/>
      </c>
    </row>
    <row r="33859" spans="5:9" ht="16.5" hidden="1">
      <c r="E33859" s="4" t="str">
        <v/>
      </c>
      <c r="F33859" s="102" t="str">
        <f ca="1">IFERROR(__xludf.DUMMYFUNCTION("IMPORTRANGE(H33859,""IDENTITAS UNIT!D9"")"),"#N/A")</f>
        <v>#N/A</v>
      </c>
      <c r="H33859" s="4" t="str">
        <v/>
      </c>
      <c r="I33859" s="4" t="str">
        <v/>
      </c>
    </row>
    <row r="33860" spans="5:9" ht="16.5" hidden="1">
      <c r="E33860" s="4" t="str">
        <v/>
      </c>
      <c r="F33860" s="102" t="str">
        <f ca="1">IFERROR(__xludf.DUMMYFUNCTION("IMPORTRANGE(H33860,""IDENTITAS UNIT!D9"")"),"#N/A")</f>
        <v>#N/A</v>
      </c>
      <c r="H33860" s="4" t="str">
        <v/>
      </c>
      <c r="I33860" s="4" t="str">
        <v/>
      </c>
    </row>
    <row r="33861" spans="5:9" ht="16.5" hidden="1">
      <c r="E33861" s="4" t="str">
        <v/>
      </c>
      <c r="F33861" s="102" t="str">
        <f ca="1">IFERROR(__xludf.DUMMYFUNCTION("IMPORTRANGE(H33861,""IDENTITAS UNIT!D9"")"),"#N/A")</f>
        <v>#N/A</v>
      </c>
      <c r="H33861" s="4" t="str">
        <v/>
      </c>
      <c r="I33861" s="4" t="str">
        <v/>
      </c>
    </row>
    <row r="33862" spans="5:9" ht="16.5" hidden="1">
      <c r="E33862" s="4" t="str">
        <v/>
      </c>
      <c r="F33862" s="102" t="str">
        <f ca="1">IFERROR(__xludf.DUMMYFUNCTION("IMPORTRANGE(H33862,""IDENTITAS UNIT!D9"")"),"#N/A")</f>
        <v>#N/A</v>
      </c>
      <c r="H33862" s="4" t="str">
        <v/>
      </c>
      <c r="I33862" s="4" t="str">
        <v/>
      </c>
    </row>
    <row r="33863" spans="5:9" ht="16.5" hidden="1">
      <c r="E33863" s="4" t="str">
        <v/>
      </c>
      <c r="F33863" s="102" t="str">
        <f ca="1">IFERROR(__xludf.DUMMYFUNCTION("IMPORTRANGE(H33863,""IDENTITAS UNIT!D9"")"),"#N/A")</f>
        <v>#N/A</v>
      </c>
      <c r="H33863" s="4" t="str">
        <v/>
      </c>
      <c r="I33863" s="4" t="str">
        <v/>
      </c>
    </row>
    <row r="33864" spans="5:9" ht="16.5" hidden="1">
      <c r="E33864" s="4" t="str">
        <v/>
      </c>
      <c r="F33864" s="102" t="str">
        <f ca="1">IFERROR(__xludf.DUMMYFUNCTION("IMPORTRANGE(H33864,""IDENTITAS UNIT!D9"")"),"#N/A")</f>
        <v>#N/A</v>
      </c>
      <c r="H33864" s="4" t="str">
        <v/>
      </c>
      <c r="I33864" s="4" t="str">
        <v/>
      </c>
    </row>
    <row r="33865" spans="5:9" ht="16.5" hidden="1">
      <c r="E33865" s="4" t="str">
        <v/>
      </c>
      <c r="F33865" s="102" t="str">
        <f ca="1">IFERROR(__xludf.DUMMYFUNCTION("IMPORTRANGE(H33865,""IDENTITAS UNIT!D9"")"),"#N/A")</f>
        <v>#N/A</v>
      </c>
      <c r="H33865" s="4" t="str">
        <v/>
      </c>
      <c r="I33865" s="4" t="str">
        <v/>
      </c>
    </row>
    <row r="33866" spans="5:9" ht="16.5" hidden="1">
      <c r="E33866" s="4" t="str">
        <v/>
      </c>
      <c r="F33866" s="102" t="str">
        <f ca="1">IFERROR(__xludf.DUMMYFUNCTION("IMPORTRANGE(H33866,""IDENTITAS UNIT!D9"")"),"#N/A")</f>
        <v>#N/A</v>
      </c>
      <c r="H33866" s="4" t="str">
        <v/>
      </c>
      <c r="I33866" s="4" t="str">
        <v/>
      </c>
    </row>
    <row r="33867" spans="5:9" ht="16.5" hidden="1">
      <c r="E33867" s="4" t="str">
        <v/>
      </c>
      <c r="F33867" s="102" t="str">
        <f ca="1">IFERROR(__xludf.DUMMYFUNCTION("IMPORTRANGE(H33867,""IDENTITAS UNIT!D9"")"),"#N/A")</f>
        <v>#N/A</v>
      </c>
      <c r="H33867" s="4" t="str">
        <v/>
      </c>
      <c r="I33867" s="4" t="str">
        <v/>
      </c>
    </row>
    <row r="33868" spans="5:9" ht="16.5" hidden="1">
      <c r="E33868" s="4" t="str">
        <v/>
      </c>
      <c r="F33868" s="102" t="str">
        <f ca="1">IFERROR(__xludf.DUMMYFUNCTION("IMPORTRANGE(H33868,""IDENTITAS UNIT!D9"")"),"#N/A")</f>
        <v>#N/A</v>
      </c>
      <c r="H33868" s="4" t="str">
        <v/>
      </c>
      <c r="I33868" s="4" t="str">
        <v/>
      </c>
    </row>
    <row r="33869" spans="5:9" ht="16.5" hidden="1">
      <c r="E33869" s="4" t="str">
        <v/>
      </c>
      <c r="F33869" s="102" t="str">
        <f ca="1">IFERROR(__xludf.DUMMYFUNCTION("IMPORTRANGE(H33869,""IDENTITAS UNIT!D9"")"),"#N/A")</f>
        <v>#N/A</v>
      </c>
      <c r="H33869" s="4" t="str">
        <v/>
      </c>
      <c r="I33869" s="4" t="str">
        <v/>
      </c>
    </row>
    <row r="33870" spans="5:9" ht="16.5" hidden="1">
      <c r="E33870" s="4" t="str">
        <v/>
      </c>
      <c r="F33870" s="102" t="str">
        <f ca="1">IFERROR(__xludf.DUMMYFUNCTION("IMPORTRANGE(H33870,""IDENTITAS UNIT!D9"")"),"#N/A")</f>
        <v>#N/A</v>
      </c>
      <c r="H33870" s="4" t="str">
        <v/>
      </c>
      <c r="I33870" s="4" t="str">
        <v/>
      </c>
    </row>
    <row r="33871" spans="5:9" ht="16.5" hidden="1">
      <c r="E33871" s="4" t="str">
        <v/>
      </c>
      <c r="F33871" s="102" t="str">
        <f ca="1">IFERROR(__xludf.DUMMYFUNCTION("IMPORTRANGE(H33871,""IDENTITAS UNIT!D9"")"),"#N/A")</f>
        <v>#N/A</v>
      </c>
      <c r="H33871" s="4" t="str">
        <v/>
      </c>
      <c r="I33871" s="4" t="str">
        <v/>
      </c>
    </row>
    <row r="33872" spans="5:9" ht="16.5" hidden="1">
      <c r="E33872" s="4" t="str">
        <v/>
      </c>
      <c r="F33872" s="102" t="str">
        <f ca="1">IFERROR(__xludf.DUMMYFUNCTION("IMPORTRANGE(H33872,""IDENTITAS UNIT!D9"")"),"#N/A")</f>
        <v>#N/A</v>
      </c>
      <c r="H33872" s="4" t="str">
        <v/>
      </c>
      <c r="I33872" s="4" t="str">
        <v/>
      </c>
    </row>
    <row r="33873" spans="5:9" ht="16.5" hidden="1">
      <c r="E33873" s="4" t="str">
        <v/>
      </c>
      <c r="F33873" s="102" t="str">
        <f ca="1">IFERROR(__xludf.DUMMYFUNCTION("IMPORTRANGE(H33873,""IDENTITAS UNIT!D9"")"),"#N/A")</f>
        <v>#N/A</v>
      </c>
      <c r="H33873" s="4" t="str">
        <v/>
      </c>
      <c r="I33873" s="4" t="str">
        <v/>
      </c>
    </row>
    <row r="33874" spans="5:9" ht="16.5" hidden="1">
      <c r="E33874" s="4" t="str">
        <v/>
      </c>
      <c r="F33874" s="102" t="str">
        <f ca="1">IFERROR(__xludf.DUMMYFUNCTION("IMPORTRANGE(H33874,""IDENTITAS UNIT!D9"")"),"#N/A")</f>
        <v>#N/A</v>
      </c>
      <c r="H33874" s="4" t="str">
        <v/>
      </c>
      <c r="I33874" s="4" t="str">
        <v/>
      </c>
    </row>
    <row r="33875" spans="5:9" ht="16.5" hidden="1">
      <c r="E33875" s="4" t="str">
        <v/>
      </c>
      <c r="F33875" s="102" t="str">
        <f ca="1">IFERROR(__xludf.DUMMYFUNCTION("IMPORTRANGE(H33875,""IDENTITAS UNIT!D9"")"),"#N/A")</f>
        <v>#N/A</v>
      </c>
      <c r="H33875" s="4" t="str">
        <v/>
      </c>
      <c r="I33875" s="4" t="str">
        <v/>
      </c>
    </row>
    <row r="33876" spans="5:9" ht="16.5" hidden="1">
      <c r="E33876" s="4" t="str">
        <v/>
      </c>
      <c r="F33876" s="102" t="str">
        <f ca="1">IFERROR(__xludf.DUMMYFUNCTION("IMPORTRANGE(H33876,""IDENTITAS UNIT!D9"")"),"#N/A")</f>
        <v>#N/A</v>
      </c>
      <c r="H33876" s="4" t="str">
        <v/>
      </c>
      <c r="I33876" s="4" t="str">
        <v/>
      </c>
    </row>
    <row r="33877" spans="5:9" ht="16.5" hidden="1">
      <c r="E33877" s="4" t="str">
        <v/>
      </c>
      <c r="F33877" s="102" t="str">
        <f ca="1">IFERROR(__xludf.DUMMYFUNCTION("IMPORTRANGE(H33877,""IDENTITAS UNIT!D9"")"),"#N/A")</f>
        <v>#N/A</v>
      </c>
      <c r="H33877" s="4" t="str">
        <v/>
      </c>
      <c r="I33877" s="4" t="str">
        <v/>
      </c>
    </row>
    <row r="33878" spans="5:9" ht="16.5" hidden="1">
      <c r="E33878" s="4" t="str">
        <v/>
      </c>
      <c r="F33878" s="102" t="str">
        <f ca="1">IFERROR(__xludf.DUMMYFUNCTION("IMPORTRANGE(H33878,""IDENTITAS UNIT!D9"")"),"#N/A")</f>
        <v>#N/A</v>
      </c>
      <c r="H33878" s="4" t="str">
        <v/>
      </c>
      <c r="I33878" s="4" t="str">
        <v/>
      </c>
    </row>
    <row r="33879" spans="5:9" ht="16.5" hidden="1">
      <c r="E33879" s="4" t="str">
        <v/>
      </c>
      <c r="F33879" s="102" t="str">
        <f ca="1">IFERROR(__xludf.DUMMYFUNCTION("IMPORTRANGE(H33879,""IDENTITAS UNIT!D9"")"),"#N/A")</f>
        <v>#N/A</v>
      </c>
      <c r="H33879" s="4" t="str">
        <v/>
      </c>
      <c r="I33879" s="4" t="str">
        <v/>
      </c>
    </row>
    <row r="33880" spans="5:9" ht="16.5" hidden="1">
      <c r="E33880" s="4" t="str">
        <v/>
      </c>
      <c r="F33880" s="102" t="str">
        <f ca="1">IFERROR(__xludf.DUMMYFUNCTION("IMPORTRANGE(H33880,""IDENTITAS UNIT!D9"")"),"#N/A")</f>
        <v>#N/A</v>
      </c>
      <c r="H33880" s="4" t="str">
        <v/>
      </c>
      <c r="I33880" s="4" t="str">
        <v/>
      </c>
    </row>
    <row r="33881" spans="5:9" ht="16.5" hidden="1">
      <c r="E33881" s="4" t="str">
        <v/>
      </c>
      <c r="F33881" s="102" t="str">
        <f ca="1">IFERROR(__xludf.DUMMYFUNCTION("IMPORTRANGE(H33881,""IDENTITAS UNIT!D9"")"),"#N/A")</f>
        <v>#N/A</v>
      </c>
      <c r="H33881" s="4" t="str">
        <v/>
      </c>
      <c r="I33881" s="4" t="str">
        <v/>
      </c>
    </row>
    <row r="33882" spans="5:9" ht="16.5" hidden="1">
      <c r="E33882" s="4" t="str">
        <v/>
      </c>
      <c r="F33882" s="102" t="str">
        <f ca="1">IFERROR(__xludf.DUMMYFUNCTION("IMPORTRANGE(H33882,""IDENTITAS UNIT!D9"")"),"#N/A")</f>
        <v>#N/A</v>
      </c>
      <c r="H33882" s="4" t="str">
        <v/>
      </c>
      <c r="I33882" s="4" t="str">
        <v/>
      </c>
    </row>
    <row r="33883" spans="5:9" ht="16.5" hidden="1">
      <c r="E33883" s="4" t="str">
        <v/>
      </c>
      <c r="F33883" s="102" t="str">
        <f ca="1">IFERROR(__xludf.DUMMYFUNCTION("IMPORTRANGE(H33883,""IDENTITAS UNIT!D9"")"),"#N/A")</f>
        <v>#N/A</v>
      </c>
      <c r="H33883" s="4" t="str">
        <v/>
      </c>
      <c r="I33883" s="4" t="str">
        <v/>
      </c>
    </row>
    <row r="33884" spans="5:9" ht="16.5" hidden="1">
      <c r="E33884" s="4" t="str">
        <v/>
      </c>
      <c r="F33884" s="102" t="str">
        <f ca="1">IFERROR(__xludf.DUMMYFUNCTION("IMPORTRANGE(H33884,""IDENTITAS UNIT!D9"")"),"#N/A")</f>
        <v>#N/A</v>
      </c>
      <c r="H33884" s="4" t="str">
        <v/>
      </c>
      <c r="I33884" s="4" t="str">
        <v/>
      </c>
    </row>
    <row r="33885" spans="5:9" ht="16.5" hidden="1">
      <c r="E33885" s="4" t="str">
        <v/>
      </c>
      <c r="F33885" s="102" t="str">
        <f ca="1">IFERROR(__xludf.DUMMYFUNCTION("IMPORTRANGE(H33885,""IDENTITAS UNIT!D9"")"),"#N/A")</f>
        <v>#N/A</v>
      </c>
      <c r="H33885" s="4" t="str">
        <v/>
      </c>
      <c r="I33885" s="4" t="str">
        <v/>
      </c>
    </row>
    <row r="33886" spans="5:9" ht="16.5" hidden="1">
      <c r="E33886" s="4" t="str">
        <v/>
      </c>
      <c r="F33886" s="102" t="str">
        <f ca="1">IFERROR(__xludf.DUMMYFUNCTION("IMPORTRANGE(H33886,""IDENTITAS UNIT!D9"")"),"#N/A")</f>
        <v>#N/A</v>
      </c>
      <c r="H33886" s="4" t="str">
        <v/>
      </c>
      <c r="I33886" s="4" t="str">
        <v/>
      </c>
    </row>
    <row r="33887" spans="5:9" ht="16.5" hidden="1">
      <c r="E33887" s="4" t="str">
        <v/>
      </c>
      <c r="F33887" s="102" t="str">
        <f ca="1">IFERROR(__xludf.DUMMYFUNCTION("IMPORTRANGE(H33887,""IDENTITAS UNIT!D9"")"),"#N/A")</f>
        <v>#N/A</v>
      </c>
      <c r="H33887" s="4" t="str">
        <v/>
      </c>
      <c r="I33887" s="4" t="str">
        <v/>
      </c>
    </row>
    <row r="33888" spans="5:9" ht="16.5" hidden="1">
      <c r="E33888" s="4" t="str">
        <v/>
      </c>
      <c r="F33888" s="102" t="str">
        <f ca="1">IFERROR(__xludf.DUMMYFUNCTION("IMPORTRANGE(H33888,""IDENTITAS UNIT!D9"")"),"#N/A")</f>
        <v>#N/A</v>
      </c>
      <c r="H33888" s="4" t="str">
        <v/>
      </c>
      <c r="I33888" s="4" t="str">
        <v/>
      </c>
    </row>
    <row r="33889" spans="5:9" ht="16.5" hidden="1">
      <c r="E33889" s="4" t="str">
        <v/>
      </c>
      <c r="F33889" s="102" t="str">
        <f ca="1">IFERROR(__xludf.DUMMYFUNCTION("IMPORTRANGE(H33889,""IDENTITAS UNIT!D9"")"),"#N/A")</f>
        <v>#N/A</v>
      </c>
      <c r="H33889" s="4" t="str">
        <v/>
      </c>
      <c r="I33889" s="4" t="str">
        <v/>
      </c>
    </row>
    <row r="33890" spans="5:9" ht="16.5" hidden="1">
      <c r="E33890" s="4" t="str">
        <v/>
      </c>
      <c r="F33890" s="102" t="str">
        <f ca="1">IFERROR(__xludf.DUMMYFUNCTION("IMPORTRANGE(H33890,""IDENTITAS UNIT!D9"")"),"#N/A")</f>
        <v>#N/A</v>
      </c>
      <c r="H33890" s="4" t="str">
        <v/>
      </c>
      <c r="I33890" s="4" t="str">
        <v/>
      </c>
    </row>
    <row r="33891" spans="5:9" ht="16.5" hidden="1">
      <c r="E33891" s="4" t="str">
        <v/>
      </c>
      <c r="F33891" s="102" t="str">
        <f ca="1">IFERROR(__xludf.DUMMYFUNCTION("IMPORTRANGE(H33891,""IDENTITAS UNIT!D9"")"),"#N/A")</f>
        <v>#N/A</v>
      </c>
      <c r="H33891" s="4" t="str">
        <v/>
      </c>
      <c r="I33891" s="4" t="str">
        <v/>
      </c>
    </row>
    <row r="33892" spans="5:9" ht="16.5" hidden="1">
      <c r="E33892" s="4" t="str">
        <v/>
      </c>
      <c r="F33892" s="102" t="str">
        <f ca="1">IFERROR(__xludf.DUMMYFUNCTION("IMPORTRANGE(H33892,""IDENTITAS UNIT!D9"")"),"#N/A")</f>
        <v>#N/A</v>
      </c>
      <c r="H33892" s="4" t="str">
        <v/>
      </c>
      <c r="I33892" s="4" t="str">
        <v/>
      </c>
    </row>
    <row r="33893" spans="5:9" ht="16.5" hidden="1">
      <c r="E33893" s="4" t="str">
        <v/>
      </c>
      <c r="F33893" s="102" t="str">
        <f ca="1">IFERROR(__xludf.DUMMYFUNCTION("IMPORTRANGE(H33893,""IDENTITAS UNIT!D9"")"),"#N/A")</f>
        <v>#N/A</v>
      </c>
      <c r="H33893" s="4" t="str">
        <v/>
      </c>
      <c r="I33893" s="4" t="str">
        <v/>
      </c>
    </row>
    <row r="33894" spans="5:9" ht="16.5" hidden="1">
      <c r="E33894" s="4" t="str">
        <v/>
      </c>
      <c r="F33894" s="102" t="str">
        <f ca="1">IFERROR(__xludf.DUMMYFUNCTION("IMPORTRANGE(H33894,""IDENTITAS UNIT!D9"")"),"#N/A")</f>
        <v>#N/A</v>
      </c>
      <c r="H33894" s="4" t="str">
        <v/>
      </c>
      <c r="I33894" s="4" t="str">
        <v/>
      </c>
    </row>
    <row r="33895" spans="5:9" ht="16.5" hidden="1">
      <c r="E33895" s="4" t="str">
        <v/>
      </c>
      <c r="F33895" s="102" t="str">
        <f ca="1">IFERROR(__xludf.DUMMYFUNCTION("IMPORTRANGE(H33895,""IDENTITAS UNIT!D9"")"),"#N/A")</f>
        <v>#N/A</v>
      </c>
      <c r="H33895" s="4" t="str">
        <v/>
      </c>
      <c r="I33895" s="4" t="str">
        <v/>
      </c>
    </row>
    <row r="33896" spans="5:9" ht="16.5" hidden="1">
      <c r="E33896" s="4" t="str">
        <v/>
      </c>
      <c r="F33896" s="102" t="str">
        <f ca="1">IFERROR(__xludf.DUMMYFUNCTION("IMPORTRANGE(H33896,""IDENTITAS UNIT!D9"")"),"#N/A")</f>
        <v>#N/A</v>
      </c>
      <c r="H33896" s="4" t="str">
        <v/>
      </c>
      <c r="I33896" s="4" t="str">
        <v/>
      </c>
    </row>
    <row r="33897" spans="5:9" ht="16.5" hidden="1">
      <c r="E33897" s="4" t="str">
        <v/>
      </c>
      <c r="F33897" s="102" t="str">
        <f ca="1">IFERROR(__xludf.DUMMYFUNCTION("IMPORTRANGE(H33897,""IDENTITAS UNIT!D9"")"),"#N/A")</f>
        <v>#N/A</v>
      </c>
      <c r="H33897" s="4" t="str">
        <v/>
      </c>
      <c r="I33897" s="4" t="str">
        <v/>
      </c>
    </row>
    <row r="33898" spans="5:9" ht="16.5" hidden="1">
      <c r="E33898" s="4" t="str">
        <v/>
      </c>
      <c r="F33898" s="102" t="str">
        <f ca="1">IFERROR(__xludf.DUMMYFUNCTION("IMPORTRANGE(H33898,""IDENTITAS UNIT!D9"")"),"#N/A")</f>
        <v>#N/A</v>
      </c>
      <c r="H33898" s="4" t="str">
        <v/>
      </c>
      <c r="I33898" s="4" t="str">
        <v/>
      </c>
    </row>
    <row r="33899" spans="5:9" ht="16.5" hidden="1">
      <c r="E33899" s="4" t="str">
        <v/>
      </c>
      <c r="F33899" s="102" t="str">
        <f ca="1">IFERROR(__xludf.DUMMYFUNCTION("IMPORTRANGE(H33899,""IDENTITAS UNIT!D9"")"),"#N/A")</f>
        <v>#N/A</v>
      </c>
      <c r="H33899" s="4" t="str">
        <v/>
      </c>
      <c r="I33899" s="4" t="str">
        <v/>
      </c>
    </row>
    <row r="33900" spans="5:9" ht="16.5" hidden="1">
      <c r="E33900" s="4" t="str">
        <v/>
      </c>
      <c r="F33900" s="102" t="str">
        <f ca="1">IFERROR(__xludf.DUMMYFUNCTION("IMPORTRANGE(H33900,""IDENTITAS UNIT!D9"")"),"#N/A")</f>
        <v>#N/A</v>
      </c>
      <c r="H33900" s="4" t="str">
        <v/>
      </c>
      <c r="I33900" s="4" t="str">
        <v/>
      </c>
    </row>
    <row r="33901" spans="5:9" ht="16.5" hidden="1">
      <c r="E33901" s="4" t="str">
        <v/>
      </c>
      <c r="F33901" s="102" t="str">
        <f ca="1">IFERROR(__xludf.DUMMYFUNCTION("IMPORTRANGE(H33901,""IDENTITAS UNIT!D9"")"),"#N/A")</f>
        <v>#N/A</v>
      </c>
      <c r="H33901" s="4" t="str">
        <v/>
      </c>
      <c r="I33901" s="4" t="str">
        <v/>
      </c>
    </row>
    <row r="33902" spans="5:9" ht="16.5" hidden="1">
      <c r="E33902" s="4" t="str">
        <v/>
      </c>
      <c r="F33902" s="102" t="str">
        <f ca="1">IFERROR(__xludf.DUMMYFUNCTION("IMPORTRANGE(H33902,""IDENTITAS UNIT!D9"")"),"#N/A")</f>
        <v>#N/A</v>
      </c>
      <c r="H33902" s="4" t="str">
        <v/>
      </c>
      <c r="I33902" s="4" t="str">
        <v/>
      </c>
    </row>
    <row r="33903" spans="5:9" ht="16.5" hidden="1">
      <c r="E33903" s="4" t="str">
        <v/>
      </c>
      <c r="F33903" s="102" t="str">
        <f ca="1">IFERROR(__xludf.DUMMYFUNCTION("IMPORTRANGE(H33903,""IDENTITAS UNIT!D9"")"),"#N/A")</f>
        <v>#N/A</v>
      </c>
      <c r="H33903" s="4" t="str">
        <v/>
      </c>
      <c r="I33903" s="4" t="str">
        <v/>
      </c>
    </row>
    <row r="33904" spans="5:9" ht="16.5" hidden="1">
      <c r="E33904" s="4" t="str">
        <v/>
      </c>
      <c r="F33904" s="102" t="str">
        <f ca="1">IFERROR(__xludf.DUMMYFUNCTION("IMPORTRANGE(H33904,""IDENTITAS UNIT!D9"")"),"#N/A")</f>
        <v>#N/A</v>
      </c>
      <c r="H33904" s="4" t="str">
        <v/>
      </c>
      <c r="I33904" s="4" t="str">
        <v/>
      </c>
    </row>
    <row r="33905" spans="5:9" ht="16.5" hidden="1">
      <c r="E33905" s="4" t="str">
        <v/>
      </c>
      <c r="F33905" s="102" t="str">
        <f ca="1">IFERROR(__xludf.DUMMYFUNCTION("IMPORTRANGE(H33905,""IDENTITAS UNIT!D9"")"),"#N/A")</f>
        <v>#N/A</v>
      </c>
      <c r="H33905" s="4" t="str">
        <v/>
      </c>
      <c r="I33905" s="4" t="str">
        <v/>
      </c>
    </row>
    <row r="33906" spans="5:9" ht="16.5" hidden="1">
      <c r="E33906" s="4" t="str">
        <v/>
      </c>
      <c r="F33906" s="102" t="str">
        <f ca="1">IFERROR(__xludf.DUMMYFUNCTION("IMPORTRANGE(H33906,""IDENTITAS UNIT!D9"")"),"#N/A")</f>
        <v>#N/A</v>
      </c>
      <c r="H33906" s="4" t="str">
        <v/>
      </c>
      <c r="I33906" s="4" t="str">
        <v/>
      </c>
    </row>
    <row r="33907" spans="5:9" ht="16.5" hidden="1">
      <c r="E33907" s="4" t="str">
        <v/>
      </c>
      <c r="F33907" s="102" t="str">
        <f ca="1">IFERROR(__xludf.DUMMYFUNCTION("IMPORTRANGE(H33907,""IDENTITAS UNIT!D9"")"),"#N/A")</f>
        <v>#N/A</v>
      </c>
      <c r="H33907" s="4" t="str">
        <v/>
      </c>
      <c r="I33907" s="4" t="str">
        <v/>
      </c>
    </row>
    <row r="33908" spans="5:9" ht="16.5" hidden="1">
      <c r="E33908" s="4" t="str">
        <v/>
      </c>
      <c r="F33908" s="102" t="str">
        <f ca="1">IFERROR(__xludf.DUMMYFUNCTION("IMPORTRANGE(H33908,""IDENTITAS UNIT!D9"")"),"#N/A")</f>
        <v>#N/A</v>
      </c>
      <c r="H33908" s="4" t="str">
        <v/>
      </c>
      <c r="I33908" s="4" t="str">
        <v/>
      </c>
    </row>
    <row r="33909" spans="5:9" ht="16.5" hidden="1">
      <c r="E33909" s="4" t="str">
        <v/>
      </c>
      <c r="F33909" s="102" t="str">
        <f ca="1">IFERROR(__xludf.DUMMYFUNCTION("IMPORTRANGE(H33909,""IDENTITAS UNIT!D9"")"),"#N/A")</f>
        <v>#N/A</v>
      </c>
      <c r="H33909" s="4" t="str">
        <v/>
      </c>
      <c r="I33909" s="4" t="str">
        <v/>
      </c>
    </row>
    <row r="33910" spans="5:9" ht="16.5" hidden="1">
      <c r="E33910" s="4" t="str">
        <v/>
      </c>
      <c r="F33910" s="102" t="str">
        <f ca="1">IFERROR(__xludf.DUMMYFUNCTION("IMPORTRANGE(H33910,""IDENTITAS UNIT!D9"")"),"#N/A")</f>
        <v>#N/A</v>
      </c>
      <c r="H33910" s="4" t="str">
        <v/>
      </c>
      <c r="I33910" s="4" t="str">
        <v/>
      </c>
    </row>
    <row r="33911" spans="5:9" ht="16.5" hidden="1">
      <c r="E33911" s="4" t="str">
        <v/>
      </c>
      <c r="F33911" s="102" t="str">
        <f ca="1">IFERROR(__xludf.DUMMYFUNCTION("IMPORTRANGE(H33911,""IDENTITAS UNIT!D9"")"),"#N/A")</f>
        <v>#N/A</v>
      </c>
      <c r="H33911" s="4" t="str">
        <v/>
      </c>
      <c r="I33911" s="4" t="str">
        <v/>
      </c>
    </row>
    <row r="33912" spans="5:9" ht="16.5" hidden="1">
      <c r="E33912" s="4" t="str">
        <v/>
      </c>
      <c r="F33912" s="102" t="str">
        <f ca="1">IFERROR(__xludf.DUMMYFUNCTION("IMPORTRANGE(H33912,""IDENTITAS UNIT!D9"")"),"#N/A")</f>
        <v>#N/A</v>
      </c>
      <c r="H33912" s="4" t="str">
        <v/>
      </c>
      <c r="I33912" s="4" t="str">
        <v/>
      </c>
    </row>
    <row r="33913" spans="5:9" ht="16.5" hidden="1">
      <c r="E33913" s="4" t="str">
        <v/>
      </c>
      <c r="F33913" s="102" t="str">
        <f ca="1">IFERROR(__xludf.DUMMYFUNCTION("IMPORTRANGE(H33913,""IDENTITAS UNIT!D9"")"),"#N/A")</f>
        <v>#N/A</v>
      </c>
      <c r="H33913" s="4" t="str">
        <v/>
      </c>
      <c r="I33913" s="4" t="str">
        <v/>
      </c>
    </row>
    <row r="33914" spans="5:9" ht="16.5" hidden="1">
      <c r="E33914" s="4" t="str">
        <v/>
      </c>
      <c r="F33914" s="102" t="str">
        <f ca="1">IFERROR(__xludf.DUMMYFUNCTION("IMPORTRANGE(H33914,""IDENTITAS UNIT!D9"")"),"#N/A")</f>
        <v>#N/A</v>
      </c>
      <c r="H33914" s="4" t="str">
        <v/>
      </c>
      <c r="I33914" s="4" t="str">
        <v/>
      </c>
    </row>
    <row r="33915" spans="5:9" ht="16.5" hidden="1">
      <c r="E33915" s="4" t="str">
        <v/>
      </c>
      <c r="F33915" s="102" t="str">
        <f ca="1">IFERROR(__xludf.DUMMYFUNCTION("IMPORTRANGE(H33915,""IDENTITAS UNIT!D9"")"),"#N/A")</f>
        <v>#N/A</v>
      </c>
      <c r="H33915" s="4" t="str">
        <v/>
      </c>
      <c r="I33915" s="4" t="str">
        <v/>
      </c>
    </row>
    <row r="33916" spans="5:9" ht="16.5" hidden="1">
      <c r="E33916" s="4" t="str">
        <v/>
      </c>
      <c r="F33916" s="102" t="str">
        <f ca="1">IFERROR(__xludf.DUMMYFUNCTION("IMPORTRANGE(H33916,""IDENTITAS UNIT!D9"")"),"#N/A")</f>
        <v>#N/A</v>
      </c>
      <c r="H33916" s="4" t="str">
        <v/>
      </c>
      <c r="I33916" s="4" t="str">
        <v/>
      </c>
    </row>
    <row r="33917" spans="5:9" ht="16.5" hidden="1">
      <c r="E33917" s="4" t="str">
        <v/>
      </c>
      <c r="F33917" s="102" t="str">
        <f ca="1">IFERROR(__xludf.DUMMYFUNCTION("IMPORTRANGE(H33917,""IDENTITAS UNIT!D9"")"),"#N/A")</f>
        <v>#N/A</v>
      </c>
      <c r="H33917" s="4" t="str">
        <v/>
      </c>
      <c r="I33917" s="4" t="str">
        <v/>
      </c>
    </row>
    <row r="33918" spans="5:9" ht="16.5" hidden="1">
      <c r="E33918" s="4" t="str">
        <v/>
      </c>
      <c r="F33918" s="102" t="str">
        <f ca="1">IFERROR(__xludf.DUMMYFUNCTION("IMPORTRANGE(H33918,""IDENTITAS UNIT!D9"")"),"#N/A")</f>
        <v>#N/A</v>
      </c>
      <c r="H33918" s="4" t="str">
        <v/>
      </c>
      <c r="I33918" s="4" t="str">
        <v/>
      </c>
    </row>
    <row r="33919" spans="5:9" ht="16.5" hidden="1">
      <c r="E33919" s="4" t="str">
        <v/>
      </c>
      <c r="F33919" s="102" t="str">
        <f ca="1">IFERROR(__xludf.DUMMYFUNCTION("IMPORTRANGE(H33919,""IDENTITAS UNIT!D9"")"),"#N/A")</f>
        <v>#N/A</v>
      </c>
      <c r="H33919" s="4" t="str">
        <v/>
      </c>
      <c r="I33919" s="4" t="str">
        <v/>
      </c>
    </row>
    <row r="33920" spans="5:9" ht="16.5" hidden="1">
      <c r="E33920" s="4" t="str">
        <v/>
      </c>
      <c r="F33920" s="102" t="str">
        <f ca="1">IFERROR(__xludf.DUMMYFUNCTION("IMPORTRANGE(H33920,""IDENTITAS UNIT!D9"")"),"#N/A")</f>
        <v>#N/A</v>
      </c>
      <c r="H33920" s="4" t="str">
        <v/>
      </c>
      <c r="I33920" s="4" t="str">
        <v/>
      </c>
    </row>
    <row r="33921" spans="5:9" ht="16.5" hidden="1">
      <c r="E33921" s="4" t="str">
        <v/>
      </c>
      <c r="F33921" s="102" t="str">
        <f ca="1">IFERROR(__xludf.DUMMYFUNCTION("IMPORTRANGE(H33921,""IDENTITAS UNIT!D9"")"),"#N/A")</f>
        <v>#N/A</v>
      </c>
      <c r="H33921" s="4" t="str">
        <v/>
      </c>
      <c r="I33921" s="4" t="str">
        <v/>
      </c>
    </row>
    <row r="33922" spans="5:9" ht="16.5" hidden="1">
      <c r="E33922" s="4" t="str">
        <v/>
      </c>
      <c r="F33922" s="102" t="str">
        <f ca="1">IFERROR(__xludf.DUMMYFUNCTION("IMPORTRANGE(H33922,""IDENTITAS UNIT!D9"")"),"#N/A")</f>
        <v>#N/A</v>
      </c>
      <c r="H33922" s="4" t="str">
        <v/>
      </c>
      <c r="I33922" s="4" t="str">
        <v/>
      </c>
    </row>
    <row r="33923" spans="5:9" ht="16.5" hidden="1">
      <c r="E33923" s="4" t="str">
        <v/>
      </c>
      <c r="F33923" s="102" t="str">
        <f ca="1">IFERROR(__xludf.DUMMYFUNCTION("IMPORTRANGE(H33923,""IDENTITAS UNIT!D9"")"),"#N/A")</f>
        <v>#N/A</v>
      </c>
      <c r="H33923" s="4" t="str">
        <v/>
      </c>
      <c r="I33923" s="4" t="str">
        <v/>
      </c>
    </row>
    <row r="33924" spans="5:9" ht="16.5" hidden="1">
      <c r="E33924" s="4" t="str">
        <v/>
      </c>
      <c r="F33924" s="102" t="str">
        <f ca="1">IFERROR(__xludf.DUMMYFUNCTION("IMPORTRANGE(H33924,""IDENTITAS UNIT!D9"")"),"#N/A")</f>
        <v>#N/A</v>
      </c>
      <c r="H33924" s="4" t="str">
        <v/>
      </c>
      <c r="I33924" s="4" t="str">
        <v/>
      </c>
    </row>
    <row r="33925" spans="5:9" ht="16.5" hidden="1">
      <c r="E33925" s="4" t="str">
        <v/>
      </c>
      <c r="F33925" s="102" t="str">
        <f ca="1">IFERROR(__xludf.DUMMYFUNCTION("IMPORTRANGE(H33925,""IDENTITAS UNIT!D9"")"),"#N/A")</f>
        <v>#N/A</v>
      </c>
      <c r="H33925" s="4" t="str">
        <v/>
      </c>
      <c r="I33925" s="4" t="str">
        <v/>
      </c>
    </row>
    <row r="33926" spans="5:9" ht="16.5" hidden="1">
      <c r="E33926" s="4" t="str">
        <v/>
      </c>
      <c r="F33926" s="102" t="str">
        <f ca="1">IFERROR(__xludf.DUMMYFUNCTION("IMPORTRANGE(H33926,""IDENTITAS UNIT!D9"")"),"#N/A")</f>
        <v>#N/A</v>
      </c>
      <c r="H33926" s="4" t="str">
        <v/>
      </c>
      <c r="I33926" s="4" t="str">
        <v/>
      </c>
    </row>
    <row r="33927" spans="5:9" ht="16.5" hidden="1">
      <c r="E33927" s="4" t="str">
        <v/>
      </c>
      <c r="F33927" s="102" t="str">
        <f ca="1">IFERROR(__xludf.DUMMYFUNCTION("IMPORTRANGE(H33927,""IDENTITAS UNIT!D9"")"),"#N/A")</f>
        <v>#N/A</v>
      </c>
      <c r="H33927" s="4" t="str">
        <v/>
      </c>
      <c r="I33927" s="4" t="str">
        <v/>
      </c>
    </row>
    <row r="33928" spans="5:9" ht="16.5" hidden="1">
      <c r="E33928" s="4" t="str">
        <v/>
      </c>
      <c r="F33928" s="102" t="str">
        <f ca="1">IFERROR(__xludf.DUMMYFUNCTION("IMPORTRANGE(H33928,""IDENTITAS UNIT!D9"")"),"#N/A")</f>
        <v>#N/A</v>
      </c>
      <c r="H33928" s="4" t="str">
        <v/>
      </c>
      <c r="I33928" s="4" t="str">
        <v/>
      </c>
    </row>
    <row r="33929" spans="5:9" ht="16.5" hidden="1">
      <c r="E33929" s="4" t="str">
        <v/>
      </c>
      <c r="F33929" s="102" t="str">
        <f ca="1">IFERROR(__xludf.DUMMYFUNCTION("IMPORTRANGE(H33929,""IDENTITAS UNIT!D9"")"),"#N/A")</f>
        <v>#N/A</v>
      </c>
      <c r="H33929" s="4" t="str">
        <v/>
      </c>
      <c r="I33929" s="4" t="str">
        <v/>
      </c>
    </row>
    <row r="33930" spans="5:9" ht="16.5" hidden="1">
      <c r="E33930" s="4" t="str">
        <v/>
      </c>
      <c r="F33930" s="102" t="str">
        <f ca="1">IFERROR(__xludf.DUMMYFUNCTION("IMPORTRANGE(H33930,""IDENTITAS UNIT!D9"")"),"#N/A")</f>
        <v>#N/A</v>
      </c>
      <c r="H33930" s="4" t="str">
        <v/>
      </c>
      <c r="I33930" s="4" t="str">
        <v/>
      </c>
    </row>
    <row r="33931" spans="5:9" ht="16.5" hidden="1">
      <c r="E33931" s="4" t="str">
        <v/>
      </c>
      <c r="F33931" s="102" t="str">
        <f ca="1">IFERROR(__xludf.DUMMYFUNCTION("IMPORTRANGE(H33931,""IDENTITAS UNIT!D9"")"),"#N/A")</f>
        <v>#N/A</v>
      </c>
      <c r="H33931" s="4" t="str">
        <v/>
      </c>
      <c r="I33931" s="4" t="str">
        <v/>
      </c>
    </row>
    <row r="33932" spans="5:9" ht="16.5" hidden="1">
      <c r="E33932" s="4" t="str">
        <v/>
      </c>
      <c r="F33932" s="102" t="str">
        <f ca="1">IFERROR(__xludf.DUMMYFUNCTION("IMPORTRANGE(H33932,""IDENTITAS UNIT!D9"")"),"#N/A")</f>
        <v>#N/A</v>
      </c>
      <c r="H33932" s="4" t="str">
        <v/>
      </c>
      <c r="I33932" s="4" t="str">
        <v/>
      </c>
    </row>
    <row r="33933" spans="5:9" ht="16.5" hidden="1">
      <c r="E33933" s="4" t="str">
        <v/>
      </c>
      <c r="F33933" s="102" t="str">
        <f ca="1">IFERROR(__xludf.DUMMYFUNCTION("IMPORTRANGE(H33933,""IDENTITAS UNIT!D9"")"),"#N/A")</f>
        <v>#N/A</v>
      </c>
      <c r="H33933" s="4" t="str">
        <v/>
      </c>
      <c r="I33933" s="4" t="str">
        <v/>
      </c>
    </row>
    <row r="33934" spans="5:9" ht="16.5" hidden="1">
      <c r="E33934" s="4" t="str">
        <v/>
      </c>
      <c r="F33934" s="102" t="str">
        <f ca="1">IFERROR(__xludf.DUMMYFUNCTION("IMPORTRANGE(H33934,""IDENTITAS UNIT!D9"")"),"#N/A")</f>
        <v>#N/A</v>
      </c>
      <c r="H33934" s="4" t="str">
        <v/>
      </c>
      <c r="I33934" s="4" t="str">
        <v/>
      </c>
    </row>
    <row r="33935" spans="5:9" ht="16.5" hidden="1">
      <c r="E33935" s="4" t="str">
        <v/>
      </c>
      <c r="F33935" s="102" t="str">
        <f ca="1">IFERROR(__xludf.DUMMYFUNCTION("IMPORTRANGE(H33935,""IDENTITAS UNIT!D9"")"),"#N/A")</f>
        <v>#N/A</v>
      </c>
      <c r="H33935" s="4" t="str">
        <v/>
      </c>
      <c r="I33935" s="4" t="str">
        <v/>
      </c>
    </row>
    <row r="33936" spans="5:9" ht="16.5" hidden="1">
      <c r="E33936" s="4" t="str">
        <v/>
      </c>
      <c r="F33936" s="102" t="str">
        <f ca="1">IFERROR(__xludf.DUMMYFUNCTION("IMPORTRANGE(H33936,""IDENTITAS UNIT!D9"")"),"#N/A")</f>
        <v>#N/A</v>
      </c>
      <c r="H33936" s="4" t="str">
        <v/>
      </c>
      <c r="I33936" s="4" t="str">
        <v/>
      </c>
    </row>
    <row r="33937" spans="5:9" ht="16.5" hidden="1">
      <c r="E33937" s="4" t="str">
        <v/>
      </c>
      <c r="F33937" s="102" t="str">
        <f ca="1">IFERROR(__xludf.DUMMYFUNCTION("IMPORTRANGE(H33937,""IDENTITAS UNIT!D9"")"),"#N/A")</f>
        <v>#N/A</v>
      </c>
      <c r="H33937" s="4" t="str">
        <v/>
      </c>
      <c r="I33937" s="4" t="str">
        <v/>
      </c>
    </row>
    <row r="33938" spans="5:9" ht="16.5" hidden="1">
      <c r="E33938" s="4" t="str">
        <v/>
      </c>
      <c r="F33938" s="102" t="str">
        <f ca="1">IFERROR(__xludf.DUMMYFUNCTION("IMPORTRANGE(H33938,""IDENTITAS UNIT!D9"")"),"#N/A")</f>
        <v>#N/A</v>
      </c>
      <c r="H33938" s="4" t="str">
        <v/>
      </c>
      <c r="I33938" s="4" t="str">
        <v/>
      </c>
    </row>
    <row r="33939" spans="5:9" ht="16.5" hidden="1">
      <c r="E33939" s="4" t="str">
        <v/>
      </c>
      <c r="F33939" s="102" t="str">
        <f ca="1">IFERROR(__xludf.DUMMYFUNCTION("IMPORTRANGE(H33939,""IDENTITAS UNIT!D9"")"),"#N/A")</f>
        <v>#N/A</v>
      </c>
      <c r="H33939" s="4" t="str">
        <v/>
      </c>
      <c r="I33939" s="4" t="str">
        <v/>
      </c>
    </row>
    <row r="33940" spans="5:9" ht="16.5" hidden="1">
      <c r="E33940" s="4" t="str">
        <v/>
      </c>
      <c r="F33940" s="102" t="str">
        <f ca="1">IFERROR(__xludf.DUMMYFUNCTION("IMPORTRANGE(H33940,""IDENTITAS UNIT!D9"")"),"#N/A")</f>
        <v>#N/A</v>
      </c>
      <c r="H33940" s="4" t="str">
        <v/>
      </c>
      <c r="I33940" s="4" t="str">
        <v/>
      </c>
    </row>
    <row r="33941" spans="5:9" ht="16.5" hidden="1">
      <c r="E33941" s="4" t="str">
        <v/>
      </c>
      <c r="F33941" s="102" t="str">
        <f ca="1">IFERROR(__xludf.DUMMYFUNCTION("IMPORTRANGE(H33941,""IDENTITAS UNIT!D9"")"),"#N/A")</f>
        <v>#N/A</v>
      </c>
      <c r="H33941" s="4" t="str">
        <v/>
      </c>
      <c r="I33941" s="4" t="str">
        <v/>
      </c>
    </row>
    <row r="33942" spans="5:9" ht="16.5" hidden="1">
      <c r="E33942" s="4" t="str">
        <v/>
      </c>
      <c r="F33942" s="102" t="str">
        <f ca="1">IFERROR(__xludf.DUMMYFUNCTION("IMPORTRANGE(H33942,""IDENTITAS UNIT!D9"")"),"#N/A")</f>
        <v>#N/A</v>
      </c>
      <c r="H33942" s="4" t="str">
        <v/>
      </c>
      <c r="I33942" s="4" t="str">
        <v/>
      </c>
    </row>
    <row r="33943" spans="5:9" ht="16.5" hidden="1">
      <c r="E33943" s="4" t="str">
        <v/>
      </c>
      <c r="F33943" s="102" t="str">
        <f ca="1">IFERROR(__xludf.DUMMYFUNCTION("IMPORTRANGE(H33943,""IDENTITAS UNIT!D9"")"),"#N/A")</f>
        <v>#N/A</v>
      </c>
      <c r="H33943" s="4" t="str">
        <v/>
      </c>
      <c r="I33943" s="4" t="str">
        <v/>
      </c>
    </row>
    <row r="33944" spans="5:9" ht="16.5" hidden="1">
      <c r="E33944" s="4" t="str">
        <v/>
      </c>
      <c r="F33944" s="102" t="str">
        <f ca="1">IFERROR(__xludf.DUMMYFUNCTION("IMPORTRANGE(H33944,""IDENTITAS UNIT!D9"")"),"#N/A")</f>
        <v>#N/A</v>
      </c>
      <c r="H33944" s="4" t="str">
        <v/>
      </c>
      <c r="I33944" s="4" t="str">
        <v/>
      </c>
    </row>
    <row r="33945" spans="5:9" ht="16.5" hidden="1">
      <c r="E33945" s="4" t="str">
        <v/>
      </c>
      <c r="F33945" s="102" t="str">
        <f ca="1">IFERROR(__xludf.DUMMYFUNCTION("IMPORTRANGE(H33945,""IDENTITAS UNIT!D9"")"),"#N/A")</f>
        <v>#N/A</v>
      </c>
      <c r="H33945" s="4" t="str">
        <v/>
      </c>
      <c r="I33945" s="4" t="str">
        <v/>
      </c>
    </row>
    <row r="33946" spans="5:9" ht="16.5" hidden="1">
      <c r="E33946" s="4" t="str">
        <v/>
      </c>
      <c r="F33946" s="102" t="str">
        <f ca="1">IFERROR(__xludf.DUMMYFUNCTION("IMPORTRANGE(H33946,""IDENTITAS UNIT!D9"")"),"#N/A")</f>
        <v>#N/A</v>
      </c>
      <c r="H33946" s="4" t="str">
        <v/>
      </c>
      <c r="I33946" s="4" t="str">
        <v/>
      </c>
    </row>
    <row r="33947" spans="5:9" ht="16.5" hidden="1">
      <c r="E33947" s="4" t="str">
        <v/>
      </c>
      <c r="F33947" s="102" t="str">
        <f ca="1">IFERROR(__xludf.DUMMYFUNCTION("IMPORTRANGE(H33947,""IDENTITAS UNIT!D9"")"),"#N/A")</f>
        <v>#N/A</v>
      </c>
      <c r="H33947" s="4" t="str">
        <v/>
      </c>
      <c r="I33947" s="4" t="str">
        <v/>
      </c>
    </row>
    <row r="33948" spans="5:9" ht="16.5" hidden="1">
      <c r="E33948" s="4" t="str">
        <v/>
      </c>
      <c r="F33948" s="102" t="str">
        <f ca="1">IFERROR(__xludf.DUMMYFUNCTION("IMPORTRANGE(H33948,""IDENTITAS UNIT!D9"")"),"#N/A")</f>
        <v>#N/A</v>
      </c>
      <c r="H33948" s="4" t="str">
        <v/>
      </c>
      <c r="I33948" s="4" t="str">
        <v/>
      </c>
    </row>
    <row r="33949" spans="5:9" ht="16.5" hidden="1">
      <c r="E33949" s="4" t="str">
        <v/>
      </c>
      <c r="F33949" s="102" t="str">
        <f ca="1">IFERROR(__xludf.DUMMYFUNCTION("IMPORTRANGE(H33949,""IDENTITAS UNIT!D9"")"),"#N/A")</f>
        <v>#N/A</v>
      </c>
      <c r="H33949" s="4" t="str">
        <v/>
      </c>
      <c r="I33949" s="4" t="str">
        <v/>
      </c>
    </row>
    <row r="33950" spans="5:9" ht="16.5" hidden="1">
      <c r="E33950" s="4" t="str">
        <v/>
      </c>
      <c r="F33950" s="102" t="str">
        <f ca="1">IFERROR(__xludf.DUMMYFUNCTION("IMPORTRANGE(H33950,""IDENTITAS UNIT!D9"")"),"#N/A")</f>
        <v>#N/A</v>
      </c>
      <c r="H33950" s="4" t="str">
        <v/>
      </c>
      <c r="I33950" s="4" t="str">
        <v/>
      </c>
    </row>
    <row r="33951" spans="5:9" ht="16.5" hidden="1">
      <c r="E33951" s="4" t="str">
        <v/>
      </c>
      <c r="F33951" s="102" t="str">
        <f ca="1">IFERROR(__xludf.DUMMYFUNCTION("IMPORTRANGE(H33951,""IDENTITAS UNIT!D9"")"),"#N/A")</f>
        <v>#N/A</v>
      </c>
      <c r="H33951" s="4" t="str">
        <v/>
      </c>
      <c r="I33951" s="4" t="str">
        <v/>
      </c>
    </row>
    <row r="33952" spans="5:9" ht="16.5" hidden="1">
      <c r="E33952" s="4" t="str">
        <v/>
      </c>
      <c r="F33952" s="102" t="str">
        <f ca="1">IFERROR(__xludf.DUMMYFUNCTION("IMPORTRANGE(H33952,""IDENTITAS UNIT!D9"")"),"#N/A")</f>
        <v>#N/A</v>
      </c>
      <c r="H33952" s="4" t="str">
        <v/>
      </c>
      <c r="I33952" s="4" t="str">
        <v/>
      </c>
    </row>
    <row r="33953" spans="5:9" ht="16.5" hidden="1">
      <c r="E33953" s="4" t="str">
        <v/>
      </c>
      <c r="F33953" s="102" t="str">
        <f ca="1">IFERROR(__xludf.DUMMYFUNCTION("IMPORTRANGE(H33953,""IDENTITAS UNIT!D9"")"),"#N/A")</f>
        <v>#N/A</v>
      </c>
      <c r="H33953" s="4" t="str">
        <v/>
      </c>
      <c r="I33953" s="4" t="str">
        <v/>
      </c>
    </row>
    <row r="33954" spans="5:9" ht="16.5" hidden="1">
      <c r="E33954" s="4" t="str">
        <v/>
      </c>
      <c r="F33954" s="102" t="str">
        <f ca="1">IFERROR(__xludf.DUMMYFUNCTION("IMPORTRANGE(H33954,""IDENTITAS UNIT!D9"")"),"#N/A")</f>
        <v>#N/A</v>
      </c>
      <c r="H33954" s="4" t="str">
        <v/>
      </c>
      <c r="I33954" s="4" t="str">
        <v/>
      </c>
    </row>
    <row r="33955" spans="5:9" ht="16.5" hidden="1">
      <c r="E33955" s="4" t="str">
        <v/>
      </c>
      <c r="F33955" s="102" t="str">
        <f ca="1">IFERROR(__xludf.DUMMYFUNCTION("IMPORTRANGE(H33955,""IDENTITAS UNIT!D9"")"),"#N/A")</f>
        <v>#N/A</v>
      </c>
      <c r="H33955" s="4" t="str">
        <v/>
      </c>
      <c r="I33955" s="4" t="str">
        <v/>
      </c>
    </row>
    <row r="33956" spans="5:9" ht="16.5" hidden="1">
      <c r="E33956" s="4" t="str">
        <v/>
      </c>
      <c r="F33956" s="102" t="str">
        <f ca="1">IFERROR(__xludf.DUMMYFUNCTION("IMPORTRANGE(H33956,""IDENTITAS UNIT!D9"")"),"#N/A")</f>
        <v>#N/A</v>
      </c>
      <c r="H33956" s="4" t="str">
        <v/>
      </c>
      <c r="I33956" s="4" t="str">
        <v/>
      </c>
    </row>
    <row r="33957" spans="5:9" ht="16.5" hidden="1">
      <c r="E33957" s="4" t="str">
        <v/>
      </c>
      <c r="F33957" s="102" t="str">
        <f ca="1">IFERROR(__xludf.DUMMYFUNCTION("IMPORTRANGE(H33957,""IDENTITAS UNIT!D9"")"),"#N/A")</f>
        <v>#N/A</v>
      </c>
      <c r="H33957" s="4" t="str">
        <v/>
      </c>
      <c r="I33957" s="4" t="str">
        <v/>
      </c>
    </row>
    <row r="33958" spans="5:9" ht="16.5" hidden="1">
      <c r="E33958" s="4" t="str">
        <v/>
      </c>
      <c r="F33958" s="102" t="str">
        <f ca="1">IFERROR(__xludf.DUMMYFUNCTION("IMPORTRANGE(H33958,""IDENTITAS UNIT!D9"")"),"#N/A")</f>
        <v>#N/A</v>
      </c>
      <c r="H33958" s="4" t="str">
        <v/>
      </c>
      <c r="I33958" s="4" t="str">
        <v/>
      </c>
    </row>
    <row r="33959" spans="5:9" ht="16.5" hidden="1">
      <c r="E33959" s="4" t="str">
        <v/>
      </c>
      <c r="F33959" s="102" t="str">
        <f ca="1">IFERROR(__xludf.DUMMYFUNCTION("IMPORTRANGE(H33959,""IDENTITAS UNIT!D9"")"),"#N/A")</f>
        <v>#N/A</v>
      </c>
      <c r="H33959" s="4" t="str">
        <v/>
      </c>
      <c r="I33959" s="4" t="str">
        <v/>
      </c>
    </row>
    <row r="33960" spans="5:9" ht="16.5" hidden="1">
      <c r="E33960" s="4" t="str">
        <v/>
      </c>
      <c r="F33960" s="102" t="str">
        <f ca="1">IFERROR(__xludf.DUMMYFUNCTION("IMPORTRANGE(H33960,""IDENTITAS UNIT!D9"")"),"#N/A")</f>
        <v>#N/A</v>
      </c>
      <c r="H33960" s="4" t="str">
        <v/>
      </c>
      <c r="I33960" s="4" t="str">
        <v/>
      </c>
    </row>
    <row r="33961" spans="5:9" ht="16.5" hidden="1">
      <c r="E33961" s="4" t="str">
        <v/>
      </c>
      <c r="F33961" s="102" t="str">
        <f ca="1">IFERROR(__xludf.DUMMYFUNCTION("IMPORTRANGE(H33961,""IDENTITAS UNIT!D9"")"),"#N/A")</f>
        <v>#N/A</v>
      </c>
      <c r="H33961" s="4" t="str">
        <v/>
      </c>
      <c r="I33961" s="4" t="str">
        <v/>
      </c>
    </row>
    <row r="33962" spans="5:9" ht="16.5" hidden="1">
      <c r="E33962" s="4" t="str">
        <v/>
      </c>
      <c r="F33962" s="102" t="str">
        <f ca="1">IFERROR(__xludf.DUMMYFUNCTION("IMPORTRANGE(H33962,""IDENTITAS UNIT!D9"")"),"#N/A")</f>
        <v>#N/A</v>
      </c>
      <c r="H33962" s="4" t="str">
        <v/>
      </c>
      <c r="I33962" s="4" t="str">
        <v/>
      </c>
    </row>
    <row r="33963" spans="5:9" ht="16.5" hidden="1">
      <c r="E33963" s="4" t="str">
        <v/>
      </c>
      <c r="F33963" s="102" t="str">
        <f ca="1">IFERROR(__xludf.DUMMYFUNCTION("IMPORTRANGE(H33963,""IDENTITAS UNIT!D9"")"),"#N/A")</f>
        <v>#N/A</v>
      </c>
      <c r="H33963" s="4" t="str">
        <v/>
      </c>
      <c r="I33963" s="4" t="str">
        <v/>
      </c>
    </row>
    <row r="33964" spans="5:9" ht="16.5" hidden="1">
      <c r="E33964" s="4" t="str">
        <v/>
      </c>
      <c r="F33964" s="102" t="str">
        <f ca="1">IFERROR(__xludf.DUMMYFUNCTION("IMPORTRANGE(H33964,""IDENTITAS UNIT!D9"")"),"#N/A")</f>
        <v>#N/A</v>
      </c>
      <c r="H33964" s="4" t="str">
        <v/>
      </c>
      <c r="I33964" s="4" t="str">
        <v/>
      </c>
    </row>
    <row r="33965" spans="5:9" ht="16.5" hidden="1">
      <c r="E33965" s="4" t="str">
        <v/>
      </c>
      <c r="F33965" s="102" t="str">
        <f ca="1">IFERROR(__xludf.DUMMYFUNCTION("IMPORTRANGE(H33965,""IDENTITAS UNIT!D9"")"),"#N/A")</f>
        <v>#N/A</v>
      </c>
      <c r="H33965" s="4" t="str">
        <v/>
      </c>
      <c r="I33965" s="4" t="str">
        <v/>
      </c>
    </row>
    <row r="33966" spans="5:9" ht="16.5" hidden="1">
      <c r="E33966" s="4" t="str">
        <v/>
      </c>
      <c r="F33966" s="102" t="str">
        <f ca="1">IFERROR(__xludf.DUMMYFUNCTION("IMPORTRANGE(H33966,""IDENTITAS UNIT!D9"")"),"#N/A")</f>
        <v>#N/A</v>
      </c>
      <c r="H33966" s="4" t="str">
        <v/>
      </c>
      <c r="I33966" s="4" t="str">
        <v/>
      </c>
    </row>
    <row r="33967" spans="5:9" ht="16.5" hidden="1">
      <c r="E33967" s="4" t="str">
        <v/>
      </c>
      <c r="F33967" s="102" t="str">
        <f ca="1">IFERROR(__xludf.DUMMYFUNCTION("IMPORTRANGE(H33967,""IDENTITAS UNIT!D9"")"),"#N/A")</f>
        <v>#N/A</v>
      </c>
      <c r="H33967" s="4" t="str">
        <v/>
      </c>
      <c r="I33967" s="4" t="str">
        <v/>
      </c>
    </row>
    <row r="33968" spans="5:9" ht="16.5" hidden="1">
      <c r="E33968" s="4" t="str">
        <v/>
      </c>
      <c r="F33968" s="102" t="str">
        <f ca="1">IFERROR(__xludf.DUMMYFUNCTION("IMPORTRANGE(H33968,""IDENTITAS UNIT!D9"")"),"#N/A")</f>
        <v>#N/A</v>
      </c>
      <c r="H33968" s="4" t="str">
        <v/>
      </c>
      <c r="I33968" s="4" t="str">
        <v/>
      </c>
    </row>
    <row r="33969" spans="5:9" ht="16.5" hidden="1">
      <c r="E33969" s="4" t="str">
        <v/>
      </c>
      <c r="F33969" s="102" t="str">
        <f ca="1">IFERROR(__xludf.DUMMYFUNCTION("IMPORTRANGE(H33969,""IDENTITAS UNIT!D9"")"),"#N/A")</f>
        <v>#N/A</v>
      </c>
      <c r="H33969" s="4" t="str">
        <v/>
      </c>
      <c r="I33969" s="4" t="str">
        <v/>
      </c>
    </row>
    <row r="33970" spans="5:9" ht="16.5" hidden="1">
      <c r="E33970" s="4" t="str">
        <v/>
      </c>
      <c r="F33970" s="102" t="str">
        <f ca="1">IFERROR(__xludf.DUMMYFUNCTION("IMPORTRANGE(H33970,""IDENTITAS UNIT!D9"")"),"#N/A")</f>
        <v>#N/A</v>
      </c>
      <c r="H33970" s="4" t="str">
        <v/>
      </c>
      <c r="I33970" s="4" t="str">
        <v/>
      </c>
    </row>
    <row r="33971" spans="5:9" ht="16.5" hidden="1">
      <c r="E33971" s="4" t="str">
        <v/>
      </c>
      <c r="F33971" s="102" t="str">
        <f ca="1">IFERROR(__xludf.DUMMYFUNCTION("IMPORTRANGE(H33971,""IDENTITAS UNIT!D9"")"),"#N/A")</f>
        <v>#N/A</v>
      </c>
      <c r="H33971" s="4" t="str">
        <v/>
      </c>
      <c r="I33971" s="4" t="str">
        <v/>
      </c>
    </row>
    <row r="33972" spans="5:9" ht="16.5" hidden="1">
      <c r="E33972" s="4" t="str">
        <v/>
      </c>
      <c r="F33972" s="102" t="str">
        <f ca="1">IFERROR(__xludf.DUMMYFUNCTION("IMPORTRANGE(H33972,""IDENTITAS UNIT!D9"")"),"#N/A")</f>
        <v>#N/A</v>
      </c>
      <c r="H33972" s="4" t="str">
        <v/>
      </c>
      <c r="I33972" s="4" t="str">
        <v/>
      </c>
    </row>
    <row r="33973" spans="5:9" ht="16.5" hidden="1">
      <c r="E33973" s="4" t="str">
        <v/>
      </c>
      <c r="F33973" s="102" t="str">
        <f ca="1">IFERROR(__xludf.DUMMYFUNCTION("IMPORTRANGE(H33973,""IDENTITAS UNIT!D9"")"),"#N/A")</f>
        <v>#N/A</v>
      </c>
      <c r="H33973" s="4" t="str">
        <v/>
      </c>
      <c r="I33973" s="4" t="str">
        <v/>
      </c>
    </row>
    <row r="33974" spans="5:9" ht="16.5" hidden="1">
      <c r="E33974" s="4" t="str">
        <v/>
      </c>
      <c r="F33974" s="102" t="str">
        <f ca="1">IFERROR(__xludf.DUMMYFUNCTION("IMPORTRANGE(H33974,""IDENTITAS UNIT!D9"")"),"#N/A")</f>
        <v>#N/A</v>
      </c>
      <c r="H33974" s="4" t="str">
        <v/>
      </c>
      <c r="I33974" s="4" t="str">
        <v/>
      </c>
    </row>
    <row r="33975" spans="5:9" ht="16.5" hidden="1">
      <c r="E33975" s="4" t="str">
        <v/>
      </c>
      <c r="F33975" s="102" t="str">
        <f ca="1">IFERROR(__xludf.DUMMYFUNCTION("IMPORTRANGE(H33975,""IDENTITAS UNIT!D9"")"),"#N/A")</f>
        <v>#N/A</v>
      </c>
      <c r="H33975" s="4" t="str">
        <v/>
      </c>
      <c r="I33975" s="4" t="str">
        <v/>
      </c>
    </row>
    <row r="33976" spans="5:9" ht="16.5" hidden="1">
      <c r="E33976" s="4" t="str">
        <v/>
      </c>
      <c r="F33976" s="102" t="str">
        <f ca="1">IFERROR(__xludf.DUMMYFUNCTION("IMPORTRANGE(H33976,""IDENTITAS UNIT!D9"")"),"#N/A")</f>
        <v>#N/A</v>
      </c>
      <c r="H33976" s="4" t="str">
        <v/>
      </c>
      <c r="I33976" s="4" t="str">
        <v/>
      </c>
    </row>
    <row r="33977" spans="5:9" ht="16.5" hidden="1">
      <c r="E33977" s="4" t="str">
        <v/>
      </c>
      <c r="F33977" s="102" t="str">
        <f ca="1">IFERROR(__xludf.DUMMYFUNCTION("IMPORTRANGE(H33977,""IDENTITAS UNIT!D9"")"),"#N/A")</f>
        <v>#N/A</v>
      </c>
      <c r="H33977" s="4" t="str">
        <v/>
      </c>
      <c r="I33977" s="4" t="str">
        <v/>
      </c>
    </row>
    <row r="33978" spans="5:9" ht="16.5" hidden="1">
      <c r="E33978" s="4" t="str">
        <v/>
      </c>
      <c r="F33978" s="102" t="str">
        <f ca="1">IFERROR(__xludf.DUMMYFUNCTION("IMPORTRANGE(H33978,""IDENTITAS UNIT!D9"")"),"#N/A")</f>
        <v>#N/A</v>
      </c>
      <c r="H33978" s="4" t="str">
        <v/>
      </c>
      <c r="I33978" s="4" t="str">
        <v/>
      </c>
    </row>
    <row r="33979" spans="5:9" ht="16.5" hidden="1">
      <c r="E33979" s="4" t="str">
        <v/>
      </c>
      <c r="F33979" s="102" t="str">
        <f ca="1">IFERROR(__xludf.DUMMYFUNCTION("IMPORTRANGE(H33979,""IDENTITAS UNIT!D9"")"),"#N/A")</f>
        <v>#N/A</v>
      </c>
      <c r="H33979" s="4" t="str">
        <v/>
      </c>
      <c r="I33979" s="4" t="str">
        <v/>
      </c>
    </row>
    <row r="33980" spans="5:9" ht="16.5" hidden="1">
      <c r="E33980" s="4" t="str">
        <v/>
      </c>
      <c r="F33980" s="102" t="str">
        <f ca="1">IFERROR(__xludf.DUMMYFUNCTION("IMPORTRANGE(H33980,""IDENTITAS UNIT!D9"")"),"#N/A")</f>
        <v>#N/A</v>
      </c>
      <c r="H33980" s="4" t="str">
        <v/>
      </c>
      <c r="I33980" s="4" t="str">
        <v/>
      </c>
    </row>
    <row r="33981" spans="5:9" ht="16.5" hidden="1">
      <c r="E33981" s="4" t="str">
        <v/>
      </c>
      <c r="F33981" s="102" t="str">
        <f ca="1">IFERROR(__xludf.DUMMYFUNCTION("IMPORTRANGE(H33981,""IDENTITAS UNIT!D9"")"),"#N/A")</f>
        <v>#N/A</v>
      </c>
      <c r="H33981" s="4" t="str">
        <v/>
      </c>
      <c r="I33981" s="4" t="str">
        <v/>
      </c>
    </row>
    <row r="33982" spans="5:9" ht="16.5" hidden="1">
      <c r="E33982" s="4" t="str">
        <v/>
      </c>
      <c r="F33982" s="102" t="str">
        <f ca="1">IFERROR(__xludf.DUMMYFUNCTION("IMPORTRANGE(H33982,""IDENTITAS UNIT!D9"")"),"#N/A")</f>
        <v>#N/A</v>
      </c>
      <c r="H33982" s="4" t="str">
        <v/>
      </c>
      <c r="I33982" s="4" t="str">
        <v/>
      </c>
    </row>
    <row r="33983" spans="5:9" ht="16.5" hidden="1">
      <c r="E33983" s="4" t="str">
        <v/>
      </c>
      <c r="F33983" s="102" t="str">
        <f ca="1">IFERROR(__xludf.DUMMYFUNCTION("IMPORTRANGE(H33983,""IDENTITAS UNIT!D9"")"),"#N/A")</f>
        <v>#N/A</v>
      </c>
      <c r="H33983" s="4" t="str">
        <v/>
      </c>
      <c r="I33983" s="4" t="str">
        <v/>
      </c>
    </row>
    <row r="33984" spans="5:9" ht="16.5" hidden="1">
      <c r="E33984" s="4" t="str">
        <v/>
      </c>
      <c r="F33984" s="102" t="str">
        <f ca="1">IFERROR(__xludf.DUMMYFUNCTION("IMPORTRANGE(H33984,""IDENTITAS UNIT!D9"")"),"#N/A")</f>
        <v>#N/A</v>
      </c>
      <c r="H33984" s="4" t="str">
        <v/>
      </c>
      <c r="I33984" s="4" t="str">
        <v/>
      </c>
    </row>
    <row r="33985" spans="5:9" ht="16.5" hidden="1">
      <c r="E33985" s="4" t="str">
        <v/>
      </c>
      <c r="F33985" s="102" t="str">
        <f ca="1">IFERROR(__xludf.DUMMYFUNCTION("IMPORTRANGE(H33985,""IDENTITAS UNIT!D9"")"),"#N/A")</f>
        <v>#N/A</v>
      </c>
      <c r="H33985" s="4" t="str">
        <v/>
      </c>
      <c r="I33985" s="4" t="str">
        <v/>
      </c>
    </row>
    <row r="33986" spans="5:9" ht="16.5" hidden="1">
      <c r="E33986" s="4" t="str">
        <v/>
      </c>
      <c r="F33986" s="102" t="str">
        <f ca="1">IFERROR(__xludf.DUMMYFUNCTION("IMPORTRANGE(H33986,""IDENTITAS UNIT!D9"")"),"#N/A")</f>
        <v>#N/A</v>
      </c>
      <c r="H33986" s="4" t="str">
        <v/>
      </c>
      <c r="I33986" s="4" t="str">
        <v/>
      </c>
    </row>
    <row r="33987" spans="5:9" ht="16.5" hidden="1">
      <c r="E33987" s="4" t="str">
        <v/>
      </c>
      <c r="F33987" s="102" t="str">
        <f ca="1">IFERROR(__xludf.DUMMYFUNCTION("IMPORTRANGE(H33987,""IDENTITAS UNIT!D9"")"),"#N/A")</f>
        <v>#N/A</v>
      </c>
      <c r="H33987" s="4" t="str">
        <v/>
      </c>
      <c r="I33987" s="4" t="str">
        <v/>
      </c>
    </row>
    <row r="33988" spans="5:9" ht="16.5" hidden="1">
      <c r="E33988" s="4" t="str">
        <v/>
      </c>
      <c r="F33988" s="102" t="str">
        <f ca="1">IFERROR(__xludf.DUMMYFUNCTION("IMPORTRANGE(H33988,""IDENTITAS UNIT!D9"")"),"#N/A")</f>
        <v>#N/A</v>
      </c>
      <c r="H33988" s="4" t="str">
        <v/>
      </c>
      <c r="I33988" s="4" t="str">
        <v/>
      </c>
    </row>
    <row r="33989" spans="5:9" ht="16.5" hidden="1">
      <c r="E33989" s="4" t="str">
        <v/>
      </c>
      <c r="F33989" s="102" t="str">
        <f ca="1">IFERROR(__xludf.DUMMYFUNCTION("IMPORTRANGE(H33989,""IDENTITAS UNIT!D9"")"),"#N/A")</f>
        <v>#N/A</v>
      </c>
      <c r="H33989" s="4" t="str">
        <v/>
      </c>
      <c r="I33989" s="4" t="str">
        <v/>
      </c>
    </row>
    <row r="33990" spans="5:9" ht="16.5" hidden="1">
      <c r="E33990" s="4" t="str">
        <v/>
      </c>
      <c r="F33990" s="102" t="str">
        <f ca="1">IFERROR(__xludf.DUMMYFUNCTION("IMPORTRANGE(H33990,""IDENTITAS UNIT!D9"")"),"#N/A")</f>
        <v>#N/A</v>
      </c>
      <c r="H33990" s="4" t="str">
        <v/>
      </c>
      <c r="I33990" s="4" t="str">
        <v/>
      </c>
    </row>
    <row r="33991" spans="5:9" ht="16.5" hidden="1">
      <c r="E33991" s="4" t="str">
        <v/>
      </c>
      <c r="F33991" s="102" t="str">
        <f ca="1">IFERROR(__xludf.DUMMYFUNCTION("IMPORTRANGE(H33991,""IDENTITAS UNIT!D9"")"),"#N/A")</f>
        <v>#N/A</v>
      </c>
      <c r="H33991" s="4" t="str">
        <v/>
      </c>
      <c r="I33991" s="4" t="str">
        <v/>
      </c>
    </row>
    <row r="33992" spans="5:9" ht="16.5" hidden="1">
      <c r="E33992" s="4" t="str">
        <v/>
      </c>
      <c r="F33992" s="102" t="str">
        <f ca="1">IFERROR(__xludf.DUMMYFUNCTION("IMPORTRANGE(H33992,""IDENTITAS UNIT!D9"")"),"#N/A")</f>
        <v>#N/A</v>
      </c>
      <c r="H33992" s="4" t="str">
        <v/>
      </c>
      <c r="I33992" s="4" t="str">
        <v/>
      </c>
    </row>
    <row r="33993" spans="5:9" ht="16.5" hidden="1">
      <c r="E33993" s="4" t="str">
        <v/>
      </c>
      <c r="F33993" s="102" t="str">
        <f ca="1">IFERROR(__xludf.DUMMYFUNCTION("IMPORTRANGE(H33993,""IDENTITAS UNIT!D9"")"),"#N/A")</f>
        <v>#N/A</v>
      </c>
      <c r="H33993" s="4" t="str">
        <v/>
      </c>
      <c r="I33993" s="4" t="str">
        <v/>
      </c>
    </row>
    <row r="33994" spans="5:9" ht="16.5" hidden="1">
      <c r="E33994" s="4" t="str">
        <v/>
      </c>
      <c r="F33994" s="102" t="str">
        <f ca="1">IFERROR(__xludf.DUMMYFUNCTION("IMPORTRANGE(H33994,""IDENTITAS UNIT!D9"")"),"#N/A")</f>
        <v>#N/A</v>
      </c>
      <c r="H33994" s="4" t="str">
        <v/>
      </c>
      <c r="I33994" s="4" t="str">
        <v/>
      </c>
    </row>
    <row r="33995" spans="5:9" ht="16.5" hidden="1">
      <c r="E33995" s="4" t="str">
        <v/>
      </c>
      <c r="F33995" s="102" t="str">
        <f ca="1">IFERROR(__xludf.DUMMYFUNCTION("IMPORTRANGE(H33995,""IDENTITAS UNIT!D9"")"),"#N/A")</f>
        <v>#N/A</v>
      </c>
      <c r="H33995" s="4" t="str">
        <v/>
      </c>
      <c r="I33995" s="4" t="str">
        <v/>
      </c>
    </row>
    <row r="33996" spans="5:9" ht="16.5" hidden="1">
      <c r="E33996" s="4" t="str">
        <v/>
      </c>
      <c r="F33996" s="102" t="str">
        <f ca="1">IFERROR(__xludf.DUMMYFUNCTION("IMPORTRANGE(H33996,""IDENTITAS UNIT!D9"")"),"#N/A")</f>
        <v>#N/A</v>
      </c>
      <c r="H33996" s="4" t="str">
        <v/>
      </c>
      <c r="I33996" s="4" t="str">
        <v/>
      </c>
    </row>
    <row r="33997" spans="5:9" ht="16.5" hidden="1">
      <c r="E33997" s="4" t="str">
        <v/>
      </c>
      <c r="F33997" s="102" t="str">
        <f ca="1">IFERROR(__xludf.DUMMYFUNCTION("IMPORTRANGE(H33997,""IDENTITAS UNIT!D9"")"),"#N/A")</f>
        <v>#N/A</v>
      </c>
      <c r="H33997" s="4" t="str">
        <v/>
      </c>
      <c r="I33997" s="4" t="str">
        <v/>
      </c>
    </row>
    <row r="33998" spans="5:9" ht="16.5" hidden="1">
      <c r="E33998" s="4" t="str">
        <v/>
      </c>
      <c r="F33998" s="102" t="str">
        <f ca="1">IFERROR(__xludf.DUMMYFUNCTION("IMPORTRANGE(H33998,""IDENTITAS UNIT!D9"")"),"#N/A")</f>
        <v>#N/A</v>
      </c>
      <c r="H33998" s="4" t="str">
        <v/>
      </c>
      <c r="I33998" s="4" t="str">
        <v/>
      </c>
    </row>
    <row r="33999" spans="5:9" ht="16.5" hidden="1">
      <c r="E33999" s="4" t="str">
        <v/>
      </c>
      <c r="F33999" s="102" t="str">
        <f ca="1">IFERROR(__xludf.DUMMYFUNCTION("IMPORTRANGE(H33999,""IDENTITAS UNIT!D9"")"),"#N/A")</f>
        <v>#N/A</v>
      </c>
      <c r="H33999" s="4" t="str">
        <v/>
      </c>
      <c r="I33999" s="4" t="str">
        <v/>
      </c>
    </row>
    <row r="34000" spans="5:9" ht="16.5" hidden="1">
      <c r="E34000" s="4" t="str">
        <v/>
      </c>
      <c r="F34000" s="102" t="str">
        <f ca="1">IFERROR(__xludf.DUMMYFUNCTION("IMPORTRANGE(H34000,""IDENTITAS UNIT!D9"")"),"#N/A")</f>
        <v>#N/A</v>
      </c>
      <c r="H34000" s="4" t="str">
        <v/>
      </c>
      <c r="I34000" s="4" t="str">
        <v/>
      </c>
    </row>
    <row r="34001" spans="5:9" ht="16.5" hidden="1">
      <c r="E34001" s="4" t="str">
        <v/>
      </c>
      <c r="F34001" s="102" t="str">
        <f ca="1">IFERROR(__xludf.DUMMYFUNCTION("IMPORTRANGE(H34001,""IDENTITAS UNIT!D9"")"),"#N/A")</f>
        <v>#N/A</v>
      </c>
      <c r="H34001" s="4" t="str">
        <v/>
      </c>
      <c r="I34001" s="4" t="str">
        <v/>
      </c>
    </row>
    <row r="34002" spans="5:9" ht="16.5" hidden="1">
      <c r="E34002" s="4" t="str">
        <v/>
      </c>
      <c r="F34002" s="102" t="str">
        <f ca="1">IFERROR(__xludf.DUMMYFUNCTION("IMPORTRANGE(H34002,""IDENTITAS UNIT!D9"")"),"#N/A")</f>
        <v>#N/A</v>
      </c>
      <c r="H34002" s="4" t="str">
        <v/>
      </c>
      <c r="I34002" s="4" t="str">
        <v/>
      </c>
    </row>
    <row r="34003" spans="5:9" ht="16.5" hidden="1">
      <c r="E34003" s="4" t="str">
        <v/>
      </c>
      <c r="F34003" s="102" t="str">
        <f ca="1">IFERROR(__xludf.DUMMYFUNCTION("IMPORTRANGE(H34003,""IDENTITAS UNIT!D9"")"),"#N/A")</f>
        <v>#N/A</v>
      </c>
      <c r="H34003" s="4" t="str">
        <v/>
      </c>
      <c r="I34003" s="4" t="str">
        <v/>
      </c>
    </row>
    <row r="34004" spans="5:9" ht="16.5" hidden="1">
      <c r="E34004" s="4" t="str">
        <v/>
      </c>
      <c r="F34004" s="102" t="str">
        <f ca="1">IFERROR(__xludf.DUMMYFUNCTION("IMPORTRANGE(H34004,""IDENTITAS UNIT!D9"")"),"#N/A")</f>
        <v>#N/A</v>
      </c>
      <c r="H34004" s="4" t="str">
        <v/>
      </c>
      <c r="I34004" s="4" t="str">
        <v/>
      </c>
    </row>
    <row r="34005" spans="5:9" ht="16.5" hidden="1">
      <c r="E34005" s="4" t="str">
        <v/>
      </c>
      <c r="F34005" s="102" t="str">
        <f ca="1">IFERROR(__xludf.DUMMYFUNCTION("IMPORTRANGE(H34005,""IDENTITAS UNIT!D9"")"),"#N/A")</f>
        <v>#N/A</v>
      </c>
      <c r="H34005" s="4" t="str">
        <v/>
      </c>
      <c r="I34005" s="4" t="str">
        <v/>
      </c>
    </row>
    <row r="34006" spans="5:9" ht="16.5" hidden="1">
      <c r="E34006" s="4" t="str">
        <v/>
      </c>
      <c r="F34006" s="102" t="str">
        <f ca="1">IFERROR(__xludf.DUMMYFUNCTION("IMPORTRANGE(H34006,""IDENTITAS UNIT!D9"")"),"#N/A")</f>
        <v>#N/A</v>
      </c>
      <c r="H34006" s="4" t="str">
        <v/>
      </c>
      <c r="I34006" s="4" t="str">
        <v/>
      </c>
    </row>
    <row r="34007" spans="5:9" ht="16.5" hidden="1">
      <c r="E34007" s="4" t="str">
        <v/>
      </c>
      <c r="F34007" s="102" t="str">
        <f ca="1">IFERROR(__xludf.DUMMYFUNCTION("IMPORTRANGE(H34007,""IDENTITAS UNIT!D9"")"),"#N/A")</f>
        <v>#N/A</v>
      </c>
      <c r="H34007" s="4" t="str">
        <v/>
      </c>
      <c r="I34007" s="4" t="str">
        <v/>
      </c>
    </row>
    <row r="34008" spans="5:9" ht="16.5" hidden="1">
      <c r="E34008" s="4" t="str">
        <v/>
      </c>
      <c r="F34008" s="102" t="str">
        <f ca="1">IFERROR(__xludf.DUMMYFUNCTION("IMPORTRANGE(H34008,""IDENTITAS UNIT!D9"")"),"#N/A")</f>
        <v>#N/A</v>
      </c>
      <c r="H34008" s="4" t="str">
        <v/>
      </c>
      <c r="I34008" s="4" t="str">
        <v/>
      </c>
    </row>
    <row r="34009" spans="5:9" ht="16.5" hidden="1">
      <c r="E34009" s="4" t="str">
        <v/>
      </c>
      <c r="F34009" s="102" t="str">
        <f ca="1">IFERROR(__xludf.DUMMYFUNCTION("IMPORTRANGE(H34009,""IDENTITAS UNIT!D9"")"),"#N/A")</f>
        <v>#N/A</v>
      </c>
      <c r="H34009" s="4" t="str">
        <v/>
      </c>
      <c r="I34009" s="4" t="str">
        <v/>
      </c>
    </row>
    <row r="34010" spans="5:9" ht="16.5" hidden="1">
      <c r="E34010" s="4" t="str">
        <v/>
      </c>
      <c r="F34010" s="102" t="str">
        <f ca="1">IFERROR(__xludf.DUMMYFUNCTION("IMPORTRANGE(H34010,""IDENTITAS UNIT!D9"")"),"#N/A")</f>
        <v>#N/A</v>
      </c>
      <c r="H34010" s="4" t="str">
        <v/>
      </c>
      <c r="I34010" s="4" t="str">
        <v/>
      </c>
    </row>
    <row r="34011" spans="5:9" ht="16.5" hidden="1">
      <c r="E34011" s="4" t="str">
        <v/>
      </c>
      <c r="F34011" s="102" t="str">
        <f ca="1">IFERROR(__xludf.DUMMYFUNCTION("IMPORTRANGE(H34011,""IDENTITAS UNIT!D9"")"),"#N/A")</f>
        <v>#N/A</v>
      </c>
      <c r="H34011" s="4" t="str">
        <v/>
      </c>
      <c r="I34011" s="4" t="str">
        <v/>
      </c>
    </row>
    <row r="34012" spans="5:9" ht="16.5" hidden="1">
      <c r="E34012" s="4" t="str">
        <v/>
      </c>
      <c r="F34012" s="102" t="str">
        <f ca="1">IFERROR(__xludf.DUMMYFUNCTION("IMPORTRANGE(H34012,""IDENTITAS UNIT!D9"")"),"#N/A")</f>
        <v>#N/A</v>
      </c>
      <c r="H34012" s="4" t="str">
        <v/>
      </c>
      <c r="I34012" s="4" t="str">
        <v/>
      </c>
    </row>
    <row r="34013" spans="5:9" ht="16.5" hidden="1">
      <c r="E34013" s="4" t="str">
        <v/>
      </c>
      <c r="F34013" s="102" t="str">
        <f ca="1">IFERROR(__xludf.DUMMYFUNCTION("IMPORTRANGE(H34013,""IDENTITAS UNIT!D9"")"),"#N/A")</f>
        <v>#N/A</v>
      </c>
      <c r="H34013" s="4" t="str">
        <v/>
      </c>
      <c r="I34013" s="4" t="str">
        <v/>
      </c>
    </row>
    <row r="34014" spans="5:9" ht="16.5" hidden="1">
      <c r="E34014" s="4" t="str">
        <v/>
      </c>
      <c r="F34014" s="102" t="str">
        <f ca="1">IFERROR(__xludf.DUMMYFUNCTION("IMPORTRANGE(H34014,""IDENTITAS UNIT!D9"")"),"#N/A")</f>
        <v>#N/A</v>
      </c>
      <c r="H34014" s="4" t="str">
        <v/>
      </c>
      <c r="I34014" s="4" t="str">
        <v/>
      </c>
    </row>
    <row r="34015" spans="5:9" ht="16.5" hidden="1">
      <c r="E34015" s="4" t="str">
        <v/>
      </c>
      <c r="F34015" s="102" t="str">
        <f ca="1">IFERROR(__xludf.DUMMYFUNCTION("IMPORTRANGE(H34015,""IDENTITAS UNIT!D9"")"),"#N/A")</f>
        <v>#N/A</v>
      </c>
      <c r="H34015" s="4" t="str">
        <v/>
      </c>
      <c r="I34015" s="4" t="str">
        <v/>
      </c>
    </row>
    <row r="34016" spans="5:9" ht="16.5" hidden="1">
      <c r="E34016" s="4" t="str">
        <v/>
      </c>
      <c r="F34016" s="102" t="str">
        <f ca="1">IFERROR(__xludf.DUMMYFUNCTION("IMPORTRANGE(H34016,""IDENTITAS UNIT!D9"")"),"#N/A")</f>
        <v>#N/A</v>
      </c>
      <c r="H34016" s="4" t="str">
        <v/>
      </c>
      <c r="I34016" s="4" t="str">
        <v/>
      </c>
    </row>
    <row r="34017" spans="5:9" ht="16.5" hidden="1">
      <c r="E34017" s="4" t="str">
        <v/>
      </c>
      <c r="F34017" s="102" t="str">
        <f ca="1">IFERROR(__xludf.DUMMYFUNCTION("IMPORTRANGE(H34017,""IDENTITAS UNIT!D9"")"),"#N/A")</f>
        <v>#N/A</v>
      </c>
      <c r="H34017" s="4" t="str">
        <v/>
      </c>
      <c r="I34017" s="4" t="str">
        <v/>
      </c>
    </row>
    <row r="34018" spans="5:9" ht="16.5" hidden="1">
      <c r="E34018" s="4" t="str">
        <v/>
      </c>
      <c r="F34018" s="102" t="str">
        <f ca="1">IFERROR(__xludf.DUMMYFUNCTION("IMPORTRANGE(H34018,""IDENTITAS UNIT!D9"")"),"#N/A")</f>
        <v>#N/A</v>
      </c>
      <c r="H34018" s="4" t="str">
        <v/>
      </c>
      <c r="I34018" s="4" t="str">
        <v/>
      </c>
    </row>
    <row r="34019" spans="5:9" ht="16.5" hidden="1">
      <c r="E34019" s="4" t="str">
        <v/>
      </c>
      <c r="F34019" s="102" t="str">
        <f ca="1">IFERROR(__xludf.DUMMYFUNCTION("IMPORTRANGE(H34019,""IDENTITAS UNIT!D9"")"),"#N/A")</f>
        <v>#N/A</v>
      </c>
      <c r="H34019" s="4" t="str">
        <v/>
      </c>
      <c r="I34019" s="4" t="str">
        <v/>
      </c>
    </row>
    <row r="34020" spans="5:9" ht="16.5" hidden="1">
      <c r="E34020" s="4" t="str">
        <v/>
      </c>
      <c r="F34020" s="102" t="str">
        <f ca="1">IFERROR(__xludf.DUMMYFUNCTION("IMPORTRANGE(H34020,""IDENTITAS UNIT!D9"")"),"#N/A")</f>
        <v>#N/A</v>
      </c>
      <c r="H34020" s="4" t="str">
        <v/>
      </c>
      <c r="I34020" s="4" t="str">
        <v/>
      </c>
    </row>
    <row r="34021" spans="5:9" ht="16.5" hidden="1">
      <c r="E34021" s="4" t="str">
        <v/>
      </c>
      <c r="F34021" s="102" t="str">
        <f ca="1">IFERROR(__xludf.DUMMYFUNCTION("IMPORTRANGE(H34021,""IDENTITAS UNIT!D9"")"),"#N/A")</f>
        <v>#N/A</v>
      </c>
      <c r="H34021" s="4" t="str">
        <v/>
      </c>
      <c r="I34021" s="4" t="str">
        <v/>
      </c>
    </row>
    <row r="34022" spans="5:9" ht="16.5" hidden="1">
      <c r="E34022" s="4" t="str">
        <v/>
      </c>
      <c r="F34022" s="102" t="str">
        <f ca="1">IFERROR(__xludf.DUMMYFUNCTION("IMPORTRANGE(H34022,""IDENTITAS UNIT!D9"")"),"#N/A")</f>
        <v>#N/A</v>
      </c>
      <c r="H34022" s="4" t="str">
        <v/>
      </c>
      <c r="I34022" s="4" t="str">
        <v/>
      </c>
    </row>
    <row r="34023" spans="5:9" ht="16.5" hidden="1">
      <c r="E34023" s="4" t="str">
        <v/>
      </c>
      <c r="F34023" s="102" t="str">
        <f ca="1">IFERROR(__xludf.DUMMYFUNCTION("IMPORTRANGE(H34023,""IDENTITAS UNIT!D9"")"),"#N/A")</f>
        <v>#N/A</v>
      </c>
      <c r="H34023" s="4" t="str">
        <v/>
      </c>
      <c r="I34023" s="4" t="str">
        <v/>
      </c>
    </row>
    <row r="34024" spans="5:9" ht="16.5" hidden="1">
      <c r="E34024" s="4" t="str">
        <v/>
      </c>
      <c r="F34024" s="102" t="str">
        <f ca="1">IFERROR(__xludf.DUMMYFUNCTION("IMPORTRANGE(H34024,""IDENTITAS UNIT!D9"")"),"#N/A")</f>
        <v>#N/A</v>
      </c>
      <c r="H34024" s="4" t="str">
        <v/>
      </c>
      <c r="I34024" s="4" t="str">
        <v/>
      </c>
    </row>
    <row r="34025" spans="5:9" ht="16.5" hidden="1">
      <c r="E34025" s="4" t="str">
        <v/>
      </c>
      <c r="F34025" s="102" t="str">
        <f ca="1">IFERROR(__xludf.DUMMYFUNCTION("IMPORTRANGE(H34025,""IDENTITAS UNIT!D9"")"),"#N/A")</f>
        <v>#N/A</v>
      </c>
      <c r="H34025" s="4" t="str">
        <v/>
      </c>
      <c r="I34025" s="4" t="str">
        <v/>
      </c>
    </row>
    <row r="34026" spans="5:9" ht="16.5" hidden="1">
      <c r="E34026" s="4" t="str">
        <v/>
      </c>
      <c r="F34026" s="102" t="str">
        <f ca="1">IFERROR(__xludf.DUMMYFUNCTION("IMPORTRANGE(H34026,""IDENTITAS UNIT!D9"")"),"#N/A")</f>
        <v>#N/A</v>
      </c>
      <c r="H34026" s="4" t="str">
        <v/>
      </c>
      <c r="I34026" s="4" t="str">
        <v/>
      </c>
    </row>
    <row r="34027" spans="5:9" ht="16.5" hidden="1">
      <c r="E34027" s="4" t="str">
        <v/>
      </c>
      <c r="F34027" s="102" t="str">
        <f ca="1">IFERROR(__xludf.DUMMYFUNCTION("IMPORTRANGE(H34027,""IDENTITAS UNIT!D9"")"),"#N/A")</f>
        <v>#N/A</v>
      </c>
      <c r="H34027" s="4" t="str">
        <v/>
      </c>
      <c r="I34027" s="4" t="str">
        <v/>
      </c>
    </row>
    <row r="34028" spans="5:9" ht="16.5" hidden="1">
      <c r="E34028" s="4" t="str">
        <v/>
      </c>
      <c r="F34028" s="102" t="str">
        <f ca="1">IFERROR(__xludf.DUMMYFUNCTION("IMPORTRANGE(H34028,""IDENTITAS UNIT!D9"")"),"#N/A")</f>
        <v>#N/A</v>
      </c>
      <c r="H34028" s="4" t="str">
        <v/>
      </c>
      <c r="I34028" s="4" t="str">
        <v/>
      </c>
    </row>
    <row r="34029" spans="5:9" ht="16.5" hidden="1">
      <c r="E34029" s="4" t="str">
        <v/>
      </c>
      <c r="F34029" s="102" t="str">
        <f ca="1">IFERROR(__xludf.DUMMYFUNCTION("IMPORTRANGE(H34029,""IDENTITAS UNIT!D9"")"),"#N/A")</f>
        <v>#N/A</v>
      </c>
      <c r="H34029" s="4" t="str">
        <v/>
      </c>
      <c r="I34029" s="4" t="str">
        <v/>
      </c>
    </row>
    <row r="34030" spans="5:9" ht="16.5" hidden="1">
      <c r="E34030" s="4" t="str">
        <v/>
      </c>
      <c r="F34030" s="102" t="str">
        <f ca="1">IFERROR(__xludf.DUMMYFUNCTION("IMPORTRANGE(H34030,""IDENTITAS UNIT!D9"")"),"#N/A")</f>
        <v>#N/A</v>
      </c>
      <c r="H34030" s="4" t="str">
        <v/>
      </c>
      <c r="I34030" s="4" t="str">
        <v/>
      </c>
    </row>
    <row r="34031" spans="5:9" ht="16.5" hidden="1">
      <c r="E34031" s="4" t="str">
        <v/>
      </c>
      <c r="F34031" s="102" t="str">
        <f ca="1">IFERROR(__xludf.DUMMYFUNCTION("IMPORTRANGE(H34031,""IDENTITAS UNIT!D9"")"),"#N/A")</f>
        <v>#N/A</v>
      </c>
      <c r="H34031" s="4" t="str">
        <v/>
      </c>
      <c r="I34031" s="4" t="str">
        <v/>
      </c>
    </row>
    <row r="34032" spans="5:9" ht="16.5" hidden="1">
      <c r="E34032" s="4" t="str">
        <v/>
      </c>
      <c r="F34032" s="102" t="str">
        <f ca="1">IFERROR(__xludf.DUMMYFUNCTION("IMPORTRANGE(H34032,""IDENTITAS UNIT!D9"")"),"#N/A")</f>
        <v>#N/A</v>
      </c>
      <c r="H34032" s="4" t="str">
        <v/>
      </c>
      <c r="I34032" s="4" t="str">
        <v/>
      </c>
    </row>
    <row r="34033" spans="5:9" ht="16.5" hidden="1">
      <c r="E34033" s="4" t="str">
        <v/>
      </c>
      <c r="F34033" s="102" t="str">
        <f ca="1">IFERROR(__xludf.DUMMYFUNCTION("IMPORTRANGE(H34033,""IDENTITAS UNIT!D9"")"),"#N/A")</f>
        <v>#N/A</v>
      </c>
      <c r="H34033" s="4" t="str">
        <v/>
      </c>
      <c r="I34033" s="4" t="str">
        <v/>
      </c>
    </row>
    <row r="34034" spans="5:9" ht="16.5" hidden="1">
      <c r="E34034" s="4" t="str">
        <v/>
      </c>
      <c r="F34034" s="102" t="str">
        <f ca="1">IFERROR(__xludf.DUMMYFUNCTION("IMPORTRANGE(H34034,""IDENTITAS UNIT!D9"")"),"#N/A")</f>
        <v>#N/A</v>
      </c>
      <c r="H34034" s="4" t="str">
        <v/>
      </c>
      <c r="I34034" s="4" t="str">
        <v/>
      </c>
    </row>
    <row r="34035" spans="5:9" ht="16.5" hidden="1">
      <c r="E34035" s="4" t="str">
        <v/>
      </c>
      <c r="F34035" s="102" t="str">
        <f ca="1">IFERROR(__xludf.DUMMYFUNCTION("IMPORTRANGE(H34035,""IDENTITAS UNIT!D9"")"),"#N/A")</f>
        <v>#N/A</v>
      </c>
      <c r="H34035" s="4" t="str">
        <v/>
      </c>
      <c r="I34035" s="4" t="str">
        <v/>
      </c>
    </row>
    <row r="34036" spans="5:9" ht="16.5" hidden="1">
      <c r="E34036" s="4" t="str">
        <v/>
      </c>
      <c r="F34036" s="102" t="str">
        <f ca="1">IFERROR(__xludf.DUMMYFUNCTION("IMPORTRANGE(H34036,""IDENTITAS UNIT!D9"")"),"#N/A")</f>
        <v>#N/A</v>
      </c>
      <c r="H34036" s="4" t="str">
        <v/>
      </c>
      <c r="I34036" s="4" t="str">
        <v/>
      </c>
    </row>
    <row r="34037" spans="5:9" ht="16.5" hidden="1">
      <c r="E34037" s="4" t="str">
        <v/>
      </c>
      <c r="F34037" s="102" t="str">
        <f ca="1">IFERROR(__xludf.DUMMYFUNCTION("IMPORTRANGE(H34037,""IDENTITAS UNIT!D9"")"),"#N/A")</f>
        <v>#N/A</v>
      </c>
      <c r="H34037" s="4" t="str">
        <v/>
      </c>
      <c r="I34037" s="4" t="str">
        <v/>
      </c>
    </row>
    <row r="34038" spans="5:9" ht="16.5" hidden="1">
      <c r="E34038" s="4" t="str">
        <v/>
      </c>
      <c r="F34038" s="102" t="str">
        <f ca="1">IFERROR(__xludf.DUMMYFUNCTION("IMPORTRANGE(H34038,""IDENTITAS UNIT!D9"")"),"#N/A")</f>
        <v>#N/A</v>
      </c>
      <c r="H34038" s="4" t="str">
        <v/>
      </c>
      <c r="I34038" s="4" t="str">
        <v/>
      </c>
    </row>
    <row r="34039" spans="5:9" ht="16.5" hidden="1">
      <c r="E34039" s="4" t="str">
        <v/>
      </c>
      <c r="F34039" s="102" t="str">
        <f ca="1">IFERROR(__xludf.DUMMYFUNCTION("IMPORTRANGE(H34039,""IDENTITAS UNIT!D9"")"),"#N/A")</f>
        <v>#N/A</v>
      </c>
      <c r="H34039" s="4" t="str">
        <v/>
      </c>
      <c r="I34039" s="4" t="str">
        <v/>
      </c>
    </row>
    <row r="34040" spans="5:9" ht="16.5" hidden="1">
      <c r="E34040" s="4" t="str">
        <v/>
      </c>
      <c r="F34040" s="102" t="str">
        <f ca="1">IFERROR(__xludf.DUMMYFUNCTION("IMPORTRANGE(H34040,""IDENTITAS UNIT!D9"")"),"#N/A")</f>
        <v>#N/A</v>
      </c>
      <c r="H34040" s="4" t="str">
        <v/>
      </c>
      <c r="I34040" s="4" t="str">
        <v/>
      </c>
    </row>
    <row r="34041" spans="5:9" ht="16.5" hidden="1">
      <c r="E34041" s="4" t="str">
        <v/>
      </c>
      <c r="F34041" s="102" t="str">
        <f ca="1">IFERROR(__xludf.DUMMYFUNCTION("IMPORTRANGE(H34041,""IDENTITAS UNIT!D9"")"),"#N/A")</f>
        <v>#N/A</v>
      </c>
      <c r="H34041" s="4" t="str">
        <v/>
      </c>
      <c r="I34041" s="4" t="str">
        <v/>
      </c>
    </row>
    <row r="34042" spans="5:9" ht="16.5" hidden="1">
      <c r="E34042" s="4" t="str">
        <v/>
      </c>
      <c r="F34042" s="102" t="str">
        <f ca="1">IFERROR(__xludf.DUMMYFUNCTION("IMPORTRANGE(H34042,""IDENTITAS UNIT!D9"")"),"#N/A")</f>
        <v>#N/A</v>
      </c>
      <c r="H34042" s="4" t="str">
        <v/>
      </c>
      <c r="I34042" s="4" t="str">
        <v/>
      </c>
    </row>
    <row r="34043" spans="5:9" ht="16.5" hidden="1">
      <c r="E34043" s="4" t="str">
        <v/>
      </c>
      <c r="F34043" s="102" t="str">
        <f ca="1">IFERROR(__xludf.DUMMYFUNCTION("IMPORTRANGE(H34043,""IDENTITAS UNIT!D9"")"),"#N/A")</f>
        <v>#N/A</v>
      </c>
      <c r="H34043" s="4" t="str">
        <v/>
      </c>
      <c r="I34043" s="4" t="str">
        <v/>
      </c>
    </row>
    <row r="34044" spans="5:9" ht="16.5" hidden="1">
      <c r="E34044" s="4" t="str">
        <v/>
      </c>
      <c r="F34044" s="102" t="str">
        <f ca="1">IFERROR(__xludf.DUMMYFUNCTION("IMPORTRANGE(H34044,""IDENTITAS UNIT!D9"")"),"#N/A")</f>
        <v>#N/A</v>
      </c>
      <c r="H34044" s="4" t="str">
        <v/>
      </c>
      <c r="I34044" s="4" t="str">
        <v/>
      </c>
    </row>
    <row r="34045" spans="5:9" ht="16.5" hidden="1">
      <c r="E34045" s="4" t="str">
        <v/>
      </c>
      <c r="F34045" s="102" t="str">
        <f ca="1">IFERROR(__xludf.DUMMYFUNCTION("IMPORTRANGE(H34045,""IDENTITAS UNIT!D9"")"),"#N/A")</f>
        <v>#N/A</v>
      </c>
      <c r="H34045" s="4" t="str">
        <v/>
      </c>
      <c r="I34045" s="4" t="str">
        <v/>
      </c>
    </row>
    <row r="34046" spans="5:9" ht="16.5" hidden="1">
      <c r="E34046" s="4" t="str">
        <v/>
      </c>
      <c r="F34046" s="102" t="str">
        <f ca="1">IFERROR(__xludf.DUMMYFUNCTION("IMPORTRANGE(H34046,""IDENTITAS UNIT!D9"")"),"#N/A")</f>
        <v>#N/A</v>
      </c>
      <c r="H34046" s="4" t="str">
        <v/>
      </c>
      <c r="I34046" s="4" t="str">
        <v/>
      </c>
    </row>
    <row r="34047" spans="5:9" ht="16.5" hidden="1">
      <c r="E34047" s="4" t="str">
        <v/>
      </c>
      <c r="F34047" s="102" t="str">
        <f ca="1">IFERROR(__xludf.DUMMYFUNCTION("IMPORTRANGE(H34047,""IDENTITAS UNIT!D9"")"),"#N/A")</f>
        <v>#N/A</v>
      </c>
      <c r="H34047" s="4" t="str">
        <v/>
      </c>
      <c r="I34047" s="4" t="str">
        <v/>
      </c>
    </row>
    <row r="34048" spans="5:9" ht="16.5" hidden="1">
      <c r="E34048" s="4" t="str">
        <v/>
      </c>
      <c r="F34048" s="102" t="str">
        <f ca="1">IFERROR(__xludf.DUMMYFUNCTION("IMPORTRANGE(H34048,""IDENTITAS UNIT!D9"")"),"#N/A")</f>
        <v>#N/A</v>
      </c>
      <c r="H34048" s="4" t="str">
        <v/>
      </c>
      <c r="I34048" s="4" t="str">
        <v/>
      </c>
    </row>
    <row r="34049" spans="5:9" ht="16.5" hidden="1">
      <c r="E34049" s="4" t="str">
        <v/>
      </c>
      <c r="F34049" s="102" t="str">
        <f ca="1">IFERROR(__xludf.DUMMYFUNCTION("IMPORTRANGE(H34049,""IDENTITAS UNIT!D9"")"),"#N/A")</f>
        <v>#N/A</v>
      </c>
      <c r="H34049" s="4" t="str">
        <v/>
      </c>
      <c r="I34049" s="4" t="str">
        <v/>
      </c>
    </row>
    <row r="34050" spans="5:9" ht="16.5" hidden="1">
      <c r="E34050" s="4" t="str">
        <v/>
      </c>
      <c r="F34050" s="102" t="str">
        <f ca="1">IFERROR(__xludf.DUMMYFUNCTION("IMPORTRANGE(H34050,""IDENTITAS UNIT!D9"")"),"#N/A")</f>
        <v>#N/A</v>
      </c>
      <c r="H34050" s="4" t="str">
        <v/>
      </c>
      <c r="I34050" s="4" t="str">
        <v/>
      </c>
    </row>
    <row r="34051" spans="5:9" ht="16.5" hidden="1">
      <c r="E34051" s="4" t="str">
        <v/>
      </c>
      <c r="F34051" s="102" t="str">
        <f ca="1">IFERROR(__xludf.DUMMYFUNCTION("IMPORTRANGE(H34051,""IDENTITAS UNIT!D9"")"),"#N/A")</f>
        <v>#N/A</v>
      </c>
      <c r="H34051" s="4" t="str">
        <v/>
      </c>
      <c r="I34051" s="4" t="str">
        <v/>
      </c>
    </row>
    <row r="34052" spans="5:9" ht="16.5" hidden="1">
      <c r="E34052" s="4" t="str">
        <v/>
      </c>
      <c r="F34052" s="102" t="str">
        <f ca="1">IFERROR(__xludf.DUMMYFUNCTION("IMPORTRANGE(H34052,""IDENTITAS UNIT!D9"")"),"#N/A")</f>
        <v>#N/A</v>
      </c>
      <c r="H34052" s="4" t="str">
        <v/>
      </c>
      <c r="I34052" s="4" t="str">
        <v/>
      </c>
    </row>
    <row r="34053" spans="5:9" ht="16.5" hidden="1">
      <c r="E34053" s="4" t="str">
        <v/>
      </c>
      <c r="F34053" s="102" t="str">
        <f ca="1">IFERROR(__xludf.DUMMYFUNCTION("IMPORTRANGE(H34053,""IDENTITAS UNIT!D9"")"),"#N/A")</f>
        <v>#N/A</v>
      </c>
      <c r="H34053" s="4" t="str">
        <v/>
      </c>
      <c r="I34053" s="4" t="str">
        <v/>
      </c>
    </row>
    <row r="34054" spans="5:9" ht="16.5" hidden="1">
      <c r="E34054" s="4" t="str">
        <v/>
      </c>
      <c r="F34054" s="102" t="str">
        <f ca="1">IFERROR(__xludf.DUMMYFUNCTION("IMPORTRANGE(H34054,""IDENTITAS UNIT!D9"")"),"#N/A")</f>
        <v>#N/A</v>
      </c>
      <c r="H34054" s="4" t="str">
        <v/>
      </c>
      <c r="I34054" s="4" t="str">
        <v/>
      </c>
    </row>
    <row r="34055" spans="5:9" ht="16.5" hidden="1">
      <c r="E34055" s="4" t="str">
        <v/>
      </c>
      <c r="F34055" s="102" t="str">
        <f ca="1">IFERROR(__xludf.DUMMYFUNCTION("IMPORTRANGE(H34055,""IDENTITAS UNIT!D9"")"),"#N/A")</f>
        <v>#N/A</v>
      </c>
      <c r="H34055" s="4" t="str">
        <v/>
      </c>
      <c r="I34055" s="4" t="str">
        <v/>
      </c>
    </row>
    <row r="34056" spans="5:9" ht="16.5" hidden="1">
      <c r="E34056" s="4" t="str">
        <v/>
      </c>
      <c r="F34056" s="102" t="str">
        <f ca="1">IFERROR(__xludf.DUMMYFUNCTION("IMPORTRANGE(H34056,""IDENTITAS UNIT!D9"")"),"#N/A")</f>
        <v>#N/A</v>
      </c>
      <c r="H34056" s="4" t="str">
        <v/>
      </c>
      <c r="I34056" s="4" t="str">
        <v/>
      </c>
    </row>
    <row r="34057" spans="5:9" ht="16.5" hidden="1">
      <c r="E34057" s="4" t="str">
        <v/>
      </c>
      <c r="F34057" s="102" t="str">
        <f ca="1">IFERROR(__xludf.DUMMYFUNCTION("IMPORTRANGE(H34057,""IDENTITAS UNIT!D9"")"),"#N/A")</f>
        <v>#N/A</v>
      </c>
      <c r="H34057" s="4" t="str">
        <v/>
      </c>
      <c r="I34057" s="4" t="str">
        <v/>
      </c>
    </row>
    <row r="34058" spans="5:9" ht="16.5" hidden="1">
      <c r="E34058" s="4" t="str">
        <v/>
      </c>
      <c r="F34058" s="102" t="str">
        <f ca="1">IFERROR(__xludf.DUMMYFUNCTION("IMPORTRANGE(H34058,""IDENTITAS UNIT!D9"")"),"#N/A")</f>
        <v>#N/A</v>
      </c>
      <c r="H34058" s="4" t="str">
        <v/>
      </c>
      <c r="I34058" s="4" t="str">
        <v/>
      </c>
    </row>
    <row r="34059" spans="5:9" ht="16.5" hidden="1">
      <c r="E34059" s="4" t="str">
        <v/>
      </c>
      <c r="F34059" s="102" t="str">
        <f ca="1">IFERROR(__xludf.DUMMYFUNCTION("IMPORTRANGE(H34059,""IDENTITAS UNIT!D9"")"),"#N/A")</f>
        <v>#N/A</v>
      </c>
      <c r="H34059" s="4" t="str">
        <v/>
      </c>
      <c r="I34059" s="4" t="str">
        <v/>
      </c>
    </row>
    <row r="34060" spans="5:9" ht="16.5" hidden="1">
      <c r="E34060" s="4" t="str">
        <v/>
      </c>
      <c r="F34060" s="102" t="str">
        <f ca="1">IFERROR(__xludf.DUMMYFUNCTION("IMPORTRANGE(H34060,""IDENTITAS UNIT!D9"")"),"#N/A")</f>
        <v>#N/A</v>
      </c>
      <c r="H34060" s="4" t="str">
        <v/>
      </c>
      <c r="I34060" s="4" t="str">
        <v/>
      </c>
    </row>
    <row r="34061" spans="5:9" ht="16.5" hidden="1">
      <c r="E34061" s="4" t="str">
        <v/>
      </c>
      <c r="F34061" s="102" t="str">
        <f ca="1">IFERROR(__xludf.DUMMYFUNCTION("IMPORTRANGE(H34061,""IDENTITAS UNIT!D9"")"),"#N/A")</f>
        <v>#N/A</v>
      </c>
      <c r="H34061" s="4" t="str">
        <v/>
      </c>
      <c r="I34061" s="4" t="str">
        <v/>
      </c>
    </row>
    <row r="34062" spans="5:9" ht="16.5" hidden="1">
      <c r="E34062" s="4" t="str">
        <v/>
      </c>
      <c r="F34062" s="102" t="str">
        <f ca="1">IFERROR(__xludf.DUMMYFUNCTION("IMPORTRANGE(H34062,""IDENTITAS UNIT!D9"")"),"#N/A")</f>
        <v>#N/A</v>
      </c>
      <c r="H34062" s="4" t="str">
        <v/>
      </c>
      <c r="I34062" s="4" t="str">
        <v/>
      </c>
    </row>
    <row r="34063" spans="5:9" ht="16.5" hidden="1">
      <c r="E34063" s="4" t="str">
        <v/>
      </c>
      <c r="F34063" s="102" t="str">
        <f ca="1">IFERROR(__xludf.DUMMYFUNCTION("IMPORTRANGE(H34063,""IDENTITAS UNIT!D9"")"),"#N/A")</f>
        <v>#N/A</v>
      </c>
      <c r="H34063" s="4" t="str">
        <v/>
      </c>
      <c r="I34063" s="4" t="str">
        <v/>
      </c>
    </row>
    <row r="34064" spans="5:9" ht="16.5" hidden="1">
      <c r="E34064" s="4" t="str">
        <v/>
      </c>
      <c r="F34064" s="102" t="str">
        <f ca="1">IFERROR(__xludf.DUMMYFUNCTION("IMPORTRANGE(H34064,""IDENTITAS UNIT!D9"")"),"#N/A")</f>
        <v>#N/A</v>
      </c>
      <c r="H34064" s="4" t="str">
        <v/>
      </c>
      <c r="I34064" s="4" t="str">
        <v/>
      </c>
    </row>
    <row r="34065" spans="5:9" ht="16.5" hidden="1">
      <c r="E34065" s="4" t="str">
        <v/>
      </c>
      <c r="F34065" s="102" t="str">
        <f ca="1">IFERROR(__xludf.DUMMYFUNCTION("IMPORTRANGE(H34065,""IDENTITAS UNIT!D9"")"),"#N/A")</f>
        <v>#N/A</v>
      </c>
      <c r="H34065" s="4" t="str">
        <v/>
      </c>
      <c r="I34065" s="4" t="str">
        <v/>
      </c>
    </row>
    <row r="34066" spans="5:9" ht="16.5" hidden="1">
      <c r="E34066" s="4" t="str">
        <v/>
      </c>
      <c r="F34066" s="102" t="str">
        <f ca="1">IFERROR(__xludf.DUMMYFUNCTION("IMPORTRANGE(H34066,""IDENTITAS UNIT!D9"")"),"#N/A")</f>
        <v>#N/A</v>
      </c>
      <c r="H34066" s="4" t="str">
        <v/>
      </c>
      <c r="I34066" s="4" t="str">
        <v/>
      </c>
    </row>
    <row r="34067" spans="5:9" ht="16.5" hidden="1">
      <c r="E34067" s="4" t="str">
        <v/>
      </c>
      <c r="F34067" s="102" t="str">
        <f ca="1">IFERROR(__xludf.DUMMYFUNCTION("IMPORTRANGE(H34067,""IDENTITAS UNIT!D9"")"),"#N/A")</f>
        <v>#N/A</v>
      </c>
      <c r="H34067" s="4" t="str">
        <v/>
      </c>
      <c r="I34067" s="4" t="str">
        <v/>
      </c>
    </row>
    <row r="34068" spans="5:9" ht="16.5" hidden="1">
      <c r="E34068" s="4" t="str">
        <v/>
      </c>
      <c r="F34068" s="102" t="str">
        <f ca="1">IFERROR(__xludf.DUMMYFUNCTION("IMPORTRANGE(H34068,""IDENTITAS UNIT!D9"")"),"#N/A")</f>
        <v>#N/A</v>
      </c>
      <c r="H34068" s="4" t="str">
        <v/>
      </c>
      <c r="I34068" s="4" t="str">
        <v/>
      </c>
    </row>
    <row r="34069" spans="5:9" ht="16.5" hidden="1">
      <c r="E34069" s="4" t="str">
        <v/>
      </c>
      <c r="F34069" s="102" t="str">
        <f ca="1">IFERROR(__xludf.DUMMYFUNCTION("IMPORTRANGE(H34069,""IDENTITAS UNIT!D9"")"),"#N/A")</f>
        <v>#N/A</v>
      </c>
      <c r="H34069" s="4" t="str">
        <v/>
      </c>
      <c r="I34069" s="4" t="str">
        <v/>
      </c>
    </row>
    <row r="34070" spans="5:9" ht="16.5" hidden="1">
      <c r="E34070" s="4" t="str">
        <v/>
      </c>
      <c r="F34070" s="102" t="str">
        <f ca="1">IFERROR(__xludf.DUMMYFUNCTION("IMPORTRANGE(H34070,""IDENTITAS UNIT!D9"")"),"#N/A")</f>
        <v>#N/A</v>
      </c>
      <c r="H34070" s="4" t="str">
        <v/>
      </c>
      <c r="I34070" s="4" t="str">
        <v/>
      </c>
    </row>
    <row r="34071" spans="5:9" ht="16.5" hidden="1">
      <c r="E34071" s="4" t="str">
        <v/>
      </c>
      <c r="F34071" s="102" t="str">
        <f ca="1">IFERROR(__xludf.DUMMYFUNCTION("IMPORTRANGE(H34071,""IDENTITAS UNIT!D9"")"),"#N/A")</f>
        <v>#N/A</v>
      </c>
      <c r="H34071" s="4" t="str">
        <v/>
      </c>
      <c r="I34071" s="4" t="str">
        <v/>
      </c>
    </row>
    <row r="34072" spans="5:9" ht="16.5" hidden="1">
      <c r="E34072" s="4" t="str">
        <v/>
      </c>
      <c r="F34072" s="102" t="str">
        <f ca="1">IFERROR(__xludf.DUMMYFUNCTION("IMPORTRANGE(H34072,""IDENTITAS UNIT!D9"")"),"#N/A")</f>
        <v>#N/A</v>
      </c>
      <c r="H34072" s="4" t="str">
        <v/>
      </c>
      <c r="I34072" s="4" t="str">
        <v/>
      </c>
    </row>
    <row r="34073" spans="5:9" ht="16.5" hidden="1">
      <c r="E34073" s="4" t="str">
        <v/>
      </c>
      <c r="F34073" s="102" t="str">
        <f ca="1">IFERROR(__xludf.DUMMYFUNCTION("IMPORTRANGE(H34073,""IDENTITAS UNIT!D9"")"),"#N/A")</f>
        <v>#N/A</v>
      </c>
      <c r="H34073" s="4" t="str">
        <v/>
      </c>
      <c r="I34073" s="4" t="str">
        <v/>
      </c>
    </row>
    <row r="34074" spans="5:9" ht="16.5" hidden="1">
      <c r="E34074" s="4" t="str">
        <v/>
      </c>
      <c r="F34074" s="102" t="str">
        <f ca="1">IFERROR(__xludf.DUMMYFUNCTION("IMPORTRANGE(H34074,""IDENTITAS UNIT!D9"")"),"#N/A")</f>
        <v>#N/A</v>
      </c>
      <c r="H34074" s="4" t="str">
        <v/>
      </c>
      <c r="I34074" s="4" t="str">
        <v/>
      </c>
    </row>
    <row r="34075" spans="5:9" ht="16.5" hidden="1">
      <c r="E34075" s="4" t="str">
        <v/>
      </c>
      <c r="F34075" s="102" t="str">
        <f ca="1">IFERROR(__xludf.DUMMYFUNCTION("IMPORTRANGE(H34075,""IDENTITAS UNIT!D9"")"),"#N/A")</f>
        <v>#N/A</v>
      </c>
      <c r="H34075" s="4" t="str">
        <v/>
      </c>
      <c r="I34075" s="4" t="str">
        <v/>
      </c>
    </row>
    <row r="34076" spans="5:9" ht="16.5" hidden="1">
      <c r="E34076" s="4" t="str">
        <v/>
      </c>
      <c r="F34076" s="102" t="str">
        <f ca="1">IFERROR(__xludf.DUMMYFUNCTION("IMPORTRANGE(H34076,""IDENTITAS UNIT!D9"")"),"#N/A")</f>
        <v>#N/A</v>
      </c>
      <c r="H34076" s="4" t="str">
        <v/>
      </c>
      <c r="I34076" s="4" t="str">
        <v/>
      </c>
    </row>
    <row r="34077" spans="5:9" ht="16.5" hidden="1">
      <c r="E34077" s="4" t="str">
        <v/>
      </c>
      <c r="F34077" s="102" t="str">
        <f ca="1">IFERROR(__xludf.DUMMYFUNCTION("IMPORTRANGE(H34077,""IDENTITAS UNIT!D9"")"),"#N/A")</f>
        <v>#N/A</v>
      </c>
      <c r="H34077" s="4" t="str">
        <v/>
      </c>
      <c r="I34077" s="4" t="str">
        <v/>
      </c>
    </row>
    <row r="34078" spans="5:9" ht="16.5" hidden="1">
      <c r="E34078" s="4" t="str">
        <v/>
      </c>
      <c r="F34078" s="102" t="str">
        <f ca="1">IFERROR(__xludf.DUMMYFUNCTION("IMPORTRANGE(H34078,""IDENTITAS UNIT!D9"")"),"#N/A")</f>
        <v>#N/A</v>
      </c>
      <c r="H34078" s="4" t="str">
        <v/>
      </c>
      <c r="I34078" s="4" t="str">
        <v/>
      </c>
    </row>
    <row r="34079" spans="5:9" ht="16.5" hidden="1">
      <c r="E34079" s="4" t="str">
        <v/>
      </c>
      <c r="F34079" s="102" t="str">
        <f ca="1">IFERROR(__xludf.DUMMYFUNCTION("IMPORTRANGE(H34079,""IDENTITAS UNIT!D9"")"),"#N/A")</f>
        <v>#N/A</v>
      </c>
      <c r="H34079" s="4" t="str">
        <v/>
      </c>
      <c r="I34079" s="4" t="str">
        <v/>
      </c>
    </row>
    <row r="34080" spans="5:9" ht="16.5" hidden="1">
      <c r="E34080" s="4" t="str">
        <v/>
      </c>
      <c r="F34080" s="102" t="str">
        <f ca="1">IFERROR(__xludf.DUMMYFUNCTION("IMPORTRANGE(H34080,""IDENTITAS UNIT!D9"")"),"#N/A")</f>
        <v>#N/A</v>
      </c>
      <c r="H34080" s="4" t="str">
        <v/>
      </c>
      <c r="I34080" s="4" t="str">
        <v/>
      </c>
    </row>
    <row r="34081" spans="5:9" ht="16.5" hidden="1">
      <c r="E34081" s="4" t="str">
        <v/>
      </c>
      <c r="F34081" s="102" t="str">
        <f ca="1">IFERROR(__xludf.DUMMYFUNCTION("IMPORTRANGE(H34081,""IDENTITAS UNIT!D9"")"),"#N/A")</f>
        <v>#N/A</v>
      </c>
      <c r="H34081" s="4" t="str">
        <v/>
      </c>
      <c r="I34081" s="4" t="str">
        <v/>
      </c>
    </row>
    <row r="34082" spans="5:9" ht="16.5" hidden="1">
      <c r="E34082" s="4" t="str">
        <v/>
      </c>
      <c r="F34082" s="102" t="str">
        <f ca="1">IFERROR(__xludf.DUMMYFUNCTION("IMPORTRANGE(H34082,""IDENTITAS UNIT!D9"")"),"#N/A")</f>
        <v>#N/A</v>
      </c>
      <c r="H34082" s="4" t="str">
        <v/>
      </c>
      <c r="I34082" s="4" t="str">
        <v/>
      </c>
    </row>
    <row r="34083" spans="5:9" ht="16.5" hidden="1">
      <c r="E34083" s="4" t="str">
        <v/>
      </c>
      <c r="F34083" s="102" t="str">
        <f ca="1">IFERROR(__xludf.DUMMYFUNCTION("IMPORTRANGE(H34083,""IDENTITAS UNIT!D9"")"),"#N/A")</f>
        <v>#N/A</v>
      </c>
      <c r="H34083" s="4" t="str">
        <v/>
      </c>
      <c r="I34083" s="4" t="str">
        <v/>
      </c>
    </row>
    <row r="34084" spans="5:9" ht="16.5" hidden="1">
      <c r="E34084" s="4" t="str">
        <v/>
      </c>
      <c r="F34084" s="102" t="str">
        <f ca="1">IFERROR(__xludf.DUMMYFUNCTION("IMPORTRANGE(H34084,""IDENTITAS UNIT!D9"")"),"#N/A")</f>
        <v>#N/A</v>
      </c>
      <c r="H34084" s="4" t="str">
        <v/>
      </c>
      <c r="I34084" s="4" t="str">
        <v/>
      </c>
    </row>
    <row r="34085" spans="5:9" ht="16.5" hidden="1">
      <c r="E34085" s="4" t="str">
        <v/>
      </c>
      <c r="F34085" s="102" t="str">
        <f ca="1">IFERROR(__xludf.DUMMYFUNCTION("IMPORTRANGE(H34085,""IDENTITAS UNIT!D9"")"),"#N/A")</f>
        <v>#N/A</v>
      </c>
      <c r="H34085" s="4" t="str">
        <v/>
      </c>
      <c r="I34085" s="4" t="str">
        <v/>
      </c>
    </row>
    <row r="34086" spans="5:9" ht="16.5" hidden="1">
      <c r="E34086" s="4" t="str">
        <v/>
      </c>
      <c r="F34086" s="102" t="str">
        <f ca="1">IFERROR(__xludf.DUMMYFUNCTION("IMPORTRANGE(H34086,""IDENTITAS UNIT!D9"")"),"#N/A")</f>
        <v>#N/A</v>
      </c>
      <c r="H34086" s="4" t="str">
        <v/>
      </c>
      <c r="I34086" s="4" t="str">
        <v/>
      </c>
    </row>
    <row r="34087" spans="5:9" ht="16.5" hidden="1">
      <c r="E34087" s="4" t="str">
        <v/>
      </c>
      <c r="F34087" s="102" t="str">
        <f ca="1">IFERROR(__xludf.DUMMYFUNCTION("IMPORTRANGE(H34087,""IDENTITAS UNIT!D9"")"),"#N/A")</f>
        <v>#N/A</v>
      </c>
      <c r="H34087" s="4" t="str">
        <v/>
      </c>
      <c r="I34087" s="4" t="str">
        <v/>
      </c>
    </row>
    <row r="34088" spans="5:9" ht="16.5" hidden="1">
      <c r="E34088" s="4" t="str">
        <v/>
      </c>
      <c r="F34088" s="102" t="str">
        <f ca="1">IFERROR(__xludf.DUMMYFUNCTION("IMPORTRANGE(H34088,""IDENTITAS UNIT!D9"")"),"#N/A")</f>
        <v>#N/A</v>
      </c>
      <c r="H34088" s="4" t="str">
        <v/>
      </c>
      <c r="I34088" s="4" t="str">
        <v/>
      </c>
    </row>
    <row r="34089" spans="5:9" ht="16.5" hidden="1">
      <c r="E34089" s="4" t="str">
        <v/>
      </c>
      <c r="F34089" s="102" t="str">
        <f ca="1">IFERROR(__xludf.DUMMYFUNCTION("IMPORTRANGE(H34089,""IDENTITAS UNIT!D9"")"),"#N/A")</f>
        <v>#N/A</v>
      </c>
      <c r="H34089" s="4" t="str">
        <v/>
      </c>
      <c r="I34089" s="4" t="str">
        <v/>
      </c>
    </row>
    <row r="34090" spans="5:9" ht="16.5" hidden="1">
      <c r="E34090" s="4" t="str">
        <v/>
      </c>
      <c r="F34090" s="102" t="str">
        <f ca="1">IFERROR(__xludf.DUMMYFUNCTION("IMPORTRANGE(H34090,""IDENTITAS UNIT!D9"")"),"#N/A")</f>
        <v>#N/A</v>
      </c>
      <c r="H34090" s="4" t="str">
        <v/>
      </c>
      <c r="I34090" s="4" t="str">
        <v/>
      </c>
    </row>
    <row r="34091" spans="5:9" ht="16.5" hidden="1">
      <c r="E34091" s="4" t="str">
        <v/>
      </c>
      <c r="F34091" s="102" t="str">
        <f ca="1">IFERROR(__xludf.DUMMYFUNCTION("IMPORTRANGE(H34091,""IDENTITAS UNIT!D9"")"),"#N/A")</f>
        <v>#N/A</v>
      </c>
      <c r="H34091" s="4" t="str">
        <v/>
      </c>
      <c r="I34091" s="4" t="str">
        <v/>
      </c>
    </row>
    <row r="34092" spans="5:9" ht="16.5" hidden="1">
      <c r="E34092" s="4" t="str">
        <v/>
      </c>
      <c r="F34092" s="102" t="str">
        <f ca="1">IFERROR(__xludf.DUMMYFUNCTION("IMPORTRANGE(H34092,""IDENTITAS UNIT!D9"")"),"#N/A")</f>
        <v>#N/A</v>
      </c>
      <c r="H34092" s="4" t="str">
        <v/>
      </c>
      <c r="I34092" s="4" t="str">
        <v/>
      </c>
    </row>
    <row r="34093" spans="5:9" ht="16.5" hidden="1">
      <c r="E34093" s="4" t="str">
        <v/>
      </c>
      <c r="F34093" s="102" t="str">
        <f ca="1">IFERROR(__xludf.DUMMYFUNCTION("IMPORTRANGE(H34093,""IDENTITAS UNIT!D9"")"),"#N/A")</f>
        <v>#N/A</v>
      </c>
      <c r="H34093" s="4" t="str">
        <v/>
      </c>
      <c r="I34093" s="4" t="str">
        <v/>
      </c>
    </row>
    <row r="34094" spans="5:9" ht="16.5" hidden="1">
      <c r="E34094" s="4" t="str">
        <v/>
      </c>
      <c r="F34094" s="102" t="str">
        <f ca="1">IFERROR(__xludf.DUMMYFUNCTION("IMPORTRANGE(H34094,""IDENTITAS UNIT!D9"")"),"#N/A")</f>
        <v>#N/A</v>
      </c>
      <c r="H34094" s="4" t="str">
        <v/>
      </c>
      <c r="I34094" s="4" t="str">
        <v/>
      </c>
    </row>
    <row r="34095" spans="5:9" ht="16.5" hidden="1">
      <c r="E34095" s="4" t="str">
        <v/>
      </c>
      <c r="F34095" s="102" t="str">
        <f ca="1">IFERROR(__xludf.DUMMYFUNCTION("IMPORTRANGE(H34095,""IDENTITAS UNIT!D9"")"),"#N/A")</f>
        <v>#N/A</v>
      </c>
      <c r="H34095" s="4" t="str">
        <v/>
      </c>
      <c r="I34095" s="4" t="str">
        <v/>
      </c>
    </row>
    <row r="34096" spans="5:9" ht="16.5" hidden="1">
      <c r="E34096" s="4" t="str">
        <v/>
      </c>
      <c r="F34096" s="102" t="str">
        <f ca="1">IFERROR(__xludf.DUMMYFUNCTION("IMPORTRANGE(H34096,""IDENTITAS UNIT!D9"")"),"#N/A")</f>
        <v>#N/A</v>
      </c>
      <c r="H34096" s="4" t="str">
        <v/>
      </c>
      <c r="I34096" s="4" t="str">
        <v/>
      </c>
    </row>
    <row r="34097" spans="5:9" ht="16.5" hidden="1">
      <c r="E34097" s="4" t="str">
        <v/>
      </c>
      <c r="F34097" s="102" t="str">
        <f ca="1">IFERROR(__xludf.DUMMYFUNCTION("IMPORTRANGE(H34097,""IDENTITAS UNIT!D9"")"),"#N/A")</f>
        <v>#N/A</v>
      </c>
      <c r="H34097" s="4" t="str">
        <v/>
      </c>
      <c r="I34097" s="4" t="str">
        <v/>
      </c>
    </row>
    <row r="34098" spans="5:9" ht="16.5" hidden="1">
      <c r="E34098" s="4" t="str">
        <v/>
      </c>
      <c r="F34098" s="102" t="str">
        <f ca="1">IFERROR(__xludf.DUMMYFUNCTION("IMPORTRANGE(H34098,""IDENTITAS UNIT!D9"")"),"#N/A")</f>
        <v>#N/A</v>
      </c>
      <c r="H34098" s="4" t="str">
        <v/>
      </c>
      <c r="I34098" s="4" t="str">
        <v/>
      </c>
    </row>
    <row r="34099" spans="5:9" ht="16.5" hidden="1">
      <c r="E34099" s="4" t="str">
        <v/>
      </c>
      <c r="F34099" s="102" t="str">
        <f ca="1">IFERROR(__xludf.DUMMYFUNCTION("IMPORTRANGE(H34099,""IDENTITAS UNIT!D9"")"),"#N/A")</f>
        <v>#N/A</v>
      </c>
      <c r="H34099" s="4" t="str">
        <v/>
      </c>
      <c r="I34099" s="4" t="str">
        <v/>
      </c>
    </row>
    <row r="34100" spans="5:9" ht="16.5" hidden="1">
      <c r="E34100" s="4" t="str">
        <v/>
      </c>
      <c r="F34100" s="102" t="str">
        <f ca="1">IFERROR(__xludf.DUMMYFUNCTION("IMPORTRANGE(H34100,""IDENTITAS UNIT!D9"")"),"#N/A")</f>
        <v>#N/A</v>
      </c>
      <c r="H34100" s="4" t="str">
        <v/>
      </c>
      <c r="I34100" s="4" t="str">
        <v/>
      </c>
    </row>
    <row r="34101" spans="5:9" ht="16.5" hidden="1">
      <c r="E34101" s="4" t="str">
        <v/>
      </c>
      <c r="F34101" s="102" t="str">
        <f ca="1">IFERROR(__xludf.DUMMYFUNCTION("IMPORTRANGE(H34101,""IDENTITAS UNIT!D9"")"),"#N/A")</f>
        <v>#N/A</v>
      </c>
      <c r="H34101" s="4" t="str">
        <v/>
      </c>
      <c r="I34101" s="4" t="str">
        <v/>
      </c>
    </row>
    <row r="34102" spans="5:9" ht="16.5" hidden="1">
      <c r="E34102" s="4" t="str">
        <v/>
      </c>
      <c r="F34102" s="102" t="str">
        <f ca="1">IFERROR(__xludf.DUMMYFUNCTION("IMPORTRANGE(H34102,""IDENTITAS UNIT!D9"")"),"#N/A")</f>
        <v>#N/A</v>
      </c>
      <c r="H34102" s="4" t="str">
        <v/>
      </c>
      <c r="I34102" s="4" t="str">
        <v/>
      </c>
    </row>
    <row r="34103" spans="5:9" ht="16.5" hidden="1">
      <c r="E34103" s="4" t="str">
        <v/>
      </c>
      <c r="F34103" s="102" t="str">
        <f ca="1">IFERROR(__xludf.DUMMYFUNCTION("IMPORTRANGE(H34103,""IDENTITAS UNIT!D9"")"),"#N/A")</f>
        <v>#N/A</v>
      </c>
      <c r="H34103" s="4" t="str">
        <v/>
      </c>
      <c r="I34103" s="4" t="str">
        <v/>
      </c>
    </row>
    <row r="34104" spans="5:9" ht="16.5" hidden="1">
      <c r="E34104" s="4" t="str">
        <v/>
      </c>
      <c r="F34104" s="102" t="str">
        <f ca="1">IFERROR(__xludf.DUMMYFUNCTION("IMPORTRANGE(H34104,""IDENTITAS UNIT!D9"")"),"#N/A")</f>
        <v>#N/A</v>
      </c>
      <c r="H34104" s="4" t="str">
        <v/>
      </c>
      <c r="I34104" s="4" t="str">
        <v/>
      </c>
    </row>
    <row r="34105" spans="5:9" ht="16.5" hidden="1">
      <c r="E34105" s="4" t="str">
        <v/>
      </c>
      <c r="F34105" s="102" t="str">
        <f ca="1">IFERROR(__xludf.DUMMYFUNCTION("IMPORTRANGE(H34105,""IDENTITAS UNIT!D9"")"),"#N/A")</f>
        <v>#N/A</v>
      </c>
      <c r="H34105" s="4" t="str">
        <v/>
      </c>
      <c r="I34105" s="4" t="str">
        <v/>
      </c>
    </row>
    <row r="34106" spans="5:9" ht="16.5" hidden="1">
      <c r="E34106" s="4" t="str">
        <v/>
      </c>
      <c r="F34106" s="102" t="str">
        <f ca="1">IFERROR(__xludf.DUMMYFUNCTION("IMPORTRANGE(H34106,""IDENTITAS UNIT!D9"")"),"#N/A")</f>
        <v>#N/A</v>
      </c>
      <c r="H34106" s="4" t="str">
        <v/>
      </c>
      <c r="I34106" s="4" t="str">
        <v/>
      </c>
    </row>
    <row r="34107" spans="5:9" ht="16.5" hidden="1">
      <c r="E34107" s="4" t="str">
        <v/>
      </c>
      <c r="F34107" s="102" t="str">
        <f ca="1">IFERROR(__xludf.DUMMYFUNCTION("IMPORTRANGE(H34107,""IDENTITAS UNIT!D9"")"),"#N/A")</f>
        <v>#N/A</v>
      </c>
      <c r="H34107" s="4" t="str">
        <v/>
      </c>
      <c r="I34107" s="4" t="str">
        <v/>
      </c>
    </row>
    <row r="34108" spans="5:9" ht="16.5" hidden="1">
      <c r="E34108" s="4" t="str">
        <v/>
      </c>
      <c r="F34108" s="102" t="str">
        <f ca="1">IFERROR(__xludf.DUMMYFUNCTION("IMPORTRANGE(H34108,""IDENTITAS UNIT!D9"")"),"#N/A")</f>
        <v>#N/A</v>
      </c>
      <c r="H34108" s="4" t="str">
        <v/>
      </c>
      <c r="I34108" s="4" t="str">
        <v/>
      </c>
    </row>
    <row r="34109" spans="5:9" ht="16.5" hidden="1">
      <c r="E34109" s="4" t="str">
        <v/>
      </c>
      <c r="F34109" s="102" t="str">
        <f ca="1">IFERROR(__xludf.DUMMYFUNCTION("IMPORTRANGE(H34109,""IDENTITAS UNIT!D9"")"),"#N/A")</f>
        <v>#N/A</v>
      </c>
      <c r="H34109" s="4" t="str">
        <v/>
      </c>
      <c r="I34109" s="4" t="str">
        <v/>
      </c>
    </row>
    <row r="34110" spans="5:9" ht="16.5" hidden="1">
      <c r="E34110" s="4" t="str">
        <v/>
      </c>
      <c r="F34110" s="102" t="str">
        <f ca="1">IFERROR(__xludf.DUMMYFUNCTION("IMPORTRANGE(H34110,""IDENTITAS UNIT!D9"")"),"#N/A")</f>
        <v>#N/A</v>
      </c>
      <c r="H34110" s="4" t="str">
        <v/>
      </c>
      <c r="I34110" s="4" t="str">
        <v/>
      </c>
    </row>
    <row r="34111" spans="5:9" ht="16.5" hidden="1">
      <c r="E34111" s="4" t="str">
        <v/>
      </c>
      <c r="F34111" s="102" t="str">
        <f ca="1">IFERROR(__xludf.DUMMYFUNCTION("IMPORTRANGE(H34111,""IDENTITAS UNIT!D9"")"),"#N/A")</f>
        <v>#N/A</v>
      </c>
      <c r="H34111" s="4" t="str">
        <v/>
      </c>
      <c r="I34111" s="4" t="str">
        <v/>
      </c>
    </row>
    <row r="34112" spans="5:9" ht="16.5" hidden="1">
      <c r="E34112" s="4" t="str">
        <v/>
      </c>
      <c r="F34112" s="102" t="str">
        <f ca="1">IFERROR(__xludf.DUMMYFUNCTION("IMPORTRANGE(H34112,""IDENTITAS UNIT!D9"")"),"#N/A")</f>
        <v>#N/A</v>
      </c>
      <c r="H34112" s="4" t="str">
        <v/>
      </c>
      <c r="I34112" s="4" t="str">
        <v/>
      </c>
    </row>
    <row r="34113" spans="5:9" ht="16.5" hidden="1">
      <c r="E34113" s="4" t="str">
        <v/>
      </c>
      <c r="F34113" s="102" t="str">
        <f ca="1">IFERROR(__xludf.DUMMYFUNCTION("IMPORTRANGE(H34113,""IDENTITAS UNIT!D9"")"),"#N/A")</f>
        <v>#N/A</v>
      </c>
      <c r="H34113" s="4" t="str">
        <v/>
      </c>
      <c r="I34113" s="4" t="str">
        <v/>
      </c>
    </row>
    <row r="34114" spans="5:9" ht="16.5" hidden="1">
      <c r="E34114" s="4" t="str">
        <v/>
      </c>
      <c r="F34114" s="102" t="str">
        <f ca="1">IFERROR(__xludf.DUMMYFUNCTION("IMPORTRANGE(H34114,""IDENTITAS UNIT!D9"")"),"#N/A")</f>
        <v>#N/A</v>
      </c>
      <c r="H34114" s="4" t="str">
        <v/>
      </c>
      <c r="I34114" s="4" t="str">
        <v/>
      </c>
    </row>
    <row r="34115" spans="5:9" ht="16.5" hidden="1">
      <c r="E34115" s="4" t="str">
        <v/>
      </c>
      <c r="F34115" s="102" t="str">
        <f ca="1">IFERROR(__xludf.DUMMYFUNCTION("IMPORTRANGE(H34115,""IDENTITAS UNIT!D9"")"),"#N/A")</f>
        <v>#N/A</v>
      </c>
      <c r="H34115" s="4" t="str">
        <v/>
      </c>
      <c r="I34115" s="4" t="str">
        <v/>
      </c>
    </row>
    <row r="34116" spans="5:9" ht="16.5" hidden="1">
      <c r="E34116" s="4" t="str">
        <v/>
      </c>
      <c r="F34116" s="102" t="str">
        <f ca="1">IFERROR(__xludf.DUMMYFUNCTION("IMPORTRANGE(H34116,""IDENTITAS UNIT!D9"")"),"#N/A")</f>
        <v>#N/A</v>
      </c>
      <c r="H34116" s="4" t="str">
        <v/>
      </c>
      <c r="I34116" s="4" t="str">
        <v/>
      </c>
    </row>
    <row r="34117" spans="5:9" ht="16.5" hidden="1">
      <c r="E34117" s="4" t="str">
        <v/>
      </c>
      <c r="F34117" s="102" t="str">
        <f ca="1">IFERROR(__xludf.DUMMYFUNCTION("IMPORTRANGE(H34117,""IDENTITAS UNIT!D9"")"),"#N/A")</f>
        <v>#N/A</v>
      </c>
      <c r="H34117" s="4" t="str">
        <v/>
      </c>
      <c r="I34117" s="4" t="str">
        <v/>
      </c>
    </row>
    <row r="34118" spans="5:9" ht="16.5" hidden="1">
      <c r="E34118" s="4" t="str">
        <v/>
      </c>
      <c r="F34118" s="102" t="str">
        <f ca="1">IFERROR(__xludf.DUMMYFUNCTION("IMPORTRANGE(H34118,""IDENTITAS UNIT!D9"")"),"#N/A")</f>
        <v>#N/A</v>
      </c>
      <c r="H34118" s="4" t="str">
        <v/>
      </c>
      <c r="I34118" s="4" t="str">
        <v/>
      </c>
    </row>
    <row r="34119" spans="5:9" ht="16.5" hidden="1">
      <c r="E34119" s="4" t="str">
        <v/>
      </c>
      <c r="F34119" s="102" t="str">
        <f ca="1">IFERROR(__xludf.DUMMYFUNCTION("IMPORTRANGE(H34119,""IDENTITAS UNIT!D9"")"),"#N/A")</f>
        <v>#N/A</v>
      </c>
      <c r="H34119" s="4" t="str">
        <v/>
      </c>
      <c r="I34119" s="4" t="str">
        <v/>
      </c>
    </row>
    <row r="34120" spans="5:9" ht="16.5" hidden="1">
      <c r="E34120" s="4" t="str">
        <v/>
      </c>
      <c r="F34120" s="102" t="str">
        <f ca="1">IFERROR(__xludf.DUMMYFUNCTION("IMPORTRANGE(H34120,""IDENTITAS UNIT!D9"")"),"#N/A")</f>
        <v>#N/A</v>
      </c>
      <c r="H34120" s="4" t="str">
        <v/>
      </c>
      <c r="I34120" s="4" t="str">
        <v/>
      </c>
    </row>
    <row r="34121" spans="5:9" ht="16.5" hidden="1">
      <c r="E34121" s="4" t="str">
        <v/>
      </c>
      <c r="F34121" s="102" t="str">
        <f ca="1">IFERROR(__xludf.DUMMYFUNCTION("IMPORTRANGE(H34121,""IDENTITAS UNIT!D9"")"),"#N/A")</f>
        <v>#N/A</v>
      </c>
      <c r="H34121" s="4" t="str">
        <v/>
      </c>
      <c r="I34121" s="4" t="str">
        <v/>
      </c>
    </row>
    <row r="34122" spans="5:9" ht="16.5" hidden="1">
      <c r="E34122" s="4" t="str">
        <v/>
      </c>
      <c r="F34122" s="102" t="str">
        <f ca="1">IFERROR(__xludf.DUMMYFUNCTION("IMPORTRANGE(H34122,""IDENTITAS UNIT!D9"")"),"#N/A")</f>
        <v>#N/A</v>
      </c>
      <c r="H34122" s="4" t="str">
        <v/>
      </c>
      <c r="I34122" s="4" t="str">
        <v/>
      </c>
    </row>
    <row r="34123" spans="5:9" ht="16.5" hidden="1">
      <c r="E34123" s="4" t="str">
        <v/>
      </c>
      <c r="F34123" s="102" t="str">
        <f ca="1">IFERROR(__xludf.DUMMYFUNCTION("IMPORTRANGE(H34123,""IDENTITAS UNIT!D9"")"),"#N/A")</f>
        <v>#N/A</v>
      </c>
      <c r="H34123" s="4" t="str">
        <v/>
      </c>
      <c r="I34123" s="4" t="str">
        <v/>
      </c>
    </row>
    <row r="34124" spans="5:9" ht="16.5" hidden="1">
      <c r="E34124" s="4" t="str">
        <v/>
      </c>
      <c r="F34124" s="102" t="str">
        <f ca="1">IFERROR(__xludf.DUMMYFUNCTION("IMPORTRANGE(H34124,""IDENTITAS UNIT!D9"")"),"#N/A")</f>
        <v>#N/A</v>
      </c>
      <c r="H34124" s="4" t="str">
        <v/>
      </c>
      <c r="I34124" s="4" t="str">
        <v/>
      </c>
    </row>
    <row r="34125" spans="5:9" ht="16.5" hidden="1">
      <c r="E34125" s="4" t="str">
        <v/>
      </c>
      <c r="F34125" s="102" t="str">
        <f ca="1">IFERROR(__xludf.DUMMYFUNCTION("IMPORTRANGE(H34125,""IDENTITAS UNIT!D9"")"),"#N/A")</f>
        <v>#N/A</v>
      </c>
      <c r="H34125" s="4" t="str">
        <v/>
      </c>
      <c r="I34125" s="4" t="str">
        <v/>
      </c>
    </row>
    <row r="34126" spans="5:9" ht="16.5" hidden="1">
      <c r="E34126" s="4" t="str">
        <v/>
      </c>
      <c r="F34126" s="102" t="str">
        <f ca="1">IFERROR(__xludf.DUMMYFUNCTION("IMPORTRANGE(H34126,""IDENTITAS UNIT!D9"")"),"#N/A")</f>
        <v>#N/A</v>
      </c>
      <c r="H34126" s="4" t="str">
        <v/>
      </c>
      <c r="I34126" s="4" t="str">
        <v/>
      </c>
    </row>
    <row r="34127" spans="5:9" ht="16.5" hidden="1">
      <c r="E34127" s="4" t="str">
        <v/>
      </c>
      <c r="F34127" s="102" t="str">
        <f ca="1">IFERROR(__xludf.DUMMYFUNCTION("IMPORTRANGE(H34127,""IDENTITAS UNIT!D9"")"),"#N/A")</f>
        <v>#N/A</v>
      </c>
      <c r="H34127" s="4" t="str">
        <v/>
      </c>
      <c r="I34127" s="4" t="str">
        <v/>
      </c>
    </row>
    <row r="34128" spans="5:9" ht="16.5" hidden="1">
      <c r="E34128" s="4" t="str">
        <v/>
      </c>
      <c r="F34128" s="102" t="str">
        <f ca="1">IFERROR(__xludf.DUMMYFUNCTION("IMPORTRANGE(H34128,""IDENTITAS UNIT!D9"")"),"#N/A")</f>
        <v>#N/A</v>
      </c>
      <c r="H34128" s="4" t="str">
        <v/>
      </c>
      <c r="I34128" s="4" t="str">
        <v/>
      </c>
    </row>
    <row r="34129" spans="5:9" ht="16.5" hidden="1">
      <c r="E34129" s="4" t="str">
        <v/>
      </c>
      <c r="F34129" s="102" t="str">
        <f ca="1">IFERROR(__xludf.DUMMYFUNCTION("IMPORTRANGE(H34129,""IDENTITAS UNIT!D9"")"),"#N/A")</f>
        <v>#N/A</v>
      </c>
      <c r="H34129" s="4" t="str">
        <v/>
      </c>
      <c r="I34129" s="4" t="str">
        <v/>
      </c>
    </row>
    <row r="34130" spans="5:9" ht="16.5" hidden="1">
      <c r="E34130" s="4" t="str">
        <v/>
      </c>
      <c r="F34130" s="102" t="str">
        <f ca="1">IFERROR(__xludf.DUMMYFUNCTION("IMPORTRANGE(H34130,""IDENTITAS UNIT!D9"")"),"#N/A")</f>
        <v>#N/A</v>
      </c>
      <c r="H34130" s="4" t="str">
        <v/>
      </c>
      <c r="I34130" s="4" t="str">
        <v/>
      </c>
    </row>
    <row r="34131" spans="5:9" ht="16.5" hidden="1">
      <c r="E34131" s="4" t="str">
        <v/>
      </c>
      <c r="F34131" s="102" t="str">
        <f ca="1">IFERROR(__xludf.DUMMYFUNCTION("IMPORTRANGE(H34131,""IDENTITAS UNIT!D9"")"),"#N/A")</f>
        <v>#N/A</v>
      </c>
      <c r="H34131" s="4" t="str">
        <v/>
      </c>
      <c r="I34131" s="4" t="str">
        <v/>
      </c>
    </row>
    <row r="34132" spans="5:9" ht="16.5" hidden="1">
      <c r="E34132" s="4" t="str">
        <v/>
      </c>
      <c r="F34132" s="102" t="str">
        <f ca="1">IFERROR(__xludf.DUMMYFUNCTION("IMPORTRANGE(H34132,""IDENTITAS UNIT!D9"")"),"#N/A")</f>
        <v>#N/A</v>
      </c>
      <c r="H34132" s="4" t="str">
        <v/>
      </c>
      <c r="I34132" s="4" t="str">
        <v/>
      </c>
    </row>
    <row r="34133" spans="5:9" ht="16.5" hidden="1">
      <c r="E34133" s="4" t="str">
        <v/>
      </c>
      <c r="F34133" s="102" t="str">
        <f ca="1">IFERROR(__xludf.DUMMYFUNCTION("IMPORTRANGE(H34133,""IDENTITAS UNIT!D9"")"),"#N/A")</f>
        <v>#N/A</v>
      </c>
      <c r="H34133" s="4" t="str">
        <v/>
      </c>
      <c r="I34133" s="4" t="str">
        <v/>
      </c>
    </row>
    <row r="34134" spans="5:9" ht="16.5" hidden="1">
      <c r="E34134" s="4" t="str">
        <v/>
      </c>
      <c r="F34134" s="102" t="str">
        <f ca="1">IFERROR(__xludf.DUMMYFUNCTION("IMPORTRANGE(H34134,""IDENTITAS UNIT!D9"")"),"#N/A")</f>
        <v>#N/A</v>
      </c>
      <c r="H34134" s="4" t="str">
        <v/>
      </c>
      <c r="I34134" s="4" t="str">
        <v/>
      </c>
    </row>
    <row r="34135" spans="5:9" ht="16.5" hidden="1">
      <c r="E34135" s="4" t="str">
        <v/>
      </c>
      <c r="F34135" s="102" t="str">
        <f ca="1">IFERROR(__xludf.DUMMYFUNCTION("IMPORTRANGE(H34135,""IDENTITAS UNIT!D9"")"),"#N/A")</f>
        <v>#N/A</v>
      </c>
      <c r="H34135" s="4" t="str">
        <v/>
      </c>
      <c r="I34135" s="4" t="str">
        <v/>
      </c>
    </row>
    <row r="34136" spans="5:9" ht="16.5" hidden="1">
      <c r="E34136" s="4" t="str">
        <v/>
      </c>
      <c r="F34136" s="102" t="str">
        <f ca="1">IFERROR(__xludf.DUMMYFUNCTION("IMPORTRANGE(H34136,""IDENTITAS UNIT!D9"")"),"#N/A")</f>
        <v>#N/A</v>
      </c>
      <c r="H34136" s="4" t="str">
        <v/>
      </c>
      <c r="I34136" s="4" t="str">
        <v/>
      </c>
    </row>
    <row r="34137" spans="5:9" ht="16.5" hidden="1">
      <c r="E34137" s="4" t="str">
        <v/>
      </c>
      <c r="F34137" s="102" t="str">
        <f ca="1">IFERROR(__xludf.DUMMYFUNCTION("IMPORTRANGE(H34137,""IDENTITAS UNIT!D9"")"),"#N/A")</f>
        <v>#N/A</v>
      </c>
      <c r="H34137" s="4" t="str">
        <v/>
      </c>
      <c r="I34137" s="4" t="str">
        <v/>
      </c>
    </row>
    <row r="34138" spans="5:9" ht="16.5" hidden="1">
      <c r="E34138" s="4" t="str">
        <v/>
      </c>
      <c r="F34138" s="102" t="str">
        <f ca="1">IFERROR(__xludf.DUMMYFUNCTION("IMPORTRANGE(H34138,""IDENTITAS UNIT!D9"")"),"#N/A")</f>
        <v>#N/A</v>
      </c>
      <c r="H34138" s="4" t="str">
        <v/>
      </c>
      <c r="I34138" s="4" t="str">
        <v/>
      </c>
    </row>
    <row r="34139" spans="5:9" ht="16.5" hidden="1">
      <c r="E34139" s="4" t="str">
        <v/>
      </c>
      <c r="F34139" s="102" t="str">
        <f ca="1">IFERROR(__xludf.DUMMYFUNCTION("IMPORTRANGE(H34139,""IDENTITAS UNIT!D9"")"),"#N/A")</f>
        <v>#N/A</v>
      </c>
      <c r="H34139" s="4" t="str">
        <v/>
      </c>
      <c r="I34139" s="4" t="str">
        <v/>
      </c>
    </row>
    <row r="34140" spans="5:9" ht="16.5" hidden="1">
      <c r="E34140" s="4" t="str">
        <v/>
      </c>
      <c r="F34140" s="102" t="str">
        <f ca="1">IFERROR(__xludf.DUMMYFUNCTION("IMPORTRANGE(H34140,""IDENTITAS UNIT!D9"")"),"#N/A")</f>
        <v>#N/A</v>
      </c>
      <c r="H34140" s="4" t="str">
        <v/>
      </c>
      <c r="I34140" s="4" t="str">
        <v/>
      </c>
    </row>
    <row r="34141" spans="5:9" ht="16.5" hidden="1">
      <c r="E34141" s="4" t="str">
        <v/>
      </c>
      <c r="F34141" s="102" t="str">
        <f ca="1">IFERROR(__xludf.DUMMYFUNCTION("IMPORTRANGE(H34141,""IDENTITAS UNIT!D9"")"),"#N/A")</f>
        <v>#N/A</v>
      </c>
      <c r="H34141" s="4" t="str">
        <v/>
      </c>
      <c r="I34141" s="4" t="str">
        <v/>
      </c>
    </row>
    <row r="34142" spans="5:9" ht="16.5" hidden="1">
      <c r="E34142" s="4" t="str">
        <v/>
      </c>
      <c r="F34142" s="102" t="str">
        <f ca="1">IFERROR(__xludf.DUMMYFUNCTION("IMPORTRANGE(H34142,""IDENTITAS UNIT!D9"")"),"#N/A")</f>
        <v>#N/A</v>
      </c>
      <c r="H34142" s="4" t="str">
        <v/>
      </c>
      <c r="I34142" s="4" t="str">
        <v/>
      </c>
    </row>
    <row r="34143" spans="5:9" ht="16.5" hidden="1">
      <c r="E34143" s="4" t="str">
        <v/>
      </c>
      <c r="F34143" s="102" t="str">
        <f ca="1">IFERROR(__xludf.DUMMYFUNCTION("IMPORTRANGE(H34143,""IDENTITAS UNIT!D9"")"),"#N/A")</f>
        <v>#N/A</v>
      </c>
      <c r="H34143" s="4" t="str">
        <v/>
      </c>
      <c r="I34143" s="4" t="str">
        <v/>
      </c>
    </row>
    <row r="34144" spans="5:9" ht="16.5" hidden="1">
      <c r="E34144" s="4" t="str">
        <v/>
      </c>
      <c r="F34144" s="102" t="str">
        <f ca="1">IFERROR(__xludf.DUMMYFUNCTION("IMPORTRANGE(H34144,""IDENTITAS UNIT!D9"")"),"#N/A")</f>
        <v>#N/A</v>
      </c>
      <c r="H34144" s="4" t="str">
        <v/>
      </c>
      <c r="I34144" s="4" t="str">
        <v/>
      </c>
    </row>
    <row r="34145" spans="5:9" ht="16.5" hidden="1">
      <c r="E34145" s="4" t="str">
        <v/>
      </c>
      <c r="F34145" s="102" t="str">
        <f ca="1">IFERROR(__xludf.DUMMYFUNCTION("IMPORTRANGE(H34145,""IDENTITAS UNIT!D9"")"),"#N/A")</f>
        <v>#N/A</v>
      </c>
      <c r="H34145" s="4" t="str">
        <v/>
      </c>
      <c r="I34145" s="4" t="str">
        <v/>
      </c>
    </row>
    <row r="34146" spans="5:9" ht="16.5" hidden="1">
      <c r="E34146" s="4" t="str">
        <v/>
      </c>
      <c r="F34146" s="102" t="str">
        <f ca="1">IFERROR(__xludf.DUMMYFUNCTION("IMPORTRANGE(H34146,""IDENTITAS UNIT!D9"")"),"#N/A")</f>
        <v>#N/A</v>
      </c>
      <c r="H34146" s="4" t="str">
        <v/>
      </c>
      <c r="I34146" s="4" t="str">
        <v/>
      </c>
    </row>
    <row r="34147" spans="5:9" ht="16.5" hidden="1">
      <c r="E34147" s="4" t="str">
        <v/>
      </c>
      <c r="F34147" s="102" t="str">
        <f ca="1">IFERROR(__xludf.DUMMYFUNCTION("IMPORTRANGE(H34147,""IDENTITAS UNIT!D9"")"),"#N/A")</f>
        <v>#N/A</v>
      </c>
      <c r="H34147" s="4" t="str">
        <v/>
      </c>
      <c r="I34147" s="4" t="str">
        <v/>
      </c>
    </row>
    <row r="34148" spans="5:9" ht="16.5" hidden="1">
      <c r="E34148" s="4" t="str">
        <v/>
      </c>
      <c r="F34148" s="102" t="str">
        <f ca="1">IFERROR(__xludf.DUMMYFUNCTION("IMPORTRANGE(H34148,""IDENTITAS UNIT!D9"")"),"#N/A")</f>
        <v>#N/A</v>
      </c>
      <c r="H34148" s="4" t="str">
        <v/>
      </c>
      <c r="I34148" s="4" t="str">
        <v/>
      </c>
    </row>
    <row r="34149" spans="5:9" ht="16.5" hidden="1">
      <c r="E34149" s="4" t="str">
        <v/>
      </c>
      <c r="F34149" s="102" t="str">
        <f ca="1">IFERROR(__xludf.DUMMYFUNCTION("IMPORTRANGE(H34149,""IDENTITAS UNIT!D9"")"),"#N/A")</f>
        <v>#N/A</v>
      </c>
      <c r="H34149" s="4" t="str">
        <v/>
      </c>
      <c r="I34149" s="4" t="str">
        <v/>
      </c>
    </row>
    <row r="34150" spans="5:9" ht="16.5" hidden="1">
      <c r="E34150" s="4" t="str">
        <v/>
      </c>
      <c r="F34150" s="102" t="str">
        <f ca="1">IFERROR(__xludf.DUMMYFUNCTION("IMPORTRANGE(H34150,""IDENTITAS UNIT!D9"")"),"#N/A")</f>
        <v>#N/A</v>
      </c>
      <c r="H34150" s="4" t="str">
        <v/>
      </c>
      <c r="I34150" s="4" t="str">
        <v/>
      </c>
    </row>
    <row r="34151" spans="5:9" ht="16.5" hidden="1">
      <c r="E34151" s="4" t="str">
        <v/>
      </c>
      <c r="F34151" s="102" t="str">
        <f ca="1">IFERROR(__xludf.DUMMYFUNCTION("IMPORTRANGE(H34151,""IDENTITAS UNIT!D9"")"),"#N/A")</f>
        <v>#N/A</v>
      </c>
      <c r="H34151" s="4" t="str">
        <v/>
      </c>
      <c r="I34151" s="4" t="str">
        <v/>
      </c>
    </row>
    <row r="34152" spans="5:9" ht="16.5" hidden="1">
      <c r="E34152" s="4" t="str">
        <v/>
      </c>
      <c r="F34152" s="102" t="str">
        <f ca="1">IFERROR(__xludf.DUMMYFUNCTION("IMPORTRANGE(H34152,""IDENTITAS UNIT!D9"")"),"#N/A")</f>
        <v>#N/A</v>
      </c>
      <c r="H34152" s="4" t="str">
        <v/>
      </c>
      <c r="I34152" s="4" t="str">
        <v/>
      </c>
    </row>
    <row r="34153" spans="5:9" ht="16.5" hidden="1">
      <c r="E34153" s="4" t="str">
        <v/>
      </c>
      <c r="F34153" s="102" t="str">
        <f ca="1">IFERROR(__xludf.DUMMYFUNCTION("IMPORTRANGE(H34153,""IDENTITAS UNIT!D9"")"),"#N/A")</f>
        <v>#N/A</v>
      </c>
      <c r="H34153" s="4" t="str">
        <v/>
      </c>
      <c r="I34153" s="4" t="str">
        <v/>
      </c>
    </row>
    <row r="34154" spans="5:9" ht="16.5" hidden="1">
      <c r="E34154" s="4" t="str">
        <v/>
      </c>
      <c r="F34154" s="102" t="str">
        <f ca="1">IFERROR(__xludf.DUMMYFUNCTION("IMPORTRANGE(H34154,""IDENTITAS UNIT!D9"")"),"#N/A")</f>
        <v>#N/A</v>
      </c>
      <c r="H34154" s="4" t="str">
        <v/>
      </c>
      <c r="I34154" s="4" t="str">
        <v/>
      </c>
    </row>
    <row r="34155" spans="5:9" ht="16.5" hidden="1">
      <c r="E34155" s="4" t="str">
        <v/>
      </c>
      <c r="F34155" s="102" t="str">
        <f ca="1">IFERROR(__xludf.DUMMYFUNCTION("IMPORTRANGE(H34155,""IDENTITAS UNIT!D9"")"),"#N/A")</f>
        <v>#N/A</v>
      </c>
      <c r="H34155" s="4" t="str">
        <v/>
      </c>
      <c r="I34155" s="4" t="str">
        <v/>
      </c>
    </row>
    <row r="34156" spans="5:9" ht="16.5" hidden="1">
      <c r="E34156" s="4" t="str">
        <v/>
      </c>
      <c r="F34156" s="102" t="str">
        <f ca="1">IFERROR(__xludf.DUMMYFUNCTION("IMPORTRANGE(H34156,""IDENTITAS UNIT!D9"")"),"#N/A")</f>
        <v>#N/A</v>
      </c>
      <c r="H34156" s="4" t="str">
        <v/>
      </c>
      <c r="I34156" s="4" t="str">
        <v/>
      </c>
    </row>
    <row r="34157" spans="5:9" ht="16.5" hidden="1">
      <c r="E34157" s="4" t="str">
        <v/>
      </c>
      <c r="F34157" s="102" t="str">
        <f ca="1">IFERROR(__xludf.DUMMYFUNCTION("IMPORTRANGE(H34157,""IDENTITAS UNIT!D9"")"),"#N/A")</f>
        <v>#N/A</v>
      </c>
      <c r="H34157" s="4" t="str">
        <v/>
      </c>
      <c r="I34157" s="4" t="str">
        <v/>
      </c>
    </row>
    <row r="34158" spans="5:9" ht="16.5" hidden="1">
      <c r="E34158" s="4" t="str">
        <v/>
      </c>
      <c r="F34158" s="102" t="str">
        <f ca="1">IFERROR(__xludf.DUMMYFUNCTION("IMPORTRANGE(H34158,""IDENTITAS UNIT!D9"")"),"#N/A")</f>
        <v>#N/A</v>
      </c>
      <c r="H34158" s="4" t="str">
        <v/>
      </c>
      <c r="I34158" s="4" t="str">
        <v/>
      </c>
    </row>
    <row r="34159" spans="5:9" ht="16.5" hidden="1">
      <c r="E34159" s="4" t="str">
        <v/>
      </c>
      <c r="F34159" s="102" t="str">
        <f ca="1">IFERROR(__xludf.DUMMYFUNCTION("IMPORTRANGE(H34159,""IDENTITAS UNIT!D9"")"),"#N/A")</f>
        <v>#N/A</v>
      </c>
      <c r="H34159" s="4" t="str">
        <v/>
      </c>
      <c r="I34159" s="4" t="str">
        <v/>
      </c>
    </row>
    <row r="34160" spans="5:9" ht="16.5" hidden="1">
      <c r="E34160" s="4" t="str">
        <v/>
      </c>
      <c r="F34160" s="102" t="str">
        <f ca="1">IFERROR(__xludf.DUMMYFUNCTION("IMPORTRANGE(H34160,""IDENTITAS UNIT!D9"")"),"#N/A")</f>
        <v>#N/A</v>
      </c>
      <c r="H34160" s="4" t="str">
        <v/>
      </c>
      <c r="I34160" s="4" t="str">
        <v/>
      </c>
    </row>
    <row r="34161" spans="5:9" ht="16.5" hidden="1">
      <c r="E34161" s="4" t="str">
        <v/>
      </c>
      <c r="F34161" s="102" t="str">
        <f ca="1">IFERROR(__xludf.DUMMYFUNCTION("IMPORTRANGE(H34161,""IDENTITAS UNIT!D9"")"),"#N/A")</f>
        <v>#N/A</v>
      </c>
      <c r="H34161" s="4" t="str">
        <v/>
      </c>
      <c r="I34161" s="4" t="str">
        <v/>
      </c>
    </row>
    <row r="34162" spans="5:9" ht="16.5" hidden="1">
      <c r="E34162" s="4" t="str">
        <v/>
      </c>
      <c r="F34162" s="102" t="str">
        <f ca="1">IFERROR(__xludf.DUMMYFUNCTION("IMPORTRANGE(H34162,""IDENTITAS UNIT!D9"")"),"#N/A")</f>
        <v>#N/A</v>
      </c>
      <c r="H34162" s="4" t="str">
        <v/>
      </c>
      <c r="I34162" s="4" t="str">
        <v/>
      </c>
    </row>
    <row r="34163" spans="5:9" ht="16.5" hidden="1">
      <c r="E34163" s="4" t="str">
        <v/>
      </c>
      <c r="F34163" s="102" t="str">
        <f ca="1">IFERROR(__xludf.DUMMYFUNCTION("IMPORTRANGE(H34163,""IDENTITAS UNIT!D9"")"),"#N/A")</f>
        <v>#N/A</v>
      </c>
      <c r="H34163" s="4" t="str">
        <v/>
      </c>
      <c r="I34163" s="4" t="str">
        <v/>
      </c>
    </row>
    <row r="34164" spans="5:9" ht="16.5" hidden="1">
      <c r="E34164" s="4" t="str">
        <v/>
      </c>
      <c r="F34164" s="102" t="str">
        <f ca="1">IFERROR(__xludf.DUMMYFUNCTION("IMPORTRANGE(H34164,""IDENTITAS UNIT!D9"")"),"#N/A")</f>
        <v>#N/A</v>
      </c>
      <c r="H34164" s="4" t="str">
        <v/>
      </c>
      <c r="I34164" s="4" t="str">
        <v/>
      </c>
    </row>
    <row r="34165" spans="5:9" ht="16.5" hidden="1">
      <c r="E34165" s="4" t="str">
        <v/>
      </c>
      <c r="F34165" s="102" t="str">
        <f ca="1">IFERROR(__xludf.DUMMYFUNCTION("IMPORTRANGE(H34165,""IDENTITAS UNIT!D9"")"),"#N/A")</f>
        <v>#N/A</v>
      </c>
      <c r="H34165" s="4" t="str">
        <v/>
      </c>
      <c r="I34165" s="4" t="str">
        <v/>
      </c>
    </row>
    <row r="34166" spans="5:9" ht="16.5" hidden="1">
      <c r="E34166" s="4" t="str">
        <v/>
      </c>
      <c r="F34166" s="102" t="str">
        <f ca="1">IFERROR(__xludf.DUMMYFUNCTION("IMPORTRANGE(H34166,""IDENTITAS UNIT!D9"")"),"#N/A")</f>
        <v>#N/A</v>
      </c>
      <c r="H34166" s="4" t="str">
        <v/>
      </c>
      <c r="I34166" s="4" t="str">
        <v/>
      </c>
    </row>
    <row r="34167" spans="5:9" ht="16.5" hidden="1">
      <c r="E34167" s="4" t="str">
        <v/>
      </c>
      <c r="F34167" s="102" t="str">
        <f ca="1">IFERROR(__xludf.DUMMYFUNCTION("IMPORTRANGE(H34167,""IDENTITAS UNIT!D9"")"),"#N/A")</f>
        <v>#N/A</v>
      </c>
      <c r="H34167" s="4" t="str">
        <v/>
      </c>
      <c r="I34167" s="4" t="str">
        <v/>
      </c>
    </row>
    <row r="34168" spans="5:9" ht="16.5" hidden="1">
      <c r="E34168" s="4" t="str">
        <v/>
      </c>
      <c r="F34168" s="102" t="str">
        <f ca="1">IFERROR(__xludf.DUMMYFUNCTION("IMPORTRANGE(H34168,""IDENTITAS UNIT!D9"")"),"#N/A")</f>
        <v>#N/A</v>
      </c>
      <c r="H34168" s="4" t="str">
        <v/>
      </c>
      <c r="I34168" s="4" t="str">
        <v/>
      </c>
    </row>
    <row r="34169" spans="5:9" ht="16.5" hidden="1">
      <c r="E34169" s="4" t="str">
        <v/>
      </c>
      <c r="F34169" s="102" t="str">
        <f ca="1">IFERROR(__xludf.DUMMYFUNCTION("IMPORTRANGE(H34169,""IDENTITAS UNIT!D9"")"),"#N/A")</f>
        <v>#N/A</v>
      </c>
      <c r="H34169" s="4" t="str">
        <v/>
      </c>
      <c r="I34169" s="4" t="str">
        <v/>
      </c>
    </row>
    <row r="34170" spans="5:9" ht="16.5" hidden="1">
      <c r="E34170" s="4" t="str">
        <v/>
      </c>
      <c r="F34170" s="102" t="str">
        <f ca="1">IFERROR(__xludf.DUMMYFUNCTION("IMPORTRANGE(H34170,""IDENTITAS UNIT!D9"")"),"#N/A")</f>
        <v>#N/A</v>
      </c>
      <c r="H34170" s="4" t="str">
        <v/>
      </c>
      <c r="I34170" s="4" t="str">
        <v/>
      </c>
    </row>
    <row r="34171" spans="5:9" ht="16.5" hidden="1">
      <c r="E34171" s="4" t="str">
        <v/>
      </c>
      <c r="F34171" s="102" t="str">
        <f ca="1">IFERROR(__xludf.DUMMYFUNCTION("IMPORTRANGE(H34171,""IDENTITAS UNIT!D9"")"),"#N/A")</f>
        <v>#N/A</v>
      </c>
      <c r="H34171" s="4" t="str">
        <v/>
      </c>
      <c r="I34171" s="4" t="str">
        <v/>
      </c>
    </row>
    <row r="34172" spans="5:9" ht="16.5" hidden="1">
      <c r="E34172" s="4" t="str">
        <v/>
      </c>
      <c r="F34172" s="102" t="str">
        <f ca="1">IFERROR(__xludf.DUMMYFUNCTION("IMPORTRANGE(H34172,""IDENTITAS UNIT!D9"")"),"#N/A")</f>
        <v>#N/A</v>
      </c>
      <c r="H34172" s="4" t="str">
        <v/>
      </c>
      <c r="I34172" s="4" t="str">
        <v/>
      </c>
    </row>
    <row r="34173" spans="5:9" ht="16.5" hidden="1">
      <c r="E34173" s="4" t="str">
        <v/>
      </c>
      <c r="F34173" s="102" t="str">
        <f ca="1">IFERROR(__xludf.DUMMYFUNCTION("IMPORTRANGE(H34173,""IDENTITAS UNIT!D9"")"),"#N/A")</f>
        <v>#N/A</v>
      </c>
      <c r="H34173" s="4" t="str">
        <v/>
      </c>
      <c r="I34173" s="4" t="str">
        <v/>
      </c>
    </row>
    <row r="34174" spans="5:9" ht="16.5" hidden="1">
      <c r="E34174" s="4" t="str">
        <v/>
      </c>
      <c r="F34174" s="102" t="str">
        <f ca="1">IFERROR(__xludf.DUMMYFUNCTION("IMPORTRANGE(H34174,""IDENTITAS UNIT!D9"")"),"#N/A")</f>
        <v>#N/A</v>
      </c>
      <c r="H34174" s="4" t="str">
        <v/>
      </c>
      <c r="I34174" s="4" t="str">
        <v/>
      </c>
    </row>
    <row r="34175" spans="5:9" ht="16.5" hidden="1">
      <c r="E34175" s="4" t="str">
        <v/>
      </c>
      <c r="F34175" s="102" t="str">
        <f ca="1">IFERROR(__xludf.DUMMYFUNCTION("IMPORTRANGE(H34175,""IDENTITAS UNIT!D9"")"),"#N/A")</f>
        <v>#N/A</v>
      </c>
      <c r="H34175" s="4" t="str">
        <v/>
      </c>
      <c r="I34175" s="4" t="str">
        <v/>
      </c>
    </row>
    <row r="34176" spans="5:9" ht="16.5" hidden="1">
      <c r="E34176" s="4" t="str">
        <v/>
      </c>
      <c r="F34176" s="102" t="str">
        <f ca="1">IFERROR(__xludf.DUMMYFUNCTION("IMPORTRANGE(H34176,""IDENTITAS UNIT!D9"")"),"#N/A")</f>
        <v>#N/A</v>
      </c>
      <c r="H34176" s="4" t="str">
        <v/>
      </c>
      <c r="I34176" s="4" t="str">
        <v/>
      </c>
    </row>
    <row r="34177" spans="5:9" ht="16.5" hidden="1">
      <c r="E34177" s="4" t="str">
        <v/>
      </c>
      <c r="F34177" s="102" t="str">
        <f ca="1">IFERROR(__xludf.DUMMYFUNCTION("IMPORTRANGE(H34177,""IDENTITAS UNIT!D9"")"),"#N/A")</f>
        <v>#N/A</v>
      </c>
      <c r="H34177" s="4" t="str">
        <v/>
      </c>
      <c r="I34177" s="4" t="str">
        <v/>
      </c>
    </row>
    <row r="34178" spans="5:9" ht="16.5" hidden="1">
      <c r="E34178" s="4" t="str">
        <v/>
      </c>
      <c r="F34178" s="102" t="str">
        <f ca="1">IFERROR(__xludf.DUMMYFUNCTION("IMPORTRANGE(H34178,""IDENTITAS UNIT!D9"")"),"#N/A")</f>
        <v>#N/A</v>
      </c>
      <c r="H34178" s="4" t="str">
        <v/>
      </c>
      <c r="I34178" s="4" t="str">
        <v/>
      </c>
    </row>
    <row r="34179" spans="5:9" ht="16.5" hidden="1">
      <c r="E34179" s="4" t="str">
        <v/>
      </c>
      <c r="F34179" s="102" t="str">
        <f ca="1">IFERROR(__xludf.DUMMYFUNCTION("IMPORTRANGE(H34179,""IDENTITAS UNIT!D9"")"),"#N/A")</f>
        <v>#N/A</v>
      </c>
      <c r="H34179" s="4" t="str">
        <v/>
      </c>
      <c r="I34179" s="4" t="str">
        <v/>
      </c>
    </row>
    <row r="34180" spans="5:9" ht="16.5" hidden="1">
      <c r="E34180" s="4" t="str">
        <v/>
      </c>
      <c r="F34180" s="102" t="str">
        <f ca="1">IFERROR(__xludf.DUMMYFUNCTION("IMPORTRANGE(H34180,""IDENTITAS UNIT!D9"")"),"#N/A")</f>
        <v>#N/A</v>
      </c>
      <c r="H34180" s="4" t="str">
        <v/>
      </c>
      <c r="I34180" s="4" t="str">
        <v/>
      </c>
    </row>
    <row r="34181" spans="5:9" ht="16.5" hidden="1">
      <c r="E34181" s="4" t="str">
        <v/>
      </c>
      <c r="F34181" s="102" t="str">
        <f ca="1">IFERROR(__xludf.DUMMYFUNCTION("IMPORTRANGE(H34181,""IDENTITAS UNIT!D9"")"),"#N/A")</f>
        <v>#N/A</v>
      </c>
      <c r="H34181" s="4" t="str">
        <v/>
      </c>
      <c r="I34181" s="4" t="str">
        <v/>
      </c>
    </row>
    <row r="34182" spans="5:9" ht="16.5" hidden="1">
      <c r="E34182" s="4" t="str">
        <v/>
      </c>
      <c r="F34182" s="102" t="str">
        <f ca="1">IFERROR(__xludf.DUMMYFUNCTION("IMPORTRANGE(H34182,""IDENTITAS UNIT!D9"")"),"#N/A")</f>
        <v>#N/A</v>
      </c>
      <c r="H34182" s="4" t="str">
        <v/>
      </c>
      <c r="I34182" s="4" t="str">
        <v/>
      </c>
    </row>
    <row r="34183" spans="5:9" ht="16.5" hidden="1">
      <c r="E34183" s="4" t="str">
        <v/>
      </c>
      <c r="F34183" s="102" t="str">
        <f ca="1">IFERROR(__xludf.DUMMYFUNCTION("IMPORTRANGE(H34183,""IDENTITAS UNIT!D9"")"),"#N/A")</f>
        <v>#N/A</v>
      </c>
      <c r="H34183" s="4" t="str">
        <v/>
      </c>
      <c r="I34183" s="4" t="str">
        <v/>
      </c>
    </row>
    <row r="34184" spans="5:9" ht="16.5" hidden="1">
      <c r="E34184" s="4" t="str">
        <v/>
      </c>
      <c r="F34184" s="102" t="str">
        <f ca="1">IFERROR(__xludf.DUMMYFUNCTION("IMPORTRANGE(H34184,""IDENTITAS UNIT!D9"")"),"#N/A")</f>
        <v>#N/A</v>
      </c>
      <c r="H34184" s="4" t="str">
        <v/>
      </c>
      <c r="I34184" s="4" t="str">
        <v/>
      </c>
    </row>
    <row r="34185" spans="5:9" ht="16.5" hidden="1">
      <c r="E34185" s="4" t="str">
        <v/>
      </c>
      <c r="F34185" s="102" t="str">
        <f ca="1">IFERROR(__xludf.DUMMYFUNCTION("IMPORTRANGE(H34185,""IDENTITAS UNIT!D9"")"),"#N/A")</f>
        <v>#N/A</v>
      </c>
      <c r="H34185" s="4" t="str">
        <v/>
      </c>
      <c r="I34185" s="4" t="str">
        <v/>
      </c>
    </row>
    <row r="34186" spans="5:9" ht="16.5" hidden="1">
      <c r="E34186" s="4" t="str">
        <v/>
      </c>
      <c r="F34186" s="102" t="str">
        <f ca="1">IFERROR(__xludf.DUMMYFUNCTION("IMPORTRANGE(H34186,""IDENTITAS UNIT!D9"")"),"#N/A")</f>
        <v>#N/A</v>
      </c>
      <c r="H34186" s="4" t="str">
        <v/>
      </c>
      <c r="I34186" s="4" t="str">
        <v/>
      </c>
    </row>
    <row r="34187" spans="5:9" ht="16.5" hidden="1">
      <c r="E34187" s="4" t="str">
        <v/>
      </c>
      <c r="F34187" s="102" t="str">
        <f ca="1">IFERROR(__xludf.DUMMYFUNCTION("IMPORTRANGE(H34187,""IDENTITAS UNIT!D9"")"),"#N/A")</f>
        <v>#N/A</v>
      </c>
      <c r="H34187" s="4" t="str">
        <v/>
      </c>
      <c r="I34187" s="4" t="str">
        <v/>
      </c>
    </row>
    <row r="34188" spans="5:9" ht="16.5" hidden="1">
      <c r="E34188" s="4" t="str">
        <v/>
      </c>
      <c r="F34188" s="102" t="str">
        <f ca="1">IFERROR(__xludf.DUMMYFUNCTION("IMPORTRANGE(H34188,""IDENTITAS UNIT!D9"")"),"#N/A")</f>
        <v>#N/A</v>
      </c>
      <c r="H34188" s="4" t="str">
        <v/>
      </c>
      <c r="I34188" s="4" t="str">
        <v/>
      </c>
    </row>
    <row r="34189" spans="5:9" ht="16.5" hidden="1">
      <c r="E34189" s="4" t="str">
        <v/>
      </c>
      <c r="F34189" s="102" t="str">
        <f ca="1">IFERROR(__xludf.DUMMYFUNCTION("IMPORTRANGE(H34189,""IDENTITAS UNIT!D9"")"),"#N/A")</f>
        <v>#N/A</v>
      </c>
      <c r="H34189" s="4" t="str">
        <v/>
      </c>
      <c r="I34189" s="4" t="str">
        <v/>
      </c>
    </row>
    <row r="34190" spans="5:9" ht="16.5" hidden="1">
      <c r="E34190" s="4" t="str">
        <v/>
      </c>
      <c r="F34190" s="102" t="str">
        <f ca="1">IFERROR(__xludf.DUMMYFUNCTION("IMPORTRANGE(H34190,""IDENTITAS UNIT!D9"")"),"#N/A")</f>
        <v>#N/A</v>
      </c>
      <c r="H34190" s="4" t="str">
        <v/>
      </c>
      <c r="I34190" s="4" t="str">
        <v/>
      </c>
    </row>
    <row r="34191" spans="5:9" ht="16.5" hidden="1">
      <c r="E34191" s="4" t="str">
        <v/>
      </c>
      <c r="F34191" s="102" t="str">
        <f ca="1">IFERROR(__xludf.DUMMYFUNCTION("IMPORTRANGE(H34191,""IDENTITAS UNIT!D9"")"),"#N/A")</f>
        <v>#N/A</v>
      </c>
      <c r="H34191" s="4" t="str">
        <v/>
      </c>
      <c r="I34191" s="4" t="str">
        <v/>
      </c>
    </row>
    <row r="34192" spans="5:9" ht="16.5" hidden="1">
      <c r="E34192" s="4" t="str">
        <v/>
      </c>
      <c r="F34192" s="102" t="str">
        <f ca="1">IFERROR(__xludf.DUMMYFUNCTION("IMPORTRANGE(H34192,""IDENTITAS UNIT!D9"")"),"#N/A")</f>
        <v>#N/A</v>
      </c>
      <c r="H34192" s="4" t="str">
        <v/>
      </c>
      <c r="I34192" s="4" t="str">
        <v/>
      </c>
    </row>
    <row r="34193" spans="5:9" ht="16.5" hidden="1">
      <c r="E34193" s="4" t="str">
        <v/>
      </c>
      <c r="F34193" s="102" t="str">
        <f ca="1">IFERROR(__xludf.DUMMYFUNCTION("IMPORTRANGE(H34193,""IDENTITAS UNIT!D9"")"),"#N/A")</f>
        <v>#N/A</v>
      </c>
      <c r="H34193" s="4" t="str">
        <v/>
      </c>
      <c r="I34193" s="4" t="str">
        <v/>
      </c>
    </row>
    <row r="34194" spans="5:9" ht="16.5" hidden="1">
      <c r="E34194" s="4" t="str">
        <v/>
      </c>
      <c r="F34194" s="102" t="str">
        <f ca="1">IFERROR(__xludf.DUMMYFUNCTION("IMPORTRANGE(H34194,""IDENTITAS UNIT!D9"")"),"#N/A")</f>
        <v>#N/A</v>
      </c>
      <c r="H34194" s="4" t="str">
        <v/>
      </c>
      <c r="I34194" s="4" t="str">
        <v/>
      </c>
    </row>
    <row r="34195" spans="5:9" ht="16.5" hidden="1">
      <c r="E34195" s="4" t="str">
        <v/>
      </c>
      <c r="F34195" s="102" t="str">
        <f ca="1">IFERROR(__xludf.DUMMYFUNCTION("IMPORTRANGE(H34195,""IDENTITAS UNIT!D9"")"),"#N/A")</f>
        <v>#N/A</v>
      </c>
      <c r="H34195" s="4" t="str">
        <v/>
      </c>
      <c r="I34195" s="4" t="str">
        <v/>
      </c>
    </row>
    <row r="34196" spans="5:9" ht="16.5" hidden="1">
      <c r="E34196" s="4" t="str">
        <v/>
      </c>
      <c r="F34196" s="102" t="str">
        <f ca="1">IFERROR(__xludf.DUMMYFUNCTION("IMPORTRANGE(H34196,""IDENTITAS UNIT!D9"")"),"#N/A")</f>
        <v>#N/A</v>
      </c>
      <c r="H34196" s="4" t="str">
        <v/>
      </c>
      <c r="I34196" s="4" t="str">
        <v/>
      </c>
    </row>
    <row r="34197" spans="5:9" ht="16.5" hidden="1">
      <c r="E34197" s="4" t="str">
        <v/>
      </c>
      <c r="F34197" s="102" t="str">
        <f ca="1">IFERROR(__xludf.DUMMYFUNCTION("IMPORTRANGE(H34197,""IDENTITAS UNIT!D9"")"),"#N/A")</f>
        <v>#N/A</v>
      </c>
      <c r="H34197" s="4" t="str">
        <v/>
      </c>
      <c r="I34197" s="4" t="str">
        <v/>
      </c>
    </row>
    <row r="34198" spans="5:9" ht="16.5" hidden="1">
      <c r="E34198" s="4" t="str">
        <v/>
      </c>
      <c r="F34198" s="102" t="str">
        <f ca="1">IFERROR(__xludf.DUMMYFUNCTION("IMPORTRANGE(H34198,""IDENTITAS UNIT!D9"")"),"#N/A")</f>
        <v>#N/A</v>
      </c>
      <c r="H34198" s="4" t="str">
        <v/>
      </c>
      <c r="I34198" s="4" t="str">
        <v/>
      </c>
    </row>
    <row r="34199" spans="5:9" ht="16.5" hidden="1">
      <c r="E34199" s="4" t="str">
        <v/>
      </c>
      <c r="F34199" s="102" t="str">
        <f ca="1">IFERROR(__xludf.DUMMYFUNCTION("IMPORTRANGE(H34199,""IDENTITAS UNIT!D9"")"),"#N/A")</f>
        <v>#N/A</v>
      </c>
      <c r="H34199" s="4" t="str">
        <v/>
      </c>
      <c r="I34199" s="4" t="str">
        <v/>
      </c>
    </row>
    <row r="34200" spans="5:9" ht="16.5" hidden="1">
      <c r="E34200" s="4" t="str">
        <v/>
      </c>
      <c r="F34200" s="102" t="str">
        <f ca="1">IFERROR(__xludf.DUMMYFUNCTION("IMPORTRANGE(H34200,""IDENTITAS UNIT!D9"")"),"#N/A")</f>
        <v>#N/A</v>
      </c>
      <c r="H34200" s="4" t="str">
        <v/>
      </c>
      <c r="I34200" s="4" t="str">
        <v/>
      </c>
    </row>
    <row r="34201" spans="5:9" ht="16.5" hidden="1">
      <c r="E34201" s="4" t="str">
        <v/>
      </c>
      <c r="F34201" s="102" t="str">
        <f ca="1">IFERROR(__xludf.DUMMYFUNCTION("IMPORTRANGE(H34201,""IDENTITAS UNIT!D9"")"),"#N/A")</f>
        <v>#N/A</v>
      </c>
      <c r="H34201" s="4" t="str">
        <v/>
      </c>
      <c r="I34201" s="4" t="str">
        <v/>
      </c>
    </row>
    <row r="34202" spans="5:9" ht="16.5" hidden="1">
      <c r="E34202" s="4" t="str">
        <v/>
      </c>
      <c r="F34202" s="102" t="str">
        <f ca="1">IFERROR(__xludf.DUMMYFUNCTION("IMPORTRANGE(H34202,""IDENTITAS UNIT!D9"")"),"#N/A")</f>
        <v>#N/A</v>
      </c>
      <c r="H34202" s="4" t="str">
        <v/>
      </c>
      <c r="I34202" s="4" t="str">
        <v/>
      </c>
    </row>
    <row r="34203" spans="5:9" ht="16.5" hidden="1">
      <c r="E34203" s="4" t="str">
        <v/>
      </c>
      <c r="F34203" s="102" t="str">
        <f ca="1">IFERROR(__xludf.DUMMYFUNCTION("IMPORTRANGE(H34203,""IDENTITAS UNIT!D9"")"),"#N/A")</f>
        <v>#N/A</v>
      </c>
      <c r="H34203" s="4" t="str">
        <v/>
      </c>
      <c r="I34203" s="4" t="str">
        <v/>
      </c>
    </row>
    <row r="34204" spans="5:9" ht="16.5" hidden="1">
      <c r="E34204" s="4" t="str">
        <v/>
      </c>
      <c r="F34204" s="102" t="str">
        <f ca="1">IFERROR(__xludf.DUMMYFUNCTION("IMPORTRANGE(H34204,""IDENTITAS UNIT!D9"")"),"#N/A")</f>
        <v>#N/A</v>
      </c>
      <c r="H34204" s="4" t="str">
        <v/>
      </c>
      <c r="I34204" s="4" t="str">
        <v/>
      </c>
    </row>
    <row r="34205" spans="5:9" ht="16.5" hidden="1">
      <c r="E34205" s="4" t="str">
        <v/>
      </c>
      <c r="F34205" s="102" t="str">
        <f ca="1">IFERROR(__xludf.DUMMYFUNCTION("IMPORTRANGE(H34205,""IDENTITAS UNIT!D9"")"),"#N/A")</f>
        <v>#N/A</v>
      </c>
      <c r="H34205" s="4" t="str">
        <v/>
      </c>
      <c r="I34205" s="4" t="str">
        <v/>
      </c>
    </row>
    <row r="34206" spans="5:9" ht="16.5" hidden="1">
      <c r="E34206" s="4" t="str">
        <v/>
      </c>
      <c r="F34206" s="102" t="str">
        <f ca="1">IFERROR(__xludf.DUMMYFUNCTION("IMPORTRANGE(H34206,""IDENTITAS UNIT!D9"")"),"#N/A")</f>
        <v>#N/A</v>
      </c>
      <c r="H34206" s="4" t="str">
        <v/>
      </c>
      <c r="I34206" s="4" t="str">
        <v/>
      </c>
    </row>
    <row r="34207" spans="5:9" ht="16.5" hidden="1">
      <c r="E34207" s="4" t="str">
        <v/>
      </c>
      <c r="F34207" s="102" t="str">
        <f ca="1">IFERROR(__xludf.DUMMYFUNCTION("IMPORTRANGE(H34207,""IDENTITAS UNIT!D9"")"),"#N/A")</f>
        <v>#N/A</v>
      </c>
      <c r="H34207" s="4" t="str">
        <v/>
      </c>
      <c r="I34207" s="4" t="str">
        <v/>
      </c>
    </row>
    <row r="34208" spans="5:9" ht="16.5" hidden="1">
      <c r="E34208" s="4" t="str">
        <v/>
      </c>
      <c r="F34208" s="102" t="str">
        <f ca="1">IFERROR(__xludf.DUMMYFUNCTION("IMPORTRANGE(H34208,""IDENTITAS UNIT!D9"")"),"#N/A")</f>
        <v>#N/A</v>
      </c>
      <c r="H34208" s="4" t="str">
        <v/>
      </c>
      <c r="I34208" s="4" t="str">
        <v/>
      </c>
    </row>
    <row r="34209" spans="5:9" ht="16.5" hidden="1">
      <c r="E34209" s="4" t="str">
        <v/>
      </c>
      <c r="F34209" s="102" t="str">
        <f ca="1">IFERROR(__xludf.DUMMYFUNCTION("IMPORTRANGE(H34209,""IDENTITAS UNIT!D9"")"),"#N/A")</f>
        <v>#N/A</v>
      </c>
      <c r="H34209" s="4" t="str">
        <v/>
      </c>
      <c r="I34209" s="4" t="str">
        <v/>
      </c>
    </row>
    <row r="34210" spans="5:9" ht="16.5" hidden="1">
      <c r="E34210" s="4" t="str">
        <v/>
      </c>
      <c r="F34210" s="102" t="str">
        <f ca="1">IFERROR(__xludf.DUMMYFUNCTION("IMPORTRANGE(H34210,""IDENTITAS UNIT!D9"")"),"#N/A")</f>
        <v>#N/A</v>
      </c>
      <c r="H34210" s="4" t="str">
        <v/>
      </c>
      <c r="I34210" s="4" t="str">
        <v/>
      </c>
    </row>
    <row r="34211" spans="5:9" ht="16.5" hidden="1">
      <c r="E34211" s="4" t="str">
        <v/>
      </c>
      <c r="F34211" s="102" t="str">
        <f ca="1">IFERROR(__xludf.DUMMYFUNCTION("IMPORTRANGE(H34211,""IDENTITAS UNIT!D9"")"),"#N/A")</f>
        <v>#N/A</v>
      </c>
      <c r="H34211" s="4" t="str">
        <v/>
      </c>
      <c r="I34211" s="4" t="str">
        <v/>
      </c>
    </row>
    <row r="34212" spans="5:9" ht="16.5" hidden="1">
      <c r="E34212" s="4" t="str">
        <v/>
      </c>
      <c r="F34212" s="102" t="str">
        <f ca="1">IFERROR(__xludf.DUMMYFUNCTION("IMPORTRANGE(H34212,""IDENTITAS UNIT!D9"")"),"#N/A")</f>
        <v>#N/A</v>
      </c>
      <c r="H34212" s="4" t="str">
        <v/>
      </c>
      <c r="I34212" s="4" t="str">
        <v/>
      </c>
    </row>
    <row r="34213" spans="5:9" ht="16.5" hidden="1">
      <c r="E34213" s="4" t="str">
        <v/>
      </c>
      <c r="F34213" s="102" t="str">
        <f ca="1">IFERROR(__xludf.DUMMYFUNCTION("IMPORTRANGE(H34213,""IDENTITAS UNIT!D9"")"),"#N/A")</f>
        <v>#N/A</v>
      </c>
      <c r="H34213" s="4" t="str">
        <v/>
      </c>
      <c r="I34213" s="4" t="str">
        <v/>
      </c>
    </row>
    <row r="34214" spans="5:9" ht="16.5" hidden="1">
      <c r="E34214" s="4" t="str">
        <v/>
      </c>
      <c r="F34214" s="102" t="str">
        <f ca="1">IFERROR(__xludf.DUMMYFUNCTION("IMPORTRANGE(H34214,""IDENTITAS UNIT!D9"")"),"#N/A")</f>
        <v>#N/A</v>
      </c>
      <c r="H34214" s="4" t="str">
        <v/>
      </c>
      <c r="I34214" s="4" t="str">
        <v/>
      </c>
    </row>
    <row r="34215" spans="5:9" ht="16.5" hidden="1">
      <c r="E34215" s="4" t="str">
        <v/>
      </c>
      <c r="F34215" s="102" t="str">
        <f ca="1">IFERROR(__xludf.DUMMYFUNCTION("IMPORTRANGE(H34215,""IDENTITAS UNIT!D9"")"),"#N/A")</f>
        <v>#N/A</v>
      </c>
      <c r="H34215" s="4" t="str">
        <v/>
      </c>
      <c r="I34215" s="4" t="str">
        <v/>
      </c>
    </row>
    <row r="34216" spans="5:9" ht="16.5" hidden="1">
      <c r="E34216" s="4" t="str">
        <v/>
      </c>
      <c r="F34216" s="102" t="str">
        <f ca="1">IFERROR(__xludf.DUMMYFUNCTION("IMPORTRANGE(H34216,""IDENTITAS UNIT!D9"")"),"#N/A")</f>
        <v>#N/A</v>
      </c>
      <c r="H34216" s="4" t="str">
        <v/>
      </c>
      <c r="I34216" s="4" t="str">
        <v/>
      </c>
    </row>
    <row r="34217" spans="5:9" ht="16.5" hidden="1">
      <c r="E34217" s="4" t="str">
        <v/>
      </c>
      <c r="F34217" s="102" t="str">
        <f ca="1">IFERROR(__xludf.DUMMYFUNCTION("IMPORTRANGE(H34217,""IDENTITAS UNIT!D9"")"),"#N/A")</f>
        <v>#N/A</v>
      </c>
      <c r="H34217" s="4" t="str">
        <v/>
      </c>
      <c r="I34217" s="4" t="str">
        <v/>
      </c>
    </row>
    <row r="34218" spans="5:9" ht="16.5" hidden="1">
      <c r="E34218" s="4" t="str">
        <v/>
      </c>
      <c r="F34218" s="102" t="str">
        <f ca="1">IFERROR(__xludf.DUMMYFUNCTION("IMPORTRANGE(H34218,""IDENTITAS UNIT!D9"")"),"#N/A")</f>
        <v>#N/A</v>
      </c>
      <c r="H34218" s="4" t="str">
        <v/>
      </c>
      <c r="I34218" s="4" t="str">
        <v/>
      </c>
    </row>
    <row r="34219" spans="5:9" ht="16.5" hidden="1">
      <c r="E34219" s="4" t="str">
        <v/>
      </c>
      <c r="F34219" s="102" t="str">
        <f ca="1">IFERROR(__xludf.DUMMYFUNCTION("IMPORTRANGE(H34219,""IDENTITAS UNIT!D9"")"),"#N/A")</f>
        <v>#N/A</v>
      </c>
      <c r="H34219" s="4" t="str">
        <v/>
      </c>
      <c r="I34219" s="4" t="str">
        <v/>
      </c>
    </row>
    <row r="34220" spans="5:9" ht="16.5" hidden="1">
      <c r="E34220" s="4" t="str">
        <v/>
      </c>
      <c r="F34220" s="102" t="str">
        <f ca="1">IFERROR(__xludf.DUMMYFUNCTION("IMPORTRANGE(H34220,""IDENTITAS UNIT!D9"")"),"#N/A")</f>
        <v>#N/A</v>
      </c>
      <c r="H34220" s="4" t="str">
        <v/>
      </c>
      <c r="I34220" s="4" t="str">
        <v/>
      </c>
    </row>
    <row r="34221" spans="5:9" ht="16.5" hidden="1">
      <c r="E34221" s="4" t="str">
        <v/>
      </c>
      <c r="F34221" s="102" t="str">
        <f ca="1">IFERROR(__xludf.DUMMYFUNCTION("IMPORTRANGE(H34221,""IDENTITAS UNIT!D9"")"),"#N/A")</f>
        <v>#N/A</v>
      </c>
      <c r="H34221" s="4" t="str">
        <v/>
      </c>
      <c r="I34221" s="4" t="str">
        <v/>
      </c>
    </row>
    <row r="34222" spans="5:9" ht="16.5" hidden="1">
      <c r="E34222" s="4" t="str">
        <v/>
      </c>
      <c r="F34222" s="102" t="str">
        <f ca="1">IFERROR(__xludf.DUMMYFUNCTION("IMPORTRANGE(H34222,""IDENTITAS UNIT!D9"")"),"#N/A")</f>
        <v>#N/A</v>
      </c>
      <c r="H34222" s="4" t="str">
        <v/>
      </c>
      <c r="I34222" s="4" t="str">
        <v/>
      </c>
    </row>
    <row r="34223" spans="5:9" ht="16.5" hidden="1">
      <c r="E34223" s="4" t="str">
        <v/>
      </c>
      <c r="F34223" s="102" t="str">
        <f ca="1">IFERROR(__xludf.DUMMYFUNCTION("IMPORTRANGE(H34223,""IDENTITAS UNIT!D9"")"),"#N/A")</f>
        <v>#N/A</v>
      </c>
      <c r="H34223" s="4" t="str">
        <v/>
      </c>
      <c r="I34223" s="4" t="str">
        <v/>
      </c>
    </row>
    <row r="34224" spans="5:9" ht="16.5" hidden="1">
      <c r="E34224" s="4" t="str">
        <v/>
      </c>
      <c r="F34224" s="102" t="str">
        <f ca="1">IFERROR(__xludf.DUMMYFUNCTION("IMPORTRANGE(H34224,""IDENTITAS UNIT!D9"")"),"#N/A")</f>
        <v>#N/A</v>
      </c>
      <c r="H34224" s="4" t="str">
        <v/>
      </c>
      <c r="I34224" s="4" t="str">
        <v/>
      </c>
    </row>
    <row r="34225" spans="5:9" ht="16.5" hidden="1">
      <c r="E34225" s="4" t="str">
        <v/>
      </c>
      <c r="F34225" s="102" t="str">
        <f ca="1">IFERROR(__xludf.DUMMYFUNCTION("IMPORTRANGE(H34225,""IDENTITAS UNIT!D9"")"),"#N/A")</f>
        <v>#N/A</v>
      </c>
      <c r="H34225" s="4" t="str">
        <v/>
      </c>
      <c r="I34225" s="4" t="str">
        <v/>
      </c>
    </row>
    <row r="34226" spans="5:9" ht="16.5" hidden="1">
      <c r="E34226" s="4" t="str">
        <v/>
      </c>
      <c r="F34226" s="102" t="str">
        <f ca="1">IFERROR(__xludf.DUMMYFUNCTION("IMPORTRANGE(H34226,""IDENTITAS UNIT!D9"")"),"#N/A")</f>
        <v>#N/A</v>
      </c>
      <c r="H34226" s="4" t="str">
        <v/>
      </c>
      <c r="I34226" s="4" t="str">
        <v/>
      </c>
    </row>
    <row r="34227" spans="5:9" ht="16.5" hidden="1">
      <c r="E34227" s="4" t="str">
        <v/>
      </c>
      <c r="F34227" s="102" t="str">
        <f ca="1">IFERROR(__xludf.DUMMYFUNCTION("IMPORTRANGE(H34227,""IDENTITAS UNIT!D9"")"),"#N/A")</f>
        <v>#N/A</v>
      </c>
      <c r="H34227" s="4" t="str">
        <v/>
      </c>
      <c r="I34227" s="4" t="str">
        <v/>
      </c>
    </row>
    <row r="34228" spans="5:9" ht="16.5" hidden="1">
      <c r="E34228" s="4" t="str">
        <v/>
      </c>
      <c r="F34228" s="102" t="str">
        <f ca="1">IFERROR(__xludf.DUMMYFUNCTION("IMPORTRANGE(H34228,""IDENTITAS UNIT!D9"")"),"#N/A")</f>
        <v>#N/A</v>
      </c>
      <c r="H34228" s="4" t="str">
        <v/>
      </c>
      <c r="I34228" s="4" t="str">
        <v/>
      </c>
    </row>
    <row r="34229" spans="5:9" ht="16.5" hidden="1">
      <c r="E34229" s="4" t="str">
        <v/>
      </c>
      <c r="F34229" s="102" t="str">
        <f ca="1">IFERROR(__xludf.DUMMYFUNCTION("IMPORTRANGE(H34229,""IDENTITAS UNIT!D9"")"),"#N/A")</f>
        <v>#N/A</v>
      </c>
      <c r="H34229" s="4" t="str">
        <v/>
      </c>
      <c r="I34229" s="4" t="str">
        <v/>
      </c>
    </row>
    <row r="34230" spans="5:9" ht="16.5" hidden="1">
      <c r="E34230" s="4" t="str">
        <v/>
      </c>
      <c r="F34230" s="102" t="str">
        <f ca="1">IFERROR(__xludf.DUMMYFUNCTION("IMPORTRANGE(H34230,""IDENTITAS UNIT!D9"")"),"#N/A")</f>
        <v>#N/A</v>
      </c>
      <c r="H34230" s="4" t="str">
        <v/>
      </c>
      <c r="I34230" s="4" t="str">
        <v/>
      </c>
    </row>
    <row r="34231" spans="5:9" ht="16.5" hidden="1">
      <c r="E34231" s="4" t="str">
        <v/>
      </c>
      <c r="F34231" s="102" t="str">
        <f ca="1">IFERROR(__xludf.DUMMYFUNCTION("IMPORTRANGE(H34231,""IDENTITAS UNIT!D9"")"),"#N/A")</f>
        <v>#N/A</v>
      </c>
      <c r="H34231" s="4" t="str">
        <v/>
      </c>
      <c r="I34231" s="4" t="str">
        <v/>
      </c>
    </row>
    <row r="34232" spans="5:9" ht="16.5" hidden="1">
      <c r="E34232" s="4" t="str">
        <v/>
      </c>
      <c r="F34232" s="102" t="str">
        <f ca="1">IFERROR(__xludf.DUMMYFUNCTION("IMPORTRANGE(H34232,""IDENTITAS UNIT!D9"")"),"#N/A")</f>
        <v>#N/A</v>
      </c>
      <c r="H34232" s="4" t="str">
        <v/>
      </c>
      <c r="I34232" s="4" t="str">
        <v/>
      </c>
    </row>
    <row r="34233" spans="5:9" ht="16.5" hidden="1">
      <c r="E34233" s="4" t="str">
        <v/>
      </c>
      <c r="F34233" s="102" t="str">
        <f ca="1">IFERROR(__xludf.DUMMYFUNCTION("IMPORTRANGE(H34233,""IDENTITAS UNIT!D9"")"),"#N/A")</f>
        <v>#N/A</v>
      </c>
      <c r="H34233" s="4" t="str">
        <v/>
      </c>
      <c r="I34233" s="4" t="str">
        <v/>
      </c>
    </row>
    <row r="34234" spans="5:9" ht="16.5" hidden="1">
      <c r="E34234" s="4" t="str">
        <v/>
      </c>
      <c r="F34234" s="102" t="str">
        <f ca="1">IFERROR(__xludf.DUMMYFUNCTION("IMPORTRANGE(H34234,""IDENTITAS UNIT!D9"")"),"#N/A")</f>
        <v>#N/A</v>
      </c>
      <c r="H34234" s="4" t="str">
        <v/>
      </c>
      <c r="I34234" s="4" t="str">
        <v/>
      </c>
    </row>
    <row r="34235" spans="5:9" ht="16.5" hidden="1">
      <c r="E34235" s="4" t="str">
        <v/>
      </c>
      <c r="F34235" s="102" t="str">
        <f ca="1">IFERROR(__xludf.DUMMYFUNCTION("IMPORTRANGE(H34235,""IDENTITAS UNIT!D9"")"),"#N/A")</f>
        <v>#N/A</v>
      </c>
      <c r="H34235" s="4" t="str">
        <v/>
      </c>
      <c r="I34235" s="4" t="str">
        <v/>
      </c>
    </row>
    <row r="34236" spans="5:9" ht="16.5" hidden="1">
      <c r="E34236" s="4" t="str">
        <v/>
      </c>
      <c r="F34236" s="102" t="str">
        <f ca="1">IFERROR(__xludf.DUMMYFUNCTION("IMPORTRANGE(H34236,""IDENTITAS UNIT!D9"")"),"#N/A")</f>
        <v>#N/A</v>
      </c>
      <c r="H34236" s="4" t="str">
        <v/>
      </c>
      <c r="I34236" s="4" t="str">
        <v/>
      </c>
    </row>
    <row r="34237" spans="5:9" ht="16.5" hidden="1">
      <c r="E34237" s="4" t="str">
        <v/>
      </c>
      <c r="F34237" s="102" t="str">
        <f ca="1">IFERROR(__xludf.DUMMYFUNCTION("IMPORTRANGE(H34237,""IDENTITAS UNIT!D9"")"),"#N/A")</f>
        <v>#N/A</v>
      </c>
      <c r="H34237" s="4" t="str">
        <v/>
      </c>
      <c r="I34237" s="4" t="str">
        <v/>
      </c>
    </row>
    <row r="34238" spans="5:9" ht="16.5" hidden="1">
      <c r="E34238" s="4" t="str">
        <v/>
      </c>
      <c r="F34238" s="102" t="str">
        <f ca="1">IFERROR(__xludf.DUMMYFUNCTION("IMPORTRANGE(H34238,""IDENTITAS UNIT!D9"")"),"#N/A")</f>
        <v>#N/A</v>
      </c>
      <c r="H34238" s="4" t="str">
        <v/>
      </c>
      <c r="I34238" s="4" t="str">
        <v/>
      </c>
    </row>
    <row r="34239" spans="5:9" ht="16.5" hidden="1">
      <c r="E34239" s="4" t="str">
        <v/>
      </c>
      <c r="F34239" s="102" t="str">
        <f ca="1">IFERROR(__xludf.DUMMYFUNCTION("IMPORTRANGE(H34239,""IDENTITAS UNIT!D9"")"),"#N/A")</f>
        <v>#N/A</v>
      </c>
      <c r="H34239" s="4" t="str">
        <v/>
      </c>
      <c r="I34239" s="4" t="str">
        <v/>
      </c>
    </row>
    <row r="34240" spans="5:9" ht="16.5" hidden="1">
      <c r="E34240" s="4" t="str">
        <v/>
      </c>
      <c r="F34240" s="102" t="str">
        <f ca="1">IFERROR(__xludf.DUMMYFUNCTION("IMPORTRANGE(H34240,""IDENTITAS UNIT!D9"")"),"#N/A")</f>
        <v>#N/A</v>
      </c>
      <c r="H34240" s="4" t="str">
        <v/>
      </c>
      <c r="I34240" s="4" t="str">
        <v/>
      </c>
    </row>
    <row r="34241" spans="5:9" ht="16.5" hidden="1">
      <c r="E34241" s="4" t="str">
        <v/>
      </c>
      <c r="F34241" s="102" t="str">
        <f ca="1">IFERROR(__xludf.DUMMYFUNCTION("IMPORTRANGE(H34241,""IDENTITAS UNIT!D9"")"),"#N/A")</f>
        <v>#N/A</v>
      </c>
      <c r="H34241" s="4" t="str">
        <v/>
      </c>
      <c r="I34241" s="4" t="str">
        <v/>
      </c>
    </row>
    <row r="34242" spans="5:9" ht="16.5" hidden="1">
      <c r="E34242" s="4" t="str">
        <v/>
      </c>
      <c r="F34242" s="102" t="str">
        <f ca="1">IFERROR(__xludf.DUMMYFUNCTION("IMPORTRANGE(H34242,""IDENTITAS UNIT!D9"")"),"#N/A")</f>
        <v>#N/A</v>
      </c>
      <c r="H34242" s="4" t="str">
        <v/>
      </c>
      <c r="I34242" s="4" t="str">
        <v/>
      </c>
    </row>
    <row r="34243" spans="5:9" ht="16.5" hidden="1">
      <c r="E34243" s="4" t="str">
        <v/>
      </c>
      <c r="F34243" s="102" t="str">
        <f ca="1">IFERROR(__xludf.DUMMYFUNCTION("IMPORTRANGE(H34243,""IDENTITAS UNIT!D9"")"),"#N/A")</f>
        <v>#N/A</v>
      </c>
      <c r="H34243" s="4" t="str">
        <v/>
      </c>
      <c r="I34243" s="4" t="str">
        <v/>
      </c>
    </row>
    <row r="34244" spans="5:9" ht="16.5" hidden="1">
      <c r="E34244" s="4" t="str">
        <v/>
      </c>
      <c r="F34244" s="102" t="str">
        <f ca="1">IFERROR(__xludf.DUMMYFUNCTION("IMPORTRANGE(H34244,""IDENTITAS UNIT!D9"")"),"#N/A")</f>
        <v>#N/A</v>
      </c>
      <c r="H34244" s="4" t="str">
        <v/>
      </c>
      <c r="I34244" s="4" t="str">
        <v/>
      </c>
    </row>
    <row r="34245" spans="5:9" ht="16.5" hidden="1">
      <c r="E34245" s="4" t="str">
        <v/>
      </c>
      <c r="F34245" s="102" t="str">
        <f ca="1">IFERROR(__xludf.DUMMYFUNCTION("IMPORTRANGE(H34245,""IDENTITAS UNIT!D9"")"),"#N/A")</f>
        <v>#N/A</v>
      </c>
      <c r="H34245" s="4" t="str">
        <v/>
      </c>
      <c r="I34245" s="4" t="str">
        <v/>
      </c>
    </row>
    <row r="34246" spans="5:9" ht="16.5" hidden="1">
      <c r="E34246" s="4" t="str">
        <v/>
      </c>
      <c r="F34246" s="102" t="str">
        <f ca="1">IFERROR(__xludf.DUMMYFUNCTION("IMPORTRANGE(H34246,""IDENTITAS UNIT!D9"")"),"#N/A")</f>
        <v>#N/A</v>
      </c>
      <c r="H34246" s="4" t="str">
        <v/>
      </c>
      <c r="I34246" s="4" t="str">
        <v/>
      </c>
    </row>
    <row r="34247" spans="5:9" ht="16.5" hidden="1">
      <c r="E34247" s="4" t="str">
        <v/>
      </c>
      <c r="F34247" s="102" t="str">
        <f ca="1">IFERROR(__xludf.DUMMYFUNCTION("IMPORTRANGE(H34247,""IDENTITAS UNIT!D9"")"),"#N/A")</f>
        <v>#N/A</v>
      </c>
      <c r="H34247" s="4" t="str">
        <v/>
      </c>
      <c r="I34247" s="4" t="str">
        <v/>
      </c>
    </row>
    <row r="34248" spans="5:9" ht="16.5" hidden="1">
      <c r="E34248" s="4" t="str">
        <v/>
      </c>
      <c r="F34248" s="102" t="str">
        <f ca="1">IFERROR(__xludf.DUMMYFUNCTION("IMPORTRANGE(H34248,""IDENTITAS UNIT!D9"")"),"#N/A")</f>
        <v>#N/A</v>
      </c>
      <c r="H34248" s="4" t="str">
        <v/>
      </c>
      <c r="I34248" s="4" t="str">
        <v/>
      </c>
    </row>
    <row r="34249" spans="5:9" ht="16.5" hidden="1">
      <c r="E34249" s="4" t="str">
        <v/>
      </c>
      <c r="F34249" s="102" t="str">
        <f ca="1">IFERROR(__xludf.DUMMYFUNCTION("IMPORTRANGE(H34249,""IDENTITAS UNIT!D9"")"),"#N/A")</f>
        <v>#N/A</v>
      </c>
      <c r="H34249" s="4" t="str">
        <v/>
      </c>
      <c r="I34249" s="4" t="str">
        <v/>
      </c>
    </row>
    <row r="34250" spans="5:9" ht="16.5" hidden="1">
      <c r="E34250" s="4" t="str">
        <v/>
      </c>
      <c r="F34250" s="102" t="str">
        <f ca="1">IFERROR(__xludf.DUMMYFUNCTION("IMPORTRANGE(H34250,""IDENTITAS UNIT!D9"")"),"#N/A")</f>
        <v>#N/A</v>
      </c>
      <c r="H34250" s="4" t="str">
        <v/>
      </c>
      <c r="I34250" s="4" t="str">
        <v/>
      </c>
    </row>
    <row r="34251" spans="5:9" ht="16.5" hidden="1">
      <c r="E34251" s="4" t="str">
        <v/>
      </c>
      <c r="F34251" s="102" t="str">
        <f ca="1">IFERROR(__xludf.DUMMYFUNCTION("IMPORTRANGE(H34251,""IDENTITAS UNIT!D9"")"),"#N/A")</f>
        <v>#N/A</v>
      </c>
      <c r="H34251" s="4" t="str">
        <v/>
      </c>
      <c r="I34251" s="4" t="str">
        <v/>
      </c>
    </row>
    <row r="34252" spans="5:9" ht="16.5" hidden="1">
      <c r="E34252" s="4" t="str">
        <v/>
      </c>
      <c r="F34252" s="102" t="str">
        <f ca="1">IFERROR(__xludf.DUMMYFUNCTION("IMPORTRANGE(H34252,""IDENTITAS UNIT!D9"")"),"#N/A")</f>
        <v>#N/A</v>
      </c>
      <c r="H34252" s="4" t="str">
        <v/>
      </c>
      <c r="I34252" s="4" t="str">
        <v/>
      </c>
    </row>
    <row r="34253" spans="5:9" ht="16.5" hidden="1">
      <c r="E34253" s="4" t="str">
        <v/>
      </c>
      <c r="F34253" s="102" t="str">
        <f ca="1">IFERROR(__xludf.DUMMYFUNCTION("IMPORTRANGE(H34253,""IDENTITAS UNIT!D9"")"),"#N/A")</f>
        <v>#N/A</v>
      </c>
      <c r="H34253" s="4" t="str">
        <v/>
      </c>
      <c r="I34253" s="4" t="str">
        <v/>
      </c>
    </row>
    <row r="34254" spans="5:9" ht="16.5" hidden="1">
      <c r="E34254" s="4" t="str">
        <v/>
      </c>
      <c r="F34254" s="102" t="str">
        <f ca="1">IFERROR(__xludf.DUMMYFUNCTION("IMPORTRANGE(H34254,""IDENTITAS UNIT!D9"")"),"#N/A")</f>
        <v>#N/A</v>
      </c>
      <c r="H34254" s="4" t="str">
        <v/>
      </c>
      <c r="I34254" s="4" t="str">
        <v/>
      </c>
    </row>
    <row r="34255" spans="5:9" ht="16.5" hidden="1">
      <c r="E34255" s="4" t="str">
        <v/>
      </c>
      <c r="F34255" s="102" t="str">
        <f ca="1">IFERROR(__xludf.DUMMYFUNCTION("IMPORTRANGE(H34255,""IDENTITAS UNIT!D9"")"),"#N/A")</f>
        <v>#N/A</v>
      </c>
      <c r="H34255" s="4" t="str">
        <v/>
      </c>
      <c r="I34255" s="4" t="str">
        <v/>
      </c>
    </row>
    <row r="34256" spans="5:9" ht="16.5" hidden="1">
      <c r="E34256" s="4" t="str">
        <v/>
      </c>
      <c r="F34256" s="102" t="str">
        <f ca="1">IFERROR(__xludf.DUMMYFUNCTION("IMPORTRANGE(H34256,""IDENTITAS UNIT!D9"")"),"#N/A")</f>
        <v>#N/A</v>
      </c>
      <c r="H34256" s="4" t="str">
        <v/>
      </c>
      <c r="I34256" s="4" t="str">
        <v/>
      </c>
    </row>
    <row r="34257" spans="5:9" ht="16.5" hidden="1">
      <c r="E34257" s="4" t="str">
        <v/>
      </c>
      <c r="F34257" s="102" t="str">
        <f ca="1">IFERROR(__xludf.DUMMYFUNCTION("IMPORTRANGE(H34257,""IDENTITAS UNIT!D9"")"),"#N/A")</f>
        <v>#N/A</v>
      </c>
      <c r="H34257" s="4" t="str">
        <v/>
      </c>
      <c r="I34257" s="4" t="str">
        <v/>
      </c>
    </row>
    <row r="34258" spans="5:9" ht="16.5" hidden="1">
      <c r="E34258" s="4" t="str">
        <v/>
      </c>
      <c r="F34258" s="102" t="str">
        <f ca="1">IFERROR(__xludf.DUMMYFUNCTION("IMPORTRANGE(H34258,""IDENTITAS UNIT!D9"")"),"#N/A")</f>
        <v>#N/A</v>
      </c>
      <c r="H34258" s="4" t="str">
        <v/>
      </c>
      <c r="I34258" s="4" t="str">
        <v/>
      </c>
    </row>
    <row r="34259" spans="5:9" ht="16.5" hidden="1">
      <c r="E34259" s="4" t="str">
        <v/>
      </c>
      <c r="F34259" s="102" t="str">
        <f ca="1">IFERROR(__xludf.DUMMYFUNCTION("IMPORTRANGE(H34259,""IDENTITAS UNIT!D9"")"),"#N/A")</f>
        <v>#N/A</v>
      </c>
      <c r="H34259" s="4" t="str">
        <v/>
      </c>
      <c r="I34259" s="4" t="str">
        <v/>
      </c>
    </row>
    <row r="34260" spans="5:9" ht="16.5" hidden="1">
      <c r="E34260" s="4" t="str">
        <v/>
      </c>
      <c r="F34260" s="102" t="str">
        <f ca="1">IFERROR(__xludf.DUMMYFUNCTION("IMPORTRANGE(H34260,""IDENTITAS UNIT!D9"")"),"#N/A")</f>
        <v>#N/A</v>
      </c>
      <c r="H34260" s="4" t="str">
        <v/>
      </c>
      <c r="I34260" s="4" t="str">
        <v/>
      </c>
    </row>
    <row r="34261" spans="5:9" ht="16.5" hidden="1">
      <c r="E34261" s="4" t="str">
        <v/>
      </c>
      <c r="F34261" s="102" t="str">
        <f ca="1">IFERROR(__xludf.DUMMYFUNCTION("IMPORTRANGE(H34261,""IDENTITAS UNIT!D9"")"),"#N/A")</f>
        <v>#N/A</v>
      </c>
      <c r="H34261" s="4" t="str">
        <v/>
      </c>
      <c r="I34261" s="4" t="str">
        <v/>
      </c>
    </row>
    <row r="34262" spans="5:9" ht="16.5" hidden="1">
      <c r="E34262" s="4" t="str">
        <v/>
      </c>
      <c r="F34262" s="102" t="str">
        <f ca="1">IFERROR(__xludf.DUMMYFUNCTION("IMPORTRANGE(H34262,""IDENTITAS UNIT!D9"")"),"#N/A")</f>
        <v>#N/A</v>
      </c>
      <c r="H34262" s="4" t="str">
        <v/>
      </c>
      <c r="I34262" s="4" t="str">
        <v/>
      </c>
    </row>
    <row r="34263" spans="5:9" ht="16.5" hidden="1">
      <c r="E34263" s="4" t="str">
        <v/>
      </c>
      <c r="F34263" s="102" t="str">
        <f ca="1">IFERROR(__xludf.DUMMYFUNCTION("IMPORTRANGE(H34263,""IDENTITAS UNIT!D9"")"),"#N/A")</f>
        <v>#N/A</v>
      </c>
      <c r="H34263" s="4" t="str">
        <v/>
      </c>
      <c r="I34263" s="4" t="str">
        <v/>
      </c>
    </row>
    <row r="34264" spans="5:9" ht="16.5" hidden="1">
      <c r="E34264" s="4" t="str">
        <v/>
      </c>
      <c r="F34264" s="102" t="str">
        <f ca="1">IFERROR(__xludf.DUMMYFUNCTION("IMPORTRANGE(H34264,""IDENTITAS UNIT!D9"")"),"#N/A")</f>
        <v>#N/A</v>
      </c>
      <c r="H34264" s="4" t="str">
        <v/>
      </c>
      <c r="I34264" s="4" t="str">
        <v/>
      </c>
    </row>
    <row r="34265" spans="5:9" ht="16.5" hidden="1">
      <c r="E34265" s="4" t="str">
        <v/>
      </c>
      <c r="F34265" s="102" t="str">
        <f ca="1">IFERROR(__xludf.DUMMYFUNCTION("IMPORTRANGE(H34265,""IDENTITAS UNIT!D9"")"),"#N/A")</f>
        <v>#N/A</v>
      </c>
      <c r="H34265" s="4" t="str">
        <v/>
      </c>
      <c r="I34265" s="4" t="str">
        <v/>
      </c>
    </row>
    <row r="34266" spans="5:9" ht="16.5" hidden="1">
      <c r="E34266" s="4" t="str">
        <v/>
      </c>
      <c r="F34266" s="102" t="str">
        <f ca="1">IFERROR(__xludf.DUMMYFUNCTION("IMPORTRANGE(H34266,""IDENTITAS UNIT!D9"")"),"#N/A")</f>
        <v>#N/A</v>
      </c>
      <c r="H34266" s="4" t="str">
        <v/>
      </c>
      <c r="I34266" s="4" t="str">
        <v/>
      </c>
    </row>
    <row r="34267" spans="5:9" ht="16.5" hidden="1">
      <c r="E34267" s="4" t="str">
        <v/>
      </c>
      <c r="F34267" s="102" t="str">
        <f ca="1">IFERROR(__xludf.DUMMYFUNCTION("IMPORTRANGE(H34267,""IDENTITAS UNIT!D9"")"),"#N/A")</f>
        <v>#N/A</v>
      </c>
      <c r="H34267" s="4" t="str">
        <v/>
      </c>
      <c r="I34267" s="4" t="str">
        <v/>
      </c>
    </row>
    <row r="34268" spans="5:9" ht="16.5" hidden="1">
      <c r="E34268" s="4" t="str">
        <v/>
      </c>
      <c r="F34268" s="102" t="str">
        <f ca="1">IFERROR(__xludf.DUMMYFUNCTION("IMPORTRANGE(H34268,""IDENTITAS UNIT!D9"")"),"#N/A")</f>
        <v>#N/A</v>
      </c>
      <c r="H34268" s="4" t="str">
        <v/>
      </c>
      <c r="I34268" s="4" t="str">
        <v/>
      </c>
    </row>
    <row r="34269" spans="5:9" ht="16.5" hidden="1">
      <c r="E34269" s="4" t="str">
        <v/>
      </c>
      <c r="F34269" s="102" t="str">
        <f ca="1">IFERROR(__xludf.DUMMYFUNCTION("IMPORTRANGE(H34269,""IDENTITAS UNIT!D9"")"),"#N/A")</f>
        <v>#N/A</v>
      </c>
      <c r="H34269" s="4" t="str">
        <v/>
      </c>
      <c r="I34269" s="4" t="str">
        <v/>
      </c>
    </row>
    <row r="34270" spans="5:9" ht="16.5" hidden="1">
      <c r="E34270" s="4" t="str">
        <v/>
      </c>
      <c r="F34270" s="102" t="str">
        <f ca="1">IFERROR(__xludf.DUMMYFUNCTION("IMPORTRANGE(H34270,""IDENTITAS UNIT!D9"")"),"#N/A")</f>
        <v>#N/A</v>
      </c>
      <c r="H34270" s="4" t="str">
        <v/>
      </c>
      <c r="I34270" s="4" t="str">
        <v/>
      </c>
    </row>
    <row r="34271" spans="5:9" ht="16.5" hidden="1">
      <c r="E34271" s="4" t="str">
        <v/>
      </c>
      <c r="F34271" s="102" t="str">
        <f ca="1">IFERROR(__xludf.DUMMYFUNCTION("IMPORTRANGE(H34271,""IDENTITAS UNIT!D9"")"),"#N/A")</f>
        <v>#N/A</v>
      </c>
      <c r="H34271" s="4" t="str">
        <v/>
      </c>
      <c r="I34271" s="4" t="str">
        <v/>
      </c>
    </row>
    <row r="34272" spans="5:9" ht="16.5" hidden="1">
      <c r="E34272" s="4" t="str">
        <v/>
      </c>
      <c r="F34272" s="102" t="str">
        <f ca="1">IFERROR(__xludf.DUMMYFUNCTION("IMPORTRANGE(H34272,""IDENTITAS UNIT!D9"")"),"#N/A")</f>
        <v>#N/A</v>
      </c>
      <c r="H34272" s="4" t="str">
        <v/>
      </c>
      <c r="I34272" s="4" t="str">
        <v/>
      </c>
    </row>
    <row r="34273" spans="5:9" ht="16.5" hidden="1">
      <c r="E34273" s="4" t="str">
        <v/>
      </c>
      <c r="F34273" s="102" t="str">
        <f ca="1">IFERROR(__xludf.DUMMYFUNCTION("IMPORTRANGE(H34273,""IDENTITAS UNIT!D9"")"),"#N/A")</f>
        <v>#N/A</v>
      </c>
      <c r="H34273" s="4" t="str">
        <v/>
      </c>
      <c r="I34273" s="4" t="str">
        <v/>
      </c>
    </row>
    <row r="34274" spans="5:9" ht="16.5" hidden="1">
      <c r="E34274" s="4" t="str">
        <v/>
      </c>
      <c r="F34274" s="102" t="str">
        <f ca="1">IFERROR(__xludf.DUMMYFUNCTION("IMPORTRANGE(H34274,""IDENTITAS UNIT!D9"")"),"#N/A")</f>
        <v>#N/A</v>
      </c>
      <c r="H34274" s="4" t="str">
        <v/>
      </c>
      <c r="I34274" s="4" t="str">
        <v/>
      </c>
    </row>
    <row r="34275" spans="5:9" ht="16.5" hidden="1">
      <c r="E34275" s="4" t="str">
        <v/>
      </c>
      <c r="F34275" s="102" t="str">
        <f ca="1">IFERROR(__xludf.DUMMYFUNCTION("IMPORTRANGE(H34275,""IDENTITAS UNIT!D9"")"),"#N/A")</f>
        <v>#N/A</v>
      </c>
      <c r="H34275" s="4" t="str">
        <v/>
      </c>
      <c r="I34275" s="4" t="str">
        <v/>
      </c>
    </row>
    <row r="34276" spans="5:9" ht="16.5" hidden="1">
      <c r="E34276" s="4" t="str">
        <v/>
      </c>
      <c r="F34276" s="102" t="str">
        <f ca="1">IFERROR(__xludf.DUMMYFUNCTION("IMPORTRANGE(H34276,""IDENTITAS UNIT!D9"")"),"#N/A")</f>
        <v>#N/A</v>
      </c>
      <c r="H34276" s="4" t="str">
        <v/>
      </c>
      <c r="I34276" s="4" t="str">
        <v/>
      </c>
    </row>
    <row r="34277" spans="5:9" ht="16.5" hidden="1">
      <c r="E34277" s="4" t="str">
        <v/>
      </c>
      <c r="F34277" s="102" t="str">
        <f ca="1">IFERROR(__xludf.DUMMYFUNCTION("IMPORTRANGE(H34277,""IDENTITAS UNIT!D9"")"),"#N/A")</f>
        <v>#N/A</v>
      </c>
      <c r="H34277" s="4" t="str">
        <v/>
      </c>
      <c r="I34277" s="4" t="str">
        <v/>
      </c>
    </row>
    <row r="34278" spans="5:9" ht="16.5" hidden="1">
      <c r="E34278" s="4" t="str">
        <v/>
      </c>
      <c r="F34278" s="102" t="str">
        <f ca="1">IFERROR(__xludf.DUMMYFUNCTION("IMPORTRANGE(H34278,""IDENTITAS UNIT!D9"")"),"#N/A")</f>
        <v>#N/A</v>
      </c>
      <c r="H34278" s="4" t="str">
        <v/>
      </c>
      <c r="I34278" s="4" t="str">
        <v/>
      </c>
    </row>
    <row r="34279" spans="5:9" ht="16.5" hidden="1">
      <c r="E34279" s="4" t="str">
        <v/>
      </c>
      <c r="F34279" s="102" t="str">
        <f ca="1">IFERROR(__xludf.DUMMYFUNCTION("IMPORTRANGE(H34279,""IDENTITAS UNIT!D9"")"),"#N/A")</f>
        <v>#N/A</v>
      </c>
      <c r="H34279" s="4" t="str">
        <v/>
      </c>
      <c r="I34279" s="4" t="str">
        <v/>
      </c>
    </row>
    <row r="34280" spans="5:9" ht="16.5" hidden="1">
      <c r="E34280" s="4" t="str">
        <v/>
      </c>
      <c r="F34280" s="102" t="str">
        <f ca="1">IFERROR(__xludf.DUMMYFUNCTION("IMPORTRANGE(H34280,""IDENTITAS UNIT!D9"")"),"#N/A")</f>
        <v>#N/A</v>
      </c>
      <c r="H34280" s="4" t="str">
        <v/>
      </c>
      <c r="I34280" s="4" t="str">
        <v/>
      </c>
    </row>
    <row r="34281" spans="5:9" ht="16.5" hidden="1">
      <c r="E34281" s="4" t="str">
        <v/>
      </c>
      <c r="F34281" s="102" t="str">
        <f ca="1">IFERROR(__xludf.DUMMYFUNCTION("IMPORTRANGE(H34281,""IDENTITAS UNIT!D9"")"),"#N/A")</f>
        <v>#N/A</v>
      </c>
      <c r="H34281" s="4" t="str">
        <v/>
      </c>
      <c r="I34281" s="4" t="str">
        <v/>
      </c>
    </row>
    <row r="34282" spans="5:9" ht="16.5" hidden="1">
      <c r="E34282" s="4" t="str">
        <v/>
      </c>
      <c r="F34282" s="102" t="str">
        <f ca="1">IFERROR(__xludf.DUMMYFUNCTION("IMPORTRANGE(H34282,""IDENTITAS UNIT!D9"")"),"#N/A")</f>
        <v>#N/A</v>
      </c>
      <c r="H34282" s="4" t="str">
        <v/>
      </c>
      <c r="I34282" s="4" t="str">
        <v/>
      </c>
    </row>
    <row r="34283" spans="5:9" ht="16.5" hidden="1">
      <c r="E34283" s="4" t="str">
        <v/>
      </c>
      <c r="F34283" s="102" t="str">
        <f ca="1">IFERROR(__xludf.DUMMYFUNCTION("IMPORTRANGE(H34283,""IDENTITAS UNIT!D9"")"),"#N/A")</f>
        <v>#N/A</v>
      </c>
      <c r="H34283" s="4" t="str">
        <v/>
      </c>
      <c r="I34283" s="4" t="str">
        <v/>
      </c>
    </row>
    <row r="34284" spans="5:9" ht="16.5" hidden="1">
      <c r="E34284" s="4" t="str">
        <v/>
      </c>
      <c r="F34284" s="102" t="str">
        <f ca="1">IFERROR(__xludf.DUMMYFUNCTION("IMPORTRANGE(H34284,""IDENTITAS UNIT!D9"")"),"#N/A")</f>
        <v>#N/A</v>
      </c>
      <c r="H34284" s="4" t="str">
        <v/>
      </c>
      <c r="I34284" s="4" t="str">
        <v/>
      </c>
    </row>
    <row r="34285" spans="5:9" ht="16.5" hidden="1">
      <c r="E34285" s="4" t="str">
        <v/>
      </c>
      <c r="F34285" s="102" t="str">
        <f ca="1">IFERROR(__xludf.DUMMYFUNCTION("IMPORTRANGE(H34285,""IDENTITAS UNIT!D9"")"),"#N/A")</f>
        <v>#N/A</v>
      </c>
      <c r="H34285" s="4" t="str">
        <v/>
      </c>
      <c r="I34285" s="4" t="str">
        <v/>
      </c>
    </row>
    <row r="34286" spans="5:9" ht="16.5" hidden="1">
      <c r="E34286" s="4" t="str">
        <v/>
      </c>
      <c r="F34286" s="102" t="str">
        <f ca="1">IFERROR(__xludf.DUMMYFUNCTION("IMPORTRANGE(H34286,""IDENTITAS UNIT!D9"")"),"#N/A")</f>
        <v>#N/A</v>
      </c>
      <c r="H34286" s="4" t="str">
        <v/>
      </c>
      <c r="I34286" s="4" t="str">
        <v/>
      </c>
    </row>
    <row r="34287" spans="5:9" ht="16.5" hidden="1">
      <c r="E34287" s="4" t="str">
        <v/>
      </c>
      <c r="F34287" s="102" t="str">
        <f ca="1">IFERROR(__xludf.DUMMYFUNCTION("IMPORTRANGE(H34287,""IDENTITAS UNIT!D9"")"),"#N/A")</f>
        <v>#N/A</v>
      </c>
      <c r="H34287" s="4" t="str">
        <v/>
      </c>
      <c r="I34287" s="4" t="str">
        <v/>
      </c>
    </row>
    <row r="34288" spans="5:9" ht="16.5" hidden="1">
      <c r="E34288" s="4" t="str">
        <v/>
      </c>
      <c r="F34288" s="102" t="str">
        <f ca="1">IFERROR(__xludf.DUMMYFUNCTION("IMPORTRANGE(H34288,""IDENTITAS UNIT!D9"")"),"#N/A")</f>
        <v>#N/A</v>
      </c>
      <c r="H34288" s="4" t="str">
        <v/>
      </c>
      <c r="I34288" s="4" t="str">
        <v/>
      </c>
    </row>
    <row r="34289" spans="5:9" ht="16.5" hidden="1">
      <c r="E34289" s="4" t="str">
        <v/>
      </c>
      <c r="F34289" s="102" t="str">
        <f ca="1">IFERROR(__xludf.DUMMYFUNCTION("IMPORTRANGE(H34289,""IDENTITAS UNIT!D9"")"),"#N/A")</f>
        <v>#N/A</v>
      </c>
      <c r="H34289" s="4" t="str">
        <v/>
      </c>
      <c r="I34289" s="4" t="str">
        <v/>
      </c>
    </row>
    <row r="34290" spans="5:9" ht="16.5" hidden="1">
      <c r="E34290" s="4" t="str">
        <v/>
      </c>
      <c r="F34290" s="102" t="str">
        <f ca="1">IFERROR(__xludf.DUMMYFUNCTION("IMPORTRANGE(H34290,""IDENTITAS UNIT!D9"")"),"#N/A")</f>
        <v>#N/A</v>
      </c>
      <c r="H34290" s="4" t="str">
        <v/>
      </c>
      <c r="I34290" s="4" t="str">
        <v/>
      </c>
    </row>
    <row r="34291" spans="5:9" ht="16.5" hidden="1">
      <c r="E34291" s="4" t="str">
        <v/>
      </c>
      <c r="F34291" s="102" t="str">
        <f ca="1">IFERROR(__xludf.DUMMYFUNCTION("IMPORTRANGE(H34291,""IDENTITAS UNIT!D9"")"),"#N/A")</f>
        <v>#N/A</v>
      </c>
      <c r="H34291" s="4" t="str">
        <v/>
      </c>
      <c r="I34291" s="4" t="str">
        <v/>
      </c>
    </row>
    <row r="34292" spans="5:9" ht="16.5" hidden="1">
      <c r="E34292" s="4" t="str">
        <v/>
      </c>
      <c r="F34292" s="102" t="str">
        <f ca="1">IFERROR(__xludf.DUMMYFUNCTION("IMPORTRANGE(H34292,""IDENTITAS UNIT!D9"")"),"#N/A")</f>
        <v>#N/A</v>
      </c>
      <c r="H34292" s="4" t="str">
        <v/>
      </c>
      <c r="I34292" s="4" t="str">
        <v/>
      </c>
    </row>
    <row r="34293" spans="5:9" ht="16.5" hidden="1">
      <c r="E34293" s="4" t="str">
        <v/>
      </c>
      <c r="F34293" s="102" t="str">
        <f ca="1">IFERROR(__xludf.DUMMYFUNCTION("IMPORTRANGE(H34293,""IDENTITAS UNIT!D9"")"),"#N/A")</f>
        <v>#N/A</v>
      </c>
      <c r="H34293" s="4" t="str">
        <v/>
      </c>
      <c r="I34293" s="4" t="str">
        <v/>
      </c>
    </row>
    <row r="34294" spans="5:9" ht="16.5" hidden="1">
      <c r="E34294" s="4" t="str">
        <v/>
      </c>
      <c r="F34294" s="102" t="str">
        <f ca="1">IFERROR(__xludf.DUMMYFUNCTION("IMPORTRANGE(H34294,""IDENTITAS UNIT!D9"")"),"#N/A")</f>
        <v>#N/A</v>
      </c>
      <c r="H34294" s="4" t="str">
        <v/>
      </c>
      <c r="I34294" s="4" t="str">
        <v/>
      </c>
    </row>
    <row r="34295" spans="5:9" ht="16.5" hidden="1">
      <c r="E34295" s="4" t="str">
        <v/>
      </c>
      <c r="F34295" s="102" t="str">
        <f ca="1">IFERROR(__xludf.DUMMYFUNCTION("IMPORTRANGE(H34295,""IDENTITAS UNIT!D9"")"),"#N/A")</f>
        <v>#N/A</v>
      </c>
      <c r="H34295" s="4" t="str">
        <v/>
      </c>
      <c r="I34295" s="4" t="str">
        <v/>
      </c>
    </row>
    <row r="34296" spans="5:9" ht="16.5" hidden="1">
      <c r="E34296" s="4" t="str">
        <v/>
      </c>
      <c r="F34296" s="102" t="str">
        <f ca="1">IFERROR(__xludf.DUMMYFUNCTION("IMPORTRANGE(H34296,""IDENTITAS UNIT!D9"")"),"#N/A")</f>
        <v>#N/A</v>
      </c>
      <c r="H34296" s="4" t="str">
        <v/>
      </c>
      <c r="I34296" s="4" t="str">
        <v/>
      </c>
    </row>
    <row r="34297" spans="5:9" ht="16.5" hidden="1">
      <c r="E34297" s="4" t="str">
        <v/>
      </c>
      <c r="F34297" s="102" t="str">
        <f ca="1">IFERROR(__xludf.DUMMYFUNCTION("IMPORTRANGE(H34297,""IDENTITAS UNIT!D9"")"),"#N/A")</f>
        <v>#N/A</v>
      </c>
      <c r="H34297" s="4" t="str">
        <v/>
      </c>
      <c r="I34297" s="4" t="str">
        <v/>
      </c>
    </row>
    <row r="34298" spans="5:9" ht="16.5" hidden="1">
      <c r="E34298" s="4" t="str">
        <v/>
      </c>
      <c r="F34298" s="102" t="str">
        <f ca="1">IFERROR(__xludf.DUMMYFUNCTION("IMPORTRANGE(H34298,""IDENTITAS UNIT!D9"")"),"#N/A")</f>
        <v>#N/A</v>
      </c>
      <c r="H34298" s="4" t="str">
        <v/>
      </c>
      <c r="I34298" s="4" t="str">
        <v/>
      </c>
    </row>
    <row r="34299" spans="5:9" ht="16.5" hidden="1">
      <c r="E34299" s="4" t="str">
        <v/>
      </c>
      <c r="F34299" s="102" t="str">
        <f ca="1">IFERROR(__xludf.DUMMYFUNCTION("IMPORTRANGE(H34299,""IDENTITAS UNIT!D9"")"),"#N/A")</f>
        <v>#N/A</v>
      </c>
      <c r="H34299" s="4" t="str">
        <v/>
      </c>
      <c r="I34299" s="4" t="str">
        <v/>
      </c>
    </row>
    <row r="34300" spans="5:9" ht="16.5" hidden="1">
      <c r="E34300" s="4" t="str">
        <v/>
      </c>
      <c r="F34300" s="102" t="str">
        <f ca="1">IFERROR(__xludf.DUMMYFUNCTION("IMPORTRANGE(H34300,""IDENTITAS UNIT!D9"")"),"#N/A")</f>
        <v>#N/A</v>
      </c>
      <c r="H34300" s="4" t="str">
        <v/>
      </c>
      <c r="I34300" s="4" t="str">
        <v/>
      </c>
    </row>
    <row r="34301" spans="5:9" ht="16.5" hidden="1">
      <c r="E34301" s="4" t="str">
        <v/>
      </c>
      <c r="F34301" s="102" t="str">
        <f ca="1">IFERROR(__xludf.DUMMYFUNCTION("IMPORTRANGE(H34301,""IDENTITAS UNIT!D9"")"),"#N/A")</f>
        <v>#N/A</v>
      </c>
      <c r="H34301" s="4" t="str">
        <v/>
      </c>
      <c r="I34301" s="4" t="str">
        <v/>
      </c>
    </row>
    <row r="34302" spans="5:9" ht="16.5" hidden="1">
      <c r="E34302" s="4" t="str">
        <v/>
      </c>
      <c r="F34302" s="102" t="str">
        <f ca="1">IFERROR(__xludf.DUMMYFUNCTION("IMPORTRANGE(H34302,""IDENTITAS UNIT!D9"")"),"#N/A")</f>
        <v>#N/A</v>
      </c>
      <c r="H34302" s="4" t="str">
        <v/>
      </c>
      <c r="I34302" s="4" t="str">
        <v/>
      </c>
    </row>
    <row r="34303" spans="5:9" ht="16.5" hidden="1">
      <c r="E34303" s="4" t="str">
        <v/>
      </c>
      <c r="F34303" s="102" t="str">
        <f ca="1">IFERROR(__xludf.DUMMYFUNCTION("IMPORTRANGE(H34303,""IDENTITAS UNIT!D9"")"),"#N/A")</f>
        <v>#N/A</v>
      </c>
      <c r="H34303" s="4" t="str">
        <v/>
      </c>
      <c r="I34303" s="4" t="str">
        <v/>
      </c>
    </row>
    <row r="34304" spans="5:9" ht="16.5" hidden="1">
      <c r="E34304" s="4" t="str">
        <v/>
      </c>
      <c r="F34304" s="102" t="str">
        <f ca="1">IFERROR(__xludf.DUMMYFUNCTION("IMPORTRANGE(H34304,""IDENTITAS UNIT!D9"")"),"#N/A")</f>
        <v>#N/A</v>
      </c>
      <c r="H34304" s="4" t="str">
        <v/>
      </c>
      <c r="I34304" s="4" t="str">
        <v/>
      </c>
    </row>
    <row r="34305" spans="5:9" ht="16.5" hidden="1">
      <c r="E34305" s="4" t="str">
        <v/>
      </c>
      <c r="F34305" s="102" t="str">
        <f ca="1">IFERROR(__xludf.DUMMYFUNCTION("IMPORTRANGE(H34305,""IDENTITAS UNIT!D9"")"),"#N/A")</f>
        <v>#N/A</v>
      </c>
      <c r="H34305" s="4" t="str">
        <v/>
      </c>
      <c r="I34305" s="4" t="str">
        <v/>
      </c>
    </row>
    <row r="34306" spans="5:9" ht="16.5" hidden="1">
      <c r="E34306" s="4" t="str">
        <v/>
      </c>
      <c r="F34306" s="102" t="str">
        <f ca="1">IFERROR(__xludf.DUMMYFUNCTION("IMPORTRANGE(H34306,""IDENTITAS UNIT!D9"")"),"#N/A")</f>
        <v>#N/A</v>
      </c>
      <c r="H34306" s="4" t="str">
        <v/>
      </c>
      <c r="I34306" s="4" t="str">
        <v/>
      </c>
    </row>
    <row r="34307" spans="5:9" ht="16.5" hidden="1">
      <c r="E34307" s="4" t="str">
        <v/>
      </c>
      <c r="F34307" s="102" t="str">
        <f ca="1">IFERROR(__xludf.DUMMYFUNCTION("IMPORTRANGE(H34307,""IDENTITAS UNIT!D9"")"),"#N/A")</f>
        <v>#N/A</v>
      </c>
      <c r="H34307" s="4" t="str">
        <v/>
      </c>
      <c r="I34307" s="4" t="str">
        <v/>
      </c>
    </row>
    <row r="34308" spans="5:9" ht="16.5" hidden="1">
      <c r="E34308" s="4" t="str">
        <v/>
      </c>
      <c r="F34308" s="102" t="str">
        <f ca="1">IFERROR(__xludf.DUMMYFUNCTION("IMPORTRANGE(H34308,""IDENTITAS UNIT!D9"")"),"#N/A")</f>
        <v>#N/A</v>
      </c>
      <c r="H34308" s="4" t="str">
        <v/>
      </c>
      <c r="I34308" s="4" t="str">
        <v/>
      </c>
    </row>
    <row r="34309" spans="5:9" ht="16.5" hidden="1">
      <c r="E34309" s="4" t="str">
        <v/>
      </c>
      <c r="F34309" s="102" t="str">
        <f ca="1">IFERROR(__xludf.DUMMYFUNCTION("IMPORTRANGE(H34309,""IDENTITAS UNIT!D9"")"),"#N/A")</f>
        <v>#N/A</v>
      </c>
      <c r="H34309" s="4" t="str">
        <v/>
      </c>
      <c r="I34309" s="4" t="str">
        <v/>
      </c>
    </row>
    <row r="34310" spans="5:9" ht="16.5" hidden="1">
      <c r="E34310" s="4" t="str">
        <v/>
      </c>
      <c r="F34310" s="102" t="str">
        <f ca="1">IFERROR(__xludf.DUMMYFUNCTION("IMPORTRANGE(H34310,""IDENTITAS UNIT!D9"")"),"#N/A")</f>
        <v>#N/A</v>
      </c>
      <c r="H34310" s="4" t="str">
        <v/>
      </c>
      <c r="I34310" s="4" t="str">
        <v/>
      </c>
    </row>
    <row r="34311" spans="5:9" ht="16.5" hidden="1">
      <c r="E34311" s="4" t="str">
        <v/>
      </c>
      <c r="F34311" s="102" t="str">
        <f ca="1">IFERROR(__xludf.DUMMYFUNCTION("IMPORTRANGE(H34311,""IDENTITAS UNIT!D9"")"),"#N/A")</f>
        <v>#N/A</v>
      </c>
      <c r="H34311" s="4" t="str">
        <v/>
      </c>
      <c r="I34311" s="4" t="str">
        <v/>
      </c>
    </row>
    <row r="34312" spans="5:9" ht="16.5" hidden="1">
      <c r="E34312" s="4" t="str">
        <v/>
      </c>
      <c r="F34312" s="102" t="str">
        <f ca="1">IFERROR(__xludf.DUMMYFUNCTION("IMPORTRANGE(H34312,""IDENTITAS UNIT!D9"")"),"#N/A")</f>
        <v>#N/A</v>
      </c>
      <c r="H34312" s="4" t="str">
        <v/>
      </c>
      <c r="I34312" s="4" t="str">
        <v/>
      </c>
    </row>
    <row r="34313" spans="5:9" ht="16.5" hidden="1">
      <c r="E34313" s="4" t="str">
        <v/>
      </c>
      <c r="F34313" s="102" t="str">
        <f ca="1">IFERROR(__xludf.DUMMYFUNCTION("IMPORTRANGE(H34313,""IDENTITAS UNIT!D9"")"),"#N/A")</f>
        <v>#N/A</v>
      </c>
      <c r="H34313" s="4" t="str">
        <v/>
      </c>
      <c r="I34313" s="4" t="str">
        <v/>
      </c>
    </row>
    <row r="34314" spans="5:9" ht="16.5" hidden="1">
      <c r="E34314" s="4" t="str">
        <v/>
      </c>
      <c r="F34314" s="102" t="str">
        <f ca="1">IFERROR(__xludf.DUMMYFUNCTION("IMPORTRANGE(H34314,""IDENTITAS UNIT!D9"")"),"#N/A")</f>
        <v>#N/A</v>
      </c>
      <c r="H34314" s="4" t="str">
        <v/>
      </c>
      <c r="I34314" s="4" t="str">
        <v/>
      </c>
    </row>
    <row r="34315" spans="5:9" ht="16.5" hidden="1">
      <c r="E34315" s="4" t="str">
        <v/>
      </c>
      <c r="F34315" s="102" t="str">
        <f ca="1">IFERROR(__xludf.DUMMYFUNCTION("IMPORTRANGE(H34315,""IDENTITAS UNIT!D9"")"),"#N/A")</f>
        <v>#N/A</v>
      </c>
      <c r="H34315" s="4" t="str">
        <v/>
      </c>
      <c r="I34315" s="4" t="str">
        <v/>
      </c>
    </row>
    <row r="34316" spans="5:9" ht="16.5" hidden="1">
      <c r="E34316" s="4" t="str">
        <v/>
      </c>
      <c r="F34316" s="102" t="str">
        <f ca="1">IFERROR(__xludf.DUMMYFUNCTION("IMPORTRANGE(H34316,""IDENTITAS UNIT!D9"")"),"#N/A")</f>
        <v>#N/A</v>
      </c>
      <c r="H34316" s="4" t="str">
        <v/>
      </c>
      <c r="I34316" s="4" t="str">
        <v/>
      </c>
    </row>
    <row r="34317" spans="5:9" ht="16.5" hidden="1">
      <c r="E34317" s="4" t="str">
        <v/>
      </c>
      <c r="F34317" s="102" t="str">
        <f ca="1">IFERROR(__xludf.DUMMYFUNCTION("IMPORTRANGE(H34317,""IDENTITAS UNIT!D9"")"),"#N/A")</f>
        <v>#N/A</v>
      </c>
      <c r="H34317" s="4" t="str">
        <v/>
      </c>
      <c r="I34317" s="4" t="str">
        <v/>
      </c>
    </row>
    <row r="34318" spans="5:9" ht="16.5" hidden="1">
      <c r="E34318" s="4" t="str">
        <v/>
      </c>
      <c r="F34318" s="102" t="str">
        <f ca="1">IFERROR(__xludf.DUMMYFUNCTION("IMPORTRANGE(H34318,""IDENTITAS UNIT!D9"")"),"#N/A")</f>
        <v>#N/A</v>
      </c>
      <c r="H34318" s="4" t="str">
        <v/>
      </c>
      <c r="I34318" s="4" t="str">
        <v/>
      </c>
    </row>
    <row r="34319" spans="5:9" ht="16.5" hidden="1">
      <c r="E34319" s="4" t="str">
        <v/>
      </c>
      <c r="F34319" s="102" t="str">
        <f ca="1">IFERROR(__xludf.DUMMYFUNCTION("IMPORTRANGE(H34319,""IDENTITAS UNIT!D9"")"),"#N/A")</f>
        <v>#N/A</v>
      </c>
      <c r="H34319" s="4" t="str">
        <v/>
      </c>
      <c r="I34319" s="4" t="str">
        <v/>
      </c>
    </row>
    <row r="34320" spans="5:9" ht="16.5" hidden="1">
      <c r="E34320" s="4" t="str">
        <v/>
      </c>
      <c r="F34320" s="102" t="str">
        <f ca="1">IFERROR(__xludf.DUMMYFUNCTION("IMPORTRANGE(H34320,""IDENTITAS UNIT!D9"")"),"#N/A")</f>
        <v>#N/A</v>
      </c>
      <c r="H34320" s="4" t="str">
        <v/>
      </c>
      <c r="I34320" s="4" t="str">
        <v/>
      </c>
    </row>
    <row r="34321" spans="5:9" ht="16.5" hidden="1">
      <c r="E34321" s="4" t="str">
        <v/>
      </c>
      <c r="F34321" s="102" t="str">
        <f ca="1">IFERROR(__xludf.DUMMYFUNCTION("IMPORTRANGE(H34321,""IDENTITAS UNIT!D9"")"),"#N/A")</f>
        <v>#N/A</v>
      </c>
      <c r="H34321" s="4" t="str">
        <v/>
      </c>
      <c r="I34321" s="4" t="str">
        <v/>
      </c>
    </row>
    <row r="34322" spans="5:9" ht="16.5" hidden="1">
      <c r="E34322" s="4" t="str">
        <v/>
      </c>
      <c r="F34322" s="102" t="str">
        <f ca="1">IFERROR(__xludf.DUMMYFUNCTION("IMPORTRANGE(H34322,""IDENTITAS UNIT!D9"")"),"#N/A")</f>
        <v>#N/A</v>
      </c>
      <c r="H34322" s="4" t="str">
        <v/>
      </c>
      <c r="I34322" s="4" t="str">
        <v/>
      </c>
    </row>
    <row r="34323" spans="5:9" ht="16.5" hidden="1">
      <c r="E34323" s="4" t="str">
        <v/>
      </c>
      <c r="F34323" s="102" t="str">
        <f ca="1">IFERROR(__xludf.DUMMYFUNCTION("IMPORTRANGE(H34323,""IDENTITAS UNIT!D9"")"),"#N/A")</f>
        <v>#N/A</v>
      </c>
      <c r="H34323" s="4" t="str">
        <v/>
      </c>
      <c r="I34323" s="4" t="str">
        <v/>
      </c>
    </row>
    <row r="34324" spans="5:9" ht="16.5" hidden="1">
      <c r="E34324" s="4" t="str">
        <v/>
      </c>
      <c r="F34324" s="102" t="str">
        <f ca="1">IFERROR(__xludf.DUMMYFUNCTION("IMPORTRANGE(H34324,""IDENTITAS UNIT!D9"")"),"#N/A")</f>
        <v>#N/A</v>
      </c>
      <c r="H34324" s="4" t="str">
        <v/>
      </c>
      <c r="I34324" s="4" t="str">
        <v/>
      </c>
    </row>
    <row r="34325" spans="5:9" ht="16.5" hidden="1">
      <c r="E34325" s="4" t="str">
        <v/>
      </c>
      <c r="F34325" s="102" t="str">
        <f ca="1">IFERROR(__xludf.DUMMYFUNCTION("IMPORTRANGE(H34325,""IDENTITAS UNIT!D9"")"),"#N/A")</f>
        <v>#N/A</v>
      </c>
      <c r="H34325" s="4" t="str">
        <v/>
      </c>
      <c r="I34325" s="4" t="str">
        <v/>
      </c>
    </row>
    <row r="34326" spans="5:9" ht="16.5" hidden="1">
      <c r="E34326" s="4" t="str">
        <v/>
      </c>
      <c r="F34326" s="102" t="str">
        <f ca="1">IFERROR(__xludf.DUMMYFUNCTION("IMPORTRANGE(H34326,""IDENTITAS UNIT!D9"")"),"#N/A")</f>
        <v>#N/A</v>
      </c>
      <c r="H34326" s="4" t="str">
        <v/>
      </c>
      <c r="I34326" s="4" t="str">
        <v/>
      </c>
    </row>
    <row r="34327" spans="5:9" ht="16.5" hidden="1">
      <c r="E34327" s="4" t="str">
        <v/>
      </c>
      <c r="F34327" s="102" t="str">
        <f ca="1">IFERROR(__xludf.DUMMYFUNCTION("IMPORTRANGE(H34327,""IDENTITAS UNIT!D9"")"),"#N/A")</f>
        <v>#N/A</v>
      </c>
      <c r="H34327" s="4" t="str">
        <v/>
      </c>
      <c r="I34327" s="4" t="str">
        <v/>
      </c>
    </row>
    <row r="34328" spans="5:9" ht="16.5" hidden="1">
      <c r="E34328" s="4" t="str">
        <v/>
      </c>
      <c r="F34328" s="102" t="str">
        <f ca="1">IFERROR(__xludf.DUMMYFUNCTION("IMPORTRANGE(H34328,""IDENTITAS UNIT!D9"")"),"#N/A")</f>
        <v>#N/A</v>
      </c>
      <c r="H34328" s="4" t="str">
        <v/>
      </c>
      <c r="I34328" s="4" t="str">
        <v/>
      </c>
    </row>
    <row r="34329" spans="5:9" ht="16.5" hidden="1">
      <c r="E34329" s="4" t="str">
        <v/>
      </c>
      <c r="F34329" s="102" t="str">
        <f ca="1">IFERROR(__xludf.DUMMYFUNCTION("IMPORTRANGE(H34329,""IDENTITAS UNIT!D9"")"),"#N/A")</f>
        <v>#N/A</v>
      </c>
      <c r="H34329" s="4" t="str">
        <v/>
      </c>
      <c r="I34329" s="4" t="str">
        <v/>
      </c>
    </row>
    <row r="34330" spans="5:9" ht="16.5" hidden="1">
      <c r="E34330" s="4" t="str">
        <v/>
      </c>
      <c r="F34330" s="102" t="str">
        <f ca="1">IFERROR(__xludf.DUMMYFUNCTION("IMPORTRANGE(H34330,""IDENTITAS UNIT!D9"")"),"#N/A")</f>
        <v>#N/A</v>
      </c>
      <c r="H34330" s="4" t="str">
        <v/>
      </c>
      <c r="I34330" s="4" t="str">
        <v/>
      </c>
    </row>
    <row r="34331" spans="5:9" ht="16.5" hidden="1">
      <c r="E34331" s="4" t="str">
        <v/>
      </c>
      <c r="F34331" s="102" t="str">
        <f ca="1">IFERROR(__xludf.DUMMYFUNCTION("IMPORTRANGE(H34331,""IDENTITAS UNIT!D9"")"),"#N/A")</f>
        <v>#N/A</v>
      </c>
      <c r="H34331" s="4" t="str">
        <v/>
      </c>
      <c r="I34331" s="4" t="str">
        <v/>
      </c>
    </row>
    <row r="34332" spans="5:9" ht="16.5" hidden="1">
      <c r="E34332" s="4" t="str">
        <v/>
      </c>
      <c r="F34332" s="102" t="str">
        <f ca="1">IFERROR(__xludf.DUMMYFUNCTION("IMPORTRANGE(H34332,""IDENTITAS UNIT!D9"")"),"#N/A")</f>
        <v>#N/A</v>
      </c>
      <c r="H34332" s="4" t="str">
        <v/>
      </c>
      <c r="I34332" s="4" t="str">
        <v/>
      </c>
    </row>
    <row r="34333" spans="5:9" ht="16.5" hidden="1">
      <c r="E34333" s="4" t="str">
        <v/>
      </c>
      <c r="F34333" s="102" t="str">
        <f ca="1">IFERROR(__xludf.DUMMYFUNCTION("IMPORTRANGE(H34333,""IDENTITAS UNIT!D9"")"),"#N/A")</f>
        <v>#N/A</v>
      </c>
      <c r="H34333" s="4" t="str">
        <v/>
      </c>
      <c r="I34333" s="4" t="str">
        <v/>
      </c>
    </row>
    <row r="34334" spans="5:9" ht="16.5" hidden="1">
      <c r="E34334" s="4" t="str">
        <v/>
      </c>
      <c r="F34334" s="102" t="str">
        <f ca="1">IFERROR(__xludf.DUMMYFUNCTION("IMPORTRANGE(H34334,""IDENTITAS UNIT!D9"")"),"#N/A")</f>
        <v>#N/A</v>
      </c>
      <c r="H34334" s="4" t="str">
        <v/>
      </c>
      <c r="I34334" s="4" t="str">
        <v/>
      </c>
    </row>
    <row r="34335" spans="5:9" ht="16.5" hidden="1">
      <c r="E34335" s="4" t="str">
        <v/>
      </c>
      <c r="F34335" s="102" t="str">
        <f ca="1">IFERROR(__xludf.DUMMYFUNCTION("IMPORTRANGE(H34335,""IDENTITAS UNIT!D9"")"),"#N/A")</f>
        <v>#N/A</v>
      </c>
      <c r="H34335" s="4" t="str">
        <v/>
      </c>
      <c r="I34335" s="4" t="str">
        <v/>
      </c>
    </row>
    <row r="34336" spans="5:9" ht="16.5" hidden="1">
      <c r="E34336" s="4" t="str">
        <v/>
      </c>
      <c r="F34336" s="102" t="str">
        <f ca="1">IFERROR(__xludf.DUMMYFUNCTION("IMPORTRANGE(H34336,""IDENTITAS UNIT!D9"")"),"#N/A")</f>
        <v>#N/A</v>
      </c>
      <c r="H34336" s="4" t="str">
        <v/>
      </c>
      <c r="I34336" s="4" t="str">
        <v/>
      </c>
    </row>
    <row r="34337" spans="5:9" ht="16.5" hidden="1">
      <c r="E34337" s="4" t="str">
        <v/>
      </c>
      <c r="F34337" s="102" t="str">
        <f ca="1">IFERROR(__xludf.DUMMYFUNCTION("IMPORTRANGE(H34337,""IDENTITAS UNIT!D9"")"),"#N/A")</f>
        <v>#N/A</v>
      </c>
      <c r="H34337" s="4" t="str">
        <v/>
      </c>
      <c r="I34337" s="4" t="str">
        <v/>
      </c>
    </row>
    <row r="34338" spans="5:9" ht="16.5" hidden="1">
      <c r="E34338" s="4" t="str">
        <v/>
      </c>
      <c r="F34338" s="102" t="str">
        <f ca="1">IFERROR(__xludf.DUMMYFUNCTION("IMPORTRANGE(H34338,""IDENTITAS UNIT!D9"")"),"#N/A")</f>
        <v>#N/A</v>
      </c>
      <c r="H34338" s="4" t="str">
        <v/>
      </c>
      <c r="I34338" s="4" t="str">
        <v/>
      </c>
    </row>
    <row r="34339" spans="5:9" ht="16.5" hidden="1">
      <c r="E34339" s="4" t="str">
        <v/>
      </c>
      <c r="F34339" s="102" t="str">
        <f ca="1">IFERROR(__xludf.DUMMYFUNCTION("IMPORTRANGE(H34339,""IDENTITAS UNIT!D9"")"),"#N/A")</f>
        <v>#N/A</v>
      </c>
      <c r="H34339" s="4" t="str">
        <v/>
      </c>
      <c r="I34339" s="4" t="str">
        <v/>
      </c>
    </row>
    <row r="34340" spans="5:9" ht="16.5" hidden="1">
      <c r="E34340" s="4" t="str">
        <v/>
      </c>
      <c r="F34340" s="102" t="str">
        <f ca="1">IFERROR(__xludf.DUMMYFUNCTION("IMPORTRANGE(H34340,""IDENTITAS UNIT!D9"")"),"#N/A")</f>
        <v>#N/A</v>
      </c>
      <c r="H34340" s="4" t="str">
        <v/>
      </c>
      <c r="I34340" s="4" t="str">
        <v/>
      </c>
    </row>
    <row r="34341" spans="5:9" ht="16.5" hidden="1">
      <c r="E34341" s="4" t="str">
        <v/>
      </c>
      <c r="F34341" s="102" t="str">
        <f ca="1">IFERROR(__xludf.DUMMYFUNCTION("IMPORTRANGE(H34341,""IDENTITAS UNIT!D9"")"),"#N/A")</f>
        <v>#N/A</v>
      </c>
      <c r="H34341" s="4" t="str">
        <v/>
      </c>
      <c r="I34341" s="4" t="str">
        <v/>
      </c>
    </row>
    <row r="34342" spans="5:9" ht="16.5" hidden="1">
      <c r="E34342" s="4" t="str">
        <v/>
      </c>
      <c r="F34342" s="102" t="str">
        <f ca="1">IFERROR(__xludf.DUMMYFUNCTION("IMPORTRANGE(H34342,""IDENTITAS UNIT!D9"")"),"#N/A")</f>
        <v>#N/A</v>
      </c>
      <c r="H34342" s="4" t="str">
        <v/>
      </c>
      <c r="I34342" s="4" t="str">
        <v/>
      </c>
    </row>
    <row r="34343" spans="5:9" ht="16.5" hidden="1">
      <c r="E34343" s="4" t="str">
        <v/>
      </c>
      <c r="F34343" s="102" t="str">
        <f ca="1">IFERROR(__xludf.DUMMYFUNCTION("IMPORTRANGE(H34343,""IDENTITAS UNIT!D9"")"),"#N/A")</f>
        <v>#N/A</v>
      </c>
      <c r="H34343" s="4" t="str">
        <v/>
      </c>
      <c r="I34343" s="4" t="str">
        <v/>
      </c>
    </row>
    <row r="34344" spans="5:9" ht="16.5" hidden="1">
      <c r="E34344" s="4" t="str">
        <v/>
      </c>
      <c r="F34344" s="102" t="str">
        <f ca="1">IFERROR(__xludf.DUMMYFUNCTION("IMPORTRANGE(H34344,""IDENTITAS UNIT!D9"")"),"#N/A")</f>
        <v>#N/A</v>
      </c>
      <c r="H34344" s="4" t="str">
        <v/>
      </c>
      <c r="I34344" s="4" t="str">
        <v/>
      </c>
    </row>
    <row r="34345" spans="5:9" ht="16.5" hidden="1">
      <c r="E34345" s="4" t="str">
        <v/>
      </c>
      <c r="F34345" s="102" t="str">
        <f ca="1">IFERROR(__xludf.DUMMYFUNCTION("IMPORTRANGE(H34345,""IDENTITAS UNIT!D9"")"),"#N/A")</f>
        <v>#N/A</v>
      </c>
      <c r="H34345" s="4" t="str">
        <v/>
      </c>
      <c r="I34345" s="4" t="str">
        <v/>
      </c>
    </row>
    <row r="34346" spans="5:9" ht="16.5" hidden="1">
      <c r="E34346" s="4" t="str">
        <v/>
      </c>
      <c r="F34346" s="102" t="str">
        <f ca="1">IFERROR(__xludf.DUMMYFUNCTION("IMPORTRANGE(H34346,""IDENTITAS UNIT!D9"")"),"#N/A")</f>
        <v>#N/A</v>
      </c>
      <c r="H34346" s="4" t="str">
        <v/>
      </c>
      <c r="I34346" s="4" t="str">
        <v/>
      </c>
    </row>
    <row r="34347" spans="5:9" ht="16.5" hidden="1">
      <c r="E34347" s="4" t="str">
        <v/>
      </c>
      <c r="F34347" s="102" t="str">
        <f ca="1">IFERROR(__xludf.DUMMYFUNCTION("IMPORTRANGE(H34347,""IDENTITAS UNIT!D9"")"),"#N/A")</f>
        <v>#N/A</v>
      </c>
      <c r="H34347" s="4" t="str">
        <v/>
      </c>
      <c r="I34347" s="4" t="str">
        <v/>
      </c>
    </row>
    <row r="34348" spans="5:9" ht="16.5" hidden="1">
      <c r="E34348" s="4" t="str">
        <v/>
      </c>
      <c r="F34348" s="102" t="str">
        <f ca="1">IFERROR(__xludf.DUMMYFUNCTION("IMPORTRANGE(H34348,""IDENTITAS UNIT!D9"")"),"#N/A")</f>
        <v>#N/A</v>
      </c>
      <c r="H34348" s="4" t="str">
        <v/>
      </c>
      <c r="I34348" s="4" t="str">
        <v/>
      </c>
    </row>
    <row r="34349" spans="5:9" ht="16.5" hidden="1">
      <c r="E34349" s="4" t="str">
        <v/>
      </c>
      <c r="F34349" s="102" t="str">
        <f ca="1">IFERROR(__xludf.DUMMYFUNCTION("IMPORTRANGE(H34349,""IDENTITAS UNIT!D9"")"),"#N/A")</f>
        <v>#N/A</v>
      </c>
      <c r="H34349" s="4" t="str">
        <v/>
      </c>
      <c r="I34349" s="4" t="str">
        <v/>
      </c>
    </row>
    <row r="34350" spans="5:9" ht="16.5" hidden="1">
      <c r="E34350" s="4" t="str">
        <v/>
      </c>
      <c r="F34350" s="102" t="str">
        <f ca="1">IFERROR(__xludf.DUMMYFUNCTION("IMPORTRANGE(H34350,""IDENTITAS UNIT!D9"")"),"#N/A")</f>
        <v>#N/A</v>
      </c>
      <c r="H34350" s="4" t="str">
        <v/>
      </c>
      <c r="I34350" s="4" t="str">
        <v/>
      </c>
    </row>
    <row r="34351" spans="5:9" ht="16.5" hidden="1">
      <c r="E34351" s="4" t="str">
        <v/>
      </c>
      <c r="F34351" s="102" t="str">
        <f ca="1">IFERROR(__xludf.DUMMYFUNCTION("IMPORTRANGE(H34351,""IDENTITAS UNIT!D9"")"),"#N/A")</f>
        <v>#N/A</v>
      </c>
      <c r="H34351" s="4" t="str">
        <v/>
      </c>
      <c r="I34351" s="4" t="str">
        <v/>
      </c>
    </row>
    <row r="34352" spans="5:9" ht="16.5" hidden="1">
      <c r="E34352" s="4" t="str">
        <v/>
      </c>
      <c r="F34352" s="102" t="str">
        <f ca="1">IFERROR(__xludf.DUMMYFUNCTION("IMPORTRANGE(H34352,""IDENTITAS UNIT!D9"")"),"#N/A")</f>
        <v>#N/A</v>
      </c>
      <c r="H34352" s="4" t="str">
        <v/>
      </c>
      <c r="I34352" s="4" t="str">
        <v/>
      </c>
    </row>
    <row r="34353" spans="5:9" ht="16.5" hidden="1">
      <c r="E34353" s="4" t="str">
        <v/>
      </c>
      <c r="F34353" s="102" t="str">
        <f ca="1">IFERROR(__xludf.DUMMYFUNCTION("IMPORTRANGE(H34353,""IDENTITAS UNIT!D9"")"),"#N/A")</f>
        <v>#N/A</v>
      </c>
      <c r="H34353" s="4" t="str">
        <v/>
      </c>
      <c r="I34353" s="4" t="str">
        <v/>
      </c>
    </row>
    <row r="34354" spans="5:9" ht="16.5" hidden="1">
      <c r="E34354" s="4" t="str">
        <v/>
      </c>
      <c r="F34354" s="102" t="str">
        <f ca="1">IFERROR(__xludf.DUMMYFUNCTION("IMPORTRANGE(H34354,""IDENTITAS UNIT!D9"")"),"#N/A")</f>
        <v>#N/A</v>
      </c>
      <c r="H34354" s="4" t="str">
        <v/>
      </c>
      <c r="I34354" s="4" t="str">
        <v/>
      </c>
    </row>
    <row r="34355" spans="5:9" ht="16.5" hidden="1">
      <c r="E34355" s="4" t="str">
        <v/>
      </c>
      <c r="F34355" s="102" t="str">
        <f ca="1">IFERROR(__xludf.DUMMYFUNCTION("IMPORTRANGE(H34355,""IDENTITAS UNIT!D9"")"),"#N/A")</f>
        <v>#N/A</v>
      </c>
      <c r="H34355" s="4" t="str">
        <v/>
      </c>
      <c r="I34355" s="4" t="str">
        <v/>
      </c>
    </row>
    <row r="34356" spans="5:9" ht="16.5" hidden="1">
      <c r="E34356" s="4" t="str">
        <v/>
      </c>
      <c r="F34356" s="102" t="str">
        <f ca="1">IFERROR(__xludf.DUMMYFUNCTION("IMPORTRANGE(H34356,""IDENTITAS UNIT!D9"")"),"#N/A")</f>
        <v>#N/A</v>
      </c>
      <c r="H34356" s="4" t="str">
        <v/>
      </c>
      <c r="I34356" s="4" t="str">
        <v/>
      </c>
    </row>
    <row r="34357" spans="5:9" ht="16.5" hidden="1">
      <c r="E34357" s="4" t="str">
        <v/>
      </c>
      <c r="F34357" s="102" t="str">
        <f ca="1">IFERROR(__xludf.DUMMYFUNCTION("IMPORTRANGE(H34357,""IDENTITAS UNIT!D9"")"),"#N/A")</f>
        <v>#N/A</v>
      </c>
      <c r="H34357" s="4" t="str">
        <v/>
      </c>
      <c r="I34357" s="4" t="str">
        <v/>
      </c>
    </row>
    <row r="34358" spans="5:9" ht="16.5" hidden="1">
      <c r="E34358" s="4" t="str">
        <v/>
      </c>
      <c r="F34358" s="102" t="str">
        <f ca="1">IFERROR(__xludf.DUMMYFUNCTION("IMPORTRANGE(H34358,""IDENTITAS UNIT!D9"")"),"#N/A")</f>
        <v>#N/A</v>
      </c>
      <c r="H34358" s="4" t="str">
        <v/>
      </c>
      <c r="I34358" s="4" t="str">
        <v/>
      </c>
    </row>
    <row r="34359" spans="5:9" ht="16.5" hidden="1">
      <c r="E34359" s="4" t="str">
        <v/>
      </c>
      <c r="F34359" s="102" t="str">
        <f ca="1">IFERROR(__xludf.DUMMYFUNCTION("IMPORTRANGE(H34359,""IDENTITAS UNIT!D9"")"),"#N/A")</f>
        <v>#N/A</v>
      </c>
      <c r="H34359" s="4" t="str">
        <v/>
      </c>
      <c r="I34359" s="4" t="str">
        <v/>
      </c>
    </row>
    <row r="34360" spans="5:9" ht="16.5" hidden="1">
      <c r="E34360" s="4" t="str">
        <v/>
      </c>
      <c r="F34360" s="102" t="str">
        <f ca="1">IFERROR(__xludf.DUMMYFUNCTION("IMPORTRANGE(H34360,""IDENTITAS UNIT!D9"")"),"#N/A")</f>
        <v>#N/A</v>
      </c>
      <c r="H34360" s="4" t="str">
        <v/>
      </c>
      <c r="I34360" s="4" t="str">
        <v/>
      </c>
    </row>
    <row r="34361" spans="5:9" ht="16.5" hidden="1">
      <c r="E34361" s="4" t="str">
        <v/>
      </c>
      <c r="F34361" s="102" t="str">
        <f ca="1">IFERROR(__xludf.DUMMYFUNCTION("IMPORTRANGE(H34361,""IDENTITAS UNIT!D9"")"),"#N/A")</f>
        <v>#N/A</v>
      </c>
      <c r="H34361" s="4" t="str">
        <v/>
      </c>
      <c r="I34361" s="4" t="str">
        <v/>
      </c>
    </row>
    <row r="34362" spans="5:9" ht="16.5" hidden="1">
      <c r="E34362" s="4" t="str">
        <v/>
      </c>
      <c r="F34362" s="102" t="str">
        <f ca="1">IFERROR(__xludf.DUMMYFUNCTION("IMPORTRANGE(H34362,""IDENTITAS UNIT!D9"")"),"#N/A")</f>
        <v>#N/A</v>
      </c>
      <c r="H34362" s="4" t="str">
        <v/>
      </c>
      <c r="I34362" s="4" t="str">
        <v/>
      </c>
    </row>
    <row r="34363" spans="5:9" ht="16.5" hidden="1">
      <c r="E34363" s="4" t="str">
        <v/>
      </c>
      <c r="F34363" s="102" t="str">
        <f ca="1">IFERROR(__xludf.DUMMYFUNCTION("IMPORTRANGE(H34363,""IDENTITAS UNIT!D9"")"),"#N/A")</f>
        <v>#N/A</v>
      </c>
      <c r="H34363" s="4" t="str">
        <v/>
      </c>
      <c r="I34363" s="4" t="str">
        <v/>
      </c>
    </row>
    <row r="34364" spans="5:9" ht="16.5" hidden="1">
      <c r="E34364" s="4" t="str">
        <v/>
      </c>
      <c r="F34364" s="102" t="str">
        <f ca="1">IFERROR(__xludf.DUMMYFUNCTION("IMPORTRANGE(H34364,""IDENTITAS UNIT!D9"")"),"#N/A")</f>
        <v>#N/A</v>
      </c>
      <c r="H34364" s="4" t="str">
        <v/>
      </c>
      <c r="I34364" s="4" t="str">
        <v/>
      </c>
    </row>
    <row r="34365" spans="5:9" ht="16.5" hidden="1">
      <c r="E34365" s="4" t="str">
        <v/>
      </c>
      <c r="F34365" s="102" t="str">
        <f ca="1">IFERROR(__xludf.DUMMYFUNCTION("IMPORTRANGE(H34365,""IDENTITAS UNIT!D9"")"),"#N/A")</f>
        <v>#N/A</v>
      </c>
      <c r="H34365" s="4" t="str">
        <v/>
      </c>
      <c r="I34365" s="4" t="str">
        <v/>
      </c>
    </row>
    <row r="34366" spans="5:9" ht="16.5" hidden="1">
      <c r="E34366" s="4" t="str">
        <v/>
      </c>
      <c r="F34366" s="102" t="str">
        <f ca="1">IFERROR(__xludf.DUMMYFUNCTION("IMPORTRANGE(H34366,""IDENTITAS UNIT!D9"")"),"#N/A")</f>
        <v>#N/A</v>
      </c>
      <c r="H34366" s="4" t="str">
        <v/>
      </c>
      <c r="I34366" s="4" t="str">
        <v/>
      </c>
    </row>
    <row r="34367" spans="5:9" ht="16.5" hidden="1">
      <c r="E34367" s="4" t="str">
        <v/>
      </c>
      <c r="F34367" s="102" t="str">
        <f ca="1">IFERROR(__xludf.DUMMYFUNCTION("IMPORTRANGE(H34367,""IDENTITAS UNIT!D9"")"),"#N/A")</f>
        <v>#N/A</v>
      </c>
      <c r="H34367" s="4" t="str">
        <v/>
      </c>
      <c r="I34367" s="4" t="str">
        <v/>
      </c>
    </row>
    <row r="34368" spans="5:9" ht="16.5" hidden="1">
      <c r="E34368" s="4" t="str">
        <v/>
      </c>
      <c r="F34368" s="102" t="str">
        <f ca="1">IFERROR(__xludf.DUMMYFUNCTION("IMPORTRANGE(H34368,""IDENTITAS UNIT!D9"")"),"#N/A")</f>
        <v>#N/A</v>
      </c>
      <c r="H34368" s="4" t="str">
        <v/>
      </c>
      <c r="I34368" s="4" t="str">
        <v/>
      </c>
    </row>
    <row r="34369" spans="5:9" ht="16.5" hidden="1">
      <c r="E34369" s="4" t="str">
        <v/>
      </c>
      <c r="F34369" s="102" t="str">
        <f ca="1">IFERROR(__xludf.DUMMYFUNCTION("IMPORTRANGE(H34369,""IDENTITAS UNIT!D9"")"),"#N/A")</f>
        <v>#N/A</v>
      </c>
      <c r="H34369" s="4" t="str">
        <v/>
      </c>
      <c r="I34369" s="4" t="str">
        <v/>
      </c>
    </row>
    <row r="34370" spans="5:9" ht="16.5" hidden="1">
      <c r="E34370" s="4" t="str">
        <v/>
      </c>
      <c r="F34370" s="102" t="str">
        <f ca="1">IFERROR(__xludf.DUMMYFUNCTION("IMPORTRANGE(H34370,""IDENTITAS UNIT!D9"")"),"#N/A")</f>
        <v>#N/A</v>
      </c>
      <c r="H34370" s="4" t="str">
        <v/>
      </c>
      <c r="I34370" s="4" t="str">
        <v/>
      </c>
    </row>
    <row r="34371" spans="5:9" ht="16.5" hidden="1">
      <c r="E34371" s="4" t="str">
        <v/>
      </c>
      <c r="F34371" s="102" t="str">
        <f ca="1">IFERROR(__xludf.DUMMYFUNCTION("IMPORTRANGE(H34371,""IDENTITAS UNIT!D9"")"),"#N/A")</f>
        <v>#N/A</v>
      </c>
      <c r="H34371" s="4" t="str">
        <v/>
      </c>
      <c r="I34371" s="4" t="str">
        <v/>
      </c>
    </row>
    <row r="34372" spans="5:9" ht="16.5" hidden="1">
      <c r="E34372" s="4" t="str">
        <v/>
      </c>
      <c r="F34372" s="102" t="str">
        <f ca="1">IFERROR(__xludf.DUMMYFUNCTION("IMPORTRANGE(H34372,""IDENTITAS UNIT!D9"")"),"#N/A")</f>
        <v>#N/A</v>
      </c>
      <c r="H34372" s="4" t="str">
        <v/>
      </c>
      <c r="I34372" s="4" t="str">
        <v/>
      </c>
    </row>
    <row r="34373" spans="5:9" ht="16.5" hidden="1">
      <c r="E34373" s="4" t="str">
        <v/>
      </c>
      <c r="F34373" s="102" t="str">
        <f ca="1">IFERROR(__xludf.DUMMYFUNCTION("IMPORTRANGE(H34373,""IDENTITAS UNIT!D9"")"),"#N/A")</f>
        <v>#N/A</v>
      </c>
      <c r="H34373" s="4" t="str">
        <v/>
      </c>
      <c r="I34373" s="4" t="str">
        <v/>
      </c>
    </row>
    <row r="34374" spans="5:9" ht="16.5" hidden="1">
      <c r="E34374" s="4" t="str">
        <v/>
      </c>
      <c r="F34374" s="102" t="str">
        <f ca="1">IFERROR(__xludf.DUMMYFUNCTION("IMPORTRANGE(H34374,""IDENTITAS UNIT!D9"")"),"#N/A")</f>
        <v>#N/A</v>
      </c>
      <c r="H34374" s="4" t="str">
        <v/>
      </c>
      <c r="I34374" s="4" t="str">
        <v/>
      </c>
    </row>
    <row r="34375" spans="5:9" ht="16.5" hidden="1">
      <c r="E34375" s="4" t="str">
        <v/>
      </c>
      <c r="F34375" s="102" t="str">
        <f ca="1">IFERROR(__xludf.DUMMYFUNCTION("IMPORTRANGE(H34375,""IDENTITAS UNIT!D9"")"),"#N/A")</f>
        <v>#N/A</v>
      </c>
      <c r="H34375" s="4" t="str">
        <v/>
      </c>
      <c r="I34375" s="4" t="str">
        <v/>
      </c>
    </row>
    <row r="34376" spans="5:9" ht="16.5" hidden="1">
      <c r="E34376" s="4" t="str">
        <v/>
      </c>
      <c r="F34376" s="102" t="str">
        <f ca="1">IFERROR(__xludf.DUMMYFUNCTION("IMPORTRANGE(H34376,""IDENTITAS UNIT!D9"")"),"#N/A")</f>
        <v>#N/A</v>
      </c>
      <c r="H34376" s="4" t="str">
        <v/>
      </c>
      <c r="I34376" s="4" t="str">
        <v/>
      </c>
    </row>
    <row r="34377" spans="5:9" ht="16.5" hidden="1">
      <c r="E34377" s="4" t="str">
        <v/>
      </c>
      <c r="F34377" s="102" t="str">
        <f ca="1">IFERROR(__xludf.DUMMYFUNCTION("IMPORTRANGE(H34377,""IDENTITAS UNIT!D9"")"),"#N/A")</f>
        <v>#N/A</v>
      </c>
      <c r="H34377" s="4" t="str">
        <v/>
      </c>
      <c r="I34377" s="4" t="str">
        <v/>
      </c>
    </row>
    <row r="34378" spans="5:9" ht="16.5" hidden="1">
      <c r="E34378" s="4" t="str">
        <v/>
      </c>
      <c r="F34378" s="102" t="str">
        <f ca="1">IFERROR(__xludf.DUMMYFUNCTION("IMPORTRANGE(H34378,""IDENTITAS UNIT!D9"")"),"#N/A")</f>
        <v>#N/A</v>
      </c>
      <c r="H34378" s="4" t="str">
        <v/>
      </c>
      <c r="I34378" s="4" t="str">
        <v/>
      </c>
    </row>
    <row r="34379" spans="5:9" ht="16.5" hidden="1">
      <c r="E34379" s="4" t="str">
        <v/>
      </c>
      <c r="F34379" s="102" t="str">
        <f ca="1">IFERROR(__xludf.DUMMYFUNCTION("IMPORTRANGE(H34379,""IDENTITAS UNIT!D9"")"),"#N/A")</f>
        <v>#N/A</v>
      </c>
      <c r="H34379" s="4" t="str">
        <v/>
      </c>
      <c r="I34379" s="4" t="str">
        <v/>
      </c>
    </row>
    <row r="34380" spans="5:9" ht="16.5" hidden="1">
      <c r="E34380" s="4" t="str">
        <v/>
      </c>
      <c r="F34380" s="102" t="str">
        <f ca="1">IFERROR(__xludf.DUMMYFUNCTION("IMPORTRANGE(H34380,""IDENTITAS UNIT!D9"")"),"#N/A")</f>
        <v>#N/A</v>
      </c>
      <c r="H34380" s="4" t="str">
        <v/>
      </c>
      <c r="I34380" s="4" t="str">
        <v/>
      </c>
    </row>
    <row r="34381" spans="5:9" ht="16.5" hidden="1">
      <c r="E34381" s="4" t="str">
        <v/>
      </c>
      <c r="F34381" s="102" t="str">
        <f ca="1">IFERROR(__xludf.DUMMYFUNCTION("IMPORTRANGE(H34381,""IDENTITAS UNIT!D9"")"),"#N/A")</f>
        <v>#N/A</v>
      </c>
      <c r="H34381" s="4" t="str">
        <v/>
      </c>
      <c r="I34381" s="4" t="str">
        <v/>
      </c>
    </row>
    <row r="34382" spans="5:9" ht="16.5" hidden="1">
      <c r="E34382" s="4" t="str">
        <v/>
      </c>
      <c r="F34382" s="102" t="str">
        <f ca="1">IFERROR(__xludf.DUMMYFUNCTION("IMPORTRANGE(H34382,""IDENTITAS UNIT!D9"")"),"#N/A")</f>
        <v>#N/A</v>
      </c>
      <c r="H34382" s="4" t="str">
        <v/>
      </c>
      <c r="I34382" s="4" t="str">
        <v/>
      </c>
    </row>
    <row r="34383" spans="5:9" ht="16.5" hidden="1">
      <c r="E34383" s="4" t="str">
        <v/>
      </c>
      <c r="F34383" s="102" t="str">
        <f ca="1">IFERROR(__xludf.DUMMYFUNCTION("IMPORTRANGE(H34383,""IDENTITAS UNIT!D9"")"),"#N/A")</f>
        <v>#N/A</v>
      </c>
      <c r="H34383" s="4" t="str">
        <v/>
      </c>
      <c r="I34383" s="4" t="str">
        <v/>
      </c>
    </row>
    <row r="34384" spans="5:9" ht="16.5" hidden="1">
      <c r="E34384" s="4" t="str">
        <v/>
      </c>
      <c r="F34384" s="102" t="str">
        <f ca="1">IFERROR(__xludf.DUMMYFUNCTION("IMPORTRANGE(H34384,""IDENTITAS UNIT!D9"")"),"#N/A")</f>
        <v>#N/A</v>
      </c>
      <c r="H34384" s="4" t="str">
        <v/>
      </c>
      <c r="I34384" s="4" t="str">
        <v/>
      </c>
    </row>
    <row r="34385" spans="5:9" ht="16.5" hidden="1">
      <c r="E34385" s="4" t="str">
        <v/>
      </c>
      <c r="F34385" s="102" t="str">
        <f ca="1">IFERROR(__xludf.DUMMYFUNCTION("IMPORTRANGE(H34385,""IDENTITAS UNIT!D9"")"),"#N/A")</f>
        <v>#N/A</v>
      </c>
      <c r="H34385" s="4" t="str">
        <v/>
      </c>
      <c r="I34385" s="4" t="str">
        <v/>
      </c>
    </row>
    <row r="34386" spans="5:9" ht="16.5" hidden="1">
      <c r="E34386" s="4" t="str">
        <v/>
      </c>
      <c r="F34386" s="102" t="str">
        <f ca="1">IFERROR(__xludf.DUMMYFUNCTION("IMPORTRANGE(H34386,""IDENTITAS UNIT!D9"")"),"#N/A")</f>
        <v>#N/A</v>
      </c>
      <c r="H34386" s="4" t="str">
        <v/>
      </c>
      <c r="I34386" s="4" t="str">
        <v/>
      </c>
    </row>
    <row r="34387" spans="5:9" ht="16.5" hidden="1">
      <c r="E34387" s="4" t="str">
        <v/>
      </c>
      <c r="F34387" s="102" t="str">
        <f ca="1">IFERROR(__xludf.DUMMYFUNCTION("IMPORTRANGE(H34387,""IDENTITAS UNIT!D9"")"),"#N/A")</f>
        <v>#N/A</v>
      </c>
      <c r="H34387" s="4" t="str">
        <v/>
      </c>
      <c r="I34387" s="4" t="str">
        <v/>
      </c>
    </row>
    <row r="34388" spans="5:9" ht="16.5" hidden="1">
      <c r="E34388" s="4" t="str">
        <v/>
      </c>
      <c r="F34388" s="102" t="str">
        <f ca="1">IFERROR(__xludf.DUMMYFUNCTION("IMPORTRANGE(H34388,""IDENTITAS UNIT!D9"")"),"#N/A")</f>
        <v>#N/A</v>
      </c>
      <c r="H34388" s="4" t="str">
        <v/>
      </c>
      <c r="I34388" s="4" t="str">
        <v/>
      </c>
    </row>
    <row r="34389" spans="5:9" ht="16.5" hidden="1">
      <c r="E34389" s="4" t="str">
        <v/>
      </c>
      <c r="F34389" s="102" t="str">
        <f ca="1">IFERROR(__xludf.DUMMYFUNCTION("IMPORTRANGE(H34389,""IDENTITAS UNIT!D9"")"),"#N/A")</f>
        <v>#N/A</v>
      </c>
      <c r="H34389" s="4" t="str">
        <v/>
      </c>
      <c r="I34389" s="4" t="str">
        <v/>
      </c>
    </row>
    <row r="34390" spans="5:9" ht="16.5" hidden="1">
      <c r="E34390" s="4" t="str">
        <v/>
      </c>
      <c r="F34390" s="102" t="str">
        <f ca="1">IFERROR(__xludf.DUMMYFUNCTION("IMPORTRANGE(H34390,""IDENTITAS UNIT!D9"")"),"#N/A")</f>
        <v>#N/A</v>
      </c>
      <c r="H34390" s="4" t="str">
        <v/>
      </c>
      <c r="I34390" s="4" t="str">
        <v/>
      </c>
    </row>
    <row r="34391" spans="5:9" ht="16.5" hidden="1">
      <c r="E34391" s="4" t="str">
        <v/>
      </c>
      <c r="F34391" s="102" t="str">
        <f ca="1">IFERROR(__xludf.DUMMYFUNCTION("IMPORTRANGE(H34391,""IDENTITAS UNIT!D9"")"),"#N/A")</f>
        <v>#N/A</v>
      </c>
      <c r="H34391" s="4" t="str">
        <v/>
      </c>
      <c r="I34391" s="4" t="str">
        <v/>
      </c>
    </row>
    <row r="34392" spans="5:9" ht="16.5" hidden="1">
      <c r="E34392" s="4" t="str">
        <v/>
      </c>
      <c r="F34392" s="102" t="str">
        <f ca="1">IFERROR(__xludf.DUMMYFUNCTION("IMPORTRANGE(H34392,""IDENTITAS UNIT!D9"")"),"#N/A")</f>
        <v>#N/A</v>
      </c>
      <c r="H34392" s="4" t="str">
        <v/>
      </c>
      <c r="I34392" s="4" t="str">
        <v/>
      </c>
    </row>
    <row r="34393" spans="5:9" ht="16.5" hidden="1">
      <c r="E34393" s="4" t="str">
        <v/>
      </c>
      <c r="F34393" s="102" t="str">
        <f ca="1">IFERROR(__xludf.DUMMYFUNCTION("IMPORTRANGE(H34393,""IDENTITAS UNIT!D9"")"),"#N/A")</f>
        <v>#N/A</v>
      </c>
      <c r="H34393" s="4" t="str">
        <v/>
      </c>
      <c r="I34393" s="4" t="str">
        <v/>
      </c>
    </row>
    <row r="34394" spans="5:9" ht="16.5" hidden="1">
      <c r="E34394" s="4" t="str">
        <v/>
      </c>
      <c r="F34394" s="102" t="str">
        <f ca="1">IFERROR(__xludf.DUMMYFUNCTION("IMPORTRANGE(H34394,""IDENTITAS UNIT!D9"")"),"#N/A")</f>
        <v>#N/A</v>
      </c>
      <c r="H34394" s="4" t="str">
        <v/>
      </c>
      <c r="I34394" s="4" t="str">
        <v/>
      </c>
    </row>
    <row r="34395" spans="5:9" ht="16.5" hidden="1">
      <c r="E34395" s="4" t="str">
        <v/>
      </c>
      <c r="F34395" s="102" t="str">
        <f ca="1">IFERROR(__xludf.DUMMYFUNCTION("IMPORTRANGE(H34395,""IDENTITAS UNIT!D9"")"),"#N/A")</f>
        <v>#N/A</v>
      </c>
      <c r="H34395" s="4" t="str">
        <v/>
      </c>
      <c r="I34395" s="4" t="str">
        <v/>
      </c>
    </row>
    <row r="34396" spans="5:9" ht="16.5" hidden="1">
      <c r="E34396" s="4" t="str">
        <v/>
      </c>
      <c r="F34396" s="102" t="str">
        <f ca="1">IFERROR(__xludf.DUMMYFUNCTION("IMPORTRANGE(H34396,""IDENTITAS UNIT!D9"")"),"#N/A")</f>
        <v>#N/A</v>
      </c>
      <c r="H34396" s="4" t="str">
        <v/>
      </c>
      <c r="I34396" s="4" t="str">
        <v/>
      </c>
    </row>
    <row r="34397" spans="5:9" ht="16.5" hidden="1">
      <c r="E34397" s="4" t="str">
        <v/>
      </c>
      <c r="F34397" s="102" t="str">
        <f ca="1">IFERROR(__xludf.DUMMYFUNCTION("IMPORTRANGE(H34397,""IDENTITAS UNIT!D9"")"),"#N/A")</f>
        <v>#N/A</v>
      </c>
      <c r="H34397" s="4" t="str">
        <v/>
      </c>
      <c r="I34397" s="4" t="str">
        <v/>
      </c>
    </row>
    <row r="34398" spans="5:9" ht="16.5" hidden="1">
      <c r="E34398" s="4" t="str">
        <v/>
      </c>
      <c r="F34398" s="102" t="str">
        <f ca="1">IFERROR(__xludf.DUMMYFUNCTION("IMPORTRANGE(H34398,""IDENTITAS UNIT!D9"")"),"#N/A")</f>
        <v>#N/A</v>
      </c>
      <c r="H34398" s="4" t="str">
        <v/>
      </c>
      <c r="I34398" s="4" t="str">
        <v/>
      </c>
    </row>
    <row r="34399" spans="5:9" ht="16.5" hidden="1">
      <c r="E34399" s="4" t="str">
        <v/>
      </c>
      <c r="F34399" s="102" t="str">
        <f ca="1">IFERROR(__xludf.DUMMYFUNCTION("IMPORTRANGE(H34399,""IDENTITAS UNIT!D9"")"),"#N/A")</f>
        <v>#N/A</v>
      </c>
      <c r="H34399" s="4" t="str">
        <v/>
      </c>
      <c r="I34399" s="4" t="str">
        <v/>
      </c>
    </row>
    <row r="34400" spans="5:9" ht="16.5" hidden="1">
      <c r="E34400" s="4" t="str">
        <v/>
      </c>
      <c r="F34400" s="102" t="str">
        <f ca="1">IFERROR(__xludf.DUMMYFUNCTION("IMPORTRANGE(H34400,""IDENTITAS UNIT!D9"")"),"#N/A")</f>
        <v>#N/A</v>
      </c>
      <c r="H34400" s="4" t="str">
        <v/>
      </c>
      <c r="I34400" s="4" t="str">
        <v/>
      </c>
    </row>
    <row r="34401" spans="5:9" ht="16.5" hidden="1">
      <c r="E34401" s="4" t="str">
        <v/>
      </c>
      <c r="F34401" s="102" t="str">
        <f ca="1">IFERROR(__xludf.DUMMYFUNCTION("IMPORTRANGE(H34401,""IDENTITAS UNIT!D9"")"),"#N/A")</f>
        <v>#N/A</v>
      </c>
      <c r="H34401" s="4" t="str">
        <v/>
      </c>
      <c r="I34401" s="4" t="str">
        <v/>
      </c>
    </row>
    <row r="34402" spans="5:9" ht="16.5" hidden="1">
      <c r="E34402" s="4" t="str">
        <v/>
      </c>
      <c r="F34402" s="102" t="str">
        <f ca="1">IFERROR(__xludf.DUMMYFUNCTION("IMPORTRANGE(H34402,""IDENTITAS UNIT!D9"")"),"#N/A")</f>
        <v>#N/A</v>
      </c>
      <c r="H34402" s="4" t="str">
        <v/>
      </c>
      <c r="I34402" s="4" t="str">
        <v/>
      </c>
    </row>
    <row r="34403" spans="5:9" ht="16.5" hidden="1">
      <c r="E34403" s="4" t="str">
        <v/>
      </c>
      <c r="F34403" s="102" t="str">
        <f ca="1">IFERROR(__xludf.DUMMYFUNCTION("IMPORTRANGE(H34403,""IDENTITAS UNIT!D9"")"),"#N/A")</f>
        <v>#N/A</v>
      </c>
      <c r="H34403" s="4" t="str">
        <v/>
      </c>
      <c r="I34403" s="4" t="str">
        <v/>
      </c>
    </row>
    <row r="34404" spans="5:9" ht="16.5" hidden="1">
      <c r="E34404" s="4" t="str">
        <v/>
      </c>
      <c r="F34404" s="102" t="str">
        <f ca="1">IFERROR(__xludf.DUMMYFUNCTION("IMPORTRANGE(H34404,""IDENTITAS UNIT!D9"")"),"#N/A")</f>
        <v>#N/A</v>
      </c>
      <c r="H34404" s="4" t="str">
        <v/>
      </c>
      <c r="I34404" s="4" t="str">
        <v/>
      </c>
    </row>
    <row r="34405" spans="5:9" ht="16.5" hidden="1">
      <c r="E34405" s="4" t="str">
        <v/>
      </c>
      <c r="F34405" s="102" t="str">
        <f ca="1">IFERROR(__xludf.DUMMYFUNCTION("IMPORTRANGE(H34405,""IDENTITAS UNIT!D9"")"),"#N/A")</f>
        <v>#N/A</v>
      </c>
      <c r="H34405" s="4" t="str">
        <v/>
      </c>
      <c r="I34405" s="4" t="str">
        <v/>
      </c>
    </row>
    <row r="34406" spans="5:9" ht="16.5" hidden="1">
      <c r="E34406" s="4" t="str">
        <v/>
      </c>
      <c r="F34406" s="102" t="str">
        <f ca="1">IFERROR(__xludf.DUMMYFUNCTION("IMPORTRANGE(H34406,""IDENTITAS UNIT!D9"")"),"#N/A")</f>
        <v>#N/A</v>
      </c>
      <c r="H34406" s="4" t="str">
        <v/>
      </c>
      <c r="I34406" s="4" t="str">
        <v/>
      </c>
    </row>
    <row r="34407" spans="5:9" ht="16.5" hidden="1">
      <c r="E34407" s="4" t="str">
        <v/>
      </c>
      <c r="F34407" s="102" t="str">
        <f ca="1">IFERROR(__xludf.DUMMYFUNCTION("IMPORTRANGE(H34407,""IDENTITAS UNIT!D9"")"),"#N/A")</f>
        <v>#N/A</v>
      </c>
      <c r="H34407" s="4" t="str">
        <v/>
      </c>
      <c r="I34407" s="4" t="str">
        <v/>
      </c>
    </row>
    <row r="34408" spans="5:9" ht="16.5" hidden="1">
      <c r="E34408" s="4" t="str">
        <v/>
      </c>
      <c r="F34408" s="102" t="str">
        <f ca="1">IFERROR(__xludf.DUMMYFUNCTION("IMPORTRANGE(H34408,""IDENTITAS UNIT!D9"")"),"#N/A")</f>
        <v>#N/A</v>
      </c>
      <c r="H34408" s="4" t="str">
        <v/>
      </c>
      <c r="I34408" s="4" t="str">
        <v/>
      </c>
    </row>
    <row r="34409" spans="5:9" ht="16.5" hidden="1">
      <c r="E34409" s="4" t="str">
        <v/>
      </c>
      <c r="F34409" s="102" t="str">
        <f ca="1">IFERROR(__xludf.DUMMYFUNCTION("IMPORTRANGE(H34409,""IDENTITAS UNIT!D9"")"),"#N/A")</f>
        <v>#N/A</v>
      </c>
      <c r="H34409" s="4" t="str">
        <v/>
      </c>
      <c r="I34409" s="4" t="str">
        <v/>
      </c>
    </row>
    <row r="34410" spans="5:9" ht="16.5" hidden="1">
      <c r="E34410" s="4" t="str">
        <v/>
      </c>
      <c r="F34410" s="102" t="str">
        <f ca="1">IFERROR(__xludf.DUMMYFUNCTION("IMPORTRANGE(H34410,""IDENTITAS UNIT!D9"")"),"#N/A")</f>
        <v>#N/A</v>
      </c>
      <c r="H34410" s="4" t="str">
        <v/>
      </c>
      <c r="I34410" s="4" t="str">
        <v/>
      </c>
    </row>
    <row r="34411" spans="5:9" ht="16.5" hidden="1">
      <c r="E34411" s="4" t="str">
        <v/>
      </c>
      <c r="F34411" s="102" t="str">
        <f ca="1">IFERROR(__xludf.DUMMYFUNCTION("IMPORTRANGE(H34411,""IDENTITAS UNIT!D9"")"),"#N/A")</f>
        <v>#N/A</v>
      </c>
      <c r="H34411" s="4" t="str">
        <v/>
      </c>
      <c r="I34411" s="4" t="str">
        <v/>
      </c>
    </row>
    <row r="34412" spans="5:9" ht="16.5" hidden="1">
      <c r="E34412" s="4" t="str">
        <v/>
      </c>
      <c r="F34412" s="102" t="str">
        <f ca="1">IFERROR(__xludf.DUMMYFUNCTION("IMPORTRANGE(H34412,""IDENTITAS UNIT!D9"")"),"#N/A")</f>
        <v>#N/A</v>
      </c>
      <c r="H34412" s="4" t="str">
        <v/>
      </c>
      <c r="I34412" s="4" t="str">
        <v/>
      </c>
    </row>
    <row r="34413" spans="5:9" ht="16.5" hidden="1">
      <c r="E34413" s="4" t="str">
        <v/>
      </c>
      <c r="F34413" s="102" t="str">
        <f ca="1">IFERROR(__xludf.DUMMYFUNCTION("IMPORTRANGE(H34413,""IDENTITAS UNIT!D9"")"),"#N/A")</f>
        <v>#N/A</v>
      </c>
      <c r="H34413" s="4" t="str">
        <v/>
      </c>
      <c r="I34413" s="4" t="str">
        <v/>
      </c>
    </row>
    <row r="34414" spans="5:9" ht="16.5" hidden="1">
      <c r="E34414" s="4" t="str">
        <v/>
      </c>
      <c r="F34414" s="102" t="str">
        <f ca="1">IFERROR(__xludf.DUMMYFUNCTION("IMPORTRANGE(H34414,""IDENTITAS UNIT!D9"")"),"#N/A")</f>
        <v>#N/A</v>
      </c>
      <c r="H34414" s="4" t="str">
        <v/>
      </c>
      <c r="I34414" s="4" t="str">
        <v/>
      </c>
    </row>
    <row r="34415" spans="5:9" ht="16.5" hidden="1">
      <c r="E34415" s="4" t="str">
        <v/>
      </c>
      <c r="F34415" s="102" t="str">
        <f ca="1">IFERROR(__xludf.DUMMYFUNCTION("IMPORTRANGE(H34415,""IDENTITAS UNIT!D9"")"),"#N/A")</f>
        <v>#N/A</v>
      </c>
      <c r="H34415" s="4" t="str">
        <v/>
      </c>
      <c r="I34415" s="4" t="str">
        <v/>
      </c>
    </row>
    <row r="34416" spans="5:9" ht="16.5" hidden="1">
      <c r="E34416" s="4" t="str">
        <v/>
      </c>
      <c r="F34416" s="102" t="str">
        <f ca="1">IFERROR(__xludf.DUMMYFUNCTION("IMPORTRANGE(H34416,""IDENTITAS UNIT!D9"")"),"#N/A")</f>
        <v>#N/A</v>
      </c>
      <c r="H34416" s="4" t="str">
        <v/>
      </c>
      <c r="I34416" s="4" t="str">
        <v/>
      </c>
    </row>
    <row r="34417" spans="5:9" ht="16.5" hidden="1">
      <c r="E34417" s="4" t="str">
        <v/>
      </c>
      <c r="F34417" s="102" t="str">
        <f ca="1">IFERROR(__xludf.DUMMYFUNCTION("IMPORTRANGE(H34417,""IDENTITAS UNIT!D9"")"),"#N/A")</f>
        <v>#N/A</v>
      </c>
      <c r="H34417" s="4" t="str">
        <v/>
      </c>
      <c r="I34417" s="4" t="str">
        <v/>
      </c>
    </row>
    <row r="34418" spans="5:9" ht="16.5" hidden="1">
      <c r="E34418" s="4" t="str">
        <v/>
      </c>
      <c r="F34418" s="102" t="str">
        <f ca="1">IFERROR(__xludf.DUMMYFUNCTION("IMPORTRANGE(H34418,""IDENTITAS UNIT!D9"")"),"#N/A")</f>
        <v>#N/A</v>
      </c>
      <c r="H34418" s="4" t="str">
        <v/>
      </c>
      <c r="I34418" s="4" t="str">
        <v/>
      </c>
    </row>
    <row r="34419" spans="5:9" ht="16.5" hidden="1">
      <c r="E34419" s="4" t="str">
        <v/>
      </c>
      <c r="F34419" s="102" t="str">
        <f ca="1">IFERROR(__xludf.DUMMYFUNCTION("IMPORTRANGE(H34419,""IDENTITAS UNIT!D9"")"),"#N/A")</f>
        <v>#N/A</v>
      </c>
      <c r="H34419" s="4" t="str">
        <v/>
      </c>
      <c r="I34419" s="4" t="str">
        <v/>
      </c>
    </row>
    <row r="34420" spans="5:9" ht="16.5" hidden="1">
      <c r="E34420" s="4" t="str">
        <v/>
      </c>
      <c r="F34420" s="102" t="str">
        <f ca="1">IFERROR(__xludf.DUMMYFUNCTION("IMPORTRANGE(H34420,""IDENTITAS UNIT!D9"")"),"#N/A")</f>
        <v>#N/A</v>
      </c>
      <c r="H34420" s="4" t="str">
        <v/>
      </c>
      <c r="I34420" s="4" t="str">
        <v/>
      </c>
    </row>
    <row r="34421" spans="5:9" ht="16.5" hidden="1">
      <c r="E34421" s="4" t="str">
        <v/>
      </c>
      <c r="F34421" s="102" t="str">
        <f ca="1">IFERROR(__xludf.DUMMYFUNCTION("IMPORTRANGE(H34421,""IDENTITAS UNIT!D9"")"),"#N/A")</f>
        <v>#N/A</v>
      </c>
      <c r="H34421" s="4" t="str">
        <v/>
      </c>
      <c r="I34421" s="4" t="str">
        <v/>
      </c>
    </row>
    <row r="34422" spans="5:9" ht="16.5" hidden="1">
      <c r="E34422" s="4" t="str">
        <v/>
      </c>
      <c r="F34422" s="102" t="str">
        <f ca="1">IFERROR(__xludf.DUMMYFUNCTION("IMPORTRANGE(H34422,""IDENTITAS UNIT!D9"")"),"#N/A")</f>
        <v>#N/A</v>
      </c>
      <c r="H34422" s="4" t="str">
        <v/>
      </c>
      <c r="I34422" s="4" t="str">
        <v/>
      </c>
    </row>
    <row r="34423" spans="5:9" ht="16.5" hidden="1">
      <c r="E34423" s="4" t="str">
        <v/>
      </c>
      <c r="F34423" s="102" t="str">
        <f ca="1">IFERROR(__xludf.DUMMYFUNCTION("IMPORTRANGE(H34423,""IDENTITAS UNIT!D9"")"),"#N/A")</f>
        <v>#N/A</v>
      </c>
      <c r="H34423" s="4" t="str">
        <v/>
      </c>
      <c r="I34423" s="4" t="str">
        <v/>
      </c>
    </row>
    <row r="34424" spans="5:9" ht="16.5" hidden="1">
      <c r="E34424" s="4" t="str">
        <v/>
      </c>
      <c r="F34424" s="102" t="str">
        <f ca="1">IFERROR(__xludf.DUMMYFUNCTION("IMPORTRANGE(H34424,""IDENTITAS UNIT!D9"")"),"#N/A")</f>
        <v>#N/A</v>
      </c>
      <c r="H34424" s="4" t="str">
        <v/>
      </c>
      <c r="I34424" s="4" t="str">
        <v/>
      </c>
    </row>
    <row r="34425" spans="5:9" ht="16.5" hidden="1">
      <c r="E34425" s="4" t="str">
        <v/>
      </c>
      <c r="F34425" s="102" t="str">
        <f ca="1">IFERROR(__xludf.DUMMYFUNCTION("IMPORTRANGE(H34425,""IDENTITAS UNIT!D9"")"),"#N/A")</f>
        <v>#N/A</v>
      </c>
      <c r="H34425" s="4" t="str">
        <v/>
      </c>
      <c r="I34425" s="4" t="str">
        <v/>
      </c>
    </row>
    <row r="34426" spans="5:9" ht="16.5" hidden="1">
      <c r="E34426" s="4" t="str">
        <v/>
      </c>
      <c r="F34426" s="102" t="str">
        <f ca="1">IFERROR(__xludf.DUMMYFUNCTION("IMPORTRANGE(H34426,""IDENTITAS UNIT!D9"")"),"#N/A")</f>
        <v>#N/A</v>
      </c>
      <c r="H34426" s="4" t="str">
        <v/>
      </c>
      <c r="I34426" s="4" t="str">
        <v/>
      </c>
    </row>
    <row r="34427" spans="5:9" ht="16.5" hidden="1">
      <c r="E34427" s="4" t="str">
        <v/>
      </c>
      <c r="F34427" s="102" t="str">
        <f ca="1">IFERROR(__xludf.DUMMYFUNCTION("IMPORTRANGE(H34427,""IDENTITAS UNIT!D9"")"),"#N/A")</f>
        <v>#N/A</v>
      </c>
      <c r="H34427" s="4" t="str">
        <v/>
      </c>
      <c r="I34427" s="4" t="str">
        <v/>
      </c>
    </row>
    <row r="34428" spans="5:9" ht="16.5" hidden="1">
      <c r="E34428" s="4" t="str">
        <v/>
      </c>
      <c r="F34428" s="102" t="str">
        <f ca="1">IFERROR(__xludf.DUMMYFUNCTION("IMPORTRANGE(H34428,""IDENTITAS UNIT!D9"")"),"#N/A")</f>
        <v>#N/A</v>
      </c>
      <c r="H34428" s="4" t="str">
        <v/>
      </c>
      <c r="I34428" s="4" t="str">
        <v/>
      </c>
    </row>
    <row r="34429" spans="5:9" ht="16.5" hidden="1">
      <c r="E34429" s="4" t="str">
        <v/>
      </c>
      <c r="F34429" s="102" t="str">
        <f ca="1">IFERROR(__xludf.DUMMYFUNCTION("IMPORTRANGE(H34429,""IDENTITAS UNIT!D9"")"),"#N/A")</f>
        <v>#N/A</v>
      </c>
      <c r="H34429" s="4" t="str">
        <v/>
      </c>
      <c r="I34429" s="4" t="str">
        <v/>
      </c>
    </row>
    <row r="34430" spans="5:9" ht="16.5" hidden="1">
      <c r="E34430" s="4" t="str">
        <v/>
      </c>
      <c r="F34430" s="102" t="str">
        <f ca="1">IFERROR(__xludf.DUMMYFUNCTION("IMPORTRANGE(H34430,""IDENTITAS UNIT!D9"")"),"#N/A")</f>
        <v>#N/A</v>
      </c>
      <c r="H34430" s="4" t="str">
        <v/>
      </c>
      <c r="I34430" s="4" t="str">
        <v/>
      </c>
    </row>
    <row r="34431" spans="5:9" ht="16.5" hidden="1">
      <c r="E34431" s="4" t="str">
        <v/>
      </c>
      <c r="F34431" s="102" t="str">
        <f ca="1">IFERROR(__xludf.DUMMYFUNCTION("IMPORTRANGE(H34431,""IDENTITAS UNIT!D9"")"),"#N/A")</f>
        <v>#N/A</v>
      </c>
      <c r="H34431" s="4" t="str">
        <v/>
      </c>
      <c r="I34431" s="4" t="str">
        <v/>
      </c>
    </row>
    <row r="34432" spans="5:9" ht="16.5" hidden="1">
      <c r="E34432" s="4" t="str">
        <v/>
      </c>
      <c r="F34432" s="102" t="str">
        <f ca="1">IFERROR(__xludf.DUMMYFUNCTION("IMPORTRANGE(H34432,""IDENTITAS UNIT!D9"")"),"#N/A")</f>
        <v>#N/A</v>
      </c>
      <c r="H34432" s="4" t="str">
        <v/>
      </c>
      <c r="I34432" s="4" t="str">
        <v/>
      </c>
    </row>
    <row r="34433" spans="5:9" ht="16.5" hidden="1">
      <c r="E34433" s="4" t="str">
        <v/>
      </c>
      <c r="F34433" s="102" t="str">
        <f ca="1">IFERROR(__xludf.DUMMYFUNCTION("IMPORTRANGE(H34433,""IDENTITAS UNIT!D9"")"),"#N/A")</f>
        <v>#N/A</v>
      </c>
      <c r="H34433" s="4" t="str">
        <v/>
      </c>
      <c r="I34433" s="4" t="str">
        <v/>
      </c>
    </row>
    <row r="34434" spans="5:9" ht="16.5" hidden="1">
      <c r="E34434" s="4" t="str">
        <v/>
      </c>
      <c r="F34434" s="102" t="str">
        <f ca="1">IFERROR(__xludf.DUMMYFUNCTION("IMPORTRANGE(H34434,""IDENTITAS UNIT!D9"")"),"#N/A")</f>
        <v>#N/A</v>
      </c>
      <c r="H34434" s="4" t="str">
        <v/>
      </c>
      <c r="I34434" s="4" t="str">
        <v/>
      </c>
    </row>
    <row r="34435" spans="5:9" ht="16.5" hidden="1">
      <c r="E34435" s="4" t="str">
        <v/>
      </c>
      <c r="F34435" s="102" t="str">
        <f ca="1">IFERROR(__xludf.DUMMYFUNCTION("IMPORTRANGE(H34435,""IDENTITAS UNIT!D9"")"),"#N/A")</f>
        <v>#N/A</v>
      </c>
      <c r="H34435" s="4" t="str">
        <v/>
      </c>
      <c r="I34435" s="4" t="str">
        <v/>
      </c>
    </row>
    <row r="34436" spans="5:9" ht="16.5" hidden="1">
      <c r="E34436" s="4" t="str">
        <v/>
      </c>
      <c r="F34436" s="102" t="str">
        <f ca="1">IFERROR(__xludf.DUMMYFUNCTION("IMPORTRANGE(H34436,""IDENTITAS UNIT!D9"")"),"#N/A")</f>
        <v>#N/A</v>
      </c>
      <c r="H34436" s="4" t="str">
        <v/>
      </c>
      <c r="I34436" s="4" t="str">
        <v/>
      </c>
    </row>
    <row r="34437" spans="5:9" ht="16.5" hidden="1">
      <c r="E34437" s="4" t="str">
        <v/>
      </c>
      <c r="F34437" s="102" t="str">
        <f ca="1">IFERROR(__xludf.DUMMYFUNCTION("IMPORTRANGE(H34437,""IDENTITAS UNIT!D9"")"),"#N/A")</f>
        <v>#N/A</v>
      </c>
      <c r="H34437" s="4" t="str">
        <v/>
      </c>
      <c r="I34437" s="4" t="str">
        <v/>
      </c>
    </row>
    <row r="34438" spans="5:9" ht="16.5" hidden="1">
      <c r="E34438" s="4" t="str">
        <v/>
      </c>
      <c r="F34438" s="102" t="str">
        <f ca="1">IFERROR(__xludf.DUMMYFUNCTION("IMPORTRANGE(H34438,""IDENTITAS UNIT!D9"")"),"#N/A")</f>
        <v>#N/A</v>
      </c>
      <c r="H34438" s="4" t="str">
        <v/>
      </c>
      <c r="I34438" s="4" t="str">
        <v/>
      </c>
    </row>
    <row r="34439" spans="5:9" ht="16.5" hidden="1">
      <c r="E34439" s="4" t="str">
        <v/>
      </c>
      <c r="F34439" s="102" t="str">
        <f ca="1">IFERROR(__xludf.DUMMYFUNCTION("IMPORTRANGE(H34439,""IDENTITAS UNIT!D9"")"),"#N/A")</f>
        <v>#N/A</v>
      </c>
      <c r="H34439" s="4" t="str">
        <v/>
      </c>
      <c r="I34439" s="4" t="str">
        <v/>
      </c>
    </row>
    <row r="34440" spans="5:9" ht="16.5" hidden="1">
      <c r="E34440" s="4" t="str">
        <v/>
      </c>
      <c r="F34440" s="102" t="str">
        <f ca="1">IFERROR(__xludf.DUMMYFUNCTION("IMPORTRANGE(H34440,""IDENTITAS UNIT!D9"")"),"#N/A")</f>
        <v>#N/A</v>
      </c>
      <c r="H34440" s="4" t="str">
        <v/>
      </c>
      <c r="I34440" s="4" t="str">
        <v/>
      </c>
    </row>
    <row r="34441" spans="5:9" ht="16.5" hidden="1">
      <c r="E34441" s="4" t="str">
        <v/>
      </c>
      <c r="F34441" s="102" t="str">
        <f ca="1">IFERROR(__xludf.DUMMYFUNCTION("IMPORTRANGE(H34441,""IDENTITAS UNIT!D9"")"),"#N/A")</f>
        <v>#N/A</v>
      </c>
      <c r="H34441" s="4" t="str">
        <v/>
      </c>
      <c r="I34441" s="4" t="str">
        <v/>
      </c>
    </row>
    <row r="34442" spans="5:9" ht="16.5" hidden="1">
      <c r="E34442" s="4" t="str">
        <v/>
      </c>
      <c r="F34442" s="102" t="str">
        <f ca="1">IFERROR(__xludf.DUMMYFUNCTION("IMPORTRANGE(H34442,""IDENTITAS UNIT!D9"")"),"#N/A")</f>
        <v>#N/A</v>
      </c>
      <c r="H34442" s="4" t="str">
        <v/>
      </c>
      <c r="I34442" s="4" t="str">
        <v/>
      </c>
    </row>
    <row r="34443" spans="5:9" ht="16.5" hidden="1">
      <c r="E34443" s="4" t="str">
        <v/>
      </c>
      <c r="F34443" s="102" t="str">
        <f ca="1">IFERROR(__xludf.DUMMYFUNCTION("IMPORTRANGE(H34443,""IDENTITAS UNIT!D9"")"),"#N/A")</f>
        <v>#N/A</v>
      </c>
      <c r="H34443" s="4" t="str">
        <v/>
      </c>
      <c r="I34443" s="4" t="str">
        <v/>
      </c>
    </row>
    <row r="34444" spans="5:9" ht="16.5" hidden="1">
      <c r="E34444" s="4" t="str">
        <v/>
      </c>
      <c r="F34444" s="102" t="str">
        <f ca="1">IFERROR(__xludf.DUMMYFUNCTION("IMPORTRANGE(H34444,""IDENTITAS UNIT!D9"")"),"#N/A")</f>
        <v>#N/A</v>
      </c>
      <c r="H34444" s="4" t="str">
        <v/>
      </c>
      <c r="I34444" s="4" t="str">
        <v/>
      </c>
    </row>
    <row r="34445" spans="5:9" ht="16.5" hidden="1">
      <c r="E34445" s="4" t="str">
        <v/>
      </c>
      <c r="F34445" s="102" t="str">
        <f ca="1">IFERROR(__xludf.DUMMYFUNCTION("IMPORTRANGE(H34445,""IDENTITAS UNIT!D9"")"),"#N/A")</f>
        <v>#N/A</v>
      </c>
      <c r="H34445" s="4" t="str">
        <v/>
      </c>
      <c r="I34445" s="4" t="str">
        <v/>
      </c>
    </row>
    <row r="34446" spans="5:9" ht="16.5" hidden="1">
      <c r="E34446" s="4" t="str">
        <v/>
      </c>
      <c r="F34446" s="102" t="str">
        <f ca="1">IFERROR(__xludf.DUMMYFUNCTION("IMPORTRANGE(H34446,""IDENTITAS UNIT!D9"")"),"#N/A")</f>
        <v>#N/A</v>
      </c>
      <c r="H34446" s="4" t="str">
        <v/>
      </c>
      <c r="I34446" s="4" t="str">
        <v/>
      </c>
    </row>
    <row r="34447" spans="5:9" ht="16.5" hidden="1">
      <c r="E34447" s="4" t="str">
        <v/>
      </c>
      <c r="F34447" s="102" t="str">
        <f ca="1">IFERROR(__xludf.DUMMYFUNCTION("IMPORTRANGE(H34447,""IDENTITAS UNIT!D9"")"),"#N/A")</f>
        <v>#N/A</v>
      </c>
      <c r="H34447" s="4" t="str">
        <v/>
      </c>
      <c r="I34447" s="4" t="str">
        <v/>
      </c>
    </row>
    <row r="34448" spans="5:9" ht="16.5" hidden="1">
      <c r="E34448" s="4" t="str">
        <v/>
      </c>
      <c r="F34448" s="102" t="str">
        <f ca="1">IFERROR(__xludf.DUMMYFUNCTION("IMPORTRANGE(H34448,""IDENTITAS UNIT!D9"")"),"#N/A")</f>
        <v>#N/A</v>
      </c>
      <c r="H34448" s="4" t="str">
        <v/>
      </c>
      <c r="I34448" s="4" t="str">
        <v/>
      </c>
    </row>
    <row r="34449" spans="5:9" ht="16.5" hidden="1">
      <c r="E34449" s="4" t="str">
        <v/>
      </c>
      <c r="F34449" s="102" t="str">
        <f ca="1">IFERROR(__xludf.DUMMYFUNCTION("IMPORTRANGE(H34449,""IDENTITAS UNIT!D9"")"),"#N/A")</f>
        <v>#N/A</v>
      </c>
      <c r="H34449" s="4" t="str">
        <v/>
      </c>
      <c r="I34449" s="4" t="str">
        <v/>
      </c>
    </row>
    <row r="34450" spans="5:9" ht="16.5" hidden="1">
      <c r="E34450" s="4" t="str">
        <v/>
      </c>
      <c r="F34450" s="102" t="str">
        <f ca="1">IFERROR(__xludf.DUMMYFUNCTION("IMPORTRANGE(H34450,""IDENTITAS UNIT!D9"")"),"#N/A")</f>
        <v>#N/A</v>
      </c>
      <c r="H34450" s="4" t="str">
        <v/>
      </c>
      <c r="I34450" s="4" t="str">
        <v/>
      </c>
    </row>
    <row r="34451" spans="5:9" ht="16.5" hidden="1">
      <c r="E34451" s="4" t="str">
        <v/>
      </c>
      <c r="F34451" s="102" t="str">
        <f ca="1">IFERROR(__xludf.DUMMYFUNCTION("IMPORTRANGE(H34451,""IDENTITAS UNIT!D9"")"),"#N/A")</f>
        <v>#N/A</v>
      </c>
      <c r="H34451" s="4" t="str">
        <v/>
      </c>
      <c r="I34451" s="4" t="str">
        <v/>
      </c>
    </row>
    <row r="34452" spans="5:9" ht="16.5" hidden="1">
      <c r="E34452" s="4" t="str">
        <v/>
      </c>
      <c r="F34452" s="102" t="str">
        <f ca="1">IFERROR(__xludf.DUMMYFUNCTION("IMPORTRANGE(H34452,""IDENTITAS UNIT!D9"")"),"#N/A")</f>
        <v>#N/A</v>
      </c>
      <c r="H34452" s="4" t="str">
        <v/>
      </c>
      <c r="I34452" s="4" t="str">
        <v/>
      </c>
    </row>
    <row r="34453" spans="5:9" ht="16.5" hidden="1">
      <c r="E34453" s="4" t="str">
        <v/>
      </c>
      <c r="F34453" s="102" t="str">
        <f ca="1">IFERROR(__xludf.DUMMYFUNCTION("IMPORTRANGE(H34453,""IDENTITAS UNIT!D9"")"),"#N/A")</f>
        <v>#N/A</v>
      </c>
      <c r="H34453" s="4" t="str">
        <v/>
      </c>
      <c r="I34453" s="4" t="str">
        <v/>
      </c>
    </row>
    <row r="34454" spans="5:9" ht="16.5" hidden="1">
      <c r="E34454" s="4" t="str">
        <v/>
      </c>
      <c r="F34454" s="102" t="str">
        <f ca="1">IFERROR(__xludf.DUMMYFUNCTION("IMPORTRANGE(H34454,""IDENTITAS UNIT!D9"")"),"#N/A")</f>
        <v>#N/A</v>
      </c>
      <c r="H34454" s="4" t="str">
        <v/>
      </c>
      <c r="I34454" s="4" t="str">
        <v/>
      </c>
    </row>
    <row r="34455" spans="5:9" ht="16.5" hidden="1">
      <c r="E34455" s="4" t="str">
        <v/>
      </c>
      <c r="F34455" s="102" t="str">
        <f ca="1">IFERROR(__xludf.DUMMYFUNCTION("IMPORTRANGE(H34455,""IDENTITAS UNIT!D9"")"),"#N/A")</f>
        <v>#N/A</v>
      </c>
      <c r="H34455" s="4" t="str">
        <v/>
      </c>
      <c r="I34455" s="4" t="str">
        <v/>
      </c>
    </row>
    <row r="34456" spans="5:9" ht="16.5" hidden="1">
      <c r="E34456" s="4" t="str">
        <v/>
      </c>
      <c r="F34456" s="102" t="str">
        <f ca="1">IFERROR(__xludf.DUMMYFUNCTION("IMPORTRANGE(H34456,""IDENTITAS UNIT!D9"")"),"#N/A")</f>
        <v>#N/A</v>
      </c>
      <c r="H34456" s="4" t="str">
        <v/>
      </c>
      <c r="I34456" s="4" t="str">
        <v/>
      </c>
    </row>
    <row r="34457" spans="5:9" ht="16.5" hidden="1">
      <c r="E34457" s="4" t="str">
        <v/>
      </c>
      <c r="F34457" s="102" t="str">
        <f ca="1">IFERROR(__xludf.DUMMYFUNCTION("IMPORTRANGE(H34457,""IDENTITAS UNIT!D9"")"),"#N/A")</f>
        <v>#N/A</v>
      </c>
      <c r="H34457" s="4" t="str">
        <v/>
      </c>
      <c r="I34457" s="4" t="str">
        <v/>
      </c>
    </row>
    <row r="34458" spans="5:9" ht="16.5" hidden="1">
      <c r="E34458" s="4" t="str">
        <v/>
      </c>
      <c r="F34458" s="102" t="str">
        <f ca="1">IFERROR(__xludf.DUMMYFUNCTION("IMPORTRANGE(H34458,""IDENTITAS UNIT!D9"")"),"#N/A")</f>
        <v>#N/A</v>
      </c>
      <c r="H34458" s="4" t="str">
        <v/>
      </c>
      <c r="I34458" s="4" t="str">
        <v/>
      </c>
    </row>
    <row r="34459" spans="5:9" ht="16.5" hidden="1">
      <c r="E34459" s="4" t="str">
        <v/>
      </c>
      <c r="F34459" s="102" t="str">
        <f ca="1">IFERROR(__xludf.DUMMYFUNCTION("IMPORTRANGE(H34459,""IDENTITAS UNIT!D9"")"),"#N/A")</f>
        <v>#N/A</v>
      </c>
      <c r="H34459" s="4" t="str">
        <v/>
      </c>
      <c r="I34459" s="4" t="str">
        <v/>
      </c>
    </row>
    <row r="34460" spans="5:9" ht="16.5" hidden="1">
      <c r="E34460" s="4" t="str">
        <v/>
      </c>
      <c r="F34460" s="102" t="str">
        <f ca="1">IFERROR(__xludf.DUMMYFUNCTION("IMPORTRANGE(H34460,""IDENTITAS UNIT!D9"")"),"#N/A")</f>
        <v>#N/A</v>
      </c>
      <c r="H34460" s="4" t="str">
        <v/>
      </c>
      <c r="I34460" s="4" t="str">
        <v/>
      </c>
    </row>
    <row r="34461" spans="5:9" ht="16.5" hidden="1">
      <c r="E34461" s="4" t="str">
        <v/>
      </c>
      <c r="F34461" s="102" t="str">
        <f ca="1">IFERROR(__xludf.DUMMYFUNCTION("IMPORTRANGE(H34461,""IDENTITAS UNIT!D9"")"),"#N/A")</f>
        <v>#N/A</v>
      </c>
      <c r="H34461" s="4" t="str">
        <v/>
      </c>
      <c r="I34461" s="4" t="str">
        <v/>
      </c>
    </row>
    <row r="34462" spans="5:9" ht="16.5" hidden="1">
      <c r="E34462" s="4" t="str">
        <v/>
      </c>
      <c r="F34462" s="102" t="str">
        <f ca="1">IFERROR(__xludf.DUMMYFUNCTION("IMPORTRANGE(H34462,""IDENTITAS UNIT!D9"")"),"#N/A")</f>
        <v>#N/A</v>
      </c>
      <c r="H34462" s="4" t="str">
        <v/>
      </c>
      <c r="I34462" s="4" t="str">
        <v/>
      </c>
    </row>
    <row r="34463" spans="5:9" ht="16.5" hidden="1">
      <c r="E34463" s="4" t="str">
        <v/>
      </c>
      <c r="F34463" s="102" t="str">
        <f ca="1">IFERROR(__xludf.DUMMYFUNCTION("IMPORTRANGE(H34463,""IDENTITAS UNIT!D9"")"),"#N/A")</f>
        <v>#N/A</v>
      </c>
      <c r="H34463" s="4" t="str">
        <v/>
      </c>
      <c r="I34463" s="4" t="str">
        <v/>
      </c>
    </row>
    <row r="34464" spans="5:9" ht="16.5" hidden="1">
      <c r="E34464" s="4" t="str">
        <v/>
      </c>
      <c r="F34464" s="102" t="str">
        <f ca="1">IFERROR(__xludf.DUMMYFUNCTION("IMPORTRANGE(H34464,""IDENTITAS UNIT!D9"")"),"#N/A")</f>
        <v>#N/A</v>
      </c>
      <c r="H34464" s="4" t="str">
        <v/>
      </c>
      <c r="I34464" s="4" t="str">
        <v/>
      </c>
    </row>
    <row r="34465" spans="5:9" ht="16.5" hidden="1">
      <c r="E34465" s="4" t="str">
        <v/>
      </c>
      <c r="F34465" s="102" t="str">
        <f ca="1">IFERROR(__xludf.DUMMYFUNCTION("IMPORTRANGE(H34465,""IDENTITAS UNIT!D9"")"),"#N/A")</f>
        <v>#N/A</v>
      </c>
      <c r="H34465" s="4" t="str">
        <v/>
      </c>
      <c r="I34465" s="4" t="str">
        <v/>
      </c>
    </row>
    <row r="34466" spans="5:9" ht="16.5" hidden="1">
      <c r="E34466" s="4" t="str">
        <v/>
      </c>
      <c r="F34466" s="102" t="str">
        <f ca="1">IFERROR(__xludf.DUMMYFUNCTION("IMPORTRANGE(H34466,""IDENTITAS UNIT!D9"")"),"#N/A")</f>
        <v>#N/A</v>
      </c>
      <c r="H34466" s="4" t="str">
        <v/>
      </c>
      <c r="I34466" s="4" t="str">
        <v/>
      </c>
    </row>
    <row r="34467" spans="5:9" ht="16.5" hidden="1">
      <c r="E34467" s="4" t="str">
        <v/>
      </c>
      <c r="F34467" s="102" t="str">
        <f ca="1">IFERROR(__xludf.DUMMYFUNCTION("IMPORTRANGE(H34467,""IDENTITAS UNIT!D9"")"),"#N/A")</f>
        <v>#N/A</v>
      </c>
      <c r="H34467" s="4" t="str">
        <v/>
      </c>
      <c r="I34467" s="4" t="str">
        <v/>
      </c>
    </row>
    <row r="34468" spans="5:9" ht="16.5" hidden="1">
      <c r="E34468" s="4" t="str">
        <v/>
      </c>
      <c r="F34468" s="102" t="str">
        <f ca="1">IFERROR(__xludf.DUMMYFUNCTION("IMPORTRANGE(H34468,""IDENTITAS UNIT!D9"")"),"#N/A")</f>
        <v>#N/A</v>
      </c>
      <c r="H34468" s="4" t="str">
        <v/>
      </c>
      <c r="I34468" s="4" t="str">
        <v/>
      </c>
    </row>
    <row r="34469" spans="5:9" ht="16.5" hidden="1">
      <c r="E34469" s="4" t="str">
        <v/>
      </c>
      <c r="F34469" s="102" t="str">
        <f ca="1">IFERROR(__xludf.DUMMYFUNCTION("IMPORTRANGE(H34469,""IDENTITAS UNIT!D9"")"),"#N/A")</f>
        <v>#N/A</v>
      </c>
      <c r="H34469" s="4" t="str">
        <v/>
      </c>
      <c r="I34469" s="4" t="str">
        <v/>
      </c>
    </row>
    <row r="34470" spans="5:9" ht="16.5" hidden="1">
      <c r="E34470" s="4" t="str">
        <v/>
      </c>
      <c r="F34470" s="102" t="str">
        <f ca="1">IFERROR(__xludf.DUMMYFUNCTION("IMPORTRANGE(H34470,""IDENTITAS UNIT!D9"")"),"#N/A")</f>
        <v>#N/A</v>
      </c>
      <c r="H34470" s="4" t="str">
        <v/>
      </c>
      <c r="I34470" s="4" t="str">
        <v/>
      </c>
    </row>
    <row r="34471" spans="5:9" ht="16.5" hidden="1">
      <c r="E34471" s="4" t="str">
        <v/>
      </c>
      <c r="F34471" s="102" t="str">
        <f ca="1">IFERROR(__xludf.DUMMYFUNCTION("IMPORTRANGE(H34471,""IDENTITAS UNIT!D9"")"),"#N/A")</f>
        <v>#N/A</v>
      </c>
      <c r="H34471" s="4" t="str">
        <v/>
      </c>
      <c r="I34471" s="4" t="str">
        <v/>
      </c>
    </row>
    <row r="34472" spans="5:9" ht="16.5" hidden="1">
      <c r="E34472" s="4" t="str">
        <v/>
      </c>
      <c r="F34472" s="102" t="str">
        <f ca="1">IFERROR(__xludf.DUMMYFUNCTION("IMPORTRANGE(H34472,""IDENTITAS UNIT!D9"")"),"#N/A")</f>
        <v>#N/A</v>
      </c>
      <c r="H34472" s="4" t="str">
        <v/>
      </c>
      <c r="I34472" s="4" t="str">
        <v/>
      </c>
    </row>
    <row r="34473" spans="5:9" ht="16.5" hidden="1">
      <c r="E34473" s="4" t="str">
        <v/>
      </c>
      <c r="F34473" s="102" t="str">
        <f ca="1">IFERROR(__xludf.DUMMYFUNCTION("IMPORTRANGE(H34473,""IDENTITAS UNIT!D9"")"),"#N/A")</f>
        <v>#N/A</v>
      </c>
      <c r="H34473" s="4" t="str">
        <v/>
      </c>
      <c r="I34473" s="4" t="str">
        <v/>
      </c>
    </row>
    <row r="34474" spans="5:9" ht="16.5" hidden="1">
      <c r="E34474" s="4" t="str">
        <v/>
      </c>
      <c r="F34474" s="102" t="str">
        <f ca="1">IFERROR(__xludf.DUMMYFUNCTION("IMPORTRANGE(H34474,""IDENTITAS UNIT!D9"")"),"#N/A")</f>
        <v>#N/A</v>
      </c>
      <c r="H34474" s="4" t="str">
        <v/>
      </c>
      <c r="I34474" s="4" t="str">
        <v/>
      </c>
    </row>
    <row r="34475" spans="5:9" ht="16.5" hidden="1">
      <c r="E34475" s="4" t="str">
        <v/>
      </c>
      <c r="F34475" s="102" t="str">
        <f ca="1">IFERROR(__xludf.DUMMYFUNCTION("IMPORTRANGE(H34475,""IDENTITAS UNIT!D9"")"),"#N/A")</f>
        <v>#N/A</v>
      </c>
      <c r="H34475" s="4" t="str">
        <v/>
      </c>
      <c r="I34475" s="4" t="str">
        <v/>
      </c>
    </row>
    <row r="34476" spans="5:9" ht="16.5" hidden="1">
      <c r="E34476" s="4" t="str">
        <v/>
      </c>
      <c r="F34476" s="102" t="str">
        <f ca="1">IFERROR(__xludf.DUMMYFUNCTION("IMPORTRANGE(H34476,""IDENTITAS UNIT!D9"")"),"#N/A")</f>
        <v>#N/A</v>
      </c>
      <c r="H34476" s="4" t="str">
        <v/>
      </c>
      <c r="I34476" s="4" t="str">
        <v/>
      </c>
    </row>
    <row r="34477" spans="5:9" ht="16.5" hidden="1">
      <c r="E34477" s="4" t="str">
        <v/>
      </c>
      <c r="F34477" s="102" t="str">
        <f ca="1">IFERROR(__xludf.DUMMYFUNCTION("IMPORTRANGE(H34477,""IDENTITAS UNIT!D9"")"),"#N/A")</f>
        <v>#N/A</v>
      </c>
      <c r="H34477" s="4" t="str">
        <v/>
      </c>
      <c r="I34477" s="4" t="str">
        <v/>
      </c>
    </row>
    <row r="34478" spans="5:9" ht="16.5" hidden="1">
      <c r="E34478" s="4" t="str">
        <v/>
      </c>
      <c r="F34478" s="102" t="str">
        <f ca="1">IFERROR(__xludf.DUMMYFUNCTION("IMPORTRANGE(H34478,""IDENTITAS UNIT!D9"")"),"#N/A")</f>
        <v>#N/A</v>
      </c>
      <c r="H34478" s="4" t="str">
        <v/>
      </c>
      <c r="I34478" s="4" t="str">
        <v/>
      </c>
    </row>
    <row r="34479" spans="5:9" ht="16.5" hidden="1">
      <c r="E34479" s="4" t="str">
        <v/>
      </c>
      <c r="F34479" s="102" t="str">
        <f ca="1">IFERROR(__xludf.DUMMYFUNCTION("IMPORTRANGE(H34479,""IDENTITAS UNIT!D9"")"),"#N/A")</f>
        <v>#N/A</v>
      </c>
      <c r="H34479" s="4" t="str">
        <v/>
      </c>
      <c r="I34479" s="4" t="str">
        <v/>
      </c>
    </row>
    <row r="34480" spans="5:9" ht="16.5" hidden="1">
      <c r="E34480" s="4" t="str">
        <v/>
      </c>
      <c r="F34480" s="102" t="str">
        <f ca="1">IFERROR(__xludf.DUMMYFUNCTION("IMPORTRANGE(H34480,""IDENTITAS UNIT!D9"")"),"#N/A")</f>
        <v>#N/A</v>
      </c>
      <c r="H34480" s="4" t="str">
        <v/>
      </c>
      <c r="I34480" s="4" t="str">
        <v/>
      </c>
    </row>
    <row r="34481" spans="5:9" ht="16.5" hidden="1">
      <c r="E34481" s="4" t="str">
        <v/>
      </c>
      <c r="F34481" s="102" t="str">
        <f ca="1">IFERROR(__xludf.DUMMYFUNCTION("IMPORTRANGE(H34481,""IDENTITAS UNIT!D9"")"),"#N/A")</f>
        <v>#N/A</v>
      </c>
      <c r="H34481" s="4" t="str">
        <v/>
      </c>
      <c r="I34481" s="4" t="str">
        <v/>
      </c>
    </row>
    <row r="34482" spans="5:9" ht="16.5" hidden="1">
      <c r="E34482" s="4" t="str">
        <v/>
      </c>
      <c r="F34482" s="102" t="str">
        <f ca="1">IFERROR(__xludf.DUMMYFUNCTION("IMPORTRANGE(H34482,""IDENTITAS UNIT!D9"")"),"#N/A")</f>
        <v>#N/A</v>
      </c>
      <c r="H34482" s="4" t="str">
        <v/>
      </c>
      <c r="I34482" s="4" t="str">
        <v/>
      </c>
    </row>
    <row r="34483" spans="5:9" ht="16.5" hidden="1">
      <c r="E34483" s="4" t="str">
        <v/>
      </c>
      <c r="F34483" s="102" t="str">
        <f ca="1">IFERROR(__xludf.DUMMYFUNCTION("IMPORTRANGE(H34483,""IDENTITAS UNIT!D9"")"),"#N/A")</f>
        <v>#N/A</v>
      </c>
      <c r="H34483" s="4" t="str">
        <v/>
      </c>
      <c r="I34483" s="4" t="str">
        <v/>
      </c>
    </row>
    <row r="34484" spans="5:9" ht="16.5" hidden="1">
      <c r="E34484" s="4" t="str">
        <v/>
      </c>
      <c r="F34484" s="102" t="str">
        <f ca="1">IFERROR(__xludf.DUMMYFUNCTION("IMPORTRANGE(H34484,""IDENTITAS UNIT!D9"")"),"#N/A")</f>
        <v>#N/A</v>
      </c>
      <c r="H34484" s="4" t="str">
        <v/>
      </c>
      <c r="I34484" s="4" t="str">
        <v/>
      </c>
    </row>
    <row r="34485" spans="5:9" ht="16.5" hidden="1">
      <c r="E34485" s="4" t="str">
        <v/>
      </c>
      <c r="F34485" s="102" t="str">
        <f ca="1">IFERROR(__xludf.DUMMYFUNCTION("IMPORTRANGE(H34485,""IDENTITAS UNIT!D9"")"),"#N/A")</f>
        <v>#N/A</v>
      </c>
      <c r="H34485" s="4" t="str">
        <v/>
      </c>
      <c r="I34485" s="4" t="str">
        <v/>
      </c>
    </row>
    <row r="34486" spans="5:9" ht="16.5" hidden="1">
      <c r="E34486" s="4" t="str">
        <v/>
      </c>
      <c r="F34486" s="102" t="str">
        <f ca="1">IFERROR(__xludf.DUMMYFUNCTION("IMPORTRANGE(H34486,""IDENTITAS UNIT!D9"")"),"#N/A")</f>
        <v>#N/A</v>
      </c>
      <c r="H34486" s="4" t="str">
        <v/>
      </c>
      <c r="I34486" s="4" t="str">
        <v/>
      </c>
    </row>
    <row r="34487" spans="5:9" ht="16.5" hidden="1">
      <c r="E34487" s="4" t="str">
        <v/>
      </c>
      <c r="F34487" s="102" t="str">
        <f ca="1">IFERROR(__xludf.DUMMYFUNCTION("IMPORTRANGE(H34487,""IDENTITAS UNIT!D9"")"),"#N/A")</f>
        <v>#N/A</v>
      </c>
      <c r="H34487" s="4" t="str">
        <v/>
      </c>
      <c r="I34487" s="4" t="str">
        <v/>
      </c>
    </row>
    <row r="34488" spans="5:9" ht="16.5" hidden="1">
      <c r="E34488" s="4" t="str">
        <v/>
      </c>
      <c r="F34488" s="102" t="str">
        <f ca="1">IFERROR(__xludf.DUMMYFUNCTION("IMPORTRANGE(H34488,""IDENTITAS UNIT!D9"")"),"#N/A")</f>
        <v>#N/A</v>
      </c>
      <c r="H34488" s="4" t="str">
        <v/>
      </c>
      <c r="I34488" s="4" t="str">
        <v/>
      </c>
    </row>
    <row r="34489" spans="5:9" ht="16.5" hidden="1">
      <c r="E34489" s="4" t="str">
        <v/>
      </c>
      <c r="F34489" s="102" t="str">
        <f ca="1">IFERROR(__xludf.DUMMYFUNCTION("IMPORTRANGE(H34489,""IDENTITAS UNIT!D9"")"),"#N/A")</f>
        <v>#N/A</v>
      </c>
      <c r="H34489" s="4" t="str">
        <v/>
      </c>
      <c r="I34489" s="4" t="str">
        <v/>
      </c>
    </row>
    <row r="34490" spans="5:9" ht="16.5" hidden="1">
      <c r="E34490" s="4" t="str">
        <v/>
      </c>
      <c r="F34490" s="102" t="str">
        <f ca="1">IFERROR(__xludf.DUMMYFUNCTION("IMPORTRANGE(H34490,""IDENTITAS UNIT!D9"")"),"#N/A")</f>
        <v>#N/A</v>
      </c>
      <c r="H34490" s="4" t="str">
        <v/>
      </c>
      <c r="I34490" s="4" t="str">
        <v/>
      </c>
    </row>
    <row r="34491" spans="5:9" ht="16.5" hidden="1">
      <c r="E34491" s="4" t="str">
        <v/>
      </c>
      <c r="F34491" s="102" t="str">
        <f ca="1">IFERROR(__xludf.DUMMYFUNCTION("IMPORTRANGE(H34491,""IDENTITAS UNIT!D9"")"),"#N/A")</f>
        <v>#N/A</v>
      </c>
      <c r="H34491" s="4" t="str">
        <v/>
      </c>
      <c r="I34491" s="4" t="str">
        <v/>
      </c>
    </row>
    <row r="34492" spans="5:9" ht="16.5" hidden="1">
      <c r="E34492" s="4" t="str">
        <v/>
      </c>
      <c r="F34492" s="102" t="str">
        <f ca="1">IFERROR(__xludf.DUMMYFUNCTION("IMPORTRANGE(H34492,""IDENTITAS UNIT!D9"")"),"#N/A")</f>
        <v>#N/A</v>
      </c>
      <c r="H34492" s="4" t="str">
        <v/>
      </c>
      <c r="I34492" s="4" t="str">
        <v/>
      </c>
    </row>
    <row r="34493" spans="5:9" ht="16.5" hidden="1">
      <c r="E34493" s="4" t="str">
        <v/>
      </c>
      <c r="F34493" s="102" t="str">
        <f ca="1">IFERROR(__xludf.DUMMYFUNCTION("IMPORTRANGE(H34493,""IDENTITAS UNIT!D9"")"),"#N/A")</f>
        <v>#N/A</v>
      </c>
      <c r="H34493" s="4" t="str">
        <v/>
      </c>
      <c r="I34493" s="4" t="str">
        <v/>
      </c>
    </row>
    <row r="34494" spans="5:9" ht="16.5" hidden="1">
      <c r="E34494" s="4" t="str">
        <v/>
      </c>
      <c r="F34494" s="102" t="str">
        <f ca="1">IFERROR(__xludf.DUMMYFUNCTION("IMPORTRANGE(H34494,""IDENTITAS UNIT!D9"")"),"#N/A")</f>
        <v>#N/A</v>
      </c>
      <c r="H34494" s="4" t="str">
        <v/>
      </c>
      <c r="I34494" s="4" t="str">
        <v/>
      </c>
    </row>
    <row r="34495" spans="5:9" ht="16.5" hidden="1">
      <c r="E34495" s="4" t="str">
        <v/>
      </c>
      <c r="F34495" s="102" t="str">
        <f ca="1">IFERROR(__xludf.DUMMYFUNCTION("IMPORTRANGE(H34495,""IDENTITAS UNIT!D9"")"),"#N/A")</f>
        <v>#N/A</v>
      </c>
      <c r="H34495" s="4" t="str">
        <v/>
      </c>
      <c r="I34495" s="4" t="str">
        <v/>
      </c>
    </row>
    <row r="34496" spans="5:9" ht="16.5" hidden="1">
      <c r="E34496" s="4" t="str">
        <v/>
      </c>
      <c r="F34496" s="102" t="str">
        <f ca="1">IFERROR(__xludf.DUMMYFUNCTION("IMPORTRANGE(H34496,""IDENTITAS UNIT!D9"")"),"#N/A")</f>
        <v>#N/A</v>
      </c>
      <c r="H34496" s="4" t="str">
        <v/>
      </c>
      <c r="I34496" s="4" t="str">
        <v/>
      </c>
    </row>
    <row r="34497" spans="5:9" ht="16.5" hidden="1">
      <c r="E34497" s="4" t="str">
        <v/>
      </c>
      <c r="F34497" s="102" t="str">
        <f ca="1">IFERROR(__xludf.DUMMYFUNCTION("IMPORTRANGE(H34497,""IDENTITAS UNIT!D9"")"),"#N/A")</f>
        <v>#N/A</v>
      </c>
      <c r="H34497" s="4" t="str">
        <v/>
      </c>
      <c r="I34497" s="4" t="str">
        <v/>
      </c>
    </row>
    <row r="34498" spans="5:9" ht="16.5" hidden="1">
      <c r="E34498" s="4" t="str">
        <v/>
      </c>
      <c r="F34498" s="102" t="str">
        <f ca="1">IFERROR(__xludf.DUMMYFUNCTION("IMPORTRANGE(H34498,""IDENTITAS UNIT!D9"")"),"#N/A")</f>
        <v>#N/A</v>
      </c>
      <c r="H34498" s="4" t="str">
        <v/>
      </c>
      <c r="I34498" s="4" t="str">
        <v/>
      </c>
    </row>
    <row r="34499" spans="5:9" ht="16.5" hidden="1">
      <c r="E34499" s="4" t="str">
        <v/>
      </c>
      <c r="F34499" s="102" t="str">
        <f ca="1">IFERROR(__xludf.DUMMYFUNCTION("IMPORTRANGE(H34499,""IDENTITAS UNIT!D9"")"),"#N/A")</f>
        <v>#N/A</v>
      </c>
      <c r="H34499" s="4" t="str">
        <v/>
      </c>
      <c r="I34499" s="4" t="str">
        <v/>
      </c>
    </row>
    <row r="34500" spans="5:9" ht="16.5" hidden="1">
      <c r="E34500" s="4" t="str">
        <v/>
      </c>
      <c r="F34500" s="102" t="str">
        <f ca="1">IFERROR(__xludf.DUMMYFUNCTION("IMPORTRANGE(H34500,""IDENTITAS UNIT!D9"")"),"#N/A")</f>
        <v>#N/A</v>
      </c>
      <c r="H34500" s="4" t="str">
        <v/>
      </c>
      <c r="I34500" s="4" t="str">
        <v/>
      </c>
    </row>
    <row r="34501" spans="5:9" ht="16.5" hidden="1">
      <c r="E34501" s="4" t="str">
        <v/>
      </c>
      <c r="F34501" s="102" t="str">
        <f ca="1">IFERROR(__xludf.DUMMYFUNCTION("IMPORTRANGE(H34501,""IDENTITAS UNIT!D9"")"),"#N/A")</f>
        <v>#N/A</v>
      </c>
      <c r="H34501" s="4" t="str">
        <v/>
      </c>
      <c r="I34501" s="4" t="str">
        <v/>
      </c>
    </row>
    <row r="34502" spans="5:9" ht="16.5" hidden="1">
      <c r="E34502" s="4" t="str">
        <v/>
      </c>
      <c r="F34502" s="102" t="str">
        <f ca="1">IFERROR(__xludf.DUMMYFUNCTION("IMPORTRANGE(H34502,""IDENTITAS UNIT!D9"")"),"#N/A")</f>
        <v>#N/A</v>
      </c>
      <c r="H34502" s="4" t="str">
        <v/>
      </c>
      <c r="I34502" s="4" t="str">
        <v/>
      </c>
    </row>
    <row r="34503" spans="5:9" ht="16.5" hidden="1">
      <c r="E34503" s="4" t="str">
        <v/>
      </c>
      <c r="F34503" s="102" t="str">
        <f ca="1">IFERROR(__xludf.DUMMYFUNCTION("IMPORTRANGE(H34503,""IDENTITAS UNIT!D9"")"),"#N/A")</f>
        <v>#N/A</v>
      </c>
      <c r="H34503" s="4" t="str">
        <v/>
      </c>
      <c r="I34503" s="4" t="str">
        <v/>
      </c>
    </row>
    <row r="34504" spans="5:9" ht="16.5" hidden="1">
      <c r="E34504" s="4" t="str">
        <v/>
      </c>
      <c r="F34504" s="102" t="str">
        <f ca="1">IFERROR(__xludf.DUMMYFUNCTION("IMPORTRANGE(H34504,""IDENTITAS UNIT!D9"")"),"#N/A")</f>
        <v>#N/A</v>
      </c>
      <c r="H34504" s="4" t="str">
        <v/>
      </c>
      <c r="I34504" s="4" t="str">
        <v/>
      </c>
    </row>
    <row r="34505" spans="5:9" ht="16.5" hidden="1">
      <c r="E34505" s="4" t="str">
        <v/>
      </c>
      <c r="F34505" s="102" t="str">
        <f ca="1">IFERROR(__xludf.DUMMYFUNCTION("IMPORTRANGE(H34505,""IDENTITAS UNIT!D9"")"),"#N/A")</f>
        <v>#N/A</v>
      </c>
      <c r="H34505" s="4" t="str">
        <v/>
      </c>
      <c r="I34505" s="4" t="str">
        <v/>
      </c>
    </row>
    <row r="34506" spans="5:9" ht="16.5" hidden="1">
      <c r="E34506" s="4" t="str">
        <v/>
      </c>
      <c r="F34506" s="102" t="str">
        <f ca="1">IFERROR(__xludf.DUMMYFUNCTION("IMPORTRANGE(H34506,""IDENTITAS UNIT!D9"")"),"#N/A")</f>
        <v>#N/A</v>
      </c>
      <c r="H34506" s="4" t="str">
        <v/>
      </c>
      <c r="I34506" s="4" t="str">
        <v/>
      </c>
    </row>
    <row r="34507" spans="5:9" ht="16.5" hidden="1">
      <c r="E34507" s="4" t="str">
        <v/>
      </c>
      <c r="F34507" s="102" t="str">
        <f ca="1">IFERROR(__xludf.DUMMYFUNCTION("IMPORTRANGE(H34507,""IDENTITAS UNIT!D9"")"),"#N/A")</f>
        <v>#N/A</v>
      </c>
      <c r="H34507" s="4" t="str">
        <v/>
      </c>
      <c r="I34507" s="4" t="str">
        <v/>
      </c>
    </row>
    <row r="34508" spans="5:9" ht="16.5" hidden="1">
      <c r="E34508" s="4" t="str">
        <v/>
      </c>
      <c r="F34508" s="102" t="str">
        <f ca="1">IFERROR(__xludf.DUMMYFUNCTION("IMPORTRANGE(H34508,""IDENTITAS UNIT!D9"")"),"#N/A")</f>
        <v>#N/A</v>
      </c>
      <c r="H34508" s="4" t="str">
        <v/>
      </c>
      <c r="I34508" s="4" t="str">
        <v/>
      </c>
    </row>
    <row r="34509" spans="5:9" ht="16.5" hidden="1">
      <c r="E34509" s="4" t="str">
        <v/>
      </c>
      <c r="F34509" s="102" t="str">
        <f ca="1">IFERROR(__xludf.DUMMYFUNCTION("IMPORTRANGE(H34509,""IDENTITAS UNIT!D9"")"),"#N/A")</f>
        <v>#N/A</v>
      </c>
      <c r="H34509" s="4" t="str">
        <v/>
      </c>
      <c r="I34509" s="4" t="str">
        <v/>
      </c>
    </row>
    <row r="34510" spans="5:9" ht="16.5" hidden="1">
      <c r="E34510" s="4" t="str">
        <v/>
      </c>
      <c r="F34510" s="102" t="str">
        <f ca="1">IFERROR(__xludf.DUMMYFUNCTION("IMPORTRANGE(H34510,""IDENTITAS UNIT!D9"")"),"#N/A")</f>
        <v>#N/A</v>
      </c>
      <c r="H34510" s="4" t="str">
        <v/>
      </c>
      <c r="I34510" s="4" t="str">
        <v/>
      </c>
    </row>
    <row r="34511" spans="5:9" ht="16.5" hidden="1">
      <c r="E34511" s="4" t="str">
        <v/>
      </c>
      <c r="F34511" s="102" t="str">
        <f ca="1">IFERROR(__xludf.DUMMYFUNCTION("IMPORTRANGE(H34511,""IDENTITAS UNIT!D9"")"),"#N/A")</f>
        <v>#N/A</v>
      </c>
      <c r="H34511" s="4" t="str">
        <v/>
      </c>
      <c r="I34511" s="4" t="str">
        <v/>
      </c>
    </row>
    <row r="34512" spans="5:9" ht="16.5" hidden="1">
      <c r="E34512" s="4" t="str">
        <v/>
      </c>
      <c r="F34512" s="102" t="str">
        <f ca="1">IFERROR(__xludf.DUMMYFUNCTION("IMPORTRANGE(H34512,""IDENTITAS UNIT!D9"")"),"#N/A")</f>
        <v>#N/A</v>
      </c>
      <c r="H34512" s="4" t="str">
        <v/>
      </c>
      <c r="I34512" s="4" t="str">
        <v/>
      </c>
    </row>
    <row r="34513" spans="5:9" ht="16.5" hidden="1">
      <c r="E34513" s="4" t="str">
        <v/>
      </c>
      <c r="F34513" s="102" t="str">
        <f ca="1">IFERROR(__xludf.DUMMYFUNCTION("IMPORTRANGE(H34513,""IDENTITAS UNIT!D9"")"),"#N/A")</f>
        <v>#N/A</v>
      </c>
      <c r="H34513" s="4" t="str">
        <v/>
      </c>
      <c r="I34513" s="4" t="str">
        <v/>
      </c>
    </row>
    <row r="34514" spans="5:9" ht="16.5" hidden="1">
      <c r="E34514" s="4" t="str">
        <v/>
      </c>
      <c r="F34514" s="102" t="str">
        <f ca="1">IFERROR(__xludf.DUMMYFUNCTION("IMPORTRANGE(H34514,""IDENTITAS UNIT!D9"")"),"#N/A")</f>
        <v>#N/A</v>
      </c>
      <c r="H34514" s="4" t="str">
        <v/>
      </c>
      <c r="I34514" s="4" t="str">
        <v/>
      </c>
    </row>
    <row r="34515" spans="5:9" ht="16.5" hidden="1">
      <c r="E34515" s="4" t="str">
        <v/>
      </c>
      <c r="F34515" s="102" t="str">
        <f ca="1">IFERROR(__xludf.DUMMYFUNCTION("IMPORTRANGE(H34515,""IDENTITAS UNIT!D9"")"),"#N/A")</f>
        <v>#N/A</v>
      </c>
      <c r="H34515" s="4" t="str">
        <v/>
      </c>
      <c r="I34515" s="4" t="str">
        <v/>
      </c>
    </row>
    <row r="34516" spans="5:9" ht="16.5" hidden="1">
      <c r="E34516" s="4" t="str">
        <v/>
      </c>
      <c r="F34516" s="102" t="str">
        <f ca="1">IFERROR(__xludf.DUMMYFUNCTION("IMPORTRANGE(H34516,""IDENTITAS UNIT!D9"")"),"#N/A")</f>
        <v>#N/A</v>
      </c>
      <c r="H34516" s="4" t="str">
        <v/>
      </c>
      <c r="I34516" s="4" t="str">
        <v/>
      </c>
    </row>
    <row r="34517" spans="5:9" ht="16.5" hidden="1">
      <c r="E34517" s="4" t="str">
        <v/>
      </c>
      <c r="F34517" s="102" t="str">
        <f ca="1">IFERROR(__xludf.DUMMYFUNCTION("IMPORTRANGE(H34517,""IDENTITAS UNIT!D9"")"),"#N/A")</f>
        <v>#N/A</v>
      </c>
      <c r="H34517" s="4" t="str">
        <v/>
      </c>
      <c r="I34517" s="4" t="str">
        <v/>
      </c>
    </row>
    <row r="34518" spans="5:9" ht="16.5" hidden="1">
      <c r="E34518" s="4" t="str">
        <v/>
      </c>
      <c r="F34518" s="102" t="str">
        <f ca="1">IFERROR(__xludf.DUMMYFUNCTION("IMPORTRANGE(H34518,""IDENTITAS UNIT!D9"")"),"#N/A")</f>
        <v>#N/A</v>
      </c>
      <c r="H34518" s="4" t="str">
        <v/>
      </c>
      <c r="I34518" s="4" t="str">
        <v/>
      </c>
    </row>
    <row r="34519" spans="5:9" ht="16.5" hidden="1">
      <c r="E34519" s="4" t="str">
        <v/>
      </c>
      <c r="F34519" s="102" t="str">
        <f ca="1">IFERROR(__xludf.DUMMYFUNCTION("IMPORTRANGE(H34519,""IDENTITAS UNIT!D9"")"),"#N/A")</f>
        <v>#N/A</v>
      </c>
      <c r="H34519" s="4" t="str">
        <v/>
      </c>
      <c r="I34519" s="4" t="str">
        <v/>
      </c>
    </row>
    <row r="34520" spans="5:9" ht="16.5" hidden="1">
      <c r="E34520" s="4" t="str">
        <v/>
      </c>
      <c r="F34520" s="102" t="str">
        <f ca="1">IFERROR(__xludf.DUMMYFUNCTION("IMPORTRANGE(H34520,""IDENTITAS UNIT!D9"")"),"#N/A")</f>
        <v>#N/A</v>
      </c>
      <c r="H34520" s="4" t="str">
        <v/>
      </c>
      <c r="I34520" s="4" t="str">
        <v/>
      </c>
    </row>
    <row r="34521" spans="5:9" ht="16.5" hidden="1">
      <c r="E34521" s="4" t="str">
        <v/>
      </c>
      <c r="F34521" s="102" t="str">
        <f ca="1">IFERROR(__xludf.DUMMYFUNCTION("IMPORTRANGE(H34521,""IDENTITAS UNIT!D9"")"),"#N/A")</f>
        <v>#N/A</v>
      </c>
      <c r="H34521" s="4" t="str">
        <v/>
      </c>
      <c r="I34521" s="4" t="str">
        <v/>
      </c>
    </row>
    <row r="34522" spans="5:9" ht="16.5" hidden="1">
      <c r="E34522" s="4" t="str">
        <v/>
      </c>
      <c r="F34522" s="102" t="str">
        <f ca="1">IFERROR(__xludf.DUMMYFUNCTION("IMPORTRANGE(H34522,""IDENTITAS UNIT!D9"")"),"#N/A")</f>
        <v>#N/A</v>
      </c>
      <c r="H34522" s="4" t="str">
        <v/>
      </c>
      <c r="I34522" s="4" t="str">
        <v/>
      </c>
    </row>
    <row r="34523" spans="5:9" ht="16.5" hidden="1">
      <c r="E34523" s="4" t="str">
        <v/>
      </c>
      <c r="F34523" s="102" t="str">
        <f ca="1">IFERROR(__xludf.DUMMYFUNCTION("IMPORTRANGE(H34523,""IDENTITAS UNIT!D9"")"),"#N/A")</f>
        <v>#N/A</v>
      </c>
      <c r="H34523" s="4" t="str">
        <v/>
      </c>
      <c r="I34523" s="4" t="str">
        <v/>
      </c>
    </row>
    <row r="34524" spans="5:9" ht="16.5" hidden="1">
      <c r="E34524" s="4" t="str">
        <v/>
      </c>
      <c r="F34524" s="102" t="str">
        <f ca="1">IFERROR(__xludf.DUMMYFUNCTION("IMPORTRANGE(H34524,""IDENTITAS UNIT!D9"")"),"#N/A")</f>
        <v>#N/A</v>
      </c>
      <c r="H34524" s="4" t="str">
        <v/>
      </c>
      <c r="I34524" s="4" t="str">
        <v/>
      </c>
    </row>
    <row r="34525" spans="5:9" ht="16.5" hidden="1">
      <c r="E34525" s="4" t="str">
        <v/>
      </c>
      <c r="F34525" s="102" t="str">
        <f ca="1">IFERROR(__xludf.DUMMYFUNCTION("IMPORTRANGE(H34525,""IDENTITAS UNIT!D9"")"),"#N/A")</f>
        <v>#N/A</v>
      </c>
      <c r="H34525" s="4" t="str">
        <v/>
      </c>
      <c r="I34525" s="4" t="str">
        <v/>
      </c>
    </row>
    <row r="34526" spans="5:9" ht="16.5" hidden="1">
      <c r="E34526" s="4" t="str">
        <v/>
      </c>
      <c r="F34526" s="102" t="str">
        <f ca="1">IFERROR(__xludf.DUMMYFUNCTION("IMPORTRANGE(H34526,""IDENTITAS UNIT!D9"")"),"#N/A")</f>
        <v>#N/A</v>
      </c>
      <c r="H34526" s="4" t="str">
        <v/>
      </c>
      <c r="I34526" s="4" t="str">
        <v/>
      </c>
    </row>
    <row r="34527" spans="5:9" ht="16.5" hidden="1">
      <c r="E34527" s="4" t="str">
        <v/>
      </c>
      <c r="F34527" s="102" t="str">
        <f ca="1">IFERROR(__xludf.DUMMYFUNCTION("IMPORTRANGE(H34527,""IDENTITAS UNIT!D9"")"),"#N/A")</f>
        <v>#N/A</v>
      </c>
      <c r="H34527" s="4" t="str">
        <v/>
      </c>
      <c r="I34527" s="4" t="str">
        <v/>
      </c>
    </row>
    <row r="34528" spans="5:9" ht="16.5" hidden="1">
      <c r="E34528" s="4" t="str">
        <v/>
      </c>
      <c r="F34528" s="102" t="str">
        <f ca="1">IFERROR(__xludf.DUMMYFUNCTION("IMPORTRANGE(H34528,""IDENTITAS UNIT!D9"")"),"#N/A")</f>
        <v>#N/A</v>
      </c>
      <c r="H34528" s="4" t="str">
        <v/>
      </c>
      <c r="I34528" s="4" t="str">
        <v/>
      </c>
    </row>
    <row r="34529" spans="5:9" ht="16.5" hidden="1">
      <c r="E34529" s="4" t="str">
        <v/>
      </c>
      <c r="F34529" s="102" t="str">
        <f ca="1">IFERROR(__xludf.DUMMYFUNCTION("IMPORTRANGE(H34529,""IDENTITAS UNIT!D9"")"),"#N/A")</f>
        <v>#N/A</v>
      </c>
      <c r="H34529" s="4" t="str">
        <v/>
      </c>
      <c r="I34529" s="4" t="str">
        <v/>
      </c>
    </row>
    <row r="34530" spans="5:9" ht="16.5" hidden="1">
      <c r="E34530" s="4" t="str">
        <v/>
      </c>
      <c r="F34530" s="102" t="str">
        <f ca="1">IFERROR(__xludf.DUMMYFUNCTION("IMPORTRANGE(H34530,""IDENTITAS UNIT!D9"")"),"#N/A")</f>
        <v>#N/A</v>
      </c>
      <c r="H34530" s="4" t="str">
        <v/>
      </c>
      <c r="I34530" s="4" t="str">
        <v/>
      </c>
    </row>
    <row r="34531" spans="5:9" ht="16.5" hidden="1">
      <c r="E34531" s="4" t="str">
        <v/>
      </c>
      <c r="F34531" s="102" t="str">
        <f ca="1">IFERROR(__xludf.DUMMYFUNCTION("IMPORTRANGE(H34531,""IDENTITAS UNIT!D9"")"),"#N/A")</f>
        <v>#N/A</v>
      </c>
      <c r="H34531" s="4" t="str">
        <v/>
      </c>
      <c r="I34531" s="4" t="str">
        <v/>
      </c>
    </row>
    <row r="34532" spans="5:9" ht="16.5" hidden="1">
      <c r="E34532" s="4" t="str">
        <v/>
      </c>
      <c r="F34532" s="102" t="str">
        <f ca="1">IFERROR(__xludf.DUMMYFUNCTION("IMPORTRANGE(H34532,""IDENTITAS UNIT!D9"")"),"#N/A")</f>
        <v>#N/A</v>
      </c>
      <c r="H34532" s="4" t="str">
        <v/>
      </c>
      <c r="I34532" s="4" t="str">
        <v/>
      </c>
    </row>
    <row r="34533" spans="5:9" ht="16.5" hidden="1">
      <c r="E34533" s="4" t="str">
        <v/>
      </c>
      <c r="F34533" s="102" t="str">
        <f ca="1">IFERROR(__xludf.DUMMYFUNCTION("IMPORTRANGE(H34533,""IDENTITAS UNIT!D9"")"),"#N/A")</f>
        <v>#N/A</v>
      </c>
      <c r="H34533" s="4" t="str">
        <v/>
      </c>
      <c r="I34533" s="4" t="str">
        <v/>
      </c>
    </row>
    <row r="34534" spans="5:9" ht="16.5" hidden="1">
      <c r="E34534" s="4" t="str">
        <v/>
      </c>
      <c r="F34534" s="102" t="str">
        <f ca="1">IFERROR(__xludf.DUMMYFUNCTION("IMPORTRANGE(H34534,""IDENTITAS UNIT!D9"")"),"#N/A")</f>
        <v>#N/A</v>
      </c>
      <c r="H34534" s="4" t="str">
        <v/>
      </c>
      <c r="I34534" s="4" t="str">
        <v/>
      </c>
    </row>
    <row r="34535" spans="5:9" ht="16.5" hidden="1">
      <c r="E34535" s="4" t="str">
        <v/>
      </c>
      <c r="F34535" s="102" t="str">
        <f ca="1">IFERROR(__xludf.DUMMYFUNCTION("IMPORTRANGE(H34535,""IDENTITAS UNIT!D9"")"),"#N/A")</f>
        <v>#N/A</v>
      </c>
      <c r="H34535" s="4" t="str">
        <v/>
      </c>
      <c r="I34535" s="4" t="str">
        <v/>
      </c>
    </row>
    <row r="34536" spans="5:9" ht="16.5" hidden="1">
      <c r="E34536" s="4" t="str">
        <v/>
      </c>
      <c r="F34536" s="102" t="str">
        <f ca="1">IFERROR(__xludf.DUMMYFUNCTION("IMPORTRANGE(H34536,""IDENTITAS UNIT!D9"")"),"#N/A")</f>
        <v>#N/A</v>
      </c>
      <c r="H34536" s="4" t="str">
        <v/>
      </c>
      <c r="I34536" s="4" t="str">
        <v/>
      </c>
    </row>
    <row r="34537" spans="5:9" ht="16.5" hidden="1">
      <c r="E34537" s="4" t="str">
        <v/>
      </c>
      <c r="F34537" s="102" t="str">
        <f ca="1">IFERROR(__xludf.DUMMYFUNCTION("IMPORTRANGE(H34537,""IDENTITAS UNIT!D9"")"),"#N/A")</f>
        <v>#N/A</v>
      </c>
      <c r="H34537" s="4" t="str">
        <v/>
      </c>
      <c r="I34537" s="4" t="str">
        <v/>
      </c>
    </row>
    <row r="34538" spans="5:9" ht="16.5" hidden="1">
      <c r="E34538" s="4" t="str">
        <v/>
      </c>
      <c r="F34538" s="102" t="str">
        <f ca="1">IFERROR(__xludf.DUMMYFUNCTION("IMPORTRANGE(H34538,""IDENTITAS UNIT!D9"")"),"#N/A")</f>
        <v>#N/A</v>
      </c>
      <c r="H34538" s="4" t="str">
        <v/>
      </c>
      <c r="I34538" s="4" t="str">
        <v/>
      </c>
    </row>
    <row r="34539" spans="5:9" ht="16.5" hidden="1">
      <c r="E34539" s="4" t="str">
        <v/>
      </c>
      <c r="F34539" s="102" t="str">
        <f ca="1">IFERROR(__xludf.DUMMYFUNCTION("IMPORTRANGE(H34539,""IDENTITAS UNIT!D9"")"),"#N/A")</f>
        <v>#N/A</v>
      </c>
      <c r="H34539" s="4" t="str">
        <v/>
      </c>
      <c r="I34539" s="4" t="str">
        <v/>
      </c>
    </row>
    <row r="34540" spans="5:9" ht="16.5" hidden="1">
      <c r="E34540" s="4" t="str">
        <v/>
      </c>
      <c r="F34540" s="102" t="str">
        <f ca="1">IFERROR(__xludf.DUMMYFUNCTION("IMPORTRANGE(H34540,""IDENTITAS UNIT!D9"")"),"#N/A")</f>
        <v>#N/A</v>
      </c>
      <c r="H34540" s="4" t="str">
        <v/>
      </c>
      <c r="I34540" s="4" t="str">
        <v/>
      </c>
    </row>
    <row r="34541" spans="5:9" ht="16.5" hidden="1">
      <c r="E34541" s="4" t="str">
        <v/>
      </c>
      <c r="F34541" s="102" t="str">
        <f ca="1">IFERROR(__xludf.DUMMYFUNCTION("IMPORTRANGE(H34541,""IDENTITAS UNIT!D9"")"),"#N/A")</f>
        <v>#N/A</v>
      </c>
      <c r="H34541" s="4" t="str">
        <v/>
      </c>
      <c r="I34541" s="4" t="str">
        <v/>
      </c>
    </row>
    <row r="34542" spans="5:9" ht="16.5" hidden="1">
      <c r="E34542" s="4" t="str">
        <v/>
      </c>
      <c r="F34542" s="102" t="str">
        <f ca="1">IFERROR(__xludf.DUMMYFUNCTION("IMPORTRANGE(H34542,""IDENTITAS UNIT!D9"")"),"#N/A")</f>
        <v>#N/A</v>
      </c>
      <c r="H34542" s="4" t="str">
        <v/>
      </c>
      <c r="I34542" s="4" t="str">
        <v/>
      </c>
    </row>
    <row r="34543" spans="5:9" ht="16.5" hidden="1">
      <c r="E34543" s="4" t="str">
        <v/>
      </c>
      <c r="F34543" s="102" t="str">
        <f ca="1">IFERROR(__xludf.DUMMYFUNCTION("IMPORTRANGE(H34543,""IDENTITAS UNIT!D9"")"),"#N/A")</f>
        <v>#N/A</v>
      </c>
      <c r="H34543" s="4" t="str">
        <v/>
      </c>
      <c r="I34543" s="4" t="str">
        <v/>
      </c>
    </row>
    <row r="34544" spans="5:9" ht="16.5" hidden="1">
      <c r="E34544" s="4" t="str">
        <v/>
      </c>
      <c r="F34544" s="102" t="str">
        <f ca="1">IFERROR(__xludf.DUMMYFUNCTION("IMPORTRANGE(H34544,""IDENTITAS UNIT!D9"")"),"#N/A")</f>
        <v>#N/A</v>
      </c>
      <c r="H34544" s="4" t="str">
        <v/>
      </c>
      <c r="I34544" s="4" t="str">
        <v/>
      </c>
    </row>
    <row r="34545" spans="5:9" ht="16.5" hidden="1">
      <c r="E34545" s="4" t="str">
        <v/>
      </c>
      <c r="F34545" s="102" t="str">
        <f ca="1">IFERROR(__xludf.DUMMYFUNCTION("IMPORTRANGE(H34545,""IDENTITAS UNIT!D9"")"),"#N/A")</f>
        <v>#N/A</v>
      </c>
      <c r="H34545" s="4" t="str">
        <v/>
      </c>
      <c r="I34545" s="4" t="str">
        <v/>
      </c>
    </row>
    <row r="34546" spans="5:9" ht="16.5" hidden="1">
      <c r="E34546" s="4" t="str">
        <v/>
      </c>
      <c r="F34546" s="102" t="str">
        <f ca="1">IFERROR(__xludf.DUMMYFUNCTION("IMPORTRANGE(H34546,""IDENTITAS UNIT!D9"")"),"#N/A")</f>
        <v>#N/A</v>
      </c>
      <c r="H34546" s="4" t="str">
        <v/>
      </c>
      <c r="I34546" s="4" t="str">
        <v/>
      </c>
    </row>
    <row r="34547" spans="5:9" ht="16.5" hidden="1">
      <c r="E34547" s="4" t="str">
        <v/>
      </c>
      <c r="F34547" s="102" t="str">
        <f ca="1">IFERROR(__xludf.DUMMYFUNCTION("IMPORTRANGE(H34547,""IDENTITAS UNIT!D9"")"),"#N/A")</f>
        <v>#N/A</v>
      </c>
      <c r="H34547" s="4" t="str">
        <v/>
      </c>
      <c r="I34547" s="4" t="str">
        <v/>
      </c>
    </row>
    <row r="34548" spans="5:9" ht="16.5" hidden="1">
      <c r="E34548" s="4" t="str">
        <v/>
      </c>
      <c r="F34548" s="102" t="str">
        <f ca="1">IFERROR(__xludf.DUMMYFUNCTION("IMPORTRANGE(H34548,""IDENTITAS UNIT!D9"")"),"#N/A")</f>
        <v>#N/A</v>
      </c>
      <c r="H34548" s="4" t="str">
        <v/>
      </c>
      <c r="I34548" s="4" t="str">
        <v/>
      </c>
    </row>
    <row r="34549" spans="5:9" ht="16.5" hidden="1">
      <c r="E34549" s="4" t="str">
        <v/>
      </c>
      <c r="F34549" s="102" t="str">
        <f ca="1">IFERROR(__xludf.DUMMYFUNCTION("IMPORTRANGE(H34549,""IDENTITAS UNIT!D9"")"),"#N/A")</f>
        <v>#N/A</v>
      </c>
      <c r="H34549" s="4" t="str">
        <v/>
      </c>
      <c r="I34549" s="4" t="str">
        <v/>
      </c>
    </row>
    <row r="34550" spans="5:9" ht="16.5" hidden="1">
      <c r="E34550" s="4" t="str">
        <v/>
      </c>
      <c r="F34550" s="102" t="str">
        <f ca="1">IFERROR(__xludf.DUMMYFUNCTION("IMPORTRANGE(H34550,""IDENTITAS UNIT!D9"")"),"#N/A")</f>
        <v>#N/A</v>
      </c>
      <c r="H34550" s="4" t="str">
        <v/>
      </c>
      <c r="I34550" s="4" t="str">
        <v/>
      </c>
    </row>
    <row r="34551" spans="5:9" ht="16.5" hidden="1">
      <c r="E34551" s="4" t="str">
        <v/>
      </c>
      <c r="F34551" s="102" t="str">
        <f ca="1">IFERROR(__xludf.DUMMYFUNCTION("IMPORTRANGE(H34551,""IDENTITAS UNIT!D9"")"),"#N/A")</f>
        <v>#N/A</v>
      </c>
      <c r="H34551" s="4" t="str">
        <v/>
      </c>
      <c r="I34551" s="4" t="str">
        <v/>
      </c>
    </row>
    <row r="34552" spans="5:9" ht="16.5" hidden="1">
      <c r="E34552" s="4" t="str">
        <v/>
      </c>
      <c r="F34552" s="102" t="str">
        <f ca="1">IFERROR(__xludf.DUMMYFUNCTION("IMPORTRANGE(H34552,""IDENTITAS UNIT!D9"")"),"#N/A")</f>
        <v>#N/A</v>
      </c>
      <c r="H34552" s="4" t="str">
        <v/>
      </c>
      <c r="I34552" s="4" t="str">
        <v/>
      </c>
    </row>
    <row r="34553" spans="5:9" ht="16.5" hidden="1">
      <c r="E34553" s="4" t="str">
        <v/>
      </c>
      <c r="F34553" s="102" t="str">
        <f ca="1">IFERROR(__xludf.DUMMYFUNCTION("IMPORTRANGE(H34553,""IDENTITAS UNIT!D9"")"),"#N/A")</f>
        <v>#N/A</v>
      </c>
      <c r="H34553" s="4" t="str">
        <v/>
      </c>
      <c r="I34553" s="4" t="str">
        <v/>
      </c>
    </row>
    <row r="34554" spans="5:9" ht="16.5" hidden="1">
      <c r="E34554" s="4" t="str">
        <v/>
      </c>
      <c r="F34554" s="102" t="str">
        <f ca="1">IFERROR(__xludf.DUMMYFUNCTION("IMPORTRANGE(H34554,""IDENTITAS UNIT!D9"")"),"#N/A")</f>
        <v>#N/A</v>
      </c>
      <c r="H34554" s="4" t="str">
        <v/>
      </c>
      <c r="I34554" s="4" t="str">
        <v/>
      </c>
    </row>
    <row r="34555" spans="5:9" ht="16.5" hidden="1">
      <c r="E34555" s="4" t="str">
        <v/>
      </c>
      <c r="F34555" s="102" t="str">
        <f ca="1">IFERROR(__xludf.DUMMYFUNCTION("IMPORTRANGE(H34555,""IDENTITAS UNIT!D9"")"),"#N/A")</f>
        <v>#N/A</v>
      </c>
      <c r="H34555" s="4" t="str">
        <v/>
      </c>
      <c r="I34555" s="4" t="str">
        <v/>
      </c>
    </row>
    <row r="34556" spans="5:9" ht="16.5" hidden="1">
      <c r="E34556" s="4" t="str">
        <v/>
      </c>
      <c r="F34556" s="102" t="str">
        <f ca="1">IFERROR(__xludf.DUMMYFUNCTION("IMPORTRANGE(H34556,""IDENTITAS UNIT!D9"")"),"#N/A")</f>
        <v>#N/A</v>
      </c>
      <c r="H34556" s="4" t="str">
        <v/>
      </c>
      <c r="I34556" s="4" t="str">
        <v/>
      </c>
    </row>
    <row r="34557" spans="5:9" ht="16.5" hidden="1">
      <c r="E34557" s="4" t="str">
        <v/>
      </c>
      <c r="F34557" s="102" t="str">
        <f ca="1">IFERROR(__xludf.DUMMYFUNCTION("IMPORTRANGE(H34557,""IDENTITAS UNIT!D9"")"),"#N/A")</f>
        <v>#N/A</v>
      </c>
      <c r="H34557" s="4" t="str">
        <v/>
      </c>
      <c r="I34557" s="4" t="str">
        <v/>
      </c>
    </row>
    <row r="34558" spans="5:9" ht="16.5" hidden="1">
      <c r="E34558" s="4" t="str">
        <v/>
      </c>
      <c r="F34558" s="102" t="str">
        <f ca="1">IFERROR(__xludf.DUMMYFUNCTION("IMPORTRANGE(H34558,""IDENTITAS UNIT!D9"")"),"#N/A")</f>
        <v>#N/A</v>
      </c>
      <c r="H34558" s="4" t="str">
        <v/>
      </c>
      <c r="I34558" s="4" t="str">
        <v/>
      </c>
    </row>
    <row r="34559" spans="5:9" ht="16.5" hidden="1">
      <c r="E34559" s="4" t="str">
        <v/>
      </c>
      <c r="F34559" s="102" t="str">
        <f ca="1">IFERROR(__xludf.DUMMYFUNCTION("IMPORTRANGE(H34559,""IDENTITAS UNIT!D9"")"),"#N/A")</f>
        <v>#N/A</v>
      </c>
      <c r="H34559" s="4" t="str">
        <v/>
      </c>
      <c r="I34559" s="4" t="str">
        <v/>
      </c>
    </row>
    <row r="34560" spans="5:9" ht="16.5" hidden="1">
      <c r="E34560" s="4" t="str">
        <v/>
      </c>
      <c r="F34560" s="102" t="str">
        <f ca="1">IFERROR(__xludf.DUMMYFUNCTION("IMPORTRANGE(H34560,""IDENTITAS UNIT!D9"")"),"#N/A")</f>
        <v>#N/A</v>
      </c>
      <c r="H34560" s="4" t="str">
        <v/>
      </c>
      <c r="I34560" s="4" t="str">
        <v/>
      </c>
    </row>
    <row r="34561" spans="5:9" ht="16.5" hidden="1">
      <c r="E34561" s="4" t="str">
        <v/>
      </c>
      <c r="F34561" s="102" t="str">
        <f ca="1">IFERROR(__xludf.DUMMYFUNCTION("IMPORTRANGE(H34561,""IDENTITAS UNIT!D9"")"),"#N/A")</f>
        <v>#N/A</v>
      </c>
      <c r="H34561" s="4" t="str">
        <v/>
      </c>
      <c r="I34561" s="4" t="str">
        <v/>
      </c>
    </row>
    <row r="34562" spans="5:9" ht="16.5" hidden="1">
      <c r="E34562" s="4" t="str">
        <v/>
      </c>
      <c r="F34562" s="102" t="str">
        <f ca="1">IFERROR(__xludf.DUMMYFUNCTION("IMPORTRANGE(H34562,""IDENTITAS UNIT!D9"")"),"#N/A")</f>
        <v>#N/A</v>
      </c>
      <c r="H34562" s="4" t="str">
        <v/>
      </c>
      <c r="I34562" s="4" t="str">
        <v/>
      </c>
    </row>
    <row r="34563" spans="5:9" ht="16.5" hidden="1">
      <c r="E34563" s="4" t="str">
        <v/>
      </c>
      <c r="F34563" s="102" t="str">
        <f ca="1">IFERROR(__xludf.DUMMYFUNCTION("IMPORTRANGE(H34563,""IDENTITAS UNIT!D9"")"),"#N/A")</f>
        <v>#N/A</v>
      </c>
      <c r="H34563" s="4" t="str">
        <v/>
      </c>
      <c r="I34563" s="4" t="str">
        <v/>
      </c>
    </row>
    <row r="34564" spans="5:9" ht="16.5" hidden="1">
      <c r="E34564" s="4" t="str">
        <v/>
      </c>
      <c r="F34564" s="102" t="str">
        <f ca="1">IFERROR(__xludf.DUMMYFUNCTION("IMPORTRANGE(H34564,""IDENTITAS UNIT!D9"")"),"#N/A")</f>
        <v>#N/A</v>
      </c>
      <c r="H34564" s="4" t="str">
        <v/>
      </c>
      <c r="I34564" s="4" t="str">
        <v/>
      </c>
    </row>
    <row r="34565" spans="5:9" ht="16.5" hidden="1">
      <c r="E34565" s="4" t="str">
        <v/>
      </c>
      <c r="F34565" s="102" t="str">
        <f ca="1">IFERROR(__xludf.DUMMYFUNCTION("IMPORTRANGE(H34565,""IDENTITAS UNIT!D9"")"),"#N/A")</f>
        <v>#N/A</v>
      </c>
      <c r="H34565" s="4" t="str">
        <v/>
      </c>
      <c r="I34565" s="4" t="str">
        <v/>
      </c>
    </row>
    <row r="34566" spans="5:9" ht="16.5" hidden="1">
      <c r="E34566" s="4" t="str">
        <v/>
      </c>
      <c r="F34566" s="102" t="str">
        <f ca="1">IFERROR(__xludf.DUMMYFUNCTION("IMPORTRANGE(H34566,""IDENTITAS UNIT!D9"")"),"#N/A")</f>
        <v>#N/A</v>
      </c>
      <c r="H34566" s="4" t="str">
        <v/>
      </c>
      <c r="I34566" s="4" t="str">
        <v/>
      </c>
    </row>
    <row r="34567" spans="5:9" ht="16.5" hidden="1">
      <c r="E34567" s="4" t="str">
        <v/>
      </c>
      <c r="F34567" s="102" t="str">
        <f ca="1">IFERROR(__xludf.DUMMYFUNCTION("IMPORTRANGE(H34567,""IDENTITAS UNIT!D9"")"),"#N/A")</f>
        <v>#N/A</v>
      </c>
      <c r="H34567" s="4" t="str">
        <v/>
      </c>
      <c r="I34567" s="4" t="str">
        <v/>
      </c>
    </row>
    <row r="34568" spans="5:9" ht="16.5" hidden="1">
      <c r="E34568" s="4" t="str">
        <v/>
      </c>
      <c r="F34568" s="102" t="str">
        <f ca="1">IFERROR(__xludf.DUMMYFUNCTION("IMPORTRANGE(H34568,""IDENTITAS UNIT!D9"")"),"#N/A")</f>
        <v>#N/A</v>
      </c>
      <c r="H34568" s="4" t="str">
        <v/>
      </c>
      <c r="I34568" s="4" t="str">
        <v/>
      </c>
    </row>
    <row r="34569" spans="5:9" ht="16.5" hidden="1">
      <c r="E34569" s="4" t="str">
        <v/>
      </c>
      <c r="F34569" s="102" t="str">
        <f ca="1">IFERROR(__xludf.DUMMYFUNCTION("IMPORTRANGE(H34569,""IDENTITAS UNIT!D9"")"),"#N/A")</f>
        <v>#N/A</v>
      </c>
      <c r="H34569" s="4" t="str">
        <v/>
      </c>
      <c r="I34569" s="4" t="str">
        <v/>
      </c>
    </row>
    <row r="34570" spans="5:9" ht="16.5" hidden="1">
      <c r="E34570" s="4" t="str">
        <v/>
      </c>
      <c r="F34570" s="102" t="str">
        <f ca="1">IFERROR(__xludf.DUMMYFUNCTION("IMPORTRANGE(H34570,""IDENTITAS UNIT!D9"")"),"#N/A")</f>
        <v>#N/A</v>
      </c>
      <c r="H34570" s="4" t="str">
        <v/>
      </c>
      <c r="I34570" s="4" t="str">
        <v/>
      </c>
    </row>
    <row r="34571" spans="5:9" ht="16.5" hidden="1">
      <c r="E34571" s="4" t="str">
        <v/>
      </c>
      <c r="F34571" s="102" t="str">
        <f ca="1">IFERROR(__xludf.DUMMYFUNCTION("IMPORTRANGE(H34571,""IDENTITAS UNIT!D9"")"),"#N/A")</f>
        <v>#N/A</v>
      </c>
      <c r="H34571" s="4" t="str">
        <v/>
      </c>
      <c r="I34571" s="4" t="str">
        <v/>
      </c>
    </row>
    <row r="34572" spans="5:9" ht="16.5" hidden="1">
      <c r="E34572" s="4" t="str">
        <v/>
      </c>
      <c r="F34572" s="102" t="str">
        <f ca="1">IFERROR(__xludf.DUMMYFUNCTION("IMPORTRANGE(H34572,""IDENTITAS UNIT!D9"")"),"#N/A")</f>
        <v>#N/A</v>
      </c>
      <c r="H34572" s="4" t="str">
        <v/>
      </c>
      <c r="I34572" s="4" t="str">
        <v/>
      </c>
    </row>
    <row r="34573" spans="5:9" ht="16.5" hidden="1">
      <c r="E34573" s="4" t="str">
        <v/>
      </c>
      <c r="F34573" s="102" t="str">
        <f ca="1">IFERROR(__xludf.DUMMYFUNCTION("IMPORTRANGE(H34573,""IDENTITAS UNIT!D9"")"),"#N/A")</f>
        <v>#N/A</v>
      </c>
      <c r="H34573" s="4" t="str">
        <v/>
      </c>
      <c r="I34573" s="4" t="str">
        <v/>
      </c>
    </row>
    <row r="34574" spans="5:9" ht="16.5" hidden="1">
      <c r="E34574" s="4" t="str">
        <v/>
      </c>
      <c r="F34574" s="102" t="str">
        <f ca="1">IFERROR(__xludf.DUMMYFUNCTION("IMPORTRANGE(H34574,""IDENTITAS UNIT!D9"")"),"#N/A")</f>
        <v>#N/A</v>
      </c>
      <c r="H34574" s="4" t="str">
        <v/>
      </c>
      <c r="I34574" s="4" t="str">
        <v/>
      </c>
    </row>
    <row r="34575" spans="5:9" ht="16.5" hidden="1">
      <c r="E34575" s="4" t="str">
        <v/>
      </c>
      <c r="F34575" s="102" t="str">
        <f ca="1">IFERROR(__xludf.DUMMYFUNCTION("IMPORTRANGE(H34575,""IDENTITAS UNIT!D9"")"),"#N/A")</f>
        <v>#N/A</v>
      </c>
      <c r="H34575" s="4" t="str">
        <v/>
      </c>
      <c r="I34575" s="4" t="str">
        <v/>
      </c>
    </row>
    <row r="34576" spans="5:9" ht="16.5" hidden="1">
      <c r="E34576" s="4" t="str">
        <v/>
      </c>
      <c r="F34576" s="102" t="str">
        <f ca="1">IFERROR(__xludf.DUMMYFUNCTION("IMPORTRANGE(H34576,""IDENTITAS UNIT!D9"")"),"#N/A")</f>
        <v>#N/A</v>
      </c>
      <c r="H34576" s="4" t="str">
        <v/>
      </c>
      <c r="I34576" s="4" t="str">
        <v/>
      </c>
    </row>
    <row r="34577" spans="5:9" ht="16.5" hidden="1">
      <c r="E34577" s="4" t="str">
        <v/>
      </c>
      <c r="F34577" s="102" t="str">
        <f ca="1">IFERROR(__xludf.DUMMYFUNCTION("IMPORTRANGE(H34577,""IDENTITAS UNIT!D9"")"),"#N/A")</f>
        <v>#N/A</v>
      </c>
      <c r="H34577" s="4" t="str">
        <v/>
      </c>
      <c r="I34577" s="4" t="str">
        <v/>
      </c>
    </row>
    <row r="34578" spans="5:9" ht="16.5" hidden="1">
      <c r="E34578" s="4" t="str">
        <v/>
      </c>
      <c r="F34578" s="102" t="str">
        <f ca="1">IFERROR(__xludf.DUMMYFUNCTION("IMPORTRANGE(H34578,""IDENTITAS UNIT!D9"")"),"#N/A")</f>
        <v>#N/A</v>
      </c>
      <c r="H34578" s="4" t="str">
        <v/>
      </c>
      <c r="I34578" s="4" t="str">
        <v/>
      </c>
    </row>
    <row r="34579" spans="5:9" ht="16.5" hidden="1">
      <c r="E34579" s="4" t="str">
        <v/>
      </c>
      <c r="F34579" s="102" t="str">
        <f ca="1">IFERROR(__xludf.DUMMYFUNCTION("IMPORTRANGE(H34579,""IDENTITAS UNIT!D9"")"),"#N/A")</f>
        <v>#N/A</v>
      </c>
      <c r="H34579" s="4" t="str">
        <v/>
      </c>
      <c r="I34579" s="4" t="str">
        <v/>
      </c>
    </row>
    <row r="34580" spans="5:9" ht="16.5" hidden="1">
      <c r="E34580" s="4" t="str">
        <v/>
      </c>
      <c r="F34580" s="102" t="str">
        <f ca="1">IFERROR(__xludf.DUMMYFUNCTION("IMPORTRANGE(H34580,""IDENTITAS UNIT!D9"")"),"#N/A")</f>
        <v>#N/A</v>
      </c>
      <c r="H34580" s="4" t="str">
        <v/>
      </c>
      <c r="I34580" s="4" t="str">
        <v/>
      </c>
    </row>
    <row r="34581" spans="5:9" ht="16.5" hidden="1">
      <c r="E34581" s="4" t="str">
        <v/>
      </c>
      <c r="F34581" s="102" t="str">
        <f ca="1">IFERROR(__xludf.DUMMYFUNCTION("IMPORTRANGE(H34581,""IDENTITAS UNIT!D9"")"),"#N/A")</f>
        <v>#N/A</v>
      </c>
      <c r="H34581" s="4" t="str">
        <v/>
      </c>
      <c r="I34581" s="4" t="str">
        <v/>
      </c>
    </row>
    <row r="34582" spans="5:9" ht="16.5" hidden="1">
      <c r="E34582" s="4" t="str">
        <v/>
      </c>
      <c r="F34582" s="102" t="str">
        <f ca="1">IFERROR(__xludf.DUMMYFUNCTION("IMPORTRANGE(H34582,""IDENTITAS UNIT!D9"")"),"#N/A")</f>
        <v>#N/A</v>
      </c>
      <c r="H34582" s="4" t="str">
        <v/>
      </c>
      <c r="I34582" s="4" t="str">
        <v/>
      </c>
    </row>
    <row r="34583" spans="5:9" ht="16.5" hidden="1">
      <c r="E34583" s="4" t="str">
        <v/>
      </c>
      <c r="F34583" s="102" t="str">
        <f ca="1">IFERROR(__xludf.DUMMYFUNCTION("IMPORTRANGE(H34583,""IDENTITAS UNIT!D9"")"),"#N/A")</f>
        <v>#N/A</v>
      </c>
      <c r="H34583" s="4" t="str">
        <v/>
      </c>
      <c r="I34583" s="4" t="str">
        <v/>
      </c>
    </row>
    <row r="34584" spans="5:9" ht="16.5" hidden="1">
      <c r="E34584" s="4" t="str">
        <v/>
      </c>
      <c r="F34584" s="102" t="str">
        <f ca="1">IFERROR(__xludf.DUMMYFUNCTION("IMPORTRANGE(H34584,""IDENTITAS UNIT!D9"")"),"#N/A")</f>
        <v>#N/A</v>
      </c>
      <c r="H34584" s="4" t="str">
        <v/>
      </c>
      <c r="I34584" s="4" t="str">
        <v/>
      </c>
    </row>
    <row r="34585" spans="5:9" ht="16.5" hidden="1">
      <c r="E34585" s="4" t="str">
        <v/>
      </c>
      <c r="F34585" s="102" t="str">
        <f ca="1">IFERROR(__xludf.DUMMYFUNCTION("IMPORTRANGE(H34585,""IDENTITAS UNIT!D9"")"),"#N/A")</f>
        <v>#N/A</v>
      </c>
      <c r="H34585" s="4" t="str">
        <v/>
      </c>
      <c r="I34585" s="4" t="str">
        <v/>
      </c>
    </row>
    <row r="34586" spans="5:9" ht="16.5" hidden="1">
      <c r="E34586" s="4" t="str">
        <v/>
      </c>
      <c r="F34586" s="102" t="str">
        <f ca="1">IFERROR(__xludf.DUMMYFUNCTION("IMPORTRANGE(H34586,""IDENTITAS UNIT!D9"")"),"#N/A")</f>
        <v>#N/A</v>
      </c>
      <c r="H34586" s="4" t="str">
        <v/>
      </c>
      <c r="I34586" s="4" t="str">
        <v/>
      </c>
    </row>
    <row r="34587" spans="5:9" ht="16.5" hidden="1">
      <c r="E34587" s="4" t="str">
        <v/>
      </c>
      <c r="F34587" s="102" t="str">
        <f ca="1">IFERROR(__xludf.DUMMYFUNCTION("IMPORTRANGE(H34587,""IDENTITAS UNIT!D9"")"),"#N/A")</f>
        <v>#N/A</v>
      </c>
      <c r="H34587" s="4" t="str">
        <v/>
      </c>
      <c r="I34587" s="4" t="str">
        <v/>
      </c>
    </row>
    <row r="34588" spans="5:9" ht="16.5" hidden="1">
      <c r="E34588" s="4" t="str">
        <v/>
      </c>
      <c r="F34588" s="102" t="str">
        <f ca="1">IFERROR(__xludf.DUMMYFUNCTION("IMPORTRANGE(H34588,""IDENTITAS UNIT!D9"")"),"#N/A")</f>
        <v>#N/A</v>
      </c>
      <c r="H34588" s="4" t="str">
        <v/>
      </c>
      <c r="I34588" s="4" t="str">
        <v/>
      </c>
    </row>
    <row r="34589" spans="5:9" ht="16.5" hidden="1">
      <c r="E34589" s="4" t="str">
        <v/>
      </c>
      <c r="F34589" s="102" t="str">
        <f ca="1">IFERROR(__xludf.DUMMYFUNCTION("IMPORTRANGE(H34589,""IDENTITAS UNIT!D9"")"),"#N/A")</f>
        <v>#N/A</v>
      </c>
      <c r="H34589" s="4" t="str">
        <v/>
      </c>
      <c r="I34589" s="4" t="str">
        <v/>
      </c>
    </row>
    <row r="34590" spans="5:9" ht="16.5" hidden="1">
      <c r="E34590" s="4" t="str">
        <v/>
      </c>
      <c r="F34590" s="102" t="str">
        <f ca="1">IFERROR(__xludf.DUMMYFUNCTION("IMPORTRANGE(H34590,""IDENTITAS UNIT!D9"")"),"#N/A")</f>
        <v>#N/A</v>
      </c>
      <c r="H34590" s="4" t="str">
        <v/>
      </c>
      <c r="I34590" s="4" t="str">
        <v/>
      </c>
    </row>
    <row r="34591" spans="5:9" ht="16.5" hidden="1">
      <c r="E34591" s="4" t="str">
        <v/>
      </c>
      <c r="F34591" s="102" t="str">
        <f ca="1">IFERROR(__xludf.DUMMYFUNCTION("IMPORTRANGE(H34591,""IDENTITAS UNIT!D9"")"),"#N/A")</f>
        <v>#N/A</v>
      </c>
      <c r="H34591" s="4" t="str">
        <v/>
      </c>
      <c r="I34591" s="4" t="str">
        <v/>
      </c>
    </row>
    <row r="34592" spans="5:9" ht="16.5" hidden="1">
      <c r="E34592" s="4" t="str">
        <v/>
      </c>
      <c r="F34592" s="102" t="str">
        <f ca="1">IFERROR(__xludf.DUMMYFUNCTION("IMPORTRANGE(H34592,""IDENTITAS UNIT!D9"")"),"#N/A")</f>
        <v>#N/A</v>
      </c>
      <c r="H34592" s="4" t="str">
        <v/>
      </c>
      <c r="I34592" s="4" t="str">
        <v/>
      </c>
    </row>
    <row r="34593" spans="5:9" ht="16.5" hidden="1">
      <c r="E34593" s="4" t="str">
        <v/>
      </c>
      <c r="F34593" s="102" t="str">
        <f ca="1">IFERROR(__xludf.DUMMYFUNCTION("IMPORTRANGE(H34593,""IDENTITAS UNIT!D9"")"),"#N/A")</f>
        <v>#N/A</v>
      </c>
      <c r="H34593" s="4" t="str">
        <v/>
      </c>
      <c r="I34593" s="4" t="str">
        <v/>
      </c>
    </row>
    <row r="34594" spans="5:9" ht="16.5" hidden="1">
      <c r="E34594" s="4" t="str">
        <v/>
      </c>
      <c r="F34594" s="102" t="str">
        <f ca="1">IFERROR(__xludf.DUMMYFUNCTION("IMPORTRANGE(H34594,""IDENTITAS UNIT!D9"")"),"#N/A")</f>
        <v>#N/A</v>
      </c>
      <c r="H34594" s="4" t="str">
        <v/>
      </c>
      <c r="I34594" s="4" t="str">
        <v/>
      </c>
    </row>
    <row r="34595" spans="5:9" ht="16.5" hidden="1">
      <c r="E34595" s="4" t="str">
        <v/>
      </c>
      <c r="F34595" s="102" t="str">
        <f ca="1">IFERROR(__xludf.DUMMYFUNCTION("IMPORTRANGE(H34595,""IDENTITAS UNIT!D9"")"),"#N/A")</f>
        <v>#N/A</v>
      </c>
      <c r="H34595" s="4" t="str">
        <v/>
      </c>
      <c r="I34595" s="4" t="str">
        <v/>
      </c>
    </row>
    <row r="34596" spans="5:9" ht="16.5" hidden="1">
      <c r="E34596" s="4" t="str">
        <v/>
      </c>
      <c r="F34596" s="102" t="str">
        <f ca="1">IFERROR(__xludf.DUMMYFUNCTION("IMPORTRANGE(H34596,""IDENTITAS UNIT!D9"")"),"#N/A")</f>
        <v>#N/A</v>
      </c>
      <c r="H34596" s="4" t="str">
        <v/>
      </c>
      <c r="I34596" s="4" t="str">
        <v/>
      </c>
    </row>
    <row r="34597" spans="5:9" ht="16.5" hidden="1">
      <c r="E34597" s="4" t="str">
        <v/>
      </c>
      <c r="F34597" s="102" t="str">
        <f ca="1">IFERROR(__xludf.DUMMYFUNCTION("IMPORTRANGE(H34597,""IDENTITAS UNIT!D9"")"),"#N/A")</f>
        <v>#N/A</v>
      </c>
      <c r="H34597" s="4" t="str">
        <v/>
      </c>
      <c r="I34597" s="4" t="str">
        <v/>
      </c>
    </row>
    <row r="34598" spans="5:9" ht="16.5" hidden="1">
      <c r="E34598" s="4" t="str">
        <v/>
      </c>
      <c r="F34598" s="102" t="str">
        <f ca="1">IFERROR(__xludf.DUMMYFUNCTION("IMPORTRANGE(H34598,""IDENTITAS UNIT!D9"")"),"#N/A")</f>
        <v>#N/A</v>
      </c>
      <c r="H34598" s="4" t="str">
        <v/>
      </c>
      <c r="I34598" s="4" t="str">
        <v/>
      </c>
    </row>
    <row r="34599" spans="5:9" ht="16.5" hidden="1">
      <c r="E34599" s="4" t="str">
        <v/>
      </c>
      <c r="F34599" s="102" t="str">
        <f ca="1">IFERROR(__xludf.DUMMYFUNCTION("IMPORTRANGE(H34599,""IDENTITAS UNIT!D9"")"),"#N/A")</f>
        <v>#N/A</v>
      </c>
      <c r="H34599" s="4" t="str">
        <v/>
      </c>
      <c r="I34599" s="4" t="str">
        <v/>
      </c>
    </row>
    <row r="34600" spans="5:9" ht="16.5" hidden="1">
      <c r="E34600" s="4" t="str">
        <v/>
      </c>
      <c r="F34600" s="102" t="str">
        <f ca="1">IFERROR(__xludf.DUMMYFUNCTION("IMPORTRANGE(H34600,""IDENTITAS UNIT!D9"")"),"#N/A")</f>
        <v>#N/A</v>
      </c>
      <c r="H34600" s="4" t="str">
        <v/>
      </c>
      <c r="I34600" s="4" t="str">
        <v/>
      </c>
    </row>
    <row r="34601" spans="5:9" ht="16.5" hidden="1">
      <c r="E34601" s="4" t="str">
        <v/>
      </c>
      <c r="F34601" s="102" t="str">
        <f ca="1">IFERROR(__xludf.DUMMYFUNCTION("IMPORTRANGE(H34601,""IDENTITAS UNIT!D9"")"),"#N/A")</f>
        <v>#N/A</v>
      </c>
      <c r="H34601" s="4" t="str">
        <v/>
      </c>
      <c r="I34601" s="4" t="str">
        <v/>
      </c>
    </row>
    <row r="34602" spans="5:9" ht="16.5" hidden="1">
      <c r="E34602" s="4" t="str">
        <v/>
      </c>
      <c r="F34602" s="102" t="str">
        <f ca="1">IFERROR(__xludf.DUMMYFUNCTION("IMPORTRANGE(H34602,""IDENTITAS UNIT!D9"")"),"#N/A")</f>
        <v>#N/A</v>
      </c>
      <c r="H34602" s="4" t="str">
        <v/>
      </c>
      <c r="I34602" s="4" t="str">
        <v/>
      </c>
    </row>
    <row r="34603" spans="5:9" ht="16.5" hidden="1">
      <c r="E34603" s="4" t="str">
        <v/>
      </c>
      <c r="F34603" s="102" t="str">
        <f ca="1">IFERROR(__xludf.DUMMYFUNCTION("IMPORTRANGE(H34603,""IDENTITAS UNIT!D9"")"),"#N/A")</f>
        <v>#N/A</v>
      </c>
      <c r="H34603" s="4" t="str">
        <v/>
      </c>
      <c r="I34603" s="4" t="str">
        <v/>
      </c>
    </row>
    <row r="34604" spans="5:9" ht="16.5" hidden="1">
      <c r="E34604" s="4" t="str">
        <v/>
      </c>
      <c r="F34604" s="102" t="str">
        <f ca="1">IFERROR(__xludf.DUMMYFUNCTION("IMPORTRANGE(H34604,""IDENTITAS UNIT!D9"")"),"#N/A")</f>
        <v>#N/A</v>
      </c>
      <c r="H34604" s="4" t="str">
        <v/>
      </c>
      <c r="I34604" s="4" t="str">
        <v/>
      </c>
    </row>
    <row r="34605" spans="5:9" ht="16.5" hidden="1">
      <c r="E34605" s="4" t="str">
        <v/>
      </c>
      <c r="F34605" s="102" t="str">
        <f ca="1">IFERROR(__xludf.DUMMYFUNCTION("IMPORTRANGE(H34605,""IDENTITAS UNIT!D9"")"),"#N/A")</f>
        <v>#N/A</v>
      </c>
      <c r="H34605" s="4" t="str">
        <v/>
      </c>
      <c r="I34605" s="4" t="str">
        <v/>
      </c>
    </row>
    <row r="34606" spans="5:9" ht="16.5" hidden="1">
      <c r="E34606" s="4" t="str">
        <v/>
      </c>
      <c r="F34606" s="102" t="str">
        <f ca="1">IFERROR(__xludf.DUMMYFUNCTION("IMPORTRANGE(H34606,""IDENTITAS UNIT!D9"")"),"#N/A")</f>
        <v>#N/A</v>
      </c>
      <c r="H34606" s="4" t="str">
        <v/>
      </c>
      <c r="I34606" s="4" t="str">
        <v/>
      </c>
    </row>
    <row r="34607" spans="5:9" ht="16.5" hidden="1">
      <c r="E34607" s="4" t="str">
        <v/>
      </c>
      <c r="F34607" s="102" t="str">
        <f ca="1">IFERROR(__xludf.DUMMYFUNCTION("IMPORTRANGE(H34607,""IDENTITAS UNIT!D9"")"),"#N/A")</f>
        <v>#N/A</v>
      </c>
      <c r="H34607" s="4" t="str">
        <v/>
      </c>
      <c r="I34607" s="4" t="str">
        <v/>
      </c>
    </row>
    <row r="34608" spans="5:9" ht="16.5" hidden="1">
      <c r="E34608" s="4" t="str">
        <v/>
      </c>
      <c r="F34608" s="102" t="str">
        <f ca="1">IFERROR(__xludf.DUMMYFUNCTION("IMPORTRANGE(H34608,""IDENTITAS UNIT!D9"")"),"#N/A")</f>
        <v>#N/A</v>
      </c>
      <c r="H34608" s="4" t="str">
        <v/>
      </c>
      <c r="I34608" s="4" t="str">
        <v/>
      </c>
    </row>
    <row r="34609" spans="5:9" ht="16.5" hidden="1">
      <c r="E34609" s="4" t="str">
        <v/>
      </c>
      <c r="F34609" s="102" t="str">
        <f ca="1">IFERROR(__xludf.DUMMYFUNCTION("IMPORTRANGE(H34609,""IDENTITAS UNIT!D9"")"),"#N/A")</f>
        <v>#N/A</v>
      </c>
      <c r="H34609" s="4" t="str">
        <v/>
      </c>
      <c r="I34609" s="4" t="str">
        <v/>
      </c>
    </row>
    <row r="34610" spans="5:9" ht="16.5" hidden="1">
      <c r="E34610" s="4" t="str">
        <v/>
      </c>
      <c r="F34610" s="102" t="str">
        <f ca="1">IFERROR(__xludf.DUMMYFUNCTION("IMPORTRANGE(H34610,""IDENTITAS UNIT!D9"")"),"#N/A")</f>
        <v>#N/A</v>
      </c>
      <c r="H34610" s="4" t="str">
        <v/>
      </c>
      <c r="I34610" s="4" t="str">
        <v/>
      </c>
    </row>
    <row r="34611" spans="5:9" ht="16.5" hidden="1">
      <c r="E34611" s="4" t="str">
        <v/>
      </c>
      <c r="F34611" s="102" t="str">
        <f ca="1">IFERROR(__xludf.DUMMYFUNCTION("IMPORTRANGE(H34611,""IDENTITAS UNIT!D9"")"),"#N/A")</f>
        <v>#N/A</v>
      </c>
      <c r="H34611" s="4" t="str">
        <v/>
      </c>
      <c r="I34611" s="4" t="str">
        <v/>
      </c>
    </row>
    <row r="34612" spans="5:9" ht="16.5" hidden="1">
      <c r="E34612" s="4" t="str">
        <v/>
      </c>
      <c r="F34612" s="102" t="str">
        <f ca="1">IFERROR(__xludf.DUMMYFUNCTION("IMPORTRANGE(H34612,""IDENTITAS UNIT!D9"")"),"#N/A")</f>
        <v>#N/A</v>
      </c>
      <c r="H34612" s="4" t="str">
        <v/>
      </c>
      <c r="I34612" s="4" t="str">
        <v/>
      </c>
    </row>
    <row r="34613" spans="5:9" ht="16.5" hidden="1">
      <c r="E34613" s="4" t="str">
        <v/>
      </c>
      <c r="F34613" s="102" t="str">
        <f ca="1">IFERROR(__xludf.DUMMYFUNCTION("IMPORTRANGE(H34613,""IDENTITAS UNIT!D9"")"),"#N/A")</f>
        <v>#N/A</v>
      </c>
      <c r="H34613" s="4" t="str">
        <v/>
      </c>
      <c r="I34613" s="4" t="str">
        <v/>
      </c>
    </row>
    <row r="34614" spans="5:9" ht="16.5" hidden="1">
      <c r="E34614" s="4" t="str">
        <v/>
      </c>
      <c r="F34614" s="102" t="str">
        <f ca="1">IFERROR(__xludf.DUMMYFUNCTION("IMPORTRANGE(H34614,""IDENTITAS UNIT!D9"")"),"#N/A")</f>
        <v>#N/A</v>
      </c>
      <c r="H34614" s="4" t="str">
        <v/>
      </c>
      <c r="I34614" s="4" t="str">
        <v/>
      </c>
    </row>
    <row r="34615" spans="5:9" ht="16.5" hidden="1">
      <c r="E34615" s="4" t="str">
        <v/>
      </c>
      <c r="F34615" s="102" t="str">
        <f ca="1">IFERROR(__xludf.DUMMYFUNCTION("IMPORTRANGE(H34615,""IDENTITAS UNIT!D9"")"),"#N/A")</f>
        <v>#N/A</v>
      </c>
      <c r="H34615" s="4" t="str">
        <v/>
      </c>
      <c r="I34615" s="4" t="str">
        <v/>
      </c>
    </row>
    <row r="34616" spans="5:9" ht="16.5" hidden="1">
      <c r="E34616" s="4" t="str">
        <v/>
      </c>
      <c r="F34616" s="102" t="str">
        <f ca="1">IFERROR(__xludf.DUMMYFUNCTION("IMPORTRANGE(H34616,""IDENTITAS UNIT!D9"")"),"#N/A")</f>
        <v>#N/A</v>
      </c>
      <c r="H34616" s="4" t="str">
        <v/>
      </c>
      <c r="I34616" s="4" t="str">
        <v/>
      </c>
    </row>
    <row r="34617" spans="5:9" ht="16.5" hidden="1">
      <c r="E34617" s="4" t="str">
        <v/>
      </c>
      <c r="F34617" s="102" t="str">
        <f ca="1">IFERROR(__xludf.DUMMYFUNCTION("IMPORTRANGE(H34617,""IDENTITAS UNIT!D9"")"),"#N/A")</f>
        <v>#N/A</v>
      </c>
      <c r="H34617" s="4" t="str">
        <v/>
      </c>
      <c r="I34617" s="4" t="str">
        <v/>
      </c>
    </row>
    <row r="34618" spans="5:9" ht="16.5" hidden="1">
      <c r="E34618" s="4" t="str">
        <v/>
      </c>
      <c r="F34618" s="102" t="str">
        <f ca="1">IFERROR(__xludf.DUMMYFUNCTION("IMPORTRANGE(H34618,""IDENTITAS UNIT!D9"")"),"#N/A")</f>
        <v>#N/A</v>
      </c>
      <c r="H34618" s="4" t="str">
        <v/>
      </c>
      <c r="I34618" s="4" t="str">
        <v/>
      </c>
    </row>
    <row r="34619" spans="5:9" ht="16.5" hidden="1">
      <c r="E34619" s="4" t="str">
        <v/>
      </c>
      <c r="F34619" s="102" t="str">
        <f ca="1">IFERROR(__xludf.DUMMYFUNCTION("IMPORTRANGE(H34619,""IDENTITAS UNIT!D9"")"),"#N/A")</f>
        <v>#N/A</v>
      </c>
      <c r="H34619" s="4" t="str">
        <v/>
      </c>
      <c r="I34619" s="4" t="str">
        <v/>
      </c>
    </row>
    <row r="34620" spans="5:9" ht="16.5" hidden="1">
      <c r="E34620" s="4" t="str">
        <v/>
      </c>
      <c r="F34620" s="102" t="str">
        <f ca="1">IFERROR(__xludf.DUMMYFUNCTION("IMPORTRANGE(H34620,""IDENTITAS UNIT!D9"")"),"#N/A")</f>
        <v>#N/A</v>
      </c>
      <c r="H34620" s="4" t="str">
        <v/>
      </c>
      <c r="I34620" s="4" t="str">
        <v/>
      </c>
    </row>
    <row r="34621" spans="5:9" ht="16.5" hidden="1">
      <c r="E34621" s="4" t="str">
        <v/>
      </c>
      <c r="F34621" s="102" t="str">
        <f ca="1">IFERROR(__xludf.DUMMYFUNCTION("IMPORTRANGE(H34621,""IDENTITAS UNIT!D9"")"),"#N/A")</f>
        <v>#N/A</v>
      </c>
      <c r="H34621" s="4" t="str">
        <v/>
      </c>
      <c r="I34621" s="4" t="str">
        <v/>
      </c>
    </row>
    <row r="34622" spans="5:9" ht="16.5" hidden="1">
      <c r="E34622" s="4" t="str">
        <v/>
      </c>
      <c r="F34622" s="102" t="str">
        <f ca="1">IFERROR(__xludf.DUMMYFUNCTION("IMPORTRANGE(H34622,""IDENTITAS UNIT!D9"")"),"#N/A")</f>
        <v>#N/A</v>
      </c>
      <c r="H34622" s="4" t="str">
        <v/>
      </c>
      <c r="I34622" s="4" t="str">
        <v/>
      </c>
    </row>
    <row r="34623" spans="5:9" ht="16.5" hidden="1">
      <c r="E34623" s="4" t="str">
        <v/>
      </c>
      <c r="F34623" s="102" t="str">
        <f ca="1">IFERROR(__xludf.DUMMYFUNCTION("IMPORTRANGE(H34623,""IDENTITAS UNIT!D9"")"),"#N/A")</f>
        <v>#N/A</v>
      </c>
      <c r="H34623" s="4" t="str">
        <v/>
      </c>
      <c r="I34623" s="4" t="str">
        <v/>
      </c>
    </row>
    <row r="34624" spans="5:9" ht="16.5" hidden="1">
      <c r="E34624" s="4" t="str">
        <v/>
      </c>
      <c r="F34624" s="102" t="str">
        <f ca="1">IFERROR(__xludf.DUMMYFUNCTION("IMPORTRANGE(H34624,""IDENTITAS UNIT!D9"")"),"#N/A")</f>
        <v>#N/A</v>
      </c>
      <c r="H34624" s="4" t="str">
        <v/>
      </c>
      <c r="I34624" s="4" t="str">
        <v/>
      </c>
    </row>
    <row r="34625" spans="5:9" ht="16.5" hidden="1">
      <c r="E34625" s="4" t="str">
        <v/>
      </c>
      <c r="F34625" s="102" t="str">
        <f ca="1">IFERROR(__xludf.DUMMYFUNCTION("IMPORTRANGE(H34625,""IDENTITAS UNIT!D9"")"),"#N/A")</f>
        <v>#N/A</v>
      </c>
      <c r="H34625" s="4" t="str">
        <v/>
      </c>
      <c r="I34625" s="4" t="str">
        <v/>
      </c>
    </row>
    <row r="34626" spans="5:9" ht="16.5" hidden="1">
      <c r="E34626" s="4" t="str">
        <v/>
      </c>
      <c r="F34626" s="102" t="str">
        <f ca="1">IFERROR(__xludf.DUMMYFUNCTION("IMPORTRANGE(H34626,""IDENTITAS UNIT!D9"")"),"#N/A")</f>
        <v>#N/A</v>
      </c>
      <c r="H34626" s="4" t="str">
        <v/>
      </c>
      <c r="I34626" s="4" t="str">
        <v/>
      </c>
    </row>
    <row r="34627" spans="5:9" ht="16.5" hidden="1">
      <c r="E34627" s="4" t="str">
        <v/>
      </c>
      <c r="F34627" s="102" t="str">
        <f ca="1">IFERROR(__xludf.DUMMYFUNCTION("IMPORTRANGE(H34627,""IDENTITAS UNIT!D9"")"),"#N/A")</f>
        <v>#N/A</v>
      </c>
      <c r="H34627" s="4" t="str">
        <v/>
      </c>
      <c r="I34627" s="4" t="str">
        <v/>
      </c>
    </row>
    <row r="34628" spans="5:9" ht="16.5" hidden="1">
      <c r="E34628" s="4" t="str">
        <v/>
      </c>
      <c r="F34628" s="102" t="str">
        <f ca="1">IFERROR(__xludf.DUMMYFUNCTION("IMPORTRANGE(H34628,""IDENTITAS UNIT!D9"")"),"#N/A")</f>
        <v>#N/A</v>
      </c>
      <c r="H34628" s="4" t="str">
        <v/>
      </c>
      <c r="I34628" s="4" t="str">
        <v/>
      </c>
    </row>
    <row r="34629" spans="5:9" ht="16.5" hidden="1">
      <c r="E34629" s="4" t="str">
        <v/>
      </c>
      <c r="F34629" s="102" t="str">
        <f ca="1">IFERROR(__xludf.DUMMYFUNCTION("IMPORTRANGE(H34629,""IDENTITAS UNIT!D9"")"),"#N/A")</f>
        <v>#N/A</v>
      </c>
      <c r="H34629" s="4" t="str">
        <v/>
      </c>
      <c r="I34629" s="4" t="str">
        <v/>
      </c>
    </row>
    <row r="34630" spans="5:9" ht="16.5" hidden="1">
      <c r="E34630" s="4" t="str">
        <v/>
      </c>
      <c r="F34630" s="102" t="str">
        <f ca="1">IFERROR(__xludf.DUMMYFUNCTION("IMPORTRANGE(H34630,""IDENTITAS UNIT!D9"")"),"#N/A")</f>
        <v>#N/A</v>
      </c>
      <c r="H34630" s="4" t="str">
        <v/>
      </c>
      <c r="I34630" s="4" t="str">
        <v/>
      </c>
    </row>
    <row r="34631" spans="5:9" ht="16.5" hidden="1">
      <c r="E34631" s="4" t="str">
        <v/>
      </c>
      <c r="F34631" s="102" t="str">
        <f ca="1">IFERROR(__xludf.DUMMYFUNCTION("IMPORTRANGE(H34631,""IDENTITAS UNIT!D9"")"),"#N/A")</f>
        <v>#N/A</v>
      </c>
      <c r="H34631" s="4" t="str">
        <v/>
      </c>
      <c r="I34631" s="4" t="str">
        <v/>
      </c>
    </row>
    <row r="34632" spans="5:9" ht="16.5" hidden="1">
      <c r="E34632" s="4" t="str">
        <v/>
      </c>
      <c r="F34632" s="102" t="str">
        <f ca="1">IFERROR(__xludf.DUMMYFUNCTION("IMPORTRANGE(H34632,""IDENTITAS UNIT!D9"")"),"#N/A")</f>
        <v>#N/A</v>
      </c>
      <c r="H34632" s="4" t="str">
        <v/>
      </c>
      <c r="I34632" s="4" t="str">
        <v/>
      </c>
    </row>
    <row r="34633" spans="5:9" ht="16.5" hidden="1">
      <c r="E34633" s="4" t="str">
        <v/>
      </c>
      <c r="F34633" s="102" t="str">
        <f ca="1">IFERROR(__xludf.DUMMYFUNCTION("IMPORTRANGE(H34633,""IDENTITAS UNIT!D9"")"),"#N/A")</f>
        <v>#N/A</v>
      </c>
      <c r="H34633" s="4" t="str">
        <v/>
      </c>
      <c r="I34633" s="4" t="str">
        <v/>
      </c>
    </row>
    <row r="34634" spans="5:9" ht="16.5" hidden="1">
      <c r="E34634" s="4" t="str">
        <v/>
      </c>
      <c r="F34634" s="102" t="str">
        <f ca="1">IFERROR(__xludf.DUMMYFUNCTION("IMPORTRANGE(H34634,""IDENTITAS UNIT!D9"")"),"#N/A")</f>
        <v>#N/A</v>
      </c>
      <c r="H34634" s="4" t="str">
        <v/>
      </c>
      <c r="I34634" s="4" t="str">
        <v/>
      </c>
    </row>
    <row r="34635" spans="5:9" ht="16.5" hidden="1">
      <c r="E34635" s="4" t="str">
        <v/>
      </c>
      <c r="F34635" s="102" t="str">
        <f ca="1">IFERROR(__xludf.DUMMYFUNCTION("IMPORTRANGE(H34635,""IDENTITAS UNIT!D9"")"),"#N/A")</f>
        <v>#N/A</v>
      </c>
      <c r="H34635" s="4" t="str">
        <v/>
      </c>
      <c r="I34635" s="4" t="str">
        <v/>
      </c>
    </row>
    <row r="34636" spans="5:9" ht="16.5" hidden="1">
      <c r="E34636" s="4" t="str">
        <v/>
      </c>
      <c r="F34636" s="102" t="str">
        <f ca="1">IFERROR(__xludf.DUMMYFUNCTION("IMPORTRANGE(H34636,""IDENTITAS UNIT!D9"")"),"#N/A")</f>
        <v>#N/A</v>
      </c>
      <c r="H34636" s="4" t="str">
        <v/>
      </c>
      <c r="I34636" s="4" t="str">
        <v/>
      </c>
    </row>
    <row r="34637" spans="5:9" ht="16.5" hidden="1">
      <c r="E34637" s="4" t="str">
        <v/>
      </c>
      <c r="F34637" s="102" t="str">
        <f ca="1">IFERROR(__xludf.DUMMYFUNCTION("IMPORTRANGE(H34637,""IDENTITAS UNIT!D9"")"),"#N/A")</f>
        <v>#N/A</v>
      </c>
      <c r="H34637" s="4" t="str">
        <v/>
      </c>
      <c r="I34637" s="4" t="str">
        <v/>
      </c>
    </row>
    <row r="34638" spans="5:9" ht="16.5" hidden="1">
      <c r="E34638" s="4" t="str">
        <v/>
      </c>
      <c r="F34638" s="102" t="str">
        <f ca="1">IFERROR(__xludf.DUMMYFUNCTION("IMPORTRANGE(H34638,""IDENTITAS UNIT!D9"")"),"#N/A")</f>
        <v>#N/A</v>
      </c>
      <c r="H34638" s="4" t="str">
        <v/>
      </c>
      <c r="I34638" s="4" t="str">
        <v/>
      </c>
    </row>
    <row r="34639" spans="5:9" ht="16.5" hidden="1">
      <c r="E34639" s="4" t="str">
        <v/>
      </c>
      <c r="F34639" s="102" t="str">
        <f ca="1">IFERROR(__xludf.DUMMYFUNCTION("IMPORTRANGE(H34639,""IDENTITAS UNIT!D9"")"),"#N/A")</f>
        <v>#N/A</v>
      </c>
      <c r="H34639" s="4" t="str">
        <v/>
      </c>
      <c r="I34639" s="4" t="str">
        <v/>
      </c>
    </row>
    <row r="34640" spans="5:9" ht="16.5" hidden="1">
      <c r="E34640" s="4" t="str">
        <v/>
      </c>
      <c r="F34640" s="102" t="str">
        <f ca="1">IFERROR(__xludf.DUMMYFUNCTION("IMPORTRANGE(H34640,""IDENTITAS UNIT!D9"")"),"#N/A")</f>
        <v>#N/A</v>
      </c>
      <c r="H34640" s="4" t="str">
        <v/>
      </c>
      <c r="I34640" s="4" t="str">
        <v/>
      </c>
    </row>
    <row r="34641" spans="5:9" ht="16.5" hidden="1">
      <c r="E34641" s="4" t="str">
        <v/>
      </c>
      <c r="F34641" s="102" t="str">
        <f ca="1">IFERROR(__xludf.DUMMYFUNCTION("IMPORTRANGE(H34641,""IDENTITAS UNIT!D9"")"),"#N/A")</f>
        <v>#N/A</v>
      </c>
      <c r="H34641" s="4" t="str">
        <v/>
      </c>
      <c r="I34641" s="4" t="str">
        <v/>
      </c>
    </row>
    <row r="34642" spans="5:9" ht="16.5" hidden="1">
      <c r="E34642" s="4" t="str">
        <v/>
      </c>
      <c r="F34642" s="102" t="str">
        <f ca="1">IFERROR(__xludf.DUMMYFUNCTION("IMPORTRANGE(H34642,""IDENTITAS UNIT!D9"")"),"#N/A")</f>
        <v>#N/A</v>
      </c>
      <c r="H34642" s="4" t="str">
        <v/>
      </c>
      <c r="I34642" s="4" t="str">
        <v/>
      </c>
    </row>
    <row r="34643" spans="5:9" ht="16.5" hidden="1">
      <c r="E34643" s="4" t="str">
        <v/>
      </c>
      <c r="F34643" s="102" t="str">
        <f ca="1">IFERROR(__xludf.DUMMYFUNCTION("IMPORTRANGE(H34643,""IDENTITAS UNIT!D9"")"),"#N/A")</f>
        <v>#N/A</v>
      </c>
      <c r="H34643" s="4" t="str">
        <v/>
      </c>
      <c r="I34643" s="4" t="str">
        <v/>
      </c>
    </row>
    <row r="34644" spans="5:9" ht="16.5" hidden="1">
      <c r="E34644" s="4" t="str">
        <v/>
      </c>
      <c r="F34644" s="102" t="str">
        <f ca="1">IFERROR(__xludf.DUMMYFUNCTION("IMPORTRANGE(H34644,""IDENTITAS UNIT!D9"")"),"#N/A")</f>
        <v>#N/A</v>
      </c>
      <c r="H34644" s="4" t="str">
        <v/>
      </c>
      <c r="I34644" s="4" t="str">
        <v/>
      </c>
    </row>
    <row r="34645" spans="5:9" ht="16.5" hidden="1">
      <c r="E34645" s="4" t="str">
        <v/>
      </c>
      <c r="F34645" s="102" t="str">
        <f ca="1">IFERROR(__xludf.DUMMYFUNCTION("IMPORTRANGE(H34645,""IDENTITAS UNIT!D9"")"),"#N/A")</f>
        <v>#N/A</v>
      </c>
      <c r="H34645" s="4" t="str">
        <v/>
      </c>
      <c r="I34645" s="4" t="str">
        <v/>
      </c>
    </row>
    <row r="34646" spans="5:9" ht="16.5" hidden="1">
      <c r="E34646" s="4" t="str">
        <v/>
      </c>
      <c r="F34646" s="102" t="str">
        <f ca="1">IFERROR(__xludf.DUMMYFUNCTION("IMPORTRANGE(H34646,""IDENTITAS UNIT!D9"")"),"#N/A")</f>
        <v>#N/A</v>
      </c>
      <c r="H34646" s="4" t="str">
        <v/>
      </c>
      <c r="I34646" s="4" t="str">
        <v/>
      </c>
    </row>
    <row r="34647" spans="5:9" ht="16.5" hidden="1">
      <c r="E34647" s="4" t="str">
        <v/>
      </c>
      <c r="F34647" s="102" t="str">
        <f ca="1">IFERROR(__xludf.DUMMYFUNCTION("IMPORTRANGE(H34647,""IDENTITAS UNIT!D9"")"),"#N/A")</f>
        <v>#N/A</v>
      </c>
      <c r="H34647" s="4" t="str">
        <v/>
      </c>
      <c r="I34647" s="4" t="str">
        <v/>
      </c>
    </row>
    <row r="34648" spans="5:9" ht="16.5" hidden="1">
      <c r="E34648" s="4" t="str">
        <v/>
      </c>
      <c r="F34648" s="102" t="str">
        <f ca="1">IFERROR(__xludf.DUMMYFUNCTION("IMPORTRANGE(H34648,""IDENTITAS UNIT!D9"")"),"#N/A")</f>
        <v>#N/A</v>
      </c>
      <c r="H34648" s="4" t="str">
        <v/>
      </c>
      <c r="I34648" s="4" t="str">
        <v/>
      </c>
    </row>
    <row r="34649" spans="5:9" ht="16.5" hidden="1">
      <c r="E34649" s="4" t="str">
        <v/>
      </c>
      <c r="F34649" s="102" t="str">
        <f ca="1">IFERROR(__xludf.DUMMYFUNCTION("IMPORTRANGE(H34649,""IDENTITAS UNIT!D9"")"),"#N/A")</f>
        <v>#N/A</v>
      </c>
      <c r="H34649" s="4" t="str">
        <v/>
      </c>
      <c r="I34649" s="4" t="str">
        <v/>
      </c>
    </row>
    <row r="34650" spans="5:9" ht="16.5" hidden="1">
      <c r="E34650" s="4" t="str">
        <v/>
      </c>
      <c r="F34650" s="102" t="str">
        <f ca="1">IFERROR(__xludf.DUMMYFUNCTION("IMPORTRANGE(H34650,""IDENTITAS UNIT!D9"")"),"#N/A")</f>
        <v>#N/A</v>
      </c>
      <c r="H34650" s="4" t="str">
        <v/>
      </c>
      <c r="I34650" s="4" t="str">
        <v/>
      </c>
    </row>
    <row r="34651" spans="5:9" ht="16.5" hidden="1">
      <c r="E34651" s="4" t="str">
        <v/>
      </c>
      <c r="F34651" s="102" t="str">
        <f ca="1">IFERROR(__xludf.DUMMYFUNCTION("IMPORTRANGE(H34651,""IDENTITAS UNIT!D9"")"),"#N/A")</f>
        <v>#N/A</v>
      </c>
      <c r="H34651" s="4" t="str">
        <v/>
      </c>
      <c r="I34651" s="4" t="str">
        <v/>
      </c>
    </row>
    <row r="34652" spans="5:9" ht="16.5" hidden="1">
      <c r="E34652" s="4" t="str">
        <v/>
      </c>
      <c r="F34652" s="102" t="str">
        <f ca="1">IFERROR(__xludf.DUMMYFUNCTION("IMPORTRANGE(H34652,""IDENTITAS UNIT!D9"")"),"#N/A")</f>
        <v>#N/A</v>
      </c>
      <c r="H34652" s="4" t="str">
        <v/>
      </c>
      <c r="I34652" s="4" t="str">
        <v/>
      </c>
    </row>
    <row r="34653" spans="5:9" ht="16.5" hidden="1">
      <c r="E34653" s="4" t="str">
        <v/>
      </c>
      <c r="F34653" s="102" t="str">
        <f ca="1">IFERROR(__xludf.DUMMYFUNCTION("IMPORTRANGE(H34653,""IDENTITAS UNIT!D9"")"),"#N/A")</f>
        <v>#N/A</v>
      </c>
      <c r="H34653" s="4" t="str">
        <v/>
      </c>
      <c r="I34653" s="4" t="str">
        <v/>
      </c>
    </row>
    <row r="34654" spans="5:9" ht="16.5" hidden="1">
      <c r="E34654" s="4" t="str">
        <v/>
      </c>
      <c r="F34654" s="102" t="str">
        <f ca="1">IFERROR(__xludf.DUMMYFUNCTION("IMPORTRANGE(H34654,""IDENTITAS UNIT!D9"")"),"#N/A")</f>
        <v>#N/A</v>
      </c>
      <c r="H34654" s="4" t="str">
        <v/>
      </c>
      <c r="I34654" s="4" t="str">
        <v/>
      </c>
    </row>
    <row r="34655" spans="5:9" ht="16.5" hidden="1">
      <c r="E34655" s="4" t="str">
        <v/>
      </c>
      <c r="F34655" s="102" t="str">
        <f ca="1">IFERROR(__xludf.DUMMYFUNCTION("IMPORTRANGE(H34655,""IDENTITAS UNIT!D9"")"),"#N/A")</f>
        <v>#N/A</v>
      </c>
      <c r="H34655" s="4" t="str">
        <v/>
      </c>
      <c r="I34655" s="4" t="str">
        <v/>
      </c>
    </row>
    <row r="34656" spans="5:9" ht="16.5" hidden="1">
      <c r="E34656" s="4" t="str">
        <v/>
      </c>
      <c r="F34656" s="102" t="str">
        <f ca="1">IFERROR(__xludf.DUMMYFUNCTION("IMPORTRANGE(H34656,""IDENTITAS UNIT!D9"")"),"#N/A")</f>
        <v>#N/A</v>
      </c>
      <c r="H34656" s="4" t="str">
        <v/>
      </c>
      <c r="I34656" s="4" t="str">
        <v/>
      </c>
    </row>
    <row r="34657" spans="5:9" ht="16.5" hidden="1">
      <c r="E34657" s="4" t="str">
        <v/>
      </c>
      <c r="F34657" s="102" t="str">
        <f ca="1">IFERROR(__xludf.DUMMYFUNCTION("IMPORTRANGE(H34657,""IDENTITAS UNIT!D9"")"),"#N/A")</f>
        <v>#N/A</v>
      </c>
      <c r="H34657" s="4" t="str">
        <v/>
      </c>
      <c r="I34657" s="4" t="str">
        <v/>
      </c>
    </row>
    <row r="34658" spans="5:9" ht="16.5" hidden="1">
      <c r="E34658" s="4" t="str">
        <v/>
      </c>
      <c r="F34658" s="102" t="str">
        <f ca="1">IFERROR(__xludf.DUMMYFUNCTION("IMPORTRANGE(H34658,""IDENTITAS UNIT!D9"")"),"#N/A")</f>
        <v>#N/A</v>
      </c>
      <c r="H34658" s="4" t="str">
        <v/>
      </c>
      <c r="I34658" s="4" t="str">
        <v/>
      </c>
    </row>
    <row r="34659" spans="5:9" ht="16.5" hidden="1">
      <c r="E34659" s="4" t="str">
        <v/>
      </c>
      <c r="F34659" s="102" t="str">
        <f ca="1">IFERROR(__xludf.DUMMYFUNCTION("IMPORTRANGE(H34659,""IDENTITAS UNIT!D9"")"),"#N/A")</f>
        <v>#N/A</v>
      </c>
      <c r="H34659" s="4" t="str">
        <v/>
      </c>
      <c r="I34659" s="4" t="str">
        <v/>
      </c>
    </row>
    <row r="34660" spans="5:9" ht="16.5" hidden="1">
      <c r="E34660" s="4" t="str">
        <v/>
      </c>
      <c r="F34660" s="102" t="str">
        <f ca="1">IFERROR(__xludf.DUMMYFUNCTION("IMPORTRANGE(H34660,""IDENTITAS UNIT!D9"")"),"#N/A")</f>
        <v>#N/A</v>
      </c>
      <c r="H34660" s="4" t="str">
        <v/>
      </c>
      <c r="I34660" s="4" t="str">
        <v/>
      </c>
    </row>
    <row r="34661" spans="5:9" ht="16.5" hidden="1">
      <c r="E34661" s="4" t="str">
        <v/>
      </c>
      <c r="F34661" s="102" t="str">
        <f ca="1">IFERROR(__xludf.DUMMYFUNCTION("IMPORTRANGE(H34661,""IDENTITAS UNIT!D9"")"),"#N/A")</f>
        <v>#N/A</v>
      </c>
      <c r="H34661" s="4" t="str">
        <v/>
      </c>
      <c r="I34661" s="4" t="str">
        <v/>
      </c>
    </row>
    <row r="34662" spans="5:9" ht="16.5" hidden="1">
      <c r="E34662" s="4" t="str">
        <v/>
      </c>
      <c r="F34662" s="102" t="str">
        <f ca="1">IFERROR(__xludf.DUMMYFUNCTION("IMPORTRANGE(H34662,""IDENTITAS UNIT!D9"")"),"#N/A")</f>
        <v>#N/A</v>
      </c>
      <c r="H34662" s="4" t="str">
        <v/>
      </c>
      <c r="I34662" s="4" t="str">
        <v/>
      </c>
    </row>
    <row r="34663" spans="5:9" ht="16.5" hidden="1">
      <c r="E34663" s="4" t="str">
        <v/>
      </c>
      <c r="F34663" s="102" t="str">
        <f ca="1">IFERROR(__xludf.DUMMYFUNCTION("IMPORTRANGE(H34663,""IDENTITAS UNIT!D9"")"),"#N/A")</f>
        <v>#N/A</v>
      </c>
      <c r="H34663" s="4" t="str">
        <v/>
      </c>
      <c r="I34663" s="4" t="str">
        <v/>
      </c>
    </row>
    <row r="34664" spans="5:9" ht="16.5" hidden="1">
      <c r="E34664" s="4" t="str">
        <v/>
      </c>
      <c r="F34664" s="102" t="str">
        <f ca="1">IFERROR(__xludf.DUMMYFUNCTION("IMPORTRANGE(H34664,""IDENTITAS UNIT!D9"")"),"#N/A")</f>
        <v>#N/A</v>
      </c>
      <c r="H34664" s="4" t="str">
        <v/>
      </c>
      <c r="I34664" s="4" t="str">
        <v/>
      </c>
    </row>
    <row r="34665" spans="5:9" ht="16.5" hidden="1">
      <c r="E34665" s="4" t="str">
        <v/>
      </c>
      <c r="F34665" s="102" t="str">
        <f ca="1">IFERROR(__xludf.DUMMYFUNCTION("IMPORTRANGE(H34665,""IDENTITAS UNIT!D9"")"),"#N/A")</f>
        <v>#N/A</v>
      </c>
      <c r="H34665" s="4" t="str">
        <v/>
      </c>
      <c r="I34665" s="4" t="str">
        <v/>
      </c>
    </row>
    <row r="34666" spans="5:9" ht="16.5" hidden="1">
      <c r="E34666" s="4" t="str">
        <v/>
      </c>
      <c r="F34666" s="102" t="str">
        <f ca="1">IFERROR(__xludf.DUMMYFUNCTION("IMPORTRANGE(H34666,""IDENTITAS UNIT!D9"")"),"#N/A")</f>
        <v>#N/A</v>
      </c>
      <c r="H34666" s="4" t="str">
        <v/>
      </c>
      <c r="I34666" s="4" t="str">
        <v/>
      </c>
    </row>
    <row r="34667" spans="5:9" ht="16.5" hidden="1">
      <c r="E34667" s="4" t="str">
        <v/>
      </c>
      <c r="F34667" s="102" t="str">
        <f ca="1">IFERROR(__xludf.DUMMYFUNCTION("IMPORTRANGE(H34667,""IDENTITAS UNIT!D9"")"),"#N/A")</f>
        <v>#N/A</v>
      </c>
      <c r="H34667" s="4" t="str">
        <v/>
      </c>
      <c r="I34667" s="4" t="str">
        <v/>
      </c>
    </row>
    <row r="34668" spans="5:9" ht="16.5" hidden="1">
      <c r="E34668" s="4" t="str">
        <v/>
      </c>
      <c r="F34668" s="102" t="str">
        <f ca="1">IFERROR(__xludf.DUMMYFUNCTION("IMPORTRANGE(H34668,""IDENTITAS UNIT!D9"")"),"#N/A")</f>
        <v>#N/A</v>
      </c>
      <c r="H34668" s="4" t="str">
        <v/>
      </c>
      <c r="I34668" s="4" t="str">
        <v/>
      </c>
    </row>
    <row r="34669" spans="5:9" ht="16.5" hidden="1">
      <c r="E34669" s="4" t="str">
        <v/>
      </c>
      <c r="F34669" s="102" t="str">
        <f ca="1">IFERROR(__xludf.DUMMYFUNCTION("IMPORTRANGE(H34669,""IDENTITAS UNIT!D9"")"),"#N/A")</f>
        <v>#N/A</v>
      </c>
      <c r="H34669" s="4" t="str">
        <v/>
      </c>
      <c r="I34669" s="4" t="str">
        <v/>
      </c>
    </row>
    <row r="34670" spans="5:9" ht="16.5" hidden="1">
      <c r="E34670" s="4" t="str">
        <v/>
      </c>
      <c r="F34670" s="102" t="str">
        <f ca="1">IFERROR(__xludf.DUMMYFUNCTION("IMPORTRANGE(H34670,""IDENTITAS UNIT!D9"")"),"#N/A")</f>
        <v>#N/A</v>
      </c>
      <c r="H34670" s="4" t="str">
        <v/>
      </c>
      <c r="I34670" s="4" t="str">
        <v/>
      </c>
    </row>
    <row r="34671" spans="5:9" ht="16.5" hidden="1">
      <c r="E34671" s="4" t="str">
        <v/>
      </c>
      <c r="F34671" s="102" t="str">
        <f ca="1">IFERROR(__xludf.DUMMYFUNCTION("IMPORTRANGE(H34671,""IDENTITAS UNIT!D9"")"),"#N/A")</f>
        <v>#N/A</v>
      </c>
      <c r="H34671" s="4" t="str">
        <v/>
      </c>
      <c r="I34671" s="4" t="str">
        <v/>
      </c>
    </row>
    <row r="34672" spans="5:9" ht="16.5" hidden="1">
      <c r="E34672" s="4" t="str">
        <v/>
      </c>
      <c r="F34672" s="102" t="str">
        <f ca="1">IFERROR(__xludf.DUMMYFUNCTION("IMPORTRANGE(H34672,""IDENTITAS UNIT!D9"")"),"#N/A")</f>
        <v>#N/A</v>
      </c>
      <c r="H34672" s="4" t="str">
        <v/>
      </c>
      <c r="I34672" s="4" t="str">
        <v/>
      </c>
    </row>
    <row r="34673" spans="5:9" ht="16.5" hidden="1">
      <c r="E34673" s="4" t="str">
        <v/>
      </c>
      <c r="F34673" s="102" t="str">
        <f ca="1">IFERROR(__xludf.DUMMYFUNCTION("IMPORTRANGE(H34673,""IDENTITAS UNIT!D9"")"),"#N/A")</f>
        <v>#N/A</v>
      </c>
      <c r="H34673" s="4" t="str">
        <v/>
      </c>
      <c r="I34673" s="4" t="str">
        <v/>
      </c>
    </row>
    <row r="34674" spans="5:9" ht="16.5" hidden="1">
      <c r="E34674" s="4" t="str">
        <v/>
      </c>
      <c r="F34674" s="102" t="str">
        <f ca="1">IFERROR(__xludf.DUMMYFUNCTION("IMPORTRANGE(H34674,""IDENTITAS UNIT!D9"")"),"#N/A")</f>
        <v>#N/A</v>
      </c>
      <c r="H34674" s="4" t="str">
        <v/>
      </c>
      <c r="I34674" s="4" t="str">
        <v/>
      </c>
    </row>
    <row r="34675" spans="5:9" ht="16.5" hidden="1">
      <c r="E34675" s="4" t="str">
        <v/>
      </c>
      <c r="F34675" s="102" t="str">
        <f ca="1">IFERROR(__xludf.DUMMYFUNCTION("IMPORTRANGE(H34675,""IDENTITAS UNIT!D9"")"),"#N/A")</f>
        <v>#N/A</v>
      </c>
      <c r="H34675" s="4" t="str">
        <v/>
      </c>
      <c r="I34675" s="4" t="str">
        <v/>
      </c>
    </row>
    <row r="34676" spans="5:9" ht="16.5" hidden="1">
      <c r="E34676" s="4" t="str">
        <v/>
      </c>
      <c r="F34676" s="102" t="str">
        <f ca="1">IFERROR(__xludf.DUMMYFUNCTION("IMPORTRANGE(H34676,""IDENTITAS UNIT!D9"")"),"#N/A")</f>
        <v>#N/A</v>
      </c>
      <c r="H34676" s="4" t="str">
        <v/>
      </c>
      <c r="I34676" s="4" t="str">
        <v/>
      </c>
    </row>
    <row r="34677" spans="5:9" ht="16.5" hidden="1">
      <c r="E34677" s="4" t="str">
        <v/>
      </c>
      <c r="F34677" s="102" t="str">
        <f ca="1">IFERROR(__xludf.DUMMYFUNCTION("IMPORTRANGE(H34677,""IDENTITAS UNIT!D9"")"),"#N/A")</f>
        <v>#N/A</v>
      </c>
      <c r="H34677" s="4" t="str">
        <v/>
      </c>
      <c r="I34677" s="4" t="str">
        <v/>
      </c>
    </row>
    <row r="34678" spans="5:9" ht="16.5" hidden="1">
      <c r="E34678" s="4" t="str">
        <v/>
      </c>
      <c r="F34678" s="102" t="str">
        <f ca="1">IFERROR(__xludf.DUMMYFUNCTION("IMPORTRANGE(H34678,""IDENTITAS UNIT!D9"")"),"#N/A")</f>
        <v>#N/A</v>
      </c>
      <c r="H34678" s="4" t="str">
        <v/>
      </c>
      <c r="I34678" s="4" t="str">
        <v/>
      </c>
    </row>
    <row r="34679" spans="5:9" ht="16.5" hidden="1">
      <c r="E34679" s="4" t="str">
        <v/>
      </c>
      <c r="F34679" s="102" t="str">
        <f ca="1">IFERROR(__xludf.DUMMYFUNCTION("IMPORTRANGE(H34679,""IDENTITAS UNIT!D9"")"),"#N/A")</f>
        <v>#N/A</v>
      </c>
      <c r="H34679" s="4" t="str">
        <v/>
      </c>
      <c r="I34679" s="4" t="str">
        <v/>
      </c>
    </row>
    <row r="34680" spans="5:9" ht="16.5" hidden="1">
      <c r="E34680" s="4" t="str">
        <v/>
      </c>
      <c r="F34680" s="102" t="str">
        <f ca="1">IFERROR(__xludf.DUMMYFUNCTION("IMPORTRANGE(H34680,""IDENTITAS UNIT!D9"")"),"#N/A")</f>
        <v>#N/A</v>
      </c>
      <c r="H34680" s="4" t="str">
        <v/>
      </c>
      <c r="I34680" s="4" t="str">
        <v/>
      </c>
    </row>
    <row r="34681" spans="5:9" ht="16.5" hidden="1">
      <c r="E34681" s="4" t="str">
        <v/>
      </c>
      <c r="F34681" s="102" t="str">
        <f ca="1">IFERROR(__xludf.DUMMYFUNCTION("IMPORTRANGE(H34681,""IDENTITAS UNIT!D9"")"),"#N/A")</f>
        <v>#N/A</v>
      </c>
      <c r="H34681" s="4" t="str">
        <v/>
      </c>
      <c r="I34681" s="4" t="str">
        <v/>
      </c>
    </row>
    <row r="34682" spans="5:9" ht="16.5" hidden="1">
      <c r="E34682" s="4" t="str">
        <v/>
      </c>
      <c r="F34682" s="102" t="str">
        <f ca="1">IFERROR(__xludf.DUMMYFUNCTION("IMPORTRANGE(H34682,""IDENTITAS UNIT!D9"")"),"#N/A")</f>
        <v>#N/A</v>
      </c>
      <c r="H34682" s="4" t="str">
        <v/>
      </c>
      <c r="I34682" s="4" t="str">
        <v/>
      </c>
    </row>
    <row r="34683" spans="5:9" ht="16.5" hidden="1">
      <c r="E34683" s="4" t="str">
        <v/>
      </c>
      <c r="F34683" s="102" t="str">
        <f ca="1">IFERROR(__xludf.DUMMYFUNCTION("IMPORTRANGE(H34683,""IDENTITAS UNIT!D9"")"),"#N/A")</f>
        <v>#N/A</v>
      </c>
      <c r="H34683" s="4" t="str">
        <v/>
      </c>
      <c r="I34683" s="4" t="str">
        <v/>
      </c>
    </row>
    <row r="34684" spans="5:9" ht="16.5" hidden="1">
      <c r="E34684" s="4" t="str">
        <v/>
      </c>
      <c r="F34684" s="102" t="str">
        <f ca="1">IFERROR(__xludf.DUMMYFUNCTION("IMPORTRANGE(H34684,""IDENTITAS UNIT!D9"")"),"#N/A")</f>
        <v>#N/A</v>
      </c>
      <c r="H34684" s="4" t="str">
        <v/>
      </c>
      <c r="I34684" s="4" t="str">
        <v/>
      </c>
    </row>
    <row r="34685" spans="5:9" ht="16.5" hidden="1">
      <c r="E34685" s="4" t="str">
        <v/>
      </c>
      <c r="F34685" s="102" t="str">
        <f ca="1">IFERROR(__xludf.DUMMYFUNCTION("IMPORTRANGE(H34685,""IDENTITAS UNIT!D9"")"),"#N/A")</f>
        <v>#N/A</v>
      </c>
      <c r="H34685" s="4" t="str">
        <v/>
      </c>
      <c r="I34685" s="4" t="str">
        <v/>
      </c>
    </row>
    <row r="34686" spans="5:9" ht="16.5" hidden="1">
      <c r="E34686" s="4" t="str">
        <v/>
      </c>
      <c r="F34686" s="102" t="str">
        <f ca="1">IFERROR(__xludf.DUMMYFUNCTION("IMPORTRANGE(H34686,""IDENTITAS UNIT!D9"")"),"#N/A")</f>
        <v>#N/A</v>
      </c>
      <c r="H34686" s="4" t="str">
        <v/>
      </c>
      <c r="I34686" s="4" t="str">
        <v/>
      </c>
    </row>
    <row r="34687" spans="5:9" ht="16.5" hidden="1">
      <c r="E34687" s="4" t="str">
        <v/>
      </c>
      <c r="F34687" s="102" t="str">
        <f ca="1">IFERROR(__xludf.DUMMYFUNCTION("IMPORTRANGE(H34687,""IDENTITAS UNIT!D9"")"),"#N/A")</f>
        <v>#N/A</v>
      </c>
      <c r="H34687" s="4" t="str">
        <v/>
      </c>
      <c r="I34687" s="4" t="str">
        <v/>
      </c>
    </row>
    <row r="34688" spans="5:9" ht="16.5" hidden="1">
      <c r="E34688" s="4" t="str">
        <v/>
      </c>
      <c r="F34688" s="102" t="str">
        <f ca="1">IFERROR(__xludf.DUMMYFUNCTION("IMPORTRANGE(H34688,""IDENTITAS UNIT!D9"")"),"#N/A")</f>
        <v>#N/A</v>
      </c>
      <c r="H34688" s="4" t="str">
        <v/>
      </c>
      <c r="I34688" s="4" t="str">
        <v/>
      </c>
    </row>
    <row r="34689" spans="5:9" ht="16.5" hidden="1">
      <c r="E34689" s="4" t="str">
        <v/>
      </c>
      <c r="F34689" s="102" t="str">
        <f ca="1">IFERROR(__xludf.DUMMYFUNCTION("IMPORTRANGE(H34689,""IDENTITAS UNIT!D9"")"),"#N/A")</f>
        <v>#N/A</v>
      </c>
      <c r="H34689" s="4" t="str">
        <v/>
      </c>
      <c r="I34689" s="4" t="str">
        <v/>
      </c>
    </row>
    <row r="34690" spans="5:9" ht="16.5" hidden="1">
      <c r="E34690" s="4" t="str">
        <v/>
      </c>
      <c r="F34690" s="102" t="str">
        <f ca="1">IFERROR(__xludf.DUMMYFUNCTION("IMPORTRANGE(H34690,""IDENTITAS UNIT!D9"")"),"#N/A")</f>
        <v>#N/A</v>
      </c>
      <c r="H34690" s="4" t="str">
        <v/>
      </c>
      <c r="I34690" s="4" t="str">
        <v/>
      </c>
    </row>
    <row r="34691" spans="5:9" ht="16.5" hidden="1">
      <c r="E34691" s="4" t="str">
        <v/>
      </c>
      <c r="F34691" s="102" t="str">
        <f ca="1">IFERROR(__xludf.DUMMYFUNCTION("IMPORTRANGE(H34691,""IDENTITAS UNIT!D9"")"),"#N/A")</f>
        <v>#N/A</v>
      </c>
      <c r="H34691" s="4" t="str">
        <v/>
      </c>
      <c r="I34691" s="4" t="str">
        <v/>
      </c>
    </row>
    <row r="34692" spans="5:9" ht="16.5" hidden="1">
      <c r="E34692" s="4" t="str">
        <v/>
      </c>
      <c r="F34692" s="102" t="str">
        <f ca="1">IFERROR(__xludf.DUMMYFUNCTION("IMPORTRANGE(H34692,""IDENTITAS UNIT!D9"")"),"#N/A")</f>
        <v>#N/A</v>
      </c>
      <c r="H34692" s="4" t="str">
        <v/>
      </c>
      <c r="I34692" s="4" t="str">
        <v/>
      </c>
    </row>
    <row r="34693" spans="5:9" ht="16.5" hidden="1">
      <c r="E34693" s="4" t="str">
        <v/>
      </c>
      <c r="F34693" s="102" t="str">
        <f ca="1">IFERROR(__xludf.DUMMYFUNCTION("IMPORTRANGE(H34693,""IDENTITAS UNIT!D9"")"),"#N/A")</f>
        <v>#N/A</v>
      </c>
      <c r="H34693" s="4" t="str">
        <v/>
      </c>
      <c r="I34693" s="4" t="str">
        <v/>
      </c>
    </row>
    <row r="34694" spans="5:9" ht="16.5" hidden="1">
      <c r="E34694" s="4" t="str">
        <v/>
      </c>
      <c r="F34694" s="102" t="str">
        <f ca="1">IFERROR(__xludf.DUMMYFUNCTION("IMPORTRANGE(H34694,""IDENTITAS UNIT!D9"")"),"#N/A")</f>
        <v>#N/A</v>
      </c>
      <c r="H34694" s="4" t="str">
        <v/>
      </c>
      <c r="I34694" s="4" t="str">
        <v/>
      </c>
    </row>
    <row r="34695" spans="5:9" ht="16.5" hidden="1">
      <c r="E34695" s="4" t="str">
        <v/>
      </c>
      <c r="F34695" s="102" t="str">
        <f ca="1">IFERROR(__xludf.DUMMYFUNCTION("IMPORTRANGE(H34695,""IDENTITAS UNIT!D9"")"),"#N/A")</f>
        <v>#N/A</v>
      </c>
      <c r="H34695" s="4" t="str">
        <v/>
      </c>
      <c r="I34695" s="4" t="str">
        <v/>
      </c>
    </row>
    <row r="34696" spans="5:9" ht="16.5" hidden="1">
      <c r="E34696" s="4" t="str">
        <v/>
      </c>
      <c r="F34696" s="102" t="str">
        <f ca="1">IFERROR(__xludf.DUMMYFUNCTION("IMPORTRANGE(H34696,""IDENTITAS UNIT!D9"")"),"#N/A")</f>
        <v>#N/A</v>
      </c>
      <c r="H34696" s="4" t="str">
        <v/>
      </c>
      <c r="I34696" s="4" t="str">
        <v/>
      </c>
    </row>
    <row r="34697" spans="5:9" ht="16.5" hidden="1">
      <c r="E34697" s="4" t="str">
        <v/>
      </c>
      <c r="F34697" s="102" t="str">
        <f ca="1">IFERROR(__xludf.DUMMYFUNCTION("IMPORTRANGE(H34697,""IDENTITAS UNIT!D9"")"),"#N/A")</f>
        <v>#N/A</v>
      </c>
      <c r="H34697" s="4" t="str">
        <v/>
      </c>
      <c r="I34697" s="4" t="str">
        <v/>
      </c>
    </row>
    <row r="34698" spans="5:9" ht="16.5" hidden="1">
      <c r="E34698" s="4" t="str">
        <v/>
      </c>
      <c r="F34698" s="102" t="str">
        <f ca="1">IFERROR(__xludf.DUMMYFUNCTION("IMPORTRANGE(H34698,""IDENTITAS UNIT!D9"")"),"#N/A")</f>
        <v>#N/A</v>
      </c>
      <c r="H34698" s="4" t="str">
        <v/>
      </c>
      <c r="I34698" s="4" t="str">
        <v/>
      </c>
    </row>
    <row r="34699" spans="5:9" ht="16.5" hidden="1">
      <c r="E34699" s="4" t="str">
        <v/>
      </c>
      <c r="F34699" s="102" t="str">
        <f ca="1">IFERROR(__xludf.DUMMYFUNCTION("IMPORTRANGE(H34699,""IDENTITAS UNIT!D9"")"),"#N/A")</f>
        <v>#N/A</v>
      </c>
      <c r="H34699" s="4" t="str">
        <v/>
      </c>
      <c r="I34699" s="4" t="str">
        <v/>
      </c>
    </row>
    <row r="34700" spans="5:9" ht="16.5" hidden="1">
      <c r="E34700" s="4" t="str">
        <v/>
      </c>
      <c r="F34700" s="102" t="str">
        <f ca="1">IFERROR(__xludf.DUMMYFUNCTION("IMPORTRANGE(H34700,""IDENTITAS UNIT!D9"")"),"#N/A")</f>
        <v>#N/A</v>
      </c>
      <c r="H34700" s="4" t="str">
        <v/>
      </c>
      <c r="I34700" s="4" t="str">
        <v/>
      </c>
    </row>
    <row r="34701" spans="5:9" ht="16.5" hidden="1">
      <c r="E34701" s="4" t="str">
        <v/>
      </c>
      <c r="F34701" s="102" t="str">
        <f ca="1">IFERROR(__xludf.DUMMYFUNCTION("IMPORTRANGE(H34701,""IDENTITAS UNIT!D9"")"),"#N/A")</f>
        <v>#N/A</v>
      </c>
      <c r="H34701" s="4" t="str">
        <v/>
      </c>
      <c r="I34701" s="4" t="str">
        <v/>
      </c>
    </row>
    <row r="34702" spans="5:9" ht="16.5" hidden="1">
      <c r="E34702" s="4" t="str">
        <v/>
      </c>
      <c r="F34702" s="102" t="str">
        <f ca="1">IFERROR(__xludf.DUMMYFUNCTION("IMPORTRANGE(H34702,""IDENTITAS UNIT!D9"")"),"#N/A")</f>
        <v>#N/A</v>
      </c>
      <c r="H34702" s="4" t="str">
        <v/>
      </c>
      <c r="I34702" s="4" t="str">
        <v/>
      </c>
    </row>
    <row r="34703" spans="5:9" ht="16.5" hidden="1">
      <c r="E34703" s="4" t="str">
        <v/>
      </c>
      <c r="F34703" s="102" t="str">
        <f ca="1">IFERROR(__xludf.DUMMYFUNCTION("IMPORTRANGE(H34703,""IDENTITAS UNIT!D9"")"),"#N/A")</f>
        <v>#N/A</v>
      </c>
      <c r="H34703" s="4" t="str">
        <v/>
      </c>
      <c r="I34703" s="4" t="str">
        <v/>
      </c>
    </row>
    <row r="34704" spans="5:9" ht="16.5" hidden="1">
      <c r="E34704" s="4" t="str">
        <v/>
      </c>
      <c r="F34704" s="102" t="str">
        <f ca="1">IFERROR(__xludf.DUMMYFUNCTION("IMPORTRANGE(H34704,""IDENTITAS UNIT!D9"")"),"#N/A")</f>
        <v>#N/A</v>
      </c>
      <c r="H34704" s="4" t="str">
        <v/>
      </c>
      <c r="I34704" s="4" t="str">
        <v/>
      </c>
    </row>
    <row r="34705" spans="5:9" ht="16.5" hidden="1">
      <c r="E34705" s="4" t="str">
        <v/>
      </c>
      <c r="F34705" s="102" t="str">
        <f ca="1">IFERROR(__xludf.DUMMYFUNCTION("IMPORTRANGE(H34705,""IDENTITAS UNIT!D9"")"),"#N/A")</f>
        <v>#N/A</v>
      </c>
      <c r="H34705" s="4" t="str">
        <v/>
      </c>
      <c r="I34705" s="4" t="str">
        <v/>
      </c>
    </row>
    <row r="34706" spans="5:9" ht="16.5" hidden="1">
      <c r="E34706" s="4" t="str">
        <v/>
      </c>
      <c r="F34706" s="102" t="str">
        <f ca="1">IFERROR(__xludf.DUMMYFUNCTION("IMPORTRANGE(H34706,""IDENTITAS UNIT!D9"")"),"#N/A")</f>
        <v>#N/A</v>
      </c>
      <c r="H34706" s="4" t="str">
        <v/>
      </c>
      <c r="I34706" s="4" t="str">
        <v/>
      </c>
    </row>
    <row r="34707" spans="5:9" ht="16.5" hidden="1">
      <c r="E34707" s="4" t="str">
        <v/>
      </c>
      <c r="F34707" s="102" t="str">
        <f ca="1">IFERROR(__xludf.DUMMYFUNCTION("IMPORTRANGE(H34707,""IDENTITAS UNIT!D9"")"),"#N/A")</f>
        <v>#N/A</v>
      </c>
      <c r="H34707" s="4" t="str">
        <v/>
      </c>
      <c r="I34707" s="4" t="str">
        <v/>
      </c>
    </row>
    <row r="34708" spans="5:9" ht="16.5" hidden="1">
      <c r="E34708" s="4" t="str">
        <v/>
      </c>
      <c r="F34708" s="102" t="str">
        <f ca="1">IFERROR(__xludf.DUMMYFUNCTION("IMPORTRANGE(H34708,""IDENTITAS UNIT!D9"")"),"#N/A")</f>
        <v>#N/A</v>
      </c>
      <c r="H34708" s="4" t="str">
        <v/>
      </c>
      <c r="I34708" s="4" t="str">
        <v/>
      </c>
    </row>
    <row r="34709" spans="5:9" ht="16.5" hidden="1">
      <c r="E34709" s="4" t="str">
        <v/>
      </c>
      <c r="F34709" s="102" t="str">
        <f ca="1">IFERROR(__xludf.DUMMYFUNCTION("IMPORTRANGE(H34709,""IDENTITAS UNIT!D9"")"),"#N/A")</f>
        <v>#N/A</v>
      </c>
      <c r="H34709" s="4" t="str">
        <v/>
      </c>
      <c r="I34709" s="4" t="str">
        <v/>
      </c>
    </row>
    <row r="34710" spans="5:9" ht="16.5" hidden="1">
      <c r="E34710" s="4" t="str">
        <v/>
      </c>
      <c r="F34710" s="102" t="str">
        <f ca="1">IFERROR(__xludf.DUMMYFUNCTION("IMPORTRANGE(H34710,""IDENTITAS UNIT!D9"")"),"#N/A")</f>
        <v>#N/A</v>
      </c>
      <c r="H34710" s="4" t="str">
        <v/>
      </c>
      <c r="I34710" s="4" t="str">
        <v/>
      </c>
    </row>
    <row r="34711" spans="5:9" ht="16.5" hidden="1">
      <c r="E34711" s="4" t="str">
        <v/>
      </c>
      <c r="F34711" s="102" t="str">
        <f ca="1">IFERROR(__xludf.DUMMYFUNCTION("IMPORTRANGE(H34711,""IDENTITAS UNIT!D9"")"),"#N/A")</f>
        <v>#N/A</v>
      </c>
      <c r="H34711" s="4" t="str">
        <v/>
      </c>
      <c r="I34711" s="4" t="str">
        <v/>
      </c>
    </row>
    <row r="34712" spans="5:9" ht="16.5" hidden="1">
      <c r="E34712" s="4" t="str">
        <v/>
      </c>
      <c r="F34712" s="102" t="str">
        <f ca="1">IFERROR(__xludf.DUMMYFUNCTION("IMPORTRANGE(H34712,""IDENTITAS UNIT!D9"")"),"#N/A")</f>
        <v>#N/A</v>
      </c>
      <c r="H34712" s="4" t="str">
        <v/>
      </c>
      <c r="I34712" s="4" t="str">
        <v/>
      </c>
    </row>
    <row r="34713" spans="5:9" ht="16.5" hidden="1">
      <c r="E34713" s="4" t="str">
        <v/>
      </c>
      <c r="F34713" s="102" t="str">
        <f ca="1">IFERROR(__xludf.DUMMYFUNCTION("IMPORTRANGE(H34713,""IDENTITAS UNIT!D9"")"),"#N/A")</f>
        <v>#N/A</v>
      </c>
      <c r="H34713" s="4" t="str">
        <v/>
      </c>
      <c r="I34713" s="4" t="str">
        <v/>
      </c>
    </row>
    <row r="34714" spans="5:9" ht="16.5" hidden="1">
      <c r="E34714" s="4" t="str">
        <v/>
      </c>
      <c r="F34714" s="102" t="str">
        <f ca="1">IFERROR(__xludf.DUMMYFUNCTION("IMPORTRANGE(H34714,""IDENTITAS UNIT!D9"")"),"#N/A")</f>
        <v>#N/A</v>
      </c>
      <c r="H34714" s="4" t="str">
        <v/>
      </c>
      <c r="I34714" s="4" t="str">
        <v/>
      </c>
    </row>
    <row r="34715" spans="5:9" ht="16.5" hidden="1">
      <c r="E34715" s="4" t="str">
        <v/>
      </c>
      <c r="F34715" s="102" t="str">
        <f ca="1">IFERROR(__xludf.DUMMYFUNCTION("IMPORTRANGE(H34715,""IDENTITAS UNIT!D9"")"),"#N/A")</f>
        <v>#N/A</v>
      </c>
      <c r="H34715" s="4" t="str">
        <v/>
      </c>
      <c r="I34715" s="4" t="str">
        <v/>
      </c>
    </row>
    <row r="34716" spans="5:9" ht="16.5" hidden="1">
      <c r="E34716" s="4" t="str">
        <v/>
      </c>
      <c r="F34716" s="102" t="str">
        <f ca="1">IFERROR(__xludf.DUMMYFUNCTION("IMPORTRANGE(H34716,""IDENTITAS UNIT!D9"")"),"#N/A")</f>
        <v>#N/A</v>
      </c>
      <c r="H34716" s="4" t="str">
        <v/>
      </c>
      <c r="I34716" s="4" t="str">
        <v/>
      </c>
    </row>
    <row r="34717" spans="5:9" ht="16.5" hidden="1">
      <c r="E34717" s="4" t="str">
        <v/>
      </c>
      <c r="F34717" s="102" t="str">
        <f ca="1">IFERROR(__xludf.DUMMYFUNCTION("IMPORTRANGE(H34717,""IDENTITAS UNIT!D9"")"),"#N/A")</f>
        <v>#N/A</v>
      </c>
      <c r="H34717" s="4" t="str">
        <v/>
      </c>
      <c r="I34717" s="4" t="str">
        <v/>
      </c>
    </row>
    <row r="34718" spans="5:9" ht="16.5" hidden="1">
      <c r="E34718" s="4" t="str">
        <v/>
      </c>
      <c r="F34718" s="102" t="str">
        <f ca="1">IFERROR(__xludf.DUMMYFUNCTION("IMPORTRANGE(H34718,""IDENTITAS UNIT!D9"")"),"#N/A")</f>
        <v>#N/A</v>
      </c>
      <c r="H34718" s="4" t="str">
        <v/>
      </c>
      <c r="I34718" s="4" t="str">
        <v/>
      </c>
    </row>
    <row r="34719" spans="5:9" ht="16.5" hidden="1">
      <c r="E34719" s="4" t="str">
        <v/>
      </c>
      <c r="F34719" s="102" t="str">
        <f ca="1">IFERROR(__xludf.DUMMYFUNCTION("IMPORTRANGE(H34719,""IDENTITAS UNIT!D9"")"),"#N/A")</f>
        <v>#N/A</v>
      </c>
      <c r="H34719" s="4" t="str">
        <v/>
      </c>
      <c r="I34719" s="4" t="str">
        <v/>
      </c>
    </row>
    <row r="34720" spans="5:9" ht="16.5" hidden="1">
      <c r="E34720" s="4" t="str">
        <v/>
      </c>
      <c r="F34720" s="102" t="str">
        <f ca="1">IFERROR(__xludf.DUMMYFUNCTION("IMPORTRANGE(H34720,""IDENTITAS UNIT!D9"")"),"#N/A")</f>
        <v>#N/A</v>
      </c>
      <c r="H34720" s="4" t="str">
        <v/>
      </c>
      <c r="I34720" s="4" t="str">
        <v/>
      </c>
    </row>
    <row r="34721" spans="5:9" ht="16.5" hidden="1">
      <c r="E34721" s="4" t="str">
        <v/>
      </c>
      <c r="F34721" s="102" t="str">
        <f ca="1">IFERROR(__xludf.DUMMYFUNCTION("IMPORTRANGE(H34721,""IDENTITAS UNIT!D9"")"),"#N/A")</f>
        <v>#N/A</v>
      </c>
      <c r="H34721" s="4" t="str">
        <v/>
      </c>
      <c r="I34721" s="4" t="str">
        <v/>
      </c>
    </row>
    <row r="34722" spans="5:9" ht="16.5" hidden="1">
      <c r="E34722" s="4" t="str">
        <v/>
      </c>
      <c r="F34722" s="102" t="str">
        <f ca="1">IFERROR(__xludf.DUMMYFUNCTION("IMPORTRANGE(H34722,""IDENTITAS UNIT!D9"")"),"#N/A")</f>
        <v>#N/A</v>
      </c>
      <c r="H34722" s="4" t="str">
        <v/>
      </c>
      <c r="I34722" s="4" t="str">
        <v/>
      </c>
    </row>
    <row r="34723" spans="5:9" ht="16.5" hidden="1">
      <c r="E34723" s="4" t="str">
        <v/>
      </c>
      <c r="F34723" s="102" t="str">
        <f ca="1">IFERROR(__xludf.DUMMYFUNCTION("IMPORTRANGE(H34723,""IDENTITAS UNIT!D9"")"),"#N/A")</f>
        <v>#N/A</v>
      </c>
      <c r="H34723" s="4" t="str">
        <v/>
      </c>
      <c r="I34723" s="4" t="str">
        <v/>
      </c>
    </row>
    <row r="34724" spans="5:9" ht="16.5" hidden="1">
      <c r="E34724" s="4" t="str">
        <v/>
      </c>
      <c r="F34724" s="102" t="str">
        <f ca="1">IFERROR(__xludf.DUMMYFUNCTION("IMPORTRANGE(H34724,""IDENTITAS UNIT!D9"")"),"#N/A")</f>
        <v>#N/A</v>
      </c>
      <c r="H34724" s="4" t="str">
        <v/>
      </c>
      <c r="I34724" s="4" t="str">
        <v/>
      </c>
    </row>
    <row r="34725" spans="5:9" ht="16.5" hidden="1">
      <c r="E34725" s="4" t="str">
        <v/>
      </c>
      <c r="F34725" s="102" t="str">
        <f ca="1">IFERROR(__xludf.DUMMYFUNCTION("IMPORTRANGE(H34725,""IDENTITAS UNIT!D9"")"),"#N/A")</f>
        <v>#N/A</v>
      </c>
      <c r="H34725" s="4" t="str">
        <v/>
      </c>
      <c r="I34725" s="4" t="str">
        <v/>
      </c>
    </row>
    <row r="34726" spans="5:9" ht="16.5" hidden="1">
      <c r="E34726" s="4" t="str">
        <v/>
      </c>
      <c r="F34726" s="102" t="str">
        <f ca="1">IFERROR(__xludf.DUMMYFUNCTION("IMPORTRANGE(H34726,""IDENTITAS UNIT!D9"")"),"#N/A")</f>
        <v>#N/A</v>
      </c>
      <c r="H34726" s="4" t="str">
        <v/>
      </c>
      <c r="I34726" s="4" t="str">
        <v/>
      </c>
    </row>
    <row r="34727" spans="5:9" ht="16.5" hidden="1">
      <c r="E34727" s="4" t="str">
        <v/>
      </c>
      <c r="F34727" s="102" t="str">
        <f ca="1">IFERROR(__xludf.DUMMYFUNCTION("IMPORTRANGE(H34727,""IDENTITAS UNIT!D9"")"),"#N/A")</f>
        <v>#N/A</v>
      </c>
      <c r="H34727" s="4" t="str">
        <v/>
      </c>
      <c r="I34727" s="4" t="str">
        <v/>
      </c>
    </row>
    <row r="34728" spans="5:9" ht="16.5" hidden="1">
      <c r="E34728" s="4" t="str">
        <v/>
      </c>
      <c r="F34728" s="102" t="str">
        <f ca="1">IFERROR(__xludf.DUMMYFUNCTION("IMPORTRANGE(H34728,""IDENTITAS UNIT!D9"")"),"#N/A")</f>
        <v>#N/A</v>
      </c>
      <c r="H34728" s="4" t="str">
        <v/>
      </c>
      <c r="I34728" s="4" t="str">
        <v/>
      </c>
    </row>
    <row r="34729" spans="5:9" ht="16.5" hidden="1">
      <c r="E34729" s="4" t="str">
        <v/>
      </c>
      <c r="F34729" s="102" t="str">
        <f ca="1">IFERROR(__xludf.DUMMYFUNCTION("IMPORTRANGE(H34729,""IDENTITAS UNIT!D9"")"),"#N/A")</f>
        <v>#N/A</v>
      </c>
      <c r="H34729" s="4" t="str">
        <v/>
      </c>
      <c r="I34729" s="4" t="str">
        <v/>
      </c>
    </row>
    <row r="34730" spans="5:9" ht="16.5" hidden="1">
      <c r="E34730" s="4" t="str">
        <v/>
      </c>
      <c r="F34730" s="102" t="str">
        <f ca="1">IFERROR(__xludf.DUMMYFUNCTION("IMPORTRANGE(H34730,""IDENTITAS UNIT!D9"")"),"#N/A")</f>
        <v>#N/A</v>
      </c>
      <c r="H34730" s="4" t="str">
        <v/>
      </c>
      <c r="I34730" s="4" t="str">
        <v/>
      </c>
    </row>
    <row r="34731" spans="5:9" ht="16.5" hidden="1">
      <c r="E34731" s="4" t="str">
        <v/>
      </c>
      <c r="F34731" s="102" t="str">
        <f ca="1">IFERROR(__xludf.DUMMYFUNCTION("IMPORTRANGE(H34731,""IDENTITAS UNIT!D9"")"),"#N/A")</f>
        <v>#N/A</v>
      </c>
      <c r="H34731" s="4" t="str">
        <v/>
      </c>
      <c r="I34731" s="4" t="str">
        <v/>
      </c>
    </row>
    <row r="34732" spans="5:9" ht="16.5" hidden="1">
      <c r="E34732" s="4" t="str">
        <v/>
      </c>
      <c r="F34732" s="102" t="str">
        <f ca="1">IFERROR(__xludf.DUMMYFUNCTION("IMPORTRANGE(H34732,""IDENTITAS UNIT!D9"")"),"#N/A")</f>
        <v>#N/A</v>
      </c>
      <c r="H34732" s="4" t="str">
        <v/>
      </c>
      <c r="I34732" s="4" t="str">
        <v/>
      </c>
    </row>
    <row r="34733" spans="5:9" ht="16.5" hidden="1">
      <c r="E34733" s="4" t="str">
        <v/>
      </c>
      <c r="F34733" s="102" t="str">
        <f ca="1">IFERROR(__xludf.DUMMYFUNCTION("IMPORTRANGE(H34733,""IDENTITAS UNIT!D9"")"),"#N/A")</f>
        <v>#N/A</v>
      </c>
      <c r="H34733" s="4" t="str">
        <v/>
      </c>
      <c r="I34733" s="4" t="str">
        <v/>
      </c>
    </row>
    <row r="34734" spans="5:9" ht="16.5" hidden="1">
      <c r="E34734" s="4" t="str">
        <v/>
      </c>
      <c r="F34734" s="102" t="str">
        <f ca="1">IFERROR(__xludf.DUMMYFUNCTION("IMPORTRANGE(H34734,""IDENTITAS UNIT!D9"")"),"#N/A")</f>
        <v>#N/A</v>
      </c>
      <c r="H34734" s="4" t="str">
        <v/>
      </c>
      <c r="I34734" s="4" t="str">
        <v/>
      </c>
    </row>
    <row r="34735" spans="5:9" ht="16.5" hidden="1">
      <c r="E34735" s="4" t="str">
        <v/>
      </c>
      <c r="F34735" s="102" t="str">
        <f ca="1">IFERROR(__xludf.DUMMYFUNCTION("IMPORTRANGE(H34735,""IDENTITAS UNIT!D9"")"),"#N/A")</f>
        <v>#N/A</v>
      </c>
      <c r="H34735" s="4" t="str">
        <v/>
      </c>
      <c r="I34735" s="4" t="str">
        <v/>
      </c>
    </row>
    <row r="34736" spans="5:9" ht="16.5" hidden="1">
      <c r="E34736" s="4" t="str">
        <v/>
      </c>
      <c r="F34736" s="102" t="str">
        <f ca="1">IFERROR(__xludf.DUMMYFUNCTION("IMPORTRANGE(H34736,""IDENTITAS UNIT!D9"")"),"#N/A")</f>
        <v>#N/A</v>
      </c>
      <c r="H34736" s="4" t="str">
        <v/>
      </c>
      <c r="I34736" s="4" t="str">
        <v/>
      </c>
    </row>
    <row r="34737" spans="5:9" ht="16.5" hidden="1">
      <c r="E34737" s="4" t="str">
        <v/>
      </c>
      <c r="F34737" s="102" t="str">
        <f ca="1">IFERROR(__xludf.DUMMYFUNCTION("IMPORTRANGE(H34737,""IDENTITAS UNIT!D9"")"),"#N/A")</f>
        <v>#N/A</v>
      </c>
      <c r="H34737" s="4" t="str">
        <v/>
      </c>
      <c r="I34737" s="4" t="str">
        <v/>
      </c>
    </row>
    <row r="34738" spans="5:9" ht="16.5" hidden="1">
      <c r="E34738" s="4" t="str">
        <v/>
      </c>
      <c r="F34738" s="102" t="str">
        <f ca="1">IFERROR(__xludf.DUMMYFUNCTION("IMPORTRANGE(H34738,""IDENTITAS UNIT!D9"")"),"#N/A")</f>
        <v>#N/A</v>
      </c>
      <c r="H34738" s="4" t="str">
        <v/>
      </c>
      <c r="I34738" s="4" t="str">
        <v/>
      </c>
    </row>
    <row r="34739" spans="5:9" ht="16.5" hidden="1">
      <c r="E34739" s="4" t="str">
        <v/>
      </c>
      <c r="F34739" s="102" t="str">
        <f ca="1">IFERROR(__xludf.DUMMYFUNCTION("IMPORTRANGE(H34739,""IDENTITAS UNIT!D9"")"),"#N/A")</f>
        <v>#N/A</v>
      </c>
      <c r="H34739" s="4" t="str">
        <v/>
      </c>
      <c r="I34739" s="4" t="str">
        <v/>
      </c>
    </row>
    <row r="34740" spans="5:9" ht="16.5" hidden="1">
      <c r="E34740" s="4" t="str">
        <v/>
      </c>
      <c r="F34740" s="102" t="str">
        <f ca="1">IFERROR(__xludf.DUMMYFUNCTION("IMPORTRANGE(H34740,""IDENTITAS UNIT!D9"")"),"#N/A")</f>
        <v>#N/A</v>
      </c>
      <c r="H34740" s="4" t="str">
        <v/>
      </c>
      <c r="I34740" s="4" t="str">
        <v/>
      </c>
    </row>
    <row r="34741" spans="5:9" ht="16.5" hidden="1">
      <c r="E34741" s="4" t="str">
        <v/>
      </c>
      <c r="F34741" s="102" t="str">
        <f ca="1">IFERROR(__xludf.DUMMYFUNCTION("IMPORTRANGE(H34741,""IDENTITAS UNIT!D9"")"),"#N/A")</f>
        <v>#N/A</v>
      </c>
      <c r="H34741" s="4" t="str">
        <v/>
      </c>
      <c r="I34741" s="4" t="str">
        <v/>
      </c>
    </row>
    <row r="34742" spans="5:9" ht="16.5" hidden="1">
      <c r="E34742" s="4" t="str">
        <v/>
      </c>
      <c r="F34742" s="102" t="str">
        <f ca="1">IFERROR(__xludf.DUMMYFUNCTION("IMPORTRANGE(H34742,""IDENTITAS UNIT!D9"")"),"#N/A")</f>
        <v>#N/A</v>
      </c>
      <c r="H34742" s="4" t="str">
        <v/>
      </c>
      <c r="I34742" s="4" t="str">
        <v/>
      </c>
    </row>
    <row r="34743" spans="5:9" ht="16.5" hidden="1">
      <c r="E34743" s="4" t="str">
        <v/>
      </c>
      <c r="F34743" s="102" t="str">
        <f ca="1">IFERROR(__xludf.DUMMYFUNCTION("IMPORTRANGE(H34743,""IDENTITAS UNIT!D9"")"),"#N/A")</f>
        <v>#N/A</v>
      </c>
      <c r="H34743" s="4" t="str">
        <v/>
      </c>
      <c r="I34743" s="4" t="str">
        <v/>
      </c>
    </row>
    <row r="34744" spans="5:9" ht="16.5" hidden="1">
      <c r="E34744" s="4" t="str">
        <v/>
      </c>
      <c r="F34744" s="102" t="str">
        <f ca="1">IFERROR(__xludf.DUMMYFUNCTION("IMPORTRANGE(H34744,""IDENTITAS UNIT!D9"")"),"#N/A")</f>
        <v>#N/A</v>
      </c>
      <c r="H34744" s="4" t="str">
        <v/>
      </c>
      <c r="I34744" s="4" t="str">
        <v/>
      </c>
    </row>
    <row r="34745" spans="5:9" ht="16.5" hidden="1">
      <c r="E34745" s="4" t="str">
        <v/>
      </c>
      <c r="F34745" s="102" t="str">
        <f ca="1">IFERROR(__xludf.DUMMYFUNCTION("IMPORTRANGE(H34745,""IDENTITAS UNIT!D9"")"),"#N/A")</f>
        <v>#N/A</v>
      </c>
      <c r="H34745" s="4" t="str">
        <v/>
      </c>
      <c r="I34745" s="4" t="str">
        <v/>
      </c>
    </row>
    <row r="34746" spans="5:9" ht="16.5" hidden="1">
      <c r="E34746" s="4" t="str">
        <v/>
      </c>
      <c r="F34746" s="102" t="str">
        <f ca="1">IFERROR(__xludf.DUMMYFUNCTION("IMPORTRANGE(H34746,""IDENTITAS UNIT!D9"")"),"#N/A")</f>
        <v>#N/A</v>
      </c>
      <c r="H34746" s="4" t="str">
        <v/>
      </c>
      <c r="I34746" s="4" t="str">
        <v/>
      </c>
    </row>
    <row r="34747" spans="5:9" ht="16.5" hidden="1">
      <c r="E34747" s="4" t="str">
        <v/>
      </c>
      <c r="F34747" s="102" t="str">
        <f ca="1">IFERROR(__xludf.DUMMYFUNCTION("IMPORTRANGE(H34747,""IDENTITAS UNIT!D9"")"),"#N/A")</f>
        <v>#N/A</v>
      </c>
      <c r="H34747" s="4" t="str">
        <v/>
      </c>
      <c r="I34747" s="4" t="str">
        <v/>
      </c>
    </row>
    <row r="34748" spans="5:9" ht="16.5" hidden="1">
      <c r="E34748" s="4" t="str">
        <v/>
      </c>
      <c r="F34748" s="102" t="str">
        <f ca="1">IFERROR(__xludf.DUMMYFUNCTION("IMPORTRANGE(H34748,""IDENTITAS UNIT!D9"")"),"#N/A")</f>
        <v>#N/A</v>
      </c>
      <c r="H34748" s="4" t="str">
        <v/>
      </c>
      <c r="I34748" s="4" t="str">
        <v/>
      </c>
    </row>
    <row r="34749" spans="5:9" ht="16.5" hidden="1">
      <c r="E34749" s="4" t="str">
        <v/>
      </c>
      <c r="F34749" s="102" t="str">
        <f ca="1">IFERROR(__xludf.DUMMYFUNCTION("IMPORTRANGE(H34749,""IDENTITAS UNIT!D9"")"),"#N/A")</f>
        <v>#N/A</v>
      </c>
      <c r="H34749" s="4" t="str">
        <v/>
      </c>
      <c r="I34749" s="4" t="str">
        <v/>
      </c>
    </row>
    <row r="34750" spans="5:9" ht="16.5" hidden="1">
      <c r="E34750" s="4" t="str">
        <v/>
      </c>
      <c r="F34750" s="102" t="str">
        <f ca="1">IFERROR(__xludf.DUMMYFUNCTION("IMPORTRANGE(H34750,""IDENTITAS UNIT!D9"")"),"#N/A")</f>
        <v>#N/A</v>
      </c>
      <c r="H34750" s="4" t="str">
        <v/>
      </c>
      <c r="I34750" s="4" t="str">
        <v/>
      </c>
    </row>
    <row r="34751" spans="5:9" ht="16.5" hidden="1">
      <c r="E34751" s="4" t="str">
        <v/>
      </c>
      <c r="F34751" s="102" t="str">
        <f ca="1">IFERROR(__xludf.DUMMYFUNCTION("IMPORTRANGE(H34751,""IDENTITAS UNIT!D9"")"),"#N/A")</f>
        <v>#N/A</v>
      </c>
      <c r="H34751" s="4" t="str">
        <v/>
      </c>
      <c r="I34751" s="4" t="str">
        <v/>
      </c>
    </row>
    <row r="34752" spans="5:9" ht="16.5" hidden="1">
      <c r="E34752" s="4" t="str">
        <v/>
      </c>
      <c r="F34752" s="102" t="str">
        <f ca="1">IFERROR(__xludf.DUMMYFUNCTION("IMPORTRANGE(H34752,""IDENTITAS UNIT!D9"")"),"#N/A")</f>
        <v>#N/A</v>
      </c>
      <c r="H34752" s="4" t="str">
        <v/>
      </c>
      <c r="I34752" s="4" t="str">
        <v/>
      </c>
    </row>
    <row r="34753" spans="5:9" ht="16.5" hidden="1">
      <c r="E34753" s="4" t="str">
        <v/>
      </c>
      <c r="F34753" s="102" t="str">
        <f ca="1">IFERROR(__xludf.DUMMYFUNCTION("IMPORTRANGE(H34753,""IDENTITAS UNIT!D9"")"),"#N/A")</f>
        <v>#N/A</v>
      </c>
      <c r="H34753" s="4" t="str">
        <v/>
      </c>
      <c r="I34753" s="4" t="str">
        <v/>
      </c>
    </row>
    <row r="34754" spans="5:9" ht="16.5" hidden="1">
      <c r="E34754" s="4" t="str">
        <v/>
      </c>
      <c r="F34754" s="102" t="str">
        <f ca="1">IFERROR(__xludf.DUMMYFUNCTION("IMPORTRANGE(H34754,""IDENTITAS UNIT!D9"")"),"#N/A")</f>
        <v>#N/A</v>
      </c>
      <c r="H34754" s="4" t="str">
        <v/>
      </c>
      <c r="I34754" s="4" t="str">
        <v/>
      </c>
    </row>
    <row r="34755" spans="5:9" ht="16.5" hidden="1">
      <c r="E34755" s="4" t="str">
        <v/>
      </c>
      <c r="F34755" s="102" t="str">
        <f ca="1">IFERROR(__xludf.DUMMYFUNCTION("IMPORTRANGE(H34755,""IDENTITAS UNIT!D9"")"),"#N/A")</f>
        <v>#N/A</v>
      </c>
      <c r="H34755" s="4" t="str">
        <v/>
      </c>
      <c r="I34755" s="4" t="str">
        <v/>
      </c>
    </row>
    <row r="34756" spans="5:9" ht="16.5" hidden="1">
      <c r="E34756" s="4" t="str">
        <v/>
      </c>
      <c r="F34756" s="102" t="str">
        <f ca="1">IFERROR(__xludf.DUMMYFUNCTION("IMPORTRANGE(H34756,""IDENTITAS UNIT!D9"")"),"#N/A")</f>
        <v>#N/A</v>
      </c>
      <c r="H34756" s="4" t="str">
        <v/>
      </c>
      <c r="I34756" s="4" t="str">
        <v/>
      </c>
    </row>
    <row r="34757" spans="5:9" ht="16.5" hidden="1">
      <c r="E34757" s="4" t="str">
        <v/>
      </c>
      <c r="F34757" s="102" t="str">
        <f ca="1">IFERROR(__xludf.DUMMYFUNCTION("IMPORTRANGE(H34757,""IDENTITAS UNIT!D9"")"),"#N/A")</f>
        <v>#N/A</v>
      </c>
      <c r="H34757" s="4" t="str">
        <v/>
      </c>
      <c r="I34757" s="4" t="str">
        <v/>
      </c>
    </row>
    <row r="34758" spans="5:9" ht="16.5" hidden="1">
      <c r="E34758" s="4" t="str">
        <v/>
      </c>
      <c r="F34758" s="102" t="str">
        <f ca="1">IFERROR(__xludf.DUMMYFUNCTION("IMPORTRANGE(H34758,""IDENTITAS UNIT!D9"")"),"#N/A")</f>
        <v>#N/A</v>
      </c>
      <c r="H34758" s="4" t="str">
        <v/>
      </c>
      <c r="I34758" s="4" t="str">
        <v/>
      </c>
    </row>
    <row r="34759" spans="5:9" ht="16.5" hidden="1">
      <c r="E34759" s="4" t="str">
        <v/>
      </c>
      <c r="F34759" s="102" t="str">
        <f ca="1">IFERROR(__xludf.DUMMYFUNCTION("IMPORTRANGE(H34759,""IDENTITAS UNIT!D9"")"),"#N/A")</f>
        <v>#N/A</v>
      </c>
      <c r="H34759" s="4" t="str">
        <v/>
      </c>
      <c r="I34759" s="4" t="str">
        <v/>
      </c>
    </row>
    <row r="34760" spans="5:9" ht="16.5" hidden="1">
      <c r="E34760" s="4" t="str">
        <v/>
      </c>
      <c r="F34760" s="102" t="str">
        <f ca="1">IFERROR(__xludf.DUMMYFUNCTION("IMPORTRANGE(H34760,""IDENTITAS UNIT!D9"")"),"#N/A")</f>
        <v>#N/A</v>
      </c>
      <c r="H34760" s="4" t="str">
        <v/>
      </c>
      <c r="I34760" s="4" t="str">
        <v/>
      </c>
    </row>
    <row r="34761" spans="5:9" ht="16.5" hidden="1">
      <c r="E34761" s="4" t="str">
        <v/>
      </c>
      <c r="F34761" s="102" t="str">
        <f ca="1">IFERROR(__xludf.DUMMYFUNCTION("IMPORTRANGE(H34761,""IDENTITAS UNIT!D9"")"),"#N/A")</f>
        <v>#N/A</v>
      </c>
      <c r="H34761" s="4" t="str">
        <v/>
      </c>
      <c r="I34761" s="4" t="str">
        <v/>
      </c>
    </row>
    <row r="34762" spans="5:9" ht="16.5" hidden="1">
      <c r="E34762" s="4" t="str">
        <v/>
      </c>
      <c r="F34762" s="102" t="str">
        <f ca="1">IFERROR(__xludf.DUMMYFUNCTION("IMPORTRANGE(H34762,""IDENTITAS UNIT!D9"")"),"#N/A")</f>
        <v>#N/A</v>
      </c>
      <c r="H34762" s="4" t="str">
        <v/>
      </c>
      <c r="I34762" s="4" t="str">
        <v/>
      </c>
    </row>
    <row r="34763" spans="5:9" ht="16.5" hidden="1">
      <c r="E34763" s="4" t="str">
        <v/>
      </c>
      <c r="F34763" s="102" t="str">
        <f ca="1">IFERROR(__xludf.DUMMYFUNCTION("IMPORTRANGE(H34763,""IDENTITAS UNIT!D9"")"),"#N/A")</f>
        <v>#N/A</v>
      </c>
      <c r="H34763" s="4" t="str">
        <v/>
      </c>
      <c r="I34763" s="4" t="str">
        <v/>
      </c>
    </row>
    <row r="34764" spans="5:9" ht="16.5" hidden="1">
      <c r="E34764" s="4" t="str">
        <v/>
      </c>
      <c r="F34764" s="102" t="str">
        <f ca="1">IFERROR(__xludf.DUMMYFUNCTION("IMPORTRANGE(H34764,""IDENTITAS UNIT!D9"")"),"#N/A")</f>
        <v>#N/A</v>
      </c>
      <c r="H34764" s="4" t="str">
        <v/>
      </c>
      <c r="I34764" s="4" t="str">
        <v/>
      </c>
    </row>
    <row r="34765" spans="5:9" ht="16.5" hidden="1">
      <c r="E34765" s="4" t="str">
        <v/>
      </c>
      <c r="F34765" s="102" t="str">
        <f ca="1">IFERROR(__xludf.DUMMYFUNCTION("IMPORTRANGE(H34765,""IDENTITAS UNIT!D9"")"),"#N/A")</f>
        <v>#N/A</v>
      </c>
      <c r="H34765" s="4" t="str">
        <v/>
      </c>
      <c r="I34765" s="4" t="str">
        <v/>
      </c>
    </row>
    <row r="34766" spans="5:9" ht="16.5" hidden="1">
      <c r="E34766" s="4" t="str">
        <v/>
      </c>
      <c r="F34766" s="102" t="str">
        <f ca="1">IFERROR(__xludf.DUMMYFUNCTION("IMPORTRANGE(H34766,""IDENTITAS UNIT!D9"")"),"#N/A")</f>
        <v>#N/A</v>
      </c>
      <c r="H34766" s="4" t="str">
        <v/>
      </c>
      <c r="I34766" s="4" t="str">
        <v/>
      </c>
    </row>
    <row r="34767" spans="5:9" ht="16.5" hidden="1">
      <c r="E34767" s="4" t="str">
        <v/>
      </c>
      <c r="F34767" s="102" t="str">
        <f ca="1">IFERROR(__xludf.DUMMYFUNCTION("IMPORTRANGE(H34767,""IDENTITAS UNIT!D9"")"),"#N/A")</f>
        <v>#N/A</v>
      </c>
      <c r="H34767" s="4" t="str">
        <v/>
      </c>
      <c r="I34767" s="4" t="str">
        <v/>
      </c>
    </row>
    <row r="34768" spans="5:9" ht="16.5" hidden="1">
      <c r="E34768" s="4" t="str">
        <v/>
      </c>
      <c r="F34768" s="102" t="str">
        <f ca="1">IFERROR(__xludf.DUMMYFUNCTION("IMPORTRANGE(H34768,""IDENTITAS UNIT!D9"")"),"#N/A")</f>
        <v>#N/A</v>
      </c>
      <c r="H34768" s="4" t="str">
        <v/>
      </c>
      <c r="I34768" s="4" t="str">
        <v/>
      </c>
    </row>
    <row r="34769" spans="5:9" ht="16.5" hidden="1">
      <c r="E34769" s="4" t="str">
        <v/>
      </c>
      <c r="F34769" s="102" t="str">
        <f ca="1">IFERROR(__xludf.DUMMYFUNCTION("IMPORTRANGE(H34769,""IDENTITAS UNIT!D9"")"),"#N/A")</f>
        <v>#N/A</v>
      </c>
      <c r="H34769" s="4" t="str">
        <v/>
      </c>
      <c r="I34769" s="4" t="str">
        <v/>
      </c>
    </row>
    <row r="34770" spans="5:9" ht="16.5" hidden="1">
      <c r="E34770" s="4" t="str">
        <v/>
      </c>
      <c r="F34770" s="102" t="str">
        <f ca="1">IFERROR(__xludf.DUMMYFUNCTION("IMPORTRANGE(H34770,""IDENTITAS UNIT!D9"")"),"#N/A")</f>
        <v>#N/A</v>
      </c>
      <c r="H34770" s="4" t="str">
        <v/>
      </c>
      <c r="I34770" s="4" t="str">
        <v/>
      </c>
    </row>
    <row r="34771" spans="5:9" ht="16.5" hidden="1">
      <c r="E34771" s="4" t="str">
        <v/>
      </c>
      <c r="F34771" s="102" t="str">
        <f ca="1">IFERROR(__xludf.DUMMYFUNCTION("IMPORTRANGE(H34771,""IDENTITAS UNIT!D9"")"),"#N/A")</f>
        <v>#N/A</v>
      </c>
      <c r="H34771" s="4" t="str">
        <v/>
      </c>
      <c r="I34771" s="4" t="str">
        <v/>
      </c>
    </row>
    <row r="34772" spans="5:9" ht="16.5" hidden="1">
      <c r="E34772" s="4" t="str">
        <v/>
      </c>
      <c r="F34772" s="102" t="str">
        <f ca="1">IFERROR(__xludf.DUMMYFUNCTION("IMPORTRANGE(H34772,""IDENTITAS UNIT!D9"")"),"#N/A")</f>
        <v>#N/A</v>
      </c>
      <c r="H34772" s="4" t="str">
        <v/>
      </c>
      <c r="I34772" s="4" t="str">
        <v/>
      </c>
    </row>
    <row r="34773" spans="5:9" ht="16.5" hidden="1">
      <c r="E34773" s="4" t="str">
        <v/>
      </c>
      <c r="F34773" s="102" t="str">
        <f ca="1">IFERROR(__xludf.DUMMYFUNCTION("IMPORTRANGE(H34773,""IDENTITAS UNIT!D9"")"),"#N/A")</f>
        <v>#N/A</v>
      </c>
      <c r="H34773" s="4" t="str">
        <v/>
      </c>
      <c r="I34773" s="4" t="str">
        <v/>
      </c>
    </row>
    <row r="34774" spans="5:9" ht="16.5" hidden="1">
      <c r="E34774" s="4" t="str">
        <v/>
      </c>
      <c r="F34774" s="102" t="str">
        <f ca="1">IFERROR(__xludf.DUMMYFUNCTION("IMPORTRANGE(H34774,""IDENTITAS UNIT!D9"")"),"#N/A")</f>
        <v>#N/A</v>
      </c>
      <c r="H34774" s="4" t="str">
        <v/>
      </c>
      <c r="I34774" s="4" t="str">
        <v/>
      </c>
    </row>
    <row r="34775" spans="5:9" ht="16.5" hidden="1">
      <c r="E34775" s="4" t="str">
        <v/>
      </c>
      <c r="F34775" s="102" t="str">
        <f ca="1">IFERROR(__xludf.DUMMYFUNCTION("IMPORTRANGE(H34775,""IDENTITAS UNIT!D9"")"),"#N/A")</f>
        <v>#N/A</v>
      </c>
      <c r="H34775" s="4" t="str">
        <v/>
      </c>
      <c r="I34775" s="4" t="str">
        <v/>
      </c>
    </row>
    <row r="34776" spans="5:9" ht="16.5" hidden="1">
      <c r="E34776" s="4" t="str">
        <v/>
      </c>
      <c r="F34776" s="102" t="str">
        <f ca="1">IFERROR(__xludf.DUMMYFUNCTION("IMPORTRANGE(H34776,""IDENTITAS UNIT!D9"")"),"#N/A")</f>
        <v>#N/A</v>
      </c>
      <c r="H34776" s="4" t="str">
        <v/>
      </c>
      <c r="I34776" s="4" t="str">
        <v/>
      </c>
    </row>
    <row r="34777" spans="5:9" ht="16.5" hidden="1">
      <c r="E34777" s="4" t="str">
        <v/>
      </c>
      <c r="F34777" s="102" t="str">
        <f ca="1">IFERROR(__xludf.DUMMYFUNCTION("IMPORTRANGE(H34777,""IDENTITAS UNIT!D9"")"),"#N/A")</f>
        <v>#N/A</v>
      </c>
      <c r="H34777" s="4" t="str">
        <v/>
      </c>
      <c r="I34777" s="4" t="str">
        <v/>
      </c>
    </row>
    <row r="34778" spans="5:9" ht="16.5" hidden="1">
      <c r="E34778" s="4" t="str">
        <v/>
      </c>
      <c r="F34778" s="102" t="str">
        <f ca="1">IFERROR(__xludf.DUMMYFUNCTION("IMPORTRANGE(H34778,""IDENTITAS UNIT!D9"")"),"#N/A")</f>
        <v>#N/A</v>
      </c>
      <c r="H34778" s="4" t="str">
        <v/>
      </c>
      <c r="I34778" s="4" t="str">
        <v/>
      </c>
    </row>
    <row r="34779" spans="5:9" ht="16.5" hidden="1">
      <c r="E34779" s="4" t="str">
        <v/>
      </c>
      <c r="F34779" s="102" t="str">
        <f ca="1">IFERROR(__xludf.DUMMYFUNCTION("IMPORTRANGE(H34779,""IDENTITAS UNIT!D9"")"),"#N/A")</f>
        <v>#N/A</v>
      </c>
      <c r="H34779" s="4" t="str">
        <v/>
      </c>
      <c r="I34779" s="4" t="str">
        <v/>
      </c>
    </row>
    <row r="34780" spans="5:9" ht="16.5" hidden="1">
      <c r="E34780" s="4" t="str">
        <v/>
      </c>
      <c r="F34780" s="102" t="str">
        <f ca="1">IFERROR(__xludf.DUMMYFUNCTION("IMPORTRANGE(H34780,""IDENTITAS UNIT!D9"")"),"#N/A")</f>
        <v>#N/A</v>
      </c>
      <c r="H34780" s="4" t="str">
        <v/>
      </c>
      <c r="I34780" s="4" t="str">
        <v/>
      </c>
    </row>
    <row r="34781" spans="5:9" ht="16.5" hidden="1">
      <c r="E34781" s="4" t="str">
        <v/>
      </c>
      <c r="F34781" s="102" t="str">
        <f ca="1">IFERROR(__xludf.DUMMYFUNCTION("IMPORTRANGE(H34781,""IDENTITAS UNIT!D9"")"),"#N/A")</f>
        <v>#N/A</v>
      </c>
      <c r="H34781" s="4" t="str">
        <v/>
      </c>
      <c r="I34781" s="4" t="str">
        <v/>
      </c>
    </row>
    <row r="34782" spans="5:9" ht="16.5" hidden="1">
      <c r="E34782" s="4" t="str">
        <v/>
      </c>
      <c r="F34782" s="102" t="str">
        <f ca="1">IFERROR(__xludf.DUMMYFUNCTION("IMPORTRANGE(H34782,""IDENTITAS UNIT!D9"")"),"#N/A")</f>
        <v>#N/A</v>
      </c>
      <c r="H34782" s="4" t="str">
        <v/>
      </c>
      <c r="I34782" s="4" t="str">
        <v/>
      </c>
    </row>
    <row r="34783" spans="5:9" ht="16.5" hidden="1">
      <c r="E34783" s="4" t="str">
        <v/>
      </c>
      <c r="F34783" s="102" t="str">
        <f ca="1">IFERROR(__xludf.DUMMYFUNCTION("IMPORTRANGE(H34783,""IDENTITAS UNIT!D9"")"),"#N/A")</f>
        <v>#N/A</v>
      </c>
      <c r="H34783" s="4" t="str">
        <v/>
      </c>
      <c r="I34783" s="4" t="str">
        <v/>
      </c>
    </row>
    <row r="34784" spans="5:9" ht="16.5" hidden="1">
      <c r="E34784" s="4" t="str">
        <v/>
      </c>
      <c r="F34784" s="102" t="str">
        <f ca="1">IFERROR(__xludf.DUMMYFUNCTION("IMPORTRANGE(H34784,""IDENTITAS UNIT!D9"")"),"#N/A")</f>
        <v>#N/A</v>
      </c>
      <c r="H34784" s="4" t="str">
        <v/>
      </c>
      <c r="I34784" s="4" t="str">
        <v/>
      </c>
    </row>
    <row r="34785" spans="5:9" ht="16.5" hidden="1">
      <c r="E34785" s="4" t="str">
        <v/>
      </c>
      <c r="F34785" s="102" t="str">
        <f ca="1">IFERROR(__xludf.DUMMYFUNCTION("IMPORTRANGE(H34785,""IDENTITAS UNIT!D9"")"),"#N/A")</f>
        <v>#N/A</v>
      </c>
      <c r="H34785" s="4" t="str">
        <v/>
      </c>
      <c r="I34785" s="4" t="str">
        <v/>
      </c>
    </row>
    <row r="34786" spans="5:9" ht="16.5" hidden="1">
      <c r="E34786" s="4" t="str">
        <v/>
      </c>
      <c r="F34786" s="102" t="str">
        <f ca="1">IFERROR(__xludf.DUMMYFUNCTION("IMPORTRANGE(H34786,""IDENTITAS UNIT!D9"")"),"#N/A")</f>
        <v>#N/A</v>
      </c>
      <c r="H34786" s="4" t="str">
        <v/>
      </c>
      <c r="I34786" s="4" t="str">
        <v/>
      </c>
    </row>
    <row r="34787" spans="5:9" ht="16.5" hidden="1">
      <c r="E34787" s="4" t="str">
        <v/>
      </c>
      <c r="F34787" s="102" t="str">
        <f ca="1">IFERROR(__xludf.DUMMYFUNCTION("IMPORTRANGE(H34787,""IDENTITAS UNIT!D9"")"),"#N/A")</f>
        <v>#N/A</v>
      </c>
      <c r="H34787" s="4" t="str">
        <v/>
      </c>
      <c r="I34787" s="4" t="str">
        <v/>
      </c>
    </row>
    <row r="34788" spans="5:9" ht="16.5" hidden="1">
      <c r="E34788" s="4" t="str">
        <v/>
      </c>
      <c r="F34788" s="102" t="str">
        <f ca="1">IFERROR(__xludf.DUMMYFUNCTION("IMPORTRANGE(H34788,""IDENTITAS UNIT!D9"")"),"#N/A")</f>
        <v>#N/A</v>
      </c>
      <c r="H34788" s="4" t="str">
        <v/>
      </c>
      <c r="I34788" s="4" t="str">
        <v/>
      </c>
    </row>
    <row r="34789" spans="5:9" ht="16.5" hidden="1">
      <c r="E34789" s="4" t="str">
        <v/>
      </c>
      <c r="F34789" s="102" t="str">
        <f ca="1">IFERROR(__xludf.DUMMYFUNCTION("IMPORTRANGE(H34789,""IDENTITAS UNIT!D9"")"),"#N/A")</f>
        <v>#N/A</v>
      </c>
      <c r="H34789" s="4" t="str">
        <v/>
      </c>
      <c r="I34789" s="4" t="str">
        <v/>
      </c>
    </row>
    <row r="34790" spans="5:9" ht="16.5" hidden="1">
      <c r="E34790" s="4" t="str">
        <v/>
      </c>
      <c r="F34790" s="102" t="str">
        <f ca="1">IFERROR(__xludf.DUMMYFUNCTION("IMPORTRANGE(H34790,""IDENTITAS UNIT!D9"")"),"#N/A")</f>
        <v>#N/A</v>
      </c>
      <c r="H34790" s="4" t="str">
        <v/>
      </c>
      <c r="I34790" s="4" t="str">
        <v/>
      </c>
    </row>
    <row r="34791" spans="5:9" ht="16.5" hidden="1">
      <c r="E34791" s="4" t="str">
        <v/>
      </c>
      <c r="F34791" s="102" t="str">
        <f ca="1">IFERROR(__xludf.DUMMYFUNCTION("IMPORTRANGE(H34791,""IDENTITAS UNIT!D9"")"),"#N/A")</f>
        <v>#N/A</v>
      </c>
      <c r="H34791" s="4" t="str">
        <v/>
      </c>
      <c r="I34791" s="4" t="str">
        <v/>
      </c>
    </row>
    <row r="34792" spans="5:9" ht="16.5" hidden="1">
      <c r="E34792" s="4" t="str">
        <v/>
      </c>
      <c r="F34792" s="102" t="str">
        <f ca="1">IFERROR(__xludf.DUMMYFUNCTION("IMPORTRANGE(H34792,""IDENTITAS UNIT!D9"")"),"#N/A")</f>
        <v>#N/A</v>
      </c>
      <c r="H34792" s="4" t="str">
        <v/>
      </c>
      <c r="I34792" s="4" t="str">
        <v/>
      </c>
    </row>
    <row r="34793" spans="5:9" ht="16.5" hidden="1">
      <c r="E34793" s="4" t="str">
        <v/>
      </c>
      <c r="F34793" s="102" t="str">
        <f ca="1">IFERROR(__xludf.DUMMYFUNCTION("IMPORTRANGE(H34793,""IDENTITAS UNIT!D9"")"),"#N/A")</f>
        <v>#N/A</v>
      </c>
      <c r="H34793" s="4" t="str">
        <v/>
      </c>
      <c r="I34793" s="4" t="str">
        <v/>
      </c>
    </row>
    <row r="34794" spans="5:9" ht="16.5" hidden="1">
      <c r="E34794" s="4" t="str">
        <v/>
      </c>
      <c r="F34794" s="102" t="str">
        <f ca="1">IFERROR(__xludf.DUMMYFUNCTION("IMPORTRANGE(H34794,""IDENTITAS UNIT!D9"")"),"#N/A")</f>
        <v>#N/A</v>
      </c>
      <c r="H34794" s="4" t="str">
        <v/>
      </c>
      <c r="I34794" s="4" t="str">
        <v/>
      </c>
    </row>
    <row r="34795" spans="5:9" ht="16.5" hidden="1">
      <c r="E34795" s="4" t="str">
        <v/>
      </c>
      <c r="F34795" s="102" t="str">
        <f ca="1">IFERROR(__xludf.DUMMYFUNCTION("IMPORTRANGE(H34795,""IDENTITAS UNIT!D9"")"),"#N/A")</f>
        <v>#N/A</v>
      </c>
      <c r="H34795" s="4" t="str">
        <v/>
      </c>
      <c r="I34795" s="4" t="str">
        <v/>
      </c>
    </row>
    <row r="34796" spans="5:9" ht="16.5" hidden="1">
      <c r="E34796" s="4" t="str">
        <v/>
      </c>
      <c r="F34796" s="102" t="str">
        <f ca="1">IFERROR(__xludf.DUMMYFUNCTION("IMPORTRANGE(H34796,""IDENTITAS UNIT!D9"")"),"#N/A")</f>
        <v>#N/A</v>
      </c>
      <c r="H34796" s="4" t="str">
        <v/>
      </c>
      <c r="I34796" s="4" t="str">
        <v/>
      </c>
    </row>
    <row r="34797" spans="5:9" ht="16.5" hidden="1">
      <c r="E34797" s="4" t="str">
        <v/>
      </c>
      <c r="F34797" s="102" t="str">
        <f ca="1">IFERROR(__xludf.DUMMYFUNCTION("IMPORTRANGE(H34797,""IDENTITAS UNIT!D9"")"),"#N/A")</f>
        <v>#N/A</v>
      </c>
      <c r="H34797" s="4" t="str">
        <v/>
      </c>
      <c r="I34797" s="4" t="str">
        <v/>
      </c>
    </row>
    <row r="34798" spans="5:9" ht="16.5" hidden="1">
      <c r="E34798" s="4" t="str">
        <v/>
      </c>
      <c r="F34798" s="102" t="str">
        <f ca="1">IFERROR(__xludf.DUMMYFUNCTION("IMPORTRANGE(H34798,""IDENTITAS UNIT!D9"")"),"#N/A")</f>
        <v>#N/A</v>
      </c>
      <c r="H34798" s="4" t="str">
        <v/>
      </c>
      <c r="I34798" s="4" t="str">
        <v/>
      </c>
    </row>
    <row r="34799" spans="5:9" ht="16.5" hidden="1">
      <c r="E34799" s="4" t="str">
        <v/>
      </c>
      <c r="F34799" s="102" t="str">
        <f ca="1">IFERROR(__xludf.DUMMYFUNCTION("IMPORTRANGE(H34799,""IDENTITAS UNIT!D9"")"),"#N/A")</f>
        <v>#N/A</v>
      </c>
      <c r="H34799" s="4" t="str">
        <v/>
      </c>
      <c r="I34799" s="4" t="str">
        <v/>
      </c>
    </row>
    <row r="34800" spans="5:9" ht="16.5" hidden="1">
      <c r="E34800" s="4" t="str">
        <v/>
      </c>
      <c r="F34800" s="102" t="str">
        <f ca="1">IFERROR(__xludf.DUMMYFUNCTION("IMPORTRANGE(H34800,""IDENTITAS UNIT!D9"")"),"#N/A")</f>
        <v>#N/A</v>
      </c>
      <c r="H34800" s="4" t="str">
        <v/>
      </c>
      <c r="I34800" s="4" t="str">
        <v/>
      </c>
    </row>
    <row r="34801" spans="5:9" ht="16.5" hidden="1">
      <c r="E34801" s="4" t="str">
        <v/>
      </c>
      <c r="F34801" s="102" t="str">
        <f ca="1">IFERROR(__xludf.DUMMYFUNCTION("IMPORTRANGE(H34801,""IDENTITAS UNIT!D9"")"),"#N/A")</f>
        <v>#N/A</v>
      </c>
      <c r="H34801" s="4" t="str">
        <v/>
      </c>
      <c r="I34801" s="4" t="str">
        <v/>
      </c>
    </row>
    <row r="34802" spans="5:9" ht="16.5" hidden="1">
      <c r="E34802" s="4" t="str">
        <v/>
      </c>
      <c r="F34802" s="102" t="str">
        <f ca="1">IFERROR(__xludf.DUMMYFUNCTION("IMPORTRANGE(H34802,""IDENTITAS UNIT!D9"")"),"#N/A")</f>
        <v>#N/A</v>
      </c>
      <c r="H34802" s="4" t="str">
        <v/>
      </c>
      <c r="I34802" s="4" t="str">
        <v/>
      </c>
    </row>
    <row r="34803" spans="5:9" ht="16.5" hidden="1">
      <c r="E34803" s="4" t="str">
        <v/>
      </c>
      <c r="F34803" s="102" t="str">
        <f ca="1">IFERROR(__xludf.DUMMYFUNCTION("IMPORTRANGE(H34803,""IDENTITAS UNIT!D9"")"),"#N/A")</f>
        <v>#N/A</v>
      </c>
      <c r="H34803" s="4" t="str">
        <v/>
      </c>
      <c r="I34803" s="4" t="str">
        <v/>
      </c>
    </row>
    <row r="34804" spans="5:9" ht="16.5" hidden="1">
      <c r="E34804" s="4" t="str">
        <v/>
      </c>
      <c r="F34804" s="102" t="str">
        <f ca="1">IFERROR(__xludf.DUMMYFUNCTION("IMPORTRANGE(H34804,""IDENTITAS UNIT!D9"")"),"#N/A")</f>
        <v>#N/A</v>
      </c>
      <c r="H34804" s="4" t="str">
        <v/>
      </c>
      <c r="I34804" s="4" t="str">
        <v/>
      </c>
    </row>
    <row r="34805" spans="5:9" ht="16.5" hidden="1">
      <c r="E34805" s="4" t="str">
        <v/>
      </c>
      <c r="F34805" s="102" t="str">
        <f ca="1">IFERROR(__xludf.DUMMYFUNCTION("IMPORTRANGE(H34805,""IDENTITAS UNIT!D9"")"),"#N/A")</f>
        <v>#N/A</v>
      </c>
      <c r="H34805" s="4" t="str">
        <v/>
      </c>
      <c r="I34805" s="4" t="str">
        <v/>
      </c>
    </row>
    <row r="34806" spans="5:9" ht="16.5" hidden="1">
      <c r="E34806" s="4" t="str">
        <v/>
      </c>
      <c r="F34806" s="102" t="str">
        <f ca="1">IFERROR(__xludf.DUMMYFUNCTION("IMPORTRANGE(H34806,""IDENTITAS UNIT!D9"")"),"#N/A")</f>
        <v>#N/A</v>
      </c>
      <c r="H34806" s="4" t="str">
        <v/>
      </c>
      <c r="I34806" s="4" t="str">
        <v/>
      </c>
    </row>
    <row r="34807" spans="5:9" ht="16.5" hidden="1">
      <c r="E34807" s="4" t="str">
        <v/>
      </c>
      <c r="F34807" s="102" t="str">
        <f ca="1">IFERROR(__xludf.DUMMYFUNCTION("IMPORTRANGE(H34807,""IDENTITAS UNIT!D9"")"),"#N/A")</f>
        <v>#N/A</v>
      </c>
      <c r="H34807" s="4" t="str">
        <v/>
      </c>
      <c r="I34807" s="4" t="str">
        <v/>
      </c>
    </row>
    <row r="34808" spans="5:9" ht="16.5" hidden="1">
      <c r="E34808" s="4" t="str">
        <v/>
      </c>
      <c r="F34808" s="102" t="str">
        <f ca="1">IFERROR(__xludf.DUMMYFUNCTION("IMPORTRANGE(H34808,""IDENTITAS UNIT!D9"")"),"#N/A")</f>
        <v>#N/A</v>
      </c>
      <c r="H34808" s="4" t="str">
        <v/>
      </c>
      <c r="I34808" s="4" t="str">
        <v/>
      </c>
    </row>
    <row r="34809" spans="5:9" ht="16.5" hidden="1">
      <c r="E34809" s="4" t="str">
        <v/>
      </c>
      <c r="F34809" s="102" t="str">
        <f ca="1">IFERROR(__xludf.DUMMYFUNCTION("IMPORTRANGE(H34809,""IDENTITAS UNIT!D9"")"),"#N/A")</f>
        <v>#N/A</v>
      </c>
      <c r="H34809" s="4" t="str">
        <v/>
      </c>
      <c r="I34809" s="4" t="str">
        <v/>
      </c>
    </row>
    <row r="34810" spans="5:9" ht="16.5" hidden="1">
      <c r="E34810" s="4" t="str">
        <v/>
      </c>
      <c r="F34810" s="102" t="str">
        <f ca="1">IFERROR(__xludf.DUMMYFUNCTION("IMPORTRANGE(H34810,""IDENTITAS UNIT!D9"")"),"#N/A")</f>
        <v>#N/A</v>
      </c>
      <c r="H34810" s="4" t="str">
        <v/>
      </c>
      <c r="I34810" s="4" t="str">
        <v/>
      </c>
    </row>
    <row r="34811" spans="5:9" ht="16.5" hidden="1">
      <c r="E34811" s="4" t="str">
        <v/>
      </c>
      <c r="F34811" s="102" t="str">
        <f ca="1">IFERROR(__xludf.DUMMYFUNCTION("IMPORTRANGE(H34811,""IDENTITAS UNIT!D9"")"),"#N/A")</f>
        <v>#N/A</v>
      </c>
      <c r="H34811" s="4" t="str">
        <v/>
      </c>
      <c r="I34811" s="4" t="str">
        <v/>
      </c>
    </row>
    <row r="34812" spans="5:9" ht="16.5" hidden="1">
      <c r="E34812" s="4" t="str">
        <v/>
      </c>
      <c r="F34812" s="102" t="str">
        <f ca="1">IFERROR(__xludf.DUMMYFUNCTION("IMPORTRANGE(H34812,""IDENTITAS UNIT!D9"")"),"#N/A")</f>
        <v>#N/A</v>
      </c>
      <c r="H34812" s="4" t="str">
        <v/>
      </c>
      <c r="I34812" s="4" t="str">
        <v/>
      </c>
    </row>
    <row r="34813" spans="5:9" ht="16.5" hidden="1">
      <c r="E34813" s="4" t="str">
        <v/>
      </c>
      <c r="F34813" s="102" t="str">
        <f ca="1">IFERROR(__xludf.DUMMYFUNCTION("IMPORTRANGE(H34813,""IDENTITAS UNIT!D9"")"),"#N/A")</f>
        <v>#N/A</v>
      </c>
      <c r="H34813" s="4" t="str">
        <v/>
      </c>
      <c r="I34813" s="4" t="str">
        <v/>
      </c>
    </row>
    <row r="34814" spans="5:9" ht="16.5" hidden="1">
      <c r="E34814" s="4" t="str">
        <v/>
      </c>
      <c r="F34814" s="102" t="str">
        <f ca="1">IFERROR(__xludf.DUMMYFUNCTION("IMPORTRANGE(H34814,""IDENTITAS UNIT!D9"")"),"#N/A")</f>
        <v>#N/A</v>
      </c>
      <c r="H34814" s="4" t="str">
        <v/>
      </c>
      <c r="I34814" s="4" t="str">
        <v/>
      </c>
    </row>
    <row r="34815" spans="5:9" ht="16.5" hidden="1">
      <c r="E34815" s="4" t="str">
        <v/>
      </c>
      <c r="F34815" s="102" t="str">
        <f ca="1">IFERROR(__xludf.DUMMYFUNCTION("IMPORTRANGE(H34815,""IDENTITAS UNIT!D9"")"),"#N/A")</f>
        <v>#N/A</v>
      </c>
      <c r="H34815" s="4" t="str">
        <v/>
      </c>
      <c r="I34815" s="4" t="str">
        <v/>
      </c>
    </row>
    <row r="34816" spans="5:9" ht="16.5" hidden="1">
      <c r="E34816" s="4" t="str">
        <v/>
      </c>
      <c r="F34816" s="102" t="str">
        <f ca="1">IFERROR(__xludf.DUMMYFUNCTION("IMPORTRANGE(H34816,""IDENTITAS UNIT!D9"")"),"#N/A")</f>
        <v>#N/A</v>
      </c>
      <c r="H34816" s="4" t="str">
        <v/>
      </c>
      <c r="I34816" s="4" t="str">
        <v/>
      </c>
    </row>
    <row r="34817" spans="5:9" ht="16.5" hidden="1">
      <c r="E34817" s="4" t="str">
        <v/>
      </c>
      <c r="F34817" s="102" t="str">
        <f ca="1">IFERROR(__xludf.DUMMYFUNCTION("IMPORTRANGE(H34817,""IDENTITAS UNIT!D9"")"),"#N/A")</f>
        <v>#N/A</v>
      </c>
      <c r="H34817" s="4" t="str">
        <v/>
      </c>
      <c r="I34817" s="4" t="str">
        <v/>
      </c>
    </row>
    <row r="34818" spans="5:9" ht="16.5" hidden="1">
      <c r="E34818" s="4" t="str">
        <v/>
      </c>
      <c r="F34818" s="102" t="str">
        <f ca="1">IFERROR(__xludf.DUMMYFUNCTION("IMPORTRANGE(H34818,""IDENTITAS UNIT!D9"")"),"#N/A")</f>
        <v>#N/A</v>
      </c>
      <c r="H34818" s="4" t="str">
        <v/>
      </c>
      <c r="I34818" s="4" t="str">
        <v/>
      </c>
    </row>
    <row r="34819" spans="5:9" ht="16.5" hidden="1">
      <c r="E34819" s="4" t="str">
        <v/>
      </c>
      <c r="F34819" s="102" t="str">
        <f ca="1">IFERROR(__xludf.DUMMYFUNCTION("IMPORTRANGE(H34819,""IDENTITAS UNIT!D9"")"),"#N/A")</f>
        <v>#N/A</v>
      </c>
      <c r="H34819" s="4" t="str">
        <v/>
      </c>
      <c r="I34819" s="4" t="str">
        <v/>
      </c>
    </row>
    <row r="34820" spans="5:9" ht="16.5" hidden="1">
      <c r="E34820" s="4" t="str">
        <v/>
      </c>
      <c r="F34820" s="102" t="str">
        <f ca="1">IFERROR(__xludf.DUMMYFUNCTION("IMPORTRANGE(H34820,""IDENTITAS UNIT!D9"")"),"#N/A")</f>
        <v>#N/A</v>
      </c>
      <c r="H34820" s="4" t="str">
        <v/>
      </c>
      <c r="I34820" s="4" t="str">
        <v/>
      </c>
    </row>
    <row r="34821" spans="5:9" ht="16.5" hidden="1">
      <c r="E34821" s="4" t="str">
        <v/>
      </c>
      <c r="F34821" s="102" t="str">
        <f ca="1">IFERROR(__xludf.DUMMYFUNCTION("IMPORTRANGE(H34821,""IDENTITAS UNIT!D9"")"),"#N/A")</f>
        <v>#N/A</v>
      </c>
      <c r="H34821" s="4" t="str">
        <v/>
      </c>
      <c r="I34821" s="4" t="str">
        <v/>
      </c>
    </row>
    <row r="34822" spans="5:9" ht="16.5" hidden="1">
      <c r="E34822" s="4" t="str">
        <v/>
      </c>
      <c r="F34822" s="102" t="str">
        <f ca="1">IFERROR(__xludf.DUMMYFUNCTION("IMPORTRANGE(H34822,""IDENTITAS UNIT!D9"")"),"#N/A")</f>
        <v>#N/A</v>
      </c>
      <c r="H34822" s="4" t="str">
        <v/>
      </c>
      <c r="I34822" s="4" t="str">
        <v/>
      </c>
    </row>
    <row r="34823" spans="5:9" ht="16.5" hidden="1">
      <c r="E34823" s="4" t="str">
        <v/>
      </c>
      <c r="F34823" s="102" t="str">
        <f ca="1">IFERROR(__xludf.DUMMYFUNCTION("IMPORTRANGE(H34823,""IDENTITAS UNIT!D9"")"),"#N/A")</f>
        <v>#N/A</v>
      </c>
      <c r="H34823" s="4" t="str">
        <v/>
      </c>
      <c r="I34823" s="4" t="str">
        <v/>
      </c>
    </row>
    <row r="34824" spans="5:9" ht="16.5" hidden="1">
      <c r="E34824" s="4" t="str">
        <v/>
      </c>
      <c r="F34824" s="102" t="str">
        <f ca="1">IFERROR(__xludf.DUMMYFUNCTION("IMPORTRANGE(H34824,""IDENTITAS UNIT!D9"")"),"#N/A")</f>
        <v>#N/A</v>
      </c>
      <c r="H34824" s="4" t="str">
        <v/>
      </c>
      <c r="I34824" s="4" t="str">
        <v/>
      </c>
    </row>
    <row r="34825" spans="5:9" ht="16.5" hidden="1">
      <c r="E34825" s="4" t="str">
        <v/>
      </c>
      <c r="F34825" s="102" t="str">
        <f ca="1">IFERROR(__xludf.DUMMYFUNCTION("IMPORTRANGE(H34825,""IDENTITAS UNIT!D9"")"),"#N/A")</f>
        <v>#N/A</v>
      </c>
      <c r="H34825" s="4" t="str">
        <v/>
      </c>
      <c r="I34825" s="4" t="str">
        <v/>
      </c>
    </row>
    <row r="34826" spans="5:9" ht="16.5" hidden="1">
      <c r="E34826" s="4" t="str">
        <v/>
      </c>
      <c r="F34826" s="102" t="str">
        <f ca="1">IFERROR(__xludf.DUMMYFUNCTION("IMPORTRANGE(H34826,""IDENTITAS UNIT!D9"")"),"#N/A")</f>
        <v>#N/A</v>
      </c>
      <c r="H34826" s="4" t="str">
        <v/>
      </c>
      <c r="I34826" s="4" t="str">
        <v/>
      </c>
    </row>
    <row r="34827" spans="5:9" ht="16.5" hidden="1">
      <c r="E34827" s="4" t="str">
        <v/>
      </c>
      <c r="F34827" s="102" t="str">
        <f ca="1">IFERROR(__xludf.DUMMYFUNCTION("IMPORTRANGE(H34827,""IDENTITAS UNIT!D9"")"),"#N/A")</f>
        <v>#N/A</v>
      </c>
      <c r="H34827" s="4" t="str">
        <v/>
      </c>
      <c r="I34827" s="4" t="str">
        <v/>
      </c>
    </row>
    <row r="34828" spans="5:9" ht="16.5" hidden="1">
      <c r="E34828" s="4" t="str">
        <v/>
      </c>
      <c r="F34828" s="102" t="str">
        <f ca="1">IFERROR(__xludf.DUMMYFUNCTION("IMPORTRANGE(H34828,""IDENTITAS UNIT!D9"")"),"#N/A")</f>
        <v>#N/A</v>
      </c>
      <c r="H34828" s="4" t="str">
        <v/>
      </c>
      <c r="I34828" s="4" t="str">
        <v/>
      </c>
    </row>
    <row r="34829" spans="5:9" ht="16.5" hidden="1">
      <c r="E34829" s="4" t="str">
        <v/>
      </c>
      <c r="F34829" s="102" t="str">
        <f ca="1">IFERROR(__xludf.DUMMYFUNCTION("IMPORTRANGE(H34829,""IDENTITAS UNIT!D9"")"),"#N/A")</f>
        <v>#N/A</v>
      </c>
      <c r="H34829" s="4" t="str">
        <v/>
      </c>
      <c r="I34829" s="4" t="str">
        <v/>
      </c>
    </row>
    <row r="34830" spans="5:9" ht="16.5" hidden="1">
      <c r="E34830" s="4" t="str">
        <v/>
      </c>
      <c r="F34830" s="102" t="str">
        <f ca="1">IFERROR(__xludf.DUMMYFUNCTION("IMPORTRANGE(H34830,""IDENTITAS UNIT!D9"")"),"#N/A")</f>
        <v>#N/A</v>
      </c>
      <c r="H34830" s="4" t="str">
        <v/>
      </c>
      <c r="I34830" s="4" t="str">
        <v/>
      </c>
    </row>
    <row r="34831" spans="5:9" ht="16.5" hidden="1">
      <c r="E34831" s="4" t="str">
        <v/>
      </c>
      <c r="F34831" s="102" t="str">
        <f ca="1">IFERROR(__xludf.DUMMYFUNCTION("IMPORTRANGE(H34831,""IDENTITAS UNIT!D9"")"),"#N/A")</f>
        <v>#N/A</v>
      </c>
      <c r="H34831" s="4" t="str">
        <v/>
      </c>
      <c r="I34831" s="4" t="str">
        <v/>
      </c>
    </row>
    <row r="34832" spans="5:9" ht="16.5" hidden="1">
      <c r="E34832" s="4" t="str">
        <v/>
      </c>
      <c r="F34832" s="102" t="str">
        <f ca="1">IFERROR(__xludf.DUMMYFUNCTION("IMPORTRANGE(H34832,""IDENTITAS UNIT!D9"")"),"#N/A")</f>
        <v>#N/A</v>
      </c>
      <c r="H34832" s="4" t="str">
        <v/>
      </c>
      <c r="I34832" s="4" t="str">
        <v/>
      </c>
    </row>
    <row r="34833" spans="5:9" ht="16.5" hidden="1">
      <c r="E34833" s="4" t="str">
        <v/>
      </c>
      <c r="F34833" s="102" t="str">
        <f ca="1">IFERROR(__xludf.DUMMYFUNCTION("IMPORTRANGE(H34833,""IDENTITAS UNIT!D9"")"),"#N/A")</f>
        <v>#N/A</v>
      </c>
      <c r="H34833" s="4" t="str">
        <v/>
      </c>
      <c r="I34833" s="4" t="str">
        <v/>
      </c>
    </row>
    <row r="34834" spans="5:9" ht="16.5" hidden="1">
      <c r="E34834" s="4" t="str">
        <v/>
      </c>
      <c r="F34834" s="102" t="str">
        <f ca="1">IFERROR(__xludf.DUMMYFUNCTION("IMPORTRANGE(H34834,""IDENTITAS UNIT!D9"")"),"#N/A")</f>
        <v>#N/A</v>
      </c>
      <c r="H34834" s="4" t="str">
        <v/>
      </c>
      <c r="I34834" s="4" t="str">
        <v/>
      </c>
    </row>
    <row r="34835" spans="5:9" ht="16.5" hidden="1">
      <c r="E34835" s="4" t="str">
        <v/>
      </c>
      <c r="F34835" s="102" t="str">
        <f ca="1">IFERROR(__xludf.DUMMYFUNCTION("IMPORTRANGE(H34835,""IDENTITAS UNIT!D9"")"),"#N/A")</f>
        <v>#N/A</v>
      </c>
      <c r="H34835" s="4" t="str">
        <v/>
      </c>
      <c r="I34835" s="4" t="str">
        <v/>
      </c>
    </row>
    <row r="34836" spans="5:9" ht="16.5" hidden="1">
      <c r="E34836" s="4" t="str">
        <v/>
      </c>
      <c r="F34836" s="102" t="str">
        <f ca="1">IFERROR(__xludf.DUMMYFUNCTION("IMPORTRANGE(H34836,""IDENTITAS UNIT!D9"")"),"#N/A")</f>
        <v>#N/A</v>
      </c>
      <c r="H34836" s="4" t="str">
        <v/>
      </c>
      <c r="I34836" s="4" t="str">
        <v/>
      </c>
    </row>
    <row r="34837" spans="5:9" ht="16.5" hidden="1">
      <c r="E34837" s="4" t="str">
        <v/>
      </c>
      <c r="F34837" s="102" t="str">
        <f ca="1">IFERROR(__xludf.DUMMYFUNCTION("IMPORTRANGE(H34837,""IDENTITAS UNIT!D9"")"),"#N/A")</f>
        <v>#N/A</v>
      </c>
      <c r="H34837" s="4" t="str">
        <v/>
      </c>
      <c r="I34837" s="4" t="str">
        <v/>
      </c>
    </row>
    <row r="34838" spans="5:9" ht="16.5" hidden="1">
      <c r="E34838" s="4" t="str">
        <v/>
      </c>
      <c r="F34838" s="102" t="str">
        <f ca="1">IFERROR(__xludf.DUMMYFUNCTION("IMPORTRANGE(H34838,""IDENTITAS UNIT!D9"")"),"#N/A")</f>
        <v>#N/A</v>
      </c>
      <c r="H34838" s="4" t="str">
        <v/>
      </c>
      <c r="I34838" s="4" t="str">
        <v/>
      </c>
    </row>
    <row r="34839" spans="5:9" ht="16.5" hidden="1">
      <c r="E34839" s="4" t="str">
        <v/>
      </c>
      <c r="F34839" s="102" t="str">
        <f ca="1">IFERROR(__xludf.DUMMYFUNCTION("IMPORTRANGE(H34839,""IDENTITAS UNIT!D9"")"),"#N/A")</f>
        <v>#N/A</v>
      </c>
      <c r="H34839" s="4" t="str">
        <v/>
      </c>
      <c r="I34839" s="4" t="str">
        <v/>
      </c>
    </row>
    <row r="34840" spans="5:9" ht="16.5" hidden="1">
      <c r="E34840" s="4" t="str">
        <v/>
      </c>
      <c r="F34840" s="102" t="str">
        <f ca="1">IFERROR(__xludf.DUMMYFUNCTION("IMPORTRANGE(H34840,""IDENTITAS UNIT!D9"")"),"#N/A")</f>
        <v>#N/A</v>
      </c>
      <c r="H34840" s="4" t="str">
        <v/>
      </c>
      <c r="I34840" s="4" t="str">
        <v/>
      </c>
    </row>
    <row r="34841" spans="5:9" ht="16.5" hidden="1">
      <c r="E34841" s="4" t="str">
        <v/>
      </c>
      <c r="F34841" s="102" t="str">
        <f ca="1">IFERROR(__xludf.DUMMYFUNCTION("IMPORTRANGE(H34841,""IDENTITAS UNIT!D9"")"),"#N/A")</f>
        <v>#N/A</v>
      </c>
      <c r="H34841" s="4" t="str">
        <v/>
      </c>
      <c r="I34841" s="4" t="str">
        <v/>
      </c>
    </row>
    <row r="34842" spans="5:9" ht="16.5" hidden="1">
      <c r="E34842" s="4" t="str">
        <v/>
      </c>
      <c r="F34842" s="102" t="str">
        <f ca="1">IFERROR(__xludf.DUMMYFUNCTION("IMPORTRANGE(H34842,""IDENTITAS UNIT!D9"")"),"#N/A")</f>
        <v>#N/A</v>
      </c>
      <c r="H34842" s="4" t="str">
        <v/>
      </c>
      <c r="I34842" s="4" t="str">
        <v/>
      </c>
    </row>
    <row r="34843" spans="5:9" ht="16.5" hidden="1">
      <c r="E34843" s="4" t="str">
        <v/>
      </c>
      <c r="F34843" s="102" t="str">
        <f ca="1">IFERROR(__xludf.DUMMYFUNCTION("IMPORTRANGE(H34843,""IDENTITAS UNIT!D9"")"),"#N/A")</f>
        <v>#N/A</v>
      </c>
      <c r="H34843" s="4" t="str">
        <v/>
      </c>
      <c r="I34843" s="4" t="str">
        <v/>
      </c>
    </row>
    <row r="34844" spans="5:9" ht="16.5" hidden="1">
      <c r="E34844" s="4" t="str">
        <v/>
      </c>
      <c r="F34844" s="102" t="str">
        <f ca="1">IFERROR(__xludf.DUMMYFUNCTION("IMPORTRANGE(H34844,""IDENTITAS UNIT!D9"")"),"#N/A")</f>
        <v>#N/A</v>
      </c>
      <c r="H34844" s="4" t="str">
        <v/>
      </c>
      <c r="I34844" s="4" t="str">
        <v/>
      </c>
    </row>
    <row r="34845" spans="5:9" ht="16.5" hidden="1">
      <c r="E34845" s="4" t="str">
        <v/>
      </c>
      <c r="F34845" s="102" t="str">
        <f ca="1">IFERROR(__xludf.DUMMYFUNCTION("IMPORTRANGE(H34845,""IDENTITAS UNIT!D9"")"),"#N/A")</f>
        <v>#N/A</v>
      </c>
      <c r="H34845" s="4" t="str">
        <v/>
      </c>
      <c r="I34845" s="4" t="str">
        <v/>
      </c>
    </row>
    <row r="34846" spans="5:9" ht="16.5" hidden="1">
      <c r="E34846" s="4" t="str">
        <v/>
      </c>
      <c r="F34846" s="102" t="str">
        <f ca="1">IFERROR(__xludf.DUMMYFUNCTION("IMPORTRANGE(H34846,""IDENTITAS UNIT!D9"")"),"#N/A")</f>
        <v>#N/A</v>
      </c>
      <c r="H34846" s="4" t="str">
        <v/>
      </c>
      <c r="I34846" s="4" t="str">
        <v/>
      </c>
    </row>
    <row r="34847" spans="5:9" ht="16.5" hidden="1">
      <c r="E34847" s="4" t="str">
        <v/>
      </c>
      <c r="F34847" s="102" t="str">
        <f ca="1">IFERROR(__xludf.DUMMYFUNCTION("IMPORTRANGE(H34847,""IDENTITAS UNIT!D9"")"),"#N/A")</f>
        <v>#N/A</v>
      </c>
      <c r="H34847" s="4" t="str">
        <v/>
      </c>
      <c r="I34847" s="4" t="str">
        <v/>
      </c>
    </row>
    <row r="34848" spans="5:9" ht="16.5" hidden="1">
      <c r="E34848" s="4" t="str">
        <v/>
      </c>
      <c r="F34848" s="102" t="str">
        <f ca="1">IFERROR(__xludf.DUMMYFUNCTION("IMPORTRANGE(H34848,""IDENTITAS UNIT!D9"")"),"#N/A")</f>
        <v>#N/A</v>
      </c>
      <c r="H34848" s="4" t="str">
        <v/>
      </c>
      <c r="I34848" s="4" t="str">
        <v/>
      </c>
    </row>
    <row r="34849" spans="5:9" ht="16.5" hidden="1">
      <c r="E34849" s="4" t="str">
        <v/>
      </c>
      <c r="F34849" s="102" t="str">
        <f ca="1">IFERROR(__xludf.DUMMYFUNCTION("IMPORTRANGE(H34849,""IDENTITAS UNIT!D9"")"),"#N/A")</f>
        <v>#N/A</v>
      </c>
      <c r="H34849" s="4" t="str">
        <v/>
      </c>
      <c r="I34849" s="4" t="str">
        <v/>
      </c>
    </row>
    <row r="34850" spans="5:9" ht="16.5" hidden="1">
      <c r="E34850" s="4" t="str">
        <v/>
      </c>
      <c r="F34850" s="102" t="str">
        <f ca="1">IFERROR(__xludf.DUMMYFUNCTION("IMPORTRANGE(H34850,""IDENTITAS UNIT!D9"")"),"#N/A")</f>
        <v>#N/A</v>
      </c>
      <c r="H34850" s="4" t="str">
        <v/>
      </c>
      <c r="I34850" s="4" t="str">
        <v/>
      </c>
    </row>
    <row r="34851" spans="5:9" ht="16.5" hidden="1">
      <c r="E34851" s="4" t="str">
        <v/>
      </c>
      <c r="F34851" s="102" t="str">
        <f ca="1">IFERROR(__xludf.DUMMYFUNCTION("IMPORTRANGE(H34851,""IDENTITAS UNIT!D9"")"),"#N/A")</f>
        <v>#N/A</v>
      </c>
      <c r="H34851" s="4" t="str">
        <v/>
      </c>
      <c r="I34851" s="4" t="str">
        <v/>
      </c>
    </row>
    <row r="34852" spans="5:9" ht="16.5" hidden="1">
      <c r="E34852" s="4" t="str">
        <v/>
      </c>
      <c r="F34852" s="102" t="str">
        <f ca="1">IFERROR(__xludf.DUMMYFUNCTION("IMPORTRANGE(H34852,""IDENTITAS UNIT!D9"")"),"#N/A")</f>
        <v>#N/A</v>
      </c>
      <c r="H34852" s="4" t="str">
        <v/>
      </c>
      <c r="I34852" s="4" t="str">
        <v/>
      </c>
    </row>
    <row r="34853" spans="5:9" ht="16.5" hidden="1">
      <c r="E34853" s="4" t="str">
        <v/>
      </c>
      <c r="F34853" s="102" t="str">
        <f ca="1">IFERROR(__xludf.DUMMYFUNCTION("IMPORTRANGE(H34853,""IDENTITAS UNIT!D9"")"),"#N/A")</f>
        <v>#N/A</v>
      </c>
      <c r="H34853" s="4" t="str">
        <v/>
      </c>
      <c r="I34853" s="4" t="str">
        <v/>
      </c>
    </row>
    <row r="34854" spans="5:9" ht="16.5" hidden="1">
      <c r="E34854" s="4" t="str">
        <v/>
      </c>
      <c r="F34854" s="102" t="str">
        <f ca="1">IFERROR(__xludf.DUMMYFUNCTION("IMPORTRANGE(H34854,""IDENTITAS UNIT!D9"")"),"#N/A")</f>
        <v>#N/A</v>
      </c>
      <c r="H34854" s="4" t="str">
        <v/>
      </c>
      <c r="I34854" s="4" t="str">
        <v/>
      </c>
    </row>
    <row r="34855" spans="5:9" ht="16.5" hidden="1">
      <c r="E34855" s="4" t="str">
        <v/>
      </c>
      <c r="F34855" s="102" t="str">
        <f ca="1">IFERROR(__xludf.DUMMYFUNCTION("IMPORTRANGE(H34855,""IDENTITAS UNIT!D9"")"),"#N/A")</f>
        <v>#N/A</v>
      </c>
      <c r="H34855" s="4" t="str">
        <v/>
      </c>
      <c r="I34855" s="4" t="str">
        <v/>
      </c>
    </row>
    <row r="34856" spans="5:9" ht="16.5" hidden="1">
      <c r="E34856" s="4" t="str">
        <v/>
      </c>
      <c r="F34856" s="102" t="str">
        <f ca="1">IFERROR(__xludf.DUMMYFUNCTION("IMPORTRANGE(H34856,""IDENTITAS UNIT!D9"")"),"#N/A")</f>
        <v>#N/A</v>
      </c>
      <c r="H34856" s="4" t="str">
        <v/>
      </c>
      <c r="I34856" s="4" t="str">
        <v/>
      </c>
    </row>
    <row r="34857" spans="5:9" ht="16.5" hidden="1">
      <c r="E34857" s="4" t="str">
        <v/>
      </c>
      <c r="F34857" s="102" t="str">
        <f ca="1">IFERROR(__xludf.DUMMYFUNCTION("IMPORTRANGE(H34857,""IDENTITAS UNIT!D9"")"),"#N/A")</f>
        <v>#N/A</v>
      </c>
      <c r="H34857" s="4" t="str">
        <v/>
      </c>
      <c r="I34857" s="4" t="str">
        <v/>
      </c>
    </row>
    <row r="34858" spans="5:9" ht="16.5" hidden="1">
      <c r="E34858" s="4" t="str">
        <v/>
      </c>
      <c r="F34858" s="102" t="str">
        <f ca="1">IFERROR(__xludf.DUMMYFUNCTION("IMPORTRANGE(H34858,""IDENTITAS UNIT!D9"")"),"#N/A")</f>
        <v>#N/A</v>
      </c>
      <c r="H34858" s="4" t="str">
        <v/>
      </c>
      <c r="I34858" s="4" t="str">
        <v/>
      </c>
    </row>
    <row r="34859" spans="5:9" ht="16.5" hidden="1">
      <c r="E34859" s="4" t="str">
        <v/>
      </c>
      <c r="F34859" s="102" t="str">
        <f ca="1">IFERROR(__xludf.DUMMYFUNCTION("IMPORTRANGE(H34859,""IDENTITAS UNIT!D9"")"),"#N/A")</f>
        <v>#N/A</v>
      </c>
      <c r="H34859" s="4" t="str">
        <v/>
      </c>
      <c r="I34859" s="4" t="str">
        <v/>
      </c>
    </row>
    <row r="34860" spans="5:9" ht="16.5" hidden="1">
      <c r="E34860" s="4" t="str">
        <v/>
      </c>
      <c r="F34860" s="102" t="str">
        <f ca="1">IFERROR(__xludf.DUMMYFUNCTION("IMPORTRANGE(H34860,""IDENTITAS UNIT!D9"")"),"#N/A")</f>
        <v>#N/A</v>
      </c>
      <c r="H34860" s="4" t="str">
        <v/>
      </c>
      <c r="I34860" s="4" t="str">
        <v/>
      </c>
    </row>
    <row r="34861" spans="5:9" ht="16.5" hidden="1">
      <c r="E34861" s="4" t="str">
        <v/>
      </c>
      <c r="F34861" s="102" t="str">
        <f ca="1">IFERROR(__xludf.DUMMYFUNCTION("IMPORTRANGE(H34861,""IDENTITAS UNIT!D9"")"),"#N/A")</f>
        <v>#N/A</v>
      </c>
      <c r="H34861" s="4" t="str">
        <v/>
      </c>
      <c r="I34861" s="4" t="str">
        <v/>
      </c>
    </row>
    <row r="34862" spans="5:9" ht="16.5" hidden="1">
      <c r="E34862" s="4" t="str">
        <v/>
      </c>
      <c r="F34862" s="102" t="str">
        <f ca="1">IFERROR(__xludf.DUMMYFUNCTION("IMPORTRANGE(H34862,""IDENTITAS UNIT!D9"")"),"#N/A")</f>
        <v>#N/A</v>
      </c>
      <c r="H34862" s="4" t="str">
        <v/>
      </c>
      <c r="I34862" s="4" t="str">
        <v/>
      </c>
    </row>
    <row r="34863" spans="5:9" ht="16.5" hidden="1">
      <c r="E34863" s="4" t="str">
        <v/>
      </c>
      <c r="F34863" s="102" t="str">
        <f ca="1">IFERROR(__xludf.DUMMYFUNCTION("IMPORTRANGE(H34863,""IDENTITAS UNIT!D9"")"),"#N/A")</f>
        <v>#N/A</v>
      </c>
      <c r="H34863" s="4" t="str">
        <v/>
      </c>
      <c r="I34863" s="4" t="str">
        <v/>
      </c>
    </row>
    <row r="34864" spans="5:9" ht="16.5" hidden="1">
      <c r="E34864" s="4" t="str">
        <v/>
      </c>
      <c r="F34864" s="102" t="str">
        <f ca="1">IFERROR(__xludf.DUMMYFUNCTION("IMPORTRANGE(H34864,""IDENTITAS UNIT!D9"")"),"#N/A")</f>
        <v>#N/A</v>
      </c>
      <c r="H34864" s="4" t="str">
        <v/>
      </c>
      <c r="I34864" s="4" t="str">
        <v/>
      </c>
    </row>
    <row r="34865" spans="5:9" ht="16.5" hidden="1">
      <c r="E34865" s="4" t="str">
        <v/>
      </c>
      <c r="F34865" s="102" t="str">
        <f ca="1">IFERROR(__xludf.DUMMYFUNCTION("IMPORTRANGE(H34865,""IDENTITAS UNIT!D9"")"),"#N/A")</f>
        <v>#N/A</v>
      </c>
      <c r="H34865" s="4" t="str">
        <v/>
      </c>
      <c r="I34865" s="4" t="str">
        <v/>
      </c>
    </row>
    <row r="34866" spans="5:9" ht="16.5" hidden="1">
      <c r="E34866" s="4" t="str">
        <v/>
      </c>
      <c r="F34866" s="102" t="str">
        <f ca="1">IFERROR(__xludf.DUMMYFUNCTION("IMPORTRANGE(H34866,""IDENTITAS UNIT!D9"")"),"#N/A")</f>
        <v>#N/A</v>
      </c>
      <c r="H34866" s="4" t="str">
        <v/>
      </c>
      <c r="I34866" s="4" t="str">
        <v/>
      </c>
    </row>
    <row r="34867" spans="5:9" ht="16.5" hidden="1">
      <c r="E34867" s="4" t="str">
        <v/>
      </c>
      <c r="F34867" s="102" t="str">
        <f ca="1">IFERROR(__xludf.DUMMYFUNCTION("IMPORTRANGE(H34867,""IDENTITAS UNIT!D9"")"),"#N/A")</f>
        <v>#N/A</v>
      </c>
      <c r="H34867" s="4" t="str">
        <v/>
      </c>
      <c r="I34867" s="4" t="str">
        <v/>
      </c>
    </row>
    <row r="34868" spans="5:9" ht="16.5" hidden="1">
      <c r="E34868" s="4" t="str">
        <v/>
      </c>
      <c r="F34868" s="102" t="str">
        <f ca="1">IFERROR(__xludf.DUMMYFUNCTION("IMPORTRANGE(H34868,""IDENTITAS UNIT!D9"")"),"#N/A")</f>
        <v>#N/A</v>
      </c>
      <c r="H34868" s="4" t="str">
        <v/>
      </c>
      <c r="I34868" s="4" t="str">
        <v/>
      </c>
    </row>
    <row r="34869" spans="5:9" ht="16.5" hidden="1">
      <c r="E34869" s="4" t="str">
        <v/>
      </c>
      <c r="F34869" s="102" t="str">
        <f ca="1">IFERROR(__xludf.DUMMYFUNCTION("IMPORTRANGE(H34869,""IDENTITAS UNIT!D9"")"),"#N/A")</f>
        <v>#N/A</v>
      </c>
      <c r="H34869" s="4" t="str">
        <v/>
      </c>
      <c r="I34869" s="4" t="str">
        <v/>
      </c>
    </row>
    <row r="34870" spans="5:9" ht="16.5" hidden="1">
      <c r="E34870" s="4" t="str">
        <v/>
      </c>
      <c r="F34870" s="102" t="str">
        <f ca="1">IFERROR(__xludf.DUMMYFUNCTION("IMPORTRANGE(H34870,""IDENTITAS UNIT!D9"")"),"#N/A")</f>
        <v>#N/A</v>
      </c>
      <c r="H34870" s="4" t="str">
        <v/>
      </c>
      <c r="I34870" s="4" t="str">
        <v/>
      </c>
    </row>
    <row r="34871" spans="5:9" ht="16.5" hidden="1">
      <c r="E34871" s="4" t="str">
        <v/>
      </c>
      <c r="F34871" s="102" t="str">
        <f ca="1">IFERROR(__xludf.DUMMYFUNCTION("IMPORTRANGE(H34871,""IDENTITAS UNIT!D9"")"),"#N/A")</f>
        <v>#N/A</v>
      </c>
      <c r="H34871" s="4" t="str">
        <v/>
      </c>
      <c r="I34871" s="4" t="str">
        <v/>
      </c>
    </row>
    <row r="34872" spans="5:9" ht="16.5" hidden="1">
      <c r="E34872" s="4" t="str">
        <v/>
      </c>
      <c r="F34872" s="102" t="str">
        <f ca="1">IFERROR(__xludf.DUMMYFUNCTION("IMPORTRANGE(H34872,""IDENTITAS UNIT!D9"")"),"#N/A")</f>
        <v>#N/A</v>
      </c>
      <c r="H34872" s="4" t="str">
        <v/>
      </c>
      <c r="I34872" s="4" t="str">
        <v/>
      </c>
    </row>
    <row r="34873" spans="5:9" ht="16.5" hidden="1">
      <c r="E34873" s="4" t="str">
        <v/>
      </c>
      <c r="F34873" s="102" t="str">
        <f ca="1">IFERROR(__xludf.DUMMYFUNCTION("IMPORTRANGE(H34873,""IDENTITAS UNIT!D9"")"),"#N/A")</f>
        <v>#N/A</v>
      </c>
      <c r="H34873" s="4" t="str">
        <v/>
      </c>
      <c r="I34873" s="4" t="str">
        <v/>
      </c>
    </row>
    <row r="34874" spans="5:9" ht="16.5" hidden="1">
      <c r="E34874" s="4" t="str">
        <v/>
      </c>
      <c r="F34874" s="102" t="str">
        <f ca="1">IFERROR(__xludf.DUMMYFUNCTION("IMPORTRANGE(H34874,""IDENTITAS UNIT!D9"")"),"#N/A")</f>
        <v>#N/A</v>
      </c>
      <c r="H34874" s="4" t="str">
        <v/>
      </c>
      <c r="I34874" s="4" t="str">
        <v/>
      </c>
    </row>
    <row r="34875" spans="5:9" ht="16.5" hidden="1">
      <c r="E34875" s="4" t="str">
        <v/>
      </c>
      <c r="F34875" s="102" t="str">
        <f ca="1">IFERROR(__xludf.DUMMYFUNCTION("IMPORTRANGE(H34875,""IDENTITAS UNIT!D9"")"),"#N/A")</f>
        <v>#N/A</v>
      </c>
      <c r="H34875" s="4" t="str">
        <v/>
      </c>
      <c r="I34875" s="4" t="str">
        <v/>
      </c>
    </row>
    <row r="34876" spans="5:9" ht="16.5" hidden="1">
      <c r="E34876" s="4" t="str">
        <v/>
      </c>
      <c r="F34876" s="102" t="str">
        <f ca="1">IFERROR(__xludf.DUMMYFUNCTION("IMPORTRANGE(H34876,""IDENTITAS UNIT!D9"")"),"#N/A")</f>
        <v>#N/A</v>
      </c>
      <c r="H34876" s="4" t="str">
        <v/>
      </c>
      <c r="I34876" s="4" t="str">
        <v/>
      </c>
    </row>
    <row r="34877" spans="5:9" ht="16.5" hidden="1">
      <c r="E34877" s="4" t="str">
        <v/>
      </c>
      <c r="F34877" s="102" t="str">
        <f ca="1">IFERROR(__xludf.DUMMYFUNCTION("IMPORTRANGE(H34877,""IDENTITAS UNIT!D9"")"),"#N/A")</f>
        <v>#N/A</v>
      </c>
      <c r="H34877" s="4" t="str">
        <v/>
      </c>
      <c r="I34877" s="4" t="str">
        <v/>
      </c>
    </row>
    <row r="34878" spans="5:9" ht="16.5" hidden="1">
      <c r="E34878" s="4" t="str">
        <v/>
      </c>
      <c r="F34878" s="102" t="str">
        <f ca="1">IFERROR(__xludf.DUMMYFUNCTION("IMPORTRANGE(H34878,""IDENTITAS UNIT!D9"")"),"#N/A")</f>
        <v>#N/A</v>
      </c>
      <c r="H34878" s="4" t="str">
        <v/>
      </c>
      <c r="I34878" s="4" t="str">
        <v/>
      </c>
    </row>
    <row r="34879" spans="5:9" ht="16.5" hidden="1">
      <c r="E34879" s="4" t="str">
        <v/>
      </c>
      <c r="F34879" s="102" t="str">
        <f ca="1">IFERROR(__xludf.DUMMYFUNCTION("IMPORTRANGE(H34879,""IDENTITAS UNIT!D9"")"),"#N/A")</f>
        <v>#N/A</v>
      </c>
      <c r="H34879" s="4" t="str">
        <v/>
      </c>
      <c r="I34879" s="4" t="str">
        <v/>
      </c>
    </row>
    <row r="34880" spans="5:9" ht="16.5" hidden="1">
      <c r="E34880" s="4" t="str">
        <v/>
      </c>
      <c r="F34880" s="102" t="str">
        <f ca="1">IFERROR(__xludf.DUMMYFUNCTION("IMPORTRANGE(H34880,""IDENTITAS UNIT!D9"")"),"#N/A")</f>
        <v>#N/A</v>
      </c>
      <c r="H34880" s="4" t="str">
        <v/>
      </c>
      <c r="I34880" s="4" t="str">
        <v/>
      </c>
    </row>
    <row r="34881" spans="5:9" ht="16.5" hidden="1">
      <c r="E34881" s="4" t="str">
        <v/>
      </c>
      <c r="F34881" s="102" t="str">
        <f ca="1">IFERROR(__xludf.DUMMYFUNCTION("IMPORTRANGE(H34881,""IDENTITAS UNIT!D9"")"),"#N/A")</f>
        <v>#N/A</v>
      </c>
      <c r="H34881" s="4" t="str">
        <v/>
      </c>
      <c r="I34881" s="4" t="str">
        <v/>
      </c>
    </row>
    <row r="34882" spans="5:9" ht="16.5" hidden="1">
      <c r="E34882" s="4" t="str">
        <v/>
      </c>
      <c r="F34882" s="102" t="str">
        <f ca="1">IFERROR(__xludf.DUMMYFUNCTION("IMPORTRANGE(H34882,""IDENTITAS UNIT!D9"")"),"#N/A")</f>
        <v>#N/A</v>
      </c>
      <c r="H34882" s="4" t="str">
        <v/>
      </c>
      <c r="I34882" s="4" t="str">
        <v/>
      </c>
    </row>
    <row r="34883" spans="5:9" ht="16.5" hidden="1">
      <c r="E34883" s="4" t="str">
        <v/>
      </c>
      <c r="F34883" s="102" t="str">
        <f ca="1">IFERROR(__xludf.DUMMYFUNCTION("IMPORTRANGE(H34883,""IDENTITAS UNIT!D9"")"),"#N/A")</f>
        <v>#N/A</v>
      </c>
      <c r="H34883" s="4" t="str">
        <v/>
      </c>
      <c r="I34883" s="4" t="str">
        <v/>
      </c>
    </row>
    <row r="34884" spans="5:9" ht="16.5" hidden="1">
      <c r="E34884" s="4" t="str">
        <v/>
      </c>
      <c r="F34884" s="102" t="str">
        <f ca="1">IFERROR(__xludf.DUMMYFUNCTION("IMPORTRANGE(H34884,""IDENTITAS UNIT!D9"")"),"#N/A")</f>
        <v>#N/A</v>
      </c>
      <c r="H34884" s="4" t="str">
        <v/>
      </c>
      <c r="I34884" s="4" t="str">
        <v/>
      </c>
    </row>
    <row r="34885" spans="5:9" ht="16.5" hidden="1">
      <c r="E34885" s="4" t="str">
        <v/>
      </c>
      <c r="F34885" s="102" t="str">
        <f ca="1">IFERROR(__xludf.DUMMYFUNCTION("IMPORTRANGE(H34885,""IDENTITAS UNIT!D9"")"),"#N/A")</f>
        <v>#N/A</v>
      </c>
      <c r="H34885" s="4" t="str">
        <v/>
      </c>
      <c r="I34885" s="4" t="str">
        <v/>
      </c>
    </row>
    <row r="34886" spans="5:9" ht="16.5" hidden="1">
      <c r="E34886" s="4" t="str">
        <v/>
      </c>
      <c r="F34886" s="102" t="str">
        <f ca="1">IFERROR(__xludf.DUMMYFUNCTION("IMPORTRANGE(H34886,""IDENTITAS UNIT!D9"")"),"#N/A")</f>
        <v>#N/A</v>
      </c>
      <c r="H34886" s="4" t="str">
        <v/>
      </c>
      <c r="I34886" s="4" t="str">
        <v/>
      </c>
    </row>
    <row r="34887" spans="5:9" ht="16.5" hidden="1">
      <c r="E34887" s="4" t="str">
        <v/>
      </c>
      <c r="F34887" s="102" t="str">
        <f ca="1">IFERROR(__xludf.DUMMYFUNCTION("IMPORTRANGE(H34887,""IDENTITAS UNIT!D9"")"),"#N/A")</f>
        <v>#N/A</v>
      </c>
      <c r="H34887" s="4" t="str">
        <v/>
      </c>
      <c r="I34887" s="4" t="str">
        <v/>
      </c>
    </row>
    <row r="34888" spans="5:9" ht="16.5" hidden="1">
      <c r="E34888" s="4" t="str">
        <v/>
      </c>
      <c r="F34888" s="102" t="str">
        <f ca="1">IFERROR(__xludf.DUMMYFUNCTION("IMPORTRANGE(H34888,""IDENTITAS UNIT!D9"")"),"#N/A")</f>
        <v>#N/A</v>
      </c>
      <c r="H34888" s="4" t="str">
        <v/>
      </c>
      <c r="I34888" s="4" t="str">
        <v/>
      </c>
    </row>
    <row r="34889" spans="5:9" ht="16.5" hidden="1">
      <c r="E34889" s="4" t="str">
        <v/>
      </c>
      <c r="F34889" s="102" t="str">
        <f ca="1">IFERROR(__xludf.DUMMYFUNCTION("IMPORTRANGE(H34889,""IDENTITAS UNIT!D9"")"),"#N/A")</f>
        <v>#N/A</v>
      </c>
      <c r="H34889" s="4" t="str">
        <v/>
      </c>
      <c r="I34889" s="4" t="str">
        <v/>
      </c>
    </row>
    <row r="34890" spans="5:9" ht="16.5" hidden="1">
      <c r="E34890" s="4" t="str">
        <v/>
      </c>
      <c r="F34890" s="102" t="str">
        <f ca="1">IFERROR(__xludf.DUMMYFUNCTION("IMPORTRANGE(H34890,""IDENTITAS UNIT!D9"")"),"#N/A")</f>
        <v>#N/A</v>
      </c>
      <c r="H34890" s="4" t="str">
        <v/>
      </c>
      <c r="I34890" s="4" t="str">
        <v/>
      </c>
    </row>
    <row r="34891" spans="5:9" ht="16.5" hidden="1">
      <c r="E34891" s="4" t="str">
        <v/>
      </c>
      <c r="F34891" s="102" t="str">
        <f ca="1">IFERROR(__xludf.DUMMYFUNCTION("IMPORTRANGE(H34891,""IDENTITAS UNIT!D9"")"),"#N/A")</f>
        <v>#N/A</v>
      </c>
      <c r="H34891" s="4" t="str">
        <v/>
      </c>
      <c r="I34891" s="4" t="str">
        <v/>
      </c>
    </row>
    <row r="34892" spans="5:9" ht="16.5" hidden="1">
      <c r="E34892" s="4" t="str">
        <v/>
      </c>
      <c r="F34892" s="102" t="str">
        <f ca="1">IFERROR(__xludf.DUMMYFUNCTION("IMPORTRANGE(H34892,""IDENTITAS UNIT!D9"")"),"#N/A")</f>
        <v>#N/A</v>
      </c>
      <c r="H34892" s="4" t="str">
        <v/>
      </c>
      <c r="I34892" s="4" t="str">
        <v/>
      </c>
    </row>
    <row r="34893" spans="5:9" ht="16.5" hidden="1">
      <c r="E34893" s="4" t="str">
        <v/>
      </c>
      <c r="F34893" s="102" t="str">
        <f ca="1">IFERROR(__xludf.DUMMYFUNCTION("IMPORTRANGE(H34893,""IDENTITAS UNIT!D9"")"),"#N/A")</f>
        <v>#N/A</v>
      </c>
      <c r="H34893" s="4" t="str">
        <v/>
      </c>
      <c r="I34893" s="4" t="str">
        <v/>
      </c>
    </row>
    <row r="34894" spans="5:9" ht="16.5" hidden="1">
      <c r="E34894" s="4" t="str">
        <v/>
      </c>
      <c r="F34894" s="102" t="str">
        <f ca="1">IFERROR(__xludf.DUMMYFUNCTION("IMPORTRANGE(H34894,""IDENTITAS UNIT!D9"")"),"#N/A")</f>
        <v>#N/A</v>
      </c>
      <c r="H34894" s="4" t="str">
        <v/>
      </c>
      <c r="I34894" s="4" t="str">
        <v/>
      </c>
    </row>
    <row r="34895" spans="5:9" ht="16.5" hidden="1">
      <c r="E34895" s="4" t="str">
        <v/>
      </c>
      <c r="F34895" s="102" t="str">
        <f ca="1">IFERROR(__xludf.DUMMYFUNCTION("IMPORTRANGE(H34895,""IDENTITAS UNIT!D9"")"),"#N/A")</f>
        <v>#N/A</v>
      </c>
      <c r="H34895" s="4" t="str">
        <v/>
      </c>
      <c r="I34895" s="4" t="str">
        <v/>
      </c>
    </row>
    <row r="34896" spans="5:9" ht="16.5" hidden="1">
      <c r="E34896" s="4" t="str">
        <v/>
      </c>
      <c r="F34896" s="102" t="str">
        <f ca="1">IFERROR(__xludf.DUMMYFUNCTION("IMPORTRANGE(H34896,""IDENTITAS UNIT!D9"")"),"#N/A")</f>
        <v>#N/A</v>
      </c>
      <c r="H34896" s="4" t="str">
        <v/>
      </c>
      <c r="I34896" s="4" t="str">
        <v/>
      </c>
    </row>
    <row r="34897" spans="5:9" ht="16.5" hidden="1">
      <c r="E34897" s="4" t="str">
        <v/>
      </c>
      <c r="F34897" s="102" t="str">
        <f ca="1">IFERROR(__xludf.DUMMYFUNCTION("IMPORTRANGE(H34897,""IDENTITAS UNIT!D9"")"),"#N/A")</f>
        <v>#N/A</v>
      </c>
      <c r="H34897" s="4" t="str">
        <v/>
      </c>
      <c r="I34897" s="4" t="str">
        <v/>
      </c>
    </row>
    <row r="34898" spans="5:9" ht="16.5" hidden="1">
      <c r="E34898" s="4" t="str">
        <v/>
      </c>
      <c r="F34898" s="102" t="str">
        <f ca="1">IFERROR(__xludf.DUMMYFUNCTION("IMPORTRANGE(H34898,""IDENTITAS UNIT!D9"")"),"#N/A")</f>
        <v>#N/A</v>
      </c>
      <c r="H34898" s="4" t="str">
        <v/>
      </c>
      <c r="I34898" s="4" t="str">
        <v/>
      </c>
    </row>
    <row r="34899" spans="5:9" ht="16.5" hidden="1">
      <c r="E34899" s="4" t="str">
        <v/>
      </c>
      <c r="F34899" s="102" t="str">
        <f ca="1">IFERROR(__xludf.DUMMYFUNCTION("IMPORTRANGE(H34899,""IDENTITAS UNIT!D9"")"),"#N/A")</f>
        <v>#N/A</v>
      </c>
      <c r="H34899" s="4" t="str">
        <v/>
      </c>
      <c r="I34899" s="4" t="str">
        <v/>
      </c>
    </row>
    <row r="34900" spans="5:9" ht="16.5" hidden="1">
      <c r="E34900" s="4" t="str">
        <v/>
      </c>
      <c r="F34900" s="102" t="str">
        <f ca="1">IFERROR(__xludf.DUMMYFUNCTION("IMPORTRANGE(H34900,""IDENTITAS UNIT!D9"")"),"#N/A")</f>
        <v>#N/A</v>
      </c>
      <c r="H34900" s="4" t="str">
        <v/>
      </c>
      <c r="I34900" s="4" t="str">
        <v/>
      </c>
    </row>
    <row r="34901" spans="5:9" ht="16.5" hidden="1">
      <c r="E34901" s="4" t="str">
        <v/>
      </c>
      <c r="F34901" s="102" t="str">
        <f ca="1">IFERROR(__xludf.DUMMYFUNCTION("IMPORTRANGE(H34901,""IDENTITAS UNIT!D9"")"),"#N/A")</f>
        <v>#N/A</v>
      </c>
      <c r="H34901" s="4" t="str">
        <v/>
      </c>
      <c r="I34901" s="4" t="str">
        <v/>
      </c>
    </row>
    <row r="34902" spans="5:9" ht="16.5" hidden="1">
      <c r="E34902" s="4" t="str">
        <v/>
      </c>
      <c r="F34902" s="102" t="str">
        <f ca="1">IFERROR(__xludf.DUMMYFUNCTION("IMPORTRANGE(H34902,""IDENTITAS UNIT!D9"")"),"#N/A")</f>
        <v>#N/A</v>
      </c>
      <c r="H34902" s="4" t="str">
        <v/>
      </c>
      <c r="I34902" s="4" t="str">
        <v/>
      </c>
    </row>
    <row r="34903" spans="5:9" ht="16.5" hidden="1">
      <c r="E34903" s="4" t="str">
        <v/>
      </c>
      <c r="F34903" s="102" t="str">
        <f ca="1">IFERROR(__xludf.DUMMYFUNCTION("IMPORTRANGE(H34903,""IDENTITAS UNIT!D9"")"),"#N/A")</f>
        <v>#N/A</v>
      </c>
      <c r="H34903" s="4" t="str">
        <v/>
      </c>
      <c r="I34903" s="4" t="str">
        <v/>
      </c>
    </row>
    <row r="34904" spans="5:9" ht="16.5" hidden="1">
      <c r="E34904" s="4" t="str">
        <v/>
      </c>
      <c r="F34904" s="102" t="str">
        <f ca="1">IFERROR(__xludf.DUMMYFUNCTION("IMPORTRANGE(H34904,""IDENTITAS UNIT!D9"")"),"#N/A")</f>
        <v>#N/A</v>
      </c>
      <c r="H34904" s="4" t="str">
        <v/>
      </c>
      <c r="I34904" s="4" t="str">
        <v/>
      </c>
    </row>
    <row r="34905" spans="5:9" ht="16.5" hidden="1">
      <c r="E34905" s="4" t="str">
        <v/>
      </c>
      <c r="F34905" s="102" t="str">
        <f ca="1">IFERROR(__xludf.DUMMYFUNCTION("IMPORTRANGE(H34905,""IDENTITAS UNIT!D9"")"),"#N/A")</f>
        <v>#N/A</v>
      </c>
      <c r="H34905" s="4" t="str">
        <v/>
      </c>
      <c r="I34905" s="4" t="str">
        <v/>
      </c>
    </row>
    <row r="34906" spans="5:9" ht="16.5" hidden="1">
      <c r="E34906" s="4" t="str">
        <v/>
      </c>
      <c r="F34906" s="102" t="str">
        <f ca="1">IFERROR(__xludf.DUMMYFUNCTION("IMPORTRANGE(H34906,""IDENTITAS UNIT!D9"")"),"#N/A")</f>
        <v>#N/A</v>
      </c>
      <c r="H34906" s="4" t="str">
        <v/>
      </c>
      <c r="I34906" s="4" t="str">
        <v/>
      </c>
    </row>
    <row r="34907" spans="5:9" ht="16.5" hidden="1">
      <c r="E34907" s="4" t="str">
        <v/>
      </c>
      <c r="F34907" s="102" t="str">
        <f ca="1">IFERROR(__xludf.DUMMYFUNCTION("IMPORTRANGE(H34907,""IDENTITAS UNIT!D9"")"),"#N/A")</f>
        <v>#N/A</v>
      </c>
      <c r="H34907" s="4" t="str">
        <v/>
      </c>
      <c r="I34907" s="4" t="str">
        <v/>
      </c>
    </row>
    <row r="34908" spans="5:9" ht="16.5" hidden="1">
      <c r="E34908" s="4" t="str">
        <v/>
      </c>
      <c r="F34908" s="102" t="str">
        <f ca="1">IFERROR(__xludf.DUMMYFUNCTION("IMPORTRANGE(H34908,""IDENTITAS UNIT!D9"")"),"#N/A")</f>
        <v>#N/A</v>
      </c>
      <c r="H34908" s="4" t="str">
        <v/>
      </c>
      <c r="I34908" s="4" t="str">
        <v/>
      </c>
    </row>
    <row r="34909" spans="5:9" ht="16.5" hidden="1">
      <c r="E34909" s="4" t="str">
        <v/>
      </c>
      <c r="F34909" s="102" t="str">
        <f ca="1">IFERROR(__xludf.DUMMYFUNCTION("IMPORTRANGE(H34909,""IDENTITAS UNIT!D9"")"),"#N/A")</f>
        <v>#N/A</v>
      </c>
      <c r="H34909" s="4" t="str">
        <v/>
      </c>
      <c r="I34909" s="4" t="str">
        <v/>
      </c>
    </row>
    <row r="34910" spans="5:9" ht="16.5" hidden="1">
      <c r="E34910" s="4" t="str">
        <v/>
      </c>
      <c r="F34910" s="102" t="str">
        <f ca="1">IFERROR(__xludf.DUMMYFUNCTION("IMPORTRANGE(H34910,""IDENTITAS UNIT!D9"")"),"#N/A")</f>
        <v>#N/A</v>
      </c>
      <c r="H34910" s="4" t="str">
        <v/>
      </c>
      <c r="I34910" s="4" t="str">
        <v/>
      </c>
    </row>
    <row r="34911" spans="5:9" ht="16.5" hidden="1">
      <c r="E34911" s="4" t="str">
        <v/>
      </c>
      <c r="F34911" s="102" t="str">
        <f ca="1">IFERROR(__xludf.DUMMYFUNCTION("IMPORTRANGE(H34911,""IDENTITAS UNIT!D9"")"),"#N/A")</f>
        <v>#N/A</v>
      </c>
      <c r="H34911" s="4" t="str">
        <v/>
      </c>
      <c r="I34911" s="4" t="str">
        <v/>
      </c>
    </row>
    <row r="34912" spans="5:9" ht="16.5" hidden="1">
      <c r="E34912" s="4" t="str">
        <v/>
      </c>
      <c r="F34912" s="102" t="str">
        <f ca="1">IFERROR(__xludf.DUMMYFUNCTION("IMPORTRANGE(H34912,""IDENTITAS UNIT!D9"")"),"#N/A")</f>
        <v>#N/A</v>
      </c>
      <c r="H34912" s="4" t="str">
        <v/>
      </c>
      <c r="I34912" s="4" t="str">
        <v/>
      </c>
    </row>
    <row r="34913" spans="5:9" ht="16.5" hidden="1">
      <c r="E34913" s="4" t="str">
        <v/>
      </c>
      <c r="F34913" s="102" t="str">
        <f ca="1">IFERROR(__xludf.DUMMYFUNCTION("IMPORTRANGE(H34913,""IDENTITAS UNIT!D9"")"),"#N/A")</f>
        <v>#N/A</v>
      </c>
      <c r="H34913" s="4" t="str">
        <v/>
      </c>
      <c r="I34913" s="4" t="str">
        <v/>
      </c>
    </row>
    <row r="34914" spans="5:9" ht="16.5" hidden="1">
      <c r="E34914" s="4" t="str">
        <v/>
      </c>
      <c r="F34914" s="102" t="str">
        <f ca="1">IFERROR(__xludf.DUMMYFUNCTION("IMPORTRANGE(H34914,""IDENTITAS UNIT!D9"")"),"#N/A")</f>
        <v>#N/A</v>
      </c>
      <c r="H34914" s="4" t="str">
        <v/>
      </c>
      <c r="I34914" s="4" t="str">
        <v/>
      </c>
    </row>
    <row r="34915" spans="5:9" ht="16.5" hidden="1">
      <c r="E34915" s="4" t="str">
        <v/>
      </c>
      <c r="F34915" s="102" t="str">
        <f ca="1">IFERROR(__xludf.DUMMYFUNCTION("IMPORTRANGE(H34915,""IDENTITAS UNIT!D9"")"),"#N/A")</f>
        <v>#N/A</v>
      </c>
      <c r="H34915" s="4" t="str">
        <v/>
      </c>
      <c r="I34915" s="4" t="str">
        <v/>
      </c>
    </row>
    <row r="34916" spans="5:9" ht="16.5" hidden="1">
      <c r="E34916" s="4" t="str">
        <v/>
      </c>
      <c r="F34916" s="102" t="str">
        <f ca="1">IFERROR(__xludf.DUMMYFUNCTION("IMPORTRANGE(H34916,""IDENTITAS UNIT!D9"")"),"#N/A")</f>
        <v>#N/A</v>
      </c>
      <c r="H34916" s="4" t="str">
        <v/>
      </c>
      <c r="I34916" s="4" t="str">
        <v/>
      </c>
    </row>
    <row r="34917" spans="5:9" ht="16.5" hidden="1">
      <c r="E34917" s="4" t="str">
        <v/>
      </c>
      <c r="F34917" s="102" t="str">
        <f ca="1">IFERROR(__xludf.DUMMYFUNCTION("IMPORTRANGE(H34917,""IDENTITAS UNIT!D9"")"),"#N/A")</f>
        <v>#N/A</v>
      </c>
      <c r="H34917" s="4" t="str">
        <v/>
      </c>
      <c r="I34917" s="4" t="str">
        <v/>
      </c>
    </row>
    <row r="34918" spans="5:9" ht="16.5" hidden="1">
      <c r="E34918" s="4" t="str">
        <v/>
      </c>
      <c r="F34918" s="102" t="str">
        <f ca="1">IFERROR(__xludf.DUMMYFUNCTION("IMPORTRANGE(H34918,""IDENTITAS UNIT!D9"")"),"#N/A")</f>
        <v>#N/A</v>
      </c>
      <c r="H34918" s="4" t="str">
        <v/>
      </c>
      <c r="I34918" s="4" t="str">
        <v/>
      </c>
    </row>
    <row r="34919" spans="5:9" ht="16.5" hidden="1">
      <c r="E34919" s="4" t="str">
        <v/>
      </c>
      <c r="F34919" s="102" t="str">
        <f ca="1">IFERROR(__xludf.DUMMYFUNCTION("IMPORTRANGE(H34919,""IDENTITAS UNIT!D9"")"),"#N/A")</f>
        <v>#N/A</v>
      </c>
      <c r="H34919" s="4" t="str">
        <v/>
      </c>
      <c r="I34919" s="4" t="str">
        <v/>
      </c>
    </row>
    <row r="34920" spans="5:9" ht="16.5" hidden="1">
      <c r="E34920" s="4" t="str">
        <v/>
      </c>
      <c r="F34920" s="102" t="str">
        <f ca="1">IFERROR(__xludf.DUMMYFUNCTION("IMPORTRANGE(H34920,""IDENTITAS UNIT!D9"")"),"#N/A")</f>
        <v>#N/A</v>
      </c>
      <c r="H34920" s="4" t="str">
        <v/>
      </c>
      <c r="I34920" s="4" t="str">
        <v/>
      </c>
    </row>
    <row r="34921" spans="5:9" ht="16.5" hidden="1">
      <c r="E34921" s="4" t="str">
        <v/>
      </c>
      <c r="F34921" s="102" t="str">
        <f ca="1">IFERROR(__xludf.DUMMYFUNCTION("IMPORTRANGE(H34921,""IDENTITAS UNIT!D9"")"),"#N/A")</f>
        <v>#N/A</v>
      </c>
      <c r="H34921" s="4" t="str">
        <v/>
      </c>
      <c r="I34921" s="4" t="str">
        <v/>
      </c>
    </row>
    <row r="34922" spans="5:9" ht="16.5" hidden="1">
      <c r="E34922" s="4" t="str">
        <v/>
      </c>
      <c r="F34922" s="102" t="str">
        <f ca="1">IFERROR(__xludf.DUMMYFUNCTION("IMPORTRANGE(H34922,""IDENTITAS UNIT!D9"")"),"#N/A")</f>
        <v>#N/A</v>
      </c>
      <c r="H34922" s="4" t="str">
        <v/>
      </c>
      <c r="I34922" s="4" t="str">
        <v/>
      </c>
    </row>
    <row r="34923" spans="5:9" ht="16.5" hidden="1">
      <c r="E34923" s="4" t="str">
        <v/>
      </c>
      <c r="F34923" s="102" t="str">
        <f ca="1">IFERROR(__xludf.DUMMYFUNCTION("IMPORTRANGE(H34923,""IDENTITAS UNIT!D9"")"),"#N/A")</f>
        <v>#N/A</v>
      </c>
      <c r="H34923" s="4" t="str">
        <v/>
      </c>
      <c r="I34923" s="4" t="str">
        <v/>
      </c>
    </row>
    <row r="34924" spans="5:9" ht="16.5" hidden="1">
      <c r="E34924" s="4" t="str">
        <v/>
      </c>
      <c r="F34924" s="102" t="str">
        <f ca="1">IFERROR(__xludf.DUMMYFUNCTION("IMPORTRANGE(H34924,""IDENTITAS UNIT!D9"")"),"#N/A")</f>
        <v>#N/A</v>
      </c>
      <c r="H34924" s="4" t="str">
        <v/>
      </c>
      <c r="I34924" s="4" t="str">
        <v/>
      </c>
    </row>
    <row r="34925" spans="5:9" ht="16.5" hidden="1">
      <c r="E34925" s="4" t="str">
        <v/>
      </c>
      <c r="F34925" s="102" t="str">
        <f ca="1">IFERROR(__xludf.DUMMYFUNCTION("IMPORTRANGE(H34925,""IDENTITAS UNIT!D9"")"),"#N/A")</f>
        <v>#N/A</v>
      </c>
      <c r="H34925" s="4" t="str">
        <v/>
      </c>
      <c r="I34925" s="4" t="str">
        <v/>
      </c>
    </row>
    <row r="34926" spans="5:9" ht="16.5" hidden="1">
      <c r="E34926" s="4" t="str">
        <v/>
      </c>
      <c r="F34926" s="102" t="str">
        <f ca="1">IFERROR(__xludf.DUMMYFUNCTION("IMPORTRANGE(H34926,""IDENTITAS UNIT!D9"")"),"#N/A")</f>
        <v>#N/A</v>
      </c>
      <c r="H34926" s="4" t="str">
        <v/>
      </c>
      <c r="I34926" s="4" t="str">
        <v/>
      </c>
    </row>
    <row r="34927" spans="5:9" ht="16.5" hidden="1">
      <c r="E34927" s="4" t="str">
        <v/>
      </c>
      <c r="F34927" s="102" t="str">
        <f ca="1">IFERROR(__xludf.DUMMYFUNCTION("IMPORTRANGE(H34927,""IDENTITAS UNIT!D9"")"),"#N/A")</f>
        <v>#N/A</v>
      </c>
      <c r="H34927" s="4" t="str">
        <v/>
      </c>
      <c r="I34927" s="4" t="str">
        <v/>
      </c>
    </row>
    <row r="34928" spans="5:9" ht="16.5" hidden="1">
      <c r="E34928" s="4" t="str">
        <v/>
      </c>
      <c r="F34928" s="102" t="str">
        <f ca="1">IFERROR(__xludf.DUMMYFUNCTION("IMPORTRANGE(H34928,""IDENTITAS UNIT!D9"")"),"#N/A")</f>
        <v>#N/A</v>
      </c>
      <c r="H34928" s="4" t="str">
        <v/>
      </c>
      <c r="I34928" s="4" t="str">
        <v/>
      </c>
    </row>
    <row r="34929" spans="5:9" ht="16.5" hidden="1">
      <c r="E34929" s="4" t="str">
        <v/>
      </c>
      <c r="F34929" s="102" t="str">
        <f ca="1">IFERROR(__xludf.DUMMYFUNCTION("IMPORTRANGE(H34929,""IDENTITAS UNIT!D9"")"),"#N/A")</f>
        <v>#N/A</v>
      </c>
      <c r="H34929" s="4" t="str">
        <v/>
      </c>
      <c r="I34929" s="4" t="str">
        <v/>
      </c>
    </row>
    <row r="34930" spans="5:9" ht="16.5" hidden="1">
      <c r="E34930" s="4" t="str">
        <v/>
      </c>
      <c r="F34930" s="102" t="str">
        <f ca="1">IFERROR(__xludf.DUMMYFUNCTION("IMPORTRANGE(H34930,""IDENTITAS UNIT!D9"")"),"#N/A")</f>
        <v>#N/A</v>
      </c>
      <c r="H34930" s="4" t="str">
        <v/>
      </c>
      <c r="I34930" s="4" t="str">
        <v/>
      </c>
    </row>
    <row r="34931" spans="5:9" ht="16.5" hidden="1">
      <c r="E34931" s="4" t="str">
        <v/>
      </c>
      <c r="F34931" s="102" t="str">
        <f ca="1">IFERROR(__xludf.DUMMYFUNCTION("IMPORTRANGE(H34931,""IDENTITAS UNIT!D9"")"),"#N/A")</f>
        <v>#N/A</v>
      </c>
      <c r="H34931" s="4" t="str">
        <v/>
      </c>
      <c r="I34931" s="4" t="str">
        <v/>
      </c>
    </row>
    <row r="34932" spans="5:9" ht="16.5" hidden="1">
      <c r="E34932" s="4" t="str">
        <v/>
      </c>
      <c r="F34932" s="102" t="str">
        <f ca="1">IFERROR(__xludf.DUMMYFUNCTION("IMPORTRANGE(H34932,""IDENTITAS UNIT!D9"")"),"#N/A")</f>
        <v>#N/A</v>
      </c>
      <c r="H34932" s="4" t="str">
        <v/>
      </c>
      <c r="I34932" s="4" t="str">
        <v/>
      </c>
    </row>
    <row r="34933" spans="5:9" ht="16.5" hidden="1">
      <c r="E34933" s="4" t="str">
        <v/>
      </c>
      <c r="F34933" s="102" t="str">
        <f ca="1">IFERROR(__xludf.DUMMYFUNCTION("IMPORTRANGE(H34933,""IDENTITAS UNIT!D9"")"),"#N/A")</f>
        <v>#N/A</v>
      </c>
      <c r="H34933" s="4" t="str">
        <v/>
      </c>
      <c r="I34933" s="4" t="str">
        <v/>
      </c>
    </row>
    <row r="34934" spans="5:9" ht="16.5" hidden="1">
      <c r="E34934" s="4" t="str">
        <v/>
      </c>
      <c r="F34934" s="102" t="str">
        <f ca="1">IFERROR(__xludf.DUMMYFUNCTION("IMPORTRANGE(H34934,""IDENTITAS UNIT!D9"")"),"#N/A")</f>
        <v>#N/A</v>
      </c>
      <c r="H34934" s="4" t="str">
        <v/>
      </c>
      <c r="I34934" s="4" t="str">
        <v/>
      </c>
    </row>
    <row r="34935" spans="5:9" ht="16.5" hidden="1">
      <c r="E34935" s="4" t="str">
        <v/>
      </c>
      <c r="F34935" s="102" t="str">
        <f ca="1">IFERROR(__xludf.DUMMYFUNCTION("IMPORTRANGE(H34935,""IDENTITAS UNIT!D9"")"),"#N/A")</f>
        <v>#N/A</v>
      </c>
      <c r="H34935" s="4" t="str">
        <v/>
      </c>
      <c r="I34935" s="4" t="str">
        <v/>
      </c>
    </row>
    <row r="34936" spans="5:9" ht="16.5" hidden="1">
      <c r="E34936" s="4" t="str">
        <v/>
      </c>
      <c r="F34936" s="102" t="str">
        <f ca="1">IFERROR(__xludf.DUMMYFUNCTION("IMPORTRANGE(H34936,""IDENTITAS UNIT!D9"")"),"#N/A")</f>
        <v>#N/A</v>
      </c>
      <c r="H34936" s="4" t="str">
        <v/>
      </c>
      <c r="I34936" s="4" t="str">
        <v/>
      </c>
    </row>
    <row r="34937" spans="5:9" ht="16.5" hidden="1">
      <c r="E34937" s="4" t="str">
        <v/>
      </c>
      <c r="F34937" s="102" t="str">
        <f ca="1">IFERROR(__xludf.DUMMYFUNCTION("IMPORTRANGE(H34937,""IDENTITAS UNIT!D9"")"),"#N/A")</f>
        <v>#N/A</v>
      </c>
      <c r="H34937" s="4" t="str">
        <v/>
      </c>
      <c r="I34937" s="4" t="str">
        <v/>
      </c>
    </row>
    <row r="34938" spans="5:9" ht="16.5" hidden="1">
      <c r="E34938" s="4" t="str">
        <v/>
      </c>
      <c r="F34938" s="102" t="str">
        <f ca="1">IFERROR(__xludf.DUMMYFUNCTION("IMPORTRANGE(H34938,""IDENTITAS UNIT!D9"")"),"#N/A")</f>
        <v>#N/A</v>
      </c>
      <c r="H34938" s="4" t="str">
        <v/>
      </c>
      <c r="I34938" s="4" t="str">
        <v/>
      </c>
    </row>
    <row r="34939" spans="5:9" ht="16.5" hidden="1">
      <c r="E34939" s="4" t="str">
        <v/>
      </c>
      <c r="F34939" s="102" t="str">
        <f ca="1">IFERROR(__xludf.DUMMYFUNCTION("IMPORTRANGE(H34939,""IDENTITAS UNIT!D9"")"),"#N/A")</f>
        <v>#N/A</v>
      </c>
      <c r="H34939" s="4" t="str">
        <v/>
      </c>
      <c r="I34939" s="4" t="str">
        <v/>
      </c>
    </row>
    <row r="34940" spans="5:9" ht="16.5" hidden="1">
      <c r="E34940" s="4" t="str">
        <v/>
      </c>
      <c r="F34940" s="102" t="str">
        <f ca="1">IFERROR(__xludf.DUMMYFUNCTION("IMPORTRANGE(H34940,""IDENTITAS UNIT!D9"")"),"#N/A")</f>
        <v>#N/A</v>
      </c>
      <c r="H34940" s="4" t="str">
        <v/>
      </c>
      <c r="I34940" s="4" t="str">
        <v/>
      </c>
    </row>
    <row r="34941" spans="5:9" ht="16.5" hidden="1">
      <c r="E34941" s="4" t="str">
        <v/>
      </c>
      <c r="F34941" s="102" t="str">
        <f ca="1">IFERROR(__xludf.DUMMYFUNCTION("IMPORTRANGE(H34941,""IDENTITAS UNIT!D9"")"),"#N/A")</f>
        <v>#N/A</v>
      </c>
      <c r="H34941" s="4" t="str">
        <v/>
      </c>
      <c r="I34941" s="4" t="str">
        <v/>
      </c>
    </row>
    <row r="34942" spans="5:9" ht="16.5" hidden="1">
      <c r="E34942" s="4" t="str">
        <v/>
      </c>
      <c r="F34942" s="102" t="str">
        <f ca="1">IFERROR(__xludf.DUMMYFUNCTION("IMPORTRANGE(H34942,""IDENTITAS UNIT!D9"")"),"#N/A")</f>
        <v>#N/A</v>
      </c>
      <c r="H34942" s="4" t="str">
        <v/>
      </c>
      <c r="I34942" s="4" t="str">
        <v/>
      </c>
    </row>
    <row r="34943" spans="5:9" ht="16.5" hidden="1">
      <c r="E34943" s="4" t="str">
        <v/>
      </c>
      <c r="F34943" s="102" t="str">
        <f ca="1">IFERROR(__xludf.DUMMYFUNCTION("IMPORTRANGE(H34943,""IDENTITAS UNIT!D9"")"),"#N/A")</f>
        <v>#N/A</v>
      </c>
      <c r="H34943" s="4" t="str">
        <v/>
      </c>
      <c r="I34943" s="4" t="str">
        <v/>
      </c>
    </row>
    <row r="34944" spans="5:9" ht="16.5" hidden="1">
      <c r="E34944" s="4" t="str">
        <v/>
      </c>
      <c r="F34944" s="102" t="str">
        <f ca="1">IFERROR(__xludf.DUMMYFUNCTION("IMPORTRANGE(H34944,""IDENTITAS UNIT!D9"")"),"#N/A")</f>
        <v>#N/A</v>
      </c>
      <c r="H34944" s="4" t="str">
        <v/>
      </c>
      <c r="I34944" s="4" t="str">
        <v/>
      </c>
    </row>
    <row r="34945" spans="5:9" ht="16.5" hidden="1">
      <c r="E34945" s="4" t="str">
        <v/>
      </c>
      <c r="F34945" s="102" t="str">
        <f ca="1">IFERROR(__xludf.DUMMYFUNCTION("IMPORTRANGE(H34945,""IDENTITAS UNIT!D9"")"),"#N/A")</f>
        <v>#N/A</v>
      </c>
      <c r="H34945" s="4" t="str">
        <v/>
      </c>
      <c r="I34945" s="4" t="str">
        <v/>
      </c>
    </row>
    <row r="34946" spans="5:9" ht="16.5" hidden="1">
      <c r="E34946" s="4" t="str">
        <v/>
      </c>
      <c r="F34946" s="102" t="str">
        <f ca="1">IFERROR(__xludf.DUMMYFUNCTION("IMPORTRANGE(H34946,""IDENTITAS UNIT!D9"")"),"#N/A")</f>
        <v>#N/A</v>
      </c>
      <c r="H34946" s="4" t="str">
        <v/>
      </c>
      <c r="I34946" s="4" t="str">
        <v/>
      </c>
    </row>
    <row r="34947" spans="5:9" ht="16.5" hidden="1">
      <c r="E34947" s="4" t="str">
        <v/>
      </c>
      <c r="F34947" s="102" t="str">
        <f ca="1">IFERROR(__xludf.DUMMYFUNCTION("IMPORTRANGE(H34947,""IDENTITAS UNIT!D9"")"),"#N/A")</f>
        <v>#N/A</v>
      </c>
      <c r="H34947" s="4" t="str">
        <v/>
      </c>
      <c r="I34947" s="4" t="str">
        <v/>
      </c>
    </row>
    <row r="34948" spans="5:9" ht="16.5" hidden="1">
      <c r="E34948" s="4" t="str">
        <v/>
      </c>
      <c r="F34948" s="102" t="str">
        <f ca="1">IFERROR(__xludf.DUMMYFUNCTION("IMPORTRANGE(H34948,""IDENTITAS UNIT!D9"")"),"#N/A")</f>
        <v>#N/A</v>
      </c>
      <c r="H34948" s="4" t="str">
        <v/>
      </c>
      <c r="I34948" s="4" t="str">
        <v/>
      </c>
    </row>
    <row r="34949" spans="5:9" ht="16.5" hidden="1">
      <c r="E34949" s="4" t="str">
        <v/>
      </c>
      <c r="F34949" s="102" t="str">
        <f ca="1">IFERROR(__xludf.DUMMYFUNCTION("IMPORTRANGE(H34949,""IDENTITAS UNIT!D9"")"),"#N/A")</f>
        <v>#N/A</v>
      </c>
      <c r="H34949" s="4" t="str">
        <v/>
      </c>
      <c r="I34949" s="4" t="str">
        <v/>
      </c>
    </row>
    <row r="34950" spans="5:9" ht="16.5" hidden="1">
      <c r="E34950" s="4" t="str">
        <v/>
      </c>
      <c r="F34950" s="102" t="str">
        <f ca="1">IFERROR(__xludf.DUMMYFUNCTION("IMPORTRANGE(H34950,""IDENTITAS UNIT!D9"")"),"#N/A")</f>
        <v>#N/A</v>
      </c>
      <c r="H34950" s="4" t="str">
        <v/>
      </c>
      <c r="I34950" s="4" t="str">
        <v/>
      </c>
    </row>
    <row r="34951" spans="5:9" ht="16.5" hidden="1">
      <c r="E34951" s="4" t="str">
        <v/>
      </c>
      <c r="F34951" s="102" t="str">
        <f ca="1">IFERROR(__xludf.DUMMYFUNCTION("IMPORTRANGE(H34951,""IDENTITAS UNIT!D9"")"),"#N/A")</f>
        <v>#N/A</v>
      </c>
      <c r="H34951" s="4" t="str">
        <v/>
      </c>
      <c r="I34951" s="4" t="str">
        <v/>
      </c>
    </row>
    <row r="34952" spans="5:9" ht="16.5" hidden="1">
      <c r="E34952" s="4" t="str">
        <v/>
      </c>
      <c r="F34952" s="102" t="str">
        <f ca="1">IFERROR(__xludf.DUMMYFUNCTION("IMPORTRANGE(H34952,""IDENTITAS UNIT!D9"")"),"#N/A")</f>
        <v>#N/A</v>
      </c>
      <c r="H34952" s="4" t="str">
        <v/>
      </c>
      <c r="I34952" s="4" t="str">
        <v/>
      </c>
    </row>
    <row r="34953" spans="5:9" ht="16.5" hidden="1">
      <c r="E34953" s="4" t="str">
        <v/>
      </c>
      <c r="F34953" s="102" t="str">
        <f ca="1">IFERROR(__xludf.DUMMYFUNCTION("IMPORTRANGE(H34953,""IDENTITAS UNIT!D9"")"),"#N/A")</f>
        <v>#N/A</v>
      </c>
      <c r="H34953" s="4" t="str">
        <v/>
      </c>
      <c r="I34953" s="4" t="str">
        <v/>
      </c>
    </row>
    <row r="34954" spans="5:9" ht="16.5" hidden="1">
      <c r="E34954" s="4" t="str">
        <v/>
      </c>
      <c r="F34954" s="102" t="str">
        <f ca="1">IFERROR(__xludf.DUMMYFUNCTION("IMPORTRANGE(H34954,""IDENTITAS UNIT!D9"")"),"#N/A")</f>
        <v>#N/A</v>
      </c>
      <c r="H34954" s="4" t="str">
        <v/>
      </c>
      <c r="I34954" s="4" t="str">
        <v/>
      </c>
    </row>
    <row r="34955" spans="5:9" ht="16.5" hidden="1">
      <c r="E34955" s="4" t="str">
        <v/>
      </c>
      <c r="F34955" s="102" t="str">
        <f ca="1">IFERROR(__xludf.DUMMYFUNCTION("IMPORTRANGE(H34955,""IDENTITAS UNIT!D9"")"),"#N/A")</f>
        <v>#N/A</v>
      </c>
      <c r="H34955" s="4" t="str">
        <v/>
      </c>
      <c r="I34955" s="4" t="str">
        <v/>
      </c>
    </row>
    <row r="34956" spans="5:9" ht="16.5" hidden="1">
      <c r="E34956" s="4" t="str">
        <v/>
      </c>
      <c r="F34956" s="102" t="str">
        <f ca="1">IFERROR(__xludf.DUMMYFUNCTION("IMPORTRANGE(H34956,""IDENTITAS UNIT!D9"")"),"#N/A")</f>
        <v>#N/A</v>
      </c>
      <c r="H34956" s="4" t="str">
        <v/>
      </c>
      <c r="I34956" s="4" t="str">
        <v/>
      </c>
    </row>
    <row r="34957" spans="5:9" ht="16.5" hidden="1">
      <c r="E34957" s="4" t="str">
        <v/>
      </c>
      <c r="F34957" s="102" t="str">
        <f ca="1">IFERROR(__xludf.DUMMYFUNCTION("IMPORTRANGE(H34957,""IDENTITAS UNIT!D9"")"),"#N/A")</f>
        <v>#N/A</v>
      </c>
      <c r="H34957" s="4" t="str">
        <v/>
      </c>
      <c r="I34957" s="4" t="str">
        <v/>
      </c>
    </row>
    <row r="34958" spans="5:9" ht="16.5" hidden="1">
      <c r="E34958" s="4" t="str">
        <v/>
      </c>
      <c r="F34958" s="102" t="str">
        <f ca="1">IFERROR(__xludf.DUMMYFUNCTION("IMPORTRANGE(H34958,""IDENTITAS UNIT!D9"")"),"#N/A")</f>
        <v>#N/A</v>
      </c>
      <c r="H34958" s="4" t="str">
        <v/>
      </c>
      <c r="I34958" s="4" t="str">
        <v/>
      </c>
    </row>
    <row r="34959" spans="5:9" ht="16.5" hidden="1">
      <c r="E34959" s="4" t="str">
        <v/>
      </c>
      <c r="F34959" s="102" t="str">
        <f ca="1">IFERROR(__xludf.DUMMYFUNCTION("IMPORTRANGE(H34959,""IDENTITAS UNIT!D9"")"),"#N/A")</f>
        <v>#N/A</v>
      </c>
      <c r="H34959" s="4" t="str">
        <v/>
      </c>
      <c r="I34959" s="4" t="str">
        <v/>
      </c>
    </row>
    <row r="34960" spans="5:9" ht="16.5" hidden="1">
      <c r="E34960" s="4" t="str">
        <v/>
      </c>
      <c r="F34960" s="102" t="str">
        <f ca="1">IFERROR(__xludf.DUMMYFUNCTION("IMPORTRANGE(H34960,""IDENTITAS UNIT!D9"")"),"#N/A")</f>
        <v>#N/A</v>
      </c>
      <c r="H34960" s="4" t="str">
        <v/>
      </c>
      <c r="I34960" s="4" t="str">
        <v/>
      </c>
    </row>
    <row r="34961" spans="5:9" ht="16.5" hidden="1">
      <c r="E34961" s="4" t="str">
        <v/>
      </c>
      <c r="F34961" s="102" t="str">
        <f ca="1">IFERROR(__xludf.DUMMYFUNCTION("IMPORTRANGE(H34961,""IDENTITAS UNIT!D9"")"),"#N/A")</f>
        <v>#N/A</v>
      </c>
      <c r="H34961" s="4" t="str">
        <v/>
      </c>
      <c r="I34961" s="4" t="str">
        <v/>
      </c>
    </row>
    <row r="34962" spans="5:9" ht="16.5" hidden="1">
      <c r="E34962" s="4" t="str">
        <v/>
      </c>
      <c r="F34962" s="102" t="str">
        <f ca="1">IFERROR(__xludf.DUMMYFUNCTION("IMPORTRANGE(H34962,""IDENTITAS UNIT!D9"")"),"#N/A")</f>
        <v>#N/A</v>
      </c>
      <c r="H34962" s="4" t="str">
        <v/>
      </c>
      <c r="I34962" s="4" t="str">
        <v/>
      </c>
    </row>
    <row r="34963" spans="5:9" ht="16.5" hidden="1">
      <c r="E34963" s="4" t="str">
        <v/>
      </c>
      <c r="F34963" s="102" t="str">
        <f ca="1">IFERROR(__xludf.DUMMYFUNCTION("IMPORTRANGE(H34963,""IDENTITAS UNIT!D9"")"),"#N/A")</f>
        <v>#N/A</v>
      </c>
      <c r="H34963" s="4" t="str">
        <v/>
      </c>
      <c r="I34963" s="4" t="str">
        <v/>
      </c>
    </row>
    <row r="34964" spans="5:9" ht="16.5" hidden="1">
      <c r="E34964" s="4" t="str">
        <v/>
      </c>
      <c r="F34964" s="102" t="str">
        <f ca="1">IFERROR(__xludf.DUMMYFUNCTION("IMPORTRANGE(H34964,""IDENTITAS UNIT!D9"")"),"#N/A")</f>
        <v>#N/A</v>
      </c>
      <c r="H34964" s="4" t="str">
        <v/>
      </c>
      <c r="I34964" s="4" t="str">
        <v/>
      </c>
    </row>
    <row r="34965" spans="5:9" ht="16.5" hidden="1">
      <c r="E34965" s="4" t="str">
        <v/>
      </c>
      <c r="F34965" s="102" t="str">
        <f ca="1">IFERROR(__xludf.DUMMYFUNCTION("IMPORTRANGE(H34965,""IDENTITAS UNIT!D9"")"),"#N/A")</f>
        <v>#N/A</v>
      </c>
      <c r="H34965" s="4" t="str">
        <v/>
      </c>
      <c r="I34965" s="4" t="str">
        <v/>
      </c>
    </row>
    <row r="34966" spans="5:9" ht="16.5" hidden="1">
      <c r="E34966" s="4" t="str">
        <v/>
      </c>
      <c r="F34966" s="102" t="str">
        <f ca="1">IFERROR(__xludf.DUMMYFUNCTION("IMPORTRANGE(H34966,""IDENTITAS UNIT!D9"")"),"#N/A")</f>
        <v>#N/A</v>
      </c>
      <c r="H34966" s="4" t="str">
        <v/>
      </c>
      <c r="I34966" s="4" t="str">
        <v/>
      </c>
    </row>
    <row r="34967" spans="5:9" ht="16.5" hidden="1">
      <c r="E34967" s="4" t="str">
        <v/>
      </c>
      <c r="F34967" s="102" t="str">
        <f ca="1">IFERROR(__xludf.DUMMYFUNCTION("IMPORTRANGE(H34967,""IDENTITAS UNIT!D9"")"),"#N/A")</f>
        <v>#N/A</v>
      </c>
      <c r="H34967" s="4" t="str">
        <v/>
      </c>
      <c r="I34967" s="4" t="str">
        <v/>
      </c>
    </row>
    <row r="34968" spans="5:9" ht="16.5" hidden="1">
      <c r="E34968" s="4" t="str">
        <v/>
      </c>
      <c r="F34968" s="102" t="str">
        <f ca="1">IFERROR(__xludf.DUMMYFUNCTION("IMPORTRANGE(H34968,""IDENTITAS UNIT!D9"")"),"#N/A")</f>
        <v>#N/A</v>
      </c>
      <c r="H34968" s="4" t="str">
        <v/>
      </c>
      <c r="I34968" s="4" t="str">
        <v/>
      </c>
    </row>
    <row r="34969" spans="5:9" ht="16.5" hidden="1">
      <c r="E34969" s="4" t="str">
        <v/>
      </c>
      <c r="F34969" s="102" t="str">
        <f ca="1">IFERROR(__xludf.DUMMYFUNCTION("IMPORTRANGE(H34969,""IDENTITAS UNIT!D9"")"),"#N/A")</f>
        <v>#N/A</v>
      </c>
      <c r="H34969" s="4" t="str">
        <v/>
      </c>
      <c r="I34969" s="4" t="str">
        <v/>
      </c>
    </row>
    <row r="34970" spans="5:9" ht="16.5" hidden="1">
      <c r="E34970" s="4" t="str">
        <v/>
      </c>
      <c r="F34970" s="102" t="str">
        <f ca="1">IFERROR(__xludf.DUMMYFUNCTION("IMPORTRANGE(H34970,""IDENTITAS UNIT!D9"")"),"#N/A")</f>
        <v>#N/A</v>
      </c>
      <c r="H34970" s="4" t="str">
        <v/>
      </c>
      <c r="I34970" s="4" t="str">
        <v/>
      </c>
    </row>
    <row r="34971" spans="5:9" ht="16.5" hidden="1">
      <c r="E34971" s="4" t="str">
        <v/>
      </c>
      <c r="F34971" s="102" t="str">
        <f ca="1">IFERROR(__xludf.DUMMYFUNCTION("IMPORTRANGE(H34971,""IDENTITAS UNIT!D9"")"),"#N/A")</f>
        <v>#N/A</v>
      </c>
      <c r="H34971" s="4" t="str">
        <v/>
      </c>
      <c r="I34971" s="4" t="str">
        <v/>
      </c>
    </row>
    <row r="34972" spans="5:9" ht="16.5" hidden="1">
      <c r="E34972" s="4" t="str">
        <v/>
      </c>
      <c r="F34972" s="102" t="str">
        <f ca="1">IFERROR(__xludf.DUMMYFUNCTION("IMPORTRANGE(H34972,""IDENTITAS UNIT!D9"")"),"#N/A")</f>
        <v>#N/A</v>
      </c>
      <c r="H34972" s="4" t="str">
        <v/>
      </c>
      <c r="I34972" s="4" t="str">
        <v/>
      </c>
    </row>
    <row r="34973" spans="5:9" ht="16.5" hidden="1">
      <c r="E34973" s="4" t="str">
        <v/>
      </c>
      <c r="F34973" s="102" t="str">
        <f ca="1">IFERROR(__xludf.DUMMYFUNCTION("IMPORTRANGE(H34973,""IDENTITAS UNIT!D9"")"),"#N/A")</f>
        <v>#N/A</v>
      </c>
      <c r="H34973" s="4" t="str">
        <v/>
      </c>
      <c r="I34973" s="4" t="str">
        <v/>
      </c>
    </row>
    <row r="34974" spans="5:9" ht="16.5" hidden="1">
      <c r="E34974" s="4" t="str">
        <v/>
      </c>
      <c r="F34974" s="102" t="str">
        <f ca="1">IFERROR(__xludf.DUMMYFUNCTION("IMPORTRANGE(H34974,""IDENTITAS UNIT!D9"")"),"#N/A")</f>
        <v>#N/A</v>
      </c>
      <c r="H34974" s="4" t="str">
        <v/>
      </c>
      <c r="I34974" s="4" t="str">
        <v/>
      </c>
    </row>
    <row r="34975" spans="5:9" ht="16.5" hidden="1">
      <c r="E34975" s="4" t="str">
        <v/>
      </c>
      <c r="F34975" s="102" t="str">
        <f ca="1">IFERROR(__xludf.DUMMYFUNCTION("IMPORTRANGE(H34975,""IDENTITAS UNIT!D9"")"),"#N/A")</f>
        <v>#N/A</v>
      </c>
      <c r="H34975" s="4" t="str">
        <v/>
      </c>
      <c r="I34975" s="4" t="str">
        <v/>
      </c>
    </row>
    <row r="34976" spans="5:9" ht="16.5" hidden="1">
      <c r="E34976" s="4" t="str">
        <v/>
      </c>
      <c r="F34976" s="102" t="str">
        <f ca="1">IFERROR(__xludf.DUMMYFUNCTION("IMPORTRANGE(H34976,""IDENTITAS UNIT!D9"")"),"#N/A")</f>
        <v>#N/A</v>
      </c>
      <c r="H34976" s="4" t="str">
        <v/>
      </c>
      <c r="I34976" s="4" t="str">
        <v/>
      </c>
    </row>
    <row r="34977" spans="5:9" ht="16.5" hidden="1">
      <c r="E34977" s="4" t="str">
        <v/>
      </c>
      <c r="F34977" s="102" t="str">
        <f ca="1">IFERROR(__xludf.DUMMYFUNCTION("IMPORTRANGE(H34977,""IDENTITAS UNIT!D9"")"),"#N/A")</f>
        <v>#N/A</v>
      </c>
      <c r="H34977" s="4" t="str">
        <v/>
      </c>
      <c r="I34977" s="4" t="str">
        <v/>
      </c>
    </row>
    <row r="34978" spans="5:9" ht="16.5" hidden="1">
      <c r="E34978" s="4" t="str">
        <v/>
      </c>
      <c r="F34978" s="102" t="str">
        <f ca="1">IFERROR(__xludf.DUMMYFUNCTION("IMPORTRANGE(H34978,""IDENTITAS UNIT!D9"")"),"#N/A")</f>
        <v>#N/A</v>
      </c>
      <c r="H34978" s="4" t="str">
        <v/>
      </c>
      <c r="I34978" s="4" t="str">
        <v/>
      </c>
    </row>
    <row r="34979" spans="5:9" ht="16.5" hidden="1">
      <c r="E34979" s="4" t="str">
        <v/>
      </c>
      <c r="F34979" s="102" t="str">
        <f ca="1">IFERROR(__xludf.DUMMYFUNCTION("IMPORTRANGE(H34979,""IDENTITAS UNIT!D9"")"),"#N/A")</f>
        <v>#N/A</v>
      </c>
      <c r="H34979" s="4" t="str">
        <v/>
      </c>
      <c r="I34979" s="4" t="str">
        <v/>
      </c>
    </row>
    <row r="34980" spans="5:9" ht="16.5" hidden="1">
      <c r="E34980" s="4" t="str">
        <v/>
      </c>
      <c r="F34980" s="102" t="str">
        <f ca="1">IFERROR(__xludf.DUMMYFUNCTION("IMPORTRANGE(H34980,""IDENTITAS UNIT!D9"")"),"#N/A")</f>
        <v>#N/A</v>
      </c>
      <c r="H34980" s="4" t="str">
        <v/>
      </c>
      <c r="I34980" s="4" t="str">
        <v/>
      </c>
    </row>
    <row r="34981" spans="5:9" ht="16.5" hidden="1">
      <c r="E34981" s="4" t="str">
        <v/>
      </c>
      <c r="F34981" s="102" t="str">
        <f ca="1">IFERROR(__xludf.DUMMYFUNCTION("IMPORTRANGE(H34981,""IDENTITAS UNIT!D9"")"),"#N/A")</f>
        <v>#N/A</v>
      </c>
      <c r="H34981" s="4" t="str">
        <v/>
      </c>
      <c r="I34981" s="4" t="str">
        <v/>
      </c>
    </row>
    <row r="34982" spans="5:9" ht="16.5" hidden="1">
      <c r="E34982" s="4" t="str">
        <v/>
      </c>
      <c r="F34982" s="102" t="str">
        <f ca="1">IFERROR(__xludf.DUMMYFUNCTION("IMPORTRANGE(H34982,""IDENTITAS UNIT!D9"")"),"#N/A")</f>
        <v>#N/A</v>
      </c>
      <c r="H34982" s="4" t="str">
        <v/>
      </c>
      <c r="I34982" s="4" t="str">
        <v/>
      </c>
    </row>
    <row r="34983" spans="5:9" ht="16.5" hidden="1">
      <c r="E34983" s="4" t="str">
        <v/>
      </c>
      <c r="F34983" s="102" t="str">
        <f ca="1">IFERROR(__xludf.DUMMYFUNCTION("IMPORTRANGE(H34983,""IDENTITAS UNIT!D9"")"),"#N/A")</f>
        <v>#N/A</v>
      </c>
      <c r="H34983" s="4" t="str">
        <v/>
      </c>
      <c r="I34983" s="4" t="str">
        <v/>
      </c>
    </row>
    <row r="34984" spans="5:9" ht="16.5" hidden="1">
      <c r="E34984" s="4" t="str">
        <v/>
      </c>
      <c r="F34984" s="102" t="str">
        <f ca="1">IFERROR(__xludf.DUMMYFUNCTION("IMPORTRANGE(H34984,""IDENTITAS UNIT!D9"")"),"#N/A")</f>
        <v>#N/A</v>
      </c>
      <c r="H34984" s="4" t="str">
        <v/>
      </c>
      <c r="I34984" s="4" t="str">
        <v/>
      </c>
    </row>
    <row r="34985" spans="5:9" ht="16.5" hidden="1">
      <c r="E34985" s="4" t="str">
        <v/>
      </c>
      <c r="F34985" s="102" t="str">
        <f ca="1">IFERROR(__xludf.DUMMYFUNCTION("IMPORTRANGE(H34985,""IDENTITAS UNIT!D9"")"),"#N/A")</f>
        <v>#N/A</v>
      </c>
      <c r="H34985" s="4" t="str">
        <v/>
      </c>
      <c r="I34985" s="4" t="str">
        <v/>
      </c>
    </row>
    <row r="34986" spans="5:9" ht="16.5" hidden="1">
      <c r="E34986" s="4" t="str">
        <v/>
      </c>
      <c r="F34986" s="102" t="str">
        <f ca="1">IFERROR(__xludf.DUMMYFUNCTION("IMPORTRANGE(H34986,""IDENTITAS UNIT!D9"")"),"#N/A")</f>
        <v>#N/A</v>
      </c>
      <c r="H34986" s="4" t="str">
        <v/>
      </c>
      <c r="I34986" s="4" t="str">
        <v/>
      </c>
    </row>
    <row r="34987" spans="5:9" ht="16.5" hidden="1">
      <c r="E34987" s="4" t="str">
        <v/>
      </c>
      <c r="F34987" s="102" t="str">
        <f ca="1">IFERROR(__xludf.DUMMYFUNCTION("IMPORTRANGE(H34987,""IDENTITAS UNIT!D9"")"),"#N/A")</f>
        <v>#N/A</v>
      </c>
      <c r="H34987" s="4" t="str">
        <v/>
      </c>
      <c r="I34987" s="4" t="str">
        <v/>
      </c>
    </row>
    <row r="34988" spans="5:9" ht="16.5" hidden="1">
      <c r="E34988" s="4" t="str">
        <v/>
      </c>
      <c r="F34988" s="102" t="str">
        <f ca="1">IFERROR(__xludf.DUMMYFUNCTION("IMPORTRANGE(H34988,""IDENTITAS UNIT!D9"")"),"#N/A")</f>
        <v>#N/A</v>
      </c>
      <c r="H34988" s="4" t="str">
        <v/>
      </c>
      <c r="I34988" s="4" t="str">
        <v/>
      </c>
    </row>
    <row r="34989" spans="5:9" ht="16.5" hidden="1">
      <c r="E34989" s="4" t="str">
        <v/>
      </c>
      <c r="F34989" s="102" t="str">
        <f ca="1">IFERROR(__xludf.DUMMYFUNCTION("IMPORTRANGE(H34989,""IDENTITAS UNIT!D9"")"),"#N/A")</f>
        <v>#N/A</v>
      </c>
      <c r="H34989" s="4" t="str">
        <v/>
      </c>
      <c r="I34989" s="4" t="str">
        <v/>
      </c>
    </row>
    <row r="34990" spans="5:9" ht="16.5" hidden="1">
      <c r="E34990" s="4" t="str">
        <v/>
      </c>
      <c r="F34990" s="102" t="str">
        <f ca="1">IFERROR(__xludf.DUMMYFUNCTION("IMPORTRANGE(H34990,""IDENTITAS UNIT!D9"")"),"#N/A")</f>
        <v>#N/A</v>
      </c>
      <c r="H34990" s="4" t="str">
        <v/>
      </c>
      <c r="I34990" s="4" t="str">
        <v/>
      </c>
    </row>
    <row r="34991" spans="5:9" ht="16.5" hidden="1">
      <c r="E34991" s="4" t="str">
        <v/>
      </c>
      <c r="F34991" s="102" t="str">
        <f ca="1">IFERROR(__xludf.DUMMYFUNCTION("IMPORTRANGE(H34991,""IDENTITAS UNIT!D9"")"),"#N/A")</f>
        <v>#N/A</v>
      </c>
      <c r="H34991" s="4" t="str">
        <v/>
      </c>
      <c r="I34991" s="4" t="str">
        <v/>
      </c>
    </row>
    <row r="34992" spans="5:9" ht="16.5" hidden="1">
      <c r="E34992" s="4" t="str">
        <v/>
      </c>
      <c r="F34992" s="102" t="str">
        <f ca="1">IFERROR(__xludf.DUMMYFUNCTION("IMPORTRANGE(H34992,""IDENTITAS UNIT!D9"")"),"#N/A")</f>
        <v>#N/A</v>
      </c>
      <c r="H34992" s="4" t="str">
        <v/>
      </c>
      <c r="I34992" s="4" t="str">
        <v/>
      </c>
    </row>
    <row r="34993" spans="5:9" ht="16.5" hidden="1">
      <c r="E34993" s="4" t="str">
        <v/>
      </c>
      <c r="F34993" s="102" t="str">
        <f ca="1">IFERROR(__xludf.DUMMYFUNCTION("IMPORTRANGE(H34993,""IDENTITAS UNIT!D9"")"),"#N/A")</f>
        <v>#N/A</v>
      </c>
      <c r="H34993" s="4" t="str">
        <v/>
      </c>
      <c r="I34993" s="4" t="str">
        <v/>
      </c>
    </row>
    <row r="34994" spans="5:9" ht="16.5" hidden="1">
      <c r="E34994" s="4" t="str">
        <v/>
      </c>
      <c r="F34994" s="102" t="str">
        <f ca="1">IFERROR(__xludf.DUMMYFUNCTION("IMPORTRANGE(H34994,""IDENTITAS UNIT!D9"")"),"#N/A")</f>
        <v>#N/A</v>
      </c>
      <c r="H34994" s="4" t="str">
        <v/>
      </c>
      <c r="I34994" s="4" t="str">
        <v/>
      </c>
    </row>
    <row r="34995" spans="5:9" ht="16.5" hidden="1">
      <c r="E34995" s="4" t="str">
        <v/>
      </c>
      <c r="F34995" s="102" t="str">
        <f ca="1">IFERROR(__xludf.DUMMYFUNCTION("IMPORTRANGE(H34995,""IDENTITAS UNIT!D9"")"),"#N/A")</f>
        <v>#N/A</v>
      </c>
      <c r="H34995" s="4" t="str">
        <v/>
      </c>
      <c r="I34995" s="4" t="str">
        <v/>
      </c>
    </row>
    <row r="34996" spans="5:9" ht="16.5" hidden="1">
      <c r="E34996" s="4" t="str">
        <v/>
      </c>
      <c r="F34996" s="102" t="str">
        <f ca="1">IFERROR(__xludf.DUMMYFUNCTION("IMPORTRANGE(H34996,""IDENTITAS UNIT!D9"")"),"#N/A")</f>
        <v>#N/A</v>
      </c>
      <c r="H34996" s="4" t="str">
        <v/>
      </c>
      <c r="I34996" s="4" t="str">
        <v/>
      </c>
    </row>
    <row r="34997" spans="5:9" ht="16.5" hidden="1">
      <c r="E34997" s="4" t="str">
        <v/>
      </c>
      <c r="F34997" s="102" t="str">
        <f ca="1">IFERROR(__xludf.DUMMYFUNCTION("IMPORTRANGE(H34997,""IDENTITAS UNIT!D9"")"),"#N/A")</f>
        <v>#N/A</v>
      </c>
      <c r="H34997" s="4" t="str">
        <v/>
      </c>
      <c r="I34997" s="4" t="str">
        <v/>
      </c>
    </row>
    <row r="34998" spans="5:9" ht="16.5" hidden="1">
      <c r="E34998" s="4" t="str">
        <v/>
      </c>
      <c r="F34998" s="102" t="str">
        <f ca="1">IFERROR(__xludf.DUMMYFUNCTION("IMPORTRANGE(H34998,""IDENTITAS UNIT!D9"")"),"#N/A")</f>
        <v>#N/A</v>
      </c>
      <c r="H34998" s="4" t="str">
        <v/>
      </c>
      <c r="I34998" s="4" t="str">
        <v/>
      </c>
    </row>
    <row r="34999" spans="5:9" ht="16.5" hidden="1">
      <c r="E34999" s="4" t="str">
        <v/>
      </c>
      <c r="F34999" s="102" t="str">
        <f ca="1">IFERROR(__xludf.DUMMYFUNCTION("IMPORTRANGE(H34999,""IDENTITAS UNIT!D9"")"),"#N/A")</f>
        <v>#N/A</v>
      </c>
      <c r="H34999" s="4" t="str">
        <v/>
      </c>
      <c r="I34999" s="4" t="str">
        <v/>
      </c>
    </row>
    <row r="35000" spans="5:9" ht="16.5" hidden="1">
      <c r="E35000" s="4" t="str">
        <v/>
      </c>
      <c r="F35000" s="102" t="str">
        <f ca="1">IFERROR(__xludf.DUMMYFUNCTION("IMPORTRANGE(H35000,""IDENTITAS UNIT!D9"")"),"#N/A")</f>
        <v>#N/A</v>
      </c>
      <c r="H35000" s="4" t="str">
        <v/>
      </c>
      <c r="I35000" s="4" t="str">
        <v/>
      </c>
    </row>
    <row r="35001" spans="5:9" ht="16.5" hidden="1">
      <c r="E35001" s="4" t="str">
        <v/>
      </c>
      <c r="F35001" s="102" t="str">
        <f ca="1">IFERROR(__xludf.DUMMYFUNCTION("IMPORTRANGE(H35001,""IDENTITAS UNIT!D9"")"),"#N/A")</f>
        <v>#N/A</v>
      </c>
      <c r="H35001" s="4" t="str">
        <v/>
      </c>
      <c r="I35001" s="4" t="str">
        <v/>
      </c>
    </row>
    <row r="35002" spans="5:9" ht="16.5" hidden="1">
      <c r="E35002" s="4" t="str">
        <v/>
      </c>
      <c r="F35002" s="102" t="str">
        <f ca="1">IFERROR(__xludf.DUMMYFUNCTION("IMPORTRANGE(H35002,""IDENTITAS UNIT!D9"")"),"#N/A")</f>
        <v>#N/A</v>
      </c>
      <c r="H35002" s="4" t="str">
        <v/>
      </c>
      <c r="I35002" s="4" t="str">
        <v/>
      </c>
    </row>
    <row r="35003" spans="5:9" ht="16.5" hidden="1">
      <c r="E35003" s="4" t="str">
        <v/>
      </c>
      <c r="F35003" s="102" t="str">
        <f ca="1">IFERROR(__xludf.DUMMYFUNCTION("IMPORTRANGE(H35003,""IDENTITAS UNIT!D9"")"),"#N/A")</f>
        <v>#N/A</v>
      </c>
      <c r="H35003" s="4" t="str">
        <v/>
      </c>
      <c r="I35003" s="4" t="str">
        <v/>
      </c>
    </row>
    <row r="35004" spans="5:9" ht="16.5" hidden="1">
      <c r="E35004" s="4" t="str">
        <v/>
      </c>
      <c r="F35004" s="102" t="str">
        <f ca="1">IFERROR(__xludf.DUMMYFUNCTION("IMPORTRANGE(H35004,""IDENTITAS UNIT!D9"")"),"#N/A")</f>
        <v>#N/A</v>
      </c>
      <c r="H35004" s="4" t="str">
        <v/>
      </c>
      <c r="I35004" s="4" t="str">
        <v/>
      </c>
    </row>
    <row r="35005" spans="5:9" ht="16.5" hidden="1">
      <c r="E35005" s="4" t="str">
        <v/>
      </c>
      <c r="F35005" s="102" t="str">
        <f ca="1">IFERROR(__xludf.DUMMYFUNCTION("IMPORTRANGE(H35005,""IDENTITAS UNIT!D9"")"),"#N/A")</f>
        <v>#N/A</v>
      </c>
      <c r="H35005" s="4" t="str">
        <v/>
      </c>
      <c r="I35005" s="4" t="str">
        <v/>
      </c>
    </row>
    <row r="35006" spans="5:9" ht="16.5" hidden="1">
      <c r="E35006" s="4" t="str">
        <v/>
      </c>
      <c r="F35006" s="102" t="str">
        <f ca="1">IFERROR(__xludf.DUMMYFUNCTION("IMPORTRANGE(H35006,""IDENTITAS UNIT!D9"")"),"#N/A")</f>
        <v>#N/A</v>
      </c>
      <c r="H35006" s="4" t="str">
        <v/>
      </c>
      <c r="I35006" s="4" t="str">
        <v/>
      </c>
    </row>
    <row r="35007" spans="5:9" ht="16.5" hidden="1">
      <c r="E35007" s="4" t="str">
        <v/>
      </c>
      <c r="F35007" s="102" t="str">
        <f ca="1">IFERROR(__xludf.DUMMYFUNCTION("IMPORTRANGE(H35007,""IDENTITAS UNIT!D9"")"),"#N/A")</f>
        <v>#N/A</v>
      </c>
      <c r="H35007" s="4" t="str">
        <v/>
      </c>
      <c r="I35007" s="4" t="str">
        <v/>
      </c>
    </row>
    <row r="35008" spans="5:9" ht="16.5" hidden="1">
      <c r="E35008" s="4" t="str">
        <v/>
      </c>
      <c r="F35008" s="102" t="str">
        <f ca="1">IFERROR(__xludf.DUMMYFUNCTION("IMPORTRANGE(H35008,""IDENTITAS UNIT!D9"")"),"#N/A")</f>
        <v>#N/A</v>
      </c>
      <c r="H35008" s="4" t="str">
        <v/>
      </c>
      <c r="I35008" s="4" t="str">
        <v/>
      </c>
    </row>
    <row r="35009" spans="5:9" ht="16.5" hidden="1">
      <c r="E35009" s="4" t="str">
        <v/>
      </c>
      <c r="F35009" s="102" t="str">
        <f ca="1">IFERROR(__xludf.DUMMYFUNCTION("IMPORTRANGE(H35009,""IDENTITAS UNIT!D9"")"),"#N/A")</f>
        <v>#N/A</v>
      </c>
      <c r="H35009" s="4" t="str">
        <v/>
      </c>
      <c r="I35009" s="4" t="str">
        <v/>
      </c>
    </row>
    <row r="35010" spans="5:9" ht="16.5" hidden="1">
      <c r="E35010" s="4" t="str">
        <v/>
      </c>
      <c r="F35010" s="102" t="str">
        <f ca="1">IFERROR(__xludf.DUMMYFUNCTION("IMPORTRANGE(H35010,""IDENTITAS UNIT!D9"")"),"#N/A")</f>
        <v>#N/A</v>
      </c>
      <c r="H35010" s="4" t="str">
        <v/>
      </c>
      <c r="I35010" s="4" t="str">
        <v/>
      </c>
    </row>
    <row r="35011" spans="5:9" ht="16.5" hidden="1">
      <c r="E35011" s="4" t="str">
        <v/>
      </c>
      <c r="F35011" s="102" t="str">
        <f ca="1">IFERROR(__xludf.DUMMYFUNCTION("IMPORTRANGE(H35011,""IDENTITAS UNIT!D9"")"),"#N/A")</f>
        <v>#N/A</v>
      </c>
      <c r="H35011" s="4" t="str">
        <v/>
      </c>
      <c r="I35011" s="4" t="str">
        <v/>
      </c>
    </row>
    <row r="35012" spans="5:9" ht="16.5" hidden="1">
      <c r="E35012" s="4" t="str">
        <v/>
      </c>
      <c r="F35012" s="102" t="str">
        <f ca="1">IFERROR(__xludf.DUMMYFUNCTION("IMPORTRANGE(H35012,""IDENTITAS UNIT!D9"")"),"#N/A")</f>
        <v>#N/A</v>
      </c>
      <c r="H35012" s="4" t="str">
        <v/>
      </c>
      <c r="I35012" s="4" t="str">
        <v/>
      </c>
    </row>
    <row r="35013" spans="5:9" ht="16.5" hidden="1">
      <c r="E35013" s="4" t="str">
        <v/>
      </c>
      <c r="F35013" s="102" t="str">
        <f ca="1">IFERROR(__xludf.DUMMYFUNCTION("IMPORTRANGE(H35013,""IDENTITAS UNIT!D9"")"),"#N/A")</f>
        <v>#N/A</v>
      </c>
      <c r="H35013" s="4" t="str">
        <v/>
      </c>
      <c r="I35013" s="4" t="str">
        <v/>
      </c>
    </row>
    <row r="35014" spans="5:9" ht="16.5" hidden="1">
      <c r="E35014" s="4" t="str">
        <v/>
      </c>
      <c r="F35014" s="102" t="str">
        <f ca="1">IFERROR(__xludf.DUMMYFUNCTION("IMPORTRANGE(H35014,""IDENTITAS UNIT!D9"")"),"#N/A")</f>
        <v>#N/A</v>
      </c>
      <c r="H35014" s="4" t="str">
        <v/>
      </c>
      <c r="I35014" s="4" t="str">
        <v/>
      </c>
    </row>
    <row r="35015" spans="5:9" ht="16.5" hidden="1">
      <c r="E35015" s="4" t="str">
        <v/>
      </c>
      <c r="F35015" s="102" t="str">
        <f ca="1">IFERROR(__xludf.DUMMYFUNCTION("IMPORTRANGE(H35015,""IDENTITAS UNIT!D9"")"),"#N/A")</f>
        <v>#N/A</v>
      </c>
      <c r="H35015" s="4" t="str">
        <v/>
      </c>
      <c r="I35015" s="4" t="str">
        <v/>
      </c>
    </row>
    <row r="35016" spans="5:9" ht="16.5" hidden="1">
      <c r="E35016" s="4" t="str">
        <v/>
      </c>
      <c r="F35016" s="102" t="str">
        <f ca="1">IFERROR(__xludf.DUMMYFUNCTION("IMPORTRANGE(H35016,""IDENTITAS UNIT!D9"")"),"#N/A")</f>
        <v>#N/A</v>
      </c>
      <c r="H35016" s="4" t="str">
        <v/>
      </c>
      <c r="I35016" s="4" t="str">
        <v/>
      </c>
    </row>
    <row r="35017" spans="5:9" ht="16.5" hidden="1">
      <c r="E35017" s="4" t="str">
        <v/>
      </c>
      <c r="F35017" s="102" t="str">
        <f ca="1">IFERROR(__xludf.DUMMYFUNCTION("IMPORTRANGE(H35017,""IDENTITAS UNIT!D9"")"),"#N/A")</f>
        <v>#N/A</v>
      </c>
      <c r="H35017" s="4" t="str">
        <v/>
      </c>
      <c r="I35017" s="4" t="str">
        <v/>
      </c>
    </row>
    <row r="35018" spans="5:9" ht="16.5" hidden="1">
      <c r="E35018" s="4" t="str">
        <v/>
      </c>
      <c r="F35018" s="102" t="str">
        <f ca="1">IFERROR(__xludf.DUMMYFUNCTION("IMPORTRANGE(H35018,""IDENTITAS UNIT!D9"")"),"#N/A")</f>
        <v>#N/A</v>
      </c>
      <c r="H35018" s="4" t="str">
        <v/>
      </c>
      <c r="I35018" s="4" t="str">
        <v/>
      </c>
    </row>
    <row r="35019" spans="5:9" ht="16.5" hidden="1">
      <c r="E35019" s="4" t="str">
        <v/>
      </c>
      <c r="F35019" s="102" t="str">
        <f ca="1">IFERROR(__xludf.DUMMYFUNCTION("IMPORTRANGE(H35019,""IDENTITAS UNIT!D9"")"),"#N/A")</f>
        <v>#N/A</v>
      </c>
      <c r="H35019" s="4" t="str">
        <v/>
      </c>
      <c r="I35019" s="4" t="str">
        <v/>
      </c>
    </row>
    <row r="35020" spans="5:9" ht="16.5" hidden="1">
      <c r="E35020" s="4" t="str">
        <v/>
      </c>
      <c r="F35020" s="102" t="str">
        <f ca="1">IFERROR(__xludf.DUMMYFUNCTION("IMPORTRANGE(H35020,""IDENTITAS UNIT!D9"")"),"#N/A")</f>
        <v>#N/A</v>
      </c>
      <c r="H35020" s="4" t="str">
        <v/>
      </c>
      <c r="I35020" s="4" t="str">
        <v/>
      </c>
    </row>
    <row r="35021" spans="5:9" ht="16.5" hidden="1">
      <c r="E35021" s="4" t="str">
        <v/>
      </c>
      <c r="F35021" s="102" t="str">
        <f ca="1">IFERROR(__xludf.DUMMYFUNCTION("IMPORTRANGE(H35021,""IDENTITAS UNIT!D9"")"),"#N/A")</f>
        <v>#N/A</v>
      </c>
      <c r="H35021" s="4" t="str">
        <v/>
      </c>
      <c r="I35021" s="4" t="str">
        <v/>
      </c>
    </row>
    <row r="35022" spans="5:9" ht="16.5" hidden="1">
      <c r="E35022" s="4" t="str">
        <v/>
      </c>
      <c r="F35022" s="102" t="str">
        <f ca="1">IFERROR(__xludf.DUMMYFUNCTION("IMPORTRANGE(H35022,""IDENTITAS UNIT!D9"")"),"#N/A")</f>
        <v>#N/A</v>
      </c>
      <c r="H35022" s="4" t="str">
        <v/>
      </c>
      <c r="I35022" s="4" t="str">
        <v/>
      </c>
    </row>
    <row r="35023" spans="5:9" ht="16.5" hidden="1">
      <c r="E35023" s="4" t="str">
        <v/>
      </c>
      <c r="F35023" s="102" t="str">
        <f ca="1">IFERROR(__xludf.DUMMYFUNCTION("IMPORTRANGE(H35023,""IDENTITAS UNIT!D9"")"),"#N/A")</f>
        <v>#N/A</v>
      </c>
      <c r="H35023" s="4" t="str">
        <v/>
      </c>
      <c r="I35023" s="4" t="str">
        <v/>
      </c>
    </row>
    <row r="35024" spans="5:9" ht="16.5" hidden="1">
      <c r="E35024" s="4" t="str">
        <v/>
      </c>
      <c r="F35024" s="102" t="str">
        <f ca="1">IFERROR(__xludf.DUMMYFUNCTION("IMPORTRANGE(H35024,""IDENTITAS UNIT!D9"")"),"#N/A")</f>
        <v>#N/A</v>
      </c>
      <c r="H35024" s="4" t="str">
        <v/>
      </c>
      <c r="I35024" s="4" t="str">
        <v/>
      </c>
    </row>
    <row r="35025" spans="5:9" ht="16.5" hidden="1">
      <c r="E35025" s="4" t="str">
        <v/>
      </c>
      <c r="F35025" s="102" t="str">
        <f ca="1">IFERROR(__xludf.DUMMYFUNCTION("IMPORTRANGE(H35025,""IDENTITAS UNIT!D9"")"),"#N/A")</f>
        <v>#N/A</v>
      </c>
      <c r="H35025" s="4" t="str">
        <v/>
      </c>
      <c r="I35025" s="4" t="str">
        <v/>
      </c>
    </row>
    <row r="35026" spans="5:9" ht="16.5" hidden="1">
      <c r="E35026" s="4" t="str">
        <v/>
      </c>
      <c r="F35026" s="102" t="str">
        <f ca="1">IFERROR(__xludf.DUMMYFUNCTION("IMPORTRANGE(H35026,""IDENTITAS UNIT!D9"")"),"#N/A")</f>
        <v>#N/A</v>
      </c>
      <c r="H35026" s="4" t="str">
        <v/>
      </c>
      <c r="I35026" s="4" t="str">
        <v/>
      </c>
    </row>
    <row r="35027" spans="5:9" ht="16.5" hidden="1">
      <c r="E35027" s="4" t="str">
        <v/>
      </c>
      <c r="F35027" s="102" t="str">
        <f ca="1">IFERROR(__xludf.DUMMYFUNCTION("IMPORTRANGE(H35027,""IDENTITAS UNIT!D9"")"),"#N/A")</f>
        <v>#N/A</v>
      </c>
      <c r="H35027" s="4" t="str">
        <v/>
      </c>
      <c r="I35027" s="4" t="str">
        <v/>
      </c>
    </row>
    <row r="35028" spans="5:9" ht="16.5" hidden="1">
      <c r="E35028" s="4" t="str">
        <v/>
      </c>
      <c r="F35028" s="102" t="str">
        <f ca="1">IFERROR(__xludf.DUMMYFUNCTION("IMPORTRANGE(H35028,""IDENTITAS UNIT!D9"")"),"#N/A")</f>
        <v>#N/A</v>
      </c>
      <c r="H35028" s="4" t="str">
        <v/>
      </c>
      <c r="I35028" s="4" t="str">
        <v/>
      </c>
    </row>
    <row r="35029" spans="5:9" ht="16.5" hidden="1">
      <c r="E35029" s="4" t="str">
        <v/>
      </c>
      <c r="F35029" s="102" t="str">
        <f ca="1">IFERROR(__xludf.DUMMYFUNCTION("IMPORTRANGE(H35029,""IDENTITAS UNIT!D9"")"),"#N/A")</f>
        <v>#N/A</v>
      </c>
      <c r="H35029" s="4" t="str">
        <v/>
      </c>
      <c r="I35029" s="4" t="str">
        <v/>
      </c>
    </row>
    <row r="35030" spans="5:9" ht="16.5" hidden="1">
      <c r="E35030" s="4" t="str">
        <v/>
      </c>
      <c r="F35030" s="102" t="str">
        <f ca="1">IFERROR(__xludf.DUMMYFUNCTION("IMPORTRANGE(H35030,""IDENTITAS UNIT!D9"")"),"#N/A")</f>
        <v>#N/A</v>
      </c>
      <c r="H35030" s="4" t="str">
        <v/>
      </c>
      <c r="I35030" s="4" t="str">
        <v/>
      </c>
    </row>
    <row r="35031" spans="5:9" ht="16.5" hidden="1">
      <c r="E35031" s="4" t="str">
        <v/>
      </c>
      <c r="F35031" s="102" t="str">
        <f ca="1">IFERROR(__xludf.DUMMYFUNCTION("IMPORTRANGE(H35031,""IDENTITAS UNIT!D9"")"),"#N/A")</f>
        <v>#N/A</v>
      </c>
      <c r="H35031" s="4" t="str">
        <v/>
      </c>
      <c r="I35031" s="4" t="str">
        <v/>
      </c>
    </row>
    <row r="35032" spans="5:9" ht="16.5" hidden="1">
      <c r="E35032" s="4" t="str">
        <v/>
      </c>
      <c r="F35032" s="102" t="str">
        <f ca="1">IFERROR(__xludf.DUMMYFUNCTION("IMPORTRANGE(H35032,""IDENTITAS UNIT!D9"")"),"#N/A")</f>
        <v>#N/A</v>
      </c>
      <c r="H35032" s="4" t="str">
        <v/>
      </c>
      <c r="I35032" s="4" t="str">
        <v/>
      </c>
    </row>
    <row r="35033" spans="5:9" ht="16.5" hidden="1">
      <c r="E35033" s="4" t="str">
        <v/>
      </c>
      <c r="F35033" s="102" t="str">
        <f ca="1">IFERROR(__xludf.DUMMYFUNCTION("IMPORTRANGE(H35033,""IDENTITAS UNIT!D9"")"),"#N/A")</f>
        <v>#N/A</v>
      </c>
      <c r="H35033" s="4" t="str">
        <v/>
      </c>
      <c r="I35033" s="4" t="str">
        <v/>
      </c>
    </row>
    <row r="35034" spans="5:9" ht="16.5" hidden="1">
      <c r="E35034" s="4" t="str">
        <v/>
      </c>
      <c r="F35034" s="102" t="str">
        <f ca="1">IFERROR(__xludf.DUMMYFUNCTION("IMPORTRANGE(H35034,""IDENTITAS UNIT!D9"")"),"#N/A")</f>
        <v>#N/A</v>
      </c>
      <c r="H35034" s="4" t="str">
        <v/>
      </c>
      <c r="I35034" s="4" t="str">
        <v/>
      </c>
    </row>
    <row r="35035" spans="5:9" ht="16.5" hidden="1">
      <c r="E35035" s="4" t="str">
        <v/>
      </c>
      <c r="F35035" s="102" t="str">
        <f ca="1">IFERROR(__xludf.DUMMYFUNCTION("IMPORTRANGE(H35035,""IDENTITAS UNIT!D9"")"),"#N/A")</f>
        <v>#N/A</v>
      </c>
      <c r="H35035" s="4" t="str">
        <v/>
      </c>
      <c r="I35035" s="4" t="str">
        <v/>
      </c>
    </row>
    <row r="35036" spans="5:9" ht="16.5" hidden="1">
      <c r="E35036" s="4" t="str">
        <v/>
      </c>
      <c r="F35036" s="102" t="str">
        <f ca="1">IFERROR(__xludf.DUMMYFUNCTION("IMPORTRANGE(H35036,""IDENTITAS UNIT!D9"")"),"#N/A")</f>
        <v>#N/A</v>
      </c>
      <c r="H35036" s="4" t="str">
        <v/>
      </c>
      <c r="I35036" s="4" t="str">
        <v/>
      </c>
    </row>
    <row r="35037" spans="5:9" ht="16.5" hidden="1">
      <c r="E35037" s="4" t="str">
        <v/>
      </c>
      <c r="F35037" s="102" t="str">
        <f ca="1">IFERROR(__xludf.DUMMYFUNCTION("IMPORTRANGE(H35037,""IDENTITAS UNIT!D9"")"),"#N/A")</f>
        <v>#N/A</v>
      </c>
      <c r="H35037" s="4" t="str">
        <v/>
      </c>
      <c r="I35037" s="4" t="str">
        <v/>
      </c>
    </row>
    <row r="35038" spans="5:9" ht="16.5" hidden="1">
      <c r="E35038" s="4" t="str">
        <v/>
      </c>
      <c r="F35038" s="102" t="str">
        <f ca="1">IFERROR(__xludf.DUMMYFUNCTION("IMPORTRANGE(H35038,""IDENTITAS UNIT!D9"")"),"#N/A")</f>
        <v>#N/A</v>
      </c>
      <c r="H35038" s="4" t="str">
        <v/>
      </c>
      <c r="I35038" s="4" t="str">
        <v/>
      </c>
    </row>
    <row r="35039" spans="5:9" ht="16.5" hidden="1">
      <c r="E35039" s="4" t="str">
        <v/>
      </c>
      <c r="F35039" s="102" t="str">
        <f ca="1">IFERROR(__xludf.DUMMYFUNCTION("IMPORTRANGE(H35039,""IDENTITAS UNIT!D9"")"),"#N/A")</f>
        <v>#N/A</v>
      </c>
      <c r="H35039" s="4" t="str">
        <v/>
      </c>
      <c r="I35039" s="4" t="str">
        <v/>
      </c>
    </row>
    <row r="35040" spans="5:9" ht="16.5" hidden="1">
      <c r="E35040" s="4" t="str">
        <v/>
      </c>
      <c r="F35040" s="102" t="str">
        <f ca="1">IFERROR(__xludf.DUMMYFUNCTION("IMPORTRANGE(H35040,""IDENTITAS UNIT!D9"")"),"#N/A")</f>
        <v>#N/A</v>
      </c>
      <c r="H35040" s="4" t="str">
        <v/>
      </c>
      <c r="I35040" s="4" t="str">
        <v/>
      </c>
    </row>
    <row r="35041" spans="5:9" ht="16.5" hidden="1">
      <c r="E35041" s="4" t="str">
        <v/>
      </c>
      <c r="F35041" s="102" t="str">
        <f ca="1">IFERROR(__xludf.DUMMYFUNCTION("IMPORTRANGE(H35041,""IDENTITAS UNIT!D9"")"),"#N/A")</f>
        <v>#N/A</v>
      </c>
      <c r="H35041" s="4" t="str">
        <v/>
      </c>
      <c r="I35041" s="4" t="str">
        <v/>
      </c>
    </row>
    <row r="35042" spans="5:9" ht="16.5" hidden="1">
      <c r="E35042" s="4" t="str">
        <v/>
      </c>
      <c r="F35042" s="102" t="str">
        <f ca="1">IFERROR(__xludf.DUMMYFUNCTION("IMPORTRANGE(H35042,""IDENTITAS UNIT!D9"")"),"#N/A")</f>
        <v>#N/A</v>
      </c>
      <c r="H35042" s="4" t="str">
        <v/>
      </c>
      <c r="I35042" s="4" t="str">
        <v/>
      </c>
    </row>
    <row r="35043" spans="5:9" ht="16.5" hidden="1">
      <c r="E35043" s="4" t="str">
        <v/>
      </c>
      <c r="F35043" s="102" t="str">
        <f ca="1">IFERROR(__xludf.DUMMYFUNCTION("IMPORTRANGE(H35043,""IDENTITAS UNIT!D9"")"),"#N/A")</f>
        <v>#N/A</v>
      </c>
      <c r="H35043" s="4" t="str">
        <v/>
      </c>
      <c r="I35043" s="4" t="str">
        <v/>
      </c>
    </row>
    <row r="35044" spans="5:9" ht="16.5" hidden="1">
      <c r="E35044" s="4" t="str">
        <v/>
      </c>
      <c r="F35044" s="102" t="str">
        <f ca="1">IFERROR(__xludf.DUMMYFUNCTION("IMPORTRANGE(H35044,""IDENTITAS UNIT!D9"")"),"#N/A")</f>
        <v>#N/A</v>
      </c>
      <c r="H35044" s="4" t="str">
        <v/>
      </c>
      <c r="I35044" s="4" t="str">
        <v/>
      </c>
    </row>
    <row r="35045" spans="5:9" ht="16.5" hidden="1">
      <c r="E35045" s="4" t="str">
        <v/>
      </c>
      <c r="F35045" s="102" t="str">
        <f ca="1">IFERROR(__xludf.DUMMYFUNCTION("IMPORTRANGE(H35045,""IDENTITAS UNIT!D9"")"),"#N/A")</f>
        <v>#N/A</v>
      </c>
      <c r="H35045" s="4" t="str">
        <v/>
      </c>
      <c r="I35045" s="4" t="str">
        <v/>
      </c>
    </row>
    <row r="35046" spans="5:9" ht="16.5" hidden="1">
      <c r="E35046" s="4" t="str">
        <v/>
      </c>
      <c r="F35046" s="102" t="str">
        <f ca="1">IFERROR(__xludf.DUMMYFUNCTION("IMPORTRANGE(H35046,""IDENTITAS UNIT!D9"")"),"#N/A")</f>
        <v>#N/A</v>
      </c>
      <c r="H35046" s="4" t="str">
        <v/>
      </c>
      <c r="I35046" s="4" t="str">
        <v/>
      </c>
    </row>
    <row r="35047" spans="5:9" ht="16.5" hidden="1">
      <c r="E35047" s="4" t="str">
        <v/>
      </c>
      <c r="F35047" s="102" t="str">
        <f ca="1">IFERROR(__xludf.DUMMYFUNCTION("IMPORTRANGE(H35047,""IDENTITAS UNIT!D9"")"),"#N/A")</f>
        <v>#N/A</v>
      </c>
      <c r="H35047" s="4" t="str">
        <v/>
      </c>
      <c r="I35047" s="4" t="str">
        <v/>
      </c>
    </row>
    <row r="35048" spans="5:9" ht="16.5" hidden="1">
      <c r="E35048" s="4" t="str">
        <v/>
      </c>
      <c r="F35048" s="102" t="str">
        <f ca="1">IFERROR(__xludf.DUMMYFUNCTION("IMPORTRANGE(H35048,""IDENTITAS UNIT!D9"")"),"#N/A")</f>
        <v>#N/A</v>
      </c>
      <c r="H35048" s="4" t="str">
        <v/>
      </c>
      <c r="I35048" s="4" t="str">
        <v/>
      </c>
    </row>
    <row r="35049" spans="5:9" ht="16.5" hidden="1">
      <c r="E35049" s="4" t="str">
        <v/>
      </c>
      <c r="F35049" s="102" t="str">
        <f ca="1">IFERROR(__xludf.DUMMYFUNCTION("IMPORTRANGE(H35049,""IDENTITAS UNIT!D9"")"),"#N/A")</f>
        <v>#N/A</v>
      </c>
      <c r="H35049" s="4" t="str">
        <v/>
      </c>
      <c r="I35049" s="4" t="str">
        <v/>
      </c>
    </row>
    <row r="35050" spans="5:9" ht="16.5" hidden="1">
      <c r="E35050" s="4" t="str">
        <v/>
      </c>
      <c r="F35050" s="102" t="str">
        <f ca="1">IFERROR(__xludf.DUMMYFUNCTION("IMPORTRANGE(H35050,""IDENTITAS UNIT!D9"")"),"#N/A")</f>
        <v>#N/A</v>
      </c>
      <c r="H35050" s="4" t="str">
        <v/>
      </c>
      <c r="I35050" s="4" t="str">
        <v/>
      </c>
    </row>
    <row r="35051" spans="5:9" ht="16.5" hidden="1">
      <c r="E35051" s="4" t="str">
        <v/>
      </c>
      <c r="F35051" s="102" t="str">
        <f ca="1">IFERROR(__xludf.DUMMYFUNCTION("IMPORTRANGE(H35051,""IDENTITAS UNIT!D9"")"),"#N/A")</f>
        <v>#N/A</v>
      </c>
      <c r="H35051" s="4" t="str">
        <v/>
      </c>
      <c r="I35051" s="4" t="str">
        <v/>
      </c>
    </row>
    <row r="35052" spans="5:9" ht="16.5" hidden="1">
      <c r="E35052" s="4" t="str">
        <v/>
      </c>
      <c r="F35052" s="102" t="str">
        <f ca="1">IFERROR(__xludf.DUMMYFUNCTION("IMPORTRANGE(H35052,""IDENTITAS UNIT!D9"")"),"#N/A")</f>
        <v>#N/A</v>
      </c>
      <c r="H35052" s="4" t="str">
        <v/>
      </c>
      <c r="I35052" s="4" t="str">
        <v/>
      </c>
    </row>
    <row r="35053" spans="5:9" ht="16.5" hidden="1">
      <c r="E35053" s="4" t="str">
        <v/>
      </c>
      <c r="F35053" s="102" t="str">
        <f ca="1">IFERROR(__xludf.DUMMYFUNCTION("IMPORTRANGE(H35053,""IDENTITAS UNIT!D9"")"),"#N/A")</f>
        <v>#N/A</v>
      </c>
      <c r="H35053" s="4" t="str">
        <v/>
      </c>
      <c r="I35053" s="4" t="str">
        <v/>
      </c>
    </row>
    <row r="35054" spans="5:9" ht="16.5" hidden="1">
      <c r="E35054" s="4" t="str">
        <v/>
      </c>
      <c r="F35054" s="102" t="str">
        <f ca="1">IFERROR(__xludf.DUMMYFUNCTION("IMPORTRANGE(H35054,""IDENTITAS UNIT!D9"")"),"#N/A")</f>
        <v>#N/A</v>
      </c>
      <c r="H35054" s="4" t="str">
        <v/>
      </c>
      <c r="I35054" s="4" t="str">
        <v/>
      </c>
    </row>
    <row r="35055" spans="5:9" ht="16.5" hidden="1">
      <c r="E35055" s="4" t="str">
        <v/>
      </c>
      <c r="F35055" s="102" t="str">
        <f ca="1">IFERROR(__xludf.DUMMYFUNCTION("IMPORTRANGE(H35055,""IDENTITAS UNIT!D9"")"),"#N/A")</f>
        <v>#N/A</v>
      </c>
      <c r="H35055" s="4" t="str">
        <v/>
      </c>
      <c r="I35055" s="4" t="str">
        <v/>
      </c>
    </row>
    <row r="35056" spans="5:9" ht="16.5" hidden="1">
      <c r="E35056" s="4" t="str">
        <v/>
      </c>
      <c r="F35056" s="102" t="str">
        <f ca="1">IFERROR(__xludf.DUMMYFUNCTION("IMPORTRANGE(H35056,""IDENTITAS UNIT!D9"")"),"#N/A")</f>
        <v>#N/A</v>
      </c>
      <c r="H35056" s="4" t="str">
        <v/>
      </c>
      <c r="I35056" s="4" t="str">
        <v/>
      </c>
    </row>
    <row r="35057" spans="5:9" ht="16.5" hidden="1">
      <c r="E35057" s="4" t="str">
        <v/>
      </c>
      <c r="F35057" s="102" t="str">
        <f ca="1">IFERROR(__xludf.DUMMYFUNCTION("IMPORTRANGE(H35057,""IDENTITAS UNIT!D9"")"),"#N/A")</f>
        <v>#N/A</v>
      </c>
      <c r="H35057" s="4" t="str">
        <v/>
      </c>
      <c r="I35057" s="4" t="str">
        <v/>
      </c>
    </row>
    <row r="35058" spans="5:9" ht="16.5" hidden="1">
      <c r="E35058" s="4" t="str">
        <v/>
      </c>
      <c r="F35058" s="102" t="str">
        <f ca="1">IFERROR(__xludf.DUMMYFUNCTION("IMPORTRANGE(H35058,""IDENTITAS UNIT!D9"")"),"#N/A")</f>
        <v>#N/A</v>
      </c>
      <c r="H35058" s="4" t="str">
        <v/>
      </c>
      <c r="I35058" s="4" t="str">
        <v/>
      </c>
    </row>
    <row r="35059" spans="5:9" ht="16.5" hidden="1">
      <c r="E35059" s="4" t="str">
        <v/>
      </c>
      <c r="F35059" s="102" t="str">
        <f ca="1">IFERROR(__xludf.DUMMYFUNCTION("IMPORTRANGE(H35059,""IDENTITAS UNIT!D9"")"),"#N/A")</f>
        <v>#N/A</v>
      </c>
      <c r="H35059" s="4" t="str">
        <v/>
      </c>
      <c r="I35059" s="4" t="str">
        <v/>
      </c>
    </row>
    <row r="35060" spans="5:9" ht="16.5" hidden="1">
      <c r="E35060" s="4" t="str">
        <v/>
      </c>
      <c r="F35060" s="102" t="str">
        <f ca="1">IFERROR(__xludf.DUMMYFUNCTION("IMPORTRANGE(H35060,""IDENTITAS UNIT!D9"")"),"#N/A")</f>
        <v>#N/A</v>
      </c>
      <c r="H35060" s="4" t="str">
        <v/>
      </c>
      <c r="I35060" s="4" t="str">
        <v/>
      </c>
    </row>
    <row r="35061" spans="5:9" ht="16.5" hidden="1">
      <c r="E35061" s="4" t="str">
        <v/>
      </c>
      <c r="F35061" s="102" t="str">
        <f ca="1">IFERROR(__xludf.DUMMYFUNCTION("IMPORTRANGE(H35061,""IDENTITAS UNIT!D9"")"),"#N/A")</f>
        <v>#N/A</v>
      </c>
      <c r="H35061" s="4" t="str">
        <v/>
      </c>
      <c r="I35061" s="4" t="str">
        <v/>
      </c>
    </row>
    <row r="35062" spans="5:9" ht="16.5" hidden="1">
      <c r="E35062" s="4" t="str">
        <v/>
      </c>
      <c r="F35062" s="102" t="str">
        <f ca="1">IFERROR(__xludf.DUMMYFUNCTION("IMPORTRANGE(H35062,""IDENTITAS UNIT!D9"")"),"#N/A")</f>
        <v>#N/A</v>
      </c>
      <c r="H35062" s="4" t="str">
        <v/>
      </c>
      <c r="I35062" s="4" t="str">
        <v/>
      </c>
    </row>
    <row r="35063" spans="5:9" ht="16.5" hidden="1">
      <c r="E35063" s="4" t="str">
        <v/>
      </c>
      <c r="F35063" s="102" t="str">
        <f ca="1">IFERROR(__xludf.DUMMYFUNCTION("IMPORTRANGE(H35063,""IDENTITAS UNIT!D9"")"),"#N/A")</f>
        <v>#N/A</v>
      </c>
      <c r="H35063" s="4" t="str">
        <v/>
      </c>
      <c r="I35063" s="4" t="str">
        <v/>
      </c>
    </row>
    <row r="35064" spans="5:9" ht="16.5" hidden="1">
      <c r="E35064" s="4" t="str">
        <v/>
      </c>
      <c r="F35064" s="102" t="str">
        <f ca="1">IFERROR(__xludf.DUMMYFUNCTION("IMPORTRANGE(H35064,""IDENTITAS UNIT!D9"")"),"#N/A")</f>
        <v>#N/A</v>
      </c>
      <c r="H35064" s="4" t="str">
        <v/>
      </c>
      <c r="I35064" s="4" t="str">
        <v/>
      </c>
    </row>
    <row r="35065" spans="5:9" ht="16.5" hidden="1">
      <c r="E35065" s="4" t="str">
        <v/>
      </c>
      <c r="F35065" s="102" t="str">
        <f ca="1">IFERROR(__xludf.DUMMYFUNCTION("IMPORTRANGE(H35065,""IDENTITAS UNIT!D9"")"),"#N/A")</f>
        <v>#N/A</v>
      </c>
      <c r="H35065" s="4" t="str">
        <v/>
      </c>
      <c r="I35065" s="4" t="str">
        <v/>
      </c>
    </row>
    <row r="35066" spans="5:9" ht="16.5" hidden="1">
      <c r="E35066" s="4" t="str">
        <v/>
      </c>
      <c r="F35066" s="102" t="str">
        <f ca="1">IFERROR(__xludf.DUMMYFUNCTION("IMPORTRANGE(H35066,""IDENTITAS UNIT!D9"")"),"#N/A")</f>
        <v>#N/A</v>
      </c>
      <c r="H35066" s="4" t="str">
        <v/>
      </c>
      <c r="I35066" s="4" t="str">
        <v/>
      </c>
    </row>
    <row r="35067" spans="5:9" ht="16.5" hidden="1">
      <c r="E35067" s="4" t="str">
        <v/>
      </c>
      <c r="F35067" s="102" t="str">
        <f ca="1">IFERROR(__xludf.DUMMYFUNCTION("IMPORTRANGE(H35067,""IDENTITAS UNIT!D9"")"),"#N/A")</f>
        <v>#N/A</v>
      </c>
      <c r="H35067" s="4" t="str">
        <v/>
      </c>
      <c r="I35067" s="4" t="str">
        <v/>
      </c>
    </row>
    <row r="35068" spans="5:9" ht="16.5" hidden="1">
      <c r="E35068" s="4" t="str">
        <v/>
      </c>
      <c r="F35068" s="102" t="str">
        <f ca="1">IFERROR(__xludf.DUMMYFUNCTION("IMPORTRANGE(H35068,""IDENTITAS UNIT!D9"")"),"#N/A")</f>
        <v>#N/A</v>
      </c>
      <c r="H35068" s="4" t="str">
        <v/>
      </c>
      <c r="I35068" s="4" t="str">
        <v/>
      </c>
    </row>
    <row r="35069" spans="5:9" ht="16.5" hidden="1">
      <c r="E35069" s="4" t="str">
        <v/>
      </c>
      <c r="F35069" s="102" t="str">
        <f ca="1">IFERROR(__xludf.DUMMYFUNCTION("IMPORTRANGE(H35069,""IDENTITAS UNIT!D9"")"),"#N/A")</f>
        <v>#N/A</v>
      </c>
      <c r="H35069" s="4" t="str">
        <v/>
      </c>
      <c r="I35069" s="4" t="str">
        <v/>
      </c>
    </row>
    <row r="35070" spans="5:9" ht="16.5" hidden="1">
      <c r="E35070" s="4" t="str">
        <v/>
      </c>
      <c r="F35070" s="102" t="str">
        <f ca="1">IFERROR(__xludf.DUMMYFUNCTION("IMPORTRANGE(H35070,""IDENTITAS UNIT!D9"")"),"#N/A")</f>
        <v>#N/A</v>
      </c>
      <c r="H35070" s="4" t="str">
        <v/>
      </c>
      <c r="I35070" s="4" t="str">
        <v/>
      </c>
    </row>
    <row r="35071" spans="5:9" ht="16.5" hidden="1">
      <c r="E35071" s="4" t="str">
        <v/>
      </c>
      <c r="F35071" s="102" t="str">
        <f ca="1">IFERROR(__xludf.DUMMYFUNCTION("IMPORTRANGE(H35071,""IDENTITAS UNIT!D9"")"),"#N/A")</f>
        <v>#N/A</v>
      </c>
      <c r="H35071" s="4" t="str">
        <v/>
      </c>
      <c r="I35071" s="4" t="str">
        <v/>
      </c>
    </row>
    <row r="35072" spans="5:9" ht="16.5" hidden="1">
      <c r="E35072" s="4" t="str">
        <v/>
      </c>
      <c r="F35072" s="102" t="str">
        <f ca="1">IFERROR(__xludf.DUMMYFUNCTION("IMPORTRANGE(H35072,""IDENTITAS UNIT!D9"")"),"#N/A")</f>
        <v>#N/A</v>
      </c>
      <c r="H35072" s="4" t="str">
        <v/>
      </c>
      <c r="I35072" s="4" t="str">
        <v/>
      </c>
    </row>
    <row r="35073" spans="5:9" ht="16.5" hidden="1">
      <c r="E35073" s="4" t="str">
        <v/>
      </c>
      <c r="F35073" s="102" t="str">
        <f ca="1">IFERROR(__xludf.DUMMYFUNCTION("IMPORTRANGE(H35073,""IDENTITAS UNIT!D9"")"),"#N/A")</f>
        <v>#N/A</v>
      </c>
      <c r="H35073" s="4" t="str">
        <v/>
      </c>
      <c r="I35073" s="4" t="str">
        <v/>
      </c>
    </row>
    <row r="35074" spans="5:9" ht="16.5" hidden="1">
      <c r="E35074" s="4" t="str">
        <v/>
      </c>
      <c r="F35074" s="102" t="str">
        <f ca="1">IFERROR(__xludf.DUMMYFUNCTION("IMPORTRANGE(H35074,""IDENTITAS UNIT!D9"")"),"#N/A")</f>
        <v>#N/A</v>
      </c>
      <c r="H35074" s="4" t="str">
        <v/>
      </c>
      <c r="I35074" s="4" t="str">
        <v/>
      </c>
    </row>
    <row r="35075" spans="5:9" ht="16.5" hidden="1">
      <c r="E35075" s="4" t="str">
        <v/>
      </c>
      <c r="F35075" s="102" t="str">
        <f ca="1">IFERROR(__xludf.DUMMYFUNCTION("IMPORTRANGE(H35075,""IDENTITAS UNIT!D9"")"),"#N/A")</f>
        <v>#N/A</v>
      </c>
      <c r="H35075" s="4" t="str">
        <v/>
      </c>
      <c r="I35075" s="4" t="str">
        <v/>
      </c>
    </row>
    <row r="35076" spans="5:9" ht="16.5" hidden="1">
      <c r="E35076" s="4" t="str">
        <v/>
      </c>
      <c r="F35076" s="102" t="str">
        <f ca="1">IFERROR(__xludf.DUMMYFUNCTION("IMPORTRANGE(H35076,""IDENTITAS UNIT!D9"")"),"#N/A")</f>
        <v>#N/A</v>
      </c>
      <c r="H35076" s="4" t="str">
        <v/>
      </c>
      <c r="I35076" s="4" t="str">
        <v/>
      </c>
    </row>
    <row r="35077" spans="5:9" ht="16.5" hidden="1">
      <c r="E35077" s="4" t="str">
        <v/>
      </c>
      <c r="F35077" s="102" t="str">
        <f ca="1">IFERROR(__xludf.DUMMYFUNCTION("IMPORTRANGE(H35077,""IDENTITAS UNIT!D9"")"),"#N/A")</f>
        <v>#N/A</v>
      </c>
      <c r="H35077" s="4" t="str">
        <v/>
      </c>
      <c r="I35077" s="4" t="str">
        <v/>
      </c>
    </row>
    <row r="35078" spans="5:9" ht="16.5" hidden="1">
      <c r="E35078" s="4" t="str">
        <v/>
      </c>
      <c r="F35078" s="102" t="str">
        <f ca="1">IFERROR(__xludf.DUMMYFUNCTION("IMPORTRANGE(H35078,""IDENTITAS UNIT!D9"")"),"#N/A")</f>
        <v>#N/A</v>
      </c>
      <c r="H35078" s="4" t="str">
        <v/>
      </c>
      <c r="I35078" s="4" t="str">
        <v/>
      </c>
    </row>
    <row r="35079" spans="5:9" ht="16.5" hidden="1">
      <c r="E35079" s="4" t="str">
        <v/>
      </c>
      <c r="F35079" s="102" t="str">
        <f ca="1">IFERROR(__xludf.DUMMYFUNCTION("IMPORTRANGE(H35079,""IDENTITAS UNIT!D9"")"),"#N/A")</f>
        <v>#N/A</v>
      </c>
      <c r="H35079" s="4" t="str">
        <v/>
      </c>
      <c r="I35079" s="4" t="str">
        <v/>
      </c>
    </row>
    <row r="35080" spans="5:9" ht="16.5" hidden="1">
      <c r="E35080" s="4" t="str">
        <v/>
      </c>
      <c r="F35080" s="102" t="str">
        <f ca="1">IFERROR(__xludf.DUMMYFUNCTION("IMPORTRANGE(H35080,""IDENTITAS UNIT!D9"")"),"#N/A")</f>
        <v>#N/A</v>
      </c>
      <c r="H35080" s="4" t="str">
        <v/>
      </c>
      <c r="I35080" s="4" t="str">
        <v/>
      </c>
    </row>
    <row r="35081" spans="5:9" ht="16.5" hidden="1">
      <c r="E35081" s="4" t="str">
        <v/>
      </c>
      <c r="F35081" s="102" t="str">
        <f ca="1">IFERROR(__xludf.DUMMYFUNCTION("IMPORTRANGE(H35081,""IDENTITAS UNIT!D9"")"),"#N/A")</f>
        <v>#N/A</v>
      </c>
      <c r="H35081" s="4" t="str">
        <v/>
      </c>
      <c r="I35081" s="4" t="str">
        <v/>
      </c>
    </row>
    <row r="35082" spans="5:9" ht="16.5" hidden="1">
      <c r="E35082" s="4" t="str">
        <v/>
      </c>
      <c r="F35082" s="102" t="str">
        <f ca="1">IFERROR(__xludf.DUMMYFUNCTION("IMPORTRANGE(H35082,""IDENTITAS UNIT!D9"")"),"#N/A")</f>
        <v>#N/A</v>
      </c>
      <c r="H35082" s="4" t="str">
        <v/>
      </c>
      <c r="I35082" s="4" t="str">
        <v/>
      </c>
    </row>
    <row r="35083" spans="5:9" ht="16.5" hidden="1">
      <c r="E35083" s="4" t="str">
        <v/>
      </c>
      <c r="F35083" s="102" t="str">
        <f ca="1">IFERROR(__xludf.DUMMYFUNCTION("IMPORTRANGE(H35083,""IDENTITAS UNIT!D9"")"),"#N/A")</f>
        <v>#N/A</v>
      </c>
      <c r="H35083" s="4" t="str">
        <v/>
      </c>
      <c r="I35083" s="4" t="str">
        <v/>
      </c>
    </row>
    <row r="35084" spans="5:9" ht="16.5" hidden="1">
      <c r="E35084" s="4" t="str">
        <v/>
      </c>
      <c r="F35084" s="102" t="str">
        <f ca="1">IFERROR(__xludf.DUMMYFUNCTION("IMPORTRANGE(H35084,""IDENTITAS UNIT!D9"")"),"#N/A")</f>
        <v>#N/A</v>
      </c>
      <c r="H35084" s="4" t="str">
        <v/>
      </c>
      <c r="I35084" s="4" t="str">
        <v/>
      </c>
    </row>
    <row r="35085" spans="5:9" ht="16.5" hidden="1">
      <c r="E35085" s="4" t="str">
        <v/>
      </c>
      <c r="F35085" s="102" t="str">
        <f ca="1">IFERROR(__xludf.DUMMYFUNCTION("IMPORTRANGE(H35085,""IDENTITAS UNIT!D9"")"),"#N/A")</f>
        <v>#N/A</v>
      </c>
      <c r="H35085" s="4" t="str">
        <v/>
      </c>
      <c r="I35085" s="4" t="str">
        <v/>
      </c>
    </row>
    <row r="35086" spans="5:9" ht="16.5" hidden="1">
      <c r="E35086" s="4" t="str">
        <v/>
      </c>
      <c r="F35086" s="102" t="str">
        <f ca="1">IFERROR(__xludf.DUMMYFUNCTION("IMPORTRANGE(H35086,""IDENTITAS UNIT!D9"")"),"#N/A")</f>
        <v>#N/A</v>
      </c>
      <c r="H35086" s="4" t="str">
        <v/>
      </c>
      <c r="I35086" s="4" t="str">
        <v/>
      </c>
    </row>
    <row r="35087" spans="5:9" ht="16.5" hidden="1">
      <c r="E35087" s="4" t="str">
        <v/>
      </c>
      <c r="F35087" s="102" t="str">
        <f ca="1">IFERROR(__xludf.DUMMYFUNCTION("IMPORTRANGE(H35087,""IDENTITAS UNIT!D9"")"),"#N/A")</f>
        <v>#N/A</v>
      </c>
      <c r="H35087" s="4" t="str">
        <v/>
      </c>
      <c r="I35087" s="4" t="str">
        <v/>
      </c>
    </row>
    <row r="35088" spans="5:9" ht="16.5" hidden="1">
      <c r="E35088" s="4" t="str">
        <v/>
      </c>
      <c r="F35088" s="102" t="str">
        <f ca="1">IFERROR(__xludf.DUMMYFUNCTION("IMPORTRANGE(H35088,""IDENTITAS UNIT!D9"")"),"#N/A")</f>
        <v>#N/A</v>
      </c>
      <c r="H35088" s="4" t="str">
        <v/>
      </c>
      <c r="I35088" s="4" t="str">
        <v/>
      </c>
    </row>
    <row r="35089" spans="5:9" ht="16.5" hidden="1">
      <c r="E35089" s="4" t="str">
        <v/>
      </c>
      <c r="F35089" s="102" t="str">
        <f ca="1">IFERROR(__xludf.DUMMYFUNCTION("IMPORTRANGE(H35089,""IDENTITAS UNIT!D9"")"),"#N/A")</f>
        <v>#N/A</v>
      </c>
      <c r="H35089" s="4" t="str">
        <v/>
      </c>
      <c r="I35089" s="4" t="str">
        <v/>
      </c>
    </row>
    <row r="35090" spans="5:9" ht="16.5" hidden="1">
      <c r="E35090" s="4" t="str">
        <v/>
      </c>
      <c r="F35090" s="102" t="str">
        <f ca="1">IFERROR(__xludf.DUMMYFUNCTION("IMPORTRANGE(H35090,""IDENTITAS UNIT!D9"")"),"#N/A")</f>
        <v>#N/A</v>
      </c>
      <c r="H35090" s="4" t="str">
        <v/>
      </c>
      <c r="I35090" s="4" t="str">
        <v/>
      </c>
    </row>
    <row r="35091" spans="5:9" ht="16.5" hidden="1">
      <c r="E35091" s="4" t="str">
        <v/>
      </c>
      <c r="F35091" s="102" t="str">
        <f ca="1">IFERROR(__xludf.DUMMYFUNCTION("IMPORTRANGE(H35091,""IDENTITAS UNIT!D9"")"),"#N/A")</f>
        <v>#N/A</v>
      </c>
      <c r="H35091" s="4" t="str">
        <v/>
      </c>
      <c r="I35091" s="4" t="str">
        <v/>
      </c>
    </row>
    <row r="35092" spans="5:9" ht="16.5" hidden="1">
      <c r="E35092" s="4" t="str">
        <v/>
      </c>
      <c r="F35092" s="102" t="str">
        <f ca="1">IFERROR(__xludf.DUMMYFUNCTION("IMPORTRANGE(H35092,""IDENTITAS UNIT!D9"")"),"#N/A")</f>
        <v>#N/A</v>
      </c>
      <c r="H35092" s="4" t="str">
        <v/>
      </c>
      <c r="I35092" s="4" t="str">
        <v/>
      </c>
    </row>
    <row r="35093" spans="5:9" ht="16.5" hidden="1">
      <c r="E35093" s="4" t="str">
        <v/>
      </c>
      <c r="F35093" s="102" t="str">
        <f ca="1">IFERROR(__xludf.DUMMYFUNCTION("IMPORTRANGE(H35093,""IDENTITAS UNIT!D9"")"),"#N/A")</f>
        <v>#N/A</v>
      </c>
      <c r="H35093" s="4" t="str">
        <v/>
      </c>
      <c r="I35093" s="4" t="str">
        <v/>
      </c>
    </row>
    <row r="35094" spans="5:9" ht="16.5" hidden="1">
      <c r="E35094" s="4" t="str">
        <v/>
      </c>
      <c r="F35094" s="102" t="str">
        <f ca="1">IFERROR(__xludf.DUMMYFUNCTION("IMPORTRANGE(H35094,""IDENTITAS UNIT!D9"")"),"#N/A")</f>
        <v>#N/A</v>
      </c>
      <c r="H35094" s="4" t="str">
        <v/>
      </c>
      <c r="I35094" s="4" t="str">
        <v/>
      </c>
    </row>
    <row r="35095" spans="5:9" ht="16.5" hidden="1">
      <c r="E35095" s="4" t="str">
        <v/>
      </c>
      <c r="F35095" s="102" t="str">
        <f ca="1">IFERROR(__xludf.DUMMYFUNCTION("IMPORTRANGE(H35095,""IDENTITAS UNIT!D9"")"),"#N/A")</f>
        <v>#N/A</v>
      </c>
      <c r="H35095" s="4" t="str">
        <v/>
      </c>
      <c r="I35095" s="4" t="str">
        <v/>
      </c>
    </row>
    <row r="35096" spans="5:9" ht="16.5" hidden="1">
      <c r="E35096" s="4" t="str">
        <v/>
      </c>
      <c r="F35096" s="102" t="str">
        <f ca="1">IFERROR(__xludf.DUMMYFUNCTION("IMPORTRANGE(H35096,""IDENTITAS UNIT!D9"")"),"#N/A")</f>
        <v>#N/A</v>
      </c>
      <c r="H35096" s="4" t="str">
        <v/>
      </c>
      <c r="I35096" s="4" t="str">
        <v/>
      </c>
    </row>
    <row r="35097" spans="5:9" ht="16.5" hidden="1">
      <c r="E35097" s="4" t="str">
        <v/>
      </c>
      <c r="F35097" s="102" t="str">
        <f ca="1">IFERROR(__xludf.DUMMYFUNCTION("IMPORTRANGE(H35097,""IDENTITAS UNIT!D9"")"),"#N/A")</f>
        <v>#N/A</v>
      </c>
      <c r="H35097" s="4" t="str">
        <v/>
      </c>
      <c r="I35097" s="4" t="str">
        <v/>
      </c>
    </row>
    <row r="35098" spans="5:9" ht="16.5" hidden="1">
      <c r="E35098" s="4" t="str">
        <v/>
      </c>
      <c r="F35098" s="102" t="str">
        <f ca="1">IFERROR(__xludf.DUMMYFUNCTION("IMPORTRANGE(H35098,""IDENTITAS UNIT!D9"")"),"#N/A")</f>
        <v>#N/A</v>
      </c>
      <c r="H35098" s="4" t="str">
        <v/>
      </c>
      <c r="I35098" s="4" t="str">
        <v/>
      </c>
    </row>
    <row r="35099" spans="5:9" ht="16.5" hidden="1">
      <c r="E35099" s="4" t="str">
        <v/>
      </c>
      <c r="F35099" s="102" t="str">
        <f ca="1">IFERROR(__xludf.DUMMYFUNCTION("IMPORTRANGE(H35099,""IDENTITAS UNIT!D9"")"),"#N/A")</f>
        <v>#N/A</v>
      </c>
      <c r="H35099" s="4" t="str">
        <v/>
      </c>
      <c r="I35099" s="4" t="str">
        <v/>
      </c>
    </row>
    <row r="35100" spans="5:9" ht="16.5" hidden="1">
      <c r="E35100" s="4" t="str">
        <v/>
      </c>
      <c r="F35100" s="102" t="str">
        <f ca="1">IFERROR(__xludf.DUMMYFUNCTION("IMPORTRANGE(H35100,""IDENTITAS UNIT!D9"")"),"#N/A")</f>
        <v>#N/A</v>
      </c>
      <c r="H35100" s="4" t="str">
        <v/>
      </c>
      <c r="I35100" s="4" t="str">
        <v/>
      </c>
    </row>
    <row r="35101" spans="5:9" ht="16.5" hidden="1">
      <c r="E35101" s="4" t="str">
        <v/>
      </c>
      <c r="F35101" s="102" t="str">
        <f ca="1">IFERROR(__xludf.DUMMYFUNCTION("IMPORTRANGE(H35101,""IDENTITAS UNIT!D9"")"),"#N/A")</f>
        <v>#N/A</v>
      </c>
      <c r="H35101" s="4" t="str">
        <v/>
      </c>
      <c r="I35101" s="4" t="str">
        <v/>
      </c>
    </row>
    <row r="35102" spans="5:9" ht="16.5" hidden="1">
      <c r="E35102" s="4" t="str">
        <v/>
      </c>
      <c r="F35102" s="102" t="str">
        <f ca="1">IFERROR(__xludf.DUMMYFUNCTION("IMPORTRANGE(H35102,""IDENTITAS UNIT!D9"")"),"#N/A")</f>
        <v>#N/A</v>
      </c>
      <c r="H35102" s="4" t="str">
        <v/>
      </c>
      <c r="I35102" s="4" t="str">
        <v/>
      </c>
    </row>
    <row r="35103" spans="5:9" ht="16.5" hidden="1">
      <c r="E35103" s="4" t="str">
        <v/>
      </c>
      <c r="F35103" s="102" t="str">
        <f ca="1">IFERROR(__xludf.DUMMYFUNCTION("IMPORTRANGE(H35103,""IDENTITAS UNIT!D9"")"),"#N/A")</f>
        <v>#N/A</v>
      </c>
      <c r="H35103" s="4" t="str">
        <v/>
      </c>
      <c r="I35103" s="4" t="str">
        <v/>
      </c>
    </row>
    <row r="35104" spans="5:9" ht="16.5" hidden="1">
      <c r="E35104" s="4" t="str">
        <v/>
      </c>
      <c r="F35104" s="102" t="str">
        <f ca="1">IFERROR(__xludf.DUMMYFUNCTION("IMPORTRANGE(H35104,""IDENTITAS UNIT!D9"")"),"#N/A")</f>
        <v>#N/A</v>
      </c>
      <c r="H35104" s="4" t="str">
        <v/>
      </c>
      <c r="I35104" s="4" t="str">
        <v/>
      </c>
    </row>
    <row r="35105" spans="5:9" ht="16.5" hidden="1">
      <c r="E35105" s="4" t="str">
        <v/>
      </c>
      <c r="F35105" s="102" t="str">
        <f ca="1">IFERROR(__xludf.DUMMYFUNCTION("IMPORTRANGE(H35105,""IDENTITAS UNIT!D9"")"),"#N/A")</f>
        <v>#N/A</v>
      </c>
      <c r="H35105" s="4" t="str">
        <v/>
      </c>
      <c r="I35105" s="4" t="str">
        <v/>
      </c>
    </row>
    <row r="35106" spans="5:9" ht="16.5" hidden="1">
      <c r="E35106" s="4" t="str">
        <v/>
      </c>
      <c r="F35106" s="102" t="str">
        <f ca="1">IFERROR(__xludf.DUMMYFUNCTION("IMPORTRANGE(H35106,""IDENTITAS UNIT!D9"")"),"#N/A")</f>
        <v>#N/A</v>
      </c>
      <c r="H35106" s="4" t="str">
        <v/>
      </c>
      <c r="I35106" s="4" t="str">
        <v/>
      </c>
    </row>
    <row r="35107" spans="5:9" ht="16.5" hidden="1">
      <c r="E35107" s="4" t="str">
        <v/>
      </c>
      <c r="F35107" s="102" t="str">
        <f ca="1">IFERROR(__xludf.DUMMYFUNCTION("IMPORTRANGE(H35107,""IDENTITAS UNIT!D9"")"),"#N/A")</f>
        <v>#N/A</v>
      </c>
      <c r="H35107" s="4" t="str">
        <v/>
      </c>
      <c r="I35107" s="4" t="str">
        <v/>
      </c>
    </row>
    <row r="35108" spans="5:9" ht="16.5" hidden="1">
      <c r="E35108" s="4" t="str">
        <v/>
      </c>
      <c r="F35108" s="102" t="str">
        <f ca="1">IFERROR(__xludf.DUMMYFUNCTION("IMPORTRANGE(H35108,""IDENTITAS UNIT!D9"")"),"#N/A")</f>
        <v>#N/A</v>
      </c>
      <c r="H35108" s="4" t="str">
        <v/>
      </c>
      <c r="I35108" s="4" t="str">
        <v/>
      </c>
    </row>
    <row r="35109" spans="5:9" ht="16.5" hidden="1">
      <c r="E35109" s="4" t="str">
        <v/>
      </c>
      <c r="F35109" s="102" t="str">
        <f ca="1">IFERROR(__xludf.DUMMYFUNCTION("IMPORTRANGE(H35109,""IDENTITAS UNIT!D9"")"),"#N/A")</f>
        <v>#N/A</v>
      </c>
      <c r="H35109" s="4" t="str">
        <v/>
      </c>
      <c r="I35109" s="4" t="str">
        <v/>
      </c>
    </row>
    <row r="35110" spans="5:9" ht="16.5" hidden="1">
      <c r="E35110" s="4" t="str">
        <v/>
      </c>
      <c r="F35110" s="102" t="str">
        <f ca="1">IFERROR(__xludf.DUMMYFUNCTION("IMPORTRANGE(H35110,""IDENTITAS UNIT!D9"")"),"#N/A")</f>
        <v>#N/A</v>
      </c>
      <c r="H35110" s="4" t="str">
        <v/>
      </c>
      <c r="I35110" s="4" t="str">
        <v/>
      </c>
    </row>
    <row r="35111" spans="5:9" ht="16.5" hidden="1">
      <c r="E35111" s="4" t="str">
        <v/>
      </c>
      <c r="F35111" s="102" t="str">
        <f ca="1">IFERROR(__xludf.DUMMYFUNCTION("IMPORTRANGE(H35111,""IDENTITAS UNIT!D9"")"),"#N/A")</f>
        <v>#N/A</v>
      </c>
      <c r="H35111" s="4" t="str">
        <v/>
      </c>
      <c r="I35111" s="4" t="str">
        <v/>
      </c>
    </row>
    <row r="35112" spans="5:9" ht="16.5" hidden="1">
      <c r="E35112" s="4" t="str">
        <v/>
      </c>
      <c r="F35112" s="102" t="str">
        <f ca="1">IFERROR(__xludf.DUMMYFUNCTION("IMPORTRANGE(H35112,""IDENTITAS UNIT!D9"")"),"#N/A")</f>
        <v>#N/A</v>
      </c>
      <c r="H35112" s="4" t="str">
        <v/>
      </c>
      <c r="I35112" s="4" t="str">
        <v/>
      </c>
    </row>
    <row r="35113" spans="5:9" ht="16.5" hidden="1">
      <c r="E35113" s="4" t="str">
        <v/>
      </c>
      <c r="F35113" s="102" t="str">
        <f ca="1">IFERROR(__xludf.DUMMYFUNCTION("IMPORTRANGE(H35113,""IDENTITAS UNIT!D9"")"),"#N/A")</f>
        <v>#N/A</v>
      </c>
      <c r="H35113" s="4" t="str">
        <v/>
      </c>
      <c r="I35113" s="4" t="str">
        <v/>
      </c>
    </row>
    <row r="35114" spans="5:9" ht="16.5" hidden="1">
      <c r="E35114" s="4" t="str">
        <v/>
      </c>
      <c r="F35114" s="102" t="str">
        <f ca="1">IFERROR(__xludf.DUMMYFUNCTION("IMPORTRANGE(H35114,""IDENTITAS UNIT!D9"")"),"#N/A")</f>
        <v>#N/A</v>
      </c>
      <c r="H35114" s="4" t="str">
        <v/>
      </c>
      <c r="I35114" s="4" t="str">
        <v/>
      </c>
    </row>
    <row r="35115" spans="5:9" ht="16.5" hidden="1">
      <c r="E35115" s="4" t="str">
        <v/>
      </c>
      <c r="F35115" s="102" t="str">
        <f ca="1">IFERROR(__xludf.DUMMYFUNCTION("IMPORTRANGE(H35115,""IDENTITAS UNIT!D9"")"),"#N/A")</f>
        <v>#N/A</v>
      </c>
      <c r="H35115" s="4" t="str">
        <v/>
      </c>
      <c r="I35115" s="4" t="str">
        <v/>
      </c>
    </row>
    <row r="35116" spans="5:9" ht="16.5" hidden="1">
      <c r="E35116" s="4" t="str">
        <v/>
      </c>
      <c r="F35116" s="102" t="str">
        <f ca="1">IFERROR(__xludf.DUMMYFUNCTION("IMPORTRANGE(H35116,""IDENTITAS UNIT!D9"")"),"#N/A")</f>
        <v>#N/A</v>
      </c>
      <c r="H35116" s="4" t="str">
        <v/>
      </c>
      <c r="I35116" s="4" t="str">
        <v/>
      </c>
    </row>
    <row r="35117" spans="5:9" ht="16.5" hidden="1">
      <c r="E35117" s="4" t="str">
        <v/>
      </c>
      <c r="F35117" s="102" t="str">
        <f ca="1">IFERROR(__xludf.DUMMYFUNCTION("IMPORTRANGE(H35117,""IDENTITAS UNIT!D9"")"),"#N/A")</f>
        <v>#N/A</v>
      </c>
      <c r="H35117" s="4" t="str">
        <v/>
      </c>
      <c r="I35117" s="4" t="str">
        <v/>
      </c>
    </row>
    <row r="35118" spans="5:9" ht="16.5" hidden="1">
      <c r="E35118" s="4" t="str">
        <v/>
      </c>
      <c r="F35118" s="102" t="str">
        <f ca="1">IFERROR(__xludf.DUMMYFUNCTION("IMPORTRANGE(H35118,""IDENTITAS UNIT!D9"")"),"#N/A")</f>
        <v>#N/A</v>
      </c>
      <c r="H35118" s="4" t="str">
        <v/>
      </c>
      <c r="I35118" s="4" t="str">
        <v/>
      </c>
    </row>
    <row r="35119" spans="5:9" ht="16.5" hidden="1">
      <c r="E35119" s="4" t="str">
        <v/>
      </c>
      <c r="F35119" s="102" t="str">
        <f ca="1">IFERROR(__xludf.DUMMYFUNCTION("IMPORTRANGE(H35119,""IDENTITAS UNIT!D9"")"),"#N/A")</f>
        <v>#N/A</v>
      </c>
      <c r="H35119" s="4" t="str">
        <v/>
      </c>
      <c r="I35119" s="4" t="str">
        <v/>
      </c>
    </row>
    <row r="35120" spans="5:9" ht="16.5" hidden="1">
      <c r="E35120" s="4" t="str">
        <v/>
      </c>
      <c r="F35120" s="102" t="str">
        <f ca="1">IFERROR(__xludf.DUMMYFUNCTION("IMPORTRANGE(H35120,""IDENTITAS UNIT!D9"")"),"#N/A")</f>
        <v>#N/A</v>
      </c>
      <c r="H35120" s="4" t="str">
        <v/>
      </c>
      <c r="I35120" s="4" t="str">
        <v/>
      </c>
    </row>
    <row r="35121" spans="5:9" ht="16.5" hidden="1">
      <c r="E35121" s="4" t="str">
        <v/>
      </c>
      <c r="F35121" s="102" t="str">
        <f ca="1">IFERROR(__xludf.DUMMYFUNCTION("IMPORTRANGE(H35121,""IDENTITAS UNIT!D9"")"),"#N/A")</f>
        <v>#N/A</v>
      </c>
      <c r="H35121" s="4" t="str">
        <v/>
      </c>
      <c r="I35121" s="4" t="str">
        <v/>
      </c>
    </row>
    <row r="35122" spans="5:9" ht="16.5" hidden="1">
      <c r="E35122" s="4" t="str">
        <v/>
      </c>
      <c r="F35122" s="102" t="str">
        <f ca="1">IFERROR(__xludf.DUMMYFUNCTION("IMPORTRANGE(H35122,""IDENTITAS UNIT!D9"")"),"#N/A")</f>
        <v>#N/A</v>
      </c>
      <c r="H35122" s="4" t="str">
        <v/>
      </c>
      <c r="I35122" s="4" t="str">
        <v/>
      </c>
    </row>
    <row r="35123" spans="5:9" ht="16.5" hidden="1">
      <c r="E35123" s="4" t="str">
        <v/>
      </c>
      <c r="F35123" s="102" t="str">
        <f ca="1">IFERROR(__xludf.DUMMYFUNCTION("IMPORTRANGE(H35123,""IDENTITAS UNIT!D9"")"),"#N/A")</f>
        <v>#N/A</v>
      </c>
      <c r="H35123" s="4" t="str">
        <v/>
      </c>
      <c r="I35123" s="4" t="str">
        <v/>
      </c>
    </row>
    <row r="35124" spans="5:9" ht="16.5" hidden="1">
      <c r="E35124" s="4" t="str">
        <v/>
      </c>
      <c r="F35124" s="102" t="str">
        <f ca="1">IFERROR(__xludf.DUMMYFUNCTION("IMPORTRANGE(H35124,""IDENTITAS UNIT!D9"")"),"#N/A")</f>
        <v>#N/A</v>
      </c>
      <c r="H35124" s="4" t="str">
        <v/>
      </c>
      <c r="I35124" s="4" t="str">
        <v/>
      </c>
    </row>
    <row r="35125" spans="5:9" ht="16.5" hidden="1">
      <c r="E35125" s="4" t="str">
        <v/>
      </c>
      <c r="F35125" s="102" t="str">
        <f ca="1">IFERROR(__xludf.DUMMYFUNCTION("IMPORTRANGE(H35125,""IDENTITAS UNIT!D9"")"),"#N/A")</f>
        <v>#N/A</v>
      </c>
      <c r="H35125" s="4" t="str">
        <v/>
      </c>
      <c r="I35125" s="4" t="str">
        <v/>
      </c>
    </row>
    <row r="35126" spans="5:9" ht="16.5" hidden="1">
      <c r="E35126" s="4" t="str">
        <v/>
      </c>
      <c r="F35126" s="102" t="str">
        <f ca="1">IFERROR(__xludf.DUMMYFUNCTION("IMPORTRANGE(H35126,""IDENTITAS UNIT!D9"")"),"#N/A")</f>
        <v>#N/A</v>
      </c>
      <c r="H35126" s="4" t="str">
        <v/>
      </c>
      <c r="I35126" s="4" t="str">
        <v/>
      </c>
    </row>
    <row r="35127" spans="5:9" ht="16.5" hidden="1">
      <c r="E35127" s="4" t="str">
        <v/>
      </c>
      <c r="F35127" s="102" t="str">
        <f ca="1">IFERROR(__xludf.DUMMYFUNCTION("IMPORTRANGE(H35127,""IDENTITAS UNIT!D9"")"),"#N/A")</f>
        <v>#N/A</v>
      </c>
      <c r="H35127" s="4" t="str">
        <v/>
      </c>
      <c r="I35127" s="4" t="str">
        <v/>
      </c>
    </row>
    <row r="35128" spans="5:9" ht="16.5" hidden="1">
      <c r="E35128" s="4" t="str">
        <v/>
      </c>
      <c r="F35128" s="102" t="str">
        <f ca="1">IFERROR(__xludf.DUMMYFUNCTION("IMPORTRANGE(H35128,""IDENTITAS UNIT!D9"")"),"#N/A")</f>
        <v>#N/A</v>
      </c>
      <c r="H35128" s="4" t="str">
        <v/>
      </c>
      <c r="I35128" s="4" t="str">
        <v/>
      </c>
    </row>
    <row r="35129" spans="5:9" ht="16.5" hidden="1">
      <c r="E35129" s="4" t="str">
        <v/>
      </c>
      <c r="F35129" s="102" t="str">
        <f ca="1">IFERROR(__xludf.DUMMYFUNCTION("IMPORTRANGE(H35129,""IDENTITAS UNIT!D9"")"),"#N/A")</f>
        <v>#N/A</v>
      </c>
      <c r="H35129" s="4" t="str">
        <v/>
      </c>
      <c r="I35129" s="4" t="str">
        <v/>
      </c>
    </row>
    <row r="35130" spans="5:9" ht="16.5" hidden="1">
      <c r="E35130" s="4" t="str">
        <v/>
      </c>
      <c r="F35130" s="102" t="str">
        <f ca="1">IFERROR(__xludf.DUMMYFUNCTION("IMPORTRANGE(H35130,""IDENTITAS UNIT!D9"")"),"#N/A")</f>
        <v>#N/A</v>
      </c>
      <c r="H35130" s="4" t="str">
        <v/>
      </c>
      <c r="I35130" s="4" t="str">
        <v/>
      </c>
    </row>
    <row r="35131" spans="5:9" ht="16.5" hidden="1">
      <c r="E35131" s="4" t="str">
        <v/>
      </c>
      <c r="F35131" s="102" t="str">
        <f ca="1">IFERROR(__xludf.DUMMYFUNCTION("IMPORTRANGE(H35131,""IDENTITAS UNIT!D9"")"),"#N/A")</f>
        <v>#N/A</v>
      </c>
      <c r="H35131" s="4" t="str">
        <v/>
      </c>
      <c r="I35131" s="4" t="str">
        <v/>
      </c>
    </row>
    <row r="35132" spans="5:9" ht="16.5" hidden="1">
      <c r="E35132" s="4" t="str">
        <v/>
      </c>
      <c r="F35132" s="102" t="str">
        <f ca="1">IFERROR(__xludf.DUMMYFUNCTION("IMPORTRANGE(H35132,""IDENTITAS UNIT!D9"")"),"#N/A")</f>
        <v>#N/A</v>
      </c>
      <c r="H35132" s="4" t="str">
        <v/>
      </c>
      <c r="I35132" s="4" t="str">
        <v/>
      </c>
    </row>
    <row r="35133" spans="5:9" ht="16.5" hidden="1">
      <c r="E35133" s="4" t="str">
        <v/>
      </c>
      <c r="F35133" s="102" t="str">
        <f ca="1">IFERROR(__xludf.DUMMYFUNCTION("IMPORTRANGE(H35133,""IDENTITAS UNIT!D9"")"),"#N/A")</f>
        <v>#N/A</v>
      </c>
      <c r="H35133" s="4" t="str">
        <v/>
      </c>
      <c r="I35133" s="4" t="str">
        <v/>
      </c>
    </row>
    <row r="35134" spans="5:9" ht="16.5" hidden="1">
      <c r="E35134" s="4" t="str">
        <v/>
      </c>
      <c r="F35134" s="102" t="str">
        <f ca="1">IFERROR(__xludf.DUMMYFUNCTION("IMPORTRANGE(H35134,""IDENTITAS UNIT!D9"")"),"#N/A")</f>
        <v>#N/A</v>
      </c>
      <c r="H35134" s="4" t="str">
        <v/>
      </c>
      <c r="I35134" s="4" t="str">
        <v/>
      </c>
    </row>
    <row r="35135" spans="5:9" ht="16.5" hidden="1">
      <c r="E35135" s="4" t="str">
        <v/>
      </c>
      <c r="F35135" s="102" t="str">
        <f ca="1">IFERROR(__xludf.DUMMYFUNCTION("IMPORTRANGE(H35135,""IDENTITAS UNIT!D9"")"),"#N/A")</f>
        <v>#N/A</v>
      </c>
      <c r="H35135" s="4" t="str">
        <v/>
      </c>
      <c r="I35135" s="4" t="str">
        <v/>
      </c>
    </row>
    <row r="35136" spans="5:9" ht="16.5" hidden="1">
      <c r="E35136" s="4" t="str">
        <v/>
      </c>
      <c r="F35136" s="102" t="str">
        <f ca="1">IFERROR(__xludf.DUMMYFUNCTION("IMPORTRANGE(H35136,""IDENTITAS UNIT!D9"")"),"#N/A")</f>
        <v>#N/A</v>
      </c>
      <c r="H35136" s="4" t="str">
        <v/>
      </c>
      <c r="I35136" s="4" t="str">
        <v/>
      </c>
    </row>
    <row r="35137" spans="5:9" ht="16.5" hidden="1">
      <c r="E35137" s="4" t="str">
        <v/>
      </c>
      <c r="F35137" s="102" t="str">
        <f ca="1">IFERROR(__xludf.DUMMYFUNCTION("IMPORTRANGE(H35137,""IDENTITAS UNIT!D9"")"),"#N/A")</f>
        <v>#N/A</v>
      </c>
      <c r="H35137" s="4" t="str">
        <v/>
      </c>
      <c r="I35137" s="4" t="str">
        <v/>
      </c>
    </row>
    <row r="35138" spans="5:9" ht="16.5" hidden="1">
      <c r="E35138" s="4" t="str">
        <v/>
      </c>
      <c r="F35138" s="102" t="str">
        <f ca="1">IFERROR(__xludf.DUMMYFUNCTION("IMPORTRANGE(H35138,""IDENTITAS UNIT!D9"")"),"#N/A")</f>
        <v>#N/A</v>
      </c>
      <c r="H35138" s="4" t="str">
        <v/>
      </c>
      <c r="I35138" s="4" t="str">
        <v/>
      </c>
    </row>
    <row r="35139" spans="5:9" ht="16.5" hidden="1">
      <c r="E35139" s="4" t="str">
        <v/>
      </c>
      <c r="F35139" s="102" t="str">
        <f ca="1">IFERROR(__xludf.DUMMYFUNCTION("IMPORTRANGE(H35139,""IDENTITAS UNIT!D9"")"),"#N/A")</f>
        <v>#N/A</v>
      </c>
      <c r="H35139" s="4" t="str">
        <v/>
      </c>
      <c r="I35139" s="4" t="str">
        <v/>
      </c>
    </row>
    <row r="35140" spans="5:9" ht="16.5" hidden="1">
      <c r="E35140" s="4" t="str">
        <v/>
      </c>
      <c r="F35140" s="102" t="str">
        <f ca="1">IFERROR(__xludf.DUMMYFUNCTION("IMPORTRANGE(H35140,""IDENTITAS UNIT!D9"")"),"#N/A")</f>
        <v>#N/A</v>
      </c>
      <c r="H35140" s="4" t="str">
        <v/>
      </c>
      <c r="I35140" s="4" t="str">
        <v/>
      </c>
    </row>
    <row r="35141" spans="5:9" ht="16.5" hidden="1">
      <c r="E35141" s="4" t="str">
        <v/>
      </c>
      <c r="F35141" s="102" t="str">
        <f ca="1">IFERROR(__xludf.DUMMYFUNCTION("IMPORTRANGE(H35141,""IDENTITAS UNIT!D9"")"),"#N/A")</f>
        <v>#N/A</v>
      </c>
      <c r="H35141" s="4" t="str">
        <v/>
      </c>
      <c r="I35141" s="4" t="str">
        <v/>
      </c>
    </row>
    <row r="35142" spans="5:9" ht="16.5" hidden="1">
      <c r="E35142" s="4" t="str">
        <v/>
      </c>
      <c r="F35142" s="102" t="str">
        <f ca="1">IFERROR(__xludf.DUMMYFUNCTION("IMPORTRANGE(H35142,""IDENTITAS UNIT!D9"")"),"#N/A")</f>
        <v>#N/A</v>
      </c>
      <c r="H35142" s="4" t="str">
        <v/>
      </c>
      <c r="I35142" s="4" t="str">
        <v/>
      </c>
    </row>
    <row r="35143" spans="5:9" ht="16.5" hidden="1">
      <c r="E35143" s="4" t="str">
        <v/>
      </c>
      <c r="F35143" s="102" t="str">
        <f ca="1">IFERROR(__xludf.DUMMYFUNCTION("IMPORTRANGE(H35143,""IDENTITAS UNIT!D9"")"),"#N/A")</f>
        <v>#N/A</v>
      </c>
      <c r="H35143" s="4" t="str">
        <v/>
      </c>
      <c r="I35143" s="4" t="str">
        <v/>
      </c>
    </row>
    <row r="35144" spans="5:9" ht="16.5" hidden="1">
      <c r="E35144" s="4" t="str">
        <v/>
      </c>
      <c r="F35144" s="102" t="str">
        <f ca="1">IFERROR(__xludf.DUMMYFUNCTION("IMPORTRANGE(H35144,""IDENTITAS UNIT!D9"")"),"#N/A")</f>
        <v>#N/A</v>
      </c>
      <c r="H35144" s="4" t="str">
        <v/>
      </c>
      <c r="I35144" s="4" t="str">
        <v/>
      </c>
    </row>
    <row r="35145" spans="5:9" ht="16.5" hidden="1">
      <c r="E35145" s="4" t="str">
        <v/>
      </c>
      <c r="F35145" s="102" t="str">
        <f ca="1">IFERROR(__xludf.DUMMYFUNCTION("IMPORTRANGE(H35145,""IDENTITAS UNIT!D9"")"),"#N/A")</f>
        <v>#N/A</v>
      </c>
      <c r="H35145" s="4" t="str">
        <v/>
      </c>
      <c r="I35145" s="4" t="str">
        <v/>
      </c>
    </row>
    <row r="35146" spans="5:9" ht="16.5" hidden="1">
      <c r="E35146" s="4" t="str">
        <v/>
      </c>
      <c r="F35146" s="102" t="str">
        <f ca="1">IFERROR(__xludf.DUMMYFUNCTION("IMPORTRANGE(H35146,""IDENTITAS UNIT!D9"")"),"#N/A")</f>
        <v>#N/A</v>
      </c>
      <c r="H35146" s="4" t="str">
        <v/>
      </c>
      <c r="I35146" s="4" t="str">
        <v/>
      </c>
    </row>
    <row r="35147" spans="5:9" ht="16.5" hidden="1">
      <c r="E35147" s="4" t="str">
        <v/>
      </c>
      <c r="F35147" s="102" t="str">
        <f ca="1">IFERROR(__xludf.DUMMYFUNCTION("IMPORTRANGE(H35147,""IDENTITAS UNIT!D9"")"),"#N/A")</f>
        <v>#N/A</v>
      </c>
      <c r="H35147" s="4" t="str">
        <v/>
      </c>
      <c r="I35147" s="4" t="str">
        <v/>
      </c>
    </row>
    <row r="35148" spans="5:9" ht="16.5" hidden="1">
      <c r="E35148" s="4" t="str">
        <v/>
      </c>
      <c r="F35148" s="102" t="str">
        <f ca="1">IFERROR(__xludf.DUMMYFUNCTION("IMPORTRANGE(H35148,""IDENTITAS UNIT!D9"")"),"#N/A")</f>
        <v>#N/A</v>
      </c>
      <c r="H35148" s="4" t="str">
        <v/>
      </c>
      <c r="I35148" s="4" t="str">
        <v/>
      </c>
    </row>
    <row r="35149" spans="5:9" ht="16.5" hidden="1">
      <c r="E35149" s="4" t="str">
        <v/>
      </c>
      <c r="F35149" s="102" t="str">
        <f ca="1">IFERROR(__xludf.DUMMYFUNCTION("IMPORTRANGE(H35149,""IDENTITAS UNIT!D9"")"),"#N/A")</f>
        <v>#N/A</v>
      </c>
      <c r="H35149" s="4" t="str">
        <v/>
      </c>
      <c r="I35149" s="4" t="str">
        <v/>
      </c>
    </row>
    <row r="35150" spans="5:9" ht="16.5" hidden="1">
      <c r="E35150" s="4" t="str">
        <v/>
      </c>
      <c r="F35150" s="102" t="str">
        <f ca="1">IFERROR(__xludf.DUMMYFUNCTION("IMPORTRANGE(H35150,""IDENTITAS UNIT!D9"")"),"#N/A")</f>
        <v>#N/A</v>
      </c>
      <c r="H35150" s="4" t="str">
        <v/>
      </c>
      <c r="I35150" s="4" t="str">
        <v/>
      </c>
    </row>
    <row r="35151" spans="5:9" ht="16.5" hidden="1">
      <c r="E35151" s="4" t="str">
        <v/>
      </c>
      <c r="F35151" s="102" t="str">
        <f ca="1">IFERROR(__xludf.DUMMYFUNCTION("IMPORTRANGE(H35151,""IDENTITAS UNIT!D9"")"),"#N/A")</f>
        <v>#N/A</v>
      </c>
      <c r="H35151" s="4" t="str">
        <v/>
      </c>
      <c r="I35151" s="4" t="str">
        <v/>
      </c>
    </row>
    <row r="35152" spans="5:9" ht="16.5" hidden="1">
      <c r="E35152" s="4" t="str">
        <v/>
      </c>
      <c r="F35152" s="102" t="str">
        <f ca="1">IFERROR(__xludf.DUMMYFUNCTION("IMPORTRANGE(H35152,""IDENTITAS UNIT!D9"")"),"#N/A")</f>
        <v>#N/A</v>
      </c>
      <c r="H35152" s="4" t="str">
        <v/>
      </c>
      <c r="I35152" s="4" t="str">
        <v/>
      </c>
    </row>
    <row r="35153" spans="5:9" ht="16.5" hidden="1">
      <c r="E35153" s="4" t="str">
        <v/>
      </c>
      <c r="F35153" s="102" t="str">
        <f ca="1">IFERROR(__xludf.DUMMYFUNCTION("IMPORTRANGE(H35153,""IDENTITAS UNIT!D9"")"),"#N/A")</f>
        <v>#N/A</v>
      </c>
      <c r="H35153" s="4" t="str">
        <v/>
      </c>
      <c r="I35153" s="4" t="str">
        <v/>
      </c>
    </row>
    <row r="35154" spans="5:9" ht="16.5" hidden="1">
      <c r="E35154" s="4" t="str">
        <v/>
      </c>
      <c r="F35154" s="102" t="str">
        <f ca="1">IFERROR(__xludf.DUMMYFUNCTION("IMPORTRANGE(H35154,""IDENTITAS UNIT!D9"")"),"#N/A")</f>
        <v>#N/A</v>
      </c>
      <c r="H35154" s="4" t="str">
        <v/>
      </c>
      <c r="I35154" s="4" t="str">
        <v/>
      </c>
    </row>
    <row r="35155" spans="5:9" ht="16.5" hidden="1">
      <c r="E35155" s="4" t="str">
        <v/>
      </c>
      <c r="F35155" s="102" t="str">
        <f ca="1">IFERROR(__xludf.DUMMYFUNCTION("IMPORTRANGE(H35155,""IDENTITAS UNIT!D9"")"),"#N/A")</f>
        <v>#N/A</v>
      </c>
      <c r="H35155" s="4" t="str">
        <v/>
      </c>
      <c r="I35155" s="4" t="str">
        <v/>
      </c>
    </row>
    <row r="35156" spans="5:9" ht="16.5" hidden="1">
      <c r="E35156" s="4" t="str">
        <v/>
      </c>
      <c r="F35156" s="102" t="str">
        <f ca="1">IFERROR(__xludf.DUMMYFUNCTION("IMPORTRANGE(H35156,""IDENTITAS UNIT!D9"")"),"#N/A")</f>
        <v>#N/A</v>
      </c>
      <c r="H35156" s="4" t="str">
        <v/>
      </c>
      <c r="I35156" s="4" t="str">
        <v/>
      </c>
    </row>
    <row r="35157" spans="5:9" ht="16.5" hidden="1">
      <c r="E35157" s="4" t="str">
        <v/>
      </c>
      <c r="F35157" s="102" t="str">
        <f ca="1">IFERROR(__xludf.DUMMYFUNCTION("IMPORTRANGE(H35157,""IDENTITAS UNIT!D9"")"),"#N/A")</f>
        <v>#N/A</v>
      </c>
      <c r="H35157" s="4" t="str">
        <v/>
      </c>
      <c r="I35157" s="4" t="str">
        <v/>
      </c>
    </row>
    <row r="35158" spans="5:9" ht="16.5" hidden="1">
      <c r="E35158" s="4" t="str">
        <v/>
      </c>
      <c r="F35158" s="102" t="str">
        <f ca="1">IFERROR(__xludf.DUMMYFUNCTION("IMPORTRANGE(H35158,""IDENTITAS UNIT!D9"")"),"#N/A")</f>
        <v>#N/A</v>
      </c>
      <c r="H35158" s="4" t="str">
        <v/>
      </c>
      <c r="I35158" s="4" t="str">
        <v/>
      </c>
    </row>
    <row r="35159" spans="5:9" ht="16.5" hidden="1">
      <c r="E35159" s="4" t="str">
        <v/>
      </c>
      <c r="F35159" s="102" t="str">
        <f ca="1">IFERROR(__xludf.DUMMYFUNCTION("IMPORTRANGE(H35159,""IDENTITAS UNIT!D9"")"),"#N/A")</f>
        <v>#N/A</v>
      </c>
      <c r="H35159" s="4" t="str">
        <v/>
      </c>
      <c r="I35159" s="4" t="str">
        <v/>
      </c>
    </row>
    <row r="35160" spans="5:9" ht="16.5" hidden="1">
      <c r="E35160" s="4" t="str">
        <v/>
      </c>
      <c r="F35160" s="102" t="str">
        <f ca="1">IFERROR(__xludf.DUMMYFUNCTION("IMPORTRANGE(H35160,""IDENTITAS UNIT!D9"")"),"#N/A")</f>
        <v>#N/A</v>
      </c>
      <c r="H35160" s="4" t="str">
        <v/>
      </c>
      <c r="I35160" s="4" t="str">
        <v/>
      </c>
    </row>
    <row r="35161" spans="5:9" ht="16.5" hidden="1">
      <c r="E35161" s="4" t="str">
        <v/>
      </c>
      <c r="F35161" s="102" t="str">
        <f ca="1">IFERROR(__xludf.DUMMYFUNCTION("IMPORTRANGE(H35161,""IDENTITAS UNIT!D9"")"),"#N/A")</f>
        <v>#N/A</v>
      </c>
      <c r="H35161" s="4" t="str">
        <v/>
      </c>
      <c r="I35161" s="4" t="str">
        <v/>
      </c>
    </row>
    <row r="35162" spans="5:9" ht="16.5" hidden="1">
      <c r="E35162" s="4" t="str">
        <v/>
      </c>
      <c r="F35162" s="102" t="str">
        <f ca="1">IFERROR(__xludf.DUMMYFUNCTION("IMPORTRANGE(H35162,""IDENTITAS UNIT!D9"")"),"#N/A")</f>
        <v>#N/A</v>
      </c>
      <c r="H35162" s="4" t="str">
        <v/>
      </c>
      <c r="I35162" s="4" t="str">
        <v/>
      </c>
    </row>
    <row r="35163" spans="5:9" ht="16.5" hidden="1">
      <c r="E35163" s="4" t="str">
        <v/>
      </c>
      <c r="F35163" s="102" t="str">
        <f ca="1">IFERROR(__xludf.DUMMYFUNCTION("IMPORTRANGE(H35163,""IDENTITAS UNIT!D9"")"),"#N/A")</f>
        <v>#N/A</v>
      </c>
      <c r="H35163" s="4" t="str">
        <v/>
      </c>
      <c r="I35163" s="4" t="str">
        <v/>
      </c>
    </row>
    <row r="35164" spans="5:9" ht="16.5" hidden="1">
      <c r="E35164" s="4" t="str">
        <v/>
      </c>
      <c r="F35164" s="102" t="str">
        <f ca="1">IFERROR(__xludf.DUMMYFUNCTION("IMPORTRANGE(H35164,""IDENTITAS UNIT!D9"")"),"#N/A")</f>
        <v>#N/A</v>
      </c>
      <c r="H35164" s="4" t="str">
        <v/>
      </c>
      <c r="I35164" s="4" t="str">
        <v/>
      </c>
    </row>
    <row r="35165" spans="5:9" ht="16.5" hidden="1">
      <c r="E35165" s="4" t="str">
        <v/>
      </c>
      <c r="F35165" s="102" t="str">
        <f ca="1">IFERROR(__xludf.DUMMYFUNCTION("IMPORTRANGE(H35165,""IDENTITAS UNIT!D9"")"),"#N/A")</f>
        <v>#N/A</v>
      </c>
      <c r="H35165" s="4" t="str">
        <v/>
      </c>
      <c r="I35165" s="4" t="str">
        <v/>
      </c>
    </row>
    <row r="35166" spans="5:9" ht="16.5" hidden="1">
      <c r="E35166" s="4" t="str">
        <v/>
      </c>
      <c r="F35166" s="102" t="str">
        <f ca="1">IFERROR(__xludf.DUMMYFUNCTION("IMPORTRANGE(H35166,""IDENTITAS UNIT!D9"")"),"#N/A")</f>
        <v>#N/A</v>
      </c>
      <c r="H35166" s="4" t="str">
        <v/>
      </c>
      <c r="I35166" s="4" t="str">
        <v/>
      </c>
    </row>
    <row r="35167" spans="5:9" ht="16.5" hidden="1">
      <c r="E35167" s="4" t="str">
        <v/>
      </c>
      <c r="F35167" s="102" t="str">
        <f ca="1">IFERROR(__xludf.DUMMYFUNCTION("IMPORTRANGE(H35167,""IDENTITAS UNIT!D9"")"),"#N/A")</f>
        <v>#N/A</v>
      </c>
      <c r="H35167" s="4" t="str">
        <v/>
      </c>
      <c r="I35167" s="4" t="str">
        <v/>
      </c>
    </row>
    <row r="35168" spans="5:9" ht="16.5" hidden="1">
      <c r="E35168" s="4" t="str">
        <v/>
      </c>
      <c r="F35168" s="102" t="str">
        <f ca="1">IFERROR(__xludf.DUMMYFUNCTION("IMPORTRANGE(H35168,""IDENTITAS UNIT!D9"")"),"#N/A")</f>
        <v>#N/A</v>
      </c>
      <c r="H35168" s="4" t="str">
        <v/>
      </c>
      <c r="I35168" s="4" t="str">
        <v/>
      </c>
    </row>
    <row r="35169" spans="5:9" ht="16.5" hidden="1">
      <c r="E35169" s="4" t="str">
        <v/>
      </c>
      <c r="F35169" s="102" t="str">
        <f ca="1">IFERROR(__xludf.DUMMYFUNCTION("IMPORTRANGE(H35169,""IDENTITAS UNIT!D9"")"),"#N/A")</f>
        <v>#N/A</v>
      </c>
      <c r="H35169" s="4" t="str">
        <v/>
      </c>
      <c r="I35169" s="4" t="str">
        <v/>
      </c>
    </row>
    <row r="35170" spans="5:9" ht="16.5" hidden="1">
      <c r="E35170" s="4" t="str">
        <v/>
      </c>
      <c r="F35170" s="102" t="str">
        <f ca="1">IFERROR(__xludf.DUMMYFUNCTION("IMPORTRANGE(H35170,""IDENTITAS UNIT!D9"")"),"#N/A")</f>
        <v>#N/A</v>
      </c>
      <c r="H35170" s="4" t="str">
        <v/>
      </c>
      <c r="I35170" s="4" t="str">
        <v/>
      </c>
    </row>
    <row r="35171" spans="5:9" ht="16.5" hidden="1">
      <c r="E35171" s="4" t="str">
        <v/>
      </c>
      <c r="F35171" s="102" t="str">
        <f ca="1">IFERROR(__xludf.DUMMYFUNCTION("IMPORTRANGE(H35171,""IDENTITAS UNIT!D9"")"),"#N/A")</f>
        <v>#N/A</v>
      </c>
      <c r="H35171" s="4" t="str">
        <v/>
      </c>
      <c r="I35171" s="4" t="str">
        <v/>
      </c>
    </row>
    <row r="35172" spans="5:9" ht="16.5" hidden="1">
      <c r="E35172" s="4" t="str">
        <v/>
      </c>
      <c r="F35172" s="102" t="str">
        <f ca="1">IFERROR(__xludf.DUMMYFUNCTION("IMPORTRANGE(H35172,""IDENTITAS UNIT!D9"")"),"#N/A")</f>
        <v>#N/A</v>
      </c>
      <c r="H35172" s="4" t="str">
        <v/>
      </c>
      <c r="I35172" s="4" t="str">
        <v/>
      </c>
    </row>
    <row r="35173" spans="5:9" ht="16.5" hidden="1">
      <c r="E35173" s="4" t="str">
        <v/>
      </c>
      <c r="F35173" s="102" t="str">
        <f ca="1">IFERROR(__xludf.DUMMYFUNCTION("IMPORTRANGE(H35173,""IDENTITAS UNIT!D9"")"),"#N/A")</f>
        <v>#N/A</v>
      </c>
      <c r="H35173" s="4" t="str">
        <v/>
      </c>
      <c r="I35173" s="4" t="str">
        <v/>
      </c>
    </row>
    <row r="35174" spans="5:9" ht="16.5" hidden="1">
      <c r="E35174" s="4" t="str">
        <v/>
      </c>
      <c r="F35174" s="102" t="str">
        <f ca="1">IFERROR(__xludf.DUMMYFUNCTION("IMPORTRANGE(H35174,""IDENTITAS UNIT!D9"")"),"#N/A")</f>
        <v>#N/A</v>
      </c>
      <c r="H35174" s="4" t="str">
        <v/>
      </c>
      <c r="I35174" s="4" t="str">
        <v/>
      </c>
    </row>
    <row r="35175" spans="5:9" ht="16.5" hidden="1">
      <c r="E35175" s="4" t="str">
        <v/>
      </c>
      <c r="F35175" s="102" t="str">
        <f ca="1">IFERROR(__xludf.DUMMYFUNCTION("IMPORTRANGE(H35175,""IDENTITAS UNIT!D9"")"),"#N/A")</f>
        <v>#N/A</v>
      </c>
      <c r="H35175" s="4" t="str">
        <v/>
      </c>
      <c r="I35175" s="4" t="str">
        <v/>
      </c>
    </row>
    <row r="35176" spans="5:9" ht="16.5" hidden="1">
      <c r="E35176" s="4" t="str">
        <v/>
      </c>
      <c r="F35176" s="102" t="str">
        <f ca="1">IFERROR(__xludf.DUMMYFUNCTION("IMPORTRANGE(H35176,""IDENTITAS UNIT!D9"")"),"#N/A")</f>
        <v>#N/A</v>
      </c>
      <c r="H35176" s="4" t="str">
        <v/>
      </c>
      <c r="I35176" s="4" t="str">
        <v/>
      </c>
    </row>
    <row r="35177" spans="5:9" ht="16.5" hidden="1">
      <c r="E35177" s="4" t="str">
        <v/>
      </c>
      <c r="F35177" s="102" t="str">
        <f ca="1">IFERROR(__xludf.DUMMYFUNCTION("IMPORTRANGE(H35177,""IDENTITAS UNIT!D9"")"),"#N/A")</f>
        <v>#N/A</v>
      </c>
      <c r="H35177" s="4" t="str">
        <v/>
      </c>
      <c r="I35177" s="4" t="str">
        <v/>
      </c>
    </row>
    <row r="35178" spans="5:9" ht="16.5" hidden="1">
      <c r="E35178" s="4" t="str">
        <v/>
      </c>
      <c r="F35178" s="102" t="str">
        <f ca="1">IFERROR(__xludf.DUMMYFUNCTION("IMPORTRANGE(H35178,""IDENTITAS UNIT!D9"")"),"#N/A")</f>
        <v>#N/A</v>
      </c>
      <c r="H35178" s="4" t="str">
        <v/>
      </c>
      <c r="I35178" s="4" t="str">
        <v/>
      </c>
    </row>
    <row r="35179" spans="5:9" ht="16.5" hidden="1">
      <c r="E35179" s="4" t="str">
        <v/>
      </c>
      <c r="F35179" s="102" t="str">
        <f ca="1">IFERROR(__xludf.DUMMYFUNCTION("IMPORTRANGE(H35179,""IDENTITAS UNIT!D9"")"),"#N/A")</f>
        <v>#N/A</v>
      </c>
      <c r="H35179" s="4" t="str">
        <v/>
      </c>
      <c r="I35179" s="4" t="str">
        <v/>
      </c>
    </row>
    <row r="35180" spans="5:9" ht="16.5" hidden="1">
      <c r="E35180" s="4" t="str">
        <v/>
      </c>
      <c r="F35180" s="102" t="str">
        <f ca="1">IFERROR(__xludf.DUMMYFUNCTION("IMPORTRANGE(H35180,""IDENTITAS UNIT!D9"")"),"#N/A")</f>
        <v>#N/A</v>
      </c>
      <c r="H35180" s="4" t="str">
        <v/>
      </c>
      <c r="I35180" s="4" t="str">
        <v/>
      </c>
    </row>
    <row r="35181" spans="5:9" ht="16.5" hidden="1">
      <c r="E35181" s="4" t="str">
        <v/>
      </c>
      <c r="F35181" s="102" t="str">
        <f ca="1">IFERROR(__xludf.DUMMYFUNCTION("IMPORTRANGE(H35181,""IDENTITAS UNIT!D9"")"),"#N/A")</f>
        <v>#N/A</v>
      </c>
      <c r="H35181" s="4" t="str">
        <v/>
      </c>
      <c r="I35181" s="4" t="str">
        <v/>
      </c>
    </row>
    <row r="35182" spans="5:9" ht="16.5" hidden="1">
      <c r="E35182" s="4" t="str">
        <v/>
      </c>
      <c r="F35182" s="102" t="str">
        <f ca="1">IFERROR(__xludf.DUMMYFUNCTION("IMPORTRANGE(H35182,""IDENTITAS UNIT!D9"")"),"#N/A")</f>
        <v>#N/A</v>
      </c>
      <c r="H35182" s="4" t="str">
        <v/>
      </c>
      <c r="I35182" s="4" t="str">
        <v/>
      </c>
    </row>
    <row r="35183" spans="5:9" ht="16.5" hidden="1">
      <c r="E35183" s="4" t="str">
        <v/>
      </c>
      <c r="F35183" s="102" t="str">
        <f ca="1">IFERROR(__xludf.DUMMYFUNCTION("IMPORTRANGE(H35183,""IDENTITAS UNIT!D9"")"),"#N/A")</f>
        <v>#N/A</v>
      </c>
      <c r="H35183" s="4" t="str">
        <v/>
      </c>
      <c r="I35183" s="4" t="str">
        <v/>
      </c>
    </row>
    <row r="35184" spans="5:9" ht="16.5" hidden="1">
      <c r="E35184" s="4" t="str">
        <v/>
      </c>
      <c r="F35184" s="102" t="str">
        <f ca="1">IFERROR(__xludf.DUMMYFUNCTION("IMPORTRANGE(H35184,""IDENTITAS UNIT!D9"")"),"#N/A")</f>
        <v>#N/A</v>
      </c>
      <c r="H35184" s="4" t="str">
        <v/>
      </c>
      <c r="I35184" s="4" t="str">
        <v/>
      </c>
    </row>
    <row r="35185" spans="5:9" ht="16.5" hidden="1">
      <c r="E35185" s="4" t="str">
        <v/>
      </c>
      <c r="F35185" s="102" t="str">
        <f ca="1">IFERROR(__xludf.DUMMYFUNCTION("IMPORTRANGE(H35185,""IDENTITAS UNIT!D9"")"),"#N/A")</f>
        <v>#N/A</v>
      </c>
      <c r="H35185" s="4" t="str">
        <v/>
      </c>
      <c r="I35185" s="4" t="str">
        <v/>
      </c>
    </row>
    <row r="35186" spans="5:9" ht="16.5" hidden="1">
      <c r="E35186" s="4" t="str">
        <v/>
      </c>
      <c r="F35186" s="102" t="str">
        <f ca="1">IFERROR(__xludf.DUMMYFUNCTION("IMPORTRANGE(H35186,""IDENTITAS UNIT!D9"")"),"#N/A")</f>
        <v>#N/A</v>
      </c>
      <c r="H35186" s="4" t="str">
        <v/>
      </c>
      <c r="I35186" s="4" t="str">
        <v/>
      </c>
    </row>
    <row r="35187" spans="5:9" ht="16.5" hidden="1">
      <c r="E35187" s="4" t="str">
        <v/>
      </c>
      <c r="F35187" s="102" t="str">
        <f ca="1">IFERROR(__xludf.DUMMYFUNCTION("IMPORTRANGE(H35187,""IDENTITAS UNIT!D9"")"),"#N/A")</f>
        <v>#N/A</v>
      </c>
      <c r="H35187" s="4" t="str">
        <v/>
      </c>
      <c r="I35187" s="4" t="str">
        <v/>
      </c>
    </row>
    <row r="35188" spans="5:9" ht="16.5" hidden="1">
      <c r="E35188" s="4" t="str">
        <v/>
      </c>
      <c r="F35188" s="102" t="str">
        <f ca="1">IFERROR(__xludf.DUMMYFUNCTION("IMPORTRANGE(H35188,""IDENTITAS UNIT!D9"")"),"#N/A")</f>
        <v>#N/A</v>
      </c>
      <c r="H35188" s="4" t="str">
        <v/>
      </c>
      <c r="I35188" s="4" t="str">
        <v/>
      </c>
    </row>
    <row r="35189" spans="5:9" ht="16.5" hidden="1">
      <c r="E35189" s="4" t="str">
        <v/>
      </c>
      <c r="F35189" s="102" t="str">
        <f ca="1">IFERROR(__xludf.DUMMYFUNCTION("IMPORTRANGE(H35189,""IDENTITAS UNIT!D9"")"),"#N/A")</f>
        <v>#N/A</v>
      </c>
      <c r="H35189" s="4" t="str">
        <v/>
      </c>
      <c r="I35189" s="4" t="str">
        <v/>
      </c>
    </row>
    <row r="35190" spans="5:9" ht="16.5" hidden="1">
      <c r="E35190" s="4" t="str">
        <v/>
      </c>
      <c r="F35190" s="102" t="str">
        <f ca="1">IFERROR(__xludf.DUMMYFUNCTION("IMPORTRANGE(H35190,""IDENTITAS UNIT!D9"")"),"#N/A")</f>
        <v>#N/A</v>
      </c>
      <c r="H35190" s="4" t="str">
        <v/>
      </c>
      <c r="I35190" s="4" t="str">
        <v/>
      </c>
    </row>
    <row r="35191" spans="5:9" ht="16.5" hidden="1">
      <c r="E35191" s="4" t="str">
        <v/>
      </c>
      <c r="F35191" s="102" t="str">
        <f ca="1">IFERROR(__xludf.DUMMYFUNCTION("IMPORTRANGE(H35191,""IDENTITAS UNIT!D9"")"),"#N/A")</f>
        <v>#N/A</v>
      </c>
      <c r="H35191" s="4" t="str">
        <v/>
      </c>
      <c r="I35191" s="4" t="str">
        <v/>
      </c>
    </row>
    <row r="35192" spans="5:9" ht="16.5" hidden="1">
      <c r="E35192" s="4" t="str">
        <v/>
      </c>
      <c r="F35192" s="102" t="str">
        <f ca="1">IFERROR(__xludf.DUMMYFUNCTION("IMPORTRANGE(H35192,""IDENTITAS UNIT!D9"")"),"#N/A")</f>
        <v>#N/A</v>
      </c>
      <c r="H35192" s="4" t="str">
        <v/>
      </c>
      <c r="I35192" s="4" t="str">
        <v/>
      </c>
    </row>
    <row r="35193" spans="5:9" ht="16.5" hidden="1">
      <c r="E35193" s="4" t="str">
        <v/>
      </c>
      <c r="F35193" s="102" t="str">
        <f ca="1">IFERROR(__xludf.DUMMYFUNCTION("IMPORTRANGE(H35193,""IDENTITAS UNIT!D9"")"),"#N/A")</f>
        <v>#N/A</v>
      </c>
      <c r="H35193" s="4" t="str">
        <v/>
      </c>
      <c r="I35193" s="4" t="str">
        <v/>
      </c>
    </row>
    <row r="35194" spans="5:9" ht="16.5" hidden="1">
      <c r="E35194" s="4" t="str">
        <v/>
      </c>
      <c r="F35194" s="102" t="str">
        <f ca="1">IFERROR(__xludf.DUMMYFUNCTION("IMPORTRANGE(H35194,""IDENTITAS UNIT!D9"")"),"#N/A")</f>
        <v>#N/A</v>
      </c>
      <c r="H35194" s="4" t="str">
        <v/>
      </c>
      <c r="I35194" s="4" t="str">
        <v/>
      </c>
    </row>
    <row r="35195" spans="5:9" ht="16.5" hidden="1">
      <c r="E35195" s="4" t="str">
        <v/>
      </c>
      <c r="F35195" s="102" t="str">
        <f ca="1">IFERROR(__xludf.DUMMYFUNCTION("IMPORTRANGE(H35195,""IDENTITAS UNIT!D9"")"),"#N/A")</f>
        <v>#N/A</v>
      </c>
      <c r="H35195" s="4" t="str">
        <v/>
      </c>
      <c r="I35195" s="4" t="str">
        <v/>
      </c>
    </row>
    <row r="35196" spans="5:9" ht="16.5" hidden="1">
      <c r="E35196" s="4" t="str">
        <v/>
      </c>
      <c r="F35196" s="102" t="str">
        <f ca="1">IFERROR(__xludf.DUMMYFUNCTION("IMPORTRANGE(H35196,""IDENTITAS UNIT!D9"")"),"#N/A")</f>
        <v>#N/A</v>
      </c>
      <c r="H35196" s="4" t="str">
        <v/>
      </c>
      <c r="I35196" s="4" t="str">
        <v/>
      </c>
    </row>
    <row r="35197" spans="5:9" ht="16.5" hidden="1">
      <c r="E35197" s="4" t="str">
        <v/>
      </c>
      <c r="F35197" s="102" t="str">
        <f ca="1">IFERROR(__xludf.DUMMYFUNCTION("IMPORTRANGE(H35197,""IDENTITAS UNIT!D9"")"),"#N/A")</f>
        <v>#N/A</v>
      </c>
      <c r="H35197" s="4" t="str">
        <v/>
      </c>
      <c r="I35197" s="4" t="str">
        <v/>
      </c>
    </row>
    <row r="35198" spans="5:9" ht="16.5" hidden="1">
      <c r="E35198" s="4" t="str">
        <v/>
      </c>
      <c r="F35198" s="102" t="str">
        <f ca="1">IFERROR(__xludf.DUMMYFUNCTION("IMPORTRANGE(H35198,""IDENTITAS UNIT!D9"")"),"#N/A")</f>
        <v>#N/A</v>
      </c>
      <c r="H35198" s="4" t="str">
        <v/>
      </c>
      <c r="I35198" s="4" t="str">
        <v/>
      </c>
    </row>
    <row r="35199" spans="5:9" ht="16.5" hidden="1">
      <c r="E35199" s="4" t="str">
        <v/>
      </c>
      <c r="F35199" s="102" t="str">
        <f ca="1">IFERROR(__xludf.DUMMYFUNCTION("IMPORTRANGE(H35199,""IDENTITAS UNIT!D9"")"),"#N/A")</f>
        <v>#N/A</v>
      </c>
      <c r="H35199" s="4" t="str">
        <v/>
      </c>
      <c r="I35199" s="4" t="str">
        <v/>
      </c>
    </row>
    <row r="35200" spans="5:9" ht="16.5" hidden="1">
      <c r="E35200" s="4" t="str">
        <v/>
      </c>
      <c r="F35200" s="102" t="str">
        <f ca="1">IFERROR(__xludf.DUMMYFUNCTION("IMPORTRANGE(H35200,""IDENTITAS UNIT!D9"")"),"#N/A")</f>
        <v>#N/A</v>
      </c>
      <c r="H35200" s="4" t="str">
        <v/>
      </c>
      <c r="I35200" s="4" t="str">
        <v/>
      </c>
    </row>
    <row r="35201" spans="5:9" ht="16.5" hidden="1">
      <c r="E35201" s="4" t="str">
        <v/>
      </c>
      <c r="F35201" s="102" t="str">
        <f ca="1">IFERROR(__xludf.DUMMYFUNCTION("IMPORTRANGE(H35201,""IDENTITAS UNIT!D9"")"),"#N/A")</f>
        <v>#N/A</v>
      </c>
      <c r="H35201" s="4" t="str">
        <v/>
      </c>
      <c r="I35201" s="4" t="str">
        <v/>
      </c>
    </row>
    <row r="35202" spans="5:9" ht="16.5" hidden="1">
      <c r="E35202" s="4" t="str">
        <v/>
      </c>
      <c r="F35202" s="102" t="str">
        <f ca="1">IFERROR(__xludf.DUMMYFUNCTION("IMPORTRANGE(H35202,""IDENTITAS UNIT!D9"")"),"#N/A")</f>
        <v>#N/A</v>
      </c>
      <c r="H35202" s="4" t="str">
        <v/>
      </c>
      <c r="I35202" s="4" t="str">
        <v/>
      </c>
    </row>
    <row r="35203" spans="5:9" ht="16.5" hidden="1">
      <c r="E35203" s="4" t="str">
        <v/>
      </c>
      <c r="F35203" s="102" t="str">
        <f ca="1">IFERROR(__xludf.DUMMYFUNCTION("IMPORTRANGE(H35203,""IDENTITAS UNIT!D9"")"),"#N/A")</f>
        <v>#N/A</v>
      </c>
      <c r="H35203" s="4" t="str">
        <v/>
      </c>
      <c r="I35203" s="4" t="str">
        <v/>
      </c>
    </row>
    <row r="35204" spans="5:9" ht="16.5" hidden="1">
      <c r="E35204" s="4" t="str">
        <v/>
      </c>
      <c r="F35204" s="102" t="str">
        <f ca="1">IFERROR(__xludf.DUMMYFUNCTION("IMPORTRANGE(H35204,""IDENTITAS UNIT!D9"")"),"#N/A")</f>
        <v>#N/A</v>
      </c>
      <c r="H35204" s="4" t="str">
        <v/>
      </c>
      <c r="I35204" s="4" t="str">
        <v/>
      </c>
    </row>
    <row r="35205" spans="5:9" ht="16.5" hidden="1">
      <c r="E35205" s="4" t="str">
        <v/>
      </c>
      <c r="F35205" s="102" t="str">
        <f ca="1">IFERROR(__xludf.DUMMYFUNCTION("IMPORTRANGE(H35205,""IDENTITAS UNIT!D9"")"),"#N/A")</f>
        <v>#N/A</v>
      </c>
      <c r="H35205" s="4" t="str">
        <v/>
      </c>
      <c r="I35205" s="4" t="str">
        <v/>
      </c>
    </row>
    <row r="35206" spans="5:9" ht="16.5" hidden="1">
      <c r="E35206" s="4" t="str">
        <v/>
      </c>
      <c r="F35206" s="102" t="str">
        <f ca="1">IFERROR(__xludf.DUMMYFUNCTION("IMPORTRANGE(H35206,""IDENTITAS UNIT!D9"")"),"#N/A")</f>
        <v>#N/A</v>
      </c>
      <c r="H35206" s="4" t="str">
        <v/>
      </c>
      <c r="I35206" s="4" t="str">
        <v/>
      </c>
    </row>
    <row r="35207" spans="5:9" ht="16.5" hidden="1">
      <c r="E35207" s="4" t="str">
        <v/>
      </c>
      <c r="F35207" s="102" t="str">
        <f ca="1">IFERROR(__xludf.DUMMYFUNCTION("IMPORTRANGE(H35207,""IDENTITAS UNIT!D9"")"),"#N/A")</f>
        <v>#N/A</v>
      </c>
      <c r="H35207" s="4" t="str">
        <v/>
      </c>
      <c r="I35207" s="4" t="str">
        <v/>
      </c>
    </row>
    <row r="35208" spans="5:9" ht="16.5" hidden="1">
      <c r="E35208" s="4" t="str">
        <v/>
      </c>
      <c r="F35208" s="102" t="str">
        <f ca="1">IFERROR(__xludf.DUMMYFUNCTION("IMPORTRANGE(H35208,""IDENTITAS UNIT!D9"")"),"#N/A")</f>
        <v>#N/A</v>
      </c>
      <c r="H35208" s="4" t="str">
        <v/>
      </c>
      <c r="I35208" s="4" t="str">
        <v/>
      </c>
    </row>
    <row r="35209" spans="5:9" ht="16.5" hidden="1">
      <c r="E35209" s="4" t="str">
        <v/>
      </c>
      <c r="F35209" s="102" t="str">
        <f ca="1">IFERROR(__xludf.DUMMYFUNCTION("IMPORTRANGE(H35209,""IDENTITAS UNIT!D9"")"),"#N/A")</f>
        <v>#N/A</v>
      </c>
      <c r="H35209" s="4" t="str">
        <v/>
      </c>
      <c r="I35209" s="4" t="str">
        <v/>
      </c>
    </row>
    <row r="35210" spans="5:9" ht="16.5" hidden="1">
      <c r="E35210" s="4" t="str">
        <v/>
      </c>
      <c r="F35210" s="102" t="str">
        <f ca="1">IFERROR(__xludf.DUMMYFUNCTION("IMPORTRANGE(H35210,""IDENTITAS UNIT!D9"")"),"#N/A")</f>
        <v>#N/A</v>
      </c>
      <c r="H35210" s="4" t="str">
        <v/>
      </c>
      <c r="I35210" s="4" t="str">
        <v/>
      </c>
    </row>
    <row r="35211" spans="5:9" ht="16.5" hidden="1">
      <c r="E35211" s="4" t="str">
        <v/>
      </c>
      <c r="F35211" s="102" t="str">
        <f ca="1">IFERROR(__xludf.DUMMYFUNCTION("IMPORTRANGE(H35211,""IDENTITAS UNIT!D9"")"),"#N/A")</f>
        <v>#N/A</v>
      </c>
      <c r="H35211" s="4" t="str">
        <v/>
      </c>
      <c r="I35211" s="4" t="str">
        <v/>
      </c>
    </row>
    <row r="35212" spans="5:9" ht="16.5" hidden="1">
      <c r="E35212" s="4" t="str">
        <v/>
      </c>
      <c r="F35212" s="102" t="str">
        <f ca="1">IFERROR(__xludf.DUMMYFUNCTION("IMPORTRANGE(H35212,""IDENTITAS UNIT!D9"")"),"#N/A")</f>
        <v>#N/A</v>
      </c>
      <c r="H35212" s="4" t="str">
        <v/>
      </c>
      <c r="I35212" s="4" t="str">
        <v/>
      </c>
    </row>
    <row r="35213" spans="5:9" ht="16.5" hidden="1">
      <c r="E35213" s="4" t="str">
        <v/>
      </c>
      <c r="F35213" s="102" t="str">
        <f ca="1">IFERROR(__xludf.DUMMYFUNCTION("IMPORTRANGE(H35213,""IDENTITAS UNIT!D9"")"),"#N/A")</f>
        <v>#N/A</v>
      </c>
      <c r="H35213" s="4" t="str">
        <v/>
      </c>
      <c r="I35213" s="4" t="str">
        <v/>
      </c>
    </row>
    <row r="35214" spans="5:9" ht="16.5" hidden="1">
      <c r="E35214" s="4" t="str">
        <v/>
      </c>
      <c r="F35214" s="102" t="str">
        <f ca="1">IFERROR(__xludf.DUMMYFUNCTION("IMPORTRANGE(H35214,""IDENTITAS UNIT!D9"")"),"#N/A")</f>
        <v>#N/A</v>
      </c>
      <c r="H35214" s="4" t="str">
        <v/>
      </c>
      <c r="I35214" s="4" t="str">
        <v/>
      </c>
    </row>
    <row r="35215" spans="5:9" ht="16.5" hidden="1">
      <c r="E35215" s="4" t="str">
        <v/>
      </c>
      <c r="F35215" s="102" t="str">
        <f ca="1">IFERROR(__xludf.DUMMYFUNCTION("IMPORTRANGE(H35215,""IDENTITAS UNIT!D9"")"),"#N/A")</f>
        <v>#N/A</v>
      </c>
      <c r="H35215" s="4" t="str">
        <v/>
      </c>
      <c r="I35215" s="4" t="str">
        <v/>
      </c>
    </row>
    <row r="35216" spans="5:9" ht="16.5" hidden="1">
      <c r="E35216" s="4" t="str">
        <v/>
      </c>
      <c r="F35216" s="102" t="str">
        <f ca="1">IFERROR(__xludf.DUMMYFUNCTION("IMPORTRANGE(H35216,""IDENTITAS UNIT!D9"")"),"#N/A")</f>
        <v>#N/A</v>
      </c>
      <c r="H35216" s="4" t="str">
        <v/>
      </c>
      <c r="I35216" s="4" t="str">
        <v/>
      </c>
    </row>
    <row r="35217" spans="5:9" ht="16.5" hidden="1">
      <c r="E35217" s="4" t="str">
        <v/>
      </c>
      <c r="F35217" s="102" t="str">
        <f ca="1">IFERROR(__xludf.DUMMYFUNCTION("IMPORTRANGE(H35217,""IDENTITAS UNIT!D9"")"),"#N/A")</f>
        <v>#N/A</v>
      </c>
      <c r="H35217" s="4" t="str">
        <v/>
      </c>
      <c r="I35217" s="4" t="str">
        <v/>
      </c>
    </row>
    <row r="35218" spans="5:9" ht="16.5" hidden="1">
      <c r="E35218" s="4" t="str">
        <v/>
      </c>
      <c r="F35218" s="102" t="str">
        <f ca="1">IFERROR(__xludf.DUMMYFUNCTION("IMPORTRANGE(H35218,""IDENTITAS UNIT!D9"")"),"#N/A")</f>
        <v>#N/A</v>
      </c>
      <c r="H35218" s="4" t="str">
        <v/>
      </c>
      <c r="I35218" s="4" t="str">
        <v/>
      </c>
    </row>
    <row r="35219" spans="5:9" ht="16.5" hidden="1">
      <c r="E35219" s="4" t="str">
        <v/>
      </c>
      <c r="F35219" s="102" t="str">
        <f ca="1">IFERROR(__xludf.DUMMYFUNCTION("IMPORTRANGE(H35219,""IDENTITAS UNIT!D9"")"),"#N/A")</f>
        <v>#N/A</v>
      </c>
      <c r="H35219" s="4" t="str">
        <v/>
      </c>
      <c r="I35219" s="4" t="str">
        <v/>
      </c>
    </row>
    <row r="35220" spans="5:9" ht="16.5" hidden="1">
      <c r="E35220" s="4" t="str">
        <v/>
      </c>
      <c r="F35220" s="102" t="str">
        <f ca="1">IFERROR(__xludf.DUMMYFUNCTION("IMPORTRANGE(H35220,""IDENTITAS UNIT!D9"")"),"#N/A")</f>
        <v>#N/A</v>
      </c>
      <c r="H35220" s="4" t="str">
        <v/>
      </c>
      <c r="I35220" s="4" t="str">
        <v/>
      </c>
    </row>
    <row r="35221" spans="5:9" ht="16.5" hidden="1">
      <c r="E35221" s="4" t="str">
        <v/>
      </c>
      <c r="F35221" s="102" t="str">
        <f ca="1">IFERROR(__xludf.DUMMYFUNCTION("IMPORTRANGE(H35221,""IDENTITAS UNIT!D9"")"),"#N/A")</f>
        <v>#N/A</v>
      </c>
      <c r="H35221" s="4" t="str">
        <v/>
      </c>
      <c r="I35221" s="4" t="str">
        <v/>
      </c>
    </row>
    <row r="35222" spans="5:9" ht="16.5" hidden="1">
      <c r="E35222" s="4" t="str">
        <v/>
      </c>
      <c r="F35222" s="102" t="str">
        <f ca="1">IFERROR(__xludf.DUMMYFUNCTION("IMPORTRANGE(H35222,""IDENTITAS UNIT!D9"")"),"#N/A")</f>
        <v>#N/A</v>
      </c>
      <c r="H35222" s="4" t="str">
        <v/>
      </c>
      <c r="I35222" s="4" t="str">
        <v/>
      </c>
    </row>
    <row r="35223" spans="5:9" ht="16.5" hidden="1">
      <c r="E35223" s="4" t="str">
        <v/>
      </c>
      <c r="F35223" s="102" t="str">
        <f ca="1">IFERROR(__xludf.DUMMYFUNCTION("IMPORTRANGE(H35223,""IDENTITAS UNIT!D9"")"),"#N/A")</f>
        <v>#N/A</v>
      </c>
      <c r="H35223" s="4" t="str">
        <v/>
      </c>
      <c r="I35223" s="4" t="str">
        <v/>
      </c>
    </row>
    <row r="35224" spans="5:9" ht="16.5" hidden="1">
      <c r="E35224" s="4" t="str">
        <v/>
      </c>
      <c r="F35224" s="102" t="str">
        <f ca="1">IFERROR(__xludf.DUMMYFUNCTION("IMPORTRANGE(H35224,""IDENTITAS UNIT!D9"")"),"#N/A")</f>
        <v>#N/A</v>
      </c>
      <c r="H35224" s="4" t="str">
        <v/>
      </c>
      <c r="I35224" s="4" t="str">
        <v/>
      </c>
    </row>
    <row r="35225" spans="5:9" ht="16.5" hidden="1">
      <c r="E35225" s="4" t="str">
        <v/>
      </c>
      <c r="F35225" s="102" t="str">
        <f ca="1">IFERROR(__xludf.DUMMYFUNCTION("IMPORTRANGE(H35225,""IDENTITAS UNIT!D9"")"),"#N/A")</f>
        <v>#N/A</v>
      </c>
      <c r="H35225" s="4" t="str">
        <v/>
      </c>
      <c r="I35225" s="4" t="str">
        <v/>
      </c>
    </row>
    <row r="35226" spans="5:9" ht="16.5" hidden="1">
      <c r="E35226" s="4" t="str">
        <v/>
      </c>
      <c r="F35226" s="102" t="str">
        <f ca="1">IFERROR(__xludf.DUMMYFUNCTION("IMPORTRANGE(H35226,""IDENTITAS UNIT!D9"")"),"#N/A")</f>
        <v>#N/A</v>
      </c>
      <c r="H35226" s="4" t="str">
        <v/>
      </c>
      <c r="I35226" s="4" t="str">
        <v/>
      </c>
    </row>
    <row r="35227" spans="5:9" ht="16.5" hidden="1">
      <c r="E35227" s="4" t="str">
        <v/>
      </c>
      <c r="F35227" s="102" t="str">
        <f ca="1">IFERROR(__xludf.DUMMYFUNCTION("IMPORTRANGE(H35227,""IDENTITAS UNIT!D9"")"),"#N/A")</f>
        <v>#N/A</v>
      </c>
      <c r="H35227" s="4" t="str">
        <v/>
      </c>
      <c r="I35227" s="4" t="str">
        <v/>
      </c>
    </row>
    <row r="35228" spans="5:9" ht="16.5" hidden="1">
      <c r="E35228" s="4" t="str">
        <v/>
      </c>
      <c r="F35228" s="102" t="str">
        <f ca="1">IFERROR(__xludf.DUMMYFUNCTION("IMPORTRANGE(H35228,""IDENTITAS UNIT!D9"")"),"#N/A")</f>
        <v>#N/A</v>
      </c>
      <c r="H35228" s="4" t="str">
        <v/>
      </c>
      <c r="I35228" s="4" t="str">
        <v/>
      </c>
    </row>
    <row r="35229" spans="5:9" ht="16.5" hidden="1">
      <c r="E35229" s="4" t="str">
        <v/>
      </c>
      <c r="F35229" s="102" t="str">
        <f ca="1">IFERROR(__xludf.DUMMYFUNCTION("IMPORTRANGE(H35229,""IDENTITAS UNIT!D9"")"),"#N/A")</f>
        <v>#N/A</v>
      </c>
      <c r="H35229" s="4" t="str">
        <v/>
      </c>
      <c r="I35229" s="4" t="str">
        <v/>
      </c>
    </row>
    <row r="35230" spans="5:9" ht="16.5" hidden="1">
      <c r="E35230" s="4" t="str">
        <v/>
      </c>
      <c r="F35230" s="102" t="str">
        <f ca="1">IFERROR(__xludf.DUMMYFUNCTION("IMPORTRANGE(H35230,""IDENTITAS UNIT!D9"")"),"#N/A")</f>
        <v>#N/A</v>
      </c>
      <c r="H35230" s="4" t="str">
        <v/>
      </c>
      <c r="I35230" s="4" t="str">
        <v/>
      </c>
    </row>
    <row r="35231" spans="5:9" ht="16.5" hidden="1">
      <c r="E35231" s="4" t="str">
        <v/>
      </c>
      <c r="F35231" s="102" t="str">
        <f ca="1">IFERROR(__xludf.DUMMYFUNCTION("IMPORTRANGE(H35231,""IDENTITAS UNIT!D9"")"),"#N/A")</f>
        <v>#N/A</v>
      </c>
      <c r="H35231" s="4" t="str">
        <v/>
      </c>
      <c r="I35231" s="4" t="str">
        <v/>
      </c>
    </row>
    <row r="35232" spans="5:9" ht="16.5" hidden="1">
      <c r="E35232" s="4" t="str">
        <v/>
      </c>
      <c r="F35232" s="102" t="str">
        <f ca="1">IFERROR(__xludf.DUMMYFUNCTION("IMPORTRANGE(H35232,""IDENTITAS UNIT!D9"")"),"#N/A")</f>
        <v>#N/A</v>
      </c>
      <c r="H35232" s="4" t="str">
        <v/>
      </c>
      <c r="I35232" s="4" t="str">
        <v/>
      </c>
    </row>
    <row r="35233" spans="5:9" ht="16.5" hidden="1">
      <c r="E35233" s="4" t="str">
        <v/>
      </c>
      <c r="F35233" s="102" t="str">
        <f ca="1">IFERROR(__xludf.DUMMYFUNCTION("IMPORTRANGE(H35233,""IDENTITAS UNIT!D9"")"),"#N/A")</f>
        <v>#N/A</v>
      </c>
      <c r="H35233" s="4" t="str">
        <v/>
      </c>
      <c r="I35233" s="4" t="str">
        <v/>
      </c>
    </row>
    <row r="35234" spans="5:9" ht="16.5" hidden="1">
      <c r="E35234" s="4" t="str">
        <v/>
      </c>
      <c r="F35234" s="102" t="str">
        <f ca="1">IFERROR(__xludf.DUMMYFUNCTION("IMPORTRANGE(H35234,""IDENTITAS UNIT!D9"")"),"#N/A")</f>
        <v>#N/A</v>
      </c>
      <c r="H35234" s="4" t="str">
        <v/>
      </c>
      <c r="I35234" s="4" t="str">
        <v/>
      </c>
    </row>
    <row r="35235" spans="5:9" ht="16.5" hidden="1">
      <c r="E35235" s="4" t="str">
        <v/>
      </c>
      <c r="F35235" s="102" t="str">
        <f ca="1">IFERROR(__xludf.DUMMYFUNCTION("IMPORTRANGE(H35235,""IDENTITAS UNIT!D9"")"),"#N/A")</f>
        <v>#N/A</v>
      </c>
      <c r="H35235" s="4" t="str">
        <v/>
      </c>
      <c r="I35235" s="4" t="str">
        <v/>
      </c>
    </row>
    <row r="35236" spans="5:9" ht="16.5" hidden="1">
      <c r="E35236" s="4" t="str">
        <v/>
      </c>
      <c r="F35236" s="102" t="str">
        <f ca="1">IFERROR(__xludf.DUMMYFUNCTION("IMPORTRANGE(H35236,""IDENTITAS UNIT!D9"")"),"#N/A")</f>
        <v>#N/A</v>
      </c>
      <c r="H35236" s="4" t="str">
        <v/>
      </c>
      <c r="I35236" s="4" t="str">
        <v/>
      </c>
    </row>
    <row r="35237" spans="5:9" ht="16.5" hidden="1">
      <c r="E35237" s="4" t="str">
        <v/>
      </c>
      <c r="F35237" s="102" t="str">
        <f ca="1">IFERROR(__xludf.DUMMYFUNCTION("IMPORTRANGE(H35237,""IDENTITAS UNIT!D9"")"),"#N/A")</f>
        <v>#N/A</v>
      </c>
      <c r="H35237" s="4" t="str">
        <v/>
      </c>
      <c r="I35237" s="4" t="str">
        <v/>
      </c>
    </row>
    <row r="35238" spans="5:9" ht="16.5" hidden="1">
      <c r="E35238" s="4" t="str">
        <v/>
      </c>
      <c r="F35238" s="102" t="str">
        <f ca="1">IFERROR(__xludf.DUMMYFUNCTION("IMPORTRANGE(H35238,""IDENTITAS UNIT!D9"")"),"#N/A")</f>
        <v>#N/A</v>
      </c>
      <c r="H35238" s="4" t="str">
        <v/>
      </c>
      <c r="I35238" s="4" t="str">
        <v/>
      </c>
    </row>
    <row r="35239" spans="5:9" ht="16.5" hidden="1">
      <c r="E35239" s="4" t="str">
        <v/>
      </c>
      <c r="F35239" s="102" t="str">
        <f ca="1">IFERROR(__xludf.DUMMYFUNCTION("IMPORTRANGE(H35239,""IDENTITAS UNIT!D9"")"),"#N/A")</f>
        <v>#N/A</v>
      </c>
      <c r="H35239" s="4" t="str">
        <v/>
      </c>
      <c r="I35239" s="4" t="str">
        <v/>
      </c>
    </row>
    <row r="35240" spans="5:9" ht="16.5" hidden="1">
      <c r="E35240" s="4" t="str">
        <v/>
      </c>
      <c r="F35240" s="102" t="str">
        <f ca="1">IFERROR(__xludf.DUMMYFUNCTION("IMPORTRANGE(H35240,""IDENTITAS UNIT!D9"")"),"#N/A")</f>
        <v>#N/A</v>
      </c>
      <c r="H35240" s="4" t="str">
        <v/>
      </c>
      <c r="I35240" s="4" t="str">
        <v/>
      </c>
    </row>
    <row r="35241" spans="5:9" ht="16.5" hidden="1">
      <c r="E35241" s="4" t="str">
        <v/>
      </c>
      <c r="F35241" s="102" t="str">
        <f ca="1">IFERROR(__xludf.DUMMYFUNCTION("IMPORTRANGE(H35241,""IDENTITAS UNIT!D9"")"),"#N/A")</f>
        <v>#N/A</v>
      </c>
      <c r="H35241" s="4" t="str">
        <v/>
      </c>
      <c r="I35241" s="4" t="str">
        <v/>
      </c>
    </row>
    <row r="35242" spans="5:9" ht="16.5" hidden="1">
      <c r="E35242" s="4" t="str">
        <v/>
      </c>
      <c r="F35242" s="102" t="str">
        <f ca="1">IFERROR(__xludf.DUMMYFUNCTION("IMPORTRANGE(H35242,""IDENTITAS UNIT!D9"")"),"#N/A")</f>
        <v>#N/A</v>
      </c>
      <c r="H35242" s="4" t="str">
        <v/>
      </c>
      <c r="I35242" s="4" t="str">
        <v/>
      </c>
    </row>
    <row r="35243" spans="5:9" ht="16.5" hidden="1">
      <c r="E35243" s="4" t="str">
        <v/>
      </c>
      <c r="F35243" s="102" t="str">
        <f ca="1">IFERROR(__xludf.DUMMYFUNCTION("IMPORTRANGE(H35243,""IDENTITAS UNIT!D9"")"),"#N/A")</f>
        <v>#N/A</v>
      </c>
      <c r="H35243" s="4" t="str">
        <v/>
      </c>
      <c r="I35243" s="4" t="str">
        <v/>
      </c>
    </row>
    <row r="35244" spans="5:9" ht="16.5" hidden="1">
      <c r="E35244" s="4" t="str">
        <v/>
      </c>
      <c r="F35244" s="102" t="str">
        <f ca="1">IFERROR(__xludf.DUMMYFUNCTION("IMPORTRANGE(H35244,""IDENTITAS UNIT!D9"")"),"#N/A")</f>
        <v>#N/A</v>
      </c>
      <c r="H35244" s="4" t="str">
        <v/>
      </c>
      <c r="I35244" s="4" t="str">
        <v/>
      </c>
    </row>
    <row r="35245" spans="5:9" ht="16.5" hidden="1">
      <c r="E35245" s="4" t="str">
        <v/>
      </c>
      <c r="F35245" s="102" t="str">
        <f ca="1">IFERROR(__xludf.DUMMYFUNCTION("IMPORTRANGE(H35245,""IDENTITAS UNIT!D9"")"),"#N/A")</f>
        <v>#N/A</v>
      </c>
      <c r="H35245" s="4" t="str">
        <v/>
      </c>
      <c r="I35245" s="4" t="str">
        <v/>
      </c>
    </row>
    <row r="35246" spans="5:9" ht="16.5" hidden="1">
      <c r="E35246" s="4" t="str">
        <v/>
      </c>
      <c r="F35246" s="102" t="str">
        <f ca="1">IFERROR(__xludf.DUMMYFUNCTION("IMPORTRANGE(H35246,""IDENTITAS UNIT!D9"")"),"#N/A")</f>
        <v>#N/A</v>
      </c>
      <c r="H35246" s="4" t="str">
        <v/>
      </c>
      <c r="I35246" s="4" t="str">
        <v/>
      </c>
    </row>
    <row r="35247" spans="5:9" ht="16.5" hidden="1">
      <c r="E35247" s="4" t="str">
        <v/>
      </c>
      <c r="F35247" s="102" t="str">
        <f ca="1">IFERROR(__xludf.DUMMYFUNCTION("IMPORTRANGE(H35247,""IDENTITAS UNIT!D9"")"),"#N/A")</f>
        <v>#N/A</v>
      </c>
      <c r="H35247" s="4" t="str">
        <v/>
      </c>
      <c r="I35247" s="4" t="str">
        <v/>
      </c>
    </row>
    <row r="35248" spans="5:9" ht="16.5" hidden="1">
      <c r="E35248" s="4" t="str">
        <v/>
      </c>
      <c r="F35248" s="102" t="str">
        <f ca="1">IFERROR(__xludf.DUMMYFUNCTION("IMPORTRANGE(H35248,""IDENTITAS UNIT!D9"")"),"#N/A")</f>
        <v>#N/A</v>
      </c>
      <c r="H35248" s="4" t="str">
        <v/>
      </c>
      <c r="I35248" s="4" t="str">
        <v/>
      </c>
    </row>
    <row r="35249" spans="5:9" ht="16.5" hidden="1">
      <c r="E35249" s="4" t="str">
        <v/>
      </c>
      <c r="F35249" s="102" t="str">
        <f ca="1">IFERROR(__xludf.DUMMYFUNCTION("IMPORTRANGE(H35249,""IDENTITAS UNIT!D9"")"),"#N/A")</f>
        <v>#N/A</v>
      </c>
      <c r="H35249" s="4" t="str">
        <v/>
      </c>
      <c r="I35249" s="4" t="str">
        <v/>
      </c>
    </row>
    <row r="35250" spans="5:9" ht="16.5" hidden="1">
      <c r="E35250" s="4" t="str">
        <v/>
      </c>
      <c r="F35250" s="102" t="str">
        <f ca="1">IFERROR(__xludf.DUMMYFUNCTION("IMPORTRANGE(H35250,""IDENTITAS UNIT!D9"")"),"#N/A")</f>
        <v>#N/A</v>
      </c>
      <c r="H35250" s="4" t="str">
        <v/>
      </c>
      <c r="I35250" s="4" t="str">
        <v/>
      </c>
    </row>
    <row r="35251" spans="5:9" ht="16.5" hidden="1">
      <c r="E35251" s="4" t="str">
        <v/>
      </c>
      <c r="F35251" s="102" t="str">
        <f ca="1">IFERROR(__xludf.DUMMYFUNCTION("IMPORTRANGE(H35251,""IDENTITAS UNIT!D9"")"),"#N/A")</f>
        <v>#N/A</v>
      </c>
      <c r="H35251" s="4" t="str">
        <v/>
      </c>
      <c r="I35251" s="4" t="str">
        <v/>
      </c>
    </row>
    <row r="35252" spans="5:9" ht="16.5" hidden="1">
      <c r="E35252" s="4" t="str">
        <v/>
      </c>
      <c r="F35252" s="102" t="str">
        <f ca="1">IFERROR(__xludf.DUMMYFUNCTION("IMPORTRANGE(H35252,""IDENTITAS UNIT!D9"")"),"#N/A")</f>
        <v>#N/A</v>
      </c>
      <c r="H35252" s="4" t="str">
        <v/>
      </c>
      <c r="I35252" s="4" t="str">
        <v/>
      </c>
    </row>
    <row r="35253" spans="5:9" ht="16.5" hidden="1">
      <c r="E35253" s="4" t="str">
        <v/>
      </c>
      <c r="F35253" s="102" t="str">
        <f ca="1">IFERROR(__xludf.DUMMYFUNCTION("IMPORTRANGE(H35253,""IDENTITAS UNIT!D9"")"),"#N/A")</f>
        <v>#N/A</v>
      </c>
      <c r="H35253" s="4" t="str">
        <v/>
      </c>
      <c r="I35253" s="4" t="str">
        <v/>
      </c>
    </row>
    <row r="35254" spans="5:9" ht="16.5" hidden="1">
      <c r="E35254" s="4" t="str">
        <v/>
      </c>
      <c r="F35254" s="102" t="str">
        <f ca="1">IFERROR(__xludf.DUMMYFUNCTION("IMPORTRANGE(H35254,""IDENTITAS UNIT!D9"")"),"#N/A")</f>
        <v>#N/A</v>
      </c>
      <c r="H35254" s="4" t="str">
        <v/>
      </c>
      <c r="I35254" s="4" t="str">
        <v/>
      </c>
    </row>
    <row r="35255" spans="5:9" ht="16.5" hidden="1">
      <c r="E35255" s="4" t="str">
        <v/>
      </c>
      <c r="F35255" s="102" t="str">
        <f ca="1">IFERROR(__xludf.DUMMYFUNCTION("IMPORTRANGE(H35255,""IDENTITAS UNIT!D9"")"),"#N/A")</f>
        <v>#N/A</v>
      </c>
      <c r="H35255" s="4" t="str">
        <v/>
      </c>
      <c r="I35255" s="4" t="str">
        <v/>
      </c>
    </row>
    <row r="35256" spans="5:9" ht="16.5" hidden="1">
      <c r="E35256" s="4" t="str">
        <v/>
      </c>
      <c r="F35256" s="102" t="str">
        <f ca="1">IFERROR(__xludf.DUMMYFUNCTION("IMPORTRANGE(H35256,""IDENTITAS UNIT!D9"")"),"#N/A")</f>
        <v>#N/A</v>
      </c>
      <c r="H35256" s="4" t="str">
        <v/>
      </c>
      <c r="I35256" s="4" t="str">
        <v/>
      </c>
    </row>
    <row r="35257" spans="5:9" ht="16.5" hidden="1">
      <c r="E35257" s="4" t="str">
        <v/>
      </c>
      <c r="F35257" s="102" t="str">
        <f ca="1">IFERROR(__xludf.DUMMYFUNCTION("IMPORTRANGE(H35257,""IDENTITAS UNIT!D9"")"),"#N/A")</f>
        <v>#N/A</v>
      </c>
      <c r="H35257" s="4" t="str">
        <v/>
      </c>
      <c r="I35257" s="4" t="str">
        <v/>
      </c>
    </row>
    <row r="35258" spans="5:9" ht="16.5" hidden="1">
      <c r="E35258" s="4" t="str">
        <v/>
      </c>
      <c r="F35258" s="102" t="str">
        <f ca="1">IFERROR(__xludf.DUMMYFUNCTION("IMPORTRANGE(H35258,""IDENTITAS UNIT!D9"")"),"#N/A")</f>
        <v>#N/A</v>
      </c>
      <c r="H35258" s="4" t="str">
        <v/>
      </c>
      <c r="I35258" s="4" t="str">
        <v/>
      </c>
    </row>
    <row r="35259" spans="5:9" ht="16.5" hidden="1">
      <c r="E35259" s="4" t="str">
        <v/>
      </c>
      <c r="F35259" s="102" t="str">
        <f ca="1">IFERROR(__xludf.DUMMYFUNCTION("IMPORTRANGE(H35259,""IDENTITAS UNIT!D9"")"),"#N/A")</f>
        <v>#N/A</v>
      </c>
      <c r="H35259" s="4" t="str">
        <v/>
      </c>
      <c r="I35259" s="4" t="str">
        <v/>
      </c>
    </row>
    <row r="35260" spans="5:9" ht="16.5" hidden="1">
      <c r="E35260" s="4" t="str">
        <v/>
      </c>
      <c r="F35260" s="102" t="str">
        <f ca="1">IFERROR(__xludf.DUMMYFUNCTION("IMPORTRANGE(H35260,""IDENTITAS UNIT!D9"")"),"#N/A")</f>
        <v>#N/A</v>
      </c>
      <c r="H35260" s="4" t="str">
        <v/>
      </c>
      <c r="I35260" s="4" t="str">
        <v/>
      </c>
    </row>
    <row r="35261" spans="5:9" ht="16.5" hidden="1">
      <c r="E35261" s="4" t="str">
        <v/>
      </c>
      <c r="F35261" s="102" t="str">
        <f ca="1">IFERROR(__xludf.DUMMYFUNCTION("IMPORTRANGE(H35261,""IDENTITAS UNIT!D9"")"),"#N/A")</f>
        <v>#N/A</v>
      </c>
      <c r="H35261" s="4" t="str">
        <v/>
      </c>
      <c r="I35261" s="4" t="str">
        <v/>
      </c>
    </row>
    <row r="35262" spans="5:9" ht="16.5" hidden="1">
      <c r="E35262" s="4" t="str">
        <v/>
      </c>
      <c r="F35262" s="102" t="str">
        <f ca="1">IFERROR(__xludf.DUMMYFUNCTION("IMPORTRANGE(H35262,""IDENTITAS UNIT!D9"")"),"#N/A")</f>
        <v>#N/A</v>
      </c>
      <c r="H35262" s="4" t="str">
        <v/>
      </c>
      <c r="I35262" s="4" t="str">
        <v/>
      </c>
    </row>
    <row r="35263" spans="5:9" ht="16.5" hidden="1">
      <c r="E35263" s="4" t="str">
        <v/>
      </c>
      <c r="F35263" s="102" t="str">
        <f ca="1">IFERROR(__xludf.DUMMYFUNCTION("IMPORTRANGE(H35263,""IDENTITAS UNIT!D9"")"),"#N/A")</f>
        <v>#N/A</v>
      </c>
      <c r="H35263" s="4" t="str">
        <v/>
      </c>
      <c r="I35263" s="4" t="str">
        <v/>
      </c>
    </row>
    <row r="35264" spans="5:9" ht="16.5" hidden="1">
      <c r="E35264" s="4" t="str">
        <v/>
      </c>
      <c r="F35264" s="102" t="str">
        <f ca="1">IFERROR(__xludf.DUMMYFUNCTION("IMPORTRANGE(H35264,""IDENTITAS UNIT!D9"")"),"#N/A")</f>
        <v>#N/A</v>
      </c>
      <c r="H35264" s="4" t="str">
        <v/>
      </c>
      <c r="I35264" s="4" t="str">
        <v/>
      </c>
    </row>
    <row r="35265" spans="5:9" ht="16.5" hidden="1">
      <c r="E35265" s="4" t="str">
        <v/>
      </c>
      <c r="F35265" s="102" t="str">
        <f ca="1">IFERROR(__xludf.DUMMYFUNCTION("IMPORTRANGE(H35265,""IDENTITAS UNIT!D9"")"),"#N/A")</f>
        <v>#N/A</v>
      </c>
      <c r="H35265" s="4" t="str">
        <v/>
      </c>
      <c r="I35265" s="4" t="str">
        <v/>
      </c>
    </row>
    <row r="35266" spans="5:9" ht="16.5" hidden="1">
      <c r="E35266" s="4" t="str">
        <v/>
      </c>
      <c r="F35266" s="102" t="str">
        <f ca="1">IFERROR(__xludf.DUMMYFUNCTION("IMPORTRANGE(H35266,""IDENTITAS UNIT!D9"")"),"#N/A")</f>
        <v>#N/A</v>
      </c>
      <c r="H35266" s="4" t="str">
        <v/>
      </c>
      <c r="I35266" s="4" t="str">
        <v/>
      </c>
    </row>
    <row r="35267" spans="5:9" ht="16.5" hidden="1">
      <c r="E35267" s="4" t="str">
        <v/>
      </c>
      <c r="F35267" s="102" t="str">
        <f ca="1">IFERROR(__xludf.DUMMYFUNCTION("IMPORTRANGE(H35267,""IDENTITAS UNIT!D9"")"),"#N/A")</f>
        <v>#N/A</v>
      </c>
      <c r="H35267" s="4" t="str">
        <v/>
      </c>
      <c r="I35267" s="4" t="str">
        <v/>
      </c>
    </row>
    <row r="35268" spans="5:9" ht="16.5" hidden="1">
      <c r="E35268" s="4" t="str">
        <v/>
      </c>
      <c r="F35268" s="102" t="str">
        <f ca="1">IFERROR(__xludf.DUMMYFUNCTION("IMPORTRANGE(H35268,""IDENTITAS UNIT!D9"")"),"#N/A")</f>
        <v>#N/A</v>
      </c>
      <c r="H35268" s="4" t="str">
        <v/>
      </c>
      <c r="I35268" s="4" t="str">
        <v/>
      </c>
    </row>
    <row r="35269" spans="5:9" ht="16.5" hidden="1">
      <c r="E35269" s="4" t="str">
        <v/>
      </c>
      <c r="F35269" s="102" t="str">
        <f ca="1">IFERROR(__xludf.DUMMYFUNCTION("IMPORTRANGE(H35269,""IDENTITAS UNIT!D9"")"),"#N/A")</f>
        <v>#N/A</v>
      </c>
      <c r="H35269" s="4" t="str">
        <v/>
      </c>
      <c r="I35269" s="4" t="str">
        <v/>
      </c>
    </row>
    <row r="35270" spans="5:9" ht="16.5" hidden="1">
      <c r="E35270" s="4" t="str">
        <v/>
      </c>
      <c r="F35270" s="102" t="str">
        <f ca="1">IFERROR(__xludf.DUMMYFUNCTION("IMPORTRANGE(H35270,""IDENTITAS UNIT!D9"")"),"#N/A")</f>
        <v>#N/A</v>
      </c>
      <c r="H35270" s="4" t="str">
        <v/>
      </c>
      <c r="I35270" s="4" t="str">
        <v/>
      </c>
    </row>
    <row r="35271" spans="5:9" ht="16.5" hidden="1">
      <c r="E35271" s="4" t="str">
        <v/>
      </c>
      <c r="F35271" s="102" t="str">
        <f ca="1">IFERROR(__xludf.DUMMYFUNCTION("IMPORTRANGE(H35271,""IDENTITAS UNIT!D9"")"),"#N/A")</f>
        <v>#N/A</v>
      </c>
      <c r="H35271" s="4" t="str">
        <v/>
      </c>
      <c r="I35271" s="4" t="str">
        <v/>
      </c>
    </row>
    <row r="35272" spans="5:9" ht="16.5" hidden="1">
      <c r="E35272" s="4" t="str">
        <v/>
      </c>
      <c r="F35272" s="102" t="str">
        <f ca="1">IFERROR(__xludf.DUMMYFUNCTION("IMPORTRANGE(H35272,""IDENTITAS UNIT!D9"")"),"#N/A")</f>
        <v>#N/A</v>
      </c>
      <c r="H35272" s="4" t="str">
        <v/>
      </c>
      <c r="I35272" s="4" t="str">
        <v/>
      </c>
    </row>
    <row r="35273" spans="5:9" ht="16.5" hidden="1">
      <c r="E35273" s="4" t="str">
        <v/>
      </c>
      <c r="F35273" s="102" t="str">
        <f ca="1">IFERROR(__xludf.DUMMYFUNCTION("IMPORTRANGE(H35273,""IDENTITAS UNIT!D9"")"),"#N/A")</f>
        <v>#N/A</v>
      </c>
      <c r="H35273" s="4" t="str">
        <v/>
      </c>
      <c r="I35273" s="4" t="str">
        <v/>
      </c>
    </row>
    <row r="35274" spans="5:9" ht="16.5" hidden="1">
      <c r="E35274" s="4" t="str">
        <v/>
      </c>
      <c r="F35274" s="102" t="str">
        <f ca="1">IFERROR(__xludf.DUMMYFUNCTION("IMPORTRANGE(H35274,""IDENTITAS UNIT!D9"")"),"#N/A")</f>
        <v>#N/A</v>
      </c>
      <c r="H35274" s="4" t="str">
        <v/>
      </c>
      <c r="I35274" s="4" t="str">
        <v/>
      </c>
    </row>
    <row r="35275" spans="5:9" ht="16.5" hidden="1">
      <c r="E35275" s="4" t="str">
        <v/>
      </c>
      <c r="F35275" s="102" t="str">
        <f ca="1">IFERROR(__xludf.DUMMYFUNCTION("IMPORTRANGE(H35275,""IDENTITAS UNIT!D9"")"),"#N/A")</f>
        <v>#N/A</v>
      </c>
      <c r="H35275" s="4" t="str">
        <v/>
      </c>
      <c r="I35275" s="4" t="str">
        <v/>
      </c>
    </row>
    <row r="35276" spans="5:9" ht="16.5" hidden="1">
      <c r="E35276" s="4" t="str">
        <v/>
      </c>
      <c r="F35276" s="102" t="str">
        <f ca="1">IFERROR(__xludf.DUMMYFUNCTION("IMPORTRANGE(H35276,""IDENTITAS UNIT!D9"")"),"#N/A")</f>
        <v>#N/A</v>
      </c>
      <c r="H35276" s="4" t="str">
        <v/>
      </c>
      <c r="I35276" s="4" t="str">
        <v/>
      </c>
    </row>
    <row r="35277" spans="5:9" ht="16.5" hidden="1">
      <c r="E35277" s="4" t="str">
        <v/>
      </c>
      <c r="F35277" s="102" t="str">
        <f ca="1">IFERROR(__xludf.DUMMYFUNCTION("IMPORTRANGE(H35277,""IDENTITAS UNIT!D9"")"),"#N/A")</f>
        <v>#N/A</v>
      </c>
      <c r="H35277" s="4" t="str">
        <v/>
      </c>
      <c r="I35277" s="4" t="str">
        <v/>
      </c>
    </row>
    <row r="35278" spans="5:9" ht="16.5" hidden="1">
      <c r="E35278" s="4" t="str">
        <v/>
      </c>
      <c r="F35278" s="102" t="str">
        <f ca="1">IFERROR(__xludf.DUMMYFUNCTION("IMPORTRANGE(H35278,""IDENTITAS UNIT!D9"")"),"#N/A")</f>
        <v>#N/A</v>
      </c>
      <c r="H35278" s="4" t="str">
        <v/>
      </c>
      <c r="I35278" s="4" t="str">
        <v/>
      </c>
    </row>
    <row r="35279" spans="5:9" ht="16.5" hidden="1">
      <c r="E35279" s="4" t="str">
        <v/>
      </c>
      <c r="F35279" s="102" t="str">
        <f ca="1">IFERROR(__xludf.DUMMYFUNCTION("IMPORTRANGE(H35279,""IDENTITAS UNIT!D9"")"),"#N/A")</f>
        <v>#N/A</v>
      </c>
      <c r="H35279" s="4" t="str">
        <v/>
      </c>
      <c r="I35279" s="4" t="str">
        <v/>
      </c>
    </row>
    <row r="35280" spans="5:9" ht="16.5" hidden="1">
      <c r="E35280" s="4" t="str">
        <v/>
      </c>
      <c r="F35280" s="102" t="str">
        <f ca="1">IFERROR(__xludf.DUMMYFUNCTION("IMPORTRANGE(H35280,""IDENTITAS UNIT!D9"")"),"#N/A")</f>
        <v>#N/A</v>
      </c>
      <c r="H35280" s="4" t="str">
        <v/>
      </c>
      <c r="I35280" s="4" t="str">
        <v/>
      </c>
    </row>
    <row r="35281" spans="5:9" ht="16.5" hidden="1">
      <c r="E35281" s="4" t="str">
        <v/>
      </c>
      <c r="F35281" s="102" t="str">
        <f ca="1">IFERROR(__xludf.DUMMYFUNCTION("IMPORTRANGE(H35281,""IDENTITAS UNIT!D9"")"),"#N/A")</f>
        <v>#N/A</v>
      </c>
      <c r="H35281" s="4" t="str">
        <v/>
      </c>
      <c r="I35281" s="4" t="str">
        <v/>
      </c>
    </row>
    <row r="35282" spans="5:9" ht="16.5" hidden="1">
      <c r="E35282" s="4" t="str">
        <v/>
      </c>
      <c r="F35282" s="102" t="str">
        <f ca="1">IFERROR(__xludf.DUMMYFUNCTION("IMPORTRANGE(H35282,""IDENTITAS UNIT!D9"")"),"#N/A")</f>
        <v>#N/A</v>
      </c>
      <c r="H35282" s="4" t="str">
        <v/>
      </c>
      <c r="I35282" s="4" t="str">
        <v/>
      </c>
    </row>
    <row r="35283" spans="5:9" ht="16.5" hidden="1">
      <c r="E35283" s="4" t="str">
        <v/>
      </c>
      <c r="F35283" s="102" t="str">
        <f ca="1">IFERROR(__xludf.DUMMYFUNCTION("IMPORTRANGE(H35283,""IDENTITAS UNIT!D9"")"),"#N/A")</f>
        <v>#N/A</v>
      </c>
      <c r="H35283" s="4" t="str">
        <v/>
      </c>
      <c r="I35283" s="4" t="str">
        <v/>
      </c>
    </row>
    <row r="35284" spans="5:9" ht="16.5" hidden="1">
      <c r="E35284" s="4" t="str">
        <v/>
      </c>
      <c r="F35284" s="102" t="str">
        <f ca="1">IFERROR(__xludf.DUMMYFUNCTION("IMPORTRANGE(H35284,""IDENTITAS UNIT!D9"")"),"#N/A")</f>
        <v>#N/A</v>
      </c>
      <c r="H35284" s="4" t="str">
        <v/>
      </c>
      <c r="I35284" s="4" t="str">
        <v/>
      </c>
    </row>
    <row r="35285" spans="5:9" ht="16.5" hidden="1">
      <c r="E35285" s="4" t="str">
        <v/>
      </c>
      <c r="F35285" s="102" t="str">
        <f ca="1">IFERROR(__xludf.DUMMYFUNCTION("IMPORTRANGE(H35285,""IDENTITAS UNIT!D9"")"),"#N/A")</f>
        <v>#N/A</v>
      </c>
      <c r="H35285" s="4" t="str">
        <v/>
      </c>
      <c r="I35285" s="4" t="str">
        <v/>
      </c>
    </row>
    <row r="35286" spans="5:9" ht="16.5" hidden="1">
      <c r="E35286" s="4" t="str">
        <v/>
      </c>
      <c r="F35286" s="102" t="str">
        <f ca="1">IFERROR(__xludf.DUMMYFUNCTION("IMPORTRANGE(H35286,""IDENTITAS UNIT!D9"")"),"#N/A")</f>
        <v>#N/A</v>
      </c>
      <c r="H35286" s="4" t="str">
        <v/>
      </c>
      <c r="I35286" s="4" t="str">
        <v/>
      </c>
    </row>
    <row r="35287" spans="5:9" ht="16.5" hidden="1">
      <c r="E35287" s="4" t="str">
        <v/>
      </c>
      <c r="F35287" s="102" t="str">
        <f ca="1">IFERROR(__xludf.DUMMYFUNCTION("IMPORTRANGE(H35287,""IDENTITAS UNIT!D9"")"),"#N/A")</f>
        <v>#N/A</v>
      </c>
      <c r="H35287" s="4" t="str">
        <v/>
      </c>
      <c r="I35287" s="4" t="str">
        <v/>
      </c>
    </row>
    <row r="35288" spans="5:9" ht="16.5" hidden="1">
      <c r="E35288" s="4" t="str">
        <v/>
      </c>
      <c r="F35288" s="102" t="str">
        <f ca="1">IFERROR(__xludf.DUMMYFUNCTION("IMPORTRANGE(H35288,""IDENTITAS UNIT!D9"")"),"#N/A")</f>
        <v>#N/A</v>
      </c>
      <c r="H35288" s="4" t="str">
        <v/>
      </c>
      <c r="I35288" s="4" t="str">
        <v/>
      </c>
    </row>
    <row r="35289" spans="5:9" ht="16.5" hidden="1">
      <c r="E35289" s="4" t="str">
        <v/>
      </c>
      <c r="F35289" s="102" t="str">
        <f ca="1">IFERROR(__xludf.DUMMYFUNCTION("IMPORTRANGE(H35289,""IDENTITAS UNIT!D9"")"),"#N/A")</f>
        <v>#N/A</v>
      </c>
      <c r="H35289" s="4" t="str">
        <v/>
      </c>
      <c r="I35289" s="4" t="str">
        <v/>
      </c>
    </row>
    <row r="35290" spans="5:9" ht="16.5" hidden="1">
      <c r="E35290" s="4" t="str">
        <v/>
      </c>
      <c r="F35290" s="102" t="str">
        <f ca="1">IFERROR(__xludf.DUMMYFUNCTION("IMPORTRANGE(H35290,""IDENTITAS UNIT!D9"")"),"#N/A")</f>
        <v>#N/A</v>
      </c>
      <c r="H35290" s="4" t="str">
        <v/>
      </c>
      <c r="I35290" s="4" t="str">
        <v/>
      </c>
    </row>
    <row r="35291" spans="5:9" ht="16.5" hidden="1">
      <c r="E35291" s="4" t="str">
        <v/>
      </c>
      <c r="F35291" s="102" t="str">
        <f ca="1">IFERROR(__xludf.DUMMYFUNCTION("IMPORTRANGE(H35291,""IDENTITAS UNIT!D9"")"),"#N/A")</f>
        <v>#N/A</v>
      </c>
      <c r="H35291" s="4" t="str">
        <v/>
      </c>
      <c r="I35291" s="4" t="str">
        <v/>
      </c>
    </row>
    <row r="35292" spans="5:9" ht="16.5" hidden="1">
      <c r="E35292" s="4" t="str">
        <v/>
      </c>
      <c r="F35292" s="102" t="str">
        <f ca="1">IFERROR(__xludf.DUMMYFUNCTION("IMPORTRANGE(H35292,""IDENTITAS UNIT!D9"")"),"#N/A")</f>
        <v>#N/A</v>
      </c>
      <c r="H35292" s="4" t="str">
        <v/>
      </c>
      <c r="I35292" s="4" t="str">
        <v/>
      </c>
    </row>
    <row r="35293" spans="5:9" ht="16.5" hidden="1">
      <c r="E35293" s="4" t="str">
        <v/>
      </c>
      <c r="F35293" s="102" t="str">
        <f ca="1">IFERROR(__xludf.DUMMYFUNCTION("IMPORTRANGE(H35293,""IDENTITAS UNIT!D9"")"),"#N/A")</f>
        <v>#N/A</v>
      </c>
      <c r="H35293" s="4" t="str">
        <v/>
      </c>
      <c r="I35293" s="4" t="str">
        <v/>
      </c>
    </row>
    <row r="35294" spans="5:9" ht="16.5" hidden="1">
      <c r="E35294" s="4" t="str">
        <v/>
      </c>
      <c r="F35294" s="102" t="str">
        <f ca="1">IFERROR(__xludf.DUMMYFUNCTION("IMPORTRANGE(H35294,""IDENTITAS UNIT!D9"")"),"#N/A")</f>
        <v>#N/A</v>
      </c>
      <c r="H35294" s="4" t="str">
        <v/>
      </c>
      <c r="I35294" s="4" t="str">
        <v/>
      </c>
    </row>
    <row r="35295" spans="5:9" ht="16.5" hidden="1">
      <c r="E35295" s="4" t="str">
        <v/>
      </c>
      <c r="F35295" s="102" t="str">
        <f ca="1">IFERROR(__xludf.DUMMYFUNCTION("IMPORTRANGE(H35295,""IDENTITAS UNIT!D9"")"),"#N/A")</f>
        <v>#N/A</v>
      </c>
      <c r="H35295" s="4" t="str">
        <v/>
      </c>
      <c r="I35295" s="4" t="str">
        <v/>
      </c>
    </row>
    <row r="35296" spans="5:9" ht="16.5" hidden="1">
      <c r="E35296" s="4" t="str">
        <v/>
      </c>
      <c r="F35296" s="102" t="str">
        <f ca="1">IFERROR(__xludf.DUMMYFUNCTION("IMPORTRANGE(H35296,""IDENTITAS UNIT!D9"")"),"#N/A")</f>
        <v>#N/A</v>
      </c>
      <c r="H35296" s="4" t="str">
        <v/>
      </c>
      <c r="I35296" s="4" t="str">
        <v/>
      </c>
    </row>
    <row r="35297" spans="5:9" ht="16.5" hidden="1">
      <c r="E35297" s="4" t="str">
        <v/>
      </c>
      <c r="F35297" s="102" t="str">
        <f ca="1">IFERROR(__xludf.DUMMYFUNCTION("IMPORTRANGE(H35297,""IDENTITAS UNIT!D9"")"),"#N/A")</f>
        <v>#N/A</v>
      </c>
      <c r="H35297" s="4" t="str">
        <v/>
      </c>
      <c r="I35297" s="4" t="str">
        <v/>
      </c>
    </row>
    <row r="35298" spans="5:9" ht="16.5" hidden="1">
      <c r="E35298" s="4" t="str">
        <v/>
      </c>
      <c r="F35298" s="102" t="str">
        <f ca="1">IFERROR(__xludf.DUMMYFUNCTION("IMPORTRANGE(H35298,""IDENTITAS UNIT!D9"")"),"#N/A")</f>
        <v>#N/A</v>
      </c>
      <c r="H35298" s="4" t="str">
        <v/>
      </c>
      <c r="I35298" s="4" t="str">
        <v/>
      </c>
    </row>
    <row r="35299" spans="5:9" ht="16.5" hidden="1">
      <c r="E35299" s="4" t="str">
        <v/>
      </c>
      <c r="F35299" s="102" t="str">
        <f ca="1">IFERROR(__xludf.DUMMYFUNCTION("IMPORTRANGE(H35299,""IDENTITAS UNIT!D9"")"),"#N/A")</f>
        <v>#N/A</v>
      </c>
      <c r="H35299" s="4" t="str">
        <v/>
      </c>
      <c r="I35299" s="4" t="str">
        <v/>
      </c>
    </row>
    <row r="35300" spans="5:9" ht="16.5" hidden="1">
      <c r="E35300" s="4" t="str">
        <v/>
      </c>
      <c r="F35300" s="102" t="str">
        <f ca="1">IFERROR(__xludf.DUMMYFUNCTION("IMPORTRANGE(H35300,""IDENTITAS UNIT!D9"")"),"#N/A")</f>
        <v>#N/A</v>
      </c>
      <c r="H35300" s="4" t="str">
        <v/>
      </c>
      <c r="I35300" s="4" t="str">
        <v/>
      </c>
    </row>
    <row r="35301" spans="5:9" ht="16.5" hidden="1">
      <c r="E35301" s="4" t="str">
        <v/>
      </c>
      <c r="F35301" s="102" t="str">
        <f ca="1">IFERROR(__xludf.DUMMYFUNCTION("IMPORTRANGE(H35301,""IDENTITAS UNIT!D9"")"),"#N/A")</f>
        <v>#N/A</v>
      </c>
      <c r="H35301" s="4" t="str">
        <v/>
      </c>
      <c r="I35301" s="4" t="str">
        <v/>
      </c>
    </row>
    <row r="35302" spans="5:9" ht="16.5" hidden="1">
      <c r="E35302" s="4" t="str">
        <v/>
      </c>
      <c r="F35302" s="102" t="str">
        <f ca="1">IFERROR(__xludf.DUMMYFUNCTION("IMPORTRANGE(H35302,""IDENTITAS UNIT!D9"")"),"#N/A")</f>
        <v>#N/A</v>
      </c>
      <c r="H35302" s="4" t="str">
        <v/>
      </c>
      <c r="I35302" s="4" t="str">
        <v/>
      </c>
    </row>
    <row r="35303" spans="5:9" ht="16.5" hidden="1">
      <c r="E35303" s="4" t="str">
        <v/>
      </c>
      <c r="F35303" s="102" t="str">
        <f ca="1">IFERROR(__xludf.DUMMYFUNCTION("IMPORTRANGE(H35303,""IDENTITAS UNIT!D9"")"),"#N/A")</f>
        <v>#N/A</v>
      </c>
      <c r="H35303" s="4" t="str">
        <v/>
      </c>
      <c r="I35303" s="4" t="str">
        <v/>
      </c>
    </row>
    <row r="35304" spans="5:9" ht="16.5" hidden="1">
      <c r="E35304" s="4" t="str">
        <v/>
      </c>
      <c r="F35304" s="102" t="str">
        <f ca="1">IFERROR(__xludf.DUMMYFUNCTION("IMPORTRANGE(H35304,""IDENTITAS UNIT!D9"")"),"#N/A")</f>
        <v>#N/A</v>
      </c>
      <c r="H35304" s="4" t="str">
        <v/>
      </c>
      <c r="I35304" s="4" t="str">
        <v/>
      </c>
    </row>
    <row r="35305" spans="5:9" ht="16.5" hidden="1">
      <c r="E35305" s="4" t="str">
        <v/>
      </c>
      <c r="F35305" s="102" t="str">
        <f ca="1">IFERROR(__xludf.DUMMYFUNCTION("IMPORTRANGE(H35305,""IDENTITAS UNIT!D9"")"),"#N/A")</f>
        <v>#N/A</v>
      </c>
      <c r="H35305" s="4" t="str">
        <v/>
      </c>
      <c r="I35305" s="4" t="str">
        <v/>
      </c>
    </row>
    <row r="35306" spans="5:9" ht="16.5" hidden="1">
      <c r="E35306" s="4" t="str">
        <v/>
      </c>
      <c r="F35306" s="102" t="str">
        <f ca="1">IFERROR(__xludf.DUMMYFUNCTION("IMPORTRANGE(H35306,""IDENTITAS UNIT!D9"")"),"#N/A")</f>
        <v>#N/A</v>
      </c>
      <c r="H35306" s="4" t="str">
        <v/>
      </c>
      <c r="I35306" s="4" t="str">
        <v/>
      </c>
    </row>
    <row r="35307" spans="5:9" ht="16.5" hidden="1">
      <c r="E35307" s="4" t="str">
        <v/>
      </c>
      <c r="F35307" s="102" t="str">
        <f ca="1">IFERROR(__xludf.DUMMYFUNCTION("IMPORTRANGE(H35307,""IDENTITAS UNIT!D9"")"),"#N/A")</f>
        <v>#N/A</v>
      </c>
      <c r="H35307" s="4" t="str">
        <v/>
      </c>
      <c r="I35307" s="4" t="str">
        <v/>
      </c>
    </row>
    <row r="35308" spans="5:9" ht="16.5" hidden="1">
      <c r="E35308" s="4" t="str">
        <v/>
      </c>
      <c r="F35308" s="102" t="str">
        <f ca="1">IFERROR(__xludf.DUMMYFUNCTION("IMPORTRANGE(H35308,""IDENTITAS UNIT!D9"")"),"#N/A")</f>
        <v>#N/A</v>
      </c>
      <c r="H35308" s="4" t="str">
        <v/>
      </c>
      <c r="I35308" s="4" t="str">
        <v/>
      </c>
    </row>
    <row r="35309" spans="5:9" ht="16.5" hidden="1">
      <c r="E35309" s="4" t="str">
        <v/>
      </c>
      <c r="F35309" s="102" t="str">
        <f ca="1">IFERROR(__xludf.DUMMYFUNCTION("IMPORTRANGE(H35309,""IDENTITAS UNIT!D9"")"),"#N/A")</f>
        <v>#N/A</v>
      </c>
      <c r="H35309" s="4" t="str">
        <v/>
      </c>
      <c r="I35309" s="4" t="str">
        <v/>
      </c>
    </row>
    <row r="35310" spans="5:9" ht="16.5" hidden="1">
      <c r="E35310" s="4" t="str">
        <v/>
      </c>
      <c r="F35310" s="102" t="str">
        <f ca="1">IFERROR(__xludf.DUMMYFUNCTION("IMPORTRANGE(H35310,""IDENTITAS UNIT!D9"")"),"#N/A")</f>
        <v>#N/A</v>
      </c>
      <c r="H35310" s="4" t="str">
        <v/>
      </c>
      <c r="I35310" s="4" t="str">
        <v/>
      </c>
    </row>
    <row r="35311" spans="5:9" ht="16.5" hidden="1">
      <c r="E35311" s="4" t="str">
        <v/>
      </c>
      <c r="F35311" s="102" t="str">
        <f ca="1">IFERROR(__xludf.DUMMYFUNCTION("IMPORTRANGE(H35311,""IDENTITAS UNIT!D9"")"),"#N/A")</f>
        <v>#N/A</v>
      </c>
      <c r="H35311" s="4" t="str">
        <v/>
      </c>
      <c r="I35311" s="4" t="str">
        <v/>
      </c>
    </row>
    <row r="35312" spans="5:9" ht="16.5" hidden="1">
      <c r="E35312" s="4" t="str">
        <v/>
      </c>
      <c r="F35312" s="102" t="str">
        <f ca="1">IFERROR(__xludf.DUMMYFUNCTION("IMPORTRANGE(H35312,""IDENTITAS UNIT!D9"")"),"#N/A")</f>
        <v>#N/A</v>
      </c>
      <c r="H35312" s="4" t="str">
        <v/>
      </c>
      <c r="I35312" s="4" t="str">
        <v/>
      </c>
    </row>
    <row r="35313" spans="5:9" ht="16.5" hidden="1">
      <c r="E35313" s="4" t="str">
        <v/>
      </c>
      <c r="F35313" s="102" t="str">
        <f ca="1">IFERROR(__xludf.DUMMYFUNCTION("IMPORTRANGE(H35313,""IDENTITAS UNIT!D9"")"),"#N/A")</f>
        <v>#N/A</v>
      </c>
      <c r="H35313" s="4" t="str">
        <v/>
      </c>
      <c r="I35313" s="4" t="str">
        <v/>
      </c>
    </row>
    <row r="35314" spans="5:9" ht="16.5" hidden="1">
      <c r="E35314" s="4" t="str">
        <v/>
      </c>
      <c r="F35314" s="102" t="str">
        <f ca="1">IFERROR(__xludf.DUMMYFUNCTION("IMPORTRANGE(H35314,""IDENTITAS UNIT!D9"")"),"#N/A")</f>
        <v>#N/A</v>
      </c>
      <c r="H35314" s="4" t="str">
        <v/>
      </c>
      <c r="I35314" s="4" t="str">
        <v/>
      </c>
    </row>
    <row r="35315" spans="5:9" ht="16.5" hidden="1">
      <c r="E35315" s="4" t="str">
        <v/>
      </c>
      <c r="F35315" s="102" t="str">
        <f ca="1">IFERROR(__xludf.DUMMYFUNCTION("IMPORTRANGE(H35315,""IDENTITAS UNIT!D9"")"),"#N/A")</f>
        <v>#N/A</v>
      </c>
      <c r="H35315" s="4" t="str">
        <v/>
      </c>
      <c r="I35315" s="4" t="str">
        <v/>
      </c>
    </row>
    <row r="35316" spans="5:9" ht="16.5" hidden="1">
      <c r="E35316" s="4" t="str">
        <v/>
      </c>
      <c r="F35316" s="102" t="str">
        <f ca="1">IFERROR(__xludf.DUMMYFUNCTION("IMPORTRANGE(H35316,""IDENTITAS UNIT!D9"")"),"#N/A")</f>
        <v>#N/A</v>
      </c>
      <c r="H35316" s="4" t="str">
        <v/>
      </c>
      <c r="I35316" s="4" t="str">
        <v/>
      </c>
    </row>
    <row r="35317" spans="5:9" ht="16.5" hidden="1">
      <c r="E35317" s="4" t="str">
        <v/>
      </c>
      <c r="F35317" s="102" t="str">
        <f ca="1">IFERROR(__xludf.DUMMYFUNCTION("IMPORTRANGE(H35317,""IDENTITAS UNIT!D9"")"),"#N/A")</f>
        <v>#N/A</v>
      </c>
      <c r="H35317" s="4" t="str">
        <v/>
      </c>
      <c r="I35317" s="4" t="str">
        <v/>
      </c>
    </row>
    <row r="35318" spans="5:9" ht="16.5" hidden="1">
      <c r="E35318" s="4" t="str">
        <v/>
      </c>
      <c r="F35318" s="102" t="str">
        <f ca="1">IFERROR(__xludf.DUMMYFUNCTION("IMPORTRANGE(H35318,""IDENTITAS UNIT!D9"")"),"#N/A")</f>
        <v>#N/A</v>
      </c>
      <c r="H35318" s="4" t="str">
        <v/>
      </c>
      <c r="I35318" s="4" t="str">
        <v/>
      </c>
    </row>
    <row r="35319" spans="5:9" ht="16.5" hidden="1">
      <c r="E35319" s="4" t="str">
        <v/>
      </c>
      <c r="F35319" s="102" t="str">
        <f ca="1">IFERROR(__xludf.DUMMYFUNCTION("IMPORTRANGE(H35319,""IDENTITAS UNIT!D9"")"),"#N/A")</f>
        <v>#N/A</v>
      </c>
      <c r="H35319" s="4" t="str">
        <v/>
      </c>
      <c r="I35319" s="4" t="str">
        <v/>
      </c>
    </row>
    <row r="35320" spans="5:9" ht="16.5" hidden="1">
      <c r="E35320" s="4" t="str">
        <v/>
      </c>
      <c r="F35320" s="102" t="str">
        <f ca="1">IFERROR(__xludf.DUMMYFUNCTION("IMPORTRANGE(H35320,""IDENTITAS UNIT!D9"")"),"#N/A")</f>
        <v>#N/A</v>
      </c>
      <c r="H35320" s="4" t="str">
        <v/>
      </c>
      <c r="I35320" s="4" t="str">
        <v/>
      </c>
    </row>
    <row r="35321" spans="5:9" ht="16.5" hidden="1">
      <c r="E35321" s="4" t="str">
        <v/>
      </c>
      <c r="F35321" s="102" t="str">
        <f ca="1">IFERROR(__xludf.DUMMYFUNCTION("IMPORTRANGE(H35321,""IDENTITAS UNIT!D9"")"),"#N/A")</f>
        <v>#N/A</v>
      </c>
      <c r="H35321" s="4" t="str">
        <v/>
      </c>
      <c r="I35321" s="4" t="str">
        <v/>
      </c>
    </row>
    <row r="35322" spans="5:9" ht="16.5" hidden="1">
      <c r="E35322" s="4" t="str">
        <v/>
      </c>
      <c r="F35322" s="102" t="str">
        <f ca="1">IFERROR(__xludf.DUMMYFUNCTION("IMPORTRANGE(H35322,""IDENTITAS UNIT!D9"")"),"#N/A")</f>
        <v>#N/A</v>
      </c>
      <c r="H35322" s="4" t="str">
        <v/>
      </c>
      <c r="I35322" s="4" t="str">
        <v/>
      </c>
    </row>
    <row r="35323" spans="5:9" ht="16.5" hidden="1">
      <c r="E35323" s="4" t="str">
        <v/>
      </c>
      <c r="F35323" s="102" t="str">
        <f ca="1">IFERROR(__xludf.DUMMYFUNCTION("IMPORTRANGE(H35323,""IDENTITAS UNIT!D9"")"),"#N/A")</f>
        <v>#N/A</v>
      </c>
      <c r="H35323" s="4" t="str">
        <v/>
      </c>
      <c r="I35323" s="4" t="str">
        <v/>
      </c>
    </row>
    <row r="35324" spans="5:9" ht="16.5" hidden="1">
      <c r="E35324" s="4" t="str">
        <v/>
      </c>
      <c r="F35324" s="102" t="str">
        <f ca="1">IFERROR(__xludf.DUMMYFUNCTION("IMPORTRANGE(H35324,""IDENTITAS UNIT!D9"")"),"#N/A")</f>
        <v>#N/A</v>
      </c>
      <c r="H35324" s="4" t="str">
        <v/>
      </c>
      <c r="I35324" s="4" t="str">
        <v/>
      </c>
    </row>
    <row r="35325" spans="5:9" ht="16.5" hidden="1">
      <c r="E35325" s="4" t="str">
        <v/>
      </c>
      <c r="F35325" s="102" t="str">
        <f ca="1">IFERROR(__xludf.DUMMYFUNCTION("IMPORTRANGE(H35325,""IDENTITAS UNIT!D9"")"),"#N/A")</f>
        <v>#N/A</v>
      </c>
      <c r="H35325" s="4" t="str">
        <v/>
      </c>
      <c r="I35325" s="4" t="str">
        <v/>
      </c>
    </row>
    <row r="35326" spans="5:9" ht="16.5" hidden="1">
      <c r="E35326" s="4" t="str">
        <v/>
      </c>
      <c r="F35326" s="102" t="str">
        <f ca="1">IFERROR(__xludf.DUMMYFUNCTION("IMPORTRANGE(H35326,""IDENTITAS UNIT!D9"")"),"#N/A")</f>
        <v>#N/A</v>
      </c>
      <c r="H35326" s="4" t="str">
        <v/>
      </c>
      <c r="I35326" s="4" t="str">
        <v/>
      </c>
    </row>
    <row r="35327" spans="5:9" ht="16.5" hidden="1">
      <c r="E35327" s="4" t="str">
        <v/>
      </c>
      <c r="F35327" s="102" t="str">
        <f ca="1">IFERROR(__xludf.DUMMYFUNCTION("IMPORTRANGE(H35327,""IDENTITAS UNIT!D9"")"),"#N/A")</f>
        <v>#N/A</v>
      </c>
      <c r="H35327" s="4" t="str">
        <v/>
      </c>
      <c r="I35327" s="4" t="str">
        <v/>
      </c>
    </row>
    <row r="35328" spans="5:9" ht="16.5" hidden="1">
      <c r="E35328" s="4" t="str">
        <v/>
      </c>
      <c r="F35328" s="102" t="str">
        <f ca="1">IFERROR(__xludf.DUMMYFUNCTION("IMPORTRANGE(H35328,""IDENTITAS UNIT!D9"")"),"#N/A")</f>
        <v>#N/A</v>
      </c>
      <c r="H35328" s="4" t="str">
        <v/>
      </c>
      <c r="I35328" s="4" t="str">
        <v/>
      </c>
    </row>
    <row r="35329" spans="5:9" ht="16.5" hidden="1">
      <c r="E35329" s="4" t="str">
        <v/>
      </c>
      <c r="F35329" s="102" t="str">
        <f ca="1">IFERROR(__xludf.DUMMYFUNCTION("IMPORTRANGE(H35329,""IDENTITAS UNIT!D9"")"),"#N/A")</f>
        <v>#N/A</v>
      </c>
      <c r="H35329" s="4" t="str">
        <v/>
      </c>
      <c r="I35329" s="4" t="str">
        <v/>
      </c>
    </row>
    <row r="35330" spans="5:9" ht="16.5" hidden="1">
      <c r="E35330" s="4" t="str">
        <v/>
      </c>
      <c r="F35330" s="102" t="str">
        <f ca="1">IFERROR(__xludf.DUMMYFUNCTION("IMPORTRANGE(H35330,""IDENTITAS UNIT!D9"")"),"#N/A")</f>
        <v>#N/A</v>
      </c>
      <c r="H35330" s="4" t="str">
        <v/>
      </c>
      <c r="I35330" s="4" t="str">
        <v/>
      </c>
    </row>
    <row r="35331" spans="5:9" ht="16.5" hidden="1">
      <c r="E35331" s="4" t="str">
        <v/>
      </c>
      <c r="F35331" s="102" t="str">
        <f ca="1">IFERROR(__xludf.DUMMYFUNCTION("IMPORTRANGE(H35331,""IDENTITAS UNIT!D9"")"),"#N/A")</f>
        <v>#N/A</v>
      </c>
      <c r="H35331" s="4" t="str">
        <v/>
      </c>
      <c r="I35331" s="4" t="str">
        <v/>
      </c>
    </row>
    <row r="35332" spans="5:9" ht="16.5" hidden="1">
      <c r="E35332" s="4" t="str">
        <v/>
      </c>
      <c r="F35332" s="102" t="str">
        <f ca="1">IFERROR(__xludf.DUMMYFUNCTION("IMPORTRANGE(H35332,""IDENTITAS UNIT!D9"")"),"#N/A")</f>
        <v>#N/A</v>
      </c>
      <c r="H35332" s="4" t="str">
        <v/>
      </c>
      <c r="I35332" s="4" t="str">
        <v/>
      </c>
    </row>
    <row r="35333" spans="5:9" ht="16.5" hidden="1">
      <c r="E35333" s="4" t="str">
        <v/>
      </c>
      <c r="F35333" s="102" t="str">
        <f ca="1">IFERROR(__xludf.DUMMYFUNCTION("IMPORTRANGE(H35333,""IDENTITAS UNIT!D9"")"),"#N/A")</f>
        <v>#N/A</v>
      </c>
      <c r="H35333" s="4" t="str">
        <v/>
      </c>
      <c r="I35333" s="4" t="str">
        <v/>
      </c>
    </row>
    <row r="35334" spans="5:9" ht="16.5" hidden="1">
      <c r="E35334" s="4" t="str">
        <v/>
      </c>
      <c r="F35334" s="102" t="str">
        <f ca="1">IFERROR(__xludf.DUMMYFUNCTION("IMPORTRANGE(H35334,""IDENTITAS UNIT!D9"")"),"#N/A")</f>
        <v>#N/A</v>
      </c>
      <c r="H35334" s="4" t="str">
        <v/>
      </c>
      <c r="I35334" s="4" t="str">
        <v/>
      </c>
    </row>
    <row r="35335" spans="5:9" ht="16.5" hidden="1">
      <c r="E35335" s="4" t="str">
        <v/>
      </c>
      <c r="F35335" s="102" t="str">
        <f ca="1">IFERROR(__xludf.DUMMYFUNCTION("IMPORTRANGE(H35335,""IDENTITAS UNIT!D9"")"),"#N/A")</f>
        <v>#N/A</v>
      </c>
      <c r="H35335" s="4" t="str">
        <v/>
      </c>
      <c r="I35335" s="4" t="str">
        <v/>
      </c>
    </row>
    <row r="35336" spans="5:9" ht="16.5" hidden="1">
      <c r="E35336" s="4" t="str">
        <v/>
      </c>
      <c r="F35336" s="102" t="str">
        <f ca="1">IFERROR(__xludf.DUMMYFUNCTION("IMPORTRANGE(H35336,""IDENTITAS UNIT!D9"")"),"#N/A")</f>
        <v>#N/A</v>
      </c>
      <c r="H35336" s="4" t="str">
        <v/>
      </c>
      <c r="I35336" s="4" t="str">
        <v/>
      </c>
    </row>
    <row r="35337" spans="5:9" ht="16.5" hidden="1">
      <c r="E35337" s="4" t="str">
        <v/>
      </c>
      <c r="F35337" s="102" t="str">
        <f ca="1">IFERROR(__xludf.DUMMYFUNCTION("IMPORTRANGE(H35337,""IDENTITAS UNIT!D9"")"),"#N/A")</f>
        <v>#N/A</v>
      </c>
      <c r="H35337" s="4" t="str">
        <v/>
      </c>
      <c r="I35337" s="4" t="str">
        <v/>
      </c>
    </row>
    <row r="35338" spans="5:9" ht="16.5" hidden="1">
      <c r="E35338" s="4" t="str">
        <v/>
      </c>
      <c r="F35338" s="102" t="str">
        <f ca="1">IFERROR(__xludf.DUMMYFUNCTION("IMPORTRANGE(H35338,""IDENTITAS UNIT!D9"")"),"#N/A")</f>
        <v>#N/A</v>
      </c>
      <c r="H35338" s="4" t="str">
        <v/>
      </c>
      <c r="I35338" s="4" t="str">
        <v/>
      </c>
    </row>
    <row r="35339" spans="5:9" ht="16.5" hidden="1">
      <c r="E35339" s="4" t="str">
        <v/>
      </c>
      <c r="F35339" s="102" t="str">
        <f ca="1">IFERROR(__xludf.DUMMYFUNCTION("IMPORTRANGE(H35339,""IDENTITAS UNIT!D9"")"),"#N/A")</f>
        <v>#N/A</v>
      </c>
      <c r="H35339" s="4" t="str">
        <v/>
      </c>
      <c r="I35339" s="4" t="str">
        <v/>
      </c>
    </row>
    <row r="35340" spans="5:9" ht="16.5" hidden="1">
      <c r="E35340" s="4" t="str">
        <v/>
      </c>
      <c r="F35340" s="102" t="str">
        <f ca="1">IFERROR(__xludf.DUMMYFUNCTION("IMPORTRANGE(H35340,""IDENTITAS UNIT!D9"")"),"#N/A")</f>
        <v>#N/A</v>
      </c>
      <c r="H35340" s="4" t="str">
        <v/>
      </c>
      <c r="I35340" s="4" t="str">
        <v/>
      </c>
    </row>
    <row r="35341" spans="5:9" ht="16.5" hidden="1">
      <c r="E35341" s="4" t="str">
        <v/>
      </c>
      <c r="F35341" s="102" t="str">
        <f ca="1">IFERROR(__xludf.DUMMYFUNCTION("IMPORTRANGE(H35341,""IDENTITAS UNIT!D9"")"),"#N/A")</f>
        <v>#N/A</v>
      </c>
      <c r="H35341" s="4" t="str">
        <v/>
      </c>
      <c r="I35341" s="4" t="str">
        <v/>
      </c>
    </row>
    <row r="35342" spans="5:9" ht="16.5" hidden="1">
      <c r="E35342" s="4" t="str">
        <v/>
      </c>
      <c r="F35342" s="102" t="str">
        <f ca="1">IFERROR(__xludf.DUMMYFUNCTION("IMPORTRANGE(H35342,""IDENTITAS UNIT!D9"")"),"#N/A")</f>
        <v>#N/A</v>
      </c>
      <c r="H35342" s="4" t="str">
        <v/>
      </c>
      <c r="I35342" s="4" t="str">
        <v/>
      </c>
    </row>
    <row r="35343" spans="5:9" ht="16.5" hidden="1">
      <c r="E35343" s="4" t="str">
        <v/>
      </c>
      <c r="F35343" s="102" t="str">
        <f ca="1">IFERROR(__xludf.DUMMYFUNCTION("IMPORTRANGE(H35343,""IDENTITAS UNIT!D9"")"),"#N/A")</f>
        <v>#N/A</v>
      </c>
      <c r="H35343" s="4" t="str">
        <v/>
      </c>
      <c r="I35343" s="4" t="str">
        <v/>
      </c>
    </row>
    <row r="35344" spans="5:9" ht="16.5" hidden="1">
      <c r="E35344" s="4" t="str">
        <v/>
      </c>
      <c r="F35344" s="102" t="str">
        <f ca="1">IFERROR(__xludf.DUMMYFUNCTION("IMPORTRANGE(H35344,""IDENTITAS UNIT!D9"")"),"#N/A")</f>
        <v>#N/A</v>
      </c>
      <c r="H35344" s="4" t="str">
        <v/>
      </c>
      <c r="I35344" s="4" t="str">
        <v/>
      </c>
    </row>
    <row r="35345" spans="5:9" ht="16.5" hidden="1">
      <c r="E35345" s="4" t="str">
        <v/>
      </c>
      <c r="F35345" s="102" t="str">
        <f ca="1">IFERROR(__xludf.DUMMYFUNCTION("IMPORTRANGE(H35345,""IDENTITAS UNIT!D9"")"),"#N/A")</f>
        <v>#N/A</v>
      </c>
      <c r="H35345" s="4" t="str">
        <v/>
      </c>
      <c r="I35345" s="4" t="str">
        <v/>
      </c>
    </row>
    <row r="35346" spans="5:9" ht="16.5" hidden="1">
      <c r="E35346" s="4" t="str">
        <v/>
      </c>
      <c r="F35346" s="102" t="str">
        <f ca="1">IFERROR(__xludf.DUMMYFUNCTION("IMPORTRANGE(H35346,""IDENTITAS UNIT!D9"")"),"#N/A")</f>
        <v>#N/A</v>
      </c>
      <c r="H35346" s="4" t="str">
        <v/>
      </c>
      <c r="I35346" s="4" t="str">
        <v/>
      </c>
    </row>
    <row r="35347" spans="5:9" ht="16.5" hidden="1">
      <c r="E35347" s="4" t="str">
        <v/>
      </c>
      <c r="F35347" s="102" t="str">
        <f ca="1">IFERROR(__xludf.DUMMYFUNCTION("IMPORTRANGE(H35347,""IDENTITAS UNIT!D9"")"),"#N/A")</f>
        <v>#N/A</v>
      </c>
      <c r="H35347" s="4" t="str">
        <v/>
      </c>
      <c r="I35347" s="4" t="str">
        <v/>
      </c>
    </row>
    <row r="35348" spans="5:9" ht="16.5" hidden="1">
      <c r="E35348" s="4" t="str">
        <v/>
      </c>
      <c r="F35348" s="102" t="str">
        <f ca="1">IFERROR(__xludf.DUMMYFUNCTION("IMPORTRANGE(H35348,""IDENTITAS UNIT!D9"")"),"#N/A")</f>
        <v>#N/A</v>
      </c>
      <c r="H35348" s="4" t="str">
        <v/>
      </c>
      <c r="I35348" s="4" t="str">
        <v/>
      </c>
    </row>
    <row r="35349" spans="5:9" ht="16.5" hidden="1">
      <c r="E35349" s="4" t="str">
        <v/>
      </c>
      <c r="F35349" s="102" t="str">
        <f ca="1">IFERROR(__xludf.DUMMYFUNCTION("IMPORTRANGE(H35349,""IDENTITAS UNIT!D9"")"),"#N/A")</f>
        <v>#N/A</v>
      </c>
      <c r="H35349" s="4" t="str">
        <v/>
      </c>
      <c r="I35349" s="4" t="str">
        <v/>
      </c>
    </row>
    <row r="35350" spans="5:9" ht="16.5" hidden="1">
      <c r="E35350" s="4" t="str">
        <v/>
      </c>
      <c r="F35350" s="102" t="str">
        <f ca="1">IFERROR(__xludf.DUMMYFUNCTION("IMPORTRANGE(H35350,""IDENTITAS UNIT!D9"")"),"#N/A")</f>
        <v>#N/A</v>
      </c>
      <c r="H35350" s="4" t="str">
        <v/>
      </c>
      <c r="I35350" s="4" t="str">
        <v/>
      </c>
    </row>
    <row r="35351" spans="5:9" ht="16.5" hidden="1">
      <c r="E35351" s="4" t="str">
        <v/>
      </c>
      <c r="F35351" s="102" t="str">
        <f ca="1">IFERROR(__xludf.DUMMYFUNCTION("IMPORTRANGE(H35351,""IDENTITAS UNIT!D9"")"),"#N/A")</f>
        <v>#N/A</v>
      </c>
      <c r="H35351" s="4" t="str">
        <v/>
      </c>
      <c r="I35351" s="4" t="str">
        <v/>
      </c>
    </row>
    <row r="35352" spans="5:9" ht="16.5" hidden="1">
      <c r="E35352" s="4" t="str">
        <v/>
      </c>
      <c r="F35352" s="102" t="str">
        <f ca="1">IFERROR(__xludf.DUMMYFUNCTION("IMPORTRANGE(H35352,""IDENTITAS UNIT!D9"")"),"#N/A")</f>
        <v>#N/A</v>
      </c>
      <c r="H35352" s="4" t="str">
        <v/>
      </c>
      <c r="I35352" s="4" t="str">
        <v/>
      </c>
    </row>
    <row r="35353" spans="5:9" ht="16.5" hidden="1">
      <c r="E35353" s="4" t="str">
        <v/>
      </c>
      <c r="F35353" s="102" t="str">
        <f ca="1">IFERROR(__xludf.DUMMYFUNCTION("IMPORTRANGE(H35353,""IDENTITAS UNIT!D9"")"),"#N/A")</f>
        <v>#N/A</v>
      </c>
      <c r="H35353" s="4" t="str">
        <v/>
      </c>
      <c r="I35353" s="4" t="str">
        <v/>
      </c>
    </row>
    <row r="35354" spans="5:9" ht="16.5" hidden="1">
      <c r="E35354" s="4" t="str">
        <v/>
      </c>
      <c r="F35354" s="102" t="str">
        <f ca="1">IFERROR(__xludf.DUMMYFUNCTION("IMPORTRANGE(H35354,""IDENTITAS UNIT!D9"")"),"#N/A")</f>
        <v>#N/A</v>
      </c>
      <c r="H35354" s="4" t="str">
        <v/>
      </c>
      <c r="I35354" s="4" t="str">
        <v/>
      </c>
    </row>
    <row r="35355" spans="5:9" ht="16.5" hidden="1">
      <c r="E35355" s="4" t="str">
        <v/>
      </c>
      <c r="F35355" s="102" t="str">
        <f ca="1">IFERROR(__xludf.DUMMYFUNCTION("IMPORTRANGE(H35355,""IDENTITAS UNIT!D9"")"),"#N/A")</f>
        <v>#N/A</v>
      </c>
      <c r="H35355" s="4" t="str">
        <v/>
      </c>
      <c r="I35355" s="4" t="str">
        <v/>
      </c>
    </row>
    <row r="35356" spans="5:9" ht="16.5" hidden="1">
      <c r="E35356" s="4" t="str">
        <v/>
      </c>
      <c r="F35356" s="102" t="str">
        <f ca="1">IFERROR(__xludf.DUMMYFUNCTION("IMPORTRANGE(H35356,""IDENTITAS UNIT!D9"")"),"#N/A")</f>
        <v>#N/A</v>
      </c>
      <c r="H35356" s="4" t="str">
        <v/>
      </c>
      <c r="I35356" s="4" t="str">
        <v/>
      </c>
    </row>
    <row r="35357" spans="5:9" ht="16.5" hidden="1">
      <c r="E35357" s="4" t="str">
        <v/>
      </c>
      <c r="F35357" s="102" t="str">
        <f ca="1">IFERROR(__xludf.DUMMYFUNCTION("IMPORTRANGE(H35357,""IDENTITAS UNIT!D9"")"),"#N/A")</f>
        <v>#N/A</v>
      </c>
      <c r="H35357" s="4" t="str">
        <v/>
      </c>
      <c r="I35357" s="4" t="str">
        <v/>
      </c>
    </row>
    <row r="35358" spans="5:9" ht="16.5" hidden="1">
      <c r="E35358" s="4" t="str">
        <v/>
      </c>
      <c r="F35358" s="102" t="str">
        <f ca="1">IFERROR(__xludf.DUMMYFUNCTION("IMPORTRANGE(H35358,""IDENTITAS UNIT!D9"")"),"#N/A")</f>
        <v>#N/A</v>
      </c>
      <c r="H35358" s="4" t="str">
        <v/>
      </c>
      <c r="I35358" s="4" t="str">
        <v/>
      </c>
    </row>
    <row r="35359" spans="5:9" ht="16.5" hidden="1">
      <c r="E35359" s="4" t="str">
        <v/>
      </c>
      <c r="F35359" s="102" t="str">
        <f ca="1">IFERROR(__xludf.DUMMYFUNCTION("IMPORTRANGE(H35359,""IDENTITAS UNIT!D9"")"),"#N/A")</f>
        <v>#N/A</v>
      </c>
      <c r="H35359" s="4" t="str">
        <v/>
      </c>
      <c r="I35359" s="4" t="str">
        <v/>
      </c>
    </row>
    <row r="35360" spans="5:9" ht="16.5" hidden="1">
      <c r="E35360" s="4" t="str">
        <v/>
      </c>
      <c r="F35360" s="102" t="str">
        <f ca="1">IFERROR(__xludf.DUMMYFUNCTION("IMPORTRANGE(H35360,""IDENTITAS UNIT!D9"")"),"#N/A")</f>
        <v>#N/A</v>
      </c>
      <c r="H35360" s="4" t="str">
        <v/>
      </c>
      <c r="I35360" s="4" t="str">
        <v/>
      </c>
    </row>
    <row r="35361" spans="5:9" ht="16.5" hidden="1">
      <c r="E35361" s="4" t="str">
        <v/>
      </c>
      <c r="F35361" s="102" t="str">
        <f ca="1">IFERROR(__xludf.DUMMYFUNCTION("IMPORTRANGE(H35361,""IDENTITAS UNIT!D9"")"),"#N/A")</f>
        <v>#N/A</v>
      </c>
      <c r="H35361" s="4" t="str">
        <v/>
      </c>
      <c r="I35361" s="4" t="str">
        <v/>
      </c>
    </row>
    <row r="35362" spans="5:9" ht="16.5" hidden="1">
      <c r="E35362" s="4" t="str">
        <v/>
      </c>
      <c r="F35362" s="102" t="str">
        <f ca="1">IFERROR(__xludf.DUMMYFUNCTION("IMPORTRANGE(H35362,""IDENTITAS UNIT!D9"")"),"#N/A")</f>
        <v>#N/A</v>
      </c>
      <c r="H35362" s="4" t="str">
        <v/>
      </c>
      <c r="I35362" s="4" t="str">
        <v/>
      </c>
    </row>
    <row r="35363" spans="5:9" ht="16.5" hidden="1">
      <c r="E35363" s="4" t="str">
        <v/>
      </c>
      <c r="F35363" s="102" t="str">
        <f ca="1">IFERROR(__xludf.DUMMYFUNCTION("IMPORTRANGE(H35363,""IDENTITAS UNIT!D9"")"),"#N/A")</f>
        <v>#N/A</v>
      </c>
      <c r="H35363" s="4" t="str">
        <v/>
      </c>
      <c r="I35363" s="4" t="str">
        <v/>
      </c>
    </row>
    <row r="35364" spans="5:9" ht="16.5" hidden="1">
      <c r="E35364" s="4" t="str">
        <v/>
      </c>
      <c r="F35364" s="102" t="str">
        <f ca="1">IFERROR(__xludf.DUMMYFUNCTION("IMPORTRANGE(H35364,""IDENTITAS UNIT!D9"")"),"#N/A")</f>
        <v>#N/A</v>
      </c>
      <c r="H35364" s="4" t="str">
        <v/>
      </c>
      <c r="I35364" s="4" t="str">
        <v/>
      </c>
    </row>
    <row r="35365" spans="5:9" ht="16.5" hidden="1">
      <c r="E35365" s="4" t="str">
        <v/>
      </c>
      <c r="F35365" s="102" t="str">
        <f ca="1">IFERROR(__xludf.DUMMYFUNCTION("IMPORTRANGE(H35365,""IDENTITAS UNIT!D9"")"),"#N/A")</f>
        <v>#N/A</v>
      </c>
      <c r="H35365" s="4" t="str">
        <v/>
      </c>
      <c r="I35365" s="4" t="str">
        <v/>
      </c>
    </row>
    <row r="35366" spans="5:9" ht="16.5" hidden="1">
      <c r="E35366" s="4" t="str">
        <v/>
      </c>
      <c r="F35366" s="102" t="str">
        <f ca="1">IFERROR(__xludf.DUMMYFUNCTION("IMPORTRANGE(H35366,""IDENTITAS UNIT!D9"")"),"#N/A")</f>
        <v>#N/A</v>
      </c>
      <c r="H35366" s="4" t="str">
        <v/>
      </c>
      <c r="I35366" s="4" t="str">
        <v/>
      </c>
    </row>
    <row r="35367" spans="5:9" ht="16.5" hidden="1">
      <c r="E35367" s="4" t="str">
        <v/>
      </c>
      <c r="F35367" s="102" t="str">
        <f ca="1">IFERROR(__xludf.DUMMYFUNCTION("IMPORTRANGE(H35367,""IDENTITAS UNIT!D9"")"),"#N/A")</f>
        <v>#N/A</v>
      </c>
      <c r="H35367" s="4" t="str">
        <v/>
      </c>
      <c r="I35367" s="4" t="str">
        <v/>
      </c>
    </row>
    <row r="35368" spans="5:9" ht="16.5" hidden="1">
      <c r="E35368" s="4" t="str">
        <v/>
      </c>
      <c r="F35368" s="102" t="str">
        <f ca="1">IFERROR(__xludf.DUMMYFUNCTION("IMPORTRANGE(H35368,""IDENTITAS UNIT!D9"")"),"#N/A")</f>
        <v>#N/A</v>
      </c>
      <c r="H35368" s="4" t="str">
        <v/>
      </c>
      <c r="I35368" s="4" t="str">
        <v/>
      </c>
    </row>
    <row r="35369" spans="5:9" ht="16.5" hidden="1">
      <c r="E35369" s="4" t="str">
        <v/>
      </c>
      <c r="F35369" s="102" t="str">
        <f ca="1">IFERROR(__xludf.DUMMYFUNCTION("IMPORTRANGE(H35369,""IDENTITAS UNIT!D9"")"),"#N/A")</f>
        <v>#N/A</v>
      </c>
      <c r="H35369" s="4" t="str">
        <v/>
      </c>
      <c r="I35369" s="4" t="str">
        <v/>
      </c>
    </row>
    <row r="35370" spans="5:9" ht="16.5" hidden="1">
      <c r="E35370" s="4" t="str">
        <v/>
      </c>
      <c r="F35370" s="102" t="str">
        <f ca="1">IFERROR(__xludf.DUMMYFUNCTION("IMPORTRANGE(H35370,""IDENTITAS UNIT!D9"")"),"#N/A")</f>
        <v>#N/A</v>
      </c>
      <c r="H35370" s="4" t="str">
        <v/>
      </c>
      <c r="I35370" s="4" t="str">
        <v/>
      </c>
    </row>
    <row r="35371" spans="5:9" ht="16.5" hidden="1">
      <c r="E35371" s="4" t="str">
        <v/>
      </c>
      <c r="F35371" s="102" t="str">
        <f ca="1">IFERROR(__xludf.DUMMYFUNCTION("IMPORTRANGE(H35371,""IDENTITAS UNIT!D9"")"),"#N/A")</f>
        <v>#N/A</v>
      </c>
      <c r="H35371" s="4" t="str">
        <v/>
      </c>
      <c r="I35371" s="4" t="str">
        <v/>
      </c>
    </row>
    <row r="35372" spans="5:9" ht="16.5" hidden="1">
      <c r="E35372" s="4" t="str">
        <v/>
      </c>
      <c r="F35372" s="102" t="str">
        <f ca="1">IFERROR(__xludf.DUMMYFUNCTION("IMPORTRANGE(H35372,""IDENTITAS UNIT!D9"")"),"#N/A")</f>
        <v>#N/A</v>
      </c>
      <c r="H35372" s="4" t="str">
        <v/>
      </c>
      <c r="I35372" s="4" t="str">
        <v/>
      </c>
    </row>
    <row r="35373" spans="5:9" ht="16.5" hidden="1">
      <c r="E35373" s="4" t="str">
        <v/>
      </c>
      <c r="F35373" s="102" t="str">
        <f ca="1">IFERROR(__xludf.DUMMYFUNCTION("IMPORTRANGE(H35373,""IDENTITAS UNIT!D9"")"),"#N/A")</f>
        <v>#N/A</v>
      </c>
      <c r="H35373" s="4" t="str">
        <v/>
      </c>
      <c r="I35373" s="4" t="str">
        <v/>
      </c>
    </row>
    <row r="35374" spans="5:9" ht="16.5" hidden="1">
      <c r="E35374" s="4" t="str">
        <v/>
      </c>
      <c r="F35374" s="102" t="str">
        <f ca="1">IFERROR(__xludf.DUMMYFUNCTION("IMPORTRANGE(H35374,""IDENTITAS UNIT!D9"")"),"#N/A")</f>
        <v>#N/A</v>
      </c>
      <c r="H35374" s="4" t="str">
        <v/>
      </c>
      <c r="I35374" s="4" t="str">
        <v/>
      </c>
    </row>
    <row r="35375" spans="5:9" ht="16.5" hidden="1">
      <c r="E35375" s="4" t="str">
        <v/>
      </c>
      <c r="F35375" s="102" t="str">
        <f ca="1">IFERROR(__xludf.DUMMYFUNCTION("IMPORTRANGE(H35375,""IDENTITAS UNIT!D9"")"),"#N/A")</f>
        <v>#N/A</v>
      </c>
      <c r="H35375" s="4" t="str">
        <v/>
      </c>
      <c r="I35375" s="4" t="str">
        <v/>
      </c>
    </row>
    <row r="35376" spans="5:9" ht="16.5" hidden="1">
      <c r="E35376" s="4" t="str">
        <v/>
      </c>
      <c r="F35376" s="102" t="str">
        <f ca="1">IFERROR(__xludf.DUMMYFUNCTION("IMPORTRANGE(H35376,""IDENTITAS UNIT!D9"")"),"#N/A")</f>
        <v>#N/A</v>
      </c>
      <c r="H35376" s="4" t="str">
        <v/>
      </c>
      <c r="I35376" s="4" t="str">
        <v/>
      </c>
    </row>
    <row r="35377" spans="5:9" ht="16.5" hidden="1">
      <c r="E35377" s="4" t="str">
        <v/>
      </c>
      <c r="F35377" s="102" t="str">
        <f ca="1">IFERROR(__xludf.DUMMYFUNCTION("IMPORTRANGE(H35377,""IDENTITAS UNIT!D9"")"),"#N/A")</f>
        <v>#N/A</v>
      </c>
      <c r="H35377" s="4" t="str">
        <v/>
      </c>
      <c r="I35377" s="4" t="str">
        <v/>
      </c>
    </row>
    <row r="35378" spans="5:9" ht="16.5" hidden="1">
      <c r="E35378" s="4" t="str">
        <v/>
      </c>
      <c r="F35378" s="102" t="str">
        <f ca="1">IFERROR(__xludf.DUMMYFUNCTION("IMPORTRANGE(H35378,""IDENTITAS UNIT!D9"")"),"#N/A")</f>
        <v>#N/A</v>
      </c>
      <c r="H35378" s="4" t="str">
        <v/>
      </c>
      <c r="I35378" s="4" t="str">
        <v/>
      </c>
    </row>
    <row r="35379" spans="5:9" ht="16.5" hidden="1">
      <c r="E35379" s="4" t="str">
        <v/>
      </c>
      <c r="F35379" s="102" t="str">
        <f ca="1">IFERROR(__xludf.DUMMYFUNCTION("IMPORTRANGE(H35379,""IDENTITAS UNIT!D9"")"),"#N/A")</f>
        <v>#N/A</v>
      </c>
      <c r="H35379" s="4" t="str">
        <v/>
      </c>
      <c r="I35379" s="4" t="str">
        <v/>
      </c>
    </row>
    <row r="35380" spans="5:9" ht="16.5" hidden="1">
      <c r="E35380" s="4" t="str">
        <v/>
      </c>
      <c r="F35380" s="102" t="str">
        <f ca="1">IFERROR(__xludf.DUMMYFUNCTION("IMPORTRANGE(H35380,""IDENTITAS UNIT!D9"")"),"#N/A")</f>
        <v>#N/A</v>
      </c>
      <c r="H35380" s="4" t="str">
        <v/>
      </c>
      <c r="I35380" s="4" t="str">
        <v/>
      </c>
    </row>
    <row r="35381" spans="5:9" ht="16.5" hidden="1">
      <c r="E35381" s="4" t="str">
        <v/>
      </c>
      <c r="F35381" s="102" t="str">
        <f ca="1">IFERROR(__xludf.DUMMYFUNCTION("IMPORTRANGE(H35381,""IDENTITAS UNIT!D9"")"),"#N/A")</f>
        <v>#N/A</v>
      </c>
      <c r="H35381" s="4" t="str">
        <v/>
      </c>
      <c r="I35381" s="4" t="str">
        <v/>
      </c>
    </row>
    <row r="35382" spans="5:9" ht="16.5" hidden="1">
      <c r="E35382" s="4" t="str">
        <v/>
      </c>
      <c r="F35382" s="102" t="str">
        <f ca="1">IFERROR(__xludf.DUMMYFUNCTION("IMPORTRANGE(H35382,""IDENTITAS UNIT!D9"")"),"#N/A")</f>
        <v>#N/A</v>
      </c>
      <c r="H35382" s="4" t="str">
        <v/>
      </c>
      <c r="I35382" s="4" t="str">
        <v/>
      </c>
    </row>
    <row r="35383" spans="5:9" ht="16.5" hidden="1">
      <c r="E35383" s="4" t="str">
        <v/>
      </c>
      <c r="F35383" s="102" t="str">
        <f ca="1">IFERROR(__xludf.DUMMYFUNCTION("IMPORTRANGE(H35383,""IDENTITAS UNIT!D9"")"),"#N/A")</f>
        <v>#N/A</v>
      </c>
      <c r="H35383" s="4" t="str">
        <v/>
      </c>
      <c r="I35383" s="4" t="str">
        <v/>
      </c>
    </row>
    <row r="35384" spans="5:9" ht="16.5" hidden="1">
      <c r="E35384" s="4" t="str">
        <v/>
      </c>
      <c r="F35384" s="102" t="str">
        <f ca="1">IFERROR(__xludf.DUMMYFUNCTION("IMPORTRANGE(H35384,""IDENTITAS UNIT!D9"")"),"#N/A")</f>
        <v>#N/A</v>
      </c>
      <c r="H35384" s="4" t="str">
        <v/>
      </c>
      <c r="I35384" s="4" t="str">
        <v/>
      </c>
    </row>
    <row r="35385" spans="5:9" ht="16.5" hidden="1">
      <c r="E35385" s="4" t="str">
        <v/>
      </c>
      <c r="F35385" s="102" t="str">
        <f ca="1">IFERROR(__xludf.DUMMYFUNCTION("IMPORTRANGE(H35385,""IDENTITAS UNIT!D9"")"),"#N/A")</f>
        <v>#N/A</v>
      </c>
      <c r="H35385" s="4" t="str">
        <v/>
      </c>
      <c r="I35385" s="4" t="str">
        <v/>
      </c>
    </row>
    <row r="35386" spans="5:9" ht="16.5" hidden="1">
      <c r="E35386" s="4" t="str">
        <v/>
      </c>
      <c r="F35386" s="102" t="str">
        <f ca="1">IFERROR(__xludf.DUMMYFUNCTION("IMPORTRANGE(H35386,""IDENTITAS UNIT!D9"")"),"#N/A")</f>
        <v>#N/A</v>
      </c>
      <c r="H35386" s="4" t="str">
        <v/>
      </c>
      <c r="I35386" s="4" t="str">
        <v/>
      </c>
    </row>
    <row r="35387" spans="5:9" ht="16.5" hidden="1">
      <c r="E35387" s="4" t="str">
        <v/>
      </c>
      <c r="F35387" s="102" t="str">
        <f ca="1">IFERROR(__xludf.DUMMYFUNCTION("IMPORTRANGE(H35387,""IDENTITAS UNIT!D9"")"),"#N/A")</f>
        <v>#N/A</v>
      </c>
      <c r="H35387" s="4" t="str">
        <v/>
      </c>
      <c r="I35387" s="4" t="str">
        <v/>
      </c>
    </row>
    <row r="35388" spans="5:9" ht="16.5" hidden="1">
      <c r="E35388" s="4" t="str">
        <v/>
      </c>
      <c r="F35388" s="102" t="str">
        <f ca="1">IFERROR(__xludf.DUMMYFUNCTION("IMPORTRANGE(H35388,""IDENTITAS UNIT!D9"")"),"#N/A")</f>
        <v>#N/A</v>
      </c>
      <c r="H35388" s="4" t="str">
        <v/>
      </c>
      <c r="I35388" s="4" t="str">
        <v/>
      </c>
    </row>
    <row r="35389" spans="5:9" ht="16.5" hidden="1">
      <c r="E35389" s="4" t="str">
        <v/>
      </c>
      <c r="F35389" s="102" t="str">
        <f ca="1">IFERROR(__xludf.DUMMYFUNCTION("IMPORTRANGE(H35389,""IDENTITAS UNIT!D9"")"),"#N/A")</f>
        <v>#N/A</v>
      </c>
      <c r="H35389" s="4" t="str">
        <v/>
      </c>
      <c r="I35389" s="4" t="str">
        <v/>
      </c>
    </row>
    <row r="35390" spans="5:9" ht="16.5" hidden="1">
      <c r="E35390" s="4" t="str">
        <v/>
      </c>
      <c r="F35390" s="102" t="str">
        <f ca="1">IFERROR(__xludf.DUMMYFUNCTION("IMPORTRANGE(H35390,""IDENTITAS UNIT!D9"")"),"#N/A")</f>
        <v>#N/A</v>
      </c>
      <c r="H35390" s="4" t="str">
        <v/>
      </c>
      <c r="I35390" s="4" t="str">
        <v/>
      </c>
    </row>
    <row r="35391" spans="5:9" ht="16.5" hidden="1">
      <c r="E35391" s="4" t="str">
        <v/>
      </c>
      <c r="F35391" s="102" t="str">
        <f ca="1">IFERROR(__xludf.DUMMYFUNCTION("IMPORTRANGE(H35391,""IDENTITAS UNIT!D9"")"),"#N/A")</f>
        <v>#N/A</v>
      </c>
      <c r="H35391" s="4" t="str">
        <v/>
      </c>
      <c r="I35391" s="4" t="str">
        <v/>
      </c>
    </row>
    <row r="35392" spans="5:9" ht="16.5" hidden="1">
      <c r="E35392" s="4" t="str">
        <v/>
      </c>
      <c r="F35392" s="102" t="str">
        <f ca="1">IFERROR(__xludf.DUMMYFUNCTION("IMPORTRANGE(H35392,""IDENTITAS UNIT!D9"")"),"#N/A")</f>
        <v>#N/A</v>
      </c>
      <c r="H35392" s="4" t="str">
        <v/>
      </c>
      <c r="I35392" s="4" t="str">
        <v/>
      </c>
    </row>
    <row r="35393" spans="5:9" ht="16.5" hidden="1">
      <c r="E35393" s="4" t="str">
        <v/>
      </c>
      <c r="F35393" s="102" t="str">
        <f ca="1">IFERROR(__xludf.DUMMYFUNCTION("IMPORTRANGE(H35393,""IDENTITAS UNIT!D9"")"),"#N/A")</f>
        <v>#N/A</v>
      </c>
      <c r="H35393" s="4" t="str">
        <v/>
      </c>
      <c r="I35393" s="4" t="str">
        <v/>
      </c>
    </row>
    <row r="35394" spans="5:9" ht="16.5" hidden="1">
      <c r="E35394" s="4" t="str">
        <v/>
      </c>
      <c r="F35394" s="102" t="str">
        <f ca="1">IFERROR(__xludf.DUMMYFUNCTION("IMPORTRANGE(H35394,""IDENTITAS UNIT!D9"")"),"#N/A")</f>
        <v>#N/A</v>
      </c>
      <c r="H35394" s="4" t="str">
        <v/>
      </c>
      <c r="I35394" s="4" t="str">
        <v/>
      </c>
    </row>
    <row r="35395" spans="5:9" ht="16.5" hidden="1">
      <c r="E35395" s="4" t="str">
        <v/>
      </c>
      <c r="F35395" s="102" t="str">
        <f ca="1">IFERROR(__xludf.DUMMYFUNCTION("IMPORTRANGE(H35395,""IDENTITAS UNIT!D9"")"),"#N/A")</f>
        <v>#N/A</v>
      </c>
      <c r="H35395" s="4" t="str">
        <v/>
      </c>
      <c r="I35395" s="4" t="str">
        <v/>
      </c>
    </row>
    <row r="35396" spans="5:9" ht="16.5" hidden="1">
      <c r="E35396" s="4" t="str">
        <v/>
      </c>
      <c r="F35396" s="102" t="str">
        <f ca="1">IFERROR(__xludf.DUMMYFUNCTION("IMPORTRANGE(H35396,""IDENTITAS UNIT!D9"")"),"#N/A")</f>
        <v>#N/A</v>
      </c>
      <c r="H35396" s="4" t="str">
        <v/>
      </c>
      <c r="I35396" s="4" t="str">
        <v/>
      </c>
    </row>
    <row r="35397" spans="5:9" ht="16.5" hidden="1">
      <c r="E35397" s="4" t="str">
        <v/>
      </c>
      <c r="F35397" s="102" t="str">
        <f ca="1">IFERROR(__xludf.DUMMYFUNCTION("IMPORTRANGE(H35397,""IDENTITAS UNIT!D9"")"),"#N/A")</f>
        <v>#N/A</v>
      </c>
      <c r="H35397" s="4" t="str">
        <v/>
      </c>
      <c r="I35397" s="4" t="str">
        <v/>
      </c>
    </row>
    <row r="35398" spans="5:9" ht="16.5" hidden="1">
      <c r="E35398" s="4" t="str">
        <v/>
      </c>
      <c r="F35398" s="102" t="str">
        <f ca="1">IFERROR(__xludf.DUMMYFUNCTION("IMPORTRANGE(H35398,""IDENTITAS UNIT!D9"")"),"#N/A")</f>
        <v>#N/A</v>
      </c>
      <c r="H35398" s="4" t="str">
        <v/>
      </c>
      <c r="I35398" s="4" t="str">
        <v/>
      </c>
    </row>
    <row r="35399" spans="5:9" ht="16.5" hidden="1">
      <c r="E35399" s="4" t="str">
        <v/>
      </c>
      <c r="F35399" s="102" t="str">
        <f ca="1">IFERROR(__xludf.DUMMYFUNCTION("IMPORTRANGE(H35399,""IDENTITAS UNIT!D9"")"),"#N/A")</f>
        <v>#N/A</v>
      </c>
      <c r="H35399" s="4" t="str">
        <v/>
      </c>
      <c r="I35399" s="4" t="str">
        <v/>
      </c>
    </row>
    <row r="35400" spans="5:9" ht="16.5" hidden="1">
      <c r="E35400" s="4" t="str">
        <v/>
      </c>
      <c r="F35400" s="102" t="str">
        <f ca="1">IFERROR(__xludf.DUMMYFUNCTION("IMPORTRANGE(H35400,""IDENTITAS UNIT!D9"")"),"#N/A")</f>
        <v>#N/A</v>
      </c>
      <c r="H35400" s="4" t="str">
        <v/>
      </c>
      <c r="I35400" s="4" t="str">
        <v/>
      </c>
    </row>
    <row r="35401" spans="5:9" ht="16.5" hidden="1">
      <c r="E35401" s="4" t="str">
        <v/>
      </c>
      <c r="F35401" s="102" t="str">
        <f ca="1">IFERROR(__xludf.DUMMYFUNCTION("IMPORTRANGE(H35401,""IDENTITAS UNIT!D9"")"),"#N/A")</f>
        <v>#N/A</v>
      </c>
      <c r="H35401" s="4" t="str">
        <v/>
      </c>
      <c r="I35401" s="4" t="str">
        <v/>
      </c>
    </row>
    <row r="35402" spans="5:9" ht="16.5" hidden="1">
      <c r="E35402" s="4" t="str">
        <v/>
      </c>
      <c r="F35402" s="102" t="str">
        <f ca="1">IFERROR(__xludf.DUMMYFUNCTION("IMPORTRANGE(H35402,""IDENTITAS UNIT!D9"")"),"#N/A")</f>
        <v>#N/A</v>
      </c>
      <c r="H35402" s="4" t="str">
        <v/>
      </c>
      <c r="I35402" s="4" t="str">
        <v/>
      </c>
    </row>
    <row r="35403" spans="5:9" ht="16.5" hidden="1">
      <c r="E35403" s="4" t="str">
        <v/>
      </c>
      <c r="F35403" s="102" t="str">
        <f ca="1">IFERROR(__xludf.DUMMYFUNCTION("IMPORTRANGE(H35403,""IDENTITAS UNIT!D9"")"),"#N/A")</f>
        <v>#N/A</v>
      </c>
      <c r="H35403" s="4" t="str">
        <v/>
      </c>
      <c r="I35403" s="4" t="str">
        <v/>
      </c>
    </row>
    <row r="35404" spans="5:9" ht="16.5" hidden="1">
      <c r="E35404" s="4" t="str">
        <v/>
      </c>
      <c r="F35404" s="102" t="str">
        <f ca="1">IFERROR(__xludf.DUMMYFUNCTION("IMPORTRANGE(H35404,""IDENTITAS UNIT!D9"")"),"#N/A")</f>
        <v>#N/A</v>
      </c>
      <c r="H35404" s="4" t="str">
        <v/>
      </c>
      <c r="I35404" s="4" t="str">
        <v/>
      </c>
    </row>
    <row r="35405" spans="5:9" ht="16.5" hidden="1">
      <c r="E35405" s="4" t="str">
        <v/>
      </c>
      <c r="F35405" s="102" t="str">
        <f ca="1">IFERROR(__xludf.DUMMYFUNCTION("IMPORTRANGE(H35405,""IDENTITAS UNIT!D9"")"),"#N/A")</f>
        <v>#N/A</v>
      </c>
      <c r="H35405" s="4" t="str">
        <v/>
      </c>
      <c r="I35405" s="4" t="str">
        <v/>
      </c>
    </row>
    <row r="35406" spans="5:9" ht="16.5" hidden="1">
      <c r="E35406" s="4" t="str">
        <v/>
      </c>
      <c r="F35406" s="102" t="str">
        <f ca="1">IFERROR(__xludf.DUMMYFUNCTION("IMPORTRANGE(H35406,""IDENTITAS UNIT!D9"")"),"#N/A")</f>
        <v>#N/A</v>
      </c>
      <c r="H35406" s="4" t="str">
        <v/>
      </c>
      <c r="I35406" s="4" t="str">
        <v/>
      </c>
    </row>
    <row r="35407" spans="5:9" ht="16.5" hidden="1">
      <c r="E35407" s="4" t="str">
        <v/>
      </c>
      <c r="F35407" s="102" t="str">
        <f ca="1">IFERROR(__xludf.DUMMYFUNCTION("IMPORTRANGE(H35407,""IDENTITAS UNIT!D9"")"),"#N/A")</f>
        <v>#N/A</v>
      </c>
      <c r="H35407" s="4" t="str">
        <v/>
      </c>
      <c r="I35407" s="4" t="str">
        <v/>
      </c>
    </row>
    <row r="35408" spans="5:9" ht="16.5" hidden="1">
      <c r="E35408" s="4" t="str">
        <v/>
      </c>
      <c r="F35408" s="102" t="str">
        <f ca="1">IFERROR(__xludf.DUMMYFUNCTION("IMPORTRANGE(H35408,""IDENTITAS UNIT!D9"")"),"#N/A")</f>
        <v>#N/A</v>
      </c>
      <c r="H35408" s="4" t="str">
        <v/>
      </c>
      <c r="I35408" s="4" t="str">
        <v/>
      </c>
    </row>
    <row r="35409" spans="5:9" ht="16.5" hidden="1">
      <c r="E35409" s="4" t="str">
        <v/>
      </c>
      <c r="F35409" s="102" t="str">
        <f ca="1">IFERROR(__xludf.DUMMYFUNCTION("IMPORTRANGE(H35409,""IDENTITAS UNIT!D9"")"),"#N/A")</f>
        <v>#N/A</v>
      </c>
      <c r="H35409" s="4" t="str">
        <v/>
      </c>
      <c r="I35409" s="4" t="str">
        <v/>
      </c>
    </row>
    <row r="35410" spans="5:9" ht="16.5" hidden="1">
      <c r="E35410" s="4" t="str">
        <v/>
      </c>
      <c r="F35410" s="102" t="str">
        <f ca="1">IFERROR(__xludf.DUMMYFUNCTION("IMPORTRANGE(H35410,""IDENTITAS UNIT!D9"")"),"#N/A")</f>
        <v>#N/A</v>
      </c>
      <c r="H35410" s="4" t="str">
        <v/>
      </c>
      <c r="I35410" s="4" t="str">
        <v/>
      </c>
    </row>
    <row r="35411" spans="5:9" ht="16.5" hidden="1">
      <c r="E35411" s="4" t="str">
        <v/>
      </c>
      <c r="F35411" s="102" t="str">
        <f ca="1">IFERROR(__xludf.DUMMYFUNCTION("IMPORTRANGE(H35411,""IDENTITAS UNIT!D9"")"),"#N/A")</f>
        <v>#N/A</v>
      </c>
      <c r="H35411" s="4" t="str">
        <v/>
      </c>
      <c r="I35411" s="4" t="str">
        <v/>
      </c>
    </row>
    <row r="35412" spans="5:9" ht="16.5" hidden="1">
      <c r="E35412" s="4" t="str">
        <v/>
      </c>
      <c r="F35412" s="102" t="str">
        <f ca="1">IFERROR(__xludf.DUMMYFUNCTION("IMPORTRANGE(H35412,""IDENTITAS UNIT!D9"")"),"#N/A")</f>
        <v>#N/A</v>
      </c>
      <c r="H35412" s="4" t="str">
        <v/>
      </c>
      <c r="I35412" s="4" t="str">
        <v/>
      </c>
    </row>
    <row r="35413" spans="5:9" ht="16.5" hidden="1">
      <c r="E35413" s="4" t="str">
        <v/>
      </c>
      <c r="F35413" s="102" t="str">
        <f ca="1">IFERROR(__xludf.DUMMYFUNCTION("IMPORTRANGE(H35413,""IDENTITAS UNIT!D9"")"),"#N/A")</f>
        <v>#N/A</v>
      </c>
      <c r="H35413" s="4" t="str">
        <v/>
      </c>
      <c r="I35413" s="4" t="str">
        <v/>
      </c>
    </row>
    <row r="35414" spans="5:9" ht="16.5" hidden="1">
      <c r="E35414" s="4" t="str">
        <v/>
      </c>
      <c r="F35414" s="102" t="str">
        <f ca="1">IFERROR(__xludf.DUMMYFUNCTION("IMPORTRANGE(H35414,""IDENTITAS UNIT!D9"")"),"#N/A")</f>
        <v>#N/A</v>
      </c>
      <c r="H35414" s="4" t="str">
        <v/>
      </c>
      <c r="I35414" s="4" t="str">
        <v/>
      </c>
    </row>
    <row r="35415" spans="5:9" ht="16.5" hidden="1">
      <c r="E35415" s="4" t="str">
        <v/>
      </c>
      <c r="F35415" s="102" t="str">
        <f ca="1">IFERROR(__xludf.DUMMYFUNCTION("IMPORTRANGE(H35415,""IDENTITAS UNIT!D9"")"),"#N/A")</f>
        <v>#N/A</v>
      </c>
      <c r="H35415" s="4" t="str">
        <v/>
      </c>
      <c r="I35415" s="4" t="str">
        <v/>
      </c>
    </row>
    <row r="35416" spans="5:9" ht="16.5" hidden="1">
      <c r="E35416" s="4" t="str">
        <v/>
      </c>
      <c r="F35416" s="102" t="str">
        <f ca="1">IFERROR(__xludf.DUMMYFUNCTION("IMPORTRANGE(H35416,""IDENTITAS UNIT!D9"")"),"#N/A")</f>
        <v>#N/A</v>
      </c>
      <c r="H35416" s="4" t="str">
        <v/>
      </c>
      <c r="I35416" s="4" t="str">
        <v/>
      </c>
    </row>
    <row r="35417" spans="5:9" ht="16.5" hidden="1">
      <c r="E35417" s="4" t="str">
        <v/>
      </c>
      <c r="F35417" s="102" t="str">
        <f ca="1">IFERROR(__xludf.DUMMYFUNCTION("IMPORTRANGE(H35417,""IDENTITAS UNIT!D9"")"),"#N/A")</f>
        <v>#N/A</v>
      </c>
      <c r="H35417" s="4" t="str">
        <v/>
      </c>
      <c r="I35417" s="4" t="str">
        <v/>
      </c>
    </row>
    <row r="35418" spans="5:9" ht="16.5" hidden="1">
      <c r="E35418" s="4" t="str">
        <v/>
      </c>
      <c r="F35418" s="102" t="str">
        <f ca="1">IFERROR(__xludf.DUMMYFUNCTION("IMPORTRANGE(H35418,""IDENTITAS UNIT!D9"")"),"#N/A")</f>
        <v>#N/A</v>
      </c>
      <c r="H35418" s="4" t="str">
        <v/>
      </c>
      <c r="I35418" s="4" t="str">
        <v/>
      </c>
    </row>
    <row r="35419" spans="5:9" ht="16.5" hidden="1">
      <c r="E35419" s="4" t="str">
        <v/>
      </c>
      <c r="F35419" s="102" t="str">
        <f ca="1">IFERROR(__xludf.DUMMYFUNCTION("IMPORTRANGE(H35419,""IDENTITAS UNIT!D9"")"),"#N/A")</f>
        <v>#N/A</v>
      </c>
      <c r="H35419" s="4" t="str">
        <v/>
      </c>
      <c r="I35419" s="4" t="str">
        <v/>
      </c>
    </row>
    <row r="35420" spans="5:9" ht="16.5" hidden="1">
      <c r="E35420" s="4" t="str">
        <v/>
      </c>
      <c r="F35420" s="102" t="str">
        <f ca="1">IFERROR(__xludf.DUMMYFUNCTION("IMPORTRANGE(H35420,""IDENTITAS UNIT!D9"")"),"#N/A")</f>
        <v>#N/A</v>
      </c>
      <c r="H35420" s="4" t="str">
        <v/>
      </c>
      <c r="I35420" s="4" t="str">
        <v/>
      </c>
    </row>
    <row r="35421" spans="5:9" ht="16.5" hidden="1">
      <c r="E35421" s="4" t="str">
        <v/>
      </c>
      <c r="F35421" s="102" t="str">
        <f ca="1">IFERROR(__xludf.DUMMYFUNCTION("IMPORTRANGE(H35421,""IDENTITAS UNIT!D9"")"),"#N/A")</f>
        <v>#N/A</v>
      </c>
      <c r="H35421" s="4" t="str">
        <v/>
      </c>
      <c r="I35421" s="4" t="str">
        <v/>
      </c>
    </row>
    <row r="35422" spans="5:9" ht="16.5" hidden="1">
      <c r="E35422" s="4" t="str">
        <v/>
      </c>
      <c r="F35422" s="102" t="str">
        <f ca="1">IFERROR(__xludf.DUMMYFUNCTION("IMPORTRANGE(H35422,""IDENTITAS UNIT!D9"")"),"#N/A")</f>
        <v>#N/A</v>
      </c>
      <c r="H35422" s="4" t="str">
        <v/>
      </c>
      <c r="I35422" s="4" t="str">
        <v/>
      </c>
    </row>
    <row r="35423" spans="5:9" ht="16.5" hidden="1">
      <c r="E35423" s="4" t="str">
        <v/>
      </c>
      <c r="F35423" s="102" t="str">
        <f ca="1">IFERROR(__xludf.DUMMYFUNCTION("IMPORTRANGE(H35423,""IDENTITAS UNIT!D9"")"),"#N/A")</f>
        <v>#N/A</v>
      </c>
      <c r="H35423" s="4" t="str">
        <v/>
      </c>
      <c r="I35423" s="4" t="str">
        <v/>
      </c>
    </row>
    <row r="35424" spans="5:9" ht="16.5" hidden="1">
      <c r="E35424" s="4" t="str">
        <v/>
      </c>
      <c r="F35424" s="102" t="str">
        <f ca="1">IFERROR(__xludf.DUMMYFUNCTION("IMPORTRANGE(H35424,""IDENTITAS UNIT!D9"")"),"#N/A")</f>
        <v>#N/A</v>
      </c>
      <c r="H35424" s="4" t="str">
        <v/>
      </c>
      <c r="I35424" s="4" t="str">
        <v/>
      </c>
    </row>
    <row r="35425" spans="5:9" ht="16.5" hidden="1">
      <c r="E35425" s="4" t="str">
        <v/>
      </c>
      <c r="F35425" s="102" t="str">
        <f ca="1">IFERROR(__xludf.DUMMYFUNCTION("IMPORTRANGE(H35425,""IDENTITAS UNIT!D9"")"),"#N/A")</f>
        <v>#N/A</v>
      </c>
      <c r="H35425" s="4" t="str">
        <v/>
      </c>
      <c r="I35425" s="4" t="str">
        <v/>
      </c>
    </row>
    <row r="35426" spans="5:9" ht="16.5" hidden="1">
      <c r="E35426" s="4" t="str">
        <v/>
      </c>
      <c r="F35426" s="102" t="str">
        <f ca="1">IFERROR(__xludf.DUMMYFUNCTION("IMPORTRANGE(H35426,""IDENTITAS UNIT!D9"")"),"#N/A")</f>
        <v>#N/A</v>
      </c>
      <c r="H35426" s="4" t="str">
        <v/>
      </c>
      <c r="I35426" s="4" t="str">
        <v/>
      </c>
    </row>
    <row r="35427" spans="5:9" ht="16.5" hidden="1">
      <c r="E35427" s="4" t="str">
        <v/>
      </c>
      <c r="F35427" s="102" t="str">
        <f ca="1">IFERROR(__xludf.DUMMYFUNCTION("IMPORTRANGE(H35427,""IDENTITAS UNIT!D9"")"),"#N/A")</f>
        <v>#N/A</v>
      </c>
      <c r="H35427" s="4" t="str">
        <v/>
      </c>
      <c r="I35427" s="4" t="str">
        <v/>
      </c>
    </row>
    <row r="35428" spans="5:9" ht="16.5" hidden="1">
      <c r="E35428" s="4" t="str">
        <v/>
      </c>
      <c r="F35428" s="102" t="str">
        <f ca="1">IFERROR(__xludf.DUMMYFUNCTION("IMPORTRANGE(H35428,""IDENTITAS UNIT!D9"")"),"#N/A")</f>
        <v>#N/A</v>
      </c>
      <c r="H35428" s="4" t="str">
        <v/>
      </c>
      <c r="I35428" s="4" t="str">
        <v/>
      </c>
    </row>
    <row r="35429" spans="5:9" ht="16.5" hidden="1">
      <c r="E35429" s="4" t="str">
        <v/>
      </c>
      <c r="F35429" s="102" t="str">
        <f ca="1">IFERROR(__xludf.DUMMYFUNCTION("IMPORTRANGE(H35429,""IDENTITAS UNIT!D9"")"),"#N/A")</f>
        <v>#N/A</v>
      </c>
      <c r="H35429" s="4" t="str">
        <v/>
      </c>
      <c r="I35429" s="4" t="str">
        <v/>
      </c>
    </row>
    <row r="35430" spans="5:9" ht="16.5" hidden="1">
      <c r="E35430" s="4" t="str">
        <v/>
      </c>
      <c r="F35430" s="102" t="str">
        <f ca="1">IFERROR(__xludf.DUMMYFUNCTION("IMPORTRANGE(H35430,""IDENTITAS UNIT!D9"")"),"#N/A")</f>
        <v>#N/A</v>
      </c>
      <c r="H35430" s="4" t="str">
        <v/>
      </c>
      <c r="I35430" s="4" t="str">
        <v/>
      </c>
    </row>
    <row r="35431" spans="5:9" ht="16.5" hidden="1">
      <c r="E35431" s="4" t="str">
        <v/>
      </c>
      <c r="F35431" s="102" t="str">
        <f ca="1">IFERROR(__xludf.DUMMYFUNCTION("IMPORTRANGE(H35431,""IDENTITAS UNIT!D9"")"),"#N/A")</f>
        <v>#N/A</v>
      </c>
      <c r="H35431" s="4" t="str">
        <v/>
      </c>
      <c r="I35431" s="4" t="str">
        <v/>
      </c>
    </row>
    <row r="35432" spans="5:9" ht="16.5" hidden="1">
      <c r="E35432" s="4" t="str">
        <v/>
      </c>
      <c r="F35432" s="102" t="str">
        <f ca="1">IFERROR(__xludf.DUMMYFUNCTION("IMPORTRANGE(H35432,""IDENTITAS UNIT!D9"")"),"#N/A")</f>
        <v>#N/A</v>
      </c>
      <c r="H35432" s="4" t="str">
        <v/>
      </c>
      <c r="I35432" s="4" t="str">
        <v/>
      </c>
    </row>
    <row r="35433" spans="5:9" ht="16.5" hidden="1">
      <c r="E35433" s="4" t="str">
        <v/>
      </c>
      <c r="F35433" s="102" t="str">
        <f ca="1">IFERROR(__xludf.DUMMYFUNCTION("IMPORTRANGE(H35433,""IDENTITAS UNIT!D9"")"),"#N/A")</f>
        <v>#N/A</v>
      </c>
      <c r="H35433" s="4" t="str">
        <v/>
      </c>
      <c r="I35433" s="4" t="str">
        <v/>
      </c>
    </row>
    <row r="35434" spans="5:9" ht="16.5" hidden="1">
      <c r="E35434" s="4" t="str">
        <v/>
      </c>
      <c r="F35434" s="102" t="str">
        <f ca="1">IFERROR(__xludf.DUMMYFUNCTION("IMPORTRANGE(H35434,""IDENTITAS UNIT!D9"")"),"#N/A")</f>
        <v>#N/A</v>
      </c>
      <c r="H35434" s="4" t="str">
        <v/>
      </c>
      <c r="I35434" s="4" t="str">
        <v/>
      </c>
    </row>
    <row r="35435" spans="5:9" ht="16.5" hidden="1">
      <c r="E35435" s="4" t="str">
        <v/>
      </c>
      <c r="F35435" s="102" t="str">
        <f ca="1">IFERROR(__xludf.DUMMYFUNCTION("IMPORTRANGE(H35435,""IDENTITAS UNIT!D9"")"),"#N/A")</f>
        <v>#N/A</v>
      </c>
      <c r="H35435" s="4" t="str">
        <v/>
      </c>
      <c r="I35435" s="4" t="str">
        <v/>
      </c>
    </row>
    <row r="35436" spans="5:9" ht="16.5" hidden="1">
      <c r="E35436" s="4" t="str">
        <v/>
      </c>
      <c r="F35436" s="102" t="str">
        <f ca="1">IFERROR(__xludf.DUMMYFUNCTION("IMPORTRANGE(H35436,""IDENTITAS UNIT!D9"")"),"#N/A")</f>
        <v>#N/A</v>
      </c>
      <c r="H35436" s="4" t="str">
        <v/>
      </c>
      <c r="I35436" s="4" t="str">
        <v/>
      </c>
    </row>
    <row r="35437" spans="5:9" ht="16.5" hidden="1">
      <c r="E35437" s="4" t="str">
        <v/>
      </c>
      <c r="F35437" s="102" t="str">
        <f ca="1">IFERROR(__xludf.DUMMYFUNCTION("IMPORTRANGE(H35437,""IDENTITAS UNIT!D9"")"),"#N/A")</f>
        <v>#N/A</v>
      </c>
      <c r="H35437" s="4" t="str">
        <v/>
      </c>
      <c r="I35437" s="4" t="str">
        <v/>
      </c>
    </row>
    <row r="35438" spans="5:9" ht="16.5" hidden="1">
      <c r="E35438" s="4" t="str">
        <v/>
      </c>
      <c r="F35438" s="102" t="str">
        <f ca="1">IFERROR(__xludf.DUMMYFUNCTION("IMPORTRANGE(H35438,""IDENTITAS UNIT!D9"")"),"#N/A")</f>
        <v>#N/A</v>
      </c>
      <c r="H35438" s="4" t="str">
        <v/>
      </c>
      <c r="I35438" s="4" t="str">
        <v/>
      </c>
    </row>
    <row r="35439" spans="5:9" ht="16.5" hidden="1">
      <c r="E35439" s="4" t="str">
        <v/>
      </c>
      <c r="F35439" s="102" t="str">
        <f ca="1">IFERROR(__xludf.DUMMYFUNCTION("IMPORTRANGE(H35439,""IDENTITAS UNIT!D9"")"),"#N/A")</f>
        <v>#N/A</v>
      </c>
      <c r="H35439" s="4" t="str">
        <v/>
      </c>
      <c r="I35439" s="4" t="str">
        <v/>
      </c>
    </row>
    <row r="35440" spans="5:9" ht="16.5" hidden="1">
      <c r="E35440" s="4" t="str">
        <v/>
      </c>
      <c r="F35440" s="102" t="str">
        <f ca="1">IFERROR(__xludf.DUMMYFUNCTION("IMPORTRANGE(H35440,""IDENTITAS UNIT!D9"")"),"#N/A")</f>
        <v>#N/A</v>
      </c>
      <c r="H35440" s="4" t="str">
        <v/>
      </c>
      <c r="I35440" s="4" t="str">
        <v/>
      </c>
    </row>
    <row r="35441" spans="5:9" ht="16.5" hidden="1">
      <c r="E35441" s="4" t="str">
        <v/>
      </c>
      <c r="F35441" s="102" t="str">
        <f ca="1">IFERROR(__xludf.DUMMYFUNCTION("IMPORTRANGE(H35441,""IDENTITAS UNIT!D9"")"),"#N/A")</f>
        <v>#N/A</v>
      </c>
      <c r="H35441" s="4" t="str">
        <v/>
      </c>
      <c r="I35441" s="4" t="str">
        <v/>
      </c>
    </row>
    <row r="35442" spans="5:9" ht="16.5" hidden="1">
      <c r="E35442" s="4" t="str">
        <v/>
      </c>
      <c r="F35442" s="102" t="str">
        <f ca="1">IFERROR(__xludf.DUMMYFUNCTION("IMPORTRANGE(H35442,""IDENTITAS UNIT!D9"")"),"#N/A")</f>
        <v>#N/A</v>
      </c>
      <c r="H35442" s="4" t="str">
        <v/>
      </c>
      <c r="I35442" s="4" t="str">
        <v/>
      </c>
    </row>
    <row r="35443" spans="5:9" ht="16.5" hidden="1">
      <c r="E35443" s="4" t="str">
        <v/>
      </c>
      <c r="F35443" s="102" t="str">
        <f ca="1">IFERROR(__xludf.DUMMYFUNCTION("IMPORTRANGE(H35443,""IDENTITAS UNIT!D9"")"),"#N/A")</f>
        <v>#N/A</v>
      </c>
      <c r="H35443" s="4" t="str">
        <v/>
      </c>
      <c r="I35443" s="4" t="str">
        <v/>
      </c>
    </row>
    <row r="35444" spans="5:9" ht="16.5" hidden="1">
      <c r="E35444" s="4" t="str">
        <v/>
      </c>
      <c r="F35444" s="102" t="str">
        <f ca="1">IFERROR(__xludf.DUMMYFUNCTION("IMPORTRANGE(H35444,""IDENTITAS UNIT!D9"")"),"#N/A")</f>
        <v>#N/A</v>
      </c>
      <c r="H35444" s="4" t="str">
        <v/>
      </c>
      <c r="I35444" s="4" t="str">
        <v/>
      </c>
    </row>
    <row r="35445" spans="5:9" ht="16.5" hidden="1">
      <c r="E35445" s="4" t="str">
        <v/>
      </c>
      <c r="F35445" s="102" t="str">
        <f ca="1">IFERROR(__xludf.DUMMYFUNCTION("IMPORTRANGE(H35445,""IDENTITAS UNIT!D9"")"),"#N/A")</f>
        <v>#N/A</v>
      </c>
      <c r="H35445" s="4" t="str">
        <v/>
      </c>
      <c r="I35445" s="4" t="str">
        <v/>
      </c>
    </row>
    <row r="35446" spans="5:9" ht="16.5" hidden="1">
      <c r="E35446" s="4" t="str">
        <v/>
      </c>
      <c r="F35446" s="102" t="str">
        <f ca="1">IFERROR(__xludf.DUMMYFUNCTION("IMPORTRANGE(H35446,""IDENTITAS UNIT!D9"")"),"#N/A")</f>
        <v>#N/A</v>
      </c>
      <c r="H35446" s="4" t="str">
        <v/>
      </c>
      <c r="I35446" s="4" t="str">
        <v/>
      </c>
    </row>
    <row r="35447" spans="5:9" ht="16.5" hidden="1">
      <c r="E35447" s="4" t="str">
        <v/>
      </c>
      <c r="F35447" s="102" t="str">
        <f ca="1">IFERROR(__xludf.DUMMYFUNCTION("IMPORTRANGE(H35447,""IDENTITAS UNIT!D9"")"),"#N/A")</f>
        <v>#N/A</v>
      </c>
      <c r="H35447" s="4" t="str">
        <v/>
      </c>
      <c r="I35447" s="4" t="str">
        <v/>
      </c>
    </row>
    <row r="35448" spans="5:9" ht="16.5" hidden="1">
      <c r="E35448" s="4" t="str">
        <v/>
      </c>
      <c r="F35448" s="102" t="str">
        <f ca="1">IFERROR(__xludf.DUMMYFUNCTION("IMPORTRANGE(H35448,""IDENTITAS UNIT!D9"")"),"#N/A")</f>
        <v>#N/A</v>
      </c>
      <c r="H35448" s="4" t="str">
        <v/>
      </c>
      <c r="I35448" s="4" t="str">
        <v/>
      </c>
    </row>
    <row r="35449" spans="5:9" ht="16.5" hidden="1">
      <c r="E35449" s="4" t="str">
        <v/>
      </c>
      <c r="F35449" s="102" t="str">
        <f ca="1">IFERROR(__xludf.DUMMYFUNCTION("IMPORTRANGE(H35449,""IDENTITAS UNIT!D9"")"),"#N/A")</f>
        <v>#N/A</v>
      </c>
      <c r="H35449" s="4" t="str">
        <v/>
      </c>
      <c r="I35449" s="4" t="str">
        <v/>
      </c>
    </row>
    <row r="35450" spans="5:9" ht="16.5" hidden="1">
      <c r="E35450" s="4" t="str">
        <v/>
      </c>
      <c r="F35450" s="102" t="str">
        <f ca="1">IFERROR(__xludf.DUMMYFUNCTION("IMPORTRANGE(H35450,""IDENTITAS UNIT!D9"")"),"#N/A")</f>
        <v>#N/A</v>
      </c>
      <c r="H35450" s="4" t="str">
        <v/>
      </c>
      <c r="I35450" s="4" t="str">
        <v/>
      </c>
    </row>
    <row r="35451" spans="5:9" ht="16.5" hidden="1">
      <c r="E35451" s="4" t="str">
        <v/>
      </c>
      <c r="F35451" s="102" t="str">
        <f ca="1">IFERROR(__xludf.DUMMYFUNCTION("IMPORTRANGE(H35451,""IDENTITAS UNIT!D9"")"),"#N/A")</f>
        <v>#N/A</v>
      </c>
      <c r="H35451" s="4" t="str">
        <v/>
      </c>
      <c r="I35451" s="4" t="str">
        <v/>
      </c>
    </row>
    <row r="35452" spans="5:9" ht="16.5" hidden="1">
      <c r="E35452" s="4" t="str">
        <v/>
      </c>
      <c r="F35452" s="102" t="str">
        <f ca="1">IFERROR(__xludf.DUMMYFUNCTION("IMPORTRANGE(H35452,""IDENTITAS UNIT!D9"")"),"#N/A")</f>
        <v>#N/A</v>
      </c>
      <c r="H35452" s="4" t="str">
        <v/>
      </c>
      <c r="I35452" s="4" t="str">
        <v/>
      </c>
    </row>
    <row r="35453" spans="5:9" ht="16.5" hidden="1">
      <c r="E35453" s="4" t="str">
        <v/>
      </c>
      <c r="F35453" s="102" t="str">
        <f ca="1">IFERROR(__xludf.DUMMYFUNCTION("IMPORTRANGE(H35453,""IDENTITAS UNIT!D9"")"),"#N/A")</f>
        <v>#N/A</v>
      </c>
      <c r="H35453" s="4" t="str">
        <v/>
      </c>
      <c r="I35453" s="4" t="str">
        <v/>
      </c>
    </row>
    <row r="35454" spans="5:9" ht="16.5" hidden="1">
      <c r="E35454" s="4" t="str">
        <v/>
      </c>
      <c r="F35454" s="102" t="str">
        <f ca="1">IFERROR(__xludf.DUMMYFUNCTION("IMPORTRANGE(H35454,""IDENTITAS UNIT!D9"")"),"#N/A")</f>
        <v>#N/A</v>
      </c>
      <c r="H35454" s="4" t="str">
        <v/>
      </c>
      <c r="I35454" s="4" t="str">
        <v/>
      </c>
    </row>
    <row r="35455" spans="5:9" ht="16.5" hidden="1">
      <c r="E35455" s="4" t="str">
        <v/>
      </c>
      <c r="F35455" s="102" t="str">
        <f ca="1">IFERROR(__xludf.DUMMYFUNCTION("IMPORTRANGE(H35455,""IDENTITAS UNIT!D9"")"),"#N/A")</f>
        <v>#N/A</v>
      </c>
      <c r="H35455" s="4" t="str">
        <v/>
      </c>
      <c r="I35455" s="4" t="str">
        <v/>
      </c>
    </row>
    <row r="35456" spans="5:9" ht="16.5" hidden="1">
      <c r="E35456" s="4" t="str">
        <v/>
      </c>
      <c r="F35456" s="102" t="str">
        <f ca="1">IFERROR(__xludf.DUMMYFUNCTION("IMPORTRANGE(H35456,""IDENTITAS UNIT!D9"")"),"#N/A")</f>
        <v>#N/A</v>
      </c>
      <c r="H35456" s="4" t="str">
        <v/>
      </c>
      <c r="I35456" s="4" t="str">
        <v/>
      </c>
    </row>
    <row r="35457" spans="5:9" ht="16.5" hidden="1">
      <c r="E35457" s="4" t="str">
        <v/>
      </c>
      <c r="F35457" s="102" t="str">
        <f ca="1">IFERROR(__xludf.DUMMYFUNCTION("IMPORTRANGE(H35457,""IDENTITAS UNIT!D9"")"),"#N/A")</f>
        <v>#N/A</v>
      </c>
      <c r="H35457" s="4" t="str">
        <v/>
      </c>
      <c r="I35457" s="4" t="str">
        <v/>
      </c>
    </row>
    <row r="35458" spans="5:9" ht="16.5" hidden="1">
      <c r="E35458" s="4" t="str">
        <v/>
      </c>
      <c r="F35458" s="102" t="str">
        <f ca="1">IFERROR(__xludf.DUMMYFUNCTION("IMPORTRANGE(H35458,""IDENTITAS UNIT!D9"")"),"#N/A")</f>
        <v>#N/A</v>
      </c>
      <c r="H35458" s="4" t="str">
        <v/>
      </c>
      <c r="I35458" s="4" t="str">
        <v/>
      </c>
    </row>
    <row r="35459" spans="5:9" ht="16.5" hidden="1">
      <c r="E35459" s="4" t="str">
        <v/>
      </c>
      <c r="F35459" s="102" t="str">
        <f ca="1">IFERROR(__xludf.DUMMYFUNCTION("IMPORTRANGE(H35459,""IDENTITAS UNIT!D9"")"),"#N/A")</f>
        <v>#N/A</v>
      </c>
      <c r="H35459" s="4" t="str">
        <v/>
      </c>
      <c r="I35459" s="4" t="str">
        <v/>
      </c>
    </row>
    <row r="35460" spans="5:9" ht="16.5" hidden="1">
      <c r="E35460" s="4" t="str">
        <v/>
      </c>
      <c r="F35460" s="102" t="str">
        <f ca="1">IFERROR(__xludf.DUMMYFUNCTION("IMPORTRANGE(H35460,""IDENTITAS UNIT!D9"")"),"#N/A")</f>
        <v>#N/A</v>
      </c>
      <c r="H35460" s="4" t="str">
        <v/>
      </c>
      <c r="I35460" s="4" t="str">
        <v/>
      </c>
    </row>
    <row r="35461" spans="5:9" ht="16.5" hidden="1">
      <c r="E35461" s="4" t="str">
        <v/>
      </c>
      <c r="F35461" s="102" t="str">
        <f ca="1">IFERROR(__xludf.DUMMYFUNCTION("IMPORTRANGE(H35461,""IDENTITAS UNIT!D9"")"),"#N/A")</f>
        <v>#N/A</v>
      </c>
      <c r="H35461" s="4" t="str">
        <v/>
      </c>
      <c r="I35461" s="4" t="str">
        <v/>
      </c>
    </row>
    <row r="35462" spans="5:9" ht="16.5" hidden="1">
      <c r="E35462" s="4" t="str">
        <v/>
      </c>
      <c r="F35462" s="102" t="str">
        <f ca="1">IFERROR(__xludf.DUMMYFUNCTION("IMPORTRANGE(H35462,""IDENTITAS UNIT!D9"")"),"#N/A")</f>
        <v>#N/A</v>
      </c>
      <c r="H35462" s="4" t="str">
        <v/>
      </c>
      <c r="I35462" s="4" t="str">
        <v/>
      </c>
    </row>
    <row r="35463" spans="5:9" ht="16.5" hidden="1">
      <c r="E35463" s="4" t="str">
        <v/>
      </c>
      <c r="F35463" s="102" t="str">
        <f ca="1">IFERROR(__xludf.DUMMYFUNCTION("IMPORTRANGE(H35463,""IDENTITAS UNIT!D9"")"),"#N/A")</f>
        <v>#N/A</v>
      </c>
      <c r="H35463" s="4" t="str">
        <v/>
      </c>
      <c r="I35463" s="4" t="str">
        <v/>
      </c>
    </row>
    <row r="35464" spans="5:9" ht="16.5" hidden="1">
      <c r="E35464" s="4" t="str">
        <v/>
      </c>
      <c r="F35464" s="102" t="str">
        <f ca="1">IFERROR(__xludf.DUMMYFUNCTION("IMPORTRANGE(H35464,""IDENTITAS UNIT!D9"")"),"#N/A")</f>
        <v>#N/A</v>
      </c>
      <c r="H35464" s="4" t="str">
        <v/>
      </c>
      <c r="I35464" s="4" t="str">
        <v/>
      </c>
    </row>
    <row r="35465" spans="5:9" ht="16.5" hidden="1">
      <c r="E35465" s="4" t="str">
        <v/>
      </c>
      <c r="F35465" s="102" t="str">
        <f ca="1">IFERROR(__xludf.DUMMYFUNCTION("IMPORTRANGE(H35465,""IDENTITAS UNIT!D9"")"),"#N/A")</f>
        <v>#N/A</v>
      </c>
      <c r="H35465" s="4" t="str">
        <v/>
      </c>
      <c r="I35465" s="4" t="str">
        <v/>
      </c>
    </row>
    <row r="35466" spans="5:9" ht="16.5" hidden="1">
      <c r="E35466" s="4" t="str">
        <v/>
      </c>
      <c r="F35466" s="102" t="str">
        <f ca="1">IFERROR(__xludf.DUMMYFUNCTION("IMPORTRANGE(H35466,""IDENTITAS UNIT!D9"")"),"#N/A")</f>
        <v>#N/A</v>
      </c>
      <c r="H35466" s="4" t="str">
        <v/>
      </c>
      <c r="I35466" s="4" t="str">
        <v/>
      </c>
    </row>
    <row r="35467" spans="5:9" ht="16.5" hidden="1">
      <c r="E35467" s="4" t="str">
        <v/>
      </c>
      <c r="F35467" s="102" t="str">
        <f ca="1">IFERROR(__xludf.DUMMYFUNCTION("IMPORTRANGE(H35467,""IDENTITAS UNIT!D9"")"),"#N/A")</f>
        <v>#N/A</v>
      </c>
      <c r="H35467" s="4" t="str">
        <v/>
      </c>
      <c r="I35467" s="4" t="str">
        <v/>
      </c>
    </row>
    <row r="35468" spans="5:9" ht="16.5" hidden="1">
      <c r="E35468" s="4" t="str">
        <v/>
      </c>
      <c r="F35468" s="102" t="str">
        <f ca="1">IFERROR(__xludf.DUMMYFUNCTION("IMPORTRANGE(H35468,""IDENTITAS UNIT!D9"")"),"#N/A")</f>
        <v>#N/A</v>
      </c>
      <c r="H35468" s="4" t="str">
        <v/>
      </c>
      <c r="I35468" s="4" t="str">
        <v/>
      </c>
    </row>
    <row r="35469" spans="5:9" ht="16.5" hidden="1">
      <c r="E35469" s="4" t="str">
        <v/>
      </c>
      <c r="F35469" s="102" t="str">
        <f ca="1">IFERROR(__xludf.DUMMYFUNCTION("IMPORTRANGE(H35469,""IDENTITAS UNIT!D9"")"),"#N/A")</f>
        <v>#N/A</v>
      </c>
      <c r="H35469" s="4" t="str">
        <v/>
      </c>
      <c r="I35469" s="4" t="str">
        <v/>
      </c>
    </row>
    <row r="35470" spans="5:9" ht="16.5" hidden="1">
      <c r="E35470" s="4" t="str">
        <v/>
      </c>
      <c r="F35470" s="102" t="str">
        <f ca="1">IFERROR(__xludf.DUMMYFUNCTION("IMPORTRANGE(H35470,""IDENTITAS UNIT!D9"")"),"#N/A")</f>
        <v>#N/A</v>
      </c>
      <c r="H35470" s="4" t="str">
        <v/>
      </c>
      <c r="I35470" s="4" t="str">
        <v/>
      </c>
    </row>
    <row r="35471" spans="5:9" ht="16.5" hidden="1">
      <c r="E35471" s="4" t="str">
        <v/>
      </c>
      <c r="F35471" s="102" t="str">
        <f ca="1">IFERROR(__xludf.DUMMYFUNCTION("IMPORTRANGE(H35471,""IDENTITAS UNIT!D9"")"),"#N/A")</f>
        <v>#N/A</v>
      </c>
      <c r="H35471" s="4" t="str">
        <v/>
      </c>
      <c r="I35471" s="4" t="str">
        <v/>
      </c>
    </row>
    <row r="35472" spans="5:9" ht="16.5" hidden="1">
      <c r="E35472" s="4" t="str">
        <v/>
      </c>
      <c r="F35472" s="102" t="str">
        <f ca="1">IFERROR(__xludf.DUMMYFUNCTION("IMPORTRANGE(H35472,""IDENTITAS UNIT!D9"")"),"#N/A")</f>
        <v>#N/A</v>
      </c>
      <c r="H35472" s="4" t="str">
        <v/>
      </c>
      <c r="I35472" s="4" t="str">
        <v/>
      </c>
    </row>
    <row r="35473" spans="5:9" ht="16.5" hidden="1">
      <c r="E35473" s="4" t="str">
        <v/>
      </c>
      <c r="F35473" s="102" t="str">
        <f ca="1">IFERROR(__xludf.DUMMYFUNCTION("IMPORTRANGE(H35473,""IDENTITAS UNIT!D9"")"),"#N/A")</f>
        <v>#N/A</v>
      </c>
      <c r="H35473" s="4" t="str">
        <v/>
      </c>
      <c r="I35473" s="4" t="str">
        <v/>
      </c>
    </row>
    <row r="35474" spans="5:9" ht="16.5" hidden="1">
      <c r="E35474" s="4" t="str">
        <v/>
      </c>
      <c r="F35474" s="102" t="str">
        <f ca="1">IFERROR(__xludf.DUMMYFUNCTION("IMPORTRANGE(H35474,""IDENTITAS UNIT!D9"")"),"#N/A")</f>
        <v>#N/A</v>
      </c>
      <c r="H35474" s="4" t="str">
        <v/>
      </c>
      <c r="I35474" s="4" t="str">
        <v/>
      </c>
    </row>
    <row r="35475" spans="5:9" ht="16.5" hidden="1">
      <c r="E35475" s="4" t="str">
        <v/>
      </c>
      <c r="F35475" s="102" t="str">
        <f ca="1">IFERROR(__xludf.DUMMYFUNCTION("IMPORTRANGE(H35475,""IDENTITAS UNIT!D9"")"),"#N/A")</f>
        <v>#N/A</v>
      </c>
      <c r="H35475" s="4" t="str">
        <v/>
      </c>
      <c r="I35475" s="4" t="str">
        <v/>
      </c>
    </row>
    <row r="35476" spans="5:9" ht="16.5" hidden="1">
      <c r="E35476" s="4" t="str">
        <v/>
      </c>
      <c r="F35476" s="102" t="str">
        <f ca="1">IFERROR(__xludf.DUMMYFUNCTION("IMPORTRANGE(H35476,""IDENTITAS UNIT!D9"")"),"#N/A")</f>
        <v>#N/A</v>
      </c>
      <c r="H35476" s="4" t="str">
        <v/>
      </c>
      <c r="I35476" s="4" t="str">
        <v/>
      </c>
    </row>
    <row r="35477" spans="5:9" ht="16.5" hidden="1">
      <c r="E35477" s="4" t="str">
        <v/>
      </c>
      <c r="F35477" s="102" t="str">
        <f ca="1">IFERROR(__xludf.DUMMYFUNCTION("IMPORTRANGE(H35477,""IDENTITAS UNIT!D9"")"),"#N/A")</f>
        <v>#N/A</v>
      </c>
      <c r="H35477" s="4" t="str">
        <v/>
      </c>
      <c r="I35477" s="4" t="str">
        <v/>
      </c>
    </row>
    <row r="35478" spans="5:9" ht="16.5" hidden="1">
      <c r="E35478" s="4" t="str">
        <v/>
      </c>
      <c r="F35478" s="102" t="str">
        <f ca="1">IFERROR(__xludf.DUMMYFUNCTION("IMPORTRANGE(H35478,""IDENTITAS UNIT!D9"")"),"#N/A")</f>
        <v>#N/A</v>
      </c>
      <c r="H35478" s="4" t="str">
        <v/>
      </c>
      <c r="I35478" s="4" t="str">
        <v/>
      </c>
    </row>
    <row r="35479" spans="5:9" ht="16.5" hidden="1">
      <c r="E35479" s="4" t="str">
        <v/>
      </c>
      <c r="F35479" s="102" t="str">
        <f ca="1">IFERROR(__xludf.DUMMYFUNCTION("IMPORTRANGE(H35479,""IDENTITAS UNIT!D9"")"),"#N/A")</f>
        <v>#N/A</v>
      </c>
      <c r="H35479" s="4" t="str">
        <v/>
      </c>
      <c r="I35479" s="4" t="str">
        <v/>
      </c>
    </row>
    <row r="35480" spans="5:9" ht="16.5" hidden="1">
      <c r="E35480" s="4" t="str">
        <v/>
      </c>
      <c r="F35480" s="102" t="str">
        <f ca="1">IFERROR(__xludf.DUMMYFUNCTION("IMPORTRANGE(H35480,""IDENTITAS UNIT!D9"")"),"#N/A")</f>
        <v>#N/A</v>
      </c>
      <c r="H35480" s="4" t="str">
        <v/>
      </c>
      <c r="I35480" s="4" t="str">
        <v/>
      </c>
    </row>
    <row r="35481" spans="5:9" ht="16.5" hidden="1">
      <c r="E35481" s="4" t="str">
        <v/>
      </c>
      <c r="F35481" s="102" t="str">
        <f ca="1">IFERROR(__xludf.DUMMYFUNCTION("IMPORTRANGE(H35481,""IDENTITAS UNIT!D9"")"),"#N/A")</f>
        <v>#N/A</v>
      </c>
      <c r="H35481" s="4" t="str">
        <v/>
      </c>
      <c r="I35481" s="4" t="str">
        <v/>
      </c>
    </row>
    <row r="35482" spans="5:9" ht="16.5" hidden="1">
      <c r="E35482" s="4" t="str">
        <v/>
      </c>
      <c r="F35482" s="102" t="str">
        <f ca="1">IFERROR(__xludf.DUMMYFUNCTION("IMPORTRANGE(H35482,""IDENTITAS UNIT!D9"")"),"#N/A")</f>
        <v>#N/A</v>
      </c>
      <c r="H35482" s="4" t="str">
        <v/>
      </c>
      <c r="I35482" s="4" t="str">
        <v/>
      </c>
    </row>
    <row r="35483" spans="5:9" ht="16.5" hidden="1">
      <c r="E35483" s="4" t="str">
        <v/>
      </c>
      <c r="F35483" s="102" t="str">
        <f ca="1">IFERROR(__xludf.DUMMYFUNCTION("IMPORTRANGE(H35483,""IDENTITAS UNIT!D9"")"),"#N/A")</f>
        <v>#N/A</v>
      </c>
      <c r="H35483" s="4" t="str">
        <v/>
      </c>
      <c r="I35483" s="4" t="str">
        <v/>
      </c>
    </row>
    <row r="35484" spans="5:9" ht="16.5" hidden="1">
      <c r="E35484" s="4" t="str">
        <v/>
      </c>
      <c r="F35484" s="102" t="str">
        <f ca="1">IFERROR(__xludf.DUMMYFUNCTION("IMPORTRANGE(H35484,""IDENTITAS UNIT!D9"")"),"#N/A")</f>
        <v>#N/A</v>
      </c>
      <c r="H35484" s="4" t="str">
        <v/>
      </c>
      <c r="I35484" s="4" t="str">
        <v/>
      </c>
    </row>
    <row r="35485" spans="5:9" ht="16.5" hidden="1">
      <c r="E35485" s="4" t="str">
        <v/>
      </c>
      <c r="F35485" s="102" t="str">
        <f ca="1">IFERROR(__xludf.DUMMYFUNCTION("IMPORTRANGE(H35485,""IDENTITAS UNIT!D9"")"),"#N/A")</f>
        <v>#N/A</v>
      </c>
      <c r="H35485" s="4" t="str">
        <v/>
      </c>
      <c r="I35485" s="4" t="str">
        <v/>
      </c>
    </row>
    <row r="35486" spans="5:9" ht="16.5" hidden="1">
      <c r="E35486" s="4" t="str">
        <v/>
      </c>
      <c r="F35486" s="102" t="str">
        <f ca="1">IFERROR(__xludf.DUMMYFUNCTION("IMPORTRANGE(H35486,""IDENTITAS UNIT!D9"")"),"#N/A")</f>
        <v>#N/A</v>
      </c>
      <c r="H35486" s="4" t="str">
        <v/>
      </c>
      <c r="I35486" s="4" t="str">
        <v/>
      </c>
    </row>
    <row r="35487" spans="5:9" ht="16.5" hidden="1">
      <c r="E35487" s="4" t="str">
        <v/>
      </c>
      <c r="F35487" s="102" t="str">
        <f ca="1">IFERROR(__xludf.DUMMYFUNCTION("IMPORTRANGE(H35487,""IDENTITAS UNIT!D9"")"),"#N/A")</f>
        <v>#N/A</v>
      </c>
      <c r="H35487" s="4" t="str">
        <v/>
      </c>
      <c r="I35487" s="4" t="str">
        <v/>
      </c>
    </row>
    <row r="35488" spans="5:9" ht="16.5" hidden="1">
      <c r="E35488" s="4" t="str">
        <v/>
      </c>
      <c r="F35488" s="102" t="str">
        <f ca="1">IFERROR(__xludf.DUMMYFUNCTION("IMPORTRANGE(H35488,""IDENTITAS UNIT!D9"")"),"#N/A")</f>
        <v>#N/A</v>
      </c>
      <c r="H35488" s="4" t="str">
        <v/>
      </c>
      <c r="I35488" s="4" t="str">
        <v/>
      </c>
    </row>
    <row r="35489" spans="5:9" ht="16.5" hidden="1">
      <c r="E35489" s="4" t="str">
        <v/>
      </c>
      <c r="F35489" s="102" t="str">
        <f ca="1">IFERROR(__xludf.DUMMYFUNCTION("IMPORTRANGE(H35489,""IDENTITAS UNIT!D9"")"),"#N/A")</f>
        <v>#N/A</v>
      </c>
      <c r="H35489" s="4" t="str">
        <v/>
      </c>
      <c r="I35489" s="4" t="str">
        <v/>
      </c>
    </row>
    <row r="35490" spans="5:9" ht="16.5" hidden="1">
      <c r="E35490" s="4" t="str">
        <v/>
      </c>
      <c r="F35490" s="102" t="str">
        <f ca="1">IFERROR(__xludf.DUMMYFUNCTION("IMPORTRANGE(H35490,""IDENTITAS UNIT!D9"")"),"#N/A")</f>
        <v>#N/A</v>
      </c>
      <c r="H35490" s="4" t="str">
        <v/>
      </c>
      <c r="I35490" s="4" t="str">
        <v/>
      </c>
    </row>
    <row r="35491" spans="5:9" ht="16.5" hidden="1">
      <c r="E35491" s="4" t="str">
        <v/>
      </c>
      <c r="F35491" s="102" t="str">
        <f ca="1">IFERROR(__xludf.DUMMYFUNCTION("IMPORTRANGE(H35491,""IDENTITAS UNIT!D9"")"),"#N/A")</f>
        <v>#N/A</v>
      </c>
      <c r="H35491" s="4" t="str">
        <v/>
      </c>
      <c r="I35491" s="4" t="str">
        <v/>
      </c>
    </row>
    <row r="35492" spans="5:9" ht="16.5" hidden="1">
      <c r="E35492" s="4" t="str">
        <v/>
      </c>
      <c r="F35492" s="102" t="str">
        <f ca="1">IFERROR(__xludf.DUMMYFUNCTION("IMPORTRANGE(H35492,""IDENTITAS UNIT!D9"")"),"#N/A")</f>
        <v>#N/A</v>
      </c>
      <c r="H35492" s="4" t="str">
        <v/>
      </c>
      <c r="I35492" s="4" t="str">
        <v/>
      </c>
    </row>
    <row r="35493" spans="5:9" ht="16.5" hidden="1">
      <c r="E35493" s="4" t="str">
        <v/>
      </c>
      <c r="F35493" s="102" t="str">
        <f ca="1">IFERROR(__xludf.DUMMYFUNCTION("IMPORTRANGE(H35493,""IDENTITAS UNIT!D9"")"),"#N/A")</f>
        <v>#N/A</v>
      </c>
      <c r="H35493" s="4" t="str">
        <v/>
      </c>
      <c r="I35493" s="4" t="str">
        <v/>
      </c>
    </row>
    <row r="35494" spans="5:9" ht="16.5" hidden="1">
      <c r="E35494" s="4" t="str">
        <v/>
      </c>
      <c r="F35494" s="102" t="str">
        <f ca="1">IFERROR(__xludf.DUMMYFUNCTION("IMPORTRANGE(H35494,""IDENTITAS UNIT!D9"")"),"#N/A")</f>
        <v>#N/A</v>
      </c>
      <c r="H35494" s="4" t="str">
        <v/>
      </c>
      <c r="I35494" s="4" t="str">
        <v/>
      </c>
    </row>
    <row r="35495" spans="5:9" ht="16.5" hidden="1">
      <c r="E35495" s="4" t="str">
        <v/>
      </c>
      <c r="F35495" s="102" t="str">
        <f ca="1">IFERROR(__xludf.DUMMYFUNCTION("IMPORTRANGE(H35495,""IDENTITAS UNIT!D9"")"),"#N/A")</f>
        <v>#N/A</v>
      </c>
      <c r="H35495" s="4" t="str">
        <v/>
      </c>
      <c r="I35495" s="4" t="str">
        <v/>
      </c>
    </row>
    <row r="35496" spans="5:9" ht="16.5" hidden="1">
      <c r="E35496" s="4" t="str">
        <v/>
      </c>
      <c r="F35496" s="102" t="str">
        <f ca="1">IFERROR(__xludf.DUMMYFUNCTION("IMPORTRANGE(H35496,""IDENTITAS UNIT!D9"")"),"#N/A")</f>
        <v>#N/A</v>
      </c>
      <c r="H35496" s="4" t="str">
        <v/>
      </c>
      <c r="I35496" s="4" t="str">
        <v/>
      </c>
    </row>
    <row r="35497" spans="5:9" ht="16.5" hidden="1">
      <c r="E35497" s="4" t="str">
        <v/>
      </c>
      <c r="F35497" s="102" t="str">
        <f ca="1">IFERROR(__xludf.DUMMYFUNCTION("IMPORTRANGE(H35497,""IDENTITAS UNIT!D9"")"),"#N/A")</f>
        <v>#N/A</v>
      </c>
      <c r="H35497" s="4" t="str">
        <v/>
      </c>
      <c r="I35497" s="4" t="str">
        <v/>
      </c>
    </row>
    <row r="35498" spans="5:9" ht="16.5" hidden="1">
      <c r="E35498" s="4" t="str">
        <v/>
      </c>
      <c r="F35498" s="102" t="str">
        <f ca="1">IFERROR(__xludf.DUMMYFUNCTION("IMPORTRANGE(H35498,""IDENTITAS UNIT!D9"")"),"#N/A")</f>
        <v>#N/A</v>
      </c>
      <c r="H35498" s="4" t="str">
        <v/>
      </c>
      <c r="I35498" s="4" t="str">
        <v/>
      </c>
    </row>
    <row r="35499" spans="5:9" ht="16.5" hidden="1">
      <c r="E35499" s="4" t="str">
        <v/>
      </c>
      <c r="F35499" s="102" t="str">
        <f ca="1">IFERROR(__xludf.DUMMYFUNCTION("IMPORTRANGE(H35499,""IDENTITAS UNIT!D9"")"),"#N/A")</f>
        <v>#N/A</v>
      </c>
      <c r="H35499" s="4" t="str">
        <v/>
      </c>
      <c r="I35499" s="4" t="str">
        <v/>
      </c>
    </row>
    <row r="35500" spans="5:9" ht="16.5" hidden="1">
      <c r="E35500" s="4" t="str">
        <v/>
      </c>
      <c r="F35500" s="102" t="str">
        <f ca="1">IFERROR(__xludf.DUMMYFUNCTION("IMPORTRANGE(H35500,""IDENTITAS UNIT!D9"")"),"#N/A")</f>
        <v>#N/A</v>
      </c>
      <c r="H35500" s="4" t="str">
        <v/>
      </c>
      <c r="I35500" s="4" t="str">
        <v/>
      </c>
    </row>
    <row r="35501" spans="5:9" ht="16.5" hidden="1">
      <c r="E35501" s="4" t="str">
        <v/>
      </c>
      <c r="F35501" s="102" t="str">
        <f ca="1">IFERROR(__xludf.DUMMYFUNCTION("IMPORTRANGE(H35501,""IDENTITAS UNIT!D9"")"),"#N/A")</f>
        <v>#N/A</v>
      </c>
      <c r="H35501" s="4" t="str">
        <v/>
      </c>
      <c r="I35501" s="4" t="str">
        <v/>
      </c>
    </row>
    <row r="35502" spans="5:9" ht="16.5" hidden="1">
      <c r="E35502" s="4" t="str">
        <v/>
      </c>
      <c r="F35502" s="102" t="str">
        <f ca="1">IFERROR(__xludf.DUMMYFUNCTION("IMPORTRANGE(H35502,""IDENTITAS UNIT!D9"")"),"#N/A")</f>
        <v>#N/A</v>
      </c>
      <c r="H35502" s="4" t="str">
        <v/>
      </c>
      <c r="I35502" s="4" t="str">
        <v/>
      </c>
    </row>
    <row r="35503" spans="5:9" ht="16.5" hidden="1">
      <c r="E35503" s="4" t="str">
        <v/>
      </c>
      <c r="F35503" s="102" t="str">
        <f ca="1">IFERROR(__xludf.DUMMYFUNCTION("IMPORTRANGE(H35503,""IDENTITAS UNIT!D9"")"),"#N/A")</f>
        <v>#N/A</v>
      </c>
      <c r="H35503" s="4" t="str">
        <v/>
      </c>
      <c r="I35503" s="4" t="str">
        <v/>
      </c>
    </row>
    <row r="35504" spans="5:9" ht="16.5" hidden="1">
      <c r="E35504" s="4" t="str">
        <v/>
      </c>
      <c r="F35504" s="102" t="str">
        <f ca="1">IFERROR(__xludf.DUMMYFUNCTION("IMPORTRANGE(H35504,""IDENTITAS UNIT!D9"")"),"#N/A")</f>
        <v>#N/A</v>
      </c>
      <c r="H35504" s="4" t="str">
        <v/>
      </c>
      <c r="I35504" s="4" t="str">
        <v/>
      </c>
    </row>
    <row r="35505" spans="5:9" ht="16.5" hidden="1">
      <c r="E35505" s="4" t="str">
        <v/>
      </c>
      <c r="F35505" s="102" t="str">
        <f ca="1">IFERROR(__xludf.DUMMYFUNCTION("IMPORTRANGE(H35505,""IDENTITAS UNIT!D9"")"),"#N/A")</f>
        <v>#N/A</v>
      </c>
      <c r="H35505" s="4" t="str">
        <v/>
      </c>
      <c r="I35505" s="4" t="str">
        <v/>
      </c>
    </row>
    <row r="35506" spans="5:9" ht="16.5" hidden="1">
      <c r="E35506" s="4" t="str">
        <v/>
      </c>
      <c r="F35506" s="102" t="str">
        <f ca="1">IFERROR(__xludf.DUMMYFUNCTION("IMPORTRANGE(H35506,""IDENTITAS UNIT!D9"")"),"#N/A")</f>
        <v>#N/A</v>
      </c>
      <c r="H35506" s="4" t="str">
        <v/>
      </c>
      <c r="I35506" s="4" t="str">
        <v/>
      </c>
    </row>
    <row r="35507" spans="5:9" ht="16.5" hidden="1">
      <c r="E35507" s="4" t="str">
        <v/>
      </c>
      <c r="F35507" s="102" t="str">
        <f ca="1">IFERROR(__xludf.DUMMYFUNCTION("IMPORTRANGE(H35507,""IDENTITAS UNIT!D9"")"),"#N/A")</f>
        <v>#N/A</v>
      </c>
      <c r="H35507" s="4" t="str">
        <v/>
      </c>
      <c r="I35507" s="4" t="str">
        <v/>
      </c>
    </row>
    <row r="35508" spans="5:9" ht="16.5" hidden="1">
      <c r="E35508" s="4" t="str">
        <v/>
      </c>
      <c r="F35508" s="102" t="str">
        <f ca="1">IFERROR(__xludf.DUMMYFUNCTION("IMPORTRANGE(H35508,""IDENTITAS UNIT!D9"")"),"#N/A")</f>
        <v>#N/A</v>
      </c>
      <c r="H35508" s="4" t="str">
        <v/>
      </c>
      <c r="I35508" s="4" t="str">
        <v/>
      </c>
    </row>
    <row r="35509" spans="5:9" ht="16.5" hidden="1">
      <c r="E35509" s="4" t="str">
        <v/>
      </c>
      <c r="F35509" s="102" t="str">
        <f ca="1">IFERROR(__xludf.DUMMYFUNCTION("IMPORTRANGE(H35509,""IDENTITAS UNIT!D9"")"),"#N/A")</f>
        <v>#N/A</v>
      </c>
      <c r="H35509" s="4" t="str">
        <v/>
      </c>
      <c r="I35509" s="4" t="str">
        <v/>
      </c>
    </row>
    <row r="35510" spans="5:9" ht="16.5" hidden="1">
      <c r="E35510" s="4" t="str">
        <v/>
      </c>
      <c r="F35510" s="102" t="str">
        <f ca="1">IFERROR(__xludf.DUMMYFUNCTION("IMPORTRANGE(H35510,""IDENTITAS UNIT!D9"")"),"#N/A")</f>
        <v>#N/A</v>
      </c>
      <c r="H35510" s="4" t="str">
        <v/>
      </c>
      <c r="I35510" s="4" t="str">
        <v/>
      </c>
    </row>
    <row r="35511" spans="5:9" ht="16.5" hidden="1">
      <c r="E35511" s="4" t="str">
        <v/>
      </c>
      <c r="F35511" s="102" t="str">
        <f ca="1">IFERROR(__xludf.DUMMYFUNCTION("IMPORTRANGE(H35511,""IDENTITAS UNIT!D9"")"),"#N/A")</f>
        <v>#N/A</v>
      </c>
      <c r="H35511" s="4" t="str">
        <v/>
      </c>
      <c r="I35511" s="4" t="str">
        <v/>
      </c>
    </row>
    <row r="35512" spans="5:9" ht="16.5" hidden="1">
      <c r="E35512" s="4" t="str">
        <v/>
      </c>
      <c r="F35512" s="102" t="str">
        <f ca="1">IFERROR(__xludf.DUMMYFUNCTION("IMPORTRANGE(H35512,""IDENTITAS UNIT!D9"")"),"#N/A")</f>
        <v>#N/A</v>
      </c>
      <c r="H35512" s="4" t="str">
        <v/>
      </c>
      <c r="I35512" s="4" t="str">
        <v/>
      </c>
    </row>
    <row r="35513" spans="5:9" ht="16.5" hidden="1">
      <c r="E35513" s="4" t="str">
        <v/>
      </c>
      <c r="F35513" s="102" t="str">
        <f ca="1">IFERROR(__xludf.DUMMYFUNCTION("IMPORTRANGE(H35513,""IDENTITAS UNIT!D9"")"),"#N/A")</f>
        <v>#N/A</v>
      </c>
      <c r="H35513" s="4" t="str">
        <v/>
      </c>
      <c r="I35513" s="4" t="str">
        <v/>
      </c>
    </row>
    <row r="35514" spans="5:9" ht="16.5" hidden="1">
      <c r="E35514" s="4" t="str">
        <v/>
      </c>
      <c r="F35514" s="102" t="str">
        <f ca="1">IFERROR(__xludf.DUMMYFUNCTION("IMPORTRANGE(H35514,""IDENTITAS UNIT!D9"")"),"#N/A")</f>
        <v>#N/A</v>
      </c>
      <c r="H35514" s="4" t="str">
        <v/>
      </c>
      <c r="I35514" s="4" t="str">
        <v/>
      </c>
    </row>
    <row r="35515" spans="5:9" ht="16.5" hidden="1">
      <c r="E35515" s="4" t="str">
        <v/>
      </c>
      <c r="F35515" s="102" t="str">
        <f ca="1">IFERROR(__xludf.DUMMYFUNCTION("IMPORTRANGE(H35515,""IDENTITAS UNIT!D9"")"),"#N/A")</f>
        <v>#N/A</v>
      </c>
      <c r="H35515" s="4" t="str">
        <v/>
      </c>
      <c r="I35515" s="4" t="str">
        <v/>
      </c>
    </row>
    <row r="35516" spans="5:9" ht="16.5" hidden="1">
      <c r="E35516" s="4" t="str">
        <v/>
      </c>
      <c r="F35516" s="102" t="str">
        <f ca="1">IFERROR(__xludf.DUMMYFUNCTION("IMPORTRANGE(H35516,""IDENTITAS UNIT!D9"")"),"#N/A")</f>
        <v>#N/A</v>
      </c>
      <c r="H35516" s="4" t="str">
        <v/>
      </c>
      <c r="I35516" s="4" t="str">
        <v/>
      </c>
    </row>
    <row r="35517" spans="5:9" ht="16.5" hidden="1">
      <c r="E35517" s="4" t="str">
        <v/>
      </c>
      <c r="F35517" s="102" t="str">
        <f ca="1">IFERROR(__xludf.DUMMYFUNCTION("IMPORTRANGE(H35517,""IDENTITAS UNIT!D9"")"),"#N/A")</f>
        <v>#N/A</v>
      </c>
      <c r="H35517" s="4" t="str">
        <v/>
      </c>
      <c r="I35517" s="4" t="str">
        <v/>
      </c>
    </row>
    <row r="35518" spans="5:9" ht="16.5" hidden="1">
      <c r="E35518" s="4" t="str">
        <v/>
      </c>
      <c r="F35518" s="102" t="str">
        <f ca="1">IFERROR(__xludf.DUMMYFUNCTION("IMPORTRANGE(H35518,""IDENTITAS UNIT!D9"")"),"#N/A")</f>
        <v>#N/A</v>
      </c>
      <c r="H35518" s="4" t="str">
        <v/>
      </c>
      <c r="I35518" s="4" t="str">
        <v/>
      </c>
    </row>
    <row r="35519" spans="5:9" ht="16.5" hidden="1">
      <c r="E35519" s="4" t="str">
        <v/>
      </c>
      <c r="F35519" s="102" t="str">
        <f ca="1">IFERROR(__xludf.DUMMYFUNCTION("IMPORTRANGE(H35519,""IDENTITAS UNIT!D9"")"),"#N/A")</f>
        <v>#N/A</v>
      </c>
      <c r="H35519" s="4" t="str">
        <v/>
      </c>
      <c r="I35519" s="4" t="str">
        <v/>
      </c>
    </row>
    <row r="35520" spans="5:9" ht="16.5" hidden="1">
      <c r="E35520" s="4" t="str">
        <v/>
      </c>
      <c r="F35520" s="102" t="str">
        <f ca="1">IFERROR(__xludf.DUMMYFUNCTION("IMPORTRANGE(H35520,""IDENTITAS UNIT!D9"")"),"#N/A")</f>
        <v>#N/A</v>
      </c>
      <c r="H35520" s="4" t="str">
        <v/>
      </c>
      <c r="I35520" s="4" t="str">
        <v/>
      </c>
    </row>
    <row r="35521" spans="5:9" ht="16.5" hidden="1">
      <c r="E35521" s="4" t="str">
        <v/>
      </c>
      <c r="F35521" s="102" t="str">
        <f ca="1">IFERROR(__xludf.DUMMYFUNCTION("IMPORTRANGE(H35521,""IDENTITAS UNIT!D9"")"),"#N/A")</f>
        <v>#N/A</v>
      </c>
      <c r="H35521" s="4" t="str">
        <v/>
      </c>
      <c r="I35521" s="4" t="str">
        <v/>
      </c>
    </row>
    <row r="35522" spans="5:9" ht="16.5" hidden="1">
      <c r="E35522" s="4" t="str">
        <v/>
      </c>
      <c r="F35522" s="102" t="str">
        <f ca="1">IFERROR(__xludf.DUMMYFUNCTION("IMPORTRANGE(H35522,""IDENTITAS UNIT!D9"")"),"#N/A")</f>
        <v>#N/A</v>
      </c>
      <c r="H35522" s="4" t="str">
        <v/>
      </c>
      <c r="I35522" s="4" t="str">
        <v/>
      </c>
    </row>
    <row r="35523" spans="5:9" ht="16.5" hidden="1">
      <c r="E35523" s="4" t="str">
        <v/>
      </c>
      <c r="F35523" s="102" t="str">
        <f ca="1">IFERROR(__xludf.DUMMYFUNCTION("IMPORTRANGE(H35523,""IDENTITAS UNIT!D9"")"),"#N/A")</f>
        <v>#N/A</v>
      </c>
      <c r="H35523" s="4" t="str">
        <v/>
      </c>
      <c r="I35523" s="4" t="str">
        <v/>
      </c>
    </row>
    <row r="35524" spans="5:9" ht="16.5" hidden="1">
      <c r="E35524" s="4" t="str">
        <v/>
      </c>
      <c r="F35524" s="102" t="str">
        <f ca="1">IFERROR(__xludf.DUMMYFUNCTION("IMPORTRANGE(H35524,""IDENTITAS UNIT!D9"")"),"#N/A")</f>
        <v>#N/A</v>
      </c>
      <c r="H35524" s="4" t="str">
        <v/>
      </c>
      <c r="I35524" s="4" t="str">
        <v/>
      </c>
    </row>
    <row r="35525" spans="5:9" ht="16.5" hidden="1">
      <c r="E35525" s="4" t="str">
        <v/>
      </c>
      <c r="F35525" s="102" t="str">
        <f ca="1">IFERROR(__xludf.DUMMYFUNCTION("IMPORTRANGE(H35525,""IDENTITAS UNIT!D9"")"),"#N/A")</f>
        <v>#N/A</v>
      </c>
      <c r="H35525" s="4" t="str">
        <v/>
      </c>
      <c r="I35525" s="4" t="str">
        <v/>
      </c>
    </row>
    <row r="35526" spans="5:9" ht="16.5" hidden="1">
      <c r="E35526" s="4" t="str">
        <v/>
      </c>
      <c r="F35526" s="102" t="str">
        <f ca="1">IFERROR(__xludf.DUMMYFUNCTION("IMPORTRANGE(H35526,""IDENTITAS UNIT!D9"")"),"#N/A")</f>
        <v>#N/A</v>
      </c>
      <c r="H35526" s="4" t="str">
        <v/>
      </c>
      <c r="I35526" s="4" t="str">
        <v/>
      </c>
    </row>
    <row r="35527" spans="5:9" ht="16.5" hidden="1">
      <c r="E35527" s="4" t="str">
        <v/>
      </c>
      <c r="F35527" s="102" t="str">
        <f ca="1">IFERROR(__xludf.DUMMYFUNCTION("IMPORTRANGE(H35527,""IDENTITAS UNIT!D9"")"),"#N/A")</f>
        <v>#N/A</v>
      </c>
      <c r="H35527" s="4" t="str">
        <v/>
      </c>
      <c r="I35527" s="4" t="str">
        <v/>
      </c>
    </row>
    <row r="35528" spans="5:9" ht="16.5" hidden="1">
      <c r="E35528" s="4" t="str">
        <v/>
      </c>
      <c r="F35528" s="102" t="str">
        <f ca="1">IFERROR(__xludf.DUMMYFUNCTION("IMPORTRANGE(H35528,""IDENTITAS UNIT!D9"")"),"#N/A")</f>
        <v>#N/A</v>
      </c>
      <c r="H35528" s="4" t="str">
        <v/>
      </c>
      <c r="I35528" s="4" t="str">
        <v/>
      </c>
    </row>
    <row r="35529" spans="5:9" ht="16.5" hidden="1">
      <c r="E35529" s="4" t="str">
        <v/>
      </c>
      <c r="F35529" s="102" t="str">
        <f ca="1">IFERROR(__xludf.DUMMYFUNCTION("IMPORTRANGE(H35529,""IDENTITAS UNIT!D9"")"),"#N/A")</f>
        <v>#N/A</v>
      </c>
      <c r="H35529" s="4" t="str">
        <v/>
      </c>
      <c r="I35529" s="4" t="str">
        <v/>
      </c>
    </row>
    <row r="35530" spans="5:9" ht="16.5" hidden="1">
      <c r="E35530" s="4" t="str">
        <v/>
      </c>
      <c r="F35530" s="102" t="str">
        <f ca="1">IFERROR(__xludf.DUMMYFUNCTION("IMPORTRANGE(H35530,""IDENTITAS UNIT!D9"")"),"#N/A")</f>
        <v>#N/A</v>
      </c>
      <c r="H35530" s="4" t="str">
        <v/>
      </c>
      <c r="I35530" s="4" t="str">
        <v/>
      </c>
    </row>
    <row r="35531" spans="5:9" ht="16.5" hidden="1">
      <c r="E35531" s="4" t="str">
        <v/>
      </c>
      <c r="F35531" s="102" t="str">
        <f ca="1">IFERROR(__xludf.DUMMYFUNCTION("IMPORTRANGE(H35531,""IDENTITAS UNIT!D9"")"),"#N/A")</f>
        <v>#N/A</v>
      </c>
      <c r="H35531" s="4" t="str">
        <v/>
      </c>
      <c r="I35531" s="4" t="str">
        <v/>
      </c>
    </row>
    <row r="35532" spans="5:9" ht="16.5" hidden="1">
      <c r="E35532" s="4" t="str">
        <v/>
      </c>
      <c r="F35532" s="102" t="str">
        <f ca="1">IFERROR(__xludf.DUMMYFUNCTION("IMPORTRANGE(H35532,""IDENTITAS UNIT!D9"")"),"#N/A")</f>
        <v>#N/A</v>
      </c>
      <c r="H35532" s="4" t="str">
        <v/>
      </c>
      <c r="I35532" s="4" t="str">
        <v/>
      </c>
    </row>
    <row r="35533" spans="5:9" ht="16.5" hidden="1">
      <c r="E35533" s="4" t="str">
        <v/>
      </c>
      <c r="F35533" s="102" t="str">
        <f ca="1">IFERROR(__xludf.DUMMYFUNCTION("IMPORTRANGE(H35533,""IDENTITAS UNIT!D9"")"),"#N/A")</f>
        <v>#N/A</v>
      </c>
      <c r="H35533" s="4" t="str">
        <v/>
      </c>
      <c r="I35533" s="4" t="str">
        <v/>
      </c>
    </row>
    <row r="35534" spans="5:9" ht="16.5" hidden="1">
      <c r="E35534" s="4" t="str">
        <v/>
      </c>
      <c r="F35534" s="102" t="str">
        <f ca="1">IFERROR(__xludf.DUMMYFUNCTION("IMPORTRANGE(H35534,""IDENTITAS UNIT!D9"")"),"#N/A")</f>
        <v>#N/A</v>
      </c>
      <c r="H35534" s="4" t="str">
        <v/>
      </c>
      <c r="I35534" s="4" t="str">
        <v/>
      </c>
    </row>
    <row r="35535" spans="5:9" ht="16.5" hidden="1">
      <c r="E35535" s="4" t="str">
        <v/>
      </c>
      <c r="F35535" s="102" t="str">
        <f ca="1">IFERROR(__xludf.DUMMYFUNCTION("IMPORTRANGE(H35535,""IDENTITAS UNIT!D9"")"),"#N/A")</f>
        <v>#N/A</v>
      </c>
      <c r="H35535" s="4" t="str">
        <v/>
      </c>
      <c r="I35535" s="4" t="str">
        <v/>
      </c>
    </row>
    <row r="35536" spans="5:9" ht="16.5" hidden="1">
      <c r="E35536" s="4" t="str">
        <v/>
      </c>
      <c r="F35536" s="102" t="str">
        <f ca="1">IFERROR(__xludf.DUMMYFUNCTION("IMPORTRANGE(H35536,""IDENTITAS UNIT!D9"")"),"#N/A")</f>
        <v>#N/A</v>
      </c>
      <c r="H35536" s="4" t="str">
        <v/>
      </c>
      <c r="I35536" s="4" t="str">
        <v/>
      </c>
    </row>
    <row r="35537" spans="5:9" ht="16.5" hidden="1">
      <c r="E35537" s="4" t="str">
        <v/>
      </c>
      <c r="F35537" s="102" t="str">
        <f ca="1">IFERROR(__xludf.DUMMYFUNCTION("IMPORTRANGE(H35537,""IDENTITAS UNIT!D9"")"),"#N/A")</f>
        <v>#N/A</v>
      </c>
      <c r="H35537" s="4" t="str">
        <v/>
      </c>
      <c r="I35537" s="4" t="str">
        <v/>
      </c>
    </row>
    <row r="35538" spans="5:9" ht="16.5" hidden="1">
      <c r="E35538" s="4" t="str">
        <v/>
      </c>
      <c r="F35538" s="102" t="str">
        <f ca="1">IFERROR(__xludf.DUMMYFUNCTION("IMPORTRANGE(H35538,""IDENTITAS UNIT!D9"")"),"#N/A")</f>
        <v>#N/A</v>
      </c>
      <c r="H35538" s="4" t="str">
        <v/>
      </c>
      <c r="I35538" s="4" t="str">
        <v/>
      </c>
    </row>
    <row r="35539" spans="5:9" ht="16.5" hidden="1">
      <c r="E35539" s="4" t="str">
        <v/>
      </c>
      <c r="F35539" s="102" t="str">
        <f ca="1">IFERROR(__xludf.DUMMYFUNCTION("IMPORTRANGE(H35539,""IDENTITAS UNIT!D9"")"),"#N/A")</f>
        <v>#N/A</v>
      </c>
      <c r="H35539" s="4" t="str">
        <v/>
      </c>
      <c r="I35539" s="4" t="str">
        <v/>
      </c>
    </row>
    <row r="35540" spans="5:9" ht="16.5" hidden="1">
      <c r="E35540" s="4" t="str">
        <v/>
      </c>
      <c r="F35540" s="102" t="str">
        <f ca="1">IFERROR(__xludf.DUMMYFUNCTION("IMPORTRANGE(H35540,""IDENTITAS UNIT!D9"")"),"#N/A")</f>
        <v>#N/A</v>
      </c>
      <c r="H35540" s="4" t="str">
        <v/>
      </c>
      <c r="I35540" s="4" t="str">
        <v/>
      </c>
    </row>
    <row r="35541" spans="5:9" ht="16.5" hidden="1">
      <c r="E35541" s="4" t="str">
        <v/>
      </c>
      <c r="F35541" s="102" t="str">
        <f ca="1">IFERROR(__xludf.DUMMYFUNCTION("IMPORTRANGE(H35541,""IDENTITAS UNIT!D9"")"),"#N/A")</f>
        <v>#N/A</v>
      </c>
      <c r="H35541" s="4" t="str">
        <v/>
      </c>
      <c r="I35541" s="4" t="str">
        <v/>
      </c>
    </row>
    <row r="35542" spans="5:9" ht="16.5" hidden="1">
      <c r="E35542" s="4" t="str">
        <v/>
      </c>
      <c r="F35542" s="102" t="str">
        <f ca="1">IFERROR(__xludf.DUMMYFUNCTION("IMPORTRANGE(H35542,""IDENTITAS UNIT!D9"")"),"#N/A")</f>
        <v>#N/A</v>
      </c>
      <c r="H35542" s="4" t="str">
        <v/>
      </c>
      <c r="I35542" s="4" t="str">
        <v/>
      </c>
    </row>
    <row r="35543" spans="5:9" ht="16.5" hidden="1">
      <c r="E35543" s="4" t="str">
        <v/>
      </c>
      <c r="F35543" s="102" t="str">
        <f ca="1">IFERROR(__xludf.DUMMYFUNCTION("IMPORTRANGE(H35543,""IDENTITAS UNIT!D9"")"),"#N/A")</f>
        <v>#N/A</v>
      </c>
      <c r="H35543" s="4" t="str">
        <v/>
      </c>
      <c r="I35543" s="4" t="str">
        <v/>
      </c>
    </row>
    <row r="35544" spans="5:9" ht="16.5" hidden="1">
      <c r="E35544" s="4" t="str">
        <v/>
      </c>
      <c r="F35544" s="102" t="str">
        <f ca="1">IFERROR(__xludf.DUMMYFUNCTION("IMPORTRANGE(H35544,""IDENTITAS UNIT!D9"")"),"#N/A")</f>
        <v>#N/A</v>
      </c>
      <c r="H35544" s="4" t="str">
        <v/>
      </c>
      <c r="I35544" s="4" t="str">
        <v/>
      </c>
    </row>
    <row r="35545" spans="5:9" ht="16.5" hidden="1">
      <c r="E35545" s="4" t="str">
        <v/>
      </c>
      <c r="F35545" s="102" t="str">
        <f ca="1">IFERROR(__xludf.DUMMYFUNCTION("IMPORTRANGE(H35545,""IDENTITAS UNIT!D9"")"),"#N/A")</f>
        <v>#N/A</v>
      </c>
      <c r="H35545" s="4" t="str">
        <v/>
      </c>
      <c r="I35545" s="4" t="str">
        <v/>
      </c>
    </row>
    <row r="35546" spans="5:9" ht="16.5" hidden="1">
      <c r="E35546" s="4" t="str">
        <v/>
      </c>
      <c r="F35546" s="102" t="str">
        <f ca="1">IFERROR(__xludf.DUMMYFUNCTION("IMPORTRANGE(H35546,""IDENTITAS UNIT!D9"")"),"#N/A")</f>
        <v>#N/A</v>
      </c>
      <c r="H35546" s="4" t="str">
        <v/>
      </c>
      <c r="I35546" s="4" t="str">
        <v/>
      </c>
    </row>
    <row r="35547" spans="5:9" ht="16.5" hidden="1">
      <c r="E35547" s="4" t="str">
        <v/>
      </c>
      <c r="F35547" s="102" t="str">
        <f ca="1">IFERROR(__xludf.DUMMYFUNCTION("IMPORTRANGE(H35547,""IDENTITAS UNIT!D9"")"),"#N/A")</f>
        <v>#N/A</v>
      </c>
      <c r="H35547" s="4" t="str">
        <v/>
      </c>
      <c r="I35547" s="4" t="str">
        <v/>
      </c>
    </row>
    <row r="35548" spans="5:9" ht="16.5" hidden="1">
      <c r="E35548" s="4" t="str">
        <v/>
      </c>
      <c r="F35548" s="102" t="str">
        <f ca="1">IFERROR(__xludf.DUMMYFUNCTION("IMPORTRANGE(H35548,""IDENTITAS UNIT!D9"")"),"#N/A")</f>
        <v>#N/A</v>
      </c>
      <c r="H35548" s="4" t="str">
        <v/>
      </c>
      <c r="I35548" s="4" t="str">
        <v/>
      </c>
    </row>
    <row r="35549" spans="5:9" ht="16.5" hidden="1">
      <c r="E35549" s="4" t="str">
        <v/>
      </c>
      <c r="F35549" s="102" t="str">
        <f ca="1">IFERROR(__xludf.DUMMYFUNCTION("IMPORTRANGE(H35549,""IDENTITAS UNIT!D9"")"),"#N/A")</f>
        <v>#N/A</v>
      </c>
      <c r="H35549" s="4" t="str">
        <v/>
      </c>
      <c r="I35549" s="4" t="str">
        <v/>
      </c>
    </row>
    <row r="35550" spans="5:9" ht="16.5" hidden="1">
      <c r="E35550" s="4" t="str">
        <v/>
      </c>
      <c r="F35550" s="102" t="str">
        <f ca="1">IFERROR(__xludf.DUMMYFUNCTION("IMPORTRANGE(H35550,""IDENTITAS UNIT!D9"")"),"#N/A")</f>
        <v>#N/A</v>
      </c>
      <c r="H35550" s="4" t="str">
        <v/>
      </c>
      <c r="I35550" s="4" t="str">
        <v/>
      </c>
    </row>
    <row r="35551" spans="5:9" ht="16.5" hidden="1">
      <c r="E35551" s="4" t="str">
        <v/>
      </c>
      <c r="F35551" s="102" t="str">
        <f ca="1">IFERROR(__xludf.DUMMYFUNCTION("IMPORTRANGE(H35551,""IDENTITAS UNIT!D9"")"),"#N/A")</f>
        <v>#N/A</v>
      </c>
      <c r="H35551" s="4" t="str">
        <v/>
      </c>
      <c r="I35551" s="4" t="str">
        <v/>
      </c>
    </row>
    <row r="35552" spans="5:9" ht="16.5" hidden="1">
      <c r="E35552" s="4" t="str">
        <v/>
      </c>
      <c r="F35552" s="102" t="str">
        <f ca="1">IFERROR(__xludf.DUMMYFUNCTION("IMPORTRANGE(H35552,""IDENTITAS UNIT!D9"")"),"#N/A")</f>
        <v>#N/A</v>
      </c>
      <c r="H35552" s="4" t="str">
        <v/>
      </c>
      <c r="I35552" s="4" t="str">
        <v/>
      </c>
    </row>
    <row r="35553" spans="5:9" ht="16.5" hidden="1">
      <c r="E35553" s="4" t="str">
        <v/>
      </c>
      <c r="F35553" s="102" t="str">
        <f ca="1">IFERROR(__xludf.DUMMYFUNCTION("IMPORTRANGE(H35553,""IDENTITAS UNIT!D9"")"),"#N/A")</f>
        <v>#N/A</v>
      </c>
      <c r="H35553" s="4" t="str">
        <v/>
      </c>
      <c r="I35553" s="4" t="str">
        <v/>
      </c>
    </row>
    <row r="35554" spans="5:9" ht="16.5" hidden="1">
      <c r="E35554" s="4" t="str">
        <v/>
      </c>
      <c r="F35554" s="102" t="str">
        <f ca="1">IFERROR(__xludf.DUMMYFUNCTION("IMPORTRANGE(H35554,""IDENTITAS UNIT!D9"")"),"#N/A")</f>
        <v>#N/A</v>
      </c>
      <c r="H35554" s="4" t="str">
        <v/>
      </c>
      <c r="I35554" s="4" t="str">
        <v/>
      </c>
    </row>
    <row r="35555" spans="5:9" ht="16.5" hidden="1">
      <c r="E35555" s="4" t="str">
        <v/>
      </c>
      <c r="F35555" s="102" t="str">
        <f ca="1">IFERROR(__xludf.DUMMYFUNCTION("IMPORTRANGE(H35555,""IDENTITAS UNIT!D9"")"),"#N/A")</f>
        <v>#N/A</v>
      </c>
      <c r="H35555" s="4" t="str">
        <v/>
      </c>
      <c r="I35555" s="4" t="str">
        <v/>
      </c>
    </row>
    <row r="35556" spans="5:9" ht="16.5" hidden="1">
      <c r="E35556" s="4" t="str">
        <v/>
      </c>
      <c r="F35556" s="102" t="str">
        <f ca="1">IFERROR(__xludf.DUMMYFUNCTION("IMPORTRANGE(H35556,""IDENTITAS UNIT!D9"")"),"#N/A")</f>
        <v>#N/A</v>
      </c>
      <c r="H35556" s="4" t="str">
        <v/>
      </c>
      <c r="I35556" s="4" t="str">
        <v/>
      </c>
    </row>
    <row r="35557" spans="5:9" ht="16.5" hidden="1">
      <c r="E35557" s="4" t="str">
        <v/>
      </c>
      <c r="F35557" s="102" t="str">
        <f ca="1">IFERROR(__xludf.DUMMYFUNCTION("IMPORTRANGE(H35557,""IDENTITAS UNIT!D9"")"),"#N/A")</f>
        <v>#N/A</v>
      </c>
      <c r="H35557" s="4" t="str">
        <v/>
      </c>
      <c r="I35557" s="4" t="str">
        <v/>
      </c>
    </row>
    <row r="35558" spans="5:9" ht="16.5" hidden="1">
      <c r="E35558" s="4" t="str">
        <v/>
      </c>
      <c r="F35558" s="102" t="str">
        <f ca="1">IFERROR(__xludf.DUMMYFUNCTION("IMPORTRANGE(H35558,""IDENTITAS UNIT!D9"")"),"#N/A")</f>
        <v>#N/A</v>
      </c>
      <c r="H35558" s="4" t="str">
        <v/>
      </c>
      <c r="I35558" s="4" t="str">
        <v/>
      </c>
    </row>
    <row r="35559" spans="5:9" ht="16.5" hidden="1">
      <c r="E35559" s="4" t="str">
        <v/>
      </c>
      <c r="F35559" s="102" t="str">
        <f ca="1">IFERROR(__xludf.DUMMYFUNCTION("IMPORTRANGE(H35559,""IDENTITAS UNIT!D9"")"),"#N/A")</f>
        <v>#N/A</v>
      </c>
      <c r="H35559" s="4" t="str">
        <v/>
      </c>
      <c r="I35559" s="4" t="str">
        <v/>
      </c>
    </row>
    <row r="35560" spans="5:9" ht="16.5" hidden="1">
      <c r="E35560" s="4" t="str">
        <v/>
      </c>
      <c r="F35560" s="102" t="str">
        <f ca="1">IFERROR(__xludf.DUMMYFUNCTION("IMPORTRANGE(H35560,""IDENTITAS UNIT!D9"")"),"#N/A")</f>
        <v>#N/A</v>
      </c>
      <c r="H35560" s="4" t="str">
        <v/>
      </c>
      <c r="I35560" s="4" t="str">
        <v/>
      </c>
    </row>
    <row r="35561" spans="5:9" ht="16.5" hidden="1">
      <c r="E35561" s="4" t="str">
        <v/>
      </c>
      <c r="F35561" s="102" t="str">
        <f ca="1">IFERROR(__xludf.DUMMYFUNCTION("IMPORTRANGE(H35561,""IDENTITAS UNIT!D9"")"),"#N/A")</f>
        <v>#N/A</v>
      </c>
      <c r="H35561" s="4" t="str">
        <v/>
      </c>
      <c r="I35561" s="4" t="str">
        <v/>
      </c>
    </row>
    <row r="35562" spans="5:9" ht="16.5" hidden="1">
      <c r="E35562" s="4" t="str">
        <v/>
      </c>
      <c r="F35562" s="102" t="str">
        <f ca="1">IFERROR(__xludf.DUMMYFUNCTION("IMPORTRANGE(H35562,""IDENTITAS UNIT!D9"")"),"#N/A")</f>
        <v>#N/A</v>
      </c>
      <c r="H35562" s="4" t="str">
        <v/>
      </c>
      <c r="I35562" s="4" t="str">
        <v/>
      </c>
    </row>
    <row r="35563" spans="5:9" ht="16.5" hidden="1">
      <c r="E35563" s="4" t="str">
        <v/>
      </c>
      <c r="F35563" s="102" t="str">
        <f ca="1">IFERROR(__xludf.DUMMYFUNCTION("IMPORTRANGE(H35563,""IDENTITAS UNIT!D9"")"),"#N/A")</f>
        <v>#N/A</v>
      </c>
      <c r="H35563" s="4" t="str">
        <v/>
      </c>
      <c r="I35563" s="4" t="str">
        <v/>
      </c>
    </row>
    <row r="35564" spans="5:9" ht="16.5" hidden="1">
      <c r="E35564" s="4" t="str">
        <v/>
      </c>
      <c r="F35564" s="102" t="str">
        <f ca="1">IFERROR(__xludf.DUMMYFUNCTION("IMPORTRANGE(H35564,""IDENTITAS UNIT!D9"")"),"#N/A")</f>
        <v>#N/A</v>
      </c>
      <c r="H35564" s="4" t="str">
        <v/>
      </c>
      <c r="I35564" s="4" t="str">
        <v/>
      </c>
    </row>
    <row r="35565" spans="5:9" ht="16.5" hidden="1">
      <c r="E35565" s="4" t="str">
        <v/>
      </c>
      <c r="F35565" s="102" t="str">
        <f ca="1">IFERROR(__xludf.DUMMYFUNCTION("IMPORTRANGE(H35565,""IDENTITAS UNIT!D9"")"),"#N/A")</f>
        <v>#N/A</v>
      </c>
      <c r="H35565" s="4" t="str">
        <v/>
      </c>
      <c r="I35565" s="4" t="str">
        <v/>
      </c>
    </row>
    <row r="35566" spans="5:9" ht="16.5" hidden="1">
      <c r="E35566" s="4" t="str">
        <v/>
      </c>
      <c r="F35566" s="102" t="str">
        <f ca="1">IFERROR(__xludf.DUMMYFUNCTION("IMPORTRANGE(H35566,""IDENTITAS UNIT!D9"")"),"#N/A")</f>
        <v>#N/A</v>
      </c>
      <c r="H35566" s="4" t="str">
        <v/>
      </c>
      <c r="I35566" s="4" t="str">
        <v/>
      </c>
    </row>
    <row r="35567" spans="5:9" ht="16.5" hidden="1">
      <c r="E35567" s="4" t="str">
        <v/>
      </c>
      <c r="F35567" s="102" t="str">
        <f ca="1">IFERROR(__xludf.DUMMYFUNCTION("IMPORTRANGE(H35567,""IDENTITAS UNIT!D9"")"),"#N/A")</f>
        <v>#N/A</v>
      </c>
      <c r="H35567" s="4" t="str">
        <v/>
      </c>
      <c r="I35567" s="4" t="str">
        <v/>
      </c>
    </row>
    <row r="35568" spans="5:9" ht="16.5" hidden="1">
      <c r="E35568" s="4" t="str">
        <v/>
      </c>
      <c r="F35568" s="102" t="str">
        <f ca="1">IFERROR(__xludf.DUMMYFUNCTION("IMPORTRANGE(H35568,""IDENTITAS UNIT!D9"")"),"#N/A")</f>
        <v>#N/A</v>
      </c>
      <c r="H35568" s="4" t="str">
        <v/>
      </c>
      <c r="I35568" s="4" t="str">
        <v/>
      </c>
    </row>
    <row r="35569" spans="5:9" ht="16.5" hidden="1">
      <c r="E35569" s="4" t="str">
        <v/>
      </c>
      <c r="F35569" s="102" t="str">
        <f ca="1">IFERROR(__xludf.DUMMYFUNCTION("IMPORTRANGE(H35569,""IDENTITAS UNIT!D9"")"),"#N/A")</f>
        <v>#N/A</v>
      </c>
      <c r="H35569" s="4" t="str">
        <v/>
      </c>
      <c r="I35569" s="4" t="str">
        <v/>
      </c>
    </row>
    <row r="35570" spans="5:9" ht="16.5" hidden="1">
      <c r="E35570" s="4" t="str">
        <v/>
      </c>
      <c r="F35570" s="102" t="str">
        <f ca="1">IFERROR(__xludf.DUMMYFUNCTION("IMPORTRANGE(H35570,""IDENTITAS UNIT!D9"")"),"#N/A")</f>
        <v>#N/A</v>
      </c>
      <c r="H35570" s="4" t="str">
        <v/>
      </c>
      <c r="I35570" s="4" t="str">
        <v/>
      </c>
    </row>
    <row r="35571" spans="5:9" ht="16.5" hidden="1">
      <c r="E35571" s="4" t="str">
        <v/>
      </c>
      <c r="F35571" s="102" t="str">
        <f ca="1">IFERROR(__xludf.DUMMYFUNCTION("IMPORTRANGE(H35571,""IDENTITAS UNIT!D9"")"),"#N/A")</f>
        <v>#N/A</v>
      </c>
      <c r="H35571" s="4" t="str">
        <v/>
      </c>
      <c r="I35571" s="4" t="str">
        <v/>
      </c>
    </row>
    <row r="35572" spans="5:9" ht="16.5" hidden="1">
      <c r="E35572" s="4" t="str">
        <v/>
      </c>
      <c r="F35572" s="102" t="str">
        <f ca="1">IFERROR(__xludf.DUMMYFUNCTION("IMPORTRANGE(H35572,""IDENTITAS UNIT!D9"")"),"#N/A")</f>
        <v>#N/A</v>
      </c>
      <c r="H35572" s="4" t="str">
        <v/>
      </c>
      <c r="I35572" s="4" t="str">
        <v/>
      </c>
    </row>
    <row r="35573" spans="5:9" ht="16.5" hidden="1">
      <c r="E35573" s="4" t="str">
        <v/>
      </c>
      <c r="F35573" s="102" t="str">
        <f ca="1">IFERROR(__xludf.DUMMYFUNCTION("IMPORTRANGE(H35573,""IDENTITAS UNIT!D9"")"),"#N/A")</f>
        <v>#N/A</v>
      </c>
      <c r="H35573" s="4" t="str">
        <v/>
      </c>
      <c r="I35573" s="4" t="str">
        <v/>
      </c>
    </row>
    <row r="35574" spans="5:9" ht="16.5" hidden="1">
      <c r="E35574" s="4" t="str">
        <v/>
      </c>
      <c r="F35574" s="102" t="str">
        <f ca="1">IFERROR(__xludf.DUMMYFUNCTION("IMPORTRANGE(H35574,""IDENTITAS UNIT!D9"")"),"#N/A")</f>
        <v>#N/A</v>
      </c>
      <c r="H35574" s="4" t="str">
        <v/>
      </c>
      <c r="I35574" s="4" t="str">
        <v/>
      </c>
    </row>
    <row r="35575" spans="5:9" ht="16.5" hidden="1">
      <c r="E35575" s="4" t="str">
        <v/>
      </c>
      <c r="F35575" s="102" t="str">
        <f ca="1">IFERROR(__xludf.DUMMYFUNCTION("IMPORTRANGE(H35575,""IDENTITAS UNIT!D9"")"),"#N/A")</f>
        <v>#N/A</v>
      </c>
      <c r="H35575" s="4" t="str">
        <v/>
      </c>
      <c r="I35575" s="4" t="str">
        <v/>
      </c>
    </row>
    <row r="35576" spans="5:9" ht="16.5" hidden="1">
      <c r="E35576" s="4" t="str">
        <v/>
      </c>
      <c r="F35576" s="102" t="str">
        <f ca="1">IFERROR(__xludf.DUMMYFUNCTION("IMPORTRANGE(H35576,""IDENTITAS UNIT!D9"")"),"#N/A")</f>
        <v>#N/A</v>
      </c>
      <c r="H35576" s="4" t="str">
        <v/>
      </c>
      <c r="I35576" s="4" t="str">
        <v/>
      </c>
    </row>
    <row r="35577" spans="5:9" ht="16.5" hidden="1">
      <c r="E35577" s="4" t="str">
        <v/>
      </c>
      <c r="F35577" s="102" t="str">
        <f ca="1">IFERROR(__xludf.DUMMYFUNCTION("IMPORTRANGE(H35577,""IDENTITAS UNIT!D9"")"),"#N/A")</f>
        <v>#N/A</v>
      </c>
      <c r="H35577" s="4" t="str">
        <v/>
      </c>
      <c r="I35577" s="4" t="str">
        <v/>
      </c>
    </row>
    <row r="35578" spans="5:9" ht="16.5" hidden="1">
      <c r="E35578" s="4" t="str">
        <v/>
      </c>
      <c r="F35578" s="102" t="str">
        <f ca="1">IFERROR(__xludf.DUMMYFUNCTION("IMPORTRANGE(H35578,""IDENTITAS UNIT!D9"")"),"#N/A")</f>
        <v>#N/A</v>
      </c>
      <c r="H35578" s="4" t="str">
        <v/>
      </c>
      <c r="I35578" s="4" t="str">
        <v/>
      </c>
    </row>
    <row r="35579" spans="5:9" ht="16.5" hidden="1">
      <c r="E35579" s="4" t="str">
        <v/>
      </c>
      <c r="F35579" s="102" t="str">
        <f ca="1">IFERROR(__xludf.DUMMYFUNCTION("IMPORTRANGE(H35579,""IDENTITAS UNIT!D9"")"),"#N/A")</f>
        <v>#N/A</v>
      </c>
      <c r="H35579" s="4" t="str">
        <v/>
      </c>
      <c r="I35579" s="4" t="str">
        <v/>
      </c>
    </row>
    <row r="35580" spans="5:9" ht="16.5" hidden="1">
      <c r="E35580" s="4" t="str">
        <v/>
      </c>
      <c r="F35580" s="102" t="str">
        <f ca="1">IFERROR(__xludf.DUMMYFUNCTION("IMPORTRANGE(H35580,""IDENTITAS UNIT!D9"")"),"#N/A")</f>
        <v>#N/A</v>
      </c>
      <c r="H35580" s="4" t="str">
        <v/>
      </c>
      <c r="I35580" s="4" t="str">
        <v/>
      </c>
    </row>
    <row r="35581" spans="5:9" ht="16.5" hidden="1">
      <c r="E35581" s="4" t="str">
        <v/>
      </c>
      <c r="F35581" s="102" t="str">
        <f ca="1">IFERROR(__xludf.DUMMYFUNCTION("IMPORTRANGE(H35581,""IDENTITAS UNIT!D9"")"),"#N/A")</f>
        <v>#N/A</v>
      </c>
      <c r="H35581" s="4" t="str">
        <v/>
      </c>
      <c r="I35581" s="4" t="str">
        <v/>
      </c>
    </row>
    <row r="35582" spans="5:9" ht="16.5" hidden="1">
      <c r="E35582" s="4" t="str">
        <v/>
      </c>
      <c r="F35582" s="102" t="str">
        <f ca="1">IFERROR(__xludf.DUMMYFUNCTION("IMPORTRANGE(H35582,""IDENTITAS UNIT!D9"")"),"#N/A")</f>
        <v>#N/A</v>
      </c>
      <c r="H35582" s="4" t="str">
        <v/>
      </c>
      <c r="I35582" s="4" t="str">
        <v/>
      </c>
    </row>
    <row r="35583" spans="5:9" ht="16.5" hidden="1">
      <c r="E35583" s="4" t="str">
        <v/>
      </c>
      <c r="F35583" s="102" t="str">
        <f ca="1">IFERROR(__xludf.DUMMYFUNCTION("IMPORTRANGE(H35583,""IDENTITAS UNIT!D9"")"),"#N/A")</f>
        <v>#N/A</v>
      </c>
      <c r="H35583" s="4" t="str">
        <v/>
      </c>
      <c r="I35583" s="4" t="str">
        <v/>
      </c>
    </row>
    <row r="35584" spans="5:9" ht="16.5" hidden="1">
      <c r="E35584" s="4" t="str">
        <v/>
      </c>
      <c r="F35584" s="102" t="str">
        <f ca="1">IFERROR(__xludf.DUMMYFUNCTION("IMPORTRANGE(H35584,""IDENTITAS UNIT!D9"")"),"#N/A")</f>
        <v>#N/A</v>
      </c>
      <c r="H35584" s="4" t="str">
        <v/>
      </c>
      <c r="I35584" s="4" t="str">
        <v/>
      </c>
    </row>
    <row r="35585" spans="5:9" ht="16.5" hidden="1">
      <c r="E35585" s="4" t="str">
        <v/>
      </c>
      <c r="F35585" s="102" t="str">
        <f ca="1">IFERROR(__xludf.DUMMYFUNCTION("IMPORTRANGE(H35585,""IDENTITAS UNIT!D9"")"),"#N/A")</f>
        <v>#N/A</v>
      </c>
      <c r="H35585" s="4" t="str">
        <v/>
      </c>
      <c r="I35585" s="4" t="str">
        <v/>
      </c>
    </row>
    <row r="35586" spans="5:9" ht="16.5" hidden="1">
      <c r="E35586" s="4" t="str">
        <v/>
      </c>
      <c r="F35586" s="102" t="str">
        <f ca="1">IFERROR(__xludf.DUMMYFUNCTION("IMPORTRANGE(H35586,""IDENTITAS UNIT!D9"")"),"#N/A")</f>
        <v>#N/A</v>
      </c>
      <c r="H35586" s="4" t="str">
        <v/>
      </c>
      <c r="I35586" s="4" t="str">
        <v/>
      </c>
    </row>
    <row r="35587" spans="5:9" ht="16.5" hidden="1">
      <c r="E35587" s="4" t="str">
        <v/>
      </c>
      <c r="F35587" s="102" t="str">
        <f ca="1">IFERROR(__xludf.DUMMYFUNCTION("IMPORTRANGE(H35587,""IDENTITAS UNIT!D9"")"),"#N/A")</f>
        <v>#N/A</v>
      </c>
      <c r="H35587" s="4" t="str">
        <v/>
      </c>
      <c r="I35587" s="4" t="str">
        <v/>
      </c>
    </row>
    <row r="35588" spans="5:9" ht="16.5" hidden="1">
      <c r="E35588" s="4" t="str">
        <v/>
      </c>
      <c r="F35588" s="102" t="str">
        <f ca="1">IFERROR(__xludf.DUMMYFUNCTION("IMPORTRANGE(H35588,""IDENTITAS UNIT!D9"")"),"#N/A")</f>
        <v>#N/A</v>
      </c>
      <c r="H35588" s="4" t="str">
        <v/>
      </c>
      <c r="I35588" s="4" t="str">
        <v/>
      </c>
    </row>
    <row r="35589" spans="5:9" ht="16.5" hidden="1">
      <c r="E35589" s="4" t="str">
        <v/>
      </c>
      <c r="F35589" s="102" t="str">
        <f ca="1">IFERROR(__xludf.DUMMYFUNCTION("IMPORTRANGE(H35589,""IDENTITAS UNIT!D9"")"),"#N/A")</f>
        <v>#N/A</v>
      </c>
      <c r="H35589" s="4" t="str">
        <v/>
      </c>
      <c r="I35589" s="4" t="str">
        <v/>
      </c>
    </row>
    <row r="35590" spans="5:9" ht="16.5" hidden="1">
      <c r="E35590" s="4" t="str">
        <v/>
      </c>
      <c r="F35590" s="102" t="str">
        <f ca="1">IFERROR(__xludf.DUMMYFUNCTION("IMPORTRANGE(H35590,""IDENTITAS UNIT!D9"")"),"#N/A")</f>
        <v>#N/A</v>
      </c>
      <c r="H35590" s="4" t="str">
        <v/>
      </c>
      <c r="I35590" s="4" t="str">
        <v/>
      </c>
    </row>
    <row r="35591" spans="5:9" ht="16.5" hidden="1">
      <c r="E35591" s="4" t="str">
        <v/>
      </c>
      <c r="F35591" s="102" t="str">
        <f ca="1">IFERROR(__xludf.DUMMYFUNCTION("IMPORTRANGE(H35591,""IDENTITAS UNIT!D9"")"),"#N/A")</f>
        <v>#N/A</v>
      </c>
      <c r="H35591" s="4" t="str">
        <v/>
      </c>
      <c r="I35591" s="4" t="str">
        <v/>
      </c>
    </row>
    <row r="35592" spans="5:9" ht="16.5" hidden="1">
      <c r="E35592" s="4" t="str">
        <v/>
      </c>
      <c r="F35592" s="102" t="str">
        <f ca="1">IFERROR(__xludf.DUMMYFUNCTION("IMPORTRANGE(H35592,""IDENTITAS UNIT!D9"")"),"#N/A")</f>
        <v>#N/A</v>
      </c>
      <c r="H35592" s="4" t="str">
        <v/>
      </c>
      <c r="I35592" s="4" t="str">
        <v/>
      </c>
    </row>
    <row r="35593" spans="5:9" ht="16.5" hidden="1">
      <c r="E35593" s="4" t="str">
        <v/>
      </c>
      <c r="F35593" s="102" t="str">
        <f ca="1">IFERROR(__xludf.DUMMYFUNCTION("IMPORTRANGE(H35593,""IDENTITAS UNIT!D9"")"),"#N/A")</f>
        <v>#N/A</v>
      </c>
      <c r="H35593" s="4" t="str">
        <v/>
      </c>
      <c r="I35593" s="4" t="str">
        <v/>
      </c>
    </row>
    <row r="35594" spans="5:9" ht="16.5" hidden="1">
      <c r="E35594" s="4" t="str">
        <v/>
      </c>
      <c r="F35594" s="102" t="str">
        <f ca="1">IFERROR(__xludf.DUMMYFUNCTION("IMPORTRANGE(H35594,""IDENTITAS UNIT!D9"")"),"#N/A")</f>
        <v>#N/A</v>
      </c>
      <c r="H35594" s="4" t="str">
        <v/>
      </c>
      <c r="I35594" s="4" t="str">
        <v/>
      </c>
    </row>
    <row r="35595" spans="5:9" ht="16.5" hidden="1">
      <c r="E35595" s="4" t="str">
        <v/>
      </c>
      <c r="F35595" s="102" t="str">
        <f ca="1">IFERROR(__xludf.DUMMYFUNCTION("IMPORTRANGE(H35595,""IDENTITAS UNIT!D9"")"),"#N/A")</f>
        <v>#N/A</v>
      </c>
      <c r="H35595" s="4" t="str">
        <v/>
      </c>
      <c r="I35595" s="4" t="str">
        <v/>
      </c>
    </row>
    <row r="35596" spans="5:9" ht="16.5" hidden="1">
      <c r="E35596" s="4" t="str">
        <v/>
      </c>
      <c r="F35596" s="102" t="str">
        <f ca="1">IFERROR(__xludf.DUMMYFUNCTION("IMPORTRANGE(H35596,""IDENTITAS UNIT!D9"")"),"#N/A")</f>
        <v>#N/A</v>
      </c>
      <c r="H35596" s="4" t="str">
        <v/>
      </c>
      <c r="I35596" s="4" t="str">
        <v/>
      </c>
    </row>
    <row r="35597" spans="5:9" ht="16.5" hidden="1">
      <c r="E35597" s="4" t="str">
        <v/>
      </c>
      <c r="F35597" s="102" t="str">
        <f ca="1">IFERROR(__xludf.DUMMYFUNCTION("IMPORTRANGE(H35597,""IDENTITAS UNIT!D9"")"),"#N/A")</f>
        <v>#N/A</v>
      </c>
      <c r="H35597" s="4" t="str">
        <v/>
      </c>
      <c r="I35597" s="4" t="str">
        <v/>
      </c>
    </row>
    <row r="35598" spans="5:9" ht="16.5" hidden="1">
      <c r="E35598" s="4" t="str">
        <v/>
      </c>
      <c r="F35598" s="102" t="str">
        <f ca="1">IFERROR(__xludf.DUMMYFUNCTION("IMPORTRANGE(H35598,""IDENTITAS UNIT!D9"")"),"#N/A")</f>
        <v>#N/A</v>
      </c>
      <c r="H35598" s="4" t="str">
        <v/>
      </c>
      <c r="I35598" s="4" t="str">
        <v/>
      </c>
    </row>
    <row r="35599" spans="5:9" ht="16.5" hidden="1">
      <c r="E35599" s="4" t="str">
        <v/>
      </c>
      <c r="F35599" s="102" t="str">
        <f ca="1">IFERROR(__xludf.DUMMYFUNCTION("IMPORTRANGE(H35599,""IDENTITAS UNIT!D9"")"),"#N/A")</f>
        <v>#N/A</v>
      </c>
      <c r="H35599" s="4" t="str">
        <v/>
      </c>
      <c r="I35599" s="4" t="str">
        <v/>
      </c>
    </row>
    <row r="35600" spans="5:9" ht="16.5" hidden="1">
      <c r="E35600" s="4" t="str">
        <v/>
      </c>
      <c r="F35600" s="102" t="str">
        <f ca="1">IFERROR(__xludf.DUMMYFUNCTION("IMPORTRANGE(H35600,""IDENTITAS UNIT!D9"")"),"#N/A")</f>
        <v>#N/A</v>
      </c>
      <c r="H35600" s="4" t="str">
        <v/>
      </c>
      <c r="I35600" s="4" t="str">
        <v/>
      </c>
    </row>
    <row r="35601" spans="5:9" ht="16.5" hidden="1">
      <c r="E35601" s="4" t="str">
        <v/>
      </c>
      <c r="F35601" s="102" t="str">
        <f ca="1">IFERROR(__xludf.DUMMYFUNCTION("IMPORTRANGE(H35601,""IDENTITAS UNIT!D9"")"),"#N/A")</f>
        <v>#N/A</v>
      </c>
      <c r="H35601" s="4" t="str">
        <v/>
      </c>
      <c r="I35601" s="4" t="str">
        <v/>
      </c>
    </row>
    <row r="35602" spans="5:9" ht="16.5" hidden="1">
      <c r="E35602" s="4" t="str">
        <v/>
      </c>
      <c r="F35602" s="102" t="str">
        <f ca="1">IFERROR(__xludf.DUMMYFUNCTION("IMPORTRANGE(H35602,""IDENTITAS UNIT!D9"")"),"#N/A")</f>
        <v>#N/A</v>
      </c>
      <c r="H35602" s="4" t="str">
        <v/>
      </c>
      <c r="I35602" s="4" t="str">
        <v/>
      </c>
    </row>
    <row r="35603" spans="5:9" ht="16.5" hidden="1">
      <c r="E35603" s="4" t="str">
        <v/>
      </c>
      <c r="F35603" s="102" t="str">
        <f ca="1">IFERROR(__xludf.DUMMYFUNCTION("IMPORTRANGE(H35603,""IDENTITAS UNIT!D9"")"),"#N/A")</f>
        <v>#N/A</v>
      </c>
      <c r="H35603" s="4" t="str">
        <v/>
      </c>
      <c r="I35603" s="4" t="str">
        <v/>
      </c>
    </row>
    <row r="35604" spans="5:9" ht="16.5" hidden="1">
      <c r="E35604" s="4" t="str">
        <v/>
      </c>
      <c r="F35604" s="102" t="str">
        <f ca="1">IFERROR(__xludf.DUMMYFUNCTION("IMPORTRANGE(H35604,""IDENTITAS UNIT!D9"")"),"#N/A")</f>
        <v>#N/A</v>
      </c>
      <c r="H35604" s="4" t="str">
        <v/>
      </c>
      <c r="I35604" s="4" t="str">
        <v/>
      </c>
    </row>
    <row r="35605" spans="5:9" ht="16.5" hidden="1">
      <c r="E35605" s="4" t="str">
        <v/>
      </c>
      <c r="F35605" s="102" t="str">
        <f ca="1">IFERROR(__xludf.DUMMYFUNCTION("IMPORTRANGE(H35605,""IDENTITAS UNIT!D9"")"),"#N/A")</f>
        <v>#N/A</v>
      </c>
      <c r="H35605" s="4" t="str">
        <v/>
      </c>
      <c r="I35605" s="4" t="str">
        <v/>
      </c>
    </row>
    <row r="35606" spans="5:9" ht="16.5" hidden="1">
      <c r="E35606" s="4" t="str">
        <v/>
      </c>
      <c r="F35606" s="102" t="str">
        <f ca="1">IFERROR(__xludf.DUMMYFUNCTION("IMPORTRANGE(H35606,""IDENTITAS UNIT!D9"")"),"#N/A")</f>
        <v>#N/A</v>
      </c>
      <c r="H35606" s="4" t="str">
        <v/>
      </c>
      <c r="I35606" s="4" t="str">
        <v/>
      </c>
    </row>
    <row r="35607" spans="5:9" ht="16.5" hidden="1">
      <c r="E35607" s="4" t="str">
        <v/>
      </c>
      <c r="F35607" s="102" t="str">
        <f ca="1">IFERROR(__xludf.DUMMYFUNCTION("IMPORTRANGE(H35607,""IDENTITAS UNIT!D9"")"),"#N/A")</f>
        <v>#N/A</v>
      </c>
      <c r="H35607" s="4" t="str">
        <v/>
      </c>
      <c r="I35607" s="4" t="str">
        <v/>
      </c>
    </row>
    <row r="35608" spans="5:9" ht="16.5" hidden="1">
      <c r="E35608" s="4" t="str">
        <v/>
      </c>
      <c r="F35608" s="102" t="str">
        <f ca="1">IFERROR(__xludf.DUMMYFUNCTION("IMPORTRANGE(H35608,""IDENTITAS UNIT!D9"")"),"#N/A")</f>
        <v>#N/A</v>
      </c>
      <c r="H35608" s="4" t="str">
        <v/>
      </c>
      <c r="I35608" s="4" t="str">
        <v/>
      </c>
    </row>
    <row r="35609" spans="5:9" ht="16.5" hidden="1">
      <c r="E35609" s="4" t="str">
        <v/>
      </c>
      <c r="F35609" s="102" t="str">
        <f ca="1">IFERROR(__xludf.DUMMYFUNCTION("IMPORTRANGE(H35609,""IDENTITAS UNIT!D9"")"),"#N/A")</f>
        <v>#N/A</v>
      </c>
      <c r="H35609" s="4" t="str">
        <v/>
      </c>
      <c r="I35609" s="4" t="str">
        <v/>
      </c>
    </row>
    <row r="35610" spans="5:9" ht="16.5" hidden="1">
      <c r="E35610" s="4" t="str">
        <v/>
      </c>
      <c r="F35610" s="102" t="str">
        <f ca="1">IFERROR(__xludf.DUMMYFUNCTION("IMPORTRANGE(H35610,""IDENTITAS UNIT!D9"")"),"#N/A")</f>
        <v>#N/A</v>
      </c>
      <c r="H35610" s="4" t="str">
        <v/>
      </c>
      <c r="I35610" s="4" t="str">
        <v/>
      </c>
    </row>
    <row r="35611" spans="5:9" ht="16.5" hidden="1">
      <c r="E35611" s="4" t="str">
        <v/>
      </c>
      <c r="F35611" s="102" t="str">
        <f ca="1">IFERROR(__xludf.DUMMYFUNCTION("IMPORTRANGE(H35611,""IDENTITAS UNIT!D9"")"),"#N/A")</f>
        <v>#N/A</v>
      </c>
      <c r="H35611" s="4" t="str">
        <v/>
      </c>
      <c r="I35611" s="4" t="str">
        <v/>
      </c>
    </row>
    <row r="35612" spans="5:9" ht="16.5" hidden="1">
      <c r="E35612" s="4" t="str">
        <v/>
      </c>
      <c r="F35612" s="102" t="str">
        <f ca="1">IFERROR(__xludf.DUMMYFUNCTION("IMPORTRANGE(H35612,""IDENTITAS UNIT!D9"")"),"#N/A")</f>
        <v>#N/A</v>
      </c>
      <c r="H35612" s="4" t="str">
        <v/>
      </c>
      <c r="I35612" s="4" t="str">
        <v/>
      </c>
    </row>
    <row r="35613" spans="5:9" ht="16.5" hidden="1">
      <c r="E35613" s="4" t="str">
        <v/>
      </c>
      <c r="F35613" s="102" t="str">
        <f ca="1">IFERROR(__xludf.DUMMYFUNCTION("IMPORTRANGE(H35613,""IDENTITAS UNIT!D9"")"),"#N/A")</f>
        <v>#N/A</v>
      </c>
      <c r="H35613" s="4" t="str">
        <v/>
      </c>
      <c r="I35613" s="4" t="str">
        <v/>
      </c>
    </row>
    <row r="35614" spans="5:9" ht="16.5" hidden="1">
      <c r="E35614" s="4" t="str">
        <v/>
      </c>
      <c r="F35614" s="102" t="str">
        <f ca="1">IFERROR(__xludf.DUMMYFUNCTION("IMPORTRANGE(H35614,""IDENTITAS UNIT!D9"")"),"#N/A")</f>
        <v>#N/A</v>
      </c>
      <c r="H35614" s="4" t="str">
        <v/>
      </c>
      <c r="I35614" s="4" t="str">
        <v/>
      </c>
    </row>
    <row r="35615" spans="5:9" ht="16.5" hidden="1">
      <c r="E35615" s="4" t="str">
        <v/>
      </c>
      <c r="F35615" s="102" t="str">
        <f ca="1">IFERROR(__xludf.DUMMYFUNCTION("IMPORTRANGE(H35615,""IDENTITAS UNIT!D9"")"),"#N/A")</f>
        <v>#N/A</v>
      </c>
      <c r="H35615" s="4" t="str">
        <v/>
      </c>
      <c r="I35615" s="4" t="str">
        <v/>
      </c>
    </row>
    <row r="35616" spans="5:9" ht="16.5" hidden="1">
      <c r="E35616" s="4" t="str">
        <v/>
      </c>
      <c r="F35616" s="102" t="str">
        <f ca="1">IFERROR(__xludf.DUMMYFUNCTION("IMPORTRANGE(H35616,""IDENTITAS UNIT!D9"")"),"#N/A")</f>
        <v>#N/A</v>
      </c>
      <c r="H35616" s="4" t="str">
        <v/>
      </c>
      <c r="I35616" s="4" t="str">
        <v/>
      </c>
    </row>
    <row r="35617" spans="5:9" ht="16.5" hidden="1">
      <c r="E35617" s="4" t="str">
        <v/>
      </c>
      <c r="F35617" s="102" t="str">
        <f ca="1">IFERROR(__xludf.DUMMYFUNCTION("IMPORTRANGE(H35617,""IDENTITAS UNIT!D9"")"),"#N/A")</f>
        <v>#N/A</v>
      </c>
      <c r="H35617" s="4" t="str">
        <v/>
      </c>
      <c r="I35617" s="4" t="str">
        <v/>
      </c>
    </row>
    <row r="35618" spans="5:9" ht="16.5" hidden="1">
      <c r="E35618" s="4" t="str">
        <v/>
      </c>
      <c r="F35618" s="102" t="str">
        <f ca="1">IFERROR(__xludf.DUMMYFUNCTION("IMPORTRANGE(H35618,""IDENTITAS UNIT!D9"")"),"#N/A")</f>
        <v>#N/A</v>
      </c>
      <c r="H35618" s="4" t="str">
        <v/>
      </c>
      <c r="I35618" s="4" t="str">
        <v/>
      </c>
    </row>
    <row r="35619" spans="5:9" ht="16.5" hidden="1">
      <c r="E35619" s="4" t="str">
        <v/>
      </c>
      <c r="F35619" s="102" t="str">
        <f ca="1">IFERROR(__xludf.DUMMYFUNCTION("IMPORTRANGE(H35619,""IDENTITAS UNIT!D9"")"),"#N/A")</f>
        <v>#N/A</v>
      </c>
      <c r="H35619" s="4" t="str">
        <v/>
      </c>
      <c r="I35619" s="4" t="str">
        <v/>
      </c>
    </row>
    <row r="35620" spans="5:9" ht="16.5" hidden="1">
      <c r="E35620" s="4" t="str">
        <v/>
      </c>
      <c r="F35620" s="102" t="str">
        <f ca="1">IFERROR(__xludf.DUMMYFUNCTION("IMPORTRANGE(H35620,""IDENTITAS UNIT!D9"")"),"#N/A")</f>
        <v>#N/A</v>
      </c>
      <c r="H35620" s="4" t="str">
        <v/>
      </c>
      <c r="I35620" s="4" t="str">
        <v/>
      </c>
    </row>
    <row r="35621" spans="5:9" ht="16.5" hidden="1">
      <c r="E35621" s="4" t="str">
        <v/>
      </c>
      <c r="F35621" s="102" t="str">
        <f ca="1">IFERROR(__xludf.DUMMYFUNCTION("IMPORTRANGE(H35621,""IDENTITAS UNIT!D9"")"),"#N/A")</f>
        <v>#N/A</v>
      </c>
      <c r="H35621" s="4" t="str">
        <v/>
      </c>
      <c r="I35621" s="4" t="str">
        <v/>
      </c>
    </row>
    <row r="35622" spans="5:9" ht="16.5" hidden="1">
      <c r="E35622" s="4" t="str">
        <v/>
      </c>
      <c r="F35622" s="102" t="str">
        <f ca="1">IFERROR(__xludf.DUMMYFUNCTION("IMPORTRANGE(H35622,""IDENTITAS UNIT!D9"")"),"#N/A")</f>
        <v>#N/A</v>
      </c>
      <c r="H35622" s="4" t="str">
        <v/>
      </c>
      <c r="I35622" s="4" t="str">
        <v/>
      </c>
    </row>
    <row r="35623" spans="5:9" ht="16.5" hidden="1">
      <c r="E35623" s="4" t="str">
        <v/>
      </c>
      <c r="F35623" s="102" t="str">
        <f ca="1">IFERROR(__xludf.DUMMYFUNCTION("IMPORTRANGE(H35623,""IDENTITAS UNIT!D9"")"),"#N/A")</f>
        <v>#N/A</v>
      </c>
      <c r="H35623" s="4" t="str">
        <v/>
      </c>
      <c r="I35623" s="4" t="str">
        <v/>
      </c>
    </row>
    <row r="35624" spans="5:9" ht="16.5" hidden="1">
      <c r="E35624" s="4" t="str">
        <v/>
      </c>
      <c r="F35624" s="102" t="str">
        <f ca="1">IFERROR(__xludf.DUMMYFUNCTION("IMPORTRANGE(H35624,""IDENTITAS UNIT!D9"")"),"#N/A")</f>
        <v>#N/A</v>
      </c>
      <c r="H35624" s="4" t="str">
        <v/>
      </c>
      <c r="I35624" s="4" t="str">
        <v/>
      </c>
    </row>
    <row r="35625" spans="5:9" ht="16.5" hidden="1">
      <c r="E35625" s="4" t="str">
        <v/>
      </c>
      <c r="F35625" s="102" t="str">
        <f ca="1">IFERROR(__xludf.DUMMYFUNCTION("IMPORTRANGE(H35625,""IDENTITAS UNIT!D9"")"),"#N/A")</f>
        <v>#N/A</v>
      </c>
      <c r="H35625" s="4" t="str">
        <v/>
      </c>
      <c r="I35625" s="4" t="str">
        <v/>
      </c>
    </row>
    <row r="35626" spans="5:9" ht="16.5" hidden="1">
      <c r="E35626" s="4" t="str">
        <v/>
      </c>
      <c r="F35626" s="102" t="str">
        <f ca="1">IFERROR(__xludf.DUMMYFUNCTION("IMPORTRANGE(H35626,""IDENTITAS UNIT!D9"")"),"#N/A")</f>
        <v>#N/A</v>
      </c>
      <c r="H35626" s="4" t="str">
        <v/>
      </c>
      <c r="I35626" s="4" t="str">
        <v/>
      </c>
    </row>
    <row r="35627" spans="5:9" ht="16.5" hidden="1">
      <c r="E35627" s="4" t="str">
        <v/>
      </c>
      <c r="F35627" s="102" t="str">
        <f ca="1">IFERROR(__xludf.DUMMYFUNCTION("IMPORTRANGE(H35627,""IDENTITAS UNIT!D9"")"),"#N/A")</f>
        <v>#N/A</v>
      </c>
      <c r="H35627" s="4" t="str">
        <v/>
      </c>
      <c r="I35627" s="4" t="str">
        <v/>
      </c>
    </row>
    <row r="35628" spans="5:9" ht="16.5" hidden="1">
      <c r="E35628" s="4" t="str">
        <v/>
      </c>
      <c r="F35628" s="102" t="str">
        <f ca="1">IFERROR(__xludf.DUMMYFUNCTION("IMPORTRANGE(H35628,""IDENTITAS UNIT!D9"")"),"#N/A")</f>
        <v>#N/A</v>
      </c>
      <c r="H35628" s="4" t="str">
        <v/>
      </c>
      <c r="I35628" s="4" t="str">
        <v/>
      </c>
    </row>
    <row r="35629" spans="5:9" ht="16.5" hidden="1">
      <c r="E35629" s="4" t="str">
        <v/>
      </c>
      <c r="F35629" s="102" t="str">
        <f ca="1">IFERROR(__xludf.DUMMYFUNCTION("IMPORTRANGE(H35629,""IDENTITAS UNIT!D9"")"),"#N/A")</f>
        <v>#N/A</v>
      </c>
      <c r="H35629" s="4" t="str">
        <v/>
      </c>
      <c r="I35629" s="4" t="str">
        <v/>
      </c>
    </row>
    <row r="35630" spans="5:9" ht="16.5" hidden="1">
      <c r="E35630" s="4" t="str">
        <v/>
      </c>
      <c r="F35630" s="102" t="str">
        <f ca="1">IFERROR(__xludf.DUMMYFUNCTION("IMPORTRANGE(H35630,""IDENTITAS UNIT!D9"")"),"#N/A")</f>
        <v>#N/A</v>
      </c>
      <c r="H35630" s="4" t="str">
        <v/>
      </c>
      <c r="I35630" s="4" t="str">
        <v/>
      </c>
    </row>
    <row r="35631" spans="5:9" ht="16.5" hidden="1">
      <c r="E35631" s="4" t="str">
        <v/>
      </c>
      <c r="F35631" s="102" t="str">
        <f ca="1">IFERROR(__xludf.DUMMYFUNCTION("IMPORTRANGE(H35631,""IDENTITAS UNIT!D9"")"),"#N/A")</f>
        <v>#N/A</v>
      </c>
      <c r="H35631" s="4" t="str">
        <v/>
      </c>
      <c r="I35631" s="4" t="str">
        <v/>
      </c>
    </row>
    <row r="35632" spans="5:9" ht="16.5" hidden="1">
      <c r="E35632" s="4" t="str">
        <v/>
      </c>
      <c r="F35632" s="102" t="str">
        <f ca="1">IFERROR(__xludf.DUMMYFUNCTION("IMPORTRANGE(H35632,""IDENTITAS UNIT!D9"")"),"#N/A")</f>
        <v>#N/A</v>
      </c>
      <c r="H35632" s="4" t="str">
        <v/>
      </c>
      <c r="I35632" s="4" t="str">
        <v/>
      </c>
    </row>
    <row r="35633" spans="5:9" ht="16.5" hidden="1">
      <c r="E35633" s="4" t="str">
        <v/>
      </c>
      <c r="F35633" s="102" t="str">
        <f ca="1">IFERROR(__xludf.DUMMYFUNCTION("IMPORTRANGE(H35633,""IDENTITAS UNIT!D9"")"),"#N/A")</f>
        <v>#N/A</v>
      </c>
      <c r="H35633" s="4" t="str">
        <v/>
      </c>
      <c r="I35633" s="4" t="str">
        <v/>
      </c>
    </row>
    <row r="35634" spans="5:9" ht="16.5" hidden="1">
      <c r="E35634" s="4" t="str">
        <v/>
      </c>
      <c r="F35634" s="102" t="str">
        <f ca="1">IFERROR(__xludf.DUMMYFUNCTION("IMPORTRANGE(H35634,""IDENTITAS UNIT!D9"")"),"#N/A")</f>
        <v>#N/A</v>
      </c>
      <c r="H35634" s="4" t="str">
        <v/>
      </c>
      <c r="I35634" s="4" t="str">
        <v/>
      </c>
    </row>
    <row r="35635" spans="5:9" ht="16.5" hidden="1">
      <c r="E35635" s="4" t="str">
        <v/>
      </c>
      <c r="F35635" s="102" t="str">
        <f ca="1">IFERROR(__xludf.DUMMYFUNCTION("IMPORTRANGE(H35635,""IDENTITAS UNIT!D9"")"),"#N/A")</f>
        <v>#N/A</v>
      </c>
      <c r="H35635" s="4" t="str">
        <v/>
      </c>
      <c r="I35635" s="4" t="str">
        <v/>
      </c>
    </row>
    <row r="35636" spans="5:9" ht="16.5" hidden="1">
      <c r="E35636" s="4" t="str">
        <v/>
      </c>
      <c r="F35636" s="102" t="str">
        <f ca="1">IFERROR(__xludf.DUMMYFUNCTION("IMPORTRANGE(H35636,""IDENTITAS UNIT!D9"")"),"#N/A")</f>
        <v>#N/A</v>
      </c>
      <c r="H35636" s="4" t="str">
        <v/>
      </c>
      <c r="I35636" s="4" t="str">
        <v/>
      </c>
    </row>
    <row r="35637" spans="5:9" ht="16.5" hidden="1">
      <c r="E35637" s="4" t="str">
        <v/>
      </c>
      <c r="F35637" s="102" t="str">
        <f ca="1">IFERROR(__xludf.DUMMYFUNCTION("IMPORTRANGE(H35637,""IDENTITAS UNIT!D9"")"),"#N/A")</f>
        <v>#N/A</v>
      </c>
      <c r="H35637" s="4" t="str">
        <v/>
      </c>
      <c r="I35637" s="4" t="str">
        <v/>
      </c>
    </row>
    <row r="35638" spans="5:9" ht="16.5" hidden="1">
      <c r="E35638" s="4" t="str">
        <v/>
      </c>
      <c r="F35638" s="102" t="str">
        <f ca="1">IFERROR(__xludf.DUMMYFUNCTION("IMPORTRANGE(H35638,""IDENTITAS UNIT!D9"")"),"#N/A")</f>
        <v>#N/A</v>
      </c>
      <c r="H35638" s="4" t="str">
        <v/>
      </c>
      <c r="I35638" s="4" t="str">
        <v/>
      </c>
    </row>
    <row r="35639" spans="5:9" ht="16.5" hidden="1">
      <c r="E35639" s="4" t="str">
        <v/>
      </c>
      <c r="F35639" s="102" t="str">
        <f ca="1">IFERROR(__xludf.DUMMYFUNCTION("IMPORTRANGE(H35639,""IDENTITAS UNIT!D9"")"),"#N/A")</f>
        <v>#N/A</v>
      </c>
      <c r="H35639" s="4" t="str">
        <v/>
      </c>
      <c r="I35639" s="4" t="str">
        <v/>
      </c>
    </row>
    <row r="35640" spans="5:9" ht="16.5" hidden="1">
      <c r="E35640" s="4" t="str">
        <v/>
      </c>
      <c r="F35640" s="102" t="str">
        <f ca="1">IFERROR(__xludf.DUMMYFUNCTION("IMPORTRANGE(H35640,""IDENTITAS UNIT!D9"")"),"#N/A")</f>
        <v>#N/A</v>
      </c>
      <c r="H35640" s="4" t="str">
        <v/>
      </c>
      <c r="I35640" s="4" t="str">
        <v/>
      </c>
    </row>
    <row r="35641" spans="5:9" ht="16.5" hidden="1">
      <c r="E35641" s="4" t="str">
        <v/>
      </c>
      <c r="F35641" s="102" t="str">
        <f ca="1">IFERROR(__xludf.DUMMYFUNCTION("IMPORTRANGE(H35641,""IDENTITAS UNIT!D9"")"),"#N/A")</f>
        <v>#N/A</v>
      </c>
      <c r="H35641" s="4" t="str">
        <v/>
      </c>
      <c r="I35641" s="4" t="str">
        <v/>
      </c>
    </row>
    <row r="35642" spans="5:9" ht="16.5" hidden="1">
      <c r="E35642" s="4" t="str">
        <v/>
      </c>
      <c r="F35642" s="102" t="str">
        <f ca="1">IFERROR(__xludf.DUMMYFUNCTION("IMPORTRANGE(H35642,""IDENTITAS UNIT!D9"")"),"#N/A")</f>
        <v>#N/A</v>
      </c>
      <c r="H35642" s="4" t="str">
        <v/>
      </c>
      <c r="I35642" s="4" t="str">
        <v/>
      </c>
    </row>
    <row r="35643" spans="5:9" ht="16.5" hidden="1">
      <c r="E35643" s="4" t="str">
        <v/>
      </c>
      <c r="F35643" s="102" t="str">
        <f ca="1">IFERROR(__xludf.DUMMYFUNCTION("IMPORTRANGE(H35643,""IDENTITAS UNIT!D9"")"),"#N/A")</f>
        <v>#N/A</v>
      </c>
      <c r="H35643" s="4" t="str">
        <v/>
      </c>
      <c r="I35643" s="4" t="str">
        <v/>
      </c>
    </row>
    <row r="35644" spans="5:9" ht="16.5" hidden="1">
      <c r="E35644" s="4" t="str">
        <v/>
      </c>
      <c r="F35644" s="102" t="str">
        <f ca="1">IFERROR(__xludf.DUMMYFUNCTION("IMPORTRANGE(H35644,""IDENTITAS UNIT!D9"")"),"#N/A")</f>
        <v>#N/A</v>
      </c>
      <c r="H35644" s="4" t="str">
        <v/>
      </c>
      <c r="I35644" s="4" t="str">
        <v/>
      </c>
    </row>
    <row r="35645" spans="5:9" ht="16.5" hidden="1">
      <c r="E35645" s="4" t="str">
        <v/>
      </c>
      <c r="F35645" s="102" t="str">
        <f ca="1">IFERROR(__xludf.DUMMYFUNCTION("IMPORTRANGE(H35645,""IDENTITAS UNIT!D9"")"),"#N/A")</f>
        <v>#N/A</v>
      </c>
      <c r="H35645" s="4" t="str">
        <v/>
      </c>
      <c r="I35645" s="4" t="str">
        <v/>
      </c>
    </row>
    <row r="35646" spans="5:9" ht="16.5" hidden="1">
      <c r="E35646" s="4" t="str">
        <v/>
      </c>
      <c r="F35646" s="102" t="str">
        <f ca="1">IFERROR(__xludf.DUMMYFUNCTION("IMPORTRANGE(H35646,""IDENTITAS UNIT!D9"")"),"#N/A")</f>
        <v>#N/A</v>
      </c>
      <c r="H35646" s="4" t="str">
        <v/>
      </c>
      <c r="I35646" s="4" t="str">
        <v/>
      </c>
    </row>
    <row r="35647" spans="5:9" ht="16.5" hidden="1">
      <c r="E35647" s="4" t="str">
        <v/>
      </c>
      <c r="F35647" s="102" t="str">
        <f ca="1">IFERROR(__xludf.DUMMYFUNCTION("IMPORTRANGE(H35647,""IDENTITAS UNIT!D9"")"),"#N/A")</f>
        <v>#N/A</v>
      </c>
      <c r="H35647" s="4" t="str">
        <v/>
      </c>
      <c r="I35647" s="4" t="str">
        <v/>
      </c>
    </row>
    <row r="35648" spans="5:9" ht="16.5" hidden="1">
      <c r="E35648" s="4" t="str">
        <v/>
      </c>
      <c r="F35648" s="102" t="str">
        <f ca="1">IFERROR(__xludf.DUMMYFUNCTION("IMPORTRANGE(H35648,""IDENTITAS UNIT!D9"")"),"#N/A")</f>
        <v>#N/A</v>
      </c>
      <c r="H35648" s="4" t="str">
        <v/>
      </c>
      <c r="I35648" s="4" t="str">
        <v/>
      </c>
    </row>
    <row r="35649" spans="5:9" ht="16.5" hidden="1">
      <c r="E35649" s="4" t="str">
        <v/>
      </c>
      <c r="F35649" s="102" t="str">
        <f ca="1">IFERROR(__xludf.DUMMYFUNCTION("IMPORTRANGE(H35649,""IDENTITAS UNIT!D9"")"),"#N/A")</f>
        <v>#N/A</v>
      </c>
      <c r="H35649" s="4" t="str">
        <v/>
      </c>
      <c r="I35649" s="4" t="str">
        <v/>
      </c>
    </row>
    <row r="35650" spans="5:9" ht="16.5" hidden="1">
      <c r="E35650" s="4" t="str">
        <v/>
      </c>
      <c r="F35650" s="102" t="str">
        <f ca="1">IFERROR(__xludf.DUMMYFUNCTION("IMPORTRANGE(H35650,""IDENTITAS UNIT!D9"")"),"#N/A")</f>
        <v>#N/A</v>
      </c>
      <c r="H35650" s="4" t="str">
        <v/>
      </c>
      <c r="I35650" s="4" t="str">
        <v/>
      </c>
    </row>
    <row r="35651" spans="5:9" ht="16.5" hidden="1">
      <c r="E35651" s="4" t="str">
        <v/>
      </c>
      <c r="F35651" s="102" t="str">
        <f ca="1">IFERROR(__xludf.DUMMYFUNCTION("IMPORTRANGE(H35651,""IDENTITAS UNIT!D9"")"),"#N/A")</f>
        <v>#N/A</v>
      </c>
      <c r="H35651" s="4" t="str">
        <v/>
      </c>
      <c r="I35651" s="4" t="str">
        <v/>
      </c>
    </row>
    <row r="35652" spans="5:9" ht="16.5" hidden="1">
      <c r="E35652" s="4" t="str">
        <v/>
      </c>
      <c r="F35652" s="102" t="str">
        <f ca="1">IFERROR(__xludf.DUMMYFUNCTION("IMPORTRANGE(H35652,""IDENTITAS UNIT!D9"")"),"#N/A")</f>
        <v>#N/A</v>
      </c>
      <c r="H35652" s="4" t="str">
        <v/>
      </c>
      <c r="I35652" s="4" t="str">
        <v/>
      </c>
    </row>
    <row r="35653" spans="5:9" ht="16.5" hidden="1">
      <c r="E35653" s="4" t="str">
        <v/>
      </c>
      <c r="F35653" s="102" t="str">
        <f ca="1">IFERROR(__xludf.DUMMYFUNCTION("IMPORTRANGE(H35653,""IDENTITAS UNIT!D9"")"),"#N/A")</f>
        <v>#N/A</v>
      </c>
      <c r="H35653" s="4" t="str">
        <v/>
      </c>
      <c r="I35653" s="4" t="str">
        <v/>
      </c>
    </row>
    <row r="35654" spans="5:9" ht="16.5" hidden="1">
      <c r="E35654" s="4" t="str">
        <v/>
      </c>
      <c r="F35654" s="102" t="str">
        <f ca="1">IFERROR(__xludf.DUMMYFUNCTION("IMPORTRANGE(H35654,""IDENTITAS UNIT!D9"")"),"#N/A")</f>
        <v>#N/A</v>
      </c>
      <c r="H35654" s="4" t="str">
        <v/>
      </c>
      <c r="I35654" s="4" t="str">
        <v/>
      </c>
    </row>
    <row r="35655" spans="5:9" ht="16.5" hidden="1">
      <c r="E35655" s="4" t="str">
        <v/>
      </c>
      <c r="F35655" s="102" t="str">
        <f ca="1">IFERROR(__xludf.DUMMYFUNCTION("IMPORTRANGE(H35655,""IDENTITAS UNIT!D9"")"),"#N/A")</f>
        <v>#N/A</v>
      </c>
      <c r="H35655" s="4" t="str">
        <v/>
      </c>
      <c r="I35655" s="4" t="str">
        <v/>
      </c>
    </row>
    <row r="35656" spans="5:9" ht="16.5" hidden="1">
      <c r="E35656" s="4" t="str">
        <v/>
      </c>
      <c r="F35656" s="102" t="str">
        <f ca="1">IFERROR(__xludf.DUMMYFUNCTION("IMPORTRANGE(H35656,""IDENTITAS UNIT!D9"")"),"#N/A")</f>
        <v>#N/A</v>
      </c>
      <c r="H35656" s="4" t="str">
        <v/>
      </c>
      <c r="I35656" s="4" t="str">
        <v/>
      </c>
    </row>
    <row r="35657" spans="5:9" ht="16.5" hidden="1">
      <c r="E35657" s="4" t="str">
        <v/>
      </c>
      <c r="F35657" s="102" t="str">
        <f ca="1">IFERROR(__xludf.DUMMYFUNCTION("IMPORTRANGE(H35657,""IDENTITAS UNIT!D9"")"),"#N/A")</f>
        <v>#N/A</v>
      </c>
      <c r="H35657" s="4" t="str">
        <v/>
      </c>
      <c r="I35657" s="4" t="str">
        <v/>
      </c>
    </row>
    <row r="35658" spans="5:9" ht="16.5" hidden="1">
      <c r="E35658" s="4" t="str">
        <v/>
      </c>
      <c r="F35658" s="102" t="str">
        <f ca="1">IFERROR(__xludf.DUMMYFUNCTION("IMPORTRANGE(H35658,""IDENTITAS UNIT!D9"")"),"#N/A")</f>
        <v>#N/A</v>
      </c>
      <c r="H35658" s="4" t="str">
        <v/>
      </c>
      <c r="I35658" s="4" t="str">
        <v/>
      </c>
    </row>
    <row r="35659" spans="5:9" ht="16.5" hidden="1">
      <c r="E35659" s="4" t="str">
        <v/>
      </c>
      <c r="F35659" s="102" t="str">
        <f ca="1">IFERROR(__xludf.DUMMYFUNCTION("IMPORTRANGE(H35659,""IDENTITAS UNIT!D9"")"),"#N/A")</f>
        <v>#N/A</v>
      </c>
      <c r="H35659" s="4" t="str">
        <v/>
      </c>
      <c r="I35659" s="4" t="str">
        <v/>
      </c>
    </row>
    <row r="35660" spans="5:9" ht="16.5" hidden="1">
      <c r="E35660" s="4" t="str">
        <v/>
      </c>
      <c r="F35660" s="102" t="str">
        <f ca="1">IFERROR(__xludf.DUMMYFUNCTION("IMPORTRANGE(H35660,""IDENTITAS UNIT!D9"")"),"#N/A")</f>
        <v>#N/A</v>
      </c>
      <c r="H35660" s="4" t="str">
        <v/>
      </c>
      <c r="I35660" s="4" t="str">
        <v/>
      </c>
    </row>
    <row r="35661" spans="5:9" ht="16.5" hidden="1">
      <c r="E35661" s="4" t="str">
        <v/>
      </c>
      <c r="F35661" s="102" t="str">
        <f ca="1">IFERROR(__xludf.DUMMYFUNCTION("IMPORTRANGE(H35661,""IDENTITAS UNIT!D9"")"),"#N/A")</f>
        <v>#N/A</v>
      </c>
      <c r="H35661" s="4" t="str">
        <v/>
      </c>
      <c r="I35661" s="4" t="str">
        <v/>
      </c>
    </row>
    <row r="35662" spans="5:9" ht="16.5" hidden="1">
      <c r="E35662" s="4" t="str">
        <v/>
      </c>
      <c r="F35662" s="102" t="str">
        <f ca="1">IFERROR(__xludf.DUMMYFUNCTION("IMPORTRANGE(H35662,""IDENTITAS UNIT!D9"")"),"#N/A")</f>
        <v>#N/A</v>
      </c>
      <c r="H35662" s="4" t="str">
        <v/>
      </c>
      <c r="I35662" s="4" t="str">
        <v/>
      </c>
    </row>
    <row r="35663" spans="5:9" ht="16.5" hidden="1">
      <c r="E35663" s="4" t="str">
        <v/>
      </c>
      <c r="F35663" s="102" t="str">
        <f ca="1">IFERROR(__xludf.DUMMYFUNCTION("IMPORTRANGE(H35663,""IDENTITAS UNIT!D9"")"),"#N/A")</f>
        <v>#N/A</v>
      </c>
      <c r="H35663" s="4" t="str">
        <v/>
      </c>
      <c r="I35663" s="4" t="str">
        <v/>
      </c>
    </row>
    <row r="35664" spans="5:9" ht="16.5" hidden="1">
      <c r="E35664" s="4" t="str">
        <v/>
      </c>
      <c r="F35664" s="102" t="str">
        <f ca="1">IFERROR(__xludf.DUMMYFUNCTION("IMPORTRANGE(H35664,""IDENTITAS UNIT!D9"")"),"#N/A")</f>
        <v>#N/A</v>
      </c>
      <c r="H35664" s="4" t="str">
        <v/>
      </c>
      <c r="I35664" s="4" t="str">
        <v/>
      </c>
    </row>
    <row r="35665" spans="5:9" ht="16.5" hidden="1">
      <c r="E35665" s="4" t="str">
        <v/>
      </c>
      <c r="F35665" s="102" t="str">
        <f ca="1">IFERROR(__xludf.DUMMYFUNCTION("IMPORTRANGE(H35665,""IDENTITAS UNIT!D9"")"),"#N/A")</f>
        <v>#N/A</v>
      </c>
      <c r="H35665" s="4" t="str">
        <v/>
      </c>
      <c r="I35665" s="4" t="str">
        <v/>
      </c>
    </row>
    <row r="35666" spans="5:9" ht="16.5" hidden="1">
      <c r="E35666" s="4" t="str">
        <v/>
      </c>
      <c r="F35666" s="102" t="str">
        <f ca="1">IFERROR(__xludf.DUMMYFUNCTION("IMPORTRANGE(H35666,""IDENTITAS UNIT!D9"")"),"#N/A")</f>
        <v>#N/A</v>
      </c>
      <c r="H35666" s="4" t="str">
        <v/>
      </c>
      <c r="I35666" s="4" t="str">
        <v/>
      </c>
    </row>
    <row r="35667" spans="5:9" ht="16.5" hidden="1">
      <c r="E35667" s="4" t="str">
        <v/>
      </c>
      <c r="F35667" s="102" t="str">
        <f ca="1">IFERROR(__xludf.DUMMYFUNCTION("IMPORTRANGE(H35667,""IDENTITAS UNIT!D9"")"),"#N/A")</f>
        <v>#N/A</v>
      </c>
      <c r="H35667" s="4" t="str">
        <v/>
      </c>
      <c r="I35667" s="4" t="str">
        <v/>
      </c>
    </row>
    <row r="35668" spans="5:9" ht="16.5" hidden="1">
      <c r="E35668" s="4" t="str">
        <v/>
      </c>
      <c r="F35668" s="102" t="str">
        <f ca="1">IFERROR(__xludf.DUMMYFUNCTION("IMPORTRANGE(H35668,""IDENTITAS UNIT!D9"")"),"#N/A")</f>
        <v>#N/A</v>
      </c>
      <c r="H35668" s="4" t="str">
        <v/>
      </c>
      <c r="I35668" s="4" t="str">
        <v/>
      </c>
    </row>
    <row r="35669" spans="5:9" ht="16.5" hidden="1">
      <c r="E35669" s="4" t="str">
        <v/>
      </c>
      <c r="F35669" s="102" t="str">
        <f ca="1">IFERROR(__xludf.DUMMYFUNCTION("IMPORTRANGE(H35669,""IDENTITAS UNIT!D9"")"),"#N/A")</f>
        <v>#N/A</v>
      </c>
      <c r="H35669" s="4" t="str">
        <v/>
      </c>
      <c r="I35669" s="4" t="str">
        <v/>
      </c>
    </row>
    <row r="35670" spans="5:9" ht="16.5" hidden="1">
      <c r="E35670" s="4" t="str">
        <v/>
      </c>
      <c r="F35670" s="102" t="str">
        <f ca="1">IFERROR(__xludf.DUMMYFUNCTION("IMPORTRANGE(H35670,""IDENTITAS UNIT!D9"")"),"#N/A")</f>
        <v>#N/A</v>
      </c>
      <c r="H35670" s="4" t="str">
        <v/>
      </c>
      <c r="I35670" s="4" t="str">
        <v/>
      </c>
    </row>
    <row r="35671" spans="5:9" ht="16.5" hidden="1">
      <c r="E35671" s="4" t="str">
        <v/>
      </c>
      <c r="F35671" s="102" t="str">
        <f ca="1">IFERROR(__xludf.DUMMYFUNCTION("IMPORTRANGE(H35671,""IDENTITAS UNIT!D9"")"),"#N/A")</f>
        <v>#N/A</v>
      </c>
      <c r="H35671" s="4" t="str">
        <v/>
      </c>
      <c r="I35671" s="4" t="str">
        <v/>
      </c>
    </row>
    <row r="35672" spans="5:9" ht="16.5" hidden="1">
      <c r="E35672" s="4" t="str">
        <v/>
      </c>
      <c r="F35672" s="102" t="str">
        <f ca="1">IFERROR(__xludf.DUMMYFUNCTION("IMPORTRANGE(H35672,""IDENTITAS UNIT!D9"")"),"#N/A")</f>
        <v>#N/A</v>
      </c>
      <c r="H35672" s="4" t="str">
        <v/>
      </c>
      <c r="I35672" s="4" t="str">
        <v/>
      </c>
    </row>
    <row r="35673" spans="5:9" ht="16.5" hidden="1">
      <c r="E35673" s="4" t="str">
        <v/>
      </c>
      <c r="F35673" s="102" t="str">
        <f ca="1">IFERROR(__xludf.DUMMYFUNCTION("IMPORTRANGE(H35673,""IDENTITAS UNIT!D9"")"),"#N/A")</f>
        <v>#N/A</v>
      </c>
      <c r="H35673" s="4" t="str">
        <v/>
      </c>
      <c r="I35673" s="4" t="str">
        <v/>
      </c>
    </row>
    <row r="35674" spans="5:9" ht="16.5" hidden="1">
      <c r="E35674" s="4" t="str">
        <v/>
      </c>
      <c r="F35674" s="102" t="str">
        <f ca="1">IFERROR(__xludf.DUMMYFUNCTION("IMPORTRANGE(H35674,""IDENTITAS UNIT!D9"")"),"#N/A")</f>
        <v>#N/A</v>
      </c>
      <c r="H35674" s="4" t="str">
        <v/>
      </c>
      <c r="I35674" s="4" t="str">
        <v/>
      </c>
    </row>
    <row r="35675" spans="5:9" ht="16.5" hidden="1">
      <c r="E35675" s="4" t="str">
        <v/>
      </c>
      <c r="F35675" s="102" t="str">
        <f ca="1">IFERROR(__xludf.DUMMYFUNCTION("IMPORTRANGE(H35675,""IDENTITAS UNIT!D9"")"),"#N/A")</f>
        <v>#N/A</v>
      </c>
      <c r="H35675" s="4" t="str">
        <v/>
      </c>
      <c r="I35675" s="4" t="str">
        <v/>
      </c>
    </row>
    <row r="35676" spans="5:9" ht="16.5" hidden="1">
      <c r="E35676" s="4" t="str">
        <v/>
      </c>
      <c r="F35676" s="102" t="str">
        <f ca="1">IFERROR(__xludf.DUMMYFUNCTION("IMPORTRANGE(H35676,""IDENTITAS UNIT!D9"")"),"#N/A")</f>
        <v>#N/A</v>
      </c>
      <c r="H35676" s="4" t="str">
        <v/>
      </c>
      <c r="I35676" s="4" t="str">
        <v/>
      </c>
    </row>
    <row r="35677" spans="5:9" ht="16.5" hidden="1">
      <c r="E35677" s="4" t="str">
        <v/>
      </c>
      <c r="F35677" s="102" t="str">
        <f ca="1">IFERROR(__xludf.DUMMYFUNCTION("IMPORTRANGE(H35677,""IDENTITAS UNIT!D9"")"),"#N/A")</f>
        <v>#N/A</v>
      </c>
      <c r="H35677" s="4" t="str">
        <v/>
      </c>
      <c r="I35677" s="4" t="str">
        <v/>
      </c>
    </row>
    <row r="35678" spans="5:9" ht="16.5" hidden="1">
      <c r="E35678" s="4" t="str">
        <v/>
      </c>
      <c r="F35678" s="102" t="str">
        <f ca="1">IFERROR(__xludf.DUMMYFUNCTION("IMPORTRANGE(H35678,""IDENTITAS UNIT!D9"")"),"#N/A")</f>
        <v>#N/A</v>
      </c>
      <c r="H35678" s="4" t="str">
        <v/>
      </c>
      <c r="I35678" s="4" t="str">
        <v/>
      </c>
    </row>
    <row r="35679" spans="5:9" ht="16.5" hidden="1">
      <c r="E35679" s="4" t="str">
        <v/>
      </c>
      <c r="F35679" s="102" t="str">
        <f ca="1">IFERROR(__xludf.DUMMYFUNCTION("IMPORTRANGE(H35679,""IDENTITAS UNIT!D9"")"),"#N/A")</f>
        <v>#N/A</v>
      </c>
      <c r="H35679" s="4" t="str">
        <v/>
      </c>
      <c r="I35679" s="4" t="str">
        <v/>
      </c>
    </row>
    <row r="35680" spans="5:9" ht="16.5" hidden="1">
      <c r="E35680" s="4" t="str">
        <v/>
      </c>
      <c r="F35680" s="102" t="str">
        <f ca="1">IFERROR(__xludf.DUMMYFUNCTION("IMPORTRANGE(H35680,""IDENTITAS UNIT!D9"")"),"#N/A")</f>
        <v>#N/A</v>
      </c>
      <c r="H35680" s="4" t="str">
        <v/>
      </c>
      <c r="I35680" s="4" t="str">
        <v/>
      </c>
    </row>
    <row r="35681" spans="5:9" ht="16.5" hidden="1">
      <c r="E35681" s="4" t="str">
        <v/>
      </c>
      <c r="F35681" s="102" t="str">
        <f ca="1">IFERROR(__xludf.DUMMYFUNCTION("IMPORTRANGE(H35681,""IDENTITAS UNIT!D9"")"),"#N/A")</f>
        <v>#N/A</v>
      </c>
      <c r="H35681" s="4" t="str">
        <v/>
      </c>
      <c r="I35681" s="4" t="str">
        <v/>
      </c>
    </row>
    <row r="35682" spans="5:9" ht="16.5" hidden="1">
      <c r="E35682" s="4" t="str">
        <v/>
      </c>
      <c r="F35682" s="102" t="str">
        <f ca="1">IFERROR(__xludf.DUMMYFUNCTION("IMPORTRANGE(H35682,""IDENTITAS UNIT!D9"")"),"#N/A")</f>
        <v>#N/A</v>
      </c>
      <c r="H35682" s="4" t="str">
        <v/>
      </c>
      <c r="I35682" s="4" t="str">
        <v/>
      </c>
    </row>
    <row r="35683" spans="5:9" ht="16.5" hidden="1">
      <c r="E35683" s="4" t="str">
        <v/>
      </c>
      <c r="F35683" s="102" t="str">
        <f ca="1">IFERROR(__xludf.DUMMYFUNCTION("IMPORTRANGE(H35683,""IDENTITAS UNIT!D9"")"),"#N/A")</f>
        <v>#N/A</v>
      </c>
      <c r="H35683" s="4" t="str">
        <v/>
      </c>
      <c r="I35683" s="4" t="str">
        <v/>
      </c>
    </row>
    <row r="35684" spans="5:9" ht="16.5" hidden="1">
      <c r="E35684" s="4" t="str">
        <v/>
      </c>
      <c r="F35684" s="102" t="str">
        <f ca="1">IFERROR(__xludf.DUMMYFUNCTION("IMPORTRANGE(H35684,""IDENTITAS UNIT!D9"")"),"#N/A")</f>
        <v>#N/A</v>
      </c>
      <c r="H35684" s="4" t="str">
        <v/>
      </c>
      <c r="I35684" s="4" t="str">
        <v/>
      </c>
    </row>
    <row r="35685" spans="5:9" ht="16.5" hidden="1">
      <c r="E35685" s="4" t="str">
        <v/>
      </c>
      <c r="F35685" s="102" t="str">
        <f ca="1">IFERROR(__xludf.DUMMYFUNCTION("IMPORTRANGE(H35685,""IDENTITAS UNIT!D9"")"),"#N/A")</f>
        <v>#N/A</v>
      </c>
      <c r="H35685" s="4" t="str">
        <v/>
      </c>
      <c r="I35685" s="4" t="str">
        <v/>
      </c>
    </row>
    <row r="35686" spans="5:9" ht="16.5" hidden="1">
      <c r="E35686" s="4" t="str">
        <v/>
      </c>
      <c r="F35686" s="102" t="str">
        <f ca="1">IFERROR(__xludf.DUMMYFUNCTION("IMPORTRANGE(H35686,""IDENTITAS UNIT!D9"")"),"#N/A")</f>
        <v>#N/A</v>
      </c>
      <c r="H35686" s="4" t="str">
        <v/>
      </c>
      <c r="I35686" s="4" t="str">
        <v/>
      </c>
    </row>
    <row r="35687" spans="5:9" ht="16.5" hidden="1">
      <c r="E35687" s="4" t="str">
        <v/>
      </c>
      <c r="F35687" s="102" t="str">
        <f ca="1">IFERROR(__xludf.DUMMYFUNCTION("IMPORTRANGE(H35687,""IDENTITAS UNIT!D9"")"),"#N/A")</f>
        <v>#N/A</v>
      </c>
      <c r="H35687" s="4" t="str">
        <v/>
      </c>
      <c r="I35687" s="4" t="str">
        <v/>
      </c>
    </row>
    <row r="35688" spans="5:9" ht="16.5" hidden="1">
      <c r="E35688" s="4" t="str">
        <v/>
      </c>
      <c r="F35688" s="102" t="str">
        <f ca="1">IFERROR(__xludf.DUMMYFUNCTION("IMPORTRANGE(H35688,""IDENTITAS UNIT!D9"")"),"#N/A")</f>
        <v>#N/A</v>
      </c>
      <c r="H35688" s="4" t="str">
        <v/>
      </c>
      <c r="I35688" s="4" t="str">
        <v/>
      </c>
    </row>
    <row r="35689" spans="5:9" ht="16.5" hidden="1">
      <c r="E35689" s="4" t="str">
        <v/>
      </c>
      <c r="F35689" s="102" t="str">
        <f ca="1">IFERROR(__xludf.DUMMYFUNCTION("IMPORTRANGE(H35689,""IDENTITAS UNIT!D9"")"),"#N/A")</f>
        <v>#N/A</v>
      </c>
      <c r="H35689" s="4" t="str">
        <v/>
      </c>
      <c r="I35689" s="4" t="str">
        <v/>
      </c>
    </row>
    <row r="35690" spans="5:9" ht="16.5" hidden="1">
      <c r="E35690" s="4" t="str">
        <v/>
      </c>
      <c r="F35690" s="102" t="str">
        <f ca="1">IFERROR(__xludf.DUMMYFUNCTION("IMPORTRANGE(H35690,""IDENTITAS UNIT!D9"")"),"#N/A")</f>
        <v>#N/A</v>
      </c>
      <c r="H35690" s="4" t="str">
        <v/>
      </c>
      <c r="I35690" s="4" t="str">
        <v/>
      </c>
    </row>
    <row r="35691" spans="5:9" ht="16.5" hidden="1">
      <c r="E35691" s="4" t="str">
        <v/>
      </c>
      <c r="F35691" s="102" t="str">
        <f ca="1">IFERROR(__xludf.DUMMYFUNCTION("IMPORTRANGE(H35691,""IDENTITAS UNIT!D9"")"),"#N/A")</f>
        <v>#N/A</v>
      </c>
      <c r="H35691" s="4" t="str">
        <v/>
      </c>
      <c r="I35691" s="4" t="str">
        <v/>
      </c>
    </row>
    <row r="35692" spans="5:9" ht="16.5" hidden="1">
      <c r="E35692" s="4" t="str">
        <v/>
      </c>
      <c r="F35692" s="102" t="str">
        <f ca="1">IFERROR(__xludf.DUMMYFUNCTION("IMPORTRANGE(H35692,""IDENTITAS UNIT!D9"")"),"#N/A")</f>
        <v>#N/A</v>
      </c>
      <c r="H35692" s="4" t="str">
        <v/>
      </c>
      <c r="I35692" s="4" t="str">
        <v/>
      </c>
    </row>
    <row r="35693" spans="5:9" ht="16.5" hidden="1">
      <c r="E35693" s="4" t="str">
        <v/>
      </c>
      <c r="F35693" s="102" t="str">
        <f ca="1">IFERROR(__xludf.DUMMYFUNCTION("IMPORTRANGE(H35693,""IDENTITAS UNIT!D9"")"),"#N/A")</f>
        <v>#N/A</v>
      </c>
      <c r="H35693" s="4" t="str">
        <v/>
      </c>
      <c r="I35693" s="4" t="str">
        <v/>
      </c>
    </row>
    <row r="35694" spans="5:9" ht="16.5" hidden="1">
      <c r="E35694" s="4" t="str">
        <v/>
      </c>
      <c r="F35694" s="102" t="str">
        <f ca="1">IFERROR(__xludf.DUMMYFUNCTION("IMPORTRANGE(H35694,""IDENTITAS UNIT!D9"")"),"#N/A")</f>
        <v>#N/A</v>
      </c>
      <c r="H35694" s="4" t="str">
        <v/>
      </c>
      <c r="I35694" s="4" t="str">
        <v/>
      </c>
    </row>
    <row r="35695" spans="5:9" ht="16.5" hidden="1">
      <c r="E35695" s="4" t="str">
        <v/>
      </c>
      <c r="F35695" s="102" t="str">
        <f ca="1">IFERROR(__xludf.DUMMYFUNCTION("IMPORTRANGE(H35695,""IDENTITAS UNIT!D9"")"),"#N/A")</f>
        <v>#N/A</v>
      </c>
      <c r="H35695" s="4" t="str">
        <v/>
      </c>
      <c r="I35695" s="4" t="str">
        <v/>
      </c>
    </row>
    <row r="35696" spans="5:9" ht="16.5" hidden="1">
      <c r="E35696" s="4" t="str">
        <v/>
      </c>
      <c r="F35696" s="102" t="str">
        <f ca="1">IFERROR(__xludf.DUMMYFUNCTION("IMPORTRANGE(H35696,""IDENTITAS UNIT!D9"")"),"#N/A")</f>
        <v>#N/A</v>
      </c>
      <c r="H35696" s="4" t="str">
        <v/>
      </c>
      <c r="I35696" s="4" t="str">
        <v/>
      </c>
    </row>
    <row r="35697" spans="5:9" ht="16.5" hidden="1">
      <c r="E35697" s="4" t="str">
        <v/>
      </c>
      <c r="F35697" s="102" t="str">
        <f ca="1">IFERROR(__xludf.DUMMYFUNCTION("IMPORTRANGE(H35697,""IDENTITAS UNIT!D9"")"),"#N/A")</f>
        <v>#N/A</v>
      </c>
      <c r="H35697" s="4" t="str">
        <v/>
      </c>
      <c r="I35697" s="4" t="str">
        <v/>
      </c>
    </row>
    <row r="35698" spans="5:9" ht="16.5" hidden="1">
      <c r="E35698" s="4" t="str">
        <v/>
      </c>
      <c r="F35698" s="102" t="str">
        <f ca="1">IFERROR(__xludf.DUMMYFUNCTION("IMPORTRANGE(H35698,""IDENTITAS UNIT!D9"")"),"#N/A")</f>
        <v>#N/A</v>
      </c>
      <c r="H35698" s="4" t="str">
        <v/>
      </c>
      <c r="I35698" s="4" t="str">
        <v/>
      </c>
    </row>
    <row r="35699" spans="5:9" ht="16.5" hidden="1">
      <c r="E35699" s="4" t="str">
        <v/>
      </c>
      <c r="F35699" s="102" t="str">
        <f ca="1">IFERROR(__xludf.DUMMYFUNCTION("IMPORTRANGE(H35699,""IDENTITAS UNIT!D9"")"),"#N/A")</f>
        <v>#N/A</v>
      </c>
      <c r="H35699" s="4" t="str">
        <v/>
      </c>
      <c r="I35699" s="4" t="str">
        <v/>
      </c>
    </row>
    <row r="35700" spans="5:9" ht="16.5" hidden="1">
      <c r="E35700" s="4" t="str">
        <v/>
      </c>
      <c r="F35700" s="102" t="str">
        <f ca="1">IFERROR(__xludf.DUMMYFUNCTION("IMPORTRANGE(H35700,""IDENTITAS UNIT!D9"")"),"#N/A")</f>
        <v>#N/A</v>
      </c>
      <c r="H35700" s="4" t="str">
        <v/>
      </c>
      <c r="I35700" s="4" t="str">
        <v/>
      </c>
    </row>
    <row r="35701" spans="5:9" ht="16.5" hidden="1">
      <c r="E35701" s="4" t="str">
        <v/>
      </c>
      <c r="F35701" s="102" t="str">
        <f ca="1">IFERROR(__xludf.DUMMYFUNCTION("IMPORTRANGE(H35701,""IDENTITAS UNIT!D9"")"),"#N/A")</f>
        <v>#N/A</v>
      </c>
      <c r="H35701" s="4" t="str">
        <v/>
      </c>
      <c r="I35701" s="4" t="str">
        <v/>
      </c>
    </row>
    <row r="35702" spans="5:9" ht="16.5" hidden="1">
      <c r="E35702" s="4" t="str">
        <v/>
      </c>
      <c r="F35702" s="102" t="str">
        <f ca="1">IFERROR(__xludf.DUMMYFUNCTION("IMPORTRANGE(H35702,""IDENTITAS UNIT!D9"")"),"#N/A")</f>
        <v>#N/A</v>
      </c>
      <c r="H35702" s="4" t="str">
        <v/>
      </c>
      <c r="I35702" s="4" t="str">
        <v/>
      </c>
    </row>
    <row r="35703" spans="5:9" ht="16.5" hidden="1">
      <c r="E35703" s="4" t="str">
        <v/>
      </c>
      <c r="F35703" s="102" t="str">
        <f ca="1">IFERROR(__xludf.DUMMYFUNCTION("IMPORTRANGE(H35703,""IDENTITAS UNIT!D9"")"),"#N/A")</f>
        <v>#N/A</v>
      </c>
      <c r="H35703" s="4" t="str">
        <v/>
      </c>
      <c r="I35703" s="4" t="str">
        <v/>
      </c>
    </row>
    <row r="35704" spans="5:9" ht="16.5" hidden="1">
      <c r="E35704" s="4" t="str">
        <v/>
      </c>
      <c r="F35704" s="102" t="str">
        <f ca="1">IFERROR(__xludf.DUMMYFUNCTION("IMPORTRANGE(H35704,""IDENTITAS UNIT!D9"")"),"#N/A")</f>
        <v>#N/A</v>
      </c>
      <c r="H35704" s="4" t="str">
        <v/>
      </c>
      <c r="I35704" s="4" t="str">
        <v/>
      </c>
    </row>
    <row r="35705" spans="5:9" ht="16.5" hidden="1">
      <c r="E35705" s="4" t="str">
        <v/>
      </c>
      <c r="F35705" s="102" t="str">
        <f ca="1">IFERROR(__xludf.DUMMYFUNCTION("IMPORTRANGE(H35705,""IDENTITAS UNIT!D9"")"),"#N/A")</f>
        <v>#N/A</v>
      </c>
      <c r="H35705" s="4" t="str">
        <v/>
      </c>
      <c r="I35705" s="4" t="str">
        <v/>
      </c>
    </row>
    <row r="35706" spans="5:9" ht="16.5" hidden="1">
      <c r="E35706" s="4" t="str">
        <v/>
      </c>
      <c r="F35706" s="102" t="str">
        <f ca="1">IFERROR(__xludf.DUMMYFUNCTION("IMPORTRANGE(H35706,""IDENTITAS UNIT!D9"")"),"#N/A")</f>
        <v>#N/A</v>
      </c>
      <c r="H35706" s="4" t="str">
        <v/>
      </c>
      <c r="I35706" s="4" t="str">
        <v/>
      </c>
    </row>
    <row r="35707" spans="5:9" ht="16.5" hidden="1">
      <c r="E35707" s="4" t="str">
        <v/>
      </c>
      <c r="F35707" s="102" t="str">
        <f ca="1">IFERROR(__xludf.DUMMYFUNCTION("IMPORTRANGE(H35707,""IDENTITAS UNIT!D9"")"),"#N/A")</f>
        <v>#N/A</v>
      </c>
      <c r="H35707" s="4" t="str">
        <v/>
      </c>
      <c r="I35707" s="4" t="str">
        <v/>
      </c>
    </row>
    <row r="35708" spans="5:9" ht="16.5" hidden="1">
      <c r="E35708" s="4" t="str">
        <v/>
      </c>
      <c r="F35708" s="102" t="str">
        <f ca="1">IFERROR(__xludf.DUMMYFUNCTION("IMPORTRANGE(H35708,""IDENTITAS UNIT!D9"")"),"#N/A")</f>
        <v>#N/A</v>
      </c>
      <c r="H35708" s="4" t="str">
        <v/>
      </c>
      <c r="I35708" s="4" t="str">
        <v/>
      </c>
    </row>
    <row r="35709" spans="5:9" ht="16.5" hidden="1">
      <c r="E35709" s="4" t="str">
        <v/>
      </c>
      <c r="F35709" s="102" t="str">
        <f ca="1">IFERROR(__xludf.DUMMYFUNCTION("IMPORTRANGE(H35709,""IDENTITAS UNIT!D9"")"),"#N/A")</f>
        <v>#N/A</v>
      </c>
      <c r="H35709" s="4" t="str">
        <v/>
      </c>
      <c r="I35709" s="4" t="str">
        <v/>
      </c>
    </row>
    <row r="35710" spans="5:9" ht="16.5" hidden="1">
      <c r="E35710" s="4" t="str">
        <v/>
      </c>
      <c r="F35710" s="102" t="str">
        <f ca="1">IFERROR(__xludf.DUMMYFUNCTION("IMPORTRANGE(H35710,""IDENTITAS UNIT!D9"")"),"#N/A")</f>
        <v>#N/A</v>
      </c>
      <c r="H35710" s="4" t="str">
        <v/>
      </c>
      <c r="I35710" s="4" t="str">
        <v/>
      </c>
    </row>
    <row r="35711" spans="5:9" ht="16.5" hidden="1">
      <c r="E35711" s="4" t="str">
        <v/>
      </c>
      <c r="F35711" s="102" t="str">
        <f ca="1">IFERROR(__xludf.DUMMYFUNCTION("IMPORTRANGE(H35711,""IDENTITAS UNIT!D9"")"),"#N/A")</f>
        <v>#N/A</v>
      </c>
      <c r="H35711" s="4" t="str">
        <v/>
      </c>
      <c r="I35711" s="4" t="str">
        <v/>
      </c>
    </row>
    <row r="35712" spans="5:9" ht="16.5" hidden="1">
      <c r="E35712" s="4" t="str">
        <v/>
      </c>
      <c r="F35712" s="102" t="str">
        <f ca="1">IFERROR(__xludf.DUMMYFUNCTION("IMPORTRANGE(H35712,""IDENTITAS UNIT!D9"")"),"#N/A")</f>
        <v>#N/A</v>
      </c>
      <c r="H35712" s="4" t="str">
        <v/>
      </c>
      <c r="I35712" s="4" t="str">
        <v/>
      </c>
    </row>
    <row r="35713" spans="5:9" ht="16.5" hidden="1">
      <c r="E35713" s="4" t="str">
        <v/>
      </c>
      <c r="F35713" s="102" t="str">
        <f ca="1">IFERROR(__xludf.DUMMYFUNCTION("IMPORTRANGE(H35713,""IDENTITAS UNIT!D9"")"),"#N/A")</f>
        <v>#N/A</v>
      </c>
      <c r="H35713" s="4" t="str">
        <v/>
      </c>
      <c r="I35713" s="4" t="str">
        <v/>
      </c>
    </row>
    <row r="35714" spans="5:9" ht="16.5" hidden="1">
      <c r="E35714" s="4" t="str">
        <v/>
      </c>
      <c r="F35714" s="102" t="str">
        <f ca="1">IFERROR(__xludf.DUMMYFUNCTION("IMPORTRANGE(H35714,""IDENTITAS UNIT!D9"")"),"#N/A")</f>
        <v>#N/A</v>
      </c>
      <c r="H35714" s="4" t="str">
        <v/>
      </c>
      <c r="I35714" s="4" t="str">
        <v/>
      </c>
    </row>
    <row r="35715" spans="5:9" ht="16.5" hidden="1">
      <c r="E35715" s="4" t="str">
        <v/>
      </c>
      <c r="F35715" s="102" t="str">
        <f ca="1">IFERROR(__xludf.DUMMYFUNCTION("IMPORTRANGE(H35715,""IDENTITAS UNIT!D9"")"),"#N/A")</f>
        <v>#N/A</v>
      </c>
      <c r="H35715" s="4" t="str">
        <v/>
      </c>
      <c r="I35715" s="4" t="str">
        <v/>
      </c>
    </row>
    <row r="35716" spans="5:9" ht="16.5" hidden="1">
      <c r="E35716" s="4" t="str">
        <v/>
      </c>
      <c r="F35716" s="102" t="str">
        <f ca="1">IFERROR(__xludf.DUMMYFUNCTION("IMPORTRANGE(H35716,""IDENTITAS UNIT!D9"")"),"#N/A")</f>
        <v>#N/A</v>
      </c>
      <c r="H35716" s="4" t="str">
        <v/>
      </c>
      <c r="I35716" s="4" t="str">
        <v/>
      </c>
    </row>
    <row r="35717" spans="5:9" ht="16.5" hidden="1">
      <c r="E35717" s="4" t="str">
        <v/>
      </c>
      <c r="F35717" s="102" t="str">
        <f ca="1">IFERROR(__xludf.DUMMYFUNCTION("IMPORTRANGE(H35717,""IDENTITAS UNIT!D9"")"),"#N/A")</f>
        <v>#N/A</v>
      </c>
      <c r="H35717" s="4" t="str">
        <v/>
      </c>
      <c r="I35717" s="4" t="str">
        <v/>
      </c>
    </row>
    <row r="35718" spans="5:9" ht="16.5" hidden="1">
      <c r="E35718" s="4" t="str">
        <v/>
      </c>
      <c r="F35718" s="102" t="str">
        <f ca="1">IFERROR(__xludf.DUMMYFUNCTION("IMPORTRANGE(H35718,""IDENTITAS UNIT!D9"")"),"#N/A")</f>
        <v>#N/A</v>
      </c>
      <c r="H35718" s="4" t="str">
        <v/>
      </c>
      <c r="I35718" s="4" t="str">
        <v/>
      </c>
    </row>
    <row r="35719" spans="5:9" ht="16.5" hidden="1">
      <c r="E35719" s="4" t="str">
        <v/>
      </c>
      <c r="F35719" s="102" t="str">
        <f ca="1">IFERROR(__xludf.DUMMYFUNCTION("IMPORTRANGE(H35719,""IDENTITAS UNIT!D9"")"),"#N/A")</f>
        <v>#N/A</v>
      </c>
      <c r="H35719" s="4" t="str">
        <v/>
      </c>
      <c r="I35719" s="4" t="str">
        <v/>
      </c>
    </row>
    <row r="35720" spans="5:9" ht="16.5" hidden="1">
      <c r="E35720" s="4" t="str">
        <v/>
      </c>
      <c r="F35720" s="102" t="str">
        <f ca="1">IFERROR(__xludf.DUMMYFUNCTION("IMPORTRANGE(H35720,""IDENTITAS UNIT!D9"")"),"#N/A")</f>
        <v>#N/A</v>
      </c>
      <c r="H35720" s="4" t="str">
        <v/>
      </c>
      <c r="I35720" s="4" t="str">
        <v/>
      </c>
    </row>
    <row r="35721" spans="5:9" ht="16.5" hidden="1">
      <c r="E35721" s="4" t="str">
        <v/>
      </c>
      <c r="F35721" s="102" t="str">
        <f ca="1">IFERROR(__xludf.DUMMYFUNCTION("IMPORTRANGE(H35721,""IDENTITAS UNIT!D9"")"),"#N/A")</f>
        <v>#N/A</v>
      </c>
      <c r="H35721" s="4" t="str">
        <v/>
      </c>
      <c r="I35721" s="4" t="str">
        <v/>
      </c>
    </row>
    <row r="35722" spans="5:9" ht="16.5" hidden="1">
      <c r="E35722" s="4" t="str">
        <v/>
      </c>
      <c r="F35722" s="102" t="str">
        <f ca="1">IFERROR(__xludf.DUMMYFUNCTION("IMPORTRANGE(H35722,""IDENTITAS UNIT!D9"")"),"#N/A")</f>
        <v>#N/A</v>
      </c>
      <c r="H35722" s="4" t="str">
        <v/>
      </c>
      <c r="I35722" s="4" t="str">
        <v/>
      </c>
    </row>
    <row r="35723" spans="5:9" ht="16.5" hidden="1">
      <c r="E35723" s="4" t="str">
        <v/>
      </c>
      <c r="F35723" s="102" t="str">
        <f ca="1">IFERROR(__xludf.DUMMYFUNCTION("IMPORTRANGE(H35723,""IDENTITAS UNIT!D9"")"),"#N/A")</f>
        <v>#N/A</v>
      </c>
      <c r="H35723" s="4" t="str">
        <v/>
      </c>
      <c r="I35723" s="4" t="str">
        <v/>
      </c>
    </row>
    <row r="35724" spans="5:9" ht="16.5" hidden="1">
      <c r="E35724" s="4" t="str">
        <v/>
      </c>
      <c r="F35724" s="102" t="str">
        <f ca="1">IFERROR(__xludf.DUMMYFUNCTION("IMPORTRANGE(H35724,""IDENTITAS UNIT!D9"")"),"#N/A")</f>
        <v>#N/A</v>
      </c>
      <c r="H35724" s="4" t="str">
        <v/>
      </c>
      <c r="I35724" s="4" t="str">
        <v/>
      </c>
    </row>
    <row r="35725" spans="5:9" ht="16.5" hidden="1">
      <c r="E35725" s="4" t="str">
        <v/>
      </c>
      <c r="F35725" s="102" t="str">
        <f ca="1">IFERROR(__xludf.DUMMYFUNCTION("IMPORTRANGE(H35725,""IDENTITAS UNIT!D9"")"),"#N/A")</f>
        <v>#N/A</v>
      </c>
      <c r="H35725" s="4" t="str">
        <v/>
      </c>
      <c r="I35725" s="4" t="str">
        <v/>
      </c>
    </row>
    <row r="35726" spans="5:9" ht="16.5" hidden="1">
      <c r="E35726" s="4" t="str">
        <v/>
      </c>
      <c r="F35726" s="102" t="str">
        <f ca="1">IFERROR(__xludf.DUMMYFUNCTION("IMPORTRANGE(H35726,""IDENTITAS UNIT!D9"")"),"#N/A")</f>
        <v>#N/A</v>
      </c>
      <c r="H35726" s="4" t="str">
        <v/>
      </c>
      <c r="I35726" s="4" t="str">
        <v/>
      </c>
    </row>
    <row r="35727" spans="5:9" ht="16.5" hidden="1">
      <c r="E35727" s="4" t="str">
        <v/>
      </c>
      <c r="F35727" s="102" t="str">
        <f ca="1">IFERROR(__xludf.DUMMYFUNCTION("IMPORTRANGE(H35727,""IDENTITAS UNIT!D9"")"),"#N/A")</f>
        <v>#N/A</v>
      </c>
      <c r="H35727" s="4" t="str">
        <v/>
      </c>
      <c r="I35727" s="4" t="str">
        <v/>
      </c>
    </row>
    <row r="35728" spans="5:9" ht="16.5" hidden="1">
      <c r="E35728" s="4" t="str">
        <v/>
      </c>
      <c r="F35728" s="102" t="str">
        <f ca="1">IFERROR(__xludf.DUMMYFUNCTION("IMPORTRANGE(H35728,""IDENTITAS UNIT!D9"")"),"#N/A")</f>
        <v>#N/A</v>
      </c>
      <c r="H35728" s="4" t="str">
        <v/>
      </c>
      <c r="I35728" s="4" t="str">
        <v/>
      </c>
    </row>
    <row r="35729" spans="5:9" ht="16.5" hidden="1">
      <c r="E35729" s="4" t="str">
        <v/>
      </c>
      <c r="F35729" s="102" t="str">
        <f ca="1">IFERROR(__xludf.DUMMYFUNCTION("IMPORTRANGE(H35729,""IDENTITAS UNIT!D9"")"),"#N/A")</f>
        <v>#N/A</v>
      </c>
      <c r="H35729" s="4" t="str">
        <v/>
      </c>
      <c r="I35729" s="4" t="str">
        <v/>
      </c>
    </row>
    <row r="35730" spans="5:9" ht="16.5" hidden="1">
      <c r="E35730" s="4" t="str">
        <v/>
      </c>
      <c r="F35730" s="102" t="str">
        <f ca="1">IFERROR(__xludf.DUMMYFUNCTION("IMPORTRANGE(H35730,""IDENTITAS UNIT!D9"")"),"#N/A")</f>
        <v>#N/A</v>
      </c>
      <c r="H35730" s="4" t="str">
        <v/>
      </c>
      <c r="I35730" s="4" t="str">
        <v/>
      </c>
    </row>
    <row r="35731" spans="5:9" ht="16.5" hidden="1">
      <c r="E35731" s="4" t="str">
        <v/>
      </c>
      <c r="F35731" s="102" t="str">
        <f ca="1">IFERROR(__xludf.DUMMYFUNCTION("IMPORTRANGE(H35731,""IDENTITAS UNIT!D9"")"),"#N/A")</f>
        <v>#N/A</v>
      </c>
      <c r="H35731" s="4" t="str">
        <v/>
      </c>
      <c r="I35731" s="4" t="str">
        <v/>
      </c>
    </row>
    <row r="35732" spans="5:9" ht="16.5" hidden="1">
      <c r="E35732" s="4" t="str">
        <v/>
      </c>
      <c r="F35732" s="102" t="str">
        <f ca="1">IFERROR(__xludf.DUMMYFUNCTION("IMPORTRANGE(H35732,""IDENTITAS UNIT!D9"")"),"#N/A")</f>
        <v>#N/A</v>
      </c>
      <c r="H35732" s="4" t="str">
        <v/>
      </c>
      <c r="I35732" s="4" t="str">
        <v/>
      </c>
    </row>
    <row r="35733" spans="5:9" ht="16.5" hidden="1">
      <c r="E35733" s="4" t="str">
        <v/>
      </c>
      <c r="F35733" s="102" t="str">
        <f ca="1">IFERROR(__xludf.DUMMYFUNCTION("IMPORTRANGE(H35733,""IDENTITAS UNIT!D9"")"),"#N/A")</f>
        <v>#N/A</v>
      </c>
      <c r="H35733" s="4" t="str">
        <v/>
      </c>
      <c r="I35733" s="4" t="str">
        <v/>
      </c>
    </row>
    <row r="35734" spans="5:9" ht="16.5" hidden="1">
      <c r="E35734" s="4" t="str">
        <v/>
      </c>
      <c r="F35734" s="102" t="str">
        <f ca="1">IFERROR(__xludf.DUMMYFUNCTION("IMPORTRANGE(H35734,""IDENTITAS UNIT!D9"")"),"#N/A")</f>
        <v>#N/A</v>
      </c>
      <c r="H35734" s="4" t="str">
        <v/>
      </c>
      <c r="I35734" s="4" t="str">
        <v/>
      </c>
    </row>
    <row r="35735" spans="5:9" ht="16.5" hidden="1">
      <c r="E35735" s="4" t="str">
        <v/>
      </c>
      <c r="F35735" s="102" t="str">
        <f ca="1">IFERROR(__xludf.DUMMYFUNCTION("IMPORTRANGE(H35735,""IDENTITAS UNIT!D9"")"),"#N/A")</f>
        <v>#N/A</v>
      </c>
      <c r="H35735" s="4" t="str">
        <v/>
      </c>
      <c r="I35735" s="4" t="str">
        <v/>
      </c>
    </row>
    <row r="35736" spans="5:9" ht="16.5" hidden="1">
      <c r="E35736" s="4" t="str">
        <v/>
      </c>
      <c r="F35736" s="102" t="str">
        <f ca="1">IFERROR(__xludf.DUMMYFUNCTION("IMPORTRANGE(H35736,""IDENTITAS UNIT!D9"")"),"#N/A")</f>
        <v>#N/A</v>
      </c>
      <c r="H35736" s="4" t="str">
        <v/>
      </c>
      <c r="I35736" s="4" t="str">
        <v/>
      </c>
    </row>
    <row r="35737" spans="5:9" ht="16.5" hidden="1">
      <c r="E35737" s="4" t="str">
        <v/>
      </c>
      <c r="F35737" s="102" t="str">
        <f ca="1">IFERROR(__xludf.DUMMYFUNCTION("IMPORTRANGE(H35737,""IDENTITAS UNIT!D9"")"),"#N/A")</f>
        <v>#N/A</v>
      </c>
      <c r="H35737" s="4" t="str">
        <v/>
      </c>
      <c r="I35737" s="4" t="str">
        <v/>
      </c>
    </row>
    <row r="35738" spans="5:9" ht="16.5" hidden="1">
      <c r="E35738" s="4" t="str">
        <v/>
      </c>
      <c r="F35738" s="102" t="str">
        <f ca="1">IFERROR(__xludf.DUMMYFUNCTION("IMPORTRANGE(H35738,""IDENTITAS UNIT!D9"")"),"#N/A")</f>
        <v>#N/A</v>
      </c>
      <c r="H35738" s="4" t="str">
        <v/>
      </c>
      <c r="I35738" s="4" t="str">
        <v/>
      </c>
    </row>
    <row r="35739" spans="5:9" ht="16.5" hidden="1">
      <c r="E35739" s="4" t="str">
        <v/>
      </c>
      <c r="F35739" s="102" t="str">
        <f ca="1">IFERROR(__xludf.DUMMYFUNCTION("IMPORTRANGE(H35739,""IDENTITAS UNIT!D9"")"),"#N/A")</f>
        <v>#N/A</v>
      </c>
      <c r="H35739" s="4" t="str">
        <v/>
      </c>
      <c r="I35739" s="4" t="str">
        <v/>
      </c>
    </row>
    <row r="35740" spans="5:9" ht="16.5" hidden="1">
      <c r="E35740" s="4" t="str">
        <v/>
      </c>
      <c r="F35740" s="102" t="str">
        <f ca="1">IFERROR(__xludf.DUMMYFUNCTION("IMPORTRANGE(H35740,""IDENTITAS UNIT!D9"")"),"#N/A")</f>
        <v>#N/A</v>
      </c>
      <c r="H35740" s="4" t="str">
        <v/>
      </c>
      <c r="I35740" s="4" t="str">
        <v/>
      </c>
    </row>
    <row r="35741" spans="5:9" ht="16.5" hidden="1">
      <c r="E35741" s="4" t="str">
        <v/>
      </c>
      <c r="F35741" s="102" t="str">
        <f ca="1">IFERROR(__xludf.DUMMYFUNCTION("IMPORTRANGE(H35741,""IDENTITAS UNIT!D9"")"),"#N/A")</f>
        <v>#N/A</v>
      </c>
      <c r="H35741" s="4" t="str">
        <v/>
      </c>
      <c r="I35741" s="4" t="str">
        <v/>
      </c>
    </row>
    <row r="35742" spans="5:9" ht="16.5" hidden="1">
      <c r="E35742" s="4" t="str">
        <v/>
      </c>
      <c r="F35742" s="102" t="str">
        <f ca="1">IFERROR(__xludf.DUMMYFUNCTION("IMPORTRANGE(H35742,""IDENTITAS UNIT!D9"")"),"#N/A")</f>
        <v>#N/A</v>
      </c>
      <c r="H35742" s="4" t="str">
        <v/>
      </c>
      <c r="I35742" s="4" t="str">
        <v/>
      </c>
    </row>
    <row r="35743" spans="5:9" ht="16.5" hidden="1">
      <c r="E35743" s="4" t="str">
        <v/>
      </c>
      <c r="F35743" s="102" t="str">
        <f ca="1">IFERROR(__xludf.DUMMYFUNCTION("IMPORTRANGE(H35743,""IDENTITAS UNIT!D9"")"),"#N/A")</f>
        <v>#N/A</v>
      </c>
      <c r="H35743" s="4" t="str">
        <v/>
      </c>
      <c r="I35743" s="4" t="str">
        <v/>
      </c>
    </row>
    <row r="35744" spans="5:9" ht="16.5" hidden="1">
      <c r="E35744" s="4" t="str">
        <v/>
      </c>
      <c r="F35744" s="102" t="str">
        <f ca="1">IFERROR(__xludf.DUMMYFUNCTION("IMPORTRANGE(H35744,""IDENTITAS UNIT!D9"")"),"#N/A")</f>
        <v>#N/A</v>
      </c>
      <c r="H35744" s="4" t="str">
        <v/>
      </c>
      <c r="I35744" s="4" t="str">
        <v/>
      </c>
    </row>
    <row r="35745" spans="5:9" ht="16.5" hidden="1">
      <c r="E35745" s="4" t="str">
        <v/>
      </c>
      <c r="F35745" s="102" t="str">
        <f ca="1">IFERROR(__xludf.DUMMYFUNCTION("IMPORTRANGE(H35745,""IDENTITAS UNIT!D9"")"),"#N/A")</f>
        <v>#N/A</v>
      </c>
      <c r="H35745" s="4" t="str">
        <v/>
      </c>
      <c r="I35745" s="4" t="str">
        <v/>
      </c>
    </row>
    <row r="35746" spans="5:9" ht="16.5" hidden="1">
      <c r="E35746" s="4" t="str">
        <v/>
      </c>
      <c r="F35746" s="102" t="str">
        <f ca="1">IFERROR(__xludf.DUMMYFUNCTION("IMPORTRANGE(H35746,""IDENTITAS UNIT!D9"")"),"#N/A")</f>
        <v>#N/A</v>
      </c>
      <c r="H35746" s="4" t="str">
        <v/>
      </c>
      <c r="I35746" s="4" t="str">
        <v/>
      </c>
    </row>
    <row r="35747" spans="5:9" ht="16.5" hidden="1">
      <c r="E35747" s="4" t="str">
        <v/>
      </c>
      <c r="F35747" s="102" t="str">
        <f ca="1">IFERROR(__xludf.DUMMYFUNCTION("IMPORTRANGE(H35747,""IDENTITAS UNIT!D9"")"),"#N/A")</f>
        <v>#N/A</v>
      </c>
      <c r="H35747" s="4" t="str">
        <v/>
      </c>
      <c r="I35747" s="4" t="str">
        <v/>
      </c>
    </row>
    <row r="35748" spans="5:9" ht="16.5" hidden="1">
      <c r="E35748" s="4" t="str">
        <v/>
      </c>
      <c r="F35748" s="102" t="str">
        <f ca="1">IFERROR(__xludf.DUMMYFUNCTION("IMPORTRANGE(H35748,""IDENTITAS UNIT!D9"")"),"#N/A")</f>
        <v>#N/A</v>
      </c>
      <c r="H35748" s="4" t="str">
        <v/>
      </c>
      <c r="I35748" s="4" t="str">
        <v/>
      </c>
    </row>
    <row r="35749" spans="5:9" ht="16.5" hidden="1">
      <c r="E35749" s="4" t="str">
        <v/>
      </c>
      <c r="F35749" s="102" t="str">
        <f ca="1">IFERROR(__xludf.DUMMYFUNCTION("IMPORTRANGE(H35749,""IDENTITAS UNIT!D9"")"),"#N/A")</f>
        <v>#N/A</v>
      </c>
      <c r="H35749" s="4" t="str">
        <v/>
      </c>
      <c r="I35749" s="4" t="str">
        <v/>
      </c>
    </row>
    <row r="35750" spans="5:9" ht="16.5" hidden="1">
      <c r="E35750" s="4" t="str">
        <v/>
      </c>
      <c r="F35750" s="102" t="str">
        <f ca="1">IFERROR(__xludf.DUMMYFUNCTION("IMPORTRANGE(H35750,""IDENTITAS UNIT!D9"")"),"#N/A")</f>
        <v>#N/A</v>
      </c>
      <c r="H35750" s="4" t="str">
        <v/>
      </c>
      <c r="I35750" s="4" t="str">
        <v/>
      </c>
    </row>
    <row r="35751" spans="5:9" ht="16.5" hidden="1">
      <c r="E35751" s="4" t="str">
        <v/>
      </c>
      <c r="F35751" s="102" t="str">
        <f ca="1">IFERROR(__xludf.DUMMYFUNCTION("IMPORTRANGE(H35751,""IDENTITAS UNIT!D9"")"),"#N/A")</f>
        <v>#N/A</v>
      </c>
      <c r="H35751" s="4" t="str">
        <v/>
      </c>
      <c r="I35751" s="4" t="str">
        <v/>
      </c>
    </row>
    <row r="35752" spans="5:9" ht="16.5" hidden="1">
      <c r="E35752" s="4" t="str">
        <v/>
      </c>
      <c r="F35752" s="102" t="str">
        <f ca="1">IFERROR(__xludf.DUMMYFUNCTION("IMPORTRANGE(H35752,""IDENTITAS UNIT!D9"")"),"#N/A")</f>
        <v>#N/A</v>
      </c>
      <c r="H35752" s="4" t="str">
        <v/>
      </c>
      <c r="I35752" s="4" t="str">
        <v/>
      </c>
    </row>
    <row r="35753" spans="5:9" ht="16.5" hidden="1">
      <c r="E35753" s="4" t="str">
        <v/>
      </c>
      <c r="F35753" s="102" t="str">
        <f ca="1">IFERROR(__xludf.DUMMYFUNCTION("IMPORTRANGE(H35753,""IDENTITAS UNIT!D9"")"),"#N/A")</f>
        <v>#N/A</v>
      </c>
      <c r="H35753" s="4" t="str">
        <v/>
      </c>
      <c r="I35753" s="4" t="str">
        <v/>
      </c>
    </row>
    <row r="35754" spans="5:9" ht="16.5" hidden="1">
      <c r="E35754" s="4" t="str">
        <v/>
      </c>
      <c r="F35754" s="102" t="str">
        <f ca="1">IFERROR(__xludf.DUMMYFUNCTION("IMPORTRANGE(H35754,""IDENTITAS UNIT!D9"")"),"#N/A")</f>
        <v>#N/A</v>
      </c>
      <c r="H35754" s="4" t="str">
        <v/>
      </c>
      <c r="I35754" s="4" t="str">
        <v/>
      </c>
    </row>
    <row r="35755" spans="5:9" ht="16.5" hidden="1">
      <c r="E35755" s="4" t="str">
        <v/>
      </c>
      <c r="F35755" s="102" t="str">
        <f ca="1">IFERROR(__xludf.DUMMYFUNCTION("IMPORTRANGE(H35755,""IDENTITAS UNIT!D9"")"),"#N/A")</f>
        <v>#N/A</v>
      </c>
      <c r="H35755" s="4" t="str">
        <v/>
      </c>
      <c r="I35755" s="4" t="str">
        <v/>
      </c>
    </row>
    <row r="35756" spans="5:9" ht="16.5" hidden="1">
      <c r="E35756" s="4" t="str">
        <v/>
      </c>
      <c r="F35756" s="102" t="str">
        <f ca="1">IFERROR(__xludf.DUMMYFUNCTION("IMPORTRANGE(H35756,""IDENTITAS UNIT!D9"")"),"#N/A")</f>
        <v>#N/A</v>
      </c>
      <c r="H35756" s="4" t="str">
        <v/>
      </c>
      <c r="I35756" s="4" t="str">
        <v/>
      </c>
    </row>
    <row r="35757" spans="5:9" ht="16.5" hidden="1">
      <c r="E35757" s="4" t="str">
        <v/>
      </c>
      <c r="F35757" s="102" t="str">
        <f ca="1">IFERROR(__xludf.DUMMYFUNCTION("IMPORTRANGE(H35757,""IDENTITAS UNIT!D9"")"),"#N/A")</f>
        <v>#N/A</v>
      </c>
      <c r="H35757" s="4" t="str">
        <v/>
      </c>
      <c r="I35757" s="4" t="str">
        <v/>
      </c>
    </row>
    <row r="35758" spans="5:9" ht="16.5" hidden="1">
      <c r="E35758" s="4" t="str">
        <v/>
      </c>
      <c r="F35758" s="102" t="str">
        <f ca="1">IFERROR(__xludf.DUMMYFUNCTION("IMPORTRANGE(H35758,""IDENTITAS UNIT!D9"")"),"#N/A")</f>
        <v>#N/A</v>
      </c>
      <c r="H35758" s="4" t="str">
        <v/>
      </c>
      <c r="I35758" s="4" t="str">
        <v/>
      </c>
    </row>
    <row r="35759" spans="5:9" ht="16.5" hidden="1">
      <c r="E35759" s="4" t="str">
        <v/>
      </c>
      <c r="F35759" s="102" t="str">
        <f ca="1">IFERROR(__xludf.DUMMYFUNCTION("IMPORTRANGE(H35759,""IDENTITAS UNIT!D9"")"),"#N/A")</f>
        <v>#N/A</v>
      </c>
      <c r="H35759" s="4" t="str">
        <v/>
      </c>
      <c r="I35759" s="4" t="str">
        <v/>
      </c>
    </row>
    <row r="35760" spans="5:9" ht="16.5" hidden="1">
      <c r="E35760" s="4" t="str">
        <v/>
      </c>
      <c r="F35760" s="102" t="str">
        <f ca="1">IFERROR(__xludf.DUMMYFUNCTION("IMPORTRANGE(H35760,""IDENTITAS UNIT!D9"")"),"#N/A")</f>
        <v>#N/A</v>
      </c>
      <c r="H35760" s="4" t="str">
        <v/>
      </c>
      <c r="I35760" s="4" t="str">
        <v/>
      </c>
    </row>
    <row r="35761" spans="5:9" ht="16.5" hidden="1">
      <c r="E35761" s="4" t="str">
        <v/>
      </c>
      <c r="F35761" s="102" t="str">
        <f ca="1">IFERROR(__xludf.DUMMYFUNCTION("IMPORTRANGE(H35761,""IDENTITAS UNIT!D9"")"),"#N/A")</f>
        <v>#N/A</v>
      </c>
      <c r="H35761" s="4" t="str">
        <v/>
      </c>
      <c r="I35761" s="4" t="str">
        <v/>
      </c>
    </row>
    <row r="35762" spans="5:9" ht="16.5" hidden="1">
      <c r="E35762" s="4" t="str">
        <v/>
      </c>
      <c r="F35762" s="102" t="str">
        <f ca="1">IFERROR(__xludf.DUMMYFUNCTION("IMPORTRANGE(H35762,""IDENTITAS UNIT!D9"")"),"#N/A")</f>
        <v>#N/A</v>
      </c>
      <c r="H35762" s="4" t="str">
        <v/>
      </c>
      <c r="I35762" s="4" t="str">
        <v/>
      </c>
    </row>
    <row r="35763" spans="5:9" ht="16.5" hidden="1">
      <c r="E35763" s="4" t="str">
        <v/>
      </c>
      <c r="F35763" s="102" t="str">
        <f ca="1">IFERROR(__xludf.DUMMYFUNCTION("IMPORTRANGE(H35763,""IDENTITAS UNIT!D9"")"),"#N/A")</f>
        <v>#N/A</v>
      </c>
      <c r="H35763" s="4" t="str">
        <v/>
      </c>
      <c r="I35763" s="4" t="str">
        <v/>
      </c>
    </row>
    <row r="35764" spans="5:9" ht="16.5" hidden="1">
      <c r="E35764" s="4" t="str">
        <v/>
      </c>
      <c r="F35764" s="102" t="str">
        <f ca="1">IFERROR(__xludf.DUMMYFUNCTION("IMPORTRANGE(H35764,""IDENTITAS UNIT!D9"")"),"#N/A")</f>
        <v>#N/A</v>
      </c>
      <c r="H35764" s="4" t="str">
        <v/>
      </c>
      <c r="I35764" s="4" t="str">
        <v/>
      </c>
    </row>
    <row r="35765" spans="5:9" ht="16.5" hidden="1">
      <c r="E35765" s="4" t="str">
        <v/>
      </c>
      <c r="F35765" s="102" t="str">
        <f ca="1">IFERROR(__xludf.DUMMYFUNCTION("IMPORTRANGE(H35765,""IDENTITAS UNIT!D9"")"),"#N/A")</f>
        <v>#N/A</v>
      </c>
      <c r="H35765" s="4" t="str">
        <v/>
      </c>
      <c r="I35765" s="4" t="str">
        <v/>
      </c>
    </row>
    <row r="35766" spans="5:9" ht="16.5" hidden="1">
      <c r="E35766" s="4" t="str">
        <v/>
      </c>
      <c r="F35766" s="102" t="str">
        <f ca="1">IFERROR(__xludf.DUMMYFUNCTION("IMPORTRANGE(H35766,""IDENTITAS UNIT!D9"")"),"#N/A")</f>
        <v>#N/A</v>
      </c>
      <c r="H35766" s="4" t="str">
        <v/>
      </c>
      <c r="I35766" s="4" t="str">
        <v/>
      </c>
    </row>
    <row r="35767" spans="5:9" ht="16.5" hidden="1">
      <c r="E35767" s="4" t="str">
        <v/>
      </c>
      <c r="F35767" s="102" t="str">
        <f ca="1">IFERROR(__xludf.DUMMYFUNCTION("IMPORTRANGE(H35767,""IDENTITAS UNIT!D9"")"),"#N/A")</f>
        <v>#N/A</v>
      </c>
      <c r="H35767" s="4" t="str">
        <v/>
      </c>
      <c r="I35767" s="4" t="str">
        <v/>
      </c>
    </row>
    <row r="35768" spans="5:9" ht="16.5" hidden="1">
      <c r="E35768" s="4" t="str">
        <v/>
      </c>
      <c r="F35768" s="102" t="str">
        <f ca="1">IFERROR(__xludf.DUMMYFUNCTION("IMPORTRANGE(H35768,""IDENTITAS UNIT!D9"")"),"#N/A")</f>
        <v>#N/A</v>
      </c>
      <c r="H35768" s="4" t="str">
        <v/>
      </c>
      <c r="I35768" s="4" t="str">
        <v/>
      </c>
    </row>
    <row r="35769" spans="5:9" ht="16.5" hidden="1">
      <c r="E35769" s="4" t="str">
        <v/>
      </c>
      <c r="F35769" s="102" t="str">
        <f ca="1">IFERROR(__xludf.DUMMYFUNCTION("IMPORTRANGE(H35769,""IDENTITAS UNIT!D9"")"),"#N/A")</f>
        <v>#N/A</v>
      </c>
      <c r="H35769" s="4" t="str">
        <v/>
      </c>
      <c r="I35769" s="4" t="str">
        <v/>
      </c>
    </row>
    <row r="35770" spans="5:9" ht="16.5" hidden="1">
      <c r="E35770" s="4" t="str">
        <v/>
      </c>
      <c r="F35770" s="102" t="str">
        <f ca="1">IFERROR(__xludf.DUMMYFUNCTION("IMPORTRANGE(H35770,""IDENTITAS UNIT!D9"")"),"#N/A")</f>
        <v>#N/A</v>
      </c>
      <c r="H35770" s="4" t="str">
        <v/>
      </c>
      <c r="I35770" s="4" t="str">
        <v/>
      </c>
    </row>
    <row r="35771" spans="5:9" ht="16.5" hidden="1">
      <c r="E35771" s="4" t="str">
        <v/>
      </c>
      <c r="F35771" s="102" t="str">
        <f ca="1">IFERROR(__xludf.DUMMYFUNCTION("IMPORTRANGE(H35771,""IDENTITAS UNIT!D9"")"),"#N/A")</f>
        <v>#N/A</v>
      </c>
      <c r="H35771" s="4" t="str">
        <v/>
      </c>
      <c r="I35771" s="4" t="str">
        <v/>
      </c>
    </row>
    <row r="35772" spans="5:9" ht="16.5" hidden="1">
      <c r="E35772" s="4" t="str">
        <v/>
      </c>
      <c r="F35772" s="102" t="str">
        <f ca="1">IFERROR(__xludf.DUMMYFUNCTION("IMPORTRANGE(H35772,""IDENTITAS UNIT!D9"")"),"#N/A")</f>
        <v>#N/A</v>
      </c>
      <c r="H35772" s="4" t="str">
        <v/>
      </c>
      <c r="I35772" s="4" t="str">
        <v/>
      </c>
    </row>
    <row r="35773" spans="5:9" ht="16.5" hidden="1">
      <c r="E35773" s="4" t="str">
        <v/>
      </c>
      <c r="F35773" s="102" t="str">
        <f ca="1">IFERROR(__xludf.DUMMYFUNCTION("IMPORTRANGE(H35773,""IDENTITAS UNIT!D9"")"),"#N/A")</f>
        <v>#N/A</v>
      </c>
      <c r="H35773" s="4" t="str">
        <v/>
      </c>
      <c r="I35773" s="4" t="str">
        <v/>
      </c>
    </row>
    <row r="35774" spans="5:9" ht="16.5" hidden="1">
      <c r="E35774" s="4" t="str">
        <v/>
      </c>
      <c r="F35774" s="102" t="str">
        <f ca="1">IFERROR(__xludf.DUMMYFUNCTION("IMPORTRANGE(H35774,""IDENTITAS UNIT!D9"")"),"#N/A")</f>
        <v>#N/A</v>
      </c>
      <c r="H35774" s="4" t="str">
        <v/>
      </c>
      <c r="I35774" s="4" t="str">
        <v/>
      </c>
    </row>
    <row r="35775" spans="5:9" ht="16.5" hidden="1">
      <c r="E35775" s="4" t="str">
        <v/>
      </c>
      <c r="F35775" s="102" t="str">
        <f ca="1">IFERROR(__xludf.DUMMYFUNCTION("IMPORTRANGE(H35775,""IDENTITAS UNIT!D9"")"),"#N/A")</f>
        <v>#N/A</v>
      </c>
      <c r="H35775" s="4" t="str">
        <v/>
      </c>
      <c r="I35775" s="4" t="str">
        <v/>
      </c>
    </row>
    <row r="35776" spans="5:9" ht="16.5" hidden="1">
      <c r="E35776" s="4" t="str">
        <v/>
      </c>
      <c r="F35776" s="102" t="str">
        <f ca="1">IFERROR(__xludf.DUMMYFUNCTION("IMPORTRANGE(H35776,""IDENTITAS UNIT!D9"")"),"#N/A")</f>
        <v>#N/A</v>
      </c>
      <c r="H35776" s="4" t="str">
        <v/>
      </c>
      <c r="I35776" s="4" t="str">
        <v/>
      </c>
    </row>
    <row r="35777" spans="5:9" ht="16.5" hidden="1">
      <c r="E35777" s="4" t="str">
        <v/>
      </c>
      <c r="F35777" s="102" t="str">
        <f ca="1">IFERROR(__xludf.DUMMYFUNCTION("IMPORTRANGE(H35777,""IDENTITAS UNIT!D9"")"),"#N/A")</f>
        <v>#N/A</v>
      </c>
      <c r="H35777" s="4" t="str">
        <v/>
      </c>
      <c r="I35777" s="4" t="str">
        <v/>
      </c>
    </row>
    <row r="35778" spans="5:9" ht="16.5" hidden="1">
      <c r="E35778" s="4" t="str">
        <v/>
      </c>
      <c r="F35778" s="102" t="str">
        <f ca="1">IFERROR(__xludf.DUMMYFUNCTION("IMPORTRANGE(H35778,""IDENTITAS UNIT!D9"")"),"#N/A")</f>
        <v>#N/A</v>
      </c>
      <c r="H35778" s="4" t="str">
        <v/>
      </c>
      <c r="I35778" s="4" t="str">
        <v/>
      </c>
    </row>
    <row r="35779" spans="5:9" ht="16.5" hidden="1">
      <c r="E35779" s="4" t="str">
        <v/>
      </c>
      <c r="F35779" s="102" t="str">
        <f ca="1">IFERROR(__xludf.DUMMYFUNCTION("IMPORTRANGE(H35779,""IDENTITAS UNIT!D9"")"),"#N/A")</f>
        <v>#N/A</v>
      </c>
      <c r="H35779" s="4" t="str">
        <v/>
      </c>
      <c r="I35779" s="4" t="str">
        <v/>
      </c>
    </row>
    <row r="35780" spans="5:9" ht="16.5" hidden="1">
      <c r="E35780" s="4" t="str">
        <v/>
      </c>
      <c r="F35780" s="102" t="str">
        <f ca="1">IFERROR(__xludf.DUMMYFUNCTION("IMPORTRANGE(H35780,""IDENTITAS UNIT!D9"")"),"#N/A")</f>
        <v>#N/A</v>
      </c>
      <c r="H35780" s="4" t="str">
        <v/>
      </c>
      <c r="I35780" s="4" t="str">
        <v/>
      </c>
    </row>
    <row r="35781" spans="5:9" ht="16.5" hidden="1">
      <c r="E35781" s="4" t="str">
        <v/>
      </c>
      <c r="F35781" s="102" t="str">
        <f ca="1">IFERROR(__xludf.DUMMYFUNCTION("IMPORTRANGE(H35781,""IDENTITAS UNIT!D9"")"),"#N/A")</f>
        <v>#N/A</v>
      </c>
      <c r="H35781" s="4" t="str">
        <v/>
      </c>
      <c r="I35781" s="4" t="str">
        <v/>
      </c>
    </row>
    <row r="35782" spans="5:9" ht="16.5" hidden="1">
      <c r="E35782" s="4" t="str">
        <v/>
      </c>
      <c r="F35782" s="102" t="str">
        <f ca="1">IFERROR(__xludf.DUMMYFUNCTION("IMPORTRANGE(H35782,""IDENTITAS UNIT!D9"")"),"#N/A")</f>
        <v>#N/A</v>
      </c>
      <c r="H35782" s="4" t="str">
        <v/>
      </c>
      <c r="I35782" s="4" t="str">
        <v/>
      </c>
    </row>
    <row r="35783" spans="5:9" ht="16.5" hidden="1">
      <c r="E35783" s="4" t="str">
        <v/>
      </c>
      <c r="F35783" s="102" t="str">
        <f ca="1">IFERROR(__xludf.DUMMYFUNCTION("IMPORTRANGE(H35783,""IDENTITAS UNIT!D9"")"),"#N/A")</f>
        <v>#N/A</v>
      </c>
      <c r="H35783" s="4" t="str">
        <v/>
      </c>
      <c r="I35783" s="4" t="str">
        <v/>
      </c>
    </row>
    <row r="35784" spans="5:9" ht="16.5" hidden="1">
      <c r="E35784" s="4" t="str">
        <v/>
      </c>
      <c r="F35784" s="102" t="str">
        <f ca="1">IFERROR(__xludf.DUMMYFUNCTION("IMPORTRANGE(H35784,""IDENTITAS UNIT!D9"")"),"#N/A")</f>
        <v>#N/A</v>
      </c>
      <c r="H35784" s="4" t="str">
        <v/>
      </c>
      <c r="I35784" s="4" t="str">
        <v/>
      </c>
    </row>
    <row r="35785" spans="5:9" ht="16.5" hidden="1">
      <c r="E35785" s="4" t="str">
        <v/>
      </c>
      <c r="F35785" s="102" t="str">
        <f ca="1">IFERROR(__xludf.DUMMYFUNCTION("IMPORTRANGE(H35785,""IDENTITAS UNIT!D9"")"),"#N/A")</f>
        <v>#N/A</v>
      </c>
      <c r="H35785" s="4" t="str">
        <v/>
      </c>
      <c r="I35785" s="4" t="str">
        <v/>
      </c>
    </row>
    <row r="35786" spans="5:9" ht="16.5" hidden="1">
      <c r="E35786" s="4" t="str">
        <v/>
      </c>
      <c r="F35786" s="102" t="str">
        <f ca="1">IFERROR(__xludf.DUMMYFUNCTION("IMPORTRANGE(H35786,""IDENTITAS UNIT!D9"")"),"#N/A")</f>
        <v>#N/A</v>
      </c>
      <c r="H35786" s="4" t="str">
        <v/>
      </c>
      <c r="I35786" s="4" t="str">
        <v/>
      </c>
    </row>
    <row r="35787" spans="5:9" ht="16.5" hidden="1">
      <c r="E35787" s="4" t="str">
        <v/>
      </c>
      <c r="F35787" s="102" t="str">
        <f ca="1">IFERROR(__xludf.DUMMYFUNCTION("IMPORTRANGE(H35787,""IDENTITAS UNIT!D9"")"),"#N/A")</f>
        <v>#N/A</v>
      </c>
      <c r="H35787" s="4" t="str">
        <v/>
      </c>
      <c r="I35787" s="4" t="str">
        <v/>
      </c>
    </row>
    <row r="35788" spans="5:9" ht="16.5" hidden="1">
      <c r="E35788" s="4" t="str">
        <v/>
      </c>
      <c r="F35788" s="102" t="str">
        <f ca="1">IFERROR(__xludf.DUMMYFUNCTION("IMPORTRANGE(H35788,""IDENTITAS UNIT!D9"")"),"#N/A")</f>
        <v>#N/A</v>
      </c>
      <c r="H35788" s="4" t="str">
        <v/>
      </c>
      <c r="I35788" s="4" t="str">
        <v/>
      </c>
    </row>
    <row r="35789" spans="5:9" ht="16.5" hidden="1">
      <c r="E35789" s="4" t="str">
        <v/>
      </c>
      <c r="F35789" s="102" t="str">
        <f ca="1">IFERROR(__xludf.DUMMYFUNCTION("IMPORTRANGE(H35789,""IDENTITAS UNIT!D9"")"),"#N/A")</f>
        <v>#N/A</v>
      </c>
      <c r="H35789" s="4" t="str">
        <v/>
      </c>
      <c r="I35789" s="4" t="str">
        <v/>
      </c>
    </row>
    <row r="35790" spans="5:9" ht="16.5" hidden="1">
      <c r="E35790" s="4" t="str">
        <v/>
      </c>
      <c r="F35790" s="102" t="str">
        <f ca="1">IFERROR(__xludf.DUMMYFUNCTION("IMPORTRANGE(H35790,""IDENTITAS UNIT!D9"")"),"#N/A")</f>
        <v>#N/A</v>
      </c>
      <c r="H35790" s="4" t="str">
        <v/>
      </c>
      <c r="I35790" s="4" t="str">
        <v/>
      </c>
    </row>
    <row r="35791" spans="5:9" ht="16.5" hidden="1">
      <c r="E35791" s="4" t="str">
        <v/>
      </c>
      <c r="F35791" s="102" t="str">
        <f ca="1">IFERROR(__xludf.DUMMYFUNCTION("IMPORTRANGE(H35791,""IDENTITAS UNIT!D9"")"),"#N/A")</f>
        <v>#N/A</v>
      </c>
      <c r="H35791" s="4" t="str">
        <v/>
      </c>
      <c r="I35791" s="4" t="str">
        <v/>
      </c>
    </row>
    <row r="35792" spans="5:9" ht="16.5" hidden="1">
      <c r="E35792" s="4" t="str">
        <v/>
      </c>
      <c r="F35792" s="102" t="str">
        <f ca="1">IFERROR(__xludf.DUMMYFUNCTION("IMPORTRANGE(H35792,""IDENTITAS UNIT!D9"")"),"#N/A")</f>
        <v>#N/A</v>
      </c>
      <c r="H35792" s="4" t="str">
        <v/>
      </c>
      <c r="I35792" s="4" t="str">
        <v/>
      </c>
    </row>
    <row r="35793" spans="5:9" ht="16.5" hidden="1">
      <c r="E35793" s="4" t="str">
        <v/>
      </c>
      <c r="F35793" s="102" t="str">
        <f ca="1">IFERROR(__xludf.DUMMYFUNCTION("IMPORTRANGE(H35793,""IDENTITAS UNIT!D9"")"),"#N/A")</f>
        <v>#N/A</v>
      </c>
      <c r="H35793" s="4" t="str">
        <v/>
      </c>
      <c r="I35793" s="4" t="str">
        <v/>
      </c>
    </row>
    <row r="35794" spans="5:9" ht="16.5" hidden="1">
      <c r="E35794" s="4" t="str">
        <v/>
      </c>
      <c r="F35794" s="102" t="str">
        <f ca="1">IFERROR(__xludf.DUMMYFUNCTION("IMPORTRANGE(H35794,""IDENTITAS UNIT!D9"")"),"#N/A")</f>
        <v>#N/A</v>
      </c>
      <c r="H35794" s="4" t="str">
        <v/>
      </c>
      <c r="I35794" s="4" t="str">
        <v/>
      </c>
    </row>
    <row r="35795" spans="5:9" ht="16.5" hidden="1">
      <c r="E35795" s="4" t="str">
        <v/>
      </c>
      <c r="F35795" s="102" t="str">
        <f ca="1">IFERROR(__xludf.DUMMYFUNCTION("IMPORTRANGE(H35795,""IDENTITAS UNIT!D9"")"),"#N/A")</f>
        <v>#N/A</v>
      </c>
      <c r="H35795" s="4" t="str">
        <v/>
      </c>
      <c r="I35795" s="4" t="str">
        <v/>
      </c>
    </row>
    <row r="35796" spans="5:9" ht="16.5" hidden="1">
      <c r="E35796" s="4" t="str">
        <v/>
      </c>
      <c r="F35796" s="102" t="str">
        <f ca="1">IFERROR(__xludf.DUMMYFUNCTION("IMPORTRANGE(H35796,""IDENTITAS UNIT!D9"")"),"#N/A")</f>
        <v>#N/A</v>
      </c>
      <c r="H35796" s="4" t="str">
        <v/>
      </c>
      <c r="I35796" s="4" t="str">
        <v/>
      </c>
    </row>
    <row r="35797" spans="5:9" ht="16.5" hidden="1">
      <c r="E35797" s="4" t="str">
        <v/>
      </c>
      <c r="F35797" s="102" t="str">
        <f ca="1">IFERROR(__xludf.DUMMYFUNCTION("IMPORTRANGE(H35797,""IDENTITAS UNIT!D9"")"),"#N/A")</f>
        <v>#N/A</v>
      </c>
      <c r="H35797" s="4" t="str">
        <v/>
      </c>
      <c r="I35797" s="4" t="str">
        <v/>
      </c>
    </row>
    <row r="35798" spans="5:9" ht="16.5" hidden="1">
      <c r="E35798" s="4" t="str">
        <v/>
      </c>
      <c r="F35798" s="102" t="str">
        <f ca="1">IFERROR(__xludf.DUMMYFUNCTION("IMPORTRANGE(H35798,""IDENTITAS UNIT!D9"")"),"#N/A")</f>
        <v>#N/A</v>
      </c>
      <c r="H35798" s="4" t="str">
        <v/>
      </c>
      <c r="I35798" s="4" t="str">
        <v/>
      </c>
    </row>
    <row r="35799" spans="5:9" ht="16.5" hidden="1">
      <c r="E35799" s="4" t="str">
        <v/>
      </c>
      <c r="F35799" s="102" t="str">
        <f ca="1">IFERROR(__xludf.DUMMYFUNCTION("IMPORTRANGE(H35799,""IDENTITAS UNIT!D9"")"),"#N/A")</f>
        <v>#N/A</v>
      </c>
      <c r="H35799" s="4" t="str">
        <v/>
      </c>
      <c r="I35799" s="4" t="str">
        <v/>
      </c>
    </row>
    <row r="35800" spans="5:9" ht="16.5" hidden="1">
      <c r="E35800" s="4" t="str">
        <v/>
      </c>
      <c r="F35800" s="102" t="str">
        <f ca="1">IFERROR(__xludf.DUMMYFUNCTION("IMPORTRANGE(H35800,""IDENTITAS UNIT!D9"")"),"#N/A")</f>
        <v>#N/A</v>
      </c>
      <c r="H35800" s="4" t="str">
        <v/>
      </c>
      <c r="I35800" s="4" t="str">
        <v/>
      </c>
    </row>
    <row r="35801" spans="5:9" ht="16.5" hidden="1">
      <c r="E35801" s="4" t="str">
        <v/>
      </c>
      <c r="F35801" s="102" t="str">
        <f ca="1">IFERROR(__xludf.DUMMYFUNCTION("IMPORTRANGE(H35801,""IDENTITAS UNIT!D9"")"),"#N/A")</f>
        <v>#N/A</v>
      </c>
      <c r="H35801" s="4" t="str">
        <v/>
      </c>
      <c r="I35801" s="4" t="str">
        <v/>
      </c>
    </row>
    <row r="35802" spans="5:9" ht="16.5" hidden="1">
      <c r="E35802" s="4" t="str">
        <v/>
      </c>
      <c r="F35802" s="102" t="str">
        <f ca="1">IFERROR(__xludf.DUMMYFUNCTION("IMPORTRANGE(H35802,""IDENTITAS UNIT!D9"")"),"#N/A")</f>
        <v>#N/A</v>
      </c>
      <c r="H35802" s="4" t="str">
        <v/>
      </c>
      <c r="I35802" s="4" t="str">
        <v/>
      </c>
    </row>
    <row r="35803" spans="5:9" ht="16.5" hidden="1">
      <c r="E35803" s="4" t="str">
        <v/>
      </c>
      <c r="F35803" s="102" t="str">
        <f ca="1">IFERROR(__xludf.DUMMYFUNCTION("IMPORTRANGE(H35803,""IDENTITAS UNIT!D9"")"),"#N/A")</f>
        <v>#N/A</v>
      </c>
      <c r="H35803" s="4" t="str">
        <v/>
      </c>
      <c r="I35803" s="4" t="str">
        <v/>
      </c>
    </row>
    <row r="35804" spans="5:9" ht="16.5" hidden="1">
      <c r="E35804" s="4" t="str">
        <v/>
      </c>
      <c r="F35804" s="102" t="str">
        <f ca="1">IFERROR(__xludf.DUMMYFUNCTION("IMPORTRANGE(H35804,""IDENTITAS UNIT!D9"")"),"#N/A")</f>
        <v>#N/A</v>
      </c>
      <c r="H35804" s="4" t="str">
        <v/>
      </c>
      <c r="I35804" s="4" t="str">
        <v/>
      </c>
    </row>
    <row r="35805" spans="5:9" ht="16.5" hidden="1">
      <c r="E35805" s="4" t="str">
        <v/>
      </c>
      <c r="F35805" s="102" t="str">
        <f ca="1">IFERROR(__xludf.DUMMYFUNCTION("IMPORTRANGE(H35805,""IDENTITAS UNIT!D9"")"),"#N/A")</f>
        <v>#N/A</v>
      </c>
      <c r="H35805" s="4" t="str">
        <v/>
      </c>
      <c r="I35805" s="4" t="str">
        <v/>
      </c>
    </row>
    <row r="35806" spans="5:9" ht="16.5" hidden="1">
      <c r="E35806" s="4" t="str">
        <v/>
      </c>
      <c r="F35806" s="102" t="str">
        <f ca="1">IFERROR(__xludf.DUMMYFUNCTION("IMPORTRANGE(H35806,""IDENTITAS UNIT!D9"")"),"#N/A")</f>
        <v>#N/A</v>
      </c>
      <c r="H35806" s="4" t="str">
        <v/>
      </c>
      <c r="I35806" s="4" t="str">
        <v/>
      </c>
    </row>
    <row r="35807" spans="5:9" ht="16.5" hidden="1">
      <c r="E35807" s="4" t="str">
        <v/>
      </c>
      <c r="F35807" s="102" t="str">
        <f ca="1">IFERROR(__xludf.DUMMYFUNCTION("IMPORTRANGE(H35807,""IDENTITAS UNIT!D9"")"),"#N/A")</f>
        <v>#N/A</v>
      </c>
      <c r="H35807" s="4" t="str">
        <v/>
      </c>
      <c r="I35807" s="4" t="str">
        <v/>
      </c>
    </row>
    <row r="35808" spans="5:9" ht="16.5" hidden="1">
      <c r="E35808" s="4" t="str">
        <v/>
      </c>
      <c r="F35808" s="102" t="str">
        <f ca="1">IFERROR(__xludf.DUMMYFUNCTION("IMPORTRANGE(H35808,""IDENTITAS UNIT!D9"")"),"#N/A")</f>
        <v>#N/A</v>
      </c>
      <c r="H35808" s="4" t="str">
        <v/>
      </c>
      <c r="I35808" s="4" t="str">
        <v/>
      </c>
    </row>
    <row r="35809" spans="5:9" ht="16.5" hidden="1">
      <c r="E35809" s="4" t="str">
        <v/>
      </c>
      <c r="F35809" s="102" t="str">
        <f ca="1">IFERROR(__xludf.DUMMYFUNCTION("IMPORTRANGE(H35809,""IDENTITAS UNIT!D9"")"),"#N/A")</f>
        <v>#N/A</v>
      </c>
      <c r="H35809" s="4" t="str">
        <v/>
      </c>
      <c r="I35809" s="4" t="str">
        <v/>
      </c>
    </row>
    <row r="35810" spans="5:9" ht="16.5" hidden="1">
      <c r="E35810" s="4" t="str">
        <v/>
      </c>
      <c r="F35810" s="102" t="str">
        <f ca="1">IFERROR(__xludf.DUMMYFUNCTION("IMPORTRANGE(H35810,""IDENTITAS UNIT!D9"")"),"#N/A")</f>
        <v>#N/A</v>
      </c>
      <c r="H35810" s="4" t="str">
        <v/>
      </c>
      <c r="I35810" s="4" t="str">
        <v/>
      </c>
    </row>
    <row r="35811" spans="5:9" ht="16.5" hidden="1">
      <c r="E35811" s="4" t="str">
        <v/>
      </c>
      <c r="F35811" s="102" t="str">
        <f ca="1">IFERROR(__xludf.DUMMYFUNCTION("IMPORTRANGE(H35811,""IDENTITAS UNIT!D9"")"),"#N/A")</f>
        <v>#N/A</v>
      </c>
      <c r="H35811" s="4" t="str">
        <v/>
      </c>
      <c r="I35811" s="4" t="str">
        <v/>
      </c>
    </row>
    <row r="35812" spans="5:9" ht="16.5" hidden="1">
      <c r="E35812" s="4" t="str">
        <v/>
      </c>
      <c r="F35812" s="102" t="str">
        <f ca="1">IFERROR(__xludf.DUMMYFUNCTION("IMPORTRANGE(H35812,""IDENTITAS UNIT!D9"")"),"#N/A")</f>
        <v>#N/A</v>
      </c>
      <c r="H35812" s="4" t="str">
        <v/>
      </c>
      <c r="I35812" s="4" t="str">
        <v/>
      </c>
    </row>
    <row r="35813" spans="5:9" ht="16.5" hidden="1">
      <c r="E35813" s="4" t="str">
        <v/>
      </c>
      <c r="F35813" s="102" t="str">
        <f ca="1">IFERROR(__xludf.DUMMYFUNCTION("IMPORTRANGE(H35813,""IDENTITAS UNIT!D9"")"),"#N/A")</f>
        <v>#N/A</v>
      </c>
      <c r="H35813" s="4" t="str">
        <v/>
      </c>
      <c r="I35813" s="4" t="str">
        <v/>
      </c>
    </row>
    <row r="35814" spans="5:9" ht="16.5" hidden="1">
      <c r="E35814" s="4" t="str">
        <v/>
      </c>
      <c r="F35814" s="102" t="str">
        <f ca="1">IFERROR(__xludf.DUMMYFUNCTION("IMPORTRANGE(H35814,""IDENTITAS UNIT!D9"")"),"#N/A")</f>
        <v>#N/A</v>
      </c>
      <c r="H35814" s="4" t="str">
        <v/>
      </c>
      <c r="I35814" s="4" t="str">
        <v/>
      </c>
    </row>
    <row r="35815" spans="5:9" ht="16.5" hidden="1">
      <c r="E35815" s="4" t="str">
        <v/>
      </c>
      <c r="F35815" s="102" t="str">
        <f ca="1">IFERROR(__xludf.DUMMYFUNCTION("IMPORTRANGE(H35815,""IDENTITAS UNIT!D9"")"),"#N/A")</f>
        <v>#N/A</v>
      </c>
      <c r="H35815" s="4" t="str">
        <v/>
      </c>
      <c r="I35815" s="4" t="str">
        <v/>
      </c>
    </row>
    <row r="35816" spans="5:9" ht="16.5" hidden="1">
      <c r="E35816" s="4" t="str">
        <v/>
      </c>
      <c r="F35816" s="102" t="str">
        <f ca="1">IFERROR(__xludf.DUMMYFUNCTION("IMPORTRANGE(H35816,""IDENTITAS UNIT!D9"")"),"#N/A")</f>
        <v>#N/A</v>
      </c>
      <c r="H35816" s="4" t="str">
        <v/>
      </c>
      <c r="I35816" s="4" t="str">
        <v/>
      </c>
    </row>
    <row r="35817" spans="5:9" ht="16.5" hidden="1">
      <c r="E35817" s="4" t="str">
        <v/>
      </c>
      <c r="F35817" s="102" t="str">
        <f ca="1">IFERROR(__xludf.DUMMYFUNCTION("IMPORTRANGE(H35817,""IDENTITAS UNIT!D9"")"),"#N/A")</f>
        <v>#N/A</v>
      </c>
      <c r="H35817" s="4" t="str">
        <v/>
      </c>
      <c r="I35817" s="4" t="str">
        <v/>
      </c>
    </row>
    <row r="35818" spans="5:9" ht="16.5" hidden="1">
      <c r="E35818" s="4" t="str">
        <v/>
      </c>
      <c r="F35818" s="102" t="str">
        <f ca="1">IFERROR(__xludf.DUMMYFUNCTION("IMPORTRANGE(H35818,""IDENTITAS UNIT!D9"")"),"#N/A")</f>
        <v>#N/A</v>
      </c>
      <c r="H35818" s="4" t="str">
        <v/>
      </c>
      <c r="I35818" s="4" t="str">
        <v/>
      </c>
    </row>
    <row r="35819" spans="5:9" ht="16.5" hidden="1">
      <c r="E35819" s="4" t="str">
        <v/>
      </c>
      <c r="F35819" s="102" t="str">
        <f ca="1">IFERROR(__xludf.DUMMYFUNCTION("IMPORTRANGE(H35819,""IDENTITAS UNIT!D9"")"),"#N/A")</f>
        <v>#N/A</v>
      </c>
      <c r="H35819" s="4" t="str">
        <v/>
      </c>
      <c r="I35819" s="4" t="str">
        <v/>
      </c>
    </row>
    <row r="35820" spans="5:9" ht="16.5" hidden="1">
      <c r="E35820" s="4" t="str">
        <v/>
      </c>
      <c r="F35820" s="102" t="str">
        <f ca="1">IFERROR(__xludf.DUMMYFUNCTION("IMPORTRANGE(H35820,""IDENTITAS UNIT!D9"")"),"#N/A")</f>
        <v>#N/A</v>
      </c>
      <c r="H35820" s="4" t="str">
        <v/>
      </c>
      <c r="I35820" s="4" t="str">
        <v/>
      </c>
    </row>
    <row r="35821" spans="5:9" ht="16.5" hidden="1">
      <c r="E35821" s="4" t="str">
        <v/>
      </c>
      <c r="F35821" s="102" t="str">
        <f ca="1">IFERROR(__xludf.DUMMYFUNCTION("IMPORTRANGE(H35821,""IDENTITAS UNIT!D9"")"),"#N/A")</f>
        <v>#N/A</v>
      </c>
      <c r="H35821" s="4" t="str">
        <v/>
      </c>
      <c r="I35821" s="4" t="str">
        <v/>
      </c>
    </row>
    <row r="35822" spans="5:9" ht="16.5" hidden="1">
      <c r="E35822" s="4" t="str">
        <v/>
      </c>
      <c r="F35822" s="102" t="str">
        <f ca="1">IFERROR(__xludf.DUMMYFUNCTION("IMPORTRANGE(H35822,""IDENTITAS UNIT!D9"")"),"#N/A")</f>
        <v>#N/A</v>
      </c>
      <c r="H35822" s="4" t="str">
        <v/>
      </c>
      <c r="I35822" s="4" t="str">
        <v/>
      </c>
    </row>
    <row r="35823" spans="5:9" ht="16.5" hidden="1">
      <c r="E35823" s="4" t="str">
        <v/>
      </c>
      <c r="F35823" s="102" t="str">
        <f ca="1">IFERROR(__xludf.DUMMYFUNCTION("IMPORTRANGE(H35823,""IDENTITAS UNIT!D9"")"),"#N/A")</f>
        <v>#N/A</v>
      </c>
      <c r="H35823" s="4" t="str">
        <v/>
      </c>
      <c r="I35823" s="4" t="str">
        <v/>
      </c>
    </row>
    <row r="35824" spans="5:9" ht="16.5" hidden="1">
      <c r="E35824" s="4" t="str">
        <v/>
      </c>
      <c r="F35824" s="102" t="str">
        <f ca="1">IFERROR(__xludf.DUMMYFUNCTION("IMPORTRANGE(H35824,""IDENTITAS UNIT!D9"")"),"#N/A")</f>
        <v>#N/A</v>
      </c>
      <c r="H35824" s="4" t="str">
        <v/>
      </c>
      <c r="I35824" s="4" t="str">
        <v/>
      </c>
    </row>
    <row r="35825" spans="5:9" ht="16.5" hidden="1">
      <c r="E35825" s="4" t="str">
        <v/>
      </c>
      <c r="F35825" s="102" t="str">
        <f ca="1">IFERROR(__xludf.DUMMYFUNCTION("IMPORTRANGE(H35825,""IDENTITAS UNIT!D9"")"),"#N/A")</f>
        <v>#N/A</v>
      </c>
      <c r="H35825" s="4" t="str">
        <v/>
      </c>
      <c r="I35825" s="4" t="str">
        <v/>
      </c>
    </row>
    <row r="35826" spans="5:9" ht="16.5" hidden="1">
      <c r="E35826" s="4" t="str">
        <v/>
      </c>
      <c r="F35826" s="102" t="str">
        <f ca="1">IFERROR(__xludf.DUMMYFUNCTION("IMPORTRANGE(H35826,""IDENTITAS UNIT!D9"")"),"#N/A")</f>
        <v>#N/A</v>
      </c>
      <c r="H35826" s="4" t="str">
        <v/>
      </c>
      <c r="I35826" s="4" t="str">
        <v/>
      </c>
    </row>
    <row r="35827" spans="5:9" ht="16.5" hidden="1">
      <c r="E35827" s="4" t="str">
        <v/>
      </c>
      <c r="F35827" s="102" t="str">
        <f ca="1">IFERROR(__xludf.DUMMYFUNCTION("IMPORTRANGE(H35827,""IDENTITAS UNIT!D9"")"),"#N/A")</f>
        <v>#N/A</v>
      </c>
      <c r="H35827" s="4" t="str">
        <v/>
      </c>
      <c r="I35827" s="4" t="str">
        <v/>
      </c>
    </row>
    <row r="35828" spans="5:9" ht="16.5" hidden="1">
      <c r="E35828" s="4" t="str">
        <v/>
      </c>
      <c r="F35828" s="102" t="str">
        <f ca="1">IFERROR(__xludf.DUMMYFUNCTION("IMPORTRANGE(H35828,""IDENTITAS UNIT!D9"")"),"#N/A")</f>
        <v>#N/A</v>
      </c>
      <c r="H35828" s="4" t="str">
        <v/>
      </c>
      <c r="I35828" s="4" t="str">
        <v/>
      </c>
    </row>
    <row r="35829" spans="5:9" ht="16.5" hidden="1">
      <c r="E35829" s="4" t="str">
        <v/>
      </c>
      <c r="F35829" s="102" t="str">
        <f ca="1">IFERROR(__xludf.DUMMYFUNCTION("IMPORTRANGE(H35829,""IDENTITAS UNIT!D9"")"),"#N/A")</f>
        <v>#N/A</v>
      </c>
      <c r="H35829" s="4" t="str">
        <v/>
      </c>
      <c r="I35829" s="4" t="str">
        <v/>
      </c>
    </row>
    <row r="35830" spans="5:9" ht="16.5" hidden="1">
      <c r="E35830" s="4" t="str">
        <v/>
      </c>
      <c r="F35830" s="102" t="str">
        <f ca="1">IFERROR(__xludf.DUMMYFUNCTION("IMPORTRANGE(H35830,""IDENTITAS UNIT!D9"")"),"#N/A")</f>
        <v>#N/A</v>
      </c>
      <c r="H35830" s="4" t="str">
        <v/>
      </c>
      <c r="I35830" s="4" t="str">
        <v/>
      </c>
    </row>
    <row r="35831" spans="5:9" ht="16.5" hidden="1">
      <c r="E35831" s="4" t="str">
        <v/>
      </c>
      <c r="F35831" s="102" t="str">
        <f ca="1">IFERROR(__xludf.DUMMYFUNCTION("IMPORTRANGE(H35831,""IDENTITAS UNIT!D9"")"),"#N/A")</f>
        <v>#N/A</v>
      </c>
      <c r="H35831" s="4" t="str">
        <v/>
      </c>
      <c r="I35831" s="4" t="str">
        <v/>
      </c>
    </row>
    <row r="35832" spans="5:9" ht="16.5" hidden="1">
      <c r="E35832" s="4" t="str">
        <v/>
      </c>
      <c r="F35832" s="102" t="str">
        <f ca="1">IFERROR(__xludf.DUMMYFUNCTION("IMPORTRANGE(H35832,""IDENTITAS UNIT!D9"")"),"#N/A")</f>
        <v>#N/A</v>
      </c>
      <c r="H35832" s="4" t="str">
        <v/>
      </c>
      <c r="I35832" s="4" t="str">
        <v/>
      </c>
    </row>
    <row r="35833" spans="5:9" ht="16.5" hidden="1">
      <c r="E35833" s="4" t="str">
        <v/>
      </c>
      <c r="F35833" s="102" t="str">
        <f ca="1">IFERROR(__xludf.DUMMYFUNCTION("IMPORTRANGE(H35833,""IDENTITAS UNIT!D9"")"),"#N/A")</f>
        <v>#N/A</v>
      </c>
      <c r="H35833" s="4" t="str">
        <v/>
      </c>
      <c r="I35833" s="4" t="str">
        <v/>
      </c>
    </row>
    <row r="35834" spans="5:9" ht="16.5" hidden="1">
      <c r="E35834" s="4" t="str">
        <v/>
      </c>
      <c r="F35834" s="102" t="str">
        <f ca="1">IFERROR(__xludf.DUMMYFUNCTION("IMPORTRANGE(H35834,""IDENTITAS UNIT!D9"")"),"#N/A")</f>
        <v>#N/A</v>
      </c>
      <c r="H35834" s="4" t="str">
        <v/>
      </c>
      <c r="I35834" s="4" t="str">
        <v/>
      </c>
    </row>
    <row r="35835" spans="5:9" ht="16.5" hidden="1">
      <c r="E35835" s="4" t="str">
        <v/>
      </c>
      <c r="F35835" s="102" t="str">
        <f ca="1">IFERROR(__xludf.DUMMYFUNCTION("IMPORTRANGE(H35835,""IDENTITAS UNIT!D9"")"),"#N/A")</f>
        <v>#N/A</v>
      </c>
      <c r="H35835" s="4" t="str">
        <v/>
      </c>
      <c r="I35835" s="4" t="str">
        <v/>
      </c>
    </row>
    <row r="35836" spans="5:9" ht="16.5" hidden="1">
      <c r="E35836" s="4" t="str">
        <v/>
      </c>
      <c r="F35836" s="102" t="str">
        <f ca="1">IFERROR(__xludf.DUMMYFUNCTION("IMPORTRANGE(H35836,""IDENTITAS UNIT!D9"")"),"#N/A")</f>
        <v>#N/A</v>
      </c>
      <c r="H35836" s="4" t="str">
        <v/>
      </c>
      <c r="I35836" s="4" t="str">
        <v/>
      </c>
    </row>
    <row r="35837" spans="5:9" ht="16.5" hidden="1">
      <c r="E35837" s="4" t="str">
        <v/>
      </c>
      <c r="F35837" s="102" t="str">
        <f ca="1">IFERROR(__xludf.DUMMYFUNCTION("IMPORTRANGE(H35837,""IDENTITAS UNIT!D9"")"),"#N/A")</f>
        <v>#N/A</v>
      </c>
      <c r="H35837" s="4" t="str">
        <v/>
      </c>
      <c r="I35837" s="4" t="str">
        <v/>
      </c>
    </row>
    <row r="35838" spans="5:9" ht="16.5" hidden="1">
      <c r="E35838" s="4" t="str">
        <v/>
      </c>
      <c r="F35838" s="102" t="str">
        <f ca="1">IFERROR(__xludf.DUMMYFUNCTION("IMPORTRANGE(H35838,""IDENTITAS UNIT!D9"")"),"#N/A")</f>
        <v>#N/A</v>
      </c>
      <c r="H35838" s="4" t="str">
        <v/>
      </c>
      <c r="I35838" s="4" t="str">
        <v/>
      </c>
    </row>
    <row r="35839" spans="5:9" ht="16.5" hidden="1">
      <c r="E35839" s="4" t="str">
        <v/>
      </c>
      <c r="F35839" s="102" t="str">
        <f ca="1">IFERROR(__xludf.DUMMYFUNCTION("IMPORTRANGE(H35839,""IDENTITAS UNIT!D9"")"),"#N/A")</f>
        <v>#N/A</v>
      </c>
      <c r="H35839" s="4" t="str">
        <v/>
      </c>
      <c r="I35839" s="4" t="str">
        <v/>
      </c>
    </row>
    <row r="35840" spans="5:9" ht="16.5" hidden="1">
      <c r="E35840" s="4" t="str">
        <v/>
      </c>
      <c r="F35840" s="102" t="str">
        <f ca="1">IFERROR(__xludf.DUMMYFUNCTION("IMPORTRANGE(H35840,""IDENTITAS UNIT!D9"")"),"#N/A")</f>
        <v>#N/A</v>
      </c>
      <c r="H35840" s="4" t="str">
        <v/>
      </c>
      <c r="I35840" s="4" t="str">
        <v/>
      </c>
    </row>
    <row r="35841" spans="5:9" ht="16.5" hidden="1">
      <c r="E35841" s="4" t="str">
        <v/>
      </c>
      <c r="F35841" s="102" t="str">
        <f ca="1">IFERROR(__xludf.DUMMYFUNCTION("IMPORTRANGE(H35841,""IDENTITAS UNIT!D9"")"),"#N/A")</f>
        <v>#N/A</v>
      </c>
      <c r="H35841" s="4" t="str">
        <v/>
      </c>
      <c r="I35841" s="4" t="str">
        <v/>
      </c>
    </row>
    <row r="35842" spans="5:9" ht="16.5" hidden="1">
      <c r="E35842" s="4" t="str">
        <v/>
      </c>
      <c r="F35842" s="102" t="str">
        <f ca="1">IFERROR(__xludf.DUMMYFUNCTION("IMPORTRANGE(H35842,""IDENTITAS UNIT!D9"")"),"#N/A")</f>
        <v>#N/A</v>
      </c>
      <c r="H35842" s="4" t="str">
        <v/>
      </c>
      <c r="I35842" s="4" t="str">
        <v/>
      </c>
    </row>
    <row r="35843" spans="5:9" ht="16.5" hidden="1">
      <c r="E35843" s="4" t="str">
        <v/>
      </c>
      <c r="F35843" s="102" t="str">
        <f ca="1">IFERROR(__xludf.DUMMYFUNCTION("IMPORTRANGE(H35843,""IDENTITAS UNIT!D9"")"),"#N/A")</f>
        <v>#N/A</v>
      </c>
      <c r="H35843" s="4" t="str">
        <v/>
      </c>
      <c r="I35843" s="4" t="str">
        <v/>
      </c>
    </row>
    <row r="35844" spans="5:9" ht="16.5" hidden="1">
      <c r="E35844" s="4" t="str">
        <v/>
      </c>
      <c r="F35844" s="102" t="str">
        <f ca="1">IFERROR(__xludf.DUMMYFUNCTION("IMPORTRANGE(H35844,""IDENTITAS UNIT!D9"")"),"#N/A")</f>
        <v>#N/A</v>
      </c>
      <c r="H35844" s="4" t="str">
        <v/>
      </c>
      <c r="I35844" s="4" t="str">
        <v/>
      </c>
    </row>
    <row r="35845" spans="5:9" ht="16.5" hidden="1">
      <c r="E35845" s="4" t="str">
        <v/>
      </c>
      <c r="F35845" s="102" t="str">
        <f ca="1">IFERROR(__xludf.DUMMYFUNCTION("IMPORTRANGE(H35845,""IDENTITAS UNIT!D9"")"),"#N/A")</f>
        <v>#N/A</v>
      </c>
      <c r="H35845" s="4" t="str">
        <v/>
      </c>
      <c r="I35845" s="4" t="str">
        <v/>
      </c>
    </row>
    <row r="35846" spans="5:9" ht="16.5" hidden="1">
      <c r="E35846" s="4" t="str">
        <v/>
      </c>
      <c r="F35846" s="102" t="str">
        <f ca="1">IFERROR(__xludf.DUMMYFUNCTION("IMPORTRANGE(H35846,""IDENTITAS UNIT!D9"")"),"#N/A")</f>
        <v>#N/A</v>
      </c>
      <c r="H35846" s="4" t="str">
        <v/>
      </c>
      <c r="I35846" s="4" t="str">
        <v/>
      </c>
    </row>
    <row r="35847" spans="5:9" ht="16.5" hidden="1">
      <c r="E35847" s="4" t="str">
        <v/>
      </c>
      <c r="F35847" s="102" t="str">
        <f ca="1">IFERROR(__xludf.DUMMYFUNCTION("IMPORTRANGE(H35847,""IDENTITAS UNIT!D9"")"),"#N/A")</f>
        <v>#N/A</v>
      </c>
      <c r="H35847" s="4" t="str">
        <v/>
      </c>
      <c r="I35847" s="4" t="str">
        <v/>
      </c>
    </row>
    <row r="35848" spans="5:9" ht="16.5" hidden="1">
      <c r="E35848" s="4" t="str">
        <v/>
      </c>
      <c r="F35848" s="102" t="str">
        <f ca="1">IFERROR(__xludf.DUMMYFUNCTION("IMPORTRANGE(H35848,""IDENTITAS UNIT!D9"")"),"#N/A")</f>
        <v>#N/A</v>
      </c>
      <c r="H35848" s="4" t="str">
        <v/>
      </c>
      <c r="I35848" s="4" t="str">
        <v/>
      </c>
    </row>
    <row r="35849" spans="5:9" ht="16.5" hidden="1">
      <c r="E35849" s="4" t="str">
        <v/>
      </c>
      <c r="F35849" s="102" t="str">
        <f ca="1">IFERROR(__xludf.DUMMYFUNCTION("IMPORTRANGE(H35849,""IDENTITAS UNIT!D9"")"),"#N/A")</f>
        <v>#N/A</v>
      </c>
      <c r="H35849" s="4" t="str">
        <v/>
      </c>
      <c r="I35849" s="4" t="str">
        <v/>
      </c>
    </row>
    <row r="35850" spans="5:9" ht="16.5" hidden="1">
      <c r="E35850" s="4" t="str">
        <v/>
      </c>
      <c r="F35850" s="102" t="str">
        <f ca="1">IFERROR(__xludf.DUMMYFUNCTION("IMPORTRANGE(H35850,""IDENTITAS UNIT!D9"")"),"#N/A")</f>
        <v>#N/A</v>
      </c>
      <c r="H35850" s="4" t="str">
        <v/>
      </c>
      <c r="I35850" s="4" t="str">
        <v/>
      </c>
    </row>
    <row r="35851" spans="5:9" ht="16.5" hidden="1">
      <c r="E35851" s="4" t="str">
        <v/>
      </c>
      <c r="F35851" s="102" t="str">
        <f ca="1">IFERROR(__xludf.DUMMYFUNCTION("IMPORTRANGE(H35851,""IDENTITAS UNIT!D9"")"),"#N/A")</f>
        <v>#N/A</v>
      </c>
      <c r="H35851" s="4" t="str">
        <v/>
      </c>
      <c r="I35851" s="4" t="str">
        <v/>
      </c>
    </row>
    <row r="35852" spans="5:9" ht="16.5" hidden="1">
      <c r="E35852" s="4" t="str">
        <v/>
      </c>
      <c r="F35852" s="102" t="str">
        <f ca="1">IFERROR(__xludf.DUMMYFUNCTION("IMPORTRANGE(H35852,""IDENTITAS UNIT!D9"")"),"#N/A")</f>
        <v>#N/A</v>
      </c>
      <c r="H35852" s="4" t="str">
        <v/>
      </c>
      <c r="I35852" s="4" t="str">
        <v/>
      </c>
    </row>
    <row r="35853" spans="5:9" ht="16.5" hidden="1">
      <c r="E35853" s="4" t="str">
        <v/>
      </c>
      <c r="F35853" s="102" t="str">
        <f ca="1">IFERROR(__xludf.DUMMYFUNCTION("IMPORTRANGE(H35853,""IDENTITAS UNIT!D9"")"),"#N/A")</f>
        <v>#N/A</v>
      </c>
      <c r="H35853" s="4" t="str">
        <v/>
      </c>
      <c r="I35853" s="4" t="str">
        <v/>
      </c>
    </row>
    <row r="35854" spans="5:9" ht="16.5" hidden="1">
      <c r="E35854" s="4" t="str">
        <v/>
      </c>
      <c r="F35854" s="102" t="str">
        <f ca="1">IFERROR(__xludf.DUMMYFUNCTION("IMPORTRANGE(H35854,""IDENTITAS UNIT!D9"")"),"#N/A")</f>
        <v>#N/A</v>
      </c>
      <c r="H35854" s="4" t="str">
        <v/>
      </c>
      <c r="I35854" s="4" t="str">
        <v/>
      </c>
    </row>
    <row r="35855" spans="5:9" ht="16.5" hidden="1">
      <c r="E35855" s="4" t="str">
        <v/>
      </c>
      <c r="F35855" s="102" t="str">
        <f ca="1">IFERROR(__xludf.DUMMYFUNCTION("IMPORTRANGE(H35855,""IDENTITAS UNIT!D9"")"),"#N/A")</f>
        <v>#N/A</v>
      </c>
      <c r="H35855" s="4" t="str">
        <v/>
      </c>
      <c r="I35855" s="4" t="str">
        <v/>
      </c>
    </row>
    <row r="35856" spans="5:9" ht="16.5" hidden="1">
      <c r="E35856" s="4" t="str">
        <v/>
      </c>
      <c r="F35856" s="102" t="str">
        <f ca="1">IFERROR(__xludf.DUMMYFUNCTION("IMPORTRANGE(H35856,""IDENTITAS UNIT!D9"")"),"#N/A")</f>
        <v>#N/A</v>
      </c>
      <c r="H35856" s="4" t="str">
        <v/>
      </c>
      <c r="I35856" s="4" t="str">
        <v/>
      </c>
    </row>
    <row r="35857" spans="5:9" ht="16.5" hidden="1">
      <c r="E35857" s="4" t="str">
        <v/>
      </c>
      <c r="F35857" s="102" t="str">
        <f ca="1">IFERROR(__xludf.DUMMYFUNCTION("IMPORTRANGE(H35857,""IDENTITAS UNIT!D9"")"),"#N/A")</f>
        <v>#N/A</v>
      </c>
      <c r="H35857" s="4" t="str">
        <v/>
      </c>
      <c r="I35857" s="4" t="str">
        <v/>
      </c>
    </row>
    <row r="35858" spans="5:9" ht="16.5" hidden="1">
      <c r="E35858" s="4" t="str">
        <v/>
      </c>
      <c r="F35858" s="102" t="str">
        <f ca="1">IFERROR(__xludf.DUMMYFUNCTION("IMPORTRANGE(H35858,""IDENTITAS UNIT!D9"")"),"#N/A")</f>
        <v>#N/A</v>
      </c>
      <c r="H35858" s="4" t="str">
        <v/>
      </c>
      <c r="I35858" s="4" t="str">
        <v/>
      </c>
    </row>
    <row r="35859" spans="5:9" ht="16.5" hidden="1">
      <c r="E35859" s="4" t="str">
        <v/>
      </c>
      <c r="F35859" s="102" t="str">
        <f ca="1">IFERROR(__xludf.DUMMYFUNCTION("IMPORTRANGE(H35859,""IDENTITAS UNIT!D9"")"),"#N/A")</f>
        <v>#N/A</v>
      </c>
      <c r="H35859" s="4" t="str">
        <v/>
      </c>
      <c r="I35859" s="4" t="str">
        <v/>
      </c>
    </row>
    <row r="35860" spans="5:9" ht="16.5" hidden="1">
      <c r="E35860" s="4" t="str">
        <v/>
      </c>
      <c r="F35860" s="102" t="str">
        <f ca="1">IFERROR(__xludf.DUMMYFUNCTION("IMPORTRANGE(H35860,""IDENTITAS UNIT!D9"")"),"#N/A")</f>
        <v>#N/A</v>
      </c>
      <c r="H35860" s="4" t="str">
        <v/>
      </c>
      <c r="I35860" s="4" t="str">
        <v/>
      </c>
    </row>
    <row r="35861" spans="5:9" ht="16.5" hidden="1">
      <c r="E35861" s="4" t="str">
        <v/>
      </c>
      <c r="F35861" s="102" t="str">
        <f ca="1">IFERROR(__xludf.DUMMYFUNCTION("IMPORTRANGE(H35861,""IDENTITAS UNIT!D9"")"),"#N/A")</f>
        <v>#N/A</v>
      </c>
      <c r="H35861" s="4" t="str">
        <v/>
      </c>
      <c r="I35861" s="4" t="str">
        <v/>
      </c>
    </row>
    <row r="35862" spans="5:9" ht="16.5" hidden="1">
      <c r="E35862" s="4" t="str">
        <v/>
      </c>
      <c r="F35862" s="102" t="str">
        <f ca="1">IFERROR(__xludf.DUMMYFUNCTION("IMPORTRANGE(H35862,""IDENTITAS UNIT!D9"")"),"#N/A")</f>
        <v>#N/A</v>
      </c>
      <c r="H35862" s="4" t="str">
        <v/>
      </c>
      <c r="I35862" s="4" t="str">
        <v/>
      </c>
    </row>
    <row r="35863" spans="5:9" ht="16.5" hidden="1">
      <c r="E35863" s="4" t="str">
        <v/>
      </c>
      <c r="F35863" s="102" t="str">
        <f ca="1">IFERROR(__xludf.DUMMYFUNCTION("IMPORTRANGE(H35863,""IDENTITAS UNIT!D9"")"),"#N/A")</f>
        <v>#N/A</v>
      </c>
      <c r="H35863" s="4" t="str">
        <v/>
      </c>
      <c r="I35863" s="4" t="str">
        <v/>
      </c>
    </row>
    <row r="35864" spans="5:9" ht="16.5" hidden="1">
      <c r="E35864" s="4" t="str">
        <v/>
      </c>
      <c r="F35864" s="102" t="str">
        <f ca="1">IFERROR(__xludf.DUMMYFUNCTION("IMPORTRANGE(H35864,""IDENTITAS UNIT!D9"")"),"#N/A")</f>
        <v>#N/A</v>
      </c>
      <c r="H35864" s="4" t="str">
        <v/>
      </c>
      <c r="I35864" s="4" t="str">
        <v/>
      </c>
    </row>
    <row r="35865" spans="5:9" ht="16.5" hidden="1">
      <c r="E35865" s="4" t="str">
        <v/>
      </c>
      <c r="F35865" s="102" t="str">
        <f ca="1">IFERROR(__xludf.DUMMYFUNCTION("IMPORTRANGE(H35865,""IDENTITAS UNIT!D9"")"),"#N/A")</f>
        <v>#N/A</v>
      </c>
      <c r="H35865" s="4" t="str">
        <v/>
      </c>
      <c r="I35865" s="4" t="str">
        <v/>
      </c>
    </row>
    <row r="35866" spans="5:9" ht="16.5" hidden="1">
      <c r="E35866" s="4" t="str">
        <v/>
      </c>
      <c r="F35866" s="102" t="str">
        <f ca="1">IFERROR(__xludf.DUMMYFUNCTION("IMPORTRANGE(H35866,""IDENTITAS UNIT!D9"")"),"#N/A")</f>
        <v>#N/A</v>
      </c>
      <c r="H35866" s="4" t="str">
        <v/>
      </c>
      <c r="I35866" s="4" t="str">
        <v/>
      </c>
    </row>
    <row r="35867" spans="5:9" ht="16.5" hidden="1">
      <c r="E35867" s="4" t="str">
        <v/>
      </c>
      <c r="F35867" s="102" t="str">
        <f ca="1">IFERROR(__xludf.DUMMYFUNCTION("IMPORTRANGE(H35867,""IDENTITAS UNIT!D9"")"),"#N/A")</f>
        <v>#N/A</v>
      </c>
      <c r="H35867" s="4" t="str">
        <v/>
      </c>
      <c r="I35867" s="4" t="str">
        <v/>
      </c>
    </row>
    <row r="35868" spans="5:9" ht="16.5" hidden="1">
      <c r="E35868" s="4" t="str">
        <v/>
      </c>
      <c r="F35868" s="102" t="str">
        <f ca="1">IFERROR(__xludf.DUMMYFUNCTION("IMPORTRANGE(H35868,""IDENTITAS UNIT!D9"")"),"#N/A")</f>
        <v>#N/A</v>
      </c>
      <c r="H35868" s="4" t="str">
        <v/>
      </c>
      <c r="I35868" s="4" t="str">
        <v/>
      </c>
    </row>
    <row r="35869" spans="5:9" ht="16.5" hidden="1">
      <c r="E35869" s="4" t="str">
        <v/>
      </c>
      <c r="F35869" s="102" t="str">
        <f ca="1">IFERROR(__xludf.DUMMYFUNCTION("IMPORTRANGE(H35869,""IDENTITAS UNIT!D9"")"),"#N/A")</f>
        <v>#N/A</v>
      </c>
      <c r="H35869" s="4" t="str">
        <v/>
      </c>
      <c r="I35869" s="4" t="str">
        <v/>
      </c>
    </row>
    <row r="35870" spans="5:9" ht="16.5" hidden="1">
      <c r="E35870" s="4" t="str">
        <v/>
      </c>
      <c r="F35870" s="102" t="str">
        <f ca="1">IFERROR(__xludf.DUMMYFUNCTION("IMPORTRANGE(H35870,""IDENTITAS UNIT!D9"")"),"#N/A")</f>
        <v>#N/A</v>
      </c>
      <c r="H35870" s="4" t="str">
        <v/>
      </c>
      <c r="I35870" s="4" t="str">
        <v/>
      </c>
    </row>
    <row r="35871" spans="5:9" ht="16.5" hidden="1">
      <c r="E35871" s="4" t="str">
        <v/>
      </c>
      <c r="F35871" s="102" t="str">
        <f ca="1">IFERROR(__xludf.DUMMYFUNCTION("IMPORTRANGE(H35871,""IDENTITAS UNIT!D9"")"),"#N/A")</f>
        <v>#N/A</v>
      </c>
      <c r="H35871" s="4" t="str">
        <v/>
      </c>
      <c r="I35871" s="4" t="str">
        <v/>
      </c>
    </row>
    <row r="35872" spans="5:9" ht="16.5" hidden="1">
      <c r="E35872" s="4" t="str">
        <v/>
      </c>
      <c r="F35872" s="102" t="str">
        <f ca="1">IFERROR(__xludf.DUMMYFUNCTION("IMPORTRANGE(H35872,""IDENTITAS UNIT!D9"")"),"#N/A")</f>
        <v>#N/A</v>
      </c>
      <c r="H35872" s="4" t="str">
        <v/>
      </c>
      <c r="I35872" s="4" t="str">
        <v/>
      </c>
    </row>
    <row r="35873" spans="5:9" ht="16.5" hidden="1">
      <c r="E35873" s="4" t="str">
        <v/>
      </c>
      <c r="F35873" s="102" t="str">
        <f ca="1">IFERROR(__xludf.DUMMYFUNCTION("IMPORTRANGE(H35873,""IDENTITAS UNIT!D9"")"),"#N/A")</f>
        <v>#N/A</v>
      </c>
      <c r="H35873" s="4" t="str">
        <v/>
      </c>
      <c r="I35873" s="4" t="str">
        <v/>
      </c>
    </row>
    <row r="35874" spans="5:9" ht="16.5" hidden="1">
      <c r="E35874" s="4" t="str">
        <v/>
      </c>
      <c r="F35874" s="102" t="str">
        <f ca="1">IFERROR(__xludf.DUMMYFUNCTION("IMPORTRANGE(H35874,""IDENTITAS UNIT!D9"")"),"#N/A")</f>
        <v>#N/A</v>
      </c>
      <c r="H35874" s="4" t="str">
        <v/>
      </c>
      <c r="I35874" s="4" t="str">
        <v/>
      </c>
    </row>
    <row r="35875" spans="5:9" ht="16.5" hidden="1">
      <c r="E35875" s="4" t="str">
        <v/>
      </c>
      <c r="F35875" s="102" t="str">
        <f ca="1">IFERROR(__xludf.DUMMYFUNCTION("IMPORTRANGE(H35875,""IDENTITAS UNIT!D9"")"),"#N/A")</f>
        <v>#N/A</v>
      </c>
      <c r="H35875" s="4" t="str">
        <v/>
      </c>
      <c r="I35875" s="4" t="str">
        <v/>
      </c>
    </row>
    <row r="35876" spans="5:9" ht="16.5" hidden="1">
      <c r="E35876" s="4" t="str">
        <v/>
      </c>
      <c r="F35876" s="102" t="str">
        <f ca="1">IFERROR(__xludf.DUMMYFUNCTION("IMPORTRANGE(H35876,""IDENTITAS UNIT!D9"")"),"#N/A")</f>
        <v>#N/A</v>
      </c>
      <c r="H35876" s="4" t="str">
        <v/>
      </c>
      <c r="I35876" s="4" t="str">
        <v/>
      </c>
    </row>
    <row r="35877" spans="5:9" ht="16.5" hidden="1">
      <c r="E35877" s="4" t="str">
        <v/>
      </c>
      <c r="F35877" s="102" t="str">
        <f ca="1">IFERROR(__xludf.DUMMYFUNCTION("IMPORTRANGE(H35877,""IDENTITAS UNIT!D9"")"),"#N/A")</f>
        <v>#N/A</v>
      </c>
      <c r="H35877" s="4" t="str">
        <v/>
      </c>
      <c r="I35877" s="4" t="str">
        <v/>
      </c>
    </row>
    <row r="35878" spans="5:9" ht="16.5" hidden="1">
      <c r="E35878" s="4" t="str">
        <v/>
      </c>
      <c r="F35878" s="102" t="str">
        <f ca="1">IFERROR(__xludf.DUMMYFUNCTION("IMPORTRANGE(H35878,""IDENTITAS UNIT!D9"")"),"#N/A")</f>
        <v>#N/A</v>
      </c>
      <c r="H35878" s="4" t="str">
        <v/>
      </c>
      <c r="I35878" s="4" t="str">
        <v/>
      </c>
    </row>
    <row r="35879" spans="5:9" ht="16.5" hidden="1">
      <c r="E35879" s="4" t="str">
        <v/>
      </c>
      <c r="F35879" s="102" t="str">
        <f ca="1">IFERROR(__xludf.DUMMYFUNCTION("IMPORTRANGE(H35879,""IDENTITAS UNIT!D9"")"),"#N/A")</f>
        <v>#N/A</v>
      </c>
      <c r="H35879" s="4" t="str">
        <v/>
      </c>
      <c r="I35879" s="4" t="str">
        <v/>
      </c>
    </row>
    <row r="35880" spans="5:9" ht="16.5" hidden="1">
      <c r="E35880" s="4" t="str">
        <v/>
      </c>
      <c r="F35880" s="102" t="str">
        <f ca="1">IFERROR(__xludf.DUMMYFUNCTION("IMPORTRANGE(H35880,""IDENTITAS UNIT!D9"")"),"#N/A")</f>
        <v>#N/A</v>
      </c>
      <c r="H35880" s="4" t="str">
        <v/>
      </c>
      <c r="I35880" s="4" t="str">
        <v/>
      </c>
    </row>
    <row r="35881" spans="5:9" ht="16.5" hidden="1">
      <c r="E35881" s="4" t="str">
        <v/>
      </c>
      <c r="F35881" s="102" t="str">
        <f ca="1">IFERROR(__xludf.DUMMYFUNCTION("IMPORTRANGE(H35881,""IDENTITAS UNIT!D9"")"),"#N/A")</f>
        <v>#N/A</v>
      </c>
      <c r="H35881" s="4" t="str">
        <v/>
      </c>
      <c r="I35881" s="4" t="str">
        <v/>
      </c>
    </row>
    <row r="35882" spans="5:9" ht="16.5" hidden="1">
      <c r="E35882" s="4" t="str">
        <v/>
      </c>
      <c r="F35882" s="102" t="str">
        <f ca="1">IFERROR(__xludf.DUMMYFUNCTION("IMPORTRANGE(H35882,""IDENTITAS UNIT!D9"")"),"#N/A")</f>
        <v>#N/A</v>
      </c>
      <c r="H35882" s="4" t="str">
        <v/>
      </c>
      <c r="I35882" s="4" t="str">
        <v/>
      </c>
    </row>
    <row r="35883" spans="5:9" ht="16.5" hidden="1">
      <c r="E35883" s="4" t="str">
        <v/>
      </c>
      <c r="F35883" s="102" t="str">
        <f ca="1">IFERROR(__xludf.DUMMYFUNCTION("IMPORTRANGE(H35883,""IDENTITAS UNIT!D9"")"),"#N/A")</f>
        <v>#N/A</v>
      </c>
      <c r="H35883" s="4" t="str">
        <v/>
      </c>
      <c r="I35883" s="4" t="str">
        <v/>
      </c>
    </row>
    <row r="35884" spans="5:9" ht="16.5" hidden="1">
      <c r="E35884" s="4" t="str">
        <v/>
      </c>
      <c r="F35884" s="102" t="str">
        <f ca="1">IFERROR(__xludf.DUMMYFUNCTION("IMPORTRANGE(H35884,""IDENTITAS UNIT!D9"")"),"#N/A")</f>
        <v>#N/A</v>
      </c>
      <c r="H35884" s="4" t="str">
        <v/>
      </c>
      <c r="I35884" s="4" t="str">
        <v/>
      </c>
    </row>
    <row r="35885" spans="5:9" ht="16.5" hidden="1">
      <c r="E35885" s="4" t="str">
        <v/>
      </c>
      <c r="F35885" s="102" t="str">
        <f ca="1">IFERROR(__xludf.DUMMYFUNCTION("IMPORTRANGE(H35885,""IDENTITAS UNIT!D9"")"),"#N/A")</f>
        <v>#N/A</v>
      </c>
      <c r="H35885" s="4" t="str">
        <v/>
      </c>
      <c r="I35885" s="4" t="str">
        <v/>
      </c>
    </row>
    <row r="35886" spans="5:9" ht="16.5" hidden="1">
      <c r="E35886" s="4" t="str">
        <v/>
      </c>
      <c r="F35886" s="102" t="str">
        <f ca="1">IFERROR(__xludf.DUMMYFUNCTION("IMPORTRANGE(H35886,""IDENTITAS UNIT!D9"")"),"#N/A")</f>
        <v>#N/A</v>
      </c>
      <c r="H35886" s="4" t="str">
        <v/>
      </c>
      <c r="I35886" s="4" t="str">
        <v/>
      </c>
    </row>
    <row r="35887" spans="5:9" ht="16.5" hidden="1">
      <c r="E35887" s="4" t="str">
        <v/>
      </c>
      <c r="F35887" s="102" t="str">
        <f ca="1">IFERROR(__xludf.DUMMYFUNCTION("IMPORTRANGE(H35887,""IDENTITAS UNIT!D9"")"),"#N/A")</f>
        <v>#N/A</v>
      </c>
      <c r="H35887" s="4" t="str">
        <v/>
      </c>
      <c r="I35887" s="4" t="str">
        <v/>
      </c>
    </row>
    <row r="35888" spans="5:9" ht="16.5" hidden="1">
      <c r="E35888" s="4" t="str">
        <v/>
      </c>
      <c r="F35888" s="102" t="str">
        <f ca="1">IFERROR(__xludf.DUMMYFUNCTION("IMPORTRANGE(H35888,""IDENTITAS UNIT!D9"")"),"#N/A")</f>
        <v>#N/A</v>
      </c>
      <c r="H35888" s="4" t="str">
        <v/>
      </c>
      <c r="I35888" s="4" t="str">
        <v/>
      </c>
    </row>
    <row r="35889" spans="5:9" ht="16.5" hidden="1">
      <c r="E35889" s="4" t="str">
        <v/>
      </c>
      <c r="F35889" s="102" t="str">
        <f ca="1">IFERROR(__xludf.DUMMYFUNCTION("IMPORTRANGE(H35889,""IDENTITAS UNIT!D9"")"),"#N/A")</f>
        <v>#N/A</v>
      </c>
      <c r="H35889" s="4" t="str">
        <v/>
      </c>
      <c r="I35889" s="4" t="str">
        <v/>
      </c>
    </row>
    <row r="35890" spans="5:9" ht="16.5" hidden="1">
      <c r="E35890" s="4" t="str">
        <v/>
      </c>
      <c r="F35890" s="102" t="str">
        <f ca="1">IFERROR(__xludf.DUMMYFUNCTION("IMPORTRANGE(H35890,""IDENTITAS UNIT!D9"")"),"#N/A")</f>
        <v>#N/A</v>
      </c>
      <c r="H35890" s="4" t="str">
        <v/>
      </c>
      <c r="I35890" s="4" t="str">
        <v/>
      </c>
    </row>
    <row r="35891" spans="5:9" ht="16.5" hidden="1">
      <c r="E35891" s="4" t="str">
        <v/>
      </c>
      <c r="F35891" s="102" t="str">
        <f ca="1">IFERROR(__xludf.DUMMYFUNCTION("IMPORTRANGE(H35891,""IDENTITAS UNIT!D9"")"),"#N/A")</f>
        <v>#N/A</v>
      </c>
      <c r="H35891" s="4" t="str">
        <v/>
      </c>
      <c r="I35891" s="4" t="str">
        <v/>
      </c>
    </row>
    <row r="35892" spans="5:9" ht="16.5" hidden="1">
      <c r="E35892" s="4" t="str">
        <v/>
      </c>
      <c r="F35892" s="102" t="str">
        <f ca="1">IFERROR(__xludf.DUMMYFUNCTION("IMPORTRANGE(H35892,""IDENTITAS UNIT!D9"")"),"#N/A")</f>
        <v>#N/A</v>
      </c>
      <c r="H35892" s="4" t="str">
        <v/>
      </c>
      <c r="I35892" s="4" t="str">
        <v/>
      </c>
    </row>
    <row r="35893" spans="5:9" ht="16.5" hidden="1">
      <c r="E35893" s="4" t="str">
        <v/>
      </c>
      <c r="F35893" s="102" t="str">
        <f ca="1">IFERROR(__xludf.DUMMYFUNCTION("IMPORTRANGE(H35893,""IDENTITAS UNIT!D9"")"),"#N/A")</f>
        <v>#N/A</v>
      </c>
      <c r="H35893" s="4" t="str">
        <v/>
      </c>
      <c r="I35893" s="4" t="str">
        <v/>
      </c>
    </row>
    <row r="35894" spans="5:9" ht="16.5" hidden="1">
      <c r="E35894" s="4" t="str">
        <v/>
      </c>
      <c r="F35894" s="102" t="str">
        <f ca="1">IFERROR(__xludf.DUMMYFUNCTION("IMPORTRANGE(H35894,""IDENTITAS UNIT!D9"")"),"#N/A")</f>
        <v>#N/A</v>
      </c>
      <c r="H35894" s="4" t="str">
        <v/>
      </c>
      <c r="I35894" s="4" t="str">
        <v/>
      </c>
    </row>
    <row r="35895" spans="5:9" ht="16.5" hidden="1">
      <c r="E35895" s="4" t="str">
        <v/>
      </c>
      <c r="F35895" s="102" t="str">
        <f ca="1">IFERROR(__xludf.DUMMYFUNCTION("IMPORTRANGE(H35895,""IDENTITAS UNIT!D9"")"),"#N/A")</f>
        <v>#N/A</v>
      </c>
      <c r="H35895" s="4" t="str">
        <v/>
      </c>
      <c r="I35895" s="4" t="str">
        <v/>
      </c>
    </row>
    <row r="35896" spans="5:9" ht="16.5" hidden="1">
      <c r="E35896" s="4" t="str">
        <v/>
      </c>
      <c r="F35896" s="102" t="str">
        <f ca="1">IFERROR(__xludf.DUMMYFUNCTION("IMPORTRANGE(H35896,""IDENTITAS UNIT!D9"")"),"#N/A")</f>
        <v>#N/A</v>
      </c>
      <c r="H35896" s="4" t="str">
        <v/>
      </c>
      <c r="I35896" s="4" t="str">
        <v/>
      </c>
    </row>
    <row r="35897" spans="5:9" ht="16.5" hidden="1">
      <c r="E35897" s="4" t="str">
        <v/>
      </c>
      <c r="F35897" s="102" t="str">
        <f ca="1">IFERROR(__xludf.DUMMYFUNCTION("IMPORTRANGE(H35897,""IDENTITAS UNIT!D9"")"),"#N/A")</f>
        <v>#N/A</v>
      </c>
      <c r="H35897" s="4" t="str">
        <v/>
      </c>
      <c r="I35897" s="4" t="str">
        <v/>
      </c>
    </row>
    <row r="35898" spans="5:9" ht="16.5" hidden="1">
      <c r="E35898" s="4" t="str">
        <v/>
      </c>
      <c r="F35898" s="102" t="str">
        <f ca="1">IFERROR(__xludf.DUMMYFUNCTION("IMPORTRANGE(H35898,""IDENTITAS UNIT!D9"")"),"#N/A")</f>
        <v>#N/A</v>
      </c>
      <c r="H35898" s="4" t="str">
        <v/>
      </c>
      <c r="I35898" s="4" t="str">
        <v/>
      </c>
    </row>
    <row r="35899" spans="5:9" ht="16.5" hidden="1">
      <c r="E35899" s="4" t="str">
        <v/>
      </c>
      <c r="F35899" s="102" t="str">
        <f ca="1">IFERROR(__xludf.DUMMYFUNCTION("IMPORTRANGE(H35899,""IDENTITAS UNIT!D9"")"),"#N/A")</f>
        <v>#N/A</v>
      </c>
      <c r="H35899" s="4" t="str">
        <v/>
      </c>
      <c r="I35899" s="4" t="str">
        <v/>
      </c>
    </row>
    <row r="35900" spans="5:9" ht="16.5" hidden="1">
      <c r="E35900" s="4" t="str">
        <v/>
      </c>
      <c r="F35900" s="102" t="str">
        <f ca="1">IFERROR(__xludf.DUMMYFUNCTION("IMPORTRANGE(H35900,""IDENTITAS UNIT!D9"")"),"#N/A")</f>
        <v>#N/A</v>
      </c>
      <c r="H35900" s="4" t="str">
        <v/>
      </c>
      <c r="I35900" s="4" t="str">
        <v/>
      </c>
    </row>
    <row r="35901" spans="5:9" ht="16.5" hidden="1">
      <c r="E35901" s="4" t="str">
        <v/>
      </c>
      <c r="F35901" s="102" t="str">
        <f ca="1">IFERROR(__xludf.DUMMYFUNCTION("IMPORTRANGE(H35901,""IDENTITAS UNIT!D9"")"),"#N/A")</f>
        <v>#N/A</v>
      </c>
      <c r="H35901" s="4" t="str">
        <v/>
      </c>
      <c r="I35901" s="4" t="str">
        <v/>
      </c>
    </row>
    <row r="35902" spans="5:9" ht="16.5" hidden="1">
      <c r="E35902" s="4" t="str">
        <v/>
      </c>
      <c r="F35902" s="102" t="str">
        <f ca="1">IFERROR(__xludf.DUMMYFUNCTION("IMPORTRANGE(H35902,""IDENTITAS UNIT!D9"")"),"#N/A")</f>
        <v>#N/A</v>
      </c>
      <c r="H35902" s="4" t="str">
        <v/>
      </c>
      <c r="I35902" s="4" t="str">
        <v/>
      </c>
    </row>
    <row r="35903" spans="5:9" ht="16.5" hidden="1">
      <c r="E35903" s="4" t="str">
        <v/>
      </c>
      <c r="F35903" s="102" t="str">
        <f ca="1">IFERROR(__xludf.DUMMYFUNCTION("IMPORTRANGE(H35903,""IDENTITAS UNIT!D9"")"),"#N/A")</f>
        <v>#N/A</v>
      </c>
      <c r="H35903" s="4" t="str">
        <v/>
      </c>
      <c r="I35903" s="4" t="str">
        <v/>
      </c>
    </row>
    <row r="35904" spans="5:9" ht="16.5" hidden="1">
      <c r="E35904" s="4" t="str">
        <v/>
      </c>
      <c r="F35904" s="102" t="str">
        <f ca="1">IFERROR(__xludf.DUMMYFUNCTION("IMPORTRANGE(H35904,""IDENTITAS UNIT!D9"")"),"#N/A")</f>
        <v>#N/A</v>
      </c>
      <c r="H35904" s="4" t="str">
        <v/>
      </c>
      <c r="I35904" s="4" t="str">
        <v/>
      </c>
    </row>
    <row r="35905" spans="5:9" ht="16.5" hidden="1">
      <c r="E35905" s="4" t="str">
        <v/>
      </c>
      <c r="F35905" s="102" t="str">
        <f ca="1">IFERROR(__xludf.DUMMYFUNCTION("IMPORTRANGE(H35905,""IDENTITAS UNIT!D9"")"),"#N/A")</f>
        <v>#N/A</v>
      </c>
      <c r="H35905" s="4" t="str">
        <v/>
      </c>
      <c r="I35905" s="4" t="str">
        <v/>
      </c>
    </row>
    <row r="35906" spans="5:9" ht="16.5" hidden="1">
      <c r="E35906" s="4" t="str">
        <v/>
      </c>
      <c r="F35906" s="102" t="str">
        <f ca="1">IFERROR(__xludf.DUMMYFUNCTION("IMPORTRANGE(H35906,""IDENTITAS UNIT!D9"")"),"#N/A")</f>
        <v>#N/A</v>
      </c>
      <c r="H35906" s="4" t="str">
        <v/>
      </c>
      <c r="I35906" s="4" t="str">
        <v/>
      </c>
    </row>
    <row r="35907" spans="5:9" ht="16.5" hidden="1">
      <c r="E35907" s="4" t="str">
        <v/>
      </c>
      <c r="F35907" s="102" t="str">
        <f ca="1">IFERROR(__xludf.DUMMYFUNCTION("IMPORTRANGE(H35907,""IDENTITAS UNIT!D9"")"),"#N/A")</f>
        <v>#N/A</v>
      </c>
      <c r="H35907" s="4" t="str">
        <v/>
      </c>
      <c r="I35907" s="4" t="str">
        <v/>
      </c>
    </row>
    <row r="35908" spans="5:9" ht="16.5" hidden="1">
      <c r="E35908" s="4" t="str">
        <v/>
      </c>
      <c r="F35908" s="102" t="str">
        <f ca="1">IFERROR(__xludf.DUMMYFUNCTION("IMPORTRANGE(H35908,""IDENTITAS UNIT!D9"")"),"#N/A")</f>
        <v>#N/A</v>
      </c>
      <c r="H35908" s="4" t="str">
        <v/>
      </c>
      <c r="I35908" s="4" t="str">
        <v/>
      </c>
    </row>
    <row r="35909" spans="5:9" ht="16.5" hidden="1">
      <c r="E35909" s="4" t="str">
        <v/>
      </c>
      <c r="F35909" s="102" t="str">
        <f ca="1">IFERROR(__xludf.DUMMYFUNCTION("IMPORTRANGE(H35909,""IDENTITAS UNIT!D9"")"),"#N/A")</f>
        <v>#N/A</v>
      </c>
      <c r="H35909" s="4" t="str">
        <v/>
      </c>
      <c r="I35909" s="4" t="str">
        <v/>
      </c>
    </row>
    <row r="35910" spans="5:9" ht="16.5" hidden="1">
      <c r="E35910" s="4" t="str">
        <v/>
      </c>
      <c r="F35910" s="102" t="str">
        <f ca="1">IFERROR(__xludf.DUMMYFUNCTION("IMPORTRANGE(H35910,""IDENTITAS UNIT!D9"")"),"#N/A")</f>
        <v>#N/A</v>
      </c>
      <c r="H35910" s="4" t="str">
        <v/>
      </c>
      <c r="I35910" s="4" t="str">
        <v/>
      </c>
    </row>
    <row r="35911" spans="5:9" ht="16.5" hidden="1">
      <c r="E35911" s="4" t="str">
        <v/>
      </c>
      <c r="F35911" s="102" t="str">
        <f ca="1">IFERROR(__xludf.DUMMYFUNCTION("IMPORTRANGE(H35911,""IDENTITAS UNIT!D9"")"),"#N/A")</f>
        <v>#N/A</v>
      </c>
      <c r="H35911" s="4" t="str">
        <v/>
      </c>
      <c r="I35911" s="4" t="str">
        <v/>
      </c>
    </row>
    <row r="35912" spans="5:9" ht="16.5" hidden="1">
      <c r="E35912" s="4" t="str">
        <v/>
      </c>
      <c r="F35912" s="102" t="str">
        <f ca="1">IFERROR(__xludf.DUMMYFUNCTION("IMPORTRANGE(H35912,""IDENTITAS UNIT!D9"")"),"#N/A")</f>
        <v>#N/A</v>
      </c>
      <c r="H35912" s="4" t="str">
        <v/>
      </c>
      <c r="I35912" s="4" t="str">
        <v/>
      </c>
    </row>
    <row r="35913" spans="5:9" ht="16.5" hidden="1">
      <c r="E35913" s="4" t="str">
        <v/>
      </c>
      <c r="F35913" s="102" t="str">
        <f ca="1">IFERROR(__xludf.DUMMYFUNCTION("IMPORTRANGE(H35913,""IDENTITAS UNIT!D9"")"),"#N/A")</f>
        <v>#N/A</v>
      </c>
      <c r="H35913" s="4" t="str">
        <v/>
      </c>
      <c r="I35913" s="4" t="str">
        <v/>
      </c>
    </row>
    <row r="35914" spans="5:9" ht="16.5" hidden="1">
      <c r="E35914" s="4" t="str">
        <v/>
      </c>
      <c r="F35914" s="102" t="str">
        <f ca="1">IFERROR(__xludf.DUMMYFUNCTION("IMPORTRANGE(H35914,""IDENTITAS UNIT!D9"")"),"#N/A")</f>
        <v>#N/A</v>
      </c>
      <c r="H35914" s="4" t="str">
        <v/>
      </c>
      <c r="I35914" s="4" t="str">
        <v/>
      </c>
    </row>
    <row r="35915" spans="5:9" ht="16.5" hidden="1">
      <c r="E35915" s="4" t="str">
        <v/>
      </c>
      <c r="F35915" s="102" t="str">
        <f ca="1">IFERROR(__xludf.DUMMYFUNCTION("IMPORTRANGE(H35915,""IDENTITAS UNIT!D9"")"),"#N/A")</f>
        <v>#N/A</v>
      </c>
      <c r="H35915" s="4" t="str">
        <v/>
      </c>
      <c r="I35915" s="4" t="str">
        <v/>
      </c>
    </row>
    <row r="35916" spans="5:9" ht="16.5" hidden="1">
      <c r="E35916" s="4" t="str">
        <v/>
      </c>
      <c r="F35916" s="102" t="str">
        <f ca="1">IFERROR(__xludf.DUMMYFUNCTION("IMPORTRANGE(H35916,""IDENTITAS UNIT!D9"")"),"#N/A")</f>
        <v>#N/A</v>
      </c>
      <c r="H35916" s="4" t="str">
        <v/>
      </c>
      <c r="I35916" s="4" t="str">
        <v/>
      </c>
    </row>
    <row r="35917" spans="5:9" ht="16.5" hidden="1">
      <c r="E35917" s="4" t="str">
        <v/>
      </c>
      <c r="F35917" s="102" t="str">
        <f ca="1">IFERROR(__xludf.DUMMYFUNCTION("IMPORTRANGE(H35917,""IDENTITAS UNIT!D9"")"),"#N/A")</f>
        <v>#N/A</v>
      </c>
      <c r="H35917" s="4" t="str">
        <v/>
      </c>
      <c r="I35917" s="4" t="str">
        <v/>
      </c>
    </row>
    <row r="35918" spans="5:9" ht="16.5" hidden="1">
      <c r="E35918" s="4" t="str">
        <v/>
      </c>
      <c r="F35918" s="102" t="str">
        <f ca="1">IFERROR(__xludf.DUMMYFUNCTION("IMPORTRANGE(H35918,""IDENTITAS UNIT!D9"")"),"#N/A")</f>
        <v>#N/A</v>
      </c>
      <c r="H35918" s="4" t="str">
        <v/>
      </c>
      <c r="I35918" s="4" t="str">
        <v/>
      </c>
    </row>
    <row r="35919" spans="5:9" ht="16.5" hidden="1">
      <c r="E35919" s="4" t="str">
        <v/>
      </c>
      <c r="F35919" s="102" t="str">
        <f ca="1">IFERROR(__xludf.DUMMYFUNCTION("IMPORTRANGE(H35919,""IDENTITAS UNIT!D9"")"),"#N/A")</f>
        <v>#N/A</v>
      </c>
      <c r="H35919" s="4" t="str">
        <v/>
      </c>
      <c r="I35919" s="4" t="str">
        <v/>
      </c>
    </row>
    <row r="35920" spans="5:9" ht="16.5" hidden="1">
      <c r="E35920" s="4" t="str">
        <v/>
      </c>
      <c r="F35920" s="102" t="str">
        <f ca="1">IFERROR(__xludf.DUMMYFUNCTION("IMPORTRANGE(H35920,""IDENTITAS UNIT!D9"")"),"#N/A")</f>
        <v>#N/A</v>
      </c>
      <c r="H35920" s="4" t="str">
        <v/>
      </c>
      <c r="I35920" s="4" t="str">
        <v/>
      </c>
    </row>
    <row r="35921" spans="5:9" ht="16.5" hidden="1">
      <c r="E35921" s="4" t="str">
        <v/>
      </c>
      <c r="F35921" s="102" t="str">
        <f ca="1">IFERROR(__xludf.DUMMYFUNCTION("IMPORTRANGE(H35921,""IDENTITAS UNIT!D9"")"),"#N/A")</f>
        <v>#N/A</v>
      </c>
      <c r="H35921" s="4" t="str">
        <v/>
      </c>
      <c r="I35921" s="4" t="str">
        <v/>
      </c>
    </row>
    <row r="35922" spans="5:9" ht="16.5" hidden="1">
      <c r="E35922" s="4" t="str">
        <v/>
      </c>
      <c r="F35922" s="102" t="str">
        <f ca="1">IFERROR(__xludf.DUMMYFUNCTION("IMPORTRANGE(H35922,""IDENTITAS UNIT!D9"")"),"#N/A")</f>
        <v>#N/A</v>
      </c>
      <c r="H35922" s="4" t="str">
        <v/>
      </c>
      <c r="I35922" s="4" t="str">
        <v/>
      </c>
    </row>
    <row r="35923" spans="5:9" ht="16.5" hidden="1">
      <c r="E35923" s="4" t="str">
        <v/>
      </c>
      <c r="F35923" s="102" t="str">
        <f ca="1">IFERROR(__xludf.DUMMYFUNCTION("IMPORTRANGE(H35923,""IDENTITAS UNIT!D9"")"),"#N/A")</f>
        <v>#N/A</v>
      </c>
      <c r="H35923" s="4" t="str">
        <v/>
      </c>
      <c r="I35923" s="4" t="str">
        <v/>
      </c>
    </row>
    <row r="35924" spans="5:9" ht="16.5" hidden="1">
      <c r="E35924" s="4" t="str">
        <v/>
      </c>
      <c r="F35924" s="102" t="str">
        <f ca="1">IFERROR(__xludf.DUMMYFUNCTION("IMPORTRANGE(H35924,""IDENTITAS UNIT!D9"")"),"#N/A")</f>
        <v>#N/A</v>
      </c>
      <c r="H35924" s="4" t="str">
        <v/>
      </c>
      <c r="I35924" s="4" t="str">
        <v/>
      </c>
    </row>
    <row r="35925" spans="5:9" ht="16.5" hidden="1">
      <c r="E35925" s="4" t="str">
        <v/>
      </c>
      <c r="F35925" s="102" t="str">
        <f ca="1">IFERROR(__xludf.DUMMYFUNCTION("IMPORTRANGE(H35925,""IDENTITAS UNIT!D9"")"),"#N/A")</f>
        <v>#N/A</v>
      </c>
      <c r="H35925" s="4" t="str">
        <v/>
      </c>
      <c r="I35925" s="4" t="str">
        <v/>
      </c>
    </row>
    <row r="35926" spans="5:9" ht="16.5" hidden="1">
      <c r="E35926" s="4" t="str">
        <v/>
      </c>
      <c r="F35926" s="102" t="str">
        <f ca="1">IFERROR(__xludf.DUMMYFUNCTION("IMPORTRANGE(H35926,""IDENTITAS UNIT!D9"")"),"#N/A")</f>
        <v>#N/A</v>
      </c>
      <c r="H35926" s="4" t="str">
        <v/>
      </c>
      <c r="I35926" s="4" t="str">
        <v/>
      </c>
    </row>
    <row r="35927" spans="5:9" ht="16.5" hidden="1">
      <c r="E35927" s="4" t="str">
        <v/>
      </c>
      <c r="F35927" s="102" t="str">
        <f ca="1">IFERROR(__xludf.DUMMYFUNCTION("IMPORTRANGE(H35927,""IDENTITAS UNIT!D9"")"),"#N/A")</f>
        <v>#N/A</v>
      </c>
      <c r="H35927" s="4" t="str">
        <v/>
      </c>
      <c r="I35927" s="4" t="str">
        <v/>
      </c>
    </row>
    <row r="35928" spans="5:9" ht="16.5" hidden="1">
      <c r="E35928" s="4" t="str">
        <v/>
      </c>
      <c r="F35928" s="102" t="str">
        <f ca="1">IFERROR(__xludf.DUMMYFUNCTION("IMPORTRANGE(H35928,""IDENTITAS UNIT!D9"")"),"#N/A")</f>
        <v>#N/A</v>
      </c>
      <c r="H35928" s="4" t="str">
        <v/>
      </c>
      <c r="I35928" s="4" t="str">
        <v/>
      </c>
    </row>
    <row r="35929" spans="5:9" ht="16.5" hidden="1">
      <c r="E35929" s="4" t="str">
        <v/>
      </c>
      <c r="F35929" s="102" t="str">
        <f ca="1">IFERROR(__xludf.DUMMYFUNCTION("IMPORTRANGE(H35929,""IDENTITAS UNIT!D9"")"),"#N/A")</f>
        <v>#N/A</v>
      </c>
      <c r="H35929" s="4" t="str">
        <v/>
      </c>
      <c r="I35929" s="4" t="str">
        <v/>
      </c>
    </row>
    <row r="35930" spans="5:9" ht="16.5" hidden="1">
      <c r="E35930" s="4" t="str">
        <v/>
      </c>
      <c r="F35930" s="102" t="str">
        <f ca="1">IFERROR(__xludf.DUMMYFUNCTION("IMPORTRANGE(H35930,""IDENTITAS UNIT!D9"")"),"#N/A")</f>
        <v>#N/A</v>
      </c>
      <c r="H35930" s="4" t="str">
        <v/>
      </c>
      <c r="I35930" s="4" t="str">
        <v/>
      </c>
    </row>
    <row r="35931" spans="5:9" ht="16.5" hidden="1">
      <c r="E35931" s="4" t="str">
        <v/>
      </c>
      <c r="F35931" s="102" t="str">
        <f ca="1">IFERROR(__xludf.DUMMYFUNCTION("IMPORTRANGE(H35931,""IDENTITAS UNIT!D9"")"),"#N/A")</f>
        <v>#N/A</v>
      </c>
      <c r="H35931" s="4" t="str">
        <v/>
      </c>
      <c r="I35931" s="4" t="str">
        <v/>
      </c>
    </row>
    <row r="35932" spans="5:9" ht="16.5" hidden="1">
      <c r="E35932" s="4" t="str">
        <v/>
      </c>
      <c r="F35932" s="102" t="str">
        <f ca="1">IFERROR(__xludf.DUMMYFUNCTION("IMPORTRANGE(H35932,""IDENTITAS UNIT!D9"")"),"#N/A")</f>
        <v>#N/A</v>
      </c>
      <c r="H35932" s="4" t="str">
        <v/>
      </c>
      <c r="I35932" s="4" t="str">
        <v/>
      </c>
    </row>
    <row r="35933" spans="5:9" ht="16.5" hidden="1">
      <c r="E35933" s="4" t="str">
        <v/>
      </c>
      <c r="F35933" s="102" t="str">
        <f ca="1">IFERROR(__xludf.DUMMYFUNCTION("IMPORTRANGE(H35933,""IDENTITAS UNIT!D9"")"),"#N/A")</f>
        <v>#N/A</v>
      </c>
      <c r="H35933" s="4" t="str">
        <v/>
      </c>
      <c r="I35933" s="4" t="str">
        <v/>
      </c>
    </row>
    <row r="35934" spans="5:9" ht="16.5" hidden="1">
      <c r="E35934" s="4" t="str">
        <v/>
      </c>
      <c r="F35934" s="102" t="str">
        <f ca="1">IFERROR(__xludf.DUMMYFUNCTION("IMPORTRANGE(H35934,""IDENTITAS UNIT!D9"")"),"#N/A")</f>
        <v>#N/A</v>
      </c>
      <c r="H35934" s="4" t="str">
        <v/>
      </c>
      <c r="I35934" s="4" t="str">
        <v/>
      </c>
    </row>
    <row r="35935" spans="5:9" ht="16.5" hidden="1">
      <c r="E35935" s="4" t="str">
        <v/>
      </c>
      <c r="F35935" s="102" t="str">
        <f ca="1">IFERROR(__xludf.DUMMYFUNCTION("IMPORTRANGE(H35935,""IDENTITAS UNIT!D9"")"),"#N/A")</f>
        <v>#N/A</v>
      </c>
      <c r="H35935" s="4" t="str">
        <v/>
      </c>
      <c r="I35935" s="4" t="str">
        <v/>
      </c>
    </row>
    <row r="35936" spans="5:9" ht="16.5" hidden="1">
      <c r="E35936" s="4" t="str">
        <v/>
      </c>
      <c r="F35936" s="102" t="str">
        <f ca="1">IFERROR(__xludf.DUMMYFUNCTION("IMPORTRANGE(H35936,""IDENTITAS UNIT!D9"")"),"#N/A")</f>
        <v>#N/A</v>
      </c>
      <c r="H35936" s="4" t="str">
        <v/>
      </c>
      <c r="I35936" s="4" t="str">
        <v/>
      </c>
    </row>
    <row r="35937" spans="5:9" ht="16.5" hidden="1">
      <c r="E35937" s="4" t="str">
        <v/>
      </c>
      <c r="F35937" s="102" t="str">
        <f ca="1">IFERROR(__xludf.DUMMYFUNCTION("IMPORTRANGE(H35937,""IDENTITAS UNIT!D9"")"),"#N/A")</f>
        <v>#N/A</v>
      </c>
      <c r="H35937" s="4" t="str">
        <v/>
      </c>
      <c r="I35937" s="4" t="str">
        <v/>
      </c>
    </row>
    <row r="35938" spans="5:9" ht="16.5" hidden="1">
      <c r="E35938" s="4" t="str">
        <v/>
      </c>
      <c r="F35938" s="102" t="str">
        <f ca="1">IFERROR(__xludf.DUMMYFUNCTION("IMPORTRANGE(H35938,""IDENTITAS UNIT!D9"")"),"#N/A")</f>
        <v>#N/A</v>
      </c>
      <c r="H35938" s="4" t="str">
        <v/>
      </c>
      <c r="I35938" s="4" t="str">
        <v/>
      </c>
    </row>
    <row r="35939" spans="5:9" ht="16.5" hidden="1">
      <c r="E35939" s="4" t="str">
        <v/>
      </c>
      <c r="F35939" s="102" t="str">
        <f ca="1">IFERROR(__xludf.DUMMYFUNCTION("IMPORTRANGE(H35939,""IDENTITAS UNIT!D9"")"),"#N/A")</f>
        <v>#N/A</v>
      </c>
      <c r="H35939" s="4" t="str">
        <v/>
      </c>
      <c r="I35939" s="4" t="str">
        <v/>
      </c>
    </row>
    <row r="35940" spans="5:9" ht="16.5" hidden="1">
      <c r="E35940" s="4" t="str">
        <v/>
      </c>
      <c r="F35940" s="102" t="str">
        <f ca="1">IFERROR(__xludf.DUMMYFUNCTION("IMPORTRANGE(H35940,""IDENTITAS UNIT!D9"")"),"#N/A")</f>
        <v>#N/A</v>
      </c>
      <c r="H35940" s="4" t="str">
        <v/>
      </c>
      <c r="I35940" s="4" t="str">
        <v/>
      </c>
    </row>
    <row r="35941" spans="5:9" ht="16.5" hidden="1">
      <c r="E35941" s="4" t="str">
        <v/>
      </c>
      <c r="F35941" s="102" t="str">
        <f ca="1">IFERROR(__xludf.DUMMYFUNCTION("IMPORTRANGE(H35941,""IDENTITAS UNIT!D9"")"),"#N/A")</f>
        <v>#N/A</v>
      </c>
      <c r="H35941" s="4" t="str">
        <v/>
      </c>
      <c r="I35941" s="4" t="str">
        <v/>
      </c>
    </row>
    <row r="35942" spans="5:9" ht="16.5" hidden="1">
      <c r="E35942" s="4" t="str">
        <v/>
      </c>
      <c r="F35942" s="102" t="str">
        <f ca="1">IFERROR(__xludf.DUMMYFUNCTION("IMPORTRANGE(H35942,""IDENTITAS UNIT!D9"")"),"#N/A")</f>
        <v>#N/A</v>
      </c>
      <c r="H35942" s="4" t="str">
        <v/>
      </c>
      <c r="I35942" s="4" t="str">
        <v/>
      </c>
    </row>
    <row r="35943" spans="5:9" ht="16.5" hidden="1">
      <c r="E35943" s="4" t="str">
        <v/>
      </c>
      <c r="F35943" s="102" t="str">
        <f ca="1">IFERROR(__xludf.DUMMYFUNCTION("IMPORTRANGE(H35943,""IDENTITAS UNIT!D9"")"),"#N/A")</f>
        <v>#N/A</v>
      </c>
      <c r="H35943" s="4" t="str">
        <v/>
      </c>
      <c r="I35943" s="4" t="str">
        <v/>
      </c>
    </row>
    <row r="35944" spans="5:9" ht="16.5" hidden="1">
      <c r="E35944" s="4" t="str">
        <v/>
      </c>
      <c r="F35944" s="102" t="str">
        <f ca="1">IFERROR(__xludf.DUMMYFUNCTION("IMPORTRANGE(H35944,""IDENTITAS UNIT!D9"")"),"#N/A")</f>
        <v>#N/A</v>
      </c>
      <c r="H35944" s="4" t="str">
        <v/>
      </c>
      <c r="I35944" s="4" t="str">
        <v/>
      </c>
    </row>
    <row r="35945" spans="5:9" ht="16.5" hidden="1">
      <c r="E35945" s="4" t="str">
        <v/>
      </c>
      <c r="F35945" s="102" t="str">
        <f ca="1">IFERROR(__xludf.DUMMYFUNCTION("IMPORTRANGE(H35945,""IDENTITAS UNIT!D9"")"),"#N/A")</f>
        <v>#N/A</v>
      </c>
      <c r="H35945" s="4" t="str">
        <v/>
      </c>
      <c r="I35945" s="4" t="str">
        <v/>
      </c>
    </row>
    <row r="35946" spans="5:9" ht="16.5" hidden="1">
      <c r="E35946" s="4" t="str">
        <v/>
      </c>
      <c r="F35946" s="102" t="str">
        <f ca="1">IFERROR(__xludf.DUMMYFUNCTION("IMPORTRANGE(H35946,""IDENTITAS UNIT!D9"")"),"#N/A")</f>
        <v>#N/A</v>
      </c>
      <c r="H35946" s="4" t="str">
        <v/>
      </c>
      <c r="I35946" s="4" t="str">
        <v/>
      </c>
    </row>
    <row r="35947" spans="5:9" ht="16.5" hidden="1">
      <c r="E35947" s="4" t="str">
        <v/>
      </c>
      <c r="F35947" s="102" t="str">
        <f ca="1">IFERROR(__xludf.DUMMYFUNCTION("IMPORTRANGE(H35947,""IDENTITAS UNIT!D9"")"),"#N/A")</f>
        <v>#N/A</v>
      </c>
      <c r="H35947" s="4" t="str">
        <v/>
      </c>
      <c r="I35947" s="4" t="str">
        <v/>
      </c>
    </row>
    <row r="35948" spans="5:9" ht="16.5" hidden="1">
      <c r="E35948" s="4" t="str">
        <v/>
      </c>
      <c r="F35948" s="102" t="str">
        <f ca="1">IFERROR(__xludf.DUMMYFUNCTION("IMPORTRANGE(H35948,""IDENTITAS UNIT!D9"")"),"#N/A")</f>
        <v>#N/A</v>
      </c>
      <c r="H35948" s="4" t="str">
        <v/>
      </c>
      <c r="I35948" s="4" t="str">
        <v/>
      </c>
    </row>
    <row r="35949" spans="5:9" ht="16.5" hidden="1">
      <c r="E35949" s="4" t="str">
        <v/>
      </c>
      <c r="F35949" s="102" t="str">
        <f ca="1">IFERROR(__xludf.DUMMYFUNCTION("IMPORTRANGE(H35949,""IDENTITAS UNIT!D9"")"),"#N/A")</f>
        <v>#N/A</v>
      </c>
      <c r="H35949" s="4" t="str">
        <v/>
      </c>
      <c r="I35949" s="4" t="str">
        <v/>
      </c>
    </row>
    <row r="35950" spans="5:9" ht="16.5" hidden="1">
      <c r="E35950" s="4" t="str">
        <v/>
      </c>
      <c r="F35950" s="102" t="str">
        <f ca="1">IFERROR(__xludf.DUMMYFUNCTION("IMPORTRANGE(H35950,""IDENTITAS UNIT!D9"")"),"#N/A")</f>
        <v>#N/A</v>
      </c>
      <c r="H35950" s="4" t="str">
        <v/>
      </c>
      <c r="I35950" s="4" t="str">
        <v/>
      </c>
    </row>
    <row r="35951" spans="5:9" ht="16.5" hidden="1">
      <c r="E35951" s="4" t="str">
        <v/>
      </c>
      <c r="F35951" s="102" t="str">
        <f ca="1">IFERROR(__xludf.DUMMYFUNCTION("IMPORTRANGE(H35951,""IDENTITAS UNIT!D9"")"),"#N/A")</f>
        <v>#N/A</v>
      </c>
      <c r="H35951" s="4" t="str">
        <v/>
      </c>
      <c r="I35951" s="4" t="str">
        <v/>
      </c>
    </row>
    <row r="35952" spans="5:9" ht="16.5" hidden="1">
      <c r="E35952" s="4" t="str">
        <v/>
      </c>
      <c r="F35952" s="102" t="str">
        <f ca="1">IFERROR(__xludf.DUMMYFUNCTION("IMPORTRANGE(H35952,""IDENTITAS UNIT!D9"")"),"#N/A")</f>
        <v>#N/A</v>
      </c>
      <c r="H35952" s="4" t="str">
        <v/>
      </c>
      <c r="I35952" s="4" t="str">
        <v/>
      </c>
    </row>
    <row r="35953" spans="5:9" ht="16.5" hidden="1">
      <c r="E35953" s="4" t="str">
        <v/>
      </c>
      <c r="F35953" s="102" t="str">
        <f ca="1">IFERROR(__xludf.DUMMYFUNCTION("IMPORTRANGE(H35953,""IDENTITAS UNIT!D9"")"),"#N/A")</f>
        <v>#N/A</v>
      </c>
      <c r="H35953" s="4" t="str">
        <v/>
      </c>
      <c r="I35953" s="4" t="str">
        <v/>
      </c>
    </row>
    <row r="35954" spans="5:9" ht="16.5" hidden="1">
      <c r="E35954" s="4" t="str">
        <v/>
      </c>
      <c r="F35954" s="102" t="str">
        <f ca="1">IFERROR(__xludf.DUMMYFUNCTION("IMPORTRANGE(H35954,""IDENTITAS UNIT!D9"")"),"#N/A")</f>
        <v>#N/A</v>
      </c>
      <c r="H35954" s="4" t="str">
        <v/>
      </c>
      <c r="I35954" s="4" t="str">
        <v/>
      </c>
    </row>
    <row r="35955" spans="5:9" ht="16.5" hidden="1">
      <c r="E35955" s="4" t="str">
        <v/>
      </c>
      <c r="F35955" s="102" t="str">
        <f ca="1">IFERROR(__xludf.DUMMYFUNCTION("IMPORTRANGE(H35955,""IDENTITAS UNIT!D9"")"),"#N/A")</f>
        <v>#N/A</v>
      </c>
      <c r="H35955" s="4" t="str">
        <v/>
      </c>
      <c r="I35955" s="4" t="str">
        <v/>
      </c>
    </row>
    <row r="35956" spans="5:9" ht="16.5" hidden="1">
      <c r="E35956" s="4" t="str">
        <v/>
      </c>
      <c r="F35956" s="102" t="str">
        <f ca="1">IFERROR(__xludf.DUMMYFUNCTION("IMPORTRANGE(H35956,""IDENTITAS UNIT!D9"")"),"#N/A")</f>
        <v>#N/A</v>
      </c>
      <c r="H35956" s="4" t="str">
        <v/>
      </c>
      <c r="I35956" s="4" t="str">
        <v/>
      </c>
    </row>
    <row r="35957" spans="5:9" ht="16.5" hidden="1">
      <c r="E35957" s="4" t="str">
        <v/>
      </c>
      <c r="F35957" s="102" t="str">
        <f ca="1">IFERROR(__xludf.DUMMYFUNCTION("IMPORTRANGE(H35957,""IDENTITAS UNIT!D9"")"),"#N/A")</f>
        <v>#N/A</v>
      </c>
      <c r="H35957" s="4" t="str">
        <v/>
      </c>
      <c r="I35957" s="4" t="str">
        <v/>
      </c>
    </row>
    <row r="35958" spans="5:9" ht="16.5" hidden="1">
      <c r="E35958" s="4" t="str">
        <v/>
      </c>
      <c r="F35958" s="102" t="str">
        <f ca="1">IFERROR(__xludf.DUMMYFUNCTION("IMPORTRANGE(H35958,""IDENTITAS UNIT!D9"")"),"#N/A")</f>
        <v>#N/A</v>
      </c>
      <c r="H35958" s="4" t="str">
        <v/>
      </c>
      <c r="I35958" s="4" t="str">
        <v/>
      </c>
    </row>
    <row r="35959" spans="5:9" ht="16.5" hidden="1">
      <c r="E35959" s="4" t="str">
        <v/>
      </c>
      <c r="F35959" s="102" t="str">
        <f ca="1">IFERROR(__xludf.DUMMYFUNCTION("IMPORTRANGE(H35959,""IDENTITAS UNIT!D9"")"),"#N/A")</f>
        <v>#N/A</v>
      </c>
      <c r="H35959" s="4" t="str">
        <v/>
      </c>
      <c r="I35959" s="4" t="str">
        <v/>
      </c>
    </row>
    <row r="35960" spans="5:9" ht="16.5" hidden="1">
      <c r="E35960" s="4" t="str">
        <v/>
      </c>
      <c r="F35960" s="102" t="str">
        <f ca="1">IFERROR(__xludf.DUMMYFUNCTION("IMPORTRANGE(H35960,""IDENTITAS UNIT!D9"")"),"#N/A")</f>
        <v>#N/A</v>
      </c>
      <c r="H35960" s="4" t="str">
        <v/>
      </c>
      <c r="I35960" s="4" t="str">
        <v/>
      </c>
    </row>
    <row r="35961" spans="5:9" ht="16.5" hidden="1">
      <c r="E35961" s="4" t="str">
        <v/>
      </c>
      <c r="F35961" s="102" t="str">
        <f ca="1">IFERROR(__xludf.DUMMYFUNCTION("IMPORTRANGE(H35961,""IDENTITAS UNIT!D9"")"),"#N/A")</f>
        <v>#N/A</v>
      </c>
      <c r="H35961" s="4" t="str">
        <v/>
      </c>
      <c r="I35961" s="4" t="str">
        <v/>
      </c>
    </row>
    <row r="35962" spans="5:9" ht="16.5" hidden="1">
      <c r="E35962" s="4" t="str">
        <v/>
      </c>
      <c r="F35962" s="102" t="str">
        <f ca="1">IFERROR(__xludf.DUMMYFUNCTION("IMPORTRANGE(H35962,""IDENTITAS UNIT!D9"")"),"#N/A")</f>
        <v>#N/A</v>
      </c>
      <c r="H35962" s="4" t="str">
        <v/>
      </c>
      <c r="I35962" s="4" t="str">
        <v/>
      </c>
    </row>
    <row r="35963" spans="5:9" ht="16.5" hidden="1">
      <c r="E35963" s="4" t="str">
        <v/>
      </c>
      <c r="F35963" s="102" t="str">
        <f ca="1">IFERROR(__xludf.DUMMYFUNCTION("IMPORTRANGE(H35963,""IDENTITAS UNIT!D9"")"),"#N/A")</f>
        <v>#N/A</v>
      </c>
      <c r="H35963" s="4" t="str">
        <v/>
      </c>
      <c r="I35963" s="4" t="str">
        <v/>
      </c>
    </row>
    <row r="35964" spans="5:9" ht="16.5" hidden="1">
      <c r="E35964" s="4" t="str">
        <v/>
      </c>
      <c r="F35964" s="102" t="str">
        <f ca="1">IFERROR(__xludf.DUMMYFUNCTION("IMPORTRANGE(H35964,""IDENTITAS UNIT!D9"")"),"#N/A")</f>
        <v>#N/A</v>
      </c>
      <c r="H35964" s="4" t="str">
        <v/>
      </c>
      <c r="I35964" s="4" t="str">
        <v/>
      </c>
    </row>
    <row r="35965" spans="5:9" ht="16.5" hidden="1">
      <c r="E35965" s="4" t="str">
        <v/>
      </c>
      <c r="F35965" s="102" t="str">
        <f ca="1">IFERROR(__xludf.DUMMYFUNCTION("IMPORTRANGE(H35965,""IDENTITAS UNIT!D9"")"),"#N/A")</f>
        <v>#N/A</v>
      </c>
      <c r="H35965" s="4" t="str">
        <v/>
      </c>
      <c r="I35965" s="4" t="str">
        <v/>
      </c>
    </row>
    <row r="35966" spans="5:9" ht="16.5" hidden="1">
      <c r="E35966" s="4" t="str">
        <v/>
      </c>
      <c r="F35966" s="102" t="str">
        <f ca="1">IFERROR(__xludf.DUMMYFUNCTION("IMPORTRANGE(H35966,""IDENTITAS UNIT!D9"")"),"#N/A")</f>
        <v>#N/A</v>
      </c>
      <c r="H35966" s="4" t="str">
        <v/>
      </c>
      <c r="I35966" s="4" t="str">
        <v/>
      </c>
    </row>
    <row r="35967" spans="5:9" ht="16.5" hidden="1">
      <c r="E35967" s="4" t="str">
        <v/>
      </c>
      <c r="F35967" s="102" t="str">
        <f ca="1">IFERROR(__xludf.DUMMYFUNCTION("IMPORTRANGE(H35967,""IDENTITAS UNIT!D9"")"),"#N/A")</f>
        <v>#N/A</v>
      </c>
      <c r="H35967" s="4" t="str">
        <v/>
      </c>
      <c r="I35967" s="4" t="str">
        <v/>
      </c>
    </row>
    <row r="35968" spans="5:9" ht="16.5" hidden="1">
      <c r="E35968" s="4" t="str">
        <v/>
      </c>
      <c r="F35968" s="102" t="str">
        <f ca="1">IFERROR(__xludf.DUMMYFUNCTION("IMPORTRANGE(H35968,""IDENTITAS UNIT!D9"")"),"#N/A")</f>
        <v>#N/A</v>
      </c>
      <c r="H35968" s="4" t="str">
        <v/>
      </c>
      <c r="I35968" s="4" t="str">
        <v/>
      </c>
    </row>
    <row r="35969" spans="5:9" ht="16.5" hidden="1">
      <c r="E35969" s="4" t="str">
        <v/>
      </c>
      <c r="F35969" s="102" t="str">
        <f ca="1">IFERROR(__xludf.DUMMYFUNCTION("IMPORTRANGE(H35969,""IDENTITAS UNIT!D9"")"),"#N/A")</f>
        <v>#N/A</v>
      </c>
      <c r="H35969" s="4" t="str">
        <v/>
      </c>
      <c r="I35969" s="4" t="str">
        <v/>
      </c>
    </row>
    <row r="35970" spans="5:9" ht="16.5" hidden="1">
      <c r="E35970" s="4" t="str">
        <v/>
      </c>
      <c r="F35970" s="102" t="str">
        <f ca="1">IFERROR(__xludf.DUMMYFUNCTION("IMPORTRANGE(H35970,""IDENTITAS UNIT!D9"")"),"#N/A")</f>
        <v>#N/A</v>
      </c>
      <c r="H35970" s="4" t="str">
        <v/>
      </c>
      <c r="I35970" s="4" t="str">
        <v/>
      </c>
    </row>
    <row r="35971" spans="5:9" ht="16.5" hidden="1">
      <c r="E35971" s="4" t="str">
        <v/>
      </c>
      <c r="F35971" s="102" t="str">
        <f ca="1">IFERROR(__xludf.DUMMYFUNCTION("IMPORTRANGE(H35971,""IDENTITAS UNIT!D9"")"),"#N/A")</f>
        <v>#N/A</v>
      </c>
      <c r="H35971" s="4" t="str">
        <v/>
      </c>
      <c r="I35971" s="4" t="str">
        <v/>
      </c>
    </row>
    <row r="35972" spans="5:9" ht="16.5" hidden="1">
      <c r="E35972" s="4" t="str">
        <v/>
      </c>
      <c r="F35972" s="102" t="str">
        <f ca="1">IFERROR(__xludf.DUMMYFUNCTION("IMPORTRANGE(H35972,""IDENTITAS UNIT!D9"")"),"#N/A")</f>
        <v>#N/A</v>
      </c>
      <c r="H35972" s="4" t="str">
        <v/>
      </c>
      <c r="I35972" s="4" t="str">
        <v/>
      </c>
    </row>
    <row r="35973" spans="5:9" ht="16.5" hidden="1">
      <c r="E35973" s="4" t="str">
        <v/>
      </c>
      <c r="F35973" s="102" t="str">
        <f ca="1">IFERROR(__xludf.DUMMYFUNCTION("IMPORTRANGE(H35973,""IDENTITAS UNIT!D9"")"),"#N/A")</f>
        <v>#N/A</v>
      </c>
      <c r="H35973" s="4" t="str">
        <v/>
      </c>
      <c r="I35973" s="4" t="str">
        <v/>
      </c>
    </row>
    <row r="35974" spans="5:9" ht="16.5" hidden="1">
      <c r="E35974" s="4" t="str">
        <v/>
      </c>
      <c r="F35974" s="102" t="str">
        <f ca="1">IFERROR(__xludf.DUMMYFUNCTION("IMPORTRANGE(H35974,""IDENTITAS UNIT!D9"")"),"#N/A")</f>
        <v>#N/A</v>
      </c>
      <c r="H35974" s="4" t="str">
        <v/>
      </c>
      <c r="I35974" s="4" t="str">
        <v/>
      </c>
    </row>
    <row r="35975" spans="5:9" ht="16.5" hidden="1">
      <c r="E35975" s="4" t="str">
        <v/>
      </c>
      <c r="F35975" s="102" t="str">
        <f ca="1">IFERROR(__xludf.DUMMYFUNCTION("IMPORTRANGE(H35975,""IDENTITAS UNIT!D9"")"),"#N/A")</f>
        <v>#N/A</v>
      </c>
      <c r="H35975" s="4" t="str">
        <v/>
      </c>
      <c r="I35975" s="4" t="str">
        <v/>
      </c>
    </row>
    <row r="35976" spans="5:9" ht="16.5" hidden="1">
      <c r="E35976" s="4" t="str">
        <v/>
      </c>
      <c r="F35976" s="102" t="str">
        <f ca="1">IFERROR(__xludf.DUMMYFUNCTION("IMPORTRANGE(H35976,""IDENTITAS UNIT!D9"")"),"#N/A")</f>
        <v>#N/A</v>
      </c>
      <c r="H35976" s="4" t="str">
        <v/>
      </c>
      <c r="I35976" s="4" t="str">
        <v/>
      </c>
    </row>
    <row r="35977" spans="5:9" ht="16.5" hidden="1">
      <c r="E35977" s="4" t="str">
        <v/>
      </c>
      <c r="F35977" s="102" t="str">
        <f ca="1">IFERROR(__xludf.DUMMYFUNCTION("IMPORTRANGE(H35977,""IDENTITAS UNIT!D9"")"),"#N/A")</f>
        <v>#N/A</v>
      </c>
      <c r="H35977" s="4" t="str">
        <v/>
      </c>
      <c r="I35977" s="4" t="str">
        <v/>
      </c>
    </row>
    <row r="35978" spans="5:9" ht="16.5" hidden="1">
      <c r="E35978" s="4" t="str">
        <v/>
      </c>
      <c r="F35978" s="102" t="str">
        <f ca="1">IFERROR(__xludf.DUMMYFUNCTION("IMPORTRANGE(H35978,""IDENTITAS UNIT!D9"")"),"#N/A")</f>
        <v>#N/A</v>
      </c>
      <c r="H35978" s="4" t="str">
        <v/>
      </c>
      <c r="I35978" s="4" t="str">
        <v/>
      </c>
    </row>
    <row r="35979" spans="5:9" ht="16.5" hidden="1">
      <c r="E35979" s="4" t="str">
        <v/>
      </c>
      <c r="F35979" s="102" t="str">
        <f ca="1">IFERROR(__xludf.DUMMYFUNCTION("IMPORTRANGE(H35979,""IDENTITAS UNIT!D9"")"),"#N/A")</f>
        <v>#N/A</v>
      </c>
      <c r="H35979" s="4" t="str">
        <v/>
      </c>
      <c r="I35979" s="4" t="str">
        <v/>
      </c>
    </row>
    <row r="35980" spans="5:9" ht="16.5" hidden="1">
      <c r="E35980" s="4" t="str">
        <v/>
      </c>
      <c r="F35980" s="102" t="str">
        <f ca="1">IFERROR(__xludf.DUMMYFUNCTION("IMPORTRANGE(H35980,""IDENTITAS UNIT!D9"")"),"#N/A")</f>
        <v>#N/A</v>
      </c>
      <c r="H35980" s="4" t="str">
        <v/>
      </c>
      <c r="I35980" s="4" t="str">
        <v/>
      </c>
    </row>
    <row r="35981" spans="5:9" ht="16.5" hidden="1">
      <c r="E35981" s="4" t="str">
        <v/>
      </c>
      <c r="F35981" s="102" t="str">
        <f ca="1">IFERROR(__xludf.DUMMYFUNCTION("IMPORTRANGE(H35981,""IDENTITAS UNIT!D9"")"),"#N/A")</f>
        <v>#N/A</v>
      </c>
      <c r="H35981" s="4" t="str">
        <v/>
      </c>
      <c r="I35981" s="4" t="str">
        <v/>
      </c>
    </row>
    <row r="35982" spans="5:9" ht="16.5" hidden="1">
      <c r="E35982" s="4" t="str">
        <v/>
      </c>
      <c r="F35982" s="102" t="str">
        <f ca="1">IFERROR(__xludf.DUMMYFUNCTION("IMPORTRANGE(H35982,""IDENTITAS UNIT!D9"")"),"#N/A")</f>
        <v>#N/A</v>
      </c>
      <c r="H35982" s="4" t="str">
        <v/>
      </c>
      <c r="I35982" s="4" t="str">
        <v/>
      </c>
    </row>
    <row r="35983" spans="5:9" ht="16.5" hidden="1">
      <c r="E35983" s="4" t="str">
        <v/>
      </c>
      <c r="F35983" s="102" t="str">
        <f ca="1">IFERROR(__xludf.DUMMYFUNCTION("IMPORTRANGE(H35983,""IDENTITAS UNIT!D9"")"),"#N/A")</f>
        <v>#N/A</v>
      </c>
      <c r="H35983" s="4" t="str">
        <v/>
      </c>
      <c r="I35983" s="4" t="str">
        <v/>
      </c>
    </row>
    <row r="35984" spans="5:9" ht="16.5" hidden="1">
      <c r="E35984" s="4" t="str">
        <v/>
      </c>
      <c r="F35984" s="102" t="str">
        <f ca="1">IFERROR(__xludf.DUMMYFUNCTION("IMPORTRANGE(H35984,""IDENTITAS UNIT!D9"")"),"#N/A")</f>
        <v>#N/A</v>
      </c>
      <c r="H35984" s="4" t="str">
        <v/>
      </c>
      <c r="I35984" s="4" t="str">
        <v/>
      </c>
    </row>
    <row r="35985" spans="5:9" ht="16.5" hidden="1">
      <c r="E35985" s="4" t="str">
        <v/>
      </c>
      <c r="F35985" s="102" t="str">
        <f ca="1">IFERROR(__xludf.DUMMYFUNCTION("IMPORTRANGE(H35985,""IDENTITAS UNIT!D9"")"),"#N/A")</f>
        <v>#N/A</v>
      </c>
      <c r="H35985" s="4" t="str">
        <v/>
      </c>
      <c r="I35985" s="4" t="str">
        <v/>
      </c>
    </row>
    <row r="35986" spans="5:9" ht="16.5" hidden="1">
      <c r="E35986" s="4" t="str">
        <v/>
      </c>
      <c r="F35986" s="102" t="str">
        <f ca="1">IFERROR(__xludf.DUMMYFUNCTION("IMPORTRANGE(H35986,""IDENTITAS UNIT!D9"")"),"#N/A")</f>
        <v>#N/A</v>
      </c>
      <c r="H35986" s="4" t="str">
        <v/>
      </c>
      <c r="I35986" s="4" t="str">
        <v/>
      </c>
    </row>
    <row r="35987" spans="5:9" ht="16.5" hidden="1">
      <c r="E35987" s="4" t="str">
        <v/>
      </c>
      <c r="F35987" s="102" t="str">
        <f ca="1">IFERROR(__xludf.DUMMYFUNCTION("IMPORTRANGE(H35987,""IDENTITAS UNIT!D9"")"),"#N/A")</f>
        <v>#N/A</v>
      </c>
      <c r="H35987" s="4" t="str">
        <v/>
      </c>
      <c r="I35987" s="4" t="str">
        <v/>
      </c>
    </row>
    <row r="35988" spans="5:9" ht="16.5" hidden="1">
      <c r="E35988" s="4" t="str">
        <v/>
      </c>
      <c r="F35988" s="102" t="str">
        <f ca="1">IFERROR(__xludf.DUMMYFUNCTION("IMPORTRANGE(H35988,""IDENTITAS UNIT!D9"")"),"#N/A")</f>
        <v>#N/A</v>
      </c>
      <c r="H35988" s="4" t="str">
        <v/>
      </c>
      <c r="I35988" s="4" t="str">
        <v/>
      </c>
    </row>
    <row r="35989" spans="5:9" ht="16.5" hidden="1">
      <c r="E35989" s="4" t="str">
        <v/>
      </c>
      <c r="F35989" s="102" t="str">
        <f ca="1">IFERROR(__xludf.DUMMYFUNCTION("IMPORTRANGE(H35989,""IDENTITAS UNIT!D9"")"),"#N/A")</f>
        <v>#N/A</v>
      </c>
      <c r="H35989" s="4" t="str">
        <v/>
      </c>
      <c r="I35989" s="4" t="str">
        <v/>
      </c>
    </row>
    <row r="35990" spans="5:9" ht="16.5" hidden="1">
      <c r="E35990" s="4" t="str">
        <v/>
      </c>
      <c r="F35990" s="102" t="str">
        <f ca="1">IFERROR(__xludf.DUMMYFUNCTION("IMPORTRANGE(H35990,""IDENTITAS UNIT!D9"")"),"#N/A")</f>
        <v>#N/A</v>
      </c>
      <c r="H35990" s="4" t="str">
        <v/>
      </c>
      <c r="I35990" s="4" t="str">
        <v/>
      </c>
    </row>
    <row r="35991" spans="5:9" ht="16.5" hidden="1">
      <c r="E35991" s="4" t="str">
        <v/>
      </c>
      <c r="F35991" s="102" t="str">
        <f ca="1">IFERROR(__xludf.DUMMYFUNCTION("IMPORTRANGE(H35991,""IDENTITAS UNIT!D9"")"),"#N/A")</f>
        <v>#N/A</v>
      </c>
      <c r="H35991" s="4" t="str">
        <v/>
      </c>
      <c r="I35991" s="4" t="str">
        <v/>
      </c>
    </row>
    <row r="35992" spans="5:9" ht="16.5" hidden="1">
      <c r="E35992" s="4" t="str">
        <v/>
      </c>
      <c r="F35992" s="102" t="str">
        <f ca="1">IFERROR(__xludf.DUMMYFUNCTION("IMPORTRANGE(H35992,""IDENTITAS UNIT!D9"")"),"#N/A")</f>
        <v>#N/A</v>
      </c>
      <c r="H35992" s="4" t="str">
        <v/>
      </c>
      <c r="I35992" s="4" t="str">
        <v/>
      </c>
    </row>
    <row r="35993" spans="5:9" ht="16.5" hidden="1">
      <c r="E35993" s="4" t="str">
        <v/>
      </c>
      <c r="F35993" s="102" t="str">
        <f ca="1">IFERROR(__xludf.DUMMYFUNCTION("IMPORTRANGE(H35993,""IDENTITAS UNIT!D9"")"),"#N/A")</f>
        <v>#N/A</v>
      </c>
      <c r="H35993" s="4" t="str">
        <v/>
      </c>
      <c r="I35993" s="4" t="str">
        <v/>
      </c>
    </row>
    <row r="35994" spans="5:9" ht="16.5" hidden="1">
      <c r="E35994" s="4" t="str">
        <v/>
      </c>
      <c r="F35994" s="102" t="str">
        <f ca="1">IFERROR(__xludf.DUMMYFUNCTION("IMPORTRANGE(H35994,""IDENTITAS UNIT!D9"")"),"#N/A")</f>
        <v>#N/A</v>
      </c>
      <c r="H35994" s="4" t="str">
        <v/>
      </c>
      <c r="I35994" s="4" t="str">
        <v/>
      </c>
    </row>
    <row r="35995" spans="5:9" ht="16.5" hidden="1">
      <c r="E35995" s="4" t="str">
        <v/>
      </c>
      <c r="F35995" s="102" t="str">
        <f ca="1">IFERROR(__xludf.DUMMYFUNCTION("IMPORTRANGE(H35995,""IDENTITAS UNIT!D9"")"),"#N/A")</f>
        <v>#N/A</v>
      </c>
      <c r="H35995" s="4" t="str">
        <v/>
      </c>
      <c r="I35995" s="4" t="str">
        <v/>
      </c>
    </row>
    <row r="35996" spans="5:9" ht="16.5" hidden="1">
      <c r="E35996" s="4" t="str">
        <v/>
      </c>
      <c r="F35996" s="102" t="str">
        <f ca="1">IFERROR(__xludf.DUMMYFUNCTION("IMPORTRANGE(H35996,""IDENTITAS UNIT!D9"")"),"#N/A")</f>
        <v>#N/A</v>
      </c>
      <c r="H35996" s="4" t="str">
        <v/>
      </c>
      <c r="I35996" s="4" t="str">
        <v/>
      </c>
    </row>
    <row r="35997" spans="5:9" ht="16.5" hidden="1">
      <c r="E35997" s="4" t="str">
        <v/>
      </c>
      <c r="F35997" s="102" t="str">
        <f ca="1">IFERROR(__xludf.DUMMYFUNCTION("IMPORTRANGE(H35997,""IDENTITAS UNIT!D9"")"),"#N/A")</f>
        <v>#N/A</v>
      </c>
      <c r="H35997" s="4" t="str">
        <v/>
      </c>
      <c r="I35997" s="4" t="str">
        <v/>
      </c>
    </row>
    <row r="35998" spans="5:9" ht="16.5" hidden="1">
      <c r="E35998" s="4" t="str">
        <v/>
      </c>
      <c r="F35998" s="102" t="str">
        <f ca="1">IFERROR(__xludf.DUMMYFUNCTION("IMPORTRANGE(H35998,""IDENTITAS UNIT!D9"")"),"#N/A")</f>
        <v>#N/A</v>
      </c>
      <c r="H35998" s="4" t="str">
        <v/>
      </c>
      <c r="I35998" s="4" t="str">
        <v/>
      </c>
    </row>
    <row r="35999" spans="5:9" ht="16.5" hidden="1">
      <c r="E35999" s="4" t="str">
        <v/>
      </c>
      <c r="F35999" s="102" t="str">
        <f ca="1">IFERROR(__xludf.DUMMYFUNCTION("IMPORTRANGE(H35999,""IDENTITAS UNIT!D9"")"),"#N/A")</f>
        <v>#N/A</v>
      </c>
      <c r="H35999" s="4" t="str">
        <v/>
      </c>
      <c r="I35999" s="4" t="str">
        <v/>
      </c>
    </row>
    <row r="36000" spans="5:9" ht="16.5" hidden="1">
      <c r="E36000" s="4" t="str">
        <v/>
      </c>
      <c r="F36000" s="102" t="str">
        <f ca="1">IFERROR(__xludf.DUMMYFUNCTION("IMPORTRANGE(H36000,""IDENTITAS UNIT!D9"")"),"#N/A")</f>
        <v>#N/A</v>
      </c>
      <c r="H36000" s="4" t="str">
        <v/>
      </c>
      <c r="I36000" s="4" t="str">
        <v/>
      </c>
    </row>
    <row r="36001" spans="5:9" ht="16.5" hidden="1">
      <c r="E36001" s="4" t="str">
        <v/>
      </c>
      <c r="F36001" s="102" t="str">
        <f ca="1">IFERROR(__xludf.DUMMYFUNCTION("IMPORTRANGE(H36001,""IDENTITAS UNIT!D9"")"),"#N/A")</f>
        <v>#N/A</v>
      </c>
      <c r="H36001" s="4" t="str">
        <v/>
      </c>
      <c r="I36001" s="4" t="str">
        <v/>
      </c>
    </row>
    <row r="36002" spans="5:9" ht="16.5" hidden="1">
      <c r="E36002" s="4" t="str">
        <v/>
      </c>
      <c r="F36002" s="102" t="str">
        <f ca="1">IFERROR(__xludf.DUMMYFUNCTION("IMPORTRANGE(H36002,""IDENTITAS UNIT!D9"")"),"#N/A")</f>
        <v>#N/A</v>
      </c>
      <c r="H36002" s="4" t="str">
        <v/>
      </c>
      <c r="I36002" s="4" t="str">
        <v/>
      </c>
    </row>
    <row r="36003" spans="5:9" ht="16.5" hidden="1">
      <c r="E36003" s="4" t="str">
        <v/>
      </c>
      <c r="F36003" s="102" t="str">
        <f ca="1">IFERROR(__xludf.DUMMYFUNCTION("IMPORTRANGE(H36003,""IDENTITAS UNIT!D9"")"),"#N/A")</f>
        <v>#N/A</v>
      </c>
      <c r="H36003" s="4" t="str">
        <v/>
      </c>
      <c r="I36003" s="4" t="str">
        <v/>
      </c>
    </row>
    <row r="36004" spans="5:9" ht="16.5" hidden="1">
      <c r="E36004" s="4" t="str">
        <v/>
      </c>
      <c r="F36004" s="102" t="str">
        <f ca="1">IFERROR(__xludf.DUMMYFUNCTION("IMPORTRANGE(H36004,""IDENTITAS UNIT!D9"")"),"#N/A")</f>
        <v>#N/A</v>
      </c>
      <c r="H36004" s="4" t="str">
        <v/>
      </c>
      <c r="I36004" s="4" t="str">
        <v/>
      </c>
    </row>
    <row r="36005" spans="5:9" ht="16.5" hidden="1">
      <c r="E36005" s="4" t="str">
        <v/>
      </c>
      <c r="F36005" s="102" t="str">
        <f ca="1">IFERROR(__xludf.DUMMYFUNCTION("IMPORTRANGE(H36005,""IDENTITAS UNIT!D9"")"),"#N/A")</f>
        <v>#N/A</v>
      </c>
      <c r="H36005" s="4" t="str">
        <v/>
      </c>
      <c r="I36005" s="4" t="str">
        <v/>
      </c>
    </row>
    <row r="36006" spans="5:9" ht="16.5" hidden="1">
      <c r="E36006" s="4" t="str">
        <v/>
      </c>
      <c r="F36006" s="102" t="str">
        <f ca="1">IFERROR(__xludf.DUMMYFUNCTION("IMPORTRANGE(H36006,""IDENTITAS UNIT!D9"")"),"#N/A")</f>
        <v>#N/A</v>
      </c>
      <c r="H36006" s="4" t="str">
        <v/>
      </c>
      <c r="I36006" s="4" t="str">
        <v/>
      </c>
    </row>
    <row r="36007" spans="5:9" ht="16.5" hidden="1">
      <c r="E36007" s="4" t="str">
        <v/>
      </c>
      <c r="F36007" s="102" t="str">
        <f ca="1">IFERROR(__xludf.DUMMYFUNCTION("IMPORTRANGE(H36007,""IDENTITAS UNIT!D9"")"),"#N/A")</f>
        <v>#N/A</v>
      </c>
      <c r="H36007" s="4" t="str">
        <v/>
      </c>
      <c r="I36007" s="4" t="str">
        <v/>
      </c>
    </row>
    <row r="36008" spans="5:9" ht="16.5" hidden="1">
      <c r="E36008" s="4" t="str">
        <v/>
      </c>
      <c r="F36008" s="102" t="str">
        <f ca="1">IFERROR(__xludf.DUMMYFUNCTION("IMPORTRANGE(H36008,""IDENTITAS UNIT!D9"")"),"#N/A")</f>
        <v>#N/A</v>
      </c>
      <c r="H36008" s="4" t="str">
        <v/>
      </c>
      <c r="I36008" s="4" t="str">
        <v/>
      </c>
    </row>
    <row r="36009" spans="5:9" ht="16.5" hidden="1">
      <c r="E36009" s="4" t="str">
        <v/>
      </c>
      <c r="F36009" s="102" t="str">
        <f ca="1">IFERROR(__xludf.DUMMYFUNCTION("IMPORTRANGE(H36009,""IDENTITAS UNIT!D9"")"),"#N/A")</f>
        <v>#N/A</v>
      </c>
      <c r="H36009" s="4" t="str">
        <v/>
      </c>
      <c r="I36009" s="4" t="str">
        <v/>
      </c>
    </row>
    <row r="36010" spans="5:9" ht="16.5" hidden="1">
      <c r="E36010" s="4" t="str">
        <v/>
      </c>
      <c r="F36010" s="102" t="str">
        <f ca="1">IFERROR(__xludf.DUMMYFUNCTION("IMPORTRANGE(H36010,""IDENTITAS UNIT!D9"")"),"#N/A")</f>
        <v>#N/A</v>
      </c>
      <c r="H36010" s="4" t="str">
        <v/>
      </c>
      <c r="I36010" s="4" t="str">
        <v/>
      </c>
    </row>
    <row r="36011" spans="5:9" ht="16.5" hidden="1">
      <c r="E36011" s="4" t="str">
        <v/>
      </c>
      <c r="F36011" s="102" t="str">
        <f ca="1">IFERROR(__xludf.DUMMYFUNCTION("IMPORTRANGE(H36011,""IDENTITAS UNIT!D9"")"),"#N/A")</f>
        <v>#N/A</v>
      </c>
      <c r="H36011" s="4" t="str">
        <v/>
      </c>
      <c r="I36011" s="4" t="str">
        <v/>
      </c>
    </row>
    <row r="36012" spans="5:9" ht="16.5" hidden="1">
      <c r="E36012" s="4" t="str">
        <v/>
      </c>
      <c r="F36012" s="102" t="str">
        <f ca="1">IFERROR(__xludf.DUMMYFUNCTION("IMPORTRANGE(H36012,""IDENTITAS UNIT!D9"")"),"#N/A")</f>
        <v>#N/A</v>
      </c>
      <c r="H36012" s="4" t="str">
        <v/>
      </c>
      <c r="I36012" s="4" t="str">
        <v/>
      </c>
    </row>
    <row r="36013" spans="5:9" ht="16.5" hidden="1">
      <c r="E36013" s="4" t="str">
        <v/>
      </c>
      <c r="F36013" s="102" t="str">
        <f ca="1">IFERROR(__xludf.DUMMYFUNCTION("IMPORTRANGE(H36013,""IDENTITAS UNIT!D9"")"),"#N/A")</f>
        <v>#N/A</v>
      </c>
      <c r="H36013" s="4" t="str">
        <v/>
      </c>
      <c r="I36013" s="4" t="str">
        <v/>
      </c>
    </row>
    <row r="36014" spans="5:9" ht="16.5" hidden="1">
      <c r="E36014" s="4" t="str">
        <v/>
      </c>
      <c r="F36014" s="102" t="str">
        <f ca="1">IFERROR(__xludf.DUMMYFUNCTION("IMPORTRANGE(H36014,""IDENTITAS UNIT!D9"")"),"#N/A")</f>
        <v>#N/A</v>
      </c>
      <c r="H36014" s="4" t="str">
        <v/>
      </c>
      <c r="I36014" s="4" t="str">
        <v/>
      </c>
    </row>
    <row r="36015" spans="5:9" ht="16.5" hidden="1">
      <c r="E36015" s="4" t="str">
        <v/>
      </c>
      <c r="F36015" s="102" t="str">
        <f ca="1">IFERROR(__xludf.DUMMYFUNCTION("IMPORTRANGE(H36015,""IDENTITAS UNIT!D9"")"),"#N/A")</f>
        <v>#N/A</v>
      </c>
      <c r="H36015" s="4" t="str">
        <v/>
      </c>
      <c r="I36015" s="4" t="str">
        <v/>
      </c>
    </row>
    <row r="36016" spans="5:9" ht="16.5" hidden="1">
      <c r="E36016" s="4" t="str">
        <v/>
      </c>
      <c r="F36016" s="102" t="str">
        <f ca="1">IFERROR(__xludf.DUMMYFUNCTION("IMPORTRANGE(H36016,""IDENTITAS UNIT!D9"")"),"#N/A")</f>
        <v>#N/A</v>
      </c>
      <c r="H36016" s="4" t="str">
        <v/>
      </c>
      <c r="I36016" s="4" t="str">
        <v/>
      </c>
    </row>
    <row r="36017" spans="5:9" ht="16.5" hidden="1">
      <c r="E36017" s="4" t="str">
        <v/>
      </c>
      <c r="F36017" s="102" t="str">
        <f ca="1">IFERROR(__xludf.DUMMYFUNCTION("IMPORTRANGE(H36017,""IDENTITAS UNIT!D9"")"),"#N/A")</f>
        <v>#N/A</v>
      </c>
      <c r="H36017" s="4" t="str">
        <v/>
      </c>
      <c r="I36017" s="4" t="str">
        <v/>
      </c>
    </row>
    <row r="36018" spans="5:9" ht="16.5" hidden="1">
      <c r="E36018" s="4" t="str">
        <v/>
      </c>
      <c r="F36018" s="102" t="str">
        <f ca="1">IFERROR(__xludf.DUMMYFUNCTION("IMPORTRANGE(H36018,""IDENTITAS UNIT!D9"")"),"#N/A")</f>
        <v>#N/A</v>
      </c>
      <c r="H36018" s="4" t="str">
        <v/>
      </c>
      <c r="I36018" s="4" t="str">
        <v/>
      </c>
    </row>
    <row r="36019" spans="5:9" ht="16.5" hidden="1">
      <c r="E36019" s="4" t="str">
        <v/>
      </c>
      <c r="F36019" s="102" t="str">
        <f ca="1">IFERROR(__xludf.DUMMYFUNCTION("IMPORTRANGE(H36019,""IDENTITAS UNIT!D9"")"),"#N/A")</f>
        <v>#N/A</v>
      </c>
      <c r="H36019" s="4" t="str">
        <v/>
      </c>
      <c r="I36019" s="4" t="str">
        <v/>
      </c>
    </row>
    <row r="36020" spans="5:9" ht="16.5" hidden="1">
      <c r="E36020" s="4" t="str">
        <v/>
      </c>
      <c r="F36020" s="102" t="str">
        <f ca="1">IFERROR(__xludf.DUMMYFUNCTION("IMPORTRANGE(H36020,""IDENTITAS UNIT!D9"")"),"#N/A")</f>
        <v>#N/A</v>
      </c>
      <c r="H36020" s="4" t="str">
        <v/>
      </c>
      <c r="I36020" s="4" t="str">
        <v/>
      </c>
    </row>
    <row r="36021" spans="5:9" ht="16.5" hidden="1">
      <c r="E36021" s="4" t="str">
        <v/>
      </c>
      <c r="F36021" s="102" t="str">
        <f ca="1">IFERROR(__xludf.DUMMYFUNCTION("IMPORTRANGE(H36021,""IDENTITAS UNIT!D9"")"),"#N/A")</f>
        <v>#N/A</v>
      </c>
      <c r="H36021" s="4" t="str">
        <v/>
      </c>
      <c r="I36021" s="4" t="str">
        <v/>
      </c>
    </row>
    <row r="36022" spans="5:9" ht="16.5" hidden="1">
      <c r="E36022" s="4" t="str">
        <v/>
      </c>
      <c r="F36022" s="102" t="str">
        <f ca="1">IFERROR(__xludf.DUMMYFUNCTION("IMPORTRANGE(H36022,""IDENTITAS UNIT!D9"")"),"#N/A")</f>
        <v>#N/A</v>
      </c>
      <c r="H36022" s="4" t="str">
        <v/>
      </c>
      <c r="I36022" s="4" t="str">
        <v/>
      </c>
    </row>
    <row r="36023" spans="5:9" ht="16.5" hidden="1">
      <c r="E36023" s="4" t="str">
        <v/>
      </c>
      <c r="F36023" s="102" t="str">
        <f ca="1">IFERROR(__xludf.DUMMYFUNCTION("IMPORTRANGE(H36023,""IDENTITAS UNIT!D9"")"),"#N/A")</f>
        <v>#N/A</v>
      </c>
      <c r="H36023" s="4" t="str">
        <v/>
      </c>
      <c r="I36023" s="4" t="str">
        <v/>
      </c>
    </row>
    <row r="36024" spans="5:9" ht="16.5" hidden="1">
      <c r="E36024" s="4" t="str">
        <v/>
      </c>
      <c r="F36024" s="102" t="str">
        <f ca="1">IFERROR(__xludf.DUMMYFUNCTION("IMPORTRANGE(H36024,""IDENTITAS UNIT!D9"")"),"#N/A")</f>
        <v>#N/A</v>
      </c>
      <c r="H36024" s="4" t="str">
        <v/>
      </c>
      <c r="I36024" s="4" t="str">
        <v/>
      </c>
    </row>
    <row r="36025" spans="5:9" ht="16.5" hidden="1">
      <c r="E36025" s="4" t="str">
        <v/>
      </c>
      <c r="F36025" s="102" t="str">
        <f ca="1">IFERROR(__xludf.DUMMYFUNCTION("IMPORTRANGE(H36025,""IDENTITAS UNIT!D9"")"),"#N/A")</f>
        <v>#N/A</v>
      </c>
      <c r="H36025" s="4" t="str">
        <v/>
      </c>
      <c r="I36025" s="4" t="str">
        <v/>
      </c>
    </row>
    <row r="36026" spans="5:9" ht="16.5" hidden="1">
      <c r="E36026" s="4" t="str">
        <v/>
      </c>
      <c r="F36026" s="102" t="str">
        <f ca="1">IFERROR(__xludf.DUMMYFUNCTION("IMPORTRANGE(H36026,""IDENTITAS UNIT!D9"")"),"#N/A")</f>
        <v>#N/A</v>
      </c>
      <c r="H36026" s="4" t="str">
        <v/>
      </c>
      <c r="I36026" s="4" t="str">
        <v/>
      </c>
    </row>
    <row r="36027" spans="5:9" ht="16.5" hidden="1">
      <c r="E36027" s="4" t="str">
        <v/>
      </c>
      <c r="F36027" s="102" t="str">
        <f ca="1">IFERROR(__xludf.DUMMYFUNCTION("IMPORTRANGE(H36027,""IDENTITAS UNIT!D9"")"),"#N/A")</f>
        <v>#N/A</v>
      </c>
      <c r="H36027" s="4" t="str">
        <v/>
      </c>
      <c r="I36027" s="4" t="str">
        <v/>
      </c>
    </row>
    <row r="36028" spans="5:9" ht="16.5" hidden="1">
      <c r="E36028" s="4" t="str">
        <v/>
      </c>
      <c r="F36028" s="102" t="str">
        <f ca="1">IFERROR(__xludf.DUMMYFUNCTION("IMPORTRANGE(H36028,""IDENTITAS UNIT!D9"")"),"#N/A")</f>
        <v>#N/A</v>
      </c>
      <c r="H36028" s="4" t="str">
        <v/>
      </c>
      <c r="I36028" s="4" t="str">
        <v/>
      </c>
    </row>
    <row r="36029" spans="5:9" ht="16.5" hidden="1">
      <c r="E36029" s="4" t="str">
        <v/>
      </c>
      <c r="F36029" s="102" t="str">
        <f ca="1">IFERROR(__xludf.DUMMYFUNCTION("IMPORTRANGE(H36029,""IDENTITAS UNIT!D9"")"),"#N/A")</f>
        <v>#N/A</v>
      </c>
      <c r="H36029" s="4" t="str">
        <v/>
      </c>
      <c r="I36029" s="4" t="str">
        <v/>
      </c>
    </row>
    <row r="36030" spans="5:9" ht="16.5" hidden="1">
      <c r="E36030" s="4" t="str">
        <v/>
      </c>
      <c r="F36030" s="102" t="str">
        <f ca="1">IFERROR(__xludf.DUMMYFUNCTION("IMPORTRANGE(H36030,""IDENTITAS UNIT!D9"")"),"#N/A")</f>
        <v>#N/A</v>
      </c>
      <c r="H36030" s="4" t="str">
        <v/>
      </c>
      <c r="I36030" s="4" t="str">
        <v/>
      </c>
    </row>
    <row r="36031" spans="5:9" ht="16.5" hidden="1">
      <c r="E36031" s="4" t="str">
        <v/>
      </c>
      <c r="F36031" s="102" t="str">
        <f ca="1">IFERROR(__xludf.DUMMYFUNCTION("IMPORTRANGE(H36031,""IDENTITAS UNIT!D9"")"),"#N/A")</f>
        <v>#N/A</v>
      </c>
      <c r="H36031" s="4" t="str">
        <v/>
      </c>
      <c r="I36031" s="4" t="str">
        <v/>
      </c>
    </row>
    <row r="36032" spans="5:9" ht="16.5" hidden="1">
      <c r="E36032" s="4" t="str">
        <v/>
      </c>
      <c r="F36032" s="102" t="str">
        <f ca="1">IFERROR(__xludf.DUMMYFUNCTION("IMPORTRANGE(H36032,""IDENTITAS UNIT!D9"")"),"#N/A")</f>
        <v>#N/A</v>
      </c>
      <c r="H36032" s="4" t="str">
        <v/>
      </c>
      <c r="I36032" s="4" t="str">
        <v/>
      </c>
    </row>
    <row r="36033" spans="5:9" ht="16.5" hidden="1">
      <c r="E36033" s="4" t="str">
        <v/>
      </c>
      <c r="F36033" s="102" t="str">
        <f ca="1">IFERROR(__xludf.DUMMYFUNCTION("IMPORTRANGE(H36033,""IDENTITAS UNIT!D9"")"),"#N/A")</f>
        <v>#N/A</v>
      </c>
      <c r="H36033" s="4" t="str">
        <v/>
      </c>
      <c r="I36033" s="4" t="str">
        <v/>
      </c>
    </row>
    <row r="36034" spans="5:9" ht="16.5" hidden="1">
      <c r="E36034" s="4" t="str">
        <v/>
      </c>
      <c r="F36034" s="102" t="str">
        <f ca="1">IFERROR(__xludf.DUMMYFUNCTION("IMPORTRANGE(H36034,""IDENTITAS UNIT!D9"")"),"#N/A")</f>
        <v>#N/A</v>
      </c>
      <c r="H36034" s="4" t="str">
        <v/>
      </c>
      <c r="I36034" s="4" t="str">
        <v/>
      </c>
    </row>
    <row r="36035" spans="5:9" ht="16.5" hidden="1">
      <c r="E36035" s="4" t="str">
        <v/>
      </c>
      <c r="F36035" s="102" t="str">
        <f ca="1">IFERROR(__xludf.DUMMYFUNCTION("IMPORTRANGE(H36035,""IDENTITAS UNIT!D9"")"),"#N/A")</f>
        <v>#N/A</v>
      </c>
      <c r="H36035" s="4" t="str">
        <v/>
      </c>
      <c r="I36035" s="4" t="str">
        <v/>
      </c>
    </row>
    <row r="36036" spans="5:9" ht="16.5" hidden="1">
      <c r="E36036" s="4" t="str">
        <v/>
      </c>
      <c r="F36036" s="102" t="str">
        <f ca="1">IFERROR(__xludf.DUMMYFUNCTION("IMPORTRANGE(H36036,""IDENTITAS UNIT!D9"")"),"#N/A")</f>
        <v>#N/A</v>
      </c>
      <c r="H36036" s="4" t="str">
        <v/>
      </c>
      <c r="I36036" s="4" t="str">
        <v/>
      </c>
    </row>
    <row r="36037" spans="5:9" ht="16.5" hidden="1">
      <c r="E36037" s="4" t="str">
        <v/>
      </c>
      <c r="F36037" s="102" t="str">
        <f ca="1">IFERROR(__xludf.DUMMYFUNCTION("IMPORTRANGE(H36037,""IDENTITAS UNIT!D9"")"),"#N/A")</f>
        <v>#N/A</v>
      </c>
      <c r="H36037" s="4" t="str">
        <v/>
      </c>
      <c r="I36037" s="4" t="str">
        <v/>
      </c>
    </row>
    <row r="36038" spans="5:9" ht="16.5" hidden="1">
      <c r="E36038" s="4" t="str">
        <v/>
      </c>
      <c r="F36038" s="102" t="str">
        <f ca="1">IFERROR(__xludf.DUMMYFUNCTION("IMPORTRANGE(H36038,""IDENTITAS UNIT!D9"")"),"#N/A")</f>
        <v>#N/A</v>
      </c>
      <c r="H36038" s="4" t="str">
        <v/>
      </c>
      <c r="I36038" s="4" t="str">
        <v/>
      </c>
    </row>
    <row r="36039" spans="5:9" ht="16.5" hidden="1">
      <c r="E36039" s="4" t="str">
        <v/>
      </c>
      <c r="F36039" s="102" t="str">
        <f ca="1">IFERROR(__xludf.DUMMYFUNCTION("IMPORTRANGE(H36039,""IDENTITAS UNIT!D9"")"),"#N/A")</f>
        <v>#N/A</v>
      </c>
      <c r="H36039" s="4" t="str">
        <v/>
      </c>
      <c r="I36039" s="4" t="str">
        <v/>
      </c>
    </row>
    <row r="36040" spans="5:9" ht="16.5" hidden="1">
      <c r="E36040" s="4" t="str">
        <v/>
      </c>
      <c r="F36040" s="102" t="str">
        <f ca="1">IFERROR(__xludf.DUMMYFUNCTION("IMPORTRANGE(H36040,""IDENTITAS UNIT!D9"")"),"#N/A")</f>
        <v>#N/A</v>
      </c>
      <c r="H36040" s="4" t="str">
        <v/>
      </c>
      <c r="I36040" s="4" t="str">
        <v/>
      </c>
    </row>
    <row r="36041" spans="5:9" ht="16.5" hidden="1">
      <c r="E36041" s="4" t="str">
        <v/>
      </c>
      <c r="F36041" s="102" t="str">
        <f ca="1">IFERROR(__xludf.DUMMYFUNCTION("IMPORTRANGE(H36041,""IDENTITAS UNIT!D9"")"),"#N/A")</f>
        <v>#N/A</v>
      </c>
      <c r="H36041" s="4" t="str">
        <v/>
      </c>
      <c r="I36041" s="4" t="str">
        <v/>
      </c>
    </row>
    <row r="36042" spans="5:9" ht="16.5" hidden="1">
      <c r="E36042" s="4" t="str">
        <v/>
      </c>
      <c r="F36042" s="102" t="str">
        <f ca="1">IFERROR(__xludf.DUMMYFUNCTION("IMPORTRANGE(H36042,""IDENTITAS UNIT!D9"")"),"#N/A")</f>
        <v>#N/A</v>
      </c>
      <c r="H36042" s="4" t="str">
        <v/>
      </c>
      <c r="I36042" s="4" t="str">
        <v/>
      </c>
    </row>
    <row r="36043" spans="5:9" ht="16.5" hidden="1">
      <c r="E36043" s="4" t="str">
        <v/>
      </c>
      <c r="F36043" s="102" t="str">
        <f ca="1">IFERROR(__xludf.DUMMYFUNCTION("IMPORTRANGE(H36043,""IDENTITAS UNIT!D9"")"),"#N/A")</f>
        <v>#N/A</v>
      </c>
      <c r="H36043" s="4" t="str">
        <v/>
      </c>
      <c r="I36043" s="4" t="str">
        <v/>
      </c>
    </row>
    <row r="36044" spans="5:9" ht="16.5" hidden="1">
      <c r="E36044" s="4" t="str">
        <v/>
      </c>
      <c r="F36044" s="102" t="str">
        <f ca="1">IFERROR(__xludf.DUMMYFUNCTION("IMPORTRANGE(H36044,""IDENTITAS UNIT!D9"")"),"#N/A")</f>
        <v>#N/A</v>
      </c>
      <c r="H36044" s="4" t="str">
        <v/>
      </c>
      <c r="I36044" s="4" t="str">
        <v/>
      </c>
    </row>
    <row r="36045" spans="5:9" ht="16.5" hidden="1">
      <c r="E36045" s="4" t="str">
        <v/>
      </c>
      <c r="F36045" s="102" t="str">
        <f ca="1">IFERROR(__xludf.DUMMYFUNCTION("IMPORTRANGE(H36045,""IDENTITAS UNIT!D9"")"),"#N/A")</f>
        <v>#N/A</v>
      </c>
      <c r="H36045" s="4" t="str">
        <v/>
      </c>
      <c r="I36045" s="4" t="str">
        <v/>
      </c>
    </row>
    <row r="36046" spans="5:9" ht="16.5" hidden="1">
      <c r="E36046" s="4" t="str">
        <v/>
      </c>
      <c r="F36046" s="102" t="str">
        <f ca="1">IFERROR(__xludf.DUMMYFUNCTION("IMPORTRANGE(H36046,""IDENTITAS UNIT!D9"")"),"#N/A")</f>
        <v>#N/A</v>
      </c>
      <c r="H36046" s="4" t="str">
        <v/>
      </c>
      <c r="I36046" s="4" t="str">
        <v/>
      </c>
    </row>
    <row r="36047" spans="5:9" ht="16.5" hidden="1">
      <c r="E36047" s="4" t="str">
        <v/>
      </c>
      <c r="F36047" s="102" t="str">
        <f ca="1">IFERROR(__xludf.DUMMYFUNCTION("IMPORTRANGE(H36047,""IDENTITAS UNIT!D9"")"),"#N/A")</f>
        <v>#N/A</v>
      </c>
      <c r="H36047" s="4" t="str">
        <v/>
      </c>
      <c r="I36047" s="4" t="str">
        <v/>
      </c>
    </row>
    <row r="36048" spans="5:9" ht="16.5" hidden="1">
      <c r="E36048" s="4" t="str">
        <v/>
      </c>
      <c r="F36048" s="102" t="str">
        <f ca="1">IFERROR(__xludf.DUMMYFUNCTION("IMPORTRANGE(H36048,""IDENTITAS UNIT!D9"")"),"#N/A")</f>
        <v>#N/A</v>
      </c>
      <c r="H36048" s="4" t="str">
        <v/>
      </c>
      <c r="I36048" s="4" t="str">
        <v/>
      </c>
    </row>
    <row r="36049" spans="5:9" ht="16.5" hidden="1">
      <c r="E36049" s="4" t="str">
        <v/>
      </c>
      <c r="F36049" s="102" t="str">
        <f ca="1">IFERROR(__xludf.DUMMYFUNCTION("IMPORTRANGE(H36049,""IDENTITAS UNIT!D9"")"),"#N/A")</f>
        <v>#N/A</v>
      </c>
      <c r="H36049" s="4" t="str">
        <v/>
      </c>
      <c r="I36049" s="4" t="str">
        <v/>
      </c>
    </row>
    <row r="36050" spans="5:9" ht="16.5" hidden="1">
      <c r="E36050" s="4" t="str">
        <v/>
      </c>
      <c r="F36050" s="102" t="str">
        <f ca="1">IFERROR(__xludf.DUMMYFUNCTION("IMPORTRANGE(H36050,""IDENTITAS UNIT!D9"")"),"#N/A")</f>
        <v>#N/A</v>
      </c>
      <c r="H36050" s="4" t="str">
        <v/>
      </c>
      <c r="I36050" s="4" t="str">
        <v/>
      </c>
    </row>
    <row r="36051" spans="5:9" ht="16.5" hidden="1">
      <c r="E36051" s="4" t="str">
        <v/>
      </c>
      <c r="F36051" s="102" t="str">
        <f ca="1">IFERROR(__xludf.DUMMYFUNCTION("IMPORTRANGE(H36051,""IDENTITAS UNIT!D9"")"),"#N/A")</f>
        <v>#N/A</v>
      </c>
      <c r="H36051" s="4" t="str">
        <v/>
      </c>
      <c r="I36051" s="4" t="str">
        <v/>
      </c>
    </row>
    <row r="36052" spans="5:9" ht="16.5" hidden="1">
      <c r="E36052" s="4" t="str">
        <v/>
      </c>
      <c r="F36052" s="102" t="str">
        <f ca="1">IFERROR(__xludf.DUMMYFUNCTION("IMPORTRANGE(H36052,""IDENTITAS UNIT!D9"")"),"#N/A")</f>
        <v>#N/A</v>
      </c>
      <c r="H36052" s="4" t="str">
        <v/>
      </c>
      <c r="I36052" s="4" t="str">
        <v/>
      </c>
    </row>
    <row r="36053" spans="5:9" ht="16.5" hidden="1">
      <c r="E36053" s="4" t="str">
        <v/>
      </c>
      <c r="F36053" s="102" t="str">
        <f ca="1">IFERROR(__xludf.DUMMYFUNCTION("IMPORTRANGE(H36053,""IDENTITAS UNIT!D9"")"),"#N/A")</f>
        <v>#N/A</v>
      </c>
      <c r="H36053" s="4" t="str">
        <v/>
      </c>
      <c r="I36053" s="4" t="str">
        <v/>
      </c>
    </row>
    <row r="36054" spans="5:9" ht="16.5" hidden="1">
      <c r="E36054" s="4" t="str">
        <v/>
      </c>
      <c r="F36054" s="102" t="str">
        <f ca="1">IFERROR(__xludf.DUMMYFUNCTION("IMPORTRANGE(H36054,""IDENTITAS UNIT!D9"")"),"#N/A")</f>
        <v>#N/A</v>
      </c>
      <c r="H36054" s="4" t="str">
        <v/>
      </c>
      <c r="I36054" s="4" t="str">
        <v/>
      </c>
    </row>
    <row r="36055" spans="5:9" ht="16.5" hidden="1">
      <c r="E36055" s="4" t="str">
        <v/>
      </c>
      <c r="F36055" s="102" t="str">
        <f ca="1">IFERROR(__xludf.DUMMYFUNCTION("IMPORTRANGE(H36055,""IDENTITAS UNIT!D9"")"),"#N/A")</f>
        <v>#N/A</v>
      </c>
      <c r="H36055" s="4" t="str">
        <v/>
      </c>
      <c r="I36055" s="4" t="str">
        <v/>
      </c>
    </row>
    <row r="36056" spans="5:9" ht="16.5" hidden="1">
      <c r="E36056" s="4" t="str">
        <v/>
      </c>
      <c r="F36056" s="102" t="str">
        <f ca="1">IFERROR(__xludf.DUMMYFUNCTION("IMPORTRANGE(H36056,""IDENTITAS UNIT!D9"")"),"#N/A")</f>
        <v>#N/A</v>
      </c>
      <c r="H36056" s="4" t="str">
        <v/>
      </c>
      <c r="I36056" s="4" t="str">
        <v/>
      </c>
    </row>
    <row r="36057" spans="5:9" ht="16.5" hidden="1">
      <c r="E36057" s="4" t="str">
        <v/>
      </c>
      <c r="F36057" s="102" t="str">
        <f ca="1">IFERROR(__xludf.DUMMYFUNCTION("IMPORTRANGE(H36057,""IDENTITAS UNIT!D9"")"),"#N/A")</f>
        <v>#N/A</v>
      </c>
      <c r="H36057" s="4" t="str">
        <v/>
      </c>
      <c r="I36057" s="4" t="str">
        <v/>
      </c>
    </row>
    <row r="36058" spans="5:9" ht="16.5" hidden="1">
      <c r="E36058" s="4" t="str">
        <v/>
      </c>
      <c r="F36058" s="102" t="str">
        <f ca="1">IFERROR(__xludf.DUMMYFUNCTION("IMPORTRANGE(H36058,""IDENTITAS UNIT!D9"")"),"#N/A")</f>
        <v>#N/A</v>
      </c>
      <c r="H36058" s="4" t="str">
        <v/>
      </c>
      <c r="I36058" s="4" t="str">
        <v/>
      </c>
    </row>
    <row r="36059" spans="5:9" ht="16.5" hidden="1">
      <c r="E36059" s="4" t="str">
        <v/>
      </c>
      <c r="F36059" s="102" t="str">
        <f ca="1">IFERROR(__xludf.DUMMYFUNCTION("IMPORTRANGE(H36059,""IDENTITAS UNIT!D9"")"),"#N/A")</f>
        <v>#N/A</v>
      </c>
      <c r="H36059" s="4" t="str">
        <v/>
      </c>
      <c r="I36059" s="4" t="str">
        <v/>
      </c>
    </row>
    <row r="36060" spans="5:9" ht="16.5" hidden="1">
      <c r="E36060" s="4" t="str">
        <v/>
      </c>
      <c r="F36060" s="102" t="str">
        <f ca="1">IFERROR(__xludf.DUMMYFUNCTION("IMPORTRANGE(H36060,""IDENTITAS UNIT!D9"")"),"#N/A")</f>
        <v>#N/A</v>
      </c>
      <c r="H36060" s="4" t="str">
        <v/>
      </c>
      <c r="I36060" s="4" t="str">
        <v/>
      </c>
    </row>
    <row r="36061" spans="5:9" ht="16.5" hidden="1">
      <c r="E36061" s="4" t="str">
        <v/>
      </c>
      <c r="F36061" s="102" t="str">
        <f ca="1">IFERROR(__xludf.DUMMYFUNCTION("IMPORTRANGE(H36061,""IDENTITAS UNIT!D9"")"),"#N/A")</f>
        <v>#N/A</v>
      </c>
      <c r="H36061" s="4" t="str">
        <v/>
      </c>
      <c r="I36061" s="4" t="str">
        <v/>
      </c>
    </row>
    <row r="36062" spans="5:9" ht="16.5" hidden="1">
      <c r="E36062" s="4" t="str">
        <v/>
      </c>
      <c r="F36062" s="102" t="str">
        <f ca="1">IFERROR(__xludf.DUMMYFUNCTION("IMPORTRANGE(H36062,""IDENTITAS UNIT!D9"")"),"#N/A")</f>
        <v>#N/A</v>
      </c>
      <c r="H36062" s="4" t="str">
        <v/>
      </c>
      <c r="I36062" s="4" t="str">
        <v/>
      </c>
    </row>
    <row r="36063" spans="5:9" ht="16.5" hidden="1">
      <c r="E36063" s="4" t="str">
        <v/>
      </c>
      <c r="F36063" s="102" t="str">
        <f ca="1">IFERROR(__xludf.DUMMYFUNCTION("IMPORTRANGE(H36063,""IDENTITAS UNIT!D9"")"),"#N/A")</f>
        <v>#N/A</v>
      </c>
      <c r="H36063" s="4" t="str">
        <v/>
      </c>
      <c r="I36063" s="4" t="str">
        <v/>
      </c>
    </row>
    <row r="36064" spans="5:9" ht="16.5" hidden="1">
      <c r="E36064" s="4" t="str">
        <v/>
      </c>
      <c r="F36064" s="102" t="str">
        <f ca="1">IFERROR(__xludf.DUMMYFUNCTION("IMPORTRANGE(H36064,""IDENTITAS UNIT!D9"")"),"#N/A")</f>
        <v>#N/A</v>
      </c>
      <c r="H36064" s="4" t="str">
        <v/>
      </c>
      <c r="I36064" s="4" t="str">
        <v/>
      </c>
    </row>
    <row r="36065" spans="5:9" ht="16.5" hidden="1">
      <c r="E36065" s="4" t="str">
        <v/>
      </c>
      <c r="F36065" s="102" t="str">
        <f ca="1">IFERROR(__xludf.DUMMYFUNCTION("IMPORTRANGE(H36065,""IDENTITAS UNIT!D9"")"),"#N/A")</f>
        <v>#N/A</v>
      </c>
      <c r="H36065" s="4" t="str">
        <v/>
      </c>
      <c r="I36065" s="4" t="str">
        <v/>
      </c>
    </row>
    <row r="36066" spans="5:9" ht="16.5" hidden="1">
      <c r="E36066" s="4" t="str">
        <v/>
      </c>
      <c r="F36066" s="102" t="str">
        <f ca="1">IFERROR(__xludf.DUMMYFUNCTION("IMPORTRANGE(H36066,""IDENTITAS UNIT!D9"")"),"#N/A")</f>
        <v>#N/A</v>
      </c>
      <c r="H36066" s="4" t="str">
        <v/>
      </c>
      <c r="I36066" s="4" t="str">
        <v/>
      </c>
    </row>
    <row r="36067" spans="5:9" ht="16.5" hidden="1">
      <c r="E36067" s="4" t="str">
        <v/>
      </c>
      <c r="F36067" s="102" t="str">
        <f ca="1">IFERROR(__xludf.DUMMYFUNCTION("IMPORTRANGE(H36067,""IDENTITAS UNIT!D9"")"),"#N/A")</f>
        <v>#N/A</v>
      </c>
      <c r="H36067" s="4" t="str">
        <v/>
      </c>
      <c r="I36067" s="4" t="str">
        <v/>
      </c>
    </row>
    <row r="36068" spans="5:9" ht="16.5" hidden="1">
      <c r="E36068" s="4" t="str">
        <v/>
      </c>
      <c r="F36068" s="102" t="str">
        <f ca="1">IFERROR(__xludf.DUMMYFUNCTION("IMPORTRANGE(H36068,""IDENTITAS UNIT!D9"")"),"#N/A")</f>
        <v>#N/A</v>
      </c>
      <c r="H36068" s="4" t="str">
        <v/>
      </c>
      <c r="I36068" s="4" t="str">
        <v/>
      </c>
    </row>
    <row r="36069" spans="5:9" ht="16.5" hidden="1">
      <c r="E36069" s="4" t="str">
        <v/>
      </c>
      <c r="F36069" s="102" t="str">
        <f ca="1">IFERROR(__xludf.DUMMYFUNCTION("IMPORTRANGE(H36069,""IDENTITAS UNIT!D9"")"),"#N/A")</f>
        <v>#N/A</v>
      </c>
      <c r="H36069" s="4" t="str">
        <v/>
      </c>
      <c r="I36069" s="4" t="str">
        <v/>
      </c>
    </row>
    <row r="36070" spans="5:9" ht="16.5" hidden="1">
      <c r="E36070" s="4" t="str">
        <v/>
      </c>
      <c r="F36070" s="102" t="str">
        <f ca="1">IFERROR(__xludf.DUMMYFUNCTION("IMPORTRANGE(H36070,""IDENTITAS UNIT!D9"")"),"#N/A")</f>
        <v>#N/A</v>
      </c>
      <c r="H36070" s="4" t="str">
        <v/>
      </c>
      <c r="I36070" s="4" t="str">
        <v/>
      </c>
    </row>
    <row r="36071" spans="5:9" ht="16.5" hidden="1">
      <c r="E36071" s="4" t="str">
        <v/>
      </c>
      <c r="F36071" s="102" t="str">
        <f ca="1">IFERROR(__xludf.DUMMYFUNCTION("IMPORTRANGE(H36071,""IDENTITAS UNIT!D9"")"),"#N/A")</f>
        <v>#N/A</v>
      </c>
      <c r="H36071" s="4" t="str">
        <v/>
      </c>
      <c r="I36071" s="4" t="str">
        <v/>
      </c>
    </row>
    <row r="36072" spans="5:9" ht="16.5" hidden="1">
      <c r="E36072" s="4" t="str">
        <v/>
      </c>
      <c r="F36072" s="102" t="str">
        <f ca="1">IFERROR(__xludf.DUMMYFUNCTION("IMPORTRANGE(H36072,""IDENTITAS UNIT!D9"")"),"#N/A")</f>
        <v>#N/A</v>
      </c>
      <c r="H36072" s="4" t="str">
        <v/>
      </c>
      <c r="I36072" s="4" t="str">
        <v/>
      </c>
    </row>
    <row r="36073" spans="5:9" ht="16.5" hidden="1">
      <c r="E36073" s="4" t="str">
        <v/>
      </c>
      <c r="F36073" s="102" t="str">
        <f ca="1">IFERROR(__xludf.DUMMYFUNCTION("IMPORTRANGE(H36073,""IDENTITAS UNIT!D9"")"),"#N/A")</f>
        <v>#N/A</v>
      </c>
      <c r="H36073" s="4" t="str">
        <v/>
      </c>
      <c r="I36073" s="4" t="str">
        <v/>
      </c>
    </row>
    <row r="36074" spans="5:9" ht="16.5" hidden="1">
      <c r="E36074" s="4" t="str">
        <v/>
      </c>
      <c r="F36074" s="102" t="str">
        <f ca="1">IFERROR(__xludf.DUMMYFUNCTION("IMPORTRANGE(H36074,""IDENTITAS UNIT!D9"")"),"#N/A")</f>
        <v>#N/A</v>
      </c>
      <c r="H36074" s="4" t="str">
        <v/>
      </c>
      <c r="I36074" s="4" t="str">
        <v/>
      </c>
    </row>
    <row r="36075" spans="5:9" ht="16.5" hidden="1">
      <c r="E36075" s="4" t="str">
        <v/>
      </c>
      <c r="F36075" s="102" t="str">
        <f ca="1">IFERROR(__xludf.DUMMYFUNCTION("IMPORTRANGE(H36075,""IDENTITAS UNIT!D9"")"),"#N/A")</f>
        <v>#N/A</v>
      </c>
      <c r="H36075" s="4" t="str">
        <v/>
      </c>
      <c r="I36075" s="4" t="str">
        <v/>
      </c>
    </row>
    <row r="36076" spans="5:9" ht="16.5" hidden="1">
      <c r="E36076" s="4" t="str">
        <v/>
      </c>
      <c r="F36076" s="102" t="str">
        <f ca="1">IFERROR(__xludf.DUMMYFUNCTION("IMPORTRANGE(H36076,""IDENTITAS UNIT!D9"")"),"#N/A")</f>
        <v>#N/A</v>
      </c>
      <c r="H36076" s="4" t="str">
        <v/>
      </c>
      <c r="I36076" s="4" t="str">
        <v/>
      </c>
    </row>
    <row r="36077" spans="5:9" ht="16.5" hidden="1">
      <c r="E36077" s="4" t="str">
        <v/>
      </c>
      <c r="F36077" s="102" t="str">
        <f ca="1">IFERROR(__xludf.DUMMYFUNCTION("IMPORTRANGE(H36077,""IDENTITAS UNIT!D9"")"),"#N/A")</f>
        <v>#N/A</v>
      </c>
      <c r="H36077" s="4" t="str">
        <v/>
      </c>
      <c r="I36077" s="4" t="str">
        <v/>
      </c>
    </row>
    <row r="36078" spans="5:9" ht="16.5" hidden="1">
      <c r="E36078" s="4" t="str">
        <v/>
      </c>
      <c r="F36078" s="102" t="str">
        <f ca="1">IFERROR(__xludf.DUMMYFUNCTION("IMPORTRANGE(H36078,""IDENTITAS UNIT!D9"")"),"#N/A")</f>
        <v>#N/A</v>
      </c>
      <c r="H36078" s="4" t="str">
        <v/>
      </c>
      <c r="I36078" s="4" t="str">
        <v/>
      </c>
    </row>
    <row r="36079" spans="5:9" ht="16.5" hidden="1">
      <c r="E36079" s="4" t="str">
        <v/>
      </c>
      <c r="F36079" s="102" t="str">
        <f ca="1">IFERROR(__xludf.DUMMYFUNCTION("IMPORTRANGE(H36079,""IDENTITAS UNIT!D9"")"),"#N/A")</f>
        <v>#N/A</v>
      </c>
      <c r="H36079" s="4" t="str">
        <v/>
      </c>
      <c r="I36079" s="4" t="str">
        <v/>
      </c>
    </row>
    <row r="36080" spans="5:9" ht="16.5" hidden="1">
      <c r="E36080" s="4" t="str">
        <v/>
      </c>
      <c r="F36080" s="102" t="str">
        <f ca="1">IFERROR(__xludf.DUMMYFUNCTION("IMPORTRANGE(H36080,""IDENTITAS UNIT!D9"")"),"#N/A")</f>
        <v>#N/A</v>
      </c>
      <c r="H36080" s="4" t="str">
        <v/>
      </c>
      <c r="I36080" s="4" t="str">
        <v/>
      </c>
    </row>
    <row r="36081" spans="5:9" ht="16.5" hidden="1">
      <c r="E36081" s="4" t="str">
        <v/>
      </c>
      <c r="F36081" s="102" t="str">
        <f ca="1">IFERROR(__xludf.DUMMYFUNCTION("IMPORTRANGE(H36081,""IDENTITAS UNIT!D9"")"),"#N/A")</f>
        <v>#N/A</v>
      </c>
      <c r="H36081" s="4" t="str">
        <v/>
      </c>
      <c r="I36081" s="4" t="str">
        <v/>
      </c>
    </row>
    <row r="36082" spans="5:9" ht="16.5" hidden="1">
      <c r="E36082" s="4" t="str">
        <v/>
      </c>
      <c r="F36082" s="102" t="str">
        <f ca="1">IFERROR(__xludf.DUMMYFUNCTION("IMPORTRANGE(H36082,""IDENTITAS UNIT!D9"")"),"#N/A")</f>
        <v>#N/A</v>
      </c>
      <c r="H36082" s="4" t="str">
        <v/>
      </c>
      <c r="I36082" s="4" t="str">
        <v/>
      </c>
    </row>
    <row r="36083" spans="5:9" ht="16.5" hidden="1">
      <c r="E36083" s="4" t="str">
        <v/>
      </c>
      <c r="F36083" s="102" t="str">
        <f ca="1">IFERROR(__xludf.DUMMYFUNCTION("IMPORTRANGE(H36083,""IDENTITAS UNIT!D9"")"),"#N/A")</f>
        <v>#N/A</v>
      </c>
      <c r="H36083" s="4" t="str">
        <v/>
      </c>
      <c r="I36083" s="4" t="str">
        <v/>
      </c>
    </row>
    <row r="36084" spans="5:9" ht="16.5" hidden="1">
      <c r="E36084" s="4" t="str">
        <v/>
      </c>
      <c r="F36084" s="102" t="str">
        <f ca="1">IFERROR(__xludf.DUMMYFUNCTION("IMPORTRANGE(H36084,""IDENTITAS UNIT!D9"")"),"#N/A")</f>
        <v>#N/A</v>
      </c>
      <c r="H36084" s="4" t="str">
        <v/>
      </c>
      <c r="I36084" s="4" t="str">
        <v/>
      </c>
    </row>
    <row r="36085" spans="5:9" ht="16.5" hidden="1">
      <c r="E36085" s="4" t="str">
        <v/>
      </c>
      <c r="F36085" s="102" t="str">
        <f ca="1">IFERROR(__xludf.DUMMYFUNCTION("IMPORTRANGE(H36085,""IDENTITAS UNIT!D9"")"),"#N/A")</f>
        <v>#N/A</v>
      </c>
      <c r="H36085" s="4" t="str">
        <v/>
      </c>
      <c r="I36085" s="4" t="str">
        <v/>
      </c>
    </row>
    <row r="36086" spans="5:9" ht="16.5" hidden="1">
      <c r="E36086" s="4" t="str">
        <v/>
      </c>
      <c r="F36086" s="102" t="str">
        <f ca="1">IFERROR(__xludf.DUMMYFUNCTION("IMPORTRANGE(H36086,""IDENTITAS UNIT!D9"")"),"#N/A")</f>
        <v>#N/A</v>
      </c>
      <c r="H36086" s="4" t="str">
        <v/>
      </c>
      <c r="I36086" s="4" t="str">
        <v/>
      </c>
    </row>
    <row r="36087" spans="5:9" ht="16.5" hidden="1">
      <c r="E36087" s="4" t="str">
        <v/>
      </c>
      <c r="F36087" s="102" t="str">
        <f ca="1">IFERROR(__xludf.DUMMYFUNCTION("IMPORTRANGE(H36087,""IDENTITAS UNIT!D9"")"),"#N/A")</f>
        <v>#N/A</v>
      </c>
      <c r="H36087" s="4" t="str">
        <v/>
      </c>
      <c r="I36087" s="4" t="str">
        <v/>
      </c>
    </row>
    <row r="36088" spans="5:9" ht="16.5" hidden="1">
      <c r="E36088" s="4" t="str">
        <v/>
      </c>
      <c r="F36088" s="102" t="str">
        <f ca="1">IFERROR(__xludf.DUMMYFUNCTION("IMPORTRANGE(H36088,""IDENTITAS UNIT!D9"")"),"#N/A")</f>
        <v>#N/A</v>
      </c>
      <c r="H36088" s="4" t="str">
        <v/>
      </c>
      <c r="I36088" s="4" t="str">
        <v/>
      </c>
    </row>
    <row r="36089" spans="5:9" ht="16.5" hidden="1">
      <c r="E36089" s="4" t="str">
        <v/>
      </c>
      <c r="F36089" s="102" t="str">
        <f ca="1">IFERROR(__xludf.DUMMYFUNCTION("IMPORTRANGE(H36089,""IDENTITAS UNIT!D9"")"),"#N/A")</f>
        <v>#N/A</v>
      </c>
      <c r="H36089" s="4" t="str">
        <v/>
      </c>
      <c r="I36089" s="4" t="str">
        <v/>
      </c>
    </row>
    <row r="36090" spans="5:9" ht="16.5" hidden="1">
      <c r="E36090" s="4" t="str">
        <v/>
      </c>
      <c r="F36090" s="102" t="str">
        <f ca="1">IFERROR(__xludf.DUMMYFUNCTION("IMPORTRANGE(H36090,""IDENTITAS UNIT!D9"")"),"#N/A")</f>
        <v>#N/A</v>
      </c>
      <c r="H36090" s="4" t="str">
        <v/>
      </c>
      <c r="I36090" s="4" t="str">
        <v/>
      </c>
    </row>
    <row r="36091" spans="5:9" ht="16.5" hidden="1">
      <c r="E36091" s="4" t="str">
        <v/>
      </c>
      <c r="F36091" s="102" t="str">
        <f ca="1">IFERROR(__xludf.DUMMYFUNCTION("IMPORTRANGE(H36091,""IDENTITAS UNIT!D9"")"),"#N/A")</f>
        <v>#N/A</v>
      </c>
      <c r="H36091" s="4" t="str">
        <v/>
      </c>
      <c r="I36091" s="4" t="str">
        <v/>
      </c>
    </row>
    <row r="36092" spans="5:9" ht="16.5" hidden="1">
      <c r="E36092" s="4" t="str">
        <v/>
      </c>
      <c r="F36092" s="102" t="str">
        <f ca="1">IFERROR(__xludf.DUMMYFUNCTION("IMPORTRANGE(H36092,""IDENTITAS UNIT!D9"")"),"#N/A")</f>
        <v>#N/A</v>
      </c>
      <c r="H36092" s="4" t="str">
        <v/>
      </c>
      <c r="I36092" s="4" t="str">
        <v/>
      </c>
    </row>
    <row r="36093" spans="5:9" ht="16.5" hidden="1">
      <c r="E36093" s="4" t="str">
        <v/>
      </c>
      <c r="F36093" s="102" t="str">
        <f ca="1">IFERROR(__xludf.DUMMYFUNCTION("IMPORTRANGE(H36093,""IDENTITAS UNIT!D9"")"),"#N/A")</f>
        <v>#N/A</v>
      </c>
      <c r="H36093" s="4" t="str">
        <v/>
      </c>
      <c r="I36093" s="4" t="str">
        <v/>
      </c>
    </row>
    <row r="36094" spans="5:9" ht="16.5" hidden="1">
      <c r="E36094" s="4" t="str">
        <v/>
      </c>
      <c r="F36094" s="102" t="str">
        <f ca="1">IFERROR(__xludf.DUMMYFUNCTION("IMPORTRANGE(H36094,""IDENTITAS UNIT!D9"")"),"#N/A")</f>
        <v>#N/A</v>
      </c>
      <c r="H36094" s="4" t="str">
        <v/>
      </c>
      <c r="I36094" s="4" t="str">
        <v/>
      </c>
    </row>
    <row r="36095" spans="5:9" ht="16.5" hidden="1">
      <c r="E36095" s="4" t="str">
        <v/>
      </c>
      <c r="F36095" s="102" t="str">
        <f ca="1">IFERROR(__xludf.DUMMYFUNCTION("IMPORTRANGE(H36095,""IDENTITAS UNIT!D9"")"),"#N/A")</f>
        <v>#N/A</v>
      </c>
      <c r="H36095" s="4" t="str">
        <v/>
      </c>
      <c r="I36095" s="4" t="str">
        <v/>
      </c>
    </row>
    <row r="36096" spans="5:9" ht="16.5" hidden="1">
      <c r="E36096" s="4" t="str">
        <v/>
      </c>
      <c r="F36096" s="102" t="str">
        <f ca="1">IFERROR(__xludf.DUMMYFUNCTION("IMPORTRANGE(H36096,""IDENTITAS UNIT!D9"")"),"#N/A")</f>
        <v>#N/A</v>
      </c>
      <c r="H36096" s="4" t="str">
        <v/>
      </c>
      <c r="I36096" s="4" t="str">
        <v/>
      </c>
    </row>
    <row r="36097" spans="5:9" ht="16.5" hidden="1">
      <c r="E36097" s="4" t="str">
        <v/>
      </c>
      <c r="F36097" s="102" t="str">
        <f ca="1">IFERROR(__xludf.DUMMYFUNCTION("IMPORTRANGE(H36097,""IDENTITAS UNIT!D9"")"),"#N/A")</f>
        <v>#N/A</v>
      </c>
      <c r="H36097" s="4" t="str">
        <v/>
      </c>
      <c r="I36097" s="4" t="str">
        <v/>
      </c>
    </row>
    <row r="36098" spans="5:9" ht="16.5" hidden="1">
      <c r="E36098" s="4" t="str">
        <v/>
      </c>
      <c r="F36098" s="102" t="str">
        <f ca="1">IFERROR(__xludf.DUMMYFUNCTION("IMPORTRANGE(H36098,""IDENTITAS UNIT!D9"")"),"#N/A")</f>
        <v>#N/A</v>
      </c>
      <c r="H36098" s="4" t="str">
        <v/>
      </c>
      <c r="I36098" s="4" t="str">
        <v/>
      </c>
    </row>
    <row r="36099" spans="5:9" ht="16.5" hidden="1">
      <c r="E36099" s="4" t="str">
        <v/>
      </c>
      <c r="F36099" s="102" t="str">
        <f ca="1">IFERROR(__xludf.DUMMYFUNCTION("IMPORTRANGE(H36099,""IDENTITAS UNIT!D9"")"),"#N/A")</f>
        <v>#N/A</v>
      </c>
      <c r="H36099" s="4" t="str">
        <v/>
      </c>
      <c r="I36099" s="4" t="str">
        <v/>
      </c>
    </row>
    <row r="36100" spans="5:9" ht="16.5" hidden="1">
      <c r="E36100" s="4" t="str">
        <v/>
      </c>
      <c r="F36100" s="102" t="str">
        <f ca="1">IFERROR(__xludf.DUMMYFUNCTION("IMPORTRANGE(H36100,""IDENTITAS UNIT!D9"")"),"#N/A")</f>
        <v>#N/A</v>
      </c>
      <c r="H36100" s="4" t="str">
        <v/>
      </c>
      <c r="I36100" s="4" t="str">
        <v/>
      </c>
    </row>
    <row r="36101" spans="5:9" ht="16.5" hidden="1">
      <c r="E36101" s="4" t="str">
        <v/>
      </c>
      <c r="F36101" s="102" t="str">
        <f ca="1">IFERROR(__xludf.DUMMYFUNCTION("IMPORTRANGE(H36101,""IDENTITAS UNIT!D9"")"),"#N/A")</f>
        <v>#N/A</v>
      </c>
      <c r="H36101" s="4" t="str">
        <v/>
      </c>
      <c r="I36101" s="4" t="str">
        <v/>
      </c>
    </row>
    <row r="36102" spans="5:9" ht="16.5" hidden="1">
      <c r="E36102" s="4" t="str">
        <v/>
      </c>
      <c r="F36102" s="102" t="str">
        <f ca="1">IFERROR(__xludf.DUMMYFUNCTION("IMPORTRANGE(H36102,""IDENTITAS UNIT!D9"")"),"#N/A")</f>
        <v>#N/A</v>
      </c>
      <c r="H36102" s="4" t="str">
        <v/>
      </c>
      <c r="I36102" s="4" t="str">
        <v/>
      </c>
    </row>
    <row r="36103" spans="5:9" ht="16.5" hidden="1">
      <c r="E36103" s="4" t="str">
        <v/>
      </c>
      <c r="F36103" s="102" t="str">
        <f ca="1">IFERROR(__xludf.DUMMYFUNCTION("IMPORTRANGE(H36103,""IDENTITAS UNIT!D9"")"),"#N/A")</f>
        <v>#N/A</v>
      </c>
      <c r="H36103" s="4" t="str">
        <v/>
      </c>
      <c r="I36103" s="4" t="str">
        <v/>
      </c>
    </row>
    <row r="36104" spans="5:9" ht="16.5" hidden="1">
      <c r="E36104" s="4" t="str">
        <v/>
      </c>
      <c r="F36104" s="102" t="str">
        <f ca="1">IFERROR(__xludf.DUMMYFUNCTION("IMPORTRANGE(H36104,""IDENTITAS UNIT!D9"")"),"#N/A")</f>
        <v>#N/A</v>
      </c>
      <c r="H36104" s="4" t="str">
        <v/>
      </c>
      <c r="I36104" s="4" t="str">
        <v/>
      </c>
    </row>
    <row r="36105" spans="5:9" ht="16.5" hidden="1">
      <c r="E36105" s="4" t="str">
        <v/>
      </c>
      <c r="F36105" s="102" t="str">
        <f ca="1">IFERROR(__xludf.DUMMYFUNCTION("IMPORTRANGE(H36105,""IDENTITAS UNIT!D9"")"),"#N/A")</f>
        <v>#N/A</v>
      </c>
      <c r="H36105" s="4" t="str">
        <v/>
      </c>
      <c r="I36105" s="4" t="str">
        <v/>
      </c>
    </row>
    <row r="36106" spans="5:9" ht="16.5" hidden="1">
      <c r="E36106" s="4" t="str">
        <v/>
      </c>
      <c r="F36106" s="102" t="str">
        <f ca="1">IFERROR(__xludf.DUMMYFUNCTION("IMPORTRANGE(H36106,""IDENTITAS UNIT!D9"")"),"#N/A")</f>
        <v>#N/A</v>
      </c>
      <c r="H36106" s="4" t="str">
        <v/>
      </c>
      <c r="I36106" s="4" t="str">
        <v/>
      </c>
    </row>
    <row r="36107" spans="5:9" ht="16.5" hidden="1">
      <c r="E36107" s="4" t="str">
        <v/>
      </c>
      <c r="F36107" s="102" t="str">
        <f ca="1">IFERROR(__xludf.DUMMYFUNCTION("IMPORTRANGE(H36107,""IDENTITAS UNIT!D9"")"),"#N/A")</f>
        <v>#N/A</v>
      </c>
      <c r="H36107" s="4" t="str">
        <v/>
      </c>
      <c r="I36107" s="4" t="str">
        <v/>
      </c>
    </row>
    <row r="36108" spans="5:9" ht="16.5" hidden="1">
      <c r="E36108" s="4" t="str">
        <v/>
      </c>
      <c r="F36108" s="102" t="str">
        <f ca="1">IFERROR(__xludf.DUMMYFUNCTION("IMPORTRANGE(H36108,""IDENTITAS UNIT!D9"")"),"#N/A")</f>
        <v>#N/A</v>
      </c>
      <c r="H36108" s="4" t="str">
        <v/>
      </c>
      <c r="I36108" s="4" t="str">
        <v/>
      </c>
    </row>
    <row r="36109" spans="5:9" ht="16.5" hidden="1">
      <c r="E36109" s="4" t="str">
        <v/>
      </c>
      <c r="F36109" s="102" t="str">
        <f ca="1">IFERROR(__xludf.DUMMYFUNCTION("IMPORTRANGE(H36109,""IDENTITAS UNIT!D9"")"),"#N/A")</f>
        <v>#N/A</v>
      </c>
      <c r="H36109" s="4" t="str">
        <v/>
      </c>
      <c r="I36109" s="4" t="str">
        <v/>
      </c>
    </row>
    <row r="36110" spans="5:9" ht="16.5" hidden="1">
      <c r="E36110" s="4" t="str">
        <v/>
      </c>
      <c r="F36110" s="102" t="str">
        <f ca="1">IFERROR(__xludf.DUMMYFUNCTION("IMPORTRANGE(H36110,""IDENTITAS UNIT!D9"")"),"#N/A")</f>
        <v>#N/A</v>
      </c>
      <c r="H36110" s="4" t="str">
        <v/>
      </c>
      <c r="I36110" s="4" t="str">
        <v/>
      </c>
    </row>
    <row r="36111" spans="5:9" ht="16.5" hidden="1">
      <c r="E36111" s="4" t="str">
        <v/>
      </c>
      <c r="F36111" s="102" t="str">
        <f ca="1">IFERROR(__xludf.DUMMYFUNCTION("IMPORTRANGE(H36111,""IDENTITAS UNIT!D9"")"),"#N/A")</f>
        <v>#N/A</v>
      </c>
      <c r="H36111" s="4" t="str">
        <v/>
      </c>
      <c r="I36111" s="4" t="str">
        <v/>
      </c>
    </row>
    <row r="36112" spans="5:9" ht="16.5" hidden="1">
      <c r="E36112" s="4" t="str">
        <v/>
      </c>
      <c r="F36112" s="102" t="str">
        <f ca="1">IFERROR(__xludf.DUMMYFUNCTION("IMPORTRANGE(H36112,""IDENTITAS UNIT!D9"")"),"#N/A")</f>
        <v>#N/A</v>
      </c>
      <c r="H36112" s="4" t="str">
        <v/>
      </c>
      <c r="I36112" s="4" t="str">
        <v/>
      </c>
    </row>
    <row r="36113" spans="5:9" ht="16.5" hidden="1">
      <c r="E36113" s="4" t="str">
        <v/>
      </c>
      <c r="F36113" s="102" t="str">
        <f ca="1">IFERROR(__xludf.DUMMYFUNCTION("IMPORTRANGE(H36113,""IDENTITAS UNIT!D9"")"),"#N/A")</f>
        <v>#N/A</v>
      </c>
      <c r="H36113" s="4" t="str">
        <v/>
      </c>
      <c r="I36113" s="4" t="str">
        <v/>
      </c>
    </row>
    <row r="36114" spans="5:9" ht="16.5" hidden="1">
      <c r="E36114" s="4" t="str">
        <v/>
      </c>
      <c r="F36114" s="102" t="str">
        <f ca="1">IFERROR(__xludf.DUMMYFUNCTION("IMPORTRANGE(H36114,""IDENTITAS UNIT!D9"")"),"#N/A")</f>
        <v>#N/A</v>
      </c>
      <c r="H36114" s="4" t="str">
        <v/>
      </c>
      <c r="I36114" s="4" t="str">
        <v/>
      </c>
    </row>
    <row r="36115" spans="5:9" ht="16.5" hidden="1">
      <c r="E36115" s="4" t="str">
        <v/>
      </c>
      <c r="F36115" s="102" t="str">
        <f ca="1">IFERROR(__xludf.DUMMYFUNCTION("IMPORTRANGE(H36115,""IDENTITAS UNIT!D9"")"),"#N/A")</f>
        <v>#N/A</v>
      </c>
      <c r="H36115" s="4" t="str">
        <v/>
      </c>
      <c r="I36115" s="4" t="str">
        <v/>
      </c>
    </row>
    <row r="36116" spans="5:9" ht="16.5" hidden="1">
      <c r="E36116" s="4" t="str">
        <v/>
      </c>
      <c r="F36116" s="102" t="str">
        <f ca="1">IFERROR(__xludf.DUMMYFUNCTION("IMPORTRANGE(H36116,""IDENTITAS UNIT!D9"")"),"#N/A")</f>
        <v>#N/A</v>
      </c>
      <c r="H36116" s="4" t="str">
        <v/>
      </c>
      <c r="I36116" s="4" t="str">
        <v/>
      </c>
    </row>
    <row r="36117" spans="5:9" ht="16.5" hidden="1">
      <c r="E36117" s="4" t="str">
        <v/>
      </c>
      <c r="F36117" s="102" t="str">
        <f ca="1">IFERROR(__xludf.DUMMYFUNCTION("IMPORTRANGE(H36117,""IDENTITAS UNIT!D9"")"),"#N/A")</f>
        <v>#N/A</v>
      </c>
      <c r="H36117" s="4" t="str">
        <v/>
      </c>
      <c r="I36117" s="4" t="str">
        <v/>
      </c>
    </row>
    <row r="36118" spans="5:9" ht="16.5" hidden="1">
      <c r="E36118" s="4" t="str">
        <v/>
      </c>
      <c r="F36118" s="102" t="str">
        <f ca="1">IFERROR(__xludf.DUMMYFUNCTION("IMPORTRANGE(H36118,""IDENTITAS UNIT!D9"")"),"#N/A")</f>
        <v>#N/A</v>
      </c>
      <c r="H36118" s="4" t="str">
        <v/>
      </c>
      <c r="I36118" s="4" t="str">
        <v/>
      </c>
    </row>
    <row r="36119" spans="5:9" ht="16.5" hidden="1">
      <c r="E36119" s="4" t="str">
        <v/>
      </c>
      <c r="F36119" s="102" t="str">
        <f ca="1">IFERROR(__xludf.DUMMYFUNCTION("IMPORTRANGE(H36119,""IDENTITAS UNIT!D9"")"),"#N/A")</f>
        <v>#N/A</v>
      </c>
      <c r="H36119" s="4" t="str">
        <v/>
      </c>
      <c r="I36119" s="4" t="str">
        <v/>
      </c>
    </row>
    <row r="36120" spans="5:9" ht="16.5" hidden="1">
      <c r="E36120" s="4" t="str">
        <v/>
      </c>
      <c r="F36120" s="102" t="str">
        <f ca="1">IFERROR(__xludf.DUMMYFUNCTION("IMPORTRANGE(H36120,""IDENTITAS UNIT!D9"")"),"#N/A")</f>
        <v>#N/A</v>
      </c>
      <c r="H36120" s="4" t="str">
        <v/>
      </c>
      <c r="I36120" s="4" t="str">
        <v/>
      </c>
    </row>
    <row r="36121" spans="5:9" ht="16.5" hidden="1">
      <c r="E36121" s="4" t="str">
        <v/>
      </c>
      <c r="F36121" s="102" t="str">
        <f ca="1">IFERROR(__xludf.DUMMYFUNCTION("IMPORTRANGE(H36121,""IDENTITAS UNIT!D9"")"),"#N/A")</f>
        <v>#N/A</v>
      </c>
      <c r="H36121" s="4" t="str">
        <v/>
      </c>
      <c r="I36121" s="4" t="str">
        <v/>
      </c>
    </row>
    <row r="36122" spans="5:9" ht="16.5" hidden="1">
      <c r="E36122" s="4" t="str">
        <v/>
      </c>
      <c r="F36122" s="102" t="str">
        <f ca="1">IFERROR(__xludf.DUMMYFUNCTION("IMPORTRANGE(H36122,""IDENTITAS UNIT!D9"")"),"#N/A")</f>
        <v>#N/A</v>
      </c>
      <c r="H36122" s="4" t="str">
        <v/>
      </c>
      <c r="I36122" s="4" t="str">
        <v/>
      </c>
    </row>
    <row r="36123" spans="5:9" ht="16.5" hidden="1">
      <c r="E36123" s="4" t="str">
        <v/>
      </c>
      <c r="F36123" s="102" t="str">
        <f ca="1">IFERROR(__xludf.DUMMYFUNCTION("IMPORTRANGE(H36123,""IDENTITAS UNIT!D9"")"),"#N/A")</f>
        <v>#N/A</v>
      </c>
      <c r="H36123" s="4" t="str">
        <v/>
      </c>
      <c r="I36123" s="4" t="str">
        <v/>
      </c>
    </row>
    <row r="36124" spans="5:9" ht="16.5" hidden="1">
      <c r="E36124" s="4" t="str">
        <v/>
      </c>
      <c r="F36124" s="102" t="str">
        <f ca="1">IFERROR(__xludf.DUMMYFUNCTION("IMPORTRANGE(H36124,""IDENTITAS UNIT!D9"")"),"#N/A")</f>
        <v>#N/A</v>
      </c>
      <c r="H36124" s="4" t="str">
        <v/>
      </c>
      <c r="I36124" s="4" t="str">
        <v/>
      </c>
    </row>
    <row r="36125" spans="5:9" ht="16.5" hidden="1">
      <c r="E36125" s="4" t="str">
        <v/>
      </c>
      <c r="F36125" s="102" t="str">
        <f ca="1">IFERROR(__xludf.DUMMYFUNCTION("IMPORTRANGE(H36125,""IDENTITAS UNIT!D9"")"),"#N/A")</f>
        <v>#N/A</v>
      </c>
      <c r="H36125" s="4" t="str">
        <v/>
      </c>
      <c r="I36125" s="4" t="str">
        <v/>
      </c>
    </row>
    <row r="36126" spans="5:9" ht="16.5" hidden="1">
      <c r="E36126" s="4" t="str">
        <v/>
      </c>
      <c r="F36126" s="102" t="str">
        <f ca="1">IFERROR(__xludf.DUMMYFUNCTION("IMPORTRANGE(H36126,""IDENTITAS UNIT!D9"")"),"#N/A")</f>
        <v>#N/A</v>
      </c>
      <c r="H36126" s="4" t="str">
        <v/>
      </c>
      <c r="I36126" s="4" t="str">
        <v/>
      </c>
    </row>
    <row r="36127" spans="5:9" ht="16.5" hidden="1">
      <c r="E36127" s="4" t="str">
        <v/>
      </c>
      <c r="F36127" s="102" t="str">
        <f ca="1">IFERROR(__xludf.DUMMYFUNCTION("IMPORTRANGE(H36127,""IDENTITAS UNIT!D9"")"),"#N/A")</f>
        <v>#N/A</v>
      </c>
      <c r="H36127" s="4" t="str">
        <v/>
      </c>
      <c r="I36127" s="4" t="str">
        <v/>
      </c>
    </row>
    <row r="36128" spans="5:9" ht="16.5" hidden="1">
      <c r="E36128" s="4" t="str">
        <v/>
      </c>
      <c r="F36128" s="102" t="str">
        <f ca="1">IFERROR(__xludf.DUMMYFUNCTION("IMPORTRANGE(H36128,""IDENTITAS UNIT!D9"")"),"#N/A")</f>
        <v>#N/A</v>
      </c>
      <c r="H36128" s="4" t="str">
        <v/>
      </c>
      <c r="I36128" s="4" t="str">
        <v/>
      </c>
    </row>
    <row r="36129" spans="5:9" ht="16.5" hidden="1">
      <c r="E36129" s="4" t="str">
        <v/>
      </c>
      <c r="F36129" s="102" t="str">
        <f ca="1">IFERROR(__xludf.DUMMYFUNCTION("IMPORTRANGE(H36129,""IDENTITAS UNIT!D9"")"),"#N/A")</f>
        <v>#N/A</v>
      </c>
      <c r="H36129" s="4" t="str">
        <v/>
      </c>
      <c r="I36129" s="4" t="str">
        <v/>
      </c>
    </row>
    <row r="36130" spans="5:9" ht="16.5" hidden="1">
      <c r="E36130" s="4" t="str">
        <v/>
      </c>
      <c r="F36130" s="102" t="str">
        <f ca="1">IFERROR(__xludf.DUMMYFUNCTION("IMPORTRANGE(H36130,""IDENTITAS UNIT!D9"")"),"#N/A")</f>
        <v>#N/A</v>
      </c>
      <c r="H36130" s="4" t="str">
        <v/>
      </c>
      <c r="I36130" s="4" t="str">
        <v/>
      </c>
    </row>
    <row r="36131" spans="5:9" ht="16.5" hidden="1">
      <c r="E36131" s="4" t="str">
        <v/>
      </c>
      <c r="F36131" s="102" t="str">
        <f ca="1">IFERROR(__xludf.DUMMYFUNCTION("IMPORTRANGE(H36131,""IDENTITAS UNIT!D9"")"),"#N/A")</f>
        <v>#N/A</v>
      </c>
      <c r="H36131" s="4" t="str">
        <v/>
      </c>
      <c r="I36131" s="4" t="str">
        <v/>
      </c>
    </row>
    <row r="36132" spans="5:9" ht="16.5" hidden="1">
      <c r="E36132" s="4" t="str">
        <v/>
      </c>
      <c r="F36132" s="102" t="str">
        <f ca="1">IFERROR(__xludf.DUMMYFUNCTION("IMPORTRANGE(H36132,""IDENTITAS UNIT!D9"")"),"#N/A")</f>
        <v>#N/A</v>
      </c>
      <c r="H36132" s="4" t="str">
        <v/>
      </c>
      <c r="I36132" s="4" t="str">
        <v/>
      </c>
    </row>
    <row r="36133" spans="5:9" ht="16.5" hidden="1">
      <c r="E36133" s="4" t="str">
        <v/>
      </c>
      <c r="F36133" s="102" t="str">
        <f ca="1">IFERROR(__xludf.DUMMYFUNCTION("IMPORTRANGE(H36133,""IDENTITAS UNIT!D9"")"),"#N/A")</f>
        <v>#N/A</v>
      </c>
      <c r="H36133" s="4" t="str">
        <v/>
      </c>
      <c r="I36133" s="4" t="str">
        <v/>
      </c>
    </row>
    <row r="36134" spans="5:9" ht="16.5" hidden="1">
      <c r="E36134" s="4" t="str">
        <v/>
      </c>
      <c r="F36134" s="102" t="str">
        <f ca="1">IFERROR(__xludf.DUMMYFUNCTION("IMPORTRANGE(H36134,""IDENTITAS UNIT!D9"")"),"#N/A")</f>
        <v>#N/A</v>
      </c>
      <c r="H36134" s="4" t="str">
        <v/>
      </c>
      <c r="I36134" s="4" t="str">
        <v/>
      </c>
    </row>
    <row r="36135" spans="5:9" ht="16.5" hidden="1">
      <c r="E36135" s="4" t="str">
        <v/>
      </c>
      <c r="F36135" s="102" t="str">
        <f ca="1">IFERROR(__xludf.DUMMYFUNCTION("IMPORTRANGE(H36135,""IDENTITAS UNIT!D9"")"),"#N/A")</f>
        <v>#N/A</v>
      </c>
      <c r="H36135" s="4" t="str">
        <v/>
      </c>
      <c r="I36135" s="4" t="str">
        <v/>
      </c>
    </row>
    <row r="36136" spans="5:9" ht="16.5" hidden="1">
      <c r="E36136" s="4" t="str">
        <v/>
      </c>
      <c r="F36136" s="102" t="str">
        <f ca="1">IFERROR(__xludf.DUMMYFUNCTION("IMPORTRANGE(H36136,""IDENTITAS UNIT!D9"")"),"#N/A")</f>
        <v>#N/A</v>
      </c>
      <c r="H36136" s="4" t="str">
        <v/>
      </c>
      <c r="I36136" s="4" t="str">
        <v/>
      </c>
    </row>
    <row r="36137" spans="5:9" ht="16.5" hidden="1">
      <c r="E36137" s="4" t="str">
        <v/>
      </c>
      <c r="F36137" s="102" t="str">
        <f ca="1">IFERROR(__xludf.DUMMYFUNCTION("IMPORTRANGE(H36137,""IDENTITAS UNIT!D9"")"),"#N/A")</f>
        <v>#N/A</v>
      </c>
      <c r="H36137" s="4" t="str">
        <v/>
      </c>
      <c r="I36137" s="4" t="str">
        <v/>
      </c>
    </row>
    <row r="36138" spans="5:9" ht="16.5" hidden="1">
      <c r="E36138" s="4" t="str">
        <v/>
      </c>
      <c r="F36138" s="102" t="str">
        <f ca="1">IFERROR(__xludf.DUMMYFUNCTION("IMPORTRANGE(H36138,""IDENTITAS UNIT!D9"")"),"#N/A")</f>
        <v>#N/A</v>
      </c>
      <c r="H36138" s="4" t="str">
        <v/>
      </c>
      <c r="I36138" s="4" t="str">
        <v/>
      </c>
    </row>
    <row r="36139" spans="5:9" ht="16.5" hidden="1">
      <c r="E36139" s="4" t="str">
        <v/>
      </c>
      <c r="F36139" s="102" t="str">
        <f ca="1">IFERROR(__xludf.DUMMYFUNCTION("IMPORTRANGE(H36139,""IDENTITAS UNIT!D9"")"),"#N/A")</f>
        <v>#N/A</v>
      </c>
      <c r="H36139" s="4" t="str">
        <v/>
      </c>
      <c r="I36139" s="4" t="str">
        <v/>
      </c>
    </row>
    <row r="36140" spans="5:9" ht="16.5" hidden="1">
      <c r="E36140" s="4" t="str">
        <v/>
      </c>
      <c r="F36140" s="102" t="str">
        <f ca="1">IFERROR(__xludf.DUMMYFUNCTION("IMPORTRANGE(H36140,""IDENTITAS UNIT!D9"")"),"#N/A")</f>
        <v>#N/A</v>
      </c>
      <c r="H36140" s="4" t="str">
        <v/>
      </c>
      <c r="I36140" s="4" t="str">
        <v/>
      </c>
    </row>
    <row r="36141" spans="5:9" ht="16.5" hidden="1">
      <c r="E36141" s="4" t="str">
        <v/>
      </c>
      <c r="F36141" s="102" t="str">
        <f ca="1">IFERROR(__xludf.DUMMYFUNCTION("IMPORTRANGE(H36141,""IDENTITAS UNIT!D9"")"),"#N/A")</f>
        <v>#N/A</v>
      </c>
      <c r="H36141" s="4" t="str">
        <v/>
      </c>
      <c r="I36141" s="4" t="str">
        <v/>
      </c>
    </row>
    <row r="36142" spans="5:9" ht="16.5" hidden="1">
      <c r="E36142" s="4" t="str">
        <v/>
      </c>
      <c r="F36142" s="102" t="str">
        <f ca="1">IFERROR(__xludf.DUMMYFUNCTION("IMPORTRANGE(H36142,""IDENTITAS UNIT!D9"")"),"#N/A")</f>
        <v>#N/A</v>
      </c>
      <c r="H36142" s="4" t="str">
        <v/>
      </c>
      <c r="I36142" s="4" t="str">
        <v/>
      </c>
    </row>
    <row r="36143" spans="5:9" ht="16.5" hidden="1">
      <c r="E36143" s="4" t="str">
        <v/>
      </c>
      <c r="F36143" s="102" t="str">
        <f ca="1">IFERROR(__xludf.DUMMYFUNCTION("IMPORTRANGE(H36143,""IDENTITAS UNIT!D9"")"),"#N/A")</f>
        <v>#N/A</v>
      </c>
      <c r="H36143" s="4" t="str">
        <v/>
      </c>
      <c r="I36143" s="4" t="str">
        <v/>
      </c>
    </row>
    <row r="36144" spans="5:9" ht="16.5" hidden="1">
      <c r="E36144" s="4" t="str">
        <v/>
      </c>
      <c r="F36144" s="102" t="str">
        <f ca="1">IFERROR(__xludf.DUMMYFUNCTION("IMPORTRANGE(H36144,""IDENTITAS UNIT!D9"")"),"#N/A")</f>
        <v>#N/A</v>
      </c>
      <c r="H36144" s="4" t="str">
        <v/>
      </c>
      <c r="I36144" s="4" t="str">
        <v/>
      </c>
    </row>
    <row r="36145" spans="5:9" ht="16.5" hidden="1">
      <c r="E36145" s="4" t="str">
        <v/>
      </c>
      <c r="F36145" s="102" t="str">
        <f ca="1">IFERROR(__xludf.DUMMYFUNCTION("IMPORTRANGE(H36145,""IDENTITAS UNIT!D9"")"),"#N/A")</f>
        <v>#N/A</v>
      </c>
      <c r="H36145" s="4" t="str">
        <v/>
      </c>
      <c r="I36145" s="4" t="str">
        <v/>
      </c>
    </row>
    <row r="36146" spans="5:9" ht="16.5" hidden="1">
      <c r="E36146" s="4" t="str">
        <v/>
      </c>
      <c r="F36146" s="102" t="str">
        <f ca="1">IFERROR(__xludf.DUMMYFUNCTION("IMPORTRANGE(H36146,""IDENTITAS UNIT!D9"")"),"#N/A")</f>
        <v>#N/A</v>
      </c>
      <c r="H36146" s="4" t="str">
        <v/>
      </c>
      <c r="I36146" s="4" t="str">
        <v/>
      </c>
    </row>
    <row r="36147" spans="5:9" ht="16.5" hidden="1">
      <c r="E36147" s="4" t="str">
        <v/>
      </c>
      <c r="F36147" s="102" t="str">
        <f ca="1">IFERROR(__xludf.DUMMYFUNCTION("IMPORTRANGE(H36147,""IDENTITAS UNIT!D9"")"),"#N/A")</f>
        <v>#N/A</v>
      </c>
      <c r="H36147" s="4" t="str">
        <v/>
      </c>
      <c r="I36147" s="4" t="str">
        <v/>
      </c>
    </row>
    <row r="36148" spans="5:9" ht="16.5" hidden="1">
      <c r="E36148" s="4" t="str">
        <v/>
      </c>
      <c r="F36148" s="102" t="str">
        <f ca="1">IFERROR(__xludf.DUMMYFUNCTION("IMPORTRANGE(H36148,""IDENTITAS UNIT!D9"")"),"#N/A")</f>
        <v>#N/A</v>
      </c>
      <c r="H36148" s="4" t="str">
        <v/>
      </c>
      <c r="I36148" s="4" t="str">
        <v/>
      </c>
    </row>
    <row r="36149" spans="5:9" ht="16.5" hidden="1">
      <c r="E36149" s="4" t="str">
        <v/>
      </c>
      <c r="F36149" s="102" t="str">
        <f ca="1">IFERROR(__xludf.DUMMYFUNCTION("IMPORTRANGE(H36149,""IDENTITAS UNIT!D9"")"),"#N/A")</f>
        <v>#N/A</v>
      </c>
      <c r="H36149" s="4" t="str">
        <v/>
      </c>
      <c r="I36149" s="4" t="str">
        <v/>
      </c>
    </row>
    <row r="36150" spans="5:9" ht="16.5" hidden="1">
      <c r="E36150" s="4" t="str">
        <v/>
      </c>
      <c r="F36150" s="102" t="str">
        <f ca="1">IFERROR(__xludf.DUMMYFUNCTION("IMPORTRANGE(H36150,""IDENTITAS UNIT!D9"")"),"#N/A")</f>
        <v>#N/A</v>
      </c>
      <c r="H36150" s="4" t="str">
        <v/>
      </c>
      <c r="I36150" s="4" t="str">
        <v/>
      </c>
    </row>
    <row r="36151" spans="5:9" ht="16.5" hidden="1">
      <c r="E36151" s="4" t="str">
        <v/>
      </c>
      <c r="F36151" s="102" t="str">
        <f ca="1">IFERROR(__xludf.DUMMYFUNCTION("IMPORTRANGE(H36151,""IDENTITAS UNIT!D9"")"),"#N/A")</f>
        <v>#N/A</v>
      </c>
      <c r="H36151" s="4" t="str">
        <v/>
      </c>
      <c r="I36151" s="4" t="str">
        <v/>
      </c>
    </row>
    <row r="36152" spans="5:9" ht="16.5" hidden="1">
      <c r="E36152" s="4" t="str">
        <v/>
      </c>
      <c r="F36152" s="102" t="str">
        <f ca="1">IFERROR(__xludf.DUMMYFUNCTION("IMPORTRANGE(H36152,""IDENTITAS UNIT!D9"")"),"#N/A")</f>
        <v>#N/A</v>
      </c>
      <c r="H36152" s="4" t="str">
        <v/>
      </c>
      <c r="I36152" s="4" t="str">
        <v/>
      </c>
    </row>
    <row r="36153" spans="5:9" ht="16.5" hidden="1">
      <c r="E36153" s="4" t="str">
        <v/>
      </c>
      <c r="F36153" s="102" t="str">
        <f ca="1">IFERROR(__xludf.DUMMYFUNCTION("IMPORTRANGE(H36153,""IDENTITAS UNIT!D9"")"),"#N/A")</f>
        <v>#N/A</v>
      </c>
      <c r="H36153" s="4" t="str">
        <v/>
      </c>
      <c r="I36153" s="4" t="str">
        <v/>
      </c>
    </row>
    <row r="36154" spans="5:9" ht="16.5" hidden="1">
      <c r="E36154" s="4" t="str">
        <v/>
      </c>
      <c r="F36154" s="102" t="str">
        <f ca="1">IFERROR(__xludf.DUMMYFUNCTION("IMPORTRANGE(H36154,""IDENTITAS UNIT!D9"")"),"#N/A")</f>
        <v>#N/A</v>
      </c>
      <c r="H36154" s="4" t="str">
        <v/>
      </c>
      <c r="I36154" s="4" t="str">
        <v/>
      </c>
    </row>
    <row r="36155" spans="5:9" ht="16.5" hidden="1">
      <c r="E36155" s="4" t="str">
        <v/>
      </c>
      <c r="F36155" s="102" t="str">
        <f ca="1">IFERROR(__xludf.DUMMYFUNCTION("IMPORTRANGE(H36155,""IDENTITAS UNIT!D9"")"),"#N/A")</f>
        <v>#N/A</v>
      </c>
      <c r="H36155" s="4" t="str">
        <v/>
      </c>
      <c r="I36155" s="4" t="str">
        <v/>
      </c>
    </row>
    <row r="36156" spans="5:9" ht="16.5" hidden="1">
      <c r="E36156" s="4" t="str">
        <v/>
      </c>
      <c r="F36156" s="102" t="str">
        <f ca="1">IFERROR(__xludf.DUMMYFUNCTION("IMPORTRANGE(H36156,""IDENTITAS UNIT!D9"")"),"#N/A")</f>
        <v>#N/A</v>
      </c>
      <c r="H36156" s="4" t="str">
        <v/>
      </c>
      <c r="I36156" s="4" t="str">
        <v/>
      </c>
    </row>
    <row r="36157" spans="5:9" ht="16.5" hidden="1">
      <c r="E36157" s="4" t="str">
        <v/>
      </c>
      <c r="F36157" s="102" t="str">
        <f ca="1">IFERROR(__xludf.DUMMYFUNCTION("IMPORTRANGE(H36157,""IDENTITAS UNIT!D9"")"),"#N/A")</f>
        <v>#N/A</v>
      </c>
      <c r="H36157" s="4" t="str">
        <v/>
      </c>
      <c r="I36157" s="4" t="str">
        <v/>
      </c>
    </row>
    <row r="36158" spans="5:9" ht="16.5" hidden="1">
      <c r="E36158" s="4" t="str">
        <v/>
      </c>
      <c r="F36158" s="102" t="str">
        <f ca="1">IFERROR(__xludf.DUMMYFUNCTION("IMPORTRANGE(H36158,""IDENTITAS UNIT!D9"")"),"#N/A")</f>
        <v>#N/A</v>
      </c>
      <c r="H36158" s="4" t="str">
        <v/>
      </c>
      <c r="I36158" s="4" t="str">
        <v/>
      </c>
    </row>
    <row r="36159" spans="5:9" ht="16.5" hidden="1">
      <c r="E36159" s="4" t="str">
        <v/>
      </c>
      <c r="F36159" s="102" t="str">
        <f ca="1">IFERROR(__xludf.DUMMYFUNCTION("IMPORTRANGE(H36159,""IDENTITAS UNIT!D9"")"),"#N/A")</f>
        <v>#N/A</v>
      </c>
      <c r="H36159" s="4" t="str">
        <v/>
      </c>
      <c r="I36159" s="4" t="str">
        <v/>
      </c>
    </row>
    <row r="36160" spans="5:9" ht="16.5" hidden="1">
      <c r="E36160" s="4" t="str">
        <v/>
      </c>
      <c r="F36160" s="102" t="str">
        <f ca="1">IFERROR(__xludf.DUMMYFUNCTION("IMPORTRANGE(H36160,""IDENTITAS UNIT!D9"")"),"#N/A")</f>
        <v>#N/A</v>
      </c>
      <c r="H36160" s="4" t="str">
        <v/>
      </c>
      <c r="I36160" s="4" t="str">
        <v/>
      </c>
    </row>
    <row r="36161" spans="5:9" ht="16.5" hidden="1">
      <c r="E36161" s="4" t="str">
        <v/>
      </c>
      <c r="F36161" s="102" t="str">
        <f ca="1">IFERROR(__xludf.DUMMYFUNCTION("IMPORTRANGE(H36161,""IDENTITAS UNIT!D9"")"),"#N/A")</f>
        <v>#N/A</v>
      </c>
      <c r="H36161" s="4" t="str">
        <v/>
      </c>
      <c r="I36161" s="4" t="str">
        <v/>
      </c>
    </row>
    <row r="36162" spans="5:9" ht="16.5" hidden="1">
      <c r="E36162" s="4" t="str">
        <v/>
      </c>
      <c r="F36162" s="102" t="str">
        <f ca="1">IFERROR(__xludf.DUMMYFUNCTION("IMPORTRANGE(H36162,""IDENTITAS UNIT!D9"")"),"#N/A")</f>
        <v>#N/A</v>
      </c>
      <c r="H36162" s="4" t="str">
        <v/>
      </c>
      <c r="I36162" s="4" t="str">
        <v/>
      </c>
    </row>
    <row r="36163" spans="5:9" ht="16.5" hidden="1">
      <c r="E36163" s="4" t="str">
        <v/>
      </c>
      <c r="F36163" s="102" t="str">
        <f ca="1">IFERROR(__xludf.DUMMYFUNCTION("IMPORTRANGE(H36163,""IDENTITAS UNIT!D9"")"),"#N/A")</f>
        <v>#N/A</v>
      </c>
      <c r="H36163" s="4" t="str">
        <v/>
      </c>
      <c r="I36163" s="4" t="str">
        <v/>
      </c>
    </row>
    <row r="36164" spans="5:9" ht="16.5" hidden="1">
      <c r="E36164" s="4" t="str">
        <v/>
      </c>
      <c r="F36164" s="102" t="str">
        <f ca="1">IFERROR(__xludf.DUMMYFUNCTION("IMPORTRANGE(H36164,""IDENTITAS UNIT!D9"")"),"#N/A")</f>
        <v>#N/A</v>
      </c>
      <c r="H36164" s="4" t="str">
        <v/>
      </c>
      <c r="I36164" s="4" t="str">
        <v/>
      </c>
    </row>
    <row r="36165" spans="5:9" ht="16.5" hidden="1">
      <c r="E36165" s="4" t="str">
        <v/>
      </c>
      <c r="F36165" s="102" t="str">
        <f ca="1">IFERROR(__xludf.DUMMYFUNCTION("IMPORTRANGE(H36165,""IDENTITAS UNIT!D9"")"),"#N/A")</f>
        <v>#N/A</v>
      </c>
      <c r="H36165" s="4" t="str">
        <v/>
      </c>
      <c r="I36165" s="4" t="str">
        <v/>
      </c>
    </row>
    <row r="36166" spans="5:9" ht="16.5" hidden="1">
      <c r="E36166" s="4" t="str">
        <v/>
      </c>
      <c r="F36166" s="102" t="str">
        <f ca="1">IFERROR(__xludf.DUMMYFUNCTION("IMPORTRANGE(H36166,""IDENTITAS UNIT!D9"")"),"#N/A")</f>
        <v>#N/A</v>
      </c>
      <c r="H36166" s="4" t="str">
        <v/>
      </c>
      <c r="I36166" s="4" t="str">
        <v/>
      </c>
    </row>
    <row r="36167" spans="5:9" ht="16.5" hidden="1">
      <c r="E36167" s="4" t="str">
        <v/>
      </c>
      <c r="F36167" s="102" t="str">
        <f ca="1">IFERROR(__xludf.DUMMYFUNCTION("IMPORTRANGE(H36167,""IDENTITAS UNIT!D9"")"),"#N/A")</f>
        <v>#N/A</v>
      </c>
      <c r="H36167" s="4" t="str">
        <v/>
      </c>
      <c r="I36167" s="4" t="str">
        <v/>
      </c>
    </row>
    <row r="36168" spans="5:9" ht="16.5" hidden="1">
      <c r="E36168" s="4" t="str">
        <v/>
      </c>
      <c r="F36168" s="102" t="str">
        <f ca="1">IFERROR(__xludf.DUMMYFUNCTION("IMPORTRANGE(H36168,""IDENTITAS UNIT!D9"")"),"#N/A")</f>
        <v>#N/A</v>
      </c>
      <c r="H36168" s="4" t="str">
        <v/>
      </c>
      <c r="I36168" s="4" t="str">
        <v/>
      </c>
    </row>
    <row r="36169" spans="5:9" ht="16.5" hidden="1">
      <c r="E36169" s="4" t="str">
        <v/>
      </c>
      <c r="F36169" s="102" t="str">
        <f ca="1">IFERROR(__xludf.DUMMYFUNCTION("IMPORTRANGE(H36169,""IDENTITAS UNIT!D9"")"),"#N/A")</f>
        <v>#N/A</v>
      </c>
      <c r="H36169" s="4" t="str">
        <v/>
      </c>
      <c r="I36169" s="4" t="str">
        <v/>
      </c>
    </row>
    <row r="36170" spans="5:9" ht="16.5" hidden="1">
      <c r="E36170" s="4" t="str">
        <v/>
      </c>
      <c r="F36170" s="102" t="str">
        <f ca="1">IFERROR(__xludf.DUMMYFUNCTION("IMPORTRANGE(H36170,""IDENTITAS UNIT!D9"")"),"#N/A")</f>
        <v>#N/A</v>
      </c>
      <c r="H36170" s="4" t="str">
        <v/>
      </c>
      <c r="I36170" s="4" t="str">
        <v/>
      </c>
    </row>
    <row r="36171" spans="5:9" ht="16.5" hidden="1">
      <c r="E36171" s="4" t="str">
        <v/>
      </c>
      <c r="F36171" s="102" t="str">
        <f ca="1">IFERROR(__xludf.DUMMYFUNCTION("IMPORTRANGE(H36171,""IDENTITAS UNIT!D9"")"),"#N/A")</f>
        <v>#N/A</v>
      </c>
      <c r="H36171" s="4" t="str">
        <v/>
      </c>
      <c r="I36171" s="4" t="str">
        <v/>
      </c>
    </row>
    <row r="36172" spans="5:9" ht="16.5" hidden="1">
      <c r="E36172" s="4" t="str">
        <v/>
      </c>
      <c r="F36172" s="102" t="str">
        <f ca="1">IFERROR(__xludf.DUMMYFUNCTION("IMPORTRANGE(H36172,""IDENTITAS UNIT!D9"")"),"#N/A")</f>
        <v>#N/A</v>
      </c>
      <c r="H36172" s="4" t="str">
        <v/>
      </c>
      <c r="I36172" s="4" t="str">
        <v/>
      </c>
    </row>
    <row r="36173" spans="5:9" ht="16.5" hidden="1">
      <c r="E36173" s="4" t="str">
        <v/>
      </c>
      <c r="F36173" s="102" t="str">
        <f ca="1">IFERROR(__xludf.DUMMYFUNCTION("IMPORTRANGE(H36173,""IDENTITAS UNIT!D9"")"),"#N/A")</f>
        <v>#N/A</v>
      </c>
      <c r="H36173" s="4" t="str">
        <v/>
      </c>
      <c r="I36173" s="4" t="str">
        <v/>
      </c>
    </row>
    <row r="36174" spans="5:9" ht="16.5" hidden="1">
      <c r="E36174" s="4" t="str">
        <v/>
      </c>
      <c r="F36174" s="102" t="str">
        <f ca="1">IFERROR(__xludf.DUMMYFUNCTION("IMPORTRANGE(H36174,""IDENTITAS UNIT!D9"")"),"#N/A")</f>
        <v>#N/A</v>
      </c>
      <c r="H36174" s="4" t="str">
        <v/>
      </c>
      <c r="I36174" s="4" t="str">
        <v/>
      </c>
    </row>
    <row r="36175" spans="5:9" ht="16.5" hidden="1">
      <c r="E36175" s="4" t="str">
        <v/>
      </c>
      <c r="F36175" s="102" t="str">
        <f ca="1">IFERROR(__xludf.DUMMYFUNCTION("IMPORTRANGE(H36175,""IDENTITAS UNIT!D9"")"),"#N/A")</f>
        <v>#N/A</v>
      </c>
      <c r="H36175" s="4" t="str">
        <v/>
      </c>
      <c r="I36175" s="4" t="str">
        <v/>
      </c>
    </row>
    <row r="36176" spans="5:9" ht="16.5" hidden="1">
      <c r="E36176" s="4" t="str">
        <v/>
      </c>
      <c r="F36176" s="102" t="str">
        <f ca="1">IFERROR(__xludf.DUMMYFUNCTION("IMPORTRANGE(H36176,""IDENTITAS UNIT!D9"")"),"#N/A")</f>
        <v>#N/A</v>
      </c>
      <c r="H36176" s="4" t="str">
        <v/>
      </c>
      <c r="I36176" s="4" t="str">
        <v/>
      </c>
    </row>
    <row r="36177" spans="5:9" ht="16.5" hidden="1">
      <c r="E36177" s="4" t="str">
        <v/>
      </c>
      <c r="F36177" s="102" t="str">
        <f ca="1">IFERROR(__xludf.DUMMYFUNCTION("IMPORTRANGE(H36177,""IDENTITAS UNIT!D9"")"),"#N/A")</f>
        <v>#N/A</v>
      </c>
      <c r="H36177" s="4" t="str">
        <v/>
      </c>
      <c r="I36177" s="4" t="str">
        <v/>
      </c>
    </row>
    <row r="36178" spans="5:9" ht="16.5" hidden="1">
      <c r="E36178" s="4" t="str">
        <v/>
      </c>
      <c r="F36178" s="102" t="str">
        <f ca="1">IFERROR(__xludf.DUMMYFUNCTION("IMPORTRANGE(H36178,""IDENTITAS UNIT!D9"")"),"#N/A")</f>
        <v>#N/A</v>
      </c>
      <c r="H36178" s="4" t="str">
        <v/>
      </c>
      <c r="I36178" s="4" t="str">
        <v/>
      </c>
    </row>
    <row r="36179" spans="5:9" ht="16.5" hidden="1">
      <c r="E36179" s="4" t="str">
        <v/>
      </c>
      <c r="F36179" s="102" t="str">
        <f ca="1">IFERROR(__xludf.DUMMYFUNCTION("IMPORTRANGE(H36179,""IDENTITAS UNIT!D9"")"),"#N/A")</f>
        <v>#N/A</v>
      </c>
      <c r="H36179" s="4" t="str">
        <v/>
      </c>
      <c r="I36179" s="4" t="str">
        <v/>
      </c>
    </row>
    <row r="36180" spans="5:9" ht="16.5" hidden="1">
      <c r="E36180" s="4" t="str">
        <v/>
      </c>
      <c r="F36180" s="102" t="str">
        <f ca="1">IFERROR(__xludf.DUMMYFUNCTION("IMPORTRANGE(H36180,""IDENTITAS UNIT!D9"")"),"#N/A")</f>
        <v>#N/A</v>
      </c>
      <c r="H36180" s="4" t="str">
        <v/>
      </c>
      <c r="I36180" s="4" t="str">
        <v/>
      </c>
    </row>
    <row r="36181" spans="5:9" ht="16.5" hidden="1">
      <c r="E36181" s="4" t="str">
        <v/>
      </c>
      <c r="F36181" s="102" t="str">
        <f ca="1">IFERROR(__xludf.DUMMYFUNCTION("IMPORTRANGE(H36181,""IDENTITAS UNIT!D9"")"),"#N/A")</f>
        <v>#N/A</v>
      </c>
      <c r="H36181" s="4" t="str">
        <v/>
      </c>
      <c r="I36181" s="4" t="str">
        <v/>
      </c>
    </row>
    <row r="36182" spans="5:9" ht="16.5" hidden="1">
      <c r="E36182" s="4" t="str">
        <v/>
      </c>
      <c r="F36182" s="102" t="str">
        <f ca="1">IFERROR(__xludf.DUMMYFUNCTION("IMPORTRANGE(H36182,""IDENTITAS UNIT!D9"")"),"#N/A")</f>
        <v>#N/A</v>
      </c>
      <c r="H36182" s="4" t="str">
        <v/>
      </c>
      <c r="I36182" s="4" t="str">
        <v/>
      </c>
    </row>
    <row r="36183" spans="5:9" ht="16.5" hidden="1">
      <c r="E36183" s="4" t="str">
        <v/>
      </c>
      <c r="F36183" s="102" t="str">
        <f ca="1">IFERROR(__xludf.DUMMYFUNCTION("IMPORTRANGE(H36183,""IDENTITAS UNIT!D9"")"),"#N/A")</f>
        <v>#N/A</v>
      </c>
      <c r="H36183" s="4" t="str">
        <v/>
      </c>
      <c r="I36183" s="4" t="str">
        <v/>
      </c>
    </row>
    <row r="36184" spans="5:9" ht="16.5" hidden="1">
      <c r="E36184" s="4" t="str">
        <v/>
      </c>
      <c r="F36184" s="102" t="str">
        <f ca="1">IFERROR(__xludf.DUMMYFUNCTION("IMPORTRANGE(H36184,""IDENTITAS UNIT!D9"")"),"#N/A")</f>
        <v>#N/A</v>
      </c>
      <c r="H36184" s="4" t="str">
        <v/>
      </c>
      <c r="I36184" s="4" t="str">
        <v/>
      </c>
    </row>
    <row r="36185" spans="5:9" ht="16.5" hidden="1">
      <c r="E36185" s="4" t="str">
        <v/>
      </c>
      <c r="F36185" s="102" t="str">
        <f ca="1">IFERROR(__xludf.DUMMYFUNCTION("IMPORTRANGE(H36185,""IDENTITAS UNIT!D9"")"),"#N/A")</f>
        <v>#N/A</v>
      </c>
      <c r="H36185" s="4" t="str">
        <v/>
      </c>
      <c r="I36185" s="4" t="str">
        <v/>
      </c>
    </row>
    <row r="36186" spans="5:9" ht="16.5" hidden="1">
      <c r="E36186" s="4" t="str">
        <v/>
      </c>
      <c r="F36186" s="102" t="str">
        <f ca="1">IFERROR(__xludf.DUMMYFUNCTION("IMPORTRANGE(H36186,""IDENTITAS UNIT!D9"")"),"#N/A")</f>
        <v>#N/A</v>
      </c>
      <c r="H36186" s="4" t="str">
        <v/>
      </c>
      <c r="I36186" s="4" t="str">
        <v/>
      </c>
    </row>
    <row r="36187" spans="5:9" ht="16.5" hidden="1">
      <c r="E36187" s="4" t="str">
        <v/>
      </c>
      <c r="F36187" s="102" t="str">
        <f ca="1">IFERROR(__xludf.DUMMYFUNCTION("IMPORTRANGE(H36187,""IDENTITAS UNIT!D9"")"),"#N/A")</f>
        <v>#N/A</v>
      </c>
      <c r="H36187" s="4" t="str">
        <v/>
      </c>
      <c r="I36187" s="4" t="str">
        <v/>
      </c>
    </row>
    <row r="36188" spans="5:9" ht="16.5" hidden="1">
      <c r="E36188" s="4" t="str">
        <v/>
      </c>
      <c r="F36188" s="102" t="str">
        <f ca="1">IFERROR(__xludf.DUMMYFUNCTION("IMPORTRANGE(H36188,""IDENTITAS UNIT!D9"")"),"#N/A")</f>
        <v>#N/A</v>
      </c>
      <c r="H36188" s="4" t="str">
        <v/>
      </c>
      <c r="I36188" s="4" t="str">
        <v/>
      </c>
    </row>
    <row r="36189" spans="5:9" ht="16.5" hidden="1">
      <c r="E36189" s="4" t="str">
        <v/>
      </c>
      <c r="F36189" s="102" t="str">
        <f ca="1">IFERROR(__xludf.DUMMYFUNCTION("IMPORTRANGE(H36189,""IDENTITAS UNIT!D9"")"),"#N/A")</f>
        <v>#N/A</v>
      </c>
      <c r="H36189" s="4" t="str">
        <v/>
      </c>
      <c r="I36189" s="4" t="str">
        <v/>
      </c>
    </row>
    <row r="36190" spans="5:9" ht="16.5" hidden="1">
      <c r="E36190" s="4" t="str">
        <v/>
      </c>
      <c r="F36190" s="102" t="str">
        <f ca="1">IFERROR(__xludf.DUMMYFUNCTION("IMPORTRANGE(H36190,""IDENTITAS UNIT!D9"")"),"#N/A")</f>
        <v>#N/A</v>
      </c>
      <c r="H36190" s="4" t="str">
        <v/>
      </c>
      <c r="I36190" s="4" t="str">
        <v/>
      </c>
    </row>
    <row r="36191" spans="5:9" ht="16.5" hidden="1">
      <c r="E36191" s="4" t="str">
        <v/>
      </c>
      <c r="F36191" s="102" t="str">
        <f ca="1">IFERROR(__xludf.DUMMYFUNCTION("IMPORTRANGE(H36191,""IDENTITAS UNIT!D9"")"),"#N/A")</f>
        <v>#N/A</v>
      </c>
      <c r="H36191" s="4" t="str">
        <v/>
      </c>
      <c r="I36191" s="4" t="str">
        <v/>
      </c>
    </row>
    <row r="36192" spans="5:9" ht="16.5" hidden="1">
      <c r="E36192" s="4" t="str">
        <v/>
      </c>
      <c r="F36192" s="102" t="str">
        <f ca="1">IFERROR(__xludf.DUMMYFUNCTION("IMPORTRANGE(H36192,""IDENTITAS UNIT!D9"")"),"#N/A")</f>
        <v>#N/A</v>
      </c>
      <c r="H36192" s="4" t="str">
        <v/>
      </c>
      <c r="I36192" s="4" t="str">
        <v/>
      </c>
    </row>
    <row r="36193" spans="5:9" ht="16.5" hidden="1">
      <c r="E36193" s="4" t="str">
        <v/>
      </c>
      <c r="F36193" s="102" t="str">
        <f ca="1">IFERROR(__xludf.DUMMYFUNCTION("IMPORTRANGE(H36193,""IDENTITAS UNIT!D9"")"),"#N/A")</f>
        <v>#N/A</v>
      </c>
      <c r="H36193" s="4" t="str">
        <v/>
      </c>
      <c r="I36193" s="4" t="str">
        <v/>
      </c>
    </row>
    <row r="36194" spans="5:9" ht="16.5" hidden="1">
      <c r="E36194" s="4" t="str">
        <v/>
      </c>
      <c r="F36194" s="102" t="str">
        <f ca="1">IFERROR(__xludf.DUMMYFUNCTION("IMPORTRANGE(H36194,""IDENTITAS UNIT!D9"")"),"#N/A")</f>
        <v>#N/A</v>
      </c>
      <c r="H36194" s="4" t="str">
        <v/>
      </c>
      <c r="I36194" s="4" t="str">
        <v/>
      </c>
    </row>
    <row r="36195" spans="5:9" ht="16.5" hidden="1">
      <c r="E36195" s="4" t="str">
        <v/>
      </c>
      <c r="F36195" s="102" t="str">
        <f ca="1">IFERROR(__xludf.DUMMYFUNCTION("IMPORTRANGE(H36195,""IDENTITAS UNIT!D9"")"),"#N/A")</f>
        <v>#N/A</v>
      </c>
      <c r="H36195" s="4" t="str">
        <v/>
      </c>
      <c r="I36195" s="4" t="str">
        <v/>
      </c>
    </row>
    <row r="36196" spans="5:9" ht="16.5" hidden="1">
      <c r="E36196" s="4" t="str">
        <v/>
      </c>
      <c r="F36196" s="102" t="str">
        <f ca="1">IFERROR(__xludf.DUMMYFUNCTION("IMPORTRANGE(H36196,""IDENTITAS UNIT!D9"")"),"#N/A")</f>
        <v>#N/A</v>
      </c>
      <c r="H36196" s="4" t="str">
        <v/>
      </c>
      <c r="I36196" s="4" t="str">
        <v/>
      </c>
    </row>
    <row r="36197" spans="5:9" ht="16.5" hidden="1">
      <c r="E36197" s="4" t="str">
        <v/>
      </c>
      <c r="F36197" s="102" t="str">
        <f ca="1">IFERROR(__xludf.DUMMYFUNCTION("IMPORTRANGE(H36197,""IDENTITAS UNIT!D9"")"),"#N/A")</f>
        <v>#N/A</v>
      </c>
      <c r="H36197" s="4" t="str">
        <v/>
      </c>
      <c r="I36197" s="4" t="str">
        <v/>
      </c>
    </row>
    <row r="36198" spans="5:9" ht="16.5" hidden="1">
      <c r="E36198" s="4" t="str">
        <v/>
      </c>
      <c r="F36198" s="102" t="str">
        <f ca="1">IFERROR(__xludf.DUMMYFUNCTION("IMPORTRANGE(H36198,""IDENTITAS UNIT!D9"")"),"#N/A")</f>
        <v>#N/A</v>
      </c>
      <c r="H36198" s="4" t="str">
        <v/>
      </c>
      <c r="I36198" s="4" t="str">
        <v/>
      </c>
    </row>
    <row r="36199" spans="5:9" ht="16.5" hidden="1">
      <c r="E36199" s="4" t="str">
        <v/>
      </c>
      <c r="F36199" s="102" t="str">
        <f ca="1">IFERROR(__xludf.DUMMYFUNCTION("IMPORTRANGE(H36199,""IDENTITAS UNIT!D9"")"),"#N/A")</f>
        <v>#N/A</v>
      </c>
      <c r="H36199" s="4" t="str">
        <v/>
      </c>
      <c r="I36199" s="4" t="str">
        <v/>
      </c>
    </row>
    <row r="36200" spans="5:9" ht="16.5" hidden="1">
      <c r="E36200" s="4" t="str">
        <v/>
      </c>
      <c r="F36200" s="102" t="str">
        <f ca="1">IFERROR(__xludf.DUMMYFUNCTION("IMPORTRANGE(H36200,""IDENTITAS UNIT!D9"")"),"#N/A")</f>
        <v>#N/A</v>
      </c>
      <c r="H36200" s="4" t="str">
        <v/>
      </c>
      <c r="I36200" s="4" t="str">
        <v/>
      </c>
    </row>
    <row r="36201" spans="5:9" ht="16.5" hidden="1">
      <c r="E36201" s="4" t="str">
        <v/>
      </c>
      <c r="F36201" s="102" t="str">
        <f ca="1">IFERROR(__xludf.DUMMYFUNCTION("IMPORTRANGE(H36201,""IDENTITAS UNIT!D9"")"),"#N/A")</f>
        <v>#N/A</v>
      </c>
      <c r="H36201" s="4" t="str">
        <v/>
      </c>
      <c r="I36201" s="4" t="str">
        <v/>
      </c>
    </row>
    <row r="36202" spans="5:9" ht="16.5" hidden="1">
      <c r="E36202" s="4" t="str">
        <v/>
      </c>
      <c r="F36202" s="102" t="str">
        <f ca="1">IFERROR(__xludf.DUMMYFUNCTION("IMPORTRANGE(H36202,""IDENTITAS UNIT!D9"")"),"#N/A")</f>
        <v>#N/A</v>
      </c>
      <c r="H36202" s="4" t="str">
        <v/>
      </c>
      <c r="I36202" s="4" t="str">
        <v/>
      </c>
    </row>
    <row r="36203" spans="5:9" ht="16.5" hidden="1">
      <c r="E36203" s="4" t="str">
        <v/>
      </c>
      <c r="F36203" s="102" t="str">
        <f ca="1">IFERROR(__xludf.DUMMYFUNCTION("IMPORTRANGE(H36203,""IDENTITAS UNIT!D9"")"),"#N/A")</f>
        <v>#N/A</v>
      </c>
      <c r="H36203" s="4" t="str">
        <v/>
      </c>
      <c r="I36203" s="4" t="str">
        <v/>
      </c>
    </row>
    <row r="36204" spans="5:9" ht="16.5" hidden="1">
      <c r="E36204" s="4" t="str">
        <v/>
      </c>
      <c r="F36204" s="102" t="str">
        <f ca="1">IFERROR(__xludf.DUMMYFUNCTION("IMPORTRANGE(H36204,""IDENTITAS UNIT!D9"")"),"#N/A")</f>
        <v>#N/A</v>
      </c>
      <c r="H36204" s="4" t="str">
        <v/>
      </c>
      <c r="I36204" s="4" t="str">
        <v/>
      </c>
    </row>
    <row r="36205" spans="5:9" ht="16.5" hidden="1">
      <c r="E36205" s="4" t="str">
        <v/>
      </c>
      <c r="F36205" s="102" t="str">
        <f ca="1">IFERROR(__xludf.DUMMYFUNCTION("IMPORTRANGE(H36205,""IDENTITAS UNIT!D9"")"),"#N/A")</f>
        <v>#N/A</v>
      </c>
      <c r="H36205" s="4" t="str">
        <v/>
      </c>
      <c r="I36205" s="4" t="str">
        <v/>
      </c>
    </row>
    <row r="36206" spans="5:9" ht="16.5" hidden="1">
      <c r="E36206" s="4" t="str">
        <v/>
      </c>
      <c r="F36206" s="102" t="str">
        <f ca="1">IFERROR(__xludf.DUMMYFUNCTION("IMPORTRANGE(H36206,""IDENTITAS UNIT!D9"")"),"#N/A")</f>
        <v>#N/A</v>
      </c>
      <c r="H36206" s="4" t="str">
        <v/>
      </c>
      <c r="I36206" s="4" t="str">
        <v/>
      </c>
    </row>
    <row r="36207" spans="5:9" ht="16.5" hidden="1">
      <c r="E36207" s="4" t="str">
        <v/>
      </c>
      <c r="F36207" s="102" t="str">
        <f ca="1">IFERROR(__xludf.DUMMYFUNCTION("IMPORTRANGE(H36207,""IDENTITAS UNIT!D9"")"),"#N/A")</f>
        <v>#N/A</v>
      </c>
      <c r="H36207" s="4" t="str">
        <v/>
      </c>
      <c r="I36207" s="4" t="str">
        <v/>
      </c>
    </row>
    <row r="36208" spans="5:9" ht="16.5" hidden="1">
      <c r="E36208" s="4" t="str">
        <v/>
      </c>
      <c r="F36208" s="102" t="str">
        <f ca="1">IFERROR(__xludf.DUMMYFUNCTION("IMPORTRANGE(H36208,""IDENTITAS UNIT!D9"")"),"#N/A")</f>
        <v>#N/A</v>
      </c>
      <c r="H36208" s="4" t="str">
        <v/>
      </c>
      <c r="I36208" s="4" t="str">
        <v/>
      </c>
    </row>
    <row r="36209" spans="5:9" ht="16.5" hidden="1">
      <c r="E36209" s="4" t="str">
        <v/>
      </c>
      <c r="F36209" s="102" t="str">
        <f ca="1">IFERROR(__xludf.DUMMYFUNCTION("IMPORTRANGE(H36209,""IDENTITAS UNIT!D9"")"),"#N/A")</f>
        <v>#N/A</v>
      </c>
      <c r="H36209" s="4" t="str">
        <v/>
      </c>
      <c r="I36209" s="4" t="str">
        <v/>
      </c>
    </row>
    <row r="36210" spans="5:9" ht="16.5" hidden="1">
      <c r="E36210" s="4" t="str">
        <v/>
      </c>
      <c r="F36210" s="102" t="str">
        <f ca="1">IFERROR(__xludf.DUMMYFUNCTION("IMPORTRANGE(H36210,""IDENTITAS UNIT!D9"")"),"#N/A")</f>
        <v>#N/A</v>
      </c>
      <c r="H36210" s="4" t="str">
        <v/>
      </c>
      <c r="I36210" s="4" t="str">
        <v/>
      </c>
    </row>
    <row r="36211" spans="5:9" ht="16.5" hidden="1">
      <c r="E36211" s="4" t="str">
        <v/>
      </c>
      <c r="F36211" s="102" t="str">
        <f ca="1">IFERROR(__xludf.DUMMYFUNCTION("IMPORTRANGE(H36211,""IDENTITAS UNIT!D9"")"),"#N/A")</f>
        <v>#N/A</v>
      </c>
      <c r="H36211" s="4" t="str">
        <v/>
      </c>
      <c r="I36211" s="4" t="str">
        <v/>
      </c>
    </row>
    <row r="36212" spans="5:9" ht="16.5" hidden="1">
      <c r="E36212" s="4" t="str">
        <v/>
      </c>
      <c r="F36212" s="102" t="str">
        <f ca="1">IFERROR(__xludf.DUMMYFUNCTION("IMPORTRANGE(H36212,""IDENTITAS UNIT!D9"")"),"#N/A")</f>
        <v>#N/A</v>
      </c>
      <c r="H36212" s="4" t="str">
        <v/>
      </c>
      <c r="I36212" s="4" t="str">
        <v/>
      </c>
    </row>
    <row r="36213" spans="5:9" ht="16.5" hidden="1">
      <c r="E36213" s="4" t="str">
        <v/>
      </c>
      <c r="F36213" s="102" t="str">
        <f ca="1">IFERROR(__xludf.DUMMYFUNCTION("IMPORTRANGE(H36213,""IDENTITAS UNIT!D9"")"),"#N/A")</f>
        <v>#N/A</v>
      </c>
      <c r="H36213" s="4" t="str">
        <v/>
      </c>
      <c r="I36213" s="4" t="str">
        <v/>
      </c>
    </row>
    <row r="36214" spans="5:9" ht="16.5" hidden="1">
      <c r="E36214" s="4" t="str">
        <v/>
      </c>
      <c r="F36214" s="102" t="str">
        <f ca="1">IFERROR(__xludf.DUMMYFUNCTION("IMPORTRANGE(H36214,""IDENTITAS UNIT!D9"")"),"#N/A")</f>
        <v>#N/A</v>
      </c>
      <c r="H36214" s="4" t="str">
        <v/>
      </c>
      <c r="I36214" s="4" t="str">
        <v/>
      </c>
    </row>
    <row r="36215" spans="5:9" ht="16.5" hidden="1">
      <c r="E36215" s="4" t="str">
        <v/>
      </c>
      <c r="F36215" s="102" t="str">
        <f ca="1">IFERROR(__xludf.DUMMYFUNCTION("IMPORTRANGE(H36215,""IDENTITAS UNIT!D9"")"),"#N/A")</f>
        <v>#N/A</v>
      </c>
      <c r="H36215" s="4" t="str">
        <v/>
      </c>
      <c r="I36215" s="4" t="str">
        <v/>
      </c>
    </row>
    <row r="36216" spans="5:9" ht="16.5" hidden="1">
      <c r="E36216" s="4" t="str">
        <v/>
      </c>
      <c r="F36216" s="102" t="str">
        <f ca="1">IFERROR(__xludf.DUMMYFUNCTION("IMPORTRANGE(H36216,""IDENTITAS UNIT!D9"")"),"#N/A")</f>
        <v>#N/A</v>
      </c>
      <c r="H36216" s="4" t="str">
        <v/>
      </c>
      <c r="I36216" s="4" t="str">
        <v/>
      </c>
    </row>
    <row r="36217" spans="5:9" ht="16.5" hidden="1">
      <c r="E36217" s="4" t="str">
        <v/>
      </c>
      <c r="F36217" s="102" t="str">
        <f ca="1">IFERROR(__xludf.DUMMYFUNCTION("IMPORTRANGE(H36217,""IDENTITAS UNIT!D9"")"),"#N/A")</f>
        <v>#N/A</v>
      </c>
      <c r="H36217" s="4" t="str">
        <v/>
      </c>
      <c r="I36217" s="4" t="str">
        <v/>
      </c>
    </row>
    <row r="36218" spans="5:9" ht="16.5" hidden="1">
      <c r="E36218" s="4" t="str">
        <v/>
      </c>
      <c r="F36218" s="102" t="str">
        <f ca="1">IFERROR(__xludf.DUMMYFUNCTION("IMPORTRANGE(H36218,""IDENTITAS UNIT!D9"")"),"#N/A")</f>
        <v>#N/A</v>
      </c>
      <c r="H36218" s="4" t="str">
        <v/>
      </c>
      <c r="I36218" s="4" t="str">
        <v/>
      </c>
    </row>
    <row r="36219" spans="5:9" ht="16.5" hidden="1">
      <c r="E36219" s="4" t="str">
        <v/>
      </c>
      <c r="F36219" s="102" t="str">
        <f ca="1">IFERROR(__xludf.DUMMYFUNCTION("IMPORTRANGE(H36219,""IDENTITAS UNIT!D9"")"),"#N/A")</f>
        <v>#N/A</v>
      </c>
      <c r="H36219" s="4" t="str">
        <v/>
      </c>
      <c r="I36219" s="4" t="str">
        <v/>
      </c>
    </row>
    <row r="36220" spans="5:9" ht="16.5" hidden="1">
      <c r="E36220" s="4" t="str">
        <v/>
      </c>
      <c r="F36220" s="102" t="str">
        <f ca="1">IFERROR(__xludf.DUMMYFUNCTION("IMPORTRANGE(H36220,""IDENTITAS UNIT!D9"")"),"#N/A")</f>
        <v>#N/A</v>
      </c>
      <c r="H36220" s="4" t="str">
        <v/>
      </c>
      <c r="I36220" s="4" t="str">
        <v/>
      </c>
    </row>
    <row r="36221" spans="5:9" ht="16.5" hidden="1">
      <c r="E36221" s="4" t="str">
        <v/>
      </c>
      <c r="F36221" s="102" t="str">
        <f ca="1">IFERROR(__xludf.DUMMYFUNCTION("IMPORTRANGE(H36221,""IDENTITAS UNIT!D9"")"),"#N/A")</f>
        <v>#N/A</v>
      </c>
      <c r="H36221" s="4" t="str">
        <v/>
      </c>
      <c r="I36221" s="4" t="str">
        <v/>
      </c>
    </row>
    <row r="36222" spans="5:9" ht="16.5" hidden="1">
      <c r="E36222" s="4" t="str">
        <v/>
      </c>
      <c r="F36222" s="102" t="str">
        <f ca="1">IFERROR(__xludf.DUMMYFUNCTION("IMPORTRANGE(H36222,""IDENTITAS UNIT!D9"")"),"#N/A")</f>
        <v>#N/A</v>
      </c>
      <c r="H36222" s="4" t="str">
        <v/>
      </c>
      <c r="I36222" s="4" t="str">
        <v/>
      </c>
    </row>
    <row r="36223" spans="5:9" ht="16.5" hidden="1">
      <c r="E36223" s="4" t="str">
        <v/>
      </c>
      <c r="F36223" s="102" t="str">
        <f ca="1">IFERROR(__xludf.DUMMYFUNCTION("IMPORTRANGE(H36223,""IDENTITAS UNIT!D9"")"),"#N/A")</f>
        <v>#N/A</v>
      </c>
      <c r="H36223" s="4" t="str">
        <v/>
      </c>
      <c r="I36223" s="4" t="str">
        <v/>
      </c>
    </row>
    <row r="36224" spans="5:9" ht="16.5" hidden="1">
      <c r="E36224" s="4" t="str">
        <v/>
      </c>
      <c r="F36224" s="102" t="str">
        <f ca="1">IFERROR(__xludf.DUMMYFUNCTION("IMPORTRANGE(H36224,""IDENTITAS UNIT!D9"")"),"#N/A")</f>
        <v>#N/A</v>
      </c>
      <c r="H36224" s="4" t="str">
        <v/>
      </c>
      <c r="I36224" s="4" t="str">
        <v/>
      </c>
    </row>
    <row r="36225" spans="5:9" ht="16.5" hidden="1">
      <c r="E36225" s="4" t="str">
        <v/>
      </c>
      <c r="F36225" s="102" t="str">
        <f ca="1">IFERROR(__xludf.DUMMYFUNCTION("IMPORTRANGE(H36225,""IDENTITAS UNIT!D9"")"),"#N/A")</f>
        <v>#N/A</v>
      </c>
      <c r="H36225" s="4" t="str">
        <v/>
      </c>
      <c r="I36225" s="4" t="str">
        <v/>
      </c>
    </row>
    <row r="36226" spans="5:9" ht="16.5" hidden="1">
      <c r="E36226" s="4" t="str">
        <v/>
      </c>
      <c r="F36226" s="102" t="str">
        <f ca="1">IFERROR(__xludf.DUMMYFUNCTION("IMPORTRANGE(H36226,""IDENTITAS UNIT!D9"")"),"#N/A")</f>
        <v>#N/A</v>
      </c>
      <c r="H36226" s="4" t="str">
        <v/>
      </c>
      <c r="I36226" s="4" t="str">
        <v/>
      </c>
    </row>
    <row r="36227" spans="5:9" ht="16.5" hidden="1">
      <c r="E36227" s="4" t="str">
        <v/>
      </c>
      <c r="F36227" s="102" t="str">
        <f ca="1">IFERROR(__xludf.DUMMYFUNCTION("IMPORTRANGE(H36227,""IDENTITAS UNIT!D9"")"),"#N/A")</f>
        <v>#N/A</v>
      </c>
      <c r="H36227" s="4" t="str">
        <v/>
      </c>
      <c r="I36227" s="4" t="str">
        <v/>
      </c>
    </row>
    <row r="36228" spans="5:9" ht="16.5" hidden="1">
      <c r="E36228" s="4" t="str">
        <v/>
      </c>
      <c r="F36228" s="102" t="str">
        <f ca="1">IFERROR(__xludf.DUMMYFUNCTION("IMPORTRANGE(H36228,""IDENTITAS UNIT!D9"")"),"#N/A")</f>
        <v>#N/A</v>
      </c>
      <c r="H36228" s="4" t="str">
        <v/>
      </c>
      <c r="I36228" s="4" t="str">
        <v/>
      </c>
    </row>
    <row r="36229" spans="5:9" ht="16.5" hidden="1">
      <c r="E36229" s="4" t="str">
        <v/>
      </c>
      <c r="F36229" s="102" t="str">
        <f ca="1">IFERROR(__xludf.DUMMYFUNCTION("IMPORTRANGE(H36229,""IDENTITAS UNIT!D9"")"),"#N/A")</f>
        <v>#N/A</v>
      </c>
      <c r="H36229" s="4" t="str">
        <v/>
      </c>
      <c r="I36229" s="4" t="str">
        <v/>
      </c>
    </row>
    <row r="36230" spans="5:9" ht="16.5" hidden="1">
      <c r="E36230" s="4" t="str">
        <v/>
      </c>
      <c r="F36230" s="102" t="str">
        <f ca="1">IFERROR(__xludf.DUMMYFUNCTION("IMPORTRANGE(H36230,""IDENTITAS UNIT!D9"")"),"#N/A")</f>
        <v>#N/A</v>
      </c>
      <c r="H36230" s="4" t="str">
        <v/>
      </c>
      <c r="I36230" s="4" t="str">
        <v/>
      </c>
    </row>
    <row r="36231" spans="5:9" ht="16.5" hidden="1">
      <c r="E36231" s="4" t="str">
        <v/>
      </c>
      <c r="F36231" s="102" t="str">
        <f ca="1">IFERROR(__xludf.DUMMYFUNCTION("IMPORTRANGE(H36231,""IDENTITAS UNIT!D9"")"),"#N/A")</f>
        <v>#N/A</v>
      </c>
      <c r="H36231" s="4" t="str">
        <v/>
      </c>
      <c r="I36231" s="4" t="str">
        <v/>
      </c>
    </row>
    <row r="36232" spans="5:9" ht="16.5" hidden="1">
      <c r="E36232" s="4" t="str">
        <v/>
      </c>
      <c r="F36232" s="102" t="str">
        <f ca="1">IFERROR(__xludf.DUMMYFUNCTION("IMPORTRANGE(H36232,""IDENTITAS UNIT!D9"")"),"#N/A")</f>
        <v>#N/A</v>
      </c>
      <c r="H36232" s="4" t="str">
        <v/>
      </c>
      <c r="I36232" s="4" t="str">
        <v/>
      </c>
    </row>
    <row r="36233" spans="5:9" ht="16.5" hidden="1">
      <c r="E36233" s="4" t="str">
        <v/>
      </c>
      <c r="F36233" s="102" t="str">
        <f ca="1">IFERROR(__xludf.DUMMYFUNCTION("IMPORTRANGE(H36233,""IDENTITAS UNIT!D9"")"),"#N/A")</f>
        <v>#N/A</v>
      </c>
      <c r="H36233" s="4" t="str">
        <v/>
      </c>
      <c r="I36233" s="4" t="str">
        <v/>
      </c>
    </row>
    <row r="36234" spans="5:9" ht="16.5" hidden="1">
      <c r="E36234" s="4" t="str">
        <v/>
      </c>
      <c r="F36234" s="102" t="str">
        <f ca="1">IFERROR(__xludf.DUMMYFUNCTION("IMPORTRANGE(H36234,""IDENTITAS UNIT!D9"")"),"#N/A")</f>
        <v>#N/A</v>
      </c>
      <c r="H36234" s="4" t="str">
        <v/>
      </c>
      <c r="I36234" s="4" t="str">
        <v/>
      </c>
    </row>
    <row r="36235" spans="5:9" ht="16.5" hidden="1">
      <c r="E36235" s="4" t="str">
        <v/>
      </c>
      <c r="F36235" s="102" t="str">
        <f ca="1">IFERROR(__xludf.DUMMYFUNCTION("IMPORTRANGE(H36235,""IDENTITAS UNIT!D9"")"),"#N/A")</f>
        <v>#N/A</v>
      </c>
      <c r="H36235" s="4" t="str">
        <v/>
      </c>
      <c r="I36235" s="4" t="str">
        <v/>
      </c>
    </row>
    <row r="36236" spans="5:9" ht="16.5" hidden="1">
      <c r="E36236" s="4" t="str">
        <v/>
      </c>
      <c r="F36236" s="102" t="str">
        <f ca="1">IFERROR(__xludf.DUMMYFUNCTION("IMPORTRANGE(H36236,""IDENTITAS UNIT!D9"")"),"#N/A")</f>
        <v>#N/A</v>
      </c>
      <c r="H36236" s="4" t="str">
        <v/>
      </c>
      <c r="I36236" s="4" t="str">
        <v/>
      </c>
    </row>
    <row r="36237" spans="5:9" ht="16.5" hidden="1">
      <c r="E36237" s="4" t="str">
        <v/>
      </c>
      <c r="F36237" s="102" t="str">
        <f ca="1">IFERROR(__xludf.DUMMYFUNCTION("IMPORTRANGE(H36237,""IDENTITAS UNIT!D9"")"),"#N/A")</f>
        <v>#N/A</v>
      </c>
      <c r="H36237" s="4" t="str">
        <v/>
      </c>
      <c r="I36237" s="4" t="str">
        <v/>
      </c>
    </row>
    <row r="36238" spans="5:9" ht="16.5" hidden="1">
      <c r="E36238" s="4" t="str">
        <v/>
      </c>
      <c r="F36238" s="102" t="str">
        <f ca="1">IFERROR(__xludf.DUMMYFUNCTION("IMPORTRANGE(H36238,""IDENTITAS UNIT!D9"")"),"#N/A")</f>
        <v>#N/A</v>
      </c>
      <c r="H36238" s="4" t="str">
        <v/>
      </c>
      <c r="I36238" s="4" t="str">
        <v/>
      </c>
    </row>
    <row r="36239" spans="5:9" ht="16.5" hidden="1">
      <c r="E36239" s="4" t="str">
        <v/>
      </c>
      <c r="F36239" s="102" t="str">
        <f ca="1">IFERROR(__xludf.DUMMYFUNCTION("IMPORTRANGE(H36239,""IDENTITAS UNIT!D9"")"),"#N/A")</f>
        <v>#N/A</v>
      </c>
      <c r="H36239" s="4" t="str">
        <v/>
      </c>
      <c r="I36239" s="4" t="str">
        <v/>
      </c>
    </row>
    <row r="36240" spans="5:9" ht="16.5" hidden="1">
      <c r="E36240" s="4" t="str">
        <v/>
      </c>
      <c r="F36240" s="102" t="str">
        <f ca="1">IFERROR(__xludf.DUMMYFUNCTION("IMPORTRANGE(H36240,""IDENTITAS UNIT!D9"")"),"#N/A")</f>
        <v>#N/A</v>
      </c>
      <c r="H36240" s="4" t="str">
        <v/>
      </c>
      <c r="I36240" s="4" t="str">
        <v/>
      </c>
    </row>
    <row r="36241" spans="5:9" ht="16.5" hidden="1">
      <c r="E36241" s="4" t="str">
        <v/>
      </c>
      <c r="F36241" s="102" t="str">
        <f ca="1">IFERROR(__xludf.DUMMYFUNCTION("IMPORTRANGE(H36241,""IDENTITAS UNIT!D9"")"),"#N/A")</f>
        <v>#N/A</v>
      </c>
      <c r="H36241" s="4" t="str">
        <v/>
      </c>
      <c r="I36241" s="4" t="str">
        <v/>
      </c>
    </row>
    <row r="36242" spans="5:9" ht="16.5" hidden="1">
      <c r="E36242" s="4" t="str">
        <v/>
      </c>
      <c r="F36242" s="102" t="str">
        <f ca="1">IFERROR(__xludf.DUMMYFUNCTION("IMPORTRANGE(H36242,""IDENTITAS UNIT!D9"")"),"#N/A")</f>
        <v>#N/A</v>
      </c>
      <c r="H36242" s="4" t="str">
        <v/>
      </c>
      <c r="I36242" s="4" t="str">
        <v/>
      </c>
    </row>
    <row r="36243" spans="5:9" ht="16.5" hidden="1">
      <c r="E36243" s="4" t="str">
        <v/>
      </c>
      <c r="F36243" s="102" t="str">
        <f ca="1">IFERROR(__xludf.DUMMYFUNCTION("IMPORTRANGE(H36243,""IDENTITAS UNIT!D9"")"),"#N/A")</f>
        <v>#N/A</v>
      </c>
      <c r="H36243" s="4" t="str">
        <v/>
      </c>
      <c r="I36243" s="4" t="str">
        <v/>
      </c>
    </row>
    <row r="36244" spans="5:9" ht="16.5" hidden="1">
      <c r="E36244" s="4" t="str">
        <v/>
      </c>
      <c r="F36244" s="102" t="str">
        <f ca="1">IFERROR(__xludf.DUMMYFUNCTION("IMPORTRANGE(H36244,""IDENTITAS UNIT!D9"")"),"#N/A")</f>
        <v>#N/A</v>
      </c>
      <c r="H36244" s="4" t="str">
        <v/>
      </c>
      <c r="I36244" s="4" t="str">
        <v/>
      </c>
    </row>
    <row r="36245" spans="5:9" ht="16.5" hidden="1">
      <c r="E36245" s="4" t="str">
        <v/>
      </c>
      <c r="F36245" s="102" t="str">
        <f ca="1">IFERROR(__xludf.DUMMYFUNCTION("IMPORTRANGE(H36245,""IDENTITAS UNIT!D9"")"),"#N/A")</f>
        <v>#N/A</v>
      </c>
      <c r="H36245" s="4" t="str">
        <v/>
      </c>
      <c r="I36245" s="4" t="str">
        <v/>
      </c>
    </row>
    <row r="36246" spans="5:9" ht="16.5" hidden="1">
      <c r="E36246" s="4" t="str">
        <v/>
      </c>
      <c r="F36246" s="102" t="str">
        <f ca="1">IFERROR(__xludf.DUMMYFUNCTION("IMPORTRANGE(H36246,""IDENTITAS UNIT!D9"")"),"#N/A")</f>
        <v>#N/A</v>
      </c>
      <c r="H36246" s="4" t="str">
        <v/>
      </c>
      <c r="I36246" s="4" t="str">
        <v/>
      </c>
    </row>
    <row r="36247" spans="5:9" ht="16.5" hidden="1">
      <c r="E36247" s="4" t="str">
        <v/>
      </c>
      <c r="F36247" s="102" t="str">
        <f ca="1">IFERROR(__xludf.DUMMYFUNCTION("IMPORTRANGE(H36247,""IDENTITAS UNIT!D9"")"),"#N/A")</f>
        <v>#N/A</v>
      </c>
      <c r="H36247" s="4" t="str">
        <v/>
      </c>
      <c r="I36247" s="4" t="str">
        <v/>
      </c>
    </row>
    <row r="36248" spans="5:9" ht="16.5" hidden="1">
      <c r="E36248" s="4" t="str">
        <v/>
      </c>
      <c r="F36248" s="102" t="str">
        <f ca="1">IFERROR(__xludf.DUMMYFUNCTION("IMPORTRANGE(H36248,""IDENTITAS UNIT!D9"")"),"#N/A")</f>
        <v>#N/A</v>
      </c>
      <c r="H36248" s="4" t="str">
        <v/>
      </c>
      <c r="I36248" s="4" t="str">
        <v/>
      </c>
    </row>
    <row r="36249" spans="5:9" ht="16.5" hidden="1">
      <c r="E36249" s="4" t="str">
        <v/>
      </c>
      <c r="F36249" s="102" t="str">
        <f ca="1">IFERROR(__xludf.DUMMYFUNCTION("IMPORTRANGE(H36249,""IDENTITAS UNIT!D9"")"),"#N/A")</f>
        <v>#N/A</v>
      </c>
      <c r="H36249" s="4" t="str">
        <v/>
      </c>
      <c r="I36249" s="4" t="str">
        <v/>
      </c>
    </row>
    <row r="36250" spans="5:9" ht="16.5" hidden="1">
      <c r="E36250" s="4" t="str">
        <v/>
      </c>
      <c r="F36250" s="102" t="str">
        <f ca="1">IFERROR(__xludf.DUMMYFUNCTION("IMPORTRANGE(H36250,""IDENTITAS UNIT!D9"")"),"#N/A")</f>
        <v>#N/A</v>
      </c>
      <c r="H36250" s="4" t="str">
        <v/>
      </c>
      <c r="I36250" s="4" t="str">
        <v/>
      </c>
    </row>
    <row r="36251" spans="5:9" ht="16.5" hidden="1">
      <c r="E36251" s="4" t="str">
        <v/>
      </c>
      <c r="F36251" s="102" t="str">
        <f ca="1">IFERROR(__xludf.DUMMYFUNCTION("IMPORTRANGE(H36251,""IDENTITAS UNIT!D9"")"),"#N/A")</f>
        <v>#N/A</v>
      </c>
      <c r="H36251" s="4" t="str">
        <v/>
      </c>
      <c r="I36251" s="4" t="str">
        <v/>
      </c>
    </row>
    <row r="36252" spans="5:9" ht="16.5" hidden="1">
      <c r="E36252" s="4" t="str">
        <v/>
      </c>
      <c r="F36252" s="102" t="str">
        <f ca="1">IFERROR(__xludf.DUMMYFUNCTION("IMPORTRANGE(H36252,""IDENTITAS UNIT!D9"")"),"#N/A")</f>
        <v>#N/A</v>
      </c>
      <c r="H36252" s="4" t="str">
        <v/>
      </c>
      <c r="I36252" s="4" t="str">
        <v/>
      </c>
    </row>
    <row r="36253" spans="5:9" ht="16.5" hidden="1">
      <c r="E36253" s="4" t="str">
        <v/>
      </c>
      <c r="F36253" s="102" t="str">
        <f ca="1">IFERROR(__xludf.DUMMYFUNCTION("IMPORTRANGE(H36253,""IDENTITAS UNIT!D9"")"),"#N/A")</f>
        <v>#N/A</v>
      </c>
      <c r="H36253" s="4" t="str">
        <v/>
      </c>
      <c r="I36253" s="4" t="str">
        <v/>
      </c>
    </row>
    <row r="36254" spans="5:9" ht="16.5" hidden="1">
      <c r="E36254" s="4" t="str">
        <v/>
      </c>
      <c r="F36254" s="102" t="str">
        <f ca="1">IFERROR(__xludf.DUMMYFUNCTION("IMPORTRANGE(H36254,""IDENTITAS UNIT!D9"")"),"#N/A")</f>
        <v>#N/A</v>
      </c>
      <c r="H36254" s="4" t="str">
        <v/>
      </c>
      <c r="I36254" s="4" t="str">
        <v/>
      </c>
    </row>
    <row r="36255" spans="5:9" ht="16.5" hidden="1">
      <c r="E36255" s="4" t="str">
        <v/>
      </c>
      <c r="F36255" s="102" t="str">
        <f ca="1">IFERROR(__xludf.DUMMYFUNCTION("IMPORTRANGE(H36255,""IDENTITAS UNIT!D9"")"),"#N/A")</f>
        <v>#N/A</v>
      </c>
      <c r="H36255" s="4" t="str">
        <v/>
      </c>
      <c r="I36255" s="4" t="str">
        <v/>
      </c>
    </row>
    <row r="36256" spans="5:9" ht="16.5" hidden="1">
      <c r="E36256" s="4" t="str">
        <v/>
      </c>
      <c r="F36256" s="102" t="str">
        <f ca="1">IFERROR(__xludf.DUMMYFUNCTION("IMPORTRANGE(H36256,""IDENTITAS UNIT!D9"")"),"#N/A")</f>
        <v>#N/A</v>
      </c>
      <c r="H36256" s="4" t="str">
        <v/>
      </c>
      <c r="I36256" s="4" t="str">
        <v/>
      </c>
    </row>
    <row r="36257" spans="5:9" ht="16.5" hidden="1">
      <c r="E36257" s="4" t="str">
        <v/>
      </c>
      <c r="F36257" s="102" t="str">
        <f ca="1">IFERROR(__xludf.DUMMYFUNCTION("IMPORTRANGE(H36257,""IDENTITAS UNIT!D9"")"),"#N/A")</f>
        <v>#N/A</v>
      </c>
      <c r="H36257" s="4" t="str">
        <v/>
      </c>
      <c r="I36257" s="4" t="str">
        <v/>
      </c>
    </row>
    <row r="36258" spans="5:9" ht="16.5" hidden="1">
      <c r="E36258" s="4" t="str">
        <v/>
      </c>
      <c r="F36258" s="102" t="str">
        <f ca="1">IFERROR(__xludf.DUMMYFUNCTION("IMPORTRANGE(H36258,""IDENTITAS UNIT!D9"")"),"#N/A")</f>
        <v>#N/A</v>
      </c>
      <c r="H36258" s="4" t="str">
        <v/>
      </c>
      <c r="I36258" s="4" t="str">
        <v/>
      </c>
    </row>
    <row r="36259" spans="5:9" ht="16.5" hidden="1">
      <c r="E36259" s="4" t="str">
        <v/>
      </c>
      <c r="F36259" s="102" t="str">
        <f ca="1">IFERROR(__xludf.DUMMYFUNCTION("IMPORTRANGE(H36259,""IDENTITAS UNIT!D9"")"),"#N/A")</f>
        <v>#N/A</v>
      </c>
      <c r="H36259" s="4" t="str">
        <v/>
      </c>
      <c r="I36259" s="4" t="str">
        <v/>
      </c>
    </row>
    <row r="36260" spans="5:9" ht="16.5" hidden="1">
      <c r="E36260" s="4" t="str">
        <v/>
      </c>
      <c r="F36260" s="102" t="str">
        <f ca="1">IFERROR(__xludf.DUMMYFUNCTION("IMPORTRANGE(H36260,""IDENTITAS UNIT!D9"")"),"#N/A")</f>
        <v>#N/A</v>
      </c>
      <c r="H36260" s="4" t="str">
        <v/>
      </c>
      <c r="I36260" s="4" t="str">
        <v/>
      </c>
    </row>
    <row r="36261" spans="5:9" ht="16.5" hidden="1">
      <c r="E36261" s="4" t="str">
        <v/>
      </c>
      <c r="F36261" s="102" t="str">
        <f ca="1">IFERROR(__xludf.DUMMYFUNCTION("IMPORTRANGE(H36261,""IDENTITAS UNIT!D9"")"),"#N/A")</f>
        <v>#N/A</v>
      </c>
      <c r="H36261" s="4" t="str">
        <v/>
      </c>
      <c r="I36261" s="4" t="str">
        <v/>
      </c>
    </row>
    <row r="36262" spans="5:9" ht="16.5" hidden="1">
      <c r="E36262" s="4" t="str">
        <v/>
      </c>
      <c r="F36262" s="102" t="str">
        <f ca="1">IFERROR(__xludf.DUMMYFUNCTION("IMPORTRANGE(H36262,""IDENTITAS UNIT!D9"")"),"#N/A")</f>
        <v>#N/A</v>
      </c>
      <c r="H36262" s="4" t="str">
        <v/>
      </c>
      <c r="I36262" s="4" t="str">
        <v/>
      </c>
    </row>
    <row r="36263" spans="5:9" ht="16.5" hidden="1">
      <c r="E36263" s="4" t="str">
        <v/>
      </c>
      <c r="F36263" s="102" t="str">
        <f ca="1">IFERROR(__xludf.DUMMYFUNCTION("IMPORTRANGE(H36263,""IDENTITAS UNIT!D9"")"),"#N/A")</f>
        <v>#N/A</v>
      </c>
      <c r="H36263" s="4" t="str">
        <v/>
      </c>
      <c r="I36263" s="4" t="str">
        <v/>
      </c>
    </row>
    <row r="36264" spans="5:9" ht="16.5" hidden="1">
      <c r="E36264" s="4" t="str">
        <v/>
      </c>
      <c r="F36264" s="102" t="str">
        <f ca="1">IFERROR(__xludf.DUMMYFUNCTION("IMPORTRANGE(H36264,""IDENTITAS UNIT!D9"")"),"#N/A")</f>
        <v>#N/A</v>
      </c>
      <c r="H36264" s="4" t="str">
        <v/>
      </c>
      <c r="I36264" s="4" t="str">
        <v/>
      </c>
    </row>
    <row r="36265" spans="5:9" ht="16.5" hidden="1">
      <c r="E36265" s="4" t="str">
        <v/>
      </c>
      <c r="F36265" s="102" t="str">
        <f ca="1">IFERROR(__xludf.DUMMYFUNCTION("IMPORTRANGE(H36265,""IDENTITAS UNIT!D9"")"),"#N/A")</f>
        <v>#N/A</v>
      </c>
      <c r="H36265" s="4" t="str">
        <v/>
      </c>
      <c r="I36265" s="4" t="str">
        <v/>
      </c>
    </row>
    <row r="36266" spans="5:9" ht="16.5" hidden="1">
      <c r="E36266" s="4" t="str">
        <v/>
      </c>
      <c r="F36266" s="102" t="str">
        <f ca="1">IFERROR(__xludf.DUMMYFUNCTION("IMPORTRANGE(H36266,""IDENTITAS UNIT!D9"")"),"#N/A")</f>
        <v>#N/A</v>
      </c>
      <c r="H36266" s="4" t="str">
        <v/>
      </c>
      <c r="I36266" s="4" t="str">
        <v/>
      </c>
    </row>
    <row r="36267" spans="5:9" ht="16.5" hidden="1">
      <c r="E36267" s="4" t="str">
        <v/>
      </c>
      <c r="F36267" s="102" t="str">
        <f ca="1">IFERROR(__xludf.DUMMYFUNCTION("IMPORTRANGE(H36267,""IDENTITAS UNIT!D9"")"),"#N/A")</f>
        <v>#N/A</v>
      </c>
      <c r="H36267" s="4" t="str">
        <v/>
      </c>
      <c r="I36267" s="4" t="str">
        <v/>
      </c>
    </row>
    <row r="36268" spans="5:9" ht="16.5" hidden="1">
      <c r="E36268" s="4" t="str">
        <v/>
      </c>
      <c r="F36268" s="102" t="str">
        <f ca="1">IFERROR(__xludf.DUMMYFUNCTION("IMPORTRANGE(H36268,""IDENTITAS UNIT!D9"")"),"#N/A")</f>
        <v>#N/A</v>
      </c>
      <c r="H36268" s="4" t="str">
        <v/>
      </c>
      <c r="I36268" s="4" t="str">
        <v/>
      </c>
    </row>
    <row r="36269" spans="5:9" ht="16.5" hidden="1">
      <c r="E36269" s="4" t="str">
        <v/>
      </c>
      <c r="F36269" s="102" t="str">
        <f ca="1">IFERROR(__xludf.DUMMYFUNCTION("IMPORTRANGE(H36269,""IDENTITAS UNIT!D9"")"),"#N/A")</f>
        <v>#N/A</v>
      </c>
      <c r="H36269" s="4" t="str">
        <v/>
      </c>
      <c r="I36269" s="4" t="str">
        <v/>
      </c>
    </row>
    <row r="36270" spans="5:9" ht="16.5" hidden="1">
      <c r="E36270" s="4" t="str">
        <v/>
      </c>
      <c r="F36270" s="102" t="str">
        <f ca="1">IFERROR(__xludf.DUMMYFUNCTION("IMPORTRANGE(H36270,""IDENTITAS UNIT!D9"")"),"#N/A")</f>
        <v>#N/A</v>
      </c>
      <c r="H36270" s="4" t="str">
        <v/>
      </c>
      <c r="I36270" s="4" t="str">
        <v/>
      </c>
    </row>
    <row r="36271" spans="5:9" ht="16.5" hidden="1">
      <c r="E36271" s="4" t="str">
        <v/>
      </c>
      <c r="F36271" s="102" t="str">
        <f ca="1">IFERROR(__xludf.DUMMYFUNCTION("IMPORTRANGE(H36271,""IDENTITAS UNIT!D9"")"),"#N/A")</f>
        <v>#N/A</v>
      </c>
      <c r="H36271" s="4" t="str">
        <v/>
      </c>
      <c r="I36271" s="4" t="str">
        <v/>
      </c>
    </row>
    <row r="36272" spans="5:9" ht="16.5" hidden="1">
      <c r="E36272" s="4" t="str">
        <v/>
      </c>
      <c r="F36272" s="102" t="str">
        <f ca="1">IFERROR(__xludf.DUMMYFUNCTION("IMPORTRANGE(H36272,""IDENTITAS UNIT!D9"")"),"#N/A")</f>
        <v>#N/A</v>
      </c>
      <c r="H36272" s="4" t="str">
        <v/>
      </c>
      <c r="I36272" s="4" t="str">
        <v/>
      </c>
    </row>
    <row r="36273" spans="5:9" ht="16.5" hidden="1">
      <c r="E36273" s="4" t="str">
        <v/>
      </c>
      <c r="F36273" s="102" t="str">
        <f ca="1">IFERROR(__xludf.DUMMYFUNCTION("IMPORTRANGE(H36273,""IDENTITAS UNIT!D9"")"),"#N/A")</f>
        <v>#N/A</v>
      </c>
      <c r="H36273" s="4" t="str">
        <v/>
      </c>
      <c r="I36273" s="4" t="str">
        <v/>
      </c>
    </row>
    <row r="36274" spans="5:9" ht="16.5" hidden="1">
      <c r="E36274" s="4" t="str">
        <v/>
      </c>
      <c r="F36274" s="102" t="str">
        <f ca="1">IFERROR(__xludf.DUMMYFUNCTION("IMPORTRANGE(H36274,""IDENTITAS UNIT!D9"")"),"#N/A")</f>
        <v>#N/A</v>
      </c>
      <c r="H36274" s="4" t="str">
        <v/>
      </c>
      <c r="I36274" s="4" t="str">
        <v/>
      </c>
    </row>
    <row r="36275" spans="5:9" ht="16.5" hidden="1">
      <c r="E36275" s="4" t="str">
        <v/>
      </c>
      <c r="F36275" s="102" t="str">
        <f ca="1">IFERROR(__xludf.DUMMYFUNCTION("IMPORTRANGE(H36275,""IDENTITAS UNIT!D9"")"),"#N/A")</f>
        <v>#N/A</v>
      </c>
      <c r="H36275" s="4" t="str">
        <v/>
      </c>
      <c r="I36275" s="4" t="str">
        <v/>
      </c>
    </row>
    <row r="36276" spans="5:9" ht="16.5" hidden="1">
      <c r="E36276" s="4" t="str">
        <v/>
      </c>
      <c r="F36276" s="102" t="str">
        <f ca="1">IFERROR(__xludf.DUMMYFUNCTION("IMPORTRANGE(H36276,""IDENTITAS UNIT!D9"")"),"#N/A")</f>
        <v>#N/A</v>
      </c>
      <c r="H36276" s="4" t="str">
        <v/>
      </c>
      <c r="I36276" s="4" t="str">
        <v/>
      </c>
    </row>
    <row r="36277" spans="5:9" ht="16.5" hidden="1">
      <c r="E36277" s="4" t="str">
        <v/>
      </c>
      <c r="F36277" s="102" t="str">
        <f ca="1">IFERROR(__xludf.DUMMYFUNCTION("IMPORTRANGE(H36277,""IDENTITAS UNIT!D9"")"),"#N/A")</f>
        <v>#N/A</v>
      </c>
      <c r="H36277" s="4" t="str">
        <v/>
      </c>
      <c r="I36277" s="4" t="str">
        <v/>
      </c>
    </row>
    <row r="36278" spans="5:9" ht="16.5" hidden="1">
      <c r="E36278" s="4" t="str">
        <v/>
      </c>
      <c r="F36278" s="102" t="str">
        <f ca="1">IFERROR(__xludf.DUMMYFUNCTION("IMPORTRANGE(H36278,""IDENTITAS UNIT!D9"")"),"#N/A")</f>
        <v>#N/A</v>
      </c>
      <c r="H36278" s="4" t="str">
        <v/>
      </c>
      <c r="I36278" s="4" t="str">
        <v/>
      </c>
    </row>
    <row r="36279" spans="5:9" ht="16.5" hidden="1">
      <c r="E36279" s="4" t="str">
        <v/>
      </c>
      <c r="F36279" s="102" t="str">
        <f ca="1">IFERROR(__xludf.DUMMYFUNCTION("IMPORTRANGE(H36279,""IDENTITAS UNIT!D9"")"),"#N/A")</f>
        <v>#N/A</v>
      </c>
      <c r="H36279" s="4" t="str">
        <v/>
      </c>
      <c r="I36279" s="4" t="str">
        <v/>
      </c>
    </row>
    <row r="36280" spans="5:9" ht="16.5" hidden="1">
      <c r="E36280" s="4" t="str">
        <v/>
      </c>
      <c r="F36280" s="102" t="str">
        <f ca="1">IFERROR(__xludf.DUMMYFUNCTION("IMPORTRANGE(H36280,""IDENTITAS UNIT!D9"")"),"#N/A")</f>
        <v>#N/A</v>
      </c>
      <c r="H36280" s="4" t="str">
        <v/>
      </c>
      <c r="I36280" s="4" t="str">
        <v/>
      </c>
    </row>
    <row r="36281" spans="5:9" ht="16.5" hidden="1">
      <c r="E36281" s="4" t="str">
        <v/>
      </c>
      <c r="F36281" s="102" t="str">
        <f ca="1">IFERROR(__xludf.DUMMYFUNCTION("IMPORTRANGE(H36281,""IDENTITAS UNIT!D9"")"),"#N/A")</f>
        <v>#N/A</v>
      </c>
      <c r="H36281" s="4" t="str">
        <v/>
      </c>
      <c r="I36281" s="4" t="str">
        <v/>
      </c>
    </row>
    <row r="36282" spans="5:9" ht="16.5" hidden="1">
      <c r="E36282" s="4" t="str">
        <v/>
      </c>
      <c r="F36282" s="102" t="str">
        <f ca="1">IFERROR(__xludf.DUMMYFUNCTION("IMPORTRANGE(H36282,""IDENTITAS UNIT!D9"")"),"#N/A")</f>
        <v>#N/A</v>
      </c>
      <c r="H36282" s="4" t="str">
        <v/>
      </c>
      <c r="I36282" s="4" t="str">
        <v/>
      </c>
    </row>
    <row r="36283" spans="5:9" ht="16.5" hidden="1">
      <c r="E36283" s="4" t="str">
        <v/>
      </c>
      <c r="F36283" s="102" t="str">
        <f ca="1">IFERROR(__xludf.DUMMYFUNCTION("IMPORTRANGE(H36283,""IDENTITAS UNIT!D9"")"),"#N/A")</f>
        <v>#N/A</v>
      </c>
      <c r="H36283" s="4" t="str">
        <v/>
      </c>
      <c r="I36283" s="4" t="str">
        <v/>
      </c>
    </row>
    <row r="36284" spans="5:9" ht="16.5" hidden="1">
      <c r="E36284" s="4" t="str">
        <v/>
      </c>
      <c r="F36284" s="102" t="str">
        <f ca="1">IFERROR(__xludf.DUMMYFUNCTION("IMPORTRANGE(H36284,""IDENTITAS UNIT!D9"")"),"#N/A")</f>
        <v>#N/A</v>
      </c>
      <c r="H36284" s="4" t="str">
        <v/>
      </c>
      <c r="I36284" s="4" t="str">
        <v/>
      </c>
    </row>
    <row r="36285" spans="5:9" ht="16.5" hidden="1">
      <c r="E36285" s="4" t="str">
        <v/>
      </c>
      <c r="F36285" s="102" t="str">
        <f ca="1">IFERROR(__xludf.DUMMYFUNCTION("IMPORTRANGE(H36285,""IDENTITAS UNIT!D9"")"),"#N/A")</f>
        <v>#N/A</v>
      </c>
      <c r="H36285" s="4" t="str">
        <v/>
      </c>
      <c r="I36285" s="4" t="str">
        <v/>
      </c>
    </row>
    <row r="36286" spans="5:9" ht="16.5" hidden="1">
      <c r="E36286" s="4" t="str">
        <v/>
      </c>
      <c r="F36286" s="102" t="str">
        <f ca="1">IFERROR(__xludf.DUMMYFUNCTION("IMPORTRANGE(H36286,""IDENTITAS UNIT!D9"")"),"#N/A")</f>
        <v>#N/A</v>
      </c>
      <c r="H36286" s="4" t="str">
        <v/>
      </c>
      <c r="I36286" s="4" t="str">
        <v/>
      </c>
    </row>
    <row r="36287" spans="5:9" ht="16.5" hidden="1">
      <c r="E36287" s="4" t="str">
        <v/>
      </c>
      <c r="F36287" s="102" t="str">
        <f ca="1">IFERROR(__xludf.DUMMYFUNCTION("IMPORTRANGE(H36287,""IDENTITAS UNIT!D9"")"),"#N/A")</f>
        <v>#N/A</v>
      </c>
      <c r="H36287" s="4" t="str">
        <v/>
      </c>
      <c r="I36287" s="4" t="str">
        <v/>
      </c>
    </row>
    <row r="36288" spans="5:9" ht="16.5" hidden="1">
      <c r="E36288" s="4" t="str">
        <v/>
      </c>
      <c r="F36288" s="102" t="str">
        <f ca="1">IFERROR(__xludf.DUMMYFUNCTION("IMPORTRANGE(H36288,""IDENTITAS UNIT!D9"")"),"#N/A")</f>
        <v>#N/A</v>
      </c>
      <c r="H36288" s="4" t="str">
        <v/>
      </c>
      <c r="I36288" s="4" t="str">
        <v/>
      </c>
    </row>
    <row r="36289" spans="5:9" ht="16.5" hidden="1">
      <c r="E36289" s="4" t="str">
        <v/>
      </c>
      <c r="F36289" s="102" t="str">
        <f ca="1">IFERROR(__xludf.DUMMYFUNCTION("IMPORTRANGE(H36289,""IDENTITAS UNIT!D9"")"),"#N/A")</f>
        <v>#N/A</v>
      </c>
      <c r="H36289" s="4" t="str">
        <v/>
      </c>
      <c r="I36289" s="4" t="str">
        <v/>
      </c>
    </row>
    <row r="36290" spans="5:9" ht="16.5" hidden="1">
      <c r="E36290" s="4" t="str">
        <v/>
      </c>
      <c r="F36290" s="102" t="str">
        <f ca="1">IFERROR(__xludf.DUMMYFUNCTION("IMPORTRANGE(H36290,""IDENTITAS UNIT!D9"")"),"#N/A")</f>
        <v>#N/A</v>
      </c>
      <c r="H36290" s="4" t="str">
        <v/>
      </c>
      <c r="I36290" s="4" t="str">
        <v/>
      </c>
    </row>
    <row r="36291" spans="5:9" ht="16.5" hidden="1">
      <c r="E36291" s="4" t="str">
        <v/>
      </c>
      <c r="F36291" s="102" t="str">
        <f ca="1">IFERROR(__xludf.DUMMYFUNCTION("IMPORTRANGE(H36291,""IDENTITAS UNIT!D9"")"),"#N/A")</f>
        <v>#N/A</v>
      </c>
      <c r="H36291" s="4" t="str">
        <v/>
      </c>
      <c r="I36291" s="4" t="str">
        <v/>
      </c>
    </row>
    <row r="36292" spans="5:9" ht="16.5" hidden="1">
      <c r="E36292" s="4" t="str">
        <v/>
      </c>
      <c r="F36292" s="102" t="str">
        <f ca="1">IFERROR(__xludf.DUMMYFUNCTION("IMPORTRANGE(H36292,""IDENTITAS UNIT!D9"")"),"#N/A")</f>
        <v>#N/A</v>
      </c>
      <c r="H36292" s="4" t="str">
        <v/>
      </c>
      <c r="I36292" s="4" t="str">
        <v/>
      </c>
    </row>
    <row r="36293" spans="5:9" ht="16.5" hidden="1">
      <c r="E36293" s="4" t="str">
        <v/>
      </c>
      <c r="F36293" s="102" t="str">
        <f ca="1">IFERROR(__xludf.DUMMYFUNCTION("IMPORTRANGE(H36293,""IDENTITAS UNIT!D9"")"),"#N/A")</f>
        <v>#N/A</v>
      </c>
      <c r="H36293" s="4" t="str">
        <v/>
      </c>
      <c r="I36293" s="4" t="str">
        <v/>
      </c>
    </row>
    <row r="36294" spans="5:9" ht="16.5" hidden="1">
      <c r="E36294" s="4" t="str">
        <v/>
      </c>
      <c r="F36294" s="102" t="str">
        <f ca="1">IFERROR(__xludf.DUMMYFUNCTION("IMPORTRANGE(H36294,""IDENTITAS UNIT!D9"")"),"#N/A")</f>
        <v>#N/A</v>
      </c>
      <c r="H36294" s="4" t="str">
        <v/>
      </c>
      <c r="I36294" s="4" t="str">
        <v/>
      </c>
    </row>
    <row r="36295" spans="5:9" ht="16.5" hidden="1">
      <c r="E36295" s="4" t="str">
        <v/>
      </c>
      <c r="F36295" s="102" t="str">
        <f ca="1">IFERROR(__xludf.DUMMYFUNCTION("IMPORTRANGE(H36295,""IDENTITAS UNIT!D9"")"),"#N/A")</f>
        <v>#N/A</v>
      </c>
      <c r="H36295" s="4" t="str">
        <v/>
      </c>
      <c r="I36295" s="4" t="str">
        <v/>
      </c>
    </row>
    <row r="36296" spans="5:9" ht="16.5" hidden="1">
      <c r="E36296" s="4" t="str">
        <v/>
      </c>
      <c r="F36296" s="102" t="str">
        <f ca="1">IFERROR(__xludf.DUMMYFUNCTION("IMPORTRANGE(H36296,""IDENTITAS UNIT!D9"")"),"#N/A")</f>
        <v>#N/A</v>
      </c>
      <c r="H36296" s="4" t="str">
        <v/>
      </c>
      <c r="I36296" s="4" t="str">
        <v/>
      </c>
    </row>
    <row r="36297" spans="5:9" ht="16.5" hidden="1">
      <c r="E36297" s="4" t="str">
        <v/>
      </c>
      <c r="F36297" s="102" t="str">
        <f ca="1">IFERROR(__xludf.DUMMYFUNCTION("IMPORTRANGE(H36297,""IDENTITAS UNIT!D9"")"),"#N/A")</f>
        <v>#N/A</v>
      </c>
      <c r="H36297" s="4" t="str">
        <v/>
      </c>
      <c r="I36297" s="4" t="str">
        <v/>
      </c>
    </row>
    <row r="36298" spans="5:9" ht="16.5" hidden="1">
      <c r="E36298" s="4" t="str">
        <v/>
      </c>
      <c r="F36298" s="102" t="str">
        <f ca="1">IFERROR(__xludf.DUMMYFUNCTION("IMPORTRANGE(H36298,""IDENTITAS UNIT!D9"")"),"#N/A")</f>
        <v>#N/A</v>
      </c>
      <c r="H36298" s="4" t="str">
        <v/>
      </c>
      <c r="I36298" s="4" t="str">
        <v/>
      </c>
    </row>
    <row r="36299" spans="5:9" ht="16.5" hidden="1">
      <c r="E36299" s="4" t="str">
        <v/>
      </c>
      <c r="F36299" s="102" t="str">
        <f ca="1">IFERROR(__xludf.DUMMYFUNCTION("IMPORTRANGE(H36299,""IDENTITAS UNIT!D9"")"),"#N/A")</f>
        <v>#N/A</v>
      </c>
      <c r="H36299" s="4" t="str">
        <v/>
      </c>
      <c r="I36299" s="4" t="str">
        <v/>
      </c>
    </row>
    <row r="36300" spans="5:9" ht="16.5" hidden="1">
      <c r="E36300" s="4" t="str">
        <v/>
      </c>
      <c r="F36300" s="102" t="str">
        <f ca="1">IFERROR(__xludf.DUMMYFUNCTION("IMPORTRANGE(H36300,""IDENTITAS UNIT!D9"")"),"#N/A")</f>
        <v>#N/A</v>
      </c>
      <c r="H36300" s="4" t="str">
        <v/>
      </c>
      <c r="I36300" s="4" t="str">
        <v/>
      </c>
    </row>
    <row r="36301" spans="5:9" ht="16.5" hidden="1">
      <c r="E36301" s="4" t="str">
        <v/>
      </c>
      <c r="F36301" s="102" t="str">
        <f ca="1">IFERROR(__xludf.DUMMYFUNCTION("IMPORTRANGE(H36301,""IDENTITAS UNIT!D9"")"),"#N/A")</f>
        <v>#N/A</v>
      </c>
      <c r="H36301" s="4" t="str">
        <v/>
      </c>
      <c r="I36301" s="4" t="str">
        <v/>
      </c>
    </row>
    <row r="36302" spans="5:9" ht="16.5" hidden="1">
      <c r="E36302" s="4" t="str">
        <v/>
      </c>
      <c r="F36302" s="102" t="str">
        <f ca="1">IFERROR(__xludf.DUMMYFUNCTION("IMPORTRANGE(H36302,""IDENTITAS UNIT!D9"")"),"#N/A")</f>
        <v>#N/A</v>
      </c>
      <c r="H36302" s="4" t="str">
        <v/>
      </c>
      <c r="I36302" s="4" t="str">
        <v/>
      </c>
    </row>
    <row r="36303" spans="5:9" ht="16.5" hidden="1">
      <c r="E36303" s="4" t="str">
        <v/>
      </c>
      <c r="F36303" s="102" t="str">
        <f ca="1">IFERROR(__xludf.DUMMYFUNCTION("IMPORTRANGE(H36303,""IDENTITAS UNIT!D9"")"),"#N/A")</f>
        <v>#N/A</v>
      </c>
      <c r="H36303" s="4" t="str">
        <v/>
      </c>
      <c r="I36303" s="4" t="str">
        <v/>
      </c>
    </row>
    <row r="36304" spans="5:9" ht="16.5" hidden="1">
      <c r="E36304" s="4" t="str">
        <v/>
      </c>
      <c r="F36304" s="102" t="str">
        <f ca="1">IFERROR(__xludf.DUMMYFUNCTION("IMPORTRANGE(H36304,""IDENTITAS UNIT!D9"")"),"#N/A")</f>
        <v>#N/A</v>
      </c>
      <c r="H36304" s="4" t="str">
        <v/>
      </c>
      <c r="I36304" s="4" t="str">
        <v/>
      </c>
    </row>
    <row r="36305" spans="5:9" ht="16.5" hidden="1">
      <c r="E36305" s="4" t="str">
        <v/>
      </c>
      <c r="F36305" s="102" t="str">
        <f ca="1">IFERROR(__xludf.DUMMYFUNCTION("IMPORTRANGE(H36305,""IDENTITAS UNIT!D9"")"),"#N/A")</f>
        <v>#N/A</v>
      </c>
      <c r="H36305" s="4" t="str">
        <v/>
      </c>
      <c r="I36305" s="4" t="str">
        <v/>
      </c>
    </row>
    <row r="36306" spans="5:9" ht="16.5" hidden="1">
      <c r="E36306" s="4" t="str">
        <v/>
      </c>
      <c r="F36306" s="102" t="str">
        <f ca="1">IFERROR(__xludf.DUMMYFUNCTION("IMPORTRANGE(H36306,""IDENTITAS UNIT!D9"")"),"#N/A")</f>
        <v>#N/A</v>
      </c>
      <c r="H36306" s="4" t="str">
        <v/>
      </c>
      <c r="I36306" s="4" t="str">
        <v/>
      </c>
    </row>
    <row r="36307" spans="5:9" ht="16.5" hidden="1">
      <c r="E36307" s="4" t="str">
        <v/>
      </c>
      <c r="F36307" s="102" t="str">
        <f ca="1">IFERROR(__xludf.DUMMYFUNCTION("IMPORTRANGE(H36307,""IDENTITAS UNIT!D9"")"),"#N/A")</f>
        <v>#N/A</v>
      </c>
      <c r="H36307" s="4" t="str">
        <v/>
      </c>
      <c r="I36307" s="4" t="str">
        <v/>
      </c>
    </row>
    <row r="36308" spans="5:9" ht="16.5" hidden="1">
      <c r="E36308" s="4" t="str">
        <v/>
      </c>
      <c r="F36308" s="102" t="str">
        <f ca="1">IFERROR(__xludf.DUMMYFUNCTION("IMPORTRANGE(H36308,""IDENTITAS UNIT!D9"")"),"#N/A")</f>
        <v>#N/A</v>
      </c>
      <c r="H36308" s="4" t="str">
        <v/>
      </c>
      <c r="I36308" s="4" t="str">
        <v/>
      </c>
    </row>
    <row r="36309" spans="5:9" ht="16.5" hidden="1">
      <c r="E36309" s="4" t="str">
        <v/>
      </c>
      <c r="F36309" s="102" t="str">
        <f ca="1">IFERROR(__xludf.DUMMYFUNCTION("IMPORTRANGE(H36309,""IDENTITAS UNIT!D9"")"),"#N/A")</f>
        <v>#N/A</v>
      </c>
      <c r="H36309" s="4" t="str">
        <v/>
      </c>
      <c r="I36309" s="4" t="str">
        <v/>
      </c>
    </row>
    <row r="36310" spans="5:9" ht="16.5" hidden="1">
      <c r="E36310" s="4" t="str">
        <v/>
      </c>
      <c r="F36310" s="102" t="str">
        <f ca="1">IFERROR(__xludf.DUMMYFUNCTION("IMPORTRANGE(H36310,""IDENTITAS UNIT!D9"")"),"#N/A")</f>
        <v>#N/A</v>
      </c>
      <c r="H36310" s="4" t="str">
        <v/>
      </c>
      <c r="I36310" s="4" t="str">
        <v/>
      </c>
    </row>
    <row r="36311" spans="5:9" ht="16.5" hidden="1">
      <c r="E36311" s="4" t="str">
        <v/>
      </c>
      <c r="F36311" s="102" t="str">
        <f ca="1">IFERROR(__xludf.DUMMYFUNCTION("IMPORTRANGE(H36311,""IDENTITAS UNIT!D9"")"),"#N/A")</f>
        <v>#N/A</v>
      </c>
      <c r="H36311" s="4" t="str">
        <v/>
      </c>
      <c r="I36311" s="4" t="str">
        <v/>
      </c>
    </row>
    <row r="36312" spans="5:9" ht="16.5" hidden="1">
      <c r="E36312" s="4" t="str">
        <v/>
      </c>
      <c r="F36312" s="102" t="str">
        <f ca="1">IFERROR(__xludf.DUMMYFUNCTION("IMPORTRANGE(H36312,""IDENTITAS UNIT!D9"")"),"#N/A")</f>
        <v>#N/A</v>
      </c>
      <c r="H36312" s="4" t="str">
        <v/>
      </c>
      <c r="I36312" s="4" t="str">
        <v/>
      </c>
    </row>
    <row r="36313" spans="5:9" ht="16.5" hidden="1">
      <c r="E36313" s="4" t="str">
        <v/>
      </c>
      <c r="F36313" s="102" t="str">
        <f ca="1">IFERROR(__xludf.DUMMYFUNCTION("IMPORTRANGE(H36313,""IDENTITAS UNIT!D9"")"),"#N/A")</f>
        <v>#N/A</v>
      </c>
      <c r="H36313" s="4" t="str">
        <v/>
      </c>
      <c r="I36313" s="4" t="str">
        <v/>
      </c>
    </row>
    <row r="36314" spans="5:9" ht="16.5" hidden="1">
      <c r="E36314" s="4" t="str">
        <v/>
      </c>
      <c r="F36314" s="102" t="str">
        <f ca="1">IFERROR(__xludf.DUMMYFUNCTION("IMPORTRANGE(H36314,""IDENTITAS UNIT!D9"")"),"#N/A")</f>
        <v>#N/A</v>
      </c>
      <c r="H36314" s="4" t="str">
        <v/>
      </c>
      <c r="I36314" s="4" t="str">
        <v/>
      </c>
    </row>
    <row r="36315" spans="5:9" ht="16.5" hidden="1">
      <c r="E36315" s="4" t="str">
        <v/>
      </c>
      <c r="F36315" s="102" t="str">
        <f ca="1">IFERROR(__xludf.DUMMYFUNCTION("IMPORTRANGE(H36315,""IDENTITAS UNIT!D9"")"),"#N/A")</f>
        <v>#N/A</v>
      </c>
      <c r="H36315" s="4" t="str">
        <v/>
      </c>
      <c r="I36315" s="4" t="str">
        <v/>
      </c>
    </row>
    <row r="36316" spans="5:9" ht="16.5" hidden="1">
      <c r="E36316" s="4" t="str">
        <v/>
      </c>
      <c r="F36316" s="102" t="str">
        <f ca="1">IFERROR(__xludf.DUMMYFUNCTION("IMPORTRANGE(H36316,""IDENTITAS UNIT!D9"")"),"#N/A")</f>
        <v>#N/A</v>
      </c>
      <c r="H36316" s="4" t="str">
        <v/>
      </c>
      <c r="I36316" s="4" t="str">
        <v/>
      </c>
    </row>
    <row r="36317" spans="5:9" ht="16.5" hidden="1">
      <c r="E36317" s="4" t="str">
        <v/>
      </c>
      <c r="F36317" s="102" t="str">
        <f ca="1">IFERROR(__xludf.DUMMYFUNCTION("IMPORTRANGE(H36317,""IDENTITAS UNIT!D9"")"),"#N/A")</f>
        <v>#N/A</v>
      </c>
      <c r="H36317" s="4" t="str">
        <v/>
      </c>
      <c r="I36317" s="4" t="str">
        <v/>
      </c>
    </row>
    <row r="36318" spans="5:9" ht="16.5" hidden="1">
      <c r="E36318" s="4" t="str">
        <v/>
      </c>
      <c r="F36318" s="102" t="str">
        <f ca="1">IFERROR(__xludf.DUMMYFUNCTION("IMPORTRANGE(H36318,""IDENTITAS UNIT!D9"")"),"#N/A")</f>
        <v>#N/A</v>
      </c>
      <c r="H36318" s="4" t="str">
        <v/>
      </c>
      <c r="I36318" s="4" t="str">
        <v/>
      </c>
    </row>
    <row r="36319" spans="5:9" ht="16.5" hidden="1">
      <c r="E36319" s="4" t="str">
        <v/>
      </c>
      <c r="F36319" s="102" t="str">
        <f ca="1">IFERROR(__xludf.DUMMYFUNCTION("IMPORTRANGE(H36319,""IDENTITAS UNIT!D9"")"),"#N/A")</f>
        <v>#N/A</v>
      </c>
      <c r="H36319" s="4" t="str">
        <v/>
      </c>
      <c r="I36319" s="4" t="str">
        <v/>
      </c>
    </row>
    <row r="36320" spans="5:9" ht="16.5" hidden="1">
      <c r="E36320" s="4" t="str">
        <v/>
      </c>
      <c r="F36320" s="102" t="str">
        <f ca="1">IFERROR(__xludf.DUMMYFUNCTION("IMPORTRANGE(H36320,""IDENTITAS UNIT!D9"")"),"#N/A")</f>
        <v>#N/A</v>
      </c>
      <c r="H36320" s="4" t="str">
        <v/>
      </c>
      <c r="I36320" s="4" t="str">
        <v/>
      </c>
    </row>
    <row r="36321" spans="5:9" ht="16.5" hidden="1">
      <c r="E36321" s="4" t="str">
        <v/>
      </c>
      <c r="F36321" s="102" t="str">
        <f ca="1">IFERROR(__xludf.DUMMYFUNCTION("IMPORTRANGE(H36321,""IDENTITAS UNIT!D9"")"),"#N/A")</f>
        <v>#N/A</v>
      </c>
      <c r="H36321" s="4" t="str">
        <v/>
      </c>
      <c r="I36321" s="4" t="str">
        <v/>
      </c>
    </row>
    <row r="36322" spans="5:9" ht="16.5" hidden="1">
      <c r="E36322" s="4" t="str">
        <v/>
      </c>
      <c r="F36322" s="102" t="str">
        <f ca="1">IFERROR(__xludf.DUMMYFUNCTION("IMPORTRANGE(H36322,""IDENTITAS UNIT!D9"")"),"#N/A")</f>
        <v>#N/A</v>
      </c>
      <c r="H36322" s="4" t="str">
        <v/>
      </c>
      <c r="I36322" s="4" t="str">
        <v/>
      </c>
    </row>
    <row r="36323" spans="5:9" ht="16.5" hidden="1">
      <c r="E36323" s="4" t="str">
        <v/>
      </c>
      <c r="F36323" s="102" t="str">
        <f ca="1">IFERROR(__xludf.DUMMYFUNCTION("IMPORTRANGE(H36323,""IDENTITAS UNIT!D9"")"),"#N/A")</f>
        <v>#N/A</v>
      </c>
      <c r="H36323" s="4" t="str">
        <v/>
      </c>
      <c r="I36323" s="4" t="str">
        <v/>
      </c>
    </row>
    <row r="36324" spans="5:9" ht="16.5" hidden="1">
      <c r="E36324" s="4" t="str">
        <v/>
      </c>
      <c r="F36324" s="102" t="str">
        <f ca="1">IFERROR(__xludf.DUMMYFUNCTION("IMPORTRANGE(H36324,""IDENTITAS UNIT!D9"")"),"#N/A")</f>
        <v>#N/A</v>
      </c>
      <c r="H36324" s="4" t="str">
        <v/>
      </c>
      <c r="I36324" s="4" t="str">
        <v/>
      </c>
    </row>
    <row r="36325" spans="5:9" ht="16.5" hidden="1">
      <c r="E36325" s="4" t="str">
        <v/>
      </c>
      <c r="F36325" s="102" t="str">
        <f ca="1">IFERROR(__xludf.DUMMYFUNCTION("IMPORTRANGE(H36325,""IDENTITAS UNIT!D9"")"),"#N/A")</f>
        <v>#N/A</v>
      </c>
      <c r="H36325" s="4" t="str">
        <v/>
      </c>
      <c r="I36325" s="4" t="str">
        <v/>
      </c>
    </row>
    <row r="36326" spans="5:9" ht="16.5" hidden="1">
      <c r="E36326" s="4" t="str">
        <v/>
      </c>
      <c r="F36326" s="102" t="str">
        <f ca="1">IFERROR(__xludf.DUMMYFUNCTION("IMPORTRANGE(H36326,""IDENTITAS UNIT!D9"")"),"#N/A")</f>
        <v>#N/A</v>
      </c>
      <c r="H36326" s="4" t="str">
        <v/>
      </c>
      <c r="I36326" s="4" t="str">
        <v/>
      </c>
    </row>
    <row r="36327" spans="5:9" ht="16.5" hidden="1">
      <c r="E36327" s="4" t="str">
        <v/>
      </c>
      <c r="F36327" s="102" t="str">
        <f ca="1">IFERROR(__xludf.DUMMYFUNCTION("IMPORTRANGE(H36327,""IDENTITAS UNIT!D9"")"),"#N/A")</f>
        <v>#N/A</v>
      </c>
      <c r="H36327" s="4" t="str">
        <v/>
      </c>
      <c r="I36327" s="4" t="str">
        <v/>
      </c>
    </row>
    <row r="36328" spans="5:9" ht="16.5" hidden="1">
      <c r="E36328" s="4" t="str">
        <v/>
      </c>
      <c r="F36328" s="102" t="str">
        <f ca="1">IFERROR(__xludf.DUMMYFUNCTION("IMPORTRANGE(H36328,""IDENTITAS UNIT!D9"")"),"#N/A")</f>
        <v>#N/A</v>
      </c>
      <c r="H36328" s="4" t="str">
        <v/>
      </c>
      <c r="I36328" s="4" t="str">
        <v/>
      </c>
    </row>
    <row r="36329" spans="5:9" ht="16.5" hidden="1">
      <c r="E36329" s="4" t="str">
        <v/>
      </c>
      <c r="F36329" s="102" t="str">
        <f ca="1">IFERROR(__xludf.DUMMYFUNCTION("IMPORTRANGE(H36329,""IDENTITAS UNIT!D9"")"),"#N/A")</f>
        <v>#N/A</v>
      </c>
      <c r="H36329" s="4" t="str">
        <v/>
      </c>
      <c r="I36329" s="4" t="str">
        <v/>
      </c>
    </row>
    <row r="36330" spans="5:9" ht="16.5" hidden="1">
      <c r="E36330" s="4" t="str">
        <v/>
      </c>
      <c r="F36330" s="102" t="str">
        <f ca="1">IFERROR(__xludf.DUMMYFUNCTION("IMPORTRANGE(H36330,""IDENTITAS UNIT!D9"")"),"#N/A")</f>
        <v>#N/A</v>
      </c>
      <c r="H36330" s="4" t="str">
        <v/>
      </c>
      <c r="I36330" s="4" t="str">
        <v/>
      </c>
    </row>
    <row r="36331" spans="5:9" ht="16.5" hidden="1">
      <c r="E36331" s="4" t="str">
        <v/>
      </c>
      <c r="F36331" s="102" t="str">
        <f ca="1">IFERROR(__xludf.DUMMYFUNCTION("IMPORTRANGE(H36331,""IDENTITAS UNIT!D9"")"),"#N/A")</f>
        <v>#N/A</v>
      </c>
      <c r="H36331" s="4" t="str">
        <v/>
      </c>
      <c r="I36331" s="4" t="str">
        <v/>
      </c>
    </row>
    <row r="36332" spans="5:9" ht="16.5" hidden="1">
      <c r="E36332" s="4" t="str">
        <v/>
      </c>
      <c r="F36332" s="102" t="str">
        <f ca="1">IFERROR(__xludf.DUMMYFUNCTION("IMPORTRANGE(H36332,""IDENTITAS UNIT!D9"")"),"#N/A")</f>
        <v>#N/A</v>
      </c>
      <c r="H36332" s="4" t="str">
        <v/>
      </c>
      <c r="I36332" s="4" t="str">
        <v/>
      </c>
    </row>
    <row r="36333" spans="5:9" ht="16.5" hidden="1">
      <c r="E36333" s="4" t="str">
        <v/>
      </c>
      <c r="F36333" s="102" t="str">
        <f ca="1">IFERROR(__xludf.DUMMYFUNCTION("IMPORTRANGE(H36333,""IDENTITAS UNIT!D9"")"),"#N/A")</f>
        <v>#N/A</v>
      </c>
      <c r="H36333" s="4" t="str">
        <v/>
      </c>
      <c r="I36333" s="4" t="str">
        <v/>
      </c>
    </row>
    <row r="36334" spans="5:9" ht="16.5" hidden="1">
      <c r="E36334" s="4" t="str">
        <v/>
      </c>
      <c r="F36334" s="102" t="str">
        <f ca="1">IFERROR(__xludf.DUMMYFUNCTION("IMPORTRANGE(H36334,""IDENTITAS UNIT!D9"")"),"#N/A")</f>
        <v>#N/A</v>
      </c>
      <c r="H36334" s="4" t="str">
        <v/>
      </c>
      <c r="I36334" s="4" t="str">
        <v/>
      </c>
    </row>
    <row r="36335" spans="5:9" ht="16.5" hidden="1">
      <c r="E36335" s="4" t="str">
        <v/>
      </c>
      <c r="F36335" s="102" t="str">
        <f ca="1">IFERROR(__xludf.DUMMYFUNCTION("IMPORTRANGE(H36335,""IDENTITAS UNIT!D9"")"),"#N/A")</f>
        <v>#N/A</v>
      </c>
      <c r="H36335" s="4" t="str">
        <v/>
      </c>
      <c r="I36335" s="4" t="str">
        <v/>
      </c>
    </row>
    <row r="36336" spans="5:9" ht="16.5" hidden="1">
      <c r="E36336" s="4" t="str">
        <v/>
      </c>
      <c r="F36336" s="102" t="str">
        <f ca="1">IFERROR(__xludf.DUMMYFUNCTION("IMPORTRANGE(H36336,""IDENTITAS UNIT!D9"")"),"#N/A")</f>
        <v>#N/A</v>
      </c>
      <c r="H36336" s="4" t="str">
        <v/>
      </c>
      <c r="I36336" s="4" t="str">
        <v/>
      </c>
    </row>
    <row r="36337" spans="5:9" ht="16.5" hidden="1">
      <c r="E36337" s="4" t="str">
        <v/>
      </c>
      <c r="F36337" s="102" t="str">
        <f ca="1">IFERROR(__xludf.DUMMYFUNCTION("IMPORTRANGE(H36337,""IDENTITAS UNIT!D9"")"),"#N/A")</f>
        <v>#N/A</v>
      </c>
      <c r="H36337" s="4" t="str">
        <v/>
      </c>
      <c r="I36337" s="4" t="str">
        <v/>
      </c>
    </row>
    <row r="36338" spans="5:9" ht="16.5" hidden="1">
      <c r="E36338" s="4" t="str">
        <v/>
      </c>
      <c r="F36338" s="102" t="str">
        <f ca="1">IFERROR(__xludf.DUMMYFUNCTION("IMPORTRANGE(H36338,""IDENTITAS UNIT!D9"")"),"#N/A")</f>
        <v>#N/A</v>
      </c>
      <c r="H36338" s="4" t="str">
        <v/>
      </c>
      <c r="I36338" s="4" t="str">
        <v/>
      </c>
    </row>
    <row r="36339" spans="5:9" ht="16.5" hidden="1">
      <c r="E36339" s="4" t="str">
        <v/>
      </c>
      <c r="F36339" s="102" t="str">
        <f ca="1">IFERROR(__xludf.DUMMYFUNCTION("IMPORTRANGE(H36339,""IDENTITAS UNIT!D9"")"),"#N/A")</f>
        <v>#N/A</v>
      </c>
      <c r="H36339" s="4" t="str">
        <v/>
      </c>
      <c r="I36339" s="4" t="str">
        <v/>
      </c>
    </row>
    <row r="36340" spans="5:9" ht="16.5" hidden="1">
      <c r="E36340" s="4" t="str">
        <v/>
      </c>
      <c r="F36340" s="102" t="str">
        <f ca="1">IFERROR(__xludf.DUMMYFUNCTION("IMPORTRANGE(H36340,""IDENTITAS UNIT!D9"")"),"#N/A")</f>
        <v>#N/A</v>
      </c>
      <c r="H36340" s="4" t="str">
        <v/>
      </c>
      <c r="I36340" s="4" t="str">
        <v/>
      </c>
    </row>
    <row r="36341" spans="5:9" ht="16.5" hidden="1">
      <c r="E36341" s="4" t="str">
        <v/>
      </c>
      <c r="F36341" s="102" t="str">
        <f ca="1">IFERROR(__xludf.DUMMYFUNCTION("IMPORTRANGE(H36341,""IDENTITAS UNIT!D9"")"),"#N/A")</f>
        <v>#N/A</v>
      </c>
      <c r="H36341" s="4" t="str">
        <v/>
      </c>
      <c r="I36341" s="4" t="str">
        <v/>
      </c>
    </row>
    <row r="36342" spans="5:9" ht="16.5" hidden="1">
      <c r="E36342" s="4" t="str">
        <v/>
      </c>
      <c r="F36342" s="102" t="str">
        <f ca="1">IFERROR(__xludf.DUMMYFUNCTION("IMPORTRANGE(H36342,""IDENTITAS UNIT!D9"")"),"#N/A")</f>
        <v>#N/A</v>
      </c>
      <c r="H36342" s="4" t="str">
        <v/>
      </c>
      <c r="I36342" s="4" t="str">
        <v/>
      </c>
    </row>
    <row r="36343" spans="5:9" ht="16.5" hidden="1">
      <c r="E36343" s="4" t="str">
        <v/>
      </c>
      <c r="F36343" s="102" t="str">
        <f ca="1">IFERROR(__xludf.DUMMYFUNCTION("IMPORTRANGE(H36343,""IDENTITAS UNIT!D9"")"),"#N/A")</f>
        <v>#N/A</v>
      </c>
      <c r="H36343" s="4" t="str">
        <v/>
      </c>
      <c r="I36343" s="4" t="str">
        <v/>
      </c>
    </row>
    <row r="36344" spans="5:9" ht="16.5" hidden="1">
      <c r="E36344" s="4" t="str">
        <v/>
      </c>
      <c r="F36344" s="102" t="str">
        <f ca="1">IFERROR(__xludf.DUMMYFUNCTION("IMPORTRANGE(H36344,""IDENTITAS UNIT!D9"")"),"#N/A")</f>
        <v>#N/A</v>
      </c>
      <c r="H36344" s="4" t="str">
        <v/>
      </c>
      <c r="I36344" s="4" t="str">
        <v/>
      </c>
    </row>
    <row r="36345" spans="5:9" ht="16.5" hidden="1">
      <c r="E36345" s="4" t="str">
        <v/>
      </c>
      <c r="F36345" s="102" t="str">
        <f ca="1">IFERROR(__xludf.DUMMYFUNCTION("IMPORTRANGE(H36345,""IDENTITAS UNIT!D9"")"),"#N/A")</f>
        <v>#N/A</v>
      </c>
      <c r="H36345" s="4" t="str">
        <v/>
      </c>
      <c r="I36345" s="4" t="str">
        <v/>
      </c>
    </row>
    <row r="36346" spans="5:9" ht="16.5" hidden="1">
      <c r="E36346" s="4" t="str">
        <v/>
      </c>
      <c r="F36346" s="102" t="str">
        <f ca="1">IFERROR(__xludf.DUMMYFUNCTION("IMPORTRANGE(H36346,""IDENTITAS UNIT!D9"")"),"#N/A")</f>
        <v>#N/A</v>
      </c>
      <c r="H36346" s="4" t="str">
        <v/>
      </c>
      <c r="I36346" s="4" t="str">
        <v/>
      </c>
    </row>
    <row r="36347" spans="5:9" ht="16.5" hidden="1">
      <c r="E36347" s="4" t="str">
        <v/>
      </c>
      <c r="F36347" s="102" t="str">
        <f ca="1">IFERROR(__xludf.DUMMYFUNCTION("IMPORTRANGE(H36347,""IDENTITAS UNIT!D9"")"),"#N/A")</f>
        <v>#N/A</v>
      </c>
      <c r="H36347" s="4" t="str">
        <v/>
      </c>
      <c r="I36347" s="4" t="str">
        <v/>
      </c>
    </row>
    <row r="36348" spans="5:9" ht="16.5" hidden="1">
      <c r="E36348" s="4" t="str">
        <v/>
      </c>
      <c r="F36348" s="102" t="str">
        <f ca="1">IFERROR(__xludf.DUMMYFUNCTION("IMPORTRANGE(H36348,""IDENTITAS UNIT!D9"")"),"#N/A")</f>
        <v>#N/A</v>
      </c>
      <c r="H36348" s="4" t="str">
        <v/>
      </c>
      <c r="I36348" s="4" t="str">
        <v/>
      </c>
    </row>
    <row r="36349" spans="5:9" ht="16.5" hidden="1">
      <c r="E36349" s="4" t="str">
        <v/>
      </c>
      <c r="F36349" s="102" t="str">
        <f ca="1">IFERROR(__xludf.DUMMYFUNCTION("IMPORTRANGE(H36349,""IDENTITAS UNIT!D9"")"),"#N/A")</f>
        <v>#N/A</v>
      </c>
      <c r="H36349" s="4" t="str">
        <v/>
      </c>
      <c r="I36349" s="4" t="str">
        <v/>
      </c>
    </row>
    <row r="36350" spans="5:9" ht="16.5" hidden="1">
      <c r="E36350" s="4" t="str">
        <v/>
      </c>
      <c r="F36350" s="102" t="str">
        <f ca="1">IFERROR(__xludf.DUMMYFUNCTION("IMPORTRANGE(H36350,""IDENTITAS UNIT!D9"")"),"#N/A")</f>
        <v>#N/A</v>
      </c>
      <c r="H36350" s="4" t="str">
        <v/>
      </c>
      <c r="I36350" s="4" t="str">
        <v/>
      </c>
    </row>
    <row r="36351" spans="5:9" ht="16.5" hidden="1">
      <c r="E36351" s="4" t="str">
        <v/>
      </c>
      <c r="F36351" s="102" t="str">
        <f ca="1">IFERROR(__xludf.DUMMYFUNCTION("IMPORTRANGE(H36351,""IDENTITAS UNIT!D9"")"),"#N/A")</f>
        <v>#N/A</v>
      </c>
      <c r="H36351" s="4" t="str">
        <v/>
      </c>
      <c r="I36351" s="4" t="str">
        <v/>
      </c>
    </row>
    <row r="36352" spans="5:9" ht="16.5" hidden="1">
      <c r="E36352" s="4" t="str">
        <v/>
      </c>
      <c r="F36352" s="102" t="str">
        <f ca="1">IFERROR(__xludf.DUMMYFUNCTION("IMPORTRANGE(H36352,""IDENTITAS UNIT!D9"")"),"#N/A")</f>
        <v>#N/A</v>
      </c>
      <c r="H36352" s="4" t="str">
        <v/>
      </c>
      <c r="I36352" s="4" t="str">
        <v/>
      </c>
    </row>
    <row r="36353" spans="5:9" ht="16.5" hidden="1">
      <c r="E36353" s="4" t="str">
        <v/>
      </c>
      <c r="F36353" s="102" t="str">
        <f ca="1">IFERROR(__xludf.DUMMYFUNCTION("IMPORTRANGE(H36353,""IDENTITAS UNIT!D9"")"),"#N/A")</f>
        <v>#N/A</v>
      </c>
      <c r="H36353" s="4" t="str">
        <v/>
      </c>
      <c r="I36353" s="4" t="str">
        <v/>
      </c>
    </row>
    <row r="36354" spans="5:9" ht="16.5" hidden="1">
      <c r="E36354" s="4" t="str">
        <v/>
      </c>
      <c r="F36354" s="102" t="str">
        <f ca="1">IFERROR(__xludf.DUMMYFUNCTION("IMPORTRANGE(H36354,""IDENTITAS UNIT!D9"")"),"#N/A")</f>
        <v>#N/A</v>
      </c>
      <c r="H36354" s="4" t="str">
        <v/>
      </c>
      <c r="I36354" s="4" t="str">
        <v/>
      </c>
    </row>
    <row r="36355" spans="5:9" ht="16.5" hidden="1">
      <c r="E36355" s="4" t="str">
        <v/>
      </c>
      <c r="F36355" s="102" t="str">
        <f ca="1">IFERROR(__xludf.DUMMYFUNCTION("IMPORTRANGE(H36355,""IDENTITAS UNIT!D9"")"),"#N/A")</f>
        <v>#N/A</v>
      </c>
      <c r="H36355" s="4" t="str">
        <v/>
      </c>
      <c r="I36355" s="4" t="str">
        <v/>
      </c>
    </row>
    <row r="36356" spans="5:9" ht="16.5" hidden="1">
      <c r="E36356" s="4" t="str">
        <v/>
      </c>
      <c r="F36356" s="102" t="str">
        <f ca="1">IFERROR(__xludf.DUMMYFUNCTION("IMPORTRANGE(H36356,""IDENTITAS UNIT!D9"")"),"#N/A")</f>
        <v>#N/A</v>
      </c>
      <c r="H36356" s="4" t="str">
        <v/>
      </c>
      <c r="I36356" s="4" t="str">
        <v/>
      </c>
    </row>
    <row r="36357" spans="5:9" ht="16.5" hidden="1">
      <c r="E36357" s="4" t="str">
        <v/>
      </c>
      <c r="F36357" s="102" t="str">
        <f ca="1">IFERROR(__xludf.DUMMYFUNCTION("IMPORTRANGE(H36357,""IDENTITAS UNIT!D9"")"),"#N/A")</f>
        <v>#N/A</v>
      </c>
      <c r="H36357" s="4" t="str">
        <v/>
      </c>
      <c r="I36357" s="4" t="str">
        <v/>
      </c>
    </row>
    <row r="36358" spans="5:9" ht="16.5" hidden="1">
      <c r="E36358" s="4" t="str">
        <v/>
      </c>
      <c r="F36358" s="102" t="str">
        <f ca="1">IFERROR(__xludf.DUMMYFUNCTION("IMPORTRANGE(H36358,""IDENTITAS UNIT!D9"")"),"#N/A")</f>
        <v>#N/A</v>
      </c>
      <c r="H36358" s="4" t="str">
        <v/>
      </c>
      <c r="I36358" s="4" t="str">
        <v/>
      </c>
    </row>
    <row r="36359" spans="5:9" ht="16.5" hidden="1">
      <c r="E36359" s="4" t="str">
        <v/>
      </c>
      <c r="F36359" s="102" t="str">
        <f ca="1">IFERROR(__xludf.DUMMYFUNCTION("IMPORTRANGE(H36359,""IDENTITAS UNIT!D9"")"),"#N/A")</f>
        <v>#N/A</v>
      </c>
      <c r="H36359" s="4" t="str">
        <v/>
      </c>
      <c r="I36359" s="4" t="str">
        <v/>
      </c>
    </row>
    <row r="36360" spans="5:9" ht="16.5" hidden="1">
      <c r="E36360" s="4" t="str">
        <v/>
      </c>
      <c r="F36360" s="102" t="str">
        <f ca="1">IFERROR(__xludf.DUMMYFUNCTION("IMPORTRANGE(H36360,""IDENTITAS UNIT!D9"")"),"#N/A")</f>
        <v>#N/A</v>
      </c>
      <c r="H36360" s="4" t="str">
        <v/>
      </c>
      <c r="I36360" s="4" t="str">
        <v/>
      </c>
    </row>
    <row r="36361" spans="5:9" ht="16.5" hidden="1">
      <c r="E36361" s="4" t="str">
        <v/>
      </c>
      <c r="F36361" s="102" t="str">
        <f ca="1">IFERROR(__xludf.DUMMYFUNCTION("IMPORTRANGE(H36361,""IDENTITAS UNIT!D9"")"),"#N/A")</f>
        <v>#N/A</v>
      </c>
      <c r="H36361" s="4" t="str">
        <v/>
      </c>
      <c r="I36361" s="4" t="str">
        <v/>
      </c>
    </row>
    <row r="36362" spans="5:9" ht="16.5" hidden="1">
      <c r="E36362" s="4" t="str">
        <v/>
      </c>
      <c r="F36362" s="102" t="str">
        <f ca="1">IFERROR(__xludf.DUMMYFUNCTION("IMPORTRANGE(H36362,""IDENTITAS UNIT!D9"")"),"#N/A")</f>
        <v>#N/A</v>
      </c>
      <c r="H36362" s="4" t="str">
        <v/>
      </c>
      <c r="I36362" s="4" t="str">
        <v/>
      </c>
    </row>
    <row r="36363" spans="5:9" ht="16.5" hidden="1">
      <c r="E36363" s="4" t="str">
        <v/>
      </c>
      <c r="F36363" s="102" t="str">
        <f ca="1">IFERROR(__xludf.DUMMYFUNCTION("IMPORTRANGE(H36363,""IDENTITAS UNIT!D9"")"),"#N/A")</f>
        <v>#N/A</v>
      </c>
      <c r="H36363" s="4" t="str">
        <v/>
      </c>
      <c r="I36363" s="4" t="str">
        <v/>
      </c>
    </row>
    <row r="36364" spans="5:9" ht="16.5" hidden="1">
      <c r="E36364" s="4" t="str">
        <v/>
      </c>
      <c r="F36364" s="102" t="str">
        <f ca="1">IFERROR(__xludf.DUMMYFUNCTION("IMPORTRANGE(H36364,""IDENTITAS UNIT!D9"")"),"#N/A")</f>
        <v>#N/A</v>
      </c>
      <c r="H36364" s="4" t="str">
        <v/>
      </c>
      <c r="I36364" s="4" t="str">
        <v/>
      </c>
    </row>
    <row r="36365" spans="5:9" ht="16.5" hidden="1">
      <c r="E36365" s="4" t="str">
        <v/>
      </c>
      <c r="F36365" s="102" t="str">
        <f ca="1">IFERROR(__xludf.DUMMYFUNCTION("IMPORTRANGE(H36365,""IDENTITAS UNIT!D9"")"),"#N/A")</f>
        <v>#N/A</v>
      </c>
      <c r="H36365" s="4" t="str">
        <v/>
      </c>
      <c r="I36365" s="4" t="str">
        <v/>
      </c>
    </row>
    <row r="36366" spans="5:9" ht="16.5" hidden="1">
      <c r="E36366" s="4" t="str">
        <v/>
      </c>
      <c r="F36366" s="102" t="str">
        <f ca="1">IFERROR(__xludf.DUMMYFUNCTION("IMPORTRANGE(H36366,""IDENTITAS UNIT!D9"")"),"#N/A")</f>
        <v>#N/A</v>
      </c>
      <c r="H36366" s="4" t="str">
        <v/>
      </c>
      <c r="I36366" s="4" t="str">
        <v/>
      </c>
    </row>
    <row r="36367" spans="5:9" ht="16.5" hidden="1">
      <c r="E36367" s="4" t="str">
        <v/>
      </c>
      <c r="F36367" s="102" t="str">
        <f ca="1">IFERROR(__xludf.DUMMYFUNCTION("IMPORTRANGE(H36367,""IDENTITAS UNIT!D9"")"),"#N/A")</f>
        <v>#N/A</v>
      </c>
      <c r="H36367" s="4" t="str">
        <v/>
      </c>
      <c r="I36367" s="4" t="str">
        <v/>
      </c>
    </row>
    <row r="36368" spans="5:9" ht="16.5" hidden="1">
      <c r="E36368" s="4" t="str">
        <v/>
      </c>
      <c r="F36368" s="102" t="str">
        <f ca="1">IFERROR(__xludf.DUMMYFUNCTION("IMPORTRANGE(H36368,""IDENTITAS UNIT!D9"")"),"#N/A")</f>
        <v>#N/A</v>
      </c>
      <c r="H36368" s="4" t="str">
        <v/>
      </c>
      <c r="I36368" s="4" t="str">
        <v/>
      </c>
    </row>
    <row r="36369" spans="5:9" ht="16.5" hidden="1">
      <c r="E36369" s="4" t="str">
        <v/>
      </c>
      <c r="F36369" s="102" t="str">
        <f ca="1">IFERROR(__xludf.DUMMYFUNCTION("IMPORTRANGE(H36369,""IDENTITAS UNIT!D9"")"),"#N/A")</f>
        <v>#N/A</v>
      </c>
      <c r="H36369" s="4" t="str">
        <v/>
      </c>
      <c r="I36369" s="4" t="str">
        <v/>
      </c>
    </row>
    <row r="36370" spans="5:9" ht="16.5" hidden="1">
      <c r="E36370" s="4" t="str">
        <v/>
      </c>
      <c r="F36370" s="102" t="str">
        <f ca="1">IFERROR(__xludf.DUMMYFUNCTION("IMPORTRANGE(H36370,""IDENTITAS UNIT!D9"")"),"#N/A")</f>
        <v>#N/A</v>
      </c>
      <c r="H36370" s="4" t="str">
        <v/>
      </c>
      <c r="I36370" s="4" t="str">
        <v/>
      </c>
    </row>
    <row r="36371" spans="5:9" ht="16.5" hidden="1">
      <c r="E36371" s="4" t="str">
        <v/>
      </c>
      <c r="F36371" s="102" t="str">
        <f ca="1">IFERROR(__xludf.DUMMYFUNCTION("IMPORTRANGE(H36371,""IDENTITAS UNIT!D9"")"),"#N/A")</f>
        <v>#N/A</v>
      </c>
      <c r="H36371" s="4" t="str">
        <v/>
      </c>
      <c r="I36371" s="4" t="str">
        <v/>
      </c>
    </row>
    <row r="36372" spans="5:9" ht="16.5" hidden="1">
      <c r="E36372" s="4" t="str">
        <v/>
      </c>
      <c r="F36372" s="102" t="str">
        <f ca="1">IFERROR(__xludf.DUMMYFUNCTION("IMPORTRANGE(H36372,""IDENTITAS UNIT!D9"")"),"#N/A")</f>
        <v>#N/A</v>
      </c>
      <c r="H36372" s="4" t="str">
        <v/>
      </c>
      <c r="I36372" s="4" t="str">
        <v/>
      </c>
    </row>
    <row r="36373" spans="5:9" ht="16.5" hidden="1">
      <c r="E36373" s="4" t="str">
        <v/>
      </c>
      <c r="F36373" s="102" t="str">
        <f ca="1">IFERROR(__xludf.DUMMYFUNCTION("IMPORTRANGE(H36373,""IDENTITAS UNIT!D9"")"),"#N/A")</f>
        <v>#N/A</v>
      </c>
      <c r="H36373" s="4" t="str">
        <v/>
      </c>
      <c r="I36373" s="4" t="str">
        <v/>
      </c>
    </row>
    <row r="36374" spans="5:9" ht="16.5" hidden="1">
      <c r="E36374" s="4" t="str">
        <v/>
      </c>
      <c r="F36374" s="102" t="str">
        <f ca="1">IFERROR(__xludf.DUMMYFUNCTION("IMPORTRANGE(H36374,""IDENTITAS UNIT!D9"")"),"#N/A")</f>
        <v>#N/A</v>
      </c>
      <c r="H36374" s="4" t="str">
        <v/>
      </c>
      <c r="I36374" s="4" t="str">
        <v/>
      </c>
    </row>
    <row r="36375" spans="5:9" ht="16.5" hidden="1">
      <c r="E36375" s="4" t="str">
        <v/>
      </c>
      <c r="F36375" s="102" t="str">
        <f ca="1">IFERROR(__xludf.DUMMYFUNCTION("IMPORTRANGE(H36375,""IDENTITAS UNIT!D9"")"),"#N/A")</f>
        <v>#N/A</v>
      </c>
      <c r="H36375" s="4" t="str">
        <v/>
      </c>
      <c r="I36375" s="4" t="str">
        <v/>
      </c>
    </row>
    <row r="36376" spans="5:9" ht="16.5" hidden="1">
      <c r="E36376" s="4" t="str">
        <v/>
      </c>
      <c r="F36376" s="102" t="str">
        <f ca="1">IFERROR(__xludf.DUMMYFUNCTION("IMPORTRANGE(H36376,""IDENTITAS UNIT!D9"")"),"#N/A")</f>
        <v>#N/A</v>
      </c>
      <c r="H36376" s="4" t="str">
        <v/>
      </c>
      <c r="I36376" s="4" t="str">
        <v/>
      </c>
    </row>
    <row r="36377" spans="5:9" ht="16.5" hidden="1">
      <c r="E36377" s="4" t="str">
        <v/>
      </c>
      <c r="F36377" s="102" t="str">
        <f ca="1">IFERROR(__xludf.DUMMYFUNCTION("IMPORTRANGE(H36377,""IDENTITAS UNIT!D9"")"),"#N/A")</f>
        <v>#N/A</v>
      </c>
      <c r="H36377" s="4" t="str">
        <v/>
      </c>
      <c r="I36377" s="4" t="str">
        <v/>
      </c>
    </row>
    <row r="36378" spans="5:9" ht="16.5" hidden="1">
      <c r="E36378" s="4" t="str">
        <v/>
      </c>
      <c r="F36378" s="102" t="str">
        <f ca="1">IFERROR(__xludf.DUMMYFUNCTION("IMPORTRANGE(H36378,""IDENTITAS UNIT!D9"")"),"#N/A")</f>
        <v>#N/A</v>
      </c>
      <c r="H36378" s="4" t="str">
        <v/>
      </c>
      <c r="I36378" s="4" t="str">
        <v/>
      </c>
    </row>
    <row r="36379" spans="5:9" ht="16.5" hidden="1">
      <c r="E36379" s="4" t="str">
        <v/>
      </c>
      <c r="F36379" s="102" t="str">
        <f ca="1">IFERROR(__xludf.DUMMYFUNCTION("IMPORTRANGE(H36379,""IDENTITAS UNIT!D9"")"),"#N/A")</f>
        <v>#N/A</v>
      </c>
      <c r="H36379" s="4" t="str">
        <v/>
      </c>
      <c r="I36379" s="4" t="str">
        <v/>
      </c>
    </row>
    <row r="36380" spans="5:9" ht="16.5" hidden="1">
      <c r="E36380" s="4" t="str">
        <v/>
      </c>
      <c r="F36380" s="102" t="str">
        <f ca="1">IFERROR(__xludf.DUMMYFUNCTION("IMPORTRANGE(H36380,""IDENTITAS UNIT!D9"")"),"#N/A")</f>
        <v>#N/A</v>
      </c>
      <c r="H36380" s="4" t="str">
        <v/>
      </c>
      <c r="I36380" s="4" t="str">
        <v/>
      </c>
    </row>
    <row r="36381" spans="5:9" ht="16.5" hidden="1">
      <c r="E36381" s="4" t="str">
        <v/>
      </c>
      <c r="F36381" s="102" t="str">
        <f ca="1">IFERROR(__xludf.DUMMYFUNCTION("IMPORTRANGE(H36381,""IDENTITAS UNIT!D9"")"),"#N/A")</f>
        <v>#N/A</v>
      </c>
      <c r="H36381" s="4" t="str">
        <v/>
      </c>
      <c r="I36381" s="4" t="str">
        <v/>
      </c>
    </row>
    <row r="36382" spans="5:9" ht="16.5" hidden="1">
      <c r="E36382" s="4" t="str">
        <v/>
      </c>
      <c r="F36382" s="102" t="str">
        <f ca="1">IFERROR(__xludf.DUMMYFUNCTION("IMPORTRANGE(H36382,""IDENTITAS UNIT!D9"")"),"#N/A")</f>
        <v>#N/A</v>
      </c>
      <c r="H36382" s="4" t="str">
        <v/>
      </c>
      <c r="I36382" s="4" t="str">
        <v/>
      </c>
    </row>
    <row r="36383" spans="5:9" ht="16.5" hidden="1">
      <c r="E36383" s="4" t="str">
        <v/>
      </c>
      <c r="F36383" s="102" t="str">
        <f ca="1">IFERROR(__xludf.DUMMYFUNCTION("IMPORTRANGE(H36383,""IDENTITAS UNIT!D9"")"),"#N/A")</f>
        <v>#N/A</v>
      </c>
      <c r="H36383" s="4" t="str">
        <v/>
      </c>
      <c r="I36383" s="4" t="str">
        <v/>
      </c>
    </row>
    <row r="36384" spans="5:9" ht="16.5" hidden="1">
      <c r="E36384" s="4" t="str">
        <v/>
      </c>
      <c r="F36384" s="102" t="str">
        <f ca="1">IFERROR(__xludf.DUMMYFUNCTION("IMPORTRANGE(H36384,""IDENTITAS UNIT!D9"")"),"#N/A")</f>
        <v>#N/A</v>
      </c>
      <c r="H36384" s="4" t="str">
        <v/>
      </c>
      <c r="I36384" s="4" t="str">
        <v/>
      </c>
    </row>
    <row r="36385" spans="5:9" ht="16.5" hidden="1">
      <c r="E36385" s="4" t="str">
        <v/>
      </c>
      <c r="F36385" s="102" t="str">
        <f ca="1">IFERROR(__xludf.DUMMYFUNCTION("IMPORTRANGE(H36385,""IDENTITAS UNIT!D9"")"),"#N/A")</f>
        <v>#N/A</v>
      </c>
      <c r="H36385" s="4" t="str">
        <v/>
      </c>
      <c r="I36385" s="4" t="str">
        <v/>
      </c>
    </row>
    <row r="36386" spans="5:9" ht="16.5" hidden="1">
      <c r="E36386" s="4" t="str">
        <v/>
      </c>
      <c r="F36386" s="102" t="str">
        <f ca="1">IFERROR(__xludf.DUMMYFUNCTION("IMPORTRANGE(H36386,""IDENTITAS UNIT!D9"")"),"#N/A")</f>
        <v>#N/A</v>
      </c>
      <c r="H36386" s="4" t="str">
        <v/>
      </c>
      <c r="I36386" s="4" t="str">
        <v/>
      </c>
    </row>
    <row r="36387" spans="5:9" ht="16.5" hidden="1">
      <c r="E36387" s="4" t="str">
        <v/>
      </c>
      <c r="F36387" s="102" t="str">
        <f ca="1">IFERROR(__xludf.DUMMYFUNCTION("IMPORTRANGE(H36387,""IDENTITAS UNIT!D9"")"),"#N/A")</f>
        <v>#N/A</v>
      </c>
      <c r="H36387" s="4" t="str">
        <v/>
      </c>
      <c r="I36387" s="4" t="str">
        <v/>
      </c>
    </row>
    <row r="36388" spans="5:9" ht="16.5" hidden="1">
      <c r="E36388" s="4" t="str">
        <v/>
      </c>
      <c r="F36388" s="102" t="str">
        <f ca="1">IFERROR(__xludf.DUMMYFUNCTION("IMPORTRANGE(H36388,""IDENTITAS UNIT!D9"")"),"#N/A")</f>
        <v>#N/A</v>
      </c>
      <c r="H36388" s="4" t="str">
        <v/>
      </c>
      <c r="I36388" s="4" t="str">
        <v/>
      </c>
    </row>
    <row r="36389" spans="5:9" ht="16.5" hidden="1">
      <c r="E36389" s="4" t="str">
        <v/>
      </c>
      <c r="F36389" s="102" t="str">
        <f ca="1">IFERROR(__xludf.DUMMYFUNCTION("IMPORTRANGE(H36389,""IDENTITAS UNIT!D9"")"),"#N/A")</f>
        <v>#N/A</v>
      </c>
      <c r="H36389" s="4" t="str">
        <v/>
      </c>
      <c r="I36389" s="4" t="str">
        <v/>
      </c>
    </row>
    <row r="36390" spans="5:9" ht="16.5" hidden="1">
      <c r="E36390" s="4" t="str">
        <v/>
      </c>
      <c r="F36390" s="102" t="str">
        <f ca="1">IFERROR(__xludf.DUMMYFUNCTION("IMPORTRANGE(H36390,""IDENTITAS UNIT!D9"")"),"#N/A")</f>
        <v>#N/A</v>
      </c>
      <c r="H36390" s="4" t="str">
        <v/>
      </c>
      <c r="I36390" s="4" t="str">
        <v/>
      </c>
    </row>
    <row r="36391" spans="5:9" ht="16.5" hidden="1">
      <c r="E36391" s="4" t="str">
        <v/>
      </c>
      <c r="F36391" s="102" t="str">
        <f ca="1">IFERROR(__xludf.DUMMYFUNCTION("IMPORTRANGE(H36391,""IDENTITAS UNIT!D9"")"),"#N/A")</f>
        <v>#N/A</v>
      </c>
      <c r="H36391" s="4" t="str">
        <v/>
      </c>
      <c r="I36391" s="4" t="str">
        <v/>
      </c>
    </row>
    <row r="36392" spans="5:9" ht="16.5" hidden="1">
      <c r="E36392" s="4" t="str">
        <v/>
      </c>
      <c r="F36392" s="102" t="str">
        <f ca="1">IFERROR(__xludf.DUMMYFUNCTION("IMPORTRANGE(H36392,""IDENTITAS UNIT!D9"")"),"#N/A")</f>
        <v>#N/A</v>
      </c>
      <c r="H36392" s="4" t="str">
        <v/>
      </c>
      <c r="I36392" s="4" t="str">
        <v/>
      </c>
    </row>
    <row r="36393" spans="5:9" ht="16.5" hidden="1">
      <c r="E36393" s="4" t="str">
        <v/>
      </c>
      <c r="F36393" s="102" t="str">
        <f ca="1">IFERROR(__xludf.DUMMYFUNCTION("IMPORTRANGE(H36393,""IDENTITAS UNIT!D9"")"),"#N/A")</f>
        <v>#N/A</v>
      </c>
      <c r="H36393" s="4" t="str">
        <v/>
      </c>
      <c r="I36393" s="4" t="str">
        <v/>
      </c>
    </row>
    <row r="36394" spans="5:9" ht="16.5" hidden="1">
      <c r="E36394" s="4" t="str">
        <v/>
      </c>
      <c r="F36394" s="102" t="str">
        <f ca="1">IFERROR(__xludf.DUMMYFUNCTION("IMPORTRANGE(H36394,""IDENTITAS UNIT!D9"")"),"#N/A")</f>
        <v>#N/A</v>
      </c>
      <c r="H36394" s="4" t="str">
        <v/>
      </c>
      <c r="I36394" s="4" t="str">
        <v/>
      </c>
    </row>
    <row r="36395" spans="5:9" ht="16.5" hidden="1">
      <c r="E36395" s="4" t="str">
        <v/>
      </c>
      <c r="F36395" s="102" t="str">
        <f ca="1">IFERROR(__xludf.DUMMYFUNCTION("IMPORTRANGE(H36395,""IDENTITAS UNIT!D9"")"),"#N/A")</f>
        <v>#N/A</v>
      </c>
      <c r="H36395" s="4" t="str">
        <v/>
      </c>
      <c r="I36395" s="4" t="str">
        <v/>
      </c>
    </row>
    <row r="36396" spans="5:9" ht="16.5" hidden="1">
      <c r="E36396" s="4" t="str">
        <v/>
      </c>
      <c r="F36396" s="102" t="str">
        <f ca="1">IFERROR(__xludf.DUMMYFUNCTION("IMPORTRANGE(H36396,""IDENTITAS UNIT!D9"")"),"#N/A")</f>
        <v>#N/A</v>
      </c>
      <c r="H36396" s="4" t="str">
        <v/>
      </c>
      <c r="I36396" s="4" t="str">
        <v/>
      </c>
    </row>
    <row r="36397" spans="5:9" ht="16.5" hidden="1">
      <c r="E36397" s="4" t="str">
        <v/>
      </c>
      <c r="F36397" s="102" t="str">
        <f ca="1">IFERROR(__xludf.DUMMYFUNCTION("IMPORTRANGE(H36397,""IDENTITAS UNIT!D9"")"),"#N/A")</f>
        <v>#N/A</v>
      </c>
      <c r="H36397" s="4" t="str">
        <v/>
      </c>
      <c r="I36397" s="4" t="str">
        <v/>
      </c>
    </row>
    <row r="36398" spans="5:9" ht="16.5" hidden="1">
      <c r="E36398" s="4" t="str">
        <v/>
      </c>
      <c r="F36398" s="102" t="str">
        <f ca="1">IFERROR(__xludf.DUMMYFUNCTION("IMPORTRANGE(H36398,""IDENTITAS UNIT!D9"")"),"#N/A")</f>
        <v>#N/A</v>
      </c>
      <c r="H36398" s="4" t="str">
        <v/>
      </c>
      <c r="I36398" s="4" t="str">
        <v/>
      </c>
    </row>
    <row r="36399" spans="5:9" ht="16.5" hidden="1">
      <c r="E36399" s="4" t="str">
        <v/>
      </c>
      <c r="F36399" s="102" t="str">
        <f ca="1">IFERROR(__xludf.DUMMYFUNCTION("IMPORTRANGE(H36399,""IDENTITAS UNIT!D9"")"),"#N/A")</f>
        <v>#N/A</v>
      </c>
      <c r="H36399" s="4" t="str">
        <v/>
      </c>
      <c r="I36399" s="4" t="str">
        <v/>
      </c>
    </row>
    <row r="36400" spans="5:9" ht="16.5" hidden="1">
      <c r="E36400" s="4" t="str">
        <v/>
      </c>
      <c r="F36400" s="102" t="str">
        <f ca="1">IFERROR(__xludf.DUMMYFUNCTION("IMPORTRANGE(H36400,""IDENTITAS UNIT!D9"")"),"#N/A")</f>
        <v>#N/A</v>
      </c>
      <c r="H36400" s="4" t="str">
        <v/>
      </c>
      <c r="I36400" s="4" t="str">
        <v/>
      </c>
    </row>
    <row r="36401" spans="5:9" ht="16.5" hidden="1">
      <c r="E36401" s="4" t="str">
        <v/>
      </c>
      <c r="F36401" s="102" t="str">
        <f ca="1">IFERROR(__xludf.DUMMYFUNCTION("IMPORTRANGE(H36401,""IDENTITAS UNIT!D9"")"),"#N/A")</f>
        <v>#N/A</v>
      </c>
      <c r="H36401" s="4" t="str">
        <v/>
      </c>
      <c r="I36401" s="4" t="str">
        <v/>
      </c>
    </row>
    <row r="36402" spans="5:9" ht="16.5" hidden="1">
      <c r="E36402" s="4" t="str">
        <v/>
      </c>
      <c r="F36402" s="102" t="str">
        <f ca="1">IFERROR(__xludf.DUMMYFUNCTION("IMPORTRANGE(H36402,""IDENTITAS UNIT!D9"")"),"#N/A")</f>
        <v>#N/A</v>
      </c>
      <c r="H36402" s="4" t="str">
        <v/>
      </c>
      <c r="I36402" s="4" t="str">
        <v/>
      </c>
    </row>
    <row r="36403" spans="5:9" ht="16.5" hidden="1">
      <c r="E36403" s="4" t="str">
        <v/>
      </c>
      <c r="F36403" s="102" t="str">
        <f ca="1">IFERROR(__xludf.DUMMYFUNCTION("IMPORTRANGE(H36403,""IDENTITAS UNIT!D9"")"),"#N/A")</f>
        <v>#N/A</v>
      </c>
      <c r="H36403" s="4" t="str">
        <v/>
      </c>
      <c r="I36403" s="4" t="str">
        <v/>
      </c>
    </row>
    <row r="36404" spans="5:9" ht="16.5" hidden="1">
      <c r="E36404" s="4" t="str">
        <v/>
      </c>
      <c r="F36404" s="102" t="str">
        <f ca="1">IFERROR(__xludf.DUMMYFUNCTION("IMPORTRANGE(H36404,""IDENTITAS UNIT!D9"")"),"#N/A")</f>
        <v>#N/A</v>
      </c>
      <c r="H36404" s="4" t="str">
        <v/>
      </c>
      <c r="I36404" s="4" t="str">
        <v/>
      </c>
    </row>
    <row r="36405" spans="5:9" ht="16.5" hidden="1">
      <c r="E36405" s="4" t="str">
        <v/>
      </c>
      <c r="F36405" s="102" t="str">
        <f ca="1">IFERROR(__xludf.DUMMYFUNCTION("IMPORTRANGE(H36405,""IDENTITAS UNIT!D9"")"),"#N/A")</f>
        <v>#N/A</v>
      </c>
      <c r="H36405" s="4" t="str">
        <v/>
      </c>
      <c r="I36405" s="4" t="str">
        <v/>
      </c>
    </row>
    <row r="36406" spans="5:9" ht="16.5" hidden="1">
      <c r="E36406" s="4" t="str">
        <v/>
      </c>
      <c r="F36406" s="102" t="str">
        <f ca="1">IFERROR(__xludf.DUMMYFUNCTION("IMPORTRANGE(H36406,""IDENTITAS UNIT!D9"")"),"#N/A")</f>
        <v>#N/A</v>
      </c>
      <c r="H36406" s="4" t="str">
        <v/>
      </c>
      <c r="I36406" s="4" t="str">
        <v/>
      </c>
    </row>
    <row r="36407" spans="5:9" ht="16.5" hidden="1">
      <c r="E36407" s="4" t="str">
        <v/>
      </c>
      <c r="F36407" s="102" t="str">
        <f ca="1">IFERROR(__xludf.DUMMYFUNCTION("IMPORTRANGE(H36407,""IDENTITAS UNIT!D9"")"),"#N/A")</f>
        <v>#N/A</v>
      </c>
      <c r="H36407" s="4" t="str">
        <v/>
      </c>
      <c r="I36407" s="4" t="str">
        <v/>
      </c>
    </row>
    <row r="36408" spans="5:9" ht="16.5" hidden="1">
      <c r="E36408" s="4" t="str">
        <v/>
      </c>
      <c r="F36408" s="102" t="str">
        <f ca="1">IFERROR(__xludf.DUMMYFUNCTION("IMPORTRANGE(H36408,""IDENTITAS UNIT!D9"")"),"#N/A")</f>
        <v>#N/A</v>
      </c>
      <c r="H36408" s="4" t="str">
        <v/>
      </c>
      <c r="I36408" s="4" t="str">
        <v/>
      </c>
    </row>
    <row r="36409" spans="5:9" ht="16.5" hidden="1">
      <c r="E36409" s="4" t="str">
        <v/>
      </c>
      <c r="F36409" s="102" t="str">
        <f ca="1">IFERROR(__xludf.DUMMYFUNCTION("IMPORTRANGE(H36409,""IDENTITAS UNIT!D9"")"),"#N/A")</f>
        <v>#N/A</v>
      </c>
      <c r="H36409" s="4" t="str">
        <v/>
      </c>
      <c r="I36409" s="4" t="str">
        <v/>
      </c>
    </row>
    <row r="36410" spans="5:9" ht="16.5" hidden="1">
      <c r="E36410" s="4" t="str">
        <v/>
      </c>
      <c r="F36410" s="102" t="str">
        <f ca="1">IFERROR(__xludf.DUMMYFUNCTION("IMPORTRANGE(H36410,""IDENTITAS UNIT!D9"")"),"#N/A")</f>
        <v>#N/A</v>
      </c>
      <c r="H36410" s="4" t="str">
        <v/>
      </c>
      <c r="I36410" s="4" t="str">
        <v/>
      </c>
    </row>
    <row r="36411" spans="5:9" ht="16.5" hidden="1">
      <c r="E36411" s="4" t="str">
        <v/>
      </c>
      <c r="F36411" s="102" t="str">
        <f ca="1">IFERROR(__xludf.DUMMYFUNCTION("IMPORTRANGE(H36411,""IDENTITAS UNIT!D9"")"),"#N/A")</f>
        <v>#N/A</v>
      </c>
      <c r="H36411" s="4" t="str">
        <v/>
      </c>
      <c r="I36411" s="4" t="str">
        <v/>
      </c>
    </row>
    <row r="36412" spans="5:9" ht="16.5" hidden="1">
      <c r="E36412" s="4" t="str">
        <v/>
      </c>
      <c r="F36412" s="102" t="str">
        <f ca="1">IFERROR(__xludf.DUMMYFUNCTION("IMPORTRANGE(H36412,""IDENTITAS UNIT!D9"")"),"#N/A")</f>
        <v>#N/A</v>
      </c>
      <c r="H36412" s="4" t="str">
        <v/>
      </c>
      <c r="I36412" s="4" t="str">
        <v/>
      </c>
    </row>
    <row r="36413" spans="5:9" ht="16.5" hidden="1">
      <c r="E36413" s="4" t="str">
        <v/>
      </c>
      <c r="F36413" s="102" t="str">
        <f ca="1">IFERROR(__xludf.DUMMYFUNCTION("IMPORTRANGE(H36413,""IDENTITAS UNIT!D9"")"),"#N/A")</f>
        <v>#N/A</v>
      </c>
      <c r="H36413" s="4" t="str">
        <v/>
      </c>
      <c r="I36413" s="4" t="str">
        <v/>
      </c>
    </row>
    <row r="36414" spans="5:9" ht="16.5" hidden="1">
      <c r="E36414" s="4" t="str">
        <v/>
      </c>
      <c r="F36414" s="102" t="str">
        <f ca="1">IFERROR(__xludf.DUMMYFUNCTION("IMPORTRANGE(H36414,""IDENTITAS UNIT!D9"")"),"#N/A")</f>
        <v>#N/A</v>
      </c>
      <c r="H36414" s="4" t="str">
        <v/>
      </c>
      <c r="I36414" s="4" t="str">
        <v/>
      </c>
    </row>
    <row r="36415" spans="5:9" ht="16.5" hidden="1">
      <c r="E36415" s="4" t="str">
        <v/>
      </c>
      <c r="F36415" s="102" t="str">
        <f ca="1">IFERROR(__xludf.DUMMYFUNCTION("IMPORTRANGE(H36415,""IDENTITAS UNIT!D9"")"),"#N/A")</f>
        <v>#N/A</v>
      </c>
      <c r="H36415" s="4" t="str">
        <v/>
      </c>
      <c r="I36415" s="4" t="str">
        <v/>
      </c>
    </row>
    <row r="36416" spans="5:9" ht="16.5" hidden="1">
      <c r="E36416" s="4" t="str">
        <v/>
      </c>
      <c r="F36416" s="102" t="str">
        <f ca="1">IFERROR(__xludf.DUMMYFUNCTION("IMPORTRANGE(H36416,""IDENTITAS UNIT!D9"")"),"#N/A")</f>
        <v>#N/A</v>
      </c>
      <c r="H36416" s="4" t="str">
        <v/>
      </c>
      <c r="I36416" s="4" t="str">
        <v/>
      </c>
    </row>
    <row r="36417" spans="5:9" ht="16.5" hidden="1">
      <c r="E36417" s="4" t="str">
        <v/>
      </c>
      <c r="F36417" s="102" t="str">
        <f ca="1">IFERROR(__xludf.DUMMYFUNCTION("IMPORTRANGE(H36417,""IDENTITAS UNIT!D9"")"),"#N/A")</f>
        <v>#N/A</v>
      </c>
      <c r="H36417" s="4" t="str">
        <v/>
      </c>
      <c r="I36417" s="4" t="str">
        <v/>
      </c>
    </row>
    <row r="36418" spans="5:9" ht="16.5" hidden="1">
      <c r="E36418" s="4" t="str">
        <v/>
      </c>
      <c r="F36418" s="102" t="str">
        <f ca="1">IFERROR(__xludf.DUMMYFUNCTION("IMPORTRANGE(H36418,""IDENTITAS UNIT!D9"")"),"#N/A")</f>
        <v>#N/A</v>
      </c>
      <c r="H36418" s="4" t="str">
        <v/>
      </c>
      <c r="I36418" s="4" t="str">
        <v/>
      </c>
    </row>
    <row r="36419" spans="5:9" ht="16.5" hidden="1">
      <c r="E36419" s="4" t="str">
        <v/>
      </c>
      <c r="F36419" s="102" t="str">
        <f ca="1">IFERROR(__xludf.DUMMYFUNCTION("IMPORTRANGE(H36419,""IDENTITAS UNIT!D9"")"),"#N/A")</f>
        <v>#N/A</v>
      </c>
      <c r="H36419" s="4" t="str">
        <v/>
      </c>
      <c r="I36419" s="4" t="str">
        <v/>
      </c>
    </row>
    <row r="36420" spans="5:9" ht="16.5" hidden="1">
      <c r="E36420" s="4" t="str">
        <v/>
      </c>
      <c r="F36420" s="102" t="str">
        <f ca="1">IFERROR(__xludf.DUMMYFUNCTION("IMPORTRANGE(H36420,""IDENTITAS UNIT!D9"")"),"#N/A")</f>
        <v>#N/A</v>
      </c>
      <c r="H36420" s="4" t="str">
        <v/>
      </c>
      <c r="I36420" s="4" t="str">
        <v/>
      </c>
    </row>
    <row r="36421" spans="5:9" ht="16.5" hidden="1">
      <c r="E36421" s="4" t="str">
        <v/>
      </c>
      <c r="F36421" s="102" t="str">
        <f ca="1">IFERROR(__xludf.DUMMYFUNCTION("IMPORTRANGE(H36421,""IDENTITAS UNIT!D9"")"),"#N/A")</f>
        <v>#N/A</v>
      </c>
      <c r="H36421" s="4" t="str">
        <v/>
      </c>
      <c r="I36421" s="4" t="str">
        <v/>
      </c>
    </row>
    <row r="36422" spans="5:9" ht="16.5" hidden="1">
      <c r="E36422" s="4" t="str">
        <v/>
      </c>
      <c r="F36422" s="102" t="str">
        <f ca="1">IFERROR(__xludf.DUMMYFUNCTION("IMPORTRANGE(H36422,""IDENTITAS UNIT!D9"")"),"#N/A")</f>
        <v>#N/A</v>
      </c>
      <c r="H36422" s="4" t="str">
        <v/>
      </c>
      <c r="I36422" s="4" t="str">
        <v/>
      </c>
    </row>
    <row r="36423" spans="5:9" ht="16.5" hidden="1">
      <c r="E36423" s="4" t="str">
        <v/>
      </c>
      <c r="F36423" s="102" t="str">
        <f ca="1">IFERROR(__xludf.DUMMYFUNCTION("IMPORTRANGE(H36423,""IDENTITAS UNIT!D9"")"),"#N/A")</f>
        <v>#N/A</v>
      </c>
      <c r="H36423" s="4" t="str">
        <v/>
      </c>
      <c r="I36423" s="4" t="str">
        <v/>
      </c>
    </row>
    <row r="36424" spans="5:9" ht="16.5" hidden="1">
      <c r="E36424" s="4" t="str">
        <v/>
      </c>
      <c r="F36424" s="102" t="str">
        <f ca="1">IFERROR(__xludf.DUMMYFUNCTION("IMPORTRANGE(H36424,""IDENTITAS UNIT!D9"")"),"#N/A")</f>
        <v>#N/A</v>
      </c>
      <c r="H36424" s="4" t="str">
        <v/>
      </c>
      <c r="I36424" s="4" t="str">
        <v/>
      </c>
    </row>
    <row r="36425" spans="5:9" ht="16.5" hidden="1">
      <c r="E36425" s="4" t="str">
        <v/>
      </c>
      <c r="F36425" s="102" t="str">
        <f ca="1">IFERROR(__xludf.DUMMYFUNCTION("IMPORTRANGE(H36425,""IDENTITAS UNIT!D9"")"),"#N/A")</f>
        <v>#N/A</v>
      </c>
      <c r="H36425" s="4" t="str">
        <v/>
      </c>
      <c r="I36425" s="4" t="str">
        <v/>
      </c>
    </row>
    <row r="36426" spans="5:9" ht="16.5" hidden="1">
      <c r="E36426" s="4" t="str">
        <v/>
      </c>
      <c r="F36426" s="102" t="str">
        <f ca="1">IFERROR(__xludf.DUMMYFUNCTION("IMPORTRANGE(H36426,""IDENTITAS UNIT!D9"")"),"#N/A")</f>
        <v>#N/A</v>
      </c>
      <c r="H36426" s="4" t="str">
        <v/>
      </c>
      <c r="I36426" s="4" t="str">
        <v/>
      </c>
    </row>
    <row r="36427" spans="5:9" ht="16.5" hidden="1">
      <c r="E36427" s="4" t="str">
        <v/>
      </c>
      <c r="F36427" s="102" t="str">
        <f ca="1">IFERROR(__xludf.DUMMYFUNCTION("IMPORTRANGE(H36427,""IDENTITAS UNIT!D9"")"),"#N/A")</f>
        <v>#N/A</v>
      </c>
      <c r="H36427" s="4" t="str">
        <v/>
      </c>
      <c r="I36427" s="4" t="str">
        <v/>
      </c>
    </row>
    <row r="36428" spans="5:9" ht="16.5" hidden="1">
      <c r="E36428" s="4" t="str">
        <v/>
      </c>
      <c r="F36428" s="102" t="str">
        <f ca="1">IFERROR(__xludf.DUMMYFUNCTION("IMPORTRANGE(H36428,""IDENTITAS UNIT!D9"")"),"#N/A")</f>
        <v>#N/A</v>
      </c>
      <c r="H36428" s="4" t="str">
        <v/>
      </c>
      <c r="I36428" s="4" t="str">
        <v/>
      </c>
    </row>
    <row r="36429" spans="5:9" ht="16.5" hidden="1">
      <c r="E36429" s="4" t="str">
        <v/>
      </c>
      <c r="F36429" s="102" t="str">
        <f ca="1">IFERROR(__xludf.DUMMYFUNCTION("IMPORTRANGE(H36429,""IDENTITAS UNIT!D9"")"),"#N/A")</f>
        <v>#N/A</v>
      </c>
      <c r="H36429" s="4" t="str">
        <v/>
      </c>
      <c r="I36429" s="4" t="str">
        <v/>
      </c>
    </row>
    <row r="36430" spans="5:9" ht="16.5" hidden="1">
      <c r="E36430" s="4" t="str">
        <v/>
      </c>
      <c r="F36430" s="102" t="str">
        <f ca="1">IFERROR(__xludf.DUMMYFUNCTION("IMPORTRANGE(H36430,""IDENTITAS UNIT!D9"")"),"#N/A")</f>
        <v>#N/A</v>
      </c>
      <c r="H36430" s="4" t="str">
        <v/>
      </c>
      <c r="I36430" s="4" t="str">
        <v/>
      </c>
    </row>
    <row r="36431" spans="5:9" ht="16.5" hidden="1">
      <c r="E36431" s="4" t="str">
        <v/>
      </c>
      <c r="F36431" s="102" t="str">
        <f ca="1">IFERROR(__xludf.DUMMYFUNCTION("IMPORTRANGE(H36431,""IDENTITAS UNIT!D9"")"),"#N/A")</f>
        <v>#N/A</v>
      </c>
      <c r="H36431" s="4" t="str">
        <v/>
      </c>
      <c r="I36431" s="4" t="str">
        <v/>
      </c>
    </row>
    <row r="36432" spans="5:9" ht="16.5" hidden="1">
      <c r="E36432" s="4" t="str">
        <v/>
      </c>
      <c r="F36432" s="102" t="str">
        <f ca="1">IFERROR(__xludf.DUMMYFUNCTION("IMPORTRANGE(H36432,""IDENTITAS UNIT!D9"")"),"#N/A")</f>
        <v>#N/A</v>
      </c>
      <c r="H36432" s="4" t="str">
        <v/>
      </c>
      <c r="I36432" s="4" t="str">
        <v/>
      </c>
    </row>
    <row r="36433" spans="5:9" ht="16.5" hidden="1">
      <c r="E36433" s="4" t="str">
        <v/>
      </c>
      <c r="F36433" s="102" t="str">
        <f ca="1">IFERROR(__xludf.DUMMYFUNCTION("IMPORTRANGE(H36433,""IDENTITAS UNIT!D9"")"),"#N/A")</f>
        <v>#N/A</v>
      </c>
      <c r="H36433" s="4" t="str">
        <v/>
      </c>
      <c r="I36433" s="4" t="str">
        <v/>
      </c>
    </row>
    <row r="36434" spans="5:9" ht="16.5" hidden="1">
      <c r="E36434" s="4" t="str">
        <v/>
      </c>
      <c r="F36434" s="102" t="str">
        <f ca="1">IFERROR(__xludf.DUMMYFUNCTION("IMPORTRANGE(H36434,""IDENTITAS UNIT!D9"")"),"#N/A")</f>
        <v>#N/A</v>
      </c>
      <c r="H36434" s="4" t="str">
        <v/>
      </c>
      <c r="I36434" s="4" t="str">
        <v/>
      </c>
    </row>
    <row r="36435" spans="5:9" ht="16.5" hidden="1">
      <c r="E36435" s="4" t="str">
        <v/>
      </c>
      <c r="F36435" s="102" t="str">
        <f ca="1">IFERROR(__xludf.DUMMYFUNCTION("IMPORTRANGE(H36435,""IDENTITAS UNIT!D9"")"),"#N/A")</f>
        <v>#N/A</v>
      </c>
      <c r="H36435" s="4" t="str">
        <v/>
      </c>
      <c r="I36435" s="4" t="str">
        <v/>
      </c>
    </row>
    <row r="36436" spans="5:9" ht="16.5" hidden="1">
      <c r="E36436" s="4" t="str">
        <v/>
      </c>
      <c r="F36436" s="102" t="str">
        <f ca="1">IFERROR(__xludf.DUMMYFUNCTION("IMPORTRANGE(H36436,""IDENTITAS UNIT!D9"")"),"#N/A")</f>
        <v>#N/A</v>
      </c>
      <c r="H36436" s="4" t="str">
        <v/>
      </c>
      <c r="I36436" s="4" t="str">
        <v/>
      </c>
    </row>
    <row r="36437" spans="5:9" ht="16.5" hidden="1">
      <c r="E36437" s="4" t="str">
        <v/>
      </c>
      <c r="F36437" s="102" t="str">
        <f ca="1">IFERROR(__xludf.DUMMYFUNCTION("IMPORTRANGE(H36437,""IDENTITAS UNIT!D9"")"),"#N/A")</f>
        <v>#N/A</v>
      </c>
      <c r="H36437" s="4" t="str">
        <v/>
      </c>
      <c r="I36437" s="4" t="str">
        <v/>
      </c>
    </row>
    <row r="36438" spans="5:9" ht="16.5" hidden="1">
      <c r="E36438" s="4" t="str">
        <v/>
      </c>
      <c r="F36438" s="102" t="str">
        <f ca="1">IFERROR(__xludf.DUMMYFUNCTION("IMPORTRANGE(H36438,""IDENTITAS UNIT!D9"")"),"#N/A")</f>
        <v>#N/A</v>
      </c>
      <c r="H36438" s="4" t="str">
        <v/>
      </c>
      <c r="I36438" s="4" t="str">
        <v/>
      </c>
    </row>
    <row r="36439" spans="5:9" ht="16.5" hidden="1">
      <c r="E36439" s="4" t="str">
        <v/>
      </c>
      <c r="F36439" s="102" t="str">
        <f ca="1">IFERROR(__xludf.DUMMYFUNCTION("IMPORTRANGE(H36439,""IDENTITAS UNIT!D9"")"),"#N/A")</f>
        <v>#N/A</v>
      </c>
      <c r="H36439" s="4" t="str">
        <v/>
      </c>
      <c r="I36439" s="4" t="str">
        <v/>
      </c>
    </row>
    <row r="36440" spans="5:9" ht="16.5" hidden="1">
      <c r="E36440" s="4" t="str">
        <v/>
      </c>
      <c r="F36440" s="102" t="str">
        <f ca="1">IFERROR(__xludf.DUMMYFUNCTION("IMPORTRANGE(H36440,""IDENTITAS UNIT!D9"")"),"#N/A")</f>
        <v>#N/A</v>
      </c>
      <c r="H36440" s="4" t="str">
        <v/>
      </c>
      <c r="I36440" s="4" t="str">
        <v/>
      </c>
    </row>
    <row r="36441" spans="5:9" ht="16.5" hidden="1">
      <c r="E36441" s="4" t="str">
        <v/>
      </c>
      <c r="F36441" s="102" t="str">
        <f ca="1">IFERROR(__xludf.DUMMYFUNCTION("IMPORTRANGE(H36441,""IDENTITAS UNIT!D9"")"),"#N/A")</f>
        <v>#N/A</v>
      </c>
      <c r="H36441" s="4" t="str">
        <v/>
      </c>
      <c r="I36441" s="4" t="str">
        <v/>
      </c>
    </row>
    <row r="36442" spans="5:9" ht="16.5" hidden="1">
      <c r="E36442" s="4" t="str">
        <v/>
      </c>
      <c r="F36442" s="102" t="str">
        <f ca="1">IFERROR(__xludf.DUMMYFUNCTION("IMPORTRANGE(H36442,""IDENTITAS UNIT!D9"")"),"#N/A")</f>
        <v>#N/A</v>
      </c>
      <c r="H36442" s="4" t="str">
        <v/>
      </c>
      <c r="I36442" s="4" t="str">
        <v/>
      </c>
    </row>
    <row r="36443" spans="5:9" ht="16.5" hidden="1">
      <c r="E36443" s="4" t="str">
        <v/>
      </c>
      <c r="F36443" s="102" t="str">
        <f ca="1">IFERROR(__xludf.DUMMYFUNCTION("IMPORTRANGE(H36443,""IDENTITAS UNIT!D9"")"),"#N/A")</f>
        <v>#N/A</v>
      </c>
      <c r="H36443" s="4" t="str">
        <v/>
      </c>
      <c r="I36443" s="4" t="str">
        <v/>
      </c>
    </row>
    <row r="36444" spans="5:9" ht="16.5" hidden="1">
      <c r="E36444" s="4" t="str">
        <v/>
      </c>
      <c r="F36444" s="102" t="str">
        <f ca="1">IFERROR(__xludf.DUMMYFUNCTION("IMPORTRANGE(H36444,""IDENTITAS UNIT!D9"")"),"#N/A")</f>
        <v>#N/A</v>
      </c>
      <c r="H36444" s="4" t="str">
        <v/>
      </c>
      <c r="I36444" s="4" t="str">
        <v/>
      </c>
    </row>
    <row r="36445" spans="5:9" ht="16.5" hidden="1">
      <c r="E36445" s="4" t="str">
        <v/>
      </c>
      <c r="F36445" s="102" t="str">
        <f ca="1">IFERROR(__xludf.DUMMYFUNCTION("IMPORTRANGE(H36445,""IDENTITAS UNIT!D9"")"),"#N/A")</f>
        <v>#N/A</v>
      </c>
      <c r="H36445" s="4" t="str">
        <v/>
      </c>
      <c r="I36445" s="4" t="str">
        <v/>
      </c>
    </row>
    <row r="36446" spans="5:9" ht="16.5" hidden="1">
      <c r="E36446" s="4" t="str">
        <v/>
      </c>
      <c r="F36446" s="102" t="str">
        <f ca="1">IFERROR(__xludf.DUMMYFUNCTION("IMPORTRANGE(H36446,""IDENTITAS UNIT!D9"")"),"#N/A")</f>
        <v>#N/A</v>
      </c>
      <c r="H36446" s="4" t="str">
        <v/>
      </c>
      <c r="I36446" s="4" t="str">
        <v/>
      </c>
    </row>
    <row r="36447" spans="5:9" ht="16.5" hidden="1">
      <c r="E36447" s="4" t="str">
        <v/>
      </c>
      <c r="F36447" s="102" t="str">
        <f ca="1">IFERROR(__xludf.DUMMYFUNCTION("IMPORTRANGE(H36447,""IDENTITAS UNIT!D9"")"),"#N/A")</f>
        <v>#N/A</v>
      </c>
      <c r="H36447" s="4" t="str">
        <v/>
      </c>
      <c r="I36447" s="4" t="str">
        <v/>
      </c>
    </row>
    <row r="36448" spans="5:9" ht="16.5" hidden="1">
      <c r="E36448" s="4" t="str">
        <v/>
      </c>
      <c r="F36448" s="102" t="str">
        <f ca="1">IFERROR(__xludf.DUMMYFUNCTION("IMPORTRANGE(H36448,""IDENTITAS UNIT!D9"")"),"#N/A")</f>
        <v>#N/A</v>
      </c>
      <c r="H36448" s="4" t="str">
        <v/>
      </c>
      <c r="I36448" s="4" t="str">
        <v/>
      </c>
    </row>
    <row r="36449" spans="5:9" ht="16.5" hidden="1">
      <c r="E36449" s="4" t="str">
        <v/>
      </c>
      <c r="F36449" s="102" t="str">
        <f ca="1">IFERROR(__xludf.DUMMYFUNCTION("IMPORTRANGE(H36449,""IDENTITAS UNIT!D9"")"),"#N/A")</f>
        <v>#N/A</v>
      </c>
      <c r="H36449" s="4" t="str">
        <v/>
      </c>
      <c r="I36449" s="4" t="str">
        <v/>
      </c>
    </row>
    <row r="36450" spans="5:9" ht="16.5" hidden="1">
      <c r="E36450" s="4" t="str">
        <v/>
      </c>
      <c r="F36450" s="102" t="str">
        <f ca="1">IFERROR(__xludf.DUMMYFUNCTION("IMPORTRANGE(H36450,""IDENTITAS UNIT!D9"")"),"#N/A")</f>
        <v>#N/A</v>
      </c>
      <c r="H36450" s="4" t="str">
        <v/>
      </c>
      <c r="I36450" s="4" t="str">
        <v/>
      </c>
    </row>
    <row r="36451" spans="5:9" ht="16.5" hidden="1">
      <c r="E36451" s="4" t="str">
        <v/>
      </c>
      <c r="F36451" s="102" t="str">
        <f ca="1">IFERROR(__xludf.DUMMYFUNCTION("IMPORTRANGE(H36451,""IDENTITAS UNIT!D9"")"),"#N/A")</f>
        <v>#N/A</v>
      </c>
      <c r="H36451" s="4" t="str">
        <v/>
      </c>
      <c r="I36451" s="4" t="str">
        <v/>
      </c>
    </row>
    <row r="36452" spans="5:9" ht="16.5" hidden="1">
      <c r="E36452" s="4" t="str">
        <v/>
      </c>
      <c r="F36452" s="102" t="str">
        <f ca="1">IFERROR(__xludf.DUMMYFUNCTION("IMPORTRANGE(H36452,""IDENTITAS UNIT!D9"")"),"#N/A")</f>
        <v>#N/A</v>
      </c>
      <c r="H36452" s="4" t="str">
        <v/>
      </c>
      <c r="I36452" s="4" t="str">
        <v/>
      </c>
    </row>
    <row r="36453" spans="5:9" ht="16.5" hidden="1">
      <c r="E36453" s="4" t="str">
        <v/>
      </c>
      <c r="F36453" s="102" t="str">
        <f ca="1">IFERROR(__xludf.DUMMYFUNCTION("IMPORTRANGE(H36453,""IDENTITAS UNIT!D9"")"),"#N/A")</f>
        <v>#N/A</v>
      </c>
      <c r="H36453" s="4" t="str">
        <v/>
      </c>
      <c r="I36453" s="4" t="str">
        <v/>
      </c>
    </row>
    <row r="36454" spans="5:9" ht="16.5" hidden="1">
      <c r="E36454" s="4" t="str">
        <v/>
      </c>
      <c r="F36454" s="102" t="str">
        <f ca="1">IFERROR(__xludf.DUMMYFUNCTION("IMPORTRANGE(H36454,""IDENTITAS UNIT!D9"")"),"#N/A")</f>
        <v>#N/A</v>
      </c>
      <c r="H36454" s="4" t="str">
        <v/>
      </c>
      <c r="I36454" s="4" t="str">
        <v/>
      </c>
    </row>
    <row r="36455" spans="5:9" ht="16.5" hidden="1">
      <c r="E36455" s="4" t="str">
        <v/>
      </c>
      <c r="F36455" s="102" t="str">
        <f ca="1">IFERROR(__xludf.DUMMYFUNCTION("IMPORTRANGE(H36455,""IDENTITAS UNIT!D9"")"),"#N/A")</f>
        <v>#N/A</v>
      </c>
      <c r="H36455" s="4" t="str">
        <v/>
      </c>
      <c r="I36455" s="4" t="str">
        <v/>
      </c>
    </row>
    <row r="36456" spans="5:9" ht="16.5" hidden="1">
      <c r="E36456" s="4" t="str">
        <v/>
      </c>
      <c r="F36456" s="102" t="str">
        <f ca="1">IFERROR(__xludf.DUMMYFUNCTION("IMPORTRANGE(H36456,""IDENTITAS UNIT!D9"")"),"#N/A")</f>
        <v>#N/A</v>
      </c>
      <c r="H36456" s="4" t="str">
        <v/>
      </c>
      <c r="I36456" s="4" t="str">
        <v/>
      </c>
    </row>
    <row r="36457" spans="5:9" ht="16.5" hidden="1">
      <c r="E36457" s="4" t="str">
        <v/>
      </c>
      <c r="F36457" s="102" t="str">
        <f ca="1">IFERROR(__xludf.DUMMYFUNCTION("IMPORTRANGE(H36457,""IDENTITAS UNIT!D9"")"),"#N/A")</f>
        <v>#N/A</v>
      </c>
      <c r="H36457" s="4" t="str">
        <v/>
      </c>
      <c r="I36457" s="4" t="str">
        <v/>
      </c>
    </row>
    <row r="36458" spans="5:9" ht="16.5" hidden="1">
      <c r="E36458" s="4" t="str">
        <v/>
      </c>
      <c r="F36458" s="102" t="str">
        <f ca="1">IFERROR(__xludf.DUMMYFUNCTION("IMPORTRANGE(H36458,""IDENTITAS UNIT!D9"")"),"#N/A")</f>
        <v>#N/A</v>
      </c>
      <c r="H36458" s="4" t="str">
        <v/>
      </c>
      <c r="I36458" s="4" t="str">
        <v/>
      </c>
    </row>
    <row r="36459" spans="5:9" ht="16.5" hidden="1">
      <c r="E36459" s="4" t="str">
        <v/>
      </c>
      <c r="F36459" s="102" t="str">
        <f ca="1">IFERROR(__xludf.DUMMYFUNCTION("IMPORTRANGE(H36459,""IDENTITAS UNIT!D9"")"),"#N/A")</f>
        <v>#N/A</v>
      </c>
      <c r="H36459" s="4" t="str">
        <v/>
      </c>
      <c r="I36459" s="4" t="str">
        <v/>
      </c>
    </row>
    <row r="36460" spans="5:9" ht="16.5" hidden="1">
      <c r="E36460" s="4" t="str">
        <v/>
      </c>
      <c r="F36460" s="102" t="str">
        <f ca="1">IFERROR(__xludf.DUMMYFUNCTION("IMPORTRANGE(H36460,""IDENTITAS UNIT!D9"")"),"#N/A")</f>
        <v>#N/A</v>
      </c>
      <c r="H36460" s="4" t="str">
        <v/>
      </c>
      <c r="I36460" s="4" t="str">
        <v/>
      </c>
    </row>
    <row r="36461" spans="5:9" ht="16.5" hidden="1">
      <c r="E36461" s="4" t="str">
        <v/>
      </c>
      <c r="F36461" s="102" t="str">
        <f ca="1">IFERROR(__xludf.DUMMYFUNCTION("IMPORTRANGE(H36461,""IDENTITAS UNIT!D9"")"),"#N/A")</f>
        <v>#N/A</v>
      </c>
      <c r="H36461" s="4" t="str">
        <v/>
      </c>
      <c r="I36461" s="4" t="str">
        <v/>
      </c>
    </row>
    <row r="36462" spans="5:9" ht="16.5" hidden="1">
      <c r="E36462" s="4" t="str">
        <v/>
      </c>
      <c r="F36462" s="102" t="str">
        <f ca="1">IFERROR(__xludf.DUMMYFUNCTION("IMPORTRANGE(H36462,""IDENTITAS UNIT!D9"")"),"#N/A")</f>
        <v>#N/A</v>
      </c>
      <c r="H36462" s="4" t="str">
        <v/>
      </c>
      <c r="I36462" s="4" t="str">
        <v/>
      </c>
    </row>
    <row r="36463" spans="5:9" ht="16.5" hidden="1">
      <c r="E36463" s="4" t="str">
        <v/>
      </c>
      <c r="F36463" s="102" t="str">
        <f ca="1">IFERROR(__xludf.DUMMYFUNCTION("IMPORTRANGE(H36463,""IDENTITAS UNIT!D9"")"),"#N/A")</f>
        <v>#N/A</v>
      </c>
      <c r="H36463" s="4" t="str">
        <v/>
      </c>
      <c r="I36463" s="4" t="str">
        <v/>
      </c>
    </row>
    <row r="36464" spans="5:9" ht="16.5" hidden="1">
      <c r="E36464" s="4" t="str">
        <v/>
      </c>
      <c r="F36464" s="102" t="str">
        <f ca="1">IFERROR(__xludf.DUMMYFUNCTION("IMPORTRANGE(H36464,""IDENTITAS UNIT!D9"")"),"#N/A")</f>
        <v>#N/A</v>
      </c>
      <c r="H36464" s="4" t="str">
        <v/>
      </c>
      <c r="I36464" s="4" t="str">
        <v/>
      </c>
    </row>
    <row r="36465" spans="5:9" ht="16.5" hidden="1">
      <c r="E36465" s="4" t="str">
        <v/>
      </c>
      <c r="F36465" s="102" t="str">
        <f ca="1">IFERROR(__xludf.DUMMYFUNCTION("IMPORTRANGE(H36465,""IDENTITAS UNIT!D9"")"),"#N/A")</f>
        <v>#N/A</v>
      </c>
      <c r="H36465" s="4" t="str">
        <v/>
      </c>
      <c r="I36465" s="4" t="str">
        <v/>
      </c>
    </row>
    <row r="36466" spans="5:9" ht="16.5" hidden="1">
      <c r="E36466" s="4" t="str">
        <v/>
      </c>
      <c r="F36466" s="102" t="str">
        <f ca="1">IFERROR(__xludf.DUMMYFUNCTION("IMPORTRANGE(H36466,""IDENTITAS UNIT!D9"")"),"#N/A")</f>
        <v>#N/A</v>
      </c>
      <c r="H36466" s="4" t="str">
        <v/>
      </c>
      <c r="I36466" s="4" t="str">
        <v/>
      </c>
    </row>
    <row r="36467" spans="5:9" ht="16.5" hidden="1">
      <c r="E36467" s="4" t="str">
        <v/>
      </c>
      <c r="F36467" s="102" t="str">
        <f ca="1">IFERROR(__xludf.DUMMYFUNCTION("IMPORTRANGE(H36467,""IDENTITAS UNIT!D9"")"),"#N/A")</f>
        <v>#N/A</v>
      </c>
      <c r="H36467" s="4" t="str">
        <v/>
      </c>
      <c r="I36467" s="4" t="str">
        <v/>
      </c>
    </row>
    <row r="36468" spans="5:9" ht="16.5" hidden="1">
      <c r="E36468" s="4" t="str">
        <v/>
      </c>
      <c r="F36468" s="102" t="str">
        <f ca="1">IFERROR(__xludf.DUMMYFUNCTION("IMPORTRANGE(H36468,""IDENTITAS UNIT!D9"")"),"#N/A")</f>
        <v>#N/A</v>
      </c>
      <c r="H36468" s="4" t="str">
        <v/>
      </c>
      <c r="I36468" s="4" t="str">
        <v/>
      </c>
    </row>
    <row r="36469" spans="5:9" ht="16.5" hidden="1">
      <c r="E36469" s="4" t="str">
        <v/>
      </c>
      <c r="F36469" s="102" t="str">
        <f ca="1">IFERROR(__xludf.DUMMYFUNCTION("IMPORTRANGE(H36469,""IDENTITAS UNIT!D9"")"),"#N/A")</f>
        <v>#N/A</v>
      </c>
      <c r="H36469" s="4" t="str">
        <v/>
      </c>
      <c r="I36469" s="4" t="str">
        <v/>
      </c>
    </row>
    <row r="36470" spans="5:9" ht="16.5" hidden="1">
      <c r="E36470" s="4" t="str">
        <v/>
      </c>
      <c r="F36470" s="102" t="str">
        <f ca="1">IFERROR(__xludf.DUMMYFUNCTION("IMPORTRANGE(H36470,""IDENTITAS UNIT!D9"")"),"#N/A")</f>
        <v>#N/A</v>
      </c>
      <c r="H36470" s="4" t="str">
        <v/>
      </c>
      <c r="I36470" s="4" t="str">
        <v/>
      </c>
    </row>
    <row r="36471" spans="5:9" ht="16.5" hidden="1">
      <c r="E36471" s="4" t="str">
        <v/>
      </c>
      <c r="F36471" s="102" t="str">
        <f ca="1">IFERROR(__xludf.DUMMYFUNCTION("IMPORTRANGE(H36471,""IDENTITAS UNIT!D9"")"),"#N/A")</f>
        <v>#N/A</v>
      </c>
      <c r="H36471" s="4" t="str">
        <v/>
      </c>
      <c r="I36471" s="4" t="str">
        <v/>
      </c>
    </row>
    <row r="36472" spans="5:9" ht="16.5" hidden="1">
      <c r="E36472" s="4" t="str">
        <v/>
      </c>
      <c r="F36472" s="102" t="str">
        <f ca="1">IFERROR(__xludf.DUMMYFUNCTION("IMPORTRANGE(H36472,""IDENTITAS UNIT!D9"")"),"#N/A")</f>
        <v>#N/A</v>
      </c>
      <c r="H36472" s="4" t="str">
        <v/>
      </c>
      <c r="I36472" s="4" t="str">
        <v/>
      </c>
    </row>
    <row r="36473" spans="5:9" ht="16.5" hidden="1">
      <c r="E36473" s="4" t="str">
        <v/>
      </c>
      <c r="F36473" s="102" t="str">
        <f ca="1">IFERROR(__xludf.DUMMYFUNCTION("IMPORTRANGE(H36473,""IDENTITAS UNIT!D9"")"),"#N/A")</f>
        <v>#N/A</v>
      </c>
      <c r="H36473" s="4" t="str">
        <v/>
      </c>
      <c r="I36473" s="4" t="str">
        <v/>
      </c>
    </row>
    <row r="36474" spans="5:9" ht="16.5" hidden="1">
      <c r="E36474" s="4" t="str">
        <v/>
      </c>
      <c r="F36474" s="102" t="str">
        <f ca="1">IFERROR(__xludf.DUMMYFUNCTION("IMPORTRANGE(H36474,""IDENTITAS UNIT!D9"")"),"#N/A")</f>
        <v>#N/A</v>
      </c>
      <c r="H36474" s="4" t="str">
        <v/>
      </c>
      <c r="I36474" s="4" t="str">
        <v/>
      </c>
    </row>
    <row r="36475" spans="5:9" ht="16.5" hidden="1">
      <c r="E36475" s="4" t="str">
        <v/>
      </c>
      <c r="F36475" s="102" t="str">
        <f ca="1">IFERROR(__xludf.DUMMYFUNCTION("IMPORTRANGE(H36475,""IDENTITAS UNIT!D9"")"),"#N/A")</f>
        <v>#N/A</v>
      </c>
      <c r="H36475" s="4" t="str">
        <v/>
      </c>
      <c r="I36475" s="4" t="str">
        <v/>
      </c>
    </row>
    <row r="36476" spans="5:9" ht="16.5" hidden="1">
      <c r="E36476" s="4" t="str">
        <v/>
      </c>
      <c r="F36476" s="102" t="str">
        <f ca="1">IFERROR(__xludf.DUMMYFUNCTION("IMPORTRANGE(H36476,""IDENTITAS UNIT!D9"")"),"#N/A")</f>
        <v>#N/A</v>
      </c>
      <c r="H36476" s="4" t="str">
        <v/>
      </c>
      <c r="I36476" s="4" t="str">
        <v/>
      </c>
    </row>
    <row r="36477" spans="5:9" ht="16.5" hidden="1">
      <c r="E36477" s="4" t="str">
        <v/>
      </c>
      <c r="F36477" s="102" t="str">
        <f ca="1">IFERROR(__xludf.DUMMYFUNCTION("IMPORTRANGE(H36477,""IDENTITAS UNIT!D9"")"),"#N/A")</f>
        <v>#N/A</v>
      </c>
      <c r="H36477" s="4" t="str">
        <v/>
      </c>
      <c r="I36477" s="4" t="str">
        <v/>
      </c>
    </row>
    <row r="36478" spans="5:9" ht="16.5" hidden="1">
      <c r="E36478" s="4" t="str">
        <v/>
      </c>
      <c r="F36478" s="102" t="str">
        <f ca="1">IFERROR(__xludf.DUMMYFUNCTION("IMPORTRANGE(H36478,""IDENTITAS UNIT!D9"")"),"#N/A")</f>
        <v>#N/A</v>
      </c>
      <c r="H36478" s="4" t="str">
        <v/>
      </c>
      <c r="I36478" s="4" t="str">
        <v/>
      </c>
    </row>
    <row r="36479" spans="5:9" ht="16.5" hidden="1">
      <c r="E36479" s="4" t="str">
        <v/>
      </c>
      <c r="F36479" s="102" t="str">
        <f ca="1">IFERROR(__xludf.DUMMYFUNCTION("IMPORTRANGE(H36479,""IDENTITAS UNIT!D9"")"),"#N/A")</f>
        <v>#N/A</v>
      </c>
      <c r="H36479" s="4" t="str">
        <v/>
      </c>
      <c r="I36479" s="4" t="str">
        <v/>
      </c>
    </row>
    <row r="36480" spans="5:9" ht="16.5" hidden="1">
      <c r="E36480" s="4" t="str">
        <v/>
      </c>
      <c r="F36480" s="102" t="str">
        <f ca="1">IFERROR(__xludf.DUMMYFUNCTION("IMPORTRANGE(H36480,""IDENTITAS UNIT!D9"")"),"#N/A")</f>
        <v>#N/A</v>
      </c>
      <c r="H36480" s="4" t="str">
        <v/>
      </c>
      <c r="I36480" s="4" t="str">
        <v/>
      </c>
    </row>
    <row r="36481" spans="5:9" ht="16.5" hidden="1">
      <c r="E36481" s="4" t="str">
        <v/>
      </c>
      <c r="F36481" s="102" t="str">
        <f ca="1">IFERROR(__xludf.DUMMYFUNCTION("IMPORTRANGE(H36481,""IDENTITAS UNIT!D9"")"),"#N/A")</f>
        <v>#N/A</v>
      </c>
      <c r="H36481" s="4" t="str">
        <v/>
      </c>
      <c r="I36481" s="4" t="str">
        <v/>
      </c>
    </row>
    <row r="36482" spans="5:9" ht="16.5" hidden="1">
      <c r="E36482" s="4" t="str">
        <v/>
      </c>
      <c r="F36482" s="102" t="str">
        <f ca="1">IFERROR(__xludf.DUMMYFUNCTION("IMPORTRANGE(H36482,""IDENTITAS UNIT!D9"")"),"#N/A")</f>
        <v>#N/A</v>
      </c>
      <c r="H36482" s="4" t="str">
        <v/>
      </c>
      <c r="I36482" s="4" t="str">
        <v/>
      </c>
    </row>
    <row r="36483" spans="5:9" ht="16.5" hidden="1">
      <c r="E36483" s="4" t="str">
        <v/>
      </c>
      <c r="F36483" s="102" t="str">
        <f ca="1">IFERROR(__xludf.DUMMYFUNCTION("IMPORTRANGE(H36483,""IDENTITAS UNIT!D9"")"),"#N/A")</f>
        <v>#N/A</v>
      </c>
      <c r="H36483" s="4" t="str">
        <v/>
      </c>
      <c r="I36483" s="4" t="str">
        <v/>
      </c>
    </row>
    <row r="36484" spans="5:9" ht="16.5" hidden="1">
      <c r="E36484" s="4" t="str">
        <v/>
      </c>
      <c r="F36484" s="102" t="str">
        <f ca="1">IFERROR(__xludf.DUMMYFUNCTION("IMPORTRANGE(H36484,""IDENTITAS UNIT!D9"")"),"#N/A")</f>
        <v>#N/A</v>
      </c>
      <c r="H36484" s="4" t="str">
        <v/>
      </c>
      <c r="I36484" s="4" t="str">
        <v/>
      </c>
    </row>
    <row r="36485" spans="5:9" ht="16.5" hidden="1">
      <c r="E36485" s="4" t="str">
        <v/>
      </c>
      <c r="F36485" s="102" t="str">
        <f ca="1">IFERROR(__xludf.DUMMYFUNCTION("IMPORTRANGE(H36485,""IDENTITAS UNIT!D9"")"),"#N/A")</f>
        <v>#N/A</v>
      </c>
      <c r="H36485" s="4" t="str">
        <v/>
      </c>
      <c r="I36485" s="4" t="str">
        <v/>
      </c>
    </row>
    <row r="36486" spans="5:9" ht="16.5" hidden="1">
      <c r="E36486" s="4" t="str">
        <v/>
      </c>
      <c r="F36486" s="102" t="str">
        <f ca="1">IFERROR(__xludf.DUMMYFUNCTION("IMPORTRANGE(H36486,""IDENTITAS UNIT!D9"")"),"#N/A")</f>
        <v>#N/A</v>
      </c>
      <c r="H36486" s="4" t="str">
        <v/>
      </c>
      <c r="I36486" s="4" t="str">
        <v/>
      </c>
    </row>
    <row r="36487" spans="5:9" ht="16.5" hidden="1">
      <c r="E36487" s="4" t="str">
        <v/>
      </c>
      <c r="F36487" s="102" t="str">
        <f ca="1">IFERROR(__xludf.DUMMYFUNCTION("IMPORTRANGE(H36487,""IDENTITAS UNIT!D9"")"),"#N/A")</f>
        <v>#N/A</v>
      </c>
      <c r="H36487" s="4" t="str">
        <v/>
      </c>
      <c r="I36487" s="4" t="str">
        <v/>
      </c>
    </row>
    <row r="36488" spans="5:9" ht="16.5" hidden="1">
      <c r="E36488" s="4" t="str">
        <v/>
      </c>
      <c r="F36488" s="102" t="str">
        <f ca="1">IFERROR(__xludf.DUMMYFUNCTION("IMPORTRANGE(H36488,""IDENTITAS UNIT!D9"")"),"#N/A")</f>
        <v>#N/A</v>
      </c>
      <c r="H36488" s="4" t="str">
        <v/>
      </c>
      <c r="I36488" s="4" t="str">
        <v/>
      </c>
    </row>
    <row r="36489" spans="5:9" ht="16.5" hidden="1">
      <c r="E36489" s="4" t="str">
        <v/>
      </c>
      <c r="F36489" s="102" t="str">
        <f ca="1">IFERROR(__xludf.DUMMYFUNCTION("IMPORTRANGE(H36489,""IDENTITAS UNIT!D9"")"),"#N/A")</f>
        <v>#N/A</v>
      </c>
      <c r="H36489" s="4" t="str">
        <v/>
      </c>
      <c r="I36489" s="4" t="str">
        <v/>
      </c>
    </row>
    <row r="36490" spans="5:9" ht="16.5" hidden="1">
      <c r="E36490" s="4" t="str">
        <v/>
      </c>
      <c r="F36490" s="102" t="str">
        <f ca="1">IFERROR(__xludf.DUMMYFUNCTION("IMPORTRANGE(H36490,""IDENTITAS UNIT!D9"")"),"#N/A")</f>
        <v>#N/A</v>
      </c>
      <c r="H36490" s="4" t="str">
        <v/>
      </c>
      <c r="I36490" s="4" t="str">
        <v/>
      </c>
    </row>
    <row r="36491" spans="5:9" ht="16.5" hidden="1">
      <c r="E36491" s="4" t="str">
        <v/>
      </c>
      <c r="F36491" s="102" t="str">
        <f ca="1">IFERROR(__xludf.DUMMYFUNCTION("IMPORTRANGE(H36491,""IDENTITAS UNIT!D9"")"),"#N/A")</f>
        <v>#N/A</v>
      </c>
      <c r="H36491" s="4" t="str">
        <v/>
      </c>
      <c r="I36491" s="4" t="str">
        <v/>
      </c>
    </row>
    <row r="36492" spans="5:9" ht="16.5" hidden="1">
      <c r="E36492" s="4" t="str">
        <v/>
      </c>
      <c r="F36492" s="102" t="str">
        <f ca="1">IFERROR(__xludf.DUMMYFUNCTION("IMPORTRANGE(H36492,""IDENTITAS UNIT!D9"")"),"#N/A")</f>
        <v>#N/A</v>
      </c>
      <c r="H36492" s="4" t="str">
        <v/>
      </c>
      <c r="I36492" s="4" t="str">
        <v/>
      </c>
    </row>
    <row r="36493" spans="5:9" ht="16.5" hidden="1">
      <c r="E36493" s="4" t="str">
        <v/>
      </c>
      <c r="F36493" s="102" t="str">
        <f ca="1">IFERROR(__xludf.DUMMYFUNCTION("IMPORTRANGE(H36493,""IDENTITAS UNIT!D9"")"),"#N/A")</f>
        <v>#N/A</v>
      </c>
      <c r="H36493" s="4" t="str">
        <v/>
      </c>
      <c r="I36493" s="4" t="str">
        <v/>
      </c>
    </row>
    <row r="36494" spans="5:9" ht="16.5" hidden="1">
      <c r="E36494" s="4" t="str">
        <v/>
      </c>
      <c r="F36494" s="102" t="str">
        <f ca="1">IFERROR(__xludf.DUMMYFUNCTION("IMPORTRANGE(H36494,""IDENTITAS UNIT!D9"")"),"#N/A")</f>
        <v>#N/A</v>
      </c>
      <c r="H36494" s="4" t="str">
        <v/>
      </c>
      <c r="I36494" s="4" t="str">
        <v/>
      </c>
    </row>
    <row r="36495" spans="5:9" ht="16.5" hidden="1">
      <c r="E36495" s="4" t="str">
        <v/>
      </c>
      <c r="F36495" s="102" t="str">
        <f ca="1">IFERROR(__xludf.DUMMYFUNCTION("IMPORTRANGE(H36495,""IDENTITAS UNIT!D9"")"),"#N/A")</f>
        <v>#N/A</v>
      </c>
      <c r="H36495" s="4" t="str">
        <v/>
      </c>
      <c r="I36495" s="4" t="str">
        <v/>
      </c>
    </row>
    <row r="36496" spans="5:9" ht="16.5" hidden="1">
      <c r="E36496" s="4" t="str">
        <v/>
      </c>
      <c r="F36496" s="102" t="str">
        <f ca="1">IFERROR(__xludf.DUMMYFUNCTION("IMPORTRANGE(H36496,""IDENTITAS UNIT!D9"")"),"#N/A")</f>
        <v>#N/A</v>
      </c>
      <c r="H36496" s="4" t="str">
        <v/>
      </c>
      <c r="I36496" s="4" t="str">
        <v/>
      </c>
    </row>
    <row r="36497" spans="5:9" ht="16.5" hidden="1">
      <c r="E36497" s="4" t="str">
        <v/>
      </c>
      <c r="F36497" s="102" t="str">
        <f ca="1">IFERROR(__xludf.DUMMYFUNCTION("IMPORTRANGE(H36497,""IDENTITAS UNIT!D9"")"),"#N/A")</f>
        <v>#N/A</v>
      </c>
      <c r="H36497" s="4" t="str">
        <v/>
      </c>
      <c r="I36497" s="4" t="str">
        <v/>
      </c>
    </row>
    <row r="36498" spans="5:9" ht="16.5" hidden="1">
      <c r="E36498" s="4" t="str">
        <v/>
      </c>
      <c r="F36498" s="102" t="str">
        <f ca="1">IFERROR(__xludf.DUMMYFUNCTION("IMPORTRANGE(H36498,""IDENTITAS UNIT!D9"")"),"#N/A")</f>
        <v>#N/A</v>
      </c>
      <c r="H36498" s="4" t="str">
        <v/>
      </c>
      <c r="I36498" s="4" t="str">
        <v/>
      </c>
    </row>
    <row r="36499" spans="5:9" ht="16.5" hidden="1">
      <c r="E36499" s="4" t="str">
        <v/>
      </c>
      <c r="F36499" s="102" t="str">
        <f ca="1">IFERROR(__xludf.DUMMYFUNCTION("IMPORTRANGE(H36499,""IDENTITAS UNIT!D9"")"),"#N/A")</f>
        <v>#N/A</v>
      </c>
      <c r="H36499" s="4" t="str">
        <v/>
      </c>
      <c r="I36499" s="4" t="str">
        <v/>
      </c>
    </row>
    <row r="36500" spans="5:9" ht="16.5" hidden="1">
      <c r="E36500" s="4" t="str">
        <v/>
      </c>
      <c r="F36500" s="102" t="str">
        <f ca="1">IFERROR(__xludf.DUMMYFUNCTION("IMPORTRANGE(H36500,""IDENTITAS UNIT!D9"")"),"#N/A")</f>
        <v>#N/A</v>
      </c>
      <c r="H36500" s="4" t="str">
        <v/>
      </c>
      <c r="I36500" s="4" t="str">
        <v/>
      </c>
    </row>
    <row r="36501" spans="5:9" ht="16.5" hidden="1">
      <c r="E36501" s="4" t="str">
        <v/>
      </c>
      <c r="F36501" s="102" t="str">
        <f ca="1">IFERROR(__xludf.DUMMYFUNCTION("IMPORTRANGE(H36501,""IDENTITAS UNIT!D9"")"),"#N/A")</f>
        <v>#N/A</v>
      </c>
      <c r="H36501" s="4" t="str">
        <v/>
      </c>
      <c r="I36501" s="4" t="str">
        <v/>
      </c>
    </row>
    <row r="36502" spans="5:9" ht="16.5" hidden="1">
      <c r="E36502" s="4" t="str">
        <v/>
      </c>
      <c r="F36502" s="102" t="str">
        <f ca="1">IFERROR(__xludf.DUMMYFUNCTION("IMPORTRANGE(H36502,""IDENTITAS UNIT!D9"")"),"#N/A")</f>
        <v>#N/A</v>
      </c>
      <c r="H36502" s="4" t="str">
        <v/>
      </c>
      <c r="I36502" s="4" t="str">
        <v/>
      </c>
    </row>
    <row r="36503" spans="5:9" ht="16.5" hidden="1">
      <c r="E36503" s="4" t="str">
        <v/>
      </c>
      <c r="F36503" s="102" t="str">
        <f ca="1">IFERROR(__xludf.DUMMYFUNCTION("IMPORTRANGE(H36503,""IDENTITAS UNIT!D9"")"),"#N/A")</f>
        <v>#N/A</v>
      </c>
      <c r="H36503" s="4" t="str">
        <v/>
      </c>
      <c r="I36503" s="4" t="str">
        <v/>
      </c>
    </row>
    <row r="36504" spans="5:9" ht="16.5" hidden="1">
      <c r="E36504" s="4" t="str">
        <v/>
      </c>
      <c r="F36504" s="102" t="str">
        <f ca="1">IFERROR(__xludf.DUMMYFUNCTION("IMPORTRANGE(H36504,""IDENTITAS UNIT!D9"")"),"#N/A")</f>
        <v>#N/A</v>
      </c>
      <c r="H36504" s="4" t="str">
        <v/>
      </c>
      <c r="I36504" s="4" t="str">
        <v/>
      </c>
    </row>
    <row r="36505" spans="5:9" ht="16.5" hidden="1">
      <c r="E36505" s="4" t="str">
        <v/>
      </c>
      <c r="F36505" s="102" t="str">
        <f ca="1">IFERROR(__xludf.DUMMYFUNCTION("IMPORTRANGE(H36505,""IDENTITAS UNIT!D9"")"),"#N/A")</f>
        <v>#N/A</v>
      </c>
      <c r="H36505" s="4" t="str">
        <v/>
      </c>
      <c r="I36505" s="4" t="str">
        <v/>
      </c>
    </row>
    <row r="36506" spans="5:9" ht="16.5" hidden="1">
      <c r="E36506" s="4" t="str">
        <v/>
      </c>
      <c r="F36506" s="102" t="str">
        <f ca="1">IFERROR(__xludf.DUMMYFUNCTION("IMPORTRANGE(H36506,""IDENTITAS UNIT!D9"")"),"#N/A")</f>
        <v>#N/A</v>
      </c>
      <c r="H36506" s="4" t="str">
        <v/>
      </c>
      <c r="I36506" s="4" t="str">
        <v/>
      </c>
    </row>
    <row r="36507" spans="5:9" ht="16.5" hidden="1">
      <c r="E36507" s="4" t="str">
        <v/>
      </c>
      <c r="F36507" s="102" t="str">
        <f ca="1">IFERROR(__xludf.DUMMYFUNCTION("IMPORTRANGE(H36507,""IDENTITAS UNIT!D9"")"),"#N/A")</f>
        <v>#N/A</v>
      </c>
      <c r="H36507" s="4" t="str">
        <v/>
      </c>
      <c r="I36507" s="4" t="str">
        <v/>
      </c>
    </row>
    <row r="36508" spans="5:9" ht="16.5" hidden="1">
      <c r="E36508" s="4" t="str">
        <v/>
      </c>
      <c r="F36508" s="102" t="str">
        <f ca="1">IFERROR(__xludf.DUMMYFUNCTION("IMPORTRANGE(H36508,""IDENTITAS UNIT!D9"")"),"#N/A")</f>
        <v>#N/A</v>
      </c>
      <c r="H36508" s="4" t="str">
        <v/>
      </c>
      <c r="I36508" s="4" t="str">
        <v/>
      </c>
    </row>
    <row r="36509" spans="5:9" ht="16.5" hidden="1">
      <c r="E36509" s="4" t="str">
        <v/>
      </c>
      <c r="F36509" s="102" t="str">
        <f ca="1">IFERROR(__xludf.DUMMYFUNCTION("IMPORTRANGE(H36509,""IDENTITAS UNIT!D9"")"),"#N/A")</f>
        <v>#N/A</v>
      </c>
      <c r="H36509" s="4" t="str">
        <v/>
      </c>
      <c r="I36509" s="4" t="str">
        <v/>
      </c>
    </row>
    <row r="36510" spans="5:9" ht="16.5" hidden="1">
      <c r="E36510" s="4" t="str">
        <v/>
      </c>
      <c r="F36510" s="102" t="str">
        <f ca="1">IFERROR(__xludf.DUMMYFUNCTION("IMPORTRANGE(H36510,""IDENTITAS UNIT!D9"")"),"#N/A")</f>
        <v>#N/A</v>
      </c>
      <c r="H36510" s="4" t="str">
        <v/>
      </c>
      <c r="I36510" s="4" t="str">
        <v/>
      </c>
    </row>
    <row r="36511" spans="5:9" ht="16.5" hidden="1">
      <c r="E36511" s="4" t="str">
        <v/>
      </c>
      <c r="F36511" s="102" t="str">
        <f ca="1">IFERROR(__xludf.DUMMYFUNCTION("IMPORTRANGE(H36511,""IDENTITAS UNIT!D9"")"),"#N/A")</f>
        <v>#N/A</v>
      </c>
      <c r="H36511" s="4" t="str">
        <v/>
      </c>
      <c r="I36511" s="4" t="str">
        <v/>
      </c>
    </row>
    <row r="36512" spans="5:9" ht="16.5" hidden="1">
      <c r="E36512" s="4" t="str">
        <v/>
      </c>
      <c r="F36512" s="102" t="str">
        <f ca="1">IFERROR(__xludf.DUMMYFUNCTION("IMPORTRANGE(H36512,""IDENTITAS UNIT!D9"")"),"#N/A")</f>
        <v>#N/A</v>
      </c>
      <c r="H36512" s="4" t="str">
        <v/>
      </c>
      <c r="I36512" s="4" t="str">
        <v/>
      </c>
    </row>
    <row r="36513" spans="5:9" ht="16.5" hidden="1">
      <c r="E36513" s="4" t="str">
        <v/>
      </c>
      <c r="F36513" s="102" t="str">
        <f ca="1">IFERROR(__xludf.DUMMYFUNCTION("IMPORTRANGE(H36513,""IDENTITAS UNIT!D9"")"),"#N/A")</f>
        <v>#N/A</v>
      </c>
      <c r="H36513" s="4" t="str">
        <v/>
      </c>
      <c r="I36513" s="4" t="str">
        <v/>
      </c>
    </row>
    <row r="36514" spans="5:9" ht="16.5" hidden="1">
      <c r="E36514" s="4" t="str">
        <v/>
      </c>
      <c r="F36514" s="102" t="str">
        <f ca="1">IFERROR(__xludf.DUMMYFUNCTION("IMPORTRANGE(H36514,""IDENTITAS UNIT!D9"")"),"#N/A")</f>
        <v>#N/A</v>
      </c>
      <c r="H36514" s="4" t="str">
        <v/>
      </c>
      <c r="I36514" s="4" t="str">
        <v/>
      </c>
    </row>
    <row r="36515" spans="5:9" ht="16.5" hidden="1">
      <c r="E36515" s="4" t="str">
        <v/>
      </c>
      <c r="F36515" s="102" t="str">
        <f ca="1">IFERROR(__xludf.DUMMYFUNCTION("IMPORTRANGE(H36515,""IDENTITAS UNIT!D9"")"),"#N/A")</f>
        <v>#N/A</v>
      </c>
      <c r="H36515" s="4" t="str">
        <v/>
      </c>
      <c r="I36515" s="4" t="str">
        <v/>
      </c>
    </row>
    <row r="36516" spans="5:9" ht="16.5" hidden="1">
      <c r="E36516" s="4" t="str">
        <v/>
      </c>
      <c r="F36516" s="102" t="str">
        <f ca="1">IFERROR(__xludf.DUMMYFUNCTION("IMPORTRANGE(H36516,""IDENTITAS UNIT!D9"")"),"#N/A")</f>
        <v>#N/A</v>
      </c>
      <c r="H36516" s="4" t="str">
        <v/>
      </c>
      <c r="I36516" s="4" t="str">
        <v/>
      </c>
    </row>
    <row r="36517" spans="5:9" ht="16.5" hidden="1">
      <c r="E36517" s="4" t="str">
        <v/>
      </c>
      <c r="F36517" s="102" t="str">
        <f ca="1">IFERROR(__xludf.DUMMYFUNCTION("IMPORTRANGE(H36517,""IDENTITAS UNIT!D9"")"),"#N/A")</f>
        <v>#N/A</v>
      </c>
      <c r="H36517" s="4" t="str">
        <v/>
      </c>
      <c r="I36517" s="4" t="str">
        <v/>
      </c>
    </row>
    <row r="36518" spans="5:9" ht="16.5" hidden="1">
      <c r="E36518" s="4" t="str">
        <v/>
      </c>
      <c r="F36518" s="102" t="str">
        <f ca="1">IFERROR(__xludf.DUMMYFUNCTION("IMPORTRANGE(H36518,""IDENTITAS UNIT!D9"")"),"#N/A")</f>
        <v>#N/A</v>
      </c>
      <c r="H36518" s="4" t="str">
        <v/>
      </c>
      <c r="I36518" s="4" t="str">
        <v/>
      </c>
    </row>
    <row r="36519" spans="5:9" ht="16.5" hidden="1">
      <c r="E36519" s="4" t="str">
        <v/>
      </c>
      <c r="F36519" s="102" t="str">
        <f ca="1">IFERROR(__xludf.DUMMYFUNCTION("IMPORTRANGE(H36519,""IDENTITAS UNIT!D9"")"),"#N/A")</f>
        <v>#N/A</v>
      </c>
      <c r="H36519" s="4" t="str">
        <v/>
      </c>
      <c r="I36519" s="4" t="str">
        <v/>
      </c>
    </row>
    <row r="36520" spans="5:9" ht="16.5" hidden="1">
      <c r="E36520" s="4" t="str">
        <v/>
      </c>
      <c r="F36520" s="102" t="str">
        <f ca="1">IFERROR(__xludf.DUMMYFUNCTION("IMPORTRANGE(H36520,""IDENTITAS UNIT!D9"")"),"#N/A")</f>
        <v>#N/A</v>
      </c>
      <c r="H36520" s="4" t="str">
        <v/>
      </c>
      <c r="I36520" s="4" t="str">
        <v/>
      </c>
    </row>
    <row r="36521" spans="5:9" ht="16.5" hidden="1">
      <c r="E36521" s="4" t="str">
        <v/>
      </c>
      <c r="F36521" s="102" t="str">
        <f ca="1">IFERROR(__xludf.DUMMYFUNCTION("IMPORTRANGE(H36521,""IDENTITAS UNIT!D9"")"),"#N/A")</f>
        <v>#N/A</v>
      </c>
      <c r="H36521" s="4" t="str">
        <v/>
      </c>
      <c r="I36521" s="4" t="str">
        <v/>
      </c>
    </row>
    <row r="36522" spans="5:9" ht="16.5" hidden="1">
      <c r="E36522" s="4" t="str">
        <v/>
      </c>
      <c r="F36522" s="102" t="str">
        <f ca="1">IFERROR(__xludf.DUMMYFUNCTION("IMPORTRANGE(H36522,""IDENTITAS UNIT!D9"")"),"#N/A")</f>
        <v>#N/A</v>
      </c>
      <c r="H36522" s="4" t="str">
        <v/>
      </c>
      <c r="I36522" s="4" t="str">
        <v/>
      </c>
    </row>
    <row r="36523" spans="5:9" ht="16.5" hidden="1">
      <c r="E36523" s="4" t="str">
        <v/>
      </c>
      <c r="F36523" s="102" t="str">
        <f ca="1">IFERROR(__xludf.DUMMYFUNCTION("IMPORTRANGE(H36523,""IDENTITAS UNIT!D9"")"),"#N/A")</f>
        <v>#N/A</v>
      </c>
      <c r="H36523" s="4" t="str">
        <v/>
      </c>
      <c r="I36523" s="4" t="str">
        <v/>
      </c>
    </row>
    <row r="36524" spans="5:9" ht="16.5" hidden="1">
      <c r="E36524" s="4" t="str">
        <v/>
      </c>
      <c r="F36524" s="102" t="str">
        <f ca="1">IFERROR(__xludf.DUMMYFUNCTION("IMPORTRANGE(H36524,""IDENTITAS UNIT!D9"")"),"#N/A")</f>
        <v>#N/A</v>
      </c>
      <c r="H36524" s="4" t="str">
        <v/>
      </c>
      <c r="I36524" s="4" t="str">
        <v/>
      </c>
    </row>
    <row r="36525" spans="5:9" ht="16.5" hidden="1">
      <c r="E36525" s="4" t="str">
        <v/>
      </c>
      <c r="F36525" s="102" t="str">
        <f ca="1">IFERROR(__xludf.DUMMYFUNCTION("IMPORTRANGE(H36525,""IDENTITAS UNIT!D9"")"),"#N/A")</f>
        <v>#N/A</v>
      </c>
      <c r="H36525" s="4" t="str">
        <v/>
      </c>
      <c r="I36525" s="4" t="str">
        <v/>
      </c>
    </row>
    <row r="36526" spans="5:9" ht="16.5" hidden="1">
      <c r="E36526" s="4" t="str">
        <v/>
      </c>
      <c r="F36526" s="102" t="str">
        <f ca="1">IFERROR(__xludf.DUMMYFUNCTION("IMPORTRANGE(H36526,""IDENTITAS UNIT!D9"")"),"#N/A")</f>
        <v>#N/A</v>
      </c>
      <c r="H36526" s="4" t="str">
        <v/>
      </c>
      <c r="I36526" s="4" t="str">
        <v/>
      </c>
    </row>
    <row r="36527" spans="5:9" ht="16.5" hidden="1">
      <c r="E36527" s="4" t="str">
        <v/>
      </c>
      <c r="F36527" s="102" t="str">
        <f ca="1">IFERROR(__xludf.DUMMYFUNCTION("IMPORTRANGE(H36527,""IDENTITAS UNIT!D9"")"),"#N/A")</f>
        <v>#N/A</v>
      </c>
      <c r="H36527" s="4" t="str">
        <v/>
      </c>
      <c r="I36527" s="4" t="str">
        <v/>
      </c>
    </row>
    <row r="36528" spans="5:9" ht="16.5" hidden="1">
      <c r="E36528" s="4" t="str">
        <v/>
      </c>
      <c r="F36528" s="102" t="str">
        <f ca="1">IFERROR(__xludf.DUMMYFUNCTION("IMPORTRANGE(H36528,""IDENTITAS UNIT!D9"")"),"#N/A")</f>
        <v>#N/A</v>
      </c>
      <c r="H36528" s="4" t="str">
        <v/>
      </c>
      <c r="I36528" s="4" t="str">
        <v/>
      </c>
    </row>
    <row r="36529" spans="5:9" ht="16.5" hidden="1">
      <c r="E36529" s="4" t="str">
        <v/>
      </c>
      <c r="F36529" s="102" t="str">
        <f ca="1">IFERROR(__xludf.DUMMYFUNCTION("IMPORTRANGE(H36529,""IDENTITAS UNIT!D9"")"),"#N/A")</f>
        <v>#N/A</v>
      </c>
      <c r="H36529" s="4" t="str">
        <v/>
      </c>
      <c r="I36529" s="4" t="str">
        <v/>
      </c>
    </row>
    <row r="36530" spans="5:9" ht="16.5" hidden="1">
      <c r="E36530" s="4" t="str">
        <v/>
      </c>
      <c r="F36530" s="102" t="str">
        <f ca="1">IFERROR(__xludf.DUMMYFUNCTION("IMPORTRANGE(H36530,""IDENTITAS UNIT!D9"")"),"#N/A")</f>
        <v>#N/A</v>
      </c>
      <c r="H36530" s="4" t="str">
        <v/>
      </c>
      <c r="I36530" s="4" t="str">
        <v/>
      </c>
    </row>
    <row r="36531" spans="5:9" ht="16.5" hidden="1">
      <c r="E36531" s="4" t="str">
        <v/>
      </c>
      <c r="F36531" s="102" t="str">
        <f ca="1">IFERROR(__xludf.DUMMYFUNCTION("IMPORTRANGE(H36531,""IDENTITAS UNIT!D9"")"),"#N/A")</f>
        <v>#N/A</v>
      </c>
      <c r="H36531" s="4" t="str">
        <v/>
      </c>
      <c r="I36531" s="4" t="str">
        <v/>
      </c>
    </row>
    <row r="36532" spans="5:9" ht="16.5" hidden="1">
      <c r="E36532" s="4" t="str">
        <v/>
      </c>
      <c r="F36532" s="102" t="str">
        <f ca="1">IFERROR(__xludf.DUMMYFUNCTION("IMPORTRANGE(H36532,""IDENTITAS UNIT!D9"")"),"#N/A")</f>
        <v>#N/A</v>
      </c>
      <c r="H36532" s="4" t="str">
        <v/>
      </c>
      <c r="I36532" s="4" t="str">
        <v/>
      </c>
    </row>
    <row r="36533" spans="5:9" ht="16.5" hidden="1">
      <c r="E36533" s="4" t="str">
        <v/>
      </c>
      <c r="F36533" s="102" t="str">
        <f ca="1">IFERROR(__xludf.DUMMYFUNCTION("IMPORTRANGE(H36533,""IDENTITAS UNIT!D9"")"),"#N/A")</f>
        <v>#N/A</v>
      </c>
      <c r="H36533" s="4" t="str">
        <v/>
      </c>
      <c r="I36533" s="4" t="str">
        <v/>
      </c>
    </row>
    <row r="36534" spans="5:9" ht="16.5" hidden="1">
      <c r="E36534" s="4" t="str">
        <v/>
      </c>
      <c r="F36534" s="102" t="str">
        <f ca="1">IFERROR(__xludf.DUMMYFUNCTION("IMPORTRANGE(H36534,""IDENTITAS UNIT!D9"")"),"#N/A")</f>
        <v>#N/A</v>
      </c>
      <c r="H36534" s="4" t="str">
        <v/>
      </c>
      <c r="I36534" s="4" t="str">
        <v/>
      </c>
    </row>
    <row r="36535" spans="5:9" ht="16.5" hidden="1">
      <c r="E36535" s="4" t="str">
        <v/>
      </c>
      <c r="F36535" s="102" t="str">
        <f ca="1">IFERROR(__xludf.DUMMYFUNCTION("IMPORTRANGE(H36535,""IDENTITAS UNIT!D9"")"),"#N/A")</f>
        <v>#N/A</v>
      </c>
      <c r="H36535" s="4" t="str">
        <v/>
      </c>
      <c r="I36535" s="4" t="str">
        <v/>
      </c>
    </row>
    <row r="36536" spans="5:9" ht="16.5" hidden="1">
      <c r="E36536" s="4" t="str">
        <v/>
      </c>
      <c r="F36536" s="102" t="str">
        <f ca="1">IFERROR(__xludf.DUMMYFUNCTION("IMPORTRANGE(H36536,""IDENTITAS UNIT!D9"")"),"#N/A")</f>
        <v>#N/A</v>
      </c>
      <c r="H36536" s="4" t="str">
        <v/>
      </c>
      <c r="I36536" s="4" t="str">
        <v/>
      </c>
    </row>
    <row r="36537" spans="5:9" ht="16.5" hidden="1">
      <c r="E36537" s="4" t="str">
        <v/>
      </c>
      <c r="F36537" s="102" t="str">
        <f ca="1">IFERROR(__xludf.DUMMYFUNCTION("IMPORTRANGE(H36537,""IDENTITAS UNIT!D9"")"),"#N/A")</f>
        <v>#N/A</v>
      </c>
      <c r="H36537" s="4" t="str">
        <v/>
      </c>
      <c r="I36537" s="4" t="str">
        <v/>
      </c>
    </row>
    <row r="36538" spans="5:9" ht="16.5" hidden="1">
      <c r="E36538" s="4" t="str">
        <v/>
      </c>
      <c r="F36538" s="102" t="str">
        <f ca="1">IFERROR(__xludf.DUMMYFUNCTION("IMPORTRANGE(H36538,""IDENTITAS UNIT!D9"")"),"#N/A")</f>
        <v>#N/A</v>
      </c>
      <c r="H36538" s="4" t="str">
        <v/>
      </c>
      <c r="I36538" s="4" t="str">
        <v/>
      </c>
    </row>
    <row r="36539" spans="5:9" ht="16.5" hidden="1">
      <c r="E36539" s="4" t="str">
        <v/>
      </c>
      <c r="F36539" s="102" t="str">
        <f ca="1">IFERROR(__xludf.DUMMYFUNCTION("IMPORTRANGE(H36539,""IDENTITAS UNIT!D9"")"),"#N/A")</f>
        <v>#N/A</v>
      </c>
      <c r="H36539" s="4" t="str">
        <v/>
      </c>
      <c r="I36539" s="4" t="str">
        <v/>
      </c>
    </row>
    <row r="36540" spans="5:9" ht="16.5" hidden="1">
      <c r="E36540" s="4" t="str">
        <v/>
      </c>
      <c r="F36540" s="102" t="str">
        <f ca="1">IFERROR(__xludf.DUMMYFUNCTION("IMPORTRANGE(H36540,""IDENTITAS UNIT!D9"")"),"#N/A")</f>
        <v>#N/A</v>
      </c>
      <c r="H36540" s="4" t="str">
        <v/>
      </c>
      <c r="I36540" s="4" t="str">
        <v/>
      </c>
    </row>
    <row r="36541" spans="5:9" ht="16.5" hidden="1">
      <c r="E36541" s="4" t="str">
        <v/>
      </c>
      <c r="F36541" s="102" t="str">
        <f ca="1">IFERROR(__xludf.DUMMYFUNCTION("IMPORTRANGE(H36541,""IDENTITAS UNIT!D9"")"),"#N/A")</f>
        <v>#N/A</v>
      </c>
      <c r="H36541" s="4" t="str">
        <v/>
      </c>
      <c r="I36541" s="4" t="str">
        <v/>
      </c>
    </row>
    <row r="36542" spans="5:9" ht="16.5" hidden="1">
      <c r="E36542" s="4" t="str">
        <v/>
      </c>
      <c r="F36542" s="102" t="str">
        <f ca="1">IFERROR(__xludf.DUMMYFUNCTION("IMPORTRANGE(H36542,""IDENTITAS UNIT!D9"")"),"#N/A")</f>
        <v>#N/A</v>
      </c>
      <c r="H36542" s="4" t="str">
        <v/>
      </c>
      <c r="I36542" s="4" t="str">
        <v/>
      </c>
    </row>
    <row r="36543" spans="5:9" ht="16.5" hidden="1">
      <c r="E36543" s="4" t="str">
        <v/>
      </c>
      <c r="F36543" s="102" t="str">
        <f ca="1">IFERROR(__xludf.DUMMYFUNCTION("IMPORTRANGE(H36543,""IDENTITAS UNIT!D9"")"),"#N/A")</f>
        <v>#N/A</v>
      </c>
      <c r="H36543" s="4" t="str">
        <v/>
      </c>
      <c r="I36543" s="4" t="str">
        <v/>
      </c>
    </row>
    <row r="36544" spans="5:9" ht="16.5" hidden="1">
      <c r="E36544" s="4" t="str">
        <v/>
      </c>
      <c r="F36544" s="102" t="str">
        <f ca="1">IFERROR(__xludf.DUMMYFUNCTION("IMPORTRANGE(H36544,""IDENTITAS UNIT!D9"")"),"#N/A")</f>
        <v>#N/A</v>
      </c>
      <c r="H36544" s="4" t="str">
        <v/>
      </c>
      <c r="I36544" s="4" t="str">
        <v/>
      </c>
    </row>
    <row r="36545" spans="5:9" ht="16.5" hidden="1">
      <c r="E36545" s="4" t="str">
        <v/>
      </c>
      <c r="F36545" s="102" t="str">
        <f ca="1">IFERROR(__xludf.DUMMYFUNCTION("IMPORTRANGE(H36545,""IDENTITAS UNIT!D9"")"),"#N/A")</f>
        <v>#N/A</v>
      </c>
      <c r="H36545" s="4" t="str">
        <v/>
      </c>
      <c r="I36545" s="4" t="str">
        <v/>
      </c>
    </row>
    <row r="36546" spans="5:9" ht="16.5" hidden="1">
      <c r="E36546" s="4" t="str">
        <v/>
      </c>
      <c r="F36546" s="102" t="str">
        <f ca="1">IFERROR(__xludf.DUMMYFUNCTION("IMPORTRANGE(H36546,""IDENTITAS UNIT!D9"")"),"#N/A")</f>
        <v>#N/A</v>
      </c>
      <c r="H36546" s="4" t="str">
        <v/>
      </c>
      <c r="I36546" s="4" t="str">
        <v/>
      </c>
    </row>
    <row r="36547" spans="5:9" ht="16.5" hidden="1">
      <c r="E36547" s="4" t="str">
        <v/>
      </c>
      <c r="F36547" s="102" t="str">
        <f ca="1">IFERROR(__xludf.DUMMYFUNCTION("IMPORTRANGE(H36547,""IDENTITAS UNIT!D9"")"),"#N/A")</f>
        <v>#N/A</v>
      </c>
      <c r="H36547" s="4" t="str">
        <v/>
      </c>
      <c r="I36547" s="4" t="str">
        <v/>
      </c>
    </row>
    <row r="36548" spans="5:9" ht="16.5" hidden="1">
      <c r="E36548" s="4" t="str">
        <v/>
      </c>
      <c r="F36548" s="102" t="str">
        <f ca="1">IFERROR(__xludf.DUMMYFUNCTION("IMPORTRANGE(H36548,""IDENTITAS UNIT!D9"")"),"#N/A")</f>
        <v>#N/A</v>
      </c>
      <c r="H36548" s="4" t="str">
        <v/>
      </c>
      <c r="I36548" s="4" t="str">
        <v/>
      </c>
    </row>
    <row r="36549" spans="5:9" ht="16.5" hidden="1">
      <c r="E36549" s="4" t="str">
        <v/>
      </c>
      <c r="F36549" s="102" t="str">
        <f ca="1">IFERROR(__xludf.DUMMYFUNCTION("IMPORTRANGE(H36549,""IDENTITAS UNIT!D9"")"),"#N/A")</f>
        <v>#N/A</v>
      </c>
      <c r="H36549" s="4" t="str">
        <v/>
      </c>
      <c r="I36549" s="4" t="str">
        <v/>
      </c>
    </row>
    <row r="36550" spans="5:9" ht="16.5" hidden="1">
      <c r="E36550" s="4" t="str">
        <v/>
      </c>
      <c r="F36550" s="102" t="str">
        <f ca="1">IFERROR(__xludf.DUMMYFUNCTION("IMPORTRANGE(H36550,""IDENTITAS UNIT!D9"")"),"#N/A")</f>
        <v>#N/A</v>
      </c>
      <c r="H36550" s="4" t="str">
        <v/>
      </c>
      <c r="I36550" s="4" t="str">
        <v/>
      </c>
    </row>
    <row r="36551" spans="5:9" ht="16.5" hidden="1">
      <c r="E36551" s="4" t="str">
        <v/>
      </c>
      <c r="F36551" s="102" t="str">
        <f ca="1">IFERROR(__xludf.DUMMYFUNCTION("IMPORTRANGE(H36551,""IDENTITAS UNIT!D9"")"),"#N/A")</f>
        <v>#N/A</v>
      </c>
      <c r="H36551" s="4" t="str">
        <v/>
      </c>
      <c r="I36551" s="4" t="str">
        <v/>
      </c>
    </row>
    <row r="36552" spans="5:9" ht="16.5" hidden="1">
      <c r="E36552" s="4" t="str">
        <v/>
      </c>
      <c r="F36552" s="102" t="str">
        <f ca="1">IFERROR(__xludf.DUMMYFUNCTION("IMPORTRANGE(H36552,""IDENTITAS UNIT!D9"")"),"#N/A")</f>
        <v>#N/A</v>
      </c>
      <c r="H36552" s="4" t="str">
        <v/>
      </c>
      <c r="I36552" s="4" t="str">
        <v/>
      </c>
    </row>
    <row r="36553" spans="5:9" ht="16.5" hidden="1">
      <c r="E36553" s="4" t="str">
        <v/>
      </c>
      <c r="F36553" s="102" t="str">
        <f ca="1">IFERROR(__xludf.DUMMYFUNCTION("IMPORTRANGE(H36553,""IDENTITAS UNIT!D9"")"),"#N/A")</f>
        <v>#N/A</v>
      </c>
      <c r="H36553" s="4" t="str">
        <v/>
      </c>
      <c r="I36553" s="4" t="str">
        <v/>
      </c>
    </row>
    <row r="36554" spans="5:9" ht="16.5" hidden="1">
      <c r="E36554" s="4" t="str">
        <v/>
      </c>
      <c r="F36554" s="102" t="str">
        <f ca="1">IFERROR(__xludf.DUMMYFUNCTION("IMPORTRANGE(H36554,""IDENTITAS UNIT!D9"")"),"#N/A")</f>
        <v>#N/A</v>
      </c>
      <c r="H36554" s="4" t="str">
        <v/>
      </c>
      <c r="I36554" s="4" t="str">
        <v/>
      </c>
    </row>
    <row r="36555" spans="5:9" ht="16.5" hidden="1">
      <c r="E36555" s="4" t="str">
        <v/>
      </c>
      <c r="F36555" s="102" t="str">
        <f ca="1">IFERROR(__xludf.DUMMYFUNCTION("IMPORTRANGE(H36555,""IDENTITAS UNIT!D9"")"),"#N/A")</f>
        <v>#N/A</v>
      </c>
      <c r="H36555" s="4" t="str">
        <v/>
      </c>
      <c r="I36555" s="4" t="str">
        <v/>
      </c>
    </row>
    <row r="36556" spans="5:9" ht="16.5" hidden="1">
      <c r="E36556" s="4" t="str">
        <v/>
      </c>
      <c r="F36556" s="102" t="str">
        <f ca="1">IFERROR(__xludf.DUMMYFUNCTION("IMPORTRANGE(H36556,""IDENTITAS UNIT!D9"")"),"#N/A")</f>
        <v>#N/A</v>
      </c>
      <c r="H36556" s="4" t="str">
        <v/>
      </c>
      <c r="I36556" s="4" t="str">
        <v/>
      </c>
    </row>
    <row r="36557" spans="5:9" ht="16.5" hidden="1">
      <c r="E36557" s="4" t="str">
        <v/>
      </c>
      <c r="F36557" s="102" t="str">
        <f ca="1">IFERROR(__xludf.DUMMYFUNCTION("IMPORTRANGE(H36557,""IDENTITAS UNIT!D9"")"),"#N/A")</f>
        <v>#N/A</v>
      </c>
      <c r="H36557" s="4" t="str">
        <v/>
      </c>
      <c r="I36557" s="4" t="str">
        <v/>
      </c>
    </row>
    <row r="36558" spans="5:9" ht="16.5" hidden="1">
      <c r="E36558" s="4" t="str">
        <v/>
      </c>
      <c r="F36558" s="102" t="str">
        <f ca="1">IFERROR(__xludf.DUMMYFUNCTION("IMPORTRANGE(H36558,""IDENTITAS UNIT!D9"")"),"#N/A")</f>
        <v>#N/A</v>
      </c>
      <c r="H36558" s="4" t="str">
        <v/>
      </c>
      <c r="I36558" s="4" t="str">
        <v/>
      </c>
    </row>
    <row r="36559" spans="5:9" ht="16.5" hidden="1">
      <c r="E36559" s="4" t="str">
        <v/>
      </c>
      <c r="F36559" s="102" t="str">
        <f ca="1">IFERROR(__xludf.DUMMYFUNCTION("IMPORTRANGE(H36559,""IDENTITAS UNIT!D9"")"),"#N/A")</f>
        <v>#N/A</v>
      </c>
      <c r="H36559" s="4" t="str">
        <v/>
      </c>
      <c r="I36559" s="4" t="str">
        <v/>
      </c>
    </row>
    <row r="36560" spans="5:9" ht="16.5" hidden="1">
      <c r="E36560" s="4" t="str">
        <v/>
      </c>
      <c r="F36560" s="102" t="str">
        <f ca="1">IFERROR(__xludf.DUMMYFUNCTION("IMPORTRANGE(H36560,""IDENTITAS UNIT!D9"")"),"#N/A")</f>
        <v>#N/A</v>
      </c>
      <c r="H36560" s="4" t="str">
        <v/>
      </c>
      <c r="I36560" s="4" t="str">
        <v/>
      </c>
    </row>
    <row r="36561" spans="5:9" ht="16.5" hidden="1">
      <c r="E36561" s="4" t="str">
        <v/>
      </c>
      <c r="F36561" s="102" t="str">
        <f ca="1">IFERROR(__xludf.DUMMYFUNCTION("IMPORTRANGE(H36561,""IDENTITAS UNIT!D9"")"),"#N/A")</f>
        <v>#N/A</v>
      </c>
      <c r="H36561" s="4" t="str">
        <v/>
      </c>
      <c r="I36561" s="4" t="str">
        <v/>
      </c>
    </row>
    <row r="36562" spans="5:9" ht="16.5" hidden="1">
      <c r="E36562" s="4" t="str">
        <v/>
      </c>
      <c r="F36562" s="102" t="str">
        <f ca="1">IFERROR(__xludf.DUMMYFUNCTION("IMPORTRANGE(H36562,""IDENTITAS UNIT!D9"")"),"#N/A")</f>
        <v>#N/A</v>
      </c>
      <c r="H36562" s="4" t="str">
        <v/>
      </c>
      <c r="I36562" s="4" t="str">
        <v/>
      </c>
    </row>
    <row r="36563" spans="5:9" ht="16.5" hidden="1">
      <c r="E36563" s="4" t="str">
        <v/>
      </c>
      <c r="F36563" s="102" t="str">
        <f ca="1">IFERROR(__xludf.DUMMYFUNCTION("IMPORTRANGE(H36563,""IDENTITAS UNIT!D9"")"),"#N/A")</f>
        <v>#N/A</v>
      </c>
      <c r="H36563" s="4" t="str">
        <v/>
      </c>
      <c r="I36563" s="4" t="str">
        <v/>
      </c>
    </row>
    <row r="36564" spans="5:9" ht="16.5" hidden="1">
      <c r="E36564" s="4" t="str">
        <v/>
      </c>
      <c r="F36564" s="102" t="str">
        <f ca="1">IFERROR(__xludf.DUMMYFUNCTION("IMPORTRANGE(H36564,""IDENTITAS UNIT!D9"")"),"#N/A")</f>
        <v>#N/A</v>
      </c>
      <c r="H36564" s="4" t="str">
        <v/>
      </c>
      <c r="I36564" s="4" t="str">
        <v/>
      </c>
    </row>
    <row r="36565" spans="5:9" ht="16.5" hidden="1">
      <c r="E36565" s="4" t="str">
        <v/>
      </c>
      <c r="F36565" s="102" t="str">
        <f ca="1">IFERROR(__xludf.DUMMYFUNCTION("IMPORTRANGE(H36565,""IDENTITAS UNIT!D9"")"),"#N/A")</f>
        <v>#N/A</v>
      </c>
      <c r="H36565" s="4" t="str">
        <v/>
      </c>
      <c r="I36565" s="4" t="str">
        <v/>
      </c>
    </row>
    <row r="36566" spans="5:9" ht="16.5" hidden="1">
      <c r="E36566" s="4" t="str">
        <v/>
      </c>
      <c r="F36566" s="102" t="str">
        <f ca="1">IFERROR(__xludf.DUMMYFUNCTION("IMPORTRANGE(H36566,""IDENTITAS UNIT!D9"")"),"#N/A")</f>
        <v>#N/A</v>
      </c>
      <c r="H36566" s="4" t="str">
        <v/>
      </c>
      <c r="I36566" s="4" t="str">
        <v/>
      </c>
    </row>
    <row r="36567" spans="5:9" ht="16.5" hidden="1">
      <c r="E36567" s="4" t="str">
        <v/>
      </c>
      <c r="F36567" s="102" t="str">
        <f ca="1">IFERROR(__xludf.DUMMYFUNCTION("IMPORTRANGE(H36567,""IDENTITAS UNIT!D9"")"),"#N/A")</f>
        <v>#N/A</v>
      </c>
      <c r="H36567" s="4" t="str">
        <v/>
      </c>
      <c r="I36567" s="4" t="str">
        <v/>
      </c>
    </row>
    <row r="36568" spans="5:9" ht="16.5" hidden="1">
      <c r="E36568" s="4" t="str">
        <v/>
      </c>
      <c r="F36568" s="102" t="str">
        <f ca="1">IFERROR(__xludf.DUMMYFUNCTION("IMPORTRANGE(H36568,""IDENTITAS UNIT!D9"")"),"#N/A")</f>
        <v>#N/A</v>
      </c>
      <c r="H36568" s="4" t="str">
        <v/>
      </c>
      <c r="I36568" s="4" t="str">
        <v/>
      </c>
    </row>
    <row r="36569" spans="5:9" ht="16.5" hidden="1">
      <c r="E36569" s="4" t="str">
        <v/>
      </c>
      <c r="F36569" s="102" t="str">
        <f ca="1">IFERROR(__xludf.DUMMYFUNCTION("IMPORTRANGE(H36569,""IDENTITAS UNIT!D9"")"),"#N/A")</f>
        <v>#N/A</v>
      </c>
      <c r="H36569" s="4" t="str">
        <v/>
      </c>
      <c r="I36569" s="4" t="str">
        <v/>
      </c>
    </row>
    <row r="36570" spans="5:9" ht="16.5" hidden="1">
      <c r="E36570" s="4" t="str">
        <v/>
      </c>
      <c r="F36570" s="102" t="str">
        <f ca="1">IFERROR(__xludf.DUMMYFUNCTION("IMPORTRANGE(H36570,""IDENTITAS UNIT!D9"")"),"#N/A")</f>
        <v>#N/A</v>
      </c>
      <c r="H36570" s="4" t="str">
        <v/>
      </c>
      <c r="I36570" s="4" t="str">
        <v/>
      </c>
    </row>
    <row r="36571" spans="5:9" ht="16.5" hidden="1">
      <c r="E36571" s="4" t="str">
        <v/>
      </c>
      <c r="F36571" s="102" t="str">
        <f ca="1">IFERROR(__xludf.DUMMYFUNCTION("IMPORTRANGE(H36571,""IDENTITAS UNIT!D9"")"),"#N/A")</f>
        <v>#N/A</v>
      </c>
      <c r="H36571" s="4" t="str">
        <v/>
      </c>
      <c r="I36571" s="4" t="str">
        <v/>
      </c>
    </row>
    <row r="36572" spans="5:9" ht="16.5" hidden="1">
      <c r="E36572" s="4" t="str">
        <v/>
      </c>
      <c r="F36572" s="102" t="str">
        <f ca="1">IFERROR(__xludf.DUMMYFUNCTION("IMPORTRANGE(H36572,""IDENTITAS UNIT!D9"")"),"#N/A")</f>
        <v>#N/A</v>
      </c>
      <c r="H36572" s="4" t="str">
        <v/>
      </c>
      <c r="I36572" s="4" t="str">
        <v/>
      </c>
    </row>
    <row r="36573" spans="5:9" ht="16.5" hidden="1">
      <c r="E36573" s="4" t="str">
        <v/>
      </c>
      <c r="F36573" s="102" t="str">
        <f ca="1">IFERROR(__xludf.DUMMYFUNCTION("IMPORTRANGE(H36573,""IDENTITAS UNIT!D9"")"),"#N/A")</f>
        <v>#N/A</v>
      </c>
      <c r="H36573" s="4" t="str">
        <v/>
      </c>
      <c r="I36573" s="4" t="str">
        <v/>
      </c>
    </row>
    <row r="36574" spans="5:9" ht="16.5" hidden="1">
      <c r="E36574" s="4" t="str">
        <v/>
      </c>
      <c r="F36574" s="102" t="str">
        <f ca="1">IFERROR(__xludf.DUMMYFUNCTION("IMPORTRANGE(H36574,""IDENTITAS UNIT!D9"")"),"#N/A")</f>
        <v>#N/A</v>
      </c>
      <c r="H36574" s="4" t="str">
        <v/>
      </c>
      <c r="I36574" s="4" t="str">
        <v/>
      </c>
    </row>
    <row r="36575" spans="5:9" ht="16.5" hidden="1">
      <c r="E36575" s="4" t="str">
        <v/>
      </c>
      <c r="F36575" s="102" t="str">
        <f ca="1">IFERROR(__xludf.DUMMYFUNCTION("IMPORTRANGE(H36575,""IDENTITAS UNIT!D9"")"),"#N/A")</f>
        <v>#N/A</v>
      </c>
      <c r="H36575" s="4" t="str">
        <v/>
      </c>
      <c r="I36575" s="4" t="str">
        <v/>
      </c>
    </row>
    <row r="36576" spans="5:9" ht="16.5" hidden="1">
      <c r="E36576" s="4" t="str">
        <v/>
      </c>
      <c r="F36576" s="102" t="str">
        <f ca="1">IFERROR(__xludf.DUMMYFUNCTION("IMPORTRANGE(H36576,""IDENTITAS UNIT!D9"")"),"#N/A")</f>
        <v>#N/A</v>
      </c>
      <c r="H36576" s="4" t="str">
        <v/>
      </c>
      <c r="I36576" s="4" t="str">
        <v/>
      </c>
    </row>
    <row r="36577" spans="5:9" ht="16.5" hidden="1">
      <c r="E36577" s="4" t="str">
        <v/>
      </c>
      <c r="F36577" s="102" t="str">
        <f ca="1">IFERROR(__xludf.DUMMYFUNCTION("IMPORTRANGE(H36577,""IDENTITAS UNIT!D9"")"),"#N/A")</f>
        <v>#N/A</v>
      </c>
      <c r="H36577" s="4" t="str">
        <v/>
      </c>
      <c r="I36577" s="4" t="str">
        <v/>
      </c>
    </row>
    <row r="36578" spans="5:9" ht="16.5" hidden="1">
      <c r="E36578" s="4" t="str">
        <v/>
      </c>
      <c r="F36578" s="102" t="str">
        <f ca="1">IFERROR(__xludf.DUMMYFUNCTION("IMPORTRANGE(H36578,""IDENTITAS UNIT!D9"")"),"#N/A")</f>
        <v>#N/A</v>
      </c>
      <c r="H36578" s="4" t="str">
        <v/>
      </c>
      <c r="I36578" s="4" t="str">
        <v/>
      </c>
    </row>
    <row r="36579" spans="5:9" ht="16.5" hidden="1">
      <c r="E36579" s="4" t="str">
        <v/>
      </c>
      <c r="F36579" s="102" t="str">
        <f ca="1">IFERROR(__xludf.DUMMYFUNCTION("IMPORTRANGE(H36579,""IDENTITAS UNIT!D9"")"),"#N/A")</f>
        <v>#N/A</v>
      </c>
      <c r="H36579" s="4" t="str">
        <v/>
      </c>
      <c r="I36579" s="4" t="str">
        <v/>
      </c>
    </row>
    <row r="36580" spans="5:9" ht="16.5" hidden="1">
      <c r="E36580" s="4" t="str">
        <v/>
      </c>
      <c r="F36580" s="102" t="str">
        <f ca="1">IFERROR(__xludf.DUMMYFUNCTION("IMPORTRANGE(H36580,""IDENTITAS UNIT!D9"")"),"#N/A")</f>
        <v>#N/A</v>
      </c>
      <c r="H36580" s="4" t="str">
        <v/>
      </c>
      <c r="I36580" s="4" t="str">
        <v/>
      </c>
    </row>
    <row r="36581" spans="5:9" ht="16.5" hidden="1">
      <c r="E36581" s="4" t="str">
        <v/>
      </c>
      <c r="F36581" s="102" t="str">
        <f ca="1">IFERROR(__xludf.DUMMYFUNCTION("IMPORTRANGE(H36581,""IDENTITAS UNIT!D9"")"),"#N/A")</f>
        <v>#N/A</v>
      </c>
      <c r="H36581" s="4" t="str">
        <v/>
      </c>
      <c r="I36581" s="4" t="str">
        <v/>
      </c>
    </row>
    <row r="36582" spans="5:9" ht="16.5" hidden="1">
      <c r="E36582" s="4" t="str">
        <v/>
      </c>
      <c r="F36582" s="102" t="str">
        <f ca="1">IFERROR(__xludf.DUMMYFUNCTION("IMPORTRANGE(H36582,""IDENTITAS UNIT!D9"")"),"#N/A")</f>
        <v>#N/A</v>
      </c>
      <c r="H36582" s="4" t="str">
        <v/>
      </c>
      <c r="I36582" s="4" t="str">
        <v/>
      </c>
    </row>
    <row r="36583" spans="5:9" ht="16.5" hidden="1">
      <c r="E36583" s="4" t="str">
        <v/>
      </c>
      <c r="F36583" s="102" t="str">
        <f ca="1">IFERROR(__xludf.DUMMYFUNCTION("IMPORTRANGE(H36583,""IDENTITAS UNIT!D9"")"),"#N/A")</f>
        <v>#N/A</v>
      </c>
      <c r="H36583" s="4" t="str">
        <v/>
      </c>
      <c r="I36583" s="4" t="str">
        <v/>
      </c>
    </row>
    <row r="36584" spans="5:9" ht="16.5" hidden="1">
      <c r="E36584" s="4" t="str">
        <v/>
      </c>
      <c r="F36584" s="102" t="str">
        <f ca="1">IFERROR(__xludf.DUMMYFUNCTION("IMPORTRANGE(H36584,""IDENTITAS UNIT!D9"")"),"#N/A")</f>
        <v>#N/A</v>
      </c>
      <c r="H36584" s="4" t="str">
        <v/>
      </c>
      <c r="I36584" s="4" t="str">
        <v/>
      </c>
    </row>
    <row r="36585" spans="5:9" ht="16.5" hidden="1">
      <c r="E36585" s="4" t="str">
        <v/>
      </c>
      <c r="F36585" s="102" t="str">
        <f ca="1">IFERROR(__xludf.DUMMYFUNCTION("IMPORTRANGE(H36585,""IDENTITAS UNIT!D9"")"),"#N/A")</f>
        <v>#N/A</v>
      </c>
      <c r="H36585" s="4" t="str">
        <v/>
      </c>
      <c r="I36585" s="4" t="str">
        <v/>
      </c>
    </row>
    <row r="36586" spans="5:9" ht="16.5" hidden="1">
      <c r="E36586" s="4" t="str">
        <v/>
      </c>
      <c r="F36586" s="102" t="str">
        <f ca="1">IFERROR(__xludf.DUMMYFUNCTION("IMPORTRANGE(H36586,""IDENTITAS UNIT!D9"")"),"#N/A")</f>
        <v>#N/A</v>
      </c>
      <c r="H36586" s="4" t="str">
        <v/>
      </c>
      <c r="I36586" s="4" t="str">
        <v/>
      </c>
    </row>
    <row r="36587" spans="5:9" ht="16.5" hidden="1">
      <c r="E36587" s="4" t="str">
        <v/>
      </c>
      <c r="F36587" s="102" t="str">
        <f ca="1">IFERROR(__xludf.DUMMYFUNCTION("IMPORTRANGE(H36587,""IDENTITAS UNIT!D9"")"),"#N/A")</f>
        <v>#N/A</v>
      </c>
      <c r="H36587" s="4" t="str">
        <v/>
      </c>
      <c r="I36587" s="4" t="str">
        <v/>
      </c>
    </row>
    <row r="36588" spans="5:9" ht="16.5" hidden="1">
      <c r="E36588" s="4" t="str">
        <v/>
      </c>
      <c r="F36588" s="102" t="str">
        <f ca="1">IFERROR(__xludf.DUMMYFUNCTION("IMPORTRANGE(H36588,""IDENTITAS UNIT!D9"")"),"#N/A")</f>
        <v>#N/A</v>
      </c>
      <c r="H36588" s="4" t="str">
        <v/>
      </c>
      <c r="I36588" s="4" t="str">
        <v/>
      </c>
    </row>
    <row r="36589" spans="5:9" ht="16.5" hidden="1">
      <c r="E36589" s="4" t="str">
        <v/>
      </c>
      <c r="F36589" s="102" t="str">
        <f ca="1">IFERROR(__xludf.DUMMYFUNCTION("IMPORTRANGE(H36589,""IDENTITAS UNIT!D9"")"),"#N/A")</f>
        <v>#N/A</v>
      </c>
      <c r="H36589" s="4" t="str">
        <v/>
      </c>
      <c r="I36589" s="4" t="str">
        <v/>
      </c>
    </row>
    <row r="36590" spans="5:9" ht="16.5" hidden="1">
      <c r="E36590" s="4" t="str">
        <v/>
      </c>
      <c r="F36590" s="102" t="str">
        <f ca="1">IFERROR(__xludf.DUMMYFUNCTION("IMPORTRANGE(H36590,""IDENTITAS UNIT!D9"")"),"#N/A")</f>
        <v>#N/A</v>
      </c>
      <c r="H36590" s="4" t="str">
        <v/>
      </c>
      <c r="I36590" s="4" t="str">
        <v/>
      </c>
    </row>
    <row r="36591" spans="5:9" ht="16.5" hidden="1">
      <c r="E36591" s="4" t="str">
        <v/>
      </c>
      <c r="F36591" s="102" t="str">
        <f ca="1">IFERROR(__xludf.DUMMYFUNCTION("IMPORTRANGE(H36591,""IDENTITAS UNIT!D9"")"),"#N/A")</f>
        <v>#N/A</v>
      </c>
      <c r="H36591" s="4" t="str">
        <v/>
      </c>
      <c r="I36591" s="4" t="str">
        <v/>
      </c>
    </row>
    <row r="36592" spans="5:9" ht="16.5" hidden="1">
      <c r="E36592" s="4" t="str">
        <v/>
      </c>
      <c r="F36592" s="102" t="str">
        <f ca="1">IFERROR(__xludf.DUMMYFUNCTION("IMPORTRANGE(H36592,""IDENTITAS UNIT!D9"")"),"#N/A")</f>
        <v>#N/A</v>
      </c>
      <c r="H36592" s="4" t="str">
        <v/>
      </c>
      <c r="I36592" s="4" t="str">
        <v/>
      </c>
    </row>
    <row r="36593" spans="5:9" ht="16.5" hidden="1">
      <c r="E36593" s="4" t="str">
        <v/>
      </c>
      <c r="F36593" s="102" t="str">
        <f ca="1">IFERROR(__xludf.DUMMYFUNCTION("IMPORTRANGE(H36593,""IDENTITAS UNIT!D9"")"),"#N/A")</f>
        <v>#N/A</v>
      </c>
      <c r="H36593" s="4" t="str">
        <v/>
      </c>
      <c r="I36593" s="4" t="str">
        <v/>
      </c>
    </row>
    <row r="36594" spans="5:9" ht="16.5" hidden="1">
      <c r="E36594" s="4" t="str">
        <v/>
      </c>
      <c r="F36594" s="102" t="str">
        <f ca="1">IFERROR(__xludf.DUMMYFUNCTION("IMPORTRANGE(H36594,""IDENTITAS UNIT!D9"")"),"#N/A")</f>
        <v>#N/A</v>
      </c>
      <c r="H36594" s="4" t="str">
        <v/>
      </c>
      <c r="I36594" s="4" t="str">
        <v/>
      </c>
    </row>
    <row r="36595" spans="5:9" ht="16.5" hidden="1">
      <c r="E36595" s="4" t="str">
        <v/>
      </c>
      <c r="F36595" s="102" t="str">
        <f ca="1">IFERROR(__xludf.DUMMYFUNCTION("IMPORTRANGE(H36595,""IDENTITAS UNIT!D9"")"),"#N/A")</f>
        <v>#N/A</v>
      </c>
      <c r="H36595" s="4" t="str">
        <v/>
      </c>
      <c r="I36595" s="4" t="str">
        <v/>
      </c>
    </row>
    <row r="36596" spans="5:9" ht="16.5" hidden="1">
      <c r="E36596" s="4" t="str">
        <v/>
      </c>
      <c r="F36596" s="102" t="str">
        <f ca="1">IFERROR(__xludf.DUMMYFUNCTION("IMPORTRANGE(H36596,""IDENTITAS UNIT!D9"")"),"#N/A")</f>
        <v>#N/A</v>
      </c>
      <c r="H36596" s="4" t="str">
        <v/>
      </c>
      <c r="I36596" s="4" t="str">
        <v/>
      </c>
    </row>
    <row r="36597" spans="5:9" ht="16.5" hidden="1">
      <c r="E36597" s="4" t="str">
        <v/>
      </c>
      <c r="F36597" s="102" t="str">
        <f ca="1">IFERROR(__xludf.DUMMYFUNCTION("IMPORTRANGE(H36597,""IDENTITAS UNIT!D9"")"),"#N/A")</f>
        <v>#N/A</v>
      </c>
      <c r="H36597" s="4" t="str">
        <v/>
      </c>
      <c r="I36597" s="4" t="str">
        <v/>
      </c>
    </row>
    <row r="36598" spans="5:9" ht="16.5" hidden="1">
      <c r="E36598" s="4" t="str">
        <v/>
      </c>
      <c r="F36598" s="102" t="str">
        <f ca="1">IFERROR(__xludf.DUMMYFUNCTION("IMPORTRANGE(H36598,""IDENTITAS UNIT!D9"")"),"#N/A")</f>
        <v>#N/A</v>
      </c>
      <c r="H36598" s="4" t="str">
        <v/>
      </c>
      <c r="I36598" s="4" t="str">
        <v/>
      </c>
    </row>
    <row r="36599" spans="5:9" ht="16.5" hidden="1">
      <c r="E36599" s="4" t="str">
        <v/>
      </c>
      <c r="F36599" s="102" t="str">
        <f ca="1">IFERROR(__xludf.DUMMYFUNCTION("IMPORTRANGE(H36599,""IDENTITAS UNIT!D9"")"),"#N/A")</f>
        <v>#N/A</v>
      </c>
      <c r="H36599" s="4" t="str">
        <v/>
      </c>
      <c r="I36599" s="4" t="str">
        <v/>
      </c>
    </row>
    <row r="36600" spans="5:9" ht="16.5" hidden="1">
      <c r="E36600" s="4" t="str">
        <v/>
      </c>
      <c r="F36600" s="102" t="str">
        <f ca="1">IFERROR(__xludf.DUMMYFUNCTION("IMPORTRANGE(H36600,""IDENTITAS UNIT!D9"")"),"#N/A")</f>
        <v>#N/A</v>
      </c>
      <c r="H36600" s="4" t="str">
        <v/>
      </c>
      <c r="I36600" s="4" t="str">
        <v/>
      </c>
    </row>
    <row r="36601" spans="5:9" ht="16.5" hidden="1">
      <c r="E36601" s="4" t="str">
        <v/>
      </c>
      <c r="F36601" s="102" t="str">
        <f ca="1">IFERROR(__xludf.DUMMYFUNCTION("IMPORTRANGE(H36601,""IDENTITAS UNIT!D9"")"),"#N/A")</f>
        <v>#N/A</v>
      </c>
      <c r="H36601" s="4" t="str">
        <v/>
      </c>
      <c r="I36601" s="4" t="str">
        <v/>
      </c>
    </row>
    <row r="36602" spans="5:9" ht="16.5" hidden="1">
      <c r="E36602" s="4" t="str">
        <v/>
      </c>
      <c r="F36602" s="102" t="str">
        <f ca="1">IFERROR(__xludf.DUMMYFUNCTION("IMPORTRANGE(H36602,""IDENTITAS UNIT!D9"")"),"#N/A")</f>
        <v>#N/A</v>
      </c>
      <c r="H36602" s="4" t="str">
        <v/>
      </c>
      <c r="I36602" s="4" t="str">
        <v/>
      </c>
    </row>
    <row r="36603" spans="5:9" ht="16.5" hidden="1">
      <c r="E36603" s="4" t="str">
        <v/>
      </c>
      <c r="F36603" s="102" t="str">
        <f ca="1">IFERROR(__xludf.DUMMYFUNCTION("IMPORTRANGE(H36603,""IDENTITAS UNIT!D9"")"),"#N/A")</f>
        <v>#N/A</v>
      </c>
      <c r="H36603" s="4" t="str">
        <v/>
      </c>
      <c r="I36603" s="4" t="str">
        <v/>
      </c>
    </row>
    <row r="36604" spans="5:9" ht="16.5" hidden="1">
      <c r="E36604" s="4" t="str">
        <v/>
      </c>
      <c r="F36604" s="102" t="str">
        <f ca="1">IFERROR(__xludf.DUMMYFUNCTION("IMPORTRANGE(H36604,""IDENTITAS UNIT!D9"")"),"#N/A")</f>
        <v>#N/A</v>
      </c>
      <c r="H36604" s="4" t="str">
        <v/>
      </c>
      <c r="I36604" s="4" t="str">
        <v/>
      </c>
    </row>
    <row r="36605" spans="5:9" ht="16.5" hidden="1">
      <c r="E36605" s="4" t="str">
        <v/>
      </c>
      <c r="F36605" s="102" t="str">
        <f ca="1">IFERROR(__xludf.DUMMYFUNCTION("IMPORTRANGE(H36605,""IDENTITAS UNIT!D9"")"),"#N/A")</f>
        <v>#N/A</v>
      </c>
      <c r="H36605" s="4" t="str">
        <v/>
      </c>
      <c r="I36605" s="4" t="str">
        <v/>
      </c>
    </row>
    <row r="36606" spans="5:9" ht="16.5" hidden="1">
      <c r="E36606" s="4" t="str">
        <v/>
      </c>
      <c r="F36606" s="102" t="str">
        <f ca="1">IFERROR(__xludf.DUMMYFUNCTION("IMPORTRANGE(H36606,""IDENTITAS UNIT!D9"")"),"#N/A")</f>
        <v>#N/A</v>
      </c>
      <c r="H36606" s="4" t="str">
        <v/>
      </c>
      <c r="I36606" s="4" t="str">
        <v/>
      </c>
    </row>
    <row r="36607" spans="5:9" ht="16.5" hidden="1">
      <c r="E36607" s="4" t="str">
        <v/>
      </c>
      <c r="F36607" s="102" t="str">
        <f ca="1">IFERROR(__xludf.DUMMYFUNCTION("IMPORTRANGE(H36607,""IDENTITAS UNIT!D9"")"),"#N/A")</f>
        <v>#N/A</v>
      </c>
      <c r="H36607" s="4" t="str">
        <v/>
      </c>
      <c r="I36607" s="4" t="str">
        <v/>
      </c>
    </row>
    <row r="36608" spans="5:9" ht="16.5" hidden="1">
      <c r="E36608" s="4" t="str">
        <v/>
      </c>
      <c r="F36608" s="102" t="str">
        <f ca="1">IFERROR(__xludf.DUMMYFUNCTION("IMPORTRANGE(H36608,""IDENTITAS UNIT!D9"")"),"#N/A")</f>
        <v>#N/A</v>
      </c>
      <c r="H36608" s="4" t="str">
        <v/>
      </c>
      <c r="I36608" s="4" t="str">
        <v/>
      </c>
    </row>
    <row r="36609" spans="5:9" ht="16.5" hidden="1">
      <c r="E36609" s="4" t="str">
        <v/>
      </c>
      <c r="F36609" s="102" t="str">
        <f ca="1">IFERROR(__xludf.DUMMYFUNCTION("IMPORTRANGE(H36609,""IDENTITAS UNIT!D9"")"),"#N/A")</f>
        <v>#N/A</v>
      </c>
      <c r="H36609" s="4" t="str">
        <v/>
      </c>
      <c r="I36609" s="4" t="str">
        <v/>
      </c>
    </row>
    <row r="36610" spans="5:9" ht="16.5" hidden="1">
      <c r="E36610" s="4" t="str">
        <v/>
      </c>
      <c r="F36610" s="102" t="str">
        <f ca="1">IFERROR(__xludf.DUMMYFUNCTION("IMPORTRANGE(H36610,""IDENTITAS UNIT!D9"")"),"#N/A")</f>
        <v>#N/A</v>
      </c>
      <c r="H36610" s="4" t="str">
        <v/>
      </c>
      <c r="I36610" s="4" t="str">
        <v/>
      </c>
    </row>
    <row r="36611" spans="5:9" ht="16.5" hidden="1">
      <c r="E36611" s="4" t="str">
        <v/>
      </c>
      <c r="F36611" s="102" t="str">
        <f ca="1">IFERROR(__xludf.DUMMYFUNCTION("IMPORTRANGE(H36611,""IDENTITAS UNIT!D9"")"),"#N/A")</f>
        <v>#N/A</v>
      </c>
      <c r="H36611" s="4" t="str">
        <v/>
      </c>
      <c r="I36611" s="4" t="str">
        <v/>
      </c>
    </row>
    <row r="36612" spans="5:9" ht="16.5" hidden="1">
      <c r="E36612" s="4" t="str">
        <v/>
      </c>
      <c r="F36612" s="102" t="str">
        <f ca="1">IFERROR(__xludf.DUMMYFUNCTION("IMPORTRANGE(H36612,""IDENTITAS UNIT!D9"")"),"#N/A")</f>
        <v>#N/A</v>
      </c>
      <c r="H36612" s="4" t="str">
        <v/>
      </c>
      <c r="I36612" s="4" t="str">
        <v/>
      </c>
    </row>
    <row r="36613" spans="5:9" ht="16.5" hidden="1">
      <c r="E36613" s="4" t="str">
        <v/>
      </c>
      <c r="F36613" s="102" t="str">
        <f ca="1">IFERROR(__xludf.DUMMYFUNCTION("IMPORTRANGE(H36613,""IDENTITAS UNIT!D9"")"),"#N/A")</f>
        <v>#N/A</v>
      </c>
      <c r="H36613" s="4" t="str">
        <v/>
      </c>
      <c r="I36613" s="4" t="str">
        <v/>
      </c>
    </row>
    <row r="36614" spans="5:9" ht="16.5" hidden="1">
      <c r="E36614" s="4" t="str">
        <v/>
      </c>
      <c r="F36614" s="102" t="str">
        <f ca="1">IFERROR(__xludf.DUMMYFUNCTION("IMPORTRANGE(H36614,""IDENTITAS UNIT!D9"")"),"#N/A")</f>
        <v>#N/A</v>
      </c>
      <c r="H36614" s="4" t="str">
        <v/>
      </c>
      <c r="I36614" s="4" t="str">
        <v/>
      </c>
    </row>
    <row r="36615" spans="5:9" ht="16.5" hidden="1">
      <c r="E36615" s="4" t="str">
        <v/>
      </c>
      <c r="F36615" s="102" t="str">
        <f ca="1">IFERROR(__xludf.DUMMYFUNCTION("IMPORTRANGE(H36615,""IDENTITAS UNIT!D9"")"),"#N/A")</f>
        <v>#N/A</v>
      </c>
      <c r="H36615" s="4" t="str">
        <v/>
      </c>
      <c r="I36615" s="4" t="str">
        <v/>
      </c>
    </row>
    <row r="36616" spans="5:9" ht="16.5" hidden="1">
      <c r="E36616" s="4" t="str">
        <v/>
      </c>
      <c r="F36616" s="102" t="str">
        <f ca="1">IFERROR(__xludf.DUMMYFUNCTION("IMPORTRANGE(H36616,""IDENTITAS UNIT!D9"")"),"#N/A")</f>
        <v>#N/A</v>
      </c>
      <c r="H36616" s="4" t="str">
        <v/>
      </c>
      <c r="I36616" s="4" t="str">
        <v/>
      </c>
    </row>
    <row r="36617" spans="5:9" ht="16.5" hidden="1">
      <c r="E36617" s="4" t="str">
        <v/>
      </c>
      <c r="F36617" s="102" t="str">
        <f ca="1">IFERROR(__xludf.DUMMYFUNCTION("IMPORTRANGE(H36617,""IDENTITAS UNIT!D9"")"),"#N/A")</f>
        <v>#N/A</v>
      </c>
      <c r="H36617" s="4" t="str">
        <v/>
      </c>
      <c r="I36617" s="4" t="str">
        <v/>
      </c>
    </row>
    <row r="36618" spans="5:9" ht="16.5" hidden="1">
      <c r="E36618" s="4" t="str">
        <v/>
      </c>
      <c r="F36618" s="102" t="str">
        <f ca="1">IFERROR(__xludf.DUMMYFUNCTION("IMPORTRANGE(H36618,""IDENTITAS UNIT!D9"")"),"#N/A")</f>
        <v>#N/A</v>
      </c>
      <c r="H36618" s="4" t="str">
        <v/>
      </c>
      <c r="I36618" s="4" t="str">
        <v/>
      </c>
    </row>
    <row r="36619" spans="5:9" ht="16.5" hidden="1">
      <c r="E36619" s="4" t="str">
        <v/>
      </c>
      <c r="F36619" s="102" t="str">
        <f ca="1">IFERROR(__xludf.DUMMYFUNCTION("IMPORTRANGE(H36619,""IDENTITAS UNIT!D9"")"),"#N/A")</f>
        <v>#N/A</v>
      </c>
      <c r="H36619" s="4" t="str">
        <v/>
      </c>
      <c r="I36619" s="4" t="str">
        <v/>
      </c>
    </row>
    <row r="36620" spans="5:9" ht="16.5" hidden="1">
      <c r="E36620" s="4" t="str">
        <v/>
      </c>
      <c r="F36620" s="102" t="str">
        <f ca="1">IFERROR(__xludf.DUMMYFUNCTION("IMPORTRANGE(H36620,""IDENTITAS UNIT!D9"")"),"#N/A")</f>
        <v>#N/A</v>
      </c>
      <c r="H36620" s="4" t="str">
        <v/>
      </c>
      <c r="I36620" s="4" t="str">
        <v/>
      </c>
    </row>
    <row r="36621" spans="5:9" ht="16.5" hidden="1">
      <c r="E36621" s="4" t="str">
        <v/>
      </c>
      <c r="F36621" s="102" t="str">
        <f ca="1">IFERROR(__xludf.DUMMYFUNCTION("IMPORTRANGE(H36621,""IDENTITAS UNIT!D9"")"),"#N/A")</f>
        <v>#N/A</v>
      </c>
      <c r="H36621" s="4" t="str">
        <v/>
      </c>
      <c r="I36621" s="4" t="str">
        <v/>
      </c>
    </row>
    <row r="36622" spans="5:9" ht="16.5" hidden="1">
      <c r="E36622" s="4" t="str">
        <v/>
      </c>
      <c r="F36622" s="102" t="str">
        <f ca="1">IFERROR(__xludf.DUMMYFUNCTION("IMPORTRANGE(H36622,""IDENTITAS UNIT!D9"")"),"#N/A")</f>
        <v>#N/A</v>
      </c>
      <c r="H36622" s="4" t="str">
        <v/>
      </c>
      <c r="I36622" s="4" t="str">
        <v/>
      </c>
    </row>
    <row r="36623" spans="5:9" ht="16.5" hidden="1">
      <c r="E36623" s="4" t="str">
        <v/>
      </c>
      <c r="F36623" s="102" t="str">
        <f ca="1">IFERROR(__xludf.DUMMYFUNCTION("IMPORTRANGE(H36623,""IDENTITAS UNIT!D9"")"),"#N/A")</f>
        <v>#N/A</v>
      </c>
      <c r="H36623" s="4" t="str">
        <v/>
      </c>
      <c r="I36623" s="4" t="str">
        <v/>
      </c>
    </row>
    <row r="36624" spans="5:9" ht="16.5" hidden="1">
      <c r="E36624" s="4" t="str">
        <v/>
      </c>
      <c r="F36624" s="102" t="str">
        <f ca="1">IFERROR(__xludf.DUMMYFUNCTION("IMPORTRANGE(H36624,""IDENTITAS UNIT!D9"")"),"#N/A")</f>
        <v>#N/A</v>
      </c>
      <c r="H36624" s="4" t="str">
        <v/>
      </c>
      <c r="I36624" s="4" t="str">
        <v/>
      </c>
    </row>
    <row r="36625" spans="5:9" ht="16.5" hidden="1">
      <c r="E36625" s="4" t="str">
        <v/>
      </c>
      <c r="F36625" s="102" t="str">
        <f ca="1">IFERROR(__xludf.DUMMYFUNCTION("IMPORTRANGE(H36625,""IDENTITAS UNIT!D9"")"),"#N/A")</f>
        <v>#N/A</v>
      </c>
      <c r="H36625" s="4" t="str">
        <v/>
      </c>
      <c r="I36625" s="4" t="str">
        <v/>
      </c>
    </row>
    <row r="36626" spans="5:9" ht="16.5" hidden="1">
      <c r="E36626" s="4" t="str">
        <v/>
      </c>
      <c r="F36626" s="102" t="str">
        <f ca="1">IFERROR(__xludf.DUMMYFUNCTION("IMPORTRANGE(H36626,""IDENTITAS UNIT!D9"")"),"#N/A")</f>
        <v>#N/A</v>
      </c>
      <c r="H36626" s="4" t="str">
        <v/>
      </c>
      <c r="I36626" s="4" t="str">
        <v/>
      </c>
    </row>
    <row r="36627" spans="5:9" ht="16.5" hidden="1">
      <c r="E36627" s="4" t="str">
        <v/>
      </c>
      <c r="F36627" s="102" t="str">
        <f ca="1">IFERROR(__xludf.DUMMYFUNCTION("IMPORTRANGE(H36627,""IDENTITAS UNIT!D9"")"),"#N/A")</f>
        <v>#N/A</v>
      </c>
      <c r="H36627" s="4" t="str">
        <v/>
      </c>
      <c r="I36627" s="4" t="str">
        <v/>
      </c>
    </row>
    <row r="36628" spans="5:9" ht="16.5" hidden="1">
      <c r="E36628" s="4" t="str">
        <v/>
      </c>
      <c r="F36628" s="102" t="str">
        <f ca="1">IFERROR(__xludf.DUMMYFUNCTION("IMPORTRANGE(H36628,""IDENTITAS UNIT!D9"")"),"#N/A")</f>
        <v>#N/A</v>
      </c>
      <c r="H36628" s="4" t="str">
        <v/>
      </c>
      <c r="I36628" s="4" t="str">
        <v/>
      </c>
    </row>
    <row r="36629" spans="5:9" ht="16.5" hidden="1">
      <c r="E36629" s="4" t="str">
        <v/>
      </c>
      <c r="F36629" s="102" t="str">
        <f ca="1">IFERROR(__xludf.DUMMYFUNCTION("IMPORTRANGE(H36629,""IDENTITAS UNIT!D9"")"),"#N/A")</f>
        <v>#N/A</v>
      </c>
      <c r="H36629" s="4" t="str">
        <v/>
      </c>
      <c r="I36629" s="4" t="str">
        <v/>
      </c>
    </row>
    <row r="36630" spans="5:9" ht="16.5" hidden="1">
      <c r="E36630" s="4" t="str">
        <v/>
      </c>
      <c r="F36630" s="102" t="str">
        <f ca="1">IFERROR(__xludf.DUMMYFUNCTION("IMPORTRANGE(H36630,""IDENTITAS UNIT!D9"")"),"#N/A")</f>
        <v>#N/A</v>
      </c>
      <c r="H36630" s="4" t="str">
        <v/>
      </c>
      <c r="I36630" s="4" t="str">
        <v/>
      </c>
    </row>
    <row r="36631" spans="5:9" ht="16.5" hidden="1">
      <c r="E36631" s="4" t="str">
        <v/>
      </c>
      <c r="F36631" s="102" t="str">
        <f ca="1">IFERROR(__xludf.DUMMYFUNCTION("IMPORTRANGE(H36631,""IDENTITAS UNIT!D9"")"),"#N/A")</f>
        <v>#N/A</v>
      </c>
      <c r="H36631" s="4" t="str">
        <v/>
      </c>
      <c r="I36631" s="4" t="str">
        <v/>
      </c>
    </row>
    <row r="36632" spans="5:9" ht="16.5" hidden="1">
      <c r="E36632" s="4" t="str">
        <v/>
      </c>
      <c r="F36632" s="102" t="str">
        <f ca="1">IFERROR(__xludf.DUMMYFUNCTION("IMPORTRANGE(H36632,""IDENTITAS UNIT!D9"")"),"#N/A")</f>
        <v>#N/A</v>
      </c>
      <c r="H36632" s="4" t="str">
        <v/>
      </c>
      <c r="I36632" s="4" t="str">
        <v/>
      </c>
    </row>
    <row r="36633" spans="5:9" ht="16.5" hidden="1">
      <c r="E36633" s="4" t="str">
        <v/>
      </c>
      <c r="F36633" s="102" t="str">
        <f ca="1">IFERROR(__xludf.DUMMYFUNCTION("IMPORTRANGE(H36633,""IDENTITAS UNIT!D9"")"),"#N/A")</f>
        <v>#N/A</v>
      </c>
      <c r="H36633" s="4" t="str">
        <v/>
      </c>
      <c r="I36633" s="4" t="str">
        <v/>
      </c>
    </row>
    <row r="36634" spans="5:9" ht="16.5" hidden="1">
      <c r="E36634" s="4" t="str">
        <v/>
      </c>
      <c r="F36634" s="102" t="str">
        <f ca="1">IFERROR(__xludf.DUMMYFUNCTION("IMPORTRANGE(H36634,""IDENTITAS UNIT!D9"")"),"#N/A")</f>
        <v>#N/A</v>
      </c>
      <c r="H36634" s="4" t="str">
        <v/>
      </c>
      <c r="I36634" s="4" t="str">
        <v/>
      </c>
    </row>
    <row r="36635" spans="5:9" ht="16.5" hidden="1">
      <c r="E36635" s="4" t="str">
        <v/>
      </c>
      <c r="F36635" s="102" t="str">
        <f ca="1">IFERROR(__xludf.DUMMYFUNCTION("IMPORTRANGE(H36635,""IDENTITAS UNIT!D9"")"),"#N/A")</f>
        <v>#N/A</v>
      </c>
      <c r="H36635" s="4" t="str">
        <v/>
      </c>
      <c r="I36635" s="4" t="str">
        <v/>
      </c>
    </row>
    <row r="36636" spans="5:9" ht="16.5" hidden="1">
      <c r="E36636" s="4" t="str">
        <v/>
      </c>
      <c r="F36636" s="102" t="str">
        <f ca="1">IFERROR(__xludf.DUMMYFUNCTION("IMPORTRANGE(H36636,""IDENTITAS UNIT!D9"")"),"#N/A")</f>
        <v>#N/A</v>
      </c>
      <c r="H36636" s="4" t="str">
        <v/>
      </c>
      <c r="I36636" s="4" t="str">
        <v/>
      </c>
    </row>
    <row r="36637" spans="5:9" ht="16.5" hidden="1">
      <c r="E36637" s="4" t="str">
        <v/>
      </c>
      <c r="F36637" s="102" t="str">
        <f ca="1">IFERROR(__xludf.DUMMYFUNCTION("IMPORTRANGE(H36637,""IDENTITAS UNIT!D9"")"),"#N/A")</f>
        <v>#N/A</v>
      </c>
      <c r="H36637" s="4" t="str">
        <v/>
      </c>
      <c r="I36637" s="4" t="str">
        <v/>
      </c>
    </row>
    <row r="36638" spans="5:9" ht="16.5" hidden="1">
      <c r="E36638" s="4" t="str">
        <v/>
      </c>
      <c r="F36638" s="102" t="str">
        <f ca="1">IFERROR(__xludf.DUMMYFUNCTION("IMPORTRANGE(H36638,""IDENTITAS UNIT!D9"")"),"#N/A")</f>
        <v>#N/A</v>
      </c>
      <c r="H36638" s="4" t="str">
        <v/>
      </c>
      <c r="I36638" s="4" t="str">
        <v/>
      </c>
    </row>
    <row r="36639" spans="5:9" ht="16.5" hidden="1">
      <c r="E36639" s="4" t="str">
        <v/>
      </c>
      <c r="F36639" s="102" t="str">
        <f ca="1">IFERROR(__xludf.DUMMYFUNCTION("IMPORTRANGE(H36639,""IDENTITAS UNIT!D9"")"),"#N/A")</f>
        <v>#N/A</v>
      </c>
      <c r="H36639" s="4" t="str">
        <v/>
      </c>
      <c r="I36639" s="4" t="str">
        <v/>
      </c>
    </row>
    <row r="36640" spans="5:9" ht="16.5" hidden="1">
      <c r="E36640" s="4" t="str">
        <v/>
      </c>
      <c r="F36640" s="102" t="str">
        <f ca="1">IFERROR(__xludf.DUMMYFUNCTION("IMPORTRANGE(H36640,""IDENTITAS UNIT!D9"")"),"#N/A")</f>
        <v>#N/A</v>
      </c>
      <c r="H36640" s="4" t="str">
        <v/>
      </c>
      <c r="I36640" s="4" t="str">
        <v/>
      </c>
    </row>
    <row r="36641" spans="5:9" ht="16.5" hidden="1">
      <c r="E36641" s="4" t="str">
        <v/>
      </c>
      <c r="F36641" s="102" t="str">
        <f ca="1">IFERROR(__xludf.DUMMYFUNCTION("IMPORTRANGE(H36641,""IDENTITAS UNIT!D9"")"),"#N/A")</f>
        <v>#N/A</v>
      </c>
      <c r="H36641" s="4" t="str">
        <v/>
      </c>
      <c r="I36641" s="4" t="str">
        <v/>
      </c>
    </row>
    <row r="36642" spans="5:9" ht="16.5" hidden="1">
      <c r="E36642" s="4" t="str">
        <v/>
      </c>
      <c r="F36642" s="102" t="str">
        <f ca="1">IFERROR(__xludf.DUMMYFUNCTION("IMPORTRANGE(H36642,""IDENTITAS UNIT!D9"")"),"#N/A")</f>
        <v>#N/A</v>
      </c>
      <c r="H36642" s="4" t="str">
        <v/>
      </c>
      <c r="I36642" s="4" t="str">
        <v/>
      </c>
    </row>
    <row r="36643" spans="5:9" ht="16.5" hidden="1">
      <c r="E36643" s="4" t="str">
        <v/>
      </c>
      <c r="F36643" s="102" t="str">
        <f ca="1">IFERROR(__xludf.DUMMYFUNCTION("IMPORTRANGE(H36643,""IDENTITAS UNIT!D9"")"),"#N/A")</f>
        <v>#N/A</v>
      </c>
      <c r="H36643" s="4" t="str">
        <v/>
      </c>
      <c r="I36643" s="4" t="str">
        <v/>
      </c>
    </row>
    <row r="36644" spans="5:9" ht="16.5" hidden="1">
      <c r="E36644" s="4" t="str">
        <v/>
      </c>
      <c r="F36644" s="102" t="str">
        <f ca="1">IFERROR(__xludf.DUMMYFUNCTION("IMPORTRANGE(H36644,""IDENTITAS UNIT!D9"")"),"#N/A")</f>
        <v>#N/A</v>
      </c>
      <c r="H36644" s="4" t="str">
        <v/>
      </c>
      <c r="I36644" s="4" t="str">
        <v/>
      </c>
    </row>
    <row r="36645" spans="5:9" ht="16.5" hidden="1">
      <c r="E36645" s="4" t="str">
        <v/>
      </c>
      <c r="F36645" s="102" t="str">
        <f ca="1">IFERROR(__xludf.DUMMYFUNCTION("IMPORTRANGE(H36645,""IDENTITAS UNIT!D9"")"),"#N/A")</f>
        <v>#N/A</v>
      </c>
      <c r="H36645" s="4" t="str">
        <v/>
      </c>
      <c r="I36645" s="4" t="str">
        <v/>
      </c>
    </row>
    <row r="36646" spans="5:9" ht="16.5" hidden="1">
      <c r="E36646" s="4" t="str">
        <v/>
      </c>
      <c r="F36646" s="102" t="str">
        <f ca="1">IFERROR(__xludf.DUMMYFUNCTION("IMPORTRANGE(H36646,""IDENTITAS UNIT!D9"")"),"#N/A")</f>
        <v>#N/A</v>
      </c>
      <c r="H36646" s="4" t="str">
        <v/>
      </c>
      <c r="I36646" s="4" t="str">
        <v/>
      </c>
    </row>
    <row r="36647" spans="5:9" ht="16.5" hidden="1">
      <c r="E36647" s="4" t="str">
        <v/>
      </c>
      <c r="F36647" s="102" t="str">
        <f ca="1">IFERROR(__xludf.DUMMYFUNCTION("IMPORTRANGE(H36647,""IDENTITAS UNIT!D9"")"),"#N/A")</f>
        <v>#N/A</v>
      </c>
      <c r="H36647" s="4" t="str">
        <v/>
      </c>
      <c r="I36647" s="4" t="str">
        <v/>
      </c>
    </row>
    <row r="36648" spans="5:9" ht="16.5" hidden="1">
      <c r="E36648" s="4" t="str">
        <v/>
      </c>
      <c r="F36648" s="102" t="str">
        <f ca="1">IFERROR(__xludf.DUMMYFUNCTION("IMPORTRANGE(H36648,""IDENTITAS UNIT!D9"")"),"#N/A")</f>
        <v>#N/A</v>
      </c>
      <c r="H36648" s="4" t="str">
        <v/>
      </c>
      <c r="I36648" s="4" t="str">
        <v/>
      </c>
    </row>
    <row r="36649" spans="5:9" ht="16.5" hidden="1">
      <c r="E36649" s="4" t="str">
        <v/>
      </c>
      <c r="F36649" s="102" t="str">
        <f ca="1">IFERROR(__xludf.DUMMYFUNCTION("IMPORTRANGE(H36649,""IDENTITAS UNIT!D9"")"),"#N/A")</f>
        <v>#N/A</v>
      </c>
      <c r="H36649" s="4" t="str">
        <v/>
      </c>
      <c r="I36649" s="4" t="str">
        <v/>
      </c>
    </row>
    <row r="36650" spans="5:9" ht="16.5" hidden="1">
      <c r="E36650" s="4" t="str">
        <v/>
      </c>
      <c r="F36650" s="102" t="str">
        <f ca="1">IFERROR(__xludf.DUMMYFUNCTION("IMPORTRANGE(H36650,""IDENTITAS UNIT!D9"")"),"#N/A")</f>
        <v>#N/A</v>
      </c>
      <c r="H36650" s="4" t="str">
        <v/>
      </c>
      <c r="I36650" s="4" t="str">
        <v/>
      </c>
    </row>
    <row r="36651" spans="5:9" ht="16.5" hidden="1">
      <c r="E36651" s="4" t="str">
        <v/>
      </c>
      <c r="F36651" s="102" t="str">
        <f ca="1">IFERROR(__xludf.DUMMYFUNCTION("IMPORTRANGE(H36651,""IDENTITAS UNIT!D9"")"),"#N/A")</f>
        <v>#N/A</v>
      </c>
      <c r="H36651" s="4" t="str">
        <v/>
      </c>
      <c r="I36651" s="4" t="str">
        <v/>
      </c>
    </row>
    <row r="36652" spans="5:9" ht="16.5" hidden="1">
      <c r="E36652" s="4" t="str">
        <v/>
      </c>
      <c r="F36652" s="102" t="str">
        <f ca="1">IFERROR(__xludf.DUMMYFUNCTION("IMPORTRANGE(H36652,""IDENTITAS UNIT!D9"")"),"#N/A")</f>
        <v>#N/A</v>
      </c>
      <c r="H36652" s="4" t="str">
        <v/>
      </c>
      <c r="I36652" s="4" t="str">
        <v/>
      </c>
    </row>
    <row r="36653" spans="5:9" ht="16.5" hidden="1">
      <c r="E36653" s="4" t="str">
        <v/>
      </c>
      <c r="F36653" s="102" t="str">
        <f ca="1">IFERROR(__xludf.DUMMYFUNCTION("IMPORTRANGE(H36653,""IDENTITAS UNIT!D9"")"),"#N/A")</f>
        <v>#N/A</v>
      </c>
      <c r="H36653" s="4" t="str">
        <v/>
      </c>
      <c r="I36653" s="4" t="str">
        <v/>
      </c>
    </row>
    <row r="36654" spans="5:9" ht="16.5" hidden="1">
      <c r="E36654" s="4" t="str">
        <v/>
      </c>
      <c r="F36654" s="102" t="str">
        <f ca="1">IFERROR(__xludf.DUMMYFUNCTION("IMPORTRANGE(H36654,""IDENTITAS UNIT!D9"")"),"#N/A")</f>
        <v>#N/A</v>
      </c>
      <c r="H36654" s="4" t="str">
        <v/>
      </c>
      <c r="I36654" s="4" t="str">
        <v/>
      </c>
    </row>
    <row r="36655" spans="5:9" ht="16.5" hidden="1">
      <c r="E36655" s="4" t="str">
        <v/>
      </c>
      <c r="F36655" s="102" t="str">
        <f ca="1">IFERROR(__xludf.DUMMYFUNCTION("IMPORTRANGE(H36655,""IDENTITAS UNIT!D9"")"),"#N/A")</f>
        <v>#N/A</v>
      </c>
      <c r="H36655" s="4" t="str">
        <v/>
      </c>
      <c r="I36655" s="4" t="str">
        <v/>
      </c>
    </row>
    <row r="36656" spans="5:9" ht="16.5" hidden="1">
      <c r="E36656" s="4" t="str">
        <v/>
      </c>
      <c r="F36656" s="102" t="str">
        <f ca="1">IFERROR(__xludf.DUMMYFUNCTION("IMPORTRANGE(H36656,""IDENTITAS UNIT!D9"")"),"#N/A")</f>
        <v>#N/A</v>
      </c>
      <c r="H36656" s="4" t="str">
        <v/>
      </c>
      <c r="I36656" s="4" t="str">
        <v/>
      </c>
    </row>
    <row r="36657" spans="5:9" ht="16.5" hidden="1">
      <c r="E36657" s="4" t="str">
        <v/>
      </c>
      <c r="F36657" s="102" t="str">
        <f ca="1">IFERROR(__xludf.DUMMYFUNCTION("IMPORTRANGE(H36657,""IDENTITAS UNIT!D9"")"),"#N/A")</f>
        <v>#N/A</v>
      </c>
      <c r="H36657" s="4" t="str">
        <v/>
      </c>
      <c r="I36657" s="4" t="str">
        <v/>
      </c>
    </row>
    <row r="36658" spans="5:9" ht="16.5" hidden="1">
      <c r="E36658" s="4" t="str">
        <v/>
      </c>
      <c r="F36658" s="102" t="str">
        <f ca="1">IFERROR(__xludf.DUMMYFUNCTION("IMPORTRANGE(H36658,""IDENTITAS UNIT!D9"")"),"#N/A")</f>
        <v>#N/A</v>
      </c>
      <c r="H36658" s="4" t="str">
        <v/>
      </c>
      <c r="I36658" s="4" t="str">
        <v/>
      </c>
    </row>
    <row r="36659" spans="5:9" ht="16.5" hidden="1">
      <c r="E36659" s="4" t="str">
        <v/>
      </c>
      <c r="F36659" s="102" t="str">
        <f ca="1">IFERROR(__xludf.DUMMYFUNCTION("IMPORTRANGE(H36659,""IDENTITAS UNIT!D9"")"),"#N/A")</f>
        <v>#N/A</v>
      </c>
      <c r="H36659" s="4" t="str">
        <v/>
      </c>
      <c r="I36659" s="4" t="str">
        <v/>
      </c>
    </row>
    <row r="36660" spans="5:9" ht="16.5" hidden="1">
      <c r="E36660" s="4" t="str">
        <v/>
      </c>
      <c r="F36660" s="102" t="str">
        <f ca="1">IFERROR(__xludf.DUMMYFUNCTION("IMPORTRANGE(H36660,""IDENTITAS UNIT!D9"")"),"#N/A")</f>
        <v>#N/A</v>
      </c>
      <c r="H36660" s="4" t="str">
        <v/>
      </c>
      <c r="I36660" s="4" t="str">
        <v/>
      </c>
    </row>
    <row r="36661" spans="5:9" ht="16.5" hidden="1">
      <c r="E36661" s="4" t="str">
        <v/>
      </c>
      <c r="F36661" s="102" t="str">
        <f ca="1">IFERROR(__xludf.DUMMYFUNCTION("IMPORTRANGE(H36661,""IDENTITAS UNIT!D9"")"),"#N/A")</f>
        <v>#N/A</v>
      </c>
      <c r="H36661" s="4" t="str">
        <v/>
      </c>
      <c r="I36661" s="4" t="str">
        <v/>
      </c>
    </row>
    <row r="36662" spans="5:9" ht="16.5" hidden="1">
      <c r="E36662" s="4" t="str">
        <v/>
      </c>
      <c r="F36662" s="102" t="str">
        <f ca="1">IFERROR(__xludf.DUMMYFUNCTION("IMPORTRANGE(H36662,""IDENTITAS UNIT!D9"")"),"#N/A")</f>
        <v>#N/A</v>
      </c>
      <c r="H36662" s="4" t="str">
        <v/>
      </c>
      <c r="I36662" s="4" t="str">
        <v/>
      </c>
    </row>
    <row r="36663" spans="5:9" ht="16.5" hidden="1">
      <c r="E36663" s="4" t="str">
        <v/>
      </c>
      <c r="F36663" s="102" t="str">
        <f ca="1">IFERROR(__xludf.DUMMYFUNCTION("IMPORTRANGE(H36663,""IDENTITAS UNIT!D9"")"),"#N/A")</f>
        <v>#N/A</v>
      </c>
      <c r="H36663" s="4" t="str">
        <v/>
      </c>
      <c r="I36663" s="4" t="str">
        <v/>
      </c>
    </row>
    <row r="36664" spans="5:9" ht="16.5" hidden="1">
      <c r="E36664" s="4" t="str">
        <v/>
      </c>
      <c r="F36664" s="102" t="str">
        <f ca="1">IFERROR(__xludf.DUMMYFUNCTION("IMPORTRANGE(H36664,""IDENTITAS UNIT!D9"")"),"#N/A")</f>
        <v>#N/A</v>
      </c>
      <c r="H36664" s="4" t="str">
        <v/>
      </c>
      <c r="I36664" s="4" t="str">
        <v/>
      </c>
    </row>
    <row r="36665" spans="5:9" ht="16.5" hidden="1">
      <c r="E36665" s="4" t="str">
        <v/>
      </c>
      <c r="F36665" s="102" t="str">
        <f ca="1">IFERROR(__xludf.DUMMYFUNCTION("IMPORTRANGE(H36665,""IDENTITAS UNIT!D9"")"),"#N/A")</f>
        <v>#N/A</v>
      </c>
      <c r="H36665" s="4" t="str">
        <v/>
      </c>
      <c r="I36665" s="4" t="str">
        <v/>
      </c>
    </row>
    <row r="36666" spans="5:9" ht="16.5" hidden="1">
      <c r="E36666" s="4" t="str">
        <v/>
      </c>
      <c r="F36666" s="102" t="str">
        <f ca="1">IFERROR(__xludf.DUMMYFUNCTION("IMPORTRANGE(H36666,""IDENTITAS UNIT!D9"")"),"#N/A")</f>
        <v>#N/A</v>
      </c>
      <c r="H36666" s="4" t="str">
        <v/>
      </c>
      <c r="I36666" s="4" t="str">
        <v/>
      </c>
    </row>
    <row r="36667" spans="5:9" ht="16.5" hidden="1">
      <c r="E36667" s="4" t="str">
        <v/>
      </c>
      <c r="F36667" s="102" t="str">
        <f ca="1">IFERROR(__xludf.DUMMYFUNCTION("IMPORTRANGE(H36667,""IDENTITAS UNIT!D9"")"),"#N/A")</f>
        <v>#N/A</v>
      </c>
      <c r="H36667" s="4" t="str">
        <v/>
      </c>
      <c r="I36667" s="4" t="str">
        <v/>
      </c>
    </row>
    <row r="36668" spans="5:9" ht="16.5" hidden="1">
      <c r="E36668" s="4" t="str">
        <v/>
      </c>
      <c r="F36668" s="102" t="str">
        <f ca="1">IFERROR(__xludf.DUMMYFUNCTION("IMPORTRANGE(H36668,""IDENTITAS UNIT!D9"")"),"#N/A")</f>
        <v>#N/A</v>
      </c>
      <c r="H36668" s="4" t="str">
        <v/>
      </c>
      <c r="I36668" s="4" t="str">
        <v/>
      </c>
    </row>
    <row r="36669" spans="5:9" ht="16.5" hidden="1">
      <c r="E36669" s="4" t="str">
        <v/>
      </c>
      <c r="F36669" s="102" t="str">
        <f ca="1">IFERROR(__xludf.DUMMYFUNCTION("IMPORTRANGE(H36669,""IDENTITAS UNIT!D9"")"),"#N/A")</f>
        <v>#N/A</v>
      </c>
      <c r="H36669" s="4" t="str">
        <v/>
      </c>
      <c r="I36669" s="4" t="str">
        <v/>
      </c>
    </row>
    <row r="36670" spans="5:9" ht="16.5" hidden="1">
      <c r="E36670" s="4" t="str">
        <v/>
      </c>
      <c r="F36670" s="102" t="str">
        <f ca="1">IFERROR(__xludf.DUMMYFUNCTION("IMPORTRANGE(H36670,""IDENTITAS UNIT!D9"")"),"#N/A")</f>
        <v>#N/A</v>
      </c>
      <c r="H36670" s="4" t="str">
        <v/>
      </c>
      <c r="I36670" s="4" t="str">
        <v/>
      </c>
    </row>
    <row r="36671" spans="5:9" ht="16.5" hidden="1">
      <c r="E36671" s="4" t="str">
        <v/>
      </c>
      <c r="F36671" s="102" t="str">
        <f ca="1">IFERROR(__xludf.DUMMYFUNCTION("IMPORTRANGE(H36671,""IDENTITAS UNIT!D9"")"),"#N/A")</f>
        <v>#N/A</v>
      </c>
      <c r="H36671" s="4" t="str">
        <v/>
      </c>
      <c r="I36671" s="4" t="str">
        <v/>
      </c>
    </row>
    <row r="36672" spans="5:9" ht="16.5" hidden="1">
      <c r="E36672" s="4" t="str">
        <v/>
      </c>
      <c r="F36672" s="102" t="str">
        <f ca="1">IFERROR(__xludf.DUMMYFUNCTION("IMPORTRANGE(H36672,""IDENTITAS UNIT!D9"")"),"#N/A")</f>
        <v>#N/A</v>
      </c>
      <c r="H36672" s="4" t="str">
        <v/>
      </c>
      <c r="I36672" s="4" t="str">
        <v/>
      </c>
    </row>
    <row r="36673" spans="5:9" ht="16.5" hidden="1">
      <c r="E36673" s="4" t="str">
        <v/>
      </c>
      <c r="F36673" s="102" t="str">
        <f ca="1">IFERROR(__xludf.DUMMYFUNCTION("IMPORTRANGE(H36673,""IDENTITAS UNIT!D9"")"),"#N/A")</f>
        <v>#N/A</v>
      </c>
      <c r="H36673" s="4" t="str">
        <v/>
      </c>
      <c r="I36673" s="4" t="str">
        <v/>
      </c>
    </row>
    <row r="36674" spans="5:9" ht="16.5" hidden="1">
      <c r="E36674" s="4" t="str">
        <v/>
      </c>
      <c r="F36674" s="102" t="str">
        <f ca="1">IFERROR(__xludf.DUMMYFUNCTION("IMPORTRANGE(H36674,""IDENTITAS UNIT!D9"")"),"#N/A")</f>
        <v>#N/A</v>
      </c>
      <c r="H36674" s="4" t="str">
        <v/>
      </c>
      <c r="I36674" s="4" t="str">
        <v/>
      </c>
    </row>
    <row r="36675" spans="5:9" ht="16.5" hidden="1">
      <c r="E36675" s="4" t="str">
        <v/>
      </c>
      <c r="F36675" s="102" t="str">
        <f ca="1">IFERROR(__xludf.DUMMYFUNCTION("IMPORTRANGE(H36675,""IDENTITAS UNIT!D9"")"),"#N/A")</f>
        <v>#N/A</v>
      </c>
      <c r="H36675" s="4" t="str">
        <v/>
      </c>
      <c r="I36675" s="4" t="str">
        <v/>
      </c>
    </row>
    <row r="36676" spans="5:9" ht="16.5" hidden="1">
      <c r="E36676" s="4" t="str">
        <v/>
      </c>
      <c r="F36676" s="102" t="str">
        <f ca="1">IFERROR(__xludf.DUMMYFUNCTION("IMPORTRANGE(H36676,""IDENTITAS UNIT!D9"")"),"#N/A")</f>
        <v>#N/A</v>
      </c>
      <c r="H36676" s="4" t="str">
        <v/>
      </c>
      <c r="I36676" s="4" t="str">
        <v/>
      </c>
    </row>
    <row r="36677" spans="5:9" ht="16.5" hidden="1">
      <c r="E36677" s="4" t="str">
        <v/>
      </c>
      <c r="F36677" s="102" t="str">
        <f ca="1">IFERROR(__xludf.DUMMYFUNCTION("IMPORTRANGE(H36677,""IDENTITAS UNIT!D9"")"),"#N/A")</f>
        <v>#N/A</v>
      </c>
      <c r="H36677" s="4" t="str">
        <v/>
      </c>
      <c r="I36677" s="4" t="str">
        <v/>
      </c>
    </row>
    <row r="36678" spans="5:9" ht="16.5" hidden="1">
      <c r="E36678" s="4" t="str">
        <v/>
      </c>
      <c r="F36678" s="102" t="str">
        <f ca="1">IFERROR(__xludf.DUMMYFUNCTION("IMPORTRANGE(H36678,""IDENTITAS UNIT!D9"")"),"#N/A")</f>
        <v>#N/A</v>
      </c>
      <c r="H36678" s="4" t="str">
        <v/>
      </c>
      <c r="I36678" s="4" t="str">
        <v/>
      </c>
    </row>
    <row r="36679" spans="5:9" ht="16.5" hidden="1">
      <c r="E36679" s="4" t="str">
        <v/>
      </c>
      <c r="F36679" s="102" t="str">
        <f ca="1">IFERROR(__xludf.DUMMYFUNCTION("IMPORTRANGE(H36679,""IDENTITAS UNIT!D9"")"),"#N/A")</f>
        <v>#N/A</v>
      </c>
      <c r="H36679" s="4" t="str">
        <v/>
      </c>
      <c r="I36679" s="4" t="str">
        <v/>
      </c>
    </row>
    <row r="36680" spans="5:9" ht="16.5" hidden="1">
      <c r="E36680" s="4" t="str">
        <v/>
      </c>
      <c r="F36680" s="102" t="str">
        <f ca="1">IFERROR(__xludf.DUMMYFUNCTION("IMPORTRANGE(H36680,""IDENTITAS UNIT!D9"")"),"#N/A")</f>
        <v>#N/A</v>
      </c>
      <c r="H36680" s="4" t="str">
        <v/>
      </c>
      <c r="I36680" s="4" t="str">
        <v/>
      </c>
    </row>
    <row r="36681" spans="5:9" ht="16.5" hidden="1">
      <c r="E36681" s="4" t="str">
        <v/>
      </c>
      <c r="F36681" s="102" t="str">
        <f ca="1">IFERROR(__xludf.DUMMYFUNCTION("IMPORTRANGE(H36681,""IDENTITAS UNIT!D9"")"),"#N/A")</f>
        <v>#N/A</v>
      </c>
      <c r="H36681" s="4" t="str">
        <v/>
      </c>
      <c r="I36681" s="4" t="str">
        <v/>
      </c>
    </row>
    <row r="36682" spans="5:9" ht="16.5" hidden="1">
      <c r="E36682" s="4" t="str">
        <v/>
      </c>
      <c r="F36682" s="102" t="str">
        <f ca="1">IFERROR(__xludf.DUMMYFUNCTION("IMPORTRANGE(H36682,""IDENTITAS UNIT!D9"")"),"#N/A")</f>
        <v>#N/A</v>
      </c>
      <c r="H36682" s="4" t="str">
        <v/>
      </c>
      <c r="I36682" s="4" t="str">
        <v/>
      </c>
    </row>
    <row r="36683" spans="5:9" ht="16.5" hidden="1">
      <c r="E36683" s="4" t="str">
        <v/>
      </c>
      <c r="F36683" s="102" t="str">
        <f ca="1">IFERROR(__xludf.DUMMYFUNCTION("IMPORTRANGE(H36683,""IDENTITAS UNIT!D9"")"),"#N/A")</f>
        <v>#N/A</v>
      </c>
      <c r="H36683" s="4" t="str">
        <v/>
      </c>
      <c r="I36683" s="4" t="str">
        <v/>
      </c>
    </row>
    <row r="36684" spans="5:9" ht="16.5" hidden="1">
      <c r="E36684" s="4" t="str">
        <v/>
      </c>
      <c r="F36684" s="102" t="str">
        <f ca="1">IFERROR(__xludf.DUMMYFUNCTION("IMPORTRANGE(H36684,""IDENTITAS UNIT!D9"")"),"#N/A")</f>
        <v>#N/A</v>
      </c>
      <c r="H36684" s="4" t="str">
        <v/>
      </c>
      <c r="I36684" s="4" t="str">
        <v/>
      </c>
    </row>
    <row r="36685" spans="5:9" ht="16.5" hidden="1">
      <c r="E36685" s="4" t="str">
        <v/>
      </c>
      <c r="F36685" s="102" t="str">
        <f ca="1">IFERROR(__xludf.DUMMYFUNCTION("IMPORTRANGE(H36685,""IDENTITAS UNIT!D9"")"),"#N/A")</f>
        <v>#N/A</v>
      </c>
      <c r="H36685" s="4" t="str">
        <v/>
      </c>
      <c r="I36685" s="4" t="str">
        <v/>
      </c>
    </row>
    <row r="36686" spans="5:9" ht="16.5" hidden="1">
      <c r="E36686" s="4" t="str">
        <v/>
      </c>
      <c r="F36686" s="102" t="str">
        <f ca="1">IFERROR(__xludf.DUMMYFUNCTION("IMPORTRANGE(H36686,""IDENTITAS UNIT!D9"")"),"#N/A")</f>
        <v>#N/A</v>
      </c>
      <c r="H36686" s="4" t="str">
        <v/>
      </c>
      <c r="I36686" s="4" t="str">
        <v/>
      </c>
    </row>
    <row r="36687" spans="5:9" ht="16.5" hidden="1">
      <c r="E36687" s="4" t="str">
        <v/>
      </c>
      <c r="F36687" s="102" t="str">
        <f ca="1">IFERROR(__xludf.DUMMYFUNCTION("IMPORTRANGE(H36687,""IDENTITAS UNIT!D9"")"),"#N/A")</f>
        <v>#N/A</v>
      </c>
      <c r="H36687" s="4" t="str">
        <v/>
      </c>
      <c r="I36687" s="4" t="str">
        <v/>
      </c>
    </row>
    <row r="36688" spans="5:9" ht="16.5" hidden="1">
      <c r="E36688" s="4" t="str">
        <v/>
      </c>
      <c r="F36688" s="102" t="str">
        <f ca="1">IFERROR(__xludf.DUMMYFUNCTION("IMPORTRANGE(H36688,""IDENTITAS UNIT!D9"")"),"#N/A")</f>
        <v>#N/A</v>
      </c>
      <c r="H36688" s="4" t="str">
        <v/>
      </c>
      <c r="I36688" s="4" t="str">
        <v/>
      </c>
    </row>
    <row r="36689" spans="5:9" ht="16.5" hidden="1">
      <c r="E36689" s="4" t="str">
        <v/>
      </c>
      <c r="F36689" s="102" t="str">
        <f ca="1">IFERROR(__xludf.DUMMYFUNCTION("IMPORTRANGE(H36689,""IDENTITAS UNIT!D9"")"),"#N/A")</f>
        <v>#N/A</v>
      </c>
      <c r="H36689" s="4" t="str">
        <v/>
      </c>
      <c r="I36689" s="4" t="str">
        <v/>
      </c>
    </row>
    <row r="36690" spans="5:9" ht="16.5" hidden="1">
      <c r="E36690" s="4" t="str">
        <v/>
      </c>
      <c r="F36690" s="102" t="str">
        <f ca="1">IFERROR(__xludf.DUMMYFUNCTION("IMPORTRANGE(H36690,""IDENTITAS UNIT!D9"")"),"#N/A")</f>
        <v>#N/A</v>
      </c>
      <c r="H36690" s="4" t="str">
        <v/>
      </c>
      <c r="I36690" s="4" t="str">
        <v/>
      </c>
    </row>
    <row r="36691" spans="5:9" ht="16.5" hidden="1">
      <c r="E36691" s="4" t="str">
        <v/>
      </c>
      <c r="F36691" s="102" t="str">
        <f ca="1">IFERROR(__xludf.DUMMYFUNCTION("IMPORTRANGE(H36691,""IDENTITAS UNIT!D9"")"),"#N/A")</f>
        <v>#N/A</v>
      </c>
      <c r="H36691" s="4" t="str">
        <v/>
      </c>
      <c r="I36691" s="4" t="str">
        <v/>
      </c>
    </row>
    <row r="36692" spans="5:9" ht="16.5" hidden="1">
      <c r="E36692" s="4" t="str">
        <v/>
      </c>
      <c r="F36692" s="102" t="str">
        <f ca="1">IFERROR(__xludf.DUMMYFUNCTION("IMPORTRANGE(H36692,""IDENTITAS UNIT!D9"")"),"#N/A")</f>
        <v>#N/A</v>
      </c>
      <c r="H36692" s="4" t="str">
        <v/>
      </c>
      <c r="I36692" s="4" t="str">
        <v/>
      </c>
    </row>
    <row r="36693" spans="5:9" ht="16.5" hidden="1">
      <c r="E36693" s="4" t="str">
        <v/>
      </c>
      <c r="F36693" s="102" t="str">
        <f ca="1">IFERROR(__xludf.DUMMYFUNCTION("IMPORTRANGE(H36693,""IDENTITAS UNIT!D9"")"),"#N/A")</f>
        <v>#N/A</v>
      </c>
      <c r="H36693" s="4" t="str">
        <v/>
      </c>
      <c r="I36693" s="4" t="str">
        <v/>
      </c>
    </row>
    <row r="36694" spans="5:9" ht="16.5" hidden="1">
      <c r="E36694" s="4" t="str">
        <v/>
      </c>
      <c r="F36694" s="102" t="str">
        <f ca="1">IFERROR(__xludf.DUMMYFUNCTION("IMPORTRANGE(H36694,""IDENTITAS UNIT!D9"")"),"#N/A")</f>
        <v>#N/A</v>
      </c>
      <c r="H36694" s="4" t="str">
        <v/>
      </c>
      <c r="I36694" s="4" t="str">
        <v/>
      </c>
    </row>
    <row r="36695" spans="5:9" ht="16.5" hidden="1">
      <c r="E36695" s="4" t="str">
        <v/>
      </c>
      <c r="F36695" s="102" t="str">
        <f ca="1">IFERROR(__xludf.DUMMYFUNCTION("IMPORTRANGE(H36695,""IDENTITAS UNIT!D9"")"),"#N/A")</f>
        <v>#N/A</v>
      </c>
      <c r="H36695" s="4" t="str">
        <v/>
      </c>
      <c r="I36695" s="4" t="str">
        <v/>
      </c>
    </row>
    <row r="36696" spans="5:9" ht="16.5" hidden="1">
      <c r="E36696" s="4" t="str">
        <v/>
      </c>
      <c r="F36696" s="102" t="str">
        <f ca="1">IFERROR(__xludf.DUMMYFUNCTION("IMPORTRANGE(H36696,""IDENTITAS UNIT!D9"")"),"#N/A")</f>
        <v>#N/A</v>
      </c>
      <c r="H36696" s="4" t="str">
        <v/>
      </c>
      <c r="I36696" s="4" t="str">
        <v/>
      </c>
    </row>
    <row r="36697" spans="5:9" ht="16.5" hidden="1">
      <c r="E36697" s="4" t="str">
        <v/>
      </c>
      <c r="F36697" s="102" t="str">
        <f ca="1">IFERROR(__xludf.DUMMYFUNCTION("IMPORTRANGE(H36697,""IDENTITAS UNIT!D9"")"),"#N/A")</f>
        <v>#N/A</v>
      </c>
      <c r="H36697" s="4" t="str">
        <v/>
      </c>
      <c r="I36697" s="4" t="str">
        <v/>
      </c>
    </row>
    <row r="36698" spans="5:9" ht="16.5" hidden="1">
      <c r="E36698" s="4" t="str">
        <v/>
      </c>
      <c r="F36698" s="102" t="str">
        <f ca="1">IFERROR(__xludf.DUMMYFUNCTION("IMPORTRANGE(H36698,""IDENTITAS UNIT!D9"")"),"#N/A")</f>
        <v>#N/A</v>
      </c>
      <c r="H36698" s="4" t="str">
        <v/>
      </c>
      <c r="I36698" s="4" t="str">
        <v/>
      </c>
    </row>
    <row r="36699" spans="5:9" ht="16.5" hidden="1">
      <c r="E36699" s="4" t="str">
        <v/>
      </c>
      <c r="F36699" s="102" t="str">
        <f ca="1">IFERROR(__xludf.DUMMYFUNCTION("IMPORTRANGE(H36699,""IDENTITAS UNIT!D9"")"),"#N/A")</f>
        <v>#N/A</v>
      </c>
      <c r="H36699" s="4" t="str">
        <v/>
      </c>
      <c r="I36699" s="4" t="str">
        <v/>
      </c>
    </row>
    <row r="36700" spans="5:9" ht="16.5" hidden="1">
      <c r="E36700" s="4" t="str">
        <v/>
      </c>
      <c r="F36700" s="102" t="str">
        <f ca="1">IFERROR(__xludf.DUMMYFUNCTION("IMPORTRANGE(H36700,""IDENTITAS UNIT!D9"")"),"#N/A")</f>
        <v>#N/A</v>
      </c>
      <c r="H36700" s="4" t="str">
        <v/>
      </c>
      <c r="I36700" s="4" t="str">
        <v/>
      </c>
    </row>
    <row r="36701" spans="5:9" ht="16.5" hidden="1">
      <c r="E36701" s="4" t="str">
        <v/>
      </c>
      <c r="F36701" s="102" t="str">
        <f ca="1">IFERROR(__xludf.DUMMYFUNCTION("IMPORTRANGE(H36701,""IDENTITAS UNIT!D9"")"),"#N/A")</f>
        <v>#N/A</v>
      </c>
      <c r="H36701" s="4" t="str">
        <v/>
      </c>
      <c r="I36701" s="4" t="str">
        <v/>
      </c>
    </row>
    <row r="36702" spans="5:9" ht="16.5" hidden="1">
      <c r="E36702" s="4" t="str">
        <v/>
      </c>
      <c r="F36702" s="102" t="str">
        <f ca="1">IFERROR(__xludf.DUMMYFUNCTION("IMPORTRANGE(H36702,""IDENTITAS UNIT!D9"")"),"#N/A")</f>
        <v>#N/A</v>
      </c>
      <c r="H36702" s="4" t="str">
        <v/>
      </c>
      <c r="I36702" s="4" t="str">
        <v/>
      </c>
    </row>
    <row r="36703" spans="5:9" ht="16.5" hidden="1">
      <c r="E36703" s="4" t="str">
        <v/>
      </c>
      <c r="F36703" s="102" t="str">
        <f ca="1">IFERROR(__xludf.DUMMYFUNCTION("IMPORTRANGE(H36703,""IDENTITAS UNIT!D9"")"),"#N/A")</f>
        <v>#N/A</v>
      </c>
      <c r="H36703" s="4" t="str">
        <v/>
      </c>
      <c r="I36703" s="4" t="str">
        <v/>
      </c>
    </row>
    <row r="36704" spans="5:9" ht="16.5" hidden="1">
      <c r="E36704" s="4" t="str">
        <v/>
      </c>
      <c r="F36704" s="102" t="str">
        <f ca="1">IFERROR(__xludf.DUMMYFUNCTION("IMPORTRANGE(H36704,""IDENTITAS UNIT!D9"")"),"#N/A")</f>
        <v>#N/A</v>
      </c>
      <c r="H36704" s="4" t="str">
        <v/>
      </c>
      <c r="I36704" s="4" t="str">
        <v/>
      </c>
    </row>
    <row r="36705" spans="5:9" ht="16.5" hidden="1">
      <c r="E36705" s="4" t="str">
        <v/>
      </c>
      <c r="F36705" s="102" t="str">
        <f ca="1">IFERROR(__xludf.DUMMYFUNCTION("IMPORTRANGE(H36705,""IDENTITAS UNIT!D9"")"),"#N/A")</f>
        <v>#N/A</v>
      </c>
      <c r="H36705" s="4" t="str">
        <v/>
      </c>
      <c r="I36705" s="4" t="str">
        <v/>
      </c>
    </row>
    <row r="36706" spans="5:9" ht="16.5" hidden="1">
      <c r="E36706" s="4" t="str">
        <v/>
      </c>
      <c r="F36706" s="102" t="str">
        <f ca="1">IFERROR(__xludf.DUMMYFUNCTION("IMPORTRANGE(H36706,""IDENTITAS UNIT!D9"")"),"#N/A")</f>
        <v>#N/A</v>
      </c>
      <c r="H36706" s="4" t="str">
        <v/>
      </c>
      <c r="I36706" s="4" t="str">
        <v/>
      </c>
    </row>
    <row r="36707" spans="5:9" ht="16.5" hidden="1">
      <c r="E36707" s="4" t="str">
        <v/>
      </c>
      <c r="F36707" s="102" t="str">
        <f ca="1">IFERROR(__xludf.DUMMYFUNCTION("IMPORTRANGE(H36707,""IDENTITAS UNIT!D9"")"),"#N/A")</f>
        <v>#N/A</v>
      </c>
      <c r="H36707" s="4" t="str">
        <v/>
      </c>
      <c r="I36707" s="4" t="str">
        <v/>
      </c>
    </row>
    <row r="36708" spans="5:9" ht="16.5" hidden="1">
      <c r="E36708" s="4" t="str">
        <v/>
      </c>
      <c r="F36708" s="102" t="str">
        <f ca="1">IFERROR(__xludf.DUMMYFUNCTION("IMPORTRANGE(H36708,""IDENTITAS UNIT!D9"")"),"#N/A")</f>
        <v>#N/A</v>
      </c>
      <c r="H36708" s="4" t="str">
        <v/>
      </c>
      <c r="I36708" s="4" t="str">
        <v/>
      </c>
    </row>
    <row r="36709" spans="5:9" ht="16.5" hidden="1">
      <c r="E36709" s="4" t="str">
        <v/>
      </c>
      <c r="F36709" s="102" t="str">
        <f ca="1">IFERROR(__xludf.DUMMYFUNCTION("IMPORTRANGE(H36709,""IDENTITAS UNIT!D9"")"),"#N/A")</f>
        <v>#N/A</v>
      </c>
      <c r="H36709" s="4" t="str">
        <v/>
      </c>
      <c r="I36709" s="4" t="str">
        <v/>
      </c>
    </row>
    <row r="36710" spans="5:9" ht="16.5" hidden="1">
      <c r="E36710" s="4" t="str">
        <v/>
      </c>
      <c r="F36710" s="102" t="str">
        <f ca="1">IFERROR(__xludf.DUMMYFUNCTION("IMPORTRANGE(H36710,""IDENTITAS UNIT!D9"")"),"#N/A")</f>
        <v>#N/A</v>
      </c>
      <c r="H36710" s="4" t="str">
        <v/>
      </c>
      <c r="I36710" s="4" t="str">
        <v/>
      </c>
    </row>
    <row r="36711" spans="5:9" ht="16.5" hidden="1">
      <c r="E36711" s="4" t="str">
        <v/>
      </c>
      <c r="F36711" s="102" t="str">
        <f ca="1">IFERROR(__xludf.DUMMYFUNCTION("IMPORTRANGE(H36711,""IDENTITAS UNIT!D9"")"),"#N/A")</f>
        <v>#N/A</v>
      </c>
      <c r="H36711" s="4" t="str">
        <v/>
      </c>
      <c r="I36711" s="4" t="str">
        <v/>
      </c>
    </row>
    <row r="36712" spans="5:9" ht="16.5" hidden="1">
      <c r="E36712" s="4" t="str">
        <v/>
      </c>
      <c r="F36712" s="102" t="str">
        <f ca="1">IFERROR(__xludf.DUMMYFUNCTION("IMPORTRANGE(H36712,""IDENTITAS UNIT!D9"")"),"#N/A")</f>
        <v>#N/A</v>
      </c>
      <c r="H36712" s="4" t="str">
        <v/>
      </c>
      <c r="I36712" s="4" t="str">
        <v/>
      </c>
    </row>
    <row r="36713" spans="5:9" ht="16.5" hidden="1">
      <c r="E36713" s="4" t="str">
        <v/>
      </c>
      <c r="F36713" s="102" t="str">
        <f ca="1">IFERROR(__xludf.DUMMYFUNCTION("IMPORTRANGE(H36713,""IDENTITAS UNIT!D9"")"),"#N/A")</f>
        <v>#N/A</v>
      </c>
      <c r="H36713" s="4" t="str">
        <v/>
      </c>
      <c r="I36713" s="4" t="str">
        <v/>
      </c>
    </row>
    <row r="36714" spans="5:9" ht="16.5" hidden="1">
      <c r="E36714" s="4" t="str">
        <v/>
      </c>
      <c r="F36714" s="102" t="str">
        <f ca="1">IFERROR(__xludf.DUMMYFUNCTION("IMPORTRANGE(H36714,""IDENTITAS UNIT!D9"")"),"#N/A")</f>
        <v>#N/A</v>
      </c>
      <c r="H36714" s="4" t="str">
        <v/>
      </c>
      <c r="I36714" s="4" t="str">
        <v/>
      </c>
    </row>
    <row r="36715" spans="5:9" ht="16.5" hidden="1">
      <c r="E36715" s="4" t="str">
        <v/>
      </c>
      <c r="F36715" s="102" t="str">
        <f ca="1">IFERROR(__xludf.DUMMYFUNCTION("IMPORTRANGE(H36715,""IDENTITAS UNIT!D9"")"),"#N/A")</f>
        <v>#N/A</v>
      </c>
      <c r="H36715" s="4" t="str">
        <v/>
      </c>
      <c r="I36715" s="4" t="str">
        <v/>
      </c>
    </row>
    <row r="36716" spans="5:9" ht="16.5" hidden="1">
      <c r="E36716" s="4" t="str">
        <v/>
      </c>
      <c r="F36716" s="102" t="str">
        <f ca="1">IFERROR(__xludf.DUMMYFUNCTION("IMPORTRANGE(H36716,""IDENTITAS UNIT!D9"")"),"#N/A")</f>
        <v>#N/A</v>
      </c>
      <c r="H36716" s="4" t="str">
        <v/>
      </c>
      <c r="I36716" s="4" t="str">
        <v/>
      </c>
    </row>
    <row r="36717" spans="5:9" ht="16.5" hidden="1">
      <c r="E36717" s="4" t="str">
        <v/>
      </c>
      <c r="F36717" s="102" t="str">
        <f ca="1">IFERROR(__xludf.DUMMYFUNCTION("IMPORTRANGE(H36717,""IDENTITAS UNIT!D9"")"),"#N/A")</f>
        <v>#N/A</v>
      </c>
      <c r="H36717" s="4" t="str">
        <v/>
      </c>
      <c r="I36717" s="4" t="str">
        <v/>
      </c>
    </row>
    <row r="36718" spans="5:9" ht="16.5" hidden="1">
      <c r="E36718" s="4" t="str">
        <v/>
      </c>
      <c r="F36718" s="102" t="str">
        <f ca="1">IFERROR(__xludf.DUMMYFUNCTION("IMPORTRANGE(H36718,""IDENTITAS UNIT!D9"")"),"#N/A")</f>
        <v>#N/A</v>
      </c>
      <c r="H36718" s="4" t="str">
        <v/>
      </c>
      <c r="I36718" s="4" t="str">
        <v/>
      </c>
    </row>
    <row r="36719" spans="5:9" ht="16.5" hidden="1">
      <c r="E36719" s="4" t="str">
        <v/>
      </c>
      <c r="F36719" s="102" t="str">
        <f ca="1">IFERROR(__xludf.DUMMYFUNCTION("IMPORTRANGE(H36719,""IDENTITAS UNIT!D9"")"),"#N/A")</f>
        <v>#N/A</v>
      </c>
      <c r="H36719" s="4" t="str">
        <v/>
      </c>
      <c r="I36719" s="4" t="str">
        <v/>
      </c>
    </row>
    <row r="36720" spans="5:9" ht="16.5" hidden="1">
      <c r="E36720" s="4" t="str">
        <v/>
      </c>
      <c r="F36720" s="102" t="str">
        <f ca="1">IFERROR(__xludf.DUMMYFUNCTION("IMPORTRANGE(H36720,""IDENTITAS UNIT!D9"")"),"#N/A")</f>
        <v>#N/A</v>
      </c>
      <c r="H36720" s="4" t="str">
        <v/>
      </c>
      <c r="I36720" s="4" t="str">
        <v/>
      </c>
    </row>
    <row r="36721" spans="5:9" ht="16.5" hidden="1">
      <c r="E36721" s="4" t="str">
        <v/>
      </c>
      <c r="F36721" s="102" t="str">
        <f ca="1">IFERROR(__xludf.DUMMYFUNCTION("IMPORTRANGE(H36721,""IDENTITAS UNIT!D9"")"),"#N/A")</f>
        <v>#N/A</v>
      </c>
      <c r="H36721" s="4" t="str">
        <v/>
      </c>
      <c r="I36721" s="4" t="str">
        <v/>
      </c>
    </row>
    <row r="36722" spans="5:9" ht="16.5" hidden="1">
      <c r="E36722" s="4" t="str">
        <v/>
      </c>
      <c r="F36722" s="102" t="str">
        <f ca="1">IFERROR(__xludf.DUMMYFUNCTION("IMPORTRANGE(H36722,""IDENTITAS UNIT!D9"")"),"#N/A")</f>
        <v>#N/A</v>
      </c>
      <c r="H36722" s="4" t="str">
        <v/>
      </c>
      <c r="I36722" s="4" t="str">
        <v/>
      </c>
    </row>
    <row r="36723" spans="5:9" ht="16.5" hidden="1">
      <c r="E36723" s="4" t="str">
        <v/>
      </c>
      <c r="F36723" s="102" t="str">
        <f ca="1">IFERROR(__xludf.DUMMYFUNCTION("IMPORTRANGE(H36723,""IDENTITAS UNIT!D9"")"),"#N/A")</f>
        <v>#N/A</v>
      </c>
      <c r="H36723" s="4" t="str">
        <v/>
      </c>
      <c r="I36723" s="4" t="str">
        <v/>
      </c>
    </row>
    <row r="36724" spans="5:9" ht="16.5" hidden="1">
      <c r="E36724" s="4" t="str">
        <v/>
      </c>
      <c r="F36724" s="102" t="str">
        <f ca="1">IFERROR(__xludf.DUMMYFUNCTION("IMPORTRANGE(H36724,""IDENTITAS UNIT!D9"")"),"#N/A")</f>
        <v>#N/A</v>
      </c>
      <c r="H36724" s="4" t="str">
        <v/>
      </c>
      <c r="I36724" s="4" t="str">
        <v/>
      </c>
    </row>
    <row r="36725" spans="5:9" ht="16.5" hidden="1">
      <c r="E36725" s="4" t="str">
        <v/>
      </c>
      <c r="F36725" s="102" t="str">
        <f ca="1">IFERROR(__xludf.DUMMYFUNCTION("IMPORTRANGE(H36725,""IDENTITAS UNIT!D9"")"),"#N/A")</f>
        <v>#N/A</v>
      </c>
      <c r="H36725" s="4" t="str">
        <v/>
      </c>
      <c r="I36725" s="4" t="str">
        <v/>
      </c>
    </row>
    <row r="36726" spans="5:9" ht="16.5" hidden="1">
      <c r="E36726" s="4" t="str">
        <v/>
      </c>
      <c r="F36726" s="102" t="str">
        <f ca="1">IFERROR(__xludf.DUMMYFUNCTION("IMPORTRANGE(H36726,""IDENTITAS UNIT!D9"")"),"#N/A")</f>
        <v>#N/A</v>
      </c>
      <c r="H36726" s="4" t="str">
        <v/>
      </c>
      <c r="I36726" s="4" t="str">
        <v/>
      </c>
    </row>
    <row r="36727" spans="5:9" ht="16.5" hidden="1">
      <c r="E36727" s="4" t="str">
        <v/>
      </c>
      <c r="F36727" s="102" t="str">
        <f ca="1">IFERROR(__xludf.DUMMYFUNCTION("IMPORTRANGE(H36727,""IDENTITAS UNIT!D9"")"),"#N/A")</f>
        <v>#N/A</v>
      </c>
      <c r="H36727" s="4" t="str">
        <v/>
      </c>
      <c r="I36727" s="4" t="str">
        <v/>
      </c>
    </row>
    <row r="36728" spans="5:9" ht="16.5" hidden="1">
      <c r="E36728" s="4" t="str">
        <v/>
      </c>
      <c r="F36728" s="102" t="str">
        <f ca="1">IFERROR(__xludf.DUMMYFUNCTION("IMPORTRANGE(H36728,""IDENTITAS UNIT!D9"")"),"#N/A")</f>
        <v>#N/A</v>
      </c>
      <c r="H36728" s="4" t="str">
        <v/>
      </c>
      <c r="I36728" s="4" t="str">
        <v/>
      </c>
    </row>
    <row r="36729" spans="5:9" ht="16.5" hidden="1">
      <c r="E36729" s="4" t="str">
        <v/>
      </c>
      <c r="F36729" s="102" t="str">
        <f ca="1">IFERROR(__xludf.DUMMYFUNCTION("IMPORTRANGE(H36729,""IDENTITAS UNIT!D9"")"),"#N/A")</f>
        <v>#N/A</v>
      </c>
      <c r="H36729" s="4" t="str">
        <v/>
      </c>
      <c r="I36729" s="4" t="str">
        <v/>
      </c>
    </row>
    <row r="36730" spans="5:9" ht="16.5" hidden="1">
      <c r="E36730" s="4" t="str">
        <v/>
      </c>
      <c r="F36730" s="102" t="str">
        <f ca="1">IFERROR(__xludf.DUMMYFUNCTION("IMPORTRANGE(H36730,""IDENTITAS UNIT!D9"")"),"#N/A")</f>
        <v>#N/A</v>
      </c>
      <c r="H36730" s="4" t="str">
        <v/>
      </c>
      <c r="I36730" s="4" t="str">
        <v/>
      </c>
    </row>
    <row r="36731" spans="5:9" ht="16.5" hidden="1">
      <c r="E36731" s="4" t="str">
        <v/>
      </c>
      <c r="F36731" s="102" t="str">
        <f ca="1">IFERROR(__xludf.DUMMYFUNCTION("IMPORTRANGE(H36731,""IDENTITAS UNIT!D9"")"),"#N/A")</f>
        <v>#N/A</v>
      </c>
      <c r="H36731" s="4" t="str">
        <v/>
      </c>
      <c r="I36731" s="4" t="str">
        <v/>
      </c>
    </row>
    <row r="36732" spans="5:9" ht="16.5" hidden="1">
      <c r="E36732" s="4" t="str">
        <v/>
      </c>
      <c r="F36732" s="102" t="str">
        <f ca="1">IFERROR(__xludf.DUMMYFUNCTION("IMPORTRANGE(H36732,""IDENTITAS UNIT!D9"")"),"#N/A")</f>
        <v>#N/A</v>
      </c>
      <c r="H36732" s="4" t="str">
        <v/>
      </c>
      <c r="I36732" s="4" t="str">
        <v/>
      </c>
    </row>
    <row r="36733" spans="5:9" ht="16.5" hidden="1">
      <c r="E36733" s="4" t="str">
        <v/>
      </c>
      <c r="F36733" s="102" t="str">
        <f ca="1">IFERROR(__xludf.DUMMYFUNCTION("IMPORTRANGE(H36733,""IDENTITAS UNIT!D9"")"),"#N/A")</f>
        <v>#N/A</v>
      </c>
      <c r="H36733" s="4" t="str">
        <v/>
      </c>
      <c r="I36733" s="4" t="str">
        <v/>
      </c>
    </row>
    <row r="36734" spans="5:9" ht="16.5" hidden="1">
      <c r="E36734" s="4" t="str">
        <v/>
      </c>
      <c r="F36734" s="102" t="str">
        <f ca="1">IFERROR(__xludf.DUMMYFUNCTION("IMPORTRANGE(H36734,""IDENTITAS UNIT!D9"")"),"#N/A")</f>
        <v>#N/A</v>
      </c>
      <c r="H36734" s="4" t="str">
        <v/>
      </c>
      <c r="I36734" s="4" t="str">
        <v/>
      </c>
    </row>
    <row r="36735" spans="5:9" ht="16.5" hidden="1">
      <c r="E36735" s="4" t="str">
        <v/>
      </c>
      <c r="F36735" s="102" t="str">
        <f ca="1">IFERROR(__xludf.DUMMYFUNCTION("IMPORTRANGE(H36735,""IDENTITAS UNIT!D9"")"),"#N/A")</f>
        <v>#N/A</v>
      </c>
      <c r="H36735" s="4" t="str">
        <v/>
      </c>
      <c r="I36735" s="4" t="str">
        <v/>
      </c>
    </row>
    <row r="36736" spans="5:9" ht="16.5" hidden="1">
      <c r="E36736" s="4" t="str">
        <v/>
      </c>
      <c r="F36736" s="102" t="str">
        <f ca="1">IFERROR(__xludf.DUMMYFUNCTION("IMPORTRANGE(H36736,""IDENTITAS UNIT!D9"")"),"#N/A")</f>
        <v>#N/A</v>
      </c>
      <c r="H36736" s="4" t="str">
        <v/>
      </c>
      <c r="I36736" s="4" t="str">
        <v/>
      </c>
    </row>
    <row r="36737" spans="5:9" ht="16.5" hidden="1">
      <c r="E36737" s="4" t="str">
        <v/>
      </c>
      <c r="F36737" s="102" t="str">
        <f ca="1">IFERROR(__xludf.DUMMYFUNCTION("IMPORTRANGE(H36737,""IDENTITAS UNIT!D9"")"),"#N/A")</f>
        <v>#N/A</v>
      </c>
      <c r="H36737" s="4" t="str">
        <v/>
      </c>
      <c r="I36737" s="4" t="str">
        <v/>
      </c>
    </row>
    <row r="36738" spans="5:9" ht="16.5" hidden="1">
      <c r="E36738" s="4" t="str">
        <v/>
      </c>
      <c r="F36738" s="102" t="str">
        <f ca="1">IFERROR(__xludf.DUMMYFUNCTION("IMPORTRANGE(H36738,""IDENTITAS UNIT!D9"")"),"#N/A")</f>
        <v>#N/A</v>
      </c>
      <c r="H36738" s="4" t="str">
        <v/>
      </c>
      <c r="I36738" s="4" t="str">
        <v/>
      </c>
    </row>
    <row r="36739" spans="5:9" ht="16.5" hidden="1">
      <c r="E36739" s="4" t="str">
        <v/>
      </c>
      <c r="F36739" s="102" t="str">
        <f ca="1">IFERROR(__xludf.DUMMYFUNCTION("IMPORTRANGE(H36739,""IDENTITAS UNIT!D9"")"),"#N/A")</f>
        <v>#N/A</v>
      </c>
      <c r="H36739" s="4" t="str">
        <v/>
      </c>
      <c r="I36739" s="4" t="str">
        <v/>
      </c>
    </row>
    <row r="36740" spans="5:9" ht="16.5" hidden="1">
      <c r="E36740" s="4" t="str">
        <v/>
      </c>
      <c r="F36740" s="102" t="str">
        <f ca="1">IFERROR(__xludf.DUMMYFUNCTION("IMPORTRANGE(H36740,""IDENTITAS UNIT!D9"")"),"#N/A")</f>
        <v>#N/A</v>
      </c>
      <c r="H36740" s="4" t="str">
        <v/>
      </c>
      <c r="I36740" s="4" t="str">
        <v/>
      </c>
    </row>
    <row r="36741" spans="5:9" ht="16.5" hidden="1">
      <c r="E36741" s="4" t="str">
        <v/>
      </c>
      <c r="F36741" s="102" t="str">
        <f ca="1">IFERROR(__xludf.DUMMYFUNCTION("IMPORTRANGE(H36741,""IDENTITAS UNIT!D9"")"),"#N/A")</f>
        <v>#N/A</v>
      </c>
      <c r="H36741" s="4" t="str">
        <v/>
      </c>
      <c r="I36741" s="4" t="str">
        <v/>
      </c>
    </row>
    <row r="36742" spans="5:9" ht="16.5" hidden="1">
      <c r="E36742" s="4" t="str">
        <v/>
      </c>
      <c r="F36742" s="102" t="str">
        <f ca="1">IFERROR(__xludf.DUMMYFUNCTION("IMPORTRANGE(H36742,""IDENTITAS UNIT!D9"")"),"#N/A")</f>
        <v>#N/A</v>
      </c>
      <c r="H36742" s="4" t="str">
        <v/>
      </c>
      <c r="I36742" s="4" t="str">
        <v/>
      </c>
    </row>
    <row r="36743" spans="5:9" ht="16.5" hidden="1">
      <c r="E36743" s="4" t="str">
        <v/>
      </c>
      <c r="F36743" s="102" t="str">
        <f ca="1">IFERROR(__xludf.DUMMYFUNCTION("IMPORTRANGE(H36743,""IDENTITAS UNIT!D9"")"),"#N/A")</f>
        <v>#N/A</v>
      </c>
      <c r="H36743" s="4" t="str">
        <v/>
      </c>
      <c r="I36743" s="4" t="str">
        <v/>
      </c>
    </row>
    <row r="36744" spans="5:9" ht="16.5" hidden="1">
      <c r="E36744" s="4" t="str">
        <v/>
      </c>
      <c r="F36744" s="102" t="str">
        <f ca="1">IFERROR(__xludf.DUMMYFUNCTION("IMPORTRANGE(H36744,""IDENTITAS UNIT!D9"")"),"#N/A")</f>
        <v>#N/A</v>
      </c>
      <c r="H36744" s="4" t="str">
        <v/>
      </c>
      <c r="I36744" s="4" t="str">
        <v/>
      </c>
    </row>
    <row r="36745" spans="5:9" ht="16.5" hidden="1">
      <c r="E36745" s="4" t="str">
        <v/>
      </c>
      <c r="F36745" s="102" t="str">
        <f ca="1">IFERROR(__xludf.DUMMYFUNCTION("IMPORTRANGE(H36745,""IDENTITAS UNIT!D9"")"),"#N/A")</f>
        <v>#N/A</v>
      </c>
      <c r="H36745" s="4" t="str">
        <v/>
      </c>
      <c r="I36745" s="4" t="str">
        <v/>
      </c>
    </row>
    <row r="36746" spans="5:9" ht="16.5" hidden="1">
      <c r="E36746" s="4" t="str">
        <v/>
      </c>
      <c r="F36746" s="102" t="str">
        <f ca="1">IFERROR(__xludf.DUMMYFUNCTION("IMPORTRANGE(H36746,""IDENTITAS UNIT!D9"")"),"#N/A")</f>
        <v>#N/A</v>
      </c>
      <c r="H36746" s="4" t="str">
        <v/>
      </c>
      <c r="I36746" s="4" t="str">
        <v/>
      </c>
    </row>
    <row r="36747" spans="5:9" ht="16.5" hidden="1">
      <c r="E36747" s="4" t="str">
        <v/>
      </c>
      <c r="F36747" s="102" t="str">
        <f ca="1">IFERROR(__xludf.DUMMYFUNCTION("IMPORTRANGE(H36747,""IDENTITAS UNIT!D9"")"),"#N/A")</f>
        <v>#N/A</v>
      </c>
      <c r="H36747" s="4" t="str">
        <v/>
      </c>
      <c r="I36747" s="4" t="str">
        <v/>
      </c>
    </row>
    <row r="36748" spans="5:9" ht="16.5" hidden="1">
      <c r="E36748" s="4" t="str">
        <v/>
      </c>
      <c r="F36748" s="102" t="str">
        <f ca="1">IFERROR(__xludf.DUMMYFUNCTION("IMPORTRANGE(H36748,""IDENTITAS UNIT!D9"")"),"#N/A")</f>
        <v>#N/A</v>
      </c>
      <c r="H36748" s="4" t="str">
        <v/>
      </c>
      <c r="I36748" s="4" t="str">
        <v/>
      </c>
    </row>
    <row r="36749" spans="5:9" ht="16.5" hidden="1">
      <c r="E36749" s="4" t="str">
        <v/>
      </c>
      <c r="F36749" s="102" t="str">
        <f ca="1">IFERROR(__xludf.DUMMYFUNCTION("IMPORTRANGE(H36749,""IDENTITAS UNIT!D9"")"),"#N/A")</f>
        <v>#N/A</v>
      </c>
      <c r="H36749" s="4" t="str">
        <v/>
      </c>
      <c r="I36749" s="4" t="str">
        <v/>
      </c>
    </row>
    <row r="36750" spans="5:9" ht="16.5" hidden="1">
      <c r="E36750" s="4" t="str">
        <v/>
      </c>
      <c r="F36750" s="102" t="str">
        <f ca="1">IFERROR(__xludf.DUMMYFUNCTION("IMPORTRANGE(H36750,""IDENTITAS UNIT!D9"")"),"#N/A")</f>
        <v>#N/A</v>
      </c>
      <c r="H36750" s="4" t="str">
        <v/>
      </c>
      <c r="I36750" s="4" t="str">
        <v/>
      </c>
    </row>
    <row r="36751" spans="5:9" ht="16.5" hidden="1">
      <c r="E36751" s="4" t="str">
        <v/>
      </c>
      <c r="F36751" s="102" t="str">
        <f ca="1">IFERROR(__xludf.DUMMYFUNCTION("IMPORTRANGE(H36751,""IDENTITAS UNIT!D9"")"),"#N/A")</f>
        <v>#N/A</v>
      </c>
      <c r="H36751" s="4" t="str">
        <v/>
      </c>
      <c r="I36751" s="4" t="str">
        <v/>
      </c>
    </row>
    <row r="36752" spans="5:9" ht="16.5" hidden="1">
      <c r="E36752" s="4" t="str">
        <v/>
      </c>
      <c r="F36752" s="102" t="str">
        <f ca="1">IFERROR(__xludf.DUMMYFUNCTION("IMPORTRANGE(H36752,""IDENTITAS UNIT!D9"")"),"#N/A")</f>
        <v>#N/A</v>
      </c>
      <c r="H36752" s="4" t="str">
        <v/>
      </c>
      <c r="I36752" s="4" t="str">
        <v/>
      </c>
    </row>
    <row r="36753" spans="5:9" ht="16.5" hidden="1">
      <c r="E36753" s="4" t="str">
        <v/>
      </c>
      <c r="F36753" s="102" t="str">
        <f ca="1">IFERROR(__xludf.DUMMYFUNCTION("IMPORTRANGE(H36753,""IDENTITAS UNIT!D9"")"),"#N/A")</f>
        <v>#N/A</v>
      </c>
      <c r="H36753" s="4" t="str">
        <v/>
      </c>
      <c r="I36753" s="4" t="str">
        <v/>
      </c>
    </row>
    <row r="36754" spans="5:9" ht="16.5" hidden="1">
      <c r="E36754" s="4" t="str">
        <v/>
      </c>
      <c r="F36754" s="102" t="str">
        <f ca="1">IFERROR(__xludf.DUMMYFUNCTION("IMPORTRANGE(H36754,""IDENTITAS UNIT!D9"")"),"#N/A")</f>
        <v>#N/A</v>
      </c>
      <c r="H36754" s="4" t="str">
        <v/>
      </c>
      <c r="I36754" s="4" t="str">
        <v/>
      </c>
    </row>
    <row r="36755" spans="5:9" ht="16.5" hidden="1">
      <c r="E36755" s="4" t="str">
        <v/>
      </c>
      <c r="F36755" s="102" t="str">
        <f ca="1">IFERROR(__xludf.DUMMYFUNCTION("IMPORTRANGE(H36755,""IDENTITAS UNIT!D9"")"),"#N/A")</f>
        <v>#N/A</v>
      </c>
      <c r="H36755" s="4" t="str">
        <v/>
      </c>
      <c r="I36755" s="4" t="str">
        <v/>
      </c>
    </row>
    <row r="36756" spans="5:9" ht="16.5" hidden="1">
      <c r="E36756" s="4" t="str">
        <v/>
      </c>
      <c r="F36756" s="102" t="str">
        <f ca="1">IFERROR(__xludf.DUMMYFUNCTION("IMPORTRANGE(H36756,""IDENTITAS UNIT!D9"")"),"#N/A")</f>
        <v>#N/A</v>
      </c>
      <c r="H36756" s="4" t="str">
        <v/>
      </c>
      <c r="I36756" s="4" t="str">
        <v/>
      </c>
    </row>
    <row r="36757" spans="5:9" ht="16.5" hidden="1">
      <c r="E36757" s="4" t="str">
        <v/>
      </c>
      <c r="F36757" s="102" t="str">
        <f ca="1">IFERROR(__xludf.DUMMYFUNCTION("IMPORTRANGE(H36757,""IDENTITAS UNIT!D9"")"),"#N/A")</f>
        <v>#N/A</v>
      </c>
      <c r="H36757" s="4" t="str">
        <v/>
      </c>
      <c r="I36757" s="4" t="str">
        <v/>
      </c>
    </row>
    <row r="36758" spans="5:9" ht="16.5" hidden="1">
      <c r="E36758" s="4" t="str">
        <v/>
      </c>
      <c r="F36758" s="102" t="str">
        <f ca="1">IFERROR(__xludf.DUMMYFUNCTION("IMPORTRANGE(H36758,""IDENTITAS UNIT!D9"")"),"#N/A")</f>
        <v>#N/A</v>
      </c>
      <c r="H36758" s="4" t="str">
        <v/>
      </c>
      <c r="I36758" s="4" t="str">
        <v/>
      </c>
    </row>
    <row r="36759" spans="5:9" ht="16.5" hidden="1">
      <c r="E36759" s="4" t="str">
        <v/>
      </c>
      <c r="F36759" s="102" t="str">
        <f ca="1">IFERROR(__xludf.DUMMYFUNCTION("IMPORTRANGE(H36759,""IDENTITAS UNIT!D9"")"),"#N/A")</f>
        <v>#N/A</v>
      </c>
      <c r="H36759" s="4" t="str">
        <v/>
      </c>
      <c r="I36759" s="4" t="str">
        <v/>
      </c>
    </row>
    <row r="36760" spans="5:9" ht="16.5" hidden="1">
      <c r="E36760" s="4" t="str">
        <v/>
      </c>
      <c r="F36760" s="102" t="str">
        <f ca="1">IFERROR(__xludf.DUMMYFUNCTION("IMPORTRANGE(H36760,""IDENTITAS UNIT!D9"")"),"#N/A")</f>
        <v>#N/A</v>
      </c>
      <c r="H36760" s="4" t="str">
        <v/>
      </c>
      <c r="I36760" s="4" t="str">
        <v/>
      </c>
    </row>
    <row r="36761" spans="5:9" ht="16.5" hidden="1">
      <c r="E36761" s="4" t="str">
        <v/>
      </c>
      <c r="F36761" s="102" t="str">
        <f ca="1">IFERROR(__xludf.DUMMYFUNCTION("IMPORTRANGE(H36761,""IDENTITAS UNIT!D9"")"),"#N/A")</f>
        <v>#N/A</v>
      </c>
      <c r="H36761" s="4" t="str">
        <v/>
      </c>
      <c r="I36761" s="4" t="str">
        <v/>
      </c>
    </row>
    <row r="36762" spans="5:9" ht="16.5" hidden="1">
      <c r="E36762" s="4" t="str">
        <v/>
      </c>
      <c r="F36762" s="102" t="str">
        <f ca="1">IFERROR(__xludf.DUMMYFUNCTION("IMPORTRANGE(H36762,""IDENTITAS UNIT!D9"")"),"#N/A")</f>
        <v>#N/A</v>
      </c>
      <c r="H36762" s="4" t="str">
        <v/>
      </c>
      <c r="I36762" s="4" t="str">
        <v/>
      </c>
    </row>
    <row r="36763" spans="5:9" ht="16.5" hidden="1">
      <c r="E36763" s="4" t="str">
        <v/>
      </c>
      <c r="F36763" s="102" t="str">
        <f ca="1">IFERROR(__xludf.DUMMYFUNCTION("IMPORTRANGE(H36763,""IDENTITAS UNIT!D9"")"),"#N/A")</f>
        <v>#N/A</v>
      </c>
      <c r="H36763" s="4" t="str">
        <v/>
      </c>
      <c r="I36763" s="4" t="str">
        <v/>
      </c>
    </row>
    <row r="36764" spans="5:9" ht="16.5" hidden="1">
      <c r="E36764" s="4" t="str">
        <v/>
      </c>
      <c r="F36764" s="102" t="str">
        <f ca="1">IFERROR(__xludf.DUMMYFUNCTION("IMPORTRANGE(H36764,""IDENTITAS UNIT!D9"")"),"#N/A")</f>
        <v>#N/A</v>
      </c>
      <c r="H36764" s="4" t="str">
        <v/>
      </c>
      <c r="I36764" s="4" t="str">
        <v/>
      </c>
    </row>
    <row r="36765" spans="5:9" ht="16.5" hidden="1">
      <c r="E36765" s="4" t="str">
        <v/>
      </c>
      <c r="F36765" s="102" t="str">
        <f ca="1">IFERROR(__xludf.DUMMYFUNCTION("IMPORTRANGE(H36765,""IDENTITAS UNIT!D9"")"),"#N/A")</f>
        <v>#N/A</v>
      </c>
      <c r="H36765" s="4" t="str">
        <v/>
      </c>
      <c r="I36765" s="4" t="str">
        <v/>
      </c>
    </row>
    <row r="36766" spans="5:9" ht="16.5" hidden="1">
      <c r="E36766" s="4" t="str">
        <v/>
      </c>
      <c r="F36766" s="102" t="str">
        <f ca="1">IFERROR(__xludf.DUMMYFUNCTION("IMPORTRANGE(H36766,""IDENTITAS UNIT!D9"")"),"#N/A")</f>
        <v>#N/A</v>
      </c>
      <c r="H36766" s="4" t="str">
        <v/>
      </c>
      <c r="I36766" s="4" t="str">
        <v/>
      </c>
    </row>
    <row r="36767" spans="5:9" ht="16.5" hidden="1">
      <c r="E36767" s="4" t="str">
        <v/>
      </c>
      <c r="F36767" s="102" t="str">
        <f ca="1">IFERROR(__xludf.DUMMYFUNCTION("IMPORTRANGE(H36767,""IDENTITAS UNIT!D9"")"),"#N/A")</f>
        <v>#N/A</v>
      </c>
      <c r="H36767" s="4" t="str">
        <v/>
      </c>
      <c r="I36767" s="4" t="str">
        <v/>
      </c>
    </row>
    <row r="36768" spans="5:9" ht="16.5" hidden="1">
      <c r="E36768" s="4" t="str">
        <v/>
      </c>
      <c r="F36768" s="102" t="str">
        <f ca="1">IFERROR(__xludf.DUMMYFUNCTION("IMPORTRANGE(H36768,""IDENTITAS UNIT!D9"")"),"#N/A")</f>
        <v>#N/A</v>
      </c>
      <c r="H36768" s="4" t="str">
        <v/>
      </c>
      <c r="I36768" s="4" t="str">
        <v/>
      </c>
    </row>
    <row r="36769" spans="5:9" ht="16.5" hidden="1">
      <c r="E36769" s="4" t="str">
        <v/>
      </c>
      <c r="F36769" s="102" t="str">
        <f ca="1">IFERROR(__xludf.DUMMYFUNCTION("IMPORTRANGE(H36769,""IDENTITAS UNIT!D9"")"),"#N/A")</f>
        <v>#N/A</v>
      </c>
      <c r="H36769" s="4" t="str">
        <v/>
      </c>
      <c r="I36769" s="4" t="str">
        <v/>
      </c>
    </row>
    <row r="36770" spans="5:9" ht="16.5" hidden="1">
      <c r="E36770" s="4" t="str">
        <v/>
      </c>
      <c r="F36770" s="102" t="str">
        <f ca="1">IFERROR(__xludf.DUMMYFUNCTION("IMPORTRANGE(H36770,""IDENTITAS UNIT!D9"")"),"#N/A")</f>
        <v>#N/A</v>
      </c>
      <c r="H36770" s="4" t="str">
        <v/>
      </c>
      <c r="I36770" s="4" t="str">
        <v/>
      </c>
    </row>
    <row r="36771" spans="5:9" ht="16.5" hidden="1">
      <c r="E36771" s="4" t="str">
        <v/>
      </c>
      <c r="F36771" s="102" t="str">
        <f ca="1">IFERROR(__xludf.DUMMYFUNCTION("IMPORTRANGE(H36771,""IDENTITAS UNIT!D9"")"),"#N/A")</f>
        <v>#N/A</v>
      </c>
      <c r="H36771" s="4" t="str">
        <v/>
      </c>
      <c r="I36771" s="4" t="str">
        <v/>
      </c>
    </row>
    <row r="36772" spans="5:9" ht="16.5" hidden="1">
      <c r="E36772" s="4" t="str">
        <v/>
      </c>
      <c r="F36772" s="102" t="str">
        <f ca="1">IFERROR(__xludf.DUMMYFUNCTION("IMPORTRANGE(H36772,""IDENTITAS UNIT!D9"")"),"#N/A")</f>
        <v>#N/A</v>
      </c>
      <c r="H36772" s="4" t="str">
        <v/>
      </c>
      <c r="I36772" s="4" t="str">
        <v/>
      </c>
    </row>
    <row r="36773" spans="5:9" ht="16.5" hidden="1">
      <c r="E36773" s="4" t="str">
        <v/>
      </c>
      <c r="F36773" s="102" t="str">
        <f ca="1">IFERROR(__xludf.DUMMYFUNCTION("IMPORTRANGE(H36773,""IDENTITAS UNIT!D9"")"),"#N/A")</f>
        <v>#N/A</v>
      </c>
      <c r="H36773" s="4" t="str">
        <v/>
      </c>
      <c r="I36773" s="4" t="str">
        <v/>
      </c>
    </row>
    <row r="36774" spans="5:9" ht="16.5" hidden="1">
      <c r="E36774" s="4" t="str">
        <v/>
      </c>
      <c r="F36774" s="102" t="str">
        <f ca="1">IFERROR(__xludf.DUMMYFUNCTION("IMPORTRANGE(H36774,""IDENTITAS UNIT!D9"")"),"#N/A")</f>
        <v>#N/A</v>
      </c>
      <c r="H36774" s="4" t="str">
        <v/>
      </c>
      <c r="I36774" s="4" t="str">
        <v/>
      </c>
    </row>
    <row r="36775" spans="5:9" ht="16.5" hidden="1">
      <c r="E36775" s="4" t="str">
        <v/>
      </c>
      <c r="F36775" s="102" t="str">
        <f ca="1">IFERROR(__xludf.DUMMYFUNCTION("IMPORTRANGE(H36775,""IDENTITAS UNIT!D9"")"),"#N/A")</f>
        <v>#N/A</v>
      </c>
      <c r="H36775" s="4" t="str">
        <v/>
      </c>
      <c r="I36775" s="4" t="str">
        <v/>
      </c>
    </row>
    <row r="36776" spans="5:9" ht="16.5" hidden="1">
      <c r="E36776" s="4" t="str">
        <v/>
      </c>
      <c r="F36776" s="102" t="str">
        <f ca="1">IFERROR(__xludf.DUMMYFUNCTION("IMPORTRANGE(H36776,""IDENTITAS UNIT!D9"")"),"#N/A")</f>
        <v>#N/A</v>
      </c>
      <c r="H36776" s="4" t="str">
        <v/>
      </c>
      <c r="I36776" s="4" t="str">
        <v/>
      </c>
    </row>
    <row r="36777" spans="5:9" ht="16.5" hidden="1">
      <c r="E36777" s="4" t="str">
        <v/>
      </c>
      <c r="F36777" s="102" t="str">
        <f ca="1">IFERROR(__xludf.DUMMYFUNCTION("IMPORTRANGE(H36777,""IDENTITAS UNIT!D9"")"),"#N/A")</f>
        <v>#N/A</v>
      </c>
      <c r="H36777" s="4" t="str">
        <v/>
      </c>
      <c r="I36777" s="4" t="str">
        <v/>
      </c>
    </row>
    <row r="36778" spans="5:9" ht="16.5" hidden="1">
      <c r="E36778" s="4" t="str">
        <v/>
      </c>
      <c r="F36778" s="102" t="str">
        <f ca="1">IFERROR(__xludf.DUMMYFUNCTION("IMPORTRANGE(H36778,""IDENTITAS UNIT!D9"")"),"#N/A")</f>
        <v>#N/A</v>
      </c>
      <c r="H36778" s="4" t="str">
        <v/>
      </c>
      <c r="I36778" s="4" t="str">
        <v/>
      </c>
    </row>
    <row r="36779" spans="5:9" ht="16.5" hidden="1">
      <c r="E36779" s="4" t="str">
        <v/>
      </c>
      <c r="F36779" s="102" t="str">
        <f ca="1">IFERROR(__xludf.DUMMYFUNCTION("IMPORTRANGE(H36779,""IDENTITAS UNIT!D9"")"),"#N/A")</f>
        <v>#N/A</v>
      </c>
      <c r="H36779" s="4" t="str">
        <v/>
      </c>
      <c r="I36779" s="4" t="str">
        <v/>
      </c>
    </row>
    <row r="36780" spans="5:9" ht="16.5" hidden="1">
      <c r="E36780" s="4" t="str">
        <v/>
      </c>
      <c r="F36780" s="102" t="str">
        <f ca="1">IFERROR(__xludf.DUMMYFUNCTION("IMPORTRANGE(H36780,""IDENTITAS UNIT!D9"")"),"#N/A")</f>
        <v>#N/A</v>
      </c>
      <c r="H36780" s="4" t="str">
        <v/>
      </c>
      <c r="I36780" s="4" t="str">
        <v/>
      </c>
    </row>
    <row r="36781" spans="5:9" ht="16.5" hidden="1">
      <c r="E36781" s="4" t="str">
        <v/>
      </c>
      <c r="F36781" s="102" t="str">
        <f ca="1">IFERROR(__xludf.DUMMYFUNCTION("IMPORTRANGE(H36781,""IDENTITAS UNIT!D9"")"),"#N/A")</f>
        <v>#N/A</v>
      </c>
      <c r="H36781" s="4" t="str">
        <v/>
      </c>
      <c r="I36781" s="4" t="str">
        <v/>
      </c>
    </row>
    <row r="36782" spans="5:9" ht="16.5" hidden="1">
      <c r="E36782" s="4" t="str">
        <v/>
      </c>
      <c r="F36782" s="102" t="str">
        <f ca="1">IFERROR(__xludf.DUMMYFUNCTION("IMPORTRANGE(H36782,""IDENTITAS UNIT!D9"")"),"#N/A")</f>
        <v>#N/A</v>
      </c>
      <c r="H36782" s="4" t="str">
        <v/>
      </c>
      <c r="I36782" s="4" t="str">
        <v/>
      </c>
    </row>
    <row r="36783" spans="5:9" ht="16.5" hidden="1">
      <c r="E36783" s="4" t="str">
        <v/>
      </c>
      <c r="F36783" s="102" t="str">
        <f ca="1">IFERROR(__xludf.DUMMYFUNCTION("IMPORTRANGE(H36783,""IDENTITAS UNIT!D9"")"),"#N/A")</f>
        <v>#N/A</v>
      </c>
      <c r="H36783" s="4" t="str">
        <v/>
      </c>
      <c r="I36783" s="4" t="str">
        <v/>
      </c>
    </row>
    <row r="36784" spans="5:9" ht="16.5" hidden="1">
      <c r="E36784" s="4" t="str">
        <v/>
      </c>
      <c r="F36784" s="102" t="str">
        <f ca="1">IFERROR(__xludf.DUMMYFUNCTION("IMPORTRANGE(H36784,""IDENTITAS UNIT!D9"")"),"#N/A")</f>
        <v>#N/A</v>
      </c>
      <c r="H36784" s="4" t="str">
        <v/>
      </c>
      <c r="I36784" s="4" t="str">
        <v/>
      </c>
    </row>
    <row r="36785" spans="5:9" ht="16.5" hidden="1">
      <c r="E36785" s="4" t="str">
        <v/>
      </c>
      <c r="F36785" s="102" t="str">
        <f ca="1">IFERROR(__xludf.DUMMYFUNCTION("IMPORTRANGE(H36785,""IDENTITAS UNIT!D9"")"),"#N/A")</f>
        <v>#N/A</v>
      </c>
      <c r="H36785" s="4" t="str">
        <v/>
      </c>
      <c r="I36785" s="4" t="str">
        <v/>
      </c>
    </row>
    <row r="36786" spans="5:9" ht="16.5" hidden="1">
      <c r="E36786" s="4" t="str">
        <v/>
      </c>
      <c r="F36786" s="102" t="str">
        <f ca="1">IFERROR(__xludf.DUMMYFUNCTION("IMPORTRANGE(H36786,""IDENTITAS UNIT!D9"")"),"#N/A")</f>
        <v>#N/A</v>
      </c>
      <c r="H36786" s="4" t="str">
        <v/>
      </c>
      <c r="I36786" s="4" t="str">
        <v/>
      </c>
    </row>
    <row r="36787" spans="5:9" ht="16.5" hidden="1">
      <c r="E36787" s="4" t="str">
        <v/>
      </c>
      <c r="F36787" s="102" t="str">
        <f ca="1">IFERROR(__xludf.DUMMYFUNCTION("IMPORTRANGE(H36787,""IDENTITAS UNIT!D9"")"),"#N/A")</f>
        <v>#N/A</v>
      </c>
      <c r="H36787" s="4" t="str">
        <v/>
      </c>
      <c r="I36787" s="4" t="str">
        <v/>
      </c>
    </row>
    <row r="36788" spans="5:9" ht="16.5" hidden="1">
      <c r="E36788" s="4" t="str">
        <v/>
      </c>
      <c r="F36788" s="102" t="str">
        <f ca="1">IFERROR(__xludf.DUMMYFUNCTION("IMPORTRANGE(H36788,""IDENTITAS UNIT!D9"")"),"#N/A")</f>
        <v>#N/A</v>
      </c>
      <c r="H36788" s="4" t="str">
        <v/>
      </c>
      <c r="I36788" s="4" t="str">
        <v/>
      </c>
    </row>
    <row r="36789" spans="5:9" ht="16.5" hidden="1">
      <c r="E36789" s="4" t="str">
        <v/>
      </c>
      <c r="F36789" s="102" t="str">
        <f ca="1">IFERROR(__xludf.DUMMYFUNCTION("IMPORTRANGE(H36789,""IDENTITAS UNIT!D9"")"),"#N/A")</f>
        <v>#N/A</v>
      </c>
      <c r="H36789" s="4" t="str">
        <v/>
      </c>
      <c r="I36789" s="4" t="str">
        <v/>
      </c>
    </row>
    <row r="36790" spans="5:9" ht="16.5" hidden="1">
      <c r="E36790" s="4" t="str">
        <v/>
      </c>
      <c r="F36790" s="102" t="str">
        <f ca="1">IFERROR(__xludf.DUMMYFUNCTION("IMPORTRANGE(H36790,""IDENTITAS UNIT!D9"")"),"#N/A")</f>
        <v>#N/A</v>
      </c>
      <c r="H36790" s="4" t="str">
        <v/>
      </c>
      <c r="I36790" s="4" t="str">
        <v/>
      </c>
    </row>
    <row r="36791" spans="5:9" ht="16.5" hidden="1">
      <c r="E36791" s="4" t="str">
        <v/>
      </c>
      <c r="F36791" s="102" t="str">
        <f ca="1">IFERROR(__xludf.DUMMYFUNCTION("IMPORTRANGE(H36791,""IDENTITAS UNIT!D9"")"),"#N/A")</f>
        <v>#N/A</v>
      </c>
      <c r="H36791" s="4" t="str">
        <v/>
      </c>
      <c r="I36791" s="4" t="str">
        <v/>
      </c>
    </row>
    <row r="36792" spans="5:9" ht="16.5" hidden="1">
      <c r="E36792" s="4" t="str">
        <v/>
      </c>
      <c r="F36792" s="102" t="str">
        <f ca="1">IFERROR(__xludf.DUMMYFUNCTION("IMPORTRANGE(H36792,""IDENTITAS UNIT!D9"")"),"#N/A")</f>
        <v>#N/A</v>
      </c>
      <c r="H36792" s="4" t="str">
        <v/>
      </c>
      <c r="I36792" s="4" t="str">
        <v/>
      </c>
    </row>
    <row r="36793" spans="5:9" ht="16.5" hidden="1">
      <c r="E36793" s="4" t="str">
        <v/>
      </c>
      <c r="F36793" s="102" t="str">
        <f ca="1">IFERROR(__xludf.DUMMYFUNCTION("IMPORTRANGE(H36793,""IDENTITAS UNIT!D9"")"),"#N/A")</f>
        <v>#N/A</v>
      </c>
      <c r="H36793" s="4" t="str">
        <v/>
      </c>
      <c r="I36793" s="4" t="str">
        <v/>
      </c>
    </row>
    <row r="36794" spans="5:9" ht="16.5" hidden="1">
      <c r="E36794" s="4" t="str">
        <v/>
      </c>
      <c r="F36794" s="102" t="str">
        <f ca="1">IFERROR(__xludf.DUMMYFUNCTION("IMPORTRANGE(H36794,""IDENTITAS UNIT!D9"")"),"#N/A")</f>
        <v>#N/A</v>
      </c>
      <c r="H36794" s="4" t="str">
        <v/>
      </c>
      <c r="I36794" s="4" t="str">
        <v/>
      </c>
    </row>
    <row r="36795" spans="5:9" ht="16.5" hidden="1">
      <c r="E36795" s="4" t="str">
        <v/>
      </c>
      <c r="F36795" s="102" t="str">
        <f ca="1">IFERROR(__xludf.DUMMYFUNCTION("IMPORTRANGE(H36795,""IDENTITAS UNIT!D9"")"),"#N/A")</f>
        <v>#N/A</v>
      </c>
      <c r="H36795" s="4" t="str">
        <v/>
      </c>
      <c r="I36795" s="4" t="str">
        <v/>
      </c>
    </row>
    <row r="36796" spans="5:9" ht="16.5" hidden="1">
      <c r="E36796" s="4" t="str">
        <v/>
      </c>
      <c r="F36796" s="102" t="str">
        <f ca="1">IFERROR(__xludf.DUMMYFUNCTION("IMPORTRANGE(H36796,""IDENTITAS UNIT!D9"")"),"#N/A")</f>
        <v>#N/A</v>
      </c>
      <c r="H36796" s="4" t="str">
        <v/>
      </c>
      <c r="I36796" s="4" t="str">
        <v/>
      </c>
    </row>
    <row r="36797" spans="5:9" ht="16.5" hidden="1">
      <c r="E36797" s="4" t="str">
        <v/>
      </c>
      <c r="F36797" s="102" t="str">
        <f ca="1">IFERROR(__xludf.DUMMYFUNCTION("IMPORTRANGE(H36797,""IDENTITAS UNIT!D9"")"),"#N/A")</f>
        <v>#N/A</v>
      </c>
      <c r="H36797" s="4" t="str">
        <v/>
      </c>
      <c r="I36797" s="4" t="str">
        <v/>
      </c>
    </row>
    <row r="36798" spans="5:9" ht="16.5" hidden="1">
      <c r="E36798" s="4" t="str">
        <v/>
      </c>
      <c r="F36798" s="102" t="str">
        <f ca="1">IFERROR(__xludf.DUMMYFUNCTION("IMPORTRANGE(H36798,""IDENTITAS UNIT!D9"")"),"#N/A")</f>
        <v>#N/A</v>
      </c>
      <c r="H36798" s="4" t="str">
        <v/>
      </c>
      <c r="I36798" s="4" t="str">
        <v/>
      </c>
    </row>
    <row r="36799" spans="5:9" ht="16.5" hidden="1">
      <c r="E36799" s="4" t="str">
        <v/>
      </c>
      <c r="F36799" s="102" t="str">
        <f ca="1">IFERROR(__xludf.DUMMYFUNCTION("IMPORTRANGE(H36799,""IDENTITAS UNIT!D9"")"),"#N/A")</f>
        <v>#N/A</v>
      </c>
      <c r="H36799" s="4" t="str">
        <v/>
      </c>
      <c r="I36799" s="4" t="str">
        <v/>
      </c>
    </row>
    <row r="36800" spans="5:9" ht="16.5" hidden="1">
      <c r="E36800" s="4" t="str">
        <v/>
      </c>
      <c r="F36800" s="102" t="str">
        <f ca="1">IFERROR(__xludf.DUMMYFUNCTION("IMPORTRANGE(H36800,""IDENTITAS UNIT!D9"")"),"#N/A")</f>
        <v>#N/A</v>
      </c>
      <c r="H36800" s="4" t="str">
        <v/>
      </c>
      <c r="I36800" s="4" t="str">
        <v/>
      </c>
    </row>
    <row r="36801" spans="5:9" ht="16.5" hidden="1">
      <c r="E36801" s="4" t="str">
        <v/>
      </c>
      <c r="F36801" s="102" t="str">
        <f ca="1">IFERROR(__xludf.DUMMYFUNCTION("IMPORTRANGE(H36801,""IDENTITAS UNIT!D9"")"),"#N/A")</f>
        <v>#N/A</v>
      </c>
      <c r="H36801" s="4" t="str">
        <v/>
      </c>
      <c r="I36801" s="4" t="str">
        <v/>
      </c>
    </row>
    <row r="36802" spans="5:9" ht="16.5" hidden="1">
      <c r="E36802" s="4" t="str">
        <v/>
      </c>
      <c r="F36802" s="102" t="str">
        <f ca="1">IFERROR(__xludf.DUMMYFUNCTION("IMPORTRANGE(H36802,""IDENTITAS UNIT!D9"")"),"#N/A")</f>
        <v>#N/A</v>
      </c>
      <c r="H36802" s="4" t="str">
        <v/>
      </c>
      <c r="I36802" s="4" t="str">
        <v/>
      </c>
    </row>
    <row r="36803" spans="5:9" ht="16.5" hidden="1">
      <c r="E36803" s="4" t="str">
        <v/>
      </c>
      <c r="F36803" s="102" t="str">
        <f ca="1">IFERROR(__xludf.DUMMYFUNCTION("IMPORTRANGE(H36803,""IDENTITAS UNIT!D9"")"),"#N/A")</f>
        <v>#N/A</v>
      </c>
      <c r="H36803" s="4" t="str">
        <v/>
      </c>
      <c r="I36803" s="4" t="str">
        <v/>
      </c>
    </row>
    <row r="36804" spans="5:9" ht="16.5" hidden="1">
      <c r="E36804" s="4" t="str">
        <v/>
      </c>
      <c r="F36804" s="102" t="str">
        <f ca="1">IFERROR(__xludf.DUMMYFUNCTION("IMPORTRANGE(H36804,""IDENTITAS UNIT!D9"")"),"#N/A")</f>
        <v>#N/A</v>
      </c>
      <c r="H36804" s="4" t="str">
        <v/>
      </c>
      <c r="I36804" s="4" t="str">
        <v/>
      </c>
    </row>
    <row r="36805" spans="5:9" ht="16.5" hidden="1">
      <c r="E36805" s="4" t="str">
        <v/>
      </c>
      <c r="F36805" s="102" t="str">
        <f ca="1">IFERROR(__xludf.DUMMYFUNCTION("IMPORTRANGE(H36805,""IDENTITAS UNIT!D9"")"),"#N/A")</f>
        <v>#N/A</v>
      </c>
      <c r="H36805" s="4" t="str">
        <v/>
      </c>
      <c r="I36805" s="4" t="str">
        <v/>
      </c>
    </row>
    <row r="36806" spans="5:9" ht="16.5" hidden="1">
      <c r="E36806" s="4" t="str">
        <v/>
      </c>
      <c r="F36806" s="102" t="str">
        <f ca="1">IFERROR(__xludf.DUMMYFUNCTION("IMPORTRANGE(H36806,""IDENTITAS UNIT!D9"")"),"#N/A")</f>
        <v>#N/A</v>
      </c>
      <c r="H36806" s="4" t="str">
        <v/>
      </c>
      <c r="I36806" s="4" t="str">
        <v/>
      </c>
    </row>
    <row r="36807" spans="5:9" ht="16.5" hidden="1">
      <c r="E36807" s="4" t="str">
        <v/>
      </c>
      <c r="F36807" s="102" t="str">
        <f ca="1">IFERROR(__xludf.DUMMYFUNCTION("IMPORTRANGE(H36807,""IDENTITAS UNIT!D9"")"),"#N/A")</f>
        <v>#N/A</v>
      </c>
      <c r="H36807" s="4" t="str">
        <v/>
      </c>
      <c r="I36807" s="4" t="str">
        <v/>
      </c>
    </row>
    <row r="36808" spans="5:9" ht="16.5" hidden="1">
      <c r="E36808" s="4" t="str">
        <v/>
      </c>
      <c r="F36808" s="102" t="str">
        <f ca="1">IFERROR(__xludf.DUMMYFUNCTION("IMPORTRANGE(H36808,""IDENTITAS UNIT!D9"")"),"#N/A")</f>
        <v>#N/A</v>
      </c>
      <c r="H36808" s="4" t="str">
        <v/>
      </c>
      <c r="I36808" s="4" t="str">
        <v/>
      </c>
    </row>
    <row r="36809" spans="5:9" ht="16.5" hidden="1">
      <c r="E36809" s="4" t="str">
        <v/>
      </c>
      <c r="F36809" s="102" t="str">
        <f ca="1">IFERROR(__xludf.DUMMYFUNCTION("IMPORTRANGE(H36809,""IDENTITAS UNIT!D9"")"),"#N/A")</f>
        <v>#N/A</v>
      </c>
      <c r="H36809" s="4" t="str">
        <v/>
      </c>
      <c r="I36809" s="4" t="str">
        <v/>
      </c>
    </row>
    <row r="36810" spans="5:9" ht="16.5" hidden="1">
      <c r="E36810" s="4" t="str">
        <v/>
      </c>
      <c r="F36810" s="102" t="str">
        <f ca="1">IFERROR(__xludf.DUMMYFUNCTION("IMPORTRANGE(H36810,""IDENTITAS UNIT!D9"")"),"#N/A")</f>
        <v>#N/A</v>
      </c>
      <c r="H36810" s="4" t="str">
        <v/>
      </c>
      <c r="I36810" s="4" t="str">
        <v/>
      </c>
    </row>
    <row r="36811" spans="5:9" ht="16.5" hidden="1">
      <c r="E36811" s="4" t="str">
        <v/>
      </c>
      <c r="F36811" s="102" t="str">
        <f ca="1">IFERROR(__xludf.DUMMYFUNCTION("IMPORTRANGE(H36811,""IDENTITAS UNIT!D9"")"),"#N/A")</f>
        <v>#N/A</v>
      </c>
      <c r="H36811" s="4" t="str">
        <v/>
      </c>
      <c r="I36811" s="4" t="str">
        <v/>
      </c>
    </row>
    <row r="36812" spans="5:9" ht="16.5" hidden="1">
      <c r="E36812" s="4" t="str">
        <v/>
      </c>
      <c r="F36812" s="102" t="str">
        <f ca="1">IFERROR(__xludf.DUMMYFUNCTION("IMPORTRANGE(H36812,""IDENTITAS UNIT!D9"")"),"#N/A")</f>
        <v>#N/A</v>
      </c>
      <c r="H36812" s="4" t="str">
        <v/>
      </c>
      <c r="I36812" s="4" t="str">
        <v/>
      </c>
    </row>
    <row r="36813" spans="5:9" ht="16.5" hidden="1">
      <c r="E36813" s="4" t="str">
        <v/>
      </c>
      <c r="F36813" s="102" t="str">
        <f ca="1">IFERROR(__xludf.DUMMYFUNCTION("IMPORTRANGE(H36813,""IDENTITAS UNIT!D9"")"),"#N/A")</f>
        <v>#N/A</v>
      </c>
      <c r="H36813" s="4" t="str">
        <v/>
      </c>
      <c r="I36813" s="4" t="str">
        <v/>
      </c>
    </row>
    <row r="36814" spans="5:9" ht="16.5" hidden="1">
      <c r="E36814" s="4" t="str">
        <v/>
      </c>
      <c r="F36814" s="102" t="str">
        <f ca="1">IFERROR(__xludf.DUMMYFUNCTION("IMPORTRANGE(H36814,""IDENTITAS UNIT!D9"")"),"#N/A")</f>
        <v>#N/A</v>
      </c>
      <c r="H36814" s="4" t="str">
        <v/>
      </c>
      <c r="I36814" s="4" t="str">
        <v/>
      </c>
    </row>
    <row r="36815" spans="5:9" ht="16.5" hidden="1">
      <c r="E36815" s="4" t="str">
        <v/>
      </c>
      <c r="F36815" s="102" t="str">
        <f ca="1">IFERROR(__xludf.DUMMYFUNCTION("IMPORTRANGE(H36815,""IDENTITAS UNIT!D9"")"),"#N/A")</f>
        <v>#N/A</v>
      </c>
      <c r="H36815" s="4" t="str">
        <v/>
      </c>
      <c r="I36815" s="4" t="str">
        <v/>
      </c>
    </row>
    <row r="36816" spans="5:9" ht="16.5" hidden="1">
      <c r="E36816" s="4" t="str">
        <v/>
      </c>
      <c r="F36816" s="102" t="str">
        <f ca="1">IFERROR(__xludf.DUMMYFUNCTION("IMPORTRANGE(H36816,""IDENTITAS UNIT!D9"")"),"#N/A")</f>
        <v>#N/A</v>
      </c>
      <c r="H36816" s="4" t="str">
        <v/>
      </c>
      <c r="I36816" s="4" t="str">
        <v/>
      </c>
    </row>
    <row r="36817" spans="5:9" ht="16.5" hidden="1">
      <c r="E36817" s="4" t="str">
        <v/>
      </c>
      <c r="F36817" s="102" t="str">
        <f ca="1">IFERROR(__xludf.DUMMYFUNCTION("IMPORTRANGE(H36817,""IDENTITAS UNIT!D9"")"),"#N/A")</f>
        <v>#N/A</v>
      </c>
      <c r="H36817" s="4" t="str">
        <v/>
      </c>
      <c r="I36817" s="4" t="str">
        <v/>
      </c>
    </row>
    <row r="36818" spans="5:9" ht="16.5" hidden="1">
      <c r="E36818" s="4" t="str">
        <v/>
      </c>
      <c r="F36818" s="102" t="str">
        <f ca="1">IFERROR(__xludf.DUMMYFUNCTION("IMPORTRANGE(H36818,""IDENTITAS UNIT!D9"")"),"#N/A")</f>
        <v>#N/A</v>
      </c>
      <c r="H36818" s="4" t="str">
        <v/>
      </c>
      <c r="I36818" s="4" t="str">
        <v/>
      </c>
    </row>
    <row r="36819" spans="5:9" ht="16.5" hidden="1">
      <c r="E36819" s="4" t="str">
        <v/>
      </c>
      <c r="F36819" s="102" t="str">
        <f ca="1">IFERROR(__xludf.DUMMYFUNCTION("IMPORTRANGE(H36819,""IDENTITAS UNIT!D9"")"),"#N/A")</f>
        <v>#N/A</v>
      </c>
      <c r="H36819" s="4" t="str">
        <v/>
      </c>
      <c r="I36819" s="4" t="str">
        <v/>
      </c>
    </row>
    <row r="36820" spans="5:9" ht="16.5" hidden="1">
      <c r="E36820" s="4" t="str">
        <v/>
      </c>
      <c r="F36820" s="102" t="str">
        <f ca="1">IFERROR(__xludf.DUMMYFUNCTION("IMPORTRANGE(H36820,""IDENTITAS UNIT!D9"")"),"#N/A")</f>
        <v>#N/A</v>
      </c>
      <c r="H36820" s="4" t="str">
        <v/>
      </c>
      <c r="I36820" s="4" t="str">
        <v/>
      </c>
    </row>
    <row r="36821" spans="5:9" ht="16.5" hidden="1">
      <c r="E36821" s="4" t="str">
        <v/>
      </c>
      <c r="F36821" s="102" t="str">
        <f ca="1">IFERROR(__xludf.DUMMYFUNCTION("IMPORTRANGE(H36821,""IDENTITAS UNIT!D9"")"),"#N/A")</f>
        <v>#N/A</v>
      </c>
      <c r="H36821" s="4" t="str">
        <v/>
      </c>
      <c r="I36821" s="4" t="str">
        <v/>
      </c>
    </row>
    <row r="36822" spans="5:9" ht="16.5" hidden="1">
      <c r="E36822" s="4" t="str">
        <v/>
      </c>
      <c r="F36822" s="102" t="str">
        <f ca="1">IFERROR(__xludf.DUMMYFUNCTION("IMPORTRANGE(H36822,""IDENTITAS UNIT!D9"")"),"#N/A")</f>
        <v>#N/A</v>
      </c>
      <c r="H36822" s="4" t="str">
        <v/>
      </c>
      <c r="I36822" s="4" t="str">
        <v/>
      </c>
    </row>
    <row r="36823" spans="5:9" ht="16.5" hidden="1">
      <c r="E36823" s="4" t="str">
        <v/>
      </c>
      <c r="F36823" s="102" t="str">
        <f ca="1">IFERROR(__xludf.DUMMYFUNCTION("IMPORTRANGE(H36823,""IDENTITAS UNIT!D9"")"),"#N/A")</f>
        <v>#N/A</v>
      </c>
      <c r="H36823" s="4" t="str">
        <v/>
      </c>
      <c r="I36823" s="4" t="str">
        <v/>
      </c>
    </row>
    <row r="36824" spans="5:9" ht="16.5" hidden="1">
      <c r="E36824" s="4" t="str">
        <v/>
      </c>
      <c r="F36824" s="102" t="str">
        <f ca="1">IFERROR(__xludf.DUMMYFUNCTION("IMPORTRANGE(H36824,""IDENTITAS UNIT!D9"")"),"#N/A")</f>
        <v>#N/A</v>
      </c>
      <c r="H36824" s="4" t="str">
        <v/>
      </c>
      <c r="I36824" s="4" t="str">
        <v/>
      </c>
    </row>
    <row r="36825" spans="5:9" ht="16.5" hidden="1">
      <c r="E36825" s="4" t="str">
        <v/>
      </c>
      <c r="F36825" s="102" t="str">
        <f ca="1">IFERROR(__xludf.DUMMYFUNCTION("IMPORTRANGE(H36825,""IDENTITAS UNIT!D9"")"),"#N/A")</f>
        <v>#N/A</v>
      </c>
      <c r="H36825" s="4" t="str">
        <v/>
      </c>
      <c r="I36825" s="4" t="str">
        <v/>
      </c>
    </row>
    <row r="36826" spans="5:9" ht="16.5" hidden="1">
      <c r="E36826" s="4" t="str">
        <v/>
      </c>
      <c r="F36826" s="102" t="str">
        <f ca="1">IFERROR(__xludf.DUMMYFUNCTION("IMPORTRANGE(H36826,""IDENTITAS UNIT!D9"")"),"#N/A")</f>
        <v>#N/A</v>
      </c>
      <c r="H36826" s="4" t="str">
        <v/>
      </c>
      <c r="I36826" s="4" t="str">
        <v/>
      </c>
    </row>
    <row r="36827" spans="5:9" ht="16.5" hidden="1">
      <c r="E36827" s="4" t="str">
        <v/>
      </c>
      <c r="F36827" s="102" t="str">
        <f ca="1">IFERROR(__xludf.DUMMYFUNCTION("IMPORTRANGE(H36827,""IDENTITAS UNIT!D9"")"),"#N/A")</f>
        <v>#N/A</v>
      </c>
      <c r="H36827" s="4" t="str">
        <v/>
      </c>
      <c r="I36827" s="4" t="str">
        <v/>
      </c>
    </row>
    <row r="36828" spans="5:9" ht="16.5" hidden="1">
      <c r="E36828" s="4" t="str">
        <v/>
      </c>
      <c r="F36828" s="102" t="str">
        <f ca="1">IFERROR(__xludf.DUMMYFUNCTION("IMPORTRANGE(H36828,""IDENTITAS UNIT!D9"")"),"#N/A")</f>
        <v>#N/A</v>
      </c>
      <c r="H36828" s="4" t="str">
        <v/>
      </c>
      <c r="I36828" s="4" t="str">
        <v/>
      </c>
    </row>
    <row r="36829" spans="5:9" ht="16.5" hidden="1">
      <c r="E36829" s="4" t="str">
        <v/>
      </c>
      <c r="F36829" s="102" t="str">
        <f ca="1">IFERROR(__xludf.DUMMYFUNCTION("IMPORTRANGE(H36829,""IDENTITAS UNIT!D9"")"),"#N/A")</f>
        <v>#N/A</v>
      </c>
      <c r="H36829" s="4" t="str">
        <v/>
      </c>
      <c r="I36829" s="4" t="str">
        <v/>
      </c>
    </row>
    <row r="36830" spans="5:9" ht="16.5" hidden="1">
      <c r="E36830" s="4" t="str">
        <v/>
      </c>
      <c r="F36830" s="102" t="str">
        <f ca="1">IFERROR(__xludf.DUMMYFUNCTION("IMPORTRANGE(H36830,""IDENTITAS UNIT!D9"")"),"#N/A")</f>
        <v>#N/A</v>
      </c>
      <c r="H36830" s="4" t="str">
        <v/>
      </c>
      <c r="I36830" s="4" t="str">
        <v/>
      </c>
    </row>
    <row r="36831" spans="5:9" ht="16.5" hidden="1">
      <c r="E36831" s="4" t="str">
        <v/>
      </c>
      <c r="F36831" s="102" t="str">
        <f ca="1">IFERROR(__xludf.DUMMYFUNCTION("IMPORTRANGE(H36831,""IDENTITAS UNIT!D9"")"),"#N/A")</f>
        <v>#N/A</v>
      </c>
      <c r="H36831" s="4" t="str">
        <v/>
      </c>
      <c r="I36831" s="4" t="str">
        <v/>
      </c>
    </row>
    <row r="36832" spans="5:9" ht="16.5" hidden="1">
      <c r="E36832" s="4" t="str">
        <v/>
      </c>
      <c r="F36832" s="102" t="str">
        <f ca="1">IFERROR(__xludf.DUMMYFUNCTION("IMPORTRANGE(H36832,""IDENTITAS UNIT!D9"")"),"#N/A")</f>
        <v>#N/A</v>
      </c>
      <c r="H36832" s="4" t="str">
        <v/>
      </c>
      <c r="I36832" s="4" t="str">
        <v/>
      </c>
    </row>
    <row r="36833" spans="5:9" ht="16.5" hidden="1">
      <c r="E36833" s="4" t="str">
        <v/>
      </c>
      <c r="F36833" s="102" t="str">
        <f ca="1">IFERROR(__xludf.DUMMYFUNCTION("IMPORTRANGE(H36833,""IDENTITAS UNIT!D9"")"),"#N/A")</f>
        <v>#N/A</v>
      </c>
      <c r="H36833" s="4" t="str">
        <v/>
      </c>
      <c r="I36833" s="4" t="str">
        <v/>
      </c>
    </row>
    <row r="36834" spans="5:9" ht="16.5" hidden="1">
      <c r="E36834" s="4" t="str">
        <v/>
      </c>
      <c r="F36834" s="102" t="str">
        <f ca="1">IFERROR(__xludf.DUMMYFUNCTION("IMPORTRANGE(H36834,""IDENTITAS UNIT!D9"")"),"#N/A")</f>
        <v>#N/A</v>
      </c>
      <c r="H36834" s="4" t="str">
        <v/>
      </c>
      <c r="I36834" s="4" t="str">
        <v/>
      </c>
    </row>
    <row r="36835" spans="5:9" ht="16.5" hidden="1">
      <c r="E36835" s="4" t="str">
        <v/>
      </c>
      <c r="F36835" s="102" t="str">
        <f ca="1">IFERROR(__xludf.DUMMYFUNCTION("IMPORTRANGE(H36835,""IDENTITAS UNIT!D9"")"),"#N/A")</f>
        <v>#N/A</v>
      </c>
      <c r="H36835" s="4" t="str">
        <v/>
      </c>
      <c r="I36835" s="4" t="str">
        <v/>
      </c>
    </row>
    <row r="36836" spans="5:9" ht="16.5" hidden="1">
      <c r="E36836" s="4" t="str">
        <v/>
      </c>
      <c r="F36836" s="102" t="str">
        <f ca="1">IFERROR(__xludf.DUMMYFUNCTION("IMPORTRANGE(H36836,""IDENTITAS UNIT!D9"")"),"#N/A")</f>
        <v>#N/A</v>
      </c>
      <c r="H36836" s="4" t="str">
        <v/>
      </c>
      <c r="I36836" s="4" t="str">
        <v/>
      </c>
    </row>
    <row r="36837" spans="5:9" ht="16.5" hidden="1">
      <c r="E36837" s="4" t="str">
        <v/>
      </c>
      <c r="F36837" s="102" t="str">
        <f ca="1">IFERROR(__xludf.DUMMYFUNCTION("IMPORTRANGE(H36837,""IDENTITAS UNIT!D9"")"),"#N/A")</f>
        <v>#N/A</v>
      </c>
      <c r="H36837" s="4" t="str">
        <v/>
      </c>
      <c r="I36837" s="4" t="str">
        <v/>
      </c>
    </row>
    <row r="36838" spans="5:9" ht="16.5" hidden="1">
      <c r="E36838" s="4" t="str">
        <v/>
      </c>
      <c r="F36838" s="102" t="str">
        <f ca="1">IFERROR(__xludf.DUMMYFUNCTION("IMPORTRANGE(H36838,""IDENTITAS UNIT!D9"")"),"#N/A")</f>
        <v>#N/A</v>
      </c>
      <c r="H36838" s="4" t="str">
        <v/>
      </c>
      <c r="I36838" s="4" t="str">
        <v/>
      </c>
    </row>
    <row r="36839" spans="5:9" ht="16.5" hidden="1">
      <c r="E36839" s="4" t="str">
        <v/>
      </c>
      <c r="F36839" s="102" t="str">
        <f ca="1">IFERROR(__xludf.DUMMYFUNCTION("IMPORTRANGE(H36839,""IDENTITAS UNIT!D9"")"),"#N/A")</f>
        <v>#N/A</v>
      </c>
      <c r="H36839" s="4" t="str">
        <v/>
      </c>
      <c r="I36839" s="4" t="str">
        <v/>
      </c>
    </row>
    <row r="36840" spans="5:9" ht="16.5" hidden="1">
      <c r="E36840" s="4" t="str">
        <v/>
      </c>
      <c r="F36840" s="102" t="str">
        <f ca="1">IFERROR(__xludf.DUMMYFUNCTION("IMPORTRANGE(H36840,""IDENTITAS UNIT!D9"")"),"#N/A")</f>
        <v>#N/A</v>
      </c>
      <c r="H36840" s="4" t="str">
        <v/>
      </c>
      <c r="I36840" s="4" t="str">
        <v/>
      </c>
    </row>
    <row r="36841" spans="5:9" ht="16.5" hidden="1">
      <c r="E36841" s="4" t="str">
        <v/>
      </c>
      <c r="F36841" s="102" t="str">
        <f ca="1">IFERROR(__xludf.DUMMYFUNCTION("IMPORTRANGE(H36841,""IDENTITAS UNIT!D9"")"),"#N/A")</f>
        <v>#N/A</v>
      </c>
      <c r="H36841" s="4" t="str">
        <v/>
      </c>
      <c r="I36841" s="4" t="str">
        <v/>
      </c>
    </row>
    <row r="36842" spans="5:9" ht="16.5" hidden="1">
      <c r="E36842" s="4" t="str">
        <v/>
      </c>
      <c r="F36842" s="102" t="str">
        <f ca="1">IFERROR(__xludf.DUMMYFUNCTION("IMPORTRANGE(H36842,""IDENTITAS UNIT!D9"")"),"#N/A")</f>
        <v>#N/A</v>
      </c>
      <c r="H36842" s="4" t="str">
        <v/>
      </c>
      <c r="I36842" s="4" t="str">
        <v/>
      </c>
    </row>
    <row r="36843" spans="5:9" ht="16.5" hidden="1">
      <c r="E36843" s="4" t="str">
        <v/>
      </c>
      <c r="F36843" s="102" t="str">
        <f ca="1">IFERROR(__xludf.DUMMYFUNCTION("IMPORTRANGE(H36843,""IDENTITAS UNIT!D9"")"),"#N/A")</f>
        <v>#N/A</v>
      </c>
      <c r="H36843" s="4" t="str">
        <v/>
      </c>
      <c r="I36843" s="4" t="str">
        <v/>
      </c>
    </row>
    <row r="36844" spans="5:9" ht="16.5" hidden="1">
      <c r="E36844" s="4" t="str">
        <v/>
      </c>
      <c r="F36844" s="102" t="str">
        <f ca="1">IFERROR(__xludf.DUMMYFUNCTION("IMPORTRANGE(H36844,""IDENTITAS UNIT!D9"")"),"#N/A")</f>
        <v>#N/A</v>
      </c>
      <c r="H36844" s="4" t="str">
        <v/>
      </c>
      <c r="I36844" s="4" t="str">
        <v/>
      </c>
    </row>
    <row r="36845" spans="5:9" ht="16.5" hidden="1">
      <c r="E36845" s="4" t="str">
        <v/>
      </c>
      <c r="F36845" s="102" t="str">
        <f ca="1">IFERROR(__xludf.DUMMYFUNCTION("IMPORTRANGE(H36845,""IDENTITAS UNIT!D9"")"),"#N/A")</f>
        <v>#N/A</v>
      </c>
      <c r="H36845" s="4" t="str">
        <v/>
      </c>
      <c r="I36845" s="4" t="str">
        <v/>
      </c>
    </row>
    <row r="36846" spans="5:9" ht="16.5" hidden="1">
      <c r="E36846" s="4" t="str">
        <v/>
      </c>
      <c r="F36846" s="102" t="str">
        <f ca="1">IFERROR(__xludf.DUMMYFUNCTION("IMPORTRANGE(H36846,""IDENTITAS UNIT!D9"")"),"#N/A")</f>
        <v>#N/A</v>
      </c>
      <c r="H36846" s="4" t="str">
        <v/>
      </c>
      <c r="I36846" s="4" t="str">
        <v/>
      </c>
    </row>
    <row r="36847" spans="5:9" ht="16.5" hidden="1">
      <c r="E36847" s="4" t="str">
        <v/>
      </c>
      <c r="F36847" s="102" t="str">
        <f ca="1">IFERROR(__xludf.DUMMYFUNCTION("IMPORTRANGE(H36847,""IDENTITAS UNIT!D9"")"),"#N/A")</f>
        <v>#N/A</v>
      </c>
      <c r="H36847" s="4" t="str">
        <v/>
      </c>
      <c r="I36847" s="4" t="str">
        <v/>
      </c>
    </row>
    <row r="36848" spans="5:9" ht="16.5" hidden="1">
      <c r="E36848" s="4" t="str">
        <v/>
      </c>
      <c r="F36848" s="102" t="str">
        <f ca="1">IFERROR(__xludf.DUMMYFUNCTION("IMPORTRANGE(H36848,""IDENTITAS UNIT!D9"")"),"#N/A")</f>
        <v>#N/A</v>
      </c>
      <c r="H36848" s="4" t="str">
        <v/>
      </c>
      <c r="I36848" s="4" t="str">
        <v/>
      </c>
    </row>
    <row r="36849" spans="5:9" ht="16.5" hidden="1">
      <c r="E36849" s="4" t="str">
        <v/>
      </c>
      <c r="F36849" s="102" t="str">
        <f ca="1">IFERROR(__xludf.DUMMYFUNCTION("IMPORTRANGE(H36849,""IDENTITAS UNIT!D9"")"),"#N/A")</f>
        <v>#N/A</v>
      </c>
      <c r="H36849" s="4" t="str">
        <v/>
      </c>
      <c r="I36849" s="4" t="str">
        <v/>
      </c>
    </row>
    <row r="36850" spans="5:9" ht="16.5" hidden="1">
      <c r="E36850" s="4" t="str">
        <v/>
      </c>
      <c r="F36850" s="102" t="str">
        <f ca="1">IFERROR(__xludf.DUMMYFUNCTION("IMPORTRANGE(H36850,""IDENTITAS UNIT!D9"")"),"#N/A")</f>
        <v>#N/A</v>
      </c>
      <c r="H36850" s="4" t="str">
        <v/>
      </c>
      <c r="I36850" s="4" t="str">
        <v/>
      </c>
    </row>
    <row r="36851" spans="5:9" ht="16.5" hidden="1">
      <c r="E36851" s="4" t="str">
        <v/>
      </c>
      <c r="F36851" s="102" t="str">
        <f ca="1">IFERROR(__xludf.DUMMYFUNCTION("IMPORTRANGE(H36851,""IDENTITAS UNIT!D9"")"),"#N/A")</f>
        <v>#N/A</v>
      </c>
      <c r="H36851" s="4" t="str">
        <v/>
      </c>
      <c r="I36851" s="4" t="str">
        <v/>
      </c>
    </row>
    <row r="36852" spans="5:9" ht="16.5" hidden="1">
      <c r="E36852" s="4" t="str">
        <v/>
      </c>
      <c r="F36852" s="102" t="str">
        <f ca="1">IFERROR(__xludf.DUMMYFUNCTION("IMPORTRANGE(H36852,""IDENTITAS UNIT!D9"")"),"#N/A")</f>
        <v>#N/A</v>
      </c>
      <c r="H36852" s="4" t="str">
        <v/>
      </c>
      <c r="I36852" s="4" t="str">
        <v/>
      </c>
    </row>
    <row r="36853" spans="5:9" ht="16.5" hidden="1">
      <c r="E36853" s="4" t="str">
        <v/>
      </c>
      <c r="F36853" s="102" t="str">
        <f ca="1">IFERROR(__xludf.DUMMYFUNCTION("IMPORTRANGE(H36853,""IDENTITAS UNIT!D9"")"),"#N/A")</f>
        <v>#N/A</v>
      </c>
      <c r="H36853" s="4" t="str">
        <v/>
      </c>
      <c r="I36853" s="4" t="str">
        <v/>
      </c>
    </row>
    <row r="36854" spans="5:9" ht="16.5" hidden="1">
      <c r="E36854" s="4" t="str">
        <v/>
      </c>
      <c r="F36854" s="102" t="str">
        <f ca="1">IFERROR(__xludf.DUMMYFUNCTION("IMPORTRANGE(H36854,""IDENTITAS UNIT!D9"")"),"#N/A")</f>
        <v>#N/A</v>
      </c>
      <c r="H36854" s="4" t="str">
        <v/>
      </c>
      <c r="I36854" s="4" t="str">
        <v/>
      </c>
    </row>
    <row r="36855" spans="5:9" ht="16.5" hidden="1">
      <c r="E36855" s="4" t="str">
        <v/>
      </c>
      <c r="F36855" s="102" t="str">
        <f ca="1">IFERROR(__xludf.DUMMYFUNCTION("IMPORTRANGE(H36855,""IDENTITAS UNIT!D9"")"),"#N/A")</f>
        <v>#N/A</v>
      </c>
      <c r="H36855" s="4" t="str">
        <v/>
      </c>
      <c r="I36855" s="4" t="str">
        <v/>
      </c>
    </row>
    <row r="36856" spans="5:9" ht="16.5" hidden="1">
      <c r="E36856" s="4" t="str">
        <v/>
      </c>
      <c r="F36856" s="102" t="str">
        <f ca="1">IFERROR(__xludf.DUMMYFUNCTION("IMPORTRANGE(H36856,""IDENTITAS UNIT!D9"")"),"#N/A")</f>
        <v>#N/A</v>
      </c>
      <c r="H36856" s="4" t="str">
        <v/>
      </c>
      <c r="I36856" s="4" t="str">
        <v/>
      </c>
    </row>
    <row r="36857" spans="5:9" ht="16.5" hidden="1">
      <c r="E36857" s="4" t="str">
        <v/>
      </c>
      <c r="F36857" s="102" t="str">
        <f ca="1">IFERROR(__xludf.DUMMYFUNCTION("IMPORTRANGE(H36857,""IDENTITAS UNIT!D9"")"),"#N/A")</f>
        <v>#N/A</v>
      </c>
      <c r="H36857" s="4" t="str">
        <v/>
      </c>
      <c r="I36857" s="4" t="str">
        <v/>
      </c>
    </row>
    <row r="36858" spans="5:9" ht="16.5" hidden="1">
      <c r="E36858" s="4" t="str">
        <v/>
      </c>
      <c r="F36858" s="102" t="str">
        <f ca="1">IFERROR(__xludf.DUMMYFUNCTION("IMPORTRANGE(H36858,""IDENTITAS UNIT!D9"")"),"#N/A")</f>
        <v>#N/A</v>
      </c>
      <c r="H36858" s="4" t="str">
        <v/>
      </c>
      <c r="I36858" s="4" t="str">
        <v/>
      </c>
    </row>
    <row r="36859" spans="5:9" ht="16.5" hidden="1">
      <c r="E36859" s="4" t="str">
        <v/>
      </c>
      <c r="F36859" s="102" t="str">
        <f ca="1">IFERROR(__xludf.DUMMYFUNCTION("IMPORTRANGE(H36859,""IDENTITAS UNIT!D9"")"),"#N/A")</f>
        <v>#N/A</v>
      </c>
      <c r="H36859" s="4" t="str">
        <v/>
      </c>
      <c r="I36859" s="4" t="str">
        <v/>
      </c>
    </row>
    <row r="36860" spans="5:9" ht="16.5" hidden="1">
      <c r="E36860" s="4" t="str">
        <v/>
      </c>
      <c r="F36860" s="102" t="str">
        <f ca="1">IFERROR(__xludf.DUMMYFUNCTION("IMPORTRANGE(H36860,""IDENTITAS UNIT!D9"")"),"#N/A")</f>
        <v>#N/A</v>
      </c>
      <c r="H36860" s="4" t="str">
        <v/>
      </c>
      <c r="I36860" s="4" t="str">
        <v/>
      </c>
    </row>
    <row r="36861" spans="5:9" ht="16.5" hidden="1">
      <c r="E36861" s="4" t="str">
        <v/>
      </c>
      <c r="F36861" s="102" t="str">
        <f ca="1">IFERROR(__xludf.DUMMYFUNCTION("IMPORTRANGE(H36861,""IDENTITAS UNIT!D9"")"),"#N/A")</f>
        <v>#N/A</v>
      </c>
      <c r="H36861" s="4" t="str">
        <v/>
      </c>
      <c r="I36861" s="4" t="str">
        <v/>
      </c>
    </row>
    <row r="36862" spans="5:9" ht="16.5" hidden="1">
      <c r="E36862" s="4" t="str">
        <v/>
      </c>
      <c r="F36862" s="102" t="str">
        <f ca="1">IFERROR(__xludf.DUMMYFUNCTION("IMPORTRANGE(H36862,""IDENTITAS UNIT!D9"")"),"#N/A")</f>
        <v>#N/A</v>
      </c>
      <c r="H36862" s="4" t="str">
        <v/>
      </c>
      <c r="I36862" s="4" t="str">
        <v/>
      </c>
    </row>
    <row r="36863" spans="5:9" ht="16.5" hidden="1">
      <c r="E36863" s="4" t="str">
        <v/>
      </c>
      <c r="F36863" s="102" t="str">
        <f ca="1">IFERROR(__xludf.DUMMYFUNCTION("IMPORTRANGE(H36863,""IDENTITAS UNIT!D9"")"),"#N/A")</f>
        <v>#N/A</v>
      </c>
      <c r="H36863" s="4" t="str">
        <v/>
      </c>
      <c r="I36863" s="4" t="str">
        <v/>
      </c>
    </row>
    <row r="36864" spans="5:9" ht="16.5" hidden="1">
      <c r="E36864" s="4" t="str">
        <v/>
      </c>
      <c r="F36864" s="102" t="str">
        <f ca="1">IFERROR(__xludf.DUMMYFUNCTION("IMPORTRANGE(H36864,""IDENTITAS UNIT!D9"")"),"#N/A")</f>
        <v>#N/A</v>
      </c>
      <c r="H36864" s="4" t="str">
        <v/>
      </c>
      <c r="I36864" s="4" t="str">
        <v/>
      </c>
    </row>
    <row r="36865" spans="5:9" ht="16.5" hidden="1">
      <c r="E36865" s="4" t="str">
        <v/>
      </c>
      <c r="F36865" s="102" t="str">
        <f ca="1">IFERROR(__xludf.DUMMYFUNCTION("IMPORTRANGE(H36865,""IDENTITAS UNIT!D9"")"),"#N/A")</f>
        <v>#N/A</v>
      </c>
      <c r="H36865" s="4" t="str">
        <v/>
      </c>
      <c r="I36865" s="4" t="str">
        <v/>
      </c>
    </row>
    <row r="36866" spans="5:9" ht="16.5" hidden="1">
      <c r="E36866" s="4" t="str">
        <v/>
      </c>
      <c r="F36866" s="102" t="str">
        <f ca="1">IFERROR(__xludf.DUMMYFUNCTION("IMPORTRANGE(H36866,""IDENTITAS UNIT!D9"")"),"#N/A")</f>
        <v>#N/A</v>
      </c>
      <c r="H36866" s="4" t="str">
        <v/>
      </c>
      <c r="I36866" s="4" t="str">
        <v/>
      </c>
    </row>
    <row r="36867" spans="5:9" ht="16.5" hidden="1">
      <c r="E36867" s="4" t="str">
        <v/>
      </c>
      <c r="F36867" s="102" t="str">
        <f ca="1">IFERROR(__xludf.DUMMYFUNCTION("IMPORTRANGE(H36867,""IDENTITAS UNIT!D9"")"),"#N/A")</f>
        <v>#N/A</v>
      </c>
      <c r="H36867" s="4" t="str">
        <v/>
      </c>
      <c r="I36867" s="4" t="str">
        <v/>
      </c>
    </row>
    <row r="36868" spans="5:9" ht="16.5" hidden="1">
      <c r="E36868" s="4" t="str">
        <v/>
      </c>
      <c r="F36868" s="102" t="str">
        <f ca="1">IFERROR(__xludf.DUMMYFUNCTION("IMPORTRANGE(H36868,""IDENTITAS UNIT!D9"")"),"#N/A")</f>
        <v>#N/A</v>
      </c>
      <c r="H36868" s="4" t="str">
        <v/>
      </c>
      <c r="I36868" s="4" t="str">
        <v/>
      </c>
    </row>
    <row r="36869" spans="5:9" ht="16.5" hidden="1">
      <c r="E36869" s="4" t="str">
        <v/>
      </c>
      <c r="F36869" s="102" t="str">
        <f ca="1">IFERROR(__xludf.DUMMYFUNCTION("IMPORTRANGE(H36869,""IDENTITAS UNIT!D9"")"),"#N/A")</f>
        <v>#N/A</v>
      </c>
      <c r="H36869" s="4" t="str">
        <v/>
      </c>
      <c r="I36869" s="4" t="str">
        <v/>
      </c>
    </row>
    <row r="36870" spans="5:9" ht="16.5" hidden="1">
      <c r="E36870" s="4" t="str">
        <v/>
      </c>
      <c r="F36870" s="102" t="str">
        <f ca="1">IFERROR(__xludf.DUMMYFUNCTION("IMPORTRANGE(H36870,""IDENTITAS UNIT!D9"")"),"#N/A")</f>
        <v>#N/A</v>
      </c>
      <c r="H36870" s="4" t="str">
        <v/>
      </c>
      <c r="I36870" s="4" t="str">
        <v/>
      </c>
    </row>
    <row r="36871" spans="5:9" ht="16.5" hidden="1">
      <c r="E36871" s="4" t="str">
        <v/>
      </c>
      <c r="F36871" s="102" t="str">
        <f ca="1">IFERROR(__xludf.DUMMYFUNCTION("IMPORTRANGE(H36871,""IDENTITAS UNIT!D9"")"),"#N/A")</f>
        <v>#N/A</v>
      </c>
      <c r="H36871" s="4" t="str">
        <v/>
      </c>
      <c r="I36871" s="4" t="str">
        <v/>
      </c>
    </row>
    <row r="36872" spans="5:9" ht="16.5" hidden="1">
      <c r="E36872" s="4" t="str">
        <v/>
      </c>
      <c r="F36872" s="102" t="str">
        <f ca="1">IFERROR(__xludf.DUMMYFUNCTION("IMPORTRANGE(H36872,""IDENTITAS UNIT!D9"")"),"#N/A")</f>
        <v>#N/A</v>
      </c>
      <c r="H36872" s="4" t="str">
        <v/>
      </c>
      <c r="I36872" s="4" t="str">
        <v/>
      </c>
    </row>
    <row r="36873" spans="5:9" ht="16.5" hidden="1">
      <c r="E36873" s="4" t="str">
        <v/>
      </c>
      <c r="F36873" s="102" t="str">
        <f ca="1">IFERROR(__xludf.DUMMYFUNCTION("IMPORTRANGE(H36873,""IDENTITAS UNIT!D9"")"),"#N/A")</f>
        <v>#N/A</v>
      </c>
      <c r="H36873" s="4" t="str">
        <v/>
      </c>
      <c r="I36873" s="4" t="str">
        <v/>
      </c>
    </row>
    <row r="36874" spans="5:9" ht="16.5" hidden="1">
      <c r="E36874" s="4" t="str">
        <v/>
      </c>
      <c r="F36874" s="102" t="str">
        <f ca="1">IFERROR(__xludf.DUMMYFUNCTION("IMPORTRANGE(H36874,""IDENTITAS UNIT!D9"")"),"#N/A")</f>
        <v>#N/A</v>
      </c>
      <c r="H36874" s="4" t="str">
        <v/>
      </c>
      <c r="I36874" s="4" t="str">
        <v/>
      </c>
    </row>
    <row r="36875" spans="5:9" ht="16.5" hidden="1">
      <c r="E36875" s="4" t="str">
        <v/>
      </c>
      <c r="F36875" s="102" t="str">
        <f ca="1">IFERROR(__xludf.DUMMYFUNCTION("IMPORTRANGE(H36875,""IDENTITAS UNIT!D9"")"),"#N/A")</f>
        <v>#N/A</v>
      </c>
      <c r="H36875" s="4" t="str">
        <v/>
      </c>
      <c r="I36875" s="4" t="str">
        <v/>
      </c>
    </row>
    <row r="36876" spans="5:9" ht="16.5" hidden="1">
      <c r="E36876" s="4" t="str">
        <v/>
      </c>
      <c r="F36876" s="102" t="str">
        <f ca="1">IFERROR(__xludf.DUMMYFUNCTION("IMPORTRANGE(H36876,""IDENTITAS UNIT!D9"")"),"#N/A")</f>
        <v>#N/A</v>
      </c>
      <c r="H36876" s="4" t="str">
        <v/>
      </c>
      <c r="I36876" s="4" t="str">
        <v/>
      </c>
    </row>
    <row r="36877" spans="5:9" ht="16.5" hidden="1">
      <c r="E36877" s="4" t="str">
        <v/>
      </c>
      <c r="F36877" s="102" t="str">
        <f ca="1">IFERROR(__xludf.DUMMYFUNCTION("IMPORTRANGE(H36877,""IDENTITAS UNIT!D9"")"),"#N/A")</f>
        <v>#N/A</v>
      </c>
      <c r="H36877" s="4" t="str">
        <v/>
      </c>
      <c r="I36877" s="4" t="str">
        <v/>
      </c>
    </row>
    <row r="36878" spans="5:9" ht="16.5" hidden="1">
      <c r="E36878" s="4" t="str">
        <v/>
      </c>
      <c r="F36878" s="102" t="str">
        <f ca="1">IFERROR(__xludf.DUMMYFUNCTION("IMPORTRANGE(H36878,""IDENTITAS UNIT!D9"")"),"#N/A")</f>
        <v>#N/A</v>
      </c>
      <c r="H36878" s="4" t="str">
        <v/>
      </c>
      <c r="I36878" s="4" t="str">
        <v/>
      </c>
    </row>
    <row r="36879" spans="5:9" ht="16.5" hidden="1">
      <c r="E36879" s="4" t="str">
        <v/>
      </c>
      <c r="F36879" s="102" t="str">
        <f ca="1">IFERROR(__xludf.DUMMYFUNCTION("IMPORTRANGE(H36879,""IDENTITAS UNIT!D9"")"),"#N/A")</f>
        <v>#N/A</v>
      </c>
      <c r="H36879" s="4" t="str">
        <v/>
      </c>
      <c r="I36879" s="4" t="str">
        <v/>
      </c>
    </row>
    <row r="36880" spans="5:9" ht="16.5" hidden="1">
      <c r="E36880" s="4" t="str">
        <v/>
      </c>
      <c r="F36880" s="102" t="str">
        <f ca="1">IFERROR(__xludf.DUMMYFUNCTION("IMPORTRANGE(H36880,""IDENTITAS UNIT!D9"")"),"#N/A")</f>
        <v>#N/A</v>
      </c>
      <c r="H36880" s="4" t="str">
        <v/>
      </c>
      <c r="I36880" s="4" t="str">
        <v/>
      </c>
    </row>
    <row r="36881" spans="5:9" ht="16.5" hidden="1">
      <c r="E36881" s="4" t="str">
        <v/>
      </c>
      <c r="F36881" s="102" t="str">
        <f ca="1">IFERROR(__xludf.DUMMYFUNCTION("IMPORTRANGE(H36881,""IDENTITAS UNIT!D9"")"),"#N/A")</f>
        <v>#N/A</v>
      </c>
      <c r="H36881" s="4" t="str">
        <v/>
      </c>
      <c r="I36881" s="4" t="str">
        <v/>
      </c>
    </row>
    <row r="36882" spans="5:9" ht="16.5" hidden="1">
      <c r="E36882" s="4" t="str">
        <v/>
      </c>
      <c r="F36882" s="102" t="str">
        <f ca="1">IFERROR(__xludf.DUMMYFUNCTION("IMPORTRANGE(H36882,""IDENTITAS UNIT!D9"")"),"#N/A")</f>
        <v>#N/A</v>
      </c>
      <c r="H36882" s="4" t="str">
        <v/>
      </c>
      <c r="I36882" s="4" t="str">
        <v/>
      </c>
    </row>
    <row r="36883" spans="5:9" ht="16.5" hidden="1">
      <c r="E36883" s="4" t="str">
        <v/>
      </c>
      <c r="F36883" s="102" t="str">
        <f ca="1">IFERROR(__xludf.DUMMYFUNCTION("IMPORTRANGE(H36883,""IDENTITAS UNIT!D9"")"),"#N/A")</f>
        <v>#N/A</v>
      </c>
      <c r="H36883" s="4" t="str">
        <v/>
      </c>
      <c r="I36883" s="4" t="str">
        <v/>
      </c>
    </row>
    <row r="36884" spans="5:9" ht="16.5" hidden="1">
      <c r="E36884" s="4" t="str">
        <v/>
      </c>
      <c r="F36884" s="102" t="str">
        <f ca="1">IFERROR(__xludf.DUMMYFUNCTION("IMPORTRANGE(H36884,""IDENTITAS UNIT!D9"")"),"#N/A")</f>
        <v>#N/A</v>
      </c>
      <c r="H36884" s="4" t="str">
        <v/>
      </c>
      <c r="I36884" s="4" t="str">
        <v/>
      </c>
    </row>
    <row r="36885" spans="5:9" ht="16.5" hidden="1">
      <c r="E36885" s="4" t="str">
        <v/>
      </c>
      <c r="F36885" s="102" t="str">
        <f ca="1">IFERROR(__xludf.DUMMYFUNCTION("IMPORTRANGE(H36885,""IDENTITAS UNIT!D9"")"),"#N/A")</f>
        <v>#N/A</v>
      </c>
      <c r="H36885" s="4" t="str">
        <v/>
      </c>
      <c r="I36885" s="4" t="str">
        <v/>
      </c>
    </row>
    <row r="36886" spans="5:9" ht="16.5" hidden="1">
      <c r="E36886" s="4" t="str">
        <v/>
      </c>
      <c r="F36886" s="102" t="str">
        <f ca="1">IFERROR(__xludf.DUMMYFUNCTION("IMPORTRANGE(H36886,""IDENTITAS UNIT!D9"")"),"#N/A")</f>
        <v>#N/A</v>
      </c>
      <c r="H36886" s="4" t="str">
        <v/>
      </c>
      <c r="I36886" s="4" t="str">
        <v/>
      </c>
    </row>
    <row r="36887" spans="5:9" ht="16.5" hidden="1">
      <c r="E36887" s="4" t="str">
        <v/>
      </c>
      <c r="F36887" s="102" t="str">
        <f ca="1">IFERROR(__xludf.DUMMYFUNCTION("IMPORTRANGE(H36887,""IDENTITAS UNIT!D9"")"),"#N/A")</f>
        <v>#N/A</v>
      </c>
      <c r="H36887" s="4" t="str">
        <v/>
      </c>
      <c r="I36887" s="4" t="str">
        <v/>
      </c>
    </row>
    <row r="36888" spans="5:9" ht="16.5" hidden="1">
      <c r="E36888" s="4" t="str">
        <v/>
      </c>
      <c r="F36888" s="102" t="str">
        <f ca="1">IFERROR(__xludf.DUMMYFUNCTION("IMPORTRANGE(H36888,""IDENTITAS UNIT!D9"")"),"#N/A")</f>
        <v>#N/A</v>
      </c>
      <c r="H36888" s="4" t="str">
        <v/>
      </c>
      <c r="I36888" s="4" t="str">
        <v/>
      </c>
    </row>
    <row r="36889" spans="5:9" ht="16.5" hidden="1">
      <c r="E36889" s="4" t="str">
        <v/>
      </c>
      <c r="F36889" s="102" t="str">
        <f ca="1">IFERROR(__xludf.DUMMYFUNCTION("IMPORTRANGE(H36889,""IDENTITAS UNIT!D9"")"),"#N/A")</f>
        <v>#N/A</v>
      </c>
      <c r="H36889" s="4" t="str">
        <v/>
      </c>
      <c r="I36889" s="4" t="str">
        <v/>
      </c>
    </row>
    <row r="36890" spans="5:9" ht="16.5" hidden="1">
      <c r="E36890" s="4" t="str">
        <v/>
      </c>
      <c r="F36890" s="102" t="str">
        <f ca="1">IFERROR(__xludf.DUMMYFUNCTION("IMPORTRANGE(H36890,""IDENTITAS UNIT!D9"")"),"#N/A")</f>
        <v>#N/A</v>
      </c>
      <c r="H36890" s="4" t="str">
        <v/>
      </c>
      <c r="I36890" s="4" t="str">
        <v/>
      </c>
    </row>
    <row r="36891" spans="5:9" ht="16.5" hidden="1">
      <c r="E36891" s="4" t="str">
        <v/>
      </c>
      <c r="F36891" s="102" t="str">
        <f ca="1">IFERROR(__xludf.DUMMYFUNCTION("IMPORTRANGE(H36891,""IDENTITAS UNIT!D9"")"),"#N/A")</f>
        <v>#N/A</v>
      </c>
      <c r="H36891" s="4" t="str">
        <v/>
      </c>
      <c r="I36891" s="4" t="str">
        <v/>
      </c>
    </row>
    <row r="36892" spans="5:9" ht="16.5" hidden="1">
      <c r="E36892" s="4" t="str">
        <v/>
      </c>
      <c r="F36892" s="102" t="str">
        <f ca="1">IFERROR(__xludf.DUMMYFUNCTION("IMPORTRANGE(H36892,""IDENTITAS UNIT!D9"")"),"#N/A")</f>
        <v>#N/A</v>
      </c>
      <c r="H36892" s="4" t="str">
        <v/>
      </c>
      <c r="I36892" s="4" t="str">
        <v/>
      </c>
    </row>
    <row r="36893" spans="5:9" ht="16.5" hidden="1">
      <c r="E36893" s="4" t="str">
        <v/>
      </c>
      <c r="F36893" s="102" t="str">
        <f ca="1">IFERROR(__xludf.DUMMYFUNCTION("IMPORTRANGE(H36893,""IDENTITAS UNIT!D9"")"),"#N/A")</f>
        <v>#N/A</v>
      </c>
      <c r="H36893" s="4" t="str">
        <v/>
      </c>
      <c r="I36893" s="4" t="str">
        <v/>
      </c>
    </row>
    <row r="36894" spans="5:9" ht="16.5" hidden="1">
      <c r="E36894" s="4" t="str">
        <v/>
      </c>
      <c r="F36894" s="102" t="str">
        <f ca="1">IFERROR(__xludf.DUMMYFUNCTION("IMPORTRANGE(H36894,""IDENTITAS UNIT!D9"")"),"#N/A")</f>
        <v>#N/A</v>
      </c>
      <c r="H36894" s="4" t="str">
        <v/>
      </c>
      <c r="I36894" s="4" t="str">
        <v/>
      </c>
    </row>
    <row r="36895" spans="5:9" ht="16.5" hidden="1">
      <c r="E36895" s="4" t="str">
        <v/>
      </c>
      <c r="F36895" s="102" t="str">
        <f ca="1">IFERROR(__xludf.DUMMYFUNCTION("IMPORTRANGE(H36895,""IDENTITAS UNIT!D9"")"),"#N/A")</f>
        <v>#N/A</v>
      </c>
      <c r="H36895" s="4" t="str">
        <v/>
      </c>
      <c r="I36895" s="4" t="str">
        <v/>
      </c>
    </row>
    <row r="36896" spans="5:9" ht="16.5" hidden="1">
      <c r="E36896" s="4" t="str">
        <v/>
      </c>
      <c r="F36896" s="102" t="str">
        <f ca="1">IFERROR(__xludf.DUMMYFUNCTION("IMPORTRANGE(H36896,""IDENTITAS UNIT!D9"")"),"#N/A")</f>
        <v>#N/A</v>
      </c>
      <c r="H36896" s="4" t="str">
        <v/>
      </c>
      <c r="I36896" s="4" t="str">
        <v/>
      </c>
    </row>
    <row r="36897" spans="5:9" ht="16.5" hidden="1">
      <c r="E36897" s="4" t="str">
        <v/>
      </c>
      <c r="F36897" s="102" t="str">
        <f ca="1">IFERROR(__xludf.DUMMYFUNCTION("IMPORTRANGE(H36897,""IDENTITAS UNIT!D9"")"),"#N/A")</f>
        <v>#N/A</v>
      </c>
      <c r="H36897" s="4" t="str">
        <v/>
      </c>
      <c r="I36897" s="4" t="str">
        <v/>
      </c>
    </row>
    <row r="36898" spans="5:9" ht="16.5" hidden="1">
      <c r="E36898" s="4" t="str">
        <v/>
      </c>
      <c r="F36898" s="102" t="str">
        <f ca="1">IFERROR(__xludf.DUMMYFUNCTION("IMPORTRANGE(H36898,""IDENTITAS UNIT!D9"")"),"#N/A")</f>
        <v>#N/A</v>
      </c>
      <c r="H36898" s="4" t="str">
        <v/>
      </c>
      <c r="I36898" s="4" t="str">
        <v/>
      </c>
    </row>
    <row r="36899" spans="5:9" ht="16.5" hidden="1">
      <c r="E36899" s="4" t="str">
        <v/>
      </c>
      <c r="F36899" s="102" t="str">
        <f ca="1">IFERROR(__xludf.DUMMYFUNCTION("IMPORTRANGE(H36899,""IDENTITAS UNIT!D9"")"),"#N/A")</f>
        <v>#N/A</v>
      </c>
      <c r="H36899" s="4" t="str">
        <v/>
      </c>
      <c r="I36899" s="4" t="str">
        <v/>
      </c>
    </row>
    <row r="36900" spans="5:9" ht="16.5" hidden="1">
      <c r="E36900" s="4" t="str">
        <v/>
      </c>
      <c r="F36900" s="102" t="str">
        <f ca="1">IFERROR(__xludf.DUMMYFUNCTION("IMPORTRANGE(H36900,""IDENTITAS UNIT!D9"")"),"#N/A")</f>
        <v>#N/A</v>
      </c>
      <c r="H36900" s="4" t="str">
        <v/>
      </c>
      <c r="I36900" s="4" t="str">
        <v/>
      </c>
    </row>
    <row r="36901" spans="5:9" ht="16.5" hidden="1">
      <c r="E36901" s="4" t="str">
        <v/>
      </c>
      <c r="F36901" s="102" t="str">
        <f ca="1">IFERROR(__xludf.DUMMYFUNCTION("IMPORTRANGE(H36901,""IDENTITAS UNIT!D9"")"),"#N/A")</f>
        <v>#N/A</v>
      </c>
      <c r="H36901" s="4" t="str">
        <v/>
      </c>
      <c r="I36901" s="4" t="str">
        <v/>
      </c>
    </row>
    <row r="36902" spans="5:9" ht="16.5" hidden="1">
      <c r="E36902" s="4" t="str">
        <v/>
      </c>
      <c r="F36902" s="102" t="str">
        <f ca="1">IFERROR(__xludf.DUMMYFUNCTION("IMPORTRANGE(H36902,""IDENTITAS UNIT!D9"")"),"#N/A")</f>
        <v>#N/A</v>
      </c>
      <c r="H36902" s="4" t="str">
        <v/>
      </c>
      <c r="I36902" s="4" t="str">
        <v/>
      </c>
    </row>
    <row r="36903" spans="5:9" ht="16.5" hidden="1">
      <c r="E36903" s="4" t="str">
        <v/>
      </c>
      <c r="F36903" s="102" t="str">
        <f ca="1">IFERROR(__xludf.DUMMYFUNCTION("IMPORTRANGE(H36903,""IDENTITAS UNIT!D9"")"),"#N/A")</f>
        <v>#N/A</v>
      </c>
      <c r="H36903" s="4" t="str">
        <v/>
      </c>
      <c r="I36903" s="4" t="str">
        <v/>
      </c>
    </row>
    <row r="36904" spans="5:9" ht="16.5" hidden="1">
      <c r="E36904" s="4" t="str">
        <v/>
      </c>
      <c r="F36904" s="102" t="str">
        <f ca="1">IFERROR(__xludf.DUMMYFUNCTION("IMPORTRANGE(H36904,""IDENTITAS UNIT!D9"")"),"#N/A")</f>
        <v>#N/A</v>
      </c>
      <c r="H36904" s="4" t="str">
        <v/>
      </c>
      <c r="I36904" s="4" t="str">
        <v/>
      </c>
    </row>
    <row r="36905" spans="5:9" ht="16.5" hidden="1">
      <c r="E36905" s="4" t="str">
        <v/>
      </c>
      <c r="F36905" s="102" t="str">
        <f ca="1">IFERROR(__xludf.DUMMYFUNCTION("IMPORTRANGE(H36905,""IDENTITAS UNIT!D9"")"),"#N/A")</f>
        <v>#N/A</v>
      </c>
      <c r="H36905" s="4" t="str">
        <v/>
      </c>
      <c r="I36905" s="4" t="str">
        <v/>
      </c>
    </row>
    <row r="36906" spans="5:9" ht="16.5" hidden="1">
      <c r="E36906" s="4" t="str">
        <v/>
      </c>
      <c r="F36906" s="102" t="str">
        <f ca="1">IFERROR(__xludf.DUMMYFUNCTION("IMPORTRANGE(H36906,""IDENTITAS UNIT!D9"")"),"#N/A")</f>
        <v>#N/A</v>
      </c>
      <c r="H36906" s="4" t="str">
        <v/>
      </c>
      <c r="I36906" s="4" t="str">
        <v/>
      </c>
    </row>
    <row r="36907" spans="5:9" ht="16.5" hidden="1">
      <c r="E36907" s="4" t="str">
        <v/>
      </c>
      <c r="F36907" s="102" t="str">
        <f ca="1">IFERROR(__xludf.DUMMYFUNCTION("IMPORTRANGE(H36907,""IDENTITAS UNIT!D9"")"),"#N/A")</f>
        <v>#N/A</v>
      </c>
      <c r="H36907" s="4" t="str">
        <v/>
      </c>
      <c r="I36907" s="4" t="str">
        <v/>
      </c>
    </row>
    <row r="36908" spans="5:9" ht="16.5" hidden="1">
      <c r="E36908" s="4" t="str">
        <v/>
      </c>
      <c r="F36908" s="102" t="str">
        <f ca="1">IFERROR(__xludf.DUMMYFUNCTION("IMPORTRANGE(H36908,""IDENTITAS UNIT!D9"")"),"#N/A")</f>
        <v>#N/A</v>
      </c>
      <c r="H36908" s="4" t="str">
        <v/>
      </c>
      <c r="I36908" s="4" t="str">
        <v/>
      </c>
    </row>
    <row r="36909" spans="5:9" ht="16.5" hidden="1">
      <c r="E36909" s="4" t="str">
        <v/>
      </c>
      <c r="F36909" s="102" t="str">
        <f ca="1">IFERROR(__xludf.DUMMYFUNCTION("IMPORTRANGE(H36909,""IDENTITAS UNIT!D9"")"),"#N/A")</f>
        <v>#N/A</v>
      </c>
      <c r="H36909" s="4" t="str">
        <v/>
      </c>
      <c r="I36909" s="4" t="str">
        <v/>
      </c>
    </row>
    <row r="36910" spans="5:9" ht="16.5" hidden="1">
      <c r="E36910" s="4" t="str">
        <v/>
      </c>
      <c r="F36910" s="102" t="str">
        <f ca="1">IFERROR(__xludf.DUMMYFUNCTION("IMPORTRANGE(H36910,""IDENTITAS UNIT!D9"")"),"#N/A")</f>
        <v>#N/A</v>
      </c>
      <c r="H36910" s="4" t="str">
        <v/>
      </c>
      <c r="I36910" s="4" t="str">
        <v/>
      </c>
    </row>
    <row r="36911" spans="5:9" ht="16.5" hidden="1">
      <c r="E36911" s="4" t="str">
        <v/>
      </c>
      <c r="F36911" s="102" t="str">
        <f ca="1">IFERROR(__xludf.DUMMYFUNCTION("IMPORTRANGE(H36911,""IDENTITAS UNIT!D9"")"),"#N/A")</f>
        <v>#N/A</v>
      </c>
      <c r="H36911" s="4" t="str">
        <v/>
      </c>
      <c r="I36911" s="4" t="str">
        <v/>
      </c>
    </row>
    <row r="36912" spans="5:9" ht="16.5" hidden="1">
      <c r="E36912" s="4" t="str">
        <v/>
      </c>
      <c r="F36912" s="102" t="str">
        <f ca="1">IFERROR(__xludf.DUMMYFUNCTION("IMPORTRANGE(H36912,""IDENTITAS UNIT!D9"")"),"#N/A")</f>
        <v>#N/A</v>
      </c>
      <c r="H36912" s="4" t="str">
        <v/>
      </c>
      <c r="I36912" s="4" t="str">
        <v/>
      </c>
    </row>
    <row r="36913" spans="5:9" ht="16.5" hidden="1">
      <c r="E36913" s="4" t="str">
        <v/>
      </c>
      <c r="F36913" s="102" t="str">
        <f ca="1">IFERROR(__xludf.DUMMYFUNCTION("IMPORTRANGE(H36913,""IDENTITAS UNIT!D9"")"),"#N/A")</f>
        <v>#N/A</v>
      </c>
      <c r="H36913" s="4" t="str">
        <v/>
      </c>
      <c r="I36913" s="4" t="str">
        <v/>
      </c>
    </row>
    <row r="36914" spans="5:9" ht="16.5" hidden="1">
      <c r="E36914" s="4" t="str">
        <v/>
      </c>
      <c r="F36914" s="102" t="str">
        <f ca="1">IFERROR(__xludf.DUMMYFUNCTION("IMPORTRANGE(H36914,""IDENTITAS UNIT!D9"")"),"#N/A")</f>
        <v>#N/A</v>
      </c>
      <c r="H36914" s="4" t="str">
        <v/>
      </c>
      <c r="I36914" s="4" t="str">
        <v/>
      </c>
    </row>
    <row r="36915" spans="5:9" ht="16.5" hidden="1">
      <c r="E36915" s="4" t="str">
        <v/>
      </c>
      <c r="F36915" s="102" t="str">
        <f ca="1">IFERROR(__xludf.DUMMYFUNCTION("IMPORTRANGE(H36915,""IDENTITAS UNIT!D9"")"),"#N/A")</f>
        <v>#N/A</v>
      </c>
      <c r="H36915" s="4" t="str">
        <v/>
      </c>
      <c r="I36915" s="4" t="str">
        <v/>
      </c>
    </row>
    <row r="36916" spans="5:9" ht="16.5" hidden="1">
      <c r="E36916" s="4" t="str">
        <v/>
      </c>
      <c r="F36916" s="102" t="str">
        <f ca="1">IFERROR(__xludf.DUMMYFUNCTION("IMPORTRANGE(H36916,""IDENTITAS UNIT!D9"")"),"#N/A")</f>
        <v>#N/A</v>
      </c>
      <c r="H36916" s="4" t="str">
        <v/>
      </c>
      <c r="I36916" s="4" t="str">
        <v/>
      </c>
    </row>
    <row r="36917" spans="5:9" ht="16.5" hidden="1">
      <c r="E36917" s="4" t="str">
        <v/>
      </c>
      <c r="F36917" s="102" t="str">
        <f ca="1">IFERROR(__xludf.DUMMYFUNCTION("IMPORTRANGE(H36917,""IDENTITAS UNIT!D9"")"),"#N/A")</f>
        <v>#N/A</v>
      </c>
      <c r="H36917" s="4" t="str">
        <v/>
      </c>
      <c r="I36917" s="4" t="str">
        <v/>
      </c>
    </row>
    <row r="36918" spans="5:9" ht="16.5" hidden="1">
      <c r="E36918" s="4" t="str">
        <v/>
      </c>
      <c r="F36918" s="102" t="str">
        <f ca="1">IFERROR(__xludf.DUMMYFUNCTION("IMPORTRANGE(H36918,""IDENTITAS UNIT!D9"")"),"#N/A")</f>
        <v>#N/A</v>
      </c>
      <c r="H36918" s="4" t="str">
        <v/>
      </c>
      <c r="I36918" s="4" t="str">
        <v/>
      </c>
    </row>
    <row r="36919" spans="5:9" ht="16.5" hidden="1">
      <c r="E36919" s="4" t="str">
        <v/>
      </c>
      <c r="F36919" s="102" t="str">
        <f ca="1">IFERROR(__xludf.DUMMYFUNCTION("IMPORTRANGE(H36919,""IDENTITAS UNIT!D9"")"),"#N/A")</f>
        <v>#N/A</v>
      </c>
      <c r="H36919" s="4" t="str">
        <v/>
      </c>
      <c r="I36919" s="4" t="str">
        <v/>
      </c>
    </row>
    <row r="36920" spans="5:9" ht="16.5" hidden="1">
      <c r="E36920" s="4" t="str">
        <v/>
      </c>
      <c r="F36920" s="102" t="str">
        <f ca="1">IFERROR(__xludf.DUMMYFUNCTION("IMPORTRANGE(H36920,""IDENTITAS UNIT!D9"")"),"#N/A")</f>
        <v>#N/A</v>
      </c>
      <c r="H36920" s="4" t="str">
        <v/>
      </c>
      <c r="I36920" s="4" t="str">
        <v/>
      </c>
    </row>
    <row r="36921" spans="5:9" ht="16.5" hidden="1">
      <c r="E36921" s="4" t="str">
        <v/>
      </c>
      <c r="F36921" s="102" t="str">
        <f ca="1">IFERROR(__xludf.DUMMYFUNCTION("IMPORTRANGE(H36921,""IDENTITAS UNIT!D9"")"),"#N/A")</f>
        <v>#N/A</v>
      </c>
      <c r="H36921" s="4" t="str">
        <v/>
      </c>
      <c r="I36921" s="4" t="str">
        <v/>
      </c>
    </row>
    <row r="36922" spans="5:9" ht="16.5" hidden="1">
      <c r="E36922" s="4" t="str">
        <v/>
      </c>
      <c r="F36922" s="102" t="str">
        <f ca="1">IFERROR(__xludf.DUMMYFUNCTION("IMPORTRANGE(H36922,""IDENTITAS UNIT!D9"")"),"#N/A")</f>
        <v>#N/A</v>
      </c>
      <c r="H36922" s="4" t="str">
        <v/>
      </c>
      <c r="I36922" s="4" t="str">
        <v/>
      </c>
    </row>
    <row r="36923" spans="5:9" ht="16.5" hidden="1">
      <c r="E36923" s="4" t="str">
        <v/>
      </c>
      <c r="F36923" s="102" t="str">
        <f ca="1">IFERROR(__xludf.DUMMYFUNCTION("IMPORTRANGE(H36923,""IDENTITAS UNIT!D9"")"),"#N/A")</f>
        <v>#N/A</v>
      </c>
      <c r="H36923" s="4" t="str">
        <v/>
      </c>
      <c r="I36923" s="4" t="str">
        <v/>
      </c>
    </row>
    <row r="36924" spans="5:9" ht="16.5" hidden="1">
      <c r="E36924" s="4" t="str">
        <v/>
      </c>
      <c r="F36924" s="102" t="str">
        <f ca="1">IFERROR(__xludf.DUMMYFUNCTION("IMPORTRANGE(H36924,""IDENTITAS UNIT!D9"")"),"#N/A")</f>
        <v>#N/A</v>
      </c>
      <c r="H36924" s="4" t="str">
        <v/>
      </c>
      <c r="I36924" s="4" t="str">
        <v/>
      </c>
    </row>
    <row r="36925" spans="5:9" ht="16.5" hidden="1">
      <c r="E36925" s="4" t="str">
        <v/>
      </c>
      <c r="F36925" s="102" t="str">
        <f ca="1">IFERROR(__xludf.DUMMYFUNCTION("IMPORTRANGE(H36925,""IDENTITAS UNIT!D9"")"),"#N/A")</f>
        <v>#N/A</v>
      </c>
      <c r="H36925" s="4" t="str">
        <v/>
      </c>
      <c r="I36925" s="4" t="str">
        <v/>
      </c>
    </row>
    <row r="36926" spans="5:9" ht="16.5" hidden="1">
      <c r="E36926" s="4" t="str">
        <v/>
      </c>
      <c r="F36926" s="102" t="str">
        <f ca="1">IFERROR(__xludf.DUMMYFUNCTION("IMPORTRANGE(H36926,""IDENTITAS UNIT!D9"")"),"#N/A")</f>
        <v>#N/A</v>
      </c>
      <c r="H36926" s="4" t="str">
        <v/>
      </c>
      <c r="I36926" s="4" t="str">
        <v/>
      </c>
    </row>
    <row r="36927" spans="5:9" ht="16.5" hidden="1">
      <c r="E36927" s="4" t="str">
        <v/>
      </c>
      <c r="F36927" s="102" t="str">
        <f ca="1">IFERROR(__xludf.DUMMYFUNCTION("IMPORTRANGE(H36927,""IDENTITAS UNIT!D9"")"),"#N/A")</f>
        <v>#N/A</v>
      </c>
      <c r="H36927" s="4" t="str">
        <v/>
      </c>
      <c r="I36927" s="4" t="str">
        <v/>
      </c>
    </row>
    <row r="36928" spans="5:9" ht="16.5" hidden="1">
      <c r="E36928" s="4" t="str">
        <v/>
      </c>
      <c r="F36928" s="102" t="str">
        <f ca="1">IFERROR(__xludf.DUMMYFUNCTION("IMPORTRANGE(H36928,""IDENTITAS UNIT!D9"")"),"#N/A")</f>
        <v>#N/A</v>
      </c>
      <c r="H36928" s="4" t="str">
        <v/>
      </c>
      <c r="I36928" s="4" t="str">
        <v/>
      </c>
    </row>
    <row r="36929" spans="5:9" ht="16.5" hidden="1">
      <c r="E36929" s="4" t="str">
        <v/>
      </c>
      <c r="F36929" s="102" t="str">
        <f ca="1">IFERROR(__xludf.DUMMYFUNCTION("IMPORTRANGE(H36929,""IDENTITAS UNIT!D9"")"),"#N/A")</f>
        <v>#N/A</v>
      </c>
      <c r="H36929" s="4" t="str">
        <v/>
      </c>
      <c r="I36929" s="4" t="str">
        <v/>
      </c>
    </row>
    <row r="36930" spans="5:9" ht="16.5" hidden="1">
      <c r="E36930" s="4" t="str">
        <v/>
      </c>
      <c r="F36930" s="102" t="str">
        <f ca="1">IFERROR(__xludf.DUMMYFUNCTION("IMPORTRANGE(H36930,""IDENTITAS UNIT!D9"")"),"#N/A")</f>
        <v>#N/A</v>
      </c>
      <c r="H36930" s="4" t="str">
        <v/>
      </c>
      <c r="I36930" s="4" t="str">
        <v/>
      </c>
    </row>
    <row r="36931" spans="5:9" ht="16.5" hidden="1">
      <c r="E36931" s="4" t="str">
        <v/>
      </c>
      <c r="F36931" s="102" t="str">
        <f ca="1">IFERROR(__xludf.DUMMYFUNCTION("IMPORTRANGE(H36931,""IDENTITAS UNIT!D9"")"),"#N/A")</f>
        <v>#N/A</v>
      </c>
      <c r="H36931" s="4" t="str">
        <v/>
      </c>
      <c r="I36931" s="4" t="str">
        <v/>
      </c>
    </row>
    <row r="36932" spans="5:9" ht="16.5" hidden="1">
      <c r="E36932" s="4" t="str">
        <v/>
      </c>
      <c r="F36932" s="102" t="str">
        <f ca="1">IFERROR(__xludf.DUMMYFUNCTION("IMPORTRANGE(H36932,""IDENTITAS UNIT!D9"")"),"#N/A")</f>
        <v>#N/A</v>
      </c>
      <c r="H36932" s="4" t="str">
        <v/>
      </c>
      <c r="I36932" s="4" t="str">
        <v/>
      </c>
    </row>
    <row r="36933" spans="5:9" ht="16.5" hidden="1">
      <c r="E36933" s="4" t="str">
        <v/>
      </c>
      <c r="F36933" s="102" t="str">
        <f ca="1">IFERROR(__xludf.DUMMYFUNCTION("IMPORTRANGE(H36933,""IDENTITAS UNIT!D9"")"),"#N/A")</f>
        <v>#N/A</v>
      </c>
      <c r="H36933" s="4" t="str">
        <v/>
      </c>
      <c r="I36933" s="4" t="str">
        <v/>
      </c>
    </row>
    <row r="36934" spans="5:9" ht="16.5" hidden="1">
      <c r="E36934" s="4" t="str">
        <v/>
      </c>
      <c r="F36934" s="102" t="str">
        <f ca="1">IFERROR(__xludf.DUMMYFUNCTION("IMPORTRANGE(H36934,""IDENTITAS UNIT!D9"")"),"#N/A")</f>
        <v>#N/A</v>
      </c>
      <c r="H36934" s="4" t="str">
        <v/>
      </c>
      <c r="I36934" s="4" t="str">
        <v/>
      </c>
    </row>
    <row r="36935" spans="5:9" ht="16.5" hidden="1">
      <c r="E36935" s="4" t="str">
        <v/>
      </c>
      <c r="F36935" s="102" t="str">
        <f ca="1">IFERROR(__xludf.DUMMYFUNCTION("IMPORTRANGE(H36935,""IDENTITAS UNIT!D9"")"),"#N/A")</f>
        <v>#N/A</v>
      </c>
      <c r="H36935" s="4" t="str">
        <v/>
      </c>
      <c r="I36935" s="4" t="str">
        <v/>
      </c>
    </row>
    <row r="36936" spans="5:9" ht="16.5" hidden="1">
      <c r="E36936" s="4" t="str">
        <v/>
      </c>
      <c r="F36936" s="102" t="str">
        <f ca="1">IFERROR(__xludf.DUMMYFUNCTION("IMPORTRANGE(H36936,""IDENTITAS UNIT!D9"")"),"#N/A")</f>
        <v>#N/A</v>
      </c>
      <c r="H36936" s="4" t="str">
        <v/>
      </c>
      <c r="I36936" s="4" t="str">
        <v/>
      </c>
    </row>
    <row r="36937" spans="5:9" ht="16.5" hidden="1">
      <c r="E36937" s="4" t="str">
        <v/>
      </c>
      <c r="F36937" s="102" t="str">
        <f ca="1">IFERROR(__xludf.DUMMYFUNCTION("IMPORTRANGE(H36937,""IDENTITAS UNIT!D9"")"),"#N/A")</f>
        <v>#N/A</v>
      </c>
      <c r="H36937" s="4" t="str">
        <v/>
      </c>
      <c r="I36937" s="4" t="str">
        <v/>
      </c>
    </row>
    <row r="36938" spans="5:9" ht="16.5" hidden="1">
      <c r="E36938" s="4" t="str">
        <v/>
      </c>
      <c r="F36938" s="102" t="str">
        <f ca="1">IFERROR(__xludf.DUMMYFUNCTION("IMPORTRANGE(H36938,""IDENTITAS UNIT!D9"")"),"#N/A")</f>
        <v>#N/A</v>
      </c>
      <c r="H36938" s="4" t="str">
        <v/>
      </c>
      <c r="I36938" s="4" t="str">
        <v/>
      </c>
    </row>
    <row r="36939" spans="5:9" ht="16.5" hidden="1">
      <c r="E36939" s="4" t="str">
        <v/>
      </c>
      <c r="F36939" s="102" t="str">
        <f ca="1">IFERROR(__xludf.DUMMYFUNCTION("IMPORTRANGE(H36939,""IDENTITAS UNIT!D9"")"),"#N/A")</f>
        <v>#N/A</v>
      </c>
      <c r="H36939" s="4" t="str">
        <v/>
      </c>
      <c r="I36939" s="4" t="str">
        <v/>
      </c>
    </row>
    <row r="36940" spans="5:9" ht="16.5" hidden="1">
      <c r="E36940" s="4" t="str">
        <v/>
      </c>
      <c r="F36940" s="102" t="str">
        <f ca="1">IFERROR(__xludf.DUMMYFUNCTION("IMPORTRANGE(H36940,""IDENTITAS UNIT!D9"")"),"#N/A")</f>
        <v>#N/A</v>
      </c>
      <c r="H36940" s="4" t="str">
        <v/>
      </c>
      <c r="I36940" s="4" t="str">
        <v/>
      </c>
    </row>
    <row r="36941" spans="5:9" ht="16.5" hidden="1">
      <c r="E36941" s="4" t="str">
        <v/>
      </c>
      <c r="F36941" s="102" t="str">
        <f ca="1">IFERROR(__xludf.DUMMYFUNCTION("IMPORTRANGE(H36941,""IDENTITAS UNIT!D9"")"),"#N/A")</f>
        <v>#N/A</v>
      </c>
      <c r="H36941" s="4" t="str">
        <v/>
      </c>
      <c r="I36941" s="4" t="str">
        <v/>
      </c>
    </row>
    <row r="36942" spans="5:9" ht="16.5" hidden="1">
      <c r="E36942" s="4" t="str">
        <v/>
      </c>
      <c r="F36942" s="102" t="str">
        <f ca="1">IFERROR(__xludf.DUMMYFUNCTION("IMPORTRANGE(H36942,""IDENTITAS UNIT!D9"")"),"#N/A")</f>
        <v>#N/A</v>
      </c>
      <c r="H36942" s="4" t="str">
        <v/>
      </c>
      <c r="I36942" s="4" t="str">
        <v/>
      </c>
    </row>
    <row r="36943" spans="5:9" ht="16.5" hidden="1">
      <c r="E36943" s="4" t="str">
        <v/>
      </c>
      <c r="F36943" s="102" t="str">
        <f ca="1">IFERROR(__xludf.DUMMYFUNCTION("IMPORTRANGE(H36943,""IDENTITAS UNIT!D9"")"),"#N/A")</f>
        <v>#N/A</v>
      </c>
      <c r="H36943" s="4" t="str">
        <v/>
      </c>
      <c r="I36943" s="4" t="str">
        <v/>
      </c>
    </row>
    <row r="36944" spans="5:9" ht="16.5" hidden="1">
      <c r="E36944" s="4" t="str">
        <v/>
      </c>
      <c r="F36944" s="102" t="str">
        <f ca="1">IFERROR(__xludf.DUMMYFUNCTION("IMPORTRANGE(H36944,""IDENTITAS UNIT!D9"")"),"#N/A")</f>
        <v>#N/A</v>
      </c>
      <c r="H36944" s="4" t="str">
        <v/>
      </c>
      <c r="I36944" s="4" t="str">
        <v/>
      </c>
    </row>
    <row r="36945" spans="5:9" ht="16.5" hidden="1">
      <c r="E36945" s="4" t="str">
        <v/>
      </c>
      <c r="F36945" s="102" t="str">
        <f ca="1">IFERROR(__xludf.DUMMYFUNCTION("IMPORTRANGE(H36945,""IDENTITAS UNIT!D9"")"),"#N/A")</f>
        <v>#N/A</v>
      </c>
      <c r="H36945" s="4" t="str">
        <v/>
      </c>
      <c r="I36945" s="4" t="str">
        <v/>
      </c>
    </row>
    <row r="36946" spans="5:9" ht="16.5" hidden="1">
      <c r="E36946" s="4" t="str">
        <v/>
      </c>
      <c r="F36946" s="102" t="str">
        <f ca="1">IFERROR(__xludf.DUMMYFUNCTION("IMPORTRANGE(H36946,""IDENTITAS UNIT!D9"")"),"#N/A")</f>
        <v>#N/A</v>
      </c>
      <c r="H36946" s="4" t="str">
        <v/>
      </c>
      <c r="I36946" s="4" t="str">
        <v/>
      </c>
    </row>
    <row r="36947" spans="5:9" ht="16.5" hidden="1">
      <c r="E36947" s="4" t="str">
        <v/>
      </c>
      <c r="F36947" s="102" t="str">
        <f ca="1">IFERROR(__xludf.DUMMYFUNCTION("IMPORTRANGE(H36947,""IDENTITAS UNIT!D9"")"),"#N/A")</f>
        <v>#N/A</v>
      </c>
      <c r="H36947" s="4" t="str">
        <v/>
      </c>
      <c r="I36947" s="4" t="str">
        <v/>
      </c>
    </row>
    <row r="36948" spans="5:9" ht="16.5" hidden="1">
      <c r="E36948" s="4" t="str">
        <v/>
      </c>
      <c r="F36948" s="102" t="str">
        <f ca="1">IFERROR(__xludf.DUMMYFUNCTION("IMPORTRANGE(H36948,""IDENTITAS UNIT!D9"")"),"#N/A")</f>
        <v>#N/A</v>
      </c>
      <c r="H36948" s="4" t="str">
        <v/>
      </c>
      <c r="I36948" s="4" t="str">
        <v/>
      </c>
    </row>
    <row r="36949" spans="5:9" ht="16.5" hidden="1">
      <c r="E36949" s="4" t="str">
        <v/>
      </c>
      <c r="F36949" s="102" t="str">
        <f ca="1">IFERROR(__xludf.DUMMYFUNCTION("IMPORTRANGE(H36949,""IDENTITAS UNIT!D9"")"),"#N/A")</f>
        <v>#N/A</v>
      </c>
      <c r="H36949" s="4" t="str">
        <v/>
      </c>
      <c r="I36949" s="4" t="str">
        <v/>
      </c>
    </row>
    <row r="36950" spans="5:9" ht="16.5" hidden="1">
      <c r="E36950" s="4" t="str">
        <v/>
      </c>
      <c r="F36950" s="102" t="str">
        <f ca="1">IFERROR(__xludf.DUMMYFUNCTION("IMPORTRANGE(H36950,""IDENTITAS UNIT!D9"")"),"#N/A")</f>
        <v>#N/A</v>
      </c>
      <c r="H36950" s="4" t="str">
        <v/>
      </c>
      <c r="I36950" s="4" t="str">
        <v/>
      </c>
    </row>
    <row r="36951" spans="5:9" ht="16.5" hidden="1">
      <c r="E36951" s="4" t="str">
        <v/>
      </c>
      <c r="F36951" s="102" t="str">
        <f ca="1">IFERROR(__xludf.DUMMYFUNCTION("IMPORTRANGE(H36951,""IDENTITAS UNIT!D9"")"),"#N/A")</f>
        <v>#N/A</v>
      </c>
      <c r="H36951" s="4" t="str">
        <v/>
      </c>
      <c r="I36951" s="4" t="str">
        <v/>
      </c>
    </row>
    <row r="36952" spans="5:9" ht="16.5" hidden="1">
      <c r="E36952" s="4" t="str">
        <v/>
      </c>
      <c r="F36952" s="102" t="str">
        <f ca="1">IFERROR(__xludf.DUMMYFUNCTION("IMPORTRANGE(H36952,""IDENTITAS UNIT!D9"")"),"#N/A")</f>
        <v>#N/A</v>
      </c>
      <c r="H36952" s="4" t="str">
        <v/>
      </c>
      <c r="I36952" s="4" t="str">
        <v/>
      </c>
    </row>
    <row r="36953" spans="5:9" ht="16.5" hidden="1">
      <c r="E36953" s="4" t="str">
        <v/>
      </c>
      <c r="F36953" s="102" t="str">
        <f ca="1">IFERROR(__xludf.DUMMYFUNCTION("IMPORTRANGE(H36953,""IDENTITAS UNIT!D9"")"),"#N/A")</f>
        <v>#N/A</v>
      </c>
      <c r="H36953" s="4" t="str">
        <v/>
      </c>
      <c r="I36953" s="4" t="str">
        <v/>
      </c>
    </row>
    <row r="36954" spans="5:9" ht="16.5" hidden="1">
      <c r="E36954" s="4" t="str">
        <v/>
      </c>
      <c r="F36954" s="102" t="str">
        <f ca="1">IFERROR(__xludf.DUMMYFUNCTION("IMPORTRANGE(H36954,""IDENTITAS UNIT!D9"")"),"#N/A")</f>
        <v>#N/A</v>
      </c>
      <c r="H36954" s="4" t="str">
        <v/>
      </c>
      <c r="I36954" s="4" t="str">
        <v/>
      </c>
    </row>
    <row r="36955" spans="5:9" ht="16.5" hidden="1">
      <c r="E36955" s="4" t="str">
        <v/>
      </c>
      <c r="F36955" s="102" t="str">
        <f ca="1">IFERROR(__xludf.DUMMYFUNCTION("IMPORTRANGE(H36955,""IDENTITAS UNIT!D9"")"),"#N/A")</f>
        <v>#N/A</v>
      </c>
      <c r="H36955" s="4" t="str">
        <v/>
      </c>
      <c r="I36955" s="4" t="str">
        <v/>
      </c>
    </row>
    <row r="36956" spans="5:9" ht="16.5" hidden="1">
      <c r="E36956" s="4" t="str">
        <v/>
      </c>
      <c r="F36956" s="102" t="str">
        <f ca="1">IFERROR(__xludf.DUMMYFUNCTION("IMPORTRANGE(H36956,""IDENTITAS UNIT!D9"")"),"#N/A")</f>
        <v>#N/A</v>
      </c>
      <c r="H36956" s="4" t="str">
        <v/>
      </c>
      <c r="I36956" s="4" t="str">
        <v/>
      </c>
    </row>
    <row r="36957" spans="5:9" ht="16.5" hidden="1">
      <c r="E36957" s="4" t="str">
        <v/>
      </c>
      <c r="F36957" s="102" t="str">
        <f ca="1">IFERROR(__xludf.DUMMYFUNCTION("IMPORTRANGE(H36957,""IDENTITAS UNIT!D9"")"),"#N/A")</f>
        <v>#N/A</v>
      </c>
      <c r="H36957" s="4" t="str">
        <v/>
      </c>
      <c r="I36957" s="4" t="str">
        <v/>
      </c>
    </row>
    <row r="36958" spans="5:9" ht="16.5" hidden="1">
      <c r="E36958" s="4" t="str">
        <v/>
      </c>
      <c r="F36958" s="102" t="str">
        <f ca="1">IFERROR(__xludf.DUMMYFUNCTION("IMPORTRANGE(H36958,""IDENTITAS UNIT!D9"")"),"#N/A")</f>
        <v>#N/A</v>
      </c>
      <c r="H36958" s="4" t="str">
        <v/>
      </c>
      <c r="I36958" s="4" t="str">
        <v/>
      </c>
    </row>
    <row r="36959" spans="5:9" ht="16.5" hidden="1">
      <c r="E36959" s="4" t="str">
        <v/>
      </c>
      <c r="F36959" s="102" t="str">
        <f ca="1">IFERROR(__xludf.DUMMYFUNCTION("IMPORTRANGE(H36959,""IDENTITAS UNIT!D9"")"),"#N/A")</f>
        <v>#N/A</v>
      </c>
      <c r="H36959" s="4" t="str">
        <v/>
      </c>
      <c r="I36959" s="4" t="str">
        <v/>
      </c>
    </row>
    <row r="36960" spans="5:9" ht="16.5" hidden="1">
      <c r="E36960" s="4" t="str">
        <v/>
      </c>
      <c r="F36960" s="102" t="str">
        <f ca="1">IFERROR(__xludf.DUMMYFUNCTION("IMPORTRANGE(H36960,""IDENTITAS UNIT!D9"")"),"#N/A")</f>
        <v>#N/A</v>
      </c>
      <c r="H36960" s="4" t="str">
        <v/>
      </c>
      <c r="I36960" s="4" t="str">
        <v/>
      </c>
    </row>
    <row r="36961" spans="5:9" ht="16.5" hidden="1">
      <c r="E36961" s="4" t="str">
        <v/>
      </c>
      <c r="F36961" s="102" t="str">
        <f ca="1">IFERROR(__xludf.DUMMYFUNCTION("IMPORTRANGE(H36961,""IDENTITAS UNIT!D9"")"),"#N/A")</f>
        <v>#N/A</v>
      </c>
      <c r="H36961" s="4" t="str">
        <v/>
      </c>
      <c r="I36961" s="4" t="str">
        <v/>
      </c>
    </row>
    <row r="36962" spans="5:9" ht="16.5" hidden="1">
      <c r="E36962" s="4" t="str">
        <v/>
      </c>
      <c r="F36962" s="102" t="str">
        <f ca="1">IFERROR(__xludf.DUMMYFUNCTION("IMPORTRANGE(H36962,""IDENTITAS UNIT!D9"")"),"#N/A")</f>
        <v>#N/A</v>
      </c>
      <c r="H36962" s="4" t="str">
        <v/>
      </c>
      <c r="I36962" s="4" t="str">
        <v/>
      </c>
    </row>
    <row r="36963" spans="5:9" ht="16.5" hidden="1">
      <c r="E36963" s="4" t="str">
        <v/>
      </c>
      <c r="F36963" s="102" t="str">
        <f ca="1">IFERROR(__xludf.DUMMYFUNCTION("IMPORTRANGE(H36963,""IDENTITAS UNIT!D9"")"),"#N/A")</f>
        <v>#N/A</v>
      </c>
      <c r="H36963" s="4" t="str">
        <v/>
      </c>
      <c r="I36963" s="4" t="str">
        <v/>
      </c>
    </row>
    <row r="36964" spans="5:9" ht="16.5" hidden="1">
      <c r="E36964" s="4" t="str">
        <v/>
      </c>
      <c r="F36964" s="102" t="str">
        <f ca="1">IFERROR(__xludf.DUMMYFUNCTION("IMPORTRANGE(H36964,""IDENTITAS UNIT!D9"")"),"#N/A")</f>
        <v>#N/A</v>
      </c>
      <c r="H36964" s="4" t="str">
        <v/>
      </c>
      <c r="I36964" s="4" t="str">
        <v/>
      </c>
    </row>
    <row r="36965" spans="5:9" ht="16.5" hidden="1">
      <c r="E36965" s="4" t="str">
        <v/>
      </c>
      <c r="F36965" s="102" t="str">
        <f ca="1">IFERROR(__xludf.DUMMYFUNCTION("IMPORTRANGE(H36965,""IDENTITAS UNIT!D9"")"),"#N/A")</f>
        <v>#N/A</v>
      </c>
      <c r="H36965" s="4" t="str">
        <v/>
      </c>
      <c r="I36965" s="4" t="str">
        <v/>
      </c>
    </row>
    <row r="36966" spans="5:9" ht="16.5" hidden="1">
      <c r="E36966" s="4" t="str">
        <v/>
      </c>
      <c r="F36966" s="102" t="str">
        <f ca="1">IFERROR(__xludf.DUMMYFUNCTION("IMPORTRANGE(H36966,""IDENTITAS UNIT!D9"")"),"#N/A")</f>
        <v>#N/A</v>
      </c>
      <c r="H36966" s="4" t="str">
        <v/>
      </c>
      <c r="I36966" s="4" t="str">
        <v/>
      </c>
    </row>
    <row r="36967" spans="5:9" ht="16.5" hidden="1">
      <c r="E36967" s="4" t="str">
        <v/>
      </c>
      <c r="F36967" s="102" t="str">
        <f ca="1">IFERROR(__xludf.DUMMYFUNCTION("IMPORTRANGE(H36967,""IDENTITAS UNIT!D9"")"),"#N/A")</f>
        <v>#N/A</v>
      </c>
      <c r="H36967" s="4" t="str">
        <v/>
      </c>
      <c r="I36967" s="4" t="str">
        <v/>
      </c>
    </row>
    <row r="36968" spans="5:9" ht="16.5" hidden="1">
      <c r="E36968" s="4" t="str">
        <v/>
      </c>
      <c r="F36968" s="102" t="str">
        <f ca="1">IFERROR(__xludf.DUMMYFUNCTION("IMPORTRANGE(H36968,""IDENTITAS UNIT!D9"")"),"#N/A")</f>
        <v>#N/A</v>
      </c>
      <c r="H36968" s="4" t="str">
        <v/>
      </c>
      <c r="I36968" s="4" t="str">
        <v/>
      </c>
    </row>
    <row r="36969" spans="5:9" ht="16.5" hidden="1">
      <c r="E36969" s="4" t="str">
        <v/>
      </c>
      <c r="F36969" s="102" t="str">
        <f ca="1">IFERROR(__xludf.DUMMYFUNCTION("IMPORTRANGE(H36969,""IDENTITAS UNIT!D9"")"),"#N/A")</f>
        <v>#N/A</v>
      </c>
      <c r="H36969" s="4" t="str">
        <v/>
      </c>
      <c r="I36969" s="4" t="str">
        <v/>
      </c>
    </row>
    <row r="36970" spans="5:9" ht="16.5" hidden="1">
      <c r="E36970" s="4" t="str">
        <v/>
      </c>
      <c r="F36970" s="102" t="str">
        <f ca="1">IFERROR(__xludf.DUMMYFUNCTION("IMPORTRANGE(H36970,""IDENTITAS UNIT!D9"")"),"#N/A")</f>
        <v>#N/A</v>
      </c>
      <c r="H36970" s="4" t="str">
        <v/>
      </c>
      <c r="I36970" s="4" t="str">
        <v/>
      </c>
    </row>
    <row r="36971" spans="5:9" ht="16.5" hidden="1">
      <c r="E36971" s="4" t="str">
        <v/>
      </c>
      <c r="F36971" s="102" t="str">
        <f ca="1">IFERROR(__xludf.DUMMYFUNCTION("IMPORTRANGE(H36971,""IDENTITAS UNIT!D9"")"),"#N/A")</f>
        <v>#N/A</v>
      </c>
      <c r="H36971" s="4" t="str">
        <v/>
      </c>
      <c r="I36971" s="4" t="str">
        <v/>
      </c>
    </row>
    <row r="36972" spans="5:9" ht="16.5" hidden="1">
      <c r="E36972" s="4" t="str">
        <v/>
      </c>
      <c r="F36972" s="102" t="str">
        <f ca="1">IFERROR(__xludf.DUMMYFUNCTION("IMPORTRANGE(H36972,""IDENTITAS UNIT!D9"")"),"#N/A")</f>
        <v>#N/A</v>
      </c>
      <c r="H36972" s="4" t="str">
        <v/>
      </c>
      <c r="I36972" s="4" t="str">
        <v/>
      </c>
    </row>
    <row r="36973" spans="5:9" ht="16.5" hidden="1">
      <c r="E36973" s="4" t="str">
        <v/>
      </c>
      <c r="F36973" s="102" t="str">
        <f ca="1">IFERROR(__xludf.DUMMYFUNCTION("IMPORTRANGE(H36973,""IDENTITAS UNIT!D9"")"),"#N/A")</f>
        <v>#N/A</v>
      </c>
      <c r="H36973" s="4" t="str">
        <v/>
      </c>
      <c r="I36973" s="4" t="str">
        <v/>
      </c>
    </row>
    <row r="36974" spans="5:9" ht="16.5" hidden="1">
      <c r="E36974" s="4" t="str">
        <v/>
      </c>
      <c r="F36974" s="102" t="str">
        <f ca="1">IFERROR(__xludf.DUMMYFUNCTION("IMPORTRANGE(H36974,""IDENTITAS UNIT!D9"")"),"#N/A")</f>
        <v>#N/A</v>
      </c>
      <c r="H36974" s="4" t="str">
        <v/>
      </c>
      <c r="I36974" s="4" t="str">
        <v/>
      </c>
    </row>
    <row r="36975" spans="5:9" ht="16.5" hidden="1">
      <c r="E36975" s="4" t="str">
        <v/>
      </c>
      <c r="F36975" s="102" t="str">
        <f ca="1">IFERROR(__xludf.DUMMYFUNCTION("IMPORTRANGE(H36975,""IDENTITAS UNIT!D9"")"),"#N/A")</f>
        <v>#N/A</v>
      </c>
      <c r="H36975" s="4" t="str">
        <v/>
      </c>
      <c r="I36975" s="4" t="str">
        <v/>
      </c>
    </row>
    <row r="36976" spans="5:9" ht="16.5" hidden="1">
      <c r="E36976" s="4" t="str">
        <v/>
      </c>
      <c r="F36976" s="102" t="str">
        <f ca="1">IFERROR(__xludf.DUMMYFUNCTION("IMPORTRANGE(H36976,""IDENTITAS UNIT!D9"")"),"#N/A")</f>
        <v>#N/A</v>
      </c>
      <c r="H36976" s="4" t="str">
        <v/>
      </c>
      <c r="I36976" s="4" t="str">
        <v/>
      </c>
    </row>
    <row r="36977" spans="5:9" ht="16.5" hidden="1">
      <c r="E36977" s="4" t="str">
        <v/>
      </c>
      <c r="F36977" s="102" t="str">
        <f ca="1">IFERROR(__xludf.DUMMYFUNCTION("IMPORTRANGE(H36977,""IDENTITAS UNIT!D9"")"),"#N/A")</f>
        <v>#N/A</v>
      </c>
      <c r="H36977" s="4" t="str">
        <v/>
      </c>
      <c r="I36977" s="4" t="str">
        <v/>
      </c>
    </row>
    <row r="36978" spans="5:9" ht="16.5" hidden="1">
      <c r="E36978" s="4" t="str">
        <v/>
      </c>
      <c r="F36978" s="102" t="str">
        <f ca="1">IFERROR(__xludf.DUMMYFUNCTION("IMPORTRANGE(H36978,""IDENTITAS UNIT!D9"")"),"#N/A")</f>
        <v>#N/A</v>
      </c>
      <c r="H36978" s="4" t="str">
        <v/>
      </c>
      <c r="I36978" s="4" t="str">
        <v/>
      </c>
    </row>
    <row r="36979" spans="5:9" ht="16.5" hidden="1">
      <c r="E36979" s="4" t="str">
        <v/>
      </c>
      <c r="F36979" s="102" t="str">
        <f ca="1">IFERROR(__xludf.DUMMYFUNCTION("IMPORTRANGE(H36979,""IDENTITAS UNIT!D9"")"),"#N/A")</f>
        <v>#N/A</v>
      </c>
      <c r="H36979" s="4" t="str">
        <v/>
      </c>
      <c r="I36979" s="4" t="str">
        <v/>
      </c>
    </row>
    <row r="36980" spans="5:9" ht="16.5" hidden="1">
      <c r="E36980" s="4" t="str">
        <v/>
      </c>
      <c r="F36980" s="102" t="str">
        <f ca="1">IFERROR(__xludf.DUMMYFUNCTION("IMPORTRANGE(H36980,""IDENTITAS UNIT!D9"")"),"#N/A")</f>
        <v>#N/A</v>
      </c>
      <c r="H36980" s="4" t="str">
        <v/>
      </c>
      <c r="I36980" s="4" t="str">
        <v/>
      </c>
    </row>
    <row r="36981" spans="5:9" ht="16.5" hidden="1">
      <c r="E36981" s="4" t="str">
        <v/>
      </c>
      <c r="F36981" s="102" t="str">
        <f ca="1">IFERROR(__xludf.DUMMYFUNCTION("IMPORTRANGE(H36981,""IDENTITAS UNIT!D9"")"),"#N/A")</f>
        <v>#N/A</v>
      </c>
      <c r="H36981" s="4" t="str">
        <v/>
      </c>
      <c r="I36981" s="4" t="str">
        <v/>
      </c>
    </row>
    <row r="36982" spans="5:9" ht="16.5" hidden="1">
      <c r="E36982" s="4" t="str">
        <v/>
      </c>
      <c r="F36982" s="102" t="str">
        <f ca="1">IFERROR(__xludf.DUMMYFUNCTION("IMPORTRANGE(H36982,""IDENTITAS UNIT!D9"")"),"#N/A")</f>
        <v>#N/A</v>
      </c>
      <c r="H36982" s="4" t="str">
        <v/>
      </c>
      <c r="I36982" s="4" t="str">
        <v/>
      </c>
    </row>
    <row r="36983" spans="5:9" ht="16.5" hidden="1">
      <c r="E36983" s="4" t="str">
        <v/>
      </c>
      <c r="F36983" s="102" t="str">
        <f ca="1">IFERROR(__xludf.DUMMYFUNCTION("IMPORTRANGE(H36983,""IDENTITAS UNIT!D9"")"),"#N/A")</f>
        <v>#N/A</v>
      </c>
      <c r="H36983" s="4" t="str">
        <v/>
      </c>
      <c r="I36983" s="4" t="str">
        <v/>
      </c>
    </row>
    <row r="36984" spans="5:9" ht="16.5" hidden="1">
      <c r="E36984" s="4" t="str">
        <v/>
      </c>
      <c r="F36984" s="102" t="str">
        <f ca="1">IFERROR(__xludf.DUMMYFUNCTION("IMPORTRANGE(H36984,""IDENTITAS UNIT!D9"")"),"#N/A")</f>
        <v>#N/A</v>
      </c>
      <c r="H36984" s="4" t="str">
        <v/>
      </c>
      <c r="I36984" s="4" t="str">
        <v/>
      </c>
    </row>
    <row r="36985" spans="5:9" ht="16.5" hidden="1">
      <c r="E36985" s="4" t="str">
        <v/>
      </c>
      <c r="F36985" s="102" t="str">
        <f ca="1">IFERROR(__xludf.DUMMYFUNCTION("IMPORTRANGE(H36985,""IDENTITAS UNIT!D9"")"),"#N/A")</f>
        <v>#N/A</v>
      </c>
      <c r="H36985" s="4" t="str">
        <v/>
      </c>
      <c r="I36985" s="4" t="str">
        <v/>
      </c>
    </row>
    <row r="36986" spans="5:9" ht="16.5" hidden="1">
      <c r="E36986" s="4" t="str">
        <v/>
      </c>
      <c r="F36986" s="102" t="str">
        <f ca="1">IFERROR(__xludf.DUMMYFUNCTION("IMPORTRANGE(H36986,""IDENTITAS UNIT!D9"")"),"#N/A")</f>
        <v>#N/A</v>
      </c>
      <c r="H36986" s="4" t="str">
        <v/>
      </c>
      <c r="I36986" s="4" t="str">
        <v/>
      </c>
    </row>
    <row r="36987" spans="5:9" ht="16.5" hidden="1">
      <c r="E36987" s="4" t="str">
        <v/>
      </c>
      <c r="F36987" s="102" t="str">
        <f ca="1">IFERROR(__xludf.DUMMYFUNCTION("IMPORTRANGE(H36987,""IDENTITAS UNIT!D9"")"),"#N/A")</f>
        <v>#N/A</v>
      </c>
      <c r="H36987" s="4" t="str">
        <v/>
      </c>
      <c r="I36987" s="4" t="str">
        <v/>
      </c>
    </row>
    <row r="36988" spans="5:9" ht="16.5" hidden="1">
      <c r="E36988" s="4" t="str">
        <v/>
      </c>
      <c r="F36988" s="102" t="str">
        <f ca="1">IFERROR(__xludf.DUMMYFUNCTION("IMPORTRANGE(H36988,""IDENTITAS UNIT!D9"")"),"#N/A")</f>
        <v>#N/A</v>
      </c>
      <c r="H36988" s="4" t="str">
        <v/>
      </c>
      <c r="I36988" s="4" t="str">
        <v/>
      </c>
    </row>
    <row r="36989" spans="5:9" ht="16.5" hidden="1">
      <c r="E36989" s="4" t="str">
        <v/>
      </c>
      <c r="F36989" s="102" t="str">
        <f ca="1">IFERROR(__xludf.DUMMYFUNCTION("IMPORTRANGE(H36989,""IDENTITAS UNIT!D9"")"),"#N/A")</f>
        <v>#N/A</v>
      </c>
      <c r="H36989" s="4" t="str">
        <v/>
      </c>
      <c r="I36989" s="4" t="str">
        <v/>
      </c>
    </row>
    <row r="36990" spans="5:9" ht="16.5" hidden="1">
      <c r="E36990" s="4" t="str">
        <v/>
      </c>
      <c r="F36990" s="102" t="str">
        <f ca="1">IFERROR(__xludf.DUMMYFUNCTION("IMPORTRANGE(H36990,""IDENTITAS UNIT!D9"")"),"#N/A")</f>
        <v>#N/A</v>
      </c>
      <c r="H36990" s="4" t="str">
        <v/>
      </c>
      <c r="I36990" s="4" t="str">
        <v/>
      </c>
    </row>
    <row r="36991" spans="5:9" ht="16.5" hidden="1">
      <c r="E36991" s="4" t="str">
        <v/>
      </c>
      <c r="F36991" s="102" t="str">
        <f ca="1">IFERROR(__xludf.DUMMYFUNCTION("IMPORTRANGE(H36991,""IDENTITAS UNIT!D9"")"),"#N/A")</f>
        <v>#N/A</v>
      </c>
      <c r="H36991" s="4" t="str">
        <v/>
      </c>
      <c r="I36991" s="4" t="str">
        <v/>
      </c>
    </row>
    <row r="36992" spans="5:9" ht="16.5" hidden="1">
      <c r="E36992" s="4" t="str">
        <v/>
      </c>
      <c r="F36992" s="102" t="str">
        <f ca="1">IFERROR(__xludf.DUMMYFUNCTION("IMPORTRANGE(H36992,""IDENTITAS UNIT!D9"")"),"#N/A")</f>
        <v>#N/A</v>
      </c>
      <c r="H36992" s="4" t="str">
        <v/>
      </c>
      <c r="I36992" s="4" t="str">
        <v/>
      </c>
    </row>
    <row r="36993" spans="5:9" ht="16.5" hidden="1">
      <c r="E36993" s="4" t="str">
        <v/>
      </c>
      <c r="F36993" s="102" t="str">
        <f ca="1">IFERROR(__xludf.DUMMYFUNCTION("IMPORTRANGE(H36993,""IDENTITAS UNIT!D9"")"),"#N/A")</f>
        <v>#N/A</v>
      </c>
      <c r="H36993" s="4" t="str">
        <v/>
      </c>
      <c r="I36993" s="4" t="str">
        <v/>
      </c>
    </row>
    <row r="36994" spans="5:9" ht="16.5" hidden="1">
      <c r="E36994" s="4" t="str">
        <v/>
      </c>
      <c r="F36994" s="102" t="str">
        <f ca="1">IFERROR(__xludf.DUMMYFUNCTION("IMPORTRANGE(H36994,""IDENTITAS UNIT!D9"")"),"#N/A")</f>
        <v>#N/A</v>
      </c>
      <c r="H36994" s="4" t="str">
        <v/>
      </c>
      <c r="I36994" s="4" t="str">
        <v/>
      </c>
    </row>
    <row r="36995" spans="5:9" ht="16.5" hidden="1">
      <c r="E36995" s="4" t="str">
        <v/>
      </c>
      <c r="F36995" s="102" t="str">
        <f ca="1">IFERROR(__xludf.DUMMYFUNCTION("IMPORTRANGE(H36995,""IDENTITAS UNIT!D9"")"),"#N/A")</f>
        <v>#N/A</v>
      </c>
      <c r="H36995" s="4" t="str">
        <v/>
      </c>
      <c r="I36995" s="4" t="str">
        <v/>
      </c>
    </row>
    <row r="36996" spans="5:9" ht="16.5" hidden="1">
      <c r="E36996" s="4" t="str">
        <v/>
      </c>
      <c r="F36996" s="102" t="str">
        <f ca="1">IFERROR(__xludf.DUMMYFUNCTION("IMPORTRANGE(H36996,""IDENTITAS UNIT!D9"")"),"#N/A")</f>
        <v>#N/A</v>
      </c>
      <c r="H36996" s="4" t="str">
        <v/>
      </c>
      <c r="I36996" s="4" t="str">
        <v/>
      </c>
    </row>
    <row r="36997" spans="5:9" ht="16.5" hidden="1">
      <c r="E36997" s="4" t="str">
        <v/>
      </c>
      <c r="F36997" s="102" t="str">
        <f ca="1">IFERROR(__xludf.DUMMYFUNCTION("IMPORTRANGE(H36997,""IDENTITAS UNIT!D9"")"),"#N/A")</f>
        <v>#N/A</v>
      </c>
      <c r="H36997" s="4" t="str">
        <v/>
      </c>
      <c r="I36997" s="4" t="str">
        <v/>
      </c>
    </row>
    <row r="36998" spans="5:9" ht="16.5" hidden="1">
      <c r="E36998" s="4" t="str">
        <v/>
      </c>
      <c r="F36998" s="102" t="str">
        <f ca="1">IFERROR(__xludf.DUMMYFUNCTION("IMPORTRANGE(H36998,""IDENTITAS UNIT!D9"")"),"#N/A")</f>
        <v>#N/A</v>
      </c>
      <c r="H36998" s="4" t="str">
        <v/>
      </c>
      <c r="I36998" s="4" t="str">
        <v/>
      </c>
    </row>
    <row r="36999" spans="5:9" ht="16.5" hidden="1">
      <c r="E36999" s="4" t="str">
        <v/>
      </c>
      <c r="F36999" s="102" t="str">
        <f ca="1">IFERROR(__xludf.DUMMYFUNCTION("IMPORTRANGE(H36999,""IDENTITAS UNIT!D9"")"),"#N/A")</f>
        <v>#N/A</v>
      </c>
      <c r="H36999" s="4" t="str">
        <v/>
      </c>
      <c r="I36999" s="4" t="str">
        <v/>
      </c>
    </row>
    <row r="37000" spans="5:9" ht="16.5" hidden="1">
      <c r="E37000" s="4" t="str">
        <v/>
      </c>
      <c r="F37000" s="102" t="str">
        <f ca="1">IFERROR(__xludf.DUMMYFUNCTION("IMPORTRANGE(H37000,""IDENTITAS UNIT!D9"")"),"#N/A")</f>
        <v>#N/A</v>
      </c>
      <c r="H37000" s="4" t="str">
        <v/>
      </c>
      <c r="I37000" s="4" t="str">
        <v/>
      </c>
    </row>
    <row r="37001" spans="5:9" ht="16.5" hidden="1">
      <c r="E37001" s="4" t="str">
        <v/>
      </c>
      <c r="F37001" s="102" t="str">
        <f ca="1">IFERROR(__xludf.DUMMYFUNCTION("IMPORTRANGE(H37001,""IDENTITAS UNIT!D9"")"),"#N/A")</f>
        <v>#N/A</v>
      </c>
      <c r="H37001" s="4" t="str">
        <v/>
      </c>
      <c r="I37001" s="4" t="str">
        <v/>
      </c>
    </row>
    <row r="37002" spans="5:9" ht="16.5" hidden="1">
      <c r="E37002" s="4" t="str">
        <v/>
      </c>
      <c r="F37002" s="102" t="str">
        <f ca="1">IFERROR(__xludf.DUMMYFUNCTION("IMPORTRANGE(H37002,""IDENTITAS UNIT!D9"")"),"#N/A")</f>
        <v>#N/A</v>
      </c>
      <c r="H37002" s="4" t="str">
        <v/>
      </c>
      <c r="I37002" s="4" t="str">
        <v/>
      </c>
    </row>
    <row r="37003" spans="5:9" ht="16.5" hidden="1">
      <c r="E37003" s="4" t="str">
        <v/>
      </c>
      <c r="F37003" s="102" t="str">
        <f ca="1">IFERROR(__xludf.DUMMYFUNCTION("IMPORTRANGE(H37003,""IDENTITAS UNIT!D9"")"),"#N/A")</f>
        <v>#N/A</v>
      </c>
      <c r="H37003" s="4" t="str">
        <v/>
      </c>
      <c r="I37003" s="4" t="str">
        <v/>
      </c>
    </row>
    <row r="37004" spans="5:9" ht="16.5" hidden="1">
      <c r="E37004" s="4" t="str">
        <v/>
      </c>
      <c r="F37004" s="102" t="str">
        <f ca="1">IFERROR(__xludf.DUMMYFUNCTION("IMPORTRANGE(H37004,""IDENTITAS UNIT!D9"")"),"#N/A")</f>
        <v>#N/A</v>
      </c>
      <c r="H37004" s="4" t="str">
        <v/>
      </c>
      <c r="I37004" s="4" t="str">
        <v/>
      </c>
    </row>
    <row r="37005" spans="5:9" ht="16.5" hidden="1">
      <c r="E37005" s="4" t="str">
        <v/>
      </c>
      <c r="F37005" s="102" t="str">
        <f ca="1">IFERROR(__xludf.DUMMYFUNCTION("IMPORTRANGE(H37005,""IDENTITAS UNIT!D9"")"),"#N/A")</f>
        <v>#N/A</v>
      </c>
      <c r="H37005" s="4" t="str">
        <v/>
      </c>
      <c r="I37005" s="4" t="str">
        <v/>
      </c>
    </row>
    <row r="37006" spans="5:9" ht="16.5" hidden="1">
      <c r="E37006" s="4" t="str">
        <v/>
      </c>
      <c r="F37006" s="102" t="str">
        <f ca="1">IFERROR(__xludf.DUMMYFUNCTION("IMPORTRANGE(H37006,""IDENTITAS UNIT!D9"")"),"#N/A")</f>
        <v>#N/A</v>
      </c>
      <c r="H37006" s="4" t="str">
        <v/>
      </c>
      <c r="I37006" s="4" t="str">
        <v/>
      </c>
    </row>
    <row r="37007" spans="5:9" ht="16.5" hidden="1">
      <c r="E37007" s="4" t="str">
        <v/>
      </c>
      <c r="F37007" s="102" t="str">
        <f ca="1">IFERROR(__xludf.DUMMYFUNCTION("IMPORTRANGE(H37007,""IDENTITAS UNIT!D9"")"),"#N/A")</f>
        <v>#N/A</v>
      </c>
      <c r="H37007" s="4" t="str">
        <v/>
      </c>
      <c r="I37007" s="4" t="str">
        <v/>
      </c>
    </row>
    <row r="37008" spans="5:9" ht="16.5" hidden="1">
      <c r="E37008" s="4" t="str">
        <v/>
      </c>
      <c r="F37008" s="102" t="str">
        <f ca="1">IFERROR(__xludf.DUMMYFUNCTION("IMPORTRANGE(H37008,""IDENTITAS UNIT!D9"")"),"#N/A")</f>
        <v>#N/A</v>
      </c>
      <c r="H37008" s="4" t="str">
        <v/>
      </c>
      <c r="I37008" s="4" t="str">
        <v/>
      </c>
    </row>
    <row r="37009" spans="5:9" ht="16.5" hidden="1">
      <c r="E37009" s="4" t="str">
        <v/>
      </c>
      <c r="F37009" s="102" t="str">
        <f ca="1">IFERROR(__xludf.DUMMYFUNCTION("IMPORTRANGE(H37009,""IDENTITAS UNIT!D9"")"),"#N/A")</f>
        <v>#N/A</v>
      </c>
      <c r="H37009" s="4" t="str">
        <v/>
      </c>
      <c r="I37009" s="4" t="str">
        <v/>
      </c>
    </row>
    <row r="37010" spans="5:9" ht="16.5" hidden="1">
      <c r="E37010" s="4" t="str">
        <v/>
      </c>
      <c r="F37010" s="102" t="str">
        <f ca="1">IFERROR(__xludf.DUMMYFUNCTION("IMPORTRANGE(H37010,""IDENTITAS UNIT!D9"")"),"#N/A")</f>
        <v>#N/A</v>
      </c>
      <c r="H37010" s="4" t="str">
        <v/>
      </c>
      <c r="I37010" s="4" t="str">
        <v/>
      </c>
    </row>
    <row r="37011" spans="5:9" ht="16.5" hidden="1">
      <c r="E37011" s="4" t="str">
        <v/>
      </c>
      <c r="F37011" s="102" t="str">
        <f ca="1">IFERROR(__xludf.DUMMYFUNCTION("IMPORTRANGE(H37011,""IDENTITAS UNIT!D9"")"),"#N/A")</f>
        <v>#N/A</v>
      </c>
      <c r="H37011" s="4" t="str">
        <v/>
      </c>
      <c r="I37011" s="4" t="str">
        <v/>
      </c>
    </row>
    <row r="37012" spans="5:9" ht="16.5" hidden="1">
      <c r="E37012" s="4" t="str">
        <v/>
      </c>
      <c r="F37012" s="102" t="str">
        <f ca="1">IFERROR(__xludf.DUMMYFUNCTION("IMPORTRANGE(H37012,""IDENTITAS UNIT!D9"")"),"#N/A")</f>
        <v>#N/A</v>
      </c>
      <c r="H37012" s="4" t="str">
        <v/>
      </c>
      <c r="I37012" s="4" t="str">
        <v/>
      </c>
    </row>
    <row r="37013" spans="5:9" ht="16.5" hidden="1">
      <c r="E37013" s="4" t="str">
        <v/>
      </c>
      <c r="F37013" s="102" t="str">
        <f ca="1">IFERROR(__xludf.DUMMYFUNCTION("IMPORTRANGE(H37013,""IDENTITAS UNIT!D9"")"),"#N/A")</f>
        <v>#N/A</v>
      </c>
      <c r="H37013" s="4" t="str">
        <v/>
      </c>
      <c r="I37013" s="4" t="str">
        <v/>
      </c>
    </row>
    <row r="37014" spans="5:9" ht="16.5" hidden="1">
      <c r="E37014" s="4" t="str">
        <v/>
      </c>
      <c r="F37014" s="102" t="str">
        <f ca="1">IFERROR(__xludf.DUMMYFUNCTION("IMPORTRANGE(H37014,""IDENTITAS UNIT!D9"")"),"#N/A")</f>
        <v>#N/A</v>
      </c>
      <c r="H37014" s="4" t="str">
        <v/>
      </c>
      <c r="I37014" s="4" t="str">
        <v/>
      </c>
    </row>
    <row r="37015" spans="5:9" ht="16.5" hidden="1">
      <c r="E37015" s="4" t="str">
        <v/>
      </c>
      <c r="F37015" s="102" t="str">
        <f ca="1">IFERROR(__xludf.DUMMYFUNCTION("IMPORTRANGE(H37015,""IDENTITAS UNIT!D9"")"),"#N/A")</f>
        <v>#N/A</v>
      </c>
      <c r="H37015" s="4" t="str">
        <v/>
      </c>
      <c r="I37015" s="4" t="str">
        <v/>
      </c>
    </row>
    <row r="37016" spans="5:9" ht="16.5" hidden="1">
      <c r="E37016" s="4" t="str">
        <v/>
      </c>
      <c r="F37016" s="102" t="str">
        <f ca="1">IFERROR(__xludf.DUMMYFUNCTION("IMPORTRANGE(H37016,""IDENTITAS UNIT!D9"")"),"#N/A")</f>
        <v>#N/A</v>
      </c>
      <c r="H37016" s="4" t="str">
        <v/>
      </c>
      <c r="I37016" s="4" t="str">
        <v/>
      </c>
    </row>
    <row r="37017" spans="5:9" ht="16.5" hidden="1">
      <c r="E37017" s="4" t="str">
        <v/>
      </c>
      <c r="F37017" s="102" t="str">
        <f ca="1">IFERROR(__xludf.DUMMYFUNCTION("IMPORTRANGE(H37017,""IDENTITAS UNIT!D9"")"),"#N/A")</f>
        <v>#N/A</v>
      </c>
      <c r="H37017" s="4" t="str">
        <v/>
      </c>
      <c r="I37017" s="4" t="str">
        <v/>
      </c>
    </row>
    <row r="37018" spans="5:9" ht="16.5" hidden="1">
      <c r="E37018" s="4" t="str">
        <v/>
      </c>
      <c r="F37018" s="102" t="str">
        <f ca="1">IFERROR(__xludf.DUMMYFUNCTION("IMPORTRANGE(H37018,""IDENTITAS UNIT!D9"")"),"#N/A")</f>
        <v>#N/A</v>
      </c>
      <c r="H37018" s="4" t="str">
        <v/>
      </c>
      <c r="I37018" s="4" t="str">
        <v/>
      </c>
    </row>
    <row r="37019" spans="5:9" ht="16.5" hidden="1">
      <c r="E37019" s="4" t="str">
        <v/>
      </c>
      <c r="F37019" s="102" t="str">
        <f ca="1">IFERROR(__xludf.DUMMYFUNCTION("IMPORTRANGE(H37019,""IDENTITAS UNIT!D9"")"),"#N/A")</f>
        <v>#N/A</v>
      </c>
      <c r="H37019" s="4" t="str">
        <v/>
      </c>
      <c r="I37019" s="4" t="str">
        <v/>
      </c>
    </row>
    <row r="37020" spans="5:9" ht="16.5" hidden="1">
      <c r="E37020" s="4" t="str">
        <v/>
      </c>
      <c r="F37020" s="102" t="str">
        <f ca="1">IFERROR(__xludf.DUMMYFUNCTION("IMPORTRANGE(H37020,""IDENTITAS UNIT!D9"")"),"#N/A")</f>
        <v>#N/A</v>
      </c>
      <c r="H37020" s="4" t="str">
        <v/>
      </c>
      <c r="I37020" s="4" t="str">
        <v/>
      </c>
    </row>
    <row r="37021" spans="5:9" ht="16.5" hidden="1">
      <c r="E37021" s="4" t="str">
        <v/>
      </c>
      <c r="F37021" s="102" t="str">
        <f ca="1">IFERROR(__xludf.DUMMYFUNCTION("IMPORTRANGE(H37021,""IDENTITAS UNIT!D9"")"),"#N/A")</f>
        <v>#N/A</v>
      </c>
      <c r="H37021" s="4" t="str">
        <v/>
      </c>
      <c r="I37021" s="4" t="str">
        <v/>
      </c>
    </row>
    <row r="37022" spans="5:9" ht="16.5" hidden="1">
      <c r="E37022" s="4" t="str">
        <v/>
      </c>
      <c r="F37022" s="102" t="str">
        <f ca="1">IFERROR(__xludf.DUMMYFUNCTION("IMPORTRANGE(H37022,""IDENTITAS UNIT!D9"")"),"#N/A")</f>
        <v>#N/A</v>
      </c>
      <c r="H37022" s="4" t="str">
        <v/>
      </c>
      <c r="I37022" s="4" t="str">
        <v/>
      </c>
    </row>
    <row r="37023" spans="5:9" ht="16.5" hidden="1">
      <c r="E37023" s="4" t="str">
        <v/>
      </c>
      <c r="F37023" s="102" t="str">
        <f ca="1">IFERROR(__xludf.DUMMYFUNCTION("IMPORTRANGE(H37023,""IDENTITAS UNIT!D9"")"),"#N/A")</f>
        <v>#N/A</v>
      </c>
      <c r="H37023" s="4" t="str">
        <v/>
      </c>
      <c r="I37023" s="4" t="str">
        <v/>
      </c>
    </row>
    <row r="37024" spans="5:9" ht="16.5" hidden="1">
      <c r="E37024" s="4" t="str">
        <v/>
      </c>
      <c r="F37024" s="102" t="str">
        <f ca="1">IFERROR(__xludf.DUMMYFUNCTION("IMPORTRANGE(H37024,""IDENTITAS UNIT!D9"")"),"#N/A")</f>
        <v>#N/A</v>
      </c>
      <c r="H37024" s="4" t="str">
        <v/>
      </c>
      <c r="I37024" s="4" t="str">
        <v/>
      </c>
    </row>
    <row r="37025" spans="5:9" ht="16.5" hidden="1">
      <c r="E37025" s="4" t="str">
        <v/>
      </c>
      <c r="F37025" s="102" t="str">
        <f ca="1">IFERROR(__xludf.DUMMYFUNCTION("IMPORTRANGE(H37025,""IDENTITAS UNIT!D9"")"),"#N/A")</f>
        <v>#N/A</v>
      </c>
      <c r="H37025" s="4" t="str">
        <v/>
      </c>
      <c r="I37025" s="4" t="str">
        <v/>
      </c>
    </row>
    <row r="37026" spans="5:9" ht="16.5" hidden="1">
      <c r="E37026" s="4" t="str">
        <v/>
      </c>
      <c r="F37026" s="102" t="str">
        <f ca="1">IFERROR(__xludf.DUMMYFUNCTION("IMPORTRANGE(H37026,""IDENTITAS UNIT!D9"")"),"#N/A")</f>
        <v>#N/A</v>
      </c>
      <c r="H37026" s="4" t="str">
        <v/>
      </c>
      <c r="I37026" s="4" t="str">
        <v/>
      </c>
    </row>
    <row r="37027" spans="5:9" ht="16.5" hidden="1">
      <c r="E37027" s="4" t="str">
        <v/>
      </c>
      <c r="F37027" s="102" t="str">
        <f ca="1">IFERROR(__xludf.DUMMYFUNCTION("IMPORTRANGE(H37027,""IDENTITAS UNIT!D9"")"),"#N/A")</f>
        <v>#N/A</v>
      </c>
      <c r="H37027" s="4" t="str">
        <v/>
      </c>
      <c r="I37027" s="4" t="str">
        <v/>
      </c>
    </row>
    <row r="37028" spans="5:9" ht="16.5" hidden="1">
      <c r="E37028" s="4" t="str">
        <v/>
      </c>
      <c r="F37028" s="102" t="str">
        <f ca="1">IFERROR(__xludf.DUMMYFUNCTION("IMPORTRANGE(H37028,""IDENTITAS UNIT!D9"")"),"#N/A")</f>
        <v>#N/A</v>
      </c>
      <c r="H37028" s="4" t="str">
        <v/>
      </c>
      <c r="I37028" s="4" t="str">
        <v/>
      </c>
    </row>
    <row r="37029" spans="5:9" ht="16.5" hidden="1">
      <c r="E37029" s="4" t="str">
        <v/>
      </c>
      <c r="F37029" s="102" t="str">
        <f ca="1">IFERROR(__xludf.DUMMYFUNCTION("IMPORTRANGE(H37029,""IDENTITAS UNIT!D9"")"),"#N/A")</f>
        <v>#N/A</v>
      </c>
      <c r="H37029" s="4" t="str">
        <v/>
      </c>
      <c r="I37029" s="4" t="str">
        <v/>
      </c>
    </row>
    <row r="37030" spans="5:9" ht="16.5" hidden="1">
      <c r="E37030" s="4" t="str">
        <v/>
      </c>
      <c r="F37030" s="102" t="str">
        <f ca="1">IFERROR(__xludf.DUMMYFUNCTION("IMPORTRANGE(H37030,""IDENTITAS UNIT!D9"")"),"#N/A")</f>
        <v>#N/A</v>
      </c>
      <c r="H37030" s="4" t="str">
        <v/>
      </c>
      <c r="I37030" s="4" t="str">
        <v/>
      </c>
    </row>
    <row r="37031" spans="5:9" ht="16.5" hidden="1">
      <c r="E37031" s="4" t="str">
        <v/>
      </c>
      <c r="F37031" s="102" t="str">
        <f ca="1">IFERROR(__xludf.DUMMYFUNCTION("IMPORTRANGE(H37031,""IDENTITAS UNIT!D9"")"),"#N/A")</f>
        <v>#N/A</v>
      </c>
      <c r="H37031" s="4" t="str">
        <v/>
      </c>
      <c r="I37031" s="4" t="str">
        <v/>
      </c>
    </row>
    <row r="37032" spans="5:9" ht="16.5" hidden="1">
      <c r="E37032" s="4" t="str">
        <v/>
      </c>
      <c r="F37032" s="102" t="str">
        <f ca="1">IFERROR(__xludf.DUMMYFUNCTION("IMPORTRANGE(H37032,""IDENTITAS UNIT!D9"")"),"#N/A")</f>
        <v>#N/A</v>
      </c>
      <c r="H37032" s="4" t="str">
        <v/>
      </c>
      <c r="I37032" s="4" t="str">
        <v/>
      </c>
    </row>
    <row r="37033" spans="5:9" ht="16.5" hidden="1">
      <c r="E37033" s="4" t="str">
        <v/>
      </c>
      <c r="F37033" s="102" t="str">
        <f ca="1">IFERROR(__xludf.DUMMYFUNCTION("IMPORTRANGE(H37033,""IDENTITAS UNIT!D9"")"),"#N/A")</f>
        <v>#N/A</v>
      </c>
      <c r="H37033" s="4" t="str">
        <v/>
      </c>
      <c r="I37033" s="4" t="str">
        <v/>
      </c>
    </row>
    <row r="37034" spans="5:9" ht="16.5" hidden="1">
      <c r="E37034" s="4" t="str">
        <v/>
      </c>
      <c r="F37034" s="102" t="str">
        <f ca="1">IFERROR(__xludf.DUMMYFUNCTION("IMPORTRANGE(H37034,""IDENTITAS UNIT!D9"")"),"#N/A")</f>
        <v>#N/A</v>
      </c>
      <c r="H37034" s="4" t="str">
        <v/>
      </c>
      <c r="I37034" s="4" t="str">
        <v/>
      </c>
    </row>
    <row r="37035" spans="5:9" ht="16.5" hidden="1">
      <c r="E37035" s="4" t="str">
        <v/>
      </c>
      <c r="F37035" s="102" t="str">
        <f ca="1">IFERROR(__xludf.DUMMYFUNCTION("IMPORTRANGE(H37035,""IDENTITAS UNIT!D9"")"),"#N/A")</f>
        <v>#N/A</v>
      </c>
      <c r="H37035" s="4" t="str">
        <v/>
      </c>
      <c r="I37035" s="4" t="str">
        <v/>
      </c>
    </row>
    <row r="37036" spans="5:9" ht="16.5" hidden="1">
      <c r="E37036" s="4" t="str">
        <v/>
      </c>
      <c r="F37036" s="102" t="str">
        <f ca="1">IFERROR(__xludf.DUMMYFUNCTION("IMPORTRANGE(H37036,""IDENTITAS UNIT!D9"")"),"#N/A")</f>
        <v>#N/A</v>
      </c>
      <c r="H37036" s="4" t="str">
        <v/>
      </c>
      <c r="I37036" s="4" t="str">
        <v/>
      </c>
    </row>
    <row r="37037" spans="5:9" ht="16.5" hidden="1">
      <c r="E37037" s="4" t="str">
        <v/>
      </c>
      <c r="F37037" s="102" t="str">
        <f ca="1">IFERROR(__xludf.DUMMYFUNCTION("IMPORTRANGE(H37037,""IDENTITAS UNIT!D9"")"),"#N/A")</f>
        <v>#N/A</v>
      </c>
      <c r="H37037" s="4" t="str">
        <v/>
      </c>
      <c r="I37037" s="4" t="str">
        <v/>
      </c>
    </row>
    <row r="37038" spans="5:9" ht="16.5" hidden="1">
      <c r="E37038" s="4" t="str">
        <v/>
      </c>
      <c r="F37038" s="102" t="str">
        <f ca="1">IFERROR(__xludf.DUMMYFUNCTION("IMPORTRANGE(H37038,""IDENTITAS UNIT!D9"")"),"#N/A")</f>
        <v>#N/A</v>
      </c>
      <c r="H37038" s="4" t="str">
        <v/>
      </c>
      <c r="I37038" s="4" t="str">
        <v/>
      </c>
    </row>
    <row r="37039" spans="5:9" ht="16.5" hidden="1">
      <c r="E37039" s="4" t="str">
        <v/>
      </c>
      <c r="F37039" s="102" t="str">
        <f ca="1">IFERROR(__xludf.DUMMYFUNCTION("IMPORTRANGE(H37039,""IDENTITAS UNIT!D9"")"),"#N/A")</f>
        <v>#N/A</v>
      </c>
      <c r="H37039" s="4" t="str">
        <v/>
      </c>
      <c r="I37039" s="4" t="str">
        <v/>
      </c>
    </row>
    <row r="37040" spans="5:9" ht="16.5" hidden="1">
      <c r="E37040" s="4" t="str">
        <v/>
      </c>
      <c r="F37040" s="102" t="str">
        <f ca="1">IFERROR(__xludf.DUMMYFUNCTION("IMPORTRANGE(H37040,""IDENTITAS UNIT!D9"")"),"#N/A")</f>
        <v>#N/A</v>
      </c>
      <c r="H37040" s="4" t="str">
        <v/>
      </c>
      <c r="I37040" s="4" t="str">
        <v/>
      </c>
    </row>
    <row r="37041" spans="5:9" ht="16.5" hidden="1">
      <c r="E37041" s="4" t="str">
        <v/>
      </c>
      <c r="F37041" s="102" t="str">
        <f ca="1">IFERROR(__xludf.DUMMYFUNCTION("IMPORTRANGE(H37041,""IDENTITAS UNIT!D9"")"),"#N/A")</f>
        <v>#N/A</v>
      </c>
      <c r="H37041" s="4" t="str">
        <v/>
      </c>
      <c r="I37041" s="4" t="str">
        <v/>
      </c>
    </row>
    <row r="37042" spans="5:9" ht="16.5" hidden="1">
      <c r="E37042" s="4" t="str">
        <v/>
      </c>
      <c r="F37042" s="102" t="str">
        <f ca="1">IFERROR(__xludf.DUMMYFUNCTION("IMPORTRANGE(H37042,""IDENTITAS UNIT!D9"")"),"#N/A")</f>
        <v>#N/A</v>
      </c>
      <c r="H37042" s="4" t="str">
        <v/>
      </c>
      <c r="I37042" s="4" t="str">
        <v/>
      </c>
    </row>
    <row r="37043" spans="5:9" ht="16.5" hidden="1">
      <c r="E37043" s="4" t="str">
        <v/>
      </c>
      <c r="F37043" s="102" t="str">
        <f ca="1">IFERROR(__xludf.DUMMYFUNCTION("IMPORTRANGE(H37043,""IDENTITAS UNIT!D9"")"),"#N/A")</f>
        <v>#N/A</v>
      </c>
      <c r="H37043" s="4" t="str">
        <v/>
      </c>
      <c r="I37043" s="4" t="str">
        <v/>
      </c>
    </row>
    <row r="37044" spans="5:9" ht="16.5" hidden="1">
      <c r="E37044" s="4" t="str">
        <v/>
      </c>
      <c r="F37044" s="102" t="str">
        <f ca="1">IFERROR(__xludf.DUMMYFUNCTION("IMPORTRANGE(H37044,""IDENTITAS UNIT!D9"")"),"#N/A")</f>
        <v>#N/A</v>
      </c>
      <c r="H37044" s="4" t="str">
        <v/>
      </c>
      <c r="I37044" s="4" t="str">
        <v/>
      </c>
    </row>
    <row r="37045" spans="5:9" ht="16.5" hidden="1">
      <c r="E37045" s="4" t="str">
        <v/>
      </c>
      <c r="F37045" s="102" t="str">
        <f ca="1">IFERROR(__xludf.DUMMYFUNCTION("IMPORTRANGE(H37045,""IDENTITAS UNIT!D9"")"),"#N/A")</f>
        <v>#N/A</v>
      </c>
      <c r="H37045" s="4" t="str">
        <v/>
      </c>
      <c r="I37045" s="4" t="str">
        <v/>
      </c>
    </row>
    <row r="37046" spans="5:9" ht="16.5" hidden="1">
      <c r="E37046" s="4" t="str">
        <v/>
      </c>
      <c r="F37046" s="102" t="str">
        <f ca="1">IFERROR(__xludf.DUMMYFUNCTION("IMPORTRANGE(H37046,""IDENTITAS UNIT!D9"")"),"#N/A")</f>
        <v>#N/A</v>
      </c>
      <c r="H37046" s="4" t="str">
        <v/>
      </c>
      <c r="I37046" s="4" t="str">
        <v/>
      </c>
    </row>
    <row r="37047" spans="5:9" ht="16.5" hidden="1">
      <c r="E37047" s="4" t="str">
        <v/>
      </c>
      <c r="F37047" s="102" t="str">
        <f ca="1">IFERROR(__xludf.DUMMYFUNCTION("IMPORTRANGE(H37047,""IDENTITAS UNIT!D9"")"),"#N/A")</f>
        <v>#N/A</v>
      </c>
      <c r="H37047" s="4" t="str">
        <v/>
      </c>
      <c r="I37047" s="4" t="str">
        <v/>
      </c>
    </row>
    <row r="37048" spans="5:9" ht="16.5" hidden="1">
      <c r="E37048" s="4" t="str">
        <v/>
      </c>
      <c r="F37048" s="102" t="str">
        <f ca="1">IFERROR(__xludf.DUMMYFUNCTION("IMPORTRANGE(H37048,""IDENTITAS UNIT!D9"")"),"#N/A")</f>
        <v>#N/A</v>
      </c>
      <c r="H37048" s="4" t="str">
        <v/>
      </c>
      <c r="I37048" s="4" t="str">
        <v/>
      </c>
    </row>
    <row r="37049" spans="5:9" ht="16.5" hidden="1">
      <c r="E37049" s="4" t="str">
        <v/>
      </c>
      <c r="F37049" s="102" t="str">
        <f ca="1">IFERROR(__xludf.DUMMYFUNCTION("IMPORTRANGE(H37049,""IDENTITAS UNIT!D9"")"),"#N/A")</f>
        <v>#N/A</v>
      </c>
      <c r="H37049" s="4" t="str">
        <v/>
      </c>
      <c r="I37049" s="4" t="str">
        <v/>
      </c>
    </row>
    <row r="37050" spans="5:9" ht="16.5" hidden="1">
      <c r="E37050" s="4" t="str">
        <v/>
      </c>
      <c r="F37050" s="102" t="str">
        <f ca="1">IFERROR(__xludf.DUMMYFUNCTION("IMPORTRANGE(H37050,""IDENTITAS UNIT!D9"")"),"#N/A")</f>
        <v>#N/A</v>
      </c>
      <c r="H37050" s="4" t="str">
        <v/>
      </c>
      <c r="I37050" s="4" t="str">
        <v/>
      </c>
    </row>
    <row r="37051" spans="5:9" ht="16.5" hidden="1">
      <c r="E37051" s="4" t="str">
        <v/>
      </c>
      <c r="F37051" s="102" t="str">
        <f ca="1">IFERROR(__xludf.DUMMYFUNCTION("IMPORTRANGE(H37051,""IDENTITAS UNIT!D9"")"),"#N/A")</f>
        <v>#N/A</v>
      </c>
      <c r="H37051" s="4" t="str">
        <v/>
      </c>
      <c r="I37051" s="4" t="str">
        <v/>
      </c>
    </row>
    <row r="37052" spans="5:9" ht="16.5" hidden="1">
      <c r="E37052" s="4" t="str">
        <v/>
      </c>
      <c r="F37052" s="102" t="str">
        <f ca="1">IFERROR(__xludf.DUMMYFUNCTION("IMPORTRANGE(H37052,""IDENTITAS UNIT!D9"")"),"#N/A")</f>
        <v>#N/A</v>
      </c>
      <c r="H37052" s="4" t="str">
        <v/>
      </c>
      <c r="I37052" s="4" t="str">
        <v/>
      </c>
    </row>
    <row r="37053" spans="5:9" ht="16.5" hidden="1">
      <c r="E37053" s="4" t="str">
        <v/>
      </c>
      <c r="F37053" s="102" t="str">
        <f ca="1">IFERROR(__xludf.DUMMYFUNCTION("IMPORTRANGE(H37053,""IDENTITAS UNIT!D9"")"),"#N/A")</f>
        <v>#N/A</v>
      </c>
      <c r="H37053" s="4" t="str">
        <v/>
      </c>
      <c r="I37053" s="4" t="str">
        <v/>
      </c>
    </row>
    <row r="37054" spans="5:9" ht="16.5" hidden="1">
      <c r="E37054" s="4" t="str">
        <v/>
      </c>
      <c r="F37054" s="102" t="str">
        <f ca="1">IFERROR(__xludf.DUMMYFUNCTION("IMPORTRANGE(H37054,""IDENTITAS UNIT!D9"")"),"#N/A")</f>
        <v>#N/A</v>
      </c>
      <c r="H37054" s="4" t="str">
        <v/>
      </c>
      <c r="I37054" s="4" t="str">
        <v/>
      </c>
    </row>
    <row r="37055" spans="5:9" ht="16.5" hidden="1">
      <c r="E37055" s="4" t="str">
        <v/>
      </c>
      <c r="F37055" s="102" t="str">
        <f ca="1">IFERROR(__xludf.DUMMYFUNCTION("IMPORTRANGE(H37055,""IDENTITAS UNIT!D9"")"),"#N/A")</f>
        <v>#N/A</v>
      </c>
      <c r="H37055" s="4" t="str">
        <v/>
      </c>
      <c r="I37055" s="4" t="str">
        <v/>
      </c>
    </row>
    <row r="37056" spans="5:9" ht="16.5" hidden="1">
      <c r="E37056" s="4" t="str">
        <v/>
      </c>
      <c r="F37056" s="102" t="str">
        <f ca="1">IFERROR(__xludf.DUMMYFUNCTION("IMPORTRANGE(H37056,""IDENTITAS UNIT!D9"")"),"#N/A")</f>
        <v>#N/A</v>
      </c>
      <c r="H37056" s="4" t="str">
        <v/>
      </c>
      <c r="I37056" s="4" t="str">
        <v/>
      </c>
    </row>
    <row r="37057" spans="5:9" ht="16.5" hidden="1">
      <c r="E37057" s="4" t="str">
        <v/>
      </c>
      <c r="F37057" s="102" t="str">
        <f ca="1">IFERROR(__xludf.DUMMYFUNCTION("IMPORTRANGE(H37057,""IDENTITAS UNIT!D9"")"),"#N/A")</f>
        <v>#N/A</v>
      </c>
      <c r="H37057" s="4" t="str">
        <v/>
      </c>
      <c r="I37057" s="4" t="str">
        <v/>
      </c>
    </row>
    <row r="37058" spans="5:9" ht="16.5" hidden="1">
      <c r="E37058" s="4" t="str">
        <v/>
      </c>
      <c r="F37058" s="102" t="str">
        <f ca="1">IFERROR(__xludf.DUMMYFUNCTION("IMPORTRANGE(H37058,""IDENTITAS UNIT!D9"")"),"#N/A")</f>
        <v>#N/A</v>
      </c>
      <c r="H37058" s="4" t="str">
        <v/>
      </c>
      <c r="I37058" s="4" t="str">
        <v/>
      </c>
    </row>
    <row r="37059" spans="5:9" ht="16.5" hidden="1">
      <c r="E37059" s="4" t="str">
        <v/>
      </c>
      <c r="F37059" s="102" t="str">
        <f ca="1">IFERROR(__xludf.DUMMYFUNCTION("IMPORTRANGE(H37059,""IDENTITAS UNIT!D9"")"),"#N/A")</f>
        <v>#N/A</v>
      </c>
      <c r="H37059" s="4" t="str">
        <v/>
      </c>
      <c r="I37059" s="4" t="str">
        <v/>
      </c>
    </row>
    <row r="37060" spans="5:9" ht="16.5" hidden="1">
      <c r="E37060" s="4" t="str">
        <v/>
      </c>
      <c r="F37060" s="102" t="str">
        <f ca="1">IFERROR(__xludf.DUMMYFUNCTION("IMPORTRANGE(H37060,""IDENTITAS UNIT!D9"")"),"#N/A")</f>
        <v>#N/A</v>
      </c>
      <c r="H37060" s="4" t="str">
        <v/>
      </c>
      <c r="I37060" s="4" t="str">
        <v/>
      </c>
    </row>
    <row r="37061" spans="5:9" ht="16.5" hidden="1">
      <c r="E37061" s="4" t="str">
        <v/>
      </c>
      <c r="F37061" s="102" t="str">
        <f ca="1">IFERROR(__xludf.DUMMYFUNCTION("IMPORTRANGE(H37061,""IDENTITAS UNIT!D9"")"),"#N/A")</f>
        <v>#N/A</v>
      </c>
      <c r="H37061" s="4" t="str">
        <v/>
      </c>
      <c r="I37061" s="4" t="str">
        <v/>
      </c>
    </row>
    <row r="37062" spans="5:9" ht="16.5" hidden="1">
      <c r="E37062" s="4" t="str">
        <v/>
      </c>
      <c r="F37062" s="102" t="str">
        <f ca="1">IFERROR(__xludf.DUMMYFUNCTION("IMPORTRANGE(H37062,""IDENTITAS UNIT!D9"")"),"#N/A")</f>
        <v>#N/A</v>
      </c>
      <c r="H37062" s="4" t="str">
        <v/>
      </c>
      <c r="I37062" s="4" t="str">
        <v/>
      </c>
    </row>
    <row r="37063" spans="5:9" ht="16.5" hidden="1">
      <c r="E37063" s="4" t="str">
        <v/>
      </c>
      <c r="F37063" s="102" t="str">
        <f ca="1">IFERROR(__xludf.DUMMYFUNCTION("IMPORTRANGE(H37063,""IDENTITAS UNIT!D9"")"),"#N/A")</f>
        <v>#N/A</v>
      </c>
      <c r="H37063" s="4" t="str">
        <v/>
      </c>
      <c r="I37063" s="4" t="str">
        <v/>
      </c>
    </row>
    <row r="37064" spans="5:9" ht="16.5" hidden="1">
      <c r="E37064" s="4" t="str">
        <v/>
      </c>
      <c r="F37064" s="102" t="str">
        <f ca="1">IFERROR(__xludf.DUMMYFUNCTION("IMPORTRANGE(H37064,""IDENTITAS UNIT!D9"")"),"#N/A")</f>
        <v>#N/A</v>
      </c>
      <c r="H37064" s="4" t="str">
        <v/>
      </c>
      <c r="I37064" s="4" t="str">
        <v/>
      </c>
    </row>
    <row r="37065" spans="5:9" ht="16.5" hidden="1">
      <c r="E37065" s="4" t="str">
        <v/>
      </c>
      <c r="F37065" s="102" t="str">
        <f ca="1">IFERROR(__xludf.DUMMYFUNCTION("IMPORTRANGE(H37065,""IDENTITAS UNIT!D9"")"),"#N/A")</f>
        <v>#N/A</v>
      </c>
      <c r="H37065" s="4" t="str">
        <v/>
      </c>
      <c r="I37065" s="4" t="str">
        <v/>
      </c>
    </row>
    <row r="37066" spans="5:9" ht="16.5" hidden="1">
      <c r="E37066" s="4" t="str">
        <v/>
      </c>
      <c r="F37066" s="102" t="str">
        <f ca="1">IFERROR(__xludf.DUMMYFUNCTION("IMPORTRANGE(H37066,""IDENTITAS UNIT!D9"")"),"#N/A")</f>
        <v>#N/A</v>
      </c>
      <c r="H37066" s="4" t="str">
        <v/>
      </c>
      <c r="I37066" s="4" t="str">
        <v/>
      </c>
    </row>
    <row r="37067" spans="5:9" ht="16.5" hidden="1">
      <c r="E37067" s="4" t="str">
        <v/>
      </c>
      <c r="F37067" s="102" t="str">
        <f ca="1">IFERROR(__xludf.DUMMYFUNCTION("IMPORTRANGE(H37067,""IDENTITAS UNIT!D9"")"),"#N/A")</f>
        <v>#N/A</v>
      </c>
      <c r="H37067" s="4" t="str">
        <v/>
      </c>
      <c r="I37067" s="4" t="str">
        <v/>
      </c>
    </row>
    <row r="37068" spans="5:9" ht="16.5" hidden="1">
      <c r="E37068" s="4" t="str">
        <v/>
      </c>
      <c r="F37068" s="102" t="str">
        <f ca="1">IFERROR(__xludf.DUMMYFUNCTION("IMPORTRANGE(H37068,""IDENTITAS UNIT!D9"")"),"#N/A")</f>
        <v>#N/A</v>
      </c>
      <c r="H37068" s="4" t="str">
        <v/>
      </c>
      <c r="I37068" s="4" t="str">
        <v/>
      </c>
    </row>
    <row r="37069" spans="5:9" ht="16.5" hidden="1">
      <c r="E37069" s="4" t="str">
        <v/>
      </c>
      <c r="F37069" s="102" t="str">
        <f ca="1">IFERROR(__xludf.DUMMYFUNCTION("IMPORTRANGE(H37069,""IDENTITAS UNIT!D9"")"),"#N/A")</f>
        <v>#N/A</v>
      </c>
      <c r="H37069" s="4" t="str">
        <v/>
      </c>
      <c r="I37069" s="4" t="str">
        <v/>
      </c>
    </row>
    <row r="37070" spans="5:9" ht="16.5" hidden="1">
      <c r="E37070" s="4" t="str">
        <v/>
      </c>
      <c r="F37070" s="102" t="str">
        <f ca="1">IFERROR(__xludf.DUMMYFUNCTION("IMPORTRANGE(H37070,""IDENTITAS UNIT!D9"")"),"#N/A")</f>
        <v>#N/A</v>
      </c>
      <c r="H37070" s="4" t="str">
        <v/>
      </c>
      <c r="I37070" s="4" t="str">
        <v/>
      </c>
    </row>
    <row r="37071" spans="5:9" ht="16.5" hidden="1">
      <c r="E37071" s="4" t="str">
        <v/>
      </c>
      <c r="F37071" s="102" t="str">
        <f ca="1">IFERROR(__xludf.DUMMYFUNCTION("IMPORTRANGE(H37071,""IDENTITAS UNIT!D9"")"),"#N/A")</f>
        <v>#N/A</v>
      </c>
      <c r="H37071" s="4" t="str">
        <v/>
      </c>
      <c r="I37071" s="4" t="str">
        <v/>
      </c>
    </row>
    <row r="37072" spans="5:9" ht="16.5" hidden="1">
      <c r="E37072" s="4" t="str">
        <v/>
      </c>
      <c r="F37072" s="102" t="str">
        <f ca="1">IFERROR(__xludf.DUMMYFUNCTION("IMPORTRANGE(H37072,""IDENTITAS UNIT!D9"")"),"#N/A")</f>
        <v>#N/A</v>
      </c>
      <c r="H37072" s="4" t="str">
        <v/>
      </c>
      <c r="I37072" s="4" t="str">
        <v/>
      </c>
    </row>
    <row r="37073" spans="5:9" ht="16.5" hidden="1">
      <c r="E37073" s="4" t="str">
        <v/>
      </c>
      <c r="F37073" s="102" t="str">
        <f ca="1">IFERROR(__xludf.DUMMYFUNCTION("IMPORTRANGE(H37073,""IDENTITAS UNIT!D9"")"),"#N/A")</f>
        <v>#N/A</v>
      </c>
      <c r="H37073" s="4" t="str">
        <v/>
      </c>
      <c r="I37073" s="4" t="str">
        <v/>
      </c>
    </row>
    <row r="37074" spans="5:9" ht="16.5" hidden="1">
      <c r="E37074" s="4" t="str">
        <v/>
      </c>
      <c r="F37074" s="102" t="str">
        <f ca="1">IFERROR(__xludf.DUMMYFUNCTION("IMPORTRANGE(H37074,""IDENTITAS UNIT!D9"")"),"#N/A")</f>
        <v>#N/A</v>
      </c>
      <c r="H37074" s="4" t="str">
        <v/>
      </c>
      <c r="I37074" s="4" t="str">
        <v/>
      </c>
    </row>
    <row r="37075" spans="5:9" ht="16.5" hidden="1">
      <c r="E37075" s="4" t="str">
        <v/>
      </c>
      <c r="F37075" s="102" t="str">
        <f ca="1">IFERROR(__xludf.DUMMYFUNCTION("IMPORTRANGE(H37075,""IDENTITAS UNIT!D9"")"),"#N/A")</f>
        <v>#N/A</v>
      </c>
      <c r="H37075" s="4" t="str">
        <v/>
      </c>
      <c r="I37075" s="4" t="str">
        <v/>
      </c>
    </row>
    <row r="37076" spans="5:9" ht="16.5" hidden="1">
      <c r="E37076" s="4" t="str">
        <v/>
      </c>
      <c r="F37076" s="102" t="str">
        <f ca="1">IFERROR(__xludf.DUMMYFUNCTION("IMPORTRANGE(H37076,""IDENTITAS UNIT!D9"")"),"#N/A")</f>
        <v>#N/A</v>
      </c>
      <c r="H37076" s="4" t="str">
        <v/>
      </c>
      <c r="I37076" s="4" t="str">
        <v/>
      </c>
    </row>
    <row r="37077" spans="5:9" ht="16.5" hidden="1">
      <c r="E37077" s="4" t="str">
        <v/>
      </c>
      <c r="F37077" s="102" t="str">
        <f ca="1">IFERROR(__xludf.DUMMYFUNCTION("IMPORTRANGE(H37077,""IDENTITAS UNIT!D9"")"),"#N/A")</f>
        <v>#N/A</v>
      </c>
      <c r="H37077" s="4" t="str">
        <v/>
      </c>
      <c r="I37077" s="4" t="str">
        <v/>
      </c>
    </row>
    <row r="37078" spans="5:9" ht="16.5" hidden="1">
      <c r="E37078" s="4" t="str">
        <v/>
      </c>
      <c r="F37078" s="102" t="str">
        <f ca="1">IFERROR(__xludf.DUMMYFUNCTION("IMPORTRANGE(H37078,""IDENTITAS UNIT!D9"")"),"#N/A")</f>
        <v>#N/A</v>
      </c>
      <c r="H37078" s="4" t="str">
        <v/>
      </c>
      <c r="I37078" s="4" t="str">
        <v/>
      </c>
    </row>
    <row r="37079" spans="5:9" ht="16.5" hidden="1">
      <c r="E37079" s="4" t="str">
        <v/>
      </c>
      <c r="F37079" s="102" t="str">
        <f ca="1">IFERROR(__xludf.DUMMYFUNCTION("IMPORTRANGE(H37079,""IDENTITAS UNIT!D9"")"),"#N/A")</f>
        <v>#N/A</v>
      </c>
      <c r="H37079" s="4" t="str">
        <v/>
      </c>
      <c r="I37079" s="4" t="str">
        <v/>
      </c>
    </row>
    <row r="37080" spans="5:9" ht="16.5" hidden="1">
      <c r="E37080" s="4" t="str">
        <v/>
      </c>
      <c r="F37080" s="102" t="str">
        <f ca="1">IFERROR(__xludf.DUMMYFUNCTION("IMPORTRANGE(H37080,""IDENTITAS UNIT!D9"")"),"#N/A")</f>
        <v>#N/A</v>
      </c>
      <c r="H37080" s="4" t="str">
        <v/>
      </c>
      <c r="I37080" s="4" t="str">
        <v/>
      </c>
    </row>
    <row r="37081" spans="5:9" ht="16.5" hidden="1">
      <c r="E37081" s="4" t="str">
        <v/>
      </c>
      <c r="F37081" s="102" t="str">
        <f ca="1">IFERROR(__xludf.DUMMYFUNCTION("IMPORTRANGE(H37081,""IDENTITAS UNIT!D9"")"),"#N/A")</f>
        <v>#N/A</v>
      </c>
      <c r="H37081" s="4" t="str">
        <v/>
      </c>
      <c r="I37081" s="4" t="str">
        <v/>
      </c>
    </row>
    <row r="37082" spans="5:9" ht="16.5" hidden="1">
      <c r="E37082" s="4" t="str">
        <v/>
      </c>
      <c r="F37082" s="102" t="str">
        <f ca="1">IFERROR(__xludf.DUMMYFUNCTION("IMPORTRANGE(H37082,""IDENTITAS UNIT!D9"")"),"#N/A")</f>
        <v>#N/A</v>
      </c>
      <c r="H37082" s="4" t="str">
        <v/>
      </c>
      <c r="I37082" s="4" t="str">
        <v/>
      </c>
    </row>
    <row r="37083" spans="5:9" ht="16.5" hidden="1">
      <c r="E37083" s="4" t="str">
        <v/>
      </c>
      <c r="F37083" s="102" t="str">
        <f ca="1">IFERROR(__xludf.DUMMYFUNCTION("IMPORTRANGE(H37083,""IDENTITAS UNIT!D9"")"),"#N/A")</f>
        <v>#N/A</v>
      </c>
      <c r="H37083" s="4" t="str">
        <v/>
      </c>
      <c r="I37083" s="4" t="str">
        <v/>
      </c>
    </row>
    <row r="37084" spans="5:9" ht="16.5" hidden="1">
      <c r="E37084" s="4" t="str">
        <v/>
      </c>
      <c r="F37084" s="102" t="str">
        <f ca="1">IFERROR(__xludf.DUMMYFUNCTION("IMPORTRANGE(H37084,""IDENTITAS UNIT!D9"")"),"#N/A")</f>
        <v>#N/A</v>
      </c>
      <c r="H37084" s="4" t="str">
        <v/>
      </c>
      <c r="I37084" s="4" t="str">
        <v/>
      </c>
    </row>
    <row r="37085" spans="5:9" ht="16.5" hidden="1">
      <c r="E37085" s="4" t="str">
        <v/>
      </c>
      <c r="F37085" s="102" t="str">
        <f ca="1">IFERROR(__xludf.DUMMYFUNCTION("IMPORTRANGE(H37085,""IDENTITAS UNIT!D9"")"),"#N/A")</f>
        <v>#N/A</v>
      </c>
      <c r="H37085" s="4" t="str">
        <v/>
      </c>
      <c r="I37085" s="4" t="str">
        <v/>
      </c>
    </row>
    <row r="37086" spans="5:9" ht="16.5" hidden="1">
      <c r="E37086" s="4" t="str">
        <v/>
      </c>
      <c r="F37086" s="102" t="str">
        <f ca="1">IFERROR(__xludf.DUMMYFUNCTION("IMPORTRANGE(H37086,""IDENTITAS UNIT!D9"")"),"#N/A")</f>
        <v>#N/A</v>
      </c>
      <c r="H37086" s="4" t="str">
        <v/>
      </c>
      <c r="I37086" s="4" t="str">
        <v/>
      </c>
    </row>
    <row r="37087" spans="5:9" ht="16.5" hidden="1">
      <c r="E37087" s="4" t="str">
        <v/>
      </c>
      <c r="F37087" s="102" t="str">
        <f ca="1">IFERROR(__xludf.DUMMYFUNCTION("IMPORTRANGE(H37087,""IDENTITAS UNIT!D9"")"),"#N/A")</f>
        <v>#N/A</v>
      </c>
      <c r="H37087" s="4" t="str">
        <v/>
      </c>
      <c r="I37087" s="4" t="str">
        <v/>
      </c>
    </row>
    <row r="37088" spans="5:9" ht="16.5" hidden="1">
      <c r="E37088" s="4" t="str">
        <v/>
      </c>
      <c r="F37088" s="102" t="str">
        <f ca="1">IFERROR(__xludf.DUMMYFUNCTION("IMPORTRANGE(H37088,""IDENTITAS UNIT!D9"")"),"#N/A")</f>
        <v>#N/A</v>
      </c>
      <c r="H37088" s="4" t="str">
        <v/>
      </c>
      <c r="I37088" s="4" t="str">
        <v/>
      </c>
    </row>
    <row r="37089" spans="5:9" ht="16.5" hidden="1">
      <c r="E37089" s="4" t="str">
        <v/>
      </c>
      <c r="F37089" s="102" t="str">
        <f ca="1">IFERROR(__xludf.DUMMYFUNCTION("IMPORTRANGE(H37089,""IDENTITAS UNIT!D9"")"),"#N/A")</f>
        <v>#N/A</v>
      </c>
      <c r="H37089" s="4" t="str">
        <v/>
      </c>
      <c r="I37089" s="4" t="str">
        <v/>
      </c>
    </row>
    <row r="37090" spans="5:9" ht="16.5" hidden="1">
      <c r="E37090" s="4" t="str">
        <v/>
      </c>
      <c r="F37090" s="102" t="str">
        <f ca="1">IFERROR(__xludf.DUMMYFUNCTION("IMPORTRANGE(H37090,""IDENTITAS UNIT!D9"")"),"#N/A")</f>
        <v>#N/A</v>
      </c>
      <c r="H37090" s="4" t="str">
        <v/>
      </c>
      <c r="I37090" s="4" t="str">
        <v/>
      </c>
    </row>
    <row r="37091" spans="5:9" ht="16.5" hidden="1">
      <c r="E37091" s="4" t="str">
        <v/>
      </c>
      <c r="F37091" s="102" t="str">
        <f ca="1">IFERROR(__xludf.DUMMYFUNCTION("IMPORTRANGE(H37091,""IDENTITAS UNIT!D9"")"),"#N/A")</f>
        <v>#N/A</v>
      </c>
      <c r="H37091" s="4" t="str">
        <v/>
      </c>
      <c r="I37091" s="4" t="str">
        <v/>
      </c>
    </row>
    <row r="37092" spans="5:9" ht="16.5" hidden="1">
      <c r="E37092" s="4" t="str">
        <v/>
      </c>
      <c r="F37092" s="102" t="str">
        <f ca="1">IFERROR(__xludf.DUMMYFUNCTION("IMPORTRANGE(H37092,""IDENTITAS UNIT!D9"")"),"#N/A")</f>
        <v>#N/A</v>
      </c>
      <c r="H37092" s="4" t="str">
        <v/>
      </c>
      <c r="I37092" s="4" t="str">
        <v/>
      </c>
    </row>
    <row r="37093" spans="5:9" ht="16.5" hidden="1">
      <c r="E37093" s="4" t="str">
        <v/>
      </c>
      <c r="F37093" s="102" t="str">
        <f ca="1">IFERROR(__xludf.DUMMYFUNCTION("IMPORTRANGE(H37093,""IDENTITAS UNIT!D9"")"),"#N/A")</f>
        <v>#N/A</v>
      </c>
      <c r="H37093" s="4" t="str">
        <v/>
      </c>
      <c r="I37093" s="4" t="str">
        <v/>
      </c>
    </row>
    <row r="37094" spans="5:9" ht="16.5" hidden="1">
      <c r="E37094" s="4" t="str">
        <v/>
      </c>
      <c r="F37094" s="102" t="str">
        <f ca="1">IFERROR(__xludf.DUMMYFUNCTION("IMPORTRANGE(H37094,""IDENTITAS UNIT!D9"")"),"#N/A")</f>
        <v>#N/A</v>
      </c>
      <c r="H37094" s="4" t="str">
        <v/>
      </c>
      <c r="I37094" s="4" t="str">
        <v/>
      </c>
    </row>
    <row r="37095" spans="5:9" ht="16.5" hidden="1">
      <c r="E37095" s="4" t="str">
        <v/>
      </c>
      <c r="F37095" s="102" t="str">
        <f ca="1">IFERROR(__xludf.DUMMYFUNCTION("IMPORTRANGE(H37095,""IDENTITAS UNIT!D9"")"),"#N/A")</f>
        <v>#N/A</v>
      </c>
      <c r="H37095" s="4" t="str">
        <v/>
      </c>
      <c r="I37095" s="4" t="str">
        <v/>
      </c>
    </row>
    <row r="37096" spans="5:9" ht="16.5" hidden="1">
      <c r="E37096" s="4" t="str">
        <v/>
      </c>
      <c r="F37096" s="102" t="str">
        <f ca="1">IFERROR(__xludf.DUMMYFUNCTION("IMPORTRANGE(H37096,""IDENTITAS UNIT!D9"")"),"#N/A")</f>
        <v>#N/A</v>
      </c>
      <c r="H37096" s="4" t="str">
        <v/>
      </c>
      <c r="I37096" s="4" t="str">
        <v/>
      </c>
    </row>
    <row r="37097" spans="5:9" ht="16.5" hidden="1">
      <c r="E37097" s="4" t="str">
        <v/>
      </c>
      <c r="F37097" s="102" t="str">
        <f ca="1">IFERROR(__xludf.DUMMYFUNCTION("IMPORTRANGE(H37097,""IDENTITAS UNIT!D9"")"),"#N/A")</f>
        <v>#N/A</v>
      </c>
      <c r="H37097" s="4" t="str">
        <v/>
      </c>
      <c r="I37097" s="4" t="str">
        <v/>
      </c>
    </row>
    <row r="37098" spans="5:9" ht="16.5" hidden="1">
      <c r="E37098" s="4" t="str">
        <v/>
      </c>
      <c r="F37098" s="102" t="str">
        <f ca="1">IFERROR(__xludf.DUMMYFUNCTION("IMPORTRANGE(H37098,""IDENTITAS UNIT!D9"")"),"#N/A")</f>
        <v>#N/A</v>
      </c>
      <c r="H37098" s="4" t="str">
        <v/>
      </c>
      <c r="I37098" s="4" t="str">
        <v/>
      </c>
    </row>
    <row r="37099" spans="5:9" ht="16.5" hidden="1">
      <c r="E37099" s="4" t="str">
        <v/>
      </c>
      <c r="F37099" s="102" t="str">
        <f ca="1">IFERROR(__xludf.DUMMYFUNCTION("IMPORTRANGE(H37099,""IDENTITAS UNIT!D9"")"),"#N/A")</f>
        <v>#N/A</v>
      </c>
      <c r="H37099" s="4" t="str">
        <v/>
      </c>
      <c r="I37099" s="4" t="str">
        <v/>
      </c>
    </row>
    <row r="37100" spans="5:9" ht="16.5" hidden="1">
      <c r="E37100" s="4" t="str">
        <v/>
      </c>
      <c r="F37100" s="102" t="str">
        <f ca="1">IFERROR(__xludf.DUMMYFUNCTION("IMPORTRANGE(H37100,""IDENTITAS UNIT!D9"")"),"#N/A")</f>
        <v>#N/A</v>
      </c>
      <c r="H37100" s="4" t="str">
        <v/>
      </c>
      <c r="I37100" s="4" t="str">
        <v/>
      </c>
    </row>
    <row r="37101" spans="5:9" ht="16.5" hidden="1">
      <c r="E37101" s="4" t="str">
        <v/>
      </c>
      <c r="F37101" s="102" t="str">
        <f ca="1">IFERROR(__xludf.DUMMYFUNCTION("IMPORTRANGE(H37101,""IDENTITAS UNIT!D9"")"),"#N/A")</f>
        <v>#N/A</v>
      </c>
      <c r="H37101" s="4" t="str">
        <v/>
      </c>
      <c r="I37101" s="4" t="str">
        <v/>
      </c>
    </row>
    <row r="37102" spans="5:9" ht="16.5" hidden="1">
      <c r="E37102" s="4" t="str">
        <v/>
      </c>
      <c r="F37102" s="102" t="str">
        <f ca="1">IFERROR(__xludf.DUMMYFUNCTION("IMPORTRANGE(H37102,""IDENTITAS UNIT!D9"")"),"#N/A")</f>
        <v>#N/A</v>
      </c>
      <c r="H37102" s="4" t="str">
        <v/>
      </c>
      <c r="I37102" s="4" t="str">
        <v/>
      </c>
    </row>
    <row r="37103" spans="5:9" ht="16.5" hidden="1">
      <c r="E37103" s="4" t="str">
        <v/>
      </c>
      <c r="F37103" s="102" t="str">
        <f ca="1">IFERROR(__xludf.DUMMYFUNCTION("IMPORTRANGE(H37103,""IDENTITAS UNIT!D9"")"),"#N/A")</f>
        <v>#N/A</v>
      </c>
      <c r="H37103" s="4" t="str">
        <v/>
      </c>
      <c r="I37103" s="4" t="str">
        <v/>
      </c>
    </row>
    <row r="37104" spans="5:9" ht="16.5" hidden="1">
      <c r="E37104" s="4" t="str">
        <v/>
      </c>
      <c r="F37104" s="102" t="str">
        <f ca="1">IFERROR(__xludf.DUMMYFUNCTION("IMPORTRANGE(H37104,""IDENTITAS UNIT!D9"")"),"#N/A")</f>
        <v>#N/A</v>
      </c>
      <c r="H37104" s="4" t="str">
        <v/>
      </c>
      <c r="I37104" s="4" t="str">
        <v/>
      </c>
    </row>
    <row r="37105" spans="5:9" ht="16.5" hidden="1">
      <c r="E37105" s="4" t="str">
        <v/>
      </c>
      <c r="F37105" s="102" t="str">
        <f ca="1">IFERROR(__xludf.DUMMYFUNCTION("IMPORTRANGE(H37105,""IDENTITAS UNIT!D9"")"),"#N/A")</f>
        <v>#N/A</v>
      </c>
      <c r="H37105" s="4" t="str">
        <v/>
      </c>
      <c r="I37105" s="4" t="str">
        <v/>
      </c>
    </row>
    <row r="37106" spans="5:9" ht="16.5" hidden="1">
      <c r="E37106" s="4" t="str">
        <v/>
      </c>
      <c r="F37106" s="102" t="str">
        <f ca="1">IFERROR(__xludf.DUMMYFUNCTION("IMPORTRANGE(H37106,""IDENTITAS UNIT!D9"")"),"#N/A")</f>
        <v>#N/A</v>
      </c>
      <c r="H37106" s="4" t="str">
        <v/>
      </c>
      <c r="I37106" s="4" t="str">
        <v/>
      </c>
    </row>
    <row r="37107" spans="5:9" ht="16.5" hidden="1">
      <c r="E37107" s="4" t="str">
        <v/>
      </c>
      <c r="F37107" s="102" t="str">
        <f ca="1">IFERROR(__xludf.DUMMYFUNCTION("IMPORTRANGE(H37107,""IDENTITAS UNIT!D9"")"),"#N/A")</f>
        <v>#N/A</v>
      </c>
      <c r="H37107" s="4" t="str">
        <v/>
      </c>
      <c r="I37107" s="4" t="str">
        <v/>
      </c>
    </row>
    <row r="37108" spans="5:9" ht="16.5" hidden="1">
      <c r="E37108" s="4" t="str">
        <v/>
      </c>
      <c r="F37108" s="102" t="str">
        <f ca="1">IFERROR(__xludf.DUMMYFUNCTION("IMPORTRANGE(H37108,""IDENTITAS UNIT!D9"")"),"#N/A")</f>
        <v>#N/A</v>
      </c>
      <c r="H37108" s="4" t="str">
        <v/>
      </c>
      <c r="I37108" s="4" t="str">
        <v/>
      </c>
    </row>
    <row r="37109" spans="5:9" ht="16.5" hidden="1">
      <c r="E37109" s="4" t="str">
        <v/>
      </c>
      <c r="F37109" s="102" t="str">
        <f ca="1">IFERROR(__xludf.DUMMYFUNCTION("IMPORTRANGE(H37109,""IDENTITAS UNIT!D9"")"),"#N/A")</f>
        <v>#N/A</v>
      </c>
      <c r="H37109" s="4" t="str">
        <v/>
      </c>
      <c r="I37109" s="4" t="str">
        <v/>
      </c>
    </row>
    <row r="37110" spans="5:9" ht="16.5" hidden="1">
      <c r="E37110" s="4" t="str">
        <v/>
      </c>
      <c r="F37110" s="102" t="str">
        <f ca="1">IFERROR(__xludf.DUMMYFUNCTION("IMPORTRANGE(H37110,""IDENTITAS UNIT!D9"")"),"#N/A")</f>
        <v>#N/A</v>
      </c>
      <c r="H37110" s="4" t="str">
        <v/>
      </c>
      <c r="I37110" s="4" t="str">
        <v/>
      </c>
    </row>
    <row r="37111" spans="5:9" ht="16.5" hidden="1">
      <c r="E37111" s="4" t="str">
        <v/>
      </c>
      <c r="F37111" s="102" t="str">
        <f ca="1">IFERROR(__xludf.DUMMYFUNCTION("IMPORTRANGE(H37111,""IDENTITAS UNIT!D9"")"),"#N/A")</f>
        <v>#N/A</v>
      </c>
      <c r="H37111" s="4" t="str">
        <v/>
      </c>
      <c r="I37111" s="4" t="str">
        <v/>
      </c>
    </row>
    <row r="37112" spans="5:9" ht="16.5" hidden="1">
      <c r="E37112" s="4" t="str">
        <v/>
      </c>
      <c r="F37112" s="102" t="str">
        <f ca="1">IFERROR(__xludf.DUMMYFUNCTION("IMPORTRANGE(H37112,""IDENTITAS UNIT!D9"")"),"#N/A")</f>
        <v>#N/A</v>
      </c>
      <c r="H37112" s="4" t="str">
        <v/>
      </c>
      <c r="I37112" s="4" t="str">
        <v/>
      </c>
    </row>
    <row r="37113" spans="5:9" ht="16.5" hidden="1">
      <c r="E37113" s="4" t="str">
        <v/>
      </c>
      <c r="F37113" s="102" t="str">
        <f ca="1">IFERROR(__xludf.DUMMYFUNCTION("IMPORTRANGE(H37113,""IDENTITAS UNIT!D9"")"),"#N/A")</f>
        <v>#N/A</v>
      </c>
      <c r="H37113" s="4" t="str">
        <v/>
      </c>
      <c r="I37113" s="4" t="str">
        <v/>
      </c>
    </row>
    <row r="37114" spans="5:9" ht="16.5" hidden="1">
      <c r="E37114" s="4" t="str">
        <v/>
      </c>
      <c r="F37114" s="102" t="str">
        <f ca="1">IFERROR(__xludf.DUMMYFUNCTION("IMPORTRANGE(H37114,""IDENTITAS UNIT!D9"")"),"#N/A")</f>
        <v>#N/A</v>
      </c>
      <c r="H37114" s="4" t="str">
        <v/>
      </c>
      <c r="I37114" s="4" t="str">
        <v/>
      </c>
    </row>
    <row r="37115" spans="5:9" ht="16.5" hidden="1">
      <c r="E37115" s="4" t="str">
        <v/>
      </c>
      <c r="F37115" s="102" t="str">
        <f ca="1">IFERROR(__xludf.DUMMYFUNCTION("IMPORTRANGE(H37115,""IDENTITAS UNIT!D9"")"),"#N/A")</f>
        <v>#N/A</v>
      </c>
      <c r="H37115" s="4" t="str">
        <v/>
      </c>
      <c r="I37115" s="4" t="str">
        <v/>
      </c>
    </row>
    <row r="37116" spans="5:9" ht="16.5" hidden="1">
      <c r="E37116" s="4" t="str">
        <v/>
      </c>
      <c r="F37116" s="102" t="str">
        <f ca="1">IFERROR(__xludf.DUMMYFUNCTION("IMPORTRANGE(H37116,""IDENTITAS UNIT!D9"")"),"#N/A")</f>
        <v>#N/A</v>
      </c>
      <c r="H37116" s="4" t="str">
        <v/>
      </c>
      <c r="I37116" s="4" t="str">
        <v/>
      </c>
    </row>
    <row r="37117" spans="5:9" ht="16.5" hidden="1">
      <c r="E37117" s="4" t="str">
        <v/>
      </c>
      <c r="F37117" s="102" t="str">
        <f ca="1">IFERROR(__xludf.DUMMYFUNCTION("IMPORTRANGE(H37117,""IDENTITAS UNIT!D9"")"),"#N/A")</f>
        <v>#N/A</v>
      </c>
      <c r="H37117" s="4" t="str">
        <v/>
      </c>
      <c r="I37117" s="4" t="str">
        <v/>
      </c>
    </row>
    <row r="37118" spans="5:9" ht="16.5" hidden="1">
      <c r="E37118" s="4" t="str">
        <v/>
      </c>
      <c r="F37118" s="102" t="str">
        <f ca="1">IFERROR(__xludf.DUMMYFUNCTION("IMPORTRANGE(H37118,""IDENTITAS UNIT!D9"")"),"#N/A")</f>
        <v>#N/A</v>
      </c>
      <c r="H37118" s="4" t="str">
        <v/>
      </c>
      <c r="I37118" s="4" t="str">
        <v/>
      </c>
    </row>
    <row r="37119" spans="5:9" ht="16.5" hidden="1">
      <c r="E37119" s="4" t="str">
        <v/>
      </c>
      <c r="F37119" s="102" t="str">
        <f ca="1">IFERROR(__xludf.DUMMYFUNCTION("IMPORTRANGE(H37119,""IDENTITAS UNIT!D9"")"),"#N/A")</f>
        <v>#N/A</v>
      </c>
      <c r="H37119" s="4" t="str">
        <v/>
      </c>
      <c r="I37119" s="4" t="str">
        <v/>
      </c>
    </row>
    <row r="37120" spans="5:9" ht="16.5" hidden="1">
      <c r="E37120" s="4" t="str">
        <v/>
      </c>
      <c r="F37120" s="102" t="str">
        <f ca="1">IFERROR(__xludf.DUMMYFUNCTION("IMPORTRANGE(H37120,""IDENTITAS UNIT!D9"")"),"#N/A")</f>
        <v>#N/A</v>
      </c>
      <c r="H37120" s="4" t="str">
        <v/>
      </c>
      <c r="I37120" s="4" t="str">
        <v/>
      </c>
    </row>
    <row r="37121" spans="5:9" ht="16.5" hidden="1">
      <c r="E37121" s="4" t="str">
        <v/>
      </c>
      <c r="F37121" s="102" t="str">
        <f ca="1">IFERROR(__xludf.DUMMYFUNCTION("IMPORTRANGE(H37121,""IDENTITAS UNIT!D9"")"),"#N/A")</f>
        <v>#N/A</v>
      </c>
      <c r="H37121" s="4" t="str">
        <v/>
      </c>
      <c r="I37121" s="4" t="str">
        <v/>
      </c>
    </row>
    <row r="37122" spans="5:9" ht="16.5" hidden="1">
      <c r="E37122" s="4" t="str">
        <v/>
      </c>
      <c r="F37122" s="102" t="str">
        <f ca="1">IFERROR(__xludf.DUMMYFUNCTION("IMPORTRANGE(H37122,""IDENTITAS UNIT!D9"")"),"#N/A")</f>
        <v>#N/A</v>
      </c>
      <c r="H37122" s="4" t="str">
        <v/>
      </c>
      <c r="I37122" s="4" t="str">
        <v/>
      </c>
    </row>
    <row r="37123" spans="5:9" ht="16.5" hidden="1">
      <c r="E37123" s="4" t="str">
        <v/>
      </c>
      <c r="F37123" s="102" t="str">
        <f ca="1">IFERROR(__xludf.DUMMYFUNCTION("IMPORTRANGE(H37123,""IDENTITAS UNIT!D9"")"),"#N/A")</f>
        <v>#N/A</v>
      </c>
      <c r="H37123" s="4" t="str">
        <v/>
      </c>
      <c r="I37123" s="4" t="str">
        <v/>
      </c>
    </row>
    <row r="37124" spans="5:9" ht="16.5" hidden="1">
      <c r="E37124" s="4" t="str">
        <v/>
      </c>
      <c r="F37124" s="102" t="str">
        <f ca="1">IFERROR(__xludf.DUMMYFUNCTION("IMPORTRANGE(H37124,""IDENTITAS UNIT!D9"")"),"#N/A")</f>
        <v>#N/A</v>
      </c>
      <c r="H37124" s="4" t="str">
        <v/>
      </c>
      <c r="I37124" s="4" t="str">
        <v/>
      </c>
    </row>
    <row r="37125" spans="5:9" ht="16.5" hidden="1">
      <c r="E37125" s="4" t="str">
        <v/>
      </c>
      <c r="F37125" s="102" t="str">
        <f ca="1">IFERROR(__xludf.DUMMYFUNCTION("IMPORTRANGE(H37125,""IDENTITAS UNIT!D9"")"),"#N/A")</f>
        <v>#N/A</v>
      </c>
      <c r="H37125" s="4" t="str">
        <v/>
      </c>
      <c r="I37125" s="4" t="str">
        <v/>
      </c>
    </row>
    <row r="37126" spans="5:9" ht="16.5" hidden="1">
      <c r="E37126" s="4" t="str">
        <v/>
      </c>
      <c r="F37126" s="102" t="str">
        <f ca="1">IFERROR(__xludf.DUMMYFUNCTION("IMPORTRANGE(H37126,""IDENTITAS UNIT!D9"")"),"#N/A")</f>
        <v>#N/A</v>
      </c>
      <c r="H37126" s="4" t="str">
        <v/>
      </c>
      <c r="I37126" s="4" t="str">
        <v/>
      </c>
    </row>
    <row r="37127" spans="5:9" ht="16.5" hidden="1">
      <c r="E37127" s="4" t="str">
        <v/>
      </c>
      <c r="F37127" s="102" t="str">
        <f ca="1">IFERROR(__xludf.DUMMYFUNCTION("IMPORTRANGE(H37127,""IDENTITAS UNIT!D9"")"),"#N/A")</f>
        <v>#N/A</v>
      </c>
      <c r="H37127" s="4" t="str">
        <v/>
      </c>
      <c r="I37127" s="4" t="str">
        <v/>
      </c>
    </row>
    <row r="37128" spans="5:9" ht="16.5" hidden="1">
      <c r="E37128" s="4" t="str">
        <v/>
      </c>
      <c r="F37128" s="102" t="str">
        <f ca="1">IFERROR(__xludf.DUMMYFUNCTION("IMPORTRANGE(H37128,""IDENTITAS UNIT!D9"")"),"#N/A")</f>
        <v>#N/A</v>
      </c>
      <c r="H37128" s="4" t="str">
        <v/>
      </c>
      <c r="I37128" s="4" t="str">
        <v/>
      </c>
    </row>
    <row r="37129" spans="5:9" ht="16.5" hidden="1">
      <c r="E37129" s="4" t="str">
        <v/>
      </c>
      <c r="F37129" s="102" t="str">
        <f ca="1">IFERROR(__xludf.DUMMYFUNCTION("IMPORTRANGE(H37129,""IDENTITAS UNIT!D9"")"),"#N/A")</f>
        <v>#N/A</v>
      </c>
      <c r="H37129" s="4" t="str">
        <v/>
      </c>
      <c r="I37129" s="4" t="str">
        <v/>
      </c>
    </row>
    <row r="37130" spans="5:9" ht="16.5" hidden="1">
      <c r="E37130" s="4" t="str">
        <v/>
      </c>
      <c r="F37130" s="102" t="str">
        <f ca="1">IFERROR(__xludf.DUMMYFUNCTION("IMPORTRANGE(H37130,""IDENTITAS UNIT!D9"")"),"#N/A")</f>
        <v>#N/A</v>
      </c>
      <c r="H37130" s="4" t="str">
        <v/>
      </c>
      <c r="I37130" s="4" t="str">
        <v/>
      </c>
    </row>
    <row r="37131" spans="5:9" ht="16.5" hidden="1">
      <c r="E37131" s="4" t="str">
        <v/>
      </c>
      <c r="F37131" s="102" t="str">
        <f ca="1">IFERROR(__xludf.DUMMYFUNCTION("IMPORTRANGE(H37131,""IDENTITAS UNIT!D9"")"),"#N/A")</f>
        <v>#N/A</v>
      </c>
      <c r="H37131" s="4" t="str">
        <v/>
      </c>
      <c r="I37131" s="4" t="str">
        <v/>
      </c>
    </row>
    <row r="37132" spans="5:9" ht="16.5" hidden="1">
      <c r="E37132" s="4" t="str">
        <v/>
      </c>
      <c r="F37132" s="102" t="str">
        <f ca="1">IFERROR(__xludf.DUMMYFUNCTION("IMPORTRANGE(H37132,""IDENTITAS UNIT!D9"")"),"#N/A")</f>
        <v>#N/A</v>
      </c>
      <c r="H37132" s="4" t="str">
        <v/>
      </c>
      <c r="I37132" s="4" t="str">
        <v/>
      </c>
    </row>
    <row r="37133" spans="5:9" ht="16.5" hidden="1">
      <c r="E37133" s="4" t="str">
        <v/>
      </c>
      <c r="F37133" s="102" t="str">
        <f ca="1">IFERROR(__xludf.DUMMYFUNCTION("IMPORTRANGE(H37133,""IDENTITAS UNIT!D9"")"),"#N/A")</f>
        <v>#N/A</v>
      </c>
      <c r="H37133" s="4" t="str">
        <v/>
      </c>
      <c r="I37133" s="4" t="str">
        <v/>
      </c>
    </row>
    <row r="37134" spans="5:9" ht="16.5" hidden="1">
      <c r="E37134" s="4" t="str">
        <v/>
      </c>
      <c r="F37134" s="102" t="str">
        <f ca="1">IFERROR(__xludf.DUMMYFUNCTION("IMPORTRANGE(H37134,""IDENTITAS UNIT!D9"")"),"#N/A")</f>
        <v>#N/A</v>
      </c>
      <c r="H37134" s="4" t="str">
        <v/>
      </c>
      <c r="I37134" s="4" t="str">
        <v/>
      </c>
    </row>
    <row r="37135" spans="5:9" ht="16.5" hidden="1">
      <c r="E37135" s="4" t="str">
        <v/>
      </c>
      <c r="F37135" s="102" t="str">
        <f ca="1">IFERROR(__xludf.DUMMYFUNCTION("IMPORTRANGE(H37135,""IDENTITAS UNIT!D9"")"),"#N/A")</f>
        <v>#N/A</v>
      </c>
      <c r="H37135" s="4" t="str">
        <v/>
      </c>
      <c r="I37135" s="4" t="str">
        <v/>
      </c>
    </row>
    <row r="37136" spans="5:9" ht="16.5" hidden="1">
      <c r="E37136" s="4" t="str">
        <v/>
      </c>
      <c r="F37136" s="102" t="str">
        <f ca="1">IFERROR(__xludf.DUMMYFUNCTION("IMPORTRANGE(H37136,""IDENTITAS UNIT!D9"")"),"#N/A")</f>
        <v>#N/A</v>
      </c>
      <c r="H37136" s="4" t="str">
        <v/>
      </c>
      <c r="I37136" s="4" t="str">
        <v/>
      </c>
    </row>
    <row r="37137" spans="5:9" ht="16.5" hidden="1">
      <c r="E37137" s="4" t="str">
        <v/>
      </c>
      <c r="F37137" s="102" t="str">
        <f ca="1">IFERROR(__xludf.DUMMYFUNCTION("IMPORTRANGE(H37137,""IDENTITAS UNIT!D9"")"),"#N/A")</f>
        <v>#N/A</v>
      </c>
      <c r="H37137" s="4" t="str">
        <v/>
      </c>
      <c r="I37137" s="4" t="str">
        <v/>
      </c>
    </row>
    <row r="37138" spans="5:9" ht="16.5" hidden="1">
      <c r="E37138" s="4" t="str">
        <v/>
      </c>
      <c r="F37138" s="102" t="str">
        <f ca="1">IFERROR(__xludf.DUMMYFUNCTION("IMPORTRANGE(H37138,""IDENTITAS UNIT!D9"")"),"#N/A")</f>
        <v>#N/A</v>
      </c>
      <c r="H37138" s="4" t="str">
        <v/>
      </c>
      <c r="I37138" s="4" t="str">
        <v/>
      </c>
    </row>
    <row r="37139" spans="5:9" ht="16.5" hidden="1">
      <c r="E37139" s="4" t="str">
        <v/>
      </c>
      <c r="F37139" s="102" t="str">
        <f ca="1">IFERROR(__xludf.DUMMYFUNCTION("IMPORTRANGE(H37139,""IDENTITAS UNIT!D9"")"),"#N/A")</f>
        <v>#N/A</v>
      </c>
      <c r="H37139" s="4" t="str">
        <v/>
      </c>
      <c r="I37139" s="4" t="str">
        <v/>
      </c>
    </row>
    <row r="37140" spans="5:9" ht="16.5" hidden="1">
      <c r="E37140" s="4" t="str">
        <v/>
      </c>
      <c r="F37140" s="102" t="str">
        <f ca="1">IFERROR(__xludf.DUMMYFUNCTION("IMPORTRANGE(H37140,""IDENTITAS UNIT!D9"")"),"#N/A")</f>
        <v>#N/A</v>
      </c>
      <c r="H37140" s="4" t="str">
        <v/>
      </c>
      <c r="I37140" s="4" t="str">
        <v/>
      </c>
    </row>
    <row r="37141" spans="5:9" ht="16.5" hidden="1">
      <c r="E37141" s="4" t="str">
        <v/>
      </c>
      <c r="F37141" s="102" t="str">
        <f ca="1">IFERROR(__xludf.DUMMYFUNCTION("IMPORTRANGE(H37141,""IDENTITAS UNIT!D9"")"),"#N/A")</f>
        <v>#N/A</v>
      </c>
      <c r="H37141" s="4" t="str">
        <v/>
      </c>
      <c r="I37141" s="4" t="str">
        <v/>
      </c>
    </row>
    <row r="37142" spans="5:9" ht="16.5" hidden="1">
      <c r="E37142" s="4" t="str">
        <v/>
      </c>
      <c r="F37142" s="102" t="str">
        <f ca="1">IFERROR(__xludf.DUMMYFUNCTION("IMPORTRANGE(H37142,""IDENTITAS UNIT!D9"")"),"#N/A")</f>
        <v>#N/A</v>
      </c>
      <c r="H37142" s="4" t="str">
        <v/>
      </c>
      <c r="I37142" s="4" t="str">
        <v/>
      </c>
    </row>
    <row r="37143" spans="5:9" ht="16.5" hidden="1">
      <c r="E37143" s="4" t="str">
        <v/>
      </c>
      <c r="F37143" s="102" t="str">
        <f ca="1">IFERROR(__xludf.DUMMYFUNCTION("IMPORTRANGE(H37143,""IDENTITAS UNIT!D9"")"),"#N/A")</f>
        <v>#N/A</v>
      </c>
      <c r="H37143" s="4" t="str">
        <v/>
      </c>
      <c r="I37143" s="4" t="str">
        <v/>
      </c>
    </row>
    <row r="37144" spans="5:9" ht="16.5" hidden="1">
      <c r="E37144" s="4" t="str">
        <v/>
      </c>
      <c r="F37144" s="102" t="str">
        <f ca="1">IFERROR(__xludf.DUMMYFUNCTION("IMPORTRANGE(H37144,""IDENTITAS UNIT!D9"")"),"#N/A")</f>
        <v>#N/A</v>
      </c>
      <c r="H37144" s="4" t="str">
        <v/>
      </c>
      <c r="I37144" s="4" t="str">
        <v/>
      </c>
    </row>
    <row r="37145" spans="5:9" ht="16.5" hidden="1">
      <c r="E37145" s="4" t="str">
        <v/>
      </c>
      <c r="F37145" s="102" t="str">
        <f ca="1">IFERROR(__xludf.DUMMYFUNCTION("IMPORTRANGE(H37145,""IDENTITAS UNIT!D9"")"),"#N/A")</f>
        <v>#N/A</v>
      </c>
      <c r="H37145" s="4" t="str">
        <v/>
      </c>
      <c r="I37145" s="4" t="str">
        <v/>
      </c>
    </row>
    <row r="37146" spans="5:9" ht="16.5" hidden="1">
      <c r="E37146" s="4" t="str">
        <v/>
      </c>
      <c r="F37146" s="102" t="str">
        <f ca="1">IFERROR(__xludf.DUMMYFUNCTION("IMPORTRANGE(H37146,""IDENTITAS UNIT!D9"")"),"#N/A")</f>
        <v>#N/A</v>
      </c>
      <c r="H37146" s="4" t="str">
        <v/>
      </c>
      <c r="I37146" s="4" t="str">
        <v/>
      </c>
    </row>
    <row r="37147" spans="5:9" ht="16.5" hidden="1">
      <c r="E37147" s="4" t="str">
        <v/>
      </c>
      <c r="F37147" s="102" t="str">
        <f ca="1">IFERROR(__xludf.DUMMYFUNCTION("IMPORTRANGE(H37147,""IDENTITAS UNIT!D9"")"),"#N/A")</f>
        <v>#N/A</v>
      </c>
      <c r="H37147" s="4" t="str">
        <v/>
      </c>
      <c r="I37147" s="4" t="str">
        <v/>
      </c>
    </row>
    <row r="37148" spans="5:9" ht="16.5" hidden="1">
      <c r="E37148" s="4" t="str">
        <v/>
      </c>
      <c r="F37148" s="102" t="str">
        <f ca="1">IFERROR(__xludf.DUMMYFUNCTION("IMPORTRANGE(H37148,""IDENTITAS UNIT!D9"")"),"#N/A")</f>
        <v>#N/A</v>
      </c>
      <c r="H37148" s="4" t="str">
        <v/>
      </c>
      <c r="I37148" s="4" t="str">
        <v/>
      </c>
    </row>
    <row r="37149" spans="5:9" ht="16.5" hidden="1">
      <c r="E37149" s="4" t="str">
        <v/>
      </c>
      <c r="F37149" s="102" t="str">
        <f ca="1">IFERROR(__xludf.DUMMYFUNCTION("IMPORTRANGE(H37149,""IDENTITAS UNIT!D9"")"),"#N/A")</f>
        <v>#N/A</v>
      </c>
      <c r="H37149" s="4" t="str">
        <v/>
      </c>
      <c r="I37149" s="4" t="str">
        <v/>
      </c>
    </row>
    <row r="37150" spans="5:9" ht="16.5" hidden="1">
      <c r="E37150" s="4" t="str">
        <v/>
      </c>
      <c r="F37150" s="102" t="str">
        <f ca="1">IFERROR(__xludf.DUMMYFUNCTION("IMPORTRANGE(H37150,""IDENTITAS UNIT!D9"")"),"#N/A")</f>
        <v>#N/A</v>
      </c>
      <c r="H37150" s="4" t="str">
        <v/>
      </c>
      <c r="I37150" s="4" t="str">
        <v/>
      </c>
    </row>
    <row r="37151" spans="5:9" ht="16.5" hidden="1">
      <c r="E37151" s="4" t="str">
        <v/>
      </c>
      <c r="F37151" s="102" t="str">
        <f ca="1">IFERROR(__xludf.DUMMYFUNCTION("IMPORTRANGE(H37151,""IDENTITAS UNIT!D9"")"),"#N/A")</f>
        <v>#N/A</v>
      </c>
      <c r="H37151" s="4" t="str">
        <v/>
      </c>
      <c r="I37151" s="4" t="str">
        <v/>
      </c>
    </row>
    <row r="37152" spans="5:9" ht="16.5" hidden="1">
      <c r="E37152" s="4" t="str">
        <v/>
      </c>
      <c r="F37152" s="102" t="str">
        <f ca="1">IFERROR(__xludf.DUMMYFUNCTION("IMPORTRANGE(H37152,""IDENTITAS UNIT!D9"")"),"#N/A")</f>
        <v>#N/A</v>
      </c>
      <c r="H37152" s="4" t="str">
        <v/>
      </c>
      <c r="I37152" s="4" t="str">
        <v/>
      </c>
    </row>
    <row r="37153" spans="5:9" ht="16.5" hidden="1">
      <c r="E37153" s="4" t="str">
        <v/>
      </c>
      <c r="F37153" s="102" t="str">
        <f ca="1">IFERROR(__xludf.DUMMYFUNCTION("IMPORTRANGE(H37153,""IDENTITAS UNIT!D9"")"),"#N/A")</f>
        <v>#N/A</v>
      </c>
      <c r="H37153" s="4" t="str">
        <v/>
      </c>
      <c r="I37153" s="4" t="str">
        <v/>
      </c>
    </row>
    <row r="37154" spans="5:9" ht="16.5" hidden="1">
      <c r="E37154" s="4" t="str">
        <v/>
      </c>
      <c r="F37154" s="102" t="str">
        <f ca="1">IFERROR(__xludf.DUMMYFUNCTION("IMPORTRANGE(H37154,""IDENTITAS UNIT!D9"")"),"#N/A")</f>
        <v>#N/A</v>
      </c>
      <c r="H37154" s="4" t="str">
        <v/>
      </c>
      <c r="I37154" s="4" t="str">
        <v/>
      </c>
    </row>
    <row r="37155" spans="5:9" ht="16.5" hidden="1">
      <c r="E37155" s="4" t="str">
        <v/>
      </c>
      <c r="F37155" s="102" t="str">
        <f ca="1">IFERROR(__xludf.DUMMYFUNCTION("IMPORTRANGE(H37155,""IDENTITAS UNIT!D9"")"),"#N/A")</f>
        <v>#N/A</v>
      </c>
      <c r="H37155" s="4" t="str">
        <v/>
      </c>
      <c r="I37155" s="4" t="str">
        <v/>
      </c>
    </row>
    <row r="37156" spans="5:9" ht="16.5" hidden="1">
      <c r="E37156" s="4" t="str">
        <v/>
      </c>
      <c r="F37156" s="102" t="str">
        <f ca="1">IFERROR(__xludf.DUMMYFUNCTION("IMPORTRANGE(H37156,""IDENTITAS UNIT!D9"")"),"#N/A")</f>
        <v>#N/A</v>
      </c>
      <c r="H37156" s="4" t="str">
        <v/>
      </c>
      <c r="I37156" s="4" t="str">
        <v/>
      </c>
    </row>
    <row r="37157" spans="5:9" ht="16.5" hidden="1">
      <c r="E37157" s="4" t="str">
        <v/>
      </c>
      <c r="F37157" s="102" t="str">
        <f ca="1">IFERROR(__xludf.DUMMYFUNCTION("IMPORTRANGE(H37157,""IDENTITAS UNIT!D9"")"),"#N/A")</f>
        <v>#N/A</v>
      </c>
      <c r="H37157" s="4" t="str">
        <v/>
      </c>
      <c r="I37157" s="4" t="str">
        <v/>
      </c>
    </row>
    <row r="37158" spans="5:9" ht="16.5" hidden="1">
      <c r="E37158" s="4" t="str">
        <v/>
      </c>
      <c r="F37158" s="102" t="str">
        <f ca="1">IFERROR(__xludf.DUMMYFUNCTION("IMPORTRANGE(H37158,""IDENTITAS UNIT!D9"")"),"#N/A")</f>
        <v>#N/A</v>
      </c>
      <c r="H37158" s="4" t="str">
        <v/>
      </c>
      <c r="I37158" s="4" t="str">
        <v/>
      </c>
    </row>
    <row r="37159" spans="5:9" ht="16.5" hidden="1">
      <c r="E37159" s="4" t="str">
        <v/>
      </c>
      <c r="F37159" s="102" t="str">
        <f ca="1">IFERROR(__xludf.DUMMYFUNCTION("IMPORTRANGE(H37159,""IDENTITAS UNIT!D9"")"),"#N/A")</f>
        <v>#N/A</v>
      </c>
      <c r="H37159" s="4" t="str">
        <v/>
      </c>
      <c r="I37159" s="4" t="str">
        <v/>
      </c>
    </row>
    <row r="37160" spans="5:9" ht="16.5" hidden="1">
      <c r="E37160" s="4" t="str">
        <v/>
      </c>
      <c r="F37160" s="102" t="str">
        <f ca="1">IFERROR(__xludf.DUMMYFUNCTION("IMPORTRANGE(H37160,""IDENTITAS UNIT!D9"")"),"#N/A")</f>
        <v>#N/A</v>
      </c>
      <c r="H37160" s="4" t="str">
        <v/>
      </c>
      <c r="I37160" s="4" t="str">
        <v/>
      </c>
    </row>
    <row r="37161" spans="5:9" ht="16.5" hidden="1">
      <c r="E37161" s="4" t="str">
        <v/>
      </c>
      <c r="F37161" s="102" t="str">
        <f ca="1">IFERROR(__xludf.DUMMYFUNCTION("IMPORTRANGE(H37161,""IDENTITAS UNIT!D9"")"),"#N/A")</f>
        <v>#N/A</v>
      </c>
      <c r="H37161" s="4" t="str">
        <v/>
      </c>
      <c r="I37161" s="4" t="str">
        <v/>
      </c>
    </row>
    <row r="37162" spans="5:9" ht="16.5" hidden="1">
      <c r="E37162" s="4" t="str">
        <v/>
      </c>
      <c r="F37162" s="102" t="str">
        <f ca="1">IFERROR(__xludf.DUMMYFUNCTION("IMPORTRANGE(H37162,""IDENTITAS UNIT!D9"")"),"#N/A")</f>
        <v>#N/A</v>
      </c>
      <c r="H37162" s="4" t="str">
        <v/>
      </c>
      <c r="I37162" s="4" t="str">
        <v/>
      </c>
    </row>
    <row r="37163" spans="5:9" ht="16.5" hidden="1">
      <c r="E37163" s="4" t="str">
        <v/>
      </c>
      <c r="F37163" s="102" t="str">
        <f ca="1">IFERROR(__xludf.DUMMYFUNCTION("IMPORTRANGE(H37163,""IDENTITAS UNIT!D9"")"),"#N/A")</f>
        <v>#N/A</v>
      </c>
      <c r="H37163" s="4" t="str">
        <v/>
      </c>
      <c r="I37163" s="4" t="str">
        <v/>
      </c>
    </row>
    <row r="37164" spans="5:9" ht="16.5" hidden="1">
      <c r="E37164" s="4" t="str">
        <v/>
      </c>
      <c r="F37164" s="102" t="str">
        <f ca="1">IFERROR(__xludf.DUMMYFUNCTION("IMPORTRANGE(H37164,""IDENTITAS UNIT!D9"")"),"#N/A")</f>
        <v>#N/A</v>
      </c>
      <c r="H37164" s="4" t="str">
        <v/>
      </c>
      <c r="I37164" s="4" t="str">
        <v/>
      </c>
    </row>
    <row r="37165" spans="5:9" ht="16.5" hidden="1">
      <c r="E37165" s="4" t="str">
        <v/>
      </c>
      <c r="F37165" s="102" t="str">
        <f ca="1">IFERROR(__xludf.DUMMYFUNCTION("IMPORTRANGE(H37165,""IDENTITAS UNIT!D9"")"),"#N/A")</f>
        <v>#N/A</v>
      </c>
      <c r="H37165" s="4" t="str">
        <v/>
      </c>
      <c r="I37165" s="4" t="str">
        <v/>
      </c>
    </row>
    <row r="37166" spans="5:9" ht="16.5" hidden="1">
      <c r="E37166" s="4" t="str">
        <v/>
      </c>
      <c r="F37166" s="102" t="str">
        <f ca="1">IFERROR(__xludf.DUMMYFUNCTION("IMPORTRANGE(H37166,""IDENTITAS UNIT!D9"")"),"#N/A")</f>
        <v>#N/A</v>
      </c>
      <c r="H37166" s="4" t="str">
        <v/>
      </c>
      <c r="I37166" s="4" t="str">
        <v/>
      </c>
    </row>
    <row r="37167" spans="5:9" ht="16.5" hidden="1">
      <c r="E37167" s="4" t="str">
        <v/>
      </c>
      <c r="F37167" s="102" t="str">
        <f ca="1">IFERROR(__xludf.DUMMYFUNCTION("IMPORTRANGE(H37167,""IDENTITAS UNIT!D9"")"),"#N/A")</f>
        <v>#N/A</v>
      </c>
      <c r="H37167" s="4" t="str">
        <v/>
      </c>
      <c r="I37167" s="4" t="str">
        <v/>
      </c>
    </row>
    <row r="37168" spans="5:9" ht="16.5" hidden="1">
      <c r="E37168" s="4" t="str">
        <v/>
      </c>
      <c r="F37168" s="102" t="str">
        <f ca="1">IFERROR(__xludf.DUMMYFUNCTION("IMPORTRANGE(H37168,""IDENTITAS UNIT!D9"")"),"#N/A")</f>
        <v>#N/A</v>
      </c>
      <c r="H37168" s="4" t="str">
        <v/>
      </c>
      <c r="I37168" s="4" t="str">
        <v/>
      </c>
    </row>
    <row r="37169" spans="5:9" ht="16.5" hidden="1">
      <c r="E37169" s="4" t="str">
        <v/>
      </c>
      <c r="F37169" s="102" t="str">
        <f ca="1">IFERROR(__xludf.DUMMYFUNCTION("IMPORTRANGE(H37169,""IDENTITAS UNIT!D9"")"),"#N/A")</f>
        <v>#N/A</v>
      </c>
      <c r="H37169" s="4" t="str">
        <v/>
      </c>
      <c r="I37169" s="4" t="str">
        <v/>
      </c>
    </row>
    <row r="37170" spans="5:9" ht="16.5" hidden="1">
      <c r="E37170" s="4" t="str">
        <v/>
      </c>
      <c r="F37170" s="102" t="str">
        <f ca="1">IFERROR(__xludf.DUMMYFUNCTION("IMPORTRANGE(H37170,""IDENTITAS UNIT!D9"")"),"#N/A")</f>
        <v>#N/A</v>
      </c>
      <c r="H37170" s="4" t="str">
        <v/>
      </c>
      <c r="I37170" s="4" t="str">
        <v/>
      </c>
    </row>
    <row r="37171" spans="5:9" ht="16.5" hidden="1">
      <c r="E37171" s="4" t="str">
        <v/>
      </c>
      <c r="F37171" s="102" t="str">
        <f ca="1">IFERROR(__xludf.DUMMYFUNCTION("IMPORTRANGE(H37171,""IDENTITAS UNIT!D9"")"),"#N/A")</f>
        <v>#N/A</v>
      </c>
      <c r="H37171" s="4" t="str">
        <v/>
      </c>
      <c r="I37171" s="4" t="str">
        <v/>
      </c>
    </row>
    <row r="37172" spans="5:9" ht="16.5" hidden="1">
      <c r="E37172" s="4" t="str">
        <v/>
      </c>
      <c r="F37172" s="102" t="str">
        <f ca="1">IFERROR(__xludf.DUMMYFUNCTION("IMPORTRANGE(H37172,""IDENTITAS UNIT!D9"")"),"#N/A")</f>
        <v>#N/A</v>
      </c>
      <c r="H37172" s="4" t="str">
        <v/>
      </c>
      <c r="I37172" s="4" t="str">
        <v/>
      </c>
    </row>
    <row r="37173" spans="5:9" ht="16.5" hidden="1">
      <c r="E37173" s="4" t="str">
        <v/>
      </c>
      <c r="F37173" s="102" t="str">
        <f ca="1">IFERROR(__xludf.DUMMYFUNCTION("IMPORTRANGE(H37173,""IDENTITAS UNIT!D9"")"),"#N/A")</f>
        <v>#N/A</v>
      </c>
      <c r="H37173" s="4" t="str">
        <v/>
      </c>
      <c r="I37173" s="4" t="str">
        <v/>
      </c>
    </row>
    <row r="37174" spans="5:9" ht="16.5" hidden="1">
      <c r="E37174" s="4" t="str">
        <v/>
      </c>
      <c r="F37174" s="102" t="str">
        <f ca="1">IFERROR(__xludf.DUMMYFUNCTION("IMPORTRANGE(H37174,""IDENTITAS UNIT!D9"")"),"#N/A")</f>
        <v>#N/A</v>
      </c>
      <c r="H37174" s="4" t="str">
        <v/>
      </c>
      <c r="I37174" s="4" t="str">
        <v/>
      </c>
    </row>
    <row r="37175" spans="5:9" ht="16.5" hidden="1">
      <c r="E37175" s="4" t="str">
        <v/>
      </c>
      <c r="F37175" s="102" t="str">
        <f ca="1">IFERROR(__xludf.DUMMYFUNCTION("IMPORTRANGE(H37175,""IDENTITAS UNIT!D9"")"),"#N/A")</f>
        <v>#N/A</v>
      </c>
      <c r="H37175" s="4" t="str">
        <v/>
      </c>
      <c r="I37175" s="4" t="str">
        <v/>
      </c>
    </row>
    <row r="37176" spans="5:9" ht="16.5" hidden="1">
      <c r="E37176" s="4" t="str">
        <v/>
      </c>
      <c r="F37176" s="102" t="str">
        <f ca="1">IFERROR(__xludf.DUMMYFUNCTION("IMPORTRANGE(H37176,""IDENTITAS UNIT!D9"")"),"#N/A")</f>
        <v>#N/A</v>
      </c>
      <c r="H37176" s="4" t="str">
        <v/>
      </c>
      <c r="I37176" s="4" t="str">
        <v/>
      </c>
    </row>
    <row r="37177" spans="5:9" ht="16.5" hidden="1">
      <c r="E37177" s="4" t="str">
        <v/>
      </c>
      <c r="F37177" s="102" t="str">
        <f ca="1">IFERROR(__xludf.DUMMYFUNCTION("IMPORTRANGE(H37177,""IDENTITAS UNIT!D9"")"),"#N/A")</f>
        <v>#N/A</v>
      </c>
      <c r="H37177" s="4" t="str">
        <v/>
      </c>
      <c r="I37177" s="4" t="str">
        <v/>
      </c>
    </row>
    <row r="37178" spans="5:9" ht="16.5" hidden="1">
      <c r="E37178" s="4" t="str">
        <v/>
      </c>
      <c r="F37178" s="102" t="str">
        <f ca="1">IFERROR(__xludf.DUMMYFUNCTION("IMPORTRANGE(H37178,""IDENTITAS UNIT!D9"")"),"#N/A")</f>
        <v>#N/A</v>
      </c>
      <c r="H37178" s="4" t="str">
        <v/>
      </c>
      <c r="I37178" s="4" t="str">
        <v/>
      </c>
    </row>
    <row r="37179" spans="5:9" ht="16.5" hidden="1">
      <c r="E37179" s="4" t="str">
        <v/>
      </c>
      <c r="F37179" s="102" t="str">
        <f ca="1">IFERROR(__xludf.DUMMYFUNCTION("IMPORTRANGE(H37179,""IDENTITAS UNIT!D9"")"),"#N/A")</f>
        <v>#N/A</v>
      </c>
      <c r="H37179" s="4" t="str">
        <v/>
      </c>
      <c r="I37179" s="4" t="str">
        <v/>
      </c>
    </row>
    <row r="37180" spans="5:9" ht="16.5" hidden="1">
      <c r="E37180" s="4" t="str">
        <v/>
      </c>
      <c r="F37180" s="102" t="str">
        <f ca="1">IFERROR(__xludf.DUMMYFUNCTION("IMPORTRANGE(H37180,""IDENTITAS UNIT!D9"")"),"#N/A")</f>
        <v>#N/A</v>
      </c>
      <c r="H37180" s="4" t="str">
        <v/>
      </c>
      <c r="I37180" s="4" t="str">
        <v/>
      </c>
    </row>
    <row r="37181" spans="5:9" ht="16.5" hidden="1">
      <c r="E37181" s="4" t="str">
        <v/>
      </c>
      <c r="F37181" s="102" t="str">
        <f ca="1">IFERROR(__xludf.DUMMYFUNCTION("IMPORTRANGE(H37181,""IDENTITAS UNIT!D9"")"),"#N/A")</f>
        <v>#N/A</v>
      </c>
      <c r="H37181" s="4" t="str">
        <v/>
      </c>
      <c r="I37181" s="4" t="str">
        <v/>
      </c>
    </row>
    <row r="37182" spans="5:9" ht="16.5" hidden="1">
      <c r="E37182" s="4" t="str">
        <v/>
      </c>
      <c r="F37182" s="102" t="str">
        <f ca="1">IFERROR(__xludf.DUMMYFUNCTION("IMPORTRANGE(H37182,""IDENTITAS UNIT!D9"")"),"#N/A")</f>
        <v>#N/A</v>
      </c>
      <c r="H37182" s="4" t="str">
        <v/>
      </c>
      <c r="I37182" s="4" t="str">
        <v/>
      </c>
    </row>
    <row r="37183" spans="5:9" ht="16.5" hidden="1">
      <c r="E37183" s="4" t="str">
        <v/>
      </c>
      <c r="F37183" s="102" t="str">
        <f ca="1">IFERROR(__xludf.DUMMYFUNCTION("IMPORTRANGE(H37183,""IDENTITAS UNIT!D9"")"),"#N/A")</f>
        <v>#N/A</v>
      </c>
      <c r="H37183" s="4" t="str">
        <v/>
      </c>
      <c r="I37183" s="4" t="str">
        <v/>
      </c>
    </row>
    <row r="37184" spans="5:9" ht="16.5" hidden="1">
      <c r="E37184" s="4" t="str">
        <v/>
      </c>
      <c r="F37184" s="102" t="str">
        <f ca="1">IFERROR(__xludf.DUMMYFUNCTION("IMPORTRANGE(H37184,""IDENTITAS UNIT!D9"")"),"#N/A")</f>
        <v>#N/A</v>
      </c>
      <c r="H37184" s="4" t="str">
        <v/>
      </c>
      <c r="I37184" s="4" t="str">
        <v/>
      </c>
    </row>
    <row r="37185" spans="5:9" ht="16.5" hidden="1">
      <c r="E37185" s="4" t="str">
        <v/>
      </c>
      <c r="F37185" s="102" t="str">
        <f ca="1">IFERROR(__xludf.DUMMYFUNCTION("IMPORTRANGE(H37185,""IDENTITAS UNIT!D9"")"),"#N/A")</f>
        <v>#N/A</v>
      </c>
      <c r="H37185" s="4" t="str">
        <v/>
      </c>
      <c r="I37185" s="4" t="str">
        <v/>
      </c>
    </row>
    <row r="37186" spans="5:9" ht="16.5" hidden="1">
      <c r="E37186" s="4" t="str">
        <v/>
      </c>
      <c r="F37186" s="102" t="str">
        <f ca="1">IFERROR(__xludf.DUMMYFUNCTION("IMPORTRANGE(H37186,""IDENTITAS UNIT!D9"")"),"#N/A")</f>
        <v>#N/A</v>
      </c>
      <c r="H37186" s="4" t="str">
        <v/>
      </c>
      <c r="I37186" s="4" t="str">
        <v/>
      </c>
    </row>
    <row r="37187" spans="5:9" ht="16.5" hidden="1">
      <c r="E37187" s="4" t="str">
        <v/>
      </c>
      <c r="F37187" s="102" t="str">
        <f ca="1">IFERROR(__xludf.DUMMYFUNCTION("IMPORTRANGE(H37187,""IDENTITAS UNIT!D9"")"),"#N/A")</f>
        <v>#N/A</v>
      </c>
      <c r="H37187" s="4" t="str">
        <v/>
      </c>
      <c r="I37187" s="4" t="str">
        <v/>
      </c>
    </row>
    <row r="37188" spans="5:9" ht="16.5" hidden="1">
      <c r="E37188" s="4" t="str">
        <v/>
      </c>
      <c r="F37188" s="102" t="str">
        <f ca="1">IFERROR(__xludf.DUMMYFUNCTION("IMPORTRANGE(H37188,""IDENTITAS UNIT!D9"")"),"#N/A")</f>
        <v>#N/A</v>
      </c>
      <c r="H37188" s="4" t="str">
        <v/>
      </c>
      <c r="I37188" s="4" t="str">
        <v/>
      </c>
    </row>
    <row r="37189" spans="5:9" ht="16.5" hidden="1">
      <c r="E37189" s="4" t="str">
        <v/>
      </c>
      <c r="F37189" s="102" t="str">
        <f ca="1">IFERROR(__xludf.DUMMYFUNCTION("IMPORTRANGE(H37189,""IDENTITAS UNIT!D9"")"),"#N/A")</f>
        <v>#N/A</v>
      </c>
      <c r="H37189" s="4" t="str">
        <v/>
      </c>
      <c r="I37189" s="4" t="str">
        <v/>
      </c>
    </row>
    <row r="37190" spans="5:9" ht="16.5" hidden="1">
      <c r="E37190" s="4" t="str">
        <v/>
      </c>
      <c r="F37190" s="102" t="str">
        <f ca="1">IFERROR(__xludf.DUMMYFUNCTION("IMPORTRANGE(H37190,""IDENTITAS UNIT!D9"")"),"#N/A")</f>
        <v>#N/A</v>
      </c>
      <c r="H37190" s="4" t="str">
        <v/>
      </c>
      <c r="I37190" s="4" t="str">
        <v/>
      </c>
    </row>
    <row r="37191" spans="5:9" ht="16.5" hidden="1">
      <c r="E37191" s="4" t="str">
        <v/>
      </c>
      <c r="F37191" s="102" t="str">
        <f ca="1">IFERROR(__xludf.DUMMYFUNCTION("IMPORTRANGE(H37191,""IDENTITAS UNIT!D9"")"),"#N/A")</f>
        <v>#N/A</v>
      </c>
      <c r="H37191" s="4" t="str">
        <v/>
      </c>
      <c r="I37191" s="4" t="str">
        <v/>
      </c>
    </row>
    <row r="37192" spans="5:9" ht="16.5" hidden="1">
      <c r="E37192" s="4" t="str">
        <v/>
      </c>
      <c r="F37192" s="102" t="str">
        <f ca="1">IFERROR(__xludf.DUMMYFUNCTION("IMPORTRANGE(H37192,""IDENTITAS UNIT!D9"")"),"#N/A")</f>
        <v>#N/A</v>
      </c>
      <c r="H37192" s="4" t="str">
        <v/>
      </c>
      <c r="I37192" s="4" t="str">
        <v/>
      </c>
    </row>
    <row r="37193" spans="5:9" ht="16.5" hidden="1">
      <c r="E37193" s="4" t="str">
        <v/>
      </c>
      <c r="F37193" s="102" t="str">
        <f ca="1">IFERROR(__xludf.DUMMYFUNCTION("IMPORTRANGE(H37193,""IDENTITAS UNIT!D9"")"),"#N/A")</f>
        <v>#N/A</v>
      </c>
      <c r="H37193" s="4" t="str">
        <v/>
      </c>
      <c r="I37193" s="4" t="str">
        <v/>
      </c>
    </row>
    <row r="37194" spans="5:9" ht="16.5" hidden="1">
      <c r="E37194" s="4" t="str">
        <v/>
      </c>
      <c r="F37194" s="102" t="str">
        <f ca="1">IFERROR(__xludf.DUMMYFUNCTION("IMPORTRANGE(H37194,""IDENTITAS UNIT!D9"")"),"#N/A")</f>
        <v>#N/A</v>
      </c>
      <c r="H37194" s="4" t="str">
        <v/>
      </c>
      <c r="I37194" s="4" t="str">
        <v/>
      </c>
    </row>
    <row r="37195" spans="5:9" ht="16.5" hidden="1">
      <c r="E37195" s="4" t="str">
        <v/>
      </c>
      <c r="F37195" s="102" t="str">
        <f ca="1">IFERROR(__xludf.DUMMYFUNCTION("IMPORTRANGE(H37195,""IDENTITAS UNIT!D9"")"),"#N/A")</f>
        <v>#N/A</v>
      </c>
      <c r="H37195" s="4" t="str">
        <v/>
      </c>
      <c r="I37195" s="4" t="str">
        <v/>
      </c>
    </row>
    <row r="37196" spans="5:9" ht="16.5" hidden="1">
      <c r="E37196" s="4" t="str">
        <v/>
      </c>
      <c r="F37196" s="102" t="str">
        <f ca="1">IFERROR(__xludf.DUMMYFUNCTION("IMPORTRANGE(H37196,""IDENTITAS UNIT!D9"")"),"#N/A")</f>
        <v>#N/A</v>
      </c>
      <c r="H37196" s="4" t="str">
        <v/>
      </c>
      <c r="I37196" s="4" t="str">
        <v/>
      </c>
    </row>
    <row r="37197" spans="5:9" ht="16.5" hidden="1">
      <c r="E37197" s="4" t="str">
        <v/>
      </c>
      <c r="F37197" s="102" t="str">
        <f ca="1">IFERROR(__xludf.DUMMYFUNCTION("IMPORTRANGE(H37197,""IDENTITAS UNIT!D9"")"),"#N/A")</f>
        <v>#N/A</v>
      </c>
      <c r="H37197" s="4" t="str">
        <v/>
      </c>
      <c r="I37197" s="4" t="str">
        <v/>
      </c>
    </row>
    <row r="37198" spans="5:9" ht="16.5" hidden="1">
      <c r="E37198" s="4" t="str">
        <v/>
      </c>
      <c r="F37198" s="102" t="str">
        <f ca="1">IFERROR(__xludf.DUMMYFUNCTION("IMPORTRANGE(H37198,""IDENTITAS UNIT!D9"")"),"#N/A")</f>
        <v>#N/A</v>
      </c>
      <c r="H37198" s="4" t="str">
        <v/>
      </c>
      <c r="I37198" s="4" t="str">
        <v/>
      </c>
    </row>
    <row r="37199" spans="5:9" ht="16.5" hidden="1">
      <c r="E37199" s="4" t="str">
        <v/>
      </c>
      <c r="F37199" s="102" t="str">
        <f ca="1">IFERROR(__xludf.DUMMYFUNCTION("IMPORTRANGE(H37199,""IDENTITAS UNIT!D9"")"),"#N/A")</f>
        <v>#N/A</v>
      </c>
      <c r="H37199" s="4" t="str">
        <v/>
      </c>
      <c r="I37199" s="4" t="str">
        <v/>
      </c>
    </row>
    <row r="37200" spans="5:9" ht="16.5" hidden="1">
      <c r="E37200" s="4" t="str">
        <v/>
      </c>
      <c r="F37200" s="102" t="str">
        <f ca="1">IFERROR(__xludf.DUMMYFUNCTION("IMPORTRANGE(H37200,""IDENTITAS UNIT!D9"")"),"#N/A")</f>
        <v>#N/A</v>
      </c>
      <c r="H37200" s="4" t="str">
        <v/>
      </c>
      <c r="I37200" s="4" t="str">
        <v/>
      </c>
    </row>
    <row r="37201" spans="5:9" ht="16.5" hidden="1">
      <c r="E37201" s="4" t="str">
        <v/>
      </c>
      <c r="F37201" s="102" t="str">
        <f ca="1">IFERROR(__xludf.DUMMYFUNCTION("IMPORTRANGE(H37201,""IDENTITAS UNIT!D9"")"),"#N/A")</f>
        <v>#N/A</v>
      </c>
      <c r="H37201" s="4" t="str">
        <v/>
      </c>
      <c r="I37201" s="4" t="str">
        <v/>
      </c>
    </row>
    <row r="37202" spans="5:9" ht="16.5" hidden="1">
      <c r="E37202" s="4" t="str">
        <v/>
      </c>
      <c r="F37202" s="102" t="str">
        <f ca="1">IFERROR(__xludf.DUMMYFUNCTION("IMPORTRANGE(H37202,""IDENTITAS UNIT!D9"")"),"#N/A")</f>
        <v>#N/A</v>
      </c>
      <c r="H37202" s="4" t="str">
        <v/>
      </c>
      <c r="I37202" s="4" t="str">
        <v/>
      </c>
    </row>
    <row r="37203" spans="5:9" ht="16.5" hidden="1">
      <c r="E37203" s="4" t="str">
        <v/>
      </c>
      <c r="F37203" s="102" t="str">
        <f ca="1">IFERROR(__xludf.DUMMYFUNCTION("IMPORTRANGE(H37203,""IDENTITAS UNIT!D9"")"),"#N/A")</f>
        <v>#N/A</v>
      </c>
      <c r="H37203" s="4" t="str">
        <v/>
      </c>
      <c r="I37203" s="4" t="str">
        <v/>
      </c>
    </row>
    <row r="37204" spans="5:9" ht="16.5" hidden="1">
      <c r="E37204" s="4" t="str">
        <v/>
      </c>
      <c r="F37204" s="102" t="str">
        <f ca="1">IFERROR(__xludf.DUMMYFUNCTION("IMPORTRANGE(H37204,""IDENTITAS UNIT!D9"")"),"#N/A")</f>
        <v>#N/A</v>
      </c>
      <c r="H37204" s="4" t="str">
        <v/>
      </c>
      <c r="I37204" s="4" t="str">
        <v/>
      </c>
    </row>
    <row r="37205" spans="5:9" ht="16.5" hidden="1">
      <c r="E37205" s="4" t="str">
        <v/>
      </c>
      <c r="F37205" s="102" t="str">
        <f ca="1">IFERROR(__xludf.DUMMYFUNCTION("IMPORTRANGE(H37205,""IDENTITAS UNIT!D9"")"),"#N/A")</f>
        <v>#N/A</v>
      </c>
      <c r="H37205" s="4" t="str">
        <v/>
      </c>
      <c r="I37205" s="4" t="str">
        <v/>
      </c>
    </row>
    <row r="37206" spans="5:9" ht="16.5" hidden="1">
      <c r="E37206" s="4" t="str">
        <v/>
      </c>
      <c r="F37206" s="102" t="str">
        <f ca="1">IFERROR(__xludf.DUMMYFUNCTION("IMPORTRANGE(H37206,""IDENTITAS UNIT!D9"")"),"#N/A")</f>
        <v>#N/A</v>
      </c>
      <c r="H37206" s="4" t="str">
        <v/>
      </c>
      <c r="I37206" s="4" t="str">
        <v/>
      </c>
    </row>
    <row r="37207" spans="5:9" ht="16.5" hidden="1">
      <c r="E37207" s="4" t="str">
        <v/>
      </c>
      <c r="F37207" s="102" t="str">
        <f ca="1">IFERROR(__xludf.DUMMYFUNCTION("IMPORTRANGE(H37207,""IDENTITAS UNIT!D9"")"),"#N/A")</f>
        <v>#N/A</v>
      </c>
      <c r="H37207" s="4" t="str">
        <v/>
      </c>
      <c r="I37207" s="4" t="str">
        <v/>
      </c>
    </row>
    <row r="37208" spans="5:9" ht="16.5" hidden="1">
      <c r="E37208" s="4" t="str">
        <v/>
      </c>
      <c r="F37208" s="102" t="str">
        <f ca="1">IFERROR(__xludf.DUMMYFUNCTION("IMPORTRANGE(H37208,""IDENTITAS UNIT!D9"")"),"#N/A")</f>
        <v>#N/A</v>
      </c>
      <c r="H37208" s="4" t="str">
        <v/>
      </c>
      <c r="I37208" s="4" t="str">
        <v/>
      </c>
    </row>
    <row r="37209" spans="5:9" ht="16.5" hidden="1">
      <c r="E37209" s="4" t="str">
        <v/>
      </c>
      <c r="F37209" s="102" t="str">
        <f ca="1">IFERROR(__xludf.DUMMYFUNCTION("IMPORTRANGE(H37209,""IDENTITAS UNIT!D9"")"),"#N/A")</f>
        <v>#N/A</v>
      </c>
      <c r="H37209" s="4" t="str">
        <v/>
      </c>
      <c r="I37209" s="4" t="str">
        <v/>
      </c>
    </row>
    <row r="37210" spans="5:9" ht="16.5" hidden="1">
      <c r="E37210" s="4" t="str">
        <v/>
      </c>
      <c r="F37210" s="102" t="str">
        <f ca="1">IFERROR(__xludf.DUMMYFUNCTION("IMPORTRANGE(H37210,""IDENTITAS UNIT!D9"")"),"#N/A")</f>
        <v>#N/A</v>
      </c>
      <c r="H37210" s="4" t="str">
        <v/>
      </c>
      <c r="I37210" s="4" t="str">
        <v/>
      </c>
    </row>
    <row r="37211" spans="5:9" ht="16.5" hidden="1">
      <c r="E37211" s="4" t="str">
        <v/>
      </c>
      <c r="F37211" s="102" t="str">
        <f ca="1">IFERROR(__xludf.DUMMYFUNCTION("IMPORTRANGE(H37211,""IDENTITAS UNIT!D9"")"),"#N/A")</f>
        <v>#N/A</v>
      </c>
      <c r="H37211" s="4" t="str">
        <v/>
      </c>
      <c r="I37211" s="4" t="str">
        <v/>
      </c>
    </row>
    <row r="37212" spans="5:9" ht="16.5" hidden="1">
      <c r="E37212" s="4" t="str">
        <v/>
      </c>
      <c r="F37212" s="102" t="str">
        <f ca="1">IFERROR(__xludf.DUMMYFUNCTION("IMPORTRANGE(H37212,""IDENTITAS UNIT!D9"")"),"#N/A")</f>
        <v>#N/A</v>
      </c>
      <c r="H37212" s="4" t="str">
        <v/>
      </c>
      <c r="I37212" s="4" t="str">
        <v/>
      </c>
    </row>
    <row r="37213" spans="5:9" ht="16.5" hidden="1">
      <c r="E37213" s="4" t="str">
        <v/>
      </c>
      <c r="F37213" s="102" t="str">
        <f ca="1">IFERROR(__xludf.DUMMYFUNCTION("IMPORTRANGE(H37213,""IDENTITAS UNIT!D9"")"),"#N/A")</f>
        <v>#N/A</v>
      </c>
      <c r="H37213" s="4" t="str">
        <v/>
      </c>
      <c r="I37213" s="4" t="str">
        <v/>
      </c>
    </row>
    <row r="37214" spans="5:9" ht="16.5" hidden="1">
      <c r="E37214" s="4" t="str">
        <v/>
      </c>
      <c r="F37214" s="102" t="str">
        <f ca="1">IFERROR(__xludf.DUMMYFUNCTION("IMPORTRANGE(H37214,""IDENTITAS UNIT!D9"")"),"#N/A")</f>
        <v>#N/A</v>
      </c>
      <c r="H37214" s="4" t="str">
        <v/>
      </c>
      <c r="I37214" s="4" t="str">
        <v/>
      </c>
    </row>
    <row r="37215" spans="5:9" ht="16.5" hidden="1">
      <c r="E37215" s="4" t="str">
        <v/>
      </c>
      <c r="F37215" s="102" t="str">
        <f ca="1">IFERROR(__xludf.DUMMYFUNCTION("IMPORTRANGE(H37215,""IDENTITAS UNIT!D9"")"),"#N/A")</f>
        <v>#N/A</v>
      </c>
      <c r="H37215" s="4" t="str">
        <v/>
      </c>
      <c r="I37215" s="4" t="str">
        <v/>
      </c>
    </row>
    <row r="37216" spans="5:9" ht="16.5" hidden="1">
      <c r="E37216" s="4" t="str">
        <v/>
      </c>
      <c r="F37216" s="102" t="str">
        <f ca="1">IFERROR(__xludf.DUMMYFUNCTION("IMPORTRANGE(H37216,""IDENTITAS UNIT!D9"")"),"#N/A")</f>
        <v>#N/A</v>
      </c>
      <c r="H37216" s="4" t="str">
        <v/>
      </c>
      <c r="I37216" s="4" t="str">
        <v/>
      </c>
    </row>
    <row r="37217" spans="5:9" ht="16.5" hidden="1">
      <c r="E37217" s="4" t="str">
        <v/>
      </c>
      <c r="F37217" s="102" t="str">
        <f ca="1">IFERROR(__xludf.DUMMYFUNCTION("IMPORTRANGE(H37217,""IDENTITAS UNIT!D9"")"),"#N/A")</f>
        <v>#N/A</v>
      </c>
      <c r="H37217" s="4" t="str">
        <v/>
      </c>
      <c r="I37217" s="4" t="str">
        <v/>
      </c>
    </row>
    <row r="37218" spans="5:9" ht="16.5" hidden="1">
      <c r="E37218" s="4" t="str">
        <v/>
      </c>
      <c r="F37218" s="102" t="str">
        <f ca="1">IFERROR(__xludf.DUMMYFUNCTION("IMPORTRANGE(H37218,""IDENTITAS UNIT!D9"")"),"#N/A")</f>
        <v>#N/A</v>
      </c>
      <c r="H37218" s="4" t="str">
        <v/>
      </c>
      <c r="I37218" s="4" t="str">
        <v/>
      </c>
    </row>
    <row r="37219" spans="5:9" ht="16.5" hidden="1">
      <c r="E37219" s="4" t="str">
        <v/>
      </c>
      <c r="F37219" s="102" t="str">
        <f ca="1">IFERROR(__xludf.DUMMYFUNCTION("IMPORTRANGE(H37219,""IDENTITAS UNIT!D9"")"),"#N/A")</f>
        <v>#N/A</v>
      </c>
      <c r="H37219" s="4" t="str">
        <v/>
      </c>
      <c r="I37219" s="4" t="str">
        <v/>
      </c>
    </row>
    <row r="37220" spans="5:9" ht="16.5" hidden="1">
      <c r="E37220" s="4" t="str">
        <v/>
      </c>
      <c r="F37220" s="102" t="str">
        <f ca="1">IFERROR(__xludf.DUMMYFUNCTION("IMPORTRANGE(H37220,""IDENTITAS UNIT!D9"")"),"#N/A")</f>
        <v>#N/A</v>
      </c>
      <c r="H37220" s="4" t="str">
        <v/>
      </c>
      <c r="I37220" s="4" t="str">
        <v/>
      </c>
    </row>
    <row r="37221" spans="5:9" ht="16.5" hidden="1">
      <c r="E37221" s="4" t="str">
        <v/>
      </c>
      <c r="F37221" s="102" t="str">
        <f ca="1">IFERROR(__xludf.DUMMYFUNCTION("IMPORTRANGE(H37221,""IDENTITAS UNIT!D9"")"),"#N/A")</f>
        <v>#N/A</v>
      </c>
      <c r="H37221" s="4" t="str">
        <v/>
      </c>
      <c r="I37221" s="4" t="str">
        <v/>
      </c>
    </row>
    <row r="37222" spans="5:9" ht="16.5" hidden="1">
      <c r="E37222" s="4" t="str">
        <v/>
      </c>
      <c r="F37222" s="102" t="str">
        <f ca="1">IFERROR(__xludf.DUMMYFUNCTION("IMPORTRANGE(H37222,""IDENTITAS UNIT!D9"")"),"#N/A")</f>
        <v>#N/A</v>
      </c>
      <c r="H37222" s="4" t="str">
        <v/>
      </c>
      <c r="I37222" s="4" t="str">
        <v/>
      </c>
    </row>
    <row r="37223" spans="5:9" ht="16.5" hidden="1">
      <c r="E37223" s="4" t="str">
        <v/>
      </c>
      <c r="F37223" s="102" t="str">
        <f ca="1">IFERROR(__xludf.DUMMYFUNCTION("IMPORTRANGE(H37223,""IDENTITAS UNIT!D9"")"),"#N/A")</f>
        <v>#N/A</v>
      </c>
      <c r="H37223" s="4" t="str">
        <v/>
      </c>
      <c r="I37223" s="4" t="str">
        <v/>
      </c>
    </row>
    <row r="37224" spans="5:9" ht="16.5" hidden="1">
      <c r="E37224" s="4" t="str">
        <v/>
      </c>
      <c r="F37224" s="102" t="str">
        <f ca="1">IFERROR(__xludf.DUMMYFUNCTION("IMPORTRANGE(H37224,""IDENTITAS UNIT!D9"")"),"#N/A")</f>
        <v>#N/A</v>
      </c>
      <c r="H37224" s="4" t="str">
        <v/>
      </c>
      <c r="I37224" s="4" t="str">
        <v/>
      </c>
    </row>
    <row r="37225" spans="5:9" ht="16.5" hidden="1">
      <c r="E37225" s="4" t="str">
        <v/>
      </c>
      <c r="F37225" s="102" t="str">
        <f ca="1">IFERROR(__xludf.DUMMYFUNCTION("IMPORTRANGE(H37225,""IDENTITAS UNIT!D9"")"),"#N/A")</f>
        <v>#N/A</v>
      </c>
      <c r="H37225" s="4" t="str">
        <v/>
      </c>
      <c r="I37225" s="4" t="str">
        <v/>
      </c>
    </row>
    <row r="37226" spans="5:9" ht="16.5" hidden="1">
      <c r="E37226" s="4" t="str">
        <v/>
      </c>
      <c r="F37226" s="102" t="str">
        <f ca="1">IFERROR(__xludf.DUMMYFUNCTION("IMPORTRANGE(H37226,""IDENTITAS UNIT!D9"")"),"#N/A")</f>
        <v>#N/A</v>
      </c>
      <c r="H37226" s="4" t="str">
        <v/>
      </c>
      <c r="I37226" s="4" t="str">
        <v/>
      </c>
    </row>
    <row r="37227" spans="5:9" ht="16.5" hidden="1">
      <c r="E37227" s="4" t="str">
        <v/>
      </c>
      <c r="F37227" s="102" t="str">
        <f ca="1">IFERROR(__xludf.DUMMYFUNCTION("IMPORTRANGE(H37227,""IDENTITAS UNIT!D9"")"),"#N/A")</f>
        <v>#N/A</v>
      </c>
      <c r="H37227" s="4" t="str">
        <v/>
      </c>
      <c r="I37227" s="4" t="str">
        <v/>
      </c>
    </row>
    <row r="37228" spans="5:9" ht="16.5" hidden="1">
      <c r="E37228" s="4" t="str">
        <v/>
      </c>
      <c r="F37228" s="102" t="str">
        <f ca="1">IFERROR(__xludf.DUMMYFUNCTION("IMPORTRANGE(H37228,""IDENTITAS UNIT!D9"")"),"#N/A")</f>
        <v>#N/A</v>
      </c>
      <c r="H37228" s="4" t="str">
        <v/>
      </c>
      <c r="I37228" s="4" t="str">
        <v/>
      </c>
    </row>
    <row r="37229" spans="5:9" ht="16.5" hidden="1">
      <c r="E37229" s="4" t="str">
        <v/>
      </c>
      <c r="F37229" s="102" t="str">
        <f ca="1">IFERROR(__xludf.DUMMYFUNCTION("IMPORTRANGE(H37229,""IDENTITAS UNIT!D9"")"),"#N/A")</f>
        <v>#N/A</v>
      </c>
      <c r="H37229" s="4" t="str">
        <v/>
      </c>
      <c r="I37229" s="4" t="str">
        <v/>
      </c>
    </row>
    <row r="37230" spans="5:9" ht="16.5" hidden="1">
      <c r="E37230" s="4" t="str">
        <v/>
      </c>
      <c r="F37230" s="102" t="str">
        <f ca="1">IFERROR(__xludf.DUMMYFUNCTION("IMPORTRANGE(H37230,""IDENTITAS UNIT!D9"")"),"#N/A")</f>
        <v>#N/A</v>
      </c>
      <c r="H37230" s="4" t="str">
        <v/>
      </c>
      <c r="I37230" s="4" t="str">
        <v/>
      </c>
    </row>
    <row r="37231" spans="5:9" ht="16.5" hidden="1">
      <c r="E37231" s="4" t="str">
        <v/>
      </c>
      <c r="F37231" s="102" t="str">
        <f ca="1">IFERROR(__xludf.DUMMYFUNCTION("IMPORTRANGE(H37231,""IDENTITAS UNIT!D9"")"),"#N/A")</f>
        <v>#N/A</v>
      </c>
      <c r="H37231" s="4" t="str">
        <v/>
      </c>
      <c r="I37231" s="4" t="str">
        <v/>
      </c>
    </row>
    <row r="37232" spans="5:9" ht="16.5" hidden="1">
      <c r="E37232" s="4" t="str">
        <v/>
      </c>
      <c r="F37232" s="102" t="str">
        <f ca="1">IFERROR(__xludf.DUMMYFUNCTION("IMPORTRANGE(H37232,""IDENTITAS UNIT!D9"")"),"#N/A")</f>
        <v>#N/A</v>
      </c>
      <c r="H37232" s="4" t="str">
        <v/>
      </c>
      <c r="I37232" s="4" t="str">
        <v/>
      </c>
    </row>
    <row r="37233" spans="5:9" ht="16.5" hidden="1">
      <c r="E37233" s="4" t="str">
        <v/>
      </c>
      <c r="F37233" s="102" t="str">
        <f ca="1">IFERROR(__xludf.DUMMYFUNCTION("IMPORTRANGE(H37233,""IDENTITAS UNIT!D9"")"),"#N/A")</f>
        <v>#N/A</v>
      </c>
      <c r="H37233" s="4" t="str">
        <v/>
      </c>
      <c r="I37233" s="4" t="str">
        <v/>
      </c>
    </row>
    <row r="37234" spans="5:9" ht="16.5" hidden="1">
      <c r="E37234" s="4" t="str">
        <v/>
      </c>
      <c r="F37234" s="102" t="str">
        <f ca="1">IFERROR(__xludf.DUMMYFUNCTION("IMPORTRANGE(H37234,""IDENTITAS UNIT!D9"")"),"#N/A")</f>
        <v>#N/A</v>
      </c>
      <c r="H37234" s="4" t="str">
        <v/>
      </c>
      <c r="I37234" s="4" t="str">
        <v/>
      </c>
    </row>
    <row r="37235" spans="5:9" ht="16.5" hidden="1">
      <c r="E37235" s="4" t="str">
        <v/>
      </c>
      <c r="F37235" s="102" t="str">
        <f ca="1">IFERROR(__xludf.DUMMYFUNCTION("IMPORTRANGE(H37235,""IDENTITAS UNIT!D9"")"),"#N/A")</f>
        <v>#N/A</v>
      </c>
      <c r="H37235" s="4" t="str">
        <v/>
      </c>
      <c r="I37235" s="4" t="str">
        <v/>
      </c>
    </row>
    <row r="37236" spans="5:9" ht="16.5" hidden="1">
      <c r="E37236" s="4" t="str">
        <v/>
      </c>
      <c r="F37236" s="102" t="str">
        <f ca="1">IFERROR(__xludf.DUMMYFUNCTION("IMPORTRANGE(H37236,""IDENTITAS UNIT!D9"")"),"#N/A")</f>
        <v>#N/A</v>
      </c>
      <c r="H37236" s="4" t="str">
        <v/>
      </c>
      <c r="I37236" s="4" t="str">
        <v/>
      </c>
    </row>
    <row r="37237" spans="5:9" ht="16.5" hidden="1">
      <c r="E37237" s="4" t="str">
        <v/>
      </c>
      <c r="F37237" s="102" t="str">
        <f ca="1">IFERROR(__xludf.DUMMYFUNCTION("IMPORTRANGE(H37237,""IDENTITAS UNIT!D9"")"),"#N/A")</f>
        <v>#N/A</v>
      </c>
      <c r="H37237" s="4" t="str">
        <v/>
      </c>
      <c r="I37237" s="4" t="str">
        <v/>
      </c>
    </row>
    <row r="37238" spans="5:9" ht="16.5" hidden="1">
      <c r="E37238" s="4" t="str">
        <v/>
      </c>
      <c r="F37238" s="102" t="str">
        <f ca="1">IFERROR(__xludf.DUMMYFUNCTION("IMPORTRANGE(H37238,""IDENTITAS UNIT!D9"")"),"#N/A")</f>
        <v>#N/A</v>
      </c>
      <c r="H37238" s="4" t="str">
        <v/>
      </c>
      <c r="I37238" s="4" t="str">
        <v/>
      </c>
    </row>
    <row r="37239" spans="5:9" ht="16.5" hidden="1">
      <c r="E37239" s="4" t="str">
        <v/>
      </c>
      <c r="F37239" s="102" t="str">
        <f ca="1">IFERROR(__xludf.DUMMYFUNCTION("IMPORTRANGE(H37239,""IDENTITAS UNIT!D9"")"),"#N/A")</f>
        <v>#N/A</v>
      </c>
      <c r="H37239" s="4" t="str">
        <v/>
      </c>
      <c r="I37239" s="4" t="str">
        <v/>
      </c>
    </row>
    <row r="37240" spans="5:9" ht="16.5" hidden="1">
      <c r="E37240" s="4" t="str">
        <v/>
      </c>
      <c r="F37240" s="102" t="str">
        <f ca="1">IFERROR(__xludf.DUMMYFUNCTION("IMPORTRANGE(H37240,""IDENTITAS UNIT!D9"")"),"#N/A")</f>
        <v>#N/A</v>
      </c>
      <c r="H37240" s="4" t="str">
        <v/>
      </c>
      <c r="I37240" s="4" t="str">
        <v/>
      </c>
    </row>
    <row r="37241" spans="5:9" ht="16.5" hidden="1">
      <c r="E37241" s="4" t="str">
        <v/>
      </c>
      <c r="F37241" s="102" t="str">
        <f ca="1">IFERROR(__xludf.DUMMYFUNCTION("IMPORTRANGE(H37241,""IDENTITAS UNIT!D9"")"),"#N/A")</f>
        <v>#N/A</v>
      </c>
      <c r="H37241" s="4" t="str">
        <v/>
      </c>
      <c r="I37241" s="4" t="str">
        <v/>
      </c>
    </row>
    <row r="37242" spans="5:9" ht="16.5" hidden="1">
      <c r="E37242" s="4" t="str">
        <v/>
      </c>
      <c r="F37242" s="102" t="str">
        <f ca="1">IFERROR(__xludf.DUMMYFUNCTION("IMPORTRANGE(H37242,""IDENTITAS UNIT!D9"")"),"#N/A")</f>
        <v>#N/A</v>
      </c>
      <c r="H37242" s="4" t="str">
        <v/>
      </c>
      <c r="I37242" s="4" t="str">
        <v/>
      </c>
    </row>
    <row r="37243" spans="5:9" ht="16.5" hidden="1">
      <c r="E37243" s="4" t="str">
        <v/>
      </c>
      <c r="F37243" s="102" t="str">
        <f ca="1">IFERROR(__xludf.DUMMYFUNCTION("IMPORTRANGE(H37243,""IDENTITAS UNIT!D9"")"),"#N/A")</f>
        <v>#N/A</v>
      </c>
      <c r="H37243" s="4" t="str">
        <v/>
      </c>
      <c r="I37243" s="4" t="str">
        <v/>
      </c>
    </row>
    <row r="37244" spans="5:9" ht="16.5" hidden="1">
      <c r="E37244" s="4" t="str">
        <v/>
      </c>
      <c r="F37244" s="102" t="str">
        <f ca="1">IFERROR(__xludf.DUMMYFUNCTION("IMPORTRANGE(H37244,""IDENTITAS UNIT!D9"")"),"#N/A")</f>
        <v>#N/A</v>
      </c>
      <c r="H37244" s="4" t="str">
        <v/>
      </c>
      <c r="I37244" s="4" t="str">
        <v/>
      </c>
    </row>
    <row r="37245" spans="5:9" ht="16.5" hidden="1">
      <c r="E37245" s="4" t="str">
        <v/>
      </c>
      <c r="F37245" s="102" t="str">
        <f ca="1">IFERROR(__xludf.DUMMYFUNCTION("IMPORTRANGE(H37245,""IDENTITAS UNIT!D9"")"),"#N/A")</f>
        <v>#N/A</v>
      </c>
      <c r="H37245" s="4" t="str">
        <v/>
      </c>
      <c r="I37245" s="4" t="str">
        <v/>
      </c>
    </row>
    <row r="37246" spans="5:9" ht="16.5" hidden="1">
      <c r="E37246" s="4" t="str">
        <v/>
      </c>
      <c r="F37246" s="102" t="str">
        <f ca="1">IFERROR(__xludf.DUMMYFUNCTION("IMPORTRANGE(H37246,""IDENTITAS UNIT!D9"")"),"#N/A")</f>
        <v>#N/A</v>
      </c>
      <c r="H37246" s="4" t="str">
        <v/>
      </c>
      <c r="I37246" s="4" t="str">
        <v/>
      </c>
    </row>
    <row r="37247" spans="5:9" ht="16.5" hidden="1">
      <c r="E37247" s="4" t="str">
        <v/>
      </c>
      <c r="F37247" s="102" t="str">
        <f ca="1">IFERROR(__xludf.DUMMYFUNCTION("IMPORTRANGE(H37247,""IDENTITAS UNIT!D9"")"),"#N/A")</f>
        <v>#N/A</v>
      </c>
      <c r="H37247" s="4" t="str">
        <v/>
      </c>
      <c r="I37247" s="4" t="str">
        <v/>
      </c>
    </row>
    <row r="37248" spans="5:9" ht="16.5" hidden="1">
      <c r="E37248" s="4" t="str">
        <v/>
      </c>
      <c r="F37248" s="102" t="str">
        <f ca="1">IFERROR(__xludf.DUMMYFUNCTION("IMPORTRANGE(H37248,""IDENTITAS UNIT!D9"")"),"#N/A")</f>
        <v>#N/A</v>
      </c>
      <c r="H37248" s="4" t="str">
        <v/>
      </c>
      <c r="I37248" s="4" t="str">
        <v/>
      </c>
    </row>
    <row r="37249" spans="5:9" ht="16.5" hidden="1">
      <c r="E37249" s="4" t="str">
        <v/>
      </c>
      <c r="F37249" s="102" t="str">
        <f ca="1">IFERROR(__xludf.DUMMYFUNCTION("IMPORTRANGE(H37249,""IDENTITAS UNIT!D9"")"),"#N/A")</f>
        <v>#N/A</v>
      </c>
      <c r="H37249" s="4" t="str">
        <v/>
      </c>
      <c r="I37249" s="4" t="str">
        <v/>
      </c>
    </row>
    <row r="37250" spans="5:9" ht="16.5" hidden="1">
      <c r="E37250" s="4" t="str">
        <v/>
      </c>
      <c r="F37250" s="102" t="str">
        <f ca="1">IFERROR(__xludf.DUMMYFUNCTION("IMPORTRANGE(H37250,""IDENTITAS UNIT!D9"")"),"#N/A")</f>
        <v>#N/A</v>
      </c>
      <c r="H37250" s="4" t="str">
        <v/>
      </c>
      <c r="I37250" s="4" t="str">
        <v/>
      </c>
    </row>
    <row r="37251" spans="5:9" ht="16.5" hidden="1">
      <c r="E37251" s="4" t="str">
        <v/>
      </c>
      <c r="F37251" s="102" t="str">
        <f ca="1">IFERROR(__xludf.DUMMYFUNCTION("IMPORTRANGE(H37251,""IDENTITAS UNIT!D9"")"),"#N/A")</f>
        <v>#N/A</v>
      </c>
      <c r="H37251" s="4" t="str">
        <v/>
      </c>
      <c r="I37251" s="4" t="str">
        <v/>
      </c>
    </row>
    <row r="37252" spans="5:9" ht="16.5" hidden="1">
      <c r="E37252" s="4" t="str">
        <v/>
      </c>
      <c r="F37252" s="102" t="str">
        <f ca="1">IFERROR(__xludf.DUMMYFUNCTION("IMPORTRANGE(H37252,""IDENTITAS UNIT!D9"")"),"#N/A")</f>
        <v>#N/A</v>
      </c>
      <c r="H37252" s="4" t="str">
        <v/>
      </c>
      <c r="I37252" s="4" t="str">
        <v/>
      </c>
    </row>
    <row r="37253" spans="5:9" ht="16.5" hidden="1">
      <c r="E37253" s="4" t="str">
        <v/>
      </c>
      <c r="F37253" s="102" t="str">
        <f ca="1">IFERROR(__xludf.DUMMYFUNCTION("IMPORTRANGE(H37253,""IDENTITAS UNIT!D9"")"),"#N/A")</f>
        <v>#N/A</v>
      </c>
      <c r="H37253" s="4" t="str">
        <v/>
      </c>
      <c r="I37253" s="4" t="str">
        <v/>
      </c>
    </row>
    <row r="37254" spans="5:9" ht="16.5" hidden="1">
      <c r="E37254" s="4" t="str">
        <v/>
      </c>
      <c r="F37254" s="102" t="str">
        <f ca="1">IFERROR(__xludf.DUMMYFUNCTION("IMPORTRANGE(H37254,""IDENTITAS UNIT!D9"")"),"#N/A")</f>
        <v>#N/A</v>
      </c>
      <c r="H37254" s="4" t="str">
        <v/>
      </c>
      <c r="I37254" s="4" t="str">
        <v/>
      </c>
    </row>
    <row r="37255" spans="5:9" ht="16.5" hidden="1">
      <c r="E37255" s="4" t="str">
        <v/>
      </c>
      <c r="F37255" s="102" t="str">
        <f ca="1">IFERROR(__xludf.DUMMYFUNCTION("IMPORTRANGE(H37255,""IDENTITAS UNIT!D9"")"),"#N/A")</f>
        <v>#N/A</v>
      </c>
      <c r="H37255" s="4" t="str">
        <v/>
      </c>
      <c r="I37255" s="4" t="str">
        <v/>
      </c>
    </row>
    <row r="37256" spans="5:9" ht="16.5" hidden="1">
      <c r="E37256" s="4" t="str">
        <v/>
      </c>
      <c r="F37256" s="102" t="str">
        <f ca="1">IFERROR(__xludf.DUMMYFUNCTION("IMPORTRANGE(H37256,""IDENTITAS UNIT!D9"")"),"#N/A")</f>
        <v>#N/A</v>
      </c>
      <c r="H37256" s="4" t="str">
        <v/>
      </c>
      <c r="I37256" s="4" t="str">
        <v/>
      </c>
    </row>
    <row r="37257" spans="5:9" ht="16.5" hidden="1">
      <c r="E37257" s="4" t="str">
        <v/>
      </c>
      <c r="F37257" s="102" t="str">
        <f ca="1">IFERROR(__xludf.DUMMYFUNCTION("IMPORTRANGE(H37257,""IDENTITAS UNIT!D9"")"),"#N/A")</f>
        <v>#N/A</v>
      </c>
      <c r="H37257" s="4" t="str">
        <v/>
      </c>
      <c r="I37257" s="4" t="str">
        <v/>
      </c>
    </row>
    <row r="37258" spans="5:9" ht="16.5" hidden="1">
      <c r="E37258" s="4" t="str">
        <v/>
      </c>
      <c r="F37258" s="102" t="str">
        <f ca="1">IFERROR(__xludf.DUMMYFUNCTION("IMPORTRANGE(H37258,""IDENTITAS UNIT!D9"")"),"#N/A")</f>
        <v>#N/A</v>
      </c>
      <c r="H37258" s="4" t="str">
        <v/>
      </c>
      <c r="I37258" s="4" t="str">
        <v/>
      </c>
    </row>
    <row r="37259" spans="5:9" ht="16.5" hidden="1">
      <c r="E37259" s="4" t="str">
        <v/>
      </c>
      <c r="F37259" s="102" t="str">
        <f ca="1">IFERROR(__xludf.DUMMYFUNCTION("IMPORTRANGE(H37259,""IDENTITAS UNIT!D9"")"),"#N/A")</f>
        <v>#N/A</v>
      </c>
      <c r="H37259" s="4" t="str">
        <v/>
      </c>
      <c r="I37259" s="4" t="str">
        <v/>
      </c>
    </row>
    <row r="37260" spans="5:9" ht="16.5" hidden="1">
      <c r="E37260" s="4" t="str">
        <v/>
      </c>
      <c r="F37260" s="102" t="str">
        <f ca="1">IFERROR(__xludf.DUMMYFUNCTION("IMPORTRANGE(H37260,""IDENTITAS UNIT!D9"")"),"#N/A")</f>
        <v>#N/A</v>
      </c>
      <c r="H37260" s="4" t="str">
        <v/>
      </c>
      <c r="I37260" s="4" t="str">
        <v/>
      </c>
    </row>
    <row r="37261" spans="5:9" ht="16.5" hidden="1">
      <c r="E37261" s="4" t="str">
        <v/>
      </c>
      <c r="F37261" s="102" t="str">
        <f ca="1">IFERROR(__xludf.DUMMYFUNCTION("IMPORTRANGE(H37261,""IDENTITAS UNIT!D9"")"),"#N/A")</f>
        <v>#N/A</v>
      </c>
      <c r="H37261" s="4" t="str">
        <v/>
      </c>
      <c r="I37261" s="4" t="str">
        <v/>
      </c>
    </row>
    <row r="37262" spans="5:9" ht="16.5" hidden="1">
      <c r="E37262" s="4" t="str">
        <v/>
      </c>
      <c r="F37262" s="102" t="str">
        <f ca="1">IFERROR(__xludf.DUMMYFUNCTION("IMPORTRANGE(H37262,""IDENTITAS UNIT!D9"")"),"#N/A")</f>
        <v>#N/A</v>
      </c>
      <c r="H37262" s="4" t="str">
        <v/>
      </c>
      <c r="I37262" s="4" t="str">
        <v/>
      </c>
    </row>
    <row r="37263" spans="5:9" ht="16.5" hidden="1">
      <c r="E37263" s="4" t="str">
        <v/>
      </c>
      <c r="F37263" s="102" t="str">
        <f ca="1">IFERROR(__xludf.DUMMYFUNCTION("IMPORTRANGE(H37263,""IDENTITAS UNIT!D9"")"),"#N/A")</f>
        <v>#N/A</v>
      </c>
      <c r="H37263" s="4" t="str">
        <v/>
      </c>
      <c r="I37263" s="4" t="str">
        <v/>
      </c>
    </row>
    <row r="37264" spans="5:9" ht="16.5" hidden="1">
      <c r="E37264" s="4" t="str">
        <v/>
      </c>
      <c r="F37264" s="102" t="str">
        <f ca="1">IFERROR(__xludf.DUMMYFUNCTION("IMPORTRANGE(H37264,""IDENTITAS UNIT!D9"")"),"#N/A")</f>
        <v>#N/A</v>
      </c>
      <c r="H37264" s="4" t="str">
        <v/>
      </c>
      <c r="I37264" s="4" t="str">
        <v/>
      </c>
    </row>
    <row r="37265" spans="5:9" ht="16.5" hidden="1">
      <c r="E37265" s="4" t="str">
        <v/>
      </c>
      <c r="F37265" s="102" t="str">
        <f ca="1">IFERROR(__xludf.DUMMYFUNCTION("IMPORTRANGE(H37265,""IDENTITAS UNIT!D9"")"),"#N/A")</f>
        <v>#N/A</v>
      </c>
      <c r="H37265" s="4" t="str">
        <v/>
      </c>
      <c r="I37265" s="4" t="str">
        <v/>
      </c>
    </row>
    <row r="37266" spans="5:9" ht="16.5" hidden="1">
      <c r="E37266" s="4" t="str">
        <v/>
      </c>
      <c r="F37266" s="102" t="str">
        <f ca="1">IFERROR(__xludf.DUMMYFUNCTION("IMPORTRANGE(H37266,""IDENTITAS UNIT!D9"")"),"#N/A")</f>
        <v>#N/A</v>
      </c>
      <c r="H37266" s="4" t="str">
        <v/>
      </c>
      <c r="I37266" s="4" t="str">
        <v/>
      </c>
    </row>
    <row r="37267" spans="5:9" ht="16.5" hidden="1">
      <c r="E37267" s="4" t="str">
        <v/>
      </c>
      <c r="F37267" s="102" t="str">
        <f ca="1">IFERROR(__xludf.DUMMYFUNCTION("IMPORTRANGE(H37267,""IDENTITAS UNIT!D9"")"),"#N/A")</f>
        <v>#N/A</v>
      </c>
      <c r="H37267" s="4" t="str">
        <v/>
      </c>
      <c r="I37267" s="4" t="str">
        <v/>
      </c>
    </row>
    <row r="37268" spans="5:9" ht="16.5" hidden="1">
      <c r="E37268" s="4" t="str">
        <v/>
      </c>
      <c r="F37268" s="102" t="str">
        <f ca="1">IFERROR(__xludf.DUMMYFUNCTION("IMPORTRANGE(H37268,""IDENTITAS UNIT!D9"")"),"#N/A")</f>
        <v>#N/A</v>
      </c>
      <c r="H37268" s="4" t="str">
        <v/>
      </c>
      <c r="I37268" s="4" t="str">
        <v/>
      </c>
    </row>
    <row r="37269" spans="5:9" ht="16.5" hidden="1">
      <c r="E37269" s="4" t="str">
        <v/>
      </c>
      <c r="F37269" s="102" t="str">
        <f ca="1">IFERROR(__xludf.DUMMYFUNCTION("IMPORTRANGE(H37269,""IDENTITAS UNIT!D9"")"),"#N/A")</f>
        <v>#N/A</v>
      </c>
      <c r="H37269" s="4" t="str">
        <v/>
      </c>
      <c r="I37269" s="4" t="str">
        <v/>
      </c>
    </row>
    <row r="37270" spans="5:9" ht="16.5" hidden="1">
      <c r="E37270" s="4" t="str">
        <v/>
      </c>
      <c r="F37270" s="102" t="str">
        <f ca="1">IFERROR(__xludf.DUMMYFUNCTION("IMPORTRANGE(H37270,""IDENTITAS UNIT!D9"")"),"#N/A")</f>
        <v>#N/A</v>
      </c>
      <c r="H37270" s="4" t="str">
        <v/>
      </c>
      <c r="I37270" s="4" t="str">
        <v/>
      </c>
    </row>
    <row r="37271" spans="5:9" ht="16.5" hidden="1">
      <c r="E37271" s="4" t="str">
        <v/>
      </c>
      <c r="F37271" s="102" t="str">
        <f ca="1">IFERROR(__xludf.DUMMYFUNCTION("IMPORTRANGE(H37271,""IDENTITAS UNIT!D9"")"),"#N/A")</f>
        <v>#N/A</v>
      </c>
      <c r="H37271" s="4" t="str">
        <v/>
      </c>
      <c r="I37271" s="4" t="str">
        <v/>
      </c>
    </row>
    <row r="37272" spans="5:9" ht="16.5" hidden="1">
      <c r="E37272" s="4" t="str">
        <v/>
      </c>
      <c r="F37272" s="102" t="str">
        <f ca="1">IFERROR(__xludf.DUMMYFUNCTION("IMPORTRANGE(H37272,""IDENTITAS UNIT!D9"")"),"#N/A")</f>
        <v>#N/A</v>
      </c>
      <c r="H37272" s="4" t="str">
        <v/>
      </c>
      <c r="I37272" s="4" t="str">
        <v/>
      </c>
    </row>
    <row r="37273" spans="5:9" ht="16.5" hidden="1">
      <c r="E37273" s="4" t="str">
        <v/>
      </c>
      <c r="F37273" s="102" t="str">
        <f ca="1">IFERROR(__xludf.DUMMYFUNCTION("IMPORTRANGE(H37273,""IDENTITAS UNIT!D9"")"),"#N/A")</f>
        <v>#N/A</v>
      </c>
      <c r="H37273" s="4" t="str">
        <v/>
      </c>
      <c r="I37273" s="4" t="str">
        <v/>
      </c>
    </row>
    <row r="37274" spans="5:9" ht="16.5" hidden="1">
      <c r="E37274" s="4" t="str">
        <v/>
      </c>
      <c r="F37274" s="102" t="str">
        <f ca="1">IFERROR(__xludf.DUMMYFUNCTION("IMPORTRANGE(H37274,""IDENTITAS UNIT!D9"")"),"#N/A")</f>
        <v>#N/A</v>
      </c>
      <c r="H37274" s="4" t="str">
        <v/>
      </c>
      <c r="I37274" s="4" t="str">
        <v/>
      </c>
    </row>
    <row r="37275" spans="5:9" ht="16.5" hidden="1">
      <c r="E37275" s="4" t="str">
        <v/>
      </c>
      <c r="F37275" s="102" t="str">
        <f ca="1">IFERROR(__xludf.DUMMYFUNCTION("IMPORTRANGE(H37275,""IDENTITAS UNIT!D9"")"),"#N/A")</f>
        <v>#N/A</v>
      </c>
      <c r="H37275" s="4" t="str">
        <v/>
      </c>
      <c r="I37275" s="4" t="str">
        <v/>
      </c>
    </row>
    <row r="37276" spans="5:9" ht="16.5" hidden="1">
      <c r="E37276" s="4" t="str">
        <v/>
      </c>
      <c r="F37276" s="102" t="str">
        <f ca="1">IFERROR(__xludf.DUMMYFUNCTION("IMPORTRANGE(H37276,""IDENTITAS UNIT!D9"")"),"#N/A")</f>
        <v>#N/A</v>
      </c>
      <c r="H37276" s="4" t="str">
        <v/>
      </c>
      <c r="I37276" s="4" t="str">
        <v/>
      </c>
    </row>
    <row r="37277" spans="5:9" ht="16.5" hidden="1">
      <c r="E37277" s="4" t="str">
        <v/>
      </c>
      <c r="F37277" s="102" t="str">
        <f ca="1">IFERROR(__xludf.DUMMYFUNCTION("IMPORTRANGE(H37277,""IDENTITAS UNIT!D9"")"),"#N/A")</f>
        <v>#N/A</v>
      </c>
      <c r="H37277" s="4" t="str">
        <v/>
      </c>
      <c r="I37277" s="4" t="str">
        <v/>
      </c>
    </row>
    <row r="37278" spans="5:9" ht="16.5" hidden="1">
      <c r="E37278" s="4" t="str">
        <v/>
      </c>
      <c r="F37278" s="102" t="str">
        <f ca="1">IFERROR(__xludf.DUMMYFUNCTION("IMPORTRANGE(H37278,""IDENTITAS UNIT!D9"")"),"#N/A")</f>
        <v>#N/A</v>
      </c>
      <c r="H37278" s="4" t="str">
        <v/>
      </c>
      <c r="I37278" s="4" t="str">
        <v/>
      </c>
    </row>
    <row r="37279" spans="5:9" ht="16.5" hidden="1">
      <c r="E37279" s="4" t="str">
        <v/>
      </c>
      <c r="F37279" s="102" t="str">
        <f ca="1">IFERROR(__xludf.DUMMYFUNCTION("IMPORTRANGE(H37279,""IDENTITAS UNIT!D9"")"),"#N/A")</f>
        <v>#N/A</v>
      </c>
      <c r="H37279" s="4" t="str">
        <v/>
      </c>
      <c r="I37279" s="4" t="str">
        <v/>
      </c>
    </row>
    <row r="37280" spans="5:9" ht="16.5" hidden="1">
      <c r="E37280" s="4" t="str">
        <v/>
      </c>
      <c r="F37280" s="102" t="str">
        <f ca="1">IFERROR(__xludf.DUMMYFUNCTION("IMPORTRANGE(H37280,""IDENTITAS UNIT!D9"")"),"#N/A")</f>
        <v>#N/A</v>
      </c>
      <c r="H37280" s="4" t="str">
        <v/>
      </c>
      <c r="I37280" s="4" t="str">
        <v/>
      </c>
    </row>
    <row r="37281" spans="5:9" ht="16.5" hidden="1">
      <c r="E37281" s="4" t="str">
        <v/>
      </c>
      <c r="F37281" s="102" t="str">
        <f ca="1">IFERROR(__xludf.DUMMYFUNCTION("IMPORTRANGE(H37281,""IDENTITAS UNIT!D9"")"),"#N/A")</f>
        <v>#N/A</v>
      </c>
      <c r="H37281" s="4" t="str">
        <v/>
      </c>
      <c r="I37281" s="4" t="str">
        <v/>
      </c>
    </row>
    <row r="37282" spans="5:9" ht="16.5" hidden="1">
      <c r="E37282" s="4" t="str">
        <v/>
      </c>
      <c r="F37282" s="102" t="str">
        <f ca="1">IFERROR(__xludf.DUMMYFUNCTION("IMPORTRANGE(H37282,""IDENTITAS UNIT!D9"")"),"#N/A")</f>
        <v>#N/A</v>
      </c>
      <c r="H37282" s="4" t="str">
        <v/>
      </c>
      <c r="I37282" s="4" t="str">
        <v/>
      </c>
    </row>
    <row r="37283" spans="5:9" ht="16.5" hidden="1">
      <c r="E37283" s="4" t="str">
        <v/>
      </c>
      <c r="F37283" s="102" t="str">
        <f ca="1">IFERROR(__xludf.DUMMYFUNCTION("IMPORTRANGE(H37283,""IDENTITAS UNIT!D9"")"),"#N/A")</f>
        <v>#N/A</v>
      </c>
      <c r="H37283" s="4" t="str">
        <v/>
      </c>
      <c r="I37283" s="4" t="str">
        <v/>
      </c>
    </row>
    <row r="37284" spans="5:9" ht="16.5" hidden="1">
      <c r="E37284" s="4" t="str">
        <v/>
      </c>
      <c r="F37284" s="102" t="str">
        <f ca="1">IFERROR(__xludf.DUMMYFUNCTION("IMPORTRANGE(H37284,""IDENTITAS UNIT!D9"")"),"#N/A")</f>
        <v>#N/A</v>
      </c>
      <c r="H37284" s="4" t="str">
        <v/>
      </c>
      <c r="I37284" s="4" t="str">
        <v/>
      </c>
    </row>
    <row r="37285" spans="5:9" ht="16.5" hidden="1">
      <c r="E37285" s="4" t="str">
        <v/>
      </c>
      <c r="F37285" s="102" t="str">
        <f ca="1">IFERROR(__xludf.DUMMYFUNCTION("IMPORTRANGE(H37285,""IDENTITAS UNIT!D9"")"),"#N/A")</f>
        <v>#N/A</v>
      </c>
      <c r="H37285" s="4" t="str">
        <v/>
      </c>
      <c r="I37285" s="4" t="str">
        <v/>
      </c>
    </row>
    <row r="37286" spans="5:9" ht="16.5" hidden="1">
      <c r="E37286" s="4" t="str">
        <v/>
      </c>
      <c r="F37286" s="102" t="str">
        <f ca="1">IFERROR(__xludf.DUMMYFUNCTION("IMPORTRANGE(H37286,""IDENTITAS UNIT!D9"")"),"#N/A")</f>
        <v>#N/A</v>
      </c>
      <c r="H37286" s="4" t="str">
        <v/>
      </c>
      <c r="I37286" s="4" t="str">
        <v/>
      </c>
    </row>
    <row r="37287" spans="5:9" ht="16.5" hidden="1">
      <c r="E37287" s="4" t="str">
        <v/>
      </c>
      <c r="F37287" s="102" t="str">
        <f ca="1">IFERROR(__xludf.DUMMYFUNCTION("IMPORTRANGE(H37287,""IDENTITAS UNIT!D9"")"),"#N/A")</f>
        <v>#N/A</v>
      </c>
      <c r="H37287" s="4" t="str">
        <v/>
      </c>
      <c r="I37287" s="4" t="str">
        <v/>
      </c>
    </row>
    <row r="37288" spans="5:9" ht="16.5" hidden="1">
      <c r="E37288" s="4" t="str">
        <v/>
      </c>
      <c r="F37288" s="102" t="str">
        <f ca="1">IFERROR(__xludf.DUMMYFUNCTION("IMPORTRANGE(H37288,""IDENTITAS UNIT!D9"")"),"#N/A")</f>
        <v>#N/A</v>
      </c>
      <c r="H37288" s="4" t="str">
        <v/>
      </c>
      <c r="I37288" s="4" t="str">
        <v/>
      </c>
    </row>
    <row r="37289" spans="5:9" ht="16.5" hidden="1">
      <c r="E37289" s="4" t="str">
        <v/>
      </c>
      <c r="F37289" s="102" t="str">
        <f ca="1">IFERROR(__xludf.DUMMYFUNCTION("IMPORTRANGE(H37289,""IDENTITAS UNIT!D9"")"),"#N/A")</f>
        <v>#N/A</v>
      </c>
      <c r="H37289" s="4" t="str">
        <v/>
      </c>
      <c r="I37289" s="4" t="str">
        <v/>
      </c>
    </row>
    <row r="37290" spans="5:9" ht="16.5" hidden="1">
      <c r="E37290" s="4" t="str">
        <v/>
      </c>
      <c r="F37290" s="102" t="str">
        <f ca="1">IFERROR(__xludf.DUMMYFUNCTION("IMPORTRANGE(H37290,""IDENTITAS UNIT!D9"")"),"#N/A")</f>
        <v>#N/A</v>
      </c>
      <c r="H37290" s="4" t="str">
        <v/>
      </c>
      <c r="I37290" s="4" t="str">
        <v/>
      </c>
    </row>
    <row r="37291" spans="5:9" ht="16.5" hidden="1">
      <c r="E37291" s="4" t="str">
        <v/>
      </c>
      <c r="F37291" s="102" t="str">
        <f ca="1">IFERROR(__xludf.DUMMYFUNCTION("IMPORTRANGE(H37291,""IDENTITAS UNIT!D9"")"),"#N/A")</f>
        <v>#N/A</v>
      </c>
      <c r="H37291" s="4" t="str">
        <v/>
      </c>
      <c r="I37291" s="4" t="str">
        <v/>
      </c>
    </row>
    <row r="37292" spans="5:9" ht="16.5" hidden="1">
      <c r="E37292" s="4" t="str">
        <v/>
      </c>
      <c r="F37292" s="102" t="str">
        <f ca="1">IFERROR(__xludf.DUMMYFUNCTION("IMPORTRANGE(H37292,""IDENTITAS UNIT!D9"")"),"#N/A")</f>
        <v>#N/A</v>
      </c>
      <c r="H37292" s="4" t="str">
        <v/>
      </c>
      <c r="I37292" s="4" t="str">
        <v/>
      </c>
    </row>
    <row r="37293" spans="5:9" ht="16.5" hidden="1">
      <c r="E37293" s="4" t="str">
        <v/>
      </c>
      <c r="F37293" s="102" t="str">
        <f ca="1">IFERROR(__xludf.DUMMYFUNCTION("IMPORTRANGE(H37293,""IDENTITAS UNIT!D9"")"),"#N/A")</f>
        <v>#N/A</v>
      </c>
      <c r="H37293" s="4" t="str">
        <v/>
      </c>
      <c r="I37293" s="4" t="str">
        <v/>
      </c>
    </row>
    <row r="37294" spans="5:9" ht="16.5" hidden="1">
      <c r="E37294" s="4" t="str">
        <v/>
      </c>
      <c r="F37294" s="102" t="str">
        <f ca="1">IFERROR(__xludf.DUMMYFUNCTION("IMPORTRANGE(H37294,""IDENTITAS UNIT!D9"")"),"#N/A")</f>
        <v>#N/A</v>
      </c>
      <c r="H37294" s="4" t="str">
        <v/>
      </c>
      <c r="I37294" s="4" t="str">
        <v/>
      </c>
    </row>
    <row r="37295" spans="5:9" ht="16.5" hidden="1">
      <c r="E37295" s="4" t="str">
        <v/>
      </c>
      <c r="F37295" s="102" t="str">
        <f ca="1">IFERROR(__xludf.DUMMYFUNCTION("IMPORTRANGE(H37295,""IDENTITAS UNIT!D9"")"),"#N/A")</f>
        <v>#N/A</v>
      </c>
      <c r="H37295" s="4" t="str">
        <v/>
      </c>
      <c r="I37295" s="4" t="str">
        <v/>
      </c>
    </row>
    <row r="37296" spans="5:9" ht="16.5" hidden="1">
      <c r="E37296" s="4" t="str">
        <v/>
      </c>
      <c r="F37296" s="102" t="str">
        <f ca="1">IFERROR(__xludf.DUMMYFUNCTION("IMPORTRANGE(H37296,""IDENTITAS UNIT!D9"")"),"#N/A")</f>
        <v>#N/A</v>
      </c>
      <c r="H37296" s="4" t="str">
        <v/>
      </c>
      <c r="I37296" s="4" t="str">
        <v/>
      </c>
    </row>
    <row r="37297" spans="5:9" ht="16.5" hidden="1">
      <c r="E37297" s="4" t="str">
        <v/>
      </c>
      <c r="F37297" s="102" t="str">
        <f ca="1">IFERROR(__xludf.DUMMYFUNCTION("IMPORTRANGE(H37297,""IDENTITAS UNIT!D9"")"),"#N/A")</f>
        <v>#N/A</v>
      </c>
      <c r="H37297" s="4" t="str">
        <v/>
      </c>
      <c r="I37297" s="4" t="str">
        <v/>
      </c>
    </row>
    <row r="37298" spans="5:9" ht="16.5" hidden="1">
      <c r="E37298" s="4" t="str">
        <v/>
      </c>
      <c r="F37298" s="102" t="str">
        <f ca="1">IFERROR(__xludf.DUMMYFUNCTION("IMPORTRANGE(H37298,""IDENTITAS UNIT!D9"")"),"#N/A")</f>
        <v>#N/A</v>
      </c>
      <c r="H37298" s="4" t="str">
        <v/>
      </c>
      <c r="I37298" s="4" t="str">
        <v/>
      </c>
    </row>
    <row r="37299" spans="5:9" ht="16.5" hidden="1">
      <c r="E37299" s="4" t="str">
        <v/>
      </c>
      <c r="F37299" s="102" t="str">
        <f ca="1">IFERROR(__xludf.DUMMYFUNCTION("IMPORTRANGE(H37299,""IDENTITAS UNIT!D9"")"),"#N/A")</f>
        <v>#N/A</v>
      </c>
      <c r="H37299" s="4" t="str">
        <v/>
      </c>
      <c r="I37299" s="4" t="str">
        <v/>
      </c>
    </row>
    <row r="37300" spans="5:9" ht="16.5" hidden="1">
      <c r="E37300" s="4" t="str">
        <v/>
      </c>
      <c r="F37300" s="102" t="str">
        <f ca="1">IFERROR(__xludf.DUMMYFUNCTION("IMPORTRANGE(H37300,""IDENTITAS UNIT!D9"")"),"#N/A")</f>
        <v>#N/A</v>
      </c>
      <c r="H37300" s="4" t="str">
        <v/>
      </c>
      <c r="I37300" s="4" t="str">
        <v/>
      </c>
    </row>
    <row r="37301" spans="5:9" ht="16.5" hidden="1">
      <c r="E37301" s="4" t="str">
        <v/>
      </c>
      <c r="F37301" s="102" t="str">
        <f ca="1">IFERROR(__xludf.DUMMYFUNCTION("IMPORTRANGE(H37301,""IDENTITAS UNIT!D9"")"),"#N/A")</f>
        <v>#N/A</v>
      </c>
      <c r="H37301" s="4" t="str">
        <v/>
      </c>
      <c r="I37301" s="4" t="str">
        <v/>
      </c>
    </row>
    <row r="37302" spans="5:9" ht="16.5" hidden="1">
      <c r="E37302" s="4" t="str">
        <v/>
      </c>
      <c r="F37302" s="102" t="str">
        <f ca="1">IFERROR(__xludf.DUMMYFUNCTION("IMPORTRANGE(H37302,""IDENTITAS UNIT!D9"")"),"#N/A")</f>
        <v>#N/A</v>
      </c>
      <c r="H37302" s="4" t="str">
        <v/>
      </c>
      <c r="I37302" s="4" t="str">
        <v/>
      </c>
    </row>
    <row r="37303" spans="5:9" ht="16.5" hidden="1">
      <c r="E37303" s="4" t="str">
        <v/>
      </c>
      <c r="F37303" s="102" t="str">
        <f ca="1">IFERROR(__xludf.DUMMYFUNCTION("IMPORTRANGE(H37303,""IDENTITAS UNIT!D9"")"),"#N/A")</f>
        <v>#N/A</v>
      </c>
      <c r="H37303" s="4" t="str">
        <v/>
      </c>
      <c r="I37303" s="4" t="str">
        <v/>
      </c>
    </row>
    <row r="37304" spans="5:9" ht="16.5" hidden="1">
      <c r="E37304" s="4" t="str">
        <v/>
      </c>
      <c r="F37304" s="102" t="str">
        <f ca="1">IFERROR(__xludf.DUMMYFUNCTION("IMPORTRANGE(H37304,""IDENTITAS UNIT!D9"")"),"#N/A")</f>
        <v>#N/A</v>
      </c>
      <c r="H37304" s="4" t="str">
        <v/>
      </c>
      <c r="I37304" s="4" t="str">
        <v/>
      </c>
    </row>
    <row r="37305" spans="5:9" ht="16.5" hidden="1">
      <c r="E37305" s="4" t="str">
        <v/>
      </c>
      <c r="F37305" s="102" t="str">
        <f ca="1">IFERROR(__xludf.DUMMYFUNCTION("IMPORTRANGE(H37305,""IDENTITAS UNIT!D9"")"),"#N/A")</f>
        <v>#N/A</v>
      </c>
      <c r="H37305" s="4" t="str">
        <v/>
      </c>
      <c r="I37305" s="4" t="str">
        <v/>
      </c>
    </row>
    <row r="37306" spans="5:9" ht="16.5" hidden="1">
      <c r="E37306" s="4" t="str">
        <v/>
      </c>
      <c r="F37306" s="102" t="str">
        <f ca="1">IFERROR(__xludf.DUMMYFUNCTION("IMPORTRANGE(H37306,""IDENTITAS UNIT!D9"")"),"#N/A")</f>
        <v>#N/A</v>
      </c>
      <c r="H37306" s="4" t="str">
        <v/>
      </c>
      <c r="I37306" s="4" t="str">
        <v/>
      </c>
    </row>
    <row r="37307" spans="5:9" ht="16.5" hidden="1">
      <c r="E37307" s="4" t="str">
        <v/>
      </c>
      <c r="F37307" s="102" t="str">
        <f ca="1">IFERROR(__xludf.DUMMYFUNCTION("IMPORTRANGE(H37307,""IDENTITAS UNIT!D9"")"),"#N/A")</f>
        <v>#N/A</v>
      </c>
      <c r="H37307" s="4" t="str">
        <v/>
      </c>
      <c r="I37307" s="4" t="str">
        <v/>
      </c>
    </row>
    <row r="37308" spans="5:9" ht="16.5" hidden="1">
      <c r="E37308" s="4" t="str">
        <v/>
      </c>
      <c r="F37308" s="102" t="str">
        <f ca="1">IFERROR(__xludf.DUMMYFUNCTION("IMPORTRANGE(H37308,""IDENTITAS UNIT!D9"")"),"#N/A")</f>
        <v>#N/A</v>
      </c>
      <c r="H37308" s="4" t="str">
        <v/>
      </c>
      <c r="I37308" s="4" t="str">
        <v/>
      </c>
    </row>
    <row r="37309" spans="5:9" ht="16.5" hidden="1">
      <c r="E37309" s="4" t="str">
        <v/>
      </c>
      <c r="F37309" s="102" t="str">
        <f ca="1">IFERROR(__xludf.DUMMYFUNCTION("IMPORTRANGE(H37309,""IDENTITAS UNIT!D9"")"),"#N/A")</f>
        <v>#N/A</v>
      </c>
      <c r="H37309" s="4" t="str">
        <v/>
      </c>
      <c r="I37309" s="4" t="str">
        <v/>
      </c>
    </row>
    <row r="37310" spans="5:9" ht="16.5" hidden="1">
      <c r="E37310" s="4" t="str">
        <v/>
      </c>
      <c r="F37310" s="102" t="str">
        <f ca="1">IFERROR(__xludf.DUMMYFUNCTION("IMPORTRANGE(H37310,""IDENTITAS UNIT!D9"")"),"#N/A")</f>
        <v>#N/A</v>
      </c>
      <c r="H37310" s="4" t="str">
        <v/>
      </c>
      <c r="I37310" s="4" t="str">
        <v/>
      </c>
    </row>
    <row r="37311" spans="5:9" ht="16.5" hidden="1">
      <c r="E37311" s="4" t="str">
        <v/>
      </c>
      <c r="F37311" s="102" t="str">
        <f ca="1">IFERROR(__xludf.DUMMYFUNCTION("IMPORTRANGE(H37311,""IDENTITAS UNIT!D9"")"),"#N/A")</f>
        <v>#N/A</v>
      </c>
      <c r="H37311" s="4" t="str">
        <v/>
      </c>
      <c r="I37311" s="4" t="str">
        <v/>
      </c>
    </row>
    <row r="37312" spans="5:9" ht="16.5" hidden="1">
      <c r="E37312" s="4" t="str">
        <v/>
      </c>
      <c r="F37312" s="102" t="str">
        <f ca="1">IFERROR(__xludf.DUMMYFUNCTION("IMPORTRANGE(H37312,""IDENTITAS UNIT!D9"")"),"#N/A")</f>
        <v>#N/A</v>
      </c>
      <c r="H37312" s="4" t="str">
        <v/>
      </c>
      <c r="I37312" s="4" t="str">
        <v/>
      </c>
    </row>
    <row r="37313" spans="5:9" ht="16.5" hidden="1">
      <c r="E37313" s="4" t="str">
        <v/>
      </c>
      <c r="F37313" s="102" t="str">
        <f ca="1">IFERROR(__xludf.DUMMYFUNCTION("IMPORTRANGE(H37313,""IDENTITAS UNIT!D9"")"),"#N/A")</f>
        <v>#N/A</v>
      </c>
      <c r="H37313" s="4" t="str">
        <v/>
      </c>
      <c r="I37313" s="4" t="str">
        <v/>
      </c>
    </row>
    <row r="37314" spans="5:9" ht="16.5" hidden="1">
      <c r="E37314" s="4" t="str">
        <v/>
      </c>
      <c r="F37314" s="102" t="str">
        <f ca="1">IFERROR(__xludf.DUMMYFUNCTION("IMPORTRANGE(H37314,""IDENTITAS UNIT!D9"")"),"#N/A")</f>
        <v>#N/A</v>
      </c>
      <c r="H37314" s="4" t="str">
        <v/>
      </c>
      <c r="I37314" s="4" t="str">
        <v/>
      </c>
    </row>
    <row r="37315" spans="5:9" ht="16.5" hidden="1">
      <c r="E37315" s="4" t="str">
        <v/>
      </c>
      <c r="F37315" s="102" t="str">
        <f ca="1">IFERROR(__xludf.DUMMYFUNCTION("IMPORTRANGE(H37315,""IDENTITAS UNIT!D9"")"),"#N/A")</f>
        <v>#N/A</v>
      </c>
      <c r="H37315" s="4" t="str">
        <v/>
      </c>
      <c r="I37315" s="4" t="str">
        <v/>
      </c>
    </row>
    <row r="37316" spans="5:9" ht="16.5" hidden="1">
      <c r="E37316" s="4" t="str">
        <v/>
      </c>
      <c r="F37316" s="102" t="str">
        <f ca="1">IFERROR(__xludf.DUMMYFUNCTION("IMPORTRANGE(H37316,""IDENTITAS UNIT!D9"")"),"#N/A")</f>
        <v>#N/A</v>
      </c>
      <c r="H37316" s="4" t="str">
        <v/>
      </c>
      <c r="I37316" s="4" t="str">
        <v/>
      </c>
    </row>
    <row r="37317" spans="5:9" ht="16.5" hidden="1">
      <c r="E37317" s="4" t="str">
        <v/>
      </c>
      <c r="F37317" s="102" t="str">
        <f ca="1">IFERROR(__xludf.DUMMYFUNCTION("IMPORTRANGE(H37317,""IDENTITAS UNIT!D9"")"),"#N/A")</f>
        <v>#N/A</v>
      </c>
      <c r="H37317" s="4" t="str">
        <v/>
      </c>
      <c r="I37317" s="4" t="str">
        <v/>
      </c>
    </row>
    <row r="37318" spans="5:9" ht="16.5" hidden="1">
      <c r="E37318" s="4" t="str">
        <v/>
      </c>
      <c r="F37318" s="102" t="str">
        <f ca="1">IFERROR(__xludf.DUMMYFUNCTION("IMPORTRANGE(H37318,""IDENTITAS UNIT!D9"")"),"#N/A")</f>
        <v>#N/A</v>
      </c>
      <c r="H37318" s="4" t="str">
        <v/>
      </c>
      <c r="I37318" s="4" t="str">
        <v/>
      </c>
    </row>
    <row r="37319" spans="5:9" ht="16.5" hidden="1">
      <c r="E37319" s="4" t="str">
        <v/>
      </c>
      <c r="F37319" s="102" t="str">
        <f ca="1">IFERROR(__xludf.DUMMYFUNCTION("IMPORTRANGE(H37319,""IDENTITAS UNIT!D9"")"),"#N/A")</f>
        <v>#N/A</v>
      </c>
      <c r="H37319" s="4" t="str">
        <v/>
      </c>
      <c r="I37319" s="4" t="str">
        <v/>
      </c>
    </row>
    <row r="37320" spans="5:9" ht="16.5" hidden="1">
      <c r="E37320" s="4" t="str">
        <v/>
      </c>
      <c r="F37320" s="102" t="str">
        <f ca="1">IFERROR(__xludf.DUMMYFUNCTION("IMPORTRANGE(H37320,""IDENTITAS UNIT!D9"")"),"#N/A")</f>
        <v>#N/A</v>
      </c>
      <c r="H37320" s="4" t="str">
        <v/>
      </c>
      <c r="I37320" s="4" t="str">
        <v/>
      </c>
    </row>
    <row r="37321" spans="5:9" ht="16.5" hidden="1">
      <c r="E37321" s="4" t="str">
        <v/>
      </c>
      <c r="F37321" s="102" t="str">
        <f ca="1">IFERROR(__xludf.DUMMYFUNCTION("IMPORTRANGE(H37321,""IDENTITAS UNIT!D9"")"),"#N/A")</f>
        <v>#N/A</v>
      </c>
      <c r="H37321" s="4" t="str">
        <v/>
      </c>
      <c r="I37321" s="4" t="str">
        <v/>
      </c>
    </row>
    <row r="37322" spans="5:9" ht="16.5" hidden="1">
      <c r="E37322" s="4" t="str">
        <v/>
      </c>
      <c r="F37322" s="102" t="str">
        <f ca="1">IFERROR(__xludf.DUMMYFUNCTION("IMPORTRANGE(H37322,""IDENTITAS UNIT!D9"")"),"#N/A")</f>
        <v>#N/A</v>
      </c>
      <c r="H37322" s="4" t="str">
        <v/>
      </c>
      <c r="I37322" s="4" t="str">
        <v/>
      </c>
    </row>
    <row r="37323" spans="5:9" ht="16.5" hidden="1">
      <c r="E37323" s="4" t="str">
        <v/>
      </c>
      <c r="F37323" s="102" t="str">
        <f ca="1">IFERROR(__xludf.DUMMYFUNCTION("IMPORTRANGE(H37323,""IDENTITAS UNIT!D9"")"),"#N/A")</f>
        <v>#N/A</v>
      </c>
      <c r="H37323" s="4" t="str">
        <v/>
      </c>
      <c r="I37323" s="4" t="str">
        <v/>
      </c>
    </row>
    <row r="37324" spans="5:9" ht="16.5" hidden="1">
      <c r="E37324" s="4" t="str">
        <v/>
      </c>
      <c r="F37324" s="102" t="str">
        <f ca="1">IFERROR(__xludf.DUMMYFUNCTION("IMPORTRANGE(H37324,""IDENTITAS UNIT!D9"")"),"#N/A")</f>
        <v>#N/A</v>
      </c>
      <c r="H37324" s="4" t="str">
        <v/>
      </c>
      <c r="I37324" s="4" t="str">
        <v/>
      </c>
    </row>
    <row r="37325" spans="5:9" ht="16.5" hidden="1">
      <c r="E37325" s="4" t="str">
        <v/>
      </c>
      <c r="F37325" s="102" t="str">
        <f ca="1">IFERROR(__xludf.DUMMYFUNCTION("IMPORTRANGE(H37325,""IDENTITAS UNIT!D9"")"),"#N/A")</f>
        <v>#N/A</v>
      </c>
      <c r="H37325" s="4" t="str">
        <v/>
      </c>
      <c r="I37325" s="4" t="str">
        <v/>
      </c>
    </row>
    <row r="37326" spans="5:9" ht="16.5" hidden="1">
      <c r="E37326" s="4" t="str">
        <v/>
      </c>
      <c r="F37326" s="102" t="str">
        <f ca="1">IFERROR(__xludf.DUMMYFUNCTION("IMPORTRANGE(H37326,""IDENTITAS UNIT!D9"")"),"#N/A")</f>
        <v>#N/A</v>
      </c>
      <c r="H37326" s="4" t="str">
        <v/>
      </c>
      <c r="I37326" s="4" t="str">
        <v/>
      </c>
    </row>
    <row r="37327" spans="5:9" ht="16.5" hidden="1">
      <c r="E37327" s="4" t="str">
        <v/>
      </c>
      <c r="F37327" s="102" t="str">
        <f ca="1">IFERROR(__xludf.DUMMYFUNCTION("IMPORTRANGE(H37327,""IDENTITAS UNIT!D9"")"),"#N/A")</f>
        <v>#N/A</v>
      </c>
      <c r="H37327" s="4" t="str">
        <v/>
      </c>
      <c r="I37327" s="4" t="str">
        <v/>
      </c>
    </row>
    <row r="37328" spans="5:9" ht="16.5" hidden="1">
      <c r="E37328" s="4" t="str">
        <v/>
      </c>
      <c r="F37328" s="102" t="str">
        <f ca="1">IFERROR(__xludf.DUMMYFUNCTION("IMPORTRANGE(H37328,""IDENTITAS UNIT!D9"")"),"#N/A")</f>
        <v>#N/A</v>
      </c>
      <c r="H37328" s="4" t="str">
        <v/>
      </c>
      <c r="I37328" s="4" t="str">
        <v/>
      </c>
    </row>
    <row r="37329" spans="5:9" ht="16.5" hidden="1">
      <c r="E37329" s="4" t="str">
        <v/>
      </c>
      <c r="F37329" s="102" t="str">
        <f ca="1">IFERROR(__xludf.DUMMYFUNCTION("IMPORTRANGE(H37329,""IDENTITAS UNIT!D9"")"),"#N/A")</f>
        <v>#N/A</v>
      </c>
      <c r="H37329" s="4" t="str">
        <v/>
      </c>
      <c r="I37329" s="4" t="str">
        <v/>
      </c>
    </row>
    <row r="37330" spans="5:9" ht="16.5" hidden="1">
      <c r="E37330" s="4" t="str">
        <v/>
      </c>
      <c r="F37330" s="102" t="str">
        <f ca="1">IFERROR(__xludf.DUMMYFUNCTION("IMPORTRANGE(H37330,""IDENTITAS UNIT!D9"")"),"#N/A")</f>
        <v>#N/A</v>
      </c>
      <c r="H37330" s="4" t="str">
        <v/>
      </c>
      <c r="I37330" s="4" t="str">
        <v/>
      </c>
    </row>
    <row r="37331" spans="5:9" ht="16.5" hidden="1">
      <c r="E37331" s="4" t="str">
        <v/>
      </c>
      <c r="F37331" s="102" t="str">
        <f ca="1">IFERROR(__xludf.DUMMYFUNCTION("IMPORTRANGE(H37331,""IDENTITAS UNIT!D9"")"),"#N/A")</f>
        <v>#N/A</v>
      </c>
      <c r="H37331" s="4" t="str">
        <v/>
      </c>
      <c r="I37331" s="4" t="str">
        <v/>
      </c>
    </row>
    <row r="37332" spans="5:9" ht="16.5" hidden="1">
      <c r="E37332" s="4" t="str">
        <v/>
      </c>
      <c r="F37332" s="102" t="str">
        <f ca="1">IFERROR(__xludf.DUMMYFUNCTION("IMPORTRANGE(H37332,""IDENTITAS UNIT!D9"")"),"#N/A")</f>
        <v>#N/A</v>
      </c>
      <c r="H37332" s="4" t="str">
        <v/>
      </c>
      <c r="I37332" s="4" t="str">
        <v/>
      </c>
    </row>
    <row r="37333" spans="5:9" ht="16.5" hidden="1">
      <c r="E37333" s="4" t="str">
        <v/>
      </c>
      <c r="F37333" s="102" t="str">
        <f ca="1">IFERROR(__xludf.DUMMYFUNCTION("IMPORTRANGE(H37333,""IDENTITAS UNIT!D9"")"),"#N/A")</f>
        <v>#N/A</v>
      </c>
      <c r="H37333" s="4" t="str">
        <v/>
      </c>
      <c r="I37333" s="4" t="str">
        <v/>
      </c>
    </row>
    <row r="37334" spans="5:9" ht="16.5" hidden="1">
      <c r="E37334" s="4" t="str">
        <v/>
      </c>
      <c r="F37334" s="102" t="str">
        <f ca="1">IFERROR(__xludf.DUMMYFUNCTION("IMPORTRANGE(H37334,""IDENTITAS UNIT!D9"")"),"#N/A")</f>
        <v>#N/A</v>
      </c>
      <c r="H37334" s="4" t="str">
        <v/>
      </c>
      <c r="I37334" s="4" t="str">
        <v/>
      </c>
    </row>
    <row r="37335" spans="5:9" ht="16.5" hidden="1">
      <c r="E37335" s="4" t="str">
        <v/>
      </c>
      <c r="F37335" s="102" t="str">
        <f ca="1">IFERROR(__xludf.DUMMYFUNCTION("IMPORTRANGE(H37335,""IDENTITAS UNIT!D9"")"),"#N/A")</f>
        <v>#N/A</v>
      </c>
      <c r="H37335" s="4" t="str">
        <v/>
      </c>
      <c r="I37335" s="4" t="str">
        <v/>
      </c>
    </row>
    <row r="37336" spans="5:9" ht="16.5" hidden="1">
      <c r="E37336" s="4" t="str">
        <v/>
      </c>
      <c r="F37336" s="102" t="str">
        <f ca="1">IFERROR(__xludf.DUMMYFUNCTION("IMPORTRANGE(H37336,""IDENTITAS UNIT!D9"")"),"#N/A")</f>
        <v>#N/A</v>
      </c>
      <c r="H37336" s="4" t="str">
        <v/>
      </c>
      <c r="I37336" s="4" t="str">
        <v/>
      </c>
    </row>
    <row r="37337" spans="5:9" ht="16.5" hidden="1">
      <c r="E37337" s="4" t="str">
        <v/>
      </c>
      <c r="F37337" s="102" t="str">
        <f ca="1">IFERROR(__xludf.DUMMYFUNCTION("IMPORTRANGE(H37337,""IDENTITAS UNIT!D9"")"),"#N/A")</f>
        <v>#N/A</v>
      </c>
      <c r="H37337" s="4" t="str">
        <v/>
      </c>
      <c r="I37337" s="4" t="str">
        <v/>
      </c>
    </row>
    <row r="37338" spans="5:9" ht="16.5" hidden="1">
      <c r="E37338" s="4" t="str">
        <v/>
      </c>
      <c r="F37338" s="102" t="str">
        <f ca="1">IFERROR(__xludf.DUMMYFUNCTION("IMPORTRANGE(H37338,""IDENTITAS UNIT!D9"")"),"#N/A")</f>
        <v>#N/A</v>
      </c>
      <c r="H37338" s="4" t="str">
        <v/>
      </c>
      <c r="I37338" s="4" t="str">
        <v/>
      </c>
    </row>
    <row r="37339" spans="5:9" ht="16.5" hidden="1">
      <c r="E37339" s="4" t="str">
        <v/>
      </c>
      <c r="F37339" s="102" t="str">
        <f ca="1">IFERROR(__xludf.DUMMYFUNCTION("IMPORTRANGE(H37339,""IDENTITAS UNIT!D9"")"),"#N/A")</f>
        <v>#N/A</v>
      </c>
      <c r="H37339" s="4" t="str">
        <v/>
      </c>
      <c r="I37339" s="4" t="str">
        <v/>
      </c>
    </row>
    <row r="37340" spans="5:9" ht="16.5" hidden="1">
      <c r="E37340" s="4" t="str">
        <v/>
      </c>
      <c r="F37340" s="102" t="str">
        <f ca="1">IFERROR(__xludf.DUMMYFUNCTION("IMPORTRANGE(H37340,""IDENTITAS UNIT!D9"")"),"#N/A")</f>
        <v>#N/A</v>
      </c>
      <c r="H37340" s="4" t="str">
        <v/>
      </c>
      <c r="I37340" s="4" t="str">
        <v/>
      </c>
    </row>
    <row r="37341" spans="5:9" ht="16.5" hidden="1">
      <c r="E37341" s="4" t="str">
        <v/>
      </c>
      <c r="F37341" s="102" t="str">
        <f ca="1">IFERROR(__xludf.DUMMYFUNCTION("IMPORTRANGE(H37341,""IDENTITAS UNIT!D9"")"),"#N/A")</f>
        <v>#N/A</v>
      </c>
      <c r="H37341" s="4" t="str">
        <v/>
      </c>
      <c r="I37341" s="4" t="str">
        <v/>
      </c>
    </row>
    <row r="37342" spans="5:9" ht="16.5" hidden="1">
      <c r="E37342" s="4" t="str">
        <v/>
      </c>
      <c r="F37342" s="102" t="str">
        <f ca="1">IFERROR(__xludf.DUMMYFUNCTION("IMPORTRANGE(H37342,""IDENTITAS UNIT!D9"")"),"#N/A")</f>
        <v>#N/A</v>
      </c>
      <c r="H37342" s="4" t="str">
        <v/>
      </c>
      <c r="I37342" s="4" t="str">
        <v/>
      </c>
    </row>
    <row r="37343" spans="5:9" ht="16.5" hidden="1">
      <c r="E37343" s="4" t="str">
        <v/>
      </c>
      <c r="F37343" s="102" t="str">
        <f ca="1">IFERROR(__xludf.DUMMYFUNCTION("IMPORTRANGE(H37343,""IDENTITAS UNIT!D9"")"),"#N/A")</f>
        <v>#N/A</v>
      </c>
      <c r="H37343" s="4" t="str">
        <v/>
      </c>
      <c r="I37343" s="4" t="str">
        <v/>
      </c>
    </row>
    <row r="37344" spans="5:9" ht="16.5" hidden="1">
      <c r="E37344" s="4" t="str">
        <v/>
      </c>
      <c r="F37344" s="102" t="str">
        <f ca="1">IFERROR(__xludf.DUMMYFUNCTION("IMPORTRANGE(H37344,""IDENTITAS UNIT!D9"")"),"#N/A")</f>
        <v>#N/A</v>
      </c>
      <c r="H37344" s="4" t="str">
        <v/>
      </c>
      <c r="I37344" s="4" t="str">
        <v/>
      </c>
    </row>
    <row r="37345" spans="5:9" ht="16.5" hidden="1">
      <c r="E37345" s="4" t="str">
        <v/>
      </c>
      <c r="F37345" s="102" t="str">
        <f ca="1">IFERROR(__xludf.DUMMYFUNCTION("IMPORTRANGE(H37345,""IDENTITAS UNIT!D9"")"),"#N/A")</f>
        <v>#N/A</v>
      </c>
      <c r="H37345" s="4" t="str">
        <v/>
      </c>
      <c r="I37345" s="4" t="str">
        <v/>
      </c>
    </row>
    <row r="37346" spans="5:9" ht="16.5" hidden="1">
      <c r="E37346" s="4" t="str">
        <v/>
      </c>
      <c r="F37346" s="102" t="str">
        <f ca="1">IFERROR(__xludf.DUMMYFUNCTION("IMPORTRANGE(H37346,""IDENTITAS UNIT!D9"")"),"#N/A")</f>
        <v>#N/A</v>
      </c>
      <c r="H37346" s="4" t="str">
        <v/>
      </c>
      <c r="I37346" s="4" t="str">
        <v/>
      </c>
    </row>
    <row r="37347" spans="5:9" ht="16.5" hidden="1">
      <c r="E37347" s="4" t="str">
        <v/>
      </c>
      <c r="F37347" s="102" t="str">
        <f ca="1">IFERROR(__xludf.DUMMYFUNCTION("IMPORTRANGE(H37347,""IDENTITAS UNIT!D9"")"),"#N/A")</f>
        <v>#N/A</v>
      </c>
      <c r="H37347" s="4" t="str">
        <v/>
      </c>
      <c r="I37347" s="4" t="str">
        <v/>
      </c>
    </row>
    <row r="37348" spans="5:9" ht="16.5" hidden="1">
      <c r="E37348" s="4" t="str">
        <v/>
      </c>
      <c r="F37348" s="102" t="str">
        <f ca="1">IFERROR(__xludf.DUMMYFUNCTION("IMPORTRANGE(H37348,""IDENTITAS UNIT!D9"")"),"#N/A")</f>
        <v>#N/A</v>
      </c>
      <c r="H37348" s="4" t="str">
        <v/>
      </c>
      <c r="I37348" s="4" t="str">
        <v/>
      </c>
    </row>
    <row r="37349" spans="5:9" ht="16.5" hidden="1">
      <c r="E37349" s="4" t="str">
        <v/>
      </c>
      <c r="F37349" s="102" t="str">
        <f ca="1">IFERROR(__xludf.DUMMYFUNCTION("IMPORTRANGE(H37349,""IDENTITAS UNIT!D9"")"),"#N/A")</f>
        <v>#N/A</v>
      </c>
      <c r="H37349" s="4" t="str">
        <v/>
      </c>
      <c r="I37349" s="4" t="str">
        <v/>
      </c>
    </row>
    <row r="37350" spans="5:9" ht="16.5" hidden="1">
      <c r="E37350" s="4" t="str">
        <v/>
      </c>
      <c r="F37350" s="102" t="str">
        <f ca="1">IFERROR(__xludf.DUMMYFUNCTION("IMPORTRANGE(H37350,""IDENTITAS UNIT!D9"")"),"#N/A")</f>
        <v>#N/A</v>
      </c>
      <c r="H37350" s="4" t="str">
        <v/>
      </c>
      <c r="I37350" s="4" t="str">
        <v/>
      </c>
    </row>
    <row r="37351" spans="5:9" ht="16.5" hidden="1">
      <c r="E37351" s="4" t="str">
        <v/>
      </c>
      <c r="F37351" s="102" t="str">
        <f ca="1">IFERROR(__xludf.DUMMYFUNCTION("IMPORTRANGE(H37351,""IDENTITAS UNIT!D9"")"),"#N/A")</f>
        <v>#N/A</v>
      </c>
      <c r="H37351" s="4" t="str">
        <v/>
      </c>
      <c r="I37351" s="4" t="str">
        <v/>
      </c>
    </row>
    <row r="37352" spans="5:9" ht="16.5" hidden="1">
      <c r="E37352" s="4" t="str">
        <v/>
      </c>
      <c r="F37352" s="102" t="str">
        <f ca="1">IFERROR(__xludf.DUMMYFUNCTION("IMPORTRANGE(H37352,""IDENTITAS UNIT!D9"")"),"#N/A")</f>
        <v>#N/A</v>
      </c>
      <c r="H37352" s="4" t="str">
        <v/>
      </c>
      <c r="I37352" s="4" t="str">
        <v/>
      </c>
    </row>
    <row r="37353" spans="5:9" ht="16.5" hidden="1">
      <c r="E37353" s="4" t="str">
        <v/>
      </c>
      <c r="F37353" s="102" t="str">
        <f ca="1">IFERROR(__xludf.DUMMYFUNCTION("IMPORTRANGE(H37353,""IDENTITAS UNIT!D9"")"),"#N/A")</f>
        <v>#N/A</v>
      </c>
      <c r="H37353" s="4" t="str">
        <v/>
      </c>
      <c r="I37353" s="4" t="str">
        <v/>
      </c>
    </row>
    <row r="37354" spans="5:9" ht="16.5" hidden="1">
      <c r="E37354" s="4" t="str">
        <v/>
      </c>
      <c r="F37354" s="102" t="str">
        <f ca="1">IFERROR(__xludf.DUMMYFUNCTION("IMPORTRANGE(H37354,""IDENTITAS UNIT!D9"")"),"#N/A")</f>
        <v>#N/A</v>
      </c>
      <c r="H37354" s="4" t="str">
        <v/>
      </c>
      <c r="I37354" s="4" t="str">
        <v/>
      </c>
    </row>
    <row r="37355" spans="5:9" ht="16.5" hidden="1">
      <c r="E37355" s="4" t="str">
        <v/>
      </c>
      <c r="F37355" s="102" t="str">
        <f ca="1">IFERROR(__xludf.DUMMYFUNCTION("IMPORTRANGE(H37355,""IDENTITAS UNIT!D9"")"),"#N/A")</f>
        <v>#N/A</v>
      </c>
      <c r="H37355" s="4" t="str">
        <v/>
      </c>
      <c r="I37355" s="4" t="str">
        <v/>
      </c>
    </row>
    <row r="37356" spans="5:9" ht="16.5" hidden="1">
      <c r="E37356" s="4" t="str">
        <v/>
      </c>
      <c r="F37356" s="102" t="str">
        <f ca="1">IFERROR(__xludf.DUMMYFUNCTION("IMPORTRANGE(H37356,""IDENTITAS UNIT!D9"")"),"#N/A")</f>
        <v>#N/A</v>
      </c>
      <c r="H37356" s="4" t="str">
        <v/>
      </c>
      <c r="I37356" s="4" t="str">
        <v/>
      </c>
    </row>
    <row r="37357" spans="5:9" ht="16.5" hidden="1">
      <c r="E37357" s="4" t="str">
        <v/>
      </c>
      <c r="F37357" s="102" t="str">
        <f ca="1">IFERROR(__xludf.DUMMYFUNCTION("IMPORTRANGE(H37357,""IDENTITAS UNIT!D9"")"),"#N/A")</f>
        <v>#N/A</v>
      </c>
      <c r="H37357" s="4" t="str">
        <v/>
      </c>
      <c r="I37357" s="4" t="str">
        <v/>
      </c>
    </row>
    <row r="37358" spans="5:9" ht="16.5" hidden="1">
      <c r="E37358" s="4" t="str">
        <v/>
      </c>
      <c r="F37358" s="102" t="str">
        <f ca="1">IFERROR(__xludf.DUMMYFUNCTION("IMPORTRANGE(H37358,""IDENTITAS UNIT!D9"")"),"#N/A")</f>
        <v>#N/A</v>
      </c>
      <c r="H37358" s="4" t="str">
        <v/>
      </c>
      <c r="I37358" s="4" t="str">
        <v/>
      </c>
    </row>
    <row r="37359" spans="5:9" ht="16.5" hidden="1">
      <c r="E37359" s="4" t="str">
        <v/>
      </c>
      <c r="F37359" s="102" t="str">
        <f ca="1">IFERROR(__xludf.DUMMYFUNCTION("IMPORTRANGE(H37359,""IDENTITAS UNIT!D9"")"),"#N/A")</f>
        <v>#N/A</v>
      </c>
      <c r="H37359" s="4" t="str">
        <v/>
      </c>
      <c r="I37359" s="4" t="str">
        <v/>
      </c>
    </row>
    <row r="37360" spans="5:9" ht="16.5" hidden="1">
      <c r="E37360" s="4" t="str">
        <v/>
      </c>
      <c r="F37360" s="102" t="str">
        <f ca="1">IFERROR(__xludf.DUMMYFUNCTION("IMPORTRANGE(H37360,""IDENTITAS UNIT!D9"")"),"#N/A")</f>
        <v>#N/A</v>
      </c>
      <c r="H37360" s="4" t="str">
        <v/>
      </c>
      <c r="I37360" s="4" t="str">
        <v/>
      </c>
    </row>
    <row r="37361" spans="5:9" ht="16.5" hidden="1">
      <c r="E37361" s="4" t="str">
        <v/>
      </c>
      <c r="F37361" s="102" t="str">
        <f ca="1">IFERROR(__xludf.DUMMYFUNCTION("IMPORTRANGE(H37361,""IDENTITAS UNIT!D9"")"),"#N/A")</f>
        <v>#N/A</v>
      </c>
      <c r="H37361" s="4" t="str">
        <v/>
      </c>
      <c r="I37361" s="4" t="str">
        <v/>
      </c>
    </row>
    <row r="37362" spans="5:9" ht="16.5" hidden="1">
      <c r="E37362" s="4" t="str">
        <v/>
      </c>
      <c r="F37362" s="102" t="str">
        <f ca="1">IFERROR(__xludf.DUMMYFUNCTION("IMPORTRANGE(H37362,""IDENTITAS UNIT!D9"")"),"#N/A")</f>
        <v>#N/A</v>
      </c>
      <c r="H37362" s="4" t="str">
        <v/>
      </c>
      <c r="I37362" s="4" t="str">
        <v/>
      </c>
    </row>
    <row r="37363" spans="5:9" ht="16.5" hidden="1">
      <c r="E37363" s="4" t="str">
        <v/>
      </c>
      <c r="F37363" s="102" t="str">
        <f ca="1">IFERROR(__xludf.DUMMYFUNCTION("IMPORTRANGE(H37363,""IDENTITAS UNIT!D9"")"),"#N/A")</f>
        <v>#N/A</v>
      </c>
      <c r="H37363" s="4" t="str">
        <v/>
      </c>
      <c r="I37363" s="4" t="str">
        <v/>
      </c>
    </row>
    <row r="37364" spans="5:9" ht="16.5" hidden="1">
      <c r="E37364" s="4" t="str">
        <v/>
      </c>
      <c r="F37364" s="102" t="str">
        <f ca="1">IFERROR(__xludf.DUMMYFUNCTION("IMPORTRANGE(H37364,""IDENTITAS UNIT!D9"")"),"#N/A")</f>
        <v>#N/A</v>
      </c>
      <c r="H37364" s="4" t="str">
        <v/>
      </c>
      <c r="I37364" s="4" t="str">
        <v/>
      </c>
    </row>
    <row r="37365" spans="5:9" ht="16.5" hidden="1">
      <c r="E37365" s="4" t="str">
        <v/>
      </c>
      <c r="F37365" s="102" t="str">
        <f ca="1">IFERROR(__xludf.DUMMYFUNCTION("IMPORTRANGE(H37365,""IDENTITAS UNIT!D9"")"),"#N/A")</f>
        <v>#N/A</v>
      </c>
      <c r="H37365" s="4" t="str">
        <v/>
      </c>
      <c r="I37365" s="4" t="str">
        <v/>
      </c>
    </row>
    <row r="37366" spans="5:9" ht="16.5" hidden="1">
      <c r="E37366" s="4" t="str">
        <v/>
      </c>
      <c r="F37366" s="102" t="str">
        <f ca="1">IFERROR(__xludf.DUMMYFUNCTION("IMPORTRANGE(H37366,""IDENTITAS UNIT!D9"")"),"#N/A")</f>
        <v>#N/A</v>
      </c>
      <c r="H37366" s="4" t="str">
        <v/>
      </c>
      <c r="I37366" s="4" t="str">
        <v/>
      </c>
    </row>
    <row r="37367" spans="5:9" ht="16.5" hidden="1">
      <c r="E37367" s="4" t="str">
        <v/>
      </c>
      <c r="F37367" s="102" t="str">
        <f ca="1">IFERROR(__xludf.DUMMYFUNCTION("IMPORTRANGE(H37367,""IDENTITAS UNIT!D9"")"),"#N/A")</f>
        <v>#N/A</v>
      </c>
      <c r="H37367" s="4" t="str">
        <v/>
      </c>
      <c r="I37367" s="4" t="str">
        <v/>
      </c>
    </row>
    <row r="37368" spans="5:9" ht="16.5" hidden="1">
      <c r="E37368" s="4" t="str">
        <v/>
      </c>
      <c r="F37368" s="102" t="str">
        <f ca="1">IFERROR(__xludf.DUMMYFUNCTION("IMPORTRANGE(H37368,""IDENTITAS UNIT!D9"")"),"#N/A")</f>
        <v>#N/A</v>
      </c>
      <c r="H37368" s="4" t="str">
        <v/>
      </c>
      <c r="I37368" s="4" t="str">
        <v/>
      </c>
    </row>
    <row r="37369" spans="5:9" ht="16.5" hidden="1">
      <c r="E37369" s="4" t="str">
        <v/>
      </c>
      <c r="F37369" s="102" t="str">
        <f ca="1">IFERROR(__xludf.DUMMYFUNCTION("IMPORTRANGE(H37369,""IDENTITAS UNIT!D9"")"),"#N/A")</f>
        <v>#N/A</v>
      </c>
      <c r="H37369" s="4" t="str">
        <v/>
      </c>
      <c r="I37369" s="4" t="str">
        <v/>
      </c>
    </row>
    <row r="37370" spans="5:9" ht="16.5" hidden="1">
      <c r="E37370" s="4" t="str">
        <v/>
      </c>
      <c r="F37370" s="102" t="str">
        <f ca="1">IFERROR(__xludf.DUMMYFUNCTION("IMPORTRANGE(H37370,""IDENTITAS UNIT!D9"")"),"#N/A")</f>
        <v>#N/A</v>
      </c>
      <c r="H37370" s="4" t="str">
        <v/>
      </c>
      <c r="I37370" s="4" t="str">
        <v/>
      </c>
    </row>
    <row r="37371" spans="5:9" ht="16.5" hidden="1">
      <c r="E37371" s="4" t="str">
        <v/>
      </c>
      <c r="F37371" s="102" t="str">
        <f ca="1">IFERROR(__xludf.DUMMYFUNCTION("IMPORTRANGE(H37371,""IDENTITAS UNIT!D9"")"),"#N/A")</f>
        <v>#N/A</v>
      </c>
      <c r="H37371" s="4" t="str">
        <v/>
      </c>
      <c r="I37371" s="4" t="str">
        <v/>
      </c>
    </row>
    <row r="37372" spans="5:9" ht="16.5" hidden="1">
      <c r="E37372" s="4" t="str">
        <v/>
      </c>
      <c r="F37372" s="102" t="str">
        <f ca="1">IFERROR(__xludf.DUMMYFUNCTION("IMPORTRANGE(H37372,""IDENTITAS UNIT!D9"")"),"#N/A")</f>
        <v>#N/A</v>
      </c>
      <c r="H37372" s="4" t="str">
        <v/>
      </c>
      <c r="I37372" s="4" t="str">
        <v/>
      </c>
    </row>
    <row r="37373" spans="5:9" ht="16.5" hidden="1">
      <c r="E37373" s="4" t="str">
        <v/>
      </c>
      <c r="F37373" s="102" t="str">
        <f ca="1">IFERROR(__xludf.DUMMYFUNCTION("IMPORTRANGE(H37373,""IDENTITAS UNIT!D9"")"),"#N/A")</f>
        <v>#N/A</v>
      </c>
      <c r="H37373" s="4" t="str">
        <v/>
      </c>
      <c r="I37373" s="4" t="str">
        <v/>
      </c>
    </row>
    <row r="37374" spans="5:9" ht="16.5" hidden="1">
      <c r="E37374" s="4" t="str">
        <v/>
      </c>
      <c r="F37374" s="102" t="str">
        <f ca="1">IFERROR(__xludf.DUMMYFUNCTION("IMPORTRANGE(H37374,""IDENTITAS UNIT!D9"")"),"#N/A")</f>
        <v>#N/A</v>
      </c>
      <c r="H37374" s="4" t="str">
        <v/>
      </c>
      <c r="I37374" s="4" t="str">
        <v/>
      </c>
    </row>
    <row r="37375" spans="5:9" ht="16.5" hidden="1">
      <c r="E37375" s="4" t="str">
        <v/>
      </c>
      <c r="F37375" s="102" t="str">
        <f ca="1">IFERROR(__xludf.DUMMYFUNCTION("IMPORTRANGE(H37375,""IDENTITAS UNIT!D9"")"),"#N/A")</f>
        <v>#N/A</v>
      </c>
      <c r="H37375" s="4" t="str">
        <v/>
      </c>
      <c r="I37375" s="4" t="str">
        <v/>
      </c>
    </row>
    <row r="37376" spans="5:9" ht="16.5" hidden="1">
      <c r="E37376" s="4" t="str">
        <v/>
      </c>
      <c r="F37376" s="102" t="str">
        <f ca="1">IFERROR(__xludf.DUMMYFUNCTION("IMPORTRANGE(H37376,""IDENTITAS UNIT!D9"")"),"#N/A")</f>
        <v>#N/A</v>
      </c>
      <c r="H37376" s="4" t="str">
        <v/>
      </c>
      <c r="I37376" s="4" t="str">
        <v/>
      </c>
    </row>
    <row r="37377" spans="5:9" ht="16.5" hidden="1">
      <c r="E37377" s="4" t="str">
        <v/>
      </c>
      <c r="F37377" s="102" t="str">
        <f ca="1">IFERROR(__xludf.DUMMYFUNCTION("IMPORTRANGE(H37377,""IDENTITAS UNIT!D9"")"),"#N/A")</f>
        <v>#N/A</v>
      </c>
      <c r="H37377" s="4" t="str">
        <v/>
      </c>
      <c r="I37377" s="4" t="str">
        <v/>
      </c>
    </row>
    <row r="37378" spans="5:9" ht="16.5" hidden="1">
      <c r="E37378" s="4" t="str">
        <v/>
      </c>
      <c r="F37378" s="102" t="str">
        <f ca="1">IFERROR(__xludf.DUMMYFUNCTION("IMPORTRANGE(H37378,""IDENTITAS UNIT!D9"")"),"#N/A")</f>
        <v>#N/A</v>
      </c>
      <c r="H37378" s="4" t="str">
        <v/>
      </c>
      <c r="I37378" s="4" t="str">
        <v/>
      </c>
    </row>
    <row r="37379" spans="5:9" ht="16.5" hidden="1">
      <c r="E37379" s="4" t="str">
        <v/>
      </c>
      <c r="F37379" s="102" t="str">
        <f ca="1">IFERROR(__xludf.DUMMYFUNCTION("IMPORTRANGE(H37379,""IDENTITAS UNIT!D9"")"),"#N/A")</f>
        <v>#N/A</v>
      </c>
      <c r="H37379" s="4" t="str">
        <v/>
      </c>
      <c r="I37379" s="4" t="str">
        <v/>
      </c>
    </row>
    <row r="37380" spans="5:9" ht="16.5" hidden="1">
      <c r="E37380" s="4" t="str">
        <v/>
      </c>
      <c r="F37380" s="102" t="str">
        <f ca="1">IFERROR(__xludf.DUMMYFUNCTION("IMPORTRANGE(H37380,""IDENTITAS UNIT!D9"")"),"#N/A")</f>
        <v>#N/A</v>
      </c>
      <c r="H37380" s="4" t="str">
        <v/>
      </c>
      <c r="I37380" s="4" t="str">
        <v/>
      </c>
    </row>
    <row r="37381" spans="5:9" ht="16.5" hidden="1">
      <c r="E37381" s="4" t="str">
        <v/>
      </c>
      <c r="F37381" s="102" t="str">
        <f ca="1">IFERROR(__xludf.DUMMYFUNCTION("IMPORTRANGE(H37381,""IDENTITAS UNIT!D9"")"),"#N/A")</f>
        <v>#N/A</v>
      </c>
      <c r="H37381" s="4" t="str">
        <v/>
      </c>
      <c r="I37381" s="4" t="str">
        <v/>
      </c>
    </row>
    <row r="37382" spans="5:9" ht="16.5" hidden="1">
      <c r="E37382" s="4" t="str">
        <v/>
      </c>
      <c r="F37382" s="102" t="str">
        <f ca="1">IFERROR(__xludf.DUMMYFUNCTION("IMPORTRANGE(H37382,""IDENTITAS UNIT!D9"")"),"#N/A")</f>
        <v>#N/A</v>
      </c>
      <c r="H37382" s="4" t="str">
        <v/>
      </c>
      <c r="I37382" s="4" t="str">
        <v/>
      </c>
    </row>
    <row r="37383" spans="5:9" ht="16.5" hidden="1">
      <c r="E37383" s="4" t="str">
        <v/>
      </c>
      <c r="F37383" s="102" t="str">
        <f ca="1">IFERROR(__xludf.DUMMYFUNCTION("IMPORTRANGE(H37383,""IDENTITAS UNIT!D9"")"),"#N/A")</f>
        <v>#N/A</v>
      </c>
      <c r="H37383" s="4" t="str">
        <v/>
      </c>
      <c r="I37383" s="4" t="str">
        <v/>
      </c>
    </row>
    <row r="37384" spans="5:9" ht="16.5" hidden="1">
      <c r="E37384" s="4" t="str">
        <v/>
      </c>
      <c r="F37384" s="102" t="str">
        <f ca="1">IFERROR(__xludf.DUMMYFUNCTION("IMPORTRANGE(H37384,""IDENTITAS UNIT!D9"")"),"#N/A")</f>
        <v>#N/A</v>
      </c>
      <c r="H37384" s="4" t="str">
        <v/>
      </c>
      <c r="I37384" s="4" t="str">
        <v/>
      </c>
    </row>
    <row r="37385" spans="5:9" ht="16.5" hidden="1">
      <c r="E37385" s="4" t="str">
        <v/>
      </c>
      <c r="F37385" s="102" t="str">
        <f ca="1">IFERROR(__xludf.DUMMYFUNCTION("IMPORTRANGE(H37385,""IDENTITAS UNIT!D9"")"),"#N/A")</f>
        <v>#N/A</v>
      </c>
      <c r="H37385" s="4" t="str">
        <v/>
      </c>
      <c r="I37385" s="4" t="str">
        <v/>
      </c>
    </row>
    <row r="37386" spans="5:9" ht="16.5" hidden="1">
      <c r="E37386" s="4" t="str">
        <v/>
      </c>
      <c r="F37386" s="102" t="str">
        <f ca="1">IFERROR(__xludf.DUMMYFUNCTION("IMPORTRANGE(H37386,""IDENTITAS UNIT!D9"")"),"#N/A")</f>
        <v>#N/A</v>
      </c>
      <c r="H37386" s="4" t="str">
        <v/>
      </c>
      <c r="I37386" s="4" t="str">
        <v/>
      </c>
    </row>
    <row r="37387" spans="5:9" ht="16.5" hidden="1">
      <c r="E37387" s="4" t="str">
        <v/>
      </c>
      <c r="F37387" s="102" t="str">
        <f ca="1">IFERROR(__xludf.DUMMYFUNCTION("IMPORTRANGE(H37387,""IDENTITAS UNIT!D9"")"),"#N/A")</f>
        <v>#N/A</v>
      </c>
      <c r="H37387" s="4" t="str">
        <v/>
      </c>
      <c r="I37387" s="4" t="str">
        <v/>
      </c>
    </row>
    <row r="37388" spans="5:9" ht="16.5" hidden="1">
      <c r="E37388" s="4" t="str">
        <v/>
      </c>
      <c r="F37388" s="102" t="str">
        <f ca="1">IFERROR(__xludf.DUMMYFUNCTION("IMPORTRANGE(H37388,""IDENTITAS UNIT!D9"")"),"#N/A")</f>
        <v>#N/A</v>
      </c>
      <c r="H37388" s="4" t="str">
        <v/>
      </c>
      <c r="I37388" s="4" t="str">
        <v/>
      </c>
    </row>
    <row r="37389" spans="5:9" ht="16.5" hidden="1">
      <c r="E37389" s="4" t="str">
        <v/>
      </c>
      <c r="F37389" s="102" t="str">
        <f ca="1">IFERROR(__xludf.DUMMYFUNCTION("IMPORTRANGE(H37389,""IDENTITAS UNIT!D9"")"),"#N/A")</f>
        <v>#N/A</v>
      </c>
      <c r="H37389" s="4" t="str">
        <v/>
      </c>
      <c r="I37389" s="4" t="str">
        <v/>
      </c>
    </row>
    <row r="37390" spans="5:9" ht="16.5" hidden="1">
      <c r="E37390" s="4" t="str">
        <v/>
      </c>
      <c r="F37390" s="102" t="str">
        <f ca="1">IFERROR(__xludf.DUMMYFUNCTION("IMPORTRANGE(H37390,""IDENTITAS UNIT!D9"")"),"#N/A")</f>
        <v>#N/A</v>
      </c>
      <c r="H37390" s="4" t="str">
        <v/>
      </c>
      <c r="I37390" s="4" t="str">
        <v/>
      </c>
    </row>
    <row r="37391" spans="5:9" ht="16.5" hidden="1">
      <c r="E37391" s="4" t="str">
        <v/>
      </c>
      <c r="F37391" s="102" t="str">
        <f ca="1">IFERROR(__xludf.DUMMYFUNCTION("IMPORTRANGE(H37391,""IDENTITAS UNIT!D9"")"),"#N/A")</f>
        <v>#N/A</v>
      </c>
      <c r="H37391" s="4" t="str">
        <v/>
      </c>
      <c r="I37391" s="4" t="str">
        <v/>
      </c>
    </row>
    <row r="37392" spans="5:9" ht="16.5" hidden="1">
      <c r="E37392" s="4" t="str">
        <v/>
      </c>
      <c r="F37392" s="102" t="str">
        <f ca="1">IFERROR(__xludf.DUMMYFUNCTION("IMPORTRANGE(H37392,""IDENTITAS UNIT!D9"")"),"#N/A")</f>
        <v>#N/A</v>
      </c>
      <c r="H37392" s="4" t="str">
        <v/>
      </c>
      <c r="I37392" s="4" t="str">
        <v/>
      </c>
    </row>
    <row r="37393" spans="5:9" ht="16.5" hidden="1">
      <c r="E37393" s="4" t="str">
        <v/>
      </c>
      <c r="F37393" s="102" t="str">
        <f ca="1">IFERROR(__xludf.DUMMYFUNCTION("IMPORTRANGE(H37393,""IDENTITAS UNIT!D9"")"),"#N/A")</f>
        <v>#N/A</v>
      </c>
      <c r="H37393" s="4" t="str">
        <v/>
      </c>
      <c r="I37393" s="4" t="str">
        <v/>
      </c>
    </row>
    <row r="37394" spans="5:9" ht="16.5" hidden="1">
      <c r="E37394" s="4" t="str">
        <v/>
      </c>
      <c r="F37394" s="102" t="str">
        <f ca="1">IFERROR(__xludf.DUMMYFUNCTION("IMPORTRANGE(H37394,""IDENTITAS UNIT!D9"")"),"#N/A")</f>
        <v>#N/A</v>
      </c>
      <c r="H37394" s="4" t="str">
        <v/>
      </c>
      <c r="I37394" s="4" t="str">
        <v/>
      </c>
    </row>
    <row r="37395" spans="5:9" ht="16.5" hidden="1">
      <c r="E37395" s="4" t="str">
        <v/>
      </c>
      <c r="F37395" s="102" t="str">
        <f ca="1">IFERROR(__xludf.DUMMYFUNCTION("IMPORTRANGE(H37395,""IDENTITAS UNIT!D9"")"),"#N/A")</f>
        <v>#N/A</v>
      </c>
      <c r="H37395" s="4" t="str">
        <v/>
      </c>
      <c r="I37395" s="4" t="str">
        <v/>
      </c>
    </row>
    <row r="37396" spans="5:9" ht="16.5" hidden="1">
      <c r="E37396" s="4" t="str">
        <v/>
      </c>
      <c r="F37396" s="102" t="str">
        <f ca="1">IFERROR(__xludf.DUMMYFUNCTION("IMPORTRANGE(H37396,""IDENTITAS UNIT!D9"")"),"#N/A")</f>
        <v>#N/A</v>
      </c>
      <c r="H37396" s="4" t="str">
        <v/>
      </c>
      <c r="I37396" s="4" t="str">
        <v/>
      </c>
    </row>
    <row r="37397" spans="5:9" ht="16.5" hidden="1">
      <c r="E37397" s="4" t="str">
        <v/>
      </c>
      <c r="F37397" s="102" t="str">
        <f ca="1">IFERROR(__xludf.DUMMYFUNCTION("IMPORTRANGE(H37397,""IDENTITAS UNIT!D9"")"),"#N/A")</f>
        <v>#N/A</v>
      </c>
      <c r="H37397" s="4" t="str">
        <v/>
      </c>
      <c r="I37397" s="4" t="str">
        <v/>
      </c>
    </row>
    <row r="37398" spans="5:9" ht="16.5" hidden="1">
      <c r="E37398" s="4" t="str">
        <v/>
      </c>
      <c r="F37398" s="102" t="str">
        <f ca="1">IFERROR(__xludf.DUMMYFUNCTION("IMPORTRANGE(H37398,""IDENTITAS UNIT!D9"")"),"#N/A")</f>
        <v>#N/A</v>
      </c>
      <c r="H37398" s="4" t="str">
        <v/>
      </c>
      <c r="I37398" s="4" t="str">
        <v/>
      </c>
    </row>
    <row r="37399" spans="5:9" ht="16.5" hidden="1">
      <c r="E37399" s="4" t="str">
        <v/>
      </c>
      <c r="F37399" s="102" t="str">
        <f ca="1">IFERROR(__xludf.DUMMYFUNCTION("IMPORTRANGE(H37399,""IDENTITAS UNIT!D9"")"),"#N/A")</f>
        <v>#N/A</v>
      </c>
      <c r="H37399" s="4" t="str">
        <v/>
      </c>
      <c r="I37399" s="4" t="str">
        <v/>
      </c>
    </row>
    <row r="37400" spans="5:9" ht="16.5" hidden="1">
      <c r="E37400" s="4" t="str">
        <v/>
      </c>
      <c r="F37400" s="102" t="str">
        <f ca="1">IFERROR(__xludf.DUMMYFUNCTION("IMPORTRANGE(H37400,""IDENTITAS UNIT!D9"")"),"#N/A")</f>
        <v>#N/A</v>
      </c>
      <c r="H37400" s="4" t="str">
        <v/>
      </c>
      <c r="I37400" s="4" t="str">
        <v/>
      </c>
    </row>
    <row r="37401" spans="5:9" ht="16.5" hidden="1">
      <c r="E37401" s="4" t="str">
        <v/>
      </c>
      <c r="F37401" s="102" t="str">
        <f ca="1">IFERROR(__xludf.DUMMYFUNCTION("IMPORTRANGE(H37401,""IDENTITAS UNIT!D9"")"),"#N/A")</f>
        <v>#N/A</v>
      </c>
      <c r="H37401" s="4" t="str">
        <v/>
      </c>
      <c r="I37401" s="4" t="str">
        <v/>
      </c>
    </row>
    <row r="37402" spans="5:9" ht="16.5" hidden="1">
      <c r="E37402" s="4" t="str">
        <v/>
      </c>
      <c r="F37402" s="102" t="str">
        <f ca="1">IFERROR(__xludf.DUMMYFUNCTION("IMPORTRANGE(H37402,""IDENTITAS UNIT!D9"")"),"#N/A")</f>
        <v>#N/A</v>
      </c>
      <c r="H37402" s="4" t="str">
        <v/>
      </c>
      <c r="I37402" s="4" t="str">
        <v/>
      </c>
    </row>
    <row r="37403" spans="5:9" ht="16.5" hidden="1">
      <c r="E37403" s="4" t="str">
        <v/>
      </c>
      <c r="F37403" s="102" t="str">
        <f ca="1">IFERROR(__xludf.DUMMYFUNCTION("IMPORTRANGE(H37403,""IDENTITAS UNIT!D9"")"),"#N/A")</f>
        <v>#N/A</v>
      </c>
      <c r="H37403" s="4" t="str">
        <v/>
      </c>
      <c r="I37403" s="4" t="str">
        <v/>
      </c>
    </row>
    <row r="37404" spans="5:9" ht="16.5" hidden="1">
      <c r="E37404" s="4" t="str">
        <v/>
      </c>
      <c r="F37404" s="102" t="str">
        <f ca="1">IFERROR(__xludf.DUMMYFUNCTION("IMPORTRANGE(H37404,""IDENTITAS UNIT!D9"")"),"#N/A")</f>
        <v>#N/A</v>
      </c>
      <c r="H37404" s="4" t="str">
        <v/>
      </c>
      <c r="I37404" s="4" t="str">
        <v/>
      </c>
    </row>
    <row r="37405" spans="5:9" ht="16.5" hidden="1">
      <c r="E37405" s="4" t="str">
        <v/>
      </c>
      <c r="F37405" s="102" t="str">
        <f ca="1">IFERROR(__xludf.DUMMYFUNCTION("IMPORTRANGE(H37405,""IDENTITAS UNIT!D9"")"),"#N/A")</f>
        <v>#N/A</v>
      </c>
      <c r="H37405" s="4" t="str">
        <v/>
      </c>
      <c r="I37405" s="4" t="str">
        <v/>
      </c>
    </row>
    <row r="37406" spans="5:9" ht="16.5" hidden="1">
      <c r="E37406" s="4" t="str">
        <v/>
      </c>
      <c r="F37406" s="102" t="str">
        <f ca="1">IFERROR(__xludf.DUMMYFUNCTION("IMPORTRANGE(H37406,""IDENTITAS UNIT!D9"")"),"#N/A")</f>
        <v>#N/A</v>
      </c>
      <c r="H37406" s="4" t="str">
        <v/>
      </c>
      <c r="I37406" s="4" t="str">
        <v/>
      </c>
    </row>
    <row r="37407" spans="5:9" ht="16.5" hidden="1">
      <c r="E37407" s="4" t="str">
        <v/>
      </c>
      <c r="F37407" s="102" t="str">
        <f ca="1">IFERROR(__xludf.DUMMYFUNCTION("IMPORTRANGE(H37407,""IDENTITAS UNIT!D9"")"),"#N/A")</f>
        <v>#N/A</v>
      </c>
      <c r="H37407" s="4" t="str">
        <v/>
      </c>
      <c r="I37407" s="4" t="str">
        <v/>
      </c>
    </row>
    <row r="37408" spans="5:9" ht="16.5" hidden="1">
      <c r="E37408" s="4" t="str">
        <v/>
      </c>
      <c r="F37408" s="102" t="str">
        <f ca="1">IFERROR(__xludf.DUMMYFUNCTION("IMPORTRANGE(H37408,""IDENTITAS UNIT!D9"")"),"#N/A")</f>
        <v>#N/A</v>
      </c>
      <c r="H37408" s="4" t="str">
        <v/>
      </c>
      <c r="I37408" s="4" t="str">
        <v/>
      </c>
    </row>
    <row r="37409" spans="5:9" ht="16.5" hidden="1">
      <c r="E37409" s="4" t="str">
        <v/>
      </c>
      <c r="F37409" s="102" t="str">
        <f ca="1">IFERROR(__xludf.DUMMYFUNCTION("IMPORTRANGE(H37409,""IDENTITAS UNIT!D9"")"),"#N/A")</f>
        <v>#N/A</v>
      </c>
      <c r="H37409" s="4" t="str">
        <v/>
      </c>
      <c r="I37409" s="4" t="str">
        <v/>
      </c>
    </row>
    <row r="37410" spans="5:9" ht="16.5" hidden="1">
      <c r="E37410" s="4" t="str">
        <v/>
      </c>
      <c r="F37410" s="102" t="str">
        <f ca="1">IFERROR(__xludf.DUMMYFUNCTION("IMPORTRANGE(H37410,""IDENTITAS UNIT!D9"")"),"#N/A")</f>
        <v>#N/A</v>
      </c>
      <c r="H37410" s="4" t="str">
        <v/>
      </c>
      <c r="I37410" s="4" t="str">
        <v/>
      </c>
    </row>
    <row r="37411" spans="5:9" ht="16.5" hidden="1">
      <c r="E37411" s="4" t="str">
        <v/>
      </c>
      <c r="F37411" s="102" t="str">
        <f ca="1">IFERROR(__xludf.DUMMYFUNCTION("IMPORTRANGE(H37411,""IDENTITAS UNIT!D9"")"),"#N/A")</f>
        <v>#N/A</v>
      </c>
      <c r="H37411" s="4" t="str">
        <v/>
      </c>
      <c r="I37411" s="4" t="str">
        <v/>
      </c>
    </row>
    <row r="37412" spans="5:9" ht="16.5" hidden="1">
      <c r="E37412" s="4" t="str">
        <v/>
      </c>
      <c r="F37412" s="102" t="str">
        <f ca="1">IFERROR(__xludf.DUMMYFUNCTION("IMPORTRANGE(H37412,""IDENTITAS UNIT!D9"")"),"#N/A")</f>
        <v>#N/A</v>
      </c>
      <c r="H37412" s="4" t="str">
        <v/>
      </c>
      <c r="I37412" s="4" t="str">
        <v/>
      </c>
    </row>
    <row r="37413" spans="5:9" ht="16.5" hidden="1">
      <c r="E37413" s="4" t="str">
        <v/>
      </c>
      <c r="F37413" s="102" t="str">
        <f ca="1">IFERROR(__xludf.DUMMYFUNCTION("IMPORTRANGE(H37413,""IDENTITAS UNIT!D9"")"),"#N/A")</f>
        <v>#N/A</v>
      </c>
      <c r="H37413" s="4" t="str">
        <v/>
      </c>
      <c r="I37413" s="4" t="str">
        <v/>
      </c>
    </row>
    <row r="37414" spans="5:9" ht="16.5" hidden="1">
      <c r="E37414" s="4" t="str">
        <v/>
      </c>
      <c r="F37414" s="102" t="str">
        <f ca="1">IFERROR(__xludf.DUMMYFUNCTION("IMPORTRANGE(H37414,""IDENTITAS UNIT!D9"")"),"#N/A")</f>
        <v>#N/A</v>
      </c>
      <c r="H37414" s="4" t="str">
        <v/>
      </c>
      <c r="I37414" s="4" t="str">
        <v/>
      </c>
    </row>
    <row r="37415" spans="5:9" ht="16.5" hidden="1">
      <c r="E37415" s="4" t="str">
        <v/>
      </c>
      <c r="F37415" s="102" t="str">
        <f ca="1">IFERROR(__xludf.DUMMYFUNCTION("IMPORTRANGE(H37415,""IDENTITAS UNIT!D9"")"),"#N/A")</f>
        <v>#N/A</v>
      </c>
      <c r="H37415" s="4" t="str">
        <v/>
      </c>
      <c r="I37415" s="4" t="str">
        <v/>
      </c>
    </row>
    <row r="37416" spans="5:9" ht="16.5" hidden="1">
      <c r="E37416" s="4" t="str">
        <v/>
      </c>
      <c r="F37416" s="102" t="str">
        <f ca="1">IFERROR(__xludf.DUMMYFUNCTION("IMPORTRANGE(H37416,""IDENTITAS UNIT!D9"")"),"#N/A")</f>
        <v>#N/A</v>
      </c>
      <c r="H37416" s="4" t="str">
        <v/>
      </c>
      <c r="I37416" s="4" t="str">
        <v/>
      </c>
    </row>
    <row r="37417" spans="5:9" ht="16.5" hidden="1">
      <c r="E37417" s="4" t="str">
        <v/>
      </c>
      <c r="F37417" s="102" t="str">
        <f ca="1">IFERROR(__xludf.DUMMYFUNCTION("IMPORTRANGE(H37417,""IDENTITAS UNIT!D9"")"),"#N/A")</f>
        <v>#N/A</v>
      </c>
      <c r="H37417" s="4" t="str">
        <v/>
      </c>
      <c r="I37417" s="4" t="str">
        <v/>
      </c>
    </row>
    <row r="37418" spans="5:9" ht="16.5" hidden="1">
      <c r="E37418" s="4" t="str">
        <v/>
      </c>
      <c r="F37418" s="102" t="str">
        <f ca="1">IFERROR(__xludf.DUMMYFUNCTION("IMPORTRANGE(H37418,""IDENTITAS UNIT!D9"")"),"#N/A")</f>
        <v>#N/A</v>
      </c>
      <c r="H37418" s="4" t="str">
        <v/>
      </c>
      <c r="I37418" s="4" t="str">
        <v/>
      </c>
    </row>
    <row r="37419" spans="5:9" ht="16.5" hidden="1">
      <c r="E37419" s="4" t="str">
        <v/>
      </c>
      <c r="F37419" s="102" t="str">
        <f ca="1">IFERROR(__xludf.DUMMYFUNCTION("IMPORTRANGE(H37419,""IDENTITAS UNIT!D9"")"),"#N/A")</f>
        <v>#N/A</v>
      </c>
      <c r="H37419" s="4" t="str">
        <v/>
      </c>
      <c r="I37419" s="4" t="str">
        <v/>
      </c>
    </row>
    <row r="37420" spans="5:9" ht="16.5" hidden="1">
      <c r="E37420" s="4" t="str">
        <v/>
      </c>
      <c r="F37420" s="102" t="str">
        <f ca="1">IFERROR(__xludf.DUMMYFUNCTION("IMPORTRANGE(H37420,""IDENTITAS UNIT!D9"")"),"#N/A")</f>
        <v>#N/A</v>
      </c>
      <c r="H37420" s="4" t="str">
        <v/>
      </c>
      <c r="I37420" s="4" t="str">
        <v/>
      </c>
    </row>
    <row r="37421" spans="5:9" ht="16.5" hidden="1">
      <c r="E37421" s="4" t="str">
        <v/>
      </c>
      <c r="F37421" s="102" t="str">
        <f ca="1">IFERROR(__xludf.DUMMYFUNCTION("IMPORTRANGE(H37421,""IDENTITAS UNIT!D9"")"),"#N/A")</f>
        <v>#N/A</v>
      </c>
      <c r="H37421" s="4" t="str">
        <v/>
      </c>
      <c r="I37421" s="4" t="str">
        <v/>
      </c>
    </row>
    <row r="37422" spans="5:9" ht="16.5" hidden="1">
      <c r="E37422" s="4" t="str">
        <v/>
      </c>
      <c r="F37422" s="102" t="str">
        <f ca="1">IFERROR(__xludf.DUMMYFUNCTION("IMPORTRANGE(H37422,""IDENTITAS UNIT!D9"")"),"#N/A")</f>
        <v>#N/A</v>
      </c>
      <c r="H37422" s="4" t="str">
        <v/>
      </c>
      <c r="I37422" s="4" t="str">
        <v/>
      </c>
    </row>
    <row r="37423" spans="5:9" ht="16.5" hidden="1">
      <c r="E37423" s="4" t="str">
        <v/>
      </c>
      <c r="F37423" s="102" t="str">
        <f ca="1">IFERROR(__xludf.DUMMYFUNCTION("IMPORTRANGE(H37423,""IDENTITAS UNIT!D9"")"),"#N/A")</f>
        <v>#N/A</v>
      </c>
      <c r="H37423" s="4" t="str">
        <v/>
      </c>
      <c r="I37423" s="4" t="str">
        <v/>
      </c>
    </row>
    <row r="37424" spans="5:9" ht="16.5" hidden="1">
      <c r="E37424" s="4" t="str">
        <v/>
      </c>
      <c r="F37424" s="102" t="str">
        <f ca="1">IFERROR(__xludf.DUMMYFUNCTION("IMPORTRANGE(H37424,""IDENTITAS UNIT!D9"")"),"#N/A")</f>
        <v>#N/A</v>
      </c>
      <c r="H37424" s="4" t="str">
        <v/>
      </c>
      <c r="I37424" s="4" t="str">
        <v/>
      </c>
    </row>
    <row r="37425" spans="5:9" ht="16.5" hidden="1">
      <c r="E37425" s="4" t="str">
        <v/>
      </c>
      <c r="F37425" s="102" t="str">
        <f ca="1">IFERROR(__xludf.DUMMYFUNCTION("IMPORTRANGE(H37425,""IDENTITAS UNIT!D9"")"),"#N/A")</f>
        <v>#N/A</v>
      </c>
      <c r="H37425" s="4" t="str">
        <v/>
      </c>
      <c r="I37425" s="4" t="str">
        <v/>
      </c>
    </row>
    <row r="37426" spans="5:9" ht="16.5" hidden="1">
      <c r="E37426" s="4" t="str">
        <v/>
      </c>
      <c r="F37426" s="102" t="str">
        <f ca="1">IFERROR(__xludf.DUMMYFUNCTION("IMPORTRANGE(H37426,""IDENTITAS UNIT!D9"")"),"#N/A")</f>
        <v>#N/A</v>
      </c>
      <c r="H37426" s="4" t="str">
        <v/>
      </c>
      <c r="I37426" s="4" t="str">
        <v/>
      </c>
    </row>
    <row r="37427" spans="5:9" ht="16.5" hidden="1">
      <c r="E37427" s="4" t="str">
        <v/>
      </c>
      <c r="F37427" s="102" t="str">
        <f ca="1">IFERROR(__xludf.DUMMYFUNCTION("IMPORTRANGE(H37427,""IDENTITAS UNIT!D9"")"),"#N/A")</f>
        <v>#N/A</v>
      </c>
      <c r="H37427" s="4" t="str">
        <v/>
      </c>
      <c r="I37427" s="4" t="str">
        <v/>
      </c>
    </row>
    <row r="37428" spans="5:9" ht="16.5" hidden="1">
      <c r="E37428" s="4" t="str">
        <v/>
      </c>
      <c r="F37428" s="102" t="str">
        <f ca="1">IFERROR(__xludf.DUMMYFUNCTION("IMPORTRANGE(H37428,""IDENTITAS UNIT!D9"")"),"#N/A")</f>
        <v>#N/A</v>
      </c>
      <c r="H37428" s="4" t="str">
        <v/>
      </c>
      <c r="I37428" s="4" t="str">
        <v/>
      </c>
    </row>
    <row r="37429" spans="5:9" ht="16.5" hidden="1">
      <c r="E37429" s="4" t="str">
        <v/>
      </c>
      <c r="F37429" s="102" t="str">
        <f ca="1">IFERROR(__xludf.DUMMYFUNCTION("IMPORTRANGE(H37429,""IDENTITAS UNIT!D9"")"),"#N/A")</f>
        <v>#N/A</v>
      </c>
      <c r="H37429" s="4" t="str">
        <v/>
      </c>
      <c r="I37429" s="4" t="str">
        <v/>
      </c>
    </row>
    <row r="37430" spans="5:9" ht="16.5" hidden="1">
      <c r="E37430" s="4" t="str">
        <v/>
      </c>
      <c r="F37430" s="102" t="str">
        <f ca="1">IFERROR(__xludf.DUMMYFUNCTION("IMPORTRANGE(H37430,""IDENTITAS UNIT!D9"")"),"#N/A")</f>
        <v>#N/A</v>
      </c>
      <c r="H37430" s="4" t="str">
        <v/>
      </c>
      <c r="I37430" s="4" t="str">
        <v/>
      </c>
    </row>
    <row r="37431" spans="5:9" ht="16.5" hidden="1">
      <c r="E37431" s="4" t="str">
        <v/>
      </c>
      <c r="F37431" s="102" t="str">
        <f ca="1">IFERROR(__xludf.DUMMYFUNCTION("IMPORTRANGE(H37431,""IDENTITAS UNIT!D9"")"),"#N/A")</f>
        <v>#N/A</v>
      </c>
      <c r="H37431" s="4" t="str">
        <v/>
      </c>
      <c r="I37431" s="4" t="str">
        <v/>
      </c>
    </row>
    <row r="37432" spans="5:9" ht="16.5" hidden="1">
      <c r="E37432" s="4" t="str">
        <v/>
      </c>
      <c r="F37432" s="102" t="str">
        <f ca="1">IFERROR(__xludf.DUMMYFUNCTION("IMPORTRANGE(H37432,""IDENTITAS UNIT!D9"")"),"#N/A")</f>
        <v>#N/A</v>
      </c>
      <c r="H37432" s="4" t="str">
        <v/>
      </c>
      <c r="I37432" s="4" t="str">
        <v/>
      </c>
    </row>
    <row r="37433" spans="5:9" ht="16.5" hidden="1">
      <c r="E37433" s="4" t="str">
        <v/>
      </c>
      <c r="F37433" s="102" t="str">
        <f ca="1">IFERROR(__xludf.DUMMYFUNCTION("IMPORTRANGE(H37433,""IDENTITAS UNIT!D9"")"),"#N/A")</f>
        <v>#N/A</v>
      </c>
      <c r="H37433" s="4" t="str">
        <v/>
      </c>
      <c r="I37433" s="4" t="str">
        <v/>
      </c>
    </row>
    <row r="37434" spans="5:9" ht="16.5" hidden="1">
      <c r="E37434" s="4" t="str">
        <v/>
      </c>
      <c r="F37434" s="102" t="str">
        <f ca="1">IFERROR(__xludf.DUMMYFUNCTION("IMPORTRANGE(H37434,""IDENTITAS UNIT!D9"")"),"#N/A")</f>
        <v>#N/A</v>
      </c>
      <c r="H37434" s="4" t="str">
        <v/>
      </c>
      <c r="I37434" s="4" t="str">
        <v/>
      </c>
    </row>
    <row r="37435" spans="5:9" ht="16.5" hidden="1">
      <c r="E37435" s="4" t="str">
        <v/>
      </c>
      <c r="F37435" s="102" t="str">
        <f ca="1">IFERROR(__xludf.DUMMYFUNCTION("IMPORTRANGE(H37435,""IDENTITAS UNIT!D9"")"),"#N/A")</f>
        <v>#N/A</v>
      </c>
      <c r="H37435" s="4" t="str">
        <v/>
      </c>
      <c r="I37435" s="4" t="str">
        <v/>
      </c>
    </row>
    <row r="37436" spans="5:9" ht="16.5" hidden="1">
      <c r="E37436" s="4" t="str">
        <v/>
      </c>
      <c r="F37436" s="102" t="str">
        <f ca="1">IFERROR(__xludf.DUMMYFUNCTION("IMPORTRANGE(H37436,""IDENTITAS UNIT!D9"")"),"#N/A")</f>
        <v>#N/A</v>
      </c>
      <c r="H37436" s="4" t="str">
        <v/>
      </c>
      <c r="I37436" s="4" t="str">
        <v/>
      </c>
    </row>
    <row r="37437" spans="5:9" ht="16.5" hidden="1">
      <c r="E37437" s="4" t="str">
        <v/>
      </c>
      <c r="F37437" s="102" t="str">
        <f ca="1">IFERROR(__xludf.DUMMYFUNCTION("IMPORTRANGE(H37437,""IDENTITAS UNIT!D9"")"),"#N/A")</f>
        <v>#N/A</v>
      </c>
      <c r="H37437" s="4" t="str">
        <v/>
      </c>
      <c r="I37437" s="4" t="str">
        <v/>
      </c>
    </row>
    <row r="37438" spans="5:9" ht="16.5" hidden="1">
      <c r="E37438" s="4" t="str">
        <v/>
      </c>
      <c r="F37438" s="102" t="str">
        <f ca="1">IFERROR(__xludf.DUMMYFUNCTION("IMPORTRANGE(H37438,""IDENTITAS UNIT!D9"")"),"#N/A")</f>
        <v>#N/A</v>
      </c>
      <c r="H37438" s="4" t="str">
        <v/>
      </c>
      <c r="I37438" s="4" t="str">
        <v/>
      </c>
    </row>
    <row r="37439" spans="5:9" ht="16.5" hidden="1">
      <c r="E37439" s="4" t="str">
        <v/>
      </c>
      <c r="F37439" s="102" t="str">
        <f ca="1">IFERROR(__xludf.DUMMYFUNCTION("IMPORTRANGE(H37439,""IDENTITAS UNIT!D9"")"),"#N/A")</f>
        <v>#N/A</v>
      </c>
      <c r="H37439" s="4" t="str">
        <v/>
      </c>
      <c r="I37439" s="4" t="str">
        <v/>
      </c>
    </row>
    <row r="37440" spans="5:9" ht="16.5" hidden="1">
      <c r="E37440" s="4" t="str">
        <v/>
      </c>
      <c r="F37440" s="102" t="str">
        <f ca="1">IFERROR(__xludf.DUMMYFUNCTION("IMPORTRANGE(H37440,""IDENTITAS UNIT!D9"")"),"#N/A")</f>
        <v>#N/A</v>
      </c>
      <c r="H37440" s="4" t="str">
        <v/>
      </c>
      <c r="I37440" s="4" t="str">
        <v/>
      </c>
    </row>
    <row r="37441" spans="5:9" ht="16.5" hidden="1">
      <c r="E37441" s="4" t="str">
        <v/>
      </c>
      <c r="F37441" s="102" t="str">
        <f ca="1">IFERROR(__xludf.DUMMYFUNCTION("IMPORTRANGE(H37441,""IDENTITAS UNIT!D9"")"),"#N/A")</f>
        <v>#N/A</v>
      </c>
      <c r="H37441" s="4" t="str">
        <v/>
      </c>
      <c r="I37441" s="4" t="str">
        <v/>
      </c>
    </row>
    <row r="37442" spans="5:9" ht="16.5" hidden="1">
      <c r="E37442" s="4" t="str">
        <v/>
      </c>
      <c r="F37442" s="102" t="str">
        <f ca="1">IFERROR(__xludf.DUMMYFUNCTION("IMPORTRANGE(H37442,""IDENTITAS UNIT!D9"")"),"#N/A")</f>
        <v>#N/A</v>
      </c>
      <c r="H37442" s="4" t="str">
        <v/>
      </c>
      <c r="I37442" s="4" t="str">
        <v/>
      </c>
    </row>
    <row r="37443" spans="5:9" ht="16.5" hidden="1">
      <c r="E37443" s="4" t="str">
        <v/>
      </c>
      <c r="F37443" s="102" t="str">
        <f ca="1">IFERROR(__xludf.DUMMYFUNCTION("IMPORTRANGE(H37443,""IDENTITAS UNIT!D9"")"),"#N/A")</f>
        <v>#N/A</v>
      </c>
      <c r="H37443" s="4" t="str">
        <v/>
      </c>
      <c r="I37443" s="4" t="str">
        <v/>
      </c>
    </row>
    <row r="37444" spans="5:9" ht="16.5" hidden="1">
      <c r="E37444" s="4" t="str">
        <v/>
      </c>
      <c r="F37444" s="102" t="str">
        <f ca="1">IFERROR(__xludf.DUMMYFUNCTION("IMPORTRANGE(H37444,""IDENTITAS UNIT!D9"")"),"#N/A")</f>
        <v>#N/A</v>
      </c>
      <c r="H37444" s="4" t="str">
        <v/>
      </c>
      <c r="I37444" s="4" t="str">
        <v/>
      </c>
    </row>
    <row r="37445" spans="5:9" ht="16.5" hidden="1">
      <c r="E37445" s="4" t="str">
        <v/>
      </c>
      <c r="F37445" s="102" t="str">
        <f ca="1">IFERROR(__xludf.DUMMYFUNCTION("IMPORTRANGE(H37445,""IDENTITAS UNIT!D9"")"),"#N/A")</f>
        <v>#N/A</v>
      </c>
      <c r="H37445" s="4" t="str">
        <v/>
      </c>
      <c r="I37445" s="4" t="str">
        <v/>
      </c>
    </row>
    <row r="37446" spans="5:9" ht="16.5" hidden="1">
      <c r="E37446" s="4" t="str">
        <v/>
      </c>
      <c r="F37446" s="102" t="str">
        <f ca="1">IFERROR(__xludf.DUMMYFUNCTION("IMPORTRANGE(H37446,""IDENTITAS UNIT!D9"")"),"#N/A")</f>
        <v>#N/A</v>
      </c>
      <c r="H37446" s="4" t="str">
        <v/>
      </c>
      <c r="I37446" s="4" t="str">
        <v/>
      </c>
    </row>
    <row r="37447" spans="5:9" ht="16.5" hidden="1">
      <c r="E37447" s="4" t="str">
        <v/>
      </c>
      <c r="F37447" s="102" t="str">
        <f ca="1">IFERROR(__xludf.DUMMYFUNCTION("IMPORTRANGE(H37447,""IDENTITAS UNIT!D9"")"),"#N/A")</f>
        <v>#N/A</v>
      </c>
      <c r="H37447" s="4" t="str">
        <v/>
      </c>
      <c r="I37447" s="4" t="str">
        <v/>
      </c>
    </row>
    <row r="37448" spans="5:9" ht="16.5" hidden="1">
      <c r="E37448" s="4" t="str">
        <v/>
      </c>
      <c r="F37448" s="102" t="str">
        <f ca="1">IFERROR(__xludf.DUMMYFUNCTION("IMPORTRANGE(H37448,""IDENTITAS UNIT!D9"")"),"#N/A")</f>
        <v>#N/A</v>
      </c>
      <c r="H37448" s="4" t="str">
        <v/>
      </c>
      <c r="I37448" s="4" t="str">
        <v/>
      </c>
    </row>
    <row r="37449" spans="5:9" ht="16.5" hidden="1">
      <c r="E37449" s="4" t="str">
        <v/>
      </c>
      <c r="F37449" s="102" t="str">
        <f ca="1">IFERROR(__xludf.DUMMYFUNCTION("IMPORTRANGE(H37449,""IDENTITAS UNIT!D9"")"),"#N/A")</f>
        <v>#N/A</v>
      </c>
      <c r="H37449" s="4" t="str">
        <v/>
      </c>
      <c r="I37449" s="4" t="str">
        <v/>
      </c>
    </row>
    <row r="37450" spans="5:9" ht="16.5" hidden="1">
      <c r="E37450" s="4" t="str">
        <v/>
      </c>
      <c r="F37450" s="102" t="str">
        <f ca="1">IFERROR(__xludf.DUMMYFUNCTION("IMPORTRANGE(H37450,""IDENTITAS UNIT!D9"")"),"#N/A")</f>
        <v>#N/A</v>
      </c>
      <c r="H37450" s="4" t="str">
        <v/>
      </c>
      <c r="I37450" s="4" t="str">
        <v/>
      </c>
    </row>
    <row r="37451" spans="5:9" ht="16.5" hidden="1">
      <c r="E37451" s="4" t="str">
        <v/>
      </c>
      <c r="F37451" s="102" t="str">
        <f ca="1">IFERROR(__xludf.DUMMYFUNCTION("IMPORTRANGE(H37451,""IDENTITAS UNIT!D9"")"),"#N/A")</f>
        <v>#N/A</v>
      </c>
      <c r="H37451" s="4" t="str">
        <v/>
      </c>
      <c r="I37451" s="4" t="str">
        <v/>
      </c>
    </row>
    <row r="37452" spans="5:9" ht="16.5" hidden="1">
      <c r="E37452" s="4" t="str">
        <v/>
      </c>
      <c r="F37452" s="102" t="str">
        <f ca="1">IFERROR(__xludf.DUMMYFUNCTION("IMPORTRANGE(H37452,""IDENTITAS UNIT!D9"")"),"#N/A")</f>
        <v>#N/A</v>
      </c>
      <c r="H37452" s="4" t="str">
        <v/>
      </c>
      <c r="I37452" s="4" t="str">
        <v/>
      </c>
    </row>
    <row r="37453" spans="5:9" ht="16.5" hidden="1">
      <c r="E37453" s="4" t="str">
        <v/>
      </c>
      <c r="F37453" s="102" t="str">
        <f ca="1">IFERROR(__xludf.DUMMYFUNCTION("IMPORTRANGE(H37453,""IDENTITAS UNIT!D9"")"),"#N/A")</f>
        <v>#N/A</v>
      </c>
      <c r="H37453" s="4" t="str">
        <v/>
      </c>
      <c r="I37453" s="4" t="str">
        <v/>
      </c>
    </row>
    <row r="37454" spans="5:9" ht="16.5" hidden="1">
      <c r="E37454" s="4" t="str">
        <v/>
      </c>
      <c r="F37454" s="102" t="str">
        <f ca="1">IFERROR(__xludf.DUMMYFUNCTION("IMPORTRANGE(H37454,""IDENTITAS UNIT!D9"")"),"#N/A")</f>
        <v>#N/A</v>
      </c>
      <c r="H37454" s="4" t="str">
        <v/>
      </c>
      <c r="I37454" s="4" t="str">
        <v/>
      </c>
    </row>
    <row r="37455" spans="5:9" ht="16.5" hidden="1">
      <c r="E37455" s="4" t="str">
        <v/>
      </c>
      <c r="F37455" s="102" t="str">
        <f ca="1">IFERROR(__xludf.DUMMYFUNCTION("IMPORTRANGE(H37455,""IDENTITAS UNIT!D9"")"),"#N/A")</f>
        <v>#N/A</v>
      </c>
      <c r="H37455" s="4" t="str">
        <v/>
      </c>
      <c r="I37455" s="4" t="str">
        <v/>
      </c>
    </row>
    <row r="37456" spans="5:9" ht="16.5" hidden="1">
      <c r="E37456" s="4" t="str">
        <v/>
      </c>
      <c r="F37456" s="102" t="str">
        <f ca="1">IFERROR(__xludf.DUMMYFUNCTION("IMPORTRANGE(H37456,""IDENTITAS UNIT!D9"")"),"#N/A")</f>
        <v>#N/A</v>
      </c>
      <c r="H37456" s="4" t="str">
        <v/>
      </c>
      <c r="I37456" s="4" t="str">
        <v/>
      </c>
    </row>
    <row r="37457" spans="5:9" ht="16.5" hidden="1">
      <c r="E37457" s="4" t="str">
        <v/>
      </c>
      <c r="F37457" s="102" t="str">
        <f ca="1">IFERROR(__xludf.DUMMYFUNCTION("IMPORTRANGE(H37457,""IDENTITAS UNIT!D9"")"),"#N/A")</f>
        <v>#N/A</v>
      </c>
      <c r="H37457" s="4" t="str">
        <v/>
      </c>
      <c r="I37457" s="4" t="str">
        <v/>
      </c>
    </row>
    <row r="37458" spans="5:9" ht="16.5" hidden="1">
      <c r="E37458" s="4" t="str">
        <v/>
      </c>
      <c r="F37458" s="102" t="str">
        <f ca="1">IFERROR(__xludf.DUMMYFUNCTION("IMPORTRANGE(H37458,""IDENTITAS UNIT!D9"")"),"#N/A")</f>
        <v>#N/A</v>
      </c>
      <c r="H37458" s="4" t="str">
        <v/>
      </c>
      <c r="I37458" s="4" t="str">
        <v/>
      </c>
    </row>
    <row r="37459" spans="5:9" ht="16.5" hidden="1">
      <c r="E37459" s="4" t="str">
        <v/>
      </c>
      <c r="F37459" s="102" t="str">
        <f ca="1">IFERROR(__xludf.DUMMYFUNCTION("IMPORTRANGE(H37459,""IDENTITAS UNIT!D9"")"),"#N/A")</f>
        <v>#N/A</v>
      </c>
      <c r="H37459" s="4" t="str">
        <v/>
      </c>
      <c r="I37459" s="4" t="str">
        <v/>
      </c>
    </row>
    <row r="37460" spans="5:9" ht="16.5" hidden="1">
      <c r="E37460" s="4" t="str">
        <v/>
      </c>
      <c r="F37460" s="102" t="str">
        <f ca="1">IFERROR(__xludf.DUMMYFUNCTION("IMPORTRANGE(H37460,""IDENTITAS UNIT!D9"")"),"#N/A")</f>
        <v>#N/A</v>
      </c>
      <c r="H37460" s="4" t="str">
        <v/>
      </c>
      <c r="I37460" s="4" t="str">
        <v/>
      </c>
    </row>
    <row r="37461" spans="5:9" ht="16.5" hidden="1">
      <c r="E37461" s="4" t="str">
        <v/>
      </c>
      <c r="F37461" s="102" t="str">
        <f ca="1">IFERROR(__xludf.DUMMYFUNCTION("IMPORTRANGE(H37461,""IDENTITAS UNIT!D9"")"),"#N/A")</f>
        <v>#N/A</v>
      </c>
      <c r="H37461" s="4" t="str">
        <v/>
      </c>
      <c r="I37461" s="4" t="str">
        <v/>
      </c>
    </row>
    <row r="37462" spans="5:9" ht="16.5" hidden="1">
      <c r="E37462" s="4" t="str">
        <v/>
      </c>
      <c r="F37462" s="102" t="str">
        <f ca="1">IFERROR(__xludf.DUMMYFUNCTION("IMPORTRANGE(H37462,""IDENTITAS UNIT!D9"")"),"#N/A")</f>
        <v>#N/A</v>
      </c>
      <c r="H37462" s="4" t="str">
        <v/>
      </c>
      <c r="I37462" s="4" t="str">
        <v/>
      </c>
    </row>
    <row r="37463" spans="5:9" ht="16.5" hidden="1">
      <c r="E37463" s="4" t="str">
        <v/>
      </c>
      <c r="F37463" s="102" t="str">
        <f ca="1">IFERROR(__xludf.DUMMYFUNCTION("IMPORTRANGE(H37463,""IDENTITAS UNIT!D9"")"),"#N/A")</f>
        <v>#N/A</v>
      </c>
      <c r="H37463" s="4" t="str">
        <v/>
      </c>
      <c r="I37463" s="4" t="str">
        <v/>
      </c>
    </row>
    <row r="37464" spans="5:9" ht="16.5" hidden="1">
      <c r="E37464" s="4" t="str">
        <v/>
      </c>
      <c r="F37464" s="102" t="str">
        <f ca="1">IFERROR(__xludf.DUMMYFUNCTION("IMPORTRANGE(H37464,""IDENTITAS UNIT!D9"")"),"#N/A")</f>
        <v>#N/A</v>
      </c>
      <c r="H37464" s="4" t="str">
        <v/>
      </c>
      <c r="I37464" s="4" t="str">
        <v/>
      </c>
    </row>
    <row r="37465" spans="5:9" ht="16.5" hidden="1">
      <c r="E37465" s="4" t="str">
        <v/>
      </c>
      <c r="F37465" s="102" t="str">
        <f ca="1">IFERROR(__xludf.DUMMYFUNCTION("IMPORTRANGE(H37465,""IDENTITAS UNIT!D9"")"),"#N/A")</f>
        <v>#N/A</v>
      </c>
      <c r="H37465" s="4" t="str">
        <v/>
      </c>
      <c r="I37465" s="4" t="str">
        <v/>
      </c>
    </row>
    <row r="37466" spans="5:9" ht="16.5" hidden="1">
      <c r="E37466" s="4" t="str">
        <v/>
      </c>
      <c r="F37466" s="102" t="str">
        <f ca="1">IFERROR(__xludf.DUMMYFUNCTION("IMPORTRANGE(H37466,""IDENTITAS UNIT!D9"")"),"#N/A")</f>
        <v>#N/A</v>
      </c>
      <c r="H37466" s="4" t="str">
        <v/>
      </c>
      <c r="I37466" s="4" t="str">
        <v/>
      </c>
    </row>
    <row r="37467" spans="5:9" ht="16.5" hidden="1">
      <c r="E37467" s="4" t="str">
        <v/>
      </c>
      <c r="F37467" s="102" t="str">
        <f ca="1">IFERROR(__xludf.DUMMYFUNCTION("IMPORTRANGE(H37467,""IDENTITAS UNIT!D9"")"),"#N/A")</f>
        <v>#N/A</v>
      </c>
      <c r="H37467" s="4" t="str">
        <v/>
      </c>
      <c r="I37467" s="4" t="str">
        <v/>
      </c>
    </row>
    <row r="37468" spans="5:9" ht="16.5" hidden="1">
      <c r="E37468" s="4" t="str">
        <v/>
      </c>
      <c r="F37468" s="102" t="str">
        <f ca="1">IFERROR(__xludf.DUMMYFUNCTION("IMPORTRANGE(H37468,""IDENTITAS UNIT!D9"")"),"#N/A")</f>
        <v>#N/A</v>
      </c>
      <c r="H37468" s="4" t="str">
        <v/>
      </c>
      <c r="I37468" s="4" t="str">
        <v/>
      </c>
    </row>
    <row r="37469" spans="5:9" ht="16.5" hidden="1">
      <c r="E37469" s="4" t="str">
        <v/>
      </c>
      <c r="F37469" s="102" t="str">
        <f ca="1">IFERROR(__xludf.DUMMYFUNCTION("IMPORTRANGE(H37469,""IDENTITAS UNIT!D9"")"),"#N/A")</f>
        <v>#N/A</v>
      </c>
      <c r="H37469" s="4" t="str">
        <v/>
      </c>
      <c r="I37469" s="4" t="str">
        <v/>
      </c>
    </row>
    <row r="37470" spans="5:9" ht="16.5" hidden="1">
      <c r="E37470" s="4" t="str">
        <v/>
      </c>
      <c r="F37470" s="102" t="str">
        <f ca="1">IFERROR(__xludf.DUMMYFUNCTION("IMPORTRANGE(H37470,""IDENTITAS UNIT!D9"")"),"#N/A")</f>
        <v>#N/A</v>
      </c>
      <c r="H37470" s="4" t="str">
        <v/>
      </c>
      <c r="I37470" s="4" t="str">
        <v/>
      </c>
    </row>
    <row r="37471" spans="5:9" ht="16.5" hidden="1">
      <c r="E37471" s="4" t="str">
        <v/>
      </c>
      <c r="F37471" s="102" t="str">
        <f ca="1">IFERROR(__xludf.DUMMYFUNCTION("IMPORTRANGE(H37471,""IDENTITAS UNIT!D9"")"),"#N/A")</f>
        <v>#N/A</v>
      </c>
      <c r="H37471" s="4" t="str">
        <v/>
      </c>
      <c r="I37471" s="4" t="str">
        <v/>
      </c>
    </row>
    <row r="37472" spans="5:9" ht="16.5" hidden="1">
      <c r="E37472" s="4" t="str">
        <v/>
      </c>
      <c r="F37472" s="102" t="str">
        <f ca="1">IFERROR(__xludf.DUMMYFUNCTION("IMPORTRANGE(H37472,""IDENTITAS UNIT!D9"")"),"#N/A")</f>
        <v>#N/A</v>
      </c>
      <c r="H37472" s="4" t="str">
        <v/>
      </c>
      <c r="I37472" s="4" t="str">
        <v/>
      </c>
    </row>
    <row r="37473" spans="5:9" ht="16.5" hidden="1">
      <c r="E37473" s="4" t="str">
        <v/>
      </c>
      <c r="F37473" s="102" t="str">
        <f ca="1">IFERROR(__xludf.DUMMYFUNCTION("IMPORTRANGE(H37473,""IDENTITAS UNIT!D9"")"),"#N/A")</f>
        <v>#N/A</v>
      </c>
      <c r="H37473" s="4" t="str">
        <v/>
      </c>
      <c r="I37473" s="4" t="str">
        <v/>
      </c>
    </row>
    <row r="37474" spans="5:9" ht="16.5" hidden="1">
      <c r="E37474" s="4" t="str">
        <v/>
      </c>
      <c r="F37474" s="102" t="str">
        <f ca="1">IFERROR(__xludf.DUMMYFUNCTION("IMPORTRANGE(H37474,""IDENTITAS UNIT!D9"")"),"#N/A")</f>
        <v>#N/A</v>
      </c>
      <c r="H37474" s="4" t="str">
        <v/>
      </c>
      <c r="I37474" s="4" t="str">
        <v/>
      </c>
    </row>
    <row r="37475" spans="5:9" ht="16.5" hidden="1">
      <c r="E37475" s="4" t="str">
        <v/>
      </c>
      <c r="F37475" s="102" t="str">
        <f ca="1">IFERROR(__xludf.DUMMYFUNCTION("IMPORTRANGE(H37475,""IDENTITAS UNIT!D9"")"),"#N/A")</f>
        <v>#N/A</v>
      </c>
      <c r="H37475" s="4" t="str">
        <v/>
      </c>
      <c r="I37475" s="4" t="str">
        <v/>
      </c>
    </row>
    <row r="37476" spans="5:9" ht="16.5" hidden="1">
      <c r="E37476" s="4" t="str">
        <v/>
      </c>
      <c r="F37476" s="102" t="str">
        <f ca="1">IFERROR(__xludf.DUMMYFUNCTION("IMPORTRANGE(H37476,""IDENTITAS UNIT!D9"")"),"#N/A")</f>
        <v>#N/A</v>
      </c>
      <c r="H37476" s="4" t="str">
        <v/>
      </c>
      <c r="I37476" s="4" t="str">
        <v/>
      </c>
    </row>
    <row r="37477" spans="5:9" ht="16.5" hidden="1">
      <c r="E37477" s="4" t="str">
        <v/>
      </c>
      <c r="F37477" s="102" t="str">
        <f ca="1">IFERROR(__xludf.DUMMYFUNCTION("IMPORTRANGE(H37477,""IDENTITAS UNIT!D9"")"),"#N/A")</f>
        <v>#N/A</v>
      </c>
      <c r="H37477" s="4" t="str">
        <v/>
      </c>
      <c r="I37477" s="4" t="str">
        <v/>
      </c>
    </row>
    <row r="37478" spans="5:9" ht="16.5" hidden="1">
      <c r="E37478" s="4" t="str">
        <v/>
      </c>
      <c r="F37478" s="102" t="str">
        <f ca="1">IFERROR(__xludf.DUMMYFUNCTION("IMPORTRANGE(H37478,""IDENTITAS UNIT!D9"")"),"#N/A")</f>
        <v>#N/A</v>
      </c>
      <c r="H37478" s="4" t="str">
        <v/>
      </c>
      <c r="I37478" s="4" t="str">
        <v/>
      </c>
    </row>
    <row r="37479" spans="5:9" ht="16.5" hidden="1">
      <c r="E37479" s="4" t="str">
        <v/>
      </c>
      <c r="F37479" s="102" t="str">
        <f ca="1">IFERROR(__xludf.DUMMYFUNCTION("IMPORTRANGE(H37479,""IDENTITAS UNIT!D9"")"),"#N/A")</f>
        <v>#N/A</v>
      </c>
      <c r="H37479" s="4" t="str">
        <v/>
      </c>
      <c r="I37479" s="4" t="str">
        <v/>
      </c>
    </row>
    <row r="37480" spans="5:9" ht="16.5" hidden="1">
      <c r="E37480" s="4" t="str">
        <v/>
      </c>
      <c r="F37480" s="102" t="str">
        <f ca="1">IFERROR(__xludf.DUMMYFUNCTION("IMPORTRANGE(H37480,""IDENTITAS UNIT!D9"")"),"#N/A")</f>
        <v>#N/A</v>
      </c>
      <c r="H37480" s="4" t="str">
        <v/>
      </c>
      <c r="I37480" s="4" t="str">
        <v/>
      </c>
    </row>
    <row r="37481" spans="5:9" ht="16.5" hidden="1">
      <c r="E37481" s="4" t="str">
        <v/>
      </c>
      <c r="F37481" s="102" t="str">
        <f ca="1">IFERROR(__xludf.DUMMYFUNCTION("IMPORTRANGE(H37481,""IDENTITAS UNIT!D9"")"),"#N/A")</f>
        <v>#N/A</v>
      </c>
      <c r="H37481" s="4" t="str">
        <v/>
      </c>
      <c r="I37481" s="4" t="str">
        <v/>
      </c>
    </row>
    <row r="37482" spans="5:9" ht="16.5" hidden="1">
      <c r="E37482" s="4" t="str">
        <v/>
      </c>
      <c r="F37482" s="102" t="str">
        <f ca="1">IFERROR(__xludf.DUMMYFUNCTION("IMPORTRANGE(H37482,""IDENTITAS UNIT!D9"")"),"#N/A")</f>
        <v>#N/A</v>
      </c>
      <c r="H37482" s="4" t="str">
        <v/>
      </c>
      <c r="I37482" s="4" t="str">
        <v/>
      </c>
    </row>
    <row r="37483" spans="5:9" ht="16.5" hidden="1">
      <c r="E37483" s="4" t="str">
        <v/>
      </c>
      <c r="F37483" s="102" t="str">
        <f ca="1">IFERROR(__xludf.DUMMYFUNCTION("IMPORTRANGE(H37483,""IDENTITAS UNIT!D9"")"),"#N/A")</f>
        <v>#N/A</v>
      </c>
      <c r="H37483" s="4" t="str">
        <v/>
      </c>
      <c r="I37483" s="4" t="str">
        <v/>
      </c>
    </row>
    <row r="37484" spans="5:9" ht="16.5" hidden="1">
      <c r="E37484" s="4" t="str">
        <v/>
      </c>
      <c r="F37484" s="102" t="str">
        <f ca="1">IFERROR(__xludf.DUMMYFUNCTION("IMPORTRANGE(H37484,""IDENTITAS UNIT!D9"")"),"#N/A")</f>
        <v>#N/A</v>
      </c>
      <c r="H37484" s="4" t="str">
        <v/>
      </c>
      <c r="I37484" s="4" t="str">
        <v/>
      </c>
    </row>
    <row r="37485" spans="5:9" ht="16.5" hidden="1">
      <c r="E37485" s="4" t="str">
        <v/>
      </c>
      <c r="F37485" s="102" t="str">
        <f ca="1">IFERROR(__xludf.DUMMYFUNCTION("IMPORTRANGE(H37485,""IDENTITAS UNIT!D9"")"),"#N/A")</f>
        <v>#N/A</v>
      </c>
      <c r="H37485" s="4" t="str">
        <v/>
      </c>
      <c r="I37485" s="4" t="str">
        <v/>
      </c>
    </row>
    <row r="37486" spans="5:9" ht="16.5" hidden="1">
      <c r="E37486" s="4" t="str">
        <v/>
      </c>
      <c r="F37486" s="102" t="str">
        <f ca="1">IFERROR(__xludf.DUMMYFUNCTION("IMPORTRANGE(H37486,""IDENTITAS UNIT!D9"")"),"#N/A")</f>
        <v>#N/A</v>
      </c>
      <c r="H37486" s="4" t="str">
        <v/>
      </c>
      <c r="I37486" s="4" t="str">
        <v/>
      </c>
    </row>
    <row r="37487" spans="5:9" ht="16.5" hidden="1">
      <c r="E37487" s="4" t="str">
        <v/>
      </c>
      <c r="F37487" s="102" t="str">
        <f ca="1">IFERROR(__xludf.DUMMYFUNCTION("IMPORTRANGE(H37487,""IDENTITAS UNIT!D9"")"),"#N/A")</f>
        <v>#N/A</v>
      </c>
      <c r="H37487" s="4" t="str">
        <v/>
      </c>
      <c r="I37487" s="4" t="str">
        <v/>
      </c>
    </row>
    <row r="37488" spans="5:9" ht="16.5" hidden="1">
      <c r="E37488" s="4" t="str">
        <v/>
      </c>
      <c r="F37488" s="102" t="str">
        <f ca="1">IFERROR(__xludf.DUMMYFUNCTION("IMPORTRANGE(H37488,""IDENTITAS UNIT!D9"")"),"#N/A")</f>
        <v>#N/A</v>
      </c>
      <c r="H37488" s="4" t="str">
        <v/>
      </c>
      <c r="I37488" s="4" t="str">
        <v/>
      </c>
    </row>
    <row r="37489" spans="5:9" ht="16.5" hidden="1">
      <c r="E37489" s="4" t="str">
        <v/>
      </c>
      <c r="F37489" s="102" t="str">
        <f ca="1">IFERROR(__xludf.DUMMYFUNCTION("IMPORTRANGE(H37489,""IDENTITAS UNIT!D9"")"),"#N/A")</f>
        <v>#N/A</v>
      </c>
      <c r="H37489" s="4" t="str">
        <v/>
      </c>
      <c r="I37489" s="4" t="str">
        <v/>
      </c>
    </row>
    <row r="37490" spans="5:9" ht="16.5" hidden="1">
      <c r="E37490" s="4" t="str">
        <v/>
      </c>
      <c r="F37490" s="102" t="str">
        <f ca="1">IFERROR(__xludf.DUMMYFUNCTION("IMPORTRANGE(H37490,""IDENTITAS UNIT!D9"")"),"#N/A")</f>
        <v>#N/A</v>
      </c>
      <c r="H37490" s="4" t="str">
        <v/>
      </c>
      <c r="I37490" s="4" t="str">
        <v/>
      </c>
    </row>
    <row r="37491" spans="5:9" ht="16.5" hidden="1">
      <c r="E37491" s="4" t="str">
        <v/>
      </c>
      <c r="F37491" s="102" t="str">
        <f ca="1">IFERROR(__xludf.DUMMYFUNCTION("IMPORTRANGE(H37491,""IDENTITAS UNIT!D9"")"),"#N/A")</f>
        <v>#N/A</v>
      </c>
      <c r="H37491" s="4" t="str">
        <v/>
      </c>
      <c r="I37491" s="4" t="str">
        <v/>
      </c>
    </row>
    <row r="37492" spans="5:9" ht="16.5" hidden="1">
      <c r="E37492" s="4" t="str">
        <v/>
      </c>
      <c r="F37492" s="102" t="str">
        <f ca="1">IFERROR(__xludf.DUMMYFUNCTION("IMPORTRANGE(H37492,""IDENTITAS UNIT!D9"")"),"#N/A")</f>
        <v>#N/A</v>
      </c>
      <c r="H37492" s="4" t="str">
        <v/>
      </c>
      <c r="I37492" s="4" t="str">
        <v/>
      </c>
    </row>
    <row r="37493" spans="5:9" ht="16.5" hidden="1">
      <c r="E37493" s="4" t="str">
        <v/>
      </c>
      <c r="F37493" s="102" t="str">
        <f ca="1">IFERROR(__xludf.DUMMYFUNCTION("IMPORTRANGE(H37493,""IDENTITAS UNIT!D9"")"),"#N/A")</f>
        <v>#N/A</v>
      </c>
      <c r="H37493" s="4" t="str">
        <v/>
      </c>
      <c r="I37493" s="4" t="str">
        <v/>
      </c>
    </row>
    <row r="37494" spans="5:9" ht="16.5" hidden="1">
      <c r="E37494" s="4" t="str">
        <v/>
      </c>
      <c r="F37494" s="102" t="str">
        <f ca="1">IFERROR(__xludf.DUMMYFUNCTION("IMPORTRANGE(H37494,""IDENTITAS UNIT!D9"")"),"#N/A")</f>
        <v>#N/A</v>
      </c>
      <c r="H37494" s="4" t="str">
        <v/>
      </c>
      <c r="I37494" s="4" t="str">
        <v/>
      </c>
    </row>
    <row r="37495" spans="5:9" ht="16.5" hidden="1">
      <c r="E37495" s="4" t="str">
        <v/>
      </c>
      <c r="F37495" s="102" t="str">
        <f ca="1">IFERROR(__xludf.DUMMYFUNCTION("IMPORTRANGE(H37495,""IDENTITAS UNIT!D9"")"),"#N/A")</f>
        <v>#N/A</v>
      </c>
      <c r="H37495" s="4" t="str">
        <v/>
      </c>
      <c r="I37495" s="4" t="str">
        <v/>
      </c>
    </row>
    <row r="37496" spans="5:9" ht="16.5" hidden="1">
      <c r="E37496" s="4" t="str">
        <v/>
      </c>
      <c r="F37496" s="102" t="str">
        <f ca="1">IFERROR(__xludf.DUMMYFUNCTION("IMPORTRANGE(H37496,""IDENTITAS UNIT!D9"")"),"#N/A")</f>
        <v>#N/A</v>
      </c>
      <c r="H37496" s="4" t="str">
        <v/>
      </c>
      <c r="I37496" s="4" t="str">
        <v/>
      </c>
    </row>
    <row r="37497" spans="5:9" ht="16.5" hidden="1">
      <c r="E37497" s="4" t="str">
        <v/>
      </c>
      <c r="F37497" s="102" t="str">
        <f ca="1">IFERROR(__xludf.DUMMYFUNCTION("IMPORTRANGE(H37497,""IDENTITAS UNIT!D9"")"),"#N/A")</f>
        <v>#N/A</v>
      </c>
      <c r="H37497" s="4" t="str">
        <v/>
      </c>
      <c r="I37497" s="4" t="str">
        <v/>
      </c>
    </row>
    <row r="37498" spans="5:9" ht="16.5" hidden="1">
      <c r="E37498" s="4" t="str">
        <v/>
      </c>
      <c r="F37498" s="102" t="str">
        <f ca="1">IFERROR(__xludf.DUMMYFUNCTION("IMPORTRANGE(H37498,""IDENTITAS UNIT!D9"")"),"#N/A")</f>
        <v>#N/A</v>
      </c>
      <c r="H37498" s="4" t="str">
        <v/>
      </c>
      <c r="I37498" s="4" t="str">
        <v/>
      </c>
    </row>
    <row r="37499" spans="5:9" ht="16.5" hidden="1">
      <c r="E37499" s="4" t="str">
        <v/>
      </c>
      <c r="F37499" s="102" t="str">
        <f ca="1">IFERROR(__xludf.DUMMYFUNCTION("IMPORTRANGE(H37499,""IDENTITAS UNIT!D9"")"),"#N/A")</f>
        <v>#N/A</v>
      </c>
      <c r="H37499" s="4" t="str">
        <v/>
      </c>
      <c r="I37499" s="4" t="str">
        <v/>
      </c>
    </row>
    <row r="37500" spans="5:9" ht="16.5" hidden="1">
      <c r="E37500" s="4" t="str">
        <v/>
      </c>
      <c r="F37500" s="102" t="str">
        <f ca="1">IFERROR(__xludf.DUMMYFUNCTION("IMPORTRANGE(H37500,""IDENTITAS UNIT!D9"")"),"#N/A")</f>
        <v>#N/A</v>
      </c>
      <c r="H37500" s="4" t="str">
        <v/>
      </c>
      <c r="I37500" s="4" t="str">
        <v/>
      </c>
    </row>
    <row r="37501" spans="5:9" ht="16.5" hidden="1">
      <c r="E37501" s="4" t="str">
        <v/>
      </c>
      <c r="F37501" s="102" t="str">
        <f ca="1">IFERROR(__xludf.DUMMYFUNCTION("IMPORTRANGE(H37501,""IDENTITAS UNIT!D9"")"),"#N/A")</f>
        <v>#N/A</v>
      </c>
      <c r="H37501" s="4" t="str">
        <v/>
      </c>
      <c r="I37501" s="4" t="str">
        <v/>
      </c>
    </row>
    <row r="37502" spans="5:9" ht="16.5" hidden="1">
      <c r="E37502" s="4" t="str">
        <v/>
      </c>
      <c r="F37502" s="102" t="str">
        <f ca="1">IFERROR(__xludf.DUMMYFUNCTION("IMPORTRANGE(H37502,""IDENTITAS UNIT!D9"")"),"#N/A")</f>
        <v>#N/A</v>
      </c>
      <c r="H37502" s="4" t="str">
        <v/>
      </c>
      <c r="I37502" s="4" t="str">
        <v/>
      </c>
    </row>
    <row r="37503" spans="5:9" ht="16.5" hidden="1">
      <c r="E37503" s="4" t="str">
        <v/>
      </c>
      <c r="F37503" s="102" t="str">
        <f ca="1">IFERROR(__xludf.DUMMYFUNCTION("IMPORTRANGE(H37503,""IDENTITAS UNIT!D9"")"),"#N/A")</f>
        <v>#N/A</v>
      </c>
      <c r="H37503" s="4" t="str">
        <v/>
      </c>
      <c r="I37503" s="4" t="str">
        <v/>
      </c>
    </row>
    <row r="37504" spans="5:9" ht="16.5" hidden="1">
      <c r="E37504" s="4" t="str">
        <v/>
      </c>
      <c r="F37504" s="102" t="str">
        <f ca="1">IFERROR(__xludf.DUMMYFUNCTION("IMPORTRANGE(H37504,""IDENTITAS UNIT!D9"")"),"#N/A")</f>
        <v>#N/A</v>
      </c>
      <c r="H37504" s="4" t="str">
        <v/>
      </c>
      <c r="I37504" s="4" t="str">
        <v/>
      </c>
    </row>
    <row r="37505" spans="5:9" ht="16.5" hidden="1">
      <c r="E37505" s="4" t="str">
        <v/>
      </c>
      <c r="F37505" s="102" t="str">
        <f ca="1">IFERROR(__xludf.DUMMYFUNCTION("IMPORTRANGE(H37505,""IDENTITAS UNIT!D9"")"),"#N/A")</f>
        <v>#N/A</v>
      </c>
      <c r="H37505" s="4" t="str">
        <v/>
      </c>
      <c r="I37505" s="4" t="str">
        <v/>
      </c>
    </row>
    <row r="37506" spans="5:9" ht="16.5" hidden="1">
      <c r="E37506" s="4" t="str">
        <v/>
      </c>
      <c r="F37506" s="102" t="str">
        <f ca="1">IFERROR(__xludf.DUMMYFUNCTION("IMPORTRANGE(H37506,""IDENTITAS UNIT!D9"")"),"#N/A")</f>
        <v>#N/A</v>
      </c>
      <c r="H37506" s="4" t="str">
        <v/>
      </c>
      <c r="I37506" s="4" t="str">
        <v/>
      </c>
    </row>
    <row r="37507" spans="5:9" ht="16.5" hidden="1">
      <c r="E37507" s="4" t="str">
        <v/>
      </c>
      <c r="F37507" s="102" t="str">
        <f ca="1">IFERROR(__xludf.DUMMYFUNCTION("IMPORTRANGE(H37507,""IDENTITAS UNIT!D9"")"),"#N/A")</f>
        <v>#N/A</v>
      </c>
      <c r="H37507" s="4" t="str">
        <v/>
      </c>
      <c r="I37507" s="4" t="str">
        <v/>
      </c>
    </row>
    <row r="37508" spans="5:9" ht="16.5" hidden="1">
      <c r="E37508" s="4" t="str">
        <v/>
      </c>
      <c r="F37508" s="102" t="str">
        <f ca="1">IFERROR(__xludf.DUMMYFUNCTION("IMPORTRANGE(H37508,""IDENTITAS UNIT!D9"")"),"#N/A")</f>
        <v>#N/A</v>
      </c>
      <c r="H37508" s="4" t="str">
        <v/>
      </c>
      <c r="I37508" s="4" t="str">
        <v/>
      </c>
    </row>
    <row r="37509" spans="5:9" ht="16.5" hidden="1">
      <c r="E37509" s="4" t="str">
        <v/>
      </c>
      <c r="F37509" s="102" t="str">
        <f ca="1">IFERROR(__xludf.DUMMYFUNCTION("IMPORTRANGE(H37509,""IDENTITAS UNIT!D9"")"),"#N/A")</f>
        <v>#N/A</v>
      </c>
      <c r="H37509" s="4" t="str">
        <v/>
      </c>
      <c r="I37509" s="4" t="str">
        <v/>
      </c>
    </row>
    <row r="37510" spans="5:9" ht="16.5" hidden="1">
      <c r="E37510" s="4" t="str">
        <v/>
      </c>
      <c r="F37510" s="102" t="str">
        <f ca="1">IFERROR(__xludf.DUMMYFUNCTION("IMPORTRANGE(H37510,""IDENTITAS UNIT!D9"")"),"#N/A")</f>
        <v>#N/A</v>
      </c>
      <c r="H37510" s="4" t="str">
        <v/>
      </c>
      <c r="I37510" s="4" t="str">
        <v/>
      </c>
    </row>
    <row r="37511" spans="5:9" ht="16.5" hidden="1">
      <c r="E37511" s="4" t="str">
        <v/>
      </c>
      <c r="F37511" s="102" t="str">
        <f ca="1">IFERROR(__xludf.DUMMYFUNCTION("IMPORTRANGE(H37511,""IDENTITAS UNIT!D9"")"),"#N/A")</f>
        <v>#N/A</v>
      </c>
      <c r="H37511" s="4" t="str">
        <v/>
      </c>
      <c r="I37511" s="4" t="str">
        <v/>
      </c>
    </row>
    <row r="37512" spans="5:9" ht="16.5" hidden="1">
      <c r="E37512" s="4" t="str">
        <v/>
      </c>
      <c r="F37512" s="102" t="str">
        <f ca="1">IFERROR(__xludf.DUMMYFUNCTION("IMPORTRANGE(H37512,""IDENTITAS UNIT!D9"")"),"#N/A")</f>
        <v>#N/A</v>
      </c>
      <c r="H37512" s="4" t="str">
        <v/>
      </c>
      <c r="I37512" s="4" t="str">
        <v/>
      </c>
    </row>
    <row r="37513" spans="5:9" ht="16.5" hidden="1">
      <c r="E37513" s="4" t="str">
        <v/>
      </c>
      <c r="F37513" s="102" t="str">
        <f ca="1">IFERROR(__xludf.DUMMYFUNCTION("IMPORTRANGE(H37513,""IDENTITAS UNIT!D9"")"),"#N/A")</f>
        <v>#N/A</v>
      </c>
      <c r="H37513" s="4" t="str">
        <v/>
      </c>
      <c r="I37513" s="4" t="str">
        <v/>
      </c>
    </row>
    <row r="37514" spans="5:9" ht="16.5" hidden="1">
      <c r="E37514" s="4" t="str">
        <v/>
      </c>
      <c r="F37514" s="102" t="str">
        <f ca="1">IFERROR(__xludf.DUMMYFUNCTION("IMPORTRANGE(H37514,""IDENTITAS UNIT!D9"")"),"#N/A")</f>
        <v>#N/A</v>
      </c>
      <c r="H37514" s="4" t="str">
        <v/>
      </c>
      <c r="I37514" s="4" t="str">
        <v/>
      </c>
    </row>
    <row r="37515" spans="5:9" ht="16.5" hidden="1">
      <c r="E37515" s="4" t="str">
        <v/>
      </c>
      <c r="F37515" s="102" t="str">
        <f ca="1">IFERROR(__xludf.DUMMYFUNCTION("IMPORTRANGE(H37515,""IDENTITAS UNIT!D9"")"),"#N/A")</f>
        <v>#N/A</v>
      </c>
      <c r="H37515" s="4" t="str">
        <v/>
      </c>
      <c r="I37515" s="4" t="str">
        <v/>
      </c>
    </row>
    <row r="37516" spans="5:9" ht="16.5" hidden="1">
      <c r="E37516" s="4" t="str">
        <v/>
      </c>
      <c r="F37516" s="102" t="str">
        <f ca="1">IFERROR(__xludf.DUMMYFUNCTION("IMPORTRANGE(H37516,""IDENTITAS UNIT!D9"")"),"#N/A")</f>
        <v>#N/A</v>
      </c>
      <c r="H37516" s="4" t="str">
        <v/>
      </c>
      <c r="I37516" s="4" t="str">
        <v/>
      </c>
    </row>
    <row r="37517" spans="5:9" ht="16.5" hidden="1">
      <c r="E37517" s="4" t="str">
        <v/>
      </c>
      <c r="F37517" s="102" t="str">
        <f ca="1">IFERROR(__xludf.DUMMYFUNCTION("IMPORTRANGE(H37517,""IDENTITAS UNIT!D9"")"),"#N/A")</f>
        <v>#N/A</v>
      </c>
      <c r="H37517" s="4" t="str">
        <v/>
      </c>
      <c r="I37517" s="4" t="str">
        <v/>
      </c>
    </row>
    <row r="37518" spans="5:9" ht="16.5" hidden="1">
      <c r="E37518" s="4" t="str">
        <v/>
      </c>
      <c r="F37518" s="102" t="str">
        <f ca="1">IFERROR(__xludf.DUMMYFUNCTION("IMPORTRANGE(H37518,""IDENTITAS UNIT!D9"")"),"#N/A")</f>
        <v>#N/A</v>
      </c>
      <c r="H37518" s="4" t="str">
        <v/>
      </c>
      <c r="I37518" s="4" t="str">
        <v/>
      </c>
    </row>
    <row r="37519" spans="5:9" ht="16.5" hidden="1">
      <c r="E37519" s="4" t="str">
        <v/>
      </c>
      <c r="F37519" s="102" t="str">
        <f ca="1">IFERROR(__xludf.DUMMYFUNCTION("IMPORTRANGE(H37519,""IDENTITAS UNIT!D9"")"),"#N/A")</f>
        <v>#N/A</v>
      </c>
      <c r="H37519" s="4" t="str">
        <v/>
      </c>
      <c r="I37519" s="4" t="str">
        <v/>
      </c>
    </row>
    <row r="37520" spans="5:9" ht="16.5" hidden="1">
      <c r="E37520" s="4" t="str">
        <v/>
      </c>
      <c r="F37520" s="102" t="str">
        <f ca="1">IFERROR(__xludf.DUMMYFUNCTION("IMPORTRANGE(H37520,""IDENTITAS UNIT!D9"")"),"#N/A")</f>
        <v>#N/A</v>
      </c>
      <c r="H37520" s="4" t="str">
        <v/>
      </c>
      <c r="I37520" s="4" t="str">
        <v/>
      </c>
    </row>
    <row r="37521" spans="5:9" ht="16.5" hidden="1">
      <c r="E37521" s="4" t="str">
        <v/>
      </c>
      <c r="F37521" s="102" t="str">
        <f ca="1">IFERROR(__xludf.DUMMYFUNCTION("IMPORTRANGE(H37521,""IDENTITAS UNIT!D9"")"),"#N/A")</f>
        <v>#N/A</v>
      </c>
      <c r="H37521" s="4" t="str">
        <v/>
      </c>
      <c r="I37521" s="4" t="str">
        <v/>
      </c>
    </row>
    <row r="37522" spans="5:9" ht="16.5" hidden="1">
      <c r="E37522" s="4" t="str">
        <v/>
      </c>
      <c r="F37522" s="102" t="str">
        <f ca="1">IFERROR(__xludf.DUMMYFUNCTION("IMPORTRANGE(H37522,""IDENTITAS UNIT!D9"")"),"#N/A")</f>
        <v>#N/A</v>
      </c>
      <c r="H37522" s="4" t="str">
        <v/>
      </c>
      <c r="I37522" s="4" t="str">
        <v/>
      </c>
    </row>
    <row r="37523" spans="5:9" ht="16.5" hidden="1">
      <c r="E37523" s="4" t="str">
        <v/>
      </c>
      <c r="F37523" s="102" t="str">
        <f ca="1">IFERROR(__xludf.DUMMYFUNCTION("IMPORTRANGE(H37523,""IDENTITAS UNIT!D9"")"),"#N/A")</f>
        <v>#N/A</v>
      </c>
      <c r="H37523" s="4" t="str">
        <v/>
      </c>
      <c r="I37523" s="4" t="str">
        <v/>
      </c>
    </row>
    <row r="37524" spans="5:9" ht="16.5" hidden="1">
      <c r="E37524" s="4" t="str">
        <v/>
      </c>
      <c r="F37524" s="102" t="str">
        <f ca="1">IFERROR(__xludf.DUMMYFUNCTION("IMPORTRANGE(H37524,""IDENTITAS UNIT!D9"")"),"#N/A")</f>
        <v>#N/A</v>
      </c>
      <c r="H37524" s="4" t="str">
        <v/>
      </c>
      <c r="I37524" s="4" t="str">
        <v/>
      </c>
    </row>
    <row r="37525" spans="5:9" ht="16.5" hidden="1">
      <c r="E37525" s="4" t="str">
        <v/>
      </c>
      <c r="F37525" s="102" t="str">
        <f ca="1">IFERROR(__xludf.DUMMYFUNCTION("IMPORTRANGE(H37525,""IDENTITAS UNIT!D9"")"),"#N/A")</f>
        <v>#N/A</v>
      </c>
      <c r="H37525" s="4" t="str">
        <v/>
      </c>
      <c r="I37525" s="4" t="str">
        <v/>
      </c>
    </row>
    <row r="37526" spans="5:9" ht="16.5" hidden="1">
      <c r="E37526" s="4" t="str">
        <v/>
      </c>
      <c r="F37526" s="102" t="str">
        <f ca="1">IFERROR(__xludf.DUMMYFUNCTION("IMPORTRANGE(H37526,""IDENTITAS UNIT!D9"")"),"#N/A")</f>
        <v>#N/A</v>
      </c>
      <c r="H37526" s="4" t="str">
        <v/>
      </c>
      <c r="I37526" s="4" t="str">
        <v/>
      </c>
    </row>
    <row r="37527" spans="5:9" ht="16.5" hidden="1">
      <c r="E37527" s="4" t="str">
        <v/>
      </c>
      <c r="F37527" s="102" t="str">
        <f ca="1">IFERROR(__xludf.DUMMYFUNCTION("IMPORTRANGE(H37527,""IDENTITAS UNIT!D9"")"),"#N/A")</f>
        <v>#N/A</v>
      </c>
      <c r="H37527" s="4" t="str">
        <v/>
      </c>
      <c r="I37527" s="4" t="str">
        <v/>
      </c>
    </row>
    <row r="37528" spans="5:9" ht="16.5" hidden="1">
      <c r="E37528" s="4" t="str">
        <v/>
      </c>
      <c r="F37528" s="102" t="str">
        <f ca="1">IFERROR(__xludf.DUMMYFUNCTION("IMPORTRANGE(H37528,""IDENTITAS UNIT!D9"")"),"#N/A")</f>
        <v>#N/A</v>
      </c>
      <c r="H37528" s="4" t="str">
        <v/>
      </c>
      <c r="I37528" s="4" t="str">
        <v/>
      </c>
    </row>
    <row r="37529" spans="5:9" ht="16.5" hidden="1">
      <c r="E37529" s="4" t="str">
        <v/>
      </c>
      <c r="F37529" s="102" t="str">
        <f ca="1">IFERROR(__xludf.DUMMYFUNCTION("IMPORTRANGE(H37529,""IDENTITAS UNIT!D9"")"),"#N/A")</f>
        <v>#N/A</v>
      </c>
      <c r="H37529" s="4" t="str">
        <v/>
      </c>
      <c r="I37529" s="4" t="str">
        <v/>
      </c>
    </row>
    <row r="37530" spans="5:9" ht="16.5" hidden="1">
      <c r="E37530" s="4" t="str">
        <v/>
      </c>
      <c r="F37530" s="102" t="str">
        <f ca="1">IFERROR(__xludf.DUMMYFUNCTION("IMPORTRANGE(H37530,""IDENTITAS UNIT!D9"")"),"#N/A")</f>
        <v>#N/A</v>
      </c>
      <c r="H37530" s="4" t="str">
        <v/>
      </c>
      <c r="I37530" s="4" t="str">
        <v/>
      </c>
    </row>
    <row r="37531" spans="5:9" ht="16.5" hidden="1">
      <c r="E37531" s="4" t="str">
        <v/>
      </c>
      <c r="F37531" s="102" t="str">
        <f ca="1">IFERROR(__xludf.DUMMYFUNCTION("IMPORTRANGE(H37531,""IDENTITAS UNIT!D9"")"),"#N/A")</f>
        <v>#N/A</v>
      </c>
      <c r="H37531" s="4" t="str">
        <v/>
      </c>
      <c r="I37531" s="4" t="str">
        <v/>
      </c>
    </row>
    <row r="37532" spans="5:9" ht="16.5" hidden="1">
      <c r="E37532" s="4" t="str">
        <v/>
      </c>
      <c r="F37532" s="102" t="str">
        <f ca="1">IFERROR(__xludf.DUMMYFUNCTION("IMPORTRANGE(H37532,""IDENTITAS UNIT!D9"")"),"#N/A")</f>
        <v>#N/A</v>
      </c>
      <c r="H37532" s="4" t="str">
        <v/>
      </c>
      <c r="I37532" s="4" t="str">
        <v/>
      </c>
    </row>
    <row r="37533" spans="5:9" ht="16.5" hidden="1">
      <c r="E37533" s="4" t="str">
        <v/>
      </c>
      <c r="F37533" s="102" t="str">
        <f ca="1">IFERROR(__xludf.DUMMYFUNCTION("IMPORTRANGE(H37533,""IDENTITAS UNIT!D9"")"),"#N/A")</f>
        <v>#N/A</v>
      </c>
      <c r="H37533" s="4" t="str">
        <v/>
      </c>
      <c r="I37533" s="4" t="str">
        <v/>
      </c>
    </row>
    <row r="37534" spans="5:9" ht="16.5" hidden="1">
      <c r="E37534" s="4" t="str">
        <v/>
      </c>
      <c r="F37534" s="102" t="str">
        <f ca="1">IFERROR(__xludf.DUMMYFUNCTION("IMPORTRANGE(H37534,""IDENTITAS UNIT!D9"")"),"#N/A")</f>
        <v>#N/A</v>
      </c>
      <c r="H37534" s="4" t="str">
        <v/>
      </c>
      <c r="I37534" s="4" t="str">
        <v/>
      </c>
    </row>
    <row r="37535" spans="5:9" ht="16.5" hidden="1">
      <c r="E37535" s="4" t="str">
        <v/>
      </c>
      <c r="F37535" s="102" t="str">
        <f ca="1">IFERROR(__xludf.DUMMYFUNCTION("IMPORTRANGE(H37535,""IDENTITAS UNIT!D9"")"),"#N/A")</f>
        <v>#N/A</v>
      </c>
      <c r="H37535" s="4" t="str">
        <v/>
      </c>
      <c r="I37535" s="4" t="str">
        <v/>
      </c>
    </row>
    <row r="37536" spans="5:9" ht="16.5" hidden="1">
      <c r="E37536" s="4" t="str">
        <v/>
      </c>
      <c r="F37536" s="102" t="str">
        <f ca="1">IFERROR(__xludf.DUMMYFUNCTION("IMPORTRANGE(H37536,""IDENTITAS UNIT!D9"")"),"#N/A")</f>
        <v>#N/A</v>
      </c>
      <c r="H37536" s="4" t="str">
        <v/>
      </c>
      <c r="I37536" s="4" t="str">
        <v/>
      </c>
    </row>
    <row r="37537" spans="5:9" ht="16.5" hidden="1">
      <c r="E37537" s="4" t="str">
        <v/>
      </c>
      <c r="F37537" s="102" t="str">
        <f ca="1">IFERROR(__xludf.DUMMYFUNCTION("IMPORTRANGE(H37537,""IDENTITAS UNIT!D9"")"),"#N/A")</f>
        <v>#N/A</v>
      </c>
      <c r="H37537" s="4" t="str">
        <v/>
      </c>
      <c r="I37537" s="4" t="str">
        <v/>
      </c>
    </row>
    <row r="37538" spans="5:9" ht="16.5" hidden="1">
      <c r="E37538" s="4" t="str">
        <v/>
      </c>
      <c r="F37538" s="102" t="str">
        <f ca="1">IFERROR(__xludf.DUMMYFUNCTION("IMPORTRANGE(H37538,""IDENTITAS UNIT!D9"")"),"#N/A")</f>
        <v>#N/A</v>
      </c>
      <c r="H37538" s="4" t="str">
        <v/>
      </c>
      <c r="I37538" s="4" t="str">
        <v/>
      </c>
    </row>
    <row r="37539" spans="5:9" ht="16.5" hidden="1">
      <c r="E37539" s="4" t="str">
        <v/>
      </c>
      <c r="F37539" s="102" t="str">
        <f ca="1">IFERROR(__xludf.DUMMYFUNCTION("IMPORTRANGE(H37539,""IDENTITAS UNIT!D9"")"),"#N/A")</f>
        <v>#N/A</v>
      </c>
      <c r="H37539" s="4" t="str">
        <v/>
      </c>
      <c r="I37539" s="4" t="str">
        <v/>
      </c>
    </row>
    <row r="37540" spans="5:9" ht="16.5" hidden="1">
      <c r="E37540" s="4" t="str">
        <v/>
      </c>
      <c r="F37540" s="102" t="str">
        <f ca="1">IFERROR(__xludf.DUMMYFUNCTION("IMPORTRANGE(H37540,""IDENTITAS UNIT!D9"")"),"#N/A")</f>
        <v>#N/A</v>
      </c>
      <c r="H37540" s="4" t="str">
        <v/>
      </c>
      <c r="I37540" s="4" t="str">
        <v/>
      </c>
    </row>
    <row r="37541" spans="5:9" ht="16.5" hidden="1">
      <c r="E37541" s="4" t="str">
        <v/>
      </c>
      <c r="F37541" s="102" t="str">
        <f ca="1">IFERROR(__xludf.DUMMYFUNCTION("IMPORTRANGE(H37541,""IDENTITAS UNIT!D9"")"),"#N/A")</f>
        <v>#N/A</v>
      </c>
      <c r="H37541" s="4" t="str">
        <v/>
      </c>
      <c r="I37541" s="4" t="str">
        <v/>
      </c>
    </row>
    <row r="37542" spans="5:9" ht="16.5" hidden="1">
      <c r="E37542" s="4" t="str">
        <v/>
      </c>
      <c r="F37542" s="102" t="str">
        <f ca="1">IFERROR(__xludf.DUMMYFUNCTION("IMPORTRANGE(H37542,""IDENTITAS UNIT!D9"")"),"#N/A")</f>
        <v>#N/A</v>
      </c>
      <c r="H37542" s="4" t="str">
        <v/>
      </c>
      <c r="I37542" s="4" t="str">
        <v/>
      </c>
    </row>
    <row r="37543" spans="5:9" ht="16.5" hidden="1">
      <c r="E37543" s="4" t="str">
        <v/>
      </c>
      <c r="F37543" s="102" t="str">
        <f ca="1">IFERROR(__xludf.DUMMYFUNCTION("IMPORTRANGE(H37543,""IDENTITAS UNIT!D9"")"),"#N/A")</f>
        <v>#N/A</v>
      </c>
      <c r="H37543" s="4" t="str">
        <v/>
      </c>
      <c r="I37543" s="4" t="str">
        <v/>
      </c>
    </row>
    <row r="37544" spans="5:9" ht="16.5" hidden="1">
      <c r="E37544" s="4" t="str">
        <v/>
      </c>
      <c r="F37544" s="102" t="str">
        <f ca="1">IFERROR(__xludf.DUMMYFUNCTION("IMPORTRANGE(H37544,""IDENTITAS UNIT!D9"")"),"#N/A")</f>
        <v>#N/A</v>
      </c>
      <c r="H37544" s="4" t="str">
        <v/>
      </c>
      <c r="I37544" s="4" t="str">
        <v/>
      </c>
    </row>
    <row r="37545" spans="5:9" ht="16.5" hidden="1">
      <c r="E37545" s="4" t="str">
        <v/>
      </c>
      <c r="F37545" s="102" t="str">
        <f ca="1">IFERROR(__xludf.DUMMYFUNCTION("IMPORTRANGE(H37545,""IDENTITAS UNIT!D9"")"),"#N/A")</f>
        <v>#N/A</v>
      </c>
      <c r="H37545" s="4" t="str">
        <v/>
      </c>
      <c r="I37545" s="4" t="str">
        <v/>
      </c>
    </row>
    <row r="37546" spans="5:9" ht="16.5" hidden="1">
      <c r="E37546" s="4" t="str">
        <v/>
      </c>
      <c r="F37546" s="102" t="str">
        <f ca="1">IFERROR(__xludf.DUMMYFUNCTION("IMPORTRANGE(H37546,""IDENTITAS UNIT!D9"")"),"#N/A")</f>
        <v>#N/A</v>
      </c>
      <c r="H37546" s="4" t="str">
        <v/>
      </c>
      <c r="I37546" s="4" t="str">
        <v/>
      </c>
    </row>
    <row r="37547" spans="5:9" ht="16.5" hidden="1">
      <c r="E37547" s="4" t="str">
        <v/>
      </c>
      <c r="F37547" s="102" t="str">
        <f ca="1">IFERROR(__xludf.DUMMYFUNCTION("IMPORTRANGE(H37547,""IDENTITAS UNIT!D9"")"),"#N/A")</f>
        <v>#N/A</v>
      </c>
      <c r="H37547" s="4" t="str">
        <v/>
      </c>
      <c r="I37547" s="4" t="str">
        <v/>
      </c>
    </row>
    <row r="37548" spans="5:9" ht="16.5" hidden="1">
      <c r="E37548" s="4" t="str">
        <v/>
      </c>
      <c r="F37548" s="102" t="str">
        <f ca="1">IFERROR(__xludf.DUMMYFUNCTION("IMPORTRANGE(H37548,""IDENTITAS UNIT!D9"")"),"#N/A")</f>
        <v>#N/A</v>
      </c>
      <c r="H37548" s="4" t="str">
        <v/>
      </c>
      <c r="I37548" s="4" t="str">
        <v/>
      </c>
    </row>
    <row r="37549" spans="5:9" ht="16.5" hidden="1">
      <c r="E37549" s="4" t="str">
        <v/>
      </c>
      <c r="F37549" s="102" t="str">
        <f ca="1">IFERROR(__xludf.DUMMYFUNCTION("IMPORTRANGE(H37549,""IDENTITAS UNIT!D9"")"),"#N/A")</f>
        <v>#N/A</v>
      </c>
      <c r="H37549" s="4" t="str">
        <v/>
      </c>
      <c r="I37549" s="4" t="str">
        <v/>
      </c>
    </row>
    <row r="37550" spans="5:9" ht="16.5" hidden="1">
      <c r="E37550" s="4" t="str">
        <v/>
      </c>
      <c r="F37550" s="102" t="str">
        <f ca="1">IFERROR(__xludf.DUMMYFUNCTION("IMPORTRANGE(H37550,""IDENTITAS UNIT!D9"")"),"#N/A")</f>
        <v>#N/A</v>
      </c>
      <c r="H37550" s="4" t="str">
        <v/>
      </c>
      <c r="I37550" s="4" t="str">
        <v/>
      </c>
    </row>
    <row r="37551" spans="5:9" ht="16.5" hidden="1">
      <c r="E37551" s="4" t="str">
        <v/>
      </c>
      <c r="F37551" s="102" t="str">
        <f ca="1">IFERROR(__xludf.DUMMYFUNCTION("IMPORTRANGE(H37551,""IDENTITAS UNIT!D9"")"),"#N/A")</f>
        <v>#N/A</v>
      </c>
      <c r="H37551" s="4" t="str">
        <v/>
      </c>
      <c r="I37551" s="4" t="str">
        <v/>
      </c>
    </row>
    <row r="37552" spans="5:9" ht="16.5" hidden="1">
      <c r="E37552" s="4" t="str">
        <v/>
      </c>
      <c r="F37552" s="102" t="str">
        <f ca="1">IFERROR(__xludf.DUMMYFUNCTION("IMPORTRANGE(H37552,""IDENTITAS UNIT!D9"")"),"#N/A")</f>
        <v>#N/A</v>
      </c>
      <c r="H37552" s="4" t="str">
        <v/>
      </c>
      <c r="I37552" s="4" t="str">
        <v/>
      </c>
    </row>
    <row r="37553" spans="5:9" ht="16.5" hidden="1">
      <c r="E37553" s="4" t="str">
        <v/>
      </c>
      <c r="F37553" s="102" t="str">
        <f ca="1">IFERROR(__xludf.DUMMYFUNCTION("IMPORTRANGE(H37553,""IDENTITAS UNIT!D9"")"),"#N/A")</f>
        <v>#N/A</v>
      </c>
      <c r="H37553" s="4" t="str">
        <v/>
      </c>
      <c r="I37553" s="4" t="str">
        <v/>
      </c>
    </row>
    <row r="37554" spans="5:9" ht="16.5" hidden="1">
      <c r="E37554" s="4" t="str">
        <v/>
      </c>
      <c r="F37554" s="102" t="str">
        <f ca="1">IFERROR(__xludf.DUMMYFUNCTION("IMPORTRANGE(H37554,""IDENTITAS UNIT!D9"")"),"#N/A")</f>
        <v>#N/A</v>
      </c>
      <c r="H37554" s="4" t="str">
        <v/>
      </c>
      <c r="I37554" s="4" t="str">
        <v/>
      </c>
    </row>
    <row r="37555" spans="5:9" ht="16.5" hidden="1">
      <c r="E37555" s="4" t="str">
        <v/>
      </c>
      <c r="F37555" s="102" t="str">
        <f ca="1">IFERROR(__xludf.DUMMYFUNCTION("IMPORTRANGE(H37555,""IDENTITAS UNIT!D9"")"),"#N/A")</f>
        <v>#N/A</v>
      </c>
      <c r="H37555" s="4" t="str">
        <v/>
      </c>
      <c r="I37555" s="4" t="str">
        <v/>
      </c>
    </row>
    <row r="37556" spans="5:9" ht="16.5" hidden="1">
      <c r="E37556" s="4" t="str">
        <v/>
      </c>
      <c r="F37556" s="102" t="str">
        <f ca="1">IFERROR(__xludf.DUMMYFUNCTION("IMPORTRANGE(H37556,""IDENTITAS UNIT!D9"")"),"#N/A")</f>
        <v>#N/A</v>
      </c>
      <c r="H37556" s="4" t="str">
        <v/>
      </c>
      <c r="I37556" s="4" t="str">
        <v/>
      </c>
    </row>
    <row r="37557" spans="5:9" ht="16.5" hidden="1">
      <c r="E37557" s="4" t="str">
        <v/>
      </c>
      <c r="F37557" s="102" t="str">
        <f ca="1">IFERROR(__xludf.DUMMYFUNCTION("IMPORTRANGE(H37557,""IDENTITAS UNIT!D9"")"),"#N/A")</f>
        <v>#N/A</v>
      </c>
      <c r="H37557" s="4" t="str">
        <v/>
      </c>
      <c r="I37557" s="4" t="str">
        <v/>
      </c>
    </row>
    <row r="37558" spans="5:9" ht="16.5" hidden="1">
      <c r="E37558" s="4" t="str">
        <v/>
      </c>
      <c r="F37558" s="102" t="str">
        <f ca="1">IFERROR(__xludf.DUMMYFUNCTION("IMPORTRANGE(H37558,""IDENTITAS UNIT!D9"")"),"#N/A")</f>
        <v>#N/A</v>
      </c>
      <c r="H37558" s="4" t="str">
        <v/>
      </c>
      <c r="I37558" s="4" t="str">
        <v/>
      </c>
    </row>
    <row r="37559" spans="5:9" ht="16.5" hidden="1">
      <c r="E37559" s="4" t="str">
        <v/>
      </c>
      <c r="F37559" s="102" t="str">
        <f ca="1">IFERROR(__xludf.DUMMYFUNCTION("IMPORTRANGE(H37559,""IDENTITAS UNIT!D9"")"),"#N/A")</f>
        <v>#N/A</v>
      </c>
      <c r="H37559" s="4" t="str">
        <v/>
      </c>
      <c r="I37559" s="4" t="str">
        <v/>
      </c>
    </row>
    <row r="37560" spans="5:9" ht="16.5" hidden="1">
      <c r="E37560" s="4" t="str">
        <v/>
      </c>
      <c r="F37560" s="102" t="str">
        <f ca="1">IFERROR(__xludf.DUMMYFUNCTION("IMPORTRANGE(H37560,""IDENTITAS UNIT!D9"")"),"#N/A")</f>
        <v>#N/A</v>
      </c>
      <c r="H37560" s="4" t="str">
        <v/>
      </c>
      <c r="I37560" s="4" t="str">
        <v/>
      </c>
    </row>
    <row r="37561" spans="5:9" ht="16.5" hidden="1">
      <c r="E37561" s="4" t="str">
        <v/>
      </c>
      <c r="F37561" s="102" t="str">
        <f ca="1">IFERROR(__xludf.DUMMYFUNCTION("IMPORTRANGE(H37561,""IDENTITAS UNIT!D9"")"),"#N/A")</f>
        <v>#N/A</v>
      </c>
      <c r="H37561" s="4" t="str">
        <v/>
      </c>
      <c r="I37561" s="4" t="str">
        <v/>
      </c>
    </row>
    <row r="37562" spans="5:9" ht="16.5" hidden="1">
      <c r="E37562" s="4" t="str">
        <v/>
      </c>
      <c r="F37562" s="102" t="str">
        <f ca="1">IFERROR(__xludf.DUMMYFUNCTION("IMPORTRANGE(H37562,""IDENTITAS UNIT!D9"")"),"#N/A")</f>
        <v>#N/A</v>
      </c>
      <c r="H37562" s="4" t="str">
        <v/>
      </c>
      <c r="I37562" s="4" t="str">
        <v/>
      </c>
    </row>
    <row r="37563" spans="5:9" ht="16.5" hidden="1">
      <c r="E37563" s="4" t="str">
        <v/>
      </c>
      <c r="F37563" s="102" t="str">
        <f ca="1">IFERROR(__xludf.DUMMYFUNCTION("IMPORTRANGE(H37563,""IDENTITAS UNIT!D9"")"),"#N/A")</f>
        <v>#N/A</v>
      </c>
      <c r="H37563" s="4" t="str">
        <v/>
      </c>
      <c r="I37563" s="4" t="str">
        <v/>
      </c>
    </row>
    <row r="37564" spans="5:9" ht="16.5" hidden="1">
      <c r="E37564" s="4" t="str">
        <v/>
      </c>
      <c r="F37564" s="102" t="str">
        <f ca="1">IFERROR(__xludf.DUMMYFUNCTION("IMPORTRANGE(H37564,""IDENTITAS UNIT!D9"")"),"#N/A")</f>
        <v>#N/A</v>
      </c>
      <c r="H37564" s="4" t="str">
        <v/>
      </c>
      <c r="I37564" s="4" t="str">
        <v/>
      </c>
    </row>
    <row r="37565" spans="5:9" ht="16.5" hidden="1">
      <c r="E37565" s="4" t="str">
        <v/>
      </c>
      <c r="F37565" s="102" t="str">
        <f ca="1">IFERROR(__xludf.DUMMYFUNCTION("IMPORTRANGE(H37565,""IDENTITAS UNIT!D9"")"),"#N/A")</f>
        <v>#N/A</v>
      </c>
      <c r="H37565" s="4" t="str">
        <v/>
      </c>
      <c r="I37565" s="4" t="str">
        <v/>
      </c>
    </row>
    <row r="37566" spans="5:9" ht="16.5" hidden="1">
      <c r="E37566" s="4" t="str">
        <v/>
      </c>
      <c r="F37566" s="102" t="str">
        <f ca="1">IFERROR(__xludf.DUMMYFUNCTION("IMPORTRANGE(H37566,""IDENTITAS UNIT!D9"")"),"#N/A")</f>
        <v>#N/A</v>
      </c>
      <c r="H37566" s="4" t="str">
        <v/>
      </c>
      <c r="I37566" s="4" t="str">
        <v/>
      </c>
    </row>
    <row r="37567" spans="5:9" ht="16.5" hidden="1">
      <c r="E37567" s="4" t="str">
        <v/>
      </c>
      <c r="F37567" s="102" t="str">
        <f ca="1">IFERROR(__xludf.DUMMYFUNCTION("IMPORTRANGE(H37567,""IDENTITAS UNIT!D9"")"),"#N/A")</f>
        <v>#N/A</v>
      </c>
      <c r="H37567" s="4" t="str">
        <v/>
      </c>
      <c r="I37567" s="4" t="str">
        <v/>
      </c>
    </row>
    <row r="37568" spans="5:9" ht="16.5" hidden="1">
      <c r="E37568" s="4" t="str">
        <v/>
      </c>
      <c r="F37568" s="102" t="str">
        <f ca="1">IFERROR(__xludf.DUMMYFUNCTION("IMPORTRANGE(H37568,""IDENTITAS UNIT!D9"")"),"#N/A")</f>
        <v>#N/A</v>
      </c>
      <c r="H37568" s="4" t="str">
        <v/>
      </c>
      <c r="I37568" s="4" t="str">
        <v/>
      </c>
    </row>
    <row r="37569" spans="5:9" ht="16.5" hidden="1">
      <c r="E37569" s="4" t="str">
        <v/>
      </c>
      <c r="F37569" s="102" t="str">
        <f ca="1">IFERROR(__xludf.DUMMYFUNCTION("IMPORTRANGE(H37569,""IDENTITAS UNIT!D9"")"),"#N/A")</f>
        <v>#N/A</v>
      </c>
      <c r="H37569" s="4" t="str">
        <v/>
      </c>
      <c r="I37569" s="4" t="str">
        <v/>
      </c>
    </row>
    <row r="37570" spans="5:9" ht="16.5" hidden="1">
      <c r="E37570" s="4" t="str">
        <v/>
      </c>
      <c r="F37570" s="102" t="str">
        <f ca="1">IFERROR(__xludf.DUMMYFUNCTION("IMPORTRANGE(H37570,""IDENTITAS UNIT!D9"")"),"#N/A")</f>
        <v>#N/A</v>
      </c>
      <c r="H37570" s="4" t="str">
        <v/>
      </c>
      <c r="I37570" s="4" t="str">
        <v/>
      </c>
    </row>
    <row r="37571" spans="5:9" ht="16.5" hidden="1">
      <c r="E37571" s="4" t="str">
        <v/>
      </c>
      <c r="F37571" s="102" t="str">
        <f ca="1">IFERROR(__xludf.DUMMYFUNCTION("IMPORTRANGE(H37571,""IDENTITAS UNIT!D9"")"),"#N/A")</f>
        <v>#N/A</v>
      </c>
      <c r="H37571" s="4" t="str">
        <v/>
      </c>
      <c r="I37571" s="4" t="str">
        <v/>
      </c>
    </row>
    <row r="37572" spans="5:9" ht="16.5" hidden="1">
      <c r="E37572" s="4" t="str">
        <v/>
      </c>
      <c r="F37572" s="102" t="str">
        <f ca="1">IFERROR(__xludf.DUMMYFUNCTION("IMPORTRANGE(H37572,""IDENTITAS UNIT!D9"")"),"#N/A")</f>
        <v>#N/A</v>
      </c>
      <c r="H37572" s="4" t="str">
        <v/>
      </c>
      <c r="I37572" s="4" t="str">
        <v/>
      </c>
    </row>
    <row r="37573" spans="5:9" ht="16.5" hidden="1">
      <c r="E37573" s="4" t="str">
        <v/>
      </c>
      <c r="F37573" s="102" t="str">
        <f ca="1">IFERROR(__xludf.DUMMYFUNCTION("IMPORTRANGE(H37573,""IDENTITAS UNIT!D9"")"),"#N/A")</f>
        <v>#N/A</v>
      </c>
      <c r="H37573" s="4" t="str">
        <v/>
      </c>
      <c r="I37573" s="4" t="str">
        <v/>
      </c>
    </row>
    <row r="37574" spans="5:9" ht="16.5" hidden="1">
      <c r="E37574" s="4" t="str">
        <v/>
      </c>
      <c r="F37574" s="102" t="str">
        <f ca="1">IFERROR(__xludf.DUMMYFUNCTION("IMPORTRANGE(H37574,""IDENTITAS UNIT!D9"")"),"#N/A")</f>
        <v>#N/A</v>
      </c>
      <c r="H37574" s="4" t="str">
        <v/>
      </c>
      <c r="I37574" s="4" t="str">
        <v/>
      </c>
    </row>
    <row r="37575" spans="5:9" ht="16.5" hidden="1">
      <c r="E37575" s="4" t="str">
        <v/>
      </c>
      <c r="F37575" s="102" t="str">
        <f ca="1">IFERROR(__xludf.DUMMYFUNCTION("IMPORTRANGE(H37575,""IDENTITAS UNIT!D9"")"),"#N/A")</f>
        <v>#N/A</v>
      </c>
      <c r="H37575" s="4" t="str">
        <v/>
      </c>
      <c r="I37575" s="4" t="str">
        <v/>
      </c>
    </row>
    <row r="37576" spans="5:9" ht="16.5" hidden="1">
      <c r="E37576" s="4" t="str">
        <v/>
      </c>
      <c r="F37576" s="102" t="str">
        <f ca="1">IFERROR(__xludf.DUMMYFUNCTION("IMPORTRANGE(H37576,""IDENTITAS UNIT!D9"")"),"#N/A")</f>
        <v>#N/A</v>
      </c>
      <c r="H37576" s="4" t="str">
        <v/>
      </c>
      <c r="I37576" s="4" t="str">
        <v/>
      </c>
    </row>
    <row r="37577" spans="5:9" ht="16.5" hidden="1">
      <c r="E37577" s="4" t="str">
        <v/>
      </c>
      <c r="F37577" s="102" t="str">
        <f ca="1">IFERROR(__xludf.DUMMYFUNCTION("IMPORTRANGE(H37577,""IDENTITAS UNIT!D9"")"),"#N/A")</f>
        <v>#N/A</v>
      </c>
      <c r="H37577" s="4" t="str">
        <v/>
      </c>
      <c r="I37577" s="4" t="str">
        <v/>
      </c>
    </row>
    <row r="37578" spans="5:9" ht="16.5" hidden="1">
      <c r="E37578" s="4" t="str">
        <v/>
      </c>
      <c r="F37578" s="102" t="str">
        <f ca="1">IFERROR(__xludf.DUMMYFUNCTION("IMPORTRANGE(H37578,""IDENTITAS UNIT!D9"")"),"#N/A")</f>
        <v>#N/A</v>
      </c>
      <c r="H37578" s="4" t="str">
        <v/>
      </c>
      <c r="I37578" s="4" t="str">
        <v/>
      </c>
    </row>
    <row r="37579" spans="5:9" ht="16.5" hidden="1">
      <c r="E37579" s="4" t="str">
        <v/>
      </c>
      <c r="F37579" s="102" t="str">
        <f ca="1">IFERROR(__xludf.DUMMYFUNCTION("IMPORTRANGE(H37579,""IDENTITAS UNIT!D9"")"),"#N/A")</f>
        <v>#N/A</v>
      </c>
      <c r="H37579" s="4" t="str">
        <v/>
      </c>
      <c r="I37579" s="4" t="str">
        <v/>
      </c>
    </row>
    <row r="37580" spans="5:9" ht="16.5" hidden="1">
      <c r="E37580" s="4" t="str">
        <v/>
      </c>
      <c r="F37580" s="102" t="str">
        <f ca="1">IFERROR(__xludf.DUMMYFUNCTION("IMPORTRANGE(H37580,""IDENTITAS UNIT!D9"")"),"#N/A")</f>
        <v>#N/A</v>
      </c>
      <c r="H37580" s="4" t="str">
        <v/>
      </c>
      <c r="I37580" s="4" t="str">
        <v/>
      </c>
    </row>
    <row r="37581" spans="5:9" ht="16.5" hidden="1">
      <c r="E37581" s="4" t="str">
        <v/>
      </c>
      <c r="F37581" s="102" t="str">
        <f ca="1">IFERROR(__xludf.DUMMYFUNCTION("IMPORTRANGE(H37581,""IDENTITAS UNIT!D9"")"),"#N/A")</f>
        <v>#N/A</v>
      </c>
      <c r="H37581" s="4" t="str">
        <v/>
      </c>
      <c r="I37581" s="4" t="str">
        <v/>
      </c>
    </row>
    <row r="37582" spans="5:9" ht="16.5" hidden="1">
      <c r="E37582" s="4" t="str">
        <v/>
      </c>
      <c r="F37582" s="102" t="str">
        <f ca="1">IFERROR(__xludf.DUMMYFUNCTION("IMPORTRANGE(H37582,""IDENTITAS UNIT!D9"")"),"#N/A")</f>
        <v>#N/A</v>
      </c>
      <c r="H37582" s="4" t="str">
        <v/>
      </c>
      <c r="I37582" s="4" t="str">
        <v/>
      </c>
    </row>
    <row r="37583" spans="5:9" ht="16.5" hidden="1">
      <c r="E37583" s="4" t="str">
        <v/>
      </c>
      <c r="F37583" s="102" t="str">
        <f ca="1">IFERROR(__xludf.DUMMYFUNCTION("IMPORTRANGE(H37583,""IDENTITAS UNIT!D9"")"),"#N/A")</f>
        <v>#N/A</v>
      </c>
      <c r="H37583" s="4" t="str">
        <v/>
      </c>
      <c r="I37583" s="4" t="str">
        <v/>
      </c>
    </row>
    <row r="37584" spans="5:9" ht="16.5" hidden="1">
      <c r="E37584" s="4" t="str">
        <v/>
      </c>
      <c r="F37584" s="102" t="str">
        <f ca="1">IFERROR(__xludf.DUMMYFUNCTION("IMPORTRANGE(H37584,""IDENTITAS UNIT!D9"")"),"#N/A")</f>
        <v>#N/A</v>
      </c>
      <c r="H37584" s="4" t="str">
        <v/>
      </c>
      <c r="I37584" s="4" t="str">
        <v/>
      </c>
    </row>
    <row r="37585" spans="5:9" ht="16.5" hidden="1">
      <c r="E37585" s="4" t="str">
        <v/>
      </c>
      <c r="F37585" s="102" t="str">
        <f ca="1">IFERROR(__xludf.DUMMYFUNCTION("IMPORTRANGE(H37585,""IDENTITAS UNIT!D9"")"),"#N/A")</f>
        <v>#N/A</v>
      </c>
      <c r="H37585" s="4" t="str">
        <v/>
      </c>
      <c r="I37585" s="4" t="str">
        <v/>
      </c>
    </row>
    <row r="37586" spans="5:9" ht="16.5" hidden="1">
      <c r="E37586" s="4" t="str">
        <v/>
      </c>
      <c r="F37586" s="102" t="str">
        <f ca="1">IFERROR(__xludf.DUMMYFUNCTION("IMPORTRANGE(H37586,""IDENTITAS UNIT!D9"")"),"#N/A")</f>
        <v>#N/A</v>
      </c>
      <c r="H37586" s="4" t="str">
        <v/>
      </c>
      <c r="I37586" s="4" t="str">
        <v/>
      </c>
    </row>
    <row r="37587" spans="5:9" ht="16.5" hidden="1">
      <c r="E37587" s="4" t="str">
        <v/>
      </c>
      <c r="F37587" s="102" t="str">
        <f ca="1">IFERROR(__xludf.DUMMYFUNCTION("IMPORTRANGE(H37587,""IDENTITAS UNIT!D9"")"),"#N/A")</f>
        <v>#N/A</v>
      </c>
      <c r="H37587" s="4" t="str">
        <v/>
      </c>
      <c r="I37587" s="4" t="str">
        <v/>
      </c>
    </row>
    <row r="37588" spans="5:9" ht="16.5" hidden="1">
      <c r="E37588" s="4" t="str">
        <v/>
      </c>
      <c r="F37588" s="102" t="str">
        <f ca="1">IFERROR(__xludf.DUMMYFUNCTION("IMPORTRANGE(H37588,""IDENTITAS UNIT!D9"")"),"#N/A")</f>
        <v>#N/A</v>
      </c>
      <c r="H37588" s="4" t="str">
        <v/>
      </c>
      <c r="I37588" s="4" t="str">
        <v/>
      </c>
    </row>
    <row r="37589" spans="5:9" ht="16.5" hidden="1">
      <c r="E37589" s="4" t="str">
        <v/>
      </c>
      <c r="F37589" s="102" t="str">
        <f ca="1">IFERROR(__xludf.DUMMYFUNCTION("IMPORTRANGE(H37589,""IDENTITAS UNIT!D9"")"),"#N/A")</f>
        <v>#N/A</v>
      </c>
      <c r="H37589" s="4" t="str">
        <v/>
      </c>
      <c r="I37589" s="4" t="str">
        <v/>
      </c>
    </row>
    <row r="37590" spans="5:9" ht="16.5" hidden="1">
      <c r="E37590" s="4" t="str">
        <v/>
      </c>
      <c r="F37590" s="102" t="str">
        <f ca="1">IFERROR(__xludf.DUMMYFUNCTION("IMPORTRANGE(H37590,""IDENTITAS UNIT!D9"")"),"#N/A")</f>
        <v>#N/A</v>
      </c>
      <c r="H37590" s="4" t="str">
        <v/>
      </c>
      <c r="I37590" s="4" t="str">
        <v/>
      </c>
    </row>
    <row r="37591" spans="5:9" ht="16.5" hidden="1">
      <c r="E37591" s="4" t="str">
        <v/>
      </c>
      <c r="F37591" s="102" t="str">
        <f ca="1">IFERROR(__xludf.DUMMYFUNCTION("IMPORTRANGE(H37591,""IDENTITAS UNIT!D9"")"),"#N/A")</f>
        <v>#N/A</v>
      </c>
      <c r="H37591" s="4" t="str">
        <v/>
      </c>
      <c r="I37591" s="4" t="str">
        <v/>
      </c>
    </row>
    <row r="37592" spans="5:9" ht="16.5" hidden="1">
      <c r="E37592" s="4" t="str">
        <v/>
      </c>
      <c r="F37592" s="102" t="str">
        <f ca="1">IFERROR(__xludf.DUMMYFUNCTION("IMPORTRANGE(H37592,""IDENTITAS UNIT!D9"")"),"#N/A")</f>
        <v>#N/A</v>
      </c>
      <c r="H37592" s="4" t="str">
        <v/>
      </c>
      <c r="I37592" s="4" t="str">
        <v/>
      </c>
    </row>
    <row r="37593" spans="5:9" ht="16.5" hidden="1">
      <c r="E37593" s="4" t="str">
        <v/>
      </c>
      <c r="F37593" s="102" t="str">
        <f ca="1">IFERROR(__xludf.DUMMYFUNCTION("IMPORTRANGE(H37593,""IDENTITAS UNIT!D9"")"),"#N/A")</f>
        <v>#N/A</v>
      </c>
      <c r="H37593" s="4" t="str">
        <v/>
      </c>
      <c r="I37593" s="4" t="str">
        <v/>
      </c>
    </row>
    <row r="37594" spans="5:9" ht="16.5" hidden="1">
      <c r="E37594" s="4" t="str">
        <v/>
      </c>
      <c r="F37594" s="102" t="str">
        <f ca="1">IFERROR(__xludf.DUMMYFUNCTION("IMPORTRANGE(H37594,""IDENTITAS UNIT!D9"")"),"#N/A")</f>
        <v>#N/A</v>
      </c>
      <c r="H37594" s="4" t="str">
        <v/>
      </c>
      <c r="I37594" s="4" t="str">
        <v/>
      </c>
    </row>
    <row r="37595" spans="5:9" ht="16.5" hidden="1">
      <c r="E37595" s="4" t="str">
        <v/>
      </c>
      <c r="F37595" s="102" t="str">
        <f ca="1">IFERROR(__xludf.DUMMYFUNCTION("IMPORTRANGE(H37595,""IDENTITAS UNIT!D9"")"),"#N/A")</f>
        <v>#N/A</v>
      </c>
      <c r="H37595" s="4" t="str">
        <v/>
      </c>
      <c r="I37595" s="4" t="str">
        <v/>
      </c>
    </row>
    <row r="37596" spans="5:9" ht="16.5" hidden="1">
      <c r="E37596" s="4" t="str">
        <v/>
      </c>
      <c r="F37596" s="102" t="str">
        <f ca="1">IFERROR(__xludf.DUMMYFUNCTION("IMPORTRANGE(H37596,""IDENTITAS UNIT!D9"")"),"#N/A")</f>
        <v>#N/A</v>
      </c>
      <c r="H37596" s="4" t="str">
        <v/>
      </c>
      <c r="I37596" s="4" t="str">
        <v/>
      </c>
    </row>
    <row r="37597" spans="5:9" ht="16.5" hidden="1">
      <c r="E37597" s="4" t="str">
        <v/>
      </c>
      <c r="F37597" s="102" t="str">
        <f ca="1">IFERROR(__xludf.DUMMYFUNCTION("IMPORTRANGE(H37597,""IDENTITAS UNIT!D9"")"),"#N/A")</f>
        <v>#N/A</v>
      </c>
      <c r="H37597" s="4" t="str">
        <v/>
      </c>
      <c r="I37597" s="4" t="str">
        <v/>
      </c>
    </row>
    <row r="37598" spans="5:9" ht="16.5" hidden="1">
      <c r="E37598" s="4" t="str">
        <v/>
      </c>
      <c r="F37598" s="102" t="str">
        <f ca="1">IFERROR(__xludf.DUMMYFUNCTION("IMPORTRANGE(H37598,""IDENTITAS UNIT!D9"")"),"#N/A")</f>
        <v>#N/A</v>
      </c>
      <c r="H37598" s="4" t="str">
        <v/>
      </c>
      <c r="I37598" s="4" t="str">
        <v/>
      </c>
    </row>
    <row r="37599" spans="5:9" ht="16.5" hidden="1">
      <c r="E37599" s="4" t="str">
        <v/>
      </c>
      <c r="F37599" s="102" t="str">
        <f ca="1">IFERROR(__xludf.DUMMYFUNCTION("IMPORTRANGE(H37599,""IDENTITAS UNIT!D9"")"),"#N/A")</f>
        <v>#N/A</v>
      </c>
      <c r="H37599" s="4" t="str">
        <v/>
      </c>
      <c r="I37599" s="4" t="str">
        <v/>
      </c>
    </row>
    <row r="37600" spans="5:9" ht="16.5" hidden="1">
      <c r="E37600" s="4" t="str">
        <v/>
      </c>
      <c r="F37600" s="102" t="str">
        <f ca="1">IFERROR(__xludf.DUMMYFUNCTION("IMPORTRANGE(H37600,""IDENTITAS UNIT!D9"")"),"#N/A")</f>
        <v>#N/A</v>
      </c>
      <c r="H37600" s="4" t="str">
        <v/>
      </c>
      <c r="I37600" s="4" t="str">
        <v/>
      </c>
    </row>
    <row r="37601" spans="5:9" ht="16.5" hidden="1">
      <c r="E37601" s="4" t="str">
        <v/>
      </c>
      <c r="F37601" s="102" t="str">
        <f ca="1">IFERROR(__xludf.DUMMYFUNCTION("IMPORTRANGE(H37601,""IDENTITAS UNIT!D9"")"),"#N/A")</f>
        <v>#N/A</v>
      </c>
      <c r="H37601" s="4" t="str">
        <v/>
      </c>
      <c r="I37601" s="4" t="str">
        <v/>
      </c>
    </row>
    <row r="37602" spans="5:9" ht="16.5" hidden="1">
      <c r="E37602" s="4" t="str">
        <v/>
      </c>
      <c r="F37602" s="102" t="str">
        <f ca="1">IFERROR(__xludf.DUMMYFUNCTION("IMPORTRANGE(H37602,""IDENTITAS UNIT!D9"")"),"#N/A")</f>
        <v>#N/A</v>
      </c>
      <c r="H37602" s="4" t="str">
        <v/>
      </c>
      <c r="I37602" s="4" t="str">
        <v/>
      </c>
    </row>
    <row r="37603" spans="5:9" ht="16.5" hidden="1">
      <c r="E37603" s="4" t="str">
        <v/>
      </c>
      <c r="F37603" s="102" t="str">
        <f ca="1">IFERROR(__xludf.DUMMYFUNCTION("IMPORTRANGE(H37603,""IDENTITAS UNIT!D9"")"),"#N/A")</f>
        <v>#N/A</v>
      </c>
      <c r="H37603" s="4" t="str">
        <v/>
      </c>
      <c r="I37603" s="4" t="str">
        <v/>
      </c>
    </row>
    <row r="37604" spans="5:9" ht="16.5" hidden="1">
      <c r="E37604" s="4" t="str">
        <v/>
      </c>
      <c r="F37604" s="102" t="str">
        <f ca="1">IFERROR(__xludf.DUMMYFUNCTION("IMPORTRANGE(H37604,""IDENTITAS UNIT!D9"")"),"#N/A")</f>
        <v>#N/A</v>
      </c>
      <c r="H37604" s="4" t="str">
        <v/>
      </c>
      <c r="I37604" s="4" t="str">
        <v/>
      </c>
    </row>
    <row r="37605" spans="5:9" ht="16.5" hidden="1">
      <c r="E37605" s="4" t="str">
        <v/>
      </c>
      <c r="F37605" s="102" t="str">
        <f ca="1">IFERROR(__xludf.DUMMYFUNCTION("IMPORTRANGE(H37605,""IDENTITAS UNIT!D9"")"),"#N/A")</f>
        <v>#N/A</v>
      </c>
      <c r="H37605" s="4" t="str">
        <v/>
      </c>
      <c r="I37605" s="4" t="str">
        <v/>
      </c>
    </row>
    <row r="37606" spans="5:9" ht="16.5" hidden="1">
      <c r="E37606" s="4" t="str">
        <v/>
      </c>
      <c r="F37606" s="102" t="str">
        <f ca="1">IFERROR(__xludf.DUMMYFUNCTION("IMPORTRANGE(H37606,""IDENTITAS UNIT!D9"")"),"#N/A")</f>
        <v>#N/A</v>
      </c>
      <c r="H37606" s="4" t="str">
        <v/>
      </c>
      <c r="I37606" s="4" t="str">
        <v/>
      </c>
    </row>
    <row r="37607" spans="5:9" ht="16.5" hidden="1">
      <c r="E37607" s="4" t="str">
        <v/>
      </c>
      <c r="F37607" s="102" t="str">
        <f ca="1">IFERROR(__xludf.DUMMYFUNCTION("IMPORTRANGE(H37607,""IDENTITAS UNIT!D9"")"),"#N/A")</f>
        <v>#N/A</v>
      </c>
      <c r="H37607" s="4" t="str">
        <v/>
      </c>
      <c r="I37607" s="4" t="str">
        <v/>
      </c>
    </row>
    <row r="37608" spans="5:9" ht="16.5" hidden="1">
      <c r="E37608" s="4" t="str">
        <v/>
      </c>
      <c r="F37608" s="102" t="str">
        <f ca="1">IFERROR(__xludf.DUMMYFUNCTION("IMPORTRANGE(H37608,""IDENTITAS UNIT!D9"")"),"#N/A")</f>
        <v>#N/A</v>
      </c>
      <c r="H37608" s="4" t="str">
        <v/>
      </c>
      <c r="I37608" s="4" t="str">
        <v/>
      </c>
    </row>
    <row r="37609" spans="5:9" ht="16.5" hidden="1">
      <c r="E37609" s="4" t="str">
        <v/>
      </c>
      <c r="F37609" s="102" t="str">
        <f ca="1">IFERROR(__xludf.DUMMYFUNCTION("IMPORTRANGE(H37609,""IDENTITAS UNIT!D9"")"),"#N/A")</f>
        <v>#N/A</v>
      </c>
      <c r="H37609" s="4" t="str">
        <v/>
      </c>
      <c r="I37609" s="4" t="str">
        <v/>
      </c>
    </row>
    <row r="37610" spans="5:9" ht="16.5" hidden="1">
      <c r="E37610" s="4" t="str">
        <v/>
      </c>
      <c r="F37610" s="102" t="str">
        <f ca="1">IFERROR(__xludf.DUMMYFUNCTION("IMPORTRANGE(H37610,""IDENTITAS UNIT!D9"")"),"#N/A")</f>
        <v>#N/A</v>
      </c>
      <c r="H37610" s="4" t="str">
        <v/>
      </c>
      <c r="I37610" s="4" t="str">
        <v/>
      </c>
    </row>
    <row r="37611" spans="5:9" ht="16.5" hidden="1">
      <c r="E37611" s="4" t="str">
        <v/>
      </c>
      <c r="F37611" s="102" t="str">
        <f ca="1">IFERROR(__xludf.DUMMYFUNCTION("IMPORTRANGE(H37611,""IDENTITAS UNIT!D9"")"),"#N/A")</f>
        <v>#N/A</v>
      </c>
      <c r="H37611" s="4" t="str">
        <v/>
      </c>
      <c r="I37611" s="4" t="str">
        <v/>
      </c>
    </row>
    <row r="37612" spans="5:9" ht="16.5" hidden="1">
      <c r="E37612" s="4" t="str">
        <v/>
      </c>
      <c r="F37612" s="102" t="str">
        <f ca="1">IFERROR(__xludf.DUMMYFUNCTION("IMPORTRANGE(H37612,""IDENTITAS UNIT!D9"")"),"#N/A")</f>
        <v>#N/A</v>
      </c>
      <c r="H37612" s="4" t="str">
        <v/>
      </c>
      <c r="I37612" s="4" t="str">
        <v/>
      </c>
    </row>
    <row r="37613" spans="5:9" ht="16.5" hidden="1">
      <c r="E37613" s="4" t="str">
        <v/>
      </c>
      <c r="F37613" s="102" t="str">
        <f ca="1">IFERROR(__xludf.DUMMYFUNCTION("IMPORTRANGE(H37613,""IDENTITAS UNIT!D9"")"),"#N/A")</f>
        <v>#N/A</v>
      </c>
      <c r="H37613" s="4" t="str">
        <v/>
      </c>
      <c r="I37613" s="4" t="str">
        <v/>
      </c>
    </row>
    <row r="37614" spans="5:9" ht="16.5" hidden="1">
      <c r="E37614" s="4" t="str">
        <v/>
      </c>
      <c r="F37614" s="102" t="str">
        <f ca="1">IFERROR(__xludf.DUMMYFUNCTION("IMPORTRANGE(H37614,""IDENTITAS UNIT!D9"")"),"#N/A")</f>
        <v>#N/A</v>
      </c>
      <c r="H37614" s="4" t="str">
        <v/>
      </c>
      <c r="I37614" s="4" t="str">
        <v/>
      </c>
    </row>
    <row r="37615" spans="5:9" ht="16.5" hidden="1">
      <c r="E37615" s="4" t="str">
        <v/>
      </c>
      <c r="F37615" s="102" t="str">
        <f ca="1">IFERROR(__xludf.DUMMYFUNCTION("IMPORTRANGE(H37615,""IDENTITAS UNIT!D9"")"),"#N/A")</f>
        <v>#N/A</v>
      </c>
      <c r="H37615" s="4" t="str">
        <v/>
      </c>
      <c r="I37615" s="4" t="str">
        <v/>
      </c>
    </row>
    <row r="37616" spans="5:9" ht="16.5" hidden="1">
      <c r="E37616" s="4" t="str">
        <v/>
      </c>
      <c r="F37616" s="102" t="str">
        <f ca="1">IFERROR(__xludf.DUMMYFUNCTION("IMPORTRANGE(H37616,""IDENTITAS UNIT!D9"")"),"#N/A")</f>
        <v>#N/A</v>
      </c>
      <c r="H37616" s="4" t="str">
        <v/>
      </c>
      <c r="I37616" s="4" t="str">
        <v/>
      </c>
    </row>
    <row r="37617" spans="5:9" ht="16.5" hidden="1">
      <c r="E37617" s="4" t="str">
        <v/>
      </c>
      <c r="F37617" s="102" t="str">
        <f ca="1">IFERROR(__xludf.DUMMYFUNCTION("IMPORTRANGE(H37617,""IDENTITAS UNIT!D9"")"),"#N/A")</f>
        <v>#N/A</v>
      </c>
      <c r="H37617" s="4" t="str">
        <v/>
      </c>
      <c r="I37617" s="4" t="str">
        <v/>
      </c>
    </row>
    <row r="37618" spans="5:9" ht="16.5" hidden="1">
      <c r="E37618" s="4" t="str">
        <v/>
      </c>
      <c r="F37618" s="102" t="str">
        <f ca="1">IFERROR(__xludf.DUMMYFUNCTION("IMPORTRANGE(H37618,""IDENTITAS UNIT!D9"")"),"#N/A")</f>
        <v>#N/A</v>
      </c>
      <c r="H37618" s="4" t="str">
        <v/>
      </c>
      <c r="I37618" s="4" t="str">
        <v/>
      </c>
    </row>
    <row r="37619" spans="5:9" ht="16.5" hidden="1">
      <c r="E37619" s="4" t="str">
        <v/>
      </c>
      <c r="F37619" s="102" t="str">
        <f ca="1">IFERROR(__xludf.DUMMYFUNCTION("IMPORTRANGE(H37619,""IDENTITAS UNIT!D9"")"),"#N/A")</f>
        <v>#N/A</v>
      </c>
      <c r="H37619" s="4" t="str">
        <v/>
      </c>
      <c r="I37619" s="4" t="str">
        <v/>
      </c>
    </row>
    <row r="37620" spans="5:9" ht="16.5" hidden="1">
      <c r="E37620" s="4" t="str">
        <v/>
      </c>
      <c r="F37620" s="102" t="str">
        <f ca="1">IFERROR(__xludf.DUMMYFUNCTION("IMPORTRANGE(H37620,""IDENTITAS UNIT!D9"")"),"#N/A")</f>
        <v>#N/A</v>
      </c>
      <c r="H37620" s="4" t="str">
        <v/>
      </c>
      <c r="I37620" s="4" t="str">
        <v/>
      </c>
    </row>
    <row r="37621" spans="5:9" ht="16.5" hidden="1">
      <c r="E37621" s="4" t="str">
        <v/>
      </c>
      <c r="F37621" s="102" t="str">
        <f ca="1">IFERROR(__xludf.DUMMYFUNCTION("IMPORTRANGE(H37621,""IDENTITAS UNIT!D9"")"),"#N/A")</f>
        <v>#N/A</v>
      </c>
      <c r="H37621" s="4" t="str">
        <v/>
      </c>
      <c r="I37621" s="4" t="str">
        <v/>
      </c>
    </row>
    <row r="37622" spans="5:9" ht="16.5" hidden="1">
      <c r="E37622" s="4" t="str">
        <v/>
      </c>
      <c r="F37622" s="102" t="str">
        <f ca="1">IFERROR(__xludf.DUMMYFUNCTION("IMPORTRANGE(H37622,""IDENTITAS UNIT!D9"")"),"#N/A")</f>
        <v>#N/A</v>
      </c>
      <c r="H37622" s="4" t="str">
        <v/>
      </c>
      <c r="I37622" s="4" t="str">
        <v/>
      </c>
    </row>
    <row r="37623" spans="5:9" ht="16.5" hidden="1">
      <c r="E37623" s="4" t="str">
        <v/>
      </c>
      <c r="F37623" s="102" t="str">
        <f ca="1">IFERROR(__xludf.DUMMYFUNCTION("IMPORTRANGE(H37623,""IDENTITAS UNIT!D9"")"),"#N/A")</f>
        <v>#N/A</v>
      </c>
      <c r="H37623" s="4" t="str">
        <v/>
      </c>
      <c r="I37623" s="4" t="str">
        <v/>
      </c>
    </row>
    <row r="37624" spans="5:9" ht="16.5" hidden="1">
      <c r="E37624" s="4" t="str">
        <v/>
      </c>
      <c r="F37624" s="102" t="str">
        <f ca="1">IFERROR(__xludf.DUMMYFUNCTION("IMPORTRANGE(H37624,""IDENTITAS UNIT!D9"")"),"#N/A")</f>
        <v>#N/A</v>
      </c>
      <c r="H37624" s="4" t="str">
        <v/>
      </c>
      <c r="I37624" s="4" t="str">
        <v/>
      </c>
    </row>
    <row r="37625" spans="5:9" ht="16.5" hidden="1">
      <c r="E37625" s="4" t="str">
        <v/>
      </c>
      <c r="F37625" s="102" t="str">
        <f ca="1">IFERROR(__xludf.DUMMYFUNCTION("IMPORTRANGE(H37625,""IDENTITAS UNIT!D9"")"),"#N/A")</f>
        <v>#N/A</v>
      </c>
      <c r="H37625" s="4" t="str">
        <v/>
      </c>
      <c r="I37625" s="4" t="str">
        <v/>
      </c>
    </row>
    <row r="37626" spans="5:9" ht="16.5" hidden="1">
      <c r="E37626" s="4" t="str">
        <v/>
      </c>
      <c r="F37626" s="102" t="str">
        <f ca="1">IFERROR(__xludf.DUMMYFUNCTION("IMPORTRANGE(H37626,""IDENTITAS UNIT!D9"")"),"#N/A")</f>
        <v>#N/A</v>
      </c>
      <c r="H37626" s="4" t="str">
        <v/>
      </c>
      <c r="I37626" s="4" t="str">
        <v/>
      </c>
    </row>
    <row r="37627" spans="5:9" ht="16.5" hidden="1">
      <c r="E37627" s="4" t="str">
        <v/>
      </c>
      <c r="F37627" s="102" t="str">
        <f ca="1">IFERROR(__xludf.DUMMYFUNCTION("IMPORTRANGE(H37627,""IDENTITAS UNIT!D9"")"),"#N/A")</f>
        <v>#N/A</v>
      </c>
      <c r="H37627" s="4" t="str">
        <v/>
      </c>
      <c r="I37627" s="4" t="str">
        <v/>
      </c>
    </row>
    <row r="37628" spans="5:9" ht="16.5" hidden="1">
      <c r="E37628" s="4" t="str">
        <v/>
      </c>
      <c r="F37628" s="102" t="str">
        <f ca="1">IFERROR(__xludf.DUMMYFUNCTION("IMPORTRANGE(H37628,""IDENTITAS UNIT!D9"")"),"#N/A")</f>
        <v>#N/A</v>
      </c>
      <c r="H37628" s="4" t="str">
        <v/>
      </c>
      <c r="I37628" s="4" t="str">
        <v/>
      </c>
    </row>
    <row r="37629" spans="5:9" ht="16.5" hidden="1">
      <c r="E37629" s="4" t="str">
        <v/>
      </c>
      <c r="F37629" s="102" t="str">
        <f ca="1">IFERROR(__xludf.DUMMYFUNCTION("IMPORTRANGE(H37629,""IDENTITAS UNIT!D9"")"),"#N/A")</f>
        <v>#N/A</v>
      </c>
      <c r="H37629" s="4" t="str">
        <v/>
      </c>
      <c r="I37629" s="4" t="str">
        <v/>
      </c>
    </row>
    <row r="37630" spans="5:9" ht="16.5" hidden="1">
      <c r="E37630" s="4" t="str">
        <v/>
      </c>
      <c r="F37630" s="102" t="str">
        <f ca="1">IFERROR(__xludf.DUMMYFUNCTION("IMPORTRANGE(H37630,""IDENTITAS UNIT!D9"")"),"#N/A")</f>
        <v>#N/A</v>
      </c>
      <c r="H37630" s="4" t="str">
        <v/>
      </c>
      <c r="I37630" s="4" t="str">
        <v/>
      </c>
    </row>
    <row r="37631" spans="5:9" ht="16.5" hidden="1">
      <c r="E37631" s="4" t="str">
        <v/>
      </c>
      <c r="F37631" s="102" t="str">
        <f ca="1">IFERROR(__xludf.DUMMYFUNCTION("IMPORTRANGE(H37631,""IDENTITAS UNIT!D9"")"),"#N/A")</f>
        <v>#N/A</v>
      </c>
      <c r="H37631" s="4" t="str">
        <v/>
      </c>
      <c r="I37631" s="4" t="str">
        <v/>
      </c>
    </row>
    <row r="37632" spans="5:9" ht="16.5" hidden="1">
      <c r="E37632" s="4" t="str">
        <v/>
      </c>
      <c r="F37632" s="102" t="str">
        <f ca="1">IFERROR(__xludf.DUMMYFUNCTION("IMPORTRANGE(H37632,""IDENTITAS UNIT!D9"")"),"#N/A")</f>
        <v>#N/A</v>
      </c>
      <c r="H37632" s="4" t="str">
        <v/>
      </c>
      <c r="I37632" s="4" t="str">
        <v/>
      </c>
    </row>
    <row r="37633" spans="5:9" ht="16.5" hidden="1">
      <c r="E37633" s="4" t="str">
        <v/>
      </c>
      <c r="F37633" s="102" t="str">
        <f ca="1">IFERROR(__xludf.DUMMYFUNCTION("IMPORTRANGE(H37633,""IDENTITAS UNIT!D9"")"),"#N/A")</f>
        <v>#N/A</v>
      </c>
      <c r="H37633" s="4" t="str">
        <v/>
      </c>
      <c r="I37633" s="4" t="str">
        <v/>
      </c>
    </row>
    <row r="37634" spans="5:9" ht="16.5" hidden="1">
      <c r="E37634" s="4" t="str">
        <v/>
      </c>
      <c r="F37634" s="102" t="str">
        <f ca="1">IFERROR(__xludf.DUMMYFUNCTION("IMPORTRANGE(H37634,""IDENTITAS UNIT!D9"")"),"#N/A")</f>
        <v>#N/A</v>
      </c>
      <c r="H37634" s="4" t="str">
        <v/>
      </c>
      <c r="I37634" s="4" t="str">
        <v/>
      </c>
    </row>
    <row r="37635" spans="5:9" ht="16.5" hidden="1">
      <c r="E37635" s="4" t="str">
        <v/>
      </c>
      <c r="F37635" s="102" t="str">
        <f ca="1">IFERROR(__xludf.DUMMYFUNCTION("IMPORTRANGE(H37635,""IDENTITAS UNIT!D9"")"),"#N/A")</f>
        <v>#N/A</v>
      </c>
      <c r="H37635" s="4" t="str">
        <v/>
      </c>
      <c r="I37635" s="4" t="str">
        <v/>
      </c>
    </row>
    <row r="37636" spans="5:9" ht="16.5" hidden="1">
      <c r="E37636" s="4" t="str">
        <v/>
      </c>
      <c r="F37636" s="102" t="str">
        <f ca="1">IFERROR(__xludf.DUMMYFUNCTION("IMPORTRANGE(H37636,""IDENTITAS UNIT!D9"")"),"#N/A")</f>
        <v>#N/A</v>
      </c>
      <c r="H37636" s="4" t="str">
        <v/>
      </c>
      <c r="I37636" s="4" t="str">
        <v/>
      </c>
    </row>
    <row r="37637" spans="5:9" ht="16.5" hidden="1">
      <c r="E37637" s="4" t="str">
        <v/>
      </c>
      <c r="F37637" s="102" t="str">
        <f ca="1">IFERROR(__xludf.DUMMYFUNCTION("IMPORTRANGE(H37637,""IDENTITAS UNIT!D9"")"),"#N/A")</f>
        <v>#N/A</v>
      </c>
      <c r="H37637" s="4" t="str">
        <v/>
      </c>
      <c r="I37637" s="4" t="str">
        <v/>
      </c>
    </row>
    <row r="37638" spans="5:9" ht="16.5" hidden="1">
      <c r="E37638" s="4" t="str">
        <v/>
      </c>
      <c r="F37638" s="102" t="str">
        <f ca="1">IFERROR(__xludf.DUMMYFUNCTION("IMPORTRANGE(H37638,""IDENTITAS UNIT!D9"")"),"#N/A")</f>
        <v>#N/A</v>
      </c>
      <c r="H37638" s="4" t="str">
        <v/>
      </c>
      <c r="I37638" s="4" t="str">
        <v/>
      </c>
    </row>
    <row r="37639" spans="5:9" ht="16.5" hidden="1">
      <c r="E37639" s="4" t="str">
        <v/>
      </c>
      <c r="F37639" s="102" t="str">
        <f ca="1">IFERROR(__xludf.DUMMYFUNCTION("IMPORTRANGE(H37639,""IDENTITAS UNIT!D9"")"),"#N/A")</f>
        <v>#N/A</v>
      </c>
      <c r="H37639" s="4" t="str">
        <v/>
      </c>
      <c r="I37639" s="4" t="str">
        <v/>
      </c>
    </row>
    <row r="37640" spans="5:9" ht="16.5" hidden="1">
      <c r="E37640" s="4" t="str">
        <v/>
      </c>
      <c r="F37640" s="102" t="str">
        <f ca="1">IFERROR(__xludf.DUMMYFUNCTION("IMPORTRANGE(H37640,""IDENTITAS UNIT!D9"")"),"#N/A")</f>
        <v>#N/A</v>
      </c>
      <c r="H37640" s="4" t="str">
        <v/>
      </c>
      <c r="I37640" s="4" t="str">
        <v/>
      </c>
    </row>
    <row r="37641" spans="5:9" ht="16.5" hidden="1">
      <c r="E37641" s="4" t="str">
        <v/>
      </c>
      <c r="F37641" s="102" t="str">
        <f ca="1">IFERROR(__xludf.DUMMYFUNCTION("IMPORTRANGE(H37641,""IDENTITAS UNIT!D9"")"),"#N/A")</f>
        <v>#N/A</v>
      </c>
      <c r="H37641" s="4" t="str">
        <v/>
      </c>
      <c r="I37641" s="4" t="str">
        <v/>
      </c>
    </row>
    <row r="37642" spans="5:9" ht="16.5" hidden="1">
      <c r="E37642" s="4" t="str">
        <v/>
      </c>
      <c r="F37642" s="102" t="str">
        <f ca="1">IFERROR(__xludf.DUMMYFUNCTION("IMPORTRANGE(H37642,""IDENTITAS UNIT!D9"")"),"#N/A")</f>
        <v>#N/A</v>
      </c>
      <c r="H37642" s="4" t="str">
        <v/>
      </c>
      <c r="I37642" s="4" t="str">
        <v/>
      </c>
    </row>
    <row r="37643" spans="5:9" ht="16.5" hidden="1">
      <c r="E37643" s="4" t="str">
        <v/>
      </c>
      <c r="F37643" s="102" t="str">
        <f ca="1">IFERROR(__xludf.DUMMYFUNCTION("IMPORTRANGE(H37643,""IDENTITAS UNIT!D9"")"),"#N/A")</f>
        <v>#N/A</v>
      </c>
      <c r="H37643" s="4" t="str">
        <v/>
      </c>
      <c r="I37643" s="4" t="str">
        <v/>
      </c>
    </row>
    <row r="37644" spans="5:9" ht="16.5" hidden="1">
      <c r="E37644" s="4" t="str">
        <v/>
      </c>
      <c r="F37644" s="102" t="str">
        <f ca="1">IFERROR(__xludf.DUMMYFUNCTION("IMPORTRANGE(H37644,""IDENTITAS UNIT!D9"")"),"#N/A")</f>
        <v>#N/A</v>
      </c>
      <c r="H37644" s="4" t="str">
        <v/>
      </c>
      <c r="I37644" s="4" t="str">
        <v/>
      </c>
    </row>
    <row r="37645" spans="5:9" ht="16.5" hidden="1">
      <c r="E37645" s="4" t="str">
        <v/>
      </c>
      <c r="F37645" s="102" t="str">
        <f ca="1">IFERROR(__xludf.DUMMYFUNCTION("IMPORTRANGE(H37645,""IDENTITAS UNIT!D9"")"),"#N/A")</f>
        <v>#N/A</v>
      </c>
      <c r="H37645" s="4" t="str">
        <v/>
      </c>
      <c r="I37645" s="4" t="str">
        <v/>
      </c>
    </row>
    <row r="37646" spans="5:9" ht="16.5" hidden="1">
      <c r="E37646" s="4" t="str">
        <v/>
      </c>
      <c r="F37646" s="102" t="str">
        <f ca="1">IFERROR(__xludf.DUMMYFUNCTION("IMPORTRANGE(H37646,""IDENTITAS UNIT!D9"")"),"#N/A")</f>
        <v>#N/A</v>
      </c>
      <c r="H37646" s="4" t="str">
        <v/>
      </c>
      <c r="I37646" s="4" t="str">
        <v/>
      </c>
    </row>
    <row r="37647" spans="5:9" ht="16.5" hidden="1">
      <c r="E37647" s="4" t="str">
        <v/>
      </c>
      <c r="F37647" s="102" t="str">
        <f ca="1">IFERROR(__xludf.DUMMYFUNCTION("IMPORTRANGE(H37647,""IDENTITAS UNIT!D9"")"),"#N/A")</f>
        <v>#N/A</v>
      </c>
      <c r="H37647" s="4" t="str">
        <v/>
      </c>
      <c r="I37647" s="4" t="str">
        <v/>
      </c>
    </row>
    <row r="37648" spans="5:9" ht="16.5" hidden="1">
      <c r="E37648" s="4" t="str">
        <v/>
      </c>
      <c r="F37648" s="102" t="str">
        <f ca="1">IFERROR(__xludf.DUMMYFUNCTION("IMPORTRANGE(H37648,""IDENTITAS UNIT!D9"")"),"#N/A")</f>
        <v>#N/A</v>
      </c>
      <c r="H37648" s="4" t="str">
        <v/>
      </c>
      <c r="I37648" s="4" t="str">
        <v/>
      </c>
    </row>
    <row r="37649" spans="5:9" ht="16.5" hidden="1">
      <c r="E37649" s="4" t="str">
        <v/>
      </c>
      <c r="F37649" s="102" t="str">
        <f ca="1">IFERROR(__xludf.DUMMYFUNCTION("IMPORTRANGE(H37649,""IDENTITAS UNIT!D9"")"),"#N/A")</f>
        <v>#N/A</v>
      </c>
      <c r="H37649" s="4" t="str">
        <v/>
      </c>
      <c r="I37649" s="4" t="str">
        <v/>
      </c>
    </row>
    <row r="37650" spans="5:9" ht="16.5" hidden="1">
      <c r="E37650" s="4" t="str">
        <v/>
      </c>
      <c r="F37650" s="102" t="str">
        <f ca="1">IFERROR(__xludf.DUMMYFUNCTION("IMPORTRANGE(H37650,""IDENTITAS UNIT!D9"")"),"#N/A")</f>
        <v>#N/A</v>
      </c>
      <c r="H37650" s="4" t="str">
        <v/>
      </c>
      <c r="I37650" s="4" t="str">
        <v/>
      </c>
    </row>
    <row r="37651" spans="5:9" ht="16.5" hidden="1">
      <c r="E37651" s="4" t="str">
        <v/>
      </c>
      <c r="F37651" s="102" t="str">
        <f ca="1">IFERROR(__xludf.DUMMYFUNCTION("IMPORTRANGE(H37651,""IDENTITAS UNIT!D9"")"),"#N/A")</f>
        <v>#N/A</v>
      </c>
      <c r="H37651" s="4" t="str">
        <v/>
      </c>
      <c r="I37651" s="4" t="str">
        <v/>
      </c>
    </row>
    <row r="37652" spans="5:9" ht="16.5" hidden="1">
      <c r="E37652" s="4" t="str">
        <v/>
      </c>
      <c r="F37652" s="102" t="str">
        <f ca="1">IFERROR(__xludf.DUMMYFUNCTION("IMPORTRANGE(H37652,""IDENTITAS UNIT!D9"")"),"#N/A")</f>
        <v>#N/A</v>
      </c>
      <c r="H37652" s="4" t="str">
        <v/>
      </c>
      <c r="I37652" s="4" t="str">
        <v/>
      </c>
    </row>
    <row r="37653" spans="5:9" ht="16.5" hidden="1">
      <c r="E37653" s="4" t="str">
        <v/>
      </c>
      <c r="F37653" s="102" t="str">
        <f ca="1">IFERROR(__xludf.DUMMYFUNCTION("IMPORTRANGE(H37653,""IDENTITAS UNIT!D9"")"),"#N/A")</f>
        <v>#N/A</v>
      </c>
      <c r="H37653" s="4" t="str">
        <v/>
      </c>
      <c r="I37653" s="4" t="str">
        <v/>
      </c>
    </row>
    <row r="37654" spans="5:9" ht="16.5" hidden="1">
      <c r="E37654" s="4" t="str">
        <v/>
      </c>
      <c r="F37654" s="102" t="str">
        <f ca="1">IFERROR(__xludf.DUMMYFUNCTION("IMPORTRANGE(H37654,""IDENTITAS UNIT!D9"")"),"#N/A")</f>
        <v>#N/A</v>
      </c>
      <c r="H37654" s="4" t="str">
        <v/>
      </c>
      <c r="I37654" s="4" t="str">
        <v/>
      </c>
    </row>
    <row r="37655" spans="5:9" ht="16.5" hidden="1">
      <c r="E37655" s="4" t="str">
        <v/>
      </c>
      <c r="F37655" s="102" t="str">
        <f ca="1">IFERROR(__xludf.DUMMYFUNCTION("IMPORTRANGE(H37655,""IDENTITAS UNIT!D9"")"),"#N/A")</f>
        <v>#N/A</v>
      </c>
      <c r="H37655" s="4" t="str">
        <v/>
      </c>
      <c r="I37655" s="4" t="str">
        <v/>
      </c>
    </row>
    <row r="37656" spans="5:9" ht="16.5" hidden="1">
      <c r="E37656" s="4" t="str">
        <v/>
      </c>
      <c r="F37656" s="102" t="str">
        <f ca="1">IFERROR(__xludf.DUMMYFUNCTION("IMPORTRANGE(H37656,""IDENTITAS UNIT!D9"")"),"#N/A")</f>
        <v>#N/A</v>
      </c>
      <c r="H37656" s="4" t="str">
        <v/>
      </c>
      <c r="I37656" s="4" t="str">
        <v/>
      </c>
    </row>
    <row r="37657" spans="5:9" ht="16.5" hidden="1">
      <c r="E37657" s="4" t="str">
        <v/>
      </c>
      <c r="F37657" s="102" t="str">
        <f ca="1">IFERROR(__xludf.DUMMYFUNCTION("IMPORTRANGE(H37657,""IDENTITAS UNIT!D9"")"),"#N/A")</f>
        <v>#N/A</v>
      </c>
      <c r="H37657" s="4" t="str">
        <v/>
      </c>
      <c r="I37657" s="4" t="str">
        <v/>
      </c>
    </row>
    <row r="37658" spans="5:9" ht="16.5" hidden="1">
      <c r="E37658" s="4" t="str">
        <v/>
      </c>
      <c r="F37658" s="102" t="str">
        <f ca="1">IFERROR(__xludf.DUMMYFUNCTION("IMPORTRANGE(H37658,""IDENTITAS UNIT!D9"")"),"#N/A")</f>
        <v>#N/A</v>
      </c>
      <c r="H37658" s="4" t="str">
        <v/>
      </c>
      <c r="I37658" s="4" t="str">
        <v/>
      </c>
    </row>
    <row r="37659" spans="5:9" ht="16.5" hidden="1">
      <c r="E37659" s="4" t="str">
        <v/>
      </c>
      <c r="F37659" s="102" t="str">
        <f ca="1">IFERROR(__xludf.DUMMYFUNCTION("IMPORTRANGE(H37659,""IDENTITAS UNIT!D9"")"),"#N/A")</f>
        <v>#N/A</v>
      </c>
      <c r="H37659" s="4" t="str">
        <v/>
      </c>
      <c r="I37659" s="4" t="str">
        <v/>
      </c>
    </row>
    <row r="37660" spans="5:9" ht="16.5" hidden="1">
      <c r="E37660" s="4" t="str">
        <v/>
      </c>
      <c r="F37660" s="102" t="str">
        <f ca="1">IFERROR(__xludf.DUMMYFUNCTION("IMPORTRANGE(H37660,""IDENTITAS UNIT!D9"")"),"#N/A")</f>
        <v>#N/A</v>
      </c>
      <c r="H37660" s="4" t="str">
        <v/>
      </c>
      <c r="I37660" s="4" t="str">
        <v/>
      </c>
    </row>
    <row r="37661" spans="5:9" ht="16.5" hidden="1">
      <c r="E37661" s="4" t="str">
        <v/>
      </c>
      <c r="F37661" s="102" t="str">
        <f ca="1">IFERROR(__xludf.DUMMYFUNCTION("IMPORTRANGE(H37661,""IDENTITAS UNIT!D9"")"),"#N/A")</f>
        <v>#N/A</v>
      </c>
      <c r="H37661" s="4" t="str">
        <v/>
      </c>
      <c r="I37661" s="4" t="str">
        <v/>
      </c>
    </row>
    <row r="37662" spans="5:9" ht="16.5" hidden="1">
      <c r="E37662" s="4" t="str">
        <v/>
      </c>
      <c r="F37662" s="102" t="str">
        <f ca="1">IFERROR(__xludf.DUMMYFUNCTION("IMPORTRANGE(H37662,""IDENTITAS UNIT!D9"")"),"#N/A")</f>
        <v>#N/A</v>
      </c>
      <c r="H37662" s="4" t="str">
        <v/>
      </c>
      <c r="I37662" s="4" t="str">
        <v/>
      </c>
    </row>
    <row r="37663" spans="5:9" ht="16.5" hidden="1">
      <c r="E37663" s="4" t="str">
        <v/>
      </c>
      <c r="F37663" s="102" t="str">
        <f ca="1">IFERROR(__xludf.DUMMYFUNCTION("IMPORTRANGE(H37663,""IDENTITAS UNIT!D9"")"),"#N/A")</f>
        <v>#N/A</v>
      </c>
      <c r="H37663" s="4" t="str">
        <v/>
      </c>
      <c r="I37663" s="4" t="str">
        <v/>
      </c>
    </row>
    <row r="37664" spans="5:9" ht="16.5" hidden="1">
      <c r="E37664" s="4" t="str">
        <v/>
      </c>
      <c r="F37664" s="102" t="str">
        <f ca="1">IFERROR(__xludf.DUMMYFUNCTION("IMPORTRANGE(H37664,""IDENTITAS UNIT!D9"")"),"#N/A")</f>
        <v>#N/A</v>
      </c>
      <c r="H37664" s="4" t="str">
        <v/>
      </c>
      <c r="I37664" s="4" t="str">
        <v/>
      </c>
    </row>
    <row r="37665" spans="5:9" ht="16.5" hidden="1">
      <c r="E37665" s="4" t="str">
        <v/>
      </c>
      <c r="F37665" s="102" t="str">
        <f ca="1">IFERROR(__xludf.DUMMYFUNCTION("IMPORTRANGE(H37665,""IDENTITAS UNIT!D9"")"),"#N/A")</f>
        <v>#N/A</v>
      </c>
      <c r="H37665" s="4" t="str">
        <v/>
      </c>
      <c r="I37665" s="4" t="str">
        <v/>
      </c>
    </row>
    <row r="37666" spans="5:9" ht="16.5" hidden="1">
      <c r="E37666" s="4" t="str">
        <v/>
      </c>
      <c r="F37666" s="102" t="str">
        <f ca="1">IFERROR(__xludf.DUMMYFUNCTION("IMPORTRANGE(H37666,""IDENTITAS UNIT!D9"")"),"#N/A")</f>
        <v>#N/A</v>
      </c>
      <c r="H37666" s="4" t="str">
        <v/>
      </c>
      <c r="I37666" s="4" t="str">
        <v/>
      </c>
    </row>
    <row r="37667" spans="5:9" ht="16.5" hidden="1">
      <c r="E37667" s="4" t="str">
        <v/>
      </c>
      <c r="F37667" s="102" t="str">
        <f ca="1">IFERROR(__xludf.DUMMYFUNCTION("IMPORTRANGE(H37667,""IDENTITAS UNIT!D9"")"),"#N/A")</f>
        <v>#N/A</v>
      </c>
      <c r="H37667" s="4" t="str">
        <v/>
      </c>
      <c r="I37667" s="4" t="str">
        <v/>
      </c>
    </row>
    <row r="37668" spans="5:9" ht="16.5" hidden="1">
      <c r="E37668" s="4" t="str">
        <v/>
      </c>
      <c r="F37668" s="102" t="str">
        <f ca="1">IFERROR(__xludf.DUMMYFUNCTION("IMPORTRANGE(H37668,""IDENTITAS UNIT!D9"")"),"#N/A")</f>
        <v>#N/A</v>
      </c>
      <c r="H37668" s="4" t="str">
        <v/>
      </c>
      <c r="I37668" s="4" t="str">
        <v/>
      </c>
    </row>
    <row r="37669" spans="5:9" ht="16.5" hidden="1">
      <c r="E37669" s="4" t="str">
        <v/>
      </c>
      <c r="F37669" s="102" t="str">
        <f ca="1">IFERROR(__xludf.DUMMYFUNCTION("IMPORTRANGE(H37669,""IDENTITAS UNIT!D9"")"),"#N/A")</f>
        <v>#N/A</v>
      </c>
      <c r="H37669" s="4" t="str">
        <v/>
      </c>
      <c r="I37669" s="4" t="str">
        <v/>
      </c>
    </row>
    <row r="37670" spans="5:9" ht="16.5" hidden="1">
      <c r="E37670" s="4" t="str">
        <v/>
      </c>
      <c r="F37670" s="102" t="str">
        <f ca="1">IFERROR(__xludf.DUMMYFUNCTION("IMPORTRANGE(H37670,""IDENTITAS UNIT!D9"")"),"#N/A")</f>
        <v>#N/A</v>
      </c>
      <c r="H37670" s="4" t="str">
        <v/>
      </c>
      <c r="I37670" s="4" t="str">
        <v/>
      </c>
    </row>
    <row r="37671" spans="5:9" ht="16.5" hidden="1">
      <c r="E37671" s="4" t="str">
        <v/>
      </c>
      <c r="F37671" s="102" t="str">
        <f ca="1">IFERROR(__xludf.DUMMYFUNCTION("IMPORTRANGE(H37671,""IDENTITAS UNIT!D9"")"),"#N/A")</f>
        <v>#N/A</v>
      </c>
      <c r="H37671" s="4" t="str">
        <v/>
      </c>
      <c r="I37671" s="4" t="str">
        <v/>
      </c>
    </row>
    <row r="37672" spans="5:9" ht="16.5" hidden="1">
      <c r="E37672" s="4" t="str">
        <v/>
      </c>
      <c r="F37672" s="102" t="str">
        <f ca="1">IFERROR(__xludf.DUMMYFUNCTION("IMPORTRANGE(H37672,""IDENTITAS UNIT!D9"")"),"#N/A")</f>
        <v>#N/A</v>
      </c>
      <c r="H37672" s="4" t="str">
        <v/>
      </c>
      <c r="I37672" s="4" t="str">
        <v/>
      </c>
    </row>
    <row r="37673" spans="5:9" ht="16.5" hidden="1">
      <c r="E37673" s="4" t="str">
        <v/>
      </c>
      <c r="F37673" s="102" t="str">
        <f ca="1">IFERROR(__xludf.DUMMYFUNCTION("IMPORTRANGE(H37673,""IDENTITAS UNIT!D9"")"),"#N/A")</f>
        <v>#N/A</v>
      </c>
      <c r="H37673" s="4" t="str">
        <v/>
      </c>
      <c r="I37673" s="4" t="str">
        <v/>
      </c>
    </row>
    <row r="37674" spans="5:9" ht="16.5" hidden="1">
      <c r="E37674" s="4" t="str">
        <v/>
      </c>
      <c r="F37674" s="102" t="str">
        <f ca="1">IFERROR(__xludf.DUMMYFUNCTION("IMPORTRANGE(H37674,""IDENTITAS UNIT!D9"")"),"#N/A")</f>
        <v>#N/A</v>
      </c>
      <c r="H37674" s="4" t="str">
        <v/>
      </c>
      <c r="I37674" s="4" t="str">
        <v/>
      </c>
    </row>
    <row r="37675" spans="5:9" ht="16.5" hidden="1">
      <c r="E37675" s="4" t="str">
        <v/>
      </c>
      <c r="F37675" s="102" t="str">
        <f ca="1">IFERROR(__xludf.DUMMYFUNCTION("IMPORTRANGE(H37675,""IDENTITAS UNIT!D9"")"),"#N/A")</f>
        <v>#N/A</v>
      </c>
      <c r="H37675" s="4" t="str">
        <v/>
      </c>
      <c r="I37675" s="4" t="str">
        <v/>
      </c>
    </row>
    <row r="37676" spans="5:9" ht="16.5" hidden="1">
      <c r="E37676" s="4" t="str">
        <v/>
      </c>
      <c r="F37676" s="102" t="str">
        <f ca="1">IFERROR(__xludf.DUMMYFUNCTION("IMPORTRANGE(H37676,""IDENTITAS UNIT!D9"")"),"#N/A")</f>
        <v>#N/A</v>
      </c>
      <c r="H37676" s="4" t="str">
        <v/>
      </c>
      <c r="I37676" s="4" t="str">
        <v/>
      </c>
    </row>
    <row r="37677" spans="5:9" ht="16.5" hidden="1">
      <c r="E37677" s="4" t="str">
        <v/>
      </c>
      <c r="F37677" s="102" t="str">
        <f ca="1">IFERROR(__xludf.DUMMYFUNCTION("IMPORTRANGE(H37677,""IDENTITAS UNIT!D9"")"),"#N/A")</f>
        <v>#N/A</v>
      </c>
      <c r="H37677" s="4" t="str">
        <v/>
      </c>
      <c r="I37677" s="4" t="str">
        <v/>
      </c>
    </row>
    <row r="37678" spans="5:9" ht="16.5" hidden="1">
      <c r="E37678" s="4" t="str">
        <v/>
      </c>
      <c r="F37678" s="102" t="str">
        <f ca="1">IFERROR(__xludf.DUMMYFUNCTION("IMPORTRANGE(H37678,""IDENTITAS UNIT!D9"")"),"#N/A")</f>
        <v>#N/A</v>
      </c>
      <c r="H37678" s="4" t="str">
        <v/>
      </c>
      <c r="I37678" s="4" t="str">
        <v/>
      </c>
    </row>
    <row r="37679" spans="5:9" ht="16.5" hidden="1">
      <c r="E37679" s="4" t="str">
        <v/>
      </c>
      <c r="F37679" s="102" t="str">
        <f ca="1">IFERROR(__xludf.DUMMYFUNCTION("IMPORTRANGE(H37679,""IDENTITAS UNIT!D9"")"),"#N/A")</f>
        <v>#N/A</v>
      </c>
      <c r="H37679" s="4" t="str">
        <v/>
      </c>
      <c r="I37679" s="4" t="str">
        <v/>
      </c>
    </row>
    <row r="37680" spans="5:9" ht="16.5" hidden="1">
      <c r="E37680" s="4" t="str">
        <v/>
      </c>
      <c r="F37680" s="102" t="str">
        <f ca="1">IFERROR(__xludf.DUMMYFUNCTION("IMPORTRANGE(H37680,""IDENTITAS UNIT!D9"")"),"#N/A")</f>
        <v>#N/A</v>
      </c>
      <c r="H37680" s="4" t="str">
        <v/>
      </c>
      <c r="I37680" s="4" t="str">
        <v/>
      </c>
    </row>
    <row r="37681" spans="5:9" ht="16.5" hidden="1">
      <c r="E37681" s="4" t="str">
        <v/>
      </c>
      <c r="F37681" s="102" t="str">
        <f ca="1">IFERROR(__xludf.DUMMYFUNCTION("IMPORTRANGE(H37681,""IDENTITAS UNIT!D9"")"),"#N/A")</f>
        <v>#N/A</v>
      </c>
      <c r="H37681" s="4" t="str">
        <v/>
      </c>
      <c r="I37681" s="4" t="str">
        <v/>
      </c>
    </row>
    <row r="37682" spans="5:9" ht="16.5" hidden="1">
      <c r="E37682" s="4" t="str">
        <v/>
      </c>
      <c r="F37682" s="102" t="str">
        <f ca="1">IFERROR(__xludf.DUMMYFUNCTION("IMPORTRANGE(H37682,""IDENTITAS UNIT!D9"")"),"#N/A")</f>
        <v>#N/A</v>
      </c>
      <c r="H37682" s="4" t="str">
        <v/>
      </c>
      <c r="I37682" s="4" t="str">
        <v/>
      </c>
    </row>
    <row r="37683" spans="5:9" ht="16.5" hidden="1">
      <c r="E37683" s="4" t="str">
        <v/>
      </c>
      <c r="F37683" s="102" t="str">
        <f ca="1">IFERROR(__xludf.DUMMYFUNCTION("IMPORTRANGE(H37683,""IDENTITAS UNIT!D9"")"),"#N/A")</f>
        <v>#N/A</v>
      </c>
      <c r="H37683" s="4" t="str">
        <v/>
      </c>
      <c r="I37683" s="4" t="str">
        <v/>
      </c>
    </row>
    <row r="37684" spans="5:9" ht="16.5" hidden="1">
      <c r="E37684" s="4" t="str">
        <v/>
      </c>
      <c r="F37684" s="102" t="str">
        <f ca="1">IFERROR(__xludf.DUMMYFUNCTION("IMPORTRANGE(H37684,""IDENTITAS UNIT!D9"")"),"#N/A")</f>
        <v>#N/A</v>
      </c>
      <c r="H37684" s="4" t="str">
        <v/>
      </c>
      <c r="I37684" s="4" t="str">
        <v/>
      </c>
    </row>
    <row r="37685" spans="5:9" ht="16.5" hidden="1">
      <c r="E37685" s="4" t="str">
        <v/>
      </c>
      <c r="F37685" s="102" t="str">
        <f ca="1">IFERROR(__xludf.DUMMYFUNCTION("IMPORTRANGE(H37685,""IDENTITAS UNIT!D9"")"),"#N/A")</f>
        <v>#N/A</v>
      </c>
      <c r="H37685" s="4" t="str">
        <v/>
      </c>
      <c r="I37685" s="4" t="str">
        <v/>
      </c>
    </row>
    <row r="37686" spans="5:9" ht="16.5" hidden="1">
      <c r="E37686" s="4" t="str">
        <v/>
      </c>
      <c r="F37686" s="102" t="str">
        <f ca="1">IFERROR(__xludf.DUMMYFUNCTION("IMPORTRANGE(H37686,""IDENTITAS UNIT!D9"")"),"#N/A")</f>
        <v>#N/A</v>
      </c>
      <c r="H37686" s="4" t="str">
        <v/>
      </c>
      <c r="I37686" s="4" t="str">
        <v/>
      </c>
    </row>
    <row r="37687" spans="5:9" ht="16.5" hidden="1">
      <c r="E37687" s="4" t="str">
        <v/>
      </c>
      <c r="F37687" s="102" t="str">
        <f ca="1">IFERROR(__xludf.DUMMYFUNCTION("IMPORTRANGE(H37687,""IDENTITAS UNIT!D9"")"),"#N/A")</f>
        <v>#N/A</v>
      </c>
      <c r="H37687" s="4" t="str">
        <v/>
      </c>
      <c r="I37687" s="4" t="str">
        <v/>
      </c>
    </row>
    <row r="37688" spans="5:9" ht="16.5" hidden="1">
      <c r="E37688" s="4" t="str">
        <v/>
      </c>
      <c r="F37688" s="102" t="str">
        <f ca="1">IFERROR(__xludf.DUMMYFUNCTION("IMPORTRANGE(H37688,""IDENTITAS UNIT!D9"")"),"#N/A")</f>
        <v>#N/A</v>
      </c>
      <c r="H37688" s="4" t="str">
        <v/>
      </c>
      <c r="I37688" s="4" t="str">
        <v/>
      </c>
    </row>
    <row r="37689" spans="5:9" ht="16.5" hidden="1">
      <c r="E37689" s="4" t="str">
        <v/>
      </c>
      <c r="F37689" s="102" t="str">
        <f ca="1">IFERROR(__xludf.DUMMYFUNCTION("IMPORTRANGE(H37689,""IDENTITAS UNIT!D9"")"),"#N/A")</f>
        <v>#N/A</v>
      </c>
      <c r="H37689" s="4" t="str">
        <v/>
      </c>
      <c r="I37689" s="4" t="str">
        <v/>
      </c>
    </row>
    <row r="37690" spans="5:9" ht="16.5" hidden="1">
      <c r="E37690" s="4" t="str">
        <v/>
      </c>
      <c r="F37690" s="102" t="str">
        <f ca="1">IFERROR(__xludf.DUMMYFUNCTION("IMPORTRANGE(H37690,""IDENTITAS UNIT!D9"")"),"#N/A")</f>
        <v>#N/A</v>
      </c>
      <c r="H37690" s="4" t="str">
        <v/>
      </c>
      <c r="I37690" s="4" t="str">
        <v/>
      </c>
    </row>
    <row r="37691" spans="5:9" ht="16.5" hidden="1">
      <c r="E37691" s="4" t="str">
        <v/>
      </c>
      <c r="F37691" s="102" t="str">
        <f ca="1">IFERROR(__xludf.DUMMYFUNCTION("IMPORTRANGE(H37691,""IDENTITAS UNIT!D9"")"),"#N/A")</f>
        <v>#N/A</v>
      </c>
      <c r="H37691" s="4" t="str">
        <v/>
      </c>
      <c r="I37691" s="4" t="str">
        <v/>
      </c>
    </row>
    <row r="37692" spans="5:9" ht="16.5" hidden="1">
      <c r="E37692" s="4" t="str">
        <v/>
      </c>
      <c r="F37692" s="102" t="str">
        <f ca="1">IFERROR(__xludf.DUMMYFUNCTION("IMPORTRANGE(H37692,""IDENTITAS UNIT!D9"")"),"#N/A")</f>
        <v>#N/A</v>
      </c>
      <c r="H37692" s="4" t="str">
        <v/>
      </c>
      <c r="I37692" s="4" t="str">
        <v/>
      </c>
    </row>
    <row r="37693" spans="5:9" ht="16.5" hidden="1">
      <c r="E37693" s="4" t="str">
        <v/>
      </c>
      <c r="F37693" s="102" t="str">
        <f ca="1">IFERROR(__xludf.DUMMYFUNCTION("IMPORTRANGE(H37693,""IDENTITAS UNIT!D9"")"),"#N/A")</f>
        <v>#N/A</v>
      </c>
      <c r="H37693" s="4" t="str">
        <v/>
      </c>
      <c r="I37693" s="4" t="str">
        <v/>
      </c>
    </row>
    <row r="37694" spans="5:9" ht="16.5" hidden="1">
      <c r="E37694" s="4" t="str">
        <v/>
      </c>
      <c r="F37694" s="102" t="str">
        <f ca="1">IFERROR(__xludf.DUMMYFUNCTION("IMPORTRANGE(H37694,""IDENTITAS UNIT!D9"")"),"#N/A")</f>
        <v>#N/A</v>
      </c>
      <c r="H37694" s="4" t="str">
        <v/>
      </c>
      <c r="I37694" s="4" t="str">
        <v/>
      </c>
    </row>
    <row r="37695" spans="5:9" ht="16.5" hidden="1">
      <c r="E37695" s="4" t="str">
        <v/>
      </c>
      <c r="F37695" s="102" t="str">
        <f ca="1">IFERROR(__xludf.DUMMYFUNCTION("IMPORTRANGE(H37695,""IDENTITAS UNIT!D9"")"),"#N/A")</f>
        <v>#N/A</v>
      </c>
      <c r="H37695" s="4" t="str">
        <v/>
      </c>
      <c r="I37695" s="4" t="str">
        <v/>
      </c>
    </row>
    <row r="37696" spans="5:9" ht="16.5" hidden="1">
      <c r="E37696" s="4" t="str">
        <v/>
      </c>
      <c r="F37696" s="102" t="str">
        <f ca="1">IFERROR(__xludf.DUMMYFUNCTION("IMPORTRANGE(H37696,""IDENTITAS UNIT!D9"")"),"#N/A")</f>
        <v>#N/A</v>
      </c>
      <c r="H37696" s="4" t="str">
        <v/>
      </c>
      <c r="I37696" s="4" t="str">
        <v/>
      </c>
    </row>
    <row r="37697" spans="5:9" ht="16.5" hidden="1">
      <c r="E37697" s="4" t="str">
        <v/>
      </c>
      <c r="F37697" s="102" t="str">
        <f ca="1">IFERROR(__xludf.DUMMYFUNCTION("IMPORTRANGE(H37697,""IDENTITAS UNIT!D9"")"),"#N/A")</f>
        <v>#N/A</v>
      </c>
      <c r="H37697" s="4" t="str">
        <v/>
      </c>
      <c r="I37697" s="4" t="str">
        <v/>
      </c>
    </row>
    <row r="37698" spans="5:9" ht="16.5" hidden="1">
      <c r="E37698" s="4" t="str">
        <v/>
      </c>
      <c r="F37698" s="102" t="str">
        <f ca="1">IFERROR(__xludf.DUMMYFUNCTION("IMPORTRANGE(H37698,""IDENTITAS UNIT!D9"")"),"#N/A")</f>
        <v>#N/A</v>
      </c>
      <c r="H37698" s="4" t="str">
        <v/>
      </c>
      <c r="I37698" s="4" t="str">
        <v/>
      </c>
    </row>
    <row r="37699" spans="5:9" ht="16.5" hidden="1">
      <c r="E37699" s="4" t="str">
        <v/>
      </c>
      <c r="F37699" s="102" t="str">
        <f ca="1">IFERROR(__xludf.DUMMYFUNCTION("IMPORTRANGE(H37699,""IDENTITAS UNIT!D9"")"),"#N/A")</f>
        <v>#N/A</v>
      </c>
      <c r="H37699" s="4" t="str">
        <v/>
      </c>
      <c r="I37699" s="4" t="str">
        <v/>
      </c>
    </row>
    <row r="37700" spans="5:9" ht="16.5" hidden="1">
      <c r="E37700" s="4" t="str">
        <v/>
      </c>
      <c r="F37700" s="102" t="str">
        <f ca="1">IFERROR(__xludf.DUMMYFUNCTION("IMPORTRANGE(H37700,""IDENTITAS UNIT!D9"")"),"#N/A")</f>
        <v>#N/A</v>
      </c>
      <c r="H37700" s="4" t="str">
        <v/>
      </c>
      <c r="I37700" s="4" t="str">
        <v/>
      </c>
    </row>
    <row r="37701" spans="5:9" ht="16.5" hidden="1">
      <c r="E37701" s="4" t="str">
        <v/>
      </c>
      <c r="F37701" s="102" t="str">
        <f ca="1">IFERROR(__xludf.DUMMYFUNCTION("IMPORTRANGE(H37701,""IDENTITAS UNIT!D9"")"),"#N/A")</f>
        <v>#N/A</v>
      </c>
      <c r="H37701" s="4" t="str">
        <v/>
      </c>
      <c r="I37701" s="4" t="str">
        <v/>
      </c>
    </row>
    <row r="37702" spans="5:9" ht="16.5" hidden="1">
      <c r="E37702" s="4" t="str">
        <v/>
      </c>
      <c r="F37702" s="102" t="str">
        <f ca="1">IFERROR(__xludf.DUMMYFUNCTION("IMPORTRANGE(H37702,""IDENTITAS UNIT!D9"")"),"#N/A")</f>
        <v>#N/A</v>
      </c>
      <c r="H37702" s="4" t="str">
        <v/>
      </c>
      <c r="I37702" s="4" t="str">
        <v/>
      </c>
    </row>
    <row r="37703" spans="5:9" ht="16.5" hidden="1">
      <c r="E37703" s="4" t="str">
        <v/>
      </c>
      <c r="F37703" s="102" t="str">
        <f ca="1">IFERROR(__xludf.DUMMYFUNCTION("IMPORTRANGE(H37703,""IDENTITAS UNIT!D9"")"),"#N/A")</f>
        <v>#N/A</v>
      </c>
      <c r="H37703" s="4" t="str">
        <v/>
      </c>
      <c r="I37703" s="4" t="str">
        <v/>
      </c>
    </row>
    <row r="37704" spans="5:9" ht="16.5" hidden="1">
      <c r="E37704" s="4" t="str">
        <v/>
      </c>
      <c r="F37704" s="102" t="str">
        <f ca="1">IFERROR(__xludf.DUMMYFUNCTION("IMPORTRANGE(H37704,""IDENTITAS UNIT!D9"")"),"#N/A")</f>
        <v>#N/A</v>
      </c>
      <c r="H37704" s="4" t="str">
        <v/>
      </c>
      <c r="I37704" s="4" t="str">
        <v/>
      </c>
    </row>
    <row r="37705" spans="5:9" ht="16.5" hidden="1">
      <c r="E37705" s="4" t="str">
        <v/>
      </c>
      <c r="F37705" s="102" t="str">
        <f ca="1">IFERROR(__xludf.DUMMYFUNCTION("IMPORTRANGE(H37705,""IDENTITAS UNIT!D9"")"),"#N/A")</f>
        <v>#N/A</v>
      </c>
      <c r="H37705" s="4" t="str">
        <v/>
      </c>
      <c r="I37705" s="4" t="str">
        <v/>
      </c>
    </row>
    <row r="37706" spans="5:9" ht="16.5" hidden="1">
      <c r="E37706" s="4" t="str">
        <v/>
      </c>
      <c r="F37706" s="102" t="str">
        <f ca="1">IFERROR(__xludf.DUMMYFUNCTION("IMPORTRANGE(H37706,""IDENTITAS UNIT!D9"")"),"#N/A")</f>
        <v>#N/A</v>
      </c>
      <c r="H37706" s="4" t="str">
        <v/>
      </c>
      <c r="I37706" s="4" t="str">
        <v/>
      </c>
    </row>
    <row r="37707" spans="5:9" ht="16.5" hidden="1">
      <c r="E37707" s="4" t="str">
        <v/>
      </c>
      <c r="F37707" s="102" t="str">
        <f ca="1">IFERROR(__xludf.DUMMYFUNCTION("IMPORTRANGE(H37707,""IDENTITAS UNIT!D9"")"),"#N/A")</f>
        <v>#N/A</v>
      </c>
      <c r="H37707" s="4" t="str">
        <v/>
      </c>
      <c r="I37707" s="4" t="str">
        <v/>
      </c>
    </row>
    <row r="37708" spans="5:9" ht="16.5" hidden="1">
      <c r="E37708" s="4" t="str">
        <v/>
      </c>
      <c r="F37708" s="102" t="str">
        <f ca="1">IFERROR(__xludf.DUMMYFUNCTION("IMPORTRANGE(H37708,""IDENTITAS UNIT!D9"")"),"#N/A")</f>
        <v>#N/A</v>
      </c>
      <c r="H37708" s="4" t="str">
        <v/>
      </c>
      <c r="I37708" s="4" t="str">
        <v/>
      </c>
    </row>
    <row r="37709" spans="5:9" ht="16.5" hidden="1">
      <c r="E37709" s="4" t="str">
        <v/>
      </c>
      <c r="F37709" s="102" t="str">
        <f ca="1">IFERROR(__xludf.DUMMYFUNCTION("IMPORTRANGE(H37709,""IDENTITAS UNIT!D9"")"),"#N/A")</f>
        <v>#N/A</v>
      </c>
      <c r="H37709" s="4" t="str">
        <v/>
      </c>
      <c r="I37709" s="4" t="str">
        <v/>
      </c>
    </row>
    <row r="37710" spans="5:9" ht="16.5" hidden="1">
      <c r="E37710" s="4" t="str">
        <v/>
      </c>
      <c r="F37710" s="102" t="str">
        <f ca="1">IFERROR(__xludf.DUMMYFUNCTION("IMPORTRANGE(H37710,""IDENTITAS UNIT!D9"")"),"#N/A")</f>
        <v>#N/A</v>
      </c>
      <c r="H37710" s="4" t="str">
        <v/>
      </c>
      <c r="I37710" s="4" t="str">
        <v/>
      </c>
    </row>
    <row r="37711" spans="5:9" ht="16.5" hidden="1">
      <c r="E37711" s="4" t="str">
        <v/>
      </c>
      <c r="F37711" s="102" t="str">
        <f ca="1">IFERROR(__xludf.DUMMYFUNCTION("IMPORTRANGE(H37711,""IDENTITAS UNIT!D9"")"),"#N/A")</f>
        <v>#N/A</v>
      </c>
      <c r="H37711" s="4" t="str">
        <v/>
      </c>
      <c r="I37711" s="4" t="str">
        <v/>
      </c>
    </row>
    <row r="37712" spans="5:9" ht="16.5" hidden="1">
      <c r="E37712" s="4" t="str">
        <v/>
      </c>
      <c r="F37712" s="102" t="str">
        <f ca="1">IFERROR(__xludf.DUMMYFUNCTION("IMPORTRANGE(H37712,""IDENTITAS UNIT!D9"")"),"#N/A")</f>
        <v>#N/A</v>
      </c>
      <c r="H37712" s="4" t="str">
        <v/>
      </c>
      <c r="I37712" s="4" t="str">
        <v/>
      </c>
    </row>
    <row r="37713" spans="5:9" ht="16.5" hidden="1">
      <c r="E37713" s="4" t="str">
        <v/>
      </c>
      <c r="F37713" s="102" t="str">
        <f ca="1">IFERROR(__xludf.DUMMYFUNCTION("IMPORTRANGE(H37713,""IDENTITAS UNIT!D9"")"),"#N/A")</f>
        <v>#N/A</v>
      </c>
      <c r="H37713" s="4" t="str">
        <v/>
      </c>
      <c r="I37713" s="4" t="str">
        <v/>
      </c>
    </row>
    <row r="37714" spans="5:9" ht="16.5" hidden="1">
      <c r="E37714" s="4" t="str">
        <v/>
      </c>
      <c r="F37714" s="102" t="str">
        <f ca="1">IFERROR(__xludf.DUMMYFUNCTION("IMPORTRANGE(H37714,""IDENTITAS UNIT!D9"")"),"#N/A")</f>
        <v>#N/A</v>
      </c>
      <c r="H37714" s="4" t="str">
        <v/>
      </c>
      <c r="I37714" s="4" t="str">
        <v/>
      </c>
    </row>
    <row r="37715" spans="5:9" ht="16.5" hidden="1">
      <c r="E37715" s="4" t="str">
        <v/>
      </c>
      <c r="F37715" s="102" t="str">
        <f ca="1">IFERROR(__xludf.DUMMYFUNCTION("IMPORTRANGE(H37715,""IDENTITAS UNIT!D9"")"),"#N/A")</f>
        <v>#N/A</v>
      </c>
      <c r="H37715" s="4" t="str">
        <v/>
      </c>
      <c r="I37715" s="4" t="str">
        <v/>
      </c>
    </row>
    <row r="37716" spans="5:9" ht="16.5" hidden="1">
      <c r="E37716" s="4" t="str">
        <v/>
      </c>
      <c r="F37716" s="102" t="str">
        <f ca="1">IFERROR(__xludf.DUMMYFUNCTION("IMPORTRANGE(H37716,""IDENTITAS UNIT!D9"")"),"#N/A")</f>
        <v>#N/A</v>
      </c>
      <c r="H37716" s="4" t="str">
        <v/>
      </c>
      <c r="I37716" s="4" t="str">
        <v/>
      </c>
    </row>
    <row r="37717" spans="5:9" ht="16.5" hidden="1">
      <c r="E37717" s="4" t="str">
        <v/>
      </c>
      <c r="F37717" s="102" t="str">
        <f ca="1">IFERROR(__xludf.DUMMYFUNCTION("IMPORTRANGE(H37717,""IDENTITAS UNIT!D9"")"),"#N/A")</f>
        <v>#N/A</v>
      </c>
      <c r="H37717" s="4" t="str">
        <v/>
      </c>
      <c r="I37717" s="4" t="str">
        <v/>
      </c>
    </row>
    <row r="37718" spans="5:9" ht="16.5" hidden="1">
      <c r="E37718" s="4" t="str">
        <v/>
      </c>
      <c r="F37718" s="102" t="str">
        <f ca="1">IFERROR(__xludf.DUMMYFUNCTION("IMPORTRANGE(H37718,""IDENTITAS UNIT!D9"")"),"#N/A")</f>
        <v>#N/A</v>
      </c>
      <c r="H37718" s="4" t="str">
        <v/>
      </c>
      <c r="I37718" s="4" t="str">
        <v/>
      </c>
    </row>
    <row r="37719" spans="5:9" ht="16.5" hidden="1">
      <c r="E37719" s="4" t="str">
        <v/>
      </c>
      <c r="F37719" s="102" t="str">
        <f ca="1">IFERROR(__xludf.DUMMYFUNCTION("IMPORTRANGE(H37719,""IDENTITAS UNIT!D9"")"),"#N/A")</f>
        <v>#N/A</v>
      </c>
      <c r="H37719" s="4" t="str">
        <v/>
      </c>
      <c r="I37719" s="4" t="str">
        <v/>
      </c>
    </row>
    <row r="37720" spans="5:9" ht="16.5" hidden="1">
      <c r="E37720" s="4" t="str">
        <v/>
      </c>
      <c r="F37720" s="102" t="str">
        <f ca="1">IFERROR(__xludf.DUMMYFUNCTION("IMPORTRANGE(H37720,""IDENTITAS UNIT!D9"")"),"#N/A")</f>
        <v>#N/A</v>
      </c>
      <c r="H37720" s="4" t="str">
        <v/>
      </c>
      <c r="I37720" s="4" t="str">
        <v/>
      </c>
    </row>
    <row r="37721" spans="5:9" ht="16.5" hidden="1">
      <c r="E37721" s="4" t="str">
        <v/>
      </c>
      <c r="F37721" s="102" t="str">
        <f ca="1">IFERROR(__xludf.DUMMYFUNCTION("IMPORTRANGE(H37721,""IDENTITAS UNIT!D9"")"),"#N/A")</f>
        <v>#N/A</v>
      </c>
      <c r="H37721" s="4" t="str">
        <v/>
      </c>
      <c r="I37721" s="4" t="str">
        <v/>
      </c>
    </row>
    <row r="37722" spans="5:9" ht="16.5" hidden="1">
      <c r="E37722" s="4" t="str">
        <v/>
      </c>
      <c r="F37722" s="102" t="str">
        <f ca="1">IFERROR(__xludf.DUMMYFUNCTION("IMPORTRANGE(H37722,""IDENTITAS UNIT!D9"")"),"#N/A")</f>
        <v>#N/A</v>
      </c>
      <c r="H37722" s="4" t="str">
        <v/>
      </c>
      <c r="I37722" s="4" t="str">
        <v/>
      </c>
    </row>
    <row r="37723" spans="5:9" ht="16.5" hidden="1">
      <c r="E37723" s="4" t="str">
        <v/>
      </c>
      <c r="F37723" s="102" t="str">
        <f ca="1">IFERROR(__xludf.DUMMYFUNCTION("IMPORTRANGE(H37723,""IDENTITAS UNIT!D9"")"),"#N/A")</f>
        <v>#N/A</v>
      </c>
      <c r="H37723" s="4" t="str">
        <v/>
      </c>
      <c r="I37723" s="4" t="str">
        <v/>
      </c>
    </row>
    <row r="37724" spans="5:9" ht="16.5" hidden="1">
      <c r="E37724" s="4" t="str">
        <v/>
      </c>
      <c r="F37724" s="102" t="str">
        <f ca="1">IFERROR(__xludf.DUMMYFUNCTION("IMPORTRANGE(H37724,""IDENTITAS UNIT!D9"")"),"#N/A")</f>
        <v>#N/A</v>
      </c>
      <c r="H37724" s="4" t="str">
        <v/>
      </c>
      <c r="I37724" s="4" t="str">
        <v/>
      </c>
    </row>
    <row r="37725" spans="5:9" ht="16.5" hidden="1">
      <c r="E37725" s="4" t="str">
        <v/>
      </c>
      <c r="F37725" s="102" t="str">
        <f ca="1">IFERROR(__xludf.DUMMYFUNCTION("IMPORTRANGE(H37725,""IDENTITAS UNIT!D9"")"),"#N/A")</f>
        <v>#N/A</v>
      </c>
      <c r="H37725" s="4" t="str">
        <v/>
      </c>
      <c r="I37725" s="4" t="str">
        <v/>
      </c>
    </row>
    <row r="37726" spans="5:9" ht="16.5" hidden="1">
      <c r="E37726" s="4" t="str">
        <v/>
      </c>
      <c r="F37726" s="102" t="str">
        <f ca="1">IFERROR(__xludf.DUMMYFUNCTION("IMPORTRANGE(H37726,""IDENTITAS UNIT!D9"")"),"#N/A")</f>
        <v>#N/A</v>
      </c>
      <c r="H37726" s="4" t="str">
        <v/>
      </c>
      <c r="I37726" s="4" t="str">
        <v/>
      </c>
    </row>
    <row r="37727" spans="5:9" ht="16.5" hidden="1">
      <c r="E37727" s="4" t="str">
        <v/>
      </c>
      <c r="F37727" s="102" t="str">
        <f ca="1">IFERROR(__xludf.DUMMYFUNCTION("IMPORTRANGE(H37727,""IDENTITAS UNIT!D9"")"),"#N/A")</f>
        <v>#N/A</v>
      </c>
      <c r="H37727" s="4" t="str">
        <v/>
      </c>
      <c r="I37727" s="4" t="str">
        <v/>
      </c>
    </row>
    <row r="37728" spans="5:9" ht="16.5" hidden="1">
      <c r="E37728" s="4" t="str">
        <v/>
      </c>
      <c r="F37728" s="102" t="str">
        <f ca="1">IFERROR(__xludf.DUMMYFUNCTION("IMPORTRANGE(H37728,""IDENTITAS UNIT!D9"")"),"#N/A")</f>
        <v>#N/A</v>
      </c>
      <c r="H37728" s="4" t="str">
        <v/>
      </c>
      <c r="I37728" s="4" t="str">
        <v/>
      </c>
    </row>
    <row r="37729" spans="5:9" ht="16.5" hidden="1">
      <c r="E37729" s="4" t="str">
        <v/>
      </c>
      <c r="F37729" s="102" t="str">
        <f ca="1">IFERROR(__xludf.DUMMYFUNCTION("IMPORTRANGE(H37729,""IDENTITAS UNIT!D9"")"),"#N/A")</f>
        <v>#N/A</v>
      </c>
      <c r="H37729" s="4" t="str">
        <v/>
      </c>
      <c r="I37729" s="4" t="str">
        <v/>
      </c>
    </row>
    <row r="37730" spans="5:9" ht="16.5" hidden="1">
      <c r="E37730" s="4" t="str">
        <v/>
      </c>
      <c r="F37730" s="102" t="str">
        <f ca="1">IFERROR(__xludf.DUMMYFUNCTION("IMPORTRANGE(H37730,""IDENTITAS UNIT!D9"")"),"#N/A")</f>
        <v>#N/A</v>
      </c>
      <c r="H37730" s="4" t="str">
        <v/>
      </c>
      <c r="I37730" s="4" t="str">
        <v/>
      </c>
    </row>
    <row r="37731" spans="5:9" ht="16.5" hidden="1">
      <c r="E37731" s="4" t="str">
        <v/>
      </c>
      <c r="F37731" s="102" t="str">
        <f ca="1">IFERROR(__xludf.DUMMYFUNCTION("IMPORTRANGE(H37731,""IDENTITAS UNIT!D9"")"),"#N/A")</f>
        <v>#N/A</v>
      </c>
      <c r="H37731" s="4" t="str">
        <v/>
      </c>
      <c r="I37731" s="4" t="str">
        <v/>
      </c>
    </row>
    <row r="37732" spans="5:9" ht="16.5" hidden="1">
      <c r="E37732" s="4" t="str">
        <v/>
      </c>
      <c r="F37732" s="102" t="str">
        <f ca="1">IFERROR(__xludf.DUMMYFUNCTION("IMPORTRANGE(H37732,""IDENTITAS UNIT!D9"")"),"#N/A")</f>
        <v>#N/A</v>
      </c>
      <c r="H37732" s="4" t="str">
        <v/>
      </c>
      <c r="I37732" s="4" t="str">
        <v/>
      </c>
    </row>
    <row r="37733" spans="5:9" ht="16.5" hidden="1">
      <c r="E37733" s="4" t="str">
        <v/>
      </c>
      <c r="F37733" s="102" t="str">
        <f ca="1">IFERROR(__xludf.DUMMYFUNCTION("IMPORTRANGE(H37733,""IDENTITAS UNIT!D9"")"),"#N/A")</f>
        <v>#N/A</v>
      </c>
      <c r="H37733" s="4" t="str">
        <v/>
      </c>
      <c r="I37733" s="4" t="str">
        <v/>
      </c>
    </row>
    <row r="37734" spans="5:9" ht="16.5" hidden="1">
      <c r="E37734" s="4" t="str">
        <v/>
      </c>
      <c r="F37734" s="102" t="str">
        <f ca="1">IFERROR(__xludf.DUMMYFUNCTION("IMPORTRANGE(H37734,""IDENTITAS UNIT!D9"")"),"#N/A")</f>
        <v>#N/A</v>
      </c>
      <c r="H37734" s="4" t="str">
        <v/>
      </c>
      <c r="I37734" s="4" t="str">
        <v/>
      </c>
    </row>
    <row r="37735" spans="5:9" ht="16.5" hidden="1">
      <c r="E37735" s="4" t="str">
        <v/>
      </c>
      <c r="F37735" s="102" t="str">
        <f ca="1">IFERROR(__xludf.DUMMYFUNCTION("IMPORTRANGE(H37735,""IDENTITAS UNIT!D9"")"),"#N/A")</f>
        <v>#N/A</v>
      </c>
      <c r="H37735" s="4" t="str">
        <v/>
      </c>
      <c r="I37735" s="4" t="str">
        <v/>
      </c>
    </row>
    <row r="37736" spans="5:9" ht="16.5" hidden="1">
      <c r="E37736" s="4" t="str">
        <v/>
      </c>
      <c r="F37736" s="102" t="str">
        <f ca="1">IFERROR(__xludf.DUMMYFUNCTION("IMPORTRANGE(H37736,""IDENTITAS UNIT!D9"")"),"#N/A")</f>
        <v>#N/A</v>
      </c>
      <c r="H37736" s="4" t="str">
        <v/>
      </c>
      <c r="I37736" s="4" t="str">
        <v/>
      </c>
    </row>
    <row r="37737" spans="5:9" ht="16.5" hidden="1">
      <c r="E37737" s="4" t="str">
        <v/>
      </c>
      <c r="F37737" s="102" t="str">
        <f ca="1">IFERROR(__xludf.DUMMYFUNCTION("IMPORTRANGE(H37737,""IDENTITAS UNIT!D9"")"),"#N/A")</f>
        <v>#N/A</v>
      </c>
      <c r="H37737" s="4" t="str">
        <v/>
      </c>
      <c r="I37737" s="4" t="str">
        <v/>
      </c>
    </row>
    <row r="37738" spans="5:9" ht="16.5" hidden="1">
      <c r="E37738" s="4" t="str">
        <v/>
      </c>
      <c r="F37738" s="102" t="str">
        <f ca="1">IFERROR(__xludf.DUMMYFUNCTION("IMPORTRANGE(H37738,""IDENTITAS UNIT!D9"")"),"#N/A")</f>
        <v>#N/A</v>
      </c>
      <c r="H37738" s="4" t="str">
        <v/>
      </c>
      <c r="I37738" s="4" t="str">
        <v/>
      </c>
    </row>
    <row r="37739" spans="5:9" ht="16.5" hidden="1">
      <c r="E37739" s="4" t="str">
        <v/>
      </c>
      <c r="F37739" s="102" t="str">
        <f ca="1">IFERROR(__xludf.DUMMYFUNCTION("IMPORTRANGE(H37739,""IDENTITAS UNIT!D9"")"),"#N/A")</f>
        <v>#N/A</v>
      </c>
      <c r="H37739" s="4" t="str">
        <v/>
      </c>
      <c r="I37739" s="4" t="str">
        <v/>
      </c>
    </row>
    <row r="37740" spans="5:9" ht="16.5" hidden="1">
      <c r="E37740" s="4" t="str">
        <v/>
      </c>
      <c r="F37740" s="102" t="str">
        <f ca="1">IFERROR(__xludf.DUMMYFUNCTION("IMPORTRANGE(H37740,""IDENTITAS UNIT!D9"")"),"#N/A")</f>
        <v>#N/A</v>
      </c>
      <c r="H37740" s="4" t="str">
        <v/>
      </c>
      <c r="I37740" s="4" t="str">
        <v/>
      </c>
    </row>
    <row r="37741" spans="5:9" ht="16.5" hidden="1">
      <c r="E37741" s="4" t="str">
        <v/>
      </c>
      <c r="F37741" s="102" t="str">
        <f ca="1">IFERROR(__xludf.DUMMYFUNCTION("IMPORTRANGE(H37741,""IDENTITAS UNIT!D9"")"),"#N/A")</f>
        <v>#N/A</v>
      </c>
      <c r="H37741" s="4" t="str">
        <v/>
      </c>
      <c r="I37741" s="4" t="str">
        <v/>
      </c>
    </row>
    <row r="37742" spans="5:9" ht="16.5" hidden="1">
      <c r="E37742" s="4" t="str">
        <v/>
      </c>
      <c r="F37742" s="102" t="str">
        <f ca="1">IFERROR(__xludf.DUMMYFUNCTION("IMPORTRANGE(H37742,""IDENTITAS UNIT!D9"")"),"#N/A")</f>
        <v>#N/A</v>
      </c>
      <c r="H37742" s="4" t="str">
        <v/>
      </c>
      <c r="I37742" s="4" t="str">
        <v/>
      </c>
    </row>
    <row r="37743" spans="5:9" ht="16.5" hidden="1">
      <c r="E37743" s="4" t="str">
        <v/>
      </c>
      <c r="F37743" s="102" t="str">
        <f ca="1">IFERROR(__xludf.DUMMYFUNCTION("IMPORTRANGE(H37743,""IDENTITAS UNIT!D9"")"),"#N/A")</f>
        <v>#N/A</v>
      </c>
      <c r="H37743" s="4" t="str">
        <v/>
      </c>
      <c r="I37743" s="4" t="str">
        <v/>
      </c>
    </row>
    <row r="37744" spans="5:9" ht="16.5" hidden="1">
      <c r="E37744" s="4" t="str">
        <v/>
      </c>
      <c r="F37744" s="102" t="str">
        <f ca="1">IFERROR(__xludf.DUMMYFUNCTION("IMPORTRANGE(H37744,""IDENTITAS UNIT!D9"")"),"#N/A")</f>
        <v>#N/A</v>
      </c>
      <c r="H37744" s="4" t="str">
        <v/>
      </c>
      <c r="I37744" s="4" t="str">
        <v/>
      </c>
    </row>
    <row r="37745" spans="5:9" ht="16.5" hidden="1">
      <c r="E37745" s="4" t="str">
        <v/>
      </c>
      <c r="F37745" s="102" t="str">
        <f ca="1">IFERROR(__xludf.DUMMYFUNCTION("IMPORTRANGE(H37745,""IDENTITAS UNIT!D9"")"),"#N/A")</f>
        <v>#N/A</v>
      </c>
      <c r="H37745" s="4" t="str">
        <v/>
      </c>
      <c r="I37745" s="4" t="str">
        <v/>
      </c>
    </row>
    <row r="37746" spans="5:9" ht="16.5" hidden="1">
      <c r="E37746" s="4" t="str">
        <v/>
      </c>
      <c r="F37746" s="102" t="str">
        <f ca="1">IFERROR(__xludf.DUMMYFUNCTION("IMPORTRANGE(H37746,""IDENTITAS UNIT!D9"")"),"#N/A")</f>
        <v>#N/A</v>
      </c>
      <c r="H37746" s="4" t="str">
        <v/>
      </c>
      <c r="I37746" s="4" t="str">
        <v/>
      </c>
    </row>
    <row r="37747" spans="5:9" ht="16.5" hidden="1">
      <c r="E37747" s="4" t="str">
        <v/>
      </c>
      <c r="F37747" s="102" t="str">
        <f ca="1">IFERROR(__xludf.DUMMYFUNCTION("IMPORTRANGE(H37747,""IDENTITAS UNIT!D9"")"),"#N/A")</f>
        <v>#N/A</v>
      </c>
      <c r="H37747" s="4" t="str">
        <v/>
      </c>
      <c r="I37747" s="4" t="str">
        <v/>
      </c>
    </row>
    <row r="37748" spans="5:9" ht="16.5" hidden="1">
      <c r="E37748" s="4" t="str">
        <v/>
      </c>
      <c r="F37748" s="102" t="str">
        <f ca="1">IFERROR(__xludf.DUMMYFUNCTION("IMPORTRANGE(H37748,""IDENTITAS UNIT!D9"")"),"#N/A")</f>
        <v>#N/A</v>
      </c>
      <c r="H37748" s="4" t="str">
        <v/>
      </c>
      <c r="I37748" s="4" t="str">
        <v/>
      </c>
    </row>
    <row r="37749" spans="5:9" ht="16.5" hidden="1">
      <c r="E37749" s="4" t="str">
        <v/>
      </c>
      <c r="F37749" s="102" t="str">
        <f ca="1">IFERROR(__xludf.DUMMYFUNCTION("IMPORTRANGE(H37749,""IDENTITAS UNIT!D9"")"),"#N/A")</f>
        <v>#N/A</v>
      </c>
      <c r="H37749" s="4" t="str">
        <v/>
      </c>
      <c r="I37749" s="4" t="str">
        <v/>
      </c>
    </row>
    <row r="37750" spans="5:9" ht="16.5" hidden="1">
      <c r="E37750" s="4" t="str">
        <v/>
      </c>
      <c r="F37750" s="102" t="str">
        <f ca="1">IFERROR(__xludf.DUMMYFUNCTION("IMPORTRANGE(H37750,""IDENTITAS UNIT!D9"")"),"#N/A")</f>
        <v>#N/A</v>
      </c>
      <c r="H37750" s="4" t="str">
        <v/>
      </c>
      <c r="I37750" s="4" t="str">
        <v/>
      </c>
    </row>
    <row r="37751" spans="5:9" ht="16.5" hidden="1">
      <c r="E37751" s="4" t="str">
        <v/>
      </c>
      <c r="F37751" s="102" t="str">
        <f ca="1">IFERROR(__xludf.DUMMYFUNCTION("IMPORTRANGE(H37751,""IDENTITAS UNIT!D9"")"),"#N/A")</f>
        <v>#N/A</v>
      </c>
      <c r="H37751" s="4" t="str">
        <v/>
      </c>
      <c r="I37751" s="4" t="str">
        <v/>
      </c>
    </row>
    <row r="37752" spans="5:9" ht="16.5" hidden="1">
      <c r="E37752" s="4" t="str">
        <v/>
      </c>
      <c r="F37752" s="102" t="str">
        <f ca="1">IFERROR(__xludf.DUMMYFUNCTION("IMPORTRANGE(H37752,""IDENTITAS UNIT!D9"")"),"#N/A")</f>
        <v>#N/A</v>
      </c>
      <c r="H37752" s="4" t="str">
        <v/>
      </c>
      <c r="I37752" s="4" t="str">
        <v/>
      </c>
    </row>
    <row r="37753" spans="5:9" ht="16.5" hidden="1">
      <c r="E37753" s="4" t="str">
        <v/>
      </c>
      <c r="F37753" s="102" t="str">
        <f ca="1">IFERROR(__xludf.DUMMYFUNCTION("IMPORTRANGE(H37753,""IDENTITAS UNIT!D9"")"),"#N/A")</f>
        <v>#N/A</v>
      </c>
      <c r="H37753" s="4" t="str">
        <v/>
      </c>
      <c r="I37753" s="4" t="str">
        <v/>
      </c>
    </row>
    <row r="37754" spans="5:9" ht="16.5" hidden="1">
      <c r="E37754" s="4" t="str">
        <v/>
      </c>
      <c r="F37754" s="102" t="str">
        <f ca="1">IFERROR(__xludf.DUMMYFUNCTION("IMPORTRANGE(H37754,""IDENTITAS UNIT!D9"")"),"#N/A")</f>
        <v>#N/A</v>
      </c>
      <c r="H37754" s="4" t="str">
        <v/>
      </c>
      <c r="I37754" s="4" t="str">
        <v/>
      </c>
    </row>
    <row r="37755" spans="5:9" ht="16.5" hidden="1">
      <c r="E37755" s="4" t="str">
        <v/>
      </c>
      <c r="F37755" s="102" t="str">
        <f ca="1">IFERROR(__xludf.DUMMYFUNCTION("IMPORTRANGE(H37755,""IDENTITAS UNIT!D9"")"),"#N/A")</f>
        <v>#N/A</v>
      </c>
      <c r="H37755" s="4" t="str">
        <v/>
      </c>
      <c r="I37755" s="4" t="str">
        <v/>
      </c>
    </row>
    <row r="37756" spans="5:9" ht="16.5" hidden="1">
      <c r="E37756" s="4" t="str">
        <v/>
      </c>
      <c r="F37756" s="102" t="str">
        <f ca="1">IFERROR(__xludf.DUMMYFUNCTION("IMPORTRANGE(H37756,""IDENTITAS UNIT!D9"")"),"#N/A")</f>
        <v>#N/A</v>
      </c>
      <c r="H37756" s="4" t="str">
        <v/>
      </c>
      <c r="I37756" s="4" t="str">
        <v/>
      </c>
    </row>
    <row r="37757" spans="5:9" ht="16.5" hidden="1">
      <c r="E37757" s="4" t="str">
        <v/>
      </c>
      <c r="F37757" s="102" t="str">
        <f ca="1">IFERROR(__xludf.DUMMYFUNCTION("IMPORTRANGE(H37757,""IDENTITAS UNIT!D9"")"),"#N/A")</f>
        <v>#N/A</v>
      </c>
      <c r="H37757" s="4" t="str">
        <v/>
      </c>
      <c r="I37757" s="4" t="str">
        <v/>
      </c>
    </row>
    <row r="37758" spans="5:9" ht="16.5" hidden="1">
      <c r="E37758" s="4" t="str">
        <v/>
      </c>
      <c r="F37758" s="102" t="str">
        <f ca="1">IFERROR(__xludf.DUMMYFUNCTION("IMPORTRANGE(H37758,""IDENTITAS UNIT!D9"")"),"#N/A")</f>
        <v>#N/A</v>
      </c>
      <c r="H37758" s="4" t="str">
        <v/>
      </c>
      <c r="I37758" s="4" t="str">
        <v/>
      </c>
    </row>
    <row r="37759" spans="5:9" ht="16.5" hidden="1">
      <c r="E37759" s="4" t="str">
        <v/>
      </c>
      <c r="F37759" s="102" t="str">
        <f ca="1">IFERROR(__xludf.DUMMYFUNCTION("IMPORTRANGE(H37759,""IDENTITAS UNIT!D9"")"),"#N/A")</f>
        <v>#N/A</v>
      </c>
      <c r="H37759" s="4" t="str">
        <v/>
      </c>
      <c r="I37759" s="4" t="str">
        <v/>
      </c>
    </row>
    <row r="37760" spans="5:9" ht="16.5" hidden="1">
      <c r="E37760" s="4" t="str">
        <v/>
      </c>
      <c r="F37760" s="102" t="str">
        <f ca="1">IFERROR(__xludf.DUMMYFUNCTION("IMPORTRANGE(H37760,""IDENTITAS UNIT!D9"")"),"#N/A")</f>
        <v>#N/A</v>
      </c>
      <c r="H37760" s="4" t="str">
        <v/>
      </c>
      <c r="I37760" s="4" t="str">
        <v/>
      </c>
    </row>
    <row r="37761" spans="5:9" ht="16.5" hidden="1">
      <c r="E37761" s="4" t="str">
        <v/>
      </c>
      <c r="F37761" s="102" t="str">
        <f ca="1">IFERROR(__xludf.DUMMYFUNCTION("IMPORTRANGE(H37761,""IDENTITAS UNIT!D9"")"),"#N/A")</f>
        <v>#N/A</v>
      </c>
      <c r="H37761" s="4" t="str">
        <v/>
      </c>
      <c r="I37761" s="4" t="str">
        <v/>
      </c>
    </row>
    <row r="37762" spans="5:9" ht="16.5" hidden="1">
      <c r="E37762" s="4" t="str">
        <v/>
      </c>
      <c r="F37762" s="102" t="str">
        <f ca="1">IFERROR(__xludf.DUMMYFUNCTION("IMPORTRANGE(H37762,""IDENTITAS UNIT!D9"")"),"#N/A")</f>
        <v>#N/A</v>
      </c>
      <c r="H37762" s="4" t="str">
        <v/>
      </c>
      <c r="I37762" s="4" t="str">
        <v/>
      </c>
    </row>
    <row r="37763" spans="5:9" ht="16.5" hidden="1">
      <c r="E37763" s="4" t="str">
        <v/>
      </c>
      <c r="F37763" s="102" t="str">
        <f ca="1">IFERROR(__xludf.DUMMYFUNCTION("IMPORTRANGE(H37763,""IDENTITAS UNIT!D9"")"),"#N/A")</f>
        <v>#N/A</v>
      </c>
      <c r="H37763" s="4" t="str">
        <v/>
      </c>
      <c r="I37763" s="4" t="str">
        <v/>
      </c>
    </row>
    <row r="37764" spans="5:9" ht="16.5" hidden="1">
      <c r="E37764" s="4" t="str">
        <v/>
      </c>
      <c r="F37764" s="102" t="str">
        <f ca="1">IFERROR(__xludf.DUMMYFUNCTION("IMPORTRANGE(H37764,""IDENTITAS UNIT!D9"")"),"#N/A")</f>
        <v>#N/A</v>
      </c>
      <c r="H37764" s="4" t="str">
        <v/>
      </c>
      <c r="I37764" s="4" t="str">
        <v/>
      </c>
    </row>
    <row r="37765" spans="5:9" ht="16.5" hidden="1">
      <c r="E37765" s="4" t="str">
        <v/>
      </c>
      <c r="F37765" s="102" t="str">
        <f ca="1">IFERROR(__xludf.DUMMYFUNCTION("IMPORTRANGE(H37765,""IDENTITAS UNIT!D9"")"),"#N/A")</f>
        <v>#N/A</v>
      </c>
      <c r="H37765" s="4" t="str">
        <v/>
      </c>
      <c r="I37765" s="4" t="str">
        <v/>
      </c>
    </row>
    <row r="37766" spans="5:9" ht="16.5" hidden="1">
      <c r="E37766" s="4" t="str">
        <v/>
      </c>
      <c r="F37766" s="102" t="str">
        <f ca="1">IFERROR(__xludf.DUMMYFUNCTION("IMPORTRANGE(H37766,""IDENTITAS UNIT!D9"")"),"#N/A")</f>
        <v>#N/A</v>
      </c>
      <c r="H37766" s="4" t="str">
        <v/>
      </c>
      <c r="I37766" s="4" t="str">
        <v/>
      </c>
    </row>
    <row r="37767" spans="5:9" ht="16.5" hidden="1">
      <c r="E37767" s="4" t="str">
        <v/>
      </c>
      <c r="F37767" s="102" t="str">
        <f ca="1">IFERROR(__xludf.DUMMYFUNCTION("IMPORTRANGE(H37767,""IDENTITAS UNIT!D9"")"),"#N/A")</f>
        <v>#N/A</v>
      </c>
      <c r="H37767" s="4" t="str">
        <v/>
      </c>
      <c r="I37767" s="4" t="str">
        <v/>
      </c>
    </row>
    <row r="37768" spans="5:9" ht="16.5" hidden="1">
      <c r="E37768" s="4" t="str">
        <v/>
      </c>
      <c r="F37768" s="102" t="str">
        <f ca="1">IFERROR(__xludf.DUMMYFUNCTION("IMPORTRANGE(H37768,""IDENTITAS UNIT!D9"")"),"#N/A")</f>
        <v>#N/A</v>
      </c>
      <c r="H37768" s="4" t="str">
        <v/>
      </c>
      <c r="I37768" s="4" t="str">
        <v/>
      </c>
    </row>
    <row r="37769" spans="5:9" ht="16.5" hidden="1">
      <c r="E37769" s="4" t="str">
        <v/>
      </c>
      <c r="F37769" s="102" t="str">
        <f ca="1">IFERROR(__xludf.DUMMYFUNCTION("IMPORTRANGE(H37769,""IDENTITAS UNIT!D9"")"),"#N/A")</f>
        <v>#N/A</v>
      </c>
      <c r="H37769" s="4" t="str">
        <v/>
      </c>
      <c r="I37769" s="4" t="str">
        <v/>
      </c>
    </row>
    <row r="37770" spans="5:9" ht="16.5" hidden="1">
      <c r="E37770" s="4" t="str">
        <v/>
      </c>
      <c r="F37770" s="102" t="str">
        <f ca="1">IFERROR(__xludf.DUMMYFUNCTION("IMPORTRANGE(H37770,""IDENTITAS UNIT!D9"")"),"#N/A")</f>
        <v>#N/A</v>
      </c>
      <c r="H37770" s="4" t="str">
        <v/>
      </c>
      <c r="I37770" s="4" t="str">
        <v/>
      </c>
    </row>
    <row r="37771" spans="5:9" ht="16.5" hidden="1">
      <c r="E37771" s="4" t="str">
        <v/>
      </c>
      <c r="F37771" s="102" t="str">
        <f ca="1">IFERROR(__xludf.DUMMYFUNCTION("IMPORTRANGE(H37771,""IDENTITAS UNIT!D9"")"),"#N/A")</f>
        <v>#N/A</v>
      </c>
      <c r="H37771" s="4" t="str">
        <v/>
      </c>
      <c r="I37771" s="4" t="str">
        <v/>
      </c>
    </row>
    <row r="37772" spans="5:9" ht="16.5" hidden="1">
      <c r="E37772" s="4" t="str">
        <v/>
      </c>
      <c r="F37772" s="102" t="str">
        <f ca="1">IFERROR(__xludf.DUMMYFUNCTION("IMPORTRANGE(H37772,""IDENTITAS UNIT!D9"")"),"#N/A")</f>
        <v>#N/A</v>
      </c>
      <c r="H37772" s="4" t="str">
        <v/>
      </c>
      <c r="I37772" s="4" t="str">
        <v/>
      </c>
    </row>
    <row r="37773" spans="5:9" ht="16.5" hidden="1">
      <c r="E37773" s="4" t="str">
        <v/>
      </c>
      <c r="F37773" s="102" t="str">
        <f ca="1">IFERROR(__xludf.DUMMYFUNCTION("IMPORTRANGE(H37773,""IDENTITAS UNIT!D9"")"),"#N/A")</f>
        <v>#N/A</v>
      </c>
      <c r="H37773" s="4" t="str">
        <v/>
      </c>
      <c r="I37773" s="4" t="str">
        <v/>
      </c>
    </row>
    <row r="37774" spans="5:9" ht="16.5" hidden="1">
      <c r="E37774" s="4" t="str">
        <v/>
      </c>
      <c r="F37774" s="102" t="str">
        <f ca="1">IFERROR(__xludf.DUMMYFUNCTION("IMPORTRANGE(H37774,""IDENTITAS UNIT!D9"")"),"#N/A")</f>
        <v>#N/A</v>
      </c>
      <c r="H37774" s="4" t="str">
        <v/>
      </c>
      <c r="I37774" s="4" t="str">
        <v/>
      </c>
    </row>
    <row r="37775" spans="5:9" ht="16.5" hidden="1">
      <c r="E37775" s="4" t="str">
        <v/>
      </c>
      <c r="F37775" s="102" t="str">
        <f ca="1">IFERROR(__xludf.DUMMYFUNCTION("IMPORTRANGE(H37775,""IDENTITAS UNIT!D9"")"),"#N/A")</f>
        <v>#N/A</v>
      </c>
      <c r="H37775" s="4" t="str">
        <v/>
      </c>
      <c r="I37775" s="4" t="str">
        <v/>
      </c>
    </row>
    <row r="37776" spans="5:9" ht="16.5" hidden="1">
      <c r="E37776" s="4" t="str">
        <v/>
      </c>
      <c r="F37776" s="102" t="str">
        <f ca="1">IFERROR(__xludf.DUMMYFUNCTION("IMPORTRANGE(H37776,""IDENTITAS UNIT!D9"")"),"#N/A")</f>
        <v>#N/A</v>
      </c>
      <c r="H37776" s="4" t="str">
        <v/>
      </c>
      <c r="I37776" s="4" t="str">
        <v/>
      </c>
    </row>
    <row r="37777" spans="5:9" ht="16.5" hidden="1">
      <c r="E37777" s="4" t="str">
        <v/>
      </c>
      <c r="F37777" s="102" t="str">
        <f ca="1">IFERROR(__xludf.DUMMYFUNCTION("IMPORTRANGE(H37777,""IDENTITAS UNIT!D9"")"),"#N/A")</f>
        <v>#N/A</v>
      </c>
      <c r="H37777" s="4" t="str">
        <v/>
      </c>
      <c r="I37777" s="4" t="str">
        <v/>
      </c>
    </row>
    <row r="37778" spans="5:9" ht="16.5" hidden="1">
      <c r="E37778" s="4" t="str">
        <v/>
      </c>
      <c r="F37778" s="102" t="str">
        <f ca="1">IFERROR(__xludf.DUMMYFUNCTION("IMPORTRANGE(H37778,""IDENTITAS UNIT!D9"")"),"#N/A")</f>
        <v>#N/A</v>
      </c>
      <c r="H37778" s="4" t="str">
        <v/>
      </c>
      <c r="I37778" s="4" t="str">
        <v/>
      </c>
    </row>
    <row r="37779" spans="5:9" ht="16.5" hidden="1">
      <c r="E37779" s="4" t="str">
        <v/>
      </c>
      <c r="F37779" s="102" t="str">
        <f ca="1">IFERROR(__xludf.DUMMYFUNCTION("IMPORTRANGE(H37779,""IDENTITAS UNIT!D9"")"),"#N/A")</f>
        <v>#N/A</v>
      </c>
      <c r="H37779" s="4" t="str">
        <v/>
      </c>
      <c r="I37779" s="4" t="str">
        <v/>
      </c>
    </row>
    <row r="37780" spans="5:9" ht="16.5" hidden="1">
      <c r="E37780" s="4" t="str">
        <v/>
      </c>
      <c r="F37780" s="102" t="str">
        <f ca="1">IFERROR(__xludf.DUMMYFUNCTION("IMPORTRANGE(H37780,""IDENTITAS UNIT!D9"")"),"#N/A")</f>
        <v>#N/A</v>
      </c>
      <c r="H37780" s="4" t="str">
        <v/>
      </c>
      <c r="I37780" s="4" t="str">
        <v/>
      </c>
    </row>
    <row r="37781" spans="5:9" ht="16.5" hidden="1">
      <c r="E37781" s="4" t="str">
        <v/>
      </c>
      <c r="F37781" s="102" t="str">
        <f ca="1">IFERROR(__xludf.DUMMYFUNCTION("IMPORTRANGE(H37781,""IDENTITAS UNIT!D9"")"),"#N/A")</f>
        <v>#N/A</v>
      </c>
      <c r="H37781" s="4" t="str">
        <v/>
      </c>
      <c r="I37781" s="4" t="str">
        <v/>
      </c>
    </row>
    <row r="37782" spans="5:9" ht="16.5" hidden="1">
      <c r="E37782" s="4" t="str">
        <v/>
      </c>
      <c r="F37782" s="102" t="str">
        <f ca="1">IFERROR(__xludf.DUMMYFUNCTION("IMPORTRANGE(H37782,""IDENTITAS UNIT!D9"")"),"#N/A")</f>
        <v>#N/A</v>
      </c>
      <c r="H37782" s="4" t="str">
        <v/>
      </c>
      <c r="I37782" s="4" t="str">
        <v/>
      </c>
    </row>
    <row r="37783" spans="5:9" ht="16.5" hidden="1">
      <c r="E37783" s="4" t="str">
        <v/>
      </c>
      <c r="F37783" s="102" t="str">
        <f ca="1">IFERROR(__xludf.DUMMYFUNCTION("IMPORTRANGE(H37783,""IDENTITAS UNIT!D9"")"),"#N/A")</f>
        <v>#N/A</v>
      </c>
      <c r="H37783" s="4" t="str">
        <v/>
      </c>
      <c r="I37783" s="4" t="str">
        <v/>
      </c>
    </row>
    <row r="37784" spans="5:9" ht="16.5" hidden="1">
      <c r="E37784" s="4" t="str">
        <v/>
      </c>
      <c r="F37784" s="102" t="str">
        <f ca="1">IFERROR(__xludf.DUMMYFUNCTION("IMPORTRANGE(H37784,""IDENTITAS UNIT!D9"")"),"#N/A")</f>
        <v>#N/A</v>
      </c>
      <c r="H37784" s="4" t="str">
        <v/>
      </c>
      <c r="I37784" s="4" t="str">
        <v/>
      </c>
    </row>
    <row r="37785" spans="5:9" ht="16.5" hidden="1">
      <c r="E37785" s="4" t="str">
        <v/>
      </c>
      <c r="F37785" s="102" t="str">
        <f ca="1">IFERROR(__xludf.DUMMYFUNCTION("IMPORTRANGE(H37785,""IDENTITAS UNIT!D9"")"),"#N/A")</f>
        <v>#N/A</v>
      </c>
      <c r="H37785" s="4" t="str">
        <v/>
      </c>
      <c r="I37785" s="4" t="str">
        <v/>
      </c>
    </row>
    <row r="37786" spans="5:9" ht="16.5" hidden="1">
      <c r="E37786" s="4" t="str">
        <v/>
      </c>
      <c r="F37786" s="102" t="str">
        <f ca="1">IFERROR(__xludf.DUMMYFUNCTION("IMPORTRANGE(H37786,""IDENTITAS UNIT!D9"")"),"#N/A")</f>
        <v>#N/A</v>
      </c>
      <c r="H37786" s="4" t="str">
        <v/>
      </c>
      <c r="I37786" s="4" t="str">
        <v/>
      </c>
    </row>
    <row r="37787" spans="5:9" ht="16.5" hidden="1">
      <c r="E37787" s="4" t="str">
        <v/>
      </c>
      <c r="F37787" s="102" t="str">
        <f ca="1">IFERROR(__xludf.DUMMYFUNCTION("IMPORTRANGE(H37787,""IDENTITAS UNIT!D9"")"),"#N/A")</f>
        <v>#N/A</v>
      </c>
      <c r="H37787" s="4" t="str">
        <v/>
      </c>
      <c r="I37787" s="4" t="str">
        <v/>
      </c>
    </row>
    <row r="37788" spans="5:9" ht="16.5" hidden="1">
      <c r="E37788" s="4" t="str">
        <v/>
      </c>
      <c r="F37788" s="102" t="str">
        <f ca="1">IFERROR(__xludf.DUMMYFUNCTION("IMPORTRANGE(H37788,""IDENTITAS UNIT!D9"")"),"#N/A")</f>
        <v>#N/A</v>
      </c>
      <c r="H37788" s="4" t="str">
        <v/>
      </c>
      <c r="I37788" s="4" t="str">
        <v/>
      </c>
    </row>
    <row r="37789" spans="5:9" ht="16.5" hidden="1">
      <c r="E37789" s="4" t="str">
        <v/>
      </c>
      <c r="F37789" s="102" t="str">
        <f ca="1">IFERROR(__xludf.DUMMYFUNCTION("IMPORTRANGE(H37789,""IDENTITAS UNIT!D9"")"),"#N/A")</f>
        <v>#N/A</v>
      </c>
      <c r="H37789" s="4" t="str">
        <v/>
      </c>
      <c r="I37789" s="4" t="str">
        <v/>
      </c>
    </row>
    <row r="37790" spans="5:9" ht="16.5" hidden="1">
      <c r="E37790" s="4" t="str">
        <v/>
      </c>
      <c r="F37790" s="102" t="str">
        <f ca="1">IFERROR(__xludf.DUMMYFUNCTION("IMPORTRANGE(H37790,""IDENTITAS UNIT!D9"")"),"#N/A")</f>
        <v>#N/A</v>
      </c>
      <c r="H37790" s="4" t="str">
        <v/>
      </c>
      <c r="I37790" s="4" t="str">
        <v/>
      </c>
    </row>
    <row r="37791" spans="5:9" ht="16.5" hidden="1">
      <c r="E37791" s="4" t="str">
        <v/>
      </c>
      <c r="F37791" s="102" t="str">
        <f ca="1">IFERROR(__xludf.DUMMYFUNCTION("IMPORTRANGE(H37791,""IDENTITAS UNIT!D9"")"),"#N/A")</f>
        <v>#N/A</v>
      </c>
      <c r="H37791" s="4" t="str">
        <v/>
      </c>
      <c r="I37791" s="4" t="str">
        <v/>
      </c>
    </row>
    <row r="37792" spans="5:9" ht="16.5" hidden="1">
      <c r="E37792" s="4" t="str">
        <v/>
      </c>
      <c r="F37792" s="102" t="str">
        <f ca="1">IFERROR(__xludf.DUMMYFUNCTION("IMPORTRANGE(H37792,""IDENTITAS UNIT!D9"")"),"#N/A")</f>
        <v>#N/A</v>
      </c>
      <c r="H37792" s="4" t="str">
        <v/>
      </c>
      <c r="I37792" s="4" t="str">
        <v/>
      </c>
    </row>
    <row r="37793" spans="5:9" ht="16.5" hidden="1">
      <c r="E37793" s="4" t="str">
        <v/>
      </c>
      <c r="F37793" s="102" t="str">
        <f ca="1">IFERROR(__xludf.DUMMYFUNCTION("IMPORTRANGE(H37793,""IDENTITAS UNIT!D9"")"),"#N/A")</f>
        <v>#N/A</v>
      </c>
      <c r="H37793" s="4" t="str">
        <v/>
      </c>
      <c r="I37793" s="4" t="str">
        <v/>
      </c>
    </row>
    <row r="37794" spans="5:9" ht="16.5" hidden="1">
      <c r="E37794" s="4" t="str">
        <v/>
      </c>
      <c r="F37794" s="102" t="str">
        <f ca="1">IFERROR(__xludf.DUMMYFUNCTION("IMPORTRANGE(H37794,""IDENTITAS UNIT!D9"")"),"#N/A")</f>
        <v>#N/A</v>
      </c>
      <c r="H37794" s="4" t="str">
        <v/>
      </c>
      <c r="I37794" s="4" t="str">
        <v/>
      </c>
    </row>
    <row r="37795" spans="5:9" ht="16.5" hidden="1">
      <c r="E37795" s="4" t="str">
        <v/>
      </c>
      <c r="F37795" s="102" t="str">
        <f ca="1">IFERROR(__xludf.DUMMYFUNCTION("IMPORTRANGE(H37795,""IDENTITAS UNIT!D9"")"),"#N/A")</f>
        <v>#N/A</v>
      </c>
      <c r="H37795" s="4" t="str">
        <v/>
      </c>
      <c r="I37795" s="4" t="str">
        <v/>
      </c>
    </row>
    <row r="37796" spans="5:9" ht="16.5" hidden="1">
      <c r="E37796" s="4" t="str">
        <v/>
      </c>
      <c r="F37796" s="102" t="str">
        <f ca="1">IFERROR(__xludf.DUMMYFUNCTION("IMPORTRANGE(H37796,""IDENTITAS UNIT!D9"")"),"#N/A")</f>
        <v>#N/A</v>
      </c>
      <c r="H37796" s="4" t="str">
        <v/>
      </c>
      <c r="I37796" s="4" t="str">
        <v/>
      </c>
    </row>
    <row r="37797" spans="5:9" ht="16.5" hidden="1">
      <c r="E37797" s="4" t="str">
        <v/>
      </c>
      <c r="F37797" s="102" t="str">
        <f ca="1">IFERROR(__xludf.DUMMYFUNCTION("IMPORTRANGE(H37797,""IDENTITAS UNIT!D9"")"),"#N/A")</f>
        <v>#N/A</v>
      </c>
      <c r="H37797" s="4" t="str">
        <v/>
      </c>
      <c r="I37797" s="4" t="str">
        <v/>
      </c>
    </row>
    <row r="37798" spans="5:9" ht="16.5" hidden="1">
      <c r="E37798" s="4" t="str">
        <v/>
      </c>
      <c r="F37798" s="102" t="str">
        <f ca="1">IFERROR(__xludf.DUMMYFUNCTION("IMPORTRANGE(H37798,""IDENTITAS UNIT!D9"")"),"#N/A")</f>
        <v>#N/A</v>
      </c>
      <c r="H37798" s="4" t="str">
        <v/>
      </c>
      <c r="I37798" s="4" t="str">
        <v/>
      </c>
    </row>
    <row r="37799" spans="5:9" ht="16.5" hidden="1">
      <c r="E37799" s="4" t="str">
        <v/>
      </c>
      <c r="F37799" s="102" t="str">
        <f ca="1">IFERROR(__xludf.DUMMYFUNCTION("IMPORTRANGE(H37799,""IDENTITAS UNIT!D9"")"),"#N/A")</f>
        <v>#N/A</v>
      </c>
      <c r="H37799" s="4" t="str">
        <v/>
      </c>
      <c r="I37799" s="4" t="str">
        <v/>
      </c>
    </row>
    <row r="37800" spans="5:9" ht="16.5" hidden="1">
      <c r="E37800" s="4" t="str">
        <v/>
      </c>
      <c r="F37800" s="102" t="str">
        <f ca="1">IFERROR(__xludf.DUMMYFUNCTION("IMPORTRANGE(H37800,""IDENTITAS UNIT!D9"")"),"#N/A")</f>
        <v>#N/A</v>
      </c>
      <c r="H37800" s="4" t="str">
        <v/>
      </c>
      <c r="I37800" s="4" t="str">
        <v/>
      </c>
    </row>
    <row r="37801" spans="5:9" ht="16.5" hidden="1">
      <c r="E37801" s="4" t="str">
        <v/>
      </c>
      <c r="F37801" s="102" t="str">
        <f ca="1">IFERROR(__xludf.DUMMYFUNCTION("IMPORTRANGE(H37801,""IDENTITAS UNIT!D9"")"),"#N/A")</f>
        <v>#N/A</v>
      </c>
      <c r="H37801" s="4" t="str">
        <v/>
      </c>
      <c r="I37801" s="4" t="str">
        <v/>
      </c>
    </row>
    <row r="37802" spans="5:9" ht="16.5" hidden="1">
      <c r="E37802" s="4" t="str">
        <v/>
      </c>
      <c r="F37802" s="102" t="str">
        <f ca="1">IFERROR(__xludf.DUMMYFUNCTION("IMPORTRANGE(H37802,""IDENTITAS UNIT!D9"")"),"#N/A")</f>
        <v>#N/A</v>
      </c>
      <c r="H37802" s="4" t="str">
        <v/>
      </c>
      <c r="I37802" s="4" t="str">
        <v/>
      </c>
    </row>
    <row r="37803" spans="5:9" ht="16.5" hidden="1">
      <c r="E37803" s="4" t="str">
        <v/>
      </c>
      <c r="F37803" s="102" t="str">
        <f ca="1">IFERROR(__xludf.DUMMYFUNCTION("IMPORTRANGE(H37803,""IDENTITAS UNIT!D9"")"),"#N/A")</f>
        <v>#N/A</v>
      </c>
      <c r="H37803" s="4" t="str">
        <v/>
      </c>
      <c r="I37803" s="4" t="str">
        <v/>
      </c>
    </row>
    <row r="37804" spans="5:9" ht="16.5" hidden="1">
      <c r="E37804" s="4" t="str">
        <v/>
      </c>
      <c r="F37804" s="102" t="str">
        <f ca="1">IFERROR(__xludf.DUMMYFUNCTION("IMPORTRANGE(H37804,""IDENTITAS UNIT!D9"")"),"#N/A")</f>
        <v>#N/A</v>
      </c>
      <c r="H37804" s="4" t="str">
        <v/>
      </c>
      <c r="I37804" s="4" t="str">
        <v/>
      </c>
    </row>
    <row r="37805" spans="5:9" ht="16.5" hidden="1">
      <c r="E37805" s="4" t="str">
        <v/>
      </c>
      <c r="F37805" s="102" t="str">
        <f ca="1">IFERROR(__xludf.DUMMYFUNCTION("IMPORTRANGE(H37805,""IDENTITAS UNIT!D9"")"),"#N/A")</f>
        <v>#N/A</v>
      </c>
      <c r="H37805" s="4" t="str">
        <v/>
      </c>
      <c r="I37805" s="4" t="str">
        <v/>
      </c>
    </row>
    <row r="37806" spans="5:9" ht="16.5" hidden="1">
      <c r="E37806" s="4" t="str">
        <v/>
      </c>
      <c r="F37806" s="102" t="str">
        <f ca="1">IFERROR(__xludf.DUMMYFUNCTION("IMPORTRANGE(H37806,""IDENTITAS UNIT!D9"")"),"#N/A")</f>
        <v>#N/A</v>
      </c>
      <c r="H37806" s="4" t="str">
        <v/>
      </c>
      <c r="I37806" s="4" t="str">
        <v/>
      </c>
    </row>
    <row r="37807" spans="5:9" ht="16.5" hidden="1">
      <c r="E37807" s="4" t="str">
        <v/>
      </c>
      <c r="F37807" s="102" t="str">
        <f ca="1">IFERROR(__xludf.DUMMYFUNCTION("IMPORTRANGE(H37807,""IDENTITAS UNIT!D9"")"),"#N/A")</f>
        <v>#N/A</v>
      </c>
      <c r="H37807" s="4" t="str">
        <v/>
      </c>
      <c r="I37807" s="4" t="str">
        <v/>
      </c>
    </row>
    <row r="37808" spans="5:9" ht="16.5" hidden="1">
      <c r="E37808" s="4" t="str">
        <v/>
      </c>
      <c r="F37808" s="102" t="str">
        <f ca="1">IFERROR(__xludf.DUMMYFUNCTION("IMPORTRANGE(H37808,""IDENTITAS UNIT!D9"")"),"#N/A")</f>
        <v>#N/A</v>
      </c>
      <c r="H37808" s="4" t="str">
        <v/>
      </c>
      <c r="I37808" s="4" t="str">
        <v/>
      </c>
    </row>
    <row r="37809" spans="5:9" ht="16.5" hidden="1">
      <c r="E37809" s="4" t="str">
        <v/>
      </c>
      <c r="F37809" s="102" t="str">
        <f ca="1">IFERROR(__xludf.DUMMYFUNCTION("IMPORTRANGE(H37809,""IDENTITAS UNIT!D9"")"),"#N/A")</f>
        <v>#N/A</v>
      </c>
      <c r="H37809" s="4" t="str">
        <v/>
      </c>
      <c r="I37809" s="4" t="str">
        <v/>
      </c>
    </row>
    <row r="37810" spans="5:9" ht="16.5" hidden="1">
      <c r="E37810" s="4" t="str">
        <v/>
      </c>
      <c r="F37810" s="102" t="str">
        <f ca="1">IFERROR(__xludf.DUMMYFUNCTION("IMPORTRANGE(H37810,""IDENTITAS UNIT!D9"")"),"#N/A")</f>
        <v>#N/A</v>
      </c>
      <c r="H37810" s="4" t="str">
        <v/>
      </c>
      <c r="I37810" s="4" t="str">
        <v/>
      </c>
    </row>
    <row r="37811" spans="5:9" ht="16.5" hidden="1">
      <c r="E37811" s="4" t="str">
        <v/>
      </c>
      <c r="F37811" s="102" t="str">
        <f ca="1">IFERROR(__xludf.DUMMYFUNCTION("IMPORTRANGE(H37811,""IDENTITAS UNIT!D9"")"),"#N/A")</f>
        <v>#N/A</v>
      </c>
      <c r="H37811" s="4" t="str">
        <v/>
      </c>
      <c r="I37811" s="4" t="str">
        <v/>
      </c>
    </row>
    <row r="37812" spans="5:9" ht="16.5" hidden="1">
      <c r="E37812" s="4" t="str">
        <v/>
      </c>
      <c r="F37812" s="102" t="str">
        <f ca="1">IFERROR(__xludf.DUMMYFUNCTION("IMPORTRANGE(H37812,""IDENTITAS UNIT!D9"")"),"#N/A")</f>
        <v>#N/A</v>
      </c>
      <c r="H37812" s="4" t="str">
        <v/>
      </c>
      <c r="I37812" s="4" t="str">
        <v/>
      </c>
    </row>
    <row r="37813" spans="5:9" ht="16.5" hidden="1">
      <c r="E37813" s="4" t="str">
        <v/>
      </c>
      <c r="F37813" s="102" t="str">
        <f ca="1">IFERROR(__xludf.DUMMYFUNCTION("IMPORTRANGE(H37813,""IDENTITAS UNIT!D9"")"),"#N/A")</f>
        <v>#N/A</v>
      </c>
      <c r="H37813" s="4" t="str">
        <v/>
      </c>
      <c r="I37813" s="4" t="str">
        <v/>
      </c>
    </row>
    <row r="37814" spans="5:9" ht="16.5" hidden="1">
      <c r="E37814" s="4" t="str">
        <v/>
      </c>
      <c r="F37814" s="102" t="str">
        <f ca="1">IFERROR(__xludf.DUMMYFUNCTION("IMPORTRANGE(H37814,""IDENTITAS UNIT!D9"")"),"#N/A")</f>
        <v>#N/A</v>
      </c>
      <c r="H37814" s="4" t="str">
        <v/>
      </c>
      <c r="I37814" s="4" t="str">
        <v/>
      </c>
    </row>
    <row r="37815" spans="5:9" ht="16.5" hidden="1">
      <c r="E37815" s="4" t="str">
        <v/>
      </c>
      <c r="F37815" s="102" t="str">
        <f ca="1">IFERROR(__xludf.DUMMYFUNCTION("IMPORTRANGE(H37815,""IDENTITAS UNIT!D9"")"),"#N/A")</f>
        <v>#N/A</v>
      </c>
      <c r="H37815" s="4" t="str">
        <v/>
      </c>
      <c r="I37815" s="4" t="str">
        <v/>
      </c>
    </row>
    <row r="37816" spans="5:9" ht="16.5" hidden="1">
      <c r="E37816" s="4" t="str">
        <v/>
      </c>
      <c r="F37816" s="102" t="str">
        <f ca="1">IFERROR(__xludf.DUMMYFUNCTION("IMPORTRANGE(H37816,""IDENTITAS UNIT!D9"")"),"#N/A")</f>
        <v>#N/A</v>
      </c>
      <c r="H37816" s="4" t="str">
        <v/>
      </c>
      <c r="I37816" s="4" t="str">
        <v/>
      </c>
    </row>
    <row r="37817" spans="5:9" ht="16.5" hidden="1">
      <c r="E37817" s="4" t="str">
        <v/>
      </c>
      <c r="F37817" s="102" t="str">
        <f ca="1">IFERROR(__xludf.DUMMYFUNCTION("IMPORTRANGE(H37817,""IDENTITAS UNIT!D9"")"),"#N/A")</f>
        <v>#N/A</v>
      </c>
      <c r="H37817" s="4" t="str">
        <v/>
      </c>
      <c r="I37817" s="4" t="str">
        <v/>
      </c>
    </row>
    <row r="37818" spans="5:9" ht="16.5" hidden="1">
      <c r="E37818" s="4" t="str">
        <v/>
      </c>
      <c r="F37818" s="102" t="str">
        <f ca="1">IFERROR(__xludf.DUMMYFUNCTION("IMPORTRANGE(H37818,""IDENTITAS UNIT!D9"")"),"#N/A")</f>
        <v>#N/A</v>
      </c>
      <c r="H37818" s="4" t="str">
        <v/>
      </c>
      <c r="I37818" s="4" t="str">
        <v/>
      </c>
    </row>
    <row r="37819" spans="5:9" ht="16.5" hidden="1">
      <c r="E37819" s="4" t="str">
        <v/>
      </c>
      <c r="F37819" s="102" t="str">
        <f ca="1">IFERROR(__xludf.DUMMYFUNCTION("IMPORTRANGE(H37819,""IDENTITAS UNIT!D9"")"),"#N/A")</f>
        <v>#N/A</v>
      </c>
      <c r="H37819" s="4" t="str">
        <v/>
      </c>
      <c r="I37819" s="4" t="str">
        <v/>
      </c>
    </row>
    <row r="37820" spans="5:9" ht="16.5" hidden="1">
      <c r="E37820" s="4" t="str">
        <v/>
      </c>
      <c r="F37820" s="102" t="str">
        <f ca="1">IFERROR(__xludf.DUMMYFUNCTION("IMPORTRANGE(H37820,""IDENTITAS UNIT!D9"")"),"#N/A")</f>
        <v>#N/A</v>
      </c>
      <c r="H37820" s="4" t="str">
        <v/>
      </c>
      <c r="I37820" s="4" t="str">
        <v/>
      </c>
    </row>
    <row r="37821" spans="5:9" ht="16.5" hidden="1">
      <c r="E37821" s="4" t="str">
        <v/>
      </c>
      <c r="F37821" s="102" t="str">
        <f ca="1">IFERROR(__xludf.DUMMYFUNCTION("IMPORTRANGE(H37821,""IDENTITAS UNIT!D9"")"),"#N/A")</f>
        <v>#N/A</v>
      </c>
      <c r="H37821" s="4" t="str">
        <v/>
      </c>
      <c r="I37821" s="4" t="str">
        <v/>
      </c>
    </row>
    <row r="37822" spans="5:9" ht="16.5" hidden="1">
      <c r="E37822" s="4" t="str">
        <v/>
      </c>
      <c r="F37822" s="102" t="str">
        <f ca="1">IFERROR(__xludf.DUMMYFUNCTION("IMPORTRANGE(H37822,""IDENTITAS UNIT!D9"")"),"#N/A")</f>
        <v>#N/A</v>
      </c>
      <c r="H37822" s="4" t="str">
        <v/>
      </c>
      <c r="I37822" s="4" t="str">
        <v/>
      </c>
    </row>
    <row r="37823" spans="5:9" ht="16.5" hidden="1">
      <c r="E37823" s="4" t="str">
        <v/>
      </c>
      <c r="F37823" s="102" t="str">
        <f ca="1">IFERROR(__xludf.DUMMYFUNCTION("IMPORTRANGE(H37823,""IDENTITAS UNIT!D9"")"),"#N/A")</f>
        <v>#N/A</v>
      </c>
      <c r="H37823" s="4" t="str">
        <v/>
      </c>
      <c r="I37823" s="4" t="str">
        <v/>
      </c>
    </row>
    <row r="37824" spans="5:9" ht="16.5" hidden="1">
      <c r="E37824" s="4" t="str">
        <v/>
      </c>
      <c r="F37824" s="102" t="str">
        <f ca="1">IFERROR(__xludf.DUMMYFUNCTION("IMPORTRANGE(H37824,""IDENTITAS UNIT!D9"")"),"#N/A")</f>
        <v>#N/A</v>
      </c>
      <c r="H37824" s="4" t="str">
        <v/>
      </c>
      <c r="I37824" s="4" t="str">
        <v/>
      </c>
    </row>
    <row r="37825" spans="5:9" ht="16.5" hidden="1">
      <c r="E37825" s="4" t="str">
        <v/>
      </c>
      <c r="F37825" s="102" t="str">
        <f ca="1">IFERROR(__xludf.DUMMYFUNCTION("IMPORTRANGE(H37825,""IDENTITAS UNIT!D9"")"),"#N/A")</f>
        <v>#N/A</v>
      </c>
      <c r="H37825" s="4" t="str">
        <v/>
      </c>
      <c r="I37825" s="4" t="str">
        <v/>
      </c>
    </row>
    <row r="37826" spans="5:9" ht="16.5" hidden="1">
      <c r="E37826" s="4" t="str">
        <v/>
      </c>
      <c r="F37826" s="102" t="str">
        <f ca="1">IFERROR(__xludf.DUMMYFUNCTION("IMPORTRANGE(H37826,""IDENTITAS UNIT!D9"")"),"#N/A")</f>
        <v>#N/A</v>
      </c>
      <c r="H37826" s="4" t="str">
        <v/>
      </c>
      <c r="I37826" s="4" t="str">
        <v/>
      </c>
    </row>
    <row r="37827" spans="5:9" ht="16.5" hidden="1">
      <c r="E37827" s="4" t="str">
        <v/>
      </c>
      <c r="F37827" s="102" t="str">
        <f ca="1">IFERROR(__xludf.DUMMYFUNCTION("IMPORTRANGE(H37827,""IDENTITAS UNIT!D9"")"),"#N/A")</f>
        <v>#N/A</v>
      </c>
      <c r="H37827" s="4" t="str">
        <v/>
      </c>
      <c r="I37827" s="4" t="str">
        <v/>
      </c>
    </row>
    <row r="37828" spans="5:9" ht="16.5" hidden="1">
      <c r="E37828" s="4" t="str">
        <v/>
      </c>
      <c r="F37828" s="102" t="str">
        <f ca="1">IFERROR(__xludf.DUMMYFUNCTION("IMPORTRANGE(H37828,""IDENTITAS UNIT!D9"")"),"#N/A")</f>
        <v>#N/A</v>
      </c>
      <c r="H37828" s="4" t="str">
        <v/>
      </c>
      <c r="I37828" s="4" t="str">
        <v/>
      </c>
    </row>
    <row r="37829" spans="5:9" ht="16.5" hidden="1">
      <c r="E37829" s="4" t="str">
        <v/>
      </c>
      <c r="F37829" s="102" t="str">
        <f ca="1">IFERROR(__xludf.DUMMYFUNCTION("IMPORTRANGE(H37829,""IDENTITAS UNIT!D9"")"),"#N/A")</f>
        <v>#N/A</v>
      </c>
      <c r="H37829" s="4" t="str">
        <v/>
      </c>
      <c r="I37829" s="4" t="str">
        <v/>
      </c>
    </row>
    <row r="37830" spans="5:9" ht="16.5" hidden="1">
      <c r="E37830" s="4" t="str">
        <v/>
      </c>
      <c r="F37830" s="102" t="str">
        <f ca="1">IFERROR(__xludf.DUMMYFUNCTION("IMPORTRANGE(H37830,""IDENTITAS UNIT!D9"")"),"#N/A")</f>
        <v>#N/A</v>
      </c>
      <c r="H37830" s="4" t="str">
        <v/>
      </c>
      <c r="I37830" s="4" t="str">
        <v/>
      </c>
    </row>
    <row r="37831" spans="5:9" ht="16.5" hidden="1">
      <c r="E37831" s="4" t="str">
        <v/>
      </c>
      <c r="F37831" s="102" t="str">
        <f ca="1">IFERROR(__xludf.DUMMYFUNCTION("IMPORTRANGE(H37831,""IDENTITAS UNIT!D9"")"),"#N/A")</f>
        <v>#N/A</v>
      </c>
      <c r="H37831" s="4" t="str">
        <v/>
      </c>
      <c r="I37831" s="4" t="str">
        <v/>
      </c>
    </row>
    <row r="37832" spans="5:9" ht="16.5" hidden="1">
      <c r="E37832" s="4" t="str">
        <v/>
      </c>
      <c r="F37832" s="102" t="str">
        <f ca="1">IFERROR(__xludf.DUMMYFUNCTION("IMPORTRANGE(H37832,""IDENTITAS UNIT!D9"")"),"#N/A")</f>
        <v>#N/A</v>
      </c>
      <c r="H37832" s="4" t="str">
        <v/>
      </c>
      <c r="I37832" s="4" t="str">
        <v/>
      </c>
    </row>
    <row r="37833" spans="5:9" ht="16.5" hidden="1">
      <c r="E37833" s="4" t="str">
        <v/>
      </c>
      <c r="F37833" s="102" t="str">
        <f ca="1">IFERROR(__xludf.DUMMYFUNCTION("IMPORTRANGE(H37833,""IDENTITAS UNIT!D9"")"),"#N/A")</f>
        <v>#N/A</v>
      </c>
      <c r="H37833" s="4" t="str">
        <v/>
      </c>
      <c r="I37833" s="4" t="str">
        <v/>
      </c>
    </row>
    <row r="37834" spans="5:9" ht="16.5" hidden="1">
      <c r="E37834" s="4" t="str">
        <v/>
      </c>
      <c r="F37834" s="102" t="str">
        <f ca="1">IFERROR(__xludf.DUMMYFUNCTION("IMPORTRANGE(H37834,""IDENTITAS UNIT!D9"")"),"#N/A")</f>
        <v>#N/A</v>
      </c>
      <c r="H37834" s="4" t="str">
        <v/>
      </c>
      <c r="I37834" s="4" t="str">
        <v/>
      </c>
    </row>
    <row r="37835" spans="5:9" ht="16.5" hidden="1">
      <c r="E37835" s="4" t="str">
        <v/>
      </c>
      <c r="F37835" s="102" t="str">
        <f ca="1">IFERROR(__xludf.DUMMYFUNCTION("IMPORTRANGE(H37835,""IDENTITAS UNIT!D9"")"),"#N/A")</f>
        <v>#N/A</v>
      </c>
      <c r="H37835" s="4" t="str">
        <v/>
      </c>
      <c r="I37835" s="4" t="str">
        <v/>
      </c>
    </row>
    <row r="37836" spans="5:9" ht="16.5" hidden="1">
      <c r="E37836" s="4" t="str">
        <v/>
      </c>
      <c r="F37836" s="102" t="str">
        <f ca="1">IFERROR(__xludf.DUMMYFUNCTION("IMPORTRANGE(H37836,""IDENTITAS UNIT!D9"")"),"#N/A")</f>
        <v>#N/A</v>
      </c>
      <c r="H37836" s="4" t="str">
        <v/>
      </c>
      <c r="I37836" s="4" t="str">
        <v/>
      </c>
    </row>
    <row r="37837" spans="5:9" ht="16.5" hidden="1">
      <c r="E37837" s="4" t="str">
        <v/>
      </c>
      <c r="F37837" s="102" t="str">
        <f ca="1">IFERROR(__xludf.DUMMYFUNCTION("IMPORTRANGE(H37837,""IDENTITAS UNIT!D9"")"),"#N/A")</f>
        <v>#N/A</v>
      </c>
      <c r="H37837" s="4" t="str">
        <v/>
      </c>
      <c r="I37837" s="4" t="str">
        <v/>
      </c>
    </row>
    <row r="37838" spans="5:9" ht="16.5" hidden="1">
      <c r="E37838" s="4" t="str">
        <v/>
      </c>
      <c r="F37838" s="102" t="str">
        <f ca="1">IFERROR(__xludf.DUMMYFUNCTION("IMPORTRANGE(H37838,""IDENTITAS UNIT!D9"")"),"#N/A")</f>
        <v>#N/A</v>
      </c>
      <c r="H37838" s="4" t="str">
        <v/>
      </c>
      <c r="I37838" s="4" t="str">
        <v/>
      </c>
    </row>
    <row r="37839" spans="5:9" ht="16.5" hidden="1">
      <c r="E37839" s="4" t="str">
        <v/>
      </c>
      <c r="F37839" s="102" t="str">
        <f ca="1">IFERROR(__xludf.DUMMYFUNCTION("IMPORTRANGE(H37839,""IDENTITAS UNIT!D9"")"),"#N/A")</f>
        <v>#N/A</v>
      </c>
      <c r="H37839" s="4" t="str">
        <v/>
      </c>
      <c r="I37839" s="4" t="str">
        <v/>
      </c>
    </row>
    <row r="37840" spans="5:9" ht="16.5" hidden="1">
      <c r="E37840" s="4" t="str">
        <v/>
      </c>
      <c r="F37840" s="102" t="str">
        <f ca="1">IFERROR(__xludf.DUMMYFUNCTION("IMPORTRANGE(H37840,""IDENTITAS UNIT!D9"")"),"#N/A")</f>
        <v>#N/A</v>
      </c>
      <c r="H37840" s="4" t="str">
        <v/>
      </c>
      <c r="I37840" s="4" t="str">
        <v/>
      </c>
    </row>
    <row r="37841" spans="5:9" ht="16.5" hidden="1">
      <c r="E37841" s="4" t="str">
        <v/>
      </c>
      <c r="F37841" s="102" t="str">
        <f ca="1">IFERROR(__xludf.DUMMYFUNCTION("IMPORTRANGE(H37841,""IDENTITAS UNIT!D9"")"),"#N/A")</f>
        <v>#N/A</v>
      </c>
      <c r="H37841" s="4" t="str">
        <v/>
      </c>
      <c r="I37841" s="4" t="str">
        <v/>
      </c>
    </row>
    <row r="37842" spans="5:9" ht="16.5" hidden="1">
      <c r="E37842" s="4" t="str">
        <v/>
      </c>
      <c r="F37842" s="102" t="str">
        <f ca="1">IFERROR(__xludf.DUMMYFUNCTION("IMPORTRANGE(H37842,""IDENTITAS UNIT!D9"")"),"#N/A")</f>
        <v>#N/A</v>
      </c>
      <c r="H37842" s="4" t="str">
        <v/>
      </c>
      <c r="I37842" s="4" t="str">
        <v/>
      </c>
    </row>
    <row r="37843" spans="5:9" ht="16.5" hidden="1">
      <c r="E37843" s="4" t="str">
        <v/>
      </c>
      <c r="F37843" s="102" t="str">
        <f ca="1">IFERROR(__xludf.DUMMYFUNCTION("IMPORTRANGE(H37843,""IDENTITAS UNIT!D9"")"),"#N/A")</f>
        <v>#N/A</v>
      </c>
      <c r="H37843" s="4" t="str">
        <v/>
      </c>
      <c r="I37843" s="4" t="str">
        <v/>
      </c>
    </row>
    <row r="37844" spans="5:9" ht="16.5" hidden="1">
      <c r="E37844" s="4" t="str">
        <v/>
      </c>
      <c r="F37844" s="102" t="str">
        <f ca="1">IFERROR(__xludf.DUMMYFUNCTION("IMPORTRANGE(H37844,""IDENTITAS UNIT!D9"")"),"#N/A")</f>
        <v>#N/A</v>
      </c>
      <c r="H37844" s="4" t="str">
        <v/>
      </c>
      <c r="I37844" s="4" t="str">
        <v/>
      </c>
    </row>
    <row r="37845" spans="5:9" ht="16.5" hidden="1">
      <c r="E37845" s="4" t="str">
        <v/>
      </c>
      <c r="F37845" s="102" t="str">
        <f ca="1">IFERROR(__xludf.DUMMYFUNCTION("IMPORTRANGE(H37845,""IDENTITAS UNIT!D9"")"),"#N/A")</f>
        <v>#N/A</v>
      </c>
      <c r="H37845" s="4" t="str">
        <v/>
      </c>
      <c r="I37845" s="4" t="str">
        <v/>
      </c>
    </row>
    <row r="37846" spans="5:9" ht="16.5" hidden="1">
      <c r="E37846" s="4" t="str">
        <v/>
      </c>
      <c r="F37846" s="102" t="str">
        <f ca="1">IFERROR(__xludf.DUMMYFUNCTION("IMPORTRANGE(H37846,""IDENTITAS UNIT!D9"")"),"#N/A")</f>
        <v>#N/A</v>
      </c>
      <c r="H37846" s="4" t="str">
        <v/>
      </c>
      <c r="I37846" s="4" t="str">
        <v/>
      </c>
    </row>
    <row r="37847" spans="5:9" ht="16.5" hidden="1">
      <c r="E37847" s="4" t="str">
        <v/>
      </c>
      <c r="F37847" s="102" t="str">
        <f ca="1">IFERROR(__xludf.DUMMYFUNCTION("IMPORTRANGE(H37847,""IDENTITAS UNIT!D9"")"),"#N/A")</f>
        <v>#N/A</v>
      </c>
      <c r="H37847" s="4" t="str">
        <v/>
      </c>
      <c r="I37847" s="4" t="str">
        <v/>
      </c>
    </row>
    <row r="37848" spans="5:9" ht="16.5" hidden="1">
      <c r="E37848" s="4" t="str">
        <v/>
      </c>
      <c r="F37848" s="102" t="str">
        <f ca="1">IFERROR(__xludf.DUMMYFUNCTION("IMPORTRANGE(H37848,""IDENTITAS UNIT!D9"")"),"#N/A")</f>
        <v>#N/A</v>
      </c>
      <c r="H37848" s="4" t="str">
        <v/>
      </c>
      <c r="I37848" s="4" t="str">
        <v/>
      </c>
    </row>
    <row r="37849" spans="5:9" ht="16.5" hidden="1">
      <c r="E37849" s="4" t="str">
        <v/>
      </c>
      <c r="F37849" s="102" t="str">
        <f ca="1">IFERROR(__xludf.DUMMYFUNCTION("IMPORTRANGE(H37849,""IDENTITAS UNIT!D9"")"),"#N/A")</f>
        <v>#N/A</v>
      </c>
      <c r="H37849" s="4" t="str">
        <v/>
      </c>
      <c r="I37849" s="4" t="str">
        <v/>
      </c>
    </row>
    <row r="37850" spans="5:9" ht="16.5" hidden="1">
      <c r="E37850" s="4" t="str">
        <v/>
      </c>
      <c r="F37850" s="102" t="str">
        <f ca="1">IFERROR(__xludf.DUMMYFUNCTION("IMPORTRANGE(H37850,""IDENTITAS UNIT!D9"")"),"#N/A")</f>
        <v>#N/A</v>
      </c>
      <c r="H37850" s="4" t="str">
        <v/>
      </c>
      <c r="I37850" s="4" t="str">
        <v/>
      </c>
    </row>
    <row r="37851" spans="5:9" ht="16.5" hidden="1">
      <c r="E37851" s="4" t="str">
        <v/>
      </c>
      <c r="F37851" s="102" t="str">
        <f ca="1">IFERROR(__xludf.DUMMYFUNCTION("IMPORTRANGE(H37851,""IDENTITAS UNIT!D9"")"),"#N/A")</f>
        <v>#N/A</v>
      </c>
      <c r="H37851" s="4" t="str">
        <v/>
      </c>
      <c r="I37851" s="4" t="str">
        <v/>
      </c>
    </row>
    <row r="37852" spans="5:9" ht="16.5" hidden="1">
      <c r="E37852" s="4" t="str">
        <v/>
      </c>
      <c r="F37852" s="102" t="str">
        <f ca="1">IFERROR(__xludf.DUMMYFUNCTION("IMPORTRANGE(H37852,""IDENTITAS UNIT!D9"")"),"#N/A")</f>
        <v>#N/A</v>
      </c>
      <c r="H37852" s="4" t="str">
        <v/>
      </c>
      <c r="I37852" s="4" t="str">
        <v/>
      </c>
    </row>
    <row r="37853" spans="5:9" ht="16.5" hidden="1">
      <c r="E37853" s="4" t="str">
        <v/>
      </c>
      <c r="F37853" s="102" t="str">
        <f ca="1">IFERROR(__xludf.DUMMYFUNCTION("IMPORTRANGE(H37853,""IDENTITAS UNIT!D9"")"),"#N/A")</f>
        <v>#N/A</v>
      </c>
      <c r="H37853" s="4" t="str">
        <v/>
      </c>
      <c r="I37853" s="4" t="str">
        <v/>
      </c>
    </row>
    <row r="37854" spans="5:9" ht="16.5" hidden="1">
      <c r="E37854" s="4" t="str">
        <v/>
      </c>
      <c r="F37854" s="102" t="str">
        <f ca="1">IFERROR(__xludf.DUMMYFUNCTION("IMPORTRANGE(H37854,""IDENTITAS UNIT!D9"")"),"#N/A")</f>
        <v>#N/A</v>
      </c>
      <c r="H37854" s="4" t="str">
        <v/>
      </c>
      <c r="I37854" s="4" t="str">
        <v/>
      </c>
    </row>
    <row r="37855" spans="5:9" ht="16.5" hidden="1">
      <c r="E37855" s="4" t="str">
        <v/>
      </c>
      <c r="F37855" s="102" t="str">
        <f ca="1">IFERROR(__xludf.DUMMYFUNCTION("IMPORTRANGE(H37855,""IDENTITAS UNIT!D9"")"),"#N/A")</f>
        <v>#N/A</v>
      </c>
      <c r="H37855" s="4" t="str">
        <v/>
      </c>
      <c r="I37855" s="4" t="str">
        <v/>
      </c>
    </row>
    <row r="37856" spans="5:9" ht="16.5" hidden="1">
      <c r="E37856" s="4" t="str">
        <v/>
      </c>
      <c r="F37856" s="102" t="str">
        <f ca="1">IFERROR(__xludf.DUMMYFUNCTION("IMPORTRANGE(H37856,""IDENTITAS UNIT!D9"")"),"#N/A")</f>
        <v>#N/A</v>
      </c>
      <c r="H37856" s="4" t="str">
        <v/>
      </c>
      <c r="I37856" s="4" t="str">
        <v/>
      </c>
    </row>
    <row r="37857" spans="5:9" ht="16.5" hidden="1">
      <c r="E37857" s="4" t="str">
        <v/>
      </c>
      <c r="F37857" s="102" t="str">
        <f ca="1">IFERROR(__xludf.DUMMYFUNCTION("IMPORTRANGE(H37857,""IDENTITAS UNIT!D9"")"),"#N/A")</f>
        <v>#N/A</v>
      </c>
      <c r="H37857" s="4" t="str">
        <v/>
      </c>
      <c r="I37857" s="4" t="str">
        <v/>
      </c>
    </row>
    <row r="37858" spans="5:9" ht="16.5" hidden="1">
      <c r="E37858" s="4" t="str">
        <v/>
      </c>
      <c r="F37858" s="102" t="str">
        <f ca="1">IFERROR(__xludf.DUMMYFUNCTION("IMPORTRANGE(H37858,""IDENTITAS UNIT!D9"")"),"#N/A")</f>
        <v>#N/A</v>
      </c>
      <c r="H37858" s="4" t="str">
        <v/>
      </c>
      <c r="I37858" s="4" t="str">
        <v/>
      </c>
    </row>
    <row r="37859" spans="5:9" ht="16.5" hidden="1">
      <c r="E37859" s="4" t="str">
        <v/>
      </c>
      <c r="F37859" s="102" t="str">
        <f ca="1">IFERROR(__xludf.DUMMYFUNCTION("IMPORTRANGE(H37859,""IDENTITAS UNIT!D9"")"),"#N/A")</f>
        <v>#N/A</v>
      </c>
      <c r="H37859" s="4" t="str">
        <v/>
      </c>
      <c r="I37859" s="4" t="str">
        <v/>
      </c>
    </row>
    <row r="37860" spans="5:9" ht="16.5" hidden="1">
      <c r="E37860" s="4" t="str">
        <v/>
      </c>
      <c r="F37860" s="102" t="str">
        <f ca="1">IFERROR(__xludf.DUMMYFUNCTION("IMPORTRANGE(H37860,""IDENTITAS UNIT!D9"")"),"#N/A")</f>
        <v>#N/A</v>
      </c>
      <c r="H37860" s="4" t="str">
        <v/>
      </c>
      <c r="I37860" s="4" t="str">
        <v/>
      </c>
    </row>
    <row r="37861" spans="5:9" ht="16.5" hidden="1">
      <c r="E37861" s="4" t="str">
        <v/>
      </c>
      <c r="F37861" s="102" t="str">
        <f ca="1">IFERROR(__xludf.DUMMYFUNCTION("IMPORTRANGE(H37861,""IDENTITAS UNIT!D9"")"),"#N/A")</f>
        <v>#N/A</v>
      </c>
      <c r="H37861" s="4" t="str">
        <v/>
      </c>
      <c r="I37861" s="4" t="str">
        <v/>
      </c>
    </row>
    <row r="37862" spans="5:9" ht="16.5" hidden="1">
      <c r="E37862" s="4" t="str">
        <v/>
      </c>
      <c r="F37862" s="102" t="str">
        <f ca="1">IFERROR(__xludf.DUMMYFUNCTION("IMPORTRANGE(H37862,""IDENTITAS UNIT!D9"")"),"#N/A")</f>
        <v>#N/A</v>
      </c>
      <c r="H37862" s="4" t="str">
        <v/>
      </c>
      <c r="I37862" s="4" t="str">
        <v/>
      </c>
    </row>
    <row r="37863" spans="5:9" ht="16.5" hidden="1">
      <c r="E37863" s="4" t="str">
        <v/>
      </c>
      <c r="F37863" s="102" t="str">
        <f ca="1">IFERROR(__xludf.DUMMYFUNCTION("IMPORTRANGE(H37863,""IDENTITAS UNIT!D9"")"),"#N/A")</f>
        <v>#N/A</v>
      </c>
      <c r="H37863" s="4" t="str">
        <v/>
      </c>
      <c r="I37863" s="4" t="str">
        <v/>
      </c>
    </row>
    <row r="37864" spans="5:9" ht="16.5" hidden="1">
      <c r="E37864" s="4" t="str">
        <v/>
      </c>
      <c r="F37864" s="102" t="str">
        <f ca="1">IFERROR(__xludf.DUMMYFUNCTION("IMPORTRANGE(H37864,""IDENTITAS UNIT!D9"")"),"#N/A")</f>
        <v>#N/A</v>
      </c>
      <c r="H37864" s="4" t="str">
        <v/>
      </c>
      <c r="I37864" s="4" t="str">
        <v/>
      </c>
    </row>
    <row r="37865" spans="5:9" ht="16.5" hidden="1">
      <c r="E37865" s="4" t="str">
        <v/>
      </c>
      <c r="F37865" s="102" t="str">
        <f ca="1">IFERROR(__xludf.DUMMYFUNCTION("IMPORTRANGE(H37865,""IDENTITAS UNIT!D9"")"),"#N/A")</f>
        <v>#N/A</v>
      </c>
      <c r="H37865" s="4" t="str">
        <v/>
      </c>
      <c r="I37865" s="4" t="str">
        <v/>
      </c>
    </row>
    <row r="37866" spans="5:9" ht="16.5" hidden="1">
      <c r="E37866" s="4" t="str">
        <v/>
      </c>
      <c r="F37866" s="102" t="str">
        <f ca="1">IFERROR(__xludf.DUMMYFUNCTION("IMPORTRANGE(H37866,""IDENTITAS UNIT!D9"")"),"#N/A")</f>
        <v>#N/A</v>
      </c>
      <c r="H37866" s="4" t="str">
        <v/>
      </c>
      <c r="I37866" s="4" t="str">
        <v/>
      </c>
    </row>
    <row r="37867" spans="5:9" ht="16.5" hidden="1">
      <c r="E37867" s="4" t="str">
        <v/>
      </c>
      <c r="F37867" s="102" t="str">
        <f ca="1">IFERROR(__xludf.DUMMYFUNCTION("IMPORTRANGE(H37867,""IDENTITAS UNIT!D9"")"),"#N/A")</f>
        <v>#N/A</v>
      </c>
      <c r="H37867" s="4" t="str">
        <v/>
      </c>
      <c r="I37867" s="4" t="str">
        <v/>
      </c>
    </row>
    <row r="37868" spans="5:9" ht="16.5" hidden="1">
      <c r="E37868" s="4" t="str">
        <v/>
      </c>
      <c r="F37868" s="102" t="str">
        <f ca="1">IFERROR(__xludf.DUMMYFUNCTION("IMPORTRANGE(H37868,""IDENTITAS UNIT!D9"")"),"#N/A")</f>
        <v>#N/A</v>
      </c>
      <c r="H37868" s="4" t="str">
        <v/>
      </c>
      <c r="I37868" s="4" t="str">
        <v/>
      </c>
    </row>
    <row r="37869" spans="5:9" ht="16.5" hidden="1">
      <c r="E37869" s="4" t="str">
        <v/>
      </c>
      <c r="F37869" s="102" t="str">
        <f ca="1">IFERROR(__xludf.DUMMYFUNCTION("IMPORTRANGE(H37869,""IDENTITAS UNIT!D9"")"),"#N/A")</f>
        <v>#N/A</v>
      </c>
      <c r="H37869" s="4" t="str">
        <v/>
      </c>
      <c r="I37869" s="4" t="str">
        <v/>
      </c>
    </row>
    <row r="37870" spans="5:9" ht="16.5" hidden="1">
      <c r="E37870" s="4" t="str">
        <v/>
      </c>
      <c r="F37870" s="102" t="str">
        <f ca="1">IFERROR(__xludf.DUMMYFUNCTION("IMPORTRANGE(H37870,""IDENTITAS UNIT!D9"")"),"#N/A")</f>
        <v>#N/A</v>
      </c>
      <c r="H37870" s="4" t="str">
        <v/>
      </c>
      <c r="I37870" s="4" t="str">
        <v/>
      </c>
    </row>
    <row r="37871" spans="5:9" ht="16.5" hidden="1">
      <c r="E37871" s="4" t="str">
        <v/>
      </c>
      <c r="F37871" s="102" t="str">
        <f ca="1">IFERROR(__xludf.DUMMYFUNCTION("IMPORTRANGE(H37871,""IDENTITAS UNIT!D9"")"),"#N/A")</f>
        <v>#N/A</v>
      </c>
      <c r="H37871" s="4" t="str">
        <v/>
      </c>
      <c r="I37871" s="4" t="str">
        <v/>
      </c>
    </row>
    <row r="37872" spans="5:9" ht="16.5" hidden="1">
      <c r="E37872" s="4" t="str">
        <v/>
      </c>
      <c r="F37872" s="102" t="str">
        <f ca="1">IFERROR(__xludf.DUMMYFUNCTION("IMPORTRANGE(H37872,""IDENTITAS UNIT!D9"")"),"#N/A")</f>
        <v>#N/A</v>
      </c>
      <c r="H37872" s="4" t="str">
        <v/>
      </c>
      <c r="I37872" s="4" t="str">
        <v/>
      </c>
    </row>
    <row r="37873" spans="5:9" ht="16.5" hidden="1">
      <c r="E37873" s="4" t="str">
        <v/>
      </c>
      <c r="F37873" s="102" t="str">
        <f ca="1">IFERROR(__xludf.DUMMYFUNCTION("IMPORTRANGE(H37873,""IDENTITAS UNIT!D9"")"),"#N/A")</f>
        <v>#N/A</v>
      </c>
      <c r="H37873" s="4" t="str">
        <v/>
      </c>
      <c r="I37873" s="4" t="str">
        <v/>
      </c>
    </row>
    <row r="37874" spans="5:9" ht="16.5" hidden="1">
      <c r="E37874" s="4" t="str">
        <v/>
      </c>
      <c r="F37874" s="102" t="str">
        <f ca="1">IFERROR(__xludf.DUMMYFUNCTION("IMPORTRANGE(H37874,""IDENTITAS UNIT!D9"")"),"#N/A")</f>
        <v>#N/A</v>
      </c>
      <c r="H37874" s="4" t="str">
        <v/>
      </c>
      <c r="I37874" s="4" t="str">
        <v/>
      </c>
    </row>
    <row r="37875" spans="5:9" ht="16.5" hidden="1">
      <c r="E37875" s="4" t="str">
        <v/>
      </c>
      <c r="F37875" s="102" t="str">
        <f ca="1">IFERROR(__xludf.DUMMYFUNCTION("IMPORTRANGE(H37875,""IDENTITAS UNIT!D9"")"),"#N/A")</f>
        <v>#N/A</v>
      </c>
      <c r="H37875" s="4" t="str">
        <v/>
      </c>
      <c r="I37875" s="4" t="str">
        <v/>
      </c>
    </row>
    <row r="37876" spans="5:9" ht="16.5" hidden="1">
      <c r="E37876" s="4" t="str">
        <v/>
      </c>
      <c r="F37876" s="102" t="str">
        <f ca="1">IFERROR(__xludf.DUMMYFUNCTION("IMPORTRANGE(H37876,""IDENTITAS UNIT!D9"")"),"#N/A")</f>
        <v>#N/A</v>
      </c>
      <c r="H37876" s="4" t="str">
        <v/>
      </c>
      <c r="I37876" s="4" t="str">
        <v/>
      </c>
    </row>
    <row r="37877" spans="5:9" ht="16.5" hidden="1">
      <c r="E37877" s="4" t="str">
        <v/>
      </c>
      <c r="F37877" s="102" t="str">
        <f ca="1">IFERROR(__xludf.DUMMYFUNCTION("IMPORTRANGE(H37877,""IDENTITAS UNIT!D9"")"),"#N/A")</f>
        <v>#N/A</v>
      </c>
      <c r="H37877" s="4" t="str">
        <v/>
      </c>
      <c r="I37877" s="4" t="str">
        <v/>
      </c>
    </row>
    <row r="37878" spans="5:9" ht="16.5" hidden="1">
      <c r="E37878" s="4" t="str">
        <v/>
      </c>
      <c r="F37878" s="102" t="str">
        <f ca="1">IFERROR(__xludf.DUMMYFUNCTION("IMPORTRANGE(H37878,""IDENTITAS UNIT!D9"")"),"#N/A")</f>
        <v>#N/A</v>
      </c>
      <c r="H37878" s="4" t="str">
        <v/>
      </c>
      <c r="I37878" s="4" t="str">
        <v/>
      </c>
    </row>
    <row r="37879" spans="5:9" ht="16.5" hidden="1">
      <c r="E37879" s="4" t="str">
        <v/>
      </c>
      <c r="F37879" s="102" t="str">
        <f ca="1">IFERROR(__xludf.DUMMYFUNCTION("IMPORTRANGE(H37879,""IDENTITAS UNIT!D9"")"),"#N/A")</f>
        <v>#N/A</v>
      </c>
      <c r="H37879" s="4" t="str">
        <v/>
      </c>
      <c r="I37879" s="4" t="str">
        <v/>
      </c>
    </row>
    <row r="37880" spans="5:9" ht="16.5" hidden="1">
      <c r="E37880" s="4" t="str">
        <v/>
      </c>
      <c r="F37880" s="102" t="str">
        <f ca="1">IFERROR(__xludf.DUMMYFUNCTION("IMPORTRANGE(H37880,""IDENTITAS UNIT!D9"")"),"#N/A")</f>
        <v>#N/A</v>
      </c>
      <c r="H37880" s="4" t="str">
        <v/>
      </c>
      <c r="I37880" s="4" t="str">
        <v/>
      </c>
    </row>
    <row r="37881" spans="5:9" ht="16.5" hidden="1">
      <c r="E37881" s="4" t="str">
        <v/>
      </c>
      <c r="F37881" s="102" t="str">
        <f ca="1">IFERROR(__xludf.DUMMYFUNCTION("IMPORTRANGE(H37881,""IDENTITAS UNIT!D9"")"),"#N/A")</f>
        <v>#N/A</v>
      </c>
      <c r="H37881" s="4" t="str">
        <v/>
      </c>
      <c r="I37881" s="4" t="str">
        <v/>
      </c>
    </row>
    <row r="37882" spans="5:9" ht="16.5" hidden="1">
      <c r="E37882" s="4" t="str">
        <v/>
      </c>
      <c r="F37882" s="102" t="str">
        <f ca="1">IFERROR(__xludf.DUMMYFUNCTION("IMPORTRANGE(H37882,""IDENTITAS UNIT!D9"")"),"#N/A")</f>
        <v>#N/A</v>
      </c>
      <c r="H37882" s="4" t="str">
        <v/>
      </c>
      <c r="I37882" s="4" t="str">
        <v/>
      </c>
    </row>
    <row r="37883" spans="5:9" ht="16.5" hidden="1">
      <c r="E37883" s="4" t="str">
        <v/>
      </c>
      <c r="F37883" s="102" t="str">
        <f ca="1">IFERROR(__xludf.DUMMYFUNCTION("IMPORTRANGE(H37883,""IDENTITAS UNIT!D9"")"),"#N/A")</f>
        <v>#N/A</v>
      </c>
      <c r="H37883" s="4" t="str">
        <v/>
      </c>
      <c r="I37883" s="4" t="str">
        <v/>
      </c>
    </row>
    <row r="37884" spans="5:9" ht="16.5" hidden="1">
      <c r="E37884" s="4" t="str">
        <v/>
      </c>
      <c r="F37884" s="102" t="str">
        <f ca="1">IFERROR(__xludf.DUMMYFUNCTION("IMPORTRANGE(H37884,""IDENTITAS UNIT!D9"")"),"#N/A")</f>
        <v>#N/A</v>
      </c>
      <c r="H37884" s="4" t="str">
        <v/>
      </c>
      <c r="I37884" s="4" t="str">
        <v/>
      </c>
    </row>
    <row r="37885" spans="5:9" ht="16.5" hidden="1">
      <c r="E37885" s="4" t="str">
        <v/>
      </c>
      <c r="F37885" s="102" t="str">
        <f ca="1">IFERROR(__xludf.DUMMYFUNCTION("IMPORTRANGE(H37885,""IDENTITAS UNIT!D9"")"),"#N/A")</f>
        <v>#N/A</v>
      </c>
      <c r="H37885" s="4" t="str">
        <v/>
      </c>
      <c r="I37885" s="4" t="str">
        <v/>
      </c>
    </row>
    <row r="37886" spans="5:9" ht="16.5" hidden="1">
      <c r="E37886" s="4" t="str">
        <v/>
      </c>
      <c r="F37886" s="102" t="str">
        <f ca="1">IFERROR(__xludf.DUMMYFUNCTION("IMPORTRANGE(H37886,""IDENTITAS UNIT!D9"")"),"#N/A")</f>
        <v>#N/A</v>
      </c>
      <c r="H37886" s="4" t="str">
        <v/>
      </c>
      <c r="I37886" s="4" t="str">
        <v/>
      </c>
    </row>
    <row r="37887" spans="5:9" ht="16.5" hidden="1">
      <c r="E37887" s="4" t="str">
        <v/>
      </c>
      <c r="F37887" s="102" t="str">
        <f ca="1">IFERROR(__xludf.DUMMYFUNCTION("IMPORTRANGE(H37887,""IDENTITAS UNIT!D9"")"),"#N/A")</f>
        <v>#N/A</v>
      </c>
      <c r="H37887" s="4" t="str">
        <v/>
      </c>
      <c r="I37887" s="4" t="str">
        <v/>
      </c>
    </row>
    <row r="37888" spans="5:9" ht="16.5" hidden="1">
      <c r="E37888" s="4" t="str">
        <v/>
      </c>
      <c r="F37888" s="102" t="str">
        <f ca="1">IFERROR(__xludf.DUMMYFUNCTION("IMPORTRANGE(H37888,""IDENTITAS UNIT!D9"")"),"#N/A")</f>
        <v>#N/A</v>
      </c>
      <c r="H37888" s="4" t="str">
        <v/>
      </c>
      <c r="I37888" s="4" t="str">
        <v/>
      </c>
    </row>
    <row r="37889" spans="5:9" ht="16.5" hidden="1">
      <c r="E37889" s="4" t="str">
        <v/>
      </c>
      <c r="F37889" s="102" t="str">
        <f ca="1">IFERROR(__xludf.DUMMYFUNCTION("IMPORTRANGE(H37889,""IDENTITAS UNIT!D9"")"),"#N/A")</f>
        <v>#N/A</v>
      </c>
      <c r="H37889" s="4" t="str">
        <v/>
      </c>
      <c r="I37889" s="4" t="str">
        <v/>
      </c>
    </row>
    <row r="37890" spans="5:9" ht="16.5" hidden="1">
      <c r="E37890" s="4" t="str">
        <v/>
      </c>
      <c r="F37890" s="102" t="str">
        <f ca="1">IFERROR(__xludf.DUMMYFUNCTION("IMPORTRANGE(H37890,""IDENTITAS UNIT!D9"")"),"#N/A")</f>
        <v>#N/A</v>
      </c>
      <c r="H37890" s="4" t="str">
        <v/>
      </c>
      <c r="I37890" s="4" t="str">
        <v/>
      </c>
    </row>
    <row r="37891" spans="5:9" ht="16.5" hidden="1">
      <c r="E37891" s="4" t="str">
        <v/>
      </c>
      <c r="F37891" s="102" t="str">
        <f ca="1">IFERROR(__xludf.DUMMYFUNCTION("IMPORTRANGE(H37891,""IDENTITAS UNIT!D9"")"),"#N/A")</f>
        <v>#N/A</v>
      </c>
      <c r="H37891" s="4" t="str">
        <v/>
      </c>
      <c r="I37891" s="4" t="str">
        <v/>
      </c>
    </row>
    <row r="37892" spans="5:9" ht="16.5" hidden="1">
      <c r="E37892" s="4" t="str">
        <v/>
      </c>
      <c r="F37892" s="102" t="str">
        <f ca="1">IFERROR(__xludf.DUMMYFUNCTION("IMPORTRANGE(H37892,""IDENTITAS UNIT!D9"")"),"#N/A")</f>
        <v>#N/A</v>
      </c>
      <c r="H37892" s="4" t="str">
        <v/>
      </c>
      <c r="I37892" s="4" t="str">
        <v/>
      </c>
    </row>
    <row r="37893" spans="5:9" ht="16.5" hidden="1">
      <c r="E37893" s="4" t="str">
        <v/>
      </c>
      <c r="F37893" s="102" t="str">
        <f ca="1">IFERROR(__xludf.DUMMYFUNCTION("IMPORTRANGE(H37893,""IDENTITAS UNIT!D9"")"),"#N/A")</f>
        <v>#N/A</v>
      </c>
      <c r="H37893" s="4" t="str">
        <v/>
      </c>
      <c r="I37893" s="4" t="str">
        <v/>
      </c>
    </row>
    <row r="37894" spans="5:9" ht="16.5" hidden="1">
      <c r="E37894" s="4" t="str">
        <v/>
      </c>
      <c r="F37894" s="102" t="str">
        <f ca="1">IFERROR(__xludf.DUMMYFUNCTION("IMPORTRANGE(H37894,""IDENTITAS UNIT!D9"")"),"#N/A")</f>
        <v>#N/A</v>
      </c>
      <c r="H37894" s="4" t="str">
        <v/>
      </c>
      <c r="I37894" s="4" t="str">
        <v/>
      </c>
    </row>
    <row r="37895" spans="5:9" ht="16.5" hidden="1">
      <c r="E37895" s="4" t="str">
        <v/>
      </c>
      <c r="F37895" s="102" t="str">
        <f ca="1">IFERROR(__xludf.DUMMYFUNCTION("IMPORTRANGE(H37895,""IDENTITAS UNIT!D9"")"),"#N/A")</f>
        <v>#N/A</v>
      </c>
      <c r="H37895" s="4" t="str">
        <v/>
      </c>
      <c r="I37895" s="4" t="str">
        <v/>
      </c>
    </row>
    <row r="37896" spans="5:9" ht="16.5" hidden="1">
      <c r="E37896" s="4" t="str">
        <v/>
      </c>
      <c r="F37896" s="102" t="str">
        <f ca="1">IFERROR(__xludf.DUMMYFUNCTION("IMPORTRANGE(H37896,""IDENTITAS UNIT!D9"")"),"#N/A")</f>
        <v>#N/A</v>
      </c>
      <c r="H37896" s="4" t="str">
        <v/>
      </c>
      <c r="I37896" s="4" t="str">
        <v/>
      </c>
    </row>
    <row r="37897" spans="5:9" ht="16.5" hidden="1">
      <c r="E37897" s="4" t="str">
        <v/>
      </c>
      <c r="F37897" s="102" t="str">
        <f ca="1">IFERROR(__xludf.DUMMYFUNCTION("IMPORTRANGE(H37897,""IDENTITAS UNIT!D9"")"),"#N/A")</f>
        <v>#N/A</v>
      </c>
      <c r="H37897" s="4" t="str">
        <v/>
      </c>
      <c r="I37897" s="4" t="str">
        <v/>
      </c>
    </row>
    <row r="37898" spans="5:9" ht="16.5" hidden="1">
      <c r="E37898" s="4" t="str">
        <v/>
      </c>
      <c r="F37898" s="102" t="str">
        <f ca="1">IFERROR(__xludf.DUMMYFUNCTION("IMPORTRANGE(H37898,""IDENTITAS UNIT!D9"")"),"#N/A")</f>
        <v>#N/A</v>
      </c>
      <c r="H37898" s="4" t="str">
        <v/>
      </c>
      <c r="I37898" s="4" t="str">
        <v/>
      </c>
    </row>
    <row r="37899" spans="5:9" ht="16.5" hidden="1">
      <c r="E37899" s="4" t="str">
        <v/>
      </c>
      <c r="F37899" s="102" t="str">
        <f ca="1">IFERROR(__xludf.DUMMYFUNCTION("IMPORTRANGE(H37899,""IDENTITAS UNIT!D9"")"),"#N/A")</f>
        <v>#N/A</v>
      </c>
      <c r="H37899" s="4" t="str">
        <v/>
      </c>
      <c r="I37899" s="4" t="str">
        <v/>
      </c>
    </row>
    <row r="37900" spans="5:9" ht="16.5" hidden="1">
      <c r="E37900" s="4" t="str">
        <v/>
      </c>
      <c r="F37900" s="102" t="str">
        <f ca="1">IFERROR(__xludf.DUMMYFUNCTION("IMPORTRANGE(H37900,""IDENTITAS UNIT!D9"")"),"#N/A")</f>
        <v>#N/A</v>
      </c>
      <c r="H37900" s="4" t="str">
        <v/>
      </c>
      <c r="I37900" s="4" t="str">
        <v/>
      </c>
    </row>
    <row r="37901" spans="5:9" ht="16.5" hidden="1">
      <c r="E37901" s="4" t="str">
        <v/>
      </c>
      <c r="F37901" s="102" t="str">
        <f ca="1">IFERROR(__xludf.DUMMYFUNCTION("IMPORTRANGE(H37901,""IDENTITAS UNIT!D9"")"),"#N/A")</f>
        <v>#N/A</v>
      </c>
      <c r="H37901" s="4" t="str">
        <v/>
      </c>
      <c r="I37901" s="4" t="str">
        <v/>
      </c>
    </row>
    <row r="37902" spans="5:9" ht="16.5" hidden="1">
      <c r="E37902" s="4" t="str">
        <v/>
      </c>
      <c r="F37902" s="102" t="str">
        <f ca="1">IFERROR(__xludf.DUMMYFUNCTION("IMPORTRANGE(H37902,""IDENTITAS UNIT!D9"")"),"#N/A")</f>
        <v>#N/A</v>
      </c>
      <c r="H37902" s="4" t="str">
        <v/>
      </c>
      <c r="I37902" s="4" t="str">
        <v/>
      </c>
    </row>
    <row r="37903" spans="5:9" ht="16.5" hidden="1">
      <c r="E37903" s="4" t="str">
        <v/>
      </c>
      <c r="F37903" s="102" t="str">
        <f ca="1">IFERROR(__xludf.DUMMYFUNCTION("IMPORTRANGE(H37903,""IDENTITAS UNIT!D9"")"),"#N/A")</f>
        <v>#N/A</v>
      </c>
      <c r="H37903" s="4" t="str">
        <v/>
      </c>
      <c r="I37903" s="4" t="str">
        <v/>
      </c>
    </row>
    <row r="37904" spans="5:9" ht="16.5" hidden="1">
      <c r="E37904" s="4" t="str">
        <v/>
      </c>
      <c r="F37904" s="102" t="str">
        <f ca="1">IFERROR(__xludf.DUMMYFUNCTION("IMPORTRANGE(H37904,""IDENTITAS UNIT!D9"")"),"#N/A")</f>
        <v>#N/A</v>
      </c>
      <c r="H37904" s="4" t="str">
        <v/>
      </c>
      <c r="I37904" s="4" t="str">
        <v/>
      </c>
    </row>
    <row r="37905" spans="5:9" ht="16.5" hidden="1">
      <c r="E37905" s="4" t="str">
        <v/>
      </c>
      <c r="F37905" s="102" t="str">
        <f ca="1">IFERROR(__xludf.DUMMYFUNCTION("IMPORTRANGE(H37905,""IDENTITAS UNIT!D9"")"),"#N/A")</f>
        <v>#N/A</v>
      </c>
      <c r="H37905" s="4" t="str">
        <v/>
      </c>
      <c r="I37905" s="4" t="str">
        <v/>
      </c>
    </row>
    <row r="37906" spans="5:9" ht="16.5" hidden="1">
      <c r="E37906" s="4" t="str">
        <v/>
      </c>
      <c r="F37906" s="102" t="str">
        <f ca="1">IFERROR(__xludf.DUMMYFUNCTION("IMPORTRANGE(H37906,""IDENTITAS UNIT!D9"")"),"#N/A")</f>
        <v>#N/A</v>
      </c>
      <c r="H37906" s="4" t="str">
        <v/>
      </c>
      <c r="I37906" s="4" t="str">
        <v/>
      </c>
    </row>
    <row r="37907" spans="5:9" ht="16.5" hidden="1">
      <c r="E37907" s="4" t="str">
        <v/>
      </c>
      <c r="F37907" s="102" t="str">
        <f ca="1">IFERROR(__xludf.DUMMYFUNCTION("IMPORTRANGE(H37907,""IDENTITAS UNIT!D9"")"),"#N/A")</f>
        <v>#N/A</v>
      </c>
      <c r="H37907" s="4" t="str">
        <v/>
      </c>
      <c r="I37907" s="4" t="str">
        <v/>
      </c>
    </row>
    <row r="37908" spans="5:9" ht="16.5" hidden="1">
      <c r="E37908" s="4" t="str">
        <v/>
      </c>
      <c r="F37908" s="102" t="str">
        <f ca="1">IFERROR(__xludf.DUMMYFUNCTION("IMPORTRANGE(H37908,""IDENTITAS UNIT!D9"")"),"#N/A")</f>
        <v>#N/A</v>
      </c>
      <c r="H37908" s="4" t="str">
        <v/>
      </c>
      <c r="I37908" s="4" t="str">
        <v/>
      </c>
    </row>
    <row r="37909" spans="5:9" ht="16.5" hidden="1">
      <c r="E37909" s="4" t="str">
        <v/>
      </c>
      <c r="F37909" s="102" t="str">
        <f ca="1">IFERROR(__xludf.DUMMYFUNCTION("IMPORTRANGE(H37909,""IDENTITAS UNIT!D9"")"),"#N/A")</f>
        <v>#N/A</v>
      </c>
      <c r="H37909" s="4" t="str">
        <v/>
      </c>
      <c r="I37909" s="4" t="str">
        <v/>
      </c>
    </row>
    <row r="37910" spans="5:9" ht="16.5" hidden="1">
      <c r="E37910" s="4" t="str">
        <v/>
      </c>
      <c r="F37910" s="102" t="str">
        <f ca="1">IFERROR(__xludf.DUMMYFUNCTION("IMPORTRANGE(H37910,""IDENTITAS UNIT!D9"")"),"#N/A")</f>
        <v>#N/A</v>
      </c>
      <c r="H37910" s="4" t="str">
        <v/>
      </c>
      <c r="I37910" s="4" t="str">
        <v/>
      </c>
    </row>
    <row r="37911" spans="5:9" ht="16.5" hidden="1">
      <c r="E37911" s="4" t="str">
        <v/>
      </c>
      <c r="F37911" s="102" t="str">
        <f ca="1">IFERROR(__xludf.DUMMYFUNCTION("IMPORTRANGE(H37911,""IDENTITAS UNIT!D9"")"),"#N/A")</f>
        <v>#N/A</v>
      </c>
      <c r="H37911" s="4" t="str">
        <v/>
      </c>
      <c r="I37911" s="4" t="str">
        <v/>
      </c>
    </row>
    <row r="37912" spans="5:9" ht="16.5" hidden="1">
      <c r="E37912" s="4" t="str">
        <v/>
      </c>
      <c r="F37912" s="102" t="str">
        <f ca="1">IFERROR(__xludf.DUMMYFUNCTION("IMPORTRANGE(H37912,""IDENTITAS UNIT!D9"")"),"#N/A")</f>
        <v>#N/A</v>
      </c>
      <c r="H37912" s="4" t="str">
        <v/>
      </c>
      <c r="I37912" s="4" t="str">
        <v/>
      </c>
    </row>
    <row r="37913" spans="5:9" ht="16.5" hidden="1">
      <c r="E37913" s="4" t="str">
        <v/>
      </c>
      <c r="F37913" s="102" t="str">
        <f ca="1">IFERROR(__xludf.DUMMYFUNCTION("IMPORTRANGE(H37913,""IDENTITAS UNIT!D9"")"),"#N/A")</f>
        <v>#N/A</v>
      </c>
      <c r="H37913" s="4" t="str">
        <v/>
      </c>
      <c r="I37913" s="4" t="str">
        <v/>
      </c>
    </row>
    <row r="37914" spans="5:9" ht="16.5" hidden="1">
      <c r="E37914" s="4" t="str">
        <v/>
      </c>
      <c r="F37914" s="102" t="str">
        <f ca="1">IFERROR(__xludf.DUMMYFUNCTION("IMPORTRANGE(H37914,""IDENTITAS UNIT!D9"")"),"#N/A")</f>
        <v>#N/A</v>
      </c>
      <c r="H37914" s="4" t="str">
        <v/>
      </c>
      <c r="I37914" s="4" t="str">
        <v/>
      </c>
    </row>
    <row r="37915" spans="5:9" ht="16.5" hidden="1">
      <c r="E37915" s="4" t="str">
        <v/>
      </c>
      <c r="F37915" s="102" t="str">
        <f ca="1">IFERROR(__xludf.DUMMYFUNCTION("IMPORTRANGE(H37915,""IDENTITAS UNIT!D9"")"),"#N/A")</f>
        <v>#N/A</v>
      </c>
      <c r="H37915" s="4" t="str">
        <v/>
      </c>
      <c r="I37915" s="4" t="str">
        <v/>
      </c>
    </row>
    <row r="37916" spans="5:9" ht="16.5" hidden="1">
      <c r="E37916" s="4" t="str">
        <v/>
      </c>
      <c r="F37916" s="102" t="str">
        <f ca="1">IFERROR(__xludf.DUMMYFUNCTION("IMPORTRANGE(H37916,""IDENTITAS UNIT!D9"")"),"#N/A")</f>
        <v>#N/A</v>
      </c>
      <c r="H37916" s="4" t="str">
        <v/>
      </c>
      <c r="I37916" s="4" t="str">
        <v/>
      </c>
    </row>
    <row r="37917" spans="5:9" ht="16.5" hidden="1">
      <c r="E37917" s="4" t="str">
        <v/>
      </c>
      <c r="F37917" s="102" t="str">
        <f ca="1">IFERROR(__xludf.DUMMYFUNCTION("IMPORTRANGE(H37917,""IDENTITAS UNIT!D9"")"),"#N/A")</f>
        <v>#N/A</v>
      </c>
      <c r="H37917" s="4" t="str">
        <v/>
      </c>
      <c r="I37917" s="4" t="str">
        <v/>
      </c>
    </row>
    <row r="37918" spans="5:9" ht="16.5" hidden="1">
      <c r="E37918" s="4" t="str">
        <v/>
      </c>
      <c r="F37918" s="102" t="str">
        <f ca="1">IFERROR(__xludf.DUMMYFUNCTION("IMPORTRANGE(H37918,""IDENTITAS UNIT!D9"")"),"#N/A")</f>
        <v>#N/A</v>
      </c>
      <c r="H37918" s="4" t="str">
        <v/>
      </c>
      <c r="I37918" s="4" t="str">
        <v/>
      </c>
    </row>
    <row r="37919" spans="5:9" ht="16.5" hidden="1">
      <c r="E37919" s="4" t="str">
        <v/>
      </c>
      <c r="F37919" s="102" t="str">
        <f ca="1">IFERROR(__xludf.DUMMYFUNCTION("IMPORTRANGE(H37919,""IDENTITAS UNIT!D9"")"),"#N/A")</f>
        <v>#N/A</v>
      </c>
      <c r="H37919" s="4" t="str">
        <v/>
      </c>
      <c r="I37919" s="4" t="str">
        <v/>
      </c>
    </row>
    <row r="37920" spans="5:9" ht="16.5" hidden="1">
      <c r="E37920" s="4" t="str">
        <v/>
      </c>
      <c r="F37920" s="102" t="str">
        <f ca="1">IFERROR(__xludf.DUMMYFUNCTION("IMPORTRANGE(H37920,""IDENTITAS UNIT!D9"")"),"#N/A")</f>
        <v>#N/A</v>
      </c>
      <c r="H37920" s="4" t="str">
        <v/>
      </c>
      <c r="I37920" s="4" t="str">
        <v/>
      </c>
    </row>
    <row r="37921" spans="5:9" ht="16.5" hidden="1">
      <c r="E37921" s="4" t="str">
        <v/>
      </c>
      <c r="F37921" s="102" t="str">
        <f ca="1">IFERROR(__xludf.DUMMYFUNCTION("IMPORTRANGE(H37921,""IDENTITAS UNIT!D9"")"),"#N/A")</f>
        <v>#N/A</v>
      </c>
      <c r="H37921" s="4" t="str">
        <v/>
      </c>
      <c r="I37921" s="4" t="str">
        <v/>
      </c>
    </row>
    <row r="37922" spans="5:9" ht="16.5" hidden="1">
      <c r="E37922" s="4" t="str">
        <v/>
      </c>
      <c r="F37922" s="102" t="str">
        <f ca="1">IFERROR(__xludf.DUMMYFUNCTION("IMPORTRANGE(H37922,""IDENTITAS UNIT!D9"")"),"#N/A")</f>
        <v>#N/A</v>
      </c>
      <c r="H37922" s="4" t="str">
        <v/>
      </c>
      <c r="I37922" s="4" t="str">
        <v/>
      </c>
    </row>
    <row r="37923" spans="5:9" ht="16.5" hidden="1">
      <c r="E37923" s="4" t="str">
        <v/>
      </c>
      <c r="F37923" s="102" t="str">
        <f ca="1">IFERROR(__xludf.DUMMYFUNCTION("IMPORTRANGE(H37923,""IDENTITAS UNIT!D9"")"),"#N/A")</f>
        <v>#N/A</v>
      </c>
      <c r="H37923" s="4" t="str">
        <v/>
      </c>
      <c r="I37923" s="4" t="str">
        <v/>
      </c>
    </row>
    <row r="37924" spans="5:9" ht="16.5" hidden="1">
      <c r="E37924" s="4" t="str">
        <v/>
      </c>
      <c r="F37924" s="102" t="str">
        <f ca="1">IFERROR(__xludf.DUMMYFUNCTION("IMPORTRANGE(H37924,""IDENTITAS UNIT!D9"")"),"#N/A")</f>
        <v>#N/A</v>
      </c>
      <c r="H37924" s="4" t="str">
        <v/>
      </c>
      <c r="I37924" s="4" t="str">
        <v/>
      </c>
    </row>
    <row r="37925" spans="5:9" ht="16.5" hidden="1">
      <c r="E37925" s="4" t="str">
        <v/>
      </c>
      <c r="F37925" s="102" t="str">
        <f ca="1">IFERROR(__xludf.DUMMYFUNCTION("IMPORTRANGE(H37925,""IDENTITAS UNIT!D9"")"),"#N/A")</f>
        <v>#N/A</v>
      </c>
      <c r="H37925" s="4" t="str">
        <v/>
      </c>
      <c r="I37925" s="4" t="str">
        <v/>
      </c>
    </row>
    <row r="37926" spans="5:9" ht="16.5" hidden="1">
      <c r="E37926" s="4" t="str">
        <v/>
      </c>
      <c r="F37926" s="102" t="str">
        <f ca="1">IFERROR(__xludf.DUMMYFUNCTION("IMPORTRANGE(H37926,""IDENTITAS UNIT!D9"")"),"#N/A")</f>
        <v>#N/A</v>
      </c>
      <c r="H37926" s="4" t="str">
        <v/>
      </c>
      <c r="I37926" s="4" t="str">
        <v/>
      </c>
    </row>
    <row r="37927" spans="5:9" ht="16.5" hidden="1">
      <c r="E37927" s="4" t="str">
        <v/>
      </c>
      <c r="F37927" s="102" t="str">
        <f ca="1">IFERROR(__xludf.DUMMYFUNCTION("IMPORTRANGE(H37927,""IDENTITAS UNIT!D9"")"),"#N/A")</f>
        <v>#N/A</v>
      </c>
      <c r="H37927" s="4" t="str">
        <v/>
      </c>
      <c r="I37927" s="4" t="str">
        <v/>
      </c>
    </row>
    <row r="37928" spans="5:9" ht="16.5" hidden="1">
      <c r="E37928" s="4" t="str">
        <v/>
      </c>
      <c r="F37928" s="102" t="str">
        <f ca="1">IFERROR(__xludf.DUMMYFUNCTION("IMPORTRANGE(H37928,""IDENTITAS UNIT!D9"")"),"#N/A")</f>
        <v>#N/A</v>
      </c>
      <c r="H37928" s="4" t="str">
        <v/>
      </c>
      <c r="I37928" s="4" t="str">
        <v/>
      </c>
    </row>
    <row r="37929" spans="5:9" ht="16.5" hidden="1">
      <c r="E37929" s="4" t="str">
        <v/>
      </c>
      <c r="F37929" s="102" t="str">
        <f ca="1">IFERROR(__xludf.DUMMYFUNCTION("IMPORTRANGE(H37929,""IDENTITAS UNIT!D9"")"),"#N/A")</f>
        <v>#N/A</v>
      </c>
      <c r="H37929" s="4" t="str">
        <v/>
      </c>
      <c r="I37929" s="4" t="str">
        <v/>
      </c>
    </row>
    <row r="37930" spans="5:9" ht="16.5" hidden="1">
      <c r="E37930" s="4" t="str">
        <v/>
      </c>
      <c r="F37930" s="102" t="str">
        <f ca="1">IFERROR(__xludf.DUMMYFUNCTION("IMPORTRANGE(H37930,""IDENTITAS UNIT!D9"")"),"#N/A")</f>
        <v>#N/A</v>
      </c>
      <c r="H37930" s="4" t="str">
        <v/>
      </c>
      <c r="I37930" s="4" t="str">
        <v/>
      </c>
    </row>
    <row r="37931" spans="5:9" ht="16.5" hidden="1">
      <c r="E37931" s="4" t="str">
        <v/>
      </c>
      <c r="F37931" s="102" t="str">
        <f ca="1">IFERROR(__xludf.DUMMYFUNCTION("IMPORTRANGE(H37931,""IDENTITAS UNIT!D9"")"),"#N/A")</f>
        <v>#N/A</v>
      </c>
      <c r="H37931" s="4" t="str">
        <v/>
      </c>
      <c r="I37931" s="4" t="str">
        <v/>
      </c>
    </row>
    <row r="37932" spans="5:9" ht="16.5" hidden="1">
      <c r="E37932" s="4" t="str">
        <v/>
      </c>
      <c r="F37932" s="102" t="str">
        <f ca="1">IFERROR(__xludf.DUMMYFUNCTION("IMPORTRANGE(H37932,""IDENTITAS UNIT!D9"")"),"#N/A")</f>
        <v>#N/A</v>
      </c>
      <c r="H37932" s="4" t="str">
        <v/>
      </c>
      <c r="I37932" s="4" t="str">
        <v/>
      </c>
    </row>
    <row r="37933" spans="5:9" ht="16.5" hidden="1">
      <c r="E37933" s="4" t="str">
        <v/>
      </c>
      <c r="F37933" s="102" t="str">
        <f ca="1">IFERROR(__xludf.DUMMYFUNCTION("IMPORTRANGE(H37933,""IDENTITAS UNIT!D9"")"),"#N/A")</f>
        <v>#N/A</v>
      </c>
      <c r="H37933" s="4" t="str">
        <v/>
      </c>
      <c r="I37933" s="4" t="str">
        <v/>
      </c>
    </row>
    <row r="37934" spans="5:9" ht="16.5" hidden="1">
      <c r="E37934" s="4" t="str">
        <v/>
      </c>
      <c r="F37934" s="102" t="str">
        <f ca="1">IFERROR(__xludf.DUMMYFUNCTION("IMPORTRANGE(H37934,""IDENTITAS UNIT!D9"")"),"#N/A")</f>
        <v>#N/A</v>
      </c>
      <c r="H37934" s="4" t="str">
        <v/>
      </c>
      <c r="I37934" s="4" t="str">
        <v/>
      </c>
    </row>
    <row r="37935" spans="5:9" ht="16.5" hidden="1">
      <c r="E37935" s="4" t="str">
        <v/>
      </c>
      <c r="F37935" s="102" t="str">
        <f ca="1">IFERROR(__xludf.DUMMYFUNCTION("IMPORTRANGE(H37935,""IDENTITAS UNIT!D9"")"),"#N/A")</f>
        <v>#N/A</v>
      </c>
      <c r="H37935" s="4" t="str">
        <v/>
      </c>
      <c r="I37935" s="4" t="str">
        <v/>
      </c>
    </row>
    <row r="37936" spans="5:9" ht="16.5" hidden="1">
      <c r="E37936" s="4" t="str">
        <v/>
      </c>
      <c r="F37936" s="102" t="str">
        <f ca="1">IFERROR(__xludf.DUMMYFUNCTION("IMPORTRANGE(H37936,""IDENTITAS UNIT!D9"")"),"#N/A")</f>
        <v>#N/A</v>
      </c>
      <c r="H37936" s="4" t="str">
        <v/>
      </c>
      <c r="I37936" s="4" t="str">
        <v/>
      </c>
    </row>
    <row r="37937" spans="5:9" ht="16.5" hidden="1">
      <c r="E37937" s="4" t="str">
        <v/>
      </c>
      <c r="F37937" s="102" t="str">
        <f ca="1">IFERROR(__xludf.DUMMYFUNCTION("IMPORTRANGE(H37937,""IDENTITAS UNIT!D9"")"),"#N/A")</f>
        <v>#N/A</v>
      </c>
      <c r="H37937" s="4" t="str">
        <v/>
      </c>
      <c r="I37937" s="4" t="str">
        <v/>
      </c>
    </row>
    <row r="37938" spans="5:9" ht="16.5" hidden="1">
      <c r="E37938" s="4" t="str">
        <v/>
      </c>
      <c r="F37938" s="102" t="str">
        <f ca="1">IFERROR(__xludf.DUMMYFUNCTION("IMPORTRANGE(H37938,""IDENTITAS UNIT!D9"")"),"#N/A")</f>
        <v>#N/A</v>
      </c>
      <c r="H37938" s="4" t="str">
        <v/>
      </c>
      <c r="I37938" s="4" t="str">
        <v/>
      </c>
    </row>
    <row r="37939" spans="5:9" ht="16.5" hidden="1">
      <c r="E37939" s="4" t="str">
        <v/>
      </c>
      <c r="F37939" s="102" t="str">
        <f ca="1">IFERROR(__xludf.DUMMYFUNCTION("IMPORTRANGE(H37939,""IDENTITAS UNIT!D9"")"),"#N/A")</f>
        <v>#N/A</v>
      </c>
      <c r="H37939" s="4" t="str">
        <v/>
      </c>
      <c r="I37939" s="4" t="str">
        <v/>
      </c>
    </row>
    <row r="37940" spans="5:9" ht="16.5" hidden="1">
      <c r="E37940" s="4" t="str">
        <v/>
      </c>
      <c r="F37940" s="102" t="str">
        <f ca="1">IFERROR(__xludf.DUMMYFUNCTION("IMPORTRANGE(H37940,""IDENTITAS UNIT!D9"")"),"#N/A")</f>
        <v>#N/A</v>
      </c>
      <c r="H37940" s="4" t="str">
        <v/>
      </c>
      <c r="I37940" s="4" t="str">
        <v/>
      </c>
    </row>
    <row r="37941" spans="5:9" ht="16.5" hidden="1">
      <c r="E37941" s="4" t="str">
        <v/>
      </c>
      <c r="F37941" s="102" t="str">
        <f ca="1">IFERROR(__xludf.DUMMYFUNCTION("IMPORTRANGE(H37941,""IDENTITAS UNIT!D9"")"),"#N/A")</f>
        <v>#N/A</v>
      </c>
      <c r="H37941" s="4" t="str">
        <v/>
      </c>
      <c r="I37941" s="4" t="str">
        <v/>
      </c>
    </row>
    <row r="37942" spans="5:9" ht="16.5" hidden="1">
      <c r="E37942" s="4" t="str">
        <v/>
      </c>
      <c r="F37942" s="102" t="str">
        <f ca="1">IFERROR(__xludf.DUMMYFUNCTION("IMPORTRANGE(H37942,""IDENTITAS UNIT!D9"")"),"#N/A")</f>
        <v>#N/A</v>
      </c>
      <c r="H37942" s="4" t="str">
        <v/>
      </c>
      <c r="I37942" s="4" t="str">
        <v/>
      </c>
    </row>
    <row r="37943" spans="5:9" ht="16.5" hidden="1">
      <c r="E37943" s="4" t="str">
        <v/>
      </c>
      <c r="F37943" s="102" t="str">
        <f ca="1">IFERROR(__xludf.DUMMYFUNCTION("IMPORTRANGE(H37943,""IDENTITAS UNIT!D9"")"),"#N/A")</f>
        <v>#N/A</v>
      </c>
      <c r="H37943" s="4" t="str">
        <v/>
      </c>
      <c r="I37943" s="4" t="str">
        <v/>
      </c>
    </row>
    <row r="37944" spans="5:9" ht="16.5" hidden="1">
      <c r="E37944" s="4" t="str">
        <v/>
      </c>
      <c r="F37944" s="102" t="str">
        <f ca="1">IFERROR(__xludf.DUMMYFUNCTION("IMPORTRANGE(H37944,""IDENTITAS UNIT!D9"")"),"#N/A")</f>
        <v>#N/A</v>
      </c>
      <c r="H37944" s="4" t="str">
        <v/>
      </c>
      <c r="I37944" s="4" t="str">
        <v/>
      </c>
    </row>
    <row r="37945" spans="5:9" ht="16.5" hidden="1">
      <c r="E37945" s="4" t="str">
        <v/>
      </c>
      <c r="F37945" s="102" t="str">
        <f ca="1">IFERROR(__xludf.DUMMYFUNCTION("IMPORTRANGE(H37945,""IDENTITAS UNIT!D9"")"),"#N/A")</f>
        <v>#N/A</v>
      </c>
      <c r="H37945" s="4" t="str">
        <v/>
      </c>
      <c r="I37945" s="4" t="str">
        <v/>
      </c>
    </row>
    <row r="37946" spans="5:9" ht="16.5" hidden="1">
      <c r="E37946" s="4" t="str">
        <v/>
      </c>
      <c r="F37946" s="102" t="str">
        <f ca="1">IFERROR(__xludf.DUMMYFUNCTION("IMPORTRANGE(H37946,""IDENTITAS UNIT!D9"")"),"#N/A")</f>
        <v>#N/A</v>
      </c>
      <c r="H37946" s="4" t="str">
        <v/>
      </c>
      <c r="I37946" s="4" t="str">
        <v/>
      </c>
    </row>
    <row r="37947" spans="5:9" ht="16.5" hidden="1">
      <c r="E37947" s="4" t="str">
        <v/>
      </c>
      <c r="F37947" s="102" t="str">
        <f ca="1">IFERROR(__xludf.DUMMYFUNCTION("IMPORTRANGE(H37947,""IDENTITAS UNIT!D9"")"),"#N/A")</f>
        <v>#N/A</v>
      </c>
      <c r="H37947" s="4" t="str">
        <v/>
      </c>
      <c r="I37947" s="4" t="str">
        <v/>
      </c>
    </row>
    <row r="37948" spans="5:9" ht="16.5" hidden="1">
      <c r="E37948" s="4" t="str">
        <v/>
      </c>
      <c r="F37948" s="102" t="str">
        <f ca="1">IFERROR(__xludf.DUMMYFUNCTION("IMPORTRANGE(H37948,""IDENTITAS UNIT!D9"")"),"#N/A")</f>
        <v>#N/A</v>
      </c>
      <c r="H37948" s="4" t="str">
        <v/>
      </c>
      <c r="I37948" s="4" t="str">
        <v/>
      </c>
    </row>
    <row r="37949" spans="5:9" ht="16.5" hidden="1">
      <c r="E37949" s="4" t="str">
        <v/>
      </c>
      <c r="F37949" s="102" t="str">
        <f ca="1">IFERROR(__xludf.DUMMYFUNCTION("IMPORTRANGE(H37949,""IDENTITAS UNIT!D9"")"),"#N/A")</f>
        <v>#N/A</v>
      </c>
      <c r="H37949" s="4" t="str">
        <v/>
      </c>
      <c r="I37949" s="4" t="str">
        <v/>
      </c>
    </row>
    <row r="37950" spans="5:9" ht="16.5" hidden="1">
      <c r="E37950" s="4" t="str">
        <v/>
      </c>
      <c r="F37950" s="102" t="str">
        <f ca="1">IFERROR(__xludf.DUMMYFUNCTION("IMPORTRANGE(H37950,""IDENTITAS UNIT!D9"")"),"#N/A")</f>
        <v>#N/A</v>
      </c>
      <c r="H37950" s="4" t="str">
        <v/>
      </c>
      <c r="I37950" s="4" t="str">
        <v/>
      </c>
    </row>
    <row r="37951" spans="5:9" ht="16.5" hidden="1">
      <c r="E37951" s="4" t="str">
        <v/>
      </c>
      <c r="F37951" s="102" t="str">
        <f ca="1">IFERROR(__xludf.DUMMYFUNCTION("IMPORTRANGE(H37951,""IDENTITAS UNIT!D9"")"),"#N/A")</f>
        <v>#N/A</v>
      </c>
      <c r="H37951" s="4" t="str">
        <v/>
      </c>
      <c r="I37951" s="4" t="str">
        <v/>
      </c>
    </row>
    <row r="37952" spans="5:9" ht="16.5" hidden="1">
      <c r="E37952" s="4" t="str">
        <v/>
      </c>
      <c r="F37952" s="102" t="str">
        <f ca="1">IFERROR(__xludf.DUMMYFUNCTION("IMPORTRANGE(H37952,""IDENTITAS UNIT!D9"")"),"#N/A")</f>
        <v>#N/A</v>
      </c>
      <c r="H37952" s="4" t="str">
        <v/>
      </c>
      <c r="I37952" s="4" t="str">
        <v/>
      </c>
    </row>
    <row r="37953" spans="5:9" ht="16.5" hidden="1">
      <c r="E37953" s="4" t="str">
        <v/>
      </c>
      <c r="F37953" s="102" t="str">
        <f ca="1">IFERROR(__xludf.DUMMYFUNCTION("IMPORTRANGE(H37953,""IDENTITAS UNIT!D9"")"),"#N/A")</f>
        <v>#N/A</v>
      </c>
      <c r="H37953" s="4" t="str">
        <v/>
      </c>
      <c r="I37953" s="4" t="str">
        <v/>
      </c>
    </row>
    <row r="37954" spans="5:9" ht="16.5" hidden="1">
      <c r="E37954" s="4" t="str">
        <v/>
      </c>
      <c r="F37954" s="102" t="str">
        <f ca="1">IFERROR(__xludf.DUMMYFUNCTION("IMPORTRANGE(H37954,""IDENTITAS UNIT!D9"")"),"#N/A")</f>
        <v>#N/A</v>
      </c>
      <c r="H37954" s="4" t="str">
        <v/>
      </c>
      <c r="I37954" s="4" t="str">
        <v/>
      </c>
    </row>
    <row r="37955" spans="5:9" ht="16.5" hidden="1">
      <c r="E37955" s="4" t="str">
        <v/>
      </c>
      <c r="F37955" s="102" t="str">
        <f ca="1">IFERROR(__xludf.DUMMYFUNCTION("IMPORTRANGE(H37955,""IDENTITAS UNIT!D9"")"),"#N/A")</f>
        <v>#N/A</v>
      </c>
      <c r="H37955" s="4" t="str">
        <v/>
      </c>
      <c r="I37955" s="4" t="str">
        <v/>
      </c>
    </row>
    <row r="37956" spans="5:9" ht="16.5" hidden="1">
      <c r="E37956" s="4" t="str">
        <v/>
      </c>
      <c r="F37956" s="102" t="str">
        <f ca="1">IFERROR(__xludf.DUMMYFUNCTION("IMPORTRANGE(H37956,""IDENTITAS UNIT!D9"")"),"#N/A")</f>
        <v>#N/A</v>
      </c>
      <c r="H37956" s="4" t="str">
        <v/>
      </c>
      <c r="I37956" s="4" t="str">
        <v/>
      </c>
    </row>
    <row r="37957" spans="5:9" ht="16.5" hidden="1">
      <c r="E37957" s="4" t="str">
        <v/>
      </c>
      <c r="F37957" s="102" t="str">
        <f ca="1">IFERROR(__xludf.DUMMYFUNCTION("IMPORTRANGE(H37957,""IDENTITAS UNIT!D9"")"),"#N/A")</f>
        <v>#N/A</v>
      </c>
      <c r="H37957" s="4" t="str">
        <v/>
      </c>
      <c r="I37957" s="4" t="str">
        <v/>
      </c>
    </row>
    <row r="37958" spans="5:9" ht="16.5" hidden="1">
      <c r="E37958" s="4" t="str">
        <v/>
      </c>
      <c r="F37958" s="102" t="str">
        <f ca="1">IFERROR(__xludf.DUMMYFUNCTION("IMPORTRANGE(H37958,""IDENTITAS UNIT!D9"")"),"#N/A")</f>
        <v>#N/A</v>
      </c>
      <c r="H37958" s="4" t="str">
        <v/>
      </c>
      <c r="I37958" s="4" t="str">
        <v/>
      </c>
    </row>
    <row r="37959" spans="5:9" ht="16.5" hidden="1">
      <c r="E37959" s="4" t="str">
        <v/>
      </c>
      <c r="F37959" s="102" t="str">
        <f ca="1">IFERROR(__xludf.DUMMYFUNCTION("IMPORTRANGE(H37959,""IDENTITAS UNIT!D9"")"),"#N/A")</f>
        <v>#N/A</v>
      </c>
      <c r="H37959" s="4" t="str">
        <v/>
      </c>
      <c r="I37959" s="4" t="str">
        <v/>
      </c>
    </row>
    <row r="37960" spans="5:9" ht="16.5" hidden="1">
      <c r="E37960" s="4" t="str">
        <v/>
      </c>
      <c r="F37960" s="102" t="str">
        <f ca="1">IFERROR(__xludf.DUMMYFUNCTION("IMPORTRANGE(H37960,""IDENTITAS UNIT!D9"")"),"#N/A")</f>
        <v>#N/A</v>
      </c>
      <c r="H37960" s="4" t="str">
        <v/>
      </c>
      <c r="I37960" s="4" t="str">
        <v/>
      </c>
    </row>
    <row r="37961" spans="5:9" ht="16.5" hidden="1">
      <c r="E37961" s="4" t="str">
        <v/>
      </c>
      <c r="F37961" s="102" t="str">
        <f ca="1">IFERROR(__xludf.DUMMYFUNCTION("IMPORTRANGE(H37961,""IDENTITAS UNIT!D9"")"),"#N/A")</f>
        <v>#N/A</v>
      </c>
      <c r="H37961" s="4" t="str">
        <v/>
      </c>
      <c r="I37961" s="4" t="str">
        <v/>
      </c>
    </row>
    <row r="37962" spans="5:9" ht="16.5" hidden="1">
      <c r="E37962" s="4" t="str">
        <v/>
      </c>
      <c r="F37962" s="102" t="str">
        <f ca="1">IFERROR(__xludf.DUMMYFUNCTION("IMPORTRANGE(H37962,""IDENTITAS UNIT!D9"")"),"#N/A")</f>
        <v>#N/A</v>
      </c>
      <c r="H37962" s="4" t="str">
        <v/>
      </c>
      <c r="I37962" s="4" t="str">
        <v/>
      </c>
    </row>
    <row r="37963" spans="5:9" ht="16.5" hidden="1">
      <c r="E37963" s="4" t="str">
        <v/>
      </c>
      <c r="F37963" s="102" t="str">
        <f ca="1">IFERROR(__xludf.DUMMYFUNCTION("IMPORTRANGE(H37963,""IDENTITAS UNIT!D9"")"),"#N/A")</f>
        <v>#N/A</v>
      </c>
      <c r="H37963" s="4" t="str">
        <v/>
      </c>
      <c r="I37963" s="4" t="str">
        <v/>
      </c>
    </row>
    <row r="37964" spans="5:9" ht="16.5" hidden="1">
      <c r="E37964" s="4" t="str">
        <v/>
      </c>
      <c r="F37964" s="102" t="str">
        <f ca="1">IFERROR(__xludf.DUMMYFUNCTION("IMPORTRANGE(H37964,""IDENTITAS UNIT!D9"")"),"#N/A")</f>
        <v>#N/A</v>
      </c>
      <c r="H37964" s="4" t="str">
        <v/>
      </c>
      <c r="I37964" s="4" t="str">
        <v/>
      </c>
    </row>
    <row r="37965" spans="5:9" ht="16.5" hidden="1">
      <c r="E37965" s="4" t="str">
        <v/>
      </c>
      <c r="F37965" s="102" t="str">
        <f ca="1">IFERROR(__xludf.DUMMYFUNCTION("IMPORTRANGE(H37965,""IDENTITAS UNIT!D9"")"),"#N/A")</f>
        <v>#N/A</v>
      </c>
      <c r="H37965" s="4" t="str">
        <v/>
      </c>
      <c r="I37965" s="4" t="str">
        <v/>
      </c>
    </row>
    <row r="37966" spans="5:9" ht="16.5" hidden="1">
      <c r="E37966" s="4" t="str">
        <v/>
      </c>
      <c r="F37966" s="102" t="str">
        <f ca="1">IFERROR(__xludf.DUMMYFUNCTION("IMPORTRANGE(H37966,""IDENTITAS UNIT!D9"")"),"#N/A")</f>
        <v>#N/A</v>
      </c>
      <c r="H37966" s="4" t="str">
        <v/>
      </c>
      <c r="I37966" s="4" t="str">
        <v/>
      </c>
    </row>
    <row r="37967" spans="5:9" ht="16.5" hidden="1">
      <c r="E37967" s="4" t="str">
        <v/>
      </c>
      <c r="F37967" s="102" t="str">
        <f ca="1">IFERROR(__xludf.DUMMYFUNCTION("IMPORTRANGE(H37967,""IDENTITAS UNIT!D9"")"),"#N/A")</f>
        <v>#N/A</v>
      </c>
      <c r="H37967" s="4" t="str">
        <v/>
      </c>
      <c r="I37967" s="4" t="str">
        <v/>
      </c>
    </row>
    <row r="37968" spans="5:9" ht="16.5" hidden="1">
      <c r="E37968" s="4" t="str">
        <v/>
      </c>
      <c r="F37968" s="102" t="str">
        <f ca="1">IFERROR(__xludf.DUMMYFUNCTION("IMPORTRANGE(H37968,""IDENTITAS UNIT!D9"")"),"#N/A")</f>
        <v>#N/A</v>
      </c>
      <c r="H37968" s="4" t="str">
        <v/>
      </c>
      <c r="I37968" s="4" t="str">
        <v/>
      </c>
    </row>
    <row r="37969" spans="5:9" ht="16.5" hidden="1">
      <c r="E37969" s="4" t="str">
        <v/>
      </c>
      <c r="F37969" s="102" t="str">
        <f ca="1">IFERROR(__xludf.DUMMYFUNCTION("IMPORTRANGE(H37969,""IDENTITAS UNIT!D9"")"),"#N/A")</f>
        <v>#N/A</v>
      </c>
      <c r="H37969" s="4" t="str">
        <v/>
      </c>
      <c r="I37969" s="4" t="str">
        <v/>
      </c>
    </row>
    <row r="37970" spans="5:9" ht="16.5" hidden="1">
      <c r="E37970" s="4" t="str">
        <v/>
      </c>
      <c r="F37970" s="102" t="str">
        <f ca="1">IFERROR(__xludf.DUMMYFUNCTION("IMPORTRANGE(H37970,""IDENTITAS UNIT!D9"")"),"#N/A")</f>
        <v>#N/A</v>
      </c>
      <c r="H37970" s="4" t="str">
        <v/>
      </c>
      <c r="I37970" s="4" t="str">
        <v/>
      </c>
    </row>
    <row r="37971" spans="5:9" ht="16.5" hidden="1">
      <c r="E37971" s="4" t="str">
        <v/>
      </c>
      <c r="F37971" s="102" t="str">
        <f ca="1">IFERROR(__xludf.DUMMYFUNCTION("IMPORTRANGE(H37971,""IDENTITAS UNIT!D9"")"),"#N/A")</f>
        <v>#N/A</v>
      </c>
      <c r="H37971" s="4" t="str">
        <v/>
      </c>
      <c r="I37971" s="4" t="str">
        <v/>
      </c>
    </row>
    <row r="37972" spans="5:9" ht="16.5" hidden="1">
      <c r="E37972" s="4" t="str">
        <v/>
      </c>
      <c r="F37972" s="102" t="str">
        <f ca="1">IFERROR(__xludf.DUMMYFUNCTION("IMPORTRANGE(H37972,""IDENTITAS UNIT!D9"")"),"#N/A")</f>
        <v>#N/A</v>
      </c>
      <c r="H37972" s="4" t="str">
        <v/>
      </c>
      <c r="I37972" s="4" t="str">
        <v/>
      </c>
    </row>
    <row r="37973" spans="5:9" ht="16.5" hidden="1">
      <c r="E37973" s="4" t="str">
        <v/>
      </c>
      <c r="F37973" s="102" t="str">
        <f ca="1">IFERROR(__xludf.DUMMYFUNCTION("IMPORTRANGE(H37973,""IDENTITAS UNIT!D9"")"),"#N/A")</f>
        <v>#N/A</v>
      </c>
      <c r="H37973" s="4" t="str">
        <v/>
      </c>
      <c r="I37973" s="4" t="str">
        <v/>
      </c>
    </row>
    <row r="37974" spans="5:9" ht="16.5" hidden="1">
      <c r="E37974" s="4" t="str">
        <v/>
      </c>
      <c r="F37974" s="102" t="str">
        <f ca="1">IFERROR(__xludf.DUMMYFUNCTION("IMPORTRANGE(H37974,""IDENTITAS UNIT!D9"")"),"#N/A")</f>
        <v>#N/A</v>
      </c>
      <c r="H37974" s="4" t="str">
        <v/>
      </c>
      <c r="I37974" s="4" t="str">
        <v/>
      </c>
    </row>
    <row r="37975" spans="5:9" ht="16.5" hidden="1">
      <c r="E37975" s="4" t="str">
        <v/>
      </c>
      <c r="F37975" s="102" t="str">
        <f ca="1">IFERROR(__xludf.DUMMYFUNCTION("IMPORTRANGE(H37975,""IDENTITAS UNIT!D9"")"),"#N/A")</f>
        <v>#N/A</v>
      </c>
      <c r="H37975" s="4" t="str">
        <v/>
      </c>
      <c r="I37975" s="4" t="str">
        <v/>
      </c>
    </row>
    <row r="37976" spans="5:9" ht="16.5" hidden="1">
      <c r="E37976" s="4" t="str">
        <v/>
      </c>
      <c r="F37976" s="102" t="str">
        <f ca="1">IFERROR(__xludf.DUMMYFUNCTION("IMPORTRANGE(H37976,""IDENTITAS UNIT!D9"")"),"#N/A")</f>
        <v>#N/A</v>
      </c>
      <c r="H37976" s="4" t="str">
        <v/>
      </c>
      <c r="I37976" s="4" t="str">
        <v/>
      </c>
    </row>
    <row r="37977" spans="5:9" ht="16.5" hidden="1">
      <c r="E37977" s="4" t="str">
        <v/>
      </c>
      <c r="F37977" s="102" t="str">
        <f ca="1">IFERROR(__xludf.DUMMYFUNCTION("IMPORTRANGE(H37977,""IDENTITAS UNIT!D9"")"),"#N/A")</f>
        <v>#N/A</v>
      </c>
      <c r="H37977" s="4" t="str">
        <v/>
      </c>
      <c r="I37977" s="4" t="str">
        <v/>
      </c>
    </row>
    <row r="37978" spans="5:9" ht="16.5" hidden="1">
      <c r="E37978" s="4" t="str">
        <v/>
      </c>
      <c r="F37978" s="102" t="str">
        <f ca="1">IFERROR(__xludf.DUMMYFUNCTION("IMPORTRANGE(H37978,""IDENTITAS UNIT!D9"")"),"#N/A")</f>
        <v>#N/A</v>
      </c>
      <c r="H37978" s="4" t="str">
        <v/>
      </c>
      <c r="I37978" s="4" t="str">
        <v/>
      </c>
    </row>
    <row r="37979" spans="5:9" ht="16.5" hidden="1">
      <c r="E37979" s="4" t="str">
        <v/>
      </c>
      <c r="F37979" s="102" t="str">
        <f ca="1">IFERROR(__xludf.DUMMYFUNCTION("IMPORTRANGE(H37979,""IDENTITAS UNIT!D9"")"),"#N/A")</f>
        <v>#N/A</v>
      </c>
      <c r="H37979" s="4" t="str">
        <v/>
      </c>
      <c r="I37979" s="4" t="str">
        <v/>
      </c>
    </row>
    <row r="37980" spans="5:9" ht="16.5" hidden="1">
      <c r="E37980" s="4" t="str">
        <v/>
      </c>
      <c r="F37980" s="102" t="str">
        <f ca="1">IFERROR(__xludf.DUMMYFUNCTION("IMPORTRANGE(H37980,""IDENTITAS UNIT!D9"")"),"#N/A")</f>
        <v>#N/A</v>
      </c>
      <c r="H37980" s="4" t="str">
        <v/>
      </c>
      <c r="I37980" s="4" t="str">
        <v/>
      </c>
    </row>
    <row r="37981" spans="5:9" ht="16.5" hidden="1">
      <c r="E37981" s="4" t="str">
        <v/>
      </c>
      <c r="F37981" s="102" t="str">
        <f ca="1">IFERROR(__xludf.DUMMYFUNCTION("IMPORTRANGE(H37981,""IDENTITAS UNIT!D9"")"),"#N/A")</f>
        <v>#N/A</v>
      </c>
      <c r="H37981" s="4" t="str">
        <v/>
      </c>
      <c r="I37981" s="4" t="str">
        <v/>
      </c>
    </row>
    <row r="37982" spans="5:9" ht="16.5" hidden="1">
      <c r="E37982" s="4" t="str">
        <v/>
      </c>
      <c r="F37982" s="102" t="str">
        <f ca="1">IFERROR(__xludf.DUMMYFUNCTION("IMPORTRANGE(H37982,""IDENTITAS UNIT!D9"")"),"#N/A")</f>
        <v>#N/A</v>
      </c>
      <c r="H37982" s="4" t="str">
        <v/>
      </c>
      <c r="I37982" s="4" t="str">
        <v/>
      </c>
    </row>
    <row r="37983" spans="5:9" ht="16.5" hidden="1">
      <c r="E37983" s="4" t="str">
        <v/>
      </c>
      <c r="F37983" s="102" t="str">
        <f ca="1">IFERROR(__xludf.DUMMYFUNCTION("IMPORTRANGE(H37983,""IDENTITAS UNIT!D9"")"),"#N/A")</f>
        <v>#N/A</v>
      </c>
      <c r="H37983" s="4" t="str">
        <v/>
      </c>
      <c r="I37983" s="4" t="str">
        <v/>
      </c>
    </row>
    <row r="37984" spans="5:9" ht="16.5" hidden="1">
      <c r="E37984" s="4" t="str">
        <v/>
      </c>
      <c r="F37984" s="102" t="str">
        <f ca="1">IFERROR(__xludf.DUMMYFUNCTION("IMPORTRANGE(H37984,""IDENTITAS UNIT!D9"")"),"#N/A")</f>
        <v>#N/A</v>
      </c>
      <c r="H37984" s="4" t="str">
        <v/>
      </c>
      <c r="I37984" s="4" t="str">
        <v/>
      </c>
    </row>
    <row r="37985" spans="5:9" ht="16.5" hidden="1">
      <c r="E37985" s="4" t="str">
        <v/>
      </c>
      <c r="F37985" s="102" t="str">
        <f ca="1">IFERROR(__xludf.DUMMYFUNCTION("IMPORTRANGE(H37985,""IDENTITAS UNIT!D9"")"),"#N/A")</f>
        <v>#N/A</v>
      </c>
      <c r="H37985" s="4" t="str">
        <v/>
      </c>
      <c r="I37985" s="4" t="str">
        <v/>
      </c>
    </row>
    <row r="37986" spans="5:9" ht="16.5" hidden="1">
      <c r="E37986" s="4" t="str">
        <v/>
      </c>
      <c r="F37986" s="102" t="str">
        <f ca="1">IFERROR(__xludf.DUMMYFUNCTION("IMPORTRANGE(H37986,""IDENTITAS UNIT!D9"")"),"#N/A")</f>
        <v>#N/A</v>
      </c>
      <c r="H37986" s="4" t="str">
        <v/>
      </c>
      <c r="I37986" s="4" t="str">
        <v/>
      </c>
    </row>
    <row r="37987" spans="5:9" ht="16.5" hidden="1">
      <c r="E37987" s="4" t="str">
        <v/>
      </c>
      <c r="F37987" s="102" t="str">
        <f ca="1">IFERROR(__xludf.DUMMYFUNCTION("IMPORTRANGE(H37987,""IDENTITAS UNIT!D9"")"),"#N/A")</f>
        <v>#N/A</v>
      </c>
      <c r="H37987" s="4" t="str">
        <v/>
      </c>
      <c r="I37987" s="4" t="str">
        <v/>
      </c>
    </row>
    <row r="37988" spans="5:9" ht="16.5" hidden="1">
      <c r="E37988" s="4" t="str">
        <v/>
      </c>
      <c r="F37988" s="102" t="str">
        <f ca="1">IFERROR(__xludf.DUMMYFUNCTION("IMPORTRANGE(H37988,""IDENTITAS UNIT!D9"")"),"#N/A")</f>
        <v>#N/A</v>
      </c>
      <c r="H37988" s="4" t="str">
        <v/>
      </c>
      <c r="I37988" s="4" t="str">
        <v/>
      </c>
    </row>
    <row r="37989" spans="5:9" ht="16.5" hidden="1">
      <c r="E37989" s="4" t="str">
        <v/>
      </c>
      <c r="F37989" s="102" t="str">
        <f ca="1">IFERROR(__xludf.DUMMYFUNCTION("IMPORTRANGE(H37989,""IDENTITAS UNIT!D9"")"),"#N/A")</f>
        <v>#N/A</v>
      </c>
      <c r="H37989" s="4" t="str">
        <v/>
      </c>
      <c r="I37989" s="4" t="str">
        <v/>
      </c>
    </row>
    <row r="37990" spans="5:9" ht="16.5" hidden="1">
      <c r="E37990" s="4" t="str">
        <v/>
      </c>
      <c r="F37990" s="102" t="str">
        <f ca="1">IFERROR(__xludf.DUMMYFUNCTION("IMPORTRANGE(H37990,""IDENTITAS UNIT!D9"")"),"#N/A")</f>
        <v>#N/A</v>
      </c>
      <c r="H37990" s="4" t="str">
        <v/>
      </c>
      <c r="I37990" s="4" t="str">
        <v/>
      </c>
    </row>
    <row r="37991" spans="5:9" ht="16.5" hidden="1">
      <c r="E37991" s="4" t="str">
        <v/>
      </c>
      <c r="F37991" s="102" t="str">
        <f ca="1">IFERROR(__xludf.DUMMYFUNCTION("IMPORTRANGE(H37991,""IDENTITAS UNIT!D9"")"),"#N/A")</f>
        <v>#N/A</v>
      </c>
      <c r="H37991" s="4" t="str">
        <v/>
      </c>
      <c r="I37991" s="4" t="str">
        <v/>
      </c>
    </row>
    <row r="37992" spans="5:9" ht="16.5" hidden="1">
      <c r="E37992" s="4" t="str">
        <v/>
      </c>
      <c r="F37992" s="102" t="str">
        <f ca="1">IFERROR(__xludf.DUMMYFUNCTION("IMPORTRANGE(H37992,""IDENTITAS UNIT!D9"")"),"#N/A")</f>
        <v>#N/A</v>
      </c>
      <c r="H37992" s="4" t="str">
        <v/>
      </c>
      <c r="I37992" s="4" t="str">
        <v/>
      </c>
    </row>
    <row r="37993" spans="5:9" ht="16.5" hidden="1">
      <c r="E37993" s="4" t="str">
        <v/>
      </c>
      <c r="F37993" s="102" t="str">
        <f ca="1">IFERROR(__xludf.DUMMYFUNCTION("IMPORTRANGE(H37993,""IDENTITAS UNIT!D9"")"),"#N/A")</f>
        <v>#N/A</v>
      </c>
      <c r="H37993" s="4" t="str">
        <v/>
      </c>
      <c r="I37993" s="4" t="str">
        <v/>
      </c>
    </row>
    <row r="37994" spans="5:9" ht="16.5" hidden="1">
      <c r="E37994" s="4" t="str">
        <v/>
      </c>
      <c r="F37994" s="102" t="str">
        <f ca="1">IFERROR(__xludf.DUMMYFUNCTION("IMPORTRANGE(H37994,""IDENTITAS UNIT!D9"")"),"#N/A")</f>
        <v>#N/A</v>
      </c>
      <c r="H37994" s="4" t="str">
        <v/>
      </c>
      <c r="I37994" s="4" t="str">
        <v/>
      </c>
    </row>
    <row r="37995" spans="5:9" ht="16.5" hidden="1">
      <c r="E37995" s="4" t="str">
        <v/>
      </c>
      <c r="F37995" s="102" t="str">
        <f ca="1">IFERROR(__xludf.DUMMYFUNCTION("IMPORTRANGE(H37995,""IDENTITAS UNIT!D9"")"),"#N/A")</f>
        <v>#N/A</v>
      </c>
      <c r="H37995" s="4" t="str">
        <v/>
      </c>
      <c r="I37995" s="4" t="str">
        <v/>
      </c>
    </row>
    <row r="37996" spans="5:9" ht="16.5" hidden="1">
      <c r="E37996" s="4" t="str">
        <v/>
      </c>
      <c r="F37996" s="102" t="str">
        <f ca="1">IFERROR(__xludf.DUMMYFUNCTION("IMPORTRANGE(H37996,""IDENTITAS UNIT!D9"")"),"#N/A")</f>
        <v>#N/A</v>
      </c>
      <c r="H37996" s="4" t="str">
        <v/>
      </c>
      <c r="I37996" s="4" t="str">
        <v/>
      </c>
    </row>
    <row r="37997" spans="5:9" ht="16.5" hidden="1">
      <c r="E37997" s="4" t="str">
        <v/>
      </c>
      <c r="F37997" s="102" t="str">
        <f ca="1">IFERROR(__xludf.DUMMYFUNCTION("IMPORTRANGE(H37997,""IDENTITAS UNIT!D9"")"),"#N/A")</f>
        <v>#N/A</v>
      </c>
      <c r="H37997" s="4" t="str">
        <v/>
      </c>
      <c r="I37997" s="4" t="str">
        <v/>
      </c>
    </row>
    <row r="37998" spans="5:9" ht="16.5" hidden="1">
      <c r="E37998" s="4" t="str">
        <v/>
      </c>
      <c r="F37998" s="102" t="str">
        <f ca="1">IFERROR(__xludf.DUMMYFUNCTION("IMPORTRANGE(H37998,""IDENTITAS UNIT!D9"")"),"#N/A")</f>
        <v>#N/A</v>
      </c>
      <c r="H37998" s="4" t="str">
        <v/>
      </c>
      <c r="I37998" s="4" t="str">
        <v/>
      </c>
    </row>
    <row r="37999" spans="5:9" ht="16.5" hidden="1">
      <c r="E37999" s="4" t="str">
        <v/>
      </c>
      <c r="F37999" s="102" t="str">
        <f ca="1">IFERROR(__xludf.DUMMYFUNCTION("IMPORTRANGE(H37999,""IDENTITAS UNIT!D9"")"),"#N/A")</f>
        <v>#N/A</v>
      </c>
      <c r="H37999" s="4" t="str">
        <v/>
      </c>
      <c r="I37999" s="4" t="str">
        <v/>
      </c>
    </row>
    <row r="38000" spans="5:9" ht="16.5" hidden="1">
      <c r="E38000" s="4" t="str">
        <v/>
      </c>
      <c r="F38000" s="102" t="str">
        <f ca="1">IFERROR(__xludf.DUMMYFUNCTION("IMPORTRANGE(H38000,""IDENTITAS UNIT!D9"")"),"#N/A")</f>
        <v>#N/A</v>
      </c>
      <c r="H38000" s="4" t="str">
        <v/>
      </c>
      <c r="I38000" s="4" t="str">
        <v/>
      </c>
    </row>
    <row r="38001" spans="5:9" ht="16.5" hidden="1">
      <c r="E38001" s="4" t="str">
        <v/>
      </c>
      <c r="F38001" s="102" t="str">
        <f ca="1">IFERROR(__xludf.DUMMYFUNCTION("IMPORTRANGE(H38001,""IDENTITAS UNIT!D9"")"),"#N/A")</f>
        <v>#N/A</v>
      </c>
      <c r="H38001" s="4" t="str">
        <v/>
      </c>
      <c r="I38001" s="4" t="str">
        <v/>
      </c>
    </row>
    <row r="38002" spans="5:9" ht="16.5" hidden="1">
      <c r="E38002" s="4" t="str">
        <v/>
      </c>
      <c r="F38002" s="102" t="str">
        <f ca="1">IFERROR(__xludf.DUMMYFUNCTION("IMPORTRANGE(H38002,""IDENTITAS UNIT!D9"")"),"#N/A")</f>
        <v>#N/A</v>
      </c>
      <c r="H38002" s="4" t="str">
        <v/>
      </c>
      <c r="I38002" s="4" t="str">
        <v/>
      </c>
    </row>
    <row r="38003" spans="5:9" ht="16.5" hidden="1">
      <c r="E38003" s="4" t="str">
        <v/>
      </c>
      <c r="F38003" s="102" t="str">
        <f ca="1">IFERROR(__xludf.DUMMYFUNCTION("IMPORTRANGE(H38003,""IDENTITAS UNIT!D9"")"),"#N/A")</f>
        <v>#N/A</v>
      </c>
      <c r="H38003" s="4" t="str">
        <v/>
      </c>
      <c r="I38003" s="4" t="str">
        <v/>
      </c>
    </row>
    <row r="38004" spans="5:9" ht="16.5" hidden="1">
      <c r="E38004" s="4" t="str">
        <v/>
      </c>
      <c r="F38004" s="102" t="str">
        <f ca="1">IFERROR(__xludf.DUMMYFUNCTION("IMPORTRANGE(H38004,""IDENTITAS UNIT!D9"")"),"#N/A")</f>
        <v>#N/A</v>
      </c>
      <c r="H38004" s="4" t="str">
        <v/>
      </c>
      <c r="I38004" s="4" t="str">
        <v/>
      </c>
    </row>
    <row r="38005" spans="5:9" ht="16.5" hidden="1">
      <c r="E38005" s="4" t="str">
        <v/>
      </c>
      <c r="F38005" s="102" t="str">
        <f ca="1">IFERROR(__xludf.DUMMYFUNCTION("IMPORTRANGE(H38005,""IDENTITAS UNIT!D9"")"),"#N/A")</f>
        <v>#N/A</v>
      </c>
      <c r="H38005" s="4" t="str">
        <v/>
      </c>
      <c r="I38005" s="4" t="str">
        <v/>
      </c>
    </row>
    <row r="38006" spans="5:9" ht="16.5" hidden="1">
      <c r="E38006" s="4" t="str">
        <v/>
      </c>
      <c r="F38006" s="102" t="str">
        <f ca="1">IFERROR(__xludf.DUMMYFUNCTION("IMPORTRANGE(H38006,""IDENTITAS UNIT!D9"")"),"#N/A")</f>
        <v>#N/A</v>
      </c>
      <c r="H38006" s="4" t="str">
        <v/>
      </c>
      <c r="I38006" s="4" t="str">
        <v/>
      </c>
    </row>
    <row r="38007" spans="5:9" ht="16.5" hidden="1">
      <c r="E38007" s="4" t="str">
        <v/>
      </c>
      <c r="F38007" s="102" t="str">
        <f ca="1">IFERROR(__xludf.DUMMYFUNCTION("IMPORTRANGE(H38007,""IDENTITAS UNIT!D9"")"),"#N/A")</f>
        <v>#N/A</v>
      </c>
      <c r="H38007" s="4" t="str">
        <v/>
      </c>
      <c r="I38007" s="4" t="str">
        <v/>
      </c>
    </row>
    <row r="38008" spans="5:9" ht="16.5" hidden="1">
      <c r="E38008" s="4" t="str">
        <v/>
      </c>
      <c r="F38008" s="102" t="str">
        <f ca="1">IFERROR(__xludf.DUMMYFUNCTION("IMPORTRANGE(H38008,""IDENTITAS UNIT!D9"")"),"#N/A")</f>
        <v>#N/A</v>
      </c>
      <c r="H38008" s="4" t="str">
        <v/>
      </c>
      <c r="I38008" s="4" t="str">
        <v/>
      </c>
    </row>
    <row r="38009" spans="5:9" ht="16.5" hidden="1">
      <c r="E38009" s="4" t="str">
        <v/>
      </c>
      <c r="F38009" s="102" t="str">
        <f ca="1">IFERROR(__xludf.DUMMYFUNCTION("IMPORTRANGE(H38009,""IDENTITAS UNIT!D9"")"),"#N/A")</f>
        <v>#N/A</v>
      </c>
      <c r="H38009" s="4" t="str">
        <v/>
      </c>
      <c r="I38009" s="4" t="str">
        <v/>
      </c>
    </row>
    <row r="38010" spans="5:9" ht="16.5" hidden="1">
      <c r="E38010" s="4" t="str">
        <v/>
      </c>
      <c r="F38010" s="102" t="str">
        <f ca="1">IFERROR(__xludf.DUMMYFUNCTION("IMPORTRANGE(H38010,""IDENTITAS UNIT!D9"")"),"#N/A")</f>
        <v>#N/A</v>
      </c>
      <c r="H38010" s="4" t="str">
        <v/>
      </c>
      <c r="I38010" s="4" t="str">
        <v/>
      </c>
    </row>
    <row r="38011" spans="5:9" ht="16.5" hidden="1">
      <c r="E38011" s="4" t="str">
        <v/>
      </c>
      <c r="F38011" s="102" t="str">
        <f ca="1">IFERROR(__xludf.DUMMYFUNCTION("IMPORTRANGE(H38011,""IDENTITAS UNIT!D9"")"),"#N/A")</f>
        <v>#N/A</v>
      </c>
      <c r="H38011" s="4" t="str">
        <v/>
      </c>
      <c r="I38011" s="4" t="str">
        <v/>
      </c>
    </row>
    <row r="38012" spans="5:9" ht="16.5" hidden="1">
      <c r="E38012" s="4" t="str">
        <v/>
      </c>
      <c r="F38012" s="102" t="str">
        <f ca="1">IFERROR(__xludf.DUMMYFUNCTION("IMPORTRANGE(H38012,""IDENTITAS UNIT!D9"")"),"#N/A")</f>
        <v>#N/A</v>
      </c>
      <c r="H38012" s="4" t="str">
        <v/>
      </c>
      <c r="I38012" s="4" t="str">
        <v/>
      </c>
    </row>
    <row r="38013" spans="5:9" ht="16.5" hidden="1">
      <c r="E38013" s="4" t="str">
        <v/>
      </c>
      <c r="F38013" s="102" t="str">
        <f ca="1">IFERROR(__xludf.DUMMYFUNCTION("IMPORTRANGE(H38013,""IDENTITAS UNIT!D9"")"),"#N/A")</f>
        <v>#N/A</v>
      </c>
      <c r="H38013" s="4" t="str">
        <v/>
      </c>
      <c r="I38013" s="4" t="str">
        <v/>
      </c>
    </row>
    <row r="38014" spans="5:9" ht="16.5" hidden="1">
      <c r="E38014" s="4" t="str">
        <v/>
      </c>
      <c r="F38014" s="102" t="str">
        <f ca="1">IFERROR(__xludf.DUMMYFUNCTION("IMPORTRANGE(H38014,""IDENTITAS UNIT!D9"")"),"#N/A")</f>
        <v>#N/A</v>
      </c>
      <c r="H38014" s="4" t="str">
        <v/>
      </c>
      <c r="I38014" s="4" t="str">
        <v/>
      </c>
    </row>
    <row r="38015" spans="5:9" ht="16.5" hidden="1">
      <c r="E38015" s="4" t="str">
        <v/>
      </c>
      <c r="F38015" s="102" t="str">
        <f ca="1">IFERROR(__xludf.DUMMYFUNCTION("IMPORTRANGE(H38015,""IDENTITAS UNIT!D9"")"),"#N/A")</f>
        <v>#N/A</v>
      </c>
      <c r="H38015" s="4" t="str">
        <v/>
      </c>
      <c r="I38015" s="4" t="str">
        <v/>
      </c>
    </row>
    <row r="38016" spans="5:9" ht="16.5" hidden="1">
      <c r="E38016" s="4" t="str">
        <v/>
      </c>
      <c r="F38016" s="102" t="str">
        <f ca="1">IFERROR(__xludf.DUMMYFUNCTION("IMPORTRANGE(H38016,""IDENTITAS UNIT!D9"")"),"#N/A")</f>
        <v>#N/A</v>
      </c>
      <c r="H38016" s="4" t="str">
        <v/>
      </c>
      <c r="I38016" s="4" t="str">
        <v/>
      </c>
    </row>
    <row r="38017" spans="5:9" ht="16.5" hidden="1">
      <c r="E38017" s="4" t="str">
        <v/>
      </c>
      <c r="F38017" s="102" t="str">
        <f ca="1">IFERROR(__xludf.DUMMYFUNCTION("IMPORTRANGE(H38017,""IDENTITAS UNIT!D9"")"),"#N/A")</f>
        <v>#N/A</v>
      </c>
      <c r="H38017" s="4" t="str">
        <v/>
      </c>
      <c r="I38017" s="4" t="str">
        <v/>
      </c>
    </row>
    <row r="38018" spans="5:9" ht="16.5" hidden="1">
      <c r="E38018" s="4" t="str">
        <v/>
      </c>
      <c r="F38018" s="102" t="str">
        <f ca="1">IFERROR(__xludf.DUMMYFUNCTION("IMPORTRANGE(H38018,""IDENTITAS UNIT!D9"")"),"#N/A")</f>
        <v>#N/A</v>
      </c>
      <c r="H38018" s="4" t="str">
        <v/>
      </c>
      <c r="I38018" s="4" t="str">
        <v/>
      </c>
    </row>
    <row r="38019" spans="5:9" ht="16.5" hidden="1">
      <c r="E38019" s="4" t="str">
        <v/>
      </c>
      <c r="F38019" s="102" t="str">
        <f ca="1">IFERROR(__xludf.DUMMYFUNCTION("IMPORTRANGE(H38019,""IDENTITAS UNIT!D9"")"),"#N/A")</f>
        <v>#N/A</v>
      </c>
      <c r="H38019" s="4" t="str">
        <v/>
      </c>
      <c r="I38019" s="4" t="str">
        <v/>
      </c>
    </row>
    <row r="38020" spans="5:9" ht="16.5" hidden="1">
      <c r="E38020" s="4" t="str">
        <v/>
      </c>
      <c r="F38020" s="102" t="str">
        <f ca="1">IFERROR(__xludf.DUMMYFUNCTION("IMPORTRANGE(H38020,""IDENTITAS UNIT!D9"")"),"#N/A")</f>
        <v>#N/A</v>
      </c>
      <c r="H38020" s="4" t="str">
        <v/>
      </c>
      <c r="I38020" s="4" t="str">
        <v/>
      </c>
    </row>
    <row r="38021" spans="5:9" ht="16.5" hidden="1">
      <c r="E38021" s="4" t="str">
        <v/>
      </c>
      <c r="F38021" s="102" t="str">
        <f ca="1">IFERROR(__xludf.DUMMYFUNCTION("IMPORTRANGE(H38021,""IDENTITAS UNIT!D9"")"),"#N/A")</f>
        <v>#N/A</v>
      </c>
      <c r="H38021" s="4" t="str">
        <v/>
      </c>
      <c r="I38021" s="4" t="str">
        <v/>
      </c>
    </row>
    <row r="38022" spans="5:9" ht="16.5" hidden="1">
      <c r="E38022" s="4" t="str">
        <v/>
      </c>
      <c r="F38022" s="102" t="str">
        <f ca="1">IFERROR(__xludf.DUMMYFUNCTION("IMPORTRANGE(H38022,""IDENTITAS UNIT!D9"")"),"#N/A")</f>
        <v>#N/A</v>
      </c>
      <c r="H38022" s="4" t="str">
        <v/>
      </c>
      <c r="I38022" s="4" t="str">
        <v/>
      </c>
    </row>
    <row r="38023" spans="5:9" ht="16.5" hidden="1">
      <c r="E38023" s="4" t="str">
        <v/>
      </c>
      <c r="F38023" s="102" t="str">
        <f ca="1">IFERROR(__xludf.DUMMYFUNCTION("IMPORTRANGE(H38023,""IDENTITAS UNIT!D9"")"),"#N/A")</f>
        <v>#N/A</v>
      </c>
      <c r="H38023" s="4" t="str">
        <v/>
      </c>
      <c r="I38023" s="4" t="str">
        <v/>
      </c>
    </row>
    <row r="38024" spans="5:9" ht="16.5" hidden="1">
      <c r="E38024" s="4" t="str">
        <v/>
      </c>
      <c r="F38024" s="102" t="str">
        <f ca="1">IFERROR(__xludf.DUMMYFUNCTION("IMPORTRANGE(H38024,""IDENTITAS UNIT!D9"")"),"#N/A")</f>
        <v>#N/A</v>
      </c>
      <c r="H38024" s="4" t="str">
        <v/>
      </c>
      <c r="I38024" s="4" t="str">
        <v/>
      </c>
    </row>
    <row r="38025" spans="5:9" ht="16.5" hidden="1">
      <c r="E38025" s="4" t="str">
        <v/>
      </c>
      <c r="F38025" s="102" t="str">
        <f ca="1">IFERROR(__xludf.DUMMYFUNCTION("IMPORTRANGE(H38025,""IDENTITAS UNIT!D9"")"),"#N/A")</f>
        <v>#N/A</v>
      </c>
      <c r="H38025" s="4" t="str">
        <v/>
      </c>
      <c r="I38025" s="4" t="str">
        <v/>
      </c>
    </row>
    <row r="38026" spans="5:9" ht="16.5" hidden="1">
      <c r="E38026" s="4" t="str">
        <v/>
      </c>
      <c r="F38026" s="102" t="str">
        <f ca="1">IFERROR(__xludf.DUMMYFUNCTION("IMPORTRANGE(H38026,""IDENTITAS UNIT!D9"")"),"#N/A")</f>
        <v>#N/A</v>
      </c>
      <c r="H38026" s="4" t="str">
        <v/>
      </c>
      <c r="I38026" s="4" t="str">
        <v/>
      </c>
    </row>
    <row r="38027" spans="5:9" ht="16.5" hidden="1">
      <c r="E38027" s="4" t="str">
        <v/>
      </c>
      <c r="F38027" s="102" t="str">
        <f ca="1">IFERROR(__xludf.DUMMYFUNCTION("IMPORTRANGE(H38027,""IDENTITAS UNIT!D9"")"),"#N/A")</f>
        <v>#N/A</v>
      </c>
      <c r="H38027" s="4" t="str">
        <v/>
      </c>
      <c r="I38027" s="4" t="str">
        <v/>
      </c>
    </row>
    <row r="38028" spans="5:9" ht="16.5" hidden="1">
      <c r="E38028" s="4" t="str">
        <v/>
      </c>
      <c r="F38028" s="102" t="str">
        <f ca="1">IFERROR(__xludf.DUMMYFUNCTION("IMPORTRANGE(H38028,""IDENTITAS UNIT!D9"")"),"#N/A")</f>
        <v>#N/A</v>
      </c>
      <c r="H38028" s="4" t="str">
        <v/>
      </c>
      <c r="I38028" s="4" t="str">
        <v/>
      </c>
    </row>
    <row r="38029" spans="5:9" ht="16.5" hidden="1">
      <c r="E38029" s="4" t="str">
        <v/>
      </c>
      <c r="F38029" s="102" t="str">
        <f ca="1">IFERROR(__xludf.DUMMYFUNCTION("IMPORTRANGE(H38029,""IDENTITAS UNIT!D9"")"),"#N/A")</f>
        <v>#N/A</v>
      </c>
      <c r="H38029" s="4" t="str">
        <v/>
      </c>
      <c r="I38029" s="4" t="str">
        <v/>
      </c>
    </row>
    <row r="38030" spans="5:9" ht="16.5" hidden="1">
      <c r="E38030" s="4" t="str">
        <v/>
      </c>
      <c r="F38030" s="102" t="str">
        <f ca="1">IFERROR(__xludf.DUMMYFUNCTION("IMPORTRANGE(H38030,""IDENTITAS UNIT!D9"")"),"#N/A")</f>
        <v>#N/A</v>
      </c>
      <c r="H38030" s="4" t="str">
        <v/>
      </c>
      <c r="I38030" s="4" t="str">
        <v/>
      </c>
    </row>
    <row r="38031" spans="5:9" ht="16.5" hidden="1">
      <c r="E38031" s="4" t="str">
        <v/>
      </c>
      <c r="F38031" s="102" t="str">
        <f ca="1">IFERROR(__xludf.DUMMYFUNCTION("IMPORTRANGE(H38031,""IDENTITAS UNIT!D9"")"),"#N/A")</f>
        <v>#N/A</v>
      </c>
      <c r="H38031" s="4" t="str">
        <v/>
      </c>
      <c r="I38031" s="4" t="str">
        <v/>
      </c>
    </row>
    <row r="38032" spans="5:9" ht="16.5" hidden="1">
      <c r="E38032" s="4" t="str">
        <v/>
      </c>
      <c r="F38032" s="102" t="str">
        <f ca="1">IFERROR(__xludf.DUMMYFUNCTION("IMPORTRANGE(H38032,""IDENTITAS UNIT!D9"")"),"#N/A")</f>
        <v>#N/A</v>
      </c>
      <c r="H38032" s="4" t="str">
        <v/>
      </c>
      <c r="I38032" s="4" t="str">
        <v/>
      </c>
    </row>
    <row r="38033" spans="5:9" ht="16.5" hidden="1">
      <c r="E38033" s="4" t="str">
        <v/>
      </c>
      <c r="F38033" s="102" t="str">
        <f ca="1">IFERROR(__xludf.DUMMYFUNCTION("IMPORTRANGE(H38033,""IDENTITAS UNIT!D9"")"),"#N/A")</f>
        <v>#N/A</v>
      </c>
      <c r="H38033" s="4" t="str">
        <v/>
      </c>
      <c r="I38033" s="4" t="str">
        <v/>
      </c>
    </row>
    <row r="38034" spans="5:9" ht="16.5" hidden="1">
      <c r="E38034" s="4" t="str">
        <v/>
      </c>
      <c r="F38034" s="102" t="str">
        <f ca="1">IFERROR(__xludf.DUMMYFUNCTION("IMPORTRANGE(H38034,""IDENTITAS UNIT!D9"")"),"#N/A")</f>
        <v>#N/A</v>
      </c>
      <c r="H38034" s="4" t="str">
        <v/>
      </c>
      <c r="I38034" s="4" t="str">
        <v/>
      </c>
    </row>
    <row r="38035" spans="5:9" ht="16.5" hidden="1">
      <c r="E38035" s="4" t="str">
        <v/>
      </c>
      <c r="F38035" s="102" t="str">
        <f ca="1">IFERROR(__xludf.DUMMYFUNCTION("IMPORTRANGE(H38035,""IDENTITAS UNIT!D9"")"),"#N/A")</f>
        <v>#N/A</v>
      </c>
      <c r="H38035" s="4" t="str">
        <v/>
      </c>
      <c r="I38035" s="4" t="str">
        <v/>
      </c>
    </row>
    <row r="38036" spans="5:9" ht="16.5" hidden="1">
      <c r="E38036" s="4" t="str">
        <v/>
      </c>
      <c r="F38036" s="102" t="str">
        <f ca="1">IFERROR(__xludf.DUMMYFUNCTION("IMPORTRANGE(H38036,""IDENTITAS UNIT!D9"")"),"#N/A")</f>
        <v>#N/A</v>
      </c>
      <c r="H38036" s="4" t="str">
        <v/>
      </c>
      <c r="I38036" s="4" t="str">
        <v/>
      </c>
    </row>
    <row r="38037" spans="5:9" ht="16.5" hidden="1">
      <c r="E38037" s="4" t="str">
        <v/>
      </c>
      <c r="F38037" s="102" t="str">
        <f ca="1">IFERROR(__xludf.DUMMYFUNCTION("IMPORTRANGE(H38037,""IDENTITAS UNIT!D9"")"),"#N/A")</f>
        <v>#N/A</v>
      </c>
      <c r="H38037" s="4" t="str">
        <v/>
      </c>
      <c r="I38037" s="4" t="str">
        <v/>
      </c>
    </row>
    <row r="38038" spans="5:9" ht="16.5" hidden="1">
      <c r="E38038" s="4" t="str">
        <v/>
      </c>
      <c r="F38038" s="102" t="str">
        <f ca="1">IFERROR(__xludf.DUMMYFUNCTION("IMPORTRANGE(H38038,""IDENTITAS UNIT!D9"")"),"#N/A")</f>
        <v>#N/A</v>
      </c>
      <c r="H38038" s="4" t="str">
        <v/>
      </c>
      <c r="I38038" s="4" t="str">
        <v/>
      </c>
    </row>
    <row r="38039" spans="5:9" ht="16.5" hidden="1">
      <c r="E38039" s="4" t="str">
        <v/>
      </c>
      <c r="F38039" s="102" t="str">
        <f ca="1">IFERROR(__xludf.DUMMYFUNCTION("IMPORTRANGE(H38039,""IDENTITAS UNIT!D9"")"),"#N/A")</f>
        <v>#N/A</v>
      </c>
      <c r="H38039" s="4" t="str">
        <v/>
      </c>
      <c r="I38039" s="4" t="str">
        <v/>
      </c>
    </row>
    <row r="38040" spans="5:9" ht="16.5" hidden="1">
      <c r="E38040" s="4" t="str">
        <v/>
      </c>
      <c r="F38040" s="102" t="str">
        <f ca="1">IFERROR(__xludf.DUMMYFUNCTION("IMPORTRANGE(H38040,""IDENTITAS UNIT!D9"")"),"#N/A")</f>
        <v>#N/A</v>
      </c>
      <c r="H38040" s="4" t="str">
        <v/>
      </c>
      <c r="I38040" s="4" t="str">
        <v/>
      </c>
    </row>
    <row r="38041" spans="5:9" ht="16.5" hidden="1">
      <c r="E38041" s="4" t="str">
        <v/>
      </c>
      <c r="F38041" s="102" t="str">
        <f ca="1">IFERROR(__xludf.DUMMYFUNCTION("IMPORTRANGE(H38041,""IDENTITAS UNIT!D9"")"),"#N/A")</f>
        <v>#N/A</v>
      </c>
      <c r="H38041" s="4" t="str">
        <v/>
      </c>
      <c r="I38041" s="4" t="str">
        <v/>
      </c>
    </row>
    <row r="38042" spans="5:9" ht="16.5" hidden="1">
      <c r="E38042" s="4" t="str">
        <v/>
      </c>
      <c r="F38042" s="102" t="str">
        <f ca="1">IFERROR(__xludf.DUMMYFUNCTION("IMPORTRANGE(H38042,""IDENTITAS UNIT!D9"")"),"#N/A")</f>
        <v>#N/A</v>
      </c>
      <c r="H38042" s="4" t="str">
        <v/>
      </c>
      <c r="I38042" s="4" t="str">
        <v/>
      </c>
    </row>
    <row r="38043" spans="5:9" ht="16.5" hidden="1">
      <c r="E38043" s="4" t="str">
        <v/>
      </c>
      <c r="F38043" s="102" t="str">
        <f ca="1">IFERROR(__xludf.DUMMYFUNCTION("IMPORTRANGE(H38043,""IDENTITAS UNIT!D9"")"),"#N/A")</f>
        <v>#N/A</v>
      </c>
      <c r="H38043" s="4" t="str">
        <v/>
      </c>
      <c r="I38043" s="4" t="str">
        <v/>
      </c>
    </row>
    <row r="38044" spans="5:9" ht="16.5" hidden="1">
      <c r="E38044" s="4" t="str">
        <v/>
      </c>
      <c r="F38044" s="102" t="str">
        <f ca="1">IFERROR(__xludf.DUMMYFUNCTION("IMPORTRANGE(H38044,""IDENTITAS UNIT!D9"")"),"#N/A")</f>
        <v>#N/A</v>
      </c>
      <c r="H38044" s="4" t="str">
        <v/>
      </c>
      <c r="I38044" s="4" t="str">
        <v/>
      </c>
    </row>
    <row r="38045" spans="5:9" ht="16.5" hidden="1">
      <c r="E38045" s="4" t="str">
        <v/>
      </c>
      <c r="F38045" s="102" t="str">
        <f ca="1">IFERROR(__xludf.DUMMYFUNCTION("IMPORTRANGE(H38045,""IDENTITAS UNIT!D9"")"),"#N/A")</f>
        <v>#N/A</v>
      </c>
      <c r="H38045" s="4" t="str">
        <v/>
      </c>
      <c r="I38045" s="4" t="str">
        <v/>
      </c>
    </row>
    <row r="38046" spans="5:9" ht="16.5" hidden="1">
      <c r="E38046" s="4" t="str">
        <v/>
      </c>
      <c r="F38046" s="102" t="str">
        <f ca="1">IFERROR(__xludf.DUMMYFUNCTION("IMPORTRANGE(H38046,""IDENTITAS UNIT!D9"")"),"#N/A")</f>
        <v>#N/A</v>
      </c>
      <c r="H38046" s="4" t="str">
        <v/>
      </c>
      <c r="I38046" s="4" t="str">
        <v/>
      </c>
    </row>
    <row r="38047" spans="5:9" ht="16.5" hidden="1">
      <c r="E38047" s="4" t="str">
        <v/>
      </c>
      <c r="F38047" s="102" t="str">
        <f ca="1">IFERROR(__xludf.DUMMYFUNCTION("IMPORTRANGE(H38047,""IDENTITAS UNIT!D9"")"),"#N/A")</f>
        <v>#N/A</v>
      </c>
      <c r="H38047" s="4" t="str">
        <v/>
      </c>
      <c r="I38047" s="4" t="str">
        <v/>
      </c>
    </row>
    <row r="38048" spans="5:9" ht="16.5" hidden="1">
      <c r="E38048" s="4" t="str">
        <v/>
      </c>
      <c r="F38048" s="102" t="str">
        <f ca="1">IFERROR(__xludf.DUMMYFUNCTION("IMPORTRANGE(H38048,""IDENTITAS UNIT!D9"")"),"#N/A")</f>
        <v>#N/A</v>
      </c>
      <c r="H38048" s="4" t="str">
        <v/>
      </c>
      <c r="I38048" s="4" t="str">
        <v/>
      </c>
    </row>
    <row r="38049" spans="5:9" ht="16.5" hidden="1">
      <c r="E38049" s="4" t="str">
        <v/>
      </c>
      <c r="F38049" s="102" t="str">
        <f ca="1">IFERROR(__xludf.DUMMYFUNCTION("IMPORTRANGE(H38049,""IDENTITAS UNIT!D9"")"),"#N/A")</f>
        <v>#N/A</v>
      </c>
      <c r="H38049" s="4" t="str">
        <v/>
      </c>
      <c r="I38049" s="4" t="str">
        <v/>
      </c>
    </row>
    <row r="38050" spans="5:9" ht="16.5" hidden="1">
      <c r="E38050" s="4" t="str">
        <v/>
      </c>
      <c r="F38050" s="102" t="str">
        <f ca="1">IFERROR(__xludf.DUMMYFUNCTION("IMPORTRANGE(H38050,""IDENTITAS UNIT!D9"")"),"#N/A")</f>
        <v>#N/A</v>
      </c>
      <c r="H38050" s="4" t="str">
        <v/>
      </c>
      <c r="I38050" s="4" t="str">
        <v/>
      </c>
    </row>
    <row r="38051" spans="5:9" ht="16.5" hidden="1">
      <c r="E38051" s="4" t="str">
        <v/>
      </c>
      <c r="F38051" s="102" t="str">
        <f ca="1">IFERROR(__xludf.DUMMYFUNCTION("IMPORTRANGE(H38051,""IDENTITAS UNIT!D9"")"),"#N/A")</f>
        <v>#N/A</v>
      </c>
      <c r="H38051" s="4" t="str">
        <v/>
      </c>
      <c r="I38051" s="4" t="str">
        <v/>
      </c>
    </row>
    <row r="38052" spans="5:9" ht="16.5" hidden="1">
      <c r="E38052" s="4" t="str">
        <v/>
      </c>
      <c r="F38052" s="102" t="str">
        <f ca="1">IFERROR(__xludf.DUMMYFUNCTION("IMPORTRANGE(H38052,""IDENTITAS UNIT!D9"")"),"#N/A")</f>
        <v>#N/A</v>
      </c>
      <c r="H38052" s="4" t="str">
        <v/>
      </c>
      <c r="I38052" s="4" t="str">
        <v/>
      </c>
    </row>
    <row r="38053" spans="5:9" ht="16.5" hidden="1">
      <c r="E38053" s="4" t="str">
        <v/>
      </c>
      <c r="F38053" s="102" t="str">
        <f ca="1">IFERROR(__xludf.DUMMYFUNCTION("IMPORTRANGE(H38053,""IDENTITAS UNIT!D9"")"),"#N/A")</f>
        <v>#N/A</v>
      </c>
      <c r="H38053" s="4" t="str">
        <v/>
      </c>
      <c r="I38053" s="4" t="str">
        <v/>
      </c>
    </row>
    <row r="38054" spans="5:9" ht="16.5" hidden="1">
      <c r="E38054" s="4" t="str">
        <v/>
      </c>
      <c r="F38054" s="102" t="str">
        <f ca="1">IFERROR(__xludf.DUMMYFUNCTION("IMPORTRANGE(H38054,""IDENTITAS UNIT!D9"")"),"#N/A")</f>
        <v>#N/A</v>
      </c>
      <c r="H38054" s="4" t="str">
        <v/>
      </c>
      <c r="I38054" s="4" t="str">
        <v/>
      </c>
    </row>
    <row r="38055" spans="5:9" ht="16.5" hidden="1">
      <c r="E38055" s="4" t="str">
        <v/>
      </c>
      <c r="F38055" s="102" t="str">
        <f ca="1">IFERROR(__xludf.DUMMYFUNCTION("IMPORTRANGE(H38055,""IDENTITAS UNIT!D9"")"),"#N/A")</f>
        <v>#N/A</v>
      </c>
      <c r="H38055" s="4" t="str">
        <v/>
      </c>
      <c r="I38055" s="4" t="str">
        <v/>
      </c>
    </row>
    <row r="38056" spans="5:9" ht="16.5" hidden="1">
      <c r="E38056" s="4" t="str">
        <v/>
      </c>
      <c r="F38056" s="102" t="str">
        <f ca="1">IFERROR(__xludf.DUMMYFUNCTION("IMPORTRANGE(H38056,""IDENTITAS UNIT!D9"")"),"#N/A")</f>
        <v>#N/A</v>
      </c>
      <c r="H38056" s="4" t="str">
        <v/>
      </c>
      <c r="I38056" s="4" t="str">
        <v/>
      </c>
    </row>
    <row r="38057" spans="5:9" ht="16.5" hidden="1">
      <c r="E38057" s="4" t="str">
        <v/>
      </c>
      <c r="F38057" s="102" t="str">
        <f ca="1">IFERROR(__xludf.DUMMYFUNCTION("IMPORTRANGE(H38057,""IDENTITAS UNIT!D9"")"),"#N/A")</f>
        <v>#N/A</v>
      </c>
      <c r="H38057" s="4" t="str">
        <v/>
      </c>
      <c r="I38057" s="4" t="str">
        <v/>
      </c>
    </row>
    <row r="38058" spans="5:9" ht="16.5" hidden="1">
      <c r="E38058" s="4" t="str">
        <v/>
      </c>
      <c r="F38058" s="102" t="str">
        <f ca="1">IFERROR(__xludf.DUMMYFUNCTION("IMPORTRANGE(H38058,""IDENTITAS UNIT!D9"")"),"#N/A")</f>
        <v>#N/A</v>
      </c>
      <c r="H38058" s="4" t="str">
        <v/>
      </c>
      <c r="I38058" s="4" t="str">
        <v/>
      </c>
    </row>
    <row r="38059" spans="5:9" ht="16.5" hidden="1">
      <c r="E38059" s="4" t="str">
        <v/>
      </c>
      <c r="F38059" s="102" t="str">
        <f ca="1">IFERROR(__xludf.DUMMYFUNCTION("IMPORTRANGE(H38059,""IDENTITAS UNIT!D9"")"),"#N/A")</f>
        <v>#N/A</v>
      </c>
      <c r="H38059" s="4" t="str">
        <v/>
      </c>
      <c r="I38059" s="4" t="str">
        <v/>
      </c>
    </row>
    <row r="38060" spans="5:9" ht="16.5" hidden="1">
      <c r="E38060" s="4" t="str">
        <v/>
      </c>
      <c r="F38060" s="102" t="str">
        <f ca="1">IFERROR(__xludf.DUMMYFUNCTION("IMPORTRANGE(H38060,""IDENTITAS UNIT!D9"")"),"#N/A")</f>
        <v>#N/A</v>
      </c>
      <c r="H38060" s="4" t="str">
        <v/>
      </c>
      <c r="I38060" s="4" t="str">
        <v/>
      </c>
    </row>
    <row r="38061" spans="5:9" ht="16.5" hidden="1">
      <c r="E38061" s="4" t="str">
        <v/>
      </c>
      <c r="F38061" s="102" t="str">
        <f ca="1">IFERROR(__xludf.DUMMYFUNCTION("IMPORTRANGE(H38061,""IDENTITAS UNIT!D9"")"),"#N/A")</f>
        <v>#N/A</v>
      </c>
      <c r="H38061" s="4" t="str">
        <v/>
      </c>
      <c r="I38061" s="4" t="str">
        <v/>
      </c>
    </row>
    <row r="38062" spans="5:9" ht="16.5" hidden="1">
      <c r="E38062" s="4" t="str">
        <v/>
      </c>
      <c r="F38062" s="102" t="str">
        <f ca="1">IFERROR(__xludf.DUMMYFUNCTION("IMPORTRANGE(H38062,""IDENTITAS UNIT!D9"")"),"#N/A")</f>
        <v>#N/A</v>
      </c>
      <c r="H38062" s="4" t="str">
        <v/>
      </c>
      <c r="I38062" s="4" t="str">
        <v/>
      </c>
    </row>
    <row r="38063" spans="5:9" ht="16.5" hidden="1">
      <c r="E38063" s="4" t="str">
        <v/>
      </c>
      <c r="F38063" s="102" t="str">
        <f ca="1">IFERROR(__xludf.DUMMYFUNCTION("IMPORTRANGE(H38063,""IDENTITAS UNIT!D9"")"),"#N/A")</f>
        <v>#N/A</v>
      </c>
      <c r="H38063" s="4" t="str">
        <v/>
      </c>
      <c r="I38063" s="4" t="str">
        <v/>
      </c>
    </row>
    <row r="38064" spans="5:9" ht="16.5" hidden="1">
      <c r="E38064" s="4" t="str">
        <v/>
      </c>
      <c r="F38064" s="102" t="str">
        <f ca="1">IFERROR(__xludf.DUMMYFUNCTION("IMPORTRANGE(H38064,""IDENTITAS UNIT!D9"")"),"#N/A")</f>
        <v>#N/A</v>
      </c>
      <c r="H38064" s="4" t="str">
        <v/>
      </c>
      <c r="I38064" s="4" t="str">
        <v/>
      </c>
    </row>
    <row r="38065" spans="5:9" ht="16.5" hidden="1">
      <c r="E38065" s="4" t="str">
        <v/>
      </c>
      <c r="F38065" s="102" t="str">
        <f ca="1">IFERROR(__xludf.DUMMYFUNCTION("IMPORTRANGE(H38065,""IDENTITAS UNIT!D9"")"),"#N/A")</f>
        <v>#N/A</v>
      </c>
      <c r="H38065" s="4" t="str">
        <v/>
      </c>
      <c r="I38065" s="4" t="str">
        <v/>
      </c>
    </row>
    <row r="38066" spans="5:9" ht="16.5" hidden="1">
      <c r="E38066" s="4" t="str">
        <v/>
      </c>
      <c r="F38066" s="102" t="str">
        <f ca="1">IFERROR(__xludf.DUMMYFUNCTION("IMPORTRANGE(H38066,""IDENTITAS UNIT!D9"")"),"#N/A")</f>
        <v>#N/A</v>
      </c>
      <c r="H38066" s="4" t="str">
        <v/>
      </c>
      <c r="I38066" s="4" t="str">
        <v/>
      </c>
    </row>
    <row r="38067" spans="5:9" ht="16.5" hidden="1">
      <c r="E38067" s="4" t="str">
        <v/>
      </c>
      <c r="F38067" s="102" t="str">
        <f ca="1">IFERROR(__xludf.DUMMYFUNCTION("IMPORTRANGE(H38067,""IDENTITAS UNIT!D9"")"),"#N/A")</f>
        <v>#N/A</v>
      </c>
      <c r="H38067" s="4" t="str">
        <v/>
      </c>
      <c r="I38067" s="4" t="str">
        <v/>
      </c>
    </row>
    <row r="38068" spans="5:9" ht="16.5" hidden="1">
      <c r="E38068" s="4" t="str">
        <v/>
      </c>
      <c r="F38068" s="102" t="str">
        <f ca="1">IFERROR(__xludf.DUMMYFUNCTION("IMPORTRANGE(H38068,""IDENTITAS UNIT!D9"")"),"#N/A")</f>
        <v>#N/A</v>
      </c>
      <c r="H38068" s="4" t="str">
        <v/>
      </c>
      <c r="I38068" s="4" t="str">
        <v/>
      </c>
    </row>
    <row r="38069" spans="5:9" ht="16.5" hidden="1">
      <c r="E38069" s="4" t="str">
        <v/>
      </c>
      <c r="F38069" s="102" t="str">
        <f ca="1">IFERROR(__xludf.DUMMYFUNCTION("IMPORTRANGE(H38069,""IDENTITAS UNIT!D9"")"),"#N/A")</f>
        <v>#N/A</v>
      </c>
      <c r="H38069" s="4" t="str">
        <v/>
      </c>
      <c r="I38069" s="4" t="str">
        <v/>
      </c>
    </row>
    <row r="38070" spans="5:9" ht="16.5" hidden="1">
      <c r="E38070" s="4" t="str">
        <v/>
      </c>
      <c r="F38070" s="102" t="str">
        <f ca="1">IFERROR(__xludf.DUMMYFUNCTION("IMPORTRANGE(H38070,""IDENTITAS UNIT!D9"")"),"#N/A")</f>
        <v>#N/A</v>
      </c>
      <c r="H38070" s="4" t="str">
        <v/>
      </c>
      <c r="I38070" s="4" t="str">
        <v/>
      </c>
    </row>
    <row r="38071" spans="5:9" ht="16.5" hidden="1">
      <c r="E38071" s="4" t="str">
        <v/>
      </c>
      <c r="F38071" s="102" t="str">
        <f ca="1">IFERROR(__xludf.DUMMYFUNCTION("IMPORTRANGE(H38071,""IDENTITAS UNIT!D9"")"),"#N/A")</f>
        <v>#N/A</v>
      </c>
      <c r="H38071" s="4" t="str">
        <v/>
      </c>
      <c r="I38071" s="4" t="str">
        <v/>
      </c>
    </row>
    <row r="38072" spans="5:9" ht="16.5" hidden="1">
      <c r="E38072" s="4" t="str">
        <v/>
      </c>
      <c r="F38072" s="102" t="str">
        <f ca="1">IFERROR(__xludf.DUMMYFUNCTION("IMPORTRANGE(H38072,""IDENTITAS UNIT!D9"")"),"#N/A")</f>
        <v>#N/A</v>
      </c>
      <c r="H38072" s="4" t="str">
        <v/>
      </c>
      <c r="I38072" s="4" t="str">
        <v/>
      </c>
    </row>
    <row r="38073" spans="5:9" ht="16.5" hidden="1">
      <c r="E38073" s="4" t="str">
        <v/>
      </c>
      <c r="F38073" s="102" t="str">
        <f ca="1">IFERROR(__xludf.DUMMYFUNCTION("IMPORTRANGE(H38073,""IDENTITAS UNIT!D9"")"),"#N/A")</f>
        <v>#N/A</v>
      </c>
      <c r="H38073" s="4" t="str">
        <v/>
      </c>
      <c r="I38073" s="4" t="str">
        <v/>
      </c>
    </row>
    <row r="38074" spans="5:9" ht="16.5" hidden="1">
      <c r="E38074" s="4" t="str">
        <v/>
      </c>
      <c r="F38074" s="102" t="str">
        <f ca="1">IFERROR(__xludf.DUMMYFUNCTION("IMPORTRANGE(H38074,""IDENTITAS UNIT!D9"")"),"#N/A")</f>
        <v>#N/A</v>
      </c>
      <c r="H38074" s="4" t="str">
        <v/>
      </c>
      <c r="I38074" s="4" t="str">
        <v/>
      </c>
    </row>
    <row r="38075" spans="5:9" ht="16.5" hidden="1">
      <c r="E38075" s="4" t="str">
        <v/>
      </c>
      <c r="F38075" s="102" t="str">
        <f ca="1">IFERROR(__xludf.DUMMYFUNCTION("IMPORTRANGE(H38075,""IDENTITAS UNIT!D9"")"),"#N/A")</f>
        <v>#N/A</v>
      </c>
      <c r="H38075" s="4" t="str">
        <v/>
      </c>
      <c r="I38075" s="4" t="str">
        <v/>
      </c>
    </row>
    <row r="38076" spans="5:9" ht="16.5" hidden="1">
      <c r="E38076" s="4" t="str">
        <v/>
      </c>
      <c r="F38076" s="102" t="str">
        <f ca="1">IFERROR(__xludf.DUMMYFUNCTION("IMPORTRANGE(H38076,""IDENTITAS UNIT!D9"")"),"#N/A")</f>
        <v>#N/A</v>
      </c>
      <c r="H38076" s="4" t="str">
        <v/>
      </c>
      <c r="I38076" s="4" t="str">
        <v/>
      </c>
    </row>
    <row r="38077" spans="5:9" ht="16.5" hidden="1">
      <c r="E38077" s="4" t="str">
        <v/>
      </c>
      <c r="F38077" s="102" t="str">
        <f ca="1">IFERROR(__xludf.DUMMYFUNCTION("IMPORTRANGE(H38077,""IDENTITAS UNIT!D9"")"),"#N/A")</f>
        <v>#N/A</v>
      </c>
      <c r="H38077" s="4" t="str">
        <v/>
      </c>
      <c r="I38077" s="4" t="str">
        <v/>
      </c>
    </row>
    <row r="38078" spans="5:9" ht="16.5" hidden="1">
      <c r="E38078" s="4" t="str">
        <v/>
      </c>
      <c r="F38078" s="102" t="str">
        <f ca="1">IFERROR(__xludf.DUMMYFUNCTION("IMPORTRANGE(H38078,""IDENTITAS UNIT!D9"")"),"#N/A")</f>
        <v>#N/A</v>
      </c>
      <c r="H38078" s="4" t="str">
        <v/>
      </c>
      <c r="I38078" s="4" t="str">
        <v/>
      </c>
    </row>
    <row r="38079" spans="5:9" ht="16.5" hidden="1">
      <c r="E38079" s="4" t="str">
        <v/>
      </c>
      <c r="F38079" s="102" t="str">
        <f ca="1">IFERROR(__xludf.DUMMYFUNCTION("IMPORTRANGE(H38079,""IDENTITAS UNIT!D9"")"),"#N/A")</f>
        <v>#N/A</v>
      </c>
      <c r="H38079" s="4" t="str">
        <v/>
      </c>
      <c r="I38079" s="4" t="str">
        <v/>
      </c>
    </row>
    <row r="38080" spans="5:9" ht="16.5" hidden="1">
      <c r="E38080" s="4" t="str">
        <v/>
      </c>
      <c r="F38080" s="102" t="str">
        <f ca="1">IFERROR(__xludf.DUMMYFUNCTION("IMPORTRANGE(H38080,""IDENTITAS UNIT!D9"")"),"#N/A")</f>
        <v>#N/A</v>
      </c>
      <c r="H38080" s="4" t="str">
        <v/>
      </c>
      <c r="I38080" s="4" t="str">
        <v/>
      </c>
    </row>
    <row r="38081" spans="5:9" ht="16.5" hidden="1">
      <c r="E38081" s="4" t="str">
        <v/>
      </c>
      <c r="F38081" s="102" t="str">
        <f ca="1">IFERROR(__xludf.DUMMYFUNCTION("IMPORTRANGE(H38081,""IDENTITAS UNIT!D9"")"),"#N/A")</f>
        <v>#N/A</v>
      </c>
      <c r="H38081" s="4" t="str">
        <v/>
      </c>
      <c r="I38081" s="4" t="str">
        <v/>
      </c>
    </row>
    <row r="38082" spans="5:9" ht="16.5" hidden="1">
      <c r="E38082" s="4" t="str">
        <v/>
      </c>
      <c r="F38082" s="102" t="str">
        <f ca="1">IFERROR(__xludf.DUMMYFUNCTION("IMPORTRANGE(H38082,""IDENTITAS UNIT!D9"")"),"#N/A")</f>
        <v>#N/A</v>
      </c>
      <c r="H38082" s="4" t="str">
        <v/>
      </c>
      <c r="I38082" s="4" t="str">
        <v/>
      </c>
    </row>
    <row r="38083" spans="5:9" ht="16.5" hidden="1">
      <c r="E38083" s="4" t="str">
        <v/>
      </c>
      <c r="F38083" s="102" t="str">
        <f ca="1">IFERROR(__xludf.DUMMYFUNCTION("IMPORTRANGE(H38083,""IDENTITAS UNIT!D9"")"),"#N/A")</f>
        <v>#N/A</v>
      </c>
      <c r="H38083" s="4" t="str">
        <v/>
      </c>
      <c r="I38083" s="4" t="str">
        <v/>
      </c>
    </row>
    <row r="38084" spans="5:9" ht="16.5" hidden="1">
      <c r="E38084" s="4" t="str">
        <v/>
      </c>
      <c r="F38084" s="102" t="str">
        <f ca="1">IFERROR(__xludf.DUMMYFUNCTION("IMPORTRANGE(H38084,""IDENTITAS UNIT!D9"")"),"#N/A")</f>
        <v>#N/A</v>
      </c>
      <c r="H38084" s="4" t="str">
        <v/>
      </c>
      <c r="I38084" s="4" t="str">
        <v/>
      </c>
    </row>
    <row r="38085" spans="5:9" ht="16.5" hidden="1">
      <c r="E38085" s="4" t="str">
        <v/>
      </c>
      <c r="F38085" s="102" t="str">
        <f ca="1">IFERROR(__xludf.DUMMYFUNCTION("IMPORTRANGE(H38085,""IDENTITAS UNIT!D9"")"),"#N/A")</f>
        <v>#N/A</v>
      </c>
      <c r="H38085" s="4" t="str">
        <v/>
      </c>
      <c r="I38085" s="4" t="str">
        <v/>
      </c>
    </row>
    <row r="38086" spans="5:9" ht="16.5" hidden="1">
      <c r="E38086" s="4" t="str">
        <v/>
      </c>
      <c r="F38086" s="102" t="str">
        <f ca="1">IFERROR(__xludf.DUMMYFUNCTION("IMPORTRANGE(H38086,""IDENTITAS UNIT!D9"")"),"#N/A")</f>
        <v>#N/A</v>
      </c>
      <c r="H38086" s="4" t="str">
        <v/>
      </c>
      <c r="I38086" s="4" t="str">
        <v/>
      </c>
    </row>
    <row r="38087" spans="5:9" ht="16.5" hidden="1">
      <c r="E38087" s="4" t="str">
        <v/>
      </c>
      <c r="F38087" s="102" t="str">
        <f ca="1">IFERROR(__xludf.DUMMYFUNCTION("IMPORTRANGE(H38087,""IDENTITAS UNIT!D9"")"),"#N/A")</f>
        <v>#N/A</v>
      </c>
      <c r="H38087" s="4" t="str">
        <v/>
      </c>
      <c r="I38087" s="4" t="str">
        <v/>
      </c>
    </row>
    <row r="38088" spans="5:9" ht="16.5" hidden="1">
      <c r="E38088" s="4" t="str">
        <v/>
      </c>
      <c r="F38088" s="102" t="str">
        <f ca="1">IFERROR(__xludf.DUMMYFUNCTION("IMPORTRANGE(H38088,""IDENTITAS UNIT!D9"")"),"#N/A")</f>
        <v>#N/A</v>
      </c>
      <c r="H38088" s="4" t="str">
        <v/>
      </c>
      <c r="I38088" s="4" t="str">
        <v/>
      </c>
    </row>
    <row r="38089" spans="5:9" ht="16.5" hidden="1">
      <c r="E38089" s="4" t="str">
        <v/>
      </c>
      <c r="F38089" s="102" t="str">
        <f ca="1">IFERROR(__xludf.DUMMYFUNCTION("IMPORTRANGE(H38089,""IDENTITAS UNIT!D9"")"),"#N/A")</f>
        <v>#N/A</v>
      </c>
      <c r="H38089" s="4" t="str">
        <v/>
      </c>
      <c r="I38089" s="4" t="str">
        <v/>
      </c>
    </row>
    <row r="38090" spans="5:9" ht="16.5" hidden="1">
      <c r="E38090" s="4" t="str">
        <v/>
      </c>
      <c r="F38090" s="102" t="str">
        <f ca="1">IFERROR(__xludf.DUMMYFUNCTION("IMPORTRANGE(H38090,""IDENTITAS UNIT!D9"")"),"#N/A")</f>
        <v>#N/A</v>
      </c>
      <c r="H38090" s="4" t="str">
        <v/>
      </c>
      <c r="I38090" s="4" t="str">
        <v/>
      </c>
    </row>
    <row r="38091" spans="5:9" ht="16.5" hidden="1">
      <c r="E38091" s="4" t="str">
        <v/>
      </c>
      <c r="F38091" s="102" t="str">
        <f ca="1">IFERROR(__xludf.DUMMYFUNCTION("IMPORTRANGE(H38091,""IDENTITAS UNIT!D9"")"),"#N/A")</f>
        <v>#N/A</v>
      </c>
      <c r="H38091" s="4" t="str">
        <v/>
      </c>
      <c r="I38091" s="4" t="str">
        <v/>
      </c>
    </row>
    <row r="38092" spans="5:9" ht="16.5" hidden="1">
      <c r="E38092" s="4" t="str">
        <v/>
      </c>
      <c r="F38092" s="102" t="str">
        <f ca="1">IFERROR(__xludf.DUMMYFUNCTION("IMPORTRANGE(H38092,""IDENTITAS UNIT!D9"")"),"#N/A")</f>
        <v>#N/A</v>
      </c>
      <c r="H38092" s="4" t="str">
        <v/>
      </c>
      <c r="I38092" s="4" t="str">
        <v/>
      </c>
    </row>
    <row r="38093" spans="5:9" ht="16.5" hidden="1">
      <c r="E38093" s="4" t="str">
        <v/>
      </c>
      <c r="F38093" s="102" t="str">
        <f ca="1">IFERROR(__xludf.DUMMYFUNCTION("IMPORTRANGE(H38093,""IDENTITAS UNIT!D9"")"),"#N/A")</f>
        <v>#N/A</v>
      </c>
      <c r="H38093" s="4" t="str">
        <v/>
      </c>
      <c r="I38093" s="4" t="str">
        <v/>
      </c>
    </row>
    <row r="38094" spans="5:9" ht="16.5" hidden="1">
      <c r="E38094" s="4" t="str">
        <v/>
      </c>
      <c r="F38094" s="102" t="str">
        <f ca="1">IFERROR(__xludf.DUMMYFUNCTION("IMPORTRANGE(H38094,""IDENTITAS UNIT!D9"")"),"#N/A")</f>
        <v>#N/A</v>
      </c>
      <c r="H38094" s="4" t="str">
        <v/>
      </c>
      <c r="I38094" s="4" t="str">
        <v/>
      </c>
    </row>
    <row r="38095" spans="5:9" ht="16.5" hidden="1">
      <c r="E38095" s="4" t="str">
        <v/>
      </c>
      <c r="F38095" s="102" t="str">
        <f ca="1">IFERROR(__xludf.DUMMYFUNCTION("IMPORTRANGE(H38095,""IDENTITAS UNIT!D9"")"),"#N/A")</f>
        <v>#N/A</v>
      </c>
      <c r="H38095" s="4" t="str">
        <v/>
      </c>
      <c r="I38095" s="4" t="str">
        <v/>
      </c>
    </row>
    <row r="38096" spans="5:9" ht="16.5" hidden="1">
      <c r="E38096" s="4" t="str">
        <v/>
      </c>
      <c r="F38096" s="102" t="str">
        <f ca="1">IFERROR(__xludf.DUMMYFUNCTION("IMPORTRANGE(H38096,""IDENTITAS UNIT!D9"")"),"#N/A")</f>
        <v>#N/A</v>
      </c>
      <c r="H38096" s="4" t="str">
        <v/>
      </c>
      <c r="I38096" s="4" t="str">
        <v/>
      </c>
    </row>
    <row r="38097" spans="5:9" ht="16.5" hidden="1">
      <c r="E38097" s="4" t="str">
        <v/>
      </c>
      <c r="F38097" s="102" t="str">
        <f ca="1">IFERROR(__xludf.DUMMYFUNCTION("IMPORTRANGE(H38097,""IDENTITAS UNIT!D9"")"),"#N/A")</f>
        <v>#N/A</v>
      </c>
      <c r="H38097" s="4" t="str">
        <v/>
      </c>
      <c r="I38097" s="4" t="str">
        <v/>
      </c>
    </row>
    <row r="38098" spans="5:9" ht="16.5" hidden="1">
      <c r="E38098" s="4" t="str">
        <v/>
      </c>
      <c r="F38098" s="102" t="str">
        <f ca="1">IFERROR(__xludf.DUMMYFUNCTION("IMPORTRANGE(H38098,""IDENTITAS UNIT!D9"")"),"#N/A")</f>
        <v>#N/A</v>
      </c>
      <c r="H38098" s="4" t="str">
        <v/>
      </c>
      <c r="I38098" s="4" t="str">
        <v/>
      </c>
    </row>
    <row r="38099" spans="5:9" ht="16.5" hidden="1">
      <c r="E38099" s="4" t="str">
        <v/>
      </c>
      <c r="F38099" s="102" t="str">
        <f ca="1">IFERROR(__xludf.DUMMYFUNCTION("IMPORTRANGE(H38099,""IDENTITAS UNIT!D9"")"),"#N/A")</f>
        <v>#N/A</v>
      </c>
      <c r="H38099" s="4" t="str">
        <v/>
      </c>
      <c r="I38099" s="4" t="str">
        <v/>
      </c>
    </row>
    <row r="38100" spans="5:9" ht="16.5" hidden="1">
      <c r="E38100" s="4" t="str">
        <v/>
      </c>
      <c r="F38100" s="102" t="str">
        <f ca="1">IFERROR(__xludf.DUMMYFUNCTION("IMPORTRANGE(H38100,""IDENTITAS UNIT!D9"")"),"#N/A")</f>
        <v>#N/A</v>
      </c>
      <c r="H38100" s="4" t="str">
        <v/>
      </c>
      <c r="I38100" s="4" t="str">
        <v/>
      </c>
    </row>
    <row r="38101" spans="5:9" ht="16.5" hidden="1">
      <c r="E38101" s="4" t="str">
        <v/>
      </c>
      <c r="F38101" s="102" t="str">
        <f ca="1">IFERROR(__xludf.DUMMYFUNCTION("IMPORTRANGE(H38101,""IDENTITAS UNIT!D9"")"),"#N/A")</f>
        <v>#N/A</v>
      </c>
      <c r="H38101" s="4" t="str">
        <v/>
      </c>
      <c r="I38101" s="4" t="str">
        <v/>
      </c>
    </row>
    <row r="38102" spans="5:9" ht="16.5" hidden="1">
      <c r="E38102" s="4" t="str">
        <v/>
      </c>
      <c r="F38102" s="102" t="str">
        <f ca="1">IFERROR(__xludf.DUMMYFUNCTION("IMPORTRANGE(H38102,""IDENTITAS UNIT!D9"")"),"#N/A")</f>
        <v>#N/A</v>
      </c>
      <c r="H38102" s="4" t="str">
        <v/>
      </c>
      <c r="I38102" s="4" t="str">
        <v/>
      </c>
    </row>
    <row r="38103" spans="5:9" ht="16.5" hidden="1">
      <c r="E38103" s="4" t="str">
        <v/>
      </c>
      <c r="F38103" s="102" t="str">
        <f ca="1">IFERROR(__xludf.DUMMYFUNCTION("IMPORTRANGE(H38103,""IDENTITAS UNIT!D9"")"),"#N/A")</f>
        <v>#N/A</v>
      </c>
      <c r="H38103" s="4" t="str">
        <v/>
      </c>
      <c r="I38103" s="4" t="str">
        <v/>
      </c>
    </row>
    <row r="38104" spans="5:9" ht="16.5" hidden="1">
      <c r="E38104" s="4" t="str">
        <v/>
      </c>
      <c r="F38104" s="102" t="str">
        <f ca="1">IFERROR(__xludf.DUMMYFUNCTION("IMPORTRANGE(H38104,""IDENTITAS UNIT!D9"")"),"#N/A")</f>
        <v>#N/A</v>
      </c>
      <c r="H38104" s="4" t="str">
        <v/>
      </c>
      <c r="I38104" s="4" t="str">
        <v/>
      </c>
    </row>
    <row r="38105" spans="5:9" ht="16.5" hidden="1">
      <c r="E38105" s="4" t="str">
        <v/>
      </c>
      <c r="F38105" s="102" t="str">
        <f ca="1">IFERROR(__xludf.DUMMYFUNCTION("IMPORTRANGE(H38105,""IDENTITAS UNIT!D9"")"),"#N/A")</f>
        <v>#N/A</v>
      </c>
      <c r="H38105" s="4" t="str">
        <v/>
      </c>
      <c r="I38105" s="4" t="str">
        <v/>
      </c>
    </row>
    <row r="38106" spans="5:9" ht="16.5" hidden="1">
      <c r="E38106" s="4" t="str">
        <v/>
      </c>
      <c r="F38106" s="102" t="str">
        <f ca="1">IFERROR(__xludf.DUMMYFUNCTION("IMPORTRANGE(H38106,""IDENTITAS UNIT!D9"")"),"#N/A")</f>
        <v>#N/A</v>
      </c>
      <c r="H38106" s="4" t="str">
        <v/>
      </c>
      <c r="I38106" s="4" t="str">
        <v/>
      </c>
    </row>
    <row r="38107" spans="5:9" ht="16.5" hidden="1">
      <c r="E38107" s="4" t="str">
        <v/>
      </c>
      <c r="F38107" s="102" t="str">
        <f ca="1">IFERROR(__xludf.DUMMYFUNCTION("IMPORTRANGE(H38107,""IDENTITAS UNIT!D9"")"),"#N/A")</f>
        <v>#N/A</v>
      </c>
      <c r="H38107" s="4" t="str">
        <v/>
      </c>
      <c r="I38107" s="4" t="str">
        <v/>
      </c>
    </row>
    <row r="38108" spans="5:9" ht="16.5" hidden="1">
      <c r="E38108" s="4" t="str">
        <v/>
      </c>
      <c r="F38108" s="102" t="str">
        <f ca="1">IFERROR(__xludf.DUMMYFUNCTION("IMPORTRANGE(H38108,""IDENTITAS UNIT!D9"")"),"#N/A")</f>
        <v>#N/A</v>
      </c>
      <c r="H38108" s="4" t="str">
        <v/>
      </c>
      <c r="I38108" s="4" t="str">
        <v/>
      </c>
    </row>
    <row r="38109" spans="5:9" ht="16.5" hidden="1">
      <c r="E38109" s="4" t="str">
        <v/>
      </c>
      <c r="F38109" s="102" t="str">
        <f ca="1">IFERROR(__xludf.DUMMYFUNCTION("IMPORTRANGE(H38109,""IDENTITAS UNIT!D9"")"),"#N/A")</f>
        <v>#N/A</v>
      </c>
      <c r="H38109" s="4" t="str">
        <v/>
      </c>
      <c r="I38109" s="4" t="str">
        <v/>
      </c>
    </row>
    <row r="38110" spans="5:9" ht="16.5" hidden="1">
      <c r="E38110" s="4" t="str">
        <v/>
      </c>
      <c r="F38110" s="102" t="str">
        <f ca="1">IFERROR(__xludf.DUMMYFUNCTION("IMPORTRANGE(H38110,""IDENTITAS UNIT!D9"")"),"#N/A")</f>
        <v>#N/A</v>
      </c>
      <c r="H38110" s="4" t="str">
        <v/>
      </c>
      <c r="I38110" s="4" t="str">
        <v/>
      </c>
    </row>
    <row r="38111" spans="5:9" ht="16.5" hidden="1">
      <c r="E38111" s="4" t="str">
        <v/>
      </c>
      <c r="F38111" s="102" t="str">
        <f ca="1">IFERROR(__xludf.DUMMYFUNCTION("IMPORTRANGE(H38111,""IDENTITAS UNIT!D9"")"),"#N/A")</f>
        <v>#N/A</v>
      </c>
      <c r="H38111" s="4" t="str">
        <v/>
      </c>
      <c r="I38111" s="4" t="str">
        <v/>
      </c>
    </row>
    <row r="38112" spans="5:9" ht="16.5" hidden="1">
      <c r="E38112" s="4" t="str">
        <v/>
      </c>
      <c r="F38112" s="102" t="str">
        <f ca="1">IFERROR(__xludf.DUMMYFUNCTION("IMPORTRANGE(H38112,""IDENTITAS UNIT!D9"")"),"#N/A")</f>
        <v>#N/A</v>
      </c>
      <c r="H38112" s="4" t="str">
        <v/>
      </c>
      <c r="I38112" s="4" t="str">
        <v/>
      </c>
    </row>
    <row r="38113" spans="5:9" ht="16.5" hidden="1">
      <c r="E38113" s="4" t="str">
        <v/>
      </c>
      <c r="F38113" s="102" t="str">
        <f ca="1">IFERROR(__xludf.DUMMYFUNCTION("IMPORTRANGE(H38113,""IDENTITAS UNIT!D9"")"),"#N/A")</f>
        <v>#N/A</v>
      </c>
      <c r="H38113" s="4" t="str">
        <v/>
      </c>
      <c r="I38113" s="4" t="str">
        <v/>
      </c>
    </row>
    <row r="38114" spans="5:9" ht="16.5" hidden="1">
      <c r="E38114" s="4" t="str">
        <v/>
      </c>
      <c r="F38114" s="102" t="str">
        <f ca="1">IFERROR(__xludf.DUMMYFUNCTION("IMPORTRANGE(H38114,""IDENTITAS UNIT!D9"")"),"#N/A")</f>
        <v>#N/A</v>
      </c>
      <c r="H38114" s="4" t="str">
        <v/>
      </c>
      <c r="I38114" s="4" t="str">
        <v/>
      </c>
    </row>
    <row r="38115" spans="5:9" ht="16.5" hidden="1">
      <c r="E38115" s="4" t="str">
        <v/>
      </c>
      <c r="F38115" s="102" t="str">
        <f ca="1">IFERROR(__xludf.DUMMYFUNCTION("IMPORTRANGE(H38115,""IDENTITAS UNIT!D9"")"),"#N/A")</f>
        <v>#N/A</v>
      </c>
      <c r="H38115" s="4" t="str">
        <v/>
      </c>
      <c r="I38115" s="4" t="str">
        <v/>
      </c>
    </row>
    <row r="38116" spans="5:9" ht="16.5" hidden="1">
      <c r="E38116" s="4" t="str">
        <v/>
      </c>
      <c r="F38116" s="102" t="str">
        <f ca="1">IFERROR(__xludf.DUMMYFUNCTION("IMPORTRANGE(H38116,""IDENTITAS UNIT!D9"")"),"#N/A")</f>
        <v>#N/A</v>
      </c>
      <c r="H38116" s="4" t="str">
        <v/>
      </c>
      <c r="I38116" s="4" t="str">
        <v/>
      </c>
    </row>
    <row r="38117" spans="5:9" ht="16.5" hidden="1">
      <c r="E38117" s="4" t="str">
        <v/>
      </c>
      <c r="F38117" s="102" t="str">
        <f ca="1">IFERROR(__xludf.DUMMYFUNCTION("IMPORTRANGE(H38117,""IDENTITAS UNIT!D9"")"),"#N/A")</f>
        <v>#N/A</v>
      </c>
      <c r="H38117" s="4" t="str">
        <v/>
      </c>
      <c r="I38117" s="4" t="str">
        <v/>
      </c>
    </row>
    <row r="38118" spans="5:9" ht="16.5" hidden="1">
      <c r="E38118" s="4" t="str">
        <v/>
      </c>
      <c r="F38118" s="102" t="str">
        <f ca="1">IFERROR(__xludf.DUMMYFUNCTION("IMPORTRANGE(H38118,""IDENTITAS UNIT!D9"")"),"#N/A")</f>
        <v>#N/A</v>
      </c>
      <c r="H38118" s="4" t="str">
        <v/>
      </c>
      <c r="I38118" s="4" t="str">
        <v/>
      </c>
    </row>
    <row r="38119" spans="5:9" ht="16.5" hidden="1">
      <c r="E38119" s="4" t="str">
        <v/>
      </c>
      <c r="F38119" s="102" t="str">
        <f ca="1">IFERROR(__xludf.DUMMYFUNCTION("IMPORTRANGE(H38119,""IDENTITAS UNIT!D9"")"),"#N/A")</f>
        <v>#N/A</v>
      </c>
      <c r="H38119" s="4" t="str">
        <v/>
      </c>
      <c r="I38119" s="4" t="str">
        <v/>
      </c>
    </row>
    <row r="38120" spans="5:9" ht="16.5" hidden="1">
      <c r="E38120" s="4" t="str">
        <v/>
      </c>
      <c r="F38120" s="102" t="str">
        <f ca="1">IFERROR(__xludf.DUMMYFUNCTION("IMPORTRANGE(H38120,""IDENTITAS UNIT!D9"")"),"#N/A")</f>
        <v>#N/A</v>
      </c>
      <c r="H38120" s="4" t="str">
        <v/>
      </c>
      <c r="I38120" s="4" t="str">
        <v/>
      </c>
    </row>
    <row r="38121" spans="5:9" ht="16.5" hidden="1">
      <c r="E38121" s="4" t="str">
        <v/>
      </c>
      <c r="F38121" s="102" t="str">
        <f ca="1">IFERROR(__xludf.DUMMYFUNCTION("IMPORTRANGE(H38121,""IDENTITAS UNIT!D9"")"),"#N/A")</f>
        <v>#N/A</v>
      </c>
      <c r="H38121" s="4" t="str">
        <v/>
      </c>
      <c r="I38121" s="4" t="str">
        <v/>
      </c>
    </row>
    <row r="38122" spans="5:9" ht="16.5" hidden="1">
      <c r="E38122" s="4" t="str">
        <v/>
      </c>
      <c r="F38122" s="102" t="str">
        <f ca="1">IFERROR(__xludf.DUMMYFUNCTION("IMPORTRANGE(H38122,""IDENTITAS UNIT!D9"")"),"#N/A")</f>
        <v>#N/A</v>
      </c>
      <c r="H38122" s="4" t="str">
        <v/>
      </c>
      <c r="I38122" s="4" t="str">
        <v/>
      </c>
    </row>
    <row r="38123" spans="5:9" ht="16.5" hidden="1">
      <c r="E38123" s="4" t="str">
        <v/>
      </c>
      <c r="F38123" s="102" t="str">
        <f ca="1">IFERROR(__xludf.DUMMYFUNCTION("IMPORTRANGE(H38123,""IDENTITAS UNIT!D9"")"),"#N/A")</f>
        <v>#N/A</v>
      </c>
      <c r="H38123" s="4" t="str">
        <v/>
      </c>
      <c r="I38123" s="4" t="str">
        <v/>
      </c>
    </row>
    <row r="38124" spans="5:9" ht="16.5" hidden="1">
      <c r="E38124" s="4" t="str">
        <v/>
      </c>
      <c r="F38124" s="102" t="str">
        <f ca="1">IFERROR(__xludf.DUMMYFUNCTION("IMPORTRANGE(H38124,""IDENTITAS UNIT!D9"")"),"#N/A")</f>
        <v>#N/A</v>
      </c>
      <c r="H38124" s="4" t="str">
        <v/>
      </c>
      <c r="I38124" s="4" t="str">
        <v/>
      </c>
    </row>
    <row r="38125" spans="5:9" ht="16.5" hidden="1">
      <c r="E38125" s="4" t="str">
        <v/>
      </c>
      <c r="F38125" s="102" t="str">
        <f ca="1">IFERROR(__xludf.DUMMYFUNCTION("IMPORTRANGE(H38125,""IDENTITAS UNIT!D9"")"),"#N/A")</f>
        <v>#N/A</v>
      </c>
      <c r="H38125" s="4" t="str">
        <v/>
      </c>
      <c r="I38125" s="4" t="str">
        <v/>
      </c>
    </row>
    <row r="38126" spans="5:9" ht="16.5" hidden="1">
      <c r="E38126" s="4" t="str">
        <v/>
      </c>
      <c r="F38126" s="102" t="str">
        <f ca="1">IFERROR(__xludf.DUMMYFUNCTION("IMPORTRANGE(H38126,""IDENTITAS UNIT!D9"")"),"#N/A")</f>
        <v>#N/A</v>
      </c>
      <c r="H38126" s="4" t="str">
        <v/>
      </c>
      <c r="I38126" s="4" t="str">
        <v/>
      </c>
    </row>
    <row r="38127" spans="5:9" ht="16.5" hidden="1">
      <c r="E38127" s="4" t="str">
        <v/>
      </c>
      <c r="F38127" s="102" t="str">
        <f ca="1">IFERROR(__xludf.DUMMYFUNCTION("IMPORTRANGE(H38127,""IDENTITAS UNIT!D9"")"),"#N/A")</f>
        <v>#N/A</v>
      </c>
      <c r="H38127" s="4" t="str">
        <v/>
      </c>
      <c r="I38127" s="4" t="str">
        <v/>
      </c>
    </row>
    <row r="38128" spans="5:9" ht="16.5" hidden="1">
      <c r="E38128" s="4" t="str">
        <v/>
      </c>
      <c r="F38128" s="102" t="str">
        <f ca="1">IFERROR(__xludf.DUMMYFUNCTION("IMPORTRANGE(H38128,""IDENTITAS UNIT!D9"")"),"#N/A")</f>
        <v>#N/A</v>
      </c>
      <c r="H38128" s="4" t="str">
        <v/>
      </c>
      <c r="I38128" s="4" t="str">
        <v/>
      </c>
    </row>
    <row r="38129" spans="5:9" ht="16.5" hidden="1">
      <c r="E38129" s="4" t="str">
        <v/>
      </c>
      <c r="F38129" s="102" t="str">
        <f ca="1">IFERROR(__xludf.DUMMYFUNCTION("IMPORTRANGE(H38129,""IDENTITAS UNIT!D9"")"),"#N/A")</f>
        <v>#N/A</v>
      </c>
      <c r="H38129" s="4" t="str">
        <v/>
      </c>
      <c r="I38129" s="4" t="str">
        <v/>
      </c>
    </row>
    <row r="38130" spans="5:9" ht="16.5" hidden="1">
      <c r="E38130" s="4" t="str">
        <v/>
      </c>
      <c r="F38130" s="102" t="str">
        <f ca="1">IFERROR(__xludf.DUMMYFUNCTION("IMPORTRANGE(H38130,""IDENTITAS UNIT!D9"")"),"#N/A")</f>
        <v>#N/A</v>
      </c>
      <c r="H38130" s="4" t="str">
        <v/>
      </c>
      <c r="I38130" s="4" t="str">
        <v/>
      </c>
    </row>
    <row r="38131" spans="5:9" ht="16.5" hidden="1">
      <c r="E38131" s="4" t="str">
        <v/>
      </c>
      <c r="F38131" s="102" t="str">
        <f ca="1">IFERROR(__xludf.DUMMYFUNCTION("IMPORTRANGE(H38131,""IDENTITAS UNIT!D9"")"),"#N/A")</f>
        <v>#N/A</v>
      </c>
      <c r="H38131" s="4" t="str">
        <v/>
      </c>
      <c r="I38131" s="4" t="str">
        <v/>
      </c>
    </row>
    <row r="38132" spans="5:9" ht="16.5" hidden="1">
      <c r="E38132" s="4" t="str">
        <v/>
      </c>
      <c r="F38132" s="102" t="str">
        <f ca="1">IFERROR(__xludf.DUMMYFUNCTION("IMPORTRANGE(H38132,""IDENTITAS UNIT!D9"")"),"#N/A")</f>
        <v>#N/A</v>
      </c>
      <c r="H38132" s="4" t="str">
        <v/>
      </c>
      <c r="I38132" s="4" t="str">
        <v/>
      </c>
    </row>
    <row r="38133" spans="5:9" ht="16.5" hidden="1">
      <c r="E38133" s="4" t="str">
        <v/>
      </c>
      <c r="F38133" s="102" t="str">
        <f ca="1">IFERROR(__xludf.DUMMYFUNCTION("IMPORTRANGE(H38133,""IDENTITAS UNIT!D9"")"),"#N/A")</f>
        <v>#N/A</v>
      </c>
      <c r="H38133" s="4" t="str">
        <v/>
      </c>
      <c r="I38133" s="4" t="str">
        <v/>
      </c>
    </row>
    <row r="38134" spans="5:9" ht="16.5" hidden="1">
      <c r="E38134" s="4" t="str">
        <v/>
      </c>
      <c r="F38134" s="102" t="str">
        <f ca="1">IFERROR(__xludf.DUMMYFUNCTION("IMPORTRANGE(H38134,""IDENTITAS UNIT!D9"")"),"#N/A")</f>
        <v>#N/A</v>
      </c>
      <c r="H38134" s="4" t="str">
        <v/>
      </c>
      <c r="I38134" s="4" t="str">
        <v/>
      </c>
    </row>
    <row r="38135" spans="5:9" ht="16.5" hidden="1">
      <c r="E38135" s="4" t="str">
        <v/>
      </c>
      <c r="F38135" s="102" t="str">
        <f ca="1">IFERROR(__xludf.DUMMYFUNCTION("IMPORTRANGE(H38135,""IDENTITAS UNIT!D9"")"),"#N/A")</f>
        <v>#N/A</v>
      </c>
      <c r="H38135" s="4" t="str">
        <v/>
      </c>
      <c r="I38135" s="4" t="str">
        <v/>
      </c>
    </row>
    <row r="38136" spans="5:9" ht="16.5" hidden="1">
      <c r="E38136" s="4" t="str">
        <v/>
      </c>
      <c r="F38136" s="102" t="str">
        <f ca="1">IFERROR(__xludf.DUMMYFUNCTION("IMPORTRANGE(H38136,""IDENTITAS UNIT!D9"")"),"#N/A")</f>
        <v>#N/A</v>
      </c>
      <c r="H38136" s="4" t="str">
        <v/>
      </c>
      <c r="I38136" s="4" t="str">
        <v/>
      </c>
    </row>
    <row r="38137" spans="5:9" ht="16.5" hidden="1">
      <c r="E38137" s="4" t="str">
        <v/>
      </c>
      <c r="F38137" s="102" t="str">
        <f ca="1">IFERROR(__xludf.DUMMYFUNCTION("IMPORTRANGE(H38137,""IDENTITAS UNIT!D9"")"),"#N/A")</f>
        <v>#N/A</v>
      </c>
      <c r="H38137" s="4" t="str">
        <v/>
      </c>
      <c r="I38137" s="4" t="str">
        <v/>
      </c>
    </row>
    <row r="38138" spans="5:9" ht="16.5" hidden="1">
      <c r="E38138" s="4" t="str">
        <v/>
      </c>
      <c r="F38138" s="102" t="str">
        <f ca="1">IFERROR(__xludf.DUMMYFUNCTION("IMPORTRANGE(H38138,""IDENTITAS UNIT!D9"")"),"#N/A")</f>
        <v>#N/A</v>
      </c>
      <c r="H38138" s="4" t="str">
        <v/>
      </c>
      <c r="I38138" s="4" t="str">
        <v/>
      </c>
    </row>
    <row r="38139" spans="5:9" ht="16.5" hidden="1">
      <c r="E38139" s="4" t="str">
        <v/>
      </c>
      <c r="F38139" s="102" t="str">
        <f ca="1">IFERROR(__xludf.DUMMYFUNCTION("IMPORTRANGE(H38139,""IDENTITAS UNIT!D9"")"),"#N/A")</f>
        <v>#N/A</v>
      </c>
      <c r="H38139" s="4" t="str">
        <v/>
      </c>
      <c r="I38139" s="4" t="str">
        <v/>
      </c>
    </row>
    <row r="38140" spans="5:9" ht="16.5" hidden="1">
      <c r="E38140" s="4" t="str">
        <v/>
      </c>
      <c r="F38140" s="102" t="str">
        <f ca="1">IFERROR(__xludf.DUMMYFUNCTION("IMPORTRANGE(H38140,""IDENTITAS UNIT!D9"")"),"#N/A")</f>
        <v>#N/A</v>
      </c>
      <c r="H38140" s="4" t="str">
        <v/>
      </c>
      <c r="I38140" s="4" t="str">
        <v/>
      </c>
    </row>
    <row r="38141" spans="5:9" ht="16.5" hidden="1">
      <c r="E38141" s="4" t="str">
        <v/>
      </c>
      <c r="F38141" s="102" t="str">
        <f ca="1">IFERROR(__xludf.DUMMYFUNCTION("IMPORTRANGE(H38141,""IDENTITAS UNIT!D9"")"),"#N/A")</f>
        <v>#N/A</v>
      </c>
      <c r="H38141" s="4" t="str">
        <v/>
      </c>
      <c r="I38141" s="4" t="str">
        <v/>
      </c>
    </row>
    <row r="38142" spans="5:9" ht="16.5" hidden="1">
      <c r="E38142" s="4" t="str">
        <v/>
      </c>
      <c r="F38142" s="102" t="str">
        <f ca="1">IFERROR(__xludf.DUMMYFUNCTION("IMPORTRANGE(H38142,""IDENTITAS UNIT!D9"")"),"#N/A")</f>
        <v>#N/A</v>
      </c>
      <c r="H38142" s="4" t="str">
        <v/>
      </c>
      <c r="I38142" s="4" t="str">
        <v/>
      </c>
    </row>
    <row r="38143" spans="5:9" ht="16.5" hidden="1">
      <c r="E38143" s="4" t="str">
        <v/>
      </c>
      <c r="F38143" s="102" t="str">
        <f ca="1">IFERROR(__xludf.DUMMYFUNCTION("IMPORTRANGE(H38143,""IDENTITAS UNIT!D9"")"),"#N/A")</f>
        <v>#N/A</v>
      </c>
      <c r="H38143" s="4" t="str">
        <v/>
      </c>
      <c r="I38143" s="4" t="str">
        <v/>
      </c>
    </row>
    <row r="38144" spans="5:9" ht="16.5" hidden="1">
      <c r="E38144" s="4" t="str">
        <v/>
      </c>
      <c r="F38144" s="102" t="str">
        <f ca="1">IFERROR(__xludf.DUMMYFUNCTION("IMPORTRANGE(H38144,""IDENTITAS UNIT!D9"")"),"#N/A")</f>
        <v>#N/A</v>
      </c>
      <c r="H38144" s="4" t="str">
        <v/>
      </c>
      <c r="I38144" s="4" t="str">
        <v/>
      </c>
    </row>
    <row r="38145" spans="5:9" ht="16.5" hidden="1">
      <c r="E38145" s="4" t="str">
        <v/>
      </c>
      <c r="F38145" s="102" t="str">
        <f ca="1">IFERROR(__xludf.DUMMYFUNCTION("IMPORTRANGE(H38145,""IDENTITAS UNIT!D9"")"),"#N/A")</f>
        <v>#N/A</v>
      </c>
      <c r="H38145" s="4" t="str">
        <v/>
      </c>
      <c r="I38145" s="4" t="str">
        <v/>
      </c>
    </row>
    <row r="38146" spans="5:9" ht="16.5" hidden="1">
      <c r="E38146" s="4" t="str">
        <v/>
      </c>
      <c r="F38146" s="102" t="str">
        <f ca="1">IFERROR(__xludf.DUMMYFUNCTION("IMPORTRANGE(H38146,""IDENTITAS UNIT!D9"")"),"#N/A")</f>
        <v>#N/A</v>
      </c>
      <c r="H38146" s="4" t="str">
        <v/>
      </c>
      <c r="I38146" s="4" t="str">
        <v/>
      </c>
    </row>
    <row r="38147" spans="5:9" ht="16.5" hidden="1">
      <c r="E38147" s="4" t="str">
        <v/>
      </c>
      <c r="F38147" s="102" t="str">
        <f ca="1">IFERROR(__xludf.DUMMYFUNCTION("IMPORTRANGE(H38147,""IDENTITAS UNIT!D9"")"),"#N/A")</f>
        <v>#N/A</v>
      </c>
      <c r="H38147" s="4" t="str">
        <v/>
      </c>
      <c r="I38147" s="4" t="str">
        <v/>
      </c>
    </row>
    <row r="38148" spans="5:9" ht="16.5" hidden="1">
      <c r="E38148" s="4" t="str">
        <v/>
      </c>
      <c r="F38148" s="102" t="str">
        <f ca="1">IFERROR(__xludf.DUMMYFUNCTION("IMPORTRANGE(H38148,""IDENTITAS UNIT!D9"")"),"#N/A")</f>
        <v>#N/A</v>
      </c>
      <c r="H38148" s="4" t="str">
        <v/>
      </c>
      <c r="I38148" s="4" t="str">
        <v/>
      </c>
    </row>
    <row r="38149" spans="5:9" ht="16.5" hidden="1">
      <c r="E38149" s="4" t="str">
        <v/>
      </c>
      <c r="F38149" s="102" t="str">
        <f ca="1">IFERROR(__xludf.DUMMYFUNCTION("IMPORTRANGE(H38149,""IDENTITAS UNIT!D9"")"),"#N/A")</f>
        <v>#N/A</v>
      </c>
      <c r="H38149" s="4" t="str">
        <v/>
      </c>
      <c r="I38149" s="4" t="str">
        <v/>
      </c>
    </row>
    <row r="38150" spans="5:9" ht="16.5" hidden="1">
      <c r="E38150" s="4" t="str">
        <v/>
      </c>
      <c r="F38150" s="102" t="str">
        <f ca="1">IFERROR(__xludf.DUMMYFUNCTION("IMPORTRANGE(H38150,""IDENTITAS UNIT!D9"")"),"#N/A")</f>
        <v>#N/A</v>
      </c>
      <c r="H38150" s="4" t="str">
        <v/>
      </c>
      <c r="I38150" s="4" t="str">
        <v/>
      </c>
    </row>
    <row r="38151" spans="5:9" ht="16.5" hidden="1">
      <c r="E38151" s="4" t="str">
        <v/>
      </c>
      <c r="F38151" s="102" t="str">
        <f ca="1">IFERROR(__xludf.DUMMYFUNCTION("IMPORTRANGE(H38151,""IDENTITAS UNIT!D9"")"),"#N/A")</f>
        <v>#N/A</v>
      </c>
      <c r="H38151" s="4" t="str">
        <v/>
      </c>
      <c r="I38151" s="4" t="str">
        <v/>
      </c>
    </row>
    <row r="38152" spans="5:9" ht="16.5" hidden="1">
      <c r="E38152" s="4" t="str">
        <v/>
      </c>
      <c r="F38152" s="102" t="str">
        <f ca="1">IFERROR(__xludf.DUMMYFUNCTION("IMPORTRANGE(H38152,""IDENTITAS UNIT!D9"")"),"#N/A")</f>
        <v>#N/A</v>
      </c>
      <c r="H38152" s="4" t="str">
        <v/>
      </c>
      <c r="I38152" s="4" t="str">
        <v/>
      </c>
    </row>
    <row r="38153" spans="5:9" ht="16.5" hidden="1">
      <c r="E38153" s="4" t="str">
        <v/>
      </c>
      <c r="F38153" s="102" t="str">
        <f ca="1">IFERROR(__xludf.DUMMYFUNCTION("IMPORTRANGE(H38153,""IDENTITAS UNIT!D9"")"),"#N/A")</f>
        <v>#N/A</v>
      </c>
      <c r="H38153" s="4" t="str">
        <v/>
      </c>
      <c r="I38153" s="4" t="str">
        <v/>
      </c>
    </row>
    <row r="38154" spans="5:9" ht="16.5" hidden="1">
      <c r="E38154" s="4" t="str">
        <v/>
      </c>
      <c r="F38154" s="102" t="str">
        <f ca="1">IFERROR(__xludf.DUMMYFUNCTION("IMPORTRANGE(H38154,""IDENTITAS UNIT!D9"")"),"#N/A")</f>
        <v>#N/A</v>
      </c>
      <c r="H38154" s="4" t="str">
        <v/>
      </c>
      <c r="I38154" s="4" t="str">
        <v/>
      </c>
    </row>
    <row r="38155" spans="5:9" ht="16.5" hidden="1">
      <c r="E38155" s="4" t="str">
        <v/>
      </c>
      <c r="F38155" s="102" t="str">
        <f ca="1">IFERROR(__xludf.DUMMYFUNCTION("IMPORTRANGE(H38155,""IDENTITAS UNIT!D9"")"),"#N/A")</f>
        <v>#N/A</v>
      </c>
      <c r="H38155" s="4" t="str">
        <v/>
      </c>
      <c r="I38155" s="4" t="str">
        <v/>
      </c>
    </row>
    <row r="38156" spans="5:9" ht="16.5" hidden="1">
      <c r="E38156" s="4" t="str">
        <v/>
      </c>
      <c r="F38156" s="102" t="str">
        <f ca="1">IFERROR(__xludf.DUMMYFUNCTION("IMPORTRANGE(H38156,""IDENTITAS UNIT!D9"")"),"#N/A")</f>
        <v>#N/A</v>
      </c>
      <c r="H38156" s="4" t="str">
        <v/>
      </c>
      <c r="I38156" s="4" t="str">
        <v/>
      </c>
    </row>
    <row r="38157" spans="5:9" ht="16.5" hidden="1">
      <c r="E38157" s="4" t="str">
        <v/>
      </c>
      <c r="F38157" s="102" t="str">
        <f ca="1">IFERROR(__xludf.DUMMYFUNCTION("IMPORTRANGE(H38157,""IDENTITAS UNIT!D9"")"),"#N/A")</f>
        <v>#N/A</v>
      </c>
      <c r="H38157" s="4" t="str">
        <v/>
      </c>
      <c r="I38157" s="4" t="str">
        <v/>
      </c>
    </row>
    <row r="38158" spans="5:9" ht="16.5" hidden="1">
      <c r="E38158" s="4" t="str">
        <v/>
      </c>
      <c r="F38158" s="102" t="str">
        <f ca="1">IFERROR(__xludf.DUMMYFUNCTION("IMPORTRANGE(H38158,""IDENTITAS UNIT!D9"")"),"#N/A")</f>
        <v>#N/A</v>
      </c>
      <c r="H38158" s="4" t="str">
        <v/>
      </c>
      <c r="I38158" s="4" t="str">
        <v/>
      </c>
    </row>
    <row r="38159" spans="5:9" ht="16.5" hidden="1">
      <c r="E38159" s="4" t="str">
        <v/>
      </c>
      <c r="F38159" s="102" t="str">
        <f ca="1">IFERROR(__xludf.DUMMYFUNCTION("IMPORTRANGE(H38159,""IDENTITAS UNIT!D9"")"),"#N/A")</f>
        <v>#N/A</v>
      </c>
      <c r="H38159" s="4" t="str">
        <v/>
      </c>
      <c r="I38159" s="4" t="str">
        <v/>
      </c>
    </row>
    <row r="38160" spans="5:9" ht="16.5" hidden="1">
      <c r="E38160" s="4" t="str">
        <v/>
      </c>
      <c r="F38160" s="102" t="str">
        <f ca="1">IFERROR(__xludf.DUMMYFUNCTION("IMPORTRANGE(H38160,""IDENTITAS UNIT!D9"")"),"#N/A")</f>
        <v>#N/A</v>
      </c>
      <c r="H38160" s="4" t="str">
        <v/>
      </c>
      <c r="I38160" s="4" t="str">
        <v/>
      </c>
    </row>
    <row r="38161" spans="5:9" ht="16.5" hidden="1">
      <c r="E38161" s="4" t="str">
        <v/>
      </c>
      <c r="F38161" s="102" t="str">
        <f ca="1">IFERROR(__xludf.DUMMYFUNCTION("IMPORTRANGE(H38161,""IDENTITAS UNIT!D9"")"),"#N/A")</f>
        <v>#N/A</v>
      </c>
      <c r="H38161" s="4" t="str">
        <v/>
      </c>
      <c r="I38161" s="4" t="str">
        <v/>
      </c>
    </row>
    <row r="38162" spans="5:9" ht="16.5" hidden="1">
      <c r="E38162" s="4" t="str">
        <v/>
      </c>
      <c r="F38162" s="102" t="str">
        <f ca="1">IFERROR(__xludf.DUMMYFUNCTION("IMPORTRANGE(H38162,""IDENTITAS UNIT!D9"")"),"#N/A")</f>
        <v>#N/A</v>
      </c>
      <c r="H38162" s="4" t="str">
        <v/>
      </c>
      <c r="I38162" s="4" t="str">
        <v/>
      </c>
    </row>
    <row r="38163" spans="5:9" ht="16.5" hidden="1">
      <c r="E38163" s="4" t="str">
        <v/>
      </c>
      <c r="F38163" s="102" t="str">
        <f ca="1">IFERROR(__xludf.DUMMYFUNCTION("IMPORTRANGE(H38163,""IDENTITAS UNIT!D9"")"),"#N/A")</f>
        <v>#N/A</v>
      </c>
      <c r="H38163" s="4" t="str">
        <v/>
      </c>
      <c r="I38163" s="4" t="str">
        <v/>
      </c>
    </row>
    <row r="38164" spans="5:9" ht="16.5" hidden="1">
      <c r="E38164" s="4" t="str">
        <v/>
      </c>
      <c r="F38164" s="102" t="str">
        <f ca="1">IFERROR(__xludf.DUMMYFUNCTION("IMPORTRANGE(H38164,""IDENTITAS UNIT!D9"")"),"#N/A")</f>
        <v>#N/A</v>
      </c>
      <c r="H38164" s="4" t="str">
        <v/>
      </c>
      <c r="I38164" s="4" t="str">
        <v/>
      </c>
    </row>
    <row r="38165" spans="5:9" ht="16.5" hidden="1">
      <c r="E38165" s="4" t="str">
        <v/>
      </c>
      <c r="F38165" s="102" t="str">
        <f ca="1">IFERROR(__xludf.DUMMYFUNCTION("IMPORTRANGE(H38165,""IDENTITAS UNIT!D9"")"),"#N/A")</f>
        <v>#N/A</v>
      </c>
      <c r="H38165" s="4" t="str">
        <v/>
      </c>
      <c r="I38165" s="4" t="str">
        <v/>
      </c>
    </row>
    <row r="38166" spans="5:9" ht="16.5" hidden="1">
      <c r="E38166" s="4" t="str">
        <v/>
      </c>
      <c r="F38166" s="102" t="str">
        <f ca="1">IFERROR(__xludf.DUMMYFUNCTION("IMPORTRANGE(H38166,""IDENTITAS UNIT!D9"")"),"#N/A")</f>
        <v>#N/A</v>
      </c>
      <c r="H38166" s="4" t="str">
        <v/>
      </c>
      <c r="I38166" s="4" t="str">
        <v/>
      </c>
    </row>
    <row r="38167" spans="5:9" ht="16.5" hidden="1">
      <c r="E38167" s="4" t="str">
        <v/>
      </c>
      <c r="F38167" s="102" t="str">
        <f ca="1">IFERROR(__xludf.DUMMYFUNCTION("IMPORTRANGE(H38167,""IDENTITAS UNIT!D9"")"),"#N/A")</f>
        <v>#N/A</v>
      </c>
      <c r="H38167" s="4" t="str">
        <v/>
      </c>
      <c r="I38167" s="4" t="str">
        <v/>
      </c>
    </row>
    <row r="38168" spans="5:9" ht="16.5" hidden="1">
      <c r="E38168" s="4" t="str">
        <v/>
      </c>
      <c r="F38168" s="102" t="str">
        <f ca="1">IFERROR(__xludf.DUMMYFUNCTION("IMPORTRANGE(H38168,""IDENTITAS UNIT!D9"")"),"#N/A")</f>
        <v>#N/A</v>
      </c>
      <c r="H38168" s="4" t="str">
        <v/>
      </c>
      <c r="I38168" s="4" t="str">
        <v/>
      </c>
    </row>
    <row r="38169" spans="5:9" ht="16.5" hidden="1">
      <c r="E38169" s="4" t="str">
        <v/>
      </c>
      <c r="F38169" s="102" t="str">
        <f ca="1">IFERROR(__xludf.DUMMYFUNCTION("IMPORTRANGE(H38169,""IDENTITAS UNIT!D9"")"),"#N/A")</f>
        <v>#N/A</v>
      </c>
      <c r="H38169" s="4" t="str">
        <v/>
      </c>
      <c r="I38169" s="4" t="str">
        <v/>
      </c>
    </row>
    <row r="38170" spans="5:9" ht="16.5" hidden="1">
      <c r="E38170" s="4" t="str">
        <v/>
      </c>
      <c r="F38170" s="102" t="str">
        <f ca="1">IFERROR(__xludf.DUMMYFUNCTION("IMPORTRANGE(H38170,""IDENTITAS UNIT!D9"")"),"#N/A")</f>
        <v>#N/A</v>
      </c>
      <c r="H38170" s="4" t="str">
        <v/>
      </c>
      <c r="I38170" s="4" t="str">
        <v/>
      </c>
    </row>
    <row r="38171" spans="5:9" ht="16.5" hidden="1">
      <c r="E38171" s="4" t="str">
        <v/>
      </c>
      <c r="F38171" s="102" t="str">
        <f ca="1">IFERROR(__xludf.DUMMYFUNCTION("IMPORTRANGE(H38171,""IDENTITAS UNIT!D9"")"),"#N/A")</f>
        <v>#N/A</v>
      </c>
      <c r="H38171" s="4" t="str">
        <v/>
      </c>
      <c r="I38171" s="4" t="str">
        <v/>
      </c>
    </row>
    <row r="38172" spans="5:9" ht="16.5" hidden="1">
      <c r="E38172" s="4" t="str">
        <v/>
      </c>
      <c r="F38172" s="102" t="str">
        <f ca="1">IFERROR(__xludf.DUMMYFUNCTION("IMPORTRANGE(H38172,""IDENTITAS UNIT!D9"")"),"#N/A")</f>
        <v>#N/A</v>
      </c>
      <c r="H38172" s="4" t="str">
        <v/>
      </c>
      <c r="I38172" s="4" t="str">
        <v/>
      </c>
    </row>
    <row r="38173" spans="5:9" ht="16.5" hidden="1">
      <c r="E38173" s="4" t="str">
        <v/>
      </c>
      <c r="F38173" s="102" t="str">
        <f ca="1">IFERROR(__xludf.DUMMYFUNCTION("IMPORTRANGE(H38173,""IDENTITAS UNIT!D9"")"),"#N/A")</f>
        <v>#N/A</v>
      </c>
      <c r="H38173" s="4" t="str">
        <v/>
      </c>
      <c r="I38173" s="4" t="str">
        <v/>
      </c>
    </row>
    <row r="38174" spans="5:9" ht="16.5" hidden="1">
      <c r="E38174" s="4" t="str">
        <v/>
      </c>
      <c r="F38174" s="102" t="str">
        <f ca="1">IFERROR(__xludf.DUMMYFUNCTION("IMPORTRANGE(H38174,""IDENTITAS UNIT!D9"")"),"#N/A")</f>
        <v>#N/A</v>
      </c>
      <c r="H38174" s="4" t="str">
        <v/>
      </c>
      <c r="I38174" s="4" t="str">
        <v/>
      </c>
    </row>
    <row r="38175" spans="5:9" ht="16.5" hidden="1">
      <c r="E38175" s="4" t="str">
        <v/>
      </c>
      <c r="F38175" s="102" t="str">
        <f ca="1">IFERROR(__xludf.DUMMYFUNCTION("IMPORTRANGE(H38175,""IDENTITAS UNIT!D9"")"),"#N/A")</f>
        <v>#N/A</v>
      </c>
      <c r="H38175" s="4" t="str">
        <v/>
      </c>
      <c r="I38175" s="4" t="str">
        <v/>
      </c>
    </row>
    <row r="38176" spans="5:9" ht="16.5" hidden="1">
      <c r="E38176" s="4" t="str">
        <v/>
      </c>
      <c r="F38176" s="102" t="str">
        <f ca="1">IFERROR(__xludf.DUMMYFUNCTION("IMPORTRANGE(H38176,""IDENTITAS UNIT!D9"")"),"#N/A")</f>
        <v>#N/A</v>
      </c>
      <c r="H38176" s="4" t="str">
        <v/>
      </c>
      <c r="I38176" s="4" t="str">
        <v/>
      </c>
    </row>
    <row r="38177" spans="5:9" ht="16.5" hidden="1">
      <c r="E38177" s="4" t="str">
        <v/>
      </c>
      <c r="F38177" s="102" t="str">
        <f ca="1">IFERROR(__xludf.DUMMYFUNCTION("IMPORTRANGE(H38177,""IDENTITAS UNIT!D9"")"),"#N/A")</f>
        <v>#N/A</v>
      </c>
      <c r="H38177" s="4" t="str">
        <v/>
      </c>
      <c r="I38177" s="4" t="str">
        <v/>
      </c>
    </row>
    <row r="38178" spans="5:9" ht="16.5" hidden="1">
      <c r="E38178" s="4" t="str">
        <v/>
      </c>
      <c r="F38178" s="102" t="str">
        <f ca="1">IFERROR(__xludf.DUMMYFUNCTION("IMPORTRANGE(H38178,""IDENTITAS UNIT!D9"")"),"#N/A")</f>
        <v>#N/A</v>
      </c>
      <c r="H38178" s="4" t="str">
        <v/>
      </c>
      <c r="I38178" s="4" t="str">
        <v/>
      </c>
    </row>
    <row r="38179" spans="5:9" ht="16.5" hidden="1">
      <c r="E38179" s="4" t="str">
        <v/>
      </c>
      <c r="F38179" s="102" t="str">
        <f ca="1">IFERROR(__xludf.DUMMYFUNCTION("IMPORTRANGE(H38179,""IDENTITAS UNIT!D9"")"),"#N/A")</f>
        <v>#N/A</v>
      </c>
      <c r="H38179" s="4" t="str">
        <v/>
      </c>
      <c r="I38179" s="4" t="str">
        <v/>
      </c>
    </row>
    <row r="38180" spans="5:9" ht="16.5" hidden="1">
      <c r="E38180" s="4" t="str">
        <v/>
      </c>
      <c r="F38180" s="102" t="str">
        <f ca="1">IFERROR(__xludf.DUMMYFUNCTION("IMPORTRANGE(H38180,""IDENTITAS UNIT!D9"")"),"#N/A")</f>
        <v>#N/A</v>
      </c>
      <c r="H38180" s="4" t="str">
        <v/>
      </c>
      <c r="I38180" s="4" t="str">
        <v/>
      </c>
    </row>
    <row r="38181" spans="5:9" ht="16.5" hidden="1">
      <c r="E38181" s="4" t="str">
        <v/>
      </c>
      <c r="F38181" s="102" t="str">
        <f ca="1">IFERROR(__xludf.DUMMYFUNCTION("IMPORTRANGE(H38181,""IDENTITAS UNIT!D9"")"),"#N/A")</f>
        <v>#N/A</v>
      </c>
      <c r="H38181" s="4" t="str">
        <v/>
      </c>
      <c r="I38181" s="4" t="str">
        <v/>
      </c>
    </row>
    <row r="38182" spans="5:9" ht="16.5" hidden="1">
      <c r="E38182" s="4" t="str">
        <v/>
      </c>
      <c r="F38182" s="102" t="str">
        <f ca="1">IFERROR(__xludf.DUMMYFUNCTION("IMPORTRANGE(H38182,""IDENTITAS UNIT!D9"")"),"#N/A")</f>
        <v>#N/A</v>
      </c>
      <c r="H38182" s="4" t="str">
        <v/>
      </c>
      <c r="I38182" s="4" t="str">
        <v/>
      </c>
    </row>
    <row r="38183" spans="5:9" ht="16.5" hidden="1">
      <c r="E38183" s="4" t="str">
        <v/>
      </c>
      <c r="F38183" s="102" t="str">
        <f ca="1">IFERROR(__xludf.DUMMYFUNCTION("IMPORTRANGE(H38183,""IDENTITAS UNIT!D9"")"),"#N/A")</f>
        <v>#N/A</v>
      </c>
      <c r="H38183" s="4" t="str">
        <v/>
      </c>
      <c r="I38183" s="4" t="str">
        <v/>
      </c>
    </row>
    <row r="38184" spans="5:9" ht="16.5" hidden="1">
      <c r="E38184" s="4" t="str">
        <v/>
      </c>
      <c r="F38184" s="102" t="str">
        <f ca="1">IFERROR(__xludf.DUMMYFUNCTION("IMPORTRANGE(H38184,""IDENTITAS UNIT!D9"")"),"#N/A")</f>
        <v>#N/A</v>
      </c>
      <c r="H38184" s="4" t="str">
        <v/>
      </c>
      <c r="I38184" s="4" t="str">
        <v/>
      </c>
    </row>
    <row r="38185" spans="5:9" ht="16.5" hidden="1">
      <c r="E38185" s="4" t="str">
        <v/>
      </c>
      <c r="F38185" s="102" t="str">
        <f ca="1">IFERROR(__xludf.DUMMYFUNCTION("IMPORTRANGE(H38185,""IDENTITAS UNIT!D9"")"),"#N/A")</f>
        <v>#N/A</v>
      </c>
      <c r="H38185" s="4" t="str">
        <v/>
      </c>
      <c r="I38185" s="4" t="str">
        <v/>
      </c>
    </row>
    <row r="38186" spans="5:9" ht="16.5" hidden="1">
      <c r="E38186" s="4" t="str">
        <v/>
      </c>
      <c r="F38186" s="102" t="str">
        <f ca="1">IFERROR(__xludf.DUMMYFUNCTION("IMPORTRANGE(H38186,""IDENTITAS UNIT!D9"")"),"#N/A")</f>
        <v>#N/A</v>
      </c>
      <c r="H38186" s="4" t="str">
        <v/>
      </c>
      <c r="I38186" s="4" t="str">
        <v/>
      </c>
    </row>
    <row r="38187" spans="5:9" ht="16.5" hidden="1">
      <c r="E38187" s="4" t="str">
        <v/>
      </c>
      <c r="F38187" s="102" t="str">
        <f ca="1">IFERROR(__xludf.DUMMYFUNCTION("IMPORTRANGE(H38187,""IDENTITAS UNIT!D9"")"),"#N/A")</f>
        <v>#N/A</v>
      </c>
      <c r="H38187" s="4" t="str">
        <v/>
      </c>
      <c r="I38187" s="4" t="str">
        <v/>
      </c>
    </row>
    <row r="38188" spans="5:9" ht="16.5" hidden="1">
      <c r="E38188" s="4" t="str">
        <v/>
      </c>
      <c r="F38188" s="102" t="str">
        <f ca="1">IFERROR(__xludf.DUMMYFUNCTION("IMPORTRANGE(H38188,""IDENTITAS UNIT!D9"")"),"#N/A")</f>
        <v>#N/A</v>
      </c>
      <c r="H38188" s="4" t="str">
        <v/>
      </c>
      <c r="I38188" s="4" t="str">
        <v/>
      </c>
    </row>
    <row r="38189" spans="5:9" ht="16.5" hidden="1">
      <c r="E38189" s="4" t="str">
        <v/>
      </c>
      <c r="F38189" s="102" t="str">
        <f ca="1">IFERROR(__xludf.DUMMYFUNCTION("IMPORTRANGE(H38189,""IDENTITAS UNIT!D9"")"),"#N/A")</f>
        <v>#N/A</v>
      </c>
      <c r="H38189" s="4" t="str">
        <v/>
      </c>
      <c r="I38189" s="4" t="str">
        <v/>
      </c>
    </row>
    <row r="38190" spans="5:9" ht="16.5" hidden="1">
      <c r="E38190" s="4" t="str">
        <v/>
      </c>
      <c r="F38190" s="102" t="str">
        <f ca="1">IFERROR(__xludf.DUMMYFUNCTION("IMPORTRANGE(H38190,""IDENTITAS UNIT!D9"")"),"#N/A")</f>
        <v>#N/A</v>
      </c>
      <c r="H38190" s="4" t="str">
        <v/>
      </c>
      <c r="I38190" s="4" t="str">
        <v/>
      </c>
    </row>
    <row r="38191" spans="5:9" ht="16.5" hidden="1">
      <c r="E38191" s="4" t="str">
        <v/>
      </c>
      <c r="F38191" s="102" t="str">
        <f ca="1">IFERROR(__xludf.DUMMYFUNCTION("IMPORTRANGE(H38191,""IDENTITAS UNIT!D9"")"),"#N/A")</f>
        <v>#N/A</v>
      </c>
      <c r="H38191" s="4" t="str">
        <v/>
      </c>
      <c r="I38191" s="4" t="str">
        <v/>
      </c>
    </row>
    <row r="38192" spans="5:9" ht="16.5" hidden="1">
      <c r="E38192" s="4" t="str">
        <v/>
      </c>
      <c r="F38192" s="102" t="str">
        <f ca="1">IFERROR(__xludf.DUMMYFUNCTION("IMPORTRANGE(H38192,""IDENTITAS UNIT!D9"")"),"#N/A")</f>
        <v>#N/A</v>
      </c>
      <c r="H38192" s="4" t="str">
        <v/>
      </c>
      <c r="I38192" s="4" t="str">
        <v/>
      </c>
    </row>
    <row r="38193" spans="5:9" ht="16.5" hidden="1">
      <c r="E38193" s="4" t="str">
        <v/>
      </c>
      <c r="F38193" s="102" t="str">
        <f ca="1">IFERROR(__xludf.DUMMYFUNCTION("IMPORTRANGE(H38193,""IDENTITAS UNIT!D9"")"),"#N/A")</f>
        <v>#N/A</v>
      </c>
      <c r="H38193" s="4" t="str">
        <v/>
      </c>
      <c r="I38193" s="4" t="str">
        <v/>
      </c>
    </row>
    <row r="38194" spans="5:9" ht="16.5" hidden="1">
      <c r="E38194" s="4" t="str">
        <v/>
      </c>
      <c r="F38194" s="102" t="str">
        <f ca="1">IFERROR(__xludf.DUMMYFUNCTION("IMPORTRANGE(H38194,""IDENTITAS UNIT!D9"")"),"#N/A")</f>
        <v>#N/A</v>
      </c>
      <c r="H38194" s="4" t="str">
        <v/>
      </c>
      <c r="I38194" s="4" t="str">
        <v/>
      </c>
    </row>
    <row r="38195" spans="5:9" ht="16.5" hidden="1">
      <c r="E38195" s="4" t="str">
        <v/>
      </c>
      <c r="F38195" s="102" t="str">
        <f ca="1">IFERROR(__xludf.DUMMYFUNCTION("IMPORTRANGE(H38195,""IDENTITAS UNIT!D9"")"),"#N/A")</f>
        <v>#N/A</v>
      </c>
      <c r="H38195" s="4" t="str">
        <v/>
      </c>
      <c r="I38195" s="4" t="str">
        <v/>
      </c>
    </row>
    <row r="38196" spans="5:9" ht="16.5" hidden="1">
      <c r="E38196" s="4" t="str">
        <v/>
      </c>
      <c r="F38196" s="102" t="str">
        <f ca="1">IFERROR(__xludf.DUMMYFUNCTION("IMPORTRANGE(H38196,""IDENTITAS UNIT!D9"")"),"#N/A")</f>
        <v>#N/A</v>
      </c>
      <c r="H38196" s="4" t="str">
        <v/>
      </c>
      <c r="I38196" s="4" t="str">
        <v/>
      </c>
    </row>
    <row r="38197" spans="5:9" ht="16.5" hidden="1">
      <c r="E38197" s="4" t="str">
        <v/>
      </c>
      <c r="F38197" s="102" t="str">
        <f ca="1">IFERROR(__xludf.DUMMYFUNCTION("IMPORTRANGE(H38197,""IDENTITAS UNIT!D9"")"),"#N/A")</f>
        <v>#N/A</v>
      </c>
      <c r="H38197" s="4" t="str">
        <v/>
      </c>
      <c r="I38197" s="4" t="str">
        <v/>
      </c>
    </row>
    <row r="38198" spans="5:9" ht="16.5" hidden="1">
      <c r="E38198" s="4" t="str">
        <v/>
      </c>
      <c r="F38198" s="102" t="str">
        <f ca="1">IFERROR(__xludf.DUMMYFUNCTION("IMPORTRANGE(H38198,""IDENTITAS UNIT!D9"")"),"#N/A")</f>
        <v>#N/A</v>
      </c>
      <c r="H38198" s="4" t="str">
        <v/>
      </c>
      <c r="I38198" s="4" t="str">
        <v/>
      </c>
    </row>
    <row r="38199" spans="5:9" ht="16.5" hidden="1">
      <c r="E38199" s="4" t="str">
        <v/>
      </c>
      <c r="F38199" s="102" t="str">
        <f ca="1">IFERROR(__xludf.DUMMYFUNCTION("IMPORTRANGE(H38199,""IDENTITAS UNIT!D9"")"),"#N/A")</f>
        <v>#N/A</v>
      </c>
      <c r="H38199" s="4" t="str">
        <v/>
      </c>
      <c r="I38199" s="4" t="str">
        <v/>
      </c>
    </row>
    <row r="38200" spans="5:9" ht="16.5" hidden="1">
      <c r="E38200" s="4" t="str">
        <v/>
      </c>
      <c r="F38200" s="102" t="str">
        <f ca="1">IFERROR(__xludf.DUMMYFUNCTION("IMPORTRANGE(H38200,""IDENTITAS UNIT!D9"")"),"#N/A")</f>
        <v>#N/A</v>
      </c>
      <c r="H38200" s="4" t="str">
        <v/>
      </c>
      <c r="I38200" s="4" t="str">
        <v/>
      </c>
    </row>
    <row r="38201" spans="5:9" ht="16.5" hidden="1">
      <c r="E38201" s="4" t="str">
        <v/>
      </c>
      <c r="F38201" s="102" t="str">
        <f ca="1">IFERROR(__xludf.DUMMYFUNCTION("IMPORTRANGE(H38201,""IDENTITAS UNIT!D9"")"),"#N/A")</f>
        <v>#N/A</v>
      </c>
      <c r="H38201" s="4" t="str">
        <v/>
      </c>
      <c r="I38201" s="4" t="str">
        <v/>
      </c>
    </row>
    <row r="38202" spans="5:9" ht="16.5" hidden="1">
      <c r="E38202" s="4" t="str">
        <v/>
      </c>
      <c r="F38202" s="102" t="str">
        <f ca="1">IFERROR(__xludf.DUMMYFUNCTION("IMPORTRANGE(H38202,""IDENTITAS UNIT!D9"")"),"#N/A")</f>
        <v>#N/A</v>
      </c>
      <c r="H38202" s="4" t="str">
        <v/>
      </c>
      <c r="I38202" s="4" t="str">
        <v/>
      </c>
    </row>
    <row r="38203" spans="5:9" ht="16.5" hidden="1">
      <c r="E38203" s="4" t="str">
        <v/>
      </c>
      <c r="F38203" s="102" t="str">
        <f ca="1">IFERROR(__xludf.DUMMYFUNCTION("IMPORTRANGE(H38203,""IDENTITAS UNIT!D9"")"),"#N/A")</f>
        <v>#N/A</v>
      </c>
      <c r="H38203" s="4" t="str">
        <v/>
      </c>
      <c r="I38203" s="4" t="str">
        <v/>
      </c>
    </row>
    <row r="38204" spans="5:9" ht="16.5" hidden="1">
      <c r="E38204" s="4" t="str">
        <v/>
      </c>
      <c r="F38204" s="102" t="str">
        <f ca="1">IFERROR(__xludf.DUMMYFUNCTION("IMPORTRANGE(H38204,""IDENTITAS UNIT!D9"")"),"#N/A")</f>
        <v>#N/A</v>
      </c>
      <c r="H38204" s="4" t="str">
        <v/>
      </c>
      <c r="I38204" s="4" t="str">
        <v/>
      </c>
    </row>
    <row r="38205" spans="5:9" ht="16.5" hidden="1">
      <c r="E38205" s="4" t="str">
        <v/>
      </c>
      <c r="F38205" s="102" t="str">
        <f ca="1">IFERROR(__xludf.DUMMYFUNCTION("IMPORTRANGE(H38205,""IDENTITAS UNIT!D9"")"),"#N/A")</f>
        <v>#N/A</v>
      </c>
      <c r="H38205" s="4" t="str">
        <v/>
      </c>
      <c r="I38205" s="4" t="str">
        <v/>
      </c>
    </row>
    <row r="38206" spans="5:9" ht="16.5" hidden="1">
      <c r="E38206" s="4" t="str">
        <v/>
      </c>
      <c r="F38206" s="102" t="str">
        <f ca="1">IFERROR(__xludf.DUMMYFUNCTION("IMPORTRANGE(H38206,""IDENTITAS UNIT!D9"")"),"#N/A")</f>
        <v>#N/A</v>
      </c>
      <c r="H38206" s="4" t="str">
        <v/>
      </c>
      <c r="I38206" s="4" t="str">
        <v/>
      </c>
    </row>
    <row r="38207" spans="5:9" ht="16.5" hidden="1">
      <c r="E38207" s="4" t="str">
        <v/>
      </c>
      <c r="F38207" s="102" t="str">
        <f ca="1">IFERROR(__xludf.DUMMYFUNCTION("IMPORTRANGE(H38207,""IDENTITAS UNIT!D9"")"),"#N/A")</f>
        <v>#N/A</v>
      </c>
      <c r="H38207" s="4" t="str">
        <v/>
      </c>
      <c r="I38207" s="4" t="str">
        <v/>
      </c>
    </row>
    <row r="38208" spans="5:9" ht="16.5" hidden="1">
      <c r="E38208" s="4" t="str">
        <v/>
      </c>
      <c r="F38208" s="102" t="str">
        <f ca="1">IFERROR(__xludf.DUMMYFUNCTION("IMPORTRANGE(H38208,""IDENTITAS UNIT!D9"")"),"#N/A")</f>
        <v>#N/A</v>
      </c>
      <c r="H38208" s="4" t="str">
        <v/>
      </c>
      <c r="I38208" s="4" t="str">
        <v/>
      </c>
    </row>
    <row r="38209" spans="5:9" ht="16.5" hidden="1">
      <c r="E38209" s="4" t="str">
        <v/>
      </c>
      <c r="F38209" s="102" t="str">
        <f ca="1">IFERROR(__xludf.DUMMYFUNCTION("IMPORTRANGE(H38209,""IDENTITAS UNIT!D9"")"),"#N/A")</f>
        <v>#N/A</v>
      </c>
      <c r="H38209" s="4" t="str">
        <v/>
      </c>
      <c r="I38209" s="4" t="str">
        <v/>
      </c>
    </row>
    <row r="38210" spans="5:9" ht="16.5" hidden="1">
      <c r="E38210" s="4" t="str">
        <v/>
      </c>
      <c r="F38210" s="102" t="str">
        <f ca="1">IFERROR(__xludf.DUMMYFUNCTION("IMPORTRANGE(H38210,""IDENTITAS UNIT!D9"")"),"#N/A")</f>
        <v>#N/A</v>
      </c>
      <c r="H38210" s="4" t="str">
        <v/>
      </c>
      <c r="I38210" s="4" t="str">
        <v/>
      </c>
    </row>
    <row r="38211" spans="5:9" ht="16.5" hidden="1">
      <c r="E38211" s="4" t="str">
        <v/>
      </c>
      <c r="F38211" s="102" t="str">
        <f ca="1">IFERROR(__xludf.DUMMYFUNCTION("IMPORTRANGE(H38211,""IDENTITAS UNIT!D9"")"),"#N/A")</f>
        <v>#N/A</v>
      </c>
      <c r="H38211" s="4" t="str">
        <v/>
      </c>
      <c r="I38211" s="4" t="str">
        <v/>
      </c>
    </row>
    <row r="38212" spans="5:9" ht="16.5" hidden="1">
      <c r="E38212" s="4" t="str">
        <v/>
      </c>
      <c r="F38212" s="102" t="str">
        <f ca="1">IFERROR(__xludf.DUMMYFUNCTION("IMPORTRANGE(H38212,""IDENTITAS UNIT!D9"")"),"#N/A")</f>
        <v>#N/A</v>
      </c>
      <c r="H38212" s="4" t="str">
        <v/>
      </c>
      <c r="I38212" s="4" t="str">
        <v/>
      </c>
    </row>
    <row r="38213" spans="5:9" ht="16.5" hidden="1">
      <c r="E38213" s="4" t="str">
        <v/>
      </c>
      <c r="F38213" s="102" t="str">
        <f ca="1">IFERROR(__xludf.DUMMYFUNCTION("IMPORTRANGE(H38213,""IDENTITAS UNIT!D9"")"),"#N/A")</f>
        <v>#N/A</v>
      </c>
      <c r="H38213" s="4" t="str">
        <v/>
      </c>
      <c r="I38213" s="4" t="str">
        <v/>
      </c>
    </row>
    <row r="38214" spans="5:9" ht="16.5" hidden="1">
      <c r="E38214" s="4" t="str">
        <v/>
      </c>
      <c r="F38214" s="102" t="str">
        <f ca="1">IFERROR(__xludf.DUMMYFUNCTION("IMPORTRANGE(H38214,""IDENTITAS UNIT!D9"")"),"#N/A")</f>
        <v>#N/A</v>
      </c>
      <c r="H38214" s="4" t="str">
        <v/>
      </c>
      <c r="I38214" s="4" t="str">
        <v/>
      </c>
    </row>
    <row r="38215" spans="5:9" ht="16.5" hidden="1">
      <c r="E38215" s="4" t="str">
        <v/>
      </c>
      <c r="F38215" s="102" t="str">
        <f ca="1">IFERROR(__xludf.DUMMYFUNCTION("IMPORTRANGE(H38215,""IDENTITAS UNIT!D9"")"),"#N/A")</f>
        <v>#N/A</v>
      </c>
      <c r="H38215" s="4" t="str">
        <v/>
      </c>
      <c r="I38215" s="4" t="str">
        <v/>
      </c>
    </row>
    <row r="38216" spans="5:9" ht="16.5" hidden="1">
      <c r="E38216" s="4" t="str">
        <v/>
      </c>
      <c r="F38216" s="102" t="str">
        <f ca="1">IFERROR(__xludf.DUMMYFUNCTION("IMPORTRANGE(H38216,""IDENTITAS UNIT!D9"")"),"#N/A")</f>
        <v>#N/A</v>
      </c>
      <c r="H38216" s="4" t="str">
        <v/>
      </c>
      <c r="I38216" s="4" t="str">
        <v/>
      </c>
    </row>
    <row r="38217" spans="5:9" ht="16.5" hidden="1">
      <c r="E38217" s="4" t="str">
        <v/>
      </c>
      <c r="F38217" s="102" t="str">
        <f ca="1">IFERROR(__xludf.DUMMYFUNCTION("IMPORTRANGE(H38217,""IDENTITAS UNIT!D9"")"),"#N/A")</f>
        <v>#N/A</v>
      </c>
      <c r="H38217" s="4" t="str">
        <v/>
      </c>
      <c r="I38217" s="4" t="str">
        <v/>
      </c>
    </row>
    <row r="38218" spans="5:9" ht="16.5" hidden="1">
      <c r="E38218" s="4" t="str">
        <v/>
      </c>
      <c r="F38218" s="102" t="str">
        <f ca="1">IFERROR(__xludf.DUMMYFUNCTION("IMPORTRANGE(H38218,""IDENTITAS UNIT!D9"")"),"#N/A")</f>
        <v>#N/A</v>
      </c>
      <c r="H38218" s="4" t="str">
        <v/>
      </c>
      <c r="I38218" s="4" t="str">
        <v/>
      </c>
    </row>
    <row r="38219" spans="5:9" ht="16.5" hidden="1">
      <c r="E38219" s="4" t="str">
        <v/>
      </c>
      <c r="F38219" s="102" t="str">
        <f ca="1">IFERROR(__xludf.DUMMYFUNCTION("IMPORTRANGE(H38219,""IDENTITAS UNIT!D9"")"),"#N/A")</f>
        <v>#N/A</v>
      </c>
      <c r="H38219" s="4" t="str">
        <v/>
      </c>
      <c r="I38219" s="4" t="str">
        <v/>
      </c>
    </row>
    <row r="38220" spans="5:9" ht="16.5" hidden="1">
      <c r="E38220" s="4" t="str">
        <v/>
      </c>
      <c r="F38220" s="102" t="str">
        <f ca="1">IFERROR(__xludf.DUMMYFUNCTION("IMPORTRANGE(H38220,""IDENTITAS UNIT!D9"")"),"#N/A")</f>
        <v>#N/A</v>
      </c>
      <c r="H38220" s="4" t="str">
        <v/>
      </c>
      <c r="I38220" s="4" t="str">
        <v/>
      </c>
    </row>
    <row r="38221" spans="5:9" ht="16.5" hidden="1">
      <c r="E38221" s="4" t="str">
        <v/>
      </c>
      <c r="F38221" s="102" t="str">
        <f ca="1">IFERROR(__xludf.DUMMYFUNCTION("IMPORTRANGE(H38221,""IDENTITAS UNIT!D9"")"),"#N/A")</f>
        <v>#N/A</v>
      </c>
      <c r="H38221" s="4" t="str">
        <v/>
      </c>
      <c r="I38221" s="4" t="str">
        <v/>
      </c>
    </row>
    <row r="38222" spans="5:9" ht="16.5" hidden="1">
      <c r="E38222" s="4" t="str">
        <v/>
      </c>
      <c r="F38222" s="102" t="str">
        <f ca="1">IFERROR(__xludf.DUMMYFUNCTION("IMPORTRANGE(H38222,""IDENTITAS UNIT!D9"")"),"#N/A")</f>
        <v>#N/A</v>
      </c>
      <c r="H38222" s="4" t="str">
        <v/>
      </c>
      <c r="I38222" s="4" t="str">
        <v/>
      </c>
    </row>
    <row r="38223" spans="5:9" ht="16.5" hidden="1">
      <c r="E38223" s="4" t="str">
        <v/>
      </c>
      <c r="F38223" s="102" t="str">
        <f ca="1">IFERROR(__xludf.DUMMYFUNCTION("IMPORTRANGE(H38223,""IDENTITAS UNIT!D9"")"),"#N/A")</f>
        <v>#N/A</v>
      </c>
      <c r="H38223" s="4" t="str">
        <v/>
      </c>
      <c r="I38223" s="4" t="str">
        <v/>
      </c>
    </row>
    <row r="38224" spans="5:9" ht="16.5" hidden="1">
      <c r="E38224" s="4" t="str">
        <v/>
      </c>
      <c r="F38224" s="102" t="str">
        <f ca="1">IFERROR(__xludf.DUMMYFUNCTION("IMPORTRANGE(H38224,""IDENTITAS UNIT!D9"")"),"#N/A")</f>
        <v>#N/A</v>
      </c>
      <c r="H38224" s="4" t="str">
        <v/>
      </c>
      <c r="I38224" s="4" t="str">
        <v/>
      </c>
    </row>
    <row r="38225" spans="5:9" ht="16.5" hidden="1">
      <c r="E38225" s="4" t="str">
        <v/>
      </c>
      <c r="F38225" s="102" t="str">
        <f ca="1">IFERROR(__xludf.DUMMYFUNCTION("IMPORTRANGE(H38225,""IDENTITAS UNIT!D9"")"),"#N/A")</f>
        <v>#N/A</v>
      </c>
      <c r="H38225" s="4" t="str">
        <v/>
      </c>
      <c r="I38225" s="4" t="str">
        <v/>
      </c>
    </row>
    <row r="38226" spans="5:9" ht="16.5" hidden="1">
      <c r="E38226" s="4" t="str">
        <v/>
      </c>
      <c r="F38226" s="102" t="str">
        <f ca="1">IFERROR(__xludf.DUMMYFUNCTION("IMPORTRANGE(H38226,""IDENTITAS UNIT!D9"")"),"#N/A")</f>
        <v>#N/A</v>
      </c>
      <c r="H38226" s="4" t="str">
        <v/>
      </c>
      <c r="I38226" s="4" t="str">
        <v/>
      </c>
    </row>
    <row r="38227" spans="5:9" ht="16.5" hidden="1">
      <c r="E38227" s="4" t="str">
        <v/>
      </c>
      <c r="F38227" s="102" t="str">
        <f ca="1">IFERROR(__xludf.DUMMYFUNCTION("IMPORTRANGE(H38227,""IDENTITAS UNIT!D9"")"),"#N/A")</f>
        <v>#N/A</v>
      </c>
      <c r="H38227" s="4" t="str">
        <v/>
      </c>
      <c r="I38227" s="4" t="str">
        <v/>
      </c>
    </row>
    <row r="38228" spans="5:9" ht="16.5" hidden="1">
      <c r="E38228" s="4" t="str">
        <v/>
      </c>
      <c r="F38228" s="102" t="str">
        <f ca="1">IFERROR(__xludf.DUMMYFUNCTION("IMPORTRANGE(H38228,""IDENTITAS UNIT!D9"")"),"#N/A")</f>
        <v>#N/A</v>
      </c>
      <c r="H38228" s="4" t="str">
        <v/>
      </c>
      <c r="I38228" s="4" t="str">
        <v/>
      </c>
    </row>
    <row r="38229" spans="5:9" ht="16.5" hidden="1">
      <c r="E38229" s="4" t="str">
        <v/>
      </c>
      <c r="F38229" s="102" t="str">
        <f ca="1">IFERROR(__xludf.DUMMYFUNCTION("IMPORTRANGE(H38229,""IDENTITAS UNIT!D9"")"),"#N/A")</f>
        <v>#N/A</v>
      </c>
      <c r="H38229" s="4" t="str">
        <v/>
      </c>
      <c r="I38229" s="4" t="str">
        <v/>
      </c>
    </row>
    <row r="38230" spans="5:9" ht="16.5" hidden="1">
      <c r="E38230" s="4" t="str">
        <v/>
      </c>
      <c r="F38230" s="102" t="str">
        <f ca="1">IFERROR(__xludf.DUMMYFUNCTION("IMPORTRANGE(H38230,""IDENTITAS UNIT!D9"")"),"#N/A")</f>
        <v>#N/A</v>
      </c>
      <c r="H38230" s="4" t="str">
        <v/>
      </c>
      <c r="I38230" s="4" t="str">
        <v/>
      </c>
    </row>
    <row r="38231" spans="5:9" ht="16.5" hidden="1">
      <c r="E38231" s="4" t="str">
        <v/>
      </c>
      <c r="F38231" s="102" t="str">
        <f ca="1">IFERROR(__xludf.DUMMYFUNCTION("IMPORTRANGE(H38231,""IDENTITAS UNIT!D9"")"),"#N/A")</f>
        <v>#N/A</v>
      </c>
      <c r="H38231" s="4" t="str">
        <v/>
      </c>
      <c r="I38231" s="4" t="str">
        <v/>
      </c>
    </row>
    <row r="38232" spans="5:9" ht="16.5" hidden="1">
      <c r="E38232" s="4" t="str">
        <v/>
      </c>
      <c r="F38232" s="102" t="str">
        <f ca="1">IFERROR(__xludf.DUMMYFUNCTION("IMPORTRANGE(H38232,""IDENTITAS UNIT!D9"")"),"#N/A")</f>
        <v>#N/A</v>
      </c>
      <c r="H38232" s="4" t="str">
        <v/>
      </c>
      <c r="I38232" s="4" t="str">
        <v/>
      </c>
    </row>
    <row r="38233" spans="5:9" ht="16.5" hidden="1">
      <c r="E38233" s="4" t="str">
        <v/>
      </c>
      <c r="F38233" s="102" t="str">
        <f ca="1">IFERROR(__xludf.DUMMYFUNCTION("IMPORTRANGE(H38233,""IDENTITAS UNIT!D9"")"),"#N/A")</f>
        <v>#N/A</v>
      </c>
      <c r="H38233" s="4" t="str">
        <v/>
      </c>
      <c r="I38233" s="4" t="str">
        <v/>
      </c>
    </row>
    <row r="38234" spans="5:9" ht="16.5" hidden="1">
      <c r="E38234" s="4" t="str">
        <v/>
      </c>
      <c r="F38234" s="102" t="str">
        <f ca="1">IFERROR(__xludf.DUMMYFUNCTION("IMPORTRANGE(H38234,""IDENTITAS UNIT!D9"")"),"#N/A")</f>
        <v>#N/A</v>
      </c>
      <c r="H38234" s="4" t="str">
        <v/>
      </c>
      <c r="I38234" s="4" t="str">
        <v/>
      </c>
    </row>
    <row r="38235" spans="5:9" ht="16.5" hidden="1">
      <c r="E38235" s="4" t="str">
        <v/>
      </c>
      <c r="F38235" s="102" t="str">
        <f ca="1">IFERROR(__xludf.DUMMYFUNCTION("IMPORTRANGE(H38235,""IDENTITAS UNIT!D9"")"),"#N/A")</f>
        <v>#N/A</v>
      </c>
      <c r="H38235" s="4" t="str">
        <v/>
      </c>
      <c r="I38235" s="4" t="str">
        <v/>
      </c>
    </row>
    <row r="38236" spans="5:9" ht="16.5" hidden="1">
      <c r="E38236" s="4" t="str">
        <v/>
      </c>
      <c r="F38236" s="102" t="str">
        <f ca="1">IFERROR(__xludf.DUMMYFUNCTION("IMPORTRANGE(H38236,""IDENTITAS UNIT!D9"")"),"#N/A")</f>
        <v>#N/A</v>
      </c>
      <c r="H38236" s="4" t="str">
        <v/>
      </c>
      <c r="I38236" s="4" t="str">
        <v/>
      </c>
    </row>
    <row r="38237" spans="5:9" ht="16.5" hidden="1">
      <c r="E38237" s="4" t="str">
        <v/>
      </c>
      <c r="F38237" s="102" t="str">
        <f ca="1">IFERROR(__xludf.DUMMYFUNCTION("IMPORTRANGE(H38237,""IDENTITAS UNIT!D9"")"),"#N/A")</f>
        <v>#N/A</v>
      </c>
      <c r="H38237" s="4" t="str">
        <v/>
      </c>
      <c r="I38237" s="4" t="str">
        <v/>
      </c>
    </row>
    <row r="38238" spans="5:9" ht="16.5" hidden="1">
      <c r="E38238" s="4" t="str">
        <v/>
      </c>
      <c r="F38238" s="102" t="str">
        <f ca="1">IFERROR(__xludf.DUMMYFUNCTION("IMPORTRANGE(H38238,""IDENTITAS UNIT!D9"")"),"#N/A")</f>
        <v>#N/A</v>
      </c>
      <c r="H38238" s="4" t="str">
        <v/>
      </c>
      <c r="I38238" s="4" t="str">
        <v/>
      </c>
    </row>
    <row r="38239" spans="5:9" ht="16.5" hidden="1">
      <c r="E38239" s="4" t="str">
        <v/>
      </c>
      <c r="F38239" s="102" t="str">
        <f ca="1">IFERROR(__xludf.DUMMYFUNCTION("IMPORTRANGE(H38239,""IDENTITAS UNIT!D9"")"),"#N/A")</f>
        <v>#N/A</v>
      </c>
      <c r="H38239" s="4" t="str">
        <v/>
      </c>
      <c r="I38239" s="4" t="str">
        <v/>
      </c>
    </row>
    <row r="38240" spans="5:9" ht="16.5" hidden="1">
      <c r="E38240" s="4" t="str">
        <v/>
      </c>
      <c r="F38240" s="102" t="str">
        <f ca="1">IFERROR(__xludf.DUMMYFUNCTION("IMPORTRANGE(H38240,""IDENTITAS UNIT!D9"")"),"#N/A")</f>
        <v>#N/A</v>
      </c>
      <c r="H38240" s="4" t="str">
        <v/>
      </c>
      <c r="I38240" s="4" t="str">
        <v/>
      </c>
    </row>
    <row r="38241" spans="5:9" ht="16.5" hidden="1">
      <c r="E38241" s="4" t="str">
        <v/>
      </c>
      <c r="F38241" s="102" t="str">
        <f ca="1">IFERROR(__xludf.DUMMYFUNCTION("IMPORTRANGE(H38241,""IDENTITAS UNIT!D9"")"),"#N/A")</f>
        <v>#N/A</v>
      </c>
      <c r="H38241" s="4" t="str">
        <v/>
      </c>
      <c r="I38241" s="4" t="str">
        <v/>
      </c>
    </row>
    <row r="38242" spans="5:9" ht="16.5" hidden="1">
      <c r="E38242" s="4" t="str">
        <v/>
      </c>
      <c r="F38242" s="102" t="str">
        <f ca="1">IFERROR(__xludf.DUMMYFUNCTION("IMPORTRANGE(H38242,""IDENTITAS UNIT!D9"")"),"#N/A")</f>
        <v>#N/A</v>
      </c>
      <c r="H38242" s="4" t="str">
        <v/>
      </c>
      <c r="I38242" s="4" t="str">
        <v/>
      </c>
    </row>
    <row r="38243" spans="5:9" ht="16.5" hidden="1">
      <c r="E38243" s="4" t="str">
        <v/>
      </c>
      <c r="F38243" s="102" t="str">
        <f ca="1">IFERROR(__xludf.DUMMYFUNCTION("IMPORTRANGE(H38243,""IDENTITAS UNIT!D9"")"),"#N/A")</f>
        <v>#N/A</v>
      </c>
      <c r="H38243" s="4" t="str">
        <v/>
      </c>
      <c r="I38243" s="4" t="str">
        <v/>
      </c>
    </row>
    <row r="38244" spans="5:9" ht="16.5" hidden="1">
      <c r="E38244" s="4" t="str">
        <v/>
      </c>
      <c r="F38244" s="102" t="str">
        <f ca="1">IFERROR(__xludf.DUMMYFUNCTION("IMPORTRANGE(H38244,""IDENTITAS UNIT!D9"")"),"#N/A")</f>
        <v>#N/A</v>
      </c>
      <c r="H38244" s="4" t="str">
        <v/>
      </c>
      <c r="I38244" s="4" t="str">
        <v/>
      </c>
    </row>
    <row r="38245" spans="5:9" ht="16.5" hidden="1">
      <c r="E38245" s="4" t="str">
        <v/>
      </c>
      <c r="F38245" s="102" t="str">
        <f ca="1">IFERROR(__xludf.DUMMYFUNCTION("IMPORTRANGE(H38245,""IDENTITAS UNIT!D9"")"),"#N/A")</f>
        <v>#N/A</v>
      </c>
      <c r="H38245" s="4" t="str">
        <v/>
      </c>
      <c r="I38245" s="4" t="str">
        <v/>
      </c>
    </row>
    <row r="38246" spans="5:9" ht="16.5" hidden="1">
      <c r="E38246" s="4" t="str">
        <v/>
      </c>
      <c r="F38246" s="102" t="str">
        <f ca="1">IFERROR(__xludf.DUMMYFUNCTION("IMPORTRANGE(H38246,""IDENTITAS UNIT!D9"")"),"#N/A")</f>
        <v>#N/A</v>
      </c>
      <c r="H38246" s="4" t="str">
        <v/>
      </c>
      <c r="I38246" s="4" t="str">
        <v/>
      </c>
    </row>
    <row r="38247" spans="5:9" ht="16.5" hidden="1">
      <c r="E38247" s="4" t="str">
        <v/>
      </c>
      <c r="F38247" s="102" t="str">
        <f ca="1">IFERROR(__xludf.DUMMYFUNCTION("IMPORTRANGE(H38247,""IDENTITAS UNIT!D9"")"),"#N/A")</f>
        <v>#N/A</v>
      </c>
      <c r="H38247" s="4" t="str">
        <v/>
      </c>
      <c r="I38247" s="4" t="str">
        <v/>
      </c>
    </row>
    <row r="38248" spans="5:9" ht="16.5" hidden="1">
      <c r="E38248" s="4" t="str">
        <v/>
      </c>
      <c r="F38248" s="102" t="str">
        <f ca="1">IFERROR(__xludf.DUMMYFUNCTION("IMPORTRANGE(H38248,""IDENTITAS UNIT!D9"")"),"#N/A")</f>
        <v>#N/A</v>
      </c>
      <c r="H38248" s="4" t="str">
        <v/>
      </c>
      <c r="I38248" s="4" t="str">
        <v/>
      </c>
    </row>
    <row r="38249" spans="5:9" ht="16.5" hidden="1">
      <c r="E38249" s="4" t="str">
        <v/>
      </c>
      <c r="F38249" s="102" t="str">
        <f ca="1">IFERROR(__xludf.DUMMYFUNCTION("IMPORTRANGE(H38249,""IDENTITAS UNIT!D9"")"),"#N/A")</f>
        <v>#N/A</v>
      </c>
      <c r="H38249" s="4" t="str">
        <v/>
      </c>
      <c r="I38249" s="4" t="str">
        <v/>
      </c>
    </row>
    <row r="38250" spans="5:9" ht="16.5" hidden="1">
      <c r="E38250" s="4" t="str">
        <v/>
      </c>
      <c r="F38250" s="102" t="str">
        <f ca="1">IFERROR(__xludf.DUMMYFUNCTION("IMPORTRANGE(H38250,""IDENTITAS UNIT!D9"")"),"#N/A")</f>
        <v>#N/A</v>
      </c>
      <c r="H38250" s="4" t="str">
        <v/>
      </c>
      <c r="I38250" s="4" t="str">
        <v/>
      </c>
    </row>
    <row r="38251" spans="5:9" ht="16.5" hidden="1">
      <c r="E38251" s="4" t="str">
        <v/>
      </c>
      <c r="F38251" s="102" t="str">
        <f ca="1">IFERROR(__xludf.DUMMYFUNCTION("IMPORTRANGE(H38251,""IDENTITAS UNIT!D9"")"),"#N/A")</f>
        <v>#N/A</v>
      </c>
      <c r="H38251" s="4" t="str">
        <v/>
      </c>
      <c r="I38251" s="4" t="str">
        <v/>
      </c>
    </row>
    <row r="38252" spans="5:9" ht="16.5" hidden="1">
      <c r="E38252" s="4" t="str">
        <v/>
      </c>
      <c r="F38252" s="102" t="str">
        <f ca="1">IFERROR(__xludf.DUMMYFUNCTION("IMPORTRANGE(H38252,""IDENTITAS UNIT!D9"")"),"#N/A")</f>
        <v>#N/A</v>
      </c>
      <c r="H38252" s="4" t="str">
        <v/>
      </c>
      <c r="I38252" s="4" t="str">
        <v/>
      </c>
    </row>
    <row r="38253" spans="5:9" ht="16.5" hidden="1">
      <c r="E38253" s="4" t="str">
        <v/>
      </c>
      <c r="F38253" s="102" t="str">
        <f ca="1">IFERROR(__xludf.DUMMYFUNCTION("IMPORTRANGE(H38253,""IDENTITAS UNIT!D9"")"),"#N/A")</f>
        <v>#N/A</v>
      </c>
      <c r="H38253" s="4" t="str">
        <v/>
      </c>
      <c r="I38253" s="4" t="str">
        <v/>
      </c>
    </row>
    <row r="38254" spans="5:9" ht="16.5" hidden="1">
      <c r="E38254" s="4" t="str">
        <v/>
      </c>
      <c r="F38254" s="102" t="str">
        <f ca="1">IFERROR(__xludf.DUMMYFUNCTION("IMPORTRANGE(H38254,""IDENTITAS UNIT!D9"")"),"#N/A")</f>
        <v>#N/A</v>
      </c>
      <c r="H38254" s="4" t="str">
        <v/>
      </c>
      <c r="I38254" s="4" t="str">
        <v/>
      </c>
    </row>
    <row r="38255" spans="5:9" ht="16.5" hidden="1">
      <c r="E38255" s="4" t="str">
        <v/>
      </c>
      <c r="F38255" s="102" t="str">
        <f ca="1">IFERROR(__xludf.DUMMYFUNCTION("IMPORTRANGE(H38255,""IDENTITAS UNIT!D9"")"),"#N/A")</f>
        <v>#N/A</v>
      </c>
      <c r="H38255" s="4" t="str">
        <v/>
      </c>
      <c r="I38255" s="4" t="str">
        <v/>
      </c>
    </row>
    <row r="38256" spans="5:9" ht="16.5" hidden="1">
      <c r="E38256" s="4" t="str">
        <v/>
      </c>
      <c r="F38256" s="102" t="str">
        <f ca="1">IFERROR(__xludf.DUMMYFUNCTION("IMPORTRANGE(H38256,""IDENTITAS UNIT!D9"")"),"#N/A")</f>
        <v>#N/A</v>
      </c>
      <c r="H38256" s="4" t="str">
        <v/>
      </c>
      <c r="I38256" s="4" t="str">
        <v/>
      </c>
    </row>
    <row r="38257" spans="5:9" ht="16.5" hidden="1">
      <c r="E38257" s="4" t="str">
        <v/>
      </c>
      <c r="F38257" s="102" t="str">
        <f ca="1">IFERROR(__xludf.DUMMYFUNCTION("IMPORTRANGE(H38257,""IDENTITAS UNIT!D9"")"),"#N/A")</f>
        <v>#N/A</v>
      </c>
      <c r="H38257" s="4" t="str">
        <v/>
      </c>
      <c r="I38257" s="4" t="str">
        <v/>
      </c>
    </row>
    <row r="38258" spans="5:9" ht="16.5" hidden="1">
      <c r="E38258" s="4" t="str">
        <v/>
      </c>
      <c r="F38258" s="102" t="str">
        <f ca="1">IFERROR(__xludf.DUMMYFUNCTION("IMPORTRANGE(H38258,""IDENTITAS UNIT!D9"")"),"#N/A")</f>
        <v>#N/A</v>
      </c>
      <c r="H38258" s="4" t="str">
        <v/>
      </c>
      <c r="I38258" s="4" t="str">
        <v/>
      </c>
    </row>
    <row r="38259" spans="5:9" ht="16.5" hidden="1">
      <c r="E38259" s="4" t="str">
        <v/>
      </c>
      <c r="F38259" s="102" t="str">
        <f ca="1">IFERROR(__xludf.DUMMYFUNCTION("IMPORTRANGE(H38259,""IDENTITAS UNIT!D9"")"),"#N/A")</f>
        <v>#N/A</v>
      </c>
      <c r="H38259" s="4" t="str">
        <v/>
      </c>
      <c r="I38259" s="4" t="str">
        <v/>
      </c>
    </row>
    <row r="38260" spans="5:9" ht="16.5" hidden="1">
      <c r="E38260" s="4" t="str">
        <v/>
      </c>
      <c r="F38260" s="102" t="str">
        <f ca="1">IFERROR(__xludf.DUMMYFUNCTION("IMPORTRANGE(H38260,""IDENTITAS UNIT!D9"")"),"#N/A")</f>
        <v>#N/A</v>
      </c>
      <c r="H38260" s="4" t="str">
        <v/>
      </c>
      <c r="I38260" s="4" t="str">
        <v/>
      </c>
    </row>
    <row r="38261" spans="5:9" ht="16.5" hidden="1">
      <c r="E38261" s="4" t="str">
        <v/>
      </c>
      <c r="F38261" s="102" t="str">
        <f ca="1">IFERROR(__xludf.DUMMYFUNCTION("IMPORTRANGE(H38261,""IDENTITAS UNIT!D9"")"),"#N/A")</f>
        <v>#N/A</v>
      </c>
      <c r="H38261" s="4" t="str">
        <v/>
      </c>
      <c r="I38261" s="4" t="str">
        <v/>
      </c>
    </row>
    <row r="38262" spans="5:9" ht="16.5" hidden="1">
      <c r="E38262" s="4" t="str">
        <v/>
      </c>
      <c r="F38262" s="102" t="str">
        <f ca="1">IFERROR(__xludf.DUMMYFUNCTION("IMPORTRANGE(H38262,""IDENTITAS UNIT!D9"")"),"#N/A")</f>
        <v>#N/A</v>
      </c>
      <c r="H38262" s="4" t="str">
        <v/>
      </c>
      <c r="I38262" s="4" t="str">
        <v/>
      </c>
    </row>
    <row r="38263" spans="5:9" ht="16.5" hidden="1">
      <c r="E38263" s="4" t="str">
        <v/>
      </c>
      <c r="F38263" s="102" t="str">
        <f ca="1">IFERROR(__xludf.DUMMYFUNCTION("IMPORTRANGE(H38263,""IDENTITAS UNIT!D9"")"),"#N/A")</f>
        <v>#N/A</v>
      </c>
      <c r="H38263" s="4" t="str">
        <v/>
      </c>
      <c r="I38263" s="4" t="str">
        <v/>
      </c>
    </row>
    <row r="38264" spans="5:9" ht="16.5" hidden="1">
      <c r="E38264" s="4" t="str">
        <v/>
      </c>
      <c r="F38264" s="102" t="str">
        <f ca="1">IFERROR(__xludf.DUMMYFUNCTION("IMPORTRANGE(H38264,""IDENTITAS UNIT!D9"")"),"#N/A")</f>
        <v>#N/A</v>
      </c>
      <c r="H38264" s="4" t="str">
        <v/>
      </c>
      <c r="I38264" s="4" t="str">
        <v/>
      </c>
    </row>
    <row r="38265" spans="5:9" ht="16.5" hidden="1">
      <c r="E38265" s="4" t="str">
        <v/>
      </c>
      <c r="F38265" s="102" t="str">
        <f ca="1">IFERROR(__xludf.DUMMYFUNCTION("IMPORTRANGE(H38265,""IDENTITAS UNIT!D9"")"),"#N/A")</f>
        <v>#N/A</v>
      </c>
      <c r="H38265" s="4" t="str">
        <v/>
      </c>
      <c r="I38265" s="4" t="str">
        <v/>
      </c>
    </row>
    <row r="38266" spans="5:9" ht="16.5" hidden="1">
      <c r="E38266" s="4" t="str">
        <v/>
      </c>
      <c r="F38266" s="102" t="str">
        <f ca="1">IFERROR(__xludf.DUMMYFUNCTION("IMPORTRANGE(H38266,""IDENTITAS UNIT!D9"")"),"#N/A")</f>
        <v>#N/A</v>
      </c>
      <c r="H38266" s="4" t="str">
        <v/>
      </c>
      <c r="I38266" s="4" t="str">
        <v/>
      </c>
    </row>
    <row r="38267" spans="5:9" ht="16.5" hidden="1">
      <c r="E38267" s="4" t="str">
        <v/>
      </c>
      <c r="F38267" s="102" t="str">
        <f ca="1">IFERROR(__xludf.DUMMYFUNCTION("IMPORTRANGE(H38267,""IDENTITAS UNIT!D9"")"),"#N/A")</f>
        <v>#N/A</v>
      </c>
      <c r="H38267" s="4" t="str">
        <v/>
      </c>
      <c r="I38267" s="4" t="str">
        <v/>
      </c>
    </row>
    <row r="38268" spans="5:9" ht="16.5" hidden="1">
      <c r="E38268" s="4" t="str">
        <v/>
      </c>
      <c r="F38268" s="102" t="str">
        <f ca="1">IFERROR(__xludf.DUMMYFUNCTION("IMPORTRANGE(H38268,""IDENTITAS UNIT!D9"")"),"#N/A")</f>
        <v>#N/A</v>
      </c>
      <c r="H38268" s="4" t="str">
        <v/>
      </c>
      <c r="I38268" s="4" t="str">
        <v/>
      </c>
    </row>
    <row r="38269" spans="5:9" ht="16.5" hidden="1">
      <c r="E38269" s="4" t="str">
        <v/>
      </c>
      <c r="F38269" s="102" t="str">
        <f ca="1">IFERROR(__xludf.DUMMYFUNCTION("IMPORTRANGE(H38269,""IDENTITAS UNIT!D9"")"),"#N/A")</f>
        <v>#N/A</v>
      </c>
      <c r="H38269" s="4" t="str">
        <v/>
      </c>
      <c r="I38269" s="4" t="str">
        <v/>
      </c>
    </row>
    <row r="38270" spans="5:9" ht="16.5" hidden="1">
      <c r="E38270" s="4" t="str">
        <v/>
      </c>
      <c r="F38270" s="102" t="str">
        <f ca="1">IFERROR(__xludf.DUMMYFUNCTION("IMPORTRANGE(H38270,""IDENTITAS UNIT!D9"")"),"#N/A")</f>
        <v>#N/A</v>
      </c>
      <c r="H38270" s="4" t="str">
        <v/>
      </c>
      <c r="I38270" s="4" t="str">
        <v/>
      </c>
    </row>
    <row r="38271" spans="5:9" ht="16.5" hidden="1">
      <c r="E38271" s="4" t="str">
        <v/>
      </c>
      <c r="F38271" s="102" t="str">
        <f ca="1">IFERROR(__xludf.DUMMYFUNCTION("IMPORTRANGE(H38271,""IDENTITAS UNIT!D9"")"),"#N/A")</f>
        <v>#N/A</v>
      </c>
      <c r="H38271" s="4" t="str">
        <v/>
      </c>
      <c r="I38271" s="4" t="str">
        <v/>
      </c>
    </row>
    <row r="38272" spans="5:9" ht="16.5" hidden="1">
      <c r="E38272" s="4" t="str">
        <v/>
      </c>
      <c r="F38272" s="102" t="str">
        <f ca="1">IFERROR(__xludf.DUMMYFUNCTION("IMPORTRANGE(H38272,""IDENTITAS UNIT!D9"")"),"#N/A")</f>
        <v>#N/A</v>
      </c>
      <c r="H38272" s="4" t="str">
        <v/>
      </c>
      <c r="I38272" s="4" t="str">
        <v/>
      </c>
    </row>
    <row r="38273" spans="5:9" ht="16.5" hidden="1">
      <c r="E38273" s="4" t="str">
        <v/>
      </c>
      <c r="F38273" s="102" t="str">
        <f ca="1">IFERROR(__xludf.DUMMYFUNCTION("IMPORTRANGE(H38273,""IDENTITAS UNIT!D9"")"),"#N/A")</f>
        <v>#N/A</v>
      </c>
      <c r="H38273" s="4" t="str">
        <v/>
      </c>
      <c r="I38273" s="4" t="str">
        <v/>
      </c>
    </row>
    <row r="38274" spans="5:9" ht="16.5" hidden="1">
      <c r="E38274" s="4" t="str">
        <v/>
      </c>
      <c r="F38274" s="102" t="str">
        <f ca="1">IFERROR(__xludf.DUMMYFUNCTION("IMPORTRANGE(H38274,""IDENTITAS UNIT!D9"")"),"#N/A")</f>
        <v>#N/A</v>
      </c>
      <c r="H38274" s="4" t="str">
        <v/>
      </c>
      <c r="I38274" s="4" t="str">
        <v/>
      </c>
    </row>
    <row r="38275" spans="5:9" ht="16.5" hidden="1">
      <c r="E38275" s="4" t="str">
        <v/>
      </c>
      <c r="F38275" s="102" t="str">
        <f ca="1">IFERROR(__xludf.DUMMYFUNCTION("IMPORTRANGE(H38275,""IDENTITAS UNIT!D9"")"),"#N/A")</f>
        <v>#N/A</v>
      </c>
      <c r="H38275" s="4" t="str">
        <v/>
      </c>
      <c r="I38275" s="4" t="str">
        <v/>
      </c>
    </row>
    <row r="38276" spans="5:9" ht="16.5" hidden="1">
      <c r="E38276" s="4" t="str">
        <v/>
      </c>
      <c r="F38276" s="102" t="str">
        <f ca="1">IFERROR(__xludf.DUMMYFUNCTION("IMPORTRANGE(H38276,""IDENTITAS UNIT!D9"")"),"#N/A")</f>
        <v>#N/A</v>
      </c>
      <c r="H38276" s="4" t="str">
        <v/>
      </c>
      <c r="I38276" s="4" t="str">
        <v/>
      </c>
    </row>
    <row r="38277" spans="5:9" ht="16.5" hidden="1">
      <c r="E38277" s="4" t="str">
        <v/>
      </c>
      <c r="F38277" s="102" t="str">
        <f ca="1">IFERROR(__xludf.DUMMYFUNCTION("IMPORTRANGE(H38277,""IDENTITAS UNIT!D9"")"),"#N/A")</f>
        <v>#N/A</v>
      </c>
      <c r="H38277" s="4" t="str">
        <v/>
      </c>
      <c r="I38277" s="4" t="str">
        <v/>
      </c>
    </row>
    <row r="38278" spans="5:9" ht="16.5" hidden="1">
      <c r="E38278" s="4" t="str">
        <v/>
      </c>
      <c r="F38278" s="102" t="str">
        <f ca="1">IFERROR(__xludf.DUMMYFUNCTION("IMPORTRANGE(H38278,""IDENTITAS UNIT!D9"")"),"#N/A")</f>
        <v>#N/A</v>
      </c>
      <c r="H38278" s="4" t="str">
        <v/>
      </c>
      <c r="I38278" s="4" t="str">
        <v/>
      </c>
    </row>
    <row r="38279" spans="5:9" ht="16.5" hidden="1">
      <c r="E38279" s="4" t="str">
        <v/>
      </c>
      <c r="F38279" s="102" t="str">
        <f ca="1">IFERROR(__xludf.DUMMYFUNCTION("IMPORTRANGE(H38279,""IDENTITAS UNIT!D9"")"),"#N/A")</f>
        <v>#N/A</v>
      </c>
      <c r="H38279" s="4" t="str">
        <v/>
      </c>
      <c r="I38279" s="4" t="str">
        <v/>
      </c>
    </row>
    <row r="38280" spans="5:9" ht="16.5" hidden="1">
      <c r="E38280" s="4" t="str">
        <v/>
      </c>
      <c r="F38280" s="102" t="str">
        <f ca="1">IFERROR(__xludf.DUMMYFUNCTION("IMPORTRANGE(H38280,""IDENTITAS UNIT!D9"")"),"#N/A")</f>
        <v>#N/A</v>
      </c>
      <c r="H38280" s="4" t="str">
        <v/>
      </c>
      <c r="I38280" s="4" t="str">
        <v/>
      </c>
    </row>
    <row r="38281" spans="5:9" ht="16.5" hidden="1">
      <c r="E38281" s="4" t="str">
        <v/>
      </c>
      <c r="F38281" s="102" t="str">
        <f ca="1">IFERROR(__xludf.DUMMYFUNCTION("IMPORTRANGE(H38281,""IDENTITAS UNIT!D9"")"),"#N/A")</f>
        <v>#N/A</v>
      </c>
      <c r="H38281" s="4" t="str">
        <v/>
      </c>
      <c r="I38281" s="4" t="str">
        <v/>
      </c>
    </row>
    <row r="38282" spans="5:9" ht="16.5" hidden="1">
      <c r="E38282" s="4" t="str">
        <v/>
      </c>
      <c r="F38282" s="102" t="str">
        <f ca="1">IFERROR(__xludf.DUMMYFUNCTION("IMPORTRANGE(H38282,""IDENTITAS UNIT!D9"")"),"#N/A")</f>
        <v>#N/A</v>
      </c>
      <c r="H38282" s="4" t="str">
        <v/>
      </c>
      <c r="I38282" s="4" t="str">
        <v/>
      </c>
    </row>
    <row r="38283" spans="5:9" ht="16.5" hidden="1">
      <c r="E38283" s="4" t="str">
        <v/>
      </c>
      <c r="F38283" s="102" t="str">
        <f ca="1">IFERROR(__xludf.DUMMYFUNCTION("IMPORTRANGE(H38283,""IDENTITAS UNIT!D9"")"),"#N/A")</f>
        <v>#N/A</v>
      </c>
      <c r="H38283" s="4" t="str">
        <v/>
      </c>
      <c r="I38283" s="4" t="str">
        <v/>
      </c>
    </row>
    <row r="38284" spans="5:9" ht="16.5" hidden="1">
      <c r="E38284" s="4" t="str">
        <v/>
      </c>
      <c r="F38284" s="102" t="str">
        <f ca="1">IFERROR(__xludf.DUMMYFUNCTION("IMPORTRANGE(H38284,""IDENTITAS UNIT!D9"")"),"#N/A")</f>
        <v>#N/A</v>
      </c>
      <c r="H38284" s="4" t="str">
        <v/>
      </c>
      <c r="I38284" s="4" t="str">
        <v/>
      </c>
    </row>
    <row r="38285" spans="5:9" ht="16.5" hidden="1">
      <c r="E38285" s="4" t="str">
        <v/>
      </c>
      <c r="F38285" s="102" t="str">
        <f ca="1">IFERROR(__xludf.DUMMYFUNCTION("IMPORTRANGE(H38285,""IDENTITAS UNIT!D9"")"),"#N/A")</f>
        <v>#N/A</v>
      </c>
      <c r="H38285" s="4" t="str">
        <v/>
      </c>
      <c r="I38285" s="4" t="str">
        <v/>
      </c>
    </row>
    <row r="38286" spans="5:9" ht="16.5" hidden="1">
      <c r="E38286" s="4" t="str">
        <v/>
      </c>
      <c r="F38286" s="102" t="str">
        <f ca="1">IFERROR(__xludf.DUMMYFUNCTION("IMPORTRANGE(H38286,""IDENTITAS UNIT!D9"")"),"#N/A")</f>
        <v>#N/A</v>
      </c>
      <c r="H38286" s="4" t="str">
        <v/>
      </c>
      <c r="I38286" s="4" t="str">
        <v/>
      </c>
    </row>
    <row r="38287" spans="5:9" ht="16.5" hidden="1">
      <c r="E38287" s="4" t="str">
        <v/>
      </c>
      <c r="F38287" s="102" t="str">
        <f ca="1">IFERROR(__xludf.DUMMYFUNCTION("IMPORTRANGE(H38287,""IDENTITAS UNIT!D9"")"),"#N/A")</f>
        <v>#N/A</v>
      </c>
      <c r="H38287" s="4" t="str">
        <v/>
      </c>
      <c r="I38287" s="4" t="str">
        <v/>
      </c>
    </row>
    <row r="38288" spans="5:9" ht="16.5" hidden="1">
      <c r="E38288" s="4" t="str">
        <v/>
      </c>
      <c r="F38288" s="102" t="str">
        <f ca="1">IFERROR(__xludf.DUMMYFUNCTION("IMPORTRANGE(H38288,""IDENTITAS UNIT!D9"")"),"#N/A")</f>
        <v>#N/A</v>
      </c>
      <c r="H38288" s="4" t="str">
        <v/>
      </c>
      <c r="I38288" s="4" t="str">
        <v/>
      </c>
    </row>
    <row r="38289" spans="5:9" ht="16.5" hidden="1">
      <c r="E38289" s="4" t="str">
        <v/>
      </c>
      <c r="F38289" s="102" t="str">
        <f ca="1">IFERROR(__xludf.DUMMYFUNCTION("IMPORTRANGE(H38289,""IDENTITAS UNIT!D9"")"),"#N/A")</f>
        <v>#N/A</v>
      </c>
      <c r="H38289" s="4" t="str">
        <v/>
      </c>
      <c r="I38289" s="4" t="str">
        <v/>
      </c>
    </row>
    <row r="38290" spans="5:9" ht="16.5" hidden="1">
      <c r="E38290" s="4" t="str">
        <v/>
      </c>
      <c r="F38290" s="102" t="str">
        <f ca="1">IFERROR(__xludf.DUMMYFUNCTION("IMPORTRANGE(H38290,""IDENTITAS UNIT!D9"")"),"#N/A")</f>
        <v>#N/A</v>
      </c>
      <c r="H38290" s="4" t="str">
        <v/>
      </c>
      <c r="I38290" s="4" t="str">
        <v/>
      </c>
    </row>
    <row r="38291" spans="5:9" ht="16.5" hidden="1">
      <c r="E38291" s="4" t="str">
        <v/>
      </c>
      <c r="F38291" s="102" t="str">
        <f ca="1">IFERROR(__xludf.DUMMYFUNCTION("IMPORTRANGE(H38291,""IDENTITAS UNIT!D9"")"),"#N/A")</f>
        <v>#N/A</v>
      </c>
      <c r="H38291" s="4" t="str">
        <v/>
      </c>
      <c r="I38291" s="4" t="str">
        <v/>
      </c>
    </row>
    <row r="38292" spans="5:9" ht="16.5" hidden="1">
      <c r="E38292" s="4" t="str">
        <v/>
      </c>
      <c r="F38292" s="102" t="str">
        <f ca="1">IFERROR(__xludf.DUMMYFUNCTION("IMPORTRANGE(H38292,""IDENTITAS UNIT!D9"")"),"#N/A")</f>
        <v>#N/A</v>
      </c>
      <c r="H38292" s="4" t="str">
        <v/>
      </c>
      <c r="I38292" s="4" t="str">
        <v/>
      </c>
    </row>
    <row r="38293" spans="5:9" ht="16.5" hidden="1">
      <c r="E38293" s="4" t="str">
        <v/>
      </c>
      <c r="F38293" s="102" t="str">
        <f ca="1">IFERROR(__xludf.DUMMYFUNCTION("IMPORTRANGE(H38293,""IDENTITAS UNIT!D9"")"),"#N/A")</f>
        <v>#N/A</v>
      </c>
      <c r="H38293" s="4" t="str">
        <v/>
      </c>
      <c r="I38293" s="4" t="str">
        <v/>
      </c>
    </row>
    <row r="38294" spans="5:9" ht="16.5" hidden="1">
      <c r="E38294" s="4" t="str">
        <v/>
      </c>
      <c r="F38294" s="102" t="str">
        <f ca="1">IFERROR(__xludf.DUMMYFUNCTION("IMPORTRANGE(H38294,""IDENTITAS UNIT!D9"")"),"#N/A")</f>
        <v>#N/A</v>
      </c>
      <c r="H38294" s="4" t="str">
        <v/>
      </c>
      <c r="I38294" s="4" t="str">
        <v/>
      </c>
    </row>
    <row r="38295" spans="5:9" ht="16.5" hidden="1">
      <c r="E38295" s="4" t="str">
        <v/>
      </c>
      <c r="F38295" s="102" t="str">
        <f ca="1">IFERROR(__xludf.DUMMYFUNCTION("IMPORTRANGE(H38295,""IDENTITAS UNIT!D9"")"),"#N/A")</f>
        <v>#N/A</v>
      </c>
      <c r="H38295" s="4" t="str">
        <v/>
      </c>
      <c r="I38295" s="4" t="str">
        <v/>
      </c>
    </row>
    <row r="38296" spans="5:9" ht="16.5" hidden="1">
      <c r="E38296" s="4" t="str">
        <v/>
      </c>
      <c r="F38296" s="102" t="str">
        <f ca="1">IFERROR(__xludf.DUMMYFUNCTION("IMPORTRANGE(H38296,""IDENTITAS UNIT!D9"")"),"#N/A")</f>
        <v>#N/A</v>
      </c>
      <c r="H38296" s="4" t="str">
        <v/>
      </c>
      <c r="I38296" s="4" t="str">
        <v/>
      </c>
    </row>
    <row r="38297" spans="5:9" ht="16.5" hidden="1">
      <c r="E38297" s="4" t="str">
        <v/>
      </c>
      <c r="F38297" s="102" t="str">
        <f ca="1">IFERROR(__xludf.DUMMYFUNCTION("IMPORTRANGE(H38297,""IDENTITAS UNIT!D9"")"),"#N/A")</f>
        <v>#N/A</v>
      </c>
      <c r="H38297" s="4" t="str">
        <v/>
      </c>
      <c r="I38297" s="4" t="str">
        <v/>
      </c>
    </row>
    <row r="38298" spans="5:9" ht="16.5" hidden="1">
      <c r="E38298" s="4" t="str">
        <v/>
      </c>
      <c r="F38298" s="102" t="str">
        <f ca="1">IFERROR(__xludf.DUMMYFUNCTION("IMPORTRANGE(H38298,""IDENTITAS UNIT!D9"")"),"#N/A")</f>
        <v>#N/A</v>
      </c>
      <c r="H38298" s="4" t="str">
        <v/>
      </c>
      <c r="I38298" s="4" t="str">
        <v/>
      </c>
    </row>
    <row r="38299" spans="5:9" ht="16.5" hidden="1">
      <c r="E38299" s="4" t="str">
        <v/>
      </c>
      <c r="F38299" s="102" t="str">
        <f ca="1">IFERROR(__xludf.DUMMYFUNCTION("IMPORTRANGE(H38299,""IDENTITAS UNIT!D9"")"),"#N/A")</f>
        <v>#N/A</v>
      </c>
      <c r="H38299" s="4" t="str">
        <v/>
      </c>
      <c r="I38299" s="4" t="str">
        <v/>
      </c>
    </row>
    <row r="38300" spans="5:9" ht="16.5" hidden="1">
      <c r="E38300" s="4" t="str">
        <v/>
      </c>
      <c r="F38300" s="102" t="str">
        <f ca="1">IFERROR(__xludf.DUMMYFUNCTION("IMPORTRANGE(H38300,""IDENTITAS UNIT!D9"")"),"#N/A")</f>
        <v>#N/A</v>
      </c>
      <c r="H38300" s="4" t="str">
        <v/>
      </c>
      <c r="I38300" s="4" t="str">
        <v/>
      </c>
    </row>
    <row r="38301" spans="5:9" ht="16.5" hidden="1">
      <c r="E38301" s="4" t="str">
        <v/>
      </c>
      <c r="F38301" s="102" t="str">
        <f ca="1">IFERROR(__xludf.DUMMYFUNCTION("IMPORTRANGE(H38301,""IDENTITAS UNIT!D9"")"),"#N/A")</f>
        <v>#N/A</v>
      </c>
      <c r="H38301" s="4" t="str">
        <v/>
      </c>
      <c r="I38301" s="4" t="str">
        <v/>
      </c>
    </row>
    <row r="38302" spans="5:9" ht="16.5" hidden="1">
      <c r="E38302" s="4" t="str">
        <v/>
      </c>
      <c r="F38302" s="102" t="str">
        <f ca="1">IFERROR(__xludf.DUMMYFUNCTION("IMPORTRANGE(H38302,""IDENTITAS UNIT!D9"")"),"#N/A")</f>
        <v>#N/A</v>
      </c>
      <c r="H38302" s="4" t="str">
        <v/>
      </c>
      <c r="I38302" s="4" t="str">
        <v/>
      </c>
    </row>
    <row r="38303" spans="5:9" ht="16.5" hidden="1">
      <c r="E38303" s="4" t="str">
        <v/>
      </c>
      <c r="F38303" s="102" t="str">
        <f ca="1">IFERROR(__xludf.DUMMYFUNCTION("IMPORTRANGE(H38303,""IDENTITAS UNIT!D9"")"),"#N/A")</f>
        <v>#N/A</v>
      </c>
      <c r="H38303" s="4" t="str">
        <v/>
      </c>
      <c r="I38303" s="4" t="str">
        <v/>
      </c>
    </row>
    <row r="38304" spans="5:9" ht="16.5" hidden="1">
      <c r="E38304" s="4" t="str">
        <v/>
      </c>
      <c r="F38304" s="102" t="str">
        <f ca="1">IFERROR(__xludf.DUMMYFUNCTION("IMPORTRANGE(H38304,""IDENTITAS UNIT!D9"")"),"#N/A")</f>
        <v>#N/A</v>
      </c>
      <c r="H38304" s="4" t="str">
        <v/>
      </c>
      <c r="I38304" s="4" t="str">
        <v/>
      </c>
    </row>
    <row r="38305" spans="5:9" ht="16.5" hidden="1">
      <c r="E38305" s="4" t="str">
        <v/>
      </c>
      <c r="F38305" s="102" t="str">
        <f ca="1">IFERROR(__xludf.DUMMYFUNCTION("IMPORTRANGE(H38305,""IDENTITAS UNIT!D9"")"),"#N/A")</f>
        <v>#N/A</v>
      </c>
      <c r="H38305" s="4" t="str">
        <v/>
      </c>
      <c r="I38305" s="4" t="str">
        <v/>
      </c>
    </row>
    <row r="38306" spans="5:9" ht="16.5" hidden="1">
      <c r="E38306" s="4" t="str">
        <v/>
      </c>
      <c r="F38306" s="102" t="str">
        <f ca="1">IFERROR(__xludf.DUMMYFUNCTION("IMPORTRANGE(H38306,""IDENTITAS UNIT!D9"")"),"#N/A")</f>
        <v>#N/A</v>
      </c>
      <c r="H38306" s="4" t="str">
        <v/>
      </c>
      <c r="I38306" s="4" t="str">
        <v/>
      </c>
    </row>
    <row r="38307" spans="5:9" ht="16.5" hidden="1">
      <c r="E38307" s="4" t="str">
        <v/>
      </c>
      <c r="F38307" s="102" t="str">
        <f ca="1">IFERROR(__xludf.DUMMYFUNCTION("IMPORTRANGE(H38307,""IDENTITAS UNIT!D9"")"),"#N/A")</f>
        <v>#N/A</v>
      </c>
      <c r="H38307" s="4" t="str">
        <v/>
      </c>
      <c r="I38307" s="4" t="str">
        <v/>
      </c>
    </row>
    <row r="38308" spans="5:9" ht="16.5" hidden="1">
      <c r="E38308" s="4" t="str">
        <v/>
      </c>
      <c r="F38308" s="102" t="str">
        <f ca="1">IFERROR(__xludf.DUMMYFUNCTION("IMPORTRANGE(H38308,""IDENTITAS UNIT!D9"")"),"#N/A")</f>
        <v>#N/A</v>
      </c>
      <c r="H38308" s="4" t="str">
        <v/>
      </c>
      <c r="I38308" s="4" t="str">
        <v/>
      </c>
    </row>
    <row r="38309" spans="5:9" ht="16.5" hidden="1">
      <c r="E38309" s="4" t="str">
        <v/>
      </c>
      <c r="F38309" s="102" t="str">
        <f ca="1">IFERROR(__xludf.DUMMYFUNCTION("IMPORTRANGE(H38309,""IDENTITAS UNIT!D9"")"),"#N/A")</f>
        <v>#N/A</v>
      </c>
      <c r="H38309" s="4" t="str">
        <v/>
      </c>
      <c r="I38309" s="4" t="str">
        <v/>
      </c>
    </row>
    <row r="38310" spans="5:9" ht="16.5" hidden="1">
      <c r="E38310" s="4" t="str">
        <v/>
      </c>
      <c r="F38310" s="102" t="str">
        <f ca="1">IFERROR(__xludf.DUMMYFUNCTION("IMPORTRANGE(H38310,""IDENTITAS UNIT!D9"")"),"#N/A")</f>
        <v>#N/A</v>
      </c>
      <c r="H38310" s="4" t="str">
        <v/>
      </c>
      <c r="I38310" s="4" t="str">
        <v/>
      </c>
    </row>
    <row r="38311" spans="5:9" ht="16.5" hidden="1">
      <c r="E38311" s="4" t="str">
        <v/>
      </c>
      <c r="F38311" s="102" t="str">
        <f ca="1">IFERROR(__xludf.DUMMYFUNCTION("IMPORTRANGE(H38311,""IDENTITAS UNIT!D9"")"),"#N/A")</f>
        <v>#N/A</v>
      </c>
      <c r="H38311" s="4" t="str">
        <v/>
      </c>
      <c r="I38311" s="4" t="str">
        <v/>
      </c>
    </row>
    <row r="38312" spans="5:9" ht="16.5" hidden="1">
      <c r="E38312" s="4" t="str">
        <v/>
      </c>
      <c r="F38312" s="102" t="str">
        <f ca="1">IFERROR(__xludf.DUMMYFUNCTION("IMPORTRANGE(H38312,""IDENTITAS UNIT!D9"")"),"#N/A")</f>
        <v>#N/A</v>
      </c>
      <c r="H38312" s="4" t="str">
        <v/>
      </c>
      <c r="I38312" s="4" t="str">
        <v/>
      </c>
    </row>
    <row r="38313" spans="5:9" ht="16.5" hidden="1">
      <c r="E38313" s="4" t="str">
        <v/>
      </c>
      <c r="F38313" s="102" t="str">
        <f ca="1">IFERROR(__xludf.DUMMYFUNCTION("IMPORTRANGE(H38313,""IDENTITAS UNIT!D9"")"),"#N/A")</f>
        <v>#N/A</v>
      </c>
      <c r="H38313" s="4" t="str">
        <v/>
      </c>
      <c r="I38313" s="4" t="str">
        <v/>
      </c>
    </row>
    <row r="38314" spans="5:9" ht="16.5" hidden="1">
      <c r="E38314" s="4" t="str">
        <v/>
      </c>
      <c r="F38314" s="102" t="str">
        <f ca="1">IFERROR(__xludf.DUMMYFUNCTION("IMPORTRANGE(H38314,""IDENTITAS UNIT!D9"")"),"#N/A")</f>
        <v>#N/A</v>
      </c>
      <c r="H38314" s="4" t="str">
        <v/>
      </c>
      <c r="I38314" s="4" t="str">
        <v/>
      </c>
    </row>
    <row r="38315" spans="5:9" ht="16.5" hidden="1">
      <c r="E38315" s="4" t="str">
        <v/>
      </c>
      <c r="F38315" s="102" t="str">
        <f ca="1">IFERROR(__xludf.DUMMYFUNCTION("IMPORTRANGE(H38315,""IDENTITAS UNIT!D9"")"),"#N/A")</f>
        <v>#N/A</v>
      </c>
      <c r="H38315" s="4" t="str">
        <v/>
      </c>
      <c r="I38315" s="4" t="str">
        <v/>
      </c>
    </row>
    <row r="38316" spans="5:9" ht="16.5" hidden="1">
      <c r="E38316" s="4" t="str">
        <v/>
      </c>
      <c r="F38316" s="102" t="str">
        <f ca="1">IFERROR(__xludf.DUMMYFUNCTION("IMPORTRANGE(H38316,""IDENTITAS UNIT!D9"")"),"#N/A")</f>
        <v>#N/A</v>
      </c>
      <c r="H38316" s="4" t="str">
        <v/>
      </c>
      <c r="I38316" s="4" t="str">
        <v/>
      </c>
    </row>
    <row r="38317" spans="5:9" ht="16.5" hidden="1">
      <c r="E38317" s="4" t="str">
        <v/>
      </c>
      <c r="F38317" s="102" t="str">
        <f ca="1">IFERROR(__xludf.DUMMYFUNCTION("IMPORTRANGE(H38317,""IDENTITAS UNIT!D9"")"),"#N/A")</f>
        <v>#N/A</v>
      </c>
      <c r="H38317" s="4" t="str">
        <v/>
      </c>
      <c r="I38317" s="4" t="str">
        <v/>
      </c>
    </row>
    <row r="38318" spans="5:9" ht="16.5" hidden="1">
      <c r="E38318" s="4" t="str">
        <v/>
      </c>
      <c r="F38318" s="102" t="str">
        <f ca="1">IFERROR(__xludf.DUMMYFUNCTION("IMPORTRANGE(H38318,""IDENTITAS UNIT!D9"")"),"#N/A")</f>
        <v>#N/A</v>
      </c>
      <c r="H38318" s="4" t="str">
        <v/>
      </c>
      <c r="I38318" s="4" t="str">
        <v/>
      </c>
    </row>
    <row r="38319" spans="5:9" ht="16.5" hidden="1">
      <c r="E38319" s="4" t="str">
        <v/>
      </c>
      <c r="F38319" s="102" t="str">
        <f ca="1">IFERROR(__xludf.DUMMYFUNCTION("IMPORTRANGE(H38319,""IDENTITAS UNIT!D9"")"),"#N/A")</f>
        <v>#N/A</v>
      </c>
      <c r="H38319" s="4" t="str">
        <v/>
      </c>
      <c r="I38319" s="4" t="str">
        <v/>
      </c>
    </row>
    <row r="38320" spans="5:9" ht="16.5" hidden="1">
      <c r="E38320" s="4" t="str">
        <v/>
      </c>
      <c r="F38320" s="102" t="str">
        <f ca="1">IFERROR(__xludf.DUMMYFUNCTION("IMPORTRANGE(H38320,""IDENTITAS UNIT!D9"")"),"#N/A")</f>
        <v>#N/A</v>
      </c>
      <c r="H38320" s="4" t="str">
        <v/>
      </c>
      <c r="I38320" s="4" t="str">
        <v/>
      </c>
    </row>
    <row r="38321" spans="5:9" ht="16.5" hidden="1">
      <c r="E38321" s="4" t="str">
        <v/>
      </c>
      <c r="F38321" s="102" t="str">
        <f ca="1">IFERROR(__xludf.DUMMYFUNCTION("IMPORTRANGE(H38321,""IDENTITAS UNIT!D9"")"),"#N/A")</f>
        <v>#N/A</v>
      </c>
      <c r="H38321" s="4" t="str">
        <v/>
      </c>
      <c r="I38321" s="4" t="str">
        <v/>
      </c>
    </row>
    <row r="38322" spans="5:9" ht="16.5" hidden="1">
      <c r="E38322" s="4" t="str">
        <v/>
      </c>
      <c r="F38322" s="102" t="str">
        <f ca="1">IFERROR(__xludf.DUMMYFUNCTION("IMPORTRANGE(H38322,""IDENTITAS UNIT!D9"")"),"#N/A")</f>
        <v>#N/A</v>
      </c>
      <c r="H38322" s="4" t="str">
        <v/>
      </c>
      <c r="I38322" s="4" t="str">
        <v/>
      </c>
    </row>
    <row r="38323" spans="5:9" ht="16.5" hidden="1">
      <c r="E38323" s="4" t="str">
        <v/>
      </c>
      <c r="F38323" s="102" t="str">
        <f ca="1">IFERROR(__xludf.DUMMYFUNCTION("IMPORTRANGE(H38323,""IDENTITAS UNIT!D9"")"),"#N/A")</f>
        <v>#N/A</v>
      </c>
      <c r="H38323" s="4" t="str">
        <v/>
      </c>
      <c r="I38323" s="4" t="str">
        <v/>
      </c>
    </row>
    <row r="38324" spans="5:9" ht="16.5" hidden="1">
      <c r="E38324" s="4" t="str">
        <v/>
      </c>
      <c r="F38324" s="102" t="str">
        <f ca="1">IFERROR(__xludf.DUMMYFUNCTION("IMPORTRANGE(H38324,""IDENTITAS UNIT!D9"")"),"#N/A")</f>
        <v>#N/A</v>
      </c>
      <c r="H38324" s="4" t="str">
        <v/>
      </c>
      <c r="I38324" s="4" t="str">
        <v/>
      </c>
    </row>
    <row r="38325" spans="5:9" ht="16.5" hidden="1">
      <c r="E38325" s="4" t="str">
        <v/>
      </c>
      <c r="F38325" s="102" t="str">
        <f ca="1">IFERROR(__xludf.DUMMYFUNCTION("IMPORTRANGE(H38325,""IDENTITAS UNIT!D9"")"),"#N/A")</f>
        <v>#N/A</v>
      </c>
      <c r="H38325" s="4" t="str">
        <v/>
      </c>
      <c r="I38325" s="4" t="str">
        <v/>
      </c>
    </row>
    <row r="38326" spans="5:9" ht="16.5" hidden="1">
      <c r="E38326" s="4" t="str">
        <v/>
      </c>
      <c r="F38326" s="102" t="str">
        <f ca="1">IFERROR(__xludf.DUMMYFUNCTION("IMPORTRANGE(H38326,""IDENTITAS UNIT!D9"")"),"#N/A")</f>
        <v>#N/A</v>
      </c>
      <c r="H38326" s="4" t="str">
        <v/>
      </c>
      <c r="I38326" s="4" t="str">
        <v/>
      </c>
    </row>
    <row r="38327" spans="5:9" ht="16.5" hidden="1">
      <c r="E38327" s="4" t="str">
        <v/>
      </c>
      <c r="F38327" s="102" t="str">
        <f ca="1">IFERROR(__xludf.DUMMYFUNCTION("IMPORTRANGE(H38327,""IDENTITAS UNIT!D9"")"),"#N/A")</f>
        <v>#N/A</v>
      </c>
      <c r="H38327" s="4" t="str">
        <v/>
      </c>
      <c r="I38327" s="4" t="str">
        <v/>
      </c>
    </row>
    <row r="38328" spans="5:9" ht="16.5" hidden="1">
      <c r="E38328" s="4" t="str">
        <v/>
      </c>
      <c r="F38328" s="102" t="str">
        <f ca="1">IFERROR(__xludf.DUMMYFUNCTION("IMPORTRANGE(H38328,""IDENTITAS UNIT!D9"")"),"#N/A")</f>
        <v>#N/A</v>
      </c>
      <c r="H38328" s="4" t="str">
        <v/>
      </c>
      <c r="I38328" s="4" t="str">
        <v/>
      </c>
    </row>
    <row r="38329" spans="5:9" ht="16.5" hidden="1">
      <c r="E38329" s="4" t="str">
        <v/>
      </c>
      <c r="F38329" s="102" t="str">
        <f ca="1">IFERROR(__xludf.DUMMYFUNCTION("IMPORTRANGE(H38329,""IDENTITAS UNIT!D9"")"),"#N/A")</f>
        <v>#N/A</v>
      </c>
      <c r="H38329" s="4" t="str">
        <v/>
      </c>
      <c r="I38329" s="4" t="str">
        <v/>
      </c>
    </row>
    <row r="38330" spans="5:9" ht="16.5" hidden="1">
      <c r="E38330" s="4" t="str">
        <v/>
      </c>
      <c r="F38330" s="102" t="str">
        <f ca="1">IFERROR(__xludf.DUMMYFUNCTION("IMPORTRANGE(H38330,""IDENTITAS UNIT!D9"")"),"#N/A")</f>
        <v>#N/A</v>
      </c>
      <c r="H38330" s="4" t="str">
        <v/>
      </c>
      <c r="I38330" s="4" t="str">
        <v/>
      </c>
    </row>
    <row r="38331" spans="5:9" ht="16.5" hidden="1">
      <c r="E38331" s="4" t="str">
        <v/>
      </c>
      <c r="F38331" s="102" t="str">
        <f ca="1">IFERROR(__xludf.DUMMYFUNCTION("IMPORTRANGE(H38331,""IDENTITAS UNIT!D9"")"),"#N/A")</f>
        <v>#N/A</v>
      </c>
      <c r="H38331" s="4" t="str">
        <v/>
      </c>
      <c r="I38331" s="4" t="str">
        <v/>
      </c>
    </row>
    <row r="38332" spans="5:9" ht="16.5" hidden="1">
      <c r="E38332" s="4" t="str">
        <v/>
      </c>
      <c r="F38332" s="102" t="str">
        <f ca="1">IFERROR(__xludf.DUMMYFUNCTION("IMPORTRANGE(H38332,""IDENTITAS UNIT!D9"")"),"#N/A")</f>
        <v>#N/A</v>
      </c>
      <c r="H38332" s="4" t="str">
        <v/>
      </c>
      <c r="I38332" s="4" t="str">
        <v/>
      </c>
    </row>
    <row r="38333" spans="5:9" ht="16.5" hidden="1">
      <c r="E38333" s="4" t="str">
        <v/>
      </c>
      <c r="F38333" s="102" t="str">
        <f ca="1">IFERROR(__xludf.DUMMYFUNCTION("IMPORTRANGE(H38333,""IDENTITAS UNIT!D9"")"),"#N/A")</f>
        <v>#N/A</v>
      </c>
      <c r="H38333" s="4" t="str">
        <v/>
      </c>
      <c r="I38333" s="4" t="str">
        <v/>
      </c>
    </row>
    <row r="38334" spans="5:9" ht="16.5" hidden="1">
      <c r="E38334" s="4" t="str">
        <v/>
      </c>
      <c r="F38334" s="102" t="str">
        <f ca="1">IFERROR(__xludf.DUMMYFUNCTION("IMPORTRANGE(H38334,""IDENTITAS UNIT!D9"")"),"#N/A")</f>
        <v>#N/A</v>
      </c>
      <c r="H38334" s="4" t="str">
        <v/>
      </c>
      <c r="I38334" s="4" t="str">
        <v/>
      </c>
    </row>
    <row r="38335" spans="5:9" ht="16.5" hidden="1">
      <c r="E38335" s="4" t="str">
        <v/>
      </c>
      <c r="F38335" s="102" t="str">
        <f ca="1">IFERROR(__xludf.DUMMYFUNCTION("IMPORTRANGE(H38335,""IDENTITAS UNIT!D9"")"),"#N/A")</f>
        <v>#N/A</v>
      </c>
      <c r="H38335" s="4" t="str">
        <v/>
      </c>
      <c r="I38335" s="4" t="str">
        <v/>
      </c>
    </row>
    <row r="38336" spans="5:9" ht="16.5" hidden="1">
      <c r="E38336" s="4" t="str">
        <v/>
      </c>
      <c r="F38336" s="102" t="str">
        <f ca="1">IFERROR(__xludf.DUMMYFUNCTION("IMPORTRANGE(H38336,""IDENTITAS UNIT!D9"")"),"#N/A")</f>
        <v>#N/A</v>
      </c>
      <c r="H38336" s="4" t="str">
        <v/>
      </c>
      <c r="I38336" s="4" t="str">
        <v/>
      </c>
    </row>
    <row r="38337" spans="5:9" ht="16.5" hidden="1">
      <c r="E38337" s="4" t="str">
        <v/>
      </c>
      <c r="F38337" s="102" t="str">
        <f ca="1">IFERROR(__xludf.DUMMYFUNCTION("IMPORTRANGE(H38337,""IDENTITAS UNIT!D9"")"),"#N/A")</f>
        <v>#N/A</v>
      </c>
      <c r="H38337" s="4" t="str">
        <v/>
      </c>
      <c r="I38337" s="4" t="str">
        <v/>
      </c>
    </row>
    <row r="38338" spans="5:9" ht="16.5" hidden="1">
      <c r="E38338" s="4" t="str">
        <v/>
      </c>
      <c r="F38338" s="102" t="str">
        <f ca="1">IFERROR(__xludf.DUMMYFUNCTION("IMPORTRANGE(H38338,""IDENTITAS UNIT!D9"")"),"#N/A")</f>
        <v>#N/A</v>
      </c>
      <c r="H38338" s="4" t="str">
        <v/>
      </c>
      <c r="I38338" s="4" t="str">
        <v/>
      </c>
    </row>
    <row r="38339" spans="5:9" ht="16.5" hidden="1">
      <c r="E38339" s="4" t="str">
        <v/>
      </c>
      <c r="F38339" s="102" t="str">
        <f ca="1">IFERROR(__xludf.DUMMYFUNCTION("IMPORTRANGE(H38339,""IDENTITAS UNIT!D9"")"),"#N/A")</f>
        <v>#N/A</v>
      </c>
      <c r="H38339" s="4" t="str">
        <v/>
      </c>
      <c r="I38339" s="4" t="str">
        <v/>
      </c>
    </row>
    <row r="38340" spans="5:9" ht="16.5" hidden="1">
      <c r="E38340" s="4" t="str">
        <v/>
      </c>
      <c r="F38340" s="102" t="str">
        <f ca="1">IFERROR(__xludf.DUMMYFUNCTION("IMPORTRANGE(H38340,""IDENTITAS UNIT!D9"")"),"#N/A")</f>
        <v>#N/A</v>
      </c>
      <c r="H38340" s="4" t="str">
        <v/>
      </c>
      <c r="I38340" s="4" t="str">
        <v/>
      </c>
    </row>
    <row r="38341" spans="5:9" ht="16.5" hidden="1">
      <c r="E38341" s="4" t="str">
        <v/>
      </c>
      <c r="F38341" s="102" t="str">
        <f ca="1">IFERROR(__xludf.DUMMYFUNCTION("IMPORTRANGE(H38341,""IDENTITAS UNIT!D9"")"),"#N/A")</f>
        <v>#N/A</v>
      </c>
      <c r="H38341" s="4" t="str">
        <v/>
      </c>
      <c r="I38341" s="4" t="str">
        <v/>
      </c>
    </row>
    <row r="38342" spans="5:9" ht="16.5" hidden="1">
      <c r="E38342" s="4" t="str">
        <v/>
      </c>
      <c r="F38342" s="102" t="str">
        <f ca="1">IFERROR(__xludf.DUMMYFUNCTION("IMPORTRANGE(H38342,""IDENTITAS UNIT!D9"")"),"#N/A")</f>
        <v>#N/A</v>
      </c>
      <c r="H38342" s="4" t="str">
        <v/>
      </c>
      <c r="I38342" s="4" t="str">
        <v/>
      </c>
    </row>
    <row r="38343" spans="5:9" ht="16.5" hidden="1">
      <c r="E38343" s="4" t="str">
        <v/>
      </c>
      <c r="F38343" s="102" t="str">
        <f ca="1">IFERROR(__xludf.DUMMYFUNCTION("IMPORTRANGE(H38343,""IDENTITAS UNIT!D9"")"),"#N/A")</f>
        <v>#N/A</v>
      </c>
      <c r="H38343" s="4" t="str">
        <v/>
      </c>
      <c r="I38343" s="4" t="str">
        <v/>
      </c>
    </row>
    <row r="38344" spans="5:9" ht="16.5" hidden="1">
      <c r="E38344" s="4" t="str">
        <v/>
      </c>
      <c r="F38344" s="102" t="str">
        <f ca="1">IFERROR(__xludf.DUMMYFUNCTION("IMPORTRANGE(H38344,""IDENTITAS UNIT!D9"")"),"#N/A")</f>
        <v>#N/A</v>
      </c>
      <c r="H38344" s="4" t="str">
        <v/>
      </c>
      <c r="I38344" s="4" t="str">
        <v/>
      </c>
    </row>
    <row r="38345" spans="5:9" ht="16.5" hidden="1">
      <c r="E38345" s="4" t="str">
        <v/>
      </c>
      <c r="F38345" s="102" t="str">
        <f ca="1">IFERROR(__xludf.DUMMYFUNCTION("IMPORTRANGE(H38345,""IDENTITAS UNIT!D9"")"),"#N/A")</f>
        <v>#N/A</v>
      </c>
      <c r="H38345" s="4" t="str">
        <v/>
      </c>
      <c r="I38345" s="4" t="str">
        <v/>
      </c>
    </row>
    <row r="38346" spans="5:9" ht="16.5" hidden="1">
      <c r="E38346" s="4" t="str">
        <v/>
      </c>
      <c r="F38346" s="102" t="str">
        <f ca="1">IFERROR(__xludf.DUMMYFUNCTION("IMPORTRANGE(H38346,""IDENTITAS UNIT!D9"")"),"#N/A")</f>
        <v>#N/A</v>
      </c>
      <c r="H38346" s="4" t="str">
        <v/>
      </c>
      <c r="I38346" s="4" t="str">
        <v/>
      </c>
    </row>
    <row r="38347" spans="5:9" ht="16.5" hidden="1">
      <c r="E38347" s="4" t="str">
        <v/>
      </c>
      <c r="F38347" s="102" t="str">
        <f ca="1">IFERROR(__xludf.DUMMYFUNCTION("IMPORTRANGE(H38347,""IDENTITAS UNIT!D9"")"),"#N/A")</f>
        <v>#N/A</v>
      </c>
      <c r="H38347" s="4" t="str">
        <v/>
      </c>
      <c r="I38347" s="4" t="str">
        <v/>
      </c>
    </row>
    <row r="38348" spans="5:9" ht="16.5" hidden="1">
      <c r="E38348" s="4" t="str">
        <v/>
      </c>
      <c r="F38348" s="102" t="str">
        <f ca="1">IFERROR(__xludf.DUMMYFUNCTION("IMPORTRANGE(H38348,""IDENTITAS UNIT!D9"")"),"#N/A")</f>
        <v>#N/A</v>
      </c>
      <c r="H38348" s="4" t="str">
        <v/>
      </c>
      <c r="I38348" s="4" t="str">
        <v/>
      </c>
    </row>
    <row r="38349" spans="5:9" ht="16.5" hidden="1">
      <c r="E38349" s="4" t="str">
        <v/>
      </c>
      <c r="F38349" s="102" t="str">
        <f ca="1">IFERROR(__xludf.DUMMYFUNCTION("IMPORTRANGE(H38349,""IDENTITAS UNIT!D9"")"),"#N/A")</f>
        <v>#N/A</v>
      </c>
      <c r="H38349" s="4" t="str">
        <v/>
      </c>
      <c r="I38349" s="4" t="str">
        <v/>
      </c>
    </row>
    <row r="38350" spans="5:9" ht="16.5" hidden="1">
      <c r="E38350" s="4" t="str">
        <v/>
      </c>
      <c r="F38350" s="102" t="str">
        <f ca="1">IFERROR(__xludf.DUMMYFUNCTION("IMPORTRANGE(H38350,""IDENTITAS UNIT!D9"")"),"#N/A")</f>
        <v>#N/A</v>
      </c>
      <c r="H38350" s="4" t="str">
        <v/>
      </c>
      <c r="I38350" s="4" t="str">
        <v/>
      </c>
    </row>
    <row r="38351" spans="5:9" ht="16.5" hidden="1">
      <c r="E38351" s="4" t="str">
        <v/>
      </c>
      <c r="F38351" s="102" t="str">
        <f ca="1">IFERROR(__xludf.DUMMYFUNCTION("IMPORTRANGE(H38351,""IDENTITAS UNIT!D9"")"),"#N/A")</f>
        <v>#N/A</v>
      </c>
      <c r="H38351" s="4" t="str">
        <v/>
      </c>
      <c r="I38351" s="4" t="str">
        <v/>
      </c>
    </row>
    <row r="38352" spans="5:9" ht="16.5" hidden="1">
      <c r="E38352" s="4" t="str">
        <v/>
      </c>
      <c r="F38352" s="102" t="str">
        <f ca="1">IFERROR(__xludf.DUMMYFUNCTION("IMPORTRANGE(H38352,""IDENTITAS UNIT!D9"")"),"#N/A")</f>
        <v>#N/A</v>
      </c>
      <c r="H38352" s="4" t="str">
        <v/>
      </c>
      <c r="I38352" s="4" t="str">
        <v/>
      </c>
    </row>
    <row r="38353" spans="5:9" ht="16.5" hidden="1">
      <c r="E38353" s="4" t="str">
        <v/>
      </c>
      <c r="F38353" s="102" t="str">
        <f ca="1">IFERROR(__xludf.DUMMYFUNCTION("IMPORTRANGE(H38353,""IDENTITAS UNIT!D9"")"),"#N/A")</f>
        <v>#N/A</v>
      </c>
      <c r="H38353" s="4" t="str">
        <v/>
      </c>
      <c r="I38353" s="4" t="str">
        <v/>
      </c>
    </row>
    <row r="38354" spans="5:9" ht="16.5" hidden="1">
      <c r="E38354" s="4" t="str">
        <v/>
      </c>
      <c r="F38354" s="102" t="str">
        <f ca="1">IFERROR(__xludf.DUMMYFUNCTION("IMPORTRANGE(H38354,""IDENTITAS UNIT!D9"")"),"#N/A")</f>
        <v>#N/A</v>
      </c>
      <c r="H38354" s="4" t="str">
        <v/>
      </c>
      <c r="I38354" s="4" t="str">
        <v/>
      </c>
    </row>
    <row r="38355" spans="5:9" ht="16.5" hidden="1">
      <c r="E38355" s="4" t="str">
        <v/>
      </c>
      <c r="F38355" s="102" t="str">
        <f ca="1">IFERROR(__xludf.DUMMYFUNCTION("IMPORTRANGE(H38355,""IDENTITAS UNIT!D9"")"),"#N/A")</f>
        <v>#N/A</v>
      </c>
      <c r="H38355" s="4" t="str">
        <v/>
      </c>
      <c r="I38355" s="4" t="str">
        <v/>
      </c>
    </row>
    <row r="38356" spans="5:9" ht="16.5" hidden="1">
      <c r="E38356" s="4" t="str">
        <v/>
      </c>
      <c r="F38356" s="102" t="str">
        <f ca="1">IFERROR(__xludf.DUMMYFUNCTION("IMPORTRANGE(H38356,""IDENTITAS UNIT!D9"")"),"#N/A")</f>
        <v>#N/A</v>
      </c>
      <c r="H38356" s="4" t="str">
        <v/>
      </c>
      <c r="I38356" s="4" t="str">
        <v/>
      </c>
    </row>
    <row r="38357" spans="5:9" ht="16.5" hidden="1">
      <c r="E38357" s="4" t="str">
        <v/>
      </c>
      <c r="F38357" s="102" t="str">
        <f ca="1">IFERROR(__xludf.DUMMYFUNCTION("IMPORTRANGE(H38357,""IDENTITAS UNIT!D9"")"),"#N/A")</f>
        <v>#N/A</v>
      </c>
      <c r="H38357" s="4" t="str">
        <v/>
      </c>
      <c r="I38357" s="4" t="str">
        <v/>
      </c>
    </row>
    <row r="38358" spans="5:9" ht="16.5" hidden="1">
      <c r="E38358" s="4" t="str">
        <v/>
      </c>
      <c r="F38358" s="102" t="str">
        <f ca="1">IFERROR(__xludf.DUMMYFUNCTION("IMPORTRANGE(H38358,""IDENTITAS UNIT!D9"")"),"#N/A")</f>
        <v>#N/A</v>
      </c>
      <c r="H38358" s="4" t="str">
        <v/>
      </c>
      <c r="I38358" s="4" t="str">
        <v/>
      </c>
    </row>
    <row r="38359" spans="5:9" ht="16.5" hidden="1">
      <c r="E38359" s="4" t="str">
        <v/>
      </c>
      <c r="F38359" s="102" t="str">
        <f ca="1">IFERROR(__xludf.DUMMYFUNCTION("IMPORTRANGE(H38359,""IDENTITAS UNIT!D9"")"),"#N/A")</f>
        <v>#N/A</v>
      </c>
      <c r="H38359" s="4" t="str">
        <v/>
      </c>
      <c r="I38359" s="4" t="str">
        <v/>
      </c>
    </row>
    <row r="38360" spans="5:9" ht="16.5" hidden="1">
      <c r="E38360" s="4" t="str">
        <v/>
      </c>
      <c r="F38360" s="102" t="str">
        <f ca="1">IFERROR(__xludf.DUMMYFUNCTION("IMPORTRANGE(H38360,""IDENTITAS UNIT!D9"")"),"#N/A")</f>
        <v>#N/A</v>
      </c>
      <c r="H38360" s="4" t="str">
        <v/>
      </c>
      <c r="I38360" s="4" t="str">
        <v/>
      </c>
    </row>
    <row r="38361" spans="5:9" ht="16.5" hidden="1">
      <c r="E38361" s="4" t="str">
        <v/>
      </c>
      <c r="F38361" s="102" t="str">
        <f ca="1">IFERROR(__xludf.DUMMYFUNCTION("IMPORTRANGE(H38361,""IDENTITAS UNIT!D9"")"),"#N/A")</f>
        <v>#N/A</v>
      </c>
      <c r="H38361" s="4" t="str">
        <v/>
      </c>
      <c r="I38361" s="4" t="str">
        <v/>
      </c>
    </row>
    <row r="38362" spans="5:9" ht="16.5" hidden="1">
      <c r="E38362" s="4" t="str">
        <v/>
      </c>
      <c r="F38362" s="102" t="str">
        <f ca="1">IFERROR(__xludf.DUMMYFUNCTION("IMPORTRANGE(H38362,""IDENTITAS UNIT!D9"")"),"#N/A")</f>
        <v>#N/A</v>
      </c>
      <c r="H38362" s="4" t="str">
        <v/>
      </c>
      <c r="I38362" s="4" t="str">
        <v/>
      </c>
    </row>
    <row r="38363" spans="5:9" ht="16.5" hidden="1">
      <c r="E38363" s="4" t="str">
        <v/>
      </c>
      <c r="F38363" s="102" t="str">
        <f ca="1">IFERROR(__xludf.DUMMYFUNCTION("IMPORTRANGE(H38363,""IDENTITAS UNIT!D9"")"),"#N/A")</f>
        <v>#N/A</v>
      </c>
      <c r="H38363" s="4" t="str">
        <v/>
      </c>
      <c r="I38363" s="4" t="str">
        <v/>
      </c>
    </row>
    <row r="38364" spans="5:9" ht="16.5" hidden="1">
      <c r="E38364" s="4" t="str">
        <v/>
      </c>
      <c r="F38364" s="102" t="str">
        <f ca="1">IFERROR(__xludf.DUMMYFUNCTION("IMPORTRANGE(H38364,""IDENTITAS UNIT!D9"")"),"#N/A")</f>
        <v>#N/A</v>
      </c>
      <c r="H38364" s="4" t="str">
        <v/>
      </c>
      <c r="I38364" s="4" t="str">
        <v/>
      </c>
    </row>
    <row r="38365" spans="5:9" ht="16.5" hidden="1">
      <c r="E38365" s="4" t="str">
        <v/>
      </c>
      <c r="F38365" s="102" t="str">
        <f ca="1">IFERROR(__xludf.DUMMYFUNCTION("IMPORTRANGE(H38365,""IDENTITAS UNIT!D9"")"),"#N/A")</f>
        <v>#N/A</v>
      </c>
      <c r="H38365" s="4" t="str">
        <v/>
      </c>
      <c r="I38365" s="4" t="str">
        <v/>
      </c>
    </row>
    <row r="38366" spans="5:9" ht="16.5" hidden="1">
      <c r="E38366" s="4" t="str">
        <v/>
      </c>
      <c r="F38366" s="102" t="str">
        <f ca="1">IFERROR(__xludf.DUMMYFUNCTION("IMPORTRANGE(H38366,""IDENTITAS UNIT!D9"")"),"#N/A")</f>
        <v>#N/A</v>
      </c>
      <c r="H38366" s="4" t="str">
        <v/>
      </c>
      <c r="I38366" s="4" t="str">
        <v/>
      </c>
    </row>
    <row r="38367" spans="5:9" ht="16.5" hidden="1">
      <c r="E38367" s="4" t="str">
        <v/>
      </c>
      <c r="F38367" s="102" t="str">
        <f ca="1">IFERROR(__xludf.DUMMYFUNCTION("IMPORTRANGE(H38367,""IDENTITAS UNIT!D9"")"),"#N/A")</f>
        <v>#N/A</v>
      </c>
      <c r="H38367" s="4" t="str">
        <v/>
      </c>
      <c r="I38367" s="4" t="str">
        <v/>
      </c>
    </row>
    <row r="38368" spans="5:9" ht="16.5" hidden="1">
      <c r="E38368" s="4" t="str">
        <v/>
      </c>
      <c r="F38368" s="102" t="str">
        <f ca="1">IFERROR(__xludf.DUMMYFUNCTION("IMPORTRANGE(H38368,""IDENTITAS UNIT!D9"")"),"#N/A")</f>
        <v>#N/A</v>
      </c>
      <c r="H38368" s="4" t="str">
        <v/>
      </c>
      <c r="I38368" s="4" t="str">
        <v/>
      </c>
    </row>
    <row r="38369" spans="5:9" ht="16.5" hidden="1">
      <c r="E38369" s="4" t="str">
        <v/>
      </c>
      <c r="F38369" s="102" t="str">
        <f ca="1">IFERROR(__xludf.DUMMYFUNCTION("IMPORTRANGE(H38369,""IDENTITAS UNIT!D9"")"),"#N/A")</f>
        <v>#N/A</v>
      </c>
      <c r="H38369" s="4" t="str">
        <v/>
      </c>
      <c r="I38369" s="4" t="str">
        <v/>
      </c>
    </row>
    <row r="38370" spans="5:9" ht="16.5" hidden="1">
      <c r="E38370" s="4" t="str">
        <v/>
      </c>
      <c r="F38370" s="102" t="str">
        <f ca="1">IFERROR(__xludf.DUMMYFUNCTION("IMPORTRANGE(H38370,""IDENTITAS UNIT!D9"")"),"#N/A")</f>
        <v>#N/A</v>
      </c>
      <c r="H38370" s="4" t="str">
        <v/>
      </c>
      <c r="I38370" s="4" t="str">
        <v/>
      </c>
    </row>
    <row r="38371" spans="5:9" ht="16.5" hidden="1">
      <c r="E38371" s="4" t="str">
        <v/>
      </c>
      <c r="F38371" s="102" t="str">
        <f ca="1">IFERROR(__xludf.DUMMYFUNCTION("IMPORTRANGE(H38371,""IDENTITAS UNIT!D9"")"),"#N/A")</f>
        <v>#N/A</v>
      </c>
      <c r="H38371" s="4" t="str">
        <v/>
      </c>
      <c r="I38371" s="4" t="str">
        <v/>
      </c>
    </row>
    <row r="38372" spans="5:9" ht="16.5" hidden="1">
      <c r="E38372" s="4" t="str">
        <v/>
      </c>
      <c r="F38372" s="102" t="str">
        <f ca="1">IFERROR(__xludf.DUMMYFUNCTION("IMPORTRANGE(H38372,""IDENTITAS UNIT!D9"")"),"#N/A")</f>
        <v>#N/A</v>
      </c>
      <c r="H38372" s="4" t="str">
        <v/>
      </c>
      <c r="I38372" s="4" t="str">
        <v/>
      </c>
    </row>
    <row r="38373" spans="5:9" ht="16.5" hidden="1">
      <c r="E38373" s="4" t="str">
        <v/>
      </c>
      <c r="F38373" s="102" t="str">
        <f ca="1">IFERROR(__xludf.DUMMYFUNCTION("IMPORTRANGE(H38373,""IDENTITAS UNIT!D9"")"),"#N/A")</f>
        <v>#N/A</v>
      </c>
      <c r="H38373" s="4" t="str">
        <v/>
      </c>
      <c r="I38373" s="4" t="str">
        <v/>
      </c>
    </row>
    <row r="38374" spans="5:9" ht="16.5" hidden="1">
      <c r="E38374" s="4" t="str">
        <v/>
      </c>
      <c r="F38374" s="102" t="str">
        <f ca="1">IFERROR(__xludf.DUMMYFUNCTION("IMPORTRANGE(H38374,""IDENTITAS UNIT!D9"")"),"#N/A")</f>
        <v>#N/A</v>
      </c>
      <c r="H38374" s="4" t="str">
        <v/>
      </c>
      <c r="I38374" s="4" t="str">
        <v/>
      </c>
    </row>
    <row r="38375" spans="5:9" ht="16.5" hidden="1">
      <c r="E38375" s="4" t="str">
        <v/>
      </c>
      <c r="F38375" s="102" t="str">
        <f ca="1">IFERROR(__xludf.DUMMYFUNCTION("IMPORTRANGE(H38375,""IDENTITAS UNIT!D9"")"),"#N/A")</f>
        <v>#N/A</v>
      </c>
      <c r="H38375" s="4" t="str">
        <v/>
      </c>
      <c r="I38375" s="4" t="str">
        <v/>
      </c>
    </row>
    <row r="38376" spans="5:9" ht="16.5" hidden="1">
      <c r="E38376" s="4" t="str">
        <v/>
      </c>
      <c r="F38376" s="102" t="str">
        <f ca="1">IFERROR(__xludf.DUMMYFUNCTION("IMPORTRANGE(H38376,""IDENTITAS UNIT!D9"")"),"#N/A")</f>
        <v>#N/A</v>
      </c>
      <c r="H38376" s="4" t="str">
        <v/>
      </c>
      <c r="I38376" s="4" t="str">
        <v/>
      </c>
    </row>
    <row r="38377" spans="5:9" ht="16.5" hidden="1">
      <c r="E38377" s="4" t="str">
        <v/>
      </c>
      <c r="F38377" s="102" t="str">
        <f ca="1">IFERROR(__xludf.DUMMYFUNCTION("IMPORTRANGE(H38377,""IDENTITAS UNIT!D9"")"),"#N/A")</f>
        <v>#N/A</v>
      </c>
      <c r="H38377" s="4" t="str">
        <v/>
      </c>
      <c r="I38377" s="4" t="str">
        <v/>
      </c>
    </row>
    <row r="38378" spans="5:9" ht="16.5" hidden="1">
      <c r="E38378" s="4" t="str">
        <v/>
      </c>
      <c r="F38378" s="102" t="str">
        <f ca="1">IFERROR(__xludf.DUMMYFUNCTION("IMPORTRANGE(H38378,""IDENTITAS UNIT!D9"")"),"#N/A")</f>
        <v>#N/A</v>
      </c>
      <c r="H38378" s="4" t="str">
        <v/>
      </c>
      <c r="I38378" s="4" t="str">
        <v/>
      </c>
    </row>
    <row r="38379" spans="5:9" ht="16.5" hidden="1">
      <c r="E38379" s="4" t="str">
        <v/>
      </c>
      <c r="F38379" s="102" t="str">
        <f ca="1">IFERROR(__xludf.DUMMYFUNCTION("IMPORTRANGE(H38379,""IDENTITAS UNIT!D9"")"),"#N/A")</f>
        <v>#N/A</v>
      </c>
      <c r="H38379" s="4" t="str">
        <v/>
      </c>
      <c r="I38379" s="4" t="str">
        <v/>
      </c>
    </row>
    <row r="38380" spans="5:9" ht="16.5" hidden="1">
      <c r="E38380" s="4" t="str">
        <v/>
      </c>
      <c r="F38380" s="102" t="str">
        <f ca="1">IFERROR(__xludf.DUMMYFUNCTION("IMPORTRANGE(H38380,""IDENTITAS UNIT!D9"")"),"#N/A")</f>
        <v>#N/A</v>
      </c>
      <c r="H38380" s="4" t="str">
        <v/>
      </c>
      <c r="I38380" s="4" t="str">
        <v/>
      </c>
    </row>
    <row r="38381" spans="5:9" ht="16.5" hidden="1">
      <c r="E38381" s="4" t="str">
        <v/>
      </c>
      <c r="F38381" s="102" t="str">
        <f ca="1">IFERROR(__xludf.DUMMYFUNCTION("IMPORTRANGE(H38381,""IDENTITAS UNIT!D9"")"),"#N/A")</f>
        <v>#N/A</v>
      </c>
      <c r="H38381" s="4" t="str">
        <v/>
      </c>
      <c r="I38381" s="4" t="str">
        <v/>
      </c>
    </row>
    <row r="38382" spans="5:9" ht="16.5" hidden="1">
      <c r="E38382" s="4" t="str">
        <v/>
      </c>
      <c r="F38382" s="102" t="str">
        <f ca="1">IFERROR(__xludf.DUMMYFUNCTION("IMPORTRANGE(H38382,""IDENTITAS UNIT!D9"")"),"#N/A")</f>
        <v>#N/A</v>
      </c>
      <c r="H38382" s="4" t="str">
        <v/>
      </c>
      <c r="I38382" s="4" t="str">
        <v/>
      </c>
    </row>
    <row r="38383" spans="5:9" ht="16.5" hidden="1">
      <c r="E38383" s="4" t="str">
        <v/>
      </c>
      <c r="F38383" s="102" t="str">
        <f ca="1">IFERROR(__xludf.DUMMYFUNCTION("IMPORTRANGE(H38383,""IDENTITAS UNIT!D9"")"),"#N/A")</f>
        <v>#N/A</v>
      </c>
      <c r="H38383" s="4" t="str">
        <v/>
      </c>
      <c r="I38383" s="4" t="str">
        <v/>
      </c>
    </row>
    <row r="38384" spans="5:9" ht="16.5" hidden="1">
      <c r="E38384" s="4" t="str">
        <v/>
      </c>
      <c r="F38384" s="102" t="str">
        <f ca="1">IFERROR(__xludf.DUMMYFUNCTION("IMPORTRANGE(H38384,""IDENTITAS UNIT!D9"")"),"#N/A")</f>
        <v>#N/A</v>
      </c>
      <c r="H38384" s="4" t="str">
        <v/>
      </c>
      <c r="I38384" s="4" t="str">
        <v/>
      </c>
    </row>
    <row r="38385" spans="5:9" ht="16.5" hidden="1">
      <c r="E38385" s="4" t="str">
        <v/>
      </c>
      <c r="F38385" s="102" t="str">
        <f ca="1">IFERROR(__xludf.DUMMYFUNCTION("IMPORTRANGE(H38385,""IDENTITAS UNIT!D9"")"),"#N/A")</f>
        <v>#N/A</v>
      </c>
      <c r="H38385" s="4" t="str">
        <v/>
      </c>
      <c r="I38385" s="4" t="str">
        <v/>
      </c>
    </row>
    <row r="38386" spans="5:9" ht="16.5" hidden="1">
      <c r="E38386" s="4" t="str">
        <v/>
      </c>
      <c r="F38386" s="102" t="str">
        <f ca="1">IFERROR(__xludf.DUMMYFUNCTION("IMPORTRANGE(H38386,""IDENTITAS UNIT!D9"")"),"#N/A")</f>
        <v>#N/A</v>
      </c>
      <c r="H38386" s="4" t="str">
        <v/>
      </c>
      <c r="I38386" s="4" t="str">
        <v/>
      </c>
    </row>
    <row r="38387" spans="5:9" ht="16.5" hidden="1">
      <c r="E38387" s="4" t="str">
        <v/>
      </c>
      <c r="F38387" s="102" t="str">
        <f ca="1">IFERROR(__xludf.DUMMYFUNCTION("IMPORTRANGE(H38387,""IDENTITAS UNIT!D9"")"),"#N/A")</f>
        <v>#N/A</v>
      </c>
      <c r="H38387" s="4" t="str">
        <v/>
      </c>
      <c r="I38387" s="4" t="str">
        <v/>
      </c>
    </row>
    <row r="38388" spans="5:9" ht="16.5" hidden="1">
      <c r="E38388" s="4" t="str">
        <v/>
      </c>
      <c r="F38388" s="102" t="str">
        <f ca="1">IFERROR(__xludf.DUMMYFUNCTION("IMPORTRANGE(H38388,""IDENTITAS UNIT!D9"")"),"#N/A")</f>
        <v>#N/A</v>
      </c>
      <c r="H38388" s="4" t="str">
        <v/>
      </c>
      <c r="I38388" s="4" t="str">
        <v/>
      </c>
    </row>
    <row r="38389" spans="5:9" ht="16.5" hidden="1">
      <c r="E38389" s="4" t="str">
        <v/>
      </c>
      <c r="F38389" s="102" t="str">
        <f ca="1">IFERROR(__xludf.DUMMYFUNCTION("IMPORTRANGE(H38389,""IDENTITAS UNIT!D9"")"),"#N/A")</f>
        <v>#N/A</v>
      </c>
      <c r="H38389" s="4" t="str">
        <v/>
      </c>
      <c r="I38389" s="4" t="str">
        <v/>
      </c>
    </row>
    <row r="38390" spans="5:9" ht="16.5" hidden="1">
      <c r="E38390" s="4" t="str">
        <v/>
      </c>
      <c r="F38390" s="102" t="str">
        <f ca="1">IFERROR(__xludf.DUMMYFUNCTION("IMPORTRANGE(H38390,""IDENTITAS UNIT!D9"")"),"#N/A")</f>
        <v>#N/A</v>
      </c>
      <c r="H38390" s="4" t="str">
        <v/>
      </c>
      <c r="I38390" s="4" t="str">
        <v/>
      </c>
    </row>
    <row r="38391" spans="5:9" ht="16.5" hidden="1">
      <c r="E38391" s="4" t="str">
        <v/>
      </c>
      <c r="F38391" s="102" t="str">
        <f ca="1">IFERROR(__xludf.DUMMYFUNCTION("IMPORTRANGE(H38391,""IDENTITAS UNIT!D9"")"),"#N/A")</f>
        <v>#N/A</v>
      </c>
      <c r="H38391" s="4" t="str">
        <v/>
      </c>
      <c r="I38391" s="4" t="str">
        <v/>
      </c>
    </row>
    <row r="38392" spans="5:9" ht="16.5" hidden="1">
      <c r="E38392" s="4" t="str">
        <v/>
      </c>
      <c r="F38392" s="102" t="str">
        <f ca="1">IFERROR(__xludf.DUMMYFUNCTION("IMPORTRANGE(H38392,""IDENTITAS UNIT!D9"")"),"#N/A")</f>
        <v>#N/A</v>
      </c>
      <c r="H38392" s="4" t="str">
        <v/>
      </c>
      <c r="I38392" s="4" t="str">
        <v/>
      </c>
    </row>
    <row r="38393" spans="5:9" ht="16.5" hidden="1">
      <c r="E38393" s="4" t="str">
        <v/>
      </c>
      <c r="F38393" s="102" t="str">
        <f ca="1">IFERROR(__xludf.DUMMYFUNCTION("IMPORTRANGE(H38393,""IDENTITAS UNIT!D9"")"),"#N/A")</f>
        <v>#N/A</v>
      </c>
      <c r="H38393" s="4" t="str">
        <v/>
      </c>
      <c r="I38393" s="4" t="str">
        <v/>
      </c>
    </row>
    <row r="38394" spans="5:9" ht="16.5" hidden="1">
      <c r="E38394" s="4" t="str">
        <v/>
      </c>
      <c r="F38394" s="102" t="str">
        <f ca="1">IFERROR(__xludf.DUMMYFUNCTION("IMPORTRANGE(H38394,""IDENTITAS UNIT!D9"")"),"#N/A")</f>
        <v>#N/A</v>
      </c>
      <c r="H38394" s="4" t="str">
        <v/>
      </c>
      <c r="I38394" s="4" t="str">
        <v/>
      </c>
    </row>
    <row r="38395" spans="5:9" ht="16.5" hidden="1">
      <c r="E38395" s="4" t="str">
        <v/>
      </c>
      <c r="F38395" s="102" t="str">
        <f ca="1">IFERROR(__xludf.DUMMYFUNCTION("IMPORTRANGE(H38395,""IDENTITAS UNIT!D9"")"),"#N/A")</f>
        <v>#N/A</v>
      </c>
      <c r="H38395" s="4" t="str">
        <v/>
      </c>
      <c r="I38395" s="4" t="str">
        <v/>
      </c>
    </row>
    <row r="38396" spans="5:9" ht="16.5" hidden="1">
      <c r="E38396" s="4" t="str">
        <v/>
      </c>
      <c r="F38396" s="102" t="str">
        <f ca="1">IFERROR(__xludf.DUMMYFUNCTION("IMPORTRANGE(H38396,""IDENTITAS UNIT!D9"")"),"#N/A")</f>
        <v>#N/A</v>
      </c>
      <c r="H38396" s="4" t="str">
        <v/>
      </c>
      <c r="I38396" s="4" t="str">
        <v/>
      </c>
    </row>
    <row r="38397" spans="5:9" ht="16.5" hidden="1">
      <c r="E38397" s="4" t="str">
        <v/>
      </c>
      <c r="F38397" s="102" t="str">
        <f ca="1">IFERROR(__xludf.DUMMYFUNCTION("IMPORTRANGE(H38397,""IDENTITAS UNIT!D9"")"),"#N/A")</f>
        <v>#N/A</v>
      </c>
      <c r="H38397" s="4" t="str">
        <v/>
      </c>
      <c r="I38397" s="4" t="str">
        <v/>
      </c>
    </row>
    <row r="38398" spans="5:9" ht="16.5" hidden="1">
      <c r="E38398" s="4" t="str">
        <v/>
      </c>
      <c r="F38398" s="102" t="str">
        <f ca="1">IFERROR(__xludf.DUMMYFUNCTION("IMPORTRANGE(H38398,""IDENTITAS UNIT!D9"")"),"#N/A")</f>
        <v>#N/A</v>
      </c>
      <c r="H38398" s="4" t="str">
        <v/>
      </c>
      <c r="I38398" s="4" t="str">
        <v/>
      </c>
    </row>
    <row r="38399" spans="5:9" ht="16.5" hidden="1">
      <c r="E38399" s="4" t="str">
        <v/>
      </c>
      <c r="F38399" s="102" t="str">
        <f ca="1">IFERROR(__xludf.DUMMYFUNCTION("IMPORTRANGE(H38399,""IDENTITAS UNIT!D9"")"),"#N/A")</f>
        <v>#N/A</v>
      </c>
      <c r="H38399" s="4" t="str">
        <v/>
      </c>
      <c r="I38399" s="4" t="str">
        <v/>
      </c>
    </row>
    <row r="38400" spans="5:9" ht="16.5" hidden="1">
      <c r="E38400" s="4" t="str">
        <v/>
      </c>
      <c r="F38400" s="102" t="str">
        <f ca="1">IFERROR(__xludf.DUMMYFUNCTION("IMPORTRANGE(H38400,""IDENTITAS UNIT!D9"")"),"#N/A")</f>
        <v>#N/A</v>
      </c>
      <c r="H38400" s="4" t="str">
        <v/>
      </c>
      <c r="I38400" s="4" t="str">
        <v/>
      </c>
    </row>
    <row r="38401" spans="5:9" ht="16.5" hidden="1">
      <c r="E38401" s="4" t="str">
        <v/>
      </c>
      <c r="F38401" s="102" t="str">
        <f ca="1">IFERROR(__xludf.DUMMYFUNCTION("IMPORTRANGE(H38401,""IDENTITAS UNIT!D9"")"),"#N/A")</f>
        <v>#N/A</v>
      </c>
      <c r="H38401" s="4" t="str">
        <v/>
      </c>
      <c r="I38401" s="4" t="str">
        <v/>
      </c>
    </row>
    <row r="38402" spans="5:9" ht="16.5" hidden="1">
      <c r="E38402" s="4" t="str">
        <v/>
      </c>
      <c r="F38402" s="102" t="str">
        <f ca="1">IFERROR(__xludf.DUMMYFUNCTION("IMPORTRANGE(H38402,""IDENTITAS UNIT!D9"")"),"#N/A")</f>
        <v>#N/A</v>
      </c>
      <c r="H38402" s="4" t="str">
        <v/>
      </c>
      <c r="I38402" s="4" t="str">
        <v/>
      </c>
    </row>
    <row r="38403" spans="5:9" ht="16.5" hidden="1">
      <c r="E38403" s="4" t="str">
        <v/>
      </c>
      <c r="F38403" s="102" t="str">
        <f ca="1">IFERROR(__xludf.DUMMYFUNCTION("IMPORTRANGE(H38403,""IDENTITAS UNIT!D9"")"),"#N/A")</f>
        <v>#N/A</v>
      </c>
      <c r="H38403" s="4" t="str">
        <v/>
      </c>
      <c r="I38403" s="4" t="str">
        <v/>
      </c>
    </row>
    <row r="38404" spans="5:9" ht="16.5" hidden="1">
      <c r="E38404" s="4" t="str">
        <v/>
      </c>
      <c r="F38404" s="102" t="str">
        <f ca="1">IFERROR(__xludf.DUMMYFUNCTION("IMPORTRANGE(H38404,""IDENTITAS UNIT!D9"")"),"#N/A")</f>
        <v>#N/A</v>
      </c>
      <c r="H38404" s="4" t="str">
        <v/>
      </c>
      <c r="I38404" s="4" t="str">
        <v/>
      </c>
    </row>
    <row r="38405" spans="5:9" ht="16.5" hidden="1">
      <c r="E38405" s="4" t="str">
        <v/>
      </c>
      <c r="F38405" s="102" t="str">
        <f ca="1">IFERROR(__xludf.DUMMYFUNCTION("IMPORTRANGE(H38405,""IDENTITAS UNIT!D9"")"),"#N/A")</f>
        <v>#N/A</v>
      </c>
      <c r="H38405" s="4" t="str">
        <v/>
      </c>
      <c r="I38405" s="4" t="str">
        <v/>
      </c>
    </row>
    <row r="38406" spans="5:9" ht="16.5" hidden="1">
      <c r="E38406" s="4" t="str">
        <v/>
      </c>
      <c r="F38406" s="102" t="str">
        <f ca="1">IFERROR(__xludf.DUMMYFUNCTION("IMPORTRANGE(H38406,""IDENTITAS UNIT!D9"")"),"#N/A")</f>
        <v>#N/A</v>
      </c>
      <c r="H38406" s="4" t="str">
        <v/>
      </c>
      <c r="I38406" s="4" t="str">
        <v/>
      </c>
    </row>
    <row r="38407" spans="5:9" ht="16.5" hidden="1">
      <c r="E38407" s="4" t="str">
        <v/>
      </c>
      <c r="F38407" s="102" t="str">
        <f ca="1">IFERROR(__xludf.DUMMYFUNCTION("IMPORTRANGE(H38407,""IDENTITAS UNIT!D9"")"),"#N/A")</f>
        <v>#N/A</v>
      </c>
      <c r="H38407" s="4" t="str">
        <v/>
      </c>
      <c r="I38407" s="4" t="str">
        <v/>
      </c>
    </row>
    <row r="38408" spans="5:9" ht="16.5" hidden="1">
      <c r="E38408" s="4" t="str">
        <v/>
      </c>
      <c r="F38408" s="102" t="str">
        <f ca="1">IFERROR(__xludf.DUMMYFUNCTION("IMPORTRANGE(H38408,""IDENTITAS UNIT!D9"")"),"#N/A")</f>
        <v>#N/A</v>
      </c>
      <c r="H38408" s="4" t="str">
        <v/>
      </c>
      <c r="I38408" s="4" t="str">
        <v/>
      </c>
    </row>
    <row r="38409" spans="5:9" ht="16.5" hidden="1">
      <c r="E38409" s="4" t="str">
        <v/>
      </c>
      <c r="F38409" s="102" t="str">
        <f ca="1">IFERROR(__xludf.DUMMYFUNCTION("IMPORTRANGE(H38409,""IDENTITAS UNIT!D9"")"),"#N/A")</f>
        <v>#N/A</v>
      </c>
      <c r="H38409" s="4" t="str">
        <v/>
      </c>
      <c r="I38409" s="4" t="str">
        <v/>
      </c>
    </row>
    <row r="38410" spans="5:9" ht="16.5" hidden="1">
      <c r="E38410" s="4" t="str">
        <v/>
      </c>
      <c r="F38410" s="102" t="str">
        <f ca="1">IFERROR(__xludf.DUMMYFUNCTION("IMPORTRANGE(H38410,""IDENTITAS UNIT!D9"")"),"#N/A")</f>
        <v>#N/A</v>
      </c>
      <c r="H38410" s="4" t="str">
        <v/>
      </c>
      <c r="I38410" s="4" t="str">
        <v/>
      </c>
    </row>
    <row r="38411" spans="5:9" ht="16.5" hidden="1">
      <c r="E38411" s="4" t="str">
        <v/>
      </c>
      <c r="F38411" s="102" t="str">
        <f ca="1">IFERROR(__xludf.DUMMYFUNCTION("IMPORTRANGE(H38411,""IDENTITAS UNIT!D9"")"),"#N/A")</f>
        <v>#N/A</v>
      </c>
      <c r="H38411" s="4" t="str">
        <v/>
      </c>
      <c r="I38411" s="4" t="str">
        <v/>
      </c>
    </row>
    <row r="38412" spans="5:9" ht="16.5" hidden="1">
      <c r="E38412" s="4" t="str">
        <v/>
      </c>
      <c r="F38412" s="102" t="str">
        <f ca="1">IFERROR(__xludf.DUMMYFUNCTION("IMPORTRANGE(H38412,""IDENTITAS UNIT!D9"")"),"#N/A")</f>
        <v>#N/A</v>
      </c>
      <c r="H38412" s="4" t="str">
        <v/>
      </c>
      <c r="I38412" s="4" t="str">
        <v/>
      </c>
    </row>
    <row r="38413" spans="5:9" ht="16.5" hidden="1">
      <c r="E38413" s="4" t="str">
        <v/>
      </c>
      <c r="F38413" s="102" t="str">
        <f ca="1">IFERROR(__xludf.DUMMYFUNCTION("IMPORTRANGE(H38413,""IDENTITAS UNIT!D9"")"),"#N/A")</f>
        <v>#N/A</v>
      </c>
      <c r="H38413" s="4" t="str">
        <v/>
      </c>
      <c r="I38413" s="4" t="str">
        <v/>
      </c>
    </row>
    <row r="38414" spans="5:9" ht="16.5" hidden="1">
      <c r="E38414" s="4" t="str">
        <v/>
      </c>
      <c r="F38414" s="102" t="str">
        <f ca="1">IFERROR(__xludf.DUMMYFUNCTION("IMPORTRANGE(H38414,""IDENTITAS UNIT!D9"")"),"#N/A")</f>
        <v>#N/A</v>
      </c>
      <c r="H38414" s="4" t="str">
        <v/>
      </c>
      <c r="I38414" s="4" t="str">
        <v/>
      </c>
    </row>
    <row r="38415" spans="5:9" ht="16.5" hidden="1">
      <c r="E38415" s="4" t="str">
        <v/>
      </c>
      <c r="F38415" s="102" t="str">
        <f ca="1">IFERROR(__xludf.DUMMYFUNCTION("IMPORTRANGE(H38415,""IDENTITAS UNIT!D9"")"),"#N/A")</f>
        <v>#N/A</v>
      </c>
      <c r="H38415" s="4" t="str">
        <v/>
      </c>
      <c r="I38415" s="4" t="str">
        <v/>
      </c>
    </row>
    <row r="38416" spans="5:9" ht="16.5" hidden="1">
      <c r="E38416" s="4" t="str">
        <v/>
      </c>
      <c r="F38416" s="102" t="str">
        <f ca="1">IFERROR(__xludf.DUMMYFUNCTION("IMPORTRANGE(H38416,""IDENTITAS UNIT!D9"")"),"#N/A")</f>
        <v>#N/A</v>
      </c>
      <c r="H38416" s="4" t="str">
        <v/>
      </c>
      <c r="I38416" s="4" t="str">
        <v/>
      </c>
    </row>
    <row r="38417" spans="5:9" ht="16.5" hidden="1">
      <c r="E38417" s="4" t="str">
        <v/>
      </c>
      <c r="F38417" s="102" t="str">
        <f ca="1">IFERROR(__xludf.DUMMYFUNCTION("IMPORTRANGE(H38417,""IDENTITAS UNIT!D9"")"),"#N/A")</f>
        <v>#N/A</v>
      </c>
      <c r="H38417" s="4" t="str">
        <v/>
      </c>
      <c r="I38417" s="4" t="str">
        <v/>
      </c>
    </row>
    <row r="38418" spans="5:9" ht="16.5" hidden="1">
      <c r="E38418" s="4" t="str">
        <v/>
      </c>
      <c r="F38418" s="102" t="str">
        <f ca="1">IFERROR(__xludf.DUMMYFUNCTION("IMPORTRANGE(H38418,""IDENTITAS UNIT!D9"")"),"#N/A")</f>
        <v>#N/A</v>
      </c>
      <c r="H38418" s="4" t="str">
        <v/>
      </c>
      <c r="I38418" s="4" t="str">
        <v/>
      </c>
    </row>
    <row r="38419" spans="5:9" ht="16.5" hidden="1">
      <c r="E38419" s="4" t="str">
        <v/>
      </c>
      <c r="F38419" s="102" t="str">
        <f ca="1">IFERROR(__xludf.DUMMYFUNCTION("IMPORTRANGE(H38419,""IDENTITAS UNIT!D9"")"),"#N/A")</f>
        <v>#N/A</v>
      </c>
      <c r="H38419" s="4" t="str">
        <v/>
      </c>
      <c r="I38419" s="4" t="str">
        <v/>
      </c>
    </row>
    <row r="38420" spans="5:9" ht="16.5" hidden="1">
      <c r="E38420" s="4" t="str">
        <v/>
      </c>
      <c r="F38420" s="102" t="str">
        <f ca="1">IFERROR(__xludf.DUMMYFUNCTION("IMPORTRANGE(H38420,""IDENTITAS UNIT!D9"")"),"#N/A")</f>
        <v>#N/A</v>
      </c>
      <c r="H38420" s="4" t="str">
        <v/>
      </c>
      <c r="I38420" s="4" t="str">
        <v/>
      </c>
    </row>
    <row r="38421" spans="5:9" ht="16.5" hidden="1">
      <c r="E38421" s="4" t="str">
        <v/>
      </c>
      <c r="F38421" s="102" t="str">
        <f ca="1">IFERROR(__xludf.DUMMYFUNCTION("IMPORTRANGE(H38421,""IDENTITAS UNIT!D9"")"),"#N/A")</f>
        <v>#N/A</v>
      </c>
      <c r="H38421" s="4" t="str">
        <v/>
      </c>
      <c r="I38421" s="4" t="str">
        <v/>
      </c>
    </row>
    <row r="38422" spans="5:9" ht="16.5" hidden="1">
      <c r="E38422" s="4" t="str">
        <v/>
      </c>
      <c r="F38422" s="102" t="str">
        <f ca="1">IFERROR(__xludf.DUMMYFUNCTION("IMPORTRANGE(H38422,""IDENTITAS UNIT!D9"")"),"#N/A")</f>
        <v>#N/A</v>
      </c>
      <c r="H38422" s="4" t="str">
        <v/>
      </c>
      <c r="I38422" s="4" t="str">
        <v/>
      </c>
    </row>
    <row r="38423" spans="5:9" ht="16.5" hidden="1">
      <c r="E38423" s="4" t="str">
        <v/>
      </c>
      <c r="F38423" s="102" t="str">
        <f ca="1">IFERROR(__xludf.DUMMYFUNCTION("IMPORTRANGE(H38423,""IDENTITAS UNIT!D9"")"),"#N/A")</f>
        <v>#N/A</v>
      </c>
      <c r="H38423" s="4" t="str">
        <v/>
      </c>
      <c r="I38423" s="4" t="str">
        <v/>
      </c>
    </row>
    <row r="38424" spans="5:9" ht="16.5" hidden="1">
      <c r="E38424" s="4" t="str">
        <v/>
      </c>
      <c r="F38424" s="102" t="str">
        <f ca="1">IFERROR(__xludf.DUMMYFUNCTION("IMPORTRANGE(H38424,""IDENTITAS UNIT!D9"")"),"#N/A")</f>
        <v>#N/A</v>
      </c>
      <c r="H38424" s="4" t="str">
        <v/>
      </c>
      <c r="I38424" s="4" t="str">
        <v/>
      </c>
    </row>
    <row r="38425" spans="5:9" ht="16.5" hidden="1">
      <c r="E38425" s="4" t="str">
        <v/>
      </c>
      <c r="F38425" s="102" t="str">
        <f ca="1">IFERROR(__xludf.DUMMYFUNCTION("IMPORTRANGE(H38425,""IDENTITAS UNIT!D9"")"),"#N/A")</f>
        <v>#N/A</v>
      </c>
      <c r="H38425" s="4" t="str">
        <v/>
      </c>
      <c r="I38425" s="4" t="str">
        <v/>
      </c>
    </row>
    <row r="38426" spans="5:9" ht="16.5" hidden="1">
      <c r="E38426" s="4" t="str">
        <v/>
      </c>
      <c r="F38426" s="102" t="str">
        <f ca="1">IFERROR(__xludf.DUMMYFUNCTION("IMPORTRANGE(H38426,""IDENTITAS UNIT!D9"")"),"#N/A")</f>
        <v>#N/A</v>
      </c>
      <c r="H38426" s="4" t="str">
        <v/>
      </c>
      <c r="I38426" s="4" t="str">
        <v/>
      </c>
    </row>
    <row r="38427" spans="5:9" ht="16.5" hidden="1">
      <c r="E38427" s="4" t="str">
        <v/>
      </c>
      <c r="F38427" s="102" t="str">
        <f ca="1">IFERROR(__xludf.DUMMYFUNCTION("IMPORTRANGE(H38427,""IDENTITAS UNIT!D9"")"),"#N/A")</f>
        <v>#N/A</v>
      </c>
      <c r="H38427" s="4" t="str">
        <v/>
      </c>
      <c r="I38427" s="4" t="str">
        <v/>
      </c>
    </row>
    <row r="38428" spans="5:9" ht="16.5" hidden="1">
      <c r="E38428" s="4" t="str">
        <v/>
      </c>
      <c r="F38428" s="102" t="str">
        <f ca="1">IFERROR(__xludf.DUMMYFUNCTION("IMPORTRANGE(H38428,""IDENTITAS UNIT!D9"")"),"#N/A")</f>
        <v>#N/A</v>
      </c>
      <c r="H38428" s="4" t="str">
        <v/>
      </c>
      <c r="I38428" s="4" t="str">
        <v/>
      </c>
    </row>
    <row r="38429" spans="5:9" ht="16.5" hidden="1">
      <c r="E38429" s="4" t="str">
        <v/>
      </c>
      <c r="F38429" s="102" t="str">
        <f ca="1">IFERROR(__xludf.DUMMYFUNCTION("IMPORTRANGE(H38429,""IDENTITAS UNIT!D9"")"),"#N/A")</f>
        <v>#N/A</v>
      </c>
      <c r="H38429" s="4" t="str">
        <v/>
      </c>
      <c r="I38429" s="4" t="str">
        <v/>
      </c>
    </row>
    <row r="38430" spans="5:9" ht="16.5" hidden="1">
      <c r="E38430" s="4" t="str">
        <v/>
      </c>
      <c r="F38430" s="102" t="str">
        <f ca="1">IFERROR(__xludf.DUMMYFUNCTION("IMPORTRANGE(H38430,""IDENTITAS UNIT!D9"")"),"#N/A")</f>
        <v>#N/A</v>
      </c>
      <c r="H38430" s="4" t="str">
        <v/>
      </c>
      <c r="I38430" s="4" t="str">
        <v/>
      </c>
    </row>
    <row r="38431" spans="5:9" ht="16.5" hidden="1">
      <c r="E38431" s="4" t="str">
        <v/>
      </c>
      <c r="F38431" s="102" t="str">
        <f ca="1">IFERROR(__xludf.DUMMYFUNCTION("IMPORTRANGE(H38431,""IDENTITAS UNIT!D9"")"),"#N/A")</f>
        <v>#N/A</v>
      </c>
      <c r="H38431" s="4" t="str">
        <v/>
      </c>
      <c r="I38431" s="4" t="str">
        <v/>
      </c>
    </row>
    <row r="38432" spans="5:9" ht="16.5" hidden="1">
      <c r="E38432" s="4" t="str">
        <v/>
      </c>
      <c r="F38432" s="102" t="str">
        <f ca="1">IFERROR(__xludf.DUMMYFUNCTION("IMPORTRANGE(H38432,""IDENTITAS UNIT!D9"")"),"#N/A")</f>
        <v>#N/A</v>
      </c>
      <c r="H38432" s="4" t="str">
        <v/>
      </c>
      <c r="I38432" s="4" t="str">
        <v/>
      </c>
    </row>
    <row r="38433" spans="5:9" ht="16.5" hidden="1">
      <c r="E38433" s="4" t="str">
        <v/>
      </c>
      <c r="F38433" s="102" t="str">
        <f ca="1">IFERROR(__xludf.DUMMYFUNCTION("IMPORTRANGE(H38433,""IDENTITAS UNIT!D9"")"),"#N/A")</f>
        <v>#N/A</v>
      </c>
      <c r="H38433" s="4" t="str">
        <v/>
      </c>
      <c r="I38433" s="4" t="str">
        <v/>
      </c>
    </row>
    <row r="38434" spans="5:9" ht="16.5" hidden="1">
      <c r="E38434" s="4" t="str">
        <v/>
      </c>
      <c r="F38434" s="102" t="str">
        <f ca="1">IFERROR(__xludf.DUMMYFUNCTION("IMPORTRANGE(H38434,""IDENTITAS UNIT!D9"")"),"#N/A")</f>
        <v>#N/A</v>
      </c>
      <c r="H38434" s="4" t="str">
        <v/>
      </c>
      <c r="I38434" s="4" t="str">
        <v/>
      </c>
    </row>
    <row r="38435" spans="5:9" ht="16.5" hidden="1">
      <c r="E38435" s="4" t="str">
        <v/>
      </c>
      <c r="F38435" s="102" t="str">
        <f ca="1">IFERROR(__xludf.DUMMYFUNCTION("IMPORTRANGE(H38435,""IDENTITAS UNIT!D9"")"),"#N/A")</f>
        <v>#N/A</v>
      </c>
      <c r="H38435" s="4" t="str">
        <v/>
      </c>
      <c r="I38435" s="4" t="str">
        <v/>
      </c>
    </row>
    <row r="38436" spans="5:9" ht="16.5" hidden="1">
      <c r="E38436" s="4" t="str">
        <v/>
      </c>
      <c r="F38436" s="102" t="str">
        <f ca="1">IFERROR(__xludf.DUMMYFUNCTION("IMPORTRANGE(H38436,""IDENTITAS UNIT!D9"")"),"#N/A")</f>
        <v>#N/A</v>
      </c>
      <c r="H38436" s="4" t="str">
        <v/>
      </c>
      <c r="I38436" s="4" t="str">
        <v/>
      </c>
    </row>
    <row r="38437" spans="5:9" ht="16.5" hidden="1">
      <c r="E38437" s="4" t="str">
        <v/>
      </c>
      <c r="F38437" s="102" t="str">
        <f ca="1">IFERROR(__xludf.DUMMYFUNCTION("IMPORTRANGE(H38437,""IDENTITAS UNIT!D9"")"),"#N/A")</f>
        <v>#N/A</v>
      </c>
      <c r="H38437" s="4" t="str">
        <v/>
      </c>
      <c r="I38437" s="4" t="str">
        <v/>
      </c>
    </row>
    <row r="38438" spans="5:9" ht="16.5" hidden="1">
      <c r="E38438" s="4" t="str">
        <v/>
      </c>
      <c r="F38438" s="102" t="str">
        <f ca="1">IFERROR(__xludf.DUMMYFUNCTION("IMPORTRANGE(H38438,""IDENTITAS UNIT!D9"")"),"#N/A")</f>
        <v>#N/A</v>
      </c>
      <c r="H38438" s="4" t="str">
        <v/>
      </c>
      <c r="I38438" s="4" t="str">
        <v/>
      </c>
    </row>
    <row r="38439" spans="5:9" ht="16.5" hidden="1">
      <c r="E38439" s="4" t="str">
        <v/>
      </c>
      <c r="F38439" s="102" t="str">
        <f ca="1">IFERROR(__xludf.DUMMYFUNCTION("IMPORTRANGE(H38439,""IDENTITAS UNIT!D9"")"),"#N/A")</f>
        <v>#N/A</v>
      </c>
      <c r="H38439" s="4" t="str">
        <v/>
      </c>
      <c r="I38439" s="4" t="str">
        <v/>
      </c>
    </row>
    <row r="38440" spans="5:9" ht="16.5" hidden="1">
      <c r="E38440" s="4" t="str">
        <v/>
      </c>
      <c r="F38440" s="102" t="str">
        <f ca="1">IFERROR(__xludf.DUMMYFUNCTION("IMPORTRANGE(H38440,""IDENTITAS UNIT!D9"")"),"#N/A")</f>
        <v>#N/A</v>
      </c>
      <c r="H38440" s="4" t="str">
        <v/>
      </c>
      <c r="I38440" s="4" t="str">
        <v/>
      </c>
    </row>
    <row r="38441" spans="5:9" ht="16.5" hidden="1">
      <c r="E38441" s="4" t="str">
        <v/>
      </c>
      <c r="F38441" s="102" t="str">
        <f ca="1">IFERROR(__xludf.DUMMYFUNCTION("IMPORTRANGE(H38441,""IDENTITAS UNIT!D9"")"),"#N/A")</f>
        <v>#N/A</v>
      </c>
      <c r="H38441" s="4" t="str">
        <v/>
      </c>
      <c r="I38441" s="4" t="str">
        <v/>
      </c>
    </row>
    <row r="38442" spans="5:9" ht="16.5" hidden="1">
      <c r="E38442" s="4" t="str">
        <v/>
      </c>
      <c r="F38442" s="102" t="str">
        <f ca="1">IFERROR(__xludf.DUMMYFUNCTION("IMPORTRANGE(H38442,""IDENTITAS UNIT!D9"")"),"#N/A")</f>
        <v>#N/A</v>
      </c>
      <c r="H38442" s="4" t="str">
        <v/>
      </c>
      <c r="I38442" s="4" t="str">
        <v/>
      </c>
    </row>
    <row r="38443" spans="5:9" ht="16.5" hidden="1">
      <c r="E38443" s="4" t="str">
        <v/>
      </c>
      <c r="F38443" s="102" t="str">
        <f ca="1">IFERROR(__xludf.DUMMYFUNCTION("IMPORTRANGE(H38443,""IDENTITAS UNIT!D9"")"),"#N/A")</f>
        <v>#N/A</v>
      </c>
      <c r="H38443" s="4" t="str">
        <v/>
      </c>
      <c r="I38443" s="4" t="str">
        <v/>
      </c>
    </row>
    <row r="38444" spans="5:9" ht="16.5" hidden="1">
      <c r="E38444" s="4" t="str">
        <v/>
      </c>
      <c r="F38444" s="102" t="str">
        <f ca="1">IFERROR(__xludf.DUMMYFUNCTION("IMPORTRANGE(H38444,""IDENTITAS UNIT!D9"")"),"#N/A")</f>
        <v>#N/A</v>
      </c>
      <c r="H38444" s="4" t="str">
        <v/>
      </c>
      <c r="I38444" s="4" t="str">
        <v/>
      </c>
    </row>
    <row r="38445" spans="5:9" ht="16.5" hidden="1">
      <c r="E38445" s="4" t="str">
        <v/>
      </c>
      <c r="F38445" s="102" t="str">
        <f ca="1">IFERROR(__xludf.DUMMYFUNCTION("IMPORTRANGE(H38445,""IDENTITAS UNIT!D9"")"),"#N/A")</f>
        <v>#N/A</v>
      </c>
      <c r="H38445" s="4" t="str">
        <v/>
      </c>
      <c r="I38445" s="4" t="str">
        <v/>
      </c>
    </row>
    <row r="38446" spans="5:9" ht="16.5" hidden="1">
      <c r="E38446" s="4" t="str">
        <v/>
      </c>
      <c r="F38446" s="102" t="str">
        <f ca="1">IFERROR(__xludf.DUMMYFUNCTION("IMPORTRANGE(H38446,""IDENTITAS UNIT!D9"")"),"#N/A")</f>
        <v>#N/A</v>
      </c>
      <c r="H38446" s="4" t="str">
        <v/>
      </c>
      <c r="I38446" s="4" t="str">
        <v/>
      </c>
    </row>
    <row r="38447" spans="5:9" ht="16.5" hidden="1">
      <c r="E38447" s="4" t="str">
        <v/>
      </c>
      <c r="F38447" s="102" t="str">
        <f ca="1">IFERROR(__xludf.DUMMYFUNCTION("IMPORTRANGE(H38447,""IDENTITAS UNIT!D9"")"),"#N/A")</f>
        <v>#N/A</v>
      </c>
      <c r="H38447" s="4" t="str">
        <v/>
      </c>
      <c r="I38447" s="4" t="str">
        <v/>
      </c>
    </row>
    <row r="38448" spans="5:9" ht="16.5" hidden="1">
      <c r="E38448" s="4" t="str">
        <v/>
      </c>
      <c r="F38448" s="102" t="str">
        <f ca="1">IFERROR(__xludf.DUMMYFUNCTION("IMPORTRANGE(H38448,""IDENTITAS UNIT!D9"")"),"#N/A")</f>
        <v>#N/A</v>
      </c>
      <c r="H38448" s="4" t="str">
        <v/>
      </c>
      <c r="I38448" s="4" t="str">
        <v/>
      </c>
    </row>
    <row r="38449" spans="5:9" ht="16.5" hidden="1">
      <c r="E38449" s="4" t="str">
        <v/>
      </c>
      <c r="F38449" s="102" t="str">
        <f ca="1">IFERROR(__xludf.DUMMYFUNCTION("IMPORTRANGE(H38449,""IDENTITAS UNIT!D9"")"),"#N/A")</f>
        <v>#N/A</v>
      </c>
      <c r="H38449" s="4" t="str">
        <v/>
      </c>
      <c r="I38449" s="4" t="str">
        <v/>
      </c>
    </row>
    <row r="38450" spans="5:9" ht="16.5" hidden="1">
      <c r="E38450" s="4" t="str">
        <v/>
      </c>
      <c r="F38450" s="102" t="str">
        <f ca="1">IFERROR(__xludf.DUMMYFUNCTION("IMPORTRANGE(H38450,""IDENTITAS UNIT!D9"")"),"#N/A")</f>
        <v>#N/A</v>
      </c>
      <c r="H38450" s="4" t="str">
        <v/>
      </c>
      <c r="I38450" s="4" t="str">
        <v/>
      </c>
    </row>
    <row r="38451" spans="5:9" ht="16.5" hidden="1">
      <c r="E38451" s="4" t="str">
        <v/>
      </c>
      <c r="F38451" s="102" t="str">
        <f ca="1">IFERROR(__xludf.DUMMYFUNCTION("IMPORTRANGE(H38451,""IDENTITAS UNIT!D9"")"),"#N/A")</f>
        <v>#N/A</v>
      </c>
      <c r="H38451" s="4" t="str">
        <v/>
      </c>
      <c r="I38451" s="4" t="str">
        <v/>
      </c>
    </row>
    <row r="38452" spans="5:9" ht="16.5" hidden="1">
      <c r="E38452" s="4" t="str">
        <v/>
      </c>
      <c r="F38452" s="102" t="str">
        <f ca="1">IFERROR(__xludf.DUMMYFUNCTION("IMPORTRANGE(H38452,""IDENTITAS UNIT!D9"")"),"#N/A")</f>
        <v>#N/A</v>
      </c>
      <c r="H38452" s="4" t="str">
        <v/>
      </c>
      <c r="I38452" s="4" t="str">
        <v/>
      </c>
    </row>
    <row r="38453" spans="5:9" ht="16.5" hidden="1">
      <c r="E38453" s="4" t="str">
        <v/>
      </c>
      <c r="F38453" s="102" t="str">
        <f ca="1">IFERROR(__xludf.DUMMYFUNCTION("IMPORTRANGE(H38453,""IDENTITAS UNIT!D9"")"),"#N/A")</f>
        <v>#N/A</v>
      </c>
      <c r="H38453" s="4" t="str">
        <v/>
      </c>
      <c r="I38453" s="4" t="str">
        <v/>
      </c>
    </row>
    <row r="38454" spans="5:9" ht="16.5" hidden="1">
      <c r="E38454" s="4" t="str">
        <v/>
      </c>
      <c r="F38454" s="102" t="str">
        <f ca="1">IFERROR(__xludf.DUMMYFUNCTION("IMPORTRANGE(H38454,""IDENTITAS UNIT!D9"")"),"#N/A")</f>
        <v>#N/A</v>
      </c>
      <c r="H38454" s="4" t="str">
        <v/>
      </c>
      <c r="I38454" s="4" t="str">
        <v/>
      </c>
    </row>
    <row r="38455" spans="5:9" ht="16.5" hidden="1">
      <c r="E38455" s="4" t="str">
        <v/>
      </c>
      <c r="F38455" s="102" t="str">
        <f ca="1">IFERROR(__xludf.DUMMYFUNCTION("IMPORTRANGE(H38455,""IDENTITAS UNIT!D9"")"),"#N/A")</f>
        <v>#N/A</v>
      </c>
      <c r="H38455" s="4" t="str">
        <v/>
      </c>
      <c r="I38455" s="4" t="str">
        <v/>
      </c>
    </row>
    <row r="38456" spans="5:9" ht="16.5" hidden="1">
      <c r="E38456" s="4" t="str">
        <v/>
      </c>
      <c r="F38456" s="102" t="str">
        <f ca="1">IFERROR(__xludf.DUMMYFUNCTION("IMPORTRANGE(H38456,""IDENTITAS UNIT!D9"")"),"#N/A")</f>
        <v>#N/A</v>
      </c>
      <c r="H38456" s="4" t="str">
        <v/>
      </c>
      <c r="I38456" s="4" t="str">
        <v/>
      </c>
    </row>
    <row r="38457" spans="5:9" ht="16.5" hidden="1">
      <c r="E38457" s="4" t="str">
        <v/>
      </c>
      <c r="F38457" s="102" t="str">
        <f ca="1">IFERROR(__xludf.DUMMYFUNCTION("IMPORTRANGE(H38457,""IDENTITAS UNIT!D9"")"),"#N/A")</f>
        <v>#N/A</v>
      </c>
      <c r="H38457" s="4" t="str">
        <v/>
      </c>
      <c r="I38457" s="4" t="str">
        <v/>
      </c>
    </row>
    <row r="38458" spans="5:9" ht="16.5" hidden="1">
      <c r="E38458" s="4" t="str">
        <v/>
      </c>
      <c r="F38458" s="102" t="str">
        <f ca="1">IFERROR(__xludf.DUMMYFUNCTION("IMPORTRANGE(H38458,""IDENTITAS UNIT!D9"")"),"#N/A")</f>
        <v>#N/A</v>
      </c>
      <c r="H38458" s="4" t="str">
        <v/>
      </c>
      <c r="I38458" s="4" t="str">
        <v/>
      </c>
    </row>
    <row r="38459" spans="5:9" ht="16.5" hidden="1">
      <c r="E38459" s="4" t="str">
        <v/>
      </c>
      <c r="F38459" s="102" t="str">
        <f ca="1">IFERROR(__xludf.DUMMYFUNCTION("IMPORTRANGE(H38459,""IDENTITAS UNIT!D9"")"),"#N/A")</f>
        <v>#N/A</v>
      </c>
      <c r="H38459" s="4" t="str">
        <v/>
      </c>
      <c r="I38459" s="4" t="str">
        <v/>
      </c>
    </row>
    <row r="38460" spans="5:9" ht="16.5" hidden="1">
      <c r="E38460" s="4" t="str">
        <v/>
      </c>
      <c r="F38460" s="102" t="str">
        <f ca="1">IFERROR(__xludf.DUMMYFUNCTION("IMPORTRANGE(H38460,""IDENTITAS UNIT!D9"")"),"#N/A")</f>
        <v>#N/A</v>
      </c>
      <c r="H38460" s="4" t="str">
        <v/>
      </c>
      <c r="I38460" s="4" t="str">
        <v/>
      </c>
    </row>
    <row r="38461" spans="5:9" ht="16.5" hidden="1">
      <c r="E38461" s="4" t="str">
        <v/>
      </c>
      <c r="F38461" s="102" t="str">
        <f ca="1">IFERROR(__xludf.DUMMYFUNCTION("IMPORTRANGE(H38461,""IDENTITAS UNIT!D9"")"),"#N/A")</f>
        <v>#N/A</v>
      </c>
      <c r="H38461" s="4" t="str">
        <v/>
      </c>
      <c r="I38461" s="4" t="str">
        <v/>
      </c>
    </row>
    <row r="38462" spans="5:9" ht="16.5" hidden="1">
      <c r="E38462" s="4" t="str">
        <v/>
      </c>
      <c r="F38462" s="102" t="str">
        <f ca="1">IFERROR(__xludf.DUMMYFUNCTION("IMPORTRANGE(H38462,""IDENTITAS UNIT!D9"")"),"#N/A")</f>
        <v>#N/A</v>
      </c>
      <c r="H38462" s="4" t="str">
        <v/>
      </c>
      <c r="I38462" s="4" t="str">
        <v/>
      </c>
    </row>
    <row r="38463" spans="5:9" ht="16.5" hidden="1">
      <c r="E38463" s="4" t="str">
        <v/>
      </c>
      <c r="F38463" s="102" t="str">
        <f ca="1">IFERROR(__xludf.DUMMYFUNCTION("IMPORTRANGE(H38463,""IDENTITAS UNIT!D9"")"),"#N/A")</f>
        <v>#N/A</v>
      </c>
      <c r="H38463" s="4" t="str">
        <v/>
      </c>
      <c r="I38463" s="4" t="str">
        <v/>
      </c>
    </row>
    <row r="38464" spans="5:9" ht="16.5" hidden="1">
      <c r="E38464" s="4" t="str">
        <v/>
      </c>
      <c r="F38464" s="102" t="str">
        <f ca="1">IFERROR(__xludf.DUMMYFUNCTION("IMPORTRANGE(H38464,""IDENTITAS UNIT!D9"")"),"#N/A")</f>
        <v>#N/A</v>
      </c>
      <c r="H38464" s="4" t="str">
        <v/>
      </c>
      <c r="I38464" s="4" t="str">
        <v/>
      </c>
    </row>
    <row r="38465" spans="5:9" ht="16.5" hidden="1">
      <c r="E38465" s="4" t="str">
        <v/>
      </c>
      <c r="F38465" s="102" t="str">
        <f ca="1">IFERROR(__xludf.DUMMYFUNCTION("IMPORTRANGE(H38465,""IDENTITAS UNIT!D9"")"),"#N/A")</f>
        <v>#N/A</v>
      </c>
      <c r="H38465" s="4" t="str">
        <v/>
      </c>
      <c r="I38465" s="4" t="str">
        <v/>
      </c>
    </row>
    <row r="38466" spans="5:9" ht="16.5" hidden="1">
      <c r="E38466" s="4" t="str">
        <v/>
      </c>
      <c r="F38466" s="102" t="str">
        <f ca="1">IFERROR(__xludf.DUMMYFUNCTION("IMPORTRANGE(H38466,""IDENTITAS UNIT!D9"")"),"#N/A")</f>
        <v>#N/A</v>
      </c>
      <c r="H38466" s="4" t="str">
        <v/>
      </c>
      <c r="I38466" s="4" t="str">
        <v/>
      </c>
    </row>
    <row r="38467" spans="5:9" ht="16.5" hidden="1">
      <c r="E38467" s="4" t="str">
        <v/>
      </c>
      <c r="F38467" s="102" t="str">
        <f ca="1">IFERROR(__xludf.DUMMYFUNCTION("IMPORTRANGE(H38467,""IDENTITAS UNIT!D9"")"),"#N/A")</f>
        <v>#N/A</v>
      </c>
      <c r="H38467" s="4" t="str">
        <v/>
      </c>
      <c r="I38467" s="4" t="str">
        <v/>
      </c>
    </row>
    <row r="38468" spans="5:9" ht="16.5" hidden="1">
      <c r="E38468" s="4" t="str">
        <v/>
      </c>
      <c r="F38468" s="102" t="str">
        <f ca="1">IFERROR(__xludf.DUMMYFUNCTION("IMPORTRANGE(H38468,""IDENTITAS UNIT!D9"")"),"#N/A")</f>
        <v>#N/A</v>
      </c>
      <c r="H38468" s="4" t="str">
        <v/>
      </c>
      <c r="I38468" s="4" t="str">
        <v/>
      </c>
    </row>
    <row r="38469" spans="5:9" ht="16.5" hidden="1">
      <c r="E38469" s="4" t="str">
        <v/>
      </c>
      <c r="F38469" s="102" t="str">
        <f ca="1">IFERROR(__xludf.DUMMYFUNCTION("IMPORTRANGE(H38469,""IDENTITAS UNIT!D9"")"),"#N/A")</f>
        <v>#N/A</v>
      </c>
      <c r="H38469" s="4" t="str">
        <v/>
      </c>
      <c r="I38469" s="4" t="str">
        <v/>
      </c>
    </row>
    <row r="38470" spans="5:9" ht="16.5" hidden="1">
      <c r="E38470" s="4" t="str">
        <v/>
      </c>
      <c r="F38470" s="102" t="str">
        <f ca="1">IFERROR(__xludf.DUMMYFUNCTION("IMPORTRANGE(H38470,""IDENTITAS UNIT!D9"")"),"#N/A")</f>
        <v>#N/A</v>
      </c>
      <c r="H38470" s="4" t="str">
        <v/>
      </c>
      <c r="I38470" s="4" t="str">
        <v/>
      </c>
    </row>
    <row r="38471" spans="5:9" ht="16.5" hidden="1">
      <c r="E38471" s="4" t="str">
        <v/>
      </c>
      <c r="F38471" s="102" t="str">
        <f ca="1">IFERROR(__xludf.DUMMYFUNCTION("IMPORTRANGE(H38471,""IDENTITAS UNIT!D9"")"),"#N/A")</f>
        <v>#N/A</v>
      </c>
      <c r="H38471" s="4" t="str">
        <v/>
      </c>
      <c r="I38471" s="4" t="str">
        <v/>
      </c>
    </row>
    <row r="38472" spans="5:9" ht="16.5" hidden="1">
      <c r="E38472" s="4" t="str">
        <v/>
      </c>
      <c r="F38472" s="102" t="str">
        <f ca="1">IFERROR(__xludf.DUMMYFUNCTION("IMPORTRANGE(H38472,""IDENTITAS UNIT!D9"")"),"#N/A")</f>
        <v>#N/A</v>
      </c>
      <c r="H38472" s="4" t="str">
        <v/>
      </c>
      <c r="I38472" s="4" t="str">
        <v/>
      </c>
    </row>
    <row r="38473" spans="5:9" ht="16.5" hidden="1">
      <c r="E38473" s="4" t="str">
        <v/>
      </c>
      <c r="F38473" s="102" t="str">
        <f ca="1">IFERROR(__xludf.DUMMYFUNCTION("IMPORTRANGE(H38473,""IDENTITAS UNIT!D9"")"),"#N/A")</f>
        <v>#N/A</v>
      </c>
      <c r="H38473" s="4" t="str">
        <v/>
      </c>
      <c r="I38473" s="4" t="str">
        <v/>
      </c>
    </row>
    <row r="38474" spans="5:9" ht="16.5" hidden="1">
      <c r="E38474" s="4" t="str">
        <v/>
      </c>
      <c r="F38474" s="102" t="str">
        <f ca="1">IFERROR(__xludf.DUMMYFUNCTION("IMPORTRANGE(H38474,""IDENTITAS UNIT!D9"")"),"#N/A")</f>
        <v>#N/A</v>
      </c>
      <c r="H38474" s="4" t="str">
        <v/>
      </c>
      <c r="I38474" s="4" t="str">
        <v/>
      </c>
    </row>
    <row r="38475" spans="5:9" ht="16.5" hidden="1">
      <c r="E38475" s="4" t="str">
        <v/>
      </c>
      <c r="F38475" s="102" t="str">
        <f ca="1">IFERROR(__xludf.DUMMYFUNCTION("IMPORTRANGE(H38475,""IDENTITAS UNIT!D9"")"),"#N/A")</f>
        <v>#N/A</v>
      </c>
      <c r="H38475" s="4" t="str">
        <v/>
      </c>
      <c r="I38475" s="4" t="str">
        <v/>
      </c>
    </row>
    <row r="38476" spans="5:9" ht="16.5" hidden="1">
      <c r="E38476" s="4" t="str">
        <v/>
      </c>
      <c r="F38476" s="102" t="str">
        <f ca="1">IFERROR(__xludf.DUMMYFUNCTION("IMPORTRANGE(H38476,""IDENTITAS UNIT!D9"")"),"#N/A")</f>
        <v>#N/A</v>
      </c>
      <c r="H38476" s="4" t="str">
        <v/>
      </c>
      <c r="I38476" s="4" t="str">
        <v/>
      </c>
    </row>
    <row r="38477" spans="5:9" ht="16.5" hidden="1">
      <c r="E38477" s="4" t="str">
        <v/>
      </c>
      <c r="F38477" s="102" t="str">
        <f ca="1">IFERROR(__xludf.DUMMYFUNCTION("IMPORTRANGE(H38477,""IDENTITAS UNIT!D9"")"),"#N/A")</f>
        <v>#N/A</v>
      </c>
      <c r="H38477" s="4" t="str">
        <v/>
      </c>
      <c r="I38477" s="4" t="str">
        <v/>
      </c>
    </row>
    <row r="38478" spans="5:9" ht="16.5" hidden="1">
      <c r="E38478" s="4" t="str">
        <v/>
      </c>
      <c r="F38478" s="102" t="str">
        <f ca="1">IFERROR(__xludf.DUMMYFUNCTION("IMPORTRANGE(H38478,""IDENTITAS UNIT!D9"")"),"#N/A")</f>
        <v>#N/A</v>
      </c>
      <c r="H38478" s="4" t="str">
        <v/>
      </c>
      <c r="I38478" s="4" t="str">
        <v/>
      </c>
    </row>
    <row r="38479" spans="5:9" ht="16.5" hidden="1">
      <c r="E38479" s="4" t="str">
        <v/>
      </c>
      <c r="F38479" s="102" t="str">
        <f ca="1">IFERROR(__xludf.DUMMYFUNCTION("IMPORTRANGE(H38479,""IDENTITAS UNIT!D9"")"),"#N/A")</f>
        <v>#N/A</v>
      </c>
      <c r="H38479" s="4" t="str">
        <v/>
      </c>
      <c r="I38479" s="4" t="str">
        <v/>
      </c>
    </row>
    <row r="38480" spans="5:9" ht="16.5" hidden="1">
      <c r="E38480" s="4" t="str">
        <v/>
      </c>
      <c r="F38480" s="102" t="str">
        <f ca="1">IFERROR(__xludf.DUMMYFUNCTION("IMPORTRANGE(H38480,""IDENTITAS UNIT!D9"")"),"#N/A")</f>
        <v>#N/A</v>
      </c>
      <c r="H38480" s="4" t="str">
        <v/>
      </c>
      <c r="I38480" s="4" t="str">
        <v/>
      </c>
    </row>
    <row r="38481" spans="5:9" ht="16.5" hidden="1">
      <c r="E38481" s="4" t="str">
        <v/>
      </c>
      <c r="F38481" s="102" t="str">
        <f ca="1">IFERROR(__xludf.DUMMYFUNCTION("IMPORTRANGE(H38481,""IDENTITAS UNIT!D9"")"),"#N/A")</f>
        <v>#N/A</v>
      </c>
      <c r="H38481" s="4" t="str">
        <v/>
      </c>
      <c r="I38481" s="4" t="str">
        <v/>
      </c>
    </row>
    <row r="38482" spans="5:9" ht="16.5" hidden="1">
      <c r="E38482" s="4" t="str">
        <v/>
      </c>
      <c r="F38482" s="102" t="str">
        <f ca="1">IFERROR(__xludf.DUMMYFUNCTION("IMPORTRANGE(H38482,""IDENTITAS UNIT!D9"")"),"#N/A")</f>
        <v>#N/A</v>
      </c>
      <c r="H38482" s="4" t="str">
        <v/>
      </c>
      <c r="I38482" s="4" t="str">
        <v/>
      </c>
    </row>
    <row r="38483" spans="5:9" ht="16.5" hidden="1">
      <c r="E38483" s="4" t="str">
        <v/>
      </c>
      <c r="F38483" s="102" t="str">
        <f ca="1">IFERROR(__xludf.DUMMYFUNCTION("IMPORTRANGE(H38483,""IDENTITAS UNIT!D9"")"),"#N/A")</f>
        <v>#N/A</v>
      </c>
      <c r="H38483" s="4" t="str">
        <v/>
      </c>
      <c r="I38483" s="4" t="str">
        <v/>
      </c>
    </row>
    <row r="38484" spans="5:9" ht="16.5" hidden="1">
      <c r="E38484" s="4" t="str">
        <v/>
      </c>
      <c r="F38484" s="102" t="str">
        <f ca="1">IFERROR(__xludf.DUMMYFUNCTION("IMPORTRANGE(H38484,""IDENTITAS UNIT!D9"")"),"#N/A")</f>
        <v>#N/A</v>
      </c>
      <c r="H38484" s="4" t="str">
        <v/>
      </c>
      <c r="I38484" s="4" t="str">
        <v/>
      </c>
    </row>
    <row r="38485" spans="5:9" ht="16.5" hidden="1">
      <c r="E38485" s="4" t="str">
        <v/>
      </c>
      <c r="F38485" s="102" t="str">
        <f ca="1">IFERROR(__xludf.DUMMYFUNCTION("IMPORTRANGE(H38485,""IDENTITAS UNIT!D9"")"),"#N/A")</f>
        <v>#N/A</v>
      </c>
      <c r="H38485" s="4" t="str">
        <v/>
      </c>
      <c r="I38485" s="4" t="str">
        <v/>
      </c>
    </row>
    <row r="38486" spans="5:9" ht="16.5" hidden="1">
      <c r="E38486" s="4" t="str">
        <v/>
      </c>
      <c r="F38486" s="102" t="str">
        <f ca="1">IFERROR(__xludf.DUMMYFUNCTION("IMPORTRANGE(H38486,""IDENTITAS UNIT!D9"")"),"#N/A")</f>
        <v>#N/A</v>
      </c>
      <c r="H38486" s="4" t="str">
        <v/>
      </c>
      <c r="I38486" s="4" t="str">
        <v/>
      </c>
    </row>
    <row r="38487" spans="5:9" ht="16.5" hidden="1">
      <c r="E38487" s="4" t="str">
        <v/>
      </c>
      <c r="F38487" s="102" t="str">
        <f ca="1">IFERROR(__xludf.DUMMYFUNCTION("IMPORTRANGE(H38487,""IDENTITAS UNIT!D9"")"),"#N/A")</f>
        <v>#N/A</v>
      </c>
      <c r="H38487" s="4" t="str">
        <v/>
      </c>
      <c r="I38487" s="4" t="str">
        <v/>
      </c>
    </row>
    <row r="38488" spans="5:9" ht="16.5" hidden="1">
      <c r="E38488" s="4" t="str">
        <v/>
      </c>
      <c r="F38488" s="102" t="str">
        <f ca="1">IFERROR(__xludf.DUMMYFUNCTION("IMPORTRANGE(H38488,""IDENTITAS UNIT!D9"")"),"#N/A")</f>
        <v>#N/A</v>
      </c>
      <c r="H38488" s="4" t="str">
        <v/>
      </c>
      <c r="I38488" s="4" t="str">
        <v/>
      </c>
    </row>
    <row r="38489" spans="5:9" ht="16.5" hidden="1">
      <c r="E38489" s="4" t="str">
        <v/>
      </c>
      <c r="F38489" s="102" t="str">
        <f ca="1">IFERROR(__xludf.DUMMYFUNCTION("IMPORTRANGE(H38489,""IDENTITAS UNIT!D9"")"),"#N/A")</f>
        <v>#N/A</v>
      </c>
      <c r="H38489" s="4" t="str">
        <v/>
      </c>
      <c r="I38489" s="4" t="str">
        <v/>
      </c>
    </row>
    <row r="38490" spans="5:9" ht="16.5" hidden="1">
      <c r="E38490" s="4" t="str">
        <v/>
      </c>
      <c r="F38490" s="102" t="str">
        <f ca="1">IFERROR(__xludf.DUMMYFUNCTION("IMPORTRANGE(H38490,""IDENTITAS UNIT!D9"")"),"#N/A")</f>
        <v>#N/A</v>
      </c>
      <c r="H38490" s="4" t="str">
        <v/>
      </c>
      <c r="I38490" s="4" t="str">
        <v/>
      </c>
    </row>
    <row r="38491" spans="5:9" ht="16.5" hidden="1">
      <c r="E38491" s="4" t="str">
        <v/>
      </c>
      <c r="F38491" s="102" t="str">
        <f ca="1">IFERROR(__xludf.DUMMYFUNCTION("IMPORTRANGE(H38491,""IDENTITAS UNIT!D9"")"),"#N/A")</f>
        <v>#N/A</v>
      </c>
      <c r="H38491" s="4" t="str">
        <v/>
      </c>
      <c r="I38491" s="4" t="str">
        <v/>
      </c>
    </row>
    <row r="38492" spans="5:9" ht="16.5" hidden="1">
      <c r="E38492" s="4" t="str">
        <v/>
      </c>
      <c r="F38492" s="102" t="str">
        <f ca="1">IFERROR(__xludf.DUMMYFUNCTION("IMPORTRANGE(H38492,""IDENTITAS UNIT!D9"")"),"#N/A")</f>
        <v>#N/A</v>
      </c>
      <c r="H38492" s="4" t="str">
        <v/>
      </c>
      <c r="I38492" s="4" t="str">
        <v/>
      </c>
    </row>
    <row r="38493" spans="5:9" ht="16.5" hidden="1">
      <c r="E38493" s="4" t="str">
        <v/>
      </c>
      <c r="F38493" s="102" t="str">
        <f ca="1">IFERROR(__xludf.DUMMYFUNCTION("IMPORTRANGE(H38493,""IDENTITAS UNIT!D9"")"),"#N/A")</f>
        <v>#N/A</v>
      </c>
      <c r="H38493" s="4" t="str">
        <v/>
      </c>
      <c r="I38493" s="4" t="str">
        <v/>
      </c>
    </row>
    <row r="38494" spans="5:9" ht="16.5" hidden="1">
      <c r="E38494" s="4" t="str">
        <v/>
      </c>
      <c r="F38494" s="102" t="str">
        <f ca="1">IFERROR(__xludf.DUMMYFUNCTION("IMPORTRANGE(H38494,""IDENTITAS UNIT!D9"")"),"#N/A")</f>
        <v>#N/A</v>
      </c>
      <c r="H38494" s="4" t="str">
        <v/>
      </c>
      <c r="I38494" s="4" t="str">
        <v/>
      </c>
    </row>
    <row r="38495" spans="5:9" ht="16.5" hidden="1">
      <c r="E38495" s="4" t="str">
        <v/>
      </c>
      <c r="F38495" s="102" t="str">
        <f ca="1">IFERROR(__xludf.DUMMYFUNCTION("IMPORTRANGE(H38495,""IDENTITAS UNIT!D9"")"),"#N/A")</f>
        <v>#N/A</v>
      </c>
      <c r="H38495" s="4" t="str">
        <v/>
      </c>
      <c r="I38495" s="4" t="str">
        <v/>
      </c>
    </row>
    <row r="38496" spans="5:9" ht="16.5" hidden="1">
      <c r="E38496" s="4" t="str">
        <v/>
      </c>
      <c r="F38496" s="102" t="str">
        <f ca="1">IFERROR(__xludf.DUMMYFUNCTION("IMPORTRANGE(H38496,""IDENTITAS UNIT!D9"")"),"#N/A")</f>
        <v>#N/A</v>
      </c>
      <c r="H38496" s="4" t="str">
        <v/>
      </c>
      <c r="I38496" s="4" t="str">
        <v/>
      </c>
    </row>
    <row r="38497" spans="5:9" ht="16.5" hidden="1">
      <c r="E38497" s="4" t="str">
        <v/>
      </c>
      <c r="F38497" s="102" t="str">
        <f ca="1">IFERROR(__xludf.DUMMYFUNCTION("IMPORTRANGE(H38497,""IDENTITAS UNIT!D9"")"),"#N/A")</f>
        <v>#N/A</v>
      </c>
      <c r="H38497" s="4" t="str">
        <v/>
      </c>
      <c r="I38497" s="4" t="str">
        <v/>
      </c>
    </row>
    <row r="38498" spans="5:9" ht="16.5" hidden="1">
      <c r="E38498" s="4" t="str">
        <v/>
      </c>
      <c r="F38498" s="102" t="str">
        <f ca="1">IFERROR(__xludf.DUMMYFUNCTION("IMPORTRANGE(H38498,""IDENTITAS UNIT!D9"")"),"#N/A")</f>
        <v>#N/A</v>
      </c>
      <c r="H38498" s="4" t="str">
        <v/>
      </c>
      <c r="I38498" s="4" t="str">
        <v/>
      </c>
    </row>
    <row r="38499" spans="5:9" ht="16.5" hidden="1">
      <c r="E38499" s="4" t="str">
        <v/>
      </c>
      <c r="F38499" s="102" t="str">
        <f ca="1">IFERROR(__xludf.DUMMYFUNCTION("IMPORTRANGE(H38499,""IDENTITAS UNIT!D9"")"),"#N/A")</f>
        <v>#N/A</v>
      </c>
      <c r="H38499" s="4" t="str">
        <v/>
      </c>
      <c r="I38499" s="4" t="str">
        <v/>
      </c>
    </row>
    <row r="38500" spans="5:9" ht="16.5" hidden="1">
      <c r="E38500" s="4" t="str">
        <v/>
      </c>
      <c r="F38500" s="102" t="str">
        <f ca="1">IFERROR(__xludf.DUMMYFUNCTION("IMPORTRANGE(H38500,""IDENTITAS UNIT!D9"")"),"#N/A")</f>
        <v>#N/A</v>
      </c>
      <c r="H38500" s="4" t="str">
        <v/>
      </c>
      <c r="I38500" s="4" t="str">
        <v/>
      </c>
    </row>
    <row r="38501" spans="5:9" ht="16.5" hidden="1">
      <c r="E38501" s="4" t="str">
        <v/>
      </c>
      <c r="F38501" s="102" t="str">
        <f ca="1">IFERROR(__xludf.DUMMYFUNCTION("IMPORTRANGE(H38501,""IDENTITAS UNIT!D9"")"),"#N/A")</f>
        <v>#N/A</v>
      </c>
      <c r="H38501" s="4" t="str">
        <v/>
      </c>
      <c r="I38501" s="4" t="str">
        <v/>
      </c>
    </row>
    <row r="38502" spans="5:9" ht="16.5" hidden="1">
      <c r="E38502" s="4" t="str">
        <v/>
      </c>
      <c r="F38502" s="102" t="str">
        <f ca="1">IFERROR(__xludf.DUMMYFUNCTION("IMPORTRANGE(H38502,""IDENTITAS UNIT!D9"")"),"#N/A")</f>
        <v>#N/A</v>
      </c>
      <c r="H38502" s="4" t="str">
        <v/>
      </c>
      <c r="I38502" s="4" t="str">
        <v/>
      </c>
    </row>
    <row r="38503" spans="5:9" ht="16.5" hidden="1">
      <c r="E38503" s="4" t="str">
        <v/>
      </c>
      <c r="F38503" s="102" t="str">
        <f ca="1">IFERROR(__xludf.DUMMYFUNCTION("IMPORTRANGE(H38503,""IDENTITAS UNIT!D9"")"),"#N/A")</f>
        <v>#N/A</v>
      </c>
      <c r="H38503" s="4" t="str">
        <v/>
      </c>
      <c r="I38503" s="4" t="str">
        <v/>
      </c>
    </row>
    <row r="38504" spans="5:9" ht="16.5" hidden="1">
      <c r="E38504" s="4" t="str">
        <v/>
      </c>
      <c r="F38504" s="102" t="str">
        <f ca="1">IFERROR(__xludf.DUMMYFUNCTION("IMPORTRANGE(H38504,""IDENTITAS UNIT!D9"")"),"#N/A")</f>
        <v>#N/A</v>
      </c>
      <c r="H38504" s="4" t="str">
        <v/>
      </c>
      <c r="I38504" s="4" t="str">
        <v/>
      </c>
    </row>
    <row r="38505" spans="5:9" ht="16.5" hidden="1">
      <c r="E38505" s="4" t="str">
        <v/>
      </c>
      <c r="F38505" s="102" t="str">
        <f ca="1">IFERROR(__xludf.DUMMYFUNCTION("IMPORTRANGE(H38505,""IDENTITAS UNIT!D9"")"),"#N/A")</f>
        <v>#N/A</v>
      </c>
      <c r="H38505" s="4" t="str">
        <v/>
      </c>
      <c r="I38505" s="4" t="str">
        <v/>
      </c>
    </row>
    <row r="38506" spans="5:9" ht="16.5" hidden="1">
      <c r="E38506" s="4" t="str">
        <v/>
      </c>
      <c r="F38506" s="102" t="str">
        <f ca="1">IFERROR(__xludf.DUMMYFUNCTION("IMPORTRANGE(H38506,""IDENTITAS UNIT!D9"")"),"#N/A")</f>
        <v>#N/A</v>
      </c>
      <c r="H38506" s="4" t="str">
        <v/>
      </c>
      <c r="I38506" s="4" t="str">
        <v/>
      </c>
    </row>
    <row r="38507" spans="5:9" ht="16.5" hidden="1">
      <c r="E38507" s="4" t="str">
        <v/>
      </c>
      <c r="F38507" s="102" t="str">
        <f ca="1">IFERROR(__xludf.DUMMYFUNCTION("IMPORTRANGE(H38507,""IDENTITAS UNIT!D9"")"),"#N/A")</f>
        <v>#N/A</v>
      </c>
      <c r="H38507" s="4" t="str">
        <v/>
      </c>
      <c r="I38507" s="4" t="str">
        <v/>
      </c>
    </row>
    <row r="38508" spans="5:9" ht="16.5" hidden="1">
      <c r="E38508" s="4" t="str">
        <v/>
      </c>
      <c r="F38508" s="102" t="str">
        <f ca="1">IFERROR(__xludf.DUMMYFUNCTION("IMPORTRANGE(H38508,""IDENTITAS UNIT!D9"")"),"#N/A")</f>
        <v>#N/A</v>
      </c>
      <c r="H38508" s="4" t="str">
        <v/>
      </c>
      <c r="I38508" s="4" t="str">
        <v/>
      </c>
    </row>
    <row r="38509" spans="5:9" ht="16.5" hidden="1">
      <c r="E38509" s="4" t="str">
        <v/>
      </c>
      <c r="F38509" s="102" t="str">
        <f ca="1">IFERROR(__xludf.DUMMYFUNCTION("IMPORTRANGE(H38509,""IDENTITAS UNIT!D9"")"),"#N/A")</f>
        <v>#N/A</v>
      </c>
      <c r="H38509" s="4" t="str">
        <v/>
      </c>
      <c r="I38509" s="4" t="str">
        <v/>
      </c>
    </row>
    <row r="38510" spans="5:9" ht="16.5" hidden="1">
      <c r="E38510" s="4" t="str">
        <v/>
      </c>
      <c r="F38510" s="102" t="str">
        <f ca="1">IFERROR(__xludf.DUMMYFUNCTION("IMPORTRANGE(H38510,""IDENTITAS UNIT!D9"")"),"#N/A")</f>
        <v>#N/A</v>
      </c>
      <c r="H38510" s="4" t="str">
        <v/>
      </c>
      <c r="I38510" s="4" t="str">
        <v/>
      </c>
    </row>
    <row r="38511" spans="5:9" ht="16.5" hidden="1">
      <c r="E38511" s="4" t="str">
        <v/>
      </c>
      <c r="F38511" s="102" t="str">
        <f ca="1">IFERROR(__xludf.DUMMYFUNCTION("IMPORTRANGE(H38511,""IDENTITAS UNIT!D9"")"),"#N/A")</f>
        <v>#N/A</v>
      </c>
      <c r="H38511" s="4" t="str">
        <v/>
      </c>
      <c r="I38511" s="4" t="str">
        <v/>
      </c>
    </row>
    <row r="38512" spans="5:9" ht="16.5" hidden="1">
      <c r="E38512" s="4" t="str">
        <v/>
      </c>
      <c r="F38512" s="102" t="str">
        <f ca="1">IFERROR(__xludf.DUMMYFUNCTION("IMPORTRANGE(H38512,""IDENTITAS UNIT!D9"")"),"#N/A")</f>
        <v>#N/A</v>
      </c>
      <c r="H38512" s="4" t="str">
        <v/>
      </c>
      <c r="I38512" s="4" t="str">
        <v/>
      </c>
    </row>
    <row r="38513" spans="5:9" ht="16.5" hidden="1">
      <c r="E38513" s="4" t="str">
        <v/>
      </c>
      <c r="F38513" s="102" t="str">
        <f ca="1">IFERROR(__xludf.DUMMYFUNCTION("IMPORTRANGE(H38513,""IDENTITAS UNIT!D9"")"),"#N/A")</f>
        <v>#N/A</v>
      </c>
      <c r="H38513" s="4" t="str">
        <v/>
      </c>
      <c r="I38513" s="4" t="str">
        <v/>
      </c>
    </row>
    <row r="38514" spans="5:9" ht="16.5" hidden="1">
      <c r="E38514" s="4" t="str">
        <v/>
      </c>
      <c r="F38514" s="102" t="str">
        <f ca="1">IFERROR(__xludf.DUMMYFUNCTION("IMPORTRANGE(H38514,""IDENTITAS UNIT!D9"")"),"#N/A")</f>
        <v>#N/A</v>
      </c>
      <c r="H38514" s="4" t="str">
        <v/>
      </c>
      <c r="I38514" s="4" t="str">
        <v/>
      </c>
    </row>
    <row r="38515" spans="5:9" ht="16.5" hidden="1">
      <c r="E38515" s="4" t="str">
        <v/>
      </c>
      <c r="F38515" s="102" t="str">
        <f ca="1">IFERROR(__xludf.DUMMYFUNCTION("IMPORTRANGE(H38515,""IDENTITAS UNIT!D9"")"),"#N/A")</f>
        <v>#N/A</v>
      </c>
      <c r="H38515" s="4" t="str">
        <v/>
      </c>
      <c r="I38515" s="4" t="str">
        <v/>
      </c>
    </row>
    <row r="38516" spans="5:9" ht="16.5" hidden="1">
      <c r="E38516" s="4" t="str">
        <v/>
      </c>
      <c r="F38516" s="102" t="str">
        <f ca="1">IFERROR(__xludf.DUMMYFUNCTION("IMPORTRANGE(H38516,""IDENTITAS UNIT!D9"")"),"#N/A")</f>
        <v>#N/A</v>
      </c>
      <c r="H38516" s="4" t="str">
        <v/>
      </c>
      <c r="I38516" s="4" t="str">
        <v/>
      </c>
    </row>
    <row r="38517" spans="5:9" ht="16.5" hidden="1">
      <c r="E38517" s="4" t="str">
        <v/>
      </c>
      <c r="F38517" s="102" t="str">
        <f ca="1">IFERROR(__xludf.DUMMYFUNCTION("IMPORTRANGE(H38517,""IDENTITAS UNIT!D9"")"),"#N/A")</f>
        <v>#N/A</v>
      </c>
      <c r="H38517" s="4" t="str">
        <v/>
      </c>
      <c r="I38517" s="4" t="str">
        <v/>
      </c>
    </row>
    <row r="38518" spans="5:9" ht="16.5" hidden="1">
      <c r="E38518" s="4" t="str">
        <v/>
      </c>
      <c r="F38518" s="102" t="str">
        <f ca="1">IFERROR(__xludf.DUMMYFUNCTION("IMPORTRANGE(H38518,""IDENTITAS UNIT!D9"")"),"#N/A")</f>
        <v>#N/A</v>
      </c>
      <c r="H38518" s="4" t="str">
        <v/>
      </c>
      <c r="I38518" s="4" t="str">
        <v/>
      </c>
    </row>
    <row r="38519" spans="5:9" ht="16.5" hidden="1">
      <c r="E38519" s="4" t="str">
        <v/>
      </c>
      <c r="F38519" s="102" t="str">
        <f ca="1">IFERROR(__xludf.DUMMYFUNCTION("IMPORTRANGE(H38519,""IDENTITAS UNIT!D9"")"),"#N/A")</f>
        <v>#N/A</v>
      </c>
      <c r="H38519" s="4" t="str">
        <v/>
      </c>
      <c r="I38519" s="4" t="str">
        <v/>
      </c>
    </row>
    <row r="38520" spans="5:9" ht="16.5" hidden="1">
      <c r="E38520" s="4" t="str">
        <v/>
      </c>
      <c r="F38520" s="102" t="str">
        <f ca="1">IFERROR(__xludf.DUMMYFUNCTION("IMPORTRANGE(H38520,""IDENTITAS UNIT!D9"")"),"#N/A")</f>
        <v>#N/A</v>
      </c>
      <c r="H38520" s="4" t="str">
        <v/>
      </c>
      <c r="I38520" s="4" t="str">
        <v/>
      </c>
    </row>
    <row r="38521" spans="5:9" ht="16.5" hidden="1">
      <c r="E38521" s="4" t="str">
        <v/>
      </c>
      <c r="F38521" s="102" t="str">
        <f ca="1">IFERROR(__xludf.DUMMYFUNCTION("IMPORTRANGE(H38521,""IDENTITAS UNIT!D9"")"),"#N/A")</f>
        <v>#N/A</v>
      </c>
      <c r="H38521" s="4" t="str">
        <v/>
      </c>
      <c r="I38521" s="4" t="str">
        <v/>
      </c>
    </row>
    <row r="38522" spans="5:9" ht="16.5" hidden="1">
      <c r="E38522" s="4" t="str">
        <v/>
      </c>
      <c r="F38522" s="102" t="str">
        <f ca="1">IFERROR(__xludf.DUMMYFUNCTION("IMPORTRANGE(H38522,""IDENTITAS UNIT!D9"")"),"#N/A")</f>
        <v>#N/A</v>
      </c>
      <c r="H38522" s="4" t="str">
        <v/>
      </c>
      <c r="I38522" s="4" t="str">
        <v/>
      </c>
    </row>
    <row r="38523" spans="5:9" ht="16.5" hidden="1">
      <c r="E38523" s="4" t="str">
        <v/>
      </c>
      <c r="F38523" s="102" t="str">
        <f ca="1">IFERROR(__xludf.DUMMYFUNCTION("IMPORTRANGE(H38523,""IDENTITAS UNIT!D9"")"),"#N/A")</f>
        <v>#N/A</v>
      </c>
      <c r="H38523" s="4" t="str">
        <v/>
      </c>
      <c r="I38523" s="4" t="str">
        <v/>
      </c>
    </row>
    <row r="38524" spans="5:9" ht="16.5" hidden="1">
      <c r="E38524" s="4" t="str">
        <v/>
      </c>
      <c r="F38524" s="102" t="str">
        <f ca="1">IFERROR(__xludf.DUMMYFUNCTION("IMPORTRANGE(H38524,""IDENTITAS UNIT!D9"")"),"#N/A")</f>
        <v>#N/A</v>
      </c>
      <c r="H38524" s="4" t="str">
        <v/>
      </c>
      <c r="I38524" s="4" t="str">
        <v/>
      </c>
    </row>
    <row r="38525" spans="5:9" ht="16.5" hidden="1">
      <c r="E38525" s="4" t="str">
        <v/>
      </c>
      <c r="F38525" s="102" t="str">
        <f ca="1">IFERROR(__xludf.DUMMYFUNCTION("IMPORTRANGE(H38525,""IDENTITAS UNIT!D9"")"),"#N/A")</f>
        <v>#N/A</v>
      </c>
      <c r="H38525" s="4" t="str">
        <v/>
      </c>
      <c r="I38525" s="4" t="str">
        <v/>
      </c>
    </row>
    <row r="38526" spans="5:9" ht="16.5" hidden="1">
      <c r="E38526" s="4" t="str">
        <v/>
      </c>
      <c r="F38526" s="102" t="str">
        <f ca="1">IFERROR(__xludf.DUMMYFUNCTION("IMPORTRANGE(H38526,""IDENTITAS UNIT!D9"")"),"#N/A")</f>
        <v>#N/A</v>
      </c>
      <c r="H38526" s="4" t="str">
        <v/>
      </c>
      <c r="I38526" s="4" t="str">
        <v/>
      </c>
    </row>
    <row r="38527" spans="5:9" ht="16.5" hidden="1">
      <c r="E38527" s="4" t="str">
        <v/>
      </c>
      <c r="F38527" s="102" t="str">
        <f ca="1">IFERROR(__xludf.DUMMYFUNCTION("IMPORTRANGE(H38527,""IDENTITAS UNIT!D9"")"),"#N/A")</f>
        <v>#N/A</v>
      </c>
      <c r="H38527" s="4" t="str">
        <v/>
      </c>
      <c r="I38527" s="4" t="str">
        <v/>
      </c>
    </row>
    <row r="38528" spans="5:9" ht="16.5" hidden="1">
      <c r="E38528" s="4" t="str">
        <v/>
      </c>
      <c r="F38528" s="102" t="str">
        <f ca="1">IFERROR(__xludf.DUMMYFUNCTION("IMPORTRANGE(H38528,""IDENTITAS UNIT!D9"")"),"#N/A")</f>
        <v>#N/A</v>
      </c>
      <c r="H38528" s="4" t="str">
        <v/>
      </c>
      <c r="I38528" s="4" t="str">
        <v/>
      </c>
    </row>
    <row r="38529" spans="5:9" ht="16.5" hidden="1">
      <c r="E38529" s="4" t="str">
        <v/>
      </c>
      <c r="F38529" s="102" t="str">
        <f ca="1">IFERROR(__xludf.DUMMYFUNCTION("IMPORTRANGE(H38529,""IDENTITAS UNIT!D9"")"),"#N/A")</f>
        <v>#N/A</v>
      </c>
      <c r="H38529" s="4" t="str">
        <v/>
      </c>
      <c r="I38529" s="4" t="str">
        <v/>
      </c>
    </row>
    <row r="38530" spans="5:9" ht="16.5" hidden="1">
      <c r="E38530" s="4" t="str">
        <v/>
      </c>
      <c r="F38530" s="102" t="str">
        <f ca="1">IFERROR(__xludf.DUMMYFUNCTION("IMPORTRANGE(H38530,""IDENTITAS UNIT!D9"")"),"#N/A")</f>
        <v>#N/A</v>
      </c>
      <c r="H38530" s="4" t="str">
        <v/>
      </c>
      <c r="I38530" s="4" t="str">
        <v/>
      </c>
    </row>
    <row r="38531" spans="5:9" ht="16.5" hidden="1">
      <c r="E38531" s="4" t="str">
        <v/>
      </c>
      <c r="F38531" s="102" t="str">
        <f ca="1">IFERROR(__xludf.DUMMYFUNCTION("IMPORTRANGE(H38531,""IDENTITAS UNIT!D9"")"),"#N/A")</f>
        <v>#N/A</v>
      </c>
      <c r="H38531" s="4" t="str">
        <v/>
      </c>
      <c r="I38531" s="4" t="str">
        <v/>
      </c>
    </row>
    <row r="38532" spans="5:9" ht="16.5" hidden="1">
      <c r="E38532" s="4" t="str">
        <v/>
      </c>
      <c r="F38532" s="102" t="str">
        <f ca="1">IFERROR(__xludf.DUMMYFUNCTION("IMPORTRANGE(H38532,""IDENTITAS UNIT!D9"")"),"#N/A")</f>
        <v>#N/A</v>
      </c>
      <c r="H38532" s="4" t="str">
        <v/>
      </c>
      <c r="I38532" s="4" t="str">
        <v/>
      </c>
    </row>
    <row r="38533" spans="5:9" ht="16.5" hidden="1">
      <c r="E38533" s="4" t="str">
        <v/>
      </c>
      <c r="F38533" s="102" t="str">
        <f ca="1">IFERROR(__xludf.DUMMYFUNCTION("IMPORTRANGE(H38533,""IDENTITAS UNIT!D9"")"),"#N/A")</f>
        <v>#N/A</v>
      </c>
      <c r="H38533" s="4" t="str">
        <v/>
      </c>
      <c r="I38533" s="4" t="str">
        <v/>
      </c>
    </row>
    <row r="38534" spans="5:9" ht="16.5" hidden="1">
      <c r="E38534" s="4" t="str">
        <v/>
      </c>
      <c r="F38534" s="102" t="str">
        <f ca="1">IFERROR(__xludf.DUMMYFUNCTION("IMPORTRANGE(H38534,""IDENTITAS UNIT!D9"")"),"#N/A")</f>
        <v>#N/A</v>
      </c>
      <c r="H38534" s="4" t="str">
        <v/>
      </c>
      <c r="I38534" s="4" t="str">
        <v/>
      </c>
    </row>
    <row r="38535" spans="5:9" ht="16.5" hidden="1">
      <c r="E38535" s="4" t="str">
        <v/>
      </c>
      <c r="F38535" s="102" t="str">
        <f ca="1">IFERROR(__xludf.DUMMYFUNCTION("IMPORTRANGE(H38535,""IDENTITAS UNIT!D9"")"),"#N/A")</f>
        <v>#N/A</v>
      </c>
      <c r="H38535" s="4" t="str">
        <v/>
      </c>
      <c r="I38535" s="4" t="str">
        <v/>
      </c>
    </row>
    <row r="38536" spans="5:9" ht="16.5" hidden="1">
      <c r="E38536" s="4" t="str">
        <v/>
      </c>
      <c r="F38536" s="102" t="str">
        <f ca="1">IFERROR(__xludf.DUMMYFUNCTION("IMPORTRANGE(H38536,""IDENTITAS UNIT!D9"")"),"#N/A")</f>
        <v>#N/A</v>
      </c>
      <c r="H38536" s="4" t="str">
        <v/>
      </c>
      <c r="I38536" s="4" t="str">
        <v/>
      </c>
    </row>
    <row r="38537" spans="5:9" ht="16.5" hidden="1">
      <c r="E38537" s="4" t="str">
        <v/>
      </c>
      <c r="F38537" s="102" t="str">
        <f ca="1">IFERROR(__xludf.DUMMYFUNCTION("IMPORTRANGE(H38537,""IDENTITAS UNIT!D9"")"),"#N/A")</f>
        <v>#N/A</v>
      </c>
      <c r="H38537" s="4" t="str">
        <v/>
      </c>
      <c r="I38537" s="4" t="str">
        <v/>
      </c>
    </row>
    <row r="38538" spans="5:9" ht="16.5" hidden="1">
      <c r="E38538" s="4" t="str">
        <v/>
      </c>
      <c r="F38538" s="102" t="str">
        <f ca="1">IFERROR(__xludf.DUMMYFUNCTION("IMPORTRANGE(H38538,""IDENTITAS UNIT!D9"")"),"#N/A")</f>
        <v>#N/A</v>
      </c>
      <c r="H38538" s="4" t="str">
        <v/>
      </c>
      <c r="I38538" s="4" t="str">
        <v/>
      </c>
    </row>
    <row r="38539" spans="5:9" ht="16.5" hidden="1">
      <c r="E38539" s="4" t="str">
        <v/>
      </c>
      <c r="F38539" s="102" t="str">
        <f ca="1">IFERROR(__xludf.DUMMYFUNCTION("IMPORTRANGE(H38539,""IDENTITAS UNIT!D9"")"),"#N/A")</f>
        <v>#N/A</v>
      </c>
      <c r="H38539" s="4" t="str">
        <v/>
      </c>
      <c r="I38539" s="4" t="str">
        <v/>
      </c>
    </row>
    <row r="38540" spans="5:9" ht="16.5" hidden="1">
      <c r="E38540" s="4" t="str">
        <v/>
      </c>
      <c r="F38540" s="102" t="str">
        <f ca="1">IFERROR(__xludf.DUMMYFUNCTION("IMPORTRANGE(H38540,""IDENTITAS UNIT!D9"")"),"#N/A")</f>
        <v>#N/A</v>
      </c>
      <c r="H38540" s="4" t="str">
        <v/>
      </c>
      <c r="I38540" s="4" t="str">
        <v/>
      </c>
    </row>
    <row r="38541" spans="5:9" ht="16.5" hidden="1">
      <c r="E38541" s="4" t="str">
        <v/>
      </c>
      <c r="F38541" s="102" t="str">
        <f ca="1">IFERROR(__xludf.DUMMYFUNCTION("IMPORTRANGE(H38541,""IDENTITAS UNIT!D9"")"),"#N/A")</f>
        <v>#N/A</v>
      </c>
      <c r="H38541" s="4" t="str">
        <v/>
      </c>
      <c r="I38541" s="4" t="str">
        <v/>
      </c>
    </row>
    <row r="38542" spans="5:9" ht="16.5" hidden="1">
      <c r="E38542" s="4" t="str">
        <v/>
      </c>
      <c r="F38542" s="102" t="str">
        <f ca="1">IFERROR(__xludf.DUMMYFUNCTION("IMPORTRANGE(H38542,""IDENTITAS UNIT!D9"")"),"#N/A")</f>
        <v>#N/A</v>
      </c>
      <c r="H38542" s="4" t="str">
        <v/>
      </c>
      <c r="I38542" s="4" t="str">
        <v/>
      </c>
    </row>
    <row r="38543" spans="5:9" ht="16.5" hidden="1">
      <c r="E38543" s="4" t="str">
        <v/>
      </c>
      <c r="F38543" s="102" t="str">
        <f ca="1">IFERROR(__xludf.DUMMYFUNCTION("IMPORTRANGE(H38543,""IDENTITAS UNIT!D9"")"),"#N/A")</f>
        <v>#N/A</v>
      </c>
      <c r="H38543" s="4" t="str">
        <v/>
      </c>
      <c r="I38543" s="4" t="str">
        <v/>
      </c>
    </row>
    <row r="38544" spans="5:9" ht="16.5" hidden="1">
      <c r="E38544" s="4" t="str">
        <v/>
      </c>
      <c r="F38544" s="102" t="str">
        <f ca="1">IFERROR(__xludf.DUMMYFUNCTION("IMPORTRANGE(H38544,""IDENTITAS UNIT!D9"")"),"#N/A")</f>
        <v>#N/A</v>
      </c>
      <c r="H38544" s="4" t="str">
        <v/>
      </c>
      <c r="I38544" s="4" t="str">
        <v/>
      </c>
    </row>
    <row r="38545" spans="5:9" ht="16.5" hidden="1">
      <c r="E38545" s="4" t="str">
        <v/>
      </c>
      <c r="F38545" s="102" t="str">
        <f ca="1">IFERROR(__xludf.DUMMYFUNCTION("IMPORTRANGE(H38545,""IDENTITAS UNIT!D9"")"),"#N/A")</f>
        <v>#N/A</v>
      </c>
      <c r="H38545" s="4" t="str">
        <v/>
      </c>
      <c r="I38545" s="4" t="str">
        <v/>
      </c>
    </row>
    <row r="38546" spans="5:9" ht="16.5" hidden="1">
      <c r="E38546" s="4" t="str">
        <v/>
      </c>
      <c r="F38546" s="102" t="str">
        <f ca="1">IFERROR(__xludf.DUMMYFUNCTION("IMPORTRANGE(H38546,""IDENTITAS UNIT!D9"")"),"#N/A")</f>
        <v>#N/A</v>
      </c>
      <c r="H38546" s="4" t="str">
        <v/>
      </c>
      <c r="I38546" s="4" t="str">
        <v/>
      </c>
    </row>
    <row r="38547" spans="5:9" ht="16.5" hidden="1">
      <c r="E38547" s="4" t="str">
        <v/>
      </c>
      <c r="F38547" s="102" t="str">
        <f ca="1">IFERROR(__xludf.DUMMYFUNCTION("IMPORTRANGE(H38547,""IDENTITAS UNIT!D9"")"),"#N/A")</f>
        <v>#N/A</v>
      </c>
      <c r="H38547" s="4" t="str">
        <v/>
      </c>
      <c r="I38547" s="4" t="str">
        <v/>
      </c>
    </row>
    <row r="38548" spans="5:9" ht="16.5" hidden="1">
      <c r="E38548" s="4" t="str">
        <v/>
      </c>
      <c r="F38548" s="102" t="str">
        <f ca="1">IFERROR(__xludf.DUMMYFUNCTION("IMPORTRANGE(H38548,""IDENTITAS UNIT!D9"")"),"#N/A")</f>
        <v>#N/A</v>
      </c>
      <c r="H38548" s="4" t="str">
        <v/>
      </c>
      <c r="I38548" s="4" t="str">
        <v/>
      </c>
    </row>
    <row r="38549" spans="5:9" ht="16.5" hidden="1">
      <c r="E38549" s="4" t="str">
        <v/>
      </c>
      <c r="F38549" s="102" t="str">
        <f ca="1">IFERROR(__xludf.DUMMYFUNCTION("IMPORTRANGE(H38549,""IDENTITAS UNIT!D9"")"),"#N/A")</f>
        <v>#N/A</v>
      </c>
      <c r="H38549" s="4" t="str">
        <v/>
      </c>
      <c r="I38549" s="4" t="str">
        <v/>
      </c>
    </row>
    <row r="38550" spans="5:9" ht="16.5" hidden="1">
      <c r="E38550" s="4" t="str">
        <v/>
      </c>
      <c r="F38550" s="102" t="str">
        <f ca="1">IFERROR(__xludf.DUMMYFUNCTION("IMPORTRANGE(H38550,""IDENTITAS UNIT!D9"")"),"#N/A")</f>
        <v>#N/A</v>
      </c>
      <c r="H38550" s="4" t="str">
        <v/>
      </c>
      <c r="I38550" s="4" t="str">
        <v/>
      </c>
    </row>
    <row r="38551" spans="5:9" ht="16.5" hidden="1">
      <c r="E38551" s="4" t="str">
        <v/>
      </c>
      <c r="F38551" s="102" t="str">
        <f ca="1">IFERROR(__xludf.DUMMYFUNCTION("IMPORTRANGE(H38551,""IDENTITAS UNIT!D9"")"),"#N/A")</f>
        <v>#N/A</v>
      </c>
      <c r="H38551" s="4" t="str">
        <v/>
      </c>
      <c r="I38551" s="4" t="str">
        <v/>
      </c>
    </row>
    <row r="38552" spans="5:9" ht="16.5" hidden="1">
      <c r="E38552" s="4" t="str">
        <v/>
      </c>
      <c r="F38552" s="102" t="str">
        <f ca="1">IFERROR(__xludf.DUMMYFUNCTION("IMPORTRANGE(H38552,""IDENTITAS UNIT!D9"")"),"#N/A")</f>
        <v>#N/A</v>
      </c>
      <c r="H38552" s="4" t="str">
        <v/>
      </c>
      <c r="I38552" s="4" t="str">
        <v/>
      </c>
    </row>
    <row r="38553" spans="5:9" ht="16.5" hidden="1">
      <c r="E38553" s="4" t="str">
        <v/>
      </c>
      <c r="F38553" s="102" t="str">
        <f ca="1">IFERROR(__xludf.DUMMYFUNCTION("IMPORTRANGE(H38553,""IDENTITAS UNIT!D9"")"),"#N/A")</f>
        <v>#N/A</v>
      </c>
      <c r="H38553" s="4" t="str">
        <v/>
      </c>
      <c r="I38553" s="4" t="str">
        <v/>
      </c>
    </row>
    <row r="38554" spans="5:9" ht="16.5" hidden="1">
      <c r="E38554" s="4" t="str">
        <v/>
      </c>
      <c r="F38554" s="102" t="str">
        <f ca="1">IFERROR(__xludf.DUMMYFUNCTION("IMPORTRANGE(H38554,""IDENTITAS UNIT!D9"")"),"#N/A")</f>
        <v>#N/A</v>
      </c>
      <c r="H38554" s="4" t="str">
        <v/>
      </c>
      <c r="I38554" s="4" t="str">
        <v/>
      </c>
    </row>
    <row r="38555" spans="5:9" ht="16.5" hidden="1">
      <c r="E38555" s="4" t="str">
        <v/>
      </c>
      <c r="F38555" s="102" t="str">
        <f ca="1">IFERROR(__xludf.DUMMYFUNCTION("IMPORTRANGE(H38555,""IDENTITAS UNIT!D9"")"),"#N/A")</f>
        <v>#N/A</v>
      </c>
      <c r="H38555" s="4" t="str">
        <v/>
      </c>
      <c r="I38555" s="4" t="str">
        <v/>
      </c>
    </row>
    <row r="38556" spans="5:9" ht="16.5" hidden="1">
      <c r="E38556" s="4" t="str">
        <v/>
      </c>
      <c r="F38556" s="102" t="str">
        <f ca="1">IFERROR(__xludf.DUMMYFUNCTION("IMPORTRANGE(H38556,""IDENTITAS UNIT!D9"")"),"#N/A")</f>
        <v>#N/A</v>
      </c>
      <c r="H38556" s="4" t="str">
        <v/>
      </c>
      <c r="I38556" s="4" t="str">
        <v/>
      </c>
    </row>
    <row r="38557" spans="5:9" ht="16.5" hidden="1">
      <c r="E38557" s="4" t="str">
        <v/>
      </c>
      <c r="F38557" s="102" t="str">
        <f ca="1">IFERROR(__xludf.DUMMYFUNCTION("IMPORTRANGE(H38557,""IDENTITAS UNIT!D9"")"),"#N/A")</f>
        <v>#N/A</v>
      </c>
      <c r="H38557" s="4" t="str">
        <v/>
      </c>
      <c r="I38557" s="4" t="str">
        <v/>
      </c>
    </row>
    <row r="38558" spans="5:9" ht="16.5" hidden="1">
      <c r="E38558" s="4" t="str">
        <v/>
      </c>
      <c r="F38558" s="102" t="str">
        <f ca="1">IFERROR(__xludf.DUMMYFUNCTION("IMPORTRANGE(H38558,""IDENTITAS UNIT!D9"")"),"#N/A")</f>
        <v>#N/A</v>
      </c>
      <c r="H38558" s="4" t="str">
        <v/>
      </c>
      <c r="I38558" s="4" t="str">
        <v/>
      </c>
    </row>
    <row r="38559" spans="5:9" ht="16.5" hidden="1">
      <c r="E38559" s="4" t="str">
        <v/>
      </c>
      <c r="F38559" s="102" t="str">
        <f ca="1">IFERROR(__xludf.DUMMYFUNCTION("IMPORTRANGE(H38559,""IDENTITAS UNIT!D9"")"),"#N/A")</f>
        <v>#N/A</v>
      </c>
      <c r="H38559" s="4" t="str">
        <v/>
      </c>
      <c r="I38559" s="4" t="str">
        <v/>
      </c>
    </row>
    <row r="38560" spans="5:9" ht="16.5" hidden="1">
      <c r="E38560" s="4" t="str">
        <v/>
      </c>
      <c r="F38560" s="102" t="str">
        <f ca="1">IFERROR(__xludf.DUMMYFUNCTION("IMPORTRANGE(H38560,""IDENTITAS UNIT!D9"")"),"#N/A")</f>
        <v>#N/A</v>
      </c>
      <c r="H38560" s="4" t="str">
        <v/>
      </c>
      <c r="I38560" s="4" t="str">
        <v/>
      </c>
    </row>
    <row r="38561" spans="5:9" ht="16.5" hidden="1">
      <c r="E38561" s="4" t="str">
        <v/>
      </c>
      <c r="F38561" s="102" t="str">
        <f ca="1">IFERROR(__xludf.DUMMYFUNCTION("IMPORTRANGE(H38561,""IDENTITAS UNIT!D9"")"),"#N/A")</f>
        <v>#N/A</v>
      </c>
      <c r="H38561" s="4" t="str">
        <v/>
      </c>
      <c r="I38561" s="4" t="str">
        <v/>
      </c>
    </row>
    <row r="38562" spans="5:9" ht="16.5" hidden="1">
      <c r="E38562" s="4" t="str">
        <v/>
      </c>
      <c r="F38562" s="102" t="str">
        <f ca="1">IFERROR(__xludf.DUMMYFUNCTION("IMPORTRANGE(H38562,""IDENTITAS UNIT!D9"")"),"#N/A")</f>
        <v>#N/A</v>
      </c>
      <c r="H38562" s="4" t="str">
        <v/>
      </c>
      <c r="I38562" s="4" t="str">
        <v/>
      </c>
    </row>
    <row r="38563" spans="5:9" ht="16.5" hidden="1">
      <c r="E38563" s="4" t="str">
        <v/>
      </c>
      <c r="F38563" s="102" t="str">
        <f ca="1">IFERROR(__xludf.DUMMYFUNCTION("IMPORTRANGE(H38563,""IDENTITAS UNIT!D9"")"),"#N/A")</f>
        <v>#N/A</v>
      </c>
      <c r="H38563" s="4" t="str">
        <v/>
      </c>
      <c r="I38563" s="4" t="str">
        <v/>
      </c>
    </row>
    <row r="38564" spans="5:9" ht="16.5" hidden="1">
      <c r="E38564" s="4" t="str">
        <v/>
      </c>
      <c r="F38564" s="102" t="str">
        <f ca="1">IFERROR(__xludf.DUMMYFUNCTION("IMPORTRANGE(H38564,""IDENTITAS UNIT!D9"")"),"#N/A")</f>
        <v>#N/A</v>
      </c>
      <c r="H38564" s="4" t="str">
        <v/>
      </c>
      <c r="I38564" s="4" t="str">
        <v/>
      </c>
    </row>
    <row r="38565" spans="5:9" ht="16.5" hidden="1">
      <c r="E38565" s="4" t="str">
        <v/>
      </c>
      <c r="F38565" s="102" t="str">
        <f ca="1">IFERROR(__xludf.DUMMYFUNCTION("IMPORTRANGE(H38565,""IDENTITAS UNIT!D9"")"),"#N/A")</f>
        <v>#N/A</v>
      </c>
      <c r="H38565" s="4" t="str">
        <v/>
      </c>
      <c r="I38565" s="4" t="str">
        <v/>
      </c>
    </row>
    <row r="38566" spans="5:9" ht="16.5" hidden="1">
      <c r="E38566" s="4" t="str">
        <v/>
      </c>
      <c r="F38566" s="102" t="str">
        <f ca="1">IFERROR(__xludf.DUMMYFUNCTION("IMPORTRANGE(H38566,""IDENTITAS UNIT!D9"")"),"#N/A")</f>
        <v>#N/A</v>
      </c>
      <c r="H38566" s="4" t="str">
        <v/>
      </c>
      <c r="I38566" s="4" t="str">
        <v/>
      </c>
    </row>
    <row r="38567" spans="5:9" ht="16.5" hidden="1">
      <c r="E38567" s="4" t="str">
        <v/>
      </c>
      <c r="F38567" s="102" t="str">
        <f ca="1">IFERROR(__xludf.DUMMYFUNCTION("IMPORTRANGE(H38567,""IDENTITAS UNIT!D9"")"),"#N/A")</f>
        <v>#N/A</v>
      </c>
      <c r="H38567" s="4" t="str">
        <v/>
      </c>
      <c r="I38567" s="4" t="str">
        <v/>
      </c>
    </row>
    <row r="38568" spans="5:9" ht="16.5" hidden="1">
      <c r="E38568" s="4" t="str">
        <v/>
      </c>
      <c r="F38568" s="102" t="str">
        <f ca="1">IFERROR(__xludf.DUMMYFUNCTION("IMPORTRANGE(H38568,""IDENTITAS UNIT!D9"")"),"#N/A")</f>
        <v>#N/A</v>
      </c>
      <c r="H38568" s="4" t="str">
        <v/>
      </c>
      <c r="I38568" s="4" t="str">
        <v/>
      </c>
    </row>
    <row r="38569" spans="5:9" ht="16.5" hidden="1">
      <c r="E38569" s="4" t="str">
        <v/>
      </c>
      <c r="F38569" s="102" t="str">
        <f ca="1">IFERROR(__xludf.DUMMYFUNCTION("IMPORTRANGE(H38569,""IDENTITAS UNIT!D9"")"),"#N/A")</f>
        <v>#N/A</v>
      </c>
      <c r="H38569" s="4" t="str">
        <v/>
      </c>
      <c r="I38569" s="4" t="str">
        <v/>
      </c>
    </row>
    <row r="38570" spans="5:9" ht="16.5" hidden="1">
      <c r="E38570" s="4" t="str">
        <v/>
      </c>
      <c r="F38570" s="102" t="str">
        <f ca="1">IFERROR(__xludf.DUMMYFUNCTION("IMPORTRANGE(H38570,""IDENTITAS UNIT!D9"")"),"#N/A")</f>
        <v>#N/A</v>
      </c>
      <c r="H38570" s="4" t="str">
        <v/>
      </c>
      <c r="I38570" s="4" t="str">
        <v/>
      </c>
    </row>
    <row r="38571" spans="5:9" ht="16.5" hidden="1">
      <c r="E38571" s="4" t="str">
        <v/>
      </c>
      <c r="F38571" s="102" t="str">
        <f ca="1">IFERROR(__xludf.DUMMYFUNCTION("IMPORTRANGE(H38571,""IDENTITAS UNIT!D9"")"),"#N/A")</f>
        <v>#N/A</v>
      </c>
      <c r="H38571" s="4" t="str">
        <v/>
      </c>
      <c r="I38571" s="4" t="str">
        <v/>
      </c>
    </row>
    <row r="38572" spans="5:9" ht="16.5" hidden="1">
      <c r="E38572" s="4" t="str">
        <v/>
      </c>
      <c r="F38572" s="102" t="str">
        <f ca="1">IFERROR(__xludf.DUMMYFUNCTION("IMPORTRANGE(H38572,""IDENTITAS UNIT!D9"")"),"#N/A")</f>
        <v>#N/A</v>
      </c>
      <c r="H38572" s="4" t="str">
        <v/>
      </c>
      <c r="I38572" s="4" t="str">
        <v/>
      </c>
    </row>
    <row r="38573" spans="5:9" ht="16.5" hidden="1">
      <c r="E38573" s="4" t="str">
        <v/>
      </c>
      <c r="F38573" s="102" t="str">
        <f ca="1">IFERROR(__xludf.DUMMYFUNCTION("IMPORTRANGE(H38573,""IDENTITAS UNIT!D9"")"),"#N/A")</f>
        <v>#N/A</v>
      </c>
      <c r="H38573" s="4" t="str">
        <v/>
      </c>
      <c r="I38573" s="4" t="str">
        <v/>
      </c>
    </row>
    <row r="38574" spans="5:9" ht="16.5" hidden="1">
      <c r="E38574" s="4" t="str">
        <v/>
      </c>
      <c r="F38574" s="102" t="str">
        <f ca="1">IFERROR(__xludf.DUMMYFUNCTION("IMPORTRANGE(H38574,""IDENTITAS UNIT!D9"")"),"#N/A")</f>
        <v>#N/A</v>
      </c>
      <c r="H38574" s="4" t="str">
        <v/>
      </c>
      <c r="I38574" s="4" t="str">
        <v/>
      </c>
    </row>
    <row r="38575" spans="5:9" ht="16.5" hidden="1">
      <c r="E38575" s="4" t="str">
        <v/>
      </c>
      <c r="F38575" s="102" t="str">
        <f ca="1">IFERROR(__xludf.DUMMYFUNCTION("IMPORTRANGE(H38575,""IDENTITAS UNIT!D9"")"),"#N/A")</f>
        <v>#N/A</v>
      </c>
      <c r="H38575" s="4" t="str">
        <v/>
      </c>
      <c r="I38575" s="4" t="str">
        <v/>
      </c>
    </row>
    <row r="38576" spans="5:9" ht="16.5" hidden="1">
      <c r="E38576" s="4" t="str">
        <v/>
      </c>
      <c r="F38576" s="102" t="str">
        <f ca="1">IFERROR(__xludf.DUMMYFUNCTION("IMPORTRANGE(H38576,""IDENTITAS UNIT!D9"")"),"#N/A")</f>
        <v>#N/A</v>
      </c>
      <c r="H38576" s="4" t="str">
        <v/>
      </c>
      <c r="I38576" s="4" t="str">
        <v/>
      </c>
    </row>
    <row r="38577" spans="5:9" ht="16.5" hidden="1">
      <c r="E38577" s="4" t="str">
        <v/>
      </c>
      <c r="F38577" s="102" t="str">
        <f ca="1">IFERROR(__xludf.DUMMYFUNCTION("IMPORTRANGE(H38577,""IDENTITAS UNIT!D9"")"),"#N/A")</f>
        <v>#N/A</v>
      </c>
      <c r="H38577" s="4" t="str">
        <v/>
      </c>
      <c r="I38577" s="4" t="str">
        <v/>
      </c>
    </row>
    <row r="38578" spans="5:9" ht="16.5" hidden="1">
      <c r="E38578" s="4" t="str">
        <v/>
      </c>
      <c r="F38578" s="102" t="str">
        <f ca="1">IFERROR(__xludf.DUMMYFUNCTION("IMPORTRANGE(H38578,""IDENTITAS UNIT!D9"")"),"#N/A")</f>
        <v>#N/A</v>
      </c>
      <c r="H38578" s="4" t="str">
        <v/>
      </c>
      <c r="I38578" s="4" t="str">
        <v/>
      </c>
    </row>
    <row r="38579" spans="5:9" ht="16.5" hidden="1">
      <c r="E38579" s="4" t="str">
        <v/>
      </c>
      <c r="F38579" s="102" t="str">
        <f ca="1">IFERROR(__xludf.DUMMYFUNCTION("IMPORTRANGE(H38579,""IDENTITAS UNIT!D9"")"),"#N/A")</f>
        <v>#N/A</v>
      </c>
      <c r="H38579" s="4" t="str">
        <v/>
      </c>
      <c r="I38579" s="4" t="str">
        <v/>
      </c>
    </row>
    <row r="38580" spans="5:9" ht="16.5" hidden="1">
      <c r="E38580" s="4" t="str">
        <v/>
      </c>
      <c r="F38580" s="102" t="str">
        <f ca="1">IFERROR(__xludf.DUMMYFUNCTION("IMPORTRANGE(H38580,""IDENTITAS UNIT!D9"")"),"#N/A")</f>
        <v>#N/A</v>
      </c>
      <c r="H38580" s="4" t="str">
        <v/>
      </c>
      <c r="I38580" s="4" t="str">
        <v/>
      </c>
    </row>
    <row r="38581" spans="5:9" ht="16.5" hidden="1">
      <c r="E38581" s="4" t="str">
        <v/>
      </c>
      <c r="F38581" s="102" t="str">
        <f ca="1">IFERROR(__xludf.DUMMYFUNCTION("IMPORTRANGE(H38581,""IDENTITAS UNIT!D9"")"),"#N/A")</f>
        <v>#N/A</v>
      </c>
      <c r="H38581" s="4" t="str">
        <v/>
      </c>
      <c r="I38581" s="4" t="str">
        <v/>
      </c>
    </row>
    <row r="38582" spans="5:9" ht="16.5" hidden="1">
      <c r="E38582" s="4" t="str">
        <v/>
      </c>
      <c r="F38582" s="102" t="str">
        <f ca="1">IFERROR(__xludf.DUMMYFUNCTION("IMPORTRANGE(H38582,""IDENTITAS UNIT!D9"")"),"#N/A")</f>
        <v>#N/A</v>
      </c>
      <c r="H38582" s="4" t="str">
        <v/>
      </c>
      <c r="I38582" s="4" t="str">
        <v/>
      </c>
    </row>
    <row r="38583" spans="5:9" ht="16.5" hidden="1">
      <c r="E38583" s="4" t="str">
        <v/>
      </c>
      <c r="F38583" s="102" t="str">
        <f ca="1">IFERROR(__xludf.DUMMYFUNCTION("IMPORTRANGE(H38583,""IDENTITAS UNIT!D9"")"),"#N/A")</f>
        <v>#N/A</v>
      </c>
      <c r="H38583" s="4" t="str">
        <v/>
      </c>
      <c r="I38583" s="4" t="str">
        <v/>
      </c>
    </row>
    <row r="38584" spans="5:9" ht="16.5" hidden="1">
      <c r="E38584" s="4" t="str">
        <v/>
      </c>
      <c r="F38584" s="102" t="str">
        <f ca="1">IFERROR(__xludf.DUMMYFUNCTION("IMPORTRANGE(H38584,""IDENTITAS UNIT!D9"")"),"#N/A")</f>
        <v>#N/A</v>
      </c>
      <c r="H38584" s="4" t="str">
        <v/>
      </c>
      <c r="I38584" s="4" t="str">
        <v/>
      </c>
    </row>
    <row r="38585" spans="5:9" ht="16.5" hidden="1">
      <c r="E38585" s="4" t="str">
        <v/>
      </c>
      <c r="F38585" s="102" t="str">
        <f ca="1">IFERROR(__xludf.DUMMYFUNCTION("IMPORTRANGE(H38585,""IDENTITAS UNIT!D9"")"),"#N/A")</f>
        <v>#N/A</v>
      </c>
      <c r="H38585" s="4" t="str">
        <v/>
      </c>
      <c r="I38585" s="4" t="str">
        <v/>
      </c>
    </row>
    <row r="38586" spans="5:9" ht="16.5" hidden="1">
      <c r="E38586" s="4" t="str">
        <v/>
      </c>
      <c r="F38586" s="102" t="str">
        <f ca="1">IFERROR(__xludf.DUMMYFUNCTION("IMPORTRANGE(H38586,""IDENTITAS UNIT!D9"")"),"#N/A")</f>
        <v>#N/A</v>
      </c>
      <c r="H38586" s="4" t="str">
        <v/>
      </c>
      <c r="I38586" s="4" t="str">
        <v/>
      </c>
    </row>
    <row r="38587" spans="5:9" ht="16.5" hidden="1">
      <c r="E38587" s="4" t="str">
        <v/>
      </c>
      <c r="F38587" s="102" t="str">
        <f ca="1">IFERROR(__xludf.DUMMYFUNCTION("IMPORTRANGE(H38587,""IDENTITAS UNIT!D9"")"),"#N/A")</f>
        <v>#N/A</v>
      </c>
      <c r="H38587" s="4" t="str">
        <v/>
      </c>
      <c r="I38587" s="4" t="str">
        <v/>
      </c>
    </row>
    <row r="38588" spans="5:9" ht="16.5" hidden="1">
      <c r="E38588" s="4" t="str">
        <v/>
      </c>
      <c r="F38588" s="102" t="str">
        <f ca="1">IFERROR(__xludf.DUMMYFUNCTION("IMPORTRANGE(H38588,""IDENTITAS UNIT!D9"")"),"#N/A")</f>
        <v>#N/A</v>
      </c>
      <c r="H38588" s="4" t="str">
        <v/>
      </c>
      <c r="I38588" s="4" t="str">
        <v/>
      </c>
    </row>
    <row r="38589" spans="5:9" ht="16.5" hidden="1">
      <c r="E38589" s="4" t="str">
        <v/>
      </c>
      <c r="F38589" s="102" t="str">
        <f ca="1">IFERROR(__xludf.DUMMYFUNCTION("IMPORTRANGE(H38589,""IDENTITAS UNIT!D9"")"),"#N/A")</f>
        <v>#N/A</v>
      </c>
      <c r="H38589" s="4" t="str">
        <v/>
      </c>
      <c r="I38589" s="4" t="str">
        <v/>
      </c>
    </row>
    <row r="38590" spans="5:9" ht="16.5" hidden="1">
      <c r="E38590" s="4" t="str">
        <v/>
      </c>
      <c r="F38590" s="102" t="str">
        <f ca="1">IFERROR(__xludf.DUMMYFUNCTION("IMPORTRANGE(H38590,""IDENTITAS UNIT!D9"")"),"#N/A")</f>
        <v>#N/A</v>
      </c>
      <c r="H38590" s="4" t="str">
        <v/>
      </c>
      <c r="I38590" s="4" t="str">
        <v/>
      </c>
    </row>
    <row r="38591" spans="5:9" ht="16.5" hidden="1">
      <c r="E38591" s="4" t="str">
        <v/>
      </c>
      <c r="F38591" s="102" t="str">
        <f ca="1">IFERROR(__xludf.DUMMYFUNCTION("IMPORTRANGE(H38591,""IDENTITAS UNIT!D9"")"),"#N/A")</f>
        <v>#N/A</v>
      </c>
      <c r="H38591" s="4" t="str">
        <v/>
      </c>
      <c r="I38591" s="4" t="str">
        <v/>
      </c>
    </row>
    <row r="38592" spans="5:9" ht="16.5" hidden="1">
      <c r="E38592" s="4" t="str">
        <v/>
      </c>
      <c r="F38592" s="102" t="str">
        <f ca="1">IFERROR(__xludf.DUMMYFUNCTION("IMPORTRANGE(H38592,""IDENTITAS UNIT!D9"")"),"#N/A")</f>
        <v>#N/A</v>
      </c>
      <c r="H38592" s="4" t="str">
        <v/>
      </c>
      <c r="I38592" s="4" t="str">
        <v/>
      </c>
    </row>
    <row r="38593" spans="5:9" ht="16.5" hidden="1">
      <c r="E38593" s="4" t="str">
        <v/>
      </c>
      <c r="F38593" s="102" t="str">
        <f ca="1">IFERROR(__xludf.DUMMYFUNCTION("IMPORTRANGE(H38593,""IDENTITAS UNIT!D9"")"),"#N/A")</f>
        <v>#N/A</v>
      </c>
      <c r="H38593" s="4" t="str">
        <v/>
      </c>
      <c r="I38593" s="4" t="str">
        <v/>
      </c>
    </row>
    <row r="38594" spans="5:9" ht="16.5" hidden="1">
      <c r="E38594" s="4" t="str">
        <v/>
      </c>
      <c r="F38594" s="102" t="str">
        <f ca="1">IFERROR(__xludf.DUMMYFUNCTION("IMPORTRANGE(H38594,""IDENTITAS UNIT!D9"")"),"#N/A")</f>
        <v>#N/A</v>
      </c>
      <c r="H38594" s="4" t="str">
        <v/>
      </c>
      <c r="I38594" s="4" t="str">
        <v/>
      </c>
    </row>
    <row r="38595" spans="5:9" ht="16.5" hidden="1">
      <c r="E38595" s="4" t="str">
        <v/>
      </c>
      <c r="F38595" s="102" t="str">
        <f ca="1">IFERROR(__xludf.DUMMYFUNCTION("IMPORTRANGE(H38595,""IDENTITAS UNIT!D9"")"),"#N/A")</f>
        <v>#N/A</v>
      </c>
      <c r="H38595" s="4" t="str">
        <v/>
      </c>
      <c r="I38595" s="4" t="str">
        <v/>
      </c>
    </row>
    <row r="38596" spans="5:9" ht="16.5" hidden="1">
      <c r="E38596" s="4" t="str">
        <v/>
      </c>
      <c r="F38596" s="102" t="str">
        <f ca="1">IFERROR(__xludf.DUMMYFUNCTION("IMPORTRANGE(H38596,""IDENTITAS UNIT!D9"")"),"#N/A")</f>
        <v>#N/A</v>
      </c>
      <c r="H38596" s="4" t="str">
        <v/>
      </c>
      <c r="I38596" s="4" t="str">
        <v/>
      </c>
    </row>
    <row r="38597" spans="5:9" ht="16.5" hidden="1">
      <c r="E38597" s="4" t="str">
        <v/>
      </c>
      <c r="F38597" s="102" t="str">
        <f ca="1">IFERROR(__xludf.DUMMYFUNCTION("IMPORTRANGE(H38597,""IDENTITAS UNIT!D9"")"),"#N/A")</f>
        <v>#N/A</v>
      </c>
      <c r="H38597" s="4" t="str">
        <v/>
      </c>
      <c r="I38597" s="4" t="str">
        <v/>
      </c>
    </row>
    <row r="38598" spans="5:9" ht="16.5" hidden="1">
      <c r="E38598" s="4" t="str">
        <v/>
      </c>
      <c r="F38598" s="102" t="str">
        <f ca="1">IFERROR(__xludf.DUMMYFUNCTION("IMPORTRANGE(H38598,""IDENTITAS UNIT!D9"")"),"#N/A")</f>
        <v>#N/A</v>
      </c>
      <c r="H38598" s="4" t="str">
        <v/>
      </c>
      <c r="I38598" s="4" t="str">
        <v/>
      </c>
    </row>
    <row r="38599" spans="5:9" ht="16.5" hidden="1">
      <c r="E38599" s="4" t="str">
        <v/>
      </c>
      <c r="F38599" s="102" t="str">
        <f ca="1">IFERROR(__xludf.DUMMYFUNCTION("IMPORTRANGE(H38599,""IDENTITAS UNIT!D9"")"),"#N/A")</f>
        <v>#N/A</v>
      </c>
      <c r="H38599" s="4" t="str">
        <v/>
      </c>
      <c r="I38599" s="4" t="str">
        <v/>
      </c>
    </row>
    <row r="38600" spans="5:9" ht="16.5" hidden="1">
      <c r="E38600" s="4" t="str">
        <v/>
      </c>
      <c r="F38600" s="102" t="str">
        <f ca="1">IFERROR(__xludf.DUMMYFUNCTION("IMPORTRANGE(H38600,""IDENTITAS UNIT!D9"")"),"#N/A")</f>
        <v>#N/A</v>
      </c>
      <c r="H38600" s="4" t="str">
        <v/>
      </c>
      <c r="I38600" s="4" t="str">
        <v/>
      </c>
    </row>
    <row r="38601" spans="5:9" ht="16.5" hidden="1">
      <c r="E38601" s="4" t="str">
        <v/>
      </c>
      <c r="F38601" s="102" t="str">
        <f ca="1">IFERROR(__xludf.DUMMYFUNCTION("IMPORTRANGE(H38601,""IDENTITAS UNIT!D9"")"),"#N/A")</f>
        <v>#N/A</v>
      </c>
      <c r="H38601" s="4" t="str">
        <v/>
      </c>
      <c r="I38601" s="4" t="str">
        <v/>
      </c>
    </row>
    <row r="38602" spans="5:9" ht="16.5" hidden="1">
      <c r="E38602" s="4" t="str">
        <v/>
      </c>
      <c r="F38602" s="102" t="str">
        <f ca="1">IFERROR(__xludf.DUMMYFUNCTION("IMPORTRANGE(H38602,""IDENTITAS UNIT!D9"")"),"#N/A")</f>
        <v>#N/A</v>
      </c>
      <c r="H38602" s="4" t="str">
        <v/>
      </c>
      <c r="I38602" s="4" t="str">
        <v/>
      </c>
    </row>
    <row r="38603" spans="5:9" ht="16.5" hidden="1">
      <c r="E38603" s="4" t="str">
        <v/>
      </c>
      <c r="F38603" s="102" t="str">
        <f ca="1">IFERROR(__xludf.DUMMYFUNCTION("IMPORTRANGE(H38603,""IDENTITAS UNIT!D9"")"),"#N/A")</f>
        <v>#N/A</v>
      </c>
      <c r="H38603" s="4" t="str">
        <v/>
      </c>
      <c r="I38603" s="4" t="str">
        <v/>
      </c>
    </row>
    <row r="38604" spans="5:9" ht="16.5" hidden="1">
      <c r="E38604" s="4" t="str">
        <v/>
      </c>
      <c r="F38604" s="102" t="str">
        <f ca="1">IFERROR(__xludf.DUMMYFUNCTION("IMPORTRANGE(H38604,""IDENTITAS UNIT!D9"")"),"#N/A")</f>
        <v>#N/A</v>
      </c>
      <c r="H38604" s="4" t="str">
        <v/>
      </c>
      <c r="I38604" s="4" t="str">
        <v/>
      </c>
    </row>
    <row r="38605" spans="5:9" ht="16.5" hidden="1">
      <c r="E38605" s="4" t="str">
        <v/>
      </c>
      <c r="F38605" s="102" t="str">
        <f ca="1">IFERROR(__xludf.DUMMYFUNCTION("IMPORTRANGE(H38605,""IDENTITAS UNIT!D9"")"),"#N/A")</f>
        <v>#N/A</v>
      </c>
      <c r="H38605" s="4" t="str">
        <v/>
      </c>
      <c r="I38605" s="4" t="str">
        <v/>
      </c>
    </row>
    <row r="38606" spans="5:9" ht="16.5" hidden="1">
      <c r="E38606" s="4" t="str">
        <v/>
      </c>
      <c r="F38606" s="102" t="str">
        <f ca="1">IFERROR(__xludf.DUMMYFUNCTION("IMPORTRANGE(H38606,""IDENTITAS UNIT!D9"")"),"#N/A")</f>
        <v>#N/A</v>
      </c>
      <c r="H38606" s="4" t="str">
        <v/>
      </c>
      <c r="I38606" s="4" t="str">
        <v/>
      </c>
    </row>
    <row r="38607" spans="5:9" ht="16.5" hidden="1">
      <c r="E38607" s="4" t="str">
        <v/>
      </c>
      <c r="F38607" s="102" t="str">
        <f ca="1">IFERROR(__xludf.DUMMYFUNCTION("IMPORTRANGE(H38607,""IDENTITAS UNIT!D9"")"),"#N/A")</f>
        <v>#N/A</v>
      </c>
      <c r="H38607" s="4" t="str">
        <v/>
      </c>
      <c r="I38607" s="4" t="str">
        <v/>
      </c>
    </row>
    <row r="38608" spans="5:9" ht="16.5" hidden="1">
      <c r="E38608" s="4" t="str">
        <v/>
      </c>
      <c r="F38608" s="102" t="str">
        <f ca="1">IFERROR(__xludf.DUMMYFUNCTION("IMPORTRANGE(H38608,""IDENTITAS UNIT!D9"")"),"#N/A")</f>
        <v>#N/A</v>
      </c>
      <c r="H38608" s="4" t="str">
        <v/>
      </c>
      <c r="I38608" s="4" t="str">
        <v/>
      </c>
    </row>
    <row r="38609" spans="5:9" ht="16.5" hidden="1">
      <c r="E38609" s="4" t="str">
        <v/>
      </c>
      <c r="F38609" s="102" t="str">
        <f ca="1">IFERROR(__xludf.DUMMYFUNCTION("IMPORTRANGE(H38609,""IDENTITAS UNIT!D9"")"),"#N/A")</f>
        <v>#N/A</v>
      </c>
      <c r="H38609" s="4" t="str">
        <v/>
      </c>
      <c r="I38609" s="4" t="str">
        <v/>
      </c>
    </row>
    <row r="38610" spans="5:9" ht="16.5" hidden="1">
      <c r="E38610" s="4" t="str">
        <v/>
      </c>
      <c r="F38610" s="102" t="str">
        <f ca="1">IFERROR(__xludf.DUMMYFUNCTION("IMPORTRANGE(H38610,""IDENTITAS UNIT!D9"")"),"#N/A")</f>
        <v>#N/A</v>
      </c>
      <c r="H38610" s="4" t="str">
        <v/>
      </c>
      <c r="I38610" s="4" t="str">
        <v/>
      </c>
    </row>
    <row r="38611" spans="5:9" ht="16.5" hidden="1">
      <c r="E38611" s="4" t="str">
        <v/>
      </c>
      <c r="F38611" s="102" t="str">
        <f ca="1">IFERROR(__xludf.DUMMYFUNCTION("IMPORTRANGE(H38611,""IDENTITAS UNIT!D9"")"),"#N/A")</f>
        <v>#N/A</v>
      </c>
      <c r="H38611" s="4" t="str">
        <v/>
      </c>
      <c r="I38611" s="4" t="str">
        <v/>
      </c>
    </row>
    <row r="38612" spans="5:9" ht="16.5" hidden="1">
      <c r="E38612" s="4" t="str">
        <v/>
      </c>
      <c r="F38612" s="102" t="str">
        <f ca="1">IFERROR(__xludf.DUMMYFUNCTION("IMPORTRANGE(H38612,""IDENTITAS UNIT!D9"")"),"#N/A")</f>
        <v>#N/A</v>
      </c>
      <c r="H38612" s="4" t="str">
        <v/>
      </c>
      <c r="I38612" s="4" t="str">
        <v/>
      </c>
    </row>
    <row r="38613" spans="5:9" ht="16.5" hidden="1">
      <c r="E38613" s="4" t="str">
        <v/>
      </c>
      <c r="F38613" s="102" t="str">
        <f ca="1">IFERROR(__xludf.DUMMYFUNCTION("IMPORTRANGE(H38613,""IDENTITAS UNIT!D9"")"),"#N/A")</f>
        <v>#N/A</v>
      </c>
      <c r="H38613" s="4" t="str">
        <v/>
      </c>
      <c r="I38613" s="4" t="str">
        <v/>
      </c>
    </row>
    <row r="38614" spans="5:9" ht="16.5" hidden="1">
      <c r="E38614" s="4" t="str">
        <v/>
      </c>
      <c r="F38614" s="102" t="str">
        <f ca="1">IFERROR(__xludf.DUMMYFUNCTION("IMPORTRANGE(H38614,""IDENTITAS UNIT!D9"")"),"#N/A")</f>
        <v>#N/A</v>
      </c>
      <c r="H38614" s="4" t="str">
        <v/>
      </c>
      <c r="I38614" s="4" t="str">
        <v/>
      </c>
    </row>
    <row r="38615" spans="5:9" ht="16.5" hidden="1">
      <c r="E38615" s="4" t="str">
        <v/>
      </c>
      <c r="F38615" s="102" t="str">
        <f ca="1">IFERROR(__xludf.DUMMYFUNCTION("IMPORTRANGE(H38615,""IDENTITAS UNIT!D9"")"),"#N/A")</f>
        <v>#N/A</v>
      </c>
      <c r="H38615" s="4" t="str">
        <v/>
      </c>
      <c r="I38615" s="4" t="str">
        <v/>
      </c>
    </row>
    <row r="38616" spans="5:9" ht="16.5" hidden="1">
      <c r="E38616" s="4" t="str">
        <v/>
      </c>
      <c r="F38616" s="102" t="str">
        <f ca="1">IFERROR(__xludf.DUMMYFUNCTION("IMPORTRANGE(H38616,""IDENTITAS UNIT!D9"")"),"#N/A")</f>
        <v>#N/A</v>
      </c>
      <c r="H38616" s="4" t="str">
        <v/>
      </c>
      <c r="I38616" s="4" t="str">
        <v/>
      </c>
    </row>
    <row r="38617" spans="5:9" ht="16.5" hidden="1">
      <c r="E38617" s="4" t="str">
        <v/>
      </c>
      <c r="F38617" s="102" t="str">
        <f ca="1">IFERROR(__xludf.DUMMYFUNCTION("IMPORTRANGE(H38617,""IDENTITAS UNIT!D9"")"),"#N/A")</f>
        <v>#N/A</v>
      </c>
      <c r="H38617" s="4" t="str">
        <v/>
      </c>
      <c r="I38617" s="4" t="str">
        <v/>
      </c>
    </row>
    <row r="38618" spans="5:9" ht="16.5" hidden="1">
      <c r="E38618" s="4" t="str">
        <v/>
      </c>
      <c r="F38618" s="102" t="str">
        <f ca="1">IFERROR(__xludf.DUMMYFUNCTION("IMPORTRANGE(H38618,""IDENTITAS UNIT!D9"")"),"#N/A")</f>
        <v>#N/A</v>
      </c>
      <c r="H38618" s="4" t="str">
        <v/>
      </c>
      <c r="I38618" s="4" t="str">
        <v/>
      </c>
    </row>
    <row r="38619" spans="5:9" ht="16.5" hidden="1">
      <c r="E38619" s="4" t="str">
        <v/>
      </c>
      <c r="F38619" s="102" t="str">
        <f ca="1">IFERROR(__xludf.DUMMYFUNCTION("IMPORTRANGE(H38619,""IDENTITAS UNIT!D9"")"),"#N/A")</f>
        <v>#N/A</v>
      </c>
      <c r="H38619" s="4" t="str">
        <v/>
      </c>
      <c r="I38619" s="4" t="str">
        <v/>
      </c>
    </row>
    <row r="38620" spans="5:9" ht="16.5" hidden="1">
      <c r="E38620" s="4" t="str">
        <v/>
      </c>
      <c r="F38620" s="102" t="str">
        <f ca="1">IFERROR(__xludf.DUMMYFUNCTION("IMPORTRANGE(H38620,""IDENTITAS UNIT!D9"")"),"#N/A")</f>
        <v>#N/A</v>
      </c>
      <c r="H38620" s="4" t="str">
        <v/>
      </c>
      <c r="I38620" s="4" t="str">
        <v/>
      </c>
    </row>
    <row r="38621" spans="5:9" ht="16.5" hidden="1">
      <c r="E38621" s="4" t="str">
        <v/>
      </c>
      <c r="F38621" s="102" t="str">
        <f ca="1">IFERROR(__xludf.DUMMYFUNCTION("IMPORTRANGE(H38621,""IDENTITAS UNIT!D9"")"),"#N/A")</f>
        <v>#N/A</v>
      </c>
      <c r="H38621" s="4" t="str">
        <v/>
      </c>
      <c r="I38621" s="4" t="str">
        <v/>
      </c>
    </row>
    <row r="38622" spans="5:9" ht="16.5" hidden="1">
      <c r="E38622" s="4" t="str">
        <v/>
      </c>
      <c r="F38622" s="102" t="str">
        <f ca="1">IFERROR(__xludf.DUMMYFUNCTION("IMPORTRANGE(H38622,""IDENTITAS UNIT!D9"")"),"#N/A")</f>
        <v>#N/A</v>
      </c>
      <c r="H38622" s="4" t="str">
        <v/>
      </c>
      <c r="I38622" s="4" t="str">
        <v/>
      </c>
    </row>
    <row r="38623" spans="5:9" ht="16.5" hidden="1">
      <c r="E38623" s="4" t="str">
        <v/>
      </c>
      <c r="F38623" s="102" t="str">
        <f ca="1">IFERROR(__xludf.DUMMYFUNCTION("IMPORTRANGE(H38623,""IDENTITAS UNIT!D9"")"),"#N/A")</f>
        <v>#N/A</v>
      </c>
      <c r="H38623" s="4" t="str">
        <v/>
      </c>
      <c r="I38623" s="4" t="str">
        <v/>
      </c>
    </row>
    <row r="38624" spans="5:9" ht="16.5" hidden="1">
      <c r="E38624" s="4" t="str">
        <v/>
      </c>
      <c r="F38624" s="102" t="str">
        <f ca="1">IFERROR(__xludf.DUMMYFUNCTION("IMPORTRANGE(H38624,""IDENTITAS UNIT!D9"")"),"#N/A")</f>
        <v>#N/A</v>
      </c>
      <c r="H38624" s="4" t="str">
        <v/>
      </c>
      <c r="I38624" s="4" t="str">
        <v/>
      </c>
    </row>
    <row r="38625" spans="5:9" ht="16.5" hidden="1">
      <c r="E38625" s="4" t="str">
        <v/>
      </c>
      <c r="F38625" s="102" t="str">
        <f ca="1">IFERROR(__xludf.DUMMYFUNCTION("IMPORTRANGE(H38625,""IDENTITAS UNIT!D9"")"),"#N/A")</f>
        <v>#N/A</v>
      </c>
      <c r="H38625" s="4" t="str">
        <v/>
      </c>
      <c r="I38625" s="4" t="str">
        <v/>
      </c>
    </row>
    <row r="38626" spans="5:9" ht="16.5" hidden="1">
      <c r="E38626" s="4" t="str">
        <v/>
      </c>
      <c r="F38626" s="102" t="str">
        <f ca="1">IFERROR(__xludf.DUMMYFUNCTION("IMPORTRANGE(H38626,""IDENTITAS UNIT!D9"")"),"#N/A")</f>
        <v>#N/A</v>
      </c>
      <c r="H38626" s="4" t="str">
        <v/>
      </c>
      <c r="I38626" s="4" t="str">
        <v/>
      </c>
    </row>
    <row r="38627" spans="5:9" ht="16.5" hidden="1">
      <c r="E38627" s="4" t="str">
        <v/>
      </c>
      <c r="F38627" s="102" t="str">
        <f ca="1">IFERROR(__xludf.DUMMYFUNCTION("IMPORTRANGE(H38627,""IDENTITAS UNIT!D9"")"),"#N/A")</f>
        <v>#N/A</v>
      </c>
      <c r="H38627" s="4" t="str">
        <v/>
      </c>
      <c r="I38627" s="4" t="str">
        <v/>
      </c>
    </row>
    <row r="38628" spans="5:9" ht="16.5" hidden="1">
      <c r="E38628" s="4" t="str">
        <v/>
      </c>
      <c r="F38628" s="102" t="str">
        <f ca="1">IFERROR(__xludf.DUMMYFUNCTION("IMPORTRANGE(H38628,""IDENTITAS UNIT!D9"")"),"#N/A")</f>
        <v>#N/A</v>
      </c>
      <c r="H38628" s="4" t="str">
        <v/>
      </c>
      <c r="I38628" s="4" t="str">
        <v/>
      </c>
    </row>
    <row r="38629" spans="5:9" ht="16.5" hidden="1">
      <c r="E38629" s="4" t="str">
        <v/>
      </c>
      <c r="F38629" s="102" t="str">
        <f ca="1">IFERROR(__xludf.DUMMYFUNCTION("IMPORTRANGE(H38629,""IDENTITAS UNIT!D9"")"),"#N/A")</f>
        <v>#N/A</v>
      </c>
      <c r="H38629" s="4" t="str">
        <v/>
      </c>
      <c r="I38629" s="4" t="str">
        <v/>
      </c>
    </row>
    <row r="38630" spans="5:9" ht="16.5" hidden="1">
      <c r="E38630" s="4" t="str">
        <v/>
      </c>
      <c r="F38630" s="102" t="str">
        <f ca="1">IFERROR(__xludf.DUMMYFUNCTION("IMPORTRANGE(H38630,""IDENTITAS UNIT!D9"")"),"#N/A")</f>
        <v>#N/A</v>
      </c>
      <c r="H38630" s="4" t="str">
        <v/>
      </c>
      <c r="I38630" s="4" t="str">
        <v/>
      </c>
    </row>
    <row r="38631" spans="5:9" ht="16.5" hidden="1">
      <c r="E38631" s="4" t="str">
        <v/>
      </c>
      <c r="F38631" s="102" t="str">
        <f ca="1">IFERROR(__xludf.DUMMYFUNCTION("IMPORTRANGE(H38631,""IDENTITAS UNIT!D9"")"),"#N/A")</f>
        <v>#N/A</v>
      </c>
      <c r="H38631" s="4" t="str">
        <v/>
      </c>
      <c r="I38631" s="4" t="str">
        <v/>
      </c>
    </row>
    <row r="38632" spans="5:9" ht="16.5" hidden="1">
      <c r="E38632" s="4" t="str">
        <v/>
      </c>
      <c r="F38632" s="102" t="str">
        <f ca="1">IFERROR(__xludf.DUMMYFUNCTION("IMPORTRANGE(H38632,""IDENTITAS UNIT!D9"")"),"#N/A")</f>
        <v>#N/A</v>
      </c>
      <c r="H38632" s="4" t="str">
        <v/>
      </c>
      <c r="I38632" s="4" t="str">
        <v/>
      </c>
    </row>
    <row r="38633" spans="5:9" ht="16.5" hidden="1">
      <c r="E38633" s="4" t="str">
        <v/>
      </c>
      <c r="F38633" s="102" t="str">
        <f ca="1">IFERROR(__xludf.DUMMYFUNCTION("IMPORTRANGE(H38633,""IDENTITAS UNIT!D9"")"),"#N/A")</f>
        <v>#N/A</v>
      </c>
      <c r="H38633" s="4" t="str">
        <v/>
      </c>
      <c r="I38633" s="4" t="str">
        <v/>
      </c>
    </row>
    <row r="38634" spans="5:9" ht="16.5" hidden="1">
      <c r="E38634" s="4" t="str">
        <v/>
      </c>
      <c r="F38634" s="102" t="str">
        <f ca="1">IFERROR(__xludf.DUMMYFUNCTION("IMPORTRANGE(H38634,""IDENTITAS UNIT!D9"")"),"#N/A")</f>
        <v>#N/A</v>
      </c>
      <c r="H38634" s="4" t="str">
        <v/>
      </c>
      <c r="I38634" s="4" t="str">
        <v/>
      </c>
    </row>
    <row r="38635" spans="5:9" ht="16.5" hidden="1">
      <c r="E38635" s="4" t="str">
        <v/>
      </c>
      <c r="F38635" s="102" t="str">
        <f ca="1">IFERROR(__xludf.DUMMYFUNCTION("IMPORTRANGE(H38635,""IDENTITAS UNIT!D9"")"),"#N/A")</f>
        <v>#N/A</v>
      </c>
      <c r="H38635" s="4" t="str">
        <v/>
      </c>
      <c r="I38635" s="4" t="str">
        <v/>
      </c>
    </row>
    <row r="38636" spans="5:9" ht="16.5" hidden="1">
      <c r="E38636" s="4" t="str">
        <v/>
      </c>
      <c r="F38636" s="102" t="str">
        <f ca="1">IFERROR(__xludf.DUMMYFUNCTION("IMPORTRANGE(H38636,""IDENTITAS UNIT!D9"")"),"#N/A")</f>
        <v>#N/A</v>
      </c>
      <c r="H38636" s="4" t="str">
        <v/>
      </c>
      <c r="I38636" s="4" t="str">
        <v/>
      </c>
    </row>
    <row r="38637" spans="5:9" ht="16.5" hidden="1">
      <c r="E38637" s="4" t="str">
        <v/>
      </c>
      <c r="F38637" s="102" t="str">
        <f ca="1">IFERROR(__xludf.DUMMYFUNCTION("IMPORTRANGE(H38637,""IDENTITAS UNIT!D9"")"),"#N/A")</f>
        <v>#N/A</v>
      </c>
      <c r="H38637" s="4" t="str">
        <v/>
      </c>
      <c r="I38637" s="4" t="str">
        <v/>
      </c>
    </row>
    <row r="38638" spans="5:9" ht="16.5" hidden="1">
      <c r="E38638" s="4" t="str">
        <v/>
      </c>
      <c r="F38638" s="102" t="str">
        <f ca="1">IFERROR(__xludf.DUMMYFUNCTION("IMPORTRANGE(H38638,""IDENTITAS UNIT!D9"")"),"#N/A")</f>
        <v>#N/A</v>
      </c>
      <c r="H38638" s="4" t="str">
        <v/>
      </c>
      <c r="I38638" s="4" t="str">
        <v/>
      </c>
    </row>
    <row r="38639" spans="5:9" ht="16.5" hidden="1">
      <c r="E38639" s="4" t="str">
        <v/>
      </c>
      <c r="F38639" s="102" t="str">
        <f ca="1">IFERROR(__xludf.DUMMYFUNCTION("IMPORTRANGE(H38639,""IDENTITAS UNIT!D9"")"),"#N/A")</f>
        <v>#N/A</v>
      </c>
      <c r="H38639" s="4" t="str">
        <v/>
      </c>
      <c r="I38639" s="4" t="str">
        <v/>
      </c>
    </row>
    <row r="38640" spans="5:9" ht="16.5" hidden="1">
      <c r="E38640" s="4" t="str">
        <v/>
      </c>
      <c r="F38640" s="102" t="str">
        <f ca="1">IFERROR(__xludf.DUMMYFUNCTION("IMPORTRANGE(H38640,""IDENTITAS UNIT!D9"")"),"#N/A")</f>
        <v>#N/A</v>
      </c>
      <c r="H38640" s="4" t="str">
        <v/>
      </c>
      <c r="I38640" s="4" t="str">
        <v/>
      </c>
    </row>
    <row r="38641" spans="5:9" ht="16.5" hidden="1">
      <c r="E38641" s="4" t="str">
        <v/>
      </c>
      <c r="F38641" s="102" t="str">
        <f ca="1">IFERROR(__xludf.DUMMYFUNCTION("IMPORTRANGE(H38641,""IDENTITAS UNIT!D9"")"),"#N/A")</f>
        <v>#N/A</v>
      </c>
      <c r="H38641" s="4" t="str">
        <v/>
      </c>
      <c r="I38641" s="4" t="str">
        <v/>
      </c>
    </row>
    <row r="38642" spans="5:9" ht="16.5" hidden="1">
      <c r="E38642" s="4" t="str">
        <v/>
      </c>
      <c r="F38642" s="102" t="str">
        <f ca="1">IFERROR(__xludf.DUMMYFUNCTION("IMPORTRANGE(H38642,""IDENTITAS UNIT!D9"")"),"#N/A")</f>
        <v>#N/A</v>
      </c>
      <c r="H38642" s="4" t="str">
        <v/>
      </c>
      <c r="I38642" s="4" t="str">
        <v/>
      </c>
    </row>
    <row r="38643" spans="5:9" ht="16.5" hidden="1">
      <c r="E38643" s="4" t="str">
        <v/>
      </c>
      <c r="F38643" s="102" t="str">
        <f ca="1">IFERROR(__xludf.DUMMYFUNCTION("IMPORTRANGE(H38643,""IDENTITAS UNIT!D9"")"),"#N/A")</f>
        <v>#N/A</v>
      </c>
      <c r="H38643" s="4" t="str">
        <v/>
      </c>
      <c r="I38643" s="4" t="str">
        <v/>
      </c>
    </row>
    <row r="38644" spans="5:9" ht="16.5" hidden="1">
      <c r="E38644" s="4" t="str">
        <v/>
      </c>
      <c r="F38644" s="102" t="str">
        <f ca="1">IFERROR(__xludf.DUMMYFUNCTION("IMPORTRANGE(H38644,""IDENTITAS UNIT!D9"")"),"#N/A")</f>
        <v>#N/A</v>
      </c>
      <c r="H38644" s="4" t="str">
        <v/>
      </c>
      <c r="I38644" s="4" t="str">
        <v/>
      </c>
    </row>
    <row r="38645" spans="5:9" ht="16.5" hidden="1">
      <c r="E38645" s="4" t="str">
        <v/>
      </c>
      <c r="F38645" s="102" t="str">
        <f ca="1">IFERROR(__xludf.DUMMYFUNCTION("IMPORTRANGE(H38645,""IDENTITAS UNIT!D9"")"),"#N/A")</f>
        <v>#N/A</v>
      </c>
      <c r="H38645" s="4" t="str">
        <v/>
      </c>
      <c r="I38645" s="4" t="str">
        <v/>
      </c>
    </row>
    <row r="38646" spans="5:9" ht="16.5" hidden="1">
      <c r="E38646" s="4" t="str">
        <v/>
      </c>
      <c r="F38646" s="102" t="str">
        <f ca="1">IFERROR(__xludf.DUMMYFUNCTION("IMPORTRANGE(H38646,""IDENTITAS UNIT!D9"")"),"#N/A")</f>
        <v>#N/A</v>
      </c>
      <c r="H38646" s="4" t="str">
        <v/>
      </c>
      <c r="I38646" s="4" t="str">
        <v/>
      </c>
    </row>
    <row r="38647" spans="5:9" ht="16.5" hidden="1">
      <c r="E38647" s="4" t="str">
        <v/>
      </c>
      <c r="F38647" s="102" t="str">
        <f ca="1">IFERROR(__xludf.DUMMYFUNCTION("IMPORTRANGE(H38647,""IDENTITAS UNIT!D9"")"),"#N/A")</f>
        <v>#N/A</v>
      </c>
      <c r="H38647" s="4" t="str">
        <v/>
      </c>
      <c r="I38647" s="4" t="str">
        <v/>
      </c>
    </row>
    <row r="38648" spans="5:9" ht="16.5" hidden="1">
      <c r="E38648" s="4" t="str">
        <v/>
      </c>
      <c r="F38648" s="102" t="str">
        <f ca="1">IFERROR(__xludf.DUMMYFUNCTION("IMPORTRANGE(H38648,""IDENTITAS UNIT!D9"")"),"#N/A")</f>
        <v>#N/A</v>
      </c>
      <c r="H38648" s="4" t="str">
        <v/>
      </c>
      <c r="I38648" s="4" t="str">
        <v/>
      </c>
    </row>
    <row r="38649" spans="5:9" ht="16.5" hidden="1">
      <c r="E38649" s="4" t="str">
        <v/>
      </c>
      <c r="F38649" s="102" t="str">
        <f ca="1">IFERROR(__xludf.DUMMYFUNCTION("IMPORTRANGE(H38649,""IDENTITAS UNIT!D9"")"),"#N/A")</f>
        <v>#N/A</v>
      </c>
      <c r="H38649" s="4" t="str">
        <v/>
      </c>
      <c r="I38649" s="4" t="str">
        <v/>
      </c>
    </row>
    <row r="38650" spans="5:9" ht="16.5" hidden="1">
      <c r="E38650" s="4" t="str">
        <v/>
      </c>
      <c r="F38650" s="102" t="str">
        <f ca="1">IFERROR(__xludf.DUMMYFUNCTION("IMPORTRANGE(H38650,""IDENTITAS UNIT!D9"")"),"#N/A")</f>
        <v>#N/A</v>
      </c>
      <c r="H38650" s="4" t="str">
        <v/>
      </c>
      <c r="I38650" s="4" t="str">
        <v/>
      </c>
    </row>
    <row r="38651" spans="5:9" ht="16.5" hidden="1">
      <c r="E38651" s="4" t="str">
        <v/>
      </c>
      <c r="F38651" s="102" t="str">
        <f ca="1">IFERROR(__xludf.DUMMYFUNCTION("IMPORTRANGE(H38651,""IDENTITAS UNIT!D9"")"),"#N/A")</f>
        <v>#N/A</v>
      </c>
      <c r="H38651" s="4" t="str">
        <v/>
      </c>
      <c r="I38651" s="4" t="str">
        <v/>
      </c>
    </row>
    <row r="38652" spans="5:9" ht="16.5" hidden="1">
      <c r="E38652" s="4" t="str">
        <v/>
      </c>
      <c r="F38652" s="102" t="str">
        <f ca="1">IFERROR(__xludf.DUMMYFUNCTION("IMPORTRANGE(H38652,""IDENTITAS UNIT!D9"")"),"#N/A")</f>
        <v>#N/A</v>
      </c>
      <c r="H38652" s="4" t="str">
        <v/>
      </c>
      <c r="I38652" s="4" t="str">
        <v/>
      </c>
    </row>
    <row r="38653" spans="5:9" ht="16.5" hidden="1">
      <c r="E38653" s="4" t="str">
        <v/>
      </c>
      <c r="F38653" s="102" t="str">
        <f ca="1">IFERROR(__xludf.DUMMYFUNCTION("IMPORTRANGE(H38653,""IDENTITAS UNIT!D9"")"),"#N/A")</f>
        <v>#N/A</v>
      </c>
      <c r="H38653" s="4" t="str">
        <v/>
      </c>
      <c r="I38653" s="4" t="str">
        <v/>
      </c>
    </row>
    <row r="38654" spans="5:9" ht="16.5" hidden="1">
      <c r="E38654" s="4" t="str">
        <v/>
      </c>
      <c r="F38654" s="102" t="str">
        <f ca="1">IFERROR(__xludf.DUMMYFUNCTION("IMPORTRANGE(H38654,""IDENTITAS UNIT!D9"")"),"#N/A")</f>
        <v>#N/A</v>
      </c>
      <c r="H38654" s="4" t="str">
        <v/>
      </c>
      <c r="I38654" s="4" t="str">
        <v/>
      </c>
    </row>
    <row r="38655" spans="5:9" ht="16.5" hidden="1">
      <c r="E38655" s="4" t="str">
        <v/>
      </c>
      <c r="F38655" s="102" t="str">
        <f ca="1">IFERROR(__xludf.DUMMYFUNCTION("IMPORTRANGE(H38655,""IDENTITAS UNIT!D9"")"),"#N/A")</f>
        <v>#N/A</v>
      </c>
      <c r="H38655" s="4" t="str">
        <v/>
      </c>
      <c r="I38655" s="4" t="str">
        <v/>
      </c>
    </row>
    <row r="38656" spans="5:9" ht="16.5" hidden="1">
      <c r="E38656" s="4" t="str">
        <v/>
      </c>
      <c r="F38656" s="102" t="str">
        <f ca="1">IFERROR(__xludf.DUMMYFUNCTION("IMPORTRANGE(H38656,""IDENTITAS UNIT!D9"")"),"#N/A")</f>
        <v>#N/A</v>
      </c>
      <c r="H38656" s="4" t="str">
        <v/>
      </c>
      <c r="I38656" s="4" t="str">
        <v/>
      </c>
    </row>
    <row r="38657" spans="5:9" ht="16.5" hidden="1">
      <c r="E38657" s="4" t="str">
        <v/>
      </c>
      <c r="F38657" s="102" t="str">
        <f ca="1">IFERROR(__xludf.DUMMYFUNCTION("IMPORTRANGE(H38657,""IDENTITAS UNIT!D9"")"),"#N/A")</f>
        <v>#N/A</v>
      </c>
      <c r="H38657" s="4" t="str">
        <v/>
      </c>
      <c r="I38657" s="4" t="str">
        <v/>
      </c>
    </row>
    <row r="38658" spans="5:9" ht="16.5" hidden="1">
      <c r="E38658" s="4" t="str">
        <v/>
      </c>
      <c r="F38658" s="102" t="str">
        <f ca="1">IFERROR(__xludf.DUMMYFUNCTION("IMPORTRANGE(H38658,""IDENTITAS UNIT!D9"")"),"#N/A")</f>
        <v>#N/A</v>
      </c>
      <c r="H38658" s="4" t="str">
        <v/>
      </c>
      <c r="I38658" s="4" t="str">
        <v/>
      </c>
    </row>
    <row r="38659" spans="5:9" ht="16.5" hidden="1">
      <c r="E38659" s="4" t="str">
        <v/>
      </c>
      <c r="F38659" s="102" t="str">
        <f ca="1">IFERROR(__xludf.DUMMYFUNCTION("IMPORTRANGE(H38659,""IDENTITAS UNIT!D9"")"),"#N/A")</f>
        <v>#N/A</v>
      </c>
      <c r="H38659" s="4" t="str">
        <v/>
      </c>
      <c r="I38659" s="4" t="str">
        <v/>
      </c>
    </row>
    <row r="38660" spans="5:9" ht="16.5" hidden="1">
      <c r="E38660" s="4" t="str">
        <v/>
      </c>
      <c r="F38660" s="102" t="str">
        <f ca="1">IFERROR(__xludf.DUMMYFUNCTION("IMPORTRANGE(H38660,""IDENTITAS UNIT!D9"")"),"#N/A")</f>
        <v>#N/A</v>
      </c>
      <c r="H38660" s="4" t="str">
        <v/>
      </c>
      <c r="I38660" s="4" t="str">
        <v/>
      </c>
    </row>
    <row r="38661" spans="5:9" ht="16.5" hidden="1">
      <c r="E38661" s="4" t="str">
        <v/>
      </c>
      <c r="F38661" s="102" t="str">
        <f ca="1">IFERROR(__xludf.DUMMYFUNCTION("IMPORTRANGE(H38661,""IDENTITAS UNIT!D9"")"),"#N/A")</f>
        <v>#N/A</v>
      </c>
      <c r="H38661" s="4" t="str">
        <v/>
      </c>
      <c r="I38661" s="4" t="str">
        <v/>
      </c>
    </row>
    <row r="38662" spans="5:9" ht="16.5" hidden="1">
      <c r="E38662" s="4" t="str">
        <v/>
      </c>
      <c r="F38662" s="102" t="str">
        <f ca="1">IFERROR(__xludf.DUMMYFUNCTION("IMPORTRANGE(H38662,""IDENTITAS UNIT!D9"")"),"#N/A")</f>
        <v>#N/A</v>
      </c>
      <c r="H38662" s="4" t="str">
        <v/>
      </c>
      <c r="I38662" s="4" t="str">
        <v/>
      </c>
    </row>
    <row r="38663" spans="5:9" ht="16.5" hidden="1">
      <c r="E38663" s="4" t="str">
        <v/>
      </c>
      <c r="F38663" s="102" t="str">
        <f ca="1">IFERROR(__xludf.DUMMYFUNCTION("IMPORTRANGE(H38663,""IDENTITAS UNIT!D9"")"),"#N/A")</f>
        <v>#N/A</v>
      </c>
      <c r="H38663" s="4" t="str">
        <v/>
      </c>
      <c r="I38663" s="4" t="str">
        <v/>
      </c>
    </row>
    <row r="38664" spans="5:9" ht="16.5" hidden="1">
      <c r="E38664" s="4" t="str">
        <v/>
      </c>
      <c r="F38664" s="102" t="str">
        <f ca="1">IFERROR(__xludf.DUMMYFUNCTION("IMPORTRANGE(H38664,""IDENTITAS UNIT!D9"")"),"#N/A")</f>
        <v>#N/A</v>
      </c>
      <c r="H38664" s="4" t="str">
        <v/>
      </c>
      <c r="I38664" s="4" t="str">
        <v/>
      </c>
    </row>
    <row r="38665" spans="5:9" ht="16.5" hidden="1">
      <c r="E38665" s="4" t="str">
        <v/>
      </c>
      <c r="F38665" s="102" t="str">
        <f ca="1">IFERROR(__xludf.DUMMYFUNCTION("IMPORTRANGE(H38665,""IDENTITAS UNIT!D9"")"),"#N/A")</f>
        <v>#N/A</v>
      </c>
      <c r="H38665" s="4" t="str">
        <v/>
      </c>
      <c r="I38665" s="4" t="str">
        <v/>
      </c>
    </row>
    <row r="38666" spans="5:9" ht="16.5" hidden="1">
      <c r="E38666" s="4" t="str">
        <v/>
      </c>
      <c r="F38666" s="102" t="str">
        <f ca="1">IFERROR(__xludf.DUMMYFUNCTION("IMPORTRANGE(H38666,""IDENTITAS UNIT!D9"")"),"#N/A")</f>
        <v>#N/A</v>
      </c>
      <c r="H38666" s="4" t="str">
        <v/>
      </c>
      <c r="I38666" s="4" t="str">
        <v/>
      </c>
    </row>
    <row r="38667" spans="5:9" ht="16.5" hidden="1">
      <c r="E38667" s="4" t="str">
        <v/>
      </c>
      <c r="F38667" s="102" t="str">
        <f ca="1">IFERROR(__xludf.DUMMYFUNCTION("IMPORTRANGE(H38667,""IDENTITAS UNIT!D9"")"),"#N/A")</f>
        <v>#N/A</v>
      </c>
      <c r="H38667" s="4" t="str">
        <v/>
      </c>
      <c r="I38667" s="4" t="str">
        <v/>
      </c>
    </row>
    <row r="38668" spans="5:9" ht="16.5" hidden="1">
      <c r="E38668" s="4" t="str">
        <v/>
      </c>
      <c r="F38668" s="102" t="str">
        <f ca="1">IFERROR(__xludf.DUMMYFUNCTION("IMPORTRANGE(H38668,""IDENTITAS UNIT!D9"")"),"#N/A")</f>
        <v>#N/A</v>
      </c>
      <c r="H38668" s="4" t="str">
        <v/>
      </c>
      <c r="I38668" s="4" t="str">
        <v/>
      </c>
    </row>
    <row r="38669" spans="5:9" ht="16.5" hidden="1">
      <c r="E38669" s="4" t="str">
        <v/>
      </c>
      <c r="F38669" s="102" t="str">
        <f ca="1">IFERROR(__xludf.DUMMYFUNCTION("IMPORTRANGE(H38669,""IDENTITAS UNIT!D9"")"),"#N/A")</f>
        <v>#N/A</v>
      </c>
      <c r="H38669" s="4" t="str">
        <v/>
      </c>
      <c r="I38669" s="4" t="str">
        <v/>
      </c>
    </row>
    <row r="38670" spans="5:9" ht="16.5" hidden="1">
      <c r="E38670" s="4" t="str">
        <v/>
      </c>
      <c r="F38670" s="102" t="str">
        <f ca="1">IFERROR(__xludf.DUMMYFUNCTION("IMPORTRANGE(H38670,""IDENTITAS UNIT!D9"")"),"#N/A")</f>
        <v>#N/A</v>
      </c>
      <c r="H38670" s="4" t="str">
        <v/>
      </c>
      <c r="I38670" s="4" t="str">
        <v/>
      </c>
    </row>
    <row r="38671" spans="5:9" ht="16.5" hidden="1">
      <c r="E38671" s="4" t="str">
        <v/>
      </c>
      <c r="F38671" s="102" t="str">
        <f ca="1">IFERROR(__xludf.DUMMYFUNCTION("IMPORTRANGE(H38671,""IDENTITAS UNIT!D9"")"),"#N/A")</f>
        <v>#N/A</v>
      </c>
      <c r="H38671" s="4" t="str">
        <v/>
      </c>
      <c r="I38671" s="4" t="str">
        <v/>
      </c>
    </row>
    <row r="38672" spans="5:9" ht="16.5" hidden="1">
      <c r="E38672" s="4" t="str">
        <v/>
      </c>
      <c r="F38672" s="102" t="str">
        <f ca="1">IFERROR(__xludf.DUMMYFUNCTION("IMPORTRANGE(H38672,""IDENTITAS UNIT!D9"")"),"#N/A")</f>
        <v>#N/A</v>
      </c>
      <c r="H38672" s="4" t="str">
        <v/>
      </c>
      <c r="I38672" s="4" t="str">
        <v/>
      </c>
    </row>
    <row r="38673" spans="5:9" ht="16.5" hidden="1">
      <c r="E38673" s="4" t="str">
        <v/>
      </c>
      <c r="F38673" s="102" t="str">
        <f ca="1">IFERROR(__xludf.DUMMYFUNCTION("IMPORTRANGE(H38673,""IDENTITAS UNIT!D9"")"),"#N/A")</f>
        <v>#N/A</v>
      </c>
      <c r="H38673" s="4" t="str">
        <v/>
      </c>
      <c r="I38673" s="4" t="str">
        <v/>
      </c>
    </row>
    <row r="38674" spans="5:9" ht="16.5" hidden="1">
      <c r="E38674" s="4" t="str">
        <v/>
      </c>
      <c r="F38674" s="102" t="str">
        <f ca="1">IFERROR(__xludf.DUMMYFUNCTION("IMPORTRANGE(H38674,""IDENTITAS UNIT!D9"")"),"#N/A")</f>
        <v>#N/A</v>
      </c>
      <c r="H38674" s="4" t="str">
        <v/>
      </c>
      <c r="I38674" s="4" t="str">
        <v/>
      </c>
    </row>
    <row r="38675" spans="5:9" ht="16.5" hidden="1">
      <c r="E38675" s="4" t="str">
        <v/>
      </c>
      <c r="F38675" s="102" t="str">
        <f ca="1">IFERROR(__xludf.DUMMYFUNCTION("IMPORTRANGE(H38675,""IDENTITAS UNIT!D9"")"),"#N/A")</f>
        <v>#N/A</v>
      </c>
      <c r="H38675" s="4" t="str">
        <v/>
      </c>
      <c r="I38675" s="4" t="str">
        <v/>
      </c>
    </row>
    <row r="38676" spans="5:9" ht="16.5" hidden="1">
      <c r="E38676" s="4" t="str">
        <v/>
      </c>
      <c r="F38676" s="102" t="str">
        <f ca="1">IFERROR(__xludf.DUMMYFUNCTION("IMPORTRANGE(H38676,""IDENTITAS UNIT!D9"")"),"#N/A")</f>
        <v>#N/A</v>
      </c>
      <c r="H38676" s="4" t="str">
        <v/>
      </c>
      <c r="I38676" s="4" t="str">
        <v/>
      </c>
    </row>
    <row r="38677" spans="5:9" ht="16.5" hidden="1">
      <c r="E38677" s="4" t="str">
        <v/>
      </c>
      <c r="F38677" s="102" t="str">
        <f ca="1">IFERROR(__xludf.DUMMYFUNCTION("IMPORTRANGE(H38677,""IDENTITAS UNIT!D9"")"),"#N/A")</f>
        <v>#N/A</v>
      </c>
      <c r="H38677" s="4" t="str">
        <v/>
      </c>
      <c r="I38677" s="4" t="str">
        <v/>
      </c>
    </row>
    <row r="38678" spans="5:9" ht="16.5" hidden="1">
      <c r="E38678" s="4" t="str">
        <v/>
      </c>
      <c r="F38678" s="102" t="str">
        <f ca="1">IFERROR(__xludf.DUMMYFUNCTION("IMPORTRANGE(H38678,""IDENTITAS UNIT!D9"")"),"#N/A")</f>
        <v>#N/A</v>
      </c>
      <c r="H38678" s="4" t="str">
        <v/>
      </c>
      <c r="I38678" s="4" t="str">
        <v/>
      </c>
    </row>
    <row r="38679" spans="5:9" ht="16.5" hidden="1">
      <c r="E38679" s="4" t="str">
        <v/>
      </c>
      <c r="F38679" s="102" t="str">
        <f ca="1">IFERROR(__xludf.DUMMYFUNCTION("IMPORTRANGE(H38679,""IDENTITAS UNIT!D9"")"),"#N/A")</f>
        <v>#N/A</v>
      </c>
      <c r="H38679" s="4" t="str">
        <v/>
      </c>
      <c r="I38679" s="4" t="str">
        <v/>
      </c>
    </row>
    <row r="38680" spans="5:9" ht="16.5" hidden="1">
      <c r="E38680" s="4" t="str">
        <v/>
      </c>
      <c r="F38680" s="102" t="str">
        <f ca="1">IFERROR(__xludf.DUMMYFUNCTION("IMPORTRANGE(H38680,""IDENTITAS UNIT!D9"")"),"#N/A")</f>
        <v>#N/A</v>
      </c>
      <c r="H38680" s="4" t="str">
        <v/>
      </c>
      <c r="I38680" s="4" t="str">
        <v/>
      </c>
    </row>
    <row r="38681" spans="5:9" ht="16.5" hidden="1">
      <c r="E38681" s="4" t="str">
        <v/>
      </c>
      <c r="F38681" s="102" t="str">
        <f ca="1">IFERROR(__xludf.DUMMYFUNCTION("IMPORTRANGE(H38681,""IDENTITAS UNIT!D9"")"),"#N/A")</f>
        <v>#N/A</v>
      </c>
      <c r="H38681" s="4" t="str">
        <v/>
      </c>
      <c r="I38681" s="4" t="str">
        <v/>
      </c>
    </row>
    <row r="38682" spans="5:9" ht="16.5" hidden="1">
      <c r="E38682" s="4" t="str">
        <v/>
      </c>
      <c r="F38682" s="102" t="str">
        <f ca="1">IFERROR(__xludf.DUMMYFUNCTION("IMPORTRANGE(H38682,""IDENTITAS UNIT!D9"")"),"#N/A")</f>
        <v>#N/A</v>
      </c>
      <c r="H38682" s="4" t="str">
        <v/>
      </c>
      <c r="I38682" s="4" t="str">
        <v/>
      </c>
    </row>
    <row r="38683" spans="5:9" ht="16.5" hidden="1">
      <c r="E38683" s="4" t="str">
        <v/>
      </c>
      <c r="F38683" s="102" t="str">
        <f ca="1">IFERROR(__xludf.DUMMYFUNCTION("IMPORTRANGE(H38683,""IDENTITAS UNIT!D9"")"),"#N/A")</f>
        <v>#N/A</v>
      </c>
      <c r="H38683" s="4" t="str">
        <v/>
      </c>
      <c r="I38683" s="4" t="str">
        <v/>
      </c>
    </row>
    <row r="38684" spans="5:9" ht="16.5" hidden="1">
      <c r="E38684" s="4" t="str">
        <v/>
      </c>
      <c r="F38684" s="102" t="str">
        <f ca="1">IFERROR(__xludf.DUMMYFUNCTION("IMPORTRANGE(H38684,""IDENTITAS UNIT!D9"")"),"#N/A")</f>
        <v>#N/A</v>
      </c>
      <c r="H38684" s="4" t="str">
        <v/>
      </c>
      <c r="I38684" s="4" t="str">
        <v/>
      </c>
    </row>
    <row r="38685" spans="5:9" ht="16.5" hidden="1">
      <c r="E38685" s="4" t="str">
        <v/>
      </c>
      <c r="F38685" s="102" t="str">
        <f ca="1">IFERROR(__xludf.DUMMYFUNCTION("IMPORTRANGE(H38685,""IDENTITAS UNIT!D9"")"),"#N/A")</f>
        <v>#N/A</v>
      </c>
      <c r="H38685" s="4" t="str">
        <v/>
      </c>
      <c r="I38685" s="4" t="str">
        <v/>
      </c>
    </row>
    <row r="38686" spans="5:9" ht="16.5" hidden="1">
      <c r="E38686" s="4" t="str">
        <v/>
      </c>
      <c r="F38686" s="102" t="str">
        <f ca="1">IFERROR(__xludf.DUMMYFUNCTION("IMPORTRANGE(H38686,""IDENTITAS UNIT!D9"")"),"#N/A")</f>
        <v>#N/A</v>
      </c>
      <c r="H38686" s="4" t="str">
        <v/>
      </c>
      <c r="I38686" s="4" t="str">
        <v/>
      </c>
    </row>
    <row r="38687" spans="5:9" ht="16.5" hidden="1">
      <c r="E38687" s="4" t="str">
        <v/>
      </c>
      <c r="F38687" s="102" t="str">
        <f ca="1">IFERROR(__xludf.DUMMYFUNCTION("IMPORTRANGE(H38687,""IDENTITAS UNIT!D9"")"),"#N/A")</f>
        <v>#N/A</v>
      </c>
      <c r="H38687" s="4" t="str">
        <v/>
      </c>
      <c r="I38687" s="4" t="str">
        <v/>
      </c>
    </row>
    <row r="38688" spans="5:9" ht="16.5" hidden="1">
      <c r="E38688" s="4" t="str">
        <v/>
      </c>
      <c r="F38688" s="102" t="str">
        <f ca="1">IFERROR(__xludf.DUMMYFUNCTION("IMPORTRANGE(H38688,""IDENTITAS UNIT!D9"")"),"#N/A")</f>
        <v>#N/A</v>
      </c>
      <c r="H38688" s="4" t="str">
        <v/>
      </c>
      <c r="I38688" s="4" t="str">
        <v/>
      </c>
    </row>
    <row r="38689" spans="5:9" ht="16.5" hidden="1">
      <c r="E38689" s="4" t="str">
        <v/>
      </c>
      <c r="F38689" s="102" t="str">
        <f ca="1">IFERROR(__xludf.DUMMYFUNCTION("IMPORTRANGE(H38689,""IDENTITAS UNIT!D9"")"),"#N/A")</f>
        <v>#N/A</v>
      </c>
      <c r="H38689" s="4" t="str">
        <v/>
      </c>
      <c r="I38689" s="4" t="str">
        <v/>
      </c>
    </row>
    <row r="38690" spans="5:9" ht="16.5" hidden="1">
      <c r="E38690" s="4" t="str">
        <v/>
      </c>
      <c r="F38690" s="102" t="str">
        <f ca="1">IFERROR(__xludf.DUMMYFUNCTION("IMPORTRANGE(H38690,""IDENTITAS UNIT!D9"")"),"#N/A")</f>
        <v>#N/A</v>
      </c>
      <c r="H38690" s="4" t="str">
        <v/>
      </c>
      <c r="I38690" s="4" t="str">
        <v/>
      </c>
    </row>
    <row r="38691" spans="5:9" ht="16.5" hidden="1">
      <c r="E38691" s="4" t="str">
        <v/>
      </c>
      <c r="F38691" s="102" t="str">
        <f ca="1">IFERROR(__xludf.DUMMYFUNCTION("IMPORTRANGE(H38691,""IDENTITAS UNIT!D9"")"),"#N/A")</f>
        <v>#N/A</v>
      </c>
      <c r="H38691" s="4" t="str">
        <v/>
      </c>
      <c r="I38691" s="4" t="str">
        <v/>
      </c>
    </row>
    <row r="38692" spans="5:9" ht="16.5" hidden="1">
      <c r="E38692" s="4" t="str">
        <v/>
      </c>
      <c r="F38692" s="102" t="str">
        <f ca="1">IFERROR(__xludf.DUMMYFUNCTION("IMPORTRANGE(H38692,""IDENTITAS UNIT!D9"")"),"#N/A")</f>
        <v>#N/A</v>
      </c>
      <c r="H38692" s="4" t="str">
        <v/>
      </c>
      <c r="I38692" s="4" t="str">
        <v/>
      </c>
    </row>
    <row r="38693" spans="5:9" ht="16.5" hidden="1">
      <c r="E38693" s="4" t="str">
        <v/>
      </c>
      <c r="F38693" s="102" t="str">
        <f ca="1">IFERROR(__xludf.DUMMYFUNCTION("IMPORTRANGE(H38693,""IDENTITAS UNIT!D9"")"),"#N/A")</f>
        <v>#N/A</v>
      </c>
      <c r="H38693" s="4" t="str">
        <v/>
      </c>
      <c r="I38693" s="4" t="str">
        <v/>
      </c>
    </row>
    <row r="38694" spans="5:9" ht="16.5" hidden="1">
      <c r="E38694" s="4" t="str">
        <v/>
      </c>
      <c r="F38694" s="102" t="str">
        <f ca="1">IFERROR(__xludf.DUMMYFUNCTION("IMPORTRANGE(H38694,""IDENTITAS UNIT!D9"")"),"#N/A")</f>
        <v>#N/A</v>
      </c>
      <c r="H38694" s="4" t="str">
        <v/>
      </c>
      <c r="I38694" s="4" t="str">
        <v/>
      </c>
    </row>
    <row r="38695" spans="5:9" ht="16.5" hidden="1">
      <c r="E38695" s="4" t="str">
        <v/>
      </c>
      <c r="F38695" s="102" t="str">
        <f ca="1">IFERROR(__xludf.DUMMYFUNCTION("IMPORTRANGE(H38695,""IDENTITAS UNIT!D9"")"),"#N/A")</f>
        <v>#N/A</v>
      </c>
      <c r="H38695" s="4" t="str">
        <v/>
      </c>
      <c r="I38695" s="4" t="str">
        <v/>
      </c>
    </row>
    <row r="38696" spans="5:9" ht="16.5" hidden="1">
      <c r="E38696" s="4" t="str">
        <v/>
      </c>
      <c r="F38696" s="102" t="str">
        <f ca="1">IFERROR(__xludf.DUMMYFUNCTION("IMPORTRANGE(H38696,""IDENTITAS UNIT!D9"")"),"#N/A")</f>
        <v>#N/A</v>
      </c>
      <c r="H38696" s="4" t="str">
        <v/>
      </c>
      <c r="I38696" s="4" t="str">
        <v/>
      </c>
    </row>
    <row r="38697" spans="5:9" ht="16.5" hidden="1">
      <c r="E38697" s="4" t="str">
        <v/>
      </c>
      <c r="F38697" s="102" t="str">
        <f ca="1">IFERROR(__xludf.DUMMYFUNCTION("IMPORTRANGE(H38697,""IDENTITAS UNIT!D9"")"),"#N/A")</f>
        <v>#N/A</v>
      </c>
      <c r="H38697" s="4" t="str">
        <v/>
      </c>
      <c r="I38697" s="4" t="str">
        <v/>
      </c>
    </row>
    <row r="38698" spans="5:9" ht="16.5" hidden="1">
      <c r="E38698" s="4" t="str">
        <v/>
      </c>
      <c r="F38698" s="102" t="str">
        <f ca="1">IFERROR(__xludf.DUMMYFUNCTION("IMPORTRANGE(H38698,""IDENTITAS UNIT!D9"")"),"#N/A")</f>
        <v>#N/A</v>
      </c>
      <c r="H38698" s="4" t="str">
        <v/>
      </c>
      <c r="I38698" s="4" t="str">
        <v/>
      </c>
    </row>
    <row r="38699" spans="5:9" ht="16.5" hidden="1">
      <c r="E38699" s="4" t="str">
        <v/>
      </c>
      <c r="F38699" s="102" t="str">
        <f ca="1">IFERROR(__xludf.DUMMYFUNCTION("IMPORTRANGE(H38699,""IDENTITAS UNIT!D9"")"),"#N/A")</f>
        <v>#N/A</v>
      </c>
      <c r="H38699" s="4" t="str">
        <v/>
      </c>
      <c r="I38699" s="4" t="str">
        <v/>
      </c>
    </row>
    <row r="38700" spans="5:9" ht="16.5" hidden="1">
      <c r="E38700" s="4" t="str">
        <v/>
      </c>
      <c r="F38700" s="102" t="str">
        <f ca="1">IFERROR(__xludf.DUMMYFUNCTION("IMPORTRANGE(H38700,""IDENTITAS UNIT!D9"")"),"#N/A")</f>
        <v>#N/A</v>
      </c>
      <c r="H38700" s="4" t="str">
        <v/>
      </c>
      <c r="I38700" s="4" t="str">
        <v/>
      </c>
    </row>
    <row r="38701" spans="5:9" ht="16.5" hidden="1">
      <c r="E38701" s="4" t="str">
        <v/>
      </c>
      <c r="F38701" s="102" t="str">
        <f ca="1">IFERROR(__xludf.DUMMYFUNCTION("IMPORTRANGE(H38701,""IDENTITAS UNIT!D9"")"),"#N/A")</f>
        <v>#N/A</v>
      </c>
      <c r="H38701" s="4" t="str">
        <v/>
      </c>
      <c r="I38701" s="4" t="str">
        <v/>
      </c>
    </row>
    <row r="38702" spans="5:9" ht="16.5" hidden="1">
      <c r="E38702" s="4" t="str">
        <v/>
      </c>
      <c r="F38702" s="102" t="str">
        <f ca="1">IFERROR(__xludf.DUMMYFUNCTION("IMPORTRANGE(H38702,""IDENTITAS UNIT!D9"")"),"#N/A")</f>
        <v>#N/A</v>
      </c>
      <c r="H38702" s="4" t="str">
        <v/>
      </c>
      <c r="I38702" s="4" t="str">
        <v/>
      </c>
    </row>
    <row r="38703" spans="5:9" ht="16.5" hidden="1">
      <c r="E38703" s="4" t="str">
        <v/>
      </c>
      <c r="F38703" s="102" t="str">
        <f ca="1">IFERROR(__xludf.DUMMYFUNCTION("IMPORTRANGE(H38703,""IDENTITAS UNIT!D9"")"),"#N/A")</f>
        <v>#N/A</v>
      </c>
      <c r="H38703" s="4" t="str">
        <v/>
      </c>
      <c r="I38703" s="4" t="str">
        <v/>
      </c>
    </row>
    <row r="38704" spans="5:9" ht="16.5" hidden="1">
      <c r="E38704" s="4" t="str">
        <v/>
      </c>
      <c r="F38704" s="102" t="str">
        <f ca="1">IFERROR(__xludf.DUMMYFUNCTION("IMPORTRANGE(H38704,""IDENTITAS UNIT!D9"")"),"#N/A")</f>
        <v>#N/A</v>
      </c>
      <c r="H38704" s="4" t="str">
        <v/>
      </c>
      <c r="I38704" s="4" t="str">
        <v/>
      </c>
    </row>
    <row r="38705" spans="5:9" ht="16.5" hidden="1">
      <c r="E38705" s="4" t="str">
        <v/>
      </c>
      <c r="F38705" s="102" t="str">
        <f ca="1">IFERROR(__xludf.DUMMYFUNCTION("IMPORTRANGE(H38705,""IDENTITAS UNIT!D9"")"),"#N/A")</f>
        <v>#N/A</v>
      </c>
      <c r="H38705" s="4" t="str">
        <v/>
      </c>
      <c r="I38705" s="4" t="str">
        <v/>
      </c>
    </row>
    <row r="38706" spans="5:9" ht="16.5" hidden="1">
      <c r="E38706" s="4" t="str">
        <v/>
      </c>
      <c r="F38706" s="102" t="str">
        <f ca="1">IFERROR(__xludf.DUMMYFUNCTION("IMPORTRANGE(H38706,""IDENTITAS UNIT!D9"")"),"#N/A")</f>
        <v>#N/A</v>
      </c>
      <c r="H38706" s="4" t="str">
        <v/>
      </c>
      <c r="I38706" s="4" t="str">
        <v/>
      </c>
    </row>
    <row r="38707" spans="5:9" ht="16.5" hidden="1">
      <c r="E38707" s="4" t="str">
        <v/>
      </c>
      <c r="F38707" s="102" t="str">
        <f ca="1">IFERROR(__xludf.DUMMYFUNCTION("IMPORTRANGE(H38707,""IDENTITAS UNIT!D9"")"),"#N/A")</f>
        <v>#N/A</v>
      </c>
      <c r="H38707" s="4" t="str">
        <v/>
      </c>
      <c r="I38707" s="4" t="str">
        <v/>
      </c>
    </row>
    <row r="38708" spans="5:9" ht="16.5" hidden="1">
      <c r="E38708" s="4" t="str">
        <v/>
      </c>
      <c r="F38708" s="102" t="str">
        <f ca="1">IFERROR(__xludf.DUMMYFUNCTION("IMPORTRANGE(H38708,""IDENTITAS UNIT!D9"")"),"#N/A")</f>
        <v>#N/A</v>
      </c>
      <c r="H38708" s="4" t="str">
        <v/>
      </c>
      <c r="I38708" s="4" t="str">
        <v/>
      </c>
    </row>
    <row r="38709" spans="5:9" ht="16.5" hidden="1">
      <c r="E38709" s="4" t="str">
        <v/>
      </c>
      <c r="F38709" s="102" t="str">
        <f ca="1">IFERROR(__xludf.DUMMYFUNCTION("IMPORTRANGE(H38709,""IDENTITAS UNIT!D9"")"),"#N/A")</f>
        <v>#N/A</v>
      </c>
      <c r="H38709" s="4" t="str">
        <v/>
      </c>
      <c r="I38709" s="4" t="str">
        <v/>
      </c>
    </row>
    <row r="38710" spans="5:9" ht="16.5" hidden="1">
      <c r="E38710" s="4" t="str">
        <v/>
      </c>
      <c r="F38710" s="102" t="str">
        <f ca="1">IFERROR(__xludf.DUMMYFUNCTION("IMPORTRANGE(H38710,""IDENTITAS UNIT!D9"")"),"#N/A")</f>
        <v>#N/A</v>
      </c>
      <c r="H38710" s="4" t="str">
        <v/>
      </c>
      <c r="I38710" s="4" t="str">
        <v/>
      </c>
    </row>
    <row r="38711" spans="5:9" ht="16.5" hidden="1">
      <c r="E38711" s="4" t="str">
        <v/>
      </c>
      <c r="F38711" s="102" t="str">
        <f ca="1">IFERROR(__xludf.DUMMYFUNCTION("IMPORTRANGE(H38711,""IDENTITAS UNIT!D9"")"),"#N/A")</f>
        <v>#N/A</v>
      </c>
      <c r="H38711" s="4" t="str">
        <v/>
      </c>
      <c r="I38711" s="4" t="str">
        <v/>
      </c>
    </row>
    <row r="38712" spans="5:9" ht="16.5" hidden="1">
      <c r="E38712" s="4" t="str">
        <v/>
      </c>
      <c r="F38712" s="102" t="str">
        <f ca="1">IFERROR(__xludf.DUMMYFUNCTION("IMPORTRANGE(H38712,""IDENTITAS UNIT!D9"")"),"#N/A")</f>
        <v>#N/A</v>
      </c>
      <c r="H38712" s="4" t="str">
        <v/>
      </c>
      <c r="I38712" s="4" t="str">
        <v/>
      </c>
    </row>
    <row r="38713" spans="5:9" ht="16.5" hidden="1">
      <c r="E38713" s="4" t="str">
        <v/>
      </c>
      <c r="F38713" s="102" t="str">
        <f ca="1">IFERROR(__xludf.DUMMYFUNCTION("IMPORTRANGE(H38713,""IDENTITAS UNIT!D9"")"),"#N/A")</f>
        <v>#N/A</v>
      </c>
      <c r="H38713" s="4" t="str">
        <v/>
      </c>
      <c r="I38713" s="4" t="str">
        <v/>
      </c>
    </row>
    <row r="38714" spans="5:9" ht="16.5" hidden="1">
      <c r="E38714" s="4" t="str">
        <v/>
      </c>
      <c r="F38714" s="102" t="str">
        <f ca="1">IFERROR(__xludf.DUMMYFUNCTION("IMPORTRANGE(H38714,""IDENTITAS UNIT!D9"")"),"#N/A")</f>
        <v>#N/A</v>
      </c>
      <c r="H38714" s="4" t="str">
        <v/>
      </c>
      <c r="I38714" s="4" t="str">
        <v/>
      </c>
    </row>
    <row r="38715" spans="5:9" ht="16.5" hidden="1">
      <c r="E38715" s="4" t="str">
        <v/>
      </c>
      <c r="F38715" s="102" t="str">
        <f ca="1">IFERROR(__xludf.DUMMYFUNCTION("IMPORTRANGE(H38715,""IDENTITAS UNIT!D9"")"),"#N/A")</f>
        <v>#N/A</v>
      </c>
      <c r="H38715" s="4" t="str">
        <v/>
      </c>
      <c r="I38715" s="4" t="str">
        <v/>
      </c>
    </row>
    <row r="38716" spans="5:9" ht="16.5" hidden="1">
      <c r="E38716" s="4" t="str">
        <v/>
      </c>
      <c r="F38716" s="102" t="str">
        <f ca="1">IFERROR(__xludf.DUMMYFUNCTION("IMPORTRANGE(H38716,""IDENTITAS UNIT!D9"")"),"#N/A")</f>
        <v>#N/A</v>
      </c>
      <c r="H38716" s="4" t="str">
        <v/>
      </c>
      <c r="I38716" s="4" t="str">
        <v/>
      </c>
    </row>
    <row r="38717" spans="5:9" ht="16.5" hidden="1">
      <c r="E38717" s="4" t="str">
        <v/>
      </c>
      <c r="F38717" s="102" t="str">
        <f ca="1">IFERROR(__xludf.DUMMYFUNCTION("IMPORTRANGE(H38717,""IDENTITAS UNIT!D9"")"),"#N/A")</f>
        <v>#N/A</v>
      </c>
      <c r="H38717" s="4" t="str">
        <v/>
      </c>
      <c r="I38717" s="4" t="str">
        <v/>
      </c>
    </row>
    <row r="38718" spans="5:9" ht="16.5" hidden="1">
      <c r="E38718" s="4" t="str">
        <v/>
      </c>
      <c r="F38718" s="102" t="str">
        <f ca="1">IFERROR(__xludf.DUMMYFUNCTION("IMPORTRANGE(H38718,""IDENTITAS UNIT!D9"")"),"#N/A")</f>
        <v>#N/A</v>
      </c>
      <c r="H38718" s="4" t="str">
        <v/>
      </c>
      <c r="I38718" s="4" t="str">
        <v/>
      </c>
    </row>
    <row r="38719" spans="5:9" ht="16.5" hidden="1">
      <c r="E38719" s="4" t="str">
        <v/>
      </c>
      <c r="F38719" s="102" t="str">
        <f ca="1">IFERROR(__xludf.DUMMYFUNCTION("IMPORTRANGE(H38719,""IDENTITAS UNIT!D9"")"),"#N/A")</f>
        <v>#N/A</v>
      </c>
      <c r="H38719" s="4" t="str">
        <v/>
      </c>
      <c r="I38719" s="4" t="str">
        <v/>
      </c>
    </row>
    <row r="38720" spans="5:9" ht="16.5" hidden="1">
      <c r="E38720" s="4" t="str">
        <v/>
      </c>
      <c r="F38720" s="102" t="str">
        <f ca="1">IFERROR(__xludf.DUMMYFUNCTION("IMPORTRANGE(H38720,""IDENTITAS UNIT!D9"")"),"#N/A")</f>
        <v>#N/A</v>
      </c>
      <c r="H38720" s="4" t="str">
        <v/>
      </c>
      <c r="I38720" s="4" t="str">
        <v/>
      </c>
    </row>
    <row r="38721" spans="5:9" ht="16.5" hidden="1">
      <c r="E38721" s="4" t="str">
        <v/>
      </c>
      <c r="F38721" s="102" t="str">
        <f ca="1">IFERROR(__xludf.DUMMYFUNCTION("IMPORTRANGE(H38721,""IDENTITAS UNIT!D9"")"),"#N/A")</f>
        <v>#N/A</v>
      </c>
      <c r="H38721" s="4" t="str">
        <v/>
      </c>
      <c r="I38721" s="4" t="str">
        <v/>
      </c>
    </row>
    <row r="38722" spans="5:9" ht="16.5" hidden="1">
      <c r="E38722" s="4" t="str">
        <v/>
      </c>
      <c r="F38722" s="102" t="str">
        <f ca="1">IFERROR(__xludf.DUMMYFUNCTION("IMPORTRANGE(H38722,""IDENTITAS UNIT!D9"")"),"#N/A")</f>
        <v>#N/A</v>
      </c>
      <c r="H38722" s="4" t="str">
        <v/>
      </c>
      <c r="I38722" s="4" t="str">
        <v/>
      </c>
    </row>
    <row r="38723" spans="5:9" ht="16.5" hidden="1">
      <c r="E38723" s="4" t="str">
        <v/>
      </c>
      <c r="F38723" s="102" t="str">
        <f ca="1">IFERROR(__xludf.DUMMYFUNCTION("IMPORTRANGE(H38723,""IDENTITAS UNIT!D9"")"),"#N/A")</f>
        <v>#N/A</v>
      </c>
      <c r="H38723" s="4" t="str">
        <v/>
      </c>
      <c r="I38723" s="4" t="str">
        <v/>
      </c>
    </row>
    <row r="38724" spans="5:9" ht="16.5" hidden="1">
      <c r="E38724" s="4" t="str">
        <v/>
      </c>
      <c r="F38724" s="102" t="str">
        <f ca="1">IFERROR(__xludf.DUMMYFUNCTION("IMPORTRANGE(H38724,""IDENTITAS UNIT!D9"")"),"#N/A")</f>
        <v>#N/A</v>
      </c>
      <c r="H38724" s="4" t="str">
        <v/>
      </c>
      <c r="I38724" s="4" t="str">
        <v/>
      </c>
    </row>
    <row r="38725" spans="5:9" ht="16.5" hidden="1">
      <c r="E38725" s="4" t="str">
        <v/>
      </c>
      <c r="F38725" s="102" t="str">
        <f ca="1">IFERROR(__xludf.DUMMYFUNCTION("IMPORTRANGE(H38725,""IDENTITAS UNIT!D9"")"),"#N/A")</f>
        <v>#N/A</v>
      </c>
      <c r="H38725" s="4" t="str">
        <v/>
      </c>
      <c r="I38725" s="4" t="str">
        <v/>
      </c>
    </row>
    <row r="38726" spans="5:9" ht="16.5" hidden="1">
      <c r="E38726" s="4" t="str">
        <v/>
      </c>
      <c r="F38726" s="102" t="str">
        <f ca="1">IFERROR(__xludf.DUMMYFUNCTION("IMPORTRANGE(H38726,""IDENTITAS UNIT!D9"")"),"#N/A")</f>
        <v>#N/A</v>
      </c>
      <c r="H38726" s="4" t="str">
        <v/>
      </c>
      <c r="I38726" s="4" t="str">
        <v/>
      </c>
    </row>
    <row r="38727" spans="5:9" ht="16.5" hidden="1">
      <c r="E38727" s="4" t="str">
        <v/>
      </c>
      <c r="F38727" s="102" t="str">
        <f ca="1">IFERROR(__xludf.DUMMYFUNCTION("IMPORTRANGE(H38727,""IDENTITAS UNIT!D9"")"),"#N/A")</f>
        <v>#N/A</v>
      </c>
      <c r="H38727" s="4" t="str">
        <v/>
      </c>
      <c r="I38727" s="4" t="str">
        <v/>
      </c>
    </row>
    <row r="38728" spans="5:9" ht="16.5" hidden="1">
      <c r="E38728" s="4" t="str">
        <v/>
      </c>
      <c r="F38728" s="102" t="str">
        <f ca="1">IFERROR(__xludf.DUMMYFUNCTION("IMPORTRANGE(H38728,""IDENTITAS UNIT!D9"")"),"#N/A")</f>
        <v>#N/A</v>
      </c>
      <c r="H38728" s="4" t="str">
        <v/>
      </c>
      <c r="I38728" s="4" t="str">
        <v/>
      </c>
    </row>
    <row r="38729" spans="5:9" ht="16.5" hidden="1">
      <c r="E38729" s="4" t="str">
        <v/>
      </c>
      <c r="F38729" s="102" t="str">
        <f ca="1">IFERROR(__xludf.DUMMYFUNCTION("IMPORTRANGE(H38729,""IDENTITAS UNIT!D9"")"),"#N/A")</f>
        <v>#N/A</v>
      </c>
      <c r="H38729" s="4" t="str">
        <v/>
      </c>
      <c r="I38729" s="4" t="str">
        <v/>
      </c>
    </row>
    <row r="38730" spans="5:9" ht="16.5" hidden="1">
      <c r="E38730" s="4" t="str">
        <v/>
      </c>
      <c r="F38730" s="102" t="str">
        <f ca="1">IFERROR(__xludf.DUMMYFUNCTION("IMPORTRANGE(H38730,""IDENTITAS UNIT!D9"")"),"#N/A")</f>
        <v>#N/A</v>
      </c>
      <c r="H38730" s="4" t="str">
        <v/>
      </c>
      <c r="I38730" s="4" t="str">
        <v/>
      </c>
    </row>
    <row r="38731" spans="5:9" ht="16.5" hidden="1">
      <c r="E38731" s="4" t="str">
        <v/>
      </c>
      <c r="F38731" s="102" t="str">
        <f ca="1">IFERROR(__xludf.DUMMYFUNCTION("IMPORTRANGE(H38731,""IDENTITAS UNIT!D9"")"),"#N/A")</f>
        <v>#N/A</v>
      </c>
      <c r="H38731" s="4" t="str">
        <v/>
      </c>
      <c r="I38731" s="4" t="str">
        <v/>
      </c>
    </row>
    <row r="38732" spans="5:9" ht="16.5" hidden="1">
      <c r="E38732" s="4" t="str">
        <v/>
      </c>
      <c r="F38732" s="102" t="str">
        <f ca="1">IFERROR(__xludf.DUMMYFUNCTION("IMPORTRANGE(H38732,""IDENTITAS UNIT!D9"")"),"#N/A")</f>
        <v>#N/A</v>
      </c>
      <c r="H38732" s="4" t="str">
        <v/>
      </c>
      <c r="I38732" s="4" t="str">
        <v/>
      </c>
    </row>
    <row r="38733" spans="5:9" ht="16.5" hidden="1">
      <c r="E38733" s="4" t="str">
        <v/>
      </c>
      <c r="F38733" s="102" t="str">
        <f ca="1">IFERROR(__xludf.DUMMYFUNCTION("IMPORTRANGE(H38733,""IDENTITAS UNIT!D9"")"),"#N/A")</f>
        <v>#N/A</v>
      </c>
      <c r="H38733" s="4" t="str">
        <v/>
      </c>
      <c r="I38733" s="4" t="str">
        <v/>
      </c>
    </row>
    <row r="38734" spans="5:9" ht="16.5" hidden="1">
      <c r="E38734" s="4" t="str">
        <v/>
      </c>
      <c r="F38734" s="102" t="str">
        <f ca="1">IFERROR(__xludf.DUMMYFUNCTION("IMPORTRANGE(H38734,""IDENTITAS UNIT!D9"")"),"#N/A")</f>
        <v>#N/A</v>
      </c>
      <c r="H38734" s="4" t="str">
        <v/>
      </c>
      <c r="I38734" s="4" t="str">
        <v/>
      </c>
    </row>
    <row r="38735" spans="5:9" ht="16.5" hidden="1">
      <c r="E38735" s="4" t="str">
        <v/>
      </c>
      <c r="F38735" s="102" t="str">
        <f ca="1">IFERROR(__xludf.DUMMYFUNCTION("IMPORTRANGE(H38735,""IDENTITAS UNIT!D9"")"),"#N/A")</f>
        <v>#N/A</v>
      </c>
      <c r="H38735" s="4" t="str">
        <v/>
      </c>
      <c r="I38735" s="4" t="str">
        <v/>
      </c>
    </row>
    <row r="38736" spans="5:9" ht="16.5" hidden="1">
      <c r="E38736" s="4" t="str">
        <v/>
      </c>
      <c r="F38736" s="102" t="str">
        <f ca="1">IFERROR(__xludf.DUMMYFUNCTION("IMPORTRANGE(H38736,""IDENTITAS UNIT!D9"")"),"#N/A")</f>
        <v>#N/A</v>
      </c>
      <c r="H38736" s="4" t="str">
        <v/>
      </c>
      <c r="I38736" s="4" t="str">
        <v/>
      </c>
    </row>
    <row r="38737" spans="5:9" ht="16.5" hidden="1">
      <c r="E38737" s="4" t="str">
        <v/>
      </c>
      <c r="F38737" s="102" t="str">
        <f ca="1">IFERROR(__xludf.DUMMYFUNCTION("IMPORTRANGE(H38737,""IDENTITAS UNIT!D9"")"),"#N/A")</f>
        <v>#N/A</v>
      </c>
      <c r="H38737" s="4" t="str">
        <v/>
      </c>
      <c r="I38737" s="4" t="str">
        <v/>
      </c>
    </row>
    <row r="38738" spans="5:9" ht="16.5" hidden="1">
      <c r="E38738" s="4" t="str">
        <v/>
      </c>
      <c r="F38738" s="102" t="str">
        <f ca="1">IFERROR(__xludf.DUMMYFUNCTION("IMPORTRANGE(H38738,""IDENTITAS UNIT!D9"")"),"#N/A")</f>
        <v>#N/A</v>
      </c>
      <c r="H38738" s="4" t="str">
        <v/>
      </c>
      <c r="I38738" s="4" t="str">
        <v/>
      </c>
    </row>
    <row r="38739" spans="5:9" ht="16.5" hidden="1">
      <c r="E38739" s="4" t="str">
        <v/>
      </c>
      <c r="F38739" s="102" t="str">
        <f ca="1">IFERROR(__xludf.DUMMYFUNCTION("IMPORTRANGE(H38739,""IDENTITAS UNIT!D9"")"),"#N/A")</f>
        <v>#N/A</v>
      </c>
      <c r="H38739" s="4" t="str">
        <v/>
      </c>
      <c r="I38739" s="4" t="str">
        <v/>
      </c>
    </row>
    <row r="38740" spans="5:9" ht="16.5" hidden="1">
      <c r="E38740" s="4" t="str">
        <v/>
      </c>
      <c r="F38740" s="102" t="str">
        <f ca="1">IFERROR(__xludf.DUMMYFUNCTION("IMPORTRANGE(H38740,""IDENTITAS UNIT!D9"")"),"#N/A")</f>
        <v>#N/A</v>
      </c>
      <c r="H38740" s="4" t="str">
        <v/>
      </c>
      <c r="I38740" s="4" t="str">
        <v/>
      </c>
    </row>
    <row r="38741" spans="5:9" ht="16.5" hidden="1">
      <c r="E38741" s="4" t="str">
        <v/>
      </c>
      <c r="F38741" s="102" t="str">
        <f ca="1">IFERROR(__xludf.DUMMYFUNCTION("IMPORTRANGE(H38741,""IDENTITAS UNIT!D9"")"),"#N/A")</f>
        <v>#N/A</v>
      </c>
      <c r="H38741" s="4" t="str">
        <v/>
      </c>
      <c r="I38741" s="4" t="str">
        <v/>
      </c>
    </row>
    <row r="38742" spans="5:9" ht="16.5" hidden="1">
      <c r="E38742" s="4" t="str">
        <v/>
      </c>
      <c r="F38742" s="102" t="str">
        <f ca="1">IFERROR(__xludf.DUMMYFUNCTION("IMPORTRANGE(H38742,""IDENTITAS UNIT!D9"")"),"#N/A")</f>
        <v>#N/A</v>
      </c>
      <c r="H38742" s="4" t="str">
        <v/>
      </c>
      <c r="I38742" s="4" t="str">
        <v/>
      </c>
    </row>
    <row r="38743" spans="5:9" ht="16.5" hidden="1">
      <c r="E38743" s="4" t="str">
        <v/>
      </c>
      <c r="F38743" s="102" t="str">
        <f ca="1">IFERROR(__xludf.DUMMYFUNCTION("IMPORTRANGE(H38743,""IDENTITAS UNIT!D9"")"),"#N/A")</f>
        <v>#N/A</v>
      </c>
      <c r="H38743" s="4" t="str">
        <v/>
      </c>
      <c r="I38743" s="4" t="str">
        <v/>
      </c>
    </row>
    <row r="38744" spans="5:9" ht="16.5" hidden="1">
      <c r="E38744" s="4" t="str">
        <v/>
      </c>
      <c r="F38744" s="102" t="str">
        <f ca="1">IFERROR(__xludf.DUMMYFUNCTION("IMPORTRANGE(H38744,""IDENTITAS UNIT!D9"")"),"#N/A")</f>
        <v>#N/A</v>
      </c>
      <c r="H38744" s="4" t="str">
        <v/>
      </c>
      <c r="I38744" s="4" t="str">
        <v/>
      </c>
    </row>
    <row r="38745" spans="5:9" ht="16.5" hidden="1">
      <c r="E38745" s="4" t="str">
        <v/>
      </c>
      <c r="F38745" s="102" t="str">
        <f ca="1">IFERROR(__xludf.DUMMYFUNCTION("IMPORTRANGE(H38745,""IDENTITAS UNIT!D9"")"),"#N/A")</f>
        <v>#N/A</v>
      </c>
      <c r="H38745" s="4" t="str">
        <v/>
      </c>
      <c r="I38745" s="4" t="str">
        <v/>
      </c>
    </row>
    <row r="38746" spans="5:9" ht="16.5" hidden="1">
      <c r="E38746" s="4" t="str">
        <v/>
      </c>
      <c r="F38746" s="102" t="str">
        <f ca="1">IFERROR(__xludf.DUMMYFUNCTION("IMPORTRANGE(H38746,""IDENTITAS UNIT!D9"")"),"#N/A")</f>
        <v>#N/A</v>
      </c>
      <c r="H38746" s="4" t="str">
        <v/>
      </c>
      <c r="I38746" s="4" t="str">
        <v/>
      </c>
    </row>
    <row r="38747" spans="5:9" ht="16.5" hidden="1">
      <c r="E38747" s="4" t="str">
        <v/>
      </c>
      <c r="F38747" s="102" t="str">
        <f ca="1">IFERROR(__xludf.DUMMYFUNCTION("IMPORTRANGE(H38747,""IDENTITAS UNIT!D9"")"),"#N/A")</f>
        <v>#N/A</v>
      </c>
      <c r="H38747" s="4" t="str">
        <v/>
      </c>
      <c r="I38747" s="4" t="str">
        <v/>
      </c>
    </row>
    <row r="38748" spans="5:9" ht="16.5" hidden="1">
      <c r="E38748" s="4" t="str">
        <v/>
      </c>
      <c r="F38748" s="102" t="str">
        <f ca="1">IFERROR(__xludf.DUMMYFUNCTION("IMPORTRANGE(H38748,""IDENTITAS UNIT!D9"")"),"#N/A")</f>
        <v>#N/A</v>
      </c>
      <c r="H38748" s="4" t="str">
        <v/>
      </c>
      <c r="I38748" s="4" t="str">
        <v/>
      </c>
    </row>
    <row r="38749" spans="5:9" ht="16.5" hidden="1">
      <c r="E38749" s="4" t="str">
        <v/>
      </c>
      <c r="F38749" s="102" t="str">
        <f ca="1">IFERROR(__xludf.DUMMYFUNCTION("IMPORTRANGE(H38749,""IDENTITAS UNIT!D9"")"),"#N/A")</f>
        <v>#N/A</v>
      </c>
      <c r="H38749" s="4" t="str">
        <v/>
      </c>
      <c r="I38749" s="4" t="str">
        <v/>
      </c>
    </row>
    <row r="38750" spans="5:9" ht="16.5" hidden="1">
      <c r="E38750" s="4" t="str">
        <v/>
      </c>
      <c r="F38750" s="102" t="str">
        <f ca="1">IFERROR(__xludf.DUMMYFUNCTION("IMPORTRANGE(H38750,""IDENTITAS UNIT!D9"")"),"#N/A")</f>
        <v>#N/A</v>
      </c>
      <c r="H38750" s="4" t="str">
        <v/>
      </c>
      <c r="I38750" s="4" t="str">
        <v/>
      </c>
    </row>
    <row r="38751" spans="5:9" ht="16.5" hidden="1">
      <c r="E38751" s="4" t="str">
        <v/>
      </c>
      <c r="F38751" s="102" t="str">
        <f ca="1">IFERROR(__xludf.DUMMYFUNCTION("IMPORTRANGE(H38751,""IDENTITAS UNIT!D9"")"),"#N/A")</f>
        <v>#N/A</v>
      </c>
      <c r="H38751" s="4" t="str">
        <v/>
      </c>
      <c r="I38751" s="4" t="str">
        <v/>
      </c>
    </row>
    <row r="38752" spans="5:9" ht="16.5" hidden="1">
      <c r="E38752" s="4" t="str">
        <v/>
      </c>
      <c r="F38752" s="102" t="str">
        <f ca="1">IFERROR(__xludf.DUMMYFUNCTION("IMPORTRANGE(H38752,""IDENTITAS UNIT!D9"")"),"#N/A")</f>
        <v>#N/A</v>
      </c>
      <c r="H38752" s="4" t="str">
        <v/>
      </c>
      <c r="I38752" s="4" t="str">
        <v/>
      </c>
    </row>
    <row r="38753" spans="5:9" ht="16.5" hidden="1">
      <c r="E38753" s="4" t="str">
        <v/>
      </c>
      <c r="F38753" s="102" t="str">
        <f ca="1">IFERROR(__xludf.DUMMYFUNCTION("IMPORTRANGE(H38753,""IDENTITAS UNIT!D9"")"),"#N/A")</f>
        <v>#N/A</v>
      </c>
      <c r="H38753" s="4" t="str">
        <v/>
      </c>
      <c r="I38753" s="4" t="str">
        <v/>
      </c>
    </row>
    <row r="38754" spans="5:9" ht="16.5" hidden="1">
      <c r="E38754" s="4" t="str">
        <v/>
      </c>
      <c r="F38754" s="102" t="str">
        <f ca="1">IFERROR(__xludf.DUMMYFUNCTION("IMPORTRANGE(H38754,""IDENTITAS UNIT!D9"")"),"#N/A")</f>
        <v>#N/A</v>
      </c>
      <c r="H38754" s="4" t="str">
        <v/>
      </c>
      <c r="I38754" s="4" t="str">
        <v/>
      </c>
    </row>
    <row r="38755" spans="5:9" ht="16.5" hidden="1">
      <c r="E38755" s="4" t="str">
        <v/>
      </c>
      <c r="F38755" s="102" t="str">
        <f ca="1">IFERROR(__xludf.DUMMYFUNCTION("IMPORTRANGE(H38755,""IDENTITAS UNIT!D9"")"),"#N/A")</f>
        <v>#N/A</v>
      </c>
      <c r="H38755" s="4" t="str">
        <v/>
      </c>
      <c r="I38755" s="4" t="str">
        <v/>
      </c>
    </row>
    <row r="38756" spans="5:9" ht="16.5" hidden="1">
      <c r="E38756" s="4" t="str">
        <v/>
      </c>
      <c r="F38756" s="102" t="str">
        <f ca="1">IFERROR(__xludf.DUMMYFUNCTION("IMPORTRANGE(H38756,""IDENTITAS UNIT!D9"")"),"#N/A")</f>
        <v>#N/A</v>
      </c>
      <c r="H38756" s="4" t="str">
        <v/>
      </c>
      <c r="I38756" s="4" t="str">
        <v/>
      </c>
    </row>
    <row r="38757" spans="5:9" ht="16.5" hidden="1">
      <c r="E38757" s="4" t="str">
        <v/>
      </c>
      <c r="F38757" s="102" t="str">
        <f ca="1">IFERROR(__xludf.DUMMYFUNCTION("IMPORTRANGE(H38757,""IDENTITAS UNIT!D9"")"),"#N/A")</f>
        <v>#N/A</v>
      </c>
      <c r="H38757" s="4" t="str">
        <v/>
      </c>
      <c r="I38757" s="4" t="str">
        <v/>
      </c>
    </row>
    <row r="38758" spans="5:9" ht="16.5" hidden="1">
      <c r="E38758" s="4" t="str">
        <v/>
      </c>
      <c r="F38758" s="102" t="str">
        <f ca="1">IFERROR(__xludf.DUMMYFUNCTION("IMPORTRANGE(H38758,""IDENTITAS UNIT!D9"")"),"#N/A")</f>
        <v>#N/A</v>
      </c>
      <c r="H38758" s="4" t="str">
        <v/>
      </c>
      <c r="I38758" s="4" t="str">
        <v/>
      </c>
    </row>
    <row r="38759" spans="5:9" ht="16.5" hidden="1">
      <c r="E38759" s="4" t="str">
        <v/>
      </c>
      <c r="F38759" s="102" t="str">
        <f ca="1">IFERROR(__xludf.DUMMYFUNCTION("IMPORTRANGE(H38759,""IDENTITAS UNIT!D9"")"),"#N/A")</f>
        <v>#N/A</v>
      </c>
      <c r="H38759" s="4" t="str">
        <v/>
      </c>
      <c r="I38759" s="4" t="str">
        <v/>
      </c>
    </row>
    <row r="38760" spans="5:9" ht="16.5" hidden="1">
      <c r="E38760" s="4" t="str">
        <v/>
      </c>
      <c r="F38760" s="102" t="str">
        <f ca="1">IFERROR(__xludf.DUMMYFUNCTION("IMPORTRANGE(H38760,""IDENTITAS UNIT!D9"")"),"#N/A")</f>
        <v>#N/A</v>
      </c>
      <c r="H38760" s="4" t="str">
        <v/>
      </c>
      <c r="I38760" s="4" t="str">
        <v/>
      </c>
    </row>
    <row r="38761" spans="5:9" ht="16.5" hidden="1">
      <c r="E38761" s="4" t="str">
        <v/>
      </c>
      <c r="F38761" s="102" t="str">
        <f ca="1">IFERROR(__xludf.DUMMYFUNCTION("IMPORTRANGE(H38761,""IDENTITAS UNIT!D9"")"),"#N/A")</f>
        <v>#N/A</v>
      </c>
      <c r="H38761" s="4" t="str">
        <v/>
      </c>
      <c r="I38761" s="4" t="str">
        <v/>
      </c>
    </row>
    <row r="38762" spans="5:9" ht="16.5" hidden="1">
      <c r="E38762" s="4" t="str">
        <v/>
      </c>
      <c r="F38762" s="102" t="str">
        <f ca="1">IFERROR(__xludf.DUMMYFUNCTION("IMPORTRANGE(H38762,""IDENTITAS UNIT!D9"")"),"#N/A")</f>
        <v>#N/A</v>
      </c>
      <c r="H38762" s="4" t="str">
        <v/>
      </c>
      <c r="I38762" s="4" t="str">
        <v/>
      </c>
    </row>
    <row r="38763" spans="5:9" ht="16.5" hidden="1">
      <c r="E38763" s="4" t="str">
        <v/>
      </c>
      <c r="F38763" s="102" t="str">
        <f ca="1">IFERROR(__xludf.DUMMYFUNCTION("IMPORTRANGE(H38763,""IDENTITAS UNIT!D9"")"),"#N/A")</f>
        <v>#N/A</v>
      </c>
      <c r="H38763" s="4" t="str">
        <v/>
      </c>
      <c r="I38763" s="4" t="str">
        <v/>
      </c>
    </row>
    <row r="38764" spans="5:9" ht="16.5" hidden="1">
      <c r="E38764" s="4" t="str">
        <v/>
      </c>
      <c r="F38764" s="102" t="str">
        <f ca="1">IFERROR(__xludf.DUMMYFUNCTION("IMPORTRANGE(H38764,""IDENTITAS UNIT!D9"")"),"#N/A")</f>
        <v>#N/A</v>
      </c>
      <c r="H38764" s="4" t="str">
        <v/>
      </c>
      <c r="I38764" s="4" t="str">
        <v/>
      </c>
    </row>
    <row r="38765" spans="5:9" ht="16.5" hidden="1">
      <c r="E38765" s="4" t="str">
        <v/>
      </c>
      <c r="F38765" s="102" t="str">
        <f ca="1">IFERROR(__xludf.DUMMYFUNCTION("IMPORTRANGE(H38765,""IDENTITAS UNIT!D9"")"),"#N/A")</f>
        <v>#N/A</v>
      </c>
      <c r="H38765" s="4" t="str">
        <v/>
      </c>
      <c r="I38765" s="4" t="str">
        <v/>
      </c>
    </row>
    <row r="38766" spans="5:9" ht="16.5" hidden="1">
      <c r="E38766" s="4" t="str">
        <v/>
      </c>
      <c r="F38766" s="102" t="str">
        <f ca="1">IFERROR(__xludf.DUMMYFUNCTION("IMPORTRANGE(H38766,""IDENTITAS UNIT!D9"")"),"#N/A")</f>
        <v>#N/A</v>
      </c>
      <c r="H38766" s="4" t="str">
        <v/>
      </c>
      <c r="I38766" s="4" t="str">
        <v/>
      </c>
    </row>
    <row r="38767" spans="5:9" ht="16.5" hidden="1">
      <c r="E38767" s="4" t="str">
        <v/>
      </c>
      <c r="F38767" s="102" t="str">
        <f ca="1">IFERROR(__xludf.DUMMYFUNCTION("IMPORTRANGE(H38767,""IDENTITAS UNIT!D9"")"),"#N/A")</f>
        <v>#N/A</v>
      </c>
      <c r="H38767" s="4" t="str">
        <v/>
      </c>
      <c r="I38767" s="4" t="str">
        <v/>
      </c>
    </row>
    <row r="38768" spans="5:9" ht="16.5" hidden="1">
      <c r="E38768" s="4" t="str">
        <v/>
      </c>
      <c r="F38768" s="102" t="str">
        <f ca="1">IFERROR(__xludf.DUMMYFUNCTION("IMPORTRANGE(H38768,""IDENTITAS UNIT!D9"")"),"#N/A")</f>
        <v>#N/A</v>
      </c>
      <c r="H38768" s="4" t="str">
        <v/>
      </c>
      <c r="I38768" s="4" t="str">
        <v/>
      </c>
    </row>
    <row r="38769" spans="5:9" ht="16.5" hidden="1">
      <c r="E38769" s="4" t="str">
        <v/>
      </c>
      <c r="F38769" s="102" t="str">
        <f ca="1">IFERROR(__xludf.DUMMYFUNCTION("IMPORTRANGE(H38769,""IDENTITAS UNIT!D9"")"),"#N/A")</f>
        <v>#N/A</v>
      </c>
      <c r="H38769" s="4" t="str">
        <v/>
      </c>
      <c r="I38769" s="4" t="str">
        <v/>
      </c>
    </row>
    <row r="38770" spans="5:9" ht="16.5" hidden="1">
      <c r="E38770" s="4" t="str">
        <v/>
      </c>
      <c r="F38770" s="102" t="str">
        <f ca="1">IFERROR(__xludf.DUMMYFUNCTION("IMPORTRANGE(H38770,""IDENTITAS UNIT!D9"")"),"#N/A")</f>
        <v>#N/A</v>
      </c>
      <c r="H38770" s="4" t="str">
        <v/>
      </c>
      <c r="I38770" s="4" t="str">
        <v/>
      </c>
    </row>
    <row r="38771" spans="5:9" ht="16.5" hidden="1">
      <c r="E38771" s="4" t="str">
        <v/>
      </c>
      <c r="F38771" s="102" t="str">
        <f ca="1">IFERROR(__xludf.DUMMYFUNCTION("IMPORTRANGE(H38771,""IDENTITAS UNIT!D9"")"),"#N/A")</f>
        <v>#N/A</v>
      </c>
      <c r="H38771" s="4" t="str">
        <v/>
      </c>
      <c r="I38771" s="4" t="str">
        <v/>
      </c>
    </row>
    <row r="38772" spans="5:9" ht="16.5" hidden="1">
      <c r="E38772" s="4" t="str">
        <v/>
      </c>
      <c r="F38772" s="102" t="str">
        <f ca="1">IFERROR(__xludf.DUMMYFUNCTION("IMPORTRANGE(H38772,""IDENTITAS UNIT!D9"")"),"#N/A")</f>
        <v>#N/A</v>
      </c>
      <c r="H38772" s="4" t="str">
        <v/>
      </c>
      <c r="I38772" s="4" t="str">
        <v/>
      </c>
    </row>
    <row r="38773" spans="5:9" ht="16.5" hidden="1">
      <c r="E38773" s="4" t="str">
        <v/>
      </c>
      <c r="F38773" s="102" t="str">
        <f ca="1">IFERROR(__xludf.DUMMYFUNCTION("IMPORTRANGE(H38773,""IDENTITAS UNIT!D9"")"),"#N/A")</f>
        <v>#N/A</v>
      </c>
      <c r="H38773" s="4" t="str">
        <v/>
      </c>
      <c r="I38773" s="4" t="str">
        <v/>
      </c>
    </row>
    <row r="38774" spans="5:9" ht="16.5" hidden="1">
      <c r="E38774" s="4" t="str">
        <v/>
      </c>
      <c r="F38774" s="102" t="str">
        <f ca="1">IFERROR(__xludf.DUMMYFUNCTION("IMPORTRANGE(H38774,""IDENTITAS UNIT!D9"")"),"#N/A")</f>
        <v>#N/A</v>
      </c>
      <c r="H38774" s="4" t="str">
        <v/>
      </c>
      <c r="I38774" s="4" t="str">
        <v/>
      </c>
    </row>
    <row r="38775" spans="5:9" ht="16.5" hidden="1">
      <c r="E38775" s="4" t="str">
        <v/>
      </c>
      <c r="F38775" s="102" t="str">
        <f ca="1">IFERROR(__xludf.DUMMYFUNCTION("IMPORTRANGE(H38775,""IDENTITAS UNIT!D9"")"),"#N/A")</f>
        <v>#N/A</v>
      </c>
      <c r="H38775" s="4" t="str">
        <v/>
      </c>
      <c r="I38775" s="4" t="str">
        <v/>
      </c>
    </row>
    <row r="38776" spans="5:9" ht="16.5" hidden="1">
      <c r="E38776" s="4" t="str">
        <v/>
      </c>
      <c r="F38776" s="102" t="str">
        <f ca="1">IFERROR(__xludf.DUMMYFUNCTION("IMPORTRANGE(H38776,""IDENTITAS UNIT!D9"")"),"#N/A")</f>
        <v>#N/A</v>
      </c>
      <c r="H38776" s="4" t="str">
        <v/>
      </c>
      <c r="I38776" s="4" t="str">
        <v/>
      </c>
    </row>
    <row r="38777" spans="5:9" ht="16.5" hidden="1">
      <c r="E38777" s="4" t="str">
        <v/>
      </c>
      <c r="F38777" s="102" t="str">
        <f ca="1">IFERROR(__xludf.DUMMYFUNCTION("IMPORTRANGE(H38777,""IDENTITAS UNIT!D9"")"),"#N/A")</f>
        <v>#N/A</v>
      </c>
      <c r="H38777" s="4" t="str">
        <v/>
      </c>
      <c r="I38777" s="4" t="str">
        <v/>
      </c>
    </row>
    <row r="38778" spans="5:9" ht="16.5" hidden="1">
      <c r="E38778" s="4" t="str">
        <v/>
      </c>
      <c r="F38778" s="102" t="str">
        <f ca="1">IFERROR(__xludf.DUMMYFUNCTION("IMPORTRANGE(H38778,""IDENTITAS UNIT!D9"")"),"#N/A")</f>
        <v>#N/A</v>
      </c>
      <c r="H38778" s="4" t="str">
        <v/>
      </c>
      <c r="I38778" s="4" t="str">
        <v/>
      </c>
    </row>
    <row r="38779" spans="5:9" ht="16.5" hidden="1">
      <c r="E38779" s="4" t="str">
        <v/>
      </c>
      <c r="F38779" s="102" t="str">
        <f ca="1">IFERROR(__xludf.DUMMYFUNCTION("IMPORTRANGE(H38779,""IDENTITAS UNIT!D9"")"),"#N/A")</f>
        <v>#N/A</v>
      </c>
      <c r="H38779" s="4" t="str">
        <v/>
      </c>
      <c r="I38779" s="4" t="str">
        <v/>
      </c>
    </row>
    <row r="38780" spans="5:9" ht="16.5" hidden="1">
      <c r="E38780" s="4" t="str">
        <v/>
      </c>
      <c r="F38780" s="102" t="str">
        <f ca="1">IFERROR(__xludf.DUMMYFUNCTION("IMPORTRANGE(H38780,""IDENTITAS UNIT!D9"")"),"#N/A")</f>
        <v>#N/A</v>
      </c>
      <c r="H38780" s="4" t="str">
        <v/>
      </c>
      <c r="I38780" s="4" t="str">
        <v/>
      </c>
    </row>
    <row r="38781" spans="5:9" ht="16.5" hidden="1">
      <c r="E38781" s="4" t="str">
        <v/>
      </c>
      <c r="F38781" s="102" t="str">
        <f ca="1">IFERROR(__xludf.DUMMYFUNCTION("IMPORTRANGE(H38781,""IDENTITAS UNIT!D9"")"),"#N/A")</f>
        <v>#N/A</v>
      </c>
      <c r="H38781" s="4" t="str">
        <v/>
      </c>
      <c r="I38781" s="4" t="str">
        <v/>
      </c>
    </row>
    <row r="38782" spans="5:9" ht="16.5" hidden="1">
      <c r="E38782" s="4" t="str">
        <v/>
      </c>
      <c r="F38782" s="102" t="str">
        <f ca="1">IFERROR(__xludf.DUMMYFUNCTION("IMPORTRANGE(H38782,""IDENTITAS UNIT!D9"")"),"#N/A")</f>
        <v>#N/A</v>
      </c>
      <c r="H38782" s="4" t="str">
        <v/>
      </c>
      <c r="I38782" s="4" t="str">
        <v/>
      </c>
    </row>
    <row r="38783" spans="5:9" ht="16.5" hidden="1">
      <c r="E38783" s="4" t="str">
        <v/>
      </c>
      <c r="F38783" s="102" t="str">
        <f ca="1">IFERROR(__xludf.DUMMYFUNCTION("IMPORTRANGE(H38783,""IDENTITAS UNIT!D9"")"),"#N/A")</f>
        <v>#N/A</v>
      </c>
      <c r="H38783" s="4" t="str">
        <v/>
      </c>
      <c r="I38783" s="4" t="str">
        <v/>
      </c>
    </row>
    <row r="38784" spans="5:9" ht="16.5" hidden="1">
      <c r="E38784" s="4" t="str">
        <v/>
      </c>
      <c r="F38784" s="102" t="str">
        <f ca="1">IFERROR(__xludf.DUMMYFUNCTION("IMPORTRANGE(H38784,""IDENTITAS UNIT!D9"")"),"#N/A")</f>
        <v>#N/A</v>
      </c>
      <c r="H38784" s="4" t="str">
        <v/>
      </c>
      <c r="I38784" s="4" t="str">
        <v/>
      </c>
    </row>
    <row r="38785" spans="5:9" ht="16.5" hidden="1">
      <c r="E38785" s="4" t="str">
        <v/>
      </c>
      <c r="F38785" s="102" t="str">
        <f ca="1">IFERROR(__xludf.DUMMYFUNCTION("IMPORTRANGE(H38785,""IDENTITAS UNIT!D9"")"),"#N/A")</f>
        <v>#N/A</v>
      </c>
      <c r="H38785" s="4" t="str">
        <v/>
      </c>
      <c r="I38785" s="4" t="str">
        <v/>
      </c>
    </row>
    <row r="38786" spans="5:9" ht="16.5" hidden="1">
      <c r="E38786" s="4" t="str">
        <v/>
      </c>
      <c r="F38786" s="102" t="str">
        <f ca="1">IFERROR(__xludf.DUMMYFUNCTION("IMPORTRANGE(H38786,""IDENTITAS UNIT!D9"")"),"#N/A")</f>
        <v>#N/A</v>
      </c>
      <c r="H38786" s="4" t="str">
        <v/>
      </c>
      <c r="I38786" s="4" t="str">
        <v/>
      </c>
    </row>
    <row r="38787" spans="5:9" ht="16.5" hidden="1">
      <c r="E38787" s="4" t="str">
        <v/>
      </c>
      <c r="F38787" s="102" t="str">
        <f ca="1">IFERROR(__xludf.DUMMYFUNCTION("IMPORTRANGE(H38787,""IDENTITAS UNIT!D9"")"),"#N/A")</f>
        <v>#N/A</v>
      </c>
      <c r="H38787" s="4" t="str">
        <v/>
      </c>
      <c r="I38787" s="4" t="str">
        <v/>
      </c>
    </row>
    <row r="38788" spans="5:9" ht="16.5" hidden="1">
      <c r="E38788" s="4" t="str">
        <v/>
      </c>
      <c r="F38788" s="102" t="str">
        <f ca="1">IFERROR(__xludf.DUMMYFUNCTION("IMPORTRANGE(H38788,""IDENTITAS UNIT!D9"")"),"#N/A")</f>
        <v>#N/A</v>
      </c>
      <c r="H38788" s="4" t="str">
        <v/>
      </c>
      <c r="I38788" s="4" t="str">
        <v/>
      </c>
    </row>
    <row r="38789" spans="5:9" ht="16.5" hidden="1">
      <c r="E38789" s="4" t="str">
        <v/>
      </c>
      <c r="F38789" s="102" t="str">
        <f ca="1">IFERROR(__xludf.DUMMYFUNCTION("IMPORTRANGE(H38789,""IDENTITAS UNIT!D9"")"),"#N/A")</f>
        <v>#N/A</v>
      </c>
      <c r="H38789" s="4" t="str">
        <v/>
      </c>
      <c r="I38789" s="4" t="str">
        <v/>
      </c>
    </row>
    <row r="38790" spans="5:9" ht="16.5" hidden="1">
      <c r="E38790" s="4" t="str">
        <v/>
      </c>
      <c r="F38790" s="102" t="str">
        <f ca="1">IFERROR(__xludf.DUMMYFUNCTION("IMPORTRANGE(H38790,""IDENTITAS UNIT!D9"")"),"#N/A")</f>
        <v>#N/A</v>
      </c>
      <c r="H38790" s="4" t="str">
        <v/>
      </c>
      <c r="I38790" s="4" t="str">
        <v/>
      </c>
    </row>
    <row r="38791" spans="5:9" ht="16.5" hidden="1">
      <c r="E38791" s="4" t="str">
        <v/>
      </c>
      <c r="F38791" s="102" t="str">
        <f ca="1">IFERROR(__xludf.DUMMYFUNCTION("IMPORTRANGE(H38791,""IDENTITAS UNIT!D9"")"),"#N/A")</f>
        <v>#N/A</v>
      </c>
      <c r="H38791" s="4" t="str">
        <v/>
      </c>
      <c r="I38791" s="4" t="str">
        <v/>
      </c>
    </row>
    <row r="38792" spans="5:9" ht="16.5" hidden="1">
      <c r="E38792" s="4" t="str">
        <v/>
      </c>
      <c r="F38792" s="102" t="str">
        <f ca="1">IFERROR(__xludf.DUMMYFUNCTION("IMPORTRANGE(H38792,""IDENTITAS UNIT!D9"")"),"#N/A")</f>
        <v>#N/A</v>
      </c>
      <c r="H38792" s="4" t="str">
        <v/>
      </c>
      <c r="I38792" s="4" t="str">
        <v/>
      </c>
    </row>
    <row r="38793" spans="5:9" ht="16.5" hidden="1">
      <c r="E38793" s="4" t="str">
        <v/>
      </c>
      <c r="F38793" s="102" t="str">
        <f ca="1">IFERROR(__xludf.DUMMYFUNCTION("IMPORTRANGE(H38793,""IDENTITAS UNIT!D9"")"),"#N/A")</f>
        <v>#N/A</v>
      </c>
      <c r="H38793" s="4" t="str">
        <v/>
      </c>
      <c r="I38793" s="4" t="str">
        <v/>
      </c>
    </row>
    <row r="38794" spans="5:9" ht="16.5" hidden="1">
      <c r="E38794" s="4" t="str">
        <v/>
      </c>
      <c r="F38794" s="102" t="str">
        <f ca="1">IFERROR(__xludf.DUMMYFUNCTION("IMPORTRANGE(H38794,""IDENTITAS UNIT!D9"")"),"#N/A")</f>
        <v>#N/A</v>
      </c>
      <c r="H38794" s="4" t="str">
        <v/>
      </c>
      <c r="I38794" s="4" t="str">
        <v/>
      </c>
    </row>
    <row r="38795" spans="5:9" ht="16.5" hidden="1">
      <c r="E38795" s="4" t="str">
        <v/>
      </c>
      <c r="F38795" s="102" t="str">
        <f ca="1">IFERROR(__xludf.DUMMYFUNCTION("IMPORTRANGE(H38795,""IDENTITAS UNIT!D9"")"),"#N/A")</f>
        <v>#N/A</v>
      </c>
      <c r="H38795" s="4" t="str">
        <v/>
      </c>
      <c r="I38795" s="4" t="str">
        <v/>
      </c>
    </row>
    <row r="38796" spans="5:9" ht="16.5" hidden="1">
      <c r="E38796" s="4" t="str">
        <v/>
      </c>
      <c r="F38796" s="102" t="str">
        <f ca="1">IFERROR(__xludf.DUMMYFUNCTION("IMPORTRANGE(H38796,""IDENTITAS UNIT!D9"")"),"#N/A")</f>
        <v>#N/A</v>
      </c>
      <c r="H38796" s="4" t="str">
        <v/>
      </c>
      <c r="I38796" s="4" t="str">
        <v/>
      </c>
    </row>
    <row r="38797" spans="5:9" ht="16.5" hidden="1">
      <c r="E38797" s="4" t="str">
        <v/>
      </c>
      <c r="F38797" s="102" t="str">
        <f ca="1">IFERROR(__xludf.DUMMYFUNCTION("IMPORTRANGE(H38797,""IDENTITAS UNIT!D9"")"),"#N/A")</f>
        <v>#N/A</v>
      </c>
      <c r="H38797" s="4" t="str">
        <v/>
      </c>
      <c r="I38797" s="4" t="str">
        <v/>
      </c>
    </row>
    <row r="38798" spans="5:9" ht="16.5" hidden="1">
      <c r="E38798" s="4" t="str">
        <v/>
      </c>
      <c r="F38798" s="102" t="str">
        <f ca="1">IFERROR(__xludf.DUMMYFUNCTION("IMPORTRANGE(H38798,""IDENTITAS UNIT!D9"")"),"#N/A")</f>
        <v>#N/A</v>
      </c>
      <c r="H38798" s="4" t="str">
        <v/>
      </c>
      <c r="I38798" s="4" t="str">
        <v/>
      </c>
    </row>
    <row r="38799" spans="5:9" ht="16.5" hidden="1">
      <c r="E38799" s="4" t="str">
        <v/>
      </c>
      <c r="F38799" s="102" t="str">
        <f ca="1">IFERROR(__xludf.DUMMYFUNCTION("IMPORTRANGE(H38799,""IDENTITAS UNIT!D9"")"),"#N/A")</f>
        <v>#N/A</v>
      </c>
      <c r="H38799" s="4" t="str">
        <v/>
      </c>
      <c r="I38799" s="4" t="str">
        <v/>
      </c>
    </row>
    <row r="38800" spans="5:9" ht="16.5" hidden="1">
      <c r="E38800" s="4" t="str">
        <v/>
      </c>
      <c r="F38800" s="102" t="str">
        <f ca="1">IFERROR(__xludf.DUMMYFUNCTION("IMPORTRANGE(H38800,""IDENTITAS UNIT!D9"")"),"#N/A")</f>
        <v>#N/A</v>
      </c>
      <c r="H38800" s="4" t="str">
        <v/>
      </c>
      <c r="I38800" s="4" t="str">
        <v/>
      </c>
    </row>
    <row r="38801" spans="5:9" ht="16.5" hidden="1">
      <c r="E38801" s="4" t="str">
        <v/>
      </c>
      <c r="F38801" s="102" t="str">
        <f ca="1">IFERROR(__xludf.DUMMYFUNCTION("IMPORTRANGE(H38801,""IDENTITAS UNIT!D9"")"),"#N/A")</f>
        <v>#N/A</v>
      </c>
      <c r="H38801" s="4" t="str">
        <v/>
      </c>
      <c r="I38801" s="4" t="str">
        <v/>
      </c>
    </row>
    <row r="38802" spans="5:9" ht="16.5" hidden="1">
      <c r="E38802" s="4" t="str">
        <v/>
      </c>
      <c r="F38802" s="102" t="str">
        <f ca="1">IFERROR(__xludf.DUMMYFUNCTION("IMPORTRANGE(H38802,""IDENTITAS UNIT!D9"")"),"#N/A")</f>
        <v>#N/A</v>
      </c>
      <c r="H38802" s="4" t="str">
        <v/>
      </c>
      <c r="I38802" s="4" t="str">
        <v/>
      </c>
    </row>
    <row r="38803" spans="5:9" ht="16.5" hidden="1">
      <c r="E38803" s="4" t="str">
        <v/>
      </c>
      <c r="F38803" s="102" t="str">
        <f ca="1">IFERROR(__xludf.DUMMYFUNCTION("IMPORTRANGE(H38803,""IDENTITAS UNIT!D9"")"),"#N/A")</f>
        <v>#N/A</v>
      </c>
      <c r="H38803" s="4" t="str">
        <v/>
      </c>
      <c r="I38803" s="4" t="str">
        <v/>
      </c>
    </row>
    <row r="38804" spans="5:9" ht="16.5" hidden="1">
      <c r="E38804" s="4" t="str">
        <v/>
      </c>
      <c r="F38804" s="102" t="str">
        <f ca="1">IFERROR(__xludf.DUMMYFUNCTION("IMPORTRANGE(H38804,""IDENTITAS UNIT!D9"")"),"#N/A")</f>
        <v>#N/A</v>
      </c>
      <c r="H38804" s="4" t="str">
        <v/>
      </c>
      <c r="I38804" s="4" t="str">
        <v/>
      </c>
    </row>
    <row r="38805" spans="5:9" ht="16.5" hidden="1">
      <c r="E38805" s="4" t="str">
        <v/>
      </c>
      <c r="F38805" s="102" t="str">
        <f ca="1">IFERROR(__xludf.DUMMYFUNCTION("IMPORTRANGE(H38805,""IDENTITAS UNIT!D9"")"),"#N/A")</f>
        <v>#N/A</v>
      </c>
      <c r="H38805" s="4" t="str">
        <v/>
      </c>
      <c r="I38805" s="4" t="str">
        <v/>
      </c>
    </row>
    <row r="38806" spans="5:9" ht="16.5" hidden="1">
      <c r="E38806" s="4" t="str">
        <v/>
      </c>
      <c r="F38806" s="102" t="str">
        <f ca="1">IFERROR(__xludf.DUMMYFUNCTION("IMPORTRANGE(H38806,""IDENTITAS UNIT!D9"")"),"#N/A")</f>
        <v>#N/A</v>
      </c>
      <c r="H38806" s="4" t="str">
        <v/>
      </c>
      <c r="I38806" s="4" t="str">
        <v/>
      </c>
    </row>
    <row r="38807" spans="5:9" ht="16.5" hidden="1">
      <c r="E38807" s="4" t="str">
        <v/>
      </c>
      <c r="F38807" s="102" t="str">
        <f ca="1">IFERROR(__xludf.DUMMYFUNCTION("IMPORTRANGE(H38807,""IDENTITAS UNIT!D9"")"),"#N/A")</f>
        <v>#N/A</v>
      </c>
      <c r="H38807" s="4" t="str">
        <v/>
      </c>
      <c r="I38807" s="4" t="str">
        <v/>
      </c>
    </row>
    <row r="38808" spans="5:9" ht="16.5" hidden="1">
      <c r="E38808" s="4" t="str">
        <v/>
      </c>
      <c r="F38808" s="102" t="str">
        <f ca="1">IFERROR(__xludf.DUMMYFUNCTION("IMPORTRANGE(H38808,""IDENTITAS UNIT!D9"")"),"#N/A")</f>
        <v>#N/A</v>
      </c>
      <c r="H38808" s="4" t="str">
        <v/>
      </c>
      <c r="I38808" s="4" t="str">
        <v/>
      </c>
    </row>
    <row r="38809" spans="5:9" ht="16.5" hidden="1">
      <c r="E38809" s="4" t="str">
        <v/>
      </c>
      <c r="F38809" s="102" t="str">
        <f ca="1">IFERROR(__xludf.DUMMYFUNCTION("IMPORTRANGE(H38809,""IDENTITAS UNIT!D9"")"),"#N/A")</f>
        <v>#N/A</v>
      </c>
      <c r="H38809" s="4" t="str">
        <v/>
      </c>
      <c r="I38809" s="4" t="str">
        <v/>
      </c>
    </row>
    <row r="38810" spans="5:9" ht="16.5" hidden="1">
      <c r="E38810" s="4" t="str">
        <v/>
      </c>
      <c r="F38810" s="102" t="str">
        <f ca="1">IFERROR(__xludf.DUMMYFUNCTION("IMPORTRANGE(H38810,""IDENTITAS UNIT!D9"")"),"#N/A")</f>
        <v>#N/A</v>
      </c>
      <c r="H38810" s="4" t="str">
        <v/>
      </c>
      <c r="I38810" s="4" t="str">
        <v/>
      </c>
    </row>
    <row r="38811" spans="5:9" ht="16.5" hidden="1">
      <c r="E38811" s="4" t="str">
        <v/>
      </c>
      <c r="F38811" s="102" t="str">
        <f ca="1">IFERROR(__xludf.DUMMYFUNCTION("IMPORTRANGE(H38811,""IDENTITAS UNIT!D9"")"),"#N/A")</f>
        <v>#N/A</v>
      </c>
      <c r="H38811" s="4" t="str">
        <v/>
      </c>
      <c r="I38811" s="4" t="str">
        <v/>
      </c>
    </row>
    <row r="38812" spans="5:9" ht="16.5" hidden="1">
      <c r="E38812" s="4" t="str">
        <v/>
      </c>
      <c r="F38812" s="102" t="str">
        <f ca="1">IFERROR(__xludf.DUMMYFUNCTION("IMPORTRANGE(H38812,""IDENTITAS UNIT!D9"")"),"#N/A")</f>
        <v>#N/A</v>
      </c>
      <c r="H38812" s="4" t="str">
        <v/>
      </c>
      <c r="I38812" s="4" t="str">
        <v/>
      </c>
    </row>
    <row r="38813" spans="5:9" ht="16.5" hidden="1">
      <c r="E38813" s="4" t="str">
        <v/>
      </c>
      <c r="F38813" s="102" t="str">
        <f ca="1">IFERROR(__xludf.DUMMYFUNCTION("IMPORTRANGE(H38813,""IDENTITAS UNIT!D9"")"),"#N/A")</f>
        <v>#N/A</v>
      </c>
      <c r="H38813" s="4" t="str">
        <v/>
      </c>
      <c r="I38813" s="4" t="str">
        <v/>
      </c>
    </row>
    <row r="38814" spans="5:9" ht="16.5" hidden="1">
      <c r="E38814" s="4" t="str">
        <v/>
      </c>
      <c r="F38814" s="102" t="str">
        <f ca="1">IFERROR(__xludf.DUMMYFUNCTION("IMPORTRANGE(H38814,""IDENTITAS UNIT!D9"")"),"#N/A")</f>
        <v>#N/A</v>
      </c>
      <c r="H38814" s="4" t="str">
        <v/>
      </c>
      <c r="I38814" s="4" t="str">
        <v/>
      </c>
    </row>
    <row r="38815" spans="5:9" ht="16.5" hidden="1">
      <c r="E38815" s="4" t="str">
        <v/>
      </c>
      <c r="F38815" s="102" t="str">
        <f ca="1">IFERROR(__xludf.DUMMYFUNCTION("IMPORTRANGE(H38815,""IDENTITAS UNIT!D9"")"),"#N/A")</f>
        <v>#N/A</v>
      </c>
      <c r="H38815" s="4" t="str">
        <v/>
      </c>
      <c r="I38815" s="4" t="str">
        <v/>
      </c>
    </row>
    <row r="38816" spans="5:9" ht="16.5" hidden="1">
      <c r="E38816" s="4" t="str">
        <v/>
      </c>
      <c r="F38816" s="102" t="str">
        <f ca="1">IFERROR(__xludf.DUMMYFUNCTION("IMPORTRANGE(H38816,""IDENTITAS UNIT!D9"")"),"#N/A")</f>
        <v>#N/A</v>
      </c>
      <c r="H38816" s="4" t="str">
        <v/>
      </c>
      <c r="I38816" s="4" t="str">
        <v/>
      </c>
    </row>
    <row r="38817" spans="5:9" ht="16.5" hidden="1">
      <c r="E38817" s="4" t="str">
        <v/>
      </c>
      <c r="F38817" s="102" t="str">
        <f ca="1">IFERROR(__xludf.DUMMYFUNCTION("IMPORTRANGE(H38817,""IDENTITAS UNIT!D9"")"),"#N/A")</f>
        <v>#N/A</v>
      </c>
      <c r="H38817" s="4" t="str">
        <v/>
      </c>
      <c r="I38817" s="4" t="str">
        <v/>
      </c>
    </row>
    <row r="38818" spans="5:9" ht="16.5" hidden="1">
      <c r="E38818" s="4" t="str">
        <v/>
      </c>
      <c r="F38818" s="102" t="str">
        <f ca="1">IFERROR(__xludf.DUMMYFUNCTION("IMPORTRANGE(H38818,""IDENTITAS UNIT!D9"")"),"#N/A")</f>
        <v>#N/A</v>
      </c>
      <c r="H38818" s="4" t="str">
        <v/>
      </c>
      <c r="I38818" s="4" t="str">
        <v/>
      </c>
    </row>
    <row r="38819" spans="5:9" ht="16.5" hidden="1">
      <c r="E38819" s="4" t="str">
        <v/>
      </c>
      <c r="F38819" s="102" t="str">
        <f ca="1">IFERROR(__xludf.DUMMYFUNCTION("IMPORTRANGE(H38819,""IDENTITAS UNIT!D9"")"),"#N/A")</f>
        <v>#N/A</v>
      </c>
      <c r="H38819" s="4" t="str">
        <v/>
      </c>
      <c r="I38819" s="4" t="str">
        <v/>
      </c>
    </row>
    <row r="38820" spans="5:9" ht="16.5" hidden="1">
      <c r="E38820" s="4" t="str">
        <v/>
      </c>
      <c r="F38820" s="102" t="str">
        <f ca="1">IFERROR(__xludf.DUMMYFUNCTION("IMPORTRANGE(H38820,""IDENTITAS UNIT!D9"")"),"#N/A")</f>
        <v>#N/A</v>
      </c>
      <c r="H38820" s="4" t="str">
        <v/>
      </c>
      <c r="I38820" s="4" t="str">
        <v/>
      </c>
    </row>
    <row r="38821" spans="5:9" ht="16.5" hidden="1">
      <c r="E38821" s="4" t="str">
        <v/>
      </c>
      <c r="F38821" s="102" t="str">
        <f ca="1">IFERROR(__xludf.DUMMYFUNCTION("IMPORTRANGE(H38821,""IDENTITAS UNIT!D9"")"),"#N/A")</f>
        <v>#N/A</v>
      </c>
      <c r="H38821" s="4" t="str">
        <v/>
      </c>
      <c r="I38821" s="4" t="str">
        <v/>
      </c>
    </row>
    <row r="38822" spans="5:9" ht="16.5" hidden="1">
      <c r="E38822" s="4" t="str">
        <v/>
      </c>
      <c r="F38822" s="102" t="str">
        <f ca="1">IFERROR(__xludf.DUMMYFUNCTION("IMPORTRANGE(H38822,""IDENTITAS UNIT!D9"")"),"#N/A")</f>
        <v>#N/A</v>
      </c>
      <c r="H38822" s="4" t="str">
        <v/>
      </c>
      <c r="I38822" s="4" t="str">
        <v/>
      </c>
    </row>
    <row r="38823" spans="5:9" ht="16.5" hidden="1">
      <c r="E38823" s="4" t="str">
        <v/>
      </c>
      <c r="F38823" s="102" t="str">
        <f ca="1">IFERROR(__xludf.DUMMYFUNCTION("IMPORTRANGE(H38823,""IDENTITAS UNIT!D9"")"),"#N/A")</f>
        <v>#N/A</v>
      </c>
      <c r="H38823" s="4" t="str">
        <v/>
      </c>
      <c r="I38823" s="4" t="str">
        <v/>
      </c>
    </row>
    <row r="38824" spans="5:9" ht="16.5" hidden="1">
      <c r="E38824" s="4" t="str">
        <v/>
      </c>
      <c r="F38824" s="102" t="str">
        <f ca="1">IFERROR(__xludf.DUMMYFUNCTION("IMPORTRANGE(H38824,""IDENTITAS UNIT!D9"")"),"#N/A")</f>
        <v>#N/A</v>
      </c>
      <c r="H38824" s="4" t="str">
        <v/>
      </c>
      <c r="I38824" s="4" t="str">
        <v/>
      </c>
    </row>
    <row r="38825" spans="5:9" ht="16.5" hidden="1">
      <c r="E38825" s="4" t="str">
        <v/>
      </c>
      <c r="F38825" s="102" t="str">
        <f ca="1">IFERROR(__xludf.DUMMYFUNCTION("IMPORTRANGE(H38825,""IDENTITAS UNIT!D9"")"),"#N/A")</f>
        <v>#N/A</v>
      </c>
      <c r="H38825" s="4" t="str">
        <v/>
      </c>
      <c r="I38825" s="4" t="str">
        <v/>
      </c>
    </row>
    <row r="38826" spans="5:9" ht="16.5" hidden="1">
      <c r="E38826" s="4" t="str">
        <v/>
      </c>
      <c r="F38826" s="102" t="str">
        <f ca="1">IFERROR(__xludf.DUMMYFUNCTION("IMPORTRANGE(H38826,""IDENTITAS UNIT!D9"")"),"#N/A")</f>
        <v>#N/A</v>
      </c>
      <c r="H38826" s="4" t="str">
        <v/>
      </c>
      <c r="I38826" s="4" t="str">
        <v/>
      </c>
    </row>
    <row r="38827" spans="5:9" ht="16.5" hidden="1">
      <c r="E38827" s="4" t="str">
        <v/>
      </c>
      <c r="F38827" s="102" t="str">
        <f ca="1">IFERROR(__xludf.DUMMYFUNCTION("IMPORTRANGE(H38827,""IDENTITAS UNIT!D9"")"),"#N/A")</f>
        <v>#N/A</v>
      </c>
      <c r="H38827" s="4" t="str">
        <v/>
      </c>
      <c r="I38827" s="4" t="str">
        <v/>
      </c>
    </row>
    <row r="38828" spans="5:9" ht="16.5" hidden="1">
      <c r="E38828" s="4" t="str">
        <v/>
      </c>
      <c r="F38828" s="102" t="str">
        <f ca="1">IFERROR(__xludf.DUMMYFUNCTION("IMPORTRANGE(H38828,""IDENTITAS UNIT!D9"")"),"#N/A")</f>
        <v>#N/A</v>
      </c>
      <c r="H38828" s="4" t="str">
        <v/>
      </c>
      <c r="I38828" s="4" t="str">
        <v/>
      </c>
    </row>
    <row r="38829" spans="5:9" ht="16.5" hidden="1">
      <c r="E38829" s="4" t="str">
        <v/>
      </c>
      <c r="F38829" s="102" t="str">
        <f ca="1">IFERROR(__xludf.DUMMYFUNCTION("IMPORTRANGE(H38829,""IDENTITAS UNIT!D9"")"),"#N/A")</f>
        <v>#N/A</v>
      </c>
      <c r="H38829" s="4" t="str">
        <v/>
      </c>
      <c r="I38829" s="4" t="str">
        <v/>
      </c>
    </row>
    <row r="38830" spans="5:9" ht="16.5" hidden="1">
      <c r="E38830" s="4" t="str">
        <v/>
      </c>
      <c r="F38830" s="102" t="str">
        <f ca="1">IFERROR(__xludf.DUMMYFUNCTION("IMPORTRANGE(H38830,""IDENTITAS UNIT!D9"")"),"#N/A")</f>
        <v>#N/A</v>
      </c>
      <c r="H38830" s="4" t="str">
        <v/>
      </c>
      <c r="I38830" s="4" t="str">
        <v/>
      </c>
    </row>
    <row r="38831" spans="5:9" ht="16.5" hidden="1">
      <c r="E38831" s="4" t="str">
        <v/>
      </c>
      <c r="F38831" s="102" t="str">
        <f ca="1">IFERROR(__xludf.DUMMYFUNCTION("IMPORTRANGE(H38831,""IDENTITAS UNIT!D9"")"),"#N/A")</f>
        <v>#N/A</v>
      </c>
      <c r="H38831" s="4" t="str">
        <v/>
      </c>
      <c r="I38831" s="4" t="str">
        <v/>
      </c>
    </row>
    <row r="38832" spans="5:9" ht="16.5" hidden="1">
      <c r="E38832" s="4" t="str">
        <v/>
      </c>
      <c r="F38832" s="102" t="str">
        <f ca="1">IFERROR(__xludf.DUMMYFUNCTION("IMPORTRANGE(H38832,""IDENTITAS UNIT!D9"")"),"#N/A")</f>
        <v>#N/A</v>
      </c>
      <c r="H38832" s="4" t="str">
        <v/>
      </c>
      <c r="I38832" s="4" t="str">
        <v/>
      </c>
    </row>
    <row r="38833" spans="5:9" ht="16.5" hidden="1">
      <c r="E38833" s="4" t="str">
        <v/>
      </c>
      <c r="F38833" s="102" t="str">
        <f ca="1">IFERROR(__xludf.DUMMYFUNCTION("IMPORTRANGE(H38833,""IDENTITAS UNIT!D9"")"),"#N/A")</f>
        <v>#N/A</v>
      </c>
      <c r="H38833" s="4" t="str">
        <v/>
      </c>
      <c r="I38833" s="4" t="str">
        <v/>
      </c>
    </row>
    <row r="38834" spans="5:9" ht="16.5" hidden="1">
      <c r="E38834" s="4" t="str">
        <v/>
      </c>
      <c r="F38834" s="102" t="str">
        <f ca="1">IFERROR(__xludf.DUMMYFUNCTION("IMPORTRANGE(H38834,""IDENTITAS UNIT!D9"")"),"#N/A")</f>
        <v>#N/A</v>
      </c>
      <c r="H38834" s="4" t="str">
        <v/>
      </c>
      <c r="I38834" s="4" t="str">
        <v/>
      </c>
    </row>
    <row r="38835" spans="5:9" ht="16.5" hidden="1">
      <c r="E38835" s="4" t="str">
        <v/>
      </c>
      <c r="F38835" s="102" t="str">
        <f ca="1">IFERROR(__xludf.DUMMYFUNCTION("IMPORTRANGE(H38835,""IDENTITAS UNIT!D9"")"),"#N/A")</f>
        <v>#N/A</v>
      </c>
      <c r="H38835" s="4" t="str">
        <v/>
      </c>
      <c r="I38835" s="4" t="str">
        <v/>
      </c>
    </row>
    <row r="38836" spans="5:9" ht="16.5" hidden="1">
      <c r="E38836" s="4" t="str">
        <v/>
      </c>
      <c r="F38836" s="102" t="str">
        <f ca="1">IFERROR(__xludf.DUMMYFUNCTION("IMPORTRANGE(H38836,""IDENTITAS UNIT!D9"")"),"#N/A")</f>
        <v>#N/A</v>
      </c>
      <c r="H38836" s="4" t="str">
        <v/>
      </c>
      <c r="I38836" s="4" t="str">
        <v/>
      </c>
    </row>
    <row r="38837" spans="5:9" ht="16.5" hidden="1">
      <c r="E38837" s="4" t="str">
        <v/>
      </c>
      <c r="F38837" s="102" t="str">
        <f ca="1">IFERROR(__xludf.DUMMYFUNCTION("IMPORTRANGE(H38837,""IDENTITAS UNIT!D9"")"),"#N/A")</f>
        <v>#N/A</v>
      </c>
      <c r="H38837" s="4" t="str">
        <v/>
      </c>
      <c r="I38837" s="4" t="str">
        <v/>
      </c>
    </row>
    <row r="38838" spans="5:9" ht="16.5" hidden="1">
      <c r="E38838" s="4" t="str">
        <v/>
      </c>
      <c r="F38838" s="102" t="str">
        <f ca="1">IFERROR(__xludf.DUMMYFUNCTION("IMPORTRANGE(H38838,""IDENTITAS UNIT!D9"")"),"#N/A")</f>
        <v>#N/A</v>
      </c>
      <c r="H38838" s="4" t="str">
        <v/>
      </c>
      <c r="I38838" s="4" t="str">
        <v/>
      </c>
    </row>
    <row r="38839" spans="5:9" ht="16.5" hidden="1">
      <c r="E38839" s="4" t="str">
        <v/>
      </c>
      <c r="F38839" s="102" t="str">
        <f ca="1">IFERROR(__xludf.DUMMYFUNCTION("IMPORTRANGE(H38839,""IDENTITAS UNIT!D9"")"),"#N/A")</f>
        <v>#N/A</v>
      </c>
      <c r="H38839" s="4" t="str">
        <v/>
      </c>
      <c r="I38839" s="4" t="str">
        <v/>
      </c>
    </row>
    <row r="38840" spans="5:9" ht="16.5" hidden="1">
      <c r="E38840" s="4" t="str">
        <v/>
      </c>
      <c r="F38840" s="102" t="str">
        <f ca="1">IFERROR(__xludf.DUMMYFUNCTION("IMPORTRANGE(H38840,""IDENTITAS UNIT!D9"")"),"#N/A")</f>
        <v>#N/A</v>
      </c>
      <c r="H38840" s="4" t="str">
        <v/>
      </c>
      <c r="I38840" s="4" t="str">
        <v/>
      </c>
    </row>
    <row r="38841" spans="5:9" ht="16.5" hidden="1">
      <c r="E38841" s="4" t="str">
        <v/>
      </c>
      <c r="F38841" s="102" t="str">
        <f ca="1">IFERROR(__xludf.DUMMYFUNCTION("IMPORTRANGE(H38841,""IDENTITAS UNIT!D9"")"),"#N/A")</f>
        <v>#N/A</v>
      </c>
      <c r="H38841" s="4" t="str">
        <v/>
      </c>
      <c r="I38841" s="4" t="str">
        <v/>
      </c>
    </row>
    <row r="38842" spans="5:9" ht="16.5" hidden="1">
      <c r="E38842" s="4" t="str">
        <v/>
      </c>
      <c r="F38842" s="102" t="str">
        <f ca="1">IFERROR(__xludf.DUMMYFUNCTION("IMPORTRANGE(H38842,""IDENTITAS UNIT!D9"")"),"#N/A")</f>
        <v>#N/A</v>
      </c>
      <c r="H38842" s="4" t="str">
        <v/>
      </c>
      <c r="I38842" s="4" t="str">
        <v/>
      </c>
    </row>
    <row r="38843" spans="5:9" ht="16.5" hidden="1">
      <c r="E38843" s="4" t="str">
        <v/>
      </c>
      <c r="F38843" s="102" t="str">
        <f ca="1">IFERROR(__xludf.DUMMYFUNCTION("IMPORTRANGE(H38843,""IDENTITAS UNIT!D9"")"),"#N/A")</f>
        <v>#N/A</v>
      </c>
      <c r="H38843" s="4" t="str">
        <v/>
      </c>
      <c r="I38843" s="4" t="str">
        <v/>
      </c>
    </row>
    <row r="38844" spans="5:9" ht="16.5" hidden="1">
      <c r="E38844" s="4" t="str">
        <v/>
      </c>
      <c r="F38844" s="102" t="str">
        <f ca="1">IFERROR(__xludf.DUMMYFUNCTION("IMPORTRANGE(H38844,""IDENTITAS UNIT!D9"")"),"#N/A")</f>
        <v>#N/A</v>
      </c>
      <c r="H38844" s="4" t="str">
        <v/>
      </c>
      <c r="I38844" s="4" t="str">
        <v/>
      </c>
    </row>
    <row r="38845" spans="5:9" ht="16.5" hidden="1">
      <c r="E38845" s="4" t="str">
        <v/>
      </c>
      <c r="F38845" s="102" t="str">
        <f ca="1">IFERROR(__xludf.DUMMYFUNCTION("IMPORTRANGE(H38845,""IDENTITAS UNIT!D9"")"),"#N/A")</f>
        <v>#N/A</v>
      </c>
      <c r="H38845" s="4" t="str">
        <v/>
      </c>
      <c r="I38845" s="4" t="str">
        <v/>
      </c>
    </row>
    <row r="38846" spans="5:9" ht="16.5" hidden="1">
      <c r="E38846" s="4" t="str">
        <v/>
      </c>
      <c r="F38846" s="102" t="str">
        <f ca="1">IFERROR(__xludf.DUMMYFUNCTION("IMPORTRANGE(H38846,""IDENTITAS UNIT!D9"")"),"#N/A")</f>
        <v>#N/A</v>
      </c>
      <c r="H38846" s="4" t="str">
        <v/>
      </c>
      <c r="I38846" s="4" t="str">
        <v/>
      </c>
    </row>
    <row r="38847" spans="5:9" ht="16.5" hidden="1">
      <c r="E38847" s="4" t="str">
        <v/>
      </c>
      <c r="F38847" s="102" t="str">
        <f ca="1">IFERROR(__xludf.DUMMYFUNCTION("IMPORTRANGE(H38847,""IDENTITAS UNIT!D9"")"),"#N/A")</f>
        <v>#N/A</v>
      </c>
      <c r="H38847" s="4" t="str">
        <v/>
      </c>
      <c r="I38847" s="4" t="str">
        <v/>
      </c>
    </row>
    <row r="38848" spans="5:9" ht="16.5" hidden="1">
      <c r="E38848" s="4" t="str">
        <v/>
      </c>
      <c r="F38848" s="102" t="str">
        <f ca="1">IFERROR(__xludf.DUMMYFUNCTION("IMPORTRANGE(H38848,""IDENTITAS UNIT!D9"")"),"#N/A")</f>
        <v>#N/A</v>
      </c>
      <c r="H38848" s="4" t="str">
        <v/>
      </c>
      <c r="I38848" s="4" t="str">
        <v/>
      </c>
    </row>
    <row r="38849" spans="5:9" ht="16.5" hidden="1">
      <c r="E38849" s="4" t="str">
        <v/>
      </c>
      <c r="F38849" s="102" t="str">
        <f ca="1">IFERROR(__xludf.DUMMYFUNCTION("IMPORTRANGE(H38849,""IDENTITAS UNIT!D9"")"),"#N/A")</f>
        <v>#N/A</v>
      </c>
      <c r="H38849" s="4" t="str">
        <v/>
      </c>
      <c r="I38849" s="4" t="str">
        <v/>
      </c>
    </row>
    <row r="38850" spans="5:9" ht="16.5" hidden="1">
      <c r="E38850" s="4" t="str">
        <v/>
      </c>
      <c r="F38850" s="102" t="str">
        <f ca="1">IFERROR(__xludf.DUMMYFUNCTION("IMPORTRANGE(H38850,""IDENTITAS UNIT!D9"")"),"#N/A")</f>
        <v>#N/A</v>
      </c>
      <c r="H38850" s="4" t="str">
        <v/>
      </c>
      <c r="I38850" s="4" t="str">
        <v/>
      </c>
    </row>
    <row r="38851" spans="5:9" ht="16.5" hidden="1">
      <c r="E38851" s="4" t="str">
        <v/>
      </c>
      <c r="F38851" s="102" t="str">
        <f ca="1">IFERROR(__xludf.DUMMYFUNCTION("IMPORTRANGE(H38851,""IDENTITAS UNIT!D9"")"),"#N/A")</f>
        <v>#N/A</v>
      </c>
      <c r="H38851" s="4" t="str">
        <v/>
      </c>
      <c r="I38851" s="4" t="str">
        <v/>
      </c>
    </row>
    <row r="38852" spans="5:9" ht="16.5" hidden="1">
      <c r="E38852" s="4" t="str">
        <v/>
      </c>
      <c r="F38852" s="102" t="str">
        <f ca="1">IFERROR(__xludf.DUMMYFUNCTION("IMPORTRANGE(H38852,""IDENTITAS UNIT!D9"")"),"#N/A")</f>
        <v>#N/A</v>
      </c>
      <c r="H38852" s="4" t="str">
        <v/>
      </c>
      <c r="I38852" s="4" t="str">
        <v/>
      </c>
    </row>
    <row r="38853" spans="5:9" ht="16.5" hidden="1">
      <c r="E38853" s="4" t="str">
        <v/>
      </c>
      <c r="F38853" s="102" t="str">
        <f ca="1">IFERROR(__xludf.DUMMYFUNCTION("IMPORTRANGE(H38853,""IDENTITAS UNIT!D9"")"),"#N/A")</f>
        <v>#N/A</v>
      </c>
      <c r="H38853" s="4" t="str">
        <v/>
      </c>
      <c r="I38853" s="4" t="str">
        <v/>
      </c>
    </row>
    <row r="38854" spans="5:9" ht="16.5" hidden="1">
      <c r="E38854" s="4" t="str">
        <v/>
      </c>
      <c r="F38854" s="102" t="str">
        <f ca="1">IFERROR(__xludf.DUMMYFUNCTION("IMPORTRANGE(H38854,""IDENTITAS UNIT!D9"")"),"#N/A")</f>
        <v>#N/A</v>
      </c>
      <c r="H38854" s="4" t="str">
        <v/>
      </c>
      <c r="I38854" s="4" t="str">
        <v/>
      </c>
    </row>
    <row r="38855" spans="5:9" ht="16.5" hidden="1">
      <c r="E38855" s="4" t="str">
        <v/>
      </c>
      <c r="F38855" s="102" t="str">
        <f ca="1">IFERROR(__xludf.DUMMYFUNCTION("IMPORTRANGE(H38855,""IDENTITAS UNIT!D9"")"),"#N/A")</f>
        <v>#N/A</v>
      </c>
      <c r="H38855" s="4" t="str">
        <v/>
      </c>
      <c r="I38855" s="4" t="str">
        <v/>
      </c>
    </row>
    <row r="38856" spans="5:9" ht="16.5" hidden="1">
      <c r="E38856" s="4" t="str">
        <v/>
      </c>
      <c r="F38856" s="102" t="str">
        <f ca="1">IFERROR(__xludf.DUMMYFUNCTION("IMPORTRANGE(H38856,""IDENTITAS UNIT!D9"")"),"#N/A")</f>
        <v>#N/A</v>
      </c>
      <c r="H38856" s="4" t="str">
        <v/>
      </c>
      <c r="I38856" s="4" t="str">
        <v/>
      </c>
    </row>
    <row r="38857" spans="5:9" ht="16.5" hidden="1">
      <c r="E38857" s="4" t="str">
        <v/>
      </c>
      <c r="F38857" s="102" t="str">
        <f ca="1">IFERROR(__xludf.DUMMYFUNCTION("IMPORTRANGE(H38857,""IDENTITAS UNIT!D9"")"),"#N/A")</f>
        <v>#N/A</v>
      </c>
      <c r="H38857" s="4" t="str">
        <v/>
      </c>
      <c r="I38857" s="4" t="str">
        <v/>
      </c>
    </row>
    <row r="38858" spans="5:9" ht="16.5" hidden="1">
      <c r="E38858" s="4" t="str">
        <v/>
      </c>
      <c r="F38858" s="102" t="str">
        <f ca="1">IFERROR(__xludf.DUMMYFUNCTION("IMPORTRANGE(H38858,""IDENTITAS UNIT!D9"")"),"#N/A")</f>
        <v>#N/A</v>
      </c>
      <c r="H38858" s="4" t="str">
        <v/>
      </c>
      <c r="I38858" s="4" t="str">
        <v/>
      </c>
    </row>
    <row r="38859" spans="5:9" ht="16.5" hidden="1">
      <c r="E38859" s="4" t="str">
        <v/>
      </c>
      <c r="F38859" s="102" t="str">
        <f ca="1">IFERROR(__xludf.DUMMYFUNCTION("IMPORTRANGE(H38859,""IDENTITAS UNIT!D9"")"),"#N/A")</f>
        <v>#N/A</v>
      </c>
      <c r="H38859" s="4" t="str">
        <v/>
      </c>
      <c r="I38859" s="4" t="str">
        <v/>
      </c>
    </row>
    <row r="38860" spans="5:9" ht="16.5" hidden="1">
      <c r="E38860" s="4" t="str">
        <v/>
      </c>
      <c r="F38860" s="102" t="str">
        <f ca="1">IFERROR(__xludf.DUMMYFUNCTION("IMPORTRANGE(H38860,""IDENTITAS UNIT!D9"")"),"#N/A")</f>
        <v>#N/A</v>
      </c>
      <c r="H38860" s="4" t="str">
        <v/>
      </c>
      <c r="I38860" s="4" t="str">
        <v/>
      </c>
    </row>
    <row r="38861" spans="5:9" ht="16.5" hidden="1">
      <c r="E38861" s="4" t="str">
        <v/>
      </c>
      <c r="F38861" s="102" t="str">
        <f ca="1">IFERROR(__xludf.DUMMYFUNCTION("IMPORTRANGE(H38861,""IDENTITAS UNIT!D9"")"),"#N/A")</f>
        <v>#N/A</v>
      </c>
      <c r="H38861" s="4" t="str">
        <v/>
      </c>
      <c r="I38861" s="4" t="str">
        <v/>
      </c>
    </row>
    <row r="38862" spans="5:9" ht="16.5" hidden="1">
      <c r="E38862" s="4" t="str">
        <v/>
      </c>
      <c r="F38862" s="102" t="str">
        <f ca="1">IFERROR(__xludf.DUMMYFUNCTION("IMPORTRANGE(H38862,""IDENTITAS UNIT!D9"")"),"#N/A")</f>
        <v>#N/A</v>
      </c>
      <c r="H38862" s="4" t="str">
        <v/>
      </c>
      <c r="I38862" s="4" t="str">
        <v/>
      </c>
    </row>
    <row r="38863" spans="5:9" ht="16.5" hidden="1">
      <c r="E38863" s="4" t="str">
        <v/>
      </c>
      <c r="F38863" s="102" t="str">
        <f ca="1">IFERROR(__xludf.DUMMYFUNCTION("IMPORTRANGE(H38863,""IDENTITAS UNIT!D9"")"),"#N/A")</f>
        <v>#N/A</v>
      </c>
      <c r="H38863" s="4" t="str">
        <v/>
      </c>
      <c r="I38863" s="4" t="str">
        <v/>
      </c>
    </row>
    <row r="38864" spans="5:9" ht="16.5" hidden="1">
      <c r="E38864" s="4" t="str">
        <v/>
      </c>
      <c r="F38864" s="102" t="str">
        <f ca="1">IFERROR(__xludf.DUMMYFUNCTION("IMPORTRANGE(H38864,""IDENTITAS UNIT!D9"")"),"#N/A")</f>
        <v>#N/A</v>
      </c>
      <c r="H38864" s="4" t="str">
        <v/>
      </c>
      <c r="I38864" s="4" t="str">
        <v/>
      </c>
    </row>
    <row r="38865" spans="5:9" ht="16.5" hidden="1">
      <c r="E38865" s="4" t="str">
        <v/>
      </c>
      <c r="F38865" s="102" t="str">
        <f ca="1">IFERROR(__xludf.DUMMYFUNCTION("IMPORTRANGE(H38865,""IDENTITAS UNIT!D9"")"),"#N/A")</f>
        <v>#N/A</v>
      </c>
      <c r="H38865" s="4" t="str">
        <v/>
      </c>
      <c r="I38865" s="4" t="str">
        <v/>
      </c>
    </row>
    <row r="38866" spans="5:9" ht="16.5" hidden="1">
      <c r="E38866" s="4" t="str">
        <v/>
      </c>
      <c r="F38866" s="102" t="str">
        <f ca="1">IFERROR(__xludf.DUMMYFUNCTION("IMPORTRANGE(H38866,""IDENTITAS UNIT!D9"")"),"#N/A")</f>
        <v>#N/A</v>
      </c>
      <c r="H38866" s="4" t="str">
        <v/>
      </c>
      <c r="I38866" s="4" t="str">
        <v/>
      </c>
    </row>
    <row r="38867" spans="5:9" ht="16.5" hidden="1">
      <c r="E38867" s="4" t="str">
        <v/>
      </c>
      <c r="F38867" s="102" t="str">
        <f ca="1">IFERROR(__xludf.DUMMYFUNCTION("IMPORTRANGE(H38867,""IDENTITAS UNIT!D9"")"),"#N/A")</f>
        <v>#N/A</v>
      </c>
      <c r="H38867" s="4" t="str">
        <v/>
      </c>
      <c r="I38867" s="4" t="str">
        <v/>
      </c>
    </row>
    <row r="38868" spans="5:9" ht="16.5" hidden="1">
      <c r="E38868" s="4" t="str">
        <v/>
      </c>
      <c r="F38868" s="102" t="str">
        <f ca="1">IFERROR(__xludf.DUMMYFUNCTION("IMPORTRANGE(H38868,""IDENTITAS UNIT!D9"")"),"#N/A")</f>
        <v>#N/A</v>
      </c>
      <c r="H38868" s="4" t="str">
        <v/>
      </c>
      <c r="I38868" s="4" t="str">
        <v/>
      </c>
    </row>
    <row r="38869" spans="5:9" ht="16.5" hidden="1">
      <c r="E38869" s="4" t="str">
        <v/>
      </c>
      <c r="F38869" s="102" t="str">
        <f ca="1">IFERROR(__xludf.DUMMYFUNCTION("IMPORTRANGE(H38869,""IDENTITAS UNIT!D9"")"),"#N/A")</f>
        <v>#N/A</v>
      </c>
      <c r="H38869" s="4" t="str">
        <v/>
      </c>
      <c r="I38869" s="4" t="str">
        <v/>
      </c>
    </row>
    <row r="38870" spans="5:9" ht="16.5" hidden="1">
      <c r="E38870" s="4" t="str">
        <v/>
      </c>
      <c r="F38870" s="102" t="str">
        <f ca="1">IFERROR(__xludf.DUMMYFUNCTION("IMPORTRANGE(H38870,""IDENTITAS UNIT!D9"")"),"#N/A")</f>
        <v>#N/A</v>
      </c>
      <c r="H38870" s="4" t="str">
        <v/>
      </c>
      <c r="I38870" s="4" t="str">
        <v/>
      </c>
    </row>
    <row r="38871" spans="5:9" ht="16.5" hidden="1">
      <c r="E38871" s="4" t="str">
        <v/>
      </c>
      <c r="F38871" s="102" t="str">
        <f ca="1">IFERROR(__xludf.DUMMYFUNCTION("IMPORTRANGE(H38871,""IDENTITAS UNIT!D9"")"),"#N/A")</f>
        <v>#N/A</v>
      </c>
      <c r="H38871" s="4" t="str">
        <v/>
      </c>
      <c r="I38871" s="4" t="str">
        <v/>
      </c>
    </row>
    <row r="38872" spans="5:9" ht="16.5" hidden="1">
      <c r="E38872" s="4" t="str">
        <v/>
      </c>
      <c r="F38872" s="102" t="str">
        <f ca="1">IFERROR(__xludf.DUMMYFUNCTION("IMPORTRANGE(H38872,""IDENTITAS UNIT!D9"")"),"#N/A")</f>
        <v>#N/A</v>
      </c>
      <c r="H38872" s="4" t="str">
        <v/>
      </c>
      <c r="I38872" s="4" t="str">
        <v/>
      </c>
    </row>
    <row r="38873" spans="5:9" ht="16.5" hidden="1">
      <c r="E38873" s="4" t="str">
        <v/>
      </c>
      <c r="F38873" s="102" t="str">
        <f ca="1">IFERROR(__xludf.DUMMYFUNCTION("IMPORTRANGE(H38873,""IDENTITAS UNIT!D9"")"),"#N/A")</f>
        <v>#N/A</v>
      </c>
      <c r="H38873" s="4" t="str">
        <v/>
      </c>
      <c r="I38873" s="4" t="str">
        <v/>
      </c>
    </row>
    <row r="38874" spans="5:9" ht="16.5" hidden="1">
      <c r="E38874" s="4" t="str">
        <v/>
      </c>
      <c r="F38874" s="102" t="str">
        <f ca="1">IFERROR(__xludf.DUMMYFUNCTION("IMPORTRANGE(H38874,""IDENTITAS UNIT!D9"")"),"#N/A")</f>
        <v>#N/A</v>
      </c>
      <c r="H38874" s="4" t="str">
        <v/>
      </c>
      <c r="I38874" s="4" t="str">
        <v/>
      </c>
    </row>
    <row r="38875" spans="5:9" ht="16.5" hidden="1">
      <c r="E38875" s="4" t="str">
        <v/>
      </c>
      <c r="F38875" s="102" t="str">
        <f ca="1">IFERROR(__xludf.DUMMYFUNCTION("IMPORTRANGE(H38875,""IDENTITAS UNIT!D9"")"),"#N/A")</f>
        <v>#N/A</v>
      </c>
      <c r="H38875" s="4" t="str">
        <v/>
      </c>
      <c r="I38875" s="4" t="str">
        <v/>
      </c>
    </row>
    <row r="38876" spans="5:9" ht="16.5" hidden="1">
      <c r="E38876" s="4" t="str">
        <v/>
      </c>
      <c r="F38876" s="102" t="str">
        <f ca="1">IFERROR(__xludf.DUMMYFUNCTION("IMPORTRANGE(H38876,""IDENTITAS UNIT!D9"")"),"#N/A")</f>
        <v>#N/A</v>
      </c>
      <c r="H38876" s="4" t="str">
        <v/>
      </c>
      <c r="I38876" s="4" t="str">
        <v/>
      </c>
    </row>
    <row r="38877" spans="5:9" ht="16.5" hidden="1">
      <c r="E38877" s="4" t="str">
        <v/>
      </c>
      <c r="F38877" s="102" t="str">
        <f ca="1">IFERROR(__xludf.DUMMYFUNCTION("IMPORTRANGE(H38877,""IDENTITAS UNIT!D9"")"),"#N/A")</f>
        <v>#N/A</v>
      </c>
      <c r="H38877" s="4" t="str">
        <v/>
      </c>
      <c r="I38877" s="4" t="str">
        <v/>
      </c>
    </row>
    <row r="38878" spans="5:9" ht="16.5" hidden="1">
      <c r="E38878" s="4" t="str">
        <v/>
      </c>
      <c r="F38878" s="102" t="str">
        <f ca="1">IFERROR(__xludf.DUMMYFUNCTION("IMPORTRANGE(H38878,""IDENTITAS UNIT!D9"")"),"#N/A")</f>
        <v>#N/A</v>
      </c>
      <c r="H38878" s="4" t="str">
        <v/>
      </c>
      <c r="I38878" s="4" t="str">
        <v/>
      </c>
    </row>
    <row r="38879" spans="5:9" ht="16.5" hidden="1">
      <c r="E38879" s="4" t="str">
        <v/>
      </c>
      <c r="F38879" s="102" t="str">
        <f ca="1">IFERROR(__xludf.DUMMYFUNCTION("IMPORTRANGE(H38879,""IDENTITAS UNIT!D9"")"),"#N/A")</f>
        <v>#N/A</v>
      </c>
      <c r="H38879" s="4" t="str">
        <v/>
      </c>
      <c r="I38879" s="4" t="str">
        <v/>
      </c>
    </row>
    <row r="38880" spans="5:9" ht="16.5" hidden="1">
      <c r="E38880" s="4" t="str">
        <v/>
      </c>
      <c r="F38880" s="102" t="str">
        <f ca="1">IFERROR(__xludf.DUMMYFUNCTION("IMPORTRANGE(H38880,""IDENTITAS UNIT!D9"")"),"#N/A")</f>
        <v>#N/A</v>
      </c>
      <c r="H38880" s="4" t="str">
        <v/>
      </c>
      <c r="I38880" s="4" t="str">
        <v/>
      </c>
    </row>
    <row r="38881" spans="5:9" ht="16.5" hidden="1">
      <c r="E38881" s="4" t="str">
        <v/>
      </c>
      <c r="F38881" s="102" t="str">
        <f ca="1">IFERROR(__xludf.DUMMYFUNCTION("IMPORTRANGE(H38881,""IDENTITAS UNIT!D9"")"),"#N/A")</f>
        <v>#N/A</v>
      </c>
      <c r="H38881" s="4" t="str">
        <v/>
      </c>
      <c r="I38881" s="4" t="str">
        <v/>
      </c>
    </row>
    <row r="38882" spans="5:9" ht="16.5" hidden="1">
      <c r="E38882" s="4" t="str">
        <v/>
      </c>
      <c r="F38882" s="102" t="str">
        <f ca="1">IFERROR(__xludf.DUMMYFUNCTION("IMPORTRANGE(H38882,""IDENTITAS UNIT!D9"")"),"#N/A")</f>
        <v>#N/A</v>
      </c>
      <c r="H38882" s="4" t="str">
        <v/>
      </c>
      <c r="I38882" s="4" t="str">
        <v/>
      </c>
    </row>
    <row r="38883" spans="5:9" ht="16.5" hidden="1">
      <c r="E38883" s="4" t="str">
        <v/>
      </c>
      <c r="F38883" s="102" t="str">
        <f ca="1">IFERROR(__xludf.DUMMYFUNCTION("IMPORTRANGE(H38883,""IDENTITAS UNIT!D9"")"),"#N/A")</f>
        <v>#N/A</v>
      </c>
      <c r="H38883" s="4" t="str">
        <v/>
      </c>
      <c r="I38883" s="4" t="str">
        <v/>
      </c>
    </row>
    <row r="38884" spans="5:9" ht="16.5" hidden="1">
      <c r="E38884" s="4" t="str">
        <v/>
      </c>
      <c r="F38884" s="102" t="str">
        <f ca="1">IFERROR(__xludf.DUMMYFUNCTION("IMPORTRANGE(H38884,""IDENTITAS UNIT!D9"")"),"#N/A")</f>
        <v>#N/A</v>
      </c>
      <c r="H38884" s="4" t="str">
        <v/>
      </c>
      <c r="I38884" s="4" t="str">
        <v/>
      </c>
    </row>
    <row r="38885" spans="5:9" ht="16.5" hidden="1">
      <c r="E38885" s="4" t="str">
        <v/>
      </c>
      <c r="F38885" s="102" t="str">
        <f ca="1">IFERROR(__xludf.DUMMYFUNCTION("IMPORTRANGE(H38885,""IDENTITAS UNIT!D9"")"),"#N/A")</f>
        <v>#N/A</v>
      </c>
      <c r="H38885" s="4" t="str">
        <v/>
      </c>
      <c r="I38885" s="4" t="str">
        <v/>
      </c>
    </row>
    <row r="38886" spans="5:9" ht="16.5" hidden="1">
      <c r="E38886" s="4" t="str">
        <v/>
      </c>
      <c r="F38886" s="102" t="str">
        <f ca="1">IFERROR(__xludf.DUMMYFUNCTION("IMPORTRANGE(H38886,""IDENTITAS UNIT!D9"")"),"#N/A")</f>
        <v>#N/A</v>
      </c>
      <c r="H38886" s="4" t="str">
        <v/>
      </c>
      <c r="I38886" s="4" t="str">
        <v/>
      </c>
    </row>
    <row r="38887" spans="5:9" ht="16.5" hidden="1">
      <c r="E38887" s="4" t="str">
        <v/>
      </c>
      <c r="F38887" s="102" t="str">
        <f ca="1">IFERROR(__xludf.DUMMYFUNCTION("IMPORTRANGE(H38887,""IDENTITAS UNIT!D9"")"),"#N/A")</f>
        <v>#N/A</v>
      </c>
      <c r="H38887" s="4" t="str">
        <v/>
      </c>
      <c r="I38887" s="4" t="str">
        <v/>
      </c>
    </row>
    <row r="38888" spans="5:9" ht="16.5" hidden="1">
      <c r="E38888" s="4" t="str">
        <v/>
      </c>
      <c r="F38888" s="102" t="str">
        <f ca="1">IFERROR(__xludf.DUMMYFUNCTION("IMPORTRANGE(H38888,""IDENTITAS UNIT!D9"")"),"#N/A")</f>
        <v>#N/A</v>
      </c>
      <c r="H38888" s="4" t="str">
        <v/>
      </c>
      <c r="I38888" s="4" t="str">
        <v/>
      </c>
    </row>
    <row r="38889" spans="5:9" ht="16.5" hidden="1">
      <c r="E38889" s="4" t="str">
        <v/>
      </c>
      <c r="F38889" s="102" t="str">
        <f ca="1">IFERROR(__xludf.DUMMYFUNCTION("IMPORTRANGE(H38889,""IDENTITAS UNIT!D9"")"),"#N/A")</f>
        <v>#N/A</v>
      </c>
      <c r="H38889" s="4" t="str">
        <v/>
      </c>
      <c r="I38889" s="4" t="str">
        <v/>
      </c>
    </row>
    <row r="38890" spans="5:9" ht="16.5" hidden="1">
      <c r="E38890" s="4" t="str">
        <v/>
      </c>
      <c r="F38890" s="102" t="str">
        <f ca="1">IFERROR(__xludf.DUMMYFUNCTION("IMPORTRANGE(H38890,""IDENTITAS UNIT!D9"")"),"#N/A")</f>
        <v>#N/A</v>
      </c>
      <c r="H38890" s="4" t="str">
        <v/>
      </c>
      <c r="I38890" s="4" t="str">
        <v/>
      </c>
    </row>
    <row r="38891" spans="5:9" ht="16.5" hidden="1">
      <c r="E38891" s="4" t="str">
        <v/>
      </c>
      <c r="F38891" s="102" t="str">
        <f ca="1">IFERROR(__xludf.DUMMYFUNCTION("IMPORTRANGE(H38891,""IDENTITAS UNIT!D9"")"),"#N/A")</f>
        <v>#N/A</v>
      </c>
      <c r="H38891" s="4" t="str">
        <v/>
      </c>
      <c r="I38891" s="4" t="str">
        <v/>
      </c>
    </row>
    <row r="38892" spans="5:9" ht="16.5" hidden="1">
      <c r="E38892" s="4" t="str">
        <v/>
      </c>
      <c r="F38892" s="102" t="str">
        <f ca="1">IFERROR(__xludf.DUMMYFUNCTION("IMPORTRANGE(H38892,""IDENTITAS UNIT!D9"")"),"#N/A")</f>
        <v>#N/A</v>
      </c>
      <c r="H38892" s="4" t="str">
        <v/>
      </c>
      <c r="I38892" s="4" t="str">
        <v/>
      </c>
    </row>
    <row r="38893" spans="5:9" ht="16.5" hidden="1">
      <c r="E38893" s="4" t="str">
        <v/>
      </c>
      <c r="F38893" s="102" t="str">
        <f ca="1">IFERROR(__xludf.DUMMYFUNCTION("IMPORTRANGE(H38893,""IDENTITAS UNIT!D9"")"),"#N/A")</f>
        <v>#N/A</v>
      </c>
      <c r="H38893" s="4" t="str">
        <v/>
      </c>
      <c r="I38893" s="4" t="str">
        <v/>
      </c>
    </row>
    <row r="38894" spans="5:9" ht="16.5" hidden="1">
      <c r="E38894" s="4" t="str">
        <v/>
      </c>
      <c r="F38894" s="102" t="str">
        <f ca="1">IFERROR(__xludf.DUMMYFUNCTION("IMPORTRANGE(H38894,""IDENTITAS UNIT!D9"")"),"#N/A")</f>
        <v>#N/A</v>
      </c>
      <c r="H38894" s="4" t="str">
        <v/>
      </c>
      <c r="I38894" s="4" t="str">
        <v/>
      </c>
    </row>
    <row r="38895" spans="5:9" ht="16.5" hidden="1">
      <c r="E38895" s="4" t="str">
        <v/>
      </c>
      <c r="F38895" s="102" t="str">
        <f ca="1">IFERROR(__xludf.DUMMYFUNCTION("IMPORTRANGE(H38895,""IDENTITAS UNIT!D9"")"),"#N/A")</f>
        <v>#N/A</v>
      </c>
      <c r="H38895" s="4" t="str">
        <v/>
      </c>
      <c r="I38895" s="4" t="str">
        <v/>
      </c>
    </row>
    <row r="38896" spans="5:9" ht="16.5" hidden="1">
      <c r="E38896" s="4" t="str">
        <v/>
      </c>
      <c r="F38896" s="102" t="str">
        <f ca="1">IFERROR(__xludf.DUMMYFUNCTION("IMPORTRANGE(H38896,""IDENTITAS UNIT!D9"")"),"#N/A")</f>
        <v>#N/A</v>
      </c>
      <c r="H38896" s="4" t="str">
        <v/>
      </c>
      <c r="I38896" s="4" t="str">
        <v/>
      </c>
    </row>
    <row r="38897" spans="5:9" ht="16.5" hidden="1">
      <c r="E38897" s="4" t="str">
        <v/>
      </c>
      <c r="F38897" s="102" t="str">
        <f ca="1">IFERROR(__xludf.DUMMYFUNCTION("IMPORTRANGE(H38897,""IDENTITAS UNIT!D9"")"),"#N/A")</f>
        <v>#N/A</v>
      </c>
      <c r="H38897" s="4" t="str">
        <v/>
      </c>
      <c r="I38897" s="4" t="str">
        <v/>
      </c>
    </row>
    <row r="38898" spans="5:9" ht="16.5" hidden="1">
      <c r="E38898" s="4" t="str">
        <v/>
      </c>
      <c r="F38898" s="102" t="str">
        <f ca="1">IFERROR(__xludf.DUMMYFUNCTION("IMPORTRANGE(H38898,""IDENTITAS UNIT!D9"")"),"#N/A")</f>
        <v>#N/A</v>
      </c>
      <c r="H38898" s="4" t="str">
        <v/>
      </c>
      <c r="I38898" s="4" t="str">
        <v/>
      </c>
    </row>
    <row r="38899" spans="5:9" ht="16.5" hidden="1">
      <c r="E38899" s="4" t="str">
        <v/>
      </c>
      <c r="F38899" s="102" t="str">
        <f ca="1">IFERROR(__xludf.DUMMYFUNCTION("IMPORTRANGE(H38899,""IDENTITAS UNIT!D9"")"),"#N/A")</f>
        <v>#N/A</v>
      </c>
      <c r="H38899" s="4" t="str">
        <v/>
      </c>
      <c r="I38899" s="4" t="str">
        <v/>
      </c>
    </row>
    <row r="38900" spans="5:9" ht="16.5" hidden="1">
      <c r="E38900" s="4" t="str">
        <v/>
      </c>
      <c r="F38900" s="102" t="str">
        <f ca="1">IFERROR(__xludf.DUMMYFUNCTION("IMPORTRANGE(H38900,""IDENTITAS UNIT!D9"")"),"#N/A")</f>
        <v>#N/A</v>
      </c>
      <c r="H38900" s="4" t="str">
        <v/>
      </c>
      <c r="I38900" s="4" t="str">
        <v/>
      </c>
    </row>
    <row r="38901" spans="5:9" ht="16.5" hidden="1">
      <c r="E38901" s="4" t="str">
        <v/>
      </c>
      <c r="F38901" s="102" t="str">
        <f ca="1">IFERROR(__xludf.DUMMYFUNCTION("IMPORTRANGE(H38901,""IDENTITAS UNIT!D9"")"),"#N/A")</f>
        <v>#N/A</v>
      </c>
      <c r="H38901" s="4" t="str">
        <v/>
      </c>
      <c r="I38901" s="4" t="str">
        <v/>
      </c>
    </row>
    <row r="38902" spans="5:9" ht="16.5" hidden="1">
      <c r="E38902" s="4" t="str">
        <v/>
      </c>
      <c r="F38902" s="102" t="str">
        <f ca="1">IFERROR(__xludf.DUMMYFUNCTION("IMPORTRANGE(H38902,""IDENTITAS UNIT!D9"")"),"#N/A")</f>
        <v>#N/A</v>
      </c>
      <c r="H38902" s="4" t="str">
        <v/>
      </c>
      <c r="I38902" s="4" t="str">
        <v/>
      </c>
    </row>
    <row r="38903" spans="5:9" ht="16.5" hidden="1">
      <c r="E38903" s="4" t="str">
        <v/>
      </c>
      <c r="F38903" s="102" t="str">
        <f ca="1">IFERROR(__xludf.DUMMYFUNCTION("IMPORTRANGE(H38903,""IDENTITAS UNIT!D9"")"),"#N/A")</f>
        <v>#N/A</v>
      </c>
      <c r="H38903" s="4" t="str">
        <v/>
      </c>
      <c r="I38903" s="4" t="str">
        <v/>
      </c>
    </row>
    <row r="38904" spans="5:9" ht="16.5" hidden="1">
      <c r="E38904" s="4" t="str">
        <v/>
      </c>
      <c r="F38904" s="102" t="str">
        <f ca="1">IFERROR(__xludf.DUMMYFUNCTION("IMPORTRANGE(H38904,""IDENTITAS UNIT!D9"")"),"#N/A")</f>
        <v>#N/A</v>
      </c>
      <c r="H38904" s="4" t="str">
        <v/>
      </c>
      <c r="I38904" s="4" t="str">
        <v/>
      </c>
    </row>
    <row r="38905" spans="5:9" ht="16.5" hidden="1">
      <c r="E38905" s="4" t="str">
        <v/>
      </c>
      <c r="F38905" s="102" t="str">
        <f ca="1">IFERROR(__xludf.DUMMYFUNCTION("IMPORTRANGE(H38905,""IDENTITAS UNIT!D9"")"),"#N/A")</f>
        <v>#N/A</v>
      </c>
      <c r="H38905" s="4" t="str">
        <v/>
      </c>
      <c r="I38905" s="4" t="str">
        <v/>
      </c>
    </row>
    <row r="38906" spans="5:9" ht="16.5" hidden="1">
      <c r="E38906" s="4" t="str">
        <v/>
      </c>
      <c r="F38906" s="102" t="str">
        <f ca="1">IFERROR(__xludf.DUMMYFUNCTION("IMPORTRANGE(H38906,""IDENTITAS UNIT!D9"")"),"#N/A")</f>
        <v>#N/A</v>
      </c>
      <c r="H38906" s="4" t="str">
        <v/>
      </c>
      <c r="I38906" s="4" t="str">
        <v/>
      </c>
    </row>
    <row r="38907" spans="5:9" ht="16.5" hidden="1">
      <c r="E38907" s="4" t="str">
        <v/>
      </c>
      <c r="F38907" s="102" t="str">
        <f ca="1">IFERROR(__xludf.DUMMYFUNCTION("IMPORTRANGE(H38907,""IDENTITAS UNIT!D9"")"),"#N/A")</f>
        <v>#N/A</v>
      </c>
      <c r="H38907" s="4" t="str">
        <v/>
      </c>
      <c r="I38907" s="4" t="str">
        <v/>
      </c>
    </row>
    <row r="38908" spans="5:9" ht="16.5" hidden="1">
      <c r="E38908" s="4" t="str">
        <v/>
      </c>
      <c r="F38908" s="102" t="str">
        <f ca="1">IFERROR(__xludf.DUMMYFUNCTION("IMPORTRANGE(H38908,""IDENTITAS UNIT!D9"")"),"#N/A")</f>
        <v>#N/A</v>
      </c>
      <c r="H38908" s="4" t="str">
        <v/>
      </c>
      <c r="I38908" s="4" t="str">
        <v/>
      </c>
    </row>
    <row r="38909" spans="5:9" ht="16.5" hidden="1">
      <c r="E38909" s="4" t="str">
        <v/>
      </c>
      <c r="F38909" s="102" t="str">
        <f ca="1">IFERROR(__xludf.DUMMYFUNCTION("IMPORTRANGE(H38909,""IDENTITAS UNIT!D9"")"),"#N/A")</f>
        <v>#N/A</v>
      </c>
      <c r="H38909" s="4" t="str">
        <v/>
      </c>
      <c r="I38909" s="4" t="str">
        <v/>
      </c>
    </row>
    <row r="38910" spans="5:9" ht="16.5" hidden="1">
      <c r="E38910" s="4" t="str">
        <v/>
      </c>
      <c r="F38910" s="102" t="str">
        <f ca="1">IFERROR(__xludf.DUMMYFUNCTION("IMPORTRANGE(H38910,""IDENTITAS UNIT!D9"")"),"#N/A")</f>
        <v>#N/A</v>
      </c>
      <c r="H38910" s="4" t="str">
        <v/>
      </c>
      <c r="I38910" s="4" t="str">
        <v/>
      </c>
    </row>
    <row r="38911" spans="5:9" ht="16.5" hidden="1">
      <c r="E38911" s="4" t="str">
        <v/>
      </c>
      <c r="F38911" s="102" t="str">
        <f ca="1">IFERROR(__xludf.DUMMYFUNCTION("IMPORTRANGE(H38911,""IDENTITAS UNIT!D9"")"),"#N/A")</f>
        <v>#N/A</v>
      </c>
      <c r="H38911" s="4" t="str">
        <v/>
      </c>
      <c r="I38911" s="4" t="str">
        <v/>
      </c>
    </row>
    <row r="38912" spans="5:9" ht="16.5" hidden="1">
      <c r="E38912" s="4" t="str">
        <v/>
      </c>
      <c r="F38912" s="102" t="str">
        <f ca="1">IFERROR(__xludf.DUMMYFUNCTION("IMPORTRANGE(H38912,""IDENTITAS UNIT!D9"")"),"#N/A")</f>
        <v>#N/A</v>
      </c>
      <c r="H38912" s="4" t="str">
        <v/>
      </c>
      <c r="I38912" s="4" t="str">
        <v/>
      </c>
    </row>
    <row r="38913" spans="5:9" ht="16.5" hidden="1">
      <c r="E38913" s="4" t="str">
        <v/>
      </c>
      <c r="F38913" s="102" t="str">
        <f ca="1">IFERROR(__xludf.DUMMYFUNCTION("IMPORTRANGE(H38913,""IDENTITAS UNIT!D9"")"),"#N/A")</f>
        <v>#N/A</v>
      </c>
      <c r="H38913" s="4" t="str">
        <v/>
      </c>
      <c r="I38913" s="4" t="str">
        <v/>
      </c>
    </row>
    <row r="38914" spans="5:9" ht="16.5" hidden="1">
      <c r="E38914" s="4" t="str">
        <v/>
      </c>
      <c r="F38914" s="102" t="str">
        <f ca="1">IFERROR(__xludf.DUMMYFUNCTION("IMPORTRANGE(H38914,""IDENTITAS UNIT!D9"")"),"#N/A")</f>
        <v>#N/A</v>
      </c>
      <c r="H38914" s="4" t="str">
        <v/>
      </c>
      <c r="I38914" s="4" t="str">
        <v/>
      </c>
    </row>
    <row r="38915" spans="5:9" ht="16.5" hidden="1">
      <c r="E38915" s="4" t="str">
        <v/>
      </c>
      <c r="F38915" s="102" t="str">
        <f ca="1">IFERROR(__xludf.DUMMYFUNCTION("IMPORTRANGE(H38915,""IDENTITAS UNIT!D9"")"),"#N/A")</f>
        <v>#N/A</v>
      </c>
      <c r="H38915" s="4" t="str">
        <v/>
      </c>
      <c r="I38915" s="4" t="str">
        <v/>
      </c>
    </row>
    <row r="38916" spans="5:9" ht="16.5" hidden="1">
      <c r="E38916" s="4" t="str">
        <v/>
      </c>
      <c r="F38916" s="102" t="str">
        <f ca="1">IFERROR(__xludf.DUMMYFUNCTION("IMPORTRANGE(H38916,""IDENTITAS UNIT!D9"")"),"#N/A")</f>
        <v>#N/A</v>
      </c>
      <c r="H38916" s="4" t="str">
        <v/>
      </c>
      <c r="I38916" s="4" t="str">
        <v/>
      </c>
    </row>
    <row r="38917" spans="5:9" ht="16.5" hidden="1">
      <c r="E38917" s="4" t="str">
        <v/>
      </c>
      <c r="F38917" s="102" t="str">
        <f ca="1">IFERROR(__xludf.DUMMYFUNCTION("IMPORTRANGE(H38917,""IDENTITAS UNIT!D9"")"),"#N/A")</f>
        <v>#N/A</v>
      </c>
      <c r="H38917" s="4" t="str">
        <v/>
      </c>
      <c r="I38917" s="4" t="str">
        <v/>
      </c>
    </row>
    <row r="38918" spans="5:9" ht="16.5" hidden="1">
      <c r="E38918" s="4" t="str">
        <v/>
      </c>
      <c r="F38918" s="102" t="str">
        <f ca="1">IFERROR(__xludf.DUMMYFUNCTION("IMPORTRANGE(H38918,""IDENTITAS UNIT!D9"")"),"#N/A")</f>
        <v>#N/A</v>
      </c>
      <c r="H38918" s="4" t="str">
        <v/>
      </c>
      <c r="I38918" s="4" t="str">
        <v/>
      </c>
    </row>
    <row r="38919" spans="5:9" ht="16.5" hidden="1">
      <c r="E38919" s="4" t="str">
        <v/>
      </c>
      <c r="F38919" s="102" t="str">
        <f ca="1">IFERROR(__xludf.DUMMYFUNCTION("IMPORTRANGE(H38919,""IDENTITAS UNIT!D9"")"),"#N/A")</f>
        <v>#N/A</v>
      </c>
      <c r="H38919" s="4" t="str">
        <v/>
      </c>
      <c r="I38919" s="4" t="str">
        <v/>
      </c>
    </row>
    <row r="38920" spans="5:9" ht="16.5" hidden="1">
      <c r="E38920" s="4" t="str">
        <v/>
      </c>
      <c r="F38920" s="102" t="str">
        <f ca="1">IFERROR(__xludf.DUMMYFUNCTION("IMPORTRANGE(H38920,""IDENTITAS UNIT!D9"")"),"#N/A")</f>
        <v>#N/A</v>
      </c>
      <c r="H38920" s="4" t="str">
        <v/>
      </c>
      <c r="I38920" s="4" t="str">
        <v/>
      </c>
    </row>
    <row r="38921" spans="5:9" ht="16.5" hidden="1">
      <c r="E38921" s="4" t="str">
        <v/>
      </c>
      <c r="F38921" s="102" t="str">
        <f ca="1">IFERROR(__xludf.DUMMYFUNCTION("IMPORTRANGE(H38921,""IDENTITAS UNIT!D9"")"),"#N/A")</f>
        <v>#N/A</v>
      </c>
      <c r="H38921" s="4" t="str">
        <v/>
      </c>
      <c r="I38921" s="4" t="str">
        <v/>
      </c>
    </row>
    <row r="38922" spans="5:9" ht="16.5" hidden="1">
      <c r="E38922" s="4" t="str">
        <v/>
      </c>
      <c r="F38922" s="102" t="str">
        <f ca="1">IFERROR(__xludf.DUMMYFUNCTION("IMPORTRANGE(H38922,""IDENTITAS UNIT!D9"")"),"#N/A")</f>
        <v>#N/A</v>
      </c>
      <c r="H38922" s="4" t="str">
        <v/>
      </c>
      <c r="I38922" s="4" t="str">
        <v/>
      </c>
    </row>
    <row r="38923" spans="5:9" ht="16.5" hidden="1">
      <c r="E38923" s="4" t="str">
        <v/>
      </c>
      <c r="F38923" s="102" t="str">
        <f ca="1">IFERROR(__xludf.DUMMYFUNCTION("IMPORTRANGE(H38923,""IDENTITAS UNIT!D9"")"),"#N/A")</f>
        <v>#N/A</v>
      </c>
      <c r="H38923" s="4" t="str">
        <v/>
      </c>
      <c r="I38923" s="4" t="str">
        <v/>
      </c>
    </row>
    <row r="38924" spans="5:9" ht="16.5" hidden="1">
      <c r="E38924" s="4" t="str">
        <v/>
      </c>
      <c r="F38924" s="102" t="str">
        <f ca="1">IFERROR(__xludf.DUMMYFUNCTION("IMPORTRANGE(H38924,""IDENTITAS UNIT!D9"")"),"#N/A")</f>
        <v>#N/A</v>
      </c>
      <c r="H38924" s="4" t="str">
        <v/>
      </c>
      <c r="I38924" s="4" t="str">
        <v/>
      </c>
    </row>
    <row r="38925" spans="5:9" ht="16.5" hidden="1">
      <c r="E38925" s="4" t="str">
        <v/>
      </c>
      <c r="F38925" s="102" t="str">
        <f ca="1">IFERROR(__xludf.DUMMYFUNCTION("IMPORTRANGE(H38925,""IDENTITAS UNIT!D9"")"),"#N/A")</f>
        <v>#N/A</v>
      </c>
      <c r="H38925" s="4" t="str">
        <v/>
      </c>
      <c r="I38925" s="4" t="str">
        <v/>
      </c>
    </row>
    <row r="38926" spans="5:9" ht="16.5" hidden="1">
      <c r="E38926" s="4" t="str">
        <v/>
      </c>
      <c r="F38926" s="102" t="str">
        <f ca="1">IFERROR(__xludf.DUMMYFUNCTION("IMPORTRANGE(H38926,""IDENTITAS UNIT!D9"")"),"#N/A")</f>
        <v>#N/A</v>
      </c>
      <c r="H38926" s="4" t="str">
        <v/>
      </c>
      <c r="I38926" s="4" t="str">
        <v/>
      </c>
    </row>
    <row r="38927" spans="5:9" ht="16.5" hidden="1">
      <c r="E38927" s="4" t="str">
        <v/>
      </c>
      <c r="F38927" s="102" t="str">
        <f ca="1">IFERROR(__xludf.DUMMYFUNCTION("IMPORTRANGE(H38927,""IDENTITAS UNIT!D9"")"),"#N/A")</f>
        <v>#N/A</v>
      </c>
      <c r="H38927" s="4" t="str">
        <v/>
      </c>
      <c r="I38927" s="4" t="str">
        <v/>
      </c>
    </row>
    <row r="38928" spans="5:9" ht="16.5" hidden="1">
      <c r="E38928" s="4" t="str">
        <v/>
      </c>
      <c r="F38928" s="102" t="str">
        <f ca="1">IFERROR(__xludf.DUMMYFUNCTION("IMPORTRANGE(H38928,""IDENTITAS UNIT!D9"")"),"#N/A")</f>
        <v>#N/A</v>
      </c>
      <c r="H38928" s="4" t="str">
        <v/>
      </c>
      <c r="I38928" s="4" t="str">
        <v/>
      </c>
    </row>
    <row r="38929" spans="5:9" ht="16.5" hidden="1">
      <c r="E38929" s="4" t="str">
        <v/>
      </c>
      <c r="F38929" s="102" t="str">
        <f ca="1">IFERROR(__xludf.DUMMYFUNCTION("IMPORTRANGE(H38929,""IDENTITAS UNIT!D9"")"),"#N/A")</f>
        <v>#N/A</v>
      </c>
      <c r="H38929" s="4" t="str">
        <v/>
      </c>
      <c r="I38929" s="4" t="str">
        <v/>
      </c>
    </row>
    <row r="38930" spans="5:9" ht="16.5" hidden="1">
      <c r="E38930" s="4" t="str">
        <v/>
      </c>
      <c r="F38930" s="102" t="str">
        <f ca="1">IFERROR(__xludf.DUMMYFUNCTION("IMPORTRANGE(H38930,""IDENTITAS UNIT!D9"")"),"#N/A")</f>
        <v>#N/A</v>
      </c>
      <c r="H38930" s="4" t="str">
        <v/>
      </c>
      <c r="I38930" s="4" t="str">
        <v/>
      </c>
    </row>
    <row r="38931" spans="5:9" ht="16.5" hidden="1">
      <c r="E38931" s="4" t="str">
        <v/>
      </c>
      <c r="F38931" s="102" t="str">
        <f ca="1">IFERROR(__xludf.DUMMYFUNCTION("IMPORTRANGE(H38931,""IDENTITAS UNIT!D9"")"),"#N/A")</f>
        <v>#N/A</v>
      </c>
      <c r="H38931" s="4" t="str">
        <v/>
      </c>
      <c r="I38931" s="4" t="str">
        <v/>
      </c>
    </row>
    <row r="38932" spans="5:9" ht="16.5" hidden="1">
      <c r="E38932" s="4" t="str">
        <v/>
      </c>
      <c r="F38932" s="102" t="str">
        <f ca="1">IFERROR(__xludf.DUMMYFUNCTION("IMPORTRANGE(H38932,""IDENTITAS UNIT!D9"")"),"#N/A")</f>
        <v>#N/A</v>
      </c>
      <c r="H38932" s="4" t="str">
        <v/>
      </c>
      <c r="I38932" s="4" t="str">
        <v/>
      </c>
    </row>
    <row r="38933" spans="5:9" ht="16.5" hidden="1">
      <c r="E38933" s="4" t="str">
        <v/>
      </c>
      <c r="F38933" s="102" t="str">
        <f ca="1">IFERROR(__xludf.DUMMYFUNCTION("IMPORTRANGE(H38933,""IDENTITAS UNIT!D9"")"),"#N/A")</f>
        <v>#N/A</v>
      </c>
      <c r="H38933" s="4" t="str">
        <v/>
      </c>
      <c r="I38933" s="4" t="str">
        <v/>
      </c>
    </row>
    <row r="38934" spans="5:9" ht="16.5" hidden="1">
      <c r="E38934" s="4" t="str">
        <v/>
      </c>
      <c r="F38934" s="102" t="str">
        <f ca="1">IFERROR(__xludf.DUMMYFUNCTION("IMPORTRANGE(H38934,""IDENTITAS UNIT!D9"")"),"#N/A")</f>
        <v>#N/A</v>
      </c>
      <c r="H38934" s="4" t="str">
        <v/>
      </c>
      <c r="I38934" s="4" t="str">
        <v/>
      </c>
    </row>
    <row r="38935" spans="5:9" ht="16.5" hidden="1">
      <c r="E38935" s="4" t="str">
        <v/>
      </c>
      <c r="F38935" s="102" t="str">
        <f ca="1">IFERROR(__xludf.DUMMYFUNCTION("IMPORTRANGE(H38935,""IDENTITAS UNIT!D9"")"),"#N/A")</f>
        <v>#N/A</v>
      </c>
      <c r="H38935" s="4" t="str">
        <v/>
      </c>
      <c r="I38935" s="4" t="str">
        <v/>
      </c>
    </row>
    <row r="38936" spans="5:9" ht="16.5" hidden="1">
      <c r="E38936" s="4" t="str">
        <v/>
      </c>
      <c r="F38936" s="102" t="str">
        <f ca="1">IFERROR(__xludf.DUMMYFUNCTION("IMPORTRANGE(H38936,""IDENTITAS UNIT!D9"")"),"#N/A")</f>
        <v>#N/A</v>
      </c>
      <c r="H38936" s="4" t="str">
        <v/>
      </c>
      <c r="I38936" s="4" t="str">
        <v/>
      </c>
    </row>
    <row r="38937" spans="5:9" ht="16.5" hidden="1">
      <c r="E38937" s="4" t="str">
        <v/>
      </c>
      <c r="F38937" s="102" t="str">
        <f ca="1">IFERROR(__xludf.DUMMYFUNCTION("IMPORTRANGE(H38937,""IDENTITAS UNIT!D9"")"),"#N/A")</f>
        <v>#N/A</v>
      </c>
      <c r="H38937" s="4" t="str">
        <v/>
      </c>
      <c r="I38937" s="4" t="str">
        <v/>
      </c>
    </row>
    <row r="38938" spans="5:9" ht="16.5" hidden="1">
      <c r="E38938" s="4" t="str">
        <v/>
      </c>
      <c r="F38938" s="102" t="str">
        <f ca="1">IFERROR(__xludf.DUMMYFUNCTION("IMPORTRANGE(H38938,""IDENTITAS UNIT!D9"")"),"#N/A")</f>
        <v>#N/A</v>
      </c>
      <c r="H38938" s="4" t="str">
        <v/>
      </c>
      <c r="I38938" s="4" t="str">
        <v/>
      </c>
    </row>
    <row r="38939" spans="5:9" ht="16.5" hidden="1">
      <c r="E38939" s="4" t="str">
        <v/>
      </c>
      <c r="F38939" s="102" t="str">
        <f ca="1">IFERROR(__xludf.DUMMYFUNCTION("IMPORTRANGE(H38939,""IDENTITAS UNIT!D9"")"),"#N/A")</f>
        <v>#N/A</v>
      </c>
      <c r="H38939" s="4" t="str">
        <v/>
      </c>
      <c r="I38939" s="4" t="str">
        <v/>
      </c>
    </row>
    <row r="38940" spans="5:9" ht="16.5" hidden="1">
      <c r="E38940" s="4" t="str">
        <v/>
      </c>
      <c r="F38940" s="102" t="str">
        <f ca="1">IFERROR(__xludf.DUMMYFUNCTION("IMPORTRANGE(H38940,""IDENTITAS UNIT!D9"")"),"#N/A")</f>
        <v>#N/A</v>
      </c>
      <c r="H38940" s="4" t="str">
        <v/>
      </c>
      <c r="I38940" s="4" t="str">
        <v/>
      </c>
    </row>
    <row r="38941" spans="5:9" ht="16.5" hidden="1">
      <c r="E38941" s="4" t="str">
        <v/>
      </c>
      <c r="F38941" s="102" t="str">
        <f ca="1">IFERROR(__xludf.DUMMYFUNCTION("IMPORTRANGE(H38941,""IDENTITAS UNIT!D9"")"),"#N/A")</f>
        <v>#N/A</v>
      </c>
      <c r="H38941" s="4" t="str">
        <v/>
      </c>
      <c r="I38941" s="4" t="str">
        <v/>
      </c>
    </row>
    <row r="38942" spans="5:9" ht="16.5" hidden="1">
      <c r="E38942" s="4" t="str">
        <v/>
      </c>
      <c r="F38942" s="102" t="str">
        <f ca="1">IFERROR(__xludf.DUMMYFUNCTION("IMPORTRANGE(H38942,""IDENTITAS UNIT!D9"")"),"#N/A")</f>
        <v>#N/A</v>
      </c>
      <c r="H38942" s="4" t="str">
        <v/>
      </c>
      <c r="I38942" s="4" t="str">
        <v/>
      </c>
    </row>
    <row r="38943" spans="5:9" ht="16.5" hidden="1">
      <c r="E38943" s="4" t="str">
        <v/>
      </c>
      <c r="F38943" s="102" t="str">
        <f ca="1">IFERROR(__xludf.DUMMYFUNCTION("IMPORTRANGE(H38943,""IDENTITAS UNIT!D9"")"),"#N/A")</f>
        <v>#N/A</v>
      </c>
      <c r="H38943" s="4" t="str">
        <v/>
      </c>
      <c r="I38943" s="4" t="str">
        <v/>
      </c>
    </row>
    <row r="38944" spans="5:9" ht="16.5" hidden="1">
      <c r="E38944" s="4" t="str">
        <v/>
      </c>
      <c r="F38944" s="102" t="str">
        <f ca="1">IFERROR(__xludf.DUMMYFUNCTION("IMPORTRANGE(H38944,""IDENTITAS UNIT!D9"")"),"#N/A")</f>
        <v>#N/A</v>
      </c>
      <c r="H38944" s="4" t="str">
        <v/>
      </c>
      <c r="I38944" s="4" t="str">
        <v/>
      </c>
    </row>
    <row r="38945" spans="5:9" ht="16.5" hidden="1">
      <c r="E38945" s="4" t="str">
        <v/>
      </c>
      <c r="F38945" s="102" t="str">
        <f ca="1">IFERROR(__xludf.DUMMYFUNCTION("IMPORTRANGE(H38945,""IDENTITAS UNIT!D9"")"),"#N/A")</f>
        <v>#N/A</v>
      </c>
      <c r="H38945" s="4" t="str">
        <v/>
      </c>
      <c r="I38945" s="4" t="str">
        <v/>
      </c>
    </row>
    <row r="38946" spans="5:9" ht="16.5" hidden="1">
      <c r="E38946" s="4" t="str">
        <v/>
      </c>
      <c r="F38946" s="102" t="str">
        <f ca="1">IFERROR(__xludf.DUMMYFUNCTION("IMPORTRANGE(H38946,""IDENTITAS UNIT!D9"")"),"#N/A")</f>
        <v>#N/A</v>
      </c>
      <c r="H38946" s="4" t="str">
        <v/>
      </c>
      <c r="I38946" s="4" t="str">
        <v/>
      </c>
    </row>
    <row r="38947" spans="5:9" ht="16.5" hidden="1">
      <c r="E38947" s="4" t="str">
        <v/>
      </c>
      <c r="F38947" s="102" t="str">
        <f ca="1">IFERROR(__xludf.DUMMYFUNCTION("IMPORTRANGE(H38947,""IDENTITAS UNIT!D9"")"),"#N/A")</f>
        <v>#N/A</v>
      </c>
      <c r="H38947" s="4" t="str">
        <v/>
      </c>
      <c r="I38947" s="4" t="str">
        <v/>
      </c>
    </row>
    <row r="38948" spans="5:9" ht="16.5" hidden="1">
      <c r="E38948" s="4" t="str">
        <v/>
      </c>
      <c r="F38948" s="102" t="str">
        <f ca="1">IFERROR(__xludf.DUMMYFUNCTION("IMPORTRANGE(H38948,""IDENTITAS UNIT!D9"")"),"#N/A")</f>
        <v>#N/A</v>
      </c>
      <c r="H38948" s="4" t="str">
        <v/>
      </c>
      <c r="I38948" s="4" t="str">
        <v/>
      </c>
    </row>
    <row r="38949" spans="5:9" ht="16.5" hidden="1">
      <c r="E38949" s="4" t="str">
        <v/>
      </c>
      <c r="F38949" s="102" t="str">
        <f ca="1">IFERROR(__xludf.DUMMYFUNCTION("IMPORTRANGE(H38949,""IDENTITAS UNIT!D9"")"),"#N/A")</f>
        <v>#N/A</v>
      </c>
      <c r="H38949" s="4" t="str">
        <v/>
      </c>
      <c r="I38949" s="4" t="str">
        <v/>
      </c>
    </row>
    <row r="38950" spans="5:9" ht="16.5" hidden="1">
      <c r="E38950" s="4" t="str">
        <v/>
      </c>
      <c r="F38950" s="102" t="str">
        <f ca="1">IFERROR(__xludf.DUMMYFUNCTION("IMPORTRANGE(H38950,""IDENTITAS UNIT!D9"")"),"#N/A")</f>
        <v>#N/A</v>
      </c>
      <c r="H38950" s="4" t="str">
        <v/>
      </c>
      <c r="I38950" s="4" t="str">
        <v/>
      </c>
    </row>
    <row r="38951" spans="5:9" ht="16.5" hidden="1">
      <c r="E38951" s="4" t="str">
        <v/>
      </c>
      <c r="F38951" s="102" t="str">
        <f ca="1">IFERROR(__xludf.DUMMYFUNCTION("IMPORTRANGE(H38951,""IDENTITAS UNIT!D9"")"),"#N/A")</f>
        <v>#N/A</v>
      </c>
      <c r="H38951" s="4" t="str">
        <v/>
      </c>
      <c r="I38951" s="4" t="str">
        <v/>
      </c>
    </row>
    <row r="38952" spans="5:9" ht="16.5" hidden="1">
      <c r="E38952" s="4" t="str">
        <v/>
      </c>
      <c r="F38952" s="102" t="str">
        <f ca="1">IFERROR(__xludf.DUMMYFUNCTION("IMPORTRANGE(H38952,""IDENTITAS UNIT!D9"")"),"#N/A")</f>
        <v>#N/A</v>
      </c>
      <c r="H38952" s="4" t="str">
        <v/>
      </c>
      <c r="I38952" s="4" t="str">
        <v/>
      </c>
    </row>
    <row r="38953" spans="5:9" ht="16.5" hidden="1">
      <c r="E38953" s="4" t="str">
        <v/>
      </c>
      <c r="F38953" s="102" t="str">
        <f ca="1">IFERROR(__xludf.DUMMYFUNCTION("IMPORTRANGE(H38953,""IDENTITAS UNIT!D9"")"),"#N/A")</f>
        <v>#N/A</v>
      </c>
      <c r="H38953" s="4" t="str">
        <v/>
      </c>
      <c r="I38953" s="4" t="str">
        <v/>
      </c>
    </row>
    <row r="38954" spans="5:9" ht="16.5" hidden="1">
      <c r="E38954" s="4" t="str">
        <v/>
      </c>
      <c r="F38954" s="102" t="str">
        <f ca="1">IFERROR(__xludf.DUMMYFUNCTION("IMPORTRANGE(H38954,""IDENTITAS UNIT!D9"")"),"#N/A")</f>
        <v>#N/A</v>
      </c>
      <c r="H38954" s="4" t="str">
        <v/>
      </c>
      <c r="I38954" s="4" t="str">
        <v/>
      </c>
    </row>
    <row r="38955" spans="5:9" ht="16.5" hidden="1">
      <c r="E38955" s="4" t="str">
        <v/>
      </c>
      <c r="F38955" s="102" t="str">
        <f ca="1">IFERROR(__xludf.DUMMYFUNCTION("IMPORTRANGE(H38955,""IDENTITAS UNIT!D9"")"),"#N/A")</f>
        <v>#N/A</v>
      </c>
      <c r="H38955" s="4" t="str">
        <v/>
      </c>
      <c r="I38955" s="4" t="str">
        <v/>
      </c>
    </row>
    <row r="38956" spans="5:9" ht="16.5" hidden="1">
      <c r="E38956" s="4" t="str">
        <v/>
      </c>
      <c r="F38956" s="102" t="str">
        <f ca="1">IFERROR(__xludf.DUMMYFUNCTION("IMPORTRANGE(H38956,""IDENTITAS UNIT!D9"")"),"#N/A")</f>
        <v>#N/A</v>
      </c>
      <c r="H38956" s="4" t="str">
        <v/>
      </c>
      <c r="I38956" s="4" t="str">
        <v/>
      </c>
    </row>
    <row r="38957" spans="5:9" ht="16.5" hidden="1">
      <c r="E38957" s="4" t="str">
        <v/>
      </c>
      <c r="F38957" s="102" t="str">
        <f ca="1">IFERROR(__xludf.DUMMYFUNCTION("IMPORTRANGE(H38957,""IDENTITAS UNIT!D9"")"),"#N/A")</f>
        <v>#N/A</v>
      </c>
      <c r="H38957" s="4" t="str">
        <v/>
      </c>
      <c r="I38957" s="4" t="str">
        <v/>
      </c>
    </row>
    <row r="38958" spans="5:9" ht="16.5" hidden="1">
      <c r="E38958" s="4" t="str">
        <v/>
      </c>
      <c r="F38958" s="102" t="str">
        <f ca="1">IFERROR(__xludf.DUMMYFUNCTION("IMPORTRANGE(H38958,""IDENTITAS UNIT!D9"")"),"#N/A")</f>
        <v>#N/A</v>
      </c>
      <c r="H38958" s="4" t="str">
        <v/>
      </c>
      <c r="I38958" s="4" t="str">
        <v/>
      </c>
    </row>
    <row r="38959" spans="5:9" ht="16.5" hidden="1">
      <c r="E38959" s="4" t="str">
        <v/>
      </c>
      <c r="F38959" s="102" t="str">
        <f ca="1">IFERROR(__xludf.DUMMYFUNCTION("IMPORTRANGE(H38959,""IDENTITAS UNIT!D9"")"),"#N/A")</f>
        <v>#N/A</v>
      </c>
      <c r="H38959" s="4" t="str">
        <v/>
      </c>
      <c r="I38959" s="4" t="str">
        <v/>
      </c>
    </row>
    <row r="38960" spans="5:9" ht="16.5" hidden="1">
      <c r="E38960" s="4" t="str">
        <v/>
      </c>
      <c r="F38960" s="102" t="str">
        <f ca="1">IFERROR(__xludf.DUMMYFUNCTION("IMPORTRANGE(H38960,""IDENTITAS UNIT!D9"")"),"#N/A")</f>
        <v>#N/A</v>
      </c>
      <c r="H38960" s="4" t="str">
        <v/>
      </c>
      <c r="I38960" s="4" t="str">
        <v/>
      </c>
    </row>
    <row r="38961" spans="5:9" ht="16.5" hidden="1">
      <c r="E38961" s="4" t="str">
        <v/>
      </c>
      <c r="F38961" s="102" t="str">
        <f ca="1">IFERROR(__xludf.DUMMYFUNCTION("IMPORTRANGE(H38961,""IDENTITAS UNIT!D9"")"),"#N/A")</f>
        <v>#N/A</v>
      </c>
      <c r="H38961" s="4" t="str">
        <v/>
      </c>
      <c r="I38961" s="4" t="str">
        <v/>
      </c>
    </row>
    <row r="38962" spans="5:9" ht="16.5" hidden="1">
      <c r="E38962" s="4" t="str">
        <v/>
      </c>
      <c r="F38962" s="102" t="str">
        <f ca="1">IFERROR(__xludf.DUMMYFUNCTION("IMPORTRANGE(H38962,""IDENTITAS UNIT!D9"")"),"#N/A")</f>
        <v>#N/A</v>
      </c>
      <c r="H38962" s="4" t="str">
        <v/>
      </c>
      <c r="I38962" s="4" t="str">
        <v/>
      </c>
    </row>
    <row r="38963" spans="5:9" ht="16.5" hidden="1">
      <c r="E38963" s="4" t="str">
        <v/>
      </c>
      <c r="F38963" s="102" t="str">
        <f ca="1">IFERROR(__xludf.DUMMYFUNCTION("IMPORTRANGE(H38963,""IDENTITAS UNIT!D9"")"),"#N/A")</f>
        <v>#N/A</v>
      </c>
      <c r="H38963" s="4" t="str">
        <v/>
      </c>
      <c r="I38963" s="4" t="str">
        <v/>
      </c>
    </row>
    <row r="38964" spans="5:9" ht="16.5" hidden="1">
      <c r="E38964" s="4" t="str">
        <v/>
      </c>
      <c r="F38964" s="102" t="str">
        <f ca="1">IFERROR(__xludf.DUMMYFUNCTION("IMPORTRANGE(H38964,""IDENTITAS UNIT!D9"")"),"#N/A")</f>
        <v>#N/A</v>
      </c>
      <c r="H38964" s="4" t="str">
        <v/>
      </c>
      <c r="I38964" s="4" t="str">
        <v/>
      </c>
    </row>
    <row r="38965" spans="5:9" ht="16.5" hidden="1">
      <c r="E38965" s="4" t="str">
        <v/>
      </c>
      <c r="F38965" s="102" t="str">
        <f ca="1">IFERROR(__xludf.DUMMYFUNCTION("IMPORTRANGE(H38965,""IDENTITAS UNIT!D9"")"),"#N/A")</f>
        <v>#N/A</v>
      </c>
      <c r="H38965" s="4" t="str">
        <v/>
      </c>
      <c r="I38965" s="4" t="str">
        <v/>
      </c>
    </row>
    <row r="38966" spans="5:9" ht="16.5" hidden="1">
      <c r="E38966" s="4" t="str">
        <v/>
      </c>
      <c r="F38966" s="102" t="str">
        <f ca="1">IFERROR(__xludf.DUMMYFUNCTION("IMPORTRANGE(H38966,""IDENTITAS UNIT!D9"")"),"#N/A")</f>
        <v>#N/A</v>
      </c>
      <c r="H38966" s="4" t="str">
        <v/>
      </c>
      <c r="I38966" s="4" t="str">
        <v/>
      </c>
    </row>
    <row r="38967" spans="5:9" ht="16.5" hidden="1">
      <c r="E38967" s="4" t="str">
        <v/>
      </c>
      <c r="F38967" s="102" t="str">
        <f ca="1">IFERROR(__xludf.DUMMYFUNCTION("IMPORTRANGE(H38967,""IDENTITAS UNIT!D9"")"),"#N/A")</f>
        <v>#N/A</v>
      </c>
      <c r="H38967" s="4" t="str">
        <v/>
      </c>
      <c r="I38967" s="4" t="str">
        <v/>
      </c>
    </row>
    <row r="38968" spans="5:9" ht="16.5" hidden="1">
      <c r="E38968" s="4" t="str">
        <v/>
      </c>
      <c r="F38968" s="102" t="str">
        <f ca="1">IFERROR(__xludf.DUMMYFUNCTION("IMPORTRANGE(H38968,""IDENTITAS UNIT!D9"")"),"#N/A")</f>
        <v>#N/A</v>
      </c>
      <c r="H38968" s="4" t="str">
        <v/>
      </c>
      <c r="I38968" s="4" t="str">
        <v/>
      </c>
    </row>
    <row r="38969" spans="5:9" ht="16.5" hidden="1">
      <c r="E38969" s="4" t="str">
        <v/>
      </c>
      <c r="F38969" s="102" t="str">
        <f ca="1">IFERROR(__xludf.DUMMYFUNCTION("IMPORTRANGE(H38969,""IDENTITAS UNIT!D9"")"),"#N/A")</f>
        <v>#N/A</v>
      </c>
      <c r="H38969" s="4" t="str">
        <v/>
      </c>
      <c r="I38969" s="4" t="str">
        <v/>
      </c>
    </row>
    <row r="38970" spans="5:9" ht="16.5" hidden="1">
      <c r="E38970" s="4" t="str">
        <v/>
      </c>
      <c r="F38970" s="102" t="str">
        <f ca="1">IFERROR(__xludf.DUMMYFUNCTION("IMPORTRANGE(H38970,""IDENTITAS UNIT!D9"")"),"#N/A")</f>
        <v>#N/A</v>
      </c>
      <c r="H38970" s="4" t="str">
        <v/>
      </c>
      <c r="I38970" s="4" t="str">
        <v/>
      </c>
    </row>
    <row r="38971" spans="5:9" ht="16.5" hidden="1">
      <c r="E38971" s="4" t="str">
        <v/>
      </c>
      <c r="F38971" s="102" t="str">
        <f ca="1">IFERROR(__xludf.DUMMYFUNCTION("IMPORTRANGE(H38971,""IDENTITAS UNIT!D9"")"),"#N/A")</f>
        <v>#N/A</v>
      </c>
      <c r="H38971" s="4" t="str">
        <v/>
      </c>
      <c r="I38971" s="4" t="str">
        <v/>
      </c>
    </row>
    <row r="38972" spans="5:9" ht="16.5" hidden="1">
      <c r="E38972" s="4" t="str">
        <v/>
      </c>
      <c r="F38972" s="102" t="str">
        <f ca="1">IFERROR(__xludf.DUMMYFUNCTION("IMPORTRANGE(H38972,""IDENTITAS UNIT!D9"")"),"#N/A")</f>
        <v>#N/A</v>
      </c>
      <c r="H38972" s="4" t="str">
        <v/>
      </c>
      <c r="I38972" s="4" t="str">
        <v/>
      </c>
    </row>
    <row r="38973" spans="5:9" ht="16.5" hidden="1">
      <c r="E38973" s="4" t="str">
        <v/>
      </c>
      <c r="F38973" s="102" t="str">
        <f ca="1">IFERROR(__xludf.DUMMYFUNCTION("IMPORTRANGE(H38973,""IDENTITAS UNIT!D9"")"),"#N/A")</f>
        <v>#N/A</v>
      </c>
      <c r="H38973" s="4" t="str">
        <v/>
      </c>
      <c r="I38973" s="4" t="str">
        <v/>
      </c>
    </row>
    <row r="38974" spans="5:9" ht="16.5" hidden="1">
      <c r="E38974" s="4" t="str">
        <v/>
      </c>
      <c r="F38974" s="102" t="str">
        <f ca="1">IFERROR(__xludf.DUMMYFUNCTION("IMPORTRANGE(H38974,""IDENTITAS UNIT!D9"")"),"#N/A")</f>
        <v>#N/A</v>
      </c>
      <c r="H38974" s="4" t="str">
        <v/>
      </c>
      <c r="I38974" s="4" t="str">
        <v/>
      </c>
    </row>
    <row r="38975" spans="5:9" ht="16.5" hidden="1">
      <c r="E38975" s="4" t="str">
        <v/>
      </c>
      <c r="F38975" s="102" t="str">
        <f ca="1">IFERROR(__xludf.DUMMYFUNCTION("IMPORTRANGE(H38975,""IDENTITAS UNIT!D9"")"),"#N/A")</f>
        <v>#N/A</v>
      </c>
      <c r="H38975" s="4" t="str">
        <v/>
      </c>
      <c r="I38975" s="4" t="str">
        <v/>
      </c>
    </row>
    <row r="38976" spans="5:9" ht="16.5" hidden="1">
      <c r="E38976" s="4" t="str">
        <v/>
      </c>
      <c r="F38976" s="102" t="str">
        <f ca="1">IFERROR(__xludf.DUMMYFUNCTION("IMPORTRANGE(H38976,""IDENTITAS UNIT!D9"")"),"#N/A")</f>
        <v>#N/A</v>
      </c>
      <c r="H38976" s="4" t="str">
        <v/>
      </c>
      <c r="I38976" s="4" t="str">
        <v/>
      </c>
    </row>
    <row r="38977" spans="5:9" ht="16.5" hidden="1">
      <c r="E38977" s="4" t="str">
        <v/>
      </c>
      <c r="F38977" s="102" t="str">
        <f ca="1">IFERROR(__xludf.DUMMYFUNCTION("IMPORTRANGE(H38977,""IDENTITAS UNIT!D9"")"),"#N/A")</f>
        <v>#N/A</v>
      </c>
      <c r="H38977" s="4" t="str">
        <v/>
      </c>
      <c r="I38977" s="4" t="str">
        <v/>
      </c>
    </row>
    <row r="38978" spans="5:9" ht="16.5" hidden="1">
      <c r="E38978" s="4" t="str">
        <v/>
      </c>
      <c r="F38978" s="102" t="str">
        <f ca="1">IFERROR(__xludf.DUMMYFUNCTION("IMPORTRANGE(H38978,""IDENTITAS UNIT!D9"")"),"#N/A")</f>
        <v>#N/A</v>
      </c>
      <c r="H38978" s="4" t="str">
        <v/>
      </c>
      <c r="I38978" s="4" t="str">
        <v/>
      </c>
    </row>
    <row r="38979" spans="5:9" ht="16.5" hidden="1">
      <c r="E38979" s="4" t="str">
        <v/>
      </c>
      <c r="F38979" s="102" t="str">
        <f ca="1">IFERROR(__xludf.DUMMYFUNCTION("IMPORTRANGE(H38979,""IDENTITAS UNIT!D9"")"),"#N/A")</f>
        <v>#N/A</v>
      </c>
      <c r="H38979" s="4" t="str">
        <v/>
      </c>
      <c r="I38979" s="4" t="str">
        <v/>
      </c>
    </row>
    <row r="38980" spans="5:9" ht="16.5" hidden="1">
      <c r="E38980" s="4" t="str">
        <v/>
      </c>
      <c r="F38980" s="102" t="str">
        <f ca="1">IFERROR(__xludf.DUMMYFUNCTION("IMPORTRANGE(H38980,""IDENTITAS UNIT!D9"")"),"#N/A")</f>
        <v>#N/A</v>
      </c>
      <c r="H38980" s="4" t="str">
        <v/>
      </c>
      <c r="I38980" s="4" t="str">
        <v/>
      </c>
    </row>
    <row r="38981" spans="5:9" ht="16.5" hidden="1">
      <c r="E38981" s="4" t="str">
        <v/>
      </c>
      <c r="F38981" s="102" t="str">
        <f ca="1">IFERROR(__xludf.DUMMYFUNCTION("IMPORTRANGE(H38981,""IDENTITAS UNIT!D9"")"),"#N/A")</f>
        <v>#N/A</v>
      </c>
      <c r="H38981" s="4" t="str">
        <v/>
      </c>
      <c r="I38981" s="4" t="str">
        <v/>
      </c>
    </row>
    <row r="38982" spans="5:9" ht="16.5" hidden="1">
      <c r="E38982" s="4" t="str">
        <v/>
      </c>
      <c r="F38982" s="102" t="str">
        <f ca="1">IFERROR(__xludf.DUMMYFUNCTION("IMPORTRANGE(H38982,""IDENTITAS UNIT!D9"")"),"#N/A")</f>
        <v>#N/A</v>
      </c>
      <c r="H38982" s="4" t="str">
        <v/>
      </c>
      <c r="I38982" s="4" t="str">
        <v/>
      </c>
    </row>
    <row r="38983" spans="5:9" ht="16.5" hidden="1">
      <c r="E38983" s="4" t="str">
        <v/>
      </c>
      <c r="F38983" s="102" t="str">
        <f ca="1">IFERROR(__xludf.DUMMYFUNCTION("IMPORTRANGE(H38983,""IDENTITAS UNIT!D9"")"),"#N/A")</f>
        <v>#N/A</v>
      </c>
      <c r="H38983" s="4" t="str">
        <v/>
      </c>
      <c r="I38983" s="4" t="str">
        <v/>
      </c>
    </row>
    <row r="38984" spans="5:9" ht="16.5" hidden="1">
      <c r="E38984" s="4" t="str">
        <v/>
      </c>
      <c r="F38984" s="102" t="str">
        <f ca="1">IFERROR(__xludf.DUMMYFUNCTION("IMPORTRANGE(H38984,""IDENTITAS UNIT!D9"")"),"#N/A")</f>
        <v>#N/A</v>
      </c>
      <c r="H38984" s="4" t="str">
        <v/>
      </c>
      <c r="I38984" s="4" t="str">
        <v/>
      </c>
    </row>
    <row r="38985" spans="5:9" ht="16.5" hidden="1">
      <c r="E38985" s="4" t="str">
        <v/>
      </c>
      <c r="F38985" s="102" t="str">
        <f ca="1">IFERROR(__xludf.DUMMYFUNCTION("IMPORTRANGE(H38985,""IDENTITAS UNIT!D9"")"),"#N/A")</f>
        <v>#N/A</v>
      </c>
      <c r="H38985" s="4" t="str">
        <v/>
      </c>
      <c r="I38985" s="4" t="str">
        <v/>
      </c>
    </row>
    <row r="38986" spans="5:9" ht="16.5" hidden="1">
      <c r="E38986" s="4" t="str">
        <v/>
      </c>
      <c r="F38986" s="102" t="str">
        <f ca="1">IFERROR(__xludf.DUMMYFUNCTION("IMPORTRANGE(H38986,""IDENTITAS UNIT!D9"")"),"#N/A")</f>
        <v>#N/A</v>
      </c>
      <c r="H38986" s="4" t="str">
        <v/>
      </c>
      <c r="I38986" s="4" t="str">
        <v/>
      </c>
    </row>
    <row r="38987" spans="5:9" ht="16.5" hidden="1">
      <c r="E38987" s="4" t="str">
        <v/>
      </c>
      <c r="F38987" s="102" t="str">
        <f ca="1">IFERROR(__xludf.DUMMYFUNCTION("IMPORTRANGE(H38987,""IDENTITAS UNIT!D9"")"),"#N/A")</f>
        <v>#N/A</v>
      </c>
      <c r="H38987" s="4" t="str">
        <v/>
      </c>
      <c r="I38987" s="4" t="str">
        <v/>
      </c>
    </row>
    <row r="38988" spans="5:9" ht="16.5" hidden="1">
      <c r="E38988" s="4" t="str">
        <v/>
      </c>
      <c r="F38988" s="102" t="str">
        <f ca="1">IFERROR(__xludf.DUMMYFUNCTION("IMPORTRANGE(H38988,""IDENTITAS UNIT!D9"")"),"#N/A")</f>
        <v>#N/A</v>
      </c>
      <c r="H38988" s="4" t="str">
        <v/>
      </c>
      <c r="I38988" s="4" t="str">
        <v/>
      </c>
    </row>
    <row r="38989" spans="5:9" ht="16.5" hidden="1">
      <c r="E38989" s="4" t="str">
        <v/>
      </c>
      <c r="F38989" s="102" t="str">
        <f ca="1">IFERROR(__xludf.DUMMYFUNCTION("IMPORTRANGE(H38989,""IDENTITAS UNIT!D9"")"),"#N/A")</f>
        <v>#N/A</v>
      </c>
      <c r="H38989" s="4" t="str">
        <v/>
      </c>
      <c r="I38989" s="4" t="str">
        <v/>
      </c>
    </row>
    <row r="38990" spans="5:9" ht="16.5" hidden="1">
      <c r="E38990" s="4" t="str">
        <v/>
      </c>
      <c r="F38990" s="102" t="str">
        <f ca="1">IFERROR(__xludf.DUMMYFUNCTION("IMPORTRANGE(H38990,""IDENTITAS UNIT!D9"")"),"#N/A")</f>
        <v>#N/A</v>
      </c>
      <c r="H38990" s="4" t="str">
        <v/>
      </c>
      <c r="I38990" s="4" t="str">
        <v/>
      </c>
    </row>
    <row r="38991" spans="5:9" ht="16.5" hidden="1">
      <c r="E38991" s="4" t="str">
        <v/>
      </c>
      <c r="F38991" s="102" t="str">
        <f ca="1">IFERROR(__xludf.DUMMYFUNCTION("IMPORTRANGE(H38991,""IDENTITAS UNIT!D9"")"),"#N/A")</f>
        <v>#N/A</v>
      </c>
      <c r="H38991" s="4" t="str">
        <v/>
      </c>
      <c r="I38991" s="4" t="str">
        <v/>
      </c>
    </row>
    <row r="38992" spans="5:9" ht="16.5" hidden="1">
      <c r="E38992" s="4" t="str">
        <v/>
      </c>
      <c r="F38992" s="102" t="str">
        <f ca="1">IFERROR(__xludf.DUMMYFUNCTION("IMPORTRANGE(H38992,""IDENTITAS UNIT!D9"")"),"#N/A")</f>
        <v>#N/A</v>
      </c>
      <c r="H38992" s="4" t="str">
        <v/>
      </c>
      <c r="I38992" s="4" t="str">
        <v/>
      </c>
    </row>
    <row r="38993" spans="5:9" ht="16.5" hidden="1">
      <c r="E38993" s="4" t="str">
        <v/>
      </c>
      <c r="F38993" s="102" t="str">
        <f ca="1">IFERROR(__xludf.DUMMYFUNCTION("IMPORTRANGE(H38993,""IDENTITAS UNIT!D9"")"),"#N/A")</f>
        <v>#N/A</v>
      </c>
      <c r="H38993" s="4" t="str">
        <v/>
      </c>
      <c r="I38993" s="4" t="str">
        <v/>
      </c>
    </row>
    <row r="38994" spans="5:9" ht="16.5" hidden="1">
      <c r="E38994" s="4" t="str">
        <v/>
      </c>
      <c r="F38994" s="102" t="str">
        <f ca="1">IFERROR(__xludf.DUMMYFUNCTION("IMPORTRANGE(H38994,""IDENTITAS UNIT!D9"")"),"#N/A")</f>
        <v>#N/A</v>
      </c>
      <c r="H38994" s="4" t="str">
        <v/>
      </c>
      <c r="I38994" s="4" t="str">
        <v/>
      </c>
    </row>
    <row r="38995" spans="5:9" ht="16.5" hidden="1">
      <c r="E38995" s="4" t="str">
        <v/>
      </c>
      <c r="F38995" s="102" t="str">
        <f ca="1">IFERROR(__xludf.DUMMYFUNCTION("IMPORTRANGE(H38995,""IDENTITAS UNIT!D9"")"),"#N/A")</f>
        <v>#N/A</v>
      </c>
      <c r="H38995" s="4" t="str">
        <v/>
      </c>
      <c r="I38995" s="4" t="str">
        <v/>
      </c>
    </row>
    <row r="38996" spans="5:9" ht="16.5" hidden="1">
      <c r="E38996" s="4" t="str">
        <v/>
      </c>
      <c r="F38996" s="102" t="str">
        <f ca="1">IFERROR(__xludf.DUMMYFUNCTION("IMPORTRANGE(H38996,""IDENTITAS UNIT!D9"")"),"#N/A")</f>
        <v>#N/A</v>
      </c>
      <c r="H38996" s="4" t="str">
        <v/>
      </c>
      <c r="I38996" s="4" t="str">
        <v/>
      </c>
    </row>
    <row r="38997" spans="5:9" ht="16.5" hidden="1">
      <c r="E38997" s="4" t="str">
        <v/>
      </c>
      <c r="F38997" s="102" t="str">
        <f ca="1">IFERROR(__xludf.DUMMYFUNCTION("IMPORTRANGE(H38997,""IDENTITAS UNIT!D9"")"),"#N/A")</f>
        <v>#N/A</v>
      </c>
      <c r="H38997" s="4" t="str">
        <v/>
      </c>
      <c r="I38997" s="4" t="str">
        <v/>
      </c>
    </row>
    <row r="38998" spans="5:9" ht="16.5" hidden="1">
      <c r="E38998" s="4" t="str">
        <v/>
      </c>
      <c r="F38998" s="102" t="str">
        <f ca="1">IFERROR(__xludf.DUMMYFUNCTION("IMPORTRANGE(H38998,""IDENTITAS UNIT!D9"")"),"#N/A")</f>
        <v>#N/A</v>
      </c>
      <c r="H38998" s="4" t="str">
        <v/>
      </c>
      <c r="I38998" s="4" t="str">
        <v/>
      </c>
    </row>
    <row r="38999" spans="5:9" ht="16.5" hidden="1">
      <c r="E38999" s="4" t="str">
        <v/>
      </c>
      <c r="F38999" s="102" t="str">
        <f ca="1">IFERROR(__xludf.DUMMYFUNCTION("IMPORTRANGE(H38999,""IDENTITAS UNIT!D9"")"),"#N/A")</f>
        <v>#N/A</v>
      </c>
      <c r="H38999" s="4" t="str">
        <v/>
      </c>
      <c r="I38999" s="4" t="str">
        <v/>
      </c>
    </row>
    <row r="39000" spans="5:9" ht="16.5" hidden="1">
      <c r="E39000" s="4" t="str">
        <v/>
      </c>
      <c r="F39000" s="102" t="str">
        <f ca="1">IFERROR(__xludf.DUMMYFUNCTION("IMPORTRANGE(H39000,""IDENTITAS UNIT!D9"")"),"#N/A")</f>
        <v>#N/A</v>
      </c>
      <c r="H39000" s="4" t="str">
        <v/>
      </c>
      <c r="I39000" s="4" t="str">
        <v/>
      </c>
    </row>
    <row r="39001" spans="5:9" ht="16.5" hidden="1">
      <c r="E39001" s="4" t="str">
        <v/>
      </c>
      <c r="F39001" s="102" t="str">
        <f ca="1">IFERROR(__xludf.DUMMYFUNCTION("IMPORTRANGE(H39001,""IDENTITAS UNIT!D9"")"),"#N/A")</f>
        <v>#N/A</v>
      </c>
      <c r="H39001" s="4" t="str">
        <v/>
      </c>
      <c r="I39001" s="4" t="str">
        <v/>
      </c>
    </row>
    <row r="39002" spans="5:9" ht="16.5" hidden="1">
      <c r="E39002" s="4" t="str">
        <v/>
      </c>
      <c r="F39002" s="102" t="str">
        <f ca="1">IFERROR(__xludf.DUMMYFUNCTION("IMPORTRANGE(H39002,""IDENTITAS UNIT!D9"")"),"#N/A")</f>
        <v>#N/A</v>
      </c>
      <c r="H39002" s="4" t="str">
        <v/>
      </c>
      <c r="I39002" s="4" t="str">
        <v/>
      </c>
    </row>
    <row r="39003" spans="5:9" ht="16.5" hidden="1">
      <c r="E39003" s="4" t="str">
        <v/>
      </c>
      <c r="F39003" s="102" t="str">
        <f ca="1">IFERROR(__xludf.DUMMYFUNCTION("IMPORTRANGE(H39003,""IDENTITAS UNIT!D9"")"),"#N/A")</f>
        <v>#N/A</v>
      </c>
      <c r="H39003" s="4" t="str">
        <v/>
      </c>
      <c r="I39003" s="4" t="str">
        <v/>
      </c>
    </row>
    <row r="39004" spans="5:9" ht="16.5" hidden="1">
      <c r="E39004" s="4" t="str">
        <v/>
      </c>
      <c r="F39004" s="102" t="str">
        <f ca="1">IFERROR(__xludf.DUMMYFUNCTION("IMPORTRANGE(H39004,""IDENTITAS UNIT!D9"")"),"#N/A")</f>
        <v>#N/A</v>
      </c>
      <c r="H39004" s="4" t="str">
        <v/>
      </c>
      <c r="I39004" s="4" t="str">
        <v/>
      </c>
    </row>
    <row r="39005" spans="5:9" ht="16.5" hidden="1">
      <c r="E39005" s="4" t="str">
        <v/>
      </c>
      <c r="F39005" s="102" t="str">
        <f ca="1">IFERROR(__xludf.DUMMYFUNCTION("IMPORTRANGE(H39005,""IDENTITAS UNIT!D9"")"),"#N/A")</f>
        <v>#N/A</v>
      </c>
      <c r="H39005" s="4" t="str">
        <v/>
      </c>
      <c r="I39005" s="4" t="str">
        <v/>
      </c>
    </row>
    <row r="39006" spans="5:9" ht="16.5" hidden="1">
      <c r="E39006" s="4" t="str">
        <v/>
      </c>
      <c r="F39006" s="102" t="str">
        <f ca="1">IFERROR(__xludf.DUMMYFUNCTION("IMPORTRANGE(H39006,""IDENTITAS UNIT!D9"")"),"#N/A")</f>
        <v>#N/A</v>
      </c>
      <c r="H39006" s="4" t="str">
        <v/>
      </c>
      <c r="I39006" s="4" t="str">
        <v/>
      </c>
    </row>
    <row r="39007" spans="5:9" ht="16.5" hidden="1">
      <c r="E39007" s="4" t="str">
        <v/>
      </c>
      <c r="F39007" s="102" t="str">
        <f ca="1">IFERROR(__xludf.DUMMYFUNCTION("IMPORTRANGE(H39007,""IDENTITAS UNIT!D9"")"),"#N/A")</f>
        <v>#N/A</v>
      </c>
      <c r="H39007" s="4" t="str">
        <v/>
      </c>
      <c r="I39007" s="4" t="str">
        <v/>
      </c>
    </row>
    <row r="39008" spans="5:9" ht="16.5" hidden="1">
      <c r="E39008" s="4" t="str">
        <v/>
      </c>
      <c r="F39008" s="102" t="str">
        <f ca="1">IFERROR(__xludf.DUMMYFUNCTION("IMPORTRANGE(H39008,""IDENTITAS UNIT!D9"")"),"#N/A")</f>
        <v>#N/A</v>
      </c>
      <c r="H39008" s="4" t="str">
        <v/>
      </c>
      <c r="I39008" s="4" t="str">
        <v/>
      </c>
    </row>
    <row r="39009" spans="5:9" ht="16.5" hidden="1">
      <c r="E39009" s="4" t="str">
        <v/>
      </c>
      <c r="F39009" s="102" t="str">
        <f ca="1">IFERROR(__xludf.DUMMYFUNCTION("IMPORTRANGE(H39009,""IDENTITAS UNIT!D9"")"),"#N/A")</f>
        <v>#N/A</v>
      </c>
      <c r="H39009" s="4" t="str">
        <v/>
      </c>
      <c r="I39009" s="4" t="str">
        <v/>
      </c>
    </row>
    <row r="39010" spans="5:9" ht="16.5" hidden="1">
      <c r="E39010" s="4" t="str">
        <v/>
      </c>
      <c r="F39010" s="102" t="str">
        <f ca="1">IFERROR(__xludf.DUMMYFUNCTION("IMPORTRANGE(H39010,""IDENTITAS UNIT!D9"")"),"#N/A")</f>
        <v>#N/A</v>
      </c>
      <c r="H39010" s="4" t="str">
        <v/>
      </c>
      <c r="I39010" s="4" t="str">
        <v/>
      </c>
    </row>
    <row r="39011" spans="5:9" ht="16.5" hidden="1">
      <c r="E39011" s="4" t="str">
        <v/>
      </c>
      <c r="F39011" s="102" t="str">
        <f ca="1">IFERROR(__xludf.DUMMYFUNCTION("IMPORTRANGE(H39011,""IDENTITAS UNIT!D9"")"),"#N/A")</f>
        <v>#N/A</v>
      </c>
      <c r="H39011" s="4" t="str">
        <v/>
      </c>
      <c r="I39011" s="4" t="str">
        <v/>
      </c>
    </row>
    <row r="39012" spans="5:9" ht="16.5" hidden="1">
      <c r="E39012" s="4" t="str">
        <v/>
      </c>
      <c r="F39012" s="102" t="str">
        <f ca="1">IFERROR(__xludf.DUMMYFUNCTION("IMPORTRANGE(H39012,""IDENTITAS UNIT!D9"")"),"#N/A")</f>
        <v>#N/A</v>
      </c>
      <c r="H39012" s="4" t="str">
        <v/>
      </c>
      <c r="I39012" s="4" t="str">
        <v/>
      </c>
    </row>
    <row r="39013" spans="5:9" ht="16.5" hidden="1">
      <c r="E39013" s="4" t="str">
        <v/>
      </c>
      <c r="F39013" s="102" t="str">
        <f ca="1">IFERROR(__xludf.DUMMYFUNCTION("IMPORTRANGE(H39013,""IDENTITAS UNIT!D9"")"),"#N/A")</f>
        <v>#N/A</v>
      </c>
      <c r="H39013" s="4" t="str">
        <v/>
      </c>
      <c r="I39013" s="4" t="str">
        <v/>
      </c>
    </row>
    <row r="39014" spans="5:9" ht="16.5" hidden="1">
      <c r="E39014" s="4" t="str">
        <v/>
      </c>
      <c r="F39014" s="102" t="str">
        <f ca="1">IFERROR(__xludf.DUMMYFUNCTION("IMPORTRANGE(H39014,""IDENTITAS UNIT!D9"")"),"#N/A")</f>
        <v>#N/A</v>
      </c>
      <c r="H39014" s="4" t="str">
        <v/>
      </c>
      <c r="I39014" s="4" t="str">
        <v/>
      </c>
    </row>
    <row r="39015" spans="5:9" ht="16.5" hidden="1">
      <c r="E39015" s="4" t="str">
        <v/>
      </c>
      <c r="F39015" s="102" t="str">
        <f ca="1">IFERROR(__xludf.DUMMYFUNCTION("IMPORTRANGE(H39015,""IDENTITAS UNIT!D9"")"),"#N/A")</f>
        <v>#N/A</v>
      </c>
      <c r="H39015" s="4" t="str">
        <v/>
      </c>
      <c r="I39015" s="4" t="str">
        <v/>
      </c>
    </row>
    <row r="39016" spans="5:9" ht="16.5" hidden="1">
      <c r="E39016" s="4" t="str">
        <v/>
      </c>
      <c r="F39016" s="102" t="str">
        <f ca="1">IFERROR(__xludf.DUMMYFUNCTION("IMPORTRANGE(H39016,""IDENTITAS UNIT!D9"")"),"#N/A")</f>
        <v>#N/A</v>
      </c>
      <c r="H39016" s="4" t="str">
        <v/>
      </c>
      <c r="I39016" s="4" t="str">
        <v/>
      </c>
    </row>
    <row r="39017" spans="5:9" ht="16.5" hidden="1">
      <c r="E39017" s="4" t="str">
        <v/>
      </c>
      <c r="F39017" s="102" t="str">
        <f ca="1">IFERROR(__xludf.DUMMYFUNCTION("IMPORTRANGE(H39017,""IDENTITAS UNIT!D9"")"),"#N/A")</f>
        <v>#N/A</v>
      </c>
      <c r="H39017" s="4" t="str">
        <v/>
      </c>
      <c r="I39017" s="4" t="str">
        <v/>
      </c>
    </row>
    <row r="39018" spans="5:9" ht="16.5" hidden="1">
      <c r="E39018" s="4" t="str">
        <v/>
      </c>
      <c r="F39018" s="102" t="str">
        <f ca="1">IFERROR(__xludf.DUMMYFUNCTION("IMPORTRANGE(H39018,""IDENTITAS UNIT!D9"")"),"#N/A")</f>
        <v>#N/A</v>
      </c>
      <c r="H39018" s="4" t="str">
        <v/>
      </c>
      <c r="I39018" s="4" t="str">
        <v/>
      </c>
    </row>
    <row r="39019" spans="5:9" ht="16.5" hidden="1">
      <c r="E39019" s="4" t="str">
        <v/>
      </c>
      <c r="F39019" s="102" t="str">
        <f ca="1">IFERROR(__xludf.DUMMYFUNCTION("IMPORTRANGE(H39019,""IDENTITAS UNIT!D9"")"),"#N/A")</f>
        <v>#N/A</v>
      </c>
      <c r="H39019" s="4" t="str">
        <v/>
      </c>
      <c r="I39019" s="4" t="str">
        <v/>
      </c>
    </row>
    <row r="39020" spans="5:9" ht="16.5" hidden="1">
      <c r="E39020" s="4" t="str">
        <v/>
      </c>
      <c r="F39020" s="102" t="str">
        <f ca="1">IFERROR(__xludf.DUMMYFUNCTION("IMPORTRANGE(H39020,""IDENTITAS UNIT!D9"")"),"#N/A")</f>
        <v>#N/A</v>
      </c>
      <c r="H39020" s="4" t="str">
        <v/>
      </c>
      <c r="I39020" s="4" t="str">
        <v/>
      </c>
    </row>
    <row r="39021" spans="5:9" ht="16.5" hidden="1">
      <c r="E39021" s="4" t="str">
        <v/>
      </c>
      <c r="F39021" s="102" t="str">
        <f ca="1">IFERROR(__xludf.DUMMYFUNCTION("IMPORTRANGE(H39021,""IDENTITAS UNIT!D9"")"),"#N/A")</f>
        <v>#N/A</v>
      </c>
      <c r="H39021" s="4" t="str">
        <v/>
      </c>
      <c r="I39021" s="4" t="str">
        <v/>
      </c>
    </row>
    <row r="39022" spans="5:9" ht="16.5" hidden="1">
      <c r="E39022" s="4" t="str">
        <v/>
      </c>
      <c r="F39022" s="102" t="str">
        <f ca="1">IFERROR(__xludf.DUMMYFUNCTION("IMPORTRANGE(H39022,""IDENTITAS UNIT!D9"")"),"#N/A")</f>
        <v>#N/A</v>
      </c>
      <c r="H39022" s="4" t="str">
        <v/>
      </c>
      <c r="I39022" s="4" t="str">
        <v/>
      </c>
    </row>
    <row r="39023" spans="5:9" ht="16.5" hidden="1">
      <c r="E39023" s="4" t="str">
        <v/>
      </c>
      <c r="F39023" s="102" t="str">
        <f ca="1">IFERROR(__xludf.DUMMYFUNCTION("IMPORTRANGE(H39023,""IDENTITAS UNIT!D9"")"),"#N/A")</f>
        <v>#N/A</v>
      </c>
      <c r="H39023" s="4" t="str">
        <v/>
      </c>
      <c r="I39023" s="4" t="str">
        <v/>
      </c>
    </row>
    <row r="39024" spans="5:9" ht="16.5" hidden="1">
      <c r="E39024" s="4" t="str">
        <v/>
      </c>
      <c r="F39024" s="102" t="str">
        <f ca="1">IFERROR(__xludf.DUMMYFUNCTION("IMPORTRANGE(H39024,""IDENTITAS UNIT!D9"")"),"#N/A")</f>
        <v>#N/A</v>
      </c>
      <c r="H39024" s="4" t="str">
        <v/>
      </c>
      <c r="I39024" s="4" t="str">
        <v/>
      </c>
    </row>
    <row r="39025" spans="5:9" ht="16.5" hidden="1">
      <c r="E39025" s="4" t="str">
        <v/>
      </c>
      <c r="F39025" s="102" t="str">
        <f ca="1">IFERROR(__xludf.DUMMYFUNCTION("IMPORTRANGE(H39025,""IDENTITAS UNIT!D9"")"),"#N/A")</f>
        <v>#N/A</v>
      </c>
      <c r="H39025" s="4" t="str">
        <v/>
      </c>
      <c r="I39025" s="4" t="str">
        <v/>
      </c>
    </row>
    <row r="39026" spans="5:9" ht="16.5" hidden="1">
      <c r="E39026" s="4" t="str">
        <v/>
      </c>
      <c r="F39026" s="102" t="str">
        <f ca="1">IFERROR(__xludf.DUMMYFUNCTION("IMPORTRANGE(H39026,""IDENTITAS UNIT!D9"")"),"#N/A")</f>
        <v>#N/A</v>
      </c>
      <c r="H39026" s="4" t="str">
        <v/>
      </c>
      <c r="I39026" s="4" t="str">
        <v/>
      </c>
    </row>
    <row r="39027" spans="5:9" ht="16.5" hidden="1">
      <c r="E39027" s="4" t="str">
        <v/>
      </c>
      <c r="F39027" s="102" t="str">
        <f ca="1">IFERROR(__xludf.DUMMYFUNCTION("IMPORTRANGE(H39027,""IDENTITAS UNIT!D9"")"),"#N/A")</f>
        <v>#N/A</v>
      </c>
      <c r="H39027" s="4" t="str">
        <v/>
      </c>
      <c r="I39027" s="4" t="str">
        <v/>
      </c>
    </row>
    <row r="39028" spans="5:9" ht="16.5" hidden="1">
      <c r="E39028" s="4" t="str">
        <v/>
      </c>
      <c r="F39028" s="102" t="str">
        <f ca="1">IFERROR(__xludf.DUMMYFUNCTION("IMPORTRANGE(H39028,""IDENTITAS UNIT!D9"")"),"#N/A")</f>
        <v>#N/A</v>
      </c>
      <c r="H39028" s="4" t="str">
        <v/>
      </c>
      <c r="I39028" s="4" t="str">
        <v/>
      </c>
    </row>
    <row r="39029" spans="5:9" ht="16.5" hidden="1">
      <c r="E39029" s="4" t="str">
        <v/>
      </c>
      <c r="F39029" s="102" t="str">
        <f ca="1">IFERROR(__xludf.DUMMYFUNCTION("IMPORTRANGE(H39029,""IDENTITAS UNIT!D9"")"),"#N/A")</f>
        <v>#N/A</v>
      </c>
      <c r="H39029" s="4" t="str">
        <v/>
      </c>
      <c r="I39029" s="4" t="str">
        <v/>
      </c>
    </row>
    <row r="39030" spans="5:9" ht="16.5" hidden="1">
      <c r="E39030" s="4" t="str">
        <v/>
      </c>
      <c r="F39030" s="102" t="str">
        <f ca="1">IFERROR(__xludf.DUMMYFUNCTION("IMPORTRANGE(H39030,""IDENTITAS UNIT!D9"")"),"#N/A")</f>
        <v>#N/A</v>
      </c>
      <c r="H39030" s="4" t="str">
        <v/>
      </c>
      <c r="I39030" s="4" t="str">
        <v/>
      </c>
    </row>
    <row r="39031" spans="5:9" ht="16.5" hidden="1">
      <c r="E39031" s="4" t="str">
        <v/>
      </c>
      <c r="F39031" s="102" t="str">
        <f ca="1">IFERROR(__xludf.DUMMYFUNCTION("IMPORTRANGE(H39031,""IDENTITAS UNIT!D9"")"),"#N/A")</f>
        <v>#N/A</v>
      </c>
      <c r="H39031" s="4" t="str">
        <v/>
      </c>
      <c r="I39031" s="4" t="str">
        <v/>
      </c>
    </row>
    <row r="39032" spans="5:9" ht="16.5" hidden="1">
      <c r="E39032" s="4" t="str">
        <v/>
      </c>
      <c r="F39032" s="102" t="str">
        <f ca="1">IFERROR(__xludf.DUMMYFUNCTION("IMPORTRANGE(H39032,""IDENTITAS UNIT!D9"")"),"#N/A")</f>
        <v>#N/A</v>
      </c>
      <c r="H39032" s="4" t="str">
        <v/>
      </c>
      <c r="I39032" s="4" t="str">
        <v/>
      </c>
    </row>
    <row r="39033" spans="5:9" ht="16.5" hidden="1">
      <c r="E39033" s="4" t="str">
        <v/>
      </c>
      <c r="F39033" s="102" t="str">
        <f ca="1">IFERROR(__xludf.DUMMYFUNCTION("IMPORTRANGE(H39033,""IDENTITAS UNIT!D9"")"),"#N/A")</f>
        <v>#N/A</v>
      </c>
      <c r="H39033" s="4" t="str">
        <v/>
      </c>
      <c r="I39033" s="4" t="str">
        <v/>
      </c>
    </row>
    <row r="39034" spans="5:9" ht="16.5" hidden="1">
      <c r="E39034" s="4" t="str">
        <v/>
      </c>
      <c r="F39034" s="102" t="str">
        <f ca="1">IFERROR(__xludf.DUMMYFUNCTION("IMPORTRANGE(H39034,""IDENTITAS UNIT!D9"")"),"#N/A")</f>
        <v>#N/A</v>
      </c>
      <c r="H39034" s="4" t="str">
        <v/>
      </c>
      <c r="I39034" s="4" t="str">
        <v/>
      </c>
    </row>
    <row r="39035" spans="5:9" ht="16.5" hidden="1">
      <c r="E39035" s="4" t="str">
        <v/>
      </c>
      <c r="F39035" s="102" t="str">
        <f ca="1">IFERROR(__xludf.DUMMYFUNCTION("IMPORTRANGE(H39035,""IDENTITAS UNIT!D9"")"),"#N/A")</f>
        <v>#N/A</v>
      </c>
      <c r="H39035" s="4" t="str">
        <v/>
      </c>
      <c r="I39035" s="4" t="str">
        <v/>
      </c>
    </row>
    <row r="39036" spans="5:9" ht="16.5" hidden="1">
      <c r="E39036" s="4" t="str">
        <v/>
      </c>
      <c r="F39036" s="102" t="str">
        <f ca="1">IFERROR(__xludf.DUMMYFUNCTION("IMPORTRANGE(H39036,""IDENTITAS UNIT!D9"")"),"#N/A")</f>
        <v>#N/A</v>
      </c>
      <c r="H39036" s="4" t="str">
        <v/>
      </c>
      <c r="I39036" s="4" t="str">
        <v/>
      </c>
    </row>
    <row r="39037" spans="5:9" ht="16.5" hidden="1">
      <c r="E39037" s="4" t="str">
        <v/>
      </c>
      <c r="F39037" s="102" t="str">
        <f ca="1">IFERROR(__xludf.DUMMYFUNCTION("IMPORTRANGE(H39037,""IDENTITAS UNIT!D9"")"),"#N/A")</f>
        <v>#N/A</v>
      </c>
      <c r="H39037" s="4" t="str">
        <v/>
      </c>
      <c r="I39037" s="4" t="str">
        <v/>
      </c>
    </row>
    <row r="39038" spans="5:9" ht="16.5" hidden="1">
      <c r="E39038" s="4" t="str">
        <v/>
      </c>
      <c r="F39038" s="102" t="str">
        <f ca="1">IFERROR(__xludf.DUMMYFUNCTION("IMPORTRANGE(H39038,""IDENTITAS UNIT!D9"")"),"#N/A")</f>
        <v>#N/A</v>
      </c>
      <c r="H39038" s="4" t="str">
        <v/>
      </c>
      <c r="I39038" s="4" t="str">
        <v/>
      </c>
    </row>
    <row r="39039" spans="5:9" ht="16.5" hidden="1">
      <c r="E39039" s="4" t="str">
        <v/>
      </c>
      <c r="F39039" s="102" t="str">
        <f ca="1">IFERROR(__xludf.DUMMYFUNCTION("IMPORTRANGE(H39039,""IDENTITAS UNIT!D9"")"),"#N/A")</f>
        <v>#N/A</v>
      </c>
      <c r="H39039" s="4" t="str">
        <v/>
      </c>
      <c r="I39039" s="4" t="str">
        <v/>
      </c>
    </row>
    <row r="39040" spans="5:9" ht="16.5" hidden="1">
      <c r="E39040" s="4" t="str">
        <v/>
      </c>
      <c r="F39040" s="102" t="str">
        <f ca="1">IFERROR(__xludf.DUMMYFUNCTION("IMPORTRANGE(H39040,""IDENTITAS UNIT!D9"")"),"#N/A")</f>
        <v>#N/A</v>
      </c>
      <c r="H39040" s="4" t="str">
        <v/>
      </c>
      <c r="I39040" s="4" t="str">
        <v/>
      </c>
    </row>
    <row r="39041" spans="5:9" ht="16.5" hidden="1">
      <c r="E39041" s="4" t="str">
        <v/>
      </c>
      <c r="F39041" s="102" t="str">
        <f ca="1">IFERROR(__xludf.DUMMYFUNCTION("IMPORTRANGE(H39041,""IDENTITAS UNIT!D9"")"),"#N/A")</f>
        <v>#N/A</v>
      </c>
      <c r="H39041" s="4" t="str">
        <v/>
      </c>
      <c r="I39041" s="4" t="str">
        <v/>
      </c>
    </row>
    <row r="39042" spans="5:9" ht="16.5" hidden="1">
      <c r="E39042" s="4" t="str">
        <v/>
      </c>
      <c r="F39042" s="102" t="str">
        <f ca="1">IFERROR(__xludf.DUMMYFUNCTION("IMPORTRANGE(H39042,""IDENTITAS UNIT!D9"")"),"#N/A")</f>
        <v>#N/A</v>
      </c>
      <c r="H39042" s="4" t="str">
        <v/>
      </c>
      <c r="I39042" s="4" t="str">
        <v/>
      </c>
    </row>
    <row r="39043" spans="5:9" ht="16.5" hidden="1">
      <c r="E39043" s="4" t="str">
        <v/>
      </c>
      <c r="F39043" s="102" t="str">
        <f ca="1">IFERROR(__xludf.DUMMYFUNCTION("IMPORTRANGE(H39043,""IDENTITAS UNIT!D9"")"),"#N/A")</f>
        <v>#N/A</v>
      </c>
      <c r="H39043" s="4" t="str">
        <v/>
      </c>
      <c r="I39043" s="4" t="str">
        <v/>
      </c>
    </row>
    <row r="39044" spans="5:9" ht="16.5" hidden="1">
      <c r="E39044" s="4" t="str">
        <v/>
      </c>
      <c r="F39044" s="102" t="str">
        <f ca="1">IFERROR(__xludf.DUMMYFUNCTION("IMPORTRANGE(H39044,""IDENTITAS UNIT!D9"")"),"#N/A")</f>
        <v>#N/A</v>
      </c>
      <c r="H39044" s="4" t="str">
        <v/>
      </c>
      <c r="I39044" s="4" t="str">
        <v/>
      </c>
    </row>
    <row r="39045" spans="5:9" ht="16.5" hidden="1">
      <c r="E39045" s="4" t="str">
        <v/>
      </c>
      <c r="F39045" s="102" t="str">
        <f ca="1">IFERROR(__xludf.DUMMYFUNCTION("IMPORTRANGE(H39045,""IDENTITAS UNIT!D9"")"),"#N/A")</f>
        <v>#N/A</v>
      </c>
      <c r="H39045" s="4" t="str">
        <v/>
      </c>
      <c r="I39045" s="4" t="str">
        <v/>
      </c>
    </row>
    <row r="39046" spans="5:9" ht="16.5" hidden="1">
      <c r="E39046" s="4" t="str">
        <v/>
      </c>
      <c r="F39046" s="102" t="str">
        <f ca="1">IFERROR(__xludf.DUMMYFUNCTION("IMPORTRANGE(H39046,""IDENTITAS UNIT!D9"")"),"#N/A")</f>
        <v>#N/A</v>
      </c>
      <c r="H39046" s="4" t="str">
        <v/>
      </c>
      <c r="I39046" s="4" t="str">
        <v/>
      </c>
    </row>
    <row r="39047" spans="5:9" ht="16.5" hidden="1">
      <c r="E39047" s="4" t="str">
        <v/>
      </c>
      <c r="F39047" s="102" t="str">
        <f ca="1">IFERROR(__xludf.DUMMYFUNCTION("IMPORTRANGE(H39047,""IDENTITAS UNIT!D9"")"),"#N/A")</f>
        <v>#N/A</v>
      </c>
      <c r="H39047" s="4" t="str">
        <v/>
      </c>
      <c r="I39047" s="4" t="str">
        <v/>
      </c>
    </row>
    <row r="39048" spans="5:9" ht="16.5" hidden="1">
      <c r="E39048" s="4" t="str">
        <v/>
      </c>
      <c r="F39048" s="102" t="str">
        <f ca="1">IFERROR(__xludf.DUMMYFUNCTION("IMPORTRANGE(H39048,""IDENTITAS UNIT!D9"")"),"#N/A")</f>
        <v>#N/A</v>
      </c>
      <c r="H39048" s="4" t="str">
        <v/>
      </c>
      <c r="I39048" s="4" t="str">
        <v/>
      </c>
    </row>
    <row r="39049" spans="5:9" ht="16.5" hidden="1">
      <c r="E39049" s="4" t="str">
        <v/>
      </c>
      <c r="F39049" s="102" t="str">
        <f ca="1">IFERROR(__xludf.DUMMYFUNCTION("IMPORTRANGE(H39049,""IDENTITAS UNIT!D9"")"),"#N/A")</f>
        <v>#N/A</v>
      </c>
      <c r="H39049" s="4" t="str">
        <v/>
      </c>
      <c r="I39049" s="4" t="str">
        <v/>
      </c>
    </row>
    <row r="39050" spans="5:9" ht="16.5" hidden="1">
      <c r="E39050" s="4" t="str">
        <v/>
      </c>
      <c r="F39050" s="102" t="str">
        <f ca="1">IFERROR(__xludf.DUMMYFUNCTION("IMPORTRANGE(H39050,""IDENTITAS UNIT!D9"")"),"#N/A")</f>
        <v>#N/A</v>
      </c>
      <c r="H39050" s="4" t="str">
        <v/>
      </c>
      <c r="I39050" s="4" t="str">
        <v/>
      </c>
    </row>
    <row r="39051" spans="5:9" ht="16.5" hidden="1">
      <c r="E39051" s="4" t="str">
        <v/>
      </c>
      <c r="F39051" s="102" t="str">
        <f ca="1">IFERROR(__xludf.DUMMYFUNCTION("IMPORTRANGE(H39051,""IDENTITAS UNIT!D9"")"),"#N/A")</f>
        <v>#N/A</v>
      </c>
      <c r="H39051" s="4" t="str">
        <v/>
      </c>
      <c r="I39051" s="4" t="str">
        <v/>
      </c>
    </row>
    <row r="39052" spans="5:9" ht="16.5" hidden="1">
      <c r="E39052" s="4" t="str">
        <v/>
      </c>
      <c r="F39052" s="102" t="str">
        <f ca="1">IFERROR(__xludf.DUMMYFUNCTION("IMPORTRANGE(H39052,""IDENTITAS UNIT!D9"")"),"#N/A")</f>
        <v>#N/A</v>
      </c>
      <c r="H39052" s="4" t="str">
        <v/>
      </c>
      <c r="I39052" s="4" t="str">
        <v/>
      </c>
    </row>
    <row r="39053" spans="5:9" ht="16.5" hidden="1">
      <c r="E39053" s="4" t="str">
        <v/>
      </c>
      <c r="F39053" s="102" t="str">
        <f ca="1">IFERROR(__xludf.DUMMYFUNCTION("IMPORTRANGE(H39053,""IDENTITAS UNIT!D9"")"),"#N/A")</f>
        <v>#N/A</v>
      </c>
      <c r="H39053" s="4" t="str">
        <v/>
      </c>
      <c r="I39053" s="4" t="str">
        <v/>
      </c>
    </row>
    <row r="39054" spans="5:9" ht="16.5" hidden="1">
      <c r="E39054" s="4" t="str">
        <v/>
      </c>
      <c r="F39054" s="102" t="str">
        <f ca="1">IFERROR(__xludf.DUMMYFUNCTION("IMPORTRANGE(H39054,""IDENTITAS UNIT!D9"")"),"#N/A")</f>
        <v>#N/A</v>
      </c>
      <c r="H39054" s="4" t="str">
        <v/>
      </c>
      <c r="I39054" s="4" t="str">
        <v/>
      </c>
    </row>
    <row r="39055" spans="5:9" ht="16.5" hidden="1">
      <c r="E39055" s="4" t="str">
        <v/>
      </c>
      <c r="F39055" s="102" t="str">
        <f ca="1">IFERROR(__xludf.DUMMYFUNCTION("IMPORTRANGE(H39055,""IDENTITAS UNIT!D9"")"),"#N/A")</f>
        <v>#N/A</v>
      </c>
      <c r="H39055" s="4" t="str">
        <v/>
      </c>
      <c r="I39055" s="4" t="str">
        <v/>
      </c>
    </row>
    <row r="39056" spans="5:9" ht="16.5" hidden="1">
      <c r="E39056" s="4" t="str">
        <v/>
      </c>
      <c r="F39056" s="102" t="str">
        <f ca="1">IFERROR(__xludf.DUMMYFUNCTION("IMPORTRANGE(H39056,""IDENTITAS UNIT!D9"")"),"#N/A")</f>
        <v>#N/A</v>
      </c>
      <c r="H39056" s="4" t="str">
        <v/>
      </c>
      <c r="I39056" s="4" t="str">
        <v/>
      </c>
    </row>
    <row r="39057" spans="5:9" ht="16.5" hidden="1">
      <c r="E39057" s="4" t="str">
        <v/>
      </c>
      <c r="F39057" s="102" t="str">
        <f ca="1">IFERROR(__xludf.DUMMYFUNCTION("IMPORTRANGE(H39057,""IDENTITAS UNIT!D9"")"),"#N/A")</f>
        <v>#N/A</v>
      </c>
      <c r="H39057" s="4" t="str">
        <v/>
      </c>
      <c r="I39057" s="4" t="str">
        <v/>
      </c>
    </row>
    <row r="39058" spans="5:9" ht="16.5" hidden="1">
      <c r="E39058" s="4" t="str">
        <v/>
      </c>
      <c r="F39058" s="102" t="str">
        <f ca="1">IFERROR(__xludf.DUMMYFUNCTION("IMPORTRANGE(H39058,""IDENTITAS UNIT!D9"")"),"#N/A")</f>
        <v>#N/A</v>
      </c>
      <c r="H39058" s="4" t="str">
        <v/>
      </c>
      <c r="I39058" s="4" t="str">
        <v/>
      </c>
    </row>
    <row r="39059" spans="5:9" ht="16.5" hidden="1">
      <c r="E39059" s="4" t="str">
        <v/>
      </c>
      <c r="F39059" s="102" t="str">
        <f ca="1">IFERROR(__xludf.DUMMYFUNCTION("IMPORTRANGE(H39059,""IDENTITAS UNIT!D9"")"),"#N/A")</f>
        <v>#N/A</v>
      </c>
      <c r="H39059" s="4" t="str">
        <v/>
      </c>
      <c r="I39059" s="4" t="str">
        <v/>
      </c>
    </row>
    <row r="39060" spans="5:9" ht="16.5" hidden="1">
      <c r="E39060" s="4" t="str">
        <v/>
      </c>
      <c r="F39060" s="102" t="str">
        <f ca="1">IFERROR(__xludf.DUMMYFUNCTION("IMPORTRANGE(H39060,""IDENTITAS UNIT!D9"")"),"#N/A")</f>
        <v>#N/A</v>
      </c>
      <c r="H39060" s="4" t="str">
        <v/>
      </c>
      <c r="I39060" s="4" t="str">
        <v/>
      </c>
    </row>
    <row r="39061" spans="5:9" ht="16.5" hidden="1">
      <c r="E39061" s="4" t="str">
        <v/>
      </c>
      <c r="F39061" s="102" t="str">
        <f ca="1">IFERROR(__xludf.DUMMYFUNCTION("IMPORTRANGE(H39061,""IDENTITAS UNIT!D9"")"),"#N/A")</f>
        <v>#N/A</v>
      </c>
      <c r="H39061" s="4" t="str">
        <v/>
      </c>
      <c r="I39061" s="4" t="str">
        <v/>
      </c>
    </row>
    <row r="39062" spans="5:9" ht="16.5" hidden="1">
      <c r="E39062" s="4" t="str">
        <v/>
      </c>
      <c r="F39062" s="102" t="str">
        <f ca="1">IFERROR(__xludf.DUMMYFUNCTION("IMPORTRANGE(H39062,""IDENTITAS UNIT!D9"")"),"#N/A")</f>
        <v>#N/A</v>
      </c>
      <c r="H39062" s="4" t="str">
        <v/>
      </c>
      <c r="I39062" s="4" t="str">
        <v/>
      </c>
    </row>
    <row r="39063" spans="5:9" ht="16.5" hidden="1">
      <c r="E39063" s="4" t="str">
        <v/>
      </c>
      <c r="F39063" s="102" t="str">
        <f ca="1">IFERROR(__xludf.DUMMYFUNCTION("IMPORTRANGE(H39063,""IDENTITAS UNIT!D9"")"),"#N/A")</f>
        <v>#N/A</v>
      </c>
      <c r="H39063" s="4" t="str">
        <v/>
      </c>
      <c r="I39063" s="4" t="str">
        <v/>
      </c>
    </row>
    <row r="39064" spans="5:9" ht="16.5" hidden="1">
      <c r="E39064" s="4" t="str">
        <v/>
      </c>
      <c r="F39064" s="102" t="str">
        <f ca="1">IFERROR(__xludf.DUMMYFUNCTION("IMPORTRANGE(H39064,""IDENTITAS UNIT!D9"")"),"#N/A")</f>
        <v>#N/A</v>
      </c>
      <c r="H39064" s="4" t="str">
        <v/>
      </c>
      <c r="I39064" s="4" t="str">
        <v/>
      </c>
    </row>
    <row r="39065" spans="5:9" ht="16.5" hidden="1">
      <c r="E39065" s="4" t="str">
        <v/>
      </c>
      <c r="F39065" s="102" t="str">
        <f ca="1">IFERROR(__xludf.DUMMYFUNCTION("IMPORTRANGE(H39065,""IDENTITAS UNIT!D9"")"),"#N/A")</f>
        <v>#N/A</v>
      </c>
      <c r="H39065" s="4" t="str">
        <v/>
      </c>
      <c r="I39065" s="4" t="str">
        <v/>
      </c>
    </row>
    <row r="39066" spans="5:9" ht="16.5" hidden="1">
      <c r="E39066" s="4" t="str">
        <v/>
      </c>
      <c r="F39066" s="102" t="str">
        <f ca="1">IFERROR(__xludf.DUMMYFUNCTION("IMPORTRANGE(H39066,""IDENTITAS UNIT!D9"")"),"#N/A")</f>
        <v>#N/A</v>
      </c>
      <c r="H39066" s="4" t="str">
        <v/>
      </c>
      <c r="I39066" s="4" t="str">
        <v/>
      </c>
    </row>
    <row r="39067" spans="5:9" ht="16.5" hidden="1">
      <c r="E39067" s="4" t="str">
        <v/>
      </c>
      <c r="F39067" s="102" t="str">
        <f ca="1">IFERROR(__xludf.DUMMYFUNCTION("IMPORTRANGE(H39067,""IDENTITAS UNIT!D9"")"),"#N/A")</f>
        <v>#N/A</v>
      </c>
      <c r="H39067" s="4" t="str">
        <v/>
      </c>
      <c r="I39067" s="4" t="str">
        <v/>
      </c>
    </row>
    <row r="39068" spans="5:9" ht="16.5" hidden="1">
      <c r="E39068" s="4" t="str">
        <v/>
      </c>
      <c r="F39068" s="102" t="str">
        <f ca="1">IFERROR(__xludf.DUMMYFUNCTION("IMPORTRANGE(H39068,""IDENTITAS UNIT!D9"")"),"#N/A")</f>
        <v>#N/A</v>
      </c>
      <c r="H39068" s="4" t="str">
        <v/>
      </c>
      <c r="I39068" s="4" t="str">
        <v/>
      </c>
    </row>
    <row r="39069" spans="5:9" ht="16.5" hidden="1">
      <c r="E39069" s="4" t="str">
        <v/>
      </c>
      <c r="F39069" s="102" t="str">
        <f ca="1">IFERROR(__xludf.DUMMYFUNCTION("IMPORTRANGE(H39069,""IDENTITAS UNIT!D9"")"),"#N/A")</f>
        <v>#N/A</v>
      </c>
      <c r="H39069" s="4" t="str">
        <v/>
      </c>
      <c r="I39069" s="4" t="str">
        <v/>
      </c>
    </row>
    <row r="39070" spans="5:9" ht="16.5" hidden="1">
      <c r="E39070" s="4" t="str">
        <v/>
      </c>
      <c r="F39070" s="102" t="str">
        <f ca="1">IFERROR(__xludf.DUMMYFUNCTION("IMPORTRANGE(H39070,""IDENTITAS UNIT!D9"")"),"#N/A")</f>
        <v>#N/A</v>
      </c>
      <c r="H39070" s="4" t="str">
        <v/>
      </c>
      <c r="I39070" s="4" t="str">
        <v/>
      </c>
    </row>
    <row r="39071" spans="5:9" ht="16.5" hidden="1">
      <c r="E39071" s="4" t="str">
        <v/>
      </c>
      <c r="F39071" s="102" t="str">
        <f ca="1">IFERROR(__xludf.DUMMYFUNCTION("IMPORTRANGE(H39071,""IDENTITAS UNIT!D9"")"),"#N/A")</f>
        <v>#N/A</v>
      </c>
      <c r="H39071" s="4" t="str">
        <v/>
      </c>
      <c r="I39071" s="4" t="str">
        <v/>
      </c>
    </row>
    <row r="39072" spans="5:9" ht="16.5" hidden="1">
      <c r="E39072" s="4" t="str">
        <v/>
      </c>
      <c r="F39072" s="102" t="str">
        <f ca="1">IFERROR(__xludf.DUMMYFUNCTION("IMPORTRANGE(H39072,""IDENTITAS UNIT!D9"")"),"#N/A")</f>
        <v>#N/A</v>
      </c>
      <c r="H39072" s="4" t="str">
        <v/>
      </c>
      <c r="I39072" s="4" t="str">
        <v/>
      </c>
    </row>
    <row r="39073" spans="5:9" ht="16.5" hidden="1">
      <c r="E39073" s="4" t="str">
        <v/>
      </c>
      <c r="F39073" s="102" t="str">
        <f ca="1">IFERROR(__xludf.DUMMYFUNCTION("IMPORTRANGE(H39073,""IDENTITAS UNIT!D9"")"),"#N/A")</f>
        <v>#N/A</v>
      </c>
      <c r="H39073" s="4" t="str">
        <v/>
      </c>
      <c r="I39073" s="4" t="str">
        <v/>
      </c>
    </row>
    <row r="39074" spans="5:9" ht="16.5" hidden="1">
      <c r="E39074" s="4" t="str">
        <v/>
      </c>
      <c r="F39074" s="102" t="str">
        <f ca="1">IFERROR(__xludf.DUMMYFUNCTION("IMPORTRANGE(H39074,""IDENTITAS UNIT!D9"")"),"#N/A")</f>
        <v>#N/A</v>
      </c>
      <c r="H39074" s="4" t="str">
        <v/>
      </c>
      <c r="I39074" s="4" t="str">
        <v/>
      </c>
    </row>
    <row r="39075" spans="5:9" ht="16.5" hidden="1">
      <c r="E39075" s="4" t="str">
        <v/>
      </c>
      <c r="F39075" s="102" t="str">
        <f ca="1">IFERROR(__xludf.DUMMYFUNCTION("IMPORTRANGE(H39075,""IDENTITAS UNIT!D9"")"),"#N/A")</f>
        <v>#N/A</v>
      </c>
      <c r="H39075" s="4" t="str">
        <v/>
      </c>
      <c r="I39075" s="4" t="str">
        <v/>
      </c>
    </row>
    <row r="39076" spans="5:9" ht="16.5" hidden="1">
      <c r="E39076" s="4" t="str">
        <v/>
      </c>
      <c r="F39076" s="102" t="str">
        <f ca="1">IFERROR(__xludf.DUMMYFUNCTION("IMPORTRANGE(H39076,""IDENTITAS UNIT!D9"")"),"#N/A")</f>
        <v>#N/A</v>
      </c>
      <c r="H39076" s="4" t="str">
        <v/>
      </c>
      <c r="I39076" s="4" t="str">
        <v/>
      </c>
    </row>
    <row r="39077" spans="5:9" ht="16.5" hidden="1">
      <c r="E39077" s="4" t="str">
        <v/>
      </c>
      <c r="F39077" s="102" t="str">
        <f ca="1">IFERROR(__xludf.DUMMYFUNCTION("IMPORTRANGE(H39077,""IDENTITAS UNIT!D9"")"),"#N/A")</f>
        <v>#N/A</v>
      </c>
      <c r="H39077" s="4" t="str">
        <v/>
      </c>
      <c r="I39077" s="4" t="str">
        <v/>
      </c>
    </row>
    <row r="39078" spans="5:9" ht="16.5" hidden="1">
      <c r="E39078" s="4" t="str">
        <v/>
      </c>
      <c r="F39078" s="102" t="str">
        <f ca="1">IFERROR(__xludf.DUMMYFUNCTION("IMPORTRANGE(H39078,""IDENTITAS UNIT!D9"")"),"#N/A")</f>
        <v>#N/A</v>
      </c>
      <c r="H39078" s="4" t="str">
        <v/>
      </c>
      <c r="I39078" s="4" t="str">
        <v/>
      </c>
    </row>
    <row r="39079" spans="5:9" ht="16.5" hidden="1">
      <c r="E39079" s="4" t="str">
        <v/>
      </c>
      <c r="F39079" s="102" t="str">
        <f ca="1">IFERROR(__xludf.DUMMYFUNCTION("IMPORTRANGE(H39079,""IDENTITAS UNIT!D9"")"),"#N/A")</f>
        <v>#N/A</v>
      </c>
      <c r="H39079" s="4" t="str">
        <v/>
      </c>
      <c r="I39079" s="4" t="str">
        <v/>
      </c>
    </row>
    <row r="39080" spans="5:9" ht="16.5" hidden="1">
      <c r="E39080" s="4" t="str">
        <v/>
      </c>
      <c r="F39080" s="102" t="str">
        <f ca="1">IFERROR(__xludf.DUMMYFUNCTION("IMPORTRANGE(H39080,""IDENTITAS UNIT!D9"")"),"#N/A")</f>
        <v>#N/A</v>
      </c>
      <c r="H39080" s="4" t="str">
        <v/>
      </c>
      <c r="I39080" s="4" t="str">
        <v/>
      </c>
    </row>
    <row r="39081" spans="5:9" ht="16.5" hidden="1">
      <c r="E39081" s="4" t="str">
        <v/>
      </c>
      <c r="F39081" s="102" t="str">
        <f ca="1">IFERROR(__xludf.DUMMYFUNCTION("IMPORTRANGE(H39081,""IDENTITAS UNIT!D9"")"),"#N/A")</f>
        <v>#N/A</v>
      </c>
      <c r="H39081" s="4" t="str">
        <v/>
      </c>
      <c r="I39081" s="4" t="str">
        <v/>
      </c>
    </row>
    <row r="39082" spans="5:9" ht="16.5" hidden="1">
      <c r="E39082" s="4" t="str">
        <v/>
      </c>
      <c r="F39082" s="102" t="str">
        <f ca="1">IFERROR(__xludf.DUMMYFUNCTION("IMPORTRANGE(H39082,""IDENTITAS UNIT!D9"")"),"#N/A")</f>
        <v>#N/A</v>
      </c>
      <c r="H39082" s="4" t="str">
        <v/>
      </c>
      <c r="I39082" s="4" t="str">
        <v/>
      </c>
    </row>
    <row r="39083" spans="5:9" ht="16.5" hidden="1">
      <c r="E39083" s="4" t="str">
        <v/>
      </c>
      <c r="F39083" s="102" t="str">
        <f ca="1">IFERROR(__xludf.DUMMYFUNCTION("IMPORTRANGE(H39083,""IDENTITAS UNIT!D9"")"),"#N/A")</f>
        <v>#N/A</v>
      </c>
      <c r="H39083" s="4" t="str">
        <v/>
      </c>
      <c r="I39083" s="4" t="str">
        <v/>
      </c>
    </row>
    <row r="39084" spans="5:9" ht="16.5" hidden="1">
      <c r="E39084" s="4" t="str">
        <v/>
      </c>
      <c r="F39084" s="102" t="str">
        <f ca="1">IFERROR(__xludf.DUMMYFUNCTION("IMPORTRANGE(H39084,""IDENTITAS UNIT!D9"")"),"#N/A")</f>
        <v>#N/A</v>
      </c>
      <c r="H39084" s="4" t="str">
        <v/>
      </c>
      <c r="I39084" s="4" t="str">
        <v/>
      </c>
    </row>
    <row r="39085" spans="5:9" ht="16.5" hidden="1">
      <c r="E39085" s="4" t="str">
        <v/>
      </c>
      <c r="F39085" s="102" t="str">
        <f ca="1">IFERROR(__xludf.DUMMYFUNCTION("IMPORTRANGE(H39085,""IDENTITAS UNIT!D9"")"),"#N/A")</f>
        <v>#N/A</v>
      </c>
      <c r="H39085" s="4" t="str">
        <v/>
      </c>
      <c r="I39085" s="4" t="str">
        <v/>
      </c>
    </row>
    <row r="39086" spans="5:9" ht="16.5" hidden="1">
      <c r="E39086" s="4" t="str">
        <v/>
      </c>
      <c r="F39086" s="102" t="str">
        <f ca="1">IFERROR(__xludf.DUMMYFUNCTION("IMPORTRANGE(H39086,""IDENTITAS UNIT!D9"")"),"#N/A")</f>
        <v>#N/A</v>
      </c>
      <c r="H39086" s="4" t="str">
        <v/>
      </c>
      <c r="I39086" s="4" t="str">
        <v/>
      </c>
    </row>
    <row r="39087" spans="5:9" ht="16.5" hidden="1">
      <c r="E39087" s="4" t="str">
        <v/>
      </c>
      <c r="F39087" s="102" t="str">
        <f ca="1">IFERROR(__xludf.DUMMYFUNCTION("IMPORTRANGE(H39087,""IDENTITAS UNIT!D9"")"),"#N/A")</f>
        <v>#N/A</v>
      </c>
      <c r="H39087" s="4" t="str">
        <v/>
      </c>
      <c r="I39087" s="4" t="str">
        <v/>
      </c>
    </row>
    <row r="39088" spans="5:9" ht="16.5" hidden="1">
      <c r="E39088" s="4" t="str">
        <v/>
      </c>
      <c r="F39088" s="102" t="str">
        <f ca="1">IFERROR(__xludf.DUMMYFUNCTION("IMPORTRANGE(H39088,""IDENTITAS UNIT!D9"")"),"#N/A")</f>
        <v>#N/A</v>
      </c>
      <c r="H39088" s="4" t="str">
        <v/>
      </c>
      <c r="I39088" s="4" t="str">
        <v/>
      </c>
    </row>
    <row r="39089" spans="5:9" ht="16.5" hidden="1">
      <c r="E39089" s="4" t="str">
        <v/>
      </c>
      <c r="F39089" s="102" t="str">
        <f ca="1">IFERROR(__xludf.DUMMYFUNCTION("IMPORTRANGE(H39089,""IDENTITAS UNIT!D9"")"),"#N/A")</f>
        <v>#N/A</v>
      </c>
      <c r="H39089" s="4" t="str">
        <v/>
      </c>
      <c r="I39089" s="4" t="str">
        <v/>
      </c>
    </row>
    <row r="39090" spans="5:9" ht="16.5" hidden="1">
      <c r="E39090" s="4" t="str">
        <v/>
      </c>
      <c r="F39090" s="102" t="str">
        <f ca="1">IFERROR(__xludf.DUMMYFUNCTION("IMPORTRANGE(H39090,""IDENTITAS UNIT!D9"")"),"#N/A")</f>
        <v>#N/A</v>
      </c>
      <c r="H39090" s="4" t="str">
        <v/>
      </c>
      <c r="I39090" s="4" t="str">
        <v/>
      </c>
    </row>
    <row r="39091" spans="5:9" ht="16.5" hidden="1">
      <c r="E39091" s="4" t="str">
        <v/>
      </c>
      <c r="F39091" s="102" t="str">
        <f ca="1">IFERROR(__xludf.DUMMYFUNCTION("IMPORTRANGE(H39091,""IDENTITAS UNIT!D9"")"),"#N/A")</f>
        <v>#N/A</v>
      </c>
      <c r="H39091" s="4" t="str">
        <v/>
      </c>
      <c r="I39091" s="4" t="str">
        <v/>
      </c>
    </row>
    <row r="39092" spans="5:9" ht="16.5" hidden="1">
      <c r="E39092" s="4" t="str">
        <v/>
      </c>
      <c r="F39092" s="102" t="str">
        <f ca="1">IFERROR(__xludf.DUMMYFUNCTION("IMPORTRANGE(H39092,""IDENTITAS UNIT!D9"")"),"#N/A")</f>
        <v>#N/A</v>
      </c>
      <c r="H39092" s="4" t="str">
        <v/>
      </c>
      <c r="I39092" s="4" t="str">
        <v/>
      </c>
    </row>
    <row r="39093" spans="5:9" ht="16.5" hidden="1">
      <c r="E39093" s="4" t="str">
        <v/>
      </c>
      <c r="F39093" s="102" t="str">
        <f ca="1">IFERROR(__xludf.DUMMYFUNCTION("IMPORTRANGE(H39093,""IDENTITAS UNIT!D9"")"),"#N/A")</f>
        <v>#N/A</v>
      </c>
      <c r="H39093" s="4" t="str">
        <v/>
      </c>
      <c r="I39093" s="4" t="str">
        <v/>
      </c>
    </row>
    <row r="39094" spans="5:9" ht="16.5" hidden="1">
      <c r="E39094" s="4" t="str">
        <v/>
      </c>
      <c r="F39094" s="102" t="str">
        <f ca="1">IFERROR(__xludf.DUMMYFUNCTION("IMPORTRANGE(H39094,""IDENTITAS UNIT!D9"")"),"#N/A")</f>
        <v>#N/A</v>
      </c>
      <c r="H39094" s="4" t="str">
        <v/>
      </c>
      <c r="I39094" s="4" t="str">
        <v/>
      </c>
    </row>
    <row r="39095" spans="5:9" ht="16.5" hidden="1">
      <c r="E39095" s="4" t="str">
        <v/>
      </c>
      <c r="F39095" s="102" t="str">
        <f ca="1">IFERROR(__xludf.DUMMYFUNCTION("IMPORTRANGE(H39095,""IDENTITAS UNIT!D9"")"),"#N/A")</f>
        <v>#N/A</v>
      </c>
      <c r="H39095" s="4" t="str">
        <v/>
      </c>
      <c r="I39095" s="4" t="str">
        <v/>
      </c>
    </row>
    <row r="39096" spans="5:9" ht="16.5" hidden="1">
      <c r="E39096" s="4" t="str">
        <v/>
      </c>
      <c r="F39096" s="102" t="str">
        <f ca="1">IFERROR(__xludf.DUMMYFUNCTION("IMPORTRANGE(H39096,""IDENTITAS UNIT!D9"")"),"#N/A")</f>
        <v>#N/A</v>
      </c>
      <c r="H39096" s="4" t="str">
        <v/>
      </c>
      <c r="I39096" s="4" t="str">
        <v/>
      </c>
    </row>
    <row r="39097" spans="5:9" ht="16.5" hidden="1">
      <c r="E39097" s="4" t="str">
        <v/>
      </c>
      <c r="F39097" s="102" t="str">
        <f ca="1">IFERROR(__xludf.DUMMYFUNCTION("IMPORTRANGE(H39097,""IDENTITAS UNIT!D9"")"),"#N/A")</f>
        <v>#N/A</v>
      </c>
      <c r="H39097" s="4" t="str">
        <v/>
      </c>
      <c r="I39097" s="4" t="str">
        <v/>
      </c>
    </row>
    <row r="39098" spans="5:9" ht="16.5" hidden="1">
      <c r="E39098" s="4" t="str">
        <v/>
      </c>
      <c r="F39098" s="102" t="str">
        <f ca="1">IFERROR(__xludf.DUMMYFUNCTION("IMPORTRANGE(H39098,""IDENTITAS UNIT!D9"")"),"#N/A")</f>
        <v>#N/A</v>
      </c>
      <c r="H39098" s="4" t="str">
        <v/>
      </c>
      <c r="I39098" s="4" t="str">
        <v/>
      </c>
    </row>
    <row r="39099" spans="5:9" ht="16.5" hidden="1">
      <c r="E39099" s="4" t="str">
        <v/>
      </c>
      <c r="F39099" s="102" t="str">
        <f ca="1">IFERROR(__xludf.DUMMYFUNCTION("IMPORTRANGE(H39099,""IDENTITAS UNIT!D9"")"),"#N/A")</f>
        <v>#N/A</v>
      </c>
      <c r="H39099" s="4" t="str">
        <v/>
      </c>
      <c r="I39099" s="4" t="str">
        <v/>
      </c>
    </row>
    <row r="39100" spans="5:9" ht="16.5" hidden="1">
      <c r="E39100" s="4" t="str">
        <v/>
      </c>
      <c r="F39100" s="102" t="str">
        <f ca="1">IFERROR(__xludf.DUMMYFUNCTION("IMPORTRANGE(H39100,""IDENTITAS UNIT!D9"")"),"#N/A")</f>
        <v>#N/A</v>
      </c>
      <c r="H39100" s="4" t="str">
        <v/>
      </c>
      <c r="I39100" s="4" t="str">
        <v/>
      </c>
    </row>
    <row r="39101" spans="5:9" ht="16.5" hidden="1">
      <c r="E39101" s="4" t="str">
        <v/>
      </c>
      <c r="F39101" s="102" t="str">
        <f ca="1">IFERROR(__xludf.DUMMYFUNCTION("IMPORTRANGE(H39101,""IDENTITAS UNIT!D9"")"),"#N/A")</f>
        <v>#N/A</v>
      </c>
      <c r="H39101" s="4" t="str">
        <v/>
      </c>
      <c r="I39101" s="4" t="str">
        <v/>
      </c>
    </row>
    <row r="39102" spans="5:9" ht="16.5" hidden="1">
      <c r="E39102" s="4" t="str">
        <v/>
      </c>
      <c r="F39102" s="102" t="str">
        <f ca="1">IFERROR(__xludf.DUMMYFUNCTION("IMPORTRANGE(H39102,""IDENTITAS UNIT!D9"")"),"#N/A")</f>
        <v>#N/A</v>
      </c>
      <c r="H39102" s="4" t="str">
        <v/>
      </c>
      <c r="I39102" s="4" t="str">
        <v/>
      </c>
    </row>
    <row r="39103" spans="5:9" ht="16.5" hidden="1">
      <c r="E39103" s="4" t="str">
        <v/>
      </c>
      <c r="F39103" s="102" t="str">
        <f ca="1">IFERROR(__xludf.DUMMYFUNCTION("IMPORTRANGE(H39103,""IDENTITAS UNIT!D9"")"),"#N/A")</f>
        <v>#N/A</v>
      </c>
      <c r="H39103" s="4" t="str">
        <v/>
      </c>
      <c r="I39103" s="4" t="str">
        <v/>
      </c>
    </row>
    <row r="39104" spans="5:9" ht="16.5" hidden="1">
      <c r="E39104" s="4" t="str">
        <v/>
      </c>
      <c r="F39104" s="102" t="str">
        <f ca="1">IFERROR(__xludf.DUMMYFUNCTION("IMPORTRANGE(H39104,""IDENTITAS UNIT!D9"")"),"#N/A")</f>
        <v>#N/A</v>
      </c>
      <c r="H39104" s="4" t="str">
        <v/>
      </c>
      <c r="I39104" s="4" t="str">
        <v/>
      </c>
    </row>
    <row r="39105" spans="5:9" ht="16.5" hidden="1">
      <c r="E39105" s="4" t="str">
        <v/>
      </c>
      <c r="F39105" s="102" t="str">
        <f ca="1">IFERROR(__xludf.DUMMYFUNCTION("IMPORTRANGE(H39105,""IDENTITAS UNIT!D9"")"),"#N/A")</f>
        <v>#N/A</v>
      </c>
      <c r="H39105" s="4" t="str">
        <v/>
      </c>
      <c r="I39105" s="4" t="str">
        <v/>
      </c>
    </row>
    <row r="39106" spans="5:9" ht="16.5" hidden="1">
      <c r="E39106" s="4" t="str">
        <v/>
      </c>
      <c r="F39106" s="102" t="str">
        <f ca="1">IFERROR(__xludf.DUMMYFUNCTION("IMPORTRANGE(H39106,""IDENTITAS UNIT!D9"")"),"#N/A")</f>
        <v>#N/A</v>
      </c>
      <c r="H39106" s="4" t="str">
        <v/>
      </c>
      <c r="I39106" s="4" t="str">
        <v/>
      </c>
    </row>
    <row r="39107" spans="5:9" ht="16.5" hidden="1">
      <c r="E39107" s="4" t="str">
        <v/>
      </c>
      <c r="F39107" s="102" t="str">
        <f ca="1">IFERROR(__xludf.DUMMYFUNCTION("IMPORTRANGE(H39107,""IDENTITAS UNIT!D9"")"),"#N/A")</f>
        <v>#N/A</v>
      </c>
      <c r="H39107" s="4" t="str">
        <v/>
      </c>
      <c r="I39107" s="4" t="str">
        <v/>
      </c>
    </row>
    <row r="39108" spans="5:9" ht="16.5" hidden="1">
      <c r="E39108" s="4" t="str">
        <v/>
      </c>
      <c r="F39108" s="102" t="str">
        <f ca="1">IFERROR(__xludf.DUMMYFUNCTION("IMPORTRANGE(H39108,""IDENTITAS UNIT!D9"")"),"#N/A")</f>
        <v>#N/A</v>
      </c>
      <c r="H39108" s="4" t="str">
        <v/>
      </c>
      <c r="I39108" s="4" t="str">
        <v/>
      </c>
    </row>
    <row r="39109" spans="5:9" ht="16.5" hidden="1">
      <c r="E39109" s="4" t="str">
        <v/>
      </c>
      <c r="F39109" s="102" t="str">
        <f ca="1">IFERROR(__xludf.DUMMYFUNCTION("IMPORTRANGE(H39109,""IDENTITAS UNIT!D9"")"),"#N/A")</f>
        <v>#N/A</v>
      </c>
      <c r="H39109" s="4" t="str">
        <v/>
      </c>
      <c r="I39109" s="4" t="str">
        <v/>
      </c>
    </row>
    <row r="39110" spans="5:9" ht="16.5" hidden="1">
      <c r="E39110" s="4" t="str">
        <v/>
      </c>
      <c r="F39110" s="102" t="str">
        <f ca="1">IFERROR(__xludf.DUMMYFUNCTION("IMPORTRANGE(H39110,""IDENTITAS UNIT!D9"")"),"#N/A")</f>
        <v>#N/A</v>
      </c>
      <c r="H39110" s="4" t="str">
        <v/>
      </c>
      <c r="I39110" s="4" t="str">
        <v/>
      </c>
    </row>
    <row r="39111" spans="5:9" ht="16.5" hidden="1">
      <c r="E39111" s="4" t="str">
        <v/>
      </c>
      <c r="F39111" s="102" t="str">
        <f ca="1">IFERROR(__xludf.DUMMYFUNCTION("IMPORTRANGE(H39111,""IDENTITAS UNIT!D9"")"),"#N/A")</f>
        <v>#N/A</v>
      </c>
      <c r="H39111" s="4" t="str">
        <v/>
      </c>
      <c r="I39111" s="4" t="str">
        <v/>
      </c>
    </row>
    <row r="39112" spans="5:9" ht="16.5" hidden="1">
      <c r="E39112" s="4" t="str">
        <v/>
      </c>
      <c r="F39112" s="102" t="str">
        <f ca="1">IFERROR(__xludf.DUMMYFUNCTION("IMPORTRANGE(H39112,""IDENTITAS UNIT!D9"")"),"#N/A")</f>
        <v>#N/A</v>
      </c>
      <c r="H39112" s="4" t="str">
        <v/>
      </c>
      <c r="I39112" s="4" t="str">
        <v/>
      </c>
    </row>
    <row r="39113" spans="5:9" ht="16.5" hidden="1">
      <c r="E39113" s="4" t="str">
        <v/>
      </c>
      <c r="F39113" s="102" t="str">
        <f ca="1">IFERROR(__xludf.DUMMYFUNCTION("IMPORTRANGE(H39113,""IDENTITAS UNIT!D9"")"),"#N/A")</f>
        <v>#N/A</v>
      </c>
      <c r="H39113" s="4" t="str">
        <v/>
      </c>
      <c r="I39113" s="4" t="str">
        <v/>
      </c>
    </row>
    <row r="39114" spans="5:9" ht="16.5" hidden="1">
      <c r="E39114" s="4" t="str">
        <v/>
      </c>
      <c r="F39114" s="102" t="str">
        <f ca="1">IFERROR(__xludf.DUMMYFUNCTION("IMPORTRANGE(H39114,""IDENTITAS UNIT!D9"")"),"#N/A")</f>
        <v>#N/A</v>
      </c>
      <c r="H39114" s="4" t="str">
        <v/>
      </c>
      <c r="I39114" s="4" t="str">
        <v/>
      </c>
    </row>
    <row r="39115" spans="5:9" ht="16.5" hidden="1">
      <c r="E39115" s="4" t="str">
        <v/>
      </c>
      <c r="F39115" s="102" t="str">
        <f ca="1">IFERROR(__xludf.DUMMYFUNCTION("IMPORTRANGE(H39115,""IDENTITAS UNIT!D9"")"),"#N/A")</f>
        <v>#N/A</v>
      </c>
      <c r="H39115" s="4" t="str">
        <v/>
      </c>
      <c r="I39115" s="4" t="str">
        <v/>
      </c>
    </row>
    <row r="39116" spans="5:9" ht="16.5" hidden="1">
      <c r="E39116" s="4" t="str">
        <v/>
      </c>
      <c r="F39116" s="102" t="str">
        <f ca="1">IFERROR(__xludf.DUMMYFUNCTION("IMPORTRANGE(H39116,""IDENTITAS UNIT!D9"")"),"#N/A")</f>
        <v>#N/A</v>
      </c>
      <c r="H39116" s="4" t="str">
        <v/>
      </c>
      <c r="I39116" s="4" t="str">
        <v/>
      </c>
    </row>
    <row r="39117" spans="5:9" ht="16.5" hidden="1">
      <c r="E39117" s="4" t="str">
        <v/>
      </c>
      <c r="F39117" s="102" t="str">
        <f ca="1">IFERROR(__xludf.DUMMYFUNCTION("IMPORTRANGE(H39117,""IDENTITAS UNIT!D9"")"),"#N/A")</f>
        <v>#N/A</v>
      </c>
      <c r="H39117" s="4" t="str">
        <v/>
      </c>
      <c r="I39117" s="4" t="str">
        <v/>
      </c>
    </row>
    <row r="39118" spans="5:9" ht="16.5" hidden="1">
      <c r="E39118" s="4" t="str">
        <v/>
      </c>
      <c r="F39118" s="102" t="str">
        <f ca="1">IFERROR(__xludf.DUMMYFUNCTION("IMPORTRANGE(H39118,""IDENTITAS UNIT!D9"")"),"#N/A")</f>
        <v>#N/A</v>
      </c>
      <c r="H39118" s="4" t="str">
        <v/>
      </c>
      <c r="I39118" s="4" t="str">
        <v/>
      </c>
    </row>
    <row r="39119" spans="5:9" ht="16.5" hidden="1">
      <c r="E39119" s="4" t="str">
        <v/>
      </c>
      <c r="F39119" s="102" t="str">
        <f ca="1">IFERROR(__xludf.DUMMYFUNCTION("IMPORTRANGE(H39119,""IDENTITAS UNIT!D9"")"),"#N/A")</f>
        <v>#N/A</v>
      </c>
      <c r="H39119" s="4" t="str">
        <v/>
      </c>
      <c r="I39119" s="4" t="str">
        <v/>
      </c>
    </row>
    <row r="39120" spans="5:9" ht="16.5" hidden="1">
      <c r="E39120" s="4" t="str">
        <v/>
      </c>
      <c r="F39120" s="102" t="str">
        <f ca="1">IFERROR(__xludf.DUMMYFUNCTION("IMPORTRANGE(H39120,""IDENTITAS UNIT!D9"")"),"#N/A")</f>
        <v>#N/A</v>
      </c>
      <c r="H39120" s="4" t="str">
        <v/>
      </c>
      <c r="I39120" s="4" t="str">
        <v/>
      </c>
    </row>
    <row r="39121" spans="5:9" ht="16.5" hidden="1">
      <c r="E39121" s="4" t="str">
        <v/>
      </c>
      <c r="F39121" s="102" t="str">
        <f ca="1">IFERROR(__xludf.DUMMYFUNCTION("IMPORTRANGE(H39121,""IDENTITAS UNIT!D9"")"),"#N/A")</f>
        <v>#N/A</v>
      </c>
      <c r="H39121" s="4" t="str">
        <v/>
      </c>
      <c r="I39121" s="4" t="str">
        <v/>
      </c>
    </row>
    <row r="39122" spans="5:9" ht="16.5" hidden="1">
      <c r="E39122" s="4" t="str">
        <v/>
      </c>
      <c r="F39122" s="102" t="str">
        <f ca="1">IFERROR(__xludf.DUMMYFUNCTION("IMPORTRANGE(H39122,""IDENTITAS UNIT!D9"")"),"#N/A")</f>
        <v>#N/A</v>
      </c>
      <c r="H39122" s="4" t="str">
        <v/>
      </c>
      <c r="I39122" s="4" t="str">
        <v/>
      </c>
    </row>
    <row r="39123" spans="5:9" ht="16.5" hidden="1">
      <c r="E39123" s="4" t="str">
        <v/>
      </c>
      <c r="F39123" s="102" t="str">
        <f ca="1">IFERROR(__xludf.DUMMYFUNCTION("IMPORTRANGE(H39123,""IDENTITAS UNIT!D9"")"),"#N/A")</f>
        <v>#N/A</v>
      </c>
      <c r="H39123" s="4" t="str">
        <v/>
      </c>
      <c r="I39123" s="4" t="str">
        <v/>
      </c>
    </row>
    <row r="39124" spans="5:9" ht="16.5" hidden="1">
      <c r="E39124" s="4" t="str">
        <v/>
      </c>
      <c r="F39124" s="102" t="str">
        <f ca="1">IFERROR(__xludf.DUMMYFUNCTION("IMPORTRANGE(H39124,""IDENTITAS UNIT!D9"")"),"#N/A")</f>
        <v>#N/A</v>
      </c>
      <c r="H39124" s="4" t="str">
        <v/>
      </c>
      <c r="I39124" s="4" t="str">
        <v/>
      </c>
    </row>
    <row r="39125" spans="5:9" ht="16.5" hidden="1">
      <c r="E39125" s="4" t="str">
        <v/>
      </c>
      <c r="F39125" s="102" t="str">
        <f ca="1">IFERROR(__xludf.DUMMYFUNCTION("IMPORTRANGE(H39125,""IDENTITAS UNIT!D9"")"),"#N/A")</f>
        <v>#N/A</v>
      </c>
      <c r="H39125" s="4" t="str">
        <v/>
      </c>
      <c r="I39125" s="4" t="str">
        <v/>
      </c>
    </row>
    <row r="39126" spans="5:9" ht="16.5" hidden="1">
      <c r="E39126" s="4" t="str">
        <v/>
      </c>
      <c r="F39126" s="102" t="str">
        <f ca="1">IFERROR(__xludf.DUMMYFUNCTION("IMPORTRANGE(H39126,""IDENTITAS UNIT!D9"")"),"#N/A")</f>
        <v>#N/A</v>
      </c>
      <c r="H39126" s="4" t="str">
        <v/>
      </c>
      <c r="I39126" s="4" t="str">
        <v/>
      </c>
    </row>
    <row r="39127" spans="5:9" ht="16.5" hidden="1">
      <c r="E39127" s="4" t="str">
        <v/>
      </c>
      <c r="F39127" s="102" t="str">
        <f ca="1">IFERROR(__xludf.DUMMYFUNCTION("IMPORTRANGE(H39127,""IDENTITAS UNIT!D9"")"),"#N/A")</f>
        <v>#N/A</v>
      </c>
      <c r="H39127" s="4" t="str">
        <v/>
      </c>
      <c r="I39127" s="4" t="str">
        <v/>
      </c>
    </row>
    <row r="39128" spans="5:9" ht="16.5" hidden="1">
      <c r="E39128" s="4" t="str">
        <v/>
      </c>
      <c r="F39128" s="102" t="str">
        <f ca="1">IFERROR(__xludf.DUMMYFUNCTION("IMPORTRANGE(H39128,""IDENTITAS UNIT!D9"")"),"#N/A")</f>
        <v>#N/A</v>
      </c>
      <c r="H39128" s="4" t="str">
        <v/>
      </c>
      <c r="I39128" s="4" t="str">
        <v/>
      </c>
    </row>
    <row r="39129" spans="5:9" ht="16.5" hidden="1">
      <c r="E39129" s="4" t="str">
        <v/>
      </c>
      <c r="F39129" s="102" t="str">
        <f ca="1">IFERROR(__xludf.DUMMYFUNCTION("IMPORTRANGE(H39129,""IDENTITAS UNIT!D9"")"),"#N/A")</f>
        <v>#N/A</v>
      </c>
      <c r="H39129" s="4" t="str">
        <v/>
      </c>
      <c r="I39129" s="4" t="str">
        <v/>
      </c>
    </row>
    <row r="39130" spans="5:9" ht="16.5" hidden="1">
      <c r="E39130" s="4" t="str">
        <v/>
      </c>
      <c r="F39130" s="102" t="str">
        <f ca="1">IFERROR(__xludf.DUMMYFUNCTION("IMPORTRANGE(H39130,""IDENTITAS UNIT!D9"")"),"#N/A")</f>
        <v>#N/A</v>
      </c>
      <c r="H39130" s="4" t="str">
        <v/>
      </c>
      <c r="I39130" s="4" t="str">
        <v/>
      </c>
    </row>
    <row r="39131" spans="5:9" ht="16.5" hidden="1">
      <c r="E39131" s="4" t="str">
        <v/>
      </c>
      <c r="F39131" s="102" t="str">
        <f ca="1">IFERROR(__xludf.DUMMYFUNCTION("IMPORTRANGE(H39131,""IDENTITAS UNIT!D9"")"),"#N/A")</f>
        <v>#N/A</v>
      </c>
      <c r="H39131" s="4" t="str">
        <v/>
      </c>
      <c r="I39131" s="4" t="str">
        <v/>
      </c>
    </row>
    <row r="39132" spans="5:9" ht="16.5" hidden="1">
      <c r="E39132" s="4" t="str">
        <v/>
      </c>
      <c r="F39132" s="102" t="str">
        <f ca="1">IFERROR(__xludf.DUMMYFUNCTION("IMPORTRANGE(H39132,""IDENTITAS UNIT!D9"")"),"#N/A")</f>
        <v>#N/A</v>
      </c>
      <c r="H39132" s="4" t="str">
        <v/>
      </c>
      <c r="I39132" s="4" t="str">
        <v/>
      </c>
    </row>
    <row r="39133" spans="5:9" ht="16.5" hidden="1">
      <c r="E39133" s="4" t="str">
        <v/>
      </c>
      <c r="F39133" s="102" t="str">
        <f ca="1">IFERROR(__xludf.DUMMYFUNCTION("IMPORTRANGE(H39133,""IDENTITAS UNIT!D9"")"),"#N/A")</f>
        <v>#N/A</v>
      </c>
      <c r="H39133" s="4" t="str">
        <v/>
      </c>
      <c r="I39133" s="4" t="str">
        <v/>
      </c>
    </row>
    <row r="39134" spans="5:9" ht="16.5" hidden="1">
      <c r="E39134" s="4" t="str">
        <v/>
      </c>
      <c r="F39134" s="102" t="str">
        <f ca="1">IFERROR(__xludf.DUMMYFUNCTION("IMPORTRANGE(H39134,""IDENTITAS UNIT!D9"")"),"#N/A")</f>
        <v>#N/A</v>
      </c>
      <c r="H39134" s="4" t="str">
        <v/>
      </c>
      <c r="I39134" s="4" t="str">
        <v/>
      </c>
    </row>
    <row r="39135" spans="5:9" ht="16.5" hidden="1">
      <c r="E39135" s="4" t="str">
        <v/>
      </c>
      <c r="F39135" s="102" t="str">
        <f ca="1">IFERROR(__xludf.DUMMYFUNCTION("IMPORTRANGE(H39135,""IDENTITAS UNIT!D9"")"),"#N/A")</f>
        <v>#N/A</v>
      </c>
      <c r="H39135" s="4" t="str">
        <v/>
      </c>
      <c r="I39135" s="4" t="str">
        <v/>
      </c>
    </row>
    <row r="39136" spans="5:9" ht="16.5" hidden="1">
      <c r="E39136" s="4" t="str">
        <v/>
      </c>
      <c r="F39136" s="102" t="str">
        <f ca="1">IFERROR(__xludf.DUMMYFUNCTION("IMPORTRANGE(H39136,""IDENTITAS UNIT!D9"")"),"#N/A")</f>
        <v>#N/A</v>
      </c>
      <c r="H39136" s="4" t="str">
        <v/>
      </c>
      <c r="I39136" s="4" t="str">
        <v/>
      </c>
    </row>
    <row r="39137" spans="5:9" ht="16.5" hidden="1">
      <c r="E39137" s="4" t="str">
        <v/>
      </c>
      <c r="F39137" s="102" t="str">
        <f ca="1">IFERROR(__xludf.DUMMYFUNCTION("IMPORTRANGE(H39137,""IDENTITAS UNIT!D9"")"),"#N/A")</f>
        <v>#N/A</v>
      </c>
      <c r="H39137" s="4" t="str">
        <v/>
      </c>
      <c r="I39137" s="4" t="str">
        <v/>
      </c>
    </row>
    <row r="39138" spans="5:9" ht="16.5" hidden="1">
      <c r="E39138" s="4" t="str">
        <v/>
      </c>
      <c r="F39138" s="102" t="str">
        <f ca="1">IFERROR(__xludf.DUMMYFUNCTION("IMPORTRANGE(H39138,""IDENTITAS UNIT!D9"")"),"#N/A")</f>
        <v>#N/A</v>
      </c>
      <c r="H39138" s="4" t="str">
        <v/>
      </c>
      <c r="I39138" s="4" t="str">
        <v/>
      </c>
    </row>
    <row r="39139" spans="5:9" ht="16.5" hidden="1">
      <c r="E39139" s="4" t="str">
        <v/>
      </c>
      <c r="F39139" s="102" t="str">
        <f ca="1">IFERROR(__xludf.DUMMYFUNCTION("IMPORTRANGE(H39139,""IDENTITAS UNIT!D9"")"),"#N/A")</f>
        <v>#N/A</v>
      </c>
      <c r="H39139" s="4" t="str">
        <v/>
      </c>
      <c r="I39139" s="4" t="str">
        <v/>
      </c>
    </row>
    <row r="39140" spans="5:9" ht="16.5" hidden="1">
      <c r="E39140" s="4" t="str">
        <v/>
      </c>
      <c r="F39140" s="102" t="str">
        <f ca="1">IFERROR(__xludf.DUMMYFUNCTION("IMPORTRANGE(H39140,""IDENTITAS UNIT!D9"")"),"#N/A")</f>
        <v>#N/A</v>
      </c>
      <c r="H39140" s="4" t="str">
        <v/>
      </c>
      <c r="I39140" s="4" t="str">
        <v/>
      </c>
    </row>
    <row r="39141" spans="5:9" ht="16.5" hidden="1">
      <c r="E39141" s="4" t="str">
        <v/>
      </c>
      <c r="F39141" s="102" t="str">
        <f ca="1">IFERROR(__xludf.DUMMYFUNCTION("IMPORTRANGE(H39141,""IDENTITAS UNIT!D9"")"),"#N/A")</f>
        <v>#N/A</v>
      </c>
      <c r="H39141" s="4" t="str">
        <v/>
      </c>
      <c r="I39141" s="4" t="str">
        <v/>
      </c>
    </row>
    <row r="39142" spans="5:9" ht="16.5" hidden="1">
      <c r="E39142" s="4" t="str">
        <v/>
      </c>
      <c r="F39142" s="102" t="str">
        <f ca="1">IFERROR(__xludf.DUMMYFUNCTION("IMPORTRANGE(H39142,""IDENTITAS UNIT!D9"")"),"#N/A")</f>
        <v>#N/A</v>
      </c>
      <c r="H39142" s="4" t="str">
        <v/>
      </c>
      <c r="I39142" s="4" t="str">
        <v/>
      </c>
    </row>
    <row r="39143" spans="5:9" ht="16.5" hidden="1">
      <c r="E39143" s="4" t="str">
        <v/>
      </c>
      <c r="F39143" s="102" t="str">
        <f ca="1">IFERROR(__xludf.DUMMYFUNCTION("IMPORTRANGE(H39143,""IDENTITAS UNIT!D9"")"),"#N/A")</f>
        <v>#N/A</v>
      </c>
      <c r="H39143" s="4" t="str">
        <v/>
      </c>
      <c r="I39143" s="4" t="str">
        <v/>
      </c>
    </row>
    <row r="39144" spans="5:9" ht="16.5" hidden="1">
      <c r="E39144" s="4" t="str">
        <v/>
      </c>
      <c r="F39144" s="102" t="str">
        <f ca="1">IFERROR(__xludf.DUMMYFUNCTION("IMPORTRANGE(H39144,""IDENTITAS UNIT!D9"")"),"#N/A")</f>
        <v>#N/A</v>
      </c>
      <c r="H39144" s="4" t="str">
        <v/>
      </c>
      <c r="I39144" s="4" t="str">
        <v/>
      </c>
    </row>
    <row r="39145" spans="5:9" ht="16.5" hidden="1">
      <c r="E39145" s="4" t="str">
        <v/>
      </c>
      <c r="F39145" s="102" t="str">
        <f ca="1">IFERROR(__xludf.DUMMYFUNCTION("IMPORTRANGE(H39145,""IDENTITAS UNIT!D9"")"),"#N/A")</f>
        <v>#N/A</v>
      </c>
      <c r="H39145" s="4" t="str">
        <v/>
      </c>
      <c r="I39145" s="4" t="str">
        <v/>
      </c>
    </row>
    <row r="39146" spans="5:9" ht="16.5" hidden="1">
      <c r="E39146" s="4" t="str">
        <v/>
      </c>
      <c r="F39146" s="102" t="str">
        <f ca="1">IFERROR(__xludf.DUMMYFUNCTION("IMPORTRANGE(H39146,""IDENTITAS UNIT!D9"")"),"#N/A")</f>
        <v>#N/A</v>
      </c>
      <c r="H39146" s="4" t="str">
        <v/>
      </c>
      <c r="I39146" s="4" t="str">
        <v/>
      </c>
    </row>
    <row r="39147" spans="5:9" ht="16.5" hidden="1">
      <c r="E39147" s="4" t="str">
        <v/>
      </c>
      <c r="F39147" s="102" t="str">
        <f ca="1">IFERROR(__xludf.DUMMYFUNCTION("IMPORTRANGE(H39147,""IDENTITAS UNIT!D9"")"),"#N/A")</f>
        <v>#N/A</v>
      </c>
      <c r="H39147" s="4" t="str">
        <v/>
      </c>
      <c r="I39147" s="4" t="str">
        <v/>
      </c>
    </row>
    <row r="39148" spans="5:9" ht="16.5" hidden="1">
      <c r="E39148" s="4" t="str">
        <v/>
      </c>
      <c r="F39148" s="102" t="str">
        <f ca="1">IFERROR(__xludf.DUMMYFUNCTION("IMPORTRANGE(H39148,""IDENTITAS UNIT!D9"")"),"#N/A")</f>
        <v>#N/A</v>
      </c>
      <c r="H39148" s="4" t="str">
        <v/>
      </c>
      <c r="I39148" s="4" t="str">
        <v/>
      </c>
    </row>
    <row r="39149" spans="5:9" ht="16.5" hidden="1">
      <c r="E39149" s="4" t="str">
        <v/>
      </c>
      <c r="F39149" s="102" t="str">
        <f ca="1">IFERROR(__xludf.DUMMYFUNCTION("IMPORTRANGE(H39149,""IDENTITAS UNIT!D9"")"),"#N/A")</f>
        <v>#N/A</v>
      </c>
      <c r="H39149" s="4" t="str">
        <v/>
      </c>
      <c r="I39149" s="4" t="str">
        <v/>
      </c>
    </row>
    <row r="39150" spans="5:9" ht="16.5" hidden="1">
      <c r="E39150" s="4" t="str">
        <v/>
      </c>
      <c r="F39150" s="102" t="str">
        <f ca="1">IFERROR(__xludf.DUMMYFUNCTION("IMPORTRANGE(H39150,""IDENTITAS UNIT!D9"")"),"#N/A")</f>
        <v>#N/A</v>
      </c>
      <c r="H39150" s="4" t="str">
        <v/>
      </c>
      <c r="I39150" s="4" t="str">
        <v/>
      </c>
    </row>
    <row r="39151" spans="5:9" ht="16.5" hidden="1">
      <c r="E39151" s="4" t="str">
        <v/>
      </c>
      <c r="F39151" s="102" t="str">
        <f ca="1">IFERROR(__xludf.DUMMYFUNCTION("IMPORTRANGE(H39151,""IDENTITAS UNIT!D9"")"),"#N/A")</f>
        <v>#N/A</v>
      </c>
      <c r="H39151" s="4" t="str">
        <v/>
      </c>
      <c r="I39151" s="4" t="str">
        <v/>
      </c>
    </row>
    <row r="39152" spans="5:9" ht="16.5" hidden="1">
      <c r="E39152" s="4" t="str">
        <v/>
      </c>
      <c r="F39152" s="102" t="str">
        <f ca="1">IFERROR(__xludf.DUMMYFUNCTION("IMPORTRANGE(H39152,""IDENTITAS UNIT!D9"")"),"#N/A")</f>
        <v>#N/A</v>
      </c>
      <c r="H39152" s="4" t="str">
        <v/>
      </c>
      <c r="I39152" s="4" t="str">
        <v/>
      </c>
    </row>
    <row r="39153" spans="5:9" ht="16.5" hidden="1">
      <c r="E39153" s="4" t="str">
        <v/>
      </c>
      <c r="F39153" s="102" t="str">
        <f ca="1">IFERROR(__xludf.DUMMYFUNCTION("IMPORTRANGE(H39153,""IDENTITAS UNIT!D9"")"),"#N/A")</f>
        <v>#N/A</v>
      </c>
      <c r="H39153" s="4" t="str">
        <v/>
      </c>
      <c r="I39153" s="4" t="str">
        <v/>
      </c>
    </row>
    <row r="39154" spans="5:9" ht="16.5" hidden="1">
      <c r="E39154" s="4" t="str">
        <v/>
      </c>
      <c r="F39154" s="102" t="str">
        <f ca="1">IFERROR(__xludf.DUMMYFUNCTION("IMPORTRANGE(H39154,""IDENTITAS UNIT!D9"")"),"#N/A")</f>
        <v>#N/A</v>
      </c>
      <c r="H39154" s="4" t="str">
        <v/>
      </c>
      <c r="I39154" s="4" t="str">
        <v/>
      </c>
    </row>
    <row r="39155" spans="5:9" ht="16.5" hidden="1">
      <c r="E39155" s="4" t="str">
        <v/>
      </c>
      <c r="F39155" s="102" t="str">
        <f ca="1">IFERROR(__xludf.DUMMYFUNCTION("IMPORTRANGE(H39155,""IDENTITAS UNIT!D9"")"),"#N/A")</f>
        <v>#N/A</v>
      </c>
      <c r="H39155" s="4" t="str">
        <v/>
      </c>
      <c r="I39155" s="4" t="str">
        <v/>
      </c>
    </row>
    <row r="39156" spans="5:9" ht="16.5" hidden="1">
      <c r="E39156" s="4" t="str">
        <v/>
      </c>
      <c r="F39156" s="102" t="str">
        <f ca="1">IFERROR(__xludf.DUMMYFUNCTION("IMPORTRANGE(H39156,""IDENTITAS UNIT!D9"")"),"#N/A")</f>
        <v>#N/A</v>
      </c>
      <c r="H39156" s="4" t="str">
        <v/>
      </c>
      <c r="I39156" s="4" t="str">
        <v/>
      </c>
    </row>
    <row r="39157" spans="5:9" ht="16.5" hidden="1">
      <c r="E39157" s="4" t="str">
        <v/>
      </c>
      <c r="F39157" s="102" t="str">
        <f ca="1">IFERROR(__xludf.DUMMYFUNCTION("IMPORTRANGE(H39157,""IDENTITAS UNIT!D9"")"),"#N/A")</f>
        <v>#N/A</v>
      </c>
      <c r="H39157" s="4" t="str">
        <v/>
      </c>
      <c r="I39157" s="4" t="str">
        <v/>
      </c>
    </row>
    <row r="39158" spans="5:9" ht="16.5" hidden="1">
      <c r="E39158" s="4" t="str">
        <v/>
      </c>
      <c r="F39158" s="102" t="str">
        <f ca="1">IFERROR(__xludf.DUMMYFUNCTION("IMPORTRANGE(H39158,""IDENTITAS UNIT!D9"")"),"#N/A")</f>
        <v>#N/A</v>
      </c>
      <c r="H39158" s="4" t="str">
        <v/>
      </c>
      <c r="I39158" s="4" t="str">
        <v/>
      </c>
    </row>
    <row r="39159" spans="5:9" ht="16.5" hidden="1">
      <c r="E39159" s="4" t="str">
        <v/>
      </c>
      <c r="F39159" s="102" t="str">
        <f ca="1">IFERROR(__xludf.DUMMYFUNCTION("IMPORTRANGE(H39159,""IDENTITAS UNIT!D9"")"),"#N/A")</f>
        <v>#N/A</v>
      </c>
      <c r="H39159" s="4" t="str">
        <v/>
      </c>
      <c r="I39159" s="4" t="str">
        <v/>
      </c>
    </row>
    <row r="39160" spans="5:9" ht="16.5" hidden="1">
      <c r="E39160" s="4" t="str">
        <v/>
      </c>
      <c r="F39160" s="102" t="str">
        <f ca="1">IFERROR(__xludf.DUMMYFUNCTION("IMPORTRANGE(H39160,""IDENTITAS UNIT!D9"")"),"#N/A")</f>
        <v>#N/A</v>
      </c>
      <c r="H39160" s="4" t="str">
        <v/>
      </c>
      <c r="I39160" s="4" t="str">
        <v/>
      </c>
    </row>
    <row r="39161" spans="5:9" ht="16.5" hidden="1">
      <c r="E39161" s="4" t="str">
        <v/>
      </c>
      <c r="F39161" s="102" t="str">
        <f ca="1">IFERROR(__xludf.DUMMYFUNCTION("IMPORTRANGE(H39161,""IDENTITAS UNIT!D9"")"),"#N/A")</f>
        <v>#N/A</v>
      </c>
      <c r="H39161" s="4" t="str">
        <v/>
      </c>
      <c r="I39161" s="4" t="str">
        <v/>
      </c>
    </row>
    <row r="39162" spans="5:9" ht="16.5" hidden="1">
      <c r="E39162" s="4" t="str">
        <v/>
      </c>
      <c r="F39162" s="102" t="str">
        <f ca="1">IFERROR(__xludf.DUMMYFUNCTION("IMPORTRANGE(H39162,""IDENTITAS UNIT!D9"")"),"#N/A")</f>
        <v>#N/A</v>
      </c>
      <c r="H39162" s="4" t="str">
        <v/>
      </c>
      <c r="I39162" s="4" t="str">
        <v/>
      </c>
    </row>
    <row r="39163" spans="5:9" ht="16.5" hidden="1">
      <c r="E39163" s="4" t="str">
        <v/>
      </c>
      <c r="F39163" s="102" t="str">
        <f ca="1">IFERROR(__xludf.DUMMYFUNCTION("IMPORTRANGE(H39163,""IDENTITAS UNIT!D9"")"),"#N/A")</f>
        <v>#N/A</v>
      </c>
      <c r="H39163" s="4" t="str">
        <v/>
      </c>
      <c r="I39163" s="4" t="str">
        <v/>
      </c>
    </row>
    <row r="39164" spans="5:9" ht="16.5" hidden="1">
      <c r="E39164" s="4" t="str">
        <v/>
      </c>
      <c r="F39164" s="102" t="str">
        <f ca="1">IFERROR(__xludf.DUMMYFUNCTION("IMPORTRANGE(H39164,""IDENTITAS UNIT!D9"")"),"#N/A")</f>
        <v>#N/A</v>
      </c>
      <c r="H39164" s="4" t="str">
        <v/>
      </c>
      <c r="I39164" s="4" t="str">
        <v/>
      </c>
    </row>
    <row r="39165" spans="5:9" ht="16.5" hidden="1">
      <c r="E39165" s="4" t="str">
        <v/>
      </c>
      <c r="F39165" s="102" t="str">
        <f ca="1">IFERROR(__xludf.DUMMYFUNCTION("IMPORTRANGE(H39165,""IDENTITAS UNIT!D9"")"),"#N/A")</f>
        <v>#N/A</v>
      </c>
      <c r="H39165" s="4" t="str">
        <v/>
      </c>
      <c r="I39165" s="4" t="str">
        <v/>
      </c>
    </row>
    <row r="39166" spans="5:9" ht="16.5" hidden="1">
      <c r="E39166" s="4" t="str">
        <v/>
      </c>
      <c r="F39166" s="102" t="str">
        <f ca="1">IFERROR(__xludf.DUMMYFUNCTION("IMPORTRANGE(H39166,""IDENTITAS UNIT!D9"")"),"#N/A")</f>
        <v>#N/A</v>
      </c>
      <c r="H39166" s="4" t="str">
        <v/>
      </c>
      <c r="I39166" s="4" t="str">
        <v/>
      </c>
    </row>
    <row r="39167" spans="5:9" ht="16.5" hidden="1">
      <c r="E39167" s="4" t="str">
        <v/>
      </c>
      <c r="F39167" s="102" t="str">
        <f ca="1">IFERROR(__xludf.DUMMYFUNCTION("IMPORTRANGE(H39167,""IDENTITAS UNIT!D9"")"),"#N/A")</f>
        <v>#N/A</v>
      </c>
      <c r="H39167" s="4" t="str">
        <v/>
      </c>
      <c r="I39167" s="4" t="str">
        <v/>
      </c>
    </row>
    <row r="39168" spans="5:9" ht="16.5" hidden="1">
      <c r="E39168" s="4" t="str">
        <v/>
      </c>
      <c r="F39168" s="102" t="str">
        <f ca="1">IFERROR(__xludf.DUMMYFUNCTION("IMPORTRANGE(H39168,""IDENTITAS UNIT!D9"")"),"#N/A")</f>
        <v>#N/A</v>
      </c>
      <c r="H39168" s="4" t="str">
        <v/>
      </c>
      <c r="I39168" s="4" t="str">
        <v/>
      </c>
    </row>
    <row r="39169" spans="5:9" ht="16.5" hidden="1">
      <c r="E39169" s="4" t="str">
        <v/>
      </c>
      <c r="F39169" s="102" t="str">
        <f ca="1">IFERROR(__xludf.DUMMYFUNCTION("IMPORTRANGE(H39169,""IDENTITAS UNIT!D9"")"),"#N/A")</f>
        <v>#N/A</v>
      </c>
      <c r="H39169" s="4" t="str">
        <v/>
      </c>
      <c r="I39169" s="4" t="str">
        <v/>
      </c>
    </row>
    <row r="39170" spans="5:9" ht="16.5" hidden="1">
      <c r="E39170" s="4" t="str">
        <v/>
      </c>
      <c r="F39170" s="102" t="str">
        <f ca="1">IFERROR(__xludf.DUMMYFUNCTION("IMPORTRANGE(H39170,""IDENTITAS UNIT!D9"")"),"#N/A")</f>
        <v>#N/A</v>
      </c>
      <c r="H39170" s="4" t="str">
        <v/>
      </c>
      <c r="I39170" s="4" t="str">
        <v/>
      </c>
    </row>
    <row r="39171" spans="5:9" ht="16.5" hidden="1">
      <c r="E39171" s="4" t="str">
        <v/>
      </c>
      <c r="F39171" s="102" t="str">
        <f ca="1">IFERROR(__xludf.DUMMYFUNCTION("IMPORTRANGE(H39171,""IDENTITAS UNIT!D9"")"),"#N/A")</f>
        <v>#N/A</v>
      </c>
      <c r="H39171" s="4" t="str">
        <v/>
      </c>
      <c r="I39171" s="4" t="str">
        <v/>
      </c>
    </row>
    <row r="39172" spans="5:9" ht="16.5" hidden="1">
      <c r="E39172" s="4" t="str">
        <v/>
      </c>
      <c r="F39172" s="102" t="str">
        <f ca="1">IFERROR(__xludf.DUMMYFUNCTION("IMPORTRANGE(H39172,""IDENTITAS UNIT!D9"")"),"#N/A")</f>
        <v>#N/A</v>
      </c>
      <c r="H39172" s="4" t="str">
        <v/>
      </c>
      <c r="I39172" s="4" t="str">
        <v/>
      </c>
    </row>
    <row r="39173" spans="5:9" ht="16.5" hidden="1">
      <c r="E39173" s="4" t="str">
        <v/>
      </c>
      <c r="F39173" s="102" t="str">
        <f ca="1">IFERROR(__xludf.DUMMYFUNCTION("IMPORTRANGE(H39173,""IDENTITAS UNIT!D9"")"),"#N/A")</f>
        <v>#N/A</v>
      </c>
      <c r="H39173" s="4" t="str">
        <v/>
      </c>
      <c r="I39173" s="4" t="str">
        <v/>
      </c>
    </row>
    <row r="39174" spans="5:9" ht="16.5" hidden="1">
      <c r="E39174" s="4" t="str">
        <v/>
      </c>
      <c r="F39174" s="102" t="str">
        <f ca="1">IFERROR(__xludf.DUMMYFUNCTION("IMPORTRANGE(H39174,""IDENTITAS UNIT!D9"")"),"#N/A")</f>
        <v>#N/A</v>
      </c>
      <c r="H39174" s="4" t="str">
        <v/>
      </c>
      <c r="I39174" s="4" t="str">
        <v/>
      </c>
    </row>
    <row r="39175" spans="5:9" ht="16.5" hidden="1">
      <c r="E39175" s="4" t="str">
        <v/>
      </c>
      <c r="F39175" s="102" t="str">
        <f ca="1">IFERROR(__xludf.DUMMYFUNCTION("IMPORTRANGE(H39175,""IDENTITAS UNIT!D9"")"),"#N/A")</f>
        <v>#N/A</v>
      </c>
      <c r="H39175" s="4" t="str">
        <v/>
      </c>
      <c r="I39175" s="4" t="str">
        <v/>
      </c>
    </row>
    <row r="39176" spans="5:9" ht="16.5" hidden="1">
      <c r="E39176" s="4" t="str">
        <v/>
      </c>
      <c r="F39176" s="102" t="str">
        <f ca="1">IFERROR(__xludf.DUMMYFUNCTION("IMPORTRANGE(H39176,""IDENTITAS UNIT!D9"")"),"#N/A")</f>
        <v>#N/A</v>
      </c>
      <c r="H39176" s="4" t="str">
        <v/>
      </c>
      <c r="I39176" s="4" t="str">
        <v/>
      </c>
    </row>
    <row r="39177" spans="5:9" ht="16.5" hidden="1">
      <c r="E39177" s="4" t="str">
        <v/>
      </c>
      <c r="F39177" s="102" t="str">
        <f ca="1">IFERROR(__xludf.DUMMYFUNCTION("IMPORTRANGE(H39177,""IDENTITAS UNIT!D9"")"),"#N/A")</f>
        <v>#N/A</v>
      </c>
      <c r="H39177" s="4" t="str">
        <v/>
      </c>
      <c r="I39177" s="4" t="str">
        <v/>
      </c>
    </row>
    <row r="39178" spans="5:9" ht="16.5" hidden="1">
      <c r="E39178" s="4" t="str">
        <v/>
      </c>
      <c r="F39178" s="102" t="str">
        <f ca="1">IFERROR(__xludf.DUMMYFUNCTION("IMPORTRANGE(H39178,""IDENTITAS UNIT!D9"")"),"#N/A")</f>
        <v>#N/A</v>
      </c>
      <c r="H39178" s="4" t="str">
        <v/>
      </c>
      <c r="I39178" s="4" t="str">
        <v/>
      </c>
    </row>
    <row r="39179" spans="5:9" ht="16.5" hidden="1">
      <c r="E39179" s="4" t="str">
        <v/>
      </c>
      <c r="F39179" s="102" t="str">
        <f ca="1">IFERROR(__xludf.DUMMYFUNCTION("IMPORTRANGE(H39179,""IDENTITAS UNIT!D9"")"),"#N/A")</f>
        <v>#N/A</v>
      </c>
      <c r="H39179" s="4" t="str">
        <v/>
      </c>
      <c r="I39179" s="4" t="str">
        <v/>
      </c>
    </row>
    <row r="39180" spans="5:9" ht="16.5" hidden="1">
      <c r="E39180" s="4" t="str">
        <v/>
      </c>
      <c r="F39180" s="102" t="str">
        <f ca="1">IFERROR(__xludf.DUMMYFUNCTION("IMPORTRANGE(H39180,""IDENTITAS UNIT!D9"")"),"#N/A")</f>
        <v>#N/A</v>
      </c>
      <c r="H39180" s="4" t="str">
        <v/>
      </c>
      <c r="I39180" s="4" t="str">
        <v/>
      </c>
    </row>
    <row r="39181" spans="5:9" ht="16.5" hidden="1">
      <c r="E39181" s="4" t="str">
        <v/>
      </c>
      <c r="F39181" s="102" t="str">
        <f ca="1">IFERROR(__xludf.DUMMYFUNCTION("IMPORTRANGE(H39181,""IDENTITAS UNIT!D9"")"),"#N/A")</f>
        <v>#N/A</v>
      </c>
      <c r="H39181" s="4" t="str">
        <v/>
      </c>
      <c r="I39181" s="4" t="str">
        <v/>
      </c>
    </row>
    <row r="39182" spans="5:9" ht="16.5" hidden="1">
      <c r="E39182" s="4" t="str">
        <v/>
      </c>
      <c r="F39182" s="102" t="str">
        <f ca="1">IFERROR(__xludf.DUMMYFUNCTION("IMPORTRANGE(H39182,""IDENTITAS UNIT!D9"")"),"#N/A")</f>
        <v>#N/A</v>
      </c>
      <c r="H39182" s="4" t="str">
        <v/>
      </c>
      <c r="I39182" s="4" t="str">
        <v/>
      </c>
    </row>
    <row r="39183" spans="5:9" ht="16.5" hidden="1">
      <c r="E39183" s="4" t="str">
        <v/>
      </c>
      <c r="F39183" s="102" t="str">
        <f ca="1">IFERROR(__xludf.DUMMYFUNCTION("IMPORTRANGE(H39183,""IDENTITAS UNIT!D9"")"),"#N/A")</f>
        <v>#N/A</v>
      </c>
      <c r="H39183" s="4" t="str">
        <v/>
      </c>
      <c r="I39183" s="4" t="str">
        <v/>
      </c>
    </row>
    <row r="39184" spans="5:9" ht="16.5" hidden="1">
      <c r="E39184" s="4" t="str">
        <v/>
      </c>
      <c r="F39184" s="102" t="str">
        <f ca="1">IFERROR(__xludf.DUMMYFUNCTION("IMPORTRANGE(H39184,""IDENTITAS UNIT!D9"")"),"#N/A")</f>
        <v>#N/A</v>
      </c>
      <c r="H39184" s="4" t="str">
        <v/>
      </c>
      <c r="I39184" s="4" t="str">
        <v/>
      </c>
    </row>
    <row r="39185" spans="5:9" ht="16.5" hidden="1">
      <c r="E39185" s="4" t="str">
        <v/>
      </c>
      <c r="F39185" s="102" t="str">
        <f ca="1">IFERROR(__xludf.DUMMYFUNCTION("IMPORTRANGE(H39185,""IDENTITAS UNIT!D9"")"),"#N/A")</f>
        <v>#N/A</v>
      </c>
      <c r="H39185" s="4" t="str">
        <v/>
      </c>
      <c r="I39185" s="4" t="str">
        <v/>
      </c>
    </row>
    <row r="39186" spans="5:9" ht="16.5" hidden="1">
      <c r="E39186" s="4" t="str">
        <v/>
      </c>
      <c r="F39186" s="102" t="str">
        <f ca="1">IFERROR(__xludf.DUMMYFUNCTION("IMPORTRANGE(H39186,""IDENTITAS UNIT!D9"")"),"#N/A")</f>
        <v>#N/A</v>
      </c>
      <c r="H39186" s="4" t="str">
        <v/>
      </c>
      <c r="I39186" s="4" t="str">
        <v/>
      </c>
    </row>
    <row r="39187" spans="5:9" ht="16.5" hidden="1">
      <c r="E39187" s="4" t="str">
        <v/>
      </c>
      <c r="F39187" s="102" t="str">
        <f ca="1">IFERROR(__xludf.DUMMYFUNCTION("IMPORTRANGE(H39187,""IDENTITAS UNIT!D9"")"),"#N/A")</f>
        <v>#N/A</v>
      </c>
      <c r="H39187" s="4" t="str">
        <v/>
      </c>
      <c r="I39187" s="4" t="str">
        <v/>
      </c>
    </row>
    <row r="39188" spans="5:9" ht="16.5" hidden="1">
      <c r="E39188" s="4" t="str">
        <v/>
      </c>
      <c r="F39188" s="102" t="str">
        <f ca="1">IFERROR(__xludf.DUMMYFUNCTION("IMPORTRANGE(H39188,""IDENTITAS UNIT!D9"")"),"#N/A")</f>
        <v>#N/A</v>
      </c>
      <c r="H39188" s="4" t="str">
        <v/>
      </c>
      <c r="I39188" s="4" t="str">
        <v/>
      </c>
    </row>
    <row r="39189" spans="5:9" ht="16.5" hidden="1">
      <c r="E39189" s="4" t="str">
        <v/>
      </c>
      <c r="F39189" s="102" t="str">
        <f ca="1">IFERROR(__xludf.DUMMYFUNCTION("IMPORTRANGE(H39189,""IDENTITAS UNIT!D9"")"),"#N/A")</f>
        <v>#N/A</v>
      </c>
      <c r="H39189" s="4" t="str">
        <v/>
      </c>
      <c r="I39189" s="4" t="str">
        <v/>
      </c>
    </row>
    <row r="39190" spans="5:9" ht="16.5" hidden="1">
      <c r="E39190" s="4" t="str">
        <v/>
      </c>
      <c r="F39190" s="102" t="str">
        <f ca="1">IFERROR(__xludf.DUMMYFUNCTION("IMPORTRANGE(H39190,""IDENTITAS UNIT!D9"")"),"#N/A")</f>
        <v>#N/A</v>
      </c>
      <c r="H39190" s="4" t="str">
        <v/>
      </c>
      <c r="I39190" s="4" t="str">
        <v/>
      </c>
    </row>
    <row r="39191" spans="5:9" ht="16.5" hidden="1">
      <c r="E39191" s="4" t="str">
        <v/>
      </c>
      <c r="F39191" s="102" t="str">
        <f ca="1">IFERROR(__xludf.DUMMYFUNCTION("IMPORTRANGE(H39191,""IDENTITAS UNIT!D9"")"),"#N/A")</f>
        <v>#N/A</v>
      </c>
      <c r="H39191" s="4" t="str">
        <v/>
      </c>
      <c r="I39191" s="4" t="str">
        <v/>
      </c>
    </row>
    <row r="39192" spans="5:9" ht="16.5" hidden="1">
      <c r="E39192" s="4" t="str">
        <v/>
      </c>
      <c r="F39192" s="102" t="str">
        <f ca="1">IFERROR(__xludf.DUMMYFUNCTION("IMPORTRANGE(H39192,""IDENTITAS UNIT!D9"")"),"#N/A")</f>
        <v>#N/A</v>
      </c>
      <c r="H39192" s="4" t="str">
        <v/>
      </c>
      <c r="I39192" s="4" t="str">
        <v/>
      </c>
    </row>
    <row r="39193" spans="5:9" ht="16.5" hidden="1">
      <c r="E39193" s="4" t="str">
        <v/>
      </c>
      <c r="F39193" s="102" t="str">
        <f ca="1">IFERROR(__xludf.DUMMYFUNCTION("IMPORTRANGE(H39193,""IDENTITAS UNIT!D9"")"),"#N/A")</f>
        <v>#N/A</v>
      </c>
      <c r="H39193" s="4" t="str">
        <v/>
      </c>
      <c r="I39193" s="4" t="str">
        <v/>
      </c>
    </row>
    <row r="39194" spans="5:9" ht="16.5" hidden="1">
      <c r="E39194" s="4" t="str">
        <v/>
      </c>
      <c r="F39194" s="102" t="str">
        <f ca="1">IFERROR(__xludf.DUMMYFUNCTION("IMPORTRANGE(H39194,""IDENTITAS UNIT!D9"")"),"#N/A")</f>
        <v>#N/A</v>
      </c>
      <c r="H39194" s="4" t="str">
        <v/>
      </c>
      <c r="I39194" s="4" t="str">
        <v/>
      </c>
    </row>
    <row r="39195" spans="5:9" ht="16.5" hidden="1">
      <c r="E39195" s="4" t="str">
        <v/>
      </c>
      <c r="F39195" s="102" t="str">
        <f ca="1">IFERROR(__xludf.DUMMYFUNCTION("IMPORTRANGE(H39195,""IDENTITAS UNIT!D9"")"),"#N/A")</f>
        <v>#N/A</v>
      </c>
      <c r="H39195" s="4" t="str">
        <v/>
      </c>
      <c r="I39195" s="4" t="str">
        <v/>
      </c>
    </row>
    <row r="39196" spans="5:9" ht="16.5" hidden="1">
      <c r="E39196" s="4" t="str">
        <v/>
      </c>
      <c r="F39196" s="102" t="str">
        <f ca="1">IFERROR(__xludf.DUMMYFUNCTION("IMPORTRANGE(H39196,""IDENTITAS UNIT!D9"")"),"#N/A")</f>
        <v>#N/A</v>
      </c>
      <c r="H39196" s="4" t="str">
        <v/>
      </c>
      <c r="I39196" s="4" t="str">
        <v/>
      </c>
    </row>
    <row r="39197" spans="5:9" ht="16.5" hidden="1">
      <c r="E39197" s="4" t="str">
        <v/>
      </c>
      <c r="F39197" s="102" t="str">
        <f ca="1">IFERROR(__xludf.DUMMYFUNCTION("IMPORTRANGE(H39197,""IDENTITAS UNIT!D9"")"),"#N/A")</f>
        <v>#N/A</v>
      </c>
      <c r="H39197" s="4" t="str">
        <v/>
      </c>
      <c r="I39197" s="4" t="str">
        <v/>
      </c>
    </row>
    <row r="39198" spans="5:9" ht="16.5" hidden="1">
      <c r="E39198" s="4" t="str">
        <v/>
      </c>
      <c r="F39198" s="102" t="str">
        <f ca="1">IFERROR(__xludf.DUMMYFUNCTION("IMPORTRANGE(H39198,""IDENTITAS UNIT!D9"")"),"#N/A")</f>
        <v>#N/A</v>
      </c>
      <c r="H39198" s="4" t="str">
        <v/>
      </c>
      <c r="I39198" s="4" t="str">
        <v/>
      </c>
    </row>
    <row r="39199" spans="5:9" ht="16.5" hidden="1">
      <c r="E39199" s="4" t="str">
        <v/>
      </c>
      <c r="F39199" s="102" t="str">
        <f ca="1">IFERROR(__xludf.DUMMYFUNCTION("IMPORTRANGE(H39199,""IDENTITAS UNIT!D9"")"),"#N/A")</f>
        <v>#N/A</v>
      </c>
      <c r="H39199" s="4" t="str">
        <v/>
      </c>
      <c r="I39199" s="4" t="str">
        <v/>
      </c>
    </row>
    <row r="39200" spans="5:9" ht="16.5" hidden="1">
      <c r="E39200" s="4" t="str">
        <v/>
      </c>
      <c r="F39200" s="102" t="str">
        <f ca="1">IFERROR(__xludf.DUMMYFUNCTION("IMPORTRANGE(H39200,""IDENTITAS UNIT!D9"")"),"#N/A")</f>
        <v>#N/A</v>
      </c>
      <c r="H39200" s="4" t="str">
        <v/>
      </c>
      <c r="I39200" s="4" t="str">
        <v/>
      </c>
    </row>
    <row r="39201" spans="5:9" ht="16.5" hidden="1">
      <c r="E39201" s="4" t="str">
        <v/>
      </c>
      <c r="F39201" s="102" t="str">
        <f ca="1">IFERROR(__xludf.DUMMYFUNCTION("IMPORTRANGE(H39201,""IDENTITAS UNIT!D9"")"),"#N/A")</f>
        <v>#N/A</v>
      </c>
      <c r="H39201" s="4" t="str">
        <v/>
      </c>
      <c r="I39201" s="4" t="str">
        <v/>
      </c>
    </row>
    <row r="39202" spans="5:9" ht="16.5" hidden="1">
      <c r="E39202" s="4" t="str">
        <v/>
      </c>
      <c r="F39202" s="102" t="str">
        <f ca="1">IFERROR(__xludf.DUMMYFUNCTION("IMPORTRANGE(H39202,""IDENTITAS UNIT!D9"")"),"#N/A")</f>
        <v>#N/A</v>
      </c>
      <c r="H39202" s="4" t="str">
        <v/>
      </c>
      <c r="I39202" s="4" t="str">
        <v/>
      </c>
    </row>
    <row r="39203" spans="5:9" ht="16.5" hidden="1">
      <c r="E39203" s="4" t="str">
        <v/>
      </c>
      <c r="F39203" s="102" t="str">
        <f ca="1">IFERROR(__xludf.DUMMYFUNCTION("IMPORTRANGE(H39203,""IDENTITAS UNIT!D9"")"),"#N/A")</f>
        <v>#N/A</v>
      </c>
      <c r="H39203" s="4" t="str">
        <v/>
      </c>
      <c r="I39203" s="4" t="str">
        <v/>
      </c>
    </row>
    <row r="39204" spans="5:9" ht="16.5" hidden="1">
      <c r="E39204" s="4" t="str">
        <v/>
      </c>
      <c r="F39204" s="102" t="str">
        <f ca="1">IFERROR(__xludf.DUMMYFUNCTION("IMPORTRANGE(H39204,""IDENTITAS UNIT!D9"")"),"#N/A")</f>
        <v>#N/A</v>
      </c>
      <c r="H39204" s="4" t="str">
        <v/>
      </c>
      <c r="I39204" s="4" t="str">
        <v/>
      </c>
    </row>
    <row r="39205" spans="5:9" ht="16.5" hidden="1">
      <c r="E39205" s="4" t="str">
        <v/>
      </c>
      <c r="F39205" s="102" t="str">
        <f ca="1">IFERROR(__xludf.DUMMYFUNCTION("IMPORTRANGE(H39205,""IDENTITAS UNIT!D9"")"),"#N/A")</f>
        <v>#N/A</v>
      </c>
      <c r="H39205" s="4" t="str">
        <v/>
      </c>
      <c r="I39205" s="4" t="str">
        <v/>
      </c>
    </row>
    <row r="39206" spans="5:9" ht="16.5" hidden="1">
      <c r="E39206" s="4" t="str">
        <v/>
      </c>
      <c r="F39206" s="102" t="str">
        <f ca="1">IFERROR(__xludf.DUMMYFUNCTION("IMPORTRANGE(H39206,""IDENTITAS UNIT!D9"")"),"#N/A")</f>
        <v>#N/A</v>
      </c>
      <c r="H39206" s="4" t="str">
        <v/>
      </c>
      <c r="I39206" s="4" t="str">
        <v/>
      </c>
    </row>
    <row r="39207" spans="5:9" ht="16.5" hidden="1">
      <c r="E39207" s="4" t="str">
        <v/>
      </c>
      <c r="F39207" s="102" t="str">
        <f ca="1">IFERROR(__xludf.DUMMYFUNCTION("IMPORTRANGE(H39207,""IDENTITAS UNIT!D9"")"),"#N/A")</f>
        <v>#N/A</v>
      </c>
      <c r="H39207" s="4" t="str">
        <v/>
      </c>
      <c r="I39207" s="4" t="str">
        <v/>
      </c>
    </row>
    <row r="39208" spans="5:9" ht="16.5" hidden="1">
      <c r="E39208" s="4" t="str">
        <v/>
      </c>
      <c r="F39208" s="102" t="str">
        <f ca="1">IFERROR(__xludf.DUMMYFUNCTION("IMPORTRANGE(H39208,""IDENTITAS UNIT!D9"")"),"#N/A")</f>
        <v>#N/A</v>
      </c>
      <c r="H39208" s="4" t="str">
        <v/>
      </c>
      <c r="I39208" s="4" t="str">
        <v/>
      </c>
    </row>
    <row r="39209" spans="5:9" ht="16.5" hidden="1">
      <c r="E39209" s="4" t="str">
        <v/>
      </c>
      <c r="F39209" s="102" t="str">
        <f ca="1">IFERROR(__xludf.DUMMYFUNCTION("IMPORTRANGE(H39209,""IDENTITAS UNIT!D9"")"),"#N/A")</f>
        <v>#N/A</v>
      </c>
      <c r="H39209" s="4" t="str">
        <v/>
      </c>
      <c r="I39209" s="4" t="str">
        <v/>
      </c>
    </row>
    <row r="39210" spans="5:9" ht="16.5" hidden="1">
      <c r="E39210" s="4" t="str">
        <v/>
      </c>
      <c r="F39210" s="102" t="str">
        <f ca="1">IFERROR(__xludf.DUMMYFUNCTION("IMPORTRANGE(H39210,""IDENTITAS UNIT!D9"")"),"#N/A")</f>
        <v>#N/A</v>
      </c>
      <c r="H39210" s="4" t="str">
        <v/>
      </c>
      <c r="I39210" s="4" t="str">
        <v/>
      </c>
    </row>
    <row r="39211" spans="5:9" ht="16.5" hidden="1">
      <c r="E39211" s="4" t="str">
        <v/>
      </c>
      <c r="F39211" s="102" t="str">
        <f ca="1">IFERROR(__xludf.DUMMYFUNCTION("IMPORTRANGE(H39211,""IDENTITAS UNIT!D9"")"),"#N/A")</f>
        <v>#N/A</v>
      </c>
      <c r="H39211" s="4" t="str">
        <v/>
      </c>
      <c r="I39211" s="4" t="str">
        <v/>
      </c>
    </row>
    <row r="39212" spans="5:9" ht="16.5" hidden="1">
      <c r="E39212" s="4" t="str">
        <v/>
      </c>
      <c r="F39212" s="102" t="str">
        <f ca="1">IFERROR(__xludf.DUMMYFUNCTION("IMPORTRANGE(H39212,""IDENTITAS UNIT!D9"")"),"#N/A")</f>
        <v>#N/A</v>
      </c>
      <c r="H39212" s="4" t="str">
        <v/>
      </c>
      <c r="I39212" s="4" t="str">
        <v/>
      </c>
    </row>
    <row r="39213" spans="5:9" ht="16.5" hidden="1">
      <c r="E39213" s="4" t="str">
        <v/>
      </c>
      <c r="F39213" s="102" t="str">
        <f ca="1">IFERROR(__xludf.DUMMYFUNCTION("IMPORTRANGE(H39213,""IDENTITAS UNIT!D9"")"),"#N/A")</f>
        <v>#N/A</v>
      </c>
      <c r="H39213" s="4" t="str">
        <v/>
      </c>
      <c r="I39213" s="4" t="str">
        <v/>
      </c>
    </row>
    <row r="39214" spans="5:9" ht="16.5" hidden="1">
      <c r="E39214" s="4" t="str">
        <v/>
      </c>
      <c r="F39214" s="102" t="str">
        <f ca="1">IFERROR(__xludf.DUMMYFUNCTION("IMPORTRANGE(H39214,""IDENTITAS UNIT!D9"")"),"#N/A")</f>
        <v>#N/A</v>
      </c>
      <c r="H39214" s="4" t="str">
        <v/>
      </c>
      <c r="I39214" s="4" t="str">
        <v/>
      </c>
    </row>
    <row r="39215" spans="5:9" ht="16.5" hidden="1">
      <c r="E39215" s="4" t="str">
        <v/>
      </c>
      <c r="F39215" s="102" t="str">
        <f ca="1">IFERROR(__xludf.DUMMYFUNCTION("IMPORTRANGE(H39215,""IDENTITAS UNIT!D9"")"),"#N/A")</f>
        <v>#N/A</v>
      </c>
      <c r="H39215" s="4" t="str">
        <v/>
      </c>
      <c r="I39215" s="4" t="str">
        <v/>
      </c>
    </row>
    <row r="39216" spans="5:9" ht="16.5" hidden="1">
      <c r="E39216" s="4" t="str">
        <v/>
      </c>
      <c r="F39216" s="102" t="str">
        <f ca="1">IFERROR(__xludf.DUMMYFUNCTION("IMPORTRANGE(H39216,""IDENTITAS UNIT!D9"")"),"#N/A")</f>
        <v>#N/A</v>
      </c>
      <c r="H39216" s="4" t="str">
        <v/>
      </c>
      <c r="I39216" s="4" t="str">
        <v/>
      </c>
    </row>
    <row r="39217" spans="5:9" ht="16.5" hidden="1">
      <c r="E39217" s="4" t="str">
        <v/>
      </c>
      <c r="F39217" s="102" t="str">
        <f ca="1">IFERROR(__xludf.DUMMYFUNCTION("IMPORTRANGE(H39217,""IDENTITAS UNIT!D9"")"),"#N/A")</f>
        <v>#N/A</v>
      </c>
      <c r="H39217" s="4" t="str">
        <v/>
      </c>
      <c r="I39217" s="4" t="str">
        <v/>
      </c>
    </row>
    <row r="39218" spans="5:9" ht="16.5" hidden="1">
      <c r="E39218" s="4" t="str">
        <v/>
      </c>
      <c r="F39218" s="102" t="str">
        <f ca="1">IFERROR(__xludf.DUMMYFUNCTION("IMPORTRANGE(H39218,""IDENTITAS UNIT!D9"")"),"#N/A")</f>
        <v>#N/A</v>
      </c>
      <c r="H39218" s="4" t="str">
        <v/>
      </c>
      <c r="I39218" s="4" t="str">
        <v/>
      </c>
    </row>
    <row r="39219" spans="5:9" ht="16.5" hidden="1">
      <c r="E39219" s="4" t="str">
        <v/>
      </c>
      <c r="F39219" s="102" t="str">
        <f ca="1">IFERROR(__xludf.DUMMYFUNCTION("IMPORTRANGE(H39219,""IDENTITAS UNIT!D9"")"),"#N/A")</f>
        <v>#N/A</v>
      </c>
      <c r="H39219" s="4" t="str">
        <v/>
      </c>
      <c r="I39219" s="4" t="str">
        <v/>
      </c>
    </row>
    <row r="39220" spans="5:9" ht="16.5" hidden="1">
      <c r="E39220" s="4" t="str">
        <v/>
      </c>
      <c r="F39220" s="102" t="str">
        <f ca="1">IFERROR(__xludf.DUMMYFUNCTION("IMPORTRANGE(H39220,""IDENTITAS UNIT!D9"")"),"#N/A")</f>
        <v>#N/A</v>
      </c>
      <c r="H39220" s="4" t="str">
        <v/>
      </c>
      <c r="I39220" s="4" t="str">
        <v/>
      </c>
    </row>
    <row r="39221" spans="5:9" ht="16.5" hidden="1">
      <c r="E39221" s="4" t="str">
        <v/>
      </c>
      <c r="F39221" s="102" t="str">
        <f ca="1">IFERROR(__xludf.DUMMYFUNCTION("IMPORTRANGE(H39221,""IDENTITAS UNIT!D9"")"),"#N/A")</f>
        <v>#N/A</v>
      </c>
      <c r="H39221" s="4" t="str">
        <v/>
      </c>
      <c r="I39221" s="4" t="str">
        <v/>
      </c>
    </row>
    <row r="39222" spans="5:9" ht="16.5" hidden="1">
      <c r="E39222" s="4" t="str">
        <v/>
      </c>
      <c r="F39222" s="102" t="str">
        <f ca="1">IFERROR(__xludf.DUMMYFUNCTION("IMPORTRANGE(H39222,""IDENTITAS UNIT!D9"")"),"#N/A")</f>
        <v>#N/A</v>
      </c>
      <c r="H39222" s="4" t="str">
        <v/>
      </c>
      <c r="I39222" s="4" t="str">
        <v/>
      </c>
    </row>
    <row r="39223" spans="5:9" ht="16.5" hidden="1">
      <c r="E39223" s="4" t="str">
        <v/>
      </c>
      <c r="F39223" s="102" t="str">
        <f ca="1">IFERROR(__xludf.DUMMYFUNCTION("IMPORTRANGE(H39223,""IDENTITAS UNIT!D9"")"),"#N/A")</f>
        <v>#N/A</v>
      </c>
      <c r="H39223" s="4" t="str">
        <v/>
      </c>
      <c r="I39223" s="4" t="str">
        <v/>
      </c>
    </row>
    <row r="39224" spans="5:9" ht="16.5" hidden="1">
      <c r="E39224" s="4" t="str">
        <v/>
      </c>
      <c r="F39224" s="102" t="str">
        <f ca="1">IFERROR(__xludf.DUMMYFUNCTION("IMPORTRANGE(H39224,""IDENTITAS UNIT!D9"")"),"#N/A")</f>
        <v>#N/A</v>
      </c>
      <c r="H39224" s="4" t="str">
        <v/>
      </c>
      <c r="I39224" s="4" t="str">
        <v/>
      </c>
    </row>
    <row r="39225" spans="5:9" ht="16.5" hidden="1">
      <c r="E39225" s="4" t="str">
        <v/>
      </c>
      <c r="F39225" s="102" t="str">
        <f ca="1">IFERROR(__xludf.DUMMYFUNCTION("IMPORTRANGE(H39225,""IDENTITAS UNIT!D9"")"),"#N/A")</f>
        <v>#N/A</v>
      </c>
      <c r="H39225" s="4" t="str">
        <v/>
      </c>
      <c r="I39225" s="4" t="str">
        <v/>
      </c>
    </row>
    <row r="39226" spans="5:9" ht="16.5" hidden="1">
      <c r="E39226" s="4" t="str">
        <v/>
      </c>
      <c r="F39226" s="102" t="str">
        <f ca="1">IFERROR(__xludf.DUMMYFUNCTION("IMPORTRANGE(H39226,""IDENTITAS UNIT!D9"")"),"#N/A")</f>
        <v>#N/A</v>
      </c>
      <c r="H39226" s="4" t="str">
        <v/>
      </c>
      <c r="I39226" s="4" t="str">
        <v/>
      </c>
    </row>
    <row r="39227" spans="5:9" ht="16.5" hidden="1">
      <c r="E39227" s="4" t="str">
        <v/>
      </c>
      <c r="F39227" s="102" t="str">
        <f ca="1">IFERROR(__xludf.DUMMYFUNCTION("IMPORTRANGE(H39227,""IDENTITAS UNIT!D9"")"),"#N/A")</f>
        <v>#N/A</v>
      </c>
      <c r="H39227" s="4" t="str">
        <v/>
      </c>
      <c r="I39227" s="4" t="str">
        <v/>
      </c>
    </row>
    <row r="39228" spans="5:9" ht="16.5" hidden="1">
      <c r="E39228" s="4" t="str">
        <v/>
      </c>
      <c r="F39228" s="102" t="str">
        <f ca="1">IFERROR(__xludf.DUMMYFUNCTION("IMPORTRANGE(H39228,""IDENTITAS UNIT!D9"")"),"#N/A")</f>
        <v>#N/A</v>
      </c>
      <c r="H39228" s="4" t="str">
        <v/>
      </c>
      <c r="I39228" s="4" t="str">
        <v/>
      </c>
    </row>
    <row r="39229" spans="5:9" ht="16.5" hidden="1">
      <c r="E39229" s="4" t="str">
        <v/>
      </c>
      <c r="F39229" s="102" t="str">
        <f ca="1">IFERROR(__xludf.DUMMYFUNCTION("IMPORTRANGE(H39229,""IDENTITAS UNIT!D9"")"),"#N/A")</f>
        <v>#N/A</v>
      </c>
      <c r="H39229" s="4" t="str">
        <v/>
      </c>
      <c r="I39229" s="4" t="str">
        <v/>
      </c>
    </row>
    <row r="39230" spans="5:9" ht="16.5" hidden="1">
      <c r="E39230" s="4" t="str">
        <v/>
      </c>
      <c r="F39230" s="102" t="str">
        <f ca="1">IFERROR(__xludf.DUMMYFUNCTION("IMPORTRANGE(H39230,""IDENTITAS UNIT!D9"")"),"#N/A")</f>
        <v>#N/A</v>
      </c>
      <c r="H39230" s="4" t="str">
        <v/>
      </c>
      <c r="I39230" s="4" t="str">
        <v/>
      </c>
    </row>
    <row r="39231" spans="5:9" ht="16.5" hidden="1">
      <c r="E39231" s="4" t="str">
        <v/>
      </c>
      <c r="F39231" s="102" t="str">
        <f ca="1">IFERROR(__xludf.DUMMYFUNCTION("IMPORTRANGE(H39231,""IDENTITAS UNIT!D9"")"),"#N/A")</f>
        <v>#N/A</v>
      </c>
      <c r="H39231" s="4" t="str">
        <v/>
      </c>
      <c r="I39231" s="4" t="str">
        <v/>
      </c>
    </row>
    <row r="39232" spans="5:9" ht="16.5" hidden="1">
      <c r="E39232" s="4" t="str">
        <v/>
      </c>
      <c r="F39232" s="102" t="str">
        <f ca="1">IFERROR(__xludf.DUMMYFUNCTION("IMPORTRANGE(H39232,""IDENTITAS UNIT!D9"")"),"#N/A")</f>
        <v>#N/A</v>
      </c>
      <c r="H39232" s="4" t="str">
        <v/>
      </c>
      <c r="I39232" s="4" t="str">
        <v/>
      </c>
    </row>
    <row r="39233" spans="5:9" ht="16.5" hidden="1">
      <c r="E39233" s="4" t="str">
        <v/>
      </c>
      <c r="F39233" s="102" t="str">
        <f ca="1">IFERROR(__xludf.DUMMYFUNCTION("IMPORTRANGE(H39233,""IDENTITAS UNIT!D9"")"),"#N/A")</f>
        <v>#N/A</v>
      </c>
      <c r="H39233" s="4" t="str">
        <v/>
      </c>
      <c r="I39233" s="4" t="str">
        <v/>
      </c>
    </row>
    <row r="39234" spans="5:9" ht="16.5" hidden="1">
      <c r="E39234" s="4" t="str">
        <v/>
      </c>
      <c r="F39234" s="102" t="str">
        <f ca="1">IFERROR(__xludf.DUMMYFUNCTION("IMPORTRANGE(H39234,""IDENTITAS UNIT!D9"")"),"#N/A")</f>
        <v>#N/A</v>
      </c>
      <c r="H39234" s="4" t="str">
        <v/>
      </c>
      <c r="I39234" s="4" t="str">
        <v/>
      </c>
    </row>
    <row r="39235" spans="5:9" ht="16.5" hidden="1">
      <c r="E39235" s="4" t="str">
        <v/>
      </c>
      <c r="F39235" s="102" t="str">
        <f ca="1">IFERROR(__xludf.DUMMYFUNCTION("IMPORTRANGE(H39235,""IDENTITAS UNIT!D9"")"),"#N/A")</f>
        <v>#N/A</v>
      </c>
      <c r="H39235" s="4" t="str">
        <v/>
      </c>
      <c r="I39235" s="4" t="str">
        <v/>
      </c>
    </row>
    <row r="39236" spans="5:9" ht="16.5" hidden="1">
      <c r="E39236" s="4" t="str">
        <v/>
      </c>
      <c r="F39236" s="102" t="str">
        <f ca="1">IFERROR(__xludf.DUMMYFUNCTION("IMPORTRANGE(H39236,""IDENTITAS UNIT!D9"")"),"#N/A")</f>
        <v>#N/A</v>
      </c>
      <c r="H39236" s="4" t="str">
        <v/>
      </c>
      <c r="I39236" s="4" t="str">
        <v/>
      </c>
    </row>
    <row r="39237" spans="5:9" ht="16.5" hidden="1">
      <c r="E39237" s="4" t="str">
        <v/>
      </c>
      <c r="F39237" s="102" t="str">
        <f ca="1">IFERROR(__xludf.DUMMYFUNCTION("IMPORTRANGE(H39237,""IDENTITAS UNIT!D9"")"),"#N/A")</f>
        <v>#N/A</v>
      </c>
      <c r="H39237" s="4" t="str">
        <v/>
      </c>
      <c r="I39237" s="4" t="str">
        <v/>
      </c>
    </row>
    <row r="39238" spans="5:9" ht="16.5" hidden="1">
      <c r="E39238" s="4" t="str">
        <v/>
      </c>
      <c r="F39238" s="102" t="str">
        <f ca="1">IFERROR(__xludf.DUMMYFUNCTION("IMPORTRANGE(H39238,""IDENTITAS UNIT!D9"")"),"#N/A")</f>
        <v>#N/A</v>
      </c>
      <c r="H39238" s="4" t="str">
        <v/>
      </c>
      <c r="I39238" s="4" t="str">
        <v/>
      </c>
    </row>
    <row r="39239" spans="5:9" ht="16.5" hidden="1">
      <c r="E39239" s="4" t="str">
        <v/>
      </c>
      <c r="F39239" s="102" t="str">
        <f ca="1">IFERROR(__xludf.DUMMYFUNCTION("IMPORTRANGE(H39239,""IDENTITAS UNIT!D9"")"),"#N/A")</f>
        <v>#N/A</v>
      </c>
      <c r="H39239" s="4" t="str">
        <v/>
      </c>
      <c r="I39239" s="4" t="str">
        <v/>
      </c>
    </row>
    <row r="39240" spans="5:9" ht="16.5" hidden="1">
      <c r="E39240" s="4" t="str">
        <v/>
      </c>
      <c r="F39240" s="102" t="str">
        <f ca="1">IFERROR(__xludf.DUMMYFUNCTION("IMPORTRANGE(H39240,""IDENTITAS UNIT!D9"")"),"#N/A")</f>
        <v>#N/A</v>
      </c>
      <c r="H39240" s="4" t="str">
        <v/>
      </c>
      <c r="I39240" s="4" t="str">
        <v/>
      </c>
    </row>
    <row r="39241" spans="5:9" ht="16.5" hidden="1">
      <c r="E39241" s="4" t="str">
        <v/>
      </c>
      <c r="F39241" s="102" t="str">
        <f ca="1">IFERROR(__xludf.DUMMYFUNCTION("IMPORTRANGE(H39241,""IDENTITAS UNIT!D9"")"),"#N/A")</f>
        <v>#N/A</v>
      </c>
      <c r="H39241" s="4" t="str">
        <v/>
      </c>
      <c r="I39241" s="4" t="str">
        <v/>
      </c>
    </row>
    <row r="39242" spans="5:9" ht="16.5" hidden="1">
      <c r="E39242" s="4" t="str">
        <v/>
      </c>
      <c r="F39242" s="102" t="str">
        <f ca="1">IFERROR(__xludf.DUMMYFUNCTION("IMPORTRANGE(H39242,""IDENTITAS UNIT!D9"")"),"#N/A")</f>
        <v>#N/A</v>
      </c>
      <c r="H39242" s="4" t="str">
        <v/>
      </c>
      <c r="I39242" s="4" t="str">
        <v/>
      </c>
    </row>
    <row r="39243" spans="5:9" ht="16.5" hidden="1">
      <c r="E39243" s="4" t="str">
        <v/>
      </c>
      <c r="F39243" s="102" t="str">
        <f ca="1">IFERROR(__xludf.DUMMYFUNCTION("IMPORTRANGE(H39243,""IDENTITAS UNIT!D9"")"),"#N/A")</f>
        <v>#N/A</v>
      </c>
      <c r="H39243" s="4" t="str">
        <v/>
      </c>
      <c r="I39243" s="4" t="str">
        <v/>
      </c>
    </row>
    <row r="39244" spans="5:9" ht="16.5" hidden="1">
      <c r="E39244" s="4" t="str">
        <v/>
      </c>
      <c r="F39244" s="102" t="str">
        <f ca="1">IFERROR(__xludf.DUMMYFUNCTION("IMPORTRANGE(H39244,""IDENTITAS UNIT!D9"")"),"#N/A")</f>
        <v>#N/A</v>
      </c>
      <c r="H39244" s="4" t="str">
        <v/>
      </c>
      <c r="I39244" s="4" t="str">
        <v/>
      </c>
    </row>
    <row r="39245" spans="5:9" ht="16.5" hidden="1">
      <c r="E39245" s="4" t="str">
        <v/>
      </c>
      <c r="F39245" s="102" t="str">
        <f ca="1">IFERROR(__xludf.DUMMYFUNCTION("IMPORTRANGE(H39245,""IDENTITAS UNIT!D9"")"),"#N/A")</f>
        <v>#N/A</v>
      </c>
      <c r="H39245" s="4" t="str">
        <v/>
      </c>
      <c r="I39245" s="4" t="str">
        <v/>
      </c>
    </row>
    <row r="39246" spans="5:9" ht="16.5" hidden="1">
      <c r="E39246" s="4" t="str">
        <v/>
      </c>
      <c r="F39246" s="102" t="str">
        <f ca="1">IFERROR(__xludf.DUMMYFUNCTION("IMPORTRANGE(H39246,""IDENTITAS UNIT!D9"")"),"#N/A")</f>
        <v>#N/A</v>
      </c>
      <c r="H39246" s="4" t="str">
        <v/>
      </c>
      <c r="I39246" s="4" t="str">
        <v/>
      </c>
    </row>
    <row r="39247" spans="5:9" ht="16.5" hidden="1">
      <c r="E39247" s="4" t="str">
        <v/>
      </c>
      <c r="F39247" s="102" t="str">
        <f ca="1">IFERROR(__xludf.DUMMYFUNCTION("IMPORTRANGE(H39247,""IDENTITAS UNIT!D9"")"),"#N/A")</f>
        <v>#N/A</v>
      </c>
      <c r="H39247" s="4" t="str">
        <v/>
      </c>
      <c r="I39247" s="4" t="str">
        <v/>
      </c>
    </row>
    <row r="39248" spans="5:9" ht="16.5" hidden="1">
      <c r="E39248" s="4" t="str">
        <v/>
      </c>
      <c r="F39248" s="102" t="str">
        <f ca="1">IFERROR(__xludf.DUMMYFUNCTION("IMPORTRANGE(H39248,""IDENTITAS UNIT!D9"")"),"#N/A")</f>
        <v>#N/A</v>
      </c>
      <c r="H39248" s="4" t="str">
        <v/>
      </c>
      <c r="I39248" s="4" t="str">
        <v/>
      </c>
    </row>
    <row r="39249" spans="5:9" ht="16.5" hidden="1">
      <c r="E39249" s="4" t="str">
        <v/>
      </c>
      <c r="F39249" s="102" t="str">
        <f ca="1">IFERROR(__xludf.DUMMYFUNCTION("IMPORTRANGE(H39249,""IDENTITAS UNIT!D9"")"),"#N/A")</f>
        <v>#N/A</v>
      </c>
      <c r="H39249" s="4" t="str">
        <v/>
      </c>
      <c r="I39249" s="4" t="str">
        <v/>
      </c>
    </row>
    <row r="39250" spans="5:9" ht="16.5" hidden="1">
      <c r="E39250" s="4" t="str">
        <v/>
      </c>
      <c r="F39250" s="102" t="str">
        <f ca="1">IFERROR(__xludf.DUMMYFUNCTION("IMPORTRANGE(H39250,""IDENTITAS UNIT!D9"")"),"#N/A")</f>
        <v>#N/A</v>
      </c>
      <c r="H39250" s="4" t="str">
        <v/>
      </c>
      <c r="I39250" s="4" t="str">
        <v/>
      </c>
    </row>
    <row r="39251" spans="5:9" ht="16.5" hidden="1">
      <c r="E39251" s="4" t="str">
        <v/>
      </c>
      <c r="F39251" s="102" t="str">
        <f ca="1">IFERROR(__xludf.DUMMYFUNCTION("IMPORTRANGE(H39251,""IDENTITAS UNIT!D9"")"),"#N/A")</f>
        <v>#N/A</v>
      </c>
      <c r="H39251" s="4" t="str">
        <v/>
      </c>
      <c r="I39251" s="4" t="str">
        <v/>
      </c>
    </row>
    <row r="39252" spans="5:9" ht="16.5" hidden="1">
      <c r="E39252" s="4" t="str">
        <v/>
      </c>
      <c r="F39252" s="102" t="str">
        <f ca="1">IFERROR(__xludf.DUMMYFUNCTION("IMPORTRANGE(H39252,""IDENTITAS UNIT!D9"")"),"#N/A")</f>
        <v>#N/A</v>
      </c>
      <c r="H39252" s="4" t="str">
        <v/>
      </c>
      <c r="I39252" s="4" t="str">
        <v/>
      </c>
    </row>
    <row r="39253" spans="5:9" ht="16.5" hidden="1">
      <c r="E39253" s="4" t="str">
        <v/>
      </c>
      <c r="F39253" s="102" t="str">
        <f ca="1">IFERROR(__xludf.DUMMYFUNCTION("IMPORTRANGE(H39253,""IDENTITAS UNIT!D9"")"),"#N/A")</f>
        <v>#N/A</v>
      </c>
      <c r="H39253" s="4" t="str">
        <v/>
      </c>
      <c r="I39253" s="4" t="str">
        <v/>
      </c>
    </row>
    <row r="39254" spans="5:9" ht="16.5" hidden="1">
      <c r="E39254" s="4" t="str">
        <v/>
      </c>
      <c r="F39254" s="102" t="str">
        <f ca="1">IFERROR(__xludf.DUMMYFUNCTION("IMPORTRANGE(H39254,""IDENTITAS UNIT!D9"")"),"#N/A")</f>
        <v>#N/A</v>
      </c>
      <c r="H39254" s="4" t="str">
        <v/>
      </c>
      <c r="I39254" s="4" t="str">
        <v/>
      </c>
    </row>
    <row r="39255" spans="5:9" ht="16.5" hidden="1">
      <c r="E39255" s="4" t="str">
        <v/>
      </c>
      <c r="F39255" s="102" t="str">
        <f ca="1">IFERROR(__xludf.DUMMYFUNCTION("IMPORTRANGE(H39255,""IDENTITAS UNIT!D9"")"),"#N/A")</f>
        <v>#N/A</v>
      </c>
      <c r="H39255" s="4" t="str">
        <v/>
      </c>
      <c r="I39255" s="4" t="str">
        <v/>
      </c>
    </row>
    <row r="39256" spans="5:9" ht="16.5" hidden="1">
      <c r="E39256" s="4" t="str">
        <v/>
      </c>
      <c r="F39256" s="102" t="str">
        <f ca="1">IFERROR(__xludf.DUMMYFUNCTION("IMPORTRANGE(H39256,""IDENTITAS UNIT!D9"")"),"#N/A")</f>
        <v>#N/A</v>
      </c>
      <c r="H39256" s="4" t="str">
        <v/>
      </c>
      <c r="I39256" s="4" t="str">
        <v/>
      </c>
    </row>
    <row r="39257" spans="5:9" ht="16.5" hidden="1">
      <c r="E39257" s="4" t="str">
        <v/>
      </c>
      <c r="F39257" s="102" t="str">
        <f ca="1">IFERROR(__xludf.DUMMYFUNCTION("IMPORTRANGE(H39257,""IDENTITAS UNIT!D9"")"),"#N/A")</f>
        <v>#N/A</v>
      </c>
      <c r="H39257" s="4" t="str">
        <v/>
      </c>
      <c r="I39257" s="4" t="str">
        <v/>
      </c>
    </row>
    <row r="39258" spans="5:9" ht="16.5" hidden="1">
      <c r="E39258" s="4" t="str">
        <v/>
      </c>
      <c r="F39258" s="102" t="str">
        <f ca="1">IFERROR(__xludf.DUMMYFUNCTION("IMPORTRANGE(H39258,""IDENTITAS UNIT!D9"")"),"#N/A")</f>
        <v>#N/A</v>
      </c>
      <c r="H39258" s="4" t="str">
        <v/>
      </c>
      <c r="I39258" s="4" t="str">
        <v/>
      </c>
    </row>
    <row r="39259" spans="5:9" ht="16.5" hidden="1">
      <c r="E39259" s="4" t="str">
        <v/>
      </c>
      <c r="F39259" s="102" t="str">
        <f ca="1">IFERROR(__xludf.DUMMYFUNCTION("IMPORTRANGE(H39259,""IDENTITAS UNIT!D9"")"),"#N/A")</f>
        <v>#N/A</v>
      </c>
      <c r="H39259" s="4" t="str">
        <v/>
      </c>
      <c r="I39259" s="4" t="str">
        <v/>
      </c>
    </row>
    <row r="39260" spans="5:9" ht="16.5" hidden="1">
      <c r="E39260" s="4" t="str">
        <v/>
      </c>
      <c r="F39260" s="102" t="str">
        <f ca="1">IFERROR(__xludf.DUMMYFUNCTION("IMPORTRANGE(H39260,""IDENTITAS UNIT!D9"")"),"#N/A")</f>
        <v>#N/A</v>
      </c>
      <c r="H39260" s="4" t="str">
        <v/>
      </c>
      <c r="I39260" s="4" t="str">
        <v/>
      </c>
    </row>
    <row r="39261" spans="5:9" ht="16.5" hidden="1">
      <c r="E39261" s="4" t="str">
        <v/>
      </c>
      <c r="F39261" s="102" t="str">
        <f ca="1">IFERROR(__xludf.DUMMYFUNCTION("IMPORTRANGE(H39261,""IDENTITAS UNIT!D9"")"),"#N/A")</f>
        <v>#N/A</v>
      </c>
      <c r="H39261" s="4" t="str">
        <v/>
      </c>
      <c r="I39261" s="4" t="str">
        <v/>
      </c>
    </row>
    <row r="39262" spans="5:9" ht="16.5" hidden="1">
      <c r="E39262" s="4" t="str">
        <v/>
      </c>
      <c r="F39262" s="102" t="str">
        <f ca="1">IFERROR(__xludf.DUMMYFUNCTION("IMPORTRANGE(H39262,""IDENTITAS UNIT!D9"")"),"#N/A")</f>
        <v>#N/A</v>
      </c>
      <c r="H39262" s="4" t="str">
        <v/>
      </c>
      <c r="I39262" s="4" t="str">
        <v/>
      </c>
    </row>
    <row r="39263" spans="5:9" ht="16.5" hidden="1">
      <c r="E39263" s="4" t="str">
        <v/>
      </c>
      <c r="F39263" s="102" t="str">
        <f ca="1">IFERROR(__xludf.DUMMYFUNCTION("IMPORTRANGE(H39263,""IDENTITAS UNIT!D9"")"),"#N/A")</f>
        <v>#N/A</v>
      </c>
      <c r="H39263" s="4" t="str">
        <v/>
      </c>
      <c r="I39263" s="4" t="str">
        <v/>
      </c>
    </row>
    <row r="39264" spans="5:9" ht="16.5" hidden="1">
      <c r="E39264" s="4" t="str">
        <v/>
      </c>
      <c r="F39264" s="102" t="str">
        <f ca="1">IFERROR(__xludf.DUMMYFUNCTION("IMPORTRANGE(H39264,""IDENTITAS UNIT!D9"")"),"#N/A")</f>
        <v>#N/A</v>
      </c>
      <c r="H39264" s="4" t="str">
        <v/>
      </c>
      <c r="I39264" s="4" t="str">
        <v/>
      </c>
    </row>
    <row r="39265" spans="5:9" ht="16.5" hidden="1">
      <c r="E39265" s="4" t="str">
        <v/>
      </c>
      <c r="F39265" s="102" t="str">
        <f ca="1">IFERROR(__xludf.DUMMYFUNCTION("IMPORTRANGE(H39265,""IDENTITAS UNIT!D9"")"),"#N/A")</f>
        <v>#N/A</v>
      </c>
      <c r="H39265" s="4" t="str">
        <v/>
      </c>
      <c r="I39265" s="4" t="str">
        <v/>
      </c>
    </row>
    <row r="39266" spans="5:9" ht="16.5" hidden="1">
      <c r="E39266" s="4" t="str">
        <v/>
      </c>
      <c r="F39266" s="102" t="str">
        <f ca="1">IFERROR(__xludf.DUMMYFUNCTION("IMPORTRANGE(H39266,""IDENTITAS UNIT!D9"")"),"#N/A")</f>
        <v>#N/A</v>
      </c>
      <c r="H39266" s="4" t="str">
        <v/>
      </c>
      <c r="I39266" s="4" t="str">
        <v/>
      </c>
    </row>
    <row r="39267" spans="5:9" ht="16.5" hidden="1">
      <c r="E39267" s="4" t="str">
        <v/>
      </c>
      <c r="F39267" s="102" t="str">
        <f ca="1">IFERROR(__xludf.DUMMYFUNCTION("IMPORTRANGE(H39267,""IDENTITAS UNIT!D9"")"),"#N/A")</f>
        <v>#N/A</v>
      </c>
      <c r="H39267" s="4" t="str">
        <v/>
      </c>
      <c r="I39267" s="4" t="str">
        <v/>
      </c>
    </row>
    <row r="39268" spans="5:9" ht="16.5" hidden="1">
      <c r="E39268" s="4" t="str">
        <v/>
      </c>
      <c r="F39268" s="102" t="str">
        <f ca="1">IFERROR(__xludf.DUMMYFUNCTION("IMPORTRANGE(H39268,""IDENTITAS UNIT!D9"")"),"#N/A")</f>
        <v>#N/A</v>
      </c>
      <c r="H39268" s="4" t="str">
        <v/>
      </c>
      <c r="I39268" s="4" t="str">
        <v/>
      </c>
    </row>
    <row r="39269" spans="5:9" ht="16.5" hidden="1">
      <c r="E39269" s="4" t="str">
        <v/>
      </c>
      <c r="F39269" s="102" t="str">
        <f ca="1">IFERROR(__xludf.DUMMYFUNCTION("IMPORTRANGE(H39269,""IDENTITAS UNIT!D9"")"),"#N/A")</f>
        <v>#N/A</v>
      </c>
      <c r="H39269" s="4" t="str">
        <v/>
      </c>
      <c r="I39269" s="4" t="str">
        <v/>
      </c>
    </row>
    <row r="39270" spans="5:9" ht="16.5" hidden="1">
      <c r="E39270" s="4" t="str">
        <v/>
      </c>
      <c r="F39270" s="102" t="str">
        <f ca="1">IFERROR(__xludf.DUMMYFUNCTION("IMPORTRANGE(H39270,""IDENTITAS UNIT!D9"")"),"#N/A")</f>
        <v>#N/A</v>
      </c>
      <c r="H39270" s="4" t="str">
        <v/>
      </c>
      <c r="I39270" s="4" t="str">
        <v/>
      </c>
    </row>
    <row r="39271" spans="5:9" ht="16.5" hidden="1">
      <c r="E39271" s="4" t="str">
        <v/>
      </c>
      <c r="F39271" s="102" t="str">
        <f ca="1">IFERROR(__xludf.DUMMYFUNCTION("IMPORTRANGE(H39271,""IDENTITAS UNIT!D9"")"),"#N/A")</f>
        <v>#N/A</v>
      </c>
      <c r="H39271" s="4" t="str">
        <v/>
      </c>
      <c r="I39271" s="4" t="str">
        <v/>
      </c>
    </row>
    <row r="39272" spans="5:9" ht="16.5" hidden="1">
      <c r="E39272" s="4" t="str">
        <v/>
      </c>
      <c r="F39272" s="102" t="str">
        <f ca="1">IFERROR(__xludf.DUMMYFUNCTION("IMPORTRANGE(H39272,""IDENTITAS UNIT!D9"")"),"#N/A")</f>
        <v>#N/A</v>
      </c>
      <c r="H39272" s="4" t="str">
        <v/>
      </c>
      <c r="I39272" s="4" t="str">
        <v/>
      </c>
    </row>
    <row r="39273" spans="5:9" ht="16.5" hidden="1">
      <c r="E39273" s="4" t="str">
        <v/>
      </c>
      <c r="F39273" s="102" t="str">
        <f ca="1">IFERROR(__xludf.DUMMYFUNCTION("IMPORTRANGE(H39273,""IDENTITAS UNIT!D9"")"),"#N/A")</f>
        <v>#N/A</v>
      </c>
      <c r="H39273" s="4" t="str">
        <v/>
      </c>
      <c r="I39273" s="4" t="str">
        <v/>
      </c>
    </row>
    <row r="39274" spans="5:9" ht="16.5" hidden="1">
      <c r="E39274" s="4" t="str">
        <v/>
      </c>
      <c r="F39274" s="102" t="str">
        <f ca="1">IFERROR(__xludf.DUMMYFUNCTION("IMPORTRANGE(H39274,""IDENTITAS UNIT!D9"")"),"#N/A")</f>
        <v>#N/A</v>
      </c>
      <c r="H39274" s="4" t="str">
        <v/>
      </c>
      <c r="I39274" s="4" t="str">
        <v/>
      </c>
    </row>
    <row r="39275" spans="5:9" ht="16.5" hidden="1">
      <c r="E39275" s="4" t="str">
        <v/>
      </c>
      <c r="F39275" s="102" t="str">
        <f ca="1">IFERROR(__xludf.DUMMYFUNCTION("IMPORTRANGE(H39275,""IDENTITAS UNIT!D9"")"),"#N/A")</f>
        <v>#N/A</v>
      </c>
      <c r="H39275" s="4" t="str">
        <v/>
      </c>
      <c r="I39275" s="4" t="str">
        <v/>
      </c>
    </row>
    <row r="39276" spans="5:9" ht="16.5" hidden="1">
      <c r="E39276" s="4" t="str">
        <v/>
      </c>
      <c r="F39276" s="102" t="str">
        <f ca="1">IFERROR(__xludf.DUMMYFUNCTION("IMPORTRANGE(H39276,""IDENTITAS UNIT!D9"")"),"#N/A")</f>
        <v>#N/A</v>
      </c>
      <c r="H39276" s="4" t="str">
        <v/>
      </c>
      <c r="I39276" s="4" t="str">
        <v/>
      </c>
    </row>
    <row r="39277" spans="5:9" ht="16.5" hidden="1">
      <c r="E39277" s="4" t="str">
        <v/>
      </c>
      <c r="F39277" s="102" t="str">
        <f ca="1">IFERROR(__xludf.DUMMYFUNCTION("IMPORTRANGE(H39277,""IDENTITAS UNIT!D9"")"),"#N/A")</f>
        <v>#N/A</v>
      </c>
      <c r="H39277" s="4" t="str">
        <v/>
      </c>
      <c r="I39277" s="4" t="str">
        <v/>
      </c>
    </row>
    <row r="39278" spans="5:9" ht="16.5" hidden="1">
      <c r="E39278" s="4" t="str">
        <v/>
      </c>
      <c r="F39278" s="102" t="str">
        <f ca="1">IFERROR(__xludf.DUMMYFUNCTION("IMPORTRANGE(H39278,""IDENTITAS UNIT!D9"")"),"#N/A")</f>
        <v>#N/A</v>
      </c>
      <c r="H39278" s="4" t="str">
        <v/>
      </c>
      <c r="I39278" s="4" t="str">
        <v/>
      </c>
    </row>
    <row r="39279" spans="5:9" ht="16.5" hidden="1">
      <c r="E39279" s="4" t="str">
        <v/>
      </c>
      <c r="F39279" s="102" t="str">
        <f ca="1">IFERROR(__xludf.DUMMYFUNCTION("IMPORTRANGE(H39279,""IDENTITAS UNIT!D9"")"),"#N/A")</f>
        <v>#N/A</v>
      </c>
      <c r="H39279" s="4" t="str">
        <v/>
      </c>
      <c r="I39279" s="4" t="str">
        <v/>
      </c>
    </row>
    <row r="39280" spans="5:9" ht="16.5" hidden="1">
      <c r="E39280" s="4" t="str">
        <v/>
      </c>
      <c r="F39280" s="102" t="str">
        <f ca="1">IFERROR(__xludf.DUMMYFUNCTION("IMPORTRANGE(H39280,""IDENTITAS UNIT!D9"")"),"#N/A")</f>
        <v>#N/A</v>
      </c>
      <c r="H39280" s="4" t="str">
        <v/>
      </c>
      <c r="I39280" s="4" t="str">
        <v/>
      </c>
    </row>
    <row r="39281" spans="5:9" ht="16.5" hidden="1">
      <c r="E39281" s="4" t="str">
        <v/>
      </c>
      <c r="F39281" s="102" t="str">
        <f ca="1">IFERROR(__xludf.DUMMYFUNCTION("IMPORTRANGE(H39281,""IDENTITAS UNIT!D9"")"),"#N/A")</f>
        <v>#N/A</v>
      </c>
      <c r="H39281" s="4" t="str">
        <v/>
      </c>
      <c r="I39281" s="4" t="str">
        <v/>
      </c>
    </row>
    <row r="39282" spans="5:9" ht="16.5" hidden="1">
      <c r="E39282" s="4" t="str">
        <v/>
      </c>
      <c r="F39282" s="102" t="str">
        <f ca="1">IFERROR(__xludf.DUMMYFUNCTION("IMPORTRANGE(H39282,""IDENTITAS UNIT!D9"")"),"#N/A")</f>
        <v>#N/A</v>
      </c>
      <c r="H39282" s="4" t="str">
        <v/>
      </c>
      <c r="I39282" s="4" t="str">
        <v/>
      </c>
    </row>
    <row r="39283" spans="5:9" ht="16.5" hidden="1">
      <c r="E39283" s="4" t="str">
        <v/>
      </c>
      <c r="F39283" s="102" t="str">
        <f ca="1">IFERROR(__xludf.DUMMYFUNCTION("IMPORTRANGE(H39283,""IDENTITAS UNIT!D9"")"),"#N/A")</f>
        <v>#N/A</v>
      </c>
      <c r="H39283" s="4" t="str">
        <v/>
      </c>
      <c r="I39283" s="4" t="str">
        <v/>
      </c>
    </row>
    <row r="39284" spans="5:9" ht="16.5" hidden="1">
      <c r="E39284" s="4" t="str">
        <v/>
      </c>
      <c r="F39284" s="102" t="str">
        <f ca="1">IFERROR(__xludf.DUMMYFUNCTION("IMPORTRANGE(H39284,""IDENTITAS UNIT!D9"")"),"#N/A")</f>
        <v>#N/A</v>
      </c>
      <c r="H39284" s="4" t="str">
        <v/>
      </c>
      <c r="I39284" s="4" t="str">
        <v/>
      </c>
    </row>
    <row r="39285" spans="5:9" ht="16.5" hidden="1">
      <c r="E39285" s="4" t="str">
        <v/>
      </c>
      <c r="F39285" s="102" t="str">
        <f ca="1">IFERROR(__xludf.DUMMYFUNCTION("IMPORTRANGE(H39285,""IDENTITAS UNIT!D9"")"),"#N/A")</f>
        <v>#N/A</v>
      </c>
      <c r="H39285" s="4" t="str">
        <v/>
      </c>
      <c r="I39285" s="4" t="str">
        <v/>
      </c>
    </row>
    <row r="39286" spans="5:9" ht="16.5" hidden="1">
      <c r="E39286" s="4" t="str">
        <v/>
      </c>
      <c r="F39286" s="102" t="str">
        <f ca="1">IFERROR(__xludf.DUMMYFUNCTION("IMPORTRANGE(H39286,""IDENTITAS UNIT!D9"")"),"#N/A")</f>
        <v>#N/A</v>
      </c>
      <c r="H39286" s="4" t="str">
        <v/>
      </c>
      <c r="I39286" s="4" t="str">
        <v/>
      </c>
    </row>
    <row r="39287" spans="5:9" ht="16.5" hidden="1">
      <c r="E39287" s="4" t="str">
        <v/>
      </c>
      <c r="F39287" s="102" t="str">
        <f ca="1">IFERROR(__xludf.DUMMYFUNCTION("IMPORTRANGE(H39287,""IDENTITAS UNIT!D9"")"),"#N/A")</f>
        <v>#N/A</v>
      </c>
      <c r="H39287" s="4" t="str">
        <v/>
      </c>
      <c r="I39287" s="4" t="str">
        <v/>
      </c>
    </row>
    <row r="39288" spans="5:9" ht="16.5" hidden="1">
      <c r="E39288" s="4" t="str">
        <v/>
      </c>
      <c r="F39288" s="102" t="str">
        <f ca="1">IFERROR(__xludf.DUMMYFUNCTION("IMPORTRANGE(H39288,""IDENTITAS UNIT!D9"")"),"#N/A")</f>
        <v>#N/A</v>
      </c>
      <c r="H39288" s="4" t="str">
        <v/>
      </c>
      <c r="I39288" s="4" t="str">
        <v/>
      </c>
    </row>
    <row r="39289" spans="5:9" ht="16.5" hidden="1">
      <c r="E39289" s="4" t="str">
        <v/>
      </c>
      <c r="F39289" s="102" t="str">
        <f ca="1">IFERROR(__xludf.DUMMYFUNCTION("IMPORTRANGE(H39289,""IDENTITAS UNIT!D9"")"),"#N/A")</f>
        <v>#N/A</v>
      </c>
      <c r="H39289" s="4" t="str">
        <v/>
      </c>
      <c r="I39289" s="4" t="str">
        <v/>
      </c>
    </row>
    <row r="39290" spans="5:9" ht="16.5" hidden="1">
      <c r="E39290" s="4" t="str">
        <v/>
      </c>
      <c r="F39290" s="102" t="str">
        <f ca="1">IFERROR(__xludf.DUMMYFUNCTION("IMPORTRANGE(H39290,""IDENTITAS UNIT!D9"")"),"#N/A")</f>
        <v>#N/A</v>
      </c>
      <c r="H39290" s="4" t="str">
        <v/>
      </c>
      <c r="I39290" s="4" t="str">
        <v/>
      </c>
    </row>
    <row r="39291" spans="5:9" ht="16.5" hidden="1">
      <c r="E39291" s="4" t="str">
        <v/>
      </c>
      <c r="F39291" s="102" t="str">
        <f ca="1">IFERROR(__xludf.DUMMYFUNCTION("IMPORTRANGE(H39291,""IDENTITAS UNIT!D9"")"),"#N/A")</f>
        <v>#N/A</v>
      </c>
      <c r="H39291" s="4" t="str">
        <v/>
      </c>
      <c r="I39291" s="4" t="str">
        <v/>
      </c>
    </row>
    <row r="39292" spans="5:9" ht="16.5" hidden="1">
      <c r="E39292" s="4" t="str">
        <v/>
      </c>
      <c r="F39292" s="102" t="str">
        <f ca="1">IFERROR(__xludf.DUMMYFUNCTION("IMPORTRANGE(H39292,""IDENTITAS UNIT!D9"")"),"#N/A")</f>
        <v>#N/A</v>
      </c>
      <c r="H39292" s="4" t="str">
        <v/>
      </c>
      <c r="I39292" s="4" t="str">
        <v/>
      </c>
    </row>
    <row r="39293" spans="5:9" ht="16.5" hidden="1">
      <c r="E39293" s="4" t="str">
        <v/>
      </c>
      <c r="F39293" s="102" t="str">
        <f ca="1">IFERROR(__xludf.DUMMYFUNCTION("IMPORTRANGE(H39293,""IDENTITAS UNIT!D9"")"),"#N/A")</f>
        <v>#N/A</v>
      </c>
      <c r="H39293" s="4" t="str">
        <v/>
      </c>
      <c r="I39293" s="4" t="str">
        <v/>
      </c>
    </row>
    <row r="39294" spans="5:9" ht="16.5" hidden="1">
      <c r="E39294" s="4" t="str">
        <v/>
      </c>
      <c r="F39294" s="102" t="str">
        <f ca="1">IFERROR(__xludf.DUMMYFUNCTION("IMPORTRANGE(H39294,""IDENTITAS UNIT!D9"")"),"#N/A")</f>
        <v>#N/A</v>
      </c>
      <c r="H39294" s="4" t="str">
        <v/>
      </c>
      <c r="I39294" s="4" t="str">
        <v/>
      </c>
    </row>
    <row r="39295" spans="5:9" ht="16.5" hidden="1">
      <c r="E39295" s="4" t="str">
        <v/>
      </c>
      <c r="F39295" s="102" t="str">
        <f ca="1">IFERROR(__xludf.DUMMYFUNCTION("IMPORTRANGE(H39295,""IDENTITAS UNIT!D9"")"),"#N/A")</f>
        <v>#N/A</v>
      </c>
      <c r="H39295" s="4" t="str">
        <v/>
      </c>
      <c r="I39295" s="4" t="str">
        <v/>
      </c>
    </row>
    <row r="39296" spans="5:9" ht="16.5" hidden="1">
      <c r="E39296" s="4" t="str">
        <v/>
      </c>
      <c r="F39296" s="102" t="str">
        <f ca="1">IFERROR(__xludf.DUMMYFUNCTION("IMPORTRANGE(H39296,""IDENTITAS UNIT!D9"")"),"#N/A")</f>
        <v>#N/A</v>
      </c>
      <c r="H39296" s="4" t="str">
        <v/>
      </c>
      <c r="I39296" s="4" t="str">
        <v/>
      </c>
    </row>
    <row r="39297" spans="5:9" ht="16.5" hidden="1">
      <c r="E39297" s="4" t="str">
        <v/>
      </c>
      <c r="F39297" s="102" t="str">
        <f ca="1">IFERROR(__xludf.DUMMYFUNCTION("IMPORTRANGE(H39297,""IDENTITAS UNIT!D9"")"),"#N/A")</f>
        <v>#N/A</v>
      </c>
      <c r="H39297" s="4" t="str">
        <v/>
      </c>
      <c r="I39297" s="4" t="str">
        <v/>
      </c>
    </row>
    <row r="39298" spans="5:9" ht="16.5" hidden="1">
      <c r="E39298" s="4" t="str">
        <v/>
      </c>
      <c r="F39298" s="102" t="str">
        <f ca="1">IFERROR(__xludf.DUMMYFUNCTION("IMPORTRANGE(H39298,""IDENTITAS UNIT!D9"")"),"#N/A")</f>
        <v>#N/A</v>
      </c>
      <c r="H39298" s="4" t="str">
        <v/>
      </c>
      <c r="I39298" s="4" t="str">
        <v/>
      </c>
    </row>
    <row r="39299" spans="5:9" ht="16.5" hidden="1">
      <c r="E39299" s="4" t="str">
        <v/>
      </c>
      <c r="F39299" s="102" t="str">
        <f ca="1">IFERROR(__xludf.DUMMYFUNCTION("IMPORTRANGE(H39299,""IDENTITAS UNIT!D9"")"),"#N/A")</f>
        <v>#N/A</v>
      </c>
      <c r="H39299" s="4" t="str">
        <v/>
      </c>
      <c r="I39299" s="4" t="str">
        <v/>
      </c>
    </row>
    <row r="39300" spans="5:9" ht="16.5" hidden="1">
      <c r="E39300" s="4" t="str">
        <v/>
      </c>
      <c r="F39300" s="102" t="str">
        <f ca="1">IFERROR(__xludf.DUMMYFUNCTION("IMPORTRANGE(H39300,""IDENTITAS UNIT!D9"")"),"#N/A")</f>
        <v>#N/A</v>
      </c>
      <c r="H39300" s="4" t="str">
        <v/>
      </c>
      <c r="I39300" s="4" t="str">
        <v/>
      </c>
    </row>
    <row r="39301" spans="5:9" ht="16.5" hidden="1">
      <c r="E39301" s="4" t="str">
        <v/>
      </c>
      <c r="F39301" s="102" t="str">
        <f ca="1">IFERROR(__xludf.DUMMYFUNCTION("IMPORTRANGE(H39301,""IDENTITAS UNIT!D9"")"),"#N/A")</f>
        <v>#N/A</v>
      </c>
      <c r="H39301" s="4" t="str">
        <v/>
      </c>
      <c r="I39301" s="4" t="str">
        <v/>
      </c>
    </row>
    <row r="39302" spans="5:9" ht="16.5" hidden="1">
      <c r="E39302" s="4" t="str">
        <v/>
      </c>
      <c r="F39302" s="102" t="str">
        <f ca="1">IFERROR(__xludf.DUMMYFUNCTION("IMPORTRANGE(H39302,""IDENTITAS UNIT!D9"")"),"#N/A")</f>
        <v>#N/A</v>
      </c>
      <c r="H39302" s="4" t="str">
        <v/>
      </c>
      <c r="I39302" s="4" t="str">
        <v/>
      </c>
    </row>
    <row r="39303" spans="5:9" ht="16.5" hidden="1">
      <c r="E39303" s="4" t="str">
        <v/>
      </c>
      <c r="F39303" s="102" t="str">
        <f ca="1">IFERROR(__xludf.DUMMYFUNCTION("IMPORTRANGE(H39303,""IDENTITAS UNIT!D9"")"),"#N/A")</f>
        <v>#N/A</v>
      </c>
      <c r="H39303" s="4" t="str">
        <v/>
      </c>
      <c r="I39303" s="4" t="str">
        <v/>
      </c>
    </row>
    <row r="39304" spans="5:9" ht="16.5" hidden="1">
      <c r="E39304" s="4" t="str">
        <v/>
      </c>
      <c r="F39304" s="102" t="str">
        <f ca="1">IFERROR(__xludf.DUMMYFUNCTION("IMPORTRANGE(H39304,""IDENTITAS UNIT!D9"")"),"#N/A")</f>
        <v>#N/A</v>
      </c>
      <c r="H39304" s="4" t="str">
        <v/>
      </c>
      <c r="I39304" s="4" t="str">
        <v/>
      </c>
    </row>
    <row r="39305" spans="5:9" ht="16.5" hidden="1">
      <c r="E39305" s="4" t="str">
        <v/>
      </c>
      <c r="F39305" s="102" t="str">
        <f ca="1">IFERROR(__xludf.DUMMYFUNCTION("IMPORTRANGE(H39305,""IDENTITAS UNIT!D9"")"),"#N/A")</f>
        <v>#N/A</v>
      </c>
      <c r="H39305" s="4" t="str">
        <v/>
      </c>
      <c r="I39305" s="4" t="str">
        <v/>
      </c>
    </row>
    <row r="39306" spans="5:9" ht="16.5" hidden="1">
      <c r="E39306" s="4" t="str">
        <v/>
      </c>
      <c r="F39306" s="102" t="str">
        <f ca="1">IFERROR(__xludf.DUMMYFUNCTION("IMPORTRANGE(H39306,""IDENTITAS UNIT!D9"")"),"#N/A")</f>
        <v>#N/A</v>
      </c>
      <c r="H39306" s="4" t="str">
        <v/>
      </c>
      <c r="I39306" s="4" t="str">
        <v/>
      </c>
    </row>
    <row r="39307" spans="5:9" ht="16.5" hidden="1">
      <c r="E39307" s="4" t="str">
        <v/>
      </c>
      <c r="F39307" s="102" t="str">
        <f ca="1">IFERROR(__xludf.DUMMYFUNCTION("IMPORTRANGE(H39307,""IDENTITAS UNIT!D9"")"),"#N/A")</f>
        <v>#N/A</v>
      </c>
      <c r="H39307" s="4" t="str">
        <v/>
      </c>
      <c r="I39307" s="4" t="str">
        <v/>
      </c>
    </row>
    <row r="39308" spans="5:9" ht="16.5" hidden="1">
      <c r="E39308" s="4" t="str">
        <v/>
      </c>
      <c r="F39308" s="102" t="str">
        <f ca="1">IFERROR(__xludf.DUMMYFUNCTION("IMPORTRANGE(H39308,""IDENTITAS UNIT!D9"")"),"#N/A")</f>
        <v>#N/A</v>
      </c>
      <c r="H39308" s="4" t="str">
        <v/>
      </c>
      <c r="I39308" s="4" t="str">
        <v/>
      </c>
    </row>
    <row r="39309" spans="5:9" ht="16.5" hidden="1">
      <c r="E39309" s="4" t="str">
        <v/>
      </c>
      <c r="F39309" s="102" t="str">
        <f ca="1">IFERROR(__xludf.DUMMYFUNCTION("IMPORTRANGE(H39309,""IDENTITAS UNIT!D9"")"),"#N/A")</f>
        <v>#N/A</v>
      </c>
      <c r="H39309" s="4" t="str">
        <v/>
      </c>
      <c r="I39309" s="4" t="str">
        <v/>
      </c>
    </row>
    <row r="39310" spans="5:9" ht="16.5" hidden="1">
      <c r="E39310" s="4" t="str">
        <v/>
      </c>
      <c r="F39310" s="102" t="str">
        <f ca="1">IFERROR(__xludf.DUMMYFUNCTION("IMPORTRANGE(H39310,""IDENTITAS UNIT!D9"")"),"#N/A")</f>
        <v>#N/A</v>
      </c>
      <c r="H39310" s="4" t="str">
        <v/>
      </c>
      <c r="I39310" s="4" t="str">
        <v/>
      </c>
    </row>
    <row r="39311" spans="5:9" ht="16.5" hidden="1">
      <c r="E39311" s="4" t="str">
        <v/>
      </c>
      <c r="F39311" s="102" t="str">
        <f ca="1">IFERROR(__xludf.DUMMYFUNCTION("IMPORTRANGE(H39311,""IDENTITAS UNIT!D9"")"),"#N/A")</f>
        <v>#N/A</v>
      </c>
      <c r="H39311" s="4" t="str">
        <v/>
      </c>
      <c r="I39311" s="4" t="str">
        <v/>
      </c>
    </row>
    <row r="39312" spans="5:9" ht="16.5" hidden="1">
      <c r="E39312" s="4" t="str">
        <v/>
      </c>
      <c r="F39312" s="102" t="str">
        <f ca="1">IFERROR(__xludf.DUMMYFUNCTION("IMPORTRANGE(H39312,""IDENTITAS UNIT!D9"")"),"#N/A")</f>
        <v>#N/A</v>
      </c>
      <c r="H39312" s="4" t="str">
        <v/>
      </c>
      <c r="I39312" s="4" t="str">
        <v/>
      </c>
    </row>
    <row r="39313" spans="5:9" ht="16.5" hidden="1">
      <c r="E39313" s="4" t="str">
        <v/>
      </c>
      <c r="F39313" s="102" t="str">
        <f ca="1">IFERROR(__xludf.DUMMYFUNCTION("IMPORTRANGE(H39313,""IDENTITAS UNIT!D9"")"),"#N/A")</f>
        <v>#N/A</v>
      </c>
      <c r="H39313" s="4" t="str">
        <v/>
      </c>
      <c r="I39313" s="4" t="str">
        <v/>
      </c>
    </row>
    <row r="39314" spans="5:9" ht="16.5" hidden="1">
      <c r="E39314" s="4" t="str">
        <v/>
      </c>
      <c r="F39314" s="102" t="str">
        <f ca="1">IFERROR(__xludf.DUMMYFUNCTION("IMPORTRANGE(H39314,""IDENTITAS UNIT!D9"")"),"#N/A")</f>
        <v>#N/A</v>
      </c>
      <c r="H39314" s="4" t="str">
        <v/>
      </c>
      <c r="I39314" s="4" t="str">
        <v/>
      </c>
    </row>
    <row r="39315" spans="5:9" ht="16.5" hidden="1">
      <c r="E39315" s="4" t="str">
        <v/>
      </c>
      <c r="F39315" s="102" t="str">
        <f ca="1">IFERROR(__xludf.DUMMYFUNCTION("IMPORTRANGE(H39315,""IDENTITAS UNIT!D9"")"),"#N/A")</f>
        <v>#N/A</v>
      </c>
      <c r="H39315" s="4" t="str">
        <v/>
      </c>
      <c r="I39315" s="4" t="str">
        <v/>
      </c>
    </row>
    <row r="39316" spans="5:9" ht="16.5" hidden="1">
      <c r="E39316" s="4" t="str">
        <v/>
      </c>
      <c r="F39316" s="102" t="str">
        <f ca="1">IFERROR(__xludf.DUMMYFUNCTION("IMPORTRANGE(H39316,""IDENTITAS UNIT!D9"")"),"#N/A")</f>
        <v>#N/A</v>
      </c>
      <c r="H39316" s="4" t="str">
        <v/>
      </c>
      <c r="I39316" s="4" t="str">
        <v/>
      </c>
    </row>
    <row r="39317" spans="5:9" ht="16.5" hidden="1">
      <c r="E39317" s="4" t="str">
        <v/>
      </c>
      <c r="F39317" s="102" t="str">
        <f ca="1">IFERROR(__xludf.DUMMYFUNCTION("IMPORTRANGE(H39317,""IDENTITAS UNIT!D9"")"),"#N/A")</f>
        <v>#N/A</v>
      </c>
      <c r="H39317" s="4" t="str">
        <v/>
      </c>
      <c r="I39317" s="4" t="str">
        <v/>
      </c>
    </row>
    <row r="39318" spans="5:9" ht="16.5" hidden="1">
      <c r="E39318" s="4" t="str">
        <v/>
      </c>
      <c r="F39318" s="102" t="str">
        <f ca="1">IFERROR(__xludf.DUMMYFUNCTION("IMPORTRANGE(H39318,""IDENTITAS UNIT!D9"")"),"#N/A")</f>
        <v>#N/A</v>
      </c>
      <c r="H39318" s="4" t="str">
        <v/>
      </c>
      <c r="I39318" s="4" t="str">
        <v/>
      </c>
    </row>
    <row r="39319" spans="5:9" ht="16.5" hidden="1">
      <c r="E39319" s="4" t="str">
        <v/>
      </c>
      <c r="F39319" s="102" t="str">
        <f ca="1">IFERROR(__xludf.DUMMYFUNCTION("IMPORTRANGE(H39319,""IDENTITAS UNIT!D9"")"),"#N/A")</f>
        <v>#N/A</v>
      </c>
      <c r="H39319" s="4" t="str">
        <v/>
      </c>
      <c r="I39319" s="4" t="str">
        <v/>
      </c>
    </row>
    <row r="39320" spans="5:9" ht="16.5" hidden="1">
      <c r="E39320" s="4" t="str">
        <v/>
      </c>
      <c r="F39320" s="102" t="str">
        <f ca="1">IFERROR(__xludf.DUMMYFUNCTION("IMPORTRANGE(H39320,""IDENTITAS UNIT!D9"")"),"#N/A")</f>
        <v>#N/A</v>
      </c>
      <c r="H39320" s="4" t="str">
        <v/>
      </c>
      <c r="I39320" s="4" t="str">
        <v/>
      </c>
    </row>
    <row r="39321" spans="5:9" ht="16.5" hidden="1">
      <c r="E39321" s="4" t="str">
        <v/>
      </c>
      <c r="F39321" s="102" t="str">
        <f ca="1">IFERROR(__xludf.DUMMYFUNCTION("IMPORTRANGE(H39321,""IDENTITAS UNIT!D9"")"),"#N/A")</f>
        <v>#N/A</v>
      </c>
      <c r="H39321" s="4" t="str">
        <v/>
      </c>
      <c r="I39321" s="4" t="str">
        <v/>
      </c>
    </row>
    <row r="39322" spans="5:9" ht="16.5" hidden="1">
      <c r="E39322" s="4" t="str">
        <v/>
      </c>
      <c r="F39322" s="102" t="str">
        <f ca="1">IFERROR(__xludf.DUMMYFUNCTION("IMPORTRANGE(H39322,""IDENTITAS UNIT!D9"")"),"#N/A")</f>
        <v>#N/A</v>
      </c>
      <c r="H39322" s="4" t="str">
        <v/>
      </c>
      <c r="I39322" s="4" t="str">
        <v/>
      </c>
    </row>
    <row r="39323" spans="5:9" ht="16.5" hidden="1">
      <c r="E39323" s="4" t="str">
        <v/>
      </c>
      <c r="F39323" s="102" t="str">
        <f ca="1">IFERROR(__xludf.DUMMYFUNCTION("IMPORTRANGE(H39323,""IDENTITAS UNIT!D9"")"),"#N/A")</f>
        <v>#N/A</v>
      </c>
      <c r="H39323" s="4" t="str">
        <v/>
      </c>
      <c r="I39323" s="4" t="str">
        <v/>
      </c>
    </row>
    <row r="39324" spans="5:9" ht="16.5" hidden="1">
      <c r="E39324" s="4" t="str">
        <v/>
      </c>
      <c r="F39324" s="102" t="str">
        <f ca="1">IFERROR(__xludf.DUMMYFUNCTION("IMPORTRANGE(H39324,""IDENTITAS UNIT!D9"")"),"#N/A")</f>
        <v>#N/A</v>
      </c>
      <c r="H39324" s="4" t="str">
        <v/>
      </c>
      <c r="I39324" s="4" t="str">
        <v/>
      </c>
    </row>
    <row r="39325" spans="5:9" ht="16.5" hidden="1">
      <c r="E39325" s="4" t="str">
        <v/>
      </c>
      <c r="F39325" s="102" t="str">
        <f ca="1">IFERROR(__xludf.DUMMYFUNCTION("IMPORTRANGE(H39325,""IDENTITAS UNIT!D9"")"),"#N/A")</f>
        <v>#N/A</v>
      </c>
      <c r="H39325" s="4" t="str">
        <v/>
      </c>
      <c r="I39325" s="4" t="str">
        <v/>
      </c>
    </row>
    <row r="39326" spans="5:9" ht="16.5" hidden="1">
      <c r="E39326" s="4" t="str">
        <v/>
      </c>
      <c r="F39326" s="102" t="str">
        <f ca="1">IFERROR(__xludf.DUMMYFUNCTION("IMPORTRANGE(H39326,""IDENTITAS UNIT!D9"")"),"#N/A")</f>
        <v>#N/A</v>
      </c>
      <c r="H39326" s="4" t="str">
        <v/>
      </c>
      <c r="I39326" s="4" t="str">
        <v/>
      </c>
    </row>
    <row r="39327" spans="5:9" ht="16.5" hidden="1">
      <c r="E39327" s="4" t="str">
        <v/>
      </c>
      <c r="F39327" s="102" t="str">
        <f ca="1">IFERROR(__xludf.DUMMYFUNCTION("IMPORTRANGE(H39327,""IDENTITAS UNIT!D9"")"),"#N/A")</f>
        <v>#N/A</v>
      </c>
      <c r="H39327" s="4" t="str">
        <v/>
      </c>
      <c r="I39327" s="4" t="str">
        <v/>
      </c>
    </row>
    <row r="39328" spans="5:9" ht="16.5" hidden="1">
      <c r="E39328" s="4" t="str">
        <v/>
      </c>
      <c r="F39328" s="102" t="str">
        <f ca="1">IFERROR(__xludf.DUMMYFUNCTION("IMPORTRANGE(H39328,""IDENTITAS UNIT!D9"")"),"#N/A")</f>
        <v>#N/A</v>
      </c>
      <c r="H39328" s="4" t="str">
        <v/>
      </c>
      <c r="I39328" s="4" t="str">
        <v/>
      </c>
    </row>
    <row r="39329" spans="5:9" ht="16.5" hidden="1">
      <c r="E39329" s="4" t="str">
        <v/>
      </c>
      <c r="F39329" s="102" t="str">
        <f ca="1">IFERROR(__xludf.DUMMYFUNCTION("IMPORTRANGE(H39329,""IDENTITAS UNIT!D9"")"),"#N/A")</f>
        <v>#N/A</v>
      </c>
      <c r="H39329" s="4" t="str">
        <v/>
      </c>
      <c r="I39329" s="4" t="str">
        <v/>
      </c>
    </row>
    <row r="39330" spans="5:9" ht="16.5" hidden="1">
      <c r="E39330" s="4" t="str">
        <v/>
      </c>
      <c r="F39330" s="102" t="str">
        <f ca="1">IFERROR(__xludf.DUMMYFUNCTION("IMPORTRANGE(H39330,""IDENTITAS UNIT!D9"")"),"#N/A")</f>
        <v>#N/A</v>
      </c>
      <c r="H39330" s="4" t="str">
        <v/>
      </c>
      <c r="I39330" s="4" t="str">
        <v/>
      </c>
    </row>
    <row r="39331" spans="5:9" ht="16.5" hidden="1">
      <c r="E39331" s="4" t="str">
        <v/>
      </c>
      <c r="F39331" s="102" t="str">
        <f ca="1">IFERROR(__xludf.DUMMYFUNCTION("IMPORTRANGE(H39331,""IDENTITAS UNIT!D9"")"),"#N/A")</f>
        <v>#N/A</v>
      </c>
      <c r="H39331" s="4" t="str">
        <v/>
      </c>
      <c r="I39331" s="4" t="str">
        <v/>
      </c>
    </row>
    <row r="39332" spans="5:9" ht="16.5" hidden="1">
      <c r="E39332" s="4" t="str">
        <v/>
      </c>
      <c r="F39332" s="102" t="str">
        <f ca="1">IFERROR(__xludf.DUMMYFUNCTION("IMPORTRANGE(H39332,""IDENTITAS UNIT!D9"")"),"#N/A")</f>
        <v>#N/A</v>
      </c>
      <c r="H39332" s="4" t="str">
        <v/>
      </c>
      <c r="I39332" s="4" t="str">
        <v/>
      </c>
    </row>
    <row r="39333" spans="5:9" ht="16.5" hidden="1">
      <c r="E39333" s="4" t="str">
        <v/>
      </c>
      <c r="F39333" s="102" t="str">
        <f ca="1">IFERROR(__xludf.DUMMYFUNCTION("IMPORTRANGE(H39333,""IDENTITAS UNIT!D9"")"),"#N/A")</f>
        <v>#N/A</v>
      </c>
      <c r="H39333" s="4" t="str">
        <v/>
      </c>
      <c r="I39333" s="4" t="str">
        <v/>
      </c>
    </row>
    <row r="39334" spans="5:9" ht="16.5" hidden="1">
      <c r="E39334" s="4" t="str">
        <v/>
      </c>
      <c r="F39334" s="102" t="str">
        <f ca="1">IFERROR(__xludf.DUMMYFUNCTION("IMPORTRANGE(H39334,""IDENTITAS UNIT!D9"")"),"#N/A")</f>
        <v>#N/A</v>
      </c>
      <c r="H39334" s="4" t="str">
        <v/>
      </c>
      <c r="I39334" s="4" t="str">
        <v/>
      </c>
    </row>
    <row r="39335" spans="5:9" ht="16.5" hidden="1">
      <c r="E39335" s="4" t="str">
        <v/>
      </c>
      <c r="F39335" s="102" t="str">
        <f ca="1">IFERROR(__xludf.DUMMYFUNCTION("IMPORTRANGE(H39335,""IDENTITAS UNIT!D9"")"),"#N/A")</f>
        <v>#N/A</v>
      </c>
      <c r="H39335" s="4" t="str">
        <v/>
      </c>
      <c r="I39335" s="4" t="str">
        <v/>
      </c>
    </row>
    <row r="39336" spans="5:9" ht="16.5" hidden="1">
      <c r="E39336" s="4" t="str">
        <v/>
      </c>
      <c r="F39336" s="102" t="str">
        <f ca="1">IFERROR(__xludf.DUMMYFUNCTION("IMPORTRANGE(H39336,""IDENTITAS UNIT!D9"")"),"#N/A")</f>
        <v>#N/A</v>
      </c>
      <c r="H39336" s="4" t="str">
        <v/>
      </c>
      <c r="I39336" s="4" t="str">
        <v/>
      </c>
    </row>
    <row r="39337" spans="5:9" ht="16.5" hidden="1">
      <c r="E39337" s="4" t="str">
        <v/>
      </c>
      <c r="F39337" s="102" t="str">
        <f ca="1">IFERROR(__xludf.DUMMYFUNCTION("IMPORTRANGE(H39337,""IDENTITAS UNIT!D9"")"),"#N/A")</f>
        <v>#N/A</v>
      </c>
      <c r="H39337" s="4" t="str">
        <v/>
      </c>
      <c r="I39337" s="4" t="str">
        <v/>
      </c>
    </row>
    <row r="39338" spans="5:9" ht="16.5" hidden="1">
      <c r="E39338" s="4" t="str">
        <v/>
      </c>
      <c r="F39338" s="102" t="str">
        <f ca="1">IFERROR(__xludf.DUMMYFUNCTION("IMPORTRANGE(H39338,""IDENTITAS UNIT!D9"")"),"#N/A")</f>
        <v>#N/A</v>
      </c>
      <c r="H39338" s="4" t="str">
        <v/>
      </c>
      <c r="I39338" s="4" t="str">
        <v/>
      </c>
    </row>
    <row r="39339" spans="5:9" ht="16.5" hidden="1">
      <c r="E39339" s="4" t="str">
        <v/>
      </c>
      <c r="F39339" s="102" t="str">
        <f ca="1">IFERROR(__xludf.DUMMYFUNCTION("IMPORTRANGE(H39339,""IDENTITAS UNIT!D9"")"),"#N/A")</f>
        <v>#N/A</v>
      </c>
      <c r="H39339" s="4" t="str">
        <v/>
      </c>
      <c r="I39339" s="4" t="str">
        <v/>
      </c>
    </row>
    <row r="39340" spans="5:9" ht="16.5" hidden="1">
      <c r="E39340" s="4" t="str">
        <v/>
      </c>
      <c r="F39340" s="102" t="str">
        <f ca="1">IFERROR(__xludf.DUMMYFUNCTION("IMPORTRANGE(H39340,""IDENTITAS UNIT!D9"")"),"#N/A")</f>
        <v>#N/A</v>
      </c>
      <c r="H39340" s="4" t="str">
        <v/>
      </c>
      <c r="I39340" s="4" t="str">
        <v/>
      </c>
    </row>
    <row r="39341" spans="5:9" ht="16.5" hidden="1">
      <c r="E39341" s="4" t="str">
        <v/>
      </c>
      <c r="F39341" s="102" t="str">
        <f ca="1">IFERROR(__xludf.DUMMYFUNCTION("IMPORTRANGE(H39341,""IDENTITAS UNIT!D9"")"),"#N/A")</f>
        <v>#N/A</v>
      </c>
      <c r="H39341" s="4" t="str">
        <v/>
      </c>
      <c r="I39341" s="4" t="str">
        <v/>
      </c>
    </row>
    <row r="39342" spans="5:9" ht="16.5" hidden="1">
      <c r="E39342" s="4" t="str">
        <v/>
      </c>
      <c r="F39342" s="102" t="str">
        <f ca="1">IFERROR(__xludf.DUMMYFUNCTION("IMPORTRANGE(H39342,""IDENTITAS UNIT!D9"")"),"#N/A")</f>
        <v>#N/A</v>
      </c>
      <c r="H39342" s="4" t="str">
        <v/>
      </c>
      <c r="I39342" s="4" t="str">
        <v/>
      </c>
    </row>
    <row r="39343" spans="5:9" ht="16.5" hidden="1">
      <c r="E39343" s="4" t="str">
        <v/>
      </c>
      <c r="F39343" s="102" t="str">
        <f ca="1">IFERROR(__xludf.DUMMYFUNCTION("IMPORTRANGE(H39343,""IDENTITAS UNIT!D9"")"),"#N/A")</f>
        <v>#N/A</v>
      </c>
      <c r="H39343" s="4" t="str">
        <v/>
      </c>
      <c r="I39343" s="4" t="str">
        <v/>
      </c>
    </row>
    <row r="39344" spans="5:9" ht="16.5" hidden="1">
      <c r="E39344" s="4" t="str">
        <v/>
      </c>
      <c r="F39344" s="102" t="str">
        <f ca="1">IFERROR(__xludf.DUMMYFUNCTION("IMPORTRANGE(H39344,""IDENTITAS UNIT!D9"")"),"#N/A")</f>
        <v>#N/A</v>
      </c>
      <c r="H39344" s="4" t="str">
        <v/>
      </c>
      <c r="I39344" s="4" t="str">
        <v/>
      </c>
    </row>
    <row r="39345" spans="5:9" ht="16.5" hidden="1">
      <c r="E39345" s="4" t="str">
        <v/>
      </c>
      <c r="F39345" s="102" t="str">
        <f ca="1">IFERROR(__xludf.DUMMYFUNCTION("IMPORTRANGE(H39345,""IDENTITAS UNIT!D9"")"),"#N/A")</f>
        <v>#N/A</v>
      </c>
      <c r="H39345" s="4" t="str">
        <v/>
      </c>
      <c r="I39345" s="4" t="str">
        <v/>
      </c>
    </row>
    <row r="39346" spans="5:9" ht="16.5" hidden="1">
      <c r="E39346" s="4" t="str">
        <v/>
      </c>
      <c r="F39346" s="102" t="str">
        <f ca="1">IFERROR(__xludf.DUMMYFUNCTION("IMPORTRANGE(H39346,""IDENTITAS UNIT!D9"")"),"#N/A")</f>
        <v>#N/A</v>
      </c>
      <c r="H39346" s="4" t="str">
        <v/>
      </c>
      <c r="I39346" s="4" t="str">
        <v/>
      </c>
    </row>
    <row r="39347" spans="5:9" ht="16.5" hidden="1">
      <c r="E39347" s="4" t="str">
        <v/>
      </c>
      <c r="F39347" s="102" t="str">
        <f ca="1">IFERROR(__xludf.DUMMYFUNCTION("IMPORTRANGE(H39347,""IDENTITAS UNIT!D9"")"),"#N/A")</f>
        <v>#N/A</v>
      </c>
      <c r="H39347" s="4" t="str">
        <v/>
      </c>
      <c r="I39347" s="4" t="str">
        <v/>
      </c>
    </row>
    <row r="39348" spans="5:9" ht="16.5" hidden="1">
      <c r="E39348" s="4" t="str">
        <v/>
      </c>
      <c r="F39348" s="102" t="str">
        <f ca="1">IFERROR(__xludf.DUMMYFUNCTION("IMPORTRANGE(H39348,""IDENTITAS UNIT!D9"")"),"#N/A")</f>
        <v>#N/A</v>
      </c>
      <c r="H39348" s="4" t="str">
        <v/>
      </c>
      <c r="I39348" s="4" t="str">
        <v/>
      </c>
    </row>
    <row r="39349" spans="5:9" ht="16.5" hidden="1">
      <c r="E39349" s="4" t="str">
        <v/>
      </c>
      <c r="F39349" s="102" t="str">
        <f ca="1">IFERROR(__xludf.DUMMYFUNCTION("IMPORTRANGE(H39349,""IDENTITAS UNIT!D9"")"),"#N/A")</f>
        <v>#N/A</v>
      </c>
      <c r="H39349" s="4" t="str">
        <v/>
      </c>
      <c r="I39349" s="4" t="str">
        <v/>
      </c>
    </row>
    <row r="39350" spans="5:9" ht="16.5" hidden="1">
      <c r="E39350" s="4" t="str">
        <v/>
      </c>
      <c r="F39350" s="102" t="str">
        <f ca="1">IFERROR(__xludf.DUMMYFUNCTION("IMPORTRANGE(H39350,""IDENTITAS UNIT!D9"")"),"#N/A")</f>
        <v>#N/A</v>
      </c>
      <c r="H39350" s="4" t="str">
        <v/>
      </c>
      <c r="I39350" s="4" t="str">
        <v/>
      </c>
    </row>
    <row r="39351" spans="5:9" ht="16.5" hidden="1">
      <c r="E39351" s="4" t="str">
        <v/>
      </c>
      <c r="F39351" s="102" t="str">
        <f ca="1">IFERROR(__xludf.DUMMYFUNCTION("IMPORTRANGE(H39351,""IDENTITAS UNIT!D9"")"),"#N/A")</f>
        <v>#N/A</v>
      </c>
      <c r="H39351" s="4" t="str">
        <v/>
      </c>
      <c r="I39351" s="4" t="str">
        <v/>
      </c>
    </row>
    <row r="39352" spans="5:9" ht="16.5" hidden="1">
      <c r="E39352" s="4" t="str">
        <v/>
      </c>
      <c r="F39352" s="102" t="str">
        <f ca="1">IFERROR(__xludf.DUMMYFUNCTION("IMPORTRANGE(H39352,""IDENTITAS UNIT!D9"")"),"#N/A")</f>
        <v>#N/A</v>
      </c>
      <c r="H39352" s="4" t="str">
        <v/>
      </c>
      <c r="I39352" s="4" t="str">
        <v/>
      </c>
    </row>
    <row r="39353" spans="5:9" ht="16.5" hidden="1">
      <c r="E39353" s="4" t="str">
        <v/>
      </c>
      <c r="F39353" s="102" t="str">
        <f ca="1">IFERROR(__xludf.DUMMYFUNCTION("IMPORTRANGE(H39353,""IDENTITAS UNIT!D9"")"),"#N/A")</f>
        <v>#N/A</v>
      </c>
      <c r="H39353" s="4" t="str">
        <v/>
      </c>
      <c r="I39353" s="4" t="str">
        <v/>
      </c>
    </row>
    <row r="39354" spans="5:9" ht="16.5" hidden="1">
      <c r="E39354" s="4" t="str">
        <v/>
      </c>
      <c r="F39354" s="102" t="str">
        <f ca="1">IFERROR(__xludf.DUMMYFUNCTION("IMPORTRANGE(H39354,""IDENTITAS UNIT!D9"")"),"#N/A")</f>
        <v>#N/A</v>
      </c>
      <c r="H39354" s="4" t="str">
        <v/>
      </c>
      <c r="I39354" s="4" t="str">
        <v/>
      </c>
    </row>
    <row r="39355" spans="5:9" ht="16.5" hidden="1">
      <c r="E39355" s="4" t="str">
        <v/>
      </c>
      <c r="F39355" s="102" t="str">
        <f ca="1">IFERROR(__xludf.DUMMYFUNCTION("IMPORTRANGE(H39355,""IDENTITAS UNIT!D9"")"),"#N/A")</f>
        <v>#N/A</v>
      </c>
      <c r="H39355" s="4" t="str">
        <v/>
      </c>
      <c r="I39355" s="4" t="str">
        <v/>
      </c>
    </row>
    <row r="39356" spans="5:9" ht="16.5" hidden="1">
      <c r="E39356" s="4" t="str">
        <v/>
      </c>
      <c r="F39356" s="102" t="str">
        <f ca="1">IFERROR(__xludf.DUMMYFUNCTION("IMPORTRANGE(H39356,""IDENTITAS UNIT!D9"")"),"#N/A")</f>
        <v>#N/A</v>
      </c>
      <c r="H39356" s="4" t="str">
        <v/>
      </c>
      <c r="I39356" s="4" t="str">
        <v/>
      </c>
    </row>
    <row r="39357" spans="5:9" ht="16.5" hidden="1">
      <c r="E39357" s="4" t="str">
        <v/>
      </c>
      <c r="F39357" s="102" t="str">
        <f ca="1">IFERROR(__xludf.DUMMYFUNCTION("IMPORTRANGE(H39357,""IDENTITAS UNIT!D9"")"),"#N/A")</f>
        <v>#N/A</v>
      </c>
      <c r="H39357" s="4" t="str">
        <v/>
      </c>
      <c r="I39357" s="4" t="str">
        <v/>
      </c>
    </row>
    <row r="39358" spans="5:9" ht="16.5" hidden="1">
      <c r="E39358" s="4" t="str">
        <v/>
      </c>
      <c r="F39358" s="102" t="str">
        <f ca="1">IFERROR(__xludf.DUMMYFUNCTION("IMPORTRANGE(H39358,""IDENTITAS UNIT!D9"")"),"#N/A")</f>
        <v>#N/A</v>
      </c>
      <c r="H39358" s="4" t="str">
        <v/>
      </c>
      <c r="I39358" s="4" t="str">
        <v/>
      </c>
    </row>
    <row r="39359" spans="5:9" ht="16.5" hidden="1">
      <c r="E39359" s="4" t="str">
        <v/>
      </c>
      <c r="F39359" s="102" t="str">
        <f ca="1">IFERROR(__xludf.DUMMYFUNCTION("IMPORTRANGE(H39359,""IDENTITAS UNIT!D9"")"),"#N/A")</f>
        <v>#N/A</v>
      </c>
      <c r="H39359" s="4" t="str">
        <v/>
      </c>
      <c r="I39359" s="4" t="str">
        <v/>
      </c>
    </row>
    <row r="39360" spans="5:9" ht="16.5" hidden="1">
      <c r="E39360" s="4" t="str">
        <v/>
      </c>
      <c r="F39360" s="102" t="str">
        <f ca="1">IFERROR(__xludf.DUMMYFUNCTION("IMPORTRANGE(H39360,""IDENTITAS UNIT!D9"")"),"#N/A")</f>
        <v>#N/A</v>
      </c>
      <c r="H39360" s="4" t="str">
        <v/>
      </c>
      <c r="I39360" s="4" t="str">
        <v/>
      </c>
    </row>
    <row r="39361" spans="5:9" ht="16.5" hidden="1">
      <c r="E39361" s="4" t="str">
        <v/>
      </c>
      <c r="F39361" s="102" t="str">
        <f ca="1">IFERROR(__xludf.DUMMYFUNCTION("IMPORTRANGE(H39361,""IDENTITAS UNIT!D9"")"),"#N/A")</f>
        <v>#N/A</v>
      </c>
      <c r="H39361" s="4" t="str">
        <v/>
      </c>
      <c r="I39361" s="4" t="str">
        <v/>
      </c>
    </row>
    <row r="39362" spans="5:9" ht="16.5" hidden="1">
      <c r="E39362" s="4" t="str">
        <v/>
      </c>
      <c r="F39362" s="102" t="str">
        <f ca="1">IFERROR(__xludf.DUMMYFUNCTION("IMPORTRANGE(H39362,""IDENTITAS UNIT!D9"")"),"#N/A")</f>
        <v>#N/A</v>
      </c>
      <c r="H39362" s="4" t="str">
        <v/>
      </c>
      <c r="I39362" s="4" t="str">
        <v/>
      </c>
    </row>
    <row r="39363" spans="5:9" ht="16.5" hidden="1">
      <c r="E39363" s="4" t="str">
        <v/>
      </c>
      <c r="F39363" s="102" t="str">
        <f ca="1">IFERROR(__xludf.DUMMYFUNCTION("IMPORTRANGE(H39363,""IDENTITAS UNIT!D9"")"),"#N/A")</f>
        <v>#N/A</v>
      </c>
      <c r="H39363" s="4" t="str">
        <v/>
      </c>
      <c r="I39363" s="4" t="str">
        <v/>
      </c>
    </row>
    <row r="39364" spans="5:9" ht="16.5" hidden="1">
      <c r="E39364" s="4" t="str">
        <v/>
      </c>
      <c r="F39364" s="102" t="str">
        <f ca="1">IFERROR(__xludf.DUMMYFUNCTION("IMPORTRANGE(H39364,""IDENTITAS UNIT!D9"")"),"#N/A")</f>
        <v>#N/A</v>
      </c>
      <c r="H39364" s="4" t="str">
        <v/>
      </c>
      <c r="I39364" s="4" t="str">
        <v/>
      </c>
    </row>
    <row r="39365" spans="5:9" ht="16.5" hidden="1">
      <c r="E39365" s="4" t="str">
        <v/>
      </c>
      <c r="F39365" s="102" t="str">
        <f ca="1">IFERROR(__xludf.DUMMYFUNCTION("IMPORTRANGE(H39365,""IDENTITAS UNIT!D9"")"),"#N/A")</f>
        <v>#N/A</v>
      </c>
      <c r="H39365" s="4" t="str">
        <v/>
      </c>
      <c r="I39365" s="4" t="str">
        <v/>
      </c>
    </row>
    <row r="39366" spans="5:9" ht="16.5" hidden="1">
      <c r="E39366" s="4" t="str">
        <v/>
      </c>
      <c r="F39366" s="102" t="str">
        <f ca="1">IFERROR(__xludf.DUMMYFUNCTION("IMPORTRANGE(H39366,""IDENTITAS UNIT!D9"")"),"#N/A")</f>
        <v>#N/A</v>
      </c>
      <c r="H39366" s="4" t="str">
        <v/>
      </c>
      <c r="I39366" s="4" t="str">
        <v/>
      </c>
    </row>
    <row r="39367" spans="5:9" ht="16.5" hidden="1">
      <c r="E39367" s="4" t="str">
        <v/>
      </c>
      <c r="F39367" s="102" t="str">
        <f ca="1">IFERROR(__xludf.DUMMYFUNCTION("IMPORTRANGE(H39367,""IDENTITAS UNIT!D9"")"),"#N/A")</f>
        <v>#N/A</v>
      </c>
      <c r="H39367" s="4" t="str">
        <v/>
      </c>
      <c r="I39367" s="4" t="str">
        <v/>
      </c>
    </row>
    <row r="39368" spans="5:9" ht="16.5" hidden="1">
      <c r="E39368" s="4" t="str">
        <v/>
      </c>
      <c r="F39368" s="102" t="str">
        <f ca="1">IFERROR(__xludf.DUMMYFUNCTION("IMPORTRANGE(H39368,""IDENTITAS UNIT!D9"")"),"#N/A")</f>
        <v>#N/A</v>
      </c>
      <c r="H39368" s="4" t="str">
        <v/>
      </c>
      <c r="I39368" s="4" t="str">
        <v/>
      </c>
    </row>
    <row r="39369" spans="5:9" ht="16.5" hidden="1">
      <c r="E39369" s="4" t="str">
        <v/>
      </c>
      <c r="F39369" s="102" t="str">
        <f ca="1">IFERROR(__xludf.DUMMYFUNCTION("IMPORTRANGE(H39369,""IDENTITAS UNIT!D9"")"),"#N/A")</f>
        <v>#N/A</v>
      </c>
      <c r="H39369" s="4" t="str">
        <v/>
      </c>
      <c r="I39369" s="4" t="str">
        <v/>
      </c>
    </row>
    <row r="39370" spans="5:9" ht="16.5" hidden="1">
      <c r="E39370" s="4" t="str">
        <v/>
      </c>
      <c r="F39370" s="102" t="str">
        <f ca="1">IFERROR(__xludf.DUMMYFUNCTION("IMPORTRANGE(H39370,""IDENTITAS UNIT!D9"")"),"#N/A")</f>
        <v>#N/A</v>
      </c>
      <c r="H39370" s="4" t="str">
        <v/>
      </c>
      <c r="I39370" s="4" t="str">
        <v/>
      </c>
    </row>
    <row r="39371" spans="5:9" ht="16.5" hidden="1">
      <c r="E39371" s="4" t="str">
        <v/>
      </c>
      <c r="F39371" s="102" t="str">
        <f ca="1">IFERROR(__xludf.DUMMYFUNCTION("IMPORTRANGE(H39371,""IDENTITAS UNIT!D9"")"),"#N/A")</f>
        <v>#N/A</v>
      </c>
      <c r="H39371" s="4" t="str">
        <v/>
      </c>
      <c r="I39371" s="4" t="str">
        <v/>
      </c>
    </row>
    <row r="39372" spans="5:9" ht="16.5" hidden="1">
      <c r="E39372" s="4" t="str">
        <v/>
      </c>
      <c r="F39372" s="102" t="str">
        <f ca="1">IFERROR(__xludf.DUMMYFUNCTION("IMPORTRANGE(H39372,""IDENTITAS UNIT!D9"")"),"#N/A")</f>
        <v>#N/A</v>
      </c>
      <c r="H39372" s="4" t="str">
        <v/>
      </c>
      <c r="I39372" s="4" t="str">
        <v/>
      </c>
    </row>
    <row r="39373" spans="5:9" ht="16.5" hidden="1">
      <c r="E39373" s="4" t="str">
        <v/>
      </c>
      <c r="F39373" s="102" t="str">
        <f ca="1">IFERROR(__xludf.DUMMYFUNCTION("IMPORTRANGE(H39373,""IDENTITAS UNIT!D9"")"),"#N/A")</f>
        <v>#N/A</v>
      </c>
      <c r="H39373" s="4" t="str">
        <v/>
      </c>
      <c r="I39373" s="4" t="str">
        <v/>
      </c>
    </row>
    <row r="39374" spans="5:9" ht="16.5" hidden="1">
      <c r="E39374" s="4" t="str">
        <v/>
      </c>
      <c r="F39374" s="102" t="str">
        <f ca="1">IFERROR(__xludf.DUMMYFUNCTION("IMPORTRANGE(H39374,""IDENTITAS UNIT!D9"")"),"#N/A")</f>
        <v>#N/A</v>
      </c>
      <c r="H39374" s="4" t="str">
        <v/>
      </c>
      <c r="I39374" s="4" t="str">
        <v/>
      </c>
    </row>
    <row r="39375" spans="5:9" ht="16.5" hidden="1">
      <c r="E39375" s="4" t="str">
        <v/>
      </c>
      <c r="F39375" s="102" t="str">
        <f ca="1">IFERROR(__xludf.DUMMYFUNCTION("IMPORTRANGE(H39375,""IDENTITAS UNIT!D9"")"),"#N/A")</f>
        <v>#N/A</v>
      </c>
      <c r="H39375" s="4" t="str">
        <v/>
      </c>
      <c r="I39375" s="4" t="str">
        <v/>
      </c>
    </row>
    <row r="39376" spans="5:9" ht="16.5" hidden="1">
      <c r="E39376" s="4" t="str">
        <v/>
      </c>
      <c r="F39376" s="102" t="str">
        <f ca="1">IFERROR(__xludf.DUMMYFUNCTION("IMPORTRANGE(H39376,""IDENTITAS UNIT!D9"")"),"#N/A")</f>
        <v>#N/A</v>
      </c>
      <c r="H39376" s="4" t="str">
        <v/>
      </c>
      <c r="I39376" s="4" t="str">
        <v/>
      </c>
    </row>
    <row r="39377" spans="5:9" ht="16.5" hidden="1">
      <c r="E39377" s="4" t="str">
        <v/>
      </c>
      <c r="F39377" s="102" t="str">
        <f ca="1">IFERROR(__xludf.DUMMYFUNCTION("IMPORTRANGE(H39377,""IDENTITAS UNIT!D9"")"),"#N/A")</f>
        <v>#N/A</v>
      </c>
      <c r="H39377" s="4" t="str">
        <v/>
      </c>
      <c r="I39377" s="4" t="str">
        <v/>
      </c>
    </row>
    <row r="39378" spans="5:9" ht="16.5" hidden="1">
      <c r="E39378" s="4" t="str">
        <v/>
      </c>
      <c r="F39378" s="102" t="str">
        <f ca="1">IFERROR(__xludf.DUMMYFUNCTION("IMPORTRANGE(H39378,""IDENTITAS UNIT!D9"")"),"#N/A")</f>
        <v>#N/A</v>
      </c>
      <c r="H39378" s="4" t="str">
        <v/>
      </c>
      <c r="I39378" s="4" t="str">
        <v/>
      </c>
    </row>
    <row r="39379" spans="5:9" ht="16.5" hidden="1">
      <c r="E39379" s="4" t="str">
        <v/>
      </c>
      <c r="F39379" s="102" t="str">
        <f ca="1">IFERROR(__xludf.DUMMYFUNCTION("IMPORTRANGE(H39379,""IDENTITAS UNIT!D9"")"),"#N/A")</f>
        <v>#N/A</v>
      </c>
      <c r="H39379" s="4" t="str">
        <v/>
      </c>
      <c r="I39379" s="4" t="str">
        <v/>
      </c>
    </row>
    <row r="39380" spans="5:9" ht="16.5" hidden="1">
      <c r="E39380" s="4" t="str">
        <v/>
      </c>
      <c r="F39380" s="102" t="str">
        <f ca="1">IFERROR(__xludf.DUMMYFUNCTION("IMPORTRANGE(H39380,""IDENTITAS UNIT!D9"")"),"#N/A")</f>
        <v>#N/A</v>
      </c>
      <c r="H39380" s="4" t="str">
        <v/>
      </c>
      <c r="I39380" s="4" t="str">
        <v/>
      </c>
    </row>
    <row r="39381" spans="5:9" ht="16.5" hidden="1">
      <c r="E39381" s="4" t="str">
        <v/>
      </c>
      <c r="F39381" s="102" t="str">
        <f ca="1">IFERROR(__xludf.DUMMYFUNCTION("IMPORTRANGE(H39381,""IDENTITAS UNIT!D9"")"),"#N/A")</f>
        <v>#N/A</v>
      </c>
      <c r="H39381" s="4" t="str">
        <v/>
      </c>
      <c r="I39381" s="4" t="str">
        <v/>
      </c>
    </row>
    <row r="39382" spans="5:9" ht="16.5" hidden="1">
      <c r="E39382" s="4" t="str">
        <v/>
      </c>
      <c r="F39382" s="102" t="str">
        <f ca="1">IFERROR(__xludf.DUMMYFUNCTION("IMPORTRANGE(H39382,""IDENTITAS UNIT!D9"")"),"#N/A")</f>
        <v>#N/A</v>
      </c>
      <c r="H39382" s="4" t="str">
        <v/>
      </c>
      <c r="I39382" s="4" t="str">
        <v/>
      </c>
    </row>
    <row r="39383" spans="5:9" ht="16.5" hidden="1">
      <c r="E39383" s="4" t="str">
        <v/>
      </c>
      <c r="F39383" s="102" t="str">
        <f ca="1">IFERROR(__xludf.DUMMYFUNCTION("IMPORTRANGE(H39383,""IDENTITAS UNIT!D9"")"),"#N/A")</f>
        <v>#N/A</v>
      </c>
      <c r="H39383" s="4" t="str">
        <v/>
      </c>
      <c r="I39383" s="4" t="str">
        <v/>
      </c>
    </row>
    <row r="39384" spans="5:9" ht="16.5" hidden="1">
      <c r="E39384" s="4" t="str">
        <v/>
      </c>
      <c r="F39384" s="102" t="str">
        <f ca="1">IFERROR(__xludf.DUMMYFUNCTION("IMPORTRANGE(H39384,""IDENTITAS UNIT!D9"")"),"#N/A")</f>
        <v>#N/A</v>
      </c>
      <c r="H39384" s="4" t="str">
        <v/>
      </c>
      <c r="I39384" s="4" t="str">
        <v/>
      </c>
    </row>
    <row r="39385" spans="5:9" ht="16.5" hidden="1">
      <c r="E39385" s="4" t="str">
        <v/>
      </c>
      <c r="F39385" s="102" t="str">
        <f ca="1">IFERROR(__xludf.DUMMYFUNCTION("IMPORTRANGE(H39385,""IDENTITAS UNIT!D9"")"),"#N/A")</f>
        <v>#N/A</v>
      </c>
      <c r="H39385" s="4" t="str">
        <v/>
      </c>
      <c r="I39385" s="4" t="str">
        <v/>
      </c>
    </row>
    <row r="39386" spans="5:9" ht="16.5" hidden="1">
      <c r="E39386" s="4" t="str">
        <v/>
      </c>
      <c r="F39386" s="102" t="str">
        <f ca="1">IFERROR(__xludf.DUMMYFUNCTION("IMPORTRANGE(H39386,""IDENTITAS UNIT!D9"")"),"#N/A")</f>
        <v>#N/A</v>
      </c>
      <c r="H39386" s="4" t="str">
        <v/>
      </c>
      <c r="I39386" s="4" t="str">
        <v/>
      </c>
    </row>
    <row r="39387" spans="5:9" ht="16.5" hidden="1">
      <c r="E39387" s="4" t="str">
        <v/>
      </c>
      <c r="F39387" s="102" t="str">
        <f ca="1">IFERROR(__xludf.DUMMYFUNCTION("IMPORTRANGE(H39387,""IDENTITAS UNIT!D9"")"),"#N/A")</f>
        <v>#N/A</v>
      </c>
      <c r="H39387" s="4" t="str">
        <v/>
      </c>
      <c r="I39387" s="4" t="str">
        <v/>
      </c>
    </row>
    <row r="39388" spans="5:9" ht="16.5" hidden="1">
      <c r="E39388" s="4" t="str">
        <v/>
      </c>
      <c r="F39388" s="102" t="str">
        <f ca="1">IFERROR(__xludf.DUMMYFUNCTION("IMPORTRANGE(H39388,""IDENTITAS UNIT!D9"")"),"#N/A")</f>
        <v>#N/A</v>
      </c>
      <c r="H39388" s="4" t="str">
        <v/>
      </c>
      <c r="I39388" s="4" t="str">
        <v/>
      </c>
    </row>
    <row r="39389" spans="5:9" ht="16.5" hidden="1">
      <c r="E39389" s="4" t="str">
        <v/>
      </c>
      <c r="F39389" s="102" t="str">
        <f ca="1">IFERROR(__xludf.DUMMYFUNCTION("IMPORTRANGE(H39389,""IDENTITAS UNIT!D9"")"),"#N/A")</f>
        <v>#N/A</v>
      </c>
      <c r="H39389" s="4" t="str">
        <v/>
      </c>
      <c r="I39389" s="4" t="str">
        <v/>
      </c>
    </row>
    <row r="39390" spans="5:9" ht="16.5" hidden="1">
      <c r="E39390" s="4" t="str">
        <v/>
      </c>
      <c r="F39390" s="102" t="str">
        <f ca="1">IFERROR(__xludf.DUMMYFUNCTION("IMPORTRANGE(H39390,""IDENTITAS UNIT!D9"")"),"#N/A")</f>
        <v>#N/A</v>
      </c>
      <c r="H39390" s="4" t="str">
        <v/>
      </c>
      <c r="I39390" s="4" t="str">
        <v/>
      </c>
    </row>
    <row r="39391" spans="5:9" ht="16.5" hidden="1">
      <c r="E39391" s="4" t="str">
        <v/>
      </c>
      <c r="F39391" s="102" t="str">
        <f ca="1">IFERROR(__xludf.DUMMYFUNCTION("IMPORTRANGE(H39391,""IDENTITAS UNIT!D9"")"),"#N/A")</f>
        <v>#N/A</v>
      </c>
      <c r="H39391" s="4" t="str">
        <v/>
      </c>
      <c r="I39391" s="4" t="str">
        <v/>
      </c>
    </row>
    <row r="39392" spans="5:9" ht="16.5" hidden="1">
      <c r="E39392" s="4" t="str">
        <v/>
      </c>
      <c r="F39392" s="102" t="str">
        <f ca="1">IFERROR(__xludf.DUMMYFUNCTION("IMPORTRANGE(H39392,""IDENTITAS UNIT!D9"")"),"#N/A")</f>
        <v>#N/A</v>
      </c>
      <c r="H39392" s="4" t="str">
        <v/>
      </c>
      <c r="I39392" s="4" t="str">
        <v/>
      </c>
    </row>
    <row r="39393" spans="5:9" ht="16.5" hidden="1">
      <c r="E39393" s="4" t="str">
        <v/>
      </c>
      <c r="F39393" s="102" t="str">
        <f ca="1">IFERROR(__xludf.DUMMYFUNCTION("IMPORTRANGE(H39393,""IDENTITAS UNIT!D9"")"),"#N/A")</f>
        <v>#N/A</v>
      </c>
      <c r="H39393" s="4" t="str">
        <v/>
      </c>
      <c r="I39393" s="4" t="str">
        <v/>
      </c>
    </row>
    <row r="39394" spans="5:9" ht="16.5" hidden="1">
      <c r="E39394" s="4" t="str">
        <v/>
      </c>
      <c r="F39394" s="102" t="str">
        <f ca="1">IFERROR(__xludf.DUMMYFUNCTION("IMPORTRANGE(H39394,""IDENTITAS UNIT!D9"")"),"#N/A")</f>
        <v>#N/A</v>
      </c>
      <c r="H39394" s="4" t="str">
        <v/>
      </c>
      <c r="I39394" s="4" t="str">
        <v/>
      </c>
    </row>
    <row r="39395" spans="5:9" ht="16.5" hidden="1">
      <c r="E39395" s="4" t="str">
        <v/>
      </c>
      <c r="F39395" s="102" t="str">
        <f ca="1">IFERROR(__xludf.DUMMYFUNCTION("IMPORTRANGE(H39395,""IDENTITAS UNIT!D9"")"),"#N/A")</f>
        <v>#N/A</v>
      </c>
      <c r="H39395" s="4" t="str">
        <v/>
      </c>
      <c r="I39395" s="4" t="str">
        <v/>
      </c>
    </row>
    <row r="39396" spans="5:9" ht="16.5" hidden="1">
      <c r="E39396" s="4" t="str">
        <v/>
      </c>
      <c r="F39396" s="102" t="str">
        <f ca="1">IFERROR(__xludf.DUMMYFUNCTION("IMPORTRANGE(H39396,""IDENTITAS UNIT!D9"")"),"#N/A")</f>
        <v>#N/A</v>
      </c>
      <c r="H39396" s="4" t="str">
        <v/>
      </c>
      <c r="I39396" s="4" t="str">
        <v/>
      </c>
    </row>
    <row r="39397" spans="5:9" ht="16.5" hidden="1">
      <c r="E39397" s="4" t="str">
        <v/>
      </c>
      <c r="F39397" s="102" t="str">
        <f ca="1">IFERROR(__xludf.DUMMYFUNCTION("IMPORTRANGE(H39397,""IDENTITAS UNIT!D9"")"),"#N/A")</f>
        <v>#N/A</v>
      </c>
      <c r="H39397" s="4" t="str">
        <v/>
      </c>
      <c r="I39397" s="4" t="str">
        <v/>
      </c>
    </row>
    <row r="39398" spans="5:9" ht="16.5" hidden="1">
      <c r="E39398" s="4" t="str">
        <v/>
      </c>
      <c r="F39398" s="102" t="str">
        <f ca="1">IFERROR(__xludf.DUMMYFUNCTION("IMPORTRANGE(H39398,""IDENTITAS UNIT!D9"")"),"#N/A")</f>
        <v>#N/A</v>
      </c>
      <c r="H39398" s="4" t="str">
        <v/>
      </c>
      <c r="I39398" s="4" t="str">
        <v/>
      </c>
    </row>
    <row r="39399" spans="5:9" ht="16.5" hidden="1">
      <c r="E39399" s="4" t="str">
        <v/>
      </c>
      <c r="F39399" s="102" t="str">
        <f ca="1">IFERROR(__xludf.DUMMYFUNCTION("IMPORTRANGE(H39399,""IDENTITAS UNIT!D9"")"),"#N/A")</f>
        <v>#N/A</v>
      </c>
      <c r="H39399" s="4" t="str">
        <v/>
      </c>
      <c r="I39399" s="4" t="str">
        <v/>
      </c>
    </row>
    <row r="39400" spans="5:9" ht="16.5" hidden="1">
      <c r="E39400" s="4" t="str">
        <v/>
      </c>
      <c r="F39400" s="102" t="str">
        <f ca="1">IFERROR(__xludf.DUMMYFUNCTION("IMPORTRANGE(H39400,""IDENTITAS UNIT!D9"")"),"#N/A")</f>
        <v>#N/A</v>
      </c>
      <c r="H39400" s="4" t="str">
        <v/>
      </c>
      <c r="I39400" s="4" t="str">
        <v/>
      </c>
    </row>
    <row r="39401" spans="5:9" ht="16.5" hidden="1">
      <c r="E39401" s="4" t="str">
        <v/>
      </c>
      <c r="F39401" s="102" t="str">
        <f ca="1">IFERROR(__xludf.DUMMYFUNCTION("IMPORTRANGE(H39401,""IDENTITAS UNIT!D9"")"),"#N/A")</f>
        <v>#N/A</v>
      </c>
      <c r="H39401" s="4" t="str">
        <v/>
      </c>
      <c r="I39401" s="4" t="str">
        <v/>
      </c>
    </row>
    <row r="39402" spans="5:9" ht="16.5" hidden="1">
      <c r="E39402" s="4" t="str">
        <v/>
      </c>
      <c r="F39402" s="102" t="str">
        <f ca="1">IFERROR(__xludf.DUMMYFUNCTION("IMPORTRANGE(H39402,""IDENTITAS UNIT!D9"")"),"#N/A")</f>
        <v>#N/A</v>
      </c>
      <c r="H39402" s="4" t="str">
        <v/>
      </c>
      <c r="I39402" s="4" t="str">
        <v/>
      </c>
    </row>
    <row r="39403" spans="5:9" ht="16.5" hidden="1">
      <c r="E39403" s="4" t="str">
        <v/>
      </c>
      <c r="F39403" s="102" t="str">
        <f ca="1">IFERROR(__xludf.DUMMYFUNCTION("IMPORTRANGE(H39403,""IDENTITAS UNIT!D9"")"),"#N/A")</f>
        <v>#N/A</v>
      </c>
      <c r="H39403" s="4" t="str">
        <v/>
      </c>
      <c r="I39403" s="4" t="str">
        <v/>
      </c>
    </row>
    <row r="39404" spans="5:9" ht="16.5" hidden="1">
      <c r="E39404" s="4" t="str">
        <v/>
      </c>
      <c r="F39404" s="102" t="str">
        <f ca="1">IFERROR(__xludf.DUMMYFUNCTION("IMPORTRANGE(H39404,""IDENTITAS UNIT!D9"")"),"#N/A")</f>
        <v>#N/A</v>
      </c>
      <c r="H39404" s="4" t="str">
        <v/>
      </c>
      <c r="I39404" s="4" t="str">
        <v/>
      </c>
    </row>
    <row r="39405" spans="5:9" ht="16.5" hidden="1">
      <c r="E39405" s="4" t="str">
        <v/>
      </c>
      <c r="F39405" s="102" t="str">
        <f ca="1">IFERROR(__xludf.DUMMYFUNCTION("IMPORTRANGE(H39405,""IDENTITAS UNIT!D9"")"),"#N/A")</f>
        <v>#N/A</v>
      </c>
      <c r="H39405" s="4" t="str">
        <v/>
      </c>
      <c r="I39405" s="4" t="str">
        <v/>
      </c>
    </row>
    <row r="39406" spans="5:9" ht="16.5" hidden="1">
      <c r="E39406" s="4" t="str">
        <v/>
      </c>
      <c r="F39406" s="102" t="str">
        <f ca="1">IFERROR(__xludf.DUMMYFUNCTION("IMPORTRANGE(H39406,""IDENTITAS UNIT!D9"")"),"#N/A")</f>
        <v>#N/A</v>
      </c>
      <c r="H39406" s="4" t="str">
        <v/>
      </c>
      <c r="I39406" s="4" t="str">
        <v/>
      </c>
    </row>
    <row r="39407" spans="5:9" ht="16.5" hidden="1">
      <c r="E39407" s="4" t="str">
        <v/>
      </c>
      <c r="F39407" s="102" t="str">
        <f ca="1">IFERROR(__xludf.DUMMYFUNCTION("IMPORTRANGE(H39407,""IDENTITAS UNIT!D9"")"),"#N/A")</f>
        <v>#N/A</v>
      </c>
      <c r="H39407" s="4" t="str">
        <v/>
      </c>
      <c r="I39407" s="4" t="str">
        <v/>
      </c>
    </row>
    <row r="39408" spans="5:9" ht="16.5" hidden="1">
      <c r="E39408" s="4" t="str">
        <v/>
      </c>
      <c r="F39408" s="102" t="str">
        <f ca="1">IFERROR(__xludf.DUMMYFUNCTION("IMPORTRANGE(H39408,""IDENTITAS UNIT!D9"")"),"#N/A")</f>
        <v>#N/A</v>
      </c>
      <c r="H39408" s="4" t="str">
        <v/>
      </c>
      <c r="I39408" s="4" t="str">
        <v/>
      </c>
    </row>
    <row r="39409" spans="5:9" ht="16.5" hidden="1">
      <c r="E39409" s="4" t="str">
        <v/>
      </c>
      <c r="F39409" s="102" t="str">
        <f ca="1">IFERROR(__xludf.DUMMYFUNCTION("IMPORTRANGE(H39409,""IDENTITAS UNIT!D9"")"),"#N/A")</f>
        <v>#N/A</v>
      </c>
      <c r="H39409" s="4" t="str">
        <v/>
      </c>
      <c r="I39409" s="4" t="str">
        <v/>
      </c>
    </row>
    <row r="39410" spans="5:9" ht="16.5" hidden="1">
      <c r="E39410" s="4" t="str">
        <v/>
      </c>
      <c r="F39410" s="102" t="str">
        <f ca="1">IFERROR(__xludf.DUMMYFUNCTION("IMPORTRANGE(H39410,""IDENTITAS UNIT!D9"")"),"#N/A")</f>
        <v>#N/A</v>
      </c>
      <c r="H39410" s="4" t="str">
        <v/>
      </c>
      <c r="I39410" s="4" t="str">
        <v/>
      </c>
    </row>
    <row r="39411" spans="5:9" ht="16.5" hidden="1">
      <c r="E39411" s="4" t="str">
        <v/>
      </c>
      <c r="F39411" s="102" t="str">
        <f ca="1">IFERROR(__xludf.DUMMYFUNCTION("IMPORTRANGE(H39411,""IDENTITAS UNIT!D9"")"),"#N/A")</f>
        <v>#N/A</v>
      </c>
      <c r="H39411" s="4" t="str">
        <v/>
      </c>
      <c r="I39411" s="4" t="str">
        <v/>
      </c>
    </row>
    <row r="39412" spans="5:9" ht="16.5" hidden="1">
      <c r="E39412" s="4" t="str">
        <v/>
      </c>
      <c r="F39412" s="102" t="str">
        <f ca="1">IFERROR(__xludf.DUMMYFUNCTION("IMPORTRANGE(H39412,""IDENTITAS UNIT!D9"")"),"#N/A")</f>
        <v>#N/A</v>
      </c>
      <c r="H39412" s="4" t="str">
        <v/>
      </c>
      <c r="I39412" s="4" t="str">
        <v/>
      </c>
    </row>
    <row r="39413" spans="5:9" ht="16.5" hidden="1">
      <c r="E39413" s="4" t="str">
        <v/>
      </c>
      <c r="F39413" s="102" t="str">
        <f ca="1">IFERROR(__xludf.DUMMYFUNCTION("IMPORTRANGE(H39413,""IDENTITAS UNIT!D9"")"),"#N/A")</f>
        <v>#N/A</v>
      </c>
      <c r="H39413" s="4" t="str">
        <v/>
      </c>
      <c r="I39413" s="4" t="str">
        <v/>
      </c>
    </row>
    <row r="39414" spans="5:9" ht="16.5" hidden="1">
      <c r="E39414" s="4" t="str">
        <v/>
      </c>
      <c r="F39414" s="102" t="str">
        <f ca="1">IFERROR(__xludf.DUMMYFUNCTION("IMPORTRANGE(H39414,""IDENTITAS UNIT!D9"")"),"#N/A")</f>
        <v>#N/A</v>
      </c>
      <c r="H39414" s="4" t="str">
        <v/>
      </c>
      <c r="I39414" s="4" t="str">
        <v/>
      </c>
    </row>
    <row r="39415" spans="5:9" ht="16.5" hidden="1">
      <c r="E39415" s="4" t="str">
        <v/>
      </c>
      <c r="F39415" s="102" t="str">
        <f ca="1">IFERROR(__xludf.DUMMYFUNCTION("IMPORTRANGE(H39415,""IDENTITAS UNIT!D9"")"),"#N/A")</f>
        <v>#N/A</v>
      </c>
      <c r="H39415" s="4" t="str">
        <v/>
      </c>
      <c r="I39415" s="4" t="str">
        <v/>
      </c>
    </row>
    <row r="39416" spans="5:9" ht="16.5" hidden="1">
      <c r="E39416" s="4" t="str">
        <v/>
      </c>
      <c r="F39416" s="102" t="str">
        <f ca="1">IFERROR(__xludf.DUMMYFUNCTION("IMPORTRANGE(H39416,""IDENTITAS UNIT!D9"")"),"#N/A")</f>
        <v>#N/A</v>
      </c>
      <c r="H39416" s="4" t="str">
        <v/>
      </c>
      <c r="I39416" s="4" t="str">
        <v/>
      </c>
    </row>
    <row r="39417" spans="5:9" ht="16.5" hidden="1">
      <c r="E39417" s="4" t="str">
        <v/>
      </c>
      <c r="F39417" s="102" t="str">
        <f ca="1">IFERROR(__xludf.DUMMYFUNCTION("IMPORTRANGE(H39417,""IDENTITAS UNIT!D9"")"),"#N/A")</f>
        <v>#N/A</v>
      </c>
      <c r="H39417" s="4" t="str">
        <v/>
      </c>
      <c r="I39417" s="4" t="str">
        <v/>
      </c>
    </row>
    <row r="39418" spans="5:9" ht="16.5" hidden="1">
      <c r="E39418" s="4" t="str">
        <v/>
      </c>
      <c r="F39418" s="102" t="str">
        <f ca="1">IFERROR(__xludf.DUMMYFUNCTION("IMPORTRANGE(H39418,""IDENTITAS UNIT!D9"")"),"#N/A")</f>
        <v>#N/A</v>
      </c>
      <c r="H39418" s="4" t="str">
        <v/>
      </c>
      <c r="I39418" s="4" t="str">
        <v/>
      </c>
    </row>
    <row r="39419" spans="5:9" ht="16.5" hidden="1">
      <c r="E39419" s="4" t="str">
        <v/>
      </c>
      <c r="F39419" s="102" t="str">
        <f ca="1">IFERROR(__xludf.DUMMYFUNCTION("IMPORTRANGE(H39419,""IDENTITAS UNIT!D9"")"),"#N/A")</f>
        <v>#N/A</v>
      </c>
      <c r="H39419" s="4" t="str">
        <v/>
      </c>
      <c r="I39419" s="4" t="str">
        <v/>
      </c>
    </row>
    <row r="39420" spans="5:9" ht="16.5" hidden="1">
      <c r="E39420" s="4" t="str">
        <v/>
      </c>
      <c r="F39420" s="102" t="str">
        <f ca="1">IFERROR(__xludf.DUMMYFUNCTION("IMPORTRANGE(H39420,""IDENTITAS UNIT!D9"")"),"#N/A")</f>
        <v>#N/A</v>
      </c>
      <c r="H39420" s="4" t="str">
        <v/>
      </c>
      <c r="I39420" s="4" t="str">
        <v/>
      </c>
    </row>
    <row r="39421" spans="5:9" ht="16.5" hidden="1">
      <c r="E39421" s="4" t="str">
        <v/>
      </c>
      <c r="F39421" s="102" t="str">
        <f ca="1">IFERROR(__xludf.DUMMYFUNCTION("IMPORTRANGE(H39421,""IDENTITAS UNIT!D9"")"),"#N/A")</f>
        <v>#N/A</v>
      </c>
      <c r="H39421" s="4" t="str">
        <v/>
      </c>
      <c r="I39421" s="4" t="str">
        <v/>
      </c>
    </row>
    <row r="39422" spans="5:9" ht="16.5" hidden="1">
      <c r="E39422" s="4" t="str">
        <v/>
      </c>
      <c r="F39422" s="102" t="str">
        <f ca="1">IFERROR(__xludf.DUMMYFUNCTION("IMPORTRANGE(H39422,""IDENTITAS UNIT!D9"")"),"#N/A")</f>
        <v>#N/A</v>
      </c>
      <c r="H39422" s="4" t="str">
        <v/>
      </c>
      <c r="I39422" s="4" t="str">
        <v/>
      </c>
    </row>
    <row r="39423" spans="5:9" ht="16.5" hidden="1">
      <c r="E39423" s="4" t="str">
        <v/>
      </c>
      <c r="F39423" s="102" t="str">
        <f ca="1">IFERROR(__xludf.DUMMYFUNCTION("IMPORTRANGE(H39423,""IDENTITAS UNIT!D9"")"),"#N/A")</f>
        <v>#N/A</v>
      </c>
      <c r="H39423" s="4" t="str">
        <v/>
      </c>
      <c r="I39423" s="4" t="str">
        <v/>
      </c>
    </row>
    <row r="39424" spans="5:9" ht="16.5" hidden="1">
      <c r="E39424" s="4" t="str">
        <v/>
      </c>
      <c r="F39424" s="102" t="str">
        <f ca="1">IFERROR(__xludf.DUMMYFUNCTION("IMPORTRANGE(H39424,""IDENTITAS UNIT!D9"")"),"#N/A")</f>
        <v>#N/A</v>
      </c>
      <c r="H39424" s="4" t="str">
        <v/>
      </c>
      <c r="I39424" s="4" t="str">
        <v/>
      </c>
    </row>
    <row r="39425" spans="5:9" ht="16.5" hidden="1">
      <c r="E39425" s="4" t="str">
        <v/>
      </c>
      <c r="F39425" s="102" t="str">
        <f ca="1">IFERROR(__xludf.DUMMYFUNCTION("IMPORTRANGE(H39425,""IDENTITAS UNIT!D9"")"),"#N/A")</f>
        <v>#N/A</v>
      </c>
      <c r="H39425" s="4" t="str">
        <v/>
      </c>
      <c r="I39425" s="4" t="str">
        <v/>
      </c>
    </row>
    <row r="39426" spans="5:9" ht="16.5" hidden="1">
      <c r="E39426" s="4" t="str">
        <v/>
      </c>
      <c r="F39426" s="102" t="str">
        <f ca="1">IFERROR(__xludf.DUMMYFUNCTION("IMPORTRANGE(H39426,""IDENTITAS UNIT!D9"")"),"#N/A")</f>
        <v>#N/A</v>
      </c>
      <c r="H39426" s="4" t="str">
        <v/>
      </c>
      <c r="I39426" s="4" t="str">
        <v/>
      </c>
    </row>
    <row r="39427" spans="5:9" ht="16.5" hidden="1">
      <c r="E39427" s="4" t="str">
        <v/>
      </c>
      <c r="F39427" s="102" t="str">
        <f ca="1">IFERROR(__xludf.DUMMYFUNCTION("IMPORTRANGE(H39427,""IDENTITAS UNIT!D9"")"),"#N/A")</f>
        <v>#N/A</v>
      </c>
      <c r="H39427" s="4" t="str">
        <v/>
      </c>
      <c r="I39427" s="4" t="str">
        <v/>
      </c>
    </row>
    <row r="39428" spans="5:9" ht="16.5" hidden="1">
      <c r="E39428" s="4" t="str">
        <v/>
      </c>
      <c r="F39428" s="102" t="str">
        <f ca="1">IFERROR(__xludf.DUMMYFUNCTION("IMPORTRANGE(H39428,""IDENTITAS UNIT!D9"")"),"#N/A")</f>
        <v>#N/A</v>
      </c>
      <c r="H39428" s="4" t="str">
        <v/>
      </c>
      <c r="I39428" s="4" t="str">
        <v/>
      </c>
    </row>
    <row r="39429" spans="5:9" ht="16.5" hidden="1">
      <c r="E39429" s="4" t="str">
        <v/>
      </c>
      <c r="F39429" s="102" t="str">
        <f ca="1">IFERROR(__xludf.DUMMYFUNCTION("IMPORTRANGE(H39429,""IDENTITAS UNIT!D9"")"),"#N/A")</f>
        <v>#N/A</v>
      </c>
      <c r="H39429" s="4" t="str">
        <v/>
      </c>
      <c r="I39429" s="4" t="str">
        <v/>
      </c>
    </row>
    <row r="39430" spans="5:9" ht="16.5" hidden="1">
      <c r="E39430" s="4" t="str">
        <v/>
      </c>
      <c r="F39430" s="102" t="str">
        <f ca="1">IFERROR(__xludf.DUMMYFUNCTION("IMPORTRANGE(H39430,""IDENTITAS UNIT!D9"")"),"#N/A")</f>
        <v>#N/A</v>
      </c>
      <c r="H39430" s="4" t="str">
        <v/>
      </c>
      <c r="I39430" s="4" t="str">
        <v/>
      </c>
    </row>
    <row r="39431" spans="5:9" ht="16.5" hidden="1">
      <c r="E39431" s="4" t="str">
        <v/>
      </c>
      <c r="F39431" s="102" t="str">
        <f ca="1">IFERROR(__xludf.DUMMYFUNCTION("IMPORTRANGE(H39431,""IDENTITAS UNIT!D9"")"),"#N/A")</f>
        <v>#N/A</v>
      </c>
      <c r="H39431" s="4" t="str">
        <v/>
      </c>
      <c r="I39431" s="4" t="str">
        <v/>
      </c>
    </row>
    <row r="39432" spans="5:9" ht="16.5" hidden="1">
      <c r="E39432" s="4" t="str">
        <v/>
      </c>
      <c r="F39432" s="102" t="str">
        <f ca="1">IFERROR(__xludf.DUMMYFUNCTION("IMPORTRANGE(H39432,""IDENTITAS UNIT!D9"")"),"#N/A")</f>
        <v>#N/A</v>
      </c>
      <c r="H39432" s="4" t="str">
        <v/>
      </c>
      <c r="I39432" s="4" t="str">
        <v/>
      </c>
    </row>
    <row r="39433" spans="5:9" ht="16.5" hidden="1">
      <c r="E39433" s="4" t="str">
        <v/>
      </c>
      <c r="F39433" s="102" t="str">
        <f ca="1">IFERROR(__xludf.DUMMYFUNCTION("IMPORTRANGE(H39433,""IDENTITAS UNIT!D9"")"),"#N/A")</f>
        <v>#N/A</v>
      </c>
      <c r="H39433" s="4" t="str">
        <v/>
      </c>
      <c r="I39433" s="4" t="str">
        <v/>
      </c>
    </row>
    <row r="39434" spans="5:9" ht="16.5" hidden="1">
      <c r="E39434" s="4" t="str">
        <v/>
      </c>
      <c r="F39434" s="102" t="str">
        <f ca="1">IFERROR(__xludf.DUMMYFUNCTION("IMPORTRANGE(H39434,""IDENTITAS UNIT!D9"")"),"#N/A")</f>
        <v>#N/A</v>
      </c>
      <c r="H39434" s="4" t="str">
        <v/>
      </c>
      <c r="I39434" s="4" t="str">
        <v/>
      </c>
    </row>
    <row r="39435" spans="5:9" ht="16.5" hidden="1">
      <c r="E39435" s="4" t="str">
        <v/>
      </c>
      <c r="F39435" s="102" t="str">
        <f ca="1">IFERROR(__xludf.DUMMYFUNCTION("IMPORTRANGE(H39435,""IDENTITAS UNIT!D9"")"),"#N/A")</f>
        <v>#N/A</v>
      </c>
      <c r="H39435" s="4" t="str">
        <v/>
      </c>
      <c r="I39435" s="4" t="str">
        <v/>
      </c>
    </row>
    <row r="39436" spans="5:9" ht="16.5" hidden="1">
      <c r="E39436" s="4" t="str">
        <v/>
      </c>
      <c r="F39436" s="102" t="str">
        <f ca="1">IFERROR(__xludf.DUMMYFUNCTION("IMPORTRANGE(H39436,""IDENTITAS UNIT!D9"")"),"#N/A")</f>
        <v>#N/A</v>
      </c>
      <c r="H39436" s="4" t="str">
        <v/>
      </c>
      <c r="I39436" s="4" t="str">
        <v/>
      </c>
    </row>
    <row r="39437" spans="5:9" ht="16.5" hidden="1">
      <c r="E39437" s="4" t="str">
        <v/>
      </c>
      <c r="F39437" s="102" t="str">
        <f ca="1">IFERROR(__xludf.DUMMYFUNCTION("IMPORTRANGE(H39437,""IDENTITAS UNIT!D9"")"),"#N/A")</f>
        <v>#N/A</v>
      </c>
      <c r="H39437" s="4" t="str">
        <v/>
      </c>
      <c r="I39437" s="4" t="str">
        <v/>
      </c>
    </row>
    <row r="39438" spans="5:9" ht="16.5" hidden="1">
      <c r="E39438" s="4" t="str">
        <v/>
      </c>
      <c r="F39438" s="102" t="str">
        <f ca="1">IFERROR(__xludf.DUMMYFUNCTION("IMPORTRANGE(H39438,""IDENTITAS UNIT!D9"")"),"#N/A")</f>
        <v>#N/A</v>
      </c>
      <c r="H39438" s="4" t="str">
        <v/>
      </c>
      <c r="I39438" s="4" t="str">
        <v/>
      </c>
    </row>
    <row r="39439" spans="5:9" ht="16.5" hidden="1">
      <c r="E39439" s="4" t="str">
        <v/>
      </c>
      <c r="F39439" s="102" t="str">
        <f ca="1">IFERROR(__xludf.DUMMYFUNCTION("IMPORTRANGE(H39439,""IDENTITAS UNIT!D9"")"),"#N/A")</f>
        <v>#N/A</v>
      </c>
      <c r="H39439" s="4" t="str">
        <v/>
      </c>
      <c r="I39439" s="4" t="str">
        <v/>
      </c>
    </row>
    <row r="39440" spans="5:9" ht="16.5" hidden="1">
      <c r="E39440" s="4" t="str">
        <v/>
      </c>
      <c r="F39440" s="102" t="str">
        <f ca="1">IFERROR(__xludf.DUMMYFUNCTION("IMPORTRANGE(H39440,""IDENTITAS UNIT!D9"")"),"#N/A")</f>
        <v>#N/A</v>
      </c>
      <c r="H39440" s="4" t="str">
        <v/>
      </c>
      <c r="I39440" s="4" t="str">
        <v/>
      </c>
    </row>
    <row r="39441" spans="5:9" ht="16.5" hidden="1">
      <c r="E39441" s="4" t="str">
        <v/>
      </c>
      <c r="F39441" s="102" t="str">
        <f ca="1">IFERROR(__xludf.DUMMYFUNCTION("IMPORTRANGE(H39441,""IDENTITAS UNIT!D9"")"),"#N/A")</f>
        <v>#N/A</v>
      </c>
      <c r="H39441" s="4" t="str">
        <v/>
      </c>
      <c r="I39441" s="4" t="str">
        <v/>
      </c>
    </row>
    <row r="39442" spans="5:9" ht="16.5" hidden="1">
      <c r="E39442" s="4" t="str">
        <v/>
      </c>
      <c r="F39442" s="102" t="str">
        <f ca="1">IFERROR(__xludf.DUMMYFUNCTION("IMPORTRANGE(H39442,""IDENTITAS UNIT!D9"")"),"#N/A")</f>
        <v>#N/A</v>
      </c>
      <c r="H39442" s="4" t="str">
        <v/>
      </c>
      <c r="I39442" s="4" t="str">
        <v/>
      </c>
    </row>
    <row r="39443" spans="5:9" ht="16.5" hidden="1">
      <c r="E39443" s="4" t="str">
        <v/>
      </c>
      <c r="F39443" s="102" t="str">
        <f ca="1">IFERROR(__xludf.DUMMYFUNCTION("IMPORTRANGE(H39443,""IDENTITAS UNIT!D9"")"),"#N/A")</f>
        <v>#N/A</v>
      </c>
      <c r="H39443" s="4" t="str">
        <v/>
      </c>
      <c r="I39443" s="4" t="str">
        <v/>
      </c>
    </row>
    <row r="39444" spans="5:9" ht="16.5" hidden="1">
      <c r="E39444" s="4" t="str">
        <v/>
      </c>
      <c r="F39444" s="102" t="str">
        <f ca="1">IFERROR(__xludf.DUMMYFUNCTION("IMPORTRANGE(H39444,""IDENTITAS UNIT!D9"")"),"#N/A")</f>
        <v>#N/A</v>
      </c>
      <c r="H39444" s="4" t="str">
        <v/>
      </c>
      <c r="I39444" s="4" t="str">
        <v/>
      </c>
    </row>
    <row r="39445" spans="5:9" ht="16.5" hidden="1">
      <c r="E39445" s="4" t="str">
        <v/>
      </c>
      <c r="F39445" s="102" t="str">
        <f ca="1">IFERROR(__xludf.DUMMYFUNCTION("IMPORTRANGE(H39445,""IDENTITAS UNIT!D9"")"),"#N/A")</f>
        <v>#N/A</v>
      </c>
      <c r="H39445" s="4" t="str">
        <v/>
      </c>
      <c r="I39445" s="4" t="str">
        <v/>
      </c>
    </row>
    <row r="39446" spans="5:9" ht="16.5" hidden="1">
      <c r="E39446" s="4" t="str">
        <v/>
      </c>
      <c r="F39446" s="102" t="str">
        <f ca="1">IFERROR(__xludf.DUMMYFUNCTION("IMPORTRANGE(H39446,""IDENTITAS UNIT!D9"")"),"#N/A")</f>
        <v>#N/A</v>
      </c>
      <c r="H39446" s="4" t="str">
        <v/>
      </c>
      <c r="I39446" s="4" t="str">
        <v/>
      </c>
    </row>
    <row r="39447" spans="5:9" ht="16.5" hidden="1">
      <c r="E39447" s="4" t="str">
        <v/>
      </c>
      <c r="F39447" s="102" t="str">
        <f ca="1">IFERROR(__xludf.DUMMYFUNCTION("IMPORTRANGE(H39447,""IDENTITAS UNIT!D9"")"),"#N/A")</f>
        <v>#N/A</v>
      </c>
      <c r="H39447" s="4" t="str">
        <v/>
      </c>
      <c r="I39447" s="4" t="str">
        <v/>
      </c>
    </row>
    <row r="39448" spans="5:9" ht="16.5" hidden="1">
      <c r="E39448" s="4" t="str">
        <v/>
      </c>
      <c r="F39448" s="102" t="str">
        <f ca="1">IFERROR(__xludf.DUMMYFUNCTION("IMPORTRANGE(H39448,""IDENTITAS UNIT!D9"")"),"#N/A")</f>
        <v>#N/A</v>
      </c>
      <c r="H39448" s="4" t="str">
        <v/>
      </c>
      <c r="I39448" s="4" t="str">
        <v/>
      </c>
    </row>
    <row r="39449" spans="5:9" ht="16.5" hidden="1">
      <c r="E39449" s="4" t="str">
        <v/>
      </c>
      <c r="F39449" s="102" t="str">
        <f ca="1">IFERROR(__xludf.DUMMYFUNCTION("IMPORTRANGE(H39449,""IDENTITAS UNIT!D9"")"),"#N/A")</f>
        <v>#N/A</v>
      </c>
      <c r="H39449" s="4" t="str">
        <v/>
      </c>
      <c r="I39449" s="4" t="str">
        <v/>
      </c>
    </row>
    <row r="39450" spans="5:9" ht="16.5" hidden="1">
      <c r="E39450" s="4" t="str">
        <v/>
      </c>
      <c r="F39450" s="102" t="str">
        <f ca="1">IFERROR(__xludf.DUMMYFUNCTION("IMPORTRANGE(H39450,""IDENTITAS UNIT!D9"")"),"#N/A")</f>
        <v>#N/A</v>
      </c>
      <c r="H39450" s="4" t="str">
        <v/>
      </c>
      <c r="I39450" s="4" t="str">
        <v/>
      </c>
    </row>
    <row r="39451" spans="5:9" ht="16.5" hidden="1">
      <c r="E39451" s="4" t="str">
        <v/>
      </c>
      <c r="F39451" s="102" t="str">
        <f ca="1">IFERROR(__xludf.DUMMYFUNCTION("IMPORTRANGE(H39451,""IDENTITAS UNIT!D9"")"),"#N/A")</f>
        <v>#N/A</v>
      </c>
      <c r="H39451" s="4" t="str">
        <v/>
      </c>
      <c r="I39451" s="4" t="str">
        <v/>
      </c>
    </row>
    <row r="39452" spans="5:9" ht="16.5" hidden="1">
      <c r="E39452" s="4" t="str">
        <v/>
      </c>
      <c r="F39452" s="102" t="str">
        <f ca="1">IFERROR(__xludf.DUMMYFUNCTION("IMPORTRANGE(H39452,""IDENTITAS UNIT!D9"")"),"#N/A")</f>
        <v>#N/A</v>
      </c>
      <c r="H39452" s="4" t="str">
        <v/>
      </c>
      <c r="I39452" s="4" t="str">
        <v/>
      </c>
    </row>
    <row r="39453" spans="5:9" ht="16.5" hidden="1">
      <c r="E39453" s="4" t="str">
        <v/>
      </c>
      <c r="F39453" s="102" t="str">
        <f ca="1">IFERROR(__xludf.DUMMYFUNCTION("IMPORTRANGE(H39453,""IDENTITAS UNIT!D9"")"),"#N/A")</f>
        <v>#N/A</v>
      </c>
      <c r="H39453" s="4" t="str">
        <v/>
      </c>
      <c r="I39453" s="4" t="str">
        <v/>
      </c>
    </row>
    <row r="39454" spans="5:9" ht="16.5" hidden="1">
      <c r="E39454" s="4" t="str">
        <v/>
      </c>
      <c r="F39454" s="102" t="str">
        <f ca="1">IFERROR(__xludf.DUMMYFUNCTION("IMPORTRANGE(H39454,""IDENTITAS UNIT!D9"")"),"#N/A")</f>
        <v>#N/A</v>
      </c>
      <c r="H39454" s="4" t="str">
        <v/>
      </c>
      <c r="I39454" s="4" t="str">
        <v/>
      </c>
    </row>
    <row r="39455" spans="5:9" ht="16.5" hidden="1">
      <c r="E39455" s="4" t="str">
        <v/>
      </c>
      <c r="F39455" s="102" t="str">
        <f ca="1">IFERROR(__xludf.DUMMYFUNCTION("IMPORTRANGE(H39455,""IDENTITAS UNIT!D9"")"),"#N/A")</f>
        <v>#N/A</v>
      </c>
      <c r="H39455" s="4" t="str">
        <v/>
      </c>
      <c r="I39455" s="4" t="str">
        <v/>
      </c>
    </row>
    <row r="39456" spans="5:9" ht="16.5" hidden="1">
      <c r="E39456" s="4" t="str">
        <v/>
      </c>
      <c r="F39456" s="102" t="str">
        <f ca="1">IFERROR(__xludf.DUMMYFUNCTION("IMPORTRANGE(H39456,""IDENTITAS UNIT!D9"")"),"#N/A")</f>
        <v>#N/A</v>
      </c>
      <c r="H39456" s="4" t="str">
        <v/>
      </c>
      <c r="I39456" s="4" t="str">
        <v/>
      </c>
    </row>
    <row r="39457" spans="5:9" ht="16.5" hidden="1">
      <c r="E39457" s="4" t="str">
        <v/>
      </c>
      <c r="F39457" s="102" t="str">
        <f ca="1">IFERROR(__xludf.DUMMYFUNCTION("IMPORTRANGE(H39457,""IDENTITAS UNIT!D9"")"),"#N/A")</f>
        <v>#N/A</v>
      </c>
      <c r="H39457" s="4" t="str">
        <v/>
      </c>
      <c r="I39457" s="4" t="str">
        <v/>
      </c>
    </row>
    <row r="39458" spans="5:9" ht="16.5" hidden="1">
      <c r="E39458" s="4" t="str">
        <v/>
      </c>
      <c r="F39458" s="102" t="str">
        <f ca="1">IFERROR(__xludf.DUMMYFUNCTION("IMPORTRANGE(H39458,""IDENTITAS UNIT!D9"")"),"#N/A")</f>
        <v>#N/A</v>
      </c>
      <c r="H39458" s="4" t="str">
        <v/>
      </c>
      <c r="I39458" s="4" t="str">
        <v/>
      </c>
    </row>
    <row r="39459" spans="5:9" ht="16.5" hidden="1">
      <c r="E39459" s="4" t="str">
        <v/>
      </c>
      <c r="F39459" s="102" t="str">
        <f ca="1">IFERROR(__xludf.DUMMYFUNCTION("IMPORTRANGE(H39459,""IDENTITAS UNIT!D9"")"),"#N/A")</f>
        <v>#N/A</v>
      </c>
      <c r="H39459" s="4" t="str">
        <v/>
      </c>
      <c r="I39459" s="4" t="str">
        <v/>
      </c>
    </row>
    <row r="39460" spans="5:9" ht="16.5" hidden="1">
      <c r="E39460" s="4" t="str">
        <v/>
      </c>
      <c r="F39460" s="102" t="str">
        <f ca="1">IFERROR(__xludf.DUMMYFUNCTION("IMPORTRANGE(H39460,""IDENTITAS UNIT!D9"")"),"#N/A")</f>
        <v>#N/A</v>
      </c>
      <c r="H39460" s="4" t="str">
        <v/>
      </c>
      <c r="I39460" s="4" t="str">
        <v/>
      </c>
    </row>
    <row r="39461" spans="5:9" ht="16.5" hidden="1">
      <c r="E39461" s="4" t="str">
        <v/>
      </c>
      <c r="F39461" s="102" t="str">
        <f ca="1">IFERROR(__xludf.DUMMYFUNCTION("IMPORTRANGE(H39461,""IDENTITAS UNIT!D9"")"),"#N/A")</f>
        <v>#N/A</v>
      </c>
      <c r="H39461" s="4" t="str">
        <v/>
      </c>
      <c r="I39461" s="4" t="str">
        <v/>
      </c>
    </row>
    <row r="39462" spans="5:9" ht="16.5" hidden="1">
      <c r="E39462" s="4" t="str">
        <v/>
      </c>
      <c r="F39462" s="102" t="str">
        <f ca="1">IFERROR(__xludf.DUMMYFUNCTION("IMPORTRANGE(H39462,""IDENTITAS UNIT!D9"")"),"#N/A")</f>
        <v>#N/A</v>
      </c>
      <c r="H39462" s="4" t="str">
        <v/>
      </c>
      <c r="I39462" s="4" t="str">
        <v/>
      </c>
    </row>
    <row r="39463" spans="5:9" ht="16.5" hidden="1">
      <c r="E39463" s="4" t="str">
        <v/>
      </c>
      <c r="F39463" s="102" t="str">
        <f ca="1">IFERROR(__xludf.DUMMYFUNCTION("IMPORTRANGE(H39463,""IDENTITAS UNIT!D9"")"),"#N/A")</f>
        <v>#N/A</v>
      </c>
      <c r="H39463" s="4" t="str">
        <v/>
      </c>
      <c r="I39463" s="4" t="str">
        <v/>
      </c>
    </row>
    <row r="39464" spans="5:9" ht="16.5" hidden="1">
      <c r="E39464" s="4" t="str">
        <v/>
      </c>
      <c r="F39464" s="102" t="str">
        <f ca="1">IFERROR(__xludf.DUMMYFUNCTION("IMPORTRANGE(H39464,""IDENTITAS UNIT!D9"")"),"#N/A")</f>
        <v>#N/A</v>
      </c>
      <c r="H39464" s="4" t="str">
        <v/>
      </c>
      <c r="I39464" s="4" t="str">
        <v/>
      </c>
    </row>
    <row r="39465" spans="5:9" ht="16.5" hidden="1">
      <c r="E39465" s="4" t="str">
        <v/>
      </c>
      <c r="F39465" s="102" t="str">
        <f ca="1">IFERROR(__xludf.DUMMYFUNCTION("IMPORTRANGE(H39465,""IDENTITAS UNIT!D9"")"),"#N/A")</f>
        <v>#N/A</v>
      </c>
      <c r="H39465" s="4" t="str">
        <v/>
      </c>
      <c r="I39465" s="4" t="str">
        <v/>
      </c>
    </row>
    <row r="39466" spans="5:9" ht="16.5" hidden="1">
      <c r="E39466" s="4" t="str">
        <v/>
      </c>
      <c r="F39466" s="102" t="str">
        <f ca="1">IFERROR(__xludf.DUMMYFUNCTION("IMPORTRANGE(H39466,""IDENTITAS UNIT!D9"")"),"#N/A")</f>
        <v>#N/A</v>
      </c>
      <c r="H39466" s="4" t="str">
        <v/>
      </c>
      <c r="I39466" s="4" t="str">
        <v/>
      </c>
    </row>
    <row r="39467" spans="5:9" ht="16.5" hidden="1">
      <c r="E39467" s="4" t="str">
        <v/>
      </c>
      <c r="F39467" s="102" t="str">
        <f ca="1">IFERROR(__xludf.DUMMYFUNCTION("IMPORTRANGE(H39467,""IDENTITAS UNIT!D9"")"),"#N/A")</f>
        <v>#N/A</v>
      </c>
      <c r="H39467" s="4" t="str">
        <v/>
      </c>
      <c r="I39467" s="4" t="str">
        <v/>
      </c>
    </row>
    <row r="39468" spans="5:9" ht="16.5" hidden="1">
      <c r="E39468" s="4" t="str">
        <v/>
      </c>
      <c r="F39468" s="102" t="str">
        <f ca="1">IFERROR(__xludf.DUMMYFUNCTION("IMPORTRANGE(H39468,""IDENTITAS UNIT!D9"")"),"#N/A")</f>
        <v>#N/A</v>
      </c>
      <c r="H39468" s="4" t="str">
        <v/>
      </c>
      <c r="I39468" s="4" t="str">
        <v/>
      </c>
    </row>
    <row r="39469" spans="5:9" ht="16.5" hidden="1">
      <c r="E39469" s="4" t="str">
        <v/>
      </c>
      <c r="F39469" s="102" t="str">
        <f ca="1">IFERROR(__xludf.DUMMYFUNCTION("IMPORTRANGE(H39469,""IDENTITAS UNIT!D9"")"),"#N/A")</f>
        <v>#N/A</v>
      </c>
      <c r="H39469" s="4" t="str">
        <v/>
      </c>
      <c r="I39469" s="4" t="str">
        <v/>
      </c>
    </row>
    <row r="39470" spans="5:9" ht="16.5" hidden="1">
      <c r="E39470" s="4" t="str">
        <v/>
      </c>
      <c r="F39470" s="102" t="str">
        <f ca="1">IFERROR(__xludf.DUMMYFUNCTION("IMPORTRANGE(H39470,""IDENTITAS UNIT!D9"")"),"#N/A")</f>
        <v>#N/A</v>
      </c>
      <c r="H39470" s="4" t="str">
        <v/>
      </c>
      <c r="I39470" s="4" t="str">
        <v/>
      </c>
    </row>
    <row r="39471" spans="5:9" ht="16.5" hidden="1">
      <c r="E39471" s="4" t="str">
        <v/>
      </c>
      <c r="F39471" s="102" t="str">
        <f ca="1">IFERROR(__xludf.DUMMYFUNCTION("IMPORTRANGE(H39471,""IDENTITAS UNIT!D9"")"),"#N/A")</f>
        <v>#N/A</v>
      </c>
      <c r="H39471" s="4" t="str">
        <v/>
      </c>
      <c r="I39471" s="4" t="str">
        <v/>
      </c>
    </row>
    <row r="39472" spans="5:9" ht="16.5" hidden="1">
      <c r="E39472" s="4" t="str">
        <v/>
      </c>
      <c r="F39472" s="102" t="str">
        <f ca="1">IFERROR(__xludf.DUMMYFUNCTION("IMPORTRANGE(H39472,""IDENTITAS UNIT!D9"")"),"#N/A")</f>
        <v>#N/A</v>
      </c>
      <c r="H39472" s="4" t="str">
        <v/>
      </c>
      <c r="I39472" s="4" t="str">
        <v/>
      </c>
    </row>
    <row r="39473" spans="5:9" ht="16.5" hidden="1">
      <c r="E39473" s="4" t="str">
        <v/>
      </c>
      <c r="F39473" s="102" t="str">
        <f ca="1">IFERROR(__xludf.DUMMYFUNCTION("IMPORTRANGE(H39473,""IDENTITAS UNIT!D9"")"),"#N/A")</f>
        <v>#N/A</v>
      </c>
      <c r="H39473" s="4" t="str">
        <v/>
      </c>
      <c r="I39473" s="4" t="str">
        <v/>
      </c>
    </row>
    <row r="39474" spans="5:9" ht="16.5" hidden="1">
      <c r="E39474" s="4" t="str">
        <v/>
      </c>
      <c r="F39474" s="102" t="str">
        <f ca="1">IFERROR(__xludf.DUMMYFUNCTION("IMPORTRANGE(H39474,""IDENTITAS UNIT!D9"")"),"#N/A")</f>
        <v>#N/A</v>
      </c>
      <c r="H39474" s="4" t="str">
        <v/>
      </c>
      <c r="I39474" s="4" t="str">
        <v/>
      </c>
    </row>
    <row r="39475" spans="5:9" ht="16.5" hidden="1">
      <c r="E39475" s="4" t="str">
        <v/>
      </c>
      <c r="F39475" s="102" t="str">
        <f ca="1">IFERROR(__xludf.DUMMYFUNCTION("IMPORTRANGE(H39475,""IDENTITAS UNIT!D9"")"),"#N/A")</f>
        <v>#N/A</v>
      </c>
      <c r="H39475" s="4" t="str">
        <v/>
      </c>
      <c r="I39475" s="4" t="str">
        <v/>
      </c>
    </row>
    <row r="39476" spans="5:9" ht="16.5" hidden="1">
      <c r="E39476" s="4" t="str">
        <v/>
      </c>
      <c r="F39476" s="102" t="str">
        <f ca="1">IFERROR(__xludf.DUMMYFUNCTION("IMPORTRANGE(H39476,""IDENTITAS UNIT!D9"")"),"#N/A")</f>
        <v>#N/A</v>
      </c>
      <c r="H39476" s="4" t="str">
        <v/>
      </c>
      <c r="I39476" s="4" t="str">
        <v/>
      </c>
    </row>
    <row r="39477" spans="5:9" ht="16.5" hidden="1">
      <c r="E39477" s="4" t="str">
        <v/>
      </c>
      <c r="F39477" s="102" t="str">
        <f ca="1">IFERROR(__xludf.DUMMYFUNCTION("IMPORTRANGE(H39477,""IDENTITAS UNIT!D9"")"),"#N/A")</f>
        <v>#N/A</v>
      </c>
      <c r="H39477" s="4" t="str">
        <v/>
      </c>
      <c r="I39477" s="4" t="str">
        <v/>
      </c>
    </row>
    <row r="39478" spans="5:9" ht="16.5" hidden="1">
      <c r="E39478" s="4" t="str">
        <v/>
      </c>
      <c r="F39478" s="102" t="str">
        <f ca="1">IFERROR(__xludf.DUMMYFUNCTION("IMPORTRANGE(H39478,""IDENTITAS UNIT!D9"")"),"#N/A")</f>
        <v>#N/A</v>
      </c>
      <c r="H39478" s="4" t="str">
        <v/>
      </c>
      <c r="I39478" s="4" t="str">
        <v/>
      </c>
    </row>
    <row r="39479" spans="5:9" ht="16.5" hidden="1">
      <c r="E39479" s="4" t="str">
        <v/>
      </c>
      <c r="F39479" s="102" t="str">
        <f ca="1">IFERROR(__xludf.DUMMYFUNCTION("IMPORTRANGE(H39479,""IDENTITAS UNIT!D9"")"),"#N/A")</f>
        <v>#N/A</v>
      </c>
      <c r="H39479" s="4" t="str">
        <v/>
      </c>
      <c r="I39479" s="4" t="str">
        <v/>
      </c>
    </row>
    <row r="39480" spans="5:9" ht="16.5" hidden="1">
      <c r="E39480" s="4" t="str">
        <v/>
      </c>
      <c r="F39480" s="102" t="str">
        <f ca="1">IFERROR(__xludf.DUMMYFUNCTION("IMPORTRANGE(H39480,""IDENTITAS UNIT!D9"")"),"#N/A")</f>
        <v>#N/A</v>
      </c>
      <c r="H39480" s="4" t="str">
        <v/>
      </c>
      <c r="I39480" s="4" t="str">
        <v/>
      </c>
    </row>
    <row r="39481" spans="5:9" ht="16.5" hidden="1">
      <c r="E39481" s="4" t="str">
        <v/>
      </c>
      <c r="F39481" s="102" t="str">
        <f ca="1">IFERROR(__xludf.DUMMYFUNCTION("IMPORTRANGE(H39481,""IDENTITAS UNIT!D9"")"),"#N/A")</f>
        <v>#N/A</v>
      </c>
      <c r="H39481" s="4" t="str">
        <v/>
      </c>
      <c r="I39481" s="4" t="str">
        <v/>
      </c>
    </row>
    <row r="39482" spans="5:9" ht="16.5" hidden="1">
      <c r="E39482" s="4" t="str">
        <v/>
      </c>
      <c r="F39482" s="102" t="str">
        <f ca="1">IFERROR(__xludf.DUMMYFUNCTION("IMPORTRANGE(H39482,""IDENTITAS UNIT!D9"")"),"#N/A")</f>
        <v>#N/A</v>
      </c>
      <c r="H39482" s="4" t="str">
        <v/>
      </c>
      <c r="I39482" s="4" t="str">
        <v/>
      </c>
    </row>
    <row r="39483" spans="5:9" ht="16.5" hidden="1">
      <c r="E39483" s="4" t="str">
        <v/>
      </c>
      <c r="F39483" s="102" t="str">
        <f ca="1">IFERROR(__xludf.DUMMYFUNCTION("IMPORTRANGE(H39483,""IDENTITAS UNIT!D9"")"),"#N/A")</f>
        <v>#N/A</v>
      </c>
      <c r="H39483" s="4" t="str">
        <v/>
      </c>
      <c r="I39483" s="4" t="str">
        <v/>
      </c>
    </row>
    <row r="39484" spans="5:9" ht="16.5" hidden="1">
      <c r="E39484" s="4" t="str">
        <v/>
      </c>
      <c r="F39484" s="102" t="str">
        <f ca="1">IFERROR(__xludf.DUMMYFUNCTION("IMPORTRANGE(H39484,""IDENTITAS UNIT!D9"")"),"#N/A")</f>
        <v>#N/A</v>
      </c>
      <c r="H39484" s="4" t="str">
        <v/>
      </c>
      <c r="I39484" s="4" t="str">
        <v/>
      </c>
    </row>
    <row r="39485" spans="5:9" ht="16.5" hidden="1">
      <c r="E39485" s="4" t="str">
        <v/>
      </c>
      <c r="F39485" s="102" t="str">
        <f ca="1">IFERROR(__xludf.DUMMYFUNCTION("IMPORTRANGE(H39485,""IDENTITAS UNIT!D9"")"),"#N/A")</f>
        <v>#N/A</v>
      </c>
      <c r="H39485" s="4" t="str">
        <v/>
      </c>
      <c r="I39485" s="4" t="str">
        <v/>
      </c>
    </row>
    <row r="39486" spans="5:9" ht="16.5" hidden="1">
      <c r="E39486" s="4" t="str">
        <v/>
      </c>
      <c r="F39486" s="102" t="str">
        <f ca="1">IFERROR(__xludf.DUMMYFUNCTION("IMPORTRANGE(H39486,""IDENTITAS UNIT!D9"")"),"#N/A")</f>
        <v>#N/A</v>
      </c>
      <c r="H39486" s="4" t="str">
        <v/>
      </c>
      <c r="I39486" s="4" t="str">
        <v/>
      </c>
    </row>
    <row r="39487" spans="5:9" ht="16.5" hidden="1">
      <c r="E39487" s="4" t="str">
        <v/>
      </c>
      <c r="F39487" s="102" t="str">
        <f ca="1">IFERROR(__xludf.DUMMYFUNCTION("IMPORTRANGE(H39487,""IDENTITAS UNIT!D9"")"),"#N/A")</f>
        <v>#N/A</v>
      </c>
      <c r="H39487" s="4" t="str">
        <v/>
      </c>
      <c r="I39487" s="4" t="str">
        <v/>
      </c>
    </row>
    <row r="39488" spans="5:9" ht="16.5" hidden="1">
      <c r="E39488" s="4" t="str">
        <v/>
      </c>
      <c r="F39488" s="102" t="str">
        <f ca="1">IFERROR(__xludf.DUMMYFUNCTION("IMPORTRANGE(H39488,""IDENTITAS UNIT!D9"")"),"#N/A")</f>
        <v>#N/A</v>
      </c>
      <c r="H39488" s="4" t="str">
        <v/>
      </c>
      <c r="I39488" s="4" t="str">
        <v/>
      </c>
    </row>
    <row r="39489" spans="5:9" ht="16.5" hidden="1">
      <c r="E39489" s="4" t="str">
        <v/>
      </c>
      <c r="F39489" s="102" t="str">
        <f ca="1">IFERROR(__xludf.DUMMYFUNCTION("IMPORTRANGE(H39489,""IDENTITAS UNIT!D9"")"),"#N/A")</f>
        <v>#N/A</v>
      </c>
      <c r="H39489" s="4" t="str">
        <v/>
      </c>
      <c r="I39489" s="4" t="str">
        <v/>
      </c>
    </row>
    <row r="39490" spans="5:9" ht="16.5" hidden="1">
      <c r="E39490" s="4" t="str">
        <v/>
      </c>
      <c r="F39490" s="102" t="str">
        <f ca="1">IFERROR(__xludf.DUMMYFUNCTION("IMPORTRANGE(H39490,""IDENTITAS UNIT!D9"")"),"#N/A")</f>
        <v>#N/A</v>
      </c>
      <c r="H39490" s="4" t="str">
        <v/>
      </c>
      <c r="I39490" s="4" t="str">
        <v/>
      </c>
    </row>
    <row r="39491" spans="5:9" ht="16.5" hidden="1">
      <c r="E39491" s="4" t="str">
        <v/>
      </c>
      <c r="F39491" s="102" t="str">
        <f ca="1">IFERROR(__xludf.DUMMYFUNCTION("IMPORTRANGE(H39491,""IDENTITAS UNIT!D9"")"),"#N/A")</f>
        <v>#N/A</v>
      </c>
      <c r="H39491" s="4" t="str">
        <v/>
      </c>
      <c r="I39491" s="4" t="str">
        <v/>
      </c>
    </row>
    <row r="39492" spans="5:9" ht="16.5" hidden="1">
      <c r="E39492" s="4" t="str">
        <v/>
      </c>
      <c r="F39492" s="102" t="str">
        <f ca="1">IFERROR(__xludf.DUMMYFUNCTION("IMPORTRANGE(H39492,""IDENTITAS UNIT!D9"")"),"#N/A")</f>
        <v>#N/A</v>
      </c>
      <c r="H39492" s="4" t="str">
        <v/>
      </c>
      <c r="I39492" s="4" t="str">
        <v/>
      </c>
    </row>
    <row r="39493" spans="5:9" ht="16.5" hidden="1">
      <c r="E39493" s="4" t="str">
        <v/>
      </c>
      <c r="F39493" s="102" t="str">
        <f ca="1">IFERROR(__xludf.DUMMYFUNCTION("IMPORTRANGE(H39493,""IDENTITAS UNIT!D9"")"),"#N/A")</f>
        <v>#N/A</v>
      </c>
      <c r="H39493" s="4" t="str">
        <v/>
      </c>
      <c r="I39493" s="4" t="str">
        <v/>
      </c>
    </row>
    <row r="39494" spans="5:9" ht="16.5" hidden="1">
      <c r="E39494" s="4" t="str">
        <v/>
      </c>
      <c r="F39494" s="102" t="str">
        <f ca="1">IFERROR(__xludf.DUMMYFUNCTION("IMPORTRANGE(H39494,""IDENTITAS UNIT!D9"")"),"#N/A")</f>
        <v>#N/A</v>
      </c>
      <c r="H39494" s="4" t="str">
        <v/>
      </c>
      <c r="I39494" s="4" t="str">
        <v/>
      </c>
    </row>
    <row r="39495" spans="5:9" ht="16.5" hidden="1">
      <c r="E39495" s="4" t="str">
        <v/>
      </c>
      <c r="F39495" s="102" t="str">
        <f ca="1">IFERROR(__xludf.DUMMYFUNCTION("IMPORTRANGE(H39495,""IDENTITAS UNIT!D9"")"),"#N/A")</f>
        <v>#N/A</v>
      </c>
      <c r="H39495" s="4" t="str">
        <v/>
      </c>
      <c r="I39495" s="4" t="str">
        <v/>
      </c>
    </row>
    <row r="39496" spans="5:9" ht="16.5" hidden="1">
      <c r="E39496" s="4" t="str">
        <v/>
      </c>
      <c r="F39496" s="102" t="str">
        <f ca="1">IFERROR(__xludf.DUMMYFUNCTION("IMPORTRANGE(H39496,""IDENTITAS UNIT!D9"")"),"#N/A")</f>
        <v>#N/A</v>
      </c>
      <c r="H39496" s="4" t="str">
        <v/>
      </c>
      <c r="I39496" s="4" t="str">
        <v/>
      </c>
    </row>
    <row r="39497" spans="5:9" ht="16.5" hidden="1">
      <c r="E39497" s="4" t="str">
        <v/>
      </c>
      <c r="F39497" s="102" t="str">
        <f ca="1">IFERROR(__xludf.DUMMYFUNCTION("IMPORTRANGE(H39497,""IDENTITAS UNIT!D9"")"),"#N/A")</f>
        <v>#N/A</v>
      </c>
      <c r="H39497" s="4" t="str">
        <v/>
      </c>
      <c r="I39497" s="4" t="str">
        <v/>
      </c>
    </row>
    <row r="39498" spans="5:9" ht="16.5" hidden="1">
      <c r="E39498" s="4" t="str">
        <v/>
      </c>
      <c r="F39498" s="102" t="str">
        <f ca="1">IFERROR(__xludf.DUMMYFUNCTION("IMPORTRANGE(H39498,""IDENTITAS UNIT!D9"")"),"#N/A")</f>
        <v>#N/A</v>
      </c>
      <c r="H39498" s="4" t="str">
        <v/>
      </c>
      <c r="I39498" s="4" t="str">
        <v/>
      </c>
    </row>
    <row r="39499" spans="5:9" ht="16.5" hidden="1">
      <c r="E39499" s="4" t="str">
        <v/>
      </c>
      <c r="F39499" s="102" t="str">
        <f ca="1">IFERROR(__xludf.DUMMYFUNCTION("IMPORTRANGE(H39499,""IDENTITAS UNIT!D9"")"),"#N/A")</f>
        <v>#N/A</v>
      </c>
      <c r="H39499" s="4" t="str">
        <v/>
      </c>
      <c r="I39499" s="4" t="str">
        <v/>
      </c>
    </row>
    <row r="39500" spans="5:9" ht="16.5" hidden="1">
      <c r="E39500" s="4" t="str">
        <v/>
      </c>
      <c r="F39500" s="102" t="str">
        <f ca="1">IFERROR(__xludf.DUMMYFUNCTION("IMPORTRANGE(H39500,""IDENTITAS UNIT!D9"")"),"#N/A")</f>
        <v>#N/A</v>
      </c>
      <c r="H39500" s="4" t="str">
        <v/>
      </c>
      <c r="I39500" s="4" t="str">
        <v/>
      </c>
    </row>
    <row r="39501" spans="5:9" ht="16.5" hidden="1">
      <c r="E39501" s="4" t="str">
        <v/>
      </c>
      <c r="F39501" s="102" t="str">
        <f ca="1">IFERROR(__xludf.DUMMYFUNCTION("IMPORTRANGE(H39501,""IDENTITAS UNIT!D9"")"),"#N/A")</f>
        <v>#N/A</v>
      </c>
      <c r="H39501" s="4" t="str">
        <v/>
      </c>
      <c r="I39501" s="4" t="str">
        <v/>
      </c>
    </row>
    <row r="39502" spans="5:9" ht="16.5" hidden="1">
      <c r="E39502" s="4" t="str">
        <v/>
      </c>
      <c r="F39502" s="102" t="str">
        <f ca="1">IFERROR(__xludf.DUMMYFUNCTION("IMPORTRANGE(H39502,""IDENTITAS UNIT!D9"")"),"#N/A")</f>
        <v>#N/A</v>
      </c>
      <c r="H39502" s="4" t="str">
        <v/>
      </c>
      <c r="I39502" s="4" t="str">
        <v/>
      </c>
    </row>
    <row r="39503" spans="5:9" ht="16.5" hidden="1">
      <c r="E39503" s="4" t="str">
        <v/>
      </c>
      <c r="F39503" s="102" t="str">
        <f ca="1">IFERROR(__xludf.DUMMYFUNCTION("IMPORTRANGE(H39503,""IDENTITAS UNIT!D9"")"),"#N/A")</f>
        <v>#N/A</v>
      </c>
      <c r="H39503" s="4" t="str">
        <v/>
      </c>
      <c r="I39503" s="4" t="str">
        <v/>
      </c>
    </row>
    <row r="39504" spans="5:9" ht="16.5" hidden="1">
      <c r="E39504" s="4" t="str">
        <v/>
      </c>
      <c r="F39504" s="102" t="str">
        <f ca="1">IFERROR(__xludf.DUMMYFUNCTION("IMPORTRANGE(H39504,""IDENTITAS UNIT!D9"")"),"#N/A")</f>
        <v>#N/A</v>
      </c>
      <c r="H39504" s="4" t="str">
        <v/>
      </c>
      <c r="I39504" s="4" t="str">
        <v/>
      </c>
    </row>
    <row r="39505" spans="5:9" ht="16.5" hidden="1">
      <c r="E39505" s="4" t="str">
        <v/>
      </c>
      <c r="F39505" s="102" t="str">
        <f ca="1">IFERROR(__xludf.DUMMYFUNCTION("IMPORTRANGE(H39505,""IDENTITAS UNIT!D9"")"),"#N/A")</f>
        <v>#N/A</v>
      </c>
      <c r="H39505" s="4" t="str">
        <v/>
      </c>
      <c r="I39505" s="4" t="str">
        <v/>
      </c>
    </row>
    <row r="39506" spans="5:9" ht="16.5" hidden="1">
      <c r="E39506" s="4" t="str">
        <v/>
      </c>
      <c r="F39506" s="102" t="str">
        <f ca="1">IFERROR(__xludf.DUMMYFUNCTION("IMPORTRANGE(H39506,""IDENTITAS UNIT!D9"")"),"#N/A")</f>
        <v>#N/A</v>
      </c>
      <c r="H39506" s="4" t="str">
        <v/>
      </c>
      <c r="I39506" s="4" t="str">
        <v/>
      </c>
    </row>
    <row r="39507" spans="5:9" ht="16.5" hidden="1">
      <c r="E39507" s="4" t="str">
        <v/>
      </c>
      <c r="F39507" s="102" t="str">
        <f ca="1">IFERROR(__xludf.DUMMYFUNCTION("IMPORTRANGE(H39507,""IDENTITAS UNIT!D9"")"),"#N/A")</f>
        <v>#N/A</v>
      </c>
      <c r="H39507" s="4" t="str">
        <v/>
      </c>
      <c r="I39507" s="4" t="str">
        <v/>
      </c>
    </row>
    <row r="39508" spans="5:9" ht="16.5" hidden="1">
      <c r="E39508" s="4" t="str">
        <v/>
      </c>
      <c r="F39508" s="102" t="str">
        <f ca="1">IFERROR(__xludf.DUMMYFUNCTION("IMPORTRANGE(H39508,""IDENTITAS UNIT!D9"")"),"#N/A")</f>
        <v>#N/A</v>
      </c>
      <c r="H39508" s="4" t="str">
        <v/>
      </c>
      <c r="I39508" s="4" t="str">
        <v/>
      </c>
    </row>
    <row r="39509" spans="5:9" ht="16.5" hidden="1">
      <c r="E39509" s="4" t="str">
        <v/>
      </c>
      <c r="F39509" s="102" t="str">
        <f ca="1">IFERROR(__xludf.DUMMYFUNCTION("IMPORTRANGE(H39509,""IDENTITAS UNIT!D9"")"),"#N/A")</f>
        <v>#N/A</v>
      </c>
      <c r="H39509" s="4" t="str">
        <v/>
      </c>
      <c r="I39509" s="4" t="str">
        <v/>
      </c>
    </row>
    <row r="39510" spans="5:9" ht="16.5" hidden="1">
      <c r="E39510" s="4" t="str">
        <v/>
      </c>
      <c r="F39510" s="102" t="str">
        <f ca="1">IFERROR(__xludf.DUMMYFUNCTION("IMPORTRANGE(H39510,""IDENTITAS UNIT!D9"")"),"#N/A")</f>
        <v>#N/A</v>
      </c>
      <c r="H39510" s="4" t="str">
        <v/>
      </c>
      <c r="I39510" s="4" t="str">
        <v/>
      </c>
    </row>
    <row r="39511" spans="5:9" ht="16.5" hidden="1">
      <c r="E39511" s="4" t="str">
        <v/>
      </c>
      <c r="F39511" s="102" t="str">
        <f ca="1">IFERROR(__xludf.DUMMYFUNCTION("IMPORTRANGE(H39511,""IDENTITAS UNIT!D9"")"),"#N/A")</f>
        <v>#N/A</v>
      </c>
      <c r="H39511" s="4" t="str">
        <v/>
      </c>
      <c r="I39511" s="4" t="str">
        <v/>
      </c>
    </row>
    <row r="39512" spans="5:9" ht="16.5" hidden="1">
      <c r="E39512" s="4" t="str">
        <v/>
      </c>
      <c r="F39512" s="102" t="str">
        <f ca="1">IFERROR(__xludf.DUMMYFUNCTION("IMPORTRANGE(H39512,""IDENTITAS UNIT!D9"")"),"#N/A")</f>
        <v>#N/A</v>
      </c>
      <c r="H39512" s="4" t="str">
        <v/>
      </c>
      <c r="I39512" s="4" t="str">
        <v/>
      </c>
    </row>
    <row r="39513" spans="5:9" ht="16.5" hidden="1">
      <c r="E39513" s="4" t="str">
        <v/>
      </c>
      <c r="F39513" s="102" t="str">
        <f ca="1">IFERROR(__xludf.DUMMYFUNCTION("IMPORTRANGE(H39513,""IDENTITAS UNIT!D9"")"),"#N/A")</f>
        <v>#N/A</v>
      </c>
      <c r="H39513" s="4" t="str">
        <v/>
      </c>
      <c r="I39513" s="4" t="str">
        <v/>
      </c>
    </row>
    <row r="39514" spans="5:9" ht="16.5" hidden="1">
      <c r="E39514" s="4" t="str">
        <v/>
      </c>
      <c r="F39514" s="102" t="str">
        <f ca="1">IFERROR(__xludf.DUMMYFUNCTION("IMPORTRANGE(H39514,""IDENTITAS UNIT!D9"")"),"#N/A")</f>
        <v>#N/A</v>
      </c>
      <c r="H39514" s="4" t="str">
        <v/>
      </c>
      <c r="I39514" s="4" t="str">
        <v/>
      </c>
    </row>
    <row r="39515" spans="5:9" ht="16.5" hidden="1">
      <c r="E39515" s="4" t="str">
        <v/>
      </c>
      <c r="F39515" s="102" t="str">
        <f ca="1">IFERROR(__xludf.DUMMYFUNCTION("IMPORTRANGE(H39515,""IDENTITAS UNIT!D9"")"),"#N/A")</f>
        <v>#N/A</v>
      </c>
      <c r="H39515" s="4" t="str">
        <v/>
      </c>
      <c r="I39515" s="4" t="str">
        <v/>
      </c>
    </row>
    <row r="39516" spans="5:9" ht="16.5" hidden="1">
      <c r="E39516" s="4" t="str">
        <v/>
      </c>
      <c r="F39516" s="102" t="str">
        <f ca="1">IFERROR(__xludf.DUMMYFUNCTION("IMPORTRANGE(H39516,""IDENTITAS UNIT!D9"")"),"#N/A")</f>
        <v>#N/A</v>
      </c>
      <c r="H39516" s="4" t="str">
        <v/>
      </c>
      <c r="I39516" s="4" t="str">
        <v/>
      </c>
    </row>
    <row r="39517" spans="5:9" ht="16.5" hidden="1">
      <c r="E39517" s="4" t="str">
        <v/>
      </c>
      <c r="F39517" s="102" t="str">
        <f ca="1">IFERROR(__xludf.DUMMYFUNCTION("IMPORTRANGE(H39517,""IDENTITAS UNIT!D9"")"),"#N/A")</f>
        <v>#N/A</v>
      </c>
      <c r="H39517" s="4" t="str">
        <v/>
      </c>
      <c r="I39517" s="4" t="str">
        <v/>
      </c>
    </row>
    <row r="39518" spans="5:9" ht="16.5" hidden="1">
      <c r="E39518" s="4" t="str">
        <v/>
      </c>
      <c r="F39518" s="102" t="str">
        <f ca="1">IFERROR(__xludf.DUMMYFUNCTION("IMPORTRANGE(H39518,""IDENTITAS UNIT!D9"")"),"#N/A")</f>
        <v>#N/A</v>
      </c>
      <c r="H39518" s="4" t="str">
        <v/>
      </c>
      <c r="I39518" s="4" t="str">
        <v/>
      </c>
    </row>
    <row r="39519" spans="5:9" ht="16.5" hidden="1">
      <c r="E39519" s="4" t="str">
        <v/>
      </c>
      <c r="F39519" s="102" t="str">
        <f ca="1">IFERROR(__xludf.DUMMYFUNCTION("IMPORTRANGE(H39519,""IDENTITAS UNIT!D9"")"),"#N/A")</f>
        <v>#N/A</v>
      </c>
      <c r="H39519" s="4" t="str">
        <v/>
      </c>
      <c r="I39519" s="4" t="str">
        <v/>
      </c>
    </row>
    <row r="39520" spans="5:9" ht="16.5" hidden="1">
      <c r="E39520" s="4" t="str">
        <v/>
      </c>
      <c r="F39520" s="102" t="str">
        <f ca="1">IFERROR(__xludf.DUMMYFUNCTION("IMPORTRANGE(H39520,""IDENTITAS UNIT!D9"")"),"#N/A")</f>
        <v>#N/A</v>
      </c>
      <c r="H39520" s="4" t="str">
        <v/>
      </c>
      <c r="I39520" s="4" t="str">
        <v/>
      </c>
    </row>
    <row r="39521" spans="5:9" ht="16.5" hidden="1">
      <c r="E39521" s="4" t="str">
        <v/>
      </c>
      <c r="F39521" s="102" t="str">
        <f ca="1">IFERROR(__xludf.DUMMYFUNCTION("IMPORTRANGE(H39521,""IDENTITAS UNIT!D9"")"),"#N/A")</f>
        <v>#N/A</v>
      </c>
      <c r="H39521" s="4" t="str">
        <v/>
      </c>
      <c r="I39521" s="4" t="str">
        <v/>
      </c>
    </row>
    <row r="39522" spans="5:9" ht="16.5" hidden="1">
      <c r="E39522" s="4" t="str">
        <v/>
      </c>
      <c r="F39522" s="102" t="str">
        <f ca="1">IFERROR(__xludf.DUMMYFUNCTION("IMPORTRANGE(H39522,""IDENTITAS UNIT!D9"")"),"#N/A")</f>
        <v>#N/A</v>
      </c>
      <c r="H39522" s="4" t="str">
        <v/>
      </c>
      <c r="I39522" s="4" t="str">
        <v/>
      </c>
    </row>
    <row r="39523" spans="5:9" ht="16.5" hidden="1">
      <c r="E39523" s="4" t="str">
        <v/>
      </c>
      <c r="F39523" s="102" t="str">
        <f ca="1">IFERROR(__xludf.DUMMYFUNCTION("IMPORTRANGE(H39523,""IDENTITAS UNIT!D9"")"),"#N/A")</f>
        <v>#N/A</v>
      </c>
      <c r="H39523" s="4" t="str">
        <v/>
      </c>
      <c r="I39523" s="4" t="str">
        <v/>
      </c>
    </row>
    <row r="39524" spans="5:9" ht="16.5" hidden="1">
      <c r="E39524" s="4" t="str">
        <v/>
      </c>
      <c r="F39524" s="102" t="str">
        <f ca="1">IFERROR(__xludf.DUMMYFUNCTION("IMPORTRANGE(H39524,""IDENTITAS UNIT!D9"")"),"#N/A")</f>
        <v>#N/A</v>
      </c>
      <c r="H39524" s="4" t="str">
        <v/>
      </c>
      <c r="I39524" s="4" t="str">
        <v/>
      </c>
    </row>
    <row r="39525" spans="5:9" ht="16.5" hidden="1">
      <c r="E39525" s="4" t="str">
        <v/>
      </c>
      <c r="F39525" s="102" t="str">
        <f ca="1">IFERROR(__xludf.DUMMYFUNCTION("IMPORTRANGE(H39525,""IDENTITAS UNIT!D9"")"),"#N/A")</f>
        <v>#N/A</v>
      </c>
      <c r="H39525" s="4" t="str">
        <v/>
      </c>
      <c r="I39525" s="4" t="str">
        <v/>
      </c>
    </row>
    <row r="39526" spans="5:9" ht="16.5" hidden="1">
      <c r="E39526" s="4" t="str">
        <v/>
      </c>
      <c r="F39526" s="102" t="str">
        <f ca="1">IFERROR(__xludf.DUMMYFUNCTION("IMPORTRANGE(H39526,""IDENTITAS UNIT!D9"")"),"#N/A")</f>
        <v>#N/A</v>
      </c>
      <c r="H39526" s="4" t="str">
        <v/>
      </c>
      <c r="I39526" s="4" t="str">
        <v/>
      </c>
    </row>
    <row r="39527" spans="5:9" ht="16.5" hidden="1">
      <c r="E39527" s="4" t="str">
        <v/>
      </c>
      <c r="F39527" s="102" t="str">
        <f ca="1">IFERROR(__xludf.DUMMYFUNCTION("IMPORTRANGE(H39527,""IDENTITAS UNIT!D9"")"),"#N/A")</f>
        <v>#N/A</v>
      </c>
      <c r="H39527" s="4" t="str">
        <v/>
      </c>
      <c r="I39527" s="4" t="str">
        <v/>
      </c>
    </row>
    <row r="39528" spans="5:9" ht="16.5" hidden="1">
      <c r="E39528" s="4" t="str">
        <v/>
      </c>
      <c r="F39528" s="102" t="str">
        <f ca="1">IFERROR(__xludf.DUMMYFUNCTION("IMPORTRANGE(H39528,""IDENTITAS UNIT!D9"")"),"#N/A")</f>
        <v>#N/A</v>
      </c>
      <c r="H39528" s="4" t="str">
        <v/>
      </c>
      <c r="I39528" s="4" t="str">
        <v/>
      </c>
    </row>
    <row r="39529" spans="5:9" ht="16.5" hidden="1">
      <c r="E39529" s="4" t="str">
        <v/>
      </c>
      <c r="F39529" s="102" t="str">
        <f ca="1">IFERROR(__xludf.DUMMYFUNCTION("IMPORTRANGE(H39529,""IDENTITAS UNIT!D9"")"),"#N/A")</f>
        <v>#N/A</v>
      </c>
      <c r="H39529" s="4" t="str">
        <v/>
      </c>
      <c r="I39529" s="4" t="str">
        <v/>
      </c>
    </row>
    <row r="39530" spans="5:9" ht="16.5" hidden="1">
      <c r="E39530" s="4" t="str">
        <v/>
      </c>
      <c r="F39530" s="102" t="str">
        <f ca="1">IFERROR(__xludf.DUMMYFUNCTION("IMPORTRANGE(H39530,""IDENTITAS UNIT!D9"")"),"#N/A")</f>
        <v>#N/A</v>
      </c>
      <c r="H39530" s="4" t="str">
        <v/>
      </c>
      <c r="I39530" s="4" t="str">
        <v/>
      </c>
    </row>
    <row r="39531" spans="5:9" ht="16.5" hidden="1">
      <c r="E39531" s="4" t="str">
        <v/>
      </c>
      <c r="F39531" s="102" t="str">
        <f ca="1">IFERROR(__xludf.DUMMYFUNCTION("IMPORTRANGE(H39531,""IDENTITAS UNIT!D9"")"),"#N/A")</f>
        <v>#N/A</v>
      </c>
      <c r="H39531" s="4" t="str">
        <v/>
      </c>
      <c r="I39531" s="4" t="str">
        <v/>
      </c>
    </row>
    <row r="39532" spans="5:9" ht="16.5" hidden="1">
      <c r="E39532" s="4" t="str">
        <v/>
      </c>
      <c r="F39532" s="102" t="str">
        <f ca="1">IFERROR(__xludf.DUMMYFUNCTION("IMPORTRANGE(H39532,""IDENTITAS UNIT!D9"")"),"#N/A")</f>
        <v>#N/A</v>
      </c>
      <c r="H39532" s="4" t="str">
        <v/>
      </c>
      <c r="I39532" s="4" t="str">
        <v/>
      </c>
    </row>
    <row r="39533" spans="5:9" ht="16.5" hidden="1">
      <c r="E39533" s="4" t="str">
        <v/>
      </c>
      <c r="F39533" s="102" t="str">
        <f ca="1">IFERROR(__xludf.DUMMYFUNCTION("IMPORTRANGE(H39533,""IDENTITAS UNIT!D9"")"),"#N/A")</f>
        <v>#N/A</v>
      </c>
      <c r="H39533" s="4" t="str">
        <v/>
      </c>
      <c r="I39533" s="4" t="str">
        <v/>
      </c>
    </row>
    <row r="39534" spans="5:9" ht="16.5" hidden="1">
      <c r="E39534" s="4" t="str">
        <v/>
      </c>
      <c r="F39534" s="102" t="str">
        <f ca="1">IFERROR(__xludf.DUMMYFUNCTION("IMPORTRANGE(H39534,""IDENTITAS UNIT!D9"")"),"#N/A")</f>
        <v>#N/A</v>
      </c>
      <c r="H39534" s="4" t="str">
        <v/>
      </c>
      <c r="I39534" s="4" t="str">
        <v/>
      </c>
    </row>
    <row r="39535" spans="5:9" ht="16.5" hidden="1">
      <c r="E39535" s="4" t="str">
        <v/>
      </c>
      <c r="F39535" s="102" t="str">
        <f ca="1">IFERROR(__xludf.DUMMYFUNCTION("IMPORTRANGE(H39535,""IDENTITAS UNIT!D9"")"),"#N/A")</f>
        <v>#N/A</v>
      </c>
      <c r="H39535" s="4" t="str">
        <v/>
      </c>
      <c r="I39535" s="4" t="str">
        <v/>
      </c>
    </row>
    <row r="39536" spans="5:9" ht="16.5" hidden="1">
      <c r="E39536" s="4" t="str">
        <v/>
      </c>
      <c r="F39536" s="102" t="str">
        <f ca="1">IFERROR(__xludf.DUMMYFUNCTION("IMPORTRANGE(H39536,""IDENTITAS UNIT!D9"")"),"#N/A")</f>
        <v>#N/A</v>
      </c>
      <c r="H39536" s="4" t="str">
        <v/>
      </c>
      <c r="I39536" s="4" t="str">
        <v/>
      </c>
    </row>
    <row r="39537" spans="5:9" ht="16.5" hidden="1">
      <c r="E39537" s="4" t="str">
        <v/>
      </c>
      <c r="F39537" s="102" t="str">
        <f ca="1">IFERROR(__xludf.DUMMYFUNCTION("IMPORTRANGE(H39537,""IDENTITAS UNIT!D9"")"),"#N/A")</f>
        <v>#N/A</v>
      </c>
      <c r="H39537" s="4" t="str">
        <v/>
      </c>
      <c r="I39537" s="4" t="str">
        <v/>
      </c>
    </row>
    <row r="39538" spans="5:9" ht="16.5" hidden="1">
      <c r="E39538" s="4" t="str">
        <v/>
      </c>
      <c r="F39538" s="102" t="str">
        <f ca="1">IFERROR(__xludf.DUMMYFUNCTION("IMPORTRANGE(H39538,""IDENTITAS UNIT!D9"")"),"#N/A")</f>
        <v>#N/A</v>
      </c>
      <c r="H39538" s="4" t="str">
        <v/>
      </c>
      <c r="I39538" s="4" t="str">
        <v/>
      </c>
    </row>
    <row r="39539" spans="5:9" ht="16.5" hidden="1">
      <c r="E39539" s="4" t="str">
        <v/>
      </c>
      <c r="F39539" s="102" t="str">
        <f ca="1">IFERROR(__xludf.DUMMYFUNCTION("IMPORTRANGE(H39539,""IDENTITAS UNIT!D9"")"),"#N/A")</f>
        <v>#N/A</v>
      </c>
      <c r="H39539" s="4" t="str">
        <v/>
      </c>
      <c r="I39539" s="4" t="str">
        <v/>
      </c>
    </row>
    <row r="39540" spans="5:9" ht="16.5" hidden="1">
      <c r="E39540" s="4" t="str">
        <v/>
      </c>
      <c r="F39540" s="102" t="str">
        <f ca="1">IFERROR(__xludf.DUMMYFUNCTION("IMPORTRANGE(H39540,""IDENTITAS UNIT!D9"")"),"#N/A")</f>
        <v>#N/A</v>
      </c>
      <c r="H39540" s="4" t="str">
        <v/>
      </c>
      <c r="I39540" s="4" t="str">
        <v/>
      </c>
    </row>
    <row r="39541" spans="5:9" ht="16.5" hidden="1">
      <c r="E39541" s="4" t="str">
        <v/>
      </c>
      <c r="F39541" s="102" t="str">
        <f ca="1">IFERROR(__xludf.DUMMYFUNCTION("IMPORTRANGE(H39541,""IDENTITAS UNIT!D9"")"),"#N/A")</f>
        <v>#N/A</v>
      </c>
      <c r="H39541" s="4" t="str">
        <v/>
      </c>
      <c r="I39541" s="4" t="str">
        <v/>
      </c>
    </row>
    <row r="39542" spans="5:9" ht="16.5" hidden="1">
      <c r="E39542" s="4" t="str">
        <v/>
      </c>
      <c r="F39542" s="102" t="str">
        <f ca="1">IFERROR(__xludf.DUMMYFUNCTION("IMPORTRANGE(H39542,""IDENTITAS UNIT!D9"")"),"#N/A")</f>
        <v>#N/A</v>
      </c>
      <c r="H39542" s="4" t="str">
        <v/>
      </c>
      <c r="I39542" s="4" t="str">
        <v/>
      </c>
    </row>
    <row r="39543" spans="5:9" ht="16.5" hidden="1">
      <c r="E39543" s="4" t="str">
        <v/>
      </c>
      <c r="F39543" s="102" t="str">
        <f ca="1">IFERROR(__xludf.DUMMYFUNCTION("IMPORTRANGE(H39543,""IDENTITAS UNIT!D9"")"),"#N/A")</f>
        <v>#N/A</v>
      </c>
      <c r="H39543" s="4" t="str">
        <v/>
      </c>
      <c r="I39543" s="4" t="str">
        <v/>
      </c>
    </row>
    <row r="39544" spans="5:9" ht="16.5" hidden="1">
      <c r="E39544" s="4" t="str">
        <v/>
      </c>
      <c r="F39544" s="102" t="str">
        <f ca="1">IFERROR(__xludf.DUMMYFUNCTION("IMPORTRANGE(H39544,""IDENTITAS UNIT!D9"")"),"#N/A")</f>
        <v>#N/A</v>
      </c>
      <c r="H39544" s="4" t="str">
        <v/>
      </c>
      <c r="I39544" s="4" t="str">
        <v/>
      </c>
    </row>
    <row r="39545" spans="5:9" ht="16.5" hidden="1">
      <c r="E39545" s="4" t="str">
        <v/>
      </c>
      <c r="F39545" s="102" t="str">
        <f ca="1">IFERROR(__xludf.DUMMYFUNCTION("IMPORTRANGE(H39545,""IDENTITAS UNIT!D9"")"),"#N/A")</f>
        <v>#N/A</v>
      </c>
      <c r="H39545" s="4" t="str">
        <v/>
      </c>
      <c r="I39545" s="4" t="str">
        <v/>
      </c>
    </row>
    <row r="39546" spans="5:9" ht="16.5" hidden="1">
      <c r="E39546" s="4" t="str">
        <v/>
      </c>
      <c r="F39546" s="102" t="str">
        <f ca="1">IFERROR(__xludf.DUMMYFUNCTION("IMPORTRANGE(H39546,""IDENTITAS UNIT!D9"")"),"#N/A")</f>
        <v>#N/A</v>
      </c>
      <c r="H39546" s="4" t="str">
        <v/>
      </c>
      <c r="I39546" s="4" t="str">
        <v/>
      </c>
    </row>
    <row r="39547" spans="5:9" ht="16.5" hidden="1">
      <c r="E39547" s="4" t="str">
        <v/>
      </c>
      <c r="F39547" s="102" t="str">
        <f ca="1">IFERROR(__xludf.DUMMYFUNCTION("IMPORTRANGE(H39547,""IDENTITAS UNIT!D9"")"),"#N/A")</f>
        <v>#N/A</v>
      </c>
      <c r="H39547" s="4" t="str">
        <v/>
      </c>
      <c r="I39547" s="4" t="str">
        <v/>
      </c>
    </row>
    <row r="39548" spans="5:9" ht="16.5" hidden="1">
      <c r="E39548" s="4" t="str">
        <v/>
      </c>
      <c r="F39548" s="102" t="str">
        <f ca="1">IFERROR(__xludf.DUMMYFUNCTION("IMPORTRANGE(H39548,""IDENTITAS UNIT!D9"")"),"#N/A")</f>
        <v>#N/A</v>
      </c>
      <c r="H39548" s="4" t="str">
        <v/>
      </c>
      <c r="I39548" s="4" t="str">
        <v/>
      </c>
    </row>
    <row r="39549" spans="5:9" ht="16.5" hidden="1">
      <c r="E39549" s="4" t="str">
        <v/>
      </c>
      <c r="F39549" s="102" t="str">
        <f ca="1">IFERROR(__xludf.DUMMYFUNCTION("IMPORTRANGE(H39549,""IDENTITAS UNIT!D9"")"),"#N/A")</f>
        <v>#N/A</v>
      </c>
      <c r="H39549" s="4" t="str">
        <v/>
      </c>
      <c r="I39549" s="4" t="str">
        <v/>
      </c>
    </row>
    <row r="39550" spans="5:9" ht="16.5" hidden="1">
      <c r="E39550" s="4" t="str">
        <v/>
      </c>
      <c r="F39550" s="102" t="str">
        <f ca="1">IFERROR(__xludf.DUMMYFUNCTION("IMPORTRANGE(H39550,""IDENTITAS UNIT!D9"")"),"#N/A")</f>
        <v>#N/A</v>
      </c>
      <c r="H39550" s="4" t="str">
        <v/>
      </c>
      <c r="I39550" s="4" t="str">
        <v/>
      </c>
    </row>
    <row r="39551" spans="5:9" ht="16.5" hidden="1">
      <c r="E39551" s="4" t="str">
        <v/>
      </c>
      <c r="F39551" s="102" t="str">
        <f ca="1">IFERROR(__xludf.DUMMYFUNCTION("IMPORTRANGE(H39551,""IDENTITAS UNIT!D9"")"),"#N/A")</f>
        <v>#N/A</v>
      </c>
      <c r="H39551" s="4" t="str">
        <v/>
      </c>
      <c r="I39551" s="4" t="str">
        <v/>
      </c>
    </row>
    <row r="39552" spans="5:9" ht="16.5" hidden="1">
      <c r="E39552" s="4" t="str">
        <v/>
      </c>
      <c r="F39552" s="102" t="str">
        <f ca="1">IFERROR(__xludf.DUMMYFUNCTION("IMPORTRANGE(H39552,""IDENTITAS UNIT!D9"")"),"#N/A")</f>
        <v>#N/A</v>
      </c>
      <c r="H39552" s="4" t="str">
        <v/>
      </c>
      <c r="I39552" s="4" t="str">
        <v/>
      </c>
    </row>
    <row r="39553" spans="5:9" ht="16.5" hidden="1">
      <c r="E39553" s="4" t="str">
        <v/>
      </c>
      <c r="F39553" s="102" t="str">
        <f ca="1">IFERROR(__xludf.DUMMYFUNCTION("IMPORTRANGE(H39553,""IDENTITAS UNIT!D9"")"),"#N/A")</f>
        <v>#N/A</v>
      </c>
      <c r="H39553" s="4" t="str">
        <v/>
      </c>
      <c r="I39553" s="4" t="str">
        <v/>
      </c>
    </row>
    <row r="39554" spans="5:9" ht="16.5" hidden="1">
      <c r="E39554" s="4" t="str">
        <v/>
      </c>
      <c r="F39554" s="102" t="str">
        <f ca="1">IFERROR(__xludf.DUMMYFUNCTION("IMPORTRANGE(H39554,""IDENTITAS UNIT!D9"")"),"#N/A")</f>
        <v>#N/A</v>
      </c>
      <c r="H39554" s="4" t="str">
        <v/>
      </c>
      <c r="I39554" s="4" t="str">
        <v/>
      </c>
    </row>
    <row r="39555" spans="5:9" ht="16.5" hidden="1">
      <c r="E39555" s="4" t="str">
        <v/>
      </c>
      <c r="F39555" s="102" t="str">
        <f ca="1">IFERROR(__xludf.DUMMYFUNCTION("IMPORTRANGE(H39555,""IDENTITAS UNIT!D9"")"),"#N/A")</f>
        <v>#N/A</v>
      </c>
      <c r="H39555" s="4" t="str">
        <v/>
      </c>
      <c r="I39555" s="4" t="str">
        <v/>
      </c>
    </row>
    <row r="39556" spans="5:9" ht="16.5" hidden="1">
      <c r="E39556" s="4" t="str">
        <v/>
      </c>
      <c r="F39556" s="102" t="str">
        <f ca="1">IFERROR(__xludf.DUMMYFUNCTION("IMPORTRANGE(H39556,""IDENTITAS UNIT!D9"")"),"#N/A")</f>
        <v>#N/A</v>
      </c>
      <c r="H39556" s="4" t="str">
        <v/>
      </c>
      <c r="I39556" s="4" t="str">
        <v/>
      </c>
    </row>
    <row r="39557" spans="5:9" ht="16.5" hidden="1">
      <c r="E39557" s="4" t="str">
        <v/>
      </c>
      <c r="F39557" s="102" t="str">
        <f ca="1">IFERROR(__xludf.DUMMYFUNCTION("IMPORTRANGE(H39557,""IDENTITAS UNIT!D9"")"),"#N/A")</f>
        <v>#N/A</v>
      </c>
      <c r="H39557" s="4" t="str">
        <v/>
      </c>
      <c r="I39557" s="4" t="str">
        <v/>
      </c>
    </row>
    <row r="39558" spans="5:9" ht="16.5" hidden="1">
      <c r="E39558" s="4" t="str">
        <v/>
      </c>
      <c r="F39558" s="102" t="str">
        <f ca="1">IFERROR(__xludf.DUMMYFUNCTION("IMPORTRANGE(H39558,""IDENTITAS UNIT!D9"")"),"#N/A")</f>
        <v>#N/A</v>
      </c>
      <c r="H39558" s="4" t="str">
        <v/>
      </c>
      <c r="I39558" s="4" t="str">
        <v/>
      </c>
    </row>
    <row r="39559" spans="5:9" ht="16.5" hidden="1">
      <c r="E39559" s="4" t="str">
        <v/>
      </c>
      <c r="F39559" s="102" t="str">
        <f ca="1">IFERROR(__xludf.DUMMYFUNCTION("IMPORTRANGE(H39559,""IDENTITAS UNIT!D9"")"),"#N/A")</f>
        <v>#N/A</v>
      </c>
      <c r="H39559" s="4" t="str">
        <v/>
      </c>
      <c r="I39559" s="4" t="str">
        <v/>
      </c>
    </row>
    <row r="39560" spans="5:9" ht="16.5" hidden="1">
      <c r="E39560" s="4" t="str">
        <v/>
      </c>
      <c r="F39560" s="102" t="str">
        <f ca="1">IFERROR(__xludf.DUMMYFUNCTION("IMPORTRANGE(H39560,""IDENTITAS UNIT!D9"")"),"#N/A")</f>
        <v>#N/A</v>
      </c>
      <c r="H39560" s="4" t="str">
        <v/>
      </c>
      <c r="I39560" s="4" t="str">
        <v/>
      </c>
    </row>
    <row r="39561" spans="5:9" ht="16.5" hidden="1">
      <c r="E39561" s="4" t="str">
        <v/>
      </c>
      <c r="F39561" s="102" t="str">
        <f ca="1">IFERROR(__xludf.DUMMYFUNCTION("IMPORTRANGE(H39561,""IDENTITAS UNIT!D9"")"),"#N/A")</f>
        <v>#N/A</v>
      </c>
      <c r="H39561" s="4" t="str">
        <v/>
      </c>
      <c r="I39561" s="4" t="str">
        <v/>
      </c>
    </row>
    <row r="39562" spans="5:9" ht="16.5" hidden="1">
      <c r="E39562" s="4" t="str">
        <v/>
      </c>
      <c r="F39562" s="102" t="str">
        <f ca="1">IFERROR(__xludf.DUMMYFUNCTION("IMPORTRANGE(H39562,""IDENTITAS UNIT!D9"")"),"#N/A")</f>
        <v>#N/A</v>
      </c>
      <c r="H39562" s="4" t="str">
        <v/>
      </c>
      <c r="I39562" s="4" t="str">
        <v/>
      </c>
    </row>
    <row r="39563" spans="5:9" ht="16.5" hidden="1">
      <c r="E39563" s="4" t="str">
        <v/>
      </c>
      <c r="F39563" s="102" t="str">
        <f ca="1">IFERROR(__xludf.DUMMYFUNCTION("IMPORTRANGE(H39563,""IDENTITAS UNIT!D9"")"),"#N/A")</f>
        <v>#N/A</v>
      </c>
      <c r="H39563" s="4" t="str">
        <v/>
      </c>
      <c r="I39563" s="4" t="str">
        <v/>
      </c>
    </row>
    <row r="39564" spans="5:9" ht="16.5" hidden="1">
      <c r="E39564" s="4" t="str">
        <v/>
      </c>
      <c r="F39564" s="102" t="str">
        <f ca="1">IFERROR(__xludf.DUMMYFUNCTION("IMPORTRANGE(H39564,""IDENTITAS UNIT!D9"")"),"#N/A")</f>
        <v>#N/A</v>
      </c>
      <c r="H39564" s="4" t="str">
        <v/>
      </c>
      <c r="I39564" s="4" t="str">
        <v/>
      </c>
    </row>
    <row r="39565" spans="5:9" ht="16.5" hidden="1">
      <c r="E39565" s="4" t="str">
        <v/>
      </c>
      <c r="F39565" s="102" t="str">
        <f ca="1">IFERROR(__xludf.DUMMYFUNCTION("IMPORTRANGE(H39565,""IDENTITAS UNIT!D9"")"),"#N/A")</f>
        <v>#N/A</v>
      </c>
      <c r="H39565" s="4" t="str">
        <v/>
      </c>
      <c r="I39565" s="4" t="str">
        <v/>
      </c>
    </row>
    <row r="39566" spans="5:9" ht="16.5" hidden="1">
      <c r="E39566" s="4" t="str">
        <v/>
      </c>
      <c r="F39566" s="102" t="str">
        <f ca="1">IFERROR(__xludf.DUMMYFUNCTION("IMPORTRANGE(H39566,""IDENTITAS UNIT!D9"")"),"#N/A")</f>
        <v>#N/A</v>
      </c>
      <c r="H39566" s="4" t="str">
        <v/>
      </c>
      <c r="I39566" s="4" t="str">
        <v/>
      </c>
    </row>
    <row r="39567" spans="5:9" ht="16.5" hidden="1">
      <c r="E39567" s="4" t="str">
        <v/>
      </c>
      <c r="F39567" s="102" t="str">
        <f ca="1">IFERROR(__xludf.DUMMYFUNCTION("IMPORTRANGE(H39567,""IDENTITAS UNIT!D9"")"),"#N/A")</f>
        <v>#N/A</v>
      </c>
      <c r="H39567" s="4" t="str">
        <v/>
      </c>
      <c r="I39567" s="4" t="str">
        <v/>
      </c>
    </row>
    <row r="39568" spans="5:9" ht="16.5" hidden="1">
      <c r="E39568" s="4" t="str">
        <v/>
      </c>
      <c r="F39568" s="102" t="str">
        <f ca="1">IFERROR(__xludf.DUMMYFUNCTION("IMPORTRANGE(H39568,""IDENTITAS UNIT!D9"")"),"#N/A")</f>
        <v>#N/A</v>
      </c>
      <c r="H39568" s="4" t="str">
        <v/>
      </c>
      <c r="I39568" s="4" t="str">
        <v/>
      </c>
    </row>
    <row r="39569" spans="5:9" ht="16.5" hidden="1">
      <c r="E39569" s="4" t="str">
        <v/>
      </c>
      <c r="F39569" s="102" t="str">
        <f ca="1">IFERROR(__xludf.DUMMYFUNCTION("IMPORTRANGE(H39569,""IDENTITAS UNIT!D9"")"),"#N/A")</f>
        <v>#N/A</v>
      </c>
      <c r="H39569" s="4" t="str">
        <v/>
      </c>
      <c r="I39569" s="4" t="str">
        <v/>
      </c>
    </row>
    <row r="39570" spans="5:9" ht="16.5" hidden="1">
      <c r="E39570" s="4" t="str">
        <v/>
      </c>
      <c r="F39570" s="102" t="str">
        <f ca="1">IFERROR(__xludf.DUMMYFUNCTION("IMPORTRANGE(H39570,""IDENTITAS UNIT!D9"")"),"#N/A")</f>
        <v>#N/A</v>
      </c>
      <c r="H39570" s="4" t="str">
        <v/>
      </c>
      <c r="I39570" s="4" t="str">
        <v/>
      </c>
    </row>
    <row r="39571" spans="5:9" ht="16.5" hidden="1">
      <c r="E39571" s="4" t="str">
        <v/>
      </c>
      <c r="F39571" s="102" t="str">
        <f ca="1">IFERROR(__xludf.DUMMYFUNCTION("IMPORTRANGE(H39571,""IDENTITAS UNIT!D9"")"),"#N/A")</f>
        <v>#N/A</v>
      </c>
      <c r="H39571" s="4" t="str">
        <v/>
      </c>
      <c r="I39571" s="4" t="str">
        <v/>
      </c>
    </row>
    <row r="39572" spans="5:9" ht="16.5" hidden="1">
      <c r="E39572" s="4" t="str">
        <v/>
      </c>
      <c r="F39572" s="102" t="str">
        <f ca="1">IFERROR(__xludf.DUMMYFUNCTION("IMPORTRANGE(H39572,""IDENTITAS UNIT!D9"")"),"#N/A")</f>
        <v>#N/A</v>
      </c>
      <c r="H39572" s="4" t="str">
        <v/>
      </c>
      <c r="I39572" s="4" t="str">
        <v/>
      </c>
    </row>
    <row r="39573" spans="5:9" ht="16.5" hidden="1">
      <c r="E39573" s="4" t="str">
        <v/>
      </c>
      <c r="F39573" s="102" t="str">
        <f ca="1">IFERROR(__xludf.DUMMYFUNCTION("IMPORTRANGE(H39573,""IDENTITAS UNIT!D9"")"),"#N/A")</f>
        <v>#N/A</v>
      </c>
      <c r="H39573" s="4" t="str">
        <v/>
      </c>
      <c r="I39573" s="4" t="str">
        <v/>
      </c>
    </row>
    <row r="39574" spans="5:9" ht="16.5" hidden="1">
      <c r="E39574" s="4" t="str">
        <v/>
      </c>
      <c r="F39574" s="102" t="str">
        <f ca="1">IFERROR(__xludf.DUMMYFUNCTION("IMPORTRANGE(H39574,""IDENTITAS UNIT!D9"")"),"#N/A")</f>
        <v>#N/A</v>
      </c>
      <c r="H39574" s="4" t="str">
        <v/>
      </c>
      <c r="I39574" s="4" t="str">
        <v/>
      </c>
    </row>
    <row r="39575" spans="5:9" ht="16.5" hidden="1">
      <c r="E39575" s="4" t="str">
        <v/>
      </c>
      <c r="F39575" s="102" t="str">
        <f ca="1">IFERROR(__xludf.DUMMYFUNCTION("IMPORTRANGE(H39575,""IDENTITAS UNIT!D9"")"),"#N/A")</f>
        <v>#N/A</v>
      </c>
      <c r="H39575" s="4" t="str">
        <v/>
      </c>
      <c r="I39575" s="4" t="str">
        <v/>
      </c>
    </row>
    <row r="39576" spans="5:9" ht="16.5" hidden="1">
      <c r="E39576" s="4" t="str">
        <v/>
      </c>
      <c r="F39576" s="102" t="str">
        <f ca="1">IFERROR(__xludf.DUMMYFUNCTION("IMPORTRANGE(H39576,""IDENTITAS UNIT!D9"")"),"#N/A")</f>
        <v>#N/A</v>
      </c>
      <c r="H39576" s="4" t="str">
        <v/>
      </c>
      <c r="I39576" s="4" t="str">
        <v/>
      </c>
    </row>
    <row r="39577" spans="5:9" ht="16.5" hidden="1">
      <c r="E39577" s="4" t="str">
        <v/>
      </c>
      <c r="F39577" s="102" t="str">
        <f ca="1">IFERROR(__xludf.DUMMYFUNCTION("IMPORTRANGE(H39577,""IDENTITAS UNIT!D9"")"),"#N/A")</f>
        <v>#N/A</v>
      </c>
      <c r="H39577" s="4" t="str">
        <v/>
      </c>
      <c r="I39577" s="4" t="str">
        <v/>
      </c>
    </row>
    <row r="39578" spans="5:9" ht="16.5" hidden="1">
      <c r="E39578" s="4" t="str">
        <v/>
      </c>
      <c r="F39578" s="102" t="str">
        <f ca="1">IFERROR(__xludf.DUMMYFUNCTION("IMPORTRANGE(H39578,""IDENTITAS UNIT!D9"")"),"#N/A")</f>
        <v>#N/A</v>
      </c>
      <c r="H39578" s="4" t="str">
        <v/>
      </c>
      <c r="I39578" s="4" t="str">
        <v/>
      </c>
    </row>
    <row r="39579" spans="5:9" ht="16.5" hidden="1">
      <c r="E39579" s="4" t="str">
        <v/>
      </c>
      <c r="F39579" s="102" t="str">
        <f ca="1">IFERROR(__xludf.DUMMYFUNCTION("IMPORTRANGE(H39579,""IDENTITAS UNIT!D9"")"),"#N/A")</f>
        <v>#N/A</v>
      </c>
      <c r="H39579" s="4" t="str">
        <v/>
      </c>
      <c r="I39579" s="4" t="str">
        <v/>
      </c>
    </row>
    <row r="39580" spans="5:9" ht="16.5" hidden="1">
      <c r="E39580" s="4" t="str">
        <v/>
      </c>
      <c r="F39580" s="102" t="str">
        <f ca="1">IFERROR(__xludf.DUMMYFUNCTION("IMPORTRANGE(H39580,""IDENTITAS UNIT!D9"")"),"#N/A")</f>
        <v>#N/A</v>
      </c>
      <c r="H39580" s="4" t="str">
        <v/>
      </c>
      <c r="I39580" s="4" t="str">
        <v/>
      </c>
    </row>
    <row r="39581" spans="5:9" ht="16.5" hidden="1">
      <c r="E39581" s="4" t="str">
        <v/>
      </c>
      <c r="F39581" s="102" t="str">
        <f ca="1">IFERROR(__xludf.DUMMYFUNCTION("IMPORTRANGE(H39581,""IDENTITAS UNIT!D9"")"),"#N/A")</f>
        <v>#N/A</v>
      </c>
      <c r="H39581" s="4" t="str">
        <v/>
      </c>
      <c r="I39581" s="4" t="str">
        <v/>
      </c>
    </row>
    <row r="39582" spans="5:9" ht="16.5" hidden="1">
      <c r="E39582" s="4" t="str">
        <v/>
      </c>
      <c r="F39582" s="102" t="str">
        <f ca="1">IFERROR(__xludf.DUMMYFUNCTION("IMPORTRANGE(H39582,""IDENTITAS UNIT!D9"")"),"#N/A")</f>
        <v>#N/A</v>
      </c>
      <c r="H39582" s="4" t="str">
        <v/>
      </c>
      <c r="I39582" s="4" t="str">
        <v/>
      </c>
    </row>
    <row r="39583" spans="5:9" ht="16.5" hidden="1">
      <c r="E39583" s="4" t="str">
        <v/>
      </c>
      <c r="F39583" s="102" t="str">
        <f ca="1">IFERROR(__xludf.DUMMYFUNCTION("IMPORTRANGE(H39583,""IDENTITAS UNIT!D9"")"),"#N/A")</f>
        <v>#N/A</v>
      </c>
      <c r="H39583" s="4" t="str">
        <v/>
      </c>
      <c r="I39583" s="4" t="str">
        <v/>
      </c>
    </row>
    <row r="39584" spans="5:9" ht="16.5" hidden="1">
      <c r="E39584" s="4" t="str">
        <v/>
      </c>
      <c r="F39584" s="102" t="str">
        <f ca="1">IFERROR(__xludf.DUMMYFUNCTION("IMPORTRANGE(H39584,""IDENTITAS UNIT!D9"")"),"#N/A")</f>
        <v>#N/A</v>
      </c>
      <c r="H39584" s="4" t="str">
        <v/>
      </c>
      <c r="I39584" s="4" t="str">
        <v/>
      </c>
    </row>
    <row r="39585" spans="5:9" ht="16.5" hidden="1">
      <c r="E39585" s="4" t="str">
        <v/>
      </c>
      <c r="F39585" s="102" t="str">
        <f ca="1">IFERROR(__xludf.DUMMYFUNCTION("IMPORTRANGE(H39585,""IDENTITAS UNIT!D9"")"),"#N/A")</f>
        <v>#N/A</v>
      </c>
      <c r="H39585" s="4" t="str">
        <v/>
      </c>
      <c r="I39585" s="4" t="str">
        <v/>
      </c>
    </row>
    <row r="39586" spans="5:9" ht="16.5" hidden="1">
      <c r="E39586" s="4" t="str">
        <v/>
      </c>
      <c r="F39586" s="102" t="str">
        <f ca="1">IFERROR(__xludf.DUMMYFUNCTION("IMPORTRANGE(H39586,""IDENTITAS UNIT!D9"")"),"#N/A")</f>
        <v>#N/A</v>
      </c>
      <c r="H39586" s="4" t="str">
        <v/>
      </c>
      <c r="I39586" s="4" t="str">
        <v/>
      </c>
    </row>
    <row r="39587" spans="5:9" ht="16.5" hidden="1">
      <c r="E39587" s="4" t="str">
        <v/>
      </c>
      <c r="F39587" s="102" t="str">
        <f ca="1">IFERROR(__xludf.DUMMYFUNCTION("IMPORTRANGE(H39587,""IDENTITAS UNIT!D9"")"),"#N/A")</f>
        <v>#N/A</v>
      </c>
      <c r="H39587" s="4" t="str">
        <v/>
      </c>
      <c r="I39587" s="4" t="str">
        <v/>
      </c>
    </row>
    <row r="39588" spans="5:9" ht="16.5" hidden="1">
      <c r="E39588" s="4" t="str">
        <v/>
      </c>
      <c r="F39588" s="102" t="str">
        <f ca="1">IFERROR(__xludf.DUMMYFUNCTION("IMPORTRANGE(H39588,""IDENTITAS UNIT!D9"")"),"#N/A")</f>
        <v>#N/A</v>
      </c>
      <c r="H39588" s="4" t="str">
        <v/>
      </c>
      <c r="I39588" s="4" t="str">
        <v/>
      </c>
    </row>
    <row r="39589" spans="5:9" ht="16.5" hidden="1">
      <c r="E39589" s="4" t="str">
        <v/>
      </c>
      <c r="F39589" s="102" t="str">
        <f ca="1">IFERROR(__xludf.DUMMYFUNCTION("IMPORTRANGE(H39589,""IDENTITAS UNIT!D9"")"),"#N/A")</f>
        <v>#N/A</v>
      </c>
      <c r="H39589" s="4" t="str">
        <v/>
      </c>
      <c r="I39589" s="4" t="str">
        <v/>
      </c>
    </row>
    <row r="39590" spans="5:9" ht="16.5" hidden="1">
      <c r="E39590" s="4" t="str">
        <v/>
      </c>
      <c r="F39590" s="102" t="str">
        <f ca="1">IFERROR(__xludf.DUMMYFUNCTION("IMPORTRANGE(H39590,""IDENTITAS UNIT!D9"")"),"#N/A")</f>
        <v>#N/A</v>
      </c>
      <c r="H39590" s="4" t="str">
        <v/>
      </c>
      <c r="I39590" s="4" t="str">
        <v/>
      </c>
    </row>
    <row r="39591" spans="5:9" ht="16.5" hidden="1">
      <c r="E39591" s="4" t="str">
        <v/>
      </c>
      <c r="F39591" s="102" t="str">
        <f ca="1">IFERROR(__xludf.DUMMYFUNCTION("IMPORTRANGE(H39591,""IDENTITAS UNIT!D9"")"),"#N/A")</f>
        <v>#N/A</v>
      </c>
      <c r="H39591" s="4" t="str">
        <v/>
      </c>
      <c r="I39591" s="4" t="str">
        <v/>
      </c>
    </row>
    <row r="39592" spans="5:9" ht="16.5" hidden="1">
      <c r="E39592" s="4" t="str">
        <v/>
      </c>
      <c r="F39592" s="102" t="str">
        <f ca="1">IFERROR(__xludf.DUMMYFUNCTION("IMPORTRANGE(H39592,""IDENTITAS UNIT!D9"")"),"#N/A")</f>
        <v>#N/A</v>
      </c>
      <c r="H39592" s="4" t="str">
        <v/>
      </c>
      <c r="I39592" s="4" t="str">
        <v/>
      </c>
    </row>
    <row r="39593" spans="5:9" ht="16.5" hidden="1">
      <c r="E39593" s="4" t="str">
        <v/>
      </c>
      <c r="F39593" s="102" t="str">
        <f ca="1">IFERROR(__xludf.DUMMYFUNCTION("IMPORTRANGE(H39593,""IDENTITAS UNIT!D9"")"),"#N/A")</f>
        <v>#N/A</v>
      </c>
      <c r="H39593" s="4" t="str">
        <v/>
      </c>
      <c r="I39593" s="4" t="str">
        <v/>
      </c>
    </row>
    <row r="39594" spans="5:9" ht="16.5" hidden="1">
      <c r="E39594" s="4" t="str">
        <v/>
      </c>
      <c r="F39594" s="102" t="str">
        <f ca="1">IFERROR(__xludf.DUMMYFUNCTION("IMPORTRANGE(H39594,""IDENTITAS UNIT!D9"")"),"#N/A")</f>
        <v>#N/A</v>
      </c>
      <c r="H39594" s="4" t="str">
        <v/>
      </c>
      <c r="I39594" s="4" t="str">
        <v/>
      </c>
    </row>
    <row r="39595" spans="5:9" ht="16.5" hidden="1">
      <c r="E39595" s="4" t="str">
        <v/>
      </c>
      <c r="F39595" s="102" t="str">
        <f ca="1">IFERROR(__xludf.DUMMYFUNCTION("IMPORTRANGE(H39595,""IDENTITAS UNIT!D9"")"),"#N/A")</f>
        <v>#N/A</v>
      </c>
      <c r="H39595" s="4" t="str">
        <v/>
      </c>
      <c r="I39595" s="4" t="str">
        <v/>
      </c>
    </row>
    <row r="39596" spans="5:9" ht="16.5" hidden="1">
      <c r="E39596" s="4" t="str">
        <v/>
      </c>
      <c r="F39596" s="102" t="str">
        <f ca="1">IFERROR(__xludf.DUMMYFUNCTION("IMPORTRANGE(H39596,""IDENTITAS UNIT!D9"")"),"#N/A")</f>
        <v>#N/A</v>
      </c>
      <c r="H39596" s="4" t="str">
        <v/>
      </c>
      <c r="I39596" s="4" t="str">
        <v/>
      </c>
    </row>
    <row r="39597" spans="5:9" ht="16.5" hidden="1">
      <c r="E39597" s="4" t="str">
        <v/>
      </c>
      <c r="F39597" s="102" t="str">
        <f ca="1">IFERROR(__xludf.DUMMYFUNCTION("IMPORTRANGE(H39597,""IDENTITAS UNIT!D9"")"),"#N/A")</f>
        <v>#N/A</v>
      </c>
      <c r="H39597" s="4" t="str">
        <v/>
      </c>
      <c r="I39597" s="4" t="str">
        <v/>
      </c>
    </row>
    <row r="39598" spans="5:9" ht="16.5" hidden="1">
      <c r="E39598" s="4" t="str">
        <v/>
      </c>
      <c r="F39598" s="102" t="str">
        <f ca="1">IFERROR(__xludf.DUMMYFUNCTION("IMPORTRANGE(H39598,""IDENTITAS UNIT!D9"")"),"#N/A")</f>
        <v>#N/A</v>
      </c>
      <c r="H39598" s="4" t="str">
        <v/>
      </c>
      <c r="I39598" s="4" t="str">
        <v/>
      </c>
    </row>
    <row r="39599" spans="5:9" ht="16.5" hidden="1">
      <c r="E39599" s="4" t="str">
        <v/>
      </c>
      <c r="F39599" s="102" t="str">
        <f ca="1">IFERROR(__xludf.DUMMYFUNCTION("IMPORTRANGE(H39599,""IDENTITAS UNIT!D9"")"),"#N/A")</f>
        <v>#N/A</v>
      </c>
      <c r="H39599" s="4" t="str">
        <v/>
      </c>
      <c r="I39599" s="4" t="str">
        <v/>
      </c>
    </row>
    <row r="39600" spans="5:9" ht="16.5" hidden="1">
      <c r="E39600" s="4" t="str">
        <v/>
      </c>
      <c r="F39600" s="102" t="str">
        <f ca="1">IFERROR(__xludf.DUMMYFUNCTION("IMPORTRANGE(H39600,""IDENTITAS UNIT!D9"")"),"#N/A")</f>
        <v>#N/A</v>
      </c>
      <c r="H39600" s="4" t="str">
        <v/>
      </c>
      <c r="I39600" s="4" t="str">
        <v/>
      </c>
    </row>
    <row r="39601" spans="5:9" ht="16.5" hidden="1">
      <c r="E39601" s="4" t="str">
        <v/>
      </c>
      <c r="F39601" s="102" t="str">
        <f ca="1">IFERROR(__xludf.DUMMYFUNCTION("IMPORTRANGE(H39601,""IDENTITAS UNIT!D9"")"),"#N/A")</f>
        <v>#N/A</v>
      </c>
      <c r="H39601" s="4" t="str">
        <v/>
      </c>
      <c r="I39601" s="4" t="str">
        <v/>
      </c>
    </row>
    <row r="39602" spans="5:9" ht="16.5" hidden="1">
      <c r="E39602" s="4" t="str">
        <v/>
      </c>
      <c r="F39602" s="102" t="str">
        <f ca="1">IFERROR(__xludf.DUMMYFUNCTION("IMPORTRANGE(H39602,""IDENTITAS UNIT!D9"")"),"#N/A")</f>
        <v>#N/A</v>
      </c>
      <c r="H39602" s="4" t="str">
        <v/>
      </c>
      <c r="I39602" s="4" t="str">
        <v/>
      </c>
    </row>
    <row r="39603" spans="5:9" ht="16.5" hidden="1">
      <c r="E39603" s="4" t="str">
        <v/>
      </c>
      <c r="F39603" s="102" t="str">
        <f ca="1">IFERROR(__xludf.DUMMYFUNCTION("IMPORTRANGE(H39603,""IDENTITAS UNIT!D9"")"),"#N/A")</f>
        <v>#N/A</v>
      </c>
      <c r="H39603" s="4" t="str">
        <v/>
      </c>
      <c r="I39603" s="4" t="str">
        <v/>
      </c>
    </row>
    <row r="39604" spans="5:9" ht="16.5" hidden="1">
      <c r="E39604" s="4" t="str">
        <v/>
      </c>
      <c r="F39604" s="102" t="str">
        <f ca="1">IFERROR(__xludf.DUMMYFUNCTION("IMPORTRANGE(H39604,""IDENTITAS UNIT!D9"")"),"#N/A")</f>
        <v>#N/A</v>
      </c>
      <c r="H39604" s="4" t="str">
        <v/>
      </c>
      <c r="I39604" s="4" t="str">
        <v/>
      </c>
    </row>
    <row r="39605" spans="5:9" ht="16.5" hidden="1">
      <c r="E39605" s="4" t="str">
        <v/>
      </c>
      <c r="F39605" s="102" t="str">
        <f ca="1">IFERROR(__xludf.DUMMYFUNCTION("IMPORTRANGE(H39605,""IDENTITAS UNIT!D9"")"),"#N/A")</f>
        <v>#N/A</v>
      </c>
      <c r="H39605" s="4" t="str">
        <v/>
      </c>
      <c r="I39605" s="4" t="str">
        <v/>
      </c>
    </row>
    <row r="39606" spans="5:9" ht="16.5" hidden="1">
      <c r="E39606" s="4" t="str">
        <v/>
      </c>
      <c r="F39606" s="102" t="str">
        <f ca="1">IFERROR(__xludf.DUMMYFUNCTION("IMPORTRANGE(H39606,""IDENTITAS UNIT!D9"")"),"#N/A")</f>
        <v>#N/A</v>
      </c>
      <c r="H39606" s="4" t="str">
        <v/>
      </c>
      <c r="I39606" s="4" t="str">
        <v/>
      </c>
    </row>
    <row r="39607" spans="5:9" ht="16.5" hidden="1">
      <c r="E39607" s="4" t="str">
        <v/>
      </c>
      <c r="F39607" s="102" t="str">
        <f ca="1">IFERROR(__xludf.DUMMYFUNCTION("IMPORTRANGE(H39607,""IDENTITAS UNIT!D9"")"),"#N/A")</f>
        <v>#N/A</v>
      </c>
      <c r="H39607" s="4" t="str">
        <v/>
      </c>
      <c r="I39607" s="4" t="str">
        <v/>
      </c>
    </row>
    <row r="39608" spans="5:9" ht="16.5" hidden="1">
      <c r="E39608" s="4" t="str">
        <v/>
      </c>
      <c r="F39608" s="102" t="str">
        <f ca="1">IFERROR(__xludf.DUMMYFUNCTION("IMPORTRANGE(H39608,""IDENTITAS UNIT!D9"")"),"#N/A")</f>
        <v>#N/A</v>
      </c>
      <c r="H39608" s="4" t="str">
        <v/>
      </c>
      <c r="I39608" s="4" t="str">
        <v/>
      </c>
    </row>
    <row r="39609" spans="5:9" ht="16.5" hidden="1">
      <c r="E39609" s="4" t="str">
        <v/>
      </c>
      <c r="F39609" s="102" t="str">
        <f ca="1">IFERROR(__xludf.DUMMYFUNCTION("IMPORTRANGE(H39609,""IDENTITAS UNIT!D9"")"),"#N/A")</f>
        <v>#N/A</v>
      </c>
      <c r="H39609" s="4" t="str">
        <v/>
      </c>
      <c r="I39609" s="4" t="str">
        <v/>
      </c>
    </row>
    <row r="39610" spans="5:9" ht="16.5" hidden="1">
      <c r="E39610" s="4" t="str">
        <v/>
      </c>
      <c r="F39610" s="102" t="str">
        <f ca="1">IFERROR(__xludf.DUMMYFUNCTION("IMPORTRANGE(H39610,""IDENTITAS UNIT!D9"")"),"#N/A")</f>
        <v>#N/A</v>
      </c>
      <c r="H39610" s="4" t="str">
        <v/>
      </c>
      <c r="I39610" s="4" t="str">
        <v/>
      </c>
    </row>
    <row r="39611" spans="5:9" ht="16.5" hidden="1">
      <c r="E39611" s="4" t="str">
        <v/>
      </c>
      <c r="F39611" s="102" t="str">
        <f ca="1">IFERROR(__xludf.DUMMYFUNCTION("IMPORTRANGE(H39611,""IDENTITAS UNIT!D9"")"),"#N/A")</f>
        <v>#N/A</v>
      </c>
      <c r="H39611" s="4" t="str">
        <v/>
      </c>
      <c r="I39611" s="4" t="str">
        <v/>
      </c>
    </row>
    <row r="39612" spans="5:9" ht="16.5" hidden="1">
      <c r="E39612" s="4" t="str">
        <v/>
      </c>
      <c r="F39612" s="102" t="str">
        <f ca="1">IFERROR(__xludf.DUMMYFUNCTION("IMPORTRANGE(H39612,""IDENTITAS UNIT!D9"")"),"#N/A")</f>
        <v>#N/A</v>
      </c>
      <c r="H39612" s="4" t="str">
        <v/>
      </c>
      <c r="I39612" s="4" t="str">
        <v/>
      </c>
    </row>
    <row r="39613" spans="5:9" ht="16.5" hidden="1">
      <c r="E39613" s="4" t="str">
        <v/>
      </c>
      <c r="F39613" s="102" t="str">
        <f ca="1">IFERROR(__xludf.DUMMYFUNCTION("IMPORTRANGE(H39613,""IDENTITAS UNIT!D9"")"),"#N/A")</f>
        <v>#N/A</v>
      </c>
      <c r="H39613" s="4" t="str">
        <v/>
      </c>
      <c r="I39613" s="4" t="str">
        <v/>
      </c>
    </row>
    <row r="39614" spans="5:9" ht="16.5" hidden="1">
      <c r="E39614" s="4" t="str">
        <v/>
      </c>
      <c r="F39614" s="102" t="str">
        <f ca="1">IFERROR(__xludf.DUMMYFUNCTION("IMPORTRANGE(H39614,""IDENTITAS UNIT!D9"")"),"#N/A")</f>
        <v>#N/A</v>
      </c>
      <c r="H39614" s="4" t="str">
        <v/>
      </c>
      <c r="I39614" s="4" t="str">
        <v/>
      </c>
    </row>
    <row r="39615" spans="5:9" ht="16.5" hidden="1">
      <c r="E39615" s="4" t="str">
        <v/>
      </c>
      <c r="F39615" s="102" t="str">
        <f ca="1">IFERROR(__xludf.DUMMYFUNCTION("IMPORTRANGE(H39615,""IDENTITAS UNIT!D9"")"),"#N/A")</f>
        <v>#N/A</v>
      </c>
      <c r="H39615" s="4" t="str">
        <v/>
      </c>
      <c r="I39615" s="4" t="str">
        <v/>
      </c>
    </row>
    <row r="39616" spans="5:9" ht="16.5" hidden="1">
      <c r="E39616" s="4" t="str">
        <v/>
      </c>
      <c r="F39616" s="102" t="str">
        <f ca="1">IFERROR(__xludf.DUMMYFUNCTION("IMPORTRANGE(H39616,""IDENTITAS UNIT!D9"")"),"#N/A")</f>
        <v>#N/A</v>
      </c>
      <c r="H39616" s="4" t="str">
        <v/>
      </c>
      <c r="I39616" s="4" t="str">
        <v/>
      </c>
    </row>
    <row r="39617" spans="5:9" ht="16.5" hidden="1">
      <c r="E39617" s="4" t="str">
        <v/>
      </c>
      <c r="F39617" s="102" t="str">
        <f ca="1">IFERROR(__xludf.DUMMYFUNCTION("IMPORTRANGE(H39617,""IDENTITAS UNIT!D9"")"),"#N/A")</f>
        <v>#N/A</v>
      </c>
      <c r="H39617" s="4" t="str">
        <v/>
      </c>
      <c r="I39617" s="4" t="str">
        <v/>
      </c>
    </row>
    <row r="39618" spans="5:9" ht="16.5" hidden="1">
      <c r="E39618" s="4" t="str">
        <v/>
      </c>
      <c r="F39618" s="102" t="str">
        <f ca="1">IFERROR(__xludf.DUMMYFUNCTION("IMPORTRANGE(H39618,""IDENTITAS UNIT!D9"")"),"#N/A")</f>
        <v>#N/A</v>
      </c>
      <c r="H39618" s="4" t="str">
        <v/>
      </c>
      <c r="I39618" s="4" t="str">
        <v/>
      </c>
    </row>
    <row r="39619" spans="5:9" ht="16.5" hidden="1">
      <c r="E39619" s="4" t="str">
        <v/>
      </c>
      <c r="F39619" s="102" t="str">
        <f ca="1">IFERROR(__xludf.DUMMYFUNCTION("IMPORTRANGE(H39619,""IDENTITAS UNIT!D9"")"),"#N/A")</f>
        <v>#N/A</v>
      </c>
      <c r="H39619" s="4" t="str">
        <v/>
      </c>
      <c r="I39619" s="4" t="str">
        <v/>
      </c>
    </row>
    <row r="39620" spans="5:9" ht="16.5" hidden="1">
      <c r="E39620" s="4" t="str">
        <v/>
      </c>
      <c r="F39620" s="102" t="str">
        <f ca="1">IFERROR(__xludf.DUMMYFUNCTION("IMPORTRANGE(H39620,""IDENTITAS UNIT!D9"")"),"#N/A")</f>
        <v>#N/A</v>
      </c>
      <c r="H39620" s="4" t="str">
        <v/>
      </c>
      <c r="I39620" s="4" t="str">
        <v/>
      </c>
    </row>
    <row r="39621" spans="5:9" ht="16.5" hidden="1">
      <c r="E39621" s="4" t="str">
        <v/>
      </c>
      <c r="F39621" s="102" t="str">
        <f ca="1">IFERROR(__xludf.DUMMYFUNCTION("IMPORTRANGE(H39621,""IDENTITAS UNIT!D9"")"),"#N/A")</f>
        <v>#N/A</v>
      </c>
      <c r="H39621" s="4" t="str">
        <v/>
      </c>
      <c r="I39621" s="4" t="str">
        <v/>
      </c>
    </row>
    <row r="39622" spans="5:9" ht="16.5" hidden="1">
      <c r="E39622" s="4" t="str">
        <v/>
      </c>
      <c r="F39622" s="102" t="str">
        <f ca="1">IFERROR(__xludf.DUMMYFUNCTION("IMPORTRANGE(H39622,""IDENTITAS UNIT!D9"")"),"#N/A")</f>
        <v>#N/A</v>
      </c>
      <c r="H39622" s="4" t="str">
        <v/>
      </c>
      <c r="I39622" s="4" t="str">
        <v/>
      </c>
    </row>
    <row r="39623" spans="5:9" ht="16.5" hidden="1">
      <c r="E39623" s="4" t="str">
        <v/>
      </c>
      <c r="F39623" s="102" t="str">
        <f ca="1">IFERROR(__xludf.DUMMYFUNCTION("IMPORTRANGE(H39623,""IDENTITAS UNIT!D9"")"),"#N/A")</f>
        <v>#N/A</v>
      </c>
      <c r="H39623" s="4" t="str">
        <v/>
      </c>
      <c r="I39623" s="4" t="str">
        <v/>
      </c>
    </row>
    <row r="39624" spans="5:9" ht="16.5" hidden="1">
      <c r="E39624" s="4" t="str">
        <v/>
      </c>
      <c r="F39624" s="102" t="str">
        <f ca="1">IFERROR(__xludf.DUMMYFUNCTION("IMPORTRANGE(H39624,""IDENTITAS UNIT!D9"")"),"#N/A")</f>
        <v>#N/A</v>
      </c>
      <c r="H39624" s="4" t="str">
        <v/>
      </c>
      <c r="I39624" s="4" t="str">
        <v/>
      </c>
    </row>
    <row r="39625" spans="5:9" ht="16.5" hidden="1">
      <c r="E39625" s="4" t="str">
        <v/>
      </c>
      <c r="F39625" s="102" t="str">
        <f ca="1">IFERROR(__xludf.DUMMYFUNCTION("IMPORTRANGE(H39625,""IDENTITAS UNIT!D9"")"),"#N/A")</f>
        <v>#N/A</v>
      </c>
      <c r="H39625" s="4" t="str">
        <v/>
      </c>
      <c r="I39625" s="4" t="str">
        <v/>
      </c>
    </row>
    <row r="39626" spans="5:9" ht="16.5" hidden="1">
      <c r="E39626" s="4" t="str">
        <v/>
      </c>
      <c r="F39626" s="102" t="str">
        <f ca="1">IFERROR(__xludf.DUMMYFUNCTION("IMPORTRANGE(H39626,""IDENTITAS UNIT!D9"")"),"#N/A")</f>
        <v>#N/A</v>
      </c>
      <c r="H39626" s="4" t="str">
        <v/>
      </c>
      <c r="I39626" s="4" t="str">
        <v/>
      </c>
    </row>
    <row r="39627" spans="5:9" ht="16.5" hidden="1">
      <c r="E39627" s="4" t="str">
        <v/>
      </c>
      <c r="F39627" s="102" t="str">
        <f ca="1">IFERROR(__xludf.DUMMYFUNCTION("IMPORTRANGE(H39627,""IDENTITAS UNIT!D9"")"),"#N/A")</f>
        <v>#N/A</v>
      </c>
      <c r="H39627" s="4" t="str">
        <v/>
      </c>
      <c r="I39627" s="4" t="str">
        <v/>
      </c>
    </row>
    <row r="39628" spans="5:9" ht="16.5" hidden="1">
      <c r="E39628" s="4" t="str">
        <v/>
      </c>
      <c r="F39628" s="102" t="str">
        <f ca="1">IFERROR(__xludf.DUMMYFUNCTION("IMPORTRANGE(H39628,""IDENTITAS UNIT!D9"")"),"#N/A")</f>
        <v>#N/A</v>
      </c>
      <c r="H39628" s="4" t="str">
        <v/>
      </c>
      <c r="I39628" s="4" t="str">
        <v/>
      </c>
    </row>
    <row r="39629" spans="5:9" ht="16.5" hidden="1">
      <c r="E39629" s="4" t="str">
        <v/>
      </c>
      <c r="F39629" s="102" t="str">
        <f ca="1">IFERROR(__xludf.DUMMYFUNCTION("IMPORTRANGE(H39629,""IDENTITAS UNIT!D9"")"),"#N/A")</f>
        <v>#N/A</v>
      </c>
      <c r="H39629" s="4" t="str">
        <v/>
      </c>
      <c r="I39629" s="4" t="str">
        <v/>
      </c>
    </row>
    <row r="39630" spans="5:9" ht="16.5" hidden="1">
      <c r="E39630" s="4" t="str">
        <v/>
      </c>
      <c r="F39630" s="102" t="str">
        <f ca="1">IFERROR(__xludf.DUMMYFUNCTION("IMPORTRANGE(H39630,""IDENTITAS UNIT!D9"")"),"#N/A")</f>
        <v>#N/A</v>
      </c>
      <c r="H39630" s="4" t="str">
        <v/>
      </c>
      <c r="I39630" s="4" t="str">
        <v/>
      </c>
    </row>
    <row r="39631" spans="5:9" ht="16.5" hidden="1">
      <c r="E39631" s="4" t="str">
        <v/>
      </c>
      <c r="F39631" s="102" t="str">
        <f ca="1">IFERROR(__xludf.DUMMYFUNCTION("IMPORTRANGE(H39631,""IDENTITAS UNIT!D9"")"),"#N/A")</f>
        <v>#N/A</v>
      </c>
      <c r="H39631" s="4" t="str">
        <v/>
      </c>
      <c r="I39631" s="4" t="str">
        <v/>
      </c>
    </row>
    <row r="39632" spans="5:9" ht="16.5" hidden="1">
      <c r="E39632" s="4" t="str">
        <v/>
      </c>
      <c r="F39632" s="102" t="str">
        <f ca="1">IFERROR(__xludf.DUMMYFUNCTION("IMPORTRANGE(H39632,""IDENTITAS UNIT!D9"")"),"#N/A")</f>
        <v>#N/A</v>
      </c>
      <c r="H39632" s="4" t="str">
        <v/>
      </c>
      <c r="I39632" s="4" t="str">
        <v/>
      </c>
    </row>
    <row r="39633" spans="5:9" ht="16.5" hidden="1">
      <c r="E39633" s="4" t="str">
        <v/>
      </c>
      <c r="F39633" s="102" t="str">
        <f ca="1">IFERROR(__xludf.DUMMYFUNCTION("IMPORTRANGE(H39633,""IDENTITAS UNIT!D9"")"),"#N/A")</f>
        <v>#N/A</v>
      </c>
      <c r="H39633" s="4" t="str">
        <v/>
      </c>
      <c r="I39633" s="4" t="str">
        <v/>
      </c>
    </row>
    <row r="39634" spans="5:9" ht="16.5" hidden="1">
      <c r="E39634" s="4" t="str">
        <v/>
      </c>
      <c r="F39634" s="102" t="str">
        <f ca="1">IFERROR(__xludf.DUMMYFUNCTION("IMPORTRANGE(H39634,""IDENTITAS UNIT!D9"")"),"#N/A")</f>
        <v>#N/A</v>
      </c>
      <c r="H39634" s="4" t="str">
        <v/>
      </c>
      <c r="I39634" s="4" t="str">
        <v/>
      </c>
    </row>
    <row r="39635" spans="5:9" ht="16.5" hidden="1">
      <c r="E39635" s="4" t="str">
        <v/>
      </c>
      <c r="F39635" s="102" t="str">
        <f ca="1">IFERROR(__xludf.DUMMYFUNCTION("IMPORTRANGE(H39635,""IDENTITAS UNIT!D9"")"),"#N/A")</f>
        <v>#N/A</v>
      </c>
      <c r="H39635" s="4" t="str">
        <v/>
      </c>
      <c r="I39635" s="4" t="str">
        <v/>
      </c>
    </row>
    <row r="39636" spans="5:9" ht="16.5" hidden="1">
      <c r="E39636" s="4" t="str">
        <v/>
      </c>
      <c r="F39636" s="102" t="str">
        <f ca="1">IFERROR(__xludf.DUMMYFUNCTION("IMPORTRANGE(H39636,""IDENTITAS UNIT!D9"")"),"#N/A")</f>
        <v>#N/A</v>
      </c>
      <c r="H39636" s="4" t="str">
        <v/>
      </c>
      <c r="I39636" s="4" t="str">
        <v/>
      </c>
    </row>
    <row r="39637" spans="5:9" ht="16.5" hidden="1">
      <c r="E39637" s="4" t="str">
        <v/>
      </c>
      <c r="F39637" s="102" t="str">
        <f ca="1">IFERROR(__xludf.DUMMYFUNCTION("IMPORTRANGE(H39637,""IDENTITAS UNIT!D9"")"),"#N/A")</f>
        <v>#N/A</v>
      </c>
      <c r="H39637" s="4" t="str">
        <v/>
      </c>
      <c r="I39637" s="4" t="str">
        <v/>
      </c>
    </row>
    <row r="39638" spans="5:9" ht="16.5" hidden="1">
      <c r="E39638" s="4" t="str">
        <v/>
      </c>
      <c r="F39638" s="102" t="str">
        <f ca="1">IFERROR(__xludf.DUMMYFUNCTION("IMPORTRANGE(H39638,""IDENTITAS UNIT!D9"")"),"#N/A")</f>
        <v>#N/A</v>
      </c>
      <c r="H39638" s="4" t="str">
        <v/>
      </c>
      <c r="I39638" s="4" t="str">
        <v/>
      </c>
    </row>
    <row r="39639" spans="5:9" ht="16.5" hidden="1">
      <c r="E39639" s="4" t="str">
        <v/>
      </c>
      <c r="F39639" s="102" t="str">
        <f ca="1">IFERROR(__xludf.DUMMYFUNCTION("IMPORTRANGE(H39639,""IDENTITAS UNIT!D9"")"),"#N/A")</f>
        <v>#N/A</v>
      </c>
      <c r="H39639" s="4" t="str">
        <v/>
      </c>
      <c r="I39639" s="4" t="str">
        <v/>
      </c>
    </row>
    <row r="39640" spans="5:9" ht="16.5" hidden="1">
      <c r="E39640" s="4" t="str">
        <v/>
      </c>
      <c r="F39640" s="102" t="str">
        <f ca="1">IFERROR(__xludf.DUMMYFUNCTION("IMPORTRANGE(H39640,""IDENTITAS UNIT!D9"")"),"#N/A")</f>
        <v>#N/A</v>
      </c>
      <c r="H39640" s="4" t="str">
        <v/>
      </c>
      <c r="I39640" s="4" t="str">
        <v/>
      </c>
    </row>
    <row r="39641" spans="5:9" ht="16.5" hidden="1">
      <c r="E39641" s="4" t="str">
        <v/>
      </c>
      <c r="F39641" s="102" t="str">
        <f ca="1">IFERROR(__xludf.DUMMYFUNCTION("IMPORTRANGE(H39641,""IDENTITAS UNIT!D9"")"),"#N/A")</f>
        <v>#N/A</v>
      </c>
      <c r="H39641" s="4" t="str">
        <v/>
      </c>
      <c r="I39641" s="4" t="str">
        <v/>
      </c>
    </row>
    <row r="39642" spans="5:9" ht="16.5" hidden="1">
      <c r="E39642" s="4" t="str">
        <v/>
      </c>
      <c r="F39642" s="102" t="str">
        <f ca="1">IFERROR(__xludf.DUMMYFUNCTION("IMPORTRANGE(H39642,""IDENTITAS UNIT!D9"")"),"#N/A")</f>
        <v>#N/A</v>
      </c>
      <c r="H39642" s="4" t="str">
        <v/>
      </c>
      <c r="I39642" s="4" t="str">
        <v/>
      </c>
    </row>
    <row r="39643" spans="5:9" ht="16.5" hidden="1">
      <c r="E39643" s="4" t="str">
        <v/>
      </c>
      <c r="F39643" s="102" t="str">
        <f ca="1">IFERROR(__xludf.DUMMYFUNCTION("IMPORTRANGE(H39643,""IDENTITAS UNIT!D9"")"),"#N/A")</f>
        <v>#N/A</v>
      </c>
      <c r="H39643" s="4" t="str">
        <v/>
      </c>
      <c r="I39643" s="4" t="str">
        <v/>
      </c>
    </row>
    <row r="39644" spans="5:9" ht="16.5" hidden="1">
      <c r="E39644" s="4" t="str">
        <v/>
      </c>
      <c r="F39644" s="102" t="str">
        <f ca="1">IFERROR(__xludf.DUMMYFUNCTION("IMPORTRANGE(H39644,""IDENTITAS UNIT!D9"")"),"#N/A")</f>
        <v>#N/A</v>
      </c>
      <c r="H39644" s="4" t="str">
        <v/>
      </c>
      <c r="I39644" s="4" t="str">
        <v/>
      </c>
    </row>
    <row r="39645" spans="5:9" ht="16.5" hidden="1">
      <c r="E39645" s="4" t="str">
        <v/>
      </c>
      <c r="F39645" s="102" t="str">
        <f ca="1">IFERROR(__xludf.DUMMYFUNCTION("IMPORTRANGE(H39645,""IDENTITAS UNIT!D9"")"),"#N/A")</f>
        <v>#N/A</v>
      </c>
      <c r="H39645" s="4" t="str">
        <v/>
      </c>
      <c r="I39645" s="4" t="str">
        <v/>
      </c>
    </row>
    <row r="39646" spans="5:9" ht="16.5" hidden="1">
      <c r="E39646" s="4" t="str">
        <v/>
      </c>
      <c r="F39646" s="102" t="str">
        <f ca="1">IFERROR(__xludf.DUMMYFUNCTION("IMPORTRANGE(H39646,""IDENTITAS UNIT!D9"")"),"#N/A")</f>
        <v>#N/A</v>
      </c>
      <c r="H39646" s="4" t="str">
        <v/>
      </c>
      <c r="I39646" s="4" t="str">
        <v/>
      </c>
    </row>
    <row r="39647" spans="5:9" ht="16.5" hidden="1">
      <c r="E39647" s="4" t="str">
        <v/>
      </c>
      <c r="F39647" s="102" t="str">
        <f ca="1">IFERROR(__xludf.DUMMYFUNCTION("IMPORTRANGE(H39647,""IDENTITAS UNIT!D9"")"),"#N/A")</f>
        <v>#N/A</v>
      </c>
      <c r="H39647" s="4" t="str">
        <v/>
      </c>
      <c r="I39647" s="4" t="str">
        <v/>
      </c>
    </row>
    <row r="39648" spans="5:9" ht="16.5" hidden="1">
      <c r="E39648" s="4" t="str">
        <v/>
      </c>
      <c r="F39648" s="102" t="str">
        <f ca="1">IFERROR(__xludf.DUMMYFUNCTION("IMPORTRANGE(H39648,""IDENTITAS UNIT!D9"")"),"#N/A")</f>
        <v>#N/A</v>
      </c>
      <c r="H39648" s="4" t="str">
        <v/>
      </c>
      <c r="I39648" s="4" t="str">
        <v/>
      </c>
    </row>
    <row r="39649" spans="5:9" ht="16.5" hidden="1">
      <c r="E39649" s="4" t="str">
        <v/>
      </c>
      <c r="F39649" s="102" t="str">
        <f ca="1">IFERROR(__xludf.DUMMYFUNCTION("IMPORTRANGE(H39649,""IDENTITAS UNIT!D9"")"),"#N/A")</f>
        <v>#N/A</v>
      </c>
      <c r="H39649" s="4" t="str">
        <v/>
      </c>
      <c r="I39649" s="4" t="str">
        <v/>
      </c>
    </row>
    <row r="39650" spans="5:9" ht="16.5" hidden="1">
      <c r="E39650" s="4" t="str">
        <v/>
      </c>
      <c r="F39650" s="102" t="str">
        <f ca="1">IFERROR(__xludf.DUMMYFUNCTION("IMPORTRANGE(H39650,""IDENTITAS UNIT!D9"")"),"#N/A")</f>
        <v>#N/A</v>
      </c>
      <c r="H39650" s="4" t="str">
        <v/>
      </c>
      <c r="I39650" s="4" t="str">
        <v/>
      </c>
    </row>
    <row r="39651" spans="5:9" ht="16.5" hidden="1">
      <c r="E39651" s="4" t="str">
        <v/>
      </c>
      <c r="F39651" s="102" t="str">
        <f ca="1">IFERROR(__xludf.DUMMYFUNCTION("IMPORTRANGE(H39651,""IDENTITAS UNIT!D9"")"),"#N/A")</f>
        <v>#N/A</v>
      </c>
      <c r="H39651" s="4" t="str">
        <v/>
      </c>
      <c r="I39651" s="4" t="str">
        <v/>
      </c>
    </row>
    <row r="39652" spans="5:9" ht="16.5" hidden="1">
      <c r="E39652" s="4" t="str">
        <v/>
      </c>
      <c r="F39652" s="102" t="str">
        <f ca="1">IFERROR(__xludf.DUMMYFUNCTION("IMPORTRANGE(H39652,""IDENTITAS UNIT!D9"")"),"#N/A")</f>
        <v>#N/A</v>
      </c>
      <c r="H39652" s="4" t="str">
        <v/>
      </c>
      <c r="I39652" s="4" t="str">
        <v/>
      </c>
    </row>
    <row r="39653" spans="5:9" ht="16.5" hidden="1">
      <c r="E39653" s="4" t="str">
        <v/>
      </c>
      <c r="F39653" s="102" t="str">
        <f ca="1">IFERROR(__xludf.DUMMYFUNCTION("IMPORTRANGE(H39653,""IDENTITAS UNIT!D9"")"),"#N/A")</f>
        <v>#N/A</v>
      </c>
      <c r="H39653" s="4" t="str">
        <v/>
      </c>
      <c r="I39653" s="4" t="str">
        <v/>
      </c>
    </row>
    <row r="39654" spans="5:9" ht="16.5" hidden="1">
      <c r="E39654" s="4" t="str">
        <v/>
      </c>
      <c r="F39654" s="102" t="str">
        <f ca="1">IFERROR(__xludf.DUMMYFUNCTION("IMPORTRANGE(H39654,""IDENTITAS UNIT!D9"")"),"#N/A")</f>
        <v>#N/A</v>
      </c>
      <c r="H39654" s="4" t="str">
        <v/>
      </c>
      <c r="I39654" s="4" t="str">
        <v/>
      </c>
    </row>
    <row r="39655" spans="5:9" ht="16.5" hidden="1">
      <c r="E39655" s="4" t="str">
        <v/>
      </c>
      <c r="F39655" s="102" t="str">
        <f ca="1">IFERROR(__xludf.DUMMYFUNCTION("IMPORTRANGE(H39655,""IDENTITAS UNIT!D9"")"),"#N/A")</f>
        <v>#N/A</v>
      </c>
      <c r="H39655" s="4" t="str">
        <v/>
      </c>
      <c r="I39655" s="4" t="str">
        <v/>
      </c>
    </row>
    <row r="39656" spans="5:9" ht="16.5" hidden="1">
      <c r="E39656" s="4" t="str">
        <v/>
      </c>
      <c r="F39656" s="102" t="str">
        <f ca="1">IFERROR(__xludf.DUMMYFUNCTION("IMPORTRANGE(H39656,""IDENTITAS UNIT!D9"")"),"#N/A")</f>
        <v>#N/A</v>
      </c>
      <c r="H39656" s="4" t="str">
        <v/>
      </c>
      <c r="I39656" s="4" t="str">
        <v/>
      </c>
    </row>
    <row r="39657" spans="5:9" ht="16.5" hidden="1">
      <c r="E39657" s="4" t="str">
        <v/>
      </c>
      <c r="F39657" s="102" t="str">
        <f ca="1">IFERROR(__xludf.DUMMYFUNCTION("IMPORTRANGE(H39657,""IDENTITAS UNIT!D9"")"),"#N/A")</f>
        <v>#N/A</v>
      </c>
      <c r="H39657" s="4" t="str">
        <v/>
      </c>
      <c r="I39657" s="4" t="str">
        <v/>
      </c>
    </row>
    <row r="39658" spans="5:9" ht="16.5" hidden="1">
      <c r="E39658" s="4" t="str">
        <v/>
      </c>
      <c r="F39658" s="102" t="str">
        <f ca="1">IFERROR(__xludf.DUMMYFUNCTION("IMPORTRANGE(H39658,""IDENTITAS UNIT!D9"")"),"#N/A")</f>
        <v>#N/A</v>
      </c>
      <c r="H39658" s="4" t="str">
        <v/>
      </c>
      <c r="I39658" s="4" t="str">
        <v/>
      </c>
    </row>
    <row r="39659" spans="5:9" ht="16.5" hidden="1">
      <c r="E39659" s="4" t="str">
        <v/>
      </c>
      <c r="F39659" s="102" t="str">
        <f ca="1">IFERROR(__xludf.DUMMYFUNCTION("IMPORTRANGE(H39659,""IDENTITAS UNIT!D9"")"),"#N/A")</f>
        <v>#N/A</v>
      </c>
      <c r="H39659" s="4" t="str">
        <v/>
      </c>
      <c r="I39659" s="4" t="str">
        <v/>
      </c>
    </row>
    <row r="39660" spans="5:9" ht="16.5" hidden="1">
      <c r="E39660" s="4" t="str">
        <v/>
      </c>
      <c r="F39660" s="102" t="str">
        <f ca="1">IFERROR(__xludf.DUMMYFUNCTION("IMPORTRANGE(H39660,""IDENTITAS UNIT!D9"")"),"#N/A")</f>
        <v>#N/A</v>
      </c>
      <c r="H39660" s="4" t="str">
        <v/>
      </c>
      <c r="I39660" s="4" t="str">
        <v/>
      </c>
    </row>
    <row r="39661" spans="5:9" ht="16.5" hidden="1">
      <c r="E39661" s="4" t="str">
        <v/>
      </c>
      <c r="F39661" s="102" t="str">
        <f ca="1">IFERROR(__xludf.DUMMYFUNCTION("IMPORTRANGE(H39661,""IDENTITAS UNIT!D9"")"),"#N/A")</f>
        <v>#N/A</v>
      </c>
      <c r="H39661" s="4" t="str">
        <v/>
      </c>
      <c r="I39661" s="4" t="str">
        <v/>
      </c>
    </row>
    <row r="39662" spans="5:9" ht="16.5" hidden="1">
      <c r="E39662" s="4" t="str">
        <v/>
      </c>
      <c r="F39662" s="102" t="str">
        <f ca="1">IFERROR(__xludf.DUMMYFUNCTION("IMPORTRANGE(H39662,""IDENTITAS UNIT!D9"")"),"#N/A")</f>
        <v>#N/A</v>
      </c>
      <c r="H39662" s="4" t="str">
        <v/>
      </c>
      <c r="I39662" s="4" t="str">
        <v/>
      </c>
    </row>
    <row r="39663" spans="5:9" ht="16.5" hidden="1">
      <c r="E39663" s="4" t="str">
        <v/>
      </c>
      <c r="F39663" s="102" t="str">
        <f ca="1">IFERROR(__xludf.DUMMYFUNCTION("IMPORTRANGE(H39663,""IDENTITAS UNIT!D9"")"),"#N/A")</f>
        <v>#N/A</v>
      </c>
      <c r="H39663" s="4" t="str">
        <v/>
      </c>
      <c r="I39663" s="4" t="str">
        <v/>
      </c>
    </row>
    <row r="39664" spans="5:9" ht="16.5" hidden="1">
      <c r="E39664" s="4" t="str">
        <v/>
      </c>
      <c r="F39664" s="102" t="str">
        <f ca="1">IFERROR(__xludf.DUMMYFUNCTION("IMPORTRANGE(H39664,""IDENTITAS UNIT!D9"")"),"#N/A")</f>
        <v>#N/A</v>
      </c>
      <c r="H39664" s="4" t="str">
        <v/>
      </c>
      <c r="I39664" s="4" t="str">
        <v/>
      </c>
    </row>
    <row r="39665" spans="5:9" ht="16.5" hidden="1">
      <c r="E39665" s="4" t="str">
        <v/>
      </c>
      <c r="F39665" s="102" t="str">
        <f ca="1">IFERROR(__xludf.DUMMYFUNCTION("IMPORTRANGE(H39665,""IDENTITAS UNIT!D9"")"),"#N/A")</f>
        <v>#N/A</v>
      </c>
      <c r="H39665" s="4" t="str">
        <v/>
      </c>
      <c r="I39665" s="4" t="str">
        <v/>
      </c>
    </row>
    <row r="39666" spans="5:9" ht="16.5" hidden="1">
      <c r="E39666" s="4" t="str">
        <v/>
      </c>
      <c r="F39666" s="102" t="str">
        <f ca="1">IFERROR(__xludf.DUMMYFUNCTION("IMPORTRANGE(H39666,""IDENTITAS UNIT!D9"")"),"#N/A")</f>
        <v>#N/A</v>
      </c>
      <c r="H39666" s="4" t="str">
        <v/>
      </c>
      <c r="I39666" s="4" t="str">
        <v/>
      </c>
    </row>
    <row r="39667" spans="5:9" ht="16.5" hidden="1">
      <c r="E39667" s="4" t="str">
        <v/>
      </c>
      <c r="F39667" s="102" t="str">
        <f ca="1">IFERROR(__xludf.DUMMYFUNCTION("IMPORTRANGE(H39667,""IDENTITAS UNIT!D9"")"),"#N/A")</f>
        <v>#N/A</v>
      </c>
      <c r="H39667" s="4" t="str">
        <v/>
      </c>
      <c r="I39667" s="4" t="str">
        <v/>
      </c>
    </row>
    <row r="39668" spans="5:9" ht="16.5" hidden="1">
      <c r="E39668" s="4" t="str">
        <v/>
      </c>
      <c r="F39668" s="102" t="str">
        <f ca="1">IFERROR(__xludf.DUMMYFUNCTION("IMPORTRANGE(H39668,""IDENTITAS UNIT!D9"")"),"#N/A")</f>
        <v>#N/A</v>
      </c>
      <c r="H39668" s="4" t="str">
        <v/>
      </c>
      <c r="I39668" s="4" t="str">
        <v/>
      </c>
    </row>
    <row r="39669" spans="5:9" ht="16.5" hidden="1">
      <c r="E39669" s="4" t="str">
        <v/>
      </c>
      <c r="F39669" s="102" t="str">
        <f ca="1">IFERROR(__xludf.DUMMYFUNCTION("IMPORTRANGE(H39669,""IDENTITAS UNIT!D9"")"),"#N/A")</f>
        <v>#N/A</v>
      </c>
      <c r="H39669" s="4" t="str">
        <v/>
      </c>
      <c r="I39669" s="4" t="str">
        <v/>
      </c>
    </row>
    <row r="39670" spans="5:9" ht="16.5" hidden="1">
      <c r="E39670" s="4" t="str">
        <v/>
      </c>
      <c r="F39670" s="102" t="str">
        <f ca="1">IFERROR(__xludf.DUMMYFUNCTION("IMPORTRANGE(H39670,""IDENTITAS UNIT!D9"")"),"#N/A")</f>
        <v>#N/A</v>
      </c>
      <c r="H39670" s="4" t="str">
        <v/>
      </c>
      <c r="I39670" s="4" t="str">
        <v/>
      </c>
    </row>
    <row r="39671" spans="5:9" ht="16.5" hidden="1">
      <c r="E39671" s="4" t="str">
        <v/>
      </c>
      <c r="F39671" s="102" t="str">
        <f ca="1">IFERROR(__xludf.DUMMYFUNCTION("IMPORTRANGE(H39671,""IDENTITAS UNIT!D9"")"),"#N/A")</f>
        <v>#N/A</v>
      </c>
      <c r="H39671" s="4" t="str">
        <v/>
      </c>
      <c r="I39671" s="4" t="str">
        <v/>
      </c>
    </row>
    <row r="39672" spans="5:9" ht="16.5" hidden="1">
      <c r="E39672" s="4" t="str">
        <v/>
      </c>
      <c r="F39672" s="102" t="str">
        <f ca="1">IFERROR(__xludf.DUMMYFUNCTION("IMPORTRANGE(H39672,""IDENTITAS UNIT!D9"")"),"#N/A")</f>
        <v>#N/A</v>
      </c>
      <c r="H39672" s="4" t="str">
        <v/>
      </c>
      <c r="I39672" s="4" t="str">
        <v/>
      </c>
    </row>
    <row r="39673" spans="5:9" ht="16.5" hidden="1">
      <c r="E39673" s="4" t="str">
        <v/>
      </c>
      <c r="F39673" s="102" t="str">
        <f ca="1">IFERROR(__xludf.DUMMYFUNCTION("IMPORTRANGE(H39673,""IDENTITAS UNIT!D9"")"),"#N/A")</f>
        <v>#N/A</v>
      </c>
      <c r="H39673" s="4" t="str">
        <v/>
      </c>
      <c r="I39673" s="4" t="str">
        <v/>
      </c>
    </row>
    <row r="39674" spans="5:9" ht="16.5" hidden="1">
      <c r="E39674" s="4" t="str">
        <v/>
      </c>
      <c r="F39674" s="102" t="str">
        <f ca="1">IFERROR(__xludf.DUMMYFUNCTION("IMPORTRANGE(H39674,""IDENTITAS UNIT!D9"")"),"#N/A")</f>
        <v>#N/A</v>
      </c>
      <c r="H39674" s="4" t="str">
        <v/>
      </c>
      <c r="I39674" s="4" t="str">
        <v/>
      </c>
    </row>
    <row r="39675" spans="5:9" ht="16.5" hidden="1">
      <c r="E39675" s="4" t="str">
        <v/>
      </c>
      <c r="F39675" s="102" t="str">
        <f ca="1">IFERROR(__xludf.DUMMYFUNCTION("IMPORTRANGE(H39675,""IDENTITAS UNIT!D9"")"),"#N/A")</f>
        <v>#N/A</v>
      </c>
      <c r="H39675" s="4" t="str">
        <v/>
      </c>
      <c r="I39675" s="4" t="str">
        <v/>
      </c>
    </row>
    <row r="39676" spans="5:9" ht="16.5" hidden="1">
      <c r="E39676" s="4" t="str">
        <v/>
      </c>
      <c r="F39676" s="102" t="str">
        <f ca="1">IFERROR(__xludf.DUMMYFUNCTION("IMPORTRANGE(H39676,""IDENTITAS UNIT!D9"")"),"#N/A")</f>
        <v>#N/A</v>
      </c>
      <c r="H39676" s="4" t="str">
        <v/>
      </c>
      <c r="I39676" s="4" t="str">
        <v/>
      </c>
    </row>
    <row r="39677" spans="5:9" ht="16.5" hidden="1">
      <c r="E39677" s="4" t="str">
        <v/>
      </c>
      <c r="F39677" s="102" t="str">
        <f ca="1">IFERROR(__xludf.DUMMYFUNCTION("IMPORTRANGE(H39677,""IDENTITAS UNIT!D9"")"),"#N/A")</f>
        <v>#N/A</v>
      </c>
      <c r="H39677" s="4" t="str">
        <v/>
      </c>
      <c r="I39677" s="4" t="str">
        <v/>
      </c>
    </row>
    <row r="39678" spans="5:9" ht="16.5" hidden="1">
      <c r="E39678" s="4" t="str">
        <v/>
      </c>
      <c r="F39678" s="102" t="str">
        <f ca="1">IFERROR(__xludf.DUMMYFUNCTION("IMPORTRANGE(H39678,""IDENTITAS UNIT!D9"")"),"#N/A")</f>
        <v>#N/A</v>
      </c>
      <c r="H39678" s="4" t="str">
        <v/>
      </c>
      <c r="I39678" s="4" t="str">
        <v/>
      </c>
    </row>
    <row r="39679" spans="5:9" ht="16.5" hidden="1">
      <c r="E39679" s="4" t="str">
        <v/>
      </c>
      <c r="F39679" s="102" t="str">
        <f ca="1">IFERROR(__xludf.DUMMYFUNCTION("IMPORTRANGE(H39679,""IDENTITAS UNIT!D9"")"),"#N/A")</f>
        <v>#N/A</v>
      </c>
      <c r="H39679" s="4" t="str">
        <v/>
      </c>
      <c r="I39679" s="4" t="str">
        <v/>
      </c>
    </row>
    <row r="39680" spans="5:9" ht="16.5" hidden="1">
      <c r="E39680" s="4" t="str">
        <v/>
      </c>
      <c r="F39680" s="102" t="str">
        <f ca="1">IFERROR(__xludf.DUMMYFUNCTION("IMPORTRANGE(H39680,""IDENTITAS UNIT!D9"")"),"#N/A")</f>
        <v>#N/A</v>
      </c>
      <c r="H39680" s="4" t="str">
        <v/>
      </c>
      <c r="I39680" s="4" t="str">
        <v/>
      </c>
    </row>
    <row r="39681" spans="5:9" ht="16.5" hidden="1">
      <c r="E39681" s="4" t="str">
        <v/>
      </c>
      <c r="F39681" s="102" t="str">
        <f ca="1">IFERROR(__xludf.DUMMYFUNCTION("IMPORTRANGE(H39681,""IDENTITAS UNIT!D9"")"),"#N/A")</f>
        <v>#N/A</v>
      </c>
      <c r="H39681" s="4" t="str">
        <v/>
      </c>
      <c r="I39681" s="4" t="str">
        <v/>
      </c>
    </row>
    <row r="39682" spans="5:9" ht="16.5" hidden="1">
      <c r="E39682" s="4" t="str">
        <v/>
      </c>
      <c r="F39682" s="102" t="str">
        <f ca="1">IFERROR(__xludf.DUMMYFUNCTION("IMPORTRANGE(H39682,""IDENTITAS UNIT!D9"")"),"#N/A")</f>
        <v>#N/A</v>
      </c>
      <c r="H39682" s="4" t="str">
        <v/>
      </c>
      <c r="I39682" s="4" t="str">
        <v/>
      </c>
    </row>
    <row r="39683" spans="5:9" ht="16.5" hidden="1">
      <c r="E39683" s="4" t="str">
        <v/>
      </c>
      <c r="F39683" s="102" t="str">
        <f ca="1">IFERROR(__xludf.DUMMYFUNCTION("IMPORTRANGE(H39683,""IDENTITAS UNIT!D9"")"),"#N/A")</f>
        <v>#N/A</v>
      </c>
      <c r="H39683" s="4" t="str">
        <v/>
      </c>
      <c r="I39683" s="4" t="str">
        <v/>
      </c>
    </row>
    <row r="39684" spans="5:9" ht="16.5" hidden="1">
      <c r="E39684" s="4" t="str">
        <v/>
      </c>
      <c r="F39684" s="102" t="str">
        <f ca="1">IFERROR(__xludf.DUMMYFUNCTION("IMPORTRANGE(H39684,""IDENTITAS UNIT!D9"")"),"#N/A")</f>
        <v>#N/A</v>
      </c>
      <c r="H39684" s="4" t="str">
        <v/>
      </c>
      <c r="I39684" s="4" t="str">
        <v/>
      </c>
    </row>
    <row r="39685" spans="5:9" ht="16.5" hidden="1">
      <c r="E39685" s="4" t="str">
        <v/>
      </c>
      <c r="F39685" s="102" t="str">
        <f ca="1">IFERROR(__xludf.DUMMYFUNCTION("IMPORTRANGE(H39685,""IDENTITAS UNIT!D9"")"),"#N/A")</f>
        <v>#N/A</v>
      </c>
      <c r="H39685" s="4" t="str">
        <v/>
      </c>
      <c r="I39685" s="4" t="str">
        <v/>
      </c>
    </row>
    <row r="39686" spans="5:9" ht="16.5" hidden="1">
      <c r="E39686" s="4" t="str">
        <v/>
      </c>
      <c r="F39686" s="102" t="str">
        <f ca="1">IFERROR(__xludf.DUMMYFUNCTION("IMPORTRANGE(H39686,""IDENTITAS UNIT!D9"")"),"#N/A")</f>
        <v>#N/A</v>
      </c>
      <c r="H39686" s="4" t="str">
        <v/>
      </c>
      <c r="I39686" s="4" t="str">
        <v/>
      </c>
    </row>
    <row r="39687" spans="5:9" ht="16.5" hidden="1">
      <c r="E39687" s="4" t="str">
        <v/>
      </c>
      <c r="F39687" s="102" t="str">
        <f ca="1">IFERROR(__xludf.DUMMYFUNCTION("IMPORTRANGE(H39687,""IDENTITAS UNIT!D9"")"),"#N/A")</f>
        <v>#N/A</v>
      </c>
      <c r="H39687" s="4" t="str">
        <v/>
      </c>
      <c r="I39687" s="4" t="str">
        <v/>
      </c>
    </row>
    <row r="39688" spans="5:9" ht="16.5" hidden="1">
      <c r="E39688" s="4" t="str">
        <v/>
      </c>
      <c r="F39688" s="102" t="str">
        <f ca="1">IFERROR(__xludf.DUMMYFUNCTION("IMPORTRANGE(H39688,""IDENTITAS UNIT!D9"")"),"#N/A")</f>
        <v>#N/A</v>
      </c>
      <c r="H39688" s="4" t="str">
        <v/>
      </c>
      <c r="I39688" s="4" t="str">
        <v/>
      </c>
    </row>
    <row r="39689" spans="5:9" ht="16.5" hidden="1">
      <c r="E39689" s="4" t="str">
        <v/>
      </c>
      <c r="F39689" s="102" t="str">
        <f ca="1">IFERROR(__xludf.DUMMYFUNCTION("IMPORTRANGE(H39689,""IDENTITAS UNIT!D9"")"),"#N/A")</f>
        <v>#N/A</v>
      </c>
      <c r="H39689" s="4" t="str">
        <v/>
      </c>
      <c r="I39689" s="4" t="str">
        <v/>
      </c>
    </row>
    <row r="39690" spans="5:9" ht="16.5" hidden="1">
      <c r="E39690" s="4" t="str">
        <v/>
      </c>
      <c r="F39690" s="102" t="str">
        <f ca="1">IFERROR(__xludf.DUMMYFUNCTION("IMPORTRANGE(H39690,""IDENTITAS UNIT!D9"")"),"#N/A")</f>
        <v>#N/A</v>
      </c>
      <c r="H39690" s="4" t="str">
        <v/>
      </c>
      <c r="I39690" s="4" t="str">
        <v/>
      </c>
    </row>
    <row r="39691" spans="5:9" ht="16.5" hidden="1">
      <c r="E39691" s="4" t="str">
        <v/>
      </c>
      <c r="F39691" s="102" t="str">
        <f ca="1">IFERROR(__xludf.DUMMYFUNCTION("IMPORTRANGE(H39691,""IDENTITAS UNIT!D9"")"),"#N/A")</f>
        <v>#N/A</v>
      </c>
      <c r="H39691" s="4" t="str">
        <v/>
      </c>
      <c r="I39691" s="4" t="str">
        <v/>
      </c>
    </row>
    <row r="39692" spans="5:9" ht="16.5" hidden="1">
      <c r="E39692" s="4" t="str">
        <v/>
      </c>
      <c r="F39692" s="102" t="str">
        <f ca="1">IFERROR(__xludf.DUMMYFUNCTION("IMPORTRANGE(H39692,""IDENTITAS UNIT!D9"")"),"#N/A")</f>
        <v>#N/A</v>
      </c>
      <c r="H39692" s="4" t="str">
        <v/>
      </c>
      <c r="I39692" s="4" t="str">
        <v/>
      </c>
    </row>
    <row r="39693" spans="5:9" ht="16.5" hidden="1">
      <c r="E39693" s="4" t="str">
        <v/>
      </c>
      <c r="F39693" s="102" t="str">
        <f ca="1">IFERROR(__xludf.DUMMYFUNCTION("IMPORTRANGE(H39693,""IDENTITAS UNIT!D9"")"),"#N/A")</f>
        <v>#N/A</v>
      </c>
      <c r="H39693" s="4" t="str">
        <v/>
      </c>
      <c r="I39693" s="4" t="str">
        <v/>
      </c>
    </row>
    <row r="39694" spans="5:9" ht="16.5" hidden="1">
      <c r="E39694" s="4" t="str">
        <v/>
      </c>
      <c r="F39694" s="102" t="str">
        <f ca="1">IFERROR(__xludf.DUMMYFUNCTION("IMPORTRANGE(H39694,""IDENTITAS UNIT!D9"")"),"#N/A")</f>
        <v>#N/A</v>
      </c>
      <c r="H39694" s="4" t="str">
        <v/>
      </c>
      <c r="I39694" s="4" t="str">
        <v/>
      </c>
    </row>
    <row r="39695" spans="5:9" ht="16.5" hidden="1">
      <c r="E39695" s="4" t="str">
        <v/>
      </c>
      <c r="F39695" s="102" t="str">
        <f ca="1">IFERROR(__xludf.DUMMYFUNCTION("IMPORTRANGE(H39695,""IDENTITAS UNIT!D9"")"),"#N/A")</f>
        <v>#N/A</v>
      </c>
      <c r="H39695" s="4" t="str">
        <v/>
      </c>
      <c r="I39695" s="4" t="str">
        <v/>
      </c>
    </row>
    <row r="39696" spans="5:9" ht="16.5" hidden="1">
      <c r="E39696" s="4" t="str">
        <v/>
      </c>
      <c r="F39696" s="102" t="str">
        <f ca="1">IFERROR(__xludf.DUMMYFUNCTION("IMPORTRANGE(H39696,""IDENTITAS UNIT!D9"")"),"#N/A")</f>
        <v>#N/A</v>
      </c>
      <c r="H39696" s="4" t="str">
        <v/>
      </c>
      <c r="I39696" s="4" t="str">
        <v/>
      </c>
    </row>
    <row r="39697" spans="5:9" ht="16.5" hidden="1">
      <c r="E39697" s="4" t="str">
        <v/>
      </c>
      <c r="F39697" s="102" t="str">
        <f ca="1">IFERROR(__xludf.DUMMYFUNCTION("IMPORTRANGE(H39697,""IDENTITAS UNIT!D9"")"),"#N/A")</f>
        <v>#N/A</v>
      </c>
      <c r="H39697" s="4" t="str">
        <v/>
      </c>
      <c r="I39697" s="4" t="str">
        <v/>
      </c>
    </row>
    <row r="39698" spans="5:9" ht="16.5" hidden="1">
      <c r="E39698" s="4" t="str">
        <v/>
      </c>
      <c r="F39698" s="102" t="str">
        <f ca="1">IFERROR(__xludf.DUMMYFUNCTION("IMPORTRANGE(H39698,""IDENTITAS UNIT!D9"")"),"#N/A")</f>
        <v>#N/A</v>
      </c>
      <c r="H39698" s="4" t="str">
        <v/>
      </c>
      <c r="I39698" s="4" t="str">
        <v/>
      </c>
    </row>
    <row r="39699" spans="5:9" ht="16.5" hidden="1">
      <c r="E39699" s="4" t="str">
        <v/>
      </c>
      <c r="F39699" s="102" t="str">
        <f ca="1">IFERROR(__xludf.DUMMYFUNCTION("IMPORTRANGE(H39699,""IDENTITAS UNIT!D9"")"),"#N/A")</f>
        <v>#N/A</v>
      </c>
      <c r="H39699" s="4" t="str">
        <v/>
      </c>
      <c r="I39699" s="4" t="str">
        <v/>
      </c>
    </row>
    <row r="39700" spans="5:9" ht="16.5" hidden="1">
      <c r="E39700" s="4" t="str">
        <v/>
      </c>
      <c r="F39700" s="102" t="str">
        <f ca="1">IFERROR(__xludf.DUMMYFUNCTION("IMPORTRANGE(H39700,""IDENTITAS UNIT!D9"")"),"#N/A")</f>
        <v>#N/A</v>
      </c>
      <c r="H39700" s="4" t="str">
        <v/>
      </c>
      <c r="I39700" s="4" t="str">
        <v/>
      </c>
    </row>
    <row r="39701" spans="5:9" ht="16.5" hidden="1">
      <c r="E39701" s="4" t="str">
        <v/>
      </c>
      <c r="F39701" s="102" t="str">
        <f ca="1">IFERROR(__xludf.DUMMYFUNCTION("IMPORTRANGE(H39701,""IDENTITAS UNIT!D9"")"),"#N/A")</f>
        <v>#N/A</v>
      </c>
      <c r="H39701" s="4" t="str">
        <v/>
      </c>
      <c r="I39701" s="4" t="str">
        <v/>
      </c>
    </row>
    <row r="39702" spans="5:9" ht="16.5" hidden="1">
      <c r="E39702" s="4" t="str">
        <v/>
      </c>
      <c r="F39702" s="102" t="str">
        <f ca="1">IFERROR(__xludf.DUMMYFUNCTION("IMPORTRANGE(H39702,""IDENTITAS UNIT!D9"")"),"#N/A")</f>
        <v>#N/A</v>
      </c>
      <c r="H39702" s="4" t="str">
        <v/>
      </c>
      <c r="I39702" s="4" t="str">
        <v/>
      </c>
    </row>
    <row r="39703" spans="5:9" ht="16.5" hidden="1">
      <c r="E39703" s="4" t="str">
        <v/>
      </c>
      <c r="F39703" s="102" t="str">
        <f ca="1">IFERROR(__xludf.DUMMYFUNCTION("IMPORTRANGE(H39703,""IDENTITAS UNIT!D9"")"),"#N/A")</f>
        <v>#N/A</v>
      </c>
      <c r="H39703" s="4" t="str">
        <v/>
      </c>
      <c r="I39703" s="4" t="str">
        <v/>
      </c>
    </row>
    <row r="39704" spans="5:9" ht="16.5" hidden="1">
      <c r="E39704" s="4" t="str">
        <v/>
      </c>
      <c r="F39704" s="102" t="str">
        <f ca="1">IFERROR(__xludf.DUMMYFUNCTION("IMPORTRANGE(H39704,""IDENTITAS UNIT!D9"")"),"#N/A")</f>
        <v>#N/A</v>
      </c>
      <c r="H39704" s="4" t="str">
        <v/>
      </c>
      <c r="I39704" s="4" t="str">
        <v/>
      </c>
    </row>
    <row r="39705" spans="5:9" ht="16.5" hidden="1">
      <c r="E39705" s="4" t="str">
        <v/>
      </c>
      <c r="F39705" s="102" t="str">
        <f ca="1">IFERROR(__xludf.DUMMYFUNCTION("IMPORTRANGE(H39705,""IDENTITAS UNIT!D9"")"),"#N/A")</f>
        <v>#N/A</v>
      </c>
      <c r="H39705" s="4" t="str">
        <v/>
      </c>
      <c r="I39705" s="4" t="str">
        <v/>
      </c>
    </row>
    <row r="39706" spans="5:9" ht="16.5" hidden="1">
      <c r="E39706" s="4" t="str">
        <v/>
      </c>
      <c r="F39706" s="102" t="str">
        <f ca="1">IFERROR(__xludf.DUMMYFUNCTION("IMPORTRANGE(H39706,""IDENTITAS UNIT!D9"")"),"#N/A")</f>
        <v>#N/A</v>
      </c>
      <c r="H39706" s="4" t="str">
        <v/>
      </c>
      <c r="I39706" s="4" t="str">
        <v/>
      </c>
    </row>
    <row r="39707" spans="5:9" ht="16.5" hidden="1">
      <c r="E39707" s="4" t="str">
        <v/>
      </c>
      <c r="F39707" s="102" t="str">
        <f ca="1">IFERROR(__xludf.DUMMYFUNCTION("IMPORTRANGE(H39707,""IDENTITAS UNIT!D9"")"),"#N/A")</f>
        <v>#N/A</v>
      </c>
      <c r="H39707" s="4" t="str">
        <v/>
      </c>
      <c r="I39707" s="4" t="str">
        <v/>
      </c>
    </row>
    <row r="39708" spans="5:9" ht="16.5" hidden="1">
      <c r="E39708" s="4" t="str">
        <v/>
      </c>
      <c r="F39708" s="102" t="str">
        <f ca="1">IFERROR(__xludf.DUMMYFUNCTION("IMPORTRANGE(H39708,""IDENTITAS UNIT!D9"")"),"#N/A")</f>
        <v>#N/A</v>
      </c>
      <c r="H39708" s="4" t="str">
        <v/>
      </c>
      <c r="I39708" s="4" t="str">
        <v/>
      </c>
    </row>
    <row r="39709" spans="5:9" ht="16.5" hidden="1">
      <c r="E39709" s="4" t="str">
        <v/>
      </c>
      <c r="F39709" s="102" t="str">
        <f ca="1">IFERROR(__xludf.DUMMYFUNCTION("IMPORTRANGE(H39709,""IDENTITAS UNIT!D9"")"),"#N/A")</f>
        <v>#N/A</v>
      </c>
      <c r="H39709" s="4" t="str">
        <v/>
      </c>
      <c r="I39709" s="4" t="str">
        <v/>
      </c>
    </row>
    <row r="39710" spans="5:9" ht="16.5" hidden="1">
      <c r="E39710" s="4" t="str">
        <v/>
      </c>
      <c r="F39710" s="102" t="str">
        <f ca="1">IFERROR(__xludf.DUMMYFUNCTION("IMPORTRANGE(H39710,""IDENTITAS UNIT!D9"")"),"#N/A")</f>
        <v>#N/A</v>
      </c>
      <c r="H39710" s="4" t="str">
        <v/>
      </c>
      <c r="I39710" s="4" t="str">
        <v/>
      </c>
    </row>
    <row r="39711" spans="5:9" ht="16.5" hidden="1">
      <c r="E39711" s="4" t="str">
        <v/>
      </c>
      <c r="F39711" s="102" t="str">
        <f ca="1">IFERROR(__xludf.DUMMYFUNCTION("IMPORTRANGE(H39711,""IDENTITAS UNIT!D9"")"),"#N/A")</f>
        <v>#N/A</v>
      </c>
      <c r="H39711" s="4" t="str">
        <v/>
      </c>
      <c r="I39711" s="4" t="str">
        <v/>
      </c>
    </row>
    <row r="39712" spans="5:9" ht="16.5" hidden="1">
      <c r="E39712" s="4" t="str">
        <v/>
      </c>
      <c r="F39712" s="102" t="str">
        <f ca="1">IFERROR(__xludf.DUMMYFUNCTION("IMPORTRANGE(H39712,""IDENTITAS UNIT!D9"")"),"#N/A")</f>
        <v>#N/A</v>
      </c>
      <c r="H39712" s="4" t="str">
        <v/>
      </c>
      <c r="I39712" s="4" t="str">
        <v/>
      </c>
    </row>
    <row r="39713" spans="5:9" ht="16.5" hidden="1">
      <c r="E39713" s="4" t="str">
        <v/>
      </c>
      <c r="F39713" s="102" t="str">
        <f ca="1">IFERROR(__xludf.DUMMYFUNCTION("IMPORTRANGE(H39713,""IDENTITAS UNIT!D9"")"),"#N/A")</f>
        <v>#N/A</v>
      </c>
      <c r="H39713" s="4" t="str">
        <v/>
      </c>
      <c r="I39713" s="4" t="str">
        <v/>
      </c>
    </row>
    <row r="39714" spans="5:9" ht="16.5" hidden="1">
      <c r="E39714" s="4" t="str">
        <v/>
      </c>
      <c r="F39714" s="102" t="str">
        <f ca="1">IFERROR(__xludf.DUMMYFUNCTION("IMPORTRANGE(H39714,""IDENTITAS UNIT!D9"")"),"#N/A")</f>
        <v>#N/A</v>
      </c>
      <c r="H39714" s="4" t="str">
        <v/>
      </c>
      <c r="I39714" s="4" t="str">
        <v/>
      </c>
    </row>
    <row r="39715" spans="5:9" ht="16.5" hidden="1">
      <c r="E39715" s="4" t="str">
        <v/>
      </c>
      <c r="F39715" s="102" t="str">
        <f ca="1">IFERROR(__xludf.DUMMYFUNCTION("IMPORTRANGE(H39715,""IDENTITAS UNIT!D9"")"),"#N/A")</f>
        <v>#N/A</v>
      </c>
      <c r="H39715" s="4" t="str">
        <v/>
      </c>
      <c r="I39715" s="4" t="str">
        <v/>
      </c>
    </row>
    <row r="39716" spans="5:9" ht="16.5" hidden="1">
      <c r="E39716" s="4" t="str">
        <v/>
      </c>
      <c r="F39716" s="102" t="str">
        <f ca="1">IFERROR(__xludf.DUMMYFUNCTION("IMPORTRANGE(H39716,""IDENTITAS UNIT!D9"")"),"#N/A")</f>
        <v>#N/A</v>
      </c>
      <c r="H39716" s="4" t="str">
        <v/>
      </c>
      <c r="I39716" s="4" t="str">
        <v/>
      </c>
    </row>
    <row r="39717" spans="5:9" ht="16.5" hidden="1">
      <c r="E39717" s="4" t="str">
        <v/>
      </c>
      <c r="F39717" s="102" t="str">
        <f ca="1">IFERROR(__xludf.DUMMYFUNCTION("IMPORTRANGE(H39717,""IDENTITAS UNIT!D9"")"),"#N/A")</f>
        <v>#N/A</v>
      </c>
      <c r="H39717" s="4" t="str">
        <v/>
      </c>
      <c r="I39717" s="4" t="str">
        <v/>
      </c>
    </row>
    <row r="39718" spans="5:9" ht="16.5" hidden="1">
      <c r="E39718" s="4" t="str">
        <v/>
      </c>
      <c r="F39718" s="102" t="str">
        <f ca="1">IFERROR(__xludf.DUMMYFUNCTION("IMPORTRANGE(H39718,""IDENTITAS UNIT!D9"")"),"#N/A")</f>
        <v>#N/A</v>
      </c>
      <c r="H39718" s="4" t="str">
        <v/>
      </c>
      <c r="I39718" s="4" t="str">
        <v/>
      </c>
    </row>
    <row r="39719" spans="5:9" ht="16.5" hidden="1">
      <c r="E39719" s="4" t="str">
        <v/>
      </c>
      <c r="F39719" s="102" t="str">
        <f ca="1">IFERROR(__xludf.DUMMYFUNCTION("IMPORTRANGE(H39719,""IDENTITAS UNIT!D9"")"),"#N/A")</f>
        <v>#N/A</v>
      </c>
      <c r="H39719" s="4" t="str">
        <v/>
      </c>
      <c r="I39719" s="4" t="str">
        <v/>
      </c>
    </row>
    <row r="39720" spans="5:9" ht="16.5" hidden="1">
      <c r="E39720" s="4" t="str">
        <v/>
      </c>
      <c r="F39720" s="102" t="str">
        <f ca="1">IFERROR(__xludf.DUMMYFUNCTION("IMPORTRANGE(H39720,""IDENTITAS UNIT!D9"")"),"#N/A")</f>
        <v>#N/A</v>
      </c>
      <c r="H39720" s="4" t="str">
        <v/>
      </c>
      <c r="I39720" s="4" t="str">
        <v/>
      </c>
    </row>
    <row r="39721" spans="5:9" ht="16.5" hidden="1">
      <c r="E39721" s="4" t="str">
        <v/>
      </c>
      <c r="F39721" s="102" t="str">
        <f ca="1">IFERROR(__xludf.DUMMYFUNCTION("IMPORTRANGE(H39721,""IDENTITAS UNIT!D9"")"),"#N/A")</f>
        <v>#N/A</v>
      </c>
      <c r="H39721" s="4" t="str">
        <v/>
      </c>
      <c r="I39721" s="4" t="str">
        <v/>
      </c>
    </row>
    <row r="39722" spans="5:9" ht="16.5" hidden="1">
      <c r="E39722" s="4" t="str">
        <v/>
      </c>
      <c r="F39722" s="102" t="str">
        <f ca="1">IFERROR(__xludf.DUMMYFUNCTION("IMPORTRANGE(H39722,""IDENTITAS UNIT!D9"")"),"#N/A")</f>
        <v>#N/A</v>
      </c>
      <c r="H39722" s="4" t="str">
        <v/>
      </c>
      <c r="I39722" s="4" t="str">
        <v/>
      </c>
    </row>
    <row r="39723" spans="5:9" ht="16.5" hidden="1">
      <c r="E39723" s="4" t="str">
        <v/>
      </c>
      <c r="F39723" s="102" t="str">
        <f ca="1">IFERROR(__xludf.DUMMYFUNCTION("IMPORTRANGE(H39723,""IDENTITAS UNIT!D9"")"),"#N/A")</f>
        <v>#N/A</v>
      </c>
      <c r="H39723" s="4" t="str">
        <v/>
      </c>
      <c r="I39723" s="4" t="str">
        <v/>
      </c>
    </row>
    <row r="39724" spans="5:9" ht="16.5" hidden="1">
      <c r="E39724" s="4" t="str">
        <v/>
      </c>
      <c r="F39724" s="102" t="str">
        <f ca="1">IFERROR(__xludf.DUMMYFUNCTION("IMPORTRANGE(H39724,""IDENTITAS UNIT!D9"")"),"#N/A")</f>
        <v>#N/A</v>
      </c>
      <c r="H39724" s="4" t="str">
        <v/>
      </c>
      <c r="I39724" s="4" t="str">
        <v/>
      </c>
    </row>
    <row r="39725" spans="5:9" ht="16.5" hidden="1">
      <c r="E39725" s="4" t="str">
        <v/>
      </c>
      <c r="F39725" s="102" t="str">
        <f ca="1">IFERROR(__xludf.DUMMYFUNCTION("IMPORTRANGE(H39725,""IDENTITAS UNIT!D9"")"),"#N/A")</f>
        <v>#N/A</v>
      </c>
      <c r="H39725" s="4" t="str">
        <v/>
      </c>
      <c r="I39725" s="4" t="str">
        <v/>
      </c>
    </row>
    <row r="39726" spans="5:9" ht="16.5" hidden="1">
      <c r="E39726" s="4" t="str">
        <v/>
      </c>
      <c r="F39726" s="102" t="str">
        <f ca="1">IFERROR(__xludf.DUMMYFUNCTION("IMPORTRANGE(H39726,""IDENTITAS UNIT!D9"")"),"#N/A")</f>
        <v>#N/A</v>
      </c>
      <c r="H39726" s="4" t="str">
        <v/>
      </c>
      <c r="I39726" s="4" t="str">
        <v/>
      </c>
    </row>
    <row r="39727" spans="5:9" ht="16.5" hidden="1">
      <c r="E39727" s="4" t="str">
        <v/>
      </c>
      <c r="F39727" s="102" t="str">
        <f ca="1">IFERROR(__xludf.DUMMYFUNCTION("IMPORTRANGE(H39727,""IDENTITAS UNIT!D9"")"),"#N/A")</f>
        <v>#N/A</v>
      </c>
      <c r="H39727" s="4" t="str">
        <v/>
      </c>
      <c r="I39727" s="4" t="str">
        <v/>
      </c>
    </row>
    <row r="39728" spans="5:9" ht="16.5" hidden="1">
      <c r="E39728" s="4" t="str">
        <v/>
      </c>
      <c r="F39728" s="102" t="str">
        <f ca="1">IFERROR(__xludf.DUMMYFUNCTION("IMPORTRANGE(H39728,""IDENTITAS UNIT!D9"")"),"#N/A")</f>
        <v>#N/A</v>
      </c>
      <c r="H39728" s="4" t="str">
        <v/>
      </c>
      <c r="I39728" s="4" t="str">
        <v/>
      </c>
    </row>
    <row r="39729" spans="5:9" ht="16.5" hidden="1">
      <c r="E39729" s="4" t="str">
        <v/>
      </c>
      <c r="F39729" s="102" t="str">
        <f ca="1">IFERROR(__xludf.DUMMYFUNCTION("IMPORTRANGE(H39729,""IDENTITAS UNIT!D9"")"),"#N/A")</f>
        <v>#N/A</v>
      </c>
      <c r="H39729" s="4" t="str">
        <v/>
      </c>
      <c r="I39729" s="4" t="str">
        <v/>
      </c>
    </row>
    <row r="39730" spans="5:9" ht="16.5" hidden="1">
      <c r="E39730" s="4" t="str">
        <v/>
      </c>
      <c r="F39730" s="102" t="str">
        <f ca="1">IFERROR(__xludf.DUMMYFUNCTION("IMPORTRANGE(H39730,""IDENTITAS UNIT!D9"")"),"#N/A")</f>
        <v>#N/A</v>
      </c>
      <c r="H39730" s="4" t="str">
        <v/>
      </c>
      <c r="I39730" s="4" t="str">
        <v/>
      </c>
    </row>
    <row r="39731" spans="5:9" ht="16.5" hidden="1">
      <c r="E39731" s="4" t="str">
        <v/>
      </c>
      <c r="F39731" s="102" t="str">
        <f ca="1">IFERROR(__xludf.DUMMYFUNCTION("IMPORTRANGE(H39731,""IDENTITAS UNIT!D9"")"),"#N/A")</f>
        <v>#N/A</v>
      </c>
      <c r="H39731" s="4" t="str">
        <v/>
      </c>
      <c r="I39731" s="4" t="str">
        <v/>
      </c>
    </row>
    <row r="39732" spans="5:9" ht="16.5" hidden="1">
      <c r="E39732" s="4" t="str">
        <v/>
      </c>
      <c r="F39732" s="102" t="str">
        <f ca="1">IFERROR(__xludf.DUMMYFUNCTION("IMPORTRANGE(H39732,""IDENTITAS UNIT!D9"")"),"#N/A")</f>
        <v>#N/A</v>
      </c>
      <c r="H39732" s="4" t="str">
        <v/>
      </c>
      <c r="I39732" s="4" t="str">
        <v/>
      </c>
    </row>
    <row r="39733" spans="5:9" ht="16.5" hidden="1">
      <c r="E39733" s="4" t="str">
        <v/>
      </c>
      <c r="F39733" s="102" t="str">
        <f ca="1">IFERROR(__xludf.DUMMYFUNCTION("IMPORTRANGE(H39733,""IDENTITAS UNIT!D9"")"),"#N/A")</f>
        <v>#N/A</v>
      </c>
      <c r="H39733" s="4" t="str">
        <v/>
      </c>
      <c r="I39733" s="4" t="str">
        <v/>
      </c>
    </row>
    <row r="39734" spans="5:9" ht="16.5" hidden="1">
      <c r="E39734" s="4" t="str">
        <v/>
      </c>
      <c r="F39734" s="102" t="str">
        <f ca="1">IFERROR(__xludf.DUMMYFUNCTION("IMPORTRANGE(H39734,""IDENTITAS UNIT!D9"")"),"#N/A")</f>
        <v>#N/A</v>
      </c>
      <c r="H39734" s="4" t="str">
        <v/>
      </c>
      <c r="I39734" s="4" t="str">
        <v/>
      </c>
    </row>
    <row r="39735" spans="5:9" ht="16.5" hidden="1">
      <c r="E39735" s="4" t="str">
        <v/>
      </c>
      <c r="F39735" s="102" t="str">
        <f ca="1">IFERROR(__xludf.DUMMYFUNCTION("IMPORTRANGE(H39735,""IDENTITAS UNIT!D9"")"),"#N/A")</f>
        <v>#N/A</v>
      </c>
      <c r="H39735" s="4" t="str">
        <v/>
      </c>
      <c r="I39735" s="4" t="str">
        <v/>
      </c>
    </row>
    <row r="39736" spans="5:9" ht="16.5" hidden="1">
      <c r="E39736" s="4" t="str">
        <v/>
      </c>
      <c r="F39736" s="102" t="str">
        <f ca="1">IFERROR(__xludf.DUMMYFUNCTION("IMPORTRANGE(H39736,""IDENTITAS UNIT!D9"")"),"#N/A")</f>
        <v>#N/A</v>
      </c>
      <c r="H39736" s="4" t="str">
        <v/>
      </c>
      <c r="I39736" s="4" t="str">
        <v/>
      </c>
    </row>
    <row r="39737" spans="5:9" ht="16.5" hidden="1">
      <c r="E39737" s="4" t="str">
        <v/>
      </c>
      <c r="F39737" s="102" t="str">
        <f ca="1">IFERROR(__xludf.DUMMYFUNCTION("IMPORTRANGE(H39737,""IDENTITAS UNIT!D9"")"),"#N/A")</f>
        <v>#N/A</v>
      </c>
      <c r="H39737" s="4" t="str">
        <v/>
      </c>
      <c r="I39737" s="4" t="str">
        <v/>
      </c>
    </row>
    <row r="39738" spans="5:9" ht="16.5" hidden="1">
      <c r="E39738" s="4" t="str">
        <v/>
      </c>
      <c r="F39738" s="102" t="str">
        <f ca="1">IFERROR(__xludf.DUMMYFUNCTION("IMPORTRANGE(H39738,""IDENTITAS UNIT!D9"")"),"#N/A")</f>
        <v>#N/A</v>
      </c>
      <c r="H39738" s="4" t="str">
        <v/>
      </c>
      <c r="I39738" s="4" t="str">
        <v/>
      </c>
    </row>
    <row r="39739" spans="5:9" ht="16.5" hidden="1">
      <c r="E39739" s="4" t="str">
        <v/>
      </c>
      <c r="F39739" s="102" t="str">
        <f ca="1">IFERROR(__xludf.DUMMYFUNCTION("IMPORTRANGE(H39739,""IDENTITAS UNIT!D9"")"),"#N/A")</f>
        <v>#N/A</v>
      </c>
      <c r="H39739" s="4" t="str">
        <v/>
      </c>
      <c r="I39739" s="4" t="str">
        <v/>
      </c>
    </row>
    <row r="39740" spans="5:9" ht="16.5" hidden="1">
      <c r="E39740" s="4" t="str">
        <v/>
      </c>
      <c r="F39740" s="102" t="str">
        <f ca="1">IFERROR(__xludf.DUMMYFUNCTION("IMPORTRANGE(H39740,""IDENTITAS UNIT!D9"")"),"#N/A")</f>
        <v>#N/A</v>
      </c>
      <c r="H39740" s="4" t="str">
        <v/>
      </c>
      <c r="I39740" s="4" t="str">
        <v/>
      </c>
    </row>
    <row r="39741" spans="5:9" ht="16.5" hidden="1">
      <c r="E39741" s="4" t="str">
        <v/>
      </c>
      <c r="F39741" s="102" t="str">
        <f ca="1">IFERROR(__xludf.DUMMYFUNCTION("IMPORTRANGE(H39741,""IDENTITAS UNIT!D9"")"),"#N/A")</f>
        <v>#N/A</v>
      </c>
      <c r="H39741" s="4" t="str">
        <v/>
      </c>
      <c r="I39741" s="4" t="str">
        <v/>
      </c>
    </row>
    <row r="39742" spans="5:9" ht="16.5" hidden="1">
      <c r="E39742" s="4" t="str">
        <v/>
      </c>
      <c r="F39742" s="102" t="str">
        <f ca="1">IFERROR(__xludf.DUMMYFUNCTION("IMPORTRANGE(H39742,""IDENTITAS UNIT!D9"")"),"#N/A")</f>
        <v>#N/A</v>
      </c>
      <c r="H39742" s="4" t="str">
        <v/>
      </c>
      <c r="I39742" s="4" t="str">
        <v/>
      </c>
    </row>
    <row r="39743" spans="5:9" ht="16.5" hidden="1">
      <c r="E39743" s="4" t="str">
        <v/>
      </c>
      <c r="F39743" s="102" t="str">
        <f ca="1">IFERROR(__xludf.DUMMYFUNCTION("IMPORTRANGE(H39743,""IDENTITAS UNIT!D9"")"),"#N/A")</f>
        <v>#N/A</v>
      </c>
      <c r="H39743" s="4" t="str">
        <v/>
      </c>
      <c r="I39743" s="4" t="str">
        <v/>
      </c>
    </row>
    <row r="39744" spans="5:9" ht="16.5" hidden="1">
      <c r="E39744" s="4" t="str">
        <v/>
      </c>
      <c r="F39744" s="102" t="str">
        <f ca="1">IFERROR(__xludf.DUMMYFUNCTION("IMPORTRANGE(H39744,""IDENTITAS UNIT!D9"")"),"#N/A")</f>
        <v>#N/A</v>
      </c>
      <c r="H39744" s="4" t="str">
        <v/>
      </c>
      <c r="I39744" s="4" t="str">
        <v/>
      </c>
    </row>
    <row r="39745" spans="5:9" ht="16.5" hidden="1">
      <c r="E39745" s="4" t="str">
        <v/>
      </c>
      <c r="F39745" s="102" t="str">
        <f ca="1">IFERROR(__xludf.DUMMYFUNCTION("IMPORTRANGE(H39745,""IDENTITAS UNIT!D9"")"),"#N/A")</f>
        <v>#N/A</v>
      </c>
      <c r="H39745" s="4" t="str">
        <v/>
      </c>
      <c r="I39745" s="4" t="str">
        <v/>
      </c>
    </row>
    <row r="39746" spans="5:9" ht="16.5" hidden="1">
      <c r="E39746" s="4" t="str">
        <v/>
      </c>
      <c r="F39746" s="102" t="str">
        <f ca="1">IFERROR(__xludf.DUMMYFUNCTION("IMPORTRANGE(H39746,""IDENTITAS UNIT!D9"")"),"#N/A")</f>
        <v>#N/A</v>
      </c>
      <c r="H39746" s="4" t="str">
        <v/>
      </c>
      <c r="I39746" s="4" t="str">
        <v/>
      </c>
    </row>
    <row r="39747" spans="5:9" ht="16.5" hidden="1">
      <c r="E39747" s="4" t="str">
        <v/>
      </c>
      <c r="F39747" s="102" t="str">
        <f ca="1">IFERROR(__xludf.DUMMYFUNCTION("IMPORTRANGE(H39747,""IDENTITAS UNIT!D9"")"),"#N/A")</f>
        <v>#N/A</v>
      </c>
      <c r="H39747" s="4" t="str">
        <v/>
      </c>
      <c r="I39747" s="4" t="str">
        <v/>
      </c>
    </row>
    <row r="39748" spans="5:9" ht="16.5" hidden="1">
      <c r="E39748" s="4" t="str">
        <v/>
      </c>
      <c r="F39748" s="102" t="str">
        <f ca="1">IFERROR(__xludf.DUMMYFUNCTION("IMPORTRANGE(H39748,""IDENTITAS UNIT!D9"")"),"#N/A")</f>
        <v>#N/A</v>
      </c>
      <c r="H39748" s="4" t="str">
        <v/>
      </c>
      <c r="I39748" s="4" t="str">
        <v/>
      </c>
    </row>
    <row r="39749" spans="5:9" ht="16.5" hidden="1">
      <c r="E39749" s="4" t="str">
        <v/>
      </c>
      <c r="F39749" s="102" t="str">
        <f ca="1">IFERROR(__xludf.DUMMYFUNCTION("IMPORTRANGE(H39749,""IDENTITAS UNIT!D9"")"),"#N/A")</f>
        <v>#N/A</v>
      </c>
      <c r="H39749" s="4" t="str">
        <v/>
      </c>
      <c r="I39749" s="4" t="str">
        <v/>
      </c>
    </row>
    <row r="39750" spans="5:9" ht="16.5" hidden="1">
      <c r="E39750" s="4" t="str">
        <v/>
      </c>
      <c r="F39750" s="102" t="str">
        <f ca="1">IFERROR(__xludf.DUMMYFUNCTION("IMPORTRANGE(H39750,""IDENTITAS UNIT!D9"")"),"#N/A")</f>
        <v>#N/A</v>
      </c>
      <c r="H39750" s="4" t="str">
        <v/>
      </c>
      <c r="I39750" s="4" t="str">
        <v/>
      </c>
    </row>
    <row r="39751" spans="5:9" ht="16.5" hidden="1">
      <c r="E39751" s="4" t="str">
        <v/>
      </c>
      <c r="F39751" s="102" t="str">
        <f ca="1">IFERROR(__xludf.DUMMYFUNCTION("IMPORTRANGE(H39751,""IDENTITAS UNIT!D9"")"),"#N/A")</f>
        <v>#N/A</v>
      </c>
      <c r="H39751" s="4" t="str">
        <v/>
      </c>
      <c r="I39751" s="4" t="str">
        <v/>
      </c>
    </row>
    <row r="39752" spans="5:9" ht="16.5" hidden="1">
      <c r="E39752" s="4" t="str">
        <v/>
      </c>
      <c r="F39752" s="102" t="str">
        <f ca="1">IFERROR(__xludf.DUMMYFUNCTION("IMPORTRANGE(H39752,""IDENTITAS UNIT!D9"")"),"#N/A")</f>
        <v>#N/A</v>
      </c>
      <c r="H39752" s="4" t="str">
        <v/>
      </c>
      <c r="I39752" s="4" t="str">
        <v/>
      </c>
    </row>
    <row r="39753" spans="5:9" ht="16.5" hidden="1">
      <c r="E39753" s="4" t="str">
        <v/>
      </c>
      <c r="F39753" s="102" t="str">
        <f ca="1">IFERROR(__xludf.DUMMYFUNCTION("IMPORTRANGE(H39753,""IDENTITAS UNIT!D9"")"),"#N/A")</f>
        <v>#N/A</v>
      </c>
      <c r="H39753" s="4" t="str">
        <v/>
      </c>
      <c r="I39753" s="4" t="str">
        <v/>
      </c>
    </row>
    <row r="39754" spans="5:9" ht="16.5" hidden="1">
      <c r="E39754" s="4" t="str">
        <v/>
      </c>
      <c r="F39754" s="102" t="str">
        <f ca="1">IFERROR(__xludf.DUMMYFUNCTION("IMPORTRANGE(H39754,""IDENTITAS UNIT!D9"")"),"#N/A")</f>
        <v>#N/A</v>
      </c>
      <c r="H39754" s="4" t="str">
        <v/>
      </c>
      <c r="I39754" s="4" t="str">
        <v/>
      </c>
    </row>
    <row r="39755" spans="5:9" ht="16.5" hidden="1">
      <c r="E39755" s="4" t="str">
        <v/>
      </c>
      <c r="F39755" s="102" t="str">
        <f ca="1">IFERROR(__xludf.DUMMYFUNCTION("IMPORTRANGE(H39755,""IDENTITAS UNIT!D9"")"),"#N/A")</f>
        <v>#N/A</v>
      </c>
      <c r="H39755" s="4" t="str">
        <v/>
      </c>
      <c r="I39755" s="4" t="str">
        <v/>
      </c>
    </row>
    <row r="39756" spans="5:9" ht="16.5" hidden="1">
      <c r="E39756" s="4" t="str">
        <v/>
      </c>
      <c r="F39756" s="102" t="str">
        <f ca="1">IFERROR(__xludf.DUMMYFUNCTION("IMPORTRANGE(H39756,""IDENTITAS UNIT!D9"")"),"#N/A")</f>
        <v>#N/A</v>
      </c>
      <c r="H39756" s="4" t="str">
        <v/>
      </c>
      <c r="I39756" s="4" t="str">
        <v/>
      </c>
    </row>
    <row r="39757" spans="5:9" ht="16.5" hidden="1">
      <c r="E39757" s="4" t="str">
        <v/>
      </c>
      <c r="F39757" s="102" t="str">
        <f ca="1">IFERROR(__xludf.DUMMYFUNCTION("IMPORTRANGE(H39757,""IDENTITAS UNIT!D9"")"),"#N/A")</f>
        <v>#N/A</v>
      </c>
      <c r="H39757" s="4" t="str">
        <v/>
      </c>
      <c r="I39757" s="4" t="str">
        <v/>
      </c>
    </row>
    <row r="39758" spans="5:9" ht="16.5" hidden="1">
      <c r="E39758" s="4" t="str">
        <v/>
      </c>
      <c r="F39758" s="102" t="str">
        <f ca="1">IFERROR(__xludf.DUMMYFUNCTION("IMPORTRANGE(H39758,""IDENTITAS UNIT!D9"")"),"#N/A")</f>
        <v>#N/A</v>
      </c>
      <c r="H39758" s="4" t="str">
        <v/>
      </c>
      <c r="I39758" s="4" t="str">
        <v/>
      </c>
    </row>
    <row r="39759" spans="5:9" ht="16.5" hidden="1">
      <c r="E39759" s="4" t="str">
        <v/>
      </c>
      <c r="F39759" s="102" t="str">
        <f ca="1">IFERROR(__xludf.DUMMYFUNCTION("IMPORTRANGE(H39759,""IDENTITAS UNIT!D9"")"),"#N/A")</f>
        <v>#N/A</v>
      </c>
      <c r="H39759" s="4" t="str">
        <v/>
      </c>
      <c r="I39759" s="4" t="str">
        <v/>
      </c>
    </row>
    <row r="39760" spans="5:9" ht="16.5" hidden="1">
      <c r="E39760" s="4" t="str">
        <v/>
      </c>
      <c r="F39760" s="102" t="str">
        <f ca="1">IFERROR(__xludf.DUMMYFUNCTION("IMPORTRANGE(H39760,""IDENTITAS UNIT!D9"")"),"#N/A")</f>
        <v>#N/A</v>
      </c>
      <c r="H39760" s="4" t="str">
        <v/>
      </c>
      <c r="I39760" s="4" t="str">
        <v/>
      </c>
    </row>
    <row r="39761" spans="5:9" ht="16.5" hidden="1">
      <c r="E39761" s="4" t="str">
        <v/>
      </c>
      <c r="F39761" s="102" t="str">
        <f ca="1">IFERROR(__xludf.DUMMYFUNCTION("IMPORTRANGE(H39761,""IDENTITAS UNIT!D9"")"),"#N/A")</f>
        <v>#N/A</v>
      </c>
      <c r="H39761" s="4" t="str">
        <v/>
      </c>
      <c r="I39761" s="4" t="str">
        <v/>
      </c>
    </row>
    <row r="39762" spans="5:9" ht="16.5" hidden="1">
      <c r="E39762" s="4" t="str">
        <v/>
      </c>
      <c r="F39762" s="102" t="str">
        <f ca="1">IFERROR(__xludf.DUMMYFUNCTION("IMPORTRANGE(H39762,""IDENTITAS UNIT!D9"")"),"#N/A")</f>
        <v>#N/A</v>
      </c>
      <c r="H39762" s="4" t="str">
        <v/>
      </c>
      <c r="I39762" s="4" t="str">
        <v/>
      </c>
    </row>
    <row r="39763" spans="5:9" ht="16.5" hidden="1">
      <c r="E39763" s="4" t="str">
        <v/>
      </c>
      <c r="F39763" s="102" t="str">
        <f ca="1">IFERROR(__xludf.DUMMYFUNCTION("IMPORTRANGE(H39763,""IDENTITAS UNIT!D9"")"),"#N/A")</f>
        <v>#N/A</v>
      </c>
      <c r="H39763" s="4" t="str">
        <v/>
      </c>
      <c r="I39763" s="4" t="str">
        <v/>
      </c>
    </row>
    <row r="39764" spans="5:9" ht="16.5" hidden="1">
      <c r="E39764" s="4" t="str">
        <v/>
      </c>
      <c r="F39764" s="102" t="str">
        <f ca="1">IFERROR(__xludf.DUMMYFUNCTION("IMPORTRANGE(H39764,""IDENTITAS UNIT!D9"")"),"#N/A")</f>
        <v>#N/A</v>
      </c>
      <c r="H39764" s="4" t="str">
        <v/>
      </c>
      <c r="I39764" s="4" t="str">
        <v/>
      </c>
    </row>
    <row r="39765" spans="5:9" ht="16.5" hidden="1">
      <c r="E39765" s="4" t="str">
        <v/>
      </c>
      <c r="F39765" s="102" t="str">
        <f ca="1">IFERROR(__xludf.DUMMYFUNCTION("IMPORTRANGE(H39765,""IDENTITAS UNIT!D9"")"),"#N/A")</f>
        <v>#N/A</v>
      </c>
      <c r="H39765" s="4" t="str">
        <v/>
      </c>
      <c r="I39765" s="4" t="str">
        <v/>
      </c>
    </row>
    <row r="39766" spans="5:9" ht="16.5" hidden="1">
      <c r="E39766" s="4" t="str">
        <v/>
      </c>
      <c r="F39766" s="102" t="str">
        <f ca="1">IFERROR(__xludf.DUMMYFUNCTION("IMPORTRANGE(H39766,""IDENTITAS UNIT!D9"")"),"#N/A")</f>
        <v>#N/A</v>
      </c>
      <c r="H39766" s="4" t="str">
        <v/>
      </c>
      <c r="I39766" s="4" t="str">
        <v/>
      </c>
    </row>
    <row r="39767" spans="5:9" ht="16.5" hidden="1">
      <c r="E39767" s="4" t="str">
        <v/>
      </c>
      <c r="F39767" s="102" t="str">
        <f ca="1">IFERROR(__xludf.DUMMYFUNCTION("IMPORTRANGE(H39767,""IDENTITAS UNIT!D9"")"),"#N/A")</f>
        <v>#N/A</v>
      </c>
      <c r="H39767" s="4" t="str">
        <v/>
      </c>
      <c r="I39767" s="4" t="str">
        <v/>
      </c>
    </row>
    <row r="39768" spans="5:9" ht="16.5" hidden="1">
      <c r="E39768" s="4" t="str">
        <v/>
      </c>
      <c r="F39768" s="102" t="str">
        <f ca="1">IFERROR(__xludf.DUMMYFUNCTION("IMPORTRANGE(H39768,""IDENTITAS UNIT!D9"")"),"#N/A")</f>
        <v>#N/A</v>
      </c>
      <c r="H39768" s="4" t="str">
        <v/>
      </c>
      <c r="I39768" s="4" t="str">
        <v/>
      </c>
    </row>
    <row r="39769" spans="5:9" ht="16.5" hidden="1">
      <c r="E39769" s="4" t="str">
        <v/>
      </c>
      <c r="F39769" s="102" t="str">
        <f ca="1">IFERROR(__xludf.DUMMYFUNCTION("IMPORTRANGE(H39769,""IDENTITAS UNIT!D9"")"),"#N/A")</f>
        <v>#N/A</v>
      </c>
      <c r="H39769" s="4" t="str">
        <v/>
      </c>
      <c r="I39769" s="4" t="str">
        <v/>
      </c>
    </row>
    <row r="39770" spans="5:9" ht="16.5" hidden="1">
      <c r="E39770" s="4" t="str">
        <v/>
      </c>
      <c r="F39770" s="102" t="str">
        <f ca="1">IFERROR(__xludf.DUMMYFUNCTION("IMPORTRANGE(H39770,""IDENTITAS UNIT!D9"")"),"#N/A")</f>
        <v>#N/A</v>
      </c>
      <c r="H39770" s="4" t="str">
        <v/>
      </c>
      <c r="I39770" s="4" t="str">
        <v/>
      </c>
    </row>
    <row r="39771" spans="5:9" ht="16.5" hidden="1">
      <c r="E39771" s="4" t="str">
        <v/>
      </c>
      <c r="F39771" s="102" t="str">
        <f ca="1">IFERROR(__xludf.DUMMYFUNCTION("IMPORTRANGE(H39771,""IDENTITAS UNIT!D9"")"),"#N/A")</f>
        <v>#N/A</v>
      </c>
      <c r="H39771" s="4" t="str">
        <v/>
      </c>
      <c r="I39771" s="4" t="str">
        <v/>
      </c>
    </row>
    <row r="39772" spans="5:9" ht="16.5" hidden="1">
      <c r="E39772" s="4" t="str">
        <v/>
      </c>
      <c r="F39772" s="102" t="str">
        <f ca="1">IFERROR(__xludf.DUMMYFUNCTION("IMPORTRANGE(H39772,""IDENTITAS UNIT!D9"")"),"#N/A")</f>
        <v>#N/A</v>
      </c>
      <c r="H39772" s="4" t="str">
        <v/>
      </c>
      <c r="I39772" s="4" t="str">
        <v/>
      </c>
    </row>
    <row r="39773" spans="5:9" ht="16.5" hidden="1">
      <c r="E39773" s="4" t="str">
        <v/>
      </c>
      <c r="F39773" s="102" t="str">
        <f ca="1">IFERROR(__xludf.DUMMYFUNCTION("IMPORTRANGE(H39773,""IDENTITAS UNIT!D9"")"),"#N/A")</f>
        <v>#N/A</v>
      </c>
      <c r="H39773" s="4" t="str">
        <v/>
      </c>
      <c r="I39773" s="4" t="str">
        <v/>
      </c>
    </row>
    <row r="39774" spans="5:9" ht="16.5" hidden="1">
      <c r="E39774" s="4" t="str">
        <v/>
      </c>
      <c r="F39774" s="102" t="str">
        <f ca="1">IFERROR(__xludf.DUMMYFUNCTION("IMPORTRANGE(H39774,""IDENTITAS UNIT!D9"")"),"#N/A")</f>
        <v>#N/A</v>
      </c>
      <c r="H39774" s="4" t="str">
        <v/>
      </c>
      <c r="I39774" s="4" t="str">
        <v/>
      </c>
    </row>
    <row r="39775" spans="5:9" ht="16.5" hidden="1">
      <c r="E39775" s="4" t="str">
        <v/>
      </c>
      <c r="F39775" s="102" t="str">
        <f ca="1">IFERROR(__xludf.DUMMYFUNCTION("IMPORTRANGE(H39775,""IDENTITAS UNIT!D9"")"),"#N/A")</f>
        <v>#N/A</v>
      </c>
      <c r="H39775" s="4" t="str">
        <v/>
      </c>
      <c r="I39775" s="4" t="str">
        <v/>
      </c>
    </row>
    <row r="39776" spans="5:9" ht="16.5" hidden="1">
      <c r="E39776" s="4" t="str">
        <v/>
      </c>
      <c r="F39776" s="102" t="str">
        <f ca="1">IFERROR(__xludf.DUMMYFUNCTION("IMPORTRANGE(H39776,""IDENTITAS UNIT!D9"")"),"#N/A")</f>
        <v>#N/A</v>
      </c>
      <c r="H39776" s="4" t="str">
        <v/>
      </c>
      <c r="I39776" s="4" t="str">
        <v/>
      </c>
    </row>
    <row r="39777" spans="5:9" ht="16.5" hidden="1">
      <c r="E39777" s="4" t="str">
        <v/>
      </c>
      <c r="F39777" s="102" t="str">
        <f ca="1">IFERROR(__xludf.DUMMYFUNCTION("IMPORTRANGE(H39777,""IDENTITAS UNIT!D9"")"),"#N/A")</f>
        <v>#N/A</v>
      </c>
      <c r="H39777" s="4" t="str">
        <v/>
      </c>
      <c r="I39777" s="4" t="str">
        <v/>
      </c>
    </row>
    <row r="39778" spans="5:9" ht="16.5" hidden="1">
      <c r="E39778" s="4" t="str">
        <v/>
      </c>
      <c r="F39778" s="102" t="str">
        <f ca="1">IFERROR(__xludf.DUMMYFUNCTION("IMPORTRANGE(H39778,""IDENTITAS UNIT!D9"")"),"#N/A")</f>
        <v>#N/A</v>
      </c>
      <c r="H39778" s="4" t="str">
        <v/>
      </c>
      <c r="I39778" s="4" t="str">
        <v/>
      </c>
    </row>
    <row r="39779" spans="5:9" ht="16.5" hidden="1">
      <c r="E39779" s="4" t="str">
        <v/>
      </c>
      <c r="F39779" s="102" t="str">
        <f ca="1">IFERROR(__xludf.DUMMYFUNCTION("IMPORTRANGE(H39779,""IDENTITAS UNIT!D9"")"),"#N/A")</f>
        <v>#N/A</v>
      </c>
      <c r="H39779" s="4" t="str">
        <v/>
      </c>
      <c r="I39779" s="4" t="str">
        <v/>
      </c>
    </row>
    <row r="39780" spans="5:9" ht="16.5" hidden="1">
      <c r="E39780" s="4" t="str">
        <v/>
      </c>
      <c r="F39780" s="102" t="str">
        <f ca="1">IFERROR(__xludf.DUMMYFUNCTION("IMPORTRANGE(H39780,""IDENTITAS UNIT!D9"")"),"#N/A")</f>
        <v>#N/A</v>
      </c>
      <c r="H39780" s="4" t="str">
        <v/>
      </c>
      <c r="I39780" s="4" t="str">
        <v/>
      </c>
    </row>
    <row r="39781" spans="5:9" ht="16.5" hidden="1">
      <c r="E39781" s="4" t="str">
        <v/>
      </c>
      <c r="F39781" s="102" t="str">
        <f ca="1">IFERROR(__xludf.DUMMYFUNCTION("IMPORTRANGE(H39781,""IDENTITAS UNIT!D9"")"),"#N/A")</f>
        <v>#N/A</v>
      </c>
      <c r="H39781" s="4" t="str">
        <v/>
      </c>
      <c r="I39781" s="4" t="str">
        <v/>
      </c>
    </row>
    <row r="39782" spans="5:9" ht="16.5" hidden="1">
      <c r="E39782" s="4" t="str">
        <v/>
      </c>
      <c r="F39782" s="102" t="str">
        <f ca="1">IFERROR(__xludf.DUMMYFUNCTION("IMPORTRANGE(H39782,""IDENTITAS UNIT!D9"")"),"#N/A")</f>
        <v>#N/A</v>
      </c>
      <c r="H39782" s="4" t="str">
        <v/>
      </c>
      <c r="I39782" s="4" t="str">
        <v/>
      </c>
    </row>
    <row r="39783" spans="5:9" ht="16.5" hidden="1">
      <c r="E39783" s="4" t="str">
        <v/>
      </c>
      <c r="F39783" s="102" t="str">
        <f ca="1">IFERROR(__xludf.DUMMYFUNCTION("IMPORTRANGE(H39783,""IDENTITAS UNIT!D9"")"),"#N/A")</f>
        <v>#N/A</v>
      </c>
      <c r="H39783" s="4" t="str">
        <v/>
      </c>
      <c r="I39783" s="4" t="str">
        <v/>
      </c>
    </row>
    <row r="39784" spans="5:9" ht="16.5" hidden="1">
      <c r="E39784" s="4" t="str">
        <v/>
      </c>
      <c r="F39784" s="102" t="str">
        <f ca="1">IFERROR(__xludf.DUMMYFUNCTION("IMPORTRANGE(H39784,""IDENTITAS UNIT!D9"")"),"#N/A")</f>
        <v>#N/A</v>
      </c>
      <c r="H39784" s="4" t="str">
        <v/>
      </c>
      <c r="I39784" s="4" t="str">
        <v/>
      </c>
    </row>
    <row r="39785" spans="5:9" ht="16.5" hidden="1">
      <c r="E39785" s="4" t="str">
        <v/>
      </c>
      <c r="F39785" s="102" t="str">
        <f ca="1">IFERROR(__xludf.DUMMYFUNCTION("IMPORTRANGE(H39785,""IDENTITAS UNIT!D9"")"),"#N/A")</f>
        <v>#N/A</v>
      </c>
      <c r="H39785" s="4" t="str">
        <v/>
      </c>
      <c r="I39785" s="4" t="str">
        <v/>
      </c>
    </row>
    <row r="39786" spans="5:9" ht="16.5" hidden="1">
      <c r="E39786" s="4" t="str">
        <v/>
      </c>
      <c r="F39786" s="102" t="str">
        <f ca="1">IFERROR(__xludf.DUMMYFUNCTION("IMPORTRANGE(H39786,""IDENTITAS UNIT!D9"")"),"#N/A")</f>
        <v>#N/A</v>
      </c>
      <c r="H39786" s="4" t="str">
        <v/>
      </c>
      <c r="I39786" s="4" t="str">
        <v/>
      </c>
    </row>
    <row r="39787" spans="5:9" ht="16.5" hidden="1">
      <c r="E39787" s="4" t="str">
        <v/>
      </c>
      <c r="F39787" s="102" t="str">
        <f ca="1">IFERROR(__xludf.DUMMYFUNCTION("IMPORTRANGE(H39787,""IDENTITAS UNIT!D9"")"),"#N/A")</f>
        <v>#N/A</v>
      </c>
      <c r="H39787" s="4" t="str">
        <v/>
      </c>
      <c r="I39787" s="4" t="str">
        <v/>
      </c>
    </row>
    <row r="39788" spans="5:9" ht="16.5" hidden="1">
      <c r="E39788" s="4" t="str">
        <v/>
      </c>
      <c r="F39788" s="102" t="str">
        <f ca="1">IFERROR(__xludf.DUMMYFUNCTION("IMPORTRANGE(H39788,""IDENTITAS UNIT!D9"")"),"#N/A")</f>
        <v>#N/A</v>
      </c>
      <c r="H39788" s="4" t="str">
        <v/>
      </c>
      <c r="I39788" s="4" t="str">
        <v/>
      </c>
    </row>
    <row r="39789" spans="5:9" ht="16.5" hidden="1">
      <c r="E39789" s="4" t="str">
        <v/>
      </c>
      <c r="F39789" s="102" t="str">
        <f ca="1">IFERROR(__xludf.DUMMYFUNCTION("IMPORTRANGE(H39789,""IDENTITAS UNIT!D9"")"),"#N/A")</f>
        <v>#N/A</v>
      </c>
      <c r="H39789" s="4" t="str">
        <v/>
      </c>
      <c r="I39789" s="4" t="str">
        <v/>
      </c>
    </row>
    <row r="39790" spans="5:9" ht="16.5" hidden="1">
      <c r="E39790" s="4" t="str">
        <v/>
      </c>
      <c r="F39790" s="102" t="str">
        <f ca="1">IFERROR(__xludf.DUMMYFUNCTION("IMPORTRANGE(H39790,""IDENTITAS UNIT!D9"")"),"#N/A")</f>
        <v>#N/A</v>
      </c>
      <c r="H39790" s="4" t="str">
        <v/>
      </c>
      <c r="I39790" s="4" t="str">
        <v/>
      </c>
    </row>
    <row r="39791" spans="5:9" ht="16.5" hidden="1">
      <c r="E39791" s="4" t="str">
        <v/>
      </c>
      <c r="F39791" s="102" t="str">
        <f ca="1">IFERROR(__xludf.DUMMYFUNCTION("IMPORTRANGE(H39791,""IDENTITAS UNIT!D9"")"),"#N/A")</f>
        <v>#N/A</v>
      </c>
      <c r="H39791" s="4" t="str">
        <v/>
      </c>
      <c r="I39791" s="4" t="str">
        <v/>
      </c>
    </row>
    <row r="39792" spans="5:9" ht="16.5" hidden="1">
      <c r="E39792" s="4" t="str">
        <v/>
      </c>
      <c r="F39792" s="102" t="str">
        <f ca="1">IFERROR(__xludf.DUMMYFUNCTION("IMPORTRANGE(H39792,""IDENTITAS UNIT!D9"")"),"#N/A")</f>
        <v>#N/A</v>
      </c>
      <c r="H39792" s="4" t="str">
        <v/>
      </c>
      <c r="I39792" s="4" t="str">
        <v/>
      </c>
    </row>
    <row r="39793" spans="5:9" ht="16.5" hidden="1">
      <c r="E39793" s="4" t="str">
        <v/>
      </c>
      <c r="F39793" s="102" t="str">
        <f ca="1">IFERROR(__xludf.DUMMYFUNCTION("IMPORTRANGE(H39793,""IDENTITAS UNIT!D9"")"),"#N/A")</f>
        <v>#N/A</v>
      </c>
      <c r="H39793" s="4" t="str">
        <v/>
      </c>
      <c r="I39793" s="4" t="str">
        <v/>
      </c>
    </row>
    <row r="39794" spans="5:9" ht="16.5" hidden="1">
      <c r="E39794" s="4" t="str">
        <v/>
      </c>
      <c r="F39794" s="102" t="str">
        <f ca="1">IFERROR(__xludf.DUMMYFUNCTION("IMPORTRANGE(H39794,""IDENTITAS UNIT!D9"")"),"#N/A")</f>
        <v>#N/A</v>
      </c>
      <c r="H39794" s="4" t="str">
        <v/>
      </c>
      <c r="I39794" s="4" t="str">
        <v/>
      </c>
    </row>
    <row r="39795" spans="5:9" ht="16.5" hidden="1">
      <c r="E39795" s="4" t="str">
        <v/>
      </c>
      <c r="F39795" s="102" t="str">
        <f ca="1">IFERROR(__xludf.DUMMYFUNCTION("IMPORTRANGE(H39795,""IDENTITAS UNIT!D9"")"),"#N/A")</f>
        <v>#N/A</v>
      </c>
      <c r="H39795" s="4" t="str">
        <v/>
      </c>
      <c r="I39795" s="4" t="str">
        <v/>
      </c>
    </row>
    <row r="39796" spans="5:9" ht="16.5" hidden="1">
      <c r="E39796" s="4" t="str">
        <v/>
      </c>
      <c r="F39796" s="102" t="str">
        <f ca="1">IFERROR(__xludf.DUMMYFUNCTION("IMPORTRANGE(H39796,""IDENTITAS UNIT!D9"")"),"#N/A")</f>
        <v>#N/A</v>
      </c>
      <c r="H39796" s="4" t="str">
        <v/>
      </c>
      <c r="I39796" s="4" t="str">
        <v/>
      </c>
    </row>
    <row r="39797" spans="5:9" ht="16.5" hidden="1">
      <c r="E39797" s="4" t="str">
        <v/>
      </c>
      <c r="F39797" s="102" t="str">
        <f ca="1">IFERROR(__xludf.DUMMYFUNCTION("IMPORTRANGE(H39797,""IDENTITAS UNIT!D9"")"),"#N/A")</f>
        <v>#N/A</v>
      </c>
      <c r="H39797" s="4" t="str">
        <v/>
      </c>
      <c r="I39797" s="4" t="str">
        <v/>
      </c>
    </row>
    <row r="39798" spans="5:9" ht="16.5" hidden="1">
      <c r="E39798" s="4" t="str">
        <v/>
      </c>
      <c r="F39798" s="102" t="str">
        <f ca="1">IFERROR(__xludf.DUMMYFUNCTION("IMPORTRANGE(H39798,""IDENTITAS UNIT!D9"")"),"#N/A")</f>
        <v>#N/A</v>
      </c>
      <c r="H39798" s="4" t="str">
        <v/>
      </c>
      <c r="I39798" s="4" t="str">
        <v/>
      </c>
    </row>
    <row r="39799" spans="5:9" ht="16.5" hidden="1">
      <c r="E39799" s="4" t="str">
        <v/>
      </c>
      <c r="F39799" s="102" t="str">
        <f ca="1">IFERROR(__xludf.DUMMYFUNCTION("IMPORTRANGE(H39799,""IDENTITAS UNIT!D9"")"),"#N/A")</f>
        <v>#N/A</v>
      </c>
      <c r="H39799" s="4" t="str">
        <v/>
      </c>
      <c r="I39799" s="4" t="str">
        <v/>
      </c>
    </row>
    <row r="39800" spans="5:9" ht="16.5" hidden="1">
      <c r="E39800" s="4" t="str">
        <v/>
      </c>
      <c r="F39800" s="102" t="str">
        <f ca="1">IFERROR(__xludf.DUMMYFUNCTION("IMPORTRANGE(H39800,""IDENTITAS UNIT!D9"")"),"#N/A")</f>
        <v>#N/A</v>
      </c>
      <c r="H39800" s="4" t="str">
        <v/>
      </c>
      <c r="I39800" s="4" t="str">
        <v/>
      </c>
    </row>
    <row r="39801" spans="5:9" ht="16.5" hidden="1">
      <c r="E39801" s="4" t="str">
        <v/>
      </c>
      <c r="F39801" s="102" t="str">
        <f ca="1">IFERROR(__xludf.DUMMYFUNCTION("IMPORTRANGE(H39801,""IDENTITAS UNIT!D9"")"),"#N/A")</f>
        <v>#N/A</v>
      </c>
      <c r="H39801" s="4" t="str">
        <v/>
      </c>
      <c r="I39801" s="4" t="str">
        <v/>
      </c>
    </row>
    <row r="39802" spans="5:9" ht="16.5" hidden="1">
      <c r="E39802" s="4" t="str">
        <v/>
      </c>
      <c r="F39802" s="102" t="str">
        <f ca="1">IFERROR(__xludf.DUMMYFUNCTION("IMPORTRANGE(H39802,""IDENTITAS UNIT!D9"")"),"#N/A")</f>
        <v>#N/A</v>
      </c>
      <c r="H39802" s="4" t="str">
        <v/>
      </c>
      <c r="I39802" s="4" t="str">
        <v/>
      </c>
    </row>
    <row r="39803" spans="5:9" ht="16.5" hidden="1">
      <c r="E39803" s="4" t="str">
        <v/>
      </c>
      <c r="F39803" s="102" t="str">
        <f ca="1">IFERROR(__xludf.DUMMYFUNCTION("IMPORTRANGE(H39803,""IDENTITAS UNIT!D9"")"),"#N/A")</f>
        <v>#N/A</v>
      </c>
      <c r="H39803" s="4" t="str">
        <v/>
      </c>
      <c r="I39803" s="4" t="str">
        <v/>
      </c>
    </row>
    <row r="39804" spans="5:9" ht="16.5" hidden="1">
      <c r="E39804" s="4" t="str">
        <v/>
      </c>
      <c r="F39804" s="102" t="str">
        <f ca="1">IFERROR(__xludf.DUMMYFUNCTION("IMPORTRANGE(H39804,""IDENTITAS UNIT!D9"")"),"#N/A")</f>
        <v>#N/A</v>
      </c>
      <c r="H39804" s="4" t="str">
        <v/>
      </c>
      <c r="I39804" s="4" t="str">
        <v/>
      </c>
    </row>
    <row r="39805" spans="5:9" ht="16.5" hidden="1">
      <c r="E39805" s="4" t="str">
        <v/>
      </c>
      <c r="F39805" s="102" t="str">
        <f ca="1">IFERROR(__xludf.DUMMYFUNCTION("IMPORTRANGE(H39805,""IDENTITAS UNIT!D9"")"),"#N/A")</f>
        <v>#N/A</v>
      </c>
      <c r="H39805" s="4" t="str">
        <v/>
      </c>
      <c r="I39805" s="4" t="str">
        <v/>
      </c>
    </row>
    <row r="39806" spans="5:9" ht="16.5" hidden="1">
      <c r="E39806" s="4" t="str">
        <v/>
      </c>
      <c r="F39806" s="102" t="str">
        <f ca="1">IFERROR(__xludf.DUMMYFUNCTION("IMPORTRANGE(H39806,""IDENTITAS UNIT!D9"")"),"#N/A")</f>
        <v>#N/A</v>
      </c>
      <c r="H39806" s="4" t="str">
        <v/>
      </c>
      <c r="I39806" s="4" t="str">
        <v/>
      </c>
    </row>
    <row r="39807" spans="5:9" ht="16.5" hidden="1">
      <c r="E39807" s="4" t="str">
        <v/>
      </c>
      <c r="F39807" s="102" t="str">
        <f ca="1">IFERROR(__xludf.DUMMYFUNCTION("IMPORTRANGE(H39807,""IDENTITAS UNIT!D9"")"),"#N/A")</f>
        <v>#N/A</v>
      </c>
      <c r="H39807" s="4" t="str">
        <v/>
      </c>
      <c r="I39807" s="4" t="str">
        <v/>
      </c>
    </row>
    <row r="39808" spans="5:9" ht="16.5" hidden="1">
      <c r="E39808" s="4" t="str">
        <v/>
      </c>
      <c r="F39808" s="102" t="str">
        <f ca="1">IFERROR(__xludf.DUMMYFUNCTION("IMPORTRANGE(H39808,""IDENTITAS UNIT!D9"")"),"#N/A")</f>
        <v>#N/A</v>
      </c>
      <c r="H39808" s="4" t="str">
        <v/>
      </c>
      <c r="I39808" s="4" t="str">
        <v/>
      </c>
    </row>
    <row r="39809" spans="5:9" ht="16.5" hidden="1">
      <c r="E39809" s="4" t="str">
        <v/>
      </c>
      <c r="F39809" s="102" t="str">
        <f ca="1">IFERROR(__xludf.DUMMYFUNCTION("IMPORTRANGE(H39809,""IDENTITAS UNIT!D9"")"),"#N/A")</f>
        <v>#N/A</v>
      </c>
      <c r="H39809" s="4" t="str">
        <v/>
      </c>
      <c r="I39809" s="4" t="str">
        <v/>
      </c>
    </row>
    <row r="39810" spans="5:9" ht="16.5" hidden="1">
      <c r="E39810" s="4" t="str">
        <v/>
      </c>
      <c r="F39810" s="102" t="str">
        <f ca="1">IFERROR(__xludf.DUMMYFUNCTION("IMPORTRANGE(H39810,""IDENTITAS UNIT!D9"")"),"#N/A")</f>
        <v>#N/A</v>
      </c>
      <c r="H39810" s="4" t="str">
        <v/>
      </c>
      <c r="I39810" s="4" t="str">
        <v/>
      </c>
    </row>
    <row r="39811" spans="5:9" ht="16.5" hidden="1">
      <c r="E39811" s="4" t="str">
        <v/>
      </c>
      <c r="F39811" s="102" t="str">
        <f ca="1">IFERROR(__xludf.DUMMYFUNCTION("IMPORTRANGE(H39811,""IDENTITAS UNIT!D9"")"),"#N/A")</f>
        <v>#N/A</v>
      </c>
      <c r="H39811" s="4" t="str">
        <v/>
      </c>
      <c r="I39811" s="4" t="str">
        <v/>
      </c>
    </row>
    <row r="39812" spans="5:9" ht="16.5" hidden="1">
      <c r="E39812" s="4" t="str">
        <v/>
      </c>
      <c r="F39812" s="102" t="str">
        <f ca="1">IFERROR(__xludf.DUMMYFUNCTION("IMPORTRANGE(H39812,""IDENTITAS UNIT!D9"")"),"#N/A")</f>
        <v>#N/A</v>
      </c>
      <c r="H39812" s="4" t="str">
        <v/>
      </c>
      <c r="I39812" s="4" t="str">
        <v/>
      </c>
    </row>
    <row r="39813" spans="5:9" ht="16.5" hidden="1">
      <c r="E39813" s="4" t="str">
        <v/>
      </c>
      <c r="F39813" s="102" t="str">
        <f ca="1">IFERROR(__xludf.DUMMYFUNCTION("IMPORTRANGE(H39813,""IDENTITAS UNIT!D9"")"),"#N/A")</f>
        <v>#N/A</v>
      </c>
      <c r="H39813" s="4" t="str">
        <v/>
      </c>
      <c r="I39813" s="4" t="str">
        <v/>
      </c>
    </row>
    <row r="39814" spans="5:9" ht="16.5" hidden="1">
      <c r="E39814" s="4" t="str">
        <v/>
      </c>
      <c r="F39814" s="102" t="str">
        <f ca="1">IFERROR(__xludf.DUMMYFUNCTION("IMPORTRANGE(H39814,""IDENTITAS UNIT!D9"")"),"#N/A")</f>
        <v>#N/A</v>
      </c>
      <c r="H39814" s="4" t="str">
        <v/>
      </c>
      <c r="I39814" s="4" t="str">
        <v/>
      </c>
    </row>
    <row r="39815" spans="5:9" ht="16.5" hidden="1">
      <c r="E39815" s="4" t="str">
        <v/>
      </c>
      <c r="F39815" s="102" t="str">
        <f ca="1">IFERROR(__xludf.DUMMYFUNCTION("IMPORTRANGE(H39815,""IDENTITAS UNIT!D9"")"),"#N/A")</f>
        <v>#N/A</v>
      </c>
      <c r="H39815" s="4" t="str">
        <v/>
      </c>
      <c r="I39815" s="4" t="str">
        <v/>
      </c>
    </row>
    <row r="39816" spans="5:9" ht="16.5" hidden="1">
      <c r="E39816" s="4" t="str">
        <v/>
      </c>
      <c r="F39816" s="102" t="str">
        <f ca="1">IFERROR(__xludf.DUMMYFUNCTION("IMPORTRANGE(H39816,""IDENTITAS UNIT!D9"")"),"#N/A")</f>
        <v>#N/A</v>
      </c>
      <c r="H39816" s="4" t="str">
        <v/>
      </c>
      <c r="I39816" s="4" t="str">
        <v/>
      </c>
    </row>
    <row r="39817" spans="5:9" ht="16.5" hidden="1">
      <c r="E39817" s="4" t="str">
        <v/>
      </c>
      <c r="F39817" s="102" t="str">
        <f ca="1">IFERROR(__xludf.DUMMYFUNCTION("IMPORTRANGE(H39817,""IDENTITAS UNIT!D9"")"),"#N/A")</f>
        <v>#N/A</v>
      </c>
      <c r="H39817" s="4" t="str">
        <v/>
      </c>
      <c r="I39817" s="4" t="str">
        <v/>
      </c>
    </row>
    <row r="39818" spans="5:9" ht="16.5" hidden="1">
      <c r="E39818" s="4" t="str">
        <v/>
      </c>
      <c r="F39818" s="102" t="str">
        <f ca="1">IFERROR(__xludf.DUMMYFUNCTION("IMPORTRANGE(H39818,""IDENTITAS UNIT!D9"")"),"#N/A")</f>
        <v>#N/A</v>
      </c>
      <c r="H39818" s="4" t="str">
        <v/>
      </c>
      <c r="I39818" s="4" t="str">
        <v/>
      </c>
    </row>
    <row r="39819" spans="5:9" ht="16.5" hidden="1">
      <c r="E39819" s="4" t="str">
        <v/>
      </c>
      <c r="F39819" s="102" t="str">
        <f ca="1">IFERROR(__xludf.DUMMYFUNCTION("IMPORTRANGE(H39819,""IDENTITAS UNIT!D9"")"),"#N/A")</f>
        <v>#N/A</v>
      </c>
      <c r="H39819" s="4" t="str">
        <v/>
      </c>
      <c r="I39819" s="4" t="str">
        <v/>
      </c>
    </row>
    <row r="39820" spans="5:9" ht="16.5" hidden="1">
      <c r="E39820" s="4" t="str">
        <v/>
      </c>
      <c r="F39820" s="102" t="str">
        <f ca="1">IFERROR(__xludf.DUMMYFUNCTION("IMPORTRANGE(H39820,""IDENTITAS UNIT!D9"")"),"#N/A")</f>
        <v>#N/A</v>
      </c>
      <c r="H39820" s="4" t="str">
        <v/>
      </c>
      <c r="I39820" s="4" t="str">
        <v/>
      </c>
    </row>
    <row r="39821" spans="5:9" ht="16.5" hidden="1">
      <c r="E39821" s="4" t="str">
        <v/>
      </c>
      <c r="F39821" s="102" t="str">
        <f ca="1">IFERROR(__xludf.DUMMYFUNCTION("IMPORTRANGE(H39821,""IDENTITAS UNIT!D9"")"),"#N/A")</f>
        <v>#N/A</v>
      </c>
      <c r="H39821" s="4" t="str">
        <v/>
      </c>
      <c r="I39821" s="4" t="str">
        <v/>
      </c>
    </row>
    <row r="39822" spans="5:9" ht="16.5" hidden="1">
      <c r="E39822" s="4" t="str">
        <v/>
      </c>
      <c r="F39822" s="102" t="str">
        <f ca="1">IFERROR(__xludf.DUMMYFUNCTION("IMPORTRANGE(H39822,""IDENTITAS UNIT!D9"")"),"#N/A")</f>
        <v>#N/A</v>
      </c>
      <c r="H39822" s="4" t="str">
        <v/>
      </c>
      <c r="I39822" s="4" t="str">
        <v/>
      </c>
    </row>
    <row r="39823" spans="5:9" ht="16.5" hidden="1">
      <c r="E39823" s="4" t="str">
        <v/>
      </c>
      <c r="F39823" s="102" t="str">
        <f ca="1">IFERROR(__xludf.DUMMYFUNCTION("IMPORTRANGE(H39823,""IDENTITAS UNIT!D9"")"),"#N/A")</f>
        <v>#N/A</v>
      </c>
      <c r="H39823" s="4" t="str">
        <v/>
      </c>
      <c r="I39823" s="4" t="str">
        <v/>
      </c>
    </row>
    <row r="39824" spans="5:9" ht="16.5" hidden="1">
      <c r="E39824" s="4" t="str">
        <v/>
      </c>
      <c r="F39824" s="102" t="str">
        <f ca="1">IFERROR(__xludf.DUMMYFUNCTION("IMPORTRANGE(H39824,""IDENTITAS UNIT!D9"")"),"#N/A")</f>
        <v>#N/A</v>
      </c>
      <c r="H39824" s="4" t="str">
        <v/>
      </c>
      <c r="I39824" s="4" t="str">
        <v/>
      </c>
    </row>
    <row r="39825" spans="5:9" ht="16.5" hidden="1">
      <c r="E39825" s="4" t="str">
        <v/>
      </c>
      <c r="F39825" s="102" t="str">
        <f ca="1">IFERROR(__xludf.DUMMYFUNCTION("IMPORTRANGE(H39825,""IDENTITAS UNIT!D9"")"),"#N/A")</f>
        <v>#N/A</v>
      </c>
      <c r="H39825" s="4" t="str">
        <v/>
      </c>
      <c r="I39825" s="4" t="str">
        <v/>
      </c>
    </row>
    <row r="39826" spans="5:9" ht="16.5" hidden="1">
      <c r="E39826" s="4" t="str">
        <v/>
      </c>
      <c r="F39826" s="102" t="str">
        <f ca="1">IFERROR(__xludf.DUMMYFUNCTION("IMPORTRANGE(H39826,""IDENTITAS UNIT!D9"")"),"#N/A")</f>
        <v>#N/A</v>
      </c>
      <c r="H39826" s="4" t="str">
        <v/>
      </c>
      <c r="I39826" s="4" t="str">
        <v/>
      </c>
    </row>
    <row r="39827" spans="5:9" ht="16.5" hidden="1">
      <c r="E39827" s="4" t="str">
        <v/>
      </c>
      <c r="F39827" s="102" t="str">
        <f ca="1">IFERROR(__xludf.DUMMYFUNCTION("IMPORTRANGE(H39827,""IDENTITAS UNIT!D9"")"),"#N/A")</f>
        <v>#N/A</v>
      </c>
      <c r="H39827" s="4" t="str">
        <v/>
      </c>
      <c r="I39827" s="4" t="str">
        <v/>
      </c>
    </row>
    <row r="39828" spans="5:9" ht="16.5" hidden="1">
      <c r="E39828" s="4" t="str">
        <v/>
      </c>
      <c r="F39828" s="102" t="str">
        <f ca="1">IFERROR(__xludf.DUMMYFUNCTION("IMPORTRANGE(H39828,""IDENTITAS UNIT!D9"")"),"#N/A")</f>
        <v>#N/A</v>
      </c>
      <c r="H39828" s="4" t="str">
        <v/>
      </c>
      <c r="I39828" s="4" t="str">
        <v/>
      </c>
    </row>
    <row r="39829" spans="5:9" ht="16.5" hidden="1">
      <c r="E39829" s="4" t="str">
        <v/>
      </c>
      <c r="F39829" s="102" t="str">
        <f ca="1">IFERROR(__xludf.DUMMYFUNCTION("IMPORTRANGE(H39829,""IDENTITAS UNIT!D9"")"),"#N/A")</f>
        <v>#N/A</v>
      </c>
      <c r="H39829" s="4" t="str">
        <v/>
      </c>
      <c r="I39829" s="4" t="str">
        <v/>
      </c>
    </row>
    <row r="39830" spans="5:9" ht="16.5" hidden="1">
      <c r="E39830" s="4" t="str">
        <v/>
      </c>
      <c r="F39830" s="102" t="str">
        <f ca="1">IFERROR(__xludf.DUMMYFUNCTION("IMPORTRANGE(H39830,""IDENTITAS UNIT!D9"")"),"#N/A")</f>
        <v>#N/A</v>
      </c>
      <c r="H39830" s="4" t="str">
        <v/>
      </c>
      <c r="I39830" s="4" t="str">
        <v/>
      </c>
    </row>
    <row r="39831" spans="5:9" ht="16.5" hidden="1">
      <c r="E39831" s="4" t="str">
        <v/>
      </c>
      <c r="F39831" s="102" t="str">
        <f ca="1">IFERROR(__xludf.DUMMYFUNCTION("IMPORTRANGE(H39831,""IDENTITAS UNIT!D9"")"),"#N/A")</f>
        <v>#N/A</v>
      </c>
      <c r="H39831" s="4" t="str">
        <v/>
      </c>
      <c r="I39831" s="4" t="str">
        <v/>
      </c>
    </row>
    <row r="39832" spans="5:9" ht="16.5" hidden="1">
      <c r="E39832" s="4" t="str">
        <v/>
      </c>
      <c r="F39832" s="102" t="str">
        <f ca="1">IFERROR(__xludf.DUMMYFUNCTION("IMPORTRANGE(H39832,""IDENTITAS UNIT!D9"")"),"#N/A")</f>
        <v>#N/A</v>
      </c>
      <c r="H39832" s="4" t="str">
        <v/>
      </c>
      <c r="I39832" s="4" t="str">
        <v/>
      </c>
    </row>
    <row r="39833" spans="5:9" ht="16.5" hidden="1">
      <c r="E39833" s="4" t="str">
        <v/>
      </c>
      <c r="F39833" s="102" t="str">
        <f ca="1">IFERROR(__xludf.DUMMYFUNCTION("IMPORTRANGE(H39833,""IDENTITAS UNIT!D9"")"),"#N/A")</f>
        <v>#N/A</v>
      </c>
      <c r="H39833" s="4" t="str">
        <v/>
      </c>
      <c r="I39833" s="4" t="str">
        <v/>
      </c>
    </row>
    <row r="39834" spans="5:9" ht="16.5" hidden="1">
      <c r="E39834" s="4" t="str">
        <v/>
      </c>
      <c r="F39834" s="102" t="str">
        <f ca="1">IFERROR(__xludf.DUMMYFUNCTION("IMPORTRANGE(H39834,""IDENTITAS UNIT!D9"")"),"#N/A")</f>
        <v>#N/A</v>
      </c>
      <c r="H39834" s="4" t="str">
        <v/>
      </c>
      <c r="I39834" s="4" t="str">
        <v/>
      </c>
    </row>
    <row r="39835" spans="5:9" ht="16.5" hidden="1">
      <c r="E39835" s="4" t="str">
        <v/>
      </c>
      <c r="F39835" s="102" t="str">
        <f ca="1">IFERROR(__xludf.DUMMYFUNCTION("IMPORTRANGE(H39835,""IDENTITAS UNIT!D9"")"),"#N/A")</f>
        <v>#N/A</v>
      </c>
      <c r="H39835" s="4" t="str">
        <v/>
      </c>
      <c r="I39835" s="4" t="str">
        <v/>
      </c>
    </row>
    <row r="39836" spans="5:9" ht="16.5" hidden="1">
      <c r="E39836" s="4" t="str">
        <v/>
      </c>
      <c r="F39836" s="102" t="str">
        <f ca="1">IFERROR(__xludf.DUMMYFUNCTION("IMPORTRANGE(H39836,""IDENTITAS UNIT!D9"")"),"#N/A")</f>
        <v>#N/A</v>
      </c>
      <c r="H39836" s="4" t="str">
        <v/>
      </c>
      <c r="I39836" s="4" t="str">
        <v/>
      </c>
    </row>
    <row r="39837" spans="5:9" ht="16.5" hidden="1">
      <c r="E39837" s="4" t="str">
        <v/>
      </c>
      <c r="F39837" s="102" t="str">
        <f ca="1">IFERROR(__xludf.DUMMYFUNCTION("IMPORTRANGE(H39837,""IDENTITAS UNIT!D9"")"),"#N/A")</f>
        <v>#N/A</v>
      </c>
      <c r="H39837" s="4" t="str">
        <v/>
      </c>
      <c r="I39837" s="4" t="str">
        <v/>
      </c>
    </row>
    <row r="39838" spans="5:9" ht="16.5" hidden="1">
      <c r="E39838" s="4" t="str">
        <v/>
      </c>
      <c r="F39838" s="102" t="str">
        <f ca="1">IFERROR(__xludf.DUMMYFUNCTION("IMPORTRANGE(H39838,""IDENTITAS UNIT!D9"")"),"#N/A")</f>
        <v>#N/A</v>
      </c>
      <c r="H39838" s="4" t="str">
        <v/>
      </c>
      <c r="I39838" s="4" t="str">
        <v/>
      </c>
    </row>
    <row r="39839" spans="5:9" ht="16.5" hidden="1">
      <c r="E39839" s="4" t="str">
        <v/>
      </c>
      <c r="F39839" s="102" t="str">
        <f ca="1">IFERROR(__xludf.DUMMYFUNCTION("IMPORTRANGE(H39839,""IDENTITAS UNIT!D9"")"),"#N/A")</f>
        <v>#N/A</v>
      </c>
      <c r="H39839" s="4" t="str">
        <v/>
      </c>
      <c r="I39839" s="4" t="str">
        <v/>
      </c>
    </row>
    <row r="39840" spans="5:9" ht="16.5" hidden="1">
      <c r="E39840" s="4" t="str">
        <v/>
      </c>
      <c r="F39840" s="102" t="str">
        <f ca="1">IFERROR(__xludf.DUMMYFUNCTION("IMPORTRANGE(H39840,""IDENTITAS UNIT!D9"")"),"#N/A")</f>
        <v>#N/A</v>
      </c>
      <c r="H39840" s="4" t="str">
        <v/>
      </c>
      <c r="I39840" s="4" t="str">
        <v/>
      </c>
    </row>
    <row r="39841" spans="5:9" ht="16.5" hidden="1">
      <c r="E39841" s="4" t="str">
        <v/>
      </c>
      <c r="F39841" s="102" t="str">
        <f ca="1">IFERROR(__xludf.DUMMYFUNCTION("IMPORTRANGE(H39841,""IDENTITAS UNIT!D9"")"),"#N/A")</f>
        <v>#N/A</v>
      </c>
      <c r="H39841" s="4" t="str">
        <v/>
      </c>
      <c r="I39841" s="4" t="str">
        <v/>
      </c>
    </row>
    <row r="39842" spans="5:9" ht="16.5" hidden="1">
      <c r="E39842" s="4" t="str">
        <v/>
      </c>
      <c r="F39842" s="102" t="str">
        <f ca="1">IFERROR(__xludf.DUMMYFUNCTION("IMPORTRANGE(H39842,""IDENTITAS UNIT!D9"")"),"#N/A")</f>
        <v>#N/A</v>
      </c>
      <c r="H39842" s="4" t="str">
        <v/>
      </c>
      <c r="I39842" s="4" t="str">
        <v/>
      </c>
    </row>
    <row r="39843" spans="5:9" ht="16.5" hidden="1">
      <c r="E39843" s="4" t="str">
        <v/>
      </c>
      <c r="F39843" s="102" t="str">
        <f ca="1">IFERROR(__xludf.DUMMYFUNCTION("IMPORTRANGE(H39843,""IDENTITAS UNIT!D9"")"),"#N/A")</f>
        <v>#N/A</v>
      </c>
      <c r="H39843" s="4" t="str">
        <v/>
      </c>
      <c r="I39843" s="4" t="str">
        <v/>
      </c>
    </row>
    <row r="39844" spans="5:9" ht="16.5" hidden="1">
      <c r="E39844" s="4" t="str">
        <v/>
      </c>
      <c r="F39844" s="102" t="str">
        <f ca="1">IFERROR(__xludf.DUMMYFUNCTION("IMPORTRANGE(H39844,""IDENTITAS UNIT!D9"")"),"#N/A")</f>
        <v>#N/A</v>
      </c>
      <c r="H39844" s="4" t="str">
        <v/>
      </c>
      <c r="I39844" s="4" t="str">
        <v/>
      </c>
    </row>
    <row r="39845" spans="5:9" ht="16.5" hidden="1">
      <c r="E39845" s="4" t="str">
        <v/>
      </c>
      <c r="F39845" s="102" t="str">
        <f ca="1">IFERROR(__xludf.DUMMYFUNCTION("IMPORTRANGE(H39845,""IDENTITAS UNIT!D9"")"),"#N/A")</f>
        <v>#N/A</v>
      </c>
      <c r="H39845" s="4" t="str">
        <v/>
      </c>
      <c r="I39845" s="4" t="str">
        <v/>
      </c>
    </row>
    <row r="39846" spans="5:9" ht="16.5" hidden="1">
      <c r="E39846" s="4" t="str">
        <v/>
      </c>
      <c r="F39846" s="102" t="str">
        <f ca="1">IFERROR(__xludf.DUMMYFUNCTION("IMPORTRANGE(H39846,""IDENTITAS UNIT!D9"")"),"#N/A")</f>
        <v>#N/A</v>
      </c>
      <c r="H39846" s="4" t="str">
        <v/>
      </c>
      <c r="I39846" s="4" t="str">
        <v/>
      </c>
    </row>
    <row r="39847" spans="5:9" ht="16.5" hidden="1">
      <c r="E39847" s="4" t="str">
        <v/>
      </c>
      <c r="F39847" s="102" t="str">
        <f ca="1">IFERROR(__xludf.DUMMYFUNCTION("IMPORTRANGE(H39847,""IDENTITAS UNIT!D9"")"),"#N/A")</f>
        <v>#N/A</v>
      </c>
      <c r="H39847" s="4" t="str">
        <v/>
      </c>
      <c r="I39847" s="4" t="str">
        <v/>
      </c>
    </row>
    <row r="39848" spans="5:9" ht="16.5" hidden="1">
      <c r="E39848" s="4" t="str">
        <v/>
      </c>
      <c r="F39848" s="102" t="str">
        <f ca="1">IFERROR(__xludf.DUMMYFUNCTION("IMPORTRANGE(H39848,""IDENTITAS UNIT!D9"")"),"#N/A")</f>
        <v>#N/A</v>
      </c>
      <c r="H39848" s="4" t="str">
        <v/>
      </c>
      <c r="I39848" s="4" t="str">
        <v/>
      </c>
    </row>
    <row r="39849" spans="5:9" ht="16.5" hidden="1">
      <c r="E39849" s="4" t="str">
        <v/>
      </c>
      <c r="F39849" s="102" t="str">
        <f ca="1">IFERROR(__xludf.DUMMYFUNCTION("IMPORTRANGE(H39849,""IDENTITAS UNIT!D9"")"),"#N/A")</f>
        <v>#N/A</v>
      </c>
      <c r="H39849" s="4" t="str">
        <v/>
      </c>
      <c r="I39849" s="4" t="str">
        <v/>
      </c>
    </row>
    <row r="39850" spans="5:9" ht="16.5" hidden="1">
      <c r="E39850" s="4" t="str">
        <v/>
      </c>
      <c r="F39850" s="102" t="str">
        <f ca="1">IFERROR(__xludf.DUMMYFUNCTION("IMPORTRANGE(H39850,""IDENTITAS UNIT!D9"")"),"#N/A")</f>
        <v>#N/A</v>
      </c>
      <c r="H39850" s="4" t="str">
        <v/>
      </c>
      <c r="I39850" s="4" t="str">
        <v/>
      </c>
    </row>
    <row r="39851" spans="5:9" ht="16.5" hidden="1">
      <c r="E39851" s="4" t="str">
        <v/>
      </c>
      <c r="F39851" s="102" t="str">
        <f ca="1">IFERROR(__xludf.DUMMYFUNCTION("IMPORTRANGE(H39851,""IDENTITAS UNIT!D9"")"),"#N/A")</f>
        <v>#N/A</v>
      </c>
      <c r="H39851" s="4" t="str">
        <v/>
      </c>
      <c r="I39851" s="4" t="str">
        <v/>
      </c>
    </row>
    <row r="39852" spans="5:9" ht="16.5" hidden="1">
      <c r="E39852" s="4" t="str">
        <v/>
      </c>
      <c r="F39852" s="102" t="str">
        <f ca="1">IFERROR(__xludf.DUMMYFUNCTION("IMPORTRANGE(H39852,""IDENTITAS UNIT!D9"")"),"#N/A")</f>
        <v>#N/A</v>
      </c>
      <c r="H39852" s="4" t="str">
        <v/>
      </c>
      <c r="I39852" s="4" t="str">
        <v/>
      </c>
    </row>
    <row r="39853" spans="5:9" ht="16.5" hidden="1">
      <c r="E39853" s="4" t="str">
        <v/>
      </c>
      <c r="F39853" s="102" t="str">
        <f ca="1">IFERROR(__xludf.DUMMYFUNCTION("IMPORTRANGE(H39853,""IDENTITAS UNIT!D9"")"),"#N/A")</f>
        <v>#N/A</v>
      </c>
      <c r="H39853" s="4" t="str">
        <v/>
      </c>
      <c r="I39853" s="4" t="str">
        <v/>
      </c>
    </row>
    <row r="39854" spans="5:9" ht="16.5" hidden="1">
      <c r="E39854" s="4" t="str">
        <v/>
      </c>
      <c r="F39854" s="102" t="str">
        <f ca="1">IFERROR(__xludf.DUMMYFUNCTION("IMPORTRANGE(H39854,""IDENTITAS UNIT!D9"")"),"#N/A")</f>
        <v>#N/A</v>
      </c>
      <c r="H39854" s="4" t="str">
        <v/>
      </c>
      <c r="I39854" s="4" t="str">
        <v/>
      </c>
    </row>
    <row r="39855" spans="5:9" ht="16.5" hidden="1">
      <c r="E39855" s="4" t="str">
        <v/>
      </c>
      <c r="F39855" s="102" t="str">
        <f ca="1">IFERROR(__xludf.DUMMYFUNCTION("IMPORTRANGE(H39855,""IDENTITAS UNIT!D9"")"),"#N/A")</f>
        <v>#N/A</v>
      </c>
      <c r="H39855" s="4" t="str">
        <v/>
      </c>
      <c r="I39855" s="4" t="str">
        <v/>
      </c>
    </row>
    <row r="39856" spans="5:9" ht="16.5" hidden="1">
      <c r="E39856" s="4" t="str">
        <v/>
      </c>
      <c r="F39856" s="102" t="str">
        <f ca="1">IFERROR(__xludf.DUMMYFUNCTION("IMPORTRANGE(H39856,""IDENTITAS UNIT!D9"")"),"#N/A")</f>
        <v>#N/A</v>
      </c>
      <c r="H39856" s="4" t="str">
        <v/>
      </c>
      <c r="I39856" s="4" t="str">
        <v/>
      </c>
    </row>
    <row r="39857" spans="5:9" ht="16.5" hidden="1">
      <c r="E39857" s="4" t="str">
        <v/>
      </c>
      <c r="F39857" s="102" t="str">
        <f ca="1">IFERROR(__xludf.DUMMYFUNCTION("IMPORTRANGE(H39857,""IDENTITAS UNIT!D9"")"),"#N/A")</f>
        <v>#N/A</v>
      </c>
      <c r="H39857" s="4" t="str">
        <v/>
      </c>
      <c r="I39857" s="4" t="str">
        <v/>
      </c>
    </row>
    <row r="39858" spans="5:9" ht="16.5" hidden="1">
      <c r="E39858" s="4" t="str">
        <v/>
      </c>
      <c r="F39858" s="102" t="str">
        <f ca="1">IFERROR(__xludf.DUMMYFUNCTION("IMPORTRANGE(H39858,""IDENTITAS UNIT!D9"")"),"#N/A")</f>
        <v>#N/A</v>
      </c>
      <c r="H39858" s="4" t="str">
        <v/>
      </c>
      <c r="I39858" s="4" t="str">
        <v/>
      </c>
    </row>
    <row r="39859" spans="5:9" ht="16.5" hidden="1">
      <c r="E39859" s="4" t="str">
        <v/>
      </c>
      <c r="F39859" s="102" t="str">
        <f ca="1">IFERROR(__xludf.DUMMYFUNCTION("IMPORTRANGE(H39859,""IDENTITAS UNIT!D9"")"),"#N/A")</f>
        <v>#N/A</v>
      </c>
      <c r="H39859" s="4" t="str">
        <v/>
      </c>
      <c r="I39859" s="4" t="str">
        <v/>
      </c>
    </row>
    <row r="39860" spans="5:9" ht="16.5" hidden="1">
      <c r="E39860" s="4" t="str">
        <v/>
      </c>
      <c r="F39860" s="102" t="str">
        <f ca="1">IFERROR(__xludf.DUMMYFUNCTION("IMPORTRANGE(H39860,""IDENTITAS UNIT!D9"")"),"#N/A")</f>
        <v>#N/A</v>
      </c>
      <c r="H39860" s="4" t="str">
        <v/>
      </c>
      <c r="I39860" s="4" t="str">
        <v/>
      </c>
    </row>
    <row r="39861" spans="5:9" ht="16.5" hidden="1">
      <c r="E39861" s="4" t="str">
        <v/>
      </c>
      <c r="F39861" s="102" t="str">
        <f ca="1">IFERROR(__xludf.DUMMYFUNCTION("IMPORTRANGE(H39861,""IDENTITAS UNIT!D9"")"),"#N/A")</f>
        <v>#N/A</v>
      </c>
      <c r="H39861" s="4" t="str">
        <v/>
      </c>
      <c r="I39861" s="4" t="str">
        <v/>
      </c>
    </row>
    <row r="39862" spans="5:9" ht="16.5" hidden="1">
      <c r="E39862" s="4" t="str">
        <v/>
      </c>
      <c r="F39862" s="102" t="str">
        <f ca="1">IFERROR(__xludf.DUMMYFUNCTION("IMPORTRANGE(H39862,""IDENTITAS UNIT!D9"")"),"#N/A")</f>
        <v>#N/A</v>
      </c>
      <c r="H39862" s="4" t="str">
        <v/>
      </c>
      <c r="I39862" s="4" t="str">
        <v/>
      </c>
    </row>
    <row r="39863" spans="5:9" ht="16.5" hidden="1">
      <c r="E39863" s="4" t="str">
        <v/>
      </c>
      <c r="F39863" s="102" t="str">
        <f ca="1">IFERROR(__xludf.DUMMYFUNCTION("IMPORTRANGE(H39863,""IDENTITAS UNIT!D9"")"),"#N/A")</f>
        <v>#N/A</v>
      </c>
      <c r="H39863" s="4" t="str">
        <v/>
      </c>
      <c r="I39863" s="4" t="str">
        <v/>
      </c>
    </row>
    <row r="39864" spans="5:9" ht="16.5" hidden="1">
      <c r="E39864" s="4" t="str">
        <v/>
      </c>
      <c r="F39864" s="102" t="str">
        <f ca="1">IFERROR(__xludf.DUMMYFUNCTION("IMPORTRANGE(H39864,""IDENTITAS UNIT!D9"")"),"#N/A")</f>
        <v>#N/A</v>
      </c>
      <c r="H39864" s="4" t="str">
        <v/>
      </c>
      <c r="I39864" s="4" t="str">
        <v/>
      </c>
    </row>
    <row r="39865" spans="5:9" ht="16.5" hidden="1">
      <c r="E39865" s="4" t="str">
        <v/>
      </c>
      <c r="F39865" s="102" t="str">
        <f ca="1">IFERROR(__xludf.DUMMYFUNCTION("IMPORTRANGE(H39865,""IDENTITAS UNIT!D9"")"),"#N/A")</f>
        <v>#N/A</v>
      </c>
      <c r="H39865" s="4" t="str">
        <v/>
      </c>
      <c r="I39865" s="4" t="str">
        <v/>
      </c>
    </row>
    <row r="39866" spans="5:9" ht="16.5" hidden="1">
      <c r="E39866" s="4" t="str">
        <v/>
      </c>
      <c r="F39866" s="102" t="str">
        <f ca="1">IFERROR(__xludf.DUMMYFUNCTION("IMPORTRANGE(H39866,""IDENTITAS UNIT!D9"")"),"#N/A")</f>
        <v>#N/A</v>
      </c>
      <c r="H39866" s="4" t="str">
        <v/>
      </c>
      <c r="I39866" s="4" t="str">
        <v/>
      </c>
    </row>
    <row r="39867" spans="5:9" ht="16.5" hidden="1">
      <c r="E39867" s="4" t="str">
        <v/>
      </c>
      <c r="F39867" s="102" t="str">
        <f ca="1">IFERROR(__xludf.DUMMYFUNCTION("IMPORTRANGE(H39867,""IDENTITAS UNIT!D9"")"),"#N/A")</f>
        <v>#N/A</v>
      </c>
      <c r="H39867" s="4" t="str">
        <v/>
      </c>
      <c r="I39867" s="4" t="str">
        <v/>
      </c>
    </row>
    <row r="39868" spans="5:9" ht="16.5" hidden="1">
      <c r="E39868" s="4" t="str">
        <v/>
      </c>
      <c r="F39868" s="102" t="str">
        <f ca="1">IFERROR(__xludf.DUMMYFUNCTION("IMPORTRANGE(H39868,""IDENTITAS UNIT!D9"")"),"#N/A")</f>
        <v>#N/A</v>
      </c>
      <c r="H39868" s="4" t="str">
        <v/>
      </c>
      <c r="I39868" s="4" t="str">
        <v/>
      </c>
    </row>
    <row r="39869" spans="5:9" ht="16.5" hidden="1">
      <c r="E39869" s="4" t="str">
        <v/>
      </c>
      <c r="F39869" s="102" t="str">
        <f ca="1">IFERROR(__xludf.DUMMYFUNCTION("IMPORTRANGE(H39869,""IDENTITAS UNIT!D9"")"),"#N/A")</f>
        <v>#N/A</v>
      </c>
      <c r="H39869" s="4" t="str">
        <v/>
      </c>
      <c r="I39869" s="4" t="str">
        <v/>
      </c>
    </row>
    <row r="39870" spans="5:9" ht="16.5" hidden="1">
      <c r="E39870" s="4" t="str">
        <v/>
      </c>
      <c r="F39870" s="102" t="str">
        <f ca="1">IFERROR(__xludf.DUMMYFUNCTION("IMPORTRANGE(H39870,""IDENTITAS UNIT!D9"")"),"#N/A")</f>
        <v>#N/A</v>
      </c>
      <c r="H39870" s="4" t="str">
        <v/>
      </c>
      <c r="I39870" s="4" t="str">
        <v/>
      </c>
    </row>
    <row r="39871" spans="5:9" ht="16.5" hidden="1">
      <c r="E39871" s="4" t="str">
        <v/>
      </c>
      <c r="F39871" s="102" t="str">
        <f ca="1">IFERROR(__xludf.DUMMYFUNCTION("IMPORTRANGE(H39871,""IDENTITAS UNIT!D9"")"),"#N/A")</f>
        <v>#N/A</v>
      </c>
      <c r="H39871" s="4" t="str">
        <v/>
      </c>
      <c r="I39871" s="4" t="str">
        <v/>
      </c>
    </row>
    <row r="39872" spans="5:9" ht="16.5" hidden="1">
      <c r="E39872" s="4" t="str">
        <v/>
      </c>
      <c r="F39872" s="102" t="str">
        <f ca="1">IFERROR(__xludf.DUMMYFUNCTION("IMPORTRANGE(H39872,""IDENTITAS UNIT!D9"")"),"#N/A")</f>
        <v>#N/A</v>
      </c>
      <c r="H39872" s="4" t="str">
        <v/>
      </c>
      <c r="I39872" s="4" t="str">
        <v/>
      </c>
    </row>
    <row r="39873" spans="5:9" ht="16.5" hidden="1">
      <c r="E39873" s="4" t="str">
        <v/>
      </c>
      <c r="F39873" s="102" t="str">
        <f ca="1">IFERROR(__xludf.DUMMYFUNCTION("IMPORTRANGE(H39873,""IDENTITAS UNIT!D9"")"),"#N/A")</f>
        <v>#N/A</v>
      </c>
      <c r="H39873" s="4" t="str">
        <v/>
      </c>
      <c r="I39873" s="4" t="str">
        <v/>
      </c>
    </row>
    <row r="39874" spans="5:9" ht="16.5" hidden="1">
      <c r="E39874" s="4" t="str">
        <v/>
      </c>
      <c r="F39874" s="102" t="str">
        <f ca="1">IFERROR(__xludf.DUMMYFUNCTION("IMPORTRANGE(H39874,""IDENTITAS UNIT!D9"")"),"#N/A")</f>
        <v>#N/A</v>
      </c>
      <c r="H39874" s="4" t="str">
        <v/>
      </c>
      <c r="I39874" s="4" t="str">
        <v/>
      </c>
    </row>
    <row r="39875" spans="5:9" ht="16.5" hidden="1">
      <c r="E39875" s="4" t="str">
        <v/>
      </c>
      <c r="F39875" s="102" t="str">
        <f ca="1">IFERROR(__xludf.DUMMYFUNCTION("IMPORTRANGE(H39875,""IDENTITAS UNIT!D9"")"),"#N/A")</f>
        <v>#N/A</v>
      </c>
      <c r="H39875" s="4" t="str">
        <v/>
      </c>
      <c r="I39875" s="4" t="str">
        <v/>
      </c>
    </row>
    <row r="39876" spans="5:9" ht="16.5" hidden="1">
      <c r="E39876" s="4" t="str">
        <v/>
      </c>
      <c r="F39876" s="102" t="str">
        <f ca="1">IFERROR(__xludf.DUMMYFUNCTION("IMPORTRANGE(H39876,""IDENTITAS UNIT!D9"")"),"#N/A")</f>
        <v>#N/A</v>
      </c>
      <c r="H39876" s="4" t="str">
        <v/>
      </c>
      <c r="I39876" s="4" t="str">
        <v/>
      </c>
    </row>
    <row r="39877" spans="5:9" ht="16.5" hidden="1">
      <c r="E39877" s="4" t="str">
        <v/>
      </c>
      <c r="F39877" s="102" t="str">
        <f ca="1">IFERROR(__xludf.DUMMYFUNCTION("IMPORTRANGE(H39877,""IDENTITAS UNIT!D9"")"),"#N/A")</f>
        <v>#N/A</v>
      </c>
      <c r="H39877" s="4" t="str">
        <v/>
      </c>
      <c r="I39877" s="4" t="str">
        <v/>
      </c>
    </row>
    <row r="39878" spans="5:9" ht="16.5" hidden="1">
      <c r="E39878" s="4" t="str">
        <v/>
      </c>
      <c r="F39878" s="102" t="str">
        <f ca="1">IFERROR(__xludf.DUMMYFUNCTION("IMPORTRANGE(H39878,""IDENTITAS UNIT!D9"")"),"#N/A")</f>
        <v>#N/A</v>
      </c>
      <c r="H39878" s="4" t="str">
        <v/>
      </c>
      <c r="I39878" s="4" t="str">
        <v/>
      </c>
    </row>
    <row r="39879" spans="5:9" ht="16.5" hidden="1">
      <c r="E39879" s="4" t="str">
        <v/>
      </c>
      <c r="F39879" s="102" t="str">
        <f ca="1">IFERROR(__xludf.DUMMYFUNCTION("IMPORTRANGE(H39879,""IDENTITAS UNIT!D9"")"),"#N/A")</f>
        <v>#N/A</v>
      </c>
      <c r="H39879" s="4" t="str">
        <v/>
      </c>
      <c r="I39879" s="4" t="str">
        <v/>
      </c>
    </row>
    <row r="39880" spans="5:9" ht="16.5" hidden="1">
      <c r="E39880" s="4" t="str">
        <v/>
      </c>
      <c r="F39880" s="102" t="str">
        <f ca="1">IFERROR(__xludf.DUMMYFUNCTION("IMPORTRANGE(H39880,""IDENTITAS UNIT!D9"")"),"#N/A")</f>
        <v>#N/A</v>
      </c>
      <c r="H39880" s="4" t="str">
        <v/>
      </c>
      <c r="I39880" s="4" t="str">
        <v/>
      </c>
    </row>
    <row r="39881" spans="5:9" ht="16.5" hidden="1">
      <c r="E39881" s="4" t="str">
        <v/>
      </c>
      <c r="F39881" s="102" t="str">
        <f ca="1">IFERROR(__xludf.DUMMYFUNCTION("IMPORTRANGE(H39881,""IDENTITAS UNIT!D9"")"),"#N/A")</f>
        <v>#N/A</v>
      </c>
      <c r="H39881" s="4" t="str">
        <v/>
      </c>
      <c r="I39881" s="4" t="str">
        <v/>
      </c>
    </row>
    <row r="39882" spans="5:9" ht="16.5" hidden="1">
      <c r="E39882" s="4" t="str">
        <v/>
      </c>
      <c r="F39882" s="102" t="str">
        <f ca="1">IFERROR(__xludf.DUMMYFUNCTION("IMPORTRANGE(H39882,""IDENTITAS UNIT!D9"")"),"#N/A")</f>
        <v>#N/A</v>
      </c>
      <c r="H39882" s="4" t="str">
        <v/>
      </c>
      <c r="I39882" s="4" t="str">
        <v/>
      </c>
    </row>
    <row r="39883" spans="5:9" ht="16.5" hidden="1">
      <c r="E39883" s="4" t="str">
        <v/>
      </c>
      <c r="F39883" s="102" t="str">
        <f ca="1">IFERROR(__xludf.DUMMYFUNCTION("IMPORTRANGE(H39883,""IDENTITAS UNIT!D9"")"),"#N/A")</f>
        <v>#N/A</v>
      </c>
      <c r="H39883" s="4" t="str">
        <v/>
      </c>
      <c r="I39883" s="4" t="str">
        <v/>
      </c>
    </row>
    <row r="39884" spans="5:9" ht="16.5" hidden="1">
      <c r="E39884" s="4" t="str">
        <v/>
      </c>
      <c r="F39884" s="102" t="str">
        <f ca="1">IFERROR(__xludf.DUMMYFUNCTION("IMPORTRANGE(H39884,""IDENTITAS UNIT!D9"")"),"#N/A")</f>
        <v>#N/A</v>
      </c>
      <c r="H39884" s="4" t="str">
        <v/>
      </c>
      <c r="I39884" s="4" t="str">
        <v/>
      </c>
    </row>
    <row r="39885" spans="5:9" ht="16.5" hidden="1">
      <c r="E39885" s="4" t="str">
        <v/>
      </c>
      <c r="F39885" s="102" t="str">
        <f ca="1">IFERROR(__xludf.DUMMYFUNCTION("IMPORTRANGE(H39885,""IDENTITAS UNIT!D9"")"),"#N/A")</f>
        <v>#N/A</v>
      </c>
      <c r="H39885" s="4" t="str">
        <v/>
      </c>
      <c r="I39885" s="4" t="str">
        <v/>
      </c>
    </row>
    <row r="39886" spans="5:9" ht="16.5" hidden="1">
      <c r="E39886" s="4" t="str">
        <v/>
      </c>
      <c r="F39886" s="102" t="str">
        <f ca="1">IFERROR(__xludf.DUMMYFUNCTION("IMPORTRANGE(H39886,""IDENTITAS UNIT!D9"")"),"#N/A")</f>
        <v>#N/A</v>
      </c>
      <c r="H39886" s="4" t="str">
        <v/>
      </c>
      <c r="I39886" s="4" t="str">
        <v/>
      </c>
    </row>
    <row r="39887" spans="5:9" ht="16.5" hidden="1">
      <c r="E39887" s="4" t="str">
        <v/>
      </c>
      <c r="F39887" s="102" t="str">
        <f ca="1">IFERROR(__xludf.DUMMYFUNCTION("IMPORTRANGE(H39887,""IDENTITAS UNIT!D9"")"),"#N/A")</f>
        <v>#N/A</v>
      </c>
      <c r="H39887" s="4" t="str">
        <v/>
      </c>
      <c r="I39887" s="4" t="str">
        <v/>
      </c>
    </row>
    <row r="39888" spans="5:9" ht="16.5" hidden="1">
      <c r="E39888" s="4" t="str">
        <v/>
      </c>
      <c r="F39888" s="102" t="str">
        <f ca="1">IFERROR(__xludf.DUMMYFUNCTION("IMPORTRANGE(H39888,""IDENTITAS UNIT!D9"")"),"#N/A")</f>
        <v>#N/A</v>
      </c>
      <c r="H39888" s="4" t="str">
        <v/>
      </c>
      <c r="I39888" s="4" t="str">
        <v/>
      </c>
    </row>
    <row r="39889" spans="5:9" ht="16.5" hidden="1">
      <c r="E39889" s="4" t="str">
        <v/>
      </c>
      <c r="F39889" s="102" t="str">
        <f ca="1">IFERROR(__xludf.DUMMYFUNCTION("IMPORTRANGE(H39889,""IDENTITAS UNIT!D9"")"),"#N/A")</f>
        <v>#N/A</v>
      </c>
      <c r="H39889" s="4" t="str">
        <v/>
      </c>
      <c r="I39889" s="4" t="str">
        <v/>
      </c>
    </row>
    <row r="39890" spans="5:9" ht="16.5" hidden="1">
      <c r="E39890" s="4" t="str">
        <v/>
      </c>
      <c r="F39890" s="102" t="str">
        <f ca="1">IFERROR(__xludf.DUMMYFUNCTION("IMPORTRANGE(H39890,""IDENTITAS UNIT!D9"")"),"#N/A")</f>
        <v>#N/A</v>
      </c>
      <c r="H39890" s="4" t="str">
        <v/>
      </c>
      <c r="I39890" s="4" t="str">
        <v/>
      </c>
    </row>
    <row r="39891" spans="5:9" ht="16.5" hidden="1">
      <c r="E39891" s="4" t="str">
        <v/>
      </c>
      <c r="F39891" s="102" t="str">
        <f ca="1">IFERROR(__xludf.DUMMYFUNCTION("IMPORTRANGE(H39891,""IDENTITAS UNIT!D9"")"),"#N/A")</f>
        <v>#N/A</v>
      </c>
      <c r="H39891" s="4" t="str">
        <v/>
      </c>
      <c r="I39891" s="4" t="str">
        <v/>
      </c>
    </row>
    <row r="39892" spans="5:9" ht="16.5" hidden="1">
      <c r="E39892" s="4" t="str">
        <v/>
      </c>
      <c r="F39892" s="102" t="str">
        <f ca="1">IFERROR(__xludf.DUMMYFUNCTION("IMPORTRANGE(H39892,""IDENTITAS UNIT!D9"")"),"#N/A")</f>
        <v>#N/A</v>
      </c>
      <c r="H39892" s="4" t="str">
        <v/>
      </c>
      <c r="I39892" s="4" t="str">
        <v/>
      </c>
    </row>
    <row r="39893" spans="5:9" ht="16.5" hidden="1">
      <c r="E39893" s="4" t="str">
        <v/>
      </c>
      <c r="F39893" s="102" t="str">
        <f ca="1">IFERROR(__xludf.DUMMYFUNCTION("IMPORTRANGE(H39893,""IDENTITAS UNIT!D9"")"),"#N/A")</f>
        <v>#N/A</v>
      </c>
      <c r="H39893" s="4" t="str">
        <v/>
      </c>
      <c r="I39893" s="4" t="str">
        <v/>
      </c>
    </row>
    <row r="39894" spans="5:9" ht="16.5" hidden="1">
      <c r="E39894" s="4" t="str">
        <v/>
      </c>
      <c r="F39894" s="102" t="str">
        <f ca="1">IFERROR(__xludf.DUMMYFUNCTION("IMPORTRANGE(H39894,""IDENTITAS UNIT!D9"")"),"#N/A")</f>
        <v>#N/A</v>
      </c>
      <c r="H39894" s="4" t="str">
        <v/>
      </c>
      <c r="I39894" s="4" t="str">
        <v/>
      </c>
    </row>
    <row r="39895" spans="5:9" ht="16.5" hidden="1">
      <c r="E39895" s="4" t="str">
        <v/>
      </c>
      <c r="F39895" s="102" t="str">
        <f ca="1">IFERROR(__xludf.DUMMYFUNCTION("IMPORTRANGE(H39895,""IDENTITAS UNIT!D9"")"),"#N/A")</f>
        <v>#N/A</v>
      </c>
      <c r="H39895" s="4" t="str">
        <v/>
      </c>
      <c r="I39895" s="4" t="str">
        <v/>
      </c>
    </row>
    <row r="39896" spans="5:9" ht="16.5" hidden="1">
      <c r="E39896" s="4" t="str">
        <v/>
      </c>
      <c r="F39896" s="102" t="str">
        <f ca="1">IFERROR(__xludf.DUMMYFUNCTION("IMPORTRANGE(H39896,""IDENTITAS UNIT!D9"")"),"#N/A")</f>
        <v>#N/A</v>
      </c>
      <c r="H39896" s="4" t="str">
        <v/>
      </c>
      <c r="I39896" s="4" t="str">
        <v/>
      </c>
    </row>
    <row r="39897" spans="5:9" ht="16.5" hidden="1">
      <c r="E39897" s="4" t="str">
        <v/>
      </c>
      <c r="F39897" s="102" t="str">
        <f ca="1">IFERROR(__xludf.DUMMYFUNCTION("IMPORTRANGE(H39897,""IDENTITAS UNIT!D9"")"),"#N/A")</f>
        <v>#N/A</v>
      </c>
      <c r="H39897" s="4" t="str">
        <v/>
      </c>
      <c r="I39897" s="4" t="str">
        <v/>
      </c>
    </row>
    <row r="39898" spans="5:9" ht="16.5" hidden="1">
      <c r="E39898" s="4" t="str">
        <v/>
      </c>
      <c r="F39898" s="102" t="str">
        <f ca="1">IFERROR(__xludf.DUMMYFUNCTION("IMPORTRANGE(H39898,""IDENTITAS UNIT!D9"")"),"#N/A")</f>
        <v>#N/A</v>
      </c>
      <c r="H39898" s="4" t="str">
        <v/>
      </c>
      <c r="I39898" s="4" t="str">
        <v/>
      </c>
    </row>
    <row r="39899" spans="5:9" ht="16.5" hidden="1">
      <c r="E39899" s="4" t="str">
        <v/>
      </c>
      <c r="F39899" s="102" t="str">
        <f ca="1">IFERROR(__xludf.DUMMYFUNCTION("IMPORTRANGE(H39899,""IDENTITAS UNIT!D9"")"),"#N/A")</f>
        <v>#N/A</v>
      </c>
      <c r="H39899" s="4" t="str">
        <v/>
      </c>
      <c r="I39899" s="4" t="str">
        <v/>
      </c>
    </row>
    <row r="39900" spans="5:9" ht="16.5" hidden="1">
      <c r="E39900" s="4" t="str">
        <v/>
      </c>
      <c r="F39900" s="102" t="str">
        <f ca="1">IFERROR(__xludf.DUMMYFUNCTION("IMPORTRANGE(H39900,""IDENTITAS UNIT!D9"")"),"#N/A")</f>
        <v>#N/A</v>
      </c>
      <c r="H39900" s="4" t="str">
        <v/>
      </c>
      <c r="I39900" s="4" t="str">
        <v/>
      </c>
    </row>
    <row r="39901" spans="5:9" ht="16.5" hidden="1">
      <c r="E39901" s="4" t="str">
        <v/>
      </c>
      <c r="F39901" s="102" t="str">
        <f ca="1">IFERROR(__xludf.DUMMYFUNCTION("IMPORTRANGE(H39901,""IDENTITAS UNIT!D9"")"),"#N/A")</f>
        <v>#N/A</v>
      </c>
      <c r="H39901" s="4" t="str">
        <v/>
      </c>
      <c r="I39901" s="4" t="str">
        <v/>
      </c>
    </row>
    <row r="39902" spans="5:9" ht="16.5" hidden="1">
      <c r="E39902" s="4" t="str">
        <v/>
      </c>
      <c r="F39902" s="102" t="str">
        <f ca="1">IFERROR(__xludf.DUMMYFUNCTION("IMPORTRANGE(H39902,""IDENTITAS UNIT!D9"")"),"#N/A")</f>
        <v>#N/A</v>
      </c>
      <c r="H39902" s="4" t="str">
        <v/>
      </c>
      <c r="I39902" s="4" t="str">
        <v/>
      </c>
    </row>
    <row r="39903" spans="5:9" ht="16.5" hidden="1">
      <c r="E39903" s="4" t="str">
        <v/>
      </c>
      <c r="F39903" s="102" t="str">
        <f ca="1">IFERROR(__xludf.DUMMYFUNCTION("IMPORTRANGE(H39903,""IDENTITAS UNIT!D9"")"),"#N/A")</f>
        <v>#N/A</v>
      </c>
      <c r="H39903" s="4" t="str">
        <v/>
      </c>
      <c r="I39903" s="4" t="str">
        <v/>
      </c>
    </row>
    <row r="39904" spans="5:9" ht="16.5" hidden="1">
      <c r="E39904" s="4" t="str">
        <v/>
      </c>
      <c r="F39904" s="102" t="str">
        <f ca="1">IFERROR(__xludf.DUMMYFUNCTION("IMPORTRANGE(H39904,""IDENTITAS UNIT!D9"")"),"#N/A")</f>
        <v>#N/A</v>
      </c>
      <c r="H39904" s="4" t="str">
        <v/>
      </c>
      <c r="I39904" s="4" t="str">
        <v/>
      </c>
    </row>
    <row r="39905" spans="5:9" ht="16.5" hidden="1">
      <c r="E39905" s="4" t="str">
        <v/>
      </c>
      <c r="F39905" s="102" t="str">
        <f ca="1">IFERROR(__xludf.DUMMYFUNCTION("IMPORTRANGE(H39905,""IDENTITAS UNIT!D9"")"),"#N/A")</f>
        <v>#N/A</v>
      </c>
      <c r="H39905" s="4" t="str">
        <v/>
      </c>
      <c r="I39905" s="4" t="str">
        <v/>
      </c>
    </row>
    <row r="39906" spans="5:9" ht="16.5" hidden="1">
      <c r="E39906" s="4" t="str">
        <v/>
      </c>
      <c r="F39906" s="102" t="str">
        <f ca="1">IFERROR(__xludf.DUMMYFUNCTION("IMPORTRANGE(H39906,""IDENTITAS UNIT!D9"")"),"#N/A")</f>
        <v>#N/A</v>
      </c>
      <c r="H39906" s="4" t="str">
        <v/>
      </c>
      <c r="I39906" s="4" t="str">
        <v/>
      </c>
    </row>
    <row r="39907" spans="5:9" ht="16.5" hidden="1">
      <c r="E39907" s="4" t="str">
        <v/>
      </c>
      <c r="F39907" s="102" t="str">
        <f ca="1">IFERROR(__xludf.DUMMYFUNCTION("IMPORTRANGE(H39907,""IDENTITAS UNIT!D9"")"),"#N/A")</f>
        <v>#N/A</v>
      </c>
      <c r="H39907" s="4" t="str">
        <v/>
      </c>
      <c r="I39907" s="4" t="str">
        <v/>
      </c>
    </row>
    <row r="39908" spans="5:9" ht="16.5" hidden="1">
      <c r="E39908" s="4" t="str">
        <v/>
      </c>
      <c r="F39908" s="102" t="str">
        <f ca="1">IFERROR(__xludf.DUMMYFUNCTION("IMPORTRANGE(H39908,""IDENTITAS UNIT!D9"")"),"#N/A")</f>
        <v>#N/A</v>
      </c>
      <c r="H39908" s="4" t="str">
        <v/>
      </c>
      <c r="I39908" s="4" t="str">
        <v/>
      </c>
    </row>
    <row r="39909" spans="5:9" ht="16.5" hidden="1">
      <c r="E39909" s="4" t="str">
        <v/>
      </c>
      <c r="F39909" s="102" t="str">
        <f ca="1">IFERROR(__xludf.DUMMYFUNCTION("IMPORTRANGE(H39909,""IDENTITAS UNIT!D9"")"),"#N/A")</f>
        <v>#N/A</v>
      </c>
      <c r="H39909" s="4" t="str">
        <v/>
      </c>
      <c r="I39909" s="4" t="str">
        <v/>
      </c>
    </row>
    <row r="39910" spans="5:9" ht="16.5" hidden="1">
      <c r="E39910" s="4" t="str">
        <v/>
      </c>
      <c r="F39910" s="102" t="str">
        <f ca="1">IFERROR(__xludf.DUMMYFUNCTION("IMPORTRANGE(H39910,""IDENTITAS UNIT!D9"")"),"#N/A")</f>
        <v>#N/A</v>
      </c>
      <c r="H39910" s="4" t="str">
        <v/>
      </c>
      <c r="I39910" s="4" t="str">
        <v/>
      </c>
    </row>
    <row r="39911" spans="5:9" ht="16.5" hidden="1">
      <c r="E39911" s="4" t="str">
        <v/>
      </c>
      <c r="F39911" s="102" t="str">
        <f ca="1">IFERROR(__xludf.DUMMYFUNCTION("IMPORTRANGE(H39911,""IDENTITAS UNIT!D9"")"),"#N/A")</f>
        <v>#N/A</v>
      </c>
      <c r="H39911" s="4" t="str">
        <v/>
      </c>
      <c r="I39911" s="4" t="str">
        <v/>
      </c>
    </row>
    <row r="39912" spans="5:9" ht="16.5" hidden="1">
      <c r="E39912" s="4" t="str">
        <v/>
      </c>
      <c r="F39912" s="102" t="str">
        <f ca="1">IFERROR(__xludf.DUMMYFUNCTION("IMPORTRANGE(H39912,""IDENTITAS UNIT!D9"")"),"#N/A")</f>
        <v>#N/A</v>
      </c>
      <c r="H39912" s="4" t="str">
        <v/>
      </c>
      <c r="I39912" s="4" t="str">
        <v/>
      </c>
    </row>
    <row r="39913" spans="5:9" ht="16.5" hidden="1">
      <c r="E39913" s="4" t="str">
        <v/>
      </c>
      <c r="F39913" s="102" t="str">
        <f ca="1">IFERROR(__xludf.DUMMYFUNCTION("IMPORTRANGE(H39913,""IDENTITAS UNIT!D9"")"),"#N/A")</f>
        <v>#N/A</v>
      </c>
      <c r="H39913" s="4" t="str">
        <v/>
      </c>
      <c r="I39913" s="4" t="str">
        <v/>
      </c>
    </row>
    <row r="39914" spans="5:9" ht="16.5" hidden="1">
      <c r="E39914" s="4" t="str">
        <v/>
      </c>
      <c r="F39914" s="102" t="str">
        <f ca="1">IFERROR(__xludf.DUMMYFUNCTION("IMPORTRANGE(H39914,""IDENTITAS UNIT!D9"")"),"#N/A")</f>
        <v>#N/A</v>
      </c>
      <c r="H39914" s="4" t="str">
        <v/>
      </c>
      <c r="I39914" s="4" t="str">
        <v/>
      </c>
    </row>
    <row r="39915" spans="5:9" ht="16.5" hidden="1">
      <c r="E39915" s="4" t="str">
        <v/>
      </c>
      <c r="F39915" s="102" t="str">
        <f ca="1">IFERROR(__xludf.DUMMYFUNCTION("IMPORTRANGE(H39915,""IDENTITAS UNIT!D9"")"),"#N/A")</f>
        <v>#N/A</v>
      </c>
      <c r="H39915" s="4" t="str">
        <v/>
      </c>
      <c r="I39915" s="4" t="str">
        <v/>
      </c>
    </row>
    <row r="39916" spans="5:9" ht="16.5" hidden="1">
      <c r="E39916" s="4" t="str">
        <v/>
      </c>
      <c r="F39916" s="102" t="str">
        <f ca="1">IFERROR(__xludf.DUMMYFUNCTION("IMPORTRANGE(H39916,""IDENTITAS UNIT!D9"")"),"#N/A")</f>
        <v>#N/A</v>
      </c>
      <c r="H39916" s="4" t="str">
        <v/>
      </c>
      <c r="I39916" s="4" t="str">
        <v/>
      </c>
    </row>
    <row r="39917" spans="5:9" ht="16.5" hidden="1">
      <c r="E39917" s="4" t="str">
        <v/>
      </c>
      <c r="F39917" s="102" t="str">
        <f ca="1">IFERROR(__xludf.DUMMYFUNCTION("IMPORTRANGE(H39917,""IDENTITAS UNIT!D9"")"),"#N/A")</f>
        <v>#N/A</v>
      </c>
      <c r="H39917" s="4" t="str">
        <v/>
      </c>
      <c r="I39917" s="4" t="str">
        <v/>
      </c>
    </row>
    <row r="39918" spans="5:9" ht="16.5" hidden="1">
      <c r="E39918" s="4" t="str">
        <v/>
      </c>
      <c r="F39918" s="102" t="str">
        <f ca="1">IFERROR(__xludf.DUMMYFUNCTION("IMPORTRANGE(H39918,""IDENTITAS UNIT!D9"")"),"#N/A")</f>
        <v>#N/A</v>
      </c>
      <c r="H39918" s="4" t="str">
        <v/>
      </c>
      <c r="I39918" s="4" t="str">
        <v/>
      </c>
    </row>
    <row r="39919" spans="5:9" ht="16.5" hidden="1">
      <c r="E39919" s="4" t="str">
        <v/>
      </c>
      <c r="F39919" s="102" t="str">
        <f ca="1">IFERROR(__xludf.DUMMYFUNCTION("IMPORTRANGE(H39919,""IDENTITAS UNIT!D9"")"),"#N/A")</f>
        <v>#N/A</v>
      </c>
      <c r="H39919" s="4" t="str">
        <v/>
      </c>
      <c r="I39919" s="4" t="str">
        <v/>
      </c>
    </row>
    <row r="39920" spans="5:9" ht="16.5" hidden="1">
      <c r="E39920" s="4" t="str">
        <v/>
      </c>
      <c r="F39920" s="102" t="str">
        <f ca="1">IFERROR(__xludf.DUMMYFUNCTION("IMPORTRANGE(H39920,""IDENTITAS UNIT!D9"")"),"#N/A")</f>
        <v>#N/A</v>
      </c>
      <c r="H39920" s="4" t="str">
        <v/>
      </c>
      <c r="I39920" s="4" t="str">
        <v/>
      </c>
    </row>
    <row r="39921" spans="5:9" ht="16.5" hidden="1">
      <c r="E39921" s="4" t="str">
        <v/>
      </c>
      <c r="F39921" s="102" t="str">
        <f ca="1">IFERROR(__xludf.DUMMYFUNCTION("IMPORTRANGE(H39921,""IDENTITAS UNIT!D9"")"),"#N/A")</f>
        <v>#N/A</v>
      </c>
      <c r="H39921" s="4" t="str">
        <v/>
      </c>
      <c r="I39921" s="4" t="str">
        <v/>
      </c>
    </row>
    <row r="39922" spans="5:9" ht="16.5" hidden="1">
      <c r="E39922" s="4" t="str">
        <v/>
      </c>
      <c r="F39922" s="102" t="str">
        <f ca="1">IFERROR(__xludf.DUMMYFUNCTION("IMPORTRANGE(H39922,""IDENTITAS UNIT!D9"")"),"#N/A")</f>
        <v>#N/A</v>
      </c>
      <c r="H39922" s="4" t="str">
        <v/>
      </c>
      <c r="I39922" s="4" t="str">
        <v/>
      </c>
    </row>
    <row r="39923" spans="5:9" ht="16.5" hidden="1">
      <c r="E39923" s="4" t="str">
        <v/>
      </c>
      <c r="F39923" s="102" t="str">
        <f ca="1">IFERROR(__xludf.DUMMYFUNCTION("IMPORTRANGE(H39923,""IDENTITAS UNIT!D9"")"),"#N/A")</f>
        <v>#N/A</v>
      </c>
      <c r="H39923" s="4" t="str">
        <v/>
      </c>
      <c r="I39923" s="4" t="str">
        <v/>
      </c>
    </row>
    <row r="39924" spans="5:9" ht="16.5" hidden="1">
      <c r="E39924" s="4" t="str">
        <v/>
      </c>
      <c r="F39924" s="102" t="str">
        <f ca="1">IFERROR(__xludf.DUMMYFUNCTION("IMPORTRANGE(H39924,""IDENTITAS UNIT!D9"")"),"#N/A")</f>
        <v>#N/A</v>
      </c>
      <c r="H39924" s="4" t="str">
        <v/>
      </c>
      <c r="I39924" s="4" t="str">
        <v/>
      </c>
    </row>
    <row r="39925" spans="5:9" ht="16.5" hidden="1">
      <c r="E39925" s="4" t="str">
        <v/>
      </c>
      <c r="F39925" s="102" t="str">
        <f ca="1">IFERROR(__xludf.DUMMYFUNCTION("IMPORTRANGE(H39925,""IDENTITAS UNIT!D9"")"),"#N/A")</f>
        <v>#N/A</v>
      </c>
      <c r="H39925" s="4" t="str">
        <v/>
      </c>
      <c r="I39925" s="4" t="str">
        <v/>
      </c>
    </row>
    <row r="39926" spans="5:9" ht="16.5" hidden="1">
      <c r="E39926" s="4" t="str">
        <v/>
      </c>
      <c r="F39926" s="102" t="str">
        <f ca="1">IFERROR(__xludf.DUMMYFUNCTION("IMPORTRANGE(H39926,""IDENTITAS UNIT!D9"")"),"#N/A")</f>
        <v>#N/A</v>
      </c>
      <c r="H39926" s="4" t="str">
        <v/>
      </c>
      <c r="I39926" s="4" t="str">
        <v/>
      </c>
    </row>
    <row r="39927" spans="5:9" ht="16.5" hidden="1">
      <c r="E39927" s="4" t="str">
        <v/>
      </c>
      <c r="F39927" s="102" t="str">
        <f ca="1">IFERROR(__xludf.DUMMYFUNCTION("IMPORTRANGE(H39927,""IDENTITAS UNIT!D9"")"),"#N/A")</f>
        <v>#N/A</v>
      </c>
      <c r="H39927" s="4" t="str">
        <v/>
      </c>
      <c r="I39927" s="4" t="str">
        <v/>
      </c>
    </row>
    <row r="39928" spans="5:9" ht="16.5" hidden="1">
      <c r="E39928" s="4" t="str">
        <v/>
      </c>
      <c r="F39928" s="102" t="str">
        <f ca="1">IFERROR(__xludf.DUMMYFUNCTION("IMPORTRANGE(H39928,""IDENTITAS UNIT!D9"")"),"#N/A")</f>
        <v>#N/A</v>
      </c>
      <c r="H39928" s="4" t="str">
        <v/>
      </c>
      <c r="I39928" s="4" t="str">
        <v/>
      </c>
    </row>
    <row r="39929" spans="5:9" ht="16.5" hidden="1">
      <c r="E39929" s="4" t="str">
        <v/>
      </c>
      <c r="F39929" s="102" t="str">
        <f ca="1">IFERROR(__xludf.DUMMYFUNCTION("IMPORTRANGE(H39929,""IDENTITAS UNIT!D9"")"),"#N/A")</f>
        <v>#N/A</v>
      </c>
      <c r="H39929" s="4" t="str">
        <v/>
      </c>
      <c r="I39929" s="4" t="str">
        <v/>
      </c>
    </row>
    <row r="39930" spans="5:9" ht="16.5" hidden="1">
      <c r="E39930" s="4" t="str">
        <v/>
      </c>
      <c r="F39930" s="102" t="str">
        <f ca="1">IFERROR(__xludf.DUMMYFUNCTION("IMPORTRANGE(H39930,""IDENTITAS UNIT!D9"")"),"#N/A")</f>
        <v>#N/A</v>
      </c>
      <c r="H39930" s="4" t="str">
        <v/>
      </c>
      <c r="I39930" s="4" t="str">
        <v/>
      </c>
    </row>
    <row r="39931" spans="5:9" ht="16.5" hidden="1">
      <c r="E39931" s="4" t="str">
        <v/>
      </c>
      <c r="F39931" s="102" t="str">
        <f ca="1">IFERROR(__xludf.DUMMYFUNCTION("IMPORTRANGE(H39931,""IDENTITAS UNIT!D9"")"),"#N/A")</f>
        <v>#N/A</v>
      </c>
      <c r="H39931" s="4" t="str">
        <v/>
      </c>
      <c r="I39931" s="4" t="str">
        <v/>
      </c>
    </row>
    <row r="39932" spans="5:9" ht="16.5" hidden="1">
      <c r="E39932" s="4" t="str">
        <v/>
      </c>
      <c r="F39932" s="102" t="str">
        <f ca="1">IFERROR(__xludf.DUMMYFUNCTION("IMPORTRANGE(H39932,""IDENTITAS UNIT!D9"")"),"#N/A")</f>
        <v>#N/A</v>
      </c>
      <c r="H39932" s="4" t="str">
        <v/>
      </c>
      <c r="I39932" s="4" t="str">
        <v/>
      </c>
    </row>
    <row r="39933" spans="5:9" ht="16.5" hidden="1">
      <c r="E39933" s="4" t="str">
        <v/>
      </c>
      <c r="F39933" s="102" t="str">
        <f ca="1">IFERROR(__xludf.DUMMYFUNCTION("IMPORTRANGE(H39933,""IDENTITAS UNIT!D9"")"),"#N/A")</f>
        <v>#N/A</v>
      </c>
      <c r="H39933" s="4" t="str">
        <v/>
      </c>
      <c r="I39933" s="4" t="str">
        <v/>
      </c>
    </row>
    <row r="39934" spans="5:9" ht="16.5" hidden="1">
      <c r="E39934" s="4" t="str">
        <v/>
      </c>
      <c r="F39934" s="102" t="str">
        <f ca="1">IFERROR(__xludf.DUMMYFUNCTION("IMPORTRANGE(H39934,""IDENTITAS UNIT!D9"")"),"#N/A")</f>
        <v>#N/A</v>
      </c>
      <c r="H39934" s="4" t="str">
        <v/>
      </c>
      <c r="I39934" s="4" t="str">
        <v/>
      </c>
    </row>
    <row r="39935" spans="5:9" ht="16.5" hidden="1">
      <c r="E39935" s="4" t="str">
        <v/>
      </c>
      <c r="F39935" s="102" t="str">
        <f ca="1">IFERROR(__xludf.DUMMYFUNCTION("IMPORTRANGE(H39935,""IDENTITAS UNIT!D9"")"),"#N/A")</f>
        <v>#N/A</v>
      </c>
      <c r="H39935" s="4" t="str">
        <v/>
      </c>
      <c r="I39935" s="4" t="str">
        <v/>
      </c>
    </row>
    <row r="39936" spans="5:9" ht="16.5" hidden="1">
      <c r="E39936" s="4" t="str">
        <v/>
      </c>
      <c r="F39936" s="102" t="str">
        <f ca="1">IFERROR(__xludf.DUMMYFUNCTION("IMPORTRANGE(H39936,""IDENTITAS UNIT!D9"")"),"#N/A")</f>
        <v>#N/A</v>
      </c>
      <c r="H39936" s="4" t="str">
        <v/>
      </c>
      <c r="I39936" s="4" t="str">
        <v/>
      </c>
    </row>
    <row r="39937" spans="5:9" ht="16.5" hidden="1">
      <c r="E39937" s="4" t="str">
        <v/>
      </c>
      <c r="F39937" s="102" t="str">
        <f ca="1">IFERROR(__xludf.DUMMYFUNCTION("IMPORTRANGE(H39937,""IDENTITAS UNIT!D9"")"),"#N/A")</f>
        <v>#N/A</v>
      </c>
      <c r="H39937" s="4" t="str">
        <v/>
      </c>
      <c r="I39937" s="4" t="str">
        <v/>
      </c>
    </row>
    <row r="39938" spans="5:9" ht="16.5" hidden="1">
      <c r="E39938" s="4" t="str">
        <v/>
      </c>
      <c r="F39938" s="102" t="str">
        <f ca="1">IFERROR(__xludf.DUMMYFUNCTION("IMPORTRANGE(H39938,""IDENTITAS UNIT!D9"")"),"#N/A")</f>
        <v>#N/A</v>
      </c>
      <c r="H39938" s="4" t="str">
        <v/>
      </c>
      <c r="I39938" s="4" t="str">
        <v/>
      </c>
    </row>
    <row r="39939" spans="5:9" ht="16.5" hidden="1">
      <c r="E39939" s="4" t="str">
        <v/>
      </c>
      <c r="F39939" s="102" t="str">
        <f ca="1">IFERROR(__xludf.DUMMYFUNCTION("IMPORTRANGE(H39939,""IDENTITAS UNIT!D9"")"),"#N/A")</f>
        <v>#N/A</v>
      </c>
      <c r="H39939" s="4" t="str">
        <v/>
      </c>
      <c r="I39939" s="4" t="str">
        <v/>
      </c>
    </row>
    <row r="39940" spans="5:9" ht="16.5" hidden="1">
      <c r="E39940" s="4" t="str">
        <v/>
      </c>
      <c r="F39940" s="102" t="str">
        <f ca="1">IFERROR(__xludf.DUMMYFUNCTION("IMPORTRANGE(H39940,""IDENTITAS UNIT!D9"")"),"#N/A")</f>
        <v>#N/A</v>
      </c>
      <c r="H39940" s="4" t="str">
        <v/>
      </c>
      <c r="I39940" s="4" t="str">
        <v/>
      </c>
    </row>
    <row r="39941" spans="5:9" ht="16.5" hidden="1">
      <c r="E39941" s="4" t="str">
        <v/>
      </c>
      <c r="F39941" s="102" t="str">
        <f ca="1">IFERROR(__xludf.DUMMYFUNCTION("IMPORTRANGE(H39941,""IDENTITAS UNIT!D9"")"),"#N/A")</f>
        <v>#N/A</v>
      </c>
      <c r="H39941" s="4" t="str">
        <v/>
      </c>
      <c r="I39941" s="4" t="str">
        <v/>
      </c>
    </row>
    <row r="39942" spans="5:9" ht="16.5" hidden="1">
      <c r="E39942" s="4" t="str">
        <v/>
      </c>
      <c r="F39942" s="102" t="str">
        <f ca="1">IFERROR(__xludf.DUMMYFUNCTION("IMPORTRANGE(H39942,""IDENTITAS UNIT!D9"")"),"#N/A")</f>
        <v>#N/A</v>
      </c>
      <c r="H39942" s="4" t="str">
        <v/>
      </c>
      <c r="I39942" s="4" t="str">
        <v/>
      </c>
    </row>
    <row r="39943" spans="5:9" ht="16.5" hidden="1">
      <c r="E39943" s="4" t="str">
        <v/>
      </c>
      <c r="F39943" s="102" t="str">
        <f ca="1">IFERROR(__xludf.DUMMYFUNCTION("IMPORTRANGE(H39943,""IDENTITAS UNIT!D9"")"),"#N/A")</f>
        <v>#N/A</v>
      </c>
      <c r="H39943" s="4" t="str">
        <v/>
      </c>
      <c r="I39943" s="4" t="str">
        <v/>
      </c>
    </row>
    <row r="39944" spans="5:9" ht="16.5" hidden="1">
      <c r="E39944" s="4" t="str">
        <v/>
      </c>
      <c r="F39944" s="102" t="str">
        <f ca="1">IFERROR(__xludf.DUMMYFUNCTION("IMPORTRANGE(H39944,""IDENTITAS UNIT!D9"")"),"#N/A")</f>
        <v>#N/A</v>
      </c>
      <c r="H39944" s="4" t="str">
        <v/>
      </c>
      <c r="I39944" s="4" t="str">
        <v/>
      </c>
    </row>
    <row r="39945" spans="5:9" ht="16.5" hidden="1">
      <c r="E39945" s="4" t="str">
        <v/>
      </c>
      <c r="F39945" s="102" t="str">
        <f ca="1">IFERROR(__xludf.DUMMYFUNCTION("IMPORTRANGE(H39945,""IDENTITAS UNIT!D9"")"),"#N/A")</f>
        <v>#N/A</v>
      </c>
      <c r="H39945" s="4" t="str">
        <v/>
      </c>
      <c r="I39945" s="4" t="str">
        <v/>
      </c>
    </row>
    <row r="39946" spans="5:9" ht="16.5" hidden="1">
      <c r="E39946" s="4" t="str">
        <v/>
      </c>
      <c r="F39946" s="102" t="str">
        <f ca="1">IFERROR(__xludf.DUMMYFUNCTION("IMPORTRANGE(H39946,""IDENTITAS UNIT!D9"")"),"#N/A")</f>
        <v>#N/A</v>
      </c>
      <c r="H39946" s="4" t="str">
        <v/>
      </c>
      <c r="I39946" s="4" t="str">
        <v/>
      </c>
    </row>
    <row r="39947" spans="5:9" ht="16.5" hidden="1">
      <c r="E39947" s="4" t="str">
        <v/>
      </c>
      <c r="F39947" s="102" t="str">
        <f ca="1">IFERROR(__xludf.DUMMYFUNCTION("IMPORTRANGE(H39947,""IDENTITAS UNIT!D9"")"),"#N/A")</f>
        <v>#N/A</v>
      </c>
      <c r="H39947" s="4" t="str">
        <v/>
      </c>
      <c r="I39947" s="4" t="str">
        <v/>
      </c>
    </row>
    <row r="39948" spans="5:9" ht="16.5" hidden="1">
      <c r="E39948" s="4" t="str">
        <v/>
      </c>
      <c r="F39948" s="102" t="str">
        <f ca="1">IFERROR(__xludf.DUMMYFUNCTION("IMPORTRANGE(H39948,""IDENTITAS UNIT!D9"")"),"#N/A")</f>
        <v>#N/A</v>
      </c>
      <c r="H39948" s="4" t="str">
        <v/>
      </c>
      <c r="I39948" s="4" t="str">
        <v/>
      </c>
    </row>
    <row r="39949" spans="5:9" ht="16.5" hidden="1">
      <c r="E39949" s="4" t="str">
        <v/>
      </c>
      <c r="F39949" s="102" t="str">
        <f ca="1">IFERROR(__xludf.DUMMYFUNCTION("IMPORTRANGE(H39949,""IDENTITAS UNIT!D9"")"),"#N/A")</f>
        <v>#N/A</v>
      </c>
      <c r="H39949" s="4" t="str">
        <v/>
      </c>
      <c r="I39949" s="4" t="str">
        <v/>
      </c>
    </row>
    <row r="39950" spans="5:9" ht="16.5" hidden="1">
      <c r="E39950" s="4" t="str">
        <v/>
      </c>
      <c r="F39950" s="102" t="str">
        <f ca="1">IFERROR(__xludf.DUMMYFUNCTION("IMPORTRANGE(H39950,""IDENTITAS UNIT!D9"")"),"#N/A")</f>
        <v>#N/A</v>
      </c>
      <c r="H39950" s="4" t="str">
        <v/>
      </c>
      <c r="I39950" s="4" t="str">
        <v/>
      </c>
    </row>
    <row r="39951" spans="5:9" ht="16.5" hidden="1">
      <c r="E39951" s="4" t="str">
        <v/>
      </c>
      <c r="F39951" s="102" t="str">
        <f ca="1">IFERROR(__xludf.DUMMYFUNCTION("IMPORTRANGE(H39951,""IDENTITAS UNIT!D9"")"),"#N/A")</f>
        <v>#N/A</v>
      </c>
      <c r="H39951" s="4" t="str">
        <v/>
      </c>
      <c r="I39951" s="4" t="str">
        <v/>
      </c>
    </row>
    <row r="39952" spans="5:9" ht="16.5" hidden="1">
      <c r="E39952" s="4" t="str">
        <v/>
      </c>
      <c r="F39952" s="102" t="str">
        <f ca="1">IFERROR(__xludf.DUMMYFUNCTION("IMPORTRANGE(H39952,""IDENTITAS UNIT!D9"")"),"#N/A")</f>
        <v>#N/A</v>
      </c>
      <c r="H39952" s="4" t="str">
        <v/>
      </c>
      <c r="I39952" s="4" t="str">
        <v/>
      </c>
    </row>
    <row r="39953" spans="5:9" ht="16.5" hidden="1">
      <c r="E39953" s="4" t="str">
        <v/>
      </c>
      <c r="F39953" s="102" t="str">
        <f ca="1">IFERROR(__xludf.DUMMYFUNCTION("IMPORTRANGE(H39953,""IDENTITAS UNIT!D9"")"),"#N/A")</f>
        <v>#N/A</v>
      </c>
      <c r="H39953" s="4" t="str">
        <v/>
      </c>
      <c r="I39953" s="4" t="str">
        <v/>
      </c>
    </row>
    <row r="39954" spans="5:9" ht="16.5" hidden="1">
      <c r="E39954" s="4" t="str">
        <v/>
      </c>
      <c r="F39954" s="102" t="str">
        <f ca="1">IFERROR(__xludf.DUMMYFUNCTION("IMPORTRANGE(H39954,""IDENTITAS UNIT!D9"")"),"#N/A")</f>
        <v>#N/A</v>
      </c>
      <c r="H39954" s="4" t="str">
        <v/>
      </c>
      <c r="I39954" s="4" t="str">
        <v/>
      </c>
    </row>
    <row r="39955" spans="5:9" ht="16.5" hidden="1">
      <c r="E39955" s="4" t="str">
        <v/>
      </c>
      <c r="F39955" s="102" t="str">
        <f ca="1">IFERROR(__xludf.DUMMYFUNCTION("IMPORTRANGE(H39955,""IDENTITAS UNIT!D9"")"),"#N/A")</f>
        <v>#N/A</v>
      </c>
      <c r="H39955" s="4" t="str">
        <v/>
      </c>
      <c r="I39955" s="4" t="str">
        <v/>
      </c>
    </row>
    <row r="39956" spans="5:9" ht="16.5" hidden="1">
      <c r="E39956" s="4" t="str">
        <v/>
      </c>
      <c r="F39956" s="102" t="str">
        <f ca="1">IFERROR(__xludf.DUMMYFUNCTION("IMPORTRANGE(H39956,""IDENTITAS UNIT!D9"")"),"#N/A")</f>
        <v>#N/A</v>
      </c>
      <c r="H39956" s="4" t="str">
        <v/>
      </c>
      <c r="I39956" s="4" t="str">
        <v/>
      </c>
    </row>
    <row r="39957" spans="5:9" ht="16.5" hidden="1">
      <c r="E39957" s="4" t="str">
        <v/>
      </c>
      <c r="F39957" s="102" t="str">
        <f ca="1">IFERROR(__xludf.DUMMYFUNCTION("IMPORTRANGE(H39957,""IDENTITAS UNIT!D9"")"),"#N/A")</f>
        <v>#N/A</v>
      </c>
      <c r="H39957" s="4" t="str">
        <v/>
      </c>
      <c r="I39957" s="4" t="str">
        <v/>
      </c>
    </row>
    <row r="39958" spans="5:9" ht="16.5" hidden="1">
      <c r="E39958" s="4" t="str">
        <v/>
      </c>
      <c r="F39958" s="102" t="str">
        <f ca="1">IFERROR(__xludf.DUMMYFUNCTION("IMPORTRANGE(H39958,""IDENTITAS UNIT!D9"")"),"#N/A")</f>
        <v>#N/A</v>
      </c>
      <c r="H39958" s="4" t="str">
        <v/>
      </c>
      <c r="I39958" s="4" t="str">
        <v/>
      </c>
    </row>
    <row r="39959" spans="5:9" ht="16.5" hidden="1">
      <c r="E39959" s="4" t="str">
        <v/>
      </c>
      <c r="F39959" s="102" t="str">
        <f ca="1">IFERROR(__xludf.DUMMYFUNCTION("IMPORTRANGE(H39959,""IDENTITAS UNIT!D9"")"),"#N/A")</f>
        <v>#N/A</v>
      </c>
      <c r="H39959" s="4" t="str">
        <v/>
      </c>
      <c r="I39959" s="4" t="str">
        <v/>
      </c>
    </row>
    <row r="39960" spans="5:9" ht="16.5" hidden="1">
      <c r="E39960" s="4" t="str">
        <v/>
      </c>
      <c r="F39960" s="102" t="str">
        <f ca="1">IFERROR(__xludf.DUMMYFUNCTION("IMPORTRANGE(H39960,""IDENTITAS UNIT!D9"")"),"#N/A")</f>
        <v>#N/A</v>
      </c>
      <c r="H39960" s="4" t="str">
        <v/>
      </c>
      <c r="I39960" s="4" t="str">
        <v/>
      </c>
    </row>
    <row r="39961" spans="5:9" ht="16.5" hidden="1">
      <c r="E39961" s="4" t="str">
        <v/>
      </c>
      <c r="F39961" s="102" t="str">
        <f ca="1">IFERROR(__xludf.DUMMYFUNCTION("IMPORTRANGE(H39961,""IDENTITAS UNIT!D9"")"),"#N/A")</f>
        <v>#N/A</v>
      </c>
      <c r="H39961" s="4" t="str">
        <v/>
      </c>
      <c r="I39961" s="4" t="str">
        <v/>
      </c>
    </row>
    <row r="39962" spans="5:9" ht="16.5" hidden="1">
      <c r="E39962" s="4" t="str">
        <v/>
      </c>
      <c r="F39962" s="102" t="str">
        <f ca="1">IFERROR(__xludf.DUMMYFUNCTION("IMPORTRANGE(H39962,""IDENTITAS UNIT!D9"")"),"#N/A")</f>
        <v>#N/A</v>
      </c>
      <c r="H39962" s="4" t="str">
        <v/>
      </c>
      <c r="I39962" s="4" t="str">
        <v/>
      </c>
    </row>
    <row r="39963" spans="5:9" ht="16.5" hidden="1">
      <c r="E39963" s="4" t="str">
        <v/>
      </c>
      <c r="F39963" s="102" t="str">
        <f ca="1">IFERROR(__xludf.DUMMYFUNCTION("IMPORTRANGE(H39963,""IDENTITAS UNIT!D9"")"),"#N/A")</f>
        <v>#N/A</v>
      </c>
      <c r="H39963" s="4" t="str">
        <v/>
      </c>
      <c r="I39963" s="4" t="str">
        <v/>
      </c>
    </row>
    <row r="39964" spans="5:9" ht="16.5" hidden="1">
      <c r="E39964" s="4" t="str">
        <v/>
      </c>
      <c r="F39964" s="102" t="str">
        <f ca="1">IFERROR(__xludf.DUMMYFUNCTION("IMPORTRANGE(H39964,""IDENTITAS UNIT!D9"")"),"#N/A")</f>
        <v>#N/A</v>
      </c>
      <c r="H39964" s="4" t="str">
        <v/>
      </c>
      <c r="I39964" s="4" t="str">
        <v/>
      </c>
    </row>
    <row r="39965" spans="5:9" ht="16.5" hidden="1">
      <c r="E39965" s="4" t="str">
        <v/>
      </c>
      <c r="F39965" s="102" t="str">
        <f ca="1">IFERROR(__xludf.DUMMYFUNCTION("IMPORTRANGE(H39965,""IDENTITAS UNIT!D9"")"),"#N/A")</f>
        <v>#N/A</v>
      </c>
      <c r="H39965" s="4" t="str">
        <v/>
      </c>
      <c r="I39965" s="4" t="str">
        <v/>
      </c>
    </row>
    <row r="39966" spans="5:9" ht="16.5" hidden="1">
      <c r="E39966" s="4" t="str">
        <v/>
      </c>
      <c r="F39966" s="102" t="str">
        <f ca="1">IFERROR(__xludf.DUMMYFUNCTION("IMPORTRANGE(H39966,""IDENTITAS UNIT!D9"")"),"#N/A")</f>
        <v>#N/A</v>
      </c>
      <c r="H39966" s="4" t="str">
        <v/>
      </c>
      <c r="I39966" s="4" t="str">
        <v/>
      </c>
    </row>
    <row r="39967" spans="5:9" ht="16.5" hidden="1">
      <c r="E39967" s="4" t="str">
        <v/>
      </c>
      <c r="F39967" s="102" t="str">
        <f ca="1">IFERROR(__xludf.DUMMYFUNCTION("IMPORTRANGE(H39967,""IDENTITAS UNIT!D9"")"),"#N/A")</f>
        <v>#N/A</v>
      </c>
      <c r="H39967" s="4" t="str">
        <v/>
      </c>
      <c r="I39967" s="4" t="str">
        <v/>
      </c>
    </row>
    <row r="39968" spans="5:9" ht="16.5" hidden="1">
      <c r="E39968" s="4" t="str">
        <v/>
      </c>
      <c r="F39968" s="102" t="str">
        <f ca="1">IFERROR(__xludf.DUMMYFUNCTION("IMPORTRANGE(H39968,""IDENTITAS UNIT!D9"")"),"#N/A")</f>
        <v>#N/A</v>
      </c>
      <c r="H39968" s="4" t="str">
        <v/>
      </c>
      <c r="I39968" s="4" t="str">
        <v/>
      </c>
    </row>
    <row r="39969" spans="5:9" ht="16.5" hidden="1">
      <c r="E39969" s="4" t="str">
        <v/>
      </c>
      <c r="F39969" s="102" t="str">
        <f ca="1">IFERROR(__xludf.DUMMYFUNCTION("IMPORTRANGE(H39969,""IDENTITAS UNIT!D9"")"),"#N/A")</f>
        <v>#N/A</v>
      </c>
      <c r="H39969" s="4" t="str">
        <v/>
      </c>
      <c r="I39969" s="4" t="str">
        <v/>
      </c>
    </row>
    <row r="39970" spans="5:9" ht="16.5" hidden="1">
      <c r="E39970" s="4" t="str">
        <v/>
      </c>
      <c r="F39970" s="102" t="str">
        <f ca="1">IFERROR(__xludf.DUMMYFUNCTION("IMPORTRANGE(H39970,""IDENTITAS UNIT!D9"")"),"#N/A")</f>
        <v>#N/A</v>
      </c>
      <c r="H39970" s="4" t="str">
        <v/>
      </c>
      <c r="I39970" s="4" t="str">
        <v/>
      </c>
    </row>
    <row r="39971" spans="5:9" ht="16.5" hidden="1">
      <c r="E39971" s="4" t="str">
        <v/>
      </c>
      <c r="F39971" s="102" t="str">
        <f ca="1">IFERROR(__xludf.DUMMYFUNCTION("IMPORTRANGE(H39971,""IDENTITAS UNIT!D9"")"),"#N/A")</f>
        <v>#N/A</v>
      </c>
      <c r="H39971" s="4" t="str">
        <v/>
      </c>
      <c r="I39971" s="4" t="str">
        <v/>
      </c>
    </row>
    <row r="39972" spans="5:9" ht="16.5" hidden="1">
      <c r="E39972" s="4" t="str">
        <v/>
      </c>
      <c r="F39972" s="102" t="str">
        <f ca="1">IFERROR(__xludf.DUMMYFUNCTION("IMPORTRANGE(H39972,""IDENTITAS UNIT!D9"")"),"#N/A")</f>
        <v>#N/A</v>
      </c>
      <c r="H39972" s="4" t="str">
        <v/>
      </c>
      <c r="I39972" s="4" t="str">
        <v/>
      </c>
    </row>
    <row r="39973" spans="5:9" ht="16.5" hidden="1">
      <c r="E39973" s="4" t="str">
        <v/>
      </c>
      <c r="F39973" s="102" t="str">
        <f ca="1">IFERROR(__xludf.DUMMYFUNCTION("IMPORTRANGE(H39973,""IDENTITAS UNIT!D9"")"),"#N/A")</f>
        <v>#N/A</v>
      </c>
      <c r="H39973" s="4" t="str">
        <v/>
      </c>
      <c r="I39973" s="4" t="str">
        <v/>
      </c>
    </row>
    <row r="39974" spans="5:9" ht="16.5" hidden="1">
      <c r="E39974" s="4" t="str">
        <v/>
      </c>
      <c r="F39974" s="102" t="str">
        <f ca="1">IFERROR(__xludf.DUMMYFUNCTION("IMPORTRANGE(H39974,""IDENTITAS UNIT!D9"")"),"#N/A")</f>
        <v>#N/A</v>
      </c>
      <c r="H39974" s="4" t="str">
        <v/>
      </c>
      <c r="I39974" s="4" t="str">
        <v/>
      </c>
    </row>
    <row r="39975" spans="5:9" ht="16.5" hidden="1">
      <c r="E39975" s="4" t="str">
        <v/>
      </c>
      <c r="F39975" s="102" t="str">
        <f ca="1">IFERROR(__xludf.DUMMYFUNCTION("IMPORTRANGE(H39975,""IDENTITAS UNIT!D9"")"),"#N/A")</f>
        <v>#N/A</v>
      </c>
      <c r="H39975" s="4" t="str">
        <v/>
      </c>
      <c r="I39975" s="4" t="str">
        <v/>
      </c>
    </row>
    <row r="39976" spans="5:9" ht="16.5" hidden="1">
      <c r="E39976" s="4" t="str">
        <v/>
      </c>
      <c r="F39976" s="102" t="str">
        <f ca="1">IFERROR(__xludf.DUMMYFUNCTION("IMPORTRANGE(H39976,""IDENTITAS UNIT!D9"")"),"#N/A")</f>
        <v>#N/A</v>
      </c>
      <c r="H39976" s="4" t="str">
        <v/>
      </c>
      <c r="I39976" s="4" t="str">
        <v/>
      </c>
    </row>
    <row r="39977" spans="5:9" ht="16.5" hidden="1">
      <c r="E39977" s="4" t="str">
        <v/>
      </c>
      <c r="F39977" s="102" t="str">
        <f ca="1">IFERROR(__xludf.DUMMYFUNCTION("IMPORTRANGE(H39977,""IDENTITAS UNIT!D9"")"),"#N/A")</f>
        <v>#N/A</v>
      </c>
      <c r="H39977" s="4" t="str">
        <v/>
      </c>
      <c r="I39977" s="4" t="str">
        <v/>
      </c>
    </row>
    <row r="39978" spans="5:9" ht="16.5" hidden="1">
      <c r="E39978" s="4" t="str">
        <v/>
      </c>
      <c r="F39978" s="102" t="str">
        <f ca="1">IFERROR(__xludf.DUMMYFUNCTION("IMPORTRANGE(H39978,""IDENTITAS UNIT!D9"")"),"#N/A")</f>
        <v>#N/A</v>
      </c>
      <c r="H39978" s="4" t="str">
        <v/>
      </c>
      <c r="I39978" s="4" t="str">
        <v/>
      </c>
    </row>
    <row r="39979" spans="5:9" ht="16.5" hidden="1">
      <c r="E39979" s="4" t="str">
        <v/>
      </c>
      <c r="F39979" s="102" t="str">
        <f ca="1">IFERROR(__xludf.DUMMYFUNCTION("IMPORTRANGE(H39979,""IDENTITAS UNIT!D9"")"),"#N/A")</f>
        <v>#N/A</v>
      </c>
      <c r="H39979" s="4" t="str">
        <v/>
      </c>
      <c r="I39979" s="4" t="str">
        <v/>
      </c>
    </row>
    <row r="39980" spans="5:9" ht="16.5" hidden="1">
      <c r="E39980" s="4" t="str">
        <v/>
      </c>
      <c r="F39980" s="102" t="str">
        <f ca="1">IFERROR(__xludf.DUMMYFUNCTION("IMPORTRANGE(H39980,""IDENTITAS UNIT!D9"")"),"#N/A")</f>
        <v>#N/A</v>
      </c>
      <c r="H39980" s="4" t="str">
        <v/>
      </c>
      <c r="I39980" s="4" t="str">
        <v/>
      </c>
    </row>
    <row r="39981" spans="5:9" ht="16.5" hidden="1">
      <c r="E39981" s="4" t="str">
        <v/>
      </c>
      <c r="F39981" s="102" t="str">
        <f ca="1">IFERROR(__xludf.DUMMYFUNCTION("IMPORTRANGE(H39981,""IDENTITAS UNIT!D9"")"),"#N/A")</f>
        <v>#N/A</v>
      </c>
      <c r="H39981" s="4" t="str">
        <v/>
      </c>
      <c r="I39981" s="4" t="str">
        <v/>
      </c>
    </row>
    <row r="39982" spans="5:9" ht="16.5" hidden="1">
      <c r="E39982" s="4" t="str">
        <v/>
      </c>
      <c r="F39982" s="102" t="str">
        <f ca="1">IFERROR(__xludf.DUMMYFUNCTION("IMPORTRANGE(H39982,""IDENTITAS UNIT!D9"")"),"#N/A")</f>
        <v>#N/A</v>
      </c>
      <c r="H39982" s="4" t="str">
        <v/>
      </c>
      <c r="I39982" s="4" t="str">
        <v/>
      </c>
    </row>
    <row r="39983" spans="5:9" ht="16.5" hidden="1">
      <c r="E39983" s="4" t="str">
        <v/>
      </c>
      <c r="F39983" s="102" t="str">
        <f ca="1">IFERROR(__xludf.DUMMYFUNCTION("IMPORTRANGE(H39983,""IDENTITAS UNIT!D9"")"),"#N/A")</f>
        <v>#N/A</v>
      </c>
      <c r="H39983" s="4" t="str">
        <v/>
      </c>
      <c r="I39983" s="4" t="str">
        <v/>
      </c>
    </row>
    <row r="39984" spans="5:9" ht="16.5" hidden="1">
      <c r="E39984" s="4" t="str">
        <v/>
      </c>
      <c r="F39984" s="102" t="str">
        <f ca="1">IFERROR(__xludf.DUMMYFUNCTION("IMPORTRANGE(H39984,""IDENTITAS UNIT!D9"")"),"#N/A")</f>
        <v>#N/A</v>
      </c>
      <c r="H39984" s="4" t="str">
        <v/>
      </c>
      <c r="I39984" s="4" t="str">
        <v/>
      </c>
    </row>
    <row r="39985" spans="5:9" ht="16.5" hidden="1">
      <c r="E39985" s="4" t="str">
        <v/>
      </c>
      <c r="F39985" s="102" t="str">
        <f ca="1">IFERROR(__xludf.DUMMYFUNCTION("IMPORTRANGE(H39985,""IDENTITAS UNIT!D9"")"),"#N/A")</f>
        <v>#N/A</v>
      </c>
      <c r="H39985" s="4" t="str">
        <v/>
      </c>
      <c r="I39985" s="4" t="str">
        <v/>
      </c>
    </row>
    <row r="39986" spans="5:9" ht="16.5" hidden="1">
      <c r="E39986" s="4" t="str">
        <v/>
      </c>
      <c r="F39986" s="102" t="str">
        <f ca="1">IFERROR(__xludf.DUMMYFUNCTION("IMPORTRANGE(H39986,""IDENTITAS UNIT!D9"")"),"#N/A")</f>
        <v>#N/A</v>
      </c>
      <c r="H39986" s="4" t="str">
        <v/>
      </c>
      <c r="I39986" s="4" t="str">
        <v/>
      </c>
    </row>
    <row r="39987" spans="5:9" ht="16.5" hidden="1">
      <c r="E39987" s="4" t="str">
        <v/>
      </c>
      <c r="F39987" s="102" t="str">
        <f ca="1">IFERROR(__xludf.DUMMYFUNCTION("IMPORTRANGE(H39987,""IDENTITAS UNIT!D9"")"),"#N/A")</f>
        <v>#N/A</v>
      </c>
      <c r="H39987" s="4" t="str">
        <v/>
      </c>
      <c r="I39987" s="4" t="str">
        <v/>
      </c>
    </row>
    <row r="39988" spans="5:9" ht="16.5" hidden="1">
      <c r="E39988" s="4" t="str">
        <v/>
      </c>
      <c r="F39988" s="102" t="str">
        <f ca="1">IFERROR(__xludf.DUMMYFUNCTION("IMPORTRANGE(H39988,""IDENTITAS UNIT!D9"")"),"#N/A")</f>
        <v>#N/A</v>
      </c>
      <c r="H39988" s="4" t="str">
        <v/>
      </c>
      <c r="I39988" s="4" t="str">
        <v/>
      </c>
    </row>
    <row r="39989" spans="5:9" ht="16.5" hidden="1">
      <c r="E39989" s="4" t="str">
        <v/>
      </c>
      <c r="F39989" s="102" t="str">
        <f ca="1">IFERROR(__xludf.DUMMYFUNCTION("IMPORTRANGE(H39989,""IDENTITAS UNIT!D9"")"),"#N/A")</f>
        <v>#N/A</v>
      </c>
      <c r="H39989" s="4" t="str">
        <v/>
      </c>
      <c r="I39989" s="4" t="str">
        <v/>
      </c>
    </row>
    <row r="39990" spans="5:9" ht="16.5" hidden="1">
      <c r="E39990" s="4" t="str">
        <v/>
      </c>
      <c r="F39990" s="102" t="str">
        <f ca="1">IFERROR(__xludf.DUMMYFUNCTION("IMPORTRANGE(H39990,""IDENTITAS UNIT!D9"")"),"#N/A")</f>
        <v>#N/A</v>
      </c>
      <c r="H39990" s="4" t="str">
        <v/>
      </c>
      <c r="I39990" s="4" t="str">
        <v/>
      </c>
    </row>
    <row r="39991" spans="5:9" ht="16.5" hidden="1">
      <c r="E39991" s="4" t="str">
        <v/>
      </c>
      <c r="F39991" s="102" t="str">
        <f ca="1">IFERROR(__xludf.DUMMYFUNCTION("IMPORTRANGE(H39991,""IDENTITAS UNIT!D9"")"),"#N/A")</f>
        <v>#N/A</v>
      </c>
      <c r="H39991" s="4" t="str">
        <v/>
      </c>
      <c r="I39991" s="4" t="str">
        <v/>
      </c>
    </row>
    <row r="39992" spans="5:9" ht="16.5" hidden="1">
      <c r="E39992" s="4" t="str">
        <v/>
      </c>
      <c r="F39992" s="102" t="str">
        <f ca="1">IFERROR(__xludf.DUMMYFUNCTION("IMPORTRANGE(H39992,""IDENTITAS UNIT!D9"")"),"#N/A")</f>
        <v>#N/A</v>
      </c>
      <c r="H39992" s="4" t="str">
        <v/>
      </c>
      <c r="I39992" s="4" t="str">
        <v/>
      </c>
    </row>
    <row r="39993" spans="5:9" ht="16.5" hidden="1">
      <c r="E39993" s="4" t="str">
        <v/>
      </c>
      <c r="F39993" s="102" t="str">
        <f ca="1">IFERROR(__xludf.DUMMYFUNCTION("IMPORTRANGE(H39993,""IDENTITAS UNIT!D9"")"),"#N/A")</f>
        <v>#N/A</v>
      </c>
      <c r="H39993" s="4" t="str">
        <v/>
      </c>
      <c r="I39993" s="4" t="str">
        <v/>
      </c>
    </row>
    <row r="39994" spans="5:9" ht="16.5" hidden="1">
      <c r="E39994" s="4" t="str">
        <v/>
      </c>
      <c r="F39994" s="102" t="str">
        <f ca="1">IFERROR(__xludf.DUMMYFUNCTION("IMPORTRANGE(H39994,""IDENTITAS UNIT!D9"")"),"#N/A")</f>
        <v>#N/A</v>
      </c>
      <c r="H39994" s="4" t="str">
        <v/>
      </c>
      <c r="I39994" s="4" t="str">
        <v/>
      </c>
    </row>
    <row r="39995" spans="5:9" ht="16.5" hidden="1">
      <c r="E39995" s="4" t="str">
        <v/>
      </c>
      <c r="F39995" s="102" t="str">
        <f ca="1">IFERROR(__xludf.DUMMYFUNCTION("IMPORTRANGE(H39995,""IDENTITAS UNIT!D9"")"),"#N/A")</f>
        <v>#N/A</v>
      </c>
      <c r="H39995" s="4" t="str">
        <v/>
      </c>
      <c r="I39995" s="4" t="str">
        <v/>
      </c>
    </row>
    <row r="39996" spans="5:9" ht="16.5" hidden="1">
      <c r="E39996" s="4" t="str">
        <v/>
      </c>
      <c r="F39996" s="102" t="str">
        <f ca="1">IFERROR(__xludf.DUMMYFUNCTION("IMPORTRANGE(H39996,""IDENTITAS UNIT!D9"")"),"#N/A")</f>
        <v>#N/A</v>
      </c>
      <c r="H39996" s="4" t="str">
        <v/>
      </c>
      <c r="I39996" s="4" t="str">
        <v/>
      </c>
    </row>
    <row r="39997" spans="5:9" ht="16.5" hidden="1">
      <c r="E39997" s="4" t="str">
        <v/>
      </c>
      <c r="F39997" s="102" t="str">
        <f ca="1">IFERROR(__xludf.DUMMYFUNCTION("IMPORTRANGE(H39997,""IDENTITAS UNIT!D9"")"),"#N/A")</f>
        <v>#N/A</v>
      </c>
      <c r="H39997" s="4" t="str">
        <v/>
      </c>
      <c r="I39997" s="4" t="str">
        <v/>
      </c>
    </row>
    <row r="39998" spans="5:9" ht="16.5" hidden="1">
      <c r="E39998" s="4" t="str">
        <v/>
      </c>
      <c r="F39998" s="102" t="str">
        <f ca="1">IFERROR(__xludf.DUMMYFUNCTION("IMPORTRANGE(H39998,""IDENTITAS UNIT!D9"")"),"#N/A")</f>
        <v>#N/A</v>
      </c>
      <c r="H39998" s="4" t="str">
        <v/>
      </c>
      <c r="I39998" s="4" t="str">
        <v/>
      </c>
    </row>
    <row r="39999" spans="5:9" ht="16.5" hidden="1">
      <c r="E39999" s="4" t="str">
        <v/>
      </c>
      <c r="F39999" s="102" t="str">
        <f ca="1">IFERROR(__xludf.DUMMYFUNCTION("IMPORTRANGE(H39999,""IDENTITAS UNIT!D9"")"),"#N/A")</f>
        <v>#N/A</v>
      </c>
      <c r="H39999" s="4" t="str">
        <v/>
      </c>
      <c r="I39999" s="4" t="str">
        <v/>
      </c>
    </row>
    <row r="40000" spans="5:9" ht="16.5" hidden="1">
      <c r="E40000" s="4" t="str">
        <v/>
      </c>
      <c r="F40000" s="102" t="str">
        <f ca="1">IFERROR(__xludf.DUMMYFUNCTION("IMPORTRANGE(H40000,""IDENTITAS UNIT!D9"")"),"#N/A")</f>
        <v>#N/A</v>
      </c>
      <c r="H40000" s="4" t="str">
        <v/>
      </c>
      <c r="I40000" s="4" t="str">
        <v/>
      </c>
    </row>
    <row r="40001" spans="5:9" ht="16.5" hidden="1">
      <c r="E40001" s="4" t="str">
        <v/>
      </c>
      <c r="F40001" s="102" t="str">
        <f ca="1">IFERROR(__xludf.DUMMYFUNCTION("IMPORTRANGE(H40001,""IDENTITAS UNIT!D9"")"),"#N/A")</f>
        <v>#N/A</v>
      </c>
      <c r="H40001" s="4" t="str">
        <v/>
      </c>
      <c r="I40001" s="4" t="str">
        <v/>
      </c>
    </row>
    <row r="40002" spans="5:9" ht="16.5" hidden="1">
      <c r="E40002" s="4" t="str">
        <v/>
      </c>
      <c r="F40002" s="102" t="str">
        <f ca="1">IFERROR(__xludf.DUMMYFUNCTION("IMPORTRANGE(H40002,""IDENTITAS UNIT!D9"")"),"#N/A")</f>
        <v>#N/A</v>
      </c>
      <c r="H40002" s="4" t="str">
        <v/>
      </c>
      <c r="I40002" s="4" t="str">
        <v/>
      </c>
    </row>
    <row r="40003" spans="5:9" ht="16.5" hidden="1">
      <c r="E40003" s="4" t="str">
        <v/>
      </c>
      <c r="F40003" s="102" t="str">
        <f ca="1">IFERROR(__xludf.DUMMYFUNCTION("IMPORTRANGE(H40003,""IDENTITAS UNIT!D9"")"),"#N/A")</f>
        <v>#N/A</v>
      </c>
      <c r="H40003" s="4" t="str">
        <v/>
      </c>
      <c r="I40003" s="4" t="str">
        <v/>
      </c>
    </row>
    <row r="40004" spans="5:9" ht="16.5" hidden="1">
      <c r="E40004" s="4" t="str">
        <v/>
      </c>
      <c r="F40004" s="102" t="str">
        <f ca="1">IFERROR(__xludf.DUMMYFUNCTION("IMPORTRANGE(H40004,""IDENTITAS UNIT!D9"")"),"#N/A")</f>
        <v>#N/A</v>
      </c>
      <c r="H40004" s="4" t="str">
        <v/>
      </c>
      <c r="I40004" s="4" t="str">
        <v/>
      </c>
    </row>
    <row r="40005" spans="5:9" ht="16.5" hidden="1">
      <c r="E40005" s="4" t="str">
        <v/>
      </c>
      <c r="F40005" s="102" t="str">
        <f ca="1">IFERROR(__xludf.DUMMYFUNCTION("IMPORTRANGE(H40005,""IDENTITAS UNIT!D9"")"),"#N/A")</f>
        <v>#N/A</v>
      </c>
      <c r="H40005" s="4" t="str">
        <v/>
      </c>
      <c r="I40005" s="4" t="str">
        <v/>
      </c>
    </row>
    <row r="40006" spans="5:9" ht="16.5" hidden="1">
      <c r="E40006" s="4" t="str">
        <v/>
      </c>
      <c r="F40006" s="102" t="str">
        <f ca="1">IFERROR(__xludf.DUMMYFUNCTION("IMPORTRANGE(H40006,""IDENTITAS UNIT!D9"")"),"#N/A")</f>
        <v>#N/A</v>
      </c>
      <c r="H40006" s="4" t="str">
        <v/>
      </c>
      <c r="I40006" s="4" t="str">
        <v/>
      </c>
    </row>
    <row r="40007" spans="5:9" ht="16.5" hidden="1">
      <c r="E40007" s="4" t="str">
        <v/>
      </c>
      <c r="F40007" s="102" t="str">
        <f ca="1">IFERROR(__xludf.DUMMYFUNCTION("IMPORTRANGE(H40007,""IDENTITAS UNIT!D9"")"),"#N/A")</f>
        <v>#N/A</v>
      </c>
      <c r="H40007" s="4" t="str">
        <v/>
      </c>
      <c r="I40007" s="4" t="str">
        <v/>
      </c>
    </row>
    <row r="40008" spans="5:9" ht="16.5" hidden="1">
      <c r="E40008" s="4" t="str">
        <v/>
      </c>
      <c r="F40008" s="102" t="str">
        <f ca="1">IFERROR(__xludf.DUMMYFUNCTION("IMPORTRANGE(H40008,""IDENTITAS UNIT!D9"")"),"#N/A")</f>
        <v>#N/A</v>
      </c>
      <c r="H40008" s="4" t="str">
        <v/>
      </c>
      <c r="I40008" s="4" t="str">
        <v/>
      </c>
    </row>
    <row r="40009" spans="5:9" ht="16.5" hidden="1">
      <c r="E40009" s="4" t="str">
        <v/>
      </c>
      <c r="F40009" s="102" t="str">
        <f ca="1">IFERROR(__xludf.DUMMYFUNCTION("IMPORTRANGE(H40009,""IDENTITAS UNIT!D9"")"),"#N/A")</f>
        <v>#N/A</v>
      </c>
      <c r="H40009" s="4" t="str">
        <v/>
      </c>
      <c r="I40009" s="4" t="str">
        <v/>
      </c>
    </row>
    <row r="40010" spans="5:9" ht="16.5" hidden="1">
      <c r="E40010" s="4" t="str">
        <v/>
      </c>
      <c r="F40010" s="102" t="str">
        <f ca="1">IFERROR(__xludf.DUMMYFUNCTION("IMPORTRANGE(H40010,""IDENTITAS UNIT!D9"")"),"#N/A")</f>
        <v>#N/A</v>
      </c>
      <c r="H40010" s="4" t="str">
        <v/>
      </c>
      <c r="I40010" s="4" t="str">
        <v/>
      </c>
    </row>
    <row r="40011" spans="5:9" ht="16.5" hidden="1">
      <c r="E40011" s="4" t="str">
        <v/>
      </c>
      <c r="F40011" s="102" t="str">
        <f ca="1">IFERROR(__xludf.DUMMYFUNCTION("IMPORTRANGE(H40011,""IDENTITAS UNIT!D9"")"),"#N/A")</f>
        <v>#N/A</v>
      </c>
      <c r="H40011" s="4" t="str">
        <v/>
      </c>
      <c r="I40011" s="4" t="str">
        <v/>
      </c>
    </row>
    <row r="40012" spans="5:9" ht="16.5" hidden="1">
      <c r="E40012" s="4" t="str">
        <v/>
      </c>
      <c r="F40012" s="102" t="str">
        <f ca="1">IFERROR(__xludf.DUMMYFUNCTION("IMPORTRANGE(H40012,""IDENTITAS UNIT!D9"")"),"#N/A")</f>
        <v>#N/A</v>
      </c>
      <c r="H40012" s="4" t="str">
        <v/>
      </c>
      <c r="I40012" s="4" t="str">
        <v/>
      </c>
    </row>
    <row r="40013" spans="5:9" ht="16.5" hidden="1">
      <c r="E40013" s="4" t="str">
        <v/>
      </c>
      <c r="F40013" s="102" t="str">
        <f ca="1">IFERROR(__xludf.DUMMYFUNCTION("IMPORTRANGE(H40013,""IDENTITAS UNIT!D9"")"),"#N/A")</f>
        <v>#N/A</v>
      </c>
      <c r="H40013" s="4" t="str">
        <v/>
      </c>
      <c r="I40013" s="4" t="str">
        <v/>
      </c>
    </row>
    <row r="40014" spans="5:9" ht="16.5" hidden="1">
      <c r="E40014" s="4" t="str">
        <v/>
      </c>
      <c r="F40014" s="102" t="str">
        <f ca="1">IFERROR(__xludf.DUMMYFUNCTION("IMPORTRANGE(H40014,""IDENTITAS UNIT!D9"")"),"#N/A")</f>
        <v>#N/A</v>
      </c>
      <c r="H40014" s="4" t="str">
        <v/>
      </c>
      <c r="I40014" s="4" t="str">
        <v/>
      </c>
    </row>
    <row r="40015" spans="5:9" ht="16.5" hidden="1">
      <c r="E40015" s="4" t="str">
        <v/>
      </c>
      <c r="F40015" s="102" t="str">
        <f ca="1">IFERROR(__xludf.DUMMYFUNCTION("IMPORTRANGE(H40015,""IDENTITAS UNIT!D9"")"),"#N/A")</f>
        <v>#N/A</v>
      </c>
      <c r="H40015" s="4" t="str">
        <v/>
      </c>
      <c r="I40015" s="4" t="str">
        <v/>
      </c>
    </row>
    <row r="40016" spans="5:9" ht="16.5" hidden="1">
      <c r="E40016" s="4" t="str">
        <v/>
      </c>
      <c r="F40016" s="102" t="str">
        <f ca="1">IFERROR(__xludf.DUMMYFUNCTION("IMPORTRANGE(H40016,""IDENTITAS UNIT!D9"")"),"#N/A")</f>
        <v>#N/A</v>
      </c>
      <c r="H40016" s="4" t="str">
        <v/>
      </c>
      <c r="I40016" s="4" t="str">
        <v/>
      </c>
    </row>
    <row r="40017" spans="5:9" ht="16.5" hidden="1">
      <c r="E40017" s="4" t="str">
        <v/>
      </c>
      <c r="F40017" s="102" t="str">
        <f ca="1">IFERROR(__xludf.DUMMYFUNCTION("IMPORTRANGE(H40017,""IDENTITAS UNIT!D9"")"),"#N/A")</f>
        <v>#N/A</v>
      </c>
      <c r="H40017" s="4" t="str">
        <v/>
      </c>
      <c r="I40017" s="4" t="str">
        <v/>
      </c>
    </row>
    <row r="40018" spans="5:9" ht="16.5" hidden="1">
      <c r="E40018" s="4" t="str">
        <v/>
      </c>
      <c r="F40018" s="102" t="str">
        <f ca="1">IFERROR(__xludf.DUMMYFUNCTION("IMPORTRANGE(H40018,""IDENTITAS UNIT!D9"")"),"#N/A")</f>
        <v>#N/A</v>
      </c>
      <c r="H40018" s="4" t="str">
        <v/>
      </c>
      <c r="I40018" s="4" t="str">
        <v/>
      </c>
    </row>
    <row r="40019" spans="5:9" ht="16.5" hidden="1">
      <c r="E40019" s="4" t="str">
        <v/>
      </c>
      <c r="F40019" s="102" t="str">
        <f ca="1">IFERROR(__xludf.DUMMYFUNCTION("IMPORTRANGE(H40019,""IDENTITAS UNIT!D9"")"),"#N/A")</f>
        <v>#N/A</v>
      </c>
      <c r="H40019" s="4" t="str">
        <v/>
      </c>
      <c r="I40019" s="4" t="str">
        <v/>
      </c>
    </row>
    <row r="40020" spans="5:9" ht="16.5" hidden="1">
      <c r="E40020" s="4" t="str">
        <v/>
      </c>
      <c r="F40020" s="102" t="str">
        <f ca="1">IFERROR(__xludf.DUMMYFUNCTION("IMPORTRANGE(H40020,""IDENTITAS UNIT!D9"")"),"#N/A")</f>
        <v>#N/A</v>
      </c>
      <c r="H40020" s="4" t="str">
        <v/>
      </c>
      <c r="I40020" s="4" t="str">
        <v/>
      </c>
    </row>
    <row r="40021" spans="5:9" ht="16.5" hidden="1">
      <c r="E40021" s="4" t="str">
        <v/>
      </c>
      <c r="F40021" s="102" t="str">
        <f ca="1">IFERROR(__xludf.DUMMYFUNCTION("IMPORTRANGE(H40021,""IDENTITAS UNIT!D9"")"),"#N/A")</f>
        <v>#N/A</v>
      </c>
      <c r="H40021" s="4" t="str">
        <v/>
      </c>
      <c r="I40021" s="4" t="str">
        <v/>
      </c>
    </row>
    <row r="40022" spans="5:9" ht="16.5" hidden="1">
      <c r="E40022" s="4" t="str">
        <v/>
      </c>
      <c r="F40022" s="102" t="str">
        <f ca="1">IFERROR(__xludf.DUMMYFUNCTION("IMPORTRANGE(H40022,""IDENTITAS UNIT!D9"")"),"#N/A")</f>
        <v>#N/A</v>
      </c>
      <c r="H40022" s="4" t="str">
        <v/>
      </c>
      <c r="I40022" s="4" t="str">
        <v/>
      </c>
    </row>
    <row r="40023" spans="5:9" ht="16.5" hidden="1">
      <c r="E40023" s="4" t="str">
        <v/>
      </c>
      <c r="F40023" s="102" t="str">
        <f ca="1">IFERROR(__xludf.DUMMYFUNCTION("IMPORTRANGE(H40023,""IDENTITAS UNIT!D9"")"),"#N/A")</f>
        <v>#N/A</v>
      </c>
      <c r="H40023" s="4" t="str">
        <v/>
      </c>
      <c r="I40023" s="4" t="str">
        <v/>
      </c>
    </row>
    <row r="40024" spans="5:9" ht="16.5" hidden="1">
      <c r="E40024" s="4" t="str">
        <v/>
      </c>
      <c r="F40024" s="102" t="str">
        <f ca="1">IFERROR(__xludf.DUMMYFUNCTION("IMPORTRANGE(H40024,""IDENTITAS UNIT!D9"")"),"#N/A")</f>
        <v>#N/A</v>
      </c>
      <c r="H40024" s="4" t="str">
        <v/>
      </c>
      <c r="I40024" s="4" t="str">
        <v/>
      </c>
    </row>
    <row r="40025" spans="5:9" ht="16.5" hidden="1">
      <c r="E40025" s="4" t="str">
        <v/>
      </c>
      <c r="F40025" s="102" t="str">
        <f ca="1">IFERROR(__xludf.DUMMYFUNCTION("IMPORTRANGE(H40025,""IDENTITAS UNIT!D9"")"),"#N/A")</f>
        <v>#N/A</v>
      </c>
      <c r="H40025" s="4" t="str">
        <v/>
      </c>
      <c r="I40025" s="4" t="str">
        <v/>
      </c>
    </row>
    <row r="40026" spans="5:9" ht="16.5" hidden="1">
      <c r="E40026" s="4" t="str">
        <v/>
      </c>
      <c r="F40026" s="102" t="str">
        <f ca="1">IFERROR(__xludf.DUMMYFUNCTION("IMPORTRANGE(H40026,""IDENTITAS UNIT!D9"")"),"#N/A")</f>
        <v>#N/A</v>
      </c>
      <c r="H40026" s="4" t="str">
        <v/>
      </c>
      <c r="I40026" s="4" t="str">
        <v/>
      </c>
    </row>
    <row r="40027" spans="5:9" ht="16.5" hidden="1">
      <c r="E40027" s="4" t="str">
        <v/>
      </c>
      <c r="F40027" s="102" t="str">
        <f ca="1">IFERROR(__xludf.DUMMYFUNCTION("IMPORTRANGE(H40027,""IDENTITAS UNIT!D9"")"),"#N/A")</f>
        <v>#N/A</v>
      </c>
      <c r="H40027" s="4" t="str">
        <v/>
      </c>
      <c r="I40027" s="4" t="str">
        <v/>
      </c>
    </row>
    <row r="40028" spans="5:9" ht="16.5" hidden="1">
      <c r="E40028" s="4" t="str">
        <v/>
      </c>
      <c r="F40028" s="102" t="str">
        <f ca="1">IFERROR(__xludf.DUMMYFUNCTION("IMPORTRANGE(H40028,""IDENTITAS UNIT!D9"")"),"#N/A")</f>
        <v>#N/A</v>
      </c>
      <c r="H40028" s="4" t="str">
        <v/>
      </c>
      <c r="I40028" s="4" t="str">
        <v/>
      </c>
    </row>
    <row r="40029" spans="5:9" ht="16.5" hidden="1">
      <c r="E40029" s="4" t="str">
        <v/>
      </c>
      <c r="F40029" s="102" t="str">
        <f ca="1">IFERROR(__xludf.DUMMYFUNCTION("IMPORTRANGE(H40029,""IDENTITAS UNIT!D9"")"),"#N/A")</f>
        <v>#N/A</v>
      </c>
      <c r="H40029" s="4" t="str">
        <v/>
      </c>
      <c r="I40029" s="4" t="str">
        <v/>
      </c>
    </row>
    <row r="40030" spans="5:9" ht="16.5" hidden="1">
      <c r="E40030" s="4" t="str">
        <v/>
      </c>
      <c r="F40030" s="102" t="str">
        <f ca="1">IFERROR(__xludf.DUMMYFUNCTION("IMPORTRANGE(H40030,""IDENTITAS UNIT!D9"")"),"#N/A")</f>
        <v>#N/A</v>
      </c>
      <c r="H40030" s="4" t="str">
        <v/>
      </c>
      <c r="I40030" s="4" t="str">
        <v/>
      </c>
    </row>
    <row r="40031" spans="5:9" ht="16.5" hidden="1">
      <c r="E40031" s="4" t="str">
        <v/>
      </c>
      <c r="F40031" s="102" t="str">
        <f ca="1">IFERROR(__xludf.DUMMYFUNCTION("IMPORTRANGE(H40031,""IDENTITAS UNIT!D9"")"),"#N/A")</f>
        <v>#N/A</v>
      </c>
      <c r="H40031" s="4" t="str">
        <v/>
      </c>
      <c r="I40031" s="4" t="str">
        <v/>
      </c>
    </row>
    <row r="40032" spans="5:9" ht="16.5" hidden="1">
      <c r="E40032" s="4" t="str">
        <v/>
      </c>
      <c r="F40032" s="102" t="str">
        <f ca="1">IFERROR(__xludf.DUMMYFUNCTION("IMPORTRANGE(H40032,""IDENTITAS UNIT!D9"")"),"#N/A")</f>
        <v>#N/A</v>
      </c>
      <c r="H40032" s="4" t="str">
        <v/>
      </c>
      <c r="I40032" s="4" t="str">
        <v/>
      </c>
    </row>
    <row r="40033" spans="5:9" ht="16.5" hidden="1">
      <c r="E40033" s="4" t="str">
        <v/>
      </c>
      <c r="F40033" s="102" t="str">
        <f ca="1">IFERROR(__xludf.DUMMYFUNCTION("IMPORTRANGE(H40033,""IDENTITAS UNIT!D9"")"),"#N/A")</f>
        <v>#N/A</v>
      </c>
      <c r="H40033" s="4" t="str">
        <v/>
      </c>
      <c r="I40033" s="4" t="str">
        <v/>
      </c>
    </row>
    <row r="40034" spans="5:9" ht="16.5" hidden="1">
      <c r="E40034" s="4" t="str">
        <v/>
      </c>
      <c r="F40034" s="102" t="str">
        <f ca="1">IFERROR(__xludf.DUMMYFUNCTION("IMPORTRANGE(H40034,""IDENTITAS UNIT!D9"")"),"#N/A")</f>
        <v>#N/A</v>
      </c>
      <c r="H40034" s="4" t="str">
        <v/>
      </c>
      <c r="I40034" s="4" t="str">
        <v/>
      </c>
    </row>
    <row r="40035" spans="5:9" ht="16.5" hidden="1">
      <c r="E40035" s="4" t="str">
        <v/>
      </c>
      <c r="F40035" s="102" t="str">
        <f ca="1">IFERROR(__xludf.DUMMYFUNCTION("IMPORTRANGE(H40035,""IDENTITAS UNIT!D9"")"),"#N/A")</f>
        <v>#N/A</v>
      </c>
      <c r="H40035" s="4" t="str">
        <v/>
      </c>
      <c r="I40035" s="4" t="str">
        <v/>
      </c>
    </row>
    <row r="40036" spans="5:9" ht="16.5" hidden="1">
      <c r="E40036" s="4" t="str">
        <v/>
      </c>
      <c r="F40036" s="102" t="str">
        <f ca="1">IFERROR(__xludf.DUMMYFUNCTION("IMPORTRANGE(H40036,""IDENTITAS UNIT!D9"")"),"#N/A")</f>
        <v>#N/A</v>
      </c>
      <c r="H40036" s="4" t="str">
        <v/>
      </c>
      <c r="I40036" s="4" t="str">
        <v/>
      </c>
    </row>
    <row r="40037" spans="5:9" ht="16.5" hidden="1">
      <c r="E40037" s="4" t="str">
        <v/>
      </c>
      <c r="F40037" s="102" t="str">
        <f ca="1">IFERROR(__xludf.DUMMYFUNCTION("IMPORTRANGE(H40037,""IDENTITAS UNIT!D9"")"),"#N/A")</f>
        <v>#N/A</v>
      </c>
      <c r="H40037" s="4" t="str">
        <v/>
      </c>
      <c r="I40037" s="4" t="str">
        <v/>
      </c>
    </row>
    <row r="40038" spans="5:9" ht="16.5" hidden="1">
      <c r="E40038" s="4" t="str">
        <v/>
      </c>
      <c r="F40038" s="102" t="str">
        <f ca="1">IFERROR(__xludf.DUMMYFUNCTION("IMPORTRANGE(H40038,""IDENTITAS UNIT!D9"")"),"#N/A")</f>
        <v>#N/A</v>
      </c>
      <c r="H40038" s="4" t="str">
        <v/>
      </c>
      <c r="I40038" s="4" t="str">
        <v/>
      </c>
    </row>
    <row r="40039" spans="5:9" ht="16.5" hidden="1">
      <c r="E40039" s="4" t="str">
        <v/>
      </c>
      <c r="F40039" s="102" t="str">
        <f ca="1">IFERROR(__xludf.DUMMYFUNCTION("IMPORTRANGE(H40039,""IDENTITAS UNIT!D9"")"),"#N/A")</f>
        <v>#N/A</v>
      </c>
      <c r="H40039" s="4" t="str">
        <v/>
      </c>
      <c r="I40039" s="4" t="str">
        <v/>
      </c>
    </row>
    <row r="40040" spans="5:9" ht="16.5" hidden="1">
      <c r="E40040" s="4" t="str">
        <v/>
      </c>
      <c r="F40040" s="102" t="str">
        <f ca="1">IFERROR(__xludf.DUMMYFUNCTION("IMPORTRANGE(H40040,""IDENTITAS UNIT!D9"")"),"#N/A")</f>
        <v>#N/A</v>
      </c>
      <c r="H40040" s="4" t="str">
        <v/>
      </c>
      <c r="I40040" s="4" t="str">
        <v/>
      </c>
    </row>
    <row r="40041" spans="5:9" ht="16.5" hidden="1">
      <c r="E40041" s="4" t="str">
        <v/>
      </c>
      <c r="F40041" s="102" t="str">
        <f ca="1">IFERROR(__xludf.DUMMYFUNCTION("IMPORTRANGE(H40041,""IDENTITAS UNIT!D9"")"),"#N/A")</f>
        <v>#N/A</v>
      </c>
      <c r="H40041" s="4" t="str">
        <v/>
      </c>
      <c r="I40041" s="4" t="str">
        <v/>
      </c>
    </row>
    <row r="40042" spans="5:9" ht="16.5" hidden="1">
      <c r="E40042" s="4" t="str">
        <v/>
      </c>
      <c r="F40042" s="102" t="str">
        <f ca="1">IFERROR(__xludf.DUMMYFUNCTION("IMPORTRANGE(H40042,""IDENTITAS UNIT!D9"")"),"#N/A")</f>
        <v>#N/A</v>
      </c>
      <c r="H40042" s="4" t="str">
        <v/>
      </c>
      <c r="I40042" s="4" t="str">
        <v/>
      </c>
    </row>
    <row r="40043" spans="5:9" ht="16.5" hidden="1">
      <c r="E40043" s="4" t="str">
        <v/>
      </c>
      <c r="F40043" s="102" t="str">
        <f ca="1">IFERROR(__xludf.DUMMYFUNCTION("IMPORTRANGE(H40043,""IDENTITAS UNIT!D9"")"),"#N/A")</f>
        <v>#N/A</v>
      </c>
      <c r="H40043" s="4" t="str">
        <v/>
      </c>
      <c r="I40043" s="4" t="str">
        <v/>
      </c>
    </row>
    <row r="40044" spans="5:9" ht="16.5" hidden="1">
      <c r="E40044" s="4" t="str">
        <v/>
      </c>
      <c r="F40044" s="102" t="str">
        <f ca="1">IFERROR(__xludf.DUMMYFUNCTION("IMPORTRANGE(H40044,""IDENTITAS UNIT!D9"")"),"#N/A")</f>
        <v>#N/A</v>
      </c>
      <c r="H40044" s="4" t="str">
        <v/>
      </c>
      <c r="I40044" s="4" t="str">
        <v/>
      </c>
    </row>
    <row r="40045" spans="5:9" ht="16.5" hidden="1">
      <c r="E40045" s="4" t="str">
        <v/>
      </c>
      <c r="F40045" s="102" t="str">
        <f ca="1">IFERROR(__xludf.DUMMYFUNCTION("IMPORTRANGE(H40045,""IDENTITAS UNIT!D9"")"),"#N/A")</f>
        <v>#N/A</v>
      </c>
      <c r="H40045" s="4" t="str">
        <v/>
      </c>
      <c r="I40045" s="4" t="str">
        <v/>
      </c>
    </row>
    <row r="40046" spans="5:9" ht="16.5" hidden="1">
      <c r="E40046" s="4" t="str">
        <v/>
      </c>
      <c r="F40046" s="102" t="str">
        <f ca="1">IFERROR(__xludf.DUMMYFUNCTION("IMPORTRANGE(H40046,""IDENTITAS UNIT!D9"")"),"#N/A")</f>
        <v>#N/A</v>
      </c>
      <c r="H40046" s="4" t="str">
        <v/>
      </c>
      <c r="I40046" s="4" t="str">
        <v/>
      </c>
    </row>
    <row r="40047" spans="5:9" ht="16.5" hidden="1">
      <c r="E40047" s="4" t="str">
        <v/>
      </c>
      <c r="F40047" s="102" t="str">
        <f ca="1">IFERROR(__xludf.DUMMYFUNCTION("IMPORTRANGE(H40047,""IDENTITAS UNIT!D9"")"),"#N/A")</f>
        <v>#N/A</v>
      </c>
      <c r="H40047" s="4" t="str">
        <v/>
      </c>
      <c r="I40047" s="4" t="str">
        <v/>
      </c>
    </row>
    <row r="40048" spans="5:9" ht="16.5" hidden="1">
      <c r="E40048" s="4" t="str">
        <v/>
      </c>
      <c r="F40048" s="102" t="str">
        <f ca="1">IFERROR(__xludf.DUMMYFUNCTION("IMPORTRANGE(H40048,""IDENTITAS UNIT!D9"")"),"#N/A")</f>
        <v>#N/A</v>
      </c>
      <c r="H40048" s="4" t="str">
        <v/>
      </c>
      <c r="I40048" s="4" t="str">
        <v/>
      </c>
    </row>
    <row r="40049" spans="5:9" ht="16.5" hidden="1">
      <c r="E40049" s="4" t="str">
        <v/>
      </c>
      <c r="F40049" s="102" t="str">
        <f ca="1">IFERROR(__xludf.DUMMYFUNCTION("IMPORTRANGE(H40049,""IDENTITAS UNIT!D9"")"),"#N/A")</f>
        <v>#N/A</v>
      </c>
      <c r="H40049" s="4" t="str">
        <v/>
      </c>
      <c r="I40049" s="4" t="str">
        <v/>
      </c>
    </row>
    <row r="40050" spans="5:9" ht="16.5" hidden="1">
      <c r="E40050" s="4" t="str">
        <v/>
      </c>
      <c r="F40050" s="102" t="str">
        <f ca="1">IFERROR(__xludf.DUMMYFUNCTION("IMPORTRANGE(H40050,""IDENTITAS UNIT!D9"")"),"#N/A")</f>
        <v>#N/A</v>
      </c>
      <c r="H40050" s="4" t="str">
        <v/>
      </c>
      <c r="I40050" s="4" t="str">
        <v/>
      </c>
    </row>
    <row r="40051" spans="5:9" ht="16.5" hidden="1">
      <c r="E40051" s="4" t="str">
        <v/>
      </c>
      <c r="F40051" s="102" t="str">
        <f ca="1">IFERROR(__xludf.DUMMYFUNCTION("IMPORTRANGE(H40051,""IDENTITAS UNIT!D9"")"),"#N/A")</f>
        <v>#N/A</v>
      </c>
      <c r="H40051" s="4" t="str">
        <v/>
      </c>
      <c r="I40051" s="4" t="str">
        <v/>
      </c>
    </row>
    <row r="40052" spans="5:9" ht="16.5" hidden="1">
      <c r="E40052" s="4" t="str">
        <v/>
      </c>
      <c r="F40052" s="102" t="str">
        <f ca="1">IFERROR(__xludf.DUMMYFUNCTION("IMPORTRANGE(H40052,""IDENTITAS UNIT!D9"")"),"#N/A")</f>
        <v>#N/A</v>
      </c>
      <c r="H40052" s="4" t="str">
        <v/>
      </c>
      <c r="I40052" s="4" t="str">
        <v/>
      </c>
    </row>
    <row r="40053" spans="5:9" ht="16.5" hidden="1">
      <c r="E40053" s="4" t="str">
        <v/>
      </c>
      <c r="F40053" s="102" t="str">
        <f ca="1">IFERROR(__xludf.DUMMYFUNCTION("IMPORTRANGE(H40053,""IDENTITAS UNIT!D9"")"),"#N/A")</f>
        <v>#N/A</v>
      </c>
      <c r="H40053" s="4" t="str">
        <v/>
      </c>
      <c r="I40053" s="4" t="str">
        <v/>
      </c>
    </row>
    <row r="40054" spans="5:9" ht="16.5" hidden="1">
      <c r="E40054" s="4" t="str">
        <v/>
      </c>
      <c r="F40054" s="102" t="str">
        <f ca="1">IFERROR(__xludf.DUMMYFUNCTION("IMPORTRANGE(H40054,""IDENTITAS UNIT!D9"")"),"#N/A")</f>
        <v>#N/A</v>
      </c>
      <c r="H40054" s="4" t="str">
        <v/>
      </c>
      <c r="I40054" s="4" t="str">
        <v/>
      </c>
    </row>
    <row r="40055" spans="5:9" ht="16.5" hidden="1">
      <c r="E40055" s="4" t="str">
        <v/>
      </c>
      <c r="F40055" s="102" t="str">
        <f ca="1">IFERROR(__xludf.DUMMYFUNCTION("IMPORTRANGE(H40055,""IDENTITAS UNIT!D9"")"),"#N/A")</f>
        <v>#N/A</v>
      </c>
      <c r="H40055" s="4" t="str">
        <v/>
      </c>
      <c r="I40055" s="4" t="str">
        <v/>
      </c>
    </row>
    <row r="40056" spans="5:9" ht="16.5" hidden="1">
      <c r="E40056" s="4" t="str">
        <v/>
      </c>
      <c r="F40056" s="102" t="str">
        <f ca="1">IFERROR(__xludf.DUMMYFUNCTION("IMPORTRANGE(H40056,""IDENTITAS UNIT!D9"")"),"#N/A")</f>
        <v>#N/A</v>
      </c>
      <c r="H40056" s="4" t="str">
        <v/>
      </c>
      <c r="I40056" s="4" t="str">
        <v/>
      </c>
    </row>
    <row r="40057" spans="5:9" ht="16.5" hidden="1">
      <c r="E40057" s="4" t="str">
        <v/>
      </c>
      <c r="F40057" s="102" t="str">
        <f ca="1">IFERROR(__xludf.DUMMYFUNCTION("IMPORTRANGE(H40057,""IDENTITAS UNIT!D9"")"),"#N/A")</f>
        <v>#N/A</v>
      </c>
      <c r="H40057" s="4" t="str">
        <v/>
      </c>
      <c r="I40057" s="4" t="str">
        <v/>
      </c>
    </row>
    <row r="40058" spans="5:9" ht="16.5" hidden="1">
      <c r="E40058" s="4" t="str">
        <v/>
      </c>
      <c r="F40058" s="102" t="str">
        <f ca="1">IFERROR(__xludf.DUMMYFUNCTION("IMPORTRANGE(H40058,""IDENTITAS UNIT!D9"")"),"#N/A")</f>
        <v>#N/A</v>
      </c>
      <c r="H40058" s="4" t="str">
        <v/>
      </c>
      <c r="I40058" s="4" t="str">
        <v/>
      </c>
    </row>
    <row r="40059" spans="5:9" ht="16.5" hidden="1">
      <c r="E40059" s="4" t="str">
        <v/>
      </c>
      <c r="F40059" s="102" t="str">
        <f ca="1">IFERROR(__xludf.DUMMYFUNCTION("IMPORTRANGE(H40059,""IDENTITAS UNIT!D9"")"),"#N/A")</f>
        <v>#N/A</v>
      </c>
      <c r="H40059" s="4" t="str">
        <v/>
      </c>
      <c r="I40059" s="4" t="str">
        <v/>
      </c>
    </row>
    <row r="40060" spans="5:9" ht="16.5" hidden="1">
      <c r="E40060" s="4" t="str">
        <v/>
      </c>
      <c r="F40060" s="102" t="str">
        <f ca="1">IFERROR(__xludf.DUMMYFUNCTION("IMPORTRANGE(H40060,""IDENTITAS UNIT!D9"")"),"#N/A")</f>
        <v>#N/A</v>
      </c>
      <c r="H40060" s="4" t="str">
        <v/>
      </c>
      <c r="I40060" s="4" t="str">
        <v/>
      </c>
    </row>
    <row r="40061" spans="5:9" ht="16.5" hidden="1">
      <c r="E40061" s="4" t="str">
        <v/>
      </c>
      <c r="F40061" s="102" t="str">
        <f ca="1">IFERROR(__xludf.DUMMYFUNCTION("IMPORTRANGE(H40061,""IDENTITAS UNIT!D9"")"),"#N/A")</f>
        <v>#N/A</v>
      </c>
      <c r="H40061" s="4" t="str">
        <v/>
      </c>
      <c r="I40061" s="4" t="str">
        <v/>
      </c>
    </row>
    <row r="40062" spans="5:9" ht="16.5" hidden="1">
      <c r="E40062" s="4" t="str">
        <v/>
      </c>
      <c r="F40062" s="102" t="str">
        <f ca="1">IFERROR(__xludf.DUMMYFUNCTION("IMPORTRANGE(H40062,""IDENTITAS UNIT!D9"")"),"#N/A")</f>
        <v>#N/A</v>
      </c>
      <c r="H40062" s="4" t="str">
        <v/>
      </c>
      <c r="I40062" s="4" t="str">
        <v/>
      </c>
    </row>
    <row r="40063" spans="5:9" ht="16.5" hidden="1">
      <c r="E40063" s="4" t="str">
        <v/>
      </c>
      <c r="F40063" s="102" t="str">
        <f ca="1">IFERROR(__xludf.DUMMYFUNCTION("IMPORTRANGE(H40063,""IDENTITAS UNIT!D9"")"),"#N/A")</f>
        <v>#N/A</v>
      </c>
      <c r="H40063" s="4" t="str">
        <v/>
      </c>
      <c r="I40063" s="4" t="str">
        <v/>
      </c>
    </row>
    <row r="40064" spans="5:9" ht="16.5" hidden="1">
      <c r="E40064" s="4" t="str">
        <v/>
      </c>
      <c r="F40064" s="102" t="str">
        <f ca="1">IFERROR(__xludf.DUMMYFUNCTION("IMPORTRANGE(H40064,""IDENTITAS UNIT!D9"")"),"#N/A")</f>
        <v>#N/A</v>
      </c>
      <c r="H40064" s="4" t="str">
        <v/>
      </c>
      <c r="I40064" s="4" t="str">
        <v/>
      </c>
    </row>
    <row r="40065" spans="5:9" ht="16.5" hidden="1">
      <c r="E40065" s="4" t="str">
        <v/>
      </c>
      <c r="F40065" s="102" t="str">
        <f ca="1">IFERROR(__xludf.DUMMYFUNCTION("IMPORTRANGE(H40065,""IDENTITAS UNIT!D9"")"),"#N/A")</f>
        <v>#N/A</v>
      </c>
      <c r="H40065" s="4" t="str">
        <v/>
      </c>
      <c r="I40065" s="4" t="str">
        <v/>
      </c>
    </row>
    <row r="40066" spans="5:9" ht="16.5" hidden="1">
      <c r="E40066" s="4" t="str">
        <v/>
      </c>
      <c r="F40066" s="102" t="str">
        <f ca="1">IFERROR(__xludf.DUMMYFUNCTION("IMPORTRANGE(H40066,""IDENTITAS UNIT!D9"")"),"#N/A")</f>
        <v>#N/A</v>
      </c>
      <c r="H40066" s="4" t="str">
        <v/>
      </c>
      <c r="I40066" s="4" t="str">
        <v/>
      </c>
    </row>
    <row r="40067" spans="5:9" ht="16.5" hidden="1">
      <c r="E40067" s="4" t="str">
        <v/>
      </c>
      <c r="F40067" s="102" t="str">
        <f ca="1">IFERROR(__xludf.DUMMYFUNCTION("IMPORTRANGE(H40067,""IDENTITAS UNIT!D9"")"),"#N/A")</f>
        <v>#N/A</v>
      </c>
      <c r="H40067" s="4" t="str">
        <v/>
      </c>
      <c r="I40067" s="4" t="str">
        <v/>
      </c>
    </row>
    <row r="40068" spans="5:9" ht="16.5" hidden="1">
      <c r="E40068" s="4" t="str">
        <v/>
      </c>
      <c r="F40068" s="102" t="str">
        <f ca="1">IFERROR(__xludf.DUMMYFUNCTION("IMPORTRANGE(H40068,""IDENTITAS UNIT!D9"")"),"#N/A")</f>
        <v>#N/A</v>
      </c>
      <c r="H40068" s="4" t="str">
        <v/>
      </c>
      <c r="I40068" s="4" t="str">
        <v/>
      </c>
    </row>
    <row r="40069" spans="5:9" ht="16.5" hidden="1">
      <c r="E40069" s="4" t="str">
        <v/>
      </c>
      <c r="F40069" s="102" t="str">
        <f ca="1">IFERROR(__xludf.DUMMYFUNCTION("IMPORTRANGE(H40069,""IDENTITAS UNIT!D9"")"),"#N/A")</f>
        <v>#N/A</v>
      </c>
      <c r="H40069" s="4" t="str">
        <v/>
      </c>
      <c r="I40069" s="4" t="str">
        <v/>
      </c>
    </row>
    <row r="40070" spans="5:9" ht="16.5" hidden="1">
      <c r="E40070" s="4" t="str">
        <v/>
      </c>
      <c r="F40070" s="102" t="str">
        <f ca="1">IFERROR(__xludf.DUMMYFUNCTION("IMPORTRANGE(H40070,""IDENTITAS UNIT!D9"")"),"#N/A")</f>
        <v>#N/A</v>
      </c>
      <c r="H40070" s="4" t="str">
        <v/>
      </c>
      <c r="I40070" s="4" t="str">
        <v/>
      </c>
    </row>
    <row r="40071" spans="5:9" ht="16.5" hidden="1">
      <c r="E40071" s="4" t="str">
        <v/>
      </c>
      <c r="F40071" s="102" t="str">
        <f ca="1">IFERROR(__xludf.DUMMYFUNCTION("IMPORTRANGE(H40071,""IDENTITAS UNIT!D9"")"),"#N/A")</f>
        <v>#N/A</v>
      </c>
      <c r="H40071" s="4" t="str">
        <v/>
      </c>
      <c r="I40071" s="4" t="str">
        <v/>
      </c>
    </row>
    <row r="40072" spans="5:9" ht="16.5" hidden="1">
      <c r="E40072" s="4" t="str">
        <v/>
      </c>
      <c r="F40072" s="102" t="str">
        <f ca="1">IFERROR(__xludf.DUMMYFUNCTION("IMPORTRANGE(H40072,""IDENTITAS UNIT!D9"")"),"#N/A")</f>
        <v>#N/A</v>
      </c>
      <c r="H40072" s="4" t="str">
        <v/>
      </c>
      <c r="I40072" s="4" t="str">
        <v/>
      </c>
    </row>
    <row r="40073" spans="5:9" ht="16.5" hidden="1">
      <c r="E40073" s="4" t="str">
        <v/>
      </c>
      <c r="F40073" s="102" t="str">
        <f ca="1">IFERROR(__xludf.DUMMYFUNCTION("IMPORTRANGE(H40073,""IDENTITAS UNIT!D9"")"),"#N/A")</f>
        <v>#N/A</v>
      </c>
      <c r="H40073" s="4" t="str">
        <v/>
      </c>
      <c r="I40073" s="4" t="str">
        <v/>
      </c>
    </row>
    <row r="40074" spans="5:9" ht="16.5" hidden="1">
      <c r="E40074" s="4" t="str">
        <v/>
      </c>
      <c r="F40074" s="102" t="str">
        <f ca="1">IFERROR(__xludf.DUMMYFUNCTION("IMPORTRANGE(H40074,""IDENTITAS UNIT!D9"")"),"#N/A")</f>
        <v>#N/A</v>
      </c>
      <c r="H40074" s="4" t="str">
        <v/>
      </c>
      <c r="I40074" s="4" t="str">
        <v/>
      </c>
    </row>
    <row r="40075" spans="5:9" ht="16.5" hidden="1">
      <c r="E40075" s="4" t="str">
        <v/>
      </c>
      <c r="F40075" s="102" t="str">
        <f ca="1">IFERROR(__xludf.DUMMYFUNCTION("IMPORTRANGE(H40075,""IDENTITAS UNIT!D9"")"),"#N/A")</f>
        <v>#N/A</v>
      </c>
      <c r="H40075" s="4" t="str">
        <v/>
      </c>
      <c r="I40075" s="4" t="str">
        <v/>
      </c>
    </row>
    <row r="40076" spans="5:9" ht="16.5" hidden="1">
      <c r="E40076" s="4" t="str">
        <v/>
      </c>
      <c r="F40076" s="102" t="str">
        <f ca="1">IFERROR(__xludf.DUMMYFUNCTION("IMPORTRANGE(H40076,""IDENTITAS UNIT!D9"")"),"#N/A")</f>
        <v>#N/A</v>
      </c>
      <c r="H40076" s="4" t="str">
        <v/>
      </c>
      <c r="I40076" s="4" t="str">
        <v/>
      </c>
    </row>
    <row r="40077" spans="5:9" ht="16.5" hidden="1">
      <c r="E40077" s="4" t="str">
        <v/>
      </c>
      <c r="F40077" s="102" t="str">
        <f ca="1">IFERROR(__xludf.DUMMYFUNCTION("IMPORTRANGE(H40077,""IDENTITAS UNIT!D9"")"),"#N/A")</f>
        <v>#N/A</v>
      </c>
      <c r="H40077" s="4" t="str">
        <v/>
      </c>
      <c r="I40077" s="4" t="str">
        <v/>
      </c>
    </row>
    <row r="40078" spans="5:9" ht="16.5" hidden="1">
      <c r="E40078" s="4" t="str">
        <v/>
      </c>
      <c r="F40078" s="102" t="str">
        <f ca="1">IFERROR(__xludf.DUMMYFUNCTION("IMPORTRANGE(H40078,""IDENTITAS UNIT!D9"")"),"#N/A")</f>
        <v>#N/A</v>
      </c>
      <c r="H40078" s="4" t="str">
        <v/>
      </c>
      <c r="I40078" s="4" t="str">
        <v/>
      </c>
    </row>
    <row r="40079" spans="5:9" ht="16.5" hidden="1">
      <c r="E40079" s="4" t="str">
        <v/>
      </c>
      <c r="F40079" s="102" t="str">
        <f ca="1">IFERROR(__xludf.DUMMYFUNCTION("IMPORTRANGE(H40079,""IDENTITAS UNIT!D9"")"),"#N/A")</f>
        <v>#N/A</v>
      </c>
      <c r="H40079" s="4" t="str">
        <v/>
      </c>
      <c r="I40079" s="4" t="str">
        <v/>
      </c>
    </row>
    <row r="40080" spans="5:9" ht="16.5" hidden="1">
      <c r="E40080" s="4" t="str">
        <v/>
      </c>
      <c r="F40080" s="102" t="str">
        <f ca="1">IFERROR(__xludf.DUMMYFUNCTION("IMPORTRANGE(H40080,""IDENTITAS UNIT!D9"")"),"#N/A")</f>
        <v>#N/A</v>
      </c>
      <c r="H40080" s="4" t="str">
        <v/>
      </c>
      <c r="I40080" s="4" t="str">
        <v/>
      </c>
    </row>
    <row r="40081" spans="5:9" ht="16.5" hidden="1">
      <c r="E40081" s="4" t="str">
        <v/>
      </c>
      <c r="F40081" s="102" t="str">
        <f ca="1">IFERROR(__xludf.DUMMYFUNCTION("IMPORTRANGE(H40081,""IDENTITAS UNIT!D9"")"),"#N/A")</f>
        <v>#N/A</v>
      </c>
      <c r="H40081" s="4" t="str">
        <v/>
      </c>
      <c r="I40081" s="4" t="str">
        <v/>
      </c>
    </row>
    <row r="40082" spans="5:9" ht="16.5" hidden="1">
      <c r="E40082" s="4" t="str">
        <v/>
      </c>
      <c r="F40082" s="102" t="str">
        <f ca="1">IFERROR(__xludf.DUMMYFUNCTION("IMPORTRANGE(H40082,""IDENTITAS UNIT!D9"")"),"#N/A")</f>
        <v>#N/A</v>
      </c>
      <c r="H40082" s="4" t="str">
        <v/>
      </c>
      <c r="I40082" s="4" t="str">
        <v/>
      </c>
    </row>
    <row r="40083" spans="5:9" ht="16.5" hidden="1">
      <c r="E40083" s="4" t="str">
        <v/>
      </c>
      <c r="F40083" s="102" t="str">
        <f ca="1">IFERROR(__xludf.DUMMYFUNCTION("IMPORTRANGE(H40083,""IDENTITAS UNIT!D9"")"),"#N/A")</f>
        <v>#N/A</v>
      </c>
      <c r="H40083" s="4" t="str">
        <v/>
      </c>
      <c r="I40083" s="4" t="str">
        <v/>
      </c>
    </row>
    <row r="40084" spans="5:9" ht="16.5" hidden="1">
      <c r="E40084" s="4" t="str">
        <v/>
      </c>
      <c r="F40084" s="102" t="str">
        <f ca="1">IFERROR(__xludf.DUMMYFUNCTION("IMPORTRANGE(H40084,""IDENTITAS UNIT!D9"")"),"#N/A")</f>
        <v>#N/A</v>
      </c>
      <c r="H40084" s="4" t="str">
        <v/>
      </c>
      <c r="I40084" s="4" t="str">
        <v/>
      </c>
    </row>
    <row r="40085" spans="5:9" ht="16.5" hidden="1">
      <c r="E40085" s="4" t="str">
        <v/>
      </c>
      <c r="F40085" s="102" t="str">
        <f ca="1">IFERROR(__xludf.DUMMYFUNCTION("IMPORTRANGE(H40085,""IDENTITAS UNIT!D9"")"),"#N/A")</f>
        <v>#N/A</v>
      </c>
      <c r="H40085" s="4" t="str">
        <v/>
      </c>
      <c r="I40085" s="4" t="str">
        <v/>
      </c>
    </row>
    <row r="40086" spans="5:9" ht="16.5" hidden="1">
      <c r="E40086" s="4" t="str">
        <v/>
      </c>
      <c r="F40086" s="102" t="str">
        <f ca="1">IFERROR(__xludf.DUMMYFUNCTION("IMPORTRANGE(H40086,""IDENTITAS UNIT!D9"")"),"#N/A")</f>
        <v>#N/A</v>
      </c>
      <c r="H40086" s="4" t="str">
        <v/>
      </c>
      <c r="I40086" s="4" t="str">
        <v/>
      </c>
    </row>
    <row r="40087" spans="5:9" ht="16.5" hidden="1">
      <c r="E40087" s="4" t="str">
        <v/>
      </c>
      <c r="F40087" s="102" t="str">
        <f ca="1">IFERROR(__xludf.DUMMYFUNCTION("IMPORTRANGE(H40087,""IDENTITAS UNIT!D9"")"),"#N/A")</f>
        <v>#N/A</v>
      </c>
      <c r="H40087" s="4" t="str">
        <v/>
      </c>
      <c r="I40087" s="4" t="str">
        <v/>
      </c>
    </row>
    <row r="40088" spans="5:9" ht="16.5" hidden="1">
      <c r="E40088" s="4" t="str">
        <v/>
      </c>
      <c r="F40088" s="102" t="str">
        <f ca="1">IFERROR(__xludf.DUMMYFUNCTION("IMPORTRANGE(H40088,""IDENTITAS UNIT!D9"")"),"#N/A")</f>
        <v>#N/A</v>
      </c>
      <c r="H40088" s="4" t="str">
        <v/>
      </c>
      <c r="I40088" s="4" t="str">
        <v/>
      </c>
    </row>
    <row r="40089" spans="5:9" ht="16.5" hidden="1">
      <c r="E40089" s="4" t="str">
        <v/>
      </c>
      <c r="F40089" s="102" t="str">
        <f ca="1">IFERROR(__xludf.DUMMYFUNCTION("IMPORTRANGE(H40089,""IDENTITAS UNIT!D9"")"),"#N/A")</f>
        <v>#N/A</v>
      </c>
      <c r="H40089" s="4" t="str">
        <v/>
      </c>
      <c r="I40089" s="4" t="str">
        <v/>
      </c>
    </row>
    <row r="40090" spans="5:9" ht="16.5" hidden="1">
      <c r="E40090" s="4" t="str">
        <v/>
      </c>
      <c r="F40090" s="102" t="str">
        <f ca="1">IFERROR(__xludf.DUMMYFUNCTION("IMPORTRANGE(H40090,""IDENTITAS UNIT!D9"")"),"#N/A")</f>
        <v>#N/A</v>
      </c>
      <c r="H40090" s="4" t="str">
        <v/>
      </c>
      <c r="I40090" s="4" t="str">
        <v/>
      </c>
    </row>
    <row r="40091" spans="5:9" ht="16.5" hidden="1">
      <c r="E40091" s="4" t="str">
        <v/>
      </c>
      <c r="F40091" s="102" t="str">
        <f ca="1">IFERROR(__xludf.DUMMYFUNCTION("IMPORTRANGE(H40091,""IDENTITAS UNIT!D9"")"),"#N/A")</f>
        <v>#N/A</v>
      </c>
      <c r="H40091" s="4" t="str">
        <v/>
      </c>
      <c r="I40091" s="4" t="str">
        <v/>
      </c>
    </row>
    <row r="40092" spans="5:9" ht="16.5" hidden="1">
      <c r="E40092" s="4" t="str">
        <v/>
      </c>
      <c r="F40092" s="102" t="str">
        <f ca="1">IFERROR(__xludf.DUMMYFUNCTION("IMPORTRANGE(H40092,""IDENTITAS UNIT!D9"")"),"#N/A")</f>
        <v>#N/A</v>
      </c>
      <c r="H40092" s="4" t="str">
        <v/>
      </c>
      <c r="I40092" s="4" t="str">
        <v/>
      </c>
    </row>
    <row r="40093" spans="5:9" ht="16.5" hidden="1">
      <c r="E40093" s="4" t="str">
        <v/>
      </c>
      <c r="F40093" s="102" t="str">
        <f ca="1">IFERROR(__xludf.DUMMYFUNCTION("IMPORTRANGE(H40093,""IDENTITAS UNIT!D9"")"),"#N/A")</f>
        <v>#N/A</v>
      </c>
      <c r="H40093" s="4" t="str">
        <v/>
      </c>
      <c r="I40093" s="4" t="str">
        <v/>
      </c>
    </row>
    <row r="40094" spans="5:9" ht="16.5" hidden="1">
      <c r="E40094" s="4" t="str">
        <v/>
      </c>
      <c r="F40094" s="102" t="str">
        <f ca="1">IFERROR(__xludf.DUMMYFUNCTION("IMPORTRANGE(H40094,""IDENTITAS UNIT!D9"")"),"#N/A")</f>
        <v>#N/A</v>
      </c>
      <c r="H40094" s="4" t="str">
        <v/>
      </c>
      <c r="I40094" s="4" t="str">
        <v/>
      </c>
    </row>
    <row r="40095" spans="5:9" ht="16.5" hidden="1">
      <c r="E40095" s="4" t="str">
        <v/>
      </c>
      <c r="F40095" s="102" t="str">
        <f ca="1">IFERROR(__xludf.DUMMYFUNCTION("IMPORTRANGE(H40095,""IDENTITAS UNIT!D9"")"),"#N/A")</f>
        <v>#N/A</v>
      </c>
      <c r="H40095" s="4" t="str">
        <v/>
      </c>
      <c r="I40095" s="4" t="str">
        <v/>
      </c>
    </row>
    <row r="40096" spans="5:9" ht="16.5" hidden="1">
      <c r="E40096" s="4" t="str">
        <v/>
      </c>
      <c r="F40096" s="102" t="str">
        <f ca="1">IFERROR(__xludf.DUMMYFUNCTION("IMPORTRANGE(H40096,""IDENTITAS UNIT!D9"")"),"#N/A")</f>
        <v>#N/A</v>
      </c>
      <c r="H40096" s="4" t="str">
        <v/>
      </c>
      <c r="I40096" s="4" t="str">
        <v/>
      </c>
    </row>
    <row r="40097" spans="5:9" ht="16.5" hidden="1">
      <c r="E40097" s="4" t="str">
        <v/>
      </c>
      <c r="F40097" s="102" t="str">
        <f ca="1">IFERROR(__xludf.DUMMYFUNCTION("IMPORTRANGE(H40097,""IDENTITAS UNIT!D9"")"),"#N/A")</f>
        <v>#N/A</v>
      </c>
      <c r="H40097" s="4" t="str">
        <v/>
      </c>
      <c r="I40097" s="4" t="str">
        <v/>
      </c>
    </row>
    <row r="40098" spans="5:9" ht="16.5" hidden="1">
      <c r="E40098" s="4" t="str">
        <v/>
      </c>
      <c r="F40098" s="102" t="str">
        <f ca="1">IFERROR(__xludf.DUMMYFUNCTION("IMPORTRANGE(H40098,""IDENTITAS UNIT!D9"")"),"#N/A")</f>
        <v>#N/A</v>
      </c>
      <c r="H40098" s="4" t="str">
        <v/>
      </c>
      <c r="I40098" s="4" t="str">
        <v/>
      </c>
    </row>
    <row r="40099" spans="5:9" ht="16.5" hidden="1">
      <c r="E40099" s="4" t="str">
        <v/>
      </c>
      <c r="F40099" s="102" t="str">
        <f ca="1">IFERROR(__xludf.DUMMYFUNCTION("IMPORTRANGE(H40099,""IDENTITAS UNIT!D9"")"),"#N/A")</f>
        <v>#N/A</v>
      </c>
      <c r="H40099" s="4" t="str">
        <v/>
      </c>
      <c r="I40099" s="4" t="str">
        <v/>
      </c>
    </row>
    <row r="40100" spans="5:9" ht="16.5" hidden="1">
      <c r="E40100" s="4" t="str">
        <v/>
      </c>
      <c r="F40100" s="102" t="str">
        <f ca="1">IFERROR(__xludf.DUMMYFUNCTION("IMPORTRANGE(H40100,""IDENTITAS UNIT!D9"")"),"#N/A")</f>
        <v>#N/A</v>
      </c>
      <c r="H40100" s="4" t="str">
        <v/>
      </c>
      <c r="I40100" s="4" t="str">
        <v/>
      </c>
    </row>
    <row r="40101" spans="5:9" ht="16.5" hidden="1">
      <c r="E40101" s="4" t="str">
        <v/>
      </c>
      <c r="F40101" s="102" t="str">
        <f ca="1">IFERROR(__xludf.DUMMYFUNCTION("IMPORTRANGE(H40101,""IDENTITAS UNIT!D9"")"),"#N/A")</f>
        <v>#N/A</v>
      </c>
      <c r="H40101" s="4" t="str">
        <v/>
      </c>
      <c r="I40101" s="4" t="str">
        <v/>
      </c>
    </row>
    <row r="40102" spans="5:9" ht="16.5" hidden="1">
      <c r="E40102" s="4" t="str">
        <v/>
      </c>
      <c r="F40102" s="102" t="str">
        <f ca="1">IFERROR(__xludf.DUMMYFUNCTION("IMPORTRANGE(H40102,""IDENTITAS UNIT!D9"")"),"#N/A")</f>
        <v>#N/A</v>
      </c>
      <c r="H40102" s="4" t="str">
        <v/>
      </c>
      <c r="I40102" s="4" t="str">
        <v/>
      </c>
    </row>
    <row r="40103" spans="5:9" ht="16.5" hidden="1">
      <c r="E40103" s="4" t="str">
        <v/>
      </c>
      <c r="F40103" s="102" t="str">
        <f ca="1">IFERROR(__xludf.DUMMYFUNCTION("IMPORTRANGE(H40103,""IDENTITAS UNIT!D9"")"),"#N/A")</f>
        <v>#N/A</v>
      </c>
      <c r="H40103" s="4" t="str">
        <v/>
      </c>
      <c r="I40103" s="4" t="str">
        <v/>
      </c>
    </row>
    <row r="40104" spans="5:9" ht="16.5" hidden="1">
      <c r="E40104" s="4" t="str">
        <v/>
      </c>
      <c r="F40104" s="102" t="str">
        <f ca="1">IFERROR(__xludf.DUMMYFUNCTION("IMPORTRANGE(H40104,""IDENTITAS UNIT!D9"")"),"#N/A")</f>
        <v>#N/A</v>
      </c>
      <c r="H40104" s="4" t="str">
        <v/>
      </c>
      <c r="I40104" s="4" t="str">
        <v/>
      </c>
    </row>
    <row r="40105" spans="5:9" ht="16.5" hidden="1">
      <c r="E40105" s="4" t="str">
        <v/>
      </c>
      <c r="F40105" s="102" t="str">
        <f ca="1">IFERROR(__xludf.DUMMYFUNCTION("IMPORTRANGE(H40105,""IDENTITAS UNIT!D9"")"),"#N/A")</f>
        <v>#N/A</v>
      </c>
      <c r="H40105" s="4" t="str">
        <v/>
      </c>
      <c r="I40105" s="4" t="str">
        <v/>
      </c>
    </row>
    <row r="40106" spans="5:9" ht="16.5" hidden="1">
      <c r="E40106" s="4" t="str">
        <v/>
      </c>
      <c r="F40106" s="102" t="str">
        <f ca="1">IFERROR(__xludf.DUMMYFUNCTION("IMPORTRANGE(H40106,""IDENTITAS UNIT!D9"")"),"#N/A")</f>
        <v>#N/A</v>
      </c>
      <c r="H40106" s="4" t="str">
        <v/>
      </c>
      <c r="I40106" s="4" t="str">
        <v/>
      </c>
    </row>
    <row r="40107" spans="5:9" ht="16.5" hidden="1">
      <c r="E40107" s="4" t="str">
        <v/>
      </c>
      <c r="F40107" s="102" t="str">
        <f ca="1">IFERROR(__xludf.DUMMYFUNCTION("IMPORTRANGE(H40107,""IDENTITAS UNIT!D9"")"),"#N/A")</f>
        <v>#N/A</v>
      </c>
      <c r="H40107" s="4" t="str">
        <v/>
      </c>
      <c r="I40107" s="4" t="str">
        <v/>
      </c>
    </row>
    <row r="40108" spans="5:9" ht="16.5" hidden="1">
      <c r="E40108" s="4" t="str">
        <v/>
      </c>
      <c r="F40108" s="102" t="str">
        <f ca="1">IFERROR(__xludf.DUMMYFUNCTION("IMPORTRANGE(H40108,""IDENTITAS UNIT!D9"")"),"#N/A")</f>
        <v>#N/A</v>
      </c>
      <c r="H40108" s="4" t="str">
        <v/>
      </c>
      <c r="I40108" s="4" t="str">
        <v/>
      </c>
    </row>
    <row r="40109" spans="5:9" ht="16.5" hidden="1">
      <c r="E40109" s="4" t="str">
        <v/>
      </c>
      <c r="F40109" s="102" t="str">
        <f ca="1">IFERROR(__xludf.DUMMYFUNCTION("IMPORTRANGE(H40109,""IDENTITAS UNIT!D9"")"),"#N/A")</f>
        <v>#N/A</v>
      </c>
      <c r="H40109" s="4" t="str">
        <v/>
      </c>
      <c r="I40109" s="4" t="str">
        <v/>
      </c>
    </row>
    <row r="40110" spans="5:9" ht="16.5" hidden="1">
      <c r="E40110" s="4" t="str">
        <v/>
      </c>
      <c r="F40110" s="102" t="str">
        <f ca="1">IFERROR(__xludf.DUMMYFUNCTION("IMPORTRANGE(H40110,""IDENTITAS UNIT!D9"")"),"#N/A")</f>
        <v>#N/A</v>
      </c>
      <c r="H40110" s="4" t="str">
        <v/>
      </c>
      <c r="I40110" s="4" t="str">
        <v/>
      </c>
    </row>
    <row r="40111" spans="5:9" ht="16.5" hidden="1">
      <c r="E40111" s="4" t="str">
        <v/>
      </c>
      <c r="F40111" s="102" t="str">
        <f ca="1">IFERROR(__xludf.DUMMYFUNCTION("IMPORTRANGE(H40111,""IDENTITAS UNIT!D9"")"),"#N/A")</f>
        <v>#N/A</v>
      </c>
      <c r="H40111" s="4" t="str">
        <v/>
      </c>
      <c r="I40111" s="4" t="str">
        <v/>
      </c>
    </row>
    <row r="40112" spans="5:9" ht="16.5" hidden="1">
      <c r="E40112" s="4" t="str">
        <v/>
      </c>
      <c r="F40112" s="102" t="str">
        <f ca="1">IFERROR(__xludf.DUMMYFUNCTION("IMPORTRANGE(H40112,""IDENTITAS UNIT!D9"")"),"#N/A")</f>
        <v>#N/A</v>
      </c>
      <c r="H40112" s="4" t="str">
        <v/>
      </c>
      <c r="I40112" s="4" t="str">
        <v/>
      </c>
    </row>
    <row r="40113" spans="5:9" ht="16.5" hidden="1">
      <c r="E40113" s="4" t="str">
        <v/>
      </c>
      <c r="F40113" s="102" t="str">
        <f ca="1">IFERROR(__xludf.DUMMYFUNCTION("IMPORTRANGE(H40113,""IDENTITAS UNIT!D9"")"),"#N/A")</f>
        <v>#N/A</v>
      </c>
      <c r="H40113" s="4" t="str">
        <v/>
      </c>
      <c r="I40113" s="4" t="str">
        <v/>
      </c>
    </row>
    <row r="40114" spans="5:9" ht="16.5" hidden="1">
      <c r="E40114" s="4" t="str">
        <v/>
      </c>
      <c r="F40114" s="102" t="str">
        <f ca="1">IFERROR(__xludf.DUMMYFUNCTION("IMPORTRANGE(H40114,""IDENTITAS UNIT!D9"")"),"#N/A")</f>
        <v>#N/A</v>
      </c>
      <c r="H40114" s="4" t="str">
        <v/>
      </c>
      <c r="I40114" s="4" t="str">
        <v/>
      </c>
    </row>
    <row r="40115" spans="5:9" ht="16.5" hidden="1">
      <c r="E40115" s="4" t="str">
        <v/>
      </c>
      <c r="F40115" s="102" t="str">
        <f ca="1">IFERROR(__xludf.DUMMYFUNCTION("IMPORTRANGE(H40115,""IDENTITAS UNIT!D9"")"),"#N/A")</f>
        <v>#N/A</v>
      </c>
      <c r="H40115" s="4" t="str">
        <v/>
      </c>
      <c r="I40115" s="4" t="str">
        <v/>
      </c>
    </row>
    <row r="40116" spans="5:9" ht="16.5" hidden="1">
      <c r="E40116" s="4" t="str">
        <v/>
      </c>
      <c r="F40116" s="102" t="str">
        <f ca="1">IFERROR(__xludf.DUMMYFUNCTION("IMPORTRANGE(H40116,""IDENTITAS UNIT!D9"")"),"#N/A")</f>
        <v>#N/A</v>
      </c>
      <c r="H40116" s="4" t="str">
        <v/>
      </c>
      <c r="I40116" s="4" t="str">
        <v/>
      </c>
    </row>
    <row r="40117" spans="5:9" ht="16.5" hidden="1">
      <c r="E40117" s="4" t="str">
        <v/>
      </c>
      <c r="F40117" s="102" t="str">
        <f ca="1">IFERROR(__xludf.DUMMYFUNCTION("IMPORTRANGE(H40117,""IDENTITAS UNIT!D9"")"),"#N/A")</f>
        <v>#N/A</v>
      </c>
      <c r="H40117" s="4" t="str">
        <v/>
      </c>
      <c r="I40117" s="4" t="str">
        <v/>
      </c>
    </row>
    <row r="40118" spans="5:9" ht="16.5" hidden="1">
      <c r="E40118" s="4" t="str">
        <v/>
      </c>
      <c r="F40118" s="102" t="str">
        <f ca="1">IFERROR(__xludf.DUMMYFUNCTION("IMPORTRANGE(H40118,""IDENTITAS UNIT!D9"")"),"#N/A")</f>
        <v>#N/A</v>
      </c>
      <c r="H40118" s="4" t="str">
        <v/>
      </c>
      <c r="I40118" s="4" t="str">
        <v/>
      </c>
    </row>
    <row r="40119" spans="5:9" ht="16.5" hidden="1">
      <c r="E40119" s="4" t="str">
        <v/>
      </c>
      <c r="F40119" s="102" t="str">
        <f ca="1">IFERROR(__xludf.DUMMYFUNCTION("IMPORTRANGE(H40119,""IDENTITAS UNIT!D9"")"),"#N/A")</f>
        <v>#N/A</v>
      </c>
      <c r="H40119" s="4" t="str">
        <v/>
      </c>
      <c r="I40119" s="4" t="str">
        <v/>
      </c>
    </row>
    <row r="40120" spans="5:9" ht="16.5" hidden="1">
      <c r="E40120" s="4" t="str">
        <v/>
      </c>
      <c r="F40120" s="102" t="str">
        <f ca="1">IFERROR(__xludf.DUMMYFUNCTION("IMPORTRANGE(H40120,""IDENTITAS UNIT!D9"")"),"#N/A")</f>
        <v>#N/A</v>
      </c>
      <c r="H40120" s="4" t="str">
        <v/>
      </c>
      <c r="I40120" s="4" t="str">
        <v/>
      </c>
    </row>
    <row r="40121" spans="5:9" ht="16.5" hidden="1">
      <c r="E40121" s="4" t="str">
        <v/>
      </c>
      <c r="F40121" s="102" t="str">
        <f ca="1">IFERROR(__xludf.DUMMYFUNCTION("IMPORTRANGE(H40121,""IDENTITAS UNIT!D9"")"),"#N/A")</f>
        <v>#N/A</v>
      </c>
      <c r="H40121" s="4" t="str">
        <v/>
      </c>
      <c r="I40121" s="4" t="str">
        <v/>
      </c>
    </row>
    <row r="40122" spans="5:9" ht="16.5" hidden="1">
      <c r="E40122" s="4" t="str">
        <v/>
      </c>
      <c r="F40122" s="102" t="str">
        <f ca="1">IFERROR(__xludf.DUMMYFUNCTION("IMPORTRANGE(H40122,""IDENTITAS UNIT!D9"")"),"#N/A")</f>
        <v>#N/A</v>
      </c>
      <c r="H40122" s="4" t="str">
        <v/>
      </c>
      <c r="I40122" s="4" t="str">
        <v/>
      </c>
    </row>
    <row r="40123" spans="5:9" ht="16.5" hidden="1">
      <c r="E40123" s="4" t="str">
        <v/>
      </c>
      <c r="F40123" s="102" t="str">
        <f ca="1">IFERROR(__xludf.DUMMYFUNCTION("IMPORTRANGE(H40123,""IDENTITAS UNIT!D9"")"),"#N/A")</f>
        <v>#N/A</v>
      </c>
      <c r="H40123" s="4" t="str">
        <v/>
      </c>
      <c r="I40123" s="4" t="str">
        <v/>
      </c>
    </row>
    <row r="40124" spans="5:9" ht="16.5" hidden="1">
      <c r="E40124" s="4" t="str">
        <v/>
      </c>
      <c r="F40124" s="102" t="str">
        <f ca="1">IFERROR(__xludf.DUMMYFUNCTION("IMPORTRANGE(H40124,""IDENTITAS UNIT!D9"")"),"#N/A")</f>
        <v>#N/A</v>
      </c>
      <c r="H40124" s="4" t="str">
        <v/>
      </c>
      <c r="I40124" s="4" t="str">
        <v/>
      </c>
    </row>
    <row r="40125" spans="5:9" ht="16.5" hidden="1">
      <c r="E40125" s="4" t="str">
        <v/>
      </c>
      <c r="F40125" s="102" t="str">
        <f ca="1">IFERROR(__xludf.DUMMYFUNCTION("IMPORTRANGE(H40125,""IDENTITAS UNIT!D9"")"),"#N/A")</f>
        <v>#N/A</v>
      </c>
      <c r="H40125" s="4" t="str">
        <v/>
      </c>
      <c r="I40125" s="4" t="str">
        <v/>
      </c>
    </row>
    <row r="40126" spans="5:9" ht="16.5" hidden="1">
      <c r="E40126" s="4" t="str">
        <v/>
      </c>
      <c r="F40126" s="102" t="str">
        <f ca="1">IFERROR(__xludf.DUMMYFUNCTION("IMPORTRANGE(H40126,""IDENTITAS UNIT!D9"")"),"#N/A")</f>
        <v>#N/A</v>
      </c>
      <c r="H40126" s="4" t="str">
        <v/>
      </c>
      <c r="I40126" s="4" t="str">
        <v/>
      </c>
    </row>
    <row r="40127" spans="5:9" ht="16.5" hidden="1">
      <c r="E40127" s="4" t="str">
        <v/>
      </c>
      <c r="F40127" s="102" t="str">
        <f ca="1">IFERROR(__xludf.DUMMYFUNCTION("IMPORTRANGE(H40127,""IDENTITAS UNIT!D9"")"),"#N/A")</f>
        <v>#N/A</v>
      </c>
      <c r="H40127" s="4" t="str">
        <v/>
      </c>
      <c r="I40127" s="4" t="str">
        <v/>
      </c>
    </row>
    <row r="40128" spans="5:9" ht="16.5" hidden="1">
      <c r="E40128" s="4" t="str">
        <v/>
      </c>
      <c r="F40128" s="102" t="str">
        <f ca="1">IFERROR(__xludf.DUMMYFUNCTION("IMPORTRANGE(H40128,""IDENTITAS UNIT!D9"")"),"#N/A")</f>
        <v>#N/A</v>
      </c>
      <c r="H40128" s="4" t="str">
        <v/>
      </c>
      <c r="I40128" s="4" t="str">
        <v/>
      </c>
    </row>
    <row r="40129" spans="5:9" ht="16.5" hidden="1">
      <c r="E40129" s="4" t="str">
        <v/>
      </c>
      <c r="F40129" s="102" t="str">
        <f ca="1">IFERROR(__xludf.DUMMYFUNCTION("IMPORTRANGE(H40129,""IDENTITAS UNIT!D9"")"),"#N/A")</f>
        <v>#N/A</v>
      </c>
      <c r="H40129" s="4" t="str">
        <v/>
      </c>
      <c r="I40129" s="4" t="str">
        <v/>
      </c>
    </row>
    <row r="40130" spans="5:9" ht="16.5" hidden="1">
      <c r="E40130" s="4" t="str">
        <v/>
      </c>
      <c r="F40130" s="102" t="str">
        <f ca="1">IFERROR(__xludf.DUMMYFUNCTION("IMPORTRANGE(H40130,""IDENTITAS UNIT!D9"")"),"#N/A")</f>
        <v>#N/A</v>
      </c>
      <c r="H40130" s="4" t="str">
        <v/>
      </c>
      <c r="I40130" s="4" t="str">
        <v/>
      </c>
    </row>
    <row r="40131" spans="5:9" ht="16.5" hidden="1">
      <c r="E40131" s="4" t="str">
        <v/>
      </c>
      <c r="F40131" s="102" t="str">
        <f ca="1">IFERROR(__xludf.DUMMYFUNCTION("IMPORTRANGE(H40131,""IDENTITAS UNIT!D9"")"),"#N/A")</f>
        <v>#N/A</v>
      </c>
      <c r="H40131" s="4" t="str">
        <v/>
      </c>
      <c r="I40131" s="4" t="str">
        <v/>
      </c>
    </row>
    <row r="40132" spans="5:9" ht="16.5" hidden="1">
      <c r="E40132" s="4" t="str">
        <v/>
      </c>
      <c r="F40132" s="102" t="str">
        <f ca="1">IFERROR(__xludf.DUMMYFUNCTION("IMPORTRANGE(H40132,""IDENTITAS UNIT!D9"")"),"#N/A")</f>
        <v>#N/A</v>
      </c>
      <c r="H40132" s="4" t="str">
        <v/>
      </c>
      <c r="I40132" s="4" t="str">
        <v/>
      </c>
    </row>
    <row r="40133" spans="5:9" ht="16.5" hidden="1">
      <c r="E40133" s="4" t="str">
        <v/>
      </c>
      <c r="F40133" s="102" t="str">
        <f ca="1">IFERROR(__xludf.DUMMYFUNCTION("IMPORTRANGE(H40133,""IDENTITAS UNIT!D9"")"),"#N/A")</f>
        <v>#N/A</v>
      </c>
      <c r="H40133" s="4" t="str">
        <v/>
      </c>
      <c r="I40133" s="4" t="str">
        <v/>
      </c>
    </row>
    <row r="40134" spans="5:9" ht="16.5" hidden="1">
      <c r="E40134" s="4" t="str">
        <v/>
      </c>
      <c r="F40134" s="102" t="str">
        <f ca="1">IFERROR(__xludf.DUMMYFUNCTION("IMPORTRANGE(H40134,""IDENTITAS UNIT!D9"")"),"#N/A")</f>
        <v>#N/A</v>
      </c>
      <c r="H40134" s="4" t="str">
        <v/>
      </c>
      <c r="I40134" s="4" t="str">
        <v/>
      </c>
    </row>
    <row r="40135" spans="5:9" ht="16.5" hidden="1">
      <c r="E40135" s="4" t="str">
        <v/>
      </c>
      <c r="F40135" s="102" t="str">
        <f ca="1">IFERROR(__xludf.DUMMYFUNCTION("IMPORTRANGE(H40135,""IDENTITAS UNIT!D9"")"),"#N/A")</f>
        <v>#N/A</v>
      </c>
      <c r="H40135" s="4" t="str">
        <v/>
      </c>
      <c r="I40135" s="4" t="str">
        <v/>
      </c>
    </row>
    <row r="40136" spans="5:9" ht="16.5" hidden="1">
      <c r="E40136" s="4" t="str">
        <v/>
      </c>
      <c r="F40136" s="102" t="str">
        <f ca="1">IFERROR(__xludf.DUMMYFUNCTION("IMPORTRANGE(H40136,""IDENTITAS UNIT!D9"")"),"#N/A")</f>
        <v>#N/A</v>
      </c>
      <c r="H40136" s="4" t="str">
        <v/>
      </c>
      <c r="I40136" s="4" t="str">
        <v/>
      </c>
    </row>
    <row r="40137" spans="5:9" ht="16.5" hidden="1">
      <c r="E40137" s="4" t="str">
        <v/>
      </c>
      <c r="F40137" s="102" t="str">
        <f ca="1">IFERROR(__xludf.DUMMYFUNCTION("IMPORTRANGE(H40137,""IDENTITAS UNIT!D9"")"),"#N/A")</f>
        <v>#N/A</v>
      </c>
      <c r="H40137" s="4" t="str">
        <v/>
      </c>
      <c r="I40137" s="4" t="str">
        <v/>
      </c>
    </row>
    <row r="40138" spans="5:9" ht="16.5" hidden="1">
      <c r="E40138" s="4" t="str">
        <v/>
      </c>
      <c r="F40138" s="102" t="str">
        <f ca="1">IFERROR(__xludf.DUMMYFUNCTION("IMPORTRANGE(H40138,""IDENTITAS UNIT!D9"")"),"#N/A")</f>
        <v>#N/A</v>
      </c>
      <c r="H40138" s="4" t="str">
        <v/>
      </c>
      <c r="I40138" s="4" t="str">
        <v/>
      </c>
    </row>
    <row r="40139" spans="5:9" ht="16.5" hidden="1">
      <c r="E40139" s="4" t="str">
        <v/>
      </c>
      <c r="F40139" s="102" t="str">
        <f ca="1">IFERROR(__xludf.DUMMYFUNCTION("IMPORTRANGE(H40139,""IDENTITAS UNIT!D9"")"),"#N/A")</f>
        <v>#N/A</v>
      </c>
      <c r="H40139" s="4" t="str">
        <v/>
      </c>
      <c r="I40139" s="4" t="str">
        <v/>
      </c>
    </row>
    <row r="40140" spans="5:9" ht="16.5" hidden="1">
      <c r="E40140" s="4" t="str">
        <v/>
      </c>
      <c r="F40140" s="102" t="str">
        <f ca="1">IFERROR(__xludf.DUMMYFUNCTION("IMPORTRANGE(H40140,""IDENTITAS UNIT!D9"")"),"#N/A")</f>
        <v>#N/A</v>
      </c>
      <c r="H40140" s="4" t="str">
        <v/>
      </c>
      <c r="I40140" s="4" t="str">
        <v/>
      </c>
    </row>
    <row r="40141" spans="5:9" ht="16.5" hidden="1">
      <c r="E40141" s="4" t="str">
        <v/>
      </c>
      <c r="F40141" s="102" t="str">
        <f ca="1">IFERROR(__xludf.DUMMYFUNCTION("IMPORTRANGE(H40141,""IDENTITAS UNIT!D9"")"),"#N/A")</f>
        <v>#N/A</v>
      </c>
      <c r="H40141" s="4" t="str">
        <v/>
      </c>
      <c r="I40141" s="4" t="str">
        <v/>
      </c>
    </row>
    <row r="40142" spans="5:9" ht="16.5" hidden="1">
      <c r="E40142" s="4" t="str">
        <v/>
      </c>
      <c r="F40142" s="102" t="str">
        <f ca="1">IFERROR(__xludf.DUMMYFUNCTION("IMPORTRANGE(H40142,""IDENTITAS UNIT!D9"")"),"#N/A")</f>
        <v>#N/A</v>
      </c>
      <c r="H40142" s="4" t="str">
        <v/>
      </c>
      <c r="I40142" s="4" t="str">
        <v/>
      </c>
    </row>
    <row r="40143" spans="5:9" ht="16.5" hidden="1">
      <c r="E40143" s="4" t="str">
        <v/>
      </c>
      <c r="F40143" s="102" t="str">
        <f ca="1">IFERROR(__xludf.DUMMYFUNCTION("IMPORTRANGE(H40143,""IDENTITAS UNIT!D9"")"),"#N/A")</f>
        <v>#N/A</v>
      </c>
      <c r="H40143" s="4" t="str">
        <v/>
      </c>
      <c r="I40143" s="4" t="str">
        <v/>
      </c>
    </row>
    <row r="40144" spans="5:9" ht="16.5" hidden="1">
      <c r="E40144" s="4" t="str">
        <v/>
      </c>
      <c r="F40144" s="102" t="str">
        <f ca="1">IFERROR(__xludf.DUMMYFUNCTION("IMPORTRANGE(H40144,""IDENTITAS UNIT!D9"")"),"#N/A")</f>
        <v>#N/A</v>
      </c>
      <c r="H40144" s="4" t="str">
        <v/>
      </c>
      <c r="I40144" s="4" t="str">
        <v/>
      </c>
    </row>
    <row r="40145" spans="5:9" ht="16.5" hidden="1">
      <c r="E40145" s="4" t="str">
        <v/>
      </c>
      <c r="F40145" s="102" t="str">
        <f ca="1">IFERROR(__xludf.DUMMYFUNCTION("IMPORTRANGE(H40145,""IDENTITAS UNIT!D9"")"),"#N/A")</f>
        <v>#N/A</v>
      </c>
      <c r="H40145" s="4" t="str">
        <v/>
      </c>
      <c r="I40145" s="4" t="str">
        <v/>
      </c>
    </row>
    <row r="40146" spans="5:9" ht="16.5" hidden="1">
      <c r="E40146" s="4" t="str">
        <v/>
      </c>
      <c r="F40146" s="102" t="str">
        <f ca="1">IFERROR(__xludf.DUMMYFUNCTION("IMPORTRANGE(H40146,""IDENTITAS UNIT!D9"")"),"#N/A")</f>
        <v>#N/A</v>
      </c>
      <c r="H40146" s="4" t="str">
        <v/>
      </c>
      <c r="I40146" s="4" t="str">
        <v/>
      </c>
    </row>
    <row r="40147" spans="5:9" ht="16.5" hidden="1">
      <c r="E40147" s="4" t="str">
        <v/>
      </c>
      <c r="F40147" s="102" t="str">
        <f ca="1">IFERROR(__xludf.DUMMYFUNCTION("IMPORTRANGE(H40147,""IDENTITAS UNIT!D9"")"),"#N/A")</f>
        <v>#N/A</v>
      </c>
      <c r="H40147" s="4" t="str">
        <v/>
      </c>
      <c r="I40147" s="4" t="str">
        <v/>
      </c>
    </row>
    <row r="40148" spans="5:9" ht="16.5" hidden="1">
      <c r="E40148" s="4" t="str">
        <v/>
      </c>
      <c r="F40148" s="102" t="str">
        <f ca="1">IFERROR(__xludf.DUMMYFUNCTION("IMPORTRANGE(H40148,""IDENTITAS UNIT!D9"")"),"#N/A")</f>
        <v>#N/A</v>
      </c>
      <c r="H40148" s="4" t="str">
        <v/>
      </c>
      <c r="I40148" s="4" t="str">
        <v/>
      </c>
    </row>
    <row r="40149" spans="5:9" ht="16.5" hidden="1">
      <c r="E40149" s="4" t="str">
        <v/>
      </c>
      <c r="F40149" s="102" t="str">
        <f ca="1">IFERROR(__xludf.DUMMYFUNCTION("IMPORTRANGE(H40149,""IDENTITAS UNIT!D9"")"),"#N/A")</f>
        <v>#N/A</v>
      </c>
      <c r="H40149" s="4" t="str">
        <v/>
      </c>
      <c r="I40149" s="4" t="str">
        <v/>
      </c>
    </row>
    <row r="40150" spans="5:9" ht="16.5" hidden="1">
      <c r="E40150" s="4" t="str">
        <v/>
      </c>
      <c r="F40150" s="102" t="str">
        <f ca="1">IFERROR(__xludf.DUMMYFUNCTION("IMPORTRANGE(H40150,""IDENTITAS UNIT!D9"")"),"#N/A")</f>
        <v>#N/A</v>
      </c>
      <c r="H40150" s="4" t="str">
        <v/>
      </c>
      <c r="I40150" s="4" t="str">
        <v/>
      </c>
    </row>
    <row r="40151" spans="5:9" ht="16.5" hidden="1">
      <c r="E40151" s="4" t="str">
        <v/>
      </c>
      <c r="F40151" s="102" t="str">
        <f ca="1">IFERROR(__xludf.DUMMYFUNCTION("IMPORTRANGE(H40151,""IDENTITAS UNIT!D9"")"),"#N/A")</f>
        <v>#N/A</v>
      </c>
      <c r="H40151" s="4" t="str">
        <v/>
      </c>
      <c r="I40151" s="4" t="str">
        <v/>
      </c>
    </row>
    <row r="40152" spans="5:9" ht="16.5" hidden="1">
      <c r="E40152" s="4" t="str">
        <v/>
      </c>
      <c r="F40152" s="102" t="str">
        <f ca="1">IFERROR(__xludf.DUMMYFUNCTION("IMPORTRANGE(H40152,""IDENTITAS UNIT!D9"")"),"#N/A")</f>
        <v>#N/A</v>
      </c>
      <c r="H40152" s="4" t="str">
        <v/>
      </c>
      <c r="I40152" s="4" t="str">
        <v/>
      </c>
    </row>
    <row r="40153" spans="5:9" ht="16.5" hidden="1">
      <c r="E40153" s="4" t="str">
        <v/>
      </c>
      <c r="F40153" s="102" t="str">
        <f ca="1">IFERROR(__xludf.DUMMYFUNCTION("IMPORTRANGE(H40153,""IDENTITAS UNIT!D9"")"),"#N/A")</f>
        <v>#N/A</v>
      </c>
      <c r="H40153" s="4" t="str">
        <v/>
      </c>
      <c r="I40153" s="4" t="str">
        <v/>
      </c>
    </row>
    <row r="40154" spans="5:9" ht="16.5" hidden="1">
      <c r="E40154" s="4" t="str">
        <v/>
      </c>
      <c r="F40154" s="102" t="str">
        <f ca="1">IFERROR(__xludf.DUMMYFUNCTION("IMPORTRANGE(H40154,""IDENTITAS UNIT!D9"")"),"#N/A")</f>
        <v>#N/A</v>
      </c>
      <c r="H40154" s="4" t="str">
        <v/>
      </c>
      <c r="I40154" s="4" t="str">
        <v/>
      </c>
    </row>
    <row r="40155" spans="5:9" ht="16.5" hidden="1">
      <c r="E40155" s="4" t="str">
        <v/>
      </c>
      <c r="F40155" s="102" t="str">
        <f ca="1">IFERROR(__xludf.DUMMYFUNCTION("IMPORTRANGE(H40155,""IDENTITAS UNIT!D9"")"),"#N/A")</f>
        <v>#N/A</v>
      </c>
      <c r="H40155" s="4" t="str">
        <v/>
      </c>
      <c r="I40155" s="4" t="str">
        <v/>
      </c>
    </row>
    <row r="40156" spans="5:9" ht="16.5" hidden="1">
      <c r="E40156" s="4" t="str">
        <v/>
      </c>
      <c r="F40156" s="102" t="str">
        <f ca="1">IFERROR(__xludf.DUMMYFUNCTION("IMPORTRANGE(H40156,""IDENTITAS UNIT!D9"")"),"#N/A")</f>
        <v>#N/A</v>
      </c>
      <c r="H40156" s="4" t="str">
        <v/>
      </c>
      <c r="I40156" s="4" t="str">
        <v/>
      </c>
    </row>
    <row r="40157" spans="5:9" ht="16.5" hidden="1">
      <c r="E40157" s="4" t="str">
        <v/>
      </c>
      <c r="F40157" s="102" t="str">
        <f ca="1">IFERROR(__xludf.DUMMYFUNCTION("IMPORTRANGE(H40157,""IDENTITAS UNIT!D9"")"),"#N/A")</f>
        <v>#N/A</v>
      </c>
      <c r="H40157" s="4" t="str">
        <v/>
      </c>
      <c r="I40157" s="4" t="str">
        <v/>
      </c>
    </row>
    <row r="40158" spans="5:9" ht="16.5" hidden="1">
      <c r="E40158" s="4" t="str">
        <v/>
      </c>
      <c r="F40158" s="102" t="str">
        <f ca="1">IFERROR(__xludf.DUMMYFUNCTION("IMPORTRANGE(H40158,""IDENTITAS UNIT!D9"")"),"#N/A")</f>
        <v>#N/A</v>
      </c>
      <c r="H40158" s="4" t="str">
        <v/>
      </c>
      <c r="I40158" s="4" t="str">
        <v/>
      </c>
    </row>
    <row r="40159" spans="5:9" ht="16.5" hidden="1">
      <c r="E40159" s="4" t="str">
        <v/>
      </c>
      <c r="F40159" s="102" t="str">
        <f ca="1">IFERROR(__xludf.DUMMYFUNCTION("IMPORTRANGE(H40159,""IDENTITAS UNIT!D9"")"),"#N/A")</f>
        <v>#N/A</v>
      </c>
      <c r="H40159" s="4" t="str">
        <v/>
      </c>
      <c r="I40159" s="4" t="str">
        <v/>
      </c>
    </row>
    <row r="40160" spans="5:9" ht="16.5" hidden="1">
      <c r="E40160" s="4" t="str">
        <v/>
      </c>
      <c r="F40160" s="102" t="str">
        <f ca="1">IFERROR(__xludf.DUMMYFUNCTION("IMPORTRANGE(H40160,""IDENTITAS UNIT!D9"")"),"#N/A")</f>
        <v>#N/A</v>
      </c>
      <c r="H40160" s="4" t="str">
        <v/>
      </c>
      <c r="I40160" s="4" t="str">
        <v/>
      </c>
    </row>
    <row r="40161" spans="5:9" ht="16.5" hidden="1">
      <c r="E40161" s="4" t="str">
        <v/>
      </c>
      <c r="F40161" s="102" t="str">
        <f ca="1">IFERROR(__xludf.DUMMYFUNCTION("IMPORTRANGE(H40161,""IDENTITAS UNIT!D9"")"),"#N/A")</f>
        <v>#N/A</v>
      </c>
      <c r="H40161" s="4" t="str">
        <v/>
      </c>
      <c r="I40161" s="4" t="str">
        <v/>
      </c>
    </row>
    <row r="40162" spans="5:9" ht="16.5" hidden="1">
      <c r="E40162" s="4" t="str">
        <v/>
      </c>
      <c r="F40162" s="102" t="str">
        <f ca="1">IFERROR(__xludf.DUMMYFUNCTION("IMPORTRANGE(H40162,""IDENTITAS UNIT!D9"")"),"#N/A")</f>
        <v>#N/A</v>
      </c>
      <c r="H40162" s="4" t="str">
        <v/>
      </c>
      <c r="I40162" s="4" t="str">
        <v/>
      </c>
    </row>
    <row r="40163" spans="5:9" ht="16.5" hidden="1">
      <c r="E40163" s="4" t="str">
        <v/>
      </c>
      <c r="F40163" s="102" t="str">
        <f ca="1">IFERROR(__xludf.DUMMYFUNCTION("IMPORTRANGE(H40163,""IDENTITAS UNIT!D9"")"),"#N/A")</f>
        <v>#N/A</v>
      </c>
      <c r="H40163" s="4" t="str">
        <v/>
      </c>
      <c r="I40163" s="4" t="str">
        <v/>
      </c>
    </row>
    <row r="40164" spans="5:9" ht="16.5" hidden="1">
      <c r="E40164" s="4" t="str">
        <v/>
      </c>
      <c r="F40164" s="102" t="str">
        <f ca="1">IFERROR(__xludf.DUMMYFUNCTION("IMPORTRANGE(H40164,""IDENTITAS UNIT!D9"")"),"#N/A")</f>
        <v>#N/A</v>
      </c>
      <c r="H40164" s="4" t="str">
        <v/>
      </c>
      <c r="I40164" s="4" t="str">
        <v/>
      </c>
    </row>
    <row r="40165" spans="5:9" ht="16.5" hidden="1">
      <c r="E40165" s="4" t="str">
        <v/>
      </c>
      <c r="F40165" s="102" t="str">
        <f ca="1">IFERROR(__xludf.DUMMYFUNCTION("IMPORTRANGE(H40165,""IDENTITAS UNIT!D9"")"),"#N/A")</f>
        <v>#N/A</v>
      </c>
      <c r="H40165" s="4" t="str">
        <v/>
      </c>
      <c r="I40165" s="4" t="str">
        <v/>
      </c>
    </row>
    <row r="40166" spans="5:9" ht="16.5" hidden="1">
      <c r="E40166" s="4" t="str">
        <v/>
      </c>
      <c r="F40166" s="102" t="str">
        <f ca="1">IFERROR(__xludf.DUMMYFUNCTION("IMPORTRANGE(H40166,""IDENTITAS UNIT!D9"")"),"#N/A")</f>
        <v>#N/A</v>
      </c>
      <c r="H40166" s="4" t="str">
        <v/>
      </c>
      <c r="I40166" s="4" t="str">
        <v/>
      </c>
    </row>
    <row r="40167" spans="5:9" ht="16.5" hidden="1">
      <c r="E40167" s="4" t="str">
        <v/>
      </c>
      <c r="F40167" s="102" t="str">
        <f ca="1">IFERROR(__xludf.DUMMYFUNCTION("IMPORTRANGE(H40167,""IDENTITAS UNIT!D9"")"),"#N/A")</f>
        <v>#N/A</v>
      </c>
      <c r="H40167" s="4" t="str">
        <v/>
      </c>
      <c r="I40167" s="4" t="str">
        <v/>
      </c>
    </row>
    <row r="40168" spans="5:9" ht="16.5" hidden="1">
      <c r="E40168" s="4" t="str">
        <v/>
      </c>
      <c r="F40168" s="102" t="str">
        <f ca="1">IFERROR(__xludf.DUMMYFUNCTION("IMPORTRANGE(H40168,""IDENTITAS UNIT!D9"")"),"#N/A")</f>
        <v>#N/A</v>
      </c>
      <c r="H40168" s="4" t="str">
        <v/>
      </c>
      <c r="I40168" s="4" t="str">
        <v/>
      </c>
    </row>
    <row r="40169" spans="5:9" ht="16.5" hidden="1">
      <c r="E40169" s="4" t="str">
        <v/>
      </c>
      <c r="F40169" s="102" t="str">
        <f ca="1">IFERROR(__xludf.DUMMYFUNCTION("IMPORTRANGE(H40169,""IDENTITAS UNIT!D9"")"),"#N/A")</f>
        <v>#N/A</v>
      </c>
      <c r="H40169" s="4" t="str">
        <v/>
      </c>
      <c r="I40169" s="4" t="str">
        <v/>
      </c>
    </row>
    <row r="40170" spans="5:9" ht="16.5" hidden="1">
      <c r="E40170" s="4" t="str">
        <v/>
      </c>
      <c r="F40170" s="102" t="str">
        <f ca="1">IFERROR(__xludf.DUMMYFUNCTION("IMPORTRANGE(H40170,""IDENTITAS UNIT!D9"")"),"#N/A")</f>
        <v>#N/A</v>
      </c>
      <c r="H40170" s="4" t="str">
        <v/>
      </c>
      <c r="I40170" s="4" t="str">
        <v/>
      </c>
    </row>
    <row r="40171" spans="5:9" ht="16.5" hidden="1">
      <c r="E40171" s="4" t="str">
        <v/>
      </c>
      <c r="F40171" s="102" t="str">
        <f ca="1">IFERROR(__xludf.DUMMYFUNCTION("IMPORTRANGE(H40171,""IDENTITAS UNIT!D9"")"),"#N/A")</f>
        <v>#N/A</v>
      </c>
      <c r="H40171" s="4" t="str">
        <v/>
      </c>
      <c r="I40171" s="4" t="str">
        <v/>
      </c>
    </row>
    <row r="40172" spans="5:9" ht="16.5" hidden="1">
      <c r="E40172" s="4" t="str">
        <v/>
      </c>
      <c r="F40172" s="102" t="str">
        <f ca="1">IFERROR(__xludf.DUMMYFUNCTION("IMPORTRANGE(H40172,""IDENTITAS UNIT!D9"")"),"#N/A")</f>
        <v>#N/A</v>
      </c>
      <c r="H40172" s="4" t="str">
        <v/>
      </c>
      <c r="I40172" s="4" t="str">
        <v/>
      </c>
    </row>
    <row r="40173" spans="5:9" ht="16.5" hidden="1">
      <c r="E40173" s="4" t="str">
        <v/>
      </c>
      <c r="F40173" s="102" t="str">
        <f ca="1">IFERROR(__xludf.DUMMYFUNCTION("IMPORTRANGE(H40173,""IDENTITAS UNIT!D9"")"),"#N/A")</f>
        <v>#N/A</v>
      </c>
      <c r="H40173" s="4" t="str">
        <v/>
      </c>
      <c r="I40173" s="4" t="str">
        <v/>
      </c>
    </row>
    <row r="40174" spans="5:9" ht="16.5" hidden="1">
      <c r="E40174" s="4" t="str">
        <v/>
      </c>
      <c r="F40174" s="102" t="str">
        <f ca="1">IFERROR(__xludf.DUMMYFUNCTION("IMPORTRANGE(H40174,""IDENTITAS UNIT!D9"")"),"#N/A")</f>
        <v>#N/A</v>
      </c>
      <c r="H40174" s="4" t="str">
        <v/>
      </c>
      <c r="I40174" s="4" t="str">
        <v/>
      </c>
    </row>
    <row r="40175" spans="5:9" ht="16.5" hidden="1">
      <c r="E40175" s="4" t="str">
        <v/>
      </c>
      <c r="F40175" s="102" t="str">
        <f ca="1">IFERROR(__xludf.DUMMYFUNCTION("IMPORTRANGE(H40175,""IDENTITAS UNIT!D9"")"),"#N/A")</f>
        <v>#N/A</v>
      </c>
      <c r="H40175" s="4" t="str">
        <v/>
      </c>
      <c r="I40175" s="4" t="str">
        <v/>
      </c>
    </row>
    <row r="40176" spans="5:9" ht="16.5" hidden="1">
      <c r="E40176" s="4" t="str">
        <v/>
      </c>
      <c r="F40176" s="102" t="str">
        <f ca="1">IFERROR(__xludf.DUMMYFUNCTION("IMPORTRANGE(H40176,""IDENTITAS UNIT!D9"")"),"#N/A")</f>
        <v>#N/A</v>
      </c>
      <c r="H40176" s="4" t="str">
        <v/>
      </c>
      <c r="I40176" s="4" t="str">
        <v/>
      </c>
    </row>
    <row r="40177" spans="5:9" ht="16.5" hidden="1">
      <c r="E40177" s="4" t="str">
        <v/>
      </c>
      <c r="F40177" s="102" t="str">
        <f ca="1">IFERROR(__xludf.DUMMYFUNCTION("IMPORTRANGE(H40177,""IDENTITAS UNIT!D9"")"),"#N/A")</f>
        <v>#N/A</v>
      </c>
      <c r="H40177" s="4" t="str">
        <v/>
      </c>
      <c r="I40177" s="4" t="str">
        <v/>
      </c>
    </row>
    <row r="40178" spans="5:9" ht="16.5" hidden="1">
      <c r="E40178" s="4" t="str">
        <v/>
      </c>
      <c r="F40178" s="102" t="str">
        <f ca="1">IFERROR(__xludf.DUMMYFUNCTION("IMPORTRANGE(H40178,""IDENTITAS UNIT!D9"")"),"#N/A")</f>
        <v>#N/A</v>
      </c>
      <c r="H40178" s="4" t="str">
        <v/>
      </c>
      <c r="I40178" s="4" t="str">
        <v/>
      </c>
    </row>
    <row r="40179" spans="5:9" ht="16.5" hidden="1">
      <c r="E40179" s="4" t="str">
        <v/>
      </c>
      <c r="F40179" s="102" t="str">
        <f ca="1">IFERROR(__xludf.DUMMYFUNCTION("IMPORTRANGE(H40179,""IDENTITAS UNIT!D9"")"),"#N/A")</f>
        <v>#N/A</v>
      </c>
      <c r="H40179" s="4" t="str">
        <v/>
      </c>
      <c r="I40179" s="4" t="str">
        <v/>
      </c>
    </row>
    <row r="40180" spans="5:9" ht="16.5" hidden="1">
      <c r="E40180" s="4" t="str">
        <v/>
      </c>
      <c r="F40180" s="102" t="str">
        <f ca="1">IFERROR(__xludf.DUMMYFUNCTION("IMPORTRANGE(H40180,""IDENTITAS UNIT!D9"")"),"#N/A")</f>
        <v>#N/A</v>
      </c>
      <c r="H40180" s="4" t="str">
        <v/>
      </c>
      <c r="I40180" s="4" t="str">
        <v/>
      </c>
    </row>
    <row r="40181" spans="5:9" ht="16.5" hidden="1">
      <c r="E40181" s="4" t="str">
        <v/>
      </c>
      <c r="F40181" s="102" t="str">
        <f ca="1">IFERROR(__xludf.DUMMYFUNCTION("IMPORTRANGE(H40181,""IDENTITAS UNIT!D9"")"),"#N/A")</f>
        <v>#N/A</v>
      </c>
      <c r="H40181" s="4" t="str">
        <v/>
      </c>
      <c r="I40181" s="4" t="str">
        <v/>
      </c>
    </row>
    <row r="40182" spans="5:9" ht="16.5" hidden="1">
      <c r="E40182" s="4" t="str">
        <v/>
      </c>
      <c r="F40182" s="102" t="str">
        <f ca="1">IFERROR(__xludf.DUMMYFUNCTION("IMPORTRANGE(H40182,""IDENTITAS UNIT!D9"")"),"#N/A")</f>
        <v>#N/A</v>
      </c>
      <c r="H40182" s="4" t="str">
        <v/>
      </c>
      <c r="I40182" s="4" t="str">
        <v/>
      </c>
    </row>
    <row r="40183" spans="5:9" ht="16.5" hidden="1">
      <c r="E40183" s="4" t="str">
        <v/>
      </c>
      <c r="F40183" s="102" t="str">
        <f ca="1">IFERROR(__xludf.DUMMYFUNCTION("IMPORTRANGE(H40183,""IDENTITAS UNIT!D9"")"),"#N/A")</f>
        <v>#N/A</v>
      </c>
      <c r="H40183" s="4" t="str">
        <v/>
      </c>
      <c r="I40183" s="4" t="str">
        <v/>
      </c>
    </row>
    <row r="40184" spans="5:9" ht="16.5" hidden="1">
      <c r="E40184" s="4" t="str">
        <v/>
      </c>
      <c r="F40184" s="102" t="str">
        <f ca="1">IFERROR(__xludf.DUMMYFUNCTION("IMPORTRANGE(H40184,""IDENTITAS UNIT!D9"")"),"#N/A")</f>
        <v>#N/A</v>
      </c>
      <c r="H40184" s="4" t="str">
        <v/>
      </c>
      <c r="I40184" s="4" t="str">
        <v/>
      </c>
    </row>
    <row r="40185" spans="5:9" ht="16.5" hidden="1">
      <c r="E40185" s="4" t="str">
        <v/>
      </c>
      <c r="F40185" s="102" t="str">
        <f ca="1">IFERROR(__xludf.DUMMYFUNCTION("IMPORTRANGE(H40185,""IDENTITAS UNIT!D9"")"),"#N/A")</f>
        <v>#N/A</v>
      </c>
      <c r="H40185" s="4" t="str">
        <v/>
      </c>
      <c r="I40185" s="4" t="str">
        <v/>
      </c>
    </row>
    <row r="40186" spans="5:9" ht="16.5" hidden="1">
      <c r="E40186" s="4" t="str">
        <v/>
      </c>
      <c r="F40186" s="102" t="str">
        <f ca="1">IFERROR(__xludf.DUMMYFUNCTION("IMPORTRANGE(H40186,""IDENTITAS UNIT!D9"")"),"#N/A")</f>
        <v>#N/A</v>
      </c>
      <c r="H40186" s="4" t="str">
        <v/>
      </c>
      <c r="I40186" s="4" t="str">
        <v/>
      </c>
    </row>
    <row r="40187" spans="5:9" ht="16.5" hidden="1">
      <c r="E40187" s="4" t="str">
        <v/>
      </c>
      <c r="F40187" s="102" t="str">
        <f ca="1">IFERROR(__xludf.DUMMYFUNCTION("IMPORTRANGE(H40187,""IDENTITAS UNIT!D9"")"),"#N/A")</f>
        <v>#N/A</v>
      </c>
      <c r="H40187" s="4" t="str">
        <v/>
      </c>
      <c r="I40187" s="4" t="str">
        <v/>
      </c>
    </row>
    <row r="40188" spans="5:9" ht="16.5" hidden="1">
      <c r="E40188" s="4" t="str">
        <v/>
      </c>
      <c r="F40188" s="102" t="str">
        <f ca="1">IFERROR(__xludf.DUMMYFUNCTION("IMPORTRANGE(H40188,""IDENTITAS UNIT!D9"")"),"#N/A")</f>
        <v>#N/A</v>
      </c>
      <c r="H40188" s="4" t="str">
        <v/>
      </c>
      <c r="I40188" s="4" t="str">
        <v/>
      </c>
    </row>
    <row r="40189" spans="5:9" ht="16.5" hidden="1">
      <c r="E40189" s="4" t="str">
        <v/>
      </c>
      <c r="F40189" s="102" t="str">
        <f ca="1">IFERROR(__xludf.DUMMYFUNCTION("IMPORTRANGE(H40189,""IDENTITAS UNIT!D9"")"),"#N/A")</f>
        <v>#N/A</v>
      </c>
      <c r="H40189" s="4" t="str">
        <v/>
      </c>
      <c r="I40189" s="4" t="str">
        <v/>
      </c>
    </row>
    <row r="40190" spans="5:9" ht="16.5" hidden="1">
      <c r="E40190" s="4" t="str">
        <v/>
      </c>
      <c r="F40190" s="102" t="str">
        <f ca="1">IFERROR(__xludf.DUMMYFUNCTION("IMPORTRANGE(H40190,""IDENTITAS UNIT!D9"")"),"#N/A")</f>
        <v>#N/A</v>
      </c>
      <c r="H40190" s="4" t="str">
        <v/>
      </c>
      <c r="I40190" s="4" t="str">
        <v/>
      </c>
    </row>
    <row r="40191" spans="5:9" ht="16.5" hidden="1">
      <c r="E40191" s="4" t="str">
        <v/>
      </c>
      <c r="F40191" s="102" t="str">
        <f ca="1">IFERROR(__xludf.DUMMYFUNCTION("IMPORTRANGE(H40191,""IDENTITAS UNIT!D9"")"),"#N/A")</f>
        <v>#N/A</v>
      </c>
      <c r="H40191" s="4" t="str">
        <v/>
      </c>
      <c r="I40191" s="4" t="str">
        <v/>
      </c>
    </row>
    <row r="40192" spans="5:9" ht="16.5" hidden="1">
      <c r="E40192" s="4" t="str">
        <v/>
      </c>
      <c r="F40192" s="102" t="str">
        <f ca="1">IFERROR(__xludf.DUMMYFUNCTION("IMPORTRANGE(H40192,""IDENTITAS UNIT!D9"")"),"#N/A")</f>
        <v>#N/A</v>
      </c>
      <c r="H40192" s="4" t="str">
        <v/>
      </c>
      <c r="I40192" s="4" t="str">
        <v/>
      </c>
    </row>
    <row r="40193" spans="5:9" ht="16.5" hidden="1">
      <c r="E40193" s="4" t="str">
        <v/>
      </c>
      <c r="F40193" s="102" t="str">
        <f ca="1">IFERROR(__xludf.DUMMYFUNCTION("IMPORTRANGE(H40193,""IDENTITAS UNIT!D9"")"),"#N/A")</f>
        <v>#N/A</v>
      </c>
      <c r="H40193" s="4" t="str">
        <v/>
      </c>
      <c r="I40193" s="4" t="str">
        <v/>
      </c>
    </row>
    <row r="40194" spans="5:9" ht="16.5" hidden="1">
      <c r="E40194" s="4" t="str">
        <v/>
      </c>
      <c r="F40194" s="102" t="str">
        <f ca="1">IFERROR(__xludf.DUMMYFUNCTION("IMPORTRANGE(H40194,""IDENTITAS UNIT!D9"")"),"#N/A")</f>
        <v>#N/A</v>
      </c>
      <c r="H40194" s="4" t="str">
        <v/>
      </c>
      <c r="I40194" s="4" t="str">
        <v/>
      </c>
    </row>
    <row r="40195" spans="5:9" ht="16.5" hidden="1">
      <c r="E40195" s="4" t="str">
        <v/>
      </c>
      <c r="F40195" s="102" t="str">
        <f ca="1">IFERROR(__xludf.DUMMYFUNCTION("IMPORTRANGE(H40195,""IDENTITAS UNIT!D9"")"),"#N/A")</f>
        <v>#N/A</v>
      </c>
      <c r="H40195" s="4" t="str">
        <v/>
      </c>
      <c r="I40195" s="4" t="str">
        <v/>
      </c>
    </row>
    <row r="40196" spans="5:9" ht="16.5" hidden="1">
      <c r="E40196" s="4" t="str">
        <v/>
      </c>
      <c r="F40196" s="102" t="str">
        <f ca="1">IFERROR(__xludf.DUMMYFUNCTION("IMPORTRANGE(H40196,""IDENTITAS UNIT!D9"")"),"#N/A")</f>
        <v>#N/A</v>
      </c>
      <c r="H40196" s="4" t="str">
        <v/>
      </c>
      <c r="I40196" s="4" t="str">
        <v/>
      </c>
    </row>
    <row r="40197" spans="5:9" ht="16.5" hidden="1">
      <c r="E40197" s="4" t="str">
        <v/>
      </c>
      <c r="F40197" s="102" t="str">
        <f ca="1">IFERROR(__xludf.DUMMYFUNCTION("IMPORTRANGE(H40197,""IDENTITAS UNIT!D9"")"),"#N/A")</f>
        <v>#N/A</v>
      </c>
      <c r="H40197" s="4" t="str">
        <v/>
      </c>
      <c r="I40197" s="4" t="str">
        <v/>
      </c>
    </row>
    <row r="40198" spans="5:9" ht="16.5" hidden="1">
      <c r="E40198" s="4" t="str">
        <v/>
      </c>
      <c r="F40198" s="102" t="str">
        <f ca="1">IFERROR(__xludf.DUMMYFUNCTION("IMPORTRANGE(H40198,""IDENTITAS UNIT!D9"")"),"#N/A")</f>
        <v>#N/A</v>
      </c>
      <c r="H40198" s="4" t="str">
        <v/>
      </c>
      <c r="I40198" s="4" t="str">
        <v/>
      </c>
    </row>
    <row r="40199" spans="5:9" ht="16.5" hidden="1">
      <c r="E40199" s="4" t="str">
        <v/>
      </c>
      <c r="F40199" s="102" t="str">
        <f ca="1">IFERROR(__xludf.DUMMYFUNCTION("IMPORTRANGE(H40199,""IDENTITAS UNIT!D9"")"),"#N/A")</f>
        <v>#N/A</v>
      </c>
      <c r="H40199" s="4" t="str">
        <v/>
      </c>
      <c r="I40199" s="4" t="str">
        <v/>
      </c>
    </row>
    <row r="40200" spans="5:9" ht="16.5" hidden="1">
      <c r="E40200" s="4" t="str">
        <v/>
      </c>
      <c r="F40200" s="102" t="str">
        <f ca="1">IFERROR(__xludf.DUMMYFUNCTION("IMPORTRANGE(H40200,""IDENTITAS UNIT!D9"")"),"#N/A")</f>
        <v>#N/A</v>
      </c>
      <c r="H40200" s="4" t="str">
        <v/>
      </c>
      <c r="I40200" s="4" t="str">
        <v/>
      </c>
    </row>
    <row r="40201" spans="5:9" ht="16.5" hidden="1">
      <c r="E40201" s="4" t="str">
        <v/>
      </c>
      <c r="F40201" s="102" t="str">
        <f ca="1">IFERROR(__xludf.DUMMYFUNCTION("IMPORTRANGE(H40201,""IDENTITAS UNIT!D9"")"),"#N/A")</f>
        <v>#N/A</v>
      </c>
      <c r="H40201" s="4" t="str">
        <v/>
      </c>
      <c r="I40201" s="4" t="str">
        <v/>
      </c>
    </row>
    <row r="40202" spans="5:9" ht="16.5" hidden="1">
      <c r="E40202" s="4" t="str">
        <v/>
      </c>
      <c r="F40202" s="102" t="str">
        <f ca="1">IFERROR(__xludf.DUMMYFUNCTION("IMPORTRANGE(H40202,""IDENTITAS UNIT!D9"")"),"#N/A")</f>
        <v>#N/A</v>
      </c>
      <c r="H40202" s="4" t="str">
        <v/>
      </c>
      <c r="I40202" s="4" t="str">
        <v/>
      </c>
    </row>
    <row r="40203" spans="5:9" ht="16.5" hidden="1">
      <c r="E40203" s="4" t="str">
        <v/>
      </c>
      <c r="F40203" s="102" t="str">
        <f ca="1">IFERROR(__xludf.DUMMYFUNCTION("IMPORTRANGE(H40203,""IDENTITAS UNIT!D9"")"),"#N/A")</f>
        <v>#N/A</v>
      </c>
      <c r="H40203" s="4" t="str">
        <v/>
      </c>
      <c r="I40203" s="4" t="str">
        <v/>
      </c>
    </row>
    <row r="40204" spans="5:9" ht="16.5" hidden="1">
      <c r="E40204" s="4" t="str">
        <v/>
      </c>
      <c r="F40204" s="102" t="str">
        <f ca="1">IFERROR(__xludf.DUMMYFUNCTION("IMPORTRANGE(H40204,""IDENTITAS UNIT!D9"")"),"#N/A")</f>
        <v>#N/A</v>
      </c>
      <c r="H40204" s="4" t="str">
        <v/>
      </c>
      <c r="I40204" s="4" t="str">
        <v/>
      </c>
    </row>
    <row r="40205" spans="5:9" ht="16.5" hidden="1">
      <c r="E40205" s="4" t="str">
        <v/>
      </c>
      <c r="F40205" s="102" t="str">
        <f ca="1">IFERROR(__xludf.DUMMYFUNCTION("IMPORTRANGE(H40205,""IDENTITAS UNIT!D9"")"),"#N/A")</f>
        <v>#N/A</v>
      </c>
      <c r="H40205" s="4" t="str">
        <v/>
      </c>
      <c r="I40205" s="4" t="str">
        <v/>
      </c>
    </row>
    <row r="40206" spans="5:9" ht="16.5" hidden="1">
      <c r="E40206" s="4" t="str">
        <v/>
      </c>
      <c r="F40206" s="102" t="str">
        <f ca="1">IFERROR(__xludf.DUMMYFUNCTION("IMPORTRANGE(H40206,""IDENTITAS UNIT!D9"")"),"#N/A")</f>
        <v>#N/A</v>
      </c>
      <c r="H40206" s="4" t="str">
        <v/>
      </c>
      <c r="I40206" s="4" t="str">
        <v/>
      </c>
    </row>
    <row r="40207" spans="5:9" ht="16.5" hidden="1">
      <c r="E40207" s="4" t="str">
        <v/>
      </c>
      <c r="F40207" s="102" t="str">
        <f ca="1">IFERROR(__xludf.DUMMYFUNCTION("IMPORTRANGE(H40207,""IDENTITAS UNIT!D9"")"),"#N/A")</f>
        <v>#N/A</v>
      </c>
      <c r="H40207" s="4" t="str">
        <v/>
      </c>
      <c r="I40207" s="4" t="str">
        <v/>
      </c>
    </row>
    <row r="40208" spans="5:9" ht="16.5" hidden="1">
      <c r="E40208" s="4" t="str">
        <v/>
      </c>
      <c r="F40208" s="102" t="str">
        <f ca="1">IFERROR(__xludf.DUMMYFUNCTION("IMPORTRANGE(H40208,""IDENTITAS UNIT!D9"")"),"#N/A")</f>
        <v>#N/A</v>
      </c>
      <c r="H40208" s="4" t="str">
        <v/>
      </c>
      <c r="I40208" s="4" t="str">
        <v/>
      </c>
    </row>
    <row r="40209" spans="5:9" ht="16.5" hidden="1">
      <c r="E40209" s="4" t="str">
        <v/>
      </c>
      <c r="F40209" s="102" t="str">
        <f ca="1">IFERROR(__xludf.DUMMYFUNCTION("IMPORTRANGE(H40209,""IDENTITAS UNIT!D9"")"),"#N/A")</f>
        <v>#N/A</v>
      </c>
      <c r="H40209" s="4" t="str">
        <v/>
      </c>
      <c r="I40209" s="4" t="str">
        <v/>
      </c>
    </row>
    <row r="40210" spans="5:9" ht="16.5" hidden="1">
      <c r="E40210" s="4" t="str">
        <v/>
      </c>
      <c r="F40210" s="102" t="str">
        <f ca="1">IFERROR(__xludf.DUMMYFUNCTION("IMPORTRANGE(H40210,""IDENTITAS UNIT!D9"")"),"#N/A")</f>
        <v>#N/A</v>
      </c>
      <c r="H40210" s="4" t="str">
        <v/>
      </c>
      <c r="I40210" s="4" t="str">
        <v/>
      </c>
    </row>
    <row r="40211" spans="5:9" ht="16.5" hidden="1">
      <c r="E40211" s="4" t="str">
        <v/>
      </c>
      <c r="F40211" s="102" t="str">
        <f ca="1">IFERROR(__xludf.DUMMYFUNCTION("IMPORTRANGE(H40211,""IDENTITAS UNIT!D9"")"),"#N/A")</f>
        <v>#N/A</v>
      </c>
      <c r="H40211" s="4" t="str">
        <v/>
      </c>
      <c r="I40211" s="4" t="str">
        <v/>
      </c>
    </row>
    <row r="40212" spans="5:9" ht="16.5" hidden="1">
      <c r="E40212" s="4" t="str">
        <v/>
      </c>
      <c r="F40212" s="102" t="str">
        <f ca="1">IFERROR(__xludf.DUMMYFUNCTION("IMPORTRANGE(H40212,""IDENTITAS UNIT!D9"")"),"#N/A")</f>
        <v>#N/A</v>
      </c>
      <c r="H40212" s="4" t="str">
        <v/>
      </c>
      <c r="I40212" s="4" t="str">
        <v/>
      </c>
    </row>
    <row r="40213" spans="5:9" ht="16.5" hidden="1">
      <c r="E40213" s="4" t="str">
        <v/>
      </c>
      <c r="F40213" s="102" t="str">
        <f ca="1">IFERROR(__xludf.DUMMYFUNCTION("IMPORTRANGE(H40213,""IDENTITAS UNIT!D9"")"),"#N/A")</f>
        <v>#N/A</v>
      </c>
      <c r="H40213" s="4" t="str">
        <v/>
      </c>
      <c r="I40213" s="4" t="str">
        <v/>
      </c>
    </row>
    <row r="40214" spans="5:9" ht="16.5" hidden="1">
      <c r="E40214" s="4" t="str">
        <v/>
      </c>
      <c r="F40214" s="102" t="str">
        <f ca="1">IFERROR(__xludf.DUMMYFUNCTION("IMPORTRANGE(H40214,""IDENTITAS UNIT!D9"")"),"#N/A")</f>
        <v>#N/A</v>
      </c>
      <c r="H40214" s="4" t="str">
        <v/>
      </c>
      <c r="I40214" s="4" t="str">
        <v/>
      </c>
    </row>
    <row r="40215" spans="5:9" ht="16.5" hidden="1">
      <c r="E40215" s="4" t="str">
        <v/>
      </c>
      <c r="F40215" s="102" t="str">
        <f ca="1">IFERROR(__xludf.DUMMYFUNCTION("IMPORTRANGE(H40215,""IDENTITAS UNIT!D9"")"),"#N/A")</f>
        <v>#N/A</v>
      </c>
      <c r="H40215" s="4" t="str">
        <v/>
      </c>
      <c r="I40215" s="4" t="str">
        <v/>
      </c>
    </row>
    <row r="40216" spans="5:9" ht="16.5" hidden="1">
      <c r="E40216" s="4" t="str">
        <v/>
      </c>
      <c r="F40216" s="102" t="str">
        <f ca="1">IFERROR(__xludf.DUMMYFUNCTION("IMPORTRANGE(H40216,""IDENTITAS UNIT!D9"")"),"#N/A")</f>
        <v>#N/A</v>
      </c>
      <c r="H40216" s="4" t="str">
        <v/>
      </c>
      <c r="I40216" s="4" t="str">
        <v/>
      </c>
    </row>
    <row r="40217" spans="5:9" ht="16.5" hidden="1">
      <c r="E40217" s="4" t="str">
        <v/>
      </c>
      <c r="F40217" s="102" t="str">
        <f ca="1">IFERROR(__xludf.DUMMYFUNCTION("IMPORTRANGE(H40217,""IDENTITAS UNIT!D9"")"),"#N/A")</f>
        <v>#N/A</v>
      </c>
      <c r="H40217" s="4" t="str">
        <v/>
      </c>
      <c r="I40217" s="4" t="str">
        <v/>
      </c>
    </row>
    <row r="40218" spans="5:9" ht="16.5" hidden="1">
      <c r="E40218" s="4" t="str">
        <v/>
      </c>
      <c r="F40218" s="102" t="str">
        <f ca="1">IFERROR(__xludf.DUMMYFUNCTION("IMPORTRANGE(H40218,""IDENTITAS UNIT!D9"")"),"#N/A")</f>
        <v>#N/A</v>
      </c>
      <c r="H40218" s="4" t="str">
        <v/>
      </c>
      <c r="I40218" s="4" t="str">
        <v/>
      </c>
    </row>
    <row r="40219" spans="5:9" ht="16.5" hidden="1">
      <c r="E40219" s="4" t="str">
        <v/>
      </c>
      <c r="F40219" s="102" t="str">
        <f ca="1">IFERROR(__xludf.DUMMYFUNCTION("IMPORTRANGE(H40219,""IDENTITAS UNIT!D9"")"),"#N/A")</f>
        <v>#N/A</v>
      </c>
      <c r="H40219" s="4" t="str">
        <v/>
      </c>
      <c r="I40219" s="4" t="str">
        <v/>
      </c>
    </row>
    <row r="40220" spans="5:9" ht="16.5" hidden="1">
      <c r="E40220" s="4" t="str">
        <v/>
      </c>
      <c r="F40220" s="102" t="str">
        <f ca="1">IFERROR(__xludf.DUMMYFUNCTION("IMPORTRANGE(H40220,""IDENTITAS UNIT!D9"")"),"#N/A")</f>
        <v>#N/A</v>
      </c>
      <c r="H40220" s="4" t="str">
        <v/>
      </c>
      <c r="I40220" s="4" t="str">
        <v/>
      </c>
    </row>
    <row r="40221" spans="5:9" ht="16.5" hidden="1">
      <c r="E40221" s="4" t="str">
        <v/>
      </c>
      <c r="F40221" s="102" t="str">
        <f ca="1">IFERROR(__xludf.DUMMYFUNCTION("IMPORTRANGE(H40221,""IDENTITAS UNIT!D9"")"),"#N/A")</f>
        <v>#N/A</v>
      </c>
      <c r="H40221" s="4" t="str">
        <v/>
      </c>
      <c r="I40221" s="4" t="str">
        <v/>
      </c>
    </row>
    <row r="40222" spans="5:9" ht="16.5" hidden="1">
      <c r="E40222" s="4" t="str">
        <v/>
      </c>
      <c r="F40222" s="102" t="str">
        <f ca="1">IFERROR(__xludf.DUMMYFUNCTION("IMPORTRANGE(H40222,""IDENTITAS UNIT!D9"")"),"#N/A")</f>
        <v>#N/A</v>
      </c>
      <c r="H40222" s="4" t="str">
        <v/>
      </c>
      <c r="I40222" s="4" t="str">
        <v/>
      </c>
    </row>
    <row r="40223" spans="5:9" ht="16.5" hidden="1">
      <c r="E40223" s="4" t="str">
        <v/>
      </c>
      <c r="F40223" s="102" t="str">
        <f ca="1">IFERROR(__xludf.DUMMYFUNCTION("IMPORTRANGE(H40223,""IDENTITAS UNIT!D9"")"),"#N/A")</f>
        <v>#N/A</v>
      </c>
      <c r="H40223" s="4" t="str">
        <v/>
      </c>
      <c r="I40223" s="4" t="str">
        <v/>
      </c>
    </row>
    <row r="40224" spans="5:9" ht="16.5" hidden="1">
      <c r="E40224" s="4" t="str">
        <v/>
      </c>
      <c r="F40224" s="102" t="str">
        <f ca="1">IFERROR(__xludf.DUMMYFUNCTION("IMPORTRANGE(H40224,""IDENTITAS UNIT!D9"")"),"#N/A")</f>
        <v>#N/A</v>
      </c>
      <c r="H40224" s="4" t="str">
        <v/>
      </c>
      <c r="I40224" s="4" t="str">
        <v/>
      </c>
    </row>
    <row r="40225" spans="5:9" ht="16.5" hidden="1">
      <c r="E40225" s="4" t="str">
        <v/>
      </c>
      <c r="F40225" s="102" t="str">
        <f ca="1">IFERROR(__xludf.DUMMYFUNCTION("IMPORTRANGE(H40225,""IDENTITAS UNIT!D9"")"),"#N/A")</f>
        <v>#N/A</v>
      </c>
      <c r="H40225" s="4" t="str">
        <v/>
      </c>
      <c r="I40225" s="4" t="str">
        <v/>
      </c>
    </row>
    <row r="40226" spans="5:9" ht="16.5" hidden="1">
      <c r="E40226" s="4" t="str">
        <v/>
      </c>
      <c r="F40226" s="102" t="str">
        <f ca="1">IFERROR(__xludf.DUMMYFUNCTION("IMPORTRANGE(H40226,""IDENTITAS UNIT!D9"")"),"#N/A")</f>
        <v>#N/A</v>
      </c>
      <c r="H40226" s="4" t="str">
        <v/>
      </c>
      <c r="I40226" s="4" t="str">
        <v/>
      </c>
    </row>
    <row r="40227" spans="5:9" ht="16.5" hidden="1">
      <c r="E40227" s="4" t="str">
        <v/>
      </c>
      <c r="F40227" s="102" t="str">
        <f ca="1">IFERROR(__xludf.DUMMYFUNCTION("IMPORTRANGE(H40227,""IDENTITAS UNIT!D9"")"),"#N/A")</f>
        <v>#N/A</v>
      </c>
      <c r="H40227" s="4" t="str">
        <v/>
      </c>
      <c r="I40227" s="4" t="str">
        <v/>
      </c>
    </row>
    <row r="40228" spans="5:9" ht="16.5" hidden="1">
      <c r="E40228" s="4" t="str">
        <v/>
      </c>
      <c r="F40228" s="102" t="str">
        <f ca="1">IFERROR(__xludf.DUMMYFUNCTION("IMPORTRANGE(H40228,""IDENTITAS UNIT!D9"")"),"#N/A")</f>
        <v>#N/A</v>
      </c>
      <c r="H40228" s="4" t="str">
        <v/>
      </c>
      <c r="I40228" s="4" t="str">
        <v/>
      </c>
    </row>
    <row r="40229" spans="5:9" ht="16.5" hidden="1">
      <c r="E40229" s="4" t="str">
        <v/>
      </c>
      <c r="F40229" s="102" t="str">
        <f ca="1">IFERROR(__xludf.DUMMYFUNCTION("IMPORTRANGE(H40229,""IDENTITAS UNIT!D9"")"),"#N/A")</f>
        <v>#N/A</v>
      </c>
      <c r="H40229" s="4" t="str">
        <v/>
      </c>
      <c r="I40229" s="4" t="str">
        <v/>
      </c>
    </row>
    <row r="40230" spans="5:9" ht="16.5" hidden="1">
      <c r="E40230" s="4" t="str">
        <v/>
      </c>
      <c r="F40230" s="102" t="str">
        <f ca="1">IFERROR(__xludf.DUMMYFUNCTION("IMPORTRANGE(H40230,""IDENTITAS UNIT!D9"")"),"#N/A")</f>
        <v>#N/A</v>
      </c>
      <c r="H40230" s="4" t="str">
        <v/>
      </c>
      <c r="I40230" s="4" t="str">
        <v/>
      </c>
    </row>
    <row r="40231" spans="5:9" ht="16.5" hidden="1">
      <c r="E40231" s="4" t="str">
        <v/>
      </c>
      <c r="F40231" s="102" t="str">
        <f ca="1">IFERROR(__xludf.DUMMYFUNCTION("IMPORTRANGE(H40231,""IDENTITAS UNIT!D9"")"),"#N/A")</f>
        <v>#N/A</v>
      </c>
      <c r="H40231" s="4" t="str">
        <v/>
      </c>
      <c r="I40231" s="4" t="str">
        <v/>
      </c>
    </row>
    <row r="40232" spans="5:9" ht="16.5" hidden="1">
      <c r="E40232" s="4" t="str">
        <v/>
      </c>
      <c r="F40232" s="102" t="str">
        <f ca="1">IFERROR(__xludf.DUMMYFUNCTION("IMPORTRANGE(H40232,""IDENTITAS UNIT!D9"")"),"#N/A")</f>
        <v>#N/A</v>
      </c>
      <c r="H40232" s="4" t="str">
        <v/>
      </c>
      <c r="I40232" s="4" t="str">
        <v/>
      </c>
    </row>
    <row r="40233" spans="5:9" ht="16.5" hidden="1">
      <c r="E40233" s="4" t="str">
        <v/>
      </c>
      <c r="F40233" s="102" t="str">
        <f ca="1">IFERROR(__xludf.DUMMYFUNCTION("IMPORTRANGE(H40233,""IDENTITAS UNIT!D9"")"),"#N/A")</f>
        <v>#N/A</v>
      </c>
      <c r="H40233" s="4" t="str">
        <v/>
      </c>
      <c r="I40233" s="4" t="str">
        <v/>
      </c>
    </row>
    <row r="40234" spans="5:9" ht="16.5" hidden="1">
      <c r="E40234" s="4" t="str">
        <v/>
      </c>
      <c r="F40234" s="102" t="str">
        <f ca="1">IFERROR(__xludf.DUMMYFUNCTION("IMPORTRANGE(H40234,""IDENTITAS UNIT!D9"")"),"#N/A")</f>
        <v>#N/A</v>
      </c>
      <c r="H40234" s="4" t="str">
        <v/>
      </c>
      <c r="I40234" s="4" t="str">
        <v/>
      </c>
    </row>
    <row r="40235" spans="5:9" ht="16.5" hidden="1">
      <c r="E40235" s="4" t="str">
        <v/>
      </c>
      <c r="F40235" s="102" t="str">
        <f ca="1">IFERROR(__xludf.DUMMYFUNCTION("IMPORTRANGE(H40235,""IDENTITAS UNIT!D9"")"),"#N/A")</f>
        <v>#N/A</v>
      </c>
      <c r="H40235" s="4" t="str">
        <v/>
      </c>
      <c r="I40235" s="4" t="str">
        <v/>
      </c>
    </row>
    <row r="40236" spans="5:9" ht="16.5" hidden="1">
      <c r="E40236" s="4" t="str">
        <v/>
      </c>
      <c r="F40236" s="102" t="str">
        <f ca="1">IFERROR(__xludf.DUMMYFUNCTION("IMPORTRANGE(H40236,""IDENTITAS UNIT!D9"")"),"#N/A")</f>
        <v>#N/A</v>
      </c>
      <c r="H40236" s="4" t="str">
        <v/>
      </c>
      <c r="I40236" s="4" t="str">
        <v/>
      </c>
    </row>
    <row r="40237" spans="5:9" ht="16.5" hidden="1">
      <c r="E40237" s="4" t="str">
        <v/>
      </c>
      <c r="F40237" s="102" t="str">
        <f ca="1">IFERROR(__xludf.DUMMYFUNCTION("IMPORTRANGE(H40237,""IDENTITAS UNIT!D9"")"),"#N/A")</f>
        <v>#N/A</v>
      </c>
      <c r="H40237" s="4" t="str">
        <v/>
      </c>
      <c r="I40237" s="4" t="str">
        <v/>
      </c>
    </row>
    <row r="40238" spans="5:9" ht="16.5" hidden="1">
      <c r="E40238" s="4" t="str">
        <v/>
      </c>
      <c r="F40238" s="102" t="str">
        <f ca="1">IFERROR(__xludf.DUMMYFUNCTION("IMPORTRANGE(H40238,""IDENTITAS UNIT!D9"")"),"#N/A")</f>
        <v>#N/A</v>
      </c>
      <c r="H40238" s="4" t="str">
        <v/>
      </c>
      <c r="I40238" s="4" t="str">
        <v/>
      </c>
    </row>
    <row r="40239" spans="5:9" ht="16.5" hidden="1">
      <c r="E40239" s="4" t="str">
        <v/>
      </c>
      <c r="F40239" s="102" t="str">
        <f ca="1">IFERROR(__xludf.DUMMYFUNCTION("IMPORTRANGE(H40239,""IDENTITAS UNIT!D9"")"),"#N/A")</f>
        <v>#N/A</v>
      </c>
      <c r="H40239" s="4" t="str">
        <v/>
      </c>
      <c r="I40239" s="4" t="str">
        <v/>
      </c>
    </row>
    <row r="40240" spans="5:9" ht="16.5" hidden="1">
      <c r="E40240" s="4" t="str">
        <v/>
      </c>
      <c r="F40240" s="102" t="str">
        <f ca="1">IFERROR(__xludf.DUMMYFUNCTION("IMPORTRANGE(H40240,""IDENTITAS UNIT!D9"")"),"#N/A")</f>
        <v>#N/A</v>
      </c>
      <c r="H40240" s="4" t="str">
        <v/>
      </c>
      <c r="I40240" s="4" t="str">
        <v/>
      </c>
    </row>
    <row r="40241" spans="5:9" ht="16.5" hidden="1">
      <c r="E40241" s="4" t="str">
        <v/>
      </c>
      <c r="F40241" s="102" t="str">
        <f ca="1">IFERROR(__xludf.DUMMYFUNCTION("IMPORTRANGE(H40241,""IDENTITAS UNIT!D9"")"),"#N/A")</f>
        <v>#N/A</v>
      </c>
      <c r="H40241" s="4" t="str">
        <v/>
      </c>
      <c r="I40241" s="4" t="str">
        <v/>
      </c>
    </row>
    <row r="40242" spans="5:9" ht="16.5" hidden="1">
      <c r="E40242" s="4" t="str">
        <v/>
      </c>
      <c r="F40242" s="102" t="str">
        <f ca="1">IFERROR(__xludf.DUMMYFUNCTION("IMPORTRANGE(H40242,""IDENTITAS UNIT!D9"")"),"#N/A")</f>
        <v>#N/A</v>
      </c>
      <c r="H40242" s="4" t="str">
        <v/>
      </c>
      <c r="I40242" s="4" t="str">
        <v/>
      </c>
    </row>
    <row r="40243" spans="5:9" ht="16.5" hidden="1">
      <c r="E40243" s="4" t="str">
        <v/>
      </c>
      <c r="F40243" s="102" t="str">
        <f ca="1">IFERROR(__xludf.DUMMYFUNCTION("IMPORTRANGE(H40243,""IDENTITAS UNIT!D9"")"),"#N/A")</f>
        <v>#N/A</v>
      </c>
      <c r="H40243" s="4" t="str">
        <v/>
      </c>
      <c r="I40243" s="4" t="str">
        <v/>
      </c>
    </row>
    <row r="40244" spans="5:9" ht="16.5" hidden="1">
      <c r="E40244" s="4" t="str">
        <v/>
      </c>
      <c r="F40244" s="102" t="str">
        <f ca="1">IFERROR(__xludf.DUMMYFUNCTION("IMPORTRANGE(H40244,""IDENTITAS UNIT!D9"")"),"#N/A")</f>
        <v>#N/A</v>
      </c>
      <c r="H40244" s="4" t="str">
        <v/>
      </c>
      <c r="I40244" s="4" t="str">
        <v/>
      </c>
    </row>
    <row r="40245" spans="5:9" ht="16.5" hidden="1">
      <c r="E40245" s="4" t="str">
        <v/>
      </c>
      <c r="F40245" s="102" t="str">
        <f ca="1">IFERROR(__xludf.DUMMYFUNCTION("IMPORTRANGE(H40245,""IDENTITAS UNIT!D9"")"),"#N/A")</f>
        <v>#N/A</v>
      </c>
      <c r="H40245" s="4" t="str">
        <v/>
      </c>
      <c r="I40245" s="4" t="str">
        <v/>
      </c>
    </row>
    <row r="40246" spans="5:9" ht="16.5" hidden="1">
      <c r="E40246" s="4" t="str">
        <v/>
      </c>
      <c r="F40246" s="102" t="str">
        <f ca="1">IFERROR(__xludf.DUMMYFUNCTION("IMPORTRANGE(H40246,""IDENTITAS UNIT!D9"")"),"#N/A")</f>
        <v>#N/A</v>
      </c>
      <c r="H40246" s="4" t="str">
        <v/>
      </c>
      <c r="I40246" s="4" t="str">
        <v/>
      </c>
    </row>
    <row r="40247" spans="5:9" ht="16.5" hidden="1">
      <c r="E40247" s="4" t="str">
        <v/>
      </c>
      <c r="F40247" s="102" t="str">
        <f ca="1">IFERROR(__xludf.DUMMYFUNCTION("IMPORTRANGE(H40247,""IDENTITAS UNIT!D9"")"),"#N/A")</f>
        <v>#N/A</v>
      </c>
      <c r="H40247" s="4" t="str">
        <v/>
      </c>
      <c r="I40247" s="4" t="str">
        <v/>
      </c>
    </row>
    <row r="40248" spans="5:9" ht="16.5" hidden="1">
      <c r="E40248" s="4" t="str">
        <v/>
      </c>
      <c r="F40248" s="102" t="str">
        <f ca="1">IFERROR(__xludf.DUMMYFUNCTION("IMPORTRANGE(H40248,""IDENTITAS UNIT!D9"")"),"#N/A")</f>
        <v>#N/A</v>
      </c>
      <c r="H40248" s="4" t="str">
        <v/>
      </c>
      <c r="I40248" s="4" t="str">
        <v/>
      </c>
    </row>
    <row r="40249" spans="5:9" ht="16.5" hidden="1">
      <c r="E40249" s="4" t="str">
        <v/>
      </c>
      <c r="F40249" s="102" t="str">
        <f ca="1">IFERROR(__xludf.DUMMYFUNCTION("IMPORTRANGE(H40249,""IDENTITAS UNIT!D9"")"),"#N/A")</f>
        <v>#N/A</v>
      </c>
      <c r="H40249" s="4" t="str">
        <v/>
      </c>
      <c r="I40249" s="4" t="str">
        <v/>
      </c>
    </row>
    <row r="40250" spans="5:9" ht="16.5" hidden="1">
      <c r="E40250" s="4" t="str">
        <v/>
      </c>
      <c r="F40250" s="102" t="str">
        <f ca="1">IFERROR(__xludf.DUMMYFUNCTION("IMPORTRANGE(H40250,""IDENTITAS UNIT!D9"")"),"#N/A")</f>
        <v>#N/A</v>
      </c>
      <c r="H40250" s="4" t="str">
        <v/>
      </c>
      <c r="I40250" s="4" t="str">
        <v/>
      </c>
    </row>
    <row r="40251" spans="5:9" ht="16.5" hidden="1">
      <c r="E40251" s="4" t="str">
        <v/>
      </c>
      <c r="F40251" s="102" t="str">
        <f ca="1">IFERROR(__xludf.DUMMYFUNCTION("IMPORTRANGE(H40251,""IDENTITAS UNIT!D9"")"),"#N/A")</f>
        <v>#N/A</v>
      </c>
      <c r="H40251" s="4" t="str">
        <v/>
      </c>
      <c r="I40251" s="4" t="str">
        <v/>
      </c>
    </row>
    <row r="40252" spans="5:9" ht="16.5" hidden="1">
      <c r="E40252" s="4" t="str">
        <v/>
      </c>
      <c r="F40252" s="102" t="str">
        <f ca="1">IFERROR(__xludf.DUMMYFUNCTION("IMPORTRANGE(H40252,""IDENTITAS UNIT!D9"")"),"#N/A")</f>
        <v>#N/A</v>
      </c>
      <c r="H40252" s="4" t="str">
        <v/>
      </c>
      <c r="I40252" s="4" t="str">
        <v/>
      </c>
    </row>
    <row r="40253" spans="5:9" ht="16.5" hidden="1">
      <c r="E40253" s="4" t="str">
        <v/>
      </c>
      <c r="F40253" s="102" t="str">
        <f ca="1">IFERROR(__xludf.DUMMYFUNCTION("IMPORTRANGE(H40253,""IDENTITAS UNIT!D9"")"),"#N/A")</f>
        <v>#N/A</v>
      </c>
      <c r="H40253" s="4" t="str">
        <v/>
      </c>
      <c r="I40253" s="4" t="str">
        <v/>
      </c>
    </row>
    <row r="40254" spans="5:9" ht="16.5" hidden="1">
      <c r="E40254" s="4" t="str">
        <v/>
      </c>
      <c r="F40254" s="102" t="str">
        <f ca="1">IFERROR(__xludf.DUMMYFUNCTION("IMPORTRANGE(H40254,""IDENTITAS UNIT!D9"")"),"#N/A")</f>
        <v>#N/A</v>
      </c>
      <c r="H40254" s="4" t="str">
        <v/>
      </c>
      <c r="I40254" s="4" t="str">
        <v/>
      </c>
    </row>
    <row r="40255" spans="5:9" ht="16.5" hidden="1">
      <c r="E40255" s="4" t="str">
        <v/>
      </c>
      <c r="F40255" s="102" t="str">
        <f ca="1">IFERROR(__xludf.DUMMYFUNCTION("IMPORTRANGE(H40255,""IDENTITAS UNIT!D9"")"),"#N/A")</f>
        <v>#N/A</v>
      </c>
      <c r="H40255" s="4" t="str">
        <v/>
      </c>
      <c r="I40255" s="4" t="str">
        <v/>
      </c>
    </row>
    <row r="40256" spans="5:9" ht="16.5" hidden="1">
      <c r="E40256" s="4" t="str">
        <v/>
      </c>
      <c r="F40256" s="102" t="str">
        <f ca="1">IFERROR(__xludf.DUMMYFUNCTION("IMPORTRANGE(H40256,""IDENTITAS UNIT!D9"")"),"#N/A")</f>
        <v>#N/A</v>
      </c>
      <c r="H40256" s="4" t="str">
        <v/>
      </c>
      <c r="I40256" s="4" t="str">
        <v/>
      </c>
    </row>
    <row r="40257" spans="5:9" ht="16.5" hidden="1">
      <c r="E40257" s="4" t="str">
        <v/>
      </c>
      <c r="F40257" s="102" t="str">
        <f ca="1">IFERROR(__xludf.DUMMYFUNCTION("IMPORTRANGE(H40257,""IDENTITAS UNIT!D9"")"),"#N/A")</f>
        <v>#N/A</v>
      </c>
      <c r="H40257" s="4" t="str">
        <v/>
      </c>
      <c r="I40257" s="4" t="str">
        <v/>
      </c>
    </row>
    <row r="40258" spans="5:9" ht="16.5" hidden="1">
      <c r="E40258" s="4" t="str">
        <v/>
      </c>
      <c r="F40258" s="102" t="str">
        <f ca="1">IFERROR(__xludf.DUMMYFUNCTION("IMPORTRANGE(H40258,""IDENTITAS UNIT!D9"")"),"#N/A")</f>
        <v>#N/A</v>
      </c>
      <c r="H40258" s="4" t="str">
        <v/>
      </c>
      <c r="I40258" s="4" t="str">
        <v/>
      </c>
    </row>
    <row r="40259" spans="5:9" ht="16.5" hidden="1">
      <c r="E40259" s="4" t="str">
        <v/>
      </c>
      <c r="F40259" s="102" t="str">
        <f ca="1">IFERROR(__xludf.DUMMYFUNCTION("IMPORTRANGE(H40259,""IDENTITAS UNIT!D9"")"),"#N/A")</f>
        <v>#N/A</v>
      </c>
      <c r="H40259" s="4" t="str">
        <v/>
      </c>
      <c r="I40259" s="4" t="str">
        <v/>
      </c>
    </row>
    <row r="40260" spans="5:9" ht="16.5" hidden="1">
      <c r="E40260" s="4" t="str">
        <v/>
      </c>
      <c r="F40260" s="102" t="str">
        <f ca="1">IFERROR(__xludf.DUMMYFUNCTION("IMPORTRANGE(H40260,""IDENTITAS UNIT!D9"")"),"#N/A")</f>
        <v>#N/A</v>
      </c>
      <c r="H40260" s="4" t="str">
        <v/>
      </c>
      <c r="I40260" s="4" t="str">
        <v/>
      </c>
    </row>
    <row r="40261" spans="5:9" ht="16.5" hidden="1">
      <c r="E40261" s="4" t="str">
        <v/>
      </c>
      <c r="F40261" s="102" t="str">
        <f ca="1">IFERROR(__xludf.DUMMYFUNCTION("IMPORTRANGE(H40261,""IDENTITAS UNIT!D9"")"),"#N/A")</f>
        <v>#N/A</v>
      </c>
      <c r="H40261" s="4" t="str">
        <v/>
      </c>
      <c r="I40261" s="4" t="str">
        <v/>
      </c>
    </row>
    <row r="40262" spans="5:9" ht="16.5" hidden="1">
      <c r="E40262" s="4" t="str">
        <v/>
      </c>
      <c r="F40262" s="102" t="str">
        <f ca="1">IFERROR(__xludf.DUMMYFUNCTION("IMPORTRANGE(H40262,""IDENTITAS UNIT!D9"")"),"#N/A")</f>
        <v>#N/A</v>
      </c>
      <c r="H40262" s="4" t="str">
        <v/>
      </c>
      <c r="I40262" s="4" t="str">
        <v/>
      </c>
    </row>
    <row r="40263" spans="5:9" ht="16.5" hidden="1">
      <c r="E40263" s="4" t="str">
        <v/>
      </c>
      <c r="F40263" s="102" t="str">
        <f ca="1">IFERROR(__xludf.DUMMYFUNCTION("IMPORTRANGE(H40263,""IDENTITAS UNIT!D9"")"),"#N/A")</f>
        <v>#N/A</v>
      </c>
      <c r="H40263" s="4" t="str">
        <v/>
      </c>
      <c r="I40263" s="4" t="str">
        <v/>
      </c>
    </row>
    <row r="40264" spans="5:9" ht="16.5" hidden="1">
      <c r="E40264" s="4" t="str">
        <v/>
      </c>
      <c r="F40264" s="102" t="str">
        <f ca="1">IFERROR(__xludf.DUMMYFUNCTION("IMPORTRANGE(H40264,""IDENTITAS UNIT!D9"")"),"#N/A")</f>
        <v>#N/A</v>
      </c>
      <c r="H40264" s="4" t="str">
        <v/>
      </c>
      <c r="I40264" s="4" t="str">
        <v/>
      </c>
    </row>
    <row r="40265" spans="5:9" ht="16.5" hidden="1">
      <c r="E40265" s="4" t="str">
        <v/>
      </c>
      <c r="F40265" s="102" t="str">
        <f ca="1">IFERROR(__xludf.DUMMYFUNCTION("IMPORTRANGE(H40265,""IDENTITAS UNIT!D9"")"),"#N/A")</f>
        <v>#N/A</v>
      </c>
      <c r="H40265" s="4" t="str">
        <v/>
      </c>
      <c r="I40265" s="4" t="str">
        <v/>
      </c>
    </row>
    <row r="40266" spans="5:9" ht="16.5" hidden="1">
      <c r="E40266" s="4" t="str">
        <v/>
      </c>
      <c r="F40266" s="102" t="str">
        <f ca="1">IFERROR(__xludf.DUMMYFUNCTION("IMPORTRANGE(H40266,""IDENTITAS UNIT!D9"")"),"#N/A")</f>
        <v>#N/A</v>
      </c>
      <c r="H40266" s="4" t="str">
        <v/>
      </c>
      <c r="I40266" s="4" t="str">
        <v/>
      </c>
    </row>
    <row r="40267" spans="5:9" ht="16.5" hidden="1">
      <c r="E40267" s="4" t="str">
        <v/>
      </c>
      <c r="F40267" s="102" t="str">
        <f ca="1">IFERROR(__xludf.DUMMYFUNCTION("IMPORTRANGE(H40267,""IDENTITAS UNIT!D9"")"),"#N/A")</f>
        <v>#N/A</v>
      </c>
      <c r="H40267" s="4" t="str">
        <v/>
      </c>
      <c r="I40267" s="4" t="str">
        <v/>
      </c>
    </row>
    <row r="40268" spans="5:9" ht="16.5" hidden="1">
      <c r="E40268" s="4" t="str">
        <v/>
      </c>
      <c r="F40268" s="102" t="str">
        <f ca="1">IFERROR(__xludf.DUMMYFUNCTION("IMPORTRANGE(H40268,""IDENTITAS UNIT!D9"")"),"#N/A")</f>
        <v>#N/A</v>
      </c>
      <c r="H40268" s="4" t="str">
        <v/>
      </c>
      <c r="I40268" s="4" t="str">
        <v/>
      </c>
    </row>
    <row r="40269" spans="5:9" ht="16.5" hidden="1">
      <c r="E40269" s="4" t="str">
        <v/>
      </c>
      <c r="F40269" s="102" t="str">
        <f ca="1">IFERROR(__xludf.DUMMYFUNCTION("IMPORTRANGE(H40269,""IDENTITAS UNIT!D9"")"),"#N/A")</f>
        <v>#N/A</v>
      </c>
      <c r="H40269" s="4" t="str">
        <v/>
      </c>
      <c r="I40269" s="4" t="str">
        <v/>
      </c>
    </row>
    <row r="40270" spans="5:9" ht="16.5" hidden="1">
      <c r="E40270" s="4" t="str">
        <v/>
      </c>
      <c r="F40270" s="102" t="str">
        <f ca="1">IFERROR(__xludf.DUMMYFUNCTION("IMPORTRANGE(H40270,""IDENTITAS UNIT!D9"")"),"#N/A")</f>
        <v>#N/A</v>
      </c>
      <c r="H40270" s="4" t="str">
        <v/>
      </c>
      <c r="I40270" s="4" t="str">
        <v/>
      </c>
    </row>
    <row r="40271" spans="5:9" ht="16.5" hidden="1">
      <c r="E40271" s="4" t="str">
        <v/>
      </c>
      <c r="F40271" s="102" t="str">
        <f ca="1">IFERROR(__xludf.DUMMYFUNCTION("IMPORTRANGE(H40271,""IDENTITAS UNIT!D9"")"),"#N/A")</f>
        <v>#N/A</v>
      </c>
      <c r="H40271" s="4" t="str">
        <v/>
      </c>
      <c r="I40271" s="4" t="str">
        <v/>
      </c>
    </row>
    <row r="40272" spans="5:9" ht="16.5" hidden="1">
      <c r="E40272" s="4" t="str">
        <v/>
      </c>
      <c r="F40272" s="102" t="str">
        <f ca="1">IFERROR(__xludf.DUMMYFUNCTION("IMPORTRANGE(H40272,""IDENTITAS UNIT!D9"")"),"#N/A")</f>
        <v>#N/A</v>
      </c>
      <c r="H40272" s="4" t="str">
        <v/>
      </c>
      <c r="I40272" s="4" t="str">
        <v/>
      </c>
    </row>
    <row r="40273" spans="5:9" ht="16.5" hidden="1">
      <c r="E40273" s="4" t="str">
        <v/>
      </c>
      <c r="F40273" s="102" t="str">
        <f ca="1">IFERROR(__xludf.DUMMYFUNCTION("IMPORTRANGE(H40273,""IDENTITAS UNIT!D9"")"),"#N/A")</f>
        <v>#N/A</v>
      </c>
      <c r="H40273" s="4" t="str">
        <v/>
      </c>
      <c r="I40273" s="4" t="str">
        <v/>
      </c>
    </row>
    <row r="40274" spans="5:9" ht="16.5" hidden="1">
      <c r="E40274" s="4" t="str">
        <v/>
      </c>
      <c r="F40274" s="102" t="str">
        <f ca="1">IFERROR(__xludf.DUMMYFUNCTION("IMPORTRANGE(H40274,""IDENTITAS UNIT!D9"")"),"#N/A")</f>
        <v>#N/A</v>
      </c>
      <c r="H40274" s="4" t="str">
        <v/>
      </c>
      <c r="I40274" s="4" t="str">
        <v/>
      </c>
    </row>
    <row r="40275" spans="5:9" ht="16.5" hidden="1">
      <c r="E40275" s="4" t="str">
        <v/>
      </c>
      <c r="F40275" s="102" t="str">
        <f ca="1">IFERROR(__xludf.DUMMYFUNCTION("IMPORTRANGE(H40275,""IDENTITAS UNIT!D9"")"),"#N/A")</f>
        <v>#N/A</v>
      </c>
      <c r="H40275" s="4" t="str">
        <v/>
      </c>
      <c r="I40275" s="4" t="str">
        <v/>
      </c>
    </row>
    <row r="40276" spans="5:9" ht="16.5" hidden="1">
      <c r="E40276" s="4" t="str">
        <v/>
      </c>
      <c r="F40276" s="102" t="str">
        <f ca="1">IFERROR(__xludf.DUMMYFUNCTION("IMPORTRANGE(H40276,""IDENTITAS UNIT!D9"")"),"#N/A")</f>
        <v>#N/A</v>
      </c>
      <c r="H40276" s="4" t="str">
        <v/>
      </c>
      <c r="I40276" s="4" t="str">
        <v/>
      </c>
    </row>
    <row r="40277" spans="5:9" ht="16.5" hidden="1">
      <c r="E40277" s="4" t="str">
        <v/>
      </c>
      <c r="F40277" s="102" t="str">
        <f ca="1">IFERROR(__xludf.DUMMYFUNCTION("IMPORTRANGE(H40277,""IDENTITAS UNIT!D9"")"),"#N/A")</f>
        <v>#N/A</v>
      </c>
      <c r="H40277" s="4" t="str">
        <v/>
      </c>
      <c r="I40277" s="4" t="str">
        <v/>
      </c>
    </row>
    <row r="40278" spans="5:9" ht="16.5" hidden="1">
      <c r="E40278" s="4" t="str">
        <v/>
      </c>
      <c r="F40278" s="102" t="str">
        <f ca="1">IFERROR(__xludf.DUMMYFUNCTION("IMPORTRANGE(H40278,""IDENTITAS UNIT!D9"")"),"#N/A")</f>
        <v>#N/A</v>
      </c>
      <c r="H40278" s="4" t="str">
        <v/>
      </c>
      <c r="I40278" s="4" t="str">
        <v/>
      </c>
    </row>
    <row r="40279" spans="5:9" ht="16.5" hidden="1">
      <c r="E40279" s="4" t="str">
        <v/>
      </c>
      <c r="F40279" s="102" t="str">
        <f ca="1">IFERROR(__xludf.DUMMYFUNCTION("IMPORTRANGE(H40279,""IDENTITAS UNIT!D9"")"),"#N/A")</f>
        <v>#N/A</v>
      </c>
      <c r="H40279" s="4" t="str">
        <v/>
      </c>
      <c r="I40279" s="4" t="str">
        <v/>
      </c>
    </row>
    <row r="40280" spans="5:9" ht="16.5" hidden="1">
      <c r="E40280" s="4" t="str">
        <v/>
      </c>
      <c r="F40280" s="102" t="str">
        <f ca="1">IFERROR(__xludf.DUMMYFUNCTION("IMPORTRANGE(H40280,""IDENTITAS UNIT!D9"")"),"#N/A")</f>
        <v>#N/A</v>
      </c>
      <c r="H40280" s="4" t="str">
        <v/>
      </c>
      <c r="I40280" s="4" t="str">
        <v/>
      </c>
    </row>
    <row r="40281" spans="5:9" ht="16.5" hidden="1">
      <c r="E40281" s="4" t="str">
        <v/>
      </c>
      <c r="F40281" s="102" t="str">
        <f ca="1">IFERROR(__xludf.DUMMYFUNCTION("IMPORTRANGE(H40281,""IDENTITAS UNIT!D9"")"),"#N/A")</f>
        <v>#N/A</v>
      </c>
      <c r="H40281" s="4" t="str">
        <v/>
      </c>
      <c r="I40281" s="4" t="str">
        <v/>
      </c>
    </row>
    <row r="40282" spans="5:9" ht="16.5" hidden="1">
      <c r="E40282" s="4" t="str">
        <v/>
      </c>
      <c r="F40282" s="102" t="str">
        <f ca="1">IFERROR(__xludf.DUMMYFUNCTION("IMPORTRANGE(H40282,""IDENTITAS UNIT!D9"")"),"#N/A")</f>
        <v>#N/A</v>
      </c>
      <c r="H40282" s="4" t="str">
        <v/>
      </c>
      <c r="I40282" s="4" t="str">
        <v/>
      </c>
    </row>
    <row r="40283" spans="5:9" ht="16.5" hidden="1">
      <c r="E40283" s="4" t="str">
        <v/>
      </c>
      <c r="F40283" s="102" t="str">
        <f ca="1">IFERROR(__xludf.DUMMYFUNCTION("IMPORTRANGE(H40283,""IDENTITAS UNIT!D9"")"),"#N/A")</f>
        <v>#N/A</v>
      </c>
      <c r="H40283" s="4" t="str">
        <v/>
      </c>
      <c r="I40283" s="4" t="str">
        <v/>
      </c>
    </row>
    <row r="40284" spans="5:9" ht="16.5" hidden="1">
      <c r="E40284" s="4" t="str">
        <v/>
      </c>
      <c r="F40284" s="102" t="str">
        <f ca="1">IFERROR(__xludf.DUMMYFUNCTION("IMPORTRANGE(H40284,""IDENTITAS UNIT!D9"")"),"#N/A")</f>
        <v>#N/A</v>
      </c>
      <c r="H40284" s="4" t="str">
        <v/>
      </c>
      <c r="I40284" s="4" t="str">
        <v/>
      </c>
    </row>
    <row r="40285" spans="5:9" ht="16.5" hidden="1">
      <c r="E40285" s="4" t="str">
        <v/>
      </c>
      <c r="F40285" s="102" t="str">
        <f ca="1">IFERROR(__xludf.DUMMYFUNCTION("IMPORTRANGE(H40285,""IDENTITAS UNIT!D9"")"),"#N/A")</f>
        <v>#N/A</v>
      </c>
      <c r="H40285" s="4" t="str">
        <v/>
      </c>
      <c r="I40285" s="4" t="str">
        <v/>
      </c>
    </row>
    <row r="40286" spans="5:9" ht="16.5" hidden="1">
      <c r="E40286" s="4" t="str">
        <v/>
      </c>
      <c r="F40286" s="102" t="str">
        <f ca="1">IFERROR(__xludf.DUMMYFUNCTION("IMPORTRANGE(H40286,""IDENTITAS UNIT!D9"")"),"#N/A")</f>
        <v>#N/A</v>
      </c>
      <c r="H40286" s="4" t="str">
        <v/>
      </c>
      <c r="I40286" s="4" t="str">
        <v/>
      </c>
    </row>
    <row r="40287" spans="5:9" ht="16.5" hidden="1">
      <c r="E40287" s="4" t="str">
        <v/>
      </c>
      <c r="F40287" s="102" t="str">
        <f ca="1">IFERROR(__xludf.DUMMYFUNCTION("IMPORTRANGE(H40287,""IDENTITAS UNIT!D9"")"),"#N/A")</f>
        <v>#N/A</v>
      </c>
      <c r="H40287" s="4" t="str">
        <v/>
      </c>
      <c r="I40287" s="4" t="str">
        <v/>
      </c>
    </row>
    <row r="40288" spans="5:9" ht="16.5" hidden="1">
      <c r="E40288" s="4" t="str">
        <v/>
      </c>
      <c r="F40288" s="102" t="str">
        <f ca="1">IFERROR(__xludf.DUMMYFUNCTION("IMPORTRANGE(H40288,""IDENTITAS UNIT!D9"")"),"#N/A")</f>
        <v>#N/A</v>
      </c>
      <c r="H40288" s="4" t="str">
        <v/>
      </c>
      <c r="I40288" s="4" t="str">
        <v/>
      </c>
    </row>
    <row r="40289" spans="5:9" ht="16.5" hidden="1">
      <c r="E40289" s="4" t="str">
        <v/>
      </c>
      <c r="F40289" s="102" t="str">
        <f ca="1">IFERROR(__xludf.DUMMYFUNCTION("IMPORTRANGE(H40289,""IDENTITAS UNIT!D9"")"),"#N/A")</f>
        <v>#N/A</v>
      </c>
      <c r="H40289" s="4" t="str">
        <v/>
      </c>
      <c r="I40289" s="4" t="str">
        <v/>
      </c>
    </row>
    <row r="40290" spans="5:9" ht="16.5" hidden="1">
      <c r="E40290" s="4" t="str">
        <v/>
      </c>
      <c r="F40290" s="102" t="str">
        <f ca="1">IFERROR(__xludf.DUMMYFUNCTION("IMPORTRANGE(H40290,""IDENTITAS UNIT!D9"")"),"#N/A")</f>
        <v>#N/A</v>
      </c>
      <c r="H40290" s="4" t="str">
        <v/>
      </c>
      <c r="I40290" s="4" t="str">
        <v/>
      </c>
    </row>
    <row r="40291" spans="5:9" ht="16.5" hidden="1">
      <c r="E40291" s="4" t="str">
        <v/>
      </c>
      <c r="F40291" s="102" t="str">
        <f ca="1">IFERROR(__xludf.DUMMYFUNCTION("IMPORTRANGE(H40291,""IDENTITAS UNIT!D9"")"),"#N/A")</f>
        <v>#N/A</v>
      </c>
      <c r="H40291" s="4" t="str">
        <v/>
      </c>
      <c r="I40291" s="4" t="str">
        <v/>
      </c>
    </row>
    <row r="40292" spans="5:9" ht="16.5" hidden="1">
      <c r="E40292" s="4" t="str">
        <v/>
      </c>
      <c r="F40292" s="102" t="str">
        <f ca="1">IFERROR(__xludf.DUMMYFUNCTION("IMPORTRANGE(H40292,""IDENTITAS UNIT!D9"")"),"#N/A")</f>
        <v>#N/A</v>
      </c>
      <c r="H40292" s="4" t="str">
        <v/>
      </c>
      <c r="I40292" s="4" t="str">
        <v/>
      </c>
    </row>
    <row r="40293" spans="5:9" ht="16.5" hidden="1">
      <c r="E40293" s="4" t="str">
        <v/>
      </c>
      <c r="F40293" s="102" t="str">
        <f ca="1">IFERROR(__xludf.DUMMYFUNCTION("IMPORTRANGE(H40293,""IDENTITAS UNIT!D9"")"),"#N/A")</f>
        <v>#N/A</v>
      </c>
      <c r="H40293" s="4" t="str">
        <v/>
      </c>
      <c r="I40293" s="4" t="str">
        <v/>
      </c>
    </row>
    <row r="40294" spans="5:9" ht="16.5" hidden="1">
      <c r="E40294" s="4" t="str">
        <v/>
      </c>
      <c r="F40294" s="102" t="str">
        <f ca="1">IFERROR(__xludf.DUMMYFUNCTION("IMPORTRANGE(H40294,""IDENTITAS UNIT!D9"")"),"#N/A")</f>
        <v>#N/A</v>
      </c>
      <c r="H40294" s="4" t="str">
        <v/>
      </c>
      <c r="I40294" s="4" t="str">
        <v/>
      </c>
    </row>
    <row r="40295" spans="5:9" ht="16.5" hidden="1">
      <c r="E40295" s="4" t="str">
        <v/>
      </c>
      <c r="F40295" s="102" t="str">
        <f ca="1">IFERROR(__xludf.DUMMYFUNCTION("IMPORTRANGE(H40295,""IDENTITAS UNIT!D9"")"),"#N/A")</f>
        <v>#N/A</v>
      </c>
      <c r="H40295" s="4" t="str">
        <v/>
      </c>
      <c r="I40295" s="4" t="str">
        <v/>
      </c>
    </row>
    <row r="40296" spans="5:9" ht="16.5" hidden="1">
      <c r="E40296" s="4" t="str">
        <v/>
      </c>
      <c r="F40296" s="102" t="str">
        <f ca="1">IFERROR(__xludf.DUMMYFUNCTION("IMPORTRANGE(H40296,""IDENTITAS UNIT!D9"")"),"#N/A")</f>
        <v>#N/A</v>
      </c>
      <c r="H40296" s="4" t="str">
        <v/>
      </c>
      <c r="I40296" s="4" t="str">
        <v/>
      </c>
    </row>
    <row r="40297" spans="5:9" ht="16.5" hidden="1">
      <c r="E40297" s="4" t="str">
        <v/>
      </c>
      <c r="F40297" s="102" t="str">
        <f ca="1">IFERROR(__xludf.DUMMYFUNCTION("IMPORTRANGE(H40297,""IDENTITAS UNIT!D9"")"),"#N/A")</f>
        <v>#N/A</v>
      </c>
      <c r="H40297" s="4" t="str">
        <v/>
      </c>
      <c r="I40297" s="4" t="str">
        <v/>
      </c>
    </row>
    <row r="40298" spans="5:9" ht="16.5" hidden="1">
      <c r="E40298" s="4" t="str">
        <v/>
      </c>
      <c r="F40298" s="102" t="str">
        <f ca="1">IFERROR(__xludf.DUMMYFUNCTION("IMPORTRANGE(H40298,""IDENTITAS UNIT!D9"")"),"#N/A")</f>
        <v>#N/A</v>
      </c>
      <c r="H40298" s="4" t="str">
        <v/>
      </c>
      <c r="I40298" s="4" t="str">
        <v/>
      </c>
    </row>
    <row r="40299" spans="5:9" ht="16.5" hidden="1">
      <c r="E40299" s="4" t="str">
        <v/>
      </c>
      <c r="F40299" s="102" t="str">
        <f ca="1">IFERROR(__xludf.DUMMYFUNCTION("IMPORTRANGE(H40299,""IDENTITAS UNIT!D9"")"),"#N/A")</f>
        <v>#N/A</v>
      </c>
      <c r="H40299" s="4" t="str">
        <v/>
      </c>
      <c r="I40299" s="4" t="str">
        <v/>
      </c>
    </row>
    <row r="40300" spans="5:9" ht="16.5" hidden="1">
      <c r="E40300" s="4" t="str">
        <v/>
      </c>
      <c r="F40300" s="102" t="str">
        <f ca="1">IFERROR(__xludf.DUMMYFUNCTION("IMPORTRANGE(H40300,""IDENTITAS UNIT!D9"")"),"#N/A")</f>
        <v>#N/A</v>
      </c>
      <c r="H40300" s="4" t="str">
        <v/>
      </c>
      <c r="I40300" s="4" t="str">
        <v/>
      </c>
    </row>
    <row r="40301" spans="5:9" ht="16.5" hidden="1">
      <c r="E40301" s="4" t="str">
        <v/>
      </c>
      <c r="F40301" s="102" t="str">
        <f ca="1">IFERROR(__xludf.DUMMYFUNCTION("IMPORTRANGE(H40301,""IDENTITAS UNIT!D9"")"),"#N/A")</f>
        <v>#N/A</v>
      </c>
      <c r="H40301" s="4" t="str">
        <v/>
      </c>
      <c r="I40301" s="4" t="str">
        <v/>
      </c>
    </row>
    <row r="40302" spans="5:9" ht="16.5" hidden="1">
      <c r="E40302" s="4" t="str">
        <v/>
      </c>
      <c r="F40302" s="102" t="str">
        <f ca="1">IFERROR(__xludf.DUMMYFUNCTION("IMPORTRANGE(H40302,""IDENTITAS UNIT!D9"")"),"#N/A")</f>
        <v>#N/A</v>
      </c>
      <c r="H40302" s="4" t="str">
        <v/>
      </c>
      <c r="I40302" s="4" t="str">
        <v/>
      </c>
    </row>
    <row r="40303" spans="5:9" ht="16.5" hidden="1">
      <c r="E40303" s="4" t="str">
        <v/>
      </c>
      <c r="F40303" s="102" t="str">
        <f ca="1">IFERROR(__xludf.DUMMYFUNCTION("IMPORTRANGE(H40303,""IDENTITAS UNIT!D9"")"),"#N/A")</f>
        <v>#N/A</v>
      </c>
      <c r="H40303" s="4" t="str">
        <v/>
      </c>
      <c r="I40303" s="4" t="str">
        <v/>
      </c>
    </row>
    <row r="40304" spans="5:9" ht="16.5" hidden="1">
      <c r="E40304" s="4" t="str">
        <v/>
      </c>
      <c r="F40304" s="102" t="str">
        <f ca="1">IFERROR(__xludf.DUMMYFUNCTION("IMPORTRANGE(H40304,""IDENTITAS UNIT!D9"")"),"#N/A")</f>
        <v>#N/A</v>
      </c>
      <c r="H40304" s="4" t="str">
        <v/>
      </c>
      <c r="I40304" s="4" t="str">
        <v/>
      </c>
    </row>
    <row r="40305" spans="5:9" ht="16.5" hidden="1">
      <c r="E40305" s="4" t="str">
        <v/>
      </c>
      <c r="F40305" s="102" t="str">
        <f ca="1">IFERROR(__xludf.DUMMYFUNCTION("IMPORTRANGE(H40305,""IDENTITAS UNIT!D9"")"),"#N/A")</f>
        <v>#N/A</v>
      </c>
      <c r="H40305" s="4" t="str">
        <v/>
      </c>
      <c r="I40305" s="4" t="str">
        <v/>
      </c>
    </row>
    <row r="40306" spans="5:9" ht="16.5" hidden="1">
      <c r="E40306" s="4" t="str">
        <v/>
      </c>
      <c r="F40306" s="102" t="str">
        <f ca="1">IFERROR(__xludf.DUMMYFUNCTION("IMPORTRANGE(H40306,""IDENTITAS UNIT!D9"")"),"#N/A")</f>
        <v>#N/A</v>
      </c>
      <c r="H40306" s="4" t="str">
        <v/>
      </c>
      <c r="I40306" s="4" t="str">
        <v/>
      </c>
    </row>
    <row r="40307" spans="5:9" ht="16.5" hidden="1">
      <c r="E40307" s="4" t="str">
        <v/>
      </c>
      <c r="F40307" s="102" t="str">
        <f ca="1">IFERROR(__xludf.DUMMYFUNCTION("IMPORTRANGE(H40307,""IDENTITAS UNIT!D9"")"),"#N/A")</f>
        <v>#N/A</v>
      </c>
      <c r="H40307" s="4" t="str">
        <v/>
      </c>
      <c r="I40307" s="4" t="str">
        <v/>
      </c>
    </row>
    <row r="40308" spans="5:9" ht="16.5" hidden="1">
      <c r="E40308" s="4" t="str">
        <v/>
      </c>
      <c r="F40308" s="102" t="str">
        <f ca="1">IFERROR(__xludf.DUMMYFUNCTION("IMPORTRANGE(H40308,""IDENTITAS UNIT!D9"")"),"#N/A")</f>
        <v>#N/A</v>
      </c>
      <c r="H40308" s="4" t="str">
        <v/>
      </c>
      <c r="I40308" s="4" t="str">
        <v/>
      </c>
    </row>
    <row r="40309" spans="5:9" ht="16.5" hidden="1">
      <c r="E40309" s="4" t="str">
        <v/>
      </c>
      <c r="F40309" s="102" t="str">
        <f ca="1">IFERROR(__xludf.DUMMYFUNCTION("IMPORTRANGE(H40309,""IDENTITAS UNIT!D9"")"),"#N/A")</f>
        <v>#N/A</v>
      </c>
      <c r="H40309" s="4" t="str">
        <v/>
      </c>
      <c r="I40309" s="4" t="str">
        <v/>
      </c>
    </row>
    <row r="40310" spans="5:9" ht="16.5" hidden="1">
      <c r="E40310" s="4" t="str">
        <v/>
      </c>
      <c r="F40310" s="102" t="str">
        <f ca="1">IFERROR(__xludf.DUMMYFUNCTION("IMPORTRANGE(H40310,""IDENTITAS UNIT!D9"")"),"#N/A")</f>
        <v>#N/A</v>
      </c>
      <c r="H40310" s="4" t="str">
        <v/>
      </c>
      <c r="I40310" s="4" t="str">
        <v/>
      </c>
    </row>
    <row r="40311" spans="5:9" ht="16.5" hidden="1">
      <c r="E40311" s="4" t="str">
        <v/>
      </c>
      <c r="F40311" s="102" t="str">
        <f ca="1">IFERROR(__xludf.DUMMYFUNCTION("IMPORTRANGE(H40311,""IDENTITAS UNIT!D9"")"),"#N/A")</f>
        <v>#N/A</v>
      </c>
      <c r="H40311" s="4" t="str">
        <v/>
      </c>
      <c r="I40311" s="4" t="str">
        <v/>
      </c>
    </row>
    <row r="40312" spans="5:9" ht="16.5" hidden="1">
      <c r="E40312" s="4" t="str">
        <v/>
      </c>
      <c r="F40312" s="102" t="str">
        <f ca="1">IFERROR(__xludf.DUMMYFUNCTION("IMPORTRANGE(H40312,""IDENTITAS UNIT!D9"")"),"#N/A")</f>
        <v>#N/A</v>
      </c>
      <c r="H40312" s="4" t="str">
        <v/>
      </c>
      <c r="I40312" s="4" t="str">
        <v/>
      </c>
    </row>
    <row r="40313" spans="5:9" ht="16.5" hidden="1">
      <c r="E40313" s="4" t="str">
        <v/>
      </c>
      <c r="F40313" s="102" t="str">
        <f ca="1">IFERROR(__xludf.DUMMYFUNCTION("IMPORTRANGE(H40313,""IDENTITAS UNIT!D9"")"),"#N/A")</f>
        <v>#N/A</v>
      </c>
      <c r="H40313" s="4" t="str">
        <v/>
      </c>
      <c r="I40313" s="4" t="str">
        <v/>
      </c>
    </row>
    <row r="40314" spans="5:9" ht="16.5" hidden="1">
      <c r="E40314" s="4" t="str">
        <v/>
      </c>
      <c r="F40314" s="102" t="str">
        <f ca="1">IFERROR(__xludf.DUMMYFUNCTION("IMPORTRANGE(H40314,""IDENTITAS UNIT!D9"")"),"#N/A")</f>
        <v>#N/A</v>
      </c>
      <c r="H40314" s="4" t="str">
        <v/>
      </c>
      <c r="I40314" s="4" t="str">
        <v/>
      </c>
    </row>
    <row r="40315" spans="5:9" ht="16.5" hidden="1">
      <c r="E40315" s="4" t="str">
        <v/>
      </c>
      <c r="F40315" s="102" t="str">
        <f ca="1">IFERROR(__xludf.DUMMYFUNCTION("IMPORTRANGE(H40315,""IDENTITAS UNIT!D9"")"),"#N/A")</f>
        <v>#N/A</v>
      </c>
      <c r="H40315" s="4" t="str">
        <v/>
      </c>
      <c r="I40315" s="4" t="str">
        <v/>
      </c>
    </row>
    <row r="40316" spans="5:9" ht="16.5" hidden="1">
      <c r="E40316" s="4" t="str">
        <v/>
      </c>
      <c r="F40316" s="102" t="str">
        <f ca="1">IFERROR(__xludf.DUMMYFUNCTION("IMPORTRANGE(H40316,""IDENTITAS UNIT!D9"")"),"#N/A")</f>
        <v>#N/A</v>
      </c>
      <c r="H40316" s="4" t="str">
        <v/>
      </c>
      <c r="I40316" s="4" t="str">
        <v/>
      </c>
    </row>
    <row r="40317" spans="5:9" ht="16.5" hidden="1">
      <c r="E40317" s="4" t="str">
        <v/>
      </c>
      <c r="F40317" s="102" t="str">
        <f ca="1">IFERROR(__xludf.DUMMYFUNCTION("IMPORTRANGE(H40317,""IDENTITAS UNIT!D9"")"),"#N/A")</f>
        <v>#N/A</v>
      </c>
      <c r="H40317" s="4" t="str">
        <v/>
      </c>
      <c r="I40317" s="4" t="str">
        <v/>
      </c>
    </row>
    <row r="40318" spans="5:9" ht="16.5" hidden="1">
      <c r="E40318" s="4" t="str">
        <v/>
      </c>
      <c r="F40318" s="102" t="str">
        <f ca="1">IFERROR(__xludf.DUMMYFUNCTION("IMPORTRANGE(H40318,""IDENTITAS UNIT!D9"")"),"#N/A")</f>
        <v>#N/A</v>
      </c>
      <c r="H40318" s="4" t="str">
        <v/>
      </c>
      <c r="I40318" s="4" t="str">
        <v/>
      </c>
    </row>
    <row r="40319" spans="5:9" ht="16.5" hidden="1">
      <c r="E40319" s="4" t="str">
        <v/>
      </c>
      <c r="F40319" s="102" t="str">
        <f ca="1">IFERROR(__xludf.DUMMYFUNCTION("IMPORTRANGE(H40319,""IDENTITAS UNIT!D9"")"),"#N/A")</f>
        <v>#N/A</v>
      </c>
      <c r="H40319" s="4" t="str">
        <v/>
      </c>
      <c r="I40319" s="4" t="str">
        <v/>
      </c>
    </row>
    <row r="40320" spans="5:9" ht="16.5" hidden="1">
      <c r="E40320" s="4" t="str">
        <v/>
      </c>
      <c r="F40320" s="102" t="str">
        <f ca="1">IFERROR(__xludf.DUMMYFUNCTION("IMPORTRANGE(H40320,""IDENTITAS UNIT!D9"")"),"#N/A")</f>
        <v>#N/A</v>
      </c>
      <c r="H40320" s="4" t="str">
        <v/>
      </c>
      <c r="I40320" s="4" t="str">
        <v/>
      </c>
    </row>
    <row r="40321" spans="5:9" ht="16.5" hidden="1">
      <c r="E40321" s="4" t="str">
        <v/>
      </c>
      <c r="F40321" s="102" t="str">
        <f ca="1">IFERROR(__xludf.DUMMYFUNCTION("IMPORTRANGE(H40321,""IDENTITAS UNIT!D9"")"),"#N/A")</f>
        <v>#N/A</v>
      </c>
      <c r="H40321" s="4" t="str">
        <v/>
      </c>
      <c r="I40321" s="4" t="str">
        <v/>
      </c>
    </row>
    <row r="40322" spans="5:9" ht="16.5" hidden="1">
      <c r="E40322" s="4" t="str">
        <v/>
      </c>
      <c r="F40322" s="102" t="str">
        <f ca="1">IFERROR(__xludf.DUMMYFUNCTION("IMPORTRANGE(H40322,""IDENTITAS UNIT!D9"")"),"#N/A")</f>
        <v>#N/A</v>
      </c>
      <c r="H40322" s="4" t="str">
        <v/>
      </c>
      <c r="I40322" s="4" t="str">
        <v/>
      </c>
    </row>
    <row r="40323" spans="5:9" ht="16.5" hidden="1">
      <c r="E40323" s="4" t="str">
        <v/>
      </c>
      <c r="F40323" s="102" t="str">
        <f ca="1">IFERROR(__xludf.DUMMYFUNCTION("IMPORTRANGE(H40323,""IDENTITAS UNIT!D9"")"),"#N/A")</f>
        <v>#N/A</v>
      </c>
      <c r="H40323" s="4" t="str">
        <v/>
      </c>
      <c r="I40323" s="4" t="str">
        <v/>
      </c>
    </row>
    <row r="40324" spans="5:9" ht="16.5" hidden="1">
      <c r="E40324" s="4" t="str">
        <v/>
      </c>
      <c r="F40324" s="102" t="str">
        <f ca="1">IFERROR(__xludf.DUMMYFUNCTION("IMPORTRANGE(H40324,""IDENTITAS UNIT!D9"")"),"#N/A")</f>
        <v>#N/A</v>
      </c>
      <c r="H40324" s="4" t="str">
        <v/>
      </c>
      <c r="I40324" s="4" t="str">
        <v/>
      </c>
    </row>
    <row r="40325" spans="5:9" ht="16.5" hidden="1">
      <c r="E40325" s="4" t="str">
        <v/>
      </c>
      <c r="F40325" s="102" t="str">
        <f ca="1">IFERROR(__xludf.DUMMYFUNCTION("IMPORTRANGE(H40325,""IDENTITAS UNIT!D9"")"),"#N/A")</f>
        <v>#N/A</v>
      </c>
      <c r="H40325" s="4" t="str">
        <v/>
      </c>
      <c r="I40325" s="4" t="str">
        <v/>
      </c>
    </row>
    <row r="40326" spans="5:9" ht="16.5" hidden="1">
      <c r="E40326" s="4" t="str">
        <v/>
      </c>
      <c r="F40326" s="102" t="str">
        <f ca="1">IFERROR(__xludf.DUMMYFUNCTION("IMPORTRANGE(H40326,""IDENTITAS UNIT!D9"")"),"#N/A")</f>
        <v>#N/A</v>
      </c>
      <c r="H40326" s="4" t="str">
        <v/>
      </c>
      <c r="I40326" s="4" t="str">
        <v/>
      </c>
    </row>
    <row r="40327" spans="5:9" ht="16.5" hidden="1">
      <c r="E40327" s="4" t="str">
        <v/>
      </c>
      <c r="F40327" s="102" t="str">
        <f ca="1">IFERROR(__xludf.DUMMYFUNCTION("IMPORTRANGE(H40327,""IDENTITAS UNIT!D9"")"),"#N/A")</f>
        <v>#N/A</v>
      </c>
      <c r="H40327" s="4" t="str">
        <v/>
      </c>
      <c r="I40327" s="4" t="str">
        <v/>
      </c>
    </row>
    <row r="40328" spans="5:9" ht="16.5" hidden="1">
      <c r="E40328" s="4" t="str">
        <v/>
      </c>
      <c r="F40328" s="102" t="str">
        <f ca="1">IFERROR(__xludf.DUMMYFUNCTION("IMPORTRANGE(H40328,""IDENTITAS UNIT!D9"")"),"#N/A")</f>
        <v>#N/A</v>
      </c>
      <c r="H40328" s="4" t="str">
        <v/>
      </c>
      <c r="I40328" s="4" t="str">
        <v/>
      </c>
    </row>
    <row r="40329" spans="5:9" ht="16.5" hidden="1">
      <c r="E40329" s="4" t="str">
        <v/>
      </c>
      <c r="F40329" s="102" t="str">
        <f ca="1">IFERROR(__xludf.DUMMYFUNCTION("IMPORTRANGE(H40329,""IDENTITAS UNIT!D9"")"),"#N/A")</f>
        <v>#N/A</v>
      </c>
      <c r="H40329" s="4" t="str">
        <v/>
      </c>
      <c r="I40329" s="4" t="str">
        <v/>
      </c>
    </row>
    <row r="40330" spans="5:9" ht="16.5" hidden="1">
      <c r="E40330" s="4" t="str">
        <v/>
      </c>
      <c r="F40330" s="102" t="str">
        <f ca="1">IFERROR(__xludf.DUMMYFUNCTION("IMPORTRANGE(H40330,""IDENTITAS UNIT!D9"")"),"#N/A")</f>
        <v>#N/A</v>
      </c>
      <c r="H40330" s="4" t="str">
        <v/>
      </c>
      <c r="I40330" s="4" t="str">
        <v/>
      </c>
    </row>
    <row r="40331" spans="5:9" ht="16.5" hidden="1">
      <c r="E40331" s="4" t="str">
        <v/>
      </c>
      <c r="F40331" s="102" t="str">
        <f ca="1">IFERROR(__xludf.DUMMYFUNCTION("IMPORTRANGE(H40331,""IDENTITAS UNIT!D9"")"),"#N/A")</f>
        <v>#N/A</v>
      </c>
      <c r="H40331" s="4" t="str">
        <v/>
      </c>
      <c r="I40331" s="4" t="str">
        <v/>
      </c>
    </row>
    <row r="40332" spans="5:9" ht="16.5" hidden="1">
      <c r="E40332" s="4" t="str">
        <v/>
      </c>
      <c r="F40332" s="102" t="str">
        <f ca="1">IFERROR(__xludf.DUMMYFUNCTION("IMPORTRANGE(H40332,""IDENTITAS UNIT!D9"")"),"#N/A")</f>
        <v>#N/A</v>
      </c>
      <c r="H40332" s="4" t="str">
        <v/>
      </c>
      <c r="I40332" s="4" t="str">
        <v/>
      </c>
    </row>
    <row r="40333" spans="5:9" ht="16.5" hidden="1">
      <c r="E40333" s="4" t="str">
        <v/>
      </c>
      <c r="F40333" s="102" t="str">
        <f ca="1">IFERROR(__xludf.DUMMYFUNCTION("IMPORTRANGE(H40333,""IDENTITAS UNIT!D9"")"),"#N/A")</f>
        <v>#N/A</v>
      </c>
      <c r="H40333" s="4" t="str">
        <v/>
      </c>
      <c r="I40333" s="4" t="str">
        <v/>
      </c>
    </row>
    <row r="40334" spans="5:9" ht="16.5" hidden="1">
      <c r="E40334" s="4" t="str">
        <v/>
      </c>
      <c r="F40334" s="102" t="str">
        <f ca="1">IFERROR(__xludf.DUMMYFUNCTION("IMPORTRANGE(H40334,""IDENTITAS UNIT!D9"")"),"#N/A")</f>
        <v>#N/A</v>
      </c>
      <c r="H40334" s="4" t="str">
        <v/>
      </c>
      <c r="I40334" s="4" t="str">
        <v/>
      </c>
    </row>
    <row r="40335" spans="5:9" ht="16.5" hidden="1">
      <c r="E40335" s="4" t="str">
        <v/>
      </c>
      <c r="F40335" s="102" t="str">
        <f ca="1">IFERROR(__xludf.DUMMYFUNCTION("IMPORTRANGE(H40335,""IDENTITAS UNIT!D9"")"),"#N/A")</f>
        <v>#N/A</v>
      </c>
      <c r="H40335" s="4" t="str">
        <v/>
      </c>
      <c r="I40335" s="4" t="str">
        <v/>
      </c>
    </row>
    <row r="40336" spans="5:9" ht="16.5" hidden="1">
      <c r="E40336" s="4" t="str">
        <v/>
      </c>
      <c r="F40336" s="102" t="str">
        <f ca="1">IFERROR(__xludf.DUMMYFUNCTION("IMPORTRANGE(H40336,""IDENTITAS UNIT!D9"")"),"#N/A")</f>
        <v>#N/A</v>
      </c>
      <c r="H40336" s="4" t="str">
        <v/>
      </c>
      <c r="I40336" s="4" t="str">
        <v/>
      </c>
    </row>
    <row r="40337" spans="5:9" ht="16.5" hidden="1">
      <c r="E40337" s="4" t="str">
        <v/>
      </c>
      <c r="F40337" s="102" t="str">
        <f ca="1">IFERROR(__xludf.DUMMYFUNCTION("IMPORTRANGE(H40337,""IDENTITAS UNIT!D9"")"),"#N/A")</f>
        <v>#N/A</v>
      </c>
      <c r="H40337" s="4" t="str">
        <v/>
      </c>
      <c r="I40337" s="4" t="str">
        <v/>
      </c>
    </row>
    <row r="40338" spans="5:9" ht="16.5" hidden="1">
      <c r="E40338" s="4" t="str">
        <v/>
      </c>
      <c r="F40338" s="102" t="str">
        <f ca="1">IFERROR(__xludf.DUMMYFUNCTION("IMPORTRANGE(H40338,""IDENTITAS UNIT!D9"")"),"#N/A")</f>
        <v>#N/A</v>
      </c>
      <c r="H40338" s="4" t="str">
        <v/>
      </c>
      <c r="I40338" s="4" t="str">
        <v/>
      </c>
    </row>
    <row r="40339" spans="5:9" ht="16.5" hidden="1">
      <c r="E40339" s="4" t="str">
        <v/>
      </c>
      <c r="F40339" s="102" t="str">
        <f ca="1">IFERROR(__xludf.DUMMYFUNCTION("IMPORTRANGE(H40339,""IDENTITAS UNIT!D9"")"),"#N/A")</f>
        <v>#N/A</v>
      </c>
      <c r="H40339" s="4" t="str">
        <v/>
      </c>
      <c r="I40339" s="4" t="str">
        <v/>
      </c>
    </row>
    <row r="40340" spans="5:9" ht="16.5" hidden="1">
      <c r="E40340" s="4" t="str">
        <v/>
      </c>
      <c r="F40340" s="102" t="str">
        <f ca="1">IFERROR(__xludf.DUMMYFUNCTION("IMPORTRANGE(H40340,""IDENTITAS UNIT!D9"")"),"#N/A")</f>
        <v>#N/A</v>
      </c>
      <c r="H40340" s="4" t="str">
        <v/>
      </c>
      <c r="I40340" s="4" t="str">
        <v/>
      </c>
    </row>
    <row r="40341" spans="5:9" ht="16.5" hidden="1">
      <c r="E40341" s="4" t="str">
        <v/>
      </c>
      <c r="F40341" s="102" t="str">
        <f ca="1">IFERROR(__xludf.DUMMYFUNCTION("IMPORTRANGE(H40341,""IDENTITAS UNIT!D9"")"),"#N/A")</f>
        <v>#N/A</v>
      </c>
      <c r="H40341" s="4" t="str">
        <v/>
      </c>
      <c r="I40341" s="4" t="str">
        <v/>
      </c>
    </row>
    <row r="40342" spans="5:9" ht="16.5" hidden="1">
      <c r="E40342" s="4" t="str">
        <v/>
      </c>
      <c r="F40342" s="102" t="str">
        <f ca="1">IFERROR(__xludf.DUMMYFUNCTION("IMPORTRANGE(H40342,""IDENTITAS UNIT!D9"")"),"#N/A")</f>
        <v>#N/A</v>
      </c>
      <c r="H40342" s="4" t="str">
        <v/>
      </c>
      <c r="I40342" s="4" t="str">
        <v/>
      </c>
    </row>
    <row r="40343" spans="5:9" ht="16.5" hidden="1">
      <c r="E40343" s="4" t="str">
        <v/>
      </c>
      <c r="F40343" s="102" t="str">
        <f ca="1">IFERROR(__xludf.DUMMYFUNCTION("IMPORTRANGE(H40343,""IDENTITAS UNIT!D9"")"),"#N/A")</f>
        <v>#N/A</v>
      </c>
      <c r="H40343" s="4" t="str">
        <v/>
      </c>
      <c r="I40343" s="4" t="str">
        <v/>
      </c>
    </row>
    <row r="40344" spans="5:9" ht="16.5" hidden="1">
      <c r="E40344" s="4" t="str">
        <v/>
      </c>
      <c r="F40344" s="102" t="str">
        <f ca="1">IFERROR(__xludf.DUMMYFUNCTION("IMPORTRANGE(H40344,""IDENTITAS UNIT!D9"")"),"#N/A")</f>
        <v>#N/A</v>
      </c>
      <c r="H40344" s="4" t="str">
        <v/>
      </c>
      <c r="I40344" s="4" t="str">
        <v/>
      </c>
    </row>
    <row r="40345" spans="5:9" ht="16.5" hidden="1">
      <c r="E40345" s="4" t="str">
        <v/>
      </c>
      <c r="F40345" s="102" t="str">
        <f ca="1">IFERROR(__xludf.DUMMYFUNCTION("IMPORTRANGE(H40345,""IDENTITAS UNIT!D9"")"),"#N/A")</f>
        <v>#N/A</v>
      </c>
      <c r="H40345" s="4" t="str">
        <v/>
      </c>
      <c r="I40345" s="4" t="str">
        <v/>
      </c>
    </row>
    <row r="40346" spans="5:9" ht="16.5" hidden="1">
      <c r="E40346" s="4" t="str">
        <v/>
      </c>
      <c r="F40346" s="102" t="str">
        <f ca="1">IFERROR(__xludf.DUMMYFUNCTION("IMPORTRANGE(H40346,""IDENTITAS UNIT!D9"")"),"#N/A")</f>
        <v>#N/A</v>
      </c>
      <c r="H40346" s="4" t="str">
        <v/>
      </c>
      <c r="I40346" s="4" t="str">
        <v/>
      </c>
    </row>
    <row r="40347" spans="5:9" ht="16.5" hidden="1">
      <c r="E40347" s="4" t="str">
        <v/>
      </c>
      <c r="F40347" s="102" t="str">
        <f ca="1">IFERROR(__xludf.DUMMYFUNCTION("IMPORTRANGE(H40347,""IDENTITAS UNIT!D9"")"),"#N/A")</f>
        <v>#N/A</v>
      </c>
      <c r="H40347" s="4" t="str">
        <v/>
      </c>
      <c r="I40347" s="4" t="str">
        <v/>
      </c>
    </row>
    <row r="40348" spans="5:9" ht="16.5" hidden="1">
      <c r="E40348" s="4" t="str">
        <v/>
      </c>
      <c r="F40348" s="102" t="str">
        <f ca="1">IFERROR(__xludf.DUMMYFUNCTION("IMPORTRANGE(H40348,""IDENTITAS UNIT!D9"")"),"#N/A")</f>
        <v>#N/A</v>
      </c>
      <c r="H40348" s="4" t="str">
        <v/>
      </c>
      <c r="I40348" s="4" t="str">
        <v/>
      </c>
    </row>
    <row r="40349" spans="5:9" ht="16.5" hidden="1">
      <c r="E40349" s="4" t="str">
        <v/>
      </c>
      <c r="F40349" s="102" t="str">
        <f ca="1">IFERROR(__xludf.DUMMYFUNCTION("IMPORTRANGE(H40349,""IDENTITAS UNIT!D9"")"),"#N/A")</f>
        <v>#N/A</v>
      </c>
      <c r="H40349" s="4" t="str">
        <v/>
      </c>
      <c r="I40349" s="4" t="str">
        <v/>
      </c>
    </row>
    <row r="40350" spans="5:9" ht="16.5" hidden="1">
      <c r="E40350" s="4" t="str">
        <v/>
      </c>
      <c r="F40350" s="102" t="str">
        <f ca="1">IFERROR(__xludf.DUMMYFUNCTION("IMPORTRANGE(H40350,""IDENTITAS UNIT!D9"")"),"#N/A")</f>
        <v>#N/A</v>
      </c>
      <c r="H40350" s="4" t="str">
        <v/>
      </c>
      <c r="I40350" s="4" t="str">
        <v/>
      </c>
    </row>
    <row r="40351" spans="5:9" ht="16.5" hidden="1">
      <c r="E40351" s="4" t="str">
        <v/>
      </c>
      <c r="F40351" s="102" t="str">
        <f ca="1">IFERROR(__xludf.DUMMYFUNCTION("IMPORTRANGE(H40351,""IDENTITAS UNIT!D9"")"),"#N/A")</f>
        <v>#N/A</v>
      </c>
      <c r="H40351" s="4" t="str">
        <v/>
      </c>
      <c r="I40351" s="4" t="str">
        <v/>
      </c>
    </row>
    <row r="40352" spans="5:9" ht="16.5" hidden="1">
      <c r="E40352" s="4" t="str">
        <v/>
      </c>
      <c r="F40352" s="102" t="str">
        <f ca="1">IFERROR(__xludf.DUMMYFUNCTION("IMPORTRANGE(H40352,""IDENTITAS UNIT!D9"")"),"#N/A")</f>
        <v>#N/A</v>
      </c>
      <c r="H40352" s="4" t="str">
        <v/>
      </c>
      <c r="I40352" s="4" t="str">
        <v/>
      </c>
    </row>
    <row r="40353" spans="5:9" ht="16.5" hidden="1">
      <c r="E40353" s="4" t="str">
        <v/>
      </c>
      <c r="F40353" s="102" t="str">
        <f ca="1">IFERROR(__xludf.DUMMYFUNCTION("IMPORTRANGE(H40353,""IDENTITAS UNIT!D9"")"),"#N/A")</f>
        <v>#N/A</v>
      </c>
      <c r="H40353" s="4" t="str">
        <v/>
      </c>
      <c r="I40353" s="4" t="str">
        <v/>
      </c>
    </row>
    <row r="40354" spans="5:9" ht="16.5" hidden="1">
      <c r="E40354" s="4" t="str">
        <v/>
      </c>
      <c r="F40354" s="102" t="str">
        <f ca="1">IFERROR(__xludf.DUMMYFUNCTION("IMPORTRANGE(H40354,""IDENTITAS UNIT!D9"")"),"#N/A")</f>
        <v>#N/A</v>
      </c>
      <c r="H40354" s="4" t="str">
        <v/>
      </c>
      <c r="I40354" s="4" t="str">
        <v/>
      </c>
    </row>
    <row r="40355" spans="5:9" ht="16.5" hidden="1">
      <c r="E40355" s="4" t="str">
        <v/>
      </c>
      <c r="F40355" s="102" t="str">
        <f ca="1">IFERROR(__xludf.DUMMYFUNCTION("IMPORTRANGE(H40355,""IDENTITAS UNIT!D9"")"),"#N/A")</f>
        <v>#N/A</v>
      </c>
      <c r="H40355" s="4" t="str">
        <v/>
      </c>
      <c r="I40355" s="4" t="str">
        <v/>
      </c>
    </row>
    <row r="40356" spans="5:9" ht="16.5" hidden="1">
      <c r="E40356" s="4" t="str">
        <v/>
      </c>
      <c r="F40356" s="102" t="str">
        <f ca="1">IFERROR(__xludf.DUMMYFUNCTION("IMPORTRANGE(H40356,""IDENTITAS UNIT!D9"")"),"#N/A")</f>
        <v>#N/A</v>
      </c>
      <c r="H40356" s="4" t="str">
        <v/>
      </c>
      <c r="I40356" s="4" t="str">
        <v/>
      </c>
    </row>
    <row r="40357" spans="5:9" ht="16.5" hidden="1">
      <c r="E40357" s="4" t="str">
        <v/>
      </c>
      <c r="F40357" s="102" t="str">
        <f ca="1">IFERROR(__xludf.DUMMYFUNCTION("IMPORTRANGE(H40357,""IDENTITAS UNIT!D9"")"),"#N/A")</f>
        <v>#N/A</v>
      </c>
      <c r="H40357" s="4" t="str">
        <v/>
      </c>
      <c r="I40357" s="4" t="str">
        <v/>
      </c>
    </row>
    <row r="40358" spans="5:9" ht="16.5" hidden="1">
      <c r="E40358" s="4" t="str">
        <v/>
      </c>
      <c r="F40358" s="102" t="str">
        <f ca="1">IFERROR(__xludf.DUMMYFUNCTION("IMPORTRANGE(H40358,""IDENTITAS UNIT!D9"")"),"#N/A")</f>
        <v>#N/A</v>
      </c>
      <c r="H40358" s="4" t="str">
        <v/>
      </c>
      <c r="I40358" s="4" t="str">
        <v/>
      </c>
    </row>
    <row r="40359" spans="5:9" ht="16.5" hidden="1">
      <c r="E40359" s="4" t="str">
        <v/>
      </c>
      <c r="F40359" s="102" t="str">
        <f ca="1">IFERROR(__xludf.DUMMYFUNCTION("IMPORTRANGE(H40359,""IDENTITAS UNIT!D9"")"),"#N/A")</f>
        <v>#N/A</v>
      </c>
      <c r="H40359" s="4" t="str">
        <v/>
      </c>
      <c r="I40359" s="4" t="str">
        <v/>
      </c>
    </row>
    <row r="40360" spans="5:9" ht="16.5" hidden="1">
      <c r="E40360" s="4" t="str">
        <v/>
      </c>
      <c r="F40360" s="102" t="str">
        <f ca="1">IFERROR(__xludf.DUMMYFUNCTION("IMPORTRANGE(H40360,""IDENTITAS UNIT!D9"")"),"#N/A")</f>
        <v>#N/A</v>
      </c>
      <c r="H40360" s="4" t="str">
        <v/>
      </c>
      <c r="I40360" s="4" t="str">
        <v/>
      </c>
    </row>
    <row r="40361" spans="5:9" ht="16.5" hidden="1">
      <c r="E40361" s="4" t="str">
        <v/>
      </c>
      <c r="F40361" s="102" t="str">
        <f ca="1">IFERROR(__xludf.DUMMYFUNCTION("IMPORTRANGE(H40361,""IDENTITAS UNIT!D9"")"),"#N/A")</f>
        <v>#N/A</v>
      </c>
      <c r="H40361" s="4" t="str">
        <v/>
      </c>
      <c r="I40361" s="4" t="str">
        <v/>
      </c>
    </row>
    <row r="40362" spans="5:9" ht="16.5" hidden="1">
      <c r="E40362" s="4" t="str">
        <v/>
      </c>
      <c r="F40362" s="102" t="str">
        <f ca="1">IFERROR(__xludf.DUMMYFUNCTION("IMPORTRANGE(H40362,""IDENTITAS UNIT!D9"")"),"#N/A")</f>
        <v>#N/A</v>
      </c>
      <c r="H40362" s="4" t="str">
        <v/>
      </c>
      <c r="I40362" s="4" t="str">
        <v/>
      </c>
    </row>
    <row r="40363" spans="5:9" ht="16.5" hidden="1">
      <c r="E40363" s="4" t="str">
        <v/>
      </c>
      <c r="F40363" s="102" t="str">
        <f ca="1">IFERROR(__xludf.DUMMYFUNCTION("IMPORTRANGE(H40363,""IDENTITAS UNIT!D9"")"),"#N/A")</f>
        <v>#N/A</v>
      </c>
      <c r="H40363" s="4" t="str">
        <v/>
      </c>
      <c r="I40363" s="4" t="str">
        <v/>
      </c>
    </row>
    <row r="40364" spans="5:9" ht="16.5" hidden="1">
      <c r="E40364" s="4" t="str">
        <v/>
      </c>
      <c r="F40364" s="102" t="str">
        <f ca="1">IFERROR(__xludf.DUMMYFUNCTION("IMPORTRANGE(H40364,""IDENTITAS UNIT!D9"")"),"#N/A")</f>
        <v>#N/A</v>
      </c>
      <c r="H40364" s="4" t="str">
        <v/>
      </c>
      <c r="I40364" s="4" t="str">
        <v/>
      </c>
    </row>
    <row r="40365" spans="5:9" ht="16.5" hidden="1">
      <c r="E40365" s="4" t="str">
        <v/>
      </c>
      <c r="F40365" s="102" t="str">
        <f ca="1">IFERROR(__xludf.DUMMYFUNCTION("IMPORTRANGE(H40365,""IDENTITAS UNIT!D9"")"),"#N/A")</f>
        <v>#N/A</v>
      </c>
      <c r="H40365" s="4" t="str">
        <v/>
      </c>
      <c r="I40365" s="4" t="str">
        <v/>
      </c>
    </row>
    <row r="40366" spans="5:9" ht="16.5" hidden="1">
      <c r="E40366" s="4" t="str">
        <v/>
      </c>
      <c r="F40366" s="102" t="str">
        <f ca="1">IFERROR(__xludf.DUMMYFUNCTION("IMPORTRANGE(H40366,""IDENTITAS UNIT!D9"")"),"#N/A")</f>
        <v>#N/A</v>
      </c>
      <c r="H40366" s="4" t="str">
        <v/>
      </c>
      <c r="I40366" s="4" t="str">
        <v/>
      </c>
    </row>
    <row r="40367" spans="5:9" ht="16.5" hidden="1">
      <c r="E40367" s="4" t="str">
        <v/>
      </c>
      <c r="F40367" s="102" t="str">
        <f ca="1">IFERROR(__xludf.DUMMYFUNCTION("IMPORTRANGE(H40367,""IDENTITAS UNIT!D9"")"),"#N/A")</f>
        <v>#N/A</v>
      </c>
      <c r="H40367" s="4" t="str">
        <v/>
      </c>
      <c r="I40367" s="4" t="str">
        <v/>
      </c>
    </row>
    <row r="40368" spans="5:9" ht="16.5" hidden="1">
      <c r="E40368" s="4" t="str">
        <v/>
      </c>
      <c r="F40368" s="102" t="str">
        <f ca="1">IFERROR(__xludf.DUMMYFUNCTION("IMPORTRANGE(H40368,""IDENTITAS UNIT!D9"")"),"#N/A")</f>
        <v>#N/A</v>
      </c>
      <c r="H40368" s="4" t="str">
        <v/>
      </c>
      <c r="I40368" s="4" t="str">
        <v/>
      </c>
    </row>
    <row r="40369" spans="5:9" ht="16.5" hidden="1">
      <c r="E40369" s="4" t="str">
        <v/>
      </c>
      <c r="F40369" s="102" t="str">
        <f ca="1">IFERROR(__xludf.DUMMYFUNCTION("IMPORTRANGE(H40369,""IDENTITAS UNIT!D9"")"),"#N/A")</f>
        <v>#N/A</v>
      </c>
      <c r="H40369" s="4" t="str">
        <v/>
      </c>
      <c r="I40369" s="4" t="str">
        <v/>
      </c>
    </row>
    <row r="40370" spans="5:9" ht="16.5" hidden="1">
      <c r="E40370" s="4" t="str">
        <v/>
      </c>
      <c r="F40370" s="102" t="str">
        <f ca="1">IFERROR(__xludf.DUMMYFUNCTION("IMPORTRANGE(H40370,""IDENTITAS UNIT!D9"")"),"#N/A")</f>
        <v>#N/A</v>
      </c>
      <c r="H40370" s="4" t="str">
        <v/>
      </c>
      <c r="I40370" s="4" t="str">
        <v/>
      </c>
    </row>
    <row r="40371" spans="5:9" ht="16.5" hidden="1">
      <c r="E40371" s="4" t="str">
        <v/>
      </c>
      <c r="F40371" s="102" t="str">
        <f ca="1">IFERROR(__xludf.DUMMYFUNCTION("IMPORTRANGE(H40371,""IDENTITAS UNIT!D9"")"),"#N/A")</f>
        <v>#N/A</v>
      </c>
      <c r="H40371" s="4" t="str">
        <v/>
      </c>
      <c r="I40371" s="4" t="str">
        <v/>
      </c>
    </row>
    <row r="40372" spans="5:9" ht="16.5" hidden="1">
      <c r="E40372" s="4" t="str">
        <v/>
      </c>
      <c r="F40372" s="102" t="str">
        <f ca="1">IFERROR(__xludf.DUMMYFUNCTION("IMPORTRANGE(H40372,""IDENTITAS UNIT!D9"")"),"#N/A")</f>
        <v>#N/A</v>
      </c>
      <c r="H40372" s="4" t="str">
        <v/>
      </c>
      <c r="I40372" s="4" t="str">
        <v/>
      </c>
    </row>
    <row r="40373" spans="5:9" ht="16.5" hidden="1">
      <c r="E40373" s="4" t="str">
        <v/>
      </c>
      <c r="F40373" s="102" t="str">
        <f ca="1">IFERROR(__xludf.DUMMYFUNCTION("IMPORTRANGE(H40373,""IDENTITAS UNIT!D9"")"),"#N/A")</f>
        <v>#N/A</v>
      </c>
      <c r="H40373" s="4" t="str">
        <v/>
      </c>
      <c r="I40373" s="4" t="str">
        <v/>
      </c>
    </row>
    <row r="40374" spans="5:9" ht="16.5" hidden="1">
      <c r="E40374" s="4" t="str">
        <v/>
      </c>
      <c r="F40374" s="102" t="str">
        <f ca="1">IFERROR(__xludf.DUMMYFUNCTION("IMPORTRANGE(H40374,""IDENTITAS UNIT!D9"")"),"#N/A")</f>
        <v>#N/A</v>
      </c>
      <c r="H40374" s="4" t="str">
        <v/>
      </c>
      <c r="I40374" s="4" t="str">
        <v/>
      </c>
    </row>
    <row r="40375" spans="5:9" ht="16.5" hidden="1">
      <c r="E40375" s="4" t="str">
        <v/>
      </c>
      <c r="F40375" s="102" t="str">
        <f ca="1">IFERROR(__xludf.DUMMYFUNCTION("IMPORTRANGE(H40375,""IDENTITAS UNIT!D9"")"),"#N/A")</f>
        <v>#N/A</v>
      </c>
      <c r="H40375" s="4" t="str">
        <v/>
      </c>
      <c r="I40375" s="4" t="str">
        <v/>
      </c>
    </row>
    <row r="40376" spans="5:9" ht="16.5" hidden="1">
      <c r="E40376" s="4" t="str">
        <v/>
      </c>
      <c r="F40376" s="102" t="str">
        <f ca="1">IFERROR(__xludf.DUMMYFUNCTION("IMPORTRANGE(H40376,""IDENTITAS UNIT!D9"")"),"#N/A")</f>
        <v>#N/A</v>
      </c>
      <c r="H40376" s="4" t="str">
        <v/>
      </c>
      <c r="I40376" s="4" t="str">
        <v/>
      </c>
    </row>
    <row r="40377" spans="5:9" ht="16.5" hidden="1">
      <c r="E40377" s="4" t="str">
        <v/>
      </c>
      <c r="F40377" s="102" t="str">
        <f ca="1">IFERROR(__xludf.DUMMYFUNCTION("IMPORTRANGE(H40377,""IDENTITAS UNIT!D9"")"),"#N/A")</f>
        <v>#N/A</v>
      </c>
      <c r="H40377" s="4" t="str">
        <v/>
      </c>
      <c r="I40377" s="4" t="str">
        <v/>
      </c>
    </row>
    <row r="40378" spans="5:9" ht="16.5" hidden="1">
      <c r="E40378" s="4" t="str">
        <v/>
      </c>
      <c r="F40378" s="102" t="str">
        <f ca="1">IFERROR(__xludf.DUMMYFUNCTION("IMPORTRANGE(H40378,""IDENTITAS UNIT!D9"")"),"#N/A")</f>
        <v>#N/A</v>
      </c>
      <c r="H40378" s="4" t="str">
        <v/>
      </c>
      <c r="I40378" s="4" t="str">
        <v/>
      </c>
    </row>
    <row r="40379" spans="5:9" ht="16.5" hidden="1">
      <c r="E40379" s="4" t="str">
        <v/>
      </c>
      <c r="F40379" s="102" t="str">
        <f ca="1">IFERROR(__xludf.DUMMYFUNCTION("IMPORTRANGE(H40379,""IDENTITAS UNIT!D9"")"),"#N/A")</f>
        <v>#N/A</v>
      </c>
      <c r="H40379" s="4" t="str">
        <v/>
      </c>
      <c r="I40379" s="4" t="str">
        <v/>
      </c>
    </row>
    <row r="40380" spans="5:9" ht="16.5" hidden="1">
      <c r="E40380" s="4" t="str">
        <v/>
      </c>
      <c r="F40380" s="102" t="str">
        <f ca="1">IFERROR(__xludf.DUMMYFUNCTION("IMPORTRANGE(H40380,""IDENTITAS UNIT!D9"")"),"#N/A")</f>
        <v>#N/A</v>
      </c>
      <c r="H40380" s="4" t="str">
        <v/>
      </c>
      <c r="I40380" s="4" t="str">
        <v/>
      </c>
    </row>
    <row r="40381" spans="5:9" ht="16.5" hidden="1">
      <c r="E40381" s="4" t="str">
        <v/>
      </c>
      <c r="F40381" s="102" t="str">
        <f ca="1">IFERROR(__xludf.DUMMYFUNCTION("IMPORTRANGE(H40381,""IDENTITAS UNIT!D9"")"),"#N/A")</f>
        <v>#N/A</v>
      </c>
      <c r="H40381" s="4" t="str">
        <v/>
      </c>
      <c r="I40381" s="4" t="str">
        <v/>
      </c>
    </row>
    <row r="40382" spans="5:9" ht="16.5" hidden="1">
      <c r="E40382" s="4" t="str">
        <v/>
      </c>
      <c r="F40382" s="102" t="str">
        <f ca="1">IFERROR(__xludf.DUMMYFUNCTION("IMPORTRANGE(H40382,""IDENTITAS UNIT!D9"")"),"#N/A")</f>
        <v>#N/A</v>
      </c>
      <c r="H40382" s="4" t="str">
        <v/>
      </c>
      <c r="I40382" s="4" t="str">
        <v/>
      </c>
    </row>
    <row r="40383" spans="5:9" ht="16.5" hidden="1">
      <c r="E40383" s="4" t="str">
        <v/>
      </c>
      <c r="F40383" s="102" t="str">
        <f ca="1">IFERROR(__xludf.DUMMYFUNCTION("IMPORTRANGE(H40383,""IDENTITAS UNIT!D9"")"),"#N/A")</f>
        <v>#N/A</v>
      </c>
      <c r="H40383" s="4" t="str">
        <v/>
      </c>
      <c r="I40383" s="4" t="str">
        <v/>
      </c>
    </row>
    <row r="40384" spans="5:9" ht="16.5" hidden="1">
      <c r="E40384" s="4" t="str">
        <v/>
      </c>
      <c r="F40384" s="102" t="str">
        <f ca="1">IFERROR(__xludf.DUMMYFUNCTION("IMPORTRANGE(H40384,""IDENTITAS UNIT!D9"")"),"#N/A")</f>
        <v>#N/A</v>
      </c>
      <c r="H40384" s="4" t="str">
        <v/>
      </c>
      <c r="I40384" s="4" t="str">
        <v/>
      </c>
    </row>
    <row r="40385" spans="5:9" ht="16.5" hidden="1">
      <c r="E40385" s="4" t="str">
        <v/>
      </c>
      <c r="F40385" s="102" t="str">
        <f ca="1">IFERROR(__xludf.DUMMYFUNCTION("IMPORTRANGE(H40385,""IDENTITAS UNIT!D9"")"),"#N/A")</f>
        <v>#N/A</v>
      </c>
      <c r="H40385" s="4" t="str">
        <v/>
      </c>
      <c r="I40385" s="4" t="str">
        <v/>
      </c>
    </row>
    <row r="40386" spans="5:9" ht="16.5" hidden="1">
      <c r="E40386" s="4" t="str">
        <v/>
      </c>
      <c r="F40386" s="102" t="str">
        <f ca="1">IFERROR(__xludf.DUMMYFUNCTION("IMPORTRANGE(H40386,""IDENTITAS UNIT!D9"")"),"#N/A")</f>
        <v>#N/A</v>
      </c>
      <c r="H40386" s="4" t="str">
        <v/>
      </c>
      <c r="I40386" s="4" t="str">
        <v/>
      </c>
    </row>
    <row r="40387" spans="5:9" ht="16.5" hidden="1">
      <c r="E40387" s="4" t="str">
        <v/>
      </c>
      <c r="F40387" s="102" t="str">
        <f ca="1">IFERROR(__xludf.DUMMYFUNCTION("IMPORTRANGE(H40387,""IDENTITAS UNIT!D9"")"),"#N/A")</f>
        <v>#N/A</v>
      </c>
      <c r="H40387" s="4" t="str">
        <v/>
      </c>
      <c r="I40387" s="4" t="str">
        <v/>
      </c>
    </row>
    <row r="40388" spans="5:9" ht="16.5" hidden="1">
      <c r="E40388" s="4" t="str">
        <v/>
      </c>
      <c r="F40388" s="102" t="str">
        <f ca="1">IFERROR(__xludf.DUMMYFUNCTION("IMPORTRANGE(H40388,""IDENTITAS UNIT!D9"")"),"#N/A")</f>
        <v>#N/A</v>
      </c>
      <c r="H40388" s="4" t="str">
        <v/>
      </c>
      <c r="I40388" s="4" t="str">
        <v/>
      </c>
    </row>
    <row r="40389" spans="5:9" ht="16.5" hidden="1">
      <c r="E40389" s="4" t="str">
        <v/>
      </c>
      <c r="F40389" s="102" t="str">
        <f ca="1">IFERROR(__xludf.DUMMYFUNCTION("IMPORTRANGE(H40389,""IDENTITAS UNIT!D9"")"),"#N/A")</f>
        <v>#N/A</v>
      </c>
      <c r="H40389" s="4" t="str">
        <v/>
      </c>
      <c r="I40389" s="4" t="str">
        <v/>
      </c>
    </row>
    <row r="40390" spans="5:9" ht="16.5" hidden="1">
      <c r="E40390" s="4" t="str">
        <v/>
      </c>
      <c r="F40390" s="102" t="str">
        <f ca="1">IFERROR(__xludf.DUMMYFUNCTION("IMPORTRANGE(H40390,""IDENTITAS UNIT!D9"")"),"#N/A")</f>
        <v>#N/A</v>
      </c>
      <c r="H40390" s="4" t="str">
        <v/>
      </c>
      <c r="I40390" s="4" t="str">
        <v/>
      </c>
    </row>
    <row r="40391" spans="5:9" ht="16.5" hidden="1">
      <c r="E40391" s="4" t="str">
        <v/>
      </c>
      <c r="F40391" s="102" t="str">
        <f ca="1">IFERROR(__xludf.DUMMYFUNCTION("IMPORTRANGE(H40391,""IDENTITAS UNIT!D9"")"),"#N/A")</f>
        <v>#N/A</v>
      </c>
      <c r="H40391" s="4" t="str">
        <v/>
      </c>
      <c r="I40391" s="4" t="str">
        <v/>
      </c>
    </row>
    <row r="40392" spans="5:9" ht="16.5" hidden="1">
      <c r="E40392" s="4" t="str">
        <v/>
      </c>
      <c r="F40392" s="102" t="str">
        <f ca="1">IFERROR(__xludf.DUMMYFUNCTION("IMPORTRANGE(H40392,""IDENTITAS UNIT!D9"")"),"#N/A")</f>
        <v>#N/A</v>
      </c>
      <c r="H40392" s="4" t="str">
        <v/>
      </c>
      <c r="I40392" s="4" t="str">
        <v/>
      </c>
    </row>
    <row r="40393" spans="5:9" ht="16.5" hidden="1">
      <c r="E40393" s="4" t="str">
        <v/>
      </c>
      <c r="F40393" s="102" t="str">
        <f ca="1">IFERROR(__xludf.DUMMYFUNCTION("IMPORTRANGE(H40393,""IDENTITAS UNIT!D9"")"),"#N/A")</f>
        <v>#N/A</v>
      </c>
      <c r="H40393" s="4" t="str">
        <v/>
      </c>
      <c r="I40393" s="4" t="str">
        <v/>
      </c>
    </row>
    <row r="40394" spans="5:9" ht="16.5" hidden="1">
      <c r="E40394" s="4" t="str">
        <v/>
      </c>
      <c r="F40394" s="102" t="str">
        <f ca="1">IFERROR(__xludf.DUMMYFUNCTION("IMPORTRANGE(H40394,""IDENTITAS UNIT!D9"")"),"#N/A")</f>
        <v>#N/A</v>
      </c>
      <c r="H40394" s="4" t="str">
        <v/>
      </c>
      <c r="I40394" s="4" t="str">
        <v/>
      </c>
    </row>
    <row r="40395" spans="5:9" ht="16.5" hidden="1">
      <c r="E40395" s="4" t="str">
        <v/>
      </c>
      <c r="F40395" s="102" t="str">
        <f ca="1">IFERROR(__xludf.DUMMYFUNCTION("IMPORTRANGE(H40395,""IDENTITAS UNIT!D9"")"),"#N/A")</f>
        <v>#N/A</v>
      </c>
      <c r="H40395" s="4" t="str">
        <v/>
      </c>
      <c r="I40395" s="4" t="str">
        <v/>
      </c>
    </row>
    <row r="40396" spans="5:9" ht="16.5" hidden="1">
      <c r="E40396" s="4" t="str">
        <v/>
      </c>
      <c r="F40396" s="102" t="str">
        <f ca="1">IFERROR(__xludf.DUMMYFUNCTION("IMPORTRANGE(H40396,""IDENTITAS UNIT!D9"")"),"#N/A")</f>
        <v>#N/A</v>
      </c>
      <c r="H40396" s="4" t="str">
        <v/>
      </c>
      <c r="I40396" s="4" t="str">
        <v/>
      </c>
    </row>
    <row r="40397" spans="5:9" ht="16.5" hidden="1">
      <c r="E40397" s="4" t="str">
        <v/>
      </c>
      <c r="F40397" s="102" t="str">
        <f ca="1">IFERROR(__xludf.DUMMYFUNCTION("IMPORTRANGE(H40397,""IDENTITAS UNIT!D9"")"),"#N/A")</f>
        <v>#N/A</v>
      </c>
      <c r="H40397" s="4" t="str">
        <v/>
      </c>
      <c r="I40397" s="4" t="str">
        <v/>
      </c>
    </row>
    <row r="40398" spans="5:9" ht="16.5" hidden="1">
      <c r="E40398" s="4" t="str">
        <v/>
      </c>
      <c r="F40398" s="102" t="str">
        <f ca="1">IFERROR(__xludf.DUMMYFUNCTION("IMPORTRANGE(H40398,""IDENTITAS UNIT!D9"")"),"#N/A")</f>
        <v>#N/A</v>
      </c>
      <c r="H40398" s="4" t="str">
        <v/>
      </c>
      <c r="I40398" s="4" t="str">
        <v/>
      </c>
    </row>
    <row r="40399" spans="5:9" ht="16.5" hidden="1">
      <c r="E40399" s="4" t="str">
        <v/>
      </c>
      <c r="F40399" s="102" t="str">
        <f ca="1">IFERROR(__xludf.DUMMYFUNCTION("IMPORTRANGE(H40399,""IDENTITAS UNIT!D9"")"),"#N/A")</f>
        <v>#N/A</v>
      </c>
      <c r="H40399" s="4" t="str">
        <v/>
      </c>
      <c r="I40399" s="4" t="str">
        <v/>
      </c>
    </row>
    <row r="40400" spans="5:9" ht="16.5" hidden="1">
      <c r="E40400" s="4" t="str">
        <v/>
      </c>
      <c r="F40400" s="102" t="str">
        <f ca="1">IFERROR(__xludf.DUMMYFUNCTION("IMPORTRANGE(H40400,""IDENTITAS UNIT!D9"")"),"#N/A")</f>
        <v>#N/A</v>
      </c>
      <c r="H40400" s="4" t="str">
        <v/>
      </c>
      <c r="I40400" s="4" t="str">
        <v/>
      </c>
    </row>
    <row r="40401" spans="5:9" ht="16.5" hidden="1">
      <c r="E40401" s="4" t="str">
        <v/>
      </c>
      <c r="F40401" s="102" t="str">
        <f ca="1">IFERROR(__xludf.DUMMYFUNCTION("IMPORTRANGE(H40401,""IDENTITAS UNIT!D9"")"),"#N/A")</f>
        <v>#N/A</v>
      </c>
      <c r="H40401" s="4" t="str">
        <v/>
      </c>
      <c r="I40401" s="4" t="str">
        <v/>
      </c>
    </row>
    <row r="40402" spans="5:9" ht="16.5" hidden="1">
      <c r="E40402" s="4" t="str">
        <v/>
      </c>
      <c r="F40402" s="102" t="str">
        <f ca="1">IFERROR(__xludf.DUMMYFUNCTION("IMPORTRANGE(H40402,""IDENTITAS UNIT!D9"")"),"#N/A")</f>
        <v>#N/A</v>
      </c>
      <c r="H40402" s="4" t="str">
        <v/>
      </c>
      <c r="I40402" s="4" t="str">
        <v/>
      </c>
    </row>
    <row r="40403" spans="5:9" ht="16.5" hidden="1">
      <c r="E40403" s="4" t="str">
        <v/>
      </c>
      <c r="F40403" s="102" t="str">
        <f ca="1">IFERROR(__xludf.DUMMYFUNCTION("IMPORTRANGE(H40403,""IDENTITAS UNIT!D9"")"),"#N/A")</f>
        <v>#N/A</v>
      </c>
      <c r="H40403" s="4" t="str">
        <v/>
      </c>
      <c r="I40403" s="4" t="str">
        <v/>
      </c>
    </row>
    <row r="40404" spans="5:9" ht="16.5" hidden="1">
      <c r="E40404" s="4" t="str">
        <v/>
      </c>
      <c r="F40404" s="102" t="str">
        <f ca="1">IFERROR(__xludf.DUMMYFUNCTION("IMPORTRANGE(H40404,""IDENTITAS UNIT!D9"")"),"#N/A")</f>
        <v>#N/A</v>
      </c>
      <c r="H40404" s="4" t="str">
        <v/>
      </c>
      <c r="I40404" s="4" t="str">
        <v/>
      </c>
    </row>
    <row r="40405" spans="5:9" ht="16.5" hidden="1">
      <c r="E40405" s="4" t="str">
        <v/>
      </c>
      <c r="F40405" s="102" t="str">
        <f ca="1">IFERROR(__xludf.DUMMYFUNCTION("IMPORTRANGE(H40405,""IDENTITAS UNIT!D9"")"),"#N/A")</f>
        <v>#N/A</v>
      </c>
      <c r="H40405" s="4" t="str">
        <v/>
      </c>
      <c r="I40405" s="4" t="str">
        <v/>
      </c>
    </row>
    <row r="40406" spans="5:9" ht="16.5" hidden="1">
      <c r="E40406" s="4" t="str">
        <v/>
      </c>
      <c r="F40406" s="102" t="str">
        <f ca="1">IFERROR(__xludf.DUMMYFUNCTION("IMPORTRANGE(H40406,""IDENTITAS UNIT!D9"")"),"#N/A")</f>
        <v>#N/A</v>
      </c>
      <c r="H40406" s="4" t="str">
        <v/>
      </c>
      <c r="I40406" s="4" t="str">
        <v/>
      </c>
    </row>
    <row r="40407" spans="5:9" ht="16.5" hidden="1">
      <c r="E40407" s="4" t="str">
        <v/>
      </c>
      <c r="F40407" s="102" t="str">
        <f ca="1">IFERROR(__xludf.DUMMYFUNCTION("IMPORTRANGE(H40407,""IDENTITAS UNIT!D9"")"),"#N/A")</f>
        <v>#N/A</v>
      </c>
      <c r="H40407" s="4" t="str">
        <v/>
      </c>
      <c r="I40407" s="4" t="str">
        <v/>
      </c>
    </row>
    <row r="40408" spans="5:9" ht="16.5" hidden="1">
      <c r="E40408" s="4" t="str">
        <v/>
      </c>
      <c r="F40408" s="102" t="str">
        <f ca="1">IFERROR(__xludf.DUMMYFUNCTION("IMPORTRANGE(H40408,""IDENTITAS UNIT!D9"")"),"#N/A")</f>
        <v>#N/A</v>
      </c>
      <c r="H40408" s="4" t="str">
        <v/>
      </c>
      <c r="I40408" s="4" t="str">
        <v/>
      </c>
    </row>
    <row r="40409" spans="5:9" ht="16.5" hidden="1">
      <c r="E40409" s="4" t="str">
        <v/>
      </c>
      <c r="F40409" s="102" t="str">
        <f ca="1">IFERROR(__xludf.DUMMYFUNCTION("IMPORTRANGE(H40409,""IDENTITAS UNIT!D9"")"),"#N/A")</f>
        <v>#N/A</v>
      </c>
      <c r="H40409" s="4" t="str">
        <v/>
      </c>
      <c r="I40409" s="4" t="str">
        <v/>
      </c>
    </row>
    <row r="40410" spans="5:9" ht="16.5" hidden="1">
      <c r="E40410" s="4" t="str">
        <v/>
      </c>
      <c r="F40410" s="102" t="str">
        <f ca="1">IFERROR(__xludf.DUMMYFUNCTION("IMPORTRANGE(H40410,""IDENTITAS UNIT!D9"")"),"#N/A")</f>
        <v>#N/A</v>
      </c>
      <c r="H40410" s="4" t="str">
        <v/>
      </c>
      <c r="I40410" s="4" t="str">
        <v/>
      </c>
    </row>
    <row r="40411" spans="5:9" ht="16.5" hidden="1">
      <c r="E40411" s="4" t="str">
        <v/>
      </c>
      <c r="F40411" s="102" t="str">
        <f ca="1">IFERROR(__xludf.DUMMYFUNCTION("IMPORTRANGE(H40411,""IDENTITAS UNIT!D9"")"),"#N/A")</f>
        <v>#N/A</v>
      </c>
      <c r="H40411" s="4" t="str">
        <v/>
      </c>
      <c r="I40411" s="4" t="str">
        <v/>
      </c>
    </row>
    <row r="40412" spans="5:9" ht="16.5" hidden="1">
      <c r="E40412" s="4" t="str">
        <v/>
      </c>
      <c r="F40412" s="102" t="str">
        <f ca="1">IFERROR(__xludf.DUMMYFUNCTION("IMPORTRANGE(H40412,""IDENTITAS UNIT!D9"")"),"#N/A")</f>
        <v>#N/A</v>
      </c>
      <c r="H40412" s="4" t="str">
        <v/>
      </c>
      <c r="I40412" s="4" t="str">
        <v/>
      </c>
    </row>
    <row r="40413" spans="5:9" ht="16.5" hidden="1">
      <c r="E40413" s="4" t="str">
        <v/>
      </c>
      <c r="F40413" s="102" t="str">
        <f ca="1">IFERROR(__xludf.DUMMYFUNCTION("IMPORTRANGE(H40413,""IDENTITAS UNIT!D9"")"),"#N/A")</f>
        <v>#N/A</v>
      </c>
      <c r="H40413" s="4" t="str">
        <v/>
      </c>
      <c r="I40413" s="4" t="str">
        <v/>
      </c>
    </row>
    <row r="40414" spans="5:9" ht="16.5" hidden="1">
      <c r="E40414" s="4" t="str">
        <v/>
      </c>
      <c r="F40414" s="102" t="str">
        <f ca="1">IFERROR(__xludf.DUMMYFUNCTION("IMPORTRANGE(H40414,""IDENTITAS UNIT!D9"")"),"#N/A")</f>
        <v>#N/A</v>
      </c>
      <c r="H40414" s="4" t="str">
        <v/>
      </c>
      <c r="I40414" s="4" t="str">
        <v/>
      </c>
    </row>
    <row r="40415" spans="5:9" ht="16.5" hidden="1">
      <c r="E40415" s="4" t="str">
        <v/>
      </c>
      <c r="F40415" s="102" t="str">
        <f ca="1">IFERROR(__xludf.DUMMYFUNCTION("IMPORTRANGE(H40415,""IDENTITAS UNIT!D9"")"),"#N/A")</f>
        <v>#N/A</v>
      </c>
      <c r="H40415" s="4" t="str">
        <v/>
      </c>
      <c r="I40415" s="4" t="str">
        <v/>
      </c>
    </row>
    <row r="40416" spans="5:9" ht="16.5" hidden="1">
      <c r="E40416" s="4" t="str">
        <v/>
      </c>
      <c r="F40416" s="102" t="str">
        <f ca="1">IFERROR(__xludf.DUMMYFUNCTION("IMPORTRANGE(H40416,""IDENTITAS UNIT!D9"")"),"#N/A")</f>
        <v>#N/A</v>
      </c>
      <c r="H40416" s="4" t="str">
        <v/>
      </c>
      <c r="I40416" s="4" t="str">
        <v/>
      </c>
    </row>
    <row r="40417" spans="5:9" ht="16.5" hidden="1">
      <c r="E40417" s="4" t="str">
        <v/>
      </c>
      <c r="F40417" s="102" t="str">
        <f ca="1">IFERROR(__xludf.DUMMYFUNCTION("IMPORTRANGE(H40417,""IDENTITAS UNIT!D9"")"),"#N/A")</f>
        <v>#N/A</v>
      </c>
      <c r="H40417" s="4" t="str">
        <v/>
      </c>
      <c r="I40417" s="4" t="str">
        <v/>
      </c>
    </row>
    <row r="40418" spans="5:9" ht="16.5" hidden="1">
      <c r="E40418" s="4" t="str">
        <v/>
      </c>
      <c r="F40418" s="102" t="str">
        <f ca="1">IFERROR(__xludf.DUMMYFUNCTION("IMPORTRANGE(H40418,""IDENTITAS UNIT!D9"")"),"#N/A")</f>
        <v>#N/A</v>
      </c>
      <c r="H40418" s="4" t="str">
        <v/>
      </c>
      <c r="I40418" s="4" t="str">
        <v/>
      </c>
    </row>
    <row r="40419" spans="5:9" ht="16.5" hidden="1">
      <c r="E40419" s="4" t="str">
        <v/>
      </c>
      <c r="F40419" s="102" t="str">
        <f ca="1">IFERROR(__xludf.DUMMYFUNCTION("IMPORTRANGE(H40419,""IDENTITAS UNIT!D9"")"),"#N/A")</f>
        <v>#N/A</v>
      </c>
      <c r="H40419" s="4" t="str">
        <v/>
      </c>
      <c r="I40419" s="4" t="str">
        <v/>
      </c>
    </row>
    <row r="40420" spans="5:9" ht="16.5" hidden="1">
      <c r="E40420" s="4" t="str">
        <v/>
      </c>
      <c r="F40420" s="102" t="str">
        <f ca="1">IFERROR(__xludf.DUMMYFUNCTION("IMPORTRANGE(H40420,""IDENTITAS UNIT!D9"")"),"#N/A")</f>
        <v>#N/A</v>
      </c>
      <c r="H40420" s="4" t="str">
        <v/>
      </c>
      <c r="I40420" s="4" t="str">
        <v/>
      </c>
    </row>
    <row r="40421" spans="5:9" ht="16.5" hidden="1">
      <c r="E40421" s="4" t="str">
        <v/>
      </c>
      <c r="F40421" s="102" t="str">
        <f ca="1">IFERROR(__xludf.DUMMYFUNCTION("IMPORTRANGE(H40421,""IDENTITAS UNIT!D9"")"),"#N/A")</f>
        <v>#N/A</v>
      </c>
      <c r="H40421" s="4" t="str">
        <v/>
      </c>
      <c r="I40421" s="4" t="str">
        <v/>
      </c>
    </row>
    <row r="40422" spans="5:9" ht="16.5" hidden="1">
      <c r="E40422" s="4" t="str">
        <v/>
      </c>
      <c r="F40422" s="102" t="str">
        <f ca="1">IFERROR(__xludf.DUMMYFUNCTION("IMPORTRANGE(H40422,""IDENTITAS UNIT!D9"")"),"#N/A")</f>
        <v>#N/A</v>
      </c>
      <c r="H40422" s="4" t="str">
        <v/>
      </c>
      <c r="I40422" s="4" t="str">
        <v/>
      </c>
    </row>
    <row r="40423" spans="5:9" ht="16.5" hidden="1">
      <c r="E40423" s="4" t="str">
        <v/>
      </c>
      <c r="F40423" s="102" t="str">
        <f ca="1">IFERROR(__xludf.DUMMYFUNCTION("IMPORTRANGE(H40423,""IDENTITAS UNIT!D9"")"),"#N/A")</f>
        <v>#N/A</v>
      </c>
      <c r="H40423" s="4" t="str">
        <v/>
      </c>
      <c r="I40423" s="4" t="str">
        <v/>
      </c>
    </row>
    <row r="40424" spans="5:9" ht="16.5" hidden="1">
      <c r="E40424" s="4" t="str">
        <v/>
      </c>
      <c r="F40424" s="102" t="str">
        <f ca="1">IFERROR(__xludf.DUMMYFUNCTION("IMPORTRANGE(H40424,""IDENTITAS UNIT!D9"")"),"#N/A")</f>
        <v>#N/A</v>
      </c>
      <c r="H40424" s="4" t="str">
        <v/>
      </c>
      <c r="I40424" s="4" t="str">
        <v/>
      </c>
    </row>
    <row r="40425" spans="5:9" ht="16.5" hidden="1">
      <c r="E40425" s="4" t="str">
        <v/>
      </c>
      <c r="F40425" s="102" t="str">
        <f ca="1">IFERROR(__xludf.DUMMYFUNCTION("IMPORTRANGE(H40425,""IDENTITAS UNIT!D9"")"),"#N/A")</f>
        <v>#N/A</v>
      </c>
      <c r="H40425" s="4" t="str">
        <v/>
      </c>
      <c r="I40425" s="4" t="str">
        <v/>
      </c>
    </row>
    <row r="40426" spans="5:9" ht="16.5" hidden="1">
      <c r="E40426" s="4" t="str">
        <v/>
      </c>
      <c r="F40426" s="102" t="str">
        <f ca="1">IFERROR(__xludf.DUMMYFUNCTION("IMPORTRANGE(H40426,""IDENTITAS UNIT!D9"")"),"#N/A")</f>
        <v>#N/A</v>
      </c>
      <c r="H40426" s="4" t="str">
        <v/>
      </c>
      <c r="I40426" s="4" t="str">
        <v/>
      </c>
    </row>
    <row r="40427" spans="5:9" ht="16.5" hidden="1">
      <c r="E40427" s="4" t="str">
        <v/>
      </c>
      <c r="F40427" s="102" t="str">
        <f ca="1">IFERROR(__xludf.DUMMYFUNCTION("IMPORTRANGE(H40427,""IDENTITAS UNIT!D9"")"),"#N/A")</f>
        <v>#N/A</v>
      </c>
      <c r="H40427" s="4" t="str">
        <v/>
      </c>
      <c r="I40427" s="4" t="str">
        <v/>
      </c>
    </row>
    <row r="40428" spans="5:9" ht="16.5" hidden="1">
      <c r="E40428" s="4" t="str">
        <v/>
      </c>
      <c r="F40428" s="102" t="str">
        <f ca="1">IFERROR(__xludf.DUMMYFUNCTION("IMPORTRANGE(H40428,""IDENTITAS UNIT!D9"")"),"#N/A")</f>
        <v>#N/A</v>
      </c>
      <c r="H40428" s="4" t="str">
        <v/>
      </c>
      <c r="I40428" s="4" t="str">
        <v/>
      </c>
    </row>
    <row r="40429" spans="5:9" ht="16.5" hidden="1">
      <c r="E40429" s="4" t="str">
        <v/>
      </c>
      <c r="F40429" s="102" t="str">
        <f ca="1">IFERROR(__xludf.DUMMYFUNCTION("IMPORTRANGE(H40429,""IDENTITAS UNIT!D9"")"),"#N/A")</f>
        <v>#N/A</v>
      </c>
      <c r="H40429" s="4" t="str">
        <v/>
      </c>
      <c r="I40429" s="4" t="str">
        <v/>
      </c>
    </row>
    <row r="40430" spans="5:9" ht="16.5" hidden="1">
      <c r="E40430" s="4" t="str">
        <v/>
      </c>
      <c r="F40430" s="102" t="str">
        <f ca="1">IFERROR(__xludf.DUMMYFUNCTION("IMPORTRANGE(H40430,""IDENTITAS UNIT!D9"")"),"#N/A")</f>
        <v>#N/A</v>
      </c>
      <c r="H40430" s="4" t="str">
        <v/>
      </c>
      <c r="I40430" s="4" t="str">
        <v/>
      </c>
    </row>
    <row r="40431" spans="5:9" ht="16.5" hidden="1">
      <c r="E40431" s="4" t="str">
        <v/>
      </c>
      <c r="F40431" s="102" t="str">
        <f ca="1">IFERROR(__xludf.DUMMYFUNCTION("IMPORTRANGE(H40431,""IDENTITAS UNIT!D9"")"),"#N/A")</f>
        <v>#N/A</v>
      </c>
      <c r="H40431" s="4" t="str">
        <v/>
      </c>
      <c r="I40431" s="4" t="str">
        <v/>
      </c>
    </row>
    <row r="40432" spans="5:9" ht="16.5" hidden="1">
      <c r="E40432" s="4" t="str">
        <v/>
      </c>
      <c r="F40432" s="102" t="str">
        <f ca="1">IFERROR(__xludf.DUMMYFUNCTION("IMPORTRANGE(H40432,""IDENTITAS UNIT!D9"")"),"#N/A")</f>
        <v>#N/A</v>
      </c>
      <c r="H40432" s="4" t="str">
        <v/>
      </c>
      <c r="I40432" s="4" t="str">
        <v/>
      </c>
    </row>
    <row r="40433" spans="5:9" ht="16.5" hidden="1">
      <c r="E40433" s="4" t="str">
        <v/>
      </c>
      <c r="F40433" s="102" t="str">
        <f ca="1">IFERROR(__xludf.DUMMYFUNCTION("IMPORTRANGE(H40433,""IDENTITAS UNIT!D9"")"),"#N/A")</f>
        <v>#N/A</v>
      </c>
      <c r="H40433" s="4" t="str">
        <v/>
      </c>
      <c r="I40433" s="4" t="str">
        <v/>
      </c>
    </row>
    <row r="40434" spans="5:9" ht="16.5" hidden="1">
      <c r="E40434" s="4" t="str">
        <v/>
      </c>
      <c r="F40434" s="102" t="str">
        <f ca="1">IFERROR(__xludf.DUMMYFUNCTION("IMPORTRANGE(H40434,""IDENTITAS UNIT!D9"")"),"#N/A")</f>
        <v>#N/A</v>
      </c>
      <c r="H40434" s="4" t="str">
        <v/>
      </c>
      <c r="I40434" s="4" t="str">
        <v/>
      </c>
    </row>
    <row r="40435" spans="5:9" ht="16.5" hidden="1">
      <c r="E40435" s="4" t="str">
        <v/>
      </c>
      <c r="F40435" s="102" t="str">
        <f ca="1">IFERROR(__xludf.DUMMYFUNCTION("IMPORTRANGE(H40435,""IDENTITAS UNIT!D9"")"),"#N/A")</f>
        <v>#N/A</v>
      </c>
      <c r="H40435" s="4" t="str">
        <v/>
      </c>
      <c r="I40435" s="4" t="str">
        <v/>
      </c>
    </row>
    <row r="40436" spans="5:9" ht="16.5" hidden="1">
      <c r="E40436" s="4" t="str">
        <v/>
      </c>
      <c r="F40436" s="102" t="str">
        <f ca="1">IFERROR(__xludf.DUMMYFUNCTION("IMPORTRANGE(H40436,""IDENTITAS UNIT!D9"")"),"#N/A")</f>
        <v>#N/A</v>
      </c>
      <c r="H40436" s="4" t="str">
        <v/>
      </c>
      <c r="I40436" s="4" t="str">
        <v/>
      </c>
    </row>
    <row r="40437" spans="5:9" ht="16.5" hidden="1">
      <c r="E40437" s="4" t="str">
        <v/>
      </c>
      <c r="F40437" s="102" t="str">
        <f ca="1">IFERROR(__xludf.DUMMYFUNCTION("IMPORTRANGE(H40437,""IDENTITAS UNIT!D9"")"),"#N/A")</f>
        <v>#N/A</v>
      </c>
      <c r="H40437" s="4" t="str">
        <v/>
      </c>
      <c r="I40437" s="4" t="str">
        <v/>
      </c>
    </row>
    <row r="40438" spans="5:9" ht="16.5" hidden="1">
      <c r="E40438" s="4" t="str">
        <v/>
      </c>
      <c r="F40438" s="102" t="str">
        <f ca="1">IFERROR(__xludf.DUMMYFUNCTION("IMPORTRANGE(H40438,""IDENTITAS UNIT!D9"")"),"#N/A")</f>
        <v>#N/A</v>
      </c>
      <c r="H40438" s="4" t="str">
        <v/>
      </c>
      <c r="I40438" s="4" t="str">
        <v/>
      </c>
    </row>
    <row r="40439" spans="5:9" ht="16.5" hidden="1">
      <c r="E40439" s="4" t="str">
        <v/>
      </c>
      <c r="F40439" s="102" t="str">
        <f ca="1">IFERROR(__xludf.DUMMYFUNCTION("IMPORTRANGE(H40439,""IDENTITAS UNIT!D9"")"),"#N/A")</f>
        <v>#N/A</v>
      </c>
      <c r="H40439" s="4" t="str">
        <v/>
      </c>
      <c r="I40439" s="4" t="str">
        <v/>
      </c>
    </row>
    <row r="40440" spans="5:9" ht="16.5" hidden="1">
      <c r="E40440" s="4" t="str">
        <v/>
      </c>
      <c r="F40440" s="102" t="str">
        <f ca="1">IFERROR(__xludf.DUMMYFUNCTION("IMPORTRANGE(H40440,""IDENTITAS UNIT!D9"")"),"#N/A")</f>
        <v>#N/A</v>
      </c>
      <c r="H40440" s="4" t="str">
        <v/>
      </c>
      <c r="I40440" s="4" t="str">
        <v/>
      </c>
    </row>
    <row r="40441" spans="5:9" ht="16.5" hidden="1">
      <c r="E40441" s="4" t="str">
        <v/>
      </c>
      <c r="F40441" s="102" t="str">
        <f ca="1">IFERROR(__xludf.DUMMYFUNCTION("IMPORTRANGE(H40441,""IDENTITAS UNIT!D9"")"),"#N/A")</f>
        <v>#N/A</v>
      </c>
      <c r="H40441" s="4" t="str">
        <v/>
      </c>
      <c r="I40441" s="4" t="str">
        <v/>
      </c>
    </row>
    <row r="40442" spans="5:9" ht="16.5" hidden="1">
      <c r="E40442" s="4" t="str">
        <v/>
      </c>
      <c r="F40442" s="102" t="str">
        <f ca="1">IFERROR(__xludf.DUMMYFUNCTION("IMPORTRANGE(H40442,""IDENTITAS UNIT!D9"")"),"#N/A")</f>
        <v>#N/A</v>
      </c>
      <c r="H40442" s="4" t="str">
        <v/>
      </c>
      <c r="I40442" s="4" t="str">
        <v/>
      </c>
    </row>
    <row r="40443" spans="5:9" ht="16.5" hidden="1">
      <c r="E40443" s="4" t="str">
        <v/>
      </c>
      <c r="F40443" s="102" t="str">
        <f ca="1">IFERROR(__xludf.DUMMYFUNCTION("IMPORTRANGE(H40443,""IDENTITAS UNIT!D9"")"),"#N/A")</f>
        <v>#N/A</v>
      </c>
      <c r="H40443" s="4" t="str">
        <v/>
      </c>
      <c r="I40443" s="4" t="str">
        <v/>
      </c>
    </row>
    <row r="40444" spans="5:9" ht="16.5" hidden="1">
      <c r="E40444" s="4" t="str">
        <v/>
      </c>
      <c r="F40444" s="102" t="str">
        <f ca="1">IFERROR(__xludf.DUMMYFUNCTION("IMPORTRANGE(H40444,""IDENTITAS UNIT!D9"")"),"#N/A")</f>
        <v>#N/A</v>
      </c>
      <c r="H40444" s="4" t="str">
        <v/>
      </c>
      <c r="I40444" s="4" t="str">
        <v/>
      </c>
    </row>
    <row r="40445" spans="5:9" ht="16.5" hidden="1">
      <c r="E40445" s="4" t="str">
        <v/>
      </c>
      <c r="F40445" s="102" t="str">
        <f ca="1">IFERROR(__xludf.DUMMYFUNCTION("IMPORTRANGE(H40445,""IDENTITAS UNIT!D9"")"),"#N/A")</f>
        <v>#N/A</v>
      </c>
      <c r="H40445" s="4" t="str">
        <v/>
      </c>
      <c r="I40445" s="4" t="str">
        <v/>
      </c>
    </row>
    <row r="40446" spans="5:9" ht="16.5" hidden="1">
      <c r="E40446" s="4" t="str">
        <v/>
      </c>
      <c r="F40446" s="102" t="str">
        <f ca="1">IFERROR(__xludf.DUMMYFUNCTION("IMPORTRANGE(H40446,""IDENTITAS UNIT!D9"")"),"#N/A")</f>
        <v>#N/A</v>
      </c>
      <c r="H40446" s="4" t="str">
        <v/>
      </c>
      <c r="I40446" s="4" t="str">
        <v/>
      </c>
    </row>
    <row r="40447" spans="5:9" ht="16.5" hidden="1">
      <c r="E40447" s="4" t="str">
        <v/>
      </c>
      <c r="F40447" s="102" t="str">
        <f ca="1">IFERROR(__xludf.DUMMYFUNCTION("IMPORTRANGE(H40447,""IDENTITAS UNIT!D9"")"),"#N/A")</f>
        <v>#N/A</v>
      </c>
      <c r="H40447" s="4" t="str">
        <v/>
      </c>
      <c r="I40447" s="4" t="str">
        <v/>
      </c>
    </row>
    <row r="40448" spans="5:9" ht="16.5" hidden="1">
      <c r="E40448" s="4" t="str">
        <v/>
      </c>
      <c r="F40448" s="102" t="str">
        <f ca="1">IFERROR(__xludf.DUMMYFUNCTION("IMPORTRANGE(H40448,""IDENTITAS UNIT!D9"")"),"#N/A")</f>
        <v>#N/A</v>
      </c>
      <c r="H40448" s="4" t="str">
        <v/>
      </c>
      <c r="I40448" s="4" t="str">
        <v/>
      </c>
    </row>
    <row r="40449" spans="5:9" ht="16.5" hidden="1">
      <c r="E40449" s="4" t="str">
        <v/>
      </c>
      <c r="F40449" s="102" t="str">
        <f ca="1">IFERROR(__xludf.DUMMYFUNCTION("IMPORTRANGE(H40449,""IDENTITAS UNIT!D9"")"),"#N/A")</f>
        <v>#N/A</v>
      </c>
      <c r="H40449" s="4" t="str">
        <v/>
      </c>
      <c r="I40449" s="4" t="str">
        <v/>
      </c>
    </row>
    <row r="40450" spans="5:9" ht="16.5" hidden="1">
      <c r="E40450" s="4" t="str">
        <v/>
      </c>
      <c r="F40450" s="102" t="str">
        <f ca="1">IFERROR(__xludf.DUMMYFUNCTION("IMPORTRANGE(H40450,""IDENTITAS UNIT!D9"")"),"#N/A")</f>
        <v>#N/A</v>
      </c>
      <c r="H40450" s="4" t="str">
        <v/>
      </c>
      <c r="I40450" s="4" t="str">
        <v/>
      </c>
    </row>
    <row r="40451" spans="5:9" ht="16.5" hidden="1">
      <c r="E40451" s="4" t="str">
        <v/>
      </c>
      <c r="F40451" s="102" t="str">
        <f ca="1">IFERROR(__xludf.DUMMYFUNCTION("IMPORTRANGE(H40451,""IDENTITAS UNIT!D9"")"),"#N/A")</f>
        <v>#N/A</v>
      </c>
      <c r="H40451" s="4" t="str">
        <v/>
      </c>
      <c r="I40451" s="4" t="str">
        <v/>
      </c>
    </row>
    <row r="40452" spans="5:9" ht="16.5" hidden="1">
      <c r="E40452" s="4" t="str">
        <v/>
      </c>
      <c r="F40452" s="102" t="str">
        <f ca="1">IFERROR(__xludf.DUMMYFUNCTION("IMPORTRANGE(H40452,""IDENTITAS UNIT!D9"")"),"#N/A")</f>
        <v>#N/A</v>
      </c>
      <c r="H40452" s="4" t="str">
        <v/>
      </c>
      <c r="I40452" s="4" t="str">
        <v/>
      </c>
    </row>
    <row r="40453" spans="5:9" ht="16.5" hidden="1">
      <c r="E40453" s="4" t="str">
        <v/>
      </c>
      <c r="F40453" s="102" t="str">
        <f ca="1">IFERROR(__xludf.DUMMYFUNCTION("IMPORTRANGE(H40453,""IDENTITAS UNIT!D9"")"),"#N/A")</f>
        <v>#N/A</v>
      </c>
      <c r="H40453" s="4" t="str">
        <v/>
      </c>
      <c r="I40453" s="4" t="str">
        <v/>
      </c>
    </row>
    <row r="40454" spans="5:9" ht="16.5" hidden="1">
      <c r="E40454" s="4" t="str">
        <v/>
      </c>
      <c r="F40454" s="102" t="str">
        <f ca="1">IFERROR(__xludf.DUMMYFUNCTION("IMPORTRANGE(H40454,""IDENTITAS UNIT!D9"")"),"#N/A")</f>
        <v>#N/A</v>
      </c>
      <c r="H40454" s="4" t="str">
        <v/>
      </c>
      <c r="I40454" s="4" t="str">
        <v/>
      </c>
    </row>
    <row r="40455" spans="5:9" ht="16.5" hidden="1">
      <c r="E40455" s="4" t="str">
        <v/>
      </c>
      <c r="F40455" s="102" t="str">
        <f ca="1">IFERROR(__xludf.DUMMYFUNCTION("IMPORTRANGE(H40455,""IDENTITAS UNIT!D9"")"),"#N/A")</f>
        <v>#N/A</v>
      </c>
      <c r="H40455" s="4" t="str">
        <v/>
      </c>
      <c r="I40455" s="4" t="str">
        <v/>
      </c>
    </row>
    <row r="40456" spans="5:9" ht="16.5" hidden="1">
      <c r="E40456" s="4" t="str">
        <v/>
      </c>
      <c r="F40456" s="102" t="str">
        <f ca="1">IFERROR(__xludf.DUMMYFUNCTION("IMPORTRANGE(H40456,""IDENTITAS UNIT!D9"")"),"#N/A")</f>
        <v>#N/A</v>
      </c>
      <c r="H40456" s="4" t="str">
        <v/>
      </c>
      <c r="I40456" s="4" t="str">
        <v/>
      </c>
    </row>
    <row r="40457" spans="5:9" ht="16.5" hidden="1">
      <c r="E40457" s="4" t="str">
        <v/>
      </c>
      <c r="F40457" s="102" t="str">
        <f ca="1">IFERROR(__xludf.DUMMYFUNCTION("IMPORTRANGE(H40457,""IDENTITAS UNIT!D9"")"),"#N/A")</f>
        <v>#N/A</v>
      </c>
      <c r="H40457" s="4" t="str">
        <v/>
      </c>
      <c r="I40457" s="4" t="str">
        <v/>
      </c>
    </row>
    <row r="40458" spans="5:9" ht="16.5" hidden="1">
      <c r="E40458" s="4" t="str">
        <v/>
      </c>
      <c r="F40458" s="102" t="str">
        <f ca="1">IFERROR(__xludf.DUMMYFUNCTION("IMPORTRANGE(H40458,""IDENTITAS UNIT!D9"")"),"#N/A")</f>
        <v>#N/A</v>
      </c>
      <c r="H40458" s="4" t="str">
        <v/>
      </c>
      <c r="I40458" s="4" t="str">
        <v/>
      </c>
    </row>
    <row r="40459" spans="5:9" ht="16.5" hidden="1">
      <c r="E40459" s="4" t="str">
        <v/>
      </c>
      <c r="F40459" s="102" t="str">
        <f ca="1">IFERROR(__xludf.DUMMYFUNCTION("IMPORTRANGE(H40459,""IDENTITAS UNIT!D9"")"),"#N/A")</f>
        <v>#N/A</v>
      </c>
      <c r="H40459" s="4" t="str">
        <v/>
      </c>
      <c r="I40459" s="4" t="str">
        <v/>
      </c>
    </row>
    <row r="40460" spans="5:9" ht="16.5" hidden="1">
      <c r="E40460" s="4" t="str">
        <v/>
      </c>
      <c r="F40460" s="102" t="str">
        <f ca="1">IFERROR(__xludf.DUMMYFUNCTION("IMPORTRANGE(H40460,""IDENTITAS UNIT!D9"")"),"#N/A")</f>
        <v>#N/A</v>
      </c>
      <c r="H40460" s="4" t="str">
        <v/>
      </c>
      <c r="I40460" s="4" t="str">
        <v/>
      </c>
    </row>
    <row r="40461" spans="5:9" ht="16.5" hidden="1">
      <c r="E40461" s="4" t="str">
        <v/>
      </c>
      <c r="F40461" s="102" t="str">
        <f ca="1">IFERROR(__xludf.DUMMYFUNCTION("IMPORTRANGE(H40461,""IDENTITAS UNIT!D9"")"),"#N/A")</f>
        <v>#N/A</v>
      </c>
      <c r="H40461" s="4" t="str">
        <v/>
      </c>
      <c r="I40461" s="4" t="str">
        <v/>
      </c>
    </row>
    <row r="40462" spans="5:9" ht="16.5" hidden="1">
      <c r="E40462" s="4" t="str">
        <v/>
      </c>
      <c r="F40462" s="102" t="str">
        <f ca="1">IFERROR(__xludf.DUMMYFUNCTION("IMPORTRANGE(H40462,""IDENTITAS UNIT!D9"")"),"#N/A")</f>
        <v>#N/A</v>
      </c>
      <c r="H40462" s="4" t="str">
        <v/>
      </c>
      <c r="I40462" s="4" t="str">
        <v/>
      </c>
    </row>
    <row r="40463" spans="5:9" ht="16.5" hidden="1">
      <c r="E40463" s="4" t="str">
        <v/>
      </c>
      <c r="F40463" s="102" t="str">
        <f ca="1">IFERROR(__xludf.DUMMYFUNCTION("IMPORTRANGE(H40463,""IDENTITAS UNIT!D9"")"),"#N/A")</f>
        <v>#N/A</v>
      </c>
      <c r="H40463" s="4" t="str">
        <v/>
      </c>
      <c r="I40463" s="4" t="str">
        <v/>
      </c>
    </row>
    <row r="40464" spans="5:9" ht="16.5" hidden="1">
      <c r="E40464" s="4" t="str">
        <v/>
      </c>
      <c r="F40464" s="102" t="str">
        <f ca="1">IFERROR(__xludf.DUMMYFUNCTION("IMPORTRANGE(H40464,""IDENTITAS UNIT!D9"")"),"#N/A")</f>
        <v>#N/A</v>
      </c>
      <c r="H40464" s="4" t="str">
        <v/>
      </c>
      <c r="I40464" s="4" t="str">
        <v/>
      </c>
    </row>
    <row r="40465" spans="5:9" ht="16.5" hidden="1">
      <c r="E40465" s="4" t="str">
        <v/>
      </c>
      <c r="F40465" s="102" t="str">
        <f ca="1">IFERROR(__xludf.DUMMYFUNCTION("IMPORTRANGE(H40465,""IDENTITAS UNIT!D9"")"),"#N/A")</f>
        <v>#N/A</v>
      </c>
      <c r="H40465" s="4" t="str">
        <v/>
      </c>
      <c r="I40465" s="4" t="str">
        <v/>
      </c>
    </row>
    <row r="40466" spans="5:9" ht="16.5" hidden="1">
      <c r="E40466" s="4" t="str">
        <v/>
      </c>
      <c r="F40466" s="102" t="str">
        <f ca="1">IFERROR(__xludf.DUMMYFUNCTION("IMPORTRANGE(H40466,""IDENTITAS UNIT!D9"")"),"#N/A")</f>
        <v>#N/A</v>
      </c>
      <c r="H40466" s="4" t="str">
        <v/>
      </c>
      <c r="I40466" s="4" t="str">
        <v/>
      </c>
    </row>
    <row r="40467" spans="5:9" ht="16.5" hidden="1">
      <c r="E40467" s="4" t="str">
        <v/>
      </c>
      <c r="F40467" s="102" t="str">
        <f ca="1">IFERROR(__xludf.DUMMYFUNCTION("IMPORTRANGE(H40467,""IDENTITAS UNIT!D9"")"),"#N/A")</f>
        <v>#N/A</v>
      </c>
      <c r="H40467" s="4" t="str">
        <v/>
      </c>
      <c r="I40467" s="4" t="str">
        <v/>
      </c>
    </row>
    <row r="40468" spans="5:9" ht="16.5" hidden="1">
      <c r="E40468" s="4" t="str">
        <v/>
      </c>
      <c r="F40468" s="102" t="str">
        <f ca="1">IFERROR(__xludf.DUMMYFUNCTION("IMPORTRANGE(H40468,""IDENTITAS UNIT!D9"")"),"#N/A")</f>
        <v>#N/A</v>
      </c>
      <c r="H40468" s="4" t="str">
        <v/>
      </c>
      <c r="I40468" s="4" t="str">
        <v/>
      </c>
    </row>
    <row r="40469" spans="5:9" ht="16.5" hidden="1">
      <c r="E40469" s="4" t="str">
        <v/>
      </c>
      <c r="F40469" s="102" t="str">
        <f ca="1">IFERROR(__xludf.DUMMYFUNCTION("IMPORTRANGE(H40469,""IDENTITAS UNIT!D9"")"),"#N/A")</f>
        <v>#N/A</v>
      </c>
      <c r="H40469" s="4" t="str">
        <v/>
      </c>
      <c r="I40469" s="4" t="str">
        <v/>
      </c>
    </row>
    <row r="40470" spans="5:9" ht="16.5" hidden="1">
      <c r="E40470" s="4" t="str">
        <v/>
      </c>
      <c r="F40470" s="102" t="str">
        <f ca="1">IFERROR(__xludf.DUMMYFUNCTION("IMPORTRANGE(H40470,""IDENTITAS UNIT!D9"")"),"#N/A")</f>
        <v>#N/A</v>
      </c>
      <c r="H40470" s="4" t="str">
        <v/>
      </c>
      <c r="I40470" s="4" t="str">
        <v/>
      </c>
    </row>
    <row r="40471" spans="5:9" ht="16.5" hidden="1">
      <c r="E40471" s="4" t="str">
        <v/>
      </c>
      <c r="F40471" s="102" t="str">
        <f ca="1">IFERROR(__xludf.DUMMYFUNCTION("IMPORTRANGE(H40471,""IDENTITAS UNIT!D9"")"),"#N/A")</f>
        <v>#N/A</v>
      </c>
      <c r="H40471" s="4" t="str">
        <v/>
      </c>
      <c r="I40471" s="4" t="str">
        <v/>
      </c>
    </row>
    <row r="40472" spans="5:9" ht="16.5" hidden="1">
      <c r="E40472" s="4" t="str">
        <v/>
      </c>
      <c r="F40472" s="102" t="str">
        <f ca="1">IFERROR(__xludf.DUMMYFUNCTION("IMPORTRANGE(H40472,""IDENTITAS UNIT!D9"")"),"#N/A")</f>
        <v>#N/A</v>
      </c>
      <c r="H40472" s="4" t="str">
        <v/>
      </c>
      <c r="I40472" s="4" t="str">
        <v/>
      </c>
    </row>
    <row r="40473" spans="5:9" ht="16.5" hidden="1">
      <c r="E40473" s="4" t="str">
        <v/>
      </c>
      <c r="F40473" s="102" t="str">
        <f ca="1">IFERROR(__xludf.DUMMYFUNCTION("IMPORTRANGE(H40473,""IDENTITAS UNIT!D9"")"),"#N/A")</f>
        <v>#N/A</v>
      </c>
      <c r="H40473" s="4" t="str">
        <v/>
      </c>
      <c r="I40473" s="4" t="str">
        <v/>
      </c>
    </row>
    <row r="40474" spans="5:9" ht="16.5" hidden="1">
      <c r="E40474" s="4" t="str">
        <v/>
      </c>
      <c r="F40474" s="102" t="str">
        <f ca="1">IFERROR(__xludf.DUMMYFUNCTION("IMPORTRANGE(H40474,""IDENTITAS UNIT!D9"")"),"#N/A")</f>
        <v>#N/A</v>
      </c>
      <c r="H40474" s="4" t="str">
        <v/>
      </c>
      <c r="I40474" s="4" t="str">
        <v/>
      </c>
    </row>
    <row r="40475" spans="5:9" ht="16.5" hidden="1">
      <c r="E40475" s="4" t="str">
        <v/>
      </c>
      <c r="F40475" s="102" t="str">
        <f ca="1">IFERROR(__xludf.DUMMYFUNCTION("IMPORTRANGE(H40475,""IDENTITAS UNIT!D9"")"),"#N/A")</f>
        <v>#N/A</v>
      </c>
      <c r="H40475" s="4" t="str">
        <v/>
      </c>
      <c r="I40475" s="4" t="str">
        <v/>
      </c>
    </row>
    <row r="40476" spans="5:9" ht="16.5" hidden="1">
      <c r="E40476" s="4" t="str">
        <v/>
      </c>
      <c r="F40476" s="102" t="str">
        <f ca="1">IFERROR(__xludf.DUMMYFUNCTION("IMPORTRANGE(H40476,""IDENTITAS UNIT!D9"")"),"#N/A")</f>
        <v>#N/A</v>
      </c>
      <c r="H40476" s="4" t="str">
        <v/>
      </c>
      <c r="I40476" s="4" t="str">
        <v/>
      </c>
    </row>
    <row r="40477" spans="5:9" ht="16.5" hidden="1">
      <c r="E40477" s="4" t="str">
        <v/>
      </c>
      <c r="F40477" s="102" t="str">
        <f ca="1">IFERROR(__xludf.DUMMYFUNCTION("IMPORTRANGE(H40477,""IDENTITAS UNIT!D9"")"),"#N/A")</f>
        <v>#N/A</v>
      </c>
      <c r="H40477" s="4" t="str">
        <v/>
      </c>
      <c r="I40477" s="4" t="str">
        <v/>
      </c>
    </row>
    <row r="40478" spans="5:9" ht="16.5" hidden="1">
      <c r="E40478" s="4" t="str">
        <v/>
      </c>
      <c r="F40478" s="102" t="str">
        <f ca="1">IFERROR(__xludf.DUMMYFUNCTION("IMPORTRANGE(H40478,""IDENTITAS UNIT!D9"")"),"#N/A")</f>
        <v>#N/A</v>
      </c>
      <c r="H40478" s="4" t="str">
        <v/>
      </c>
      <c r="I40478" s="4" t="str">
        <v/>
      </c>
    </row>
    <row r="40479" spans="5:9" ht="16.5" hidden="1">
      <c r="E40479" s="4" t="str">
        <v/>
      </c>
      <c r="F40479" s="102" t="str">
        <f ca="1">IFERROR(__xludf.DUMMYFUNCTION("IMPORTRANGE(H40479,""IDENTITAS UNIT!D9"")"),"#N/A")</f>
        <v>#N/A</v>
      </c>
      <c r="H40479" s="4" t="str">
        <v/>
      </c>
      <c r="I40479" s="4" t="str">
        <v/>
      </c>
    </row>
    <row r="40480" spans="5:9" ht="16.5" hidden="1">
      <c r="E40480" s="4" t="str">
        <v/>
      </c>
      <c r="F40480" s="102" t="str">
        <f ca="1">IFERROR(__xludf.DUMMYFUNCTION("IMPORTRANGE(H40480,""IDENTITAS UNIT!D9"")"),"#N/A")</f>
        <v>#N/A</v>
      </c>
      <c r="H40480" s="4" t="str">
        <v/>
      </c>
      <c r="I40480" s="4" t="str">
        <v/>
      </c>
    </row>
    <row r="40481" spans="5:9" ht="16.5" hidden="1">
      <c r="E40481" s="4" t="str">
        <v/>
      </c>
      <c r="F40481" s="102" t="str">
        <f ca="1">IFERROR(__xludf.DUMMYFUNCTION("IMPORTRANGE(H40481,""IDENTITAS UNIT!D9"")"),"#N/A")</f>
        <v>#N/A</v>
      </c>
      <c r="H40481" s="4" t="str">
        <v/>
      </c>
      <c r="I40481" s="4" t="str">
        <v/>
      </c>
    </row>
    <row r="40482" spans="5:9" ht="16.5" hidden="1">
      <c r="E40482" s="4" t="str">
        <v/>
      </c>
      <c r="F40482" s="102" t="str">
        <f ca="1">IFERROR(__xludf.DUMMYFUNCTION("IMPORTRANGE(H40482,""IDENTITAS UNIT!D9"")"),"#N/A")</f>
        <v>#N/A</v>
      </c>
      <c r="H40482" s="4" t="str">
        <v/>
      </c>
      <c r="I40482" s="4" t="str">
        <v/>
      </c>
    </row>
    <row r="40483" spans="5:9" ht="16.5" hidden="1">
      <c r="E40483" s="4" t="str">
        <v/>
      </c>
      <c r="F40483" s="102" t="str">
        <f ca="1">IFERROR(__xludf.DUMMYFUNCTION("IMPORTRANGE(H40483,""IDENTITAS UNIT!D9"")"),"#N/A")</f>
        <v>#N/A</v>
      </c>
      <c r="H40483" s="4" t="str">
        <v/>
      </c>
      <c r="I40483" s="4" t="str">
        <v/>
      </c>
    </row>
    <row r="40484" spans="5:9" ht="16.5" hidden="1">
      <c r="E40484" s="4" t="str">
        <v/>
      </c>
      <c r="F40484" s="102" t="str">
        <f ca="1">IFERROR(__xludf.DUMMYFUNCTION("IMPORTRANGE(H40484,""IDENTITAS UNIT!D9"")"),"#N/A")</f>
        <v>#N/A</v>
      </c>
      <c r="H40484" s="4" t="str">
        <v/>
      </c>
      <c r="I40484" s="4" t="str">
        <v/>
      </c>
    </row>
    <row r="40485" spans="5:9" ht="16.5" hidden="1">
      <c r="E40485" s="4" t="str">
        <v/>
      </c>
      <c r="F40485" s="102" t="str">
        <f ca="1">IFERROR(__xludf.DUMMYFUNCTION("IMPORTRANGE(H40485,""IDENTITAS UNIT!D9"")"),"#N/A")</f>
        <v>#N/A</v>
      </c>
      <c r="H40485" s="4" t="str">
        <v/>
      </c>
      <c r="I40485" s="4" t="str">
        <v/>
      </c>
    </row>
    <row r="40486" spans="5:9" ht="16.5" hidden="1">
      <c r="E40486" s="4" t="str">
        <v/>
      </c>
      <c r="F40486" s="102" t="str">
        <f ca="1">IFERROR(__xludf.DUMMYFUNCTION("IMPORTRANGE(H40486,""IDENTITAS UNIT!D9"")"),"#N/A")</f>
        <v>#N/A</v>
      </c>
      <c r="H40486" s="4" t="str">
        <v/>
      </c>
      <c r="I40486" s="4" t="str">
        <v/>
      </c>
    </row>
    <row r="40487" spans="5:9" ht="16.5" hidden="1">
      <c r="E40487" s="4" t="str">
        <v/>
      </c>
      <c r="F40487" s="102" t="str">
        <f ca="1">IFERROR(__xludf.DUMMYFUNCTION("IMPORTRANGE(H40487,""IDENTITAS UNIT!D9"")"),"#N/A")</f>
        <v>#N/A</v>
      </c>
      <c r="H40487" s="4" t="str">
        <v/>
      </c>
      <c r="I40487" s="4" t="str">
        <v/>
      </c>
    </row>
    <row r="40488" spans="5:9" ht="16.5" hidden="1">
      <c r="E40488" s="4" t="str">
        <v/>
      </c>
      <c r="F40488" s="102" t="str">
        <f ca="1">IFERROR(__xludf.DUMMYFUNCTION("IMPORTRANGE(H40488,""IDENTITAS UNIT!D9"")"),"#N/A")</f>
        <v>#N/A</v>
      </c>
      <c r="H40488" s="4" t="str">
        <v/>
      </c>
      <c r="I40488" s="4" t="str">
        <v/>
      </c>
    </row>
    <row r="40489" spans="5:9" ht="16.5" hidden="1">
      <c r="E40489" s="4" t="str">
        <v/>
      </c>
      <c r="F40489" s="102" t="str">
        <f ca="1">IFERROR(__xludf.DUMMYFUNCTION("IMPORTRANGE(H40489,""IDENTITAS UNIT!D9"")"),"#N/A")</f>
        <v>#N/A</v>
      </c>
      <c r="H40489" s="4" t="str">
        <v/>
      </c>
      <c r="I40489" s="4" t="str">
        <v/>
      </c>
    </row>
    <row r="40490" spans="5:9" ht="16.5" hidden="1">
      <c r="E40490" s="4" t="str">
        <v/>
      </c>
      <c r="F40490" s="102" t="str">
        <f ca="1">IFERROR(__xludf.DUMMYFUNCTION("IMPORTRANGE(H40490,""IDENTITAS UNIT!D9"")"),"#N/A")</f>
        <v>#N/A</v>
      </c>
      <c r="H40490" s="4" t="str">
        <v/>
      </c>
      <c r="I40490" s="4" t="str">
        <v/>
      </c>
    </row>
    <row r="40491" spans="5:9" ht="16.5" hidden="1">
      <c r="E40491" s="4" t="str">
        <v/>
      </c>
      <c r="F40491" s="102" t="str">
        <f ca="1">IFERROR(__xludf.DUMMYFUNCTION("IMPORTRANGE(H40491,""IDENTITAS UNIT!D9"")"),"#N/A")</f>
        <v>#N/A</v>
      </c>
      <c r="H40491" s="4" t="str">
        <v/>
      </c>
      <c r="I40491" s="4" t="str">
        <v/>
      </c>
    </row>
    <row r="40492" spans="5:9" ht="16.5" hidden="1">
      <c r="E40492" s="4" t="str">
        <v/>
      </c>
      <c r="F40492" s="102" t="str">
        <f ca="1">IFERROR(__xludf.DUMMYFUNCTION("IMPORTRANGE(H40492,""IDENTITAS UNIT!D9"")"),"#N/A")</f>
        <v>#N/A</v>
      </c>
      <c r="H40492" s="4" t="str">
        <v/>
      </c>
      <c r="I40492" s="4" t="str">
        <v/>
      </c>
    </row>
    <row r="40493" spans="5:9" ht="16.5" hidden="1">
      <c r="E40493" s="4" t="str">
        <v/>
      </c>
      <c r="F40493" s="102" t="str">
        <f ca="1">IFERROR(__xludf.DUMMYFUNCTION("IMPORTRANGE(H40493,""IDENTITAS UNIT!D9"")"),"#N/A")</f>
        <v>#N/A</v>
      </c>
      <c r="H40493" s="4" t="str">
        <v/>
      </c>
      <c r="I40493" s="4" t="str">
        <v/>
      </c>
    </row>
    <row r="40494" spans="5:9" ht="16.5" hidden="1">
      <c r="E40494" s="4" t="str">
        <v/>
      </c>
      <c r="F40494" s="102" t="str">
        <f ca="1">IFERROR(__xludf.DUMMYFUNCTION("IMPORTRANGE(H40494,""IDENTITAS UNIT!D9"")"),"#N/A")</f>
        <v>#N/A</v>
      </c>
      <c r="H40494" s="4" t="str">
        <v/>
      </c>
      <c r="I40494" s="4" t="str">
        <v/>
      </c>
    </row>
    <row r="40495" spans="5:9" ht="16.5" hidden="1">
      <c r="E40495" s="4" t="str">
        <v/>
      </c>
      <c r="F40495" s="102" t="str">
        <f ca="1">IFERROR(__xludf.DUMMYFUNCTION("IMPORTRANGE(H40495,""IDENTITAS UNIT!D9"")"),"#N/A")</f>
        <v>#N/A</v>
      </c>
      <c r="H40495" s="4" t="str">
        <v/>
      </c>
      <c r="I40495" s="4" t="str">
        <v/>
      </c>
    </row>
    <row r="40496" spans="5:9" ht="16.5" hidden="1">
      <c r="E40496" s="4" t="str">
        <v/>
      </c>
      <c r="F40496" s="102" t="str">
        <f ca="1">IFERROR(__xludf.DUMMYFUNCTION("IMPORTRANGE(H40496,""IDENTITAS UNIT!D9"")"),"#N/A")</f>
        <v>#N/A</v>
      </c>
      <c r="H40496" s="4" t="str">
        <v/>
      </c>
      <c r="I40496" s="4" t="str">
        <v/>
      </c>
    </row>
    <row r="40497" spans="5:9" ht="16.5" hidden="1">
      <c r="E40497" s="4" t="str">
        <v/>
      </c>
      <c r="F40497" s="102" t="str">
        <f ca="1">IFERROR(__xludf.DUMMYFUNCTION("IMPORTRANGE(H40497,""IDENTITAS UNIT!D9"")"),"#N/A")</f>
        <v>#N/A</v>
      </c>
      <c r="H40497" s="4" t="str">
        <v/>
      </c>
      <c r="I40497" s="4" t="str">
        <v/>
      </c>
    </row>
    <row r="40498" spans="5:9" ht="16.5" hidden="1">
      <c r="E40498" s="4" t="str">
        <v/>
      </c>
      <c r="F40498" s="102" t="str">
        <f ca="1">IFERROR(__xludf.DUMMYFUNCTION("IMPORTRANGE(H40498,""IDENTITAS UNIT!D9"")"),"#N/A")</f>
        <v>#N/A</v>
      </c>
      <c r="H40498" s="4" t="str">
        <v/>
      </c>
      <c r="I40498" s="4" t="str">
        <v/>
      </c>
    </row>
    <row r="40499" spans="5:9" ht="16.5" hidden="1">
      <c r="E40499" s="4" t="str">
        <v/>
      </c>
      <c r="F40499" s="102" t="str">
        <f ca="1">IFERROR(__xludf.DUMMYFUNCTION("IMPORTRANGE(H40499,""IDENTITAS UNIT!D9"")"),"#N/A")</f>
        <v>#N/A</v>
      </c>
      <c r="H40499" s="4" t="str">
        <v/>
      </c>
      <c r="I40499" s="4" t="str">
        <v/>
      </c>
    </row>
    <row r="40500" spans="5:9" ht="16.5" hidden="1">
      <c r="E40500" s="4" t="str">
        <v/>
      </c>
      <c r="F40500" s="102" t="str">
        <f ca="1">IFERROR(__xludf.DUMMYFUNCTION("IMPORTRANGE(H40500,""IDENTITAS UNIT!D9"")"),"#N/A")</f>
        <v>#N/A</v>
      </c>
      <c r="H40500" s="4" t="str">
        <v/>
      </c>
      <c r="I40500" s="4" t="str">
        <v/>
      </c>
    </row>
    <row r="40501" spans="5:9" ht="16.5" hidden="1">
      <c r="E40501" s="4" t="str">
        <v/>
      </c>
      <c r="F40501" s="102" t="str">
        <f ca="1">IFERROR(__xludf.DUMMYFUNCTION("IMPORTRANGE(H40501,""IDENTITAS UNIT!D9"")"),"#N/A")</f>
        <v>#N/A</v>
      </c>
      <c r="H40501" s="4" t="str">
        <v/>
      </c>
      <c r="I40501" s="4" t="str">
        <v/>
      </c>
    </row>
    <row r="40502" spans="5:9" ht="16.5" hidden="1">
      <c r="E40502" s="4" t="str">
        <v/>
      </c>
      <c r="F40502" s="102" t="str">
        <f ca="1">IFERROR(__xludf.DUMMYFUNCTION("IMPORTRANGE(H40502,""IDENTITAS UNIT!D9"")"),"#N/A")</f>
        <v>#N/A</v>
      </c>
      <c r="H40502" s="4" t="str">
        <v/>
      </c>
      <c r="I40502" s="4" t="str">
        <v/>
      </c>
    </row>
    <row r="40503" spans="5:9" ht="16.5" hidden="1">
      <c r="E40503" s="4" t="str">
        <v/>
      </c>
      <c r="F40503" s="102" t="str">
        <f ca="1">IFERROR(__xludf.DUMMYFUNCTION("IMPORTRANGE(H40503,""IDENTITAS UNIT!D9"")"),"#N/A")</f>
        <v>#N/A</v>
      </c>
      <c r="H40503" s="4" t="str">
        <v/>
      </c>
      <c r="I40503" s="4" t="str">
        <v/>
      </c>
    </row>
    <row r="40504" spans="5:9" ht="16.5" hidden="1">
      <c r="E40504" s="4" t="str">
        <v/>
      </c>
      <c r="F40504" s="102" t="str">
        <f ca="1">IFERROR(__xludf.DUMMYFUNCTION("IMPORTRANGE(H40504,""IDENTITAS UNIT!D9"")"),"#N/A")</f>
        <v>#N/A</v>
      </c>
      <c r="H40504" s="4" t="str">
        <v/>
      </c>
      <c r="I40504" s="4" t="str">
        <v/>
      </c>
    </row>
    <row r="40505" spans="5:9" ht="16.5" hidden="1">
      <c r="E40505" s="4" t="str">
        <v/>
      </c>
      <c r="F40505" s="102" t="str">
        <f ca="1">IFERROR(__xludf.DUMMYFUNCTION("IMPORTRANGE(H40505,""IDENTITAS UNIT!D9"")"),"#N/A")</f>
        <v>#N/A</v>
      </c>
      <c r="H40505" s="4" t="str">
        <v/>
      </c>
      <c r="I40505" s="4" t="str">
        <v/>
      </c>
    </row>
    <row r="40506" spans="5:9" ht="16.5" hidden="1">
      <c r="E40506" s="4" t="str">
        <v/>
      </c>
      <c r="F40506" s="102" t="str">
        <f ca="1">IFERROR(__xludf.DUMMYFUNCTION("IMPORTRANGE(H40506,""IDENTITAS UNIT!D9"")"),"#N/A")</f>
        <v>#N/A</v>
      </c>
      <c r="H40506" s="4" t="str">
        <v/>
      </c>
      <c r="I40506" s="4" t="str">
        <v/>
      </c>
    </row>
    <row r="40507" spans="5:9" ht="16.5" hidden="1">
      <c r="E40507" s="4" t="str">
        <v/>
      </c>
      <c r="F40507" s="102" t="str">
        <f ca="1">IFERROR(__xludf.DUMMYFUNCTION("IMPORTRANGE(H40507,""IDENTITAS UNIT!D9"")"),"#N/A")</f>
        <v>#N/A</v>
      </c>
      <c r="H40507" s="4" t="str">
        <v/>
      </c>
      <c r="I40507" s="4" t="str">
        <v/>
      </c>
    </row>
    <row r="40508" spans="5:9" ht="16.5" hidden="1">
      <c r="E40508" s="4" t="str">
        <v/>
      </c>
      <c r="F40508" s="102" t="str">
        <f ca="1">IFERROR(__xludf.DUMMYFUNCTION("IMPORTRANGE(H40508,""IDENTITAS UNIT!D9"")"),"#N/A")</f>
        <v>#N/A</v>
      </c>
      <c r="H40508" s="4" t="str">
        <v/>
      </c>
      <c r="I40508" s="4" t="str">
        <v/>
      </c>
    </row>
    <row r="40509" spans="5:9" ht="16.5" hidden="1">
      <c r="E40509" s="4" t="str">
        <v/>
      </c>
      <c r="F40509" s="102" t="str">
        <f ca="1">IFERROR(__xludf.DUMMYFUNCTION("IMPORTRANGE(H40509,""IDENTITAS UNIT!D9"")"),"#N/A")</f>
        <v>#N/A</v>
      </c>
      <c r="H40509" s="4" t="str">
        <v/>
      </c>
      <c r="I40509" s="4" t="str">
        <v/>
      </c>
    </row>
    <row r="40510" spans="5:9" ht="16.5" hidden="1">
      <c r="E40510" s="4" t="str">
        <v/>
      </c>
      <c r="F40510" s="102" t="str">
        <f ca="1">IFERROR(__xludf.DUMMYFUNCTION("IMPORTRANGE(H40510,""IDENTITAS UNIT!D9"")"),"#N/A")</f>
        <v>#N/A</v>
      </c>
      <c r="H40510" s="4" t="str">
        <v/>
      </c>
      <c r="I40510" s="4" t="str">
        <v/>
      </c>
    </row>
    <row r="40511" spans="5:9" ht="16.5" hidden="1">
      <c r="E40511" s="4" t="str">
        <v/>
      </c>
      <c r="F40511" s="102" t="str">
        <f ca="1">IFERROR(__xludf.DUMMYFUNCTION("IMPORTRANGE(H40511,""IDENTITAS UNIT!D9"")"),"#N/A")</f>
        <v>#N/A</v>
      </c>
      <c r="H40511" s="4" t="str">
        <v/>
      </c>
      <c r="I40511" s="4" t="str">
        <v/>
      </c>
    </row>
    <row r="40512" spans="5:9" ht="16.5" hidden="1">
      <c r="E40512" s="4" t="str">
        <v/>
      </c>
      <c r="F40512" s="102" t="str">
        <f ca="1">IFERROR(__xludf.DUMMYFUNCTION("IMPORTRANGE(H40512,""IDENTITAS UNIT!D9"")"),"#N/A")</f>
        <v>#N/A</v>
      </c>
      <c r="H40512" s="4" t="str">
        <v/>
      </c>
      <c r="I40512" s="4" t="str">
        <v/>
      </c>
    </row>
    <row r="40513" spans="5:9" ht="16.5" hidden="1">
      <c r="E40513" s="4" t="str">
        <v/>
      </c>
      <c r="F40513" s="102" t="str">
        <f ca="1">IFERROR(__xludf.DUMMYFUNCTION("IMPORTRANGE(H40513,""IDENTITAS UNIT!D9"")"),"#N/A")</f>
        <v>#N/A</v>
      </c>
      <c r="H40513" s="4" t="str">
        <v/>
      </c>
      <c r="I40513" s="4" t="str">
        <v/>
      </c>
    </row>
    <row r="40514" spans="5:9" ht="16.5" hidden="1">
      <c r="E40514" s="4" t="str">
        <v/>
      </c>
      <c r="F40514" s="102" t="str">
        <f ca="1">IFERROR(__xludf.DUMMYFUNCTION("IMPORTRANGE(H40514,""IDENTITAS UNIT!D9"")"),"#N/A")</f>
        <v>#N/A</v>
      </c>
      <c r="H40514" s="4" t="str">
        <v/>
      </c>
      <c r="I40514" s="4" t="str">
        <v/>
      </c>
    </row>
    <row r="40515" spans="5:9" ht="16.5" hidden="1">
      <c r="E40515" s="4" t="str">
        <v/>
      </c>
      <c r="F40515" s="102" t="str">
        <f ca="1">IFERROR(__xludf.DUMMYFUNCTION("IMPORTRANGE(H40515,""IDENTITAS UNIT!D9"")"),"#N/A")</f>
        <v>#N/A</v>
      </c>
      <c r="H40515" s="4" t="str">
        <v/>
      </c>
      <c r="I40515" s="4" t="str">
        <v/>
      </c>
    </row>
    <row r="40516" spans="5:9" ht="16.5" hidden="1">
      <c r="E40516" s="4" t="str">
        <v/>
      </c>
      <c r="F40516" s="102" t="str">
        <f ca="1">IFERROR(__xludf.DUMMYFUNCTION("IMPORTRANGE(H40516,""IDENTITAS UNIT!D9"")"),"#N/A")</f>
        <v>#N/A</v>
      </c>
      <c r="H40516" s="4" t="str">
        <v/>
      </c>
      <c r="I40516" s="4" t="str">
        <v/>
      </c>
    </row>
    <row r="40517" spans="5:9" ht="16.5" hidden="1">
      <c r="E40517" s="4" t="str">
        <v/>
      </c>
      <c r="F40517" s="102" t="str">
        <f ca="1">IFERROR(__xludf.DUMMYFUNCTION("IMPORTRANGE(H40517,""IDENTITAS UNIT!D9"")"),"#N/A")</f>
        <v>#N/A</v>
      </c>
      <c r="H40517" s="4" t="str">
        <v/>
      </c>
      <c r="I40517" s="4" t="str">
        <v/>
      </c>
    </row>
    <row r="40518" spans="5:9" ht="16.5" hidden="1">
      <c r="E40518" s="4" t="str">
        <v/>
      </c>
      <c r="F40518" s="102" t="str">
        <f ca="1">IFERROR(__xludf.DUMMYFUNCTION("IMPORTRANGE(H40518,""IDENTITAS UNIT!D9"")"),"#N/A")</f>
        <v>#N/A</v>
      </c>
      <c r="H40518" s="4" t="str">
        <v/>
      </c>
      <c r="I40518" s="4" t="str">
        <v/>
      </c>
    </row>
    <row r="40519" spans="5:9" ht="16.5" hidden="1">
      <c r="E40519" s="4" t="str">
        <v/>
      </c>
      <c r="F40519" s="102" t="str">
        <f ca="1">IFERROR(__xludf.DUMMYFUNCTION("IMPORTRANGE(H40519,""IDENTITAS UNIT!D9"")"),"#N/A")</f>
        <v>#N/A</v>
      </c>
      <c r="H40519" s="4" t="str">
        <v/>
      </c>
      <c r="I40519" s="4" t="str">
        <v/>
      </c>
    </row>
    <row r="40520" spans="5:9" ht="16.5" hidden="1">
      <c r="E40520" s="4" t="str">
        <v/>
      </c>
      <c r="F40520" s="102" t="str">
        <f ca="1">IFERROR(__xludf.DUMMYFUNCTION("IMPORTRANGE(H40520,""IDENTITAS UNIT!D9"")"),"#N/A")</f>
        <v>#N/A</v>
      </c>
      <c r="H40520" s="4" t="str">
        <v/>
      </c>
      <c r="I40520" s="4" t="str">
        <v/>
      </c>
    </row>
    <row r="40521" spans="5:9" ht="16.5" hidden="1">
      <c r="E40521" s="4" t="str">
        <v/>
      </c>
      <c r="F40521" s="102" t="str">
        <f ca="1">IFERROR(__xludf.DUMMYFUNCTION("IMPORTRANGE(H40521,""IDENTITAS UNIT!D9"")"),"#N/A")</f>
        <v>#N/A</v>
      </c>
      <c r="H40521" s="4" t="str">
        <v/>
      </c>
      <c r="I40521" s="4" t="str">
        <v/>
      </c>
    </row>
    <row r="40522" spans="5:9" ht="16.5" hidden="1">
      <c r="E40522" s="4" t="str">
        <v/>
      </c>
      <c r="F40522" s="102" t="str">
        <f ca="1">IFERROR(__xludf.DUMMYFUNCTION("IMPORTRANGE(H40522,""IDENTITAS UNIT!D9"")"),"#N/A")</f>
        <v>#N/A</v>
      </c>
      <c r="H40522" s="4" t="str">
        <v/>
      </c>
      <c r="I40522" s="4" t="str">
        <v/>
      </c>
    </row>
    <row r="40523" spans="5:9" ht="16.5" hidden="1">
      <c r="E40523" s="4" t="str">
        <v/>
      </c>
      <c r="F40523" s="102" t="str">
        <f ca="1">IFERROR(__xludf.DUMMYFUNCTION("IMPORTRANGE(H40523,""IDENTITAS UNIT!D9"")"),"#N/A")</f>
        <v>#N/A</v>
      </c>
      <c r="H40523" s="4" t="str">
        <v/>
      </c>
      <c r="I40523" s="4" t="str">
        <v/>
      </c>
    </row>
    <row r="40524" spans="5:9" ht="16.5" hidden="1">
      <c r="E40524" s="4" t="str">
        <v/>
      </c>
      <c r="F40524" s="102" t="str">
        <f ca="1">IFERROR(__xludf.DUMMYFUNCTION("IMPORTRANGE(H40524,""IDENTITAS UNIT!D9"")"),"#N/A")</f>
        <v>#N/A</v>
      </c>
      <c r="H40524" s="4" t="str">
        <v/>
      </c>
      <c r="I40524" s="4" t="str">
        <v/>
      </c>
    </row>
    <row r="40525" spans="5:9" ht="16.5" hidden="1">
      <c r="E40525" s="4" t="str">
        <v/>
      </c>
      <c r="F40525" s="102" t="str">
        <f ca="1">IFERROR(__xludf.DUMMYFUNCTION("IMPORTRANGE(H40525,""IDENTITAS UNIT!D9"")"),"#N/A")</f>
        <v>#N/A</v>
      </c>
      <c r="H40525" s="4" t="str">
        <v/>
      </c>
      <c r="I40525" s="4" t="str">
        <v/>
      </c>
    </row>
    <row r="40526" spans="5:9" ht="16.5" hidden="1">
      <c r="E40526" s="4" t="str">
        <v/>
      </c>
      <c r="F40526" s="102" t="str">
        <f ca="1">IFERROR(__xludf.DUMMYFUNCTION("IMPORTRANGE(H40526,""IDENTITAS UNIT!D9"")"),"#N/A")</f>
        <v>#N/A</v>
      </c>
      <c r="H40526" s="4" t="str">
        <v/>
      </c>
      <c r="I40526" s="4" t="str">
        <v/>
      </c>
    </row>
    <row r="40527" spans="5:9" ht="16.5" hidden="1">
      <c r="E40527" s="4" t="str">
        <v/>
      </c>
      <c r="F40527" s="102" t="str">
        <f ca="1">IFERROR(__xludf.DUMMYFUNCTION("IMPORTRANGE(H40527,""IDENTITAS UNIT!D9"")"),"#N/A")</f>
        <v>#N/A</v>
      </c>
      <c r="H40527" s="4" t="str">
        <v/>
      </c>
      <c r="I40527" s="4" t="str">
        <v/>
      </c>
    </row>
    <row r="40528" spans="5:9" ht="16.5" hidden="1">
      <c r="E40528" s="4" t="str">
        <v/>
      </c>
      <c r="F40528" s="102" t="str">
        <f ca="1">IFERROR(__xludf.DUMMYFUNCTION("IMPORTRANGE(H40528,""IDENTITAS UNIT!D9"")"),"#N/A")</f>
        <v>#N/A</v>
      </c>
      <c r="H40528" s="4" t="str">
        <v/>
      </c>
      <c r="I40528" s="4" t="str">
        <v/>
      </c>
    </row>
    <row r="40529" spans="5:9" ht="16.5" hidden="1">
      <c r="E40529" s="4" t="str">
        <v/>
      </c>
      <c r="F40529" s="102" t="str">
        <f ca="1">IFERROR(__xludf.DUMMYFUNCTION("IMPORTRANGE(H40529,""IDENTITAS UNIT!D9"")"),"#N/A")</f>
        <v>#N/A</v>
      </c>
      <c r="H40529" s="4" t="str">
        <v/>
      </c>
      <c r="I40529" s="4" t="str">
        <v/>
      </c>
    </row>
    <row r="40530" spans="5:9" ht="16.5" hidden="1">
      <c r="E40530" s="4" t="str">
        <v/>
      </c>
      <c r="F40530" s="102" t="str">
        <f ca="1">IFERROR(__xludf.DUMMYFUNCTION("IMPORTRANGE(H40530,""IDENTITAS UNIT!D9"")"),"#N/A")</f>
        <v>#N/A</v>
      </c>
      <c r="H40530" s="4" t="str">
        <v/>
      </c>
      <c r="I40530" s="4" t="str">
        <v/>
      </c>
    </row>
    <row r="40531" spans="5:9" ht="16.5" hidden="1">
      <c r="E40531" s="4" t="str">
        <v/>
      </c>
      <c r="F40531" s="102" t="str">
        <f ca="1">IFERROR(__xludf.DUMMYFUNCTION("IMPORTRANGE(H40531,""IDENTITAS UNIT!D9"")"),"#N/A")</f>
        <v>#N/A</v>
      </c>
      <c r="H40531" s="4" t="str">
        <v/>
      </c>
      <c r="I40531" s="4" t="str">
        <v/>
      </c>
    </row>
    <row r="40532" spans="5:9" ht="16.5" hidden="1">
      <c r="E40532" s="4" t="str">
        <v/>
      </c>
      <c r="F40532" s="102" t="str">
        <f ca="1">IFERROR(__xludf.DUMMYFUNCTION("IMPORTRANGE(H40532,""IDENTITAS UNIT!D9"")"),"#N/A")</f>
        <v>#N/A</v>
      </c>
      <c r="H40532" s="4" t="str">
        <v/>
      </c>
      <c r="I40532" s="4" t="str">
        <v/>
      </c>
    </row>
    <row r="40533" spans="5:9" ht="16.5" hidden="1">
      <c r="E40533" s="4" t="str">
        <v/>
      </c>
      <c r="F40533" s="102" t="str">
        <f ca="1">IFERROR(__xludf.DUMMYFUNCTION("IMPORTRANGE(H40533,""IDENTITAS UNIT!D9"")"),"#N/A")</f>
        <v>#N/A</v>
      </c>
      <c r="H40533" s="4" t="str">
        <v/>
      </c>
      <c r="I40533" s="4" t="str">
        <v/>
      </c>
    </row>
    <row r="40534" spans="5:9" ht="16.5" hidden="1">
      <c r="E40534" s="4" t="str">
        <v/>
      </c>
      <c r="F40534" s="102" t="str">
        <f ca="1">IFERROR(__xludf.DUMMYFUNCTION("IMPORTRANGE(H40534,""IDENTITAS UNIT!D9"")"),"#N/A")</f>
        <v>#N/A</v>
      </c>
      <c r="H40534" s="4" t="str">
        <v/>
      </c>
      <c r="I40534" s="4" t="str">
        <v/>
      </c>
    </row>
    <row r="40535" spans="5:9" ht="16.5" hidden="1">
      <c r="E40535" s="4" t="str">
        <v/>
      </c>
      <c r="F40535" s="102" t="str">
        <f ca="1">IFERROR(__xludf.DUMMYFUNCTION("IMPORTRANGE(H40535,""IDENTITAS UNIT!D9"")"),"#N/A")</f>
        <v>#N/A</v>
      </c>
      <c r="H40535" s="4" t="str">
        <v/>
      </c>
      <c r="I40535" s="4" t="str">
        <v/>
      </c>
    </row>
    <row r="40536" spans="5:9" ht="16.5" hidden="1">
      <c r="E40536" s="4" t="str">
        <v/>
      </c>
      <c r="F40536" s="102" t="str">
        <f ca="1">IFERROR(__xludf.DUMMYFUNCTION("IMPORTRANGE(H40536,""IDENTITAS UNIT!D9"")"),"#N/A")</f>
        <v>#N/A</v>
      </c>
      <c r="H40536" s="4" t="str">
        <v/>
      </c>
      <c r="I40536" s="4" t="str">
        <v/>
      </c>
    </row>
    <row r="40537" spans="5:9" ht="16.5" hidden="1">
      <c r="E40537" s="4" t="str">
        <v/>
      </c>
      <c r="F40537" s="102" t="str">
        <f ca="1">IFERROR(__xludf.DUMMYFUNCTION("IMPORTRANGE(H40537,""IDENTITAS UNIT!D9"")"),"#N/A")</f>
        <v>#N/A</v>
      </c>
      <c r="H40537" s="4" t="str">
        <v/>
      </c>
      <c r="I40537" s="4" t="str">
        <v/>
      </c>
    </row>
    <row r="40538" spans="5:9" ht="16.5" hidden="1">
      <c r="E40538" s="4" t="str">
        <v/>
      </c>
      <c r="F40538" s="102" t="str">
        <f ca="1">IFERROR(__xludf.DUMMYFUNCTION("IMPORTRANGE(H40538,""IDENTITAS UNIT!D9"")"),"#N/A")</f>
        <v>#N/A</v>
      </c>
      <c r="H40538" s="4" t="str">
        <v/>
      </c>
      <c r="I40538" s="4" t="str">
        <v/>
      </c>
    </row>
    <row r="40539" spans="5:9" ht="16.5" hidden="1">
      <c r="E40539" s="4" t="str">
        <v/>
      </c>
      <c r="F40539" s="102" t="str">
        <f ca="1">IFERROR(__xludf.DUMMYFUNCTION("IMPORTRANGE(H40539,""IDENTITAS UNIT!D9"")"),"#N/A")</f>
        <v>#N/A</v>
      </c>
      <c r="H40539" s="4" t="str">
        <v/>
      </c>
      <c r="I40539" s="4" t="str">
        <v/>
      </c>
    </row>
    <row r="40540" spans="5:9" ht="16.5" hidden="1">
      <c r="E40540" s="4" t="str">
        <v/>
      </c>
      <c r="F40540" s="102" t="str">
        <f ca="1">IFERROR(__xludf.DUMMYFUNCTION("IMPORTRANGE(H40540,""IDENTITAS UNIT!D9"")"),"#N/A")</f>
        <v>#N/A</v>
      </c>
      <c r="H40540" s="4" t="str">
        <v/>
      </c>
      <c r="I40540" s="4" t="str">
        <v/>
      </c>
    </row>
    <row r="40541" spans="5:9" ht="16.5" hidden="1">
      <c r="E40541" s="4" t="str">
        <v/>
      </c>
      <c r="F40541" s="102" t="str">
        <f ca="1">IFERROR(__xludf.DUMMYFUNCTION("IMPORTRANGE(H40541,""IDENTITAS UNIT!D9"")"),"#N/A")</f>
        <v>#N/A</v>
      </c>
      <c r="H40541" s="4" t="str">
        <v/>
      </c>
      <c r="I40541" s="4" t="str">
        <v/>
      </c>
    </row>
    <row r="40542" spans="5:9" ht="16.5" hidden="1">
      <c r="E40542" s="4" t="str">
        <v/>
      </c>
      <c r="F40542" s="102" t="str">
        <f ca="1">IFERROR(__xludf.DUMMYFUNCTION("IMPORTRANGE(H40542,""IDENTITAS UNIT!D9"")"),"#N/A")</f>
        <v>#N/A</v>
      </c>
      <c r="H40542" s="4" t="str">
        <v/>
      </c>
      <c r="I40542" s="4" t="str">
        <v/>
      </c>
    </row>
    <row r="40543" spans="5:9" ht="16.5" hidden="1">
      <c r="E40543" s="4" t="str">
        <v/>
      </c>
      <c r="F40543" s="102" t="str">
        <f ca="1">IFERROR(__xludf.DUMMYFUNCTION("IMPORTRANGE(H40543,""IDENTITAS UNIT!D9"")"),"#N/A")</f>
        <v>#N/A</v>
      </c>
      <c r="H40543" s="4" t="str">
        <v/>
      </c>
      <c r="I40543" s="4" t="str">
        <v/>
      </c>
    </row>
    <row r="40544" spans="5:9" ht="16.5" hidden="1">
      <c r="E40544" s="4" t="str">
        <v/>
      </c>
      <c r="F40544" s="102" t="str">
        <f ca="1">IFERROR(__xludf.DUMMYFUNCTION("IMPORTRANGE(H40544,""IDENTITAS UNIT!D9"")"),"#N/A")</f>
        <v>#N/A</v>
      </c>
      <c r="H40544" s="4" t="str">
        <v/>
      </c>
      <c r="I40544" s="4" t="str">
        <v/>
      </c>
    </row>
    <row r="40545" spans="5:9" ht="16.5" hidden="1">
      <c r="E40545" s="4" t="str">
        <v/>
      </c>
      <c r="F40545" s="102" t="str">
        <f ca="1">IFERROR(__xludf.DUMMYFUNCTION("IMPORTRANGE(H40545,""IDENTITAS UNIT!D9"")"),"#N/A")</f>
        <v>#N/A</v>
      </c>
      <c r="H40545" s="4" t="str">
        <v/>
      </c>
      <c r="I40545" s="4" t="str">
        <v/>
      </c>
    </row>
    <row r="40546" spans="5:9" ht="16.5" hidden="1">
      <c r="E40546" s="4" t="str">
        <v/>
      </c>
      <c r="F40546" s="102" t="str">
        <f ca="1">IFERROR(__xludf.DUMMYFUNCTION("IMPORTRANGE(H40546,""IDENTITAS UNIT!D9"")"),"#N/A")</f>
        <v>#N/A</v>
      </c>
      <c r="H40546" s="4" t="str">
        <v/>
      </c>
      <c r="I40546" s="4" t="str">
        <v/>
      </c>
    </row>
    <row r="40547" spans="5:9" ht="16.5" hidden="1">
      <c r="E40547" s="4" t="str">
        <v/>
      </c>
      <c r="F40547" s="102" t="str">
        <f ca="1">IFERROR(__xludf.DUMMYFUNCTION("IMPORTRANGE(H40547,""IDENTITAS UNIT!D9"")"),"#N/A")</f>
        <v>#N/A</v>
      </c>
      <c r="H40547" s="4" t="str">
        <v/>
      </c>
      <c r="I40547" s="4" t="str">
        <v/>
      </c>
    </row>
    <row r="40548" spans="5:9" ht="16.5" hidden="1">
      <c r="E40548" s="4" t="str">
        <v/>
      </c>
      <c r="F40548" s="102" t="str">
        <f ca="1">IFERROR(__xludf.DUMMYFUNCTION("IMPORTRANGE(H40548,""IDENTITAS UNIT!D9"")"),"#N/A")</f>
        <v>#N/A</v>
      </c>
      <c r="H40548" s="4" t="str">
        <v/>
      </c>
      <c r="I40548" s="4" t="str">
        <v/>
      </c>
    </row>
    <row r="40549" spans="5:9" ht="16.5" hidden="1">
      <c r="E40549" s="4" t="str">
        <v/>
      </c>
      <c r="F40549" s="102" t="str">
        <f ca="1">IFERROR(__xludf.DUMMYFUNCTION("IMPORTRANGE(H40549,""IDENTITAS UNIT!D9"")"),"#N/A")</f>
        <v>#N/A</v>
      </c>
      <c r="H40549" s="4" t="str">
        <v/>
      </c>
      <c r="I40549" s="4" t="str">
        <v/>
      </c>
    </row>
    <row r="40550" spans="5:9" ht="16.5" hidden="1">
      <c r="E40550" s="4" t="str">
        <v/>
      </c>
      <c r="F40550" s="102" t="str">
        <f ca="1">IFERROR(__xludf.DUMMYFUNCTION("IMPORTRANGE(H40550,""IDENTITAS UNIT!D9"")"),"#N/A")</f>
        <v>#N/A</v>
      </c>
      <c r="H40550" s="4" t="str">
        <v/>
      </c>
      <c r="I40550" s="4" t="str">
        <v/>
      </c>
    </row>
    <row r="40551" spans="5:9" ht="16.5" hidden="1">
      <c r="E40551" s="4" t="str">
        <v/>
      </c>
      <c r="F40551" s="102" t="str">
        <f ca="1">IFERROR(__xludf.DUMMYFUNCTION("IMPORTRANGE(H40551,""IDENTITAS UNIT!D9"")"),"#N/A")</f>
        <v>#N/A</v>
      </c>
      <c r="H40551" s="4" t="str">
        <v/>
      </c>
      <c r="I40551" s="4" t="str">
        <v/>
      </c>
    </row>
    <row r="40552" spans="5:9" ht="16.5" hidden="1">
      <c r="E40552" s="4" t="str">
        <v/>
      </c>
      <c r="F40552" s="102" t="str">
        <f ca="1">IFERROR(__xludf.DUMMYFUNCTION("IMPORTRANGE(H40552,""IDENTITAS UNIT!D9"")"),"#N/A")</f>
        <v>#N/A</v>
      </c>
      <c r="H40552" s="4" t="str">
        <v/>
      </c>
      <c r="I40552" s="4" t="str">
        <v/>
      </c>
    </row>
    <row r="40553" spans="5:9" ht="16.5" hidden="1">
      <c r="E40553" s="4" t="str">
        <v/>
      </c>
      <c r="F40553" s="102" t="str">
        <f ca="1">IFERROR(__xludf.DUMMYFUNCTION("IMPORTRANGE(H40553,""IDENTITAS UNIT!D9"")"),"#N/A")</f>
        <v>#N/A</v>
      </c>
      <c r="H40553" s="4" t="str">
        <v/>
      </c>
      <c r="I40553" s="4" t="str">
        <v/>
      </c>
    </row>
    <row r="40554" spans="5:9" ht="16.5" hidden="1">
      <c r="E40554" s="4" t="str">
        <v/>
      </c>
      <c r="F40554" s="102" t="str">
        <f ca="1">IFERROR(__xludf.DUMMYFUNCTION("IMPORTRANGE(H40554,""IDENTITAS UNIT!D9"")"),"#N/A")</f>
        <v>#N/A</v>
      </c>
      <c r="H40554" s="4" t="str">
        <v/>
      </c>
      <c r="I40554" s="4" t="str">
        <v/>
      </c>
    </row>
    <row r="40555" spans="5:9" ht="16.5" hidden="1">
      <c r="E40555" s="4" t="str">
        <v/>
      </c>
      <c r="F40555" s="102" t="str">
        <f ca="1">IFERROR(__xludf.DUMMYFUNCTION("IMPORTRANGE(H40555,""IDENTITAS UNIT!D9"")"),"#N/A")</f>
        <v>#N/A</v>
      </c>
      <c r="H40555" s="4" t="str">
        <v/>
      </c>
      <c r="I40555" s="4" t="str">
        <v/>
      </c>
    </row>
    <row r="40556" spans="5:9" ht="16.5" hidden="1">
      <c r="E40556" s="4" t="str">
        <v/>
      </c>
      <c r="F40556" s="102" t="str">
        <f ca="1">IFERROR(__xludf.DUMMYFUNCTION("IMPORTRANGE(H40556,""IDENTITAS UNIT!D9"")"),"#N/A")</f>
        <v>#N/A</v>
      </c>
      <c r="H40556" s="4" t="str">
        <v/>
      </c>
      <c r="I40556" s="4" t="str">
        <v/>
      </c>
    </row>
    <row r="40557" spans="5:9" ht="16.5" hidden="1">
      <c r="E40557" s="4" t="str">
        <v/>
      </c>
      <c r="F40557" s="102" t="str">
        <f ca="1">IFERROR(__xludf.DUMMYFUNCTION("IMPORTRANGE(H40557,""IDENTITAS UNIT!D9"")"),"#N/A")</f>
        <v>#N/A</v>
      </c>
      <c r="H40557" s="4" t="str">
        <v/>
      </c>
      <c r="I40557" s="4" t="str">
        <v/>
      </c>
    </row>
    <row r="40558" spans="5:9" ht="16.5" hidden="1">
      <c r="E40558" s="4" t="str">
        <v/>
      </c>
      <c r="F40558" s="102" t="str">
        <f ca="1">IFERROR(__xludf.DUMMYFUNCTION("IMPORTRANGE(H40558,""IDENTITAS UNIT!D9"")"),"#N/A")</f>
        <v>#N/A</v>
      </c>
      <c r="H40558" s="4" t="str">
        <v/>
      </c>
      <c r="I40558" s="4" t="str">
        <v/>
      </c>
    </row>
    <row r="40559" spans="5:9" ht="16.5" hidden="1">
      <c r="E40559" s="4" t="str">
        <v/>
      </c>
      <c r="F40559" s="102" t="str">
        <f ca="1">IFERROR(__xludf.DUMMYFUNCTION("IMPORTRANGE(H40559,""IDENTITAS UNIT!D9"")"),"#N/A")</f>
        <v>#N/A</v>
      </c>
      <c r="H40559" s="4" t="str">
        <v/>
      </c>
      <c r="I40559" s="4" t="str">
        <v/>
      </c>
    </row>
    <row r="40560" spans="5:9" ht="16.5" hidden="1">
      <c r="E40560" s="4" t="str">
        <v/>
      </c>
      <c r="F40560" s="102" t="str">
        <f ca="1">IFERROR(__xludf.DUMMYFUNCTION("IMPORTRANGE(H40560,""IDENTITAS UNIT!D9"")"),"#N/A")</f>
        <v>#N/A</v>
      </c>
      <c r="H40560" s="4" t="str">
        <v/>
      </c>
      <c r="I40560" s="4" t="str">
        <v/>
      </c>
    </row>
    <row r="40561" spans="5:9" ht="16.5" hidden="1">
      <c r="E40561" s="4" t="str">
        <v/>
      </c>
      <c r="F40561" s="102" t="str">
        <f ca="1">IFERROR(__xludf.DUMMYFUNCTION("IMPORTRANGE(H40561,""IDENTITAS UNIT!D9"")"),"#N/A")</f>
        <v>#N/A</v>
      </c>
      <c r="H40561" s="4" t="str">
        <v/>
      </c>
      <c r="I40561" s="4" t="str">
        <v/>
      </c>
    </row>
    <row r="40562" spans="5:9" ht="16.5" hidden="1">
      <c r="E40562" s="4" t="str">
        <v/>
      </c>
      <c r="F40562" s="102" t="str">
        <f ca="1">IFERROR(__xludf.DUMMYFUNCTION("IMPORTRANGE(H40562,""IDENTITAS UNIT!D9"")"),"#N/A")</f>
        <v>#N/A</v>
      </c>
      <c r="H40562" s="4" t="str">
        <v/>
      </c>
      <c r="I40562" s="4" t="str">
        <v/>
      </c>
    </row>
    <row r="40563" spans="5:9" ht="16.5" hidden="1">
      <c r="E40563" s="4" t="str">
        <v/>
      </c>
      <c r="F40563" s="102" t="str">
        <f ca="1">IFERROR(__xludf.DUMMYFUNCTION("IMPORTRANGE(H40563,""IDENTITAS UNIT!D9"")"),"#N/A")</f>
        <v>#N/A</v>
      </c>
      <c r="H40563" s="4" t="str">
        <v/>
      </c>
      <c r="I40563" s="4" t="str">
        <v/>
      </c>
    </row>
    <row r="40564" spans="5:9" ht="16.5" hidden="1">
      <c r="E40564" s="4" t="str">
        <v/>
      </c>
      <c r="F40564" s="102" t="str">
        <f ca="1">IFERROR(__xludf.DUMMYFUNCTION("IMPORTRANGE(H40564,""IDENTITAS UNIT!D9"")"),"#N/A")</f>
        <v>#N/A</v>
      </c>
      <c r="H40564" s="4" t="str">
        <v/>
      </c>
      <c r="I40564" s="4" t="str">
        <v/>
      </c>
    </row>
    <row r="40565" spans="5:9" ht="16.5" hidden="1">
      <c r="E40565" s="4" t="str">
        <v/>
      </c>
      <c r="F40565" s="102" t="str">
        <f ca="1">IFERROR(__xludf.DUMMYFUNCTION("IMPORTRANGE(H40565,""IDENTITAS UNIT!D9"")"),"#N/A")</f>
        <v>#N/A</v>
      </c>
      <c r="H40565" s="4" t="str">
        <v/>
      </c>
      <c r="I40565" s="4" t="str">
        <v/>
      </c>
    </row>
    <row r="40566" spans="5:9" ht="16.5" hidden="1">
      <c r="E40566" s="4" t="str">
        <v/>
      </c>
      <c r="F40566" s="102" t="str">
        <f ca="1">IFERROR(__xludf.DUMMYFUNCTION("IMPORTRANGE(H40566,""IDENTITAS UNIT!D9"")"),"#N/A")</f>
        <v>#N/A</v>
      </c>
      <c r="H40566" s="4" t="str">
        <v/>
      </c>
      <c r="I40566" s="4" t="str">
        <v/>
      </c>
    </row>
    <row r="40567" spans="5:9" ht="16.5" hidden="1">
      <c r="E40567" s="4" t="str">
        <v/>
      </c>
      <c r="F40567" s="102" t="str">
        <f ca="1">IFERROR(__xludf.DUMMYFUNCTION("IMPORTRANGE(H40567,""IDENTITAS UNIT!D9"")"),"#N/A")</f>
        <v>#N/A</v>
      </c>
      <c r="H40567" s="4" t="str">
        <v/>
      </c>
      <c r="I40567" s="4" t="str">
        <v/>
      </c>
    </row>
    <row r="40568" spans="5:9" ht="16.5" hidden="1">
      <c r="E40568" s="4" t="str">
        <v/>
      </c>
      <c r="F40568" s="102" t="str">
        <f ca="1">IFERROR(__xludf.DUMMYFUNCTION("IMPORTRANGE(H40568,""IDENTITAS UNIT!D9"")"),"#N/A")</f>
        <v>#N/A</v>
      </c>
      <c r="H40568" s="4" t="str">
        <v/>
      </c>
      <c r="I40568" s="4" t="str">
        <v/>
      </c>
    </row>
    <row r="40569" spans="5:9" ht="16.5" hidden="1">
      <c r="E40569" s="4" t="str">
        <v/>
      </c>
      <c r="F40569" s="102" t="str">
        <f ca="1">IFERROR(__xludf.DUMMYFUNCTION("IMPORTRANGE(H40569,""IDENTITAS UNIT!D9"")"),"#N/A")</f>
        <v>#N/A</v>
      </c>
      <c r="H40569" s="4" t="str">
        <v/>
      </c>
      <c r="I40569" s="4" t="str">
        <v/>
      </c>
    </row>
    <row r="40570" spans="5:9" ht="16.5" hidden="1">
      <c r="E40570" s="4" t="str">
        <v/>
      </c>
      <c r="F40570" s="102" t="str">
        <f ca="1">IFERROR(__xludf.DUMMYFUNCTION("IMPORTRANGE(H40570,""IDENTITAS UNIT!D9"")"),"#N/A")</f>
        <v>#N/A</v>
      </c>
      <c r="H40570" s="4" t="str">
        <v/>
      </c>
      <c r="I40570" s="4" t="str">
        <v/>
      </c>
    </row>
    <row r="40571" spans="5:9" ht="16.5" hidden="1">
      <c r="E40571" s="4" t="str">
        <v/>
      </c>
      <c r="F40571" s="102" t="str">
        <f ca="1">IFERROR(__xludf.DUMMYFUNCTION("IMPORTRANGE(H40571,""IDENTITAS UNIT!D9"")"),"#N/A")</f>
        <v>#N/A</v>
      </c>
      <c r="H40571" s="4" t="str">
        <v/>
      </c>
      <c r="I40571" s="4" t="str">
        <v/>
      </c>
    </row>
    <row r="40572" spans="5:9" ht="16.5" hidden="1">
      <c r="E40572" s="4" t="str">
        <v/>
      </c>
      <c r="F40572" s="102" t="str">
        <f ca="1">IFERROR(__xludf.DUMMYFUNCTION("IMPORTRANGE(H40572,""IDENTITAS UNIT!D9"")"),"#N/A")</f>
        <v>#N/A</v>
      </c>
      <c r="H40572" s="4" t="str">
        <v/>
      </c>
      <c r="I40572" s="4" t="str">
        <v/>
      </c>
    </row>
    <row r="40573" spans="5:9" ht="16.5" hidden="1">
      <c r="E40573" s="4" t="str">
        <v/>
      </c>
      <c r="F40573" s="102" t="str">
        <f ca="1">IFERROR(__xludf.DUMMYFUNCTION("IMPORTRANGE(H40573,""IDENTITAS UNIT!D9"")"),"#N/A")</f>
        <v>#N/A</v>
      </c>
      <c r="H40573" s="4" t="str">
        <v/>
      </c>
      <c r="I40573" s="4" t="str">
        <v/>
      </c>
    </row>
    <row r="40574" spans="5:9" ht="16.5" hidden="1">
      <c r="E40574" s="4" t="str">
        <v/>
      </c>
      <c r="F40574" s="102" t="str">
        <f ca="1">IFERROR(__xludf.DUMMYFUNCTION("IMPORTRANGE(H40574,""IDENTITAS UNIT!D9"")"),"#N/A")</f>
        <v>#N/A</v>
      </c>
      <c r="H40574" s="4" t="str">
        <v/>
      </c>
      <c r="I40574" s="4" t="str">
        <v/>
      </c>
    </row>
    <row r="40575" spans="5:9" ht="16.5" hidden="1">
      <c r="E40575" s="4" t="str">
        <v/>
      </c>
      <c r="F40575" s="102" t="str">
        <f ca="1">IFERROR(__xludf.DUMMYFUNCTION("IMPORTRANGE(H40575,""IDENTITAS UNIT!D9"")"),"#N/A")</f>
        <v>#N/A</v>
      </c>
      <c r="H40575" s="4" t="str">
        <v/>
      </c>
      <c r="I40575" s="4" t="str">
        <v/>
      </c>
    </row>
    <row r="40576" spans="5:9" ht="16.5" hidden="1">
      <c r="E40576" s="4" t="str">
        <v/>
      </c>
      <c r="F40576" s="102" t="str">
        <f ca="1">IFERROR(__xludf.DUMMYFUNCTION("IMPORTRANGE(H40576,""IDENTITAS UNIT!D9"")"),"#N/A")</f>
        <v>#N/A</v>
      </c>
      <c r="H40576" s="4" t="str">
        <v/>
      </c>
      <c r="I40576" s="4" t="str">
        <v/>
      </c>
    </row>
    <row r="40577" spans="5:9" ht="16.5">
      <c r="E40577" s="4" t="str">
        <v/>
      </c>
      <c r="F40577" s="102"/>
      <c r="H40577" s="4" t="str">
        <v/>
      </c>
      <c r="I40577" s="4" t="str">
        <v/>
      </c>
    </row>
    <row r="40578" spans="5:9" ht="16.5">
      <c r="E40578" s="4" t="str">
        <v/>
      </c>
      <c r="F40578" s="102"/>
      <c r="H40578" s="4" t="str">
        <v/>
      </c>
      <c r="I40578" s="4" t="str">
        <v/>
      </c>
    </row>
    <row r="40579" spans="5:9" ht="16.5">
      <c r="E40579" s="4" t="str">
        <v/>
      </c>
      <c r="F40579" s="102"/>
      <c r="H40579" s="4" t="str">
        <v/>
      </c>
      <c r="I40579" s="4" t="str">
        <v/>
      </c>
    </row>
    <row r="40580" spans="5:9" ht="16.5">
      <c r="E40580" s="4" t="str">
        <v/>
      </c>
      <c r="F40580" s="102"/>
      <c r="H40580" s="4" t="str">
        <v/>
      </c>
      <c r="I40580" s="4" t="str">
        <v/>
      </c>
    </row>
    <row r="40581" spans="5:9" ht="16.5">
      <c r="E40581" s="4" t="str">
        <v/>
      </c>
      <c r="F40581" s="102"/>
      <c r="H40581" s="4" t="str">
        <v/>
      </c>
      <c r="I40581" s="4" t="str">
        <v/>
      </c>
    </row>
    <row r="40582" spans="5:9" ht="16.5">
      <c r="E40582" s="4" t="str">
        <v/>
      </c>
      <c r="F40582" s="102"/>
      <c r="H40582" s="4" t="str">
        <v/>
      </c>
      <c r="I40582" s="4" t="str">
        <v/>
      </c>
    </row>
    <row r="40583" spans="5:9" ht="16.5">
      <c r="E40583" s="4" t="str">
        <v/>
      </c>
      <c r="F40583" s="102"/>
      <c r="H40583" s="4" t="str">
        <v/>
      </c>
      <c r="I40583" s="4" t="str">
        <v/>
      </c>
    </row>
    <row r="40584" spans="5:9" ht="16.5">
      <c r="E40584" s="4" t="str">
        <v/>
      </c>
      <c r="F40584" s="102"/>
      <c r="H40584" s="4" t="str">
        <v/>
      </c>
      <c r="I40584" s="4" t="str">
        <v/>
      </c>
    </row>
    <row r="40585" spans="5:9" ht="16.5">
      <c r="E40585" s="4" t="str">
        <v/>
      </c>
      <c r="F40585" s="102"/>
      <c r="H40585" s="4" t="str">
        <v/>
      </c>
      <c r="I40585" s="4" t="str">
        <v/>
      </c>
    </row>
    <row r="40586" spans="5:9" ht="16.5">
      <c r="E40586" s="4" t="str">
        <v/>
      </c>
      <c r="F40586" s="102"/>
      <c r="H40586" s="4" t="str">
        <v/>
      </c>
      <c r="I40586" s="4" t="str">
        <v/>
      </c>
    </row>
    <row r="40587" spans="5:9" ht="16.5">
      <c r="E40587" s="4" t="str">
        <v/>
      </c>
      <c r="F40587" s="102"/>
      <c r="H40587" s="4" t="str">
        <v/>
      </c>
      <c r="I40587" s="4" t="str">
        <v/>
      </c>
    </row>
    <row r="40588" spans="5:9" ht="16.5">
      <c r="E40588" s="4" t="str">
        <v/>
      </c>
      <c r="F40588" s="102"/>
      <c r="H40588" s="4" t="str">
        <v/>
      </c>
      <c r="I40588" s="4" t="str">
        <v/>
      </c>
    </row>
    <row r="40589" spans="5:9" ht="16.5">
      <c r="E40589" s="4" t="str">
        <v/>
      </c>
      <c r="F40589" s="102"/>
      <c r="H40589" s="4" t="str">
        <v/>
      </c>
      <c r="I40589" s="4" t="str">
        <v/>
      </c>
    </row>
    <row r="40590" spans="5:9" ht="16.5">
      <c r="E40590" s="4" t="str">
        <v/>
      </c>
      <c r="F40590" s="102"/>
      <c r="H40590" s="4" t="str">
        <v/>
      </c>
      <c r="I40590" s="4" t="str">
        <v/>
      </c>
    </row>
    <row r="40591" spans="5:9" ht="16.5">
      <c r="E40591" s="4" t="str">
        <v/>
      </c>
      <c r="F40591" s="102"/>
      <c r="H40591" s="4" t="str">
        <v/>
      </c>
      <c r="I40591" s="4" t="str">
        <v/>
      </c>
    </row>
    <row r="40592" spans="5:9" ht="16.5">
      <c r="E40592" s="4" t="str">
        <v/>
      </c>
      <c r="F40592" s="102"/>
      <c r="H40592" s="4" t="str">
        <v/>
      </c>
      <c r="I40592" s="4" t="str">
        <v/>
      </c>
    </row>
    <row r="40593" spans="5:9" ht="16.5">
      <c r="E40593" s="4" t="str">
        <v/>
      </c>
      <c r="F40593" s="102"/>
      <c r="H40593" s="4" t="str">
        <v/>
      </c>
      <c r="I40593" s="4" t="str">
        <v/>
      </c>
    </row>
    <row r="40594" spans="5:9" ht="16.5">
      <c r="E40594" s="4" t="str">
        <v/>
      </c>
      <c r="F40594" s="102"/>
      <c r="H40594" s="4" t="str">
        <v/>
      </c>
      <c r="I40594" s="4" t="str">
        <v/>
      </c>
    </row>
    <row r="40595" spans="5:9" ht="16.5">
      <c r="E40595" s="4" t="str">
        <v/>
      </c>
      <c r="F40595" s="102"/>
      <c r="H40595" s="4" t="str">
        <v/>
      </c>
      <c r="I40595" s="4" t="str">
        <v/>
      </c>
    </row>
    <row r="40596" spans="5:9" ht="16.5">
      <c r="E40596" s="4" t="str">
        <v/>
      </c>
      <c r="F40596" s="102"/>
      <c r="H40596" s="4" t="str">
        <v/>
      </c>
      <c r="I40596" s="4" t="str">
        <v/>
      </c>
    </row>
    <row r="40597" spans="5:9" ht="16.5">
      <c r="E40597" s="4" t="str">
        <v/>
      </c>
      <c r="F40597" s="102"/>
      <c r="H40597" s="4" t="str">
        <v/>
      </c>
      <c r="I40597" s="4" t="str">
        <v/>
      </c>
    </row>
    <row r="40598" spans="5:9" ht="16.5">
      <c r="E40598" s="4" t="str">
        <v/>
      </c>
      <c r="F40598" s="102"/>
      <c r="H40598" s="4" t="str">
        <v/>
      </c>
      <c r="I40598" s="4" t="str">
        <v/>
      </c>
    </row>
    <row r="40599" spans="5:9" ht="16.5">
      <c r="E40599" s="4" t="str">
        <v/>
      </c>
      <c r="F40599" s="102"/>
      <c r="H40599" s="4" t="str">
        <v/>
      </c>
      <c r="I40599" s="4" t="str">
        <v/>
      </c>
    </row>
    <row r="40600" spans="5:9" ht="16.5">
      <c r="E40600" s="4" t="str">
        <v/>
      </c>
      <c r="F40600" s="102"/>
      <c r="H40600" s="4" t="str">
        <v/>
      </c>
      <c r="I40600" s="4" t="str">
        <v/>
      </c>
    </row>
    <row r="40601" spans="5:9" ht="16.5">
      <c r="E40601" s="4" t="str">
        <v/>
      </c>
      <c r="F40601" s="102"/>
      <c r="H40601" s="4" t="str">
        <v/>
      </c>
      <c r="I40601" s="4" t="str">
        <v/>
      </c>
    </row>
    <row r="40602" spans="5:9" ht="16.5">
      <c r="E40602" s="4" t="str">
        <v/>
      </c>
      <c r="F40602" s="102"/>
      <c r="H40602" s="4" t="str">
        <v/>
      </c>
      <c r="I40602" s="4" t="str">
        <v/>
      </c>
    </row>
    <row r="40603" spans="5:9" ht="16.5">
      <c r="E40603" s="4" t="str">
        <v/>
      </c>
      <c r="F40603" s="102"/>
      <c r="H40603" s="4" t="str">
        <v/>
      </c>
      <c r="I40603" s="4" t="str">
        <v/>
      </c>
    </row>
    <row r="40604" spans="5:9" ht="16.5">
      <c r="E40604" s="4" t="str">
        <v/>
      </c>
      <c r="F40604" s="102"/>
      <c r="H40604" s="4" t="str">
        <v/>
      </c>
      <c r="I40604" s="4" t="str">
        <v/>
      </c>
    </row>
    <row r="40605" spans="5:9" ht="16.5">
      <c r="E40605" s="4" t="str">
        <v/>
      </c>
      <c r="F40605" s="102"/>
      <c r="H40605" s="4" t="str">
        <v/>
      </c>
      <c r="I40605" s="4" t="str">
        <v/>
      </c>
    </row>
    <row r="40606" spans="5:9" ht="16.5">
      <c r="E40606" s="4" t="str">
        <v/>
      </c>
      <c r="F40606" s="102"/>
      <c r="H40606" s="4" t="str">
        <v/>
      </c>
      <c r="I40606" s="4" t="str">
        <v/>
      </c>
    </row>
    <row r="40607" spans="5:9" ht="16.5">
      <c r="E40607" s="4" t="str">
        <v/>
      </c>
      <c r="F40607" s="102"/>
      <c r="H40607" s="4" t="str">
        <v/>
      </c>
      <c r="I40607" s="4" t="str">
        <v/>
      </c>
    </row>
    <row r="40608" spans="5:9" ht="16.5">
      <c r="E40608" s="4" t="str">
        <v/>
      </c>
      <c r="F40608" s="102"/>
      <c r="H40608" s="4" t="str">
        <v/>
      </c>
      <c r="I40608" s="4" t="str">
        <v/>
      </c>
    </row>
    <row r="40609" spans="5:9" ht="16.5">
      <c r="E40609" s="4" t="str">
        <v/>
      </c>
      <c r="F40609" s="102"/>
      <c r="H40609" s="4" t="str">
        <v/>
      </c>
      <c r="I40609" s="4" t="str">
        <v/>
      </c>
    </row>
    <row r="40610" spans="5:9" ht="16.5">
      <c r="E40610" s="4" t="str">
        <v/>
      </c>
      <c r="F40610" s="102"/>
      <c r="H40610" s="4" t="str">
        <v/>
      </c>
      <c r="I40610" s="4" t="str">
        <v/>
      </c>
    </row>
    <row r="40611" spans="5:9" ht="16.5">
      <c r="E40611" s="4" t="str">
        <v/>
      </c>
      <c r="F40611" s="102"/>
      <c r="H40611" s="4" t="str">
        <v/>
      </c>
      <c r="I40611" s="4" t="str">
        <v/>
      </c>
    </row>
    <row r="40612" spans="5:9" ht="16.5">
      <c r="E40612" s="4" t="str">
        <v/>
      </c>
      <c r="F40612" s="102"/>
      <c r="H40612" s="4" t="str">
        <v/>
      </c>
      <c r="I40612" s="4" t="str">
        <v/>
      </c>
    </row>
    <row r="40613" spans="5:9" ht="16.5">
      <c r="E40613" s="4" t="str">
        <v/>
      </c>
      <c r="F40613" s="102"/>
      <c r="H40613" s="4" t="str">
        <v/>
      </c>
      <c r="I40613" s="4" t="str">
        <v/>
      </c>
    </row>
    <row r="40614" spans="5:9" ht="16.5">
      <c r="E40614" s="4" t="str">
        <v/>
      </c>
      <c r="F40614" s="102"/>
      <c r="H40614" s="4" t="str">
        <v/>
      </c>
      <c r="I40614" s="4" t="str">
        <v/>
      </c>
    </row>
    <row r="40615" spans="5:9" ht="16.5">
      <c r="E40615" s="4" t="str">
        <v/>
      </c>
      <c r="F40615" s="102"/>
      <c r="H40615" s="4" t="str">
        <v/>
      </c>
      <c r="I40615" s="4" t="str">
        <v/>
      </c>
    </row>
    <row r="40616" spans="5:9" ht="16.5">
      <c r="E40616" s="4" t="str">
        <v/>
      </c>
      <c r="F40616" s="102"/>
      <c r="H40616" s="4" t="str">
        <v/>
      </c>
      <c r="I40616" s="4" t="str">
        <v/>
      </c>
    </row>
    <row r="40617" spans="5:9" ht="16.5">
      <c r="E40617" s="4" t="str">
        <v/>
      </c>
      <c r="F40617" s="102"/>
      <c r="H40617" s="4" t="str">
        <v/>
      </c>
      <c r="I40617" s="4" t="str">
        <v/>
      </c>
    </row>
    <row r="40618" spans="5:9" ht="16.5">
      <c r="E40618" s="4" t="str">
        <v/>
      </c>
      <c r="F40618" s="102"/>
      <c r="H40618" s="4" t="str">
        <v/>
      </c>
      <c r="I40618" s="4" t="str">
        <v/>
      </c>
    </row>
    <row r="40619" spans="5:9" ht="16.5">
      <c r="E40619" s="4" t="str">
        <v/>
      </c>
      <c r="F40619" s="102"/>
      <c r="H40619" s="4" t="str">
        <v/>
      </c>
      <c r="I40619" s="4" t="str">
        <v/>
      </c>
    </row>
    <row r="40620" spans="5:9" ht="16.5">
      <c r="E40620" s="4" t="str">
        <v/>
      </c>
      <c r="F40620" s="102"/>
      <c r="H40620" s="4" t="str">
        <v/>
      </c>
      <c r="I40620" s="4" t="str">
        <v/>
      </c>
    </row>
    <row r="40621" spans="5:9" ht="16.5">
      <c r="E40621" s="4" t="str">
        <v/>
      </c>
      <c r="F40621" s="102"/>
      <c r="H40621" s="4" t="str">
        <v/>
      </c>
      <c r="I40621" s="4" t="str">
        <v/>
      </c>
    </row>
    <row r="40622" spans="5:9" ht="16.5">
      <c r="E40622" s="4" t="str">
        <v/>
      </c>
      <c r="F40622" s="102"/>
      <c r="H40622" s="4" t="str">
        <v/>
      </c>
      <c r="I40622" s="4" t="str">
        <v/>
      </c>
    </row>
    <row r="40623" spans="5:9" ht="16.5">
      <c r="E40623" s="4" t="str">
        <v/>
      </c>
      <c r="F40623" s="102"/>
      <c r="H40623" s="4" t="str">
        <v/>
      </c>
      <c r="I40623" s="4" t="str">
        <v/>
      </c>
    </row>
    <row r="40624" spans="5:9" ht="16.5">
      <c r="E40624" s="4" t="str">
        <v/>
      </c>
      <c r="F40624" s="102"/>
      <c r="H40624" s="4" t="str">
        <v/>
      </c>
      <c r="I40624" s="4" t="str">
        <v/>
      </c>
    </row>
    <row r="40625" spans="5:9" ht="16.5">
      <c r="E40625" s="4" t="str">
        <v/>
      </c>
      <c r="F40625" s="102"/>
      <c r="H40625" s="4" t="str">
        <v/>
      </c>
      <c r="I40625" s="4" t="str">
        <v/>
      </c>
    </row>
    <row r="40626" spans="5:9" ht="16.5">
      <c r="E40626" s="4" t="str">
        <v/>
      </c>
      <c r="F40626" s="102"/>
      <c r="H40626" s="4" t="str">
        <v/>
      </c>
      <c r="I40626" s="4" t="str">
        <v/>
      </c>
    </row>
    <row r="40627" spans="5:9" ht="16.5">
      <c r="E40627" s="4" t="str">
        <v/>
      </c>
      <c r="F40627" s="102"/>
      <c r="H40627" s="4" t="str">
        <v/>
      </c>
      <c r="I40627" s="4" t="str">
        <v/>
      </c>
    </row>
    <row r="40628" spans="5:9" ht="16.5">
      <c r="E40628" s="4" t="str">
        <v/>
      </c>
      <c r="F40628" s="102"/>
      <c r="H40628" s="4" t="str">
        <v/>
      </c>
      <c r="I40628" s="4" t="str">
        <v/>
      </c>
    </row>
    <row r="40629" spans="5:9" ht="16.5">
      <c r="E40629" s="4" t="str">
        <v/>
      </c>
      <c r="F40629" s="102"/>
      <c r="H40629" s="4" t="str">
        <v/>
      </c>
      <c r="I40629" s="4" t="str">
        <v/>
      </c>
    </row>
    <row r="40630" spans="5:9" ht="16.5">
      <c r="E40630" s="4" t="str">
        <v/>
      </c>
      <c r="F40630" s="102"/>
      <c r="H40630" s="4" t="str">
        <v/>
      </c>
      <c r="I40630" s="4" t="str">
        <v/>
      </c>
    </row>
    <row r="40631" spans="5:9" ht="16.5">
      <c r="E40631" s="4" t="str">
        <v/>
      </c>
      <c r="F40631" s="102"/>
      <c r="H40631" s="4" t="str">
        <v/>
      </c>
      <c r="I40631" s="4" t="str">
        <v/>
      </c>
    </row>
    <row r="40632" spans="5:9" ht="16.5">
      <c r="E40632" s="4" t="str">
        <v/>
      </c>
      <c r="F40632" s="102"/>
      <c r="H40632" s="4" t="str">
        <v/>
      </c>
      <c r="I40632" s="4" t="str">
        <v/>
      </c>
    </row>
    <row r="40633" spans="5:9" ht="16.5">
      <c r="E40633" s="4" t="str">
        <v/>
      </c>
      <c r="F40633" s="102"/>
      <c r="H40633" s="4" t="str">
        <v/>
      </c>
      <c r="I40633" s="4" t="str">
        <v/>
      </c>
    </row>
    <row r="40634" spans="5:9" ht="16.5">
      <c r="E40634" s="4" t="str">
        <v/>
      </c>
      <c r="F40634" s="102"/>
      <c r="H40634" s="4" t="str">
        <v/>
      </c>
      <c r="I40634" s="4" t="str">
        <v/>
      </c>
    </row>
    <row r="40635" spans="5:9" ht="16.5">
      <c r="E40635" s="4" t="str">
        <v/>
      </c>
      <c r="F40635" s="102"/>
      <c r="H40635" s="4" t="str">
        <v/>
      </c>
      <c r="I40635" s="4" t="str">
        <v/>
      </c>
    </row>
    <row r="40636" spans="5:9" ht="16.5">
      <c r="E40636" s="4" t="str">
        <v/>
      </c>
      <c r="F40636" s="102"/>
      <c r="H40636" s="4" t="str">
        <v/>
      </c>
      <c r="I40636" s="4" t="str">
        <v/>
      </c>
    </row>
    <row r="40637" spans="5:9" ht="16.5">
      <c r="E40637" s="4" t="str">
        <v/>
      </c>
      <c r="F40637" s="102"/>
      <c r="H40637" s="4" t="str">
        <v/>
      </c>
      <c r="I40637" s="4" t="str">
        <v/>
      </c>
    </row>
    <row r="40638" spans="5:9" ht="16.5">
      <c r="E40638" s="4" t="str">
        <v/>
      </c>
      <c r="F40638" s="102"/>
      <c r="H40638" s="4" t="str">
        <v/>
      </c>
      <c r="I40638" s="4" t="str">
        <v/>
      </c>
    </row>
    <row r="40639" spans="5:9" ht="16.5">
      <c r="E40639" s="4" t="str">
        <v/>
      </c>
      <c r="F40639" s="102"/>
      <c r="H40639" s="4" t="str">
        <v/>
      </c>
      <c r="I40639" s="4" t="str">
        <v/>
      </c>
    </row>
    <row r="40640" spans="5:9" ht="16.5">
      <c r="E40640" s="4" t="str">
        <v/>
      </c>
      <c r="F40640" s="102"/>
      <c r="H40640" s="4" t="str">
        <v/>
      </c>
      <c r="I40640" s="4" t="str">
        <v/>
      </c>
    </row>
    <row r="40641" spans="5:9" ht="16.5">
      <c r="E40641" s="4" t="str">
        <v/>
      </c>
      <c r="F40641" s="102"/>
      <c r="H40641" s="4" t="str">
        <v/>
      </c>
      <c r="I40641" s="4" t="str">
        <v/>
      </c>
    </row>
    <row r="40642" spans="5:9" ht="16.5">
      <c r="E40642" s="4" t="str">
        <v/>
      </c>
      <c r="F40642" s="102"/>
      <c r="H40642" s="4" t="str">
        <v/>
      </c>
      <c r="I40642" s="4" t="str">
        <v/>
      </c>
    </row>
    <row r="40643" spans="5:9" ht="16.5">
      <c r="E40643" s="4" t="str">
        <v/>
      </c>
      <c r="F40643" s="102"/>
      <c r="H40643" s="4" t="str">
        <v/>
      </c>
      <c r="I40643" s="4" t="str">
        <v/>
      </c>
    </row>
    <row r="40644" spans="5:9" ht="16.5">
      <c r="E40644" s="4" t="str">
        <v/>
      </c>
      <c r="F40644" s="102"/>
      <c r="H40644" s="4" t="str">
        <v/>
      </c>
      <c r="I40644" s="4" t="str">
        <v/>
      </c>
    </row>
    <row r="40645" spans="5:9" ht="16.5">
      <c r="E40645" s="4" t="str">
        <v/>
      </c>
      <c r="F40645" s="102"/>
      <c r="H40645" s="4" t="str">
        <v/>
      </c>
      <c r="I40645" s="4" t="str">
        <v/>
      </c>
    </row>
    <row r="40646" spans="5:9" ht="16.5">
      <c r="E40646" s="4" t="str">
        <v/>
      </c>
      <c r="F40646" s="102"/>
      <c r="H40646" s="4" t="str">
        <v/>
      </c>
      <c r="I40646" s="4" t="str">
        <v/>
      </c>
    </row>
    <row r="40647" spans="5:9" ht="16.5">
      <c r="E40647" s="4" t="str">
        <v/>
      </c>
      <c r="F40647" s="102"/>
      <c r="H40647" s="4" t="str">
        <v/>
      </c>
      <c r="I40647" s="4" t="str">
        <v/>
      </c>
    </row>
    <row r="40648" spans="5:9" ht="16.5">
      <c r="E40648" s="4" t="str">
        <v/>
      </c>
      <c r="F40648" s="102"/>
      <c r="H40648" s="4" t="str">
        <v/>
      </c>
      <c r="I40648" s="4" t="str">
        <v/>
      </c>
    </row>
    <row r="40649" spans="5:9" ht="16.5">
      <c r="E40649" s="4" t="str">
        <v/>
      </c>
      <c r="F40649" s="102"/>
      <c r="H40649" s="4" t="str">
        <v/>
      </c>
      <c r="I40649" s="4" t="str">
        <v/>
      </c>
    </row>
    <row r="40650" spans="5:9" ht="16.5">
      <c r="E40650" s="4" t="str">
        <v/>
      </c>
      <c r="F40650" s="102"/>
      <c r="H40650" s="4" t="str">
        <v/>
      </c>
      <c r="I40650" s="4" t="str">
        <v/>
      </c>
    </row>
    <row r="40651" spans="5:9" ht="16.5">
      <c r="E40651" s="4" t="str">
        <v/>
      </c>
      <c r="F40651" s="102"/>
      <c r="H40651" s="4" t="str">
        <v/>
      </c>
      <c r="I40651" s="4" t="str">
        <v/>
      </c>
    </row>
    <row r="40652" spans="5:9" ht="16.5">
      <c r="E40652" s="4" t="str">
        <v/>
      </c>
      <c r="F40652" s="102"/>
      <c r="H40652" s="4" t="str">
        <v/>
      </c>
      <c r="I40652" s="4" t="str">
        <v/>
      </c>
    </row>
    <row r="40653" spans="5:9" ht="16.5">
      <c r="E40653" s="4" t="str">
        <v/>
      </c>
      <c r="F40653" s="102"/>
      <c r="H40653" s="4" t="str">
        <v/>
      </c>
      <c r="I40653" s="4" t="str">
        <v/>
      </c>
    </row>
    <row r="40654" spans="5:9" ht="16.5">
      <c r="E40654" s="4" t="str">
        <v/>
      </c>
      <c r="F40654" s="102"/>
      <c r="H40654" s="4" t="str">
        <v/>
      </c>
      <c r="I40654" s="4" t="str">
        <v/>
      </c>
    </row>
    <row r="40655" spans="5:9" ht="16.5">
      <c r="E40655" s="4" t="str">
        <v/>
      </c>
      <c r="F40655" s="102"/>
      <c r="H40655" s="4" t="str">
        <v/>
      </c>
      <c r="I40655" s="4" t="str">
        <v/>
      </c>
    </row>
    <row r="40656" spans="5:9" ht="16.5">
      <c r="E40656" s="4" t="str">
        <v/>
      </c>
      <c r="F40656" s="102"/>
      <c r="H40656" s="4" t="str">
        <v/>
      </c>
      <c r="I40656" s="4" t="str">
        <v/>
      </c>
    </row>
    <row r="40657" spans="5:9" ht="16.5">
      <c r="E40657" s="4" t="str">
        <v/>
      </c>
      <c r="F40657" s="102"/>
      <c r="H40657" s="4" t="str">
        <v/>
      </c>
      <c r="I40657" s="4" t="str">
        <v/>
      </c>
    </row>
    <row r="40658" spans="5:9" ht="16.5">
      <c r="E40658" s="4" t="str">
        <v/>
      </c>
      <c r="F40658" s="102"/>
      <c r="H40658" s="4" t="str">
        <v/>
      </c>
      <c r="I40658" s="4" t="str">
        <v/>
      </c>
    </row>
    <row r="40659" spans="5:9" ht="16.5">
      <c r="E40659" s="4" t="str">
        <v/>
      </c>
      <c r="F40659" s="102"/>
      <c r="H40659" s="4" t="str">
        <v/>
      </c>
      <c r="I40659" s="4" t="str">
        <v/>
      </c>
    </row>
    <row r="40660" spans="5:9" ht="16.5">
      <c r="E40660" s="4" t="str">
        <v/>
      </c>
      <c r="F40660" s="102"/>
      <c r="H40660" s="4" t="str">
        <v/>
      </c>
      <c r="I40660" s="4" t="str">
        <v/>
      </c>
    </row>
    <row r="40661" spans="5:9" ht="16.5">
      <c r="E40661" s="4" t="str">
        <v/>
      </c>
      <c r="F40661" s="102"/>
      <c r="H40661" s="4" t="str">
        <v/>
      </c>
      <c r="I40661" s="4" t="str">
        <v/>
      </c>
    </row>
    <row r="40662" spans="5:9" ht="16.5">
      <c r="E40662" s="4" t="str">
        <v/>
      </c>
      <c r="F40662" s="102"/>
      <c r="H40662" s="4" t="str">
        <v/>
      </c>
      <c r="I40662" s="4" t="str">
        <v/>
      </c>
    </row>
    <row r="40663" spans="5:9" ht="16.5">
      <c r="E40663" s="4" t="str">
        <v/>
      </c>
      <c r="F40663" s="102"/>
      <c r="H40663" s="4" t="str">
        <v/>
      </c>
      <c r="I40663" s="4" t="str">
        <v/>
      </c>
    </row>
    <row r="40664" spans="5:9" ht="16.5">
      <c r="E40664" s="4" t="str">
        <v/>
      </c>
      <c r="F40664" s="102"/>
      <c r="H40664" s="4" t="str">
        <v/>
      </c>
      <c r="I40664" s="4" t="str">
        <v/>
      </c>
    </row>
    <row r="40665" spans="5:9" ht="16.5">
      <c r="E40665" s="4" t="str">
        <v/>
      </c>
      <c r="F40665" s="102"/>
      <c r="H40665" s="4" t="str">
        <v/>
      </c>
      <c r="I40665" s="4" t="str">
        <v/>
      </c>
    </row>
    <row r="40666" spans="5:9" ht="16.5">
      <c r="E40666" s="4" t="str">
        <v/>
      </c>
      <c r="F40666" s="102"/>
      <c r="H40666" s="4" t="str">
        <v/>
      </c>
      <c r="I40666" s="4" t="str">
        <v/>
      </c>
    </row>
    <row r="40667" spans="5:9" ht="16.5">
      <c r="E40667" s="4" t="str">
        <v/>
      </c>
      <c r="F40667" s="102"/>
      <c r="H40667" s="4" t="str">
        <v/>
      </c>
      <c r="I40667" s="4" t="str">
        <v/>
      </c>
    </row>
    <row r="40668" spans="5:9" ht="16.5">
      <c r="E40668" s="4" t="str">
        <v/>
      </c>
      <c r="F40668" s="102"/>
      <c r="H40668" s="4" t="str">
        <v/>
      </c>
      <c r="I40668" s="4" t="str">
        <v/>
      </c>
    </row>
    <row r="40669" spans="5:9" ht="16.5">
      <c r="E40669" s="4" t="str">
        <v/>
      </c>
      <c r="F40669" s="102"/>
      <c r="H40669" s="4" t="str">
        <v/>
      </c>
      <c r="I40669" s="4" t="str">
        <v/>
      </c>
    </row>
    <row r="40670" spans="5:9" ht="16.5">
      <c r="E40670" s="4" t="str">
        <v/>
      </c>
      <c r="F40670" s="102"/>
      <c r="H40670" s="4" t="str">
        <v/>
      </c>
      <c r="I40670" s="4" t="str">
        <v/>
      </c>
    </row>
    <row r="40671" spans="5:9" ht="16.5">
      <c r="E40671" s="4" t="str">
        <v/>
      </c>
      <c r="F40671" s="102"/>
      <c r="H40671" s="4" t="str">
        <v/>
      </c>
      <c r="I40671" s="4" t="str">
        <v/>
      </c>
    </row>
    <row r="40672" spans="5:9" ht="16.5">
      <c r="E40672" s="4" t="str">
        <v/>
      </c>
      <c r="F40672" s="102"/>
      <c r="H40672" s="4" t="str">
        <v/>
      </c>
      <c r="I40672" s="4" t="str">
        <v/>
      </c>
    </row>
    <row r="40673" spans="5:9" ht="16.5">
      <c r="E40673" s="4" t="str">
        <v/>
      </c>
      <c r="F40673" s="102"/>
      <c r="H40673" s="4" t="str">
        <v/>
      </c>
      <c r="I40673" s="4" t="str">
        <v/>
      </c>
    </row>
    <row r="40674" spans="5:9" ht="16.5">
      <c r="E40674" s="4" t="str">
        <v/>
      </c>
      <c r="F40674" s="102"/>
      <c r="H40674" s="4" t="str">
        <v/>
      </c>
      <c r="I40674" s="4" t="str">
        <v/>
      </c>
    </row>
    <row r="40675" spans="5:9" ht="16.5">
      <c r="E40675" s="4" t="str">
        <v/>
      </c>
      <c r="F40675" s="102"/>
      <c r="H40675" s="4" t="str">
        <v/>
      </c>
      <c r="I40675" s="4" t="str">
        <v/>
      </c>
    </row>
    <row r="40676" spans="5:9" ht="16.5">
      <c r="E40676" s="4" t="str">
        <v/>
      </c>
      <c r="F40676" s="102"/>
      <c r="H40676" s="4" t="str">
        <v/>
      </c>
      <c r="I40676" s="4" t="str">
        <v/>
      </c>
    </row>
    <row r="40677" spans="5:9" ht="16.5">
      <c r="E40677" s="4" t="str">
        <v/>
      </c>
      <c r="F40677" s="102"/>
      <c r="H40677" s="4" t="str">
        <v/>
      </c>
      <c r="I40677" s="4" t="str">
        <v/>
      </c>
    </row>
    <row r="40678" spans="5:9" ht="16.5">
      <c r="E40678" s="4" t="str">
        <v/>
      </c>
      <c r="F40678" s="102"/>
      <c r="H40678" s="4" t="str">
        <v/>
      </c>
      <c r="I40678" s="4" t="str">
        <v/>
      </c>
    </row>
    <row r="40679" spans="5:9" ht="16.5">
      <c r="E40679" s="4" t="str">
        <v/>
      </c>
      <c r="F40679" s="102"/>
      <c r="H40679" s="4" t="str">
        <v/>
      </c>
      <c r="I40679" s="4" t="str">
        <v/>
      </c>
    </row>
    <row r="40680" spans="5:9" ht="16.5">
      <c r="E40680" s="4" t="str">
        <v/>
      </c>
      <c r="F40680" s="102"/>
      <c r="H40680" s="4" t="str">
        <v/>
      </c>
      <c r="I40680" s="4" t="str">
        <v/>
      </c>
    </row>
    <row r="40681" spans="5:9" ht="16.5">
      <c r="E40681" s="4" t="str">
        <v/>
      </c>
      <c r="F40681" s="102"/>
      <c r="H40681" s="4" t="str">
        <v/>
      </c>
      <c r="I40681" s="4" t="str">
        <v/>
      </c>
    </row>
    <row r="40682" spans="5:9" ht="16.5">
      <c r="E40682" s="4" t="str">
        <v/>
      </c>
      <c r="F40682" s="102"/>
      <c r="H40682" s="4" t="str">
        <v/>
      </c>
      <c r="I40682" s="4" t="str">
        <v/>
      </c>
    </row>
    <row r="40683" spans="5:9" ht="16.5">
      <c r="E40683" s="4" t="str">
        <v/>
      </c>
      <c r="F40683" s="102"/>
      <c r="H40683" s="4" t="str">
        <v/>
      </c>
      <c r="I40683" s="4" t="str">
        <v/>
      </c>
    </row>
    <row r="40684" spans="5:9" ht="16.5">
      <c r="E40684" s="4" t="str">
        <v/>
      </c>
      <c r="F40684" s="102"/>
      <c r="H40684" s="4" t="str">
        <v/>
      </c>
      <c r="I40684" s="4" t="str">
        <v/>
      </c>
    </row>
    <row r="40685" spans="5:9" ht="16.5">
      <c r="E40685" s="4" t="str">
        <v/>
      </c>
      <c r="F40685" s="102"/>
      <c r="H40685" s="4" t="str">
        <v/>
      </c>
      <c r="I40685" s="4" t="str">
        <v/>
      </c>
    </row>
    <row r="40686" spans="5:9" ht="16.5">
      <c r="E40686" s="4" t="str">
        <v/>
      </c>
      <c r="F40686" s="102"/>
      <c r="H40686" s="4" t="str">
        <v/>
      </c>
      <c r="I40686" s="4" t="str">
        <v/>
      </c>
    </row>
    <row r="40687" spans="5:9" ht="16.5">
      <c r="E40687" s="4" t="str">
        <v/>
      </c>
      <c r="F40687" s="102"/>
      <c r="H40687" s="4" t="str">
        <v/>
      </c>
      <c r="I40687" s="4" t="str">
        <v/>
      </c>
    </row>
    <row r="40688" spans="5:9" ht="16.5">
      <c r="E40688" s="4" t="str">
        <v/>
      </c>
      <c r="F40688" s="102"/>
      <c r="H40688" s="4" t="str">
        <v/>
      </c>
      <c r="I40688" s="4" t="str">
        <v/>
      </c>
    </row>
    <row r="40689" spans="5:9" ht="16.5">
      <c r="E40689" s="4" t="str">
        <v/>
      </c>
      <c r="F40689" s="102"/>
      <c r="H40689" s="4" t="str">
        <v/>
      </c>
      <c r="I40689" s="4" t="str">
        <v/>
      </c>
    </row>
    <row r="40690" spans="5:9" ht="16.5">
      <c r="E40690" s="4" t="str">
        <v/>
      </c>
      <c r="F40690" s="102"/>
      <c r="H40690" s="4" t="str">
        <v/>
      </c>
      <c r="I40690" s="4" t="str">
        <v/>
      </c>
    </row>
    <row r="40691" spans="5:9" ht="16.5">
      <c r="E40691" s="4" t="str">
        <v/>
      </c>
      <c r="F40691" s="102"/>
      <c r="H40691" s="4" t="str">
        <v/>
      </c>
      <c r="I40691" s="4" t="str">
        <v/>
      </c>
    </row>
    <row r="40692" spans="5:9" ht="16.5">
      <c r="E40692" s="4" t="str">
        <v/>
      </c>
      <c r="F40692" s="102"/>
      <c r="H40692" s="4" t="str">
        <v/>
      </c>
      <c r="I40692" s="4" t="str">
        <v/>
      </c>
    </row>
    <row r="40693" spans="5:9" ht="16.5">
      <c r="E40693" s="4" t="str">
        <v/>
      </c>
      <c r="F40693" s="102"/>
      <c r="H40693" s="4" t="str">
        <v/>
      </c>
      <c r="I40693" s="4" t="str">
        <v/>
      </c>
    </row>
    <row r="40694" spans="5:9" ht="16.5">
      <c r="E40694" s="4" t="str">
        <v/>
      </c>
      <c r="F40694" s="102"/>
      <c r="H40694" s="4" t="str">
        <v/>
      </c>
      <c r="I40694" s="4" t="str">
        <v/>
      </c>
    </row>
    <row r="40695" spans="5:9" ht="16.5">
      <c r="E40695" s="4" t="str">
        <v/>
      </c>
      <c r="F40695" s="102"/>
      <c r="H40695" s="4" t="str">
        <v/>
      </c>
      <c r="I40695" s="4" t="str">
        <v/>
      </c>
    </row>
    <row r="40696" spans="5:9" ht="16.5">
      <c r="E40696" s="4" t="str">
        <v/>
      </c>
      <c r="F40696" s="102"/>
      <c r="H40696" s="4" t="str">
        <v/>
      </c>
      <c r="I40696" s="4" t="str">
        <v/>
      </c>
    </row>
    <row r="40697" spans="5:9" ht="16.5">
      <c r="E40697" s="4" t="str">
        <v/>
      </c>
      <c r="F40697" s="102"/>
      <c r="H40697" s="4" t="str">
        <v/>
      </c>
      <c r="I40697" s="4" t="str">
        <v/>
      </c>
    </row>
    <row r="40698" spans="5:9" ht="16.5">
      <c r="E40698" s="4" t="str">
        <v/>
      </c>
      <c r="F40698" s="102"/>
      <c r="H40698" s="4" t="str">
        <v/>
      </c>
      <c r="I40698" s="4" t="str">
        <v/>
      </c>
    </row>
    <row r="40699" spans="5:9" ht="16.5">
      <c r="E40699" s="4" t="str">
        <v/>
      </c>
      <c r="F40699" s="102"/>
      <c r="H40699" s="4" t="str">
        <v/>
      </c>
      <c r="I40699" s="4" t="str">
        <v/>
      </c>
    </row>
    <row r="40700" spans="5:9" ht="16.5">
      <c r="E40700" s="4" t="str">
        <v/>
      </c>
      <c r="F40700" s="102"/>
      <c r="H40700" s="4" t="str">
        <v/>
      </c>
      <c r="I40700" s="4" t="str">
        <v/>
      </c>
    </row>
    <row r="40701" spans="5:9" ht="16.5">
      <c r="E40701" s="4" t="str">
        <v/>
      </c>
      <c r="F40701" s="102"/>
      <c r="H40701" s="4" t="str">
        <v/>
      </c>
      <c r="I40701" s="4" t="str">
        <v/>
      </c>
    </row>
    <row r="40702" spans="5:9" ht="16.5">
      <c r="E40702" s="4" t="str">
        <v/>
      </c>
      <c r="F40702" s="102"/>
      <c r="H40702" s="4" t="str">
        <v/>
      </c>
      <c r="I40702" s="4" t="str">
        <v/>
      </c>
    </row>
    <row r="40703" spans="5:9" ht="16.5">
      <c r="E40703" s="4" t="str">
        <v/>
      </c>
      <c r="F40703" s="102"/>
      <c r="H40703" s="4" t="str">
        <v/>
      </c>
      <c r="I40703" s="4" t="str">
        <v/>
      </c>
    </row>
    <row r="40704" spans="5:9" ht="16.5">
      <c r="E40704" s="4" t="str">
        <v/>
      </c>
      <c r="F40704" s="102"/>
      <c r="H40704" s="4" t="str">
        <v/>
      </c>
      <c r="I40704" s="4" t="str">
        <v/>
      </c>
    </row>
    <row r="40705" spans="5:9" ht="16.5">
      <c r="E40705" s="4" t="str">
        <v/>
      </c>
      <c r="F40705" s="102"/>
      <c r="H40705" s="4" t="str">
        <v/>
      </c>
      <c r="I40705" s="4" t="str">
        <v/>
      </c>
    </row>
    <row r="40706" spans="5:9" ht="16.5">
      <c r="E40706" s="4" t="str">
        <v/>
      </c>
      <c r="F40706" s="102"/>
      <c r="H40706" s="4" t="str">
        <v/>
      </c>
      <c r="I40706" s="4" t="str">
        <v/>
      </c>
    </row>
    <row r="40707" spans="5:9" ht="16.5">
      <c r="E40707" s="4" t="str">
        <v/>
      </c>
      <c r="F40707" s="102"/>
      <c r="H40707" s="4" t="str">
        <v/>
      </c>
      <c r="I40707" s="4" t="str">
        <v/>
      </c>
    </row>
    <row r="40708" spans="5:9" ht="16.5">
      <c r="E40708" s="4" t="str">
        <v/>
      </c>
      <c r="F40708" s="102"/>
      <c r="H40708" s="4" t="str">
        <v/>
      </c>
      <c r="I40708" s="4" t="str">
        <v/>
      </c>
    </row>
    <row r="40709" spans="5:9" ht="16.5">
      <c r="E40709" s="4" t="str">
        <v/>
      </c>
      <c r="F40709" s="102"/>
      <c r="H40709" s="4" t="str">
        <v/>
      </c>
      <c r="I40709" s="4" t="str">
        <v/>
      </c>
    </row>
    <row r="40710" spans="5:9" ht="16.5">
      <c r="E40710" s="4" t="str">
        <v/>
      </c>
      <c r="F40710" s="102"/>
      <c r="H40710" s="4" t="str">
        <v/>
      </c>
      <c r="I40710" s="4" t="str">
        <v/>
      </c>
    </row>
    <row r="40711" spans="5:9" ht="16.5">
      <c r="E40711" s="4" t="str">
        <v/>
      </c>
      <c r="F40711" s="102"/>
      <c r="H40711" s="4" t="str">
        <v/>
      </c>
      <c r="I40711" s="4" t="str">
        <v/>
      </c>
    </row>
    <row r="40712" spans="5:9" ht="16.5">
      <c r="E40712" s="4" t="str">
        <v/>
      </c>
      <c r="F40712" s="102"/>
      <c r="H40712" s="4" t="str">
        <v/>
      </c>
      <c r="I40712" s="4" t="str">
        <v/>
      </c>
    </row>
    <row r="40713" spans="5:9" ht="16.5">
      <c r="E40713" s="4" t="str">
        <v/>
      </c>
      <c r="F40713" s="102"/>
      <c r="H40713" s="4" t="str">
        <v/>
      </c>
      <c r="I40713" s="4" t="str">
        <v/>
      </c>
    </row>
    <row r="40714" spans="5:9" ht="16.5">
      <c r="E40714" s="4" t="str">
        <v/>
      </c>
      <c r="F40714" s="102"/>
      <c r="H40714" s="4" t="str">
        <v/>
      </c>
      <c r="I40714" s="4" t="str">
        <v/>
      </c>
    </row>
    <row r="40715" spans="5:9" ht="16.5">
      <c r="E40715" s="4" t="str">
        <v/>
      </c>
      <c r="F40715" s="102"/>
      <c r="H40715" s="4" t="str">
        <v/>
      </c>
      <c r="I40715" s="4" t="str">
        <v/>
      </c>
    </row>
    <row r="40716" spans="5:9" ht="16.5">
      <c r="E40716" s="4" t="str">
        <v/>
      </c>
      <c r="F40716" s="102"/>
      <c r="H40716" s="4" t="str">
        <v/>
      </c>
      <c r="I40716" s="4" t="str">
        <v/>
      </c>
    </row>
    <row r="40717" spans="5:9" ht="16.5">
      <c r="E40717" s="4" t="str">
        <v/>
      </c>
      <c r="F40717" s="102"/>
      <c r="H40717" s="4" t="str">
        <v/>
      </c>
      <c r="I40717" s="4" t="str">
        <v/>
      </c>
    </row>
    <row r="40718" spans="5:9" ht="16.5">
      <c r="E40718" s="4" t="str">
        <v/>
      </c>
      <c r="F40718" s="102"/>
      <c r="H40718" s="4" t="str">
        <v/>
      </c>
      <c r="I40718" s="4" t="str">
        <v/>
      </c>
    </row>
    <row r="40719" spans="5:9" ht="16.5">
      <c r="E40719" s="4" t="str">
        <v/>
      </c>
      <c r="F40719" s="102"/>
      <c r="H40719" s="4" t="str">
        <v/>
      </c>
      <c r="I40719" s="4" t="str">
        <v/>
      </c>
    </row>
    <row r="40720" spans="5:9" ht="16.5">
      <c r="E40720" s="4" t="str">
        <v/>
      </c>
      <c r="F40720" s="102"/>
      <c r="H40720" s="4" t="str">
        <v/>
      </c>
      <c r="I40720" s="4" t="str">
        <v/>
      </c>
    </row>
    <row r="40721" spans="5:9" ht="16.5">
      <c r="E40721" s="4" t="str">
        <v/>
      </c>
      <c r="F40721" s="102"/>
      <c r="H40721" s="4" t="str">
        <v/>
      </c>
      <c r="I40721" s="4" t="str">
        <v/>
      </c>
    </row>
    <row r="40722" spans="5:9" ht="16.5">
      <c r="E40722" s="4" t="str">
        <v/>
      </c>
      <c r="F40722" s="102"/>
      <c r="H40722" s="4" t="str">
        <v/>
      </c>
      <c r="I40722" s="4" t="str">
        <v/>
      </c>
    </row>
    <row r="40723" spans="5:9" ht="16.5">
      <c r="E40723" s="4" t="str">
        <v/>
      </c>
      <c r="F40723" s="102"/>
      <c r="H40723" s="4" t="str">
        <v/>
      </c>
      <c r="I40723" s="4" t="str">
        <v/>
      </c>
    </row>
    <row r="40724" spans="5:9" ht="16.5">
      <c r="E40724" s="4" t="str">
        <v/>
      </c>
      <c r="F40724" s="102"/>
      <c r="H40724" s="4" t="str">
        <v/>
      </c>
      <c r="I40724" s="4" t="str">
        <v/>
      </c>
    </row>
    <row r="40725" spans="5:9" ht="16.5">
      <c r="E40725" s="4" t="str">
        <v/>
      </c>
      <c r="F40725" s="102"/>
      <c r="H40725" s="4" t="str">
        <v/>
      </c>
      <c r="I40725" s="4" t="str">
        <v/>
      </c>
    </row>
    <row r="40726" spans="5:9" ht="16.5">
      <c r="E40726" s="4" t="str">
        <v/>
      </c>
      <c r="F40726" s="102"/>
      <c r="H40726" s="4" t="str">
        <v/>
      </c>
      <c r="I40726" s="4" t="str">
        <v/>
      </c>
    </row>
    <row r="40727" spans="5:9" ht="16.5">
      <c r="E40727" s="4" t="str">
        <v/>
      </c>
      <c r="F40727" s="102"/>
      <c r="H40727" s="4" t="str">
        <v/>
      </c>
      <c r="I40727" s="4" t="str">
        <v/>
      </c>
    </row>
    <row r="40728" spans="5:9" ht="16.5">
      <c r="E40728" s="4" t="str">
        <v/>
      </c>
      <c r="F40728" s="102"/>
      <c r="H40728" s="4" t="str">
        <v/>
      </c>
      <c r="I40728" s="4" t="str">
        <v/>
      </c>
    </row>
    <row r="40729" spans="5:9" ht="16.5">
      <c r="E40729" s="4" t="str">
        <v/>
      </c>
      <c r="F40729" s="102"/>
      <c r="H40729" s="4" t="str">
        <v/>
      </c>
      <c r="I40729" s="4" t="str">
        <v/>
      </c>
    </row>
    <row r="40730" spans="5:9" ht="16.5">
      <c r="E40730" s="4" t="str">
        <v/>
      </c>
      <c r="F40730" s="102"/>
      <c r="H40730" s="4" t="str">
        <v/>
      </c>
      <c r="I40730" s="4" t="str">
        <v/>
      </c>
    </row>
    <row r="40731" spans="5:9" ht="16.5">
      <c r="E40731" s="4" t="str">
        <v/>
      </c>
      <c r="F40731" s="102"/>
      <c r="H40731" s="4" t="str">
        <v/>
      </c>
      <c r="I40731" s="4" t="str">
        <v/>
      </c>
    </row>
    <row r="40732" spans="5:9" ht="16.5">
      <c r="E40732" s="4" t="str">
        <v/>
      </c>
      <c r="F40732" s="102"/>
      <c r="H40732" s="4" t="str">
        <v/>
      </c>
      <c r="I40732" s="4" t="str">
        <v/>
      </c>
    </row>
    <row r="40733" spans="5:9" ht="16.5">
      <c r="E40733" s="4" t="str">
        <v/>
      </c>
      <c r="F40733" s="102"/>
      <c r="H40733" s="4" t="str">
        <v/>
      </c>
      <c r="I40733" s="4" t="str">
        <v/>
      </c>
    </row>
    <row r="40734" spans="5:9" ht="16.5">
      <c r="E40734" s="4" t="str">
        <v/>
      </c>
      <c r="F40734" s="102"/>
      <c r="H40734" s="4" t="str">
        <v/>
      </c>
      <c r="I40734" s="4" t="str">
        <v/>
      </c>
    </row>
    <row r="40735" spans="5:9" ht="16.5">
      <c r="E40735" s="4" t="str">
        <v/>
      </c>
      <c r="F40735" s="102"/>
      <c r="H40735" s="4" t="str">
        <v/>
      </c>
      <c r="I40735" s="4" t="str">
        <v/>
      </c>
    </row>
    <row r="40736" spans="5:9" ht="16.5">
      <c r="E40736" s="4" t="str">
        <v/>
      </c>
      <c r="F40736" s="102"/>
      <c r="H40736" s="4" t="str">
        <v/>
      </c>
      <c r="I40736" s="4" t="str">
        <v/>
      </c>
    </row>
    <row r="40737" spans="5:9" ht="16.5">
      <c r="E40737" s="4" t="str">
        <v/>
      </c>
      <c r="F40737" s="102"/>
      <c r="H40737" s="4" t="str">
        <v/>
      </c>
      <c r="I40737" s="4" t="str">
        <v/>
      </c>
    </row>
    <row r="40738" spans="5:9" ht="16.5">
      <c r="E40738" s="4" t="str">
        <v/>
      </c>
      <c r="F40738" s="102"/>
      <c r="H40738" s="4" t="str">
        <v/>
      </c>
      <c r="I40738" s="4" t="str">
        <v/>
      </c>
    </row>
    <row r="40739" spans="5:9" ht="16.5">
      <c r="E40739" s="4" t="str">
        <v/>
      </c>
      <c r="F40739" s="102"/>
      <c r="H40739" s="4" t="str">
        <v/>
      </c>
      <c r="I40739" s="4" t="str">
        <v/>
      </c>
    </row>
    <row r="40740" spans="5:9" ht="16.5">
      <c r="E40740" s="4" t="str">
        <v/>
      </c>
      <c r="F40740" s="102"/>
      <c r="H40740" s="4" t="str">
        <v/>
      </c>
      <c r="I40740" s="4" t="str">
        <v/>
      </c>
    </row>
    <row r="40741" spans="5:9" ht="16.5">
      <c r="E40741" s="4" t="str">
        <v/>
      </c>
      <c r="F40741" s="102"/>
      <c r="H40741" s="4" t="str">
        <v/>
      </c>
      <c r="I40741" s="4" t="str">
        <v/>
      </c>
    </row>
    <row r="40742" spans="5:9" ht="16.5">
      <c r="E40742" s="4" t="str">
        <v/>
      </c>
      <c r="F40742" s="102"/>
      <c r="H40742" s="4" t="str">
        <v/>
      </c>
      <c r="I40742" s="4" t="str">
        <v/>
      </c>
    </row>
    <row r="40743" spans="5:9" ht="16.5">
      <c r="E40743" s="4" t="str">
        <v/>
      </c>
      <c r="F40743" s="102"/>
      <c r="H40743" s="4" t="str">
        <v/>
      </c>
      <c r="I40743" s="4" t="str">
        <v/>
      </c>
    </row>
    <row r="40744" spans="5:9" ht="16.5">
      <c r="E40744" s="4" t="str">
        <v/>
      </c>
      <c r="F40744" s="102"/>
      <c r="H40744" s="4" t="str">
        <v/>
      </c>
      <c r="I40744" s="4" t="str">
        <v/>
      </c>
    </row>
    <row r="40745" spans="5:9" ht="16.5">
      <c r="E40745" s="4" t="str">
        <v/>
      </c>
      <c r="F40745" s="102"/>
      <c r="H40745" s="4" t="str">
        <v/>
      </c>
      <c r="I40745" s="4" t="str">
        <v/>
      </c>
    </row>
    <row r="40746" spans="5:9" ht="16.5">
      <c r="E40746" s="4" t="str">
        <v/>
      </c>
      <c r="F40746" s="102"/>
      <c r="H40746" s="4" t="str">
        <v/>
      </c>
      <c r="I40746" s="4" t="str">
        <v/>
      </c>
    </row>
    <row r="40747" spans="5:9" ht="16.5">
      <c r="E40747" s="4" t="str">
        <v/>
      </c>
      <c r="F40747" s="102"/>
      <c r="H40747" s="4" t="str">
        <v/>
      </c>
      <c r="I40747" s="4" t="str">
        <v/>
      </c>
    </row>
    <row r="40748" spans="5:9" ht="16.5">
      <c r="E40748" s="4" t="str">
        <v/>
      </c>
      <c r="F40748" s="102"/>
      <c r="H40748" s="4" t="str">
        <v/>
      </c>
      <c r="I40748" s="4" t="str">
        <v/>
      </c>
    </row>
    <row r="40749" spans="5:9" ht="16.5">
      <c r="E40749" s="4" t="str">
        <v/>
      </c>
      <c r="F40749" s="102"/>
      <c r="H40749" s="4" t="str">
        <v/>
      </c>
      <c r="I40749" s="4" t="str">
        <v/>
      </c>
    </row>
    <row r="40750" spans="5:9" ht="16.5">
      <c r="E40750" s="4" t="str">
        <v/>
      </c>
      <c r="F40750" s="102"/>
      <c r="H40750" s="4" t="str">
        <v/>
      </c>
      <c r="I40750" s="4" t="str">
        <v/>
      </c>
    </row>
    <row r="40751" spans="5:9" ht="16.5">
      <c r="E40751" s="4" t="str">
        <v/>
      </c>
      <c r="F40751" s="102"/>
      <c r="H40751" s="4" t="str">
        <v/>
      </c>
      <c r="I40751" s="4" t="str">
        <v/>
      </c>
    </row>
    <row r="40752" spans="5:9" ht="16.5">
      <c r="E40752" s="4" t="str">
        <v/>
      </c>
      <c r="F40752" s="102"/>
      <c r="H40752" s="4" t="str">
        <v/>
      </c>
      <c r="I40752" s="4" t="str">
        <v/>
      </c>
    </row>
    <row r="40753" spans="5:9" ht="16.5">
      <c r="E40753" s="4" t="str">
        <v/>
      </c>
      <c r="F40753" s="102"/>
      <c r="H40753" s="4" t="str">
        <v/>
      </c>
      <c r="I40753" s="4" t="str">
        <v/>
      </c>
    </row>
    <row r="40754" spans="5:9" ht="16.5">
      <c r="E40754" s="4" t="str">
        <v/>
      </c>
      <c r="F40754" s="102"/>
      <c r="H40754" s="4" t="str">
        <v/>
      </c>
      <c r="I40754" s="4" t="str">
        <v/>
      </c>
    </row>
    <row r="40755" spans="5:9" ht="16.5">
      <c r="E40755" s="4" t="str">
        <v/>
      </c>
      <c r="F40755" s="102"/>
      <c r="H40755" s="4" t="str">
        <v/>
      </c>
      <c r="I40755" s="4" t="str">
        <v/>
      </c>
    </row>
    <row r="40756" spans="5:9" ht="16.5">
      <c r="E40756" s="4" t="str">
        <v/>
      </c>
      <c r="F40756" s="102"/>
      <c r="H40756" s="4" t="str">
        <v/>
      </c>
      <c r="I40756" s="4" t="str">
        <v/>
      </c>
    </row>
    <row r="40757" spans="5:9" ht="16.5">
      <c r="E40757" s="4" t="str">
        <v/>
      </c>
      <c r="F40757" s="102"/>
      <c r="H40757" s="4" t="str">
        <v/>
      </c>
      <c r="I40757" s="4" t="str">
        <v/>
      </c>
    </row>
    <row r="40758" spans="5:9" ht="16.5">
      <c r="E40758" s="4" t="str">
        <v/>
      </c>
      <c r="F40758" s="102"/>
      <c r="H40758" s="4" t="str">
        <v/>
      </c>
      <c r="I40758" s="4" t="str">
        <v/>
      </c>
    </row>
    <row r="40759" spans="5:9" ht="16.5">
      <c r="E40759" s="4" t="str">
        <v/>
      </c>
      <c r="F40759" s="102"/>
      <c r="H40759" s="4" t="str">
        <v/>
      </c>
      <c r="I40759" s="4" t="str">
        <v/>
      </c>
    </row>
    <row r="40760" spans="5:9" ht="16.5">
      <c r="E40760" s="4" t="str">
        <v/>
      </c>
      <c r="F40760" s="102"/>
      <c r="H40760" s="4" t="str">
        <v/>
      </c>
      <c r="I40760" s="4" t="str">
        <v/>
      </c>
    </row>
    <row r="40761" spans="5:9" ht="16.5">
      <c r="E40761" s="4" t="str">
        <v/>
      </c>
      <c r="F40761" s="102"/>
      <c r="H40761" s="4" t="str">
        <v/>
      </c>
      <c r="I40761" s="4" t="str">
        <v/>
      </c>
    </row>
    <row r="40762" spans="5:9" ht="16.5">
      <c r="E40762" s="4" t="str">
        <v/>
      </c>
      <c r="F40762" s="102"/>
      <c r="H40762" s="4" t="str">
        <v/>
      </c>
      <c r="I40762" s="4" t="str">
        <v/>
      </c>
    </row>
    <row r="40763" spans="5:9" ht="16.5">
      <c r="E40763" s="4" t="str">
        <v/>
      </c>
      <c r="F40763" s="102"/>
      <c r="H40763" s="4" t="str">
        <v/>
      </c>
      <c r="I40763" s="4" t="str">
        <v/>
      </c>
    </row>
    <row r="40764" spans="5:9" ht="16.5">
      <c r="E40764" s="4" t="str">
        <v/>
      </c>
      <c r="F40764" s="102"/>
      <c r="H40764" s="4" t="str">
        <v/>
      </c>
      <c r="I40764" s="4" t="str">
        <v/>
      </c>
    </row>
    <row r="40765" spans="5:9" ht="16.5">
      <c r="E40765" s="4" t="str">
        <v/>
      </c>
      <c r="F40765" s="102"/>
      <c r="H40765" s="4" t="str">
        <v/>
      </c>
      <c r="I40765" s="4" t="str">
        <v/>
      </c>
    </row>
    <row r="40766" spans="5:9" ht="16.5">
      <c r="E40766" s="4" t="str">
        <v/>
      </c>
      <c r="F40766" s="102"/>
      <c r="H40766" s="4" t="str">
        <v/>
      </c>
      <c r="I40766" s="4" t="str">
        <v/>
      </c>
    </row>
    <row r="40767" spans="5:9" ht="16.5">
      <c r="E40767" s="4" t="str">
        <v/>
      </c>
      <c r="F40767" s="102"/>
      <c r="H40767" s="4" t="str">
        <v/>
      </c>
      <c r="I40767" s="4" t="str">
        <v/>
      </c>
    </row>
    <row r="40768" spans="5:9" ht="16.5">
      <c r="E40768" s="4" t="str">
        <v/>
      </c>
      <c r="F40768" s="102"/>
      <c r="H40768" s="4" t="str">
        <v/>
      </c>
      <c r="I40768" s="4" t="str">
        <v/>
      </c>
    </row>
    <row r="40769" spans="5:9" ht="16.5">
      <c r="E40769" s="4" t="str">
        <v/>
      </c>
      <c r="F40769" s="102"/>
      <c r="H40769" s="4" t="str">
        <v/>
      </c>
      <c r="I40769" s="4" t="str">
        <v/>
      </c>
    </row>
    <row r="40770" spans="5:9" ht="16.5">
      <c r="E40770" s="4" t="str">
        <v/>
      </c>
      <c r="F40770" s="102"/>
      <c r="H40770" s="4" t="str">
        <v/>
      </c>
      <c r="I40770" s="4" t="str">
        <v/>
      </c>
    </row>
    <row r="40771" spans="5:9" ht="16.5">
      <c r="E40771" s="4" t="str">
        <v/>
      </c>
      <c r="F40771" s="102"/>
      <c r="H40771" s="4" t="str">
        <v/>
      </c>
      <c r="I40771" s="4" t="str">
        <v/>
      </c>
    </row>
    <row r="40772" spans="5:9" ht="16.5">
      <c r="E40772" s="4" t="str">
        <v/>
      </c>
      <c r="F40772" s="102"/>
      <c r="H40772" s="4" t="str">
        <v/>
      </c>
      <c r="I40772" s="4" t="str">
        <v/>
      </c>
    </row>
    <row r="40773" spans="5:9" ht="16.5">
      <c r="E40773" s="4" t="str">
        <v/>
      </c>
      <c r="F40773" s="102"/>
      <c r="H40773" s="4" t="str">
        <v/>
      </c>
      <c r="I40773" s="4" t="str">
        <v/>
      </c>
    </row>
    <row r="40774" spans="5:9" ht="16.5">
      <c r="E40774" s="4" t="str">
        <v/>
      </c>
      <c r="F40774" s="102"/>
      <c r="H40774" s="4" t="str">
        <v/>
      </c>
      <c r="I40774" s="4" t="str">
        <v/>
      </c>
    </row>
    <row r="40775" spans="5:9" ht="16.5">
      <c r="E40775" s="4" t="str">
        <v/>
      </c>
      <c r="F40775" s="102"/>
      <c r="H40775" s="4" t="str">
        <v/>
      </c>
      <c r="I40775" s="4" t="str">
        <v/>
      </c>
    </row>
    <row r="40776" spans="5:9" ht="16.5">
      <c r="E40776" s="4" t="str">
        <v/>
      </c>
      <c r="F40776" s="102"/>
      <c r="H40776" s="4" t="str">
        <v/>
      </c>
      <c r="I40776" s="4" t="str">
        <v/>
      </c>
    </row>
    <row r="40777" spans="5:9" ht="16.5">
      <c r="E40777" s="4" t="str">
        <v/>
      </c>
      <c r="F40777" s="102"/>
      <c r="H40777" s="4" t="str">
        <v/>
      </c>
      <c r="I40777" s="4" t="str">
        <v/>
      </c>
    </row>
    <row r="40778" spans="5:9" ht="16.5">
      <c r="E40778" s="4" t="str">
        <v/>
      </c>
      <c r="F40778" s="102"/>
      <c r="H40778" s="4" t="str">
        <v/>
      </c>
      <c r="I40778" s="4" t="str">
        <v/>
      </c>
    </row>
    <row r="40779" spans="5:9" ht="16.5">
      <c r="E40779" s="4" t="str">
        <v/>
      </c>
      <c r="F40779" s="102"/>
      <c r="H40779" s="4" t="str">
        <v/>
      </c>
      <c r="I40779" s="4" t="str">
        <v/>
      </c>
    </row>
    <row r="40780" spans="5:9" ht="16.5">
      <c r="E40780" s="4" t="str">
        <v/>
      </c>
      <c r="F40780" s="102"/>
      <c r="H40780" s="4" t="str">
        <v/>
      </c>
      <c r="I40780" s="4" t="str">
        <v/>
      </c>
    </row>
    <row r="40781" spans="5:9" ht="16.5">
      <c r="E40781" s="4" t="str">
        <v/>
      </c>
      <c r="F40781" s="102"/>
      <c r="H40781" s="4" t="str">
        <v/>
      </c>
      <c r="I40781" s="4" t="str">
        <v/>
      </c>
    </row>
    <row r="40782" spans="5:9" ht="16.5">
      <c r="E40782" s="4" t="str">
        <v/>
      </c>
      <c r="F40782" s="102"/>
      <c r="H40782" s="4" t="str">
        <v/>
      </c>
      <c r="I40782" s="4" t="str">
        <v/>
      </c>
    </row>
    <row r="40783" spans="5:9" ht="16.5">
      <c r="E40783" s="4" t="str">
        <v/>
      </c>
      <c r="F40783" s="102"/>
      <c r="H40783" s="4" t="str">
        <v/>
      </c>
      <c r="I40783" s="4" t="str">
        <v/>
      </c>
    </row>
    <row r="40784" spans="5:9" ht="16.5">
      <c r="E40784" s="4" t="str">
        <v/>
      </c>
      <c r="F40784" s="102"/>
      <c r="H40784" s="4" t="str">
        <v/>
      </c>
      <c r="I40784" s="4" t="str">
        <v/>
      </c>
    </row>
    <row r="40785" spans="5:9" ht="16.5">
      <c r="E40785" s="4" t="str">
        <v/>
      </c>
      <c r="F40785" s="102"/>
      <c r="H40785" s="4" t="str">
        <v/>
      </c>
      <c r="I40785" s="4" t="str">
        <v/>
      </c>
    </row>
    <row r="40786" spans="5:9" ht="16.5">
      <c r="E40786" s="4" t="str">
        <v/>
      </c>
      <c r="F40786" s="102"/>
      <c r="H40786" s="4" t="str">
        <v/>
      </c>
      <c r="I40786" s="4" t="str">
        <v/>
      </c>
    </row>
    <row r="40787" spans="5:9" ht="16.5">
      <c r="E40787" s="4" t="str">
        <v/>
      </c>
      <c r="F40787" s="102"/>
      <c r="H40787" s="4" t="str">
        <v/>
      </c>
      <c r="I40787" s="4" t="str">
        <v/>
      </c>
    </row>
    <row r="40788" spans="5:9" ht="16.5">
      <c r="E40788" s="4" t="str">
        <v/>
      </c>
      <c r="F40788" s="102"/>
      <c r="H40788" s="4" t="str">
        <v/>
      </c>
      <c r="I40788" s="4" t="str">
        <v/>
      </c>
    </row>
    <row r="40789" spans="5:9" ht="16.5">
      <c r="E40789" s="4" t="str">
        <v/>
      </c>
      <c r="F40789" s="102"/>
      <c r="H40789" s="4" t="str">
        <v/>
      </c>
      <c r="I40789" s="4" t="str">
        <v/>
      </c>
    </row>
    <row r="40790" spans="5:9" ht="16.5">
      <c r="E40790" s="4" t="str">
        <v/>
      </c>
      <c r="F40790" s="102"/>
      <c r="H40790" s="4" t="str">
        <v/>
      </c>
      <c r="I40790" s="4" t="str">
        <v/>
      </c>
    </row>
    <row r="40791" spans="5:9" ht="16.5">
      <c r="E40791" s="4" t="str">
        <v/>
      </c>
      <c r="F40791" s="102"/>
      <c r="H40791" s="4" t="str">
        <v/>
      </c>
      <c r="I40791" s="4" t="str">
        <v/>
      </c>
    </row>
    <row r="40792" spans="5:9" ht="16.5">
      <c r="E40792" s="4" t="str">
        <v/>
      </c>
      <c r="F40792" s="102"/>
      <c r="H40792" s="4" t="str">
        <v/>
      </c>
      <c r="I40792" s="4" t="str">
        <v/>
      </c>
    </row>
    <row r="40793" spans="5:9" ht="16.5">
      <c r="E40793" s="4" t="str">
        <v/>
      </c>
      <c r="F40793" s="102"/>
      <c r="H40793" s="4" t="str">
        <v/>
      </c>
      <c r="I40793" s="4" t="str">
        <v/>
      </c>
    </row>
    <row r="40794" spans="5:9" ht="16.5">
      <c r="E40794" s="4" t="str">
        <v/>
      </c>
      <c r="F40794" s="102"/>
      <c r="H40794" s="4" t="str">
        <v/>
      </c>
      <c r="I40794" s="4" t="str">
        <v/>
      </c>
    </row>
    <row r="40795" spans="5:9" ht="16.5">
      <c r="E40795" s="4" t="str">
        <v/>
      </c>
      <c r="F40795" s="102"/>
      <c r="H40795" s="4" t="str">
        <v/>
      </c>
      <c r="I40795" s="4" t="str">
        <v/>
      </c>
    </row>
    <row r="40796" spans="5:9" ht="16.5">
      <c r="E40796" s="4" t="str">
        <v/>
      </c>
      <c r="F40796" s="102"/>
      <c r="H40796" s="4" t="str">
        <v/>
      </c>
      <c r="I40796" s="4" t="str">
        <v/>
      </c>
    </row>
    <row r="40797" spans="5:9" ht="16.5">
      <c r="E40797" s="4" t="str">
        <v/>
      </c>
      <c r="F40797" s="102"/>
      <c r="H40797" s="4" t="str">
        <v/>
      </c>
      <c r="I40797" s="4" t="str">
        <v/>
      </c>
    </row>
    <row r="40798" spans="5:9" ht="16.5">
      <c r="E40798" s="4" t="str">
        <v/>
      </c>
      <c r="F40798" s="102"/>
      <c r="H40798" s="4" t="str">
        <v/>
      </c>
      <c r="I40798" s="4" t="str">
        <v/>
      </c>
    </row>
    <row r="40799" spans="5:9" ht="16.5">
      <c r="E40799" s="4" t="str">
        <v/>
      </c>
      <c r="F40799" s="102"/>
      <c r="H40799" s="4" t="str">
        <v/>
      </c>
      <c r="I40799" s="4" t="str">
        <v/>
      </c>
    </row>
    <row r="40800" spans="5:9" ht="16.5">
      <c r="E40800" s="4" t="str">
        <v/>
      </c>
      <c r="F40800" s="102"/>
      <c r="H40800" s="4" t="str">
        <v/>
      </c>
      <c r="I40800" s="4" t="str">
        <v/>
      </c>
    </row>
    <row r="40801" spans="5:9" ht="16.5">
      <c r="E40801" s="4" t="str">
        <v/>
      </c>
      <c r="F40801" s="102"/>
      <c r="H40801" s="4" t="str">
        <v/>
      </c>
      <c r="I40801" s="4" t="str">
        <v/>
      </c>
    </row>
    <row r="40802" spans="5:9" ht="16.5">
      <c r="E40802" s="4" t="str">
        <v/>
      </c>
      <c r="F40802" s="102"/>
      <c r="H40802" s="4" t="str">
        <v/>
      </c>
      <c r="I40802" s="4" t="str">
        <v/>
      </c>
    </row>
    <row r="40803" spans="5:9" ht="16.5">
      <c r="E40803" s="4" t="str">
        <v/>
      </c>
      <c r="F40803" s="102"/>
      <c r="H40803" s="4" t="str">
        <v/>
      </c>
      <c r="I40803" s="4" t="str">
        <v/>
      </c>
    </row>
    <row r="40804" spans="5:9" ht="16.5">
      <c r="E40804" s="4" t="str">
        <v/>
      </c>
      <c r="F40804" s="102"/>
      <c r="H40804" s="4" t="str">
        <v/>
      </c>
      <c r="I40804" s="4" t="str">
        <v/>
      </c>
    </row>
    <row r="40805" spans="5:9" ht="16.5">
      <c r="E40805" s="4" t="str">
        <v/>
      </c>
      <c r="F40805" s="102"/>
      <c r="H40805" s="4" t="str">
        <v/>
      </c>
      <c r="I40805" s="4" t="str">
        <v/>
      </c>
    </row>
    <row r="40806" spans="5:9" ht="16.5">
      <c r="E40806" s="4" t="str">
        <v/>
      </c>
      <c r="F40806" s="102"/>
      <c r="H40806" s="4" t="str">
        <v/>
      </c>
      <c r="I40806" s="4" t="str">
        <v/>
      </c>
    </row>
    <row r="40807" spans="5:9" ht="16.5">
      <c r="E40807" s="4" t="str">
        <v/>
      </c>
      <c r="F40807" s="102"/>
      <c r="H40807" s="4" t="str">
        <v/>
      </c>
      <c r="I40807" s="4" t="str">
        <v/>
      </c>
    </row>
    <row r="40808" spans="5:9" ht="16.5">
      <c r="E40808" s="4" t="str">
        <v/>
      </c>
      <c r="F40808" s="102"/>
      <c r="H40808" s="4" t="str">
        <v/>
      </c>
      <c r="I40808" s="4" t="str">
        <v/>
      </c>
    </row>
    <row r="40809" spans="5:9" ht="16.5">
      <c r="E40809" s="4" t="str">
        <v/>
      </c>
      <c r="F40809" s="102"/>
      <c r="H40809" s="4" t="str">
        <v/>
      </c>
      <c r="I40809" s="4" t="str">
        <v/>
      </c>
    </row>
    <row r="40810" spans="5:9" ht="16.5">
      <c r="E40810" s="4" t="str">
        <v/>
      </c>
      <c r="F40810" s="102"/>
      <c r="H40810" s="4" t="str">
        <v/>
      </c>
      <c r="I40810" s="4" t="str">
        <v/>
      </c>
    </row>
    <row r="40811" spans="5:9" ht="16.5">
      <c r="E40811" s="4" t="str">
        <v/>
      </c>
      <c r="F40811" s="102"/>
      <c r="H40811" s="4" t="str">
        <v/>
      </c>
      <c r="I40811" s="4" t="str">
        <v/>
      </c>
    </row>
    <row r="40812" spans="5:9" ht="16.5">
      <c r="E40812" s="4" t="str">
        <v/>
      </c>
      <c r="F40812" s="102"/>
      <c r="H40812" s="4" t="str">
        <v/>
      </c>
      <c r="I40812" s="4" t="str">
        <v/>
      </c>
    </row>
    <row r="40813" spans="5:9" ht="16.5">
      <c r="E40813" s="4" t="str">
        <v/>
      </c>
      <c r="F40813" s="102"/>
      <c r="H40813" s="4" t="str">
        <v/>
      </c>
      <c r="I40813" s="4" t="str">
        <v/>
      </c>
    </row>
    <row r="40814" spans="5:9" ht="16.5">
      <c r="E40814" s="4" t="str">
        <v/>
      </c>
      <c r="F40814" s="102"/>
      <c r="H40814" s="4" t="str">
        <v/>
      </c>
      <c r="I40814" s="4" t="str">
        <v/>
      </c>
    </row>
    <row r="40815" spans="5:9" ht="16.5">
      <c r="E40815" s="4" t="str">
        <v/>
      </c>
      <c r="F40815" s="102"/>
      <c r="H40815" s="4" t="str">
        <v/>
      </c>
      <c r="I40815" s="4" t="str">
        <v/>
      </c>
    </row>
    <row r="40816" spans="5:9" ht="16.5">
      <c r="E40816" s="4" t="str">
        <v/>
      </c>
      <c r="F40816" s="102"/>
      <c r="H40816" s="4" t="str">
        <v/>
      </c>
      <c r="I40816" s="4" t="str">
        <v/>
      </c>
    </row>
    <row r="40817" spans="5:9" ht="16.5">
      <c r="E40817" s="4" t="str">
        <v/>
      </c>
      <c r="F40817" s="102"/>
      <c r="H40817" s="4" t="str">
        <v/>
      </c>
      <c r="I40817" s="4" t="str">
        <v/>
      </c>
    </row>
    <row r="40818" spans="5:9" ht="16.5">
      <c r="E40818" s="4" t="str">
        <v/>
      </c>
      <c r="F40818" s="102"/>
      <c r="H40818" s="4" t="str">
        <v/>
      </c>
      <c r="I40818" s="4" t="str">
        <v/>
      </c>
    </row>
    <row r="40819" spans="5:9" ht="16.5">
      <c r="E40819" s="4" t="str">
        <v/>
      </c>
      <c r="F40819" s="102"/>
      <c r="H40819" s="4" t="str">
        <v/>
      </c>
      <c r="I40819" s="4" t="str">
        <v/>
      </c>
    </row>
    <row r="40820" spans="5:9" ht="16.5">
      <c r="E40820" s="4" t="str">
        <v/>
      </c>
      <c r="F40820" s="102"/>
      <c r="H40820" s="4" t="str">
        <v/>
      </c>
      <c r="I40820" s="4" t="str">
        <v/>
      </c>
    </row>
    <row r="40821" spans="5:9" ht="16.5">
      <c r="E40821" s="4" t="str">
        <v/>
      </c>
      <c r="F40821" s="102"/>
      <c r="H40821" s="4" t="str">
        <v/>
      </c>
      <c r="I40821" s="4" t="str">
        <v/>
      </c>
    </row>
    <row r="40822" spans="5:9" ht="16.5">
      <c r="E40822" s="4" t="str">
        <v/>
      </c>
      <c r="F40822" s="102"/>
      <c r="H40822" s="4" t="str">
        <v/>
      </c>
      <c r="I40822" s="4" t="str">
        <v/>
      </c>
    </row>
    <row r="40823" spans="5:9" ht="16.5">
      <c r="E40823" s="4" t="str">
        <v/>
      </c>
      <c r="F40823" s="102"/>
      <c r="H40823" s="4" t="str">
        <v/>
      </c>
      <c r="I40823" s="4" t="str">
        <v/>
      </c>
    </row>
    <row r="40824" spans="5:9" ht="16.5">
      <c r="E40824" s="4" t="str">
        <v/>
      </c>
      <c r="F40824" s="102"/>
      <c r="H40824" s="4" t="str">
        <v/>
      </c>
      <c r="I40824" s="4" t="str">
        <v/>
      </c>
    </row>
    <row r="40825" spans="5:9" ht="16.5">
      <c r="E40825" s="4" t="str">
        <v/>
      </c>
      <c r="F40825" s="102"/>
      <c r="H40825" s="4" t="str">
        <v/>
      </c>
      <c r="I40825" s="4" t="str">
        <v/>
      </c>
    </row>
    <row r="40826" spans="5:9" ht="16.5">
      <c r="E40826" s="4" t="str">
        <v/>
      </c>
      <c r="F40826" s="102"/>
      <c r="H40826" s="4" t="str">
        <v/>
      </c>
      <c r="I40826" s="4" t="str">
        <v/>
      </c>
    </row>
    <row r="40827" spans="5:9" ht="16.5">
      <c r="E40827" s="4" t="str">
        <v/>
      </c>
      <c r="F40827" s="102"/>
      <c r="H40827" s="4" t="str">
        <v/>
      </c>
      <c r="I40827" s="4" t="str">
        <v/>
      </c>
    </row>
    <row r="40828" spans="5:9" ht="16.5">
      <c r="E40828" s="4" t="str">
        <v/>
      </c>
      <c r="F40828" s="102"/>
      <c r="H40828" s="4" t="str">
        <v/>
      </c>
      <c r="I40828" s="4" t="str">
        <v/>
      </c>
    </row>
    <row r="40829" spans="5:9" ht="16.5">
      <c r="E40829" s="4" t="str">
        <v/>
      </c>
      <c r="F40829" s="102"/>
      <c r="H40829" s="4" t="str">
        <v/>
      </c>
      <c r="I40829" s="4" t="str">
        <v/>
      </c>
    </row>
    <row r="40830" spans="5:9" ht="16.5">
      <c r="E40830" s="4" t="str">
        <v/>
      </c>
      <c r="F40830" s="102"/>
      <c r="H40830" s="4" t="str">
        <v/>
      </c>
      <c r="I40830" s="4" t="str">
        <v/>
      </c>
    </row>
    <row r="40831" spans="5:9" ht="16.5">
      <c r="E40831" s="4" t="str">
        <v/>
      </c>
      <c r="F40831" s="102"/>
      <c r="H40831" s="4" t="str">
        <v/>
      </c>
      <c r="I40831" s="4" t="str">
        <v/>
      </c>
    </row>
    <row r="40832" spans="5:9" ht="16.5">
      <c r="E40832" s="4" t="str">
        <v/>
      </c>
      <c r="F40832" s="102"/>
      <c r="H40832" s="4" t="str">
        <v/>
      </c>
      <c r="I40832" s="4" t="str">
        <v/>
      </c>
    </row>
    <row r="40833" spans="5:9" ht="16.5">
      <c r="E40833" s="4" t="str">
        <v/>
      </c>
      <c r="F40833" s="102"/>
      <c r="H40833" s="4" t="str">
        <v/>
      </c>
      <c r="I40833" s="4" t="str">
        <v/>
      </c>
    </row>
    <row r="40834" spans="5:9" ht="16.5">
      <c r="E40834" s="4" t="str">
        <v/>
      </c>
      <c r="F40834" s="102"/>
      <c r="H40834" s="4" t="str">
        <v/>
      </c>
      <c r="I40834" s="4" t="str">
        <v/>
      </c>
    </row>
    <row r="40835" spans="5:9" ht="16.5">
      <c r="E40835" s="4" t="str">
        <v/>
      </c>
      <c r="F40835" s="102"/>
      <c r="H40835" s="4" t="str">
        <v/>
      </c>
      <c r="I40835" s="4" t="str">
        <v/>
      </c>
    </row>
    <row r="40836" spans="5:9" ht="16.5">
      <c r="E40836" s="4" t="str">
        <v/>
      </c>
      <c r="F40836" s="102"/>
      <c r="H40836" s="4" t="str">
        <v/>
      </c>
      <c r="I40836" s="4" t="str">
        <v/>
      </c>
    </row>
    <row r="40837" spans="5:9" ht="16.5">
      <c r="E40837" s="4" t="str">
        <v/>
      </c>
      <c r="F40837" s="102"/>
      <c r="H40837" s="4" t="str">
        <v/>
      </c>
      <c r="I40837" s="4" t="str">
        <v/>
      </c>
    </row>
    <row r="40838" spans="5:9" ht="16.5">
      <c r="E40838" s="4" t="str">
        <v/>
      </c>
      <c r="F40838" s="102"/>
      <c r="H40838" s="4" t="str">
        <v/>
      </c>
      <c r="I40838" s="4" t="str">
        <v/>
      </c>
    </row>
    <row r="40839" spans="5:9" ht="16.5">
      <c r="E40839" s="4" t="str">
        <v/>
      </c>
      <c r="F40839" s="102"/>
      <c r="H40839" s="4" t="str">
        <v/>
      </c>
      <c r="I40839" s="4" t="str">
        <v/>
      </c>
    </row>
    <row r="40840" spans="5:9" ht="16.5">
      <c r="E40840" s="4" t="str">
        <v/>
      </c>
      <c r="F40840" s="102"/>
      <c r="H40840" s="4" t="str">
        <v/>
      </c>
      <c r="I40840" s="4" t="str">
        <v/>
      </c>
    </row>
    <row r="40841" spans="5:9" ht="16.5">
      <c r="E40841" s="4" t="str">
        <v/>
      </c>
      <c r="F40841" s="102"/>
      <c r="H40841" s="4" t="str">
        <v/>
      </c>
      <c r="I40841" s="4" t="str">
        <v/>
      </c>
    </row>
    <row r="40842" spans="5:9" ht="16.5">
      <c r="E40842" s="4" t="str">
        <v/>
      </c>
      <c r="F40842" s="102"/>
      <c r="H40842" s="4" t="str">
        <v/>
      </c>
      <c r="I40842" s="4" t="str">
        <v/>
      </c>
    </row>
    <row r="40843" spans="5:9" ht="16.5">
      <c r="E40843" s="4" t="str">
        <v/>
      </c>
      <c r="F40843" s="102"/>
      <c r="H40843" s="4" t="str">
        <v/>
      </c>
      <c r="I40843" s="4" t="str">
        <v/>
      </c>
    </row>
    <row r="40844" spans="5:9" ht="16.5">
      <c r="E40844" s="4" t="str">
        <v/>
      </c>
      <c r="F40844" s="102"/>
      <c r="H40844" s="4" t="str">
        <v/>
      </c>
      <c r="I40844" s="4" t="str">
        <v/>
      </c>
    </row>
    <row r="40845" spans="5:9" ht="16.5">
      <c r="E40845" s="4" t="str">
        <v/>
      </c>
      <c r="F40845" s="102"/>
      <c r="H40845" s="4" t="str">
        <v/>
      </c>
      <c r="I40845" s="4" t="str">
        <v/>
      </c>
    </row>
    <row r="40846" spans="5:9" ht="16.5">
      <c r="E40846" s="4" t="str">
        <v/>
      </c>
      <c r="F40846" s="102"/>
      <c r="H40846" s="4" t="str">
        <v/>
      </c>
      <c r="I40846" s="4" t="str">
        <v/>
      </c>
    </row>
    <row r="40847" spans="5:9" ht="16.5">
      <c r="E40847" s="4" t="str">
        <v/>
      </c>
      <c r="F40847" s="102"/>
      <c r="H40847" s="4" t="str">
        <v/>
      </c>
      <c r="I40847" s="4" t="str">
        <v/>
      </c>
    </row>
    <row r="40848" spans="5:9" ht="16.5">
      <c r="E40848" s="4" t="str">
        <v/>
      </c>
      <c r="F40848" s="102"/>
      <c r="H40848" s="4" t="str">
        <v/>
      </c>
      <c r="I40848" s="4" t="str">
        <v/>
      </c>
    </row>
    <row r="40849" spans="5:9" ht="16.5">
      <c r="E40849" s="4" t="str">
        <v/>
      </c>
      <c r="F40849" s="102"/>
      <c r="H40849" s="4" t="str">
        <v/>
      </c>
      <c r="I40849" s="4" t="str">
        <v/>
      </c>
    </row>
    <row r="40850" spans="5:9" ht="16.5">
      <c r="E40850" s="4" t="str">
        <v/>
      </c>
      <c r="F40850" s="102"/>
      <c r="H40850" s="4" t="str">
        <v/>
      </c>
      <c r="I40850" s="4" t="str">
        <v/>
      </c>
    </row>
    <row r="40851" spans="5:9" ht="16.5">
      <c r="E40851" s="4" t="str">
        <v/>
      </c>
      <c r="F40851" s="102"/>
      <c r="H40851" s="4" t="str">
        <v/>
      </c>
      <c r="I40851" s="4" t="str">
        <v/>
      </c>
    </row>
    <row r="40852" spans="5:9" ht="16.5">
      <c r="E40852" s="4" t="str">
        <v/>
      </c>
      <c r="F40852" s="102"/>
      <c r="H40852" s="4" t="str">
        <v/>
      </c>
      <c r="I40852" s="4" t="str">
        <v/>
      </c>
    </row>
    <row r="40853" spans="5:9" ht="16.5">
      <c r="E40853" s="4" t="str">
        <v/>
      </c>
      <c r="F40853" s="102"/>
      <c r="H40853" s="4" t="str">
        <v/>
      </c>
      <c r="I40853" s="4" t="str">
        <v/>
      </c>
    </row>
    <row r="40854" spans="5:9" ht="16.5">
      <c r="E40854" s="4" t="str">
        <v/>
      </c>
      <c r="F40854" s="102"/>
      <c r="H40854" s="4" t="str">
        <v/>
      </c>
      <c r="I40854" s="4" t="str">
        <v/>
      </c>
    </row>
    <row r="40855" spans="5:9" ht="16.5">
      <c r="E40855" s="4" t="str">
        <v/>
      </c>
      <c r="F40855" s="102"/>
      <c r="H40855" s="4" t="str">
        <v/>
      </c>
      <c r="I40855" s="4" t="str">
        <v/>
      </c>
    </row>
    <row r="40856" spans="5:9" ht="16.5">
      <c r="E40856" s="4" t="str">
        <v/>
      </c>
      <c r="F40856" s="102"/>
      <c r="H40856" s="4" t="str">
        <v/>
      </c>
      <c r="I40856" s="4" t="str">
        <v/>
      </c>
    </row>
    <row r="40857" spans="5:9" ht="16.5">
      <c r="E40857" s="4" t="str">
        <v/>
      </c>
      <c r="F40857" s="102"/>
      <c r="H40857" s="4" t="str">
        <v/>
      </c>
      <c r="I40857" s="4" t="str">
        <v/>
      </c>
    </row>
    <row r="40858" spans="5:9" ht="16.5">
      <c r="E40858" s="4" t="str">
        <v/>
      </c>
      <c r="F40858" s="102"/>
      <c r="H40858" s="4" t="str">
        <v/>
      </c>
      <c r="I40858" s="4" t="str">
        <v/>
      </c>
    </row>
    <row r="40859" spans="5:9" ht="16.5">
      <c r="E40859" s="4" t="str">
        <v/>
      </c>
      <c r="F40859" s="102"/>
      <c r="H40859" s="4" t="str">
        <v/>
      </c>
      <c r="I40859" s="4" t="str">
        <v/>
      </c>
    </row>
    <row r="40860" spans="5:9" ht="16.5">
      <c r="E40860" s="4" t="str">
        <v/>
      </c>
      <c r="F40860" s="102"/>
      <c r="H40860" s="4" t="str">
        <v/>
      </c>
      <c r="I40860" s="4" t="str">
        <v/>
      </c>
    </row>
    <row r="40861" spans="5:9" ht="16.5">
      <c r="E40861" s="4" t="str">
        <v/>
      </c>
      <c r="F40861" s="102"/>
      <c r="H40861" s="4" t="str">
        <v/>
      </c>
      <c r="I40861" s="4" t="str">
        <v/>
      </c>
    </row>
    <row r="40862" spans="5:9" ht="16.5">
      <c r="E40862" s="4" t="str">
        <v/>
      </c>
      <c r="F40862" s="102"/>
      <c r="H40862" s="4" t="str">
        <v/>
      </c>
      <c r="I40862" s="4" t="str">
        <v/>
      </c>
    </row>
    <row r="40863" spans="5:9" ht="16.5">
      <c r="E40863" s="4" t="str">
        <v/>
      </c>
      <c r="F40863" s="102"/>
      <c r="H40863" s="4" t="str">
        <v/>
      </c>
      <c r="I40863" s="4" t="str">
        <v/>
      </c>
    </row>
    <row r="40864" spans="5:9" ht="16.5">
      <c r="E40864" s="4" t="str">
        <v/>
      </c>
      <c r="F40864" s="102"/>
      <c r="H40864" s="4" t="str">
        <v/>
      </c>
      <c r="I40864" s="4" t="str">
        <v/>
      </c>
    </row>
    <row r="40865" spans="5:9" ht="16.5">
      <c r="E40865" s="4" t="str">
        <v/>
      </c>
      <c r="F40865" s="102"/>
      <c r="H40865" s="4" t="str">
        <v/>
      </c>
      <c r="I40865" s="4" t="str">
        <v/>
      </c>
    </row>
    <row r="40866" spans="5:9" ht="16.5">
      <c r="E40866" s="4" t="str">
        <v/>
      </c>
      <c r="F40866" s="102"/>
      <c r="H40866" s="4" t="str">
        <v/>
      </c>
      <c r="I40866" s="4" t="str">
        <v/>
      </c>
    </row>
    <row r="40867" spans="5:9" ht="16.5">
      <c r="E40867" s="4" t="str">
        <v/>
      </c>
      <c r="F40867" s="102"/>
      <c r="H40867" s="4" t="str">
        <v/>
      </c>
      <c r="I40867" s="4" t="str">
        <v/>
      </c>
    </row>
    <row r="40868" spans="5:9" ht="16.5">
      <c r="E40868" s="4" t="str">
        <v/>
      </c>
      <c r="F40868" s="102"/>
      <c r="H40868" s="4" t="str">
        <v/>
      </c>
      <c r="I40868" s="4" t="str">
        <v/>
      </c>
    </row>
    <row r="40869" spans="5:9" ht="16.5">
      <c r="E40869" s="4" t="str">
        <v/>
      </c>
      <c r="F40869" s="102"/>
      <c r="H40869" s="4" t="str">
        <v/>
      </c>
      <c r="I40869" s="4" t="str">
        <v/>
      </c>
    </row>
    <row r="40870" spans="5:9" ht="16.5">
      <c r="E40870" s="4" t="str">
        <v/>
      </c>
      <c r="F40870" s="102"/>
      <c r="H40870" s="4" t="str">
        <v/>
      </c>
      <c r="I40870" s="4" t="str">
        <v/>
      </c>
    </row>
    <row r="40871" spans="5:9" ht="16.5">
      <c r="E40871" s="4" t="str">
        <v/>
      </c>
      <c r="F40871" s="102"/>
      <c r="H40871" s="4" t="str">
        <v/>
      </c>
      <c r="I40871" s="4" t="str">
        <v/>
      </c>
    </row>
    <row r="40872" spans="5:9" ht="16.5">
      <c r="E40872" s="4" t="str">
        <v/>
      </c>
      <c r="F40872" s="102"/>
      <c r="H40872" s="4" t="str">
        <v/>
      </c>
      <c r="I40872" s="4" t="str">
        <v/>
      </c>
    </row>
    <row r="40873" spans="5:9" ht="16.5">
      <c r="E40873" s="4" t="str">
        <v/>
      </c>
      <c r="F40873" s="102"/>
      <c r="H40873" s="4" t="str">
        <v/>
      </c>
      <c r="I40873" s="4" t="str">
        <v/>
      </c>
    </row>
    <row r="40874" spans="5:9" ht="16.5">
      <c r="E40874" s="4" t="str">
        <v/>
      </c>
      <c r="F40874" s="102"/>
      <c r="H40874" s="4" t="str">
        <v/>
      </c>
      <c r="I40874" s="4" t="str">
        <v/>
      </c>
    </row>
    <row r="40875" spans="5:9" ht="16.5">
      <c r="E40875" s="4" t="str">
        <v/>
      </c>
      <c r="F40875" s="102"/>
      <c r="H40875" s="4" t="str">
        <v/>
      </c>
      <c r="I40875" s="4" t="str">
        <v/>
      </c>
    </row>
    <row r="40876" spans="5:9" ht="16.5">
      <c r="E40876" s="4" t="str">
        <v/>
      </c>
      <c r="F40876" s="102"/>
      <c r="H40876" s="4" t="str">
        <v/>
      </c>
      <c r="I40876" s="4" t="str">
        <v/>
      </c>
    </row>
    <row r="40877" spans="5:9" ht="16.5">
      <c r="E40877" s="4" t="str">
        <v/>
      </c>
      <c r="F40877" s="102"/>
      <c r="H40877" s="4" t="str">
        <v/>
      </c>
      <c r="I40877" s="4" t="str">
        <v/>
      </c>
    </row>
    <row r="40878" spans="5:9" ht="16.5">
      <c r="E40878" s="4" t="str">
        <v/>
      </c>
      <c r="F40878" s="102"/>
      <c r="H40878" s="4" t="str">
        <v/>
      </c>
      <c r="I40878" s="4" t="str">
        <v/>
      </c>
    </row>
    <row r="40879" spans="5:9" ht="16.5">
      <c r="E40879" s="4" t="str">
        <v/>
      </c>
      <c r="F40879" s="102"/>
      <c r="H40879" s="4" t="str">
        <v/>
      </c>
      <c r="I40879" s="4" t="str">
        <v/>
      </c>
    </row>
    <row r="40880" spans="5:9" ht="16.5">
      <c r="E40880" s="4" t="str">
        <v/>
      </c>
      <c r="F40880" s="102"/>
      <c r="H40880" s="4" t="str">
        <v/>
      </c>
      <c r="I40880" s="4" t="str">
        <v/>
      </c>
    </row>
    <row r="40881" spans="5:9" ht="16.5">
      <c r="E40881" s="4" t="str">
        <v/>
      </c>
      <c r="F40881" s="102"/>
      <c r="H40881" s="4" t="str">
        <v/>
      </c>
      <c r="I40881" s="4" t="str">
        <v/>
      </c>
    </row>
    <row r="40882" spans="5:9" ht="16.5">
      <c r="E40882" s="4" t="str">
        <v/>
      </c>
      <c r="F40882" s="102"/>
      <c r="H40882" s="4" t="str">
        <v/>
      </c>
      <c r="I40882" s="4" t="str">
        <v/>
      </c>
    </row>
    <row r="40883" spans="5:9" ht="16.5">
      <c r="E40883" s="4" t="str">
        <v/>
      </c>
      <c r="F40883" s="102"/>
      <c r="H40883" s="4" t="str">
        <v/>
      </c>
      <c r="I40883" s="4" t="str">
        <v/>
      </c>
    </row>
    <row r="40884" spans="5:9" ht="16.5">
      <c r="E40884" s="4" t="str">
        <v/>
      </c>
      <c r="F40884" s="102"/>
      <c r="H40884" s="4" t="str">
        <v/>
      </c>
      <c r="I40884" s="4" t="str">
        <v/>
      </c>
    </row>
    <row r="40885" spans="5:9" ht="16.5">
      <c r="E40885" s="4" t="str">
        <v/>
      </c>
      <c r="F40885" s="102"/>
      <c r="H40885" s="4" t="str">
        <v/>
      </c>
      <c r="I40885" s="4" t="str">
        <v/>
      </c>
    </row>
    <row r="40886" spans="5:9" ht="16.5">
      <c r="E40886" s="4" t="str">
        <v/>
      </c>
      <c r="F40886" s="102"/>
      <c r="H40886" s="4" t="str">
        <v/>
      </c>
      <c r="I40886" s="4" t="str">
        <v/>
      </c>
    </row>
    <row r="40887" spans="5:9" ht="16.5">
      <c r="E40887" s="4" t="str">
        <v/>
      </c>
      <c r="F40887" s="102"/>
      <c r="H40887" s="4" t="str">
        <v/>
      </c>
      <c r="I40887" s="4" t="str">
        <v/>
      </c>
    </row>
    <row r="40888" spans="5:9" ht="16.5">
      <c r="E40888" s="4" t="str">
        <v/>
      </c>
      <c r="F40888" s="102"/>
      <c r="H40888" s="4" t="str">
        <v/>
      </c>
      <c r="I40888" s="4" t="str">
        <v/>
      </c>
    </row>
    <row r="40889" spans="5:9" ht="16.5">
      <c r="E40889" s="4" t="str">
        <v/>
      </c>
      <c r="F40889" s="102"/>
      <c r="H40889" s="4" t="str">
        <v/>
      </c>
      <c r="I40889" s="4" t="str">
        <v/>
      </c>
    </row>
    <row r="40890" spans="5:9" ht="16.5">
      <c r="E40890" s="4" t="str">
        <v/>
      </c>
      <c r="F40890" s="102"/>
      <c r="H40890" s="4" t="str">
        <v/>
      </c>
      <c r="I40890" s="4" t="str">
        <v/>
      </c>
    </row>
    <row r="40891" spans="5:9" ht="16.5">
      <c r="E40891" s="4" t="str">
        <v/>
      </c>
      <c r="F40891" s="102"/>
      <c r="H40891" s="4" t="str">
        <v/>
      </c>
      <c r="I40891" s="4" t="str">
        <v/>
      </c>
    </row>
    <row r="40892" spans="5:9" ht="16.5">
      <c r="E40892" s="4" t="str">
        <v/>
      </c>
      <c r="F40892" s="102"/>
      <c r="H40892" s="4" t="str">
        <v/>
      </c>
      <c r="I40892" s="4" t="str">
        <v/>
      </c>
    </row>
    <row r="40893" spans="5:9" ht="16.5">
      <c r="E40893" s="4" t="str">
        <v/>
      </c>
      <c r="F40893" s="102"/>
      <c r="H40893" s="4" t="str">
        <v/>
      </c>
      <c r="I40893" s="4" t="str">
        <v/>
      </c>
    </row>
    <row r="40894" spans="5:9" ht="16.5">
      <c r="E40894" s="4" t="str">
        <v/>
      </c>
      <c r="F40894" s="102"/>
      <c r="H40894" s="4" t="str">
        <v/>
      </c>
      <c r="I40894" s="4" t="str">
        <v/>
      </c>
    </row>
    <row r="40895" spans="5:9" ht="16.5">
      <c r="E40895" s="4" t="str">
        <v/>
      </c>
      <c r="F40895" s="102"/>
      <c r="H40895" s="4" t="str">
        <v/>
      </c>
      <c r="I40895" s="4" t="str">
        <v/>
      </c>
    </row>
    <row r="40896" spans="5:9" ht="16.5">
      <c r="E40896" s="4" t="str">
        <v/>
      </c>
      <c r="F40896" s="102"/>
      <c r="H40896" s="4" t="str">
        <v/>
      </c>
      <c r="I40896" s="4" t="str">
        <v/>
      </c>
    </row>
    <row r="40897" spans="5:9" ht="16.5">
      <c r="E40897" s="4" t="str">
        <v/>
      </c>
      <c r="F40897" s="102"/>
      <c r="H40897" s="4" t="str">
        <v/>
      </c>
      <c r="I40897" s="4" t="str">
        <v/>
      </c>
    </row>
    <row r="40898" spans="5:9" ht="16.5">
      <c r="E40898" s="4" t="str">
        <v/>
      </c>
      <c r="F40898" s="102"/>
      <c r="H40898" s="4" t="str">
        <v/>
      </c>
      <c r="I40898" s="4" t="str">
        <v/>
      </c>
    </row>
    <row r="40899" spans="5:9" ht="16.5">
      <c r="E40899" s="4" t="str">
        <v/>
      </c>
      <c r="F40899" s="102"/>
      <c r="H40899" s="4" t="str">
        <v/>
      </c>
      <c r="I40899" s="4" t="str">
        <v/>
      </c>
    </row>
    <row r="40900" spans="5:9" ht="16.5">
      <c r="E40900" s="4" t="str">
        <v/>
      </c>
      <c r="F40900" s="102"/>
      <c r="H40900" s="4" t="str">
        <v/>
      </c>
      <c r="I40900" s="4" t="str">
        <v/>
      </c>
    </row>
    <row r="40901" spans="5:9" ht="16.5">
      <c r="E40901" s="4" t="str">
        <v/>
      </c>
      <c r="F40901" s="102"/>
      <c r="H40901" s="4" t="str">
        <v/>
      </c>
      <c r="I40901" s="4" t="str">
        <v/>
      </c>
    </row>
    <row r="40902" spans="5:9" ht="16.5">
      <c r="E40902" s="4" t="str">
        <v/>
      </c>
      <c r="F40902" s="102"/>
      <c r="H40902" s="4" t="str">
        <v/>
      </c>
      <c r="I40902" s="4" t="str">
        <v/>
      </c>
    </row>
    <row r="40903" spans="5:9" ht="16.5">
      <c r="E40903" s="4" t="str">
        <v/>
      </c>
      <c r="F40903" s="102"/>
      <c r="H40903" s="4" t="str">
        <v/>
      </c>
      <c r="I40903" s="4" t="str">
        <v/>
      </c>
    </row>
    <row r="40904" spans="5:9" ht="16.5">
      <c r="E40904" s="4" t="str">
        <v/>
      </c>
      <c r="F40904" s="102"/>
      <c r="H40904" s="4" t="str">
        <v/>
      </c>
      <c r="I40904" s="4" t="str">
        <v/>
      </c>
    </row>
    <row r="40905" spans="5:9" ht="16.5">
      <c r="E40905" s="4" t="str">
        <v/>
      </c>
      <c r="F40905" s="102"/>
      <c r="H40905" s="4" t="str">
        <v/>
      </c>
      <c r="I40905" s="4" t="str">
        <v/>
      </c>
    </row>
    <row r="40906" spans="5:9" ht="16.5">
      <c r="E40906" s="4" t="str">
        <v/>
      </c>
      <c r="F40906" s="102"/>
      <c r="H40906" s="4" t="str">
        <v/>
      </c>
      <c r="I40906" s="4" t="str">
        <v/>
      </c>
    </row>
    <row r="40907" spans="5:9" ht="16.5">
      <c r="E40907" s="4" t="str">
        <v/>
      </c>
      <c r="F40907" s="102"/>
      <c r="H40907" s="4" t="str">
        <v/>
      </c>
      <c r="I40907" s="4" t="str">
        <v/>
      </c>
    </row>
    <row r="40908" spans="5:9" ht="16.5">
      <c r="E40908" s="4" t="str">
        <v/>
      </c>
      <c r="F40908" s="102"/>
      <c r="H40908" s="4" t="str">
        <v/>
      </c>
      <c r="I40908" s="4" t="str">
        <v/>
      </c>
    </row>
    <row r="40909" spans="5:9" ht="16.5">
      <c r="E40909" s="4" t="str">
        <v/>
      </c>
      <c r="F40909" s="102"/>
      <c r="H40909" s="4" t="str">
        <v/>
      </c>
      <c r="I40909" s="4" t="str">
        <v/>
      </c>
    </row>
    <row r="40910" spans="5:9" ht="16.5">
      <c r="E40910" s="4" t="str">
        <v/>
      </c>
      <c r="F40910" s="102"/>
      <c r="H40910" s="4" t="str">
        <v/>
      </c>
      <c r="I40910" s="4" t="str">
        <v/>
      </c>
    </row>
    <row r="40911" spans="5:9" ht="16.5">
      <c r="E40911" s="4" t="str">
        <v/>
      </c>
      <c r="F40911" s="102"/>
      <c r="H40911" s="4" t="str">
        <v/>
      </c>
      <c r="I40911" s="4" t="str">
        <v/>
      </c>
    </row>
    <row r="40912" spans="5:9" ht="16.5">
      <c r="E40912" s="4" t="str">
        <v/>
      </c>
      <c r="F40912" s="102"/>
      <c r="H40912" s="4" t="str">
        <v/>
      </c>
      <c r="I40912" s="4" t="str">
        <v/>
      </c>
    </row>
    <row r="40913" spans="5:9" ht="16.5">
      <c r="E40913" s="4" t="str">
        <v/>
      </c>
      <c r="F40913" s="102"/>
      <c r="H40913" s="4" t="str">
        <v/>
      </c>
      <c r="I40913" s="4" t="str">
        <v/>
      </c>
    </row>
    <row r="40914" spans="5:9" ht="16.5">
      <c r="E40914" s="4" t="str">
        <v/>
      </c>
      <c r="F40914" s="102"/>
      <c r="H40914" s="4" t="str">
        <v/>
      </c>
      <c r="I40914" s="4" t="str">
        <v/>
      </c>
    </row>
    <row r="40915" spans="5:9" ht="16.5">
      <c r="E40915" s="4" t="str">
        <v/>
      </c>
      <c r="F40915" s="102"/>
      <c r="H40915" s="4" t="str">
        <v/>
      </c>
      <c r="I40915" s="4" t="str">
        <v/>
      </c>
    </row>
    <row r="40916" spans="5:9" ht="16.5">
      <c r="E40916" s="4" t="str">
        <v/>
      </c>
      <c r="F40916" s="102"/>
      <c r="H40916" s="4" t="str">
        <v/>
      </c>
      <c r="I40916" s="4" t="str">
        <v/>
      </c>
    </row>
    <row r="40917" spans="5:9" ht="16.5">
      <c r="E40917" s="4" t="str">
        <v/>
      </c>
      <c r="F40917" s="102"/>
      <c r="H40917" s="4" t="str">
        <v/>
      </c>
      <c r="I40917" s="4" t="str">
        <v/>
      </c>
    </row>
    <row r="40918" spans="5:9" ht="16.5">
      <c r="E40918" s="4" t="str">
        <v/>
      </c>
      <c r="F40918" s="102"/>
      <c r="H40918" s="4" t="str">
        <v/>
      </c>
      <c r="I40918" s="4" t="str">
        <v/>
      </c>
    </row>
    <row r="40919" spans="5:9" ht="16.5">
      <c r="E40919" s="4" t="str">
        <v/>
      </c>
      <c r="F40919" s="102"/>
      <c r="H40919" s="4" t="str">
        <v/>
      </c>
      <c r="I40919" s="4" t="str">
        <v/>
      </c>
    </row>
    <row r="40920" spans="5:9" ht="16.5">
      <c r="E40920" s="4" t="str">
        <v/>
      </c>
      <c r="F40920" s="102"/>
      <c r="H40920" s="4" t="str">
        <v/>
      </c>
      <c r="I40920" s="4" t="str">
        <v/>
      </c>
    </row>
    <row r="40921" spans="5:9" ht="16.5">
      <c r="E40921" s="4" t="str">
        <v/>
      </c>
      <c r="F40921" s="102"/>
      <c r="H40921" s="4" t="str">
        <v/>
      </c>
      <c r="I40921" s="4" t="str">
        <v/>
      </c>
    </row>
    <row r="40922" spans="5:9" ht="16.5">
      <c r="E40922" s="4" t="str">
        <v/>
      </c>
      <c r="F40922" s="102"/>
      <c r="H40922" s="4" t="str">
        <v/>
      </c>
      <c r="I40922" s="4" t="str">
        <v/>
      </c>
    </row>
    <row r="40923" spans="5:9" ht="16.5">
      <c r="E40923" s="4" t="str">
        <v/>
      </c>
      <c r="F40923" s="102"/>
      <c r="H40923" s="4" t="str">
        <v/>
      </c>
      <c r="I40923" s="4" t="str">
        <v/>
      </c>
    </row>
    <row r="40924" spans="5:9" ht="16.5">
      <c r="E40924" s="4" t="str">
        <v/>
      </c>
      <c r="F40924" s="102"/>
      <c r="H40924" s="4" t="str">
        <v/>
      </c>
      <c r="I40924" s="4" t="str">
        <v/>
      </c>
    </row>
    <row r="40925" spans="5:9" ht="16.5">
      <c r="E40925" s="4" t="str">
        <v/>
      </c>
      <c r="F40925" s="102"/>
      <c r="H40925" s="4" t="str">
        <v/>
      </c>
      <c r="I40925" s="4" t="str">
        <v/>
      </c>
    </row>
    <row r="40926" spans="5:9" ht="16.5">
      <c r="E40926" s="4" t="str">
        <v/>
      </c>
      <c r="F40926" s="102"/>
      <c r="H40926" s="4" t="str">
        <v/>
      </c>
      <c r="I40926" s="4" t="str">
        <v/>
      </c>
    </row>
    <row r="40927" spans="5:9" ht="16.5">
      <c r="E40927" s="4" t="str">
        <v/>
      </c>
      <c r="F40927" s="102"/>
      <c r="H40927" s="4" t="str">
        <v/>
      </c>
      <c r="I40927" s="4" t="str">
        <v/>
      </c>
    </row>
    <row r="40928" spans="5:9" ht="16.5">
      <c r="E40928" s="4" t="str">
        <v/>
      </c>
      <c r="F40928" s="102"/>
      <c r="H40928" s="4" t="str">
        <v/>
      </c>
      <c r="I40928" s="4" t="str">
        <v/>
      </c>
    </row>
    <row r="40929" spans="5:9" ht="16.5">
      <c r="E40929" s="4" t="str">
        <v/>
      </c>
      <c r="F40929" s="102"/>
      <c r="H40929" s="4" t="str">
        <v/>
      </c>
      <c r="I40929" s="4" t="str">
        <v/>
      </c>
    </row>
    <row r="40930" spans="5:9" ht="16.5">
      <c r="E40930" s="4" t="str">
        <v/>
      </c>
      <c r="F40930" s="102"/>
      <c r="H40930" s="4" t="str">
        <v/>
      </c>
      <c r="I40930" s="4" t="str">
        <v/>
      </c>
    </row>
    <row r="40931" spans="5:9" ht="16.5">
      <c r="E40931" s="4" t="str">
        <v/>
      </c>
      <c r="F40931" s="102"/>
      <c r="H40931" s="4" t="str">
        <v/>
      </c>
      <c r="I40931" s="4" t="str">
        <v/>
      </c>
    </row>
    <row r="40932" spans="5:9" ht="16.5">
      <c r="E40932" s="4" t="str">
        <v/>
      </c>
      <c r="F40932" s="102"/>
      <c r="H40932" s="4" t="str">
        <v/>
      </c>
      <c r="I40932" s="4" t="str">
        <v/>
      </c>
    </row>
    <row r="40933" spans="5:9" ht="16.5">
      <c r="E40933" s="4" t="str">
        <v/>
      </c>
      <c r="F40933" s="102"/>
      <c r="H40933" s="4" t="str">
        <v/>
      </c>
      <c r="I40933" s="4" t="str">
        <v/>
      </c>
    </row>
    <row r="40934" spans="5:9" ht="16.5">
      <c r="E40934" s="4" t="str">
        <v/>
      </c>
      <c r="F40934" s="102"/>
      <c r="H40934" s="4" t="str">
        <v/>
      </c>
      <c r="I40934" s="4" t="str">
        <v/>
      </c>
    </row>
    <row r="40935" spans="5:9" ht="16.5">
      <c r="E40935" s="4" t="str">
        <v/>
      </c>
      <c r="F40935" s="102"/>
      <c r="H40935" s="4" t="str">
        <v/>
      </c>
      <c r="I40935" s="4" t="str">
        <v/>
      </c>
    </row>
    <row r="40936" spans="5:9" ht="16.5">
      <c r="E40936" s="4" t="str">
        <v/>
      </c>
      <c r="F40936" s="102"/>
      <c r="H40936" s="4" t="str">
        <v/>
      </c>
      <c r="I40936" s="4" t="str">
        <v/>
      </c>
    </row>
    <row r="40937" spans="5:9" ht="16.5">
      <c r="E40937" s="4" t="str">
        <v/>
      </c>
      <c r="F40937" s="102"/>
      <c r="H40937" s="4" t="str">
        <v/>
      </c>
      <c r="I40937" s="4" t="str">
        <v/>
      </c>
    </row>
    <row r="40938" spans="5:9" ht="16.5">
      <c r="E40938" s="4" t="str">
        <v/>
      </c>
      <c r="F40938" s="102"/>
      <c r="H40938" s="4" t="str">
        <v/>
      </c>
      <c r="I40938" s="4" t="str">
        <v/>
      </c>
    </row>
    <row r="40939" spans="5:9" ht="16.5">
      <c r="E40939" s="4" t="str">
        <v/>
      </c>
      <c r="F40939" s="102"/>
      <c r="H40939" s="4" t="str">
        <v/>
      </c>
      <c r="I40939" s="4" t="str">
        <v/>
      </c>
    </row>
    <row r="40940" spans="5:9" ht="16.5">
      <c r="E40940" s="4" t="str">
        <v/>
      </c>
      <c r="F40940" s="102"/>
      <c r="H40940" s="4" t="str">
        <v/>
      </c>
      <c r="I40940" s="4" t="str">
        <v/>
      </c>
    </row>
    <row r="40941" spans="5:9" ht="16.5">
      <c r="E40941" s="4" t="str">
        <v/>
      </c>
      <c r="F40941" s="102"/>
      <c r="H40941" s="4" t="str">
        <v/>
      </c>
      <c r="I40941" s="4" t="str">
        <v/>
      </c>
    </row>
    <row r="40942" spans="5:9" ht="16.5">
      <c r="E40942" s="4" t="str">
        <v/>
      </c>
      <c r="F40942" s="102"/>
      <c r="H40942" s="4" t="str">
        <v/>
      </c>
      <c r="I40942" s="4" t="str">
        <v/>
      </c>
    </row>
    <row r="40943" spans="5:9" ht="16.5">
      <c r="E40943" s="4" t="str">
        <v/>
      </c>
      <c r="F40943" s="102"/>
      <c r="H40943" s="4" t="str">
        <v/>
      </c>
      <c r="I40943" s="4" t="str">
        <v/>
      </c>
    </row>
    <row r="40944" spans="5:9" ht="16.5">
      <c r="E40944" s="4" t="str">
        <v/>
      </c>
      <c r="F40944" s="102"/>
      <c r="H40944" s="4" t="str">
        <v/>
      </c>
      <c r="I40944" s="4" t="str">
        <v/>
      </c>
    </row>
    <row r="40945" spans="5:9" ht="16.5">
      <c r="E40945" s="4" t="str">
        <v/>
      </c>
      <c r="F40945" s="102"/>
      <c r="H40945" s="4" t="str">
        <v/>
      </c>
      <c r="I40945" s="4" t="str">
        <v/>
      </c>
    </row>
    <row r="40946" spans="5:9" ht="16.5">
      <c r="E40946" s="4" t="str">
        <v/>
      </c>
      <c r="F40946" s="102"/>
      <c r="H40946" s="4" t="str">
        <v/>
      </c>
      <c r="I40946" s="4" t="str">
        <v/>
      </c>
    </row>
    <row r="40947" spans="5:9" ht="16.5">
      <c r="E40947" s="4" t="str">
        <v/>
      </c>
      <c r="F40947" s="102"/>
      <c r="H40947" s="4" t="str">
        <v/>
      </c>
      <c r="I40947" s="4" t="str">
        <v/>
      </c>
    </row>
    <row r="40948" spans="5:9" ht="16.5">
      <c r="E40948" s="4" t="str">
        <v/>
      </c>
      <c r="F40948" s="102"/>
      <c r="H40948" s="4" t="str">
        <v/>
      </c>
      <c r="I40948" s="4" t="str">
        <v/>
      </c>
    </row>
    <row r="40949" spans="5:9" ht="16.5">
      <c r="E40949" s="4" t="str">
        <v/>
      </c>
      <c r="F40949" s="102"/>
      <c r="H40949" s="4" t="str">
        <v/>
      </c>
      <c r="I40949" s="4" t="str">
        <v/>
      </c>
    </row>
    <row r="40950" spans="5:9" ht="16.5">
      <c r="E40950" s="4" t="str">
        <v/>
      </c>
      <c r="F40950" s="102"/>
      <c r="H40950" s="4" t="str">
        <v/>
      </c>
      <c r="I40950" s="4" t="str">
        <v/>
      </c>
    </row>
    <row r="40951" spans="5:9" ht="16.5">
      <c r="E40951" s="4" t="str">
        <v/>
      </c>
      <c r="F40951" s="102"/>
      <c r="H40951" s="4" t="str">
        <v/>
      </c>
      <c r="I40951" s="4" t="str">
        <v/>
      </c>
    </row>
    <row r="40952" spans="5:9" ht="16.5">
      <c r="E40952" s="4" t="str">
        <v/>
      </c>
      <c r="F40952" s="102"/>
      <c r="H40952" s="4" t="str">
        <v/>
      </c>
      <c r="I40952" s="4" t="str">
        <v/>
      </c>
    </row>
    <row r="40953" spans="5:9" ht="16.5">
      <c r="E40953" s="4" t="str">
        <v/>
      </c>
      <c r="F40953" s="102"/>
      <c r="H40953" s="4" t="str">
        <v/>
      </c>
      <c r="I40953" s="4" t="str">
        <v/>
      </c>
    </row>
    <row r="40954" spans="5:9" ht="16.5">
      <c r="E40954" s="4" t="str">
        <v/>
      </c>
      <c r="F40954" s="102"/>
      <c r="H40954" s="4" t="str">
        <v/>
      </c>
      <c r="I40954" s="4" t="str">
        <v/>
      </c>
    </row>
    <row r="40955" spans="5:9" ht="16.5">
      <c r="E40955" s="4" t="str">
        <v/>
      </c>
      <c r="F40955" s="102"/>
      <c r="H40955" s="4" t="str">
        <v/>
      </c>
      <c r="I40955" s="4" t="str">
        <v/>
      </c>
    </row>
    <row r="40956" spans="5:9" ht="16.5">
      <c r="E40956" s="4" t="str">
        <v/>
      </c>
      <c r="F40956" s="102"/>
      <c r="H40956" s="4" t="str">
        <v/>
      </c>
      <c r="I40956" s="4" t="str">
        <v/>
      </c>
    </row>
    <row r="40957" spans="5:9" ht="16.5">
      <c r="E40957" s="4" t="str">
        <v/>
      </c>
      <c r="F40957" s="102"/>
      <c r="H40957" s="4" t="str">
        <v/>
      </c>
      <c r="I40957" s="4" t="str">
        <v/>
      </c>
    </row>
    <row r="40958" spans="5:9" ht="16.5">
      <c r="E40958" s="4" t="str">
        <v/>
      </c>
      <c r="F40958" s="102"/>
      <c r="H40958" s="4" t="str">
        <v/>
      </c>
      <c r="I40958" s="4" t="str">
        <v/>
      </c>
    </row>
    <row r="40959" spans="5:9" ht="16.5">
      <c r="E40959" s="4" t="str">
        <v/>
      </c>
      <c r="F40959" s="102"/>
      <c r="H40959" s="4" t="str">
        <v/>
      </c>
      <c r="I40959" s="4" t="str">
        <v/>
      </c>
    </row>
    <row r="40960" spans="5:9" ht="16.5">
      <c r="E40960" s="4" t="str">
        <v/>
      </c>
      <c r="F40960" s="102"/>
      <c r="H40960" s="4" t="str">
        <v/>
      </c>
      <c r="I40960" s="4" t="str">
        <v/>
      </c>
    </row>
    <row r="40961" spans="5:9" ht="16.5">
      <c r="E40961" s="4" t="str">
        <v/>
      </c>
      <c r="F40961" s="102"/>
      <c r="H40961" s="4" t="str">
        <v/>
      </c>
      <c r="I40961" s="4" t="str">
        <v/>
      </c>
    </row>
    <row r="40962" spans="5:9" ht="16.5">
      <c r="E40962" s="4" t="str">
        <v/>
      </c>
      <c r="F40962" s="102"/>
      <c r="H40962" s="4" t="str">
        <v/>
      </c>
      <c r="I40962" s="4" t="str">
        <v/>
      </c>
    </row>
    <row r="40963" spans="5:9" ht="16.5">
      <c r="E40963" s="4" t="str">
        <v/>
      </c>
      <c r="F40963" s="102"/>
      <c r="H40963" s="4" t="str">
        <v/>
      </c>
      <c r="I40963" s="4" t="str">
        <v/>
      </c>
    </row>
    <row r="40964" spans="5:9" ht="16.5">
      <c r="E40964" s="4" t="str">
        <v/>
      </c>
      <c r="F40964" s="102"/>
      <c r="H40964" s="4" t="str">
        <v/>
      </c>
      <c r="I40964" s="4" t="str">
        <v/>
      </c>
    </row>
    <row r="40965" spans="5:9" ht="16.5">
      <c r="E40965" s="4" t="str">
        <v/>
      </c>
      <c r="F40965" s="102"/>
      <c r="H40965" s="4" t="str">
        <v/>
      </c>
      <c r="I40965" s="4" t="str">
        <v/>
      </c>
    </row>
    <row r="40966" spans="5:9" ht="16.5">
      <c r="E40966" s="4" t="str">
        <v/>
      </c>
      <c r="F40966" s="102"/>
      <c r="H40966" s="4" t="str">
        <v/>
      </c>
      <c r="I40966" s="4" t="str">
        <v/>
      </c>
    </row>
    <row r="40967" spans="5:9" ht="16.5">
      <c r="E40967" s="4" t="str">
        <v/>
      </c>
      <c r="F40967" s="102"/>
      <c r="H40967" s="4" t="str">
        <v/>
      </c>
      <c r="I40967" s="4" t="str">
        <v/>
      </c>
    </row>
    <row r="40968" spans="5:9" ht="16.5">
      <c r="E40968" s="4" t="str">
        <v/>
      </c>
      <c r="F40968" s="102"/>
      <c r="H40968" s="4" t="str">
        <v/>
      </c>
      <c r="I40968" s="4" t="str">
        <v/>
      </c>
    </row>
    <row r="40969" spans="5:9" ht="16.5">
      <c r="E40969" s="4" t="str">
        <v/>
      </c>
      <c r="F40969" s="102"/>
      <c r="H40969" s="4" t="str">
        <v/>
      </c>
      <c r="I40969" s="4" t="str">
        <v/>
      </c>
    </row>
    <row r="40970" spans="5:9" ht="16.5">
      <c r="E40970" s="4" t="str">
        <v/>
      </c>
      <c r="F40970" s="102"/>
      <c r="H40970" s="4" t="str">
        <v/>
      </c>
      <c r="I40970" s="4" t="str">
        <v/>
      </c>
    </row>
    <row r="40971" spans="5:9" ht="16.5">
      <c r="E40971" s="4" t="str">
        <v/>
      </c>
      <c r="F40971" s="102"/>
      <c r="H40971" s="4" t="str">
        <v/>
      </c>
      <c r="I40971" s="4" t="str">
        <v/>
      </c>
    </row>
    <row r="40972" spans="5:9" ht="16.5">
      <c r="E40972" s="4" t="str">
        <v/>
      </c>
      <c r="F40972" s="102"/>
      <c r="H40972" s="4" t="str">
        <v/>
      </c>
      <c r="I40972" s="4" t="str">
        <v/>
      </c>
    </row>
    <row r="40973" spans="5:9" ht="16.5">
      <c r="E40973" s="4" t="str">
        <v/>
      </c>
      <c r="F40973" s="102"/>
      <c r="H40973" s="4" t="str">
        <v/>
      </c>
      <c r="I40973" s="4" t="str">
        <v/>
      </c>
    </row>
    <row r="40974" spans="5:9" ht="16.5">
      <c r="E40974" s="4" t="str">
        <v/>
      </c>
      <c r="F40974" s="102"/>
      <c r="H40974" s="4" t="str">
        <v/>
      </c>
      <c r="I40974" s="4" t="str">
        <v/>
      </c>
    </row>
    <row r="40975" spans="5:9" ht="16.5">
      <c r="E40975" s="4" t="str">
        <v/>
      </c>
      <c r="F40975" s="102"/>
      <c r="H40975" s="4" t="str">
        <v/>
      </c>
      <c r="I40975" s="4" t="str">
        <v/>
      </c>
    </row>
    <row r="40976" spans="5:9" ht="16.5">
      <c r="E40976" s="4" t="str">
        <v/>
      </c>
      <c r="F40976" s="102"/>
      <c r="H40976" s="4" t="str">
        <v/>
      </c>
      <c r="I40976" s="4" t="str">
        <v/>
      </c>
    </row>
    <row r="40977" spans="5:9" ht="16.5">
      <c r="E40977" s="4" t="str">
        <v/>
      </c>
      <c r="F40977" s="102"/>
      <c r="H40977" s="4" t="str">
        <v/>
      </c>
      <c r="I40977" s="4" t="str">
        <v/>
      </c>
    </row>
    <row r="40978" spans="5:9" ht="16.5">
      <c r="E40978" s="4" t="str">
        <v/>
      </c>
      <c r="F40978" s="102"/>
      <c r="H40978" s="4" t="str">
        <v/>
      </c>
      <c r="I40978" s="4" t="str">
        <v/>
      </c>
    </row>
    <row r="40979" spans="5:9" ht="16.5">
      <c r="E40979" s="4" t="str">
        <v/>
      </c>
      <c r="F40979" s="102"/>
      <c r="H40979" s="4" t="str">
        <v/>
      </c>
      <c r="I40979" s="4" t="str">
        <v/>
      </c>
    </row>
    <row r="40980" spans="5:9" ht="16.5">
      <c r="E40980" s="4" t="str">
        <v/>
      </c>
      <c r="F40980" s="102"/>
      <c r="H40980" s="4" t="str">
        <v/>
      </c>
      <c r="I40980" s="4" t="str">
        <v/>
      </c>
    </row>
    <row r="40981" spans="5:9" ht="16.5">
      <c r="E40981" s="4" t="str">
        <v/>
      </c>
      <c r="F40981" s="102"/>
      <c r="H40981" s="4" t="str">
        <v/>
      </c>
      <c r="I40981" s="4" t="str">
        <v/>
      </c>
    </row>
    <row r="40982" spans="5:9" ht="16.5">
      <c r="E40982" s="4" t="str">
        <v/>
      </c>
      <c r="F40982" s="102"/>
      <c r="H40982" s="4" t="str">
        <v/>
      </c>
      <c r="I40982" s="4" t="str">
        <v/>
      </c>
    </row>
    <row r="40983" spans="5:9" ht="16.5">
      <c r="E40983" s="4" t="str">
        <v/>
      </c>
      <c r="F40983" s="102"/>
      <c r="H40983" s="4" t="str">
        <v/>
      </c>
      <c r="I40983" s="4" t="str">
        <v/>
      </c>
    </row>
    <row r="40984" spans="5:9" ht="16.5">
      <c r="E40984" s="4" t="str">
        <v/>
      </c>
      <c r="F40984" s="102"/>
      <c r="H40984" s="4" t="str">
        <v/>
      </c>
      <c r="I40984" s="4" t="str">
        <v/>
      </c>
    </row>
    <row r="40985" spans="5:9" ht="16.5">
      <c r="E40985" s="4" t="str">
        <v/>
      </c>
      <c r="F40985" s="102"/>
      <c r="H40985" s="4" t="str">
        <v/>
      </c>
      <c r="I40985" s="4" t="str">
        <v/>
      </c>
    </row>
    <row r="40986" spans="5:9" ht="16.5">
      <c r="E40986" s="4" t="str">
        <v/>
      </c>
      <c r="F40986" s="102"/>
      <c r="H40986" s="4" t="str">
        <v/>
      </c>
      <c r="I40986" s="4" t="str">
        <v/>
      </c>
    </row>
    <row r="40987" spans="5:9" ht="16.5">
      <c r="E40987" s="4" t="str">
        <v/>
      </c>
      <c r="F40987" s="102"/>
      <c r="H40987" s="4" t="str">
        <v/>
      </c>
      <c r="I40987" s="4" t="str">
        <v/>
      </c>
    </row>
    <row r="40988" spans="5:9" ht="16.5">
      <c r="E40988" s="4" t="str">
        <v/>
      </c>
      <c r="F40988" s="102"/>
      <c r="H40988" s="4" t="str">
        <v/>
      </c>
      <c r="I40988" s="4" t="str">
        <v/>
      </c>
    </row>
    <row r="40989" spans="5:9" ht="16.5">
      <c r="E40989" s="4" t="str">
        <v/>
      </c>
      <c r="F40989" s="102"/>
      <c r="H40989" s="4" t="str">
        <v/>
      </c>
      <c r="I40989" s="4" t="str">
        <v/>
      </c>
    </row>
    <row r="40990" spans="5:9" ht="16.5">
      <c r="E40990" s="4" t="str">
        <v/>
      </c>
      <c r="F40990" s="102"/>
      <c r="H40990" s="4" t="str">
        <v/>
      </c>
      <c r="I40990" s="4" t="str">
        <v/>
      </c>
    </row>
    <row r="40991" spans="5:9" ht="16.5">
      <c r="E40991" s="4" t="str">
        <v/>
      </c>
      <c r="F40991" s="102"/>
      <c r="H40991" s="4" t="str">
        <v/>
      </c>
      <c r="I40991" s="4" t="str">
        <v/>
      </c>
    </row>
    <row r="40992" spans="5:9" ht="16.5">
      <c r="E40992" s="4" t="str">
        <v/>
      </c>
      <c r="F40992" s="102"/>
      <c r="H40992" s="4" t="str">
        <v/>
      </c>
      <c r="I40992" s="4" t="str">
        <v/>
      </c>
    </row>
    <row r="40993" spans="5:9" ht="16.5">
      <c r="E40993" s="4" t="str">
        <v/>
      </c>
      <c r="F40993" s="102"/>
      <c r="H40993" s="4" t="str">
        <v/>
      </c>
      <c r="I40993" s="4" t="str">
        <v/>
      </c>
    </row>
    <row r="40994" spans="5:9" ht="16.5">
      <c r="E40994" s="4" t="str">
        <v/>
      </c>
      <c r="F40994" s="102"/>
      <c r="H40994" s="4" t="str">
        <v/>
      </c>
      <c r="I40994" s="4" t="str">
        <v/>
      </c>
    </row>
    <row r="40995" spans="5:9" ht="16.5">
      <c r="E40995" s="4" t="str">
        <v/>
      </c>
      <c r="F40995" s="102"/>
      <c r="H40995" s="4" t="str">
        <v/>
      </c>
      <c r="I40995" s="4" t="str">
        <v/>
      </c>
    </row>
    <row r="40996" spans="5:9" ht="16.5">
      <c r="E40996" s="4" t="str">
        <v/>
      </c>
      <c r="F40996" s="102"/>
      <c r="H40996" s="4" t="str">
        <v/>
      </c>
      <c r="I40996" s="4" t="str">
        <v/>
      </c>
    </row>
    <row r="40997" spans="5:9" ht="16.5">
      <c r="E40997" s="4" t="str">
        <v/>
      </c>
      <c r="F40997" s="102"/>
      <c r="H40997" s="4" t="str">
        <v/>
      </c>
      <c r="I40997" s="4" t="str">
        <v/>
      </c>
    </row>
    <row r="40998" spans="5:9" ht="16.5">
      <c r="E40998" s="4" t="str">
        <v/>
      </c>
      <c r="F40998" s="102"/>
      <c r="H40998" s="4" t="str">
        <v/>
      </c>
      <c r="I40998" s="4" t="str">
        <v/>
      </c>
    </row>
    <row r="40999" spans="5:9" ht="16.5">
      <c r="E40999" s="4" t="str">
        <v/>
      </c>
      <c r="F40999" s="102"/>
      <c r="H40999" s="4" t="str">
        <v/>
      </c>
      <c r="I40999" s="4" t="str">
        <v/>
      </c>
    </row>
    <row r="41000" spans="5:9" ht="16.5">
      <c r="E41000" s="4" t="str">
        <v/>
      </c>
      <c r="F41000" s="102"/>
      <c r="H41000" s="4" t="str">
        <v/>
      </c>
      <c r="I41000" s="4" t="str">
        <v/>
      </c>
    </row>
    <row r="41001" spans="5:9" ht="16.5">
      <c r="E41001" s="4" t="str">
        <v/>
      </c>
      <c r="F41001" s="102"/>
      <c r="H41001" s="4" t="str">
        <v/>
      </c>
      <c r="I41001" s="4" t="str">
        <v/>
      </c>
    </row>
    <row r="41002" spans="5:9" ht="16.5">
      <c r="E41002" s="4" t="str">
        <v/>
      </c>
      <c r="F41002" s="102"/>
      <c r="H41002" s="4" t="str">
        <v/>
      </c>
      <c r="I41002" s="4" t="str">
        <v/>
      </c>
    </row>
    <row r="41003" spans="5:9" ht="16.5">
      <c r="E41003" s="4" t="str">
        <v/>
      </c>
      <c r="F41003" s="102"/>
      <c r="H41003" s="4" t="str">
        <v/>
      </c>
      <c r="I41003" s="4" t="str">
        <v/>
      </c>
    </row>
    <row r="41004" spans="5:9" ht="16.5">
      <c r="E41004" s="4" t="str">
        <v/>
      </c>
      <c r="F41004" s="102"/>
      <c r="H41004" s="4" t="str">
        <v/>
      </c>
      <c r="I41004" s="4" t="str">
        <v/>
      </c>
    </row>
    <row r="41005" spans="5:9" ht="16.5">
      <c r="E41005" s="4" t="str">
        <v/>
      </c>
      <c r="F41005" s="102"/>
      <c r="H41005" s="4" t="str">
        <v/>
      </c>
      <c r="I41005" s="4" t="str">
        <v/>
      </c>
    </row>
    <row r="41006" spans="5:9" ht="16.5">
      <c r="E41006" s="4" t="str">
        <v/>
      </c>
      <c r="F41006" s="102"/>
      <c r="H41006" s="4" t="str">
        <v/>
      </c>
      <c r="I41006" s="4" t="str">
        <v/>
      </c>
    </row>
    <row r="41007" spans="5:9" ht="16.5">
      <c r="E41007" s="4" t="str">
        <v/>
      </c>
      <c r="F41007" s="102"/>
      <c r="H41007" s="4" t="str">
        <v/>
      </c>
      <c r="I41007" s="4" t="str">
        <v/>
      </c>
    </row>
    <row r="41008" spans="5:9" ht="16.5">
      <c r="E41008" s="4" t="str">
        <v/>
      </c>
      <c r="F41008" s="102"/>
      <c r="H41008" s="4" t="str">
        <v/>
      </c>
      <c r="I41008" s="4" t="str">
        <v/>
      </c>
    </row>
    <row r="41009" spans="5:9" ht="16.5">
      <c r="E41009" s="4" t="str">
        <v/>
      </c>
      <c r="F41009" s="102"/>
      <c r="H41009" s="4" t="str">
        <v/>
      </c>
      <c r="I41009" s="4" t="str">
        <v/>
      </c>
    </row>
    <row r="41010" spans="5:9" ht="16.5">
      <c r="E41010" s="4" t="str">
        <v/>
      </c>
      <c r="F41010" s="102"/>
      <c r="H41010" s="4" t="str">
        <v/>
      </c>
      <c r="I41010" s="4" t="str">
        <v/>
      </c>
    </row>
    <row r="41011" spans="5:9" ht="16.5">
      <c r="E41011" s="4" t="str">
        <v/>
      </c>
      <c r="F41011" s="102"/>
      <c r="H41011" s="4" t="str">
        <v/>
      </c>
      <c r="I41011" s="4" t="str">
        <v/>
      </c>
    </row>
    <row r="41012" spans="5:9" ht="16.5">
      <c r="E41012" s="4" t="str">
        <v/>
      </c>
      <c r="F41012" s="102"/>
      <c r="H41012" s="4" t="str">
        <v/>
      </c>
      <c r="I41012" s="4" t="str">
        <v/>
      </c>
    </row>
    <row r="41013" spans="5:9" ht="16.5">
      <c r="E41013" s="4" t="str">
        <v/>
      </c>
      <c r="F41013" s="102"/>
      <c r="H41013" s="4" t="str">
        <v/>
      </c>
      <c r="I41013" s="4" t="str">
        <v/>
      </c>
    </row>
    <row r="41014" spans="5:9" ht="16.5">
      <c r="E41014" s="4" t="str">
        <v/>
      </c>
      <c r="F41014" s="102"/>
      <c r="H41014" s="4" t="str">
        <v/>
      </c>
      <c r="I41014" s="4" t="str">
        <v/>
      </c>
    </row>
    <row r="41015" spans="5:9" ht="16.5">
      <c r="E41015" s="4" t="str">
        <v/>
      </c>
      <c r="F41015" s="102"/>
      <c r="H41015" s="4" t="str">
        <v/>
      </c>
      <c r="I41015" s="4" t="str">
        <v/>
      </c>
    </row>
    <row r="41016" spans="5:9" ht="16.5">
      <c r="E41016" s="4" t="str">
        <v/>
      </c>
      <c r="F41016" s="102"/>
      <c r="H41016" s="4" t="str">
        <v/>
      </c>
      <c r="I41016" s="4" t="str">
        <v/>
      </c>
    </row>
    <row r="41017" spans="5:9" ht="16.5">
      <c r="E41017" s="4" t="str">
        <v/>
      </c>
      <c r="F41017" s="102"/>
      <c r="H41017" s="4" t="str">
        <v/>
      </c>
      <c r="I41017" s="4" t="str">
        <v/>
      </c>
    </row>
    <row r="41018" spans="5:9" ht="16.5">
      <c r="E41018" s="4" t="str">
        <v/>
      </c>
      <c r="F41018" s="102"/>
      <c r="H41018" s="4" t="str">
        <v/>
      </c>
      <c r="I41018" s="4" t="str">
        <v/>
      </c>
    </row>
    <row r="41019" spans="5:9" ht="16.5">
      <c r="E41019" s="4" t="str">
        <v/>
      </c>
      <c r="F41019" s="102"/>
      <c r="H41019" s="4" t="str">
        <v/>
      </c>
      <c r="I41019" s="4" t="str">
        <v/>
      </c>
    </row>
    <row r="41020" spans="5:9" ht="16.5">
      <c r="E41020" s="4" t="str">
        <v/>
      </c>
      <c r="F41020" s="102"/>
      <c r="H41020" s="4" t="str">
        <v/>
      </c>
      <c r="I41020" s="4" t="str">
        <v/>
      </c>
    </row>
    <row r="41021" spans="5:9" ht="16.5">
      <c r="E41021" s="4" t="str">
        <v/>
      </c>
      <c r="F41021" s="102"/>
      <c r="H41021" s="4" t="str">
        <v/>
      </c>
      <c r="I41021" s="4" t="str">
        <v/>
      </c>
    </row>
    <row r="41022" spans="5:9" ht="16.5">
      <c r="E41022" s="4" t="str">
        <v/>
      </c>
      <c r="F41022" s="102"/>
      <c r="H41022" s="4" t="str">
        <v/>
      </c>
      <c r="I41022" s="4" t="str">
        <v/>
      </c>
    </row>
    <row r="41023" spans="5:9" ht="16.5">
      <c r="E41023" s="4" t="str">
        <v/>
      </c>
      <c r="F41023" s="102"/>
      <c r="H41023" s="4" t="str">
        <v/>
      </c>
      <c r="I41023" s="4" t="str">
        <v/>
      </c>
    </row>
    <row r="41024" spans="5:9" ht="16.5">
      <c r="E41024" s="4" t="str">
        <v/>
      </c>
      <c r="F41024" s="102"/>
      <c r="H41024" s="4" t="str">
        <v/>
      </c>
      <c r="I41024" s="4" t="str">
        <v/>
      </c>
    </row>
    <row r="41025" spans="5:9" ht="16.5">
      <c r="E41025" s="4" t="str">
        <v/>
      </c>
      <c r="F41025" s="102"/>
      <c r="H41025" s="4" t="str">
        <v/>
      </c>
      <c r="I41025" s="4" t="str">
        <v/>
      </c>
    </row>
    <row r="41026" spans="5:9" ht="16.5">
      <c r="E41026" s="4" t="str">
        <v/>
      </c>
      <c r="F41026" s="102"/>
      <c r="H41026" s="4" t="str">
        <v/>
      </c>
      <c r="I41026" s="4" t="str">
        <v/>
      </c>
    </row>
    <row r="41027" spans="5:9" ht="16.5">
      <c r="E41027" s="4" t="str">
        <v/>
      </c>
      <c r="F41027" s="102"/>
      <c r="H41027" s="4" t="str">
        <v/>
      </c>
      <c r="I41027" s="4" t="str">
        <v/>
      </c>
    </row>
    <row r="41028" spans="5:9" ht="16.5">
      <c r="E41028" s="4" t="str">
        <v/>
      </c>
      <c r="F41028" s="102"/>
      <c r="H41028" s="4" t="str">
        <v/>
      </c>
      <c r="I41028" s="4" t="str">
        <v/>
      </c>
    </row>
    <row r="41029" spans="5:9" ht="16.5">
      <c r="E41029" s="4" t="str">
        <v/>
      </c>
      <c r="F41029" s="102"/>
      <c r="H41029" s="4" t="str">
        <v/>
      </c>
      <c r="I41029" s="4" t="str">
        <v/>
      </c>
    </row>
    <row r="41030" spans="5:9" ht="16.5">
      <c r="E41030" s="4" t="str">
        <v/>
      </c>
      <c r="F41030" s="102"/>
      <c r="H41030" s="4" t="str">
        <v/>
      </c>
      <c r="I41030" s="4" t="str">
        <v/>
      </c>
    </row>
    <row r="41031" spans="5:9" ht="16.5">
      <c r="E41031" s="4" t="str">
        <v/>
      </c>
      <c r="F41031" s="102"/>
      <c r="H41031" s="4" t="str">
        <v/>
      </c>
      <c r="I41031" s="4" t="str">
        <v/>
      </c>
    </row>
    <row r="41032" spans="5:9" ht="16.5">
      <c r="E41032" s="4" t="str">
        <v/>
      </c>
      <c r="F41032" s="102"/>
      <c r="H41032" s="4" t="str">
        <v/>
      </c>
      <c r="I41032" s="4" t="str">
        <v/>
      </c>
    </row>
    <row r="41033" spans="5:9" ht="16.5">
      <c r="E41033" s="4" t="str">
        <v/>
      </c>
      <c r="F41033" s="102"/>
      <c r="H41033" s="4" t="str">
        <v/>
      </c>
      <c r="I41033" s="4" t="str">
        <v/>
      </c>
    </row>
    <row r="41034" spans="5:9" ht="16.5">
      <c r="E41034" s="4" t="str">
        <v/>
      </c>
      <c r="F41034" s="102"/>
      <c r="H41034" s="4" t="str">
        <v/>
      </c>
      <c r="I41034" s="4" t="str">
        <v/>
      </c>
    </row>
    <row r="41035" spans="5:9" ht="16.5">
      <c r="E41035" s="4" t="str">
        <v/>
      </c>
      <c r="F41035" s="102"/>
      <c r="H41035" s="4" t="str">
        <v/>
      </c>
      <c r="I41035" s="4" t="str">
        <v/>
      </c>
    </row>
    <row r="41036" spans="5:9" ht="16.5">
      <c r="E41036" s="4" t="str">
        <v/>
      </c>
      <c r="F41036" s="102"/>
      <c r="H41036" s="4" t="str">
        <v/>
      </c>
      <c r="I41036" s="4" t="str">
        <v/>
      </c>
    </row>
    <row r="41037" spans="5:9" ht="16.5">
      <c r="E41037" s="4" t="str">
        <v/>
      </c>
      <c r="F41037" s="102"/>
      <c r="H41037" s="4" t="str">
        <v/>
      </c>
      <c r="I41037" s="4" t="str">
        <v/>
      </c>
    </row>
    <row r="41038" spans="5:9" ht="16.5">
      <c r="E41038" s="4" t="str">
        <v/>
      </c>
      <c r="F41038" s="102"/>
      <c r="H41038" s="4" t="str">
        <v/>
      </c>
      <c r="I41038" s="4" t="str">
        <v/>
      </c>
    </row>
    <row r="41039" spans="5:9" ht="16.5">
      <c r="E41039" s="4" t="str">
        <v/>
      </c>
      <c r="F41039" s="102"/>
      <c r="H41039" s="4" t="str">
        <v/>
      </c>
      <c r="I41039" s="4" t="str">
        <v/>
      </c>
    </row>
    <row r="41040" spans="5:9" ht="16.5">
      <c r="E41040" s="4" t="str">
        <v/>
      </c>
      <c r="F41040" s="102"/>
      <c r="H41040" s="4" t="str">
        <v/>
      </c>
      <c r="I41040" s="4" t="str">
        <v/>
      </c>
    </row>
    <row r="41041" spans="5:9" ht="16.5">
      <c r="E41041" s="4" t="str">
        <v/>
      </c>
      <c r="F41041" s="102"/>
      <c r="H41041" s="4" t="str">
        <v/>
      </c>
      <c r="I41041" s="4" t="str">
        <v/>
      </c>
    </row>
    <row r="41042" spans="5:9" ht="16.5">
      <c r="E41042" s="4" t="str">
        <v/>
      </c>
      <c r="F41042" s="102"/>
      <c r="H41042" s="4" t="str">
        <v/>
      </c>
      <c r="I41042" s="4" t="str">
        <v/>
      </c>
    </row>
    <row r="41043" spans="5:9" ht="16.5">
      <c r="E41043" s="4" t="str">
        <v/>
      </c>
      <c r="F41043" s="102"/>
      <c r="H41043" s="4" t="str">
        <v/>
      </c>
      <c r="I41043" s="4" t="str">
        <v/>
      </c>
    </row>
    <row r="41044" spans="5:9" ht="16.5">
      <c r="E41044" s="4" t="str">
        <v/>
      </c>
      <c r="F41044" s="102"/>
      <c r="H41044" s="4" t="str">
        <v/>
      </c>
      <c r="I41044" s="4" t="str">
        <v/>
      </c>
    </row>
    <row r="41045" spans="5:9" ht="16.5">
      <c r="E41045" s="4" t="str">
        <v/>
      </c>
      <c r="F41045" s="102"/>
      <c r="H41045" s="4" t="str">
        <v/>
      </c>
      <c r="I41045" s="4" t="str">
        <v/>
      </c>
    </row>
    <row r="41046" spans="5:9" ht="16.5">
      <c r="E41046" s="4" t="str">
        <v/>
      </c>
      <c r="F41046" s="102"/>
      <c r="H41046" s="4" t="str">
        <v/>
      </c>
      <c r="I41046" s="4" t="str">
        <v/>
      </c>
    </row>
    <row r="41047" spans="5:9" ht="16.5">
      <c r="E41047" s="4" t="str">
        <v/>
      </c>
      <c r="F41047" s="102"/>
      <c r="H41047" s="4" t="str">
        <v/>
      </c>
      <c r="I41047" s="4" t="str">
        <v/>
      </c>
    </row>
    <row r="41048" spans="5:9" ht="16.5">
      <c r="E41048" s="4" t="str">
        <v/>
      </c>
      <c r="F41048" s="102"/>
      <c r="H41048" s="4" t="str">
        <v/>
      </c>
      <c r="I41048" s="4" t="str">
        <v/>
      </c>
    </row>
    <row r="41049" spans="5:9" ht="16.5">
      <c r="E41049" s="4" t="str">
        <v/>
      </c>
      <c r="F41049" s="102"/>
      <c r="H41049" s="4" t="str">
        <v/>
      </c>
      <c r="I41049" s="4" t="str">
        <v/>
      </c>
    </row>
    <row r="41050" spans="5:9" ht="16.5">
      <c r="E41050" s="4" t="str">
        <v/>
      </c>
      <c r="F41050" s="102"/>
      <c r="H41050" s="4" t="str">
        <v/>
      </c>
      <c r="I41050" s="4" t="str">
        <v/>
      </c>
    </row>
    <row r="41051" spans="5:9" ht="16.5">
      <c r="E41051" s="4" t="str">
        <v/>
      </c>
      <c r="F41051" s="102"/>
      <c r="H41051" s="4" t="str">
        <v/>
      </c>
      <c r="I41051" s="4" t="str">
        <v/>
      </c>
    </row>
    <row r="41052" spans="5:9" ht="16.5">
      <c r="E41052" s="4" t="str">
        <v/>
      </c>
      <c r="F41052" s="102"/>
      <c r="H41052" s="4" t="str">
        <v/>
      </c>
      <c r="I41052" s="4" t="str">
        <v/>
      </c>
    </row>
    <row r="41053" spans="5:9" ht="16.5">
      <c r="E41053" s="4" t="str">
        <v/>
      </c>
      <c r="F41053" s="102"/>
      <c r="H41053" s="4" t="str">
        <v/>
      </c>
      <c r="I41053" s="4" t="str">
        <v/>
      </c>
    </row>
    <row r="41054" spans="5:9" ht="16.5">
      <c r="E41054" s="4" t="str">
        <v/>
      </c>
      <c r="F41054" s="102"/>
      <c r="H41054" s="4" t="str">
        <v/>
      </c>
      <c r="I41054" s="4" t="str">
        <v/>
      </c>
    </row>
    <row r="41055" spans="5:9" ht="16.5">
      <c r="E41055" s="4" t="str">
        <v/>
      </c>
      <c r="F41055" s="102"/>
      <c r="H41055" s="4" t="str">
        <v/>
      </c>
      <c r="I41055" s="4" t="str">
        <v/>
      </c>
    </row>
    <row r="41056" spans="5:9" ht="16.5">
      <c r="E41056" s="4" t="str">
        <v/>
      </c>
      <c r="F41056" s="102"/>
      <c r="H41056" s="4" t="str">
        <v/>
      </c>
      <c r="I41056" s="4" t="str">
        <v/>
      </c>
    </row>
    <row r="41057" spans="5:9" ht="16.5">
      <c r="E41057" s="4" t="str">
        <v/>
      </c>
      <c r="F41057" s="102"/>
      <c r="H41057" s="4" t="str">
        <v/>
      </c>
      <c r="I41057" s="4" t="str">
        <v/>
      </c>
    </row>
    <row r="41058" spans="5:9" ht="16.5">
      <c r="E41058" s="4" t="str">
        <v/>
      </c>
      <c r="F41058" s="102"/>
      <c r="H41058" s="4" t="str">
        <v/>
      </c>
      <c r="I41058" s="4" t="str">
        <v/>
      </c>
    </row>
    <row r="41059" spans="5:9" ht="16.5">
      <c r="E41059" s="4" t="str">
        <v/>
      </c>
      <c r="F41059" s="102"/>
      <c r="H41059" s="4" t="str">
        <v/>
      </c>
      <c r="I41059" s="4" t="str">
        <v/>
      </c>
    </row>
    <row r="41060" spans="5:9" ht="16.5">
      <c r="E41060" s="4" t="str">
        <v/>
      </c>
      <c r="F41060" s="102"/>
      <c r="H41060" s="4" t="str">
        <v/>
      </c>
      <c r="I41060" s="4" t="str">
        <v/>
      </c>
    </row>
    <row r="41061" spans="5:9" ht="16.5">
      <c r="E41061" s="4" t="str">
        <v/>
      </c>
      <c r="F41061" s="102"/>
      <c r="H41061" s="4" t="str">
        <v/>
      </c>
      <c r="I41061" s="4" t="str">
        <v/>
      </c>
    </row>
    <row r="41062" spans="5:9" ht="16.5">
      <c r="E41062" s="4" t="str">
        <v/>
      </c>
      <c r="F41062" s="102"/>
      <c r="H41062" s="4" t="str">
        <v/>
      </c>
      <c r="I41062" s="4" t="str">
        <v/>
      </c>
    </row>
    <row r="41063" spans="5:9" ht="16.5">
      <c r="E41063" s="4" t="str">
        <v/>
      </c>
      <c r="F41063" s="102"/>
      <c r="H41063" s="4" t="str">
        <v/>
      </c>
      <c r="I41063" s="4" t="str">
        <v/>
      </c>
    </row>
    <row r="41064" spans="5:9" ht="16.5">
      <c r="E41064" s="4" t="str">
        <v/>
      </c>
      <c r="F41064" s="102"/>
      <c r="H41064" s="4" t="str">
        <v/>
      </c>
      <c r="I41064" s="4" t="str">
        <v/>
      </c>
    </row>
    <row r="41065" spans="5:9" ht="16.5">
      <c r="E41065" s="4" t="str">
        <v/>
      </c>
      <c r="F41065" s="102"/>
      <c r="H41065" s="4" t="str">
        <v/>
      </c>
      <c r="I41065" s="4" t="str">
        <v/>
      </c>
    </row>
    <row r="41066" spans="5:9" ht="16.5">
      <c r="E41066" s="4" t="str">
        <v/>
      </c>
      <c r="F41066" s="102"/>
      <c r="H41066" s="4" t="str">
        <v/>
      </c>
      <c r="I41066" s="4" t="str">
        <v/>
      </c>
    </row>
    <row r="41067" spans="5:9" ht="16.5">
      <c r="E41067" s="4" t="str">
        <v/>
      </c>
      <c r="F41067" s="102"/>
      <c r="H41067" s="4" t="str">
        <v/>
      </c>
      <c r="I41067" s="4" t="str">
        <v/>
      </c>
    </row>
    <row r="41068" spans="5:9" ht="16.5">
      <c r="E41068" s="4" t="str">
        <v/>
      </c>
      <c r="F41068" s="102"/>
      <c r="H41068" s="4" t="str">
        <v/>
      </c>
      <c r="I41068" s="4" t="str">
        <v/>
      </c>
    </row>
    <row r="41069" spans="5:9" ht="16.5">
      <c r="E41069" s="4" t="str">
        <v/>
      </c>
      <c r="F41069" s="102"/>
      <c r="H41069" s="4" t="str">
        <v/>
      </c>
      <c r="I41069" s="4" t="str">
        <v/>
      </c>
    </row>
    <row r="41070" spans="5:9" ht="16.5">
      <c r="E41070" s="4" t="str">
        <v/>
      </c>
      <c r="F41070" s="102"/>
      <c r="H41070" s="4" t="str">
        <v/>
      </c>
      <c r="I41070" s="4" t="str">
        <v/>
      </c>
    </row>
    <row r="41071" spans="5:9" ht="16.5">
      <c r="E41071" s="4" t="str">
        <v/>
      </c>
      <c r="F41071" s="102"/>
      <c r="H41071" s="4" t="str">
        <v/>
      </c>
      <c r="I41071" s="4" t="str">
        <v/>
      </c>
    </row>
    <row r="41072" spans="5:9" ht="16.5">
      <c r="E41072" s="4" t="str">
        <v/>
      </c>
      <c r="F41072" s="102"/>
      <c r="H41072" s="4" t="str">
        <v/>
      </c>
      <c r="I41072" s="4" t="str">
        <v/>
      </c>
    </row>
    <row r="41073" spans="5:9" ht="16.5">
      <c r="E41073" s="4" t="str">
        <v/>
      </c>
      <c r="F41073" s="102"/>
      <c r="H41073" s="4" t="str">
        <v/>
      </c>
      <c r="I41073" s="4" t="str">
        <v/>
      </c>
    </row>
    <row r="41074" spans="5:9" ht="16.5">
      <c r="E41074" s="4" t="str">
        <v/>
      </c>
      <c r="F41074" s="102"/>
      <c r="H41074" s="4" t="str">
        <v/>
      </c>
      <c r="I41074" s="4" t="str">
        <v/>
      </c>
    </row>
    <row r="41075" spans="5:9" ht="16.5">
      <c r="E41075" s="4" t="str">
        <v/>
      </c>
      <c r="F41075" s="102"/>
      <c r="H41075" s="4" t="str">
        <v/>
      </c>
      <c r="I41075" s="4" t="str">
        <v/>
      </c>
    </row>
    <row r="41076" spans="5:9" ht="16.5">
      <c r="E41076" s="4" t="str">
        <v/>
      </c>
      <c r="F41076" s="102"/>
      <c r="H41076" s="4" t="str">
        <v/>
      </c>
      <c r="I41076" s="4" t="str">
        <v/>
      </c>
    </row>
    <row r="41077" spans="5:9" ht="16.5">
      <c r="E41077" s="4" t="str">
        <v/>
      </c>
      <c r="F41077" s="102"/>
      <c r="H41077" s="4" t="str">
        <v/>
      </c>
      <c r="I41077" s="4" t="str">
        <v/>
      </c>
    </row>
    <row r="41078" spans="5:9" ht="16.5">
      <c r="E41078" s="4" t="str">
        <v/>
      </c>
      <c r="F41078" s="102"/>
      <c r="H41078" s="4" t="str">
        <v/>
      </c>
      <c r="I41078" s="4" t="str">
        <v/>
      </c>
    </row>
    <row r="41079" spans="5:9" ht="16.5">
      <c r="E41079" s="4" t="str">
        <v/>
      </c>
      <c r="F41079" s="102"/>
      <c r="H41079" s="4" t="str">
        <v/>
      </c>
      <c r="I41079" s="4" t="str">
        <v/>
      </c>
    </row>
    <row r="41080" spans="5:9" ht="16.5">
      <c r="E41080" s="4" t="str">
        <v/>
      </c>
      <c r="F41080" s="102"/>
      <c r="H41080" s="4" t="str">
        <v/>
      </c>
      <c r="I41080" s="4" t="str">
        <v/>
      </c>
    </row>
    <row r="41081" spans="5:9" ht="16.5">
      <c r="E41081" s="4" t="str">
        <v/>
      </c>
      <c r="F41081" s="102"/>
      <c r="H41081" s="4" t="str">
        <v/>
      </c>
      <c r="I41081" s="4" t="str">
        <v/>
      </c>
    </row>
    <row r="41082" spans="5:9" ht="16.5">
      <c r="E41082" s="4" t="str">
        <v/>
      </c>
      <c r="F41082" s="102"/>
      <c r="H41082" s="4" t="str">
        <v/>
      </c>
      <c r="I41082" s="4" t="str">
        <v/>
      </c>
    </row>
    <row r="41083" spans="5:9" ht="16.5">
      <c r="E41083" s="4" t="str">
        <v/>
      </c>
      <c r="F41083" s="102"/>
      <c r="H41083" s="4" t="str">
        <v/>
      </c>
      <c r="I41083" s="4" t="str">
        <v/>
      </c>
    </row>
    <row r="41084" spans="5:9" ht="16.5">
      <c r="E41084" s="4" t="str">
        <v/>
      </c>
      <c r="F41084" s="102"/>
      <c r="H41084" s="4" t="str">
        <v/>
      </c>
      <c r="I41084" s="4" t="str">
        <v/>
      </c>
    </row>
    <row r="41085" spans="5:9" ht="16.5">
      <c r="E41085" s="4" t="str">
        <v/>
      </c>
      <c r="F41085" s="102"/>
      <c r="H41085" s="4" t="str">
        <v/>
      </c>
      <c r="I41085" s="4" t="str">
        <v/>
      </c>
    </row>
    <row r="41086" spans="5:9" ht="16.5">
      <c r="E41086" s="4" t="str">
        <v/>
      </c>
      <c r="F41086" s="102"/>
      <c r="H41086" s="4" t="str">
        <v/>
      </c>
      <c r="I41086" s="4" t="str">
        <v/>
      </c>
    </row>
    <row r="41087" spans="5:9" ht="16.5">
      <c r="E41087" s="4" t="str">
        <v/>
      </c>
      <c r="F41087" s="102"/>
      <c r="H41087" s="4" t="str">
        <v/>
      </c>
      <c r="I41087" s="4" t="str">
        <v/>
      </c>
    </row>
    <row r="41088" spans="5:9" ht="16.5">
      <c r="E41088" s="4" t="str">
        <v/>
      </c>
      <c r="F41088" s="102"/>
      <c r="H41088" s="4" t="str">
        <v/>
      </c>
      <c r="I41088" s="4" t="str">
        <v/>
      </c>
    </row>
    <row r="41089" spans="5:9" ht="16.5">
      <c r="E41089" s="4" t="str">
        <v/>
      </c>
      <c r="F41089" s="102"/>
      <c r="H41089" s="4" t="str">
        <v/>
      </c>
      <c r="I41089" s="4" t="str">
        <v/>
      </c>
    </row>
    <row r="41090" spans="5:9" ht="16.5">
      <c r="E41090" s="4" t="str">
        <v/>
      </c>
      <c r="F41090" s="102"/>
      <c r="H41090" s="4" t="str">
        <v/>
      </c>
      <c r="I41090" s="4" t="str">
        <v/>
      </c>
    </row>
    <row r="41091" spans="5:9" ht="16.5">
      <c r="E41091" s="4" t="str">
        <v/>
      </c>
      <c r="F41091" s="102"/>
      <c r="H41091" s="4" t="str">
        <v/>
      </c>
      <c r="I41091" s="4" t="str">
        <v/>
      </c>
    </row>
    <row r="41092" spans="5:9" ht="16.5">
      <c r="E41092" s="4" t="str">
        <v/>
      </c>
      <c r="F41092" s="102"/>
      <c r="H41092" s="4" t="str">
        <v/>
      </c>
      <c r="I41092" s="4" t="str">
        <v/>
      </c>
    </row>
    <row r="41093" spans="5:9" ht="16.5">
      <c r="E41093" s="4" t="str">
        <v/>
      </c>
      <c r="F41093" s="102"/>
      <c r="H41093" s="4" t="str">
        <v/>
      </c>
      <c r="I41093" s="4" t="str">
        <v/>
      </c>
    </row>
    <row r="41094" spans="5:9" ht="16.5">
      <c r="E41094" s="4" t="str">
        <v/>
      </c>
      <c r="F41094" s="102"/>
      <c r="H41094" s="4" t="str">
        <v/>
      </c>
      <c r="I41094" s="4" t="str">
        <v/>
      </c>
    </row>
    <row r="41095" spans="5:9" ht="16.5">
      <c r="E41095" s="4" t="str">
        <v/>
      </c>
      <c r="F41095" s="102"/>
      <c r="H41095" s="4" t="str">
        <v/>
      </c>
      <c r="I41095" s="4" t="str">
        <v/>
      </c>
    </row>
    <row r="41096" spans="5:9" ht="16.5">
      <c r="E41096" s="4" t="str">
        <v/>
      </c>
      <c r="F41096" s="102"/>
      <c r="H41096" s="4" t="str">
        <v/>
      </c>
      <c r="I41096" s="4" t="str">
        <v/>
      </c>
    </row>
    <row r="41097" spans="5:9" ht="16.5">
      <c r="E41097" s="4" t="str">
        <v/>
      </c>
      <c r="F41097" s="102"/>
      <c r="H41097" s="4" t="str">
        <v/>
      </c>
      <c r="I41097" s="4" t="str">
        <v/>
      </c>
    </row>
    <row r="41098" spans="5:9" ht="16.5">
      <c r="E41098" s="4" t="str">
        <v/>
      </c>
      <c r="F41098" s="102"/>
      <c r="H41098" s="4" t="str">
        <v/>
      </c>
      <c r="I41098" s="4" t="str">
        <v/>
      </c>
    </row>
    <row r="41099" spans="5:9" ht="16.5">
      <c r="E41099" s="4" t="str">
        <v/>
      </c>
      <c r="F41099" s="102"/>
      <c r="H41099" s="4" t="str">
        <v/>
      </c>
      <c r="I41099" s="4" t="str">
        <v/>
      </c>
    </row>
    <row r="41100" spans="5:9" ht="16.5">
      <c r="E41100" s="4" t="str">
        <v/>
      </c>
      <c r="F41100" s="102"/>
      <c r="H41100" s="4" t="str">
        <v/>
      </c>
      <c r="I41100" s="4" t="str">
        <v/>
      </c>
    </row>
    <row r="41101" spans="5:9" ht="16.5">
      <c r="E41101" s="4" t="str">
        <v/>
      </c>
      <c r="F41101" s="102"/>
      <c r="H41101" s="4" t="str">
        <v/>
      </c>
      <c r="I41101" s="4" t="str">
        <v/>
      </c>
    </row>
    <row r="41102" spans="5:9" ht="16.5">
      <c r="E41102" s="4" t="str">
        <v/>
      </c>
      <c r="F41102" s="102"/>
      <c r="H41102" s="4" t="str">
        <v/>
      </c>
      <c r="I41102" s="4" t="str">
        <v/>
      </c>
    </row>
    <row r="41103" spans="5:9" ht="16.5">
      <c r="E41103" s="4" t="str">
        <v/>
      </c>
      <c r="F41103" s="102"/>
      <c r="H41103" s="4" t="str">
        <v/>
      </c>
      <c r="I41103" s="4" t="str">
        <v/>
      </c>
    </row>
    <row r="41104" spans="5:9" ht="16.5">
      <c r="E41104" s="4" t="str">
        <v/>
      </c>
      <c r="F41104" s="102"/>
      <c r="H41104" s="4" t="str">
        <v/>
      </c>
      <c r="I41104" s="4" t="str">
        <v/>
      </c>
    </row>
    <row r="41105" spans="5:9" ht="16.5">
      <c r="E41105" s="4" t="str">
        <v/>
      </c>
      <c r="F41105" s="102"/>
      <c r="H41105" s="4" t="str">
        <v/>
      </c>
      <c r="I41105" s="4" t="str">
        <v/>
      </c>
    </row>
    <row r="41106" spans="5:9" ht="16.5">
      <c r="E41106" s="4" t="str">
        <v/>
      </c>
      <c r="F41106" s="102"/>
      <c r="H41106" s="4" t="str">
        <v/>
      </c>
      <c r="I41106" s="4" t="str">
        <v/>
      </c>
    </row>
    <row r="41107" spans="5:9" ht="16.5">
      <c r="E41107" s="4" t="str">
        <v/>
      </c>
      <c r="F41107" s="102"/>
      <c r="H41107" s="4" t="str">
        <v/>
      </c>
      <c r="I41107" s="4" t="str">
        <v/>
      </c>
    </row>
    <row r="41108" spans="5:9" ht="16.5">
      <c r="E41108" s="4" t="str">
        <v/>
      </c>
      <c r="F41108" s="102"/>
      <c r="H41108" s="4" t="str">
        <v/>
      </c>
      <c r="I41108" s="4" t="str">
        <v/>
      </c>
    </row>
    <row r="41109" spans="5:9" ht="16.5">
      <c r="E41109" s="4" t="str">
        <v/>
      </c>
      <c r="F41109" s="102"/>
      <c r="H41109" s="4" t="str">
        <v/>
      </c>
      <c r="I41109" s="4" t="str">
        <v/>
      </c>
    </row>
    <row r="41110" spans="5:9" ht="16.5">
      <c r="E41110" s="4" t="str">
        <v/>
      </c>
      <c r="F41110" s="102"/>
      <c r="H41110" s="4" t="str">
        <v/>
      </c>
      <c r="I41110" s="4" t="str">
        <v/>
      </c>
    </row>
    <row r="41111" spans="5:9" ht="16.5">
      <c r="E41111" s="4" t="str">
        <v/>
      </c>
      <c r="F41111" s="102"/>
      <c r="H41111" s="4" t="str">
        <v/>
      </c>
      <c r="I41111" s="4" t="str">
        <v/>
      </c>
    </row>
    <row r="41112" spans="5:9" ht="16.5">
      <c r="E41112" s="4" t="str">
        <v/>
      </c>
      <c r="F41112" s="102"/>
      <c r="H41112" s="4" t="str">
        <v/>
      </c>
      <c r="I41112" s="4" t="str">
        <v/>
      </c>
    </row>
    <row r="41113" spans="5:9" ht="16.5">
      <c r="E41113" s="4" t="str">
        <v/>
      </c>
      <c r="F41113" s="102"/>
      <c r="H41113" s="4" t="str">
        <v/>
      </c>
      <c r="I41113" s="4" t="str">
        <v/>
      </c>
    </row>
    <row r="41114" spans="5:9" ht="16.5">
      <c r="E41114" s="4" t="str">
        <v/>
      </c>
      <c r="F41114" s="102"/>
      <c r="H41114" s="4" t="str">
        <v/>
      </c>
      <c r="I41114" s="4" t="str">
        <v/>
      </c>
    </row>
    <row r="41115" spans="5:9" ht="16.5">
      <c r="E41115" s="4" t="str">
        <v/>
      </c>
      <c r="F41115" s="102"/>
      <c r="H41115" s="4" t="str">
        <v/>
      </c>
      <c r="I41115" s="4" t="str">
        <v/>
      </c>
    </row>
    <row r="41116" spans="5:9" ht="16.5">
      <c r="E41116" s="4" t="str">
        <v/>
      </c>
      <c r="F41116" s="102"/>
      <c r="H41116" s="4" t="str">
        <v/>
      </c>
      <c r="I41116" s="4" t="str">
        <v/>
      </c>
    </row>
    <row r="41117" spans="5:9" ht="16.5">
      <c r="E41117" s="4" t="str">
        <v/>
      </c>
      <c r="F41117" s="102"/>
      <c r="H41117" s="4" t="str">
        <v/>
      </c>
      <c r="I41117" s="4" t="str">
        <v/>
      </c>
    </row>
    <row r="41118" spans="5:9" ht="16.5">
      <c r="E41118" s="4" t="str">
        <v/>
      </c>
      <c r="F41118" s="102"/>
      <c r="H41118" s="4" t="str">
        <v/>
      </c>
      <c r="I41118" s="4" t="str">
        <v/>
      </c>
    </row>
    <row r="41119" spans="5:9" ht="16.5">
      <c r="E41119" s="4" t="str">
        <v/>
      </c>
      <c r="F41119" s="102"/>
      <c r="H41119" s="4" t="str">
        <v/>
      </c>
      <c r="I41119" s="4" t="str">
        <v/>
      </c>
    </row>
    <row r="41120" spans="5:9" ht="16.5">
      <c r="E41120" s="4" t="str">
        <v/>
      </c>
      <c r="F41120" s="102"/>
      <c r="H41120" s="4" t="str">
        <v/>
      </c>
      <c r="I41120" s="4" t="str">
        <v/>
      </c>
    </row>
    <row r="41121" spans="5:9" ht="16.5">
      <c r="E41121" s="4" t="str">
        <v/>
      </c>
      <c r="F41121" s="102"/>
      <c r="H41121" s="4" t="str">
        <v/>
      </c>
      <c r="I41121" s="4" t="str">
        <v/>
      </c>
    </row>
    <row r="41122" spans="5:9" ht="16.5">
      <c r="E41122" s="4" t="str">
        <v/>
      </c>
      <c r="F41122" s="102"/>
      <c r="H41122" s="4" t="str">
        <v/>
      </c>
      <c r="I41122" s="4" t="str">
        <v/>
      </c>
    </row>
    <row r="41123" spans="5:9" ht="16.5">
      <c r="E41123" s="4" t="str">
        <v/>
      </c>
      <c r="F41123" s="102"/>
      <c r="H41123" s="4" t="str">
        <v/>
      </c>
      <c r="I41123" s="4" t="str">
        <v/>
      </c>
    </row>
    <row r="41124" spans="5:9" ht="16.5">
      <c r="E41124" s="4" t="str">
        <v/>
      </c>
      <c r="F41124" s="102"/>
      <c r="H41124" s="4" t="str">
        <v/>
      </c>
      <c r="I41124" s="4" t="str">
        <v/>
      </c>
    </row>
    <row r="41125" spans="5:9" ht="16.5">
      <c r="E41125" s="4" t="str">
        <v/>
      </c>
      <c r="F41125" s="102"/>
      <c r="H41125" s="4" t="str">
        <v/>
      </c>
      <c r="I41125" s="4" t="str">
        <v/>
      </c>
    </row>
    <row r="41126" spans="5:9" ht="16.5">
      <c r="E41126" s="4" t="str">
        <v/>
      </c>
      <c r="F41126" s="102"/>
      <c r="H41126" s="4" t="str">
        <v/>
      </c>
      <c r="I41126" s="4" t="str">
        <v/>
      </c>
    </row>
    <row r="41127" spans="5:9" ht="16.5">
      <c r="E41127" s="4" t="str">
        <v/>
      </c>
      <c r="F41127" s="102"/>
      <c r="H41127" s="4" t="str">
        <v/>
      </c>
      <c r="I41127" s="4" t="str">
        <v/>
      </c>
    </row>
    <row r="41128" spans="5:9" ht="16.5">
      <c r="E41128" s="4" t="str">
        <v/>
      </c>
      <c r="F41128" s="102"/>
      <c r="H41128" s="4" t="str">
        <v/>
      </c>
      <c r="I41128" s="4" t="str">
        <v/>
      </c>
    </row>
    <row r="41129" spans="5:9" ht="16.5">
      <c r="E41129" s="4" t="str">
        <v/>
      </c>
      <c r="F41129" s="102"/>
      <c r="H41129" s="4" t="str">
        <v/>
      </c>
      <c r="I41129" s="4" t="str">
        <v/>
      </c>
    </row>
    <row r="41130" spans="5:9" ht="16.5">
      <c r="E41130" s="4" t="str">
        <v/>
      </c>
      <c r="F41130" s="102"/>
      <c r="H41130" s="4" t="str">
        <v/>
      </c>
      <c r="I41130" s="4" t="str">
        <v/>
      </c>
    </row>
    <row r="41131" spans="5:9" ht="16.5">
      <c r="E41131" s="4" t="str">
        <v/>
      </c>
      <c r="F41131" s="102"/>
      <c r="H41131" s="4" t="str">
        <v/>
      </c>
      <c r="I41131" s="4" t="str">
        <v/>
      </c>
    </row>
    <row r="41132" spans="5:9" ht="16.5">
      <c r="E41132" s="4" t="str">
        <v/>
      </c>
      <c r="F41132" s="102"/>
      <c r="H41132" s="4" t="str">
        <v/>
      </c>
      <c r="I41132" s="4" t="str">
        <v/>
      </c>
    </row>
    <row r="41133" spans="5:9" ht="16.5">
      <c r="E41133" s="4" t="str">
        <v/>
      </c>
      <c r="F41133" s="102"/>
      <c r="H41133" s="4" t="str">
        <v/>
      </c>
      <c r="I41133" s="4" t="str">
        <v/>
      </c>
    </row>
    <row r="41134" spans="5:9" ht="16.5">
      <c r="E41134" s="4" t="str">
        <v/>
      </c>
      <c r="F41134" s="102"/>
      <c r="H41134" s="4" t="str">
        <v/>
      </c>
      <c r="I41134" s="4" t="str">
        <v/>
      </c>
    </row>
    <row r="41135" spans="5:9" ht="16.5">
      <c r="E41135" s="4" t="str">
        <v/>
      </c>
      <c r="F41135" s="102"/>
      <c r="H41135" s="4" t="str">
        <v/>
      </c>
      <c r="I41135" s="4" t="str">
        <v/>
      </c>
    </row>
    <row r="41136" spans="5:9" ht="16.5">
      <c r="E41136" s="4" t="str">
        <v/>
      </c>
      <c r="F41136" s="102"/>
      <c r="H41136" s="4" t="str">
        <v/>
      </c>
      <c r="I41136" s="4" t="str">
        <v/>
      </c>
    </row>
    <row r="41137" spans="5:9" ht="16.5">
      <c r="E41137" s="4" t="str">
        <v/>
      </c>
      <c r="F41137" s="102"/>
      <c r="H41137" s="4" t="str">
        <v/>
      </c>
      <c r="I41137" s="4" t="str">
        <v/>
      </c>
    </row>
    <row r="41138" spans="5:9" ht="16.5">
      <c r="E41138" s="4" t="str">
        <v/>
      </c>
      <c r="F41138" s="102"/>
      <c r="H41138" s="4" t="str">
        <v/>
      </c>
      <c r="I41138" s="4" t="str">
        <v/>
      </c>
    </row>
    <row r="41139" spans="5:9" ht="16.5">
      <c r="E41139" s="4" t="str">
        <v/>
      </c>
      <c r="F41139" s="102"/>
      <c r="H41139" s="4" t="str">
        <v/>
      </c>
      <c r="I41139" s="4" t="str">
        <v/>
      </c>
    </row>
    <row r="41140" spans="5:9" ht="16.5">
      <c r="E41140" s="4" t="str">
        <v/>
      </c>
      <c r="F41140" s="102"/>
      <c r="H41140" s="4" t="str">
        <v/>
      </c>
      <c r="I41140" s="4" t="str">
        <v/>
      </c>
    </row>
    <row r="41141" spans="5:9" ht="16.5">
      <c r="E41141" s="4" t="str">
        <v/>
      </c>
      <c r="F41141" s="102"/>
      <c r="H41141" s="4" t="str">
        <v/>
      </c>
      <c r="I41141" s="4" t="str">
        <v/>
      </c>
    </row>
    <row r="41142" spans="5:9" ht="16.5">
      <c r="E41142" s="4" t="str">
        <v/>
      </c>
      <c r="F41142" s="102"/>
      <c r="H41142" s="4" t="str">
        <v/>
      </c>
      <c r="I41142" s="4" t="str">
        <v/>
      </c>
    </row>
    <row r="41143" spans="5:9" ht="16.5">
      <c r="E41143" s="4" t="str">
        <v/>
      </c>
      <c r="F41143" s="102"/>
      <c r="H41143" s="4" t="str">
        <v/>
      </c>
      <c r="I41143" s="4" t="str">
        <v/>
      </c>
    </row>
    <row r="41144" spans="5:9" ht="16.5">
      <c r="E41144" s="4" t="str">
        <v/>
      </c>
      <c r="F41144" s="102"/>
      <c r="H41144" s="4" t="str">
        <v/>
      </c>
      <c r="I41144" s="4" t="str">
        <v/>
      </c>
    </row>
    <row r="41145" spans="5:9" ht="16.5">
      <c r="E41145" s="4" t="str">
        <v/>
      </c>
      <c r="F41145" s="102"/>
      <c r="H41145" s="4" t="str">
        <v/>
      </c>
      <c r="I41145" s="4" t="str">
        <v/>
      </c>
    </row>
    <row r="41146" spans="5:9" ht="16.5">
      <c r="E41146" s="4" t="str">
        <v/>
      </c>
      <c r="F41146" s="102"/>
      <c r="H41146" s="4" t="str">
        <v/>
      </c>
      <c r="I41146" s="4" t="str">
        <v/>
      </c>
    </row>
    <row r="41147" spans="5:9" ht="16.5">
      <c r="E41147" s="4" t="str">
        <v/>
      </c>
      <c r="F41147" s="102"/>
      <c r="H41147" s="4" t="str">
        <v/>
      </c>
      <c r="I41147" s="4" t="str">
        <v/>
      </c>
    </row>
    <row r="41148" spans="5:9" ht="16.5">
      <c r="E41148" s="4" t="str">
        <v/>
      </c>
      <c r="F41148" s="102"/>
      <c r="H41148" s="4" t="str">
        <v/>
      </c>
      <c r="I41148" s="4" t="str">
        <v/>
      </c>
    </row>
    <row r="41149" spans="5:9" ht="16.5">
      <c r="E41149" s="4" t="str">
        <v/>
      </c>
      <c r="F41149" s="102"/>
      <c r="H41149" s="4" t="str">
        <v/>
      </c>
      <c r="I41149" s="4" t="str">
        <v/>
      </c>
    </row>
    <row r="41150" spans="5:9" ht="16.5">
      <c r="E41150" s="4" t="str">
        <v/>
      </c>
      <c r="F41150" s="102"/>
      <c r="H41150" s="4" t="str">
        <v/>
      </c>
      <c r="I41150" s="4" t="str">
        <v/>
      </c>
    </row>
    <row r="41151" spans="5:9" ht="16.5">
      <c r="E41151" s="4" t="str">
        <v/>
      </c>
      <c r="F41151" s="102"/>
      <c r="H41151" s="4" t="str">
        <v/>
      </c>
      <c r="I41151" s="4" t="str">
        <v/>
      </c>
    </row>
    <row r="41152" spans="5:9" ht="16.5">
      <c r="E41152" s="4" t="str">
        <v/>
      </c>
      <c r="F41152" s="102"/>
      <c r="H41152" s="4" t="str">
        <v/>
      </c>
      <c r="I41152" s="4" t="str">
        <v/>
      </c>
    </row>
    <row r="41153" spans="5:9" ht="16.5">
      <c r="E41153" s="4" t="str">
        <v/>
      </c>
      <c r="F41153" s="102"/>
      <c r="H41153" s="4" t="str">
        <v/>
      </c>
      <c r="I41153" s="4" t="str">
        <v/>
      </c>
    </row>
    <row r="41154" spans="5:9" ht="16.5">
      <c r="E41154" s="4" t="str">
        <v/>
      </c>
      <c r="F41154" s="102"/>
      <c r="H41154" s="4" t="str">
        <v/>
      </c>
      <c r="I41154" s="4" t="str">
        <v/>
      </c>
    </row>
    <row r="41155" spans="5:9" ht="16.5">
      <c r="E41155" s="4" t="str">
        <v/>
      </c>
      <c r="F41155" s="102"/>
      <c r="H41155" s="4" t="str">
        <v/>
      </c>
      <c r="I41155" s="4" t="str">
        <v/>
      </c>
    </row>
    <row r="41156" spans="5:9" ht="16.5">
      <c r="E41156" s="4" t="str">
        <v/>
      </c>
      <c r="F41156" s="102"/>
      <c r="H41156" s="4" t="str">
        <v/>
      </c>
      <c r="I41156" s="4" t="str">
        <v/>
      </c>
    </row>
    <row r="41157" spans="5:9" ht="16.5">
      <c r="E41157" s="4" t="str">
        <v/>
      </c>
      <c r="F41157" s="102"/>
      <c r="H41157" s="4" t="str">
        <v/>
      </c>
      <c r="I41157" s="4" t="str">
        <v/>
      </c>
    </row>
    <row r="41158" spans="5:9" ht="16.5">
      <c r="E41158" s="4" t="str">
        <v/>
      </c>
      <c r="F41158" s="102"/>
      <c r="H41158" s="4" t="str">
        <v/>
      </c>
      <c r="I41158" s="4" t="str">
        <v/>
      </c>
    </row>
    <row r="41159" spans="5:9" ht="16.5">
      <c r="E41159" s="4" t="str">
        <v/>
      </c>
      <c r="F41159" s="102"/>
      <c r="H41159" s="4" t="str">
        <v/>
      </c>
      <c r="I41159" s="4" t="str">
        <v/>
      </c>
    </row>
    <row r="41160" spans="5:9" ht="16.5">
      <c r="E41160" s="4" t="str">
        <v/>
      </c>
      <c r="F41160" s="102"/>
      <c r="H41160" s="4" t="str">
        <v/>
      </c>
      <c r="I41160" s="4" t="str">
        <v/>
      </c>
    </row>
    <row r="41161" spans="5:9" ht="16.5">
      <c r="E41161" s="4" t="str">
        <v/>
      </c>
      <c r="F41161" s="102"/>
      <c r="H41161" s="4" t="str">
        <v/>
      </c>
      <c r="I41161" s="4" t="str">
        <v/>
      </c>
    </row>
    <row r="41162" spans="5:9" ht="16.5">
      <c r="E41162" s="4" t="str">
        <v/>
      </c>
      <c r="F41162" s="102"/>
      <c r="H41162" s="4" t="str">
        <v/>
      </c>
      <c r="I41162" s="4" t="str">
        <v/>
      </c>
    </row>
    <row r="41163" spans="5:9" ht="16.5">
      <c r="E41163" s="4" t="str">
        <v/>
      </c>
      <c r="F41163" s="102"/>
      <c r="H41163" s="4" t="str">
        <v/>
      </c>
      <c r="I41163" s="4" t="str">
        <v/>
      </c>
    </row>
    <row r="41164" spans="5:9" ht="16.5">
      <c r="E41164" s="4" t="str">
        <v/>
      </c>
      <c r="F41164" s="102"/>
      <c r="H41164" s="4" t="str">
        <v/>
      </c>
      <c r="I41164" s="4" t="str">
        <v/>
      </c>
    </row>
    <row r="41165" spans="5:9" ht="16.5">
      <c r="E41165" s="4" t="str">
        <v/>
      </c>
      <c r="F41165" s="102"/>
      <c r="H41165" s="4" t="str">
        <v/>
      </c>
      <c r="I41165" s="4" t="str">
        <v/>
      </c>
    </row>
    <row r="41166" spans="5:9" ht="16.5">
      <c r="E41166" s="4" t="str">
        <v/>
      </c>
      <c r="F41166" s="102"/>
      <c r="H41166" s="4" t="str">
        <v/>
      </c>
      <c r="I41166" s="4" t="str">
        <v/>
      </c>
    </row>
    <row r="41167" spans="5:9" ht="16.5">
      <c r="E41167" s="4" t="str">
        <v/>
      </c>
      <c r="F41167" s="102"/>
      <c r="H41167" s="4" t="str">
        <v/>
      </c>
      <c r="I41167" s="4" t="str">
        <v/>
      </c>
    </row>
    <row r="41168" spans="5:9" ht="16.5">
      <c r="E41168" s="4" t="str">
        <v/>
      </c>
      <c r="F41168" s="102"/>
      <c r="H41168" s="4" t="str">
        <v/>
      </c>
      <c r="I41168" s="4" t="str">
        <v/>
      </c>
    </row>
    <row r="41169" spans="5:9" ht="16.5">
      <c r="E41169" s="4" t="str">
        <v/>
      </c>
      <c r="F41169" s="102"/>
      <c r="H41169" s="4" t="str">
        <v/>
      </c>
      <c r="I41169" s="4" t="str">
        <v/>
      </c>
    </row>
    <row r="41170" spans="5:9" ht="16.5">
      <c r="E41170" s="4" t="str">
        <v/>
      </c>
      <c r="F41170" s="102"/>
      <c r="H41170" s="4" t="str">
        <v/>
      </c>
      <c r="I41170" s="4" t="str">
        <v/>
      </c>
    </row>
    <row r="41171" spans="5:9" ht="16.5">
      <c r="E41171" s="4" t="str">
        <v/>
      </c>
      <c r="F41171" s="102"/>
      <c r="H41171" s="4" t="str">
        <v/>
      </c>
      <c r="I41171" s="4" t="str">
        <v/>
      </c>
    </row>
    <row r="41172" spans="5:9" ht="16.5">
      <c r="E41172" s="4" t="str">
        <v/>
      </c>
      <c r="F41172" s="102"/>
      <c r="H41172" s="4" t="str">
        <v/>
      </c>
      <c r="I41172" s="4" t="str">
        <v/>
      </c>
    </row>
    <row r="41173" spans="5:9" ht="16.5">
      <c r="E41173" s="4" t="str">
        <v/>
      </c>
      <c r="F41173" s="102"/>
      <c r="H41173" s="4" t="str">
        <v/>
      </c>
      <c r="I41173" s="4" t="str">
        <v/>
      </c>
    </row>
    <row r="41174" spans="5:9" ht="16.5">
      <c r="E41174" s="4" t="str">
        <v/>
      </c>
      <c r="F41174" s="102"/>
      <c r="H41174" s="4" t="str">
        <v/>
      </c>
      <c r="I41174" s="4" t="str">
        <v/>
      </c>
    </row>
    <row r="41175" spans="5:9" ht="16.5">
      <c r="E41175" s="4" t="str">
        <v/>
      </c>
      <c r="F41175" s="102"/>
      <c r="H41175" s="4" t="str">
        <v/>
      </c>
      <c r="I41175" s="4" t="str">
        <v/>
      </c>
    </row>
    <row r="41176" spans="5:9" ht="16.5">
      <c r="E41176" s="4" t="str">
        <v/>
      </c>
      <c r="F41176" s="102"/>
      <c r="H41176" s="4" t="str">
        <v/>
      </c>
      <c r="I41176" s="4" t="str">
        <v/>
      </c>
    </row>
    <row r="41177" spans="5:9" ht="16.5">
      <c r="E41177" s="4" t="str">
        <v/>
      </c>
      <c r="F41177" s="102"/>
      <c r="H41177" s="4" t="str">
        <v/>
      </c>
      <c r="I41177" s="4" t="str">
        <v/>
      </c>
    </row>
    <row r="41178" spans="5:9" ht="16.5">
      <c r="E41178" s="4" t="str">
        <v/>
      </c>
      <c r="F41178" s="102"/>
      <c r="H41178" s="4" t="str">
        <v/>
      </c>
      <c r="I41178" s="4" t="str">
        <v/>
      </c>
    </row>
    <row r="41179" spans="5:9" ht="16.5">
      <c r="E41179" s="4" t="str">
        <v/>
      </c>
      <c r="F41179" s="102"/>
      <c r="H41179" s="4" t="str">
        <v/>
      </c>
      <c r="I41179" s="4" t="str">
        <v/>
      </c>
    </row>
    <row r="41180" spans="5:9" ht="16.5">
      <c r="E41180" s="4" t="str">
        <v/>
      </c>
      <c r="F41180" s="102"/>
      <c r="H41180" s="4" t="str">
        <v/>
      </c>
      <c r="I41180" s="4" t="str">
        <v/>
      </c>
    </row>
    <row r="41181" spans="5:9" ht="16.5">
      <c r="E41181" s="4" t="str">
        <v/>
      </c>
      <c r="F41181" s="102"/>
      <c r="H41181" s="4" t="str">
        <v/>
      </c>
      <c r="I41181" s="4" t="str">
        <v/>
      </c>
    </row>
    <row r="41182" spans="5:9" ht="16.5">
      <c r="E41182" s="4" t="str">
        <v/>
      </c>
      <c r="F41182" s="102"/>
      <c r="H41182" s="4" t="str">
        <v/>
      </c>
      <c r="I41182" s="4" t="str">
        <v/>
      </c>
    </row>
    <row r="41183" spans="5:9" ht="16.5">
      <c r="E41183" s="4" t="str">
        <v/>
      </c>
      <c r="F41183" s="102"/>
      <c r="H41183" s="4" t="str">
        <v/>
      </c>
      <c r="I41183" s="4" t="str">
        <v/>
      </c>
    </row>
    <row r="41184" spans="5:9" ht="16.5">
      <c r="E41184" s="4" t="str">
        <v/>
      </c>
      <c r="F41184" s="102"/>
      <c r="H41184" s="4" t="str">
        <v/>
      </c>
      <c r="I41184" s="4" t="str">
        <v/>
      </c>
    </row>
    <row r="41185" spans="5:9" ht="16.5">
      <c r="E41185" s="4" t="str">
        <v/>
      </c>
      <c r="F41185" s="102"/>
      <c r="H41185" s="4" t="str">
        <v/>
      </c>
      <c r="I41185" s="4" t="str">
        <v/>
      </c>
    </row>
    <row r="41186" spans="5:9" ht="16.5">
      <c r="E41186" s="4" t="str">
        <v/>
      </c>
      <c r="F41186" s="102"/>
      <c r="H41186" s="4" t="str">
        <v/>
      </c>
      <c r="I41186" s="4" t="str">
        <v/>
      </c>
    </row>
    <row r="41187" spans="5:9" ht="16.5">
      <c r="E41187" s="4" t="str">
        <v/>
      </c>
      <c r="F41187" s="102"/>
      <c r="H41187" s="4" t="str">
        <v/>
      </c>
      <c r="I41187" s="4" t="str">
        <v/>
      </c>
    </row>
    <row r="41188" spans="5:9" ht="16.5">
      <c r="E41188" s="4" t="str">
        <v/>
      </c>
      <c r="F41188" s="102"/>
      <c r="H41188" s="4" t="str">
        <v/>
      </c>
      <c r="I41188" s="4" t="str">
        <v/>
      </c>
    </row>
    <row r="41189" spans="5:9" ht="16.5">
      <c r="E41189" s="4" t="str">
        <v/>
      </c>
      <c r="F41189" s="102"/>
      <c r="H41189" s="4" t="str">
        <v/>
      </c>
      <c r="I41189" s="4" t="str">
        <v/>
      </c>
    </row>
    <row r="41190" spans="5:9" ht="16.5">
      <c r="E41190" s="4" t="str">
        <v/>
      </c>
      <c r="F41190" s="102"/>
      <c r="H41190" s="4" t="str">
        <v/>
      </c>
      <c r="I41190" s="4" t="str">
        <v/>
      </c>
    </row>
    <row r="41191" spans="5:9" ht="16.5">
      <c r="E41191" s="4" t="str">
        <v/>
      </c>
      <c r="F41191" s="102"/>
      <c r="H41191" s="4" t="str">
        <v/>
      </c>
      <c r="I41191" s="4" t="str">
        <v/>
      </c>
    </row>
    <row r="41192" spans="5:9" ht="16.5">
      <c r="E41192" s="4" t="str">
        <v/>
      </c>
      <c r="F41192" s="102"/>
      <c r="H41192" s="4" t="str">
        <v/>
      </c>
      <c r="I41192" s="4" t="str">
        <v/>
      </c>
    </row>
    <row r="41193" spans="5:9" ht="16.5">
      <c r="E41193" s="4" t="str">
        <v/>
      </c>
      <c r="F41193" s="102"/>
      <c r="H41193" s="4" t="str">
        <v/>
      </c>
      <c r="I41193" s="4" t="str">
        <v/>
      </c>
    </row>
    <row r="41194" spans="5:9" ht="16.5">
      <c r="E41194" s="4" t="str">
        <v/>
      </c>
      <c r="F41194" s="102"/>
      <c r="H41194" s="4" t="str">
        <v/>
      </c>
      <c r="I41194" s="4" t="str">
        <v/>
      </c>
    </row>
    <row r="41195" spans="5:9" ht="16.5">
      <c r="E41195" s="4" t="str">
        <v/>
      </c>
      <c r="F41195" s="102"/>
      <c r="H41195" s="4" t="str">
        <v/>
      </c>
      <c r="I41195" s="4" t="str">
        <v/>
      </c>
    </row>
    <row r="41196" spans="5:9" ht="16.5">
      <c r="E41196" s="4" t="str">
        <v/>
      </c>
      <c r="F41196" s="102"/>
      <c r="H41196" s="4" t="str">
        <v/>
      </c>
      <c r="I41196" s="4" t="str">
        <v/>
      </c>
    </row>
    <row r="41197" spans="5:9" ht="16.5">
      <c r="E41197" s="4" t="str">
        <v/>
      </c>
      <c r="F41197" s="102"/>
      <c r="H41197" s="4" t="str">
        <v/>
      </c>
      <c r="I41197" s="4" t="str">
        <v/>
      </c>
    </row>
    <row r="41198" spans="5:9" ht="16.5">
      <c r="E41198" s="4" t="str">
        <v/>
      </c>
      <c r="F41198" s="102"/>
      <c r="H41198" s="4" t="str">
        <v/>
      </c>
      <c r="I41198" s="4" t="str">
        <v/>
      </c>
    </row>
    <row r="41199" spans="5:9" ht="16.5">
      <c r="E41199" s="4" t="str">
        <v/>
      </c>
      <c r="F41199" s="102"/>
      <c r="H41199" s="4" t="str">
        <v/>
      </c>
      <c r="I41199" s="4" t="str">
        <v/>
      </c>
    </row>
    <row r="41200" spans="5:9" ht="16.5">
      <c r="E41200" s="4" t="str">
        <v/>
      </c>
      <c r="F41200" s="102"/>
      <c r="H41200" s="4" t="str">
        <v/>
      </c>
      <c r="I41200" s="4" t="str">
        <v/>
      </c>
    </row>
    <row r="41201" spans="5:9" ht="16.5">
      <c r="E41201" s="4" t="str">
        <v/>
      </c>
      <c r="F41201" s="102"/>
      <c r="H41201" s="4" t="str">
        <v/>
      </c>
      <c r="I41201" s="4" t="str">
        <v/>
      </c>
    </row>
    <row r="41202" spans="5:9" ht="16.5">
      <c r="E41202" s="4" t="str">
        <v/>
      </c>
      <c r="F41202" s="102"/>
      <c r="H41202" s="4" t="str">
        <v/>
      </c>
      <c r="I41202" s="4" t="str">
        <v/>
      </c>
    </row>
    <row r="41203" spans="5:9" ht="16.5">
      <c r="E41203" s="4" t="str">
        <v/>
      </c>
      <c r="F41203" s="102"/>
      <c r="H41203" s="4" t="str">
        <v/>
      </c>
      <c r="I41203" s="4" t="str">
        <v/>
      </c>
    </row>
    <row r="41204" spans="5:9" ht="16.5">
      <c r="E41204" s="4" t="str">
        <v/>
      </c>
      <c r="F41204" s="102"/>
      <c r="H41204" s="4" t="str">
        <v/>
      </c>
      <c r="I41204" s="4" t="str">
        <v/>
      </c>
    </row>
    <row r="41205" spans="5:9" ht="16.5">
      <c r="E41205" s="4" t="str">
        <v/>
      </c>
      <c r="F41205" s="102"/>
      <c r="H41205" s="4" t="str">
        <v/>
      </c>
      <c r="I41205" s="4" t="str">
        <v/>
      </c>
    </row>
    <row r="41206" spans="5:9" ht="16.5">
      <c r="E41206" s="4" t="str">
        <v/>
      </c>
      <c r="F41206" s="102"/>
      <c r="H41206" s="4" t="str">
        <v/>
      </c>
      <c r="I41206" s="4" t="str">
        <v/>
      </c>
    </row>
    <row r="41207" spans="5:9" ht="16.5">
      <c r="E41207" s="4" t="str">
        <v/>
      </c>
      <c r="F41207" s="102"/>
      <c r="H41207" s="4" t="str">
        <v/>
      </c>
      <c r="I41207" s="4" t="str">
        <v/>
      </c>
    </row>
    <row r="41208" spans="5:9" ht="16.5">
      <c r="E41208" s="4" t="str">
        <v/>
      </c>
      <c r="F41208" s="102"/>
      <c r="H41208" s="4" t="str">
        <v/>
      </c>
      <c r="I41208" s="4" t="str">
        <v/>
      </c>
    </row>
    <row r="41209" spans="5:9" ht="16.5">
      <c r="E41209" s="4" t="str">
        <v/>
      </c>
      <c r="F41209" s="102"/>
      <c r="H41209" s="4" t="str">
        <v/>
      </c>
      <c r="I41209" s="4" t="str">
        <v/>
      </c>
    </row>
    <row r="41210" spans="5:9" ht="16.5">
      <c r="E41210" s="4" t="str">
        <v/>
      </c>
      <c r="F41210" s="102"/>
      <c r="H41210" s="4" t="str">
        <v/>
      </c>
      <c r="I41210" s="4" t="str">
        <v/>
      </c>
    </row>
    <row r="41211" spans="5:9" ht="16.5">
      <c r="E41211" s="4" t="str">
        <v/>
      </c>
      <c r="F41211" s="102"/>
      <c r="H41211" s="4" t="str">
        <v/>
      </c>
      <c r="I41211" s="4" t="str">
        <v/>
      </c>
    </row>
    <row r="41212" spans="5:9" ht="16.5">
      <c r="E41212" s="4" t="str">
        <v/>
      </c>
      <c r="F41212" s="102"/>
      <c r="H41212" s="4" t="str">
        <v/>
      </c>
      <c r="I41212" s="4" t="str">
        <v/>
      </c>
    </row>
    <row r="41213" spans="5:9" ht="16.5">
      <c r="E41213" s="4" t="str">
        <v/>
      </c>
      <c r="F41213" s="102"/>
      <c r="H41213" s="4" t="str">
        <v/>
      </c>
      <c r="I41213" s="4" t="str">
        <v/>
      </c>
    </row>
    <row r="41214" spans="5:9" ht="16.5">
      <c r="E41214" s="4" t="str">
        <v/>
      </c>
      <c r="F41214" s="102"/>
      <c r="H41214" s="4" t="str">
        <v/>
      </c>
      <c r="I41214" s="4" t="str">
        <v/>
      </c>
    </row>
    <row r="41215" spans="5:9" ht="16.5">
      <c r="E41215" s="4" t="str">
        <v/>
      </c>
      <c r="F41215" s="102"/>
      <c r="H41215" s="4" t="str">
        <v/>
      </c>
      <c r="I41215" s="4" t="str">
        <v/>
      </c>
    </row>
    <row r="41216" spans="5:9" ht="16.5">
      <c r="E41216" s="4" t="str">
        <v/>
      </c>
      <c r="F41216" s="102"/>
      <c r="H41216" s="4" t="str">
        <v/>
      </c>
      <c r="I41216" s="4" t="str">
        <v/>
      </c>
    </row>
    <row r="41217" spans="5:9" ht="16.5">
      <c r="E41217" s="4" t="str">
        <v/>
      </c>
      <c r="F41217" s="102"/>
      <c r="H41217" s="4" t="str">
        <v/>
      </c>
      <c r="I41217" s="4" t="str">
        <v/>
      </c>
    </row>
    <row r="41218" spans="5:9" ht="16.5">
      <c r="E41218" s="4" t="str">
        <v/>
      </c>
      <c r="F41218" s="102"/>
      <c r="H41218" s="4" t="str">
        <v/>
      </c>
      <c r="I41218" s="4" t="str">
        <v/>
      </c>
    </row>
    <row r="41219" spans="5:9" ht="16.5">
      <c r="E41219" s="4" t="str">
        <v/>
      </c>
      <c r="F41219" s="102"/>
      <c r="H41219" s="4" t="str">
        <v/>
      </c>
      <c r="I41219" s="4" t="str">
        <v/>
      </c>
    </row>
    <row r="41220" spans="5:9" ht="16.5">
      <c r="E41220" s="4" t="str">
        <v/>
      </c>
      <c r="F41220" s="102"/>
      <c r="H41220" s="4" t="str">
        <v/>
      </c>
      <c r="I41220" s="4" t="str">
        <v/>
      </c>
    </row>
    <row r="41221" spans="5:9" ht="16.5">
      <c r="E41221" s="4" t="str">
        <v/>
      </c>
      <c r="F41221" s="102"/>
      <c r="H41221" s="4" t="str">
        <v/>
      </c>
      <c r="I41221" s="4" t="str">
        <v/>
      </c>
    </row>
    <row r="41222" spans="5:9" ht="16.5">
      <c r="E41222" s="4" t="str">
        <v/>
      </c>
      <c r="F41222" s="102"/>
      <c r="H41222" s="4" t="str">
        <v/>
      </c>
      <c r="I41222" s="4" t="str">
        <v/>
      </c>
    </row>
    <row r="41223" spans="5:9" ht="16.5">
      <c r="E41223" s="4" t="str">
        <v/>
      </c>
      <c r="F41223" s="102"/>
      <c r="H41223" s="4" t="str">
        <v/>
      </c>
      <c r="I41223" s="4" t="str">
        <v/>
      </c>
    </row>
    <row r="41224" spans="5:9" ht="16.5">
      <c r="E41224" s="4" t="str">
        <v/>
      </c>
      <c r="F41224" s="102"/>
      <c r="H41224" s="4" t="str">
        <v/>
      </c>
      <c r="I41224" s="4" t="str">
        <v/>
      </c>
    </row>
    <row r="41225" spans="5:9" ht="16.5">
      <c r="E41225" s="4" t="str">
        <v/>
      </c>
      <c r="F41225" s="102"/>
      <c r="H41225" s="4" t="str">
        <v/>
      </c>
      <c r="I41225" s="4" t="str">
        <v/>
      </c>
    </row>
    <row r="41226" spans="5:9" ht="16.5">
      <c r="E41226" s="4" t="str">
        <v/>
      </c>
      <c r="F41226" s="102"/>
      <c r="H41226" s="4" t="str">
        <v/>
      </c>
      <c r="I41226" s="4" t="str">
        <v/>
      </c>
    </row>
    <row r="41227" spans="5:9" ht="16.5">
      <c r="E41227" s="4" t="str">
        <v/>
      </c>
      <c r="F41227" s="102"/>
      <c r="H41227" s="4" t="str">
        <v/>
      </c>
      <c r="I41227" s="4" t="str">
        <v/>
      </c>
    </row>
    <row r="41228" spans="5:9" ht="16.5">
      <c r="E41228" s="4" t="str">
        <v/>
      </c>
      <c r="F41228" s="102"/>
      <c r="H41228" s="4" t="str">
        <v/>
      </c>
      <c r="I41228" s="4" t="str">
        <v/>
      </c>
    </row>
    <row r="41229" spans="5:9" ht="16.5">
      <c r="E41229" s="4" t="str">
        <v/>
      </c>
      <c r="F41229" s="102"/>
      <c r="H41229" s="4" t="str">
        <v/>
      </c>
      <c r="I41229" s="4" t="str">
        <v/>
      </c>
    </row>
    <row r="41230" spans="5:9" ht="16.5">
      <c r="E41230" s="4" t="str">
        <v/>
      </c>
      <c r="F41230" s="102"/>
      <c r="H41230" s="4" t="str">
        <v/>
      </c>
      <c r="I41230" s="4" t="str">
        <v/>
      </c>
    </row>
    <row r="41231" spans="5:9" ht="16.5">
      <c r="E41231" s="4" t="str">
        <v/>
      </c>
      <c r="F41231" s="102"/>
      <c r="H41231" s="4" t="str">
        <v/>
      </c>
      <c r="I41231" s="4" t="str">
        <v/>
      </c>
    </row>
    <row r="41232" spans="5:9" ht="16.5">
      <c r="E41232" s="4" t="str">
        <v/>
      </c>
      <c r="F41232" s="102"/>
      <c r="H41232" s="4" t="str">
        <v/>
      </c>
      <c r="I41232" s="4" t="str">
        <v/>
      </c>
    </row>
    <row r="41233" spans="5:9" ht="16.5">
      <c r="E41233" s="4" t="str">
        <v/>
      </c>
      <c r="F41233" s="102"/>
      <c r="H41233" s="4" t="str">
        <v/>
      </c>
      <c r="I41233" s="4" t="str">
        <v/>
      </c>
    </row>
    <row r="41234" spans="5:9" ht="16.5">
      <c r="E41234" s="4" t="str">
        <v/>
      </c>
      <c r="F41234" s="102"/>
      <c r="H41234" s="4" t="str">
        <v/>
      </c>
      <c r="I41234" s="4" t="str">
        <v/>
      </c>
    </row>
    <row r="41235" spans="5:9" ht="16.5">
      <c r="E41235" s="4" t="str">
        <v/>
      </c>
      <c r="F41235" s="102"/>
      <c r="H41235" s="4" t="str">
        <v/>
      </c>
      <c r="I41235" s="4" t="str">
        <v/>
      </c>
    </row>
    <row r="41236" spans="5:9" ht="16.5">
      <c r="E41236" s="4" t="str">
        <v/>
      </c>
      <c r="F41236" s="102"/>
      <c r="H41236" s="4" t="str">
        <v/>
      </c>
      <c r="I41236" s="4" t="str">
        <v/>
      </c>
    </row>
    <row r="41237" spans="5:9" ht="16.5">
      <c r="E41237" s="4" t="str">
        <v/>
      </c>
      <c r="F41237" s="102"/>
      <c r="H41237" s="4" t="str">
        <v/>
      </c>
      <c r="I41237" s="4" t="str">
        <v/>
      </c>
    </row>
    <row r="41238" spans="5:9" ht="16.5">
      <c r="E41238" s="4" t="str">
        <v/>
      </c>
      <c r="F41238" s="102"/>
      <c r="H41238" s="4" t="str">
        <v/>
      </c>
      <c r="I41238" s="4" t="str">
        <v/>
      </c>
    </row>
    <row r="41239" spans="5:9" ht="16.5">
      <c r="E41239" s="4" t="str">
        <v/>
      </c>
      <c r="F41239" s="102"/>
      <c r="H41239" s="4" t="str">
        <v/>
      </c>
      <c r="I41239" s="4" t="str">
        <v/>
      </c>
    </row>
    <row r="41240" spans="5:9" ht="16.5">
      <c r="E41240" s="4" t="str">
        <v/>
      </c>
      <c r="F41240" s="102"/>
      <c r="H41240" s="4" t="str">
        <v/>
      </c>
      <c r="I41240" s="4" t="str">
        <v/>
      </c>
    </row>
    <row r="41241" spans="5:9" ht="16.5">
      <c r="E41241" s="4" t="str">
        <v/>
      </c>
      <c r="F41241" s="102"/>
      <c r="H41241" s="4" t="str">
        <v/>
      </c>
      <c r="I41241" s="4" t="str">
        <v/>
      </c>
    </row>
    <row r="41242" spans="5:9" ht="16.5">
      <c r="E41242" s="4" t="str">
        <v/>
      </c>
      <c r="F41242" s="102"/>
      <c r="H41242" s="4" t="str">
        <v/>
      </c>
      <c r="I41242" s="4" t="str">
        <v/>
      </c>
    </row>
    <row r="41243" spans="5:9" ht="16.5">
      <c r="E41243" s="4" t="str">
        <v/>
      </c>
      <c r="F41243" s="102"/>
      <c r="H41243" s="4" t="str">
        <v/>
      </c>
      <c r="I41243" s="4" t="str">
        <v/>
      </c>
    </row>
    <row r="41244" spans="5:9" ht="16.5">
      <c r="E41244" s="4" t="str">
        <v/>
      </c>
      <c r="F41244" s="102"/>
      <c r="H41244" s="4" t="str">
        <v/>
      </c>
      <c r="I41244" s="4" t="str">
        <v/>
      </c>
    </row>
    <row r="41245" spans="5:9" ht="16.5">
      <c r="E41245" s="4" t="str">
        <v/>
      </c>
      <c r="F41245" s="102"/>
      <c r="H41245" s="4" t="str">
        <v/>
      </c>
      <c r="I41245" s="4" t="str">
        <v/>
      </c>
    </row>
    <row r="41246" spans="5:9" ht="16.5">
      <c r="E41246" s="4" t="str">
        <v/>
      </c>
      <c r="F41246" s="102"/>
      <c r="H41246" s="4" t="str">
        <v/>
      </c>
      <c r="I41246" s="4" t="str">
        <v/>
      </c>
    </row>
    <row r="41247" spans="5:9" ht="16.5">
      <c r="E41247" s="4" t="str">
        <v/>
      </c>
      <c r="F41247" s="102"/>
      <c r="H41247" s="4" t="str">
        <v/>
      </c>
      <c r="I41247" s="4" t="str">
        <v/>
      </c>
    </row>
    <row r="41248" spans="5:9" ht="16.5">
      <c r="E41248" s="4" t="str">
        <v/>
      </c>
      <c r="F41248" s="102"/>
      <c r="H41248" s="4" t="str">
        <v/>
      </c>
      <c r="I41248" s="4" t="str">
        <v/>
      </c>
    </row>
    <row r="41249" spans="5:9" ht="16.5">
      <c r="E41249" s="4" t="str">
        <v/>
      </c>
      <c r="F41249" s="102"/>
      <c r="H41249" s="4" t="str">
        <v/>
      </c>
      <c r="I41249" s="4" t="str">
        <v/>
      </c>
    </row>
    <row r="41250" spans="5:9" ht="16.5">
      <c r="E41250" s="4" t="str">
        <v/>
      </c>
      <c r="F41250" s="102"/>
      <c r="H41250" s="4" t="str">
        <v/>
      </c>
      <c r="I41250" s="4" t="str">
        <v/>
      </c>
    </row>
    <row r="41251" spans="5:9" ht="16.5">
      <c r="E41251" s="4" t="str">
        <v/>
      </c>
      <c r="F41251" s="102"/>
      <c r="H41251" s="4" t="str">
        <v/>
      </c>
      <c r="I41251" s="4" t="str">
        <v/>
      </c>
    </row>
    <row r="41252" spans="5:9" ht="16.5">
      <c r="E41252" s="4" t="str">
        <v/>
      </c>
      <c r="F41252" s="102"/>
      <c r="H41252" s="4" t="str">
        <v/>
      </c>
      <c r="I41252" s="4" t="str">
        <v/>
      </c>
    </row>
    <row r="41253" spans="5:9" ht="16.5">
      <c r="E41253" s="4" t="str">
        <v/>
      </c>
      <c r="F41253" s="102"/>
      <c r="H41253" s="4" t="str">
        <v/>
      </c>
      <c r="I41253" s="4" t="str">
        <v/>
      </c>
    </row>
    <row r="41254" spans="5:9" ht="16.5">
      <c r="E41254" s="4" t="str">
        <v/>
      </c>
      <c r="F41254" s="102"/>
      <c r="H41254" s="4" t="str">
        <v/>
      </c>
      <c r="I41254" s="4" t="str">
        <v/>
      </c>
    </row>
    <row r="41255" spans="5:9" ht="16.5">
      <c r="E41255" s="4" t="str">
        <v/>
      </c>
      <c r="F41255" s="102"/>
      <c r="H41255" s="4" t="str">
        <v/>
      </c>
      <c r="I41255" s="4" t="str">
        <v/>
      </c>
    </row>
    <row r="41256" spans="5:9" ht="16.5">
      <c r="E41256" s="4" t="str">
        <v/>
      </c>
      <c r="F41256" s="102"/>
      <c r="H41256" s="4" t="str">
        <v/>
      </c>
      <c r="I41256" s="4" t="str">
        <v/>
      </c>
    </row>
    <row r="41257" spans="5:9" ht="16.5">
      <c r="E41257" s="4" t="str">
        <v/>
      </c>
      <c r="F41257" s="102"/>
      <c r="H41257" s="4" t="str">
        <v/>
      </c>
      <c r="I41257" s="4" t="str">
        <v/>
      </c>
    </row>
    <row r="41258" spans="5:9" ht="16.5">
      <c r="E41258" s="4" t="str">
        <v/>
      </c>
      <c r="F41258" s="102"/>
      <c r="H41258" s="4" t="str">
        <v/>
      </c>
      <c r="I41258" s="4" t="str">
        <v/>
      </c>
    </row>
    <row r="41259" spans="5:9" ht="16.5">
      <c r="E41259" s="4" t="str">
        <v/>
      </c>
      <c r="F41259" s="102"/>
      <c r="H41259" s="4" t="str">
        <v/>
      </c>
      <c r="I41259" s="4" t="str">
        <v/>
      </c>
    </row>
    <row r="41260" spans="5:9" ht="16.5">
      <c r="E41260" s="4" t="str">
        <v/>
      </c>
      <c r="F41260" s="102"/>
      <c r="H41260" s="4" t="str">
        <v/>
      </c>
      <c r="I41260" s="4" t="str">
        <v/>
      </c>
    </row>
    <row r="41261" spans="5:9" ht="16.5">
      <c r="E41261" s="4" t="str">
        <v/>
      </c>
      <c r="F41261" s="102"/>
      <c r="H41261" s="4" t="str">
        <v/>
      </c>
      <c r="I41261" s="4" t="str">
        <v/>
      </c>
    </row>
    <row r="41262" spans="5:9" ht="16.5">
      <c r="E41262" s="4" t="str">
        <v/>
      </c>
      <c r="F41262" s="102"/>
      <c r="H41262" s="4" t="str">
        <v/>
      </c>
      <c r="I41262" s="4" t="str">
        <v/>
      </c>
    </row>
    <row r="41263" spans="5:9" ht="16.5">
      <c r="E41263" s="4" t="str">
        <v/>
      </c>
      <c r="F41263" s="102"/>
      <c r="H41263" s="4" t="str">
        <v/>
      </c>
      <c r="I41263" s="4" t="str">
        <v/>
      </c>
    </row>
    <row r="41264" spans="5:9" ht="16.5">
      <c r="E41264" s="4" t="str">
        <v/>
      </c>
      <c r="F41264" s="102"/>
      <c r="H41264" s="4" t="str">
        <v/>
      </c>
      <c r="I41264" s="4" t="str">
        <v/>
      </c>
    </row>
    <row r="41265" spans="5:9" ht="16.5">
      <c r="E41265" s="4" t="str">
        <v/>
      </c>
      <c r="F41265" s="102"/>
      <c r="H41265" s="4" t="str">
        <v/>
      </c>
      <c r="I41265" s="4" t="str">
        <v/>
      </c>
    </row>
    <row r="41266" spans="5:9" ht="16.5">
      <c r="E41266" s="4" t="str">
        <v/>
      </c>
      <c r="F41266" s="102"/>
      <c r="H41266" s="4" t="str">
        <v/>
      </c>
      <c r="I41266" s="4" t="str">
        <v/>
      </c>
    </row>
    <row r="41267" spans="5:9" ht="16.5">
      <c r="E41267" s="4" t="str">
        <v/>
      </c>
      <c r="F41267" s="102"/>
      <c r="H41267" s="4" t="str">
        <v/>
      </c>
      <c r="I41267" s="4" t="str">
        <v/>
      </c>
    </row>
    <row r="41268" spans="5:9" ht="16.5">
      <c r="E41268" s="4" t="str">
        <v/>
      </c>
      <c r="F41268" s="102"/>
      <c r="H41268" s="4" t="str">
        <v/>
      </c>
      <c r="I41268" s="4" t="str">
        <v/>
      </c>
    </row>
    <row r="41269" spans="5:9" ht="16.5">
      <c r="E41269" s="4" t="str">
        <v/>
      </c>
      <c r="F41269" s="102"/>
      <c r="H41269" s="4" t="str">
        <v/>
      </c>
      <c r="I41269" s="4" t="str">
        <v/>
      </c>
    </row>
    <row r="41270" spans="5:9" ht="16.5">
      <c r="E41270" s="4" t="str">
        <v/>
      </c>
      <c r="F41270" s="102"/>
      <c r="H41270" s="4" t="str">
        <v/>
      </c>
      <c r="I41270" s="4" t="str">
        <v/>
      </c>
    </row>
    <row r="41271" spans="5:9" ht="16.5">
      <c r="E41271" s="4" t="str">
        <v/>
      </c>
      <c r="F41271" s="102"/>
      <c r="H41271" s="4" t="str">
        <v/>
      </c>
      <c r="I41271" s="4" t="str">
        <v/>
      </c>
    </row>
    <row r="41272" spans="5:9" ht="16.5">
      <c r="E41272" s="4" t="str">
        <v/>
      </c>
      <c r="F41272" s="102"/>
      <c r="H41272" s="4" t="str">
        <v/>
      </c>
      <c r="I41272" s="4" t="str">
        <v/>
      </c>
    </row>
    <row r="41273" spans="5:9" ht="16.5">
      <c r="E41273" s="4" t="str">
        <v/>
      </c>
      <c r="F41273" s="102"/>
      <c r="H41273" s="4" t="str">
        <v/>
      </c>
      <c r="I41273" s="4" t="str">
        <v/>
      </c>
    </row>
    <row r="41274" spans="5:9" ht="16.5">
      <c r="E41274" s="4" t="str">
        <v/>
      </c>
      <c r="F41274" s="102"/>
      <c r="H41274" s="4" t="str">
        <v/>
      </c>
      <c r="I41274" s="4" t="str">
        <v/>
      </c>
    </row>
    <row r="41275" spans="5:9" ht="16.5">
      <c r="E41275" s="4" t="str">
        <v/>
      </c>
      <c r="F41275" s="102"/>
      <c r="H41275" s="4" t="str">
        <v/>
      </c>
      <c r="I41275" s="4" t="str">
        <v/>
      </c>
    </row>
    <row r="41276" spans="5:9" ht="16.5">
      <c r="E41276" s="4" t="str">
        <v/>
      </c>
      <c r="F41276" s="102"/>
      <c r="H41276" s="4" t="str">
        <v/>
      </c>
      <c r="I41276" s="4" t="str">
        <v/>
      </c>
    </row>
    <row r="41277" spans="5:9" ht="16.5">
      <c r="E41277" s="4" t="str">
        <v/>
      </c>
      <c r="F41277" s="102"/>
      <c r="H41277" s="4" t="str">
        <v/>
      </c>
      <c r="I41277" s="4" t="str">
        <v/>
      </c>
    </row>
    <row r="41278" spans="5:9" ht="16.5">
      <c r="E41278" s="4" t="str">
        <v/>
      </c>
      <c r="F41278" s="102"/>
      <c r="H41278" s="4" t="str">
        <v/>
      </c>
      <c r="I41278" s="4" t="str">
        <v/>
      </c>
    </row>
    <row r="41279" spans="5:9" ht="16.5">
      <c r="E41279" s="4" t="str">
        <v/>
      </c>
      <c r="F41279" s="102"/>
      <c r="H41279" s="4" t="str">
        <v/>
      </c>
      <c r="I41279" s="4" t="str">
        <v/>
      </c>
    </row>
    <row r="41280" spans="5:9" ht="16.5">
      <c r="E41280" s="4" t="str">
        <v/>
      </c>
      <c r="F41280" s="102"/>
      <c r="H41280" s="4" t="str">
        <v/>
      </c>
      <c r="I41280" s="4" t="str">
        <v/>
      </c>
    </row>
    <row r="41281" spans="5:9" ht="16.5">
      <c r="E41281" s="4" t="str">
        <v/>
      </c>
      <c r="F41281" s="102"/>
      <c r="H41281" s="4" t="str">
        <v/>
      </c>
      <c r="I41281" s="4" t="str">
        <v/>
      </c>
    </row>
    <row r="41282" spans="5:9" ht="16.5">
      <c r="E41282" s="4" t="str">
        <v/>
      </c>
      <c r="F41282" s="102"/>
      <c r="H41282" s="4" t="str">
        <v/>
      </c>
      <c r="I41282" s="4" t="str">
        <v/>
      </c>
    </row>
    <row r="41283" spans="5:9" ht="16.5">
      <c r="E41283" s="4" t="str">
        <v/>
      </c>
      <c r="F41283" s="102"/>
      <c r="H41283" s="4" t="str">
        <v/>
      </c>
      <c r="I41283" s="4" t="str">
        <v/>
      </c>
    </row>
    <row r="41284" spans="5:9" ht="16.5">
      <c r="E41284" s="4" t="str">
        <v/>
      </c>
      <c r="F41284" s="102"/>
      <c r="H41284" s="4" t="str">
        <v/>
      </c>
      <c r="I41284" s="4" t="str">
        <v/>
      </c>
    </row>
    <row r="41285" spans="5:9" ht="16.5">
      <c r="E41285" s="4" t="str">
        <v/>
      </c>
      <c r="F41285" s="102"/>
      <c r="H41285" s="4" t="str">
        <v/>
      </c>
      <c r="I41285" s="4" t="str">
        <v/>
      </c>
    </row>
    <row r="41286" spans="5:9" ht="16.5">
      <c r="E41286" s="4" t="str">
        <v/>
      </c>
      <c r="F41286" s="102"/>
      <c r="H41286" s="4" t="str">
        <v/>
      </c>
      <c r="I41286" s="4" t="str">
        <v/>
      </c>
    </row>
    <row r="41287" spans="5:9" ht="16.5">
      <c r="E41287" s="4" t="str">
        <v/>
      </c>
      <c r="F41287" s="102"/>
      <c r="H41287" s="4" t="str">
        <v/>
      </c>
      <c r="I41287" s="4" t="str">
        <v/>
      </c>
    </row>
    <row r="41288" spans="5:9" ht="16.5">
      <c r="E41288" s="4" t="str">
        <v/>
      </c>
      <c r="F41288" s="102"/>
      <c r="H41288" s="4" t="str">
        <v/>
      </c>
      <c r="I41288" s="4" t="str">
        <v/>
      </c>
    </row>
    <row r="41289" spans="5:9" ht="16.5">
      <c r="E41289" s="4" t="str">
        <v/>
      </c>
      <c r="F41289" s="102"/>
      <c r="H41289" s="4" t="str">
        <v/>
      </c>
      <c r="I41289" s="4" t="str">
        <v/>
      </c>
    </row>
    <row r="41290" spans="5:9" ht="16.5">
      <c r="E41290" s="4" t="str">
        <v/>
      </c>
      <c r="F41290" s="102"/>
      <c r="H41290" s="4" t="str">
        <v/>
      </c>
      <c r="I41290" s="4" t="str">
        <v/>
      </c>
    </row>
    <row r="41291" spans="5:9" ht="16.5">
      <c r="E41291" s="4" t="str">
        <v/>
      </c>
      <c r="F41291" s="102"/>
      <c r="H41291" s="4" t="str">
        <v/>
      </c>
      <c r="I41291" s="4" t="str">
        <v/>
      </c>
    </row>
    <row r="41292" spans="5:9" ht="16.5">
      <c r="E41292" s="4" t="str">
        <v/>
      </c>
      <c r="F41292" s="102"/>
      <c r="H41292" s="4" t="str">
        <v/>
      </c>
      <c r="I41292" s="4" t="str">
        <v/>
      </c>
    </row>
    <row r="41293" spans="5:9" ht="16.5">
      <c r="E41293" s="4" t="str">
        <v/>
      </c>
      <c r="F41293" s="102"/>
      <c r="H41293" s="4" t="str">
        <v/>
      </c>
      <c r="I41293" s="4" t="str">
        <v/>
      </c>
    </row>
    <row r="41294" spans="5:9" ht="16.5">
      <c r="E41294" s="4" t="str">
        <v/>
      </c>
      <c r="F41294" s="102"/>
      <c r="H41294" s="4" t="str">
        <v/>
      </c>
      <c r="I41294" s="4" t="str">
        <v/>
      </c>
    </row>
    <row r="41295" spans="5:9" ht="16.5">
      <c r="E41295" s="4" t="str">
        <v/>
      </c>
      <c r="F41295" s="102"/>
      <c r="H41295" s="4" t="str">
        <v/>
      </c>
      <c r="I41295" s="4" t="str">
        <v/>
      </c>
    </row>
    <row r="41296" spans="5:9" ht="16.5">
      <c r="E41296" s="4" t="str">
        <v/>
      </c>
      <c r="F41296" s="102"/>
      <c r="H41296" s="4" t="str">
        <v/>
      </c>
      <c r="I41296" s="4" t="str">
        <v/>
      </c>
    </row>
    <row r="41297" spans="5:9" ht="16.5">
      <c r="E41297" s="4" t="str">
        <v/>
      </c>
      <c r="F41297" s="102"/>
      <c r="H41297" s="4" t="str">
        <v/>
      </c>
      <c r="I41297" s="4" t="str">
        <v/>
      </c>
    </row>
    <row r="41298" spans="5:9" ht="16.5">
      <c r="E41298" s="4" t="str">
        <v/>
      </c>
      <c r="F41298" s="102"/>
      <c r="H41298" s="4" t="str">
        <v/>
      </c>
      <c r="I41298" s="4" t="str">
        <v/>
      </c>
    </row>
    <row r="41299" spans="5:9" ht="16.5">
      <c r="E41299" s="4" t="str">
        <v/>
      </c>
      <c r="F41299" s="102"/>
      <c r="H41299" s="4" t="str">
        <v/>
      </c>
      <c r="I41299" s="4" t="str">
        <v/>
      </c>
    </row>
    <row r="41300" spans="5:9" ht="16.5">
      <c r="E41300" s="4" t="str">
        <v/>
      </c>
      <c r="F41300" s="102"/>
      <c r="H41300" s="4" t="str">
        <v/>
      </c>
      <c r="I41300" s="4" t="str">
        <v/>
      </c>
    </row>
    <row r="41301" spans="5:9" ht="16.5">
      <c r="E41301" s="4" t="str">
        <v/>
      </c>
      <c r="F41301" s="102"/>
      <c r="H41301" s="4" t="str">
        <v/>
      </c>
      <c r="I41301" s="4" t="str">
        <v/>
      </c>
    </row>
    <row r="41302" spans="5:9" ht="16.5">
      <c r="E41302" s="4" t="str">
        <v/>
      </c>
      <c r="F41302" s="102"/>
      <c r="H41302" s="4" t="str">
        <v/>
      </c>
      <c r="I41302" s="4" t="str">
        <v/>
      </c>
    </row>
    <row r="41303" spans="5:9" ht="16.5">
      <c r="E41303" s="4" t="str">
        <v/>
      </c>
      <c r="F41303" s="102"/>
      <c r="H41303" s="4" t="str">
        <v/>
      </c>
      <c r="I41303" s="4" t="str">
        <v/>
      </c>
    </row>
    <row r="41304" spans="5:9" ht="16.5">
      <c r="E41304" s="4" t="str">
        <v/>
      </c>
      <c r="F41304" s="102"/>
      <c r="H41304" s="4" t="str">
        <v/>
      </c>
      <c r="I41304" s="4" t="str">
        <v/>
      </c>
    </row>
    <row r="41305" spans="5:9" ht="16.5">
      <c r="E41305" s="4" t="str">
        <v/>
      </c>
      <c r="F41305" s="102"/>
      <c r="H41305" s="4" t="str">
        <v/>
      </c>
      <c r="I41305" s="4" t="str">
        <v/>
      </c>
    </row>
    <row r="41306" spans="5:9" ht="16.5">
      <c r="E41306" s="4" t="str">
        <v/>
      </c>
      <c r="F41306" s="102"/>
      <c r="H41306" s="4" t="str">
        <v/>
      </c>
      <c r="I41306" s="4" t="str">
        <v/>
      </c>
    </row>
    <row r="41307" spans="5:9" ht="16.5">
      <c r="E41307" s="4" t="str">
        <v/>
      </c>
      <c r="F41307" s="102"/>
      <c r="H41307" s="4" t="str">
        <v/>
      </c>
      <c r="I41307" s="4" t="str">
        <v/>
      </c>
    </row>
    <row r="41308" spans="5:9" ht="16.5">
      <c r="E41308" s="4" t="str">
        <v/>
      </c>
      <c r="F41308" s="102"/>
      <c r="H41308" s="4" t="str">
        <v/>
      </c>
      <c r="I41308" s="4" t="str">
        <v/>
      </c>
    </row>
    <row r="41309" spans="5:9" ht="16.5">
      <c r="E41309" s="4" t="str">
        <v/>
      </c>
      <c r="F41309" s="102"/>
      <c r="H41309" s="4" t="str">
        <v/>
      </c>
      <c r="I41309" s="4" t="str">
        <v/>
      </c>
    </row>
    <row r="41310" spans="5:9" ht="16.5">
      <c r="E41310" s="4" t="str">
        <v/>
      </c>
      <c r="F41310" s="102"/>
      <c r="H41310" s="4" t="str">
        <v/>
      </c>
      <c r="I41310" s="4" t="str">
        <v/>
      </c>
    </row>
    <row r="41311" spans="5:9" ht="16.5">
      <c r="E41311" s="4" t="str">
        <v/>
      </c>
      <c r="F41311" s="102"/>
      <c r="H41311" s="4" t="str">
        <v/>
      </c>
      <c r="I41311" s="4" t="str">
        <v/>
      </c>
    </row>
    <row r="41312" spans="5:9" ht="16.5">
      <c r="E41312" s="4" t="str">
        <v/>
      </c>
      <c r="F41312" s="102"/>
      <c r="H41312" s="4" t="str">
        <v/>
      </c>
      <c r="I41312" s="4" t="str">
        <v/>
      </c>
    </row>
    <row r="41313" spans="5:9" ht="16.5">
      <c r="E41313" s="4" t="str">
        <v/>
      </c>
      <c r="F41313" s="102"/>
      <c r="H41313" s="4" t="str">
        <v/>
      </c>
      <c r="I41313" s="4" t="str">
        <v/>
      </c>
    </row>
    <row r="41314" spans="5:9" ht="16.5">
      <c r="E41314" s="4" t="str">
        <v/>
      </c>
      <c r="F41314" s="102"/>
      <c r="H41314" s="4" t="str">
        <v/>
      </c>
      <c r="I41314" s="4" t="str">
        <v/>
      </c>
    </row>
    <row r="41315" spans="5:9" ht="16.5">
      <c r="E41315" s="4" t="str">
        <v/>
      </c>
      <c r="F41315" s="102"/>
      <c r="H41315" s="4" t="str">
        <v/>
      </c>
      <c r="I41315" s="4" t="str">
        <v/>
      </c>
    </row>
    <row r="41316" spans="5:9" ht="16.5">
      <c r="E41316" s="4" t="str">
        <v/>
      </c>
      <c r="F41316" s="102"/>
      <c r="H41316" s="4" t="str">
        <v/>
      </c>
      <c r="I41316" s="4" t="str">
        <v/>
      </c>
    </row>
    <row r="41317" spans="5:9" ht="16.5">
      <c r="E41317" s="4" t="str">
        <v/>
      </c>
      <c r="F41317" s="102"/>
      <c r="H41317" s="4" t="str">
        <v/>
      </c>
      <c r="I41317" s="4" t="str">
        <v/>
      </c>
    </row>
    <row r="41318" spans="5:9" ht="16.5">
      <c r="E41318" s="4" t="str">
        <v/>
      </c>
      <c r="F41318" s="102"/>
      <c r="H41318" s="4" t="str">
        <v/>
      </c>
      <c r="I41318" s="4" t="str">
        <v/>
      </c>
    </row>
    <row r="41319" spans="5:9" ht="16.5">
      <c r="E41319" s="4" t="str">
        <v/>
      </c>
      <c r="F41319" s="102"/>
      <c r="H41319" s="4" t="str">
        <v/>
      </c>
      <c r="I41319" s="4" t="str">
        <v/>
      </c>
    </row>
    <row r="41320" spans="5:9" ht="16.5">
      <c r="E41320" s="4" t="str">
        <v/>
      </c>
      <c r="F41320" s="102"/>
      <c r="H41320" s="4" t="str">
        <v/>
      </c>
      <c r="I41320" s="4" t="str">
        <v/>
      </c>
    </row>
    <row r="41321" spans="5:9" ht="16.5">
      <c r="E41321" s="4" t="str">
        <v/>
      </c>
      <c r="F41321" s="102"/>
      <c r="H41321" s="4" t="str">
        <v/>
      </c>
      <c r="I41321" s="4" t="str">
        <v/>
      </c>
    </row>
    <row r="41322" spans="5:9" ht="16.5">
      <c r="E41322" s="4" t="str">
        <v/>
      </c>
      <c r="F41322" s="102"/>
      <c r="H41322" s="4" t="str">
        <v/>
      </c>
      <c r="I41322" s="4" t="str">
        <v/>
      </c>
    </row>
    <row r="41323" spans="5:9" ht="16.5">
      <c r="E41323" s="4" t="str">
        <v/>
      </c>
      <c r="F41323" s="102"/>
      <c r="H41323" s="4" t="str">
        <v/>
      </c>
      <c r="I41323" s="4" t="str">
        <v/>
      </c>
    </row>
    <row r="41324" spans="5:9" ht="16.5">
      <c r="E41324" s="4" t="str">
        <v/>
      </c>
      <c r="F41324" s="102"/>
      <c r="H41324" s="4" t="str">
        <v/>
      </c>
      <c r="I41324" s="4" t="str">
        <v/>
      </c>
    </row>
    <row r="41325" spans="5:9" ht="16.5">
      <c r="E41325" s="4" t="str">
        <v/>
      </c>
      <c r="F41325" s="102"/>
      <c r="H41325" s="4" t="str">
        <v/>
      </c>
      <c r="I41325" s="4" t="str">
        <v/>
      </c>
    </row>
    <row r="41326" spans="5:9" ht="16.5">
      <c r="E41326" s="4" t="str">
        <v/>
      </c>
      <c r="F41326" s="102"/>
      <c r="H41326" s="4" t="str">
        <v/>
      </c>
      <c r="I41326" s="4" t="str">
        <v/>
      </c>
    </row>
    <row r="41327" spans="5:9" ht="16.5">
      <c r="E41327" s="4" t="str">
        <v/>
      </c>
      <c r="F41327" s="102"/>
      <c r="H41327" s="4" t="str">
        <v/>
      </c>
      <c r="I41327" s="4" t="str">
        <v/>
      </c>
    </row>
    <row r="41328" spans="5:9" ht="16.5">
      <c r="E41328" s="4" t="str">
        <v/>
      </c>
      <c r="F41328" s="102"/>
      <c r="H41328" s="4" t="str">
        <v/>
      </c>
      <c r="I41328" s="4" t="str">
        <v/>
      </c>
    </row>
    <row r="41329" spans="5:9" ht="16.5">
      <c r="E41329" s="4" t="str">
        <v/>
      </c>
      <c r="F41329" s="102"/>
      <c r="H41329" s="4" t="str">
        <v/>
      </c>
      <c r="I41329" s="4" t="str">
        <v/>
      </c>
    </row>
    <row r="41330" spans="5:9" ht="16.5">
      <c r="E41330" s="4" t="str">
        <v/>
      </c>
      <c r="F41330" s="102"/>
      <c r="H41330" s="4" t="str">
        <v/>
      </c>
      <c r="I41330" s="4" t="str">
        <v/>
      </c>
    </row>
    <row r="41331" spans="5:9" ht="16.5">
      <c r="E41331" s="4" t="str">
        <v/>
      </c>
      <c r="F41331" s="102"/>
      <c r="H41331" s="4" t="str">
        <v/>
      </c>
      <c r="I41331" s="4" t="str">
        <v/>
      </c>
    </row>
    <row r="41332" spans="5:9" ht="16.5">
      <c r="E41332" s="4" t="str">
        <v/>
      </c>
      <c r="F41332" s="102"/>
      <c r="H41332" s="4" t="str">
        <v/>
      </c>
      <c r="I41332" s="4" t="str">
        <v/>
      </c>
    </row>
    <row r="41333" spans="5:9" ht="16.5">
      <c r="E41333" s="4" t="str">
        <v/>
      </c>
      <c r="F41333" s="102"/>
      <c r="H41333" s="4" t="str">
        <v/>
      </c>
      <c r="I41333" s="4" t="str">
        <v/>
      </c>
    </row>
    <row r="41334" spans="5:9" ht="16.5">
      <c r="E41334" s="4" t="str">
        <v/>
      </c>
      <c r="F41334" s="102"/>
      <c r="H41334" s="4" t="str">
        <v/>
      </c>
      <c r="I41334" s="4" t="str">
        <v/>
      </c>
    </row>
    <row r="41335" spans="5:9" ht="16.5">
      <c r="E41335" s="4" t="str">
        <v/>
      </c>
      <c r="F41335" s="102"/>
      <c r="H41335" s="4" t="str">
        <v/>
      </c>
      <c r="I41335" s="4" t="str">
        <v/>
      </c>
    </row>
    <row r="41336" spans="5:9" ht="16.5">
      <c r="E41336" s="4" t="str">
        <v/>
      </c>
      <c r="F41336" s="102"/>
      <c r="H41336" s="4" t="str">
        <v/>
      </c>
      <c r="I41336" s="4" t="str">
        <v/>
      </c>
    </row>
    <row r="41337" spans="5:9" ht="16.5">
      <c r="E41337" s="4" t="str">
        <v/>
      </c>
      <c r="F41337" s="102"/>
      <c r="H41337" s="4" t="str">
        <v/>
      </c>
      <c r="I41337" s="4" t="str">
        <v/>
      </c>
    </row>
    <row r="41338" spans="5:9" ht="16.5">
      <c r="E41338" s="4" t="str">
        <v/>
      </c>
      <c r="F41338" s="102"/>
      <c r="H41338" s="4" t="str">
        <v/>
      </c>
      <c r="I41338" s="4" t="str">
        <v/>
      </c>
    </row>
    <row r="41339" spans="5:9" ht="16.5">
      <c r="E41339" s="4" t="str">
        <v/>
      </c>
      <c r="F41339" s="102"/>
      <c r="H41339" s="4" t="str">
        <v/>
      </c>
      <c r="I41339" s="4" t="str">
        <v/>
      </c>
    </row>
    <row r="41340" spans="5:9" ht="16.5">
      <c r="E41340" s="4" t="str">
        <v/>
      </c>
      <c r="F41340" s="102"/>
      <c r="H41340" s="4" t="str">
        <v/>
      </c>
      <c r="I41340" s="4" t="str">
        <v/>
      </c>
    </row>
    <row r="41341" spans="5:9" ht="16.5">
      <c r="E41341" s="4" t="str">
        <v/>
      </c>
      <c r="F41341" s="102"/>
      <c r="H41341" s="4" t="str">
        <v/>
      </c>
      <c r="I41341" s="4" t="str">
        <v/>
      </c>
    </row>
    <row r="41342" spans="5:9" ht="16.5">
      <c r="E41342" s="4" t="str">
        <v/>
      </c>
      <c r="F41342" s="102"/>
      <c r="H41342" s="4" t="str">
        <v/>
      </c>
      <c r="I41342" s="4" t="str">
        <v/>
      </c>
    </row>
    <row r="41343" spans="5:9" ht="16.5">
      <c r="E41343" s="4" t="str">
        <v/>
      </c>
      <c r="F41343" s="102"/>
      <c r="H41343" s="4" t="str">
        <v/>
      </c>
      <c r="I41343" s="4" t="str">
        <v/>
      </c>
    </row>
    <row r="41344" spans="5:9" ht="16.5">
      <c r="E41344" s="4" t="str">
        <v/>
      </c>
      <c r="F41344" s="102"/>
      <c r="H41344" s="4" t="str">
        <v/>
      </c>
      <c r="I41344" s="4" t="str">
        <v/>
      </c>
    </row>
    <row r="41345" spans="5:9" ht="16.5">
      <c r="E41345" s="4" t="str">
        <v/>
      </c>
      <c r="F41345" s="102"/>
      <c r="H41345" s="4" t="str">
        <v/>
      </c>
      <c r="I41345" s="4" t="str">
        <v/>
      </c>
    </row>
    <row r="41346" spans="5:9" ht="16.5">
      <c r="E41346" s="4" t="str">
        <v/>
      </c>
      <c r="F41346" s="102"/>
      <c r="H41346" s="4" t="str">
        <v/>
      </c>
      <c r="I41346" s="4" t="str">
        <v/>
      </c>
    </row>
    <row r="41347" spans="5:9" ht="16.5">
      <c r="E41347" s="4" t="str">
        <v/>
      </c>
      <c r="F41347" s="102"/>
      <c r="H41347" s="4" t="str">
        <v/>
      </c>
      <c r="I41347" s="4" t="str">
        <v/>
      </c>
    </row>
    <row r="41348" spans="5:9" ht="16.5">
      <c r="E41348" s="4" t="str">
        <v/>
      </c>
      <c r="F41348" s="102"/>
      <c r="H41348" s="4" t="str">
        <v/>
      </c>
      <c r="I41348" s="4" t="str">
        <v/>
      </c>
    </row>
    <row r="41349" spans="5:9" ht="16.5">
      <c r="E41349" s="4" t="str">
        <v/>
      </c>
      <c r="F41349" s="102"/>
      <c r="H41349" s="4" t="str">
        <v/>
      </c>
      <c r="I41349" s="4" t="str">
        <v/>
      </c>
    </row>
    <row r="41350" spans="5:9" ht="16.5">
      <c r="E41350" s="4" t="str">
        <v/>
      </c>
      <c r="F41350" s="102"/>
      <c r="H41350" s="4" t="str">
        <v/>
      </c>
      <c r="I41350" s="4" t="str">
        <v/>
      </c>
    </row>
    <row r="41351" spans="5:9" ht="16.5">
      <c r="E41351" s="4" t="str">
        <v/>
      </c>
      <c r="F41351" s="102"/>
      <c r="H41351" s="4" t="str">
        <v/>
      </c>
      <c r="I41351" s="4" t="str">
        <v/>
      </c>
    </row>
    <row r="41352" spans="5:9" ht="16.5">
      <c r="E41352" s="4" t="str">
        <v/>
      </c>
      <c r="F41352" s="102"/>
      <c r="H41352" s="4" t="str">
        <v/>
      </c>
      <c r="I41352" s="4" t="str">
        <v/>
      </c>
    </row>
    <row r="41353" spans="5:9" ht="16.5">
      <c r="E41353" s="4" t="str">
        <v/>
      </c>
      <c r="F41353" s="102"/>
      <c r="H41353" s="4" t="str">
        <v/>
      </c>
      <c r="I41353" s="4" t="str">
        <v/>
      </c>
    </row>
    <row r="41354" spans="5:9" ht="16.5">
      <c r="E41354" s="4" t="str">
        <v/>
      </c>
      <c r="F41354" s="102"/>
      <c r="H41354" s="4" t="str">
        <v/>
      </c>
      <c r="I41354" s="4" t="str">
        <v/>
      </c>
    </row>
    <row r="41355" spans="5:9" ht="16.5">
      <c r="E41355" s="4" t="str">
        <v/>
      </c>
      <c r="F41355" s="102"/>
      <c r="H41355" s="4" t="str">
        <v/>
      </c>
      <c r="I41355" s="4" t="str">
        <v/>
      </c>
    </row>
    <row r="41356" spans="5:9" ht="16.5">
      <c r="E41356" s="4" t="str">
        <v/>
      </c>
      <c r="F41356" s="102"/>
      <c r="H41356" s="4" t="str">
        <v/>
      </c>
      <c r="I41356" s="4" t="str">
        <v/>
      </c>
    </row>
    <row r="41357" spans="5:9" ht="16.5">
      <c r="E41357" s="4" t="str">
        <v/>
      </c>
      <c r="F41357" s="102"/>
      <c r="H41357" s="4" t="str">
        <v/>
      </c>
      <c r="I41357" s="4" t="str">
        <v/>
      </c>
    </row>
    <row r="41358" spans="5:9" ht="16.5">
      <c r="E41358" s="4" t="str">
        <v/>
      </c>
      <c r="F41358" s="102"/>
      <c r="H41358" s="4" t="str">
        <v/>
      </c>
      <c r="I41358" s="4" t="str">
        <v/>
      </c>
    </row>
    <row r="41359" spans="5:9" ht="16.5">
      <c r="E41359" s="4" t="str">
        <v/>
      </c>
      <c r="F41359" s="102"/>
      <c r="H41359" s="4" t="str">
        <v/>
      </c>
      <c r="I41359" s="4" t="str">
        <v/>
      </c>
    </row>
    <row r="41360" spans="5:9" ht="16.5">
      <c r="E41360" s="4" t="str">
        <v/>
      </c>
      <c r="F41360" s="102"/>
      <c r="H41360" s="4" t="str">
        <v/>
      </c>
      <c r="I41360" s="4" t="str">
        <v/>
      </c>
    </row>
    <row r="41361" spans="5:9" ht="16.5">
      <c r="E41361" s="4" t="str">
        <v/>
      </c>
      <c r="F41361" s="102"/>
      <c r="H41361" s="4" t="str">
        <v/>
      </c>
      <c r="I41361" s="4" t="str">
        <v/>
      </c>
    </row>
    <row r="41362" spans="5:9" ht="16.5">
      <c r="E41362" s="4" t="str">
        <v/>
      </c>
      <c r="F41362" s="102"/>
      <c r="H41362" s="4" t="str">
        <v/>
      </c>
      <c r="I41362" s="4" t="str">
        <v/>
      </c>
    </row>
    <row r="41363" spans="5:9" ht="16.5">
      <c r="E41363" s="4" t="str">
        <v/>
      </c>
      <c r="F41363" s="102"/>
      <c r="H41363" s="4" t="str">
        <v/>
      </c>
      <c r="I41363" s="4" t="str">
        <v/>
      </c>
    </row>
    <row r="41364" spans="5:9" ht="16.5">
      <c r="E41364" s="4" t="str">
        <v/>
      </c>
      <c r="F41364" s="102"/>
      <c r="H41364" s="4" t="str">
        <v/>
      </c>
      <c r="I41364" s="4" t="str">
        <v/>
      </c>
    </row>
    <row r="41365" spans="5:9" ht="16.5">
      <c r="E41365" s="4" t="str">
        <v/>
      </c>
      <c r="F41365" s="102"/>
      <c r="H41365" s="4" t="str">
        <v/>
      </c>
      <c r="I41365" s="4" t="str">
        <v/>
      </c>
    </row>
    <row r="41366" spans="5:9" ht="16.5">
      <c r="E41366" s="4" t="str">
        <v/>
      </c>
      <c r="F41366" s="102"/>
      <c r="H41366" s="4" t="str">
        <v/>
      </c>
      <c r="I41366" s="4" t="str">
        <v/>
      </c>
    </row>
    <row r="41367" spans="5:9" ht="16.5">
      <c r="E41367" s="4" t="str">
        <v/>
      </c>
      <c r="F41367" s="102"/>
      <c r="H41367" s="4" t="str">
        <v/>
      </c>
      <c r="I41367" s="4" t="str">
        <v/>
      </c>
    </row>
    <row r="41368" spans="5:9" ht="16.5">
      <c r="E41368" s="4" t="str">
        <v/>
      </c>
      <c r="F41368" s="102"/>
      <c r="H41368" s="4" t="str">
        <v/>
      </c>
      <c r="I41368" s="4" t="str">
        <v/>
      </c>
    </row>
    <row r="41369" spans="5:9" ht="16.5">
      <c r="E41369" s="4" t="str">
        <v/>
      </c>
      <c r="F41369" s="102"/>
      <c r="H41369" s="4" t="str">
        <v/>
      </c>
      <c r="I41369" s="4" t="str">
        <v/>
      </c>
    </row>
    <row r="41370" spans="5:9" ht="16.5">
      <c r="E41370" s="4" t="str">
        <v/>
      </c>
      <c r="F41370" s="102"/>
      <c r="H41370" s="4" t="str">
        <v/>
      </c>
      <c r="I41370" s="4" t="str">
        <v/>
      </c>
    </row>
    <row r="41371" spans="5:9" ht="16.5">
      <c r="E41371" s="4" t="str">
        <v/>
      </c>
      <c r="F41371" s="102"/>
      <c r="H41371" s="4" t="str">
        <v/>
      </c>
      <c r="I41371" s="4" t="str">
        <v/>
      </c>
    </row>
    <row r="41372" spans="5:9" ht="16.5">
      <c r="E41372" s="4" t="str">
        <v/>
      </c>
      <c r="F41372" s="102"/>
      <c r="H41372" s="4" t="str">
        <v/>
      </c>
      <c r="I41372" s="4" t="str">
        <v/>
      </c>
    </row>
    <row r="41373" spans="5:9" ht="16.5">
      <c r="E41373" s="4" t="str">
        <v/>
      </c>
      <c r="F41373" s="102"/>
      <c r="H41373" s="4" t="str">
        <v/>
      </c>
      <c r="I41373" s="4" t="str">
        <v/>
      </c>
    </row>
    <row r="41374" spans="5:9" ht="16.5">
      <c r="E41374" s="4" t="str">
        <v/>
      </c>
      <c r="F41374" s="102"/>
      <c r="H41374" s="4" t="str">
        <v/>
      </c>
      <c r="I41374" s="4" t="str">
        <v/>
      </c>
    </row>
    <row r="41375" spans="5:9" ht="16.5">
      <c r="E41375" s="4" t="str">
        <v/>
      </c>
      <c r="F41375" s="102"/>
      <c r="H41375" s="4" t="str">
        <v/>
      </c>
      <c r="I41375" s="4" t="str">
        <v/>
      </c>
    </row>
    <row r="41376" spans="5:9" ht="16.5">
      <c r="E41376" s="4" t="str">
        <v/>
      </c>
      <c r="F41376" s="102"/>
      <c r="H41376" s="4" t="str">
        <v/>
      </c>
      <c r="I41376" s="4" t="str">
        <v/>
      </c>
    </row>
    <row r="41377" spans="5:9" ht="16.5">
      <c r="E41377" s="4" t="str">
        <v/>
      </c>
      <c r="F41377" s="102"/>
      <c r="H41377" s="4" t="str">
        <v/>
      </c>
      <c r="I41377" s="4" t="str">
        <v/>
      </c>
    </row>
    <row r="41378" spans="5:9" ht="16.5">
      <c r="E41378" s="4" t="str">
        <v/>
      </c>
      <c r="F41378" s="102"/>
      <c r="H41378" s="4" t="str">
        <v/>
      </c>
      <c r="I41378" s="4" t="str">
        <v/>
      </c>
    </row>
    <row r="41379" spans="5:9" ht="16.5">
      <c r="E41379" s="4" t="str">
        <v/>
      </c>
      <c r="F41379" s="102"/>
      <c r="H41379" s="4" t="str">
        <v/>
      </c>
      <c r="I41379" s="4" t="str">
        <v/>
      </c>
    </row>
    <row r="41380" spans="5:9" ht="16.5">
      <c r="E41380" s="4" t="str">
        <v/>
      </c>
      <c r="F41380" s="102"/>
      <c r="H41380" s="4" t="str">
        <v/>
      </c>
      <c r="I41380" s="4" t="str">
        <v/>
      </c>
    </row>
    <row r="41381" spans="5:9" ht="16.5">
      <c r="E41381" s="4" t="str">
        <v/>
      </c>
      <c r="F41381" s="102"/>
      <c r="H41381" s="4" t="str">
        <v/>
      </c>
      <c r="I41381" s="4" t="str">
        <v/>
      </c>
    </row>
    <row r="41382" spans="5:9" ht="16.5">
      <c r="E41382" s="4" t="str">
        <v/>
      </c>
      <c r="F41382" s="102"/>
      <c r="H41382" s="4" t="str">
        <v/>
      </c>
      <c r="I41382" s="4" t="str">
        <v/>
      </c>
    </row>
    <row r="41383" spans="5:9" ht="16.5">
      <c r="E41383" s="4" t="str">
        <v/>
      </c>
      <c r="F41383" s="102"/>
      <c r="H41383" s="4" t="str">
        <v/>
      </c>
      <c r="I41383" s="4" t="str">
        <v/>
      </c>
    </row>
    <row r="41384" spans="5:9" ht="16.5">
      <c r="E41384" s="4" t="str">
        <v/>
      </c>
      <c r="F41384" s="102"/>
      <c r="H41384" s="4" t="str">
        <v/>
      </c>
      <c r="I41384" s="4" t="str">
        <v/>
      </c>
    </row>
    <row r="41385" spans="5:9" ht="16.5">
      <c r="E41385" s="4" t="str">
        <v/>
      </c>
      <c r="F41385" s="102"/>
      <c r="H41385" s="4" t="str">
        <v/>
      </c>
      <c r="I41385" s="4" t="str">
        <v/>
      </c>
    </row>
    <row r="41386" spans="5:9" ht="16.5">
      <c r="E41386" s="4" t="str">
        <v/>
      </c>
      <c r="F41386" s="102"/>
      <c r="H41386" s="4" t="str">
        <v/>
      </c>
      <c r="I41386" s="4" t="str">
        <v/>
      </c>
    </row>
    <row r="41387" spans="5:9" ht="16.5">
      <c r="E41387" s="4" t="str">
        <v/>
      </c>
      <c r="F41387" s="102"/>
      <c r="H41387" s="4" t="str">
        <v/>
      </c>
      <c r="I41387" s="4" t="str">
        <v/>
      </c>
    </row>
    <row r="41388" spans="5:9" ht="16.5">
      <c r="E41388" s="4" t="str">
        <v/>
      </c>
      <c r="F41388" s="102"/>
      <c r="H41388" s="4" t="str">
        <v/>
      </c>
      <c r="I41388" s="4" t="str">
        <v/>
      </c>
    </row>
    <row r="41389" spans="5:9" ht="16.5">
      <c r="E41389" s="4" t="str">
        <v/>
      </c>
      <c r="F41389" s="102"/>
      <c r="H41389" s="4" t="str">
        <v/>
      </c>
      <c r="I41389" s="4" t="str">
        <v/>
      </c>
    </row>
    <row r="41390" spans="5:9" ht="16.5">
      <c r="E41390" s="4" t="str">
        <v/>
      </c>
      <c r="F41390" s="102"/>
      <c r="H41390" s="4" t="str">
        <v/>
      </c>
      <c r="I41390" s="4" t="str">
        <v/>
      </c>
    </row>
    <row r="41391" spans="5:9" ht="16.5">
      <c r="E41391" s="4" t="str">
        <v/>
      </c>
      <c r="F41391" s="102"/>
      <c r="H41391" s="4" t="str">
        <v/>
      </c>
      <c r="I41391" s="4" t="str">
        <v/>
      </c>
    </row>
    <row r="41392" spans="5:9" ht="16.5">
      <c r="E41392" s="4" t="str">
        <v/>
      </c>
      <c r="F41392" s="102"/>
      <c r="H41392" s="4" t="str">
        <v/>
      </c>
      <c r="I41392" s="4" t="str">
        <v/>
      </c>
    </row>
    <row r="41393" spans="5:9" ht="16.5">
      <c r="E41393" s="4" t="str">
        <v/>
      </c>
      <c r="F41393" s="102"/>
      <c r="H41393" s="4" t="str">
        <v/>
      </c>
      <c r="I41393" s="4" t="str">
        <v/>
      </c>
    </row>
    <row r="41394" spans="5:9" ht="16.5">
      <c r="E41394" s="4" t="str">
        <v/>
      </c>
      <c r="F41394" s="102"/>
      <c r="H41394" s="4" t="str">
        <v/>
      </c>
      <c r="I41394" s="4" t="str">
        <v/>
      </c>
    </row>
    <row r="41395" spans="5:9" ht="16.5">
      <c r="E41395" s="4" t="str">
        <v/>
      </c>
      <c r="F41395" s="102"/>
      <c r="H41395" s="4" t="str">
        <v/>
      </c>
      <c r="I41395" s="4" t="str">
        <v/>
      </c>
    </row>
    <row r="41396" spans="5:9" ht="16.5">
      <c r="E41396" s="4" t="str">
        <v/>
      </c>
      <c r="F41396" s="102"/>
      <c r="H41396" s="4" t="str">
        <v/>
      </c>
      <c r="I41396" s="4" t="str">
        <v/>
      </c>
    </row>
    <row r="41397" spans="5:9" ht="16.5">
      <c r="E41397" s="4" t="str">
        <v/>
      </c>
      <c r="F41397" s="102"/>
      <c r="H41397" s="4" t="str">
        <v/>
      </c>
      <c r="I41397" s="4" t="str">
        <v/>
      </c>
    </row>
    <row r="41398" spans="5:9" ht="16.5">
      <c r="E41398" s="4" t="str">
        <v/>
      </c>
      <c r="F41398" s="102"/>
      <c r="H41398" s="4" t="str">
        <v/>
      </c>
      <c r="I41398" s="4" t="str">
        <v/>
      </c>
    </row>
    <row r="41399" spans="5:9" ht="16.5">
      <c r="E41399" s="4" t="str">
        <v/>
      </c>
      <c r="F41399" s="102"/>
      <c r="H41399" s="4" t="str">
        <v/>
      </c>
      <c r="I41399" s="4" t="str">
        <v/>
      </c>
    </row>
    <row r="41400" spans="5:9" ht="16.5">
      <c r="E41400" s="4" t="str">
        <v/>
      </c>
      <c r="F41400" s="102"/>
      <c r="H41400" s="4" t="str">
        <v/>
      </c>
      <c r="I41400" s="4" t="str">
        <v/>
      </c>
    </row>
    <row r="41401" spans="5:9" ht="16.5">
      <c r="E41401" s="4" t="str">
        <v/>
      </c>
      <c r="F41401" s="102"/>
      <c r="H41401" s="4" t="str">
        <v/>
      </c>
      <c r="I41401" s="4" t="str">
        <v/>
      </c>
    </row>
    <row r="41402" spans="5:9" ht="16.5">
      <c r="E41402" s="4" t="str">
        <v/>
      </c>
      <c r="F41402" s="102"/>
      <c r="H41402" s="4" t="str">
        <v/>
      </c>
      <c r="I41402" s="4" t="str">
        <v/>
      </c>
    </row>
    <row r="41403" spans="5:9" ht="16.5">
      <c r="E41403" s="4" t="str">
        <v/>
      </c>
      <c r="F41403" s="102"/>
      <c r="H41403" s="4" t="str">
        <v/>
      </c>
      <c r="I41403" s="4" t="str">
        <v/>
      </c>
    </row>
    <row r="41404" spans="5:9" ht="16.5">
      <c r="E41404" s="4" t="str">
        <v/>
      </c>
      <c r="F41404" s="102"/>
      <c r="H41404" s="4" t="str">
        <v/>
      </c>
      <c r="I41404" s="4" t="str">
        <v/>
      </c>
    </row>
    <row r="41405" spans="5:9" ht="16.5">
      <c r="E41405" s="4" t="str">
        <v/>
      </c>
      <c r="F41405" s="102"/>
      <c r="H41405" s="4" t="str">
        <v/>
      </c>
      <c r="I41405" s="4" t="str">
        <v/>
      </c>
    </row>
    <row r="41406" spans="5:9" ht="16.5">
      <c r="E41406" s="4" t="str">
        <v/>
      </c>
      <c r="F41406" s="102"/>
      <c r="H41406" s="4" t="str">
        <v/>
      </c>
      <c r="I41406" s="4" t="str">
        <v/>
      </c>
    </row>
    <row r="41407" spans="5:9" ht="16.5">
      <c r="E41407" s="4" t="str">
        <v/>
      </c>
      <c r="F41407" s="102"/>
      <c r="H41407" s="4" t="str">
        <v/>
      </c>
      <c r="I41407" s="4" t="str">
        <v/>
      </c>
    </row>
    <row r="41408" spans="5:9" ht="16.5">
      <c r="E41408" s="4" t="str">
        <v/>
      </c>
      <c r="F41408" s="102"/>
      <c r="H41408" s="4" t="str">
        <v/>
      </c>
      <c r="I41408" s="4" t="str">
        <v/>
      </c>
    </row>
    <row r="41409" spans="5:9" ht="16.5">
      <c r="E41409" s="4" t="str">
        <v/>
      </c>
      <c r="F41409" s="102"/>
      <c r="H41409" s="4" t="str">
        <v/>
      </c>
      <c r="I41409" s="4" t="str">
        <v/>
      </c>
    </row>
    <row r="41410" spans="5:9" ht="16.5">
      <c r="E41410" s="4" t="str">
        <v/>
      </c>
      <c r="F41410" s="102"/>
      <c r="H41410" s="4" t="str">
        <v/>
      </c>
      <c r="I41410" s="4" t="str">
        <v/>
      </c>
    </row>
    <row r="41411" spans="5:9" ht="16.5">
      <c r="E41411" s="4" t="str">
        <v/>
      </c>
      <c r="F41411" s="102"/>
      <c r="H41411" s="4" t="str">
        <v/>
      </c>
      <c r="I41411" s="4" t="str">
        <v/>
      </c>
    </row>
    <row r="41412" spans="5:9" ht="16.5">
      <c r="E41412" s="4" t="str">
        <v/>
      </c>
      <c r="F41412" s="102"/>
      <c r="H41412" s="4" t="str">
        <v/>
      </c>
      <c r="I41412" s="4" t="str">
        <v/>
      </c>
    </row>
    <row r="41413" spans="5:9" ht="16.5">
      <c r="E41413" s="4" t="str">
        <v/>
      </c>
      <c r="F41413" s="102"/>
      <c r="H41413" s="4" t="str">
        <v/>
      </c>
      <c r="I41413" s="4" t="str">
        <v/>
      </c>
    </row>
    <row r="41414" spans="5:9" ht="16.5">
      <c r="E41414" s="4" t="str">
        <v/>
      </c>
      <c r="F41414" s="102"/>
      <c r="H41414" s="4" t="str">
        <v/>
      </c>
      <c r="I41414" s="4" t="str">
        <v/>
      </c>
    </row>
    <row r="41415" spans="5:9" ht="16.5">
      <c r="E41415" s="4" t="str">
        <v/>
      </c>
      <c r="F41415" s="102"/>
      <c r="H41415" s="4" t="str">
        <v/>
      </c>
      <c r="I41415" s="4" t="str">
        <v/>
      </c>
    </row>
    <row r="41416" spans="5:9" ht="16.5">
      <c r="E41416" s="4" t="str">
        <v/>
      </c>
      <c r="F41416" s="102"/>
      <c r="H41416" s="4" t="str">
        <v/>
      </c>
      <c r="I41416" s="4" t="str">
        <v/>
      </c>
    </row>
    <row r="41417" spans="5:9" ht="16.5">
      <c r="E41417" s="4" t="str">
        <v/>
      </c>
      <c r="F41417" s="102"/>
      <c r="H41417" s="4" t="str">
        <v/>
      </c>
      <c r="I41417" s="4" t="str">
        <v/>
      </c>
    </row>
    <row r="41418" spans="5:9" ht="16.5">
      <c r="E41418" s="4" t="str">
        <v/>
      </c>
      <c r="F41418" s="102"/>
      <c r="H41418" s="4" t="str">
        <v/>
      </c>
      <c r="I41418" s="4" t="str">
        <v/>
      </c>
    </row>
    <row r="41419" spans="5:9" ht="16.5">
      <c r="E41419" s="4" t="str">
        <v/>
      </c>
      <c r="F41419" s="102"/>
      <c r="H41419" s="4" t="str">
        <v/>
      </c>
      <c r="I41419" s="4" t="str">
        <v/>
      </c>
    </row>
    <row r="41420" spans="5:9" ht="16.5">
      <c r="E41420" s="4" t="str">
        <v/>
      </c>
      <c r="F41420" s="102"/>
      <c r="H41420" s="4" t="str">
        <v/>
      </c>
      <c r="I41420" s="4" t="str">
        <v/>
      </c>
    </row>
    <row r="41421" spans="5:9" ht="16.5">
      <c r="E41421" s="4" t="str">
        <v/>
      </c>
      <c r="F41421" s="102"/>
      <c r="H41421" s="4" t="str">
        <v/>
      </c>
      <c r="I41421" s="4" t="str">
        <v/>
      </c>
    </row>
    <row r="41422" spans="5:9" ht="16.5">
      <c r="E41422" s="4" t="str">
        <v/>
      </c>
      <c r="F41422" s="102"/>
      <c r="H41422" s="4" t="str">
        <v/>
      </c>
      <c r="I41422" s="4" t="str">
        <v/>
      </c>
    </row>
    <row r="41423" spans="5:9" ht="16.5">
      <c r="E41423" s="4" t="str">
        <v/>
      </c>
      <c r="F41423" s="102"/>
      <c r="H41423" s="4" t="str">
        <v/>
      </c>
      <c r="I41423" s="4" t="str">
        <v/>
      </c>
    </row>
    <row r="41424" spans="5:9" ht="16.5">
      <c r="E41424" s="4" t="str">
        <v/>
      </c>
      <c r="F41424" s="102"/>
      <c r="H41424" s="4" t="str">
        <v/>
      </c>
      <c r="I41424" s="4" t="str">
        <v/>
      </c>
    </row>
    <row r="41425" spans="5:9" ht="16.5">
      <c r="E41425" s="4" t="str">
        <v/>
      </c>
      <c r="F41425" s="102"/>
      <c r="H41425" s="4" t="str">
        <v/>
      </c>
      <c r="I41425" s="4" t="str">
        <v/>
      </c>
    </row>
    <row r="41426" spans="5:9" ht="16.5">
      <c r="E41426" s="4" t="str">
        <v/>
      </c>
      <c r="F41426" s="102"/>
      <c r="H41426" s="4" t="str">
        <v/>
      </c>
      <c r="I41426" s="4" t="str">
        <v/>
      </c>
    </row>
    <row r="41427" spans="5:9" ht="16.5">
      <c r="E41427" s="4" t="str">
        <v/>
      </c>
      <c r="F41427" s="102"/>
      <c r="H41427" s="4" t="str">
        <v/>
      </c>
      <c r="I41427" s="4" t="str">
        <v/>
      </c>
    </row>
    <row r="41428" spans="5:9" ht="16.5">
      <c r="E41428" s="4" t="str">
        <v/>
      </c>
      <c r="F41428" s="102"/>
      <c r="H41428" s="4" t="str">
        <v/>
      </c>
      <c r="I41428" s="4" t="str">
        <v/>
      </c>
    </row>
    <row r="41429" spans="5:9" ht="16.5">
      <c r="E41429" s="4" t="str">
        <v/>
      </c>
      <c r="F41429" s="102"/>
      <c r="H41429" s="4" t="str">
        <v/>
      </c>
      <c r="I41429" s="4" t="str">
        <v/>
      </c>
    </row>
    <row r="41430" spans="5:9" ht="16.5">
      <c r="E41430" s="4" t="str">
        <v/>
      </c>
      <c r="F41430" s="102"/>
      <c r="H41430" s="4" t="str">
        <v/>
      </c>
      <c r="I41430" s="4" t="str">
        <v/>
      </c>
    </row>
    <row r="41431" spans="5:9" ht="16.5">
      <c r="E41431" s="4" t="str">
        <v/>
      </c>
      <c r="F41431" s="102"/>
      <c r="H41431" s="4" t="str">
        <v/>
      </c>
      <c r="I41431" s="4" t="str">
        <v/>
      </c>
    </row>
    <row r="41432" spans="5:9" ht="16.5">
      <c r="E41432" s="4" t="str">
        <v/>
      </c>
      <c r="F41432" s="102"/>
      <c r="H41432" s="4" t="str">
        <v/>
      </c>
      <c r="I41432" s="4" t="str">
        <v/>
      </c>
    </row>
    <row r="41433" spans="5:9" ht="16.5">
      <c r="E41433" s="4" t="str">
        <v/>
      </c>
      <c r="F41433" s="102"/>
      <c r="H41433" s="4" t="str">
        <v/>
      </c>
      <c r="I41433" s="4" t="str">
        <v/>
      </c>
    </row>
    <row r="41434" spans="5:9" ht="16.5">
      <c r="E41434" s="4" t="str">
        <v/>
      </c>
      <c r="F41434" s="102"/>
      <c r="H41434" s="4" t="str">
        <v/>
      </c>
      <c r="I41434" s="4" t="str">
        <v/>
      </c>
    </row>
    <row r="41435" spans="5:9" ht="16.5">
      <c r="E41435" s="4" t="str">
        <v/>
      </c>
      <c r="F41435" s="102"/>
      <c r="H41435" s="4" t="str">
        <v/>
      </c>
      <c r="I41435" s="4" t="str">
        <v/>
      </c>
    </row>
    <row r="41436" spans="5:9" ht="16.5">
      <c r="E41436" s="4" t="str">
        <v/>
      </c>
      <c r="F41436" s="102"/>
      <c r="H41436" s="4" t="str">
        <v/>
      </c>
      <c r="I41436" s="4" t="str">
        <v/>
      </c>
    </row>
    <row r="41437" spans="5:9" ht="16.5">
      <c r="E41437" s="4" t="str">
        <v/>
      </c>
      <c r="F41437" s="102"/>
      <c r="H41437" s="4" t="str">
        <v/>
      </c>
      <c r="I41437" s="4" t="str">
        <v/>
      </c>
    </row>
    <row r="41438" spans="5:9" ht="16.5">
      <c r="E41438" s="4" t="str">
        <v/>
      </c>
      <c r="F41438" s="102"/>
      <c r="H41438" s="4" t="str">
        <v/>
      </c>
      <c r="I41438" s="4" t="str">
        <v/>
      </c>
    </row>
    <row r="41439" spans="5:9" ht="16.5">
      <c r="E41439" s="4" t="str">
        <v/>
      </c>
      <c r="F41439" s="102"/>
      <c r="H41439" s="4" t="str">
        <v/>
      </c>
      <c r="I41439" s="4" t="str">
        <v/>
      </c>
    </row>
    <row r="41440" spans="5:9" ht="16.5">
      <c r="E41440" s="4" t="str">
        <v/>
      </c>
      <c r="F41440" s="102"/>
      <c r="H41440" s="4" t="str">
        <v/>
      </c>
      <c r="I41440" s="4" t="str">
        <v/>
      </c>
    </row>
    <row r="41441" spans="5:9" ht="16.5">
      <c r="E41441" s="4" t="str">
        <v/>
      </c>
      <c r="F41441" s="102"/>
      <c r="H41441" s="4" t="str">
        <v/>
      </c>
      <c r="I41441" s="4" t="str">
        <v/>
      </c>
    </row>
    <row r="41442" spans="5:9" ht="16.5">
      <c r="E41442" s="4" t="str">
        <v/>
      </c>
      <c r="F41442" s="102"/>
      <c r="H41442" s="4" t="str">
        <v/>
      </c>
      <c r="I41442" s="4" t="str">
        <v/>
      </c>
    </row>
    <row r="41443" spans="5:9" ht="16.5">
      <c r="E41443" s="4" t="str">
        <v/>
      </c>
      <c r="F41443" s="102"/>
      <c r="H41443" s="4" t="str">
        <v/>
      </c>
      <c r="I41443" s="4" t="str">
        <v/>
      </c>
    </row>
    <row r="41444" spans="5:9" ht="16.5">
      <c r="E41444" s="4" t="str">
        <v/>
      </c>
      <c r="F41444" s="102"/>
      <c r="H41444" s="4" t="str">
        <v/>
      </c>
      <c r="I41444" s="4" t="str">
        <v/>
      </c>
    </row>
    <row r="41445" spans="5:9" ht="16.5">
      <c r="E41445" s="4" t="str">
        <v/>
      </c>
      <c r="F41445" s="102"/>
      <c r="H41445" s="4" t="str">
        <v/>
      </c>
      <c r="I41445" s="4" t="str">
        <v/>
      </c>
    </row>
    <row r="41446" spans="5:9" ht="16.5">
      <c r="E41446" s="4" t="str">
        <v/>
      </c>
      <c r="F41446" s="102"/>
      <c r="H41446" s="4" t="str">
        <v/>
      </c>
      <c r="I41446" s="4" t="str">
        <v/>
      </c>
    </row>
    <row r="41447" spans="5:9" ht="16.5">
      <c r="E41447" s="4" t="str">
        <v/>
      </c>
      <c r="F41447" s="102"/>
      <c r="H41447" s="4" t="str">
        <v/>
      </c>
      <c r="I41447" s="4" t="str">
        <v/>
      </c>
    </row>
    <row r="41448" spans="5:9" ht="16.5">
      <c r="E41448" s="4" t="str">
        <v/>
      </c>
      <c r="F41448" s="102"/>
      <c r="H41448" s="4" t="str">
        <v/>
      </c>
      <c r="I41448" s="4" t="str">
        <v/>
      </c>
    </row>
    <row r="41449" spans="5:9" ht="16.5">
      <c r="E41449" s="4" t="str">
        <v/>
      </c>
      <c r="F41449" s="102"/>
      <c r="H41449" s="4" t="str">
        <v/>
      </c>
      <c r="I41449" s="4" t="str">
        <v/>
      </c>
    </row>
    <row r="41450" spans="5:9" ht="16.5">
      <c r="E41450" s="4" t="str">
        <v/>
      </c>
      <c r="F41450" s="102"/>
      <c r="H41450" s="4" t="str">
        <v/>
      </c>
      <c r="I41450" s="4" t="str">
        <v/>
      </c>
    </row>
    <row r="41451" spans="5:9" ht="16.5">
      <c r="E41451" s="4" t="str">
        <v/>
      </c>
      <c r="F41451" s="102"/>
      <c r="H41451" s="4" t="str">
        <v/>
      </c>
      <c r="I41451" s="4" t="str">
        <v/>
      </c>
    </row>
    <row r="41452" spans="5:9" ht="16.5">
      <c r="E41452" s="4" t="str">
        <v/>
      </c>
      <c r="F41452" s="102"/>
      <c r="H41452" s="4" t="str">
        <v/>
      </c>
      <c r="I41452" s="4" t="str">
        <v/>
      </c>
    </row>
    <row r="41453" spans="5:9" ht="16.5">
      <c r="E41453" s="4" t="str">
        <v/>
      </c>
      <c r="F41453" s="102"/>
      <c r="H41453" s="4" t="str">
        <v/>
      </c>
      <c r="I41453" s="4" t="str">
        <v/>
      </c>
    </row>
    <row r="41454" spans="5:9" ht="16.5">
      <c r="E41454" s="4" t="str">
        <v/>
      </c>
      <c r="F41454" s="102"/>
      <c r="H41454" s="4" t="str">
        <v/>
      </c>
      <c r="I41454" s="4" t="str">
        <v/>
      </c>
    </row>
    <row r="41455" spans="5:9" ht="16.5">
      <c r="E41455" s="4" t="str">
        <v/>
      </c>
      <c r="F41455" s="102"/>
      <c r="H41455" s="4" t="str">
        <v/>
      </c>
      <c r="I41455" s="4" t="str">
        <v/>
      </c>
    </row>
    <row r="41456" spans="5:9" ht="16.5">
      <c r="E41456" s="4" t="str">
        <v/>
      </c>
      <c r="F41456" s="102"/>
      <c r="H41456" s="4" t="str">
        <v/>
      </c>
      <c r="I41456" s="4" t="str">
        <v/>
      </c>
    </row>
    <row r="41457" spans="5:9" ht="16.5">
      <c r="E41457" s="4" t="str">
        <v/>
      </c>
      <c r="F41457" s="102"/>
      <c r="H41457" s="4" t="str">
        <v/>
      </c>
      <c r="I41457" s="4" t="str">
        <v/>
      </c>
    </row>
    <row r="41458" spans="5:9" ht="16.5">
      <c r="E41458" s="4" t="str">
        <v/>
      </c>
      <c r="F41458" s="102"/>
      <c r="H41458" s="4" t="str">
        <v/>
      </c>
      <c r="I41458" s="4" t="str">
        <v/>
      </c>
    </row>
    <row r="41459" spans="5:9" ht="16.5">
      <c r="E41459" s="4" t="str">
        <v/>
      </c>
      <c r="F41459" s="102"/>
      <c r="H41459" s="4" t="str">
        <v/>
      </c>
      <c r="I41459" s="4" t="str">
        <v/>
      </c>
    </row>
    <row r="41460" spans="5:9" ht="16.5">
      <c r="E41460" s="4" t="str">
        <v/>
      </c>
      <c r="F41460" s="102"/>
      <c r="H41460" s="4" t="str">
        <v/>
      </c>
      <c r="I41460" s="4" t="str">
        <v/>
      </c>
    </row>
    <row r="41461" spans="5:9" ht="16.5">
      <c r="E41461" s="4" t="str">
        <v/>
      </c>
      <c r="F41461" s="102"/>
      <c r="H41461" s="4" t="str">
        <v/>
      </c>
      <c r="I41461" s="4" t="str">
        <v/>
      </c>
    </row>
    <row r="41462" spans="5:9" ht="16.5">
      <c r="E41462" s="4" t="str">
        <v/>
      </c>
      <c r="F41462" s="102"/>
      <c r="H41462" s="4" t="str">
        <v/>
      </c>
      <c r="I41462" s="4" t="str">
        <v/>
      </c>
    </row>
    <row r="41463" spans="5:9" ht="16.5">
      <c r="E41463" s="4" t="str">
        <v/>
      </c>
      <c r="F41463" s="102"/>
      <c r="H41463" s="4" t="str">
        <v/>
      </c>
      <c r="I41463" s="4" t="str">
        <v/>
      </c>
    </row>
    <row r="41464" spans="5:9" ht="16.5">
      <c r="E41464" s="4" t="str">
        <v/>
      </c>
      <c r="F41464" s="102"/>
      <c r="H41464" s="4" t="str">
        <v/>
      </c>
      <c r="I41464" s="4" t="str">
        <v/>
      </c>
    </row>
    <row r="41465" spans="5:9" ht="16.5">
      <c r="E41465" s="4" t="str">
        <v/>
      </c>
      <c r="F41465" s="102"/>
      <c r="H41465" s="4" t="str">
        <v/>
      </c>
      <c r="I41465" s="4" t="str">
        <v/>
      </c>
    </row>
    <row r="41466" spans="5:9" ht="16.5">
      <c r="E41466" s="4" t="str">
        <v/>
      </c>
      <c r="F41466" s="102"/>
      <c r="H41466" s="4" t="str">
        <v/>
      </c>
      <c r="I41466" s="4" t="str">
        <v/>
      </c>
    </row>
    <row r="41467" spans="5:9" ht="16.5">
      <c r="E41467" s="4" t="str">
        <v/>
      </c>
      <c r="F41467" s="102"/>
      <c r="H41467" s="4" t="str">
        <v/>
      </c>
      <c r="I41467" s="4" t="str">
        <v/>
      </c>
    </row>
    <row r="41468" spans="5:9" ht="16.5">
      <c r="E41468" s="4" t="str">
        <v/>
      </c>
      <c r="F41468" s="102"/>
      <c r="H41468" s="4" t="str">
        <v/>
      </c>
      <c r="I41468" s="4" t="str">
        <v/>
      </c>
    </row>
    <row r="41469" spans="5:9" ht="16.5">
      <c r="E41469" s="4" t="str">
        <v/>
      </c>
      <c r="F41469" s="102"/>
      <c r="H41469" s="4" t="str">
        <v/>
      </c>
      <c r="I41469" s="4" t="str">
        <v/>
      </c>
    </row>
    <row r="41470" spans="5:9" ht="16.5">
      <c r="E41470" s="4" t="str">
        <v/>
      </c>
      <c r="F41470" s="102"/>
      <c r="H41470" s="4" t="str">
        <v/>
      </c>
      <c r="I41470" s="4" t="str">
        <v/>
      </c>
    </row>
    <row r="41471" spans="5:9" ht="16.5">
      <c r="E41471" s="4" t="str">
        <v/>
      </c>
      <c r="F41471" s="102"/>
      <c r="H41471" s="4" t="str">
        <v/>
      </c>
      <c r="I41471" s="4" t="str">
        <v/>
      </c>
    </row>
    <row r="41472" spans="5:9" ht="16.5">
      <c r="E41472" s="4" t="str">
        <v/>
      </c>
      <c r="F41472" s="102"/>
      <c r="H41472" s="4" t="str">
        <v/>
      </c>
      <c r="I41472" s="4" t="str">
        <v/>
      </c>
    </row>
    <row r="41473" spans="5:9" ht="16.5">
      <c r="E41473" s="4" t="str">
        <v/>
      </c>
      <c r="F41473" s="102"/>
      <c r="H41473" s="4" t="str">
        <v/>
      </c>
      <c r="I41473" s="4" t="str">
        <v/>
      </c>
    </row>
    <row r="41474" spans="5:9" ht="16.5">
      <c r="E41474" s="4" t="str">
        <v/>
      </c>
      <c r="F41474" s="102"/>
      <c r="H41474" s="4" t="str">
        <v/>
      </c>
      <c r="I41474" s="4" t="str">
        <v/>
      </c>
    </row>
    <row r="41475" spans="5:9" ht="16.5">
      <c r="E41475" s="4" t="str">
        <v/>
      </c>
      <c r="F41475" s="102"/>
      <c r="H41475" s="4" t="str">
        <v/>
      </c>
      <c r="I41475" s="4" t="str">
        <v/>
      </c>
    </row>
    <row r="41476" spans="5:9" ht="16.5">
      <c r="E41476" s="4" t="str">
        <v/>
      </c>
      <c r="F41476" s="102"/>
      <c r="H41476" s="4" t="str">
        <v/>
      </c>
      <c r="I41476" s="4" t="str">
        <v/>
      </c>
    </row>
    <row r="41477" spans="5:9" ht="16.5">
      <c r="E41477" s="4" t="str">
        <v/>
      </c>
      <c r="F41477" s="102"/>
      <c r="H41477" s="4" t="str">
        <v/>
      </c>
      <c r="I41477" s="4" t="str">
        <v/>
      </c>
    </row>
    <row r="41478" spans="5:9" ht="16.5">
      <c r="E41478" s="4" t="str">
        <v/>
      </c>
      <c r="F41478" s="102"/>
      <c r="H41478" s="4" t="str">
        <v/>
      </c>
      <c r="I41478" s="4" t="str">
        <v/>
      </c>
    </row>
    <row r="41479" spans="5:9" ht="16.5">
      <c r="E41479" s="4" t="str">
        <v/>
      </c>
      <c r="F41479" s="102"/>
      <c r="H41479" s="4" t="str">
        <v/>
      </c>
      <c r="I41479" s="4" t="str">
        <v/>
      </c>
    </row>
    <row r="41480" spans="5:9" ht="16.5">
      <c r="E41480" s="4" t="str">
        <v/>
      </c>
      <c r="F41480" s="102"/>
      <c r="H41480" s="4" t="str">
        <v/>
      </c>
      <c r="I41480" s="4" t="str">
        <v/>
      </c>
    </row>
    <row r="41481" spans="5:9" ht="16.5">
      <c r="E41481" s="4" t="str">
        <v/>
      </c>
      <c r="F41481" s="102"/>
      <c r="H41481" s="4" t="str">
        <v/>
      </c>
      <c r="I41481" s="4" t="str">
        <v/>
      </c>
    </row>
    <row r="41482" spans="5:9" ht="16.5">
      <c r="E41482" s="4" t="str">
        <v/>
      </c>
      <c r="F41482" s="102"/>
      <c r="H41482" s="4" t="str">
        <v/>
      </c>
      <c r="I41482" s="4" t="str">
        <v/>
      </c>
    </row>
    <row r="41483" spans="5:9" ht="16.5">
      <c r="E41483" s="4" t="str">
        <v/>
      </c>
      <c r="F41483" s="102"/>
      <c r="H41483" s="4" t="str">
        <v/>
      </c>
      <c r="I41483" s="4" t="str">
        <v/>
      </c>
    </row>
    <row r="41484" spans="5:9" ht="16.5">
      <c r="E41484" s="4" t="str">
        <v/>
      </c>
      <c r="F41484" s="102"/>
      <c r="H41484" s="4" t="str">
        <v/>
      </c>
      <c r="I41484" s="4" t="str">
        <v/>
      </c>
    </row>
    <row r="41485" spans="5:9" ht="16.5">
      <c r="E41485" s="4" t="str">
        <v/>
      </c>
      <c r="F41485" s="102"/>
      <c r="H41485" s="4" t="str">
        <v/>
      </c>
      <c r="I41485" s="4" t="str">
        <v/>
      </c>
    </row>
    <row r="41486" spans="5:9" ht="16.5">
      <c r="E41486" s="4" t="str">
        <v/>
      </c>
      <c r="F41486" s="102"/>
      <c r="H41486" s="4" t="str">
        <v/>
      </c>
      <c r="I41486" s="4" t="str">
        <v/>
      </c>
    </row>
    <row r="41487" spans="5:9" ht="16.5">
      <c r="E41487" s="4" t="str">
        <v/>
      </c>
      <c r="F41487" s="102"/>
      <c r="H41487" s="4" t="str">
        <v/>
      </c>
      <c r="I41487" s="4" t="str">
        <v/>
      </c>
    </row>
    <row r="41488" spans="5:9" ht="16.5">
      <c r="E41488" s="4" t="str">
        <v/>
      </c>
      <c r="F41488" s="102"/>
      <c r="H41488" s="4" t="str">
        <v/>
      </c>
      <c r="I41488" s="4" t="str">
        <v/>
      </c>
    </row>
    <row r="41489" spans="5:9" ht="16.5">
      <c r="E41489" s="4" t="str">
        <v/>
      </c>
      <c r="F41489" s="102"/>
      <c r="H41489" s="4" t="str">
        <v/>
      </c>
      <c r="I41489" s="4" t="str">
        <v/>
      </c>
    </row>
    <row r="41490" spans="5:9" ht="16.5">
      <c r="E41490" s="4" t="str">
        <v/>
      </c>
      <c r="F41490" s="102"/>
      <c r="H41490" s="4" t="str">
        <v/>
      </c>
      <c r="I41490" s="4" t="str">
        <v/>
      </c>
    </row>
    <row r="41491" spans="5:9" ht="16.5">
      <c r="E41491" s="4" t="str">
        <v/>
      </c>
      <c r="F41491" s="102"/>
      <c r="H41491" s="4" t="str">
        <v/>
      </c>
      <c r="I41491" s="4" t="str">
        <v/>
      </c>
    </row>
    <row r="41492" spans="5:9" ht="16.5">
      <c r="E41492" s="4" t="str">
        <v/>
      </c>
      <c r="F41492" s="102"/>
      <c r="H41492" s="4" t="str">
        <v/>
      </c>
      <c r="I41492" s="4" t="str">
        <v/>
      </c>
    </row>
    <row r="41493" spans="5:9" ht="16.5">
      <c r="E41493" s="4" t="str">
        <v/>
      </c>
      <c r="F41493" s="102"/>
      <c r="H41493" s="4" t="str">
        <v/>
      </c>
      <c r="I41493" s="4" t="str">
        <v/>
      </c>
    </row>
    <row r="41494" spans="5:9" ht="16.5">
      <c r="E41494" s="4" t="str">
        <v/>
      </c>
      <c r="F41494" s="102"/>
      <c r="H41494" s="4" t="str">
        <v/>
      </c>
      <c r="I41494" s="4" t="str">
        <v/>
      </c>
    </row>
    <row r="41495" spans="5:9" ht="16.5">
      <c r="E41495" s="4" t="str">
        <v/>
      </c>
      <c r="F41495" s="102"/>
      <c r="H41495" s="4" t="str">
        <v/>
      </c>
      <c r="I41495" s="4" t="str">
        <v/>
      </c>
    </row>
    <row r="41496" spans="5:9" ht="16.5">
      <c r="E41496" s="4" t="str">
        <v/>
      </c>
      <c r="F41496" s="102"/>
      <c r="H41496" s="4" t="str">
        <v/>
      </c>
      <c r="I41496" s="4" t="str">
        <v/>
      </c>
    </row>
    <row r="41497" spans="5:9" ht="16.5">
      <c r="E41497" s="4" t="str">
        <v/>
      </c>
      <c r="F41497" s="102"/>
      <c r="H41497" s="4" t="str">
        <v/>
      </c>
      <c r="I41497" s="4" t="str">
        <v/>
      </c>
    </row>
    <row r="41498" spans="5:9" ht="16.5">
      <c r="E41498" s="4" t="str">
        <v/>
      </c>
      <c r="F41498" s="102"/>
      <c r="H41498" s="4" t="str">
        <v/>
      </c>
      <c r="I41498" s="4" t="str">
        <v/>
      </c>
    </row>
    <row r="41499" spans="5:9" ht="16.5">
      <c r="E41499" s="4" t="str">
        <v/>
      </c>
      <c r="F41499" s="102"/>
      <c r="H41499" s="4" t="str">
        <v/>
      </c>
      <c r="I41499" s="4" t="str">
        <v/>
      </c>
    </row>
    <row r="41500" spans="5:9" ht="16.5">
      <c r="E41500" s="4" t="str">
        <v/>
      </c>
      <c r="F41500" s="102"/>
      <c r="H41500" s="4" t="str">
        <v/>
      </c>
      <c r="I41500" s="4" t="str">
        <v/>
      </c>
    </row>
    <row r="41501" spans="5:9" ht="16.5">
      <c r="E41501" s="4" t="str">
        <v/>
      </c>
      <c r="F41501" s="102"/>
      <c r="H41501" s="4" t="str">
        <v/>
      </c>
      <c r="I41501" s="4" t="str">
        <v/>
      </c>
    </row>
    <row r="41502" spans="5:9" ht="16.5">
      <c r="E41502" s="4" t="str">
        <v/>
      </c>
      <c r="F41502" s="102"/>
      <c r="H41502" s="4" t="str">
        <v/>
      </c>
      <c r="I41502" s="4" t="str">
        <v/>
      </c>
    </row>
    <row r="41503" spans="5:9" ht="16.5">
      <c r="E41503" s="4" t="str">
        <v/>
      </c>
      <c r="F41503" s="102"/>
      <c r="H41503" s="4" t="str">
        <v/>
      </c>
      <c r="I41503" s="4" t="str">
        <v/>
      </c>
    </row>
    <row r="41504" spans="5:9" ht="16.5">
      <c r="E41504" s="4" t="str">
        <v/>
      </c>
      <c r="F41504" s="102"/>
      <c r="H41504" s="4" t="str">
        <v/>
      </c>
      <c r="I41504" s="4" t="str">
        <v/>
      </c>
    </row>
    <row r="41505" spans="5:9" ht="16.5">
      <c r="E41505" s="4" t="str">
        <v/>
      </c>
      <c r="F41505" s="102"/>
      <c r="H41505" s="4" t="str">
        <v/>
      </c>
      <c r="I41505" s="4" t="str">
        <v/>
      </c>
    </row>
    <row r="41506" spans="5:9" ht="16.5">
      <c r="E41506" s="4" t="str">
        <v/>
      </c>
      <c r="F41506" s="102"/>
      <c r="H41506" s="4" t="str">
        <v/>
      </c>
      <c r="I41506" s="4" t="str">
        <v/>
      </c>
    </row>
    <row r="41507" spans="5:9" ht="16.5">
      <c r="E41507" s="4" t="str">
        <v/>
      </c>
      <c r="F41507" s="102"/>
      <c r="H41507" s="4" t="str">
        <v/>
      </c>
      <c r="I41507" s="4" t="str">
        <v/>
      </c>
    </row>
    <row r="41508" spans="5:9" ht="16.5">
      <c r="E41508" s="4" t="str">
        <v/>
      </c>
      <c r="F41508" s="102"/>
      <c r="H41508" s="4" t="str">
        <v/>
      </c>
      <c r="I41508" s="4" t="str">
        <v/>
      </c>
    </row>
    <row r="41509" spans="5:9" ht="16.5">
      <c r="E41509" s="4" t="str">
        <v/>
      </c>
      <c r="F41509" s="102"/>
      <c r="H41509" s="4" t="str">
        <v/>
      </c>
      <c r="I41509" s="4" t="str">
        <v/>
      </c>
    </row>
    <row r="41510" spans="5:9" ht="16.5">
      <c r="E41510" s="4" t="str">
        <v/>
      </c>
      <c r="F41510" s="102"/>
      <c r="H41510" s="4" t="str">
        <v/>
      </c>
      <c r="I41510" s="4" t="str">
        <v/>
      </c>
    </row>
    <row r="41511" spans="5:9" ht="16.5">
      <c r="E41511" s="4" t="str">
        <v/>
      </c>
      <c r="F41511" s="102"/>
      <c r="H41511" s="4" t="str">
        <v/>
      </c>
      <c r="I41511" s="4" t="str">
        <v/>
      </c>
    </row>
    <row r="41512" spans="5:9" ht="16.5">
      <c r="E41512" s="4" t="str">
        <v/>
      </c>
      <c r="F41512" s="102"/>
      <c r="H41512" s="4" t="str">
        <v/>
      </c>
      <c r="I41512" s="4" t="str">
        <v/>
      </c>
    </row>
    <row r="41513" spans="5:9" ht="16.5">
      <c r="E41513" s="4" t="str">
        <v/>
      </c>
      <c r="F41513" s="102"/>
      <c r="H41513" s="4" t="str">
        <v/>
      </c>
      <c r="I41513" s="4" t="str">
        <v/>
      </c>
    </row>
    <row r="41514" spans="5:9" ht="16.5">
      <c r="E41514" s="4" t="str">
        <v/>
      </c>
      <c r="F41514" s="102"/>
      <c r="H41514" s="4" t="str">
        <v/>
      </c>
      <c r="I41514" s="4" t="str">
        <v/>
      </c>
    </row>
    <row r="41515" spans="5:9" ht="16.5">
      <c r="E41515" s="4" t="str">
        <v/>
      </c>
      <c r="F41515" s="102"/>
      <c r="H41515" s="4" t="str">
        <v/>
      </c>
      <c r="I41515" s="4" t="str">
        <v/>
      </c>
    </row>
    <row r="41516" spans="5:9" ht="16.5">
      <c r="E41516" s="4" t="str">
        <v/>
      </c>
      <c r="F41516" s="102"/>
      <c r="H41516" s="4" t="str">
        <v/>
      </c>
      <c r="I41516" s="4" t="str">
        <v/>
      </c>
    </row>
    <row r="41517" spans="5:9" ht="16.5">
      <c r="E41517" s="4" t="str">
        <v/>
      </c>
      <c r="F41517" s="102"/>
      <c r="H41517" s="4" t="str">
        <v/>
      </c>
      <c r="I41517" s="4" t="str">
        <v/>
      </c>
    </row>
    <row r="41518" spans="5:9" ht="16.5">
      <c r="E41518" s="4" t="str">
        <v/>
      </c>
      <c r="F41518" s="102"/>
      <c r="H41518" s="4" t="str">
        <v/>
      </c>
      <c r="I41518" s="4" t="str">
        <v/>
      </c>
    </row>
    <row r="41519" spans="5:9" ht="16.5">
      <c r="E41519" s="4" t="str">
        <v/>
      </c>
      <c r="F41519" s="102"/>
      <c r="H41519" s="4" t="str">
        <v/>
      </c>
      <c r="I41519" s="4" t="str">
        <v/>
      </c>
    </row>
    <row r="41520" spans="5:9" ht="16.5">
      <c r="E41520" s="4" t="str">
        <v/>
      </c>
      <c r="F41520" s="102"/>
      <c r="H41520" s="4" t="str">
        <v/>
      </c>
      <c r="I41520" s="4" t="str">
        <v/>
      </c>
    </row>
    <row r="41521" spans="5:9" ht="16.5">
      <c r="E41521" s="4" t="str">
        <v/>
      </c>
      <c r="F41521" s="102"/>
      <c r="H41521" s="4" t="str">
        <v/>
      </c>
      <c r="I41521" s="4" t="str">
        <v/>
      </c>
    </row>
    <row r="41522" spans="5:9" ht="16.5">
      <c r="E41522" s="4" t="str">
        <v/>
      </c>
      <c r="F41522" s="102"/>
      <c r="H41522" s="4" t="str">
        <v/>
      </c>
      <c r="I41522" s="4" t="str">
        <v/>
      </c>
    </row>
    <row r="41523" spans="5:9" ht="16.5">
      <c r="E41523" s="4" t="str">
        <v/>
      </c>
      <c r="F41523" s="102"/>
      <c r="H41523" s="4" t="str">
        <v/>
      </c>
      <c r="I41523" s="4" t="str">
        <v/>
      </c>
    </row>
    <row r="41524" spans="5:9" ht="16.5">
      <c r="E41524" s="4" t="str">
        <v/>
      </c>
      <c r="F41524" s="102"/>
      <c r="H41524" s="4" t="str">
        <v/>
      </c>
      <c r="I41524" s="4" t="str">
        <v/>
      </c>
    </row>
    <row r="41525" spans="5:9" ht="16.5">
      <c r="E41525" s="4" t="str">
        <v/>
      </c>
      <c r="F41525" s="102"/>
      <c r="H41525" s="4" t="str">
        <v/>
      </c>
      <c r="I41525" s="4" t="str">
        <v/>
      </c>
    </row>
    <row r="41526" spans="5:9" ht="16.5">
      <c r="E41526" s="4" t="str">
        <v/>
      </c>
      <c r="F41526" s="102"/>
      <c r="H41526" s="4" t="str">
        <v/>
      </c>
      <c r="I41526" s="4" t="str">
        <v/>
      </c>
    </row>
    <row r="41527" spans="5:9" ht="16.5">
      <c r="E41527" s="4" t="str">
        <v/>
      </c>
      <c r="F41527" s="102"/>
      <c r="H41527" s="4" t="str">
        <v/>
      </c>
      <c r="I41527" s="4" t="str">
        <v/>
      </c>
    </row>
    <row r="41528" spans="5:9" ht="16.5">
      <c r="E41528" s="4" t="str">
        <v/>
      </c>
      <c r="F41528" s="102"/>
      <c r="H41528" s="4" t="str">
        <v/>
      </c>
      <c r="I41528" s="4" t="str">
        <v/>
      </c>
    </row>
    <row r="41529" spans="5:9" ht="16.5">
      <c r="E41529" s="4" t="str">
        <v/>
      </c>
      <c r="F41529" s="102"/>
      <c r="H41529" s="4" t="str">
        <v/>
      </c>
      <c r="I41529" s="4" t="str">
        <v/>
      </c>
    </row>
    <row r="41530" spans="5:9" ht="16.5">
      <c r="E41530" s="4" t="str">
        <v/>
      </c>
      <c r="F41530" s="102"/>
      <c r="H41530" s="4" t="str">
        <v/>
      </c>
      <c r="I41530" s="4" t="str">
        <v/>
      </c>
    </row>
    <row r="41531" spans="5:9" ht="16.5">
      <c r="E41531" s="4" t="str">
        <v/>
      </c>
      <c r="F41531" s="102"/>
      <c r="H41531" s="4" t="str">
        <v/>
      </c>
      <c r="I41531" s="4" t="str">
        <v/>
      </c>
    </row>
    <row r="41532" spans="5:9" ht="16.5">
      <c r="E41532" s="4" t="str">
        <v/>
      </c>
      <c r="F41532" s="102"/>
      <c r="H41532" s="4" t="str">
        <v/>
      </c>
      <c r="I41532" s="4" t="str">
        <v/>
      </c>
    </row>
    <row r="41533" spans="5:9" ht="16.5">
      <c r="E41533" s="4" t="str">
        <v/>
      </c>
      <c r="F41533" s="102"/>
      <c r="H41533" s="4" t="str">
        <v/>
      </c>
      <c r="I41533" s="4" t="str">
        <v/>
      </c>
    </row>
    <row r="41534" spans="5:9" ht="16.5">
      <c r="E41534" s="4" t="str">
        <v/>
      </c>
      <c r="F41534" s="102"/>
      <c r="H41534" s="4" t="str">
        <v/>
      </c>
      <c r="I41534" s="4" t="str">
        <v/>
      </c>
    </row>
    <row r="41535" spans="5:9" ht="16.5">
      <c r="E41535" s="4" t="str">
        <v/>
      </c>
      <c r="F41535" s="102"/>
      <c r="H41535" s="4" t="str">
        <v/>
      </c>
      <c r="I41535" s="4" t="str">
        <v/>
      </c>
    </row>
    <row r="41536" spans="5:9" ht="16.5">
      <c r="E41536" s="4" t="str">
        <v/>
      </c>
      <c r="F41536" s="102"/>
      <c r="H41536" s="4" t="str">
        <v/>
      </c>
      <c r="I41536" s="4" t="str">
        <v/>
      </c>
    </row>
    <row r="41537" spans="5:9" ht="16.5">
      <c r="E41537" s="4" t="str">
        <v/>
      </c>
      <c r="F41537" s="102"/>
      <c r="H41537" s="4" t="str">
        <v/>
      </c>
      <c r="I41537" s="4" t="str">
        <v/>
      </c>
    </row>
    <row r="41538" spans="5:9" ht="16.5">
      <c r="E41538" s="4" t="str">
        <v/>
      </c>
      <c r="F41538" s="102"/>
      <c r="H41538" s="4" t="str">
        <v/>
      </c>
      <c r="I41538" s="4" t="str">
        <v/>
      </c>
    </row>
    <row r="41539" spans="5:9" ht="16.5">
      <c r="E41539" s="4" t="str">
        <v/>
      </c>
      <c r="F41539" s="102"/>
      <c r="H41539" s="4" t="str">
        <v/>
      </c>
      <c r="I41539" s="4" t="str">
        <v/>
      </c>
    </row>
    <row r="41540" spans="5:9" ht="16.5">
      <c r="E41540" s="4" t="str">
        <v/>
      </c>
      <c r="F41540" s="102"/>
      <c r="H41540" s="4" t="str">
        <v/>
      </c>
      <c r="I41540" s="4" t="str">
        <v/>
      </c>
    </row>
    <row r="41541" spans="5:9" ht="16.5">
      <c r="E41541" s="4" t="str">
        <v/>
      </c>
      <c r="F41541" s="102"/>
      <c r="H41541" s="4" t="str">
        <v/>
      </c>
      <c r="I41541" s="4" t="str">
        <v/>
      </c>
    </row>
    <row r="41542" spans="5:9" ht="16.5">
      <c r="E41542" s="4" t="str">
        <v/>
      </c>
      <c r="F41542" s="102"/>
      <c r="H41542" s="4" t="str">
        <v/>
      </c>
      <c r="I41542" s="4" t="str">
        <v/>
      </c>
    </row>
    <row r="41543" spans="5:9" ht="16.5">
      <c r="E41543" s="4" t="str">
        <v/>
      </c>
      <c r="F41543" s="102"/>
      <c r="H41543" s="4" t="str">
        <v/>
      </c>
      <c r="I41543" s="4" t="str">
        <v/>
      </c>
    </row>
    <row r="41544" spans="5:9" ht="16.5">
      <c r="E41544" s="4" t="str">
        <v/>
      </c>
      <c r="F41544" s="102"/>
      <c r="H41544" s="4" t="str">
        <v/>
      </c>
      <c r="I41544" s="4" t="str">
        <v/>
      </c>
    </row>
    <row r="41545" spans="5:9" ht="16.5">
      <c r="E41545" s="4" t="str">
        <v/>
      </c>
      <c r="F41545" s="102"/>
      <c r="H41545" s="4" t="str">
        <v/>
      </c>
      <c r="I41545" s="4" t="str">
        <v/>
      </c>
    </row>
    <row r="41546" spans="5:9" ht="16.5">
      <c r="E41546" s="4" t="str">
        <v/>
      </c>
      <c r="F41546" s="102"/>
      <c r="H41546" s="4" t="str">
        <v/>
      </c>
      <c r="I41546" s="4" t="str">
        <v/>
      </c>
    </row>
    <row r="41547" spans="5:9" ht="16.5">
      <c r="E41547" s="4" t="str">
        <v/>
      </c>
      <c r="F41547" s="102"/>
      <c r="H41547" s="4" t="str">
        <v/>
      </c>
      <c r="I41547" s="4" t="str">
        <v/>
      </c>
    </row>
    <row r="41548" spans="5:9" ht="16.5">
      <c r="E41548" s="4" t="str">
        <v/>
      </c>
      <c r="F41548" s="102"/>
      <c r="H41548" s="4" t="str">
        <v/>
      </c>
      <c r="I41548" s="4" t="str">
        <v/>
      </c>
    </row>
    <row r="41549" spans="5:9" ht="16.5">
      <c r="E41549" s="4" t="str">
        <v/>
      </c>
      <c r="F41549" s="102"/>
      <c r="H41549" s="4" t="str">
        <v/>
      </c>
      <c r="I41549" s="4" t="str">
        <v/>
      </c>
    </row>
    <row r="41550" spans="5:9" ht="16.5">
      <c r="E41550" s="4" t="str">
        <v/>
      </c>
      <c r="F41550" s="102"/>
      <c r="H41550" s="4" t="str">
        <v/>
      </c>
      <c r="I41550" s="4" t="str">
        <v/>
      </c>
    </row>
    <row r="41551" spans="5:9" ht="16.5">
      <c r="E41551" s="4" t="str">
        <v/>
      </c>
      <c r="F41551" s="102"/>
      <c r="H41551" s="4" t="str">
        <v/>
      </c>
      <c r="I41551" s="4" t="str">
        <v/>
      </c>
    </row>
    <row r="41552" spans="5:9" ht="16.5">
      <c r="E41552" s="4" t="str">
        <v/>
      </c>
      <c r="F41552" s="102"/>
      <c r="H41552" s="4" t="str">
        <v/>
      </c>
      <c r="I41552" s="4" t="str">
        <v/>
      </c>
    </row>
    <row r="41553" spans="5:9" ht="16.5">
      <c r="E41553" s="4" t="str">
        <v/>
      </c>
      <c r="F41553" s="102"/>
      <c r="H41553" s="4" t="str">
        <v/>
      </c>
      <c r="I41553" s="4" t="str">
        <v/>
      </c>
    </row>
    <row r="41554" spans="5:9" ht="16.5">
      <c r="E41554" s="4" t="str">
        <v/>
      </c>
      <c r="F41554" s="102"/>
      <c r="H41554" s="4" t="str">
        <v/>
      </c>
      <c r="I41554" s="4" t="str">
        <v/>
      </c>
    </row>
    <row r="41555" spans="5:9" ht="16.5">
      <c r="E41555" s="4" t="str">
        <v/>
      </c>
      <c r="F41555" s="102"/>
      <c r="H41555" s="4" t="str">
        <v/>
      </c>
      <c r="I41555" s="4" t="str">
        <v/>
      </c>
    </row>
    <row r="41556" spans="5:9" ht="16.5">
      <c r="E41556" s="4" t="str">
        <v/>
      </c>
      <c r="F41556" s="102"/>
      <c r="H41556" s="4" t="str">
        <v/>
      </c>
      <c r="I41556" s="4" t="str">
        <v/>
      </c>
    </row>
    <row r="41557" spans="5:9" ht="16.5">
      <c r="E41557" s="4" t="str">
        <v/>
      </c>
      <c r="F41557" s="102"/>
      <c r="H41557" s="4" t="str">
        <v/>
      </c>
      <c r="I41557" s="4" t="str">
        <v/>
      </c>
    </row>
    <row r="41558" spans="5:9" ht="16.5">
      <c r="E41558" s="4" t="str">
        <v/>
      </c>
      <c r="F41558" s="102"/>
      <c r="H41558" s="4" t="str">
        <v/>
      </c>
      <c r="I41558" s="4" t="str">
        <v/>
      </c>
    </row>
    <row r="41559" spans="5:9" ht="16.5">
      <c r="E41559" s="4" t="str">
        <v/>
      </c>
      <c r="F41559" s="102"/>
      <c r="H41559" s="4" t="str">
        <v/>
      </c>
      <c r="I41559" s="4" t="str">
        <v/>
      </c>
    </row>
    <row r="41560" spans="5:9" ht="16.5">
      <c r="E41560" s="4" t="str">
        <v/>
      </c>
      <c r="F41560" s="102"/>
      <c r="H41560" s="4" t="str">
        <v/>
      </c>
      <c r="I41560" s="4" t="str">
        <v/>
      </c>
    </row>
    <row r="41561" spans="5:9" ht="16.5">
      <c r="E41561" s="4" t="str">
        <v/>
      </c>
      <c r="F41561" s="102"/>
      <c r="H41561" s="4" t="str">
        <v/>
      </c>
      <c r="I41561" s="4" t="str">
        <v/>
      </c>
    </row>
    <row r="41562" spans="5:9" ht="16.5">
      <c r="E41562" s="4" t="str">
        <v/>
      </c>
      <c r="F41562" s="102"/>
      <c r="H41562" s="4" t="str">
        <v/>
      </c>
      <c r="I41562" s="4" t="str">
        <v/>
      </c>
    </row>
    <row r="41563" spans="5:9" ht="16.5">
      <c r="E41563" s="4" t="str">
        <v/>
      </c>
      <c r="F41563" s="102"/>
      <c r="H41563" s="4" t="str">
        <v/>
      </c>
      <c r="I41563" s="4" t="str">
        <v/>
      </c>
    </row>
    <row r="41564" spans="5:9" ht="16.5">
      <c r="E41564" s="4" t="str">
        <v/>
      </c>
      <c r="F41564" s="102"/>
      <c r="H41564" s="4" t="str">
        <v/>
      </c>
      <c r="I41564" s="4" t="str">
        <v/>
      </c>
    </row>
    <row r="41565" spans="5:9" ht="16.5">
      <c r="E41565" s="4" t="str">
        <v/>
      </c>
      <c r="F41565" s="102"/>
      <c r="H41565" s="4" t="str">
        <v/>
      </c>
      <c r="I41565" s="4" t="str">
        <v/>
      </c>
    </row>
    <row r="41566" spans="5:9" ht="16.5">
      <c r="E41566" s="4" t="str">
        <v/>
      </c>
      <c r="F41566" s="102"/>
      <c r="H41566" s="4" t="str">
        <v/>
      </c>
      <c r="I41566" s="4" t="str">
        <v/>
      </c>
    </row>
    <row r="41567" spans="5:9" ht="16.5">
      <c r="E41567" s="4" t="str">
        <v/>
      </c>
      <c r="F41567" s="102"/>
      <c r="H41567" s="4" t="str">
        <v/>
      </c>
      <c r="I41567" s="4" t="str">
        <v/>
      </c>
    </row>
    <row r="41568" spans="5:9" ht="16.5">
      <c r="E41568" s="4" t="str">
        <v/>
      </c>
      <c r="F41568" s="102"/>
      <c r="H41568" s="4" t="str">
        <v/>
      </c>
      <c r="I41568" s="4" t="str">
        <v/>
      </c>
    </row>
    <row r="41569" spans="5:9" ht="16.5">
      <c r="E41569" s="4" t="str">
        <v/>
      </c>
      <c r="F41569" s="102"/>
      <c r="H41569" s="4" t="str">
        <v/>
      </c>
      <c r="I41569" s="4" t="str">
        <v/>
      </c>
    </row>
    <row r="41570" spans="5:9" ht="16.5">
      <c r="E41570" s="4" t="str">
        <v/>
      </c>
      <c r="F41570" s="102"/>
      <c r="H41570" s="4" t="str">
        <v/>
      </c>
      <c r="I41570" s="4" t="str">
        <v/>
      </c>
    </row>
    <row r="41571" spans="5:9" ht="16.5">
      <c r="E41571" s="4" t="str">
        <v/>
      </c>
      <c r="F41571" s="102"/>
      <c r="H41571" s="4" t="str">
        <v/>
      </c>
      <c r="I41571" s="4" t="str">
        <v/>
      </c>
    </row>
    <row r="41572" spans="5:9" ht="16.5">
      <c r="E41572" s="4" t="str">
        <v/>
      </c>
      <c r="F41572" s="102"/>
      <c r="H41572" s="4" t="str">
        <v/>
      </c>
      <c r="I41572" s="4" t="str">
        <v/>
      </c>
    </row>
    <row r="41573" spans="5:9" ht="16.5">
      <c r="E41573" s="4" t="str">
        <v/>
      </c>
      <c r="F41573" s="102"/>
      <c r="H41573" s="4" t="str">
        <v/>
      </c>
      <c r="I41573" s="4" t="str">
        <v/>
      </c>
    </row>
    <row r="41574" spans="5:9" ht="16.5">
      <c r="E41574" s="4" t="str">
        <v/>
      </c>
      <c r="F41574" s="102"/>
      <c r="H41574" s="4" t="str">
        <v/>
      </c>
      <c r="I41574" s="4" t="str">
        <v/>
      </c>
    </row>
    <row r="41575" spans="5:9" ht="16.5">
      <c r="E41575" s="4" t="str">
        <v/>
      </c>
      <c r="F41575" s="102"/>
      <c r="H41575" s="4" t="str">
        <v/>
      </c>
      <c r="I41575" s="4" t="str">
        <v/>
      </c>
    </row>
    <row r="41576" spans="5:9" ht="16.5">
      <c r="E41576" s="4" t="str">
        <v/>
      </c>
      <c r="F41576" s="102"/>
      <c r="H41576" s="4" t="str">
        <v/>
      </c>
      <c r="I41576" s="4" t="str">
        <v/>
      </c>
    </row>
  </sheetData>
  <autoFilter ref="A1:AB40576" xr:uid="{00000000-0009-0000-0000-000004000000}">
    <filterColumn colId="1">
      <filters>
        <filter val="Alternatif Periode ke-91"/>
        <filter val="Reguler Periode ke-119"/>
        <filter val="Reguler Periode ke-125"/>
      </filters>
    </filterColumn>
  </autoFilter>
  <conditionalFormatting sqref="F1:F41576 L20:L1053">
    <cfRule type="containsBlanks" dxfId="0" priority="1">
      <formula>LEN(TRIM(F1))=0</formula>
    </cfRule>
  </conditionalFormatting>
  <hyperlinks>
    <hyperlink ref="D3" r:id="rId1" display="https://docs.google.com/spreadsheets/d/1wcno1s0G1pPiHcxQBtcdj3G3r40Ic2k0IKZniS3SiiE/edit?usp=sharing" xr:uid="{00000000-0004-0000-0400-000000000000}"/>
    <hyperlink ref="D4" r:id="rId2" display="https://docs.google.com/spreadsheets/d/11h4RKjz9ElZ-vdh72Wk6DEp_oot3FDAN2h6Jt5sAp2k/edit?usp=sharing" xr:uid="{00000000-0004-0000-0400-000001000000}"/>
    <hyperlink ref="D5" r:id="rId3" display="https://docs.google.com/spreadsheets/d/1ty7k5Icb_MsNYo5vdr5Wkqz3qiVji_4o0GJ3W2dHzg0/edit?usp=sharing" xr:uid="{00000000-0004-0000-0400-000002000000}"/>
    <hyperlink ref="E5" r:id="rId4" location="gid=0" display="https://docs.google.com/spreadsheets/d/1ty7k5Icb_MsNYo5vdr5Wkqz3qiVji_4o0GJ3W2dHzg0/edit - gid=0" xr:uid="{00000000-0004-0000-0400-000003000000}"/>
    <hyperlink ref="D6" r:id="rId5" display="https://docs.google.com/spreadsheets/d/1OLSigPm7QKfN2jhQQW8zhuOO85ahX1EMJtyEMxUPcxM/edit?usp=sharing" xr:uid="{00000000-0004-0000-0400-000004000000}"/>
    <hyperlink ref="E6" r:id="rId6" location="gid=0" display="https://docs.google.com/spreadsheets/d/1OLSigPm7QKfN2jhQQW8zhuOO85ahX1EMJtyEMxUPcxM/edit - gid=0" xr:uid="{00000000-0004-0000-0400-000005000000}"/>
    <hyperlink ref="D7" r:id="rId7" display="https://docs.google.com/spreadsheets/d/1pbFwW_eopXMwzOxCr8aUIyhqOLIFi-1QqWmjWC8Xp7Q/edit?usp=sharing" xr:uid="{00000000-0004-0000-0400-000006000000}"/>
    <hyperlink ref="E7" r:id="rId8" location="gid=0" display="https://docs.google.com/spreadsheets/d/1pbFwW_eopXMwzOxCr8aUIyhqOLIFi-1QqWmjWC8Xp7Q/edit - gid=0" xr:uid="{00000000-0004-0000-0400-000007000000}"/>
    <hyperlink ref="D8" r:id="rId9" display="https://docs.google.com/spreadsheets/d/1gqdBtG8s8JckuZX-x0aajDR-3y-Xo_tUJH09PqpWZ44/edit?usp=sharing" xr:uid="{00000000-0004-0000-0400-000008000000}"/>
    <hyperlink ref="E8" r:id="rId10" location="gid=0" display="https://docs.google.com/spreadsheets/d/1gqdBtG8s8JckuZX-x0aajDR-3y-Xo_tUJH09PqpWZ44/edit - gid=0" xr:uid="{00000000-0004-0000-0400-000009000000}"/>
    <hyperlink ref="D9" r:id="rId11" display="https://docs.google.com/spreadsheets/d/1VnZRiUSLkcf280njKLZy4CbXomR3Lk2MA7HohaPJkLE/edit?usp=sharing" xr:uid="{00000000-0004-0000-0400-00000A000000}"/>
    <hyperlink ref="E9" r:id="rId12" location="gid=0" display="https://docs.google.com/spreadsheets/d/1VnZRiUSLkcf280njKLZy4CbXomR3Lk2MA7HohaPJkLE/edit - gid=0" xr:uid="{00000000-0004-0000-0400-00000B000000}"/>
    <hyperlink ref="D10" r:id="rId13" display="https://docs.google.com/spreadsheets/d/1Fmt3xTOqDakcaYdTYLKRHFZQiu-yqPrwjmAS2CwXYY8/edit?usp=sharing" xr:uid="{00000000-0004-0000-0400-00000C000000}"/>
    <hyperlink ref="E10" r:id="rId14" location="gid=0" display="https://docs.google.com/spreadsheets/d/1Fmt3xTOqDakcaYdTYLKRHFZQiu-yqPrwjmAS2CwXYY8/edit - gid=0" xr:uid="{00000000-0004-0000-0400-00000D000000}"/>
    <hyperlink ref="D11" r:id="rId15" display="https://docs.google.com/spreadsheets/d/1wTmDatKrvEnZbp6nvQFfhsoCwPVFl-smEnuXA3P29Rw/edit?usp=sharing" xr:uid="{00000000-0004-0000-0400-00000E000000}"/>
    <hyperlink ref="E11" r:id="rId16" location="gid=0" display="https://docs.google.com/spreadsheets/d/1wTmDatKrvEnZbp6nvQFfhsoCwPVFl-smEnuXA3P29Rw/edit - gid=0" xr:uid="{00000000-0004-0000-0400-00000F000000}"/>
    <hyperlink ref="D12" r:id="rId17" display="https://docs.google.com/spreadsheets/d/1l4A9BRBr2tOGDY86IODPjAZJuovYvFZu2KA79jLKw00/edit?usp=sharing" xr:uid="{00000000-0004-0000-0400-000010000000}"/>
    <hyperlink ref="E12" r:id="rId18" location="gid=0" display="https://docs.google.com/spreadsheets/d/1l4A9BRBr2tOGDY86IODPjAZJuovYvFZu2KA79jLKw00/edit - gid=0" xr:uid="{00000000-0004-0000-0400-000011000000}"/>
    <hyperlink ref="D13" r:id="rId19" display="https://docs.google.com/spreadsheets/d/15WPjJJaiapTrjqvA8v70qJ9qqohXEXoqm8fjieBB7r8/edit?usp=sharing" xr:uid="{00000000-0004-0000-0400-000012000000}"/>
    <hyperlink ref="E13" r:id="rId20" location="gid=0" display="https://docs.google.com/spreadsheets/d/15WPjJJaiapTrjqvA8v70qJ9qqohXEXoqm8fjieBB7r8/edit - gid=0" xr:uid="{00000000-0004-0000-0400-000013000000}"/>
    <hyperlink ref="D14" r:id="rId21" display="https://docs.google.com/spreadsheets/d/1mb_BZPt2HMU-IcLb4vaK5c_CjHM23e3vhkmwItR5rAU/edit?usp=sharing" xr:uid="{00000000-0004-0000-0400-000014000000}"/>
    <hyperlink ref="E14" r:id="rId22" location="gid=0" display="https://docs.google.com/spreadsheets/d/1mb_BZPt2HMU-IcLb4vaK5c_CjHM23e3vhkmwItR5rAU/edit - gid=0" xr:uid="{00000000-0004-0000-0400-000015000000}"/>
    <hyperlink ref="D15" r:id="rId23" display="https://docs.google.com/spreadsheets/d/1mdEIdKk7Gr7TyJLVSqbwsXZAuZWLekCO3p-uKtz_UYs/edit?usp=sharing" xr:uid="{00000000-0004-0000-0400-000016000000}"/>
    <hyperlink ref="E15" r:id="rId24" location="gid=0" display="https://docs.google.com/spreadsheets/d/1mdEIdKk7Gr7TyJLVSqbwsXZAuZWLekCO3p-uKtz_UYs/edit - gid=0" xr:uid="{00000000-0004-0000-0400-000017000000}"/>
    <hyperlink ref="D16" r:id="rId25" display="https://docs.google.com/spreadsheets/d/1DpH6ubmGzpnCXYb7pJSgpt_1FxKAYTUv9FU1EfpMVUY/edit?usp=sharing" xr:uid="{00000000-0004-0000-0400-000018000000}"/>
    <hyperlink ref="E16" r:id="rId26" location="gid=0" display="https://docs.google.com/spreadsheets/d/1DpH6ubmGzpnCXYb7pJSgpt_1FxKAYTUv9FU1EfpMVUY/edit - gid=0" xr:uid="{00000000-0004-0000-0400-000019000000}"/>
    <hyperlink ref="D17" r:id="rId27" display="https://docs.google.com/spreadsheets/d/1DaYCZKPal0nRHm95UwYaToKm9sNEy-FRwVgkNCeHaOI/edit?usp=sharing" xr:uid="{00000000-0004-0000-0400-00001A000000}"/>
    <hyperlink ref="E17" r:id="rId28" location="gid=0" display="https://docs.google.com/spreadsheets/d/1DaYCZKPal0nRHm95UwYaToKm9sNEy-FRwVgkNCeHaOI/edit - gid=0" xr:uid="{00000000-0004-0000-0400-00001B000000}"/>
    <hyperlink ref="D18" r:id="rId29" display="https://docs.google.com/spreadsheets/d/1AkWfNG3UYk9CuV0j5d1__OQ_WVIg-e7aEfe28o2mRGI/edit?usp=sharing" xr:uid="{00000000-0004-0000-0400-00001C000000}"/>
    <hyperlink ref="E18" r:id="rId30" location="gid=0" display="https://docs.google.com/spreadsheets/d/1AkWfNG3UYk9CuV0j5d1__OQ_WVIg-e7aEfe28o2mRGI/edit - gid=0" xr:uid="{00000000-0004-0000-0400-00001D000000}"/>
    <hyperlink ref="D19" r:id="rId31" display="https://docs.google.com/spreadsheets/d/101L9gkhuMxTZw173YmdxWNST82q44R5GkkiFc4KrpsM/edit?usp=sharing" xr:uid="{00000000-0004-0000-0400-00001E000000}"/>
    <hyperlink ref="E19" r:id="rId32" location="gid=0" display="https://docs.google.com/spreadsheets/d/101L9gkhuMxTZw173YmdxWNST82q44R5GkkiFc4KrpsM/edit - gid=0" xr:uid="{00000000-0004-0000-0400-00001F000000}"/>
    <hyperlink ref="D20" r:id="rId33" display="https://docs.google.com/spreadsheets/d/1RSL4MMjMBh_1O1TSAHjqORjB66GWZpOXffhdpj78Sks/edit?usp=sharing" xr:uid="{00000000-0004-0000-0400-000020000000}"/>
    <hyperlink ref="E20" r:id="rId34" location="gid=0" display="https://docs.google.com/spreadsheets/d/1RSL4MMjMBh_1O1TSAHjqORjB66GWZpOXffhdpj78Sks/edit - gid=0" xr:uid="{00000000-0004-0000-0400-000021000000}"/>
    <hyperlink ref="D21" r:id="rId35" display="https://docs.google.com/spreadsheets/d/1PnCXPopm7m_XIrY7rPQYCzXPKvRghZRuvMMXWqbOyUo/edit?usp=sharing" xr:uid="{00000000-0004-0000-0400-000022000000}"/>
    <hyperlink ref="E21" r:id="rId36" location="gid=0" display="https://docs.google.com/spreadsheets/d/1PnCXPopm7m_XIrY7rPQYCzXPKvRghZRuvMMXWqbOyUo/edit - gid=0" xr:uid="{00000000-0004-0000-0400-000023000000}"/>
    <hyperlink ref="D22" r:id="rId37" display="https://docs.google.com/spreadsheets/d/1au4oUBz7390z3Tyjuk8uCszWeLXsake_obXyQZLSDm4/edit?usp=sharing" xr:uid="{00000000-0004-0000-0400-000024000000}"/>
    <hyperlink ref="E22" r:id="rId38" location="gid=0" display="https://docs.google.com/spreadsheets/d/1au4oUBz7390z3Tyjuk8uCszWeLXsake_obXyQZLSDm4/edit - gid=0" xr:uid="{00000000-0004-0000-0400-000025000000}"/>
    <hyperlink ref="D23" r:id="rId39" display="https://docs.google.com/spreadsheets/d/1l1ee0kEYCAhG00p-dOwffGM5ewsPu44aSoHB723IlTw/edit?usp=sharing" xr:uid="{00000000-0004-0000-0400-000026000000}"/>
    <hyperlink ref="E23" r:id="rId40" location="gid=0" display="https://docs.google.com/spreadsheets/d/1l1ee0kEYCAhG00p-dOwffGM5ewsPu44aSoHB723IlTw/edit - gid=0" xr:uid="{00000000-0004-0000-0400-000027000000}"/>
    <hyperlink ref="D24" r:id="rId41" display="https://docs.google.com/spreadsheets/d/1qwbmA1MrLWqNcPdslxbK_ce8Q5YJPeoHdSBT6eeR6Y0/edit?usp=sharing" xr:uid="{00000000-0004-0000-0400-000028000000}"/>
    <hyperlink ref="E24" r:id="rId42" location="gid=0" display="https://docs.google.com/spreadsheets/d/1qwbmA1MrLWqNcPdslxbK_ce8Q5YJPeoHdSBT6eeR6Y0/edit - gid=0" xr:uid="{00000000-0004-0000-0400-000029000000}"/>
    <hyperlink ref="D25" r:id="rId43" display="https://docs.google.com/spreadsheets/d/13uvT7ht--uG714ac0UvaWP3zdnRerv07KIfGV_DeuiI/edit?usp=sharing" xr:uid="{00000000-0004-0000-0400-00002A000000}"/>
    <hyperlink ref="E25" r:id="rId44" location="gid=0" display="https://docs.google.com/spreadsheets/d/13uvT7ht--uG714ac0UvaWP3zdnRerv07KIfGV_DeuiI/edit - gid=0" xr:uid="{00000000-0004-0000-0400-00002B000000}"/>
    <hyperlink ref="D26" r:id="rId45" display="https://docs.google.com/spreadsheets/d/1Wiew3Vqrwe9Ch6R1cjbi65bdYpHgn3jH6WxGABSXMKY/edit?usp=sharing" xr:uid="{00000000-0004-0000-0400-00002C000000}"/>
    <hyperlink ref="E26" r:id="rId46" location="gid=0" display="https://docs.google.com/spreadsheets/d/1Wiew3Vqrwe9Ch6R1cjbi65bdYpHgn3jH6WxGABSXMKY/edit - gid=0" xr:uid="{00000000-0004-0000-0400-00002D000000}"/>
    <hyperlink ref="D27" r:id="rId47" display="https://docs.google.com/spreadsheets/d/1atq5-5Swtert9m_EOhDzNkpiD8vV2GfgoRoyxIOr8uM/edit?usp=sharing" xr:uid="{00000000-0004-0000-0400-00002E000000}"/>
    <hyperlink ref="E27" r:id="rId48" location="gid=0" display="https://docs.google.com/spreadsheets/d/1atq5-5Swtert9m_EOhDzNkpiD8vV2GfgoRoyxIOr8uM/edit - gid=0" xr:uid="{00000000-0004-0000-0400-00002F000000}"/>
    <hyperlink ref="D28" r:id="rId49" display="https://docs.google.com/spreadsheets/d/1r8elxg_xlILreh2P4w8j_EwCCYwUwtRBFcUPd9dVyqY/edit?usp=sharing" xr:uid="{00000000-0004-0000-0400-000030000000}"/>
    <hyperlink ref="E28" r:id="rId50" location="gid=0" display="https://docs.google.com/spreadsheets/d/1r8elxg_xlILreh2P4w8j_EwCCYwUwtRBFcUPd9dVyqY/edit - gid=0" xr:uid="{00000000-0004-0000-0400-000031000000}"/>
    <hyperlink ref="D29" r:id="rId51" display="https://docs.google.com/spreadsheets/d/1tRA4RpPTeYIZVI8PYoYVplNI5uhZxIupTdN-noAYzTY/edit?usp=sharing" xr:uid="{00000000-0004-0000-0400-000032000000}"/>
    <hyperlink ref="E29" r:id="rId52" location="gid=0" display="https://docs.google.com/spreadsheets/d/1tRA4RpPTeYIZVI8PYoYVplNI5uhZxIupTdN-noAYzTY/edit - gid=0" xr:uid="{00000000-0004-0000-0400-000033000000}"/>
    <hyperlink ref="D30" r:id="rId53" display="https://docs.google.com/spreadsheets/d/1FCUHjldnIpeRYJ089tn2UxQMNFBEnzJzB90UMvuvAQ4/edit?usp=sharing" xr:uid="{00000000-0004-0000-0400-000034000000}"/>
    <hyperlink ref="E30" r:id="rId54" location="gid=0" display="https://docs.google.com/spreadsheets/d/1FCUHjldnIpeRYJ089tn2UxQMNFBEnzJzB90UMvuvAQ4/edit - gid=0" xr:uid="{00000000-0004-0000-0400-000035000000}"/>
    <hyperlink ref="D31" r:id="rId55" display="https://docs.google.com/spreadsheets/d/1gMYRU0PUUxCrNDwFQ0mih1q6NdGLpK8wi4den6cwdmU/edit?usp=sharing" xr:uid="{00000000-0004-0000-0400-000036000000}"/>
    <hyperlink ref="E31" r:id="rId56" location="gid=0" display="https://docs.google.com/spreadsheets/d/1gMYRU0PUUxCrNDwFQ0mih1q6NdGLpK8wi4den6cwdmU/edit - gid=0" xr:uid="{00000000-0004-0000-0400-000037000000}"/>
    <hyperlink ref="D32" r:id="rId57" display="https://docs.google.com/spreadsheets/d/1IREh9NizLiFYNuJ5NwQWP-XSMMvaD9IKBDeMk5oBAeI/edit?usp=sharing" xr:uid="{00000000-0004-0000-0400-000038000000}"/>
    <hyperlink ref="E32" r:id="rId58" location="gid=0" display="https://docs.google.com/spreadsheets/d/1IREh9NizLiFYNuJ5NwQWP-XSMMvaD9IKBDeMk5oBAeI/edit - gid=0" xr:uid="{00000000-0004-0000-0400-000039000000}"/>
    <hyperlink ref="D33" r:id="rId59" display="https://docs.google.com/spreadsheets/d/14WN4D4TO-6LDXmofCf4Hy2Hb4RVERBc-ybPxE3aFJqc/edit?usp=sharing" xr:uid="{00000000-0004-0000-0400-00003A000000}"/>
    <hyperlink ref="E33" r:id="rId60" location="gid=0" display="https://docs.google.com/spreadsheets/d/14WN4D4TO-6LDXmofCf4Hy2Hb4RVERBc-ybPxE3aFJqc/edit - gid=0" xr:uid="{00000000-0004-0000-0400-00003B000000}"/>
    <hyperlink ref="D34" r:id="rId61" display="https://docs.google.com/spreadsheets/d/1HEixhZxIwIxcBQePyjNKswMkRCl5OIEnSOtLiwIC68Y/edit?usp=sharing" xr:uid="{00000000-0004-0000-0400-00003C000000}"/>
    <hyperlink ref="E34" r:id="rId62" location="gid=0" display="https://docs.google.com/spreadsheets/d/1HEixhZxIwIxcBQePyjNKswMkRCl5OIEnSOtLiwIC68Y/edit - gid=0" xr:uid="{00000000-0004-0000-0400-00003D000000}"/>
    <hyperlink ref="D35" r:id="rId63" display="https://docs.google.com/spreadsheets/d/1JDadAZ9sInAQxLvUtnYfZkukrKwMmqJhsII4hYz0RDQ/edit?usp=sharing" xr:uid="{00000000-0004-0000-0400-00003E000000}"/>
    <hyperlink ref="E35" r:id="rId64" location="gid=0" display="https://docs.google.com/spreadsheets/d/1JDadAZ9sInAQxLvUtnYfZkukrKwMmqJhsII4hYz0RDQ/edit - gid=0" xr:uid="{00000000-0004-0000-0400-00003F000000}"/>
    <hyperlink ref="D36" r:id="rId65" display="https://docs.google.com/spreadsheets/d/1jkfM3Ow_URh5QCpEop8C3NcZlI-Kn4oNuniVaSYZU0g/edit?usp=sharing" xr:uid="{00000000-0004-0000-0400-000040000000}"/>
    <hyperlink ref="E36" r:id="rId66" location="gid=0" display="https://docs.google.com/spreadsheets/d/1jkfM3Ow_URh5QCpEop8C3NcZlI-Kn4oNuniVaSYZU0g/edit - gid=0" xr:uid="{00000000-0004-0000-0400-000041000000}"/>
    <hyperlink ref="D37" r:id="rId67" display="https://docs.google.com/spreadsheets/d/1FHoQOeZxHYPJ1dJd8f93dICw251n_SWKzk0SR4e2G94/edit?usp=sharing" xr:uid="{00000000-0004-0000-0400-000042000000}"/>
    <hyperlink ref="E37" r:id="rId68" location="gid=0" display="https://docs.google.com/spreadsheets/d/1FHoQOeZxHYPJ1dJd8f93dICw251n_SWKzk0SR4e2G94/edit - gid=0" xr:uid="{00000000-0004-0000-0400-000043000000}"/>
    <hyperlink ref="D38" r:id="rId69" display="https://docs.google.com/spreadsheets/d/1IFZYTBc8VPvqx44JLaC2C9boWHZ4ZuCVPAAie7BjxQs/edit?usp=sharing" xr:uid="{00000000-0004-0000-0400-000044000000}"/>
    <hyperlink ref="E38" r:id="rId70" location="gid=0" display="https://docs.google.com/spreadsheets/d/1IFZYTBc8VPvqx44JLaC2C9boWHZ4ZuCVPAAie7BjxQs/edit - gid=0" xr:uid="{00000000-0004-0000-0400-000045000000}"/>
    <hyperlink ref="D39" r:id="rId71" display="https://docs.google.com/spreadsheets/d/1TiPT_Tsgnrlk4QJMQsGhAKbtPFE1hnk2JOocRVl6DIk/edit?usp=sharing" xr:uid="{00000000-0004-0000-0400-000046000000}"/>
    <hyperlink ref="E39" r:id="rId72" location="gid=0" display="https://docs.google.com/spreadsheets/d/1TiPT_Tsgnrlk4QJMQsGhAKbtPFE1hnk2JOocRVl6DIk/edit - gid=0" xr:uid="{00000000-0004-0000-0400-000047000000}"/>
    <hyperlink ref="D40" r:id="rId73" display="https://docs.google.com/spreadsheets/d/1soxDTyCIvMXeAcorKNFbzHABCx_PqNab5bzfGd-64A4/edit?usp=sharing" xr:uid="{00000000-0004-0000-0400-000048000000}"/>
    <hyperlink ref="E40" r:id="rId74" location="gid=0" display="https://docs.google.com/spreadsheets/d/1soxDTyCIvMXeAcorKNFbzHABCx_PqNab5bzfGd-64A4/edit - gid=0" xr:uid="{00000000-0004-0000-0400-000049000000}"/>
    <hyperlink ref="D41" r:id="rId75" display="https://docs.google.com/spreadsheets/d/1esWHiFa3JeAbN45yB9gygjqFcqGmj9v5DGGSwKlQsIA/edit?usp=sharing" xr:uid="{00000000-0004-0000-0400-00004A000000}"/>
    <hyperlink ref="E41" r:id="rId76" location="gid=0" display="https://docs.google.com/spreadsheets/d/1esWHiFa3JeAbN45yB9gygjqFcqGmj9v5DGGSwKlQsIA/edit - gid=0" xr:uid="{00000000-0004-0000-0400-00004B000000}"/>
    <hyperlink ref="D42" r:id="rId77" display="https://docs.google.com/spreadsheets/d/1-rDlRbJ5aBoEgiO5iLXj-Ee6wVxKsfpXW-1RBx49hGQ/edit?usp=sharing" xr:uid="{00000000-0004-0000-0400-00004C000000}"/>
    <hyperlink ref="E42" r:id="rId78" location="gid=0" display="https://docs.google.com/spreadsheets/d/1-rDlRbJ5aBoEgiO5iLXj-Ee6wVxKsfpXW-1RBx49hGQ/edit - gid=0" xr:uid="{00000000-0004-0000-0400-00004D000000}"/>
    <hyperlink ref="D43" r:id="rId79" display="https://docs.google.com/spreadsheets/d/1DKPgl5OJQ_2_CCepQjfg7nkhOkEMNm26ZdWwOgpRPP8/edit?usp=sharing" xr:uid="{00000000-0004-0000-0400-00004E000000}"/>
    <hyperlink ref="E43" r:id="rId80" location="gid=0" display="https://docs.google.com/spreadsheets/d/1DKPgl5OJQ_2_CCepQjfg7nkhOkEMNm26ZdWwOgpRPP8/edit - gid=0" xr:uid="{00000000-0004-0000-0400-00004F000000}"/>
    <hyperlink ref="D44" r:id="rId81" display="https://docs.google.com/spreadsheets/d/1PaOdbkisq_h5JOWIsb20yQzuRUdWgHhIj9NjAje6Wyo/edit?usp=sharing" xr:uid="{00000000-0004-0000-0400-000050000000}"/>
    <hyperlink ref="E44" r:id="rId82" location="gid=0" display="https://docs.google.com/spreadsheets/d/1PaOdbkisq_h5JOWIsb20yQzuRUdWgHhIj9NjAje6Wyo/edit - gid=0" xr:uid="{00000000-0004-0000-0400-000051000000}"/>
    <hyperlink ref="D45" r:id="rId83" display="https://docs.google.com/spreadsheets/d/1P70N1tP0AQfUI9AuGVgYgINBv65E1veuPvyuyMkt3ag/edit?usp=sharing" xr:uid="{00000000-0004-0000-0400-000052000000}"/>
    <hyperlink ref="E45" r:id="rId84" location="gid=0" display="https://docs.google.com/spreadsheets/d/1P70N1tP0AQfUI9AuGVgYgINBv65E1veuPvyuyMkt3ag/edit - gid=0" xr:uid="{00000000-0004-0000-0400-000053000000}"/>
    <hyperlink ref="D46" r:id="rId85" display="https://docs.google.com/spreadsheets/d/1inBpI-Z0BO66TjIAGtxX2T7vUjYDbvpdEOxseMkvnT8/edit?usp=sharing" xr:uid="{00000000-0004-0000-0400-000054000000}"/>
    <hyperlink ref="E46" r:id="rId86" location="gid=0" display="https://docs.google.com/spreadsheets/d/1inBpI-Z0BO66TjIAGtxX2T7vUjYDbvpdEOxseMkvnT8/edit - gid=0" xr:uid="{00000000-0004-0000-0400-000055000000}"/>
    <hyperlink ref="D47" r:id="rId87" display="https://docs.google.com/spreadsheets/d/1l7feShSgrrgKEULxHUpZm9N6nbJu6Cvyk0aU_8xRLV0/edit?usp=sharing" xr:uid="{00000000-0004-0000-0400-000056000000}"/>
    <hyperlink ref="E47" r:id="rId88" location="gid=0" display="https://docs.google.com/spreadsheets/d/1l7feShSgrrgKEULxHUpZm9N6nbJu6Cvyk0aU_8xRLV0/edit - gid=0" xr:uid="{00000000-0004-0000-0400-000057000000}"/>
    <hyperlink ref="D48" r:id="rId89" display="https://docs.google.com/spreadsheets/d/1y8AS5XKvxtXucY3AFGBDvwPXdq8qKawtD3LgpnrvmQU/edit?usp=sharing" xr:uid="{00000000-0004-0000-0400-000058000000}"/>
    <hyperlink ref="E48" r:id="rId90" location="gid=0" display="https://docs.google.com/spreadsheets/d/1y8AS5XKvxtXucY3AFGBDvwPXdq8qKawtD3LgpnrvmQU/edit - gid=0" xr:uid="{00000000-0004-0000-0400-000059000000}"/>
    <hyperlink ref="D49" r:id="rId91" display="https://docs.google.com/spreadsheets/d/1Zrshi6jwOwyj2e8vcD0igRXjGqWyHD7nP52PJ8F94q0/edit?usp=sharing" xr:uid="{00000000-0004-0000-0400-00005A000000}"/>
    <hyperlink ref="E49" r:id="rId92" location="gid=0" display="https://docs.google.com/spreadsheets/d/1Zrshi6jwOwyj2e8vcD0igRXjGqWyHD7nP52PJ8F94q0/edit - gid=0" xr:uid="{00000000-0004-0000-0400-00005B000000}"/>
    <hyperlink ref="D50" r:id="rId93" display="https://docs.google.com/spreadsheets/d/1cgxhZHI42-wvnF_KMegFNiCeKEvgXbD0SY8Gb_CMSnk/edit?usp=sharing" xr:uid="{00000000-0004-0000-0400-00005C000000}"/>
    <hyperlink ref="E50" r:id="rId94" location="gid=0" display="https://docs.google.com/spreadsheets/d/1cgxhZHI42-wvnF_KMegFNiCeKEvgXbD0SY8Gb_CMSnk/edit - gid=0" xr:uid="{00000000-0004-0000-0400-00005D000000}"/>
    <hyperlink ref="D51" r:id="rId95" display="https://docs.google.com/spreadsheets/d/1tDGOr1-mQZ1j7enNWJkq4J-6UyRrxNp8PU4WHolfb4A/edit?usp=sharing" xr:uid="{00000000-0004-0000-0400-00005E000000}"/>
    <hyperlink ref="E51" r:id="rId96" location="gid=0" display="https://docs.google.com/spreadsheets/d/1tDGOr1-mQZ1j7enNWJkq4J-6UyRrxNp8PU4WHolfb4A/edit - gid=0" xr:uid="{00000000-0004-0000-0400-00005F000000}"/>
    <hyperlink ref="D52" r:id="rId97" display="https://docs.google.com/spreadsheets/d/1j0Lk53rvth2OSnwbl_IFrDpyWIbY1rUqMlkzNIxd2Pw/edit?usp=sharing" xr:uid="{00000000-0004-0000-0400-000060000000}"/>
    <hyperlink ref="E52" r:id="rId98" location="gid=0" display="https://docs.google.com/spreadsheets/d/1j0Lk53rvth2OSnwbl_IFrDpyWIbY1rUqMlkzNIxd2Pw/edit - gid=0" xr:uid="{00000000-0004-0000-0400-000061000000}"/>
    <hyperlink ref="D53" r:id="rId99" display="https://docs.google.com/spreadsheets/d/1zkVuN180kFTytWpzM39qPcl6YAl9Q2QmLu9jkwTktyA/edit?usp=sharing" xr:uid="{00000000-0004-0000-0400-000062000000}"/>
    <hyperlink ref="E53" r:id="rId100" location="gid=0" display="https://docs.google.com/spreadsheets/d/1zkVuN180kFTytWpzM39qPcl6YAl9Q2QmLu9jkwTktyA/edit - gid=0" xr:uid="{00000000-0004-0000-0400-000063000000}"/>
    <hyperlink ref="D54" r:id="rId101" display="https://docs.google.com/spreadsheets/d/19vyXBiiywcpbi_WIEqk-sTP5GqW3eBtIOf0PRlFuIaM/edit?usp=sharing" xr:uid="{00000000-0004-0000-0400-000064000000}"/>
    <hyperlink ref="E54" r:id="rId102" location="gid=0" display="https://docs.google.com/spreadsheets/d/19vyXBiiywcpbi_WIEqk-sTP5GqW3eBtIOf0PRlFuIaM/edit - gid=0" xr:uid="{00000000-0004-0000-0400-000065000000}"/>
    <hyperlink ref="D55" r:id="rId103" display="https://docs.google.com/spreadsheets/d/1CMFMHABfiex85dCoVLsKIT3_fLF_Y5oH1m-hjRkn91Q/edit?usp=sharing" xr:uid="{00000000-0004-0000-0400-000066000000}"/>
    <hyperlink ref="E55" r:id="rId104" location="gid=0" display="https://docs.google.com/spreadsheets/d/1CMFMHABfiex85dCoVLsKIT3_fLF_Y5oH1m-hjRkn91Q/edit - gid=0" xr:uid="{00000000-0004-0000-0400-000067000000}"/>
    <hyperlink ref="D56" r:id="rId105" display="https://docs.google.com/spreadsheets/d/1Ljt-lgcOpgd1rE3OKtvbVNEF1-B63h7JpKmJS_G0DtU/edit?usp=sharing" xr:uid="{00000000-0004-0000-0400-000068000000}"/>
    <hyperlink ref="E56" r:id="rId106" location="gid=0" display="https://docs.google.com/spreadsheets/d/1Ljt-lgcOpgd1rE3OKtvbVNEF1-B63h7JpKmJS_G0DtU/edit - gid=0" xr:uid="{00000000-0004-0000-0400-000069000000}"/>
    <hyperlink ref="D57" r:id="rId107" display="https://docs.google.com/spreadsheets/d/1tKqM1aTzQ7I8f6ncwehNxorI4OL67nR-0cPcq9IEHZE/edit?usp=sharing" xr:uid="{00000000-0004-0000-0400-00006A000000}"/>
    <hyperlink ref="E57" r:id="rId108" location="gid=0" display="https://docs.google.com/spreadsheets/d/1tKqM1aTzQ7I8f6ncwehNxorI4OL67nR-0cPcq9IEHZE/edit - gid=0" xr:uid="{00000000-0004-0000-0400-00006B000000}"/>
    <hyperlink ref="D58" r:id="rId109" display="https://docs.google.com/spreadsheets/d/1CaV5OFRWvwBrRpGfp0vSeAMLH93QQMokzzePS-Py_G8/edit?usp=sharing" xr:uid="{00000000-0004-0000-0400-00006C000000}"/>
    <hyperlink ref="E58" r:id="rId110" location="gid=0" display="https://docs.google.com/spreadsheets/d/1CaV5OFRWvwBrRpGfp0vSeAMLH93QQMokzzePS-Py_G8/edit - gid=0" xr:uid="{00000000-0004-0000-0400-00006D000000}"/>
    <hyperlink ref="D59" r:id="rId111" display="https://docs.google.com/spreadsheets/d/1AwW9NT6YP-AmXchbApbdn70E4F8OFCgIjQ6n7koJCD0/edit?usp=sharing" xr:uid="{00000000-0004-0000-0400-00006E000000}"/>
    <hyperlink ref="E59" r:id="rId112" location="gid=0" display="https://docs.google.com/spreadsheets/d/1AwW9NT6YP-AmXchbApbdn70E4F8OFCgIjQ6n7koJCD0/edit - gid=0" xr:uid="{00000000-0004-0000-0400-00006F000000}"/>
    <hyperlink ref="D60" r:id="rId113" display="https://docs.google.com/spreadsheets/d/1IkhgxPrRU82MJcUAj7-zT9MKALGy6DpfDtjnOT7djC8/edit?usp=sharing" xr:uid="{00000000-0004-0000-0400-000070000000}"/>
    <hyperlink ref="E60" r:id="rId114" location="gid=0" display="https://docs.google.com/spreadsheets/d/1IkhgxPrRU82MJcUAj7-zT9MKALGy6DpfDtjnOT7djC8/edit - gid=0" xr:uid="{00000000-0004-0000-0400-000071000000}"/>
    <hyperlink ref="D61" r:id="rId115" display="https://docs.google.com/spreadsheets/d/1kh844CdPHfDcq7zmoZ_b7sjKyOsERJEfTDSosd9fBRU/edit?usp=sharing" xr:uid="{00000000-0004-0000-0400-000072000000}"/>
    <hyperlink ref="E61" r:id="rId116" location="gid=0" display="https://docs.google.com/spreadsheets/d/1kh844CdPHfDcq7zmoZ_b7sjKyOsERJEfTDSosd9fBRU/edit - gid=0" xr:uid="{00000000-0004-0000-0400-000073000000}"/>
    <hyperlink ref="D62" r:id="rId117" display="https://docs.google.com/spreadsheets/d/1u3ydYXn7jjoGczqldwSU-Q7XHSS8keHbjbRvPqD5yvg/edit?usp=sharing" xr:uid="{00000000-0004-0000-0400-000074000000}"/>
    <hyperlink ref="E62" r:id="rId118" location="gid=0" display="https://docs.google.com/spreadsheets/d/1u3ydYXn7jjoGczqldwSU-Q7XHSS8keHbjbRvPqD5yvg/edit - gid=0" xr:uid="{00000000-0004-0000-0400-000075000000}"/>
    <hyperlink ref="D63" r:id="rId119" display="https://docs.google.com/spreadsheets/d/1CrHFHixT4a5ltdBQMyTC8-BNTWD32S809rVetEuK5Q0/edit?usp=sharing" xr:uid="{00000000-0004-0000-0400-000076000000}"/>
    <hyperlink ref="E63" r:id="rId120" location="gid=0" display="https://docs.google.com/spreadsheets/d/1CrHFHixT4a5ltdBQMyTC8-BNTWD32S809rVetEuK5Q0/edit - gid=0" xr:uid="{00000000-0004-0000-0400-000077000000}"/>
    <hyperlink ref="D64" r:id="rId121" display="https://docs.google.com/spreadsheets/d/10CETA8Tx5g2bYkmtdBoA79NYoAe7ZizCUArcBQ63XsI/edit?usp=sharing" xr:uid="{00000000-0004-0000-0400-000078000000}"/>
    <hyperlink ref="E64" r:id="rId122" location="gid=0" display="https://docs.google.com/spreadsheets/d/10CETA8Tx5g2bYkmtdBoA79NYoAe7ZizCUArcBQ63XsI/edit - gid=0" xr:uid="{00000000-0004-0000-0400-000079000000}"/>
    <hyperlink ref="D65" r:id="rId123" display="https://docs.google.com/spreadsheets/d/1NhTToGQ9cAKjYeEJfPeDGcsNE56h6SJh3yY5KqJsgxQ/edit?usp=sharing" xr:uid="{00000000-0004-0000-0400-00007A000000}"/>
    <hyperlink ref="E65" r:id="rId124" location="gid=0" display="https://docs.google.com/spreadsheets/d/1NhTToGQ9cAKjYeEJfPeDGcsNE56h6SJh3yY5KqJsgxQ/edit - gid=0" xr:uid="{00000000-0004-0000-0400-00007B000000}"/>
    <hyperlink ref="D66" r:id="rId125" display="https://docs.google.com/spreadsheets/d/1Vmu3dLndfXiswE23zjgbhUgs3aEH1--FP8pVMd86Xt0/edit?usp=sharing" xr:uid="{00000000-0004-0000-0400-00007C000000}"/>
    <hyperlink ref="E66" r:id="rId126" location="gid=0" display="https://docs.google.com/spreadsheets/d/1Vmu3dLndfXiswE23zjgbhUgs3aEH1--FP8pVMd86Xt0/edit - gid=0" xr:uid="{00000000-0004-0000-0400-00007D000000}"/>
    <hyperlink ref="D67" r:id="rId127" display="https://docs.google.com/spreadsheets/d/1yQu_8qKdWU1iAVHxM6pd5K6Hl6M5VlhvsRoz6YD3MoM/edit?usp=sharing" xr:uid="{00000000-0004-0000-0400-00007E000000}"/>
    <hyperlink ref="E67" r:id="rId128" location="gid=0" display="https://docs.google.com/spreadsheets/d/1yQu_8qKdWU1iAVHxM6pd5K6Hl6M5VlhvsRoz6YD3MoM/edit - gid=0" xr:uid="{00000000-0004-0000-0400-00007F000000}"/>
    <hyperlink ref="D68" r:id="rId129" display="https://docs.google.com/spreadsheets/d/13rErnlCfxCiEtKMsQYLHvTwpmTRCXnNTzRIbjNzdOEE/edit?usp=sharing" xr:uid="{00000000-0004-0000-0400-000080000000}"/>
    <hyperlink ref="E68" r:id="rId130" location="gid=0" display="https://docs.google.com/spreadsheets/d/13rErnlCfxCiEtKMsQYLHvTwpmTRCXnNTzRIbjNzdOEE/edit - gid=0" xr:uid="{00000000-0004-0000-0400-000081000000}"/>
    <hyperlink ref="D69" r:id="rId131" display="https://docs.google.com/spreadsheets/d/15OGdoWojUHNFXiDfeU2kwF8VcDtq9WwspbU5tyRVpak/edit?usp=sharing" xr:uid="{00000000-0004-0000-0400-000082000000}"/>
    <hyperlink ref="E69" r:id="rId132" location="gid=0" display="https://docs.google.com/spreadsheets/d/15OGdoWojUHNFXiDfeU2kwF8VcDtq9WwspbU5tyRVpak/edit - gid=0" xr:uid="{00000000-0004-0000-0400-000083000000}"/>
    <hyperlink ref="D70" r:id="rId133" display="https://docs.google.com/spreadsheets/d/1NAIDQDsM6unWiU0ohgUaoju3HNaPnjI6fV2f5jzrVy8/edit?usp=sharing" xr:uid="{00000000-0004-0000-0400-000084000000}"/>
    <hyperlink ref="E70" r:id="rId134" location="gid=0" display="https://docs.google.com/spreadsheets/d/1NAIDQDsM6unWiU0ohgUaoju3HNaPnjI6fV2f5jzrVy8/edit - gid=0" xr:uid="{00000000-0004-0000-0400-000085000000}"/>
    <hyperlink ref="D71" r:id="rId135" display="https://docs.google.com/spreadsheets/d/1OWG1BeOI8lxmu5iERIoMZTenARVLf4fLsCsp-eie52s/edit?usp=sharing" xr:uid="{00000000-0004-0000-0400-000086000000}"/>
    <hyperlink ref="E71" r:id="rId136" location="gid=0" display="https://docs.google.com/spreadsheets/d/1OWG1BeOI8lxmu5iERIoMZTenARVLf4fLsCsp-eie52s/edit - gid=0" xr:uid="{00000000-0004-0000-0400-000087000000}"/>
    <hyperlink ref="D72" r:id="rId137" display="https://docs.google.com/spreadsheets/d/1sl21ob5CwA2C6Z6MtX2jkH3TdulxFTTFLsQXA5H5YxM/edit?usp=sharing" xr:uid="{00000000-0004-0000-0400-000088000000}"/>
    <hyperlink ref="E72" r:id="rId138" location="gid=0" display="https://docs.google.com/spreadsheets/d/1sl21ob5CwA2C6Z6MtX2jkH3TdulxFTTFLsQXA5H5YxM/edit - gid=0" xr:uid="{00000000-0004-0000-0400-000089000000}"/>
    <hyperlink ref="D73" r:id="rId139" display="https://docs.google.com/spreadsheets/d/1fWJXBlSF9tS6mBFQIHZtQjPBGhMPQDbMuP5K4wPmhjs/edit?usp=sharing" xr:uid="{00000000-0004-0000-0400-00008A000000}"/>
    <hyperlink ref="E73" r:id="rId140" location="gid=0" display="https://docs.google.com/spreadsheets/d/1fWJXBlSF9tS6mBFQIHZtQjPBGhMPQDbMuP5K4wPmhjs/edit - gid=0" xr:uid="{00000000-0004-0000-0400-00008B000000}"/>
    <hyperlink ref="D74" r:id="rId141" display="https://docs.google.com/spreadsheets/d/1ldFXH30qfVlDiWGF7pYEMZZV2e-Q9rsJo6VEhFBDdrI/edit?usp=sharing" xr:uid="{00000000-0004-0000-0400-00008C000000}"/>
    <hyperlink ref="E74" r:id="rId142" location="gid=0" display="https://docs.google.com/spreadsheets/d/1ldFXH30qfVlDiWGF7pYEMZZV2e-Q9rsJo6VEhFBDdrI/edit - gid=0" xr:uid="{00000000-0004-0000-0400-00008D000000}"/>
    <hyperlink ref="D75" r:id="rId143" display="https://docs.google.com/spreadsheets/d/1sQ40EaQXDWo9yWHueA9ZH28131agLuj7MnD-Sq7wbJI/edit?usp=sharing" xr:uid="{00000000-0004-0000-0400-00008E000000}"/>
    <hyperlink ref="E75" r:id="rId144" location="gid=0" display="https://docs.google.com/spreadsheets/d/1sQ40EaQXDWo9yWHueA9ZH28131agLuj7MnD-Sq7wbJI/edit - gid=0" xr:uid="{00000000-0004-0000-0400-00008F000000}"/>
    <hyperlink ref="D76" r:id="rId145" display="https://docs.google.com/spreadsheets/d/1xQ7X23W5bprtCNGPNsX8mcA_ZLrBnEPDjNTe0J8h6l8/edit?usp=sharing" xr:uid="{00000000-0004-0000-0400-000090000000}"/>
    <hyperlink ref="E76" r:id="rId146" location="gid=0" display="https://docs.google.com/spreadsheets/d/1xQ7X23W5bprtCNGPNsX8mcA_ZLrBnEPDjNTe0J8h6l8/edit - gid=0" xr:uid="{00000000-0004-0000-0400-000091000000}"/>
    <hyperlink ref="D77" r:id="rId147" display="https://docs.google.com/spreadsheets/d/1FQS5z-zo9dBOl2aEsvxYAe7QZrugXeyAb5Dbbhu2zHc/edit?usp=sharing" xr:uid="{00000000-0004-0000-0400-000092000000}"/>
    <hyperlink ref="E77" r:id="rId148" location="gid=0" display="https://docs.google.com/spreadsheets/d/1FQS5z-zo9dBOl2aEsvxYAe7QZrugXeyAb5Dbbhu2zHc/edit - gid=0" xr:uid="{00000000-0004-0000-0400-000093000000}"/>
    <hyperlink ref="D78" r:id="rId149" display="https://docs.google.com/spreadsheets/d/13hrtWhGH1L0V8pdKWX6OKx0XoRGg1xp7PRoQReBLuQE/edit?usp=sharing" xr:uid="{00000000-0004-0000-0400-000094000000}"/>
    <hyperlink ref="E78" r:id="rId150" location="gid=0" display="https://docs.google.com/spreadsheets/d/13hrtWhGH1L0V8pdKWX6OKx0XoRGg1xp7PRoQReBLuQE/edit - gid=0" xr:uid="{00000000-0004-0000-0400-000095000000}"/>
    <hyperlink ref="D79" r:id="rId151" display="https://docs.google.com/spreadsheets/d/16DJIlBw0Nb8RHzD_rV1mW0P61Ka_VUA33vdK-unwrRc/edit?usp=sharing" xr:uid="{00000000-0004-0000-0400-000096000000}"/>
    <hyperlink ref="E79" r:id="rId152" location="gid=0" display="https://docs.google.com/spreadsheets/d/16DJIlBw0Nb8RHzD_rV1mW0P61Ka_VUA33vdK-unwrRc/edit - gid=0" xr:uid="{00000000-0004-0000-0400-000097000000}"/>
    <hyperlink ref="D80" r:id="rId153" display="https://docs.google.com/spreadsheets/d/1Bla9-F0_9NEvH6RIKSx0MN5G8lakCSlubgPSo75sIjQ/edit?usp=sharing" xr:uid="{00000000-0004-0000-0400-000098000000}"/>
    <hyperlink ref="E80" r:id="rId154" location="gid=0" display="https://docs.google.com/spreadsheets/d/1Bla9-F0_9NEvH6RIKSx0MN5G8lakCSlubgPSo75sIjQ/edit - gid=0" xr:uid="{00000000-0004-0000-0400-000099000000}"/>
    <hyperlink ref="D81" r:id="rId155" display="https://docs.google.com/spreadsheets/d/1RMacLAUtlfrJ0QjHYYDO9GgdOjD5dz4ZQ9dW0ji9xQY/edit?usp=sharing" xr:uid="{00000000-0004-0000-0400-00009A000000}"/>
    <hyperlink ref="E81" r:id="rId156" location="gid=0" display="https://docs.google.com/spreadsheets/d/1RMacLAUtlfrJ0QjHYYDO9GgdOjD5dz4ZQ9dW0ji9xQY/edit - gid=0" xr:uid="{00000000-0004-0000-0400-00009B000000}"/>
    <hyperlink ref="D82" r:id="rId157" display="https://docs.google.com/spreadsheets/d/1o8FZaCsvodB69vWRZJS8nYL-5tVtDdmo4upTGixxcao/edit?usp=sharing" xr:uid="{00000000-0004-0000-0400-00009C000000}"/>
    <hyperlink ref="E82" r:id="rId158" location="gid=0" display="https://docs.google.com/spreadsheets/d/1o8FZaCsvodB69vWRZJS8nYL-5tVtDdmo4upTGixxcao/edit - gid=0" xr:uid="{00000000-0004-0000-0400-00009D000000}"/>
    <hyperlink ref="D83" r:id="rId159" display="https://docs.google.com/spreadsheets/d/1ELYs3wkwB6uDtrPxadWcD_X8PSli0ejfpeCOxYJ5iTU/edit?usp=sharing" xr:uid="{00000000-0004-0000-0400-00009E000000}"/>
    <hyperlink ref="E83" r:id="rId160" location="gid=0" display="https://docs.google.com/spreadsheets/d/1ELYs3wkwB6uDtrPxadWcD_X8PSli0ejfpeCOxYJ5iTU/edit - gid=0" xr:uid="{00000000-0004-0000-0400-00009F000000}"/>
    <hyperlink ref="D84" r:id="rId161" display="https://docs.google.com/spreadsheets/d/1J__KrQBj7f9jahY4-LsPYNH1CTvwEdeUymvj4XRzAKI/edit?usp=sharing" xr:uid="{00000000-0004-0000-0400-0000A0000000}"/>
    <hyperlink ref="E84" r:id="rId162" location="gid=0" display="https://docs.google.com/spreadsheets/d/1J__KrQBj7f9jahY4-LsPYNH1CTvwEdeUymvj4XRzAKI/edit - gid=0" xr:uid="{00000000-0004-0000-0400-0000A1000000}"/>
    <hyperlink ref="D85" r:id="rId163" display="https://docs.google.com/spreadsheets/d/1NaxcCtYDK5ytIaQ0soBtvVmV6MJGWF57k-8ZX-U3R9k/edit?usp=sharing" xr:uid="{00000000-0004-0000-0400-0000A2000000}"/>
    <hyperlink ref="E85" r:id="rId164" location="gid=0" display="https://docs.google.com/spreadsheets/d/1NaxcCtYDK5ytIaQ0soBtvVmV6MJGWF57k-8ZX-U3R9k/edit - gid=0" xr:uid="{00000000-0004-0000-0400-0000A3000000}"/>
    <hyperlink ref="D86" r:id="rId165" display="https://docs.google.com/spreadsheets/d/1j7MrwdSrEECtRHzxeftUW1sX2DcvEoz1zQYzxjxQJ60/edit?usp=sharing" xr:uid="{00000000-0004-0000-0400-0000A4000000}"/>
    <hyperlink ref="E86" r:id="rId166" location="gid=0" display="https://docs.google.com/spreadsheets/d/1j7MrwdSrEECtRHzxeftUW1sX2DcvEoz1zQYzxjxQJ60/edit - gid=0" xr:uid="{00000000-0004-0000-0400-0000A5000000}"/>
    <hyperlink ref="D87" r:id="rId167" display="https://docs.google.com/spreadsheets/d/1gEsEloOajdnAFVwhC1vaDfUSaQloLZZ5NQSG72no0a8/edit?usp=sharing" xr:uid="{00000000-0004-0000-0400-0000A6000000}"/>
    <hyperlink ref="E87" r:id="rId168" location="gid=0" display="https://docs.google.com/spreadsheets/d/1gEsEloOajdnAFVwhC1vaDfUSaQloLZZ5NQSG72no0a8/edit - gid=0" xr:uid="{00000000-0004-0000-0400-0000A7000000}"/>
    <hyperlink ref="D88" r:id="rId169" display="https://docs.google.com/spreadsheets/d/1GWRmPdZOkI4gJs7AiX3I0NJG2E5MMTEJl-QwElTjSDA/edit?usp=sharing" xr:uid="{00000000-0004-0000-0400-0000A8000000}"/>
    <hyperlink ref="E88" r:id="rId170" location="gid=0" display="https://docs.google.com/spreadsheets/d/1GWRmPdZOkI4gJs7AiX3I0NJG2E5MMTEJl-QwElTjSDA/edit - gid=0" xr:uid="{00000000-0004-0000-0400-0000A9000000}"/>
    <hyperlink ref="D89" r:id="rId171" display="https://docs.google.com/spreadsheets/d/19a6MLDT0T9oizOnHoKcL7zlSLysVXV1SXIb-xwMsOyA/edit?usp=sharing" xr:uid="{00000000-0004-0000-0400-0000AA000000}"/>
    <hyperlink ref="E89" r:id="rId172" location="gid=0" display="https://docs.google.com/spreadsheets/d/19a6MLDT0T9oizOnHoKcL7zlSLysVXV1SXIb-xwMsOyA/edit - gid=0" xr:uid="{00000000-0004-0000-0400-0000AB000000}"/>
    <hyperlink ref="D90" r:id="rId173" display="https://docs.google.com/spreadsheets/d/1FCH0JLE4hJN_l0EMQoAl9dOslphzN8kKiPd0hrl6QhQ/edit?usp=sharing" xr:uid="{00000000-0004-0000-0400-0000AC000000}"/>
    <hyperlink ref="E90" r:id="rId174" location="gid=0" display="https://docs.google.com/spreadsheets/d/1FCH0JLE4hJN_l0EMQoAl9dOslphzN8kKiPd0hrl6QhQ/edit - gid=0" xr:uid="{00000000-0004-0000-0400-0000AD000000}"/>
    <hyperlink ref="D91" r:id="rId175" display="https://docs.google.com/spreadsheets/d/1rYE-oC22CjOtY3jfJIWxa7YKek6EXugqoq3cWQCzCyg/edit?usp=sharing" xr:uid="{00000000-0004-0000-0400-0000AE000000}"/>
    <hyperlink ref="E91" r:id="rId176" location="gid=0" display="https://docs.google.com/spreadsheets/d/1rYE-oC22CjOtY3jfJIWxa7YKek6EXugqoq3cWQCzCyg/edit - gid=0" xr:uid="{00000000-0004-0000-0400-0000AF000000}"/>
    <hyperlink ref="D92" r:id="rId177" display="https://docs.google.com/spreadsheets/d/1u7ZIaYWGVHH2cPOgN_F_C7OBcFxMFn74Mo5fl3kM_90/edit?usp=sharing" xr:uid="{00000000-0004-0000-0400-0000B0000000}"/>
    <hyperlink ref="E92" r:id="rId178" location="gid=0" display="https://docs.google.com/spreadsheets/d/1u7ZIaYWGVHH2cPOgN_F_C7OBcFxMFn74Mo5fl3kM_90/edit - gid=0" xr:uid="{00000000-0004-0000-0400-0000B1000000}"/>
    <hyperlink ref="D93" r:id="rId179" display="https://docs.google.com/spreadsheets/d/1JCBJ85vRz7dN4Gd7Fk9fUV2BLUA4_5mtokNwPYUDdvM/edit?usp=sharing" xr:uid="{00000000-0004-0000-0400-0000B2000000}"/>
    <hyperlink ref="E93" r:id="rId180" location="gid=0" display="https://docs.google.com/spreadsheets/d/1JCBJ85vRz7dN4Gd7Fk9fUV2BLUA4_5mtokNwPYUDdvM/edit - gid=0" xr:uid="{00000000-0004-0000-0400-0000B3000000}"/>
    <hyperlink ref="D94" r:id="rId181" display="https://docs.google.com/spreadsheets/d/1FD8pRTy-wVfTl4a0c52WQU9JKQyBqurQpFqpDWKegFM/edit?usp=sharing" xr:uid="{00000000-0004-0000-0400-0000B4000000}"/>
    <hyperlink ref="E94" r:id="rId182" location="gid=0" display="https://docs.google.com/spreadsheets/d/1FD8pRTy-wVfTl4a0c52WQU9JKQyBqurQpFqpDWKegFM/edit - gid=0" xr:uid="{00000000-0004-0000-0400-0000B5000000}"/>
    <hyperlink ref="D95" r:id="rId183" display="https://docs.google.com/spreadsheets/d/1vCbdjifXhMV_SAE5SqVRLiOBK1H_iuEQdXcFTsRahwo/edit?usp=sharing" xr:uid="{00000000-0004-0000-0400-0000B6000000}"/>
    <hyperlink ref="E95" r:id="rId184" location="gid=0" display="https://docs.google.com/spreadsheets/d/1vCbdjifXhMV_SAE5SqVRLiOBK1H_iuEQdXcFTsRahwo/edit - gid=0" xr:uid="{00000000-0004-0000-0400-0000B7000000}"/>
    <hyperlink ref="D96" r:id="rId185" display="https://docs.google.com/spreadsheets/d/1dTWuN_rPXGLchtRguFxrOm5xqzZmFNiucEOr3YFDaRs/edit?usp=sharing" xr:uid="{00000000-0004-0000-0400-0000B8000000}"/>
    <hyperlink ref="E96" r:id="rId186" location="gid=0" display="https://docs.google.com/spreadsheets/d/1dTWuN_rPXGLchtRguFxrOm5xqzZmFNiucEOr3YFDaRs/edit - gid=0" xr:uid="{00000000-0004-0000-0400-0000B9000000}"/>
    <hyperlink ref="D97" r:id="rId187" display="https://docs.google.com/spreadsheets/d/1SSPdi8fxUbr0OEnvMmcK7DpzlliSAFr09xptCauk0iY/edit?usp=sharing" xr:uid="{00000000-0004-0000-0400-0000BA000000}"/>
    <hyperlink ref="E97" r:id="rId188" location="gid=0" display="https://docs.google.com/spreadsheets/d/1SSPdi8fxUbr0OEnvMmcK7DpzlliSAFr09xptCauk0iY/edit - gid=0" xr:uid="{00000000-0004-0000-0400-0000BB000000}"/>
    <hyperlink ref="D98" r:id="rId189" display="https://docs.google.com/spreadsheets/d/1SFRqnqu-IIJQSxnEIhELKQyf3Iq3elYSOWiTz3lxelQ/edit?usp=sharing" xr:uid="{00000000-0004-0000-0400-0000BC000000}"/>
    <hyperlink ref="E98" r:id="rId190" location="gid=0" display="https://docs.google.com/spreadsheets/d/1SFRqnqu-IIJQSxnEIhELKQyf3Iq3elYSOWiTz3lxelQ/edit - gid=0" xr:uid="{00000000-0004-0000-0400-0000BD000000}"/>
    <hyperlink ref="D99" r:id="rId191" display="https://docs.google.com/spreadsheets/d/1RaBb4CQNYNCR44ydY7G-u6f9xYWCHOZ3o4MQK2PzfMo/edit?usp=sharing" xr:uid="{00000000-0004-0000-0400-0000BE000000}"/>
    <hyperlink ref="E99" r:id="rId192" location="gid=0" display="https://docs.google.com/spreadsheets/d/1RaBb4CQNYNCR44ydY7G-u6f9xYWCHOZ3o4MQK2PzfMo/edit - gid=0" xr:uid="{00000000-0004-0000-0400-0000BF000000}"/>
    <hyperlink ref="D100" r:id="rId193" display="https://docs.google.com/spreadsheets/d/1dfq-4mbH5Fxmq3qOJuQemQIfGGu0vhueCzCPUHM4N2Y/edit?usp=sharing" xr:uid="{00000000-0004-0000-0400-0000C0000000}"/>
    <hyperlink ref="E100" r:id="rId194" location="gid=0" display="https://docs.google.com/spreadsheets/d/1dfq-4mbH5Fxmq3qOJuQemQIfGGu0vhueCzCPUHM4N2Y/edit - gid=0" xr:uid="{00000000-0004-0000-0400-0000C1000000}"/>
    <hyperlink ref="D101" r:id="rId195" display="https://docs.google.com/spreadsheets/d/1fVfSMimdy8MezBZ50Zhmr4f0zSBYX83QLeZsMK4qqq4/edit?usp=sharing" xr:uid="{00000000-0004-0000-0400-0000C2000000}"/>
    <hyperlink ref="E101" r:id="rId196" location="gid=0" display="https://docs.google.com/spreadsheets/d/1fVfSMimdy8MezBZ50Zhmr4f0zSBYX83QLeZsMK4qqq4/edit - gid=0" xr:uid="{00000000-0004-0000-0400-0000C3000000}"/>
    <hyperlink ref="D102" r:id="rId197" display="https://docs.google.com/spreadsheets/d/1iamB5AEKX-uFeL_eQkPQFvZQo32l5qdvQo6UhMAbPLs/edit?usp=sharing" xr:uid="{00000000-0004-0000-0400-0000C4000000}"/>
    <hyperlink ref="E102" r:id="rId198" location="gid=0" display="https://docs.google.com/spreadsheets/d/1iamB5AEKX-uFeL_eQkPQFvZQo32l5qdvQo6UhMAbPLs/edit - gid=0" xr:uid="{00000000-0004-0000-0400-0000C5000000}"/>
    <hyperlink ref="D103" r:id="rId199" display="https://docs.google.com/spreadsheets/d/1Vj_ryLS_dMm6ONo4zmHjDbdOz1S4-zzbqk3W07-ISiw/edit?usp=sharing" xr:uid="{00000000-0004-0000-0400-0000C6000000}"/>
    <hyperlink ref="E103" r:id="rId200" location="gid=0" display="https://docs.google.com/spreadsheets/d/1Vj_ryLS_dMm6ONo4zmHjDbdOz1S4-zzbqk3W07-ISiw/edit - gid=0" xr:uid="{00000000-0004-0000-0400-0000C7000000}"/>
    <hyperlink ref="D104" r:id="rId201" display="https://docs.google.com/spreadsheets/d/12X9JD-AWbBkuWWezs5j-Wr8Pph2PVYUpR6vj5PVmvBw/edit?usp=sharing" xr:uid="{00000000-0004-0000-0400-0000C8000000}"/>
    <hyperlink ref="E104" r:id="rId202" location="gid=0" display="https://docs.google.com/spreadsheets/d/12X9JD-AWbBkuWWezs5j-Wr8Pph2PVYUpR6vj5PVmvBw/edit - gid=0" xr:uid="{00000000-0004-0000-0400-0000C9000000}"/>
    <hyperlink ref="D105" r:id="rId203" display="https://docs.google.com/spreadsheets/d/1gZ5dijV7J-SO8JaIDXQwuhoyxd7N0m6xVceIV7hOjaM/edit?usp=sharing" xr:uid="{00000000-0004-0000-0400-0000CA000000}"/>
    <hyperlink ref="E105" r:id="rId204" location="gid=0" display="https://docs.google.com/spreadsheets/d/1gZ5dijV7J-SO8JaIDXQwuhoyxd7N0m6xVceIV7hOjaM/edit - gid=0" xr:uid="{00000000-0004-0000-0400-0000CB000000}"/>
    <hyperlink ref="D106" r:id="rId205" display="https://docs.google.com/spreadsheets/d/1gjoMZKes_NIT0Xon1vRxWAZO0LhcD9CcQXbzW16c-Yc/edit?usp=sharing" xr:uid="{00000000-0004-0000-0400-0000CC000000}"/>
    <hyperlink ref="E106" r:id="rId206" location="gid=0" display="https://docs.google.com/spreadsheets/d/1gjoMZKes_NIT0Xon1vRxWAZO0LhcD9CcQXbzW16c-Yc/edit - gid=0" xr:uid="{00000000-0004-0000-0400-0000CD000000}"/>
    <hyperlink ref="D107" r:id="rId207" display="https://docs.google.com/spreadsheets/d/1eP_V33bTaEt96MDDOYovz_xGRcB2FhnyT9VHLyrzB00/edit?usp=sharing" xr:uid="{00000000-0004-0000-0400-0000CE000000}"/>
    <hyperlink ref="E107" r:id="rId208" location="gid=0" display="https://docs.google.com/spreadsheets/d/1eP_V33bTaEt96MDDOYovz_xGRcB2FhnyT9VHLyrzB00/edit - gid=0" xr:uid="{00000000-0004-0000-0400-0000CF000000}"/>
    <hyperlink ref="D108" r:id="rId209" display="https://docs.google.com/spreadsheets/d/12mXedY5z58KXdD4H8WotwgFYFQqYtwnjc-mHiLSzOTE/edit?usp=sharing" xr:uid="{00000000-0004-0000-0400-0000D0000000}"/>
    <hyperlink ref="E108" r:id="rId210" location="gid=0" display="https://docs.google.com/spreadsheets/d/12mXedY5z58KXdD4H8WotwgFYFQqYtwnjc-mHiLSzOTE/edit - gid=0" xr:uid="{00000000-0004-0000-0400-0000D1000000}"/>
    <hyperlink ref="D109" r:id="rId211" display="https://drive.google.com/open?id=1GVr-0M9hcU_79EyI5DswcnDGE_b9NdSwX6WI63ieBLk&amp;usp=drive_copy" xr:uid="{00000000-0004-0000-0400-0000D2000000}"/>
    <hyperlink ref="D110" r:id="rId212" display="https://drive.google.com/open?id=14PHFYBfwNIyFEI70LXz85hCHJNCd_-E4JiEYLXljb4U&amp;usp=drive_copy" xr:uid="{00000000-0004-0000-0400-0000D3000000}"/>
    <hyperlink ref="E110" r:id="rId213" display="https://drive.google.com/open?id=14PHFYBfwNIyFEI70LXz85hCHJNCd_-E4JiEYLXljb4U" xr:uid="{00000000-0004-0000-0400-0000D4000000}"/>
    <hyperlink ref="H110" r:id="rId214" display="https://docs.google.com/spreadsheets/d/14PHFYBfwNIyFEI70LXz85hCHJNCd_-E4JiEYLXljb4U" xr:uid="{00000000-0004-0000-0400-0000D5000000}"/>
    <hyperlink ref="I110" r:id="rId215" display="https://docs.google.com/open?id=14PHFYBfwNIyFEI70LXz85hCHJNCd_-E4JiEYLXljb4U" xr:uid="{00000000-0004-0000-0400-0000D6000000}"/>
    <hyperlink ref="D111" r:id="rId216" display="https://drive.google.com/open?id=14pItguOYIocttyz_yNgnWkgesemJTUOAstLF0YQIWsE&amp;usp=drive_copy" xr:uid="{00000000-0004-0000-0400-0000D7000000}"/>
    <hyperlink ref="E111" r:id="rId217" display="https://drive.google.com/open?id=14pItguOYIocttyz_yNgnWkgesemJTUOAstLF0YQIWsE" xr:uid="{00000000-0004-0000-0400-0000D8000000}"/>
    <hyperlink ref="H111" r:id="rId218" display="https://docs.google.com/spreadsheets/d/14pItguOYIocttyz_yNgnWkgesemJTUOAstLF0YQIWsE" xr:uid="{00000000-0004-0000-0400-0000D9000000}"/>
    <hyperlink ref="I111" r:id="rId219" display="https://docs.google.com/open?id=14pItguOYIocttyz_yNgnWkgesemJTUOAstLF0YQIWsE" xr:uid="{00000000-0004-0000-0400-0000DA000000}"/>
    <hyperlink ref="D112" r:id="rId220" display="https://drive.google.com/open?id=16fLehssuVd-GMaM2DSjtd_PrXcBpzKOHjOJ7Iin75KU&amp;usp=drive_copy" xr:uid="{00000000-0004-0000-0400-0000DB000000}"/>
    <hyperlink ref="E112" r:id="rId221" display="https://drive.google.com/open?id=16fLehssuVd-GMaM2DSjtd_PrXcBpzKOHjOJ7Iin75KU" xr:uid="{00000000-0004-0000-0400-0000DC000000}"/>
    <hyperlink ref="H112" r:id="rId222" display="https://docs.google.com/spreadsheets/d/16fLehssuVd-GMaM2DSjtd_PrXcBpzKOHjOJ7Iin75KU" xr:uid="{00000000-0004-0000-0400-0000DD000000}"/>
    <hyperlink ref="I112" r:id="rId223" display="https://docs.google.com/open?id=16fLehssuVd-GMaM2DSjtd_PrXcBpzKOHjOJ7Iin75KU" xr:uid="{00000000-0004-0000-0400-0000DE000000}"/>
    <hyperlink ref="D113" r:id="rId224" display="https://drive.google.com/open?id=18Zb6D4T3btM3qXlej17u7QtC9wK0j_qI_oXj57HwkKs&amp;usp=drive_copy" xr:uid="{00000000-0004-0000-0400-0000DF000000}"/>
    <hyperlink ref="E113" r:id="rId225" display="https://drive.google.com/open?id=18Zb6D4T3btM3qXlej17u7QtC9wK0j_qI_oXj57HwkKs" xr:uid="{00000000-0004-0000-0400-0000E0000000}"/>
    <hyperlink ref="H113" r:id="rId226" display="https://docs.google.com/spreadsheets/d/18Zb6D4T3btM3qXlej17u7QtC9wK0j_qI_oXj57HwkKs" xr:uid="{00000000-0004-0000-0400-0000E1000000}"/>
    <hyperlink ref="I113" r:id="rId227" display="https://docs.google.com/open?id=18Zb6D4T3btM3qXlej17u7QtC9wK0j_qI_oXj57HwkKs" xr:uid="{00000000-0004-0000-0400-0000E2000000}"/>
    <hyperlink ref="D114" r:id="rId228" display="https://drive.google.com/open?id=1AI4iToPwSivpbJH_c1PI5SJZNZWkGtv0aSxNtZ098W4&amp;usp=drive_copy" xr:uid="{00000000-0004-0000-0400-0000E3000000}"/>
    <hyperlink ref="E114" r:id="rId229" display="https://drive.google.com/open?id=1AI4iToPwSivpbJH_c1PI5SJZNZWkGtv0aSxNtZ098W4" xr:uid="{00000000-0004-0000-0400-0000E4000000}"/>
    <hyperlink ref="H114" r:id="rId230" display="https://docs.google.com/spreadsheets/d/1AI4iToPwSivpbJH_c1PI5SJZNZWkGtv0aSxNtZ098W4" xr:uid="{00000000-0004-0000-0400-0000E5000000}"/>
    <hyperlink ref="I114" r:id="rId231" display="https://docs.google.com/open?id=1AI4iToPwSivpbJH_c1PI5SJZNZWkGtv0aSxNtZ098W4" xr:uid="{00000000-0004-0000-0400-0000E6000000}"/>
    <hyperlink ref="D115" r:id="rId232" display="https://drive.google.com/open?id=1H_gw3ELahMZC8ASucf06ahSp52mLRSeuzs9WqLHuA2U&amp;usp=drive_copy" xr:uid="{00000000-0004-0000-0400-0000E7000000}"/>
    <hyperlink ref="E115" r:id="rId233" display="https://drive.google.com/open?id=1H_gw3ELahMZC8ASucf06ahSp52mLRSeuzs9WqLHuA2U" xr:uid="{00000000-0004-0000-0400-0000E8000000}"/>
    <hyperlink ref="H115" r:id="rId234" display="https://docs.google.com/spreadsheets/d/1H_gw3ELahMZC8ASucf06ahSp52mLRSeuzs9WqLHuA2U" xr:uid="{00000000-0004-0000-0400-0000E9000000}"/>
    <hyperlink ref="I115" r:id="rId235" display="https://docs.google.com/open?id=1H_gw3ELahMZC8ASucf06ahSp52mLRSeuzs9WqLHuA2U" xr:uid="{00000000-0004-0000-0400-0000EA000000}"/>
    <hyperlink ref="D116" r:id="rId236" display="https://drive.google.com/open?id=1HbDkQWBTrC4m6BP6mGZnpISwcXxH7rlaAYE9YshF_II&amp;usp=drive_copy" xr:uid="{00000000-0004-0000-0400-0000EB000000}"/>
    <hyperlink ref="E116" r:id="rId237" display="https://drive.google.com/open?id=1HbDkQWBTrC4m6BP6mGZnpISwcXxH7rlaAYE9YshF_II" xr:uid="{00000000-0004-0000-0400-0000EC000000}"/>
    <hyperlink ref="H116" r:id="rId238" display="https://docs.google.com/spreadsheets/d/1HbDkQWBTrC4m6BP6mGZnpISwcXxH7rlaAYE9YshF_II" xr:uid="{00000000-0004-0000-0400-0000ED000000}"/>
    <hyperlink ref="I116" r:id="rId239" display="https://docs.google.com/open?id=1HbDkQWBTrC4m6BP6mGZnpISwcXxH7rlaAYE9YshF_II" xr:uid="{00000000-0004-0000-0400-0000EE000000}"/>
    <hyperlink ref="D117" r:id="rId240" display="https://drive.google.com/open?id=1KYugIwwEiOvYOpyPHcB98jKH13KQMTPamOpYz7YkUiE&amp;usp=drive_copy" xr:uid="{00000000-0004-0000-0400-0000EF000000}"/>
    <hyperlink ref="E117" r:id="rId241" display="https://drive.google.com/open?id=1KYugIwwEiOvYOpyPHcB98jKH13KQMTPamOpYz7YkUiE" xr:uid="{00000000-0004-0000-0400-0000F0000000}"/>
    <hyperlink ref="H117" r:id="rId242" display="https://docs.google.com/spreadsheets/d/1KYugIwwEiOvYOpyPHcB98jKH13KQMTPamOpYz7YkUiE" xr:uid="{00000000-0004-0000-0400-0000F1000000}"/>
    <hyperlink ref="I117" r:id="rId243" display="https://docs.google.com/open?id=1KYugIwwEiOvYOpyPHcB98jKH13KQMTPamOpYz7YkUiE" xr:uid="{00000000-0004-0000-0400-0000F2000000}"/>
    <hyperlink ref="D118" r:id="rId244" display="https://drive.google.com/open?id=1NvyKEQQLihaYxVjpQNCskWiifuJhyRv3QMxhWIGQhFs&amp;usp=drive_copy" xr:uid="{00000000-0004-0000-0400-0000F3000000}"/>
    <hyperlink ref="E118" r:id="rId245" display="https://drive.google.com/open?id=1NvyKEQQLihaYxVjpQNCskWiifuJhyRv3QMxhWIGQhFs" xr:uid="{00000000-0004-0000-0400-0000F4000000}"/>
    <hyperlink ref="H118" r:id="rId246" display="https://docs.google.com/spreadsheets/d/1NvyKEQQLihaYxVjpQNCskWiifuJhyRv3QMxhWIGQhFs" xr:uid="{00000000-0004-0000-0400-0000F5000000}"/>
    <hyperlink ref="I118" r:id="rId247" display="https://docs.google.com/open?id=1NvyKEQQLihaYxVjpQNCskWiifuJhyRv3QMxhWIGQhFs" xr:uid="{00000000-0004-0000-0400-0000F6000000}"/>
    <hyperlink ref="D119" r:id="rId248" display="https://drive.google.com/open?id=1PQ3epZ0_cfiTD7AcemI5BM1GW7jf3rCZXMMtmZXwkpg&amp;usp=drive_copy" xr:uid="{00000000-0004-0000-0400-0000F7000000}"/>
    <hyperlink ref="E119" r:id="rId249" display="https://drive.google.com/open?id=1PQ3epZ0_cfiTD7AcemI5BM1GW7jf3rCZXMMtmZXwkpg" xr:uid="{00000000-0004-0000-0400-0000F8000000}"/>
    <hyperlink ref="H119" r:id="rId250" display="https://docs.google.com/spreadsheets/d/1PQ3epZ0_cfiTD7AcemI5BM1GW7jf3rCZXMMtmZXwkpg" xr:uid="{00000000-0004-0000-0400-0000F9000000}"/>
    <hyperlink ref="I119" r:id="rId251" display="https://docs.google.com/open?id=1PQ3epZ0_cfiTD7AcemI5BM1GW7jf3rCZXMMtmZXwkpg" xr:uid="{00000000-0004-0000-0400-0000FA000000}"/>
    <hyperlink ref="D120" r:id="rId252" display="https://drive.google.com/open?id=1QxGgfCitr16o535x1d9UnMYRo9nTIkINAIMtBlh6o8c&amp;usp=drive_copy" xr:uid="{00000000-0004-0000-0400-0000FB000000}"/>
    <hyperlink ref="E120" r:id="rId253" display="https://drive.google.com/open?id=1QxGgfCitr16o535x1d9UnMYRo9nTIkINAIMtBlh6o8c" xr:uid="{00000000-0004-0000-0400-0000FC000000}"/>
    <hyperlink ref="H120" r:id="rId254" display="https://docs.google.com/spreadsheets/d/1QxGgfCitr16o535x1d9UnMYRo9nTIkINAIMtBlh6o8c" xr:uid="{00000000-0004-0000-0400-0000FD000000}"/>
    <hyperlink ref="I120" r:id="rId255" display="https://docs.google.com/open?id=1QxGgfCitr16o535x1d9UnMYRo9nTIkINAIMtBlh6o8c" xr:uid="{00000000-0004-0000-0400-0000FE000000}"/>
    <hyperlink ref="D121" r:id="rId256" display="https://drive.google.com/open?id=1V4yH_7ezu-rVrsvOpho86IBurptJI6IfVo1WT8tJzBI&amp;usp=drive_copy" xr:uid="{00000000-0004-0000-0400-0000FF000000}"/>
    <hyperlink ref="E121" r:id="rId257" display="https://drive.google.com/open?id=1V4yH_7ezu-rVrsvOpho86IBurptJI6IfVo1WT8tJzBI" xr:uid="{00000000-0004-0000-0400-000000010000}"/>
    <hyperlink ref="H121" r:id="rId258" display="https://docs.google.com/spreadsheets/d/1V4yH_7ezu-rVrsvOpho86IBurptJI6IfVo1WT8tJzBI" xr:uid="{00000000-0004-0000-0400-000001010000}"/>
    <hyperlink ref="I121" r:id="rId259" display="https://docs.google.com/open?id=1V4yH_7ezu-rVrsvOpho86IBurptJI6IfVo1WT8tJzBI" xr:uid="{00000000-0004-0000-0400-000002010000}"/>
    <hyperlink ref="D122" r:id="rId260" display="https://drive.google.com/open?id=1c7gv06DQzX8OMG64muBkEDU6ZJjbroMSSeWFQqiAAEQ&amp;usp=drive_copy" xr:uid="{00000000-0004-0000-0400-000003010000}"/>
    <hyperlink ref="E122" r:id="rId261" display="https://drive.google.com/open?id=1c7gv06DQzX8OMG64muBkEDU6ZJjbroMSSeWFQqiAAEQ" xr:uid="{00000000-0004-0000-0400-000004010000}"/>
    <hyperlink ref="H122" r:id="rId262" display="https://docs.google.com/spreadsheets/d/1c7gv06DQzX8OMG64muBkEDU6ZJjbroMSSeWFQqiAAEQ" xr:uid="{00000000-0004-0000-0400-000005010000}"/>
    <hyperlink ref="I122" r:id="rId263" display="https://docs.google.com/open?id=1c7gv06DQzX8OMG64muBkEDU6ZJjbroMSSeWFQqiAAEQ" xr:uid="{00000000-0004-0000-0400-000006010000}"/>
    <hyperlink ref="D123" r:id="rId264" display="https://drive.google.com/open?id=1hEZozbbt04pi8zcWWtApBLkiKCwsFW7GZPrEICLjDvs&amp;usp=drive_copy" xr:uid="{00000000-0004-0000-0400-000007010000}"/>
    <hyperlink ref="E123" r:id="rId265" display="https://drive.google.com/open?id=1hEZozbbt04pi8zcWWtApBLkiKCwsFW7GZPrEICLjDvs" xr:uid="{00000000-0004-0000-0400-000008010000}"/>
    <hyperlink ref="H123" r:id="rId266" display="https://docs.google.com/spreadsheets/d/1hEZozbbt04pi8zcWWtApBLkiKCwsFW7GZPrEICLjDvs" xr:uid="{00000000-0004-0000-0400-000009010000}"/>
    <hyperlink ref="I123" r:id="rId267" display="https://docs.google.com/open?id=1hEZozbbt04pi8zcWWtApBLkiKCwsFW7GZPrEICLjDvs" xr:uid="{00000000-0004-0000-0400-00000A010000}"/>
    <hyperlink ref="D124" r:id="rId268" display="https://drive.google.com/open?id=1ZOx50n9LxDnUJ4WoZJfQAW77psTsnQhwPusYOEBG7Ng&amp;usp=drive_copy" xr:uid="{00000000-0004-0000-0400-00000B010000}"/>
    <hyperlink ref="E124" r:id="rId269" display="https://drive.google.com/open?id=1ZOx50n9LxDnUJ4WoZJfQAW77psTsnQhwPusYOEBG7Ng" xr:uid="{00000000-0004-0000-0400-00000C010000}"/>
    <hyperlink ref="H124" r:id="rId270" display="https://docs.google.com/spreadsheets/d/1ZOx50n9LxDnUJ4WoZJfQAW77psTsnQhwPusYOEBG7Ng" xr:uid="{00000000-0004-0000-0400-00000D010000}"/>
    <hyperlink ref="I124" r:id="rId271" display="https://docs.google.com/open?id=1ZOx50n9LxDnUJ4WoZJfQAW77psTsnQhwPusYOEBG7Ng" xr:uid="{00000000-0004-0000-0400-00000E010000}"/>
    <hyperlink ref="D125" r:id="rId272" display="https://drive.google.com/open?id=1lbfJnMNqpi7gKnqhOm8ZeIrD89z1Gwdkb6n5q7UYH0s&amp;usp=drive_copy" xr:uid="{00000000-0004-0000-0400-00000F010000}"/>
    <hyperlink ref="E125" r:id="rId273" display="https://drive.google.com/open?id=1lbfJnMNqpi7gKnqhOm8ZeIrD89z1Gwdkb6n5q7UYH0s" xr:uid="{00000000-0004-0000-0400-000010010000}"/>
    <hyperlink ref="H125" r:id="rId274" display="https://docs.google.com/spreadsheets/d/1lbfJnMNqpi7gKnqhOm8ZeIrD89z1Gwdkb6n5q7UYH0s" xr:uid="{00000000-0004-0000-0400-000011010000}"/>
    <hyperlink ref="I125" r:id="rId275" display="https://docs.google.com/open?id=1lbfJnMNqpi7gKnqhOm8ZeIrD89z1Gwdkb6n5q7UYH0s" xr:uid="{00000000-0004-0000-0400-000012010000}"/>
    <hyperlink ref="D126" r:id="rId276" display="https://drive.google.com/open?id=1oXgW9d39z9Ms3zj6EQ_JgQZZGZMYRDeEVH0gGj1xLs8&amp;usp=drive_copy" xr:uid="{00000000-0004-0000-0400-000013010000}"/>
    <hyperlink ref="E126" r:id="rId277" display="https://drive.google.com/open?id=1oXgW9d39z9Ms3zj6EQ_JgQZZGZMYRDeEVH0gGj1xLs8" xr:uid="{00000000-0004-0000-0400-000014010000}"/>
    <hyperlink ref="H126" r:id="rId278" display="https://docs.google.com/spreadsheets/d/1oXgW9d39z9Ms3zj6EQ_JgQZZGZMYRDeEVH0gGj1xLs8" xr:uid="{00000000-0004-0000-0400-000015010000}"/>
    <hyperlink ref="I126" r:id="rId279" display="https://docs.google.com/open?id=1oXgW9d39z9Ms3zj6EQ_JgQZZGZMYRDeEVH0gGj1xLs8" xr:uid="{00000000-0004-0000-0400-000016010000}"/>
    <hyperlink ref="D127" r:id="rId280" display="https://drive.google.com/open?id=1orFFrto1scfZ9mDQORWo96lHzeZL36XJm36lwAaox38&amp;usp=drive_copy" xr:uid="{00000000-0004-0000-0400-000017010000}"/>
    <hyperlink ref="E127" r:id="rId281" display="https://drive.google.com/open?id=1orFFrto1scfZ9mDQORWo96lHzeZL36XJm36lwAaox38" xr:uid="{00000000-0004-0000-0400-000018010000}"/>
    <hyperlink ref="H127" r:id="rId282" display="https://docs.google.com/spreadsheets/d/1orFFrto1scfZ9mDQORWo96lHzeZL36XJm36lwAaox38" xr:uid="{00000000-0004-0000-0400-000019010000}"/>
    <hyperlink ref="I127" r:id="rId283" display="https://docs.google.com/open?id=1orFFrto1scfZ9mDQORWo96lHzeZL36XJm36lwAaox38" xr:uid="{00000000-0004-0000-0400-00001A010000}"/>
    <hyperlink ref="D128" r:id="rId284" display="https://drive.google.com/open?id=1rtTNWNY9LpjZeUWyikVb8KbSfvtENrROve13kIkmVMk&amp;usp=drive_copy" xr:uid="{00000000-0004-0000-0400-00001B010000}"/>
    <hyperlink ref="E128" r:id="rId285" display="https://drive.google.com/open?id=1rtTNWNY9LpjZeUWyikVb8KbSfvtENrROve13kIkmVMk" xr:uid="{00000000-0004-0000-0400-00001C010000}"/>
    <hyperlink ref="H128" r:id="rId286" display="https://docs.google.com/spreadsheets/d/1rtTNWNY9LpjZeUWyikVb8KbSfvtENrROve13kIkmVMk" xr:uid="{00000000-0004-0000-0400-00001D010000}"/>
    <hyperlink ref="I128" r:id="rId287" display="https://docs.google.com/open?id=1rtTNWNY9LpjZeUWyikVb8KbSfvtENrROve13kIkmVMk" xr:uid="{00000000-0004-0000-0400-00001E010000}"/>
    <hyperlink ref="D129" r:id="rId288" display="https://drive.google.com/open?id=1uY6Pz6tteiw0PV8afHgeCW4qi-ZPFno6zGTGTFVrdVg&amp;usp=drive_copy" xr:uid="{00000000-0004-0000-0400-00001F010000}"/>
    <hyperlink ref="E129" r:id="rId289" display="https://drive.google.com/open?id=1uY6Pz6tteiw0PV8afHgeCW4qi-ZPFno6zGTGTFVrdVg" xr:uid="{00000000-0004-0000-0400-000020010000}"/>
    <hyperlink ref="H129" r:id="rId290" display="https://docs.google.com/spreadsheets/d/1uY6Pz6tteiw0PV8afHgeCW4qi-ZPFno6zGTGTFVrdVg" xr:uid="{00000000-0004-0000-0400-000021010000}"/>
    <hyperlink ref="I129" r:id="rId291" display="https://docs.google.com/open?id=1uY6Pz6tteiw0PV8afHgeCW4qi-ZPFno6zGTGTFVrdVg" xr:uid="{00000000-0004-0000-0400-000022010000}"/>
    <hyperlink ref="D130" r:id="rId292" display="https://drive.google.com/open?id=1wuTP6ZyVjkSrlxTL8N9Ko9Ahw4roz-bpCZiVKoGmPgw&amp;usp=drive_copy" xr:uid="{00000000-0004-0000-0400-000023010000}"/>
    <hyperlink ref="E130" r:id="rId293" display="https://drive.google.com/open?id=1wuTP6ZyVjkSrlxTL8N9Ko9Ahw4roz-bpCZiVKoGmPgw" xr:uid="{00000000-0004-0000-0400-000024010000}"/>
    <hyperlink ref="H130" r:id="rId294" display="https://docs.google.com/spreadsheets/d/1wuTP6ZyVjkSrlxTL8N9Ko9Ahw4roz-bpCZiVKoGmPgw" xr:uid="{00000000-0004-0000-0400-000025010000}"/>
    <hyperlink ref="I130" r:id="rId295" display="https://docs.google.com/open?id=1wuTP6ZyVjkSrlxTL8N9Ko9Ahw4roz-bpCZiVKoGmPgw" xr:uid="{00000000-0004-0000-0400-000026010000}"/>
    <hyperlink ref="D131" r:id="rId296" display="https://drive.google.com/open?id=1xX2OCF10bCMG1NSt35BfuokC4pvbrNMI3vl4skht4QA&amp;usp=drive_copy" xr:uid="{00000000-0004-0000-0400-000027010000}"/>
    <hyperlink ref="E131" r:id="rId297" display="https://drive.google.com/open?id=1xX2OCF10bCMG1NSt35BfuokC4pvbrNMI3vl4skht4QA" xr:uid="{00000000-0004-0000-0400-000028010000}"/>
    <hyperlink ref="H131" r:id="rId298" display="https://docs.google.com/spreadsheets/d/1xX2OCF10bCMG1NSt35BfuokC4pvbrNMI3vl4skht4QA" xr:uid="{00000000-0004-0000-0400-000029010000}"/>
    <hyperlink ref="I131" r:id="rId299" display="https://docs.google.com/open?id=1xX2OCF10bCMG1NSt35BfuokC4pvbrNMI3vl4skht4QA" xr:uid="{00000000-0004-0000-0400-00002A010000}"/>
    <hyperlink ref="D132" r:id="rId300" display="https://drive.google.com/open?id=1zuVHOafl08m2jZNZHiCWOmEPOxq6cwD9akQ1PkR1dEQ&amp;usp=drive_copy" xr:uid="{00000000-0004-0000-0400-00002B010000}"/>
    <hyperlink ref="E132" r:id="rId301" display="https://drive.google.com/open?id=1zuVHOafl08m2jZNZHiCWOmEPOxq6cwD9akQ1PkR1dEQ" xr:uid="{00000000-0004-0000-0400-00002C010000}"/>
    <hyperlink ref="H132" r:id="rId302" display="https://docs.google.com/spreadsheets/d/1zuVHOafl08m2jZNZHiCWOmEPOxq6cwD9akQ1PkR1dEQ" xr:uid="{00000000-0004-0000-0400-00002D010000}"/>
    <hyperlink ref="I132" r:id="rId303" display="https://docs.google.com/open?id=1zuVHOafl08m2jZNZHiCWOmEPOxq6cwD9akQ1PkR1dEQ" xr:uid="{00000000-0004-0000-0400-00002E010000}"/>
    <hyperlink ref="D133" r:id="rId304" display="https://drive.google.com/open?id=10SsfHfjMWVVwwkAQdyfHcZnV2TxslEEFeE11YoZT14I&amp;usp=drive_copy" xr:uid="{00000000-0004-0000-0400-00002F010000}"/>
    <hyperlink ref="E133" r:id="rId305" display="https://drive.google.com/open?id=10SsfHfjMWVVwwkAQdyfHcZnV2TxslEEFeE11YoZT14I" xr:uid="{00000000-0004-0000-0400-000030010000}"/>
    <hyperlink ref="H133" r:id="rId306" display="https://docs.google.com/spreadsheets/d/10SsfHfjMWVVwwkAQdyfHcZnV2TxslEEFeE11YoZT14I" xr:uid="{00000000-0004-0000-0400-000031010000}"/>
    <hyperlink ref="I133" r:id="rId307" display="https://docs.google.com/open?id=10SsfHfjMWVVwwkAQdyfHcZnV2TxslEEFeE11YoZT14I" xr:uid="{00000000-0004-0000-0400-000032010000}"/>
    <hyperlink ref="D134" r:id="rId308" display="https://drive.google.com/open?id=10Zzf91qP1H2PDmRipKtckjdBJNkXcHj30vf15FYyiAA&amp;usp=drive_copy" xr:uid="{00000000-0004-0000-0400-000033010000}"/>
    <hyperlink ref="E134" r:id="rId309" display="https://drive.google.com/open?id=10Zzf91qP1H2PDmRipKtckjdBJNkXcHj30vf15FYyiAA" xr:uid="{00000000-0004-0000-0400-000034010000}"/>
    <hyperlink ref="H134" r:id="rId310" display="https://docs.google.com/spreadsheets/d/10Zzf91qP1H2PDmRipKtckjdBJNkXcHj30vf15FYyiAA" xr:uid="{00000000-0004-0000-0400-000035010000}"/>
    <hyperlink ref="I134" r:id="rId311" display="https://docs.google.com/open?id=10Zzf91qP1H2PDmRipKtckjdBJNkXcHj30vf15FYyiAA" xr:uid="{00000000-0004-0000-0400-000036010000}"/>
    <hyperlink ref="D135" r:id="rId312" display="https://drive.google.com/open?id=11OokbP0EVmmdg1_tOqNaSEJC7nRHVLe4ULP8VTkxO2s&amp;usp=drive_copy" xr:uid="{00000000-0004-0000-0400-000037010000}"/>
    <hyperlink ref="E135" r:id="rId313" display="https://drive.google.com/open?id=11OokbP0EVmmdg1_tOqNaSEJC7nRHVLe4ULP8VTkxO2s" xr:uid="{00000000-0004-0000-0400-000038010000}"/>
    <hyperlink ref="H135" r:id="rId314" display="https://docs.google.com/spreadsheets/d/11OokbP0EVmmdg1_tOqNaSEJC7nRHVLe4ULP8VTkxO2s" xr:uid="{00000000-0004-0000-0400-000039010000}"/>
    <hyperlink ref="I135" r:id="rId315" display="https://docs.google.com/open?id=11OokbP0EVmmdg1_tOqNaSEJC7nRHVLe4ULP8VTkxO2s" xr:uid="{00000000-0004-0000-0400-00003A010000}"/>
    <hyperlink ref="D136" r:id="rId316" display="https://drive.google.com/open?id=11oNatRDgf7GL14aK3o_6sI2AtRPtWUSXcbIKwqJFPyY&amp;usp=drive_copy" xr:uid="{00000000-0004-0000-0400-00003B010000}"/>
    <hyperlink ref="E136" r:id="rId317" display="https://drive.google.com/open?id=11oNatRDgf7GL14aK3o_6sI2AtRPtWUSXcbIKwqJFPyY" xr:uid="{00000000-0004-0000-0400-00003C010000}"/>
    <hyperlink ref="H136" r:id="rId318" display="https://docs.google.com/spreadsheets/d/11oNatRDgf7GL14aK3o_6sI2AtRPtWUSXcbIKwqJFPyY" xr:uid="{00000000-0004-0000-0400-00003D010000}"/>
    <hyperlink ref="I136" r:id="rId319" display="https://docs.google.com/open?id=11oNatRDgf7GL14aK3o_6sI2AtRPtWUSXcbIKwqJFPyY" xr:uid="{00000000-0004-0000-0400-00003E010000}"/>
    <hyperlink ref="D137" r:id="rId320" display="https://drive.google.com/open?id=13o-MrHOy5GLcrolWE6M5psOzd-f1KxHoaJis0Yff9XE&amp;usp=drive_copy" xr:uid="{00000000-0004-0000-0400-00003F010000}"/>
    <hyperlink ref="E137" r:id="rId321" display="https://drive.google.com/open?id=13o-MrHOy5GLcrolWE6M5psOzd-f1KxHoaJis0Yff9XE" xr:uid="{00000000-0004-0000-0400-000040010000}"/>
    <hyperlink ref="H137" r:id="rId322" display="https://docs.google.com/spreadsheets/d/13o-MrHOy5GLcrolWE6M5psOzd-f1KxHoaJis0Yff9XE" xr:uid="{00000000-0004-0000-0400-000041010000}"/>
    <hyperlink ref="I137" r:id="rId323" display="https://docs.google.com/open?id=13o-MrHOy5GLcrolWE6M5psOzd-f1KxHoaJis0Yff9XE" xr:uid="{00000000-0004-0000-0400-000042010000}"/>
    <hyperlink ref="D138" r:id="rId324" display="https://drive.google.com/open?id=13zju-bIiFlXLoG38GhXwrj0pcNq_0PKACRFt4wNkVRU&amp;usp=drive_copy" xr:uid="{00000000-0004-0000-0400-000043010000}"/>
    <hyperlink ref="E138" r:id="rId325" display="https://drive.google.com/open?id=13zju-bIiFlXLoG38GhXwrj0pcNq_0PKACRFt4wNkVRU" xr:uid="{00000000-0004-0000-0400-000044010000}"/>
    <hyperlink ref="H138" r:id="rId326" display="https://docs.google.com/spreadsheets/d/13zju-bIiFlXLoG38GhXwrj0pcNq_0PKACRFt4wNkVRU" xr:uid="{00000000-0004-0000-0400-000045010000}"/>
    <hyperlink ref="I138" r:id="rId327" display="https://docs.google.com/open?id=13zju-bIiFlXLoG38GhXwrj0pcNq_0PKACRFt4wNkVRU" xr:uid="{00000000-0004-0000-0400-000046010000}"/>
    <hyperlink ref="D139" r:id="rId328" display="https://drive.google.com/open?id=160mwCVwARWMQQn4nKh_XybjFtd9XBFLnLPGaCl9zHqA&amp;usp=drive_copy" xr:uid="{00000000-0004-0000-0400-000047010000}"/>
    <hyperlink ref="E139" r:id="rId329" display="https://drive.google.com/open?id=160mwCVwARWMQQn4nKh_XybjFtd9XBFLnLPGaCl9zHqA" xr:uid="{00000000-0004-0000-0400-000048010000}"/>
    <hyperlink ref="H139" r:id="rId330" display="https://docs.google.com/spreadsheets/d/160mwCVwARWMQQn4nKh_XybjFtd9XBFLnLPGaCl9zHqA" xr:uid="{00000000-0004-0000-0400-000049010000}"/>
    <hyperlink ref="I139" r:id="rId331" display="https://docs.google.com/open?id=160mwCVwARWMQQn4nKh_XybjFtd9XBFLnLPGaCl9zHqA" xr:uid="{00000000-0004-0000-0400-00004A010000}"/>
    <hyperlink ref="D140" r:id="rId332" display="https://drive.google.com/open?id=17BYHu_4eHwIFiihrpOpzhc-MhEVBCao5FjkTcBvd_1w&amp;usp=drive_copy" xr:uid="{00000000-0004-0000-0400-00004B010000}"/>
    <hyperlink ref="E140" r:id="rId333" display="https://drive.google.com/open?id=17BYHu_4eHwIFiihrpOpzhc-MhEVBCao5FjkTcBvd_1w" xr:uid="{00000000-0004-0000-0400-00004C010000}"/>
    <hyperlink ref="H140" r:id="rId334" display="https://docs.google.com/spreadsheets/d/17BYHu_4eHwIFiihrpOpzhc-MhEVBCao5FjkTcBvd_1w" xr:uid="{00000000-0004-0000-0400-00004D010000}"/>
    <hyperlink ref="I140" r:id="rId335" display="https://docs.google.com/open?id=17BYHu_4eHwIFiihrpOpzhc-MhEVBCao5FjkTcBvd_1w" xr:uid="{00000000-0004-0000-0400-00004E010000}"/>
    <hyperlink ref="D141" r:id="rId336" display="https://drive.google.com/open?id=1G034Ca2SXPIjqSO13Pdt1kyW9xeO96TuNSKDyn9gYO0&amp;usp=drive_copy" xr:uid="{00000000-0004-0000-0400-00004F010000}"/>
    <hyperlink ref="E141" r:id="rId337" display="https://drive.google.com/open?id=1G034Ca2SXPIjqSO13Pdt1kyW9xeO96TuNSKDyn9gYO0" xr:uid="{00000000-0004-0000-0400-000050010000}"/>
    <hyperlink ref="H141" r:id="rId338" display="https://docs.google.com/spreadsheets/d/1G034Ca2SXPIjqSO13Pdt1kyW9xeO96TuNSKDyn9gYO0" xr:uid="{00000000-0004-0000-0400-000051010000}"/>
    <hyperlink ref="I141" r:id="rId339" display="https://docs.google.com/open?id=1G034Ca2SXPIjqSO13Pdt1kyW9xeO96TuNSKDyn9gYO0" xr:uid="{00000000-0004-0000-0400-000052010000}"/>
    <hyperlink ref="D142" r:id="rId340" display="https://drive.google.com/open?id=1405VFsE3hMwXuAmtEkcu630yJ7nxerAMrCTp5RKAzMc&amp;usp=drive_copy" xr:uid="{00000000-0004-0000-0400-000053010000}"/>
    <hyperlink ref="E142" r:id="rId341" display="https://drive.google.com/open?id=1405VFsE3hMwXuAmtEkcu630yJ7nxerAMrCTp5RKAzMc" xr:uid="{00000000-0004-0000-0400-000054010000}"/>
    <hyperlink ref="H142" r:id="rId342" display="https://docs.google.com/spreadsheets/d/1405VFsE3hMwXuAmtEkcu630yJ7nxerAMrCTp5RKAzMc" xr:uid="{00000000-0004-0000-0400-000055010000}"/>
    <hyperlink ref="I142" r:id="rId343" display="https://docs.google.com/open?id=1405VFsE3hMwXuAmtEkcu630yJ7nxerAMrCTp5RKAzMc" xr:uid="{00000000-0004-0000-0400-000056010000}"/>
    <hyperlink ref="D143" r:id="rId344" display="https://drive.google.com/open?id=17HoejRUtYdUex9FEOd11KvVVGbOhTZZ59f8aZATV5FI&amp;usp=drive_copy" xr:uid="{00000000-0004-0000-0400-000057010000}"/>
    <hyperlink ref="E143" r:id="rId345" display="https://drive.google.com/open?id=17HoejRUtYdUex9FEOd11KvVVGbOhTZZ59f8aZATV5FI" xr:uid="{00000000-0004-0000-0400-000058010000}"/>
    <hyperlink ref="H143" r:id="rId346" display="https://docs.google.com/spreadsheets/d/17HoejRUtYdUex9FEOd11KvVVGbOhTZZ59f8aZATV5FI" xr:uid="{00000000-0004-0000-0400-000059010000}"/>
    <hyperlink ref="I143" r:id="rId347" display="https://docs.google.com/open?id=17HoejRUtYdUex9FEOd11KvVVGbOhTZZ59f8aZATV5FI" xr:uid="{00000000-0004-0000-0400-00005A010000}"/>
    <hyperlink ref="D144" r:id="rId348" display="https://drive.google.com/open?id=19em8uyYuHZpV7EZI9rv_u0xfxQcUBavmiFpd7wOyhUs&amp;usp=drive_copy" xr:uid="{00000000-0004-0000-0400-00005B010000}"/>
    <hyperlink ref="E144" r:id="rId349" display="https://drive.google.com/open?id=19em8uyYuHZpV7EZI9rv_u0xfxQcUBavmiFpd7wOyhUs" xr:uid="{00000000-0004-0000-0400-00005C010000}"/>
    <hyperlink ref="H144" r:id="rId350" display="https://docs.google.com/spreadsheets/d/19em8uyYuHZpV7EZI9rv_u0xfxQcUBavmiFpd7wOyhUs" xr:uid="{00000000-0004-0000-0400-00005D010000}"/>
    <hyperlink ref="I144" r:id="rId351" display="https://docs.google.com/open?id=19em8uyYuHZpV7EZI9rv_u0xfxQcUBavmiFpd7wOyhUs" xr:uid="{00000000-0004-0000-0400-00005E010000}"/>
    <hyperlink ref="D145" r:id="rId352" display="https://drive.google.com/open?id=19mvdKqjA3iNQhCYKdFz1K0ZTg-LZWhEycE1OuCt5jnQ&amp;usp=drive_copy" xr:uid="{00000000-0004-0000-0400-00005F010000}"/>
    <hyperlink ref="E145" r:id="rId353" display="https://drive.google.com/open?id=19mvdKqjA3iNQhCYKdFz1K0ZTg-LZWhEycE1OuCt5jnQ" xr:uid="{00000000-0004-0000-0400-000060010000}"/>
    <hyperlink ref="H145" r:id="rId354" display="https://docs.google.com/spreadsheets/d/19mvdKqjA3iNQhCYKdFz1K0ZTg-LZWhEycE1OuCt5jnQ" xr:uid="{00000000-0004-0000-0400-000061010000}"/>
    <hyperlink ref="I145" r:id="rId355" display="https://docs.google.com/open?id=19mvdKqjA3iNQhCYKdFz1K0ZTg-LZWhEycE1OuCt5jnQ" xr:uid="{00000000-0004-0000-0400-000062010000}"/>
    <hyperlink ref="D146" r:id="rId356" display="https://drive.google.com/open?id=19qRxJrRdMxgahbGiT62u8qqWoDDxayy1xn4upAopWXI&amp;usp=drive_copy" xr:uid="{00000000-0004-0000-0400-000063010000}"/>
    <hyperlink ref="E146" r:id="rId357" display="https://drive.google.com/open?id=19qRxJrRdMxgahbGiT62u8qqWoDDxayy1xn4upAopWXI" xr:uid="{00000000-0004-0000-0400-000064010000}"/>
    <hyperlink ref="H146" r:id="rId358" display="https://docs.google.com/spreadsheets/d/19qRxJrRdMxgahbGiT62u8qqWoDDxayy1xn4upAopWXI" xr:uid="{00000000-0004-0000-0400-000065010000}"/>
    <hyperlink ref="I146" r:id="rId359" display="https://docs.google.com/open?id=19qRxJrRdMxgahbGiT62u8qqWoDDxayy1xn4upAopWXI" xr:uid="{00000000-0004-0000-0400-000066010000}"/>
    <hyperlink ref="D147" r:id="rId360" display="https://drive.google.com/open?id=1AflDdxj5GtkuKJsDK6EELF3DfYHgmCJlP-oIVpTgm_o&amp;usp=drive_copy" xr:uid="{00000000-0004-0000-0400-000067010000}"/>
    <hyperlink ref="E147" r:id="rId361" display="https://drive.google.com/open?id=1AflDdxj5GtkuKJsDK6EELF3DfYHgmCJlP-oIVpTgm_o" xr:uid="{00000000-0004-0000-0400-000068010000}"/>
    <hyperlink ref="H147" r:id="rId362" display="https://docs.google.com/spreadsheets/d/1AflDdxj5GtkuKJsDK6EELF3DfYHgmCJlP-oIVpTgm_o" xr:uid="{00000000-0004-0000-0400-000069010000}"/>
    <hyperlink ref="I147" r:id="rId363" display="https://docs.google.com/open?id=1AflDdxj5GtkuKJsDK6EELF3DfYHgmCJlP-oIVpTgm_o" xr:uid="{00000000-0004-0000-0400-00006A010000}"/>
    <hyperlink ref="D148" r:id="rId364" display="https://drive.google.com/open?id=1BfM1Y36k4wC-KmUwhmTbYQbvBXiMuVInq4baKJarnII&amp;usp=drive_copy" xr:uid="{00000000-0004-0000-0400-00006B010000}"/>
    <hyperlink ref="E148" r:id="rId365" display="https://drive.google.com/open?id=1BfM1Y36k4wC-KmUwhmTbYQbvBXiMuVInq4baKJarnII" xr:uid="{00000000-0004-0000-0400-00006C010000}"/>
    <hyperlink ref="H148" r:id="rId366" display="https://docs.google.com/spreadsheets/d/1BfM1Y36k4wC-KmUwhmTbYQbvBXiMuVInq4baKJarnII" xr:uid="{00000000-0004-0000-0400-00006D010000}"/>
    <hyperlink ref="I148" r:id="rId367" display="https://docs.google.com/open?id=1BfM1Y36k4wC-KmUwhmTbYQbvBXiMuVInq4baKJarnII" xr:uid="{00000000-0004-0000-0400-00006E010000}"/>
    <hyperlink ref="D149" r:id="rId368" display="https://drive.google.com/open?id=1BimylDMx5fgM9XP1o6hzt1LNhvXzNtxuwJksIdhWcdk&amp;usp=drive_copy" xr:uid="{00000000-0004-0000-0400-00006F010000}"/>
    <hyperlink ref="E149" r:id="rId369" display="https://drive.google.com/open?id=1BimylDMx5fgM9XP1o6hzt1LNhvXzNtxuwJksIdhWcdk" xr:uid="{00000000-0004-0000-0400-000070010000}"/>
    <hyperlink ref="H149" r:id="rId370" display="https://docs.google.com/spreadsheets/d/1BimylDMx5fgM9XP1o6hzt1LNhvXzNtxuwJksIdhWcdk" xr:uid="{00000000-0004-0000-0400-000071010000}"/>
    <hyperlink ref="I149" r:id="rId371" display="https://docs.google.com/open?id=1BimylDMx5fgM9XP1o6hzt1LNhvXzNtxuwJksIdhWcdk" xr:uid="{00000000-0004-0000-0400-000072010000}"/>
    <hyperlink ref="D150" r:id="rId372" display="https://drive.google.com/open?id=1C24n51dUAghWME3sjbKXDpU4l0jWyuZ8jJHxjN3_HL0&amp;usp=drive_copy" xr:uid="{00000000-0004-0000-0400-000073010000}"/>
    <hyperlink ref="E150" r:id="rId373" display="https://drive.google.com/open?id=1C24n51dUAghWME3sjbKXDpU4l0jWyuZ8jJHxjN3_HL0" xr:uid="{00000000-0004-0000-0400-000074010000}"/>
    <hyperlink ref="H150" r:id="rId374" display="https://docs.google.com/spreadsheets/d/1C24n51dUAghWME3sjbKXDpU4l0jWyuZ8jJHxjN3_HL0" xr:uid="{00000000-0004-0000-0400-000075010000}"/>
    <hyperlink ref="I150" r:id="rId375" display="https://docs.google.com/open?id=1C24n51dUAghWME3sjbKXDpU4l0jWyuZ8jJHxjN3_HL0" xr:uid="{00000000-0004-0000-0400-000076010000}"/>
    <hyperlink ref="D151" r:id="rId376" display="https://drive.google.com/open?id=1CRN8ALEZ1JhgGnTmc67xxrR2NkW3Rzxz2wjVTlzF6R0&amp;usp=drive_copy" xr:uid="{00000000-0004-0000-0400-000077010000}"/>
    <hyperlink ref="E151" r:id="rId377" display="https://drive.google.com/open?id=1CRN8ALEZ1JhgGnTmc67xxrR2NkW3Rzxz2wjVTlzF6R0" xr:uid="{00000000-0004-0000-0400-000078010000}"/>
    <hyperlink ref="H151" r:id="rId378" display="https://docs.google.com/spreadsheets/d/1CRN8ALEZ1JhgGnTmc67xxrR2NkW3Rzxz2wjVTlzF6R0" xr:uid="{00000000-0004-0000-0400-000079010000}"/>
    <hyperlink ref="I151" r:id="rId379" display="https://docs.google.com/open?id=1CRN8ALEZ1JhgGnTmc67xxrR2NkW3Rzxz2wjVTlzF6R0" xr:uid="{00000000-0004-0000-0400-00007A010000}"/>
    <hyperlink ref="D152" r:id="rId380" display="https://drive.google.com/open?id=1EoaNMd42q4MFxfmg4M54yv37CFTdUayvvyc1t-QQQrY&amp;usp=drive_copy" xr:uid="{00000000-0004-0000-0400-00007B010000}"/>
    <hyperlink ref="E152" r:id="rId381" display="https://drive.google.com/open?id=1EoaNMd42q4MFxfmg4M54yv37CFTdUayvvyc1t-QQQrY" xr:uid="{00000000-0004-0000-0400-00007C010000}"/>
    <hyperlink ref="H152" r:id="rId382" display="https://docs.google.com/spreadsheets/d/1EoaNMd42q4MFxfmg4M54yv37CFTdUayvvyc1t-QQQrY" xr:uid="{00000000-0004-0000-0400-00007D010000}"/>
    <hyperlink ref="I152" r:id="rId383" display="https://docs.google.com/open?id=1EoaNMd42q4MFxfmg4M54yv37CFTdUayvvyc1t-QQQrY" xr:uid="{00000000-0004-0000-0400-00007E010000}"/>
    <hyperlink ref="D153" r:id="rId384" display="https://drive.google.com/open?id=1GHnXCx0LnJC_JIy1DlN9P9EQpaEVohRuYPHdak8VkZg&amp;usp=drive_copy" xr:uid="{00000000-0004-0000-0400-00007F010000}"/>
    <hyperlink ref="E153" r:id="rId385" display="https://drive.google.com/open?id=1GHnXCx0LnJC_JIy1DlN9P9EQpaEVohRuYPHdak8VkZg" xr:uid="{00000000-0004-0000-0400-000080010000}"/>
    <hyperlink ref="H153" r:id="rId386" display="https://docs.google.com/spreadsheets/d/1GHnXCx0LnJC_JIy1DlN9P9EQpaEVohRuYPHdak8VkZg" xr:uid="{00000000-0004-0000-0400-000081010000}"/>
    <hyperlink ref="I153" r:id="rId387" display="https://docs.google.com/open?id=1GHnXCx0LnJC_JIy1DlN9P9EQpaEVohRuYPHdak8VkZg" xr:uid="{00000000-0004-0000-0400-000082010000}"/>
    <hyperlink ref="D154" r:id="rId388" display="https://docs.google.com/spreadsheets/d/1rca7FK11fX25ETdQ2QXO9FWeCoDB76u-aScPoDiZU2k/edit?usp=sharing" xr:uid="{00000000-0004-0000-0400-000083010000}"/>
    <hyperlink ref="E154" r:id="rId389" display="https://docs.google.com/spreadsheets/d/1rca7FK11fX25ETdQ2QXO9FWeCoDB76u-aScPoDiZU2k/edit?usp=sharing" xr:uid="{00000000-0004-0000-0400-000084010000}"/>
    <hyperlink ref="H154" r:id="rId390" display="https://docs.google.com/spreadsheets/d/1rca7FK11fX25ETdQ2QXO9FWeCoDB76u-aScPoDiZU2k/edit?usp=sharing" xr:uid="{00000000-0004-0000-0400-000085010000}"/>
    <hyperlink ref="I154" r:id="rId391" display="https://docs.google.com/spreadsheets/d/1rca7FK11fX25ETdQ2QXO9FWeCoDB76u-aScPoDiZU2k/edit?usp=sharing" xr:uid="{00000000-0004-0000-0400-000086010000}"/>
    <hyperlink ref="D155" r:id="rId392" display="https://drive.google.com/open?id=1HPIyl5UtdBO-ymbxPudlDNqsab2jtEyizcVC86jtIPo&amp;usp=drive_copy" xr:uid="{00000000-0004-0000-0400-000087010000}"/>
    <hyperlink ref="E155" r:id="rId393" display="https://drive.google.com/open?id=1HPIyl5UtdBO-ymbxPudlDNqsab2jtEyizcVC86jtIPo" xr:uid="{00000000-0004-0000-0400-000088010000}"/>
    <hyperlink ref="H155" r:id="rId394" display="https://docs.google.com/spreadsheets/d/1HPIyl5UtdBO-ymbxPudlDNqsab2jtEyizcVC86jtIPo" xr:uid="{00000000-0004-0000-0400-000089010000}"/>
    <hyperlink ref="I155" r:id="rId395" display="https://docs.google.com/open?id=1HPIyl5UtdBO-ymbxPudlDNqsab2jtEyizcVC86jtIPo" xr:uid="{00000000-0004-0000-0400-00008A010000}"/>
    <hyperlink ref="D156" r:id="rId396" display="https://drive.google.com/open?id=1HRxI6hz0luUE5zGREJtO7hMkntccRGx8FopS8oxozOk&amp;usp=drive_copy" xr:uid="{00000000-0004-0000-0400-00008B010000}"/>
    <hyperlink ref="E156" r:id="rId397" display="https://drive.google.com/open?id=1HRxI6hz0luUE5zGREJtO7hMkntccRGx8FopS8oxozOk" xr:uid="{00000000-0004-0000-0400-00008C010000}"/>
    <hyperlink ref="H156" r:id="rId398" display="https://docs.google.com/spreadsheets/d/1HRxI6hz0luUE5zGREJtO7hMkntccRGx8FopS8oxozOk" xr:uid="{00000000-0004-0000-0400-00008D010000}"/>
    <hyperlink ref="I156" r:id="rId399" display="https://docs.google.com/open?id=1HRxI6hz0luUE5zGREJtO7hMkntccRGx8FopS8oxozOk" xr:uid="{00000000-0004-0000-0400-00008E010000}"/>
    <hyperlink ref="D157" r:id="rId400" display="https://drive.google.com/open?id=1HyvwxqD5FNZqjR8zH5AobLOZNgEZj5B8DhfxGq-R-e8&amp;usp=drive_copy" xr:uid="{00000000-0004-0000-0400-00008F010000}"/>
    <hyperlink ref="E157" r:id="rId401" display="https://drive.google.com/open?id=1HyvwxqD5FNZqjR8zH5AobLOZNgEZj5B8DhfxGq-R-e8" xr:uid="{00000000-0004-0000-0400-000090010000}"/>
    <hyperlink ref="H157" r:id="rId402" display="https://docs.google.com/spreadsheets/d/1HyvwxqD5FNZqjR8zH5AobLOZNgEZj5B8DhfxGq-R-e8" xr:uid="{00000000-0004-0000-0400-000091010000}"/>
    <hyperlink ref="I157" r:id="rId403" display="https://docs.google.com/open?id=1HyvwxqD5FNZqjR8zH5AobLOZNgEZj5B8DhfxGq-R-e8" xr:uid="{00000000-0004-0000-0400-000092010000}"/>
    <hyperlink ref="D158" r:id="rId404" display="https://drive.google.com/open?id=1J0DAmpEaH89_h2SBfiNxboUl8qE5ivgl7Qfoj9UAAc4&amp;usp=drive_copy" xr:uid="{00000000-0004-0000-0400-000093010000}"/>
    <hyperlink ref="E158" r:id="rId405" display="https://drive.google.com/open?id=1J0DAmpEaH89_h2SBfiNxboUl8qE5ivgl7Qfoj9UAAc4" xr:uid="{00000000-0004-0000-0400-000094010000}"/>
    <hyperlink ref="H158" r:id="rId406" display="https://docs.google.com/spreadsheets/d/1J0DAmpEaH89_h2SBfiNxboUl8qE5ivgl7Qfoj9UAAc4" xr:uid="{00000000-0004-0000-0400-000095010000}"/>
    <hyperlink ref="I158" r:id="rId407" display="https://docs.google.com/open?id=1J0DAmpEaH89_h2SBfiNxboUl8qE5ivgl7Qfoj9UAAc4" xr:uid="{00000000-0004-0000-0400-000096010000}"/>
    <hyperlink ref="D159" r:id="rId408" display="https://drive.google.com/open?id=1J3U-LaPM34_WDdgxDeVoMfwJHY-BdwXO6cpgiOzNGZM&amp;usp=drive_copy" xr:uid="{00000000-0004-0000-0400-000097010000}"/>
    <hyperlink ref="E159" r:id="rId409" display="https://drive.google.com/open?id=1J3U-LaPM34_WDdgxDeVoMfwJHY-BdwXO6cpgiOzNGZM" xr:uid="{00000000-0004-0000-0400-000098010000}"/>
    <hyperlink ref="H159" r:id="rId410" display="https://docs.google.com/spreadsheets/d/1J3U-LaPM34_WDdgxDeVoMfwJHY-BdwXO6cpgiOzNGZM" xr:uid="{00000000-0004-0000-0400-000099010000}"/>
    <hyperlink ref="I159" r:id="rId411" display="https://docs.google.com/open?id=1J3U-LaPM34_WDdgxDeVoMfwJHY-BdwXO6cpgiOzNGZM" xr:uid="{00000000-0004-0000-0400-00009A010000}"/>
    <hyperlink ref="D160" r:id="rId412" display="https://drive.google.com/open?id=1JNcgZ59fa_kKtT0fXm78eux6Um6S3Y8LBMXoUiGrf2w&amp;usp=drive_copy" xr:uid="{00000000-0004-0000-0400-00009B010000}"/>
    <hyperlink ref="E160" r:id="rId413" display="https://drive.google.com/open?id=1JNcgZ59fa_kKtT0fXm78eux6Um6S3Y8LBMXoUiGrf2w" xr:uid="{00000000-0004-0000-0400-00009C010000}"/>
    <hyperlink ref="H160" r:id="rId414" display="https://docs.google.com/spreadsheets/d/1JNcgZ59fa_kKtT0fXm78eux6Um6S3Y8LBMXoUiGrf2w" xr:uid="{00000000-0004-0000-0400-00009D010000}"/>
    <hyperlink ref="I160" r:id="rId415" display="https://docs.google.com/open?id=1JNcgZ59fa_kKtT0fXm78eux6Um6S3Y8LBMXoUiGrf2w" xr:uid="{00000000-0004-0000-0400-00009E010000}"/>
    <hyperlink ref="D161" r:id="rId416" display="https://drive.google.com/open?id=1Jeqq8a6eQeAFJgcuEBZmj2cqIC2znoYyZT-OvV39pY4&amp;usp=drive_copy" xr:uid="{00000000-0004-0000-0400-00009F010000}"/>
    <hyperlink ref="E161" r:id="rId417" display="https://drive.google.com/open?id=1Jeqq8a6eQeAFJgcuEBZmj2cqIC2znoYyZT-OvV39pY4" xr:uid="{00000000-0004-0000-0400-0000A0010000}"/>
    <hyperlink ref="H161" r:id="rId418" display="https://docs.google.com/spreadsheets/d/1Jeqq8a6eQeAFJgcuEBZmj2cqIC2znoYyZT-OvV39pY4" xr:uid="{00000000-0004-0000-0400-0000A1010000}"/>
    <hyperlink ref="I161" r:id="rId419" display="https://docs.google.com/open?id=1Jeqq8a6eQeAFJgcuEBZmj2cqIC2znoYyZT-OvV39pY4" xr:uid="{00000000-0004-0000-0400-0000A2010000}"/>
    <hyperlink ref="D162" r:id="rId420" display="https://drive.google.com/open?id=1L5vtww-CHU4fACZrzXt5nk2pfWiLXeHt6bazKm20Y6s&amp;usp=drive_copy" xr:uid="{00000000-0004-0000-0400-0000A3010000}"/>
    <hyperlink ref="E162" r:id="rId421" display="https://drive.google.com/open?id=1L5vtww-CHU4fACZrzXt5nk2pfWiLXeHt6bazKm20Y6s" xr:uid="{00000000-0004-0000-0400-0000A4010000}"/>
    <hyperlink ref="H162" r:id="rId422" display="https://docs.google.com/spreadsheets/d/1L5vtww-CHU4fACZrzXt5nk2pfWiLXeHt6bazKm20Y6s" xr:uid="{00000000-0004-0000-0400-0000A5010000}"/>
    <hyperlink ref="I162" r:id="rId423" display="https://docs.google.com/open?id=1L5vtww-CHU4fACZrzXt5nk2pfWiLXeHt6bazKm20Y6s" xr:uid="{00000000-0004-0000-0400-0000A6010000}"/>
    <hyperlink ref="D163" r:id="rId424" display="https://drive.google.com/open?id=1JrvEcBNIHds45QH3qMfqRQ_H-9ayBh5To_hJDicSlVE&amp;usp=drive_copy" xr:uid="{00000000-0004-0000-0400-0000A7010000}"/>
    <hyperlink ref="E163" r:id="rId425" display="https://drive.google.com/open?id=1JrvEcBNIHds45QH3qMfqRQ_H-9ayBh5To_hJDicSlVE" xr:uid="{00000000-0004-0000-0400-0000A8010000}"/>
    <hyperlink ref="H163" r:id="rId426" display="https://docs.google.com/spreadsheets/d/1JrvEcBNIHds45QH3qMfqRQ_H-9ayBh5To_hJDicSlVE" xr:uid="{00000000-0004-0000-0400-0000A9010000}"/>
    <hyperlink ref="I163" r:id="rId427" display="https://docs.google.com/open?id=1JrvEcBNIHds45QH3qMfqRQ_H-9ayBh5To_hJDicSlVE" xr:uid="{00000000-0004-0000-0400-0000AA010000}"/>
    <hyperlink ref="D164" r:id="rId428" display="https://drive.google.com/open?id=1eHfVIuJUr35UiXp2DSH52bJfSrZ0A3gREZI4-n7FaQk&amp;usp=drive_copy" xr:uid="{00000000-0004-0000-0400-0000AB010000}"/>
    <hyperlink ref="E164" r:id="rId429" display="https://drive.google.com/open?id=1eHfVIuJUr35UiXp2DSH52bJfSrZ0A3gREZI4-n7FaQk" xr:uid="{00000000-0004-0000-0400-0000AC010000}"/>
    <hyperlink ref="H164" r:id="rId430" display="https://docs.google.com/spreadsheets/d/1eHfVIuJUr35UiXp2DSH52bJfSrZ0A3gREZI4-n7FaQk" xr:uid="{00000000-0004-0000-0400-0000AD010000}"/>
    <hyperlink ref="I164" r:id="rId431" display="https://docs.google.com/open?id=1eHfVIuJUr35UiXp2DSH52bJfSrZ0A3gREZI4-n7FaQk" xr:uid="{00000000-0004-0000-0400-0000AE010000}"/>
    <hyperlink ref="D165" r:id="rId432" display="https://drive.google.com/open?id=1gjKJcc4fjEHs9bZ7AL5vU3ozaX0XeN59sr1bDdfFhDo&amp;usp=drive_copy" xr:uid="{00000000-0004-0000-0400-0000AF010000}"/>
    <hyperlink ref="E165" r:id="rId433" display="https://drive.google.com/open?id=1gjKJcc4fjEHs9bZ7AL5vU3ozaX0XeN59sr1bDdfFhDo" xr:uid="{00000000-0004-0000-0400-0000B0010000}"/>
    <hyperlink ref="H165" r:id="rId434" display="https://docs.google.com/spreadsheets/d/1gjKJcc4fjEHs9bZ7AL5vU3ozaX0XeN59sr1bDdfFhDo" xr:uid="{00000000-0004-0000-0400-0000B1010000}"/>
    <hyperlink ref="I165" r:id="rId435" display="https://docs.google.com/open?id=1gjKJcc4fjEHs9bZ7AL5vU3ozaX0XeN59sr1bDdfFhDo" xr:uid="{00000000-0004-0000-0400-0000B2010000}"/>
    <hyperlink ref="D166" r:id="rId436" display="https://drive.google.com/open?id=1kL6-1SfMeQDGwpswzdsMj0l4OJ7UXeB_xxxjKQALUjg&amp;usp=drive_copy" xr:uid="{00000000-0004-0000-0400-0000B3010000}"/>
    <hyperlink ref="E166" r:id="rId437" display="https://drive.google.com/open?id=1kL6-1SfMeQDGwpswzdsMj0l4OJ7UXeB_xxxjKQALUjg" xr:uid="{00000000-0004-0000-0400-0000B4010000}"/>
    <hyperlink ref="H166" r:id="rId438" display="https://docs.google.com/spreadsheets/d/1kL6-1SfMeQDGwpswzdsMj0l4OJ7UXeB_xxxjKQALUjg" xr:uid="{00000000-0004-0000-0400-0000B5010000}"/>
    <hyperlink ref="I166" r:id="rId439" display="https://docs.google.com/open?id=1kL6-1SfMeQDGwpswzdsMj0l4OJ7UXeB_xxxjKQALUjg" xr:uid="{00000000-0004-0000-0400-0000B6010000}"/>
    <hyperlink ref="D167" r:id="rId440" display="https://drive.google.com/open?id=1gjPzMk6r1lk_rGfRozFpEda6K5epzOqzLFAaYER5X3w&amp;usp=drive_copy" xr:uid="{00000000-0004-0000-0400-0000B7010000}"/>
    <hyperlink ref="E167" r:id="rId441" display="https://drive.google.com/open?id=1gjPzMk6r1lk_rGfRozFpEda6K5epzOqzLFAaYER5X3w" xr:uid="{00000000-0004-0000-0400-0000B8010000}"/>
    <hyperlink ref="H167" r:id="rId442" display="https://docs.google.com/spreadsheets/d/1gjPzMk6r1lk_rGfRozFpEda6K5epzOqzLFAaYER5X3w" xr:uid="{00000000-0004-0000-0400-0000B9010000}"/>
    <hyperlink ref="I167" r:id="rId443" display="https://docs.google.com/open?id=1gjPzMk6r1lk_rGfRozFpEda6K5epzOqzLFAaYER5X3w" xr:uid="{00000000-0004-0000-0400-0000BA010000}"/>
    <hyperlink ref="D168" r:id="rId444" display="https://drive.google.com/open?id=1k_Gd0Vrw4G7BWPAuQERQkoSXk7sws1wdJ9vK8QoMMQo&amp;usp=drive_copy" xr:uid="{00000000-0004-0000-0400-0000BB010000}"/>
    <hyperlink ref="E168" r:id="rId445" display="https://drive.google.com/open?id=1k_Gd0Vrw4G7BWPAuQERQkoSXk7sws1wdJ9vK8QoMMQo" xr:uid="{00000000-0004-0000-0400-0000BC010000}"/>
    <hyperlink ref="H168" r:id="rId446" display="https://docs.google.com/spreadsheets/d/1k_Gd0Vrw4G7BWPAuQERQkoSXk7sws1wdJ9vK8QoMMQo" xr:uid="{00000000-0004-0000-0400-0000BD010000}"/>
    <hyperlink ref="I168" r:id="rId447" display="https://docs.google.com/open?id=1k_Gd0Vrw4G7BWPAuQERQkoSXk7sws1wdJ9vK8QoMMQo" xr:uid="{00000000-0004-0000-0400-0000BE010000}"/>
    <hyperlink ref="D169" r:id="rId448" display="https://drive.google.com/open?id=1klx-jM_uw9hDg7VHOS0x529_pFTS9wvAdIFBexxrz1Q&amp;usp=drive_copy" xr:uid="{00000000-0004-0000-0400-0000BF010000}"/>
    <hyperlink ref="E169" r:id="rId449" display="https://drive.google.com/open?id=1klx-jM_uw9hDg7VHOS0x529_pFTS9wvAdIFBexxrz1Q" xr:uid="{00000000-0004-0000-0400-0000C0010000}"/>
    <hyperlink ref="H169" r:id="rId450" display="https://docs.google.com/spreadsheets/d/1klx-jM_uw9hDg7VHOS0x529_pFTS9wvAdIFBexxrz1Q" xr:uid="{00000000-0004-0000-0400-0000C1010000}"/>
    <hyperlink ref="I169" r:id="rId451" display="https://docs.google.com/open?id=1klx-jM_uw9hDg7VHOS0x529_pFTS9wvAdIFBexxrz1Q" xr:uid="{00000000-0004-0000-0400-0000C2010000}"/>
    <hyperlink ref="D170" r:id="rId452" display="https://drive.google.com/open?id=1l_3BOphgSKiWS005QTyeceTwr4E4b1r5573yNsuQWMQ&amp;usp=drive_copy" xr:uid="{00000000-0004-0000-0400-0000C3010000}"/>
    <hyperlink ref="E170" r:id="rId453" display="https://drive.google.com/open?id=1l_3BOphgSKiWS005QTyeceTwr4E4b1r5573yNsuQWMQ" xr:uid="{00000000-0004-0000-0400-0000C4010000}"/>
    <hyperlink ref="H170" r:id="rId454" display="https://docs.google.com/spreadsheets/d/1l_3BOphgSKiWS005QTyeceTwr4E4b1r5573yNsuQWMQ" xr:uid="{00000000-0004-0000-0400-0000C5010000}"/>
    <hyperlink ref="I170" r:id="rId455" display="https://docs.google.com/open?id=1l_3BOphgSKiWS005QTyeceTwr4E4b1r5573yNsuQWMQ" xr:uid="{00000000-0004-0000-0400-0000C6010000}"/>
    <hyperlink ref="D171" r:id="rId456" display="https://drive.google.com/open?id=1mRWp6cNSWVFM1mVPDKYl_lNOIvvSDoo0DPXuRJ6zqEA&amp;usp=drive_copy" xr:uid="{00000000-0004-0000-0400-0000C7010000}"/>
    <hyperlink ref="E171" r:id="rId457" display="https://drive.google.com/open?id=1mRWp6cNSWVFM1mVPDKYl_lNOIvvSDoo0DPXuRJ6zqEA" xr:uid="{00000000-0004-0000-0400-0000C8010000}"/>
    <hyperlink ref="H171" r:id="rId458" display="https://docs.google.com/spreadsheets/d/1mRWp6cNSWVFM1mVPDKYl_lNOIvvSDoo0DPXuRJ6zqEA" xr:uid="{00000000-0004-0000-0400-0000C9010000}"/>
    <hyperlink ref="I171" r:id="rId459" display="https://docs.google.com/open?id=1mRWp6cNSWVFM1mVPDKYl_lNOIvvSDoo0DPXuRJ6zqEA" xr:uid="{00000000-0004-0000-0400-0000CA010000}"/>
    <hyperlink ref="D172" r:id="rId460" display="https://drive.google.com/open?id=1otcXblFr9qww47uEYhaUS54PBj0BwNGf-EZ8AjS8yH4&amp;usp=drive_copy" xr:uid="{00000000-0004-0000-0400-0000CB010000}"/>
    <hyperlink ref="E172" r:id="rId461" display="https://drive.google.com/open?id=1otcXblFr9qww47uEYhaUS54PBj0BwNGf-EZ8AjS8yH4" xr:uid="{00000000-0004-0000-0400-0000CC010000}"/>
    <hyperlink ref="H172" r:id="rId462" display="https://docs.google.com/spreadsheets/d/1otcXblFr9qww47uEYhaUS54PBj0BwNGf-EZ8AjS8yH4" xr:uid="{00000000-0004-0000-0400-0000CD010000}"/>
    <hyperlink ref="I172" r:id="rId463" display="https://docs.google.com/open?id=1otcXblFr9qww47uEYhaUS54PBj0BwNGf-EZ8AjS8yH4" xr:uid="{00000000-0004-0000-0400-0000CE010000}"/>
    <hyperlink ref="D173" r:id="rId464" display="https://drive.google.com/open?id=1qgLOwy0qMyZjypJatUEWeJiPf1ATQNjxTaHAxolzp48&amp;usp=drive_copy" xr:uid="{00000000-0004-0000-0400-0000CF010000}"/>
    <hyperlink ref="E173" r:id="rId465" display="https://drive.google.com/open?id=1qgLOwy0qMyZjypJatUEWeJiPf1ATQNjxTaHAxolzp48" xr:uid="{00000000-0004-0000-0400-0000D0010000}"/>
    <hyperlink ref="H173" r:id="rId466" display="https://docs.google.com/spreadsheets/d/1qgLOwy0qMyZjypJatUEWeJiPf1ATQNjxTaHAxolzp48" xr:uid="{00000000-0004-0000-0400-0000D1010000}"/>
    <hyperlink ref="I173" r:id="rId467" display="https://docs.google.com/open?id=1qgLOwy0qMyZjypJatUEWeJiPf1ATQNjxTaHAxolzp48" xr:uid="{00000000-0004-0000-0400-0000D2010000}"/>
    <hyperlink ref="D174" r:id="rId468" display="https://drive.google.com/open?id=1rmyKhBbN1Af6kfYBIrOuy2lf0HNARvUX1rj6V5C8IXc&amp;usp=drive_copy" xr:uid="{00000000-0004-0000-0400-0000D3010000}"/>
    <hyperlink ref="E174" r:id="rId469" display="https://drive.google.com/open?id=1rmyKhBbN1Af6kfYBIrOuy2lf0HNARvUX1rj6V5C8IXc" xr:uid="{00000000-0004-0000-0400-0000D4010000}"/>
    <hyperlink ref="H174" r:id="rId470" display="https://docs.google.com/spreadsheets/d/1rmyKhBbN1Af6kfYBIrOuy2lf0HNARvUX1rj6V5C8IXc" xr:uid="{00000000-0004-0000-0400-0000D5010000}"/>
    <hyperlink ref="I174" r:id="rId471" display="https://docs.google.com/open?id=1rmyKhBbN1Af6kfYBIrOuy2lf0HNARvUX1rj6V5C8IXc" xr:uid="{00000000-0004-0000-0400-0000D6010000}"/>
    <hyperlink ref="D175" r:id="rId472" display="https://drive.google.com/open?id=1vUXqua83v3x9zh05wORCmfx2chW-Q5N-YKl7HU7_xxk&amp;usp=drive_copy" xr:uid="{00000000-0004-0000-0400-0000D7010000}"/>
    <hyperlink ref="E175" r:id="rId473" display="https://drive.google.com/open?id=1vUXqua83v3x9zh05wORCmfx2chW-Q5N-YKl7HU7_xxk" xr:uid="{00000000-0004-0000-0400-0000D8010000}"/>
    <hyperlink ref="H175" r:id="rId474" display="https://docs.google.com/spreadsheets/d/1vUXqua83v3x9zh05wORCmfx2chW-Q5N-YKl7HU7_xxk" xr:uid="{00000000-0004-0000-0400-0000D9010000}"/>
    <hyperlink ref="I175" r:id="rId475" display="https://docs.google.com/open?id=1vUXqua83v3x9zh05wORCmfx2chW-Q5N-YKl7HU7_xxk" xr:uid="{00000000-0004-0000-0400-0000DA010000}"/>
    <hyperlink ref="D176" r:id="rId476" display="https://drive.google.com/open?id=1vVWJqM_ZEbT8aB0cn9bEM5_yDhPt4R5bzNmGTet2Orw&amp;usp=drive_copy" xr:uid="{00000000-0004-0000-0400-0000DB010000}"/>
    <hyperlink ref="E176" r:id="rId477" display="https://drive.google.com/open?id=1vVWJqM_ZEbT8aB0cn9bEM5_yDhPt4R5bzNmGTet2Orw" xr:uid="{00000000-0004-0000-0400-0000DC010000}"/>
    <hyperlink ref="H176" r:id="rId478" display="https://docs.google.com/spreadsheets/d/1vVWJqM_ZEbT8aB0cn9bEM5_yDhPt4R5bzNmGTet2Orw" xr:uid="{00000000-0004-0000-0400-0000DD010000}"/>
    <hyperlink ref="I176" r:id="rId479" display="https://docs.google.com/open?id=1vVWJqM_ZEbT8aB0cn9bEM5_yDhPt4R5bzNmGTet2Orw" xr:uid="{00000000-0004-0000-0400-0000DE010000}"/>
    <hyperlink ref="D177" r:id="rId480" display="https://drive.google.com/open?id=1wMQbr05_r-X4uMyVsKJ8Ibj2ZQrvi7zlSBHbrv_H3VM&amp;usp=drive_copy" xr:uid="{00000000-0004-0000-0400-0000DF010000}"/>
    <hyperlink ref="E177" r:id="rId481" display="https://drive.google.com/open?id=1wMQbr05_r-X4uMyVsKJ8Ibj2ZQrvi7zlSBHbrv_H3VM" xr:uid="{00000000-0004-0000-0400-0000E0010000}"/>
    <hyperlink ref="H177" r:id="rId482" display="https://docs.google.com/spreadsheets/d/1wMQbr05_r-X4uMyVsKJ8Ibj2ZQrvi7zlSBHbrv_H3VM" xr:uid="{00000000-0004-0000-0400-0000E1010000}"/>
    <hyperlink ref="I177" r:id="rId483" display="https://docs.google.com/open?id=1wMQbr05_r-X4uMyVsKJ8Ibj2ZQrvi7zlSBHbrv_H3VM" xr:uid="{00000000-0004-0000-0400-0000E2010000}"/>
    <hyperlink ref="D178" r:id="rId484" display="https://drive.google.com/open?id=1wY0EQWBPA5XkGfdYi5TQrYeuM9fq39UgRZeQC3E-7NU&amp;usp=drive_copy" xr:uid="{00000000-0004-0000-0400-0000E3010000}"/>
    <hyperlink ref="E178" r:id="rId485" display="https://drive.google.com/open?id=1wY0EQWBPA5XkGfdYi5TQrYeuM9fq39UgRZeQC3E-7NU" xr:uid="{00000000-0004-0000-0400-0000E4010000}"/>
    <hyperlink ref="H178" r:id="rId486" display="https://docs.google.com/spreadsheets/d/1wY0EQWBPA5XkGfdYi5TQrYeuM9fq39UgRZeQC3E-7NU" xr:uid="{00000000-0004-0000-0400-0000E5010000}"/>
    <hyperlink ref="I178" r:id="rId487" display="https://docs.google.com/open?id=1wY0EQWBPA5XkGfdYi5TQrYeuM9fq39UgRZeQC3E-7NU" xr:uid="{00000000-0004-0000-0400-0000E6010000}"/>
    <hyperlink ref="D179" r:id="rId488" display="https://drive.google.com/open?id=1x9U92VBdOh3QgmPp4ZWEHEVYci7yySVeST9S6KdeL5I&amp;usp=drive_copy" xr:uid="{00000000-0004-0000-0400-0000E7010000}"/>
    <hyperlink ref="E179" r:id="rId489" display="https://drive.google.com/open?id=1x9U92VBdOh3QgmPp4ZWEHEVYci7yySVeST9S6KdeL5I" xr:uid="{00000000-0004-0000-0400-0000E8010000}"/>
    <hyperlink ref="H179" r:id="rId490" display="https://docs.google.com/spreadsheets/d/1x9U92VBdOh3QgmPp4ZWEHEVYci7yySVeST9S6KdeL5I" xr:uid="{00000000-0004-0000-0400-0000E9010000}"/>
    <hyperlink ref="I179" r:id="rId491" display="https://docs.google.com/open?id=1x9U92VBdOh3QgmPp4ZWEHEVYci7yySVeST9S6KdeL5I" xr:uid="{00000000-0004-0000-0400-0000EA010000}"/>
    <hyperlink ref="D180" r:id="rId492" display="https://drive.google.com/open?id=13y-xpQPPXUCTfqu7A8owFAqLunprm0uplelyP_okWZU&amp;usp=drive_copy" xr:uid="{00000000-0004-0000-0400-0000EB010000}"/>
    <hyperlink ref="E180" r:id="rId493" display="https://drive.google.com/open?id=13y-xpQPPXUCTfqu7A8owFAqLunprm0uplelyP_okWZU" xr:uid="{00000000-0004-0000-0400-0000EC010000}"/>
    <hyperlink ref="H180" r:id="rId494" display="https://docs.google.com/spreadsheets/d/13y-xpQPPXUCTfqu7A8owFAqLunprm0uplelyP_okWZU" xr:uid="{00000000-0004-0000-0400-0000ED010000}"/>
    <hyperlink ref="I180" r:id="rId495" display="https://docs.google.com/open?id=13y-xpQPPXUCTfqu7A8owFAqLunprm0uplelyP_okWZU" xr:uid="{00000000-0004-0000-0400-0000EE010000}"/>
    <hyperlink ref="D181" r:id="rId496" display="https://drive.google.com/open?id=1ACl9i5ZG6F4mvLHP2SlwmLtMsamk9D5X0Ge7b1sU7YA&amp;usp=drive_copy" xr:uid="{00000000-0004-0000-0400-0000EF010000}"/>
    <hyperlink ref="E181" r:id="rId497" display="https://drive.google.com/open?id=1ACl9i5ZG6F4mvLHP2SlwmLtMsamk9D5X0Ge7b1sU7YA" xr:uid="{00000000-0004-0000-0400-0000F0010000}"/>
    <hyperlink ref="H181" r:id="rId498" display="https://docs.google.com/spreadsheets/d/1ACl9i5ZG6F4mvLHP2SlwmLtMsamk9D5X0Ge7b1sU7YA" xr:uid="{00000000-0004-0000-0400-0000F1010000}"/>
    <hyperlink ref="I181" r:id="rId499" display="https://docs.google.com/open?id=1ACl9i5ZG6F4mvLHP2SlwmLtMsamk9D5X0Ge7b1sU7YA" xr:uid="{00000000-0004-0000-0400-0000F2010000}"/>
    <hyperlink ref="D182" r:id="rId500" display="https://drive.google.com/open?id=1BKzQyLoS7BSuZsRkiQApevcj2ZXn00Z3B8t-7Elt1lM&amp;usp=drive_copy" xr:uid="{00000000-0004-0000-0400-0000F3010000}"/>
    <hyperlink ref="E182" r:id="rId501" display="https://drive.google.com/open?id=1BKzQyLoS7BSuZsRkiQApevcj2ZXn00Z3B8t-7Elt1lM" xr:uid="{00000000-0004-0000-0400-0000F4010000}"/>
    <hyperlink ref="H182" r:id="rId502" display="https://docs.google.com/spreadsheets/d/1BKzQyLoS7BSuZsRkiQApevcj2ZXn00Z3B8t-7Elt1lM" xr:uid="{00000000-0004-0000-0400-0000F5010000}"/>
    <hyperlink ref="I182" r:id="rId503" display="https://docs.google.com/open?id=1BKzQyLoS7BSuZsRkiQApevcj2ZXn00Z3B8t-7Elt1lM" xr:uid="{00000000-0004-0000-0400-0000F6010000}"/>
    <hyperlink ref="D183" r:id="rId504" display="https://drive.google.com/open?id=1GcfTeM06fL2h2DFNzZR1dtc4_cQ7sTpi7l_fflQK_YA&amp;usp=drive_copy" xr:uid="{00000000-0004-0000-0400-0000F7010000}"/>
    <hyperlink ref="E183" r:id="rId505" display="https://drive.google.com/open?id=1GcfTeM06fL2h2DFNzZR1dtc4_cQ7sTpi7l_fflQK_YA" xr:uid="{00000000-0004-0000-0400-0000F8010000}"/>
    <hyperlink ref="H183" r:id="rId506" display="https://docs.google.com/spreadsheets/d/1GcfTeM06fL2h2DFNzZR1dtc4_cQ7sTpi7l_fflQK_YA" xr:uid="{00000000-0004-0000-0400-0000F9010000}"/>
    <hyperlink ref="I183" r:id="rId507" display="https://docs.google.com/open?id=1GcfTeM06fL2h2DFNzZR1dtc4_cQ7sTpi7l_fflQK_YA" xr:uid="{00000000-0004-0000-0400-0000FA010000}"/>
    <hyperlink ref="D184" r:id="rId508" display="https://drive.google.com/open?id=1MF1fk8rVZIAco5Gnx8McsNwYVhLmA4lyw1YLhUMKXhU&amp;usp=drive_copy" xr:uid="{00000000-0004-0000-0400-0000FB010000}"/>
    <hyperlink ref="E184" r:id="rId509" display="https://drive.google.com/open?id=1MF1fk8rVZIAco5Gnx8McsNwYVhLmA4lyw1YLhUMKXhU" xr:uid="{00000000-0004-0000-0400-0000FC010000}"/>
    <hyperlink ref="H184" r:id="rId510" display="https://docs.google.com/spreadsheets/d/1MF1fk8rVZIAco5Gnx8McsNwYVhLmA4lyw1YLhUMKXhU" xr:uid="{00000000-0004-0000-0400-0000FD010000}"/>
    <hyperlink ref="I184" r:id="rId511" display="https://docs.google.com/open?id=1MF1fk8rVZIAco5Gnx8McsNwYVhLmA4lyw1YLhUMKXhU" xr:uid="{00000000-0004-0000-0400-0000FE010000}"/>
    <hyperlink ref="D185" r:id="rId512" display="https://drive.google.com/open?id=1WrO6d4_riEipMV3EXQ2EjXaQ2I5IYdIl5Mo4aYGadQg&amp;usp=drive_copy" xr:uid="{00000000-0004-0000-0400-0000FF010000}"/>
    <hyperlink ref="E185" r:id="rId513" display="https://drive.google.com/open?id=1WrO6d4_riEipMV3EXQ2EjXaQ2I5IYdIl5Mo4aYGadQg" xr:uid="{00000000-0004-0000-0400-000000020000}"/>
    <hyperlink ref="H185" r:id="rId514" display="https://docs.google.com/spreadsheets/d/1WrO6d4_riEipMV3EXQ2EjXaQ2I5IYdIl5Mo4aYGadQg" xr:uid="{00000000-0004-0000-0400-000001020000}"/>
    <hyperlink ref="I185" r:id="rId515" display="https://docs.google.com/open?id=1WrO6d4_riEipMV3EXQ2EjXaQ2I5IYdIl5Mo4aYGadQg" xr:uid="{00000000-0004-0000-0400-000002020000}"/>
    <hyperlink ref="D186" r:id="rId516" display="https://drive.google.com/open?id=1mTnATP6SNd_2SY_eHs-Bqbc6X5cLrzmtKhuS0qCmXzc&amp;usp=drive_copy" xr:uid="{00000000-0004-0000-0400-000003020000}"/>
    <hyperlink ref="E186" r:id="rId517" display="https://drive.google.com/open?id=1mTnATP6SNd_2SY_eHs-Bqbc6X5cLrzmtKhuS0qCmXzc" xr:uid="{00000000-0004-0000-0400-000004020000}"/>
    <hyperlink ref="H186" r:id="rId518" display="https://docs.google.com/spreadsheets/d/1mTnATP6SNd_2SY_eHs-Bqbc6X5cLrzmtKhuS0qCmXzc" xr:uid="{00000000-0004-0000-0400-000005020000}"/>
    <hyperlink ref="I186" r:id="rId519" display="https://docs.google.com/open?id=1mTnATP6SNd_2SY_eHs-Bqbc6X5cLrzmtKhuS0qCmXzc" xr:uid="{00000000-0004-0000-0400-000006020000}"/>
    <hyperlink ref="D187" r:id="rId520" display="https://drive.google.com/open?id=1qTpeEQnt9Rpk-icmqGc9J1CNga9ryRfyiIzmEt_-ehQ&amp;usp=drive_copy" xr:uid="{00000000-0004-0000-0400-000007020000}"/>
    <hyperlink ref="E187" r:id="rId521" display="https://drive.google.com/open?id=1qTpeEQnt9Rpk-icmqGc9J1CNga9ryRfyiIzmEt_-ehQ" xr:uid="{00000000-0004-0000-0400-000008020000}"/>
    <hyperlink ref="H187" r:id="rId522" display="https://docs.google.com/spreadsheets/d/1qTpeEQnt9Rpk-icmqGc9J1CNga9ryRfyiIzmEt_-ehQ" xr:uid="{00000000-0004-0000-0400-000009020000}"/>
    <hyperlink ref="I187" r:id="rId523" display="https://docs.google.com/open?id=1qTpeEQnt9Rpk-icmqGc9J1CNga9ryRfyiIzmEt_-ehQ" xr:uid="{00000000-0004-0000-0400-00000A020000}"/>
    <hyperlink ref="D188" r:id="rId524" display="https://drive.google.com/open?id=103KL_VjoShnKTLjchsuvs_etS-tYQqzNE8Dbs_m5QYo&amp;usp=drive_copy" xr:uid="{00000000-0004-0000-0400-00000B020000}"/>
    <hyperlink ref="E188" r:id="rId525" display="https://drive.google.com/open?id=103KL_VjoShnKTLjchsuvs_etS-tYQqzNE8Dbs_m5QYo" xr:uid="{00000000-0004-0000-0400-00000C020000}"/>
    <hyperlink ref="H188" r:id="rId526" display="https://docs.google.com/spreadsheets/d/103KL_VjoShnKTLjchsuvs_etS-tYQqzNE8Dbs_m5QYo" xr:uid="{00000000-0004-0000-0400-00000D020000}"/>
    <hyperlink ref="I188" r:id="rId527" display="https://docs.google.com/open?id=103KL_VjoShnKTLjchsuvs_etS-tYQqzNE8Dbs_m5QYo" xr:uid="{00000000-0004-0000-0400-00000E020000}"/>
    <hyperlink ref="D189" r:id="rId528" display="https://drive.google.com/open?id=17qWmDGno2f-lqhJn0NXfqFhjW-rp-CZGjPw0JvZQt80&amp;usp=drive_copy" xr:uid="{00000000-0004-0000-0400-00000F020000}"/>
    <hyperlink ref="E189" r:id="rId529" display="https://drive.google.com/open?id=17qWmDGno2f-lqhJn0NXfqFhjW-rp-CZGjPw0JvZQt80" xr:uid="{00000000-0004-0000-0400-000010020000}"/>
    <hyperlink ref="H189" r:id="rId530" display="https://docs.google.com/spreadsheets/d/17qWmDGno2f-lqhJn0NXfqFhjW-rp-CZGjPw0JvZQt80" xr:uid="{00000000-0004-0000-0400-000011020000}"/>
    <hyperlink ref="I189" r:id="rId531" display="https://docs.google.com/open?id=17qWmDGno2f-lqhJn0NXfqFhjW-rp-CZGjPw0JvZQt80" xr:uid="{00000000-0004-0000-0400-000012020000}"/>
    <hyperlink ref="D190" r:id="rId532" display="https://drive.google.com/open?id=1BbO3XwPgprrRzRbJNU782pgl77q3nT4WmQQznQPUp9c&amp;usp=drive_copy" xr:uid="{00000000-0004-0000-0400-000013020000}"/>
    <hyperlink ref="E190" r:id="rId533" display="https://drive.google.com/open?id=1BbO3XwPgprrRzRbJNU782pgl77q3nT4WmQQznQPUp9c" xr:uid="{00000000-0004-0000-0400-000014020000}"/>
    <hyperlink ref="H190" r:id="rId534" display="https://docs.google.com/spreadsheets/d/1BbO3XwPgprrRzRbJNU782pgl77q3nT4WmQQznQPUp9c" xr:uid="{00000000-0004-0000-0400-000015020000}"/>
    <hyperlink ref="I190" r:id="rId535" display="https://docs.google.com/open?id=1BbO3XwPgprrRzRbJNU782pgl77q3nT4WmQQznQPUp9c" xr:uid="{00000000-0004-0000-0400-000016020000}"/>
    <hyperlink ref="D191" r:id="rId536" display="https://drive.google.com/open?id=1JsKkfTNpHQ6vgUslFSEQ7lK1l-YE9XAKa-CpJKgkhII&amp;usp=drive_copy" xr:uid="{00000000-0004-0000-0400-000017020000}"/>
    <hyperlink ref="E191" r:id="rId537" display="https://drive.google.com/open?id=1JsKkfTNpHQ6vgUslFSEQ7lK1l-YE9XAKa-CpJKgkhII" xr:uid="{00000000-0004-0000-0400-000018020000}"/>
    <hyperlink ref="H191" r:id="rId538" display="https://docs.google.com/spreadsheets/d/1JsKkfTNpHQ6vgUslFSEQ7lK1l-YE9XAKa-CpJKgkhII" xr:uid="{00000000-0004-0000-0400-000019020000}"/>
    <hyperlink ref="I191" r:id="rId539" display="https://docs.google.com/open?id=1JsKkfTNpHQ6vgUslFSEQ7lK1l-YE9XAKa-CpJKgkhII" xr:uid="{00000000-0004-0000-0400-00001A020000}"/>
    <hyperlink ref="D192" r:id="rId540" display="https://drive.google.com/open?id=1N2b5eyYI6AWlfXQTEv_JxnPRRXHfsXF9RjK4Z3AUhcM&amp;usp=drive_copy" xr:uid="{00000000-0004-0000-0400-00001B020000}"/>
    <hyperlink ref="E192" r:id="rId541" display="https://drive.google.com/open?id=1N2b5eyYI6AWlfXQTEv_JxnPRRXHfsXF9RjK4Z3AUhcM" xr:uid="{00000000-0004-0000-0400-00001C020000}"/>
    <hyperlink ref="H192" r:id="rId542" display="https://docs.google.com/spreadsheets/d/1N2b5eyYI6AWlfXQTEv_JxnPRRXHfsXF9RjK4Z3AUhcM" xr:uid="{00000000-0004-0000-0400-00001D020000}"/>
    <hyperlink ref="I192" r:id="rId543" display="https://docs.google.com/open?id=1N2b5eyYI6AWlfXQTEv_JxnPRRXHfsXF9RjK4Z3AUhcM" xr:uid="{00000000-0004-0000-0400-00001E020000}"/>
    <hyperlink ref="D193" r:id="rId544" display="https://drive.google.com/open?id=1PFDpdbRVgz9VZlbHvv8WiY0UgO0HMj0hu7D7L2XJeho&amp;usp=drive_copy" xr:uid="{00000000-0004-0000-0400-00001F020000}"/>
    <hyperlink ref="E193" r:id="rId545" display="https://drive.google.com/open?id=1PFDpdbRVgz9VZlbHvv8WiY0UgO0HMj0hu7D7L2XJeho" xr:uid="{00000000-0004-0000-0400-000020020000}"/>
    <hyperlink ref="H193" r:id="rId546" display="https://docs.google.com/spreadsheets/d/1PFDpdbRVgz9VZlbHvv8WiY0UgO0HMj0hu7D7L2XJeho" xr:uid="{00000000-0004-0000-0400-000021020000}"/>
    <hyperlink ref="I193" r:id="rId547" display="https://docs.google.com/open?id=1PFDpdbRVgz9VZlbHvv8WiY0UgO0HMj0hu7D7L2XJeho" xr:uid="{00000000-0004-0000-0400-000022020000}"/>
    <hyperlink ref="D194" r:id="rId548" display="https://drive.google.com/open?id=1RCIJO0JhFeMMnnju70d3As6zQjRA7MVNAIpbilwf-fg&amp;usp=drive_copy" xr:uid="{00000000-0004-0000-0400-000023020000}"/>
    <hyperlink ref="E194" r:id="rId549" display="https://drive.google.com/open?id=1RCIJO0JhFeMMnnju70d3As6zQjRA7MVNAIpbilwf-fg" xr:uid="{00000000-0004-0000-0400-000024020000}"/>
    <hyperlink ref="H194" r:id="rId550" display="https://docs.google.com/spreadsheets/d/1RCIJO0JhFeMMnnju70d3As6zQjRA7MVNAIpbilwf-fg" xr:uid="{00000000-0004-0000-0400-000025020000}"/>
    <hyperlink ref="I194" r:id="rId551" display="https://docs.google.com/open?id=1RCIJO0JhFeMMnnju70d3As6zQjRA7MVNAIpbilwf-fg" xr:uid="{00000000-0004-0000-0400-000026020000}"/>
    <hyperlink ref="D195" r:id="rId552" display="https://drive.google.com/open?id=1SnY-xXs5HOXNXveC_LuuiSk2pUsKAxuGGzLZ8RZFv9k&amp;usp=drive_copy" xr:uid="{00000000-0004-0000-0400-000027020000}"/>
    <hyperlink ref="E195" r:id="rId553" display="https://drive.google.com/open?id=1SnY-xXs5HOXNXveC_LuuiSk2pUsKAxuGGzLZ8RZFv9k" xr:uid="{00000000-0004-0000-0400-000028020000}"/>
    <hyperlink ref="H195" r:id="rId554" display="https://docs.google.com/spreadsheets/d/1SnY-xXs5HOXNXveC_LuuiSk2pUsKAxuGGzLZ8RZFv9k" xr:uid="{00000000-0004-0000-0400-000029020000}"/>
    <hyperlink ref="I195" r:id="rId555" display="https://docs.google.com/open?id=1SnY-xXs5HOXNXveC_LuuiSk2pUsKAxuGGzLZ8RZFv9k" xr:uid="{00000000-0004-0000-0400-00002A020000}"/>
    <hyperlink ref="D196" r:id="rId556" display="https://drive.google.com/open?id=1U6kEjj_XDAOLOxEUaZbHGmj3dtJkSYFdJEZp8QL7Rb8&amp;usp=drive_copy" xr:uid="{00000000-0004-0000-0400-00002B020000}"/>
    <hyperlink ref="E196" r:id="rId557" display="https://drive.google.com/open?id=1U6kEjj_XDAOLOxEUaZbHGmj3dtJkSYFdJEZp8QL7Rb8" xr:uid="{00000000-0004-0000-0400-00002C020000}"/>
    <hyperlink ref="H196" r:id="rId558" display="https://docs.google.com/spreadsheets/d/1U6kEjj_XDAOLOxEUaZbHGmj3dtJkSYFdJEZp8QL7Rb8" xr:uid="{00000000-0004-0000-0400-00002D020000}"/>
    <hyperlink ref="I196" r:id="rId559" display="https://docs.google.com/open?id=1U6kEjj_XDAOLOxEUaZbHGmj3dtJkSYFdJEZp8QL7Rb8" xr:uid="{00000000-0004-0000-0400-00002E020000}"/>
    <hyperlink ref="D197" r:id="rId560" display="https://drive.google.com/open?id=1h_WoUgQLtAtpcxVeggaqOBw_o-opGErf0a4nla_B1Fc&amp;usp=drive_copy" xr:uid="{00000000-0004-0000-0400-00002F020000}"/>
    <hyperlink ref="E197" r:id="rId561" display="https://drive.google.com/open?id=1h_WoUgQLtAtpcxVeggaqOBw_o-opGErf0a4nla_B1Fc" xr:uid="{00000000-0004-0000-0400-000030020000}"/>
    <hyperlink ref="H197" r:id="rId562" display="https://docs.google.com/spreadsheets/d/1h_WoUgQLtAtpcxVeggaqOBw_o-opGErf0a4nla_B1Fc" xr:uid="{00000000-0004-0000-0400-000031020000}"/>
    <hyperlink ref="I197" r:id="rId563" display="https://docs.google.com/open?id=1h_WoUgQLtAtpcxVeggaqOBw_o-opGErf0a4nla_B1Fc" xr:uid="{00000000-0004-0000-0400-000032020000}"/>
    <hyperlink ref="D198" r:id="rId564" display="https://drive.google.com/open?id=1hxgCjtNItbqkal9qqShLMIuRhyyoRk3nsd0Rq4-wTAg&amp;usp=drive_copy" xr:uid="{00000000-0004-0000-0400-000033020000}"/>
    <hyperlink ref="E198" r:id="rId565" display="https://drive.google.com/open?id=1hxgCjtNItbqkal9qqShLMIuRhyyoRk3nsd0Rq4-wTAg" xr:uid="{00000000-0004-0000-0400-000034020000}"/>
    <hyperlink ref="H198" r:id="rId566" display="https://docs.google.com/spreadsheets/d/1hxgCjtNItbqkal9qqShLMIuRhyyoRk3nsd0Rq4-wTAg" xr:uid="{00000000-0004-0000-0400-000035020000}"/>
    <hyperlink ref="I198" r:id="rId567" display="https://docs.google.com/open?id=1hxgCjtNItbqkal9qqShLMIuRhyyoRk3nsd0Rq4-wTAg" xr:uid="{00000000-0004-0000-0400-000036020000}"/>
    <hyperlink ref="D199" r:id="rId568" display="https://drive.google.com/open?id=1iuCdBVo6yQTl4ndwwoIEo4D2WdYc9qxKbP1EaXrMQLs&amp;usp=drive_copy" xr:uid="{00000000-0004-0000-0400-000037020000}"/>
    <hyperlink ref="E199" r:id="rId569" display="https://drive.google.com/open?id=1iuCdBVo6yQTl4ndwwoIEo4D2WdYc9qxKbP1EaXrMQLs" xr:uid="{00000000-0004-0000-0400-000038020000}"/>
    <hyperlink ref="H199" r:id="rId570" display="https://docs.google.com/spreadsheets/d/1iuCdBVo6yQTl4ndwwoIEo4D2WdYc9qxKbP1EaXrMQLs" xr:uid="{00000000-0004-0000-0400-000039020000}"/>
    <hyperlink ref="I199" r:id="rId571" display="https://docs.google.com/open?id=1iuCdBVo6yQTl4ndwwoIEo4D2WdYc9qxKbP1EaXrMQLs" xr:uid="{00000000-0004-0000-0400-00003A020000}"/>
    <hyperlink ref="D200" r:id="rId572" display="https://drive.google.com/open?id=1n5sWZltpsIm7cJhQVrF0clyV2ytJPBWzGhoGAnVcXNU&amp;usp=drive_copy" xr:uid="{00000000-0004-0000-0400-00003B020000}"/>
    <hyperlink ref="E200" r:id="rId573" display="https://drive.google.com/open?id=1n5sWZltpsIm7cJhQVrF0clyV2ytJPBWzGhoGAnVcXNU" xr:uid="{00000000-0004-0000-0400-00003C020000}"/>
    <hyperlink ref="H200" r:id="rId574" display="https://docs.google.com/spreadsheets/d/1n5sWZltpsIm7cJhQVrF0clyV2ytJPBWzGhoGAnVcXNU" xr:uid="{00000000-0004-0000-0400-00003D020000}"/>
    <hyperlink ref="I200" r:id="rId575" display="https://docs.google.com/open?id=1n5sWZltpsIm7cJhQVrF0clyV2ytJPBWzGhoGAnVcXNU" xr:uid="{00000000-0004-0000-0400-00003E020000}"/>
    <hyperlink ref="D201" r:id="rId576" display="https://drive.google.com/open?id=1nx420kvbsr8urnff_BRIgmZ5gNnHMe2FuM8H9lD6XEY&amp;usp=drive_copy" xr:uid="{00000000-0004-0000-0400-00003F020000}"/>
    <hyperlink ref="E201" r:id="rId577" display="https://drive.google.com/open?id=1nx420kvbsr8urnff_BRIgmZ5gNnHMe2FuM8H9lD6XEY" xr:uid="{00000000-0004-0000-0400-000040020000}"/>
    <hyperlink ref="H201" r:id="rId578" display="https://docs.google.com/spreadsheets/d/1nx420kvbsr8urnff_BRIgmZ5gNnHMe2FuM8H9lD6XEY" xr:uid="{00000000-0004-0000-0400-000041020000}"/>
    <hyperlink ref="I201" r:id="rId579" display="https://docs.google.com/open?id=1nx420kvbsr8urnff_BRIgmZ5gNnHMe2FuM8H9lD6XEY" xr:uid="{00000000-0004-0000-0400-000042020000}"/>
    <hyperlink ref="D202" r:id="rId580" display="https://drive.google.com/open?id=1oxvmIEAZSSpHSnqlebeMmpTXTl0exGkduKLiQzbjp00&amp;usp=drive_copy" xr:uid="{00000000-0004-0000-0400-000043020000}"/>
    <hyperlink ref="E202" r:id="rId581" display="https://drive.google.com/open?id=1oxvmIEAZSSpHSnqlebeMmpTXTl0exGkduKLiQzbjp00" xr:uid="{00000000-0004-0000-0400-000044020000}"/>
    <hyperlink ref="H202" r:id="rId582" display="https://docs.google.com/spreadsheets/d/1oxvmIEAZSSpHSnqlebeMmpTXTl0exGkduKLiQzbjp00" xr:uid="{00000000-0004-0000-0400-000045020000}"/>
    <hyperlink ref="I202" r:id="rId583" display="https://docs.google.com/open?id=1oxvmIEAZSSpHSnqlebeMmpTXTl0exGkduKLiQzbjp00" xr:uid="{00000000-0004-0000-0400-000046020000}"/>
    <hyperlink ref="D203" r:id="rId584" display="https://drive.google.com/open?id=1qnUnVWn2kRKO8oLDUSWhjsxsZYJJh5ofKS5i2hS0Prk&amp;usp=drive_copy" xr:uid="{00000000-0004-0000-0400-000047020000}"/>
    <hyperlink ref="E203" r:id="rId585" display="https://drive.google.com/open?id=1qnUnVWn2kRKO8oLDUSWhjsxsZYJJh5ofKS5i2hS0Prk" xr:uid="{00000000-0004-0000-0400-000048020000}"/>
    <hyperlink ref="H203" r:id="rId586" display="https://docs.google.com/spreadsheets/d/1qnUnVWn2kRKO8oLDUSWhjsxsZYJJh5ofKS5i2hS0Prk" xr:uid="{00000000-0004-0000-0400-000049020000}"/>
    <hyperlink ref="I203" r:id="rId587" display="https://docs.google.com/open?id=1qnUnVWn2kRKO8oLDUSWhjsxsZYJJh5ofKS5i2hS0Prk" xr:uid="{00000000-0004-0000-0400-00004A020000}"/>
    <hyperlink ref="D204" r:id="rId588" display="https://drive.google.com/open?id=1sHX0KoJRZc74ISydtKpHe0VS4-7QQtWaOe8XLATipOk&amp;usp=drive_copy" xr:uid="{00000000-0004-0000-0400-00004B020000}"/>
    <hyperlink ref="E204" r:id="rId589" display="https://drive.google.com/open?id=1sHX0KoJRZc74ISydtKpHe0VS4-7QQtWaOe8XLATipOk" xr:uid="{00000000-0004-0000-0400-00004C020000}"/>
    <hyperlink ref="H204" r:id="rId590" display="https://docs.google.com/spreadsheets/d/1sHX0KoJRZc74ISydtKpHe0VS4-7QQtWaOe8XLATipOk" xr:uid="{00000000-0004-0000-0400-00004D020000}"/>
    <hyperlink ref="I204" r:id="rId591" display="https://docs.google.com/open?id=1sHX0KoJRZc74ISydtKpHe0VS4-7QQtWaOe8XLATipOk" xr:uid="{00000000-0004-0000-0400-00004E020000}"/>
    <hyperlink ref="D205" r:id="rId592" display="https://drive.google.com/open?id=1zBfcx0TdF003nr_rzPiSnZ4drRXMsiwquWfhrFJ0A54&amp;usp=drive_copy" xr:uid="{00000000-0004-0000-0400-00004F020000}"/>
    <hyperlink ref="E205" r:id="rId593" display="https://drive.google.com/open?id=1zBfcx0TdF003nr_rzPiSnZ4drRXMsiwquWfhrFJ0A54" xr:uid="{00000000-0004-0000-0400-000050020000}"/>
    <hyperlink ref="H205" r:id="rId594" display="https://docs.google.com/spreadsheets/d/1zBfcx0TdF003nr_rzPiSnZ4drRXMsiwquWfhrFJ0A54" xr:uid="{00000000-0004-0000-0400-000051020000}"/>
    <hyperlink ref="I205" r:id="rId595" display="https://docs.google.com/open?id=1zBfcx0TdF003nr_rzPiSnZ4drRXMsiwquWfhrFJ0A54" xr:uid="{00000000-0004-0000-0400-000052020000}"/>
    <hyperlink ref="D206" r:id="rId596" display="https://drive.google.com/open?id=1-PkSCXaCqEA_VP1iUd0aZ4Dn8bKiT18hTPXtvMWMLOI&amp;usp=drive_copy" xr:uid="{00000000-0004-0000-0400-000053020000}"/>
    <hyperlink ref="E206" r:id="rId597" display="https://drive.google.com/open?id=1-PkSCXaCqEA_VP1iUd0aZ4Dn8bKiT18hTPXtvMWMLOI" xr:uid="{00000000-0004-0000-0400-000054020000}"/>
    <hyperlink ref="H206" r:id="rId598" display="https://docs.google.com/spreadsheets/d/1-PkSCXaCqEA_VP1iUd0aZ4Dn8bKiT18hTPXtvMWMLOI" xr:uid="{00000000-0004-0000-0400-000055020000}"/>
    <hyperlink ref="I206" r:id="rId599" display="https://docs.google.com/open?id=1-PkSCXaCqEA_VP1iUd0aZ4Dn8bKiT18hTPXtvMWMLOI" xr:uid="{00000000-0004-0000-0400-000056020000}"/>
    <hyperlink ref="D207" r:id="rId600" display="https://drive.google.com/open?id=10KSMWY1j7Zp9u_vkU1WsZAnqSniXIe-GwxlHsYPPdyQ&amp;usp=drive_copy" xr:uid="{00000000-0004-0000-0400-000057020000}"/>
    <hyperlink ref="E207" r:id="rId601" display="https://drive.google.com/open?id=10KSMWY1j7Zp9u_vkU1WsZAnqSniXIe-GwxlHsYPPdyQ" xr:uid="{00000000-0004-0000-0400-000058020000}"/>
    <hyperlink ref="H207" r:id="rId602" display="https://docs.google.com/spreadsheets/d/10KSMWY1j7Zp9u_vkU1WsZAnqSniXIe-GwxlHsYPPdyQ" xr:uid="{00000000-0004-0000-0400-000059020000}"/>
    <hyperlink ref="I207" r:id="rId603" display="https://docs.google.com/open?id=10KSMWY1j7Zp9u_vkU1WsZAnqSniXIe-GwxlHsYPPdyQ" xr:uid="{00000000-0004-0000-0400-00005A020000}"/>
    <hyperlink ref="D208" r:id="rId604" display="https://drive.google.com/open?id=10rSsdMFG_Z0Uwv1XwEOPegONArA48eFzWIqg21PpqOs&amp;usp=drive_copy" xr:uid="{00000000-0004-0000-0400-00005B020000}"/>
    <hyperlink ref="E208" r:id="rId605" display="https://drive.google.com/open?id=10rSsdMFG_Z0Uwv1XwEOPegONArA48eFzWIqg21PpqOs" xr:uid="{00000000-0004-0000-0400-00005C020000}"/>
    <hyperlink ref="H208" r:id="rId606" display="https://docs.google.com/spreadsheets/d/10rSsdMFG_Z0Uwv1XwEOPegONArA48eFzWIqg21PpqOs" xr:uid="{00000000-0004-0000-0400-00005D020000}"/>
    <hyperlink ref="I208" r:id="rId607" display="https://docs.google.com/open?id=10rSsdMFG_Z0Uwv1XwEOPegONArA48eFzWIqg21PpqOs" xr:uid="{00000000-0004-0000-0400-00005E020000}"/>
    <hyperlink ref="D209" r:id="rId608" display="https://drive.google.com/open?id=10r_UsZUdmg54QO7bo8serIG-MqG3xlhPZDRdK2r9Kpw&amp;usp=drive_copy" xr:uid="{00000000-0004-0000-0400-00005F020000}"/>
    <hyperlink ref="E209" r:id="rId609" display="https://drive.google.com/open?id=10r_UsZUdmg54QO7bo8serIG-MqG3xlhPZDRdK2r9Kpw" xr:uid="{00000000-0004-0000-0400-000060020000}"/>
    <hyperlink ref="H209" r:id="rId610" display="https://docs.google.com/spreadsheets/d/10r_UsZUdmg54QO7bo8serIG-MqG3xlhPZDRdK2r9Kpw" xr:uid="{00000000-0004-0000-0400-000061020000}"/>
    <hyperlink ref="I209" r:id="rId611" display="https://docs.google.com/open?id=10r_UsZUdmg54QO7bo8serIG-MqG3xlhPZDRdK2r9Kpw" xr:uid="{00000000-0004-0000-0400-000062020000}"/>
    <hyperlink ref="D210" r:id="rId612" display="https://drive.google.com/open?id=14GktVkRn0hcgPE5YqXFMiYhXUeLQl4jqYJtvFgF6hTU&amp;usp=drive_copy" xr:uid="{00000000-0004-0000-0400-000063020000}"/>
    <hyperlink ref="E210" r:id="rId613" display="https://drive.google.com/open?id=14GktVkRn0hcgPE5YqXFMiYhXUeLQl4jqYJtvFgF6hTU" xr:uid="{00000000-0004-0000-0400-000064020000}"/>
    <hyperlink ref="H210" r:id="rId614" display="https://docs.google.com/spreadsheets/d/14GktVkRn0hcgPE5YqXFMiYhXUeLQl4jqYJtvFgF6hTU" xr:uid="{00000000-0004-0000-0400-000065020000}"/>
    <hyperlink ref="I210" r:id="rId615" display="https://docs.google.com/open?id=14GktVkRn0hcgPE5YqXFMiYhXUeLQl4jqYJtvFgF6hTU" xr:uid="{00000000-0004-0000-0400-000066020000}"/>
    <hyperlink ref="D211" r:id="rId616" display="https://drive.google.com/open?id=15QfApwuhEO15jiw3v1uAAyQWvf6mevK46wqYBH7wyas&amp;usp=drive_copy" xr:uid="{00000000-0004-0000-0400-000067020000}"/>
    <hyperlink ref="E211" r:id="rId617" display="https://drive.google.com/open?id=15QfApwuhEO15jiw3v1uAAyQWvf6mevK46wqYBH7wyas" xr:uid="{00000000-0004-0000-0400-000068020000}"/>
    <hyperlink ref="H211" r:id="rId618" display="https://docs.google.com/spreadsheets/d/15QfApwuhEO15jiw3v1uAAyQWvf6mevK46wqYBH7wyas" xr:uid="{00000000-0004-0000-0400-000069020000}"/>
    <hyperlink ref="I211" r:id="rId619" display="https://docs.google.com/open?id=15QfApwuhEO15jiw3v1uAAyQWvf6mevK46wqYBH7wyas" xr:uid="{00000000-0004-0000-0400-00006A020000}"/>
    <hyperlink ref="D212" r:id="rId620" display="https://drive.google.com/open?id=12gWK6tQNOTSZt94ws7BXA73VCpywG_LlVxI9ulMbO8E&amp;usp=drive_copy" xr:uid="{00000000-0004-0000-0400-00006B020000}"/>
    <hyperlink ref="E212" r:id="rId621" display="https://drive.google.com/open?id=12gWK6tQNOTSZt94ws7BXA73VCpywG_LlVxI9ulMbO8E" xr:uid="{00000000-0004-0000-0400-00006C020000}"/>
    <hyperlink ref="H212" r:id="rId622" display="https://docs.google.com/spreadsheets/d/12gWK6tQNOTSZt94ws7BXA73VCpywG_LlVxI9ulMbO8E" xr:uid="{00000000-0004-0000-0400-00006D020000}"/>
    <hyperlink ref="I212" r:id="rId623" display="https://docs.google.com/open?id=12gWK6tQNOTSZt94ws7BXA73VCpywG_LlVxI9ulMbO8E" xr:uid="{00000000-0004-0000-0400-00006E020000}"/>
    <hyperlink ref="D213" r:id="rId624" display="https://drive.google.com/open?id=17cM9UFvvKqifEPwUjT3QS4xTRbFQ0_UZl_eZ-jq2rzk&amp;usp=drive_copy" xr:uid="{00000000-0004-0000-0400-00006F020000}"/>
    <hyperlink ref="E213" r:id="rId625" display="https://drive.google.com/open?id=17cM9UFvvKqifEPwUjT3QS4xTRbFQ0_UZl_eZ-jq2rzk" xr:uid="{00000000-0004-0000-0400-000070020000}"/>
    <hyperlink ref="H213" r:id="rId626" display="https://docs.google.com/spreadsheets/d/17cM9UFvvKqifEPwUjT3QS4xTRbFQ0_UZl_eZ-jq2rzk" xr:uid="{00000000-0004-0000-0400-000071020000}"/>
    <hyperlink ref="I213" r:id="rId627" display="https://docs.google.com/open?id=17cM9UFvvKqifEPwUjT3QS4xTRbFQ0_UZl_eZ-jq2rzk" xr:uid="{00000000-0004-0000-0400-000072020000}"/>
    <hyperlink ref="D214" r:id="rId628" display="https://drive.google.com/open?id=1jgQE3cruaVJyDwE5DjyrsE7tSbUIH7_1zQUIewmDbZE&amp;usp=drive_copy" xr:uid="{00000000-0004-0000-0400-000073020000}"/>
    <hyperlink ref="E214" r:id="rId629" display="https://drive.google.com/open?id=1jgQE3cruaVJyDwE5DjyrsE7tSbUIH7_1zQUIewmDbZE" xr:uid="{00000000-0004-0000-0400-000074020000}"/>
    <hyperlink ref="H214" r:id="rId630" display="https://docs.google.com/spreadsheets/d/1jgQE3cruaVJyDwE5DjyrsE7tSbUIH7_1zQUIewmDbZE" xr:uid="{00000000-0004-0000-0400-000075020000}"/>
    <hyperlink ref="I214" r:id="rId631" display="https://docs.google.com/open?id=1jgQE3cruaVJyDwE5DjyrsE7tSbUIH7_1zQUIewmDbZE" xr:uid="{00000000-0004-0000-0400-000076020000}"/>
    <hyperlink ref="D215" r:id="rId632" display="https://drive.google.com/open?id=1lXklUJsSnA574n7icEVg2jxAsHLjkjQB2oPSXbLFI80&amp;usp=drive_copy" xr:uid="{00000000-0004-0000-0400-000077020000}"/>
    <hyperlink ref="E215" r:id="rId633" display="https://drive.google.com/open?id=1lXklUJsSnA574n7icEVg2jxAsHLjkjQB2oPSXbLFI80" xr:uid="{00000000-0004-0000-0400-000078020000}"/>
    <hyperlink ref="H215" r:id="rId634" display="https://docs.google.com/spreadsheets/d/1lXklUJsSnA574n7icEVg2jxAsHLjkjQB2oPSXbLFI80" xr:uid="{00000000-0004-0000-0400-000079020000}"/>
    <hyperlink ref="I215" r:id="rId635" display="https://docs.google.com/open?id=1lXklUJsSnA574n7icEVg2jxAsHLjkjQB2oPSXbLFI80" xr:uid="{00000000-0004-0000-0400-00007A020000}"/>
    <hyperlink ref="D216" r:id="rId636" display="https://drive.google.com/open?id=1mEfo-7STl9l7TDG-nmn0LLWcMxmNUWf5f-tIZ8daGaU&amp;usp=drive_copy" xr:uid="{00000000-0004-0000-0400-00007B020000}"/>
    <hyperlink ref="E216" r:id="rId637" display="https://drive.google.com/open?id=1mEfo-7STl9l7TDG-nmn0LLWcMxmNUWf5f-tIZ8daGaU" xr:uid="{00000000-0004-0000-0400-00007C020000}"/>
    <hyperlink ref="H216" r:id="rId638" display="https://docs.google.com/spreadsheets/d/1mEfo-7STl9l7TDG-nmn0LLWcMxmNUWf5f-tIZ8daGaU" xr:uid="{00000000-0004-0000-0400-00007D020000}"/>
    <hyperlink ref="I216" r:id="rId639" display="https://docs.google.com/open?id=1mEfo-7STl9l7TDG-nmn0LLWcMxmNUWf5f-tIZ8daGaU" xr:uid="{00000000-0004-0000-0400-00007E020000}"/>
    <hyperlink ref="D217" r:id="rId640" display="https://drive.google.com/open?id=10ZQgOSd-0NV2Wu0yzlwduOcSejh5hy0ZK-G0ZfJqk5E&amp;usp=drive_copy" xr:uid="{00000000-0004-0000-0400-00007F020000}"/>
    <hyperlink ref="E217" r:id="rId641" display="https://drive.google.com/open?id=10ZQgOSd-0NV2Wu0yzlwduOcSejh5hy0ZK-G0ZfJqk5E" xr:uid="{00000000-0004-0000-0400-000080020000}"/>
    <hyperlink ref="H217" r:id="rId642" display="https://docs.google.com/spreadsheets/d/10ZQgOSd-0NV2Wu0yzlwduOcSejh5hy0ZK-G0ZfJqk5E" xr:uid="{00000000-0004-0000-0400-000081020000}"/>
    <hyperlink ref="I217" r:id="rId643" display="https://docs.google.com/open?id=10ZQgOSd-0NV2Wu0yzlwduOcSejh5hy0ZK-G0ZfJqk5E" xr:uid="{00000000-0004-0000-0400-000082020000}"/>
    <hyperlink ref="D218" r:id="rId644" display="https://drive.google.com/open?id=1EAyahGhjxPCL1iX8D-KjVlO4ZVCAODx5WV0uFpjgnAM&amp;usp=drive_copy" xr:uid="{00000000-0004-0000-0400-000083020000}"/>
    <hyperlink ref="E218" r:id="rId645" display="https://drive.google.com/open?id=1EAyahGhjxPCL1iX8D-KjVlO4ZVCAODx5WV0uFpjgnAM" xr:uid="{00000000-0004-0000-0400-000084020000}"/>
    <hyperlink ref="H218" r:id="rId646" display="https://docs.google.com/spreadsheets/d/1EAyahGhjxPCL1iX8D-KjVlO4ZVCAODx5WV0uFpjgnAM" xr:uid="{00000000-0004-0000-0400-000085020000}"/>
    <hyperlink ref="I218" r:id="rId647" display="https://docs.google.com/open?id=1EAyahGhjxPCL1iX8D-KjVlO4ZVCAODx5WV0uFpjgnAM" xr:uid="{00000000-0004-0000-0400-000086020000}"/>
    <hyperlink ref="D219" r:id="rId648" display="https://drive.google.com/open?id=1AJbyPTvEEwaelfVjmkCZi1R7IxeJYplBzCxK1aiIWKY&amp;usp=drive_copy" xr:uid="{00000000-0004-0000-0400-000087020000}"/>
    <hyperlink ref="E219" r:id="rId649" display="https://drive.google.com/open?id=1AJbyPTvEEwaelfVjmkCZi1R7IxeJYplBzCxK1aiIWKY" xr:uid="{00000000-0004-0000-0400-000088020000}"/>
    <hyperlink ref="H219" r:id="rId650" display="https://docs.google.com/spreadsheets/d/1AJbyPTvEEwaelfVjmkCZi1R7IxeJYplBzCxK1aiIWKY" xr:uid="{00000000-0004-0000-0400-000089020000}"/>
    <hyperlink ref="I219" r:id="rId651" display="https://docs.google.com/open?id=1AJbyPTvEEwaelfVjmkCZi1R7IxeJYplBzCxK1aiIWKY" xr:uid="{00000000-0004-0000-0400-00008A020000}"/>
    <hyperlink ref="D220" r:id="rId652" display="https://drive.google.com/open?id=1EU6FPBVs4_bHZk5YhLGRafEA6_g5xHbvZj8VG2o9qeY&amp;usp=drive_copy" xr:uid="{00000000-0004-0000-0400-00008B020000}"/>
    <hyperlink ref="E220" r:id="rId653" display="https://drive.google.com/open?id=1EU6FPBVs4_bHZk5YhLGRafEA6_g5xHbvZj8VG2o9qeY" xr:uid="{00000000-0004-0000-0400-00008C020000}"/>
    <hyperlink ref="H220" r:id="rId654" display="https://docs.google.com/spreadsheets/d/1EU6FPBVs4_bHZk5YhLGRafEA6_g5xHbvZj8VG2o9qeY" xr:uid="{00000000-0004-0000-0400-00008D020000}"/>
    <hyperlink ref="I220" r:id="rId655" display="https://docs.google.com/open?id=1EU6FPBVs4_bHZk5YhLGRafEA6_g5xHbvZj8VG2o9qeY" xr:uid="{00000000-0004-0000-0400-00008E020000}"/>
    <hyperlink ref="D221" r:id="rId656" display="https://drive.google.com/open?id=1EjeRz5LjopaQ45gFnAY5NQCQpWc4QFs5vhI2fhhU_cA&amp;usp=drive_copy" xr:uid="{00000000-0004-0000-0400-00008F020000}"/>
    <hyperlink ref="E221" r:id="rId657" display="https://drive.google.com/open?id=1EjeRz5LjopaQ45gFnAY5NQCQpWc4QFs5vhI2fhhU_cA" xr:uid="{00000000-0004-0000-0400-000090020000}"/>
    <hyperlink ref="H221" r:id="rId658" display="https://docs.google.com/spreadsheets/d/1EjeRz5LjopaQ45gFnAY5NQCQpWc4QFs5vhI2fhhU_cA" xr:uid="{00000000-0004-0000-0400-000091020000}"/>
    <hyperlink ref="I221" r:id="rId659" display="https://docs.google.com/open?id=1EjeRz5LjopaQ45gFnAY5NQCQpWc4QFs5vhI2fhhU_cA" xr:uid="{00000000-0004-0000-0400-000092020000}"/>
    <hyperlink ref="D222" r:id="rId660" display="https://drive.google.com/open?id=1FKcQjqLinauzehbSGs5V555Y3ChiwhHP6O0KoyrfEzg&amp;usp=drive_copy" xr:uid="{00000000-0004-0000-0400-000093020000}"/>
    <hyperlink ref="E222" r:id="rId661" display="https://drive.google.com/open?id=1FKcQjqLinauzehbSGs5V555Y3ChiwhHP6O0KoyrfEzg" xr:uid="{00000000-0004-0000-0400-000094020000}"/>
    <hyperlink ref="H222" r:id="rId662" display="https://docs.google.com/spreadsheets/d/1FKcQjqLinauzehbSGs5V555Y3ChiwhHP6O0KoyrfEzg" xr:uid="{00000000-0004-0000-0400-000095020000}"/>
    <hyperlink ref="I222" r:id="rId663" display="https://docs.google.com/open?id=1FKcQjqLinauzehbSGs5V555Y3ChiwhHP6O0KoyrfEzg" xr:uid="{00000000-0004-0000-0400-000096020000}"/>
    <hyperlink ref="D223" r:id="rId664" display="https://drive.google.com/open?id=1Fsx-5ZOCfCKVWOXLqp9p7s9qwc0IipvCRLJfiksv8n8&amp;usp=drive_copy" xr:uid="{00000000-0004-0000-0400-000097020000}"/>
    <hyperlink ref="E223" r:id="rId665" display="https://drive.google.com/open?id=1Fsx-5ZOCfCKVWOXLqp9p7s9qwc0IipvCRLJfiksv8n8" xr:uid="{00000000-0004-0000-0400-000098020000}"/>
    <hyperlink ref="H223" r:id="rId666" display="https://docs.google.com/spreadsheets/d/1Fsx-5ZOCfCKVWOXLqp9p7s9qwc0IipvCRLJfiksv8n8" xr:uid="{00000000-0004-0000-0400-000099020000}"/>
    <hyperlink ref="I223" r:id="rId667" display="https://docs.google.com/open?id=1Fsx-5ZOCfCKVWOXLqp9p7s9qwc0IipvCRLJfiksv8n8" xr:uid="{00000000-0004-0000-0400-00009A020000}"/>
    <hyperlink ref="D224" r:id="rId668" display="https://drive.google.com/open?id=1Gpir0HMU-N9zt_jGne8XIfbSUW_8-K8jf6oflWxIePc&amp;usp=drive_copy" xr:uid="{00000000-0004-0000-0400-00009B020000}"/>
    <hyperlink ref="E224" r:id="rId669" display="https://drive.google.com/open?id=1Gpir0HMU-N9zt_jGne8XIfbSUW_8-K8jf6oflWxIePc" xr:uid="{00000000-0004-0000-0400-00009C020000}"/>
    <hyperlink ref="H224" r:id="rId670" display="https://docs.google.com/spreadsheets/d/1Gpir0HMU-N9zt_jGne8XIfbSUW_8-K8jf6oflWxIePc" xr:uid="{00000000-0004-0000-0400-00009D020000}"/>
    <hyperlink ref="I224" r:id="rId671" display="https://docs.google.com/open?id=1Gpir0HMU-N9zt_jGne8XIfbSUW_8-K8jf6oflWxIePc" xr:uid="{00000000-0004-0000-0400-00009E020000}"/>
    <hyperlink ref="D225" r:id="rId672" display="https://drive.google.com/open?id=1IBOp12-8ahZqktw556yk84p1LLqJVyCZHCoqVBt70Rk&amp;usp=drive_copy" xr:uid="{00000000-0004-0000-0400-00009F020000}"/>
    <hyperlink ref="E225" r:id="rId673" display="https://drive.google.com/open?id=1IBOp12-8ahZqktw556yk84p1LLqJVyCZHCoqVBt70Rk" xr:uid="{00000000-0004-0000-0400-0000A0020000}"/>
    <hyperlink ref="H225" r:id="rId674" display="https://docs.google.com/spreadsheets/d/1IBOp12-8ahZqktw556yk84p1LLqJVyCZHCoqVBt70Rk" xr:uid="{00000000-0004-0000-0400-0000A1020000}"/>
    <hyperlink ref="I225" r:id="rId675" display="https://docs.google.com/open?id=1IBOp12-8ahZqktw556yk84p1LLqJVyCZHCoqVBt70Rk" xr:uid="{00000000-0004-0000-0400-0000A2020000}"/>
    <hyperlink ref="D226" r:id="rId676" display="https://drive.google.com/open?id=1IXb9Bk8sKJ83gCPkX3INib2baN24jj8mVj4yXEoI5IY&amp;usp=drive_copy" xr:uid="{00000000-0004-0000-0400-0000A3020000}"/>
    <hyperlink ref="E226" r:id="rId677" display="https://drive.google.com/open?id=1IXb9Bk8sKJ83gCPkX3INib2baN24jj8mVj4yXEoI5IY" xr:uid="{00000000-0004-0000-0400-0000A4020000}"/>
    <hyperlink ref="H226" r:id="rId678" display="https://docs.google.com/spreadsheets/d/1IXb9Bk8sKJ83gCPkX3INib2baN24jj8mVj4yXEoI5IY" xr:uid="{00000000-0004-0000-0400-0000A5020000}"/>
    <hyperlink ref="I226" r:id="rId679" display="https://docs.google.com/open?id=1IXb9Bk8sKJ83gCPkX3INib2baN24jj8mVj4yXEoI5IY" xr:uid="{00000000-0004-0000-0400-0000A6020000}"/>
    <hyperlink ref="D227" r:id="rId680" display="https://drive.google.com/open?id=1IpjbK_P7dAk_ICHRUCk0DpMxZOgclIBDIH9lpWsYM-E&amp;usp=drive_copy" xr:uid="{00000000-0004-0000-0400-0000A7020000}"/>
    <hyperlink ref="E227" r:id="rId681" display="https://drive.google.com/open?id=1IpjbK_P7dAk_ICHRUCk0DpMxZOgclIBDIH9lpWsYM-E" xr:uid="{00000000-0004-0000-0400-0000A8020000}"/>
    <hyperlink ref="H227" r:id="rId682" display="https://docs.google.com/spreadsheets/d/1IpjbK_P7dAk_ICHRUCk0DpMxZOgclIBDIH9lpWsYM-E" xr:uid="{00000000-0004-0000-0400-0000A9020000}"/>
    <hyperlink ref="I227" r:id="rId683" display="https://docs.google.com/open?id=1IpjbK_P7dAk_ICHRUCk0DpMxZOgclIBDIH9lpWsYM-E" xr:uid="{00000000-0004-0000-0400-0000AA020000}"/>
    <hyperlink ref="D228" r:id="rId684" display="https://drive.google.com/open?id=1Jk_5VSZ5FeXMMoESdIy82MTlH0QRHXsUPr3bwQLquuQ&amp;usp=drive_copy" xr:uid="{00000000-0004-0000-0400-0000AB020000}"/>
    <hyperlink ref="E228" r:id="rId685" display="https://drive.google.com/open?id=1Jk_5VSZ5FeXMMoESdIy82MTlH0QRHXsUPr3bwQLquuQ" xr:uid="{00000000-0004-0000-0400-0000AC020000}"/>
    <hyperlink ref="H228" r:id="rId686" display="https://docs.google.com/spreadsheets/d/1Jk_5VSZ5FeXMMoESdIy82MTlH0QRHXsUPr3bwQLquuQ" xr:uid="{00000000-0004-0000-0400-0000AD020000}"/>
    <hyperlink ref="I228" r:id="rId687" display="https://docs.google.com/open?id=1Jk_5VSZ5FeXMMoESdIy82MTlH0QRHXsUPr3bwQLquuQ" xr:uid="{00000000-0004-0000-0400-0000AE020000}"/>
    <hyperlink ref="D229" r:id="rId688" display="https://drive.google.com/open?id=1JnDnaAKndNVUL00xE3ufawSO5PejocdvIEdEQHCKQlw&amp;usp=drive_copy" xr:uid="{00000000-0004-0000-0400-0000AF020000}"/>
    <hyperlink ref="E229" r:id="rId689" display="https://drive.google.com/open?id=1JnDnaAKndNVUL00xE3ufawSO5PejocdvIEdEQHCKQlw" xr:uid="{00000000-0004-0000-0400-0000B0020000}"/>
    <hyperlink ref="H229" r:id="rId690" display="https://docs.google.com/spreadsheets/d/1JnDnaAKndNVUL00xE3ufawSO5PejocdvIEdEQHCKQlw" xr:uid="{00000000-0004-0000-0400-0000B1020000}"/>
    <hyperlink ref="I229" r:id="rId691" display="https://docs.google.com/open?id=1JnDnaAKndNVUL00xE3ufawSO5PejocdvIEdEQHCKQlw" xr:uid="{00000000-0004-0000-0400-0000B2020000}"/>
    <hyperlink ref="D230" r:id="rId692" display="https://drive.google.com/open?id=1L39DI1wMDf9LCozOoaK5V2Ca99oceCq6rC86LKyKju4&amp;usp=drive_copy" xr:uid="{00000000-0004-0000-0400-0000B3020000}"/>
    <hyperlink ref="E230" r:id="rId693" display="https://drive.google.com/open?id=1L39DI1wMDf9LCozOoaK5V2Ca99oceCq6rC86LKyKju4" xr:uid="{00000000-0004-0000-0400-0000B4020000}"/>
    <hyperlink ref="H230" r:id="rId694" display="https://docs.google.com/spreadsheets/d/1L39DI1wMDf9LCozOoaK5V2Ca99oceCq6rC86LKyKju4" xr:uid="{00000000-0004-0000-0400-0000B5020000}"/>
    <hyperlink ref="I230" r:id="rId695" display="https://docs.google.com/open?id=1L39DI1wMDf9LCozOoaK5V2Ca99oceCq6rC86LKyKju4" xr:uid="{00000000-0004-0000-0400-0000B6020000}"/>
    <hyperlink ref="D231" r:id="rId696" display="https://drive.google.com/open?id=1MCWYAfDexINng7XNBycVpbbjJ4zCkX3Uu46SR1hZ6EI&amp;usp=drive_copy" xr:uid="{00000000-0004-0000-0400-0000B7020000}"/>
    <hyperlink ref="E231" r:id="rId697" display="https://drive.google.com/open?id=1MCWYAfDexINng7XNBycVpbbjJ4zCkX3Uu46SR1hZ6EI" xr:uid="{00000000-0004-0000-0400-0000B8020000}"/>
    <hyperlink ref="H231" r:id="rId698" display="https://docs.google.com/spreadsheets/d/1MCWYAfDexINng7XNBycVpbbjJ4zCkX3Uu46SR1hZ6EI" xr:uid="{00000000-0004-0000-0400-0000B9020000}"/>
    <hyperlink ref="I231" r:id="rId699" display="https://docs.google.com/open?id=1MCWYAfDexINng7XNBycVpbbjJ4zCkX3Uu46SR1hZ6EI" xr:uid="{00000000-0004-0000-0400-0000BA020000}"/>
    <hyperlink ref="D232" r:id="rId700" display="https://drive.google.com/open?id=1OGhMSmwLzY_YX9czT4J-ieZpRTQUnUIAMTS094bSnHo&amp;usp=drive_copy" xr:uid="{00000000-0004-0000-0400-0000BB020000}"/>
    <hyperlink ref="E232" r:id="rId701" display="https://drive.google.com/open?id=1OGhMSmwLzY_YX9czT4J-ieZpRTQUnUIAMTS094bSnHo" xr:uid="{00000000-0004-0000-0400-0000BC020000}"/>
    <hyperlink ref="H232" r:id="rId702" display="https://docs.google.com/spreadsheets/d/1OGhMSmwLzY_YX9czT4J-ieZpRTQUnUIAMTS094bSnHo" xr:uid="{00000000-0004-0000-0400-0000BD020000}"/>
    <hyperlink ref="I232" r:id="rId703" display="https://docs.google.com/open?id=1OGhMSmwLzY_YX9czT4J-ieZpRTQUnUIAMTS094bSnHo" xr:uid="{00000000-0004-0000-0400-0000BE020000}"/>
    <hyperlink ref="D233" r:id="rId704" display="https://drive.google.com/open?id=1P-hE-x-Nxd0tb3vcyrjzmtxs6VOeAGtQ7l_TrBZv7TU&amp;usp=drive_copy" xr:uid="{00000000-0004-0000-0400-0000BF020000}"/>
    <hyperlink ref="E233" r:id="rId705" display="https://drive.google.com/open?id=1P-hE-x-Nxd0tb3vcyrjzmtxs6VOeAGtQ7l_TrBZv7TU" xr:uid="{00000000-0004-0000-0400-0000C0020000}"/>
    <hyperlink ref="H233" r:id="rId706" display="https://docs.google.com/spreadsheets/d/1P-hE-x-Nxd0tb3vcyrjzmtxs6VOeAGtQ7l_TrBZv7TU" xr:uid="{00000000-0004-0000-0400-0000C1020000}"/>
    <hyperlink ref="I233" r:id="rId707" display="https://docs.google.com/open?id=1P-hE-x-Nxd0tb3vcyrjzmtxs6VOeAGtQ7l_TrBZv7TU" xr:uid="{00000000-0004-0000-0400-0000C2020000}"/>
    <hyperlink ref="D234" r:id="rId708" display="https://drive.google.com/open?id=1PixfsHZVJl09BlpcNdPDbSD8Y5E_kr-Y5Y90OrRDYIM&amp;usp=drive_copy" xr:uid="{00000000-0004-0000-0400-0000C3020000}"/>
    <hyperlink ref="E234" r:id="rId709" display="https://drive.google.com/open?id=1PixfsHZVJl09BlpcNdPDbSD8Y5E_kr-Y5Y90OrRDYIM" xr:uid="{00000000-0004-0000-0400-0000C4020000}"/>
    <hyperlink ref="H234" r:id="rId710" display="https://docs.google.com/spreadsheets/d/1PixfsHZVJl09BlpcNdPDbSD8Y5E_kr-Y5Y90OrRDYIM" xr:uid="{00000000-0004-0000-0400-0000C5020000}"/>
    <hyperlink ref="I234" r:id="rId711" display="https://docs.google.com/open?id=1PixfsHZVJl09BlpcNdPDbSD8Y5E_kr-Y5Y90OrRDYIM" xr:uid="{00000000-0004-0000-0400-0000C6020000}"/>
    <hyperlink ref="D235" r:id="rId712" display="https://drive.google.com/open?id=1QNC_GjwCaYLhAtQnqLKMIiNB46WOFjAYv6RyJ9_bKTc&amp;usp=drive_copy" xr:uid="{00000000-0004-0000-0400-0000C7020000}"/>
    <hyperlink ref="E235" r:id="rId713" display="https://drive.google.com/open?id=1QNC_GjwCaYLhAtQnqLKMIiNB46WOFjAYv6RyJ9_bKTc" xr:uid="{00000000-0004-0000-0400-0000C8020000}"/>
    <hyperlink ref="H235" r:id="rId714" display="https://docs.google.com/spreadsheets/d/1QNC_GjwCaYLhAtQnqLKMIiNB46WOFjAYv6RyJ9_bKTc" xr:uid="{00000000-0004-0000-0400-0000C9020000}"/>
    <hyperlink ref="I235" r:id="rId715" display="https://docs.google.com/open?id=1QNC_GjwCaYLhAtQnqLKMIiNB46WOFjAYv6RyJ9_bKTc" xr:uid="{00000000-0004-0000-0400-0000CA020000}"/>
    <hyperlink ref="D236" r:id="rId716" display="https://drive.google.com/open?id=1Scrz15EVMsypf1pcMUHNhoybcUnhsXxJFKEiAOmHZAo&amp;usp=drive_copy" xr:uid="{00000000-0004-0000-0400-0000CB020000}"/>
    <hyperlink ref="E236" r:id="rId717" display="https://drive.google.com/open?id=1Scrz15EVMsypf1pcMUHNhoybcUnhsXxJFKEiAOmHZAo" xr:uid="{00000000-0004-0000-0400-0000CC020000}"/>
    <hyperlink ref="H236" r:id="rId718" display="https://docs.google.com/spreadsheets/d/1Scrz15EVMsypf1pcMUHNhoybcUnhsXxJFKEiAOmHZAo" xr:uid="{00000000-0004-0000-0400-0000CD020000}"/>
    <hyperlink ref="I236" r:id="rId719" display="https://docs.google.com/open?id=1Scrz15EVMsypf1pcMUHNhoybcUnhsXxJFKEiAOmHZAo" xr:uid="{00000000-0004-0000-0400-0000CE020000}"/>
    <hyperlink ref="D237" r:id="rId720" display="https://drive.google.com/open?id=1T1TlUoxuPrXb59J6Pq0GSChhFotWcNzNzg3saMpJlHI&amp;usp=drive_copy" xr:uid="{00000000-0004-0000-0400-0000CF020000}"/>
    <hyperlink ref="E237" r:id="rId721" display="https://drive.google.com/open?id=1T1TlUoxuPrXb59J6Pq0GSChhFotWcNzNzg3saMpJlHI" xr:uid="{00000000-0004-0000-0400-0000D0020000}"/>
    <hyperlink ref="H237" r:id="rId722" display="https://docs.google.com/spreadsheets/d/1T1TlUoxuPrXb59J6Pq0GSChhFotWcNzNzg3saMpJlHI" xr:uid="{00000000-0004-0000-0400-0000D1020000}"/>
    <hyperlink ref="I237" r:id="rId723" display="https://docs.google.com/open?id=1T1TlUoxuPrXb59J6Pq0GSChhFotWcNzNzg3saMpJlHI" xr:uid="{00000000-0004-0000-0400-0000D2020000}"/>
    <hyperlink ref="D238" r:id="rId724" display="https://drive.google.com/open?id=1XBeelw9ucV4ytdCXxFLAtKpPLOvWqSDpL9PSFdCQDYA&amp;usp=drive_copy" xr:uid="{00000000-0004-0000-0400-0000D3020000}"/>
    <hyperlink ref="E238" r:id="rId725" display="https://drive.google.com/open?id=1XBeelw9ucV4ytdCXxFLAtKpPLOvWqSDpL9PSFdCQDYA" xr:uid="{00000000-0004-0000-0400-0000D4020000}"/>
    <hyperlink ref="H238" r:id="rId726" display="https://docs.google.com/spreadsheets/d/1XBeelw9ucV4ytdCXxFLAtKpPLOvWqSDpL9PSFdCQDYA" xr:uid="{00000000-0004-0000-0400-0000D5020000}"/>
    <hyperlink ref="I238" r:id="rId727" display="https://docs.google.com/open?id=1XBeelw9ucV4ytdCXxFLAtKpPLOvWqSDpL9PSFdCQDYA" xr:uid="{00000000-0004-0000-0400-0000D6020000}"/>
    <hyperlink ref="D239" r:id="rId728" display="https://drive.google.com/open?id=1XvsihmVQFuIhNuYLr4ZY3pwe7z0DK2N9-5RGJzYmsxE&amp;usp=drive_copy" xr:uid="{00000000-0004-0000-0400-0000D7020000}"/>
    <hyperlink ref="E239" r:id="rId729" display="https://drive.google.com/open?id=1XvsihmVQFuIhNuYLr4ZY3pwe7z0DK2N9-5RGJzYmsxE" xr:uid="{00000000-0004-0000-0400-0000D8020000}"/>
    <hyperlink ref="H239" r:id="rId730" display="https://docs.google.com/spreadsheets/d/1XvsihmVQFuIhNuYLr4ZY3pwe7z0DK2N9-5RGJzYmsxE" xr:uid="{00000000-0004-0000-0400-0000D9020000}"/>
    <hyperlink ref="I239" r:id="rId731" display="https://docs.google.com/open?id=1XvsihmVQFuIhNuYLr4ZY3pwe7z0DK2N9-5RGJzYmsxE" xr:uid="{00000000-0004-0000-0400-0000DA020000}"/>
    <hyperlink ref="D240" r:id="rId732" display="https://drive.google.com/open?id=1ZYsGL93hUEpIsfPXZXcFQ8UvpYdafnpu3DWPsXTaF3E&amp;usp=drive_copy" xr:uid="{00000000-0004-0000-0400-0000DB020000}"/>
    <hyperlink ref="E240" r:id="rId733" display="https://drive.google.com/open?id=1ZYsGL93hUEpIsfPXZXcFQ8UvpYdafnpu3DWPsXTaF3E" xr:uid="{00000000-0004-0000-0400-0000DC020000}"/>
    <hyperlink ref="H240" r:id="rId734" display="https://docs.google.com/spreadsheets/d/1ZYsGL93hUEpIsfPXZXcFQ8UvpYdafnpu3DWPsXTaF3E" xr:uid="{00000000-0004-0000-0400-0000DD020000}"/>
    <hyperlink ref="I240" r:id="rId735" display="https://docs.google.com/open?id=1ZYsGL93hUEpIsfPXZXcFQ8UvpYdafnpu3DWPsXTaF3E" xr:uid="{00000000-0004-0000-0400-0000DE020000}"/>
    <hyperlink ref="D241" r:id="rId736" display="https://drive.google.com/open?id=188gvfRHY-Lhh0buPxNcpokgAmKt2u7SV1hIsUVuVCrQ&amp;usp=drive_copy" xr:uid="{00000000-0004-0000-0400-0000DF020000}"/>
    <hyperlink ref="E241" r:id="rId737" display="https://drive.google.com/open?id=188gvfRHY-Lhh0buPxNcpokgAmKt2u7SV1hIsUVuVCrQ" xr:uid="{00000000-0004-0000-0400-0000E0020000}"/>
    <hyperlink ref="H241" r:id="rId738" display="https://docs.google.com/spreadsheets/d/188gvfRHY-Lhh0buPxNcpokgAmKt2u7SV1hIsUVuVCrQ" xr:uid="{00000000-0004-0000-0400-0000E1020000}"/>
    <hyperlink ref="I241" r:id="rId739" display="https://docs.google.com/open?id=188gvfRHY-Lhh0buPxNcpokgAmKt2u7SV1hIsUVuVCrQ" xr:uid="{00000000-0004-0000-0400-0000E2020000}"/>
    <hyperlink ref="D242" r:id="rId740" display="https://drive.google.com/open?id=19an57qPg6-LW9HFYiknpVSOIG8cltkLJUsfFA7qJj5A&amp;usp=drive_copy" xr:uid="{00000000-0004-0000-0400-0000E3020000}"/>
    <hyperlink ref="E242" r:id="rId741" display="https://drive.google.com/open?id=19an57qPg6-LW9HFYiknpVSOIG8cltkLJUsfFA7qJj5A" xr:uid="{00000000-0004-0000-0400-0000E4020000}"/>
    <hyperlink ref="H242" r:id="rId742" display="https://docs.google.com/spreadsheets/d/19an57qPg6-LW9HFYiknpVSOIG8cltkLJUsfFA7qJj5A" xr:uid="{00000000-0004-0000-0400-0000E5020000}"/>
    <hyperlink ref="I242" r:id="rId743" display="https://docs.google.com/open?id=19an57qPg6-LW9HFYiknpVSOIG8cltkLJUsfFA7qJj5A" xr:uid="{00000000-0004-0000-0400-0000E6020000}"/>
    <hyperlink ref="D243" r:id="rId744" display="https://drive.google.com/open?id=1ABRpeRqMDXErNoGQEaO1t9HHevH-K2aqmWK4TwlrTNg&amp;usp=drive_copy" xr:uid="{00000000-0004-0000-0400-0000E7020000}"/>
    <hyperlink ref="E243" r:id="rId745" display="https://drive.google.com/open?id=1ABRpeRqMDXErNoGQEaO1t9HHevH-K2aqmWK4TwlrTNg" xr:uid="{00000000-0004-0000-0400-0000E8020000}"/>
    <hyperlink ref="H243" r:id="rId746" display="https://docs.google.com/spreadsheets/d/1ABRpeRqMDXErNoGQEaO1t9HHevH-K2aqmWK4TwlrTNg" xr:uid="{00000000-0004-0000-0400-0000E9020000}"/>
    <hyperlink ref="I243" r:id="rId747" display="https://docs.google.com/open?id=1ABRpeRqMDXErNoGQEaO1t9HHevH-K2aqmWK4TwlrTNg" xr:uid="{00000000-0004-0000-0400-0000EA020000}"/>
    <hyperlink ref="D244" r:id="rId748" display="https://drive.google.com/open?id=1_OC1x9LoKGkG1q2azWKy02arliNVRdFHPLG1bfvCfow&amp;usp=drive_copy" xr:uid="{00000000-0004-0000-0400-0000EB020000}"/>
    <hyperlink ref="E244" r:id="rId749" display="https://drive.google.com/open?id=1_OC1x9LoKGkG1q2azWKy02arliNVRdFHPLG1bfvCfow" xr:uid="{00000000-0004-0000-0400-0000EC020000}"/>
    <hyperlink ref="H244" r:id="rId750" display="https://docs.google.com/spreadsheets/d/1_OC1x9LoKGkG1q2azWKy02arliNVRdFHPLG1bfvCfow" xr:uid="{00000000-0004-0000-0400-0000ED020000}"/>
    <hyperlink ref="I244" r:id="rId751" display="https://docs.google.com/open?id=1_OC1x9LoKGkG1q2azWKy02arliNVRdFHPLG1bfvCfow" xr:uid="{00000000-0004-0000-0400-0000EE020000}"/>
    <hyperlink ref="D245" r:id="rId752" display="https://drive.google.com/open?id=1aPbxKEwoWAW89NUoyt5Dcy_08-96FShFe6vtAsXZh2o&amp;usp=drive_copy" xr:uid="{00000000-0004-0000-0400-0000EF020000}"/>
    <hyperlink ref="E245" r:id="rId753" display="https://drive.google.com/open?id=1aPbxKEwoWAW89NUoyt5Dcy_08-96FShFe6vtAsXZh2o" xr:uid="{00000000-0004-0000-0400-0000F0020000}"/>
    <hyperlink ref="H245" r:id="rId754" display="https://docs.google.com/spreadsheets/d/1aPbxKEwoWAW89NUoyt5Dcy_08-96FShFe6vtAsXZh2o" xr:uid="{00000000-0004-0000-0400-0000F1020000}"/>
    <hyperlink ref="I245" r:id="rId755" display="https://docs.google.com/open?id=1aPbxKEwoWAW89NUoyt5Dcy_08-96FShFe6vtAsXZh2o" xr:uid="{00000000-0004-0000-0400-0000F2020000}"/>
    <hyperlink ref="D246" r:id="rId756" display="https://drive.google.com/open?id=1c3br8TdeXFL5utojEt0poDYlrdaQ7v0TiQ9p2dXiWuA&amp;usp=drive_copy" xr:uid="{00000000-0004-0000-0400-0000F3020000}"/>
    <hyperlink ref="E246" r:id="rId757" display="https://drive.google.com/open?id=1c3br8TdeXFL5utojEt0poDYlrdaQ7v0TiQ9p2dXiWuA" xr:uid="{00000000-0004-0000-0400-0000F4020000}"/>
    <hyperlink ref="H246" r:id="rId758" display="https://docs.google.com/spreadsheets/d/1c3br8TdeXFL5utojEt0poDYlrdaQ7v0TiQ9p2dXiWuA" xr:uid="{00000000-0004-0000-0400-0000F5020000}"/>
    <hyperlink ref="I246" r:id="rId759" display="https://docs.google.com/open?id=1c3br8TdeXFL5utojEt0poDYlrdaQ7v0TiQ9p2dXiWuA" xr:uid="{00000000-0004-0000-0400-0000F6020000}"/>
    <hyperlink ref="D247" r:id="rId760" display="https://drive.google.com/open?id=1cbeGkjsmhBnqkSbnaED3lH6sqZYfy4rst8pE_bRbCAM&amp;usp=drive_copy" xr:uid="{00000000-0004-0000-0400-0000F7020000}"/>
    <hyperlink ref="E247" r:id="rId761" display="https://drive.google.com/open?id=1cbeGkjsmhBnqkSbnaED3lH6sqZYfy4rst8pE_bRbCAM" xr:uid="{00000000-0004-0000-0400-0000F8020000}"/>
    <hyperlink ref="H247" r:id="rId762" display="https://docs.google.com/spreadsheets/d/1cbeGkjsmhBnqkSbnaED3lH6sqZYfy4rst8pE_bRbCAM" xr:uid="{00000000-0004-0000-0400-0000F9020000}"/>
    <hyperlink ref="I247" r:id="rId763" display="https://docs.google.com/open?id=1cbeGkjsmhBnqkSbnaED3lH6sqZYfy4rst8pE_bRbCAM" xr:uid="{00000000-0004-0000-0400-0000FA020000}"/>
    <hyperlink ref="D248" r:id="rId764" display="https://drive.google.com/open?id=1cc0nC60HvZT-rjDdC-T_qjGOMNj7qr7Rawn8ISFSPuc&amp;usp=drive_copy" xr:uid="{00000000-0004-0000-0400-0000FB020000}"/>
    <hyperlink ref="E248" r:id="rId765" display="https://drive.google.com/open?id=1cc0nC60HvZT-rjDdC-T_qjGOMNj7qr7Rawn8ISFSPuc" xr:uid="{00000000-0004-0000-0400-0000FC020000}"/>
    <hyperlink ref="H248" r:id="rId766" display="https://docs.google.com/spreadsheets/d/1cc0nC60HvZT-rjDdC-T_qjGOMNj7qr7Rawn8ISFSPuc" xr:uid="{00000000-0004-0000-0400-0000FD020000}"/>
    <hyperlink ref="I248" r:id="rId767" display="https://docs.google.com/open?id=1cc0nC60HvZT-rjDdC-T_qjGOMNj7qr7Rawn8ISFSPuc" xr:uid="{00000000-0004-0000-0400-0000FE020000}"/>
    <hyperlink ref="D249" r:id="rId768" display="https://drive.google.com/open?id=1eQfRi8k0tisrHhZXh7t6BKiuIbxVlL4ZebSu_6o7okk&amp;usp=drive_copy" xr:uid="{00000000-0004-0000-0400-0000FF020000}"/>
    <hyperlink ref="E249" r:id="rId769" display="https://drive.google.com/open?id=1eQfRi8k0tisrHhZXh7t6BKiuIbxVlL4ZebSu_6o7okk" xr:uid="{00000000-0004-0000-0400-000000030000}"/>
    <hyperlink ref="H249" r:id="rId770" display="https://docs.google.com/spreadsheets/d/1eQfRi8k0tisrHhZXh7t6BKiuIbxVlL4ZebSu_6o7okk" xr:uid="{00000000-0004-0000-0400-000001030000}"/>
    <hyperlink ref="I249" r:id="rId771" display="https://docs.google.com/open?id=1eQfRi8k0tisrHhZXh7t6BKiuIbxVlL4ZebSu_6o7okk" xr:uid="{00000000-0004-0000-0400-000002030000}"/>
    <hyperlink ref="D250" r:id="rId772" display="https://drive.google.com/open?id=1fBKYLNch64XfKPNXo0qRVwGAGElTRl-N1CHAUKreBvs&amp;usp=drive_copy" xr:uid="{00000000-0004-0000-0400-000003030000}"/>
    <hyperlink ref="E250" r:id="rId773" display="https://drive.google.com/open?id=1fBKYLNch64XfKPNXo0qRVwGAGElTRl-N1CHAUKreBvs" xr:uid="{00000000-0004-0000-0400-000004030000}"/>
    <hyperlink ref="H250" r:id="rId774" display="https://docs.google.com/spreadsheets/d/1fBKYLNch64XfKPNXo0qRVwGAGElTRl-N1CHAUKreBvs" xr:uid="{00000000-0004-0000-0400-000005030000}"/>
    <hyperlink ref="I250" r:id="rId775" display="https://docs.google.com/open?id=1fBKYLNch64XfKPNXo0qRVwGAGElTRl-N1CHAUKreBvs" xr:uid="{00000000-0004-0000-0400-000006030000}"/>
    <hyperlink ref="D251" r:id="rId776" display="https://drive.google.com/open?id=1guCrqxjyAvw3Wse-sH49A4MJcrkldK5kLxFfybSBydA&amp;usp=drive_copy" xr:uid="{00000000-0004-0000-0400-000007030000}"/>
    <hyperlink ref="E251" r:id="rId777" display="https://drive.google.com/open?id=1guCrqxjyAvw3Wse-sH49A4MJcrkldK5kLxFfybSBydA" xr:uid="{00000000-0004-0000-0400-000008030000}"/>
    <hyperlink ref="H251" r:id="rId778" display="https://docs.google.com/spreadsheets/d/1guCrqxjyAvw3Wse-sH49A4MJcrkldK5kLxFfybSBydA" xr:uid="{00000000-0004-0000-0400-000009030000}"/>
    <hyperlink ref="I251" r:id="rId779" display="https://docs.google.com/open?id=1guCrqxjyAvw3Wse-sH49A4MJcrkldK5kLxFfybSBydA" xr:uid="{00000000-0004-0000-0400-00000A030000}"/>
    <hyperlink ref="D252" r:id="rId780" display="https://drive.google.com/open?id=1hudjfA1PESgxzvm0EBhX9fasftTYv54YJd2Ei6dRapM&amp;usp=drive_copy" xr:uid="{00000000-0004-0000-0400-00000B030000}"/>
    <hyperlink ref="E252" r:id="rId781" display="https://drive.google.com/open?id=1hudjfA1PESgxzvm0EBhX9fasftTYv54YJd2Ei6dRapM" xr:uid="{00000000-0004-0000-0400-00000C030000}"/>
    <hyperlink ref="H252" r:id="rId782" display="https://docs.google.com/spreadsheets/d/1hudjfA1PESgxzvm0EBhX9fasftTYv54YJd2Ei6dRapM" xr:uid="{00000000-0004-0000-0400-00000D030000}"/>
    <hyperlink ref="I252" r:id="rId783" display="https://docs.google.com/open?id=1hudjfA1PESgxzvm0EBhX9fasftTYv54YJd2Ei6dRapM" xr:uid="{00000000-0004-0000-0400-00000E030000}"/>
    <hyperlink ref="D253" r:id="rId784" display="https://drive.google.com/open?id=1pHCmn5lXac1tgzmYkb6CtPNGruYb1PxdtkZucIpUu3A&amp;usp=drive_copy" xr:uid="{00000000-0004-0000-0400-00000F030000}"/>
    <hyperlink ref="E253" r:id="rId785" display="https://drive.google.com/open?id=1pHCmn5lXac1tgzmYkb6CtPNGruYb1PxdtkZucIpUu3A" xr:uid="{00000000-0004-0000-0400-000010030000}"/>
    <hyperlink ref="H253" r:id="rId786" display="https://docs.google.com/spreadsheets/d/1pHCmn5lXac1tgzmYkb6CtPNGruYb1PxdtkZucIpUu3A" xr:uid="{00000000-0004-0000-0400-000011030000}"/>
    <hyperlink ref="I253" r:id="rId787" display="https://docs.google.com/open?id=1pHCmn5lXac1tgzmYkb6CtPNGruYb1PxdtkZucIpUu3A" xr:uid="{00000000-0004-0000-0400-000012030000}"/>
    <hyperlink ref="D254" r:id="rId788" display="https://drive.google.com/open?id=1q_JiLk6_bA0dxtygieXCkIl4UPThvRWiS18iZb3nD7Y&amp;usp=drive_copy" xr:uid="{00000000-0004-0000-0400-000013030000}"/>
    <hyperlink ref="E254" r:id="rId789" display="https://drive.google.com/open?id=1q_JiLk6_bA0dxtygieXCkIl4UPThvRWiS18iZb3nD7Y" xr:uid="{00000000-0004-0000-0400-000014030000}"/>
    <hyperlink ref="H254" r:id="rId790" display="https://docs.google.com/spreadsheets/d/1q_JiLk6_bA0dxtygieXCkIl4UPThvRWiS18iZb3nD7Y" xr:uid="{00000000-0004-0000-0400-000015030000}"/>
    <hyperlink ref="I254" r:id="rId791" display="https://docs.google.com/open?id=1q_JiLk6_bA0dxtygieXCkIl4UPThvRWiS18iZb3nD7Y" xr:uid="{00000000-0004-0000-0400-000016030000}"/>
    <hyperlink ref="D255" r:id="rId792" display="https://drive.google.com/open?id=1ncnwZuMQy05fjCX98NBp_RkrmXPGyLpIea6g6mbazAg&amp;usp=drive_copy" xr:uid="{00000000-0004-0000-0400-000017030000}"/>
    <hyperlink ref="E255" r:id="rId793" display="https://drive.google.com/open?id=1ncnwZuMQy05fjCX98NBp_RkrmXPGyLpIea6g6mbazAg" xr:uid="{00000000-0004-0000-0400-000018030000}"/>
    <hyperlink ref="H255" r:id="rId794" display="https://docs.google.com/spreadsheets/d/1ncnwZuMQy05fjCX98NBp_RkrmXPGyLpIea6g6mbazAg" xr:uid="{00000000-0004-0000-0400-000019030000}"/>
    <hyperlink ref="I255" r:id="rId795" display="https://docs.google.com/open?id=1ncnwZuMQy05fjCX98NBp_RkrmXPGyLpIea6g6mbazAg" xr:uid="{00000000-0004-0000-0400-00001A030000}"/>
    <hyperlink ref="D256" r:id="rId796" display="https://drive.google.com/open?id=1r_4E1DJQBY0hYJ68f6K1LUruIPwYfjcgQ_f9QvwFH5c&amp;usp=drive_copy" xr:uid="{00000000-0004-0000-0400-00001B030000}"/>
    <hyperlink ref="E256" r:id="rId797" display="https://drive.google.com/open?id=1r_4E1DJQBY0hYJ68f6K1LUruIPwYfjcgQ_f9QvwFH5c" xr:uid="{00000000-0004-0000-0400-00001C030000}"/>
    <hyperlink ref="H256" r:id="rId798" display="https://docs.google.com/spreadsheets/d/1r_4E1DJQBY0hYJ68f6K1LUruIPwYfjcgQ_f9QvwFH5c" xr:uid="{00000000-0004-0000-0400-00001D030000}"/>
    <hyperlink ref="I256" r:id="rId799" display="https://docs.google.com/open?id=1r_4E1DJQBY0hYJ68f6K1LUruIPwYfjcgQ_f9QvwFH5c" xr:uid="{00000000-0004-0000-0400-00001E030000}"/>
    <hyperlink ref="D257" r:id="rId800" display="https://drive.google.com/open?id=1jHoKTzOHUEoVSMIKilhHMKvGU6KARjQzHPlRd-XMikY&amp;usp=drive_copy" xr:uid="{00000000-0004-0000-0400-00001F030000}"/>
    <hyperlink ref="E257" r:id="rId801" display="https://drive.google.com/open?id=1jHoKTzOHUEoVSMIKilhHMKvGU6KARjQzHPlRd-XMikY" xr:uid="{00000000-0004-0000-0400-000020030000}"/>
    <hyperlink ref="H257" r:id="rId802" display="https://docs.google.com/spreadsheets/d/1jHoKTzOHUEoVSMIKilhHMKvGU6KARjQzHPlRd-XMikY" xr:uid="{00000000-0004-0000-0400-000021030000}"/>
    <hyperlink ref="I257" r:id="rId803" display="https://docs.google.com/open?id=1jHoKTzOHUEoVSMIKilhHMKvGU6KARjQzHPlRd-XMikY" xr:uid="{00000000-0004-0000-0400-000022030000}"/>
    <hyperlink ref="D258" r:id="rId804" display="https://drive.google.com/open?id=1jQ-7c5ERC3tXeayZb7oi74uqtsIppLSQRPAb2tzZs38&amp;usp=drive_copy" xr:uid="{00000000-0004-0000-0400-000023030000}"/>
    <hyperlink ref="E258" r:id="rId805" display="https://drive.google.com/open?id=1jQ-7c5ERC3tXeayZb7oi74uqtsIppLSQRPAb2tzZs38" xr:uid="{00000000-0004-0000-0400-000024030000}"/>
    <hyperlink ref="H258" r:id="rId806" display="https://docs.google.com/spreadsheets/d/1jQ-7c5ERC3tXeayZb7oi74uqtsIppLSQRPAb2tzZs38" xr:uid="{00000000-0004-0000-0400-000025030000}"/>
    <hyperlink ref="I258" r:id="rId807" display="https://docs.google.com/open?id=1jQ-7c5ERC3tXeayZb7oi74uqtsIppLSQRPAb2tzZs38" xr:uid="{00000000-0004-0000-0400-000026030000}"/>
    <hyperlink ref="D259" r:id="rId808" display="https://drive.google.com/open?id=1fg_dhVP4MOnnKKDl-3hzPsSmqw1h1XEes-_m6xCC11Y&amp;usp=drive_copy" xr:uid="{00000000-0004-0000-0400-000027030000}"/>
    <hyperlink ref="E259" r:id="rId809" display="https://drive.google.com/open?id=1fg_dhVP4MOnnKKDl-3hzPsSmqw1h1XEes-_m6xCC11Y" xr:uid="{00000000-0004-0000-0400-000028030000}"/>
    <hyperlink ref="H259" r:id="rId810" display="https://docs.google.com/spreadsheets/d/1fg_dhVP4MOnnKKDl-3hzPsSmqw1h1XEes-_m6xCC11Y" xr:uid="{00000000-0004-0000-0400-000029030000}"/>
    <hyperlink ref="I259" r:id="rId811" display="https://docs.google.com/open?id=1fg_dhVP4MOnnKKDl-3hzPsSmqw1h1XEes-_m6xCC11Y" xr:uid="{00000000-0004-0000-0400-00002A030000}"/>
    <hyperlink ref="D260" r:id="rId812" display="https://drive.google.com/open?id=1h0da8XbNWNtnvc2iqgmLRYia5n8Ip5prEHOVJEHIFD4&amp;usp=drive_copy" xr:uid="{00000000-0004-0000-0400-00002B030000}"/>
    <hyperlink ref="E260" r:id="rId813" display="https://drive.google.com/open?id=1h0da8XbNWNtnvc2iqgmLRYia5n8Ip5prEHOVJEHIFD4" xr:uid="{00000000-0004-0000-0400-00002C030000}"/>
    <hyperlink ref="H260" r:id="rId814" display="https://docs.google.com/spreadsheets/d/1h0da8XbNWNtnvc2iqgmLRYia5n8Ip5prEHOVJEHIFD4" xr:uid="{00000000-0004-0000-0400-00002D030000}"/>
    <hyperlink ref="I260" r:id="rId815" display="https://docs.google.com/open?id=1h0da8XbNWNtnvc2iqgmLRYia5n8Ip5prEHOVJEHIFD4" xr:uid="{00000000-0004-0000-0400-00002E030000}"/>
    <hyperlink ref="D261" r:id="rId816" display="https://drive.google.com/open?id=1k7dXBbFOVUnaY8cGkVNhZNLVJWVhuSnWIgfPvMcNjrY&amp;usp=drive_copy" xr:uid="{00000000-0004-0000-0400-00002F030000}"/>
    <hyperlink ref="E261" r:id="rId817" display="https://drive.google.com/open?id=1k7dXBbFOVUnaY8cGkVNhZNLVJWVhuSnWIgfPvMcNjrY" xr:uid="{00000000-0004-0000-0400-000030030000}"/>
    <hyperlink ref="H261" r:id="rId818" display="https://docs.google.com/spreadsheets/d/1k7dXBbFOVUnaY8cGkVNhZNLVJWVhuSnWIgfPvMcNjrY" xr:uid="{00000000-0004-0000-0400-000031030000}"/>
    <hyperlink ref="I261" r:id="rId819" display="https://docs.google.com/open?id=1k7dXBbFOVUnaY8cGkVNhZNLVJWVhuSnWIgfPvMcNjrY" xr:uid="{00000000-0004-0000-0400-000032030000}"/>
    <hyperlink ref="D262" r:id="rId820" display="https://drive.google.com/open?id=1mAI-2AuoIc-cvrKTWlOtSH-Vn_l2p76CjdS5TDlayT8&amp;usp=drive_copy" xr:uid="{00000000-0004-0000-0400-000033030000}"/>
    <hyperlink ref="E262" r:id="rId821" display="https://drive.google.com/open?id=1mAI-2AuoIc-cvrKTWlOtSH-Vn_l2p76CjdS5TDlayT8" xr:uid="{00000000-0004-0000-0400-000034030000}"/>
    <hyperlink ref="H262" r:id="rId822" display="https://docs.google.com/spreadsheets/d/1mAI-2AuoIc-cvrKTWlOtSH-Vn_l2p76CjdS5TDlayT8" xr:uid="{00000000-0004-0000-0400-000035030000}"/>
    <hyperlink ref="I262" r:id="rId823" display="https://docs.google.com/open?id=1mAI-2AuoIc-cvrKTWlOtSH-Vn_l2p76CjdS5TDlayT8" xr:uid="{00000000-0004-0000-0400-000036030000}"/>
    <hyperlink ref="D263" r:id="rId824" display="https://drive.google.com/open?id=1n9Aa6HxVngvQq50B4UTfv8sE_B-XeDhjObcHuM4I11E&amp;usp=drive_copy" xr:uid="{00000000-0004-0000-0400-000037030000}"/>
    <hyperlink ref="E263" r:id="rId825" display="https://drive.google.com/open?id=1n9Aa6HxVngvQq50B4UTfv8sE_B-XeDhjObcHuM4I11E" xr:uid="{00000000-0004-0000-0400-000038030000}"/>
    <hyperlink ref="H263" r:id="rId826" display="https://docs.google.com/spreadsheets/d/1n9Aa6HxVngvQq50B4UTfv8sE_B-XeDhjObcHuM4I11E" xr:uid="{00000000-0004-0000-0400-000039030000}"/>
    <hyperlink ref="I263" r:id="rId827" display="https://docs.google.com/open?id=1n9Aa6HxVngvQq50B4UTfv8sE_B-XeDhjObcHuM4I11E" xr:uid="{00000000-0004-0000-0400-00003A030000}"/>
    <hyperlink ref="D264" r:id="rId828" display="https://drive.google.com/open?id=1qpR5ONZQUsFyFulI_zYUaE953odJqd5EM5x3xK9XLW0&amp;usp=drive_copy" xr:uid="{00000000-0004-0000-0400-00003B030000}"/>
    <hyperlink ref="E264" r:id="rId829" display="https://drive.google.com/open?id=1qpR5ONZQUsFyFulI_zYUaE953odJqd5EM5x3xK9XLW0" xr:uid="{00000000-0004-0000-0400-00003C030000}"/>
    <hyperlink ref="H264" r:id="rId830" display="https://docs.google.com/spreadsheets/d/1qpR5ONZQUsFyFulI_zYUaE953odJqd5EM5x3xK9XLW0" xr:uid="{00000000-0004-0000-0400-00003D030000}"/>
    <hyperlink ref="I264" r:id="rId831" display="https://docs.google.com/open?id=1qpR5ONZQUsFyFulI_zYUaE953odJqd5EM5x3xK9XLW0" xr:uid="{00000000-0004-0000-0400-00003E030000}"/>
    <hyperlink ref="D265" r:id="rId832" display="https://drive.google.com/open?id=1ka_ZCFmubGzHtBlmWPGgs7e1W9kN7l7EMDttPPG5ELc&amp;usp=drive_copy" xr:uid="{00000000-0004-0000-0400-00003F030000}"/>
    <hyperlink ref="E265" r:id="rId833" display="https://drive.google.com/open?id=1ka_ZCFmubGzHtBlmWPGgs7e1W9kN7l7EMDttPPG5ELc" xr:uid="{00000000-0004-0000-0400-000040030000}"/>
    <hyperlink ref="H265" r:id="rId834" display="https://docs.google.com/spreadsheets/d/1ka_ZCFmubGzHtBlmWPGgs7e1W9kN7l7EMDttPPG5ELc" xr:uid="{00000000-0004-0000-0400-000041030000}"/>
    <hyperlink ref="I265" r:id="rId835" display="https://docs.google.com/open?id=1ka_ZCFmubGzHtBlmWPGgs7e1W9kN7l7EMDttPPG5ELc" xr:uid="{00000000-0004-0000-0400-000042030000}"/>
    <hyperlink ref="D266" r:id="rId836" display="https://drive.google.com/open?id=1i_viCa1Ma0EfowXBQb0bgeYJxBglSuNcIB3Xq1pEsi0&amp;usp=drive_copy" xr:uid="{00000000-0004-0000-0400-000043030000}"/>
    <hyperlink ref="E266" r:id="rId837" display="https://drive.google.com/open?id=1i_viCa1Ma0EfowXBQb0bgeYJxBglSuNcIB3Xq1pEsi0" xr:uid="{00000000-0004-0000-0400-000044030000}"/>
    <hyperlink ref="H266" r:id="rId838" display="https://docs.google.com/spreadsheets/d/1i_viCa1Ma0EfowXBQb0bgeYJxBglSuNcIB3Xq1pEsi0" xr:uid="{00000000-0004-0000-0400-000045030000}"/>
    <hyperlink ref="I266" r:id="rId839" display="https://docs.google.com/open?id=1i_viCa1Ma0EfowXBQb0bgeYJxBglSuNcIB3Xq1pEsi0" xr:uid="{00000000-0004-0000-0400-000046030000}"/>
    <hyperlink ref="D267" r:id="rId840" display="https://drive.google.com/open?id=1sbWZJ_XxfiWrscuhfcTV-mv7Ts6hWGgMKhjjYhcnLjE&amp;usp=drive_copy" xr:uid="{00000000-0004-0000-0400-000047030000}"/>
    <hyperlink ref="E267" r:id="rId841" display="https://drive.google.com/open?id=1sbWZJ_XxfiWrscuhfcTV-mv7Ts6hWGgMKhjjYhcnLjE" xr:uid="{00000000-0004-0000-0400-000048030000}"/>
    <hyperlink ref="H267" r:id="rId842" display="https://docs.google.com/spreadsheets/d/1sbWZJ_XxfiWrscuhfcTV-mv7Ts6hWGgMKhjjYhcnLjE" xr:uid="{00000000-0004-0000-0400-000049030000}"/>
    <hyperlink ref="I267" r:id="rId843" display="https://docs.google.com/open?id=1sbWZJ_XxfiWrscuhfcTV-mv7Ts6hWGgMKhjjYhcnLjE" xr:uid="{00000000-0004-0000-0400-00004A030000}"/>
    <hyperlink ref="D268" r:id="rId844" display="https://drive.google.com/open?id=10baP5j-2T_JSYMwfFwCs6CPVl4O06jIt9cqdrr9OtwE&amp;usp=drive_copy" xr:uid="{00000000-0004-0000-0400-00004B030000}"/>
    <hyperlink ref="E268" r:id="rId845" display="https://drive.google.com/open?id=10baP5j-2T_JSYMwfFwCs6CPVl4O06jIt9cqdrr9OtwE" xr:uid="{00000000-0004-0000-0400-00004C030000}"/>
    <hyperlink ref="H268" r:id="rId846" display="https://docs.google.com/spreadsheets/d/10baP5j-2T_JSYMwfFwCs6CPVl4O06jIt9cqdrr9OtwE" xr:uid="{00000000-0004-0000-0400-00004D030000}"/>
    <hyperlink ref="I268" r:id="rId847" display="https://docs.google.com/open?id=10baP5j-2T_JSYMwfFwCs6CPVl4O06jIt9cqdrr9OtwE" xr:uid="{00000000-0004-0000-0400-00004E030000}"/>
    <hyperlink ref="D269" r:id="rId848" display="https://drive.google.com/open?id=1uCWinIH6cUW37QtJa6uHlsqiOk-vPNUym53_dbWCAU0&amp;usp=drive_copy" xr:uid="{00000000-0004-0000-0400-00004F030000}"/>
    <hyperlink ref="E269" r:id="rId849" display="https://drive.google.com/open?id=1uCWinIH6cUW37QtJa6uHlsqiOk-vPNUym53_dbWCAU0" xr:uid="{00000000-0004-0000-0400-000050030000}"/>
    <hyperlink ref="H269" r:id="rId850" display="https://docs.google.com/spreadsheets/d/1uCWinIH6cUW37QtJa6uHlsqiOk-vPNUym53_dbWCAU0" xr:uid="{00000000-0004-0000-0400-000051030000}"/>
    <hyperlink ref="I269" r:id="rId851" display="https://docs.google.com/open?id=1uCWinIH6cUW37QtJa6uHlsqiOk-vPNUym53_dbWCAU0" xr:uid="{00000000-0004-0000-0400-000052030000}"/>
    <hyperlink ref="D270" r:id="rId852" display="https://drive.google.com/open?id=15FBk7sjgDl7cPUOvU963L9E2komH58om3QDtMZme2_Q&amp;usp=drive_copy" xr:uid="{00000000-0004-0000-0400-000053030000}"/>
    <hyperlink ref="E270" r:id="rId853" display="https://drive.google.com/open?id=15FBk7sjgDl7cPUOvU963L9E2komH58om3QDtMZme2_Q" xr:uid="{00000000-0004-0000-0400-000054030000}"/>
    <hyperlink ref="H270" r:id="rId854" display="https://docs.google.com/spreadsheets/d/15FBk7sjgDl7cPUOvU963L9E2komH58om3QDtMZme2_Q" xr:uid="{00000000-0004-0000-0400-000055030000}"/>
    <hyperlink ref="I270" r:id="rId855" display="https://docs.google.com/open?id=15FBk7sjgDl7cPUOvU963L9E2komH58om3QDtMZme2_Q" xr:uid="{00000000-0004-0000-0400-000056030000}"/>
    <hyperlink ref="D271" r:id="rId856" display="https://drive.google.com/open?id=1vqcpIDfsJPgxHW6yf2s3coUSIobsgXr9ySfMuK_9-tA&amp;usp=drive_copy" xr:uid="{00000000-0004-0000-0400-000057030000}"/>
    <hyperlink ref="E271" r:id="rId857" display="https://drive.google.com/open?id=1vqcpIDfsJPgxHW6yf2s3coUSIobsgXr9ySfMuK_9-tA" xr:uid="{00000000-0004-0000-0400-000058030000}"/>
    <hyperlink ref="H271" r:id="rId858" display="https://docs.google.com/spreadsheets/d/1vqcpIDfsJPgxHW6yf2s3coUSIobsgXr9ySfMuK_9-tA" xr:uid="{00000000-0004-0000-0400-000059030000}"/>
    <hyperlink ref="I271" r:id="rId859" display="https://docs.google.com/open?id=1vqcpIDfsJPgxHW6yf2s3coUSIobsgXr9ySfMuK_9-tA" xr:uid="{00000000-0004-0000-0400-00005A030000}"/>
    <hyperlink ref="D272" r:id="rId860" display="https://drive.google.com/open?id=1x1nYgQm0DL8JVvoXjNimbVfc-ojGdplpqg0XdAUFygQ&amp;usp=drive_copy" xr:uid="{00000000-0004-0000-0400-00005B030000}"/>
    <hyperlink ref="E272" r:id="rId861" display="https://drive.google.com/open?id=1x1nYgQm0DL8JVvoXjNimbVfc-ojGdplpqg0XdAUFygQ" xr:uid="{00000000-0004-0000-0400-00005C030000}"/>
    <hyperlink ref="H272" r:id="rId862" display="https://docs.google.com/spreadsheets/d/1x1nYgQm0DL8JVvoXjNimbVfc-ojGdplpqg0XdAUFygQ" xr:uid="{00000000-0004-0000-0400-00005D030000}"/>
    <hyperlink ref="I272" r:id="rId863" display="https://docs.google.com/open?id=1x1nYgQm0DL8JVvoXjNimbVfc-ojGdplpqg0XdAUFygQ" xr:uid="{00000000-0004-0000-0400-00005E030000}"/>
    <hyperlink ref="D273" r:id="rId864" display="https://drive.google.com/open?id=1xoX4UWs_XJGjXdp-g9umMOGSZ3HZB4e9xmBRpmq07ik&amp;usp=drive_copy" xr:uid="{00000000-0004-0000-0400-00005F030000}"/>
    <hyperlink ref="E273" r:id="rId865" display="https://drive.google.com/open?id=1xoX4UWs_XJGjXdp-g9umMOGSZ3HZB4e9xmBRpmq07ik" xr:uid="{00000000-0004-0000-0400-000060030000}"/>
    <hyperlink ref="H273" r:id="rId866" display="https://docs.google.com/spreadsheets/d/1xoX4UWs_XJGjXdp-g9umMOGSZ3HZB4e9xmBRpmq07ik" xr:uid="{00000000-0004-0000-0400-000061030000}"/>
    <hyperlink ref="I273" r:id="rId867" display="https://docs.google.com/open?id=1xoX4UWs_XJGjXdp-g9umMOGSZ3HZB4e9xmBRpmq07ik" xr:uid="{00000000-0004-0000-0400-000062030000}"/>
    <hyperlink ref="D274" r:id="rId868" display="https://drive.google.com/open?id=1xVwIVwhJZ1aLTQLS03BeQMS_wvvUh2wZfIX_cEuIWvY&amp;usp=drive_copy" xr:uid="{00000000-0004-0000-0400-000063030000}"/>
    <hyperlink ref="E274" r:id="rId869" display="https://drive.google.com/open?id=1xVwIVwhJZ1aLTQLS03BeQMS_wvvUh2wZfIX_cEuIWvY" xr:uid="{00000000-0004-0000-0400-000064030000}"/>
    <hyperlink ref="H274" r:id="rId870" display="https://docs.google.com/spreadsheets/d/1xVwIVwhJZ1aLTQLS03BeQMS_wvvUh2wZfIX_cEuIWvY" xr:uid="{00000000-0004-0000-0400-000065030000}"/>
    <hyperlink ref="I274" r:id="rId871" display="https://docs.google.com/open?id=1xVwIVwhJZ1aLTQLS03BeQMS_wvvUh2wZfIX_cEuIWvY" xr:uid="{00000000-0004-0000-0400-000066030000}"/>
    <hyperlink ref="D275" r:id="rId872" display="https://drive.google.com/open?id=18bzRr9eE6gLLi1p0jkO0gWjsihw1tqcNLPhmPjEus_I&amp;usp=drive_copy" xr:uid="{00000000-0004-0000-0400-000067030000}"/>
    <hyperlink ref="E275" r:id="rId873" display="https://drive.google.com/open?id=18bzRr9eE6gLLi1p0jkO0gWjsihw1tqcNLPhmPjEus_I" xr:uid="{00000000-0004-0000-0400-000068030000}"/>
    <hyperlink ref="H275" r:id="rId874" display="https://docs.google.com/spreadsheets/d/18bzRr9eE6gLLi1p0jkO0gWjsihw1tqcNLPhmPjEus_I" xr:uid="{00000000-0004-0000-0400-000069030000}"/>
    <hyperlink ref="I275" r:id="rId875" display="https://docs.google.com/open?id=18bzRr9eE6gLLi1p0jkO0gWjsihw1tqcNLPhmPjEus_I" xr:uid="{00000000-0004-0000-0400-00006A030000}"/>
    <hyperlink ref="D276" r:id="rId876" display="https://drive.google.com/open?id=1cTg3xUvhDaFWyE5aoIHPvBLFjFcxxdD2oEMDUw3CaVY&amp;usp=drive_copy" xr:uid="{00000000-0004-0000-0400-00006B030000}"/>
    <hyperlink ref="E276" r:id="rId877" display="https://drive.google.com/open?id=1cTg3xUvhDaFWyE5aoIHPvBLFjFcxxdD2oEMDUw3CaVY" xr:uid="{00000000-0004-0000-0400-00006C030000}"/>
    <hyperlink ref="H276" r:id="rId878" display="https://docs.google.com/spreadsheets/d/1cTg3xUvhDaFWyE5aoIHPvBLFjFcxxdD2oEMDUw3CaVY" xr:uid="{00000000-0004-0000-0400-00006D030000}"/>
    <hyperlink ref="I276" r:id="rId879" display="https://docs.google.com/open?id=1cTg3xUvhDaFWyE5aoIHPvBLFjFcxxdD2oEMDUw3CaVY" xr:uid="{00000000-0004-0000-0400-00006E030000}"/>
    <hyperlink ref="D277" r:id="rId880" display="https://drive.google.com/open?id=1a6M75LEa0Mhn4ZyUiLyLZuTCwFWQ3H_ahBac0m_0iy8&amp;usp=drive_copy" xr:uid="{00000000-0004-0000-0400-00006F030000}"/>
    <hyperlink ref="E277" r:id="rId881" display="https://drive.google.com/open?id=1a6M75LEa0Mhn4ZyUiLyLZuTCwFWQ3H_ahBac0m_0iy8" xr:uid="{00000000-0004-0000-0400-000070030000}"/>
    <hyperlink ref="H277" r:id="rId882" display="https://docs.google.com/spreadsheets/d/1a6M75LEa0Mhn4ZyUiLyLZuTCwFWQ3H_ahBac0m_0iy8" xr:uid="{00000000-0004-0000-0400-000071030000}"/>
    <hyperlink ref="I277" r:id="rId883" display="https://docs.google.com/open?id=1a6M75LEa0Mhn4ZyUiLyLZuTCwFWQ3H_ahBac0m_0iy8" xr:uid="{00000000-0004-0000-0400-000072030000}"/>
    <hyperlink ref="D278" r:id="rId884" display="https://drive.google.com/open?id=1LntP-_rHXhiJt7pzrWMylRoxHRo9Czlu5Sz3cUIMCrg&amp;usp=drive_copy" xr:uid="{00000000-0004-0000-0400-000073030000}"/>
    <hyperlink ref="E278" r:id="rId885" display="https://drive.google.com/open?id=1LntP-_rHXhiJt7pzrWMylRoxHRo9Czlu5Sz3cUIMCrg" xr:uid="{00000000-0004-0000-0400-000074030000}"/>
    <hyperlink ref="H278" r:id="rId886" display="https://docs.google.com/spreadsheets/d/1LntP-_rHXhiJt7pzrWMylRoxHRo9Czlu5Sz3cUIMCrg" xr:uid="{00000000-0004-0000-0400-000075030000}"/>
    <hyperlink ref="I278" r:id="rId887" display="https://docs.google.com/open?id=1LntP-_rHXhiJt7pzrWMylRoxHRo9Czlu5Sz3cUIMCrg" xr:uid="{00000000-0004-0000-0400-000076030000}"/>
    <hyperlink ref="D279" r:id="rId888" display="https://drive.google.com/open?id=1OhkZpAQmSa7eDZlcNCm4tpoVKg5llb1fotV9WHO8q6Q&amp;usp=drive_copy" xr:uid="{00000000-0004-0000-0400-000077030000}"/>
    <hyperlink ref="E279" r:id="rId889" display="https://drive.google.com/open?id=1OhkZpAQmSa7eDZlcNCm4tpoVKg5llb1fotV9WHO8q6Q" xr:uid="{00000000-0004-0000-0400-000078030000}"/>
    <hyperlink ref="H279" r:id="rId890" display="https://docs.google.com/spreadsheets/d/1OhkZpAQmSa7eDZlcNCm4tpoVKg5llb1fotV9WHO8q6Q" xr:uid="{00000000-0004-0000-0400-000079030000}"/>
    <hyperlink ref="I279" r:id="rId891" display="https://docs.google.com/open?id=1OhkZpAQmSa7eDZlcNCm4tpoVKg5llb1fotV9WHO8q6Q" xr:uid="{00000000-0004-0000-0400-00007A030000}"/>
    <hyperlink ref="D280" r:id="rId892" display="https://drive.google.com/open?id=1Kn2yL1dfiBBlB42c2hoKnGu68Jscz_7oUT4UqjabIUA&amp;usp=drive_copy" xr:uid="{00000000-0004-0000-0400-00007B030000}"/>
    <hyperlink ref="E280" r:id="rId893" display="https://drive.google.com/open?id=1Kn2yL1dfiBBlB42c2hoKnGu68Jscz_7oUT4UqjabIUA" xr:uid="{00000000-0004-0000-0400-00007C030000}"/>
    <hyperlink ref="H280" r:id="rId894" display="https://docs.google.com/spreadsheets/d/1Kn2yL1dfiBBlB42c2hoKnGu68Jscz_7oUT4UqjabIUA" xr:uid="{00000000-0004-0000-0400-00007D030000}"/>
    <hyperlink ref="I280" r:id="rId895" display="https://docs.google.com/open?id=1Kn2yL1dfiBBlB42c2hoKnGu68Jscz_7oUT4UqjabIUA" xr:uid="{00000000-0004-0000-0400-00007E030000}"/>
    <hyperlink ref="D281" r:id="rId896" display="https://drive.google.com/open?id=1R3ix6TlsU6FSycPVRYy2KtmwR-m0tlKaLbuWDkusD0w&amp;usp=drive_copy" xr:uid="{00000000-0004-0000-0400-00007F030000}"/>
    <hyperlink ref="E281" r:id="rId897" display="https://drive.google.com/open?id=1R3ix6TlsU6FSycPVRYy2KtmwR-m0tlKaLbuWDkusD0w" xr:uid="{00000000-0004-0000-0400-000080030000}"/>
    <hyperlink ref="H281" r:id="rId898" display="https://docs.google.com/spreadsheets/d/1R3ix6TlsU6FSycPVRYy2KtmwR-m0tlKaLbuWDkusD0w" xr:uid="{00000000-0004-0000-0400-000081030000}"/>
    <hyperlink ref="I281" r:id="rId899" display="https://docs.google.com/open?id=1R3ix6TlsU6FSycPVRYy2KtmwR-m0tlKaLbuWDkusD0w" xr:uid="{00000000-0004-0000-0400-000082030000}"/>
    <hyperlink ref="D282" r:id="rId900" display="https://drive.google.com/open?id=1RZOcSjoSzOkP5YnNlLJv7nXNCo8hhzPRnwl65dW2FXs&amp;usp=drive_copy" xr:uid="{00000000-0004-0000-0400-000083030000}"/>
    <hyperlink ref="E282" r:id="rId901" display="https://drive.google.com/open?id=1RZOcSjoSzOkP5YnNlLJv7nXNCo8hhzPRnwl65dW2FXs" xr:uid="{00000000-0004-0000-0400-000084030000}"/>
    <hyperlink ref="H282" r:id="rId902" display="https://docs.google.com/spreadsheets/d/1RZOcSjoSzOkP5YnNlLJv7nXNCo8hhzPRnwl65dW2FXs" xr:uid="{00000000-0004-0000-0400-000085030000}"/>
    <hyperlink ref="I282" r:id="rId903" display="https://docs.google.com/open?id=1RZOcSjoSzOkP5YnNlLJv7nXNCo8hhzPRnwl65dW2FXs" xr:uid="{00000000-0004-0000-0400-000086030000}"/>
    <hyperlink ref="D283" r:id="rId904" display="https://drive.google.com/open?id=1SsvHkRej2vBregcp2Lsl1i2jJj8r_J5OFIu_IM_TS5A&amp;usp=drive_copy" xr:uid="{00000000-0004-0000-0400-000087030000}"/>
    <hyperlink ref="E283" r:id="rId905" display="https://drive.google.com/open?id=1SsvHkRej2vBregcp2Lsl1i2jJj8r_J5OFIu_IM_TS5A" xr:uid="{00000000-0004-0000-0400-000088030000}"/>
    <hyperlink ref="H283" r:id="rId906" display="https://docs.google.com/spreadsheets/d/1SsvHkRej2vBregcp2Lsl1i2jJj8r_J5OFIu_IM_TS5A" xr:uid="{00000000-0004-0000-0400-000089030000}"/>
    <hyperlink ref="I283" r:id="rId907" display="https://docs.google.com/open?id=1SsvHkRej2vBregcp2Lsl1i2jJj8r_J5OFIu_IM_TS5A" xr:uid="{00000000-0004-0000-0400-00008A030000}"/>
    <hyperlink ref="D284" r:id="rId908" display="https://drive.google.com/open?id=1R4017ykQ6WNTndHZCXTtl5SVSjMK56gg5ppQkqTA2rk&amp;usp=drive_copy" xr:uid="{00000000-0004-0000-0400-00008B030000}"/>
    <hyperlink ref="E284" r:id="rId909" display="https://drive.google.com/open?id=1R4017ykQ6WNTndHZCXTtl5SVSjMK56gg5ppQkqTA2rk" xr:uid="{00000000-0004-0000-0400-00008C030000}"/>
    <hyperlink ref="H284" r:id="rId910" display="https://docs.google.com/spreadsheets/d/1R4017ykQ6WNTndHZCXTtl5SVSjMK56gg5ppQkqTA2rk" xr:uid="{00000000-0004-0000-0400-00008D030000}"/>
    <hyperlink ref="I284" r:id="rId911" display="https://docs.google.com/open?id=1R4017ykQ6WNTndHZCXTtl5SVSjMK56gg5ppQkqTA2rk" xr:uid="{00000000-0004-0000-0400-00008E030000}"/>
    <hyperlink ref="D285" r:id="rId912" display="https://drive.google.com/open?id=1SvSKL8C75JPtL2AI67EGw9NrRz_8DeCqmRflP63W0HA&amp;usp=drive_copy" xr:uid="{00000000-0004-0000-0400-00008F030000}"/>
    <hyperlink ref="E285" r:id="rId913" display="https://drive.google.com/open?id=1SvSKL8C75JPtL2AI67EGw9NrRz_8DeCqmRflP63W0HA" xr:uid="{00000000-0004-0000-0400-000090030000}"/>
    <hyperlink ref="H285" r:id="rId914" display="https://docs.google.com/spreadsheets/d/1SvSKL8C75JPtL2AI67EGw9NrRz_8DeCqmRflP63W0HA" xr:uid="{00000000-0004-0000-0400-000091030000}"/>
    <hyperlink ref="I285" r:id="rId915" display="https://docs.google.com/open?id=1SvSKL8C75JPtL2AI67EGw9NrRz_8DeCqmRflP63W0HA" xr:uid="{00000000-0004-0000-0400-000092030000}"/>
    <hyperlink ref="D286" r:id="rId916" display="https://drive.google.com/open?id=1TnmNTSo-03y6ulvYttT-hHHTp9QhfaNbZjV0kMWrqhg&amp;usp=drive_copy" xr:uid="{00000000-0004-0000-0400-000093030000}"/>
    <hyperlink ref="E286" r:id="rId917" display="https://drive.google.com/open?id=1TnmNTSo-03y6ulvYttT-hHHTp9QhfaNbZjV0kMWrqhg" xr:uid="{00000000-0004-0000-0400-000094030000}"/>
    <hyperlink ref="H286" r:id="rId918" display="https://docs.google.com/spreadsheets/d/1TnmNTSo-03y6ulvYttT-hHHTp9QhfaNbZjV0kMWrqhg" xr:uid="{00000000-0004-0000-0400-000095030000}"/>
    <hyperlink ref="I286" r:id="rId919" display="https://docs.google.com/open?id=1TnmNTSo-03y6ulvYttT-hHHTp9QhfaNbZjV0kMWrqhg" xr:uid="{00000000-0004-0000-0400-000096030000}"/>
    <hyperlink ref="D287" r:id="rId920" display="https://drive.google.com/open?id=1UrAz0CyyTWAism1BSpkvFvdO9j7BVmFyK4BvFMGqoN4&amp;usp=drive_copy" xr:uid="{00000000-0004-0000-0400-000097030000}"/>
    <hyperlink ref="E287" r:id="rId921" display="https://drive.google.com/open?id=1UrAz0CyyTWAism1BSpkvFvdO9j7BVmFyK4BvFMGqoN4" xr:uid="{00000000-0004-0000-0400-000098030000}"/>
    <hyperlink ref="H287" r:id="rId922" display="https://docs.google.com/spreadsheets/d/1UrAz0CyyTWAism1BSpkvFvdO9j7BVmFyK4BvFMGqoN4" xr:uid="{00000000-0004-0000-0400-000099030000}"/>
    <hyperlink ref="I287" r:id="rId923" display="https://docs.google.com/open?id=1UrAz0CyyTWAism1BSpkvFvdO9j7BVmFyK4BvFMGqoN4" xr:uid="{00000000-0004-0000-0400-00009A030000}"/>
    <hyperlink ref="D288" r:id="rId924" display="https://drive.google.com/open?id=1VBIFWNzu4ZyE7Y8gI-koV7eH1KkE2kYEabvwLkoyQHA&amp;usp=drive_copy" xr:uid="{00000000-0004-0000-0400-00009B030000}"/>
    <hyperlink ref="E288" r:id="rId925" display="https://drive.google.com/open?id=1VBIFWNzu4ZyE7Y8gI-koV7eH1KkE2kYEabvwLkoyQHA" xr:uid="{00000000-0004-0000-0400-00009C030000}"/>
    <hyperlink ref="H288" r:id="rId926" display="https://docs.google.com/spreadsheets/d/1VBIFWNzu4ZyE7Y8gI-koV7eH1KkE2kYEabvwLkoyQHA" xr:uid="{00000000-0004-0000-0400-00009D030000}"/>
    <hyperlink ref="I288" r:id="rId927" display="https://docs.google.com/open?id=1VBIFWNzu4ZyE7Y8gI-koV7eH1KkE2kYEabvwLkoyQHA" xr:uid="{00000000-0004-0000-0400-00009E030000}"/>
    <hyperlink ref="D289" r:id="rId928" display="https://drive.google.com/open?id=1Es6h2bPMIK8HsDuzV7ioeTJf-2Khr8Dv68dgUc1gUFA&amp;usp=drive_copy" xr:uid="{00000000-0004-0000-0400-00009F030000}"/>
    <hyperlink ref="E289" r:id="rId929" display="https://drive.google.com/open?id=1Es6h2bPMIK8HsDuzV7ioeTJf-2Khr8Dv68dgUc1gUFA" xr:uid="{00000000-0004-0000-0400-0000A0030000}"/>
    <hyperlink ref="H289" r:id="rId930" display="https://docs.google.com/spreadsheets/d/1Es6h2bPMIK8HsDuzV7ioeTJf-2Khr8Dv68dgUc1gUFA" xr:uid="{00000000-0004-0000-0400-0000A1030000}"/>
    <hyperlink ref="I289" r:id="rId931" display="https://docs.google.com/open?id=1Es6h2bPMIK8HsDuzV7ioeTJf-2Khr8Dv68dgUc1gUFA" xr:uid="{00000000-0004-0000-0400-0000A2030000}"/>
    <hyperlink ref="D290" r:id="rId932" display="https://drive.google.com/open?id=1GqkYkQuEJEjU5J0ZRInGet7apy2Crxxg2bkyABnVSs0&amp;usp=drive_copy" xr:uid="{00000000-0004-0000-0400-0000A3030000}"/>
    <hyperlink ref="E290" r:id="rId933" display="https://drive.google.com/open?id=1GqkYkQuEJEjU5J0ZRInGet7apy2Crxxg2bkyABnVSs0" xr:uid="{00000000-0004-0000-0400-0000A4030000}"/>
    <hyperlink ref="H290" r:id="rId934" display="https://docs.google.com/spreadsheets/d/1GqkYkQuEJEjU5J0ZRInGet7apy2Crxxg2bkyABnVSs0" xr:uid="{00000000-0004-0000-0400-0000A5030000}"/>
    <hyperlink ref="I290" r:id="rId935" display="https://docs.google.com/open?id=1GqkYkQuEJEjU5J0ZRInGet7apy2Crxxg2bkyABnVSs0" xr:uid="{00000000-0004-0000-0400-0000A6030000}"/>
    <hyperlink ref="D291" r:id="rId936" display="https://drive.google.com/open?id=1HTaVZe1FFZP8z6EJtKgSrY71HOWk1fPYEpqK9U86A_I&amp;usp=drive_copy" xr:uid="{00000000-0004-0000-0400-0000A7030000}"/>
    <hyperlink ref="E291" r:id="rId937" display="https://drive.google.com/open?id=1HTaVZe1FFZP8z6EJtKgSrY71HOWk1fPYEpqK9U86A_I" xr:uid="{00000000-0004-0000-0400-0000A8030000}"/>
    <hyperlink ref="H291" r:id="rId938" display="https://docs.google.com/spreadsheets/d/1HTaVZe1FFZP8z6EJtKgSrY71HOWk1fPYEpqK9U86A_I" xr:uid="{00000000-0004-0000-0400-0000A9030000}"/>
    <hyperlink ref="I291" r:id="rId939" display="https://docs.google.com/open?id=1HTaVZe1FFZP8z6EJtKgSrY71HOWk1fPYEpqK9U86A_I" xr:uid="{00000000-0004-0000-0400-0000AA030000}"/>
    <hyperlink ref="D292" r:id="rId940" display="https://drive.google.com/open?id=1SHUnS4dncNpz7YCd-hB6suWOY-kxE5GaGxxjn7571Oo&amp;usp=drive_copy" xr:uid="{00000000-0004-0000-0400-0000AB030000}"/>
    <hyperlink ref="E292" r:id="rId941" display="https://drive.google.com/open?id=1SHUnS4dncNpz7YCd-hB6suWOY-kxE5GaGxxjn7571Oo" xr:uid="{00000000-0004-0000-0400-0000AC030000}"/>
    <hyperlink ref="H292" r:id="rId942" display="https://docs.google.com/spreadsheets/d/1SHUnS4dncNpz7YCd-hB6suWOY-kxE5GaGxxjn7571Oo" xr:uid="{00000000-0004-0000-0400-0000AD030000}"/>
    <hyperlink ref="I292" r:id="rId943" display="https://docs.google.com/open?id=1SHUnS4dncNpz7YCd-hB6suWOY-kxE5GaGxxjn7571Oo" xr:uid="{00000000-0004-0000-0400-0000AE030000}"/>
    <hyperlink ref="D293" r:id="rId944" display="https://drive.google.com/open?id=1nrzWTiKA9ldC2FGpwiAyr3risojtNYjoRHz63RvDSfg&amp;usp=drive_copy" xr:uid="{00000000-0004-0000-0400-0000AF030000}"/>
    <hyperlink ref="E293" r:id="rId945" display="https://drive.google.com/open?id=1nrzWTiKA9ldC2FGpwiAyr3risojtNYjoRHz63RvDSfg" xr:uid="{00000000-0004-0000-0400-0000B0030000}"/>
    <hyperlink ref="H293" r:id="rId946" display="https://docs.google.com/spreadsheets/d/1nrzWTiKA9ldC2FGpwiAyr3risojtNYjoRHz63RvDSfg" xr:uid="{00000000-0004-0000-0400-0000B1030000}"/>
    <hyperlink ref="I293" r:id="rId947" display="https://docs.google.com/open?id=1nrzWTiKA9ldC2FGpwiAyr3risojtNYjoRHz63RvDSfg" xr:uid="{00000000-0004-0000-0400-0000B2030000}"/>
    <hyperlink ref="D294" r:id="rId948" display="https://drive.google.com/open?id=1qFc_9tU5EuyCio1Xr_H-k3r6k_LmSw9oxgysADhEUVY&amp;usp=drive_copy" xr:uid="{00000000-0004-0000-0400-0000B3030000}"/>
    <hyperlink ref="E294" r:id="rId949" display="https://drive.google.com/open?id=1qFc_9tU5EuyCio1Xr_H-k3r6k_LmSw9oxgysADhEUVY" xr:uid="{00000000-0004-0000-0400-0000B4030000}"/>
    <hyperlink ref="H294" r:id="rId950" display="https://docs.google.com/spreadsheets/d/1qFc_9tU5EuyCio1Xr_H-k3r6k_LmSw9oxgysADhEUVY" xr:uid="{00000000-0004-0000-0400-0000B5030000}"/>
    <hyperlink ref="I294" r:id="rId951" display="https://docs.google.com/open?id=1qFc_9tU5EuyCio1Xr_H-k3r6k_LmSw9oxgysADhEUVY" xr:uid="{00000000-0004-0000-0400-0000B6030000}"/>
    <hyperlink ref="D295" r:id="rId952" display="https://drive.google.com/open?id=1D51xmYYsDlWkRFPh_MU2uGUmjNrYLMcOxoPoM89_OLg&amp;usp=drive_copy" xr:uid="{00000000-0004-0000-0400-0000B7030000}"/>
    <hyperlink ref="E295" r:id="rId953" display="https://drive.google.com/open?id=1D51xmYYsDlWkRFPh_MU2uGUmjNrYLMcOxoPoM89_OLg" xr:uid="{00000000-0004-0000-0400-0000B8030000}"/>
    <hyperlink ref="H295" r:id="rId954" display="https://docs.google.com/spreadsheets/d/1D51xmYYsDlWkRFPh_MU2uGUmjNrYLMcOxoPoM89_OLg" xr:uid="{00000000-0004-0000-0400-0000B9030000}"/>
    <hyperlink ref="I295" r:id="rId955" display="https://docs.google.com/open?id=1D51xmYYsDlWkRFPh_MU2uGUmjNrYLMcOxoPoM89_OLg" xr:uid="{00000000-0004-0000-0400-0000BA030000}"/>
    <hyperlink ref="D296" r:id="rId956" display="https://drive.google.com/open?id=1EfpRu0AWiuGZi-50E9z77xjsobE5vbJ4yk7Pv_htQlU&amp;usp=drive_copy" xr:uid="{00000000-0004-0000-0400-0000BB030000}"/>
    <hyperlink ref="E296" r:id="rId957" display="https://drive.google.com/open?id=1EfpRu0AWiuGZi-50E9z77xjsobE5vbJ4yk7Pv_htQlU" xr:uid="{00000000-0004-0000-0400-0000BC030000}"/>
    <hyperlink ref="H296" r:id="rId958" display="https://docs.google.com/spreadsheets/d/1EfpRu0AWiuGZi-50E9z77xjsobE5vbJ4yk7Pv_htQlU" xr:uid="{00000000-0004-0000-0400-0000BD030000}"/>
    <hyperlink ref="I296" r:id="rId959" display="https://docs.google.com/open?id=1EfpRu0AWiuGZi-50E9z77xjsobE5vbJ4yk7Pv_htQlU" xr:uid="{00000000-0004-0000-0400-0000BE030000}"/>
    <hyperlink ref="D297" r:id="rId960" display="https://drive.google.com/open?id=1G9ZO3Ij_Px1N41zViF2lPSFfVn8iHHuSPCtMPo86bH4&amp;usp=drive_copy" xr:uid="{00000000-0004-0000-0400-0000BF030000}"/>
    <hyperlink ref="E297" r:id="rId961" display="https://drive.google.com/open?id=1G9ZO3Ij_Px1N41zViF2lPSFfVn8iHHuSPCtMPo86bH4" xr:uid="{00000000-0004-0000-0400-0000C0030000}"/>
    <hyperlink ref="H297" r:id="rId962" display="https://docs.google.com/spreadsheets/d/1G9ZO3Ij_Px1N41zViF2lPSFfVn8iHHuSPCtMPo86bH4" xr:uid="{00000000-0004-0000-0400-0000C1030000}"/>
    <hyperlink ref="I297" r:id="rId963" display="https://docs.google.com/open?id=1G9ZO3Ij_Px1N41zViF2lPSFfVn8iHHuSPCtMPo86bH4" xr:uid="{00000000-0004-0000-0400-0000C2030000}"/>
    <hyperlink ref="D298" r:id="rId964" display="https://drive.google.com/open?id=1KdqwKBtk-yEflHK_cIrmFrH-o0x9R7tXlkmmlGwwtS4&amp;usp=drive_copy" xr:uid="{00000000-0004-0000-0400-0000C3030000}"/>
    <hyperlink ref="E298" r:id="rId965" display="https://drive.google.com/open?id=1KdqwKBtk-yEflHK_cIrmFrH-o0x9R7tXlkmmlGwwtS4" xr:uid="{00000000-0004-0000-0400-0000C4030000}"/>
    <hyperlink ref="H298" r:id="rId966" display="https://docs.google.com/spreadsheets/d/1KdqwKBtk-yEflHK_cIrmFrH-o0x9R7tXlkmmlGwwtS4" xr:uid="{00000000-0004-0000-0400-0000C5030000}"/>
    <hyperlink ref="I298" r:id="rId967" display="https://docs.google.com/open?id=1KdqwKBtk-yEflHK_cIrmFrH-o0x9R7tXlkmmlGwwtS4" xr:uid="{00000000-0004-0000-0400-0000C6030000}"/>
    <hyperlink ref="D299" r:id="rId968" display="https://drive.google.com/open?id=1Qa-Rt-lPbfDnuTDFE_19OQ6U0Vwv9FKOcpnhbmelh6w&amp;usp=drive_copy" xr:uid="{00000000-0004-0000-0400-0000C7030000}"/>
    <hyperlink ref="E299" r:id="rId969" display="https://drive.google.com/open?id=1Qa-Rt-lPbfDnuTDFE_19OQ6U0Vwv9FKOcpnhbmelh6w" xr:uid="{00000000-0004-0000-0400-0000C8030000}"/>
    <hyperlink ref="H299" r:id="rId970" display="https://docs.google.com/spreadsheets/d/1Qa-Rt-lPbfDnuTDFE_19OQ6U0Vwv9FKOcpnhbmelh6w" xr:uid="{00000000-0004-0000-0400-0000C9030000}"/>
    <hyperlink ref="I299" r:id="rId971" display="https://docs.google.com/open?id=1Qa-Rt-lPbfDnuTDFE_19OQ6U0Vwv9FKOcpnhbmelh6w" xr:uid="{00000000-0004-0000-0400-0000CA030000}"/>
    <hyperlink ref="D300" r:id="rId972" display="https://drive.google.com/open?id=1SiaExMdZMm1Dni-vyfUNFOrWmmVsozZMLGGJM0q_hnQ&amp;usp=drive_copy" xr:uid="{00000000-0004-0000-0400-0000CB030000}"/>
    <hyperlink ref="E300" r:id="rId973" display="https://drive.google.com/open?id=1SiaExMdZMm1Dni-vyfUNFOrWmmVsozZMLGGJM0q_hnQ" xr:uid="{00000000-0004-0000-0400-0000CC030000}"/>
    <hyperlink ref="H300" r:id="rId974" display="https://docs.google.com/spreadsheets/d/1SiaExMdZMm1Dni-vyfUNFOrWmmVsozZMLGGJM0q_hnQ" xr:uid="{00000000-0004-0000-0400-0000CD030000}"/>
    <hyperlink ref="I300" r:id="rId975" display="https://docs.google.com/open?id=1SiaExMdZMm1Dni-vyfUNFOrWmmVsozZMLGGJM0q_hnQ" xr:uid="{00000000-0004-0000-0400-0000CE030000}"/>
    <hyperlink ref="D301" r:id="rId976" display="https://drive.google.com/open?id=1ZmpHtiGG6GHbJ3t4f7m6mVz6YP-37MXVLkmgSzjbKqg&amp;usp=drive_copy" xr:uid="{00000000-0004-0000-0400-0000CF030000}"/>
    <hyperlink ref="E301" r:id="rId977" display="https://drive.google.com/open?id=1ZmpHtiGG6GHbJ3t4f7m6mVz6YP-37MXVLkmgSzjbKqg" xr:uid="{00000000-0004-0000-0400-0000D0030000}"/>
    <hyperlink ref="H301" r:id="rId978" display="https://docs.google.com/spreadsheets/d/1ZmpHtiGG6GHbJ3t4f7m6mVz6YP-37MXVLkmgSzjbKqg" xr:uid="{00000000-0004-0000-0400-0000D1030000}"/>
    <hyperlink ref="I301" r:id="rId979" display="https://docs.google.com/open?id=1ZmpHtiGG6GHbJ3t4f7m6mVz6YP-37MXVLkmgSzjbKqg" xr:uid="{00000000-0004-0000-0400-0000D2030000}"/>
    <hyperlink ref="D302" r:id="rId980" display="https://drive.google.com/open?id=1ZXjnCYh3jDAeWfSq0f_qyjwCjqi05SxL2zJI-NPAl-s&amp;usp=drive_copy" xr:uid="{00000000-0004-0000-0400-0000D3030000}"/>
    <hyperlink ref="E302" r:id="rId981" display="https://drive.google.com/open?id=1ZXjnCYh3jDAeWfSq0f_qyjwCjqi05SxL2zJI-NPAl-s" xr:uid="{00000000-0004-0000-0400-0000D4030000}"/>
    <hyperlink ref="H302" r:id="rId982" display="https://docs.google.com/spreadsheets/d/1ZXjnCYh3jDAeWfSq0f_qyjwCjqi05SxL2zJI-NPAl-s" xr:uid="{00000000-0004-0000-0400-0000D5030000}"/>
    <hyperlink ref="I302" r:id="rId983" display="https://docs.google.com/open?id=1ZXjnCYh3jDAeWfSq0f_qyjwCjqi05SxL2zJI-NPAl-s" xr:uid="{00000000-0004-0000-0400-0000D6030000}"/>
    <hyperlink ref="D303" r:id="rId984" display="https://drive.google.com/open?id=1bd8DiGbSEZ3QJvrXK0bY80Zj7MSMvsa5mYzSSC_NGU8&amp;usp=drive_copy" xr:uid="{00000000-0004-0000-0400-0000D7030000}"/>
    <hyperlink ref="E303" r:id="rId985" display="https://drive.google.com/open?id=1bd8DiGbSEZ3QJvrXK0bY80Zj7MSMvsa5mYzSSC_NGU8" xr:uid="{00000000-0004-0000-0400-0000D8030000}"/>
    <hyperlink ref="H303" r:id="rId986" display="https://docs.google.com/spreadsheets/d/1bd8DiGbSEZ3QJvrXK0bY80Zj7MSMvsa5mYzSSC_NGU8" xr:uid="{00000000-0004-0000-0400-0000D9030000}"/>
    <hyperlink ref="I303" r:id="rId987" display="https://docs.google.com/open?id=1bd8DiGbSEZ3QJvrXK0bY80Zj7MSMvsa5mYzSSC_NGU8" xr:uid="{00000000-0004-0000-0400-0000DA030000}"/>
    <hyperlink ref="D304" r:id="rId988" display="https://drive.google.com/open?id=1TkTdkXWko63gVKw4ClRaliysr9nonpq8lJ-_glqYxpw&amp;usp=drive_copy" xr:uid="{00000000-0004-0000-0400-0000DB030000}"/>
    <hyperlink ref="E304" r:id="rId989" display="https://drive.google.com/open?id=1TkTdkXWko63gVKw4ClRaliysr9nonpq8lJ-_glqYxpw" xr:uid="{00000000-0004-0000-0400-0000DC030000}"/>
    <hyperlink ref="H304" r:id="rId990" display="https://docs.google.com/spreadsheets/d/1TkTdkXWko63gVKw4ClRaliysr9nonpq8lJ-_glqYxpw" xr:uid="{00000000-0004-0000-0400-0000DD030000}"/>
    <hyperlink ref="I304" r:id="rId991" display="https://docs.google.com/open?id=1TkTdkXWko63gVKw4ClRaliysr9nonpq8lJ-_glqYxpw" xr:uid="{00000000-0004-0000-0400-0000DE030000}"/>
    <hyperlink ref="D305" r:id="rId992" display="https://drive.google.com/open?id=1dzPt8b1d5eT0B7pQ_hU2et97TdFkZsm9N9j23a9t6EI&amp;usp=drive_copy" xr:uid="{00000000-0004-0000-0400-0000DF030000}"/>
    <hyperlink ref="E305" r:id="rId993" display="https://drive.google.com/open?id=1dzPt8b1d5eT0B7pQ_hU2et97TdFkZsm9N9j23a9t6EI" xr:uid="{00000000-0004-0000-0400-0000E0030000}"/>
    <hyperlink ref="H305" r:id="rId994" display="https://docs.google.com/spreadsheets/d/1dzPt8b1d5eT0B7pQ_hU2et97TdFkZsm9N9j23a9t6EI" xr:uid="{00000000-0004-0000-0400-0000E1030000}"/>
    <hyperlink ref="I305" r:id="rId995" display="https://docs.google.com/open?id=1dzPt8b1d5eT0B7pQ_hU2et97TdFkZsm9N9j23a9t6EI" xr:uid="{00000000-0004-0000-0400-0000E2030000}"/>
    <hyperlink ref="D306" r:id="rId996" display="https://drive.google.com/open?id=1Y8yBx_fF-SEJ2Rk10WMp0ZvBOfcYbS1064Q07Wm0wno&amp;usp=drive_copy" xr:uid="{00000000-0004-0000-0400-0000E3030000}"/>
    <hyperlink ref="E306" r:id="rId997" display="https://drive.google.com/open?id=1Y8yBx_fF-SEJ2Rk10WMp0ZvBOfcYbS1064Q07Wm0wno" xr:uid="{00000000-0004-0000-0400-0000E4030000}"/>
    <hyperlink ref="H306" r:id="rId998" display="https://docs.google.com/spreadsheets/d/1Y8yBx_fF-SEJ2Rk10WMp0ZvBOfcYbS1064Q07Wm0wno" xr:uid="{00000000-0004-0000-0400-0000E5030000}"/>
    <hyperlink ref="I306" r:id="rId999" display="https://docs.google.com/open?id=1Y8yBx_fF-SEJ2Rk10WMp0ZvBOfcYbS1064Q07Wm0wno" xr:uid="{00000000-0004-0000-0400-0000E6030000}"/>
    <hyperlink ref="D307" r:id="rId1000" display="https://drive.google.com/open?id=1ISEd3zZ3_P1FV2SCiUiV-r7i24_e-6GfzFQSFt3Oaak&amp;usp=drive_copy" xr:uid="{00000000-0004-0000-0400-0000E7030000}"/>
    <hyperlink ref="E307" r:id="rId1001" display="https://drive.google.com/open?id=1ISEd3zZ3_P1FV2SCiUiV-r7i24_e-6GfzFQSFt3Oaak" xr:uid="{00000000-0004-0000-0400-0000E8030000}"/>
    <hyperlink ref="H307" r:id="rId1002" display="https://docs.google.com/spreadsheets/d/1ISEd3zZ3_P1FV2SCiUiV-r7i24_e-6GfzFQSFt3Oaak" xr:uid="{00000000-0004-0000-0400-0000E9030000}"/>
    <hyperlink ref="I307" r:id="rId1003" display="https://docs.google.com/open?id=1ISEd3zZ3_P1FV2SCiUiV-r7i24_e-6GfzFQSFt3Oaak" xr:uid="{00000000-0004-0000-0400-0000EA030000}"/>
    <hyperlink ref="D308" r:id="rId1004" display="https://drive.google.com/open?id=1oMvRKCsxFE6sjk4cGmyuzDcOCu378H6gDJ8b3vLGNa4&amp;usp=drive_copy" xr:uid="{00000000-0004-0000-0400-0000EB030000}"/>
    <hyperlink ref="E308" r:id="rId1005" display="https://drive.google.com/open?id=1oMvRKCsxFE6sjk4cGmyuzDcOCu378H6gDJ8b3vLGNa4" xr:uid="{00000000-0004-0000-0400-0000EC030000}"/>
    <hyperlink ref="H308" r:id="rId1006" display="https://docs.google.com/spreadsheets/d/1oMvRKCsxFE6sjk4cGmyuzDcOCu378H6gDJ8b3vLGNa4" xr:uid="{00000000-0004-0000-0400-0000ED030000}"/>
    <hyperlink ref="I308" r:id="rId1007" display="https://docs.google.com/open?id=1oMvRKCsxFE6sjk4cGmyuzDcOCu378H6gDJ8b3vLGNa4" xr:uid="{00000000-0004-0000-0400-0000EE030000}"/>
    <hyperlink ref="D309" r:id="rId1008" display="https://drive.google.com/open?id=1ebORm7--zDvIm4NamzjuPjOtUBAx5tZHACLcjK5Mq_c&amp;usp=drive_copy" xr:uid="{00000000-0004-0000-0400-0000EF030000}"/>
    <hyperlink ref="E309" r:id="rId1009" display="https://drive.google.com/open?id=1ebORm7--zDvIm4NamzjuPjOtUBAx5tZHACLcjK5Mq_c" xr:uid="{00000000-0004-0000-0400-0000F0030000}"/>
    <hyperlink ref="H309" r:id="rId1010" display="https://docs.google.com/spreadsheets/d/1ebORm7--zDvIm4NamzjuPjOtUBAx5tZHACLcjK5Mq_c" xr:uid="{00000000-0004-0000-0400-0000F1030000}"/>
    <hyperlink ref="I309" r:id="rId1011" display="https://docs.google.com/open?id=1ebORm7--zDvIm4NamzjuPjOtUBAx5tZHACLcjK5Mq_c" xr:uid="{00000000-0004-0000-0400-0000F2030000}"/>
    <hyperlink ref="D310" r:id="rId1012" display="https://drive.google.com/open?id=1r2igowZW-MNiaQKk3N14pNNARCuLmR3N_RVN2UXG0fc&amp;usp=drive_copy" xr:uid="{00000000-0004-0000-0400-0000F3030000}"/>
    <hyperlink ref="E310" r:id="rId1013" display="https://drive.google.com/open?id=1r2igowZW-MNiaQKk3N14pNNARCuLmR3N_RVN2UXG0fc" xr:uid="{00000000-0004-0000-0400-0000F4030000}"/>
    <hyperlink ref="H310" r:id="rId1014" display="https://docs.google.com/spreadsheets/d/1r2igowZW-MNiaQKk3N14pNNARCuLmR3N_RVN2UXG0fc" xr:uid="{00000000-0004-0000-0400-0000F5030000}"/>
    <hyperlink ref="I310" r:id="rId1015" display="https://docs.google.com/open?id=1r2igowZW-MNiaQKk3N14pNNARCuLmR3N_RVN2UXG0fc" xr:uid="{00000000-0004-0000-0400-0000F6030000}"/>
    <hyperlink ref="D311" r:id="rId1016" display="https://drive.google.com/open?id=1vM1v4OZYgij_oHrdxN3QvIJKTU0ApEqNdK3duiU4VII&amp;usp=drive_copy" xr:uid="{00000000-0004-0000-0400-0000F7030000}"/>
    <hyperlink ref="E311" r:id="rId1017" display="https://drive.google.com/open?id=1vM1v4OZYgij_oHrdxN3QvIJKTU0ApEqNdK3duiU4VII" xr:uid="{00000000-0004-0000-0400-0000F8030000}"/>
    <hyperlink ref="H311" r:id="rId1018" display="https://docs.google.com/spreadsheets/d/1vM1v4OZYgij_oHrdxN3QvIJKTU0ApEqNdK3duiU4VII" xr:uid="{00000000-0004-0000-0400-0000F9030000}"/>
    <hyperlink ref="I311" r:id="rId1019" display="https://docs.google.com/open?id=1vM1v4OZYgij_oHrdxN3QvIJKTU0ApEqNdK3duiU4VII" xr:uid="{00000000-0004-0000-0400-0000FA030000}"/>
    <hyperlink ref="D312" r:id="rId1020" display="https://drive.google.com/open?id=1wQ7Gp1aiuN3lQCKG1IF-1obOJ1fNlusp_nS6h4jRCvE&amp;usp=drive_copy" xr:uid="{00000000-0004-0000-0400-0000FB030000}"/>
    <hyperlink ref="E312" r:id="rId1021" display="https://drive.google.com/open?id=1wQ7Gp1aiuN3lQCKG1IF-1obOJ1fNlusp_nS6h4jRCvE" xr:uid="{00000000-0004-0000-0400-0000FC030000}"/>
    <hyperlink ref="H312" r:id="rId1022" display="https://docs.google.com/spreadsheets/d/1wQ7Gp1aiuN3lQCKG1IF-1obOJ1fNlusp_nS6h4jRCvE" xr:uid="{00000000-0004-0000-0400-0000FD030000}"/>
    <hyperlink ref="I312" r:id="rId1023" display="https://docs.google.com/open?id=1wQ7Gp1aiuN3lQCKG1IF-1obOJ1fNlusp_nS6h4jRCvE" xr:uid="{00000000-0004-0000-0400-0000FE030000}"/>
    <hyperlink ref="D313" r:id="rId1024" display="https://drive.google.com/open?id=1zAyXeE1VA3-Wx0PJNINHXJUS8KXOyKmAYwLw6GycmbE&amp;usp=drive_copy" xr:uid="{00000000-0004-0000-0400-0000FF030000}"/>
    <hyperlink ref="E313" r:id="rId1025" display="https://drive.google.com/open?id=1zAyXeE1VA3-Wx0PJNINHXJUS8KXOyKmAYwLw6GycmbE" xr:uid="{00000000-0004-0000-0400-000000040000}"/>
    <hyperlink ref="H313" r:id="rId1026" display="https://docs.google.com/spreadsheets/d/1zAyXeE1VA3-Wx0PJNINHXJUS8KXOyKmAYwLw6GycmbE" xr:uid="{00000000-0004-0000-0400-000001040000}"/>
    <hyperlink ref="I313" r:id="rId1027" display="https://docs.google.com/open?id=1zAyXeE1VA3-Wx0PJNINHXJUS8KXOyKmAYwLw6GycmbE" xr:uid="{00000000-0004-0000-0400-000002040000}"/>
    <hyperlink ref="D314" r:id="rId1028" display="https://drive.google.com/open?id=1vPgpyo5KwkkYOHcKUiZVN-i7Gi-n4OudoxZ86i1DynE&amp;usp=drive_copy" xr:uid="{00000000-0004-0000-0400-000003040000}"/>
    <hyperlink ref="E314" r:id="rId1029" display="https://drive.google.com/open?id=1vPgpyo5KwkkYOHcKUiZVN-i7Gi-n4OudoxZ86i1DynE" xr:uid="{00000000-0004-0000-0400-000004040000}"/>
    <hyperlink ref="H314" r:id="rId1030" display="https://docs.google.com/spreadsheets/d/1vPgpyo5KwkkYOHcKUiZVN-i7Gi-n4OudoxZ86i1DynE" xr:uid="{00000000-0004-0000-0400-000005040000}"/>
    <hyperlink ref="I314" r:id="rId1031" display="https://docs.google.com/open?id=1vPgpyo5KwkkYOHcKUiZVN-i7Gi-n4OudoxZ86i1DynE" xr:uid="{00000000-0004-0000-0400-000006040000}"/>
    <hyperlink ref="D315" r:id="rId1032" display="https://drive.google.com/open?id=1zV8tIvGoNK8aF3W0o-01UwnkDENQdvxe7JUTwTFxozA&amp;usp=drive_copy" xr:uid="{00000000-0004-0000-0400-000007040000}"/>
    <hyperlink ref="E315" r:id="rId1033" display="https://drive.google.com/open?id=1zV8tIvGoNK8aF3W0o-01UwnkDENQdvxe7JUTwTFxozA" xr:uid="{00000000-0004-0000-0400-000008040000}"/>
    <hyperlink ref="H315" r:id="rId1034" display="https://docs.google.com/spreadsheets/d/1zV8tIvGoNK8aF3W0o-01UwnkDENQdvxe7JUTwTFxozA" xr:uid="{00000000-0004-0000-0400-000009040000}"/>
    <hyperlink ref="I315" r:id="rId1035" display="https://docs.google.com/open?id=1zV8tIvGoNK8aF3W0o-01UwnkDENQdvxe7JUTwTFxozA" xr:uid="{00000000-0004-0000-0400-00000A040000}"/>
    <hyperlink ref="D316" r:id="rId1036" display="https://drive.google.com/open?id=10-e6i2Y1dJz7V0Ow6RYSOPsODg2DKNOiq-4_fCDRCow&amp;usp=drive_copy" xr:uid="{00000000-0004-0000-0400-00000B040000}"/>
    <hyperlink ref="E316" r:id="rId1037" display="https://drive.google.com/open?id=10-e6i2Y1dJz7V0Ow6RYSOPsODg2DKNOiq-4_fCDRCow" xr:uid="{00000000-0004-0000-0400-00000C040000}"/>
    <hyperlink ref="H316" r:id="rId1038" display="https://docs.google.com/spreadsheets/d/10-e6i2Y1dJz7V0Ow6RYSOPsODg2DKNOiq-4_fCDRCow" xr:uid="{00000000-0004-0000-0400-00000D040000}"/>
    <hyperlink ref="I316" r:id="rId1039" display="https://docs.google.com/open?id=10-e6i2Y1dJz7V0Ow6RYSOPsODg2DKNOiq-4_fCDRCow" xr:uid="{00000000-0004-0000-0400-00000E040000}"/>
    <hyperlink ref="D317" r:id="rId1040" display="https://drive.google.com/open?id=13YSRYTciJoU95rV7WBPkBKL52TKOuw2safWr01Df0-g&amp;usp=drive_copy" xr:uid="{00000000-0004-0000-0400-00000F040000}"/>
    <hyperlink ref="E317" r:id="rId1041" display="https://drive.google.com/open?id=13YSRYTciJoU95rV7WBPkBKL52TKOuw2safWr01Df0-g" xr:uid="{00000000-0004-0000-0400-000010040000}"/>
    <hyperlink ref="H317" r:id="rId1042" display="https://docs.google.com/spreadsheets/d/13YSRYTciJoU95rV7WBPkBKL52TKOuw2safWr01Df0-g" xr:uid="{00000000-0004-0000-0400-000011040000}"/>
    <hyperlink ref="I317" r:id="rId1043" display="https://docs.google.com/open?id=13YSRYTciJoU95rV7WBPkBKL52TKOuw2safWr01Df0-g" xr:uid="{00000000-0004-0000-0400-000012040000}"/>
    <hyperlink ref="D318" r:id="rId1044" display="https://drive.google.com/open?id=16WA4VfPvnflY-Rpfm4rXZH29RuxySB0zyhoz031Jeqw&amp;usp=drive_copy" xr:uid="{00000000-0004-0000-0400-000013040000}"/>
    <hyperlink ref="E318" r:id="rId1045" display="https://drive.google.com/open?id=16WA4VfPvnflY-Rpfm4rXZH29RuxySB0zyhoz031Jeqw" xr:uid="{00000000-0004-0000-0400-000014040000}"/>
    <hyperlink ref="H318" r:id="rId1046" display="https://docs.google.com/spreadsheets/d/16WA4VfPvnflY-Rpfm4rXZH29RuxySB0zyhoz031Jeqw" xr:uid="{00000000-0004-0000-0400-000015040000}"/>
    <hyperlink ref="I318" r:id="rId1047" display="https://docs.google.com/open?id=16WA4VfPvnflY-Rpfm4rXZH29RuxySB0zyhoz031Jeqw" xr:uid="{00000000-0004-0000-0400-000016040000}"/>
    <hyperlink ref="D319" r:id="rId1048" display="https://drive.google.com/open?id=18rIwtIo9dWyf2Ut4Zmza2-vWtmaytdEvRgAiCozJi_0&amp;usp=drive_copy" xr:uid="{00000000-0004-0000-0400-000017040000}"/>
    <hyperlink ref="E319" r:id="rId1049" display="https://drive.google.com/open?id=18rIwtIo9dWyf2Ut4Zmza2-vWtmaytdEvRgAiCozJi_0" xr:uid="{00000000-0004-0000-0400-000018040000}"/>
    <hyperlink ref="H319" r:id="rId1050" display="https://docs.google.com/spreadsheets/d/18rIwtIo9dWyf2Ut4Zmza2-vWtmaytdEvRgAiCozJi_0" xr:uid="{00000000-0004-0000-0400-000019040000}"/>
    <hyperlink ref="I319" r:id="rId1051" display="https://docs.google.com/open?id=18rIwtIo9dWyf2Ut4Zmza2-vWtmaytdEvRgAiCozJi_0" xr:uid="{00000000-0004-0000-0400-00001A040000}"/>
    <hyperlink ref="D320" r:id="rId1052" display="https://drive.google.com/open?id=1ntJt78MMO8tHEAJei-fcRgs7q9llWOt0MnI-NMC4PjA&amp;usp=drive_copy" xr:uid="{00000000-0004-0000-0400-00001B040000}"/>
    <hyperlink ref="E320" r:id="rId1053" display="https://drive.google.com/open?id=1ntJt78MMO8tHEAJei-fcRgs7q9llWOt0MnI-NMC4PjA" xr:uid="{00000000-0004-0000-0400-00001C040000}"/>
    <hyperlink ref="H320" r:id="rId1054" display="https://docs.google.com/spreadsheets/d/1ntJt78MMO8tHEAJei-fcRgs7q9llWOt0MnI-NMC4PjA" xr:uid="{00000000-0004-0000-0400-00001D040000}"/>
    <hyperlink ref="I320" r:id="rId1055" display="https://docs.google.com/open?id=1ntJt78MMO8tHEAJei-fcRgs7q9llWOt0MnI-NMC4PjA" xr:uid="{00000000-0004-0000-0400-00001E040000}"/>
    <hyperlink ref="D321" r:id="rId1056" display="https://drive.google.com/open?id=1nH62xTJNMa3X58-m-mj1l3cKnGDpbJbD-3xXHloHi90&amp;usp=drive_copy" xr:uid="{00000000-0004-0000-0400-00001F040000}"/>
    <hyperlink ref="E321" r:id="rId1057" display="https://drive.google.com/open?id=1nH62xTJNMa3X58-m-mj1l3cKnGDpbJbD-3xXHloHi90" xr:uid="{00000000-0004-0000-0400-000020040000}"/>
    <hyperlink ref="H321" r:id="rId1058" display="https://docs.google.com/spreadsheets/d/1nH62xTJNMa3X58-m-mj1l3cKnGDpbJbD-3xXHloHi90" xr:uid="{00000000-0004-0000-0400-000021040000}"/>
    <hyperlink ref="I321" r:id="rId1059" display="https://docs.google.com/open?id=1nH62xTJNMa3X58-m-mj1l3cKnGDpbJbD-3xXHloHi90" xr:uid="{00000000-0004-0000-0400-000022040000}"/>
    <hyperlink ref="D322" r:id="rId1060" display="https://drive.google.com/open?id=1_lZAeTR44NLPw8o0YVl4JkitOMzmqwe85Vai3zHQvHQ&amp;usp=drive_copy" xr:uid="{00000000-0004-0000-0400-000023040000}"/>
    <hyperlink ref="E322" r:id="rId1061" display="https://drive.google.com/open?id=1_lZAeTR44NLPw8o0YVl4JkitOMzmqwe85Vai3zHQvHQ" xr:uid="{00000000-0004-0000-0400-000024040000}"/>
    <hyperlink ref="H322" r:id="rId1062" display="https://docs.google.com/spreadsheets/d/1_lZAeTR44NLPw8o0YVl4JkitOMzmqwe85Vai3zHQvHQ" xr:uid="{00000000-0004-0000-0400-000025040000}"/>
    <hyperlink ref="I322" r:id="rId1063" display="https://docs.google.com/open?id=1_lZAeTR44NLPw8o0YVl4JkitOMzmqwe85Vai3zHQvHQ" xr:uid="{00000000-0004-0000-0400-000026040000}"/>
    <hyperlink ref="D323" r:id="rId1064" display="https://drive.google.com/open?id=1nyt8JabHoQZBO5ILQhBG_Sj__zD2xgtWtYAOGnhypos&amp;usp=drive_copy" xr:uid="{00000000-0004-0000-0400-000027040000}"/>
    <hyperlink ref="E323" r:id="rId1065" display="https://drive.google.com/open?id=1nyt8JabHoQZBO5ILQhBG_Sj__zD2xgtWtYAOGnhypos" xr:uid="{00000000-0004-0000-0400-000028040000}"/>
    <hyperlink ref="H323" r:id="rId1066" display="https://docs.google.com/spreadsheets/d/1nyt8JabHoQZBO5ILQhBG_Sj__zD2xgtWtYAOGnhypos" xr:uid="{00000000-0004-0000-0400-000029040000}"/>
    <hyperlink ref="I323" r:id="rId1067" display="https://docs.google.com/open?id=1nyt8JabHoQZBO5ILQhBG_Sj__zD2xgtWtYAOGnhypos" xr:uid="{00000000-0004-0000-0400-00002A040000}"/>
    <hyperlink ref="D324" r:id="rId1068" display="https://drive.google.com/open?id=1u3c-H54YC0yYkqIRUdPXagzZHtdWLl-WsNSOsUA693g&amp;usp=drive_copy" xr:uid="{00000000-0004-0000-0400-00002B040000}"/>
    <hyperlink ref="E324" r:id="rId1069" display="https://drive.google.com/open?id=1u3c-H54YC0yYkqIRUdPXagzZHtdWLl-WsNSOsUA693g" xr:uid="{00000000-0004-0000-0400-00002C040000}"/>
    <hyperlink ref="H324" r:id="rId1070" display="https://docs.google.com/spreadsheets/d/1u3c-H54YC0yYkqIRUdPXagzZHtdWLl-WsNSOsUA693g" xr:uid="{00000000-0004-0000-0400-00002D040000}"/>
    <hyperlink ref="I324" r:id="rId1071" display="https://docs.google.com/open?id=1u3c-H54YC0yYkqIRUdPXagzZHtdWLl-WsNSOsUA693g" xr:uid="{00000000-0004-0000-0400-00002E040000}"/>
    <hyperlink ref="D325" r:id="rId1072" display="https://drive.google.com/open?id=1BRXpynHU4hwj1t-FIBojMXbyvBVKSj0DiATGFbOTeS4&amp;usp=drive_copy" xr:uid="{00000000-0004-0000-0400-00002F040000}"/>
    <hyperlink ref="E325" r:id="rId1073" display="https://drive.google.com/open?id=1BRXpynHU4hwj1t-FIBojMXbyvBVKSj0DiATGFbOTeS4" xr:uid="{00000000-0004-0000-0400-000030040000}"/>
    <hyperlink ref="H325" r:id="rId1074" display="https://docs.google.com/spreadsheets/d/1BRXpynHU4hwj1t-FIBojMXbyvBVKSj0DiATGFbOTeS4" xr:uid="{00000000-0004-0000-0400-000031040000}"/>
    <hyperlink ref="I325" r:id="rId1075" display="https://docs.google.com/open?id=1BRXpynHU4hwj1t-FIBojMXbyvBVKSj0DiATGFbOTeS4" xr:uid="{00000000-0004-0000-0400-000032040000}"/>
    <hyperlink ref="D326" r:id="rId1076" display="https://drive.google.com/open?id=1gUp2of45r1p0dugD5kbOtWH35ont0ZVMOkqlLBlaYMo&amp;usp=drive_copy" xr:uid="{00000000-0004-0000-0400-000033040000}"/>
    <hyperlink ref="E326" r:id="rId1077" display="https://drive.google.com/open?id=1gUp2of45r1p0dugD5kbOtWH35ont0ZVMOkqlLBlaYMo" xr:uid="{00000000-0004-0000-0400-000034040000}"/>
    <hyperlink ref="H326" r:id="rId1078" display="https://docs.google.com/spreadsheets/d/1gUp2of45r1p0dugD5kbOtWH35ont0ZVMOkqlLBlaYMo" xr:uid="{00000000-0004-0000-0400-000035040000}"/>
    <hyperlink ref="I326" r:id="rId1079" display="https://docs.google.com/open?id=1gUp2of45r1p0dugD5kbOtWH35ont0ZVMOkqlLBlaYMo" xr:uid="{00000000-0004-0000-0400-000036040000}"/>
    <hyperlink ref="D327" r:id="rId1080" display="https://drive.google.com/open?id=1hpIaW6OPhu-Wzs4jCob0b3BJt3IFD0vHWxah8OTuuVQ&amp;usp=drive_copy" xr:uid="{00000000-0004-0000-0400-000037040000}"/>
    <hyperlink ref="E327" r:id="rId1081" display="https://drive.google.com/open?id=1hpIaW6OPhu-Wzs4jCob0b3BJt3IFD0vHWxah8OTuuVQ" xr:uid="{00000000-0004-0000-0400-000038040000}"/>
    <hyperlink ref="H327" r:id="rId1082" display="https://docs.google.com/spreadsheets/d/1hpIaW6OPhu-Wzs4jCob0b3BJt3IFD0vHWxah8OTuuVQ" xr:uid="{00000000-0004-0000-0400-000039040000}"/>
    <hyperlink ref="I327" r:id="rId1083" display="https://docs.google.com/open?id=1hpIaW6OPhu-Wzs4jCob0b3BJt3IFD0vHWxah8OTuuVQ" xr:uid="{00000000-0004-0000-0400-00003A040000}"/>
    <hyperlink ref="D328" r:id="rId1084" display="https://drive.google.com/open?id=1hbdePgcJfxdYIbmmQCKGKTkR0b1h2YZSc_zXl86g_VA&amp;usp=drive_copy" xr:uid="{00000000-0004-0000-0400-00003B040000}"/>
    <hyperlink ref="E328" r:id="rId1085" display="https://drive.google.com/open?id=1hbdePgcJfxdYIbmmQCKGKTkR0b1h2YZSc_zXl86g_VA" xr:uid="{00000000-0004-0000-0400-00003C040000}"/>
    <hyperlink ref="H328" r:id="rId1086" display="https://docs.google.com/spreadsheets/d/1hbdePgcJfxdYIbmmQCKGKTkR0b1h2YZSc_zXl86g_VA" xr:uid="{00000000-0004-0000-0400-00003D040000}"/>
    <hyperlink ref="I328" r:id="rId1087" display="https://docs.google.com/open?id=1hbdePgcJfxdYIbmmQCKGKTkR0b1h2YZSc_zXl86g_VA" xr:uid="{00000000-0004-0000-0400-00003E040000}"/>
    <hyperlink ref="D329" r:id="rId1088" display="https://drive.google.com/open?id=1Hp6KMA0fPFywsxhr-xQPIhALtUqYjVodSXQvCSyfhYE&amp;usp=drive_copy" xr:uid="{00000000-0004-0000-0400-00003F040000}"/>
    <hyperlink ref="E329" r:id="rId1089" display="https://drive.google.com/open?id=1Hp6KMA0fPFywsxhr-xQPIhALtUqYjVodSXQvCSyfhYE" xr:uid="{00000000-0004-0000-0400-000040040000}"/>
    <hyperlink ref="H329" r:id="rId1090" display="https://docs.google.com/spreadsheets/d/1Hp6KMA0fPFywsxhr-xQPIhALtUqYjVodSXQvCSyfhYE" xr:uid="{00000000-0004-0000-0400-000041040000}"/>
    <hyperlink ref="I329" r:id="rId1091" display="https://docs.google.com/open?id=1Hp6KMA0fPFywsxhr-xQPIhALtUqYjVodSXQvCSyfhYE" xr:uid="{00000000-0004-0000-0400-000042040000}"/>
    <hyperlink ref="D330" r:id="rId1092" display="https://drive.google.com/open?id=1jXkfqSZqGAawLE9ECl2MxpNxfFkEtfAvk3PDxmRuIRw&amp;usp=drive_copy" xr:uid="{00000000-0004-0000-0400-000043040000}"/>
    <hyperlink ref="E330" r:id="rId1093" display="https://drive.google.com/open?id=1jXkfqSZqGAawLE9ECl2MxpNxfFkEtfAvk3PDxmRuIRw" xr:uid="{00000000-0004-0000-0400-000044040000}"/>
    <hyperlink ref="H330" r:id="rId1094" display="https://docs.google.com/spreadsheets/d/1jXkfqSZqGAawLE9ECl2MxpNxfFkEtfAvk3PDxmRuIRw" xr:uid="{00000000-0004-0000-0400-000045040000}"/>
    <hyperlink ref="I330" r:id="rId1095" display="https://docs.google.com/open?id=1jXkfqSZqGAawLE9ECl2MxpNxfFkEtfAvk3PDxmRuIRw" xr:uid="{00000000-0004-0000-0400-000046040000}"/>
    <hyperlink ref="D331" r:id="rId1096" display="https://drive.google.com/open?id=1mMcWuFVAwZhxChwjTzrL6lEaJwmyg3DSMEy8jlJqa50&amp;usp=drive_copy" xr:uid="{00000000-0004-0000-0400-000047040000}"/>
    <hyperlink ref="E331" r:id="rId1097" display="https://drive.google.com/open?id=1mMcWuFVAwZhxChwjTzrL6lEaJwmyg3DSMEy8jlJqa50" xr:uid="{00000000-0004-0000-0400-000048040000}"/>
    <hyperlink ref="H331" r:id="rId1098" display="https://docs.google.com/spreadsheets/d/1mMcWuFVAwZhxChwjTzrL6lEaJwmyg3DSMEy8jlJqa50" xr:uid="{00000000-0004-0000-0400-000049040000}"/>
    <hyperlink ref="I331" r:id="rId1099" display="https://docs.google.com/open?id=1mMcWuFVAwZhxChwjTzrL6lEaJwmyg3DSMEy8jlJqa50" xr:uid="{00000000-0004-0000-0400-00004A040000}"/>
    <hyperlink ref="D332" r:id="rId1100" display="https://drive.google.com/open?id=1Ej1fn9ZntzCVNzdS9n2ooJM8aheySbhVY0aOsvlIxqU&amp;usp=drive_copy" xr:uid="{00000000-0004-0000-0400-00004B040000}"/>
    <hyperlink ref="E332" r:id="rId1101" display="https://drive.google.com/open?id=1Ej1fn9ZntzCVNzdS9n2ooJM8aheySbhVY0aOsvlIxqU" xr:uid="{00000000-0004-0000-0400-00004C040000}"/>
    <hyperlink ref="H332" r:id="rId1102" display="https://docs.google.com/spreadsheets/d/1Ej1fn9ZntzCVNzdS9n2ooJM8aheySbhVY0aOsvlIxqU" xr:uid="{00000000-0004-0000-0400-00004D040000}"/>
    <hyperlink ref="I332" r:id="rId1103" display="https://docs.google.com/open?id=1Ej1fn9ZntzCVNzdS9n2ooJM8aheySbhVY0aOsvlIxqU" xr:uid="{00000000-0004-0000-0400-00004E040000}"/>
    <hyperlink ref="D333" r:id="rId1104" display="https://drive.google.com/open?id=1DI6KzFnPokmWGqcgy68XWI0vr-ytPKUTrVh8p7T3T8k&amp;usp=drive_copy" xr:uid="{00000000-0004-0000-0400-00004F040000}"/>
    <hyperlink ref="E333" r:id="rId1105" display="https://drive.google.com/open?id=1DI6KzFnPokmWGqcgy68XWI0vr-ytPKUTrVh8p7T3T8k" xr:uid="{00000000-0004-0000-0400-000050040000}"/>
    <hyperlink ref="H333" r:id="rId1106" display="https://docs.google.com/spreadsheets/d/1DI6KzFnPokmWGqcgy68XWI0vr-ytPKUTrVh8p7T3T8k" xr:uid="{00000000-0004-0000-0400-000051040000}"/>
    <hyperlink ref="I333" r:id="rId1107" display="https://docs.google.com/open?id=1DI6KzFnPokmWGqcgy68XWI0vr-ytPKUTrVh8p7T3T8k" xr:uid="{00000000-0004-0000-0400-000052040000}"/>
    <hyperlink ref="D334" r:id="rId1108" display="https://drive.google.com/open?id=1oxOc09P3H6c3etcU2Cox3OmjdScC_NtBT9weDtr2OM0&amp;usp=drive_copy" xr:uid="{00000000-0004-0000-0400-000053040000}"/>
    <hyperlink ref="E334" r:id="rId1109" display="https://drive.google.com/open?id=1oxOc09P3H6c3etcU2Cox3OmjdScC_NtBT9weDtr2OM0" xr:uid="{00000000-0004-0000-0400-000054040000}"/>
    <hyperlink ref="H334" r:id="rId1110" display="https://docs.google.com/spreadsheets/d/1oxOc09P3H6c3etcU2Cox3OmjdScC_NtBT9weDtr2OM0" xr:uid="{00000000-0004-0000-0400-000055040000}"/>
    <hyperlink ref="I334" r:id="rId1111" display="https://docs.google.com/open?id=1oxOc09P3H6c3etcU2Cox3OmjdScC_NtBT9weDtr2OM0" xr:uid="{00000000-0004-0000-0400-000056040000}"/>
    <hyperlink ref="D335" r:id="rId1112" display="https://drive.google.com/open?id=1p9r9ZHTsIOZAQwuDiHReYmUzztPHbI4dg_hEC_4lG3Y&amp;usp=drive_copy" xr:uid="{00000000-0004-0000-0400-000057040000}"/>
    <hyperlink ref="E335" r:id="rId1113" display="https://drive.google.com/open?id=1p9r9ZHTsIOZAQwuDiHReYmUzztPHbI4dg_hEC_4lG3Y" xr:uid="{00000000-0004-0000-0400-000058040000}"/>
    <hyperlink ref="H335" r:id="rId1114" display="https://docs.google.com/spreadsheets/d/1p9r9ZHTsIOZAQwuDiHReYmUzztPHbI4dg_hEC_4lG3Y" xr:uid="{00000000-0004-0000-0400-000059040000}"/>
    <hyperlink ref="I335" r:id="rId1115" display="https://docs.google.com/open?id=1p9r9ZHTsIOZAQwuDiHReYmUzztPHbI4dg_hEC_4lG3Y" xr:uid="{00000000-0004-0000-0400-00005A040000}"/>
    <hyperlink ref="D336" r:id="rId1116" display="https://drive.google.com/open?id=1I89-ivqqBLTbJ4zIJKYkwfz4sAqagth-EtFVNowz0PU&amp;usp=drive_copy" xr:uid="{00000000-0004-0000-0400-00005B040000}"/>
    <hyperlink ref="E336" r:id="rId1117" display="https://drive.google.com/open?id=1I89-ivqqBLTbJ4zIJKYkwfz4sAqagth-EtFVNowz0PU" xr:uid="{00000000-0004-0000-0400-00005C040000}"/>
    <hyperlink ref="H336" r:id="rId1118" display="https://docs.google.com/spreadsheets/d/1I89-ivqqBLTbJ4zIJKYkwfz4sAqagth-EtFVNowz0PU" xr:uid="{00000000-0004-0000-0400-00005D040000}"/>
    <hyperlink ref="I336" r:id="rId1119" display="https://docs.google.com/open?id=1I89-ivqqBLTbJ4zIJKYkwfz4sAqagth-EtFVNowz0PU" xr:uid="{00000000-0004-0000-0400-00005E040000}"/>
    <hyperlink ref="D337" r:id="rId1120" display="https://drive.google.com/open?id=1hWjdpahK8LfWaI-boTIWY318vErkuc2PvkMTj5xpQrk&amp;usp=drive_copy" xr:uid="{00000000-0004-0000-0400-00005F040000}"/>
    <hyperlink ref="E337" r:id="rId1121" display="https://drive.google.com/open?id=1hWjdpahK8LfWaI-boTIWY318vErkuc2PvkMTj5xpQrk" xr:uid="{00000000-0004-0000-0400-000060040000}"/>
    <hyperlink ref="H337" r:id="rId1122" display="https://docs.google.com/spreadsheets/d/1hWjdpahK8LfWaI-boTIWY318vErkuc2PvkMTj5xpQrk" xr:uid="{00000000-0004-0000-0400-000061040000}"/>
    <hyperlink ref="I337" r:id="rId1123" display="https://docs.google.com/open?id=1hWjdpahK8LfWaI-boTIWY318vErkuc2PvkMTj5xpQrk" xr:uid="{00000000-0004-0000-0400-000062040000}"/>
    <hyperlink ref="D338" r:id="rId1124" display="https://drive.google.com/open?id=1lWcYdNugbKYhbj-NsLmjM1M7bBuXkOU_Z7TE6wmzidA&amp;usp=drive_copy" xr:uid="{00000000-0004-0000-0400-000063040000}"/>
    <hyperlink ref="E338" r:id="rId1125" display="https://drive.google.com/open?id=1lWcYdNugbKYhbj-NsLmjM1M7bBuXkOU_Z7TE6wmzidA" xr:uid="{00000000-0004-0000-0400-000064040000}"/>
    <hyperlink ref="H338" r:id="rId1126" display="https://docs.google.com/spreadsheets/d/1lWcYdNugbKYhbj-NsLmjM1M7bBuXkOU_Z7TE6wmzidA" xr:uid="{00000000-0004-0000-0400-000065040000}"/>
    <hyperlink ref="I338" r:id="rId1127" display="https://docs.google.com/open?id=1lWcYdNugbKYhbj-NsLmjM1M7bBuXkOU_Z7TE6wmzidA" xr:uid="{00000000-0004-0000-0400-000066040000}"/>
    <hyperlink ref="D339" r:id="rId1128" display="https://drive.google.com/open?id=1lwyss_7wMpUIv0Eb2qCb2YsEPlxjf0Fx4TJTyDHCL3Q&amp;usp=drive_copy" xr:uid="{00000000-0004-0000-0400-000067040000}"/>
    <hyperlink ref="E339" r:id="rId1129" display="https://drive.google.com/open?id=1lwyss_7wMpUIv0Eb2qCb2YsEPlxjf0Fx4TJTyDHCL3Q" xr:uid="{00000000-0004-0000-0400-000068040000}"/>
    <hyperlink ref="H339" r:id="rId1130" display="https://docs.google.com/spreadsheets/d/1lwyss_7wMpUIv0Eb2qCb2YsEPlxjf0Fx4TJTyDHCL3Q" xr:uid="{00000000-0004-0000-0400-000069040000}"/>
    <hyperlink ref="I339" r:id="rId1131" display="https://docs.google.com/open?id=1lwyss_7wMpUIv0Eb2qCb2YsEPlxjf0Fx4TJTyDHCL3Q" xr:uid="{00000000-0004-0000-0400-00006A040000}"/>
    <hyperlink ref="D340" r:id="rId1132" display="https://drive.google.com/open?id=1o-5W8XHiBwlQrrTfoctzCtfwFk4dgrJD1x2tJ4-lcgc&amp;usp=drive_copy" xr:uid="{00000000-0004-0000-0400-00006B040000}"/>
    <hyperlink ref="E340" r:id="rId1133" display="https://drive.google.com/open?id=1o-5W8XHiBwlQrrTfoctzCtfwFk4dgrJD1x2tJ4-lcgc" xr:uid="{00000000-0004-0000-0400-00006C040000}"/>
    <hyperlink ref="H340" r:id="rId1134" display="https://docs.google.com/spreadsheets/d/1o-5W8XHiBwlQrrTfoctzCtfwFk4dgrJD1x2tJ4-lcgc" xr:uid="{00000000-0004-0000-0400-00006D040000}"/>
    <hyperlink ref="I340" r:id="rId1135" display="https://docs.google.com/open?id=1o-5W8XHiBwlQrrTfoctzCtfwFk4dgrJD1x2tJ4-lcgc" xr:uid="{00000000-0004-0000-0400-00006E040000}"/>
    <hyperlink ref="D341" r:id="rId1136" display="https://drive.google.com/open?id=1peJyQg3YjVuVHh5KG223shFEj7aVpFUVJ_BIkxW-VyY&amp;usp=drive_copy" xr:uid="{00000000-0004-0000-0400-00006F040000}"/>
    <hyperlink ref="E341" r:id="rId1137" display="https://drive.google.com/open?id=1peJyQg3YjVuVHh5KG223shFEj7aVpFUVJ_BIkxW-VyY" xr:uid="{00000000-0004-0000-0400-000070040000}"/>
    <hyperlink ref="H341" r:id="rId1138" display="https://docs.google.com/spreadsheets/d/1peJyQg3YjVuVHh5KG223shFEj7aVpFUVJ_BIkxW-VyY" xr:uid="{00000000-0004-0000-0400-000071040000}"/>
    <hyperlink ref="I341" r:id="rId1139" display="https://docs.google.com/open?id=1peJyQg3YjVuVHh5KG223shFEj7aVpFUVJ_BIkxW-VyY" xr:uid="{00000000-0004-0000-0400-000072040000}"/>
    <hyperlink ref="D342" r:id="rId1140" display="https://drive.google.com/open?id=1r9FRjTB0i50xfIz1__yWsyNKPNQ9aZGQ1Fmcqb0iR6Q&amp;usp=drive_copy" xr:uid="{00000000-0004-0000-0400-000073040000}"/>
    <hyperlink ref="E342" r:id="rId1141" display="https://drive.google.com/open?id=1r9FRjTB0i50xfIz1__yWsyNKPNQ9aZGQ1Fmcqb0iR6Q" xr:uid="{00000000-0004-0000-0400-000074040000}"/>
    <hyperlink ref="H342" r:id="rId1142" display="https://docs.google.com/spreadsheets/d/1r9FRjTB0i50xfIz1__yWsyNKPNQ9aZGQ1Fmcqb0iR6Q" xr:uid="{00000000-0004-0000-0400-000075040000}"/>
    <hyperlink ref="I342" r:id="rId1143" display="https://docs.google.com/open?id=1r9FRjTB0i50xfIz1__yWsyNKPNQ9aZGQ1Fmcqb0iR6Q" xr:uid="{00000000-0004-0000-0400-000076040000}"/>
    <hyperlink ref="D343" r:id="rId1144" display="https://drive.google.com/open?id=1rnBeGu67CR0QBG4_DNubbzEK5NSk5mlBzMw_7iZ6Hs8&amp;usp=drive_copy" xr:uid="{00000000-0004-0000-0400-000077040000}"/>
    <hyperlink ref="E343" r:id="rId1145" display="https://drive.google.com/open?id=1rnBeGu67CR0QBG4_DNubbzEK5NSk5mlBzMw_7iZ6Hs8" xr:uid="{00000000-0004-0000-0400-000078040000}"/>
    <hyperlink ref="H343" r:id="rId1146" display="https://docs.google.com/spreadsheets/d/1rnBeGu67CR0QBG4_DNubbzEK5NSk5mlBzMw_7iZ6Hs8" xr:uid="{00000000-0004-0000-0400-000079040000}"/>
    <hyperlink ref="I343" r:id="rId1147" display="https://docs.google.com/open?id=1rnBeGu67CR0QBG4_DNubbzEK5NSk5mlBzMw_7iZ6Hs8" xr:uid="{00000000-0004-0000-0400-00007A040000}"/>
    <hyperlink ref="D344" r:id="rId1148" display="https://drive.google.com/open?id=1TkzLHbzxcPVx537kBW55zEu46XLYU1_bQM6apZhoGo0&amp;usp=drive_copy" xr:uid="{00000000-0004-0000-0400-00007B040000}"/>
    <hyperlink ref="E344" r:id="rId1149" display="https://drive.google.com/open?id=1TkzLHbzxcPVx537kBW55zEu46XLYU1_bQM6apZhoGo0" xr:uid="{00000000-0004-0000-0400-00007C040000}"/>
    <hyperlink ref="H344" r:id="rId1150" display="https://docs.google.com/spreadsheets/d/1TkzLHbzxcPVx537kBW55zEu46XLYU1_bQM6apZhoGo0" xr:uid="{00000000-0004-0000-0400-00007D040000}"/>
    <hyperlink ref="I344" r:id="rId1151" display="https://docs.google.com/open?id=1TkzLHbzxcPVx537kBW55zEu46XLYU1_bQM6apZhoGo0" xr:uid="{00000000-0004-0000-0400-00007E040000}"/>
    <hyperlink ref="D345" r:id="rId1152" display="https://drive.google.com/open?id=1T4pmLI_UD2FFyn2DwaOSxDiHRY9oEfYkfnxHH8QmqxM&amp;usp=drive_copy" xr:uid="{00000000-0004-0000-0400-00007F040000}"/>
    <hyperlink ref="E345" r:id="rId1153" display="https://drive.google.com/open?id=1T4pmLI_UD2FFyn2DwaOSxDiHRY9oEfYkfnxHH8QmqxM" xr:uid="{00000000-0004-0000-0400-000080040000}"/>
    <hyperlink ref="H345" r:id="rId1154" display="https://docs.google.com/spreadsheets/d/1T4pmLI_UD2FFyn2DwaOSxDiHRY9oEfYkfnxHH8QmqxM" xr:uid="{00000000-0004-0000-0400-000081040000}"/>
    <hyperlink ref="I345" r:id="rId1155" display="https://docs.google.com/open?id=1T4pmLI_UD2FFyn2DwaOSxDiHRY9oEfYkfnxHH8QmqxM" xr:uid="{00000000-0004-0000-0400-000082040000}"/>
    <hyperlink ref="D346" r:id="rId1156" display="https://drive.google.com/open?id=1U3OXeXhbgaXTqO_-yUSfQiyA4NyEqttzT0DpZQKpNZM&amp;usp=drive_copy" xr:uid="{00000000-0004-0000-0400-000083040000}"/>
    <hyperlink ref="E346" r:id="rId1157" display="https://drive.google.com/open?id=1U3OXeXhbgaXTqO_-yUSfQiyA4NyEqttzT0DpZQKpNZM" xr:uid="{00000000-0004-0000-0400-000084040000}"/>
    <hyperlink ref="H346" r:id="rId1158" display="https://docs.google.com/spreadsheets/d/1U3OXeXhbgaXTqO_-yUSfQiyA4NyEqttzT0DpZQKpNZM" xr:uid="{00000000-0004-0000-0400-000085040000}"/>
    <hyperlink ref="I346" r:id="rId1159" display="https://docs.google.com/open?id=1U3OXeXhbgaXTqO_-yUSfQiyA4NyEqttzT0DpZQKpNZM" xr:uid="{00000000-0004-0000-0400-000086040000}"/>
    <hyperlink ref="D347" r:id="rId1160" display="https://drive.google.com/open?id=1VoWzqnXAG4wrW76pwo8BG4ArFcxU_NBzI4VBqkg0sBQ&amp;usp=drive_copy" xr:uid="{00000000-0004-0000-0400-000087040000}"/>
    <hyperlink ref="E347" r:id="rId1161" display="https://drive.google.com/open?id=1VoWzqnXAG4wrW76pwo8BG4ArFcxU_NBzI4VBqkg0sBQ" xr:uid="{00000000-0004-0000-0400-000088040000}"/>
    <hyperlink ref="H347" r:id="rId1162" display="https://docs.google.com/spreadsheets/d/1VoWzqnXAG4wrW76pwo8BG4ArFcxU_NBzI4VBqkg0sBQ" xr:uid="{00000000-0004-0000-0400-000089040000}"/>
    <hyperlink ref="I347" r:id="rId1163" display="https://docs.google.com/open?id=1VoWzqnXAG4wrW76pwo8BG4ArFcxU_NBzI4VBqkg0sBQ" xr:uid="{00000000-0004-0000-0400-00008A040000}"/>
    <hyperlink ref="D348" r:id="rId1164" display="https://drive.google.com/open?id=1UYWMWHeW-M8GY0OSZNcPF2R8afJWdtf38jKAsq2fAho&amp;usp=drive_copy" xr:uid="{00000000-0004-0000-0400-00008B040000}"/>
    <hyperlink ref="E348" r:id="rId1165" display="https://drive.google.com/open?id=1UYWMWHeW-M8GY0OSZNcPF2R8afJWdtf38jKAsq2fAho" xr:uid="{00000000-0004-0000-0400-00008C040000}"/>
    <hyperlink ref="H348" r:id="rId1166" display="https://docs.google.com/spreadsheets/d/1UYWMWHeW-M8GY0OSZNcPF2R8afJWdtf38jKAsq2fAho" xr:uid="{00000000-0004-0000-0400-00008D040000}"/>
    <hyperlink ref="I348" r:id="rId1167" display="https://docs.google.com/open?id=1UYWMWHeW-M8GY0OSZNcPF2R8afJWdtf38jKAsq2fAho" xr:uid="{00000000-0004-0000-0400-00008E040000}"/>
    <hyperlink ref="D349" r:id="rId1168" display="https://drive.google.com/open?id=1XOOR8P92_AArpIzWPUqW3e7Ozp_SI-A1s85gzXPKDwc&amp;usp=drive_copy" xr:uid="{00000000-0004-0000-0400-00008F040000}"/>
    <hyperlink ref="E349" r:id="rId1169" display="https://drive.google.com/open?id=1XOOR8P92_AArpIzWPUqW3e7Ozp_SI-A1s85gzXPKDwc" xr:uid="{00000000-0004-0000-0400-000090040000}"/>
    <hyperlink ref="H349" r:id="rId1170" display="https://docs.google.com/spreadsheets/d/1XOOR8P92_AArpIzWPUqW3e7Ozp_SI-A1s85gzXPKDwc" xr:uid="{00000000-0004-0000-0400-000091040000}"/>
    <hyperlink ref="I349" r:id="rId1171" display="https://docs.google.com/open?id=1XOOR8P92_AArpIzWPUqW3e7Ozp_SI-A1s85gzXPKDwc" xr:uid="{00000000-0004-0000-0400-000092040000}"/>
    <hyperlink ref="D350" r:id="rId1172" display="https://drive.google.com/open?id=1XZ0nOf_lIIurh_0YI6XJjrazj_ubPlOlFvi6ZJ7-62M&amp;usp=drive_copy" xr:uid="{00000000-0004-0000-0400-000093040000}"/>
    <hyperlink ref="E350" r:id="rId1173" display="https://drive.google.com/open?id=1XZ0nOf_lIIurh_0YI6XJjrazj_ubPlOlFvi6ZJ7-62M" xr:uid="{00000000-0004-0000-0400-000094040000}"/>
    <hyperlink ref="H350" r:id="rId1174" display="https://docs.google.com/spreadsheets/d/1XZ0nOf_lIIurh_0YI6XJjrazj_ubPlOlFvi6ZJ7-62M" xr:uid="{00000000-0004-0000-0400-000095040000}"/>
    <hyperlink ref="I350" r:id="rId1175" display="https://docs.google.com/open?id=1XZ0nOf_lIIurh_0YI6XJjrazj_ubPlOlFvi6ZJ7-62M" xr:uid="{00000000-0004-0000-0400-000096040000}"/>
    <hyperlink ref="D351" r:id="rId1176" display="https://drive.google.com/open?id=1XcYRqb7tFKMVwHMSlyWM_wXEQF0eDaSgcTGxvXqGMi4&amp;usp=drive_copy" xr:uid="{00000000-0004-0000-0400-000097040000}"/>
    <hyperlink ref="E351" r:id="rId1177" display="https://drive.google.com/open?id=1XcYRqb7tFKMVwHMSlyWM_wXEQF0eDaSgcTGxvXqGMi4" xr:uid="{00000000-0004-0000-0400-000098040000}"/>
    <hyperlink ref="H351" r:id="rId1178" display="https://docs.google.com/spreadsheets/d/1XcYRqb7tFKMVwHMSlyWM_wXEQF0eDaSgcTGxvXqGMi4" xr:uid="{00000000-0004-0000-0400-000099040000}"/>
    <hyperlink ref="I351" r:id="rId1179" display="https://docs.google.com/open?id=1XcYRqb7tFKMVwHMSlyWM_wXEQF0eDaSgcTGxvXqGMi4" xr:uid="{00000000-0004-0000-0400-00009A040000}"/>
    <hyperlink ref="D352" r:id="rId1180" display="https://drive.google.com/open?id=1RF_SaQ8OXRxtpMgTxwUdfOuwgKhTzVvKcjdfy5a-Q0o&amp;usp=drive_copy" xr:uid="{00000000-0004-0000-0400-00009B040000}"/>
    <hyperlink ref="E352" r:id="rId1181" display="https://drive.google.com/open?id=1RF_SaQ8OXRxtpMgTxwUdfOuwgKhTzVvKcjdfy5a-Q0o" xr:uid="{00000000-0004-0000-0400-00009C040000}"/>
    <hyperlink ref="H352" r:id="rId1182" display="https://docs.google.com/spreadsheets/d/1RF_SaQ8OXRxtpMgTxwUdfOuwgKhTzVvKcjdfy5a-Q0o" xr:uid="{00000000-0004-0000-0400-00009D040000}"/>
    <hyperlink ref="I352" r:id="rId1183" display="https://docs.google.com/open?id=1RF_SaQ8OXRxtpMgTxwUdfOuwgKhTzVvKcjdfy5a-Q0o" xr:uid="{00000000-0004-0000-0400-00009E040000}"/>
    <hyperlink ref="D353" r:id="rId1184" display="https://drive.google.com/open?id=1Yis8bvL-ziqT88RZfFPowTkK1R7KVfqun4L18uOAEzI&amp;usp=drive_copy" xr:uid="{00000000-0004-0000-0400-00009F040000}"/>
    <hyperlink ref="E353" r:id="rId1185" display="https://drive.google.com/open?id=1Yis8bvL-ziqT88RZfFPowTkK1R7KVfqun4L18uOAEzI" xr:uid="{00000000-0004-0000-0400-0000A0040000}"/>
    <hyperlink ref="H353" r:id="rId1186" display="https://docs.google.com/spreadsheets/d/1Yis8bvL-ziqT88RZfFPowTkK1R7KVfqun4L18uOAEzI" xr:uid="{00000000-0004-0000-0400-0000A1040000}"/>
    <hyperlink ref="I353" r:id="rId1187" display="https://docs.google.com/open?id=1Yis8bvL-ziqT88RZfFPowTkK1R7KVfqun4L18uOAEzI" xr:uid="{00000000-0004-0000-0400-0000A2040000}"/>
    <hyperlink ref="D354" r:id="rId1188" display="https://drive.google.com/open?id=1Yza90-TlvGx99B7AxrZnd8orAhG1q79_xXyht58dmYQ&amp;usp=drive_copy" xr:uid="{00000000-0004-0000-0400-0000A3040000}"/>
    <hyperlink ref="E354" r:id="rId1189" display="https://drive.google.com/open?id=1Yza90-TlvGx99B7AxrZnd8orAhG1q79_xXyht58dmYQ" xr:uid="{00000000-0004-0000-0400-0000A4040000}"/>
    <hyperlink ref="H354" r:id="rId1190" display="https://docs.google.com/spreadsheets/d/1Yza90-TlvGx99B7AxrZnd8orAhG1q79_xXyht58dmYQ" xr:uid="{00000000-0004-0000-0400-0000A5040000}"/>
    <hyperlink ref="I354" r:id="rId1191" display="https://docs.google.com/open?id=1Yza90-TlvGx99B7AxrZnd8orAhG1q79_xXyht58dmYQ" xr:uid="{00000000-0004-0000-0400-0000A6040000}"/>
    <hyperlink ref="D355" r:id="rId1192" display="https://drive.google.com/open?id=1ZGcE8KqSeQF0J6zfp80i1TrHAoE3eFk8gtM375IcFOY&amp;usp=drive_copy" xr:uid="{00000000-0004-0000-0400-0000A7040000}"/>
    <hyperlink ref="E355" r:id="rId1193" display="https://drive.google.com/open?id=1ZGcE8KqSeQF0J6zfp80i1TrHAoE3eFk8gtM375IcFOY" xr:uid="{00000000-0004-0000-0400-0000A8040000}"/>
    <hyperlink ref="H355" r:id="rId1194" display="https://docs.google.com/spreadsheets/d/1ZGcE8KqSeQF0J6zfp80i1TrHAoE3eFk8gtM375IcFOY" xr:uid="{00000000-0004-0000-0400-0000A9040000}"/>
    <hyperlink ref="I355" r:id="rId1195" display="https://docs.google.com/open?id=1ZGcE8KqSeQF0J6zfp80i1TrHAoE3eFk8gtM375IcFOY" xr:uid="{00000000-0004-0000-0400-0000AA040000}"/>
    <hyperlink ref="D356" r:id="rId1196" display="https://drive.google.com/open?id=1ZIF5QzVr3TVMcW0EO7gHnYPOkn-Y0q2Godqr8sr-8LA&amp;usp=drive_copy" xr:uid="{00000000-0004-0000-0400-0000AB040000}"/>
    <hyperlink ref="E356" r:id="rId1197" display="https://drive.google.com/open?id=1ZIF5QzVr3TVMcW0EO7gHnYPOkn-Y0q2Godqr8sr-8LA" xr:uid="{00000000-0004-0000-0400-0000AC040000}"/>
    <hyperlink ref="H356" r:id="rId1198" display="https://docs.google.com/spreadsheets/d/1ZIF5QzVr3TVMcW0EO7gHnYPOkn-Y0q2Godqr8sr-8LA" xr:uid="{00000000-0004-0000-0400-0000AD040000}"/>
    <hyperlink ref="I356" r:id="rId1199" display="https://docs.google.com/open?id=1ZIF5QzVr3TVMcW0EO7gHnYPOkn-Y0q2Godqr8sr-8LA" xr:uid="{00000000-0004-0000-0400-0000AE040000}"/>
    <hyperlink ref="D357" r:id="rId1200" display="https://drive.google.com/open?id=1aK8bRPBwSbG-NKbaP6D0bAEWum3Q8sPJXCBZv6Ea1l4&amp;usp=drive_copy" xr:uid="{00000000-0004-0000-0400-0000AF040000}"/>
    <hyperlink ref="E357" r:id="rId1201" display="https://drive.google.com/open?id=1aK8bRPBwSbG-NKbaP6D0bAEWum3Q8sPJXCBZv6Ea1l4" xr:uid="{00000000-0004-0000-0400-0000B0040000}"/>
    <hyperlink ref="H357" r:id="rId1202" display="https://docs.google.com/spreadsheets/d/1aK8bRPBwSbG-NKbaP6D0bAEWum3Q8sPJXCBZv6Ea1l4" xr:uid="{00000000-0004-0000-0400-0000B1040000}"/>
    <hyperlink ref="I357" r:id="rId1203" display="https://docs.google.com/open?id=1aK8bRPBwSbG-NKbaP6D0bAEWum3Q8sPJXCBZv6Ea1l4" xr:uid="{00000000-0004-0000-0400-0000B2040000}"/>
    <hyperlink ref="D358" r:id="rId1204" display="https://drive.google.com/open?id=1_Z1hkM7SRuL3P9byoBqA47W_Ayd8EFpoIHDvKWY5EmU&amp;usp=drive_copy" xr:uid="{00000000-0004-0000-0400-0000B3040000}"/>
    <hyperlink ref="E358" r:id="rId1205" display="https://drive.google.com/open?id=1_Z1hkM7SRuL3P9byoBqA47W_Ayd8EFpoIHDvKWY5EmU" xr:uid="{00000000-0004-0000-0400-0000B4040000}"/>
    <hyperlink ref="H358" r:id="rId1206" display="https://docs.google.com/spreadsheets/d/1_Z1hkM7SRuL3P9byoBqA47W_Ayd8EFpoIHDvKWY5EmU" xr:uid="{00000000-0004-0000-0400-0000B5040000}"/>
    <hyperlink ref="I358" r:id="rId1207" display="https://docs.google.com/open?id=1_Z1hkM7SRuL3P9byoBqA47W_Ayd8EFpoIHDvKWY5EmU" xr:uid="{00000000-0004-0000-0400-0000B6040000}"/>
    <hyperlink ref="D359" r:id="rId1208" display="https://drive.google.com/open?id=1ZvBcY12fipEHX1b4eUbGpDkpc5lwxJ2nzm0kqiRSDJU&amp;usp=drive_copy" xr:uid="{00000000-0004-0000-0400-0000B7040000}"/>
    <hyperlink ref="E359" r:id="rId1209" display="https://drive.google.com/open?id=1ZvBcY12fipEHX1b4eUbGpDkpc5lwxJ2nzm0kqiRSDJU" xr:uid="{00000000-0004-0000-0400-0000B8040000}"/>
    <hyperlink ref="H359" r:id="rId1210" display="https://docs.google.com/spreadsheets/d/1ZvBcY12fipEHX1b4eUbGpDkpc5lwxJ2nzm0kqiRSDJU" xr:uid="{00000000-0004-0000-0400-0000B9040000}"/>
    <hyperlink ref="I359" r:id="rId1211" display="https://docs.google.com/open?id=1ZvBcY12fipEHX1b4eUbGpDkpc5lwxJ2nzm0kqiRSDJU" xr:uid="{00000000-0004-0000-0400-0000BA040000}"/>
    <hyperlink ref="D360" r:id="rId1212" display="https://drive.google.com/open?id=1c1kWZJ6TJz2qnu7YAzZ4WQdqgEDxu959vzQkAKsOzBI&amp;usp=drive_copy" xr:uid="{00000000-0004-0000-0400-0000BB040000}"/>
    <hyperlink ref="E360" r:id="rId1213" display="https://drive.google.com/open?id=1c1kWZJ6TJz2qnu7YAzZ4WQdqgEDxu959vzQkAKsOzBI" xr:uid="{00000000-0004-0000-0400-0000BC040000}"/>
    <hyperlink ref="H360" r:id="rId1214" display="https://docs.google.com/spreadsheets/d/1c1kWZJ6TJz2qnu7YAzZ4WQdqgEDxu959vzQkAKsOzBI" xr:uid="{00000000-0004-0000-0400-0000BD040000}"/>
    <hyperlink ref="I360" r:id="rId1215" display="https://docs.google.com/open?id=1c1kWZJ6TJz2qnu7YAzZ4WQdqgEDxu959vzQkAKsOzBI" xr:uid="{00000000-0004-0000-0400-0000BE040000}"/>
    <hyperlink ref="D361" r:id="rId1216" display="https://drive.google.com/open?id=1Og3mVdnDiCjFpE9cXvXy66fPL0fhJjpQ-28U3d9XHf4&amp;usp=drive_copy" xr:uid="{00000000-0004-0000-0400-0000BF040000}"/>
    <hyperlink ref="E361" r:id="rId1217" display="https://drive.google.com/open?id=1Og3mVdnDiCjFpE9cXvXy66fPL0fhJjpQ-28U3d9XHf4" xr:uid="{00000000-0004-0000-0400-0000C0040000}"/>
    <hyperlink ref="H361" r:id="rId1218" display="https://docs.google.com/spreadsheets/d/1Og3mVdnDiCjFpE9cXvXy66fPL0fhJjpQ-28U3d9XHf4" xr:uid="{00000000-0004-0000-0400-0000C1040000}"/>
    <hyperlink ref="I361" r:id="rId1219" display="https://docs.google.com/open?id=1Og3mVdnDiCjFpE9cXvXy66fPL0fhJjpQ-28U3d9XHf4" xr:uid="{00000000-0004-0000-0400-0000C2040000}"/>
    <hyperlink ref="D362" r:id="rId1220" display="https://drive.google.com/open?id=1OI0RdNMmZqRIPrr5sMuGO4qeAmlAlsu-4v37ggkdvKs&amp;usp=drive_copy" xr:uid="{00000000-0004-0000-0400-0000C3040000}"/>
    <hyperlink ref="E362" r:id="rId1221" display="https://drive.google.com/open?id=1OI0RdNMmZqRIPrr5sMuGO4qeAmlAlsu-4v37ggkdvKs" xr:uid="{00000000-0004-0000-0400-0000C4040000}"/>
    <hyperlink ref="H362" r:id="rId1222" display="https://docs.google.com/spreadsheets/d/1OI0RdNMmZqRIPrr5sMuGO4qeAmlAlsu-4v37ggkdvKs" xr:uid="{00000000-0004-0000-0400-0000C5040000}"/>
    <hyperlink ref="I362" r:id="rId1223" display="https://docs.google.com/open?id=1OI0RdNMmZqRIPrr5sMuGO4qeAmlAlsu-4v37ggkdvKs" xr:uid="{00000000-0004-0000-0400-0000C6040000}"/>
    <hyperlink ref="D363" r:id="rId1224" display="https://drive.google.com/open?id=1OFeUEHRjAsBnku94OcZF75jRFJ9XV4JaanumlcjbimY&amp;usp=drive_copy" xr:uid="{00000000-0004-0000-0400-0000C7040000}"/>
    <hyperlink ref="E363" r:id="rId1225" display="https://drive.google.com/open?id=1OFeUEHRjAsBnku94OcZF75jRFJ9XV4JaanumlcjbimY" xr:uid="{00000000-0004-0000-0400-0000C8040000}"/>
    <hyperlink ref="H363" r:id="rId1226" display="https://docs.google.com/spreadsheets/d/1OFeUEHRjAsBnku94OcZF75jRFJ9XV4JaanumlcjbimY" xr:uid="{00000000-0004-0000-0400-0000C9040000}"/>
    <hyperlink ref="I363" r:id="rId1227" display="https://docs.google.com/open?id=1OFeUEHRjAsBnku94OcZF75jRFJ9XV4JaanumlcjbimY" xr:uid="{00000000-0004-0000-0400-0000CA040000}"/>
    <hyperlink ref="D364" r:id="rId1228" display="https://drive.google.com/open?id=1RAiyBpviyDH1LaSdNuoxdJepOzToEft0FTmR7G9UtUc&amp;usp=drive_copy" xr:uid="{00000000-0004-0000-0400-0000CB040000}"/>
    <hyperlink ref="E364" r:id="rId1229" display="https://drive.google.com/open?id=1RAiyBpviyDH1LaSdNuoxdJepOzToEft0FTmR7G9UtUc" xr:uid="{00000000-0004-0000-0400-0000CC040000}"/>
    <hyperlink ref="H364" r:id="rId1230" display="https://docs.google.com/spreadsheets/d/1RAiyBpviyDH1LaSdNuoxdJepOzToEft0FTmR7G9UtUc" xr:uid="{00000000-0004-0000-0400-0000CD040000}"/>
    <hyperlink ref="I364" r:id="rId1231" display="https://docs.google.com/open?id=1RAiyBpviyDH1LaSdNuoxdJepOzToEft0FTmR7G9UtUc" xr:uid="{00000000-0004-0000-0400-0000CE040000}"/>
    <hyperlink ref="D365" r:id="rId1232" display="https://drive.google.com/open?id=1PedQQZZ84OiMFo693N_NG04uP-ZWcYd9bWCrfTuN3q4&amp;usp=drive_copy" xr:uid="{00000000-0004-0000-0400-0000CF040000}"/>
    <hyperlink ref="E365" r:id="rId1233" display="https://drive.google.com/open?id=1PedQQZZ84OiMFo693N_NG04uP-ZWcYd9bWCrfTuN3q4" xr:uid="{00000000-0004-0000-0400-0000D0040000}"/>
    <hyperlink ref="H365" r:id="rId1234" display="https://docs.google.com/spreadsheets/d/1PedQQZZ84OiMFo693N_NG04uP-ZWcYd9bWCrfTuN3q4" xr:uid="{00000000-0004-0000-0400-0000D1040000}"/>
    <hyperlink ref="I365" r:id="rId1235" display="https://docs.google.com/open?id=1PedQQZZ84OiMFo693N_NG04uP-ZWcYd9bWCrfTuN3q4" xr:uid="{00000000-0004-0000-0400-0000D2040000}"/>
    <hyperlink ref="D366" r:id="rId1236" display="https://drive.google.com/open?id=1YqBBaniyF14mD60Fm1sG4tl90H188fWHllZV8WeghRc&amp;usp=drive_copy" xr:uid="{00000000-0004-0000-0400-0000D3040000}"/>
    <hyperlink ref="E366" r:id="rId1237" display="https://drive.google.com/open?id=1YqBBaniyF14mD60Fm1sG4tl90H188fWHllZV8WeghRc" xr:uid="{00000000-0004-0000-0400-0000D4040000}"/>
    <hyperlink ref="H366" r:id="rId1238" display="https://docs.google.com/spreadsheets/d/1YqBBaniyF14mD60Fm1sG4tl90H188fWHllZV8WeghRc" xr:uid="{00000000-0004-0000-0400-0000D5040000}"/>
    <hyperlink ref="I366" r:id="rId1239" display="https://docs.google.com/open?id=1YqBBaniyF14mD60Fm1sG4tl90H188fWHllZV8WeghRc" xr:uid="{00000000-0004-0000-0400-0000D6040000}"/>
    <hyperlink ref="D367" r:id="rId1240" display="https://drive.google.com/open?id=1Qdkcu0bGP2GwNWE_f1ic2-g4KzvfN1l5y1NcBX5hZvk&amp;usp=drive_copy" xr:uid="{00000000-0004-0000-0400-0000D7040000}"/>
    <hyperlink ref="E367" r:id="rId1241" display="https://drive.google.com/open?id=1Qdkcu0bGP2GwNWE_f1ic2-g4KzvfN1l5y1NcBX5hZvk" xr:uid="{00000000-0004-0000-0400-0000D8040000}"/>
    <hyperlink ref="H367" r:id="rId1242" display="https://docs.google.com/spreadsheets/d/1Qdkcu0bGP2GwNWE_f1ic2-g4KzvfN1l5y1NcBX5hZvk" xr:uid="{00000000-0004-0000-0400-0000D9040000}"/>
    <hyperlink ref="I367" r:id="rId1243" display="https://docs.google.com/open?id=1Qdkcu0bGP2GwNWE_f1ic2-g4KzvfN1l5y1NcBX5hZvk" xr:uid="{00000000-0004-0000-0400-0000DA040000}"/>
    <hyperlink ref="D368" r:id="rId1244" display="https://drive.google.com/open?id=1bTgNRyK39vkJ-4fk7f-e3fMLf-cXto449tmsgw762aE&amp;usp=drive_copy" xr:uid="{00000000-0004-0000-0400-0000DB040000}"/>
    <hyperlink ref="E368" r:id="rId1245" display="https://drive.google.com/open?id=1bTgNRyK39vkJ-4fk7f-e3fMLf-cXto449tmsgw762aE" xr:uid="{00000000-0004-0000-0400-0000DC040000}"/>
    <hyperlink ref="H368" r:id="rId1246" display="https://docs.google.com/spreadsheets/d/1bTgNRyK39vkJ-4fk7f-e3fMLf-cXto449tmsgw762aE" xr:uid="{00000000-0004-0000-0400-0000DD040000}"/>
    <hyperlink ref="I368" r:id="rId1247" display="https://docs.google.com/open?id=1bTgNRyK39vkJ-4fk7f-e3fMLf-cXto449tmsgw762aE" xr:uid="{00000000-0004-0000-0400-0000DE040000}"/>
    <hyperlink ref="D369" r:id="rId1248" display="https://drive.google.com/open?id=1bjku_Gk_9iMSFZTNgcsAFZaECplFltPExyoSg0Sb4Is&amp;usp=drive_copy" xr:uid="{00000000-0004-0000-0400-0000DF040000}"/>
    <hyperlink ref="E369" r:id="rId1249" display="https://drive.google.com/open?id=1bjku_Gk_9iMSFZTNgcsAFZaECplFltPExyoSg0Sb4Is" xr:uid="{00000000-0004-0000-0400-0000E0040000}"/>
    <hyperlink ref="H369" r:id="rId1250" display="https://docs.google.com/spreadsheets/d/1bjku_Gk_9iMSFZTNgcsAFZaECplFltPExyoSg0Sb4Is" xr:uid="{00000000-0004-0000-0400-0000E1040000}"/>
    <hyperlink ref="I369" r:id="rId1251" display="https://docs.google.com/open?id=1bjku_Gk_9iMSFZTNgcsAFZaECplFltPExyoSg0Sb4Is" xr:uid="{00000000-0004-0000-0400-0000E2040000}"/>
    <hyperlink ref="D370" r:id="rId1252" display="https://drive.google.com/open?id=1c93SYawf3vDqLUzX_RZpQXZDw6mAIyXefivHfven87I&amp;usp=drive_copy" xr:uid="{00000000-0004-0000-0400-0000E3040000}"/>
    <hyperlink ref="E370" r:id="rId1253" display="https://drive.google.com/open?id=1c93SYawf3vDqLUzX_RZpQXZDw6mAIyXefivHfven87I" xr:uid="{00000000-0004-0000-0400-0000E4040000}"/>
    <hyperlink ref="H370" r:id="rId1254" display="https://docs.google.com/spreadsheets/d/1c93SYawf3vDqLUzX_RZpQXZDw6mAIyXefivHfven87I" xr:uid="{00000000-0004-0000-0400-0000E5040000}"/>
    <hyperlink ref="I370" r:id="rId1255" display="https://docs.google.com/open?id=1c93SYawf3vDqLUzX_RZpQXZDw6mAIyXefivHfven87I" xr:uid="{00000000-0004-0000-0400-0000E6040000}"/>
    <hyperlink ref="D371" r:id="rId1256" display="https://drive.google.com/open?id=1cdSuyr-d86iL9kuHtngP0w4g8vgwBdMm9IB2dOWP-_8&amp;usp=drive_copy" xr:uid="{00000000-0004-0000-0400-0000E7040000}"/>
    <hyperlink ref="E371" r:id="rId1257" display="https://drive.google.com/open?id=1cdSuyr-d86iL9kuHtngP0w4g8vgwBdMm9IB2dOWP-_8" xr:uid="{00000000-0004-0000-0400-0000E8040000}"/>
    <hyperlink ref="H371" r:id="rId1258" display="https://docs.google.com/spreadsheets/d/1cdSuyr-d86iL9kuHtngP0w4g8vgwBdMm9IB2dOWP-_8" xr:uid="{00000000-0004-0000-0400-0000E9040000}"/>
    <hyperlink ref="I371" r:id="rId1259" display="https://docs.google.com/open?id=1cdSuyr-d86iL9kuHtngP0w4g8vgwBdMm9IB2dOWP-_8" xr:uid="{00000000-0004-0000-0400-0000EA040000}"/>
    <hyperlink ref="D372" r:id="rId1260" display="https://drive.google.com/open?id=1chz5gMDmUvWKj6RwlFH6E-YUViMTncRmCvRLW8a5juA&amp;usp=drive_copy" xr:uid="{00000000-0004-0000-0400-0000EB040000}"/>
    <hyperlink ref="E372" r:id="rId1261" display="https://drive.google.com/open?id=1chz5gMDmUvWKj6RwlFH6E-YUViMTncRmCvRLW8a5juA" xr:uid="{00000000-0004-0000-0400-0000EC040000}"/>
    <hyperlink ref="H372" r:id="rId1262" display="https://docs.google.com/spreadsheets/d/1chz5gMDmUvWKj6RwlFH6E-YUViMTncRmCvRLW8a5juA" xr:uid="{00000000-0004-0000-0400-0000ED040000}"/>
    <hyperlink ref="I372" r:id="rId1263" display="https://docs.google.com/open?id=1chz5gMDmUvWKj6RwlFH6E-YUViMTncRmCvRLW8a5juA" xr:uid="{00000000-0004-0000-0400-0000EE040000}"/>
    <hyperlink ref="D373" r:id="rId1264" display="https://drive.google.com/open?id=1cthv5jnBJlGdhZyvDCBx8gZP3C9tztTdSTf7burgAdU&amp;usp=drive_copy" xr:uid="{00000000-0004-0000-0400-0000EF040000}"/>
    <hyperlink ref="E373" r:id="rId1265" display="https://drive.google.com/open?id=1cthv5jnBJlGdhZyvDCBx8gZP3C9tztTdSTf7burgAdU" xr:uid="{00000000-0004-0000-0400-0000F0040000}"/>
    <hyperlink ref="H373" r:id="rId1266" display="https://docs.google.com/spreadsheets/d/1cthv5jnBJlGdhZyvDCBx8gZP3C9tztTdSTf7burgAdU" xr:uid="{00000000-0004-0000-0400-0000F1040000}"/>
    <hyperlink ref="I373" r:id="rId1267" display="https://docs.google.com/open?id=1cthv5jnBJlGdhZyvDCBx8gZP3C9tztTdSTf7burgAdU" xr:uid="{00000000-0004-0000-0400-0000F2040000}"/>
    <hyperlink ref="D374" r:id="rId1268" display="https://drive.google.com/open?id=1ehTXtNyKxI8sdWQJRalOE7CkLNIHyFSzeDerlfvIjho&amp;usp=drive_copy" xr:uid="{00000000-0004-0000-0400-0000F3040000}"/>
    <hyperlink ref="E374" r:id="rId1269" display="https://drive.google.com/open?id=1ehTXtNyKxI8sdWQJRalOE7CkLNIHyFSzeDerlfvIjho" xr:uid="{00000000-0004-0000-0400-0000F4040000}"/>
    <hyperlink ref="H374" r:id="rId1270" display="https://docs.google.com/spreadsheets/d/1ehTXtNyKxI8sdWQJRalOE7CkLNIHyFSzeDerlfvIjho" xr:uid="{00000000-0004-0000-0400-0000F5040000}"/>
    <hyperlink ref="I374" r:id="rId1271" display="https://docs.google.com/open?id=1ehTXtNyKxI8sdWQJRalOE7CkLNIHyFSzeDerlfvIjho" xr:uid="{00000000-0004-0000-0400-0000F6040000}"/>
    <hyperlink ref="D375" r:id="rId1272" display="https://drive.google.com/open?id=1fJPPSztCgeJoPKljKa4vAQT50OmZjvhtAXJ3O8wavM8&amp;usp=drive_copy" xr:uid="{00000000-0004-0000-0400-0000F7040000}"/>
    <hyperlink ref="E375" r:id="rId1273" display="https://drive.google.com/open?id=1fJPPSztCgeJoPKljKa4vAQT50OmZjvhtAXJ3O8wavM8" xr:uid="{00000000-0004-0000-0400-0000F8040000}"/>
    <hyperlink ref="H375" r:id="rId1274" display="https://docs.google.com/spreadsheets/d/1fJPPSztCgeJoPKljKa4vAQT50OmZjvhtAXJ3O8wavM8" xr:uid="{00000000-0004-0000-0400-0000F9040000}"/>
    <hyperlink ref="I375" r:id="rId1275" display="https://docs.google.com/open?id=1fJPPSztCgeJoPKljKa4vAQT50OmZjvhtAXJ3O8wavM8" xr:uid="{00000000-0004-0000-0400-0000FA040000}"/>
    <hyperlink ref="D376" r:id="rId1276" display="https://drive.google.com/open?id=1ficvqBHLJk6e99DgiH-WdiqrQG8boa8tEPe4zTVx0pc&amp;usp=drive_copy" xr:uid="{00000000-0004-0000-0400-0000FB040000}"/>
    <hyperlink ref="E376" r:id="rId1277" display="https://drive.google.com/open?id=1ficvqBHLJk6e99DgiH-WdiqrQG8boa8tEPe4zTVx0pc" xr:uid="{00000000-0004-0000-0400-0000FC040000}"/>
    <hyperlink ref="H376" r:id="rId1278" display="https://docs.google.com/spreadsheets/d/1ficvqBHLJk6e99DgiH-WdiqrQG8boa8tEPe4zTVx0pc" xr:uid="{00000000-0004-0000-0400-0000FD040000}"/>
    <hyperlink ref="I376" r:id="rId1279" display="https://docs.google.com/open?id=1ficvqBHLJk6e99DgiH-WdiqrQG8boa8tEPe4zTVx0pc" xr:uid="{00000000-0004-0000-0400-0000FE040000}"/>
    <hyperlink ref="D377" r:id="rId1280" display="https://drive.google.com/open?id=1g_NUbBwo69eY5_dY7yaGXktnXb4aemyZRxtp-B3RCAw&amp;usp=drive_copy" xr:uid="{00000000-0004-0000-0400-0000FF040000}"/>
    <hyperlink ref="E377" r:id="rId1281" display="https://drive.google.com/open?id=1g_NUbBwo69eY5_dY7yaGXktnXb4aemyZRxtp-B3RCAw" xr:uid="{00000000-0004-0000-0400-000000050000}"/>
    <hyperlink ref="H377" r:id="rId1282" display="https://docs.google.com/spreadsheets/d/1g_NUbBwo69eY5_dY7yaGXktnXb4aemyZRxtp-B3RCAw" xr:uid="{00000000-0004-0000-0400-000001050000}"/>
    <hyperlink ref="I377" r:id="rId1283" display="https://docs.google.com/open?id=1g_NUbBwo69eY5_dY7yaGXktnXb4aemyZRxtp-B3RCAw" xr:uid="{00000000-0004-0000-0400-000002050000}"/>
    <hyperlink ref="D378" r:id="rId1284" display="https://drive.google.com/open?id=1M4SpjUaM1L5pykCZK1fIbNtKEtSpv1PBHArHd0oBREc&amp;usp=drive_copy" xr:uid="{00000000-0004-0000-0400-000003050000}"/>
    <hyperlink ref="E378" r:id="rId1285" display="https://drive.google.com/open?id=1M4SpjUaM1L5pykCZK1fIbNtKEtSpv1PBHArHd0oBREc" xr:uid="{00000000-0004-0000-0400-000004050000}"/>
    <hyperlink ref="H378" r:id="rId1286" display="https://docs.google.com/spreadsheets/d/1M4SpjUaM1L5pykCZK1fIbNtKEtSpv1PBHArHd0oBREc" xr:uid="{00000000-0004-0000-0400-000005050000}"/>
    <hyperlink ref="I378" r:id="rId1287" display="https://docs.google.com/open?id=1M4SpjUaM1L5pykCZK1fIbNtKEtSpv1PBHArHd0oBREc" xr:uid="{00000000-0004-0000-0400-000006050000}"/>
    <hyperlink ref="D379" r:id="rId1288" display="https://drive.google.com/open?id=1O0M1GF9FrEXr-6GoeB3fHoQbQ_QU62b75nZ_eZovKBM&amp;usp=drive_copy" xr:uid="{00000000-0004-0000-0400-000007050000}"/>
    <hyperlink ref="E379" r:id="rId1289" display="https://drive.google.com/open?id=1O0M1GF9FrEXr-6GoeB3fHoQbQ_QU62b75nZ_eZovKBM" xr:uid="{00000000-0004-0000-0400-000008050000}"/>
    <hyperlink ref="H379" r:id="rId1290" display="https://docs.google.com/spreadsheets/d/1O0M1GF9FrEXr-6GoeB3fHoQbQ_QU62b75nZ_eZovKBM" xr:uid="{00000000-0004-0000-0400-000009050000}"/>
    <hyperlink ref="I379" r:id="rId1291" display="https://docs.google.com/open?id=1O0M1GF9FrEXr-6GoeB3fHoQbQ_QU62b75nZ_eZovKBM" xr:uid="{00000000-0004-0000-0400-00000A050000}"/>
    <hyperlink ref="D380" r:id="rId1292" display="https://drive.google.com/open?id=1O4E4rmZQPYX_bqdeTrWzUGKaYZYSNyC-jwDE9-ao9X0&amp;usp=drive_copy" xr:uid="{00000000-0004-0000-0400-00000B050000}"/>
    <hyperlink ref="E380" r:id="rId1293" display="https://drive.google.com/open?id=1O4E4rmZQPYX_bqdeTrWzUGKaYZYSNyC-jwDE9-ao9X0" xr:uid="{00000000-0004-0000-0400-00000C050000}"/>
    <hyperlink ref="H380" r:id="rId1294" display="https://docs.google.com/spreadsheets/d/1O4E4rmZQPYX_bqdeTrWzUGKaYZYSNyC-jwDE9-ao9X0" xr:uid="{00000000-0004-0000-0400-00000D050000}"/>
    <hyperlink ref="I380" r:id="rId1295" display="https://docs.google.com/open?id=1O4E4rmZQPYX_bqdeTrWzUGKaYZYSNyC-jwDE9-ao9X0" xr:uid="{00000000-0004-0000-0400-00000E050000}"/>
    <hyperlink ref="D381" r:id="rId1296" display="https://drive.google.com/open?id=1__D_DHUBWPg4FqLbqoqxmKhkWLnOeNx0lD5m702KrV0&amp;usp=drive_copy" xr:uid="{00000000-0004-0000-0400-00000F050000}"/>
    <hyperlink ref="E381" r:id="rId1297" display="https://drive.google.com/open?id=1__D_DHUBWPg4FqLbqoqxmKhkWLnOeNx0lD5m702KrV0" xr:uid="{00000000-0004-0000-0400-000010050000}"/>
    <hyperlink ref="H381" r:id="rId1298" display="https://docs.google.com/spreadsheets/d/1__D_DHUBWPg4FqLbqoqxmKhkWLnOeNx0lD5m702KrV0" xr:uid="{00000000-0004-0000-0400-000011050000}"/>
    <hyperlink ref="I381" r:id="rId1299" display="https://docs.google.com/open?id=1__D_DHUBWPg4FqLbqoqxmKhkWLnOeNx0lD5m702KrV0" xr:uid="{00000000-0004-0000-0400-000012050000}"/>
    <hyperlink ref="D382" r:id="rId1300" display="https://drive.google.com/open?id=1LVaLs3dAZnPmRtkTeUSZWMie7s_xXnZYqev4OAV_NHE&amp;usp=drive_copy" xr:uid="{00000000-0004-0000-0400-000013050000}"/>
    <hyperlink ref="E382" r:id="rId1301" display="https://drive.google.com/open?id=1LVaLs3dAZnPmRtkTeUSZWMie7s_xXnZYqev4OAV_NHE" xr:uid="{00000000-0004-0000-0400-000014050000}"/>
    <hyperlink ref="H382" r:id="rId1302" display="https://docs.google.com/spreadsheets/d/1LVaLs3dAZnPmRtkTeUSZWMie7s_xXnZYqev4OAV_NHE" xr:uid="{00000000-0004-0000-0400-000015050000}"/>
    <hyperlink ref="I382" r:id="rId1303" display="https://docs.google.com/open?id=1LVaLs3dAZnPmRtkTeUSZWMie7s_xXnZYqev4OAV_NHE" xr:uid="{00000000-0004-0000-0400-000016050000}"/>
    <hyperlink ref="D383" r:id="rId1304" display="https://drive.google.com/open?id=1MXucdfS77PtxYhAhCcI0KwuMYEzMXwKM2mQnT9uVmuw&amp;usp=drive_copy" xr:uid="{00000000-0004-0000-0400-000017050000}"/>
    <hyperlink ref="E383" r:id="rId1305" display="https://drive.google.com/open?id=1MXucdfS77PtxYhAhCcI0KwuMYEzMXwKM2mQnT9uVmuw" xr:uid="{00000000-0004-0000-0400-000018050000}"/>
    <hyperlink ref="H383" r:id="rId1306" display="https://docs.google.com/spreadsheets/d/1MXucdfS77PtxYhAhCcI0KwuMYEzMXwKM2mQnT9uVmuw" xr:uid="{00000000-0004-0000-0400-000019050000}"/>
    <hyperlink ref="I383" r:id="rId1307" display="https://docs.google.com/open?id=1MXucdfS77PtxYhAhCcI0KwuMYEzMXwKM2mQnT9uVmuw" xr:uid="{00000000-0004-0000-0400-00001A050000}"/>
    <hyperlink ref="D384" r:id="rId1308" display="https://drive.google.com/open?id=1KoqX765PQvMj11X18mMNM4VPmmrkK8EJcvExQ1GZYrM&amp;usp=drive_copy" xr:uid="{00000000-0004-0000-0400-00001B050000}"/>
    <hyperlink ref="E384" r:id="rId1309" display="https://drive.google.com/open?id=1KoqX765PQvMj11X18mMNM4VPmmrkK8EJcvExQ1GZYrM" xr:uid="{00000000-0004-0000-0400-00001C050000}"/>
    <hyperlink ref="H384" r:id="rId1310" display="https://docs.google.com/spreadsheets/d/1KoqX765PQvMj11X18mMNM4VPmmrkK8EJcvExQ1GZYrM" xr:uid="{00000000-0004-0000-0400-00001D050000}"/>
    <hyperlink ref="I384" r:id="rId1311" display="https://docs.google.com/open?id=1KoqX765PQvMj11X18mMNM4VPmmrkK8EJcvExQ1GZYrM" xr:uid="{00000000-0004-0000-0400-00001E050000}"/>
    <hyperlink ref="D385" r:id="rId1312" display="https://drive.google.com/open?id=1N_WrHcr11qulhkAdEab8_wuC2B7JHCxGyuLUPO_BLz8&amp;usp=drive_copy" xr:uid="{00000000-0004-0000-0400-00001F050000}"/>
    <hyperlink ref="E385" r:id="rId1313" display="https://drive.google.com/open?id=1N_WrHcr11qulhkAdEab8_wuC2B7JHCxGyuLUPO_BLz8" xr:uid="{00000000-0004-0000-0400-000020050000}"/>
    <hyperlink ref="H385" r:id="rId1314" display="https://docs.google.com/spreadsheets/d/1N_WrHcr11qulhkAdEab8_wuC2B7JHCxGyuLUPO_BLz8" xr:uid="{00000000-0004-0000-0400-000021050000}"/>
    <hyperlink ref="I385" r:id="rId1315" display="https://docs.google.com/open?id=1N_WrHcr11qulhkAdEab8_wuC2B7JHCxGyuLUPO_BLz8" xr:uid="{00000000-0004-0000-0400-000022050000}"/>
    <hyperlink ref="D386" r:id="rId1316" display="https://drive.google.com/open?id=1s-L6qpGiijV9BQwFO--SrDFxriVRZmYTznS3vi4EEKw&amp;usp=drive_copy" xr:uid="{00000000-0004-0000-0400-000023050000}"/>
    <hyperlink ref="E386" r:id="rId1317" display="https://drive.google.com/open?id=1s-L6qpGiijV9BQwFO--SrDFxriVRZmYTznS3vi4EEKw" xr:uid="{00000000-0004-0000-0400-000024050000}"/>
    <hyperlink ref="H386" r:id="rId1318" display="https://docs.google.com/spreadsheets/d/1s-L6qpGiijV9BQwFO--SrDFxriVRZmYTznS3vi4EEKw" xr:uid="{00000000-0004-0000-0400-000025050000}"/>
    <hyperlink ref="I386" r:id="rId1319" display="https://docs.google.com/open?id=1s-L6qpGiijV9BQwFO--SrDFxriVRZmYTznS3vi4EEKw" xr:uid="{00000000-0004-0000-0400-000026050000}"/>
    <hyperlink ref="D387" r:id="rId1320" display="https://drive.google.com/open?id=1rpP-ND357rpD0yc2zJ0P-_TadzWruVkDytkEfmMJzPE&amp;usp=drive_copy" xr:uid="{00000000-0004-0000-0400-000027050000}"/>
    <hyperlink ref="E387" r:id="rId1321" display="https://drive.google.com/open?id=1rpP-ND357rpD0yc2zJ0P-_TadzWruVkDytkEfmMJzPE" xr:uid="{00000000-0004-0000-0400-000028050000}"/>
    <hyperlink ref="H387" r:id="rId1322" display="https://docs.google.com/spreadsheets/d/1rpP-ND357rpD0yc2zJ0P-_TadzWruVkDytkEfmMJzPE" xr:uid="{00000000-0004-0000-0400-000029050000}"/>
    <hyperlink ref="I387" r:id="rId1323" display="https://docs.google.com/open?id=1rpP-ND357rpD0yc2zJ0P-_TadzWruVkDytkEfmMJzPE" xr:uid="{00000000-0004-0000-0400-00002A050000}"/>
    <hyperlink ref="D388" r:id="rId1324" display="https://drive.google.com/open?id=1spbhJ9leRouDPHc59-QsvOpVu0HZJG_vS4I20yhg3DA&amp;usp=drive_copy" xr:uid="{00000000-0004-0000-0400-00002B050000}"/>
    <hyperlink ref="E388" r:id="rId1325" display="https://drive.google.com/open?id=1spbhJ9leRouDPHc59-QsvOpVu0HZJG_vS4I20yhg3DA" xr:uid="{00000000-0004-0000-0400-00002C050000}"/>
    <hyperlink ref="H388" r:id="rId1326" display="https://docs.google.com/spreadsheets/d/1spbhJ9leRouDPHc59-QsvOpVu0HZJG_vS4I20yhg3DA" xr:uid="{00000000-0004-0000-0400-00002D050000}"/>
    <hyperlink ref="I388" r:id="rId1327" display="https://docs.google.com/open?id=1spbhJ9leRouDPHc59-QsvOpVu0HZJG_vS4I20yhg3DA" xr:uid="{00000000-0004-0000-0400-00002E050000}"/>
    <hyperlink ref="D389" r:id="rId1328" display="https://drive.google.com/open?id=1tEb11G8oP1Jx-Kfa31rJ-h1KP8rn2Iubpc4EMuUj7Ew&amp;usp=drive_copy" xr:uid="{00000000-0004-0000-0400-00002F050000}"/>
    <hyperlink ref="E389" r:id="rId1329" display="https://drive.google.com/open?id=1tEb11G8oP1Jx-Kfa31rJ-h1KP8rn2Iubpc4EMuUj7Ew" xr:uid="{00000000-0004-0000-0400-000030050000}"/>
    <hyperlink ref="H389" r:id="rId1330" display="https://docs.google.com/spreadsheets/d/1tEb11G8oP1Jx-Kfa31rJ-h1KP8rn2Iubpc4EMuUj7Ew" xr:uid="{00000000-0004-0000-0400-000031050000}"/>
    <hyperlink ref="I389" r:id="rId1331" display="https://docs.google.com/open?id=1tEb11G8oP1Jx-Kfa31rJ-h1KP8rn2Iubpc4EMuUj7Ew" xr:uid="{00000000-0004-0000-0400-000032050000}"/>
    <hyperlink ref="D390" r:id="rId1332" display="https://drive.google.com/open?id=1u4Qs85Z2YWfr3FN8fpvzc1IKJqEijkVaqrG4bOuFOwM&amp;usp=drive_copy" xr:uid="{00000000-0004-0000-0400-000033050000}"/>
    <hyperlink ref="E390" r:id="rId1333" display="https://drive.google.com/open?id=1u4Qs85Z2YWfr3FN8fpvzc1IKJqEijkVaqrG4bOuFOwM" xr:uid="{00000000-0004-0000-0400-000034050000}"/>
    <hyperlink ref="H390" r:id="rId1334" display="https://docs.google.com/spreadsheets/d/1u4Qs85Z2YWfr3FN8fpvzc1IKJqEijkVaqrG4bOuFOwM" xr:uid="{00000000-0004-0000-0400-000035050000}"/>
    <hyperlink ref="I390" r:id="rId1335" display="https://docs.google.com/open?id=1u4Qs85Z2YWfr3FN8fpvzc1IKJqEijkVaqrG4bOuFOwM" xr:uid="{00000000-0004-0000-0400-000036050000}"/>
    <hyperlink ref="D391" r:id="rId1336" display="https://drive.google.com/open?id=12cA8Txyp_qghhbZdtTjjNkmHKNSNteiz8CmQZXQJy0I&amp;usp=drive_copy" xr:uid="{00000000-0004-0000-0400-000037050000}"/>
    <hyperlink ref="E391" r:id="rId1337" display="https://drive.google.com/open?id=12cA8Txyp_qghhbZdtTjjNkmHKNSNteiz8CmQZXQJy0I" xr:uid="{00000000-0004-0000-0400-000038050000}"/>
    <hyperlink ref="H391" r:id="rId1338" display="https://docs.google.com/spreadsheets/d/12cA8Txyp_qghhbZdtTjjNkmHKNSNteiz8CmQZXQJy0I" xr:uid="{00000000-0004-0000-0400-000039050000}"/>
    <hyperlink ref="I391" r:id="rId1339" display="https://docs.google.com/open?id=12cA8Txyp_qghhbZdtTjjNkmHKNSNteiz8CmQZXQJy0I" xr:uid="{00000000-0004-0000-0400-00003A050000}"/>
    <hyperlink ref="D392" r:id="rId1340" display="https://drive.google.com/open?id=14qyJ_PrmLfZMOf6cCWLpD4pKLNfTJMMpCu7ZEAopRsw&amp;usp=drive_copy" xr:uid="{00000000-0004-0000-0400-00003B050000}"/>
    <hyperlink ref="E392" r:id="rId1341" display="https://drive.google.com/open?id=14qyJ_PrmLfZMOf6cCWLpD4pKLNfTJMMpCu7ZEAopRsw" xr:uid="{00000000-0004-0000-0400-00003C050000}"/>
    <hyperlink ref="H392" r:id="rId1342" display="https://docs.google.com/spreadsheets/d/14qyJ_PrmLfZMOf6cCWLpD4pKLNfTJMMpCu7ZEAopRsw" xr:uid="{00000000-0004-0000-0400-00003D050000}"/>
    <hyperlink ref="I392" r:id="rId1343" display="https://docs.google.com/open?id=14qyJ_PrmLfZMOf6cCWLpD4pKLNfTJMMpCu7ZEAopRsw" xr:uid="{00000000-0004-0000-0400-00003E050000}"/>
    <hyperlink ref="D393" r:id="rId1344" display="https://drive.google.com/open?id=17ctAtEfIrJCw-H4Lw-EIHBSHHCtK27c8i3nBUBx-dok&amp;usp=drive_copy" xr:uid="{00000000-0004-0000-0400-00003F050000}"/>
    <hyperlink ref="E393" r:id="rId1345" display="https://drive.google.com/open?id=17ctAtEfIrJCw-H4Lw-EIHBSHHCtK27c8i3nBUBx-dok" xr:uid="{00000000-0004-0000-0400-000040050000}"/>
    <hyperlink ref="H393" r:id="rId1346" display="https://docs.google.com/spreadsheets/d/17ctAtEfIrJCw-H4Lw-EIHBSHHCtK27c8i3nBUBx-dok" xr:uid="{00000000-0004-0000-0400-000041050000}"/>
    <hyperlink ref="I393" r:id="rId1347" display="https://docs.google.com/open?id=17ctAtEfIrJCw-H4Lw-EIHBSHHCtK27c8i3nBUBx-dok" xr:uid="{00000000-0004-0000-0400-000042050000}"/>
    <hyperlink ref="D394" r:id="rId1348" display="https://drive.google.com/open?id=19K_0jUpJ8kktXDNGjYJ4WjRegT2dkmpWZZXQS7Bvz80&amp;usp=drive_copy" xr:uid="{00000000-0004-0000-0400-000043050000}"/>
    <hyperlink ref="E394" r:id="rId1349" display="https://drive.google.com/open?id=19K_0jUpJ8kktXDNGjYJ4WjRegT2dkmpWZZXQS7Bvz80" xr:uid="{00000000-0004-0000-0400-000044050000}"/>
    <hyperlink ref="H394" r:id="rId1350" display="https://docs.google.com/spreadsheets/d/19K_0jUpJ8kktXDNGjYJ4WjRegT2dkmpWZZXQS7Bvz80" xr:uid="{00000000-0004-0000-0400-000045050000}"/>
    <hyperlink ref="I394" r:id="rId1351" display="https://docs.google.com/open?id=19K_0jUpJ8kktXDNGjYJ4WjRegT2dkmpWZZXQS7Bvz80" xr:uid="{00000000-0004-0000-0400-000046050000}"/>
    <hyperlink ref="D395" r:id="rId1352" display="https://drive.google.com/open?id=1I1UhfpkW-m-1Bd3aBTNW7KA6LO60WjaHn23KnBRDhj4&amp;usp=drive_copy" xr:uid="{00000000-0004-0000-0400-000047050000}"/>
    <hyperlink ref="E395" r:id="rId1353" display="https://drive.google.com/open?id=1I1UhfpkW-m-1Bd3aBTNW7KA6LO60WjaHn23KnBRDhj4" xr:uid="{00000000-0004-0000-0400-000048050000}"/>
    <hyperlink ref="H395" r:id="rId1354" display="https://docs.google.com/spreadsheets/d/1I1UhfpkW-m-1Bd3aBTNW7KA6LO60WjaHn23KnBRDhj4" xr:uid="{00000000-0004-0000-0400-000049050000}"/>
    <hyperlink ref="I395" r:id="rId1355" display="https://docs.google.com/open?id=1I1UhfpkW-m-1Bd3aBTNW7KA6LO60WjaHn23KnBRDhj4" xr:uid="{00000000-0004-0000-0400-00004A050000}"/>
    <hyperlink ref="D396" r:id="rId1356" display="https://drive.google.com/open?id=1Jj5otQeDso0D0uNQp3S1GmCwFSEJTRkMJh8BeAIHIhI&amp;usp=drive_copy" xr:uid="{00000000-0004-0000-0400-00004B050000}"/>
    <hyperlink ref="E396" r:id="rId1357" display="https://drive.google.com/open?id=1Jj5otQeDso0D0uNQp3S1GmCwFSEJTRkMJh8BeAIHIhI" xr:uid="{00000000-0004-0000-0400-00004C050000}"/>
    <hyperlink ref="H396" r:id="rId1358" display="https://docs.google.com/spreadsheets/d/1Jj5otQeDso0D0uNQp3S1GmCwFSEJTRkMJh8BeAIHIhI" xr:uid="{00000000-0004-0000-0400-00004D050000}"/>
    <hyperlink ref="I396" r:id="rId1359" display="https://docs.google.com/open?id=1Jj5otQeDso0D0uNQp3S1GmCwFSEJTRkMJh8BeAIHIhI" xr:uid="{00000000-0004-0000-0400-00004E050000}"/>
    <hyperlink ref="D397" r:id="rId1360" display="https://drive.google.com/open?id=1Ljnpf8pHlyilcVbJnrlTQb4FAW4jjkUGah_JbcMeEOs&amp;usp=drive_copy" xr:uid="{00000000-0004-0000-0400-00004F050000}"/>
    <hyperlink ref="E397" r:id="rId1361" display="https://drive.google.com/open?id=1Ljnpf8pHlyilcVbJnrlTQb4FAW4jjkUGah_JbcMeEOs" xr:uid="{00000000-0004-0000-0400-000050050000}"/>
    <hyperlink ref="H397" r:id="rId1362" display="https://docs.google.com/spreadsheets/d/1Ljnpf8pHlyilcVbJnrlTQb4FAW4jjkUGah_JbcMeEOs" xr:uid="{00000000-0004-0000-0400-000051050000}"/>
    <hyperlink ref="I397" r:id="rId1363" display="https://docs.google.com/open?id=1Ljnpf8pHlyilcVbJnrlTQb4FAW4jjkUGah_JbcMeEOs" xr:uid="{00000000-0004-0000-0400-000052050000}"/>
    <hyperlink ref="D398" r:id="rId1364" display="https://drive.google.com/open?id=1MInGZBbEGIdR7hK4Xqu5znda_M1zVfDLfM5KQzwIRqI&amp;usp=drive_copy" xr:uid="{00000000-0004-0000-0400-000053050000}"/>
    <hyperlink ref="E398" r:id="rId1365" display="https://drive.google.com/open?id=1MInGZBbEGIdR7hK4Xqu5znda_M1zVfDLfM5KQzwIRqI" xr:uid="{00000000-0004-0000-0400-000054050000}"/>
    <hyperlink ref="H398" r:id="rId1366" display="https://docs.google.com/spreadsheets/d/1MInGZBbEGIdR7hK4Xqu5znda_M1zVfDLfM5KQzwIRqI" xr:uid="{00000000-0004-0000-0400-000055050000}"/>
    <hyperlink ref="I398" r:id="rId1367" display="https://docs.google.com/open?id=1MInGZBbEGIdR7hK4Xqu5znda_M1zVfDLfM5KQzwIRqI" xr:uid="{00000000-0004-0000-0400-000056050000}"/>
    <hyperlink ref="D399" r:id="rId1368" display="https://drive.google.com/open?id=1RkY9vgAvvnwrhVQkyDoLOh52B2LswQkqzwCLbyEDhUY&amp;usp=drive_copy" xr:uid="{00000000-0004-0000-0400-000057050000}"/>
    <hyperlink ref="E399" r:id="rId1369" display="https://drive.google.com/open?id=1RkY9vgAvvnwrhVQkyDoLOh52B2LswQkqzwCLbyEDhUY" xr:uid="{00000000-0004-0000-0400-000058050000}"/>
    <hyperlink ref="H399" r:id="rId1370" display="https://docs.google.com/spreadsheets/d/1RkY9vgAvvnwrhVQkyDoLOh52B2LswQkqzwCLbyEDhUY" xr:uid="{00000000-0004-0000-0400-000059050000}"/>
    <hyperlink ref="I399" r:id="rId1371" display="https://docs.google.com/open?id=1RkY9vgAvvnwrhVQkyDoLOh52B2LswQkqzwCLbyEDhUY" xr:uid="{00000000-0004-0000-0400-00005A050000}"/>
    <hyperlink ref="D400" r:id="rId1372" display="https://drive.google.com/open?id=1VIHyc81uNys5RoAfqoNDOA8KZkPHQ3WkTMo7867R4BA&amp;usp=drive_copy" xr:uid="{00000000-0004-0000-0400-00005B050000}"/>
    <hyperlink ref="E400" r:id="rId1373" display="https://drive.google.com/open?id=1VIHyc81uNys5RoAfqoNDOA8KZkPHQ3WkTMo7867R4BA" xr:uid="{00000000-0004-0000-0400-00005C050000}"/>
    <hyperlink ref="H400" r:id="rId1374" display="https://docs.google.com/spreadsheets/d/1VIHyc81uNys5RoAfqoNDOA8KZkPHQ3WkTMo7867R4BA" xr:uid="{00000000-0004-0000-0400-00005D050000}"/>
    <hyperlink ref="I400" r:id="rId1375" display="https://docs.google.com/open?id=1VIHyc81uNys5RoAfqoNDOA8KZkPHQ3WkTMo7867R4BA" xr:uid="{00000000-0004-0000-0400-00005E050000}"/>
    <hyperlink ref="D401" r:id="rId1376" display="https://drive.google.com/open?id=11KSxHMGnoHkgZ0DLKwBfZft8R0qdo6rocjbz5kAT-ec&amp;usp=drive_copy" xr:uid="{00000000-0004-0000-0400-00005F050000}"/>
    <hyperlink ref="E401" r:id="rId1377" display="https://drive.google.com/open?id=11KSxHMGnoHkgZ0DLKwBfZft8R0qdo6rocjbz5kAT-ec" xr:uid="{00000000-0004-0000-0400-000060050000}"/>
    <hyperlink ref="H401" r:id="rId1378" display="https://docs.google.com/spreadsheets/d/11KSxHMGnoHkgZ0DLKwBfZft8R0qdo6rocjbz5kAT-ec" xr:uid="{00000000-0004-0000-0400-000061050000}"/>
    <hyperlink ref="I401" r:id="rId1379" display="https://docs.google.com/open?id=11KSxHMGnoHkgZ0DLKwBfZft8R0qdo6rocjbz5kAT-ec" xr:uid="{00000000-0004-0000-0400-000062050000}"/>
    <hyperlink ref="D402" r:id="rId1380" display="https://drive.google.com/open?id=1VtV1VuFXIUlrUnyhxzTLQHZn6W1o8vEdxdeLKZwOWDs&amp;usp=drive_copy" xr:uid="{00000000-0004-0000-0400-000063050000}"/>
    <hyperlink ref="E402" r:id="rId1381" display="https://drive.google.com/open?id=1VtV1VuFXIUlrUnyhxzTLQHZn6W1o8vEdxdeLKZwOWDs" xr:uid="{00000000-0004-0000-0400-000064050000}"/>
    <hyperlink ref="H402" r:id="rId1382" display="https://docs.google.com/spreadsheets/d/1VtV1VuFXIUlrUnyhxzTLQHZn6W1o8vEdxdeLKZwOWDs" xr:uid="{00000000-0004-0000-0400-000065050000}"/>
    <hyperlink ref="I402" r:id="rId1383" display="https://docs.google.com/open?id=1VtV1VuFXIUlrUnyhxzTLQHZn6W1o8vEdxdeLKZwOWDs" xr:uid="{00000000-0004-0000-0400-000066050000}"/>
    <hyperlink ref="D403" r:id="rId1384" display="https://drive.google.com/open?id=1xkC4xgU4cTSK2tdI9qeWL40RdsVwQTpd1Ve1jirfPEI&amp;usp=drive_copy" xr:uid="{00000000-0004-0000-0400-000067050000}"/>
    <hyperlink ref="E403" r:id="rId1385" display="https://drive.google.com/open?id=1xkC4xgU4cTSK2tdI9qeWL40RdsVwQTpd1Ve1jirfPEI" xr:uid="{00000000-0004-0000-0400-000068050000}"/>
    <hyperlink ref="H403" r:id="rId1386" display="https://docs.google.com/spreadsheets/d/1xkC4xgU4cTSK2tdI9qeWL40RdsVwQTpd1Ve1jirfPEI" xr:uid="{00000000-0004-0000-0400-000069050000}"/>
    <hyperlink ref="I403" r:id="rId1387" display="https://docs.google.com/open?id=1xkC4xgU4cTSK2tdI9qeWL40RdsVwQTpd1Ve1jirfPEI" xr:uid="{00000000-0004-0000-0400-00006A050000}"/>
    <hyperlink ref="D404" r:id="rId1388" display="https://drive.google.com/open?id=1VwwKPJ-nn8QXgNoCc2vxkuGxRCW712tdCv1BNS9wOeA&amp;usp=drive_copy" xr:uid="{00000000-0004-0000-0400-00006B050000}"/>
    <hyperlink ref="E404" r:id="rId1389" display="https://drive.google.com/open?id=1VwwKPJ-nn8QXgNoCc2vxkuGxRCW712tdCv1BNS9wOeA" xr:uid="{00000000-0004-0000-0400-00006C050000}"/>
    <hyperlink ref="H404" r:id="rId1390" display="https://docs.google.com/spreadsheets/d/1VwwKPJ-nn8QXgNoCc2vxkuGxRCW712tdCv1BNS9wOeA" xr:uid="{00000000-0004-0000-0400-00006D050000}"/>
    <hyperlink ref="I404" r:id="rId1391" display="https://docs.google.com/open?id=1VwwKPJ-nn8QXgNoCc2vxkuGxRCW712tdCv1BNS9wOeA" xr:uid="{00000000-0004-0000-0400-00006E050000}"/>
    <hyperlink ref="D405" r:id="rId1392" display="https://drive.google.com/open?id=1xI28XMduWiyRsQRuEg9pXhAKlm_zkHZsHtqs-pC4cOI&amp;usp=drive_copy" xr:uid="{00000000-0004-0000-0400-00006F050000}"/>
    <hyperlink ref="E405" r:id="rId1393" display="https://drive.google.com/open?id=1xI28XMduWiyRsQRuEg9pXhAKlm_zkHZsHtqs-pC4cOI" xr:uid="{00000000-0004-0000-0400-000070050000}"/>
    <hyperlink ref="H405" r:id="rId1394" display="https://docs.google.com/spreadsheets/d/1xI28XMduWiyRsQRuEg9pXhAKlm_zkHZsHtqs-pC4cOI" xr:uid="{00000000-0004-0000-0400-000071050000}"/>
    <hyperlink ref="I405" r:id="rId1395" display="https://docs.google.com/open?id=1xI28XMduWiyRsQRuEg9pXhAKlm_zkHZsHtqs-pC4cOI" xr:uid="{00000000-0004-0000-0400-000072050000}"/>
    <hyperlink ref="D406" r:id="rId1396" display="https://drive.google.com/open?id=1ys5ZaRCPKm6HywLUjjjNnUBNtGBYBbvxhUHvFQ4qtXk&amp;usp=drive_copy" xr:uid="{00000000-0004-0000-0400-000073050000}"/>
    <hyperlink ref="E406" r:id="rId1397" display="https://drive.google.com/open?id=1ys5ZaRCPKm6HywLUjjjNnUBNtGBYBbvxhUHvFQ4qtXk" xr:uid="{00000000-0004-0000-0400-000074050000}"/>
    <hyperlink ref="H406" r:id="rId1398" display="https://docs.google.com/spreadsheets/d/1ys5ZaRCPKm6HywLUjjjNnUBNtGBYBbvxhUHvFQ4qtXk" xr:uid="{00000000-0004-0000-0400-000075050000}"/>
    <hyperlink ref="I406" r:id="rId1399" display="https://docs.google.com/open?id=1ys5ZaRCPKm6HywLUjjjNnUBNtGBYBbvxhUHvFQ4qtXk" xr:uid="{00000000-0004-0000-0400-000076050000}"/>
    <hyperlink ref="D407" r:id="rId1400" display="https://drive.google.com/open?id=1xwIpShrkCBz1_8eaQfHo0xzMua8p3PMDeCEyaUFvY5g&amp;usp=drive_copy" xr:uid="{00000000-0004-0000-0400-000077050000}"/>
    <hyperlink ref="E407" r:id="rId1401" display="https://drive.google.com/open?id=1xwIpShrkCBz1_8eaQfHo0xzMua8p3PMDeCEyaUFvY5g" xr:uid="{00000000-0004-0000-0400-000078050000}"/>
    <hyperlink ref="H407" r:id="rId1402" display="https://docs.google.com/spreadsheets/d/1xwIpShrkCBz1_8eaQfHo0xzMua8p3PMDeCEyaUFvY5g" xr:uid="{00000000-0004-0000-0400-000079050000}"/>
    <hyperlink ref="I407" r:id="rId1403" display="https://docs.google.com/open?id=1xwIpShrkCBz1_8eaQfHo0xzMua8p3PMDeCEyaUFvY5g" xr:uid="{00000000-0004-0000-0400-00007A050000}"/>
    <hyperlink ref="D408" r:id="rId1404" display="https://drive.google.com/open?id=19qXGdILdbc4JDL36_zxPHLRf6R1RvVAhAa_2WkiReZs&amp;usp=drive_copy" xr:uid="{00000000-0004-0000-0400-00007B050000}"/>
    <hyperlink ref="E408" r:id="rId1405" display="https://drive.google.com/open?id=19qXGdILdbc4JDL36_zxPHLRf6R1RvVAhAa_2WkiReZs" xr:uid="{00000000-0004-0000-0400-00007C050000}"/>
    <hyperlink ref="H408" r:id="rId1406" display="https://docs.google.com/spreadsheets/d/19qXGdILdbc4JDL36_zxPHLRf6R1RvVAhAa_2WkiReZs" xr:uid="{00000000-0004-0000-0400-00007D050000}"/>
    <hyperlink ref="I408" r:id="rId1407" display="https://docs.google.com/open?id=19qXGdILdbc4JDL36_zxPHLRf6R1RvVAhAa_2WkiReZs" xr:uid="{00000000-0004-0000-0400-00007E050000}"/>
    <hyperlink ref="D409" r:id="rId1408" display="https://drive.google.com/open?id=1mNN0GGJA5oEitryJ21T-8euFGdM4BbxAOzlU3ZjgdIk&amp;usp=drive_copy" xr:uid="{00000000-0004-0000-0400-00007F050000}"/>
    <hyperlink ref="E409" r:id="rId1409" display="https://drive.google.com/open?id=1mNN0GGJA5oEitryJ21T-8euFGdM4BbxAOzlU3ZjgdIk" xr:uid="{00000000-0004-0000-0400-000080050000}"/>
    <hyperlink ref="H409" r:id="rId1410" display="https://docs.google.com/spreadsheets/d/1mNN0GGJA5oEitryJ21T-8euFGdM4BbxAOzlU3ZjgdIk" xr:uid="{00000000-0004-0000-0400-000081050000}"/>
    <hyperlink ref="I409" r:id="rId1411" display="https://docs.google.com/open?id=1mNN0GGJA5oEitryJ21T-8euFGdM4BbxAOzlU3ZjgdIk" xr:uid="{00000000-0004-0000-0400-000082050000}"/>
    <hyperlink ref="D410" r:id="rId1412" display="https://drive.google.com/open?id=1lUao2wmxTiEifXpnMqbltOkOVEkCh5fAzJBy1_d5gY8&amp;usp=drive_copy" xr:uid="{00000000-0004-0000-0400-000083050000}"/>
    <hyperlink ref="E410" r:id="rId1413" display="https://drive.google.com/open?id=1lUao2wmxTiEifXpnMqbltOkOVEkCh5fAzJBy1_d5gY8" xr:uid="{00000000-0004-0000-0400-000084050000}"/>
    <hyperlink ref="H410" r:id="rId1414" display="https://docs.google.com/spreadsheets/d/1lUao2wmxTiEifXpnMqbltOkOVEkCh5fAzJBy1_d5gY8" xr:uid="{00000000-0004-0000-0400-000085050000}"/>
    <hyperlink ref="I410" r:id="rId1415" display="https://docs.google.com/open?id=1lUao2wmxTiEifXpnMqbltOkOVEkCh5fAzJBy1_d5gY8" xr:uid="{00000000-0004-0000-0400-000086050000}"/>
    <hyperlink ref="D411" r:id="rId1416" display="https://drive.google.com/open?id=1cXIw5mog84y1d-YPHijS147H1dCepZCWIhPv8aMD96M&amp;usp=drive_copy" xr:uid="{00000000-0004-0000-0400-000087050000}"/>
    <hyperlink ref="E411" r:id="rId1417" display="https://drive.google.com/open?id=1cXIw5mog84y1d-YPHijS147H1dCepZCWIhPv8aMD96M" xr:uid="{00000000-0004-0000-0400-000088050000}"/>
    <hyperlink ref="H411" r:id="rId1418" display="https://docs.google.com/spreadsheets/d/1cXIw5mog84y1d-YPHijS147H1dCepZCWIhPv8aMD96M" xr:uid="{00000000-0004-0000-0400-000089050000}"/>
    <hyperlink ref="I411" r:id="rId1419" display="https://docs.google.com/open?id=1cXIw5mog84y1d-YPHijS147H1dCepZCWIhPv8aMD96M" xr:uid="{00000000-0004-0000-0400-00008A050000}"/>
    <hyperlink ref="D412" r:id="rId1420" display="https://drive.google.com/open?id=1XJHv7jdPLbc1XBDOi1nsvUH78PfcxrQOIpN8ZMCEnzs&amp;usp=drive_copy" xr:uid="{00000000-0004-0000-0400-00008B050000}"/>
    <hyperlink ref="E412" r:id="rId1421" display="https://drive.google.com/open?id=1XJHv7jdPLbc1XBDOi1nsvUH78PfcxrQOIpN8ZMCEnzs" xr:uid="{00000000-0004-0000-0400-00008C050000}"/>
    <hyperlink ref="H412" r:id="rId1422" display="https://docs.google.com/spreadsheets/d/1XJHv7jdPLbc1XBDOi1nsvUH78PfcxrQOIpN8ZMCEnzs" xr:uid="{00000000-0004-0000-0400-00008D050000}"/>
    <hyperlink ref="I412" r:id="rId1423" display="https://docs.google.com/open?id=1XJHv7jdPLbc1XBDOi1nsvUH78PfcxrQOIpN8ZMCEnzs" xr:uid="{00000000-0004-0000-0400-00008E050000}"/>
    <hyperlink ref="D413" r:id="rId1424" display="https://drive.google.com/open?id=1mbTS3Bu6MS0ju-5srY3pPB5b8S95ojZrjyxgkkp-DiQ&amp;usp=drive_copy" xr:uid="{00000000-0004-0000-0400-00008F050000}"/>
    <hyperlink ref="E413" r:id="rId1425" display="https://drive.google.com/open?id=1mbTS3Bu6MS0ju-5srY3pPB5b8S95ojZrjyxgkkp-DiQ" xr:uid="{00000000-0004-0000-0400-000090050000}"/>
    <hyperlink ref="H413" r:id="rId1426" display="https://docs.google.com/spreadsheets/d/1mbTS3Bu6MS0ju-5srY3pPB5b8S95ojZrjyxgkkp-DiQ" xr:uid="{00000000-0004-0000-0400-000091050000}"/>
    <hyperlink ref="I413" r:id="rId1427" display="https://docs.google.com/open?id=1mbTS3Bu6MS0ju-5srY3pPB5b8S95ojZrjyxgkkp-DiQ" xr:uid="{00000000-0004-0000-0400-000092050000}"/>
    <hyperlink ref="D414" r:id="rId1428" display="https://drive.google.com/open?id=1pSfHN2dkWjKfTx0ozR33SlCLhNVIlZzj11stTESMz9Y&amp;usp=drive_copy" xr:uid="{00000000-0004-0000-0400-000093050000}"/>
    <hyperlink ref="E414" r:id="rId1429" display="https://drive.google.com/open?id=1pSfHN2dkWjKfTx0ozR33SlCLhNVIlZzj11stTESMz9Y" xr:uid="{00000000-0004-0000-0400-000094050000}"/>
    <hyperlink ref="H414" r:id="rId1430" display="https://docs.google.com/spreadsheets/d/1pSfHN2dkWjKfTx0ozR33SlCLhNVIlZzj11stTESMz9Y" xr:uid="{00000000-0004-0000-0400-000095050000}"/>
    <hyperlink ref="I414" r:id="rId1431" display="https://docs.google.com/open?id=1pSfHN2dkWjKfTx0ozR33SlCLhNVIlZzj11stTESMz9Y" xr:uid="{00000000-0004-0000-0400-000096050000}"/>
    <hyperlink ref="D415" r:id="rId1432" display="https://drive.google.com/open?id=1mZWWVltoMCDTOP9Wgo01tGmHcxLtDX60eDtdD9dKRoI&amp;usp=drive_copy" xr:uid="{00000000-0004-0000-0400-000097050000}"/>
    <hyperlink ref="E415" r:id="rId1433" display="https://drive.google.com/open?id=1mZWWVltoMCDTOP9Wgo01tGmHcxLtDX60eDtdD9dKRoI" xr:uid="{00000000-0004-0000-0400-000098050000}"/>
    <hyperlink ref="H415" r:id="rId1434" display="https://docs.google.com/spreadsheets/d/1mZWWVltoMCDTOP9Wgo01tGmHcxLtDX60eDtdD9dKRoI" xr:uid="{00000000-0004-0000-0400-000099050000}"/>
    <hyperlink ref="I415" r:id="rId1435" display="https://docs.google.com/open?id=1mZWWVltoMCDTOP9Wgo01tGmHcxLtDX60eDtdD9dKRoI" xr:uid="{00000000-0004-0000-0400-00009A050000}"/>
    <hyperlink ref="D416" r:id="rId1436" display="https://drive.google.com/open?id=1mar7Gl-nlHAaQYOs5Hrjd_ZoB4W1yQWsAvHDIFO4ank&amp;usp=drive_copy" xr:uid="{00000000-0004-0000-0400-00009B050000}"/>
    <hyperlink ref="E416" r:id="rId1437" display="https://drive.google.com/open?id=1mar7Gl-nlHAaQYOs5Hrjd_ZoB4W1yQWsAvHDIFO4ank" xr:uid="{00000000-0004-0000-0400-00009C050000}"/>
    <hyperlink ref="H416" r:id="rId1438" display="https://docs.google.com/spreadsheets/d/1mar7Gl-nlHAaQYOs5Hrjd_ZoB4W1yQWsAvHDIFO4ank" xr:uid="{00000000-0004-0000-0400-00009D050000}"/>
    <hyperlink ref="I416" r:id="rId1439" display="https://docs.google.com/open?id=1mar7Gl-nlHAaQYOs5Hrjd_ZoB4W1yQWsAvHDIFO4ank" xr:uid="{00000000-0004-0000-0400-00009E050000}"/>
    <hyperlink ref="D417" r:id="rId1440" display="https://drive.google.com/open?id=1-Dx7y_31ZjX7fYtVRar7O_YSE4mdZnBmodjds8j_bgQ&amp;usp=drive_copy" xr:uid="{00000000-0004-0000-0400-00009F050000}"/>
    <hyperlink ref="E417" r:id="rId1441" display="https://drive.google.com/open?id=1-Dx7y_31ZjX7fYtVRar7O_YSE4mdZnBmodjds8j_bgQ" xr:uid="{00000000-0004-0000-0400-0000A0050000}"/>
    <hyperlink ref="H417" r:id="rId1442" display="https://docs.google.com/spreadsheets/d/1-Dx7y_31ZjX7fYtVRar7O_YSE4mdZnBmodjds8j_bgQ" xr:uid="{00000000-0004-0000-0400-0000A1050000}"/>
    <hyperlink ref="I417" r:id="rId1443" display="https://docs.google.com/open?id=1-Dx7y_31ZjX7fYtVRar7O_YSE4mdZnBmodjds8j_bgQ" xr:uid="{00000000-0004-0000-0400-0000A2050000}"/>
    <hyperlink ref="D418" r:id="rId1444" display="https://drive.google.com/open?id=14nV8fwn8fLh3_L6UJsAYePmumEC_O2FQdP-ozBdcY20&amp;usp=drive_copy" xr:uid="{00000000-0004-0000-0400-0000A3050000}"/>
    <hyperlink ref="E418" r:id="rId1445" display="https://drive.google.com/open?id=14nV8fwn8fLh3_L6UJsAYePmumEC_O2FQdP-ozBdcY20" xr:uid="{00000000-0004-0000-0400-0000A4050000}"/>
    <hyperlink ref="H418" r:id="rId1446" display="https://docs.google.com/spreadsheets/d/14nV8fwn8fLh3_L6UJsAYePmumEC_O2FQdP-ozBdcY20" xr:uid="{00000000-0004-0000-0400-0000A5050000}"/>
    <hyperlink ref="I418" r:id="rId1447" display="https://docs.google.com/open?id=14nV8fwn8fLh3_L6UJsAYePmumEC_O2FQdP-ozBdcY20" xr:uid="{00000000-0004-0000-0400-0000A6050000}"/>
    <hyperlink ref="D419" r:id="rId1448" display="https://drive.google.com/open?id=14suCEkalgPVp2-MAHj2vV-P0IBZtDcItU-DnKDgR5RQ&amp;usp=drive_copy" xr:uid="{00000000-0004-0000-0400-0000A7050000}"/>
    <hyperlink ref="E419" r:id="rId1449" display="https://drive.google.com/open?id=14suCEkalgPVp2-MAHj2vV-P0IBZtDcItU-DnKDgR5RQ" xr:uid="{00000000-0004-0000-0400-0000A8050000}"/>
    <hyperlink ref="H419" r:id="rId1450" display="https://docs.google.com/spreadsheets/d/14suCEkalgPVp2-MAHj2vV-P0IBZtDcItU-DnKDgR5RQ" xr:uid="{00000000-0004-0000-0400-0000A9050000}"/>
    <hyperlink ref="I419" r:id="rId1451" display="https://docs.google.com/open?id=14suCEkalgPVp2-MAHj2vV-P0IBZtDcItU-DnKDgR5RQ" xr:uid="{00000000-0004-0000-0400-0000AA050000}"/>
    <hyperlink ref="D420" r:id="rId1452" display="https://drive.google.com/open?id=1rpNu8ZwX5PG5PcLz3S5O2mSzQ-fLjtS5QNCQLe-Muj0&amp;usp=drive_copy" xr:uid="{00000000-0004-0000-0400-0000AB050000}"/>
    <hyperlink ref="E420" r:id="rId1453" display="https://drive.google.com/open?id=1rpNu8ZwX5PG5PcLz3S5O2mSzQ-fLjtS5QNCQLe-Muj0" xr:uid="{00000000-0004-0000-0400-0000AC050000}"/>
    <hyperlink ref="H420" r:id="rId1454" display="https://docs.google.com/spreadsheets/d/1rpNu8ZwX5PG5PcLz3S5O2mSzQ-fLjtS5QNCQLe-Muj0" xr:uid="{00000000-0004-0000-0400-0000AD050000}"/>
    <hyperlink ref="I420" r:id="rId1455" display="https://docs.google.com/open?id=1rpNu8ZwX5PG5PcLz3S5O2mSzQ-fLjtS5QNCQLe-Muj0" xr:uid="{00000000-0004-0000-0400-0000AE050000}"/>
    <hyperlink ref="D421" r:id="rId1456" display="https://drive.google.com/open?id=1uI7v9DVy6DgtP0OIaUYChG2cm3G-a0HSJYQR42y8gMk&amp;usp=drive_copy" xr:uid="{00000000-0004-0000-0400-0000AF050000}"/>
    <hyperlink ref="E421" r:id="rId1457" display="https://drive.google.com/open?id=1uI7v9DVy6DgtP0OIaUYChG2cm3G-a0HSJYQR42y8gMk" xr:uid="{00000000-0004-0000-0400-0000B0050000}"/>
    <hyperlink ref="H421" r:id="rId1458" display="https://docs.google.com/spreadsheets/d/1uI7v9DVy6DgtP0OIaUYChG2cm3G-a0HSJYQR42y8gMk" xr:uid="{00000000-0004-0000-0400-0000B1050000}"/>
    <hyperlink ref="I421" r:id="rId1459" display="https://docs.google.com/open?id=1uI7v9DVy6DgtP0OIaUYChG2cm3G-a0HSJYQR42y8gMk" xr:uid="{00000000-0004-0000-0400-0000B2050000}"/>
    <hyperlink ref="D422" r:id="rId1460" display="https://drive.google.com/open?id=1v7i39sM4HmRQ9TF48oJ52a8YmotNhL_JjJK8ANwIxqk&amp;usp=drive_copy" xr:uid="{00000000-0004-0000-0400-0000B3050000}"/>
    <hyperlink ref="E422" r:id="rId1461" display="https://drive.google.com/open?id=1v7i39sM4HmRQ9TF48oJ52a8YmotNhL_JjJK8ANwIxqk" xr:uid="{00000000-0004-0000-0400-0000B4050000}"/>
    <hyperlink ref="H422" r:id="rId1462" display="https://docs.google.com/spreadsheets/d/1v7i39sM4HmRQ9TF48oJ52a8YmotNhL_JjJK8ANwIxqk" xr:uid="{00000000-0004-0000-0400-0000B5050000}"/>
    <hyperlink ref="I422" r:id="rId1463" display="https://docs.google.com/open?id=1v7i39sM4HmRQ9TF48oJ52a8YmotNhL_JjJK8ANwIxqk" xr:uid="{00000000-0004-0000-0400-0000B6050000}"/>
    <hyperlink ref="D423" r:id="rId1464" display="https://drive.google.com/open?id=1wAOwX8JShRYK_TrAzJtVGPmWa5FvO7On8DSPnC018XQ&amp;usp=drive_copy" xr:uid="{00000000-0004-0000-0400-0000B7050000}"/>
    <hyperlink ref="E423" r:id="rId1465" display="https://drive.google.com/open?id=1wAOwX8JShRYK_TrAzJtVGPmWa5FvO7On8DSPnC018XQ" xr:uid="{00000000-0004-0000-0400-0000B8050000}"/>
    <hyperlink ref="H423" r:id="rId1466" display="https://docs.google.com/spreadsheets/d/1wAOwX8JShRYK_TrAzJtVGPmWa5FvO7On8DSPnC018XQ" xr:uid="{00000000-0004-0000-0400-0000B9050000}"/>
    <hyperlink ref="I423" r:id="rId1467" display="https://docs.google.com/open?id=1wAOwX8JShRYK_TrAzJtVGPmWa5FvO7On8DSPnC018XQ" xr:uid="{00000000-0004-0000-0400-0000BA050000}"/>
    <hyperlink ref="D424" r:id="rId1468" display="https://drive.google.com/open?id=1wC7-pCxOkogy929zyEPMm6J8Gv-WrGvooR1dcUKkg-U&amp;usp=drive_copy" xr:uid="{00000000-0004-0000-0400-0000BB050000}"/>
    <hyperlink ref="E424" r:id="rId1469" display="https://drive.google.com/open?id=1wC7-pCxOkogy929zyEPMm6J8Gv-WrGvooR1dcUKkg-U" xr:uid="{00000000-0004-0000-0400-0000BC050000}"/>
    <hyperlink ref="H424" r:id="rId1470" display="https://docs.google.com/spreadsheets/d/1wC7-pCxOkogy929zyEPMm6J8Gv-WrGvooR1dcUKkg-U" xr:uid="{00000000-0004-0000-0400-0000BD050000}"/>
    <hyperlink ref="I424" r:id="rId1471" display="https://docs.google.com/open?id=1wC7-pCxOkogy929zyEPMm6J8Gv-WrGvooR1dcUKkg-U" xr:uid="{00000000-0004-0000-0400-0000BE050000}"/>
    <hyperlink ref="D425" r:id="rId1472" display="https://drive.google.com/open?id=1yKglbaiJ2AHEKXwNA8dXJzyIcE576a0Dn8I5b43TLik&amp;usp=drive_copy" xr:uid="{00000000-0004-0000-0400-0000BF050000}"/>
    <hyperlink ref="E425" r:id="rId1473" display="https://drive.google.com/open?id=1yKglbaiJ2AHEKXwNA8dXJzyIcE576a0Dn8I5b43TLik" xr:uid="{00000000-0004-0000-0400-0000C0050000}"/>
    <hyperlink ref="H425" r:id="rId1474" display="https://docs.google.com/spreadsheets/d/1yKglbaiJ2AHEKXwNA8dXJzyIcE576a0Dn8I5b43TLik" xr:uid="{00000000-0004-0000-0400-0000C1050000}"/>
    <hyperlink ref="I425" r:id="rId1475" display="https://docs.google.com/open?id=1yKglbaiJ2AHEKXwNA8dXJzyIcE576a0Dn8I5b43TLik" xr:uid="{00000000-0004-0000-0400-0000C2050000}"/>
    <hyperlink ref="D426" r:id="rId1476" display="https://drive.google.com/open?id=1-wiyawIb7nuGz3R72e-F5f_5y2rnpSuziq4huDcp1LM&amp;usp=drive_copy" xr:uid="{00000000-0004-0000-0400-0000C3050000}"/>
    <hyperlink ref="E426" r:id="rId1477" display="https://drive.google.com/open?id=1-wiyawIb7nuGz3R72e-F5f_5y2rnpSuziq4huDcp1LM" xr:uid="{00000000-0004-0000-0400-0000C4050000}"/>
    <hyperlink ref="H426" r:id="rId1478" display="https://docs.google.com/spreadsheets/d/1-wiyawIb7nuGz3R72e-F5f_5y2rnpSuziq4huDcp1LM" xr:uid="{00000000-0004-0000-0400-0000C5050000}"/>
    <hyperlink ref="I426" r:id="rId1479" display="https://docs.google.com/open?id=1-wiyawIb7nuGz3R72e-F5f_5y2rnpSuziq4huDcp1LM" xr:uid="{00000000-0004-0000-0400-0000C6050000}"/>
    <hyperlink ref="D427" r:id="rId1480" display="https://drive.google.com/open?id=15LwGcrE9V7r6eONxrF6shLmJZ32odris6qkdpZXNb8k&amp;usp=drive_copy" xr:uid="{00000000-0004-0000-0400-0000C7050000}"/>
    <hyperlink ref="E427" r:id="rId1481" display="https://drive.google.com/open?id=15LwGcrE9V7r6eONxrF6shLmJZ32odris6qkdpZXNb8k" xr:uid="{00000000-0004-0000-0400-0000C8050000}"/>
    <hyperlink ref="H427" r:id="rId1482" display="https://docs.google.com/spreadsheets/d/15LwGcrE9V7r6eONxrF6shLmJZ32odris6qkdpZXNb8k" xr:uid="{00000000-0004-0000-0400-0000C9050000}"/>
    <hyperlink ref="I427" r:id="rId1483" display="https://docs.google.com/open?id=15LwGcrE9V7r6eONxrF6shLmJZ32odris6qkdpZXNb8k" xr:uid="{00000000-0004-0000-0400-0000CA050000}"/>
    <hyperlink ref="D428" r:id="rId1484" display="https://drive.google.com/open?id=17PMZXRQ_1B6Qqk7TdJ-LPPZxpEjiF7EJs8iczNpoijc&amp;usp=drive_copy" xr:uid="{00000000-0004-0000-0400-0000CB050000}"/>
    <hyperlink ref="E428" r:id="rId1485" display="https://drive.google.com/open?id=17PMZXRQ_1B6Qqk7TdJ-LPPZxpEjiF7EJs8iczNpoijc" xr:uid="{00000000-0004-0000-0400-0000CC050000}"/>
    <hyperlink ref="H428" r:id="rId1486" display="https://docs.google.com/spreadsheets/d/17PMZXRQ_1B6Qqk7TdJ-LPPZxpEjiF7EJs8iczNpoijc" xr:uid="{00000000-0004-0000-0400-0000CD050000}"/>
    <hyperlink ref="I428" r:id="rId1487" display="https://docs.google.com/open?id=17PMZXRQ_1B6Qqk7TdJ-LPPZxpEjiF7EJs8iczNpoijc" xr:uid="{00000000-0004-0000-0400-0000CE050000}"/>
    <hyperlink ref="D429" r:id="rId1488" display="https://drive.google.com/open?id=19iOKPB14W0VGP-0ml8pziHOt6sYzXWaj7a4Zoum-tBI&amp;usp=drive_copy" xr:uid="{00000000-0004-0000-0400-0000CF050000}"/>
    <hyperlink ref="E429" r:id="rId1489" display="https://drive.google.com/open?id=19iOKPB14W0VGP-0ml8pziHOt6sYzXWaj7a4Zoum-tBI" xr:uid="{00000000-0004-0000-0400-0000D0050000}"/>
    <hyperlink ref="H429" r:id="rId1490" display="https://docs.google.com/spreadsheets/d/19iOKPB14W0VGP-0ml8pziHOt6sYzXWaj7a4Zoum-tBI" xr:uid="{00000000-0004-0000-0400-0000D1050000}"/>
    <hyperlink ref="I429" r:id="rId1491" display="https://docs.google.com/open?id=19iOKPB14W0VGP-0ml8pziHOt6sYzXWaj7a4Zoum-tBI" xr:uid="{00000000-0004-0000-0400-0000D2050000}"/>
    <hyperlink ref="D430" r:id="rId1492" display="https://drive.google.com/open?id=1DCuZVQKauRTcA4dptxnDsgbbW76ZTGTU8xmjQO61cwI&amp;usp=drive_copy" xr:uid="{00000000-0004-0000-0400-0000D3050000}"/>
    <hyperlink ref="E430" r:id="rId1493" display="https://drive.google.com/open?id=1DCuZVQKauRTcA4dptxnDsgbbW76ZTGTU8xmjQO61cwI" xr:uid="{00000000-0004-0000-0400-0000D4050000}"/>
    <hyperlink ref="H430" r:id="rId1494" display="https://docs.google.com/spreadsheets/d/1DCuZVQKauRTcA4dptxnDsgbbW76ZTGTU8xmjQO61cwI" xr:uid="{00000000-0004-0000-0400-0000D5050000}"/>
    <hyperlink ref="I430" r:id="rId1495" display="https://docs.google.com/open?id=1DCuZVQKauRTcA4dptxnDsgbbW76ZTGTU8xmjQO61cwI" xr:uid="{00000000-0004-0000-0400-0000D6050000}"/>
    <hyperlink ref="D431" r:id="rId1496" display="https://drive.google.com/open?id=1LrWvHuQX6DHow6YrL92yJDBgCwhl25PX9bpU07Pltj8&amp;usp=drive_copy" xr:uid="{00000000-0004-0000-0400-0000D7050000}"/>
    <hyperlink ref="E431" r:id="rId1497" display="https://drive.google.com/open?id=1LrWvHuQX6DHow6YrL92yJDBgCwhl25PX9bpU07Pltj8" xr:uid="{00000000-0004-0000-0400-0000D8050000}"/>
    <hyperlink ref="H431" r:id="rId1498" display="https://docs.google.com/spreadsheets/d/1LrWvHuQX6DHow6YrL92yJDBgCwhl25PX9bpU07Pltj8" xr:uid="{00000000-0004-0000-0400-0000D9050000}"/>
    <hyperlink ref="I431" r:id="rId1499" display="https://docs.google.com/open?id=1LrWvHuQX6DHow6YrL92yJDBgCwhl25PX9bpU07Pltj8" xr:uid="{00000000-0004-0000-0400-0000DA050000}"/>
    <hyperlink ref="D432" r:id="rId1500" display="https://drive.google.com/open?id=1512O-Mm7NdBhYen1YMEKrCEvruG_laGphSRrGhqy61k&amp;usp=drive_copy" xr:uid="{00000000-0004-0000-0400-0000DB050000}"/>
    <hyperlink ref="E432" r:id="rId1501" display="https://drive.google.com/open?id=1512O-Mm7NdBhYen1YMEKrCEvruG_laGphSRrGhqy61k" xr:uid="{00000000-0004-0000-0400-0000DC050000}"/>
    <hyperlink ref="H432" r:id="rId1502" display="https://docs.google.com/spreadsheets/d/1512O-Mm7NdBhYen1YMEKrCEvruG_laGphSRrGhqy61k" xr:uid="{00000000-0004-0000-0400-0000DD050000}"/>
    <hyperlink ref="I432" r:id="rId1503" display="https://docs.google.com/open?id=1512O-Mm7NdBhYen1YMEKrCEvruG_laGphSRrGhqy61k" xr:uid="{00000000-0004-0000-0400-0000DE050000}"/>
    <hyperlink ref="D433" r:id="rId1504" display="https://drive.google.com/open?id=1AoqLRMfbxDdlkLPp4-L-DGGIvP-y-_6RZ_9_ZGxvn1s&amp;usp=drive_copy" xr:uid="{00000000-0004-0000-0400-0000DF050000}"/>
    <hyperlink ref="E433" r:id="rId1505" display="https://drive.google.com/open?id=1AoqLRMfbxDdlkLPp4-L-DGGIvP-y-_6RZ_9_ZGxvn1s" xr:uid="{00000000-0004-0000-0400-0000E0050000}"/>
    <hyperlink ref="H433" r:id="rId1506" display="https://docs.google.com/spreadsheets/d/1AoqLRMfbxDdlkLPp4-L-DGGIvP-y-_6RZ_9_ZGxvn1s" xr:uid="{00000000-0004-0000-0400-0000E1050000}"/>
    <hyperlink ref="I433" r:id="rId1507" display="https://docs.google.com/open?id=1AoqLRMfbxDdlkLPp4-L-DGGIvP-y-_6RZ_9_ZGxvn1s" xr:uid="{00000000-0004-0000-0400-0000E2050000}"/>
    <hyperlink ref="D434" r:id="rId1508" display="https://drive.google.com/open?id=1B0_xXXaZ8ZSCeiKzIlt_mubbOv9uwjelHVYI2_025Os&amp;usp=drive_copy" xr:uid="{00000000-0004-0000-0400-0000E3050000}"/>
    <hyperlink ref="E434" r:id="rId1509" display="https://drive.google.com/open?id=1B0_xXXaZ8ZSCeiKzIlt_mubbOv9uwjelHVYI2_025Os" xr:uid="{00000000-0004-0000-0400-0000E4050000}"/>
    <hyperlink ref="H434" r:id="rId1510" display="https://docs.google.com/spreadsheets/d/1B0_xXXaZ8ZSCeiKzIlt_mubbOv9uwjelHVYI2_025Os" xr:uid="{00000000-0004-0000-0400-0000E5050000}"/>
    <hyperlink ref="I434" r:id="rId1511" display="https://docs.google.com/open?id=1B0_xXXaZ8ZSCeiKzIlt_mubbOv9uwjelHVYI2_025Os" xr:uid="{00000000-0004-0000-0400-0000E6050000}"/>
    <hyperlink ref="D435" r:id="rId1512" display="https://drive.google.com/open?id=1FXY-UNoP9j2BPz7MCmhsJ1Jz7t9AOhN-j2OWoMZ-7Uk&amp;usp=drive_copy" xr:uid="{00000000-0004-0000-0400-0000E7050000}"/>
    <hyperlink ref="E435" r:id="rId1513" display="https://drive.google.com/open?id=1FXY-UNoP9j2BPz7MCmhsJ1Jz7t9AOhN-j2OWoMZ-7Uk" xr:uid="{00000000-0004-0000-0400-0000E8050000}"/>
    <hyperlink ref="H435" r:id="rId1514" display="https://docs.google.com/spreadsheets/d/1FXY-UNoP9j2BPz7MCmhsJ1Jz7t9AOhN-j2OWoMZ-7Uk" xr:uid="{00000000-0004-0000-0400-0000E9050000}"/>
    <hyperlink ref="I435" r:id="rId1515" display="https://docs.google.com/open?id=1FXY-UNoP9j2BPz7MCmhsJ1Jz7t9AOhN-j2OWoMZ-7Uk" xr:uid="{00000000-0004-0000-0400-0000EA050000}"/>
    <hyperlink ref="D436" r:id="rId1516" display="https://drive.google.com/open?id=1HqzNGwGuqId77vArU1f5eOF-Z6oRpQuaNeof9YZidw8&amp;usp=drive_copy" xr:uid="{00000000-0004-0000-0400-0000EB050000}"/>
    <hyperlink ref="E436" r:id="rId1517" display="https://drive.google.com/open?id=1HqzNGwGuqId77vArU1f5eOF-Z6oRpQuaNeof9YZidw8" xr:uid="{00000000-0004-0000-0400-0000EC050000}"/>
    <hyperlink ref="H436" r:id="rId1518" display="https://docs.google.com/spreadsheets/d/1HqzNGwGuqId77vArU1f5eOF-Z6oRpQuaNeof9YZidw8" xr:uid="{00000000-0004-0000-0400-0000ED050000}"/>
    <hyperlink ref="I436" r:id="rId1519" display="https://docs.google.com/open?id=1HqzNGwGuqId77vArU1f5eOF-Z6oRpQuaNeof9YZidw8" xr:uid="{00000000-0004-0000-0400-0000EE050000}"/>
    <hyperlink ref="D437" r:id="rId1520" display="https://drive.google.com/open?id=1C8nqDXbJfAiIjuDjiMu5OkA0dHOJ_GCj6_z55jqJYyk&amp;usp=drive_copy" xr:uid="{00000000-0004-0000-0400-0000EF050000}"/>
    <hyperlink ref="E437" r:id="rId1521" display="https://drive.google.com/open?id=1C8nqDXbJfAiIjuDjiMu5OkA0dHOJ_GCj6_z55jqJYyk" xr:uid="{00000000-0004-0000-0400-0000F0050000}"/>
    <hyperlink ref="H437" r:id="rId1522" display="https://docs.google.com/spreadsheets/d/1C8nqDXbJfAiIjuDjiMu5OkA0dHOJ_GCj6_z55jqJYyk" xr:uid="{00000000-0004-0000-0400-0000F1050000}"/>
    <hyperlink ref="I437" r:id="rId1523" display="https://docs.google.com/open?id=1C8nqDXbJfAiIjuDjiMu5OkA0dHOJ_GCj6_z55jqJYyk" xr:uid="{00000000-0004-0000-0400-0000F2050000}"/>
    <hyperlink ref="D438" r:id="rId1524" display="https://drive.google.com/open?id=1Ku6IVJg6JSwAjBFTYmSAvpY8umlQSF_EevugWl3JX64&amp;usp=drive_copy" xr:uid="{00000000-0004-0000-0400-0000F3050000}"/>
    <hyperlink ref="E438" r:id="rId1525" display="https://drive.google.com/open?id=1Ku6IVJg6JSwAjBFTYmSAvpY8umlQSF_EevugWl3JX64" xr:uid="{00000000-0004-0000-0400-0000F4050000}"/>
    <hyperlink ref="H438" r:id="rId1526" display="https://docs.google.com/spreadsheets/d/1Ku6IVJg6JSwAjBFTYmSAvpY8umlQSF_EevugWl3JX64" xr:uid="{00000000-0004-0000-0400-0000F5050000}"/>
    <hyperlink ref="I438" r:id="rId1527" display="https://docs.google.com/open?id=1Ku6IVJg6JSwAjBFTYmSAvpY8umlQSF_EevugWl3JX64" xr:uid="{00000000-0004-0000-0400-0000F6050000}"/>
    <hyperlink ref="D439" r:id="rId1528" display="https://drive.google.com/open?id=1LqFLZW_eUurmtyfQLOzDSsHx14z9GnlepDz7V4O7uS8&amp;usp=drive_copy" xr:uid="{00000000-0004-0000-0400-0000F7050000}"/>
    <hyperlink ref="E439" r:id="rId1529" display="https://drive.google.com/open?id=1LqFLZW_eUurmtyfQLOzDSsHx14z9GnlepDz7V4O7uS8" xr:uid="{00000000-0004-0000-0400-0000F8050000}"/>
    <hyperlink ref="H439" r:id="rId1530" display="https://docs.google.com/spreadsheets/d/1LqFLZW_eUurmtyfQLOzDSsHx14z9GnlepDz7V4O7uS8" xr:uid="{00000000-0004-0000-0400-0000F9050000}"/>
    <hyperlink ref="I439" r:id="rId1531" display="https://docs.google.com/open?id=1LqFLZW_eUurmtyfQLOzDSsHx14z9GnlepDz7V4O7uS8" xr:uid="{00000000-0004-0000-0400-0000FA050000}"/>
    <hyperlink ref="D440" r:id="rId1532" display="https://drive.google.com/open?id=17Hq_5Fw1w9Vr5cydTPRPetk4gtdrKm7o5PNIqOGk8ks&amp;usp=drive_copy" xr:uid="{00000000-0004-0000-0400-0000FB050000}"/>
    <hyperlink ref="E440" r:id="rId1533" display="https://drive.google.com/open?id=17Hq_5Fw1w9Vr5cydTPRPetk4gtdrKm7o5PNIqOGk8ks" xr:uid="{00000000-0004-0000-0400-0000FC050000}"/>
    <hyperlink ref="H440" r:id="rId1534" display="https://docs.google.com/spreadsheets/d/17Hq_5Fw1w9Vr5cydTPRPetk4gtdrKm7o5PNIqOGk8ks" xr:uid="{00000000-0004-0000-0400-0000FD050000}"/>
    <hyperlink ref="I440" r:id="rId1535" display="https://docs.google.com/open?id=17Hq_5Fw1w9Vr5cydTPRPetk4gtdrKm7o5PNIqOGk8ks" xr:uid="{00000000-0004-0000-0400-0000FE050000}"/>
    <hyperlink ref="D441" r:id="rId1536" display="https://drive.google.com/open?id=1NxbUGqUHQ99sffyHI8XTxeIxOj9bdrNj1pszEIN-h4M&amp;usp=drive_copy" xr:uid="{00000000-0004-0000-0400-0000FF050000}"/>
    <hyperlink ref="E441" r:id="rId1537" display="https://drive.google.com/open?id=1NxbUGqUHQ99sffyHI8XTxeIxOj9bdrNj1pszEIN-h4M" xr:uid="{00000000-0004-0000-0400-000000060000}"/>
    <hyperlink ref="H441" r:id="rId1538" display="https://docs.google.com/spreadsheets/d/1NxbUGqUHQ99sffyHI8XTxeIxOj9bdrNj1pszEIN-h4M" xr:uid="{00000000-0004-0000-0400-000001060000}"/>
    <hyperlink ref="I441" r:id="rId1539" display="https://docs.google.com/open?id=1NxbUGqUHQ99sffyHI8XTxeIxOj9bdrNj1pszEIN-h4M" xr:uid="{00000000-0004-0000-0400-000002060000}"/>
    <hyperlink ref="D442" r:id="rId1540" display="https://docs.google.com/spreadsheets/d/1BjyddFfxjN8ROUiwiMYWElu0fvqK_3TBhZOMHkgSzxg/edit?usp=share_link" xr:uid="{00000000-0004-0000-0400-000003060000}"/>
    <hyperlink ref="E442" r:id="rId1541" display="https://docs.google.com/spreadsheets/d/1BjyddFfxjN8ROUiwiMYWElu0fvqK_3TBhZOMHkgSzxg/edit?usp=share_link" xr:uid="{00000000-0004-0000-0400-000004060000}"/>
    <hyperlink ref="H442" r:id="rId1542" display="https://docs.google.com/spreadsheets/d/1BjyddFfxjN8ROUiwiMYWElu0fvqK_3TBhZOMHkgSzxg/edit?usp=share_link" xr:uid="{00000000-0004-0000-0400-000005060000}"/>
    <hyperlink ref="I442" r:id="rId1543" display="https://docs.google.com/spreadsheets/d/1BjyddFfxjN8ROUiwiMYWElu0fvqK_3TBhZOMHkgSzxg/edit?usp=share_link" xr:uid="{00000000-0004-0000-0400-000006060000}"/>
    <hyperlink ref="D443" r:id="rId1544" display="https://drive.google.com/open?id=1BT3Cr_bOgCcUIpFKA8cfAA6l2-W-iDo-74bMGE3VfTI&amp;usp=drive_copy" xr:uid="{00000000-0004-0000-0400-000007060000}"/>
    <hyperlink ref="E443" r:id="rId1545" display="https://drive.google.com/open?id=1BT3Cr_bOgCcUIpFKA8cfAA6l2-W-iDo-74bMGE3VfTI" xr:uid="{00000000-0004-0000-0400-000008060000}"/>
    <hyperlink ref="H443" r:id="rId1546" display="https://docs.google.com/spreadsheets/d/1BT3Cr_bOgCcUIpFKA8cfAA6l2-W-iDo-74bMGE3VfTI" xr:uid="{00000000-0004-0000-0400-000009060000}"/>
    <hyperlink ref="I443" r:id="rId1547" display="https://docs.google.com/open?id=1BT3Cr_bOgCcUIpFKA8cfAA6l2-W-iDo-74bMGE3VfTI" xr:uid="{00000000-0004-0000-0400-00000A060000}"/>
    <hyperlink ref="D444" r:id="rId1548" display="https://drive.google.com/open?id=1EKKoijwi3vW4zyUrz7QL__fUmeTC4Sr48ZlKm7whbEs&amp;usp=drive_copy" xr:uid="{00000000-0004-0000-0400-00000B060000}"/>
    <hyperlink ref="E444" r:id="rId1549" display="https://drive.google.com/open?id=1EKKoijwi3vW4zyUrz7QL__fUmeTC4Sr48ZlKm7whbEs" xr:uid="{00000000-0004-0000-0400-00000C060000}"/>
    <hyperlink ref="H444" r:id="rId1550" display="https://docs.google.com/spreadsheets/d/1EKKoijwi3vW4zyUrz7QL__fUmeTC4Sr48ZlKm7whbEs" xr:uid="{00000000-0004-0000-0400-00000D060000}"/>
    <hyperlink ref="I444" r:id="rId1551" display="https://docs.google.com/open?id=1EKKoijwi3vW4zyUrz7QL__fUmeTC4Sr48ZlKm7whbEs" xr:uid="{00000000-0004-0000-0400-00000E060000}"/>
    <hyperlink ref="D445" r:id="rId1552" display="https://drive.google.com/open?id=1NBY0ZrUrZ0MdRN3p9Q17R9pb47g5c1fISG7knOlCmEE&amp;usp=drive_copy" xr:uid="{00000000-0004-0000-0400-00000F060000}"/>
    <hyperlink ref="E445" r:id="rId1553" display="https://drive.google.com/open?id=1NBY0ZrUrZ0MdRN3p9Q17R9pb47g5c1fISG7knOlCmEE" xr:uid="{00000000-0004-0000-0400-000010060000}"/>
    <hyperlink ref="H445" r:id="rId1554" display="https://docs.google.com/spreadsheets/d/1NBY0ZrUrZ0MdRN3p9Q17R9pb47g5c1fISG7knOlCmEE" xr:uid="{00000000-0004-0000-0400-000011060000}"/>
    <hyperlink ref="I445" r:id="rId1555" display="https://docs.google.com/open?id=1NBY0ZrUrZ0MdRN3p9Q17R9pb47g5c1fISG7knOlCmEE" xr:uid="{00000000-0004-0000-0400-000012060000}"/>
    <hyperlink ref="D446" r:id="rId1556" display="https://drive.google.com/open?id=1hQI2FxHX0goMdg176Rs4Cpm0kQynLiAuwnCuwoGSY9s&amp;usp=drive_copy" xr:uid="{00000000-0004-0000-0400-000013060000}"/>
    <hyperlink ref="E446" r:id="rId1557" display="https://drive.google.com/open?id=1hQI2FxHX0goMdg176Rs4Cpm0kQynLiAuwnCuwoGSY9s" xr:uid="{00000000-0004-0000-0400-000014060000}"/>
    <hyperlink ref="H446" r:id="rId1558" display="https://docs.google.com/spreadsheets/d/1hQI2FxHX0goMdg176Rs4Cpm0kQynLiAuwnCuwoGSY9s" xr:uid="{00000000-0004-0000-0400-000015060000}"/>
    <hyperlink ref="I446" r:id="rId1559" display="https://docs.google.com/open?id=1hQI2FxHX0goMdg176Rs4Cpm0kQynLiAuwnCuwoGSY9s" xr:uid="{00000000-0004-0000-0400-000016060000}"/>
    <hyperlink ref="D447" r:id="rId1560" display="https://drive.google.com/open?id=1lgnXlgMkjjvSwG3rWgPLOQf-vw9nTsUWYbLbN0aE23Y&amp;usp=drive_copy" xr:uid="{00000000-0004-0000-0400-000017060000}"/>
    <hyperlink ref="E447" r:id="rId1561" display="https://drive.google.com/open?id=1lgnXlgMkjjvSwG3rWgPLOQf-vw9nTsUWYbLbN0aE23Y" xr:uid="{00000000-0004-0000-0400-000018060000}"/>
    <hyperlink ref="H447" r:id="rId1562" display="https://docs.google.com/spreadsheets/d/1lgnXlgMkjjvSwG3rWgPLOQf-vw9nTsUWYbLbN0aE23Y" xr:uid="{00000000-0004-0000-0400-000019060000}"/>
    <hyperlink ref="I447" r:id="rId1563" display="https://docs.google.com/open?id=1lgnXlgMkjjvSwG3rWgPLOQf-vw9nTsUWYbLbN0aE23Y" xr:uid="{00000000-0004-0000-0400-00001A060000}"/>
    <hyperlink ref="D448" r:id="rId1564" display="https://drive.google.com/open?id=1vbIpNLIrtsRBXqGoKiTY2MwTpkrvJpMfY-4jcOc-87Q&amp;usp=drive_copy" xr:uid="{00000000-0004-0000-0400-00001B060000}"/>
    <hyperlink ref="E448" r:id="rId1565" display="https://drive.google.com/open?id=1vbIpNLIrtsRBXqGoKiTY2MwTpkrvJpMfY-4jcOc-87Q" xr:uid="{00000000-0004-0000-0400-00001C060000}"/>
    <hyperlink ref="H448" r:id="rId1566" display="https://docs.google.com/spreadsheets/d/1vbIpNLIrtsRBXqGoKiTY2MwTpkrvJpMfY-4jcOc-87Q" xr:uid="{00000000-0004-0000-0400-00001D060000}"/>
    <hyperlink ref="I448" r:id="rId1567" display="https://docs.google.com/open?id=1vbIpNLIrtsRBXqGoKiTY2MwTpkrvJpMfY-4jcOc-87Q" xr:uid="{00000000-0004-0000-0400-00001E060000}"/>
    <hyperlink ref="D449" r:id="rId1568" display="https://drive.google.com/open?id=1yBs1KJvR8yku7URbo6W8Er7IUlsdgx9l5z5Z2FxLw_g&amp;usp=drive_copy" xr:uid="{00000000-0004-0000-0400-00001F060000}"/>
    <hyperlink ref="E449" r:id="rId1569" display="https://drive.google.com/open?id=1yBs1KJvR8yku7URbo6W8Er7IUlsdgx9l5z5Z2FxLw_g" xr:uid="{00000000-0004-0000-0400-000020060000}"/>
    <hyperlink ref="H449" r:id="rId1570" display="https://docs.google.com/spreadsheets/d/1yBs1KJvR8yku7URbo6W8Er7IUlsdgx9l5z5Z2FxLw_g" xr:uid="{00000000-0004-0000-0400-000021060000}"/>
    <hyperlink ref="I449" r:id="rId1571" display="https://docs.google.com/open?id=1yBs1KJvR8yku7URbo6W8Er7IUlsdgx9l5z5Z2FxLw_g" xr:uid="{00000000-0004-0000-0400-000022060000}"/>
    <hyperlink ref="D450" r:id="rId1572" display="https://drive.google.com/open?id=1yhh5SIiKlDKerXM1zWFx3u6bfsWibIKjK8yjZy5wBwI&amp;usp=drive_copy" xr:uid="{00000000-0004-0000-0400-000023060000}"/>
    <hyperlink ref="E450" r:id="rId1573" display="https://drive.google.com/open?id=1yhh5SIiKlDKerXM1zWFx3u6bfsWibIKjK8yjZy5wBwI" xr:uid="{00000000-0004-0000-0400-000024060000}"/>
    <hyperlink ref="H450" r:id="rId1574" display="https://docs.google.com/spreadsheets/d/1yhh5SIiKlDKerXM1zWFx3u6bfsWibIKjK8yjZy5wBwI" xr:uid="{00000000-0004-0000-0400-000025060000}"/>
    <hyperlink ref="I450" r:id="rId1575" display="https://docs.google.com/open?id=1yhh5SIiKlDKerXM1zWFx3u6bfsWibIKjK8yjZy5wBwI" xr:uid="{00000000-0004-0000-0400-000026060000}"/>
    <hyperlink ref="D451" r:id="rId1576" display="https://drive.google.com/open?id=1hdCeSha3PO3CZXUT5xSz1jdSDWQ3dPF5K74W5fUu0tA&amp;usp=drive_copy" xr:uid="{00000000-0004-0000-0400-000027060000}"/>
    <hyperlink ref="E451" r:id="rId1577" display="https://drive.google.com/open?id=1hdCeSha3PO3CZXUT5xSz1jdSDWQ3dPF5K74W5fUu0tA" xr:uid="{00000000-0004-0000-0400-000028060000}"/>
    <hyperlink ref="H451" r:id="rId1578" display="https://docs.google.com/spreadsheets/d/1hdCeSha3PO3CZXUT5xSz1jdSDWQ3dPF5K74W5fUu0tA" xr:uid="{00000000-0004-0000-0400-000029060000}"/>
    <hyperlink ref="I451" r:id="rId1579" display="https://docs.google.com/open?id=1hdCeSha3PO3CZXUT5xSz1jdSDWQ3dPF5K74W5fUu0tA" xr:uid="{00000000-0004-0000-0400-00002A060000}"/>
    <hyperlink ref="D452" r:id="rId1580" display="https://drive.google.com/open?id=10G9V0VEZprBs9Zf5LMvm7Gxcax3NI9VT_i5PbXq34wU&amp;usp=drive_copy" xr:uid="{00000000-0004-0000-0400-00002B060000}"/>
    <hyperlink ref="E452" r:id="rId1581" display="https://drive.google.com/open?id=10G9V0VEZprBs9Zf5LMvm7Gxcax3NI9VT_i5PbXq34wU" xr:uid="{00000000-0004-0000-0400-00002C060000}"/>
    <hyperlink ref="H452" r:id="rId1582" display="https://docs.google.com/spreadsheets/d/10G9V0VEZprBs9Zf5LMvm7Gxcax3NI9VT_i5PbXq34wU" xr:uid="{00000000-0004-0000-0400-00002D060000}"/>
    <hyperlink ref="I452" r:id="rId1583" display="https://docs.google.com/open?id=10G9V0VEZprBs9Zf5LMvm7Gxcax3NI9VT_i5PbXq34wU" xr:uid="{00000000-0004-0000-0400-00002E060000}"/>
    <hyperlink ref="D453" r:id="rId1584" display="https://drive.google.com/open?id=18wpsudP0sN6jREFfFPZ0UvvA4jm37aLeSzFUM9KcRMo&amp;usp=drive_copy" xr:uid="{00000000-0004-0000-0400-00002F060000}"/>
    <hyperlink ref="E453" r:id="rId1585" display="https://drive.google.com/open?id=18wpsudP0sN6jREFfFPZ0UvvA4jm37aLeSzFUM9KcRMo" xr:uid="{00000000-0004-0000-0400-000030060000}"/>
    <hyperlink ref="H453" r:id="rId1586" display="https://docs.google.com/spreadsheets/d/18wpsudP0sN6jREFfFPZ0UvvA4jm37aLeSzFUM9KcRMo" xr:uid="{00000000-0004-0000-0400-000031060000}"/>
    <hyperlink ref="I453" r:id="rId1587" display="https://docs.google.com/open?id=18wpsudP0sN6jREFfFPZ0UvvA4jm37aLeSzFUM9KcRMo" xr:uid="{00000000-0004-0000-0400-000032060000}"/>
    <hyperlink ref="D454" r:id="rId1588" display="https://drive.google.com/open?id=19vVI5odV63jHeaePT5HXI1chuVaH2t1gY7FP0jymLw4&amp;usp=drive_copy" xr:uid="{00000000-0004-0000-0400-000033060000}"/>
    <hyperlink ref="E454" r:id="rId1589" display="https://drive.google.com/open?id=19vVI5odV63jHeaePT5HXI1chuVaH2t1gY7FP0jymLw4" xr:uid="{00000000-0004-0000-0400-000034060000}"/>
    <hyperlink ref="H454" r:id="rId1590" display="https://docs.google.com/spreadsheets/d/19vVI5odV63jHeaePT5HXI1chuVaH2t1gY7FP0jymLw4" xr:uid="{00000000-0004-0000-0400-000035060000}"/>
    <hyperlink ref="I454" r:id="rId1591" display="https://docs.google.com/open?id=19vVI5odV63jHeaePT5HXI1chuVaH2t1gY7FP0jymLw4" xr:uid="{00000000-0004-0000-0400-000036060000}"/>
    <hyperlink ref="D455" r:id="rId1592" display="https://drive.google.com/open?id=1P-SnFiPbUmTrneBVUziQqOrKU8u-uvlp-9-M5KtblnY&amp;usp=drive_copy" xr:uid="{00000000-0004-0000-0400-000037060000}"/>
    <hyperlink ref="E455" r:id="rId1593" display="https://drive.google.com/open?id=1P-SnFiPbUmTrneBVUziQqOrKU8u-uvlp-9-M5KtblnY" xr:uid="{00000000-0004-0000-0400-000038060000}"/>
    <hyperlink ref="H455" r:id="rId1594" display="https://docs.google.com/spreadsheets/d/1P-SnFiPbUmTrneBVUziQqOrKU8u-uvlp-9-M5KtblnY" xr:uid="{00000000-0004-0000-0400-000039060000}"/>
    <hyperlink ref="I455" r:id="rId1595" display="https://docs.google.com/open?id=1P-SnFiPbUmTrneBVUziQqOrKU8u-uvlp-9-M5KtblnY" xr:uid="{00000000-0004-0000-0400-00003A060000}"/>
    <hyperlink ref="D456" r:id="rId1596" display="https://drive.google.com/open?id=1P_Uq8atya55FYnsbDHIdfixgL_JvDhgnKD9mHAzvdNE&amp;usp=drive_copy" xr:uid="{00000000-0004-0000-0400-00003B060000}"/>
    <hyperlink ref="E456" r:id="rId1597" display="https://drive.google.com/open?id=1P_Uq8atya55FYnsbDHIdfixgL_JvDhgnKD9mHAzvdNE" xr:uid="{00000000-0004-0000-0400-00003C060000}"/>
    <hyperlink ref="H456" r:id="rId1598" display="https://docs.google.com/spreadsheets/d/1P_Uq8atya55FYnsbDHIdfixgL_JvDhgnKD9mHAzvdNE" xr:uid="{00000000-0004-0000-0400-00003D060000}"/>
    <hyperlink ref="I456" r:id="rId1599" display="https://docs.google.com/open?id=1P_Uq8atya55FYnsbDHIdfixgL_JvDhgnKD9mHAzvdNE" xr:uid="{00000000-0004-0000-0400-00003E060000}"/>
    <hyperlink ref="D457" r:id="rId1600" display="https://drive.google.com/open?id=1Quri5opIk3oNuE0qMxg-enBuT2fPJBEJoQHZThQaVGQ&amp;usp=drive_copy" xr:uid="{00000000-0004-0000-0400-00003F060000}"/>
    <hyperlink ref="E457" r:id="rId1601" display="https://drive.google.com/open?id=1Quri5opIk3oNuE0qMxg-enBuT2fPJBEJoQHZThQaVGQ" xr:uid="{00000000-0004-0000-0400-000040060000}"/>
    <hyperlink ref="H457" r:id="rId1602" display="https://docs.google.com/spreadsheets/d/1Quri5opIk3oNuE0qMxg-enBuT2fPJBEJoQHZThQaVGQ" xr:uid="{00000000-0004-0000-0400-000041060000}"/>
    <hyperlink ref="I457" r:id="rId1603" display="https://docs.google.com/open?id=1Quri5opIk3oNuE0qMxg-enBuT2fPJBEJoQHZThQaVGQ" xr:uid="{00000000-0004-0000-0400-000042060000}"/>
    <hyperlink ref="D458" r:id="rId1604" display="https://drive.google.com/open?id=1ZxFfWGdhDcRY8GbsOm_dVlKVChEi0cduqg1zesDWfpY&amp;usp=drive_copy" xr:uid="{00000000-0004-0000-0400-000043060000}"/>
    <hyperlink ref="E458" r:id="rId1605" display="https://drive.google.com/open?id=1ZxFfWGdhDcRY8GbsOm_dVlKVChEi0cduqg1zesDWfpY" xr:uid="{00000000-0004-0000-0400-000044060000}"/>
    <hyperlink ref="H458" r:id="rId1606" display="https://docs.google.com/spreadsheets/d/1ZxFfWGdhDcRY8GbsOm_dVlKVChEi0cduqg1zesDWfpY" xr:uid="{00000000-0004-0000-0400-000045060000}"/>
    <hyperlink ref="I458" r:id="rId1607" display="https://docs.google.com/open?id=1ZxFfWGdhDcRY8GbsOm_dVlKVChEi0cduqg1zesDWfpY" xr:uid="{00000000-0004-0000-0400-000046060000}"/>
    <hyperlink ref="D459" r:id="rId1608" display="https://drive.google.com/open?id=1aD6_JGEkVhdmoMpdF2lFkFtTC-iSiRta5fudcOvvcc4&amp;usp=drive_copy" xr:uid="{00000000-0004-0000-0400-000047060000}"/>
    <hyperlink ref="E459" r:id="rId1609" display="https://drive.google.com/open?id=1aD6_JGEkVhdmoMpdF2lFkFtTC-iSiRta5fudcOvvcc4" xr:uid="{00000000-0004-0000-0400-000048060000}"/>
    <hyperlink ref="H459" r:id="rId1610" display="https://docs.google.com/spreadsheets/d/1aD6_JGEkVhdmoMpdF2lFkFtTC-iSiRta5fudcOvvcc4" xr:uid="{00000000-0004-0000-0400-000049060000}"/>
    <hyperlink ref="I459" r:id="rId1611" display="https://docs.google.com/open?id=1aD6_JGEkVhdmoMpdF2lFkFtTC-iSiRta5fudcOvvcc4" xr:uid="{00000000-0004-0000-0400-00004A060000}"/>
    <hyperlink ref="D460" r:id="rId1612" display="https://drive.google.com/open?id=1hOkzqveopZKmXwhuw5dIbaF0tXxatRAlQ7MbuFCOcf8&amp;usp=drive_copy" xr:uid="{00000000-0004-0000-0400-00004B060000}"/>
    <hyperlink ref="E460" r:id="rId1613" display="https://drive.google.com/open?id=1hOkzqveopZKmXwhuw5dIbaF0tXxatRAlQ7MbuFCOcf8" xr:uid="{00000000-0004-0000-0400-00004C060000}"/>
    <hyperlink ref="H460" r:id="rId1614" display="https://docs.google.com/spreadsheets/d/1hOkzqveopZKmXwhuw5dIbaF0tXxatRAlQ7MbuFCOcf8" xr:uid="{00000000-0004-0000-0400-00004D060000}"/>
    <hyperlink ref="I460" r:id="rId1615" display="https://docs.google.com/open?id=1hOkzqveopZKmXwhuw5dIbaF0tXxatRAlQ7MbuFCOcf8" xr:uid="{00000000-0004-0000-0400-00004E060000}"/>
    <hyperlink ref="D461" r:id="rId1616" display="https://drive.google.com/open?id=1pAkRuvbyP7S49qfQYEnl6qBu_nFSTfzQ_s18PxCYCkI&amp;usp=drive_copy" xr:uid="{00000000-0004-0000-0400-00004F060000}"/>
    <hyperlink ref="E461" r:id="rId1617" display="https://drive.google.com/open?id=1pAkRuvbyP7S49qfQYEnl6qBu_nFSTfzQ_s18PxCYCkI" xr:uid="{00000000-0004-0000-0400-000050060000}"/>
    <hyperlink ref="H461" r:id="rId1618" display="https://docs.google.com/spreadsheets/d/1pAkRuvbyP7S49qfQYEnl6qBu_nFSTfzQ_s18PxCYCkI" xr:uid="{00000000-0004-0000-0400-000051060000}"/>
    <hyperlink ref="I461" r:id="rId1619" display="https://docs.google.com/open?id=1pAkRuvbyP7S49qfQYEnl6qBu_nFSTfzQ_s18PxCYCkI" xr:uid="{00000000-0004-0000-0400-000052060000}"/>
    <hyperlink ref="D462" r:id="rId1620" display="https://drive.google.com/open?id=1AmKlJCKlDYJv3JiCFuqGgTQzhBtrQMnBYY964lmsTYw&amp;usp=drive_copy" xr:uid="{00000000-0004-0000-0400-000053060000}"/>
    <hyperlink ref="E462" r:id="rId1621" display="https://drive.google.com/open?id=1AmKlJCKlDYJv3JiCFuqGgTQzhBtrQMnBYY964lmsTYw" xr:uid="{00000000-0004-0000-0400-000054060000}"/>
    <hyperlink ref="H462" r:id="rId1622" display="https://docs.google.com/spreadsheets/d/1AmKlJCKlDYJv3JiCFuqGgTQzhBtrQMnBYY964lmsTYw" xr:uid="{00000000-0004-0000-0400-000055060000}"/>
    <hyperlink ref="I462" r:id="rId1623" display="https://docs.google.com/open?id=1AmKlJCKlDYJv3JiCFuqGgTQzhBtrQMnBYY964lmsTYw" xr:uid="{00000000-0004-0000-0400-000056060000}"/>
    <hyperlink ref="D463" r:id="rId1624" display="https://drive.google.com/open?id=1DF6pTjy58c2gOtQ92YudUQxeF-1wog3DOU0cC6z8WDA&amp;usp=drive_copy" xr:uid="{00000000-0004-0000-0400-000057060000}"/>
    <hyperlink ref="E463" r:id="rId1625" display="https://drive.google.com/open?id=1DF6pTjy58c2gOtQ92YudUQxeF-1wog3DOU0cC6z8WDA" xr:uid="{00000000-0004-0000-0400-000058060000}"/>
    <hyperlink ref="H463" r:id="rId1626" display="https://docs.google.com/spreadsheets/d/1DF6pTjy58c2gOtQ92YudUQxeF-1wog3DOU0cC6z8WDA" xr:uid="{00000000-0004-0000-0400-000059060000}"/>
    <hyperlink ref="I463" r:id="rId1627" display="https://docs.google.com/open?id=1DF6pTjy58c2gOtQ92YudUQxeF-1wog3DOU0cC6z8WDA" xr:uid="{00000000-0004-0000-0400-00005A060000}"/>
    <hyperlink ref="D464" r:id="rId1628" display="https://drive.google.com/open?id=1ZKXxF_pUhiTP5zSE49s57MZjvJnEa6fNLXUny7a3gLg&amp;usp=drive_copy" xr:uid="{00000000-0004-0000-0400-00005B060000}"/>
    <hyperlink ref="E464" r:id="rId1629" display="https://drive.google.com/open?id=1ZKXxF_pUhiTP5zSE49s57MZjvJnEa6fNLXUny7a3gLg" xr:uid="{00000000-0004-0000-0400-00005C060000}"/>
    <hyperlink ref="H464" r:id="rId1630" display="https://docs.google.com/spreadsheets/d/1ZKXxF_pUhiTP5zSE49s57MZjvJnEa6fNLXUny7a3gLg" xr:uid="{00000000-0004-0000-0400-00005D060000}"/>
    <hyperlink ref="I464" r:id="rId1631" display="https://docs.google.com/open?id=1ZKXxF_pUhiTP5zSE49s57MZjvJnEa6fNLXUny7a3gLg" xr:uid="{00000000-0004-0000-0400-00005E060000}"/>
    <hyperlink ref="D465" r:id="rId1632" display="https://drive.google.com/open?id=1qDjLQ2-zmIKipmsLWvCvt2a-M6hKKOyBZzsFPfmRvJM&amp;usp=drive_copy" xr:uid="{00000000-0004-0000-0400-00005F060000}"/>
    <hyperlink ref="E465" r:id="rId1633" display="https://drive.google.com/open?id=1qDjLQ2-zmIKipmsLWvCvt2a-M6hKKOyBZzsFPfmRvJM" xr:uid="{00000000-0004-0000-0400-000060060000}"/>
    <hyperlink ref="H465" r:id="rId1634" display="https://docs.google.com/spreadsheets/d/1qDjLQ2-zmIKipmsLWvCvt2a-M6hKKOyBZzsFPfmRvJM" xr:uid="{00000000-0004-0000-0400-000061060000}"/>
    <hyperlink ref="I465" r:id="rId1635" display="https://docs.google.com/open?id=1qDjLQ2-zmIKipmsLWvCvt2a-M6hKKOyBZzsFPfmRvJM" xr:uid="{00000000-0004-0000-0400-000062060000}"/>
    <hyperlink ref="D466" r:id="rId1636" display="https://drive.google.com/open?id=1OKYNgBw1sRj1poxBM34onfhiZ9PZQdw3aYlmjHg2wx4&amp;usp=drive_copy" xr:uid="{00000000-0004-0000-0400-000063060000}"/>
    <hyperlink ref="E466" r:id="rId1637" display="https://drive.google.com/open?id=1OKYNgBw1sRj1poxBM34onfhiZ9PZQdw3aYlmjHg2wx4" xr:uid="{00000000-0004-0000-0400-000064060000}"/>
    <hyperlink ref="H466" r:id="rId1638" display="https://docs.google.com/spreadsheets/d/1OKYNgBw1sRj1poxBM34onfhiZ9PZQdw3aYlmjHg2wx4" xr:uid="{00000000-0004-0000-0400-000065060000}"/>
    <hyperlink ref="I466" r:id="rId1639" display="https://docs.google.com/open?id=1OKYNgBw1sRj1poxBM34onfhiZ9PZQdw3aYlmjHg2wx4" xr:uid="{00000000-0004-0000-0400-000066060000}"/>
    <hyperlink ref="D467" r:id="rId1640" display="https://drive.google.com/open?id=15NnHwZNtdLvNa8kYHxaRq_aLhBMi5k1IUcV6fQmrbuw&amp;usp=drive_copy" xr:uid="{00000000-0004-0000-0400-000067060000}"/>
    <hyperlink ref="E467" r:id="rId1641" display="https://drive.google.com/open?id=15NnHwZNtdLvNa8kYHxaRq_aLhBMi5k1IUcV6fQmrbuw" xr:uid="{00000000-0004-0000-0400-000068060000}"/>
    <hyperlink ref="H467" r:id="rId1642" display="https://docs.google.com/spreadsheets/d/15NnHwZNtdLvNa8kYHxaRq_aLhBMi5k1IUcV6fQmrbuw" xr:uid="{00000000-0004-0000-0400-000069060000}"/>
    <hyperlink ref="I467" r:id="rId1643" display="https://docs.google.com/open?id=15NnHwZNtdLvNa8kYHxaRq_aLhBMi5k1IUcV6fQmrbuw" xr:uid="{00000000-0004-0000-0400-00006A060000}"/>
    <hyperlink ref="D468" r:id="rId1644" display="https://drive.google.com/open?id=1O5OIIO6A9Wl9qW8TUh5VgOVniNYpTvt3KJVJjPaO3IQ&amp;usp=drive_copy" xr:uid="{00000000-0004-0000-0400-00006B060000}"/>
    <hyperlink ref="E468" r:id="rId1645" display="https://drive.google.com/open?id=1O5OIIO6A9Wl9qW8TUh5VgOVniNYpTvt3KJVJjPaO3IQ" xr:uid="{00000000-0004-0000-0400-00006C060000}"/>
    <hyperlink ref="H468" r:id="rId1646" display="https://docs.google.com/spreadsheets/d/1O5OIIO6A9Wl9qW8TUh5VgOVniNYpTvt3KJVJjPaO3IQ" xr:uid="{00000000-0004-0000-0400-00006D060000}"/>
    <hyperlink ref="I468" r:id="rId1647" display="https://docs.google.com/open?id=1O5OIIO6A9Wl9qW8TUh5VgOVniNYpTvt3KJVJjPaO3IQ" xr:uid="{00000000-0004-0000-0400-00006E060000}"/>
    <hyperlink ref="D469" r:id="rId1648" display="https://drive.google.com/open?id=1BKGz4VszRCofibN7fzSW16onHwd1FiEw8lKzXcKUvBU&amp;usp=drive_copy" xr:uid="{00000000-0004-0000-0400-00006F060000}"/>
    <hyperlink ref="E469" r:id="rId1649" display="https://drive.google.com/open?id=1BKGz4VszRCofibN7fzSW16onHwd1FiEw8lKzXcKUvBU" xr:uid="{00000000-0004-0000-0400-000070060000}"/>
    <hyperlink ref="H469" r:id="rId1650" display="https://docs.google.com/spreadsheets/d/1BKGz4VszRCofibN7fzSW16onHwd1FiEw8lKzXcKUvBU" xr:uid="{00000000-0004-0000-0400-000071060000}"/>
    <hyperlink ref="I469" r:id="rId1651" display="https://docs.google.com/open?id=1BKGz4VszRCofibN7fzSW16onHwd1FiEw8lKzXcKUvBU" xr:uid="{00000000-0004-0000-0400-000072060000}"/>
    <hyperlink ref="D470" r:id="rId1652" display="https://drive.google.com/open?id=1lQjB1bQpz-cknjSjwGGmxeegqSwBmLEZjef75RZP5H0&amp;usp=drive_copy" xr:uid="{00000000-0004-0000-0400-000073060000}"/>
    <hyperlink ref="E470" r:id="rId1653" display="https://drive.google.com/open?id=1lQjB1bQpz-cknjSjwGGmxeegqSwBmLEZjef75RZP5H0" xr:uid="{00000000-0004-0000-0400-000074060000}"/>
    <hyperlink ref="H470" r:id="rId1654" display="https://docs.google.com/spreadsheets/d/1lQjB1bQpz-cknjSjwGGmxeegqSwBmLEZjef75RZP5H0" xr:uid="{00000000-0004-0000-0400-000075060000}"/>
    <hyperlink ref="I470" r:id="rId1655" display="https://docs.google.com/open?id=1lQjB1bQpz-cknjSjwGGmxeegqSwBmLEZjef75RZP5H0" xr:uid="{00000000-0004-0000-0400-000076060000}"/>
    <hyperlink ref="D471" r:id="rId1656" display="https://drive.google.com/open?id=1EB30-NWraVTcttYufI_3EUjC2_XjBUnFx8Ycb248MlE&amp;usp=drive_copy" xr:uid="{00000000-0004-0000-0400-000077060000}"/>
    <hyperlink ref="E471" r:id="rId1657" display="https://drive.google.com/open?id=1EB30-NWraVTcttYufI_3EUjC2_XjBUnFx8Ycb248MlE" xr:uid="{00000000-0004-0000-0400-000078060000}"/>
    <hyperlink ref="H471" r:id="rId1658" display="https://docs.google.com/spreadsheets/d/1EB30-NWraVTcttYufI_3EUjC2_XjBUnFx8Ycb248MlE" xr:uid="{00000000-0004-0000-0400-000079060000}"/>
    <hyperlink ref="I471" r:id="rId1659" display="https://docs.google.com/open?id=1EB30-NWraVTcttYufI_3EUjC2_XjBUnFx8Ycb248MlE" xr:uid="{00000000-0004-0000-0400-00007A060000}"/>
    <hyperlink ref="D472" r:id="rId1660" display="https://drive.google.com/open?id=1SvgwqPMmFRn7bd9BUNr0R5HUmumpGdQHHWFRch-vBN0&amp;usp=drive_copy" xr:uid="{00000000-0004-0000-0400-00007B060000}"/>
    <hyperlink ref="E472" r:id="rId1661" display="https://drive.google.com/open?id=1SvgwqPMmFRn7bd9BUNr0R5HUmumpGdQHHWFRch-vBN0" xr:uid="{00000000-0004-0000-0400-00007C060000}"/>
    <hyperlink ref="H472" r:id="rId1662" display="https://docs.google.com/spreadsheets/d/1SvgwqPMmFRn7bd9BUNr0R5HUmumpGdQHHWFRch-vBN0" xr:uid="{00000000-0004-0000-0400-00007D060000}"/>
    <hyperlink ref="I472" r:id="rId1663" display="https://docs.google.com/open?id=1SvgwqPMmFRn7bd9BUNr0R5HUmumpGdQHHWFRch-vBN0" xr:uid="{00000000-0004-0000-0400-00007E060000}"/>
    <hyperlink ref="D473" r:id="rId1664" display="https://drive.google.com/open?id=1jhjuq4k1Sat4zS4c9e0ZJ0n-mHfTg_q_M33uzaEHqPQ&amp;usp=drive_copy" xr:uid="{00000000-0004-0000-0400-00007F060000}"/>
    <hyperlink ref="E473" r:id="rId1665" display="https://drive.google.com/open?id=1jhjuq4k1Sat4zS4c9e0ZJ0n-mHfTg_q_M33uzaEHqPQ" xr:uid="{00000000-0004-0000-0400-000080060000}"/>
    <hyperlink ref="H473" r:id="rId1666" display="https://docs.google.com/spreadsheets/d/1jhjuq4k1Sat4zS4c9e0ZJ0n-mHfTg_q_M33uzaEHqPQ" xr:uid="{00000000-0004-0000-0400-000081060000}"/>
    <hyperlink ref="I473" r:id="rId1667" display="https://docs.google.com/open?id=1jhjuq4k1Sat4zS4c9e0ZJ0n-mHfTg_q_M33uzaEHqPQ" xr:uid="{00000000-0004-0000-0400-000082060000}"/>
    <hyperlink ref="D474" r:id="rId1668" display="https://drive.google.com/open?id=1sE7EY91rg-Qo4QCzZdiSZxPdIAcvdZwllQsfa9An0Ak&amp;usp=drive_copy" xr:uid="{00000000-0004-0000-0400-000083060000}"/>
    <hyperlink ref="E474" r:id="rId1669" display="https://drive.google.com/open?id=1sE7EY91rg-Qo4QCzZdiSZxPdIAcvdZwllQsfa9An0Ak" xr:uid="{00000000-0004-0000-0400-000084060000}"/>
    <hyperlink ref="H474" r:id="rId1670" display="https://docs.google.com/spreadsheets/d/1sE7EY91rg-Qo4QCzZdiSZxPdIAcvdZwllQsfa9An0Ak" xr:uid="{00000000-0004-0000-0400-000085060000}"/>
    <hyperlink ref="I474" r:id="rId1671" display="https://docs.google.com/open?id=1sE7EY91rg-Qo4QCzZdiSZxPdIAcvdZwllQsfa9An0Ak" xr:uid="{00000000-0004-0000-0400-000086060000}"/>
    <hyperlink ref="D475" r:id="rId1672" display="https://drive.google.com/open?id=1textdPLKRNVtJANbhHPgxAt4NsrEeA1Z1tf6lyoCQeg&amp;usp=drive_copy" xr:uid="{00000000-0004-0000-0400-000087060000}"/>
    <hyperlink ref="E475" r:id="rId1673" display="https://drive.google.com/open?id=1textdPLKRNVtJANbhHPgxAt4NsrEeA1Z1tf6lyoCQeg" xr:uid="{00000000-0004-0000-0400-000088060000}"/>
    <hyperlink ref="H475" r:id="rId1674" display="https://docs.google.com/spreadsheets/d/1textdPLKRNVtJANbhHPgxAt4NsrEeA1Z1tf6lyoCQeg" xr:uid="{00000000-0004-0000-0400-000089060000}"/>
    <hyperlink ref="I475" r:id="rId1675" display="https://docs.google.com/open?id=1textdPLKRNVtJANbhHPgxAt4NsrEeA1Z1tf6lyoCQeg" xr:uid="{00000000-0004-0000-0400-00008A060000}"/>
    <hyperlink ref="D476" r:id="rId1676" display="https://drive.google.com/open?id=1xbPBtISoPN6_NSY-RV0ySEF8bvHNKqTyK9jJjp6XIq4&amp;usp=drive_copy" xr:uid="{00000000-0004-0000-0400-00008B060000}"/>
    <hyperlink ref="E476" r:id="rId1677" display="https://drive.google.com/open?id=1xbPBtISoPN6_NSY-RV0ySEF8bvHNKqTyK9jJjp6XIq4" xr:uid="{00000000-0004-0000-0400-00008C060000}"/>
    <hyperlink ref="H476" r:id="rId1678" display="https://docs.google.com/spreadsheets/d/1xbPBtISoPN6_NSY-RV0ySEF8bvHNKqTyK9jJjp6XIq4" xr:uid="{00000000-0004-0000-0400-00008D060000}"/>
    <hyperlink ref="I476" r:id="rId1679" display="https://docs.google.com/open?id=1xbPBtISoPN6_NSY-RV0ySEF8bvHNKqTyK9jJjp6XIq4" xr:uid="{00000000-0004-0000-0400-00008E060000}"/>
    <hyperlink ref="D477" r:id="rId1680" display="https://drive.google.com/open?id=12QyFqHTRjIZOnrLXNr9NmaSp8rnvYFKsPPRe_6Enczs&amp;usp=drive_copy" xr:uid="{00000000-0004-0000-0400-00008F060000}"/>
    <hyperlink ref="E477" r:id="rId1681" display="https://drive.google.com/open?id=12QyFqHTRjIZOnrLXNr9NmaSp8rnvYFKsPPRe_6Enczs" xr:uid="{00000000-0004-0000-0400-000090060000}"/>
    <hyperlink ref="H477" r:id="rId1682" display="https://docs.google.com/spreadsheets/d/12QyFqHTRjIZOnrLXNr9NmaSp8rnvYFKsPPRe_6Enczs" xr:uid="{00000000-0004-0000-0400-000091060000}"/>
    <hyperlink ref="I477" r:id="rId1683" display="https://docs.google.com/open?id=12QyFqHTRjIZOnrLXNr9NmaSp8rnvYFKsPPRe_6Enczs" xr:uid="{00000000-0004-0000-0400-000092060000}"/>
    <hyperlink ref="D478" r:id="rId1684" display="https://drive.google.com/open?id=1ApGxdJkropQH9b8abbEd0uNMhS1VXb_hUEjifOTPkIA&amp;usp=drive_copy" xr:uid="{00000000-0004-0000-0400-000093060000}"/>
    <hyperlink ref="E478" r:id="rId1685" display="https://drive.google.com/open?id=1ApGxdJkropQH9b8abbEd0uNMhS1VXb_hUEjifOTPkIA" xr:uid="{00000000-0004-0000-0400-000094060000}"/>
    <hyperlink ref="H478" r:id="rId1686" display="https://docs.google.com/spreadsheets/d/1ApGxdJkropQH9b8abbEd0uNMhS1VXb_hUEjifOTPkIA" xr:uid="{00000000-0004-0000-0400-000095060000}"/>
    <hyperlink ref="I478" r:id="rId1687" display="https://docs.google.com/open?id=1ApGxdJkropQH9b8abbEd0uNMhS1VXb_hUEjifOTPkIA" xr:uid="{00000000-0004-0000-0400-000096060000}"/>
    <hyperlink ref="D479" r:id="rId1688" display="https://drive.google.com/open?id=1F2PMExuSAdbpUTObtEtPgjRIZ5ZpbRG3gZrgcYiHtEU&amp;usp=drive_copy" xr:uid="{00000000-0004-0000-0400-000097060000}"/>
    <hyperlink ref="E479" r:id="rId1689" display="https://drive.google.com/open?id=1F2PMExuSAdbpUTObtEtPgjRIZ5ZpbRG3gZrgcYiHtEU" xr:uid="{00000000-0004-0000-0400-000098060000}"/>
    <hyperlink ref="H479" r:id="rId1690" display="https://docs.google.com/spreadsheets/d/1F2PMExuSAdbpUTObtEtPgjRIZ5ZpbRG3gZrgcYiHtEU" xr:uid="{00000000-0004-0000-0400-000099060000}"/>
    <hyperlink ref="I479" r:id="rId1691" display="https://docs.google.com/open?id=1F2PMExuSAdbpUTObtEtPgjRIZ5ZpbRG3gZrgcYiHtEU" xr:uid="{00000000-0004-0000-0400-00009A060000}"/>
    <hyperlink ref="D480" r:id="rId1692" display="https://drive.google.com/open?id=1R0L5ciJv2yeK-jlb1a8GLazpOmD8SB8z61Uw26B4EO0&amp;usp=drive_copy" xr:uid="{00000000-0004-0000-0400-00009B060000}"/>
    <hyperlink ref="E480" r:id="rId1693" display="https://drive.google.com/open?id=1R0L5ciJv2yeK-jlb1a8GLazpOmD8SB8z61Uw26B4EO0" xr:uid="{00000000-0004-0000-0400-00009C060000}"/>
    <hyperlink ref="H480" r:id="rId1694" display="https://docs.google.com/spreadsheets/d/1R0L5ciJv2yeK-jlb1a8GLazpOmD8SB8z61Uw26B4EO0" xr:uid="{00000000-0004-0000-0400-00009D060000}"/>
    <hyperlink ref="I480" r:id="rId1695" display="https://docs.google.com/open?id=1R0L5ciJv2yeK-jlb1a8GLazpOmD8SB8z61Uw26B4EO0" xr:uid="{00000000-0004-0000-0400-00009E060000}"/>
    <hyperlink ref="D481" r:id="rId1696" display="https://drive.google.com/open?id=1Tq9Xj7Em9_lW_2lpW-OoRc_MCq1ABdu3T2I984PjUnU&amp;usp=drive_copy" xr:uid="{00000000-0004-0000-0400-00009F060000}"/>
    <hyperlink ref="E481" r:id="rId1697" display="https://drive.google.com/open?id=1Tq9Xj7Em9_lW_2lpW-OoRc_MCq1ABdu3T2I984PjUnU" xr:uid="{00000000-0004-0000-0400-0000A0060000}"/>
    <hyperlink ref="H481" r:id="rId1698" display="https://docs.google.com/spreadsheets/d/1Tq9Xj7Em9_lW_2lpW-OoRc_MCq1ABdu3T2I984PjUnU" xr:uid="{00000000-0004-0000-0400-0000A1060000}"/>
    <hyperlink ref="I481" r:id="rId1699" display="https://docs.google.com/open?id=1Tq9Xj7Em9_lW_2lpW-OoRc_MCq1ABdu3T2I984PjUnU" xr:uid="{00000000-0004-0000-0400-0000A2060000}"/>
    <hyperlink ref="D482" r:id="rId1700" display="https://drive.google.com/open?id=1YuEcudYycIAEz6Kj5tfliBJzbEOJLch9G62k9JrIOh0&amp;usp=drive_copy" xr:uid="{00000000-0004-0000-0400-0000A3060000}"/>
    <hyperlink ref="E482" r:id="rId1701" display="https://drive.google.com/open?id=1YuEcudYycIAEz6Kj5tfliBJzbEOJLch9G62k9JrIOh0" xr:uid="{00000000-0004-0000-0400-0000A4060000}"/>
    <hyperlink ref="H482" r:id="rId1702" display="https://docs.google.com/spreadsheets/d/1YuEcudYycIAEz6Kj5tfliBJzbEOJLch9G62k9JrIOh0" xr:uid="{00000000-0004-0000-0400-0000A5060000}"/>
    <hyperlink ref="I482" r:id="rId1703" display="https://docs.google.com/open?id=1YuEcudYycIAEz6Kj5tfliBJzbEOJLch9G62k9JrIOh0" xr:uid="{00000000-0004-0000-0400-0000A6060000}"/>
    <hyperlink ref="D483" r:id="rId1704" display="https://drive.google.com/open?id=1_NdIlA4_n_OgVCgBdztvn3Euv3Z8u8jQ61ocPZMYtkI&amp;usp=drive_copy" xr:uid="{00000000-0004-0000-0400-0000A7060000}"/>
    <hyperlink ref="E483" r:id="rId1705" display="https://drive.google.com/open?id=1_NdIlA4_n_OgVCgBdztvn3Euv3Z8u8jQ61ocPZMYtkI" xr:uid="{00000000-0004-0000-0400-0000A8060000}"/>
    <hyperlink ref="H483" r:id="rId1706" display="https://docs.google.com/spreadsheets/d/1_NdIlA4_n_OgVCgBdztvn3Euv3Z8u8jQ61ocPZMYtkI" xr:uid="{00000000-0004-0000-0400-0000A9060000}"/>
    <hyperlink ref="I483" r:id="rId1707" display="https://docs.google.com/open?id=1_NdIlA4_n_OgVCgBdztvn3Euv3Z8u8jQ61ocPZMYtkI" xr:uid="{00000000-0004-0000-0400-0000AA060000}"/>
    <hyperlink ref="D484" r:id="rId1708" display="https://drive.google.com/open?id=1aj0nnqQJ8kdvSNyQQZ6Mx1y7gRbQZ64taRxAvkpPcnk&amp;usp=drive_copy" xr:uid="{00000000-0004-0000-0400-0000AB060000}"/>
    <hyperlink ref="E484" r:id="rId1709" display="https://drive.google.com/open?id=1aj0nnqQJ8kdvSNyQQZ6Mx1y7gRbQZ64taRxAvkpPcnk" xr:uid="{00000000-0004-0000-0400-0000AC060000}"/>
    <hyperlink ref="H484" r:id="rId1710" display="https://docs.google.com/spreadsheets/d/1aj0nnqQJ8kdvSNyQQZ6Mx1y7gRbQZ64taRxAvkpPcnk" xr:uid="{00000000-0004-0000-0400-0000AD060000}"/>
    <hyperlink ref="I484" r:id="rId1711" display="https://docs.google.com/open?id=1aj0nnqQJ8kdvSNyQQZ6Mx1y7gRbQZ64taRxAvkpPcnk" xr:uid="{00000000-0004-0000-0400-0000AE060000}"/>
    <hyperlink ref="D485" r:id="rId1712" display="https://drive.google.com/open?id=1fdwJYovOBm4GBatw7NoRxwhxeZgIgsktpsUFfDiQgdM&amp;usp=drive_copy" xr:uid="{00000000-0004-0000-0400-0000AF060000}"/>
    <hyperlink ref="E485" r:id="rId1713" display="https://drive.google.com/open?id=1fdwJYovOBm4GBatw7NoRxwhxeZgIgsktpsUFfDiQgdM" xr:uid="{00000000-0004-0000-0400-0000B0060000}"/>
    <hyperlink ref="H485" r:id="rId1714" display="https://docs.google.com/spreadsheets/d/1fdwJYovOBm4GBatw7NoRxwhxeZgIgsktpsUFfDiQgdM" xr:uid="{00000000-0004-0000-0400-0000B1060000}"/>
    <hyperlink ref="I485" r:id="rId1715" display="https://docs.google.com/open?id=1fdwJYovOBm4GBatw7NoRxwhxeZgIgsktpsUFfDiQgdM" xr:uid="{00000000-0004-0000-0400-0000B2060000}"/>
    <hyperlink ref="D486" r:id="rId1716" display="https://drive.google.com/open?id=1jrewA50US-kcfwsHtGixg5WmlbNYmireP83_lqHx9qo&amp;usp=drive_copy" xr:uid="{00000000-0004-0000-0400-0000B3060000}"/>
    <hyperlink ref="E486" r:id="rId1717" display="https://drive.google.com/open?id=1jrewA50US-kcfwsHtGixg5WmlbNYmireP83_lqHx9qo" xr:uid="{00000000-0004-0000-0400-0000B4060000}"/>
    <hyperlink ref="H486" r:id="rId1718" display="https://docs.google.com/spreadsheets/d/1jrewA50US-kcfwsHtGixg5WmlbNYmireP83_lqHx9qo" xr:uid="{00000000-0004-0000-0400-0000B5060000}"/>
    <hyperlink ref="I486" r:id="rId1719" display="https://docs.google.com/open?id=1jrewA50US-kcfwsHtGixg5WmlbNYmireP83_lqHx9qo" xr:uid="{00000000-0004-0000-0400-0000B6060000}"/>
    <hyperlink ref="D487" r:id="rId1720" display="https://drive.google.com/open?id=1pv-oJn3kZ3J7LZWaKax10z-FmgwlT1FIZRjn_cFtR1Y&amp;usp=drive_copy" xr:uid="{00000000-0004-0000-0400-0000B7060000}"/>
    <hyperlink ref="E487" r:id="rId1721" display="https://drive.google.com/open?id=1pv-oJn3kZ3J7LZWaKax10z-FmgwlT1FIZRjn_cFtR1Y" xr:uid="{00000000-0004-0000-0400-0000B8060000}"/>
    <hyperlink ref="H487" r:id="rId1722" display="https://docs.google.com/spreadsheets/d/1pv-oJn3kZ3J7LZWaKax10z-FmgwlT1FIZRjn_cFtR1Y" xr:uid="{00000000-0004-0000-0400-0000B9060000}"/>
    <hyperlink ref="I487" r:id="rId1723" display="https://docs.google.com/open?id=1pv-oJn3kZ3J7LZWaKax10z-FmgwlT1FIZRjn_cFtR1Y" xr:uid="{00000000-0004-0000-0400-0000BA060000}"/>
    <hyperlink ref="D488" r:id="rId1724" display="https://drive.google.com/open?id=11hH8ceQtzckvAhiPdC8A-_H9yjPAUzN47SxqyxbIpQA&amp;usp=drive_copy" xr:uid="{00000000-0004-0000-0400-0000BB060000}"/>
    <hyperlink ref="E488" r:id="rId1725" display="https://drive.google.com/open?id=11hH8ceQtzckvAhiPdC8A-_H9yjPAUzN47SxqyxbIpQA" xr:uid="{00000000-0004-0000-0400-0000BC060000}"/>
    <hyperlink ref="H488" r:id="rId1726" display="https://docs.google.com/spreadsheets/d/11hH8ceQtzckvAhiPdC8A-_H9yjPAUzN47SxqyxbIpQA" xr:uid="{00000000-0004-0000-0400-0000BD060000}"/>
    <hyperlink ref="I488" r:id="rId1727" display="https://docs.google.com/open?id=11hH8ceQtzckvAhiPdC8A-_H9yjPAUzN47SxqyxbIpQA" xr:uid="{00000000-0004-0000-0400-0000BE060000}"/>
    <hyperlink ref="D489" r:id="rId1728" display="https://drive.google.com/open?id=1GXJycXRAsniebh4p2JAgv_fjiRPhZrrR90Ejy2Gi7wA&amp;usp=drive_copy" xr:uid="{00000000-0004-0000-0400-0000BF060000}"/>
    <hyperlink ref="E489" r:id="rId1729" display="https://drive.google.com/open?id=1GXJycXRAsniebh4p2JAgv_fjiRPhZrrR90Ejy2Gi7wA" xr:uid="{00000000-0004-0000-0400-0000C0060000}"/>
    <hyperlink ref="H489" r:id="rId1730" display="https://docs.google.com/spreadsheets/d/1GXJycXRAsniebh4p2JAgv_fjiRPhZrrR90Ejy2Gi7wA" xr:uid="{00000000-0004-0000-0400-0000C1060000}"/>
    <hyperlink ref="I489" r:id="rId1731" display="https://docs.google.com/open?id=1GXJycXRAsniebh4p2JAgv_fjiRPhZrrR90Ejy2Gi7wA" xr:uid="{00000000-0004-0000-0400-0000C2060000}"/>
    <hyperlink ref="D490" r:id="rId1732" display="https://drive.google.com/open?id=1U_kPG4zCJtc6l-UJpJgBpPUPqFitSrp-l4jVTEIaJ24&amp;usp=drive_copy" xr:uid="{00000000-0004-0000-0400-0000C3060000}"/>
    <hyperlink ref="E490" r:id="rId1733" display="https://drive.google.com/open?id=1U_kPG4zCJtc6l-UJpJgBpPUPqFitSrp-l4jVTEIaJ24" xr:uid="{00000000-0004-0000-0400-0000C4060000}"/>
    <hyperlink ref="H490" r:id="rId1734" display="https://docs.google.com/spreadsheets/d/1U_kPG4zCJtc6l-UJpJgBpPUPqFitSrp-l4jVTEIaJ24" xr:uid="{00000000-0004-0000-0400-0000C5060000}"/>
    <hyperlink ref="I490" r:id="rId1735" display="https://docs.google.com/open?id=1U_kPG4zCJtc6l-UJpJgBpPUPqFitSrp-l4jVTEIaJ24" xr:uid="{00000000-0004-0000-0400-0000C6060000}"/>
    <hyperlink ref="D492" r:id="rId1736" display="https://docs.google.com/spreadsheets/d/1jLNf8Z_ggCDVtKRBWe0mr7gre3LCLqYYq10_rjFIYRA/edit?usp=sharing" xr:uid="{00000000-0004-0000-0400-0000C7060000}"/>
    <hyperlink ref="E492" r:id="rId1737" display="https://docs.google.com/spreadsheets/d/1jLNf8Z_ggCDVtKRBWe0mr7gre3LCLqYYq10_rjFIYRA/edit?usp=sharing" xr:uid="{00000000-0004-0000-0400-0000C8060000}"/>
    <hyperlink ref="H492" r:id="rId1738" display="https://docs.google.com/spreadsheets/d/1jLNf8Z_ggCDVtKRBWe0mr7gre3LCLqYYq10_rjFIYRA/edit?usp=sharing" xr:uid="{00000000-0004-0000-0400-0000C9060000}"/>
    <hyperlink ref="I492" r:id="rId1739" display="https://docs.google.com/spreadsheets/d/1jLNf8Z_ggCDVtKRBWe0mr7gre3LCLqYYq10_rjFIYRA/edit?usp=sharing" xr:uid="{00000000-0004-0000-0400-0000CA060000}"/>
    <hyperlink ref="D495" r:id="rId1740" display="https://drive.google.com/open?id=1IvGLXJoz7d75gHCbZLlH5wx6DhZu_UQO1BSisDEZXII&amp;usp=drive_copy" xr:uid="{00000000-0004-0000-0400-0000CB060000}"/>
    <hyperlink ref="E495" r:id="rId1741" display="https://drive.google.com/open?id=1IvGLXJoz7d75gHCbZLlH5wx6DhZu_UQO1BSisDEZXII" xr:uid="{00000000-0004-0000-0400-0000CC060000}"/>
    <hyperlink ref="H495" r:id="rId1742" display="https://docs.google.com/spreadsheets/d/1IvGLXJoz7d75gHCbZLlH5wx6DhZu_UQO1BSisDEZXII" xr:uid="{00000000-0004-0000-0400-0000CD060000}"/>
    <hyperlink ref="I495" r:id="rId1743" display="https://docs.google.com/open?id=1IvGLXJoz7d75gHCbZLlH5wx6DhZu_UQO1BSisDEZXII" xr:uid="{00000000-0004-0000-0400-0000CE060000}"/>
    <hyperlink ref="D496" r:id="rId1744" display="https://drive.google.com/open?id=1bX4_htlOqKWKCW9xNvrHrxZSt6oE7Q1X-y9KDW4k49c&amp;usp=drive_copy" xr:uid="{00000000-0004-0000-0400-0000CF060000}"/>
    <hyperlink ref="E496" r:id="rId1745" display="https://drive.google.com/open?id=1bX4_htlOqKWKCW9xNvrHrxZSt6oE7Q1X-y9KDW4k49c" xr:uid="{00000000-0004-0000-0400-0000D0060000}"/>
    <hyperlink ref="H496" r:id="rId1746" display="https://docs.google.com/spreadsheets/d/1bX4_htlOqKWKCW9xNvrHrxZSt6oE7Q1X-y9KDW4k49c" xr:uid="{00000000-0004-0000-0400-0000D1060000}"/>
    <hyperlink ref="I496" r:id="rId1747" display="https://docs.google.com/open?id=1bX4_htlOqKWKCW9xNvrHrxZSt6oE7Q1X-y9KDW4k49c" xr:uid="{00000000-0004-0000-0400-0000D2060000}"/>
    <hyperlink ref="D497" r:id="rId1748" display="https://drive.google.com/open?id=1iQSjjeoJohWWzyXysRFJ8BNRzz1HhY8KY0Eh-5wBr1Y&amp;usp=drive_copy" xr:uid="{00000000-0004-0000-0400-0000D3060000}"/>
    <hyperlink ref="E497" r:id="rId1749" display="https://drive.google.com/open?id=1iQSjjeoJohWWzyXysRFJ8BNRzz1HhY8KY0Eh-5wBr1Y" xr:uid="{00000000-0004-0000-0400-0000D4060000}"/>
    <hyperlink ref="H497" r:id="rId1750" display="https://docs.google.com/spreadsheets/d/1iQSjjeoJohWWzyXysRFJ8BNRzz1HhY8KY0Eh-5wBr1Y" xr:uid="{00000000-0004-0000-0400-0000D5060000}"/>
    <hyperlink ref="I497" r:id="rId1751" display="https://docs.google.com/open?id=1iQSjjeoJohWWzyXysRFJ8BNRzz1HhY8KY0Eh-5wBr1Y" xr:uid="{00000000-0004-0000-0400-0000D6060000}"/>
    <hyperlink ref="D498" r:id="rId1752" display="https://drive.google.com/open?id=1KyEd3_sAVEYlbG-CIYysI3kHDN81hVIDDGJ993q-O0w&amp;usp=drive_copy" xr:uid="{00000000-0004-0000-0400-0000D7060000}"/>
    <hyperlink ref="E498" r:id="rId1753" display="https://drive.google.com/open?id=1KyEd3_sAVEYlbG-CIYysI3kHDN81hVIDDGJ993q-O0w" xr:uid="{00000000-0004-0000-0400-0000D8060000}"/>
    <hyperlink ref="H498" r:id="rId1754" display="https://docs.google.com/spreadsheets/d/1KyEd3_sAVEYlbG-CIYysI3kHDN81hVIDDGJ993q-O0w" xr:uid="{00000000-0004-0000-0400-0000D9060000}"/>
    <hyperlink ref="I498" r:id="rId1755" display="https://docs.google.com/open?id=1KyEd3_sAVEYlbG-CIYysI3kHDN81hVIDDGJ993q-O0w" xr:uid="{00000000-0004-0000-0400-0000DA060000}"/>
    <hyperlink ref="D499" r:id="rId1756" display="https://drive.google.com/open?id=1V6yu20UkgdKhMonMzjGUIWTYP2as6Onb-rGoh5RhXZk&amp;usp=drive_copy" xr:uid="{00000000-0004-0000-0400-0000DB060000}"/>
    <hyperlink ref="E499" r:id="rId1757" display="https://drive.google.com/open?id=1V6yu20UkgdKhMonMzjGUIWTYP2as6Onb-rGoh5RhXZk" xr:uid="{00000000-0004-0000-0400-0000DC060000}"/>
    <hyperlink ref="H499" r:id="rId1758" display="https://docs.google.com/spreadsheets/d/1V6yu20UkgdKhMonMzjGUIWTYP2as6Onb-rGoh5RhXZk" xr:uid="{00000000-0004-0000-0400-0000DD060000}"/>
    <hyperlink ref="I499" r:id="rId1759" display="https://docs.google.com/open?id=1V6yu20UkgdKhMonMzjGUIWTYP2as6Onb-rGoh5RhXZk" xr:uid="{00000000-0004-0000-0400-0000DE060000}"/>
    <hyperlink ref="D500" r:id="rId1760" display="https://drive.google.com/open?id=1p_OgapkWx-5HjNula4UeZfj080vtBkeuUCZ0IbnMiqw&amp;usp=drive_copy" xr:uid="{00000000-0004-0000-0400-0000DF060000}"/>
    <hyperlink ref="E500" r:id="rId1761" display="https://drive.google.com/open?id=1p_OgapkWx-5HjNula4UeZfj080vtBkeuUCZ0IbnMiqw" xr:uid="{00000000-0004-0000-0400-0000E0060000}"/>
    <hyperlink ref="H500" r:id="rId1762" display="https://docs.google.com/spreadsheets/d/1p_OgapkWx-5HjNula4UeZfj080vtBkeuUCZ0IbnMiqw" xr:uid="{00000000-0004-0000-0400-0000E1060000}"/>
    <hyperlink ref="I500" r:id="rId1763" display="https://docs.google.com/open?id=1p_OgapkWx-5HjNula4UeZfj080vtBkeuUCZ0IbnMiqw" xr:uid="{00000000-0004-0000-0400-0000E2060000}"/>
    <hyperlink ref="D501" r:id="rId1764" display="https://drive.google.com/open?id=1iUf28_s-jHH90j-QS6sqLcRJ5CjRxLXz_VFES7xmefk&amp;usp=drive_copy" xr:uid="{00000000-0004-0000-0400-0000E3060000}"/>
    <hyperlink ref="E501" r:id="rId1765" display="https://drive.google.com/open?id=1iUf28_s-jHH90j-QS6sqLcRJ5CjRxLXz_VFES7xmefk" xr:uid="{00000000-0004-0000-0400-0000E4060000}"/>
    <hyperlink ref="H501" r:id="rId1766" display="https://docs.google.com/spreadsheets/d/1iUf28_s-jHH90j-QS6sqLcRJ5CjRxLXz_VFES7xmefk" xr:uid="{00000000-0004-0000-0400-0000E5060000}"/>
    <hyperlink ref="I501" r:id="rId1767" display="https://docs.google.com/open?id=1iUf28_s-jHH90j-QS6sqLcRJ5CjRxLXz_VFES7xmefk" xr:uid="{00000000-0004-0000-0400-0000E6060000}"/>
    <hyperlink ref="D502" r:id="rId1768" display="https://drive.google.com/open?id=1PPpDhspB4u9hX2w1lg9MB73NhEYQmUY3883AYCxVDCU&amp;usp=drive_copy" xr:uid="{00000000-0004-0000-0400-0000E7060000}"/>
    <hyperlink ref="E502" r:id="rId1769" display="https://drive.google.com/open?id=1PPpDhspB4u9hX2w1lg9MB73NhEYQmUY3883AYCxVDCU" xr:uid="{00000000-0004-0000-0400-0000E8060000}"/>
    <hyperlink ref="H502" r:id="rId1770" display="https://docs.google.com/spreadsheets/d/1PPpDhspB4u9hX2w1lg9MB73NhEYQmUY3883AYCxVDCU" xr:uid="{00000000-0004-0000-0400-0000E9060000}"/>
    <hyperlink ref="I502" r:id="rId1771" display="https://docs.google.com/open?id=1PPpDhspB4u9hX2w1lg9MB73NhEYQmUY3883AYCxVDCU" xr:uid="{00000000-0004-0000-0400-0000EA060000}"/>
    <hyperlink ref="D503" r:id="rId1772" display="https://drive.google.com/open?id=1um608jV13fNH1ZbjwoXwV-tSluf_VdhWse6cXP4D8hU&amp;usp=drive_copy" xr:uid="{00000000-0004-0000-0400-0000EB060000}"/>
    <hyperlink ref="E503" r:id="rId1773" display="https://drive.google.com/open?id=1um608jV13fNH1ZbjwoXwV-tSluf_VdhWse6cXP4D8hU" xr:uid="{00000000-0004-0000-0400-0000EC060000}"/>
    <hyperlink ref="H503" r:id="rId1774" display="https://docs.google.com/spreadsheets/d/1um608jV13fNH1ZbjwoXwV-tSluf_VdhWse6cXP4D8hU" xr:uid="{00000000-0004-0000-0400-0000ED060000}"/>
    <hyperlink ref="I503" r:id="rId1775" display="https://docs.google.com/open?id=1um608jV13fNH1ZbjwoXwV-tSluf_VdhWse6cXP4D8hU" xr:uid="{00000000-0004-0000-0400-0000EE060000}"/>
    <hyperlink ref="D504" r:id="rId1776" display="https://drive.google.com/open?id=1O-egH88Iib6M9rZre7M_JfG2fbOwBPlkGCSlQhpfDzg&amp;usp=drive_copy" xr:uid="{00000000-0004-0000-0400-0000EF060000}"/>
    <hyperlink ref="E504" r:id="rId1777" display="https://drive.google.com/open?id=1O-egH88Iib6M9rZre7M_JfG2fbOwBPlkGCSlQhpfDzg" xr:uid="{00000000-0004-0000-0400-0000F0060000}"/>
    <hyperlink ref="H504" r:id="rId1778" display="https://docs.google.com/spreadsheets/d/1O-egH88Iib6M9rZre7M_JfG2fbOwBPlkGCSlQhpfDzg" xr:uid="{00000000-0004-0000-0400-0000F1060000}"/>
    <hyperlink ref="I504" r:id="rId1779" display="https://docs.google.com/open?id=1O-egH88Iib6M9rZre7M_JfG2fbOwBPlkGCSlQhpfDzg" xr:uid="{00000000-0004-0000-0400-0000F2060000}"/>
    <hyperlink ref="D505" r:id="rId1780" display="https://drive.google.com/open?id=1vf9IH1TNEzD_gmwTsqRsxcuNdYEbaq1G0-xDRGPnyqs&amp;usp=drive_copy" xr:uid="{00000000-0004-0000-0400-0000F3060000}"/>
    <hyperlink ref="E505" r:id="rId1781" display="https://drive.google.com/open?id=1vf9IH1TNEzD_gmwTsqRsxcuNdYEbaq1G0-xDRGPnyqs" xr:uid="{00000000-0004-0000-0400-0000F4060000}"/>
    <hyperlink ref="H505" r:id="rId1782" display="https://docs.google.com/spreadsheets/d/1vf9IH1TNEzD_gmwTsqRsxcuNdYEbaq1G0-xDRGPnyqs" xr:uid="{00000000-0004-0000-0400-0000F5060000}"/>
    <hyperlink ref="I505" r:id="rId1783" display="https://docs.google.com/open?id=1vf9IH1TNEzD_gmwTsqRsxcuNdYEbaq1G0-xDRGPnyqs" xr:uid="{00000000-0004-0000-0400-0000F6060000}"/>
    <hyperlink ref="D506" r:id="rId1784" display="https://drive.google.com/open?id=1mO6C_b6mBKmePJE5cBj_hx6Seiu8PTdyMZYgrGWJuLI&amp;usp=drive_copy" xr:uid="{00000000-0004-0000-0400-0000F7060000}"/>
    <hyperlink ref="E506" r:id="rId1785" display="https://drive.google.com/open?id=1mO6C_b6mBKmePJE5cBj_hx6Seiu8PTdyMZYgrGWJuLI" xr:uid="{00000000-0004-0000-0400-0000F8060000}"/>
    <hyperlink ref="H506" r:id="rId1786" display="https://docs.google.com/spreadsheets/d/1mO6C_b6mBKmePJE5cBj_hx6Seiu8PTdyMZYgrGWJuLI" xr:uid="{00000000-0004-0000-0400-0000F9060000}"/>
    <hyperlink ref="I506" r:id="rId1787" display="https://docs.google.com/open?id=1mO6C_b6mBKmePJE5cBj_hx6Seiu8PTdyMZYgrGWJuLI" xr:uid="{00000000-0004-0000-0400-0000FA060000}"/>
    <hyperlink ref="D507" r:id="rId1788" display="https://drive.google.com/open?id=1Gyp4t-UQBK08oZO6biQiBfeO2ByzVN5eUy_Awhv5KCo&amp;usp=drive_copy" xr:uid="{00000000-0004-0000-0400-0000FB060000}"/>
    <hyperlink ref="E507" r:id="rId1789" display="https://drive.google.com/open?id=1Gyp4t-UQBK08oZO6biQiBfeO2ByzVN5eUy_Awhv5KCo" xr:uid="{00000000-0004-0000-0400-0000FC060000}"/>
    <hyperlink ref="H507" r:id="rId1790" display="https://docs.google.com/spreadsheets/d/1Gyp4t-UQBK08oZO6biQiBfeO2ByzVN5eUy_Awhv5KCo" xr:uid="{00000000-0004-0000-0400-0000FD060000}"/>
    <hyperlink ref="I507" r:id="rId1791" display="https://docs.google.com/open?id=1Gyp4t-UQBK08oZO6biQiBfeO2ByzVN5eUy_Awhv5KCo" xr:uid="{00000000-0004-0000-0400-0000FE060000}"/>
    <hyperlink ref="D508" r:id="rId1792" display="https://drive.google.com/open?id=10DFYDDvNe3AZ4jpZx8gGBJWP8WiwHffFIRukjJi6Uw8&amp;usp=drive_copy" xr:uid="{00000000-0004-0000-0400-0000FF060000}"/>
    <hyperlink ref="E508" r:id="rId1793" display="https://drive.google.com/open?id=10DFYDDvNe3AZ4jpZx8gGBJWP8WiwHffFIRukjJi6Uw8" xr:uid="{00000000-0004-0000-0400-000000070000}"/>
    <hyperlink ref="H508" r:id="rId1794" display="https://docs.google.com/spreadsheets/d/10DFYDDvNe3AZ4jpZx8gGBJWP8WiwHffFIRukjJi6Uw8" xr:uid="{00000000-0004-0000-0400-000001070000}"/>
    <hyperlink ref="I508" r:id="rId1795" display="https://docs.google.com/open?id=10DFYDDvNe3AZ4jpZx8gGBJWP8WiwHffFIRukjJi6Uw8" xr:uid="{00000000-0004-0000-0400-000002070000}"/>
    <hyperlink ref="D509" r:id="rId1796" display="https://drive.google.com/open?id=1XuQZNnibOyCytsARK_ziNOujKZT4jnSKfQXMe74mkpQ&amp;usp=drive_copy" xr:uid="{00000000-0004-0000-0400-000003070000}"/>
    <hyperlink ref="E509" r:id="rId1797" display="https://drive.google.com/open?id=1XuQZNnibOyCytsARK_ziNOujKZT4jnSKfQXMe74mkpQ" xr:uid="{00000000-0004-0000-0400-000004070000}"/>
    <hyperlink ref="H509" r:id="rId1798" display="https://docs.google.com/spreadsheets/d/1XuQZNnibOyCytsARK_ziNOujKZT4jnSKfQXMe74mkpQ" xr:uid="{00000000-0004-0000-0400-000005070000}"/>
    <hyperlink ref="I509" r:id="rId1799" display="https://docs.google.com/open?id=1XuQZNnibOyCytsARK_ziNOujKZT4jnSKfQXMe74mkpQ" xr:uid="{00000000-0004-0000-0400-000006070000}"/>
    <hyperlink ref="D510" r:id="rId1800" display="https://drive.google.com/open?id=13TQ-__xDNE_0oT5PADtUN9vF5tqbAPeOY1xLTELvhe8&amp;usp=drive_copy" xr:uid="{00000000-0004-0000-0400-000007070000}"/>
    <hyperlink ref="E510" r:id="rId1801" display="https://drive.google.com/open?id=13TQ-__xDNE_0oT5PADtUN9vF5tqbAPeOY1xLTELvhe8" xr:uid="{00000000-0004-0000-0400-000008070000}"/>
    <hyperlink ref="H510" r:id="rId1802" display="https://docs.google.com/spreadsheets/d/13TQ-__xDNE_0oT5PADtUN9vF5tqbAPeOY1xLTELvhe8" xr:uid="{00000000-0004-0000-0400-000009070000}"/>
    <hyperlink ref="I510" r:id="rId1803" display="https://docs.google.com/open?id=13TQ-__xDNE_0oT5PADtUN9vF5tqbAPeOY1xLTELvhe8" xr:uid="{00000000-0004-0000-0400-00000A070000}"/>
    <hyperlink ref="D511" r:id="rId1804" display="https://drive.google.com/open?id=1BZvpE2lIELEHrmqGgVagoASRdUm4x0umZ0AkPkuzWsA&amp;usp=drive_copy" xr:uid="{00000000-0004-0000-0400-00000B070000}"/>
    <hyperlink ref="E511" r:id="rId1805" display="https://drive.google.com/open?id=1BZvpE2lIELEHrmqGgVagoASRdUm4x0umZ0AkPkuzWsA" xr:uid="{00000000-0004-0000-0400-00000C070000}"/>
    <hyperlink ref="H511" r:id="rId1806" display="https://docs.google.com/spreadsheets/d/1BZvpE2lIELEHrmqGgVagoASRdUm4x0umZ0AkPkuzWsA" xr:uid="{00000000-0004-0000-0400-00000D070000}"/>
    <hyperlink ref="I511" r:id="rId1807" display="https://docs.google.com/open?id=1BZvpE2lIELEHrmqGgVagoASRdUm4x0umZ0AkPkuzWsA" xr:uid="{00000000-0004-0000-0400-00000E070000}"/>
    <hyperlink ref="D512" r:id="rId1808" display="https://drive.google.com/open?id=13XdAr_uOiINSRGWHFDHReJW5DqbVdCwUnPzlWN-nTPM&amp;usp=drive_copy" xr:uid="{00000000-0004-0000-0400-00000F070000}"/>
    <hyperlink ref="E512" r:id="rId1809" display="https://drive.google.com/open?id=13XdAr_uOiINSRGWHFDHReJW5DqbVdCwUnPzlWN-nTPM" xr:uid="{00000000-0004-0000-0400-000010070000}"/>
    <hyperlink ref="H512" r:id="rId1810" display="https://docs.google.com/spreadsheets/d/13XdAr_uOiINSRGWHFDHReJW5DqbVdCwUnPzlWN-nTPM" xr:uid="{00000000-0004-0000-0400-000011070000}"/>
    <hyperlink ref="I512" r:id="rId1811" display="https://docs.google.com/open?id=13XdAr_uOiINSRGWHFDHReJW5DqbVdCwUnPzlWN-nTPM" xr:uid="{00000000-0004-0000-0400-000012070000}"/>
    <hyperlink ref="D513" r:id="rId1812" display="https://drive.google.com/open?id=1smYlJllyFxSDC7a-ozDjpGG1hoTNBhv6WlntctPNeto&amp;usp=drive_copy" xr:uid="{00000000-0004-0000-0400-000013070000}"/>
    <hyperlink ref="E513" r:id="rId1813" display="https://drive.google.com/open?id=1smYlJllyFxSDC7a-ozDjpGG1hoTNBhv6WlntctPNeto" xr:uid="{00000000-0004-0000-0400-000014070000}"/>
    <hyperlink ref="H513" r:id="rId1814" display="https://docs.google.com/spreadsheets/d/1smYlJllyFxSDC7a-ozDjpGG1hoTNBhv6WlntctPNeto" xr:uid="{00000000-0004-0000-0400-000015070000}"/>
    <hyperlink ref="I513" r:id="rId1815" display="https://docs.google.com/open?id=1smYlJllyFxSDC7a-ozDjpGG1hoTNBhv6WlntctPNeto" xr:uid="{00000000-0004-0000-0400-000016070000}"/>
    <hyperlink ref="D514" r:id="rId1816" display="https://drive.google.com/open?id=1AlCJEWk90gOYN_FH1lIm3DFOtuZWqHqrk9efEBmlnME&amp;usp=drive_copy" xr:uid="{00000000-0004-0000-0400-000017070000}"/>
    <hyperlink ref="E514" r:id="rId1817" display="https://drive.google.com/open?id=1AlCJEWk90gOYN_FH1lIm3DFOtuZWqHqrk9efEBmlnME" xr:uid="{00000000-0004-0000-0400-000018070000}"/>
    <hyperlink ref="H514" r:id="rId1818" display="https://docs.google.com/spreadsheets/d/1AlCJEWk90gOYN_FH1lIm3DFOtuZWqHqrk9efEBmlnME" xr:uid="{00000000-0004-0000-0400-000019070000}"/>
    <hyperlink ref="I514" r:id="rId1819" display="https://docs.google.com/open?id=1AlCJEWk90gOYN_FH1lIm3DFOtuZWqHqrk9efEBmlnME" xr:uid="{00000000-0004-0000-0400-00001A070000}"/>
    <hyperlink ref="D515" r:id="rId1820" display="https://drive.google.com/open?id=1-kfmxs9yKJgS8-LGv2weDkxdMdtawqO7_cXAbtiItfo&amp;usp=drive_copy" xr:uid="{00000000-0004-0000-0400-00001B070000}"/>
    <hyperlink ref="E515" r:id="rId1821" display="https://drive.google.com/open?id=1-kfmxs9yKJgS8-LGv2weDkxdMdtawqO7_cXAbtiItfo" xr:uid="{00000000-0004-0000-0400-00001C070000}"/>
    <hyperlink ref="H515" r:id="rId1822" display="https://docs.google.com/spreadsheets/d/1-kfmxs9yKJgS8-LGv2weDkxdMdtawqO7_cXAbtiItfo" xr:uid="{00000000-0004-0000-0400-00001D070000}"/>
    <hyperlink ref="I515" r:id="rId1823" display="https://docs.google.com/open?id=1-kfmxs9yKJgS8-LGv2weDkxdMdtawqO7_cXAbtiItfo" xr:uid="{00000000-0004-0000-0400-00001E070000}"/>
    <hyperlink ref="D516" r:id="rId1824" display="https://drive.google.com/open?id=1Osc1TlACMEIMn4XmQgWi2hFlB5ZBS9Nuo7CoJcYrF1I&amp;usp=drive_copy" xr:uid="{00000000-0004-0000-0400-00001F070000}"/>
    <hyperlink ref="E516" r:id="rId1825" display="https://drive.google.com/open?id=1Osc1TlACMEIMn4XmQgWi2hFlB5ZBS9Nuo7CoJcYrF1I" xr:uid="{00000000-0004-0000-0400-000020070000}"/>
    <hyperlink ref="H516" r:id="rId1826" display="https://docs.google.com/spreadsheets/d/1Osc1TlACMEIMn4XmQgWi2hFlB5ZBS9Nuo7CoJcYrF1I" xr:uid="{00000000-0004-0000-0400-000021070000}"/>
    <hyperlink ref="I516" r:id="rId1827" display="https://docs.google.com/open?id=1Osc1TlACMEIMn4XmQgWi2hFlB5ZBS9Nuo7CoJcYrF1I" xr:uid="{00000000-0004-0000-0400-000022070000}"/>
    <hyperlink ref="D517" r:id="rId1828" display="https://drive.google.com/open?id=1r0A6VMUoBMQJDedztgn_IFmMNa1pB1E05khPQfRylQg&amp;usp=drive_copy" xr:uid="{00000000-0004-0000-0400-000023070000}"/>
    <hyperlink ref="E517" r:id="rId1829" display="https://drive.google.com/open?id=1r0A6VMUoBMQJDedztgn_IFmMNa1pB1E05khPQfRylQg" xr:uid="{00000000-0004-0000-0400-000024070000}"/>
    <hyperlink ref="H517" r:id="rId1830" display="https://docs.google.com/spreadsheets/d/1r0A6VMUoBMQJDedztgn_IFmMNa1pB1E05khPQfRylQg" xr:uid="{00000000-0004-0000-0400-000025070000}"/>
    <hyperlink ref="I517" r:id="rId1831" display="https://docs.google.com/open?id=1r0A6VMUoBMQJDedztgn_IFmMNa1pB1E05khPQfRylQg" xr:uid="{00000000-0004-0000-0400-000026070000}"/>
    <hyperlink ref="D518" r:id="rId1832" display="https://drive.google.com/open?id=1EOXQuf60K_Uld5odEVzZydbD-vpkTuI-8a1bFmNADRk&amp;usp=drive_copy" xr:uid="{00000000-0004-0000-0400-000027070000}"/>
    <hyperlink ref="E518" r:id="rId1833" display="https://drive.google.com/open?id=1EOXQuf60K_Uld5odEVzZydbD-vpkTuI-8a1bFmNADRk" xr:uid="{00000000-0004-0000-0400-000028070000}"/>
    <hyperlink ref="H518" r:id="rId1834" display="https://docs.google.com/spreadsheets/d/1EOXQuf60K_Uld5odEVzZydbD-vpkTuI-8a1bFmNADRk" xr:uid="{00000000-0004-0000-0400-000029070000}"/>
    <hyperlink ref="I518" r:id="rId1835" display="https://docs.google.com/open?id=1EOXQuf60K_Uld5odEVzZydbD-vpkTuI-8a1bFmNADRk" xr:uid="{00000000-0004-0000-0400-00002A070000}"/>
    <hyperlink ref="D519" r:id="rId1836" display="https://drive.google.com/open?id=13eMIV8XLrFIsrYh0yzSrWSulrLz-SVqY0-vlmEdsu_A&amp;usp=drive_copy" xr:uid="{00000000-0004-0000-0400-00002B070000}"/>
    <hyperlink ref="E519" r:id="rId1837" display="https://drive.google.com/open?id=13eMIV8XLrFIsrYh0yzSrWSulrLz-SVqY0-vlmEdsu_A" xr:uid="{00000000-0004-0000-0400-00002C070000}"/>
    <hyperlink ref="H519" r:id="rId1838" display="https://docs.google.com/spreadsheets/d/13eMIV8XLrFIsrYh0yzSrWSulrLz-SVqY0-vlmEdsu_A" xr:uid="{00000000-0004-0000-0400-00002D070000}"/>
    <hyperlink ref="I519" r:id="rId1839" display="https://docs.google.com/open?id=13eMIV8XLrFIsrYh0yzSrWSulrLz-SVqY0-vlmEdsu_A" xr:uid="{00000000-0004-0000-0400-00002E070000}"/>
    <hyperlink ref="D520" r:id="rId1840" display="https://drive.google.com/open?id=1I7RkrNovslxB9JxiPXBExgVyzLZs3EkVNXTGrAx97qU&amp;usp=drive_copy" xr:uid="{00000000-0004-0000-0400-00002F070000}"/>
    <hyperlink ref="E520" r:id="rId1841" display="https://drive.google.com/open?id=1I7RkrNovslxB9JxiPXBExgVyzLZs3EkVNXTGrAx97qU" xr:uid="{00000000-0004-0000-0400-000030070000}"/>
    <hyperlink ref="H520" r:id="rId1842" display="https://docs.google.com/spreadsheets/d/1I7RkrNovslxB9JxiPXBExgVyzLZs3EkVNXTGrAx97qU" xr:uid="{00000000-0004-0000-0400-000031070000}"/>
    <hyperlink ref="I520" r:id="rId1843" display="https://docs.google.com/open?id=1I7RkrNovslxB9JxiPXBExgVyzLZs3EkVNXTGrAx97qU" xr:uid="{00000000-0004-0000-0400-000032070000}"/>
    <hyperlink ref="D521" r:id="rId1844" display="https://drive.google.com/open?id=1H8A-sD_iZi5l3sdtxU0rmjoRdba5SgzQTJTB4ETGzd8&amp;usp=drive_copy" xr:uid="{00000000-0004-0000-0400-000033070000}"/>
    <hyperlink ref="E521" r:id="rId1845" display="https://drive.google.com/open?id=1H8A-sD_iZi5l3sdtxU0rmjoRdba5SgzQTJTB4ETGzd8" xr:uid="{00000000-0004-0000-0400-000034070000}"/>
    <hyperlink ref="H521" r:id="rId1846" display="https://docs.google.com/spreadsheets/d/1H8A-sD_iZi5l3sdtxU0rmjoRdba5SgzQTJTB4ETGzd8" xr:uid="{00000000-0004-0000-0400-000035070000}"/>
    <hyperlink ref="I521" r:id="rId1847" display="https://docs.google.com/open?id=1H8A-sD_iZi5l3sdtxU0rmjoRdba5SgzQTJTB4ETGzd8" xr:uid="{00000000-0004-0000-0400-000036070000}"/>
    <hyperlink ref="D522" r:id="rId1848" display="https://drive.google.com/open?id=1CVec7J3OIvr4Ihx7henQ_ebOj3ZDuGwaOY4cGgm6rEM&amp;usp=drive_copy" xr:uid="{00000000-0004-0000-0400-000037070000}"/>
    <hyperlink ref="E522" r:id="rId1849" display="https://drive.google.com/open?id=1CVec7J3OIvr4Ihx7henQ_ebOj3ZDuGwaOY4cGgm6rEM" xr:uid="{00000000-0004-0000-0400-000038070000}"/>
    <hyperlink ref="H522" r:id="rId1850" display="https://docs.google.com/spreadsheets/d/1CVec7J3OIvr4Ihx7henQ_ebOj3ZDuGwaOY4cGgm6rEM" xr:uid="{00000000-0004-0000-0400-000039070000}"/>
    <hyperlink ref="I522" r:id="rId1851" display="https://docs.google.com/open?id=1CVec7J3OIvr4Ihx7henQ_ebOj3ZDuGwaOY4cGgm6rEM" xr:uid="{00000000-0004-0000-0400-00003A070000}"/>
    <hyperlink ref="D523" r:id="rId1852" display="https://drive.google.com/open?id=1xCCbkLrhy8swVra4EwyXrJwwS5tZm2iBK2NqKLo-a6A&amp;usp=drive_copy" xr:uid="{00000000-0004-0000-0400-00003B070000}"/>
    <hyperlink ref="E523" r:id="rId1853" display="https://drive.google.com/open?id=1xCCbkLrhy8swVra4EwyXrJwwS5tZm2iBK2NqKLo-a6A" xr:uid="{00000000-0004-0000-0400-00003C070000}"/>
    <hyperlink ref="H523" r:id="rId1854" display="https://docs.google.com/spreadsheets/d/1xCCbkLrhy8swVra4EwyXrJwwS5tZm2iBK2NqKLo-a6A" xr:uid="{00000000-0004-0000-0400-00003D070000}"/>
    <hyperlink ref="I523" r:id="rId1855" display="https://docs.google.com/open?id=1xCCbkLrhy8swVra4EwyXrJwwS5tZm2iBK2NqKLo-a6A" xr:uid="{00000000-0004-0000-0400-00003E070000}"/>
    <hyperlink ref="D524" r:id="rId1856" display="https://drive.google.com/open?id=1X90azS6cpnwgPxZJZSS908nJMF-RJqkzZQmRNM-GSzU&amp;usp=drive_copy" xr:uid="{00000000-0004-0000-0400-00003F070000}"/>
    <hyperlink ref="E524" r:id="rId1857" display="https://drive.google.com/open?id=1X90azS6cpnwgPxZJZSS908nJMF-RJqkzZQmRNM-GSzU" xr:uid="{00000000-0004-0000-0400-000040070000}"/>
    <hyperlink ref="H524" r:id="rId1858" display="https://docs.google.com/spreadsheets/d/1X90azS6cpnwgPxZJZSS908nJMF-RJqkzZQmRNM-GSzU" xr:uid="{00000000-0004-0000-0400-000041070000}"/>
    <hyperlink ref="I524" r:id="rId1859" display="https://docs.google.com/open?id=1X90azS6cpnwgPxZJZSS908nJMF-RJqkzZQmRNM-GSzU" xr:uid="{00000000-0004-0000-0400-000042070000}"/>
    <hyperlink ref="D525" r:id="rId1860" display="https://drive.google.com/open?id=1iyMkQ5bE99SbqFBG65IjhxkVCaPQadRGxOrPyW59dw8&amp;usp=drive_copy" xr:uid="{00000000-0004-0000-0400-000043070000}"/>
    <hyperlink ref="E525" r:id="rId1861" display="https://drive.google.com/open?id=1iyMkQ5bE99SbqFBG65IjhxkVCaPQadRGxOrPyW59dw8" xr:uid="{00000000-0004-0000-0400-000044070000}"/>
    <hyperlink ref="H525" r:id="rId1862" display="https://docs.google.com/spreadsheets/d/1iyMkQ5bE99SbqFBG65IjhxkVCaPQadRGxOrPyW59dw8" xr:uid="{00000000-0004-0000-0400-000045070000}"/>
    <hyperlink ref="I525" r:id="rId1863" display="https://docs.google.com/open?id=1iyMkQ5bE99SbqFBG65IjhxkVCaPQadRGxOrPyW59dw8" xr:uid="{00000000-0004-0000-0400-000046070000}"/>
    <hyperlink ref="D526" r:id="rId1864" display="https://drive.google.com/open?id=1eyMPBGxaiboIcQ6K95OtPfpdspAsOr1gMiDm5eRw6Fg&amp;usp=drive_copy" xr:uid="{00000000-0004-0000-0400-000047070000}"/>
    <hyperlink ref="E526" r:id="rId1865" display="https://drive.google.com/open?id=1eyMPBGxaiboIcQ6K95OtPfpdspAsOr1gMiDm5eRw6Fg" xr:uid="{00000000-0004-0000-0400-000048070000}"/>
    <hyperlink ref="H526" r:id="rId1866" display="https://docs.google.com/spreadsheets/d/1eyMPBGxaiboIcQ6K95OtPfpdspAsOr1gMiDm5eRw6Fg" xr:uid="{00000000-0004-0000-0400-000049070000}"/>
    <hyperlink ref="I526" r:id="rId1867" display="https://docs.google.com/open?id=1eyMPBGxaiboIcQ6K95OtPfpdspAsOr1gMiDm5eRw6Fg" xr:uid="{00000000-0004-0000-0400-00004A070000}"/>
    <hyperlink ref="D527" r:id="rId1868" display="https://drive.google.com/open?id=1wxxu2GO_U-eppy_8UcrmaUsKrFVSuaW9Pl2oHDxuQ8M&amp;usp=drive_copy" xr:uid="{00000000-0004-0000-0400-00004B070000}"/>
    <hyperlink ref="E527" r:id="rId1869" display="https://drive.google.com/open?id=1wxxu2GO_U-eppy_8UcrmaUsKrFVSuaW9Pl2oHDxuQ8M" xr:uid="{00000000-0004-0000-0400-00004C070000}"/>
    <hyperlink ref="H527" r:id="rId1870" display="https://docs.google.com/spreadsheets/d/1wxxu2GO_U-eppy_8UcrmaUsKrFVSuaW9Pl2oHDxuQ8M" xr:uid="{00000000-0004-0000-0400-00004D070000}"/>
    <hyperlink ref="I527" r:id="rId1871" display="https://docs.google.com/open?id=1wxxu2GO_U-eppy_8UcrmaUsKrFVSuaW9Pl2oHDxuQ8M" xr:uid="{00000000-0004-0000-0400-00004E070000}"/>
    <hyperlink ref="D528" r:id="rId1872" display="https://drive.google.com/open?id=1JLEnSKhvhMnskThAaSG44hKeH6IbfKN66bdqj9l_0nU&amp;usp=drive_copy" xr:uid="{00000000-0004-0000-0400-00004F070000}"/>
    <hyperlink ref="E528" r:id="rId1873" display="https://drive.google.com/open?id=1JLEnSKhvhMnskThAaSG44hKeH6IbfKN66bdqj9l_0nU" xr:uid="{00000000-0004-0000-0400-000050070000}"/>
    <hyperlink ref="H528" r:id="rId1874" display="https://docs.google.com/spreadsheets/d/1JLEnSKhvhMnskThAaSG44hKeH6IbfKN66bdqj9l_0nU" xr:uid="{00000000-0004-0000-0400-000051070000}"/>
    <hyperlink ref="I528" r:id="rId1875" display="https://docs.google.com/open?id=1JLEnSKhvhMnskThAaSG44hKeH6IbfKN66bdqj9l_0nU" xr:uid="{00000000-0004-0000-0400-000052070000}"/>
    <hyperlink ref="D529" r:id="rId1876" display="https://drive.google.com/open?id=1rrxsUgZcebmq_EXVre3yoGj5K7TK_OyeTWWFpXWC-tQ&amp;usp=drive_copy" xr:uid="{00000000-0004-0000-0400-000053070000}"/>
    <hyperlink ref="E529" r:id="rId1877" display="https://drive.google.com/open?id=1rrxsUgZcebmq_EXVre3yoGj5K7TK_OyeTWWFpXWC-tQ" xr:uid="{00000000-0004-0000-0400-000054070000}"/>
    <hyperlink ref="H529" r:id="rId1878" display="https://docs.google.com/spreadsheets/d/1rrxsUgZcebmq_EXVre3yoGj5K7TK_OyeTWWFpXWC-tQ" xr:uid="{00000000-0004-0000-0400-000055070000}"/>
    <hyperlink ref="I529" r:id="rId1879" display="https://docs.google.com/open?id=1rrxsUgZcebmq_EXVre3yoGj5K7TK_OyeTWWFpXWC-tQ" xr:uid="{00000000-0004-0000-0400-000056070000}"/>
    <hyperlink ref="D530" r:id="rId1880" display="https://drive.google.com/open?id=12aMFFPFGxnyKOAy28b8Yfg7kyBhhJJtpTDSjgPmE6wg&amp;usp=drive_copy" xr:uid="{00000000-0004-0000-0400-000057070000}"/>
    <hyperlink ref="E530" r:id="rId1881" display="https://drive.google.com/open?id=12aMFFPFGxnyKOAy28b8Yfg7kyBhhJJtpTDSjgPmE6wg" xr:uid="{00000000-0004-0000-0400-000058070000}"/>
    <hyperlink ref="H530" r:id="rId1882" display="https://docs.google.com/spreadsheets/d/12aMFFPFGxnyKOAy28b8Yfg7kyBhhJJtpTDSjgPmE6wg" xr:uid="{00000000-0004-0000-0400-000059070000}"/>
    <hyperlink ref="I530" r:id="rId1883" display="https://docs.google.com/open?id=12aMFFPFGxnyKOAy28b8Yfg7kyBhhJJtpTDSjgPmE6wg" xr:uid="{00000000-0004-0000-0400-00005A070000}"/>
    <hyperlink ref="D531" r:id="rId1884" display="https://drive.google.com/open?id=1SJRubbY7l7dcgLIMPyI6le2_CBx4wVxVAE2kasxIm9Y&amp;usp=drive_copy" xr:uid="{00000000-0004-0000-0400-00005B070000}"/>
    <hyperlink ref="E531" r:id="rId1885" display="https://drive.google.com/open?id=1SJRubbY7l7dcgLIMPyI6le2_CBx4wVxVAE2kasxIm9Y" xr:uid="{00000000-0004-0000-0400-00005C070000}"/>
    <hyperlink ref="H531" r:id="rId1886" display="https://docs.google.com/spreadsheets/d/1SJRubbY7l7dcgLIMPyI6le2_CBx4wVxVAE2kasxIm9Y" xr:uid="{00000000-0004-0000-0400-00005D070000}"/>
    <hyperlink ref="I531" r:id="rId1887" display="https://docs.google.com/open?id=1SJRubbY7l7dcgLIMPyI6le2_CBx4wVxVAE2kasxIm9Y" xr:uid="{00000000-0004-0000-0400-00005E070000}"/>
    <hyperlink ref="D532" r:id="rId1888" display="https://drive.google.com/open?id=1SqgA_qKPTb2Ya7FcLr7_YCziGfCkP7ORR8cs2R3mvyM&amp;usp=drive_copy" xr:uid="{00000000-0004-0000-0400-00005F070000}"/>
    <hyperlink ref="E532" r:id="rId1889" display="https://drive.google.com/open?id=1SqgA_qKPTb2Ya7FcLr7_YCziGfCkP7ORR8cs2R3mvyM" xr:uid="{00000000-0004-0000-0400-000060070000}"/>
    <hyperlink ref="H532" r:id="rId1890" display="https://docs.google.com/spreadsheets/d/1SqgA_qKPTb2Ya7FcLr7_YCziGfCkP7ORR8cs2R3mvyM" xr:uid="{00000000-0004-0000-0400-000061070000}"/>
    <hyperlink ref="I532" r:id="rId1891" display="https://docs.google.com/open?id=1SqgA_qKPTb2Ya7FcLr7_YCziGfCkP7ORR8cs2R3mvyM" xr:uid="{00000000-0004-0000-0400-000062070000}"/>
    <hyperlink ref="D533" r:id="rId1892" display="https://drive.google.com/open?id=1_R9CcLA2GK7WTSR8APk-IirV2HdC0YNkGn50tPgK0zM&amp;usp=drive_copy" xr:uid="{00000000-0004-0000-0400-000063070000}"/>
    <hyperlink ref="E533" r:id="rId1893" display="https://drive.google.com/open?id=1_R9CcLA2GK7WTSR8APk-IirV2HdC0YNkGn50tPgK0zM" xr:uid="{00000000-0004-0000-0400-000064070000}"/>
    <hyperlink ref="H533" r:id="rId1894" display="https://docs.google.com/spreadsheets/d/1_R9CcLA2GK7WTSR8APk-IirV2HdC0YNkGn50tPgK0zM" xr:uid="{00000000-0004-0000-0400-000065070000}"/>
    <hyperlink ref="I533" r:id="rId1895" display="https://docs.google.com/open?id=1_R9CcLA2GK7WTSR8APk-IirV2HdC0YNkGn50tPgK0zM" xr:uid="{00000000-0004-0000-0400-000066070000}"/>
    <hyperlink ref="D534" r:id="rId1896" display="https://drive.google.com/open?id=1itRX-eU3oKaBwBg1eva1Iw86l7By9Zb7ciHV84aNRus&amp;usp=drive_copy" xr:uid="{00000000-0004-0000-0400-000067070000}"/>
    <hyperlink ref="E534" r:id="rId1897" display="https://drive.google.com/open?id=1itRX-eU3oKaBwBg1eva1Iw86l7By9Zb7ciHV84aNRus" xr:uid="{00000000-0004-0000-0400-000068070000}"/>
    <hyperlink ref="H534" r:id="rId1898" display="https://docs.google.com/spreadsheets/d/1itRX-eU3oKaBwBg1eva1Iw86l7By9Zb7ciHV84aNRus" xr:uid="{00000000-0004-0000-0400-000069070000}"/>
    <hyperlink ref="I534" r:id="rId1899" display="https://docs.google.com/open?id=1itRX-eU3oKaBwBg1eva1Iw86l7By9Zb7ciHV84aNRus" xr:uid="{00000000-0004-0000-0400-00006A070000}"/>
    <hyperlink ref="D535" r:id="rId1900" display="https://drive.google.com/open?id=1zfOOpLHZu0Ucu1ogJqLlvB-fpVfg8rbnySQryzfIM48&amp;usp=drive_copy" xr:uid="{00000000-0004-0000-0400-00006B070000}"/>
    <hyperlink ref="E535" r:id="rId1901" display="https://drive.google.com/open?id=1zfOOpLHZu0Ucu1ogJqLlvB-fpVfg8rbnySQryzfIM48" xr:uid="{00000000-0004-0000-0400-00006C070000}"/>
    <hyperlink ref="H535" r:id="rId1902" display="https://docs.google.com/spreadsheets/d/1zfOOpLHZu0Ucu1ogJqLlvB-fpVfg8rbnySQryzfIM48" xr:uid="{00000000-0004-0000-0400-00006D070000}"/>
    <hyperlink ref="I535" r:id="rId1903" display="https://docs.google.com/open?id=1zfOOpLHZu0Ucu1ogJqLlvB-fpVfg8rbnySQryzfIM48" xr:uid="{00000000-0004-0000-0400-00006E070000}"/>
    <hyperlink ref="D536" r:id="rId1904" display="https://drive.google.com/open?id=1qxVlRP3gJvJ83GVBugCrfcFudx0x3WrH7RK4vJKZdRA&amp;usp=drive_copy" xr:uid="{00000000-0004-0000-0400-00006F070000}"/>
    <hyperlink ref="E536" r:id="rId1905" display="https://drive.google.com/open?id=1qxVlRP3gJvJ83GVBugCrfcFudx0x3WrH7RK4vJKZdRA" xr:uid="{00000000-0004-0000-0400-000070070000}"/>
    <hyperlink ref="H536" r:id="rId1906" display="https://docs.google.com/spreadsheets/d/1qxVlRP3gJvJ83GVBugCrfcFudx0x3WrH7RK4vJKZdRA" xr:uid="{00000000-0004-0000-0400-000071070000}"/>
    <hyperlink ref="I536" r:id="rId1907" display="https://docs.google.com/open?id=1qxVlRP3gJvJ83GVBugCrfcFudx0x3WrH7RK4vJKZdRA" xr:uid="{00000000-0004-0000-0400-000072070000}"/>
    <hyperlink ref="D537" r:id="rId1908" display="https://drive.google.com/open?id=1zYL5bnFz5mu0SGSZvdxL0LUsjhwX4VzNaVuZnMUArCk&amp;usp=drive_copy" xr:uid="{00000000-0004-0000-0400-000073070000}"/>
    <hyperlink ref="E537" r:id="rId1909" display="https://drive.google.com/open?id=1zYL5bnFz5mu0SGSZvdxL0LUsjhwX4VzNaVuZnMUArCk" xr:uid="{00000000-0004-0000-0400-000074070000}"/>
    <hyperlink ref="H537" r:id="rId1910" display="https://docs.google.com/spreadsheets/d/1zYL5bnFz5mu0SGSZvdxL0LUsjhwX4VzNaVuZnMUArCk" xr:uid="{00000000-0004-0000-0400-000075070000}"/>
    <hyperlink ref="I537" r:id="rId1911" display="https://docs.google.com/open?id=1zYL5bnFz5mu0SGSZvdxL0LUsjhwX4VzNaVuZnMUArCk" xr:uid="{00000000-0004-0000-0400-000076070000}"/>
    <hyperlink ref="D538" r:id="rId1912" display="https://drive.google.com/open?id=19OXvvJG73L7zFakAj-D78OPeowZrM1dVOLUKMWse13M&amp;usp=drive_copy" xr:uid="{00000000-0004-0000-0400-000077070000}"/>
    <hyperlink ref="E538" r:id="rId1913" display="https://drive.google.com/open?id=19OXvvJG73L7zFakAj-D78OPeowZrM1dVOLUKMWse13M" xr:uid="{00000000-0004-0000-0400-000078070000}"/>
    <hyperlink ref="H538" r:id="rId1914" display="https://docs.google.com/spreadsheets/d/19OXvvJG73L7zFakAj-D78OPeowZrM1dVOLUKMWse13M" xr:uid="{00000000-0004-0000-0400-000079070000}"/>
    <hyperlink ref="I538" r:id="rId1915" display="https://docs.google.com/open?id=19OXvvJG73L7zFakAj-D78OPeowZrM1dVOLUKMWse13M" xr:uid="{00000000-0004-0000-0400-00007A070000}"/>
    <hyperlink ref="D539" r:id="rId1916" display="https://drive.google.com/open?id=1ux_omYs00ZIRBqO_vvyjDrGxqtMqjIMPcLxc9xdvc20&amp;usp=drive_copy" xr:uid="{00000000-0004-0000-0400-00007B070000}"/>
    <hyperlink ref="E539" r:id="rId1917" display="https://drive.google.com/open?id=1ux_omYs00ZIRBqO_vvyjDrGxqtMqjIMPcLxc9xdvc20" xr:uid="{00000000-0004-0000-0400-00007C070000}"/>
    <hyperlink ref="H539" r:id="rId1918" display="https://docs.google.com/spreadsheets/d/1ux_omYs00ZIRBqO_vvyjDrGxqtMqjIMPcLxc9xdvc20" xr:uid="{00000000-0004-0000-0400-00007D070000}"/>
    <hyperlink ref="I539" r:id="rId1919" display="https://docs.google.com/open?id=1ux_omYs00ZIRBqO_vvyjDrGxqtMqjIMPcLxc9xdvc20" xr:uid="{00000000-0004-0000-0400-00007E070000}"/>
    <hyperlink ref="D540" r:id="rId1920" display="https://drive.google.com/open?id=1hN48lGmjWpWkYR21-StJeMuNKeUeuY9SvvUkLpfTpH0&amp;usp=drive_copy" xr:uid="{00000000-0004-0000-0400-00007F070000}"/>
    <hyperlink ref="E540" r:id="rId1921" display="https://drive.google.com/open?id=1hN48lGmjWpWkYR21-StJeMuNKeUeuY9SvvUkLpfTpH0" xr:uid="{00000000-0004-0000-0400-000080070000}"/>
    <hyperlink ref="H540" r:id="rId1922" display="https://docs.google.com/spreadsheets/d/1hN48lGmjWpWkYR21-StJeMuNKeUeuY9SvvUkLpfTpH0" xr:uid="{00000000-0004-0000-0400-000081070000}"/>
    <hyperlink ref="I540" r:id="rId1923" display="https://docs.google.com/open?id=1hN48lGmjWpWkYR21-StJeMuNKeUeuY9SvvUkLpfTpH0" xr:uid="{00000000-0004-0000-0400-000082070000}"/>
    <hyperlink ref="D541" r:id="rId1924" display="https://drive.google.com/open?id=1MjSJ48VsUvAW9wEYhku_bTzxlU7EC2eYH8buDy7GMn0&amp;usp=drive_copy" xr:uid="{00000000-0004-0000-0400-000083070000}"/>
    <hyperlink ref="E541" r:id="rId1925" display="https://drive.google.com/open?id=1MjSJ48VsUvAW9wEYhku_bTzxlU7EC2eYH8buDy7GMn0" xr:uid="{00000000-0004-0000-0400-000084070000}"/>
    <hyperlink ref="H541" r:id="rId1926" display="https://docs.google.com/spreadsheets/d/1MjSJ48VsUvAW9wEYhku_bTzxlU7EC2eYH8buDy7GMn0" xr:uid="{00000000-0004-0000-0400-000085070000}"/>
    <hyperlink ref="I541" r:id="rId1927" display="https://docs.google.com/open?id=1MjSJ48VsUvAW9wEYhku_bTzxlU7EC2eYH8buDy7GMn0" xr:uid="{00000000-0004-0000-0400-000086070000}"/>
    <hyperlink ref="D542" r:id="rId1928" display="https://drive.google.com/open?id=1GYquKqn3r0ZCMvCxQ0_dCzC-2h3S21njVFgNpsaEvEw&amp;usp=drive_copy" xr:uid="{00000000-0004-0000-0400-000087070000}"/>
    <hyperlink ref="E542" r:id="rId1929" display="https://drive.google.com/open?id=1GYquKqn3r0ZCMvCxQ0_dCzC-2h3S21njVFgNpsaEvEw" xr:uid="{00000000-0004-0000-0400-000088070000}"/>
    <hyperlink ref="H542" r:id="rId1930" display="https://docs.google.com/spreadsheets/d/1GYquKqn3r0ZCMvCxQ0_dCzC-2h3S21njVFgNpsaEvEw" xr:uid="{00000000-0004-0000-0400-000089070000}"/>
    <hyperlink ref="I542" r:id="rId1931" display="https://docs.google.com/open?id=1GYquKqn3r0ZCMvCxQ0_dCzC-2h3S21njVFgNpsaEvEw" xr:uid="{00000000-0004-0000-0400-00008A070000}"/>
    <hyperlink ref="D543" r:id="rId1932" display="https://drive.google.com/open?id=1_cpM8SFh9NZqujvKsLm6w5tNwwMFRflxdHMAv0X1HpE&amp;usp=drive_copy" xr:uid="{00000000-0004-0000-0400-00008B070000}"/>
    <hyperlink ref="E543" r:id="rId1933" display="https://drive.google.com/open?id=1_cpM8SFh9NZqujvKsLm6w5tNwwMFRflxdHMAv0X1HpE" xr:uid="{00000000-0004-0000-0400-00008C070000}"/>
    <hyperlink ref="H543" r:id="rId1934" display="https://docs.google.com/spreadsheets/d/1_cpM8SFh9NZqujvKsLm6w5tNwwMFRflxdHMAv0X1HpE" xr:uid="{00000000-0004-0000-0400-00008D070000}"/>
    <hyperlink ref="I543" r:id="rId1935" display="https://docs.google.com/open?id=1_cpM8SFh9NZqujvKsLm6w5tNwwMFRflxdHMAv0X1HpE" xr:uid="{00000000-0004-0000-0400-00008E070000}"/>
    <hyperlink ref="D544" r:id="rId1936" display="https://drive.google.com/open?id=1QYz-5adfwKa6Eptf2jisKw_mgaoIJEI4pp8242sJUMM&amp;usp=drive_copy" xr:uid="{00000000-0004-0000-0400-00008F070000}"/>
    <hyperlink ref="E544" r:id="rId1937" display="https://drive.google.com/open?id=1QYz-5adfwKa6Eptf2jisKw_mgaoIJEI4pp8242sJUMM" xr:uid="{00000000-0004-0000-0400-000090070000}"/>
    <hyperlink ref="H544" r:id="rId1938" display="https://docs.google.com/spreadsheets/d/1QYz-5adfwKa6Eptf2jisKw_mgaoIJEI4pp8242sJUMM" xr:uid="{00000000-0004-0000-0400-000091070000}"/>
    <hyperlink ref="I544" r:id="rId1939" display="https://docs.google.com/open?id=1QYz-5adfwKa6Eptf2jisKw_mgaoIJEI4pp8242sJUMM" xr:uid="{00000000-0004-0000-0400-000092070000}"/>
    <hyperlink ref="D545" r:id="rId1940" display="https://drive.google.com/open?id=1I8C_UgjRaroa0SowO9lxKRWUEKhYffU47MZTZ2LS2Xw&amp;usp=drive_copy" xr:uid="{00000000-0004-0000-0400-000093070000}"/>
    <hyperlink ref="E545" r:id="rId1941" display="https://drive.google.com/open?id=1I8C_UgjRaroa0SowO9lxKRWUEKhYffU47MZTZ2LS2Xw" xr:uid="{00000000-0004-0000-0400-000094070000}"/>
    <hyperlink ref="H545" r:id="rId1942" display="https://docs.google.com/spreadsheets/d/1I8C_UgjRaroa0SowO9lxKRWUEKhYffU47MZTZ2LS2Xw" xr:uid="{00000000-0004-0000-0400-000095070000}"/>
    <hyperlink ref="I545" r:id="rId1943" display="https://docs.google.com/open?id=1I8C_UgjRaroa0SowO9lxKRWUEKhYffU47MZTZ2LS2Xw" xr:uid="{00000000-0004-0000-0400-000096070000}"/>
    <hyperlink ref="D546" r:id="rId1944" display="https://drive.google.com/open?id=1v22mzuSWLt2ZDEoN1NNFkTozSm0nN0SKVh2EVilzU44&amp;usp=drive_copy" xr:uid="{00000000-0004-0000-0400-000097070000}"/>
    <hyperlink ref="E546" r:id="rId1945" display="https://drive.google.com/open?id=1v22mzuSWLt2ZDEoN1NNFkTozSm0nN0SKVh2EVilzU44" xr:uid="{00000000-0004-0000-0400-000098070000}"/>
    <hyperlink ref="H546" r:id="rId1946" display="https://docs.google.com/spreadsheets/d/1v22mzuSWLt2ZDEoN1NNFkTozSm0nN0SKVh2EVilzU44" xr:uid="{00000000-0004-0000-0400-000099070000}"/>
    <hyperlink ref="I546" r:id="rId1947" display="https://docs.google.com/open?id=1v22mzuSWLt2ZDEoN1NNFkTozSm0nN0SKVh2EVilzU44" xr:uid="{00000000-0004-0000-0400-00009A070000}"/>
    <hyperlink ref="D547" r:id="rId1948" display="https://drive.google.com/open?id=1xmPvvV6D_6PxB9GT5NdPQTv2eJOtsA6v0GSQ1Xiu4a8&amp;usp=drive_copy" xr:uid="{00000000-0004-0000-0400-00009B070000}"/>
    <hyperlink ref="E547" r:id="rId1949" display="https://drive.google.com/open?id=1xmPvvV6D_6PxB9GT5NdPQTv2eJOtsA6v0GSQ1Xiu4a8" xr:uid="{00000000-0004-0000-0400-00009C070000}"/>
    <hyperlink ref="H547" r:id="rId1950" display="https://docs.google.com/spreadsheets/d/1xmPvvV6D_6PxB9GT5NdPQTv2eJOtsA6v0GSQ1Xiu4a8" xr:uid="{00000000-0004-0000-0400-00009D070000}"/>
    <hyperlink ref="I547" r:id="rId1951" display="https://docs.google.com/open?id=1xmPvvV6D_6PxB9GT5NdPQTv2eJOtsA6v0GSQ1Xiu4a8" xr:uid="{00000000-0004-0000-0400-00009E070000}"/>
    <hyperlink ref="D548" r:id="rId1952" display="https://drive.google.com/open?id=1uQ9JHX2PHGbkCLb3Nl-puhFM8TAyzueOIKu5LntVzUM&amp;usp=drive_copy" xr:uid="{00000000-0004-0000-0400-00009F070000}"/>
    <hyperlink ref="E548" r:id="rId1953" display="https://drive.google.com/open?id=1uQ9JHX2PHGbkCLb3Nl-puhFM8TAyzueOIKu5LntVzUM" xr:uid="{00000000-0004-0000-0400-0000A0070000}"/>
    <hyperlink ref="H548" r:id="rId1954" display="https://docs.google.com/spreadsheets/d/1uQ9JHX2PHGbkCLb3Nl-puhFM8TAyzueOIKu5LntVzUM" xr:uid="{00000000-0004-0000-0400-0000A1070000}"/>
    <hyperlink ref="I548" r:id="rId1955" display="https://docs.google.com/open?id=1uQ9JHX2PHGbkCLb3Nl-puhFM8TAyzueOIKu5LntVzUM" xr:uid="{00000000-0004-0000-0400-0000A2070000}"/>
    <hyperlink ref="D549" r:id="rId1956" display="https://drive.google.com/open?id=1zqWk2RzD3ZISP5pEqRHV_UOKPxgiq3K2008z6ObDq-o&amp;usp=drive_copy" xr:uid="{00000000-0004-0000-0400-0000A3070000}"/>
    <hyperlink ref="E549" r:id="rId1957" display="https://drive.google.com/open?id=1zqWk2RzD3ZISP5pEqRHV_UOKPxgiq3K2008z6ObDq-o" xr:uid="{00000000-0004-0000-0400-0000A4070000}"/>
    <hyperlink ref="H549" r:id="rId1958" display="https://docs.google.com/spreadsheets/d/1zqWk2RzD3ZISP5pEqRHV_UOKPxgiq3K2008z6ObDq-o" xr:uid="{00000000-0004-0000-0400-0000A5070000}"/>
    <hyperlink ref="I549" r:id="rId1959" display="https://docs.google.com/open?id=1zqWk2RzD3ZISP5pEqRHV_UOKPxgiq3K2008z6ObDq-o" xr:uid="{00000000-0004-0000-0400-0000A6070000}"/>
    <hyperlink ref="D550" r:id="rId1960" display="https://drive.google.com/open?id=1S8HXocRKGh0PXzjCQQfus5g-NlIeRuYEaC7IsVRw54k&amp;usp=drive_copy" xr:uid="{00000000-0004-0000-0400-0000A7070000}"/>
    <hyperlink ref="E550" r:id="rId1961" display="https://drive.google.com/open?id=1S8HXocRKGh0PXzjCQQfus5g-NlIeRuYEaC7IsVRw54k" xr:uid="{00000000-0004-0000-0400-0000A8070000}"/>
    <hyperlink ref="H550" r:id="rId1962" display="https://docs.google.com/spreadsheets/d/1S8HXocRKGh0PXzjCQQfus5g-NlIeRuYEaC7IsVRw54k" xr:uid="{00000000-0004-0000-0400-0000A9070000}"/>
    <hyperlink ref="I550" r:id="rId1963" display="https://docs.google.com/open?id=1S8HXocRKGh0PXzjCQQfus5g-NlIeRuYEaC7IsVRw54k" xr:uid="{00000000-0004-0000-0400-0000AA070000}"/>
    <hyperlink ref="D551" r:id="rId1964" display="https://drive.google.com/open?id=1F8mh2f_xCHvYVXqCZR4UE3A7zt9fJAtyBMCw_Pbd0-E&amp;usp=drive_copy" xr:uid="{00000000-0004-0000-0400-0000AB070000}"/>
    <hyperlink ref="E551" r:id="rId1965" display="https://drive.google.com/open?id=1F8mh2f_xCHvYVXqCZR4UE3A7zt9fJAtyBMCw_Pbd0-E" xr:uid="{00000000-0004-0000-0400-0000AC070000}"/>
    <hyperlink ref="H551" r:id="rId1966" display="https://docs.google.com/spreadsheets/d/1F8mh2f_xCHvYVXqCZR4UE3A7zt9fJAtyBMCw_Pbd0-E" xr:uid="{00000000-0004-0000-0400-0000AD070000}"/>
    <hyperlink ref="I551" r:id="rId1967" display="https://docs.google.com/open?id=1F8mh2f_xCHvYVXqCZR4UE3A7zt9fJAtyBMCw_Pbd0-E" xr:uid="{00000000-0004-0000-0400-0000AE070000}"/>
    <hyperlink ref="D552" r:id="rId1968" display="https://drive.google.com/open?id=1W_GCuGDf3OciGTTLCGHtEvG_4wtDNIC5o7RV4Jfcpwo&amp;usp=drive_copy" xr:uid="{00000000-0004-0000-0400-0000AF070000}"/>
    <hyperlink ref="E552" r:id="rId1969" display="https://drive.google.com/open?id=1W_GCuGDf3OciGTTLCGHtEvG_4wtDNIC5o7RV4Jfcpwo" xr:uid="{00000000-0004-0000-0400-0000B0070000}"/>
    <hyperlink ref="H552" r:id="rId1970" display="https://docs.google.com/spreadsheets/d/1W_GCuGDf3OciGTTLCGHtEvG_4wtDNIC5o7RV4Jfcpwo" xr:uid="{00000000-0004-0000-0400-0000B1070000}"/>
    <hyperlink ref="I552" r:id="rId1971" display="https://docs.google.com/open?id=1W_GCuGDf3OciGTTLCGHtEvG_4wtDNIC5o7RV4Jfcpwo" xr:uid="{00000000-0004-0000-0400-0000B2070000}"/>
    <hyperlink ref="D553" r:id="rId1972" display="https://drive.google.com/open?id=1Lkqbz3rBV8yB5jpHujxLdkQpr3Gb2Nmxp-CN8dwZ0W8&amp;usp=drive_copy" xr:uid="{00000000-0004-0000-0400-0000B3070000}"/>
    <hyperlink ref="E553" r:id="rId1973" display="https://drive.google.com/open?id=1Lkqbz3rBV8yB5jpHujxLdkQpr3Gb2Nmxp-CN8dwZ0W8" xr:uid="{00000000-0004-0000-0400-0000B4070000}"/>
    <hyperlink ref="H553" r:id="rId1974" display="https://docs.google.com/spreadsheets/d/1Lkqbz3rBV8yB5jpHujxLdkQpr3Gb2Nmxp-CN8dwZ0W8" xr:uid="{00000000-0004-0000-0400-0000B5070000}"/>
    <hyperlink ref="I553" r:id="rId1975" display="https://docs.google.com/open?id=1Lkqbz3rBV8yB5jpHujxLdkQpr3Gb2Nmxp-CN8dwZ0W8" xr:uid="{00000000-0004-0000-0400-0000B6070000}"/>
    <hyperlink ref="D554" r:id="rId1976" display="https://drive.google.com/open?id=16NmzZdRIh7OW3EYKMashGS-DuqM1W3V1603dcQGNJ2M&amp;usp=drive_copy" xr:uid="{00000000-0004-0000-0400-0000B7070000}"/>
    <hyperlink ref="E554" r:id="rId1977" display="https://drive.google.com/open?id=16NmzZdRIh7OW3EYKMashGS-DuqM1W3V1603dcQGNJ2M" xr:uid="{00000000-0004-0000-0400-0000B8070000}"/>
    <hyperlink ref="H554" r:id="rId1978" display="https://docs.google.com/spreadsheets/d/16NmzZdRIh7OW3EYKMashGS-DuqM1W3V1603dcQGNJ2M" xr:uid="{00000000-0004-0000-0400-0000B9070000}"/>
    <hyperlink ref="I554" r:id="rId1979" display="https://docs.google.com/open?id=16NmzZdRIh7OW3EYKMashGS-DuqM1W3V1603dcQGNJ2M" xr:uid="{00000000-0004-0000-0400-0000BA070000}"/>
    <hyperlink ref="D555" r:id="rId1980" display="https://drive.google.com/open?id=16MyVWQLNl7HMCmx8YWNFG_zmTXRoJ1gwvLsSTUWr_wg&amp;usp=drive_copy" xr:uid="{00000000-0004-0000-0400-0000BB070000}"/>
    <hyperlink ref="E555" r:id="rId1981" display="https://drive.google.com/open?id=16MyVWQLNl7HMCmx8YWNFG_zmTXRoJ1gwvLsSTUWr_wg" xr:uid="{00000000-0004-0000-0400-0000BC070000}"/>
    <hyperlink ref="H555" r:id="rId1982" display="https://docs.google.com/spreadsheets/d/16MyVWQLNl7HMCmx8YWNFG_zmTXRoJ1gwvLsSTUWr_wg" xr:uid="{00000000-0004-0000-0400-0000BD070000}"/>
    <hyperlink ref="I555" r:id="rId1983" display="https://docs.google.com/open?id=16MyVWQLNl7HMCmx8YWNFG_zmTXRoJ1gwvLsSTUWr_wg" xr:uid="{00000000-0004-0000-0400-0000BE070000}"/>
    <hyperlink ref="D556" r:id="rId1984" display="https://drive.google.com/open?id=1BU0UUT5RNqv4BJFlEX9VuiIHltXkcSj7Uea1cuR_7ow&amp;usp=drive_copy" xr:uid="{00000000-0004-0000-0400-0000BF070000}"/>
    <hyperlink ref="E556" r:id="rId1985" display="https://drive.google.com/open?id=1BU0UUT5RNqv4BJFlEX9VuiIHltXkcSj7Uea1cuR_7ow" xr:uid="{00000000-0004-0000-0400-0000C0070000}"/>
    <hyperlink ref="H556" r:id="rId1986" display="https://docs.google.com/spreadsheets/d/1BU0UUT5RNqv4BJFlEX9VuiIHltXkcSj7Uea1cuR_7ow" xr:uid="{00000000-0004-0000-0400-0000C1070000}"/>
    <hyperlink ref="I556" r:id="rId1987" display="https://docs.google.com/open?id=1BU0UUT5RNqv4BJFlEX9VuiIHltXkcSj7Uea1cuR_7ow" xr:uid="{00000000-0004-0000-0400-0000C2070000}"/>
    <hyperlink ref="D557" r:id="rId1988" display="https://drive.google.com/open?id=1bUrbjQoyRd_8zWya9Ql-oZVVEdKMJVD62WjZnWWglEY&amp;usp=drive_copy" xr:uid="{00000000-0004-0000-0400-0000C3070000}"/>
    <hyperlink ref="E557" r:id="rId1989" display="https://drive.google.com/open?id=1bUrbjQoyRd_8zWya9Ql-oZVVEdKMJVD62WjZnWWglEY" xr:uid="{00000000-0004-0000-0400-0000C4070000}"/>
    <hyperlink ref="H557" r:id="rId1990" display="https://docs.google.com/spreadsheets/d/1bUrbjQoyRd_8zWya9Ql-oZVVEdKMJVD62WjZnWWglEY" xr:uid="{00000000-0004-0000-0400-0000C5070000}"/>
    <hyperlink ref="I557" r:id="rId1991" display="https://docs.google.com/open?id=1bUrbjQoyRd_8zWya9Ql-oZVVEdKMJVD62WjZnWWglEY" xr:uid="{00000000-0004-0000-0400-0000C6070000}"/>
    <hyperlink ref="D558" r:id="rId1992" display="https://drive.google.com/open?id=1Dqc_Pf95YQXb5424igOMFHGNucg4DNgzS87U9cUeycU&amp;usp=drive_copy" xr:uid="{00000000-0004-0000-0400-0000C7070000}"/>
    <hyperlink ref="E558" r:id="rId1993" display="https://drive.google.com/open?id=1Dqc_Pf95YQXb5424igOMFHGNucg4DNgzS87U9cUeycU" xr:uid="{00000000-0004-0000-0400-0000C8070000}"/>
    <hyperlink ref="H558" r:id="rId1994" display="https://docs.google.com/spreadsheets/d/1Dqc_Pf95YQXb5424igOMFHGNucg4DNgzS87U9cUeycU" xr:uid="{00000000-0004-0000-0400-0000C9070000}"/>
    <hyperlink ref="I558" r:id="rId1995" display="https://docs.google.com/open?id=1Dqc_Pf95YQXb5424igOMFHGNucg4DNgzS87U9cUeycU" xr:uid="{00000000-0004-0000-0400-0000CA070000}"/>
    <hyperlink ref="D559" r:id="rId1996" display="https://drive.google.com/open?id=1fRTVWq5RsLQHXiDjB1uhc_0c6GRGIzAkt24qjlxFN5o&amp;usp=drive_copy" xr:uid="{00000000-0004-0000-0400-0000CB070000}"/>
    <hyperlink ref="E559" r:id="rId1997" display="https://drive.google.com/open?id=1fRTVWq5RsLQHXiDjB1uhc_0c6GRGIzAkt24qjlxFN5o" xr:uid="{00000000-0004-0000-0400-0000CC070000}"/>
    <hyperlink ref="H559" r:id="rId1998" display="https://docs.google.com/spreadsheets/d/1fRTVWq5RsLQHXiDjB1uhc_0c6GRGIzAkt24qjlxFN5o" xr:uid="{00000000-0004-0000-0400-0000CD070000}"/>
    <hyperlink ref="I559" r:id="rId1999" display="https://docs.google.com/open?id=1fRTVWq5RsLQHXiDjB1uhc_0c6GRGIzAkt24qjlxFN5o" xr:uid="{00000000-0004-0000-0400-0000CE070000}"/>
    <hyperlink ref="D560" r:id="rId2000" display="https://drive.google.com/open?id=1RKYZkFFOssiMJvj3ZKK89rKRTdj2oQ5ZIGmHPlaWj8I&amp;usp=drive_copy" xr:uid="{00000000-0004-0000-0400-0000CF070000}"/>
    <hyperlink ref="E560" r:id="rId2001" display="https://drive.google.com/open?id=1RKYZkFFOssiMJvj3ZKK89rKRTdj2oQ5ZIGmHPlaWj8I" xr:uid="{00000000-0004-0000-0400-0000D0070000}"/>
    <hyperlink ref="H560" r:id="rId2002" display="https://docs.google.com/spreadsheets/d/1RKYZkFFOssiMJvj3ZKK89rKRTdj2oQ5ZIGmHPlaWj8I" xr:uid="{00000000-0004-0000-0400-0000D1070000}"/>
    <hyperlink ref="I560" r:id="rId2003" display="https://docs.google.com/open?id=1RKYZkFFOssiMJvj3ZKK89rKRTdj2oQ5ZIGmHPlaWj8I" xr:uid="{00000000-0004-0000-0400-0000D2070000}"/>
    <hyperlink ref="D561" r:id="rId2004" display="https://drive.google.com/open?id=1f0Z3c9FhlPQcA_mStNucrGOMAA6WSd7OQOeTDngX6gk&amp;usp=drive_copy" xr:uid="{00000000-0004-0000-0400-0000D3070000}"/>
    <hyperlink ref="E561" r:id="rId2005" display="https://drive.google.com/open?id=1f0Z3c9FhlPQcA_mStNucrGOMAA6WSd7OQOeTDngX6gk" xr:uid="{00000000-0004-0000-0400-0000D4070000}"/>
    <hyperlink ref="H561" r:id="rId2006" display="https://docs.google.com/spreadsheets/d/1f0Z3c9FhlPQcA_mStNucrGOMAA6WSd7OQOeTDngX6gk" xr:uid="{00000000-0004-0000-0400-0000D5070000}"/>
    <hyperlink ref="I561" r:id="rId2007" display="https://docs.google.com/open?id=1f0Z3c9FhlPQcA_mStNucrGOMAA6WSd7OQOeTDngX6gk" xr:uid="{00000000-0004-0000-0400-0000D6070000}"/>
    <hyperlink ref="D562" r:id="rId2008" display="https://drive.google.com/open?id=1fU1JXOTykueNJng4Yr5LHGOHott98hjFCCQ3_vke5nQ&amp;usp=drive_copy" xr:uid="{00000000-0004-0000-0400-0000D7070000}"/>
    <hyperlink ref="E562" r:id="rId2009" display="https://drive.google.com/open?id=1fU1JXOTykueNJng4Yr5LHGOHott98hjFCCQ3_vke5nQ" xr:uid="{00000000-0004-0000-0400-0000D8070000}"/>
    <hyperlink ref="H562" r:id="rId2010" display="https://docs.google.com/spreadsheets/d/1fU1JXOTykueNJng4Yr5LHGOHott98hjFCCQ3_vke5nQ" xr:uid="{00000000-0004-0000-0400-0000D9070000}"/>
    <hyperlink ref="I562" r:id="rId2011" display="https://docs.google.com/open?id=1fU1JXOTykueNJng4Yr5LHGOHott98hjFCCQ3_vke5nQ" xr:uid="{00000000-0004-0000-0400-0000DA070000}"/>
    <hyperlink ref="D563" r:id="rId2012" display="https://drive.google.com/open?id=1qz-QanfNnKYCuEUwecPOPU4pSGBcW0ts_uhGZXtaLs8&amp;usp=drive_copy" xr:uid="{00000000-0004-0000-0400-0000DB070000}"/>
    <hyperlink ref="E563" r:id="rId2013" display="https://drive.google.com/open?id=1qz-QanfNnKYCuEUwecPOPU4pSGBcW0ts_uhGZXtaLs8" xr:uid="{00000000-0004-0000-0400-0000DC070000}"/>
    <hyperlink ref="H563" r:id="rId2014" display="https://docs.google.com/spreadsheets/d/1qz-QanfNnKYCuEUwecPOPU4pSGBcW0ts_uhGZXtaLs8" xr:uid="{00000000-0004-0000-0400-0000DD070000}"/>
    <hyperlink ref="I563" r:id="rId2015" display="https://docs.google.com/open?id=1qz-QanfNnKYCuEUwecPOPU4pSGBcW0ts_uhGZXtaLs8" xr:uid="{00000000-0004-0000-0400-0000DE070000}"/>
    <hyperlink ref="D564" r:id="rId2016" display="https://drive.google.com/open?id=1I3AF19kK7L1mKBHF-HNiBhq5ToSl1LbuuMHzVkPdcUo&amp;usp=drive_copy" xr:uid="{00000000-0004-0000-0400-0000DF070000}"/>
    <hyperlink ref="E564" r:id="rId2017" display="https://drive.google.com/open?id=1I3AF19kK7L1mKBHF-HNiBhq5ToSl1LbuuMHzVkPdcUo" xr:uid="{00000000-0004-0000-0400-0000E0070000}"/>
    <hyperlink ref="H564" r:id="rId2018" display="https://docs.google.com/spreadsheets/d/1I3AF19kK7L1mKBHF-HNiBhq5ToSl1LbuuMHzVkPdcUo" xr:uid="{00000000-0004-0000-0400-0000E1070000}"/>
    <hyperlink ref="I564" r:id="rId2019" display="https://docs.google.com/open?id=1I3AF19kK7L1mKBHF-HNiBhq5ToSl1LbuuMHzVkPdcUo" xr:uid="{00000000-0004-0000-0400-0000E2070000}"/>
    <hyperlink ref="D565" r:id="rId2020" display="https://drive.google.com/open?id=1jAMIDgWJQybcb8r7KykpfwMb-EcHt5QEdWF1kNkZ5Ns&amp;usp=drive_copy" xr:uid="{00000000-0004-0000-0400-0000E3070000}"/>
    <hyperlink ref="E565" r:id="rId2021" display="https://drive.google.com/open?id=1jAMIDgWJQybcb8r7KykpfwMb-EcHt5QEdWF1kNkZ5Ns" xr:uid="{00000000-0004-0000-0400-0000E4070000}"/>
    <hyperlink ref="H565" r:id="rId2022" display="https://docs.google.com/spreadsheets/d/1jAMIDgWJQybcb8r7KykpfwMb-EcHt5QEdWF1kNkZ5Ns" xr:uid="{00000000-0004-0000-0400-0000E5070000}"/>
    <hyperlink ref="I565" r:id="rId2023" display="https://docs.google.com/open?id=1jAMIDgWJQybcb8r7KykpfwMb-EcHt5QEdWF1kNkZ5Ns" xr:uid="{00000000-0004-0000-0400-0000E6070000}"/>
    <hyperlink ref="D566" r:id="rId2024" display="https://drive.google.com/open?id=1sGrah5s8iEACXhZq_fvr19mWahjeuT0zh2ZVftcP-3k&amp;usp=drive_copy" xr:uid="{00000000-0004-0000-0400-0000E7070000}"/>
    <hyperlink ref="E566" r:id="rId2025" display="https://drive.google.com/open?id=1sGrah5s8iEACXhZq_fvr19mWahjeuT0zh2ZVftcP-3k" xr:uid="{00000000-0004-0000-0400-0000E8070000}"/>
    <hyperlink ref="H566" r:id="rId2026" display="https://docs.google.com/spreadsheets/d/1sGrah5s8iEACXhZq_fvr19mWahjeuT0zh2ZVftcP-3k" xr:uid="{00000000-0004-0000-0400-0000E9070000}"/>
    <hyperlink ref="I566" r:id="rId2027" display="https://docs.google.com/open?id=1sGrah5s8iEACXhZq_fvr19mWahjeuT0zh2ZVftcP-3k" xr:uid="{00000000-0004-0000-0400-0000EA070000}"/>
    <hyperlink ref="D567" r:id="rId2028" display="https://drive.google.com/open?id=1EZZlf-oZkJOSuzCoedEqasBDz1cZkRN6OJBsdqLytVo&amp;usp=drive_copy" xr:uid="{00000000-0004-0000-0400-0000EB070000}"/>
    <hyperlink ref="E567" r:id="rId2029" display="https://drive.google.com/open?id=1EZZlf-oZkJOSuzCoedEqasBDz1cZkRN6OJBsdqLytVo" xr:uid="{00000000-0004-0000-0400-0000EC070000}"/>
    <hyperlink ref="H567" r:id="rId2030" display="https://docs.google.com/spreadsheets/d/1EZZlf-oZkJOSuzCoedEqasBDz1cZkRN6OJBsdqLytVo" xr:uid="{00000000-0004-0000-0400-0000ED070000}"/>
    <hyperlink ref="I567" r:id="rId2031" display="https://docs.google.com/open?id=1EZZlf-oZkJOSuzCoedEqasBDz1cZkRN6OJBsdqLytVo" xr:uid="{00000000-0004-0000-0400-0000EE070000}"/>
    <hyperlink ref="D568" r:id="rId2032" display="https://drive.google.com/open?id=1G6R0o5Pv0LcGQYBrrDDjvimc0cHTaZk2TzWJX4Wu7ns&amp;usp=drive_copy" xr:uid="{00000000-0004-0000-0400-0000EF070000}"/>
    <hyperlink ref="E568" r:id="rId2033" display="https://drive.google.com/open?id=1G6R0o5Pv0LcGQYBrrDDjvimc0cHTaZk2TzWJX4Wu7ns" xr:uid="{00000000-0004-0000-0400-0000F0070000}"/>
    <hyperlink ref="H568" r:id="rId2034" display="https://docs.google.com/spreadsheets/d/1G6R0o5Pv0LcGQYBrrDDjvimc0cHTaZk2TzWJX4Wu7ns" xr:uid="{00000000-0004-0000-0400-0000F1070000}"/>
    <hyperlink ref="I568" r:id="rId2035" display="https://docs.google.com/open?id=1G6R0o5Pv0LcGQYBrrDDjvimc0cHTaZk2TzWJX4Wu7ns" xr:uid="{00000000-0004-0000-0400-0000F2070000}"/>
    <hyperlink ref="D569" r:id="rId2036" display="https://drive.google.com/open?id=1biTi2ymlkV4x9dXvw9oFu6Sw05uBhDTp5wXV7PymxRg&amp;usp=drive_copy" xr:uid="{00000000-0004-0000-0400-0000F3070000}"/>
    <hyperlink ref="E569" r:id="rId2037" display="https://drive.google.com/open?id=1biTi2ymlkV4x9dXvw9oFu6Sw05uBhDTp5wXV7PymxRg" xr:uid="{00000000-0004-0000-0400-0000F4070000}"/>
    <hyperlink ref="H569" r:id="rId2038" display="https://docs.google.com/spreadsheets/d/1biTi2ymlkV4x9dXvw9oFu6Sw05uBhDTp5wXV7PymxRg" xr:uid="{00000000-0004-0000-0400-0000F5070000}"/>
    <hyperlink ref="I569" r:id="rId2039" display="https://docs.google.com/open?id=1biTi2ymlkV4x9dXvw9oFu6Sw05uBhDTp5wXV7PymxRg" xr:uid="{00000000-0004-0000-0400-0000F6070000}"/>
    <hyperlink ref="D570" r:id="rId2040" display="https://drive.google.com/open?id=188Cz7H5iEkxNMg9roX8vCsWndIEsyC3uohC-u-2_1FU&amp;usp=drive_copy" xr:uid="{00000000-0004-0000-0400-0000F7070000}"/>
    <hyperlink ref="E570" r:id="rId2041" display="https://drive.google.com/open?id=188Cz7H5iEkxNMg9roX8vCsWndIEsyC3uohC-u-2_1FU" xr:uid="{00000000-0004-0000-0400-0000F8070000}"/>
    <hyperlink ref="H570" r:id="rId2042" display="https://docs.google.com/spreadsheets/d/188Cz7H5iEkxNMg9roX8vCsWndIEsyC3uohC-u-2_1FU" xr:uid="{00000000-0004-0000-0400-0000F9070000}"/>
    <hyperlink ref="I570" r:id="rId2043" display="https://docs.google.com/open?id=188Cz7H5iEkxNMg9roX8vCsWndIEsyC3uohC-u-2_1FU" xr:uid="{00000000-0004-0000-0400-0000FA070000}"/>
    <hyperlink ref="D571" r:id="rId2044" display="https://drive.google.com/open?id=1RcvHn8UmSUJnVTdhZDqkVTd6AyOnH3nsRPYso4rouDk&amp;usp=drive_copy" xr:uid="{00000000-0004-0000-0400-0000FB070000}"/>
    <hyperlink ref="E571" r:id="rId2045" display="https://drive.google.com/open?id=1RcvHn8UmSUJnVTdhZDqkVTd6AyOnH3nsRPYso4rouDk" xr:uid="{00000000-0004-0000-0400-0000FC070000}"/>
    <hyperlink ref="H571" r:id="rId2046" display="https://docs.google.com/spreadsheets/d/1RcvHn8UmSUJnVTdhZDqkVTd6AyOnH3nsRPYso4rouDk" xr:uid="{00000000-0004-0000-0400-0000FD070000}"/>
    <hyperlink ref="I571" r:id="rId2047" display="https://docs.google.com/open?id=1RcvHn8UmSUJnVTdhZDqkVTd6AyOnH3nsRPYso4rouDk" xr:uid="{00000000-0004-0000-0400-0000FE070000}"/>
    <hyperlink ref="D572" r:id="rId2048" display="https://drive.google.com/open?id=1YH1tpdzFQjPmqYxFGID-KIc1M73TGdL9ohNRiS2KZpE&amp;usp=drive_copy" xr:uid="{00000000-0004-0000-0400-0000FF070000}"/>
    <hyperlink ref="E572" r:id="rId2049" display="https://drive.google.com/open?id=1YH1tpdzFQjPmqYxFGID-KIc1M73TGdL9ohNRiS2KZpE" xr:uid="{00000000-0004-0000-0400-000000080000}"/>
    <hyperlink ref="H572" r:id="rId2050" display="https://docs.google.com/spreadsheets/d/1YH1tpdzFQjPmqYxFGID-KIc1M73TGdL9ohNRiS2KZpE" xr:uid="{00000000-0004-0000-0400-000001080000}"/>
    <hyperlink ref="I572" r:id="rId2051" display="https://docs.google.com/open?id=1YH1tpdzFQjPmqYxFGID-KIc1M73TGdL9ohNRiS2KZpE" xr:uid="{00000000-0004-0000-0400-000002080000}"/>
    <hyperlink ref="D573" r:id="rId2052" display="https://drive.google.com/open?id=13QhkliNcfriD2DUW8HuH6dOshknm0I0cqz7sQlTzgmI&amp;usp=drive_copy" xr:uid="{00000000-0004-0000-0400-000003080000}"/>
    <hyperlink ref="E573" r:id="rId2053" display="https://drive.google.com/open?id=13QhkliNcfriD2DUW8HuH6dOshknm0I0cqz7sQlTzgmI" xr:uid="{00000000-0004-0000-0400-000004080000}"/>
    <hyperlink ref="H573" r:id="rId2054" display="https://docs.google.com/spreadsheets/d/13QhkliNcfriD2DUW8HuH6dOshknm0I0cqz7sQlTzgmI" xr:uid="{00000000-0004-0000-0400-000005080000}"/>
    <hyperlink ref="I573" r:id="rId2055" display="https://docs.google.com/open?id=13QhkliNcfriD2DUW8HuH6dOshknm0I0cqz7sQlTzgmI" xr:uid="{00000000-0004-0000-0400-000006080000}"/>
    <hyperlink ref="D574" r:id="rId2056" display="https://drive.google.com/open?id=10mbr-0vwM8kYmIfhGJyI31hWVUgazf863FXyTN0cu2A&amp;usp=drive_copy" xr:uid="{00000000-0004-0000-0400-000007080000}"/>
    <hyperlink ref="E574" r:id="rId2057" display="https://drive.google.com/open?id=10mbr-0vwM8kYmIfhGJyI31hWVUgazf863FXyTN0cu2A" xr:uid="{00000000-0004-0000-0400-000008080000}"/>
    <hyperlink ref="H574" r:id="rId2058" display="https://docs.google.com/spreadsheets/d/10mbr-0vwM8kYmIfhGJyI31hWVUgazf863FXyTN0cu2A" xr:uid="{00000000-0004-0000-0400-000009080000}"/>
    <hyperlink ref="I574" r:id="rId2059" display="https://docs.google.com/open?id=10mbr-0vwM8kYmIfhGJyI31hWVUgazf863FXyTN0cu2A" xr:uid="{00000000-0004-0000-0400-00000A080000}"/>
    <hyperlink ref="D575" r:id="rId2060" display="https://drive.google.com/open?id=1YWX9TQlOJvLswET9G6iypcmHdHdVOFR_-rKFuAQyoUc&amp;usp=drive_copy" xr:uid="{00000000-0004-0000-0400-00000B080000}"/>
    <hyperlink ref="E575" r:id="rId2061" display="https://drive.google.com/open?id=1YWX9TQlOJvLswET9G6iypcmHdHdVOFR_-rKFuAQyoUc" xr:uid="{00000000-0004-0000-0400-00000C080000}"/>
    <hyperlink ref="H575" r:id="rId2062" display="https://docs.google.com/spreadsheets/d/1YWX9TQlOJvLswET9G6iypcmHdHdVOFR_-rKFuAQyoUc" xr:uid="{00000000-0004-0000-0400-00000D080000}"/>
    <hyperlink ref="I575" r:id="rId2063" display="https://docs.google.com/open?id=1YWX9TQlOJvLswET9G6iypcmHdHdVOFR_-rKFuAQyoUc" xr:uid="{00000000-0004-0000-0400-00000E080000}"/>
    <hyperlink ref="D576" r:id="rId2064" display="https://drive.google.com/open?id=1_Z9xhlLNQp8Gg84MYo3lOwLL1j3O0rpkd188A6qymLE&amp;usp=drive_copy" xr:uid="{00000000-0004-0000-0400-00000F080000}"/>
    <hyperlink ref="E576" r:id="rId2065" display="https://drive.google.com/open?id=1_Z9xhlLNQp8Gg84MYo3lOwLL1j3O0rpkd188A6qymLE" xr:uid="{00000000-0004-0000-0400-000010080000}"/>
    <hyperlink ref="H576" r:id="rId2066" display="https://docs.google.com/spreadsheets/d/1_Z9xhlLNQp8Gg84MYo3lOwLL1j3O0rpkd188A6qymLE" xr:uid="{00000000-0004-0000-0400-000011080000}"/>
    <hyperlink ref="I576" r:id="rId2067" display="https://docs.google.com/open?id=1_Z9xhlLNQp8Gg84MYo3lOwLL1j3O0rpkd188A6qymLE" xr:uid="{00000000-0004-0000-0400-000012080000}"/>
    <hyperlink ref="D577" r:id="rId2068" display="https://drive.google.com/open?id=1kFh-M-hT8ij3Uec8M8S6NZ1xdxzBrB7XYxkvhSPqxGU&amp;usp=drive_copy" xr:uid="{00000000-0004-0000-0400-000013080000}"/>
    <hyperlink ref="E577" r:id="rId2069" display="https://drive.google.com/open?id=1kFh-M-hT8ij3Uec8M8S6NZ1xdxzBrB7XYxkvhSPqxGU" xr:uid="{00000000-0004-0000-0400-000014080000}"/>
    <hyperlink ref="H577" r:id="rId2070" display="https://docs.google.com/spreadsheets/d/1kFh-M-hT8ij3Uec8M8S6NZ1xdxzBrB7XYxkvhSPqxGU" xr:uid="{00000000-0004-0000-0400-000015080000}"/>
    <hyperlink ref="I577" r:id="rId2071" display="https://docs.google.com/open?id=1kFh-M-hT8ij3Uec8M8S6NZ1xdxzBrB7XYxkvhSPqxGU" xr:uid="{00000000-0004-0000-0400-000016080000}"/>
    <hyperlink ref="D578" r:id="rId2072" display="https://drive.google.com/open?id=13ss263b1v0zCi3a6DhT3Z7lXL24RgSPEnJ8zBbN4iKw&amp;usp=drive_copy" xr:uid="{00000000-0004-0000-0400-000017080000}"/>
    <hyperlink ref="E578" r:id="rId2073" display="https://drive.google.com/open?id=13ss263b1v0zCi3a6DhT3Z7lXL24RgSPEnJ8zBbN4iKw" xr:uid="{00000000-0004-0000-0400-000018080000}"/>
    <hyperlink ref="H578" r:id="rId2074" display="https://docs.google.com/spreadsheets/d/13ss263b1v0zCi3a6DhT3Z7lXL24RgSPEnJ8zBbN4iKw" xr:uid="{00000000-0004-0000-0400-000019080000}"/>
    <hyperlink ref="I578" r:id="rId2075" display="https://docs.google.com/open?id=13ss263b1v0zCi3a6DhT3Z7lXL24RgSPEnJ8zBbN4iKw" xr:uid="{00000000-0004-0000-0400-00001A080000}"/>
    <hyperlink ref="D579" r:id="rId2076" display="https://drive.google.com/open?id=15KZ--t3Q0kkTCxhyfiIGFFjAhGJJsnt0xLok7nrdO38&amp;usp=drive_copy" xr:uid="{00000000-0004-0000-0400-00001B080000}"/>
    <hyperlink ref="E579" r:id="rId2077" display="https://drive.google.com/open?id=15KZ--t3Q0kkTCxhyfiIGFFjAhGJJsnt0xLok7nrdO38" xr:uid="{00000000-0004-0000-0400-00001C080000}"/>
    <hyperlink ref="H579" r:id="rId2078" display="https://docs.google.com/spreadsheets/d/15KZ--t3Q0kkTCxhyfiIGFFjAhGJJsnt0xLok7nrdO38" xr:uid="{00000000-0004-0000-0400-00001D080000}"/>
    <hyperlink ref="I579" r:id="rId2079" display="https://docs.google.com/open?id=15KZ--t3Q0kkTCxhyfiIGFFjAhGJJsnt0xLok7nrdO38" xr:uid="{00000000-0004-0000-0400-00001E080000}"/>
    <hyperlink ref="D580" r:id="rId2080" display="https://drive.google.com/open?id=1F_9OAvKz0KlFsPKIxwKI3CJWvfkj5tmmyxQqpkANOIc&amp;usp=drive_copy" xr:uid="{00000000-0004-0000-0400-00001F080000}"/>
    <hyperlink ref="E580" r:id="rId2081" display="https://drive.google.com/open?id=1F_9OAvKz0KlFsPKIxwKI3CJWvfkj5tmmyxQqpkANOIc" xr:uid="{00000000-0004-0000-0400-000020080000}"/>
    <hyperlink ref="H580" r:id="rId2082" display="https://docs.google.com/spreadsheets/d/1F_9OAvKz0KlFsPKIxwKI3CJWvfkj5tmmyxQqpkANOIc" xr:uid="{00000000-0004-0000-0400-000021080000}"/>
    <hyperlink ref="I580" r:id="rId2083" display="https://docs.google.com/open?id=1F_9OAvKz0KlFsPKIxwKI3CJWvfkj5tmmyxQqpkANOIc" xr:uid="{00000000-0004-0000-0400-000022080000}"/>
    <hyperlink ref="D581" r:id="rId2084" display="https://drive.google.com/open?id=1OkOJ9-fcwAxIY0UiNGHafkZR6crApqZVOZT7fs3rOh8&amp;usp=drive_copy" xr:uid="{00000000-0004-0000-0400-000023080000}"/>
    <hyperlink ref="E581" r:id="rId2085" display="https://drive.google.com/open?id=1OkOJ9-fcwAxIY0UiNGHafkZR6crApqZVOZT7fs3rOh8" xr:uid="{00000000-0004-0000-0400-000024080000}"/>
    <hyperlink ref="H581" r:id="rId2086" display="https://docs.google.com/spreadsheets/d/1OkOJ9-fcwAxIY0UiNGHafkZR6crApqZVOZT7fs3rOh8" xr:uid="{00000000-0004-0000-0400-000025080000}"/>
    <hyperlink ref="I581" r:id="rId2087" display="https://docs.google.com/open?id=1OkOJ9-fcwAxIY0UiNGHafkZR6crApqZVOZT7fs3rOh8" xr:uid="{00000000-0004-0000-0400-000026080000}"/>
    <hyperlink ref="D582" r:id="rId2088" display="https://drive.google.com/open?id=1qi8RpRUilbwQp6yaE6A4fo9IsrE1w4X5EuFk7MfPJvw&amp;usp=drive_copy" xr:uid="{00000000-0004-0000-0400-000027080000}"/>
    <hyperlink ref="E582" r:id="rId2089" display="https://drive.google.com/open?id=1qi8RpRUilbwQp6yaE6A4fo9IsrE1w4X5EuFk7MfPJvw" xr:uid="{00000000-0004-0000-0400-000028080000}"/>
    <hyperlink ref="H582" r:id="rId2090" display="https://docs.google.com/spreadsheets/d/1qi8RpRUilbwQp6yaE6A4fo9IsrE1w4X5EuFk7MfPJvw" xr:uid="{00000000-0004-0000-0400-000029080000}"/>
    <hyperlink ref="I582" r:id="rId2091" display="https://docs.google.com/open?id=1qi8RpRUilbwQp6yaE6A4fo9IsrE1w4X5EuFk7MfPJvw" xr:uid="{00000000-0004-0000-0400-00002A080000}"/>
    <hyperlink ref="D583" r:id="rId2092" display="https://drive.google.com/open?id=1jozkSJ-c0pOQMXXCjkAgYrmDaFrwUr9J-GPsDi4AnnM&amp;usp=drive_copy" xr:uid="{00000000-0004-0000-0400-00002B080000}"/>
    <hyperlink ref="E583" r:id="rId2093" display="https://drive.google.com/open?id=1jozkSJ-c0pOQMXXCjkAgYrmDaFrwUr9J-GPsDi4AnnM" xr:uid="{00000000-0004-0000-0400-00002C080000}"/>
    <hyperlink ref="H583" r:id="rId2094" display="https://docs.google.com/spreadsheets/d/1jozkSJ-c0pOQMXXCjkAgYrmDaFrwUr9J-GPsDi4AnnM" xr:uid="{00000000-0004-0000-0400-00002D080000}"/>
    <hyperlink ref="I583" r:id="rId2095" display="https://docs.google.com/open?id=1jozkSJ-c0pOQMXXCjkAgYrmDaFrwUr9J-GPsDi4AnnM" xr:uid="{00000000-0004-0000-0400-00002E080000}"/>
    <hyperlink ref="D584" r:id="rId2096" display="https://drive.google.com/open?id=1qwXEmEX155112a9wvWtRYTctoBhotoIAq4SwhNWQGq0&amp;usp=drive_copy" xr:uid="{00000000-0004-0000-0400-00002F080000}"/>
    <hyperlink ref="E584" r:id="rId2097" display="https://drive.google.com/open?id=1qwXEmEX155112a9wvWtRYTctoBhotoIAq4SwhNWQGq0" xr:uid="{00000000-0004-0000-0400-000030080000}"/>
    <hyperlink ref="H584" r:id="rId2098" display="https://docs.google.com/spreadsheets/d/1qwXEmEX155112a9wvWtRYTctoBhotoIAq4SwhNWQGq0" xr:uid="{00000000-0004-0000-0400-000031080000}"/>
    <hyperlink ref="I584" r:id="rId2099" display="https://docs.google.com/open?id=1qwXEmEX155112a9wvWtRYTctoBhotoIAq4SwhNWQGq0" xr:uid="{00000000-0004-0000-0400-000032080000}"/>
    <hyperlink ref="D585" r:id="rId2100" display="https://drive.google.com/open?id=18qSbAXw4IAiqN7UMYpJ_lqFs-ERDVHiBfjRGi1nDb6o&amp;usp=drive_copy" xr:uid="{00000000-0004-0000-0400-000033080000}"/>
    <hyperlink ref="E585" r:id="rId2101" display="https://drive.google.com/open?id=18qSbAXw4IAiqN7UMYpJ_lqFs-ERDVHiBfjRGi1nDb6o" xr:uid="{00000000-0004-0000-0400-000034080000}"/>
    <hyperlink ref="H585" r:id="rId2102" display="https://docs.google.com/spreadsheets/d/18qSbAXw4IAiqN7UMYpJ_lqFs-ERDVHiBfjRGi1nDb6o" xr:uid="{00000000-0004-0000-0400-000035080000}"/>
    <hyperlink ref="I585" r:id="rId2103" display="https://docs.google.com/open?id=18qSbAXw4IAiqN7UMYpJ_lqFs-ERDVHiBfjRGi1nDb6o" xr:uid="{00000000-0004-0000-0400-000036080000}"/>
    <hyperlink ref="D586" r:id="rId2104" display="https://drive.google.com/open?id=1Q79oxW6H3J_Qyqs3cDucMJP-QsuGGkB1CzQx4IA372I&amp;usp=drive_copy" xr:uid="{00000000-0004-0000-0400-000037080000}"/>
    <hyperlink ref="E586" r:id="rId2105" display="https://drive.google.com/open?id=1Q79oxW6H3J_Qyqs3cDucMJP-QsuGGkB1CzQx4IA372I" xr:uid="{00000000-0004-0000-0400-000038080000}"/>
    <hyperlink ref="H586" r:id="rId2106" display="https://docs.google.com/spreadsheets/d/1Q79oxW6H3J_Qyqs3cDucMJP-QsuGGkB1CzQx4IA372I" xr:uid="{00000000-0004-0000-0400-000039080000}"/>
    <hyperlink ref="I586" r:id="rId2107" display="https://docs.google.com/open?id=1Q79oxW6H3J_Qyqs3cDucMJP-QsuGGkB1CzQx4IA372I" xr:uid="{00000000-0004-0000-0400-00003A080000}"/>
    <hyperlink ref="D587" r:id="rId2108" display="https://drive.google.com/open?id=112_AMzoi6eIQvc9EhNq3E6l0-jMuicXT_27Prs-ZtyA&amp;usp=drive_copy" xr:uid="{00000000-0004-0000-0400-00003B080000}"/>
    <hyperlink ref="E587" r:id="rId2109" display="https://drive.google.com/open?id=112_AMzoi6eIQvc9EhNq3E6l0-jMuicXT_27Prs-ZtyA" xr:uid="{00000000-0004-0000-0400-00003C080000}"/>
    <hyperlink ref="H587" r:id="rId2110" display="https://docs.google.com/spreadsheets/d/112_AMzoi6eIQvc9EhNq3E6l0-jMuicXT_27Prs-ZtyA" xr:uid="{00000000-0004-0000-0400-00003D080000}"/>
    <hyperlink ref="I587" r:id="rId2111" display="https://docs.google.com/open?id=112_AMzoi6eIQvc9EhNq3E6l0-jMuicXT_27Prs-ZtyA" xr:uid="{00000000-0004-0000-0400-00003E080000}"/>
    <hyperlink ref="D588" r:id="rId2112" display="https://drive.google.com/open?id=1MabMWeb11l_jAiWX5XaI1pSiAKaScicTVXK6tjp2KlU&amp;usp=drive_copy" xr:uid="{00000000-0004-0000-0400-00003F080000}"/>
    <hyperlink ref="E588" r:id="rId2113" display="https://drive.google.com/open?id=1MabMWeb11l_jAiWX5XaI1pSiAKaScicTVXK6tjp2KlU" xr:uid="{00000000-0004-0000-0400-000040080000}"/>
    <hyperlink ref="H588" r:id="rId2114" display="https://docs.google.com/spreadsheets/d/1MabMWeb11l_jAiWX5XaI1pSiAKaScicTVXK6tjp2KlU" xr:uid="{00000000-0004-0000-0400-000041080000}"/>
    <hyperlink ref="I588" r:id="rId2115" display="https://docs.google.com/open?id=1MabMWeb11l_jAiWX5XaI1pSiAKaScicTVXK6tjp2KlU" xr:uid="{00000000-0004-0000-0400-000042080000}"/>
    <hyperlink ref="D589" r:id="rId2116" display="https://drive.google.com/open?id=1bHeKpf4EVsL3rafD5oed2cGiFdyJruYGBv-FzcLrm6g&amp;usp=drive_copy" xr:uid="{00000000-0004-0000-0400-000043080000}"/>
    <hyperlink ref="E589" r:id="rId2117" display="https://drive.google.com/open?id=1bHeKpf4EVsL3rafD5oed2cGiFdyJruYGBv-FzcLrm6g" xr:uid="{00000000-0004-0000-0400-000044080000}"/>
    <hyperlink ref="H589" r:id="rId2118" display="https://docs.google.com/spreadsheets/d/1bHeKpf4EVsL3rafD5oed2cGiFdyJruYGBv-FzcLrm6g" xr:uid="{00000000-0004-0000-0400-000045080000}"/>
    <hyperlink ref="I589" r:id="rId2119" display="https://docs.google.com/open?id=1bHeKpf4EVsL3rafD5oed2cGiFdyJruYGBv-FzcLrm6g" xr:uid="{00000000-0004-0000-0400-000046080000}"/>
    <hyperlink ref="D590" r:id="rId2120" display="https://drive.google.com/open?id=1jX14CpXtesjpB5tgFjcb3mrSIbWULZ-AotF87YvuNsY&amp;usp=drive_copy" xr:uid="{00000000-0004-0000-0400-000047080000}"/>
    <hyperlink ref="E590" r:id="rId2121" display="https://drive.google.com/open?id=1jX14CpXtesjpB5tgFjcb3mrSIbWULZ-AotF87YvuNsY" xr:uid="{00000000-0004-0000-0400-000048080000}"/>
    <hyperlink ref="H590" r:id="rId2122" display="https://docs.google.com/spreadsheets/d/1jX14CpXtesjpB5tgFjcb3mrSIbWULZ-AotF87YvuNsY" xr:uid="{00000000-0004-0000-0400-000049080000}"/>
    <hyperlink ref="I590" r:id="rId2123" display="https://docs.google.com/open?id=1jX14CpXtesjpB5tgFjcb3mrSIbWULZ-AotF87YvuNsY" xr:uid="{00000000-0004-0000-0400-00004A080000}"/>
    <hyperlink ref="D591" r:id="rId2124" display="https://drive.google.com/open?id=1zZHX4a0FY2YJ2Eu5EhItf_gs00d53mwfU6nmXVTq2sI&amp;usp=drive_copy" xr:uid="{00000000-0004-0000-0400-00004B080000}"/>
    <hyperlink ref="E591" r:id="rId2125" display="https://drive.google.com/open?id=1zZHX4a0FY2YJ2Eu5EhItf_gs00d53mwfU6nmXVTq2sI" xr:uid="{00000000-0004-0000-0400-00004C080000}"/>
    <hyperlink ref="H591" r:id="rId2126" display="https://docs.google.com/spreadsheets/d/1zZHX4a0FY2YJ2Eu5EhItf_gs00d53mwfU6nmXVTq2sI" xr:uid="{00000000-0004-0000-0400-00004D080000}"/>
    <hyperlink ref="I591" r:id="rId2127" display="https://docs.google.com/open?id=1zZHX4a0FY2YJ2Eu5EhItf_gs00d53mwfU6nmXVTq2sI" xr:uid="{00000000-0004-0000-0400-00004E080000}"/>
    <hyperlink ref="D592" r:id="rId2128" display="https://drive.google.com/open?id=1gjojWKaW77IWMv44XbLSysOJaL7bE-RN3ZWpUdIommo&amp;usp=drive_copy" xr:uid="{00000000-0004-0000-0400-00004F080000}"/>
    <hyperlink ref="E592" r:id="rId2129" display="https://drive.google.com/open?id=1gjojWKaW77IWMv44XbLSysOJaL7bE-RN3ZWpUdIommo" xr:uid="{00000000-0004-0000-0400-000050080000}"/>
    <hyperlink ref="H592" r:id="rId2130" display="https://docs.google.com/spreadsheets/d/1gjojWKaW77IWMv44XbLSysOJaL7bE-RN3ZWpUdIommo" xr:uid="{00000000-0004-0000-0400-000051080000}"/>
    <hyperlink ref="I592" r:id="rId2131" display="https://docs.google.com/open?id=1gjojWKaW77IWMv44XbLSysOJaL7bE-RN3ZWpUdIommo" xr:uid="{00000000-0004-0000-0400-000052080000}"/>
    <hyperlink ref="D593" r:id="rId2132" display="https://drive.google.com/open?id=1U9IhFiWSDuBKDWs_Q35FSL0yDRfuP0oq7UOlt7OUh4Y&amp;usp=drive_copy" xr:uid="{00000000-0004-0000-0400-000053080000}"/>
    <hyperlink ref="E593" r:id="rId2133" display="https://drive.google.com/open?id=1U9IhFiWSDuBKDWs_Q35FSL0yDRfuP0oq7UOlt7OUh4Y" xr:uid="{00000000-0004-0000-0400-000054080000}"/>
    <hyperlink ref="H593" r:id="rId2134" display="https://docs.google.com/spreadsheets/d/1U9IhFiWSDuBKDWs_Q35FSL0yDRfuP0oq7UOlt7OUh4Y" xr:uid="{00000000-0004-0000-0400-000055080000}"/>
    <hyperlink ref="I593" r:id="rId2135" display="https://docs.google.com/open?id=1U9IhFiWSDuBKDWs_Q35FSL0yDRfuP0oq7UOlt7OUh4Y" xr:uid="{00000000-0004-0000-0400-000056080000}"/>
    <hyperlink ref="D594" r:id="rId2136" display="https://drive.google.com/open?id=1EWNwkTNxoPbagahazsgN5ecMqHNPGiE2yIHWv4vyCk4&amp;usp=drive_copy" xr:uid="{00000000-0004-0000-0400-000057080000}"/>
    <hyperlink ref="E594" r:id="rId2137" display="https://drive.google.com/open?id=1EWNwkTNxoPbagahazsgN5ecMqHNPGiE2yIHWv4vyCk4" xr:uid="{00000000-0004-0000-0400-000058080000}"/>
    <hyperlink ref="H594" r:id="rId2138" display="https://docs.google.com/spreadsheets/d/1EWNwkTNxoPbagahazsgN5ecMqHNPGiE2yIHWv4vyCk4" xr:uid="{00000000-0004-0000-0400-000059080000}"/>
    <hyperlink ref="I594" r:id="rId2139" display="https://docs.google.com/open?id=1EWNwkTNxoPbagahazsgN5ecMqHNPGiE2yIHWv4vyCk4" xr:uid="{00000000-0004-0000-0400-00005A080000}"/>
    <hyperlink ref="D595" r:id="rId2140" display="https://drive.google.com/open?id=1_AAseG4k6qbmz9dnFEb5m4Wt2PHaxgFYS0EBaMH3BYM&amp;usp=drive_copy" xr:uid="{00000000-0004-0000-0400-00005B080000}"/>
    <hyperlink ref="E595" r:id="rId2141" display="https://drive.google.com/open?id=1_AAseG4k6qbmz9dnFEb5m4Wt2PHaxgFYS0EBaMH3BYM" xr:uid="{00000000-0004-0000-0400-00005C080000}"/>
    <hyperlink ref="H595" r:id="rId2142" display="https://docs.google.com/spreadsheets/d/1_AAseG4k6qbmz9dnFEb5m4Wt2PHaxgFYS0EBaMH3BYM" xr:uid="{00000000-0004-0000-0400-00005D080000}"/>
    <hyperlink ref="I595" r:id="rId2143" display="https://docs.google.com/open?id=1_AAseG4k6qbmz9dnFEb5m4Wt2PHaxgFYS0EBaMH3BYM" xr:uid="{00000000-0004-0000-0400-00005E080000}"/>
    <hyperlink ref="D596" r:id="rId2144" display="https://drive.google.com/open?id=1Lk6E6szCZxhHjuz7lZa-A1CxGfD2ia3gaD7SYUWrlCw&amp;usp=drive_copy" xr:uid="{00000000-0004-0000-0400-00005F080000}"/>
    <hyperlink ref="E596" r:id="rId2145" display="https://drive.google.com/open?id=1Lk6E6szCZxhHjuz7lZa-A1CxGfD2ia3gaD7SYUWrlCw" xr:uid="{00000000-0004-0000-0400-000060080000}"/>
    <hyperlink ref="H596" r:id="rId2146" display="https://docs.google.com/spreadsheets/d/1Lk6E6szCZxhHjuz7lZa-A1CxGfD2ia3gaD7SYUWrlCw" xr:uid="{00000000-0004-0000-0400-000061080000}"/>
    <hyperlink ref="I596" r:id="rId2147" display="https://docs.google.com/open?id=1Lk6E6szCZxhHjuz7lZa-A1CxGfD2ia3gaD7SYUWrlCw" xr:uid="{00000000-0004-0000-0400-000062080000}"/>
    <hyperlink ref="D597" r:id="rId2148" display="https://drive.google.com/open?id=1jajxmCI0_tJWdvCbQ1ARhcQODExydt4nspmZoWDLbYE&amp;usp=drive_copy" xr:uid="{00000000-0004-0000-0400-000063080000}"/>
    <hyperlink ref="E597" r:id="rId2149" display="https://drive.google.com/open?id=1jajxmCI0_tJWdvCbQ1ARhcQODExydt4nspmZoWDLbYE" xr:uid="{00000000-0004-0000-0400-000064080000}"/>
    <hyperlink ref="H597" r:id="rId2150" display="https://docs.google.com/spreadsheets/d/1jajxmCI0_tJWdvCbQ1ARhcQODExydt4nspmZoWDLbYE" xr:uid="{00000000-0004-0000-0400-000065080000}"/>
    <hyperlink ref="I597" r:id="rId2151" display="https://docs.google.com/open?id=1jajxmCI0_tJWdvCbQ1ARhcQODExydt4nspmZoWDLbYE" xr:uid="{00000000-0004-0000-0400-000066080000}"/>
    <hyperlink ref="D598" r:id="rId2152" display="https://drive.google.com/open?id=1C_4Dx2yWp5F-kWIdkAmd4xPLMP1r_axfG0EQDBFEN_4&amp;usp=drive_copy" xr:uid="{00000000-0004-0000-0400-000067080000}"/>
    <hyperlink ref="E598" r:id="rId2153" display="https://drive.google.com/open?id=1C_4Dx2yWp5F-kWIdkAmd4xPLMP1r_axfG0EQDBFEN_4" xr:uid="{00000000-0004-0000-0400-000068080000}"/>
    <hyperlink ref="H598" r:id="rId2154" display="https://docs.google.com/spreadsheets/d/1C_4Dx2yWp5F-kWIdkAmd4xPLMP1r_axfG0EQDBFEN_4" xr:uid="{00000000-0004-0000-0400-000069080000}"/>
    <hyperlink ref="I598" r:id="rId2155" display="https://docs.google.com/open?id=1C_4Dx2yWp5F-kWIdkAmd4xPLMP1r_axfG0EQDBFEN_4" xr:uid="{00000000-0004-0000-0400-00006A080000}"/>
    <hyperlink ref="D599" r:id="rId2156" display="https://drive.google.com/open?id=1gp-STXwLZ7ksJXWsEH9Se3ppe-mCXxDjiCtHrDrGUi8&amp;usp=drive_copy" xr:uid="{00000000-0004-0000-0400-00006B080000}"/>
    <hyperlink ref="E599" r:id="rId2157" display="https://drive.google.com/open?id=1gp-STXwLZ7ksJXWsEH9Se3ppe-mCXxDjiCtHrDrGUi8" xr:uid="{00000000-0004-0000-0400-00006C080000}"/>
    <hyperlink ref="H599" r:id="rId2158" display="https://docs.google.com/spreadsheets/d/1gp-STXwLZ7ksJXWsEH9Se3ppe-mCXxDjiCtHrDrGUi8" xr:uid="{00000000-0004-0000-0400-00006D080000}"/>
    <hyperlink ref="I599" r:id="rId2159" display="https://docs.google.com/open?id=1gp-STXwLZ7ksJXWsEH9Se3ppe-mCXxDjiCtHrDrGUi8" xr:uid="{00000000-0004-0000-0400-00006E080000}"/>
    <hyperlink ref="D600" r:id="rId2160" display="https://drive.google.com/open?id=1cqQPDYJshoAfoB9TRdfQY17UcIJ036j9FIUGLT35Mkg&amp;usp=drive_copy" xr:uid="{00000000-0004-0000-0400-00006F080000}"/>
    <hyperlink ref="E600" r:id="rId2161" display="https://drive.google.com/open?id=1cqQPDYJshoAfoB9TRdfQY17UcIJ036j9FIUGLT35Mkg" xr:uid="{00000000-0004-0000-0400-000070080000}"/>
    <hyperlink ref="H600" r:id="rId2162" display="https://docs.google.com/spreadsheets/d/1cqQPDYJshoAfoB9TRdfQY17UcIJ036j9FIUGLT35Mkg" xr:uid="{00000000-0004-0000-0400-000071080000}"/>
    <hyperlink ref="I600" r:id="rId2163" display="https://docs.google.com/open?id=1cqQPDYJshoAfoB9TRdfQY17UcIJ036j9FIUGLT35Mkg" xr:uid="{00000000-0004-0000-0400-000072080000}"/>
    <hyperlink ref="D601" r:id="rId2164" display="https://drive.google.com/open?id=1kiSshQuQgpKyFFh5lh66q67s7KCAJ3wlZ5vtWI0lHcg&amp;usp=drive_copy" xr:uid="{00000000-0004-0000-0400-000073080000}"/>
    <hyperlink ref="E601" r:id="rId2165" display="https://drive.google.com/open?id=1kiSshQuQgpKyFFh5lh66q67s7KCAJ3wlZ5vtWI0lHcg" xr:uid="{00000000-0004-0000-0400-000074080000}"/>
    <hyperlink ref="H601" r:id="rId2166" display="https://docs.google.com/spreadsheets/d/1kiSshQuQgpKyFFh5lh66q67s7KCAJ3wlZ5vtWI0lHcg" xr:uid="{00000000-0004-0000-0400-000075080000}"/>
    <hyperlink ref="I601" r:id="rId2167" display="https://docs.google.com/open?id=1kiSshQuQgpKyFFh5lh66q67s7KCAJ3wlZ5vtWI0lHcg" xr:uid="{00000000-0004-0000-0400-000076080000}"/>
    <hyperlink ref="D602" r:id="rId2168" display="https://drive.google.com/open?id=1fN9WTZ4BlhzJmkw5hijUhiIlKOUsybDyVzCyji02UAc&amp;usp=drive_copy" xr:uid="{00000000-0004-0000-0400-000077080000}"/>
    <hyperlink ref="E602" r:id="rId2169" display="https://drive.google.com/open?id=1fN9WTZ4BlhzJmkw5hijUhiIlKOUsybDyVzCyji02UAc" xr:uid="{00000000-0004-0000-0400-000078080000}"/>
    <hyperlink ref="H602" r:id="rId2170" display="https://docs.google.com/spreadsheets/d/1fN9WTZ4BlhzJmkw5hijUhiIlKOUsybDyVzCyji02UAc" xr:uid="{00000000-0004-0000-0400-000079080000}"/>
    <hyperlink ref="I602" r:id="rId2171" display="https://docs.google.com/open?id=1fN9WTZ4BlhzJmkw5hijUhiIlKOUsybDyVzCyji02UAc" xr:uid="{00000000-0004-0000-0400-00007A080000}"/>
    <hyperlink ref="D603" r:id="rId2172" display="https://drive.google.com/open?id=1qX1Cycb5q9fdejXxrC5tDEUuiRoPEL6lrlKM5_p1FK0&amp;usp=drive_copy" xr:uid="{00000000-0004-0000-0400-00007B080000}"/>
    <hyperlink ref="E603" r:id="rId2173" display="https://drive.google.com/open?id=1qX1Cycb5q9fdejXxrC5tDEUuiRoPEL6lrlKM5_p1FK0" xr:uid="{00000000-0004-0000-0400-00007C080000}"/>
    <hyperlink ref="H603" r:id="rId2174" display="https://docs.google.com/spreadsheets/d/1qX1Cycb5q9fdejXxrC5tDEUuiRoPEL6lrlKM5_p1FK0" xr:uid="{00000000-0004-0000-0400-00007D080000}"/>
    <hyperlink ref="I603" r:id="rId2175" display="https://docs.google.com/open?id=1qX1Cycb5q9fdejXxrC5tDEUuiRoPEL6lrlKM5_p1FK0" xr:uid="{00000000-0004-0000-0400-00007E080000}"/>
    <hyperlink ref="D604" r:id="rId2176" display="https://drive.google.com/open?id=1vJQhAHyCp0iYVhrC3FVecoPao5DKZVbzYlR0rdC8mug&amp;usp=drive_copy" xr:uid="{00000000-0004-0000-0400-00007F080000}"/>
    <hyperlink ref="E604" r:id="rId2177" display="https://drive.google.com/open?id=1vJQhAHyCp0iYVhrC3FVecoPao5DKZVbzYlR0rdC8mug" xr:uid="{00000000-0004-0000-0400-000080080000}"/>
    <hyperlink ref="H604" r:id="rId2178" display="https://docs.google.com/spreadsheets/d/1vJQhAHyCp0iYVhrC3FVecoPao5DKZVbzYlR0rdC8mug" xr:uid="{00000000-0004-0000-0400-000081080000}"/>
    <hyperlink ref="I604" r:id="rId2179" display="https://docs.google.com/open?id=1vJQhAHyCp0iYVhrC3FVecoPao5DKZVbzYlR0rdC8mug" xr:uid="{00000000-0004-0000-0400-000082080000}"/>
    <hyperlink ref="D605" r:id="rId2180" display="https://drive.google.com/open?id=17kbKWMzjWXPAUvz-vPypeO3KNNGgrUZXvzztKfA-F84&amp;usp=drive_copy" xr:uid="{00000000-0004-0000-0400-000083080000}"/>
    <hyperlink ref="E605" r:id="rId2181" display="https://drive.google.com/open?id=17kbKWMzjWXPAUvz-vPypeO3KNNGgrUZXvzztKfA-F84" xr:uid="{00000000-0004-0000-0400-000084080000}"/>
    <hyperlink ref="H605" r:id="rId2182" display="https://docs.google.com/spreadsheets/d/17kbKWMzjWXPAUvz-vPypeO3KNNGgrUZXvzztKfA-F84" xr:uid="{00000000-0004-0000-0400-000085080000}"/>
    <hyperlink ref="I605" r:id="rId2183" display="https://docs.google.com/open?id=17kbKWMzjWXPAUvz-vPypeO3KNNGgrUZXvzztKfA-F84" xr:uid="{00000000-0004-0000-0400-000086080000}"/>
    <hyperlink ref="D606" r:id="rId2184" display="https://drive.google.com/open?id=1mco9cLjzQnY4uXiMOOPx_fU2rhhUTlz-LMmgaJIWQVM&amp;usp=drive_copy" xr:uid="{00000000-0004-0000-0400-000087080000}"/>
    <hyperlink ref="E606" r:id="rId2185" display="https://drive.google.com/open?id=1mco9cLjzQnY4uXiMOOPx_fU2rhhUTlz-LMmgaJIWQVM" xr:uid="{00000000-0004-0000-0400-000088080000}"/>
    <hyperlink ref="H606" r:id="rId2186" display="https://docs.google.com/spreadsheets/d/1mco9cLjzQnY4uXiMOOPx_fU2rhhUTlz-LMmgaJIWQVM" xr:uid="{00000000-0004-0000-0400-000089080000}"/>
    <hyperlink ref="I606" r:id="rId2187" display="https://docs.google.com/open?id=1mco9cLjzQnY4uXiMOOPx_fU2rhhUTlz-LMmgaJIWQVM" xr:uid="{00000000-0004-0000-0400-00008A080000}"/>
    <hyperlink ref="D607" r:id="rId2188" display="https://drive.google.com/open?id=1eAUiwnv25gIxi_M3hv8Y_2BqqOMs7Hz56cYir8lp70M&amp;usp=drive_copy" xr:uid="{00000000-0004-0000-0400-00008B080000}"/>
    <hyperlink ref="E607" r:id="rId2189" display="https://drive.google.com/open?id=1eAUiwnv25gIxi_M3hv8Y_2BqqOMs7Hz56cYir8lp70M" xr:uid="{00000000-0004-0000-0400-00008C080000}"/>
    <hyperlink ref="H607" r:id="rId2190" display="https://docs.google.com/spreadsheets/d/1eAUiwnv25gIxi_M3hv8Y_2BqqOMs7Hz56cYir8lp70M" xr:uid="{00000000-0004-0000-0400-00008D080000}"/>
    <hyperlink ref="I607" r:id="rId2191" display="https://docs.google.com/open?id=1eAUiwnv25gIxi_M3hv8Y_2BqqOMs7Hz56cYir8lp70M" xr:uid="{00000000-0004-0000-0400-00008E080000}"/>
    <hyperlink ref="D608" r:id="rId2192" display="https://drive.google.com/open?id=1MrejJrplIKDiOadU5wBIaPWbk_bEaP81_zrIL-04hKQ&amp;usp=drive_copy" xr:uid="{00000000-0004-0000-0400-00008F080000}"/>
    <hyperlink ref="E608" r:id="rId2193" display="https://drive.google.com/open?id=1MrejJrplIKDiOadU5wBIaPWbk_bEaP81_zrIL-04hKQ" xr:uid="{00000000-0004-0000-0400-000090080000}"/>
    <hyperlink ref="H608" r:id="rId2194" display="https://docs.google.com/spreadsheets/d/1MrejJrplIKDiOadU5wBIaPWbk_bEaP81_zrIL-04hKQ" xr:uid="{00000000-0004-0000-0400-000091080000}"/>
    <hyperlink ref="I608" r:id="rId2195" display="https://docs.google.com/open?id=1MrejJrplIKDiOadU5wBIaPWbk_bEaP81_zrIL-04hKQ" xr:uid="{00000000-0004-0000-0400-000092080000}"/>
    <hyperlink ref="D609" r:id="rId2196" display="https://drive.google.com/open?id=1tsIodRSz24w_PZMtOuk1zD2qSUpuAIJOMNZBmszMLGI&amp;usp=drive_copy" xr:uid="{00000000-0004-0000-0400-000093080000}"/>
    <hyperlink ref="E609" r:id="rId2197" display="https://drive.google.com/open?id=1tsIodRSz24w_PZMtOuk1zD2qSUpuAIJOMNZBmszMLGI" xr:uid="{00000000-0004-0000-0400-000094080000}"/>
    <hyperlink ref="H609" r:id="rId2198" display="https://docs.google.com/spreadsheets/d/1tsIodRSz24w_PZMtOuk1zD2qSUpuAIJOMNZBmszMLGI" xr:uid="{00000000-0004-0000-0400-000095080000}"/>
    <hyperlink ref="I609" r:id="rId2199" display="https://docs.google.com/open?id=1tsIodRSz24w_PZMtOuk1zD2qSUpuAIJOMNZBmszMLGI" xr:uid="{00000000-0004-0000-0400-000096080000}"/>
    <hyperlink ref="D610" r:id="rId2200" display="https://drive.google.com/open?id=19HroPzzkmiZzm6tC2ANSMFbNSMSMb2EabDKeadenDbk&amp;usp=drive_copy" xr:uid="{00000000-0004-0000-0400-000097080000}"/>
    <hyperlink ref="E610" r:id="rId2201" display="https://drive.google.com/open?id=19HroPzzkmiZzm6tC2ANSMFbNSMSMb2EabDKeadenDbk" xr:uid="{00000000-0004-0000-0400-000098080000}"/>
    <hyperlink ref="H610" r:id="rId2202" display="https://docs.google.com/spreadsheets/d/19HroPzzkmiZzm6tC2ANSMFbNSMSMb2EabDKeadenDbk" xr:uid="{00000000-0004-0000-0400-000099080000}"/>
    <hyperlink ref="I610" r:id="rId2203" display="https://docs.google.com/open?id=19HroPzzkmiZzm6tC2ANSMFbNSMSMb2EabDKeadenDbk" xr:uid="{00000000-0004-0000-0400-00009A080000}"/>
    <hyperlink ref="D611" r:id="rId2204" display="https://drive.google.com/open?id=1M0O7KTLx0wqIvFensHByOPlVhErYtR1f0ZecyfXkFMs&amp;usp=drive_copy" xr:uid="{00000000-0004-0000-0400-00009B080000}"/>
    <hyperlink ref="E611" r:id="rId2205" display="https://drive.google.com/open?id=1M0O7KTLx0wqIvFensHByOPlVhErYtR1f0ZecyfXkFMs" xr:uid="{00000000-0004-0000-0400-00009C080000}"/>
    <hyperlink ref="H611" r:id="rId2206" display="https://docs.google.com/spreadsheets/d/1M0O7KTLx0wqIvFensHByOPlVhErYtR1f0ZecyfXkFMs" xr:uid="{00000000-0004-0000-0400-00009D080000}"/>
    <hyperlink ref="I611" r:id="rId2207" display="https://docs.google.com/open?id=1M0O7KTLx0wqIvFensHByOPlVhErYtR1f0ZecyfXkFMs" xr:uid="{00000000-0004-0000-0400-00009E080000}"/>
    <hyperlink ref="D612" r:id="rId2208" display="https://drive.google.com/open?id=102r7nKugopJHYu-XT1-7cBNDOnKcIGuFNtRHRl_2mcg&amp;usp=drive_copy" xr:uid="{00000000-0004-0000-0400-00009F080000}"/>
    <hyperlink ref="E612" r:id="rId2209" display="https://drive.google.com/open?id=102r7nKugopJHYu-XT1-7cBNDOnKcIGuFNtRHRl_2mcg" xr:uid="{00000000-0004-0000-0400-0000A0080000}"/>
    <hyperlink ref="H612" r:id="rId2210" display="https://docs.google.com/spreadsheets/d/102r7nKugopJHYu-XT1-7cBNDOnKcIGuFNtRHRl_2mcg" xr:uid="{00000000-0004-0000-0400-0000A1080000}"/>
    <hyperlink ref="I612" r:id="rId2211" display="https://docs.google.com/open?id=102r7nKugopJHYu-XT1-7cBNDOnKcIGuFNtRHRl_2mcg" xr:uid="{00000000-0004-0000-0400-0000A2080000}"/>
    <hyperlink ref="D613" r:id="rId2212" display="https://drive.google.com/open?id=1z3ChhJSr0KAV7qa0nJKi1S70IRf1GlAzGnAG20UpG_o&amp;usp=drive_copy" xr:uid="{00000000-0004-0000-0400-0000A3080000}"/>
    <hyperlink ref="E613" r:id="rId2213" display="https://drive.google.com/open?id=1z3ChhJSr0KAV7qa0nJKi1S70IRf1GlAzGnAG20UpG_o" xr:uid="{00000000-0004-0000-0400-0000A4080000}"/>
    <hyperlink ref="H613" r:id="rId2214" display="https://docs.google.com/spreadsheets/d/1z3ChhJSr0KAV7qa0nJKi1S70IRf1GlAzGnAG20UpG_o" xr:uid="{00000000-0004-0000-0400-0000A5080000}"/>
    <hyperlink ref="I613" r:id="rId2215" display="https://docs.google.com/open?id=1z3ChhJSr0KAV7qa0nJKi1S70IRf1GlAzGnAG20UpG_o" xr:uid="{00000000-0004-0000-0400-0000A6080000}"/>
    <hyperlink ref="D614" r:id="rId2216" display="https://drive.google.com/open?id=1FH-j3S2Aaq3Gofr7IzXAg0_U45KFkdKOl7hx9rjOyPg&amp;usp=drive_copy" xr:uid="{00000000-0004-0000-0400-0000A7080000}"/>
    <hyperlink ref="E614" r:id="rId2217" display="https://drive.google.com/open?id=1FH-j3S2Aaq3Gofr7IzXAg0_U45KFkdKOl7hx9rjOyPg" xr:uid="{00000000-0004-0000-0400-0000A8080000}"/>
    <hyperlink ref="H614" r:id="rId2218" display="https://docs.google.com/spreadsheets/d/1FH-j3S2Aaq3Gofr7IzXAg0_U45KFkdKOl7hx9rjOyPg" xr:uid="{00000000-0004-0000-0400-0000A9080000}"/>
    <hyperlink ref="I614" r:id="rId2219" display="https://docs.google.com/open?id=1FH-j3S2Aaq3Gofr7IzXAg0_U45KFkdKOl7hx9rjOyPg" xr:uid="{00000000-0004-0000-0400-0000AA080000}"/>
    <hyperlink ref="D615" r:id="rId2220" display="https://drive.google.com/open?id=1rzdx9UAhbIRoxrMEutVUaRWfVqoguv6al7RHo09Q7qs&amp;usp=drive_copy" xr:uid="{00000000-0004-0000-0400-0000AB080000}"/>
    <hyperlink ref="E615" r:id="rId2221" display="https://drive.google.com/open?id=1rzdx9UAhbIRoxrMEutVUaRWfVqoguv6al7RHo09Q7qs" xr:uid="{00000000-0004-0000-0400-0000AC080000}"/>
    <hyperlink ref="H615" r:id="rId2222" display="https://docs.google.com/spreadsheets/d/1rzdx9UAhbIRoxrMEutVUaRWfVqoguv6al7RHo09Q7qs" xr:uid="{00000000-0004-0000-0400-0000AD080000}"/>
    <hyperlink ref="I615" r:id="rId2223" display="https://docs.google.com/open?id=1rzdx9UAhbIRoxrMEutVUaRWfVqoguv6al7RHo09Q7qs" xr:uid="{00000000-0004-0000-0400-0000AE080000}"/>
    <hyperlink ref="D616" r:id="rId2224" display="https://drive.google.com/open?id=1rY1y9v9wU3tikCxYk5bZrEOXkSjSmrYf_42fVy3Wq3E&amp;usp=drive_copy" xr:uid="{00000000-0004-0000-0400-0000AF080000}"/>
    <hyperlink ref="E616" r:id="rId2225" display="https://drive.google.com/open?id=1rY1y9v9wU3tikCxYk5bZrEOXkSjSmrYf_42fVy3Wq3E" xr:uid="{00000000-0004-0000-0400-0000B0080000}"/>
    <hyperlink ref="H616" r:id="rId2226" display="https://docs.google.com/spreadsheets/d/1rY1y9v9wU3tikCxYk5bZrEOXkSjSmrYf_42fVy3Wq3E" xr:uid="{00000000-0004-0000-0400-0000B1080000}"/>
    <hyperlink ref="I616" r:id="rId2227" display="https://docs.google.com/open?id=1rY1y9v9wU3tikCxYk5bZrEOXkSjSmrYf_42fVy3Wq3E" xr:uid="{00000000-0004-0000-0400-0000B2080000}"/>
    <hyperlink ref="D617" r:id="rId2228" display="https://drive.google.com/open?id=1NPdAmiUllW4QQdU323H-amB3GiuTrLbw65BFi1EUbw8&amp;usp=drive_copy" xr:uid="{00000000-0004-0000-0400-0000B3080000}"/>
    <hyperlink ref="E617" r:id="rId2229" display="https://drive.google.com/open?id=1NPdAmiUllW4QQdU323H-amB3GiuTrLbw65BFi1EUbw8" xr:uid="{00000000-0004-0000-0400-0000B4080000}"/>
    <hyperlink ref="H617" r:id="rId2230" display="https://docs.google.com/spreadsheets/d/1NPdAmiUllW4QQdU323H-amB3GiuTrLbw65BFi1EUbw8" xr:uid="{00000000-0004-0000-0400-0000B5080000}"/>
    <hyperlink ref="I617" r:id="rId2231" display="https://docs.google.com/open?id=1NPdAmiUllW4QQdU323H-amB3GiuTrLbw65BFi1EUbw8" xr:uid="{00000000-0004-0000-0400-0000B6080000}"/>
    <hyperlink ref="D618" r:id="rId2232" display="https://drive.google.com/open?id=1zmrMFDtuU7Zb3qQokSgZvMH6lwHO2rzwp_0JiY5R4h8&amp;usp=drive_copy" xr:uid="{00000000-0004-0000-0400-0000B7080000}"/>
    <hyperlink ref="E618" r:id="rId2233" display="https://drive.google.com/open?id=1zmrMFDtuU7Zb3qQokSgZvMH6lwHO2rzwp_0JiY5R4h8" xr:uid="{00000000-0004-0000-0400-0000B8080000}"/>
    <hyperlink ref="H618" r:id="rId2234" display="https://docs.google.com/spreadsheets/d/1zmrMFDtuU7Zb3qQokSgZvMH6lwHO2rzwp_0JiY5R4h8" xr:uid="{00000000-0004-0000-0400-0000B9080000}"/>
    <hyperlink ref="I618" r:id="rId2235" display="https://docs.google.com/open?id=1zmrMFDtuU7Zb3qQokSgZvMH6lwHO2rzwp_0JiY5R4h8" xr:uid="{00000000-0004-0000-0400-0000BA080000}"/>
    <hyperlink ref="D619" r:id="rId2236" display="https://drive.google.com/open?id=1E-39bO3bNSRhmNES2Fyy636-L9pMZTXgm9NWrYaIPv0&amp;usp=drive_copy" xr:uid="{00000000-0004-0000-0400-0000BB080000}"/>
    <hyperlink ref="E619" r:id="rId2237" display="https://drive.google.com/open?id=1E-39bO3bNSRhmNES2Fyy636-L9pMZTXgm9NWrYaIPv0" xr:uid="{00000000-0004-0000-0400-0000BC080000}"/>
    <hyperlink ref="H619" r:id="rId2238" display="https://docs.google.com/spreadsheets/d/1E-39bO3bNSRhmNES2Fyy636-L9pMZTXgm9NWrYaIPv0" xr:uid="{00000000-0004-0000-0400-0000BD080000}"/>
    <hyperlink ref="I619" r:id="rId2239" display="https://docs.google.com/open?id=1E-39bO3bNSRhmNES2Fyy636-L9pMZTXgm9NWrYaIPv0" xr:uid="{00000000-0004-0000-0400-0000BE080000}"/>
    <hyperlink ref="D620" r:id="rId2240" display="https://drive.google.com/open?id=1CpcRgciqgAQrz5_BC2x-uy9_NNEMAfuy7JNhwF1hvqs&amp;usp=drive_copy" xr:uid="{00000000-0004-0000-0400-0000BF080000}"/>
    <hyperlink ref="E620" r:id="rId2241" display="https://drive.google.com/open?id=1CpcRgciqgAQrz5_BC2x-uy9_NNEMAfuy7JNhwF1hvqs" xr:uid="{00000000-0004-0000-0400-0000C0080000}"/>
    <hyperlink ref="H620" r:id="rId2242" display="https://docs.google.com/spreadsheets/d/1CpcRgciqgAQrz5_BC2x-uy9_NNEMAfuy7JNhwF1hvqs" xr:uid="{00000000-0004-0000-0400-0000C1080000}"/>
    <hyperlink ref="I620" r:id="rId2243" display="https://docs.google.com/open?id=1CpcRgciqgAQrz5_BC2x-uy9_NNEMAfuy7JNhwF1hvqs" xr:uid="{00000000-0004-0000-0400-0000C2080000}"/>
    <hyperlink ref="D621" r:id="rId2244" display="https://drive.google.com/open?id=12ujRKi24oY7vpetZfrmCx5t98Ak9onutT0BxpFD2NXc&amp;usp=drive_copy" xr:uid="{00000000-0004-0000-0400-0000C3080000}"/>
    <hyperlink ref="E621" r:id="rId2245" display="https://drive.google.com/open?id=12ujRKi24oY7vpetZfrmCx5t98Ak9onutT0BxpFD2NXc" xr:uid="{00000000-0004-0000-0400-0000C4080000}"/>
    <hyperlink ref="H621" r:id="rId2246" display="https://docs.google.com/spreadsheets/d/12ujRKi24oY7vpetZfrmCx5t98Ak9onutT0BxpFD2NXc" xr:uid="{00000000-0004-0000-0400-0000C5080000}"/>
    <hyperlink ref="I621" r:id="rId2247" display="https://docs.google.com/open?id=12ujRKi24oY7vpetZfrmCx5t98Ak9onutT0BxpFD2NXc" xr:uid="{00000000-0004-0000-0400-0000C6080000}"/>
    <hyperlink ref="D622" r:id="rId2248" display="https://drive.google.com/open?id=140ZhkVAiahpRT1th_6cUTltV8cws6uma-lJeeuJJT6k&amp;usp=drive_copy" xr:uid="{00000000-0004-0000-0400-0000C7080000}"/>
    <hyperlink ref="E622" r:id="rId2249" display="https://drive.google.com/open?id=140ZhkVAiahpRT1th_6cUTltV8cws6uma-lJeeuJJT6k" xr:uid="{00000000-0004-0000-0400-0000C8080000}"/>
    <hyperlink ref="H622" r:id="rId2250" display="https://docs.google.com/spreadsheets/d/140ZhkVAiahpRT1th_6cUTltV8cws6uma-lJeeuJJT6k" xr:uid="{00000000-0004-0000-0400-0000C9080000}"/>
    <hyperlink ref="I622" r:id="rId2251" display="https://docs.google.com/open?id=140ZhkVAiahpRT1th_6cUTltV8cws6uma-lJeeuJJT6k" xr:uid="{00000000-0004-0000-0400-0000CA080000}"/>
    <hyperlink ref="D623" r:id="rId2252" display="https://drive.google.com/open?id=1aKhwhoTo6OQOu-TLg1sLxgh8ATb2bYtbLjtQyDGX5Sg&amp;usp=drive_copy" xr:uid="{00000000-0004-0000-0400-0000CB080000}"/>
    <hyperlink ref="E623" r:id="rId2253" display="https://drive.google.com/open?id=1aKhwhoTo6OQOu-TLg1sLxgh8ATb2bYtbLjtQyDGX5Sg" xr:uid="{00000000-0004-0000-0400-0000CC080000}"/>
    <hyperlink ref="H623" r:id="rId2254" display="https://docs.google.com/spreadsheets/d/1aKhwhoTo6OQOu-TLg1sLxgh8ATb2bYtbLjtQyDGX5Sg" xr:uid="{00000000-0004-0000-0400-0000CD080000}"/>
    <hyperlink ref="I623" r:id="rId2255" display="https://docs.google.com/open?id=1aKhwhoTo6OQOu-TLg1sLxgh8ATb2bYtbLjtQyDGX5Sg" xr:uid="{00000000-0004-0000-0400-0000CE080000}"/>
    <hyperlink ref="D624" r:id="rId2256" display="https://drive.google.com/open?id=1tJ9oaVdI4eBbESC0OH_aAq6lpZvnmI8SLOwxfCJ3yTk&amp;usp=drive_copy" xr:uid="{00000000-0004-0000-0400-0000CF080000}"/>
    <hyperlink ref="E624" r:id="rId2257" display="https://drive.google.com/open?id=1tJ9oaVdI4eBbESC0OH_aAq6lpZvnmI8SLOwxfCJ3yTk" xr:uid="{00000000-0004-0000-0400-0000D0080000}"/>
    <hyperlink ref="H624" r:id="rId2258" display="https://docs.google.com/spreadsheets/d/1tJ9oaVdI4eBbESC0OH_aAq6lpZvnmI8SLOwxfCJ3yTk" xr:uid="{00000000-0004-0000-0400-0000D1080000}"/>
    <hyperlink ref="I624" r:id="rId2259" display="https://docs.google.com/open?id=1tJ9oaVdI4eBbESC0OH_aAq6lpZvnmI8SLOwxfCJ3yTk" xr:uid="{00000000-0004-0000-0400-0000D2080000}"/>
    <hyperlink ref="D625" r:id="rId2260" display="https://drive.google.com/open?id=1n91_dZnAo6ulbP_WgpTe6DReCHsOLKzA0OoBXB3rE7E&amp;usp=drive_copy" xr:uid="{00000000-0004-0000-0400-0000D3080000}"/>
    <hyperlink ref="E625" r:id="rId2261" display="https://drive.google.com/open?id=1n91_dZnAo6ulbP_WgpTe6DReCHsOLKzA0OoBXB3rE7E" xr:uid="{00000000-0004-0000-0400-0000D4080000}"/>
    <hyperlink ref="H625" r:id="rId2262" display="https://docs.google.com/spreadsheets/d/1n91_dZnAo6ulbP_WgpTe6DReCHsOLKzA0OoBXB3rE7E" xr:uid="{00000000-0004-0000-0400-0000D5080000}"/>
    <hyperlink ref="I625" r:id="rId2263" display="https://docs.google.com/open?id=1n91_dZnAo6ulbP_WgpTe6DReCHsOLKzA0OoBXB3rE7E" xr:uid="{00000000-0004-0000-0400-0000D6080000}"/>
    <hyperlink ref="D626" r:id="rId2264" display="https://drive.google.com/open?id=1GjupOWxtK-zw87q_JSH5PTCFprpcXdqguwBvEHPbSh8&amp;usp=drive_copy" xr:uid="{00000000-0004-0000-0400-0000D7080000}"/>
    <hyperlink ref="E626" r:id="rId2265" display="https://drive.google.com/open?id=1GjupOWxtK-zw87q_JSH5PTCFprpcXdqguwBvEHPbSh8" xr:uid="{00000000-0004-0000-0400-0000D8080000}"/>
    <hyperlink ref="H626" r:id="rId2266" display="https://docs.google.com/spreadsheets/d/1GjupOWxtK-zw87q_JSH5PTCFprpcXdqguwBvEHPbSh8" xr:uid="{00000000-0004-0000-0400-0000D9080000}"/>
    <hyperlink ref="I626" r:id="rId2267" display="https://docs.google.com/open?id=1GjupOWxtK-zw87q_JSH5PTCFprpcXdqguwBvEHPbSh8" xr:uid="{00000000-0004-0000-0400-0000DA080000}"/>
    <hyperlink ref="D627" r:id="rId2268" display="https://drive.google.com/open?id=1YnweNW4B4kDthnEB8i0Nt5ZWP1XzZsnFWKgnuP1ypk4&amp;usp=drive_copy" xr:uid="{00000000-0004-0000-0400-0000DB080000}"/>
    <hyperlink ref="E627" r:id="rId2269" display="https://drive.google.com/open?id=1YnweNW4B4kDthnEB8i0Nt5ZWP1XzZsnFWKgnuP1ypk4" xr:uid="{00000000-0004-0000-0400-0000DC080000}"/>
    <hyperlink ref="H627" r:id="rId2270" display="https://docs.google.com/spreadsheets/d/1YnweNW4B4kDthnEB8i0Nt5ZWP1XzZsnFWKgnuP1ypk4" xr:uid="{00000000-0004-0000-0400-0000DD080000}"/>
    <hyperlink ref="I627" r:id="rId2271" display="https://docs.google.com/open?id=1YnweNW4B4kDthnEB8i0Nt5ZWP1XzZsnFWKgnuP1ypk4" xr:uid="{00000000-0004-0000-0400-0000DE080000}"/>
    <hyperlink ref="D628" r:id="rId2272" display="https://drive.google.com/open?id=13IXO_KWsN44UjR6jYAwOApXIcPgtchZKHLzXZN49ktc&amp;usp=drive_copy" xr:uid="{00000000-0004-0000-0400-0000DF080000}"/>
    <hyperlink ref="E628" r:id="rId2273" display="https://drive.google.com/open?id=13IXO_KWsN44UjR6jYAwOApXIcPgtchZKHLzXZN49ktc" xr:uid="{00000000-0004-0000-0400-0000E0080000}"/>
    <hyperlink ref="H628" r:id="rId2274" display="https://docs.google.com/spreadsheets/d/13IXO_KWsN44UjR6jYAwOApXIcPgtchZKHLzXZN49ktc" xr:uid="{00000000-0004-0000-0400-0000E1080000}"/>
    <hyperlink ref="I628" r:id="rId2275" display="https://docs.google.com/open?id=13IXO_KWsN44UjR6jYAwOApXIcPgtchZKHLzXZN49ktc" xr:uid="{00000000-0004-0000-0400-0000E2080000}"/>
    <hyperlink ref="D629" r:id="rId2276" display="https://drive.google.com/open?id=1zif92Bq28Io-nQ6s0AfutKm_ZvBTTgyYv8JscmasLRM&amp;usp=drive_copy" xr:uid="{00000000-0004-0000-0400-0000E3080000}"/>
    <hyperlink ref="E629" r:id="rId2277" display="https://drive.google.com/open?id=1zif92Bq28Io-nQ6s0AfutKm_ZvBTTgyYv8JscmasLRM" xr:uid="{00000000-0004-0000-0400-0000E4080000}"/>
    <hyperlink ref="H629" r:id="rId2278" display="https://docs.google.com/spreadsheets/d/1zif92Bq28Io-nQ6s0AfutKm_ZvBTTgyYv8JscmasLRM" xr:uid="{00000000-0004-0000-0400-0000E5080000}"/>
    <hyperlink ref="I629" r:id="rId2279" display="https://docs.google.com/open?id=1zif92Bq28Io-nQ6s0AfutKm_ZvBTTgyYv8JscmasLRM" xr:uid="{00000000-0004-0000-0400-0000E6080000}"/>
    <hyperlink ref="D630" r:id="rId2280" display="https://drive.google.com/open?id=1N86qmhiBNI30g8xIMC8S5jr-tLrobxNcnQ0iKzmN4WQ&amp;usp=drive_copy" xr:uid="{00000000-0004-0000-0400-0000E7080000}"/>
    <hyperlink ref="E630" r:id="rId2281" display="https://drive.google.com/open?id=1N86qmhiBNI30g8xIMC8S5jr-tLrobxNcnQ0iKzmN4WQ" xr:uid="{00000000-0004-0000-0400-0000E8080000}"/>
    <hyperlink ref="H630" r:id="rId2282" display="https://docs.google.com/spreadsheets/d/1N86qmhiBNI30g8xIMC8S5jr-tLrobxNcnQ0iKzmN4WQ" xr:uid="{00000000-0004-0000-0400-0000E9080000}"/>
    <hyperlink ref="I630" r:id="rId2283" display="https://docs.google.com/open?id=1N86qmhiBNI30g8xIMC8S5jr-tLrobxNcnQ0iKzmN4WQ" xr:uid="{00000000-0004-0000-0400-0000EA080000}"/>
    <hyperlink ref="D631" r:id="rId2284" display="https://drive.google.com/open?id=1Zo85uBGE13Qzd5paM2axQ0Ii1YohyoFaI_-_A5HcCoc&amp;usp=drive_copy" xr:uid="{00000000-0004-0000-0400-0000EB080000}"/>
    <hyperlink ref="E631" r:id="rId2285" display="https://drive.google.com/open?id=1Zo85uBGE13Qzd5paM2axQ0Ii1YohyoFaI_-_A5HcCoc" xr:uid="{00000000-0004-0000-0400-0000EC080000}"/>
    <hyperlink ref="H631" r:id="rId2286" display="https://docs.google.com/spreadsheets/d/1Zo85uBGE13Qzd5paM2axQ0Ii1YohyoFaI_-_A5HcCoc" xr:uid="{00000000-0004-0000-0400-0000ED080000}"/>
    <hyperlink ref="I631" r:id="rId2287" display="https://docs.google.com/open?id=1Zo85uBGE13Qzd5paM2axQ0Ii1YohyoFaI_-_A5HcCoc" xr:uid="{00000000-0004-0000-0400-0000EE080000}"/>
    <hyperlink ref="D632" r:id="rId2288" display="https://drive.google.com/open?id=1WqSWisKbH3gdREv0eGw5VBFk8RKNvQpjnt-ajyPCNvg&amp;usp=drive_copy" xr:uid="{00000000-0004-0000-0400-0000EF080000}"/>
    <hyperlink ref="E632" r:id="rId2289" display="https://drive.google.com/open?id=1WqSWisKbH3gdREv0eGw5VBFk8RKNvQpjnt-ajyPCNvg" xr:uid="{00000000-0004-0000-0400-0000F0080000}"/>
    <hyperlink ref="H632" r:id="rId2290" display="https://docs.google.com/spreadsheets/d/1WqSWisKbH3gdREv0eGw5VBFk8RKNvQpjnt-ajyPCNvg" xr:uid="{00000000-0004-0000-0400-0000F1080000}"/>
    <hyperlink ref="I632" r:id="rId2291" display="https://docs.google.com/open?id=1WqSWisKbH3gdREv0eGw5VBFk8RKNvQpjnt-ajyPCNvg" xr:uid="{00000000-0004-0000-0400-0000F2080000}"/>
    <hyperlink ref="D633" r:id="rId2292" display="https://drive.google.com/open?id=1eO-UXrCKF-KBpFJO6zIqf2VSS2FhG7PEzzz0H3z4uk8&amp;usp=drive_copy" xr:uid="{00000000-0004-0000-0400-0000F3080000}"/>
    <hyperlink ref="E633" r:id="rId2293" display="https://drive.google.com/open?id=1eO-UXrCKF-KBpFJO6zIqf2VSS2FhG7PEzzz0H3z4uk8" xr:uid="{00000000-0004-0000-0400-0000F4080000}"/>
    <hyperlink ref="H633" r:id="rId2294" display="https://docs.google.com/spreadsheets/d/1eO-UXrCKF-KBpFJO6zIqf2VSS2FhG7PEzzz0H3z4uk8" xr:uid="{00000000-0004-0000-0400-0000F5080000}"/>
    <hyperlink ref="I633" r:id="rId2295" display="https://docs.google.com/open?id=1eO-UXrCKF-KBpFJO6zIqf2VSS2FhG7PEzzz0H3z4uk8" xr:uid="{00000000-0004-0000-0400-0000F6080000}"/>
    <hyperlink ref="D634" r:id="rId2296" display="https://drive.google.com/open?id=1TRRqPufsYEUl_PyL7lkIkgBQ5pbDLDi8MOSLHu5EjuU&amp;usp=drive_copy" xr:uid="{00000000-0004-0000-0400-0000F7080000}"/>
    <hyperlink ref="E634" r:id="rId2297" display="https://drive.google.com/open?id=1TRRqPufsYEUl_PyL7lkIkgBQ5pbDLDi8MOSLHu5EjuU" xr:uid="{00000000-0004-0000-0400-0000F8080000}"/>
    <hyperlink ref="H634" r:id="rId2298" display="https://docs.google.com/spreadsheets/d/1TRRqPufsYEUl_PyL7lkIkgBQ5pbDLDi8MOSLHu5EjuU" xr:uid="{00000000-0004-0000-0400-0000F9080000}"/>
    <hyperlink ref="I634" r:id="rId2299" display="https://docs.google.com/open?id=1TRRqPufsYEUl_PyL7lkIkgBQ5pbDLDi8MOSLHu5EjuU" xr:uid="{00000000-0004-0000-0400-0000FA080000}"/>
    <hyperlink ref="D635" r:id="rId2300" display="https://drive.google.com/open?id=1AGIoxrQ12COJppeFlqZktRitXux6_xbqrQu5wB1swoI&amp;usp=drive_copy" xr:uid="{00000000-0004-0000-0400-0000FB080000}"/>
    <hyperlink ref="E635" r:id="rId2301" display="https://drive.google.com/open?id=1AGIoxrQ12COJppeFlqZktRitXux6_xbqrQu5wB1swoI" xr:uid="{00000000-0004-0000-0400-0000FC080000}"/>
    <hyperlink ref="H635" r:id="rId2302" display="https://docs.google.com/spreadsheets/d/1AGIoxrQ12COJppeFlqZktRitXux6_xbqrQu5wB1swoI" xr:uid="{00000000-0004-0000-0400-0000FD080000}"/>
    <hyperlink ref="I635" r:id="rId2303" display="https://docs.google.com/open?id=1AGIoxrQ12COJppeFlqZktRitXux6_xbqrQu5wB1swoI" xr:uid="{00000000-0004-0000-0400-0000FE080000}"/>
    <hyperlink ref="D636" r:id="rId2304" display="https://drive.google.com/open?id=1C_1B3o0dG9n_WF4jMaowYgYAN5ikM4iCmm-EnJNp9Tw&amp;usp=drive_copy" xr:uid="{00000000-0004-0000-0400-0000FF080000}"/>
    <hyperlink ref="E636" r:id="rId2305" display="https://drive.google.com/open?id=1C_1B3o0dG9n_WF4jMaowYgYAN5ikM4iCmm-EnJNp9Tw" xr:uid="{00000000-0004-0000-0400-000000090000}"/>
    <hyperlink ref="H636" r:id="rId2306" display="https://docs.google.com/spreadsheets/d/1C_1B3o0dG9n_WF4jMaowYgYAN5ikM4iCmm-EnJNp9Tw" xr:uid="{00000000-0004-0000-0400-000001090000}"/>
    <hyperlink ref="I636" r:id="rId2307" display="https://docs.google.com/open?id=1C_1B3o0dG9n_WF4jMaowYgYAN5ikM4iCmm-EnJNp9Tw" xr:uid="{00000000-0004-0000-0400-000002090000}"/>
    <hyperlink ref="D637" r:id="rId2308" display="https://drive.google.com/open?id=1Xb0r4Qtg6NAcXp3XGsicju53acBxOt5Rptgp4Q1quIY&amp;usp=drive_copy" xr:uid="{00000000-0004-0000-0400-000003090000}"/>
    <hyperlink ref="E637" r:id="rId2309" display="https://drive.google.com/open?id=1Xb0r4Qtg6NAcXp3XGsicju53acBxOt5Rptgp4Q1quIY" xr:uid="{00000000-0004-0000-0400-000004090000}"/>
    <hyperlink ref="H637" r:id="rId2310" display="https://docs.google.com/spreadsheets/d/1Xb0r4Qtg6NAcXp3XGsicju53acBxOt5Rptgp4Q1quIY" xr:uid="{00000000-0004-0000-0400-000005090000}"/>
    <hyperlink ref="I637" r:id="rId2311" display="https://docs.google.com/open?id=1Xb0r4Qtg6NAcXp3XGsicju53acBxOt5Rptgp4Q1quIY" xr:uid="{00000000-0004-0000-0400-000006090000}"/>
    <hyperlink ref="D638" r:id="rId2312" display="https://drive.google.com/open?id=1-uT4_fCLFL6x8ngrsGxMr0SdOy_D5djhxqpz_vstw1c&amp;usp=drive_copy" xr:uid="{00000000-0004-0000-0400-000007090000}"/>
    <hyperlink ref="E638" r:id="rId2313" display="https://drive.google.com/open?id=1-uT4_fCLFL6x8ngrsGxMr0SdOy_D5djhxqpz_vstw1c" xr:uid="{00000000-0004-0000-0400-000008090000}"/>
    <hyperlink ref="H638" r:id="rId2314" display="https://docs.google.com/spreadsheets/d/1-uT4_fCLFL6x8ngrsGxMr0SdOy_D5djhxqpz_vstw1c" xr:uid="{00000000-0004-0000-0400-000009090000}"/>
    <hyperlink ref="I638" r:id="rId2315" display="https://docs.google.com/open?id=1-uT4_fCLFL6x8ngrsGxMr0SdOy_D5djhxqpz_vstw1c" xr:uid="{00000000-0004-0000-0400-00000A090000}"/>
    <hyperlink ref="D639" r:id="rId2316" display="https://drive.google.com/open?id=1OPTkergdFEZYezeXIKRwnn8PLvKWaiU62h3i052WOB8&amp;usp=drive_copy" xr:uid="{00000000-0004-0000-0400-00000B090000}"/>
    <hyperlink ref="E639" r:id="rId2317" display="https://drive.google.com/open?id=1OPTkergdFEZYezeXIKRwnn8PLvKWaiU62h3i052WOB8" xr:uid="{00000000-0004-0000-0400-00000C090000}"/>
    <hyperlink ref="H639" r:id="rId2318" display="https://docs.google.com/spreadsheets/d/1OPTkergdFEZYezeXIKRwnn8PLvKWaiU62h3i052WOB8" xr:uid="{00000000-0004-0000-0400-00000D090000}"/>
    <hyperlink ref="I639" r:id="rId2319" display="https://docs.google.com/open?id=1OPTkergdFEZYezeXIKRwnn8PLvKWaiU62h3i052WOB8" xr:uid="{00000000-0004-0000-0400-00000E090000}"/>
    <hyperlink ref="D640" r:id="rId2320" display="https://drive.google.com/open?id=1Tz9-x0Pu6yHJvTFIRmaxWv633DUoqbpjw2sD3YRv0nA&amp;usp=drive_copy" xr:uid="{00000000-0004-0000-0400-00000F090000}"/>
    <hyperlink ref="E640" r:id="rId2321" display="https://drive.google.com/open?id=1Tz9-x0Pu6yHJvTFIRmaxWv633DUoqbpjw2sD3YRv0nA" xr:uid="{00000000-0004-0000-0400-000010090000}"/>
    <hyperlink ref="H640" r:id="rId2322" display="https://docs.google.com/spreadsheets/d/1Tz9-x0Pu6yHJvTFIRmaxWv633DUoqbpjw2sD3YRv0nA" xr:uid="{00000000-0004-0000-0400-000011090000}"/>
    <hyperlink ref="I640" r:id="rId2323" display="https://docs.google.com/open?id=1Tz9-x0Pu6yHJvTFIRmaxWv633DUoqbpjw2sD3YRv0nA" xr:uid="{00000000-0004-0000-0400-000012090000}"/>
    <hyperlink ref="D641" r:id="rId2324" display="https://drive.google.com/open?id=10XjszphET9bNnbIftOpOD-2suLE-v-UImiLMdELar-A&amp;usp=drive_copy" xr:uid="{00000000-0004-0000-0400-000013090000}"/>
    <hyperlink ref="E641" r:id="rId2325" display="https://drive.google.com/open?id=10XjszphET9bNnbIftOpOD-2suLE-v-UImiLMdELar-A" xr:uid="{00000000-0004-0000-0400-000014090000}"/>
    <hyperlink ref="H641" r:id="rId2326" display="https://docs.google.com/spreadsheets/d/10XjszphET9bNnbIftOpOD-2suLE-v-UImiLMdELar-A" xr:uid="{00000000-0004-0000-0400-000015090000}"/>
    <hyperlink ref="I641" r:id="rId2327" display="https://docs.google.com/open?id=10XjszphET9bNnbIftOpOD-2suLE-v-UImiLMdELar-A" xr:uid="{00000000-0004-0000-0400-000016090000}"/>
    <hyperlink ref="D642" r:id="rId2328" display="https://drive.google.com/open?id=1Ow6tt7GgsGzVDcxAbmTaGwFSVWBWdbuF0NCB0Fa9u_I&amp;usp=drive_copy" xr:uid="{00000000-0004-0000-0400-000017090000}"/>
    <hyperlink ref="E642" r:id="rId2329" display="https://drive.google.com/open?id=1Ow6tt7GgsGzVDcxAbmTaGwFSVWBWdbuF0NCB0Fa9u_I" xr:uid="{00000000-0004-0000-0400-000018090000}"/>
    <hyperlink ref="H642" r:id="rId2330" display="https://docs.google.com/spreadsheets/d/1Ow6tt7GgsGzVDcxAbmTaGwFSVWBWdbuF0NCB0Fa9u_I" xr:uid="{00000000-0004-0000-0400-000019090000}"/>
    <hyperlink ref="I642" r:id="rId2331" display="https://docs.google.com/open?id=1Ow6tt7GgsGzVDcxAbmTaGwFSVWBWdbuF0NCB0Fa9u_I" xr:uid="{00000000-0004-0000-0400-00001A090000}"/>
    <hyperlink ref="D643" r:id="rId2332" display="https://drive.google.com/open?id=1f4WW9qVtuFPjrDhsFzzy7LYxpPaj0bfF8ZirxJlXjA0&amp;usp=drive_copy" xr:uid="{00000000-0004-0000-0400-00001B090000}"/>
    <hyperlink ref="E643" r:id="rId2333" display="https://drive.google.com/open?id=1f4WW9qVtuFPjrDhsFzzy7LYxpPaj0bfF8ZirxJlXjA0" xr:uid="{00000000-0004-0000-0400-00001C090000}"/>
    <hyperlink ref="H643" r:id="rId2334" display="https://docs.google.com/spreadsheets/d/1f4WW9qVtuFPjrDhsFzzy7LYxpPaj0bfF8ZirxJlXjA0" xr:uid="{00000000-0004-0000-0400-00001D090000}"/>
    <hyperlink ref="I643" r:id="rId2335" display="https://docs.google.com/open?id=1f4WW9qVtuFPjrDhsFzzy7LYxpPaj0bfF8ZirxJlXjA0" xr:uid="{00000000-0004-0000-0400-00001E090000}"/>
    <hyperlink ref="D644" r:id="rId2336" display="https://drive.google.com/open?id=18u4QNBSKaftLb7YCpVYjGjn_Vn_8GY-HN-gq9j9oNcU&amp;usp=drive_copy" xr:uid="{00000000-0004-0000-0400-00001F090000}"/>
    <hyperlink ref="E644" r:id="rId2337" display="https://drive.google.com/open?id=18u4QNBSKaftLb7YCpVYjGjn_Vn_8GY-HN-gq9j9oNcU" xr:uid="{00000000-0004-0000-0400-000020090000}"/>
    <hyperlink ref="H644" r:id="rId2338" display="https://docs.google.com/spreadsheets/d/18u4QNBSKaftLb7YCpVYjGjn_Vn_8GY-HN-gq9j9oNcU" xr:uid="{00000000-0004-0000-0400-000021090000}"/>
    <hyperlink ref="I644" r:id="rId2339" display="https://docs.google.com/open?id=18u4QNBSKaftLb7YCpVYjGjn_Vn_8GY-HN-gq9j9oNcU" xr:uid="{00000000-0004-0000-0400-000022090000}"/>
    <hyperlink ref="D645" r:id="rId2340" display="https://drive.google.com/open?id=1LVR1aPL1dAq6g8CXTg-Gmkmx3cph1OJTlXvJQKr4mBc&amp;usp=drive_copy" xr:uid="{00000000-0004-0000-0400-000023090000}"/>
    <hyperlink ref="E645" r:id="rId2341" display="https://drive.google.com/open?id=1LVR1aPL1dAq6g8CXTg-Gmkmx3cph1OJTlXvJQKr4mBc" xr:uid="{00000000-0004-0000-0400-000024090000}"/>
    <hyperlink ref="H645" r:id="rId2342" display="https://docs.google.com/spreadsheets/d/1LVR1aPL1dAq6g8CXTg-Gmkmx3cph1OJTlXvJQKr4mBc" xr:uid="{00000000-0004-0000-0400-000025090000}"/>
    <hyperlink ref="I645" r:id="rId2343" display="https://docs.google.com/open?id=1LVR1aPL1dAq6g8CXTg-Gmkmx3cph1OJTlXvJQKr4mBc" xr:uid="{00000000-0004-0000-0400-000026090000}"/>
    <hyperlink ref="D646" r:id="rId2344" display="https://drive.google.com/open?id=1Unnleg8hS7znOSgPeU2DfMMPK1_N1a0l5x7A0C2wrq8&amp;usp=drive_copy" xr:uid="{00000000-0004-0000-0400-000027090000}"/>
    <hyperlink ref="E646" r:id="rId2345" display="https://drive.google.com/open?id=1Unnleg8hS7znOSgPeU2DfMMPK1_N1a0l5x7A0C2wrq8" xr:uid="{00000000-0004-0000-0400-000028090000}"/>
    <hyperlink ref="H646" r:id="rId2346" display="https://docs.google.com/spreadsheets/d/1Unnleg8hS7znOSgPeU2DfMMPK1_N1a0l5x7A0C2wrq8" xr:uid="{00000000-0004-0000-0400-000029090000}"/>
    <hyperlink ref="I646" r:id="rId2347" display="https://docs.google.com/open?id=1Unnleg8hS7znOSgPeU2DfMMPK1_N1a0l5x7A0C2wrq8" xr:uid="{00000000-0004-0000-0400-00002A090000}"/>
    <hyperlink ref="D647" r:id="rId2348" display="https://drive.google.com/open?id=1_lB4xeo89spumEvb56SHsPLccl1hDrHyTSw3w4wSl6g&amp;usp=drive_copy" xr:uid="{00000000-0004-0000-0400-00002B090000}"/>
    <hyperlink ref="E647" r:id="rId2349" display="https://drive.google.com/open?id=1_lB4xeo89spumEvb56SHsPLccl1hDrHyTSw3w4wSl6g" xr:uid="{00000000-0004-0000-0400-00002C090000}"/>
    <hyperlink ref="H647" r:id="rId2350" display="https://docs.google.com/spreadsheets/d/1_lB4xeo89spumEvb56SHsPLccl1hDrHyTSw3w4wSl6g" xr:uid="{00000000-0004-0000-0400-00002D090000}"/>
    <hyperlink ref="I647" r:id="rId2351" display="https://docs.google.com/open?id=1_lB4xeo89spumEvb56SHsPLccl1hDrHyTSw3w4wSl6g" xr:uid="{00000000-0004-0000-0400-00002E090000}"/>
    <hyperlink ref="D648" r:id="rId2352" display="https://drive.google.com/open?id=1fqX2rnwxnkl7OpLwjM8LgM7ahxyRsdrJL1xus5ReMp4&amp;usp=drive_copy" xr:uid="{00000000-0004-0000-0400-00002F090000}"/>
    <hyperlink ref="E648" r:id="rId2353" display="https://drive.google.com/open?id=1fqX2rnwxnkl7OpLwjM8LgM7ahxyRsdrJL1xus5ReMp4" xr:uid="{00000000-0004-0000-0400-000030090000}"/>
    <hyperlink ref="H648" r:id="rId2354" display="https://docs.google.com/spreadsheets/d/1fqX2rnwxnkl7OpLwjM8LgM7ahxyRsdrJL1xus5ReMp4" xr:uid="{00000000-0004-0000-0400-000031090000}"/>
    <hyperlink ref="I648" r:id="rId2355" display="https://docs.google.com/open?id=1fqX2rnwxnkl7OpLwjM8LgM7ahxyRsdrJL1xus5ReMp4" xr:uid="{00000000-0004-0000-0400-000032090000}"/>
    <hyperlink ref="D649" r:id="rId2356" display="https://drive.google.com/open?id=1lvbdhkKJuzWiWwfKdmxnWYl3x7bLTrm7ud7dSIaqUtE&amp;usp=drive_copy" xr:uid="{00000000-0004-0000-0400-000033090000}"/>
    <hyperlink ref="E649" r:id="rId2357" display="https://drive.google.com/open?id=1lvbdhkKJuzWiWwfKdmxnWYl3x7bLTrm7ud7dSIaqUtE" xr:uid="{00000000-0004-0000-0400-000034090000}"/>
    <hyperlink ref="H649" r:id="rId2358" display="https://docs.google.com/spreadsheets/d/1lvbdhkKJuzWiWwfKdmxnWYl3x7bLTrm7ud7dSIaqUtE" xr:uid="{00000000-0004-0000-0400-000035090000}"/>
    <hyperlink ref="I649" r:id="rId2359" display="https://docs.google.com/open?id=1lvbdhkKJuzWiWwfKdmxnWYl3x7bLTrm7ud7dSIaqUtE" xr:uid="{00000000-0004-0000-0400-000036090000}"/>
    <hyperlink ref="D650" r:id="rId2360" display="https://drive.google.com/open?id=10_OwX_aZhDoGS6yaVBeSj7im8Lh-mNudToK-z5iklOE&amp;usp=drive_copy" xr:uid="{00000000-0004-0000-0400-000037090000}"/>
    <hyperlink ref="E650" r:id="rId2361" display="https://drive.google.com/open?id=10_OwX_aZhDoGS6yaVBeSj7im8Lh-mNudToK-z5iklOE" xr:uid="{00000000-0004-0000-0400-000038090000}"/>
    <hyperlink ref="H650" r:id="rId2362" display="https://docs.google.com/spreadsheets/d/10_OwX_aZhDoGS6yaVBeSj7im8Lh-mNudToK-z5iklOE" xr:uid="{00000000-0004-0000-0400-000039090000}"/>
    <hyperlink ref="I650" r:id="rId2363" display="https://docs.google.com/open?id=10_OwX_aZhDoGS6yaVBeSj7im8Lh-mNudToK-z5iklOE" xr:uid="{00000000-0004-0000-0400-00003A090000}"/>
    <hyperlink ref="D651" r:id="rId2364" display="https://drive.google.com/open?id=1C3sM5khnjwmFxar7TH3x9KEFFy2k4oIL2zEJBDDpgA4&amp;usp=drive_copy" xr:uid="{00000000-0004-0000-0400-00003B090000}"/>
    <hyperlink ref="E651" r:id="rId2365" display="https://drive.google.com/open?id=1C3sM5khnjwmFxar7TH3x9KEFFy2k4oIL2zEJBDDpgA4" xr:uid="{00000000-0004-0000-0400-00003C090000}"/>
    <hyperlink ref="H651" r:id="rId2366" display="https://docs.google.com/spreadsheets/d/1C3sM5khnjwmFxar7TH3x9KEFFy2k4oIL2zEJBDDpgA4" xr:uid="{00000000-0004-0000-0400-00003D090000}"/>
    <hyperlink ref="I651" r:id="rId2367" display="https://docs.google.com/open?id=1C3sM5khnjwmFxar7TH3x9KEFFy2k4oIL2zEJBDDpgA4" xr:uid="{00000000-0004-0000-0400-00003E090000}"/>
    <hyperlink ref="D652" r:id="rId2368" display="https://drive.google.com/open?id=1CNO3FmxgKA-FxJwmkspUa5fYz5eQrg3bHmt3-wYfS2w&amp;usp=drive_copy" xr:uid="{00000000-0004-0000-0400-00003F090000}"/>
    <hyperlink ref="E652" r:id="rId2369" display="https://drive.google.com/open?id=1CNO3FmxgKA-FxJwmkspUa5fYz5eQrg3bHmt3-wYfS2w" xr:uid="{00000000-0004-0000-0400-000040090000}"/>
    <hyperlink ref="H652" r:id="rId2370" display="https://docs.google.com/spreadsheets/d/1CNO3FmxgKA-FxJwmkspUa5fYz5eQrg3bHmt3-wYfS2w" xr:uid="{00000000-0004-0000-0400-000041090000}"/>
    <hyperlink ref="I652" r:id="rId2371" display="https://docs.google.com/open?id=1CNO3FmxgKA-FxJwmkspUa5fYz5eQrg3bHmt3-wYfS2w" xr:uid="{00000000-0004-0000-0400-000042090000}"/>
    <hyperlink ref="D653" r:id="rId2372" display="https://drive.google.com/open?id=1DVU_uAKjdkGavMu_hijFuuToS4tOFsYkHQ0O7Lo-cPw&amp;usp=drive_copy" xr:uid="{00000000-0004-0000-0400-000043090000}"/>
    <hyperlink ref="E653" r:id="rId2373" display="https://drive.google.com/open?id=1DVU_uAKjdkGavMu_hijFuuToS4tOFsYkHQ0O7Lo-cPw" xr:uid="{00000000-0004-0000-0400-000044090000}"/>
    <hyperlink ref="H653" r:id="rId2374" display="https://docs.google.com/spreadsheets/d/1DVU_uAKjdkGavMu_hijFuuToS4tOFsYkHQ0O7Lo-cPw" xr:uid="{00000000-0004-0000-0400-000045090000}"/>
    <hyperlink ref="I653" r:id="rId2375" display="https://docs.google.com/open?id=1DVU_uAKjdkGavMu_hijFuuToS4tOFsYkHQ0O7Lo-cPw" xr:uid="{00000000-0004-0000-0400-000046090000}"/>
    <hyperlink ref="D654" r:id="rId2376" display="https://drive.google.com/open?id=1HHMaOW5q5JLo5M5MsXlALoKdzRAY0aRZEMGnEerxrzM&amp;usp=drive_copy" xr:uid="{00000000-0004-0000-0400-000047090000}"/>
    <hyperlink ref="E654" r:id="rId2377" display="https://drive.google.com/open?id=1HHMaOW5q5JLo5M5MsXlALoKdzRAY0aRZEMGnEerxrzM" xr:uid="{00000000-0004-0000-0400-000048090000}"/>
    <hyperlink ref="H654" r:id="rId2378" display="https://docs.google.com/spreadsheets/d/1HHMaOW5q5JLo5M5MsXlALoKdzRAY0aRZEMGnEerxrzM" xr:uid="{00000000-0004-0000-0400-000049090000}"/>
    <hyperlink ref="I654" r:id="rId2379" display="https://docs.google.com/open?id=1HHMaOW5q5JLo5M5MsXlALoKdzRAY0aRZEMGnEerxrzM" xr:uid="{00000000-0004-0000-0400-00004A090000}"/>
    <hyperlink ref="D655" r:id="rId2380" display="https://drive.google.com/open?id=1SOjXPypXqSXAHAEQPaFXljMmC25mCFzbBzRrsrA47ks&amp;usp=drive_copy" xr:uid="{00000000-0004-0000-0400-00004B090000}"/>
    <hyperlink ref="E655" r:id="rId2381" display="https://drive.google.com/open?id=1SOjXPypXqSXAHAEQPaFXljMmC25mCFzbBzRrsrA47ks" xr:uid="{00000000-0004-0000-0400-00004C090000}"/>
    <hyperlink ref="H655" r:id="rId2382" display="https://docs.google.com/spreadsheets/d/1SOjXPypXqSXAHAEQPaFXljMmC25mCFzbBzRrsrA47ks" xr:uid="{00000000-0004-0000-0400-00004D090000}"/>
    <hyperlink ref="I655" r:id="rId2383" display="https://docs.google.com/open?id=1SOjXPypXqSXAHAEQPaFXljMmC25mCFzbBzRrsrA47ks" xr:uid="{00000000-0004-0000-0400-00004E090000}"/>
    <hyperlink ref="D656" r:id="rId2384" display="https://drive.google.com/open?id=1UBvQoTk4qsIOAJkXVur7USHEjzssCdKMaKqRNrM7BH4&amp;usp=drive_copy" xr:uid="{00000000-0004-0000-0400-00004F090000}"/>
    <hyperlink ref="E656" r:id="rId2385" display="https://drive.google.com/open?id=1UBvQoTk4qsIOAJkXVur7USHEjzssCdKMaKqRNrM7BH4" xr:uid="{00000000-0004-0000-0400-000050090000}"/>
    <hyperlink ref="H656" r:id="rId2386" display="https://docs.google.com/spreadsheets/d/1UBvQoTk4qsIOAJkXVur7USHEjzssCdKMaKqRNrM7BH4" xr:uid="{00000000-0004-0000-0400-000051090000}"/>
    <hyperlink ref="I656" r:id="rId2387" display="https://docs.google.com/open?id=1UBvQoTk4qsIOAJkXVur7USHEjzssCdKMaKqRNrM7BH4" xr:uid="{00000000-0004-0000-0400-000052090000}"/>
    <hyperlink ref="D657" r:id="rId2388" display="https://drive.google.com/open?id=1VlSGPNVTV7nzL827hVNFrN1CIZfDc1f05dfgc2qzpvw&amp;usp=drive_copy" xr:uid="{00000000-0004-0000-0400-000053090000}"/>
    <hyperlink ref="E657" r:id="rId2389" display="https://drive.google.com/open?id=1VlSGPNVTV7nzL827hVNFrN1CIZfDc1f05dfgc2qzpvw" xr:uid="{00000000-0004-0000-0400-000054090000}"/>
    <hyperlink ref="H657" r:id="rId2390" display="https://docs.google.com/spreadsheets/d/1VlSGPNVTV7nzL827hVNFrN1CIZfDc1f05dfgc2qzpvw" xr:uid="{00000000-0004-0000-0400-000055090000}"/>
    <hyperlink ref="I657" r:id="rId2391" display="https://docs.google.com/open?id=1VlSGPNVTV7nzL827hVNFrN1CIZfDc1f05dfgc2qzpvw" xr:uid="{00000000-0004-0000-0400-000056090000}"/>
    <hyperlink ref="D658" r:id="rId2392" display="https://drive.google.com/open?id=1YXoLIt-c7QGqA4FJ9oWi3ZPYX0JyzLkFWGf2aC-SkwU&amp;usp=drive_copy" xr:uid="{00000000-0004-0000-0400-000057090000}"/>
    <hyperlink ref="E658" r:id="rId2393" display="https://drive.google.com/open?id=1YXoLIt-c7QGqA4FJ9oWi3ZPYX0JyzLkFWGf2aC-SkwU" xr:uid="{00000000-0004-0000-0400-000058090000}"/>
    <hyperlink ref="H658" r:id="rId2394" display="https://docs.google.com/spreadsheets/d/1YXoLIt-c7QGqA4FJ9oWi3ZPYX0JyzLkFWGf2aC-SkwU" xr:uid="{00000000-0004-0000-0400-000059090000}"/>
    <hyperlink ref="I658" r:id="rId2395" display="https://docs.google.com/open?id=1YXoLIt-c7QGqA4FJ9oWi3ZPYX0JyzLkFWGf2aC-SkwU" xr:uid="{00000000-0004-0000-0400-00005A090000}"/>
    <hyperlink ref="D659" r:id="rId2396" display="https://drive.google.com/open?id=1zMPB_qLJCPdy8KbBJ27lIU0enlk63xGUlGaT2u2Hsz4&amp;usp=drive_copy" xr:uid="{00000000-0004-0000-0400-00005B090000}"/>
    <hyperlink ref="E659" r:id="rId2397" display="https://drive.google.com/open?id=1zMPB_qLJCPdy8KbBJ27lIU0enlk63xGUlGaT2u2Hsz4" xr:uid="{00000000-0004-0000-0400-00005C090000}"/>
    <hyperlink ref="H659" r:id="rId2398" display="https://docs.google.com/spreadsheets/d/1zMPB_qLJCPdy8KbBJ27lIU0enlk63xGUlGaT2u2Hsz4" xr:uid="{00000000-0004-0000-0400-00005D090000}"/>
    <hyperlink ref="I659" r:id="rId2399" display="https://docs.google.com/open?id=1zMPB_qLJCPdy8KbBJ27lIU0enlk63xGUlGaT2u2Hsz4" xr:uid="{00000000-0004-0000-0400-00005E090000}"/>
    <hyperlink ref="D660" r:id="rId2400" display="https://drive.google.com/open?id=14zMP8wU-P9XDjEapTt2vNxCj7-A38ewKHzv8GbkMsEQ&amp;usp=drive_copy" xr:uid="{00000000-0004-0000-0400-00005F090000}"/>
    <hyperlink ref="E660" r:id="rId2401" display="https://drive.google.com/open?id=14zMP8wU-P9XDjEapTt2vNxCj7-A38ewKHzv8GbkMsEQ" xr:uid="{00000000-0004-0000-0400-000060090000}"/>
    <hyperlink ref="H660" r:id="rId2402" display="https://docs.google.com/spreadsheets/d/14zMP8wU-P9XDjEapTt2vNxCj7-A38ewKHzv8GbkMsEQ" xr:uid="{00000000-0004-0000-0400-000061090000}"/>
    <hyperlink ref="I660" r:id="rId2403" display="https://docs.google.com/open?id=14zMP8wU-P9XDjEapTt2vNxCj7-A38ewKHzv8GbkMsEQ" xr:uid="{00000000-0004-0000-0400-000062090000}"/>
    <hyperlink ref="D661" r:id="rId2404" display="https://drive.google.com/open?id=18J-rPDBiPB6u-Rflumq7gBbzeQv6WylE_Hpoa7dVz04&amp;usp=drive_copy" xr:uid="{00000000-0004-0000-0400-000063090000}"/>
    <hyperlink ref="E661" r:id="rId2405" display="https://drive.google.com/open?id=18J-rPDBiPB6u-Rflumq7gBbzeQv6WylE_Hpoa7dVz04" xr:uid="{00000000-0004-0000-0400-000064090000}"/>
    <hyperlink ref="H661" r:id="rId2406" display="https://docs.google.com/spreadsheets/d/18J-rPDBiPB6u-Rflumq7gBbzeQv6WylE_Hpoa7dVz04" xr:uid="{00000000-0004-0000-0400-000065090000}"/>
    <hyperlink ref="I661" r:id="rId2407" display="https://docs.google.com/open?id=18J-rPDBiPB6u-Rflumq7gBbzeQv6WylE_Hpoa7dVz04" xr:uid="{00000000-0004-0000-0400-000066090000}"/>
    <hyperlink ref="D662" r:id="rId2408" display="https://drive.google.com/open?id=1BiOy31ydaVVAcBt-Odrlic5lW7IjRXsL3sfcaf-bVN0&amp;usp=drive_copy" xr:uid="{00000000-0004-0000-0400-000067090000}"/>
    <hyperlink ref="E662" r:id="rId2409" display="https://drive.google.com/open?id=1BiOy31ydaVVAcBt-Odrlic5lW7IjRXsL3sfcaf-bVN0" xr:uid="{00000000-0004-0000-0400-000068090000}"/>
    <hyperlink ref="H662" r:id="rId2410" display="https://docs.google.com/spreadsheets/d/1BiOy31ydaVVAcBt-Odrlic5lW7IjRXsL3sfcaf-bVN0" xr:uid="{00000000-0004-0000-0400-000069090000}"/>
    <hyperlink ref="I662" r:id="rId2411" display="https://docs.google.com/open?id=1BiOy31ydaVVAcBt-Odrlic5lW7IjRXsL3sfcaf-bVN0" xr:uid="{00000000-0004-0000-0400-00006A090000}"/>
    <hyperlink ref="D663" r:id="rId2412" display="https://drive.google.com/open?id=1DNmcaNb_9LHk5ypYwBKO4NM6uEQYNNPLWE6uFEI-oIs&amp;usp=drive_copy" xr:uid="{00000000-0004-0000-0400-00006B090000}"/>
    <hyperlink ref="E663" r:id="rId2413" display="https://drive.google.com/open?id=1DNmcaNb_9LHk5ypYwBKO4NM6uEQYNNPLWE6uFEI-oIs" xr:uid="{00000000-0004-0000-0400-00006C090000}"/>
    <hyperlink ref="H663" r:id="rId2414" display="https://docs.google.com/spreadsheets/d/1DNmcaNb_9LHk5ypYwBKO4NM6uEQYNNPLWE6uFEI-oIs" xr:uid="{00000000-0004-0000-0400-00006D090000}"/>
    <hyperlink ref="I663" r:id="rId2415" display="https://docs.google.com/open?id=1DNmcaNb_9LHk5ypYwBKO4NM6uEQYNNPLWE6uFEI-oIs" xr:uid="{00000000-0004-0000-0400-00006E090000}"/>
    <hyperlink ref="D664" r:id="rId2416" display="https://drive.google.com/open?id=1Dk6MbPFSP5TugVSenmzuxwYGZyOxYX3l8PUwjiX__Es&amp;usp=drive_copy" xr:uid="{00000000-0004-0000-0400-00006F090000}"/>
    <hyperlink ref="E664" r:id="rId2417" display="https://drive.google.com/open?id=1Dk6MbPFSP5TugVSenmzuxwYGZyOxYX3l8PUwjiX__Es" xr:uid="{00000000-0004-0000-0400-000070090000}"/>
    <hyperlink ref="H664" r:id="rId2418" display="https://docs.google.com/spreadsheets/d/1Dk6MbPFSP5TugVSenmzuxwYGZyOxYX3l8PUwjiX__Es" xr:uid="{00000000-0004-0000-0400-000071090000}"/>
    <hyperlink ref="I664" r:id="rId2419" display="https://docs.google.com/open?id=1Dk6MbPFSP5TugVSenmzuxwYGZyOxYX3l8PUwjiX__Es" xr:uid="{00000000-0004-0000-0400-000072090000}"/>
    <hyperlink ref="D665" r:id="rId2420" display="https://drive.google.com/open?id=1Fl8SB1u-OrjUIf3rPiFm60DJ3kkdeK849gSKfJPwxH0&amp;usp=drive_copy" xr:uid="{00000000-0004-0000-0400-000073090000}"/>
    <hyperlink ref="E665" r:id="rId2421" display="https://drive.google.com/open?id=1Fl8SB1u-OrjUIf3rPiFm60DJ3kkdeK849gSKfJPwxH0" xr:uid="{00000000-0004-0000-0400-000074090000}"/>
    <hyperlink ref="H665" r:id="rId2422" display="https://docs.google.com/spreadsheets/d/1Fl8SB1u-OrjUIf3rPiFm60DJ3kkdeK849gSKfJPwxH0" xr:uid="{00000000-0004-0000-0400-000075090000}"/>
    <hyperlink ref="I665" r:id="rId2423" display="https://docs.google.com/open?id=1Fl8SB1u-OrjUIf3rPiFm60DJ3kkdeK849gSKfJPwxH0" xr:uid="{00000000-0004-0000-0400-000076090000}"/>
    <hyperlink ref="D666" r:id="rId2424" display="https://drive.google.com/open?id=1RaH9-IZl5nEqWw3pdo4ZQv6320aAO4wRUIT7d_TA56o&amp;usp=drive_copy" xr:uid="{00000000-0004-0000-0400-000077090000}"/>
    <hyperlink ref="E666" r:id="rId2425" display="https://drive.google.com/open?id=1RaH9-IZl5nEqWw3pdo4ZQv6320aAO4wRUIT7d_TA56o" xr:uid="{00000000-0004-0000-0400-000078090000}"/>
    <hyperlink ref="H666" r:id="rId2426" display="https://docs.google.com/spreadsheets/d/1RaH9-IZl5nEqWw3pdo4ZQv6320aAO4wRUIT7d_TA56o" xr:uid="{00000000-0004-0000-0400-000079090000}"/>
    <hyperlink ref="I666" r:id="rId2427" display="https://docs.google.com/open?id=1RaH9-IZl5nEqWw3pdo4ZQv6320aAO4wRUIT7d_TA56o" xr:uid="{00000000-0004-0000-0400-00007A090000}"/>
    <hyperlink ref="D667" r:id="rId2428" display="https://drive.google.com/open?id=1U1_WC00FR3s7Xqllgrk-nYX6bEswGj3ea0FaYR3S7rI&amp;usp=drive_copy" xr:uid="{00000000-0004-0000-0400-00007B090000}"/>
    <hyperlink ref="E667" r:id="rId2429" display="https://drive.google.com/open?id=1U1_WC00FR3s7Xqllgrk-nYX6bEswGj3ea0FaYR3S7rI" xr:uid="{00000000-0004-0000-0400-00007C090000}"/>
    <hyperlink ref="H667" r:id="rId2430" display="https://docs.google.com/spreadsheets/d/1U1_WC00FR3s7Xqllgrk-nYX6bEswGj3ea0FaYR3S7rI" xr:uid="{00000000-0004-0000-0400-00007D090000}"/>
    <hyperlink ref="I667" r:id="rId2431" display="https://docs.google.com/open?id=1U1_WC00FR3s7Xqllgrk-nYX6bEswGj3ea0FaYR3S7rI" xr:uid="{00000000-0004-0000-0400-00007E090000}"/>
    <hyperlink ref="D668" r:id="rId2432" display="https://drive.google.com/open?id=1X0c9rOIN3Ezxk5U_OM91vIdv2oTMZeLSywZ0MFV1WDA&amp;usp=drive_copy" xr:uid="{00000000-0004-0000-0400-00007F090000}"/>
    <hyperlink ref="E668" r:id="rId2433" display="https://drive.google.com/open?id=1X0c9rOIN3Ezxk5U_OM91vIdv2oTMZeLSywZ0MFV1WDA" xr:uid="{00000000-0004-0000-0400-000080090000}"/>
    <hyperlink ref="H668" r:id="rId2434" display="https://docs.google.com/spreadsheets/d/1X0c9rOIN3Ezxk5U_OM91vIdv2oTMZeLSywZ0MFV1WDA" xr:uid="{00000000-0004-0000-0400-000081090000}"/>
    <hyperlink ref="I668" r:id="rId2435" display="https://docs.google.com/open?id=1X0c9rOIN3Ezxk5U_OM91vIdv2oTMZeLSywZ0MFV1WDA" xr:uid="{00000000-0004-0000-0400-000082090000}"/>
    <hyperlink ref="D669" r:id="rId2436" display="https://drive.google.com/open?id=1XmjjaxhccnvGh5nP_NwFuid8AOS8YXBHMmiOrkKZJXA&amp;usp=drive_copy" xr:uid="{00000000-0004-0000-0400-000083090000}"/>
    <hyperlink ref="E669" r:id="rId2437" display="https://drive.google.com/open?id=1XmjjaxhccnvGh5nP_NwFuid8AOS8YXBHMmiOrkKZJXA" xr:uid="{00000000-0004-0000-0400-000084090000}"/>
    <hyperlink ref="H669" r:id="rId2438" display="https://docs.google.com/spreadsheets/d/1XmjjaxhccnvGh5nP_NwFuid8AOS8YXBHMmiOrkKZJXA" xr:uid="{00000000-0004-0000-0400-000085090000}"/>
    <hyperlink ref="I669" r:id="rId2439" display="https://docs.google.com/open?id=1XmjjaxhccnvGh5nP_NwFuid8AOS8YXBHMmiOrkKZJXA" xr:uid="{00000000-0004-0000-0400-000086090000}"/>
    <hyperlink ref="D670" r:id="rId2440" display="https://drive.google.com/open?id=16D9Wl55OB5imzgP8lk5OmxpV70KoxgBndXqnbh48UTM&amp;usp=drive_copy" xr:uid="{00000000-0004-0000-0400-000087090000}"/>
    <hyperlink ref="E670" r:id="rId2441" display="https://drive.google.com/open?id=16D9Wl55OB5imzgP8lk5OmxpV70KoxgBndXqnbh48UTM" xr:uid="{00000000-0004-0000-0400-000088090000}"/>
    <hyperlink ref="H670" r:id="rId2442" display="https://docs.google.com/spreadsheets/d/16D9Wl55OB5imzgP8lk5OmxpV70KoxgBndXqnbh48UTM" xr:uid="{00000000-0004-0000-0400-000089090000}"/>
    <hyperlink ref="I670" r:id="rId2443" display="https://docs.google.com/open?id=16D9Wl55OB5imzgP8lk5OmxpV70KoxgBndXqnbh48UTM" xr:uid="{00000000-0004-0000-0400-00008A090000}"/>
    <hyperlink ref="D671" r:id="rId2444" display="https://drive.google.com/open?id=1C3gI83EfwjXPAEk1x8HuqsYvPOf-XMjJTPVihXzB3LM&amp;usp=drive_copy" xr:uid="{00000000-0004-0000-0400-00008B090000}"/>
    <hyperlink ref="E671" r:id="rId2445" display="https://drive.google.com/open?id=1C3gI83EfwjXPAEk1x8HuqsYvPOf-XMjJTPVihXzB3LM" xr:uid="{00000000-0004-0000-0400-00008C090000}"/>
    <hyperlink ref="H671" r:id="rId2446" display="https://docs.google.com/spreadsheets/d/1C3gI83EfwjXPAEk1x8HuqsYvPOf-XMjJTPVihXzB3LM" xr:uid="{00000000-0004-0000-0400-00008D090000}"/>
    <hyperlink ref="I671" r:id="rId2447" display="https://docs.google.com/open?id=1C3gI83EfwjXPAEk1x8HuqsYvPOf-XMjJTPVihXzB3LM" xr:uid="{00000000-0004-0000-0400-00008E090000}"/>
    <hyperlink ref="D672" r:id="rId2448" display="https://drive.google.com/open?id=1Dijqr-OktZIwWV0-PK1ir9pszEpEVDmfjf99l_EhFmo&amp;usp=drive_copy" xr:uid="{00000000-0004-0000-0400-00008F090000}"/>
    <hyperlink ref="E672" r:id="rId2449" display="https://drive.google.com/open?id=1Dijqr-OktZIwWV0-PK1ir9pszEpEVDmfjf99l_EhFmo" xr:uid="{00000000-0004-0000-0400-000090090000}"/>
    <hyperlink ref="H672" r:id="rId2450" display="https://docs.google.com/spreadsheets/d/1Dijqr-OktZIwWV0-PK1ir9pszEpEVDmfjf99l_EhFmo" xr:uid="{00000000-0004-0000-0400-000091090000}"/>
    <hyperlink ref="I672" r:id="rId2451" display="https://docs.google.com/open?id=1Dijqr-OktZIwWV0-PK1ir9pszEpEVDmfjf99l_EhFmo" xr:uid="{00000000-0004-0000-0400-000092090000}"/>
    <hyperlink ref="D673" r:id="rId2452" display="https://drive.google.com/open?id=1HWdETOZ0jWL3Cc2-y4iSvi5auBhr3Il96oHeeQjnPlA&amp;usp=drive_copy" xr:uid="{00000000-0004-0000-0400-000093090000}"/>
    <hyperlink ref="E673" r:id="rId2453" display="https://drive.google.com/open?id=1HWdETOZ0jWL3Cc2-y4iSvi5auBhr3Il96oHeeQjnPlA" xr:uid="{00000000-0004-0000-0400-000094090000}"/>
    <hyperlink ref="H673" r:id="rId2454" display="https://docs.google.com/spreadsheets/d/1HWdETOZ0jWL3Cc2-y4iSvi5auBhr3Il96oHeeQjnPlA" xr:uid="{00000000-0004-0000-0400-000095090000}"/>
    <hyperlink ref="I673" r:id="rId2455" display="https://docs.google.com/open?id=1HWdETOZ0jWL3Cc2-y4iSvi5auBhr3Il96oHeeQjnPlA" xr:uid="{00000000-0004-0000-0400-000096090000}"/>
    <hyperlink ref="D674" r:id="rId2456" display="https://drive.google.com/open?id=1cDi4Jr4B31xD9wwGXqXPwWZ0K07bE62O4aZio_Ee-Vk&amp;usp=drive_copy" xr:uid="{00000000-0004-0000-0400-000097090000}"/>
    <hyperlink ref="E674" r:id="rId2457" display="https://drive.google.com/open?id=1cDi4Jr4B31xD9wwGXqXPwWZ0K07bE62O4aZio_Ee-Vk" xr:uid="{00000000-0004-0000-0400-000098090000}"/>
    <hyperlink ref="H674" r:id="rId2458" display="https://docs.google.com/spreadsheets/d/1cDi4Jr4B31xD9wwGXqXPwWZ0K07bE62O4aZio_Ee-Vk" xr:uid="{00000000-0004-0000-0400-000099090000}"/>
    <hyperlink ref="I674" r:id="rId2459" display="https://docs.google.com/open?id=1cDi4Jr4B31xD9wwGXqXPwWZ0K07bE62O4aZio_Ee-Vk" xr:uid="{00000000-0004-0000-0400-00009A090000}"/>
    <hyperlink ref="D675" r:id="rId2460" display="https://drive.google.com/open?id=1jlBih2S5uvCFmSog67HGX-rXOJDxzrzzphu-TTfjIhU&amp;usp=drive_copy" xr:uid="{00000000-0004-0000-0400-00009B090000}"/>
    <hyperlink ref="E675" r:id="rId2461" display="https://drive.google.com/open?id=1jlBih2S5uvCFmSog67HGX-rXOJDxzrzzphu-TTfjIhU" xr:uid="{00000000-0004-0000-0400-00009C090000}"/>
    <hyperlink ref="H675" r:id="rId2462" display="https://docs.google.com/spreadsheets/d/1jlBih2S5uvCFmSog67HGX-rXOJDxzrzzphu-TTfjIhU" xr:uid="{00000000-0004-0000-0400-00009D090000}"/>
    <hyperlink ref="I675" r:id="rId2463" display="https://docs.google.com/open?id=1jlBih2S5uvCFmSog67HGX-rXOJDxzrzzphu-TTfjIhU" xr:uid="{00000000-0004-0000-0400-00009E090000}"/>
    <hyperlink ref="D676" r:id="rId2464" display="https://drive.google.com/open?id=1CMHEyAbKdUepMmAVaZOCvNVyMvzRnjr-8syUod6Qe9s&amp;usp=drive_copy" xr:uid="{00000000-0004-0000-0400-00009F090000}"/>
    <hyperlink ref="E676" r:id="rId2465" display="https://drive.google.com/open?id=1CMHEyAbKdUepMmAVaZOCvNVyMvzRnjr-8syUod6Qe9s" xr:uid="{00000000-0004-0000-0400-0000A0090000}"/>
    <hyperlink ref="H676" r:id="rId2466" display="https://docs.google.com/spreadsheets/d/1CMHEyAbKdUepMmAVaZOCvNVyMvzRnjr-8syUod6Qe9s" xr:uid="{00000000-0004-0000-0400-0000A1090000}"/>
    <hyperlink ref="I676" r:id="rId2467" display="https://docs.google.com/open?id=1CMHEyAbKdUepMmAVaZOCvNVyMvzRnjr-8syUod6Qe9s" xr:uid="{00000000-0004-0000-0400-0000A2090000}"/>
    <hyperlink ref="D680" r:id="rId2468" display="https://drive.google.com/open?id=1qzO6X1tKDTsOXKHHXgAWY0BThScdUBj-kN8SBlmt1kY&amp;usp=drive_copy" xr:uid="{00000000-0004-0000-0400-0000A3090000}"/>
    <hyperlink ref="E680" r:id="rId2469" display="https://drive.google.com/open?id=1qzO6X1tKDTsOXKHHXgAWY0BThScdUBj-kN8SBlmt1kY" xr:uid="{00000000-0004-0000-0400-0000A4090000}"/>
    <hyperlink ref="H680" r:id="rId2470" display="https://docs.google.com/spreadsheets/d/1qzO6X1tKDTsOXKHHXgAWY0BThScdUBj-kN8SBlmt1kY" xr:uid="{00000000-0004-0000-0400-0000A5090000}"/>
    <hyperlink ref="I680" r:id="rId2471" display="https://docs.google.com/open?id=1qzO6X1tKDTsOXKHHXgAWY0BThScdUBj-kN8SBlmt1kY" xr:uid="{00000000-0004-0000-0400-0000A6090000}"/>
    <hyperlink ref="D681" r:id="rId2472" display="https://drive.google.com/open?id=1HgwxKJP6-XjGZYXnLuy-dAy8hCHXAspBVTq9KUkKxgA&amp;usp=drive_copy" xr:uid="{00000000-0004-0000-0400-0000A7090000}"/>
    <hyperlink ref="E681" r:id="rId2473" display="https://drive.google.com/open?id=1HgwxKJP6-XjGZYXnLuy-dAy8hCHXAspBVTq9KUkKxgA" xr:uid="{00000000-0004-0000-0400-0000A8090000}"/>
    <hyperlink ref="H681" r:id="rId2474" display="https://docs.google.com/spreadsheets/d/1HgwxKJP6-XjGZYXnLuy-dAy8hCHXAspBVTq9KUkKxgA" xr:uid="{00000000-0004-0000-0400-0000A9090000}"/>
    <hyperlink ref="I681" r:id="rId2475" display="https://docs.google.com/open?id=1HgwxKJP6-XjGZYXnLuy-dAy8hCHXAspBVTq9KUkKxgA" xr:uid="{00000000-0004-0000-0400-0000AA090000}"/>
    <hyperlink ref="D682" r:id="rId2476" display="https://drive.google.com/open?id=1C4qLmFbzdCUDhoZs1AxGfn3RXqtL1vs1dPHz29tN85A&amp;usp=drive_copy" xr:uid="{00000000-0004-0000-0400-0000AB090000}"/>
    <hyperlink ref="E682" r:id="rId2477" display="https://drive.google.com/open?id=1C4qLmFbzdCUDhoZs1AxGfn3RXqtL1vs1dPHz29tN85A" xr:uid="{00000000-0004-0000-0400-0000AC090000}"/>
    <hyperlink ref="H682" r:id="rId2478" display="https://docs.google.com/spreadsheets/d/1C4qLmFbzdCUDhoZs1AxGfn3RXqtL1vs1dPHz29tN85A" xr:uid="{00000000-0004-0000-0400-0000AD090000}"/>
    <hyperlink ref="I682" r:id="rId2479" display="https://docs.google.com/open?id=1C4qLmFbzdCUDhoZs1AxGfn3RXqtL1vs1dPHz29tN85A" xr:uid="{00000000-0004-0000-0400-0000AE090000}"/>
    <hyperlink ref="D683" r:id="rId2480" display="https://drive.google.com/open?id=1mOXbF6yfi6oNvpmZMbJmkg3T_Qp9tOva4cXGq7N9gM0&amp;usp=drive_copy" xr:uid="{00000000-0004-0000-0400-0000AF090000}"/>
    <hyperlink ref="E683" r:id="rId2481" display="https://drive.google.com/open?id=1mOXbF6yfi6oNvpmZMbJmkg3T_Qp9tOva4cXGq7N9gM0" xr:uid="{00000000-0004-0000-0400-0000B0090000}"/>
    <hyperlink ref="H683" r:id="rId2482" display="https://docs.google.com/spreadsheets/d/1mOXbF6yfi6oNvpmZMbJmkg3T_Qp9tOva4cXGq7N9gM0" xr:uid="{00000000-0004-0000-0400-0000B1090000}"/>
    <hyperlink ref="I683" r:id="rId2483" display="https://docs.google.com/open?id=1mOXbF6yfi6oNvpmZMbJmkg3T_Qp9tOva4cXGq7N9gM0" xr:uid="{00000000-0004-0000-0400-0000B2090000}"/>
    <hyperlink ref="D684" r:id="rId2484" display="https://drive.google.com/open?id=11kU6FZ9riH3rtFvnufRxnUW1LS2hCu-4EJLKiYufiUU&amp;usp=drive_copy" xr:uid="{00000000-0004-0000-0400-0000B3090000}"/>
    <hyperlink ref="E684" r:id="rId2485" display="https://drive.google.com/open?id=11kU6FZ9riH3rtFvnufRxnUW1LS2hCu-4EJLKiYufiUU" xr:uid="{00000000-0004-0000-0400-0000B4090000}"/>
    <hyperlink ref="H684" r:id="rId2486" display="https://docs.google.com/spreadsheets/d/11kU6FZ9riH3rtFvnufRxnUW1LS2hCu-4EJLKiYufiUU" xr:uid="{00000000-0004-0000-0400-0000B5090000}"/>
    <hyperlink ref="I684" r:id="rId2487" display="https://docs.google.com/open?id=11kU6FZ9riH3rtFvnufRxnUW1LS2hCu-4EJLKiYufiUU" xr:uid="{00000000-0004-0000-0400-0000B6090000}"/>
    <hyperlink ref="D685" r:id="rId2488" display="https://drive.google.com/open?id=1hpZT4rLx8oJP9qze-AN69HmDJwSjkfLUfdyUMBWBl3k&amp;usp=drive_copy" xr:uid="{00000000-0004-0000-0400-0000B7090000}"/>
    <hyperlink ref="E685" r:id="rId2489" display="https://drive.google.com/open?id=1hpZT4rLx8oJP9qze-AN69HmDJwSjkfLUfdyUMBWBl3k" xr:uid="{00000000-0004-0000-0400-0000B8090000}"/>
    <hyperlink ref="H685" r:id="rId2490" display="https://docs.google.com/spreadsheets/d/1hpZT4rLx8oJP9qze-AN69HmDJwSjkfLUfdyUMBWBl3k" xr:uid="{00000000-0004-0000-0400-0000B9090000}"/>
    <hyperlink ref="I685" r:id="rId2491" display="https://docs.google.com/open?id=1hpZT4rLx8oJP9qze-AN69HmDJwSjkfLUfdyUMBWBl3k" xr:uid="{00000000-0004-0000-0400-0000BA090000}"/>
    <hyperlink ref="D686" r:id="rId2492" display="https://drive.google.com/open?id=1ABl5HWNj_EPPJZ1lYqyBuuE9trN08kQPqWf5d3_xJSE&amp;usp=drive_copy" xr:uid="{00000000-0004-0000-0400-0000BB090000}"/>
    <hyperlink ref="E686" r:id="rId2493" display="https://drive.google.com/open?id=1ABl5HWNj_EPPJZ1lYqyBuuE9trN08kQPqWf5d3_xJSE" xr:uid="{00000000-0004-0000-0400-0000BC090000}"/>
    <hyperlink ref="H686" r:id="rId2494" display="https://docs.google.com/spreadsheets/d/1ABl5HWNj_EPPJZ1lYqyBuuE9trN08kQPqWf5d3_xJSE" xr:uid="{00000000-0004-0000-0400-0000BD090000}"/>
    <hyperlink ref="I686" r:id="rId2495" display="https://docs.google.com/open?id=1ABl5HWNj_EPPJZ1lYqyBuuE9trN08kQPqWf5d3_xJSE" xr:uid="{00000000-0004-0000-0400-0000BE090000}"/>
    <hyperlink ref="D687" r:id="rId2496" display="https://drive.google.com/open?id=1SHKyeAS5y0pkTm_BBpkaT4UN7_ASCZxIEVWJ_rfV6Jk&amp;usp=drive_copy" xr:uid="{00000000-0004-0000-0400-0000BF090000}"/>
    <hyperlink ref="E687" r:id="rId2497" display="https://drive.google.com/open?id=1SHKyeAS5y0pkTm_BBpkaT4UN7_ASCZxIEVWJ_rfV6Jk" xr:uid="{00000000-0004-0000-0400-0000C0090000}"/>
    <hyperlink ref="H687" r:id="rId2498" display="https://docs.google.com/spreadsheets/d/1SHKyeAS5y0pkTm_BBpkaT4UN7_ASCZxIEVWJ_rfV6Jk" xr:uid="{00000000-0004-0000-0400-0000C1090000}"/>
    <hyperlink ref="I687" r:id="rId2499" display="https://docs.google.com/open?id=1SHKyeAS5y0pkTm_BBpkaT4UN7_ASCZxIEVWJ_rfV6Jk" xr:uid="{00000000-0004-0000-0400-0000C2090000}"/>
    <hyperlink ref="D688" r:id="rId2500" display="https://drive.google.com/open?id=1zNTlPO-P72XhQpDpk2tL1wsxpPrfBm_WxVsuKUD-yYU&amp;usp=drive_copy" xr:uid="{00000000-0004-0000-0400-0000C3090000}"/>
    <hyperlink ref="E688" r:id="rId2501" display="https://drive.google.com/open?id=1zNTlPO-P72XhQpDpk2tL1wsxpPrfBm_WxVsuKUD-yYU" xr:uid="{00000000-0004-0000-0400-0000C4090000}"/>
    <hyperlink ref="H688" r:id="rId2502" display="https://docs.google.com/spreadsheets/d/1zNTlPO-P72XhQpDpk2tL1wsxpPrfBm_WxVsuKUD-yYU" xr:uid="{00000000-0004-0000-0400-0000C5090000}"/>
    <hyperlink ref="I688" r:id="rId2503" display="https://docs.google.com/open?id=1zNTlPO-P72XhQpDpk2tL1wsxpPrfBm_WxVsuKUD-yYU" xr:uid="{00000000-0004-0000-0400-0000C6090000}"/>
    <hyperlink ref="D689" r:id="rId2504" display="https://drive.google.com/open?id=1EE7F9TdJWX39Eaf_HwosXUAAqTVHuiDKG-FG6pfOzP0&amp;usp=drive_copy" xr:uid="{00000000-0004-0000-0400-0000C7090000}"/>
    <hyperlink ref="E689" r:id="rId2505" display="https://drive.google.com/open?id=1EE7F9TdJWX39Eaf_HwosXUAAqTVHuiDKG-FG6pfOzP0" xr:uid="{00000000-0004-0000-0400-0000C8090000}"/>
    <hyperlink ref="H689" r:id="rId2506" display="https://docs.google.com/spreadsheets/d/1EE7F9TdJWX39Eaf_HwosXUAAqTVHuiDKG-FG6pfOzP0" xr:uid="{00000000-0004-0000-0400-0000C9090000}"/>
    <hyperlink ref="I689" r:id="rId2507" display="https://docs.google.com/open?id=1EE7F9TdJWX39Eaf_HwosXUAAqTVHuiDKG-FG6pfOzP0" xr:uid="{00000000-0004-0000-0400-0000CA090000}"/>
    <hyperlink ref="D690" r:id="rId2508" display="https://drive.google.com/open?id=1fvNCC2t16Qfk_o9AkKJAv-d_2t-c3Xre99PuELZhPZI&amp;usp=drive_copy" xr:uid="{00000000-0004-0000-0400-0000CB090000}"/>
    <hyperlink ref="E690" r:id="rId2509" display="https://drive.google.com/open?id=1fvNCC2t16Qfk_o9AkKJAv-d_2t-c3Xre99PuELZhPZI" xr:uid="{00000000-0004-0000-0400-0000CC090000}"/>
    <hyperlink ref="H690" r:id="rId2510" display="https://docs.google.com/spreadsheets/d/1fvNCC2t16Qfk_o9AkKJAv-d_2t-c3Xre99PuELZhPZI" xr:uid="{00000000-0004-0000-0400-0000CD090000}"/>
    <hyperlink ref="I690" r:id="rId2511" display="https://docs.google.com/open?id=1fvNCC2t16Qfk_o9AkKJAv-d_2t-c3Xre99PuELZhPZI" xr:uid="{00000000-0004-0000-0400-0000CE090000}"/>
    <hyperlink ref="D691" r:id="rId2512" display="https://drive.google.com/open?id=1X8M_NgcJludMMtabQT_1et3zj9a_YUYut9f1tLdbY4A&amp;usp=drive_copy" xr:uid="{00000000-0004-0000-0400-0000CF090000}"/>
    <hyperlink ref="E691" r:id="rId2513" display="https://drive.google.com/open?id=1X8M_NgcJludMMtabQT_1et3zj9a_YUYut9f1tLdbY4A" xr:uid="{00000000-0004-0000-0400-0000D0090000}"/>
    <hyperlink ref="H691" r:id="rId2514" display="https://docs.google.com/spreadsheets/d/1X8M_NgcJludMMtabQT_1et3zj9a_YUYut9f1tLdbY4A" xr:uid="{00000000-0004-0000-0400-0000D1090000}"/>
    <hyperlink ref="I691" r:id="rId2515" display="https://docs.google.com/open?id=1X8M_NgcJludMMtabQT_1et3zj9a_YUYut9f1tLdbY4A" xr:uid="{00000000-0004-0000-0400-0000D2090000}"/>
    <hyperlink ref="D692" r:id="rId2516" display="https://drive.google.com/open?id=165Su4-_ydhwK1-zm5fOKBdNpo6Mdcbt448UPuHUT4AI&amp;usp=drive_copy" xr:uid="{00000000-0004-0000-0400-0000D3090000}"/>
    <hyperlink ref="E692" r:id="rId2517" display="https://drive.google.com/open?id=165Su4-_ydhwK1-zm5fOKBdNpo6Mdcbt448UPuHUT4AI" xr:uid="{00000000-0004-0000-0400-0000D4090000}"/>
    <hyperlink ref="H692" r:id="rId2518" display="https://docs.google.com/spreadsheets/d/165Su4-_ydhwK1-zm5fOKBdNpo6Mdcbt448UPuHUT4AI" xr:uid="{00000000-0004-0000-0400-0000D5090000}"/>
    <hyperlink ref="I692" r:id="rId2519" display="https://docs.google.com/open?id=165Su4-_ydhwK1-zm5fOKBdNpo6Mdcbt448UPuHUT4AI" xr:uid="{00000000-0004-0000-0400-0000D6090000}"/>
    <hyperlink ref="D693" r:id="rId2520" display="https://drive.google.com/open?id=1gB7ywvBiq1Y6KelcMxF4tOsyvdbg72yF0QBiljxdfW4&amp;usp=drive_copy" xr:uid="{00000000-0004-0000-0400-0000D7090000}"/>
    <hyperlink ref="E693" r:id="rId2521" display="https://drive.google.com/open?id=1gB7ywvBiq1Y6KelcMxF4tOsyvdbg72yF0QBiljxdfW4" xr:uid="{00000000-0004-0000-0400-0000D8090000}"/>
    <hyperlink ref="H693" r:id="rId2522" display="https://docs.google.com/spreadsheets/d/1gB7ywvBiq1Y6KelcMxF4tOsyvdbg72yF0QBiljxdfW4" xr:uid="{00000000-0004-0000-0400-0000D9090000}"/>
    <hyperlink ref="I693" r:id="rId2523" display="https://docs.google.com/open?id=1gB7ywvBiq1Y6KelcMxF4tOsyvdbg72yF0QBiljxdfW4" xr:uid="{00000000-0004-0000-0400-0000DA090000}"/>
    <hyperlink ref="D694" r:id="rId2524" display="https://drive.google.com/open?id=1cL0YXRJErBHsz2Dcib-JJ3g-rV7waf3sC8Y2kKHtzBk&amp;usp=drive_copy" xr:uid="{00000000-0004-0000-0400-0000DB090000}"/>
    <hyperlink ref="E694" r:id="rId2525" display="https://drive.google.com/open?id=1cL0YXRJErBHsz2Dcib-JJ3g-rV7waf3sC8Y2kKHtzBk" xr:uid="{00000000-0004-0000-0400-0000DC090000}"/>
    <hyperlink ref="H694" r:id="rId2526" display="https://docs.google.com/spreadsheets/d/1cL0YXRJErBHsz2Dcib-JJ3g-rV7waf3sC8Y2kKHtzBk" xr:uid="{00000000-0004-0000-0400-0000DD090000}"/>
    <hyperlink ref="I694" r:id="rId2527" display="https://docs.google.com/open?id=1cL0YXRJErBHsz2Dcib-JJ3g-rV7waf3sC8Y2kKHtzBk" xr:uid="{00000000-0004-0000-0400-0000DE090000}"/>
    <hyperlink ref="D695" r:id="rId2528" display="https://drive.google.com/open?id=1djoBP-C5Fs3sKkR7aWKGCf9uZIcsDwipHMLKjW05Svc&amp;usp=drive_copy" xr:uid="{00000000-0004-0000-0400-0000DF090000}"/>
    <hyperlink ref="E695" r:id="rId2529" display="https://drive.google.com/open?id=1djoBP-C5Fs3sKkR7aWKGCf9uZIcsDwipHMLKjW05Svc" xr:uid="{00000000-0004-0000-0400-0000E0090000}"/>
    <hyperlink ref="H695" r:id="rId2530" display="https://docs.google.com/spreadsheets/d/1djoBP-C5Fs3sKkR7aWKGCf9uZIcsDwipHMLKjW05Svc" xr:uid="{00000000-0004-0000-0400-0000E1090000}"/>
    <hyperlink ref="I695" r:id="rId2531" display="https://docs.google.com/open?id=1djoBP-C5Fs3sKkR7aWKGCf9uZIcsDwipHMLKjW05Svc" xr:uid="{00000000-0004-0000-0400-0000E2090000}"/>
    <hyperlink ref="D696" r:id="rId2532" display="https://drive.google.com/open?id=1eXZVA_ImAE2XJu026QaWPTili5KXyoVrxabbT7-sc2I&amp;usp=drive_copy" xr:uid="{00000000-0004-0000-0400-0000E3090000}"/>
    <hyperlink ref="E696" r:id="rId2533" display="https://drive.google.com/open?id=1eXZVA_ImAE2XJu026QaWPTili5KXyoVrxabbT7-sc2I" xr:uid="{00000000-0004-0000-0400-0000E4090000}"/>
    <hyperlink ref="H696" r:id="rId2534" display="https://docs.google.com/spreadsheets/d/1eXZVA_ImAE2XJu026QaWPTili5KXyoVrxabbT7-sc2I" xr:uid="{00000000-0004-0000-0400-0000E5090000}"/>
    <hyperlink ref="I696" r:id="rId2535" display="https://docs.google.com/open?id=1eXZVA_ImAE2XJu026QaWPTili5KXyoVrxabbT7-sc2I" xr:uid="{00000000-0004-0000-0400-0000E6090000}"/>
    <hyperlink ref="D697" r:id="rId2536" display="https://drive.google.com/open?id=1hUu6hrodSNaoGtd6xwJ40UL3XVRZbrXOpkphpiJrEPw&amp;usp=drive_copy" xr:uid="{00000000-0004-0000-0400-0000E7090000}"/>
    <hyperlink ref="E697" r:id="rId2537" display="https://drive.google.com/open?id=1hUu6hrodSNaoGtd6xwJ40UL3XVRZbrXOpkphpiJrEPw" xr:uid="{00000000-0004-0000-0400-0000E8090000}"/>
    <hyperlink ref="H697" r:id="rId2538" display="https://docs.google.com/spreadsheets/d/1hUu6hrodSNaoGtd6xwJ40UL3XVRZbrXOpkphpiJrEPw" xr:uid="{00000000-0004-0000-0400-0000E9090000}"/>
    <hyperlink ref="I697" r:id="rId2539" display="https://docs.google.com/open?id=1hUu6hrodSNaoGtd6xwJ40UL3XVRZbrXOpkphpiJrEPw" xr:uid="{00000000-0004-0000-0400-0000EA090000}"/>
    <hyperlink ref="D698" r:id="rId2540" display="https://drive.google.com/open?id=1hj9Co6STaAQxdUSeZPqhGx7CfFMhdiHnGboJ9Knc1Fg&amp;usp=drive_copy" xr:uid="{00000000-0004-0000-0400-0000EB090000}"/>
    <hyperlink ref="E698" r:id="rId2541" display="https://drive.google.com/open?id=1hj9Co6STaAQxdUSeZPqhGx7CfFMhdiHnGboJ9Knc1Fg" xr:uid="{00000000-0004-0000-0400-0000EC090000}"/>
    <hyperlink ref="H698" r:id="rId2542" display="https://docs.google.com/spreadsheets/d/1hj9Co6STaAQxdUSeZPqhGx7CfFMhdiHnGboJ9Knc1Fg" xr:uid="{00000000-0004-0000-0400-0000ED090000}"/>
    <hyperlink ref="I698" r:id="rId2543" display="https://docs.google.com/open?id=1hj9Co6STaAQxdUSeZPqhGx7CfFMhdiHnGboJ9Knc1Fg" xr:uid="{00000000-0004-0000-0400-0000EE090000}"/>
    <hyperlink ref="D699" r:id="rId2544" display="https://drive.google.com/open?id=1j-raWHTDg7bIkhIrOWNc1kkM9Fs7t5o3DO5-62nSJVM&amp;usp=drive_copy" xr:uid="{00000000-0004-0000-0400-0000EF090000}"/>
    <hyperlink ref="E699" r:id="rId2545" display="https://drive.google.com/open?id=1j-raWHTDg7bIkhIrOWNc1kkM9Fs7t5o3DO5-62nSJVM" xr:uid="{00000000-0004-0000-0400-0000F0090000}"/>
    <hyperlink ref="H699" r:id="rId2546" display="https://docs.google.com/spreadsheets/d/1j-raWHTDg7bIkhIrOWNc1kkM9Fs7t5o3DO5-62nSJVM" xr:uid="{00000000-0004-0000-0400-0000F1090000}"/>
    <hyperlink ref="I699" r:id="rId2547" display="https://docs.google.com/open?id=1j-raWHTDg7bIkhIrOWNc1kkM9Fs7t5o3DO5-62nSJVM" xr:uid="{00000000-0004-0000-0400-0000F2090000}"/>
    <hyperlink ref="D700" r:id="rId2548" display="https://drive.google.com/open?id=1jbXLlkwoxgCySTy6o6zAcNPhyxQ0nEUCmjA-dKjU2ec&amp;usp=drive_copy" xr:uid="{00000000-0004-0000-0400-0000F3090000}"/>
    <hyperlink ref="E700" r:id="rId2549" display="https://drive.google.com/open?id=1jbXLlkwoxgCySTy6o6zAcNPhyxQ0nEUCmjA-dKjU2ec" xr:uid="{00000000-0004-0000-0400-0000F4090000}"/>
    <hyperlink ref="H700" r:id="rId2550" display="https://docs.google.com/spreadsheets/d/1jbXLlkwoxgCySTy6o6zAcNPhyxQ0nEUCmjA-dKjU2ec" xr:uid="{00000000-0004-0000-0400-0000F5090000}"/>
    <hyperlink ref="I700" r:id="rId2551" display="https://docs.google.com/open?id=1jbXLlkwoxgCySTy6o6zAcNPhyxQ0nEUCmjA-dKjU2ec" xr:uid="{00000000-0004-0000-0400-0000F6090000}"/>
    <hyperlink ref="D701" r:id="rId2552" display="https://drive.google.com/open?id=1k2CuP_y7KfJ3gCJ3lyOf7jIz04RA8pwtH9NE5aGpq24&amp;usp=drive_copy" xr:uid="{00000000-0004-0000-0400-0000F7090000}"/>
    <hyperlink ref="E701" r:id="rId2553" display="https://drive.google.com/open?id=1k2CuP_y7KfJ3gCJ3lyOf7jIz04RA8pwtH9NE5aGpq24" xr:uid="{00000000-0004-0000-0400-0000F8090000}"/>
    <hyperlink ref="H701" r:id="rId2554" display="https://docs.google.com/spreadsheets/d/1k2CuP_y7KfJ3gCJ3lyOf7jIz04RA8pwtH9NE5aGpq24" xr:uid="{00000000-0004-0000-0400-0000F9090000}"/>
    <hyperlink ref="I701" r:id="rId2555" display="https://docs.google.com/open?id=1k2CuP_y7KfJ3gCJ3lyOf7jIz04RA8pwtH9NE5aGpq24" xr:uid="{00000000-0004-0000-0400-0000FA090000}"/>
    <hyperlink ref="D702" r:id="rId2556" display="https://drive.google.com/open?id=1kEC64J6e8Q_50XIjvhn6Wp-Fcg0WzH9a4oBMGplL_Cc&amp;usp=drive_copy" xr:uid="{00000000-0004-0000-0400-0000FB090000}"/>
    <hyperlink ref="E702" r:id="rId2557" display="https://drive.google.com/open?id=1kEC64J6e8Q_50XIjvhn6Wp-Fcg0WzH9a4oBMGplL_Cc" xr:uid="{00000000-0004-0000-0400-0000FC090000}"/>
    <hyperlink ref="H702" r:id="rId2558" display="https://docs.google.com/spreadsheets/d/1kEC64J6e8Q_50XIjvhn6Wp-Fcg0WzH9a4oBMGplL_Cc" xr:uid="{00000000-0004-0000-0400-0000FD090000}"/>
    <hyperlink ref="I702" r:id="rId2559" display="https://docs.google.com/open?id=1kEC64J6e8Q_50XIjvhn6Wp-Fcg0WzH9a4oBMGplL_Cc" xr:uid="{00000000-0004-0000-0400-0000FE090000}"/>
    <hyperlink ref="D703" r:id="rId2560" display="https://drive.google.com/open?id=1kKOZ9UmMhjp7cM7JAMzefBqKghcwcKcqZJ_Nr5kvgkA&amp;usp=drive_copy" xr:uid="{00000000-0004-0000-0400-0000FF090000}"/>
    <hyperlink ref="E703" r:id="rId2561" display="https://drive.google.com/open?id=1kKOZ9UmMhjp7cM7JAMzefBqKghcwcKcqZJ_Nr5kvgkA" xr:uid="{00000000-0004-0000-0400-0000000A0000}"/>
    <hyperlink ref="H703" r:id="rId2562" display="https://docs.google.com/spreadsheets/d/1kKOZ9UmMhjp7cM7JAMzefBqKghcwcKcqZJ_Nr5kvgkA" xr:uid="{00000000-0004-0000-0400-0000010A0000}"/>
    <hyperlink ref="I703" r:id="rId2563" display="https://docs.google.com/open?id=1kKOZ9UmMhjp7cM7JAMzefBqKghcwcKcqZJ_Nr5kvgkA" xr:uid="{00000000-0004-0000-0400-0000020A0000}"/>
    <hyperlink ref="D704" r:id="rId2564" display="https://drive.google.com/open?id=1m45ah0LsT8DJwjY50L4zAQd2YwlIupO-Uy8WiZ-g_ic&amp;usp=drive_copy" xr:uid="{00000000-0004-0000-0400-0000030A0000}"/>
    <hyperlink ref="E704" r:id="rId2565" display="https://drive.google.com/open?id=1m45ah0LsT8DJwjY50L4zAQd2YwlIupO-Uy8WiZ-g_ic" xr:uid="{00000000-0004-0000-0400-0000040A0000}"/>
    <hyperlink ref="H704" r:id="rId2566" display="https://docs.google.com/spreadsheets/d/1m45ah0LsT8DJwjY50L4zAQd2YwlIupO-Uy8WiZ-g_ic" xr:uid="{00000000-0004-0000-0400-0000050A0000}"/>
    <hyperlink ref="I704" r:id="rId2567" display="https://docs.google.com/open?id=1m45ah0LsT8DJwjY50L4zAQd2YwlIupO-Uy8WiZ-g_ic" xr:uid="{00000000-0004-0000-0400-0000060A0000}"/>
    <hyperlink ref="D705" r:id="rId2568" display="https://drive.google.com/open?id=1nIgLQUqkTZWxzZ7wba4p4rdet2tZLGLBiBV7eCpag2s&amp;usp=drive_copy" xr:uid="{00000000-0004-0000-0400-0000070A0000}"/>
    <hyperlink ref="E705" r:id="rId2569" display="https://drive.google.com/open?id=1nIgLQUqkTZWxzZ7wba4p4rdet2tZLGLBiBV7eCpag2s" xr:uid="{00000000-0004-0000-0400-0000080A0000}"/>
    <hyperlink ref="H705" r:id="rId2570" display="https://docs.google.com/spreadsheets/d/1nIgLQUqkTZWxzZ7wba4p4rdet2tZLGLBiBV7eCpag2s" xr:uid="{00000000-0004-0000-0400-0000090A0000}"/>
    <hyperlink ref="I705" r:id="rId2571" display="https://docs.google.com/open?id=1nIgLQUqkTZWxzZ7wba4p4rdet2tZLGLBiBV7eCpag2s" xr:uid="{00000000-0004-0000-0400-00000A0A0000}"/>
    <hyperlink ref="D706" r:id="rId2572" display="https://drive.google.com/open?id=1qLY0KcjOX7FusoNyiFZK5bq0p_3x_Id1dbASVWLawMY&amp;usp=drive_copy" xr:uid="{00000000-0004-0000-0400-00000B0A0000}"/>
    <hyperlink ref="E706" r:id="rId2573" display="https://drive.google.com/open?id=1qLY0KcjOX7FusoNyiFZK5bq0p_3x_Id1dbASVWLawMY" xr:uid="{00000000-0004-0000-0400-00000C0A0000}"/>
    <hyperlink ref="H706" r:id="rId2574" display="https://docs.google.com/spreadsheets/d/1qLY0KcjOX7FusoNyiFZK5bq0p_3x_Id1dbASVWLawMY" xr:uid="{00000000-0004-0000-0400-00000D0A0000}"/>
    <hyperlink ref="I706" r:id="rId2575" display="https://docs.google.com/open?id=1qLY0KcjOX7FusoNyiFZK5bq0p_3x_Id1dbASVWLawMY" xr:uid="{00000000-0004-0000-0400-00000E0A0000}"/>
    <hyperlink ref="D707" r:id="rId2576" display="https://drive.google.com/open?id=1qSbpqhBnbT3tMzgcYUDNtl4jYShJmIvqrgwXWSJAw4I&amp;usp=drive_copy" xr:uid="{00000000-0004-0000-0400-00000F0A0000}"/>
    <hyperlink ref="E707" r:id="rId2577" display="https://drive.google.com/open?id=1qSbpqhBnbT3tMzgcYUDNtl4jYShJmIvqrgwXWSJAw4I" xr:uid="{00000000-0004-0000-0400-0000100A0000}"/>
    <hyperlink ref="H707" r:id="rId2578" display="https://docs.google.com/spreadsheets/d/1qSbpqhBnbT3tMzgcYUDNtl4jYShJmIvqrgwXWSJAw4I" xr:uid="{00000000-0004-0000-0400-0000110A0000}"/>
    <hyperlink ref="I707" r:id="rId2579" display="https://docs.google.com/open?id=1qSbpqhBnbT3tMzgcYUDNtl4jYShJmIvqrgwXWSJAw4I" xr:uid="{00000000-0004-0000-0400-0000120A0000}"/>
    <hyperlink ref="D708" r:id="rId2580" display="https://drive.google.com/open?id=1qtSGRx_mTEwLDofEEe4umvjSPQXrgfqyrbLnZNgg5gU&amp;usp=drive_copy" xr:uid="{00000000-0004-0000-0400-0000130A0000}"/>
    <hyperlink ref="E708" r:id="rId2581" display="https://drive.google.com/open?id=1qtSGRx_mTEwLDofEEe4umvjSPQXrgfqyrbLnZNgg5gU" xr:uid="{00000000-0004-0000-0400-0000140A0000}"/>
    <hyperlink ref="H708" r:id="rId2582" display="https://docs.google.com/spreadsheets/d/1qtSGRx_mTEwLDofEEe4umvjSPQXrgfqyrbLnZNgg5gU" xr:uid="{00000000-0004-0000-0400-0000150A0000}"/>
    <hyperlink ref="I708" r:id="rId2583" display="https://docs.google.com/open?id=1qtSGRx_mTEwLDofEEe4umvjSPQXrgfqyrbLnZNgg5gU" xr:uid="{00000000-0004-0000-0400-0000160A0000}"/>
    <hyperlink ref="D709" r:id="rId2584" display="https://drive.google.com/open?id=1svK65Db2XbIZ3EF0tRrXJ89w6jJSrCjc46QLt0pRHA0&amp;usp=drive_copy" xr:uid="{00000000-0004-0000-0400-0000170A0000}"/>
    <hyperlink ref="E709" r:id="rId2585" display="https://drive.google.com/open?id=1svK65Db2XbIZ3EF0tRrXJ89w6jJSrCjc46QLt0pRHA0" xr:uid="{00000000-0004-0000-0400-0000180A0000}"/>
    <hyperlink ref="H709" r:id="rId2586" display="https://docs.google.com/spreadsheets/d/1svK65Db2XbIZ3EF0tRrXJ89w6jJSrCjc46QLt0pRHA0" xr:uid="{00000000-0004-0000-0400-0000190A0000}"/>
    <hyperlink ref="I709" r:id="rId2587" display="https://docs.google.com/open?id=1svK65Db2XbIZ3EF0tRrXJ89w6jJSrCjc46QLt0pRHA0" xr:uid="{00000000-0004-0000-0400-00001A0A0000}"/>
    <hyperlink ref="D710" r:id="rId2588" display="https://drive.google.com/open?id=1sx5WVhXNy6607d3_U7jfG-NEgRH4psUo-61KtcyYKGY&amp;usp=drive_copy" xr:uid="{00000000-0004-0000-0400-00001B0A0000}"/>
    <hyperlink ref="E710" r:id="rId2589" display="https://drive.google.com/open?id=1sx5WVhXNy6607d3_U7jfG-NEgRH4psUo-61KtcyYKGY" xr:uid="{00000000-0004-0000-0400-00001C0A0000}"/>
    <hyperlink ref="H710" r:id="rId2590" display="https://docs.google.com/spreadsheets/d/1sx5WVhXNy6607d3_U7jfG-NEgRH4psUo-61KtcyYKGY" xr:uid="{00000000-0004-0000-0400-00001D0A0000}"/>
    <hyperlink ref="I710" r:id="rId2591" display="https://docs.google.com/open?id=1sx5WVhXNy6607d3_U7jfG-NEgRH4psUo-61KtcyYKGY" xr:uid="{00000000-0004-0000-0400-00001E0A0000}"/>
    <hyperlink ref="D711" r:id="rId2592" display="https://drive.google.com/open?id=1tLi36uvDnmqVH9TgaKuWyJvfbnSO90v1Rz6oqz_1QoQ&amp;usp=drive_copy" xr:uid="{00000000-0004-0000-0400-00001F0A0000}"/>
    <hyperlink ref="E711" r:id="rId2593" display="https://drive.google.com/open?id=1tLi36uvDnmqVH9TgaKuWyJvfbnSO90v1Rz6oqz_1QoQ" xr:uid="{00000000-0004-0000-0400-0000200A0000}"/>
    <hyperlink ref="H711" r:id="rId2594" display="https://docs.google.com/spreadsheets/d/1tLi36uvDnmqVH9TgaKuWyJvfbnSO90v1Rz6oqz_1QoQ" xr:uid="{00000000-0004-0000-0400-0000210A0000}"/>
    <hyperlink ref="I711" r:id="rId2595" display="https://docs.google.com/open?id=1tLi36uvDnmqVH9TgaKuWyJvfbnSO90v1Rz6oqz_1QoQ" xr:uid="{00000000-0004-0000-0400-0000220A0000}"/>
    <hyperlink ref="D712" r:id="rId2596" display="https://drive.google.com/open?id=1tsl8mfgkSZosk35pnU1hGtMFXQDOUE44E0kBPsxi-d8&amp;usp=drive_copy" xr:uid="{00000000-0004-0000-0400-0000230A0000}"/>
    <hyperlink ref="E712" r:id="rId2597" display="https://drive.google.com/open?id=1tsl8mfgkSZosk35pnU1hGtMFXQDOUE44E0kBPsxi-d8" xr:uid="{00000000-0004-0000-0400-0000240A0000}"/>
    <hyperlink ref="H712" r:id="rId2598" display="https://docs.google.com/spreadsheets/d/1tsl8mfgkSZosk35pnU1hGtMFXQDOUE44E0kBPsxi-d8" xr:uid="{00000000-0004-0000-0400-0000250A0000}"/>
    <hyperlink ref="I712" r:id="rId2599" display="https://docs.google.com/open?id=1tsl8mfgkSZosk35pnU1hGtMFXQDOUE44E0kBPsxi-d8" xr:uid="{00000000-0004-0000-0400-0000260A0000}"/>
    <hyperlink ref="D713" r:id="rId2600" display="https://drive.google.com/open?id=1w4DA1jJhQ2K5INJ9-6_26nQpEupQKgDkFwoyQib--3k&amp;usp=drive_copy" xr:uid="{00000000-0004-0000-0400-0000270A0000}"/>
    <hyperlink ref="E713" r:id="rId2601" display="https://drive.google.com/open?id=1w4DA1jJhQ2K5INJ9-6_26nQpEupQKgDkFwoyQib--3k" xr:uid="{00000000-0004-0000-0400-0000280A0000}"/>
    <hyperlink ref="H713" r:id="rId2602" display="https://docs.google.com/spreadsheets/d/1w4DA1jJhQ2K5INJ9-6_26nQpEupQKgDkFwoyQib--3k" xr:uid="{00000000-0004-0000-0400-0000290A0000}"/>
    <hyperlink ref="I713" r:id="rId2603" display="https://docs.google.com/open?id=1w4DA1jJhQ2K5INJ9-6_26nQpEupQKgDkFwoyQib--3k" xr:uid="{00000000-0004-0000-0400-00002A0A0000}"/>
    <hyperlink ref="D714" r:id="rId2604" display="https://drive.google.com/open?id=1w9TkOwhLPHAt_8L4y3JJCg5I4gzwaCy2E1NfouMG7bM&amp;usp=drive_copy" xr:uid="{00000000-0004-0000-0400-00002B0A0000}"/>
    <hyperlink ref="E714" r:id="rId2605" display="https://drive.google.com/open?id=1w9TkOwhLPHAt_8L4y3JJCg5I4gzwaCy2E1NfouMG7bM" xr:uid="{00000000-0004-0000-0400-00002C0A0000}"/>
    <hyperlink ref="H714" r:id="rId2606" display="https://docs.google.com/spreadsheets/d/1w9TkOwhLPHAt_8L4y3JJCg5I4gzwaCy2E1NfouMG7bM" xr:uid="{00000000-0004-0000-0400-00002D0A0000}"/>
    <hyperlink ref="I714" r:id="rId2607" display="https://docs.google.com/open?id=1w9TkOwhLPHAt_8L4y3JJCg5I4gzwaCy2E1NfouMG7bM" xr:uid="{00000000-0004-0000-0400-00002E0A0000}"/>
    <hyperlink ref="D715" r:id="rId2608" display="https://drive.google.com/open?id=1wT6WZdIiN8LNxd30Go1lN5h7VTkHLPq-9zqeQsl9DoM&amp;usp=drive_copy" xr:uid="{00000000-0004-0000-0400-00002F0A0000}"/>
    <hyperlink ref="E715" r:id="rId2609" display="https://drive.google.com/open?id=1wT6WZdIiN8LNxd30Go1lN5h7VTkHLPq-9zqeQsl9DoM" xr:uid="{00000000-0004-0000-0400-0000300A0000}"/>
    <hyperlink ref="H715" r:id="rId2610" display="https://docs.google.com/spreadsheets/d/1wT6WZdIiN8LNxd30Go1lN5h7VTkHLPq-9zqeQsl9DoM" xr:uid="{00000000-0004-0000-0400-0000310A0000}"/>
    <hyperlink ref="I715" r:id="rId2611" display="https://docs.google.com/open?id=1wT6WZdIiN8LNxd30Go1lN5h7VTkHLPq-9zqeQsl9DoM" xr:uid="{00000000-0004-0000-0400-0000320A0000}"/>
    <hyperlink ref="D716" r:id="rId2612" display="https://drive.google.com/open?id=1yvD9HB4uTA5FRBLn7oY7nGWyfIL40vf_kazLPp3z5VY&amp;usp=drive_copy" xr:uid="{00000000-0004-0000-0400-0000330A0000}"/>
    <hyperlink ref="E716" r:id="rId2613" display="https://drive.google.com/open?id=1yvD9HB4uTA5FRBLn7oY7nGWyfIL40vf_kazLPp3z5VY" xr:uid="{00000000-0004-0000-0400-0000340A0000}"/>
    <hyperlink ref="H716" r:id="rId2614" display="https://docs.google.com/spreadsheets/d/1yvD9HB4uTA5FRBLn7oY7nGWyfIL40vf_kazLPp3z5VY" xr:uid="{00000000-0004-0000-0400-0000350A0000}"/>
    <hyperlink ref="I716" r:id="rId2615" display="https://docs.google.com/open?id=1yvD9HB4uTA5FRBLn7oY7nGWyfIL40vf_kazLPp3z5VY" xr:uid="{00000000-0004-0000-0400-0000360A0000}"/>
    <hyperlink ref="D717" r:id="rId2616" display="https://drive.google.com/open?id=1-0X0HMeTQmIRCk_pJfwsz13RQ3KiqggzPT64BlsAfK8&amp;usp=drive_copy" xr:uid="{00000000-0004-0000-0400-0000370A0000}"/>
    <hyperlink ref="E717" r:id="rId2617" display="https://drive.google.com/open?id=1-0X0HMeTQmIRCk_pJfwsz13RQ3KiqggzPT64BlsAfK8" xr:uid="{00000000-0004-0000-0400-0000380A0000}"/>
    <hyperlink ref="H717" r:id="rId2618" display="https://docs.google.com/spreadsheets/d/1-0X0HMeTQmIRCk_pJfwsz13RQ3KiqggzPT64BlsAfK8" xr:uid="{00000000-0004-0000-0400-0000390A0000}"/>
    <hyperlink ref="I717" r:id="rId2619" display="https://docs.google.com/open?id=1-0X0HMeTQmIRCk_pJfwsz13RQ3KiqggzPT64BlsAfK8" xr:uid="{00000000-0004-0000-0400-00003A0A0000}"/>
    <hyperlink ref="D718" r:id="rId2620" display="https://drive.google.com/open?id=12tatt3fXXJgU72IzH9B_W1uuNOmUjRYuA2iN4rIsRrk&amp;usp=drive_copy" xr:uid="{00000000-0004-0000-0400-00003B0A0000}"/>
    <hyperlink ref="E718" r:id="rId2621" display="https://drive.google.com/open?id=12tatt3fXXJgU72IzH9B_W1uuNOmUjRYuA2iN4rIsRrk" xr:uid="{00000000-0004-0000-0400-00003C0A0000}"/>
    <hyperlink ref="H718" r:id="rId2622" display="https://docs.google.com/spreadsheets/d/12tatt3fXXJgU72IzH9B_W1uuNOmUjRYuA2iN4rIsRrk" xr:uid="{00000000-0004-0000-0400-00003D0A0000}"/>
    <hyperlink ref="I718" r:id="rId2623" display="https://docs.google.com/open?id=12tatt3fXXJgU72IzH9B_W1uuNOmUjRYuA2iN4rIsRrk" xr:uid="{00000000-0004-0000-0400-00003E0A0000}"/>
    <hyperlink ref="D719" r:id="rId2624" display="https://drive.google.com/open?id=13_dDIvMy9lHcIsdHvdy4RDWKzFPH6Hgs4rKd7TyzFl8&amp;usp=drive_copy" xr:uid="{00000000-0004-0000-0400-00003F0A0000}"/>
    <hyperlink ref="E719" r:id="rId2625" display="https://drive.google.com/open?id=13_dDIvMy9lHcIsdHvdy4RDWKzFPH6Hgs4rKd7TyzFl8" xr:uid="{00000000-0004-0000-0400-0000400A0000}"/>
    <hyperlink ref="H719" r:id="rId2626" display="https://docs.google.com/spreadsheets/d/13_dDIvMy9lHcIsdHvdy4RDWKzFPH6Hgs4rKd7TyzFl8" xr:uid="{00000000-0004-0000-0400-0000410A0000}"/>
    <hyperlink ref="I719" r:id="rId2627" display="https://docs.google.com/open?id=13_dDIvMy9lHcIsdHvdy4RDWKzFPH6Hgs4rKd7TyzFl8" xr:uid="{00000000-0004-0000-0400-0000420A0000}"/>
    <hyperlink ref="D720" r:id="rId2628" display="https://drive.google.com/open?id=14dpPW1hHjofL6btAyU5zz05BgNTvj0Aqyt6rGKwHZm4&amp;usp=drive_copy" xr:uid="{00000000-0004-0000-0400-0000430A0000}"/>
    <hyperlink ref="E720" r:id="rId2629" display="https://drive.google.com/open?id=14dpPW1hHjofL6btAyU5zz05BgNTvj0Aqyt6rGKwHZm4" xr:uid="{00000000-0004-0000-0400-0000440A0000}"/>
    <hyperlink ref="H720" r:id="rId2630" display="https://docs.google.com/spreadsheets/d/14dpPW1hHjofL6btAyU5zz05BgNTvj0Aqyt6rGKwHZm4" xr:uid="{00000000-0004-0000-0400-0000450A0000}"/>
    <hyperlink ref="I720" r:id="rId2631" display="https://docs.google.com/open?id=14dpPW1hHjofL6btAyU5zz05BgNTvj0Aqyt6rGKwHZm4" xr:uid="{00000000-0004-0000-0400-0000460A0000}"/>
    <hyperlink ref="D721" r:id="rId2632" display="https://drive.google.com/open?id=15-OwXoXz34OvCqjAZ2nRt95M9w_mPT0G9Yv6SI6wV5Y&amp;usp=drive_copy" xr:uid="{00000000-0004-0000-0400-0000470A0000}"/>
    <hyperlink ref="E721" r:id="rId2633" display="https://drive.google.com/open?id=15-OwXoXz34OvCqjAZ2nRt95M9w_mPT0G9Yv6SI6wV5Y" xr:uid="{00000000-0004-0000-0400-0000480A0000}"/>
    <hyperlink ref="H721" r:id="rId2634" display="https://docs.google.com/spreadsheets/d/15-OwXoXz34OvCqjAZ2nRt95M9w_mPT0G9Yv6SI6wV5Y" xr:uid="{00000000-0004-0000-0400-0000490A0000}"/>
    <hyperlink ref="I721" r:id="rId2635" display="https://docs.google.com/open?id=15-OwXoXz34OvCqjAZ2nRt95M9w_mPT0G9Yv6SI6wV5Y" xr:uid="{00000000-0004-0000-0400-00004A0A0000}"/>
    <hyperlink ref="D722" r:id="rId2636" display="https://drive.google.com/open?id=15EG26otaYaMz5pLM2cwV__p3Hao_0saGDoTiGHY3n28&amp;usp=drive_copy" xr:uid="{00000000-0004-0000-0400-00004B0A0000}"/>
    <hyperlink ref="E722" r:id="rId2637" display="https://drive.google.com/open?id=15EG26otaYaMz5pLM2cwV__p3Hao_0saGDoTiGHY3n28" xr:uid="{00000000-0004-0000-0400-00004C0A0000}"/>
    <hyperlink ref="H722" r:id="rId2638" display="https://docs.google.com/spreadsheets/d/15EG26otaYaMz5pLM2cwV__p3Hao_0saGDoTiGHY3n28" xr:uid="{00000000-0004-0000-0400-00004D0A0000}"/>
    <hyperlink ref="I722" r:id="rId2639" display="https://docs.google.com/open?id=15EG26otaYaMz5pLM2cwV__p3Hao_0saGDoTiGHY3n28" xr:uid="{00000000-0004-0000-0400-00004E0A0000}"/>
    <hyperlink ref="D723" r:id="rId2640" display="https://drive.google.com/open?id=15cU8phFe_v0WfxgLXoIIL-nMuKNfBi50Fu-YZUp_p1U&amp;usp=drive_copy" xr:uid="{00000000-0004-0000-0400-00004F0A0000}"/>
    <hyperlink ref="E723" r:id="rId2641" display="https://drive.google.com/open?id=15cU8phFe_v0WfxgLXoIIL-nMuKNfBi50Fu-YZUp_p1U" xr:uid="{00000000-0004-0000-0400-0000500A0000}"/>
    <hyperlink ref="H723" r:id="rId2642" display="https://docs.google.com/spreadsheets/d/15cU8phFe_v0WfxgLXoIIL-nMuKNfBi50Fu-YZUp_p1U" xr:uid="{00000000-0004-0000-0400-0000510A0000}"/>
    <hyperlink ref="I723" r:id="rId2643" display="https://docs.google.com/open?id=15cU8phFe_v0WfxgLXoIIL-nMuKNfBi50Fu-YZUp_p1U" xr:uid="{00000000-0004-0000-0400-0000520A0000}"/>
    <hyperlink ref="D724" r:id="rId2644" display="https://drive.google.com/open?id=18V2TuR64ZwJVbQdxwGrz8h3eNOhofDrzvLfElk1FTBw&amp;usp=drive_copy" xr:uid="{00000000-0004-0000-0400-0000530A0000}"/>
    <hyperlink ref="E724" r:id="rId2645" display="https://drive.google.com/open?id=18V2TuR64ZwJVbQdxwGrz8h3eNOhofDrzvLfElk1FTBw" xr:uid="{00000000-0004-0000-0400-0000540A0000}"/>
    <hyperlink ref="H724" r:id="rId2646" display="https://docs.google.com/spreadsheets/d/18V2TuR64ZwJVbQdxwGrz8h3eNOhofDrzvLfElk1FTBw" xr:uid="{00000000-0004-0000-0400-0000550A0000}"/>
    <hyperlink ref="I724" r:id="rId2647" display="https://docs.google.com/open?id=18V2TuR64ZwJVbQdxwGrz8h3eNOhofDrzvLfElk1FTBw" xr:uid="{00000000-0004-0000-0400-0000560A0000}"/>
    <hyperlink ref="D725" r:id="rId2648" display="https://drive.google.com/open?id=1A7ENQBIOfZAZGbp-VVBqZFoB-GKf8A-cFOvzvIVS888&amp;usp=drive_copy" xr:uid="{00000000-0004-0000-0400-0000570A0000}"/>
    <hyperlink ref="E725" r:id="rId2649" display="https://drive.google.com/open?id=1A7ENQBIOfZAZGbp-VVBqZFoB-GKf8A-cFOvzvIVS888" xr:uid="{00000000-0004-0000-0400-0000580A0000}"/>
    <hyperlink ref="H725" r:id="rId2650" display="https://docs.google.com/spreadsheets/d/1A7ENQBIOfZAZGbp-VVBqZFoB-GKf8A-cFOvzvIVS888" xr:uid="{00000000-0004-0000-0400-0000590A0000}"/>
    <hyperlink ref="I725" r:id="rId2651" display="https://docs.google.com/open?id=1A7ENQBIOfZAZGbp-VVBqZFoB-GKf8A-cFOvzvIVS888" xr:uid="{00000000-0004-0000-0400-00005A0A0000}"/>
    <hyperlink ref="D726" r:id="rId2652" display="https://drive.google.com/open?id=1AMMlmC4XUlbgzoCrfB4-yxj8d7N3Ikzdi15FYBbxP9g&amp;usp=drive_copy" xr:uid="{00000000-0004-0000-0400-00005B0A0000}"/>
    <hyperlink ref="E726" r:id="rId2653" display="https://drive.google.com/open?id=1AMMlmC4XUlbgzoCrfB4-yxj8d7N3Ikzdi15FYBbxP9g" xr:uid="{00000000-0004-0000-0400-00005C0A0000}"/>
    <hyperlink ref="H726" r:id="rId2654" display="https://docs.google.com/spreadsheets/d/1AMMlmC4XUlbgzoCrfB4-yxj8d7N3Ikzdi15FYBbxP9g" xr:uid="{00000000-0004-0000-0400-00005D0A0000}"/>
    <hyperlink ref="I726" r:id="rId2655" display="https://docs.google.com/open?id=1AMMlmC4XUlbgzoCrfB4-yxj8d7N3Ikzdi15FYBbxP9g" xr:uid="{00000000-0004-0000-0400-00005E0A0000}"/>
    <hyperlink ref="D727" r:id="rId2656" display="https://drive.google.com/open?id=1AWiq3H99nx8mHFS_NrvOVOBlS_CdwfE0EdXzlQIkc2M&amp;usp=drive_copy" xr:uid="{00000000-0004-0000-0400-00005F0A0000}"/>
    <hyperlink ref="E727" r:id="rId2657" display="https://drive.google.com/open?id=1AWiq3H99nx8mHFS_NrvOVOBlS_CdwfE0EdXzlQIkc2M" xr:uid="{00000000-0004-0000-0400-0000600A0000}"/>
    <hyperlink ref="H727" r:id="rId2658" display="https://docs.google.com/spreadsheets/d/1AWiq3H99nx8mHFS_NrvOVOBlS_CdwfE0EdXzlQIkc2M" xr:uid="{00000000-0004-0000-0400-0000610A0000}"/>
    <hyperlink ref="I727" r:id="rId2659" display="https://docs.google.com/open?id=1AWiq3H99nx8mHFS_NrvOVOBlS_CdwfE0EdXzlQIkc2M" xr:uid="{00000000-0004-0000-0400-0000620A0000}"/>
    <hyperlink ref="D728" r:id="rId2660" display="https://drive.google.com/open?id=1AWtI7U2uCWMuOTWPTlQF3GEjxY7KA63HBrN6l_3QpVM&amp;usp=drive_copy" xr:uid="{00000000-0004-0000-0400-0000630A0000}"/>
    <hyperlink ref="E728" r:id="rId2661" display="https://drive.google.com/open?id=1AWtI7U2uCWMuOTWPTlQF3GEjxY7KA63HBrN6l_3QpVM" xr:uid="{00000000-0004-0000-0400-0000640A0000}"/>
    <hyperlink ref="H728" r:id="rId2662" display="https://docs.google.com/spreadsheets/d/1AWtI7U2uCWMuOTWPTlQF3GEjxY7KA63HBrN6l_3QpVM" xr:uid="{00000000-0004-0000-0400-0000650A0000}"/>
    <hyperlink ref="I728" r:id="rId2663" display="https://docs.google.com/open?id=1AWtI7U2uCWMuOTWPTlQF3GEjxY7KA63HBrN6l_3QpVM" xr:uid="{00000000-0004-0000-0400-0000660A0000}"/>
    <hyperlink ref="D729" r:id="rId2664" display="https://drive.google.com/open?id=1Ai4ecMLhjaGxhxEnEqL64cjB3nkz5cSYB_zSZLIcE0k&amp;usp=drive_copy" xr:uid="{00000000-0004-0000-0400-0000670A0000}"/>
    <hyperlink ref="E729" r:id="rId2665" display="https://drive.google.com/open?id=1Ai4ecMLhjaGxhxEnEqL64cjB3nkz5cSYB_zSZLIcE0k" xr:uid="{00000000-0004-0000-0400-0000680A0000}"/>
    <hyperlink ref="H729" r:id="rId2666" display="https://docs.google.com/spreadsheets/d/1Ai4ecMLhjaGxhxEnEqL64cjB3nkz5cSYB_zSZLIcE0k" xr:uid="{00000000-0004-0000-0400-0000690A0000}"/>
    <hyperlink ref="I729" r:id="rId2667" display="https://docs.google.com/open?id=1Ai4ecMLhjaGxhxEnEqL64cjB3nkz5cSYB_zSZLIcE0k" xr:uid="{00000000-0004-0000-0400-00006A0A0000}"/>
    <hyperlink ref="D730" r:id="rId2668" display="https://drive.google.com/open?id=1BVoWdQ2_uJwzb3-CirTDWlgBmzRuFF7_AsHqaYNzYN4&amp;usp=drive_copy" xr:uid="{00000000-0004-0000-0400-00006B0A0000}"/>
    <hyperlink ref="E730" r:id="rId2669" display="https://drive.google.com/open?id=1BVoWdQ2_uJwzb3-CirTDWlgBmzRuFF7_AsHqaYNzYN4" xr:uid="{00000000-0004-0000-0400-00006C0A0000}"/>
    <hyperlink ref="H730" r:id="rId2670" display="https://docs.google.com/spreadsheets/d/1BVoWdQ2_uJwzb3-CirTDWlgBmzRuFF7_AsHqaYNzYN4" xr:uid="{00000000-0004-0000-0400-00006D0A0000}"/>
    <hyperlink ref="I730" r:id="rId2671" display="https://docs.google.com/open?id=1BVoWdQ2_uJwzb3-CirTDWlgBmzRuFF7_AsHqaYNzYN4" xr:uid="{00000000-0004-0000-0400-00006E0A0000}"/>
    <hyperlink ref="D731" r:id="rId2672" display="https://drive.google.com/open?id=1DdzJmM06x-glnl3GscloMiRH_dyFnrzJVEoTTJWoqJg&amp;usp=drive_copy" xr:uid="{00000000-0004-0000-0400-00006F0A0000}"/>
    <hyperlink ref="E731" r:id="rId2673" display="https://drive.google.com/open?id=1DdzJmM06x-glnl3GscloMiRH_dyFnrzJVEoTTJWoqJg" xr:uid="{00000000-0004-0000-0400-0000700A0000}"/>
    <hyperlink ref="H731" r:id="rId2674" display="https://docs.google.com/spreadsheets/d/1DdzJmM06x-glnl3GscloMiRH_dyFnrzJVEoTTJWoqJg" xr:uid="{00000000-0004-0000-0400-0000710A0000}"/>
    <hyperlink ref="I731" r:id="rId2675" display="https://docs.google.com/open?id=1DdzJmM06x-glnl3GscloMiRH_dyFnrzJVEoTTJWoqJg" xr:uid="{00000000-0004-0000-0400-0000720A0000}"/>
    <hyperlink ref="D732" r:id="rId2676" display="https://drive.google.com/open?id=1EGodTSi4EVGsscuAEweNLqHJexpFamluXrI8o4isKws&amp;usp=drive_copy" xr:uid="{00000000-0004-0000-0400-0000730A0000}"/>
    <hyperlink ref="E732" r:id="rId2677" display="https://drive.google.com/open?id=1EGodTSi4EVGsscuAEweNLqHJexpFamluXrI8o4isKws" xr:uid="{00000000-0004-0000-0400-0000740A0000}"/>
    <hyperlink ref="H732" r:id="rId2678" display="https://docs.google.com/spreadsheets/d/1EGodTSi4EVGsscuAEweNLqHJexpFamluXrI8o4isKws" xr:uid="{00000000-0004-0000-0400-0000750A0000}"/>
    <hyperlink ref="I732" r:id="rId2679" display="https://docs.google.com/open?id=1EGodTSi4EVGsscuAEweNLqHJexpFamluXrI8o4isKws" xr:uid="{00000000-0004-0000-0400-0000760A0000}"/>
    <hyperlink ref="D733" r:id="rId2680" display="https://drive.google.com/open?id=1GKFZB2ZgLyj-2sXoNSsxZ7TMuEoz_6HUSJJCrNs6HGo&amp;usp=drive_copy" xr:uid="{00000000-0004-0000-0400-0000770A0000}"/>
    <hyperlink ref="E733" r:id="rId2681" display="https://drive.google.com/open?id=1GKFZB2ZgLyj-2sXoNSsxZ7TMuEoz_6HUSJJCrNs6HGo" xr:uid="{00000000-0004-0000-0400-0000780A0000}"/>
    <hyperlink ref="H733" r:id="rId2682" display="https://docs.google.com/spreadsheets/d/1GKFZB2ZgLyj-2sXoNSsxZ7TMuEoz_6HUSJJCrNs6HGo" xr:uid="{00000000-0004-0000-0400-0000790A0000}"/>
    <hyperlink ref="I733" r:id="rId2683" display="https://docs.google.com/open?id=1GKFZB2ZgLyj-2sXoNSsxZ7TMuEoz_6HUSJJCrNs6HGo" xr:uid="{00000000-0004-0000-0400-00007A0A0000}"/>
    <hyperlink ref="D734" r:id="rId2684" display="https://drive.google.com/open?id=1GtMyGXZYhTZmt73tEue0FyKbQlpdxCgwlC3BHP5StoU&amp;usp=drive_copy" xr:uid="{00000000-0004-0000-0400-00007B0A0000}"/>
    <hyperlink ref="E734" r:id="rId2685" display="https://drive.google.com/open?id=1GtMyGXZYhTZmt73tEue0FyKbQlpdxCgwlC3BHP5StoU" xr:uid="{00000000-0004-0000-0400-00007C0A0000}"/>
    <hyperlink ref="H734" r:id="rId2686" display="https://docs.google.com/spreadsheets/d/1GtMyGXZYhTZmt73tEue0FyKbQlpdxCgwlC3BHP5StoU" xr:uid="{00000000-0004-0000-0400-00007D0A0000}"/>
    <hyperlink ref="I734" r:id="rId2687" display="https://docs.google.com/open?id=1GtMyGXZYhTZmt73tEue0FyKbQlpdxCgwlC3BHP5StoU" xr:uid="{00000000-0004-0000-0400-00007E0A0000}"/>
    <hyperlink ref="D735" r:id="rId2688" display="https://drive.google.com/open?id=1IccExUFXt5XdjHHTMrTFVK-VM4nKT4kcsB6qQ482lao&amp;usp=drive_copy" xr:uid="{00000000-0004-0000-0400-00007F0A0000}"/>
    <hyperlink ref="E735" r:id="rId2689" display="https://drive.google.com/open?id=1IccExUFXt5XdjHHTMrTFVK-VM4nKT4kcsB6qQ482lao" xr:uid="{00000000-0004-0000-0400-0000800A0000}"/>
    <hyperlink ref="H735" r:id="rId2690" display="https://docs.google.com/spreadsheets/d/1IccExUFXt5XdjHHTMrTFVK-VM4nKT4kcsB6qQ482lao" xr:uid="{00000000-0004-0000-0400-0000810A0000}"/>
    <hyperlink ref="I735" r:id="rId2691" display="https://docs.google.com/open?id=1IccExUFXt5XdjHHTMrTFVK-VM4nKT4kcsB6qQ482lao" xr:uid="{00000000-0004-0000-0400-0000820A0000}"/>
    <hyperlink ref="D736" r:id="rId2692" display="https://drive.google.com/open?id=1NfSL4hQNYhYS76hNjW8IcTXq2ARCR3aTuOdBmpzbUo8&amp;usp=drive_copy" xr:uid="{00000000-0004-0000-0400-0000830A0000}"/>
    <hyperlink ref="E736" r:id="rId2693" display="https://drive.google.com/open?id=1NfSL4hQNYhYS76hNjW8IcTXq2ARCR3aTuOdBmpzbUo8" xr:uid="{00000000-0004-0000-0400-0000840A0000}"/>
    <hyperlink ref="H736" r:id="rId2694" display="https://docs.google.com/spreadsheets/d/1NfSL4hQNYhYS76hNjW8IcTXq2ARCR3aTuOdBmpzbUo8" xr:uid="{00000000-0004-0000-0400-0000850A0000}"/>
    <hyperlink ref="I736" r:id="rId2695" display="https://docs.google.com/open?id=1NfSL4hQNYhYS76hNjW8IcTXq2ARCR3aTuOdBmpzbUo8" xr:uid="{00000000-0004-0000-0400-0000860A0000}"/>
    <hyperlink ref="D737" r:id="rId2696" display="https://drive.google.com/open?id=1Ktsuh0-AFhJe76t0Pi334cE3ekohdRbPx2bysuw-sG4&amp;usp=drive_copy" xr:uid="{00000000-0004-0000-0400-0000870A0000}"/>
    <hyperlink ref="E737" r:id="rId2697" display="https://drive.google.com/open?id=1Ktsuh0-AFhJe76t0Pi334cE3ekohdRbPx2bysuw-sG4" xr:uid="{00000000-0004-0000-0400-0000880A0000}"/>
    <hyperlink ref="H737" r:id="rId2698" display="https://docs.google.com/spreadsheets/d/1Ktsuh0-AFhJe76t0Pi334cE3ekohdRbPx2bysuw-sG4" xr:uid="{00000000-0004-0000-0400-0000890A0000}"/>
    <hyperlink ref="I737" r:id="rId2699" display="https://docs.google.com/open?id=1Ktsuh0-AFhJe76t0Pi334cE3ekohdRbPx2bysuw-sG4" xr:uid="{00000000-0004-0000-0400-00008A0A0000}"/>
    <hyperlink ref="D738" r:id="rId2700" display="https://drive.google.com/open?id=1KlknmlzdwCizIktTE1fk7Ov3VKf1zDKLF2eHBbbdjkE&amp;usp=drive_copy" xr:uid="{00000000-0004-0000-0400-00008B0A0000}"/>
    <hyperlink ref="E738" r:id="rId2701" display="https://drive.google.com/open?id=1KlknmlzdwCizIktTE1fk7Ov3VKf1zDKLF2eHBbbdjkE" xr:uid="{00000000-0004-0000-0400-00008C0A0000}"/>
    <hyperlink ref="H738" r:id="rId2702" display="https://docs.google.com/spreadsheets/d/1KlknmlzdwCizIktTE1fk7Ov3VKf1zDKLF2eHBbbdjkE" xr:uid="{00000000-0004-0000-0400-00008D0A0000}"/>
    <hyperlink ref="I738" r:id="rId2703" display="https://docs.google.com/open?id=1KlknmlzdwCizIktTE1fk7Ov3VKf1zDKLF2eHBbbdjkE" xr:uid="{00000000-0004-0000-0400-00008E0A0000}"/>
    <hyperlink ref="D739" r:id="rId2704" display="https://drive.google.com/open?id=1yHOcB0P0-C8bbDp9y6_e3_QhPg-8swyMHSB4vAEEvvo&amp;usp=drive_copy" xr:uid="{00000000-0004-0000-0400-00008F0A0000}"/>
    <hyperlink ref="E739" r:id="rId2705" display="https://drive.google.com/open?id=1yHOcB0P0-C8bbDp9y6_e3_QhPg-8swyMHSB4vAEEvvo" xr:uid="{00000000-0004-0000-0400-0000900A0000}"/>
    <hyperlink ref="H739" r:id="rId2706" display="https://docs.google.com/spreadsheets/d/1yHOcB0P0-C8bbDp9y6_e3_QhPg-8swyMHSB4vAEEvvo" xr:uid="{00000000-0004-0000-0400-0000910A0000}"/>
    <hyperlink ref="I739" r:id="rId2707" display="https://docs.google.com/open?id=1yHOcB0P0-C8bbDp9y6_e3_QhPg-8swyMHSB4vAEEvvo" xr:uid="{00000000-0004-0000-0400-0000920A0000}"/>
    <hyperlink ref="D740" r:id="rId2708" display="https://drive.google.com/open?id=1v-LVk_FIVSQP6J1HbOw49lsrOQrwAMrqUGNvchMQ-RE&amp;usp=drive_copy" xr:uid="{00000000-0004-0000-0400-0000930A0000}"/>
    <hyperlink ref="E740" r:id="rId2709" display="https://drive.google.com/open?id=1v-LVk_FIVSQP6J1HbOw49lsrOQrwAMrqUGNvchMQ-RE" xr:uid="{00000000-0004-0000-0400-0000940A0000}"/>
    <hyperlink ref="H740" r:id="rId2710" display="https://docs.google.com/spreadsheets/d/1v-LVk_FIVSQP6J1HbOw49lsrOQrwAMrqUGNvchMQ-RE" xr:uid="{00000000-0004-0000-0400-0000950A0000}"/>
    <hyperlink ref="I740" r:id="rId2711" display="https://docs.google.com/open?id=1v-LVk_FIVSQP6J1HbOw49lsrOQrwAMrqUGNvchMQ-RE" xr:uid="{00000000-0004-0000-0400-0000960A0000}"/>
    <hyperlink ref="D741" r:id="rId2712" display="https://drive.google.com/open?id=1uGLafnwIlis0kZmaAo4Pjzeo7Z74zkABUJIvqmVN_YE&amp;usp=drive_copy" xr:uid="{00000000-0004-0000-0400-0000970A0000}"/>
    <hyperlink ref="E741" r:id="rId2713" display="https://drive.google.com/open?id=1uGLafnwIlis0kZmaAo4Pjzeo7Z74zkABUJIvqmVN_YE" xr:uid="{00000000-0004-0000-0400-0000980A0000}"/>
    <hyperlink ref="H741" r:id="rId2714" display="https://docs.google.com/spreadsheets/d/1uGLafnwIlis0kZmaAo4Pjzeo7Z74zkABUJIvqmVN_YE" xr:uid="{00000000-0004-0000-0400-0000990A0000}"/>
    <hyperlink ref="I741" r:id="rId2715" display="https://docs.google.com/open?id=1uGLafnwIlis0kZmaAo4Pjzeo7Z74zkABUJIvqmVN_YE" xr:uid="{00000000-0004-0000-0400-00009A0A0000}"/>
    <hyperlink ref="D742" r:id="rId2716" display="https://drive.google.com/open?id=1tIXgfS-dcEy6_5BXEfusPr8ZzvcYQTZ4ccKowazlDVY&amp;usp=drive_copy" xr:uid="{00000000-0004-0000-0400-00009B0A0000}"/>
    <hyperlink ref="E742" r:id="rId2717" display="https://drive.google.com/open?id=1tIXgfS-dcEy6_5BXEfusPr8ZzvcYQTZ4ccKowazlDVY" xr:uid="{00000000-0004-0000-0400-00009C0A0000}"/>
    <hyperlink ref="H742" r:id="rId2718" display="https://docs.google.com/spreadsheets/d/1tIXgfS-dcEy6_5BXEfusPr8ZzvcYQTZ4ccKowazlDVY" xr:uid="{00000000-0004-0000-0400-00009D0A0000}"/>
    <hyperlink ref="I742" r:id="rId2719" display="https://docs.google.com/open?id=1tIXgfS-dcEy6_5BXEfusPr8ZzvcYQTZ4ccKowazlDVY" xr:uid="{00000000-0004-0000-0400-00009E0A0000}"/>
    <hyperlink ref="D743" r:id="rId2720" display="https://drive.google.com/open?id=1sUZE1iVKscA9BL-_QSaoErR9lgGkVxkwuC5RyEU0yq8&amp;usp=drive_copy" xr:uid="{00000000-0004-0000-0400-00009F0A0000}"/>
    <hyperlink ref="E743" r:id="rId2721" display="https://drive.google.com/open?id=1sUZE1iVKscA9BL-_QSaoErR9lgGkVxkwuC5RyEU0yq8" xr:uid="{00000000-0004-0000-0400-0000A00A0000}"/>
    <hyperlink ref="H743" r:id="rId2722" display="https://docs.google.com/spreadsheets/d/1sUZE1iVKscA9BL-_QSaoErR9lgGkVxkwuC5RyEU0yq8" xr:uid="{00000000-0004-0000-0400-0000A10A0000}"/>
    <hyperlink ref="I743" r:id="rId2723" display="https://docs.google.com/open?id=1sUZE1iVKscA9BL-_QSaoErR9lgGkVxkwuC5RyEU0yq8" xr:uid="{00000000-0004-0000-0400-0000A20A0000}"/>
    <hyperlink ref="D744" r:id="rId2724" display="https://drive.google.com/open?id=1sQstdyTWoH9wZivh1drMuerG_YTxIyrVkChnfl98yJA&amp;usp=drive_copy" xr:uid="{00000000-0004-0000-0400-0000A30A0000}"/>
    <hyperlink ref="E744" r:id="rId2725" display="https://drive.google.com/open?id=1sQstdyTWoH9wZivh1drMuerG_YTxIyrVkChnfl98yJA" xr:uid="{00000000-0004-0000-0400-0000A40A0000}"/>
    <hyperlink ref="H744" r:id="rId2726" display="https://docs.google.com/spreadsheets/d/1sQstdyTWoH9wZivh1drMuerG_YTxIyrVkChnfl98yJA" xr:uid="{00000000-0004-0000-0400-0000A50A0000}"/>
    <hyperlink ref="I744" r:id="rId2727" display="https://docs.google.com/open?id=1sQstdyTWoH9wZivh1drMuerG_YTxIyrVkChnfl98yJA" xr:uid="{00000000-0004-0000-0400-0000A60A0000}"/>
    <hyperlink ref="D745" r:id="rId2728" display="https://drive.google.com/open?id=1mb1biGUdRjeJPMLsfv6DNq_8Xiud5nmDGHF308kq81g&amp;usp=drive_copy" xr:uid="{00000000-0004-0000-0400-0000A70A0000}"/>
    <hyperlink ref="E745" r:id="rId2729" display="https://drive.google.com/open?id=1mb1biGUdRjeJPMLsfv6DNq_8Xiud5nmDGHF308kq81g" xr:uid="{00000000-0004-0000-0400-0000A80A0000}"/>
    <hyperlink ref="H745" r:id="rId2730" display="https://docs.google.com/spreadsheets/d/1mb1biGUdRjeJPMLsfv6DNq_8Xiud5nmDGHF308kq81g" xr:uid="{00000000-0004-0000-0400-0000A90A0000}"/>
    <hyperlink ref="I745" r:id="rId2731" display="https://docs.google.com/open?id=1mb1biGUdRjeJPMLsfv6DNq_8Xiud5nmDGHF308kq81g" xr:uid="{00000000-0004-0000-0400-0000AA0A0000}"/>
    <hyperlink ref="D746" r:id="rId2732" display="https://drive.google.com/open?id=1d7iT8fLAxJeBp4TPBrgTuaes30t-zalwrkrCmeeEHI0&amp;usp=drive_copy" xr:uid="{00000000-0004-0000-0400-0000AB0A0000}"/>
    <hyperlink ref="E746" r:id="rId2733" display="https://drive.google.com/open?id=1d7iT8fLAxJeBp4TPBrgTuaes30t-zalwrkrCmeeEHI0" xr:uid="{00000000-0004-0000-0400-0000AC0A0000}"/>
    <hyperlink ref="H746" r:id="rId2734" display="https://docs.google.com/spreadsheets/d/1d7iT8fLAxJeBp4TPBrgTuaes30t-zalwrkrCmeeEHI0" xr:uid="{00000000-0004-0000-0400-0000AD0A0000}"/>
    <hyperlink ref="I746" r:id="rId2735" display="https://docs.google.com/open?id=1d7iT8fLAxJeBp4TPBrgTuaes30t-zalwrkrCmeeEHI0" xr:uid="{00000000-0004-0000-0400-0000AE0A0000}"/>
    <hyperlink ref="D747" r:id="rId2736" display="https://drive.google.com/open?id=1mWO9AEmxDWm4C2TVAo3lPzikYlFfBhdHUKgdSFb8h0Q&amp;usp=drive_copy" xr:uid="{00000000-0004-0000-0400-0000AF0A0000}"/>
    <hyperlink ref="E747" r:id="rId2737" display="https://drive.google.com/open?id=1mWO9AEmxDWm4C2TVAo3lPzikYlFfBhdHUKgdSFb8h0Q" xr:uid="{00000000-0004-0000-0400-0000B00A0000}"/>
    <hyperlink ref="H747" r:id="rId2738" display="https://docs.google.com/spreadsheets/d/1mWO9AEmxDWm4C2TVAo3lPzikYlFfBhdHUKgdSFb8h0Q" xr:uid="{00000000-0004-0000-0400-0000B10A0000}"/>
    <hyperlink ref="I747" r:id="rId2739" display="https://docs.google.com/open?id=1mWO9AEmxDWm4C2TVAo3lPzikYlFfBhdHUKgdSFb8h0Q" xr:uid="{00000000-0004-0000-0400-0000B20A0000}"/>
    <hyperlink ref="D748" r:id="rId2740" display="https://drive.google.com/open?id=1m5dUtlmU7stLw5HoKctMMpoy3gQ6QrgFU3z3hCirk2A&amp;usp=drive_copy" xr:uid="{00000000-0004-0000-0400-0000B30A0000}"/>
    <hyperlink ref="E748" r:id="rId2741" display="https://drive.google.com/open?id=1m5dUtlmU7stLw5HoKctMMpoy3gQ6QrgFU3z3hCirk2A" xr:uid="{00000000-0004-0000-0400-0000B40A0000}"/>
    <hyperlink ref="H748" r:id="rId2742" display="https://docs.google.com/spreadsheets/d/1m5dUtlmU7stLw5HoKctMMpoy3gQ6QrgFU3z3hCirk2A" xr:uid="{00000000-0004-0000-0400-0000B50A0000}"/>
    <hyperlink ref="I748" r:id="rId2743" display="https://docs.google.com/open?id=1m5dUtlmU7stLw5HoKctMMpoy3gQ6QrgFU3z3hCirk2A" xr:uid="{00000000-0004-0000-0400-0000B60A0000}"/>
    <hyperlink ref="D749" r:id="rId2744" display="https://drive.google.com/open?id=1iS7GQzTWD1xeGO-VZl3XCq2gJT68EXEs-laiahTPNSg&amp;usp=drive_copy" xr:uid="{00000000-0004-0000-0400-0000B70A0000}"/>
    <hyperlink ref="E749" r:id="rId2745" display="https://drive.google.com/open?id=1iS7GQzTWD1xeGO-VZl3XCq2gJT68EXEs-laiahTPNSg" xr:uid="{00000000-0004-0000-0400-0000B80A0000}"/>
    <hyperlink ref="H749" r:id="rId2746" display="https://docs.google.com/spreadsheets/d/1iS7GQzTWD1xeGO-VZl3XCq2gJT68EXEs-laiahTPNSg" xr:uid="{00000000-0004-0000-0400-0000B90A0000}"/>
    <hyperlink ref="I749" r:id="rId2747" display="https://docs.google.com/open?id=1iS7GQzTWD1xeGO-VZl3XCq2gJT68EXEs-laiahTPNSg" xr:uid="{00000000-0004-0000-0400-0000BA0A0000}"/>
    <hyperlink ref="D750" r:id="rId2748" display="https://drive.google.com/open?id=1dex4fmiuuWlVcHMMSrRcYibNGJHvdGqAj1gqWoj0SZo&amp;usp=drive_copy" xr:uid="{00000000-0004-0000-0400-0000BB0A0000}"/>
    <hyperlink ref="E750" r:id="rId2749" display="https://drive.google.com/open?id=1dex4fmiuuWlVcHMMSrRcYibNGJHvdGqAj1gqWoj0SZo" xr:uid="{00000000-0004-0000-0400-0000BC0A0000}"/>
    <hyperlink ref="H750" r:id="rId2750" display="https://docs.google.com/spreadsheets/d/1dex4fmiuuWlVcHMMSrRcYibNGJHvdGqAj1gqWoj0SZo" xr:uid="{00000000-0004-0000-0400-0000BD0A0000}"/>
    <hyperlink ref="I750" r:id="rId2751" display="https://docs.google.com/open?id=1dex4fmiuuWlVcHMMSrRcYibNGJHvdGqAj1gqWoj0SZo" xr:uid="{00000000-0004-0000-0400-0000BE0A0000}"/>
    <hyperlink ref="D751" r:id="rId2752" display="https://drive.google.com/open?id=1dFYKnraWoB3WZ4MP41EP4ghyuPLXWsObUHIR97NukCk&amp;usp=drive_copy" xr:uid="{00000000-0004-0000-0400-0000BF0A0000}"/>
    <hyperlink ref="E751" r:id="rId2753" display="https://drive.google.com/open?id=1dFYKnraWoB3WZ4MP41EP4ghyuPLXWsObUHIR97NukCk" xr:uid="{00000000-0004-0000-0400-0000C00A0000}"/>
    <hyperlink ref="H751" r:id="rId2754" display="https://docs.google.com/spreadsheets/d/1dFYKnraWoB3WZ4MP41EP4ghyuPLXWsObUHIR97NukCk" xr:uid="{00000000-0004-0000-0400-0000C10A0000}"/>
    <hyperlink ref="I751" r:id="rId2755" display="https://docs.google.com/open?id=1dFYKnraWoB3WZ4MP41EP4ghyuPLXWsObUHIR97NukCk" xr:uid="{00000000-0004-0000-0400-0000C20A0000}"/>
    <hyperlink ref="D752" r:id="rId2756" display="https://drive.google.com/open?id=1bpzPTv2x34Z3f7I7vnh0EdNcL2_IXuBRk0j86EfK_i8&amp;usp=drive_copy" xr:uid="{00000000-0004-0000-0400-0000C30A0000}"/>
    <hyperlink ref="E752" r:id="rId2757" display="https://drive.google.com/open?id=1bpzPTv2x34Z3f7I7vnh0EdNcL2_IXuBRk0j86EfK_i8" xr:uid="{00000000-0004-0000-0400-0000C40A0000}"/>
    <hyperlink ref="H752" r:id="rId2758" display="https://docs.google.com/spreadsheets/d/1bpzPTv2x34Z3f7I7vnh0EdNcL2_IXuBRk0j86EfK_i8" xr:uid="{00000000-0004-0000-0400-0000C50A0000}"/>
    <hyperlink ref="I752" r:id="rId2759" display="https://docs.google.com/open?id=1bpzPTv2x34Z3f7I7vnh0EdNcL2_IXuBRk0j86EfK_i8" xr:uid="{00000000-0004-0000-0400-0000C60A0000}"/>
    <hyperlink ref="D753" r:id="rId2760" display="https://drive.google.com/open?id=1bR2ufX8Op8eqV5gVUrYQu6WPHgJ5sr0fP6saaNEWL-k&amp;usp=drive_copy" xr:uid="{00000000-0004-0000-0400-0000C70A0000}"/>
    <hyperlink ref="E753" r:id="rId2761" display="https://drive.google.com/open?id=1bR2ufX8Op8eqV5gVUrYQu6WPHgJ5sr0fP6saaNEWL-k" xr:uid="{00000000-0004-0000-0400-0000C80A0000}"/>
    <hyperlink ref="H753" r:id="rId2762" display="https://docs.google.com/spreadsheets/d/1bR2ufX8Op8eqV5gVUrYQu6WPHgJ5sr0fP6saaNEWL-k" xr:uid="{00000000-0004-0000-0400-0000C90A0000}"/>
    <hyperlink ref="I753" r:id="rId2763" display="https://docs.google.com/open?id=1bR2ufX8Op8eqV5gVUrYQu6WPHgJ5sr0fP6saaNEWL-k" xr:uid="{00000000-0004-0000-0400-0000CA0A0000}"/>
    <hyperlink ref="D754" r:id="rId2764" display="https://drive.google.com/open?id=1YELInT8SSBdYpiVlIAGwh7WCJDvXKgQuw-Jk_gt43w8&amp;usp=drive_copy" xr:uid="{00000000-0004-0000-0400-0000CB0A0000}"/>
    <hyperlink ref="E754" r:id="rId2765" display="https://drive.google.com/open?id=1YELInT8SSBdYpiVlIAGwh7WCJDvXKgQuw-Jk_gt43w8" xr:uid="{00000000-0004-0000-0400-0000CC0A0000}"/>
    <hyperlink ref="H754" r:id="rId2766" display="https://docs.google.com/spreadsheets/d/1YELInT8SSBdYpiVlIAGwh7WCJDvXKgQuw-Jk_gt43w8" xr:uid="{00000000-0004-0000-0400-0000CD0A0000}"/>
    <hyperlink ref="I754" r:id="rId2767" display="https://docs.google.com/open?id=1YELInT8SSBdYpiVlIAGwh7WCJDvXKgQuw-Jk_gt43w8" xr:uid="{00000000-0004-0000-0400-0000CE0A0000}"/>
    <hyperlink ref="D755" r:id="rId2768" display="https://drive.google.com/open?id=1VIZS6PLpEBV87yqgP2xbtMPHM7PwDFK09G6hhgPNXac&amp;usp=drive_copy" xr:uid="{00000000-0004-0000-0400-0000CF0A0000}"/>
    <hyperlink ref="E755" r:id="rId2769" display="https://drive.google.com/open?id=1VIZS6PLpEBV87yqgP2xbtMPHM7PwDFK09G6hhgPNXac" xr:uid="{00000000-0004-0000-0400-0000D00A0000}"/>
    <hyperlink ref="H755" r:id="rId2770" display="https://docs.google.com/spreadsheets/d/1VIZS6PLpEBV87yqgP2xbtMPHM7PwDFK09G6hhgPNXac" xr:uid="{00000000-0004-0000-0400-0000D10A0000}"/>
    <hyperlink ref="I755" r:id="rId2771" display="https://docs.google.com/open?id=1VIZS6PLpEBV87yqgP2xbtMPHM7PwDFK09G6hhgPNXac" xr:uid="{00000000-0004-0000-0400-0000D20A0000}"/>
    <hyperlink ref="D756" r:id="rId2772" display="https://drive.google.com/open?id=1R9atTXRoPxBG287AvyjX6m06NzqLOeB8pjDu-WO2m2k&amp;usp=drive_copy" xr:uid="{00000000-0004-0000-0400-0000D30A0000}"/>
    <hyperlink ref="E756" r:id="rId2773" display="https://drive.google.com/open?id=1R9atTXRoPxBG287AvyjX6m06NzqLOeB8pjDu-WO2m2k" xr:uid="{00000000-0004-0000-0400-0000D40A0000}"/>
    <hyperlink ref="H756" r:id="rId2774" display="https://docs.google.com/spreadsheets/d/1R9atTXRoPxBG287AvyjX6m06NzqLOeB8pjDu-WO2m2k" xr:uid="{00000000-0004-0000-0400-0000D50A0000}"/>
    <hyperlink ref="I756" r:id="rId2775" display="https://docs.google.com/open?id=1R9atTXRoPxBG287AvyjX6m06NzqLOeB8pjDu-WO2m2k" xr:uid="{00000000-0004-0000-0400-0000D60A0000}"/>
    <hyperlink ref="D757" r:id="rId2776" display="https://drive.google.com/open?id=1J4OUfYVevYIkMTNs7PYRvwLNtypwqeEwHbNQuRVjSkY&amp;usp=drive_copy" xr:uid="{00000000-0004-0000-0400-0000D70A0000}"/>
    <hyperlink ref="E757" r:id="rId2777" display="https://drive.google.com/open?id=1J4OUfYVevYIkMTNs7PYRvwLNtypwqeEwHbNQuRVjSkY" xr:uid="{00000000-0004-0000-0400-0000D80A0000}"/>
    <hyperlink ref="H757" r:id="rId2778" display="https://docs.google.com/spreadsheets/d/1J4OUfYVevYIkMTNs7PYRvwLNtypwqeEwHbNQuRVjSkY" xr:uid="{00000000-0004-0000-0400-0000D90A0000}"/>
    <hyperlink ref="I757" r:id="rId2779" display="https://docs.google.com/open?id=1J4OUfYVevYIkMTNs7PYRvwLNtypwqeEwHbNQuRVjSkY" xr:uid="{00000000-0004-0000-0400-0000DA0A0000}"/>
    <hyperlink ref="D758" r:id="rId2780" display="https://drive.google.com/open?id=1HLBRY_1Lkamd5VGg5i5rIfoNxlv4N5eZyCauIpJV7UY&amp;usp=drive_copy" xr:uid="{00000000-0004-0000-0400-0000DB0A0000}"/>
    <hyperlink ref="E758" r:id="rId2781" display="https://drive.google.com/open?id=1HLBRY_1Lkamd5VGg5i5rIfoNxlv4N5eZyCauIpJV7UY" xr:uid="{00000000-0004-0000-0400-0000DC0A0000}"/>
    <hyperlink ref="H758" r:id="rId2782" display="https://docs.google.com/spreadsheets/d/1HLBRY_1Lkamd5VGg5i5rIfoNxlv4N5eZyCauIpJV7UY" xr:uid="{00000000-0004-0000-0400-0000DD0A0000}"/>
    <hyperlink ref="I758" r:id="rId2783" display="https://docs.google.com/open?id=1HLBRY_1Lkamd5VGg5i5rIfoNxlv4N5eZyCauIpJV7UY" xr:uid="{00000000-0004-0000-0400-0000DE0A0000}"/>
    <hyperlink ref="D759" r:id="rId2784" display="https://drive.google.com/open?id=1HBCQ_XXfUmpmKaHIn83dtmHplKxjITHcMoC7wOksBgw&amp;usp=drive_copy" xr:uid="{00000000-0004-0000-0400-0000DF0A0000}"/>
    <hyperlink ref="E759" r:id="rId2785" display="https://drive.google.com/open?id=1HBCQ_XXfUmpmKaHIn83dtmHplKxjITHcMoC7wOksBgw" xr:uid="{00000000-0004-0000-0400-0000E00A0000}"/>
    <hyperlink ref="H759" r:id="rId2786" display="https://docs.google.com/spreadsheets/d/1HBCQ_XXfUmpmKaHIn83dtmHplKxjITHcMoC7wOksBgw" xr:uid="{00000000-0004-0000-0400-0000E10A0000}"/>
    <hyperlink ref="I759" r:id="rId2787" display="https://docs.google.com/open?id=1HBCQ_XXfUmpmKaHIn83dtmHplKxjITHcMoC7wOksBgw" xr:uid="{00000000-0004-0000-0400-0000E20A0000}"/>
    <hyperlink ref="D760" r:id="rId2788" display="https://drive.google.com/open?id=1GUqqX2sUUIqUtHB-7RT8rcFxMd0I3LfOfcW5dGM5b5w&amp;usp=drive_copy" xr:uid="{00000000-0004-0000-0400-0000E30A0000}"/>
    <hyperlink ref="E760" r:id="rId2789" display="https://drive.google.com/open?id=1GUqqX2sUUIqUtHB-7RT8rcFxMd0I3LfOfcW5dGM5b5w" xr:uid="{00000000-0004-0000-0400-0000E40A0000}"/>
    <hyperlink ref="H760" r:id="rId2790" display="https://docs.google.com/spreadsheets/d/1GUqqX2sUUIqUtHB-7RT8rcFxMd0I3LfOfcW5dGM5b5w" xr:uid="{00000000-0004-0000-0400-0000E50A0000}"/>
    <hyperlink ref="I760" r:id="rId2791" display="https://docs.google.com/open?id=1GUqqX2sUUIqUtHB-7RT8rcFxMd0I3LfOfcW5dGM5b5w" xr:uid="{00000000-0004-0000-0400-0000E60A0000}"/>
    <hyperlink ref="D761" r:id="rId2792" display="https://drive.google.com/open?id=1GC_-EMnONn18eWpzwximFq5MMWMRoaBXdFM7ruWd1zM&amp;usp=drive_copy" xr:uid="{00000000-0004-0000-0400-0000E70A0000}"/>
    <hyperlink ref="E761" r:id="rId2793" display="https://drive.google.com/open?id=1GC_-EMnONn18eWpzwximFq5MMWMRoaBXdFM7ruWd1zM" xr:uid="{00000000-0004-0000-0400-0000E80A0000}"/>
    <hyperlink ref="H761" r:id="rId2794" display="https://docs.google.com/spreadsheets/d/1GC_-EMnONn18eWpzwximFq5MMWMRoaBXdFM7ruWd1zM" xr:uid="{00000000-0004-0000-0400-0000E90A0000}"/>
    <hyperlink ref="I761" r:id="rId2795" display="https://docs.google.com/open?id=1GC_-EMnONn18eWpzwximFq5MMWMRoaBXdFM7ruWd1zM" xr:uid="{00000000-0004-0000-0400-0000EA0A0000}"/>
    <hyperlink ref="D762" r:id="rId2796" display="https://drive.google.com/open?id=1CmuAZGYYfPT-pN3Q5YamQd_O0eWSCmuNl-kHlIwnRRM&amp;usp=drive_copy" xr:uid="{00000000-0004-0000-0400-0000EB0A0000}"/>
    <hyperlink ref="E762" r:id="rId2797" display="https://drive.google.com/open?id=1CmuAZGYYfPT-pN3Q5YamQd_O0eWSCmuNl-kHlIwnRRM" xr:uid="{00000000-0004-0000-0400-0000EC0A0000}"/>
    <hyperlink ref="H762" r:id="rId2798" display="https://docs.google.com/spreadsheets/d/1CmuAZGYYfPT-pN3Q5YamQd_O0eWSCmuNl-kHlIwnRRM" xr:uid="{00000000-0004-0000-0400-0000ED0A0000}"/>
    <hyperlink ref="I762" r:id="rId2799" display="https://docs.google.com/open?id=1CmuAZGYYfPT-pN3Q5YamQd_O0eWSCmuNl-kHlIwnRRM" xr:uid="{00000000-0004-0000-0400-0000EE0A0000}"/>
    <hyperlink ref="D763" r:id="rId2800" display="https://drive.google.com/open?id=1AeBKCKz-zhMs5sPCu1DXxWnQsuZktwqEOljwcYK7n6Y&amp;usp=drive_copy" xr:uid="{00000000-0004-0000-0400-0000EF0A0000}"/>
    <hyperlink ref="E763" r:id="rId2801" display="https://drive.google.com/open?id=1AeBKCKz-zhMs5sPCu1DXxWnQsuZktwqEOljwcYK7n6Y" xr:uid="{00000000-0004-0000-0400-0000F00A0000}"/>
    <hyperlink ref="H763" r:id="rId2802" display="https://docs.google.com/spreadsheets/d/1AeBKCKz-zhMs5sPCu1DXxWnQsuZktwqEOljwcYK7n6Y" xr:uid="{00000000-0004-0000-0400-0000F10A0000}"/>
    <hyperlink ref="I763" r:id="rId2803" display="https://docs.google.com/open?id=1AeBKCKz-zhMs5sPCu1DXxWnQsuZktwqEOljwcYK7n6Y" xr:uid="{00000000-0004-0000-0400-0000F20A0000}"/>
    <hyperlink ref="D764" r:id="rId2804" display="https://drive.google.com/open?id=14S0Jqu9xTsc0TD7yxwv2vnF9BabyO01GUruZTKCgjxc&amp;usp=drive_copy" xr:uid="{00000000-0004-0000-0400-0000F30A0000}"/>
    <hyperlink ref="E764" r:id="rId2805" display="https://drive.google.com/open?id=14S0Jqu9xTsc0TD7yxwv2vnF9BabyO01GUruZTKCgjxc" xr:uid="{00000000-0004-0000-0400-0000F40A0000}"/>
    <hyperlink ref="H764" r:id="rId2806" display="https://docs.google.com/spreadsheets/d/14S0Jqu9xTsc0TD7yxwv2vnF9BabyO01GUruZTKCgjxc" xr:uid="{00000000-0004-0000-0400-0000F50A0000}"/>
    <hyperlink ref="I764" r:id="rId2807" display="https://docs.google.com/open?id=14S0Jqu9xTsc0TD7yxwv2vnF9BabyO01GUruZTKCgjxc" xr:uid="{00000000-0004-0000-0400-0000F60A0000}"/>
    <hyperlink ref="D765" r:id="rId2808" display="https://drive.google.com/open?id=128NztE3J2EIjNv_irPNggRTyrD4tQi0shpmk_Qd9n_4&amp;usp=drive_copy" xr:uid="{00000000-0004-0000-0400-0000F70A0000}"/>
    <hyperlink ref="E765" r:id="rId2809" display="https://drive.google.com/open?id=128NztE3J2EIjNv_irPNggRTyrD4tQi0shpmk_Qd9n_4" xr:uid="{00000000-0004-0000-0400-0000F80A0000}"/>
    <hyperlink ref="H765" r:id="rId2810" display="https://docs.google.com/spreadsheets/d/128NztE3J2EIjNv_irPNggRTyrD4tQi0shpmk_Qd9n_4" xr:uid="{00000000-0004-0000-0400-0000F90A0000}"/>
    <hyperlink ref="I765" r:id="rId2811" display="https://docs.google.com/open?id=128NztE3J2EIjNv_irPNggRTyrD4tQi0shpmk_Qd9n_4" xr:uid="{00000000-0004-0000-0400-0000FA0A0000}"/>
    <hyperlink ref="D766" r:id="rId2812" display="https://drive.google.com/open?id=1f6ybG6ihbTg_jrev_6wUmBWAyhFAx1rZDSZ0tzjcXB8&amp;usp=drive_copy" xr:uid="{00000000-0004-0000-0400-0000FB0A0000}"/>
    <hyperlink ref="E766" r:id="rId2813" display="https://drive.google.com/open?id=1f6ybG6ihbTg_jrev_6wUmBWAyhFAx1rZDSZ0tzjcXB8" xr:uid="{00000000-0004-0000-0400-0000FC0A0000}"/>
    <hyperlink ref="H766" r:id="rId2814" display="https://docs.google.com/spreadsheets/d/1f6ybG6ihbTg_jrev_6wUmBWAyhFAx1rZDSZ0tzjcXB8" xr:uid="{00000000-0004-0000-0400-0000FD0A0000}"/>
    <hyperlink ref="I766" r:id="rId2815" display="https://docs.google.com/open?id=1f6ybG6ihbTg_jrev_6wUmBWAyhFAx1rZDSZ0tzjcXB8" xr:uid="{00000000-0004-0000-0400-0000FE0A0000}"/>
    <hyperlink ref="D767" r:id="rId2816" display="https://drive.google.com/open?id=1tnid7ETYJfYjoPzqwcSHKT6xbWQY8q1WdtereWllGpU&amp;usp=drive_copy" xr:uid="{00000000-0004-0000-0400-0000FF0A0000}"/>
    <hyperlink ref="E767" r:id="rId2817" display="https://drive.google.com/open?id=1tnid7ETYJfYjoPzqwcSHKT6xbWQY8q1WdtereWllGpU" xr:uid="{00000000-0004-0000-0400-0000000B0000}"/>
    <hyperlink ref="H767" r:id="rId2818" display="https://docs.google.com/spreadsheets/d/1tnid7ETYJfYjoPzqwcSHKT6xbWQY8q1WdtereWllGpU" xr:uid="{00000000-0004-0000-0400-0000010B0000}"/>
    <hyperlink ref="I767" r:id="rId2819" display="https://docs.google.com/open?id=1tnid7ETYJfYjoPzqwcSHKT6xbWQY8q1WdtereWllGpU" xr:uid="{00000000-0004-0000-0400-0000020B0000}"/>
    <hyperlink ref="D768" r:id="rId2820" display="https://drive.google.com/open?id=1JhCbbPaj6nNSi2eaVB4InnD5fX6_dRTCR5p9B1HiIDg&amp;usp=drive_copy" xr:uid="{00000000-0004-0000-0400-0000030B0000}"/>
    <hyperlink ref="E768" r:id="rId2821" display="https://drive.google.com/open?id=1JhCbbPaj6nNSi2eaVB4InnD5fX6_dRTCR5p9B1HiIDg" xr:uid="{00000000-0004-0000-0400-0000040B0000}"/>
    <hyperlink ref="H768" r:id="rId2822" display="https://docs.google.com/spreadsheets/d/1JhCbbPaj6nNSi2eaVB4InnD5fX6_dRTCR5p9B1HiIDg" xr:uid="{00000000-0004-0000-0400-0000050B0000}"/>
    <hyperlink ref="I768" r:id="rId2823" display="https://docs.google.com/open?id=1JhCbbPaj6nNSi2eaVB4InnD5fX6_dRTCR5p9B1HiIDg" xr:uid="{00000000-0004-0000-0400-0000060B0000}"/>
    <hyperlink ref="D769" r:id="rId2824" display="https://drive.google.com/open?id=1_IlLrpMCR8JwfyVw7TeHCLEb5PHpLme-K6LRIFBUVm0&amp;usp=drive_copy" xr:uid="{00000000-0004-0000-0400-0000070B0000}"/>
    <hyperlink ref="E769" r:id="rId2825" display="https://drive.google.com/open?id=1_IlLrpMCR8JwfyVw7TeHCLEb5PHpLme-K6LRIFBUVm0" xr:uid="{00000000-0004-0000-0400-0000080B0000}"/>
    <hyperlink ref="H769" r:id="rId2826" display="https://docs.google.com/spreadsheets/d/1_IlLrpMCR8JwfyVw7TeHCLEb5PHpLme-K6LRIFBUVm0" xr:uid="{00000000-0004-0000-0400-0000090B0000}"/>
    <hyperlink ref="I769" r:id="rId2827" display="https://docs.google.com/open?id=1_IlLrpMCR8JwfyVw7TeHCLEb5PHpLme-K6LRIFBUVm0" xr:uid="{00000000-0004-0000-0400-00000A0B0000}"/>
    <hyperlink ref="D770" r:id="rId2828" display="https://drive.google.com/open?id=1dfJqbnJ3FAMnAfoaYsjD7bVPLGUp8eWkE3ceFLs1YkI&amp;usp=drive_copy" xr:uid="{00000000-0004-0000-0400-00000B0B0000}"/>
    <hyperlink ref="E770" r:id="rId2829" display="https://drive.google.com/open?id=1dfJqbnJ3FAMnAfoaYsjD7bVPLGUp8eWkE3ceFLs1YkI" xr:uid="{00000000-0004-0000-0400-00000C0B0000}"/>
    <hyperlink ref="H770" r:id="rId2830" display="https://docs.google.com/spreadsheets/d/1dfJqbnJ3FAMnAfoaYsjD7bVPLGUp8eWkE3ceFLs1YkI" xr:uid="{00000000-0004-0000-0400-00000D0B0000}"/>
    <hyperlink ref="I770" r:id="rId2831" display="https://docs.google.com/open?id=1dfJqbnJ3FAMnAfoaYsjD7bVPLGUp8eWkE3ceFLs1YkI" xr:uid="{00000000-0004-0000-0400-00000E0B0000}"/>
    <hyperlink ref="D771" r:id="rId2832" display="https://drive.google.com/open?id=1G3KXYnyJg44v2A7MN_5-eQd0dGuxRhmYMgUmmWZ61zw&amp;usp=drive_copy" xr:uid="{00000000-0004-0000-0400-00000F0B0000}"/>
    <hyperlink ref="E771" r:id="rId2833" display="https://drive.google.com/open?id=1G3KXYnyJg44v2A7MN_5-eQd0dGuxRhmYMgUmmWZ61zw" xr:uid="{00000000-0004-0000-0400-0000100B0000}"/>
    <hyperlink ref="H771" r:id="rId2834" display="https://docs.google.com/spreadsheets/d/1G3KXYnyJg44v2A7MN_5-eQd0dGuxRhmYMgUmmWZ61zw" xr:uid="{00000000-0004-0000-0400-0000110B0000}"/>
    <hyperlink ref="I771" r:id="rId2835" display="https://docs.google.com/open?id=1G3KXYnyJg44v2A7MN_5-eQd0dGuxRhmYMgUmmWZ61zw" xr:uid="{00000000-0004-0000-0400-0000120B0000}"/>
    <hyperlink ref="D772" r:id="rId2836" display="https://drive.google.com/open?id=1g3hRnzu_zkX6M0lU4kh6wk94uChWtMO_sEGQT-791AA&amp;usp=drive_copy" xr:uid="{00000000-0004-0000-0400-0000130B0000}"/>
    <hyperlink ref="E772" r:id="rId2837" display="https://drive.google.com/open?id=1g3hRnzu_zkX6M0lU4kh6wk94uChWtMO_sEGQT-791AA" xr:uid="{00000000-0004-0000-0400-0000140B0000}"/>
    <hyperlink ref="H772" r:id="rId2838" display="https://docs.google.com/spreadsheets/d/1g3hRnzu_zkX6M0lU4kh6wk94uChWtMO_sEGQT-791AA" xr:uid="{00000000-0004-0000-0400-0000150B0000}"/>
    <hyperlink ref="I772" r:id="rId2839" display="https://docs.google.com/open?id=1g3hRnzu_zkX6M0lU4kh6wk94uChWtMO_sEGQT-791AA" xr:uid="{00000000-0004-0000-0400-0000160B0000}"/>
    <hyperlink ref="D773" r:id="rId2840" display="https://drive.google.com/open?id=1v94-53gvuSh_eOtsRIWOB6PO1E4V8VWq4vyiZu3ilIE&amp;usp=drive_copy" xr:uid="{00000000-0004-0000-0400-0000170B0000}"/>
    <hyperlink ref="E773" r:id="rId2841" display="https://drive.google.com/open?id=1v94-53gvuSh_eOtsRIWOB6PO1E4V8VWq4vyiZu3ilIE" xr:uid="{00000000-0004-0000-0400-0000180B0000}"/>
    <hyperlink ref="H773" r:id="rId2842" display="https://docs.google.com/spreadsheets/d/1v94-53gvuSh_eOtsRIWOB6PO1E4V8VWq4vyiZu3ilIE" xr:uid="{00000000-0004-0000-0400-0000190B0000}"/>
    <hyperlink ref="I773" r:id="rId2843" display="https://docs.google.com/open?id=1v94-53gvuSh_eOtsRIWOB6PO1E4V8VWq4vyiZu3ilIE" xr:uid="{00000000-0004-0000-0400-00001A0B0000}"/>
    <hyperlink ref="D774" r:id="rId2844" display="https://drive.google.com/open?id=11TIo12gaplYwBMjM1xADlYLIcaEjCnFCxLMJC4uYEDI&amp;usp=drive_copy" xr:uid="{00000000-0004-0000-0400-00001B0B0000}"/>
    <hyperlink ref="E774" r:id="rId2845" display="https://drive.google.com/open?id=11TIo12gaplYwBMjM1xADlYLIcaEjCnFCxLMJC4uYEDI" xr:uid="{00000000-0004-0000-0400-00001C0B0000}"/>
    <hyperlink ref="H774" r:id="rId2846" display="https://docs.google.com/spreadsheets/d/11TIo12gaplYwBMjM1xADlYLIcaEjCnFCxLMJC4uYEDI" xr:uid="{00000000-0004-0000-0400-00001D0B0000}"/>
    <hyperlink ref="I774" r:id="rId2847" display="https://docs.google.com/open?id=11TIo12gaplYwBMjM1xADlYLIcaEjCnFCxLMJC4uYEDI" xr:uid="{00000000-0004-0000-0400-00001E0B0000}"/>
    <hyperlink ref="D775" r:id="rId2848" display="https://drive.google.com/open?id=1TjfXudfOEISX08ERgo5PAwsPnAoCj0eJMznwKsd1CqI&amp;usp=drive_copy" xr:uid="{00000000-0004-0000-0400-00001F0B0000}"/>
    <hyperlink ref="E775" r:id="rId2849" display="https://drive.google.com/open?id=1TjfXudfOEISX08ERgo5PAwsPnAoCj0eJMznwKsd1CqI" xr:uid="{00000000-0004-0000-0400-0000200B0000}"/>
    <hyperlink ref="H775" r:id="rId2850" display="https://docs.google.com/spreadsheets/d/1TjfXudfOEISX08ERgo5PAwsPnAoCj0eJMznwKsd1CqI" xr:uid="{00000000-0004-0000-0400-0000210B0000}"/>
    <hyperlink ref="I775" r:id="rId2851" display="https://docs.google.com/open?id=1TjfXudfOEISX08ERgo5PAwsPnAoCj0eJMznwKsd1CqI" xr:uid="{00000000-0004-0000-0400-0000220B0000}"/>
    <hyperlink ref="D776" r:id="rId2852" display="https://drive.google.com/open?id=1mb56fxeCsNeZ0a6kyOs71lHHML1NvKdWPL1pxHAxARE&amp;usp=drive_copy" xr:uid="{00000000-0004-0000-0400-0000230B0000}"/>
    <hyperlink ref="E776" r:id="rId2853" display="https://drive.google.com/open?id=1mb56fxeCsNeZ0a6kyOs71lHHML1NvKdWPL1pxHAxARE" xr:uid="{00000000-0004-0000-0400-0000240B0000}"/>
    <hyperlink ref="H776" r:id="rId2854" display="https://docs.google.com/spreadsheets/d/1mb56fxeCsNeZ0a6kyOs71lHHML1NvKdWPL1pxHAxARE" xr:uid="{00000000-0004-0000-0400-0000250B0000}"/>
    <hyperlink ref="I776" r:id="rId2855" display="https://docs.google.com/open?id=1mb56fxeCsNeZ0a6kyOs71lHHML1NvKdWPL1pxHAxARE" xr:uid="{00000000-0004-0000-0400-0000260B0000}"/>
    <hyperlink ref="D777" r:id="rId2856" display="https://drive.google.com/open?id=1NSKlN1dcSMn3V_13lnTKnPHZB5DyOSJWGOdV4pgZ8m8&amp;usp=drive_copy" xr:uid="{00000000-0004-0000-0400-0000270B0000}"/>
    <hyperlink ref="E777" r:id="rId2857" display="https://drive.google.com/open?id=1NSKlN1dcSMn3V_13lnTKnPHZB5DyOSJWGOdV4pgZ8m8" xr:uid="{00000000-0004-0000-0400-0000280B0000}"/>
    <hyperlink ref="H777" r:id="rId2858" display="https://docs.google.com/spreadsheets/d/1NSKlN1dcSMn3V_13lnTKnPHZB5DyOSJWGOdV4pgZ8m8" xr:uid="{00000000-0004-0000-0400-0000290B0000}"/>
    <hyperlink ref="I777" r:id="rId2859" display="https://docs.google.com/open?id=1NSKlN1dcSMn3V_13lnTKnPHZB5DyOSJWGOdV4pgZ8m8" xr:uid="{00000000-0004-0000-0400-00002A0B0000}"/>
    <hyperlink ref="D778" r:id="rId2860" display="https://drive.google.com/open?id=1Tf3iC2J5EUzrdRnyTeE4mOHjdS3w8bycoFotZrJyjlw&amp;usp=drive_copy" xr:uid="{00000000-0004-0000-0400-00002B0B0000}"/>
    <hyperlink ref="E778" r:id="rId2861" display="https://drive.google.com/open?id=1Tf3iC2J5EUzrdRnyTeE4mOHjdS3w8bycoFotZrJyjlw" xr:uid="{00000000-0004-0000-0400-00002C0B0000}"/>
    <hyperlink ref="H778" r:id="rId2862" display="https://docs.google.com/spreadsheets/d/1Tf3iC2J5EUzrdRnyTeE4mOHjdS3w8bycoFotZrJyjlw" xr:uid="{00000000-0004-0000-0400-00002D0B0000}"/>
    <hyperlink ref="I778" r:id="rId2863" display="https://docs.google.com/open?id=1Tf3iC2J5EUzrdRnyTeE4mOHjdS3w8bycoFotZrJyjlw" xr:uid="{00000000-0004-0000-0400-00002E0B0000}"/>
    <hyperlink ref="D779" r:id="rId2864" display="https://drive.google.com/open?id=18MREpkqj7gVpqlVVe-iK76z3Qxj6yF_oKO7AfG2qXT0&amp;usp=drive_copy" xr:uid="{00000000-0004-0000-0400-00002F0B0000}"/>
    <hyperlink ref="E779" r:id="rId2865" display="https://drive.google.com/open?id=18MREpkqj7gVpqlVVe-iK76z3Qxj6yF_oKO7AfG2qXT0" xr:uid="{00000000-0004-0000-0400-0000300B0000}"/>
    <hyperlink ref="H779" r:id="rId2866" display="https://docs.google.com/spreadsheets/d/18MREpkqj7gVpqlVVe-iK76z3Qxj6yF_oKO7AfG2qXT0" xr:uid="{00000000-0004-0000-0400-0000310B0000}"/>
    <hyperlink ref="I779" r:id="rId2867" display="https://docs.google.com/open?id=18MREpkqj7gVpqlVVe-iK76z3Qxj6yF_oKO7AfG2qXT0" xr:uid="{00000000-0004-0000-0400-0000320B0000}"/>
    <hyperlink ref="D780" r:id="rId2868" display="https://drive.google.com/open?id=1BlwP1IABydJc7mcPhy4Rz9nQT1QFO35n1_By8k9mMno&amp;usp=drive_copy" xr:uid="{00000000-0004-0000-0400-0000330B0000}"/>
    <hyperlink ref="E780" r:id="rId2869" display="https://drive.google.com/open?id=1BlwP1IABydJc7mcPhy4Rz9nQT1QFO35n1_By8k9mMno" xr:uid="{00000000-0004-0000-0400-0000340B0000}"/>
    <hyperlink ref="H780" r:id="rId2870" display="https://docs.google.com/spreadsheets/d/1BlwP1IABydJc7mcPhy4Rz9nQT1QFO35n1_By8k9mMno" xr:uid="{00000000-0004-0000-0400-0000350B0000}"/>
    <hyperlink ref="I780" r:id="rId2871" display="https://docs.google.com/open?id=1BlwP1IABydJc7mcPhy4Rz9nQT1QFO35n1_By8k9mMno" xr:uid="{00000000-0004-0000-0400-0000360B0000}"/>
    <hyperlink ref="D781" r:id="rId2872" display="https://drive.google.com/open?id=13OnRcW7ESZKNo15sgUzNkmd_L_7ZOIWewAWJ0X7Xv5Y&amp;usp=drive_copy" xr:uid="{00000000-0004-0000-0400-0000370B0000}"/>
    <hyperlink ref="E781" r:id="rId2873" display="https://drive.google.com/open?id=13OnRcW7ESZKNo15sgUzNkmd_L_7ZOIWewAWJ0X7Xv5Y" xr:uid="{00000000-0004-0000-0400-0000380B0000}"/>
    <hyperlink ref="H781" r:id="rId2874" display="https://docs.google.com/spreadsheets/d/13OnRcW7ESZKNo15sgUzNkmd_L_7ZOIWewAWJ0X7Xv5Y" xr:uid="{00000000-0004-0000-0400-0000390B0000}"/>
    <hyperlink ref="I781" r:id="rId2875" display="https://docs.google.com/open?id=13OnRcW7ESZKNo15sgUzNkmd_L_7ZOIWewAWJ0X7Xv5Y" xr:uid="{00000000-0004-0000-0400-00003A0B0000}"/>
    <hyperlink ref="D782" r:id="rId2876" display="https://drive.google.com/open?id=1G-Zc5IrYQz-VrfEhSe6--V8Yphx_t3cxSHKSIoM3Bew&amp;usp=drive_copy" xr:uid="{00000000-0004-0000-0400-00003B0B0000}"/>
    <hyperlink ref="E782" r:id="rId2877" display="https://drive.google.com/open?id=1G-Zc5IrYQz-VrfEhSe6--V8Yphx_t3cxSHKSIoM3Bew" xr:uid="{00000000-0004-0000-0400-00003C0B0000}"/>
    <hyperlink ref="H782" r:id="rId2878" display="https://docs.google.com/spreadsheets/d/1G-Zc5IrYQz-VrfEhSe6--V8Yphx_t3cxSHKSIoM3Bew" xr:uid="{00000000-0004-0000-0400-00003D0B0000}"/>
    <hyperlink ref="I782" r:id="rId2879" display="https://docs.google.com/open?id=1G-Zc5IrYQz-VrfEhSe6--V8Yphx_t3cxSHKSIoM3Bew" xr:uid="{00000000-0004-0000-0400-00003E0B0000}"/>
    <hyperlink ref="D783" r:id="rId2880" display="https://drive.google.com/open?id=13tlOIam5jvfpUcS-LUK1J1s9NXHkTmNyuik_xHu-9Qc&amp;usp=drive_copy" xr:uid="{00000000-0004-0000-0400-00003F0B0000}"/>
    <hyperlink ref="E783" r:id="rId2881" display="https://drive.google.com/open?id=13tlOIam5jvfpUcS-LUK1J1s9NXHkTmNyuik_xHu-9Qc" xr:uid="{00000000-0004-0000-0400-0000400B0000}"/>
    <hyperlink ref="H783" r:id="rId2882" display="https://docs.google.com/spreadsheets/d/13tlOIam5jvfpUcS-LUK1J1s9NXHkTmNyuik_xHu-9Qc" xr:uid="{00000000-0004-0000-0400-0000410B0000}"/>
    <hyperlink ref="I783" r:id="rId2883" display="https://docs.google.com/open?id=13tlOIam5jvfpUcS-LUK1J1s9NXHkTmNyuik_xHu-9Qc" xr:uid="{00000000-0004-0000-0400-0000420B0000}"/>
    <hyperlink ref="D784" r:id="rId2884" display="https://drive.google.com/open?id=15qvk2sQLMMWtLqCLn2YL-LAZOi6lcLH1svpqA0bhYiI&amp;usp=drive_copy" xr:uid="{00000000-0004-0000-0400-0000430B0000}"/>
    <hyperlink ref="E784" r:id="rId2885" display="https://drive.google.com/open?id=15qvk2sQLMMWtLqCLn2YL-LAZOi6lcLH1svpqA0bhYiI" xr:uid="{00000000-0004-0000-0400-0000440B0000}"/>
    <hyperlink ref="H784" r:id="rId2886" display="https://docs.google.com/spreadsheets/d/15qvk2sQLMMWtLqCLn2YL-LAZOi6lcLH1svpqA0bhYiI" xr:uid="{00000000-0004-0000-0400-0000450B0000}"/>
    <hyperlink ref="I784" r:id="rId2887" display="https://docs.google.com/open?id=15qvk2sQLMMWtLqCLn2YL-LAZOi6lcLH1svpqA0bhYiI" xr:uid="{00000000-0004-0000-0400-0000460B0000}"/>
    <hyperlink ref="D785" r:id="rId2888" display="https://drive.google.com/open?id=1IMZkm8yKZby27A5acXdMX9BuSRfyc7XvRE9kjtzijxQ&amp;usp=drive_copy" xr:uid="{00000000-0004-0000-0400-0000470B0000}"/>
    <hyperlink ref="E785" r:id="rId2889" display="https://drive.google.com/open?id=1IMZkm8yKZby27A5acXdMX9BuSRfyc7XvRE9kjtzijxQ" xr:uid="{00000000-0004-0000-0400-0000480B0000}"/>
    <hyperlink ref="H785" r:id="rId2890" display="https://docs.google.com/spreadsheets/d/1IMZkm8yKZby27A5acXdMX9BuSRfyc7XvRE9kjtzijxQ" xr:uid="{00000000-0004-0000-0400-0000490B0000}"/>
    <hyperlink ref="I785" r:id="rId2891" display="https://docs.google.com/open?id=1IMZkm8yKZby27A5acXdMX9BuSRfyc7XvRE9kjtzijxQ" xr:uid="{00000000-0004-0000-0400-00004A0B0000}"/>
    <hyperlink ref="D786" r:id="rId2892" display="https://drive.google.com/open?id=1TnXziYPJSvf4zwM9FILC3S53fmJhIXI-pPKwCaB-Seg&amp;usp=drive_copy" xr:uid="{00000000-0004-0000-0400-00004B0B0000}"/>
    <hyperlink ref="E786" r:id="rId2893" display="https://drive.google.com/open?id=1TnXziYPJSvf4zwM9FILC3S53fmJhIXI-pPKwCaB-Seg" xr:uid="{00000000-0004-0000-0400-00004C0B0000}"/>
    <hyperlink ref="H786" r:id="rId2894" display="https://docs.google.com/spreadsheets/d/1TnXziYPJSvf4zwM9FILC3S53fmJhIXI-pPKwCaB-Seg" xr:uid="{00000000-0004-0000-0400-00004D0B0000}"/>
    <hyperlink ref="I786" r:id="rId2895" display="https://docs.google.com/open?id=1TnXziYPJSvf4zwM9FILC3S53fmJhIXI-pPKwCaB-Seg" xr:uid="{00000000-0004-0000-0400-00004E0B0000}"/>
    <hyperlink ref="D787" r:id="rId2896" display="https://drive.google.com/open?id=1VRx1_kzqtzOcQap8Edcli55mX_SZmlUdk6fdp24kplY&amp;usp=drive_copy" xr:uid="{00000000-0004-0000-0400-00004F0B0000}"/>
    <hyperlink ref="E787" r:id="rId2897" display="https://drive.google.com/open?id=1VRx1_kzqtzOcQap8Edcli55mX_SZmlUdk6fdp24kplY" xr:uid="{00000000-0004-0000-0400-0000500B0000}"/>
    <hyperlink ref="H787" r:id="rId2898" display="https://docs.google.com/spreadsheets/d/1VRx1_kzqtzOcQap8Edcli55mX_SZmlUdk6fdp24kplY" xr:uid="{00000000-0004-0000-0400-0000510B0000}"/>
    <hyperlink ref="I787" r:id="rId2899" display="https://docs.google.com/open?id=1VRx1_kzqtzOcQap8Edcli55mX_SZmlUdk6fdp24kplY" xr:uid="{00000000-0004-0000-0400-0000520B0000}"/>
    <hyperlink ref="D788" r:id="rId2900" display="https://drive.google.com/open?id=1gLvyPzUQ7pJx2S8jphwgB5IRLAR4qmgspg6kZfl1VhU&amp;usp=drive_copy" xr:uid="{00000000-0004-0000-0400-0000530B0000}"/>
    <hyperlink ref="E788" r:id="rId2901" display="https://drive.google.com/open?id=1gLvyPzUQ7pJx2S8jphwgB5IRLAR4qmgspg6kZfl1VhU" xr:uid="{00000000-0004-0000-0400-0000540B0000}"/>
    <hyperlink ref="H788" r:id="rId2902" display="https://docs.google.com/spreadsheets/d/1gLvyPzUQ7pJx2S8jphwgB5IRLAR4qmgspg6kZfl1VhU" xr:uid="{00000000-0004-0000-0400-0000550B0000}"/>
    <hyperlink ref="I788" r:id="rId2903" display="https://docs.google.com/open?id=1gLvyPzUQ7pJx2S8jphwgB5IRLAR4qmgspg6kZfl1VhU" xr:uid="{00000000-0004-0000-0400-0000560B0000}"/>
    <hyperlink ref="D789" r:id="rId2904" display="https://drive.google.com/open?id=1iJNUFh3xGdGzCehlEuz7GJb8b3f_f2fV3cRqXvQ6iD4&amp;usp=drive_copy" xr:uid="{00000000-0004-0000-0400-0000570B0000}"/>
    <hyperlink ref="E789" r:id="rId2905" display="https://drive.google.com/open?id=1iJNUFh3xGdGzCehlEuz7GJb8b3f_f2fV3cRqXvQ6iD4" xr:uid="{00000000-0004-0000-0400-0000580B0000}"/>
    <hyperlink ref="H789" r:id="rId2906" display="https://docs.google.com/spreadsheets/d/1iJNUFh3xGdGzCehlEuz7GJb8b3f_f2fV3cRqXvQ6iD4" xr:uid="{00000000-0004-0000-0400-0000590B0000}"/>
    <hyperlink ref="I789" r:id="rId2907" display="https://docs.google.com/open?id=1iJNUFh3xGdGzCehlEuz7GJb8b3f_f2fV3cRqXvQ6iD4" xr:uid="{00000000-0004-0000-0400-00005A0B0000}"/>
    <hyperlink ref="D790" r:id="rId2908" display="https://drive.google.com/open?id=1wVihCEqK9oub6pMR7JEDElWSDWyEFx1YWo0ARiyhgcc&amp;usp=drive_copy" xr:uid="{00000000-0004-0000-0400-00005B0B0000}"/>
    <hyperlink ref="E790" r:id="rId2909" display="https://drive.google.com/open?id=1wVihCEqK9oub6pMR7JEDElWSDWyEFx1YWo0ARiyhgcc" xr:uid="{00000000-0004-0000-0400-00005C0B0000}"/>
    <hyperlink ref="H790" r:id="rId2910" display="https://docs.google.com/spreadsheets/d/1wVihCEqK9oub6pMR7JEDElWSDWyEFx1YWo0ARiyhgcc" xr:uid="{00000000-0004-0000-0400-00005D0B0000}"/>
    <hyperlink ref="I790" r:id="rId2911" display="https://docs.google.com/open?id=1wVihCEqK9oub6pMR7JEDElWSDWyEFx1YWo0ARiyhgcc" xr:uid="{00000000-0004-0000-0400-00005E0B0000}"/>
    <hyperlink ref="D791" r:id="rId2912" display="https://drive.google.com/open?id=11Qn454PLPLi2WuRzh9mhThVAZsUwRMRPJ2a4FL48tq4&amp;usp=drive_copy" xr:uid="{00000000-0004-0000-0400-00005F0B0000}"/>
    <hyperlink ref="E791" r:id="rId2913" display="https://drive.google.com/open?id=11Qn454PLPLi2WuRzh9mhThVAZsUwRMRPJ2a4FL48tq4" xr:uid="{00000000-0004-0000-0400-0000600B0000}"/>
    <hyperlink ref="H791" r:id="rId2914" display="https://docs.google.com/spreadsheets/d/11Qn454PLPLi2WuRzh9mhThVAZsUwRMRPJ2a4FL48tq4" xr:uid="{00000000-0004-0000-0400-0000610B0000}"/>
    <hyperlink ref="I791" r:id="rId2915" display="https://docs.google.com/open?id=11Qn454PLPLi2WuRzh9mhThVAZsUwRMRPJ2a4FL48tq4" xr:uid="{00000000-0004-0000-0400-0000620B0000}"/>
    <hyperlink ref="D792" r:id="rId2916" display="https://drive.google.com/open?id=13UKQVBKtrm6kycmufaXNoBDOstV94QfjD6ps0Z9s1RA&amp;usp=drive_copy" xr:uid="{00000000-0004-0000-0400-0000630B0000}"/>
    <hyperlink ref="E792" r:id="rId2917" display="https://drive.google.com/open?id=13UKQVBKtrm6kycmufaXNoBDOstV94QfjD6ps0Z9s1RA" xr:uid="{00000000-0004-0000-0400-0000640B0000}"/>
    <hyperlink ref="H792" r:id="rId2918" display="https://docs.google.com/spreadsheets/d/13UKQVBKtrm6kycmufaXNoBDOstV94QfjD6ps0Z9s1RA" xr:uid="{00000000-0004-0000-0400-0000650B0000}"/>
    <hyperlink ref="I792" r:id="rId2919" display="https://docs.google.com/open?id=13UKQVBKtrm6kycmufaXNoBDOstV94QfjD6ps0Z9s1RA" xr:uid="{00000000-0004-0000-0400-0000660B0000}"/>
    <hyperlink ref="D793" r:id="rId2920" display="https://drive.google.com/open?id=15XzwiTLnXTVZU4W19qVl298eEfhfzwdZaYDqQkY-_hM&amp;usp=drive_copy" xr:uid="{00000000-0004-0000-0400-0000670B0000}"/>
    <hyperlink ref="E793" r:id="rId2921" display="https://drive.google.com/open?id=15XzwiTLnXTVZU4W19qVl298eEfhfzwdZaYDqQkY-_hM" xr:uid="{00000000-0004-0000-0400-0000680B0000}"/>
    <hyperlink ref="H793" r:id="rId2922" display="https://docs.google.com/spreadsheets/d/15XzwiTLnXTVZU4W19qVl298eEfhfzwdZaYDqQkY-_hM" xr:uid="{00000000-0004-0000-0400-0000690B0000}"/>
    <hyperlink ref="I793" r:id="rId2923" display="https://docs.google.com/open?id=15XzwiTLnXTVZU4W19qVl298eEfhfzwdZaYDqQkY-_hM" xr:uid="{00000000-0004-0000-0400-00006A0B0000}"/>
    <hyperlink ref="D794" r:id="rId2924" display="https://drive.google.com/open?id=164xIOjtl2axdo9kr5oxa8oPwHyE6tQgqB0rRsWfm_bE&amp;usp=drive_copy" xr:uid="{00000000-0004-0000-0400-00006B0B0000}"/>
    <hyperlink ref="E794" r:id="rId2925" display="https://drive.google.com/open?id=164xIOjtl2axdo9kr5oxa8oPwHyE6tQgqB0rRsWfm_bE" xr:uid="{00000000-0004-0000-0400-00006C0B0000}"/>
    <hyperlink ref="H794" r:id="rId2926" display="https://docs.google.com/spreadsheets/d/164xIOjtl2axdo9kr5oxa8oPwHyE6tQgqB0rRsWfm_bE" xr:uid="{00000000-0004-0000-0400-00006D0B0000}"/>
    <hyperlink ref="I794" r:id="rId2927" display="https://docs.google.com/open?id=164xIOjtl2axdo9kr5oxa8oPwHyE6tQgqB0rRsWfm_bE" xr:uid="{00000000-0004-0000-0400-00006E0B0000}"/>
    <hyperlink ref="D795" r:id="rId2928" display="https://drive.google.com/open?id=16nOwJNZjj6axyzK5H8fPKZBhBLLYM3Q3bv2UD5YpI_U&amp;usp=drive_copy" xr:uid="{00000000-0004-0000-0400-00006F0B0000}"/>
    <hyperlink ref="E795" r:id="rId2929" display="https://drive.google.com/open?id=16nOwJNZjj6axyzK5H8fPKZBhBLLYM3Q3bv2UD5YpI_U" xr:uid="{00000000-0004-0000-0400-0000700B0000}"/>
    <hyperlink ref="H795" r:id="rId2930" display="https://docs.google.com/spreadsheets/d/16nOwJNZjj6axyzK5H8fPKZBhBLLYM3Q3bv2UD5YpI_U" xr:uid="{00000000-0004-0000-0400-0000710B0000}"/>
    <hyperlink ref="I795" r:id="rId2931" display="https://docs.google.com/open?id=16nOwJNZjj6axyzK5H8fPKZBhBLLYM3Q3bv2UD5YpI_U" xr:uid="{00000000-0004-0000-0400-0000720B0000}"/>
    <hyperlink ref="D796" r:id="rId2932" display="https://drive.google.com/open?id=18JOOyJE4xNDoZvD4njVJUwTqiyb45Op1PtUsA1_Q0BM&amp;usp=drive_copy" xr:uid="{00000000-0004-0000-0400-0000730B0000}"/>
    <hyperlink ref="E796" r:id="rId2933" display="https://drive.google.com/open?id=18JOOyJE4xNDoZvD4njVJUwTqiyb45Op1PtUsA1_Q0BM" xr:uid="{00000000-0004-0000-0400-0000740B0000}"/>
    <hyperlink ref="H796" r:id="rId2934" display="https://docs.google.com/spreadsheets/d/18JOOyJE4xNDoZvD4njVJUwTqiyb45Op1PtUsA1_Q0BM" xr:uid="{00000000-0004-0000-0400-0000750B0000}"/>
    <hyperlink ref="I796" r:id="rId2935" display="https://docs.google.com/open?id=18JOOyJE4xNDoZvD4njVJUwTqiyb45Op1PtUsA1_Q0BM" xr:uid="{00000000-0004-0000-0400-0000760B0000}"/>
    <hyperlink ref="D797" r:id="rId2936" display="https://drive.google.com/open?id=1BsififttxAm_ypQ-el1S57hWPDPtTR2E_7UlI0wFcqY&amp;usp=drive_copy" xr:uid="{00000000-0004-0000-0400-0000770B0000}"/>
    <hyperlink ref="E797" r:id="rId2937" display="https://drive.google.com/open?id=1BsififttxAm_ypQ-el1S57hWPDPtTR2E_7UlI0wFcqY" xr:uid="{00000000-0004-0000-0400-0000780B0000}"/>
    <hyperlink ref="H797" r:id="rId2938" display="https://docs.google.com/spreadsheets/d/1BsififttxAm_ypQ-el1S57hWPDPtTR2E_7UlI0wFcqY" xr:uid="{00000000-0004-0000-0400-0000790B0000}"/>
    <hyperlink ref="I797" r:id="rId2939" display="https://docs.google.com/open?id=1BsififttxAm_ypQ-el1S57hWPDPtTR2E_7UlI0wFcqY" xr:uid="{00000000-0004-0000-0400-00007A0B0000}"/>
    <hyperlink ref="D798" r:id="rId2940" display="https://drive.google.com/open?id=1J6vl1p7n0dc6Vxyb1AHnQXuduAlQzZ3KkmYCrMsBpXQ&amp;usp=drive_copy" xr:uid="{00000000-0004-0000-0400-00007B0B0000}"/>
    <hyperlink ref="E798" r:id="rId2941" display="https://drive.google.com/open?id=1J6vl1p7n0dc6Vxyb1AHnQXuduAlQzZ3KkmYCrMsBpXQ" xr:uid="{00000000-0004-0000-0400-00007C0B0000}"/>
    <hyperlink ref="H798" r:id="rId2942" display="https://docs.google.com/spreadsheets/d/1J6vl1p7n0dc6Vxyb1AHnQXuduAlQzZ3KkmYCrMsBpXQ" xr:uid="{00000000-0004-0000-0400-00007D0B0000}"/>
    <hyperlink ref="I798" r:id="rId2943" display="https://docs.google.com/open?id=1J6vl1p7n0dc6Vxyb1AHnQXuduAlQzZ3KkmYCrMsBpXQ" xr:uid="{00000000-0004-0000-0400-00007E0B0000}"/>
    <hyperlink ref="D799" r:id="rId2944" display="https://drive.google.com/open?id=1JsN4x6qkeTs7wLVr6XLNgXiy5-mW__0v825hXWtWTPI&amp;usp=drive_copy" xr:uid="{00000000-0004-0000-0400-00007F0B0000}"/>
    <hyperlink ref="E799" r:id="rId2945" display="https://drive.google.com/open?id=1JsN4x6qkeTs7wLVr6XLNgXiy5-mW__0v825hXWtWTPI" xr:uid="{00000000-0004-0000-0400-0000800B0000}"/>
    <hyperlink ref="H799" r:id="rId2946" display="https://docs.google.com/spreadsheets/d/1JsN4x6qkeTs7wLVr6XLNgXiy5-mW__0v825hXWtWTPI" xr:uid="{00000000-0004-0000-0400-0000810B0000}"/>
    <hyperlink ref="I799" r:id="rId2947" display="https://docs.google.com/open?id=1JsN4x6qkeTs7wLVr6XLNgXiy5-mW__0v825hXWtWTPI" xr:uid="{00000000-0004-0000-0400-0000820B0000}"/>
    <hyperlink ref="D800" r:id="rId2948" display="https://drive.google.com/open?id=1MHJCwQcQNSV8n_R6I-zLfrAfKXBt2eiHCE_V_fEkUPU&amp;usp=drive_copy" xr:uid="{00000000-0004-0000-0400-0000830B0000}"/>
    <hyperlink ref="E800" r:id="rId2949" display="https://drive.google.com/open?id=1MHJCwQcQNSV8n_R6I-zLfrAfKXBt2eiHCE_V_fEkUPU" xr:uid="{00000000-0004-0000-0400-0000840B0000}"/>
    <hyperlink ref="H800" r:id="rId2950" display="https://docs.google.com/spreadsheets/d/1MHJCwQcQNSV8n_R6I-zLfrAfKXBt2eiHCE_V_fEkUPU" xr:uid="{00000000-0004-0000-0400-0000850B0000}"/>
    <hyperlink ref="I800" r:id="rId2951" display="https://docs.google.com/open?id=1MHJCwQcQNSV8n_R6I-zLfrAfKXBt2eiHCE_V_fEkUPU" xr:uid="{00000000-0004-0000-0400-0000860B0000}"/>
    <hyperlink ref="D801" r:id="rId2952" display="https://drive.google.com/open?id=1NXloLPdh5MiFLQRsbudsl6t9ZaJ0tBudRZhDhnbvPVM&amp;usp=drive_copy" xr:uid="{00000000-0004-0000-0400-0000870B0000}"/>
    <hyperlink ref="E801" r:id="rId2953" display="https://drive.google.com/open?id=1NXloLPdh5MiFLQRsbudsl6t9ZaJ0tBudRZhDhnbvPVM" xr:uid="{00000000-0004-0000-0400-0000880B0000}"/>
    <hyperlink ref="H801" r:id="rId2954" display="https://docs.google.com/spreadsheets/d/1NXloLPdh5MiFLQRsbudsl6t9ZaJ0tBudRZhDhnbvPVM" xr:uid="{00000000-0004-0000-0400-0000890B0000}"/>
    <hyperlink ref="I801" r:id="rId2955" display="https://docs.google.com/open?id=1NXloLPdh5MiFLQRsbudsl6t9ZaJ0tBudRZhDhnbvPVM" xr:uid="{00000000-0004-0000-0400-00008A0B0000}"/>
    <hyperlink ref="D802" r:id="rId2956" display="https://drive.google.com/open?id=1Pu4Zms7MKl4RvswRmnbczScpLk6wFSxSRxtfpMKaqIc&amp;usp=drive_copy" xr:uid="{00000000-0004-0000-0400-00008B0B0000}"/>
    <hyperlink ref="E802" r:id="rId2957" display="https://drive.google.com/open?id=1Pu4Zms7MKl4RvswRmnbczScpLk6wFSxSRxtfpMKaqIc" xr:uid="{00000000-0004-0000-0400-00008C0B0000}"/>
    <hyperlink ref="H802" r:id="rId2958" display="https://docs.google.com/spreadsheets/d/1Pu4Zms7MKl4RvswRmnbczScpLk6wFSxSRxtfpMKaqIc" xr:uid="{00000000-0004-0000-0400-00008D0B0000}"/>
    <hyperlink ref="I802" r:id="rId2959" display="https://docs.google.com/open?id=1Pu4Zms7MKl4RvswRmnbczScpLk6wFSxSRxtfpMKaqIc" xr:uid="{00000000-0004-0000-0400-00008E0B0000}"/>
    <hyperlink ref="D803" r:id="rId2960" display="https://drive.google.com/open?id=1Q7yOGnlcdHOfhi2u-d7NAPhNn4lEPtu8ki0kQw_Ayus&amp;usp=drive_copy" xr:uid="{00000000-0004-0000-0400-00008F0B0000}"/>
    <hyperlink ref="E803" r:id="rId2961" display="https://drive.google.com/open?id=1Q7yOGnlcdHOfhi2u-d7NAPhNn4lEPtu8ki0kQw_Ayus" xr:uid="{00000000-0004-0000-0400-0000900B0000}"/>
    <hyperlink ref="H803" r:id="rId2962" display="https://docs.google.com/spreadsheets/d/1Q7yOGnlcdHOfhi2u-d7NAPhNn4lEPtu8ki0kQw_Ayus" xr:uid="{00000000-0004-0000-0400-0000910B0000}"/>
    <hyperlink ref="I803" r:id="rId2963" display="https://docs.google.com/open?id=1Q7yOGnlcdHOfhi2u-d7NAPhNn4lEPtu8ki0kQw_Ayus" xr:uid="{00000000-0004-0000-0400-0000920B0000}"/>
    <hyperlink ref="D804" r:id="rId2964" display="https://drive.google.com/open?id=1WIeOo_cavCz6IzPv-79HsdP8DPAiY2XsnlSzhq_-wfw&amp;usp=drive_copy" xr:uid="{00000000-0004-0000-0400-0000930B0000}"/>
    <hyperlink ref="E804" r:id="rId2965" display="https://drive.google.com/open?id=1WIeOo_cavCz6IzPv-79HsdP8DPAiY2XsnlSzhq_-wfw" xr:uid="{00000000-0004-0000-0400-0000940B0000}"/>
    <hyperlink ref="H804" r:id="rId2966" display="https://docs.google.com/spreadsheets/d/1WIeOo_cavCz6IzPv-79HsdP8DPAiY2XsnlSzhq_-wfw" xr:uid="{00000000-0004-0000-0400-0000950B0000}"/>
    <hyperlink ref="I804" r:id="rId2967" display="https://docs.google.com/open?id=1WIeOo_cavCz6IzPv-79HsdP8DPAiY2XsnlSzhq_-wfw" xr:uid="{00000000-0004-0000-0400-0000960B0000}"/>
    <hyperlink ref="D805" r:id="rId2968" display="https://drive.google.com/open?id=1ZRu0cDPG3ZnOcMxstsnvp__GyPvKCgHY_Kw1yEDb1_k&amp;usp=drive_copy" xr:uid="{00000000-0004-0000-0400-0000970B0000}"/>
    <hyperlink ref="E805" r:id="rId2969" display="https://drive.google.com/open?id=1ZRu0cDPG3ZnOcMxstsnvp__GyPvKCgHY_Kw1yEDb1_k" xr:uid="{00000000-0004-0000-0400-0000980B0000}"/>
    <hyperlink ref="H805" r:id="rId2970" display="https://docs.google.com/spreadsheets/d/1ZRu0cDPG3ZnOcMxstsnvp__GyPvKCgHY_Kw1yEDb1_k" xr:uid="{00000000-0004-0000-0400-0000990B0000}"/>
    <hyperlink ref="I805" r:id="rId2971" display="https://docs.google.com/open?id=1ZRu0cDPG3ZnOcMxstsnvp__GyPvKCgHY_Kw1yEDb1_k" xr:uid="{00000000-0004-0000-0400-00009A0B0000}"/>
    <hyperlink ref="D806" r:id="rId2972" display="https://drive.google.com/open?id=1bpanpWhQGFeHYhtox_A-JZcht_rFGNVfcwih-ljQgW8&amp;usp=drive_copy" xr:uid="{00000000-0004-0000-0400-00009B0B0000}"/>
    <hyperlink ref="E806" r:id="rId2973" display="https://drive.google.com/open?id=1bpanpWhQGFeHYhtox_A-JZcht_rFGNVfcwih-ljQgW8" xr:uid="{00000000-0004-0000-0400-00009C0B0000}"/>
    <hyperlink ref="H806" r:id="rId2974" display="https://docs.google.com/spreadsheets/d/1bpanpWhQGFeHYhtox_A-JZcht_rFGNVfcwih-ljQgW8" xr:uid="{00000000-0004-0000-0400-00009D0B0000}"/>
    <hyperlink ref="I806" r:id="rId2975" display="https://docs.google.com/open?id=1bpanpWhQGFeHYhtox_A-JZcht_rFGNVfcwih-ljQgW8" xr:uid="{00000000-0004-0000-0400-00009E0B0000}"/>
    <hyperlink ref="D807" r:id="rId2976" display="https://drive.google.com/open?id=1dK-1GRWW7qKlqYsPMEacabrPGPnUBnoxVl4_b5qXxx0&amp;usp=drive_copy" xr:uid="{00000000-0004-0000-0400-00009F0B0000}"/>
    <hyperlink ref="E807" r:id="rId2977" display="https://drive.google.com/open?id=1dK-1GRWW7qKlqYsPMEacabrPGPnUBnoxVl4_b5qXxx0" xr:uid="{00000000-0004-0000-0400-0000A00B0000}"/>
    <hyperlink ref="H807" r:id="rId2978" display="https://docs.google.com/spreadsheets/d/1dK-1GRWW7qKlqYsPMEacabrPGPnUBnoxVl4_b5qXxx0" xr:uid="{00000000-0004-0000-0400-0000A10B0000}"/>
    <hyperlink ref="I807" r:id="rId2979" display="https://docs.google.com/open?id=1dK-1GRWW7qKlqYsPMEacabrPGPnUBnoxVl4_b5qXxx0" xr:uid="{00000000-0004-0000-0400-0000A20B0000}"/>
    <hyperlink ref="D808" r:id="rId2980" display="https://drive.google.com/open?id=1fCUY5EXexmjdnLDxMmzuos-LNQ8xkLSda7kL3wcZCsY&amp;usp=drive_copy" xr:uid="{00000000-0004-0000-0400-0000A30B0000}"/>
    <hyperlink ref="E808" r:id="rId2981" display="https://drive.google.com/open?id=1fCUY5EXexmjdnLDxMmzuos-LNQ8xkLSda7kL3wcZCsY" xr:uid="{00000000-0004-0000-0400-0000A40B0000}"/>
    <hyperlink ref="H808" r:id="rId2982" display="https://docs.google.com/spreadsheets/d/1fCUY5EXexmjdnLDxMmzuos-LNQ8xkLSda7kL3wcZCsY" xr:uid="{00000000-0004-0000-0400-0000A50B0000}"/>
    <hyperlink ref="I808" r:id="rId2983" display="https://docs.google.com/open?id=1fCUY5EXexmjdnLDxMmzuos-LNQ8xkLSda7kL3wcZCsY" xr:uid="{00000000-0004-0000-0400-0000A60B0000}"/>
    <hyperlink ref="D809" r:id="rId2984" display="https://drive.google.com/open?id=1gZAFYnonIrMoTqtO_2f2RZJgKxJ8vHI9GpKbRjcRDbs&amp;usp=drive_copy" xr:uid="{00000000-0004-0000-0400-0000A70B0000}"/>
    <hyperlink ref="E809" r:id="rId2985" display="https://drive.google.com/open?id=1gZAFYnonIrMoTqtO_2f2RZJgKxJ8vHI9GpKbRjcRDbs" xr:uid="{00000000-0004-0000-0400-0000A80B0000}"/>
    <hyperlink ref="H809" r:id="rId2986" display="https://docs.google.com/spreadsheets/d/1gZAFYnonIrMoTqtO_2f2RZJgKxJ8vHI9GpKbRjcRDbs" xr:uid="{00000000-0004-0000-0400-0000A90B0000}"/>
    <hyperlink ref="I809" r:id="rId2987" display="https://docs.google.com/open?id=1gZAFYnonIrMoTqtO_2f2RZJgKxJ8vHI9GpKbRjcRDbs" xr:uid="{00000000-0004-0000-0400-0000AA0B0000}"/>
    <hyperlink ref="D810" r:id="rId2988" display="https://drive.google.com/open?id=1ixk6PTLsAgjRwdaPEXyvycf1xmiVYn9IluVfFCoEgGs&amp;usp=drive_copy" xr:uid="{00000000-0004-0000-0400-0000AB0B0000}"/>
    <hyperlink ref="E810" r:id="rId2989" display="https://drive.google.com/open?id=1ixk6PTLsAgjRwdaPEXyvycf1xmiVYn9IluVfFCoEgGs" xr:uid="{00000000-0004-0000-0400-0000AC0B0000}"/>
    <hyperlink ref="H810" r:id="rId2990" display="https://docs.google.com/spreadsheets/d/1ixk6PTLsAgjRwdaPEXyvycf1xmiVYn9IluVfFCoEgGs" xr:uid="{00000000-0004-0000-0400-0000AD0B0000}"/>
    <hyperlink ref="I810" r:id="rId2991" display="https://docs.google.com/open?id=1ixk6PTLsAgjRwdaPEXyvycf1xmiVYn9IluVfFCoEgGs" xr:uid="{00000000-0004-0000-0400-0000AE0B0000}"/>
    <hyperlink ref="D811" r:id="rId2992" display="https://drive.google.com/open?id=1mnKPLyxOXQjn0E0yqs9JJZB9JiLp2bqc7d7hf0T9ySM&amp;usp=drive_copy" xr:uid="{00000000-0004-0000-0400-0000AF0B0000}"/>
    <hyperlink ref="E811" r:id="rId2993" display="https://drive.google.com/open?id=1mnKPLyxOXQjn0E0yqs9JJZB9JiLp2bqc7d7hf0T9ySM" xr:uid="{00000000-0004-0000-0400-0000B00B0000}"/>
    <hyperlink ref="H811" r:id="rId2994" display="https://docs.google.com/spreadsheets/d/1mnKPLyxOXQjn0E0yqs9JJZB9JiLp2bqc7d7hf0T9ySM" xr:uid="{00000000-0004-0000-0400-0000B10B0000}"/>
    <hyperlink ref="I811" r:id="rId2995" display="https://docs.google.com/open?id=1mnKPLyxOXQjn0E0yqs9JJZB9JiLp2bqc7d7hf0T9ySM" xr:uid="{00000000-0004-0000-0400-0000B20B0000}"/>
    <hyperlink ref="D812" r:id="rId2996" display="https://drive.google.com/open?id=1p7uvTMayYvM8cmBmRBJxovTB13d71VfVTxT69smOT0M&amp;usp=drive_copy" xr:uid="{00000000-0004-0000-0400-0000B30B0000}"/>
    <hyperlink ref="E812" r:id="rId2997" display="https://drive.google.com/open?id=1p7uvTMayYvM8cmBmRBJxovTB13d71VfVTxT69smOT0M" xr:uid="{00000000-0004-0000-0400-0000B40B0000}"/>
    <hyperlink ref="H812" r:id="rId2998" display="https://docs.google.com/spreadsheets/d/1p7uvTMayYvM8cmBmRBJxovTB13d71VfVTxT69smOT0M" xr:uid="{00000000-0004-0000-0400-0000B50B0000}"/>
    <hyperlink ref="I812" r:id="rId2999" display="https://docs.google.com/open?id=1p7uvTMayYvM8cmBmRBJxovTB13d71VfVTxT69smOT0M" xr:uid="{00000000-0004-0000-0400-0000B60B0000}"/>
    <hyperlink ref="D813" r:id="rId3000" display="https://drive.google.com/open?id=1qb1eOF5I_ykC4cNtNDoPOpiuPVxDie5KqzwQvzCBF-s&amp;usp=drive_copy" xr:uid="{00000000-0004-0000-0400-0000B70B0000}"/>
    <hyperlink ref="E813" r:id="rId3001" display="https://drive.google.com/open?id=1qb1eOF5I_ykC4cNtNDoPOpiuPVxDie5KqzwQvzCBF-s" xr:uid="{00000000-0004-0000-0400-0000B80B0000}"/>
    <hyperlink ref="H813" r:id="rId3002" display="https://docs.google.com/spreadsheets/d/1qb1eOF5I_ykC4cNtNDoPOpiuPVxDie5KqzwQvzCBF-s" xr:uid="{00000000-0004-0000-0400-0000B90B0000}"/>
    <hyperlink ref="I813" r:id="rId3003" display="https://docs.google.com/open?id=1qb1eOF5I_ykC4cNtNDoPOpiuPVxDie5KqzwQvzCBF-s" xr:uid="{00000000-0004-0000-0400-0000BA0B0000}"/>
    <hyperlink ref="D814" r:id="rId3004" display="https://drive.google.com/open?id=1rhKdNxZENi3iQXBOf2mtMsDAO5yX_2S-0pyN62VEn58&amp;usp=drive_copy" xr:uid="{00000000-0004-0000-0400-0000BB0B0000}"/>
    <hyperlink ref="E814" r:id="rId3005" display="https://drive.google.com/open?id=1rhKdNxZENi3iQXBOf2mtMsDAO5yX_2S-0pyN62VEn58" xr:uid="{00000000-0004-0000-0400-0000BC0B0000}"/>
    <hyperlink ref="H814" r:id="rId3006" display="https://docs.google.com/spreadsheets/d/1rhKdNxZENi3iQXBOf2mtMsDAO5yX_2S-0pyN62VEn58" xr:uid="{00000000-0004-0000-0400-0000BD0B0000}"/>
    <hyperlink ref="I814" r:id="rId3007" display="https://docs.google.com/open?id=1rhKdNxZENi3iQXBOf2mtMsDAO5yX_2S-0pyN62VEn58" xr:uid="{00000000-0004-0000-0400-0000BE0B0000}"/>
    <hyperlink ref="D815" r:id="rId3008" display="https://drive.google.com/open?id=1uFFREyj9FnrBR7QtVPEqYaXaViO_p0eGWshC7pUa8sY&amp;usp=drive_copy" xr:uid="{00000000-0004-0000-0400-0000BF0B0000}"/>
    <hyperlink ref="E815" r:id="rId3009" display="https://drive.google.com/open?id=1uFFREyj9FnrBR7QtVPEqYaXaViO_p0eGWshC7pUa8sY" xr:uid="{00000000-0004-0000-0400-0000C00B0000}"/>
    <hyperlink ref="H815" r:id="rId3010" display="https://docs.google.com/spreadsheets/d/1uFFREyj9FnrBR7QtVPEqYaXaViO_p0eGWshC7pUa8sY" xr:uid="{00000000-0004-0000-0400-0000C10B0000}"/>
    <hyperlink ref="I815" r:id="rId3011" display="https://docs.google.com/open?id=1uFFREyj9FnrBR7QtVPEqYaXaViO_p0eGWshC7pUa8sY" xr:uid="{00000000-0004-0000-0400-0000C20B0000}"/>
    <hyperlink ref="D816" r:id="rId3012" display="https://drive.google.com/open?id=1wydgIhLcEgTNwZcbPqSh_ifapScHd3pZMv3hxIlHL5U&amp;usp=drive_copy" xr:uid="{00000000-0004-0000-0400-0000C30B0000}"/>
    <hyperlink ref="E816" r:id="rId3013" display="https://drive.google.com/open?id=1wydgIhLcEgTNwZcbPqSh_ifapScHd3pZMv3hxIlHL5U" xr:uid="{00000000-0004-0000-0400-0000C40B0000}"/>
    <hyperlink ref="H816" r:id="rId3014" display="https://docs.google.com/spreadsheets/d/1wydgIhLcEgTNwZcbPqSh_ifapScHd3pZMv3hxIlHL5U" xr:uid="{00000000-0004-0000-0400-0000C50B0000}"/>
    <hyperlink ref="I816" r:id="rId3015" display="https://docs.google.com/open?id=1wydgIhLcEgTNwZcbPqSh_ifapScHd3pZMv3hxIlHL5U" xr:uid="{00000000-0004-0000-0400-0000C60B0000}"/>
    <hyperlink ref="D817" r:id="rId3016" display="https://drive.google.com/open?id=1xGj6NFbIzK3dda4h1VeMzV9oVdUVEjKq2_EsjFMj1ns&amp;usp=drive_copy" xr:uid="{00000000-0004-0000-0400-0000C70B0000}"/>
    <hyperlink ref="E817" r:id="rId3017" display="https://drive.google.com/open?id=1xGj6NFbIzK3dda4h1VeMzV9oVdUVEjKq2_EsjFMj1ns" xr:uid="{00000000-0004-0000-0400-0000C80B0000}"/>
    <hyperlink ref="H817" r:id="rId3018" display="https://docs.google.com/spreadsheets/d/1xGj6NFbIzK3dda4h1VeMzV9oVdUVEjKq2_EsjFMj1ns" xr:uid="{00000000-0004-0000-0400-0000C90B0000}"/>
    <hyperlink ref="I817" r:id="rId3019" display="https://docs.google.com/open?id=1xGj6NFbIzK3dda4h1VeMzV9oVdUVEjKq2_EsjFMj1ns" xr:uid="{00000000-0004-0000-0400-0000CA0B0000}"/>
    <hyperlink ref="D818" r:id="rId3020" display="https://drive.google.com/open?id=1yVJSFzpNooqOgLJUGiWtKAZxsvOVpESm_ce_i1tvsvY&amp;usp=drive_copy" xr:uid="{00000000-0004-0000-0400-0000CB0B0000}"/>
    <hyperlink ref="E818" r:id="rId3021" display="https://drive.google.com/open?id=1yVJSFzpNooqOgLJUGiWtKAZxsvOVpESm_ce_i1tvsvY" xr:uid="{00000000-0004-0000-0400-0000CC0B0000}"/>
    <hyperlink ref="H818" r:id="rId3022" display="https://docs.google.com/spreadsheets/d/1yVJSFzpNooqOgLJUGiWtKAZxsvOVpESm_ce_i1tvsvY" xr:uid="{00000000-0004-0000-0400-0000CD0B0000}"/>
    <hyperlink ref="I818" r:id="rId3023" display="https://docs.google.com/open?id=1yVJSFzpNooqOgLJUGiWtKAZxsvOVpESm_ce_i1tvsvY" xr:uid="{00000000-0004-0000-0400-0000CE0B0000}"/>
    <hyperlink ref="D819" r:id="rId3024" display="https://drive.google.com/open?id=1-6L7eMel2mT86hlP2hhtSzWmzugKauA3IcddEA7o82I&amp;usp=drive_copy" xr:uid="{00000000-0004-0000-0400-0000CF0B0000}"/>
    <hyperlink ref="E819" r:id="rId3025" display="https://drive.google.com/open?id=1-6L7eMel2mT86hlP2hhtSzWmzugKauA3IcddEA7o82I" xr:uid="{00000000-0004-0000-0400-0000D00B0000}"/>
    <hyperlink ref="H819" r:id="rId3026" display="https://docs.google.com/spreadsheets/d/1-6L7eMel2mT86hlP2hhtSzWmzugKauA3IcddEA7o82I" xr:uid="{00000000-0004-0000-0400-0000D10B0000}"/>
    <hyperlink ref="I819" r:id="rId3027" display="https://docs.google.com/open?id=1-6L7eMel2mT86hlP2hhtSzWmzugKauA3IcddEA7o82I" xr:uid="{00000000-0004-0000-0400-0000D20B0000}"/>
    <hyperlink ref="D820" r:id="rId3028" display="https://drive.google.com/open?id=1-jrdE8cRZvI5Rfz7BI0il0R2v8zjsUJ4FcGlq3IJDbU&amp;usp=drive_copy" xr:uid="{00000000-0004-0000-0400-0000D30B0000}"/>
    <hyperlink ref="E820" r:id="rId3029" display="https://drive.google.com/open?id=1-jrdE8cRZvI5Rfz7BI0il0R2v8zjsUJ4FcGlq3IJDbU" xr:uid="{00000000-0004-0000-0400-0000D40B0000}"/>
    <hyperlink ref="H820" r:id="rId3030" display="https://docs.google.com/spreadsheets/d/1-jrdE8cRZvI5Rfz7BI0il0R2v8zjsUJ4FcGlq3IJDbU" xr:uid="{00000000-0004-0000-0400-0000D50B0000}"/>
    <hyperlink ref="I820" r:id="rId3031" display="https://docs.google.com/open?id=1-jrdE8cRZvI5Rfz7BI0il0R2v8zjsUJ4FcGlq3IJDbU" xr:uid="{00000000-0004-0000-0400-0000D60B0000}"/>
    <hyperlink ref="D821" r:id="rId3032" display="https://drive.google.com/open?id=11Se6BOXImfM9O0fBFQM2VCinjPrwX42geCm-njfyD6U&amp;usp=drive_copy" xr:uid="{00000000-0004-0000-0400-0000D70B0000}"/>
    <hyperlink ref="E821" r:id="rId3033" display="https://drive.google.com/open?id=11Se6BOXImfM9O0fBFQM2VCinjPrwX42geCm-njfyD6U" xr:uid="{00000000-0004-0000-0400-0000D80B0000}"/>
    <hyperlink ref="H821" r:id="rId3034" display="https://docs.google.com/spreadsheets/d/11Se6BOXImfM9O0fBFQM2VCinjPrwX42geCm-njfyD6U" xr:uid="{00000000-0004-0000-0400-0000D90B0000}"/>
    <hyperlink ref="I821" r:id="rId3035" display="https://docs.google.com/open?id=11Se6BOXImfM9O0fBFQM2VCinjPrwX42geCm-njfyD6U" xr:uid="{00000000-0004-0000-0400-0000DA0B0000}"/>
    <hyperlink ref="D822" r:id="rId3036" display="https://drive.google.com/open?id=11pSpAn6jZkEYXXgtUW34KYQKHn2n_QTc_Z9qr2r9go4&amp;usp=drive_copy" xr:uid="{00000000-0004-0000-0400-0000DB0B0000}"/>
    <hyperlink ref="E822" r:id="rId3037" display="https://drive.google.com/open?id=11pSpAn6jZkEYXXgtUW34KYQKHn2n_QTc_Z9qr2r9go4" xr:uid="{00000000-0004-0000-0400-0000DC0B0000}"/>
    <hyperlink ref="H822" r:id="rId3038" display="https://docs.google.com/spreadsheets/d/11pSpAn6jZkEYXXgtUW34KYQKHn2n_QTc_Z9qr2r9go4" xr:uid="{00000000-0004-0000-0400-0000DD0B0000}"/>
    <hyperlink ref="I822" r:id="rId3039" display="https://docs.google.com/open?id=11pSpAn6jZkEYXXgtUW34KYQKHn2n_QTc_Z9qr2r9go4" xr:uid="{00000000-0004-0000-0400-0000DE0B0000}"/>
    <hyperlink ref="D823" r:id="rId3040" display="https://drive.google.com/open?id=11t1VkjBTaaNK_NdHKhawvQy0Rc9JhsgVEhXgftGm1Gs&amp;usp=drive_copy" xr:uid="{00000000-0004-0000-0400-0000DF0B0000}"/>
    <hyperlink ref="E823" r:id="rId3041" display="https://drive.google.com/open?id=11t1VkjBTaaNK_NdHKhawvQy0Rc9JhsgVEhXgftGm1Gs" xr:uid="{00000000-0004-0000-0400-0000E00B0000}"/>
    <hyperlink ref="H823" r:id="rId3042" display="https://docs.google.com/spreadsheets/d/11t1VkjBTaaNK_NdHKhawvQy0Rc9JhsgVEhXgftGm1Gs" xr:uid="{00000000-0004-0000-0400-0000E10B0000}"/>
    <hyperlink ref="I823" r:id="rId3043" display="https://docs.google.com/open?id=11t1VkjBTaaNK_NdHKhawvQy0Rc9JhsgVEhXgftGm1Gs" xr:uid="{00000000-0004-0000-0400-0000E20B0000}"/>
    <hyperlink ref="D824" r:id="rId3044" display="https://drive.google.com/open?id=125ckWSGOlwdkX5ypzvVX4Z86-le2ukVLGv7ghytrMXg&amp;usp=drive_copy" xr:uid="{00000000-0004-0000-0400-0000E30B0000}"/>
    <hyperlink ref="E824" r:id="rId3045" display="https://drive.google.com/open?id=125ckWSGOlwdkX5ypzvVX4Z86-le2ukVLGv7ghytrMXg" xr:uid="{00000000-0004-0000-0400-0000E40B0000}"/>
    <hyperlink ref="H824" r:id="rId3046" display="https://docs.google.com/spreadsheets/d/125ckWSGOlwdkX5ypzvVX4Z86-le2ukVLGv7ghytrMXg" xr:uid="{00000000-0004-0000-0400-0000E50B0000}"/>
    <hyperlink ref="I824" r:id="rId3047" display="https://docs.google.com/open?id=125ckWSGOlwdkX5ypzvVX4Z86-le2ukVLGv7ghytrMXg" xr:uid="{00000000-0004-0000-0400-0000E60B0000}"/>
    <hyperlink ref="D825" r:id="rId3048" display="https://drive.google.com/open?id=1288ftmk97ud5rhCBM1IvNd-eyBvZmxUgj3L45T3aJAI&amp;usp=drive_copy" xr:uid="{00000000-0004-0000-0400-0000E70B0000}"/>
    <hyperlink ref="E825" r:id="rId3049" display="https://drive.google.com/open?id=1288ftmk97ud5rhCBM1IvNd-eyBvZmxUgj3L45T3aJAI" xr:uid="{00000000-0004-0000-0400-0000E80B0000}"/>
    <hyperlink ref="H825" r:id="rId3050" display="https://docs.google.com/spreadsheets/d/1288ftmk97ud5rhCBM1IvNd-eyBvZmxUgj3L45T3aJAI" xr:uid="{00000000-0004-0000-0400-0000E90B0000}"/>
    <hyperlink ref="I825" r:id="rId3051" display="https://docs.google.com/open?id=1288ftmk97ud5rhCBM1IvNd-eyBvZmxUgj3L45T3aJAI" xr:uid="{00000000-0004-0000-0400-0000EA0B0000}"/>
    <hyperlink ref="D826" r:id="rId3052" display="https://drive.google.com/open?id=13kXOsLZnCg9HnW_SotthyrcIsOrNgMh5odIQqbEt0qc&amp;usp=drive_copy" xr:uid="{00000000-0004-0000-0400-0000EB0B0000}"/>
    <hyperlink ref="E826" r:id="rId3053" display="https://drive.google.com/open?id=13kXOsLZnCg9HnW_SotthyrcIsOrNgMh5odIQqbEt0qc" xr:uid="{00000000-0004-0000-0400-0000EC0B0000}"/>
    <hyperlink ref="H826" r:id="rId3054" display="https://docs.google.com/spreadsheets/d/13kXOsLZnCg9HnW_SotthyrcIsOrNgMh5odIQqbEt0qc" xr:uid="{00000000-0004-0000-0400-0000ED0B0000}"/>
    <hyperlink ref="I826" r:id="rId3055" display="https://docs.google.com/open?id=13kXOsLZnCg9HnW_SotthyrcIsOrNgMh5odIQqbEt0qc" xr:uid="{00000000-0004-0000-0400-0000EE0B0000}"/>
    <hyperlink ref="D827" r:id="rId3056" display="https://drive.google.com/open?id=13lZOdZecbBh2fhnG4TGBUVqHbVSVOdLgUg0MzVCLr-E&amp;usp=drive_copy" xr:uid="{00000000-0004-0000-0400-0000EF0B0000}"/>
    <hyperlink ref="E827" r:id="rId3057" display="https://drive.google.com/open?id=13lZOdZecbBh2fhnG4TGBUVqHbVSVOdLgUg0MzVCLr-E" xr:uid="{00000000-0004-0000-0400-0000F00B0000}"/>
    <hyperlink ref="H827" r:id="rId3058" display="https://docs.google.com/spreadsheets/d/13lZOdZecbBh2fhnG4TGBUVqHbVSVOdLgUg0MzVCLr-E" xr:uid="{00000000-0004-0000-0400-0000F10B0000}"/>
    <hyperlink ref="I827" r:id="rId3059" display="https://docs.google.com/open?id=13lZOdZecbBh2fhnG4TGBUVqHbVSVOdLgUg0MzVCLr-E" xr:uid="{00000000-0004-0000-0400-0000F20B0000}"/>
    <hyperlink ref="D828" r:id="rId3060" display="https://drive.google.com/open?id=14P8BxsnIp5GPkBBcP9ANehw2qkofm97ZOqcXgzCog5s&amp;usp=drive_copy" xr:uid="{00000000-0004-0000-0400-0000F30B0000}"/>
    <hyperlink ref="E828" r:id="rId3061" display="https://drive.google.com/open?id=14P8BxsnIp5GPkBBcP9ANehw2qkofm97ZOqcXgzCog5s" xr:uid="{00000000-0004-0000-0400-0000F40B0000}"/>
    <hyperlink ref="H828" r:id="rId3062" display="https://docs.google.com/spreadsheets/d/14P8BxsnIp5GPkBBcP9ANehw2qkofm97ZOqcXgzCog5s" xr:uid="{00000000-0004-0000-0400-0000F50B0000}"/>
    <hyperlink ref="I828" r:id="rId3063" display="https://docs.google.com/open?id=14P8BxsnIp5GPkBBcP9ANehw2qkofm97ZOqcXgzCog5s" xr:uid="{00000000-0004-0000-0400-0000F60B0000}"/>
    <hyperlink ref="D829" r:id="rId3064" display="https://drive.google.com/open?id=17Ko1LM4jIp6bwuXmNtHl8M-offEqBv4yzu9oM9psBEg&amp;usp=drive_copy" xr:uid="{00000000-0004-0000-0400-0000F70B0000}"/>
    <hyperlink ref="E829" r:id="rId3065" display="https://drive.google.com/open?id=17Ko1LM4jIp6bwuXmNtHl8M-offEqBv4yzu9oM9psBEg" xr:uid="{00000000-0004-0000-0400-0000F80B0000}"/>
    <hyperlink ref="H829" r:id="rId3066" display="https://docs.google.com/spreadsheets/d/17Ko1LM4jIp6bwuXmNtHl8M-offEqBv4yzu9oM9psBEg" xr:uid="{00000000-0004-0000-0400-0000F90B0000}"/>
    <hyperlink ref="I829" r:id="rId3067" display="https://docs.google.com/open?id=17Ko1LM4jIp6bwuXmNtHl8M-offEqBv4yzu9oM9psBEg" xr:uid="{00000000-0004-0000-0400-0000FA0B0000}"/>
    <hyperlink ref="D830" r:id="rId3068" display="https://drive.google.com/open?id=18PhNjCiYdveRUTmJqMlyM83BT8Ht9DlHAt7y4yZMHHQ&amp;usp=drive_copy" xr:uid="{00000000-0004-0000-0400-0000FB0B0000}"/>
    <hyperlink ref="E830" r:id="rId3069" display="https://drive.google.com/open?id=18PhNjCiYdveRUTmJqMlyM83BT8Ht9DlHAt7y4yZMHHQ" xr:uid="{00000000-0004-0000-0400-0000FC0B0000}"/>
    <hyperlink ref="H830" r:id="rId3070" display="https://docs.google.com/spreadsheets/d/18PhNjCiYdveRUTmJqMlyM83BT8Ht9DlHAt7y4yZMHHQ" xr:uid="{00000000-0004-0000-0400-0000FD0B0000}"/>
    <hyperlink ref="I830" r:id="rId3071" display="https://docs.google.com/open?id=18PhNjCiYdveRUTmJqMlyM83BT8Ht9DlHAt7y4yZMHHQ" xr:uid="{00000000-0004-0000-0400-0000FE0B0000}"/>
    <hyperlink ref="D831" r:id="rId3072" display="https://drive.google.com/open?id=19hwfWzDWGGP-vUtMI-Akz-XGqskRXgTxSNYezb8qyXY&amp;usp=drive_copy" xr:uid="{00000000-0004-0000-0400-0000FF0B0000}"/>
    <hyperlink ref="E831" r:id="rId3073" display="https://drive.google.com/open?id=19hwfWzDWGGP-vUtMI-Akz-XGqskRXgTxSNYezb8qyXY" xr:uid="{00000000-0004-0000-0400-0000000C0000}"/>
    <hyperlink ref="H831" r:id="rId3074" display="https://docs.google.com/spreadsheets/d/19hwfWzDWGGP-vUtMI-Akz-XGqskRXgTxSNYezb8qyXY" xr:uid="{00000000-0004-0000-0400-0000010C0000}"/>
    <hyperlink ref="I831" r:id="rId3075" display="https://docs.google.com/open?id=19hwfWzDWGGP-vUtMI-Akz-XGqskRXgTxSNYezb8qyXY" xr:uid="{00000000-0004-0000-0400-0000020C0000}"/>
    <hyperlink ref="D832" r:id="rId3076" display="https://drive.google.com/open?id=19pAZ_XP5vnFRIEPwwgAtvBNmrCMOxTaquaPgMM-L1FI&amp;usp=drive_copy" xr:uid="{00000000-0004-0000-0400-0000030C0000}"/>
    <hyperlink ref="E832" r:id="rId3077" display="https://drive.google.com/open?id=19pAZ_XP5vnFRIEPwwgAtvBNmrCMOxTaquaPgMM-L1FI" xr:uid="{00000000-0004-0000-0400-0000040C0000}"/>
    <hyperlink ref="H832" r:id="rId3078" display="https://docs.google.com/spreadsheets/d/19pAZ_XP5vnFRIEPwwgAtvBNmrCMOxTaquaPgMM-L1FI" xr:uid="{00000000-0004-0000-0400-0000050C0000}"/>
    <hyperlink ref="I832" r:id="rId3079" display="https://docs.google.com/open?id=19pAZ_XP5vnFRIEPwwgAtvBNmrCMOxTaquaPgMM-L1FI" xr:uid="{00000000-0004-0000-0400-0000060C0000}"/>
    <hyperlink ref="D833" r:id="rId3080" display="https://drive.google.com/open?id=19sZMWEMpwmjetMOFzSZeryqbWg-QjBLFuhGIAZ3F2II&amp;usp=drive_copy" xr:uid="{00000000-0004-0000-0400-0000070C0000}"/>
    <hyperlink ref="E833" r:id="rId3081" display="https://drive.google.com/open?id=19sZMWEMpwmjetMOFzSZeryqbWg-QjBLFuhGIAZ3F2II" xr:uid="{00000000-0004-0000-0400-0000080C0000}"/>
    <hyperlink ref="H833" r:id="rId3082" display="https://docs.google.com/spreadsheets/d/19sZMWEMpwmjetMOFzSZeryqbWg-QjBLFuhGIAZ3F2II" xr:uid="{00000000-0004-0000-0400-0000090C0000}"/>
    <hyperlink ref="I833" r:id="rId3083" display="https://docs.google.com/open?id=19sZMWEMpwmjetMOFzSZeryqbWg-QjBLFuhGIAZ3F2II" xr:uid="{00000000-0004-0000-0400-00000A0C0000}"/>
    <hyperlink ref="D834" r:id="rId3084" display="https://drive.google.com/open?id=1ArTc1K8fu0f2BVdKP5gSH6pWa8ATK9XDeWY34kBBcM4&amp;usp=drive_copy" xr:uid="{00000000-0004-0000-0400-00000B0C0000}"/>
    <hyperlink ref="E834" r:id="rId3085" display="https://drive.google.com/open?id=1ArTc1K8fu0f2BVdKP5gSH6pWa8ATK9XDeWY34kBBcM4" xr:uid="{00000000-0004-0000-0400-00000C0C0000}"/>
    <hyperlink ref="H834" r:id="rId3086" display="https://docs.google.com/spreadsheets/d/1ArTc1K8fu0f2BVdKP5gSH6pWa8ATK9XDeWY34kBBcM4" xr:uid="{00000000-0004-0000-0400-00000D0C0000}"/>
    <hyperlink ref="I834" r:id="rId3087" display="https://docs.google.com/open?id=1ArTc1K8fu0f2BVdKP5gSH6pWa8ATK9XDeWY34kBBcM4" xr:uid="{00000000-0004-0000-0400-00000E0C0000}"/>
    <hyperlink ref="D835" r:id="rId3088" display="https://drive.google.com/open?id=1C8EdgcVWAT4PGDVCSNA49KM6YQ_F1E04cahpenkUFcM&amp;usp=drive_copy" xr:uid="{00000000-0004-0000-0400-00000F0C0000}"/>
    <hyperlink ref="E835" r:id="rId3089" display="https://drive.google.com/open?id=1C8EdgcVWAT4PGDVCSNA49KM6YQ_F1E04cahpenkUFcM" xr:uid="{00000000-0004-0000-0400-0000100C0000}"/>
    <hyperlink ref="H835" r:id="rId3090" display="https://docs.google.com/spreadsheets/d/1C8EdgcVWAT4PGDVCSNA49KM6YQ_F1E04cahpenkUFcM" xr:uid="{00000000-0004-0000-0400-0000110C0000}"/>
    <hyperlink ref="I835" r:id="rId3091" display="https://docs.google.com/open?id=1C8EdgcVWAT4PGDVCSNA49KM6YQ_F1E04cahpenkUFcM" xr:uid="{00000000-0004-0000-0400-0000120C0000}"/>
    <hyperlink ref="D836" r:id="rId3092" display="https://drive.google.com/open?id=1CehHk5pu2q8DN6btSupLBm_7TGv5hMWZBOzI_ccjnmU&amp;usp=drive_copy" xr:uid="{00000000-0004-0000-0400-0000130C0000}"/>
    <hyperlink ref="E836" r:id="rId3093" display="https://drive.google.com/open?id=1CehHk5pu2q8DN6btSupLBm_7TGv5hMWZBOzI_ccjnmU" xr:uid="{00000000-0004-0000-0400-0000140C0000}"/>
    <hyperlink ref="H836" r:id="rId3094" display="https://docs.google.com/spreadsheets/d/1CehHk5pu2q8DN6btSupLBm_7TGv5hMWZBOzI_ccjnmU" xr:uid="{00000000-0004-0000-0400-0000150C0000}"/>
    <hyperlink ref="I836" r:id="rId3095" display="https://docs.google.com/open?id=1CehHk5pu2q8DN6btSupLBm_7TGv5hMWZBOzI_ccjnmU" xr:uid="{00000000-0004-0000-0400-0000160C0000}"/>
    <hyperlink ref="D837" r:id="rId3096" display="https://drive.google.com/open?id=1CpQlSWeyrqXlNd9ZJf8rGkAFLDdYCFcxRejlCGN8M9s&amp;usp=drive_copy" xr:uid="{00000000-0004-0000-0400-0000170C0000}"/>
    <hyperlink ref="E837" r:id="rId3097" display="https://drive.google.com/open?id=1CpQlSWeyrqXlNd9ZJf8rGkAFLDdYCFcxRejlCGN8M9s" xr:uid="{00000000-0004-0000-0400-0000180C0000}"/>
    <hyperlink ref="H837" r:id="rId3098" display="https://docs.google.com/spreadsheets/d/1CpQlSWeyrqXlNd9ZJf8rGkAFLDdYCFcxRejlCGN8M9s" xr:uid="{00000000-0004-0000-0400-0000190C0000}"/>
    <hyperlink ref="I837" r:id="rId3099" display="https://docs.google.com/open?id=1CpQlSWeyrqXlNd9ZJf8rGkAFLDdYCFcxRejlCGN8M9s" xr:uid="{00000000-0004-0000-0400-00001A0C0000}"/>
    <hyperlink ref="D838" r:id="rId3100" display="https://drive.google.com/open?id=1EVKR1rqQgTJacdCSP0b-LQ5t1dDdS-CT8RmYoL1ihDQ&amp;usp=drive_copy" xr:uid="{00000000-0004-0000-0400-00001B0C0000}"/>
    <hyperlink ref="E838" r:id="rId3101" display="https://drive.google.com/open?id=1EVKR1rqQgTJacdCSP0b-LQ5t1dDdS-CT8RmYoL1ihDQ" xr:uid="{00000000-0004-0000-0400-00001C0C0000}"/>
    <hyperlink ref="H838" r:id="rId3102" display="https://docs.google.com/spreadsheets/d/1EVKR1rqQgTJacdCSP0b-LQ5t1dDdS-CT8RmYoL1ihDQ" xr:uid="{00000000-0004-0000-0400-00001D0C0000}"/>
    <hyperlink ref="I838" r:id="rId3103" display="https://docs.google.com/open?id=1EVKR1rqQgTJacdCSP0b-LQ5t1dDdS-CT8RmYoL1ihDQ" xr:uid="{00000000-0004-0000-0400-00001E0C0000}"/>
    <hyperlink ref="D839" r:id="rId3104" display="https://drive.google.com/open?id=1EWIatL9Gr0INVKf3Rfp92LzAebemE5P8CXHdt_LomZQ&amp;usp=drive_copy" xr:uid="{00000000-0004-0000-0400-00001F0C0000}"/>
    <hyperlink ref="E839" r:id="rId3105" display="https://drive.google.com/open?id=1EWIatL9Gr0INVKf3Rfp92LzAebemE5P8CXHdt_LomZQ" xr:uid="{00000000-0004-0000-0400-0000200C0000}"/>
    <hyperlink ref="H839" r:id="rId3106" display="https://docs.google.com/spreadsheets/d/1EWIatL9Gr0INVKf3Rfp92LzAebemE5P8CXHdt_LomZQ" xr:uid="{00000000-0004-0000-0400-0000210C0000}"/>
    <hyperlink ref="I839" r:id="rId3107" display="https://docs.google.com/open?id=1EWIatL9Gr0INVKf3Rfp92LzAebemE5P8CXHdt_LomZQ" xr:uid="{00000000-0004-0000-0400-0000220C0000}"/>
    <hyperlink ref="D840" r:id="rId3108" display="https://drive.google.com/open?id=1EynSOIKAIklDQNjxGcPnGAPAUZF6_G6cclZscB0oF1U&amp;usp=drive_copy" xr:uid="{00000000-0004-0000-0400-0000230C0000}"/>
    <hyperlink ref="E840" r:id="rId3109" display="https://drive.google.com/open?id=1EynSOIKAIklDQNjxGcPnGAPAUZF6_G6cclZscB0oF1U" xr:uid="{00000000-0004-0000-0400-0000240C0000}"/>
    <hyperlink ref="H840" r:id="rId3110" display="https://docs.google.com/spreadsheets/d/1EynSOIKAIklDQNjxGcPnGAPAUZF6_G6cclZscB0oF1U" xr:uid="{00000000-0004-0000-0400-0000250C0000}"/>
    <hyperlink ref="I840" r:id="rId3111" display="https://docs.google.com/open?id=1EynSOIKAIklDQNjxGcPnGAPAUZF6_G6cclZscB0oF1U" xr:uid="{00000000-0004-0000-0400-0000260C0000}"/>
    <hyperlink ref="D841" r:id="rId3112" display="https://drive.google.com/open?id=1Ggwne6FhClLfHDLaniFGKfcevssvoYgQ7elRreZqWnY&amp;usp=drive_copy" xr:uid="{00000000-0004-0000-0400-0000270C0000}"/>
    <hyperlink ref="E841" r:id="rId3113" display="https://drive.google.com/open?id=1Ggwne6FhClLfHDLaniFGKfcevssvoYgQ7elRreZqWnY" xr:uid="{00000000-0004-0000-0400-0000280C0000}"/>
    <hyperlink ref="H841" r:id="rId3114" display="https://docs.google.com/spreadsheets/d/1Ggwne6FhClLfHDLaniFGKfcevssvoYgQ7elRreZqWnY" xr:uid="{00000000-0004-0000-0400-0000290C0000}"/>
    <hyperlink ref="I841" r:id="rId3115" display="https://docs.google.com/open?id=1Ggwne6FhClLfHDLaniFGKfcevssvoYgQ7elRreZqWnY" xr:uid="{00000000-0004-0000-0400-00002A0C0000}"/>
    <hyperlink ref="D842" r:id="rId3116" display="https://drive.google.com/open?id=1I-vxLIVYfSOUtjQO7TMvGR1QBJWchh0c21ssBEdTrhY&amp;usp=drive_copy" xr:uid="{00000000-0004-0000-0400-00002B0C0000}"/>
    <hyperlink ref="E842" r:id="rId3117" display="https://drive.google.com/open?id=1I-vxLIVYfSOUtjQO7TMvGR1QBJWchh0c21ssBEdTrhY" xr:uid="{00000000-0004-0000-0400-00002C0C0000}"/>
    <hyperlink ref="H842" r:id="rId3118" display="https://docs.google.com/spreadsheets/d/1I-vxLIVYfSOUtjQO7TMvGR1QBJWchh0c21ssBEdTrhY" xr:uid="{00000000-0004-0000-0400-00002D0C0000}"/>
    <hyperlink ref="I842" r:id="rId3119" display="https://docs.google.com/open?id=1I-vxLIVYfSOUtjQO7TMvGR1QBJWchh0c21ssBEdTrhY" xr:uid="{00000000-0004-0000-0400-00002E0C0000}"/>
    <hyperlink ref="D843" r:id="rId3120" display="https://drive.google.com/open?id=1KSkYoabZUfoRf9R2XZmQFgR73KPQxNQEVH8KjynjLa8&amp;usp=drive_copy" xr:uid="{00000000-0004-0000-0400-00002F0C0000}"/>
    <hyperlink ref="E843" r:id="rId3121" display="https://drive.google.com/open?id=1KSkYoabZUfoRf9R2XZmQFgR73KPQxNQEVH8KjynjLa8" xr:uid="{00000000-0004-0000-0400-0000300C0000}"/>
    <hyperlink ref="H843" r:id="rId3122" display="https://docs.google.com/spreadsheets/d/1KSkYoabZUfoRf9R2XZmQFgR73KPQxNQEVH8KjynjLa8" xr:uid="{00000000-0004-0000-0400-0000310C0000}"/>
    <hyperlink ref="I843" r:id="rId3123" display="https://docs.google.com/open?id=1KSkYoabZUfoRf9R2XZmQFgR73KPQxNQEVH8KjynjLa8" xr:uid="{00000000-0004-0000-0400-0000320C0000}"/>
    <hyperlink ref="D844" r:id="rId3124" display="https://drive.google.com/open?id=1MafOfSGifK16z3HokW_RAoYg1UqD0vXESWIf4-UqBeE&amp;usp=drive_copy" xr:uid="{00000000-0004-0000-0400-0000330C0000}"/>
    <hyperlink ref="E844" r:id="rId3125" display="https://drive.google.com/open?id=1MafOfSGifK16z3HokW_RAoYg1UqD0vXESWIf4-UqBeE" xr:uid="{00000000-0004-0000-0400-0000340C0000}"/>
    <hyperlink ref="H844" r:id="rId3126" display="https://docs.google.com/spreadsheets/d/1MafOfSGifK16z3HokW_RAoYg1UqD0vXESWIf4-UqBeE" xr:uid="{00000000-0004-0000-0400-0000350C0000}"/>
    <hyperlink ref="I844" r:id="rId3127" display="https://docs.google.com/open?id=1MafOfSGifK16z3HokW_RAoYg1UqD0vXESWIf4-UqBeE" xr:uid="{00000000-0004-0000-0400-0000360C0000}"/>
    <hyperlink ref="D845" r:id="rId3128" display="https://drive.google.com/open?id=1QIzz8HYesPRmic6Qkc5-ebla4knJzqQHHpoOj4BbwI0&amp;usp=drive_copy" xr:uid="{00000000-0004-0000-0400-0000370C0000}"/>
    <hyperlink ref="E845" r:id="rId3129" display="https://drive.google.com/open?id=1QIzz8HYesPRmic6Qkc5-ebla4knJzqQHHpoOj4BbwI0" xr:uid="{00000000-0004-0000-0400-0000380C0000}"/>
    <hyperlink ref="H845" r:id="rId3130" display="https://docs.google.com/spreadsheets/d/1QIzz8HYesPRmic6Qkc5-ebla4knJzqQHHpoOj4BbwI0" xr:uid="{00000000-0004-0000-0400-0000390C0000}"/>
    <hyperlink ref="I845" r:id="rId3131" display="https://docs.google.com/open?id=1QIzz8HYesPRmic6Qkc5-ebla4knJzqQHHpoOj4BbwI0" xr:uid="{00000000-0004-0000-0400-00003A0C0000}"/>
    <hyperlink ref="D846" r:id="rId3132" display="https://drive.google.com/open?id=1R9wbltaLsx33FD0_S60X9zYWd8VCHYWJQuE6-tyjkds&amp;usp=drive_copy" xr:uid="{00000000-0004-0000-0400-00003B0C0000}"/>
    <hyperlink ref="E846" r:id="rId3133" display="https://drive.google.com/open?id=1R9wbltaLsx33FD0_S60X9zYWd8VCHYWJQuE6-tyjkds" xr:uid="{00000000-0004-0000-0400-00003C0C0000}"/>
    <hyperlink ref="H846" r:id="rId3134" display="https://docs.google.com/spreadsheets/d/1R9wbltaLsx33FD0_S60X9zYWd8VCHYWJQuE6-tyjkds" xr:uid="{00000000-0004-0000-0400-00003D0C0000}"/>
    <hyperlink ref="I846" r:id="rId3135" display="https://docs.google.com/open?id=1R9wbltaLsx33FD0_S60X9zYWd8VCHYWJQuE6-tyjkds" xr:uid="{00000000-0004-0000-0400-00003E0C0000}"/>
    <hyperlink ref="D847" r:id="rId3136" display="https://drive.google.com/open?id=1R_kmgKHjC5dirWb3nEeOWZoW0lwdB2FKTN4qk-UUArg&amp;usp=drive_copy" xr:uid="{00000000-0004-0000-0400-00003F0C0000}"/>
    <hyperlink ref="E847" r:id="rId3137" display="https://drive.google.com/open?id=1R_kmgKHjC5dirWb3nEeOWZoW0lwdB2FKTN4qk-UUArg" xr:uid="{00000000-0004-0000-0400-0000400C0000}"/>
    <hyperlink ref="H847" r:id="rId3138" display="https://docs.google.com/spreadsheets/d/1R_kmgKHjC5dirWb3nEeOWZoW0lwdB2FKTN4qk-UUArg" xr:uid="{00000000-0004-0000-0400-0000410C0000}"/>
    <hyperlink ref="I847" r:id="rId3139" display="https://docs.google.com/open?id=1R_kmgKHjC5dirWb3nEeOWZoW0lwdB2FKTN4qk-UUArg" xr:uid="{00000000-0004-0000-0400-0000420C0000}"/>
    <hyperlink ref="D848" r:id="rId3140" display="https://drive.google.com/open?id=1Rf_DQtYJqINOD9eJuejVgUtrhGdHCajPjJp7VG1DiZs&amp;usp=drive_copy" xr:uid="{00000000-0004-0000-0400-0000430C0000}"/>
    <hyperlink ref="E848" r:id="rId3141" display="https://drive.google.com/open?id=1Rf_DQtYJqINOD9eJuejVgUtrhGdHCajPjJp7VG1DiZs" xr:uid="{00000000-0004-0000-0400-0000440C0000}"/>
    <hyperlink ref="H848" r:id="rId3142" display="https://docs.google.com/spreadsheets/d/1Rf_DQtYJqINOD9eJuejVgUtrhGdHCajPjJp7VG1DiZs" xr:uid="{00000000-0004-0000-0400-0000450C0000}"/>
    <hyperlink ref="I848" r:id="rId3143" display="https://docs.google.com/open?id=1Rf_DQtYJqINOD9eJuejVgUtrhGdHCajPjJp7VG1DiZs" xr:uid="{00000000-0004-0000-0400-0000460C0000}"/>
    <hyperlink ref="D849" r:id="rId3144" display="https://drive.google.com/open?id=1Va5oy0t_jd39QSaMFrIyZnNU0FJBr-rAh53ey3ZEVLo&amp;usp=drive_copy" xr:uid="{00000000-0004-0000-0400-0000470C0000}"/>
    <hyperlink ref="E849" r:id="rId3145" display="https://drive.google.com/open?id=1Va5oy0t_jd39QSaMFrIyZnNU0FJBr-rAh53ey3ZEVLo" xr:uid="{00000000-0004-0000-0400-0000480C0000}"/>
    <hyperlink ref="H849" r:id="rId3146" display="https://docs.google.com/spreadsheets/d/1Va5oy0t_jd39QSaMFrIyZnNU0FJBr-rAh53ey3ZEVLo" xr:uid="{00000000-0004-0000-0400-0000490C0000}"/>
    <hyperlink ref="I849" r:id="rId3147" display="https://docs.google.com/open?id=1Va5oy0t_jd39QSaMFrIyZnNU0FJBr-rAh53ey3ZEVLo" xr:uid="{00000000-0004-0000-0400-00004A0C0000}"/>
    <hyperlink ref="D850" r:id="rId3148" display="https://drive.google.com/open?id=1YLlvgfTuo2NZZkChUDmDqRmzzYZIhfhGyz2AW3J3xh4&amp;usp=drive_copy" xr:uid="{00000000-0004-0000-0400-00004B0C0000}"/>
    <hyperlink ref="E850" r:id="rId3149" display="https://drive.google.com/open?id=1YLlvgfTuo2NZZkChUDmDqRmzzYZIhfhGyz2AW3J3xh4" xr:uid="{00000000-0004-0000-0400-00004C0C0000}"/>
    <hyperlink ref="H850" r:id="rId3150" display="https://docs.google.com/spreadsheets/d/1YLlvgfTuo2NZZkChUDmDqRmzzYZIhfhGyz2AW3J3xh4" xr:uid="{00000000-0004-0000-0400-00004D0C0000}"/>
    <hyperlink ref="I850" r:id="rId3151" display="https://docs.google.com/open?id=1YLlvgfTuo2NZZkChUDmDqRmzzYZIhfhGyz2AW3J3xh4" xr:uid="{00000000-0004-0000-0400-00004E0C0000}"/>
    <hyperlink ref="D851" r:id="rId3152" display="https://drive.google.com/open?id=1Z0IkKOp4cYidGPdsj94JisqcD0dMsoCFCUTH92Uz1P8&amp;usp=drive_copy" xr:uid="{00000000-0004-0000-0400-00004F0C0000}"/>
    <hyperlink ref="E851" r:id="rId3153" display="https://drive.google.com/open?id=1Z0IkKOp4cYidGPdsj94JisqcD0dMsoCFCUTH92Uz1P8" xr:uid="{00000000-0004-0000-0400-0000500C0000}"/>
    <hyperlink ref="H851" r:id="rId3154" display="https://docs.google.com/spreadsheets/d/1Z0IkKOp4cYidGPdsj94JisqcD0dMsoCFCUTH92Uz1P8" xr:uid="{00000000-0004-0000-0400-0000510C0000}"/>
    <hyperlink ref="I851" r:id="rId3155" display="https://docs.google.com/open?id=1Z0IkKOp4cYidGPdsj94JisqcD0dMsoCFCUTH92Uz1P8" xr:uid="{00000000-0004-0000-0400-0000520C0000}"/>
    <hyperlink ref="D852" r:id="rId3156" display="https://drive.google.com/open?id=1ZunsWjnXH-0PB8hBwvVNdCe1GRwXk_dwGjfOoEeEI-E&amp;usp=drive_copy" xr:uid="{00000000-0004-0000-0400-0000530C0000}"/>
    <hyperlink ref="E852" r:id="rId3157" display="https://drive.google.com/open?id=1ZunsWjnXH-0PB8hBwvVNdCe1GRwXk_dwGjfOoEeEI-E" xr:uid="{00000000-0004-0000-0400-0000540C0000}"/>
    <hyperlink ref="H852" r:id="rId3158" display="https://docs.google.com/spreadsheets/d/1ZunsWjnXH-0PB8hBwvVNdCe1GRwXk_dwGjfOoEeEI-E" xr:uid="{00000000-0004-0000-0400-0000550C0000}"/>
    <hyperlink ref="I852" r:id="rId3159" display="https://docs.google.com/open?id=1ZunsWjnXH-0PB8hBwvVNdCe1GRwXk_dwGjfOoEeEI-E" xr:uid="{00000000-0004-0000-0400-0000560C0000}"/>
    <hyperlink ref="D853" r:id="rId3160" display="https://drive.google.com/open?id=1a8LV4npoimBfBVZdQqg1Db57ovM38klupR7YzhDNDCI&amp;usp=drive_copy" xr:uid="{00000000-0004-0000-0400-0000570C0000}"/>
    <hyperlink ref="E853" r:id="rId3161" display="https://drive.google.com/open?id=1a8LV4npoimBfBVZdQqg1Db57ovM38klupR7YzhDNDCI" xr:uid="{00000000-0004-0000-0400-0000580C0000}"/>
    <hyperlink ref="H853" r:id="rId3162" display="https://docs.google.com/spreadsheets/d/1a8LV4npoimBfBVZdQqg1Db57ovM38klupR7YzhDNDCI" xr:uid="{00000000-0004-0000-0400-0000590C0000}"/>
    <hyperlink ref="I853" r:id="rId3163" display="https://docs.google.com/open?id=1a8LV4npoimBfBVZdQqg1Db57ovM38klupR7YzhDNDCI" xr:uid="{00000000-0004-0000-0400-00005A0C0000}"/>
    <hyperlink ref="D854" r:id="rId3164" display="https://drive.google.com/open?id=1dqoTdLhR_zIt6QNdClkbdCkQRRZY3qMc_OrdKh_EyIo&amp;usp=drive_copy" xr:uid="{00000000-0004-0000-0400-00005B0C0000}"/>
    <hyperlink ref="E854" r:id="rId3165" display="https://drive.google.com/open?id=1dqoTdLhR_zIt6QNdClkbdCkQRRZY3qMc_OrdKh_EyIo" xr:uid="{00000000-0004-0000-0400-00005C0C0000}"/>
    <hyperlink ref="H854" r:id="rId3166" display="https://docs.google.com/spreadsheets/d/1dqoTdLhR_zIt6QNdClkbdCkQRRZY3qMc_OrdKh_EyIo" xr:uid="{00000000-0004-0000-0400-00005D0C0000}"/>
    <hyperlink ref="I854" r:id="rId3167" display="https://docs.google.com/open?id=1dqoTdLhR_zIt6QNdClkbdCkQRRZY3qMc_OrdKh_EyIo" xr:uid="{00000000-0004-0000-0400-00005E0C0000}"/>
    <hyperlink ref="D855" r:id="rId3168" display="https://drive.google.com/open?id=1gGRTR4Lur6u0_zRESzBU7KW1TPl4P5Iv880bTU8SJBs&amp;usp=drive_copy" xr:uid="{00000000-0004-0000-0400-00005F0C0000}"/>
    <hyperlink ref="E855" r:id="rId3169" display="https://drive.google.com/open?id=1gGRTR4Lur6u0_zRESzBU7KW1TPl4P5Iv880bTU8SJBs" xr:uid="{00000000-0004-0000-0400-0000600C0000}"/>
    <hyperlink ref="H855" r:id="rId3170" display="https://docs.google.com/spreadsheets/d/1gGRTR4Lur6u0_zRESzBU7KW1TPl4P5Iv880bTU8SJBs" xr:uid="{00000000-0004-0000-0400-0000610C0000}"/>
    <hyperlink ref="I855" r:id="rId3171" display="https://docs.google.com/open?id=1gGRTR4Lur6u0_zRESzBU7KW1TPl4P5Iv880bTU8SJBs" xr:uid="{00000000-0004-0000-0400-0000620C0000}"/>
    <hyperlink ref="D856" r:id="rId3172" display="https://drive.google.com/open?id=1hFRUOlfSu5TkfyULTbaFb_WXE3h6_xvfhVQx2Ms3gag&amp;usp=drive_copy" xr:uid="{00000000-0004-0000-0400-0000630C0000}"/>
    <hyperlink ref="E856" r:id="rId3173" display="https://drive.google.com/open?id=1hFRUOlfSu5TkfyULTbaFb_WXE3h6_xvfhVQx2Ms3gag" xr:uid="{00000000-0004-0000-0400-0000640C0000}"/>
    <hyperlink ref="H856" r:id="rId3174" display="https://docs.google.com/spreadsheets/d/1hFRUOlfSu5TkfyULTbaFb_WXE3h6_xvfhVQx2Ms3gag" xr:uid="{00000000-0004-0000-0400-0000650C0000}"/>
    <hyperlink ref="I856" r:id="rId3175" display="https://docs.google.com/open?id=1hFRUOlfSu5TkfyULTbaFb_WXE3h6_xvfhVQx2Ms3gag" xr:uid="{00000000-0004-0000-0400-0000660C0000}"/>
    <hyperlink ref="D857" r:id="rId3176" display="https://drive.google.com/open?id=1hr4sEDv5ImRr72xB6QGjWoqkfIbcBtFGSs6Nzxs-iJo&amp;usp=drive_copy" xr:uid="{00000000-0004-0000-0400-0000670C0000}"/>
    <hyperlink ref="E857" r:id="rId3177" display="https://drive.google.com/open?id=1hr4sEDv5ImRr72xB6QGjWoqkfIbcBtFGSs6Nzxs-iJo" xr:uid="{00000000-0004-0000-0400-0000680C0000}"/>
    <hyperlink ref="H857" r:id="rId3178" display="https://docs.google.com/spreadsheets/d/1hr4sEDv5ImRr72xB6QGjWoqkfIbcBtFGSs6Nzxs-iJo" xr:uid="{00000000-0004-0000-0400-0000690C0000}"/>
    <hyperlink ref="I857" r:id="rId3179" display="https://docs.google.com/open?id=1hr4sEDv5ImRr72xB6QGjWoqkfIbcBtFGSs6Nzxs-iJo" xr:uid="{00000000-0004-0000-0400-00006A0C0000}"/>
    <hyperlink ref="D858" r:id="rId3180" display="https://drive.google.com/open?id=1iN8V6kILDpCOAUTUiY2gurcNtfqAKQwFaAYU2_j8xT0&amp;usp=drive_copy" xr:uid="{00000000-0004-0000-0400-00006B0C0000}"/>
    <hyperlink ref="E858" r:id="rId3181" display="https://drive.google.com/open?id=1iN8V6kILDpCOAUTUiY2gurcNtfqAKQwFaAYU2_j8xT0" xr:uid="{00000000-0004-0000-0400-00006C0C0000}"/>
    <hyperlink ref="H858" r:id="rId3182" display="https://docs.google.com/spreadsheets/d/1iN8V6kILDpCOAUTUiY2gurcNtfqAKQwFaAYU2_j8xT0" xr:uid="{00000000-0004-0000-0400-00006D0C0000}"/>
    <hyperlink ref="I858" r:id="rId3183" display="https://docs.google.com/open?id=1iN8V6kILDpCOAUTUiY2gurcNtfqAKQwFaAYU2_j8xT0" xr:uid="{00000000-0004-0000-0400-00006E0C0000}"/>
    <hyperlink ref="D859" r:id="rId3184" display="https://drive.google.com/open?id=1i_Ppc1K3c0wvumPRTD5AH2CWBK-x9OCGuFLz13BOKpQ&amp;usp=drive_copy" xr:uid="{00000000-0004-0000-0400-00006F0C0000}"/>
    <hyperlink ref="E859" r:id="rId3185" display="https://drive.google.com/open?id=1i_Ppc1K3c0wvumPRTD5AH2CWBK-x9OCGuFLz13BOKpQ" xr:uid="{00000000-0004-0000-0400-0000700C0000}"/>
    <hyperlink ref="H859" r:id="rId3186" display="https://docs.google.com/spreadsheets/d/1i_Ppc1K3c0wvumPRTD5AH2CWBK-x9OCGuFLz13BOKpQ" xr:uid="{00000000-0004-0000-0400-0000710C0000}"/>
    <hyperlink ref="I859" r:id="rId3187" display="https://docs.google.com/open?id=1i_Ppc1K3c0wvumPRTD5AH2CWBK-x9OCGuFLz13BOKpQ" xr:uid="{00000000-0004-0000-0400-0000720C0000}"/>
    <hyperlink ref="D860" r:id="rId3188" display="https://drive.google.com/open?id=1iiDWyPM3p_HDFcSXscTlPduf3RpRqVWAURHvIKjVW28&amp;usp=drive_copy" xr:uid="{00000000-0004-0000-0400-0000730C0000}"/>
    <hyperlink ref="E860" r:id="rId3189" display="https://drive.google.com/open?id=1iiDWyPM3p_HDFcSXscTlPduf3RpRqVWAURHvIKjVW28" xr:uid="{00000000-0004-0000-0400-0000740C0000}"/>
    <hyperlink ref="H860" r:id="rId3190" display="https://docs.google.com/spreadsheets/d/1iiDWyPM3p_HDFcSXscTlPduf3RpRqVWAURHvIKjVW28" xr:uid="{00000000-0004-0000-0400-0000750C0000}"/>
    <hyperlink ref="I860" r:id="rId3191" display="https://docs.google.com/open?id=1iiDWyPM3p_HDFcSXscTlPduf3RpRqVWAURHvIKjVW28" xr:uid="{00000000-0004-0000-0400-0000760C0000}"/>
    <hyperlink ref="D861" r:id="rId3192" display="https://drive.google.com/open?id=1imT2Zwz9zf-XBmxV_g-zZwibwx9P-QFZPeT_cP-82FA&amp;usp=drive_copy" xr:uid="{00000000-0004-0000-0400-0000770C0000}"/>
    <hyperlink ref="E861" r:id="rId3193" display="https://drive.google.com/open?id=1imT2Zwz9zf-XBmxV_g-zZwibwx9P-QFZPeT_cP-82FA" xr:uid="{00000000-0004-0000-0400-0000780C0000}"/>
    <hyperlink ref="H861" r:id="rId3194" display="https://docs.google.com/spreadsheets/d/1imT2Zwz9zf-XBmxV_g-zZwibwx9P-QFZPeT_cP-82FA" xr:uid="{00000000-0004-0000-0400-0000790C0000}"/>
    <hyperlink ref="I861" r:id="rId3195" display="https://docs.google.com/open?id=1imT2Zwz9zf-XBmxV_g-zZwibwx9P-QFZPeT_cP-82FA" xr:uid="{00000000-0004-0000-0400-00007A0C0000}"/>
    <hyperlink ref="D862" r:id="rId3196" display="https://drive.google.com/open?id=1lMZjxWXqAbgHw-PCv_Zz6wJogTEjdfThvWYzSt1Ghs8&amp;usp=drive_copy" xr:uid="{00000000-0004-0000-0400-00007B0C0000}"/>
    <hyperlink ref="E862" r:id="rId3197" display="https://drive.google.com/open?id=1lMZjxWXqAbgHw-PCv_Zz6wJogTEjdfThvWYzSt1Ghs8" xr:uid="{00000000-0004-0000-0400-00007C0C0000}"/>
    <hyperlink ref="H862" r:id="rId3198" display="https://docs.google.com/spreadsheets/d/1lMZjxWXqAbgHw-PCv_Zz6wJogTEjdfThvWYzSt1Ghs8" xr:uid="{00000000-0004-0000-0400-00007D0C0000}"/>
    <hyperlink ref="I862" r:id="rId3199" display="https://docs.google.com/open?id=1lMZjxWXqAbgHw-PCv_Zz6wJogTEjdfThvWYzSt1Ghs8" xr:uid="{00000000-0004-0000-0400-00007E0C0000}"/>
    <hyperlink ref="D863" r:id="rId3200" display="https://drive.google.com/open?id=1nBVPq7ay0513lbZ-WpWkih-to-LE1aXP6d8jXDeovKY&amp;usp=drive_copy" xr:uid="{00000000-0004-0000-0400-00007F0C0000}"/>
    <hyperlink ref="E863" r:id="rId3201" display="https://drive.google.com/open?id=1nBVPq7ay0513lbZ-WpWkih-to-LE1aXP6d8jXDeovKY" xr:uid="{00000000-0004-0000-0400-0000800C0000}"/>
    <hyperlink ref="H863" r:id="rId3202" display="https://docs.google.com/spreadsheets/d/1nBVPq7ay0513lbZ-WpWkih-to-LE1aXP6d8jXDeovKY" xr:uid="{00000000-0004-0000-0400-0000810C0000}"/>
    <hyperlink ref="I863" r:id="rId3203" display="https://docs.google.com/open?id=1nBVPq7ay0513lbZ-WpWkih-to-LE1aXP6d8jXDeovKY" xr:uid="{00000000-0004-0000-0400-0000820C0000}"/>
    <hyperlink ref="D864" r:id="rId3204" display="https://drive.google.com/open?id=1p379W6bykEQ8xe3zOi8uiLhwC58RyN8BBToJl6cMk2Y&amp;usp=drive_copy" xr:uid="{00000000-0004-0000-0400-0000830C0000}"/>
    <hyperlink ref="E864" r:id="rId3205" display="https://drive.google.com/open?id=1p379W6bykEQ8xe3zOi8uiLhwC58RyN8BBToJl6cMk2Y" xr:uid="{00000000-0004-0000-0400-0000840C0000}"/>
    <hyperlink ref="H864" r:id="rId3206" display="https://docs.google.com/spreadsheets/d/1p379W6bykEQ8xe3zOi8uiLhwC58RyN8BBToJl6cMk2Y" xr:uid="{00000000-0004-0000-0400-0000850C0000}"/>
    <hyperlink ref="I864" r:id="rId3207" display="https://docs.google.com/open?id=1p379W6bykEQ8xe3zOi8uiLhwC58RyN8BBToJl6cMk2Y" xr:uid="{00000000-0004-0000-0400-0000860C0000}"/>
    <hyperlink ref="D865" r:id="rId3208" display="https://drive.google.com/open?id=1t2uI5jSJvcoYzVphAG-PsbmtRBmaihD0bbE2MtW-_CI&amp;usp=drive_copy" xr:uid="{00000000-0004-0000-0400-0000870C0000}"/>
    <hyperlink ref="E865" r:id="rId3209" display="https://drive.google.com/open?id=1t2uI5jSJvcoYzVphAG-PsbmtRBmaihD0bbE2MtW-_CI" xr:uid="{00000000-0004-0000-0400-0000880C0000}"/>
    <hyperlink ref="H865" r:id="rId3210" display="https://docs.google.com/spreadsheets/d/1t2uI5jSJvcoYzVphAG-PsbmtRBmaihD0bbE2MtW-_CI" xr:uid="{00000000-0004-0000-0400-0000890C0000}"/>
    <hyperlink ref="I865" r:id="rId3211" display="https://docs.google.com/open?id=1t2uI5jSJvcoYzVphAG-PsbmtRBmaihD0bbE2MtW-_CI" xr:uid="{00000000-0004-0000-0400-00008A0C0000}"/>
    <hyperlink ref="D866" r:id="rId3212" display="https://drive.google.com/open?id=1tHtlj7siaMRBFfV83T5Uls4JNBSa964qoiCMchp-Uzs&amp;usp=drive_copy" xr:uid="{00000000-0004-0000-0400-00008B0C0000}"/>
    <hyperlink ref="E866" r:id="rId3213" display="https://drive.google.com/open?id=1tHtlj7siaMRBFfV83T5Uls4JNBSa964qoiCMchp-Uzs" xr:uid="{00000000-0004-0000-0400-00008C0C0000}"/>
    <hyperlink ref="H866" r:id="rId3214" display="https://docs.google.com/spreadsheets/d/1tHtlj7siaMRBFfV83T5Uls4JNBSa964qoiCMchp-Uzs" xr:uid="{00000000-0004-0000-0400-00008D0C0000}"/>
    <hyperlink ref="I866" r:id="rId3215" display="https://docs.google.com/open?id=1tHtlj7siaMRBFfV83T5Uls4JNBSa964qoiCMchp-Uzs" xr:uid="{00000000-0004-0000-0400-00008E0C0000}"/>
    <hyperlink ref="D867" r:id="rId3216" display="https://drive.google.com/open?id=1tnkLhF9Kn3oaTPa60FYDCDC-brmRWrG3qMqMDEBUeck&amp;usp=drive_copy" xr:uid="{00000000-0004-0000-0400-00008F0C0000}"/>
    <hyperlink ref="E867" r:id="rId3217" display="https://drive.google.com/open?id=1tnkLhF9Kn3oaTPa60FYDCDC-brmRWrG3qMqMDEBUeck" xr:uid="{00000000-0004-0000-0400-0000900C0000}"/>
    <hyperlink ref="H867" r:id="rId3218" display="https://docs.google.com/spreadsheets/d/1tnkLhF9Kn3oaTPa60FYDCDC-brmRWrG3qMqMDEBUeck" xr:uid="{00000000-0004-0000-0400-0000910C0000}"/>
    <hyperlink ref="I867" r:id="rId3219" display="https://docs.google.com/open?id=1tnkLhF9Kn3oaTPa60FYDCDC-brmRWrG3qMqMDEBUeck" xr:uid="{00000000-0004-0000-0400-0000920C0000}"/>
    <hyperlink ref="D868" r:id="rId3220" display="https://drive.google.com/open?id=1usiGc68IUfegekX67iDRg2CQD3p93OLTR-7dkGqC_hg&amp;usp=drive_copy" xr:uid="{00000000-0004-0000-0400-0000930C0000}"/>
    <hyperlink ref="E868" r:id="rId3221" display="https://drive.google.com/open?id=1usiGc68IUfegekX67iDRg2CQD3p93OLTR-7dkGqC_hg" xr:uid="{00000000-0004-0000-0400-0000940C0000}"/>
    <hyperlink ref="H868" r:id="rId3222" display="https://docs.google.com/spreadsheets/d/1usiGc68IUfegekX67iDRg2CQD3p93OLTR-7dkGqC_hg" xr:uid="{00000000-0004-0000-0400-0000950C0000}"/>
    <hyperlink ref="I868" r:id="rId3223" display="https://docs.google.com/open?id=1usiGc68IUfegekX67iDRg2CQD3p93OLTR-7dkGqC_hg" xr:uid="{00000000-0004-0000-0400-0000960C0000}"/>
    <hyperlink ref="D869" r:id="rId3224" display="https://drive.google.com/open?id=1wdHweScfbL0EVUCVGK5VaH2M4EzFpkZ4OhyaDnZnXI8&amp;usp=drive_copy" xr:uid="{00000000-0004-0000-0400-0000970C0000}"/>
    <hyperlink ref="E869" r:id="rId3225" display="https://drive.google.com/open?id=1wdHweScfbL0EVUCVGK5VaH2M4EzFpkZ4OhyaDnZnXI8" xr:uid="{00000000-0004-0000-0400-0000980C0000}"/>
    <hyperlink ref="H869" r:id="rId3226" display="https://docs.google.com/spreadsheets/d/1wdHweScfbL0EVUCVGK5VaH2M4EzFpkZ4OhyaDnZnXI8" xr:uid="{00000000-0004-0000-0400-0000990C0000}"/>
    <hyperlink ref="I869" r:id="rId3227" display="https://docs.google.com/open?id=1wdHweScfbL0EVUCVGK5VaH2M4EzFpkZ4OhyaDnZnXI8" xr:uid="{00000000-0004-0000-0400-00009A0C0000}"/>
    <hyperlink ref="D870" r:id="rId3228" display="https://drive.google.com/open?id=1wi98emzzWCsQjRb2OTNjUxya8qhrgXV8Ew9jbtSOpis&amp;usp=drive_copy" xr:uid="{00000000-0004-0000-0400-00009B0C0000}"/>
    <hyperlink ref="E870" r:id="rId3229" display="https://drive.google.com/open?id=1wi98emzzWCsQjRb2OTNjUxya8qhrgXV8Ew9jbtSOpis" xr:uid="{00000000-0004-0000-0400-00009C0C0000}"/>
    <hyperlink ref="H870" r:id="rId3230" display="https://docs.google.com/spreadsheets/d/1wi98emzzWCsQjRb2OTNjUxya8qhrgXV8Ew9jbtSOpis" xr:uid="{00000000-0004-0000-0400-00009D0C0000}"/>
    <hyperlink ref="I870" r:id="rId3231" display="https://docs.google.com/open?id=1wi98emzzWCsQjRb2OTNjUxya8qhrgXV8Ew9jbtSOpis" xr:uid="{00000000-0004-0000-0400-00009E0C0000}"/>
    <hyperlink ref="D871" r:id="rId3232" display="https://drive.google.com/open?id=1x6MgWiMfFeP-2w6mzPOjf5dUms4hyvgTcRY3gs6tuVE&amp;usp=drive_copy" xr:uid="{00000000-0004-0000-0400-00009F0C0000}"/>
    <hyperlink ref="E871" r:id="rId3233" display="https://drive.google.com/open?id=1x6MgWiMfFeP-2w6mzPOjf5dUms4hyvgTcRY3gs6tuVE" xr:uid="{00000000-0004-0000-0400-0000A00C0000}"/>
    <hyperlink ref="H871" r:id="rId3234" display="https://docs.google.com/spreadsheets/d/1x6MgWiMfFeP-2w6mzPOjf5dUms4hyvgTcRY3gs6tuVE" xr:uid="{00000000-0004-0000-0400-0000A10C0000}"/>
    <hyperlink ref="I871" r:id="rId3235" display="https://docs.google.com/open?id=1x6MgWiMfFeP-2w6mzPOjf5dUms4hyvgTcRY3gs6tuVE" xr:uid="{00000000-0004-0000-0400-0000A20C0000}"/>
    <hyperlink ref="D872" r:id="rId3236" display="https://drive.google.com/open?id=1xseDbL76iqEG-ydpQtSFkcuLXuUm_zOGpGJTfkOHJfE&amp;usp=drive_copy" xr:uid="{00000000-0004-0000-0400-0000A30C0000}"/>
    <hyperlink ref="E872" r:id="rId3237" display="https://drive.google.com/open?id=1xseDbL76iqEG-ydpQtSFkcuLXuUm_zOGpGJTfkOHJfE" xr:uid="{00000000-0004-0000-0400-0000A40C0000}"/>
    <hyperlink ref="H872" r:id="rId3238" display="https://docs.google.com/spreadsheets/d/1xseDbL76iqEG-ydpQtSFkcuLXuUm_zOGpGJTfkOHJfE" xr:uid="{00000000-0004-0000-0400-0000A50C0000}"/>
    <hyperlink ref="I872" r:id="rId3239" display="https://docs.google.com/open?id=1xseDbL76iqEG-ydpQtSFkcuLXuUm_zOGpGJTfkOHJfE" xr:uid="{00000000-0004-0000-0400-0000A60C0000}"/>
    <hyperlink ref="D873" r:id="rId3240" display="https://drive.google.com/open?id=10DOeXShPMSPnKnYFX7tLGdFEFi2xwBWCt9ByQDPQmr8&amp;usp=drive_copy" xr:uid="{00000000-0004-0000-0400-0000A70C0000}"/>
    <hyperlink ref="E873" r:id="rId3241" display="https://drive.google.com/open?id=10DOeXShPMSPnKnYFX7tLGdFEFi2xwBWCt9ByQDPQmr8" xr:uid="{00000000-0004-0000-0400-0000A80C0000}"/>
    <hyperlink ref="H873" r:id="rId3242" display="https://docs.google.com/spreadsheets/d/10DOeXShPMSPnKnYFX7tLGdFEFi2xwBWCt9ByQDPQmr8" xr:uid="{00000000-0004-0000-0400-0000A90C0000}"/>
    <hyperlink ref="I873" r:id="rId3243" display="https://docs.google.com/open?id=10DOeXShPMSPnKnYFX7tLGdFEFi2xwBWCt9ByQDPQmr8" xr:uid="{00000000-0004-0000-0400-0000AA0C0000}"/>
    <hyperlink ref="D874" r:id="rId3244" display="https://drive.google.com/open?id=11TI1BDEzXRacvim_OptN4swWA3caAZIuUCXrMABeO7I&amp;usp=drive_copy" xr:uid="{00000000-0004-0000-0400-0000AB0C0000}"/>
    <hyperlink ref="E874" r:id="rId3245" display="https://drive.google.com/open?id=11TI1BDEzXRacvim_OptN4swWA3caAZIuUCXrMABeO7I" xr:uid="{00000000-0004-0000-0400-0000AC0C0000}"/>
    <hyperlink ref="H874" r:id="rId3246" display="https://docs.google.com/spreadsheets/d/11TI1BDEzXRacvim_OptN4swWA3caAZIuUCXrMABeO7I" xr:uid="{00000000-0004-0000-0400-0000AD0C0000}"/>
    <hyperlink ref="I874" r:id="rId3247" display="https://docs.google.com/open?id=11TI1BDEzXRacvim_OptN4swWA3caAZIuUCXrMABeO7I" xr:uid="{00000000-0004-0000-0400-0000AE0C0000}"/>
    <hyperlink ref="D875" r:id="rId3248" display="https://drive.google.com/open?id=13-y3TpYrrZJJ7orHEn9uXCsg4-o-JqqAhQi_QGT_m3E&amp;usp=drive_copy" xr:uid="{00000000-0004-0000-0400-0000AF0C0000}"/>
    <hyperlink ref="E875" r:id="rId3249" display="https://drive.google.com/open?id=13-y3TpYrrZJJ7orHEn9uXCsg4-o-JqqAhQi_QGT_m3E" xr:uid="{00000000-0004-0000-0400-0000B00C0000}"/>
    <hyperlink ref="H875" r:id="rId3250" display="https://docs.google.com/spreadsheets/d/13-y3TpYrrZJJ7orHEn9uXCsg4-o-JqqAhQi_QGT_m3E" xr:uid="{00000000-0004-0000-0400-0000B10C0000}"/>
    <hyperlink ref="I875" r:id="rId3251" display="https://docs.google.com/open?id=13-y3TpYrrZJJ7orHEn9uXCsg4-o-JqqAhQi_QGT_m3E" xr:uid="{00000000-0004-0000-0400-0000B20C0000}"/>
    <hyperlink ref="D876" r:id="rId3252" display="https://drive.google.com/open?id=14AM6_aa-ThFRzFQxlFxDAPqVxMQW64NrnTw3fX8qFyI&amp;usp=drive_copy" xr:uid="{00000000-0004-0000-0400-0000B30C0000}"/>
    <hyperlink ref="E876" r:id="rId3253" display="https://drive.google.com/open?id=14AM6_aa-ThFRzFQxlFxDAPqVxMQW64NrnTw3fX8qFyI" xr:uid="{00000000-0004-0000-0400-0000B40C0000}"/>
    <hyperlink ref="H876" r:id="rId3254" display="https://docs.google.com/spreadsheets/d/14AM6_aa-ThFRzFQxlFxDAPqVxMQW64NrnTw3fX8qFyI" xr:uid="{00000000-0004-0000-0400-0000B50C0000}"/>
    <hyperlink ref="I876" r:id="rId3255" display="https://docs.google.com/open?id=14AM6_aa-ThFRzFQxlFxDAPqVxMQW64NrnTw3fX8qFyI" xr:uid="{00000000-0004-0000-0400-0000B60C0000}"/>
    <hyperlink ref="D877" r:id="rId3256" display="https://drive.google.com/open?id=14K4vBGbEPLrpjqxWuBqkMZisO1QpDOqeoS-1ntR6goM&amp;usp=drive_copy" xr:uid="{00000000-0004-0000-0400-0000B70C0000}"/>
    <hyperlink ref="E877" r:id="rId3257" display="https://drive.google.com/open?id=14K4vBGbEPLrpjqxWuBqkMZisO1QpDOqeoS-1ntR6goM" xr:uid="{00000000-0004-0000-0400-0000B80C0000}"/>
    <hyperlink ref="H877" r:id="rId3258" display="https://docs.google.com/spreadsheets/d/14K4vBGbEPLrpjqxWuBqkMZisO1QpDOqeoS-1ntR6goM" xr:uid="{00000000-0004-0000-0400-0000B90C0000}"/>
    <hyperlink ref="I877" r:id="rId3259" display="https://docs.google.com/open?id=14K4vBGbEPLrpjqxWuBqkMZisO1QpDOqeoS-1ntR6goM" xr:uid="{00000000-0004-0000-0400-0000BA0C0000}"/>
    <hyperlink ref="D878" r:id="rId3260" display="https://drive.google.com/open?id=14xXIDMHktHinzKVs2eiN2Rnz5a8ew907SP0tyARAIuU&amp;usp=drive_copy" xr:uid="{00000000-0004-0000-0400-0000BB0C0000}"/>
    <hyperlink ref="E878" r:id="rId3261" display="https://drive.google.com/open?id=14xXIDMHktHinzKVs2eiN2Rnz5a8ew907SP0tyARAIuU" xr:uid="{00000000-0004-0000-0400-0000BC0C0000}"/>
    <hyperlink ref="H878" r:id="rId3262" display="https://docs.google.com/spreadsheets/d/14xXIDMHktHinzKVs2eiN2Rnz5a8ew907SP0tyARAIuU" xr:uid="{00000000-0004-0000-0400-0000BD0C0000}"/>
    <hyperlink ref="I878" r:id="rId3263" display="https://docs.google.com/open?id=14xXIDMHktHinzKVs2eiN2Rnz5a8ew907SP0tyARAIuU" xr:uid="{00000000-0004-0000-0400-0000BE0C0000}"/>
    <hyperlink ref="D879" r:id="rId3264" display="https://drive.google.com/open?id=15IFNGbKEJeYtpqeWbn1f6_jWdkkm-_yApAbXMfPaFOg&amp;usp=drive_copy" xr:uid="{00000000-0004-0000-0400-0000BF0C0000}"/>
    <hyperlink ref="E879" r:id="rId3265" display="https://drive.google.com/open?id=15IFNGbKEJeYtpqeWbn1f6_jWdkkm-_yApAbXMfPaFOg" xr:uid="{00000000-0004-0000-0400-0000C00C0000}"/>
    <hyperlink ref="H879" r:id="rId3266" display="https://docs.google.com/spreadsheets/d/15IFNGbKEJeYtpqeWbn1f6_jWdkkm-_yApAbXMfPaFOg" xr:uid="{00000000-0004-0000-0400-0000C10C0000}"/>
    <hyperlink ref="I879" r:id="rId3267" display="https://docs.google.com/open?id=15IFNGbKEJeYtpqeWbn1f6_jWdkkm-_yApAbXMfPaFOg" xr:uid="{00000000-0004-0000-0400-0000C20C0000}"/>
    <hyperlink ref="D880" r:id="rId3268" display="https://drive.google.com/open?id=15gskuiLJ7NnwRC3YF9-7hGMug8sEDze5zbG9chymo6U&amp;usp=drive_copy" xr:uid="{00000000-0004-0000-0400-0000C30C0000}"/>
    <hyperlink ref="E880" r:id="rId3269" display="https://drive.google.com/open?id=15gskuiLJ7NnwRC3YF9-7hGMug8sEDze5zbG9chymo6U" xr:uid="{00000000-0004-0000-0400-0000C40C0000}"/>
    <hyperlink ref="H880" r:id="rId3270" display="https://docs.google.com/spreadsheets/d/15gskuiLJ7NnwRC3YF9-7hGMug8sEDze5zbG9chymo6U" xr:uid="{00000000-0004-0000-0400-0000C50C0000}"/>
    <hyperlink ref="I880" r:id="rId3271" display="https://docs.google.com/open?id=15gskuiLJ7NnwRC3YF9-7hGMug8sEDze5zbG9chymo6U" xr:uid="{00000000-0004-0000-0400-0000C60C0000}"/>
    <hyperlink ref="D881" r:id="rId3272" display="https://drive.google.com/open?id=16Kzkc0An9X9x9gpUv8X_iRGhP2YimemOCL6bkkRmHK4&amp;usp=drive_copy" xr:uid="{00000000-0004-0000-0400-0000C70C0000}"/>
    <hyperlink ref="E881" r:id="rId3273" display="https://drive.google.com/open?id=16Kzkc0An9X9x9gpUv8X_iRGhP2YimemOCL6bkkRmHK4" xr:uid="{00000000-0004-0000-0400-0000C80C0000}"/>
    <hyperlink ref="H881" r:id="rId3274" display="https://docs.google.com/spreadsheets/d/16Kzkc0An9X9x9gpUv8X_iRGhP2YimemOCL6bkkRmHK4" xr:uid="{00000000-0004-0000-0400-0000C90C0000}"/>
    <hyperlink ref="I881" r:id="rId3275" display="https://docs.google.com/open?id=16Kzkc0An9X9x9gpUv8X_iRGhP2YimemOCL6bkkRmHK4" xr:uid="{00000000-0004-0000-0400-0000CA0C0000}"/>
    <hyperlink ref="D882" r:id="rId3276" display="https://drive.google.com/open?id=17MjiVkq4-IqFDqhagMXOFs7HEgZc8AUeRGcXk72DUN8&amp;usp=drive_copy" xr:uid="{00000000-0004-0000-0400-0000CB0C0000}"/>
    <hyperlink ref="E882" r:id="rId3277" display="https://drive.google.com/open?id=17MjiVkq4-IqFDqhagMXOFs7HEgZc8AUeRGcXk72DUN8" xr:uid="{00000000-0004-0000-0400-0000CC0C0000}"/>
    <hyperlink ref="H882" r:id="rId3278" display="https://docs.google.com/spreadsheets/d/17MjiVkq4-IqFDqhagMXOFs7HEgZc8AUeRGcXk72DUN8" xr:uid="{00000000-0004-0000-0400-0000CD0C0000}"/>
    <hyperlink ref="I882" r:id="rId3279" display="https://docs.google.com/open?id=17MjiVkq4-IqFDqhagMXOFs7HEgZc8AUeRGcXk72DUN8" xr:uid="{00000000-0004-0000-0400-0000CE0C0000}"/>
    <hyperlink ref="D883" r:id="rId3280" display="https://drive.google.com/open?id=18tSqRAUgcfwLQyGvD-S2v9IScY0XVSq6dLjtSiGUSvE&amp;usp=drive_copy" xr:uid="{00000000-0004-0000-0400-0000CF0C0000}"/>
    <hyperlink ref="E883" r:id="rId3281" display="https://drive.google.com/open?id=18tSqRAUgcfwLQyGvD-S2v9IScY0XVSq6dLjtSiGUSvE" xr:uid="{00000000-0004-0000-0400-0000D00C0000}"/>
    <hyperlink ref="H883" r:id="rId3282" display="https://docs.google.com/spreadsheets/d/18tSqRAUgcfwLQyGvD-S2v9IScY0XVSq6dLjtSiGUSvE" xr:uid="{00000000-0004-0000-0400-0000D10C0000}"/>
    <hyperlink ref="I883" r:id="rId3283" display="https://docs.google.com/open?id=18tSqRAUgcfwLQyGvD-S2v9IScY0XVSq6dLjtSiGUSvE" xr:uid="{00000000-0004-0000-0400-0000D20C0000}"/>
    <hyperlink ref="D884" r:id="rId3284" display="https://drive.google.com/open?id=19FnX7C-DXErXS6trn4mjEWD4dtuoA1r-Qn99_iD6rnY&amp;usp=drive_copy" xr:uid="{00000000-0004-0000-0400-0000D30C0000}"/>
    <hyperlink ref="E884" r:id="rId3285" display="https://drive.google.com/open?id=19FnX7C-DXErXS6trn4mjEWD4dtuoA1r-Qn99_iD6rnY" xr:uid="{00000000-0004-0000-0400-0000D40C0000}"/>
    <hyperlink ref="H884" r:id="rId3286" display="https://docs.google.com/spreadsheets/d/19FnX7C-DXErXS6trn4mjEWD4dtuoA1r-Qn99_iD6rnY" xr:uid="{00000000-0004-0000-0400-0000D50C0000}"/>
    <hyperlink ref="I884" r:id="rId3287" display="https://docs.google.com/open?id=19FnX7C-DXErXS6trn4mjEWD4dtuoA1r-Qn99_iD6rnY" xr:uid="{00000000-0004-0000-0400-0000D60C0000}"/>
    <hyperlink ref="D885" r:id="rId3288" display="https://drive.google.com/open?id=19yc9NmctTc2hyHNhanpq9BxpRXWOynRnf2imPsqdp28&amp;usp=drive_copy" xr:uid="{00000000-0004-0000-0400-0000D70C0000}"/>
    <hyperlink ref="E885" r:id="rId3289" display="https://drive.google.com/open?id=19yc9NmctTc2hyHNhanpq9BxpRXWOynRnf2imPsqdp28" xr:uid="{00000000-0004-0000-0400-0000D80C0000}"/>
    <hyperlink ref="H885" r:id="rId3290" display="https://docs.google.com/spreadsheets/d/19yc9NmctTc2hyHNhanpq9BxpRXWOynRnf2imPsqdp28" xr:uid="{00000000-0004-0000-0400-0000D90C0000}"/>
    <hyperlink ref="I885" r:id="rId3291" display="https://docs.google.com/open?id=19yc9NmctTc2hyHNhanpq9BxpRXWOynRnf2imPsqdp28" xr:uid="{00000000-0004-0000-0400-0000DA0C0000}"/>
    <hyperlink ref="D886" r:id="rId3292" display="https://drive.google.com/open?id=1Amt0-y4F0ARykCl4GHi4GdTbUECV1DIPWFC28NWNkfQ&amp;usp=drive_copy" xr:uid="{00000000-0004-0000-0400-0000DB0C0000}"/>
    <hyperlink ref="E886" r:id="rId3293" display="https://drive.google.com/open?id=1Amt0-y4F0ARykCl4GHi4GdTbUECV1DIPWFC28NWNkfQ" xr:uid="{00000000-0004-0000-0400-0000DC0C0000}"/>
    <hyperlink ref="H886" r:id="rId3294" display="https://docs.google.com/spreadsheets/d/1Amt0-y4F0ARykCl4GHi4GdTbUECV1DIPWFC28NWNkfQ" xr:uid="{00000000-0004-0000-0400-0000DD0C0000}"/>
    <hyperlink ref="I886" r:id="rId3295" display="https://docs.google.com/open?id=1Amt0-y4F0ARykCl4GHi4GdTbUECV1DIPWFC28NWNkfQ" xr:uid="{00000000-0004-0000-0400-0000DE0C0000}"/>
    <hyperlink ref="D887" r:id="rId3296" display="https://drive.google.com/open?id=1BoVERwmQ-a-yGG-PS5iIrmdlddaP1FQW59uBgpAPkUs&amp;usp=drive_copy" xr:uid="{00000000-0004-0000-0400-0000DF0C0000}"/>
    <hyperlink ref="E887" r:id="rId3297" display="https://drive.google.com/open?id=1BoVERwmQ-a-yGG-PS5iIrmdlddaP1FQW59uBgpAPkUs" xr:uid="{00000000-0004-0000-0400-0000E00C0000}"/>
    <hyperlink ref="H887" r:id="rId3298" display="https://docs.google.com/spreadsheets/d/1BoVERwmQ-a-yGG-PS5iIrmdlddaP1FQW59uBgpAPkUs" xr:uid="{00000000-0004-0000-0400-0000E10C0000}"/>
    <hyperlink ref="I887" r:id="rId3299" display="https://docs.google.com/open?id=1BoVERwmQ-a-yGG-PS5iIrmdlddaP1FQW59uBgpAPkUs" xr:uid="{00000000-0004-0000-0400-0000E20C0000}"/>
    <hyperlink ref="D888" r:id="rId3300" display="https://drive.google.com/open?id=1CMv1lSTwVVLlKgXC1iVk9cQ26fx-WnQDcg8x8ksQ9WY&amp;usp=drive_copy" xr:uid="{00000000-0004-0000-0400-0000E30C0000}"/>
    <hyperlink ref="E888" r:id="rId3301" display="https://drive.google.com/open?id=1CMv1lSTwVVLlKgXC1iVk9cQ26fx-WnQDcg8x8ksQ9WY" xr:uid="{00000000-0004-0000-0400-0000E40C0000}"/>
    <hyperlink ref="H888" r:id="rId3302" display="https://docs.google.com/spreadsheets/d/1CMv1lSTwVVLlKgXC1iVk9cQ26fx-WnQDcg8x8ksQ9WY" xr:uid="{00000000-0004-0000-0400-0000E50C0000}"/>
    <hyperlink ref="I888" r:id="rId3303" display="https://docs.google.com/open?id=1CMv1lSTwVVLlKgXC1iVk9cQ26fx-WnQDcg8x8ksQ9WY" xr:uid="{00000000-0004-0000-0400-0000E60C0000}"/>
    <hyperlink ref="D889" r:id="rId3304" display="https://drive.google.com/open?id=1DE2t0QXu5zy-D3SIpM-HzPtPAJOjoyyE6cov2Draufo&amp;usp=drive_copy" xr:uid="{00000000-0004-0000-0400-0000E70C0000}"/>
    <hyperlink ref="E889" r:id="rId3305" display="https://drive.google.com/open?id=1DE2t0QXu5zy-D3SIpM-HzPtPAJOjoyyE6cov2Draufo" xr:uid="{00000000-0004-0000-0400-0000E80C0000}"/>
    <hyperlink ref="H889" r:id="rId3306" display="https://docs.google.com/spreadsheets/d/1DE2t0QXu5zy-D3SIpM-HzPtPAJOjoyyE6cov2Draufo" xr:uid="{00000000-0004-0000-0400-0000E90C0000}"/>
    <hyperlink ref="I889" r:id="rId3307" display="https://docs.google.com/open?id=1DE2t0QXu5zy-D3SIpM-HzPtPAJOjoyyE6cov2Draufo" xr:uid="{00000000-0004-0000-0400-0000EA0C0000}"/>
    <hyperlink ref="D890" r:id="rId3308" display="https://drive.google.com/open?id=1DR4a8V1eMTqjMyeFxwmA12QFvAEKcMRA5SbChnS7qFo&amp;usp=drive_copy" xr:uid="{00000000-0004-0000-0400-0000EB0C0000}"/>
    <hyperlink ref="E890" r:id="rId3309" display="https://drive.google.com/open?id=1DR4a8V1eMTqjMyeFxwmA12QFvAEKcMRA5SbChnS7qFo" xr:uid="{00000000-0004-0000-0400-0000EC0C0000}"/>
    <hyperlink ref="H890" r:id="rId3310" display="https://docs.google.com/spreadsheets/d/1DR4a8V1eMTqjMyeFxwmA12QFvAEKcMRA5SbChnS7qFo" xr:uid="{00000000-0004-0000-0400-0000ED0C0000}"/>
    <hyperlink ref="I890" r:id="rId3311" display="https://docs.google.com/open?id=1DR4a8V1eMTqjMyeFxwmA12QFvAEKcMRA5SbChnS7qFo" xr:uid="{00000000-0004-0000-0400-0000EE0C0000}"/>
    <hyperlink ref="D891" r:id="rId3312" display="https://drive.google.com/open?id=1DreTUPvjfwZfdMHJ0RV1WXRdDItjSBuo1SnpO1WX0Bg&amp;usp=drive_copy" xr:uid="{00000000-0004-0000-0400-0000EF0C0000}"/>
    <hyperlink ref="E891" r:id="rId3313" display="https://drive.google.com/open?id=1DreTUPvjfwZfdMHJ0RV1WXRdDItjSBuo1SnpO1WX0Bg" xr:uid="{00000000-0004-0000-0400-0000F00C0000}"/>
    <hyperlink ref="H891" r:id="rId3314" display="https://docs.google.com/spreadsheets/d/1DreTUPvjfwZfdMHJ0RV1WXRdDItjSBuo1SnpO1WX0Bg" xr:uid="{00000000-0004-0000-0400-0000F10C0000}"/>
    <hyperlink ref="I891" r:id="rId3315" display="https://docs.google.com/open?id=1DreTUPvjfwZfdMHJ0RV1WXRdDItjSBuo1SnpO1WX0Bg" xr:uid="{00000000-0004-0000-0400-0000F20C0000}"/>
    <hyperlink ref="D892" r:id="rId3316" display="https://drive.google.com/open?id=1EZrU53gtJdwsEYuNiHOgrMRTrEKmUh9hNrRFMLVCOGw&amp;usp=drive_copy" xr:uid="{00000000-0004-0000-0400-0000F30C0000}"/>
    <hyperlink ref="E892" r:id="rId3317" display="https://drive.google.com/open?id=1EZrU53gtJdwsEYuNiHOgrMRTrEKmUh9hNrRFMLVCOGw" xr:uid="{00000000-0004-0000-0400-0000F40C0000}"/>
    <hyperlink ref="H892" r:id="rId3318" display="https://docs.google.com/spreadsheets/d/1EZrU53gtJdwsEYuNiHOgrMRTrEKmUh9hNrRFMLVCOGw" xr:uid="{00000000-0004-0000-0400-0000F50C0000}"/>
    <hyperlink ref="I892" r:id="rId3319" display="https://docs.google.com/open?id=1EZrU53gtJdwsEYuNiHOgrMRTrEKmUh9hNrRFMLVCOGw" xr:uid="{00000000-0004-0000-0400-0000F60C0000}"/>
    <hyperlink ref="D893" r:id="rId3320" display="https://drive.google.com/open?id=1Gj9Obdt_pt5xjryTJUUUqjMAzeze1zxwe0ZY2vIEEPc&amp;usp=drive_copy" xr:uid="{00000000-0004-0000-0400-0000F70C0000}"/>
    <hyperlink ref="E893" r:id="rId3321" display="https://drive.google.com/open?id=1Gj9Obdt_pt5xjryTJUUUqjMAzeze1zxwe0ZY2vIEEPc" xr:uid="{00000000-0004-0000-0400-0000F80C0000}"/>
    <hyperlink ref="H893" r:id="rId3322" display="https://docs.google.com/spreadsheets/d/1Gj9Obdt_pt5xjryTJUUUqjMAzeze1zxwe0ZY2vIEEPc" xr:uid="{00000000-0004-0000-0400-0000F90C0000}"/>
    <hyperlink ref="I893" r:id="rId3323" display="https://docs.google.com/open?id=1Gj9Obdt_pt5xjryTJUUUqjMAzeze1zxwe0ZY2vIEEPc" xr:uid="{00000000-0004-0000-0400-0000FA0C0000}"/>
    <hyperlink ref="D894" r:id="rId3324" display="https://drive.google.com/open?id=1Hv6VNG6hlABhvRK5K9_0ZFagpo-NXNhJcAbMzbVL--Q&amp;usp=drive_copy" xr:uid="{00000000-0004-0000-0400-0000FB0C0000}"/>
    <hyperlink ref="E894" r:id="rId3325" display="https://drive.google.com/open?id=1Hv6VNG6hlABhvRK5K9_0ZFagpo-NXNhJcAbMzbVL--Q" xr:uid="{00000000-0004-0000-0400-0000FC0C0000}"/>
    <hyperlink ref="H894" r:id="rId3326" display="https://docs.google.com/spreadsheets/d/1Hv6VNG6hlABhvRK5K9_0ZFagpo-NXNhJcAbMzbVL--Q" xr:uid="{00000000-0004-0000-0400-0000FD0C0000}"/>
    <hyperlink ref="I894" r:id="rId3327" display="https://docs.google.com/open?id=1Hv6VNG6hlABhvRK5K9_0ZFagpo-NXNhJcAbMzbVL--Q" xr:uid="{00000000-0004-0000-0400-0000FE0C0000}"/>
    <hyperlink ref="D895" r:id="rId3328" display="https://drive.google.com/open?id=1J56tQGx5mtEW15sjHpVWJmBCL1_B-Xd1BtU1Ls_yCOc&amp;usp=drive_copy" xr:uid="{00000000-0004-0000-0400-0000FF0C0000}"/>
    <hyperlink ref="E895" r:id="rId3329" display="https://drive.google.com/open?id=1J56tQGx5mtEW15sjHpVWJmBCL1_B-Xd1BtU1Ls_yCOc" xr:uid="{00000000-0004-0000-0400-0000000D0000}"/>
    <hyperlink ref="H895" r:id="rId3330" display="https://docs.google.com/spreadsheets/d/1J56tQGx5mtEW15sjHpVWJmBCL1_B-Xd1BtU1Ls_yCOc" xr:uid="{00000000-0004-0000-0400-0000010D0000}"/>
    <hyperlink ref="I895" r:id="rId3331" display="https://docs.google.com/open?id=1J56tQGx5mtEW15sjHpVWJmBCL1_B-Xd1BtU1Ls_yCOc" xr:uid="{00000000-0004-0000-0400-0000020D0000}"/>
    <hyperlink ref="D896" r:id="rId3332" display="https://drive.google.com/open?id=1JX5AXL24KPqv1kxPnPeXQjYkHRZoOYrTG4bk8cOzoII&amp;usp=drive_copy" xr:uid="{00000000-0004-0000-0400-0000030D0000}"/>
    <hyperlink ref="E896" r:id="rId3333" display="https://drive.google.com/open?id=1JX5AXL24KPqv1kxPnPeXQjYkHRZoOYrTG4bk8cOzoII" xr:uid="{00000000-0004-0000-0400-0000040D0000}"/>
    <hyperlink ref="H896" r:id="rId3334" display="https://docs.google.com/spreadsheets/d/1JX5AXL24KPqv1kxPnPeXQjYkHRZoOYrTG4bk8cOzoII" xr:uid="{00000000-0004-0000-0400-0000050D0000}"/>
    <hyperlink ref="I896" r:id="rId3335" display="https://docs.google.com/open?id=1JX5AXL24KPqv1kxPnPeXQjYkHRZoOYrTG4bk8cOzoII" xr:uid="{00000000-0004-0000-0400-0000060D0000}"/>
    <hyperlink ref="D897" r:id="rId3336" display="https://drive.google.com/open?id=1LqfVSef_aOuCX_dREDH3UXrgYQQU0JmKN_DM1HCw0RY&amp;usp=drive_copy" xr:uid="{00000000-0004-0000-0400-0000070D0000}"/>
    <hyperlink ref="E897" r:id="rId3337" display="https://drive.google.com/open?id=1LqfVSef_aOuCX_dREDH3UXrgYQQU0JmKN_DM1HCw0RY" xr:uid="{00000000-0004-0000-0400-0000080D0000}"/>
    <hyperlink ref="H897" r:id="rId3338" display="https://docs.google.com/spreadsheets/d/1LqfVSef_aOuCX_dREDH3UXrgYQQU0JmKN_DM1HCw0RY" xr:uid="{00000000-0004-0000-0400-0000090D0000}"/>
    <hyperlink ref="I897" r:id="rId3339" display="https://docs.google.com/open?id=1LqfVSef_aOuCX_dREDH3UXrgYQQU0JmKN_DM1HCw0RY" xr:uid="{00000000-0004-0000-0400-00000A0D0000}"/>
    <hyperlink ref="D898" r:id="rId3340" display="https://drive.google.com/open?id=1NN1Kv0MfkYlHQUur9jCYPZ5bjPeTbmp8ZoqC6VmnXao&amp;usp=drive_copy" xr:uid="{00000000-0004-0000-0400-00000B0D0000}"/>
    <hyperlink ref="E898" r:id="rId3341" display="https://drive.google.com/open?id=1NN1Kv0MfkYlHQUur9jCYPZ5bjPeTbmp8ZoqC6VmnXao" xr:uid="{00000000-0004-0000-0400-00000C0D0000}"/>
    <hyperlink ref="H898" r:id="rId3342" display="https://docs.google.com/spreadsheets/d/1NN1Kv0MfkYlHQUur9jCYPZ5bjPeTbmp8ZoqC6VmnXao" xr:uid="{00000000-0004-0000-0400-00000D0D0000}"/>
    <hyperlink ref="I898" r:id="rId3343" display="https://docs.google.com/open?id=1NN1Kv0MfkYlHQUur9jCYPZ5bjPeTbmp8ZoqC6VmnXao" xr:uid="{00000000-0004-0000-0400-00000E0D0000}"/>
    <hyperlink ref="D899" r:id="rId3344" display="https://drive.google.com/open?id=1OOHMI232_oP5oX8fS28pYSkDNtpR-MiqpIFkHZYrjJE&amp;usp=drive_copy" xr:uid="{00000000-0004-0000-0400-00000F0D0000}"/>
    <hyperlink ref="E899" r:id="rId3345" display="https://drive.google.com/open?id=1OOHMI232_oP5oX8fS28pYSkDNtpR-MiqpIFkHZYrjJE" xr:uid="{00000000-0004-0000-0400-0000100D0000}"/>
    <hyperlink ref="H899" r:id="rId3346" display="https://docs.google.com/spreadsheets/d/1OOHMI232_oP5oX8fS28pYSkDNtpR-MiqpIFkHZYrjJE" xr:uid="{00000000-0004-0000-0400-0000110D0000}"/>
    <hyperlink ref="I899" r:id="rId3347" display="https://docs.google.com/open?id=1OOHMI232_oP5oX8fS28pYSkDNtpR-MiqpIFkHZYrjJE" xr:uid="{00000000-0004-0000-0400-0000120D0000}"/>
    <hyperlink ref="D900" r:id="rId3348" display="https://drive.google.com/open?id=1PBVCKZ15LG3PK_khMQh4cShqvtx1Rtou_3tp6Hitfkc&amp;usp=drive_copy" xr:uid="{00000000-0004-0000-0400-0000130D0000}"/>
    <hyperlink ref="E900" r:id="rId3349" display="https://drive.google.com/open?id=1PBVCKZ15LG3PK_khMQh4cShqvtx1Rtou_3tp6Hitfkc" xr:uid="{00000000-0004-0000-0400-0000140D0000}"/>
    <hyperlink ref="H900" r:id="rId3350" display="https://docs.google.com/spreadsheets/d/1PBVCKZ15LG3PK_khMQh4cShqvtx1Rtou_3tp6Hitfkc" xr:uid="{00000000-0004-0000-0400-0000150D0000}"/>
    <hyperlink ref="I900" r:id="rId3351" display="https://docs.google.com/open?id=1PBVCKZ15LG3PK_khMQh4cShqvtx1Rtou_3tp6Hitfkc" xr:uid="{00000000-0004-0000-0400-0000160D0000}"/>
    <hyperlink ref="D901" r:id="rId3352" display="https://drive.google.com/open?id=1Pp1Ghnniuzx4PhOej2_tv5nh-I-KZjV9hK2OKn10D-A&amp;usp=drive_copy" xr:uid="{00000000-0004-0000-0400-0000170D0000}"/>
    <hyperlink ref="E901" r:id="rId3353" display="https://drive.google.com/open?id=1Pp1Ghnniuzx4PhOej2_tv5nh-I-KZjV9hK2OKn10D-A" xr:uid="{00000000-0004-0000-0400-0000180D0000}"/>
    <hyperlink ref="H901" r:id="rId3354" display="https://docs.google.com/spreadsheets/d/1Pp1Ghnniuzx4PhOej2_tv5nh-I-KZjV9hK2OKn10D-A" xr:uid="{00000000-0004-0000-0400-0000190D0000}"/>
    <hyperlink ref="I901" r:id="rId3355" display="https://docs.google.com/open?id=1Pp1Ghnniuzx4PhOej2_tv5nh-I-KZjV9hK2OKn10D-A" xr:uid="{00000000-0004-0000-0400-00001A0D0000}"/>
    <hyperlink ref="D902" r:id="rId3356" display="https://drive.google.com/open?id=1Pp76r7Ak4DuylWBxzrWd6SYxU6NF6ZiTCOTpZimQIJo&amp;usp=drive_copy" xr:uid="{00000000-0004-0000-0400-00001B0D0000}"/>
    <hyperlink ref="E902" r:id="rId3357" display="https://drive.google.com/open?id=1Pp76r7Ak4DuylWBxzrWd6SYxU6NF6ZiTCOTpZimQIJo" xr:uid="{00000000-0004-0000-0400-00001C0D0000}"/>
    <hyperlink ref="H902" r:id="rId3358" display="https://docs.google.com/spreadsheets/d/1Pp76r7Ak4DuylWBxzrWd6SYxU6NF6ZiTCOTpZimQIJo" xr:uid="{00000000-0004-0000-0400-00001D0D0000}"/>
    <hyperlink ref="I902" r:id="rId3359" display="https://docs.google.com/open?id=1Pp76r7Ak4DuylWBxzrWd6SYxU6NF6ZiTCOTpZimQIJo" xr:uid="{00000000-0004-0000-0400-00001E0D0000}"/>
    <hyperlink ref="D903" r:id="rId3360" display="https://drive.google.com/open?id=1PyeGAl9c8CKYVDRlFmDAMjJ7M3o1MMCwc3alUyFImH8&amp;usp=drive_copy" xr:uid="{00000000-0004-0000-0400-00001F0D0000}"/>
    <hyperlink ref="E903" r:id="rId3361" display="https://drive.google.com/open?id=1PyeGAl9c8CKYVDRlFmDAMjJ7M3o1MMCwc3alUyFImH8" xr:uid="{00000000-0004-0000-0400-0000200D0000}"/>
    <hyperlink ref="H903" r:id="rId3362" display="https://docs.google.com/spreadsheets/d/1PyeGAl9c8CKYVDRlFmDAMjJ7M3o1MMCwc3alUyFImH8" xr:uid="{00000000-0004-0000-0400-0000210D0000}"/>
    <hyperlink ref="I903" r:id="rId3363" display="https://docs.google.com/open?id=1PyeGAl9c8CKYVDRlFmDAMjJ7M3o1MMCwc3alUyFImH8" xr:uid="{00000000-0004-0000-0400-0000220D0000}"/>
    <hyperlink ref="D904" r:id="rId3364" display="https://drive.google.com/open?id=1RPOd8h85ieURdIpnOM5w6_mXo8O5-jUQgD3PMix2wHQ&amp;usp=drive_copy" xr:uid="{00000000-0004-0000-0400-0000230D0000}"/>
    <hyperlink ref="E904" r:id="rId3365" display="https://drive.google.com/open?id=1RPOd8h85ieURdIpnOM5w6_mXo8O5-jUQgD3PMix2wHQ" xr:uid="{00000000-0004-0000-0400-0000240D0000}"/>
    <hyperlink ref="H904" r:id="rId3366" display="https://docs.google.com/spreadsheets/d/1RPOd8h85ieURdIpnOM5w6_mXo8O5-jUQgD3PMix2wHQ" xr:uid="{00000000-0004-0000-0400-0000250D0000}"/>
    <hyperlink ref="I904" r:id="rId3367" display="https://docs.google.com/open?id=1RPOd8h85ieURdIpnOM5w6_mXo8O5-jUQgD3PMix2wHQ" xr:uid="{00000000-0004-0000-0400-0000260D0000}"/>
    <hyperlink ref="D905" r:id="rId3368" display="https://drive.google.com/open?id=1Tq84tGbE9Zkelp4obL2UpRADSSk6UrGr8H1kwfc0FjM&amp;usp=drive_copy" xr:uid="{00000000-0004-0000-0400-0000270D0000}"/>
    <hyperlink ref="E905" r:id="rId3369" display="https://drive.google.com/open?id=1Tq84tGbE9Zkelp4obL2UpRADSSk6UrGr8H1kwfc0FjM" xr:uid="{00000000-0004-0000-0400-0000280D0000}"/>
    <hyperlink ref="H905" r:id="rId3370" display="https://docs.google.com/spreadsheets/d/1Tq84tGbE9Zkelp4obL2UpRADSSk6UrGr8H1kwfc0FjM" xr:uid="{00000000-0004-0000-0400-0000290D0000}"/>
    <hyperlink ref="I905" r:id="rId3371" display="https://docs.google.com/open?id=1Tq84tGbE9Zkelp4obL2UpRADSSk6UrGr8H1kwfc0FjM" xr:uid="{00000000-0004-0000-0400-00002A0D0000}"/>
    <hyperlink ref="D906" r:id="rId3372" display="https://drive.google.com/open?id=1ZAh-POS4IjlD2tAMXbtHwClTdpqE6l1x6BjzrPbIuYc&amp;usp=drive_copy" xr:uid="{00000000-0004-0000-0400-00002B0D0000}"/>
    <hyperlink ref="E906" r:id="rId3373" display="https://drive.google.com/open?id=1ZAh-POS4IjlD2tAMXbtHwClTdpqE6l1x6BjzrPbIuYc" xr:uid="{00000000-0004-0000-0400-00002C0D0000}"/>
    <hyperlink ref="H906" r:id="rId3374" display="https://docs.google.com/spreadsheets/d/1ZAh-POS4IjlD2tAMXbtHwClTdpqE6l1x6BjzrPbIuYc" xr:uid="{00000000-0004-0000-0400-00002D0D0000}"/>
    <hyperlink ref="I906" r:id="rId3375" display="https://docs.google.com/open?id=1ZAh-POS4IjlD2tAMXbtHwClTdpqE6l1x6BjzrPbIuYc" xr:uid="{00000000-0004-0000-0400-00002E0D0000}"/>
    <hyperlink ref="D907" r:id="rId3376" display="https://drive.google.com/open?id=1ZAjs8uOUu7KESrx8g76IIGgkiTAegU2Tt0XLsaupjXk&amp;usp=drive_copy" xr:uid="{00000000-0004-0000-0400-00002F0D0000}"/>
    <hyperlink ref="E907" r:id="rId3377" display="https://drive.google.com/open?id=1ZAjs8uOUu7KESrx8g76IIGgkiTAegU2Tt0XLsaupjXk" xr:uid="{00000000-0004-0000-0400-0000300D0000}"/>
    <hyperlink ref="H907" r:id="rId3378" display="https://docs.google.com/spreadsheets/d/1ZAjs8uOUu7KESrx8g76IIGgkiTAegU2Tt0XLsaupjXk" xr:uid="{00000000-0004-0000-0400-0000310D0000}"/>
    <hyperlink ref="I907" r:id="rId3379" display="https://docs.google.com/open?id=1ZAjs8uOUu7KESrx8g76IIGgkiTAegU2Tt0XLsaupjXk" xr:uid="{00000000-0004-0000-0400-0000320D0000}"/>
    <hyperlink ref="D908" r:id="rId3380" display="https://drive.google.com/open?id=1_RlN0CKB4oFHtLfEPSJ_YfvD7h0DBUwU4T2yuUDA6aA&amp;usp=drive_copy" xr:uid="{00000000-0004-0000-0400-0000330D0000}"/>
    <hyperlink ref="E908" r:id="rId3381" display="https://drive.google.com/open?id=1_RlN0CKB4oFHtLfEPSJ_YfvD7h0DBUwU4T2yuUDA6aA" xr:uid="{00000000-0004-0000-0400-0000340D0000}"/>
    <hyperlink ref="H908" r:id="rId3382" display="https://docs.google.com/spreadsheets/d/1_RlN0CKB4oFHtLfEPSJ_YfvD7h0DBUwU4T2yuUDA6aA" xr:uid="{00000000-0004-0000-0400-0000350D0000}"/>
    <hyperlink ref="I908" r:id="rId3383" display="https://docs.google.com/open?id=1_RlN0CKB4oFHtLfEPSJ_YfvD7h0DBUwU4T2yuUDA6aA" xr:uid="{00000000-0004-0000-0400-0000360D0000}"/>
    <hyperlink ref="D909" r:id="rId3384" display="https://drive.google.com/open?id=1csVtVocDwYktqQHT0X6msdnFWO0-LIeo5Pvful2mYe0&amp;usp=drive_copy" xr:uid="{00000000-0004-0000-0400-0000370D0000}"/>
    <hyperlink ref="E909" r:id="rId3385" display="https://drive.google.com/open?id=1csVtVocDwYktqQHT0X6msdnFWO0-LIeo5Pvful2mYe0" xr:uid="{00000000-0004-0000-0400-0000380D0000}"/>
    <hyperlink ref="H909" r:id="rId3386" display="https://docs.google.com/spreadsheets/d/1csVtVocDwYktqQHT0X6msdnFWO0-LIeo5Pvful2mYe0" xr:uid="{00000000-0004-0000-0400-0000390D0000}"/>
    <hyperlink ref="I909" r:id="rId3387" display="https://docs.google.com/open?id=1csVtVocDwYktqQHT0X6msdnFWO0-LIeo5Pvful2mYe0" xr:uid="{00000000-0004-0000-0400-00003A0D0000}"/>
    <hyperlink ref="D910" r:id="rId3388" display="https://drive.google.com/open?id=1itD7aYIfVoWMXwLix1VKtMaA65kphtZ6BmVMI3St-lw&amp;usp=drive_copy" xr:uid="{00000000-0004-0000-0400-00003B0D0000}"/>
    <hyperlink ref="E910" r:id="rId3389" display="https://drive.google.com/open?id=1itD7aYIfVoWMXwLix1VKtMaA65kphtZ6BmVMI3St-lw" xr:uid="{00000000-0004-0000-0400-00003C0D0000}"/>
    <hyperlink ref="H910" r:id="rId3390" display="https://docs.google.com/spreadsheets/d/1itD7aYIfVoWMXwLix1VKtMaA65kphtZ6BmVMI3St-lw" xr:uid="{00000000-0004-0000-0400-00003D0D0000}"/>
    <hyperlink ref="I910" r:id="rId3391" display="https://docs.google.com/open?id=1itD7aYIfVoWMXwLix1VKtMaA65kphtZ6BmVMI3St-lw" xr:uid="{00000000-0004-0000-0400-00003E0D0000}"/>
    <hyperlink ref="D911" r:id="rId3392" display="https://drive.google.com/open?id=1jRR5WGplGtp1GxJxtUDW66MOWCeFhBhceNQS0tSCfKI&amp;usp=drive_copy" xr:uid="{00000000-0004-0000-0400-00003F0D0000}"/>
    <hyperlink ref="E911" r:id="rId3393" display="https://drive.google.com/open?id=1jRR5WGplGtp1GxJxtUDW66MOWCeFhBhceNQS0tSCfKI" xr:uid="{00000000-0004-0000-0400-0000400D0000}"/>
    <hyperlink ref="H911" r:id="rId3394" display="https://docs.google.com/spreadsheets/d/1jRR5WGplGtp1GxJxtUDW66MOWCeFhBhceNQS0tSCfKI" xr:uid="{00000000-0004-0000-0400-0000410D0000}"/>
    <hyperlink ref="I911" r:id="rId3395" display="https://docs.google.com/open?id=1jRR5WGplGtp1GxJxtUDW66MOWCeFhBhceNQS0tSCfKI" xr:uid="{00000000-0004-0000-0400-0000420D0000}"/>
    <hyperlink ref="D912" r:id="rId3396" display="https://drive.google.com/open?id=1pCy-7uCgNB6oTZL8D5rl2sClI77OeSEC0-Gmapc316U&amp;usp=drive_copy" xr:uid="{00000000-0004-0000-0400-0000430D0000}"/>
    <hyperlink ref="E912" r:id="rId3397" display="https://drive.google.com/open?id=1pCy-7uCgNB6oTZL8D5rl2sClI77OeSEC0-Gmapc316U" xr:uid="{00000000-0004-0000-0400-0000440D0000}"/>
    <hyperlink ref="H912" r:id="rId3398" display="https://docs.google.com/spreadsheets/d/1pCy-7uCgNB6oTZL8D5rl2sClI77OeSEC0-Gmapc316U" xr:uid="{00000000-0004-0000-0400-0000450D0000}"/>
    <hyperlink ref="I912" r:id="rId3399" display="https://docs.google.com/open?id=1pCy-7uCgNB6oTZL8D5rl2sClI77OeSEC0-Gmapc316U" xr:uid="{00000000-0004-0000-0400-0000460D0000}"/>
    <hyperlink ref="D913" r:id="rId3400" display="https://drive.google.com/open?id=1rBfHBEcwMgZWV8H6veyT4I357O8fiuHjufKX3AAPC6g&amp;usp=drive_copy" xr:uid="{00000000-0004-0000-0400-0000470D0000}"/>
    <hyperlink ref="E913" r:id="rId3401" display="https://drive.google.com/open?id=1rBfHBEcwMgZWV8H6veyT4I357O8fiuHjufKX3AAPC6g" xr:uid="{00000000-0004-0000-0400-0000480D0000}"/>
    <hyperlink ref="H913" r:id="rId3402" display="https://docs.google.com/spreadsheets/d/1rBfHBEcwMgZWV8H6veyT4I357O8fiuHjufKX3AAPC6g" xr:uid="{00000000-0004-0000-0400-0000490D0000}"/>
    <hyperlink ref="I913" r:id="rId3403" display="https://docs.google.com/open?id=1rBfHBEcwMgZWV8H6veyT4I357O8fiuHjufKX3AAPC6g" xr:uid="{00000000-0004-0000-0400-00004A0D0000}"/>
    <hyperlink ref="D914" r:id="rId3404" display="https://drive.google.com/open?id=1rDqG8HquCwW9pnZZCYlHGX7ElQehNuNDHFV-OcxgQXA&amp;usp=drive_copy" xr:uid="{00000000-0004-0000-0400-00004B0D0000}"/>
    <hyperlink ref="E914" r:id="rId3405" display="https://drive.google.com/open?id=1rDqG8HquCwW9pnZZCYlHGX7ElQehNuNDHFV-OcxgQXA" xr:uid="{00000000-0004-0000-0400-00004C0D0000}"/>
    <hyperlink ref="H914" r:id="rId3406" display="https://docs.google.com/spreadsheets/d/1rDqG8HquCwW9pnZZCYlHGX7ElQehNuNDHFV-OcxgQXA" xr:uid="{00000000-0004-0000-0400-00004D0D0000}"/>
    <hyperlink ref="I914" r:id="rId3407" display="https://docs.google.com/open?id=1rDqG8HquCwW9pnZZCYlHGX7ElQehNuNDHFV-OcxgQXA" xr:uid="{00000000-0004-0000-0400-00004E0D0000}"/>
    <hyperlink ref="D915" r:id="rId3408" display="https://drive.google.com/open?id=1rcN_QM9ff91-_lRk_nMKAGVj3BuhRP0rKJHmf6BMUDI&amp;usp=drive_copy" xr:uid="{00000000-0004-0000-0400-00004F0D0000}"/>
    <hyperlink ref="E915" r:id="rId3409" display="https://drive.google.com/open?id=1rcN_QM9ff91-_lRk_nMKAGVj3BuhRP0rKJHmf6BMUDI" xr:uid="{00000000-0004-0000-0400-0000500D0000}"/>
    <hyperlink ref="H915" r:id="rId3410" display="https://docs.google.com/spreadsheets/d/1rcN_QM9ff91-_lRk_nMKAGVj3BuhRP0rKJHmf6BMUDI" xr:uid="{00000000-0004-0000-0400-0000510D0000}"/>
    <hyperlink ref="I915" r:id="rId3411" display="https://docs.google.com/open?id=1rcN_QM9ff91-_lRk_nMKAGVj3BuhRP0rKJHmf6BMUDI" xr:uid="{00000000-0004-0000-0400-0000520D0000}"/>
    <hyperlink ref="D916" r:id="rId3412" display="https://drive.google.com/open?id=1upMbc2DOHsxHu_J0dPK37xsFchSINnXvgmYGT1j2Pcs&amp;usp=drive_copy" xr:uid="{00000000-0004-0000-0400-0000530D0000}"/>
    <hyperlink ref="E916" r:id="rId3413" display="https://drive.google.com/open?id=1upMbc2DOHsxHu_J0dPK37xsFchSINnXvgmYGT1j2Pcs" xr:uid="{00000000-0004-0000-0400-0000540D0000}"/>
    <hyperlink ref="H916" r:id="rId3414" display="https://docs.google.com/spreadsheets/d/1upMbc2DOHsxHu_J0dPK37xsFchSINnXvgmYGT1j2Pcs" xr:uid="{00000000-0004-0000-0400-0000550D0000}"/>
    <hyperlink ref="I916" r:id="rId3415" display="https://docs.google.com/open?id=1upMbc2DOHsxHu_J0dPK37xsFchSINnXvgmYGT1j2Pcs" xr:uid="{00000000-0004-0000-0400-0000560D0000}"/>
    <hyperlink ref="D917" r:id="rId3416" display="https://drive.google.com/open?id=1v0B78fGKszZ0MIaj-OsnW-lOHAaOl0XbwGzHp5U5K90&amp;usp=drive_copy" xr:uid="{00000000-0004-0000-0400-0000570D0000}"/>
    <hyperlink ref="E917" r:id="rId3417" display="https://drive.google.com/open?id=1v0B78fGKszZ0MIaj-OsnW-lOHAaOl0XbwGzHp5U5K90" xr:uid="{00000000-0004-0000-0400-0000580D0000}"/>
    <hyperlink ref="H917" r:id="rId3418" display="https://docs.google.com/spreadsheets/d/1v0B78fGKszZ0MIaj-OsnW-lOHAaOl0XbwGzHp5U5K90" xr:uid="{00000000-0004-0000-0400-0000590D0000}"/>
    <hyperlink ref="I917" r:id="rId3419" display="https://docs.google.com/open?id=1v0B78fGKszZ0MIaj-OsnW-lOHAaOl0XbwGzHp5U5K90" xr:uid="{00000000-0004-0000-0400-00005A0D0000}"/>
    <hyperlink ref="D918" r:id="rId3420" display="https://drive.google.com/open?id=1wvernDXmT_2VrScpmuBFFqYiEp5inaacKpnz9OgbA7c&amp;usp=drive_copy" xr:uid="{00000000-0004-0000-0400-00005B0D0000}"/>
    <hyperlink ref="E918" r:id="rId3421" display="https://drive.google.com/open?id=1wvernDXmT_2VrScpmuBFFqYiEp5inaacKpnz9OgbA7c" xr:uid="{00000000-0004-0000-0400-00005C0D0000}"/>
    <hyperlink ref="H918" r:id="rId3422" display="https://docs.google.com/spreadsheets/d/1wvernDXmT_2VrScpmuBFFqYiEp5inaacKpnz9OgbA7c" xr:uid="{00000000-0004-0000-0400-00005D0D0000}"/>
    <hyperlink ref="I918" r:id="rId3423" display="https://docs.google.com/open?id=1wvernDXmT_2VrScpmuBFFqYiEp5inaacKpnz9OgbA7c" xr:uid="{00000000-0004-0000-0400-00005E0D0000}"/>
    <hyperlink ref="D919" r:id="rId3424" display="https://drive.google.com/open?id=1yMOLYb9iMFQeZGQLZTLsfmd4PiLm0glG1p5dxYVzzQo&amp;usp=drive_copy" xr:uid="{00000000-0004-0000-0400-00005F0D0000}"/>
    <hyperlink ref="E919" r:id="rId3425" display="https://drive.google.com/open?id=1yMOLYb9iMFQeZGQLZTLsfmd4PiLm0glG1p5dxYVzzQo" xr:uid="{00000000-0004-0000-0400-0000600D0000}"/>
    <hyperlink ref="H919" r:id="rId3426" display="https://docs.google.com/spreadsheets/d/1yMOLYb9iMFQeZGQLZTLsfmd4PiLm0glG1p5dxYVzzQo" xr:uid="{00000000-0004-0000-0400-0000610D0000}"/>
    <hyperlink ref="I919" r:id="rId3427" display="https://docs.google.com/open?id=1yMOLYb9iMFQeZGQLZTLsfmd4PiLm0glG1p5dxYVzzQo" xr:uid="{00000000-0004-0000-0400-0000620D0000}"/>
    <hyperlink ref="D920" r:id="rId3428" display="https://drive.google.com/open?id=13ny4rOEDEnY1AGkF5RMKA1PU0YlibcUxOK5H3q3Is-M&amp;usp=drive_copy" xr:uid="{00000000-0004-0000-0400-0000630D0000}"/>
    <hyperlink ref="E920" r:id="rId3429" display="https://drive.google.com/open?id=13ny4rOEDEnY1AGkF5RMKA1PU0YlibcUxOK5H3q3Is-M" xr:uid="{00000000-0004-0000-0400-0000640D0000}"/>
    <hyperlink ref="H920" r:id="rId3430" display="https://docs.google.com/spreadsheets/d/13ny4rOEDEnY1AGkF5RMKA1PU0YlibcUxOK5H3q3Is-M" xr:uid="{00000000-0004-0000-0400-0000650D0000}"/>
    <hyperlink ref="I920" r:id="rId3431" display="https://docs.google.com/open?id=13ny4rOEDEnY1AGkF5RMKA1PU0YlibcUxOK5H3q3Is-M" xr:uid="{00000000-0004-0000-0400-0000660D0000}"/>
    <hyperlink ref="D921" r:id="rId3432" display="https://drive.google.com/open?id=16w475vVUAnM6o9vbOIsGpgiM76cKmsCLKWT-tz2V7tg&amp;usp=drive_copy" xr:uid="{00000000-0004-0000-0400-0000670D0000}"/>
    <hyperlink ref="E921" r:id="rId3433" display="https://drive.google.com/open?id=16w475vVUAnM6o9vbOIsGpgiM76cKmsCLKWT-tz2V7tg" xr:uid="{00000000-0004-0000-0400-0000680D0000}"/>
    <hyperlink ref="H921" r:id="rId3434" display="https://docs.google.com/spreadsheets/d/16w475vVUAnM6o9vbOIsGpgiM76cKmsCLKWT-tz2V7tg" xr:uid="{00000000-0004-0000-0400-0000690D0000}"/>
    <hyperlink ref="I921" r:id="rId3435" display="https://docs.google.com/open?id=16w475vVUAnM6o9vbOIsGpgiM76cKmsCLKWT-tz2V7tg" xr:uid="{00000000-0004-0000-0400-00006A0D0000}"/>
    <hyperlink ref="D922" r:id="rId3436" display="https://drive.google.com/open?id=180j7fWgZqA8Otl5yj05uFReYYKDtMlv7iRwSqorboWY&amp;usp=drive_copy" xr:uid="{00000000-0004-0000-0400-00006B0D0000}"/>
    <hyperlink ref="E922" r:id="rId3437" display="https://drive.google.com/open?id=180j7fWgZqA8Otl5yj05uFReYYKDtMlv7iRwSqorboWY" xr:uid="{00000000-0004-0000-0400-00006C0D0000}"/>
    <hyperlink ref="H922" r:id="rId3438" display="https://docs.google.com/spreadsheets/d/180j7fWgZqA8Otl5yj05uFReYYKDtMlv7iRwSqorboWY" xr:uid="{00000000-0004-0000-0400-00006D0D0000}"/>
    <hyperlink ref="I922" r:id="rId3439" display="https://docs.google.com/open?id=180j7fWgZqA8Otl5yj05uFReYYKDtMlv7iRwSqorboWY" xr:uid="{00000000-0004-0000-0400-00006E0D0000}"/>
    <hyperlink ref="D923" r:id="rId3440" display="https://drive.google.com/open?id=18AYpcdqW__Uj8oUK72dYYPB5Q2hpTfCpuTq7Cw18ztQ&amp;usp=drive_copy" xr:uid="{00000000-0004-0000-0400-00006F0D0000}"/>
    <hyperlink ref="E923" r:id="rId3441" display="https://drive.google.com/open?id=18AYpcdqW__Uj8oUK72dYYPB5Q2hpTfCpuTq7Cw18ztQ" xr:uid="{00000000-0004-0000-0400-0000700D0000}"/>
    <hyperlink ref="H923" r:id="rId3442" display="https://docs.google.com/spreadsheets/d/18AYpcdqW__Uj8oUK72dYYPB5Q2hpTfCpuTq7Cw18ztQ" xr:uid="{00000000-0004-0000-0400-0000710D0000}"/>
    <hyperlink ref="I923" r:id="rId3443" display="https://docs.google.com/open?id=18AYpcdqW__Uj8oUK72dYYPB5Q2hpTfCpuTq7Cw18ztQ" xr:uid="{00000000-0004-0000-0400-0000720D0000}"/>
    <hyperlink ref="D924" r:id="rId3444" display="https://drive.google.com/open?id=1BQLMl-8UBuSeh_FgdAPlfzOpMjxjY9XTh4On8FtFbJE&amp;usp=drive_copy" xr:uid="{00000000-0004-0000-0400-0000730D0000}"/>
    <hyperlink ref="E924" r:id="rId3445" display="https://drive.google.com/open?id=1BQLMl-8UBuSeh_FgdAPlfzOpMjxjY9XTh4On8FtFbJE" xr:uid="{00000000-0004-0000-0400-0000740D0000}"/>
    <hyperlink ref="H924" r:id="rId3446" display="https://docs.google.com/spreadsheets/d/1BQLMl-8UBuSeh_FgdAPlfzOpMjxjY9XTh4On8FtFbJE" xr:uid="{00000000-0004-0000-0400-0000750D0000}"/>
    <hyperlink ref="I924" r:id="rId3447" display="https://docs.google.com/open?id=1BQLMl-8UBuSeh_FgdAPlfzOpMjxjY9XTh4On8FtFbJE" xr:uid="{00000000-0004-0000-0400-0000760D0000}"/>
    <hyperlink ref="D925" r:id="rId3448" display="https://drive.google.com/open?id=1FhbQwC2P78N7UvKbbEf4fZtLjUTmB9qkm15EbeT8pGI&amp;usp=drive_copy" xr:uid="{00000000-0004-0000-0400-0000770D0000}"/>
    <hyperlink ref="E925" r:id="rId3449" display="https://drive.google.com/open?id=1FhbQwC2P78N7UvKbbEf4fZtLjUTmB9qkm15EbeT8pGI" xr:uid="{00000000-0004-0000-0400-0000780D0000}"/>
    <hyperlink ref="H925" r:id="rId3450" display="https://docs.google.com/spreadsheets/d/1FhbQwC2P78N7UvKbbEf4fZtLjUTmB9qkm15EbeT8pGI" xr:uid="{00000000-0004-0000-0400-0000790D0000}"/>
    <hyperlink ref="I925" r:id="rId3451" display="https://docs.google.com/open?id=1FhbQwC2P78N7UvKbbEf4fZtLjUTmB9qkm15EbeT8pGI" xr:uid="{00000000-0004-0000-0400-00007A0D0000}"/>
    <hyperlink ref="D926" r:id="rId3452" display="https://drive.google.com/open?id=1J4_dGJ0Evjsn88mrszCUSfHjg7Sv7ek2a9AdeLZNGcs&amp;usp=drive_copy" xr:uid="{00000000-0004-0000-0400-00007B0D0000}"/>
    <hyperlink ref="E926" r:id="rId3453" display="https://drive.google.com/open?id=1J4_dGJ0Evjsn88mrszCUSfHjg7Sv7ek2a9AdeLZNGcs" xr:uid="{00000000-0004-0000-0400-00007C0D0000}"/>
    <hyperlink ref="H926" r:id="rId3454" display="https://docs.google.com/spreadsheets/d/1J4_dGJ0Evjsn88mrszCUSfHjg7Sv7ek2a9AdeLZNGcs" xr:uid="{00000000-0004-0000-0400-00007D0D0000}"/>
    <hyperlink ref="I926" r:id="rId3455" display="https://docs.google.com/open?id=1J4_dGJ0Evjsn88mrszCUSfHjg7Sv7ek2a9AdeLZNGcs" xr:uid="{00000000-0004-0000-0400-00007E0D0000}"/>
    <hyperlink ref="D927" r:id="rId3456" display="https://drive.google.com/open?id=1Kk5ljm1U1aNX9U-iO3woyNGOVfHVoaCk0XRcsdKqFE8&amp;usp=drive_copy" xr:uid="{00000000-0004-0000-0400-00007F0D0000}"/>
    <hyperlink ref="E927" r:id="rId3457" display="https://drive.google.com/open?id=1Kk5ljm1U1aNX9U-iO3woyNGOVfHVoaCk0XRcsdKqFE8" xr:uid="{00000000-0004-0000-0400-0000800D0000}"/>
    <hyperlink ref="H927" r:id="rId3458" display="https://docs.google.com/spreadsheets/d/1Kk5ljm1U1aNX9U-iO3woyNGOVfHVoaCk0XRcsdKqFE8" xr:uid="{00000000-0004-0000-0400-0000810D0000}"/>
    <hyperlink ref="I927" r:id="rId3459" display="https://docs.google.com/open?id=1Kk5ljm1U1aNX9U-iO3woyNGOVfHVoaCk0XRcsdKqFE8" xr:uid="{00000000-0004-0000-0400-0000820D0000}"/>
    <hyperlink ref="D928" r:id="rId3460" display="https://drive.google.com/open?id=1M4Ei5XLHh_AqnIF9110SlxEJXFTIrySqKK8HMc9rT8k&amp;usp=drive_copy" xr:uid="{00000000-0004-0000-0400-0000830D0000}"/>
    <hyperlink ref="E928" r:id="rId3461" display="https://drive.google.com/open?id=1M4Ei5XLHh_AqnIF9110SlxEJXFTIrySqKK8HMc9rT8k" xr:uid="{00000000-0004-0000-0400-0000840D0000}"/>
    <hyperlink ref="H928" r:id="rId3462" display="https://docs.google.com/spreadsheets/d/1M4Ei5XLHh_AqnIF9110SlxEJXFTIrySqKK8HMc9rT8k" xr:uid="{00000000-0004-0000-0400-0000850D0000}"/>
    <hyperlink ref="I928" r:id="rId3463" display="https://docs.google.com/open?id=1M4Ei5XLHh_AqnIF9110SlxEJXFTIrySqKK8HMc9rT8k" xr:uid="{00000000-0004-0000-0400-0000860D0000}"/>
    <hyperlink ref="D929" r:id="rId3464" display="https://drive.google.com/open?id=1MKr_jjc4GXU_Zmbncl1XMESpZh3TKe1CYRcrgEzOrc4&amp;usp=drive_copy" xr:uid="{00000000-0004-0000-0400-0000870D0000}"/>
    <hyperlink ref="E929" r:id="rId3465" display="https://drive.google.com/open?id=1MKr_jjc4GXU_Zmbncl1XMESpZh3TKe1CYRcrgEzOrc4" xr:uid="{00000000-0004-0000-0400-0000880D0000}"/>
    <hyperlink ref="H929" r:id="rId3466" display="https://docs.google.com/spreadsheets/d/1MKr_jjc4GXU_Zmbncl1XMESpZh3TKe1CYRcrgEzOrc4" xr:uid="{00000000-0004-0000-0400-0000890D0000}"/>
    <hyperlink ref="I929" r:id="rId3467" display="https://docs.google.com/open?id=1MKr_jjc4GXU_Zmbncl1XMESpZh3TKe1CYRcrgEzOrc4" xr:uid="{00000000-0004-0000-0400-00008A0D0000}"/>
    <hyperlink ref="D930" r:id="rId3468" display="https://drive.google.com/open?id=1RSm8btu3tw7llgbpmDPWH25n7KJAahHQqNmgb8cE86o&amp;usp=drive_copy" xr:uid="{00000000-0004-0000-0400-00008B0D0000}"/>
    <hyperlink ref="E930" r:id="rId3469" display="https://drive.google.com/open?id=1RSm8btu3tw7llgbpmDPWH25n7KJAahHQqNmgb8cE86o" xr:uid="{00000000-0004-0000-0400-00008C0D0000}"/>
    <hyperlink ref="H930" r:id="rId3470" display="https://docs.google.com/spreadsheets/d/1RSm8btu3tw7llgbpmDPWH25n7KJAahHQqNmgb8cE86o" xr:uid="{00000000-0004-0000-0400-00008D0D0000}"/>
    <hyperlink ref="I930" r:id="rId3471" display="https://docs.google.com/open?id=1RSm8btu3tw7llgbpmDPWH25n7KJAahHQqNmgb8cE86o" xr:uid="{00000000-0004-0000-0400-00008E0D0000}"/>
    <hyperlink ref="D931" r:id="rId3472" display="https://drive.google.com/open?id=1VHeVNoEakEu_3Fys9GdA0tpaonxhxhDzgZdJEhTw7u0&amp;usp=drive_copy" xr:uid="{00000000-0004-0000-0400-00008F0D0000}"/>
    <hyperlink ref="E931" r:id="rId3473" display="https://drive.google.com/open?id=1VHeVNoEakEu_3Fys9GdA0tpaonxhxhDzgZdJEhTw7u0" xr:uid="{00000000-0004-0000-0400-0000900D0000}"/>
    <hyperlink ref="H931" r:id="rId3474" display="https://docs.google.com/spreadsheets/d/1VHeVNoEakEu_3Fys9GdA0tpaonxhxhDzgZdJEhTw7u0" xr:uid="{00000000-0004-0000-0400-0000910D0000}"/>
    <hyperlink ref="I931" r:id="rId3475" display="https://docs.google.com/open?id=1VHeVNoEakEu_3Fys9GdA0tpaonxhxhDzgZdJEhTw7u0" xr:uid="{00000000-0004-0000-0400-0000920D0000}"/>
    <hyperlink ref="D932" r:id="rId3476" display="https://drive.google.com/open?id=1W8-YnxJU9mEmehXQIh8Ljt6bMy3x95GwhJYHGegfkxw&amp;usp=drive_copy" xr:uid="{00000000-0004-0000-0400-0000930D0000}"/>
    <hyperlink ref="E932" r:id="rId3477" display="https://drive.google.com/open?id=1W8-YnxJU9mEmehXQIh8Ljt6bMy3x95GwhJYHGegfkxw" xr:uid="{00000000-0004-0000-0400-0000940D0000}"/>
    <hyperlink ref="H932" r:id="rId3478" display="https://docs.google.com/spreadsheets/d/1W8-YnxJU9mEmehXQIh8Ljt6bMy3x95GwhJYHGegfkxw" xr:uid="{00000000-0004-0000-0400-0000950D0000}"/>
    <hyperlink ref="I932" r:id="rId3479" display="https://docs.google.com/open?id=1W8-YnxJU9mEmehXQIh8Ljt6bMy3x95GwhJYHGegfkxw" xr:uid="{00000000-0004-0000-0400-0000960D0000}"/>
    <hyperlink ref="D933" r:id="rId3480" display="https://drive.google.com/open?id=1hwkAUAByOT0oYcNjrPJFJL25inXb2j0PllUvrBO5hvQ&amp;usp=drive_copy" xr:uid="{00000000-0004-0000-0400-0000970D0000}"/>
    <hyperlink ref="E933" r:id="rId3481" display="https://drive.google.com/open?id=1hwkAUAByOT0oYcNjrPJFJL25inXb2j0PllUvrBO5hvQ" xr:uid="{00000000-0004-0000-0400-0000980D0000}"/>
    <hyperlink ref="H933" r:id="rId3482" display="https://docs.google.com/spreadsheets/d/1hwkAUAByOT0oYcNjrPJFJL25inXb2j0PllUvrBO5hvQ" xr:uid="{00000000-0004-0000-0400-0000990D0000}"/>
    <hyperlink ref="I933" r:id="rId3483" display="https://docs.google.com/open?id=1hwkAUAByOT0oYcNjrPJFJL25inXb2j0PllUvrBO5hvQ" xr:uid="{00000000-0004-0000-0400-00009A0D0000}"/>
    <hyperlink ref="D934" r:id="rId3484" display="https://drive.google.com/open?id=1rE_ckqhKl7FSC5fenyBrcNODErnTSokKP3B0_36z4CY&amp;usp=drive_copy" xr:uid="{00000000-0004-0000-0400-00009B0D0000}"/>
    <hyperlink ref="E934" r:id="rId3485" display="https://drive.google.com/open?id=1rE_ckqhKl7FSC5fenyBrcNODErnTSokKP3B0_36z4CY" xr:uid="{00000000-0004-0000-0400-00009C0D0000}"/>
    <hyperlink ref="H934" r:id="rId3486" display="https://docs.google.com/spreadsheets/d/1rE_ckqhKl7FSC5fenyBrcNODErnTSokKP3B0_36z4CY" xr:uid="{00000000-0004-0000-0400-00009D0D0000}"/>
    <hyperlink ref="I934" r:id="rId3487" display="https://docs.google.com/open?id=1rE_ckqhKl7FSC5fenyBrcNODErnTSokKP3B0_36z4CY" xr:uid="{00000000-0004-0000-0400-00009E0D0000}"/>
    <hyperlink ref="D935" r:id="rId3488" display="https://drive.google.com/open?id=1s2TfMVV6iHv16riausmRZ11glqryl6mn7rLxUsFPe00&amp;usp=drive_copy" xr:uid="{00000000-0004-0000-0400-00009F0D0000}"/>
    <hyperlink ref="E935" r:id="rId3489" display="https://drive.google.com/open?id=1s2TfMVV6iHv16riausmRZ11glqryl6mn7rLxUsFPe00" xr:uid="{00000000-0004-0000-0400-0000A00D0000}"/>
    <hyperlink ref="H935" r:id="rId3490" display="https://docs.google.com/spreadsheets/d/1s2TfMVV6iHv16riausmRZ11glqryl6mn7rLxUsFPe00" xr:uid="{00000000-0004-0000-0400-0000A10D0000}"/>
    <hyperlink ref="I935" r:id="rId3491" display="https://docs.google.com/open?id=1s2TfMVV6iHv16riausmRZ11glqryl6mn7rLxUsFPe00" xr:uid="{00000000-0004-0000-0400-0000A20D0000}"/>
    <hyperlink ref="D936" r:id="rId3492" display="https://drive.google.com/open?id=1JzcGtbGzXkzj43IU3jfTpNYbAR-EcA_b2T5o8vdTkeo&amp;usp=drive_copy" xr:uid="{00000000-0004-0000-0400-0000A30D0000}"/>
    <hyperlink ref="E936" r:id="rId3493" display="https://drive.google.com/open?id=1JzcGtbGzXkzj43IU3jfTpNYbAR-EcA_b2T5o8vdTkeo" xr:uid="{00000000-0004-0000-0400-0000A40D0000}"/>
    <hyperlink ref="H936" r:id="rId3494" display="https://docs.google.com/spreadsheets/d/1JzcGtbGzXkzj43IU3jfTpNYbAR-EcA_b2T5o8vdTkeo" xr:uid="{00000000-0004-0000-0400-0000A50D0000}"/>
    <hyperlink ref="I936" r:id="rId3495" display="https://docs.google.com/open?id=1JzcGtbGzXkzj43IU3jfTpNYbAR-EcA_b2T5o8vdTkeo" xr:uid="{00000000-0004-0000-0400-0000A60D0000}"/>
    <hyperlink ref="D937" r:id="rId3496" display="https://drive.google.com/open?id=1fbASbdOk6qezIFeASok8XuHnJ5La5Gfv0GGAkgJj468&amp;usp=drive_copy" xr:uid="{00000000-0004-0000-0400-0000A70D0000}"/>
    <hyperlink ref="E937" r:id="rId3497" display="https://drive.google.com/open?id=1fbASbdOk6qezIFeASok8XuHnJ5La5Gfv0GGAkgJj468" xr:uid="{00000000-0004-0000-0400-0000A80D0000}"/>
    <hyperlink ref="H937" r:id="rId3498" display="https://docs.google.com/spreadsheets/d/1fbASbdOk6qezIFeASok8XuHnJ5La5Gfv0GGAkgJj468" xr:uid="{00000000-0004-0000-0400-0000A90D0000}"/>
    <hyperlink ref="I937" r:id="rId3499" display="https://docs.google.com/open?id=1fbASbdOk6qezIFeASok8XuHnJ5La5Gfv0GGAkgJj468" xr:uid="{00000000-0004-0000-0400-0000AA0D0000}"/>
    <hyperlink ref="D938" r:id="rId3500" display="https://drive.google.com/open?id=1rH6kyAVbX8pW5MAOrlk2Jokqia-0_4uWlt2iRtdD1mY&amp;usp=drive_copy" xr:uid="{00000000-0004-0000-0400-0000AB0D0000}"/>
    <hyperlink ref="E938" r:id="rId3501" display="https://drive.google.com/open?id=1rH6kyAVbX8pW5MAOrlk2Jokqia-0_4uWlt2iRtdD1mY" xr:uid="{00000000-0004-0000-0400-0000AC0D0000}"/>
    <hyperlink ref="H938" r:id="rId3502" display="https://docs.google.com/spreadsheets/d/1rH6kyAVbX8pW5MAOrlk2Jokqia-0_4uWlt2iRtdD1mY" xr:uid="{00000000-0004-0000-0400-0000AD0D0000}"/>
    <hyperlink ref="I938" r:id="rId3503" display="https://docs.google.com/open?id=1rH6kyAVbX8pW5MAOrlk2Jokqia-0_4uWlt2iRtdD1mY" xr:uid="{00000000-0004-0000-0400-0000AE0D0000}"/>
    <hyperlink ref="D939" r:id="rId3504" display="https://drive.google.com/open?id=1prdDQAHRhsCE7UAcoNvSUPgG37gcwChHioujJD2Xbe0&amp;usp=drive_copy" xr:uid="{00000000-0004-0000-0400-0000AF0D0000}"/>
    <hyperlink ref="E939" r:id="rId3505" display="https://drive.google.com/open?id=1prdDQAHRhsCE7UAcoNvSUPgG37gcwChHioujJD2Xbe0" xr:uid="{00000000-0004-0000-0400-0000B00D0000}"/>
    <hyperlink ref="H939" r:id="rId3506" display="https://docs.google.com/spreadsheets/d/1prdDQAHRhsCE7UAcoNvSUPgG37gcwChHioujJD2Xbe0" xr:uid="{00000000-0004-0000-0400-0000B10D0000}"/>
    <hyperlink ref="I939" r:id="rId3507" display="https://docs.google.com/open?id=1prdDQAHRhsCE7UAcoNvSUPgG37gcwChHioujJD2Xbe0" xr:uid="{00000000-0004-0000-0400-0000B20D0000}"/>
    <hyperlink ref="D940" r:id="rId3508" display="https://drive.google.com/open?id=1FkaDDLgFi_H-nJcPFo2xv32OCp-8Si-OgH6LiYw4PAo&amp;usp=drive_copy" xr:uid="{00000000-0004-0000-0400-0000B30D0000}"/>
    <hyperlink ref="E940" r:id="rId3509" display="https://drive.google.com/open?id=1FkaDDLgFi_H-nJcPFo2xv32OCp-8Si-OgH6LiYw4PAo" xr:uid="{00000000-0004-0000-0400-0000B40D0000}"/>
    <hyperlink ref="H940" r:id="rId3510" display="https://docs.google.com/spreadsheets/d/1FkaDDLgFi_H-nJcPFo2xv32OCp-8Si-OgH6LiYw4PAo" xr:uid="{00000000-0004-0000-0400-0000B50D0000}"/>
    <hyperlink ref="I940" r:id="rId3511" display="https://docs.google.com/open?id=1FkaDDLgFi_H-nJcPFo2xv32OCp-8Si-OgH6LiYw4PAo" xr:uid="{00000000-0004-0000-0400-0000B60D0000}"/>
    <hyperlink ref="D941" r:id="rId3512" display="https://drive.google.com/open?id=14AjmcSxFqO98I0h0kG6Pk1ZscuoTColeCO15tJvy1I4&amp;usp=drive_copy" xr:uid="{00000000-0004-0000-0400-0000B70D0000}"/>
    <hyperlink ref="E941" r:id="rId3513" display="https://drive.google.com/open?id=14AjmcSxFqO98I0h0kG6Pk1ZscuoTColeCO15tJvy1I4" xr:uid="{00000000-0004-0000-0400-0000B80D0000}"/>
    <hyperlink ref="H941" r:id="rId3514" display="https://docs.google.com/spreadsheets/d/14AjmcSxFqO98I0h0kG6Pk1ZscuoTColeCO15tJvy1I4" xr:uid="{00000000-0004-0000-0400-0000B90D0000}"/>
    <hyperlink ref="I941" r:id="rId3515" display="https://docs.google.com/open?id=14AjmcSxFqO98I0h0kG6Pk1ZscuoTColeCO15tJvy1I4" xr:uid="{00000000-0004-0000-0400-0000BA0D0000}"/>
    <hyperlink ref="D942" r:id="rId3516" display="https://drive.google.com/open?id=1mxuSbGlj9k491eazC4Z3igjTPbInYE79aNtgLPzMC6Y&amp;usp=drive_copy" xr:uid="{00000000-0004-0000-0400-0000BB0D0000}"/>
    <hyperlink ref="E942" r:id="rId3517" display="https://drive.google.com/open?id=1mxuSbGlj9k491eazC4Z3igjTPbInYE79aNtgLPzMC6Y" xr:uid="{00000000-0004-0000-0400-0000BC0D0000}"/>
    <hyperlink ref="H942" r:id="rId3518" display="https://docs.google.com/spreadsheets/d/1mxuSbGlj9k491eazC4Z3igjTPbInYE79aNtgLPzMC6Y" xr:uid="{00000000-0004-0000-0400-0000BD0D0000}"/>
    <hyperlink ref="I942" r:id="rId3519" display="https://docs.google.com/open?id=1mxuSbGlj9k491eazC4Z3igjTPbInYE79aNtgLPzMC6Y" xr:uid="{00000000-0004-0000-0400-0000BE0D0000}"/>
    <hyperlink ref="D943" r:id="rId3520" display="https://drive.google.com/open?id=1QI46iaT6QLn_FWY_QD7lgI6VdaqHfQWt1vFQMPzzr7Q&amp;usp=drive_copy" xr:uid="{00000000-0004-0000-0400-0000BF0D0000}"/>
    <hyperlink ref="E943" r:id="rId3521" display="https://drive.google.com/open?id=1QI46iaT6QLn_FWY_QD7lgI6VdaqHfQWt1vFQMPzzr7Q" xr:uid="{00000000-0004-0000-0400-0000C00D0000}"/>
    <hyperlink ref="H943" r:id="rId3522" display="https://docs.google.com/spreadsheets/d/1QI46iaT6QLn_FWY_QD7lgI6VdaqHfQWt1vFQMPzzr7Q" xr:uid="{00000000-0004-0000-0400-0000C10D0000}"/>
    <hyperlink ref="I943" r:id="rId3523" display="https://docs.google.com/open?id=1QI46iaT6QLn_FWY_QD7lgI6VdaqHfQWt1vFQMPzzr7Q" xr:uid="{00000000-0004-0000-0400-0000C20D0000}"/>
    <hyperlink ref="D944" r:id="rId3524" display="https://drive.google.com/open?id=1P30C7qC89zbuaidMCY1Hk2p00nfFb_PzLKl5HwA-xnU&amp;usp=drive_copy" xr:uid="{00000000-0004-0000-0400-0000C30D0000}"/>
    <hyperlink ref="E944" r:id="rId3525" display="https://drive.google.com/open?id=1P30C7qC89zbuaidMCY1Hk2p00nfFb_PzLKl5HwA-xnU" xr:uid="{00000000-0004-0000-0400-0000C40D0000}"/>
    <hyperlink ref="H944" r:id="rId3526" display="https://docs.google.com/spreadsheets/d/1P30C7qC89zbuaidMCY1Hk2p00nfFb_PzLKl5HwA-xnU" xr:uid="{00000000-0004-0000-0400-0000C50D0000}"/>
    <hyperlink ref="I944" r:id="rId3527" display="https://docs.google.com/open?id=1P30C7qC89zbuaidMCY1Hk2p00nfFb_PzLKl5HwA-xnU" xr:uid="{00000000-0004-0000-0400-0000C60D0000}"/>
    <hyperlink ref="D945" r:id="rId3528" display="https://drive.google.com/open?id=1qCqj-iSsJPsQFZ560U3TOTy78w-l888Ydu7XQ3hU5hM&amp;usp=drive_copy" xr:uid="{00000000-0004-0000-0400-0000C70D0000}"/>
    <hyperlink ref="E945" r:id="rId3529" display="https://drive.google.com/open?id=1qCqj-iSsJPsQFZ560U3TOTy78w-l888Ydu7XQ3hU5hM" xr:uid="{00000000-0004-0000-0400-0000C80D0000}"/>
    <hyperlink ref="H945" r:id="rId3530" display="https://docs.google.com/spreadsheets/d/1qCqj-iSsJPsQFZ560U3TOTy78w-l888Ydu7XQ3hU5hM" xr:uid="{00000000-0004-0000-0400-0000C90D0000}"/>
    <hyperlink ref="I945" r:id="rId3531" display="https://docs.google.com/open?id=1qCqj-iSsJPsQFZ560U3TOTy78w-l888Ydu7XQ3hU5hM" xr:uid="{00000000-0004-0000-0400-0000CA0D0000}"/>
    <hyperlink ref="D946" r:id="rId3532" display="https://drive.google.com/open?id=1gnt4AFyXmaaRGzayHdK0_PmNalG3gRic42cC1r0nYrw&amp;usp=drive_copy" xr:uid="{00000000-0004-0000-0400-0000CB0D0000}"/>
    <hyperlink ref="E946" r:id="rId3533" display="https://drive.google.com/open?id=1gnt4AFyXmaaRGzayHdK0_PmNalG3gRic42cC1r0nYrw" xr:uid="{00000000-0004-0000-0400-0000CC0D0000}"/>
    <hyperlink ref="H946" r:id="rId3534" display="https://docs.google.com/spreadsheets/d/1gnt4AFyXmaaRGzayHdK0_PmNalG3gRic42cC1r0nYrw" xr:uid="{00000000-0004-0000-0400-0000CD0D0000}"/>
    <hyperlink ref="I946" r:id="rId3535" display="https://docs.google.com/open?id=1gnt4AFyXmaaRGzayHdK0_PmNalG3gRic42cC1r0nYrw" xr:uid="{00000000-0004-0000-0400-0000CE0D0000}"/>
    <hyperlink ref="D947" r:id="rId3536" display="https://drive.google.com/open?id=1gD0Ddy423CRu97oM004S2MfK70Xjt-7BpeLO-rPcpqU&amp;usp=drive_copy" xr:uid="{00000000-0004-0000-0400-0000CF0D0000}"/>
    <hyperlink ref="E947" r:id="rId3537" display="https://drive.google.com/open?id=1gD0Ddy423CRu97oM004S2MfK70Xjt-7BpeLO-rPcpqU" xr:uid="{00000000-0004-0000-0400-0000D00D0000}"/>
    <hyperlink ref="H947" r:id="rId3538" display="https://docs.google.com/spreadsheets/d/1gD0Ddy423CRu97oM004S2MfK70Xjt-7BpeLO-rPcpqU" xr:uid="{00000000-0004-0000-0400-0000D10D0000}"/>
    <hyperlink ref="I947" r:id="rId3539" display="https://docs.google.com/open?id=1gD0Ddy423CRu97oM004S2MfK70Xjt-7BpeLO-rPcpqU" xr:uid="{00000000-0004-0000-0400-0000D20D0000}"/>
    <hyperlink ref="D948" r:id="rId3540" display="https://drive.google.com/open?id=1WGDjKIPLXSJ9aE63m6Pfrx8u3HA-zqjEqydTTYEuU40&amp;usp=drive_copy" xr:uid="{00000000-0004-0000-0400-0000D30D0000}"/>
    <hyperlink ref="E948" r:id="rId3541" display="https://drive.google.com/open?id=1WGDjKIPLXSJ9aE63m6Pfrx8u3HA-zqjEqydTTYEuU40" xr:uid="{00000000-0004-0000-0400-0000D40D0000}"/>
    <hyperlink ref="H948" r:id="rId3542" display="https://docs.google.com/spreadsheets/d/1WGDjKIPLXSJ9aE63m6Pfrx8u3HA-zqjEqydTTYEuU40" xr:uid="{00000000-0004-0000-0400-0000D50D0000}"/>
    <hyperlink ref="I948" r:id="rId3543" display="https://docs.google.com/open?id=1WGDjKIPLXSJ9aE63m6Pfrx8u3HA-zqjEqydTTYEuU40" xr:uid="{00000000-0004-0000-0400-0000D60D0000}"/>
    <hyperlink ref="D949" r:id="rId3544" display="https://drive.google.com/open?id=1chPG5BEYUfnuoEuJ6P16A7Hc4nj9jwlPafV2YxyrB0k&amp;usp=drive_copy" xr:uid="{00000000-0004-0000-0400-0000D70D0000}"/>
    <hyperlink ref="E949" r:id="rId3545" display="https://drive.google.com/open?id=1chPG5BEYUfnuoEuJ6P16A7Hc4nj9jwlPafV2YxyrB0k" xr:uid="{00000000-0004-0000-0400-0000D80D0000}"/>
    <hyperlink ref="H949" r:id="rId3546" display="https://docs.google.com/spreadsheets/d/1chPG5BEYUfnuoEuJ6P16A7Hc4nj9jwlPafV2YxyrB0k" xr:uid="{00000000-0004-0000-0400-0000D90D0000}"/>
    <hyperlink ref="I949" r:id="rId3547" display="https://docs.google.com/open?id=1chPG5BEYUfnuoEuJ6P16A7Hc4nj9jwlPafV2YxyrB0k" xr:uid="{00000000-0004-0000-0400-0000DA0D0000}"/>
    <hyperlink ref="D950" r:id="rId3548" display="https://drive.google.com/open?id=1VXp94l-Nfkc0ZTjAuTbJndmx2OXlJ54HqPujmj9PHec&amp;usp=drive_copy" xr:uid="{00000000-0004-0000-0400-0000DB0D0000}"/>
    <hyperlink ref="E950" r:id="rId3549" display="https://drive.google.com/open?id=1VXp94l-Nfkc0ZTjAuTbJndmx2OXlJ54HqPujmj9PHec" xr:uid="{00000000-0004-0000-0400-0000DC0D0000}"/>
    <hyperlink ref="H950" r:id="rId3550" display="https://docs.google.com/spreadsheets/d/1VXp94l-Nfkc0ZTjAuTbJndmx2OXlJ54HqPujmj9PHec" xr:uid="{00000000-0004-0000-0400-0000DD0D0000}"/>
    <hyperlink ref="I950" r:id="rId3551" display="https://docs.google.com/open?id=1VXp94l-Nfkc0ZTjAuTbJndmx2OXlJ54HqPujmj9PHec" xr:uid="{00000000-0004-0000-0400-0000DE0D0000}"/>
    <hyperlink ref="D951" r:id="rId3552" display="https://drive.google.com/open?id=1cJyH9G0xbvBMR_LB1KQIbph10iy8GP-WteejWLRZcuI&amp;usp=drive_copy" xr:uid="{00000000-0004-0000-0400-0000DF0D0000}"/>
    <hyperlink ref="E951" r:id="rId3553" display="https://drive.google.com/open?id=1cJyH9G0xbvBMR_LB1KQIbph10iy8GP-WteejWLRZcuI" xr:uid="{00000000-0004-0000-0400-0000E00D0000}"/>
    <hyperlink ref="H951" r:id="rId3554" display="https://docs.google.com/spreadsheets/d/1cJyH9G0xbvBMR_LB1KQIbph10iy8GP-WteejWLRZcuI" xr:uid="{00000000-0004-0000-0400-0000E10D0000}"/>
    <hyperlink ref="I951" r:id="rId3555" display="https://docs.google.com/open?id=1cJyH9G0xbvBMR_LB1KQIbph10iy8GP-WteejWLRZcuI" xr:uid="{00000000-0004-0000-0400-0000E20D0000}"/>
    <hyperlink ref="D952" r:id="rId3556" display="https://drive.google.com/open?id=1ctiHswOXHo3kzhA152GSX_39DI2sUMqj3xHK9Wqye9M&amp;usp=drive_copy" xr:uid="{00000000-0004-0000-0400-0000E30D0000}"/>
    <hyperlink ref="E952" r:id="rId3557" display="https://drive.google.com/open?id=1ctiHswOXHo3kzhA152GSX_39DI2sUMqj3xHK9Wqye9M" xr:uid="{00000000-0004-0000-0400-0000E40D0000}"/>
    <hyperlink ref="H952" r:id="rId3558" display="https://docs.google.com/spreadsheets/d/1ctiHswOXHo3kzhA152GSX_39DI2sUMqj3xHK9Wqye9M" xr:uid="{00000000-0004-0000-0400-0000E50D0000}"/>
    <hyperlink ref="I952" r:id="rId3559" display="https://docs.google.com/open?id=1ctiHswOXHo3kzhA152GSX_39DI2sUMqj3xHK9Wqye9M" xr:uid="{00000000-0004-0000-0400-0000E60D0000}"/>
    <hyperlink ref="D953" r:id="rId3560" display="https://drive.google.com/open?id=1w9UDOhqKhK10CRAoIXE2ha0jsDoUupzOTUA82u2byeU&amp;usp=drive_copy" xr:uid="{00000000-0004-0000-0400-0000E70D0000}"/>
    <hyperlink ref="E953" r:id="rId3561" display="https://drive.google.com/open?id=1w9UDOhqKhK10CRAoIXE2ha0jsDoUupzOTUA82u2byeU" xr:uid="{00000000-0004-0000-0400-0000E80D0000}"/>
    <hyperlink ref="H953" r:id="rId3562" display="https://docs.google.com/spreadsheets/d/1w9UDOhqKhK10CRAoIXE2ha0jsDoUupzOTUA82u2byeU" xr:uid="{00000000-0004-0000-0400-0000E90D0000}"/>
    <hyperlink ref="I953" r:id="rId3563" display="https://docs.google.com/open?id=1w9UDOhqKhK10CRAoIXE2ha0jsDoUupzOTUA82u2byeU" xr:uid="{00000000-0004-0000-0400-0000EA0D0000}"/>
    <hyperlink ref="D954" r:id="rId3564" display="https://drive.google.com/open?id=1URKqqjoFy9KleK-0wRRLmr7qsdv9kOSC4MDvOL-FBUU&amp;usp=drive_copy" xr:uid="{00000000-0004-0000-0400-0000EB0D0000}"/>
    <hyperlink ref="E954" r:id="rId3565" display="https://drive.google.com/open?id=1URKqqjoFy9KleK-0wRRLmr7qsdv9kOSC4MDvOL-FBUU" xr:uid="{00000000-0004-0000-0400-0000EC0D0000}"/>
    <hyperlink ref="H954" r:id="rId3566" display="https://docs.google.com/spreadsheets/d/1URKqqjoFy9KleK-0wRRLmr7qsdv9kOSC4MDvOL-FBUU" xr:uid="{00000000-0004-0000-0400-0000ED0D0000}"/>
    <hyperlink ref="I954" r:id="rId3567" display="https://docs.google.com/open?id=1URKqqjoFy9KleK-0wRRLmr7qsdv9kOSC4MDvOL-FBUU" xr:uid="{00000000-0004-0000-0400-0000EE0D0000}"/>
    <hyperlink ref="D955" r:id="rId3568" display="https://drive.google.com/open?id=1GCAPpFIfgtRLEPE5cXjUTuIQSSFK4GoNHcD-7Prx-i4&amp;usp=drive_copy" xr:uid="{00000000-0004-0000-0400-0000EF0D0000}"/>
    <hyperlink ref="E955" r:id="rId3569" display="https://drive.google.com/open?id=1GCAPpFIfgtRLEPE5cXjUTuIQSSFK4GoNHcD-7Prx-i4" xr:uid="{00000000-0004-0000-0400-0000F00D0000}"/>
    <hyperlink ref="H955" r:id="rId3570" display="https://docs.google.com/spreadsheets/d/1GCAPpFIfgtRLEPE5cXjUTuIQSSFK4GoNHcD-7Prx-i4" xr:uid="{00000000-0004-0000-0400-0000F10D0000}"/>
    <hyperlink ref="I955" r:id="rId3571" display="https://docs.google.com/open?id=1GCAPpFIfgtRLEPE5cXjUTuIQSSFK4GoNHcD-7Prx-i4" xr:uid="{00000000-0004-0000-0400-0000F20D0000}"/>
    <hyperlink ref="D956" r:id="rId3572" display="https://drive.google.com/open?id=1sriO7LK-YCbgERo-yBZZZuuhBm80zstjcD6_BDzydtY&amp;usp=drive_copy" xr:uid="{00000000-0004-0000-0400-0000F30D0000}"/>
    <hyperlink ref="E956" r:id="rId3573" display="https://drive.google.com/open?id=1sriO7LK-YCbgERo-yBZZZuuhBm80zstjcD6_BDzydtY" xr:uid="{00000000-0004-0000-0400-0000F40D0000}"/>
    <hyperlink ref="H956" r:id="rId3574" display="https://docs.google.com/spreadsheets/d/1sriO7LK-YCbgERo-yBZZZuuhBm80zstjcD6_BDzydtY" xr:uid="{00000000-0004-0000-0400-0000F50D0000}"/>
    <hyperlink ref="I956" r:id="rId3575" display="https://docs.google.com/open?id=1sriO7LK-YCbgERo-yBZZZuuhBm80zstjcD6_BDzydtY" xr:uid="{00000000-0004-0000-0400-0000F60D0000}"/>
    <hyperlink ref="D957" r:id="rId3576" display="https://drive.google.com/open?id=1hxDcUiR2_OPCKIaNZNICweaP8lJDq3LaLREI0EBTJ2Q&amp;usp=drive_copy" xr:uid="{00000000-0004-0000-0400-0000F70D0000}"/>
    <hyperlink ref="E957" r:id="rId3577" display="https://drive.google.com/open?id=1hxDcUiR2_OPCKIaNZNICweaP8lJDq3LaLREI0EBTJ2Q" xr:uid="{00000000-0004-0000-0400-0000F80D0000}"/>
    <hyperlink ref="H957" r:id="rId3578" display="https://docs.google.com/spreadsheets/d/1hxDcUiR2_OPCKIaNZNICweaP8lJDq3LaLREI0EBTJ2Q" xr:uid="{00000000-0004-0000-0400-0000F90D0000}"/>
    <hyperlink ref="I957" r:id="rId3579" display="https://docs.google.com/open?id=1hxDcUiR2_OPCKIaNZNICweaP8lJDq3LaLREI0EBTJ2Q" xr:uid="{00000000-0004-0000-0400-0000FA0D0000}"/>
    <hyperlink ref="D958" r:id="rId3580" display="https://drive.google.com/open?id=14zvWB5Roxv0q_85N-nEiyWk_OkhDmpZrsew3o1AoIMY&amp;usp=drive_copy" xr:uid="{00000000-0004-0000-0400-0000FB0D0000}"/>
    <hyperlink ref="E958" r:id="rId3581" display="https://drive.google.com/open?id=14zvWB5Roxv0q_85N-nEiyWk_OkhDmpZrsew3o1AoIMY" xr:uid="{00000000-0004-0000-0400-0000FC0D0000}"/>
    <hyperlink ref="H958" r:id="rId3582" display="https://docs.google.com/spreadsheets/d/14zvWB5Roxv0q_85N-nEiyWk_OkhDmpZrsew3o1AoIMY" xr:uid="{00000000-0004-0000-0400-0000FD0D0000}"/>
    <hyperlink ref="I958" r:id="rId3583" display="https://docs.google.com/open?id=14zvWB5Roxv0q_85N-nEiyWk_OkhDmpZrsew3o1AoIMY" xr:uid="{00000000-0004-0000-0400-0000FE0D0000}"/>
    <hyperlink ref="D959" r:id="rId3584" display="https://drive.google.com/open?id=1Igi7B-Q9byhFAZ9R8IO-jln7Gl5LHt4lfnQuSKwKl60&amp;usp=drive_copy" xr:uid="{00000000-0004-0000-0400-0000FF0D0000}"/>
    <hyperlink ref="E959" r:id="rId3585" display="https://drive.google.com/open?id=1Igi7B-Q9byhFAZ9R8IO-jln7Gl5LHt4lfnQuSKwKl60" xr:uid="{00000000-0004-0000-0400-0000000E0000}"/>
    <hyperlink ref="H959" r:id="rId3586" display="https://docs.google.com/spreadsheets/d/1Igi7B-Q9byhFAZ9R8IO-jln7Gl5LHt4lfnQuSKwKl60" xr:uid="{00000000-0004-0000-0400-0000010E0000}"/>
    <hyperlink ref="I959" r:id="rId3587" display="https://docs.google.com/open?id=1Igi7B-Q9byhFAZ9R8IO-jln7Gl5LHt4lfnQuSKwKl60" xr:uid="{00000000-0004-0000-0400-0000020E0000}"/>
    <hyperlink ref="D960" r:id="rId3588" display="https://drive.google.com/open?id=1Q1GNst04UgagLwEZ_7X22Iy2C-TWl4929eYPzA-gvbE&amp;usp=drive_copy" xr:uid="{00000000-0004-0000-0400-0000030E0000}"/>
    <hyperlink ref="E960" r:id="rId3589" display="https://drive.google.com/open?id=1Q1GNst04UgagLwEZ_7X22Iy2C-TWl4929eYPzA-gvbE" xr:uid="{00000000-0004-0000-0400-0000040E0000}"/>
    <hyperlink ref="H960" r:id="rId3590" display="https://docs.google.com/spreadsheets/d/1Q1GNst04UgagLwEZ_7X22Iy2C-TWl4929eYPzA-gvbE" xr:uid="{00000000-0004-0000-0400-0000050E0000}"/>
    <hyperlink ref="I960" r:id="rId3591" display="https://docs.google.com/open?id=1Q1GNst04UgagLwEZ_7X22Iy2C-TWl4929eYPzA-gvbE" xr:uid="{00000000-0004-0000-0400-0000060E0000}"/>
    <hyperlink ref="D961" r:id="rId3592" display="https://drive.google.com/open?id=1_mOIsl6Kzf2oblCtDdNkPF7l8gP9vmBlkEQKsWrz1KM&amp;usp=drive_copy" xr:uid="{00000000-0004-0000-0400-0000070E0000}"/>
    <hyperlink ref="E961" r:id="rId3593" display="https://drive.google.com/open?id=1_mOIsl6Kzf2oblCtDdNkPF7l8gP9vmBlkEQKsWrz1KM" xr:uid="{00000000-0004-0000-0400-0000080E0000}"/>
    <hyperlink ref="H961" r:id="rId3594" display="https://docs.google.com/spreadsheets/d/1_mOIsl6Kzf2oblCtDdNkPF7l8gP9vmBlkEQKsWrz1KM" xr:uid="{00000000-0004-0000-0400-0000090E0000}"/>
    <hyperlink ref="I961" r:id="rId3595" display="https://docs.google.com/open?id=1_mOIsl6Kzf2oblCtDdNkPF7l8gP9vmBlkEQKsWrz1KM" xr:uid="{00000000-0004-0000-0400-00000A0E0000}"/>
    <hyperlink ref="D962" r:id="rId3596" display="https://drive.google.com/open?id=1TFECJJopodwekhtR2PKF9WgnAcBWKltb4U9QfBUHZFc&amp;usp=drive_copy" xr:uid="{00000000-0004-0000-0400-00000B0E0000}"/>
    <hyperlink ref="E962" r:id="rId3597" display="https://drive.google.com/open?id=1TFECJJopodwekhtR2PKF9WgnAcBWKltb4U9QfBUHZFc" xr:uid="{00000000-0004-0000-0400-00000C0E0000}"/>
    <hyperlink ref="H962" r:id="rId3598" display="https://docs.google.com/spreadsheets/d/1TFECJJopodwekhtR2PKF9WgnAcBWKltb4U9QfBUHZFc" xr:uid="{00000000-0004-0000-0400-00000D0E0000}"/>
    <hyperlink ref="I962" r:id="rId3599" display="https://docs.google.com/open?id=1TFECJJopodwekhtR2PKF9WgnAcBWKltb4U9QfBUHZFc" xr:uid="{00000000-0004-0000-0400-00000E0E0000}"/>
    <hyperlink ref="D963" r:id="rId3600" display="https://drive.google.com/open?id=17eY4nROJpGsjg1W4voKbNn6KA0Puob4BAm6FRBK5jPQ&amp;usp=drive_copy" xr:uid="{00000000-0004-0000-0400-00000F0E0000}"/>
    <hyperlink ref="E963" r:id="rId3601" display="https://drive.google.com/open?id=17eY4nROJpGsjg1W4voKbNn6KA0Puob4BAm6FRBK5jPQ" xr:uid="{00000000-0004-0000-0400-0000100E0000}"/>
    <hyperlink ref="H963" r:id="rId3602" display="https://docs.google.com/spreadsheets/d/17eY4nROJpGsjg1W4voKbNn6KA0Puob4BAm6FRBK5jPQ" xr:uid="{00000000-0004-0000-0400-0000110E0000}"/>
    <hyperlink ref="I963" r:id="rId3603" display="https://docs.google.com/open?id=17eY4nROJpGsjg1W4voKbNn6KA0Puob4BAm6FRBK5jPQ" xr:uid="{00000000-0004-0000-0400-0000120E0000}"/>
    <hyperlink ref="D964" r:id="rId3604" display="https://drive.google.com/open?id=1hik3PZ4HHAcC15rCCghx5uFz39EaD1w2tTz7NvL9Wv4&amp;usp=drive_copy" xr:uid="{00000000-0004-0000-0400-0000130E0000}"/>
    <hyperlink ref="E964" r:id="rId3605" display="https://drive.google.com/open?id=1hik3PZ4HHAcC15rCCghx5uFz39EaD1w2tTz7NvL9Wv4" xr:uid="{00000000-0004-0000-0400-0000140E0000}"/>
    <hyperlink ref="H964" r:id="rId3606" display="https://docs.google.com/spreadsheets/d/1hik3PZ4HHAcC15rCCghx5uFz39EaD1w2tTz7NvL9Wv4" xr:uid="{00000000-0004-0000-0400-0000150E0000}"/>
    <hyperlink ref="I964" r:id="rId3607" display="https://docs.google.com/open?id=1hik3PZ4HHAcC15rCCghx5uFz39EaD1w2tTz7NvL9Wv4" xr:uid="{00000000-0004-0000-0400-0000160E0000}"/>
    <hyperlink ref="D965" r:id="rId3608" display="https://drive.google.com/open?id=1rUbnpZRlk35FQfy_BzYps7EJWLC6LQvmPDViGnVO1A8&amp;usp=drive_copy" xr:uid="{00000000-0004-0000-0400-0000170E0000}"/>
    <hyperlink ref="E965" r:id="rId3609" display="https://drive.google.com/open?id=1rUbnpZRlk35FQfy_BzYps7EJWLC6LQvmPDViGnVO1A8" xr:uid="{00000000-0004-0000-0400-0000180E0000}"/>
    <hyperlink ref="H965" r:id="rId3610" display="https://docs.google.com/spreadsheets/d/1rUbnpZRlk35FQfy_BzYps7EJWLC6LQvmPDViGnVO1A8" xr:uid="{00000000-0004-0000-0400-0000190E0000}"/>
    <hyperlink ref="I965" r:id="rId3611" display="https://docs.google.com/open?id=1rUbnpZRlk35FQfy_BzYps7EJWLC6LQvmPDViGnVO1A8" xr:uid="{00000000-0004-0000-0400-00001A0E0000}"/>
    <hyperlink ref="D966" r:id="rId3612" display="https://drive.google.com/open?id=1Z2Ie-rgR-WHtE0QkZNjOOd5ecTpkBy3G6MqfhcutgL0&amp;usp=drive_copy" xr:uid="{00000000-0004-0000-0400-00001B0E0000}"/>
    <hyperlink ref="E966" r:id="rId3613" display="https://drive.google.com/open?id=1Z2Ie-rgR-WHtE0QkZNjOOd5ecTpkBy3G6MqfhcutgL0" xr:uid="{00000000-0004-0000-0400-00001C0E0000}"/>
    <hyperlink ref="H966" r:id="rId3614" display="https://docs.google.com/spreadsheets/d/1Z2Ie-rgR-WHtE0QkZNjOOd5ecTpkBy3G6MqfhcutgL0" xr:uid="{00000000-0004-0000-0400-00001D0E0000}"/>
    <hyperlink ref="I966" r:id="rId3615" display="https://docs.google.com/open?id=1Z2Ie-rgR-WHtE0QkZNjOOd5ecTpkBy3G6MqfhcutgL0" xr:uid="{00000000-0004-0000-0400-00001E0E0000}"/>
    <hyperlink ref="D967" r:id="rId3616" display="https://drive.google.com/open?id=1YI2hk4HHlfbWi0j-gFAJvHCuMpfNy6vns0c3r3_HwNg&amp;usp=drive_copy" xr:uid="{00000000-0004-0000-0400-00001F0E0000}"/>
    <hyperlink ref="E967" r:id="rId3617" display="https://drive.google.com/open?id=1YI2hk4HHlfbWi0j-gFAJvHCuMpfNy6vns0c3r3_HwNg" xr:uid="{00000000-0004-0000-0400-0000200E0000}"/>
    <hyperlink ref="H967" r:id="rId3618" display="https://docs.google.com/spreadsheets/d/1YI2hk4HHlfbWi0j-gFAJvHCuMpfNy6vns0c3r3_HwNg" xr:uid="{00000000-0004-0000-0400-0000210E0000}"/>
    <hyperlink ref="I967" r:id="rId3619" display="https://docs.google.com/open?id=1YI2hk4HHlfbWi0j-gFAJvHCuMpfNy6vns0c3r3_HwNg" xr:uid="{00000000-0004-0000-0400-0000220E0000}"/>
    <hyperlink ref="D968" r:id="rId3620" display="https://docs.google.com/spreadsheets/d/1x3trs2wSiz5ktdTSnKOmaf0SXagaoGxqKwbd6xwRG0c/edit?usp=drive_link" xr:uid="{00000000-0004-0000-0400-0000230E0000}"/>
    <hyperlink ref="E968" r:id="rId3621" display="https://docs.google.com/spreadsheets/d/1x3trs2wSiz5ktdTSnKOmaf0SXagaoGxqKwbd6xwRG0c/edit?usp=drive_link" xr:uid="{00000000-0004-0000-0400-0000240E0000}"/>
    <hyperlink ref="H968" r:id="rId3622" display="https://docs.google.com/spreadsheets/d/1x3trs2wSiz5ktdTSnKOmaf0SXagaoGxqKwbd6xwRG0c/edit?usp=drive_link" xr:uid="{00000000-0004-0000-0400-0000250E0000}"/>
    <hyperlink ref="I968" r:id="rId3623" display="https://docs.google.com/spreadsheets/d/1x3trs2wSiz5ktdTSnKOmaf0SXagaoGxqKwbd6xwRG0c/edit?usp=drive_link" xr:uid="{00000000-0004-0000-0400-0000260E0000}"/>
    <hyperlink ref="D969" r:id="rId3624" display="https://drive.google.com/open?id=1VhOX0eYYn9UW6tI66ExqgnezmRHghm1suLHL-YT9a34&amp;usp=drive_copy" xr:uid="{00000000-0004-0000-0400-0000270E0000}"/>
    <hyperlink ref="E969" r:id="rId3625" display="https://drive.google.com/open?id=1VhOX0eYYn9UW6tI66ExqgnezmRHghm1suLHL-YT9a34" xr:uid="{00000000-0004-0000-0400-0000280E0000}"/>
    <hyperlink ref="H969" r:id="rId3626" display="https://docs.google.com/spreadsheets/d/1VhOX0eYYn9UW6tI66ExqgnezmRHghm1suLHL-YT9a34" xr:uid="{00000000-0004-0000-0400-0000290E0000}"/>
    <hyperlink ref="I969" r:id="rId3627" display="https://docs.google.com/open?id=1VhOX0eYYn9UW6tI66ExqgnezmRHghm1suLHL-YT9a34" xr:uid="{00000000-0004-0000-0400-00002A0E0000}"/>
    <hyperlink ref="D970" r:id="rId3628" display="https://drive.google.com/open?id=1GHl_BhP-EU9pjuHRxjFgow14W8msGSYW2g81zoBcegc&amp;usp=drive_copy" xr:uid="{00000000-0004-0000-0400-00002B0E0000}"/>
    <hyperlink ref="E970" r:id="rId3629" display="https://drive.google.com/open?id=1GHl_BhP-EU9pjuHRxjFgow14W8msGSYW2g81zoBcegc" xr:uid="{00000000-0004-0000-0400-00002C0E0000}"/>
    <hyperlink ref="H970" r:id="rId3630" display="https://docs.google.com/spreadsheets/d/1GHl_BhP-EU9pjuHRxjFgow14W8msGSYW2g81zoBcegc" xr:uid="{00000000-0004-0000-0400-00002D0E0000}"/>
    <hyperlink ref="I970" r:id="rId3631" display="https://docs.google.com/open?id=1GHl_BhP-EU9pjuHRxjFgow14W8msGSYW2g81zoBcegc" xr:uid="{00000000-0004-0000-0400-00002E0E0000}"/>
    <hyperlink ref="D971" r:id="rId3632" display="https://drive.google.com/open?id=19NWPP5RBg_Y2vIZ7pIZnkUtOcfOb-OMaViWz0CT52PA&amp;usp=drive_copy" xr:uid="{00000000-0004-0000-0400-00002F0E0000}"/>
    <hyperlink ref="E971" r:id="rId3633" display="https://drive.google.com/open?id=19NWPP5RBg_Y2vIZ7pIZnkUtOcfOb-OMaViWz0CT52PA" xr:uid="{00000000-0004-0000-0400-0000300E0000}"/>
    <hyperlink ref="H971" r:id="rId3634" display="https://docs.google.com/spreadsheets/d/19NWPP5RBg_Y2vIZ7pIZnkUtOcfOb-OMaViWz0CT52PA" xr:uid="{00000000-0004-0000-0400-0000310E0000}"/>
    <hyperlink ref="I971" r:id="rId3635" display="https://docs.google.com/open?id=19NWPP5RBg_Y2vIZ7pIZnkUtOcfOb-OMaViWz0CT52PA" xr:uid="{00000000-0004-0000-0400-0000320E0000}"/>
    <hyperlink ref="D972" r:id="rId3636" display="https://drive.google.com/open?id=1hxBdbZw1SOqEdW8XqmgwKoLwu6HRBvC9xF4jkjV4rDY&amp;usp=drive_copy" xr:uid="{00000000-0004-0000-0400-0000330E0000}"/>
    <hyperlink ref="E972" r:id="rId3637" display="https://drive.google.com/open?id=1hxBdbZw1SOqEdW8XqmgwKoLwu6HRBvC9xF4jkjV4rDY" xr:uid="{00000000-0004-0000-0400-0000340E0000}"/>
    <hyperlink ref="H972" r:id="rId3638" display="https://docs.google.com/spreadsheets/d/1hxBdbZw1SOqEdW8XqmgwKoLwu6HRBvC9xF4jkjV4rDY" xr:uid="{00000000-0004-0000-0400-0000350E0000}"/>
    <hyperlink ref="I972" r:id="rId3639" display="https://docs.google.com/open?id=1hxBdbZw1SOqEdW8XqmgwKoLwu6HRBvC9xF4jkjV4rDY" xr:uid="{00000000-0004-0000-0400-0000360E0000}"/>
    <hyperlink ref="D973" r:id="rId3640" display="https://drive.google.com/open?id=1UMn0T1328tuDd33dVst5TEXOEmomwule8U0dioZVhRM&amp;usp=drive_copy" xr:uid="{00000000-0004-0000-0400-0000370E0000}"/>
    <hyperlink ref="E973" r:id="rId3641" display="https://drive.google.com/open?id=1UMn0T1328tuDd33dVst5TEXOEmomwule8U0dioZVhRM" xr:uid="{00000000-0004-0000-0400-0000380E0000}"/>
    <hyperlink ref="H973" r:id="rId3642" display="https://docs.google.com/spreadsheets/d/1UMn0T1328tuDd33dVst5TEXOEmomwule8U0dioZVhRM" xr:uid="{00000000-0004-0000-0400-0000390E0000}"/>
    <hyperlink ref="I973" r:id="rId3643" display="https://docs.google.com/open?id=1UMn0T1328tuDd33dVst5TEXOEmomwule8U0dioZVhRM" xr:uid="{00000000-0004-0000-0400-00003A0E0000}"/>
    <hyperlink ref="D974" r:id="rId3644" display="https://drive.google.com/open?id=1kPFo6TDQXKDGPrteAimylU3WQsHgpnNz-WLO3fkIkUQ&amp;usp=drive_copy" xr:uid="{00000000-0004-0000-0400-00003B0E0000}"/>
    <hyperlink ref="E974" r:id="rId3645" display="https://drive.google.com/open?id=1kPFo6TDQXKDGPrteAimylU3WQsHgpnNz-WLO3fkIkUQ" xr:uid="{00000000-0004-0000-0400-00003C0E0000}"/>
    <hyperlink ref="H974" r:id="rId3646" display="https://docs.google.com/spreadsheets/d/1kPFo6TDQXKDGPrteAimylU3WQsHgpnNz-WLO3fkIkUQ" xr:uid="{00000000-0004-0000-0400-00003D0E0000}"/>
    <hyperlink ref="I974" r:id="rId3647" display="https://docs.google.com/open?id=1kPFo6TDQXKDGPrteAimylU3WQsHgpnNz-WLO3fkIkUQ" xr:uid="{00000000-0004-0000-0400-00003E0E0000}"/>
    <hyperlink ref="D975" r:id="rId3648" display="https://drive.google.com/open?id=1nTguIhz7s84xpHZvYXCDLKGXhAkn-m851iGpSU8Gkv0&amp;usp=drive_copy" xr:uid="{00000000-0004-0000-0400-00003F0E0000}"/>
    <hyperlink ref="E975" r:id="rId3649" display="https://drive.google.com/open?id=1nTguIhz7s84xpHZvYXCDLKGXhAkn-m851iGpSU8Gkv0" xr:uid="{00000000-0004-0000-0400-0000400E0000}"/>
    <hyperlink ref="H975" r:id="rId3650" display="https://docs.google.com/spreadsheets/d/1nTguIhz7s84xpHZvYXCDLKGXhAkn-m851iGpSU8Gkv0" xr:uid="{00000000-0004-0000-0400-0000410E0000}"/>
    <hyperlink ref="I975" r:id="rId3651" display="https://docs.google.com/open?id=1nTguIhz7s84xpHZvYXCDLKGXhAkn-m851iGpSU8Gkv0" xr:uid="{00000000-0004-0000-0400-0000420E0000}"/>
    <hyperlink ref="D976" r:id="rId3652" display="https://drive.google.com/open?id=1YL-thVA9WsyYVWzPE53-uqCkY2pDDN0Urv2pbbKqh94&amp;usp=drive_copy" xr:uid="{00000000-0004-0000-0400-0000430E0000}"/>
    <hyperlink ref="E976" r:id="rId3653" display="https://drive.google.com/open?id=1YL-thVA9WsyYVWzPE53-uqCkY2pDDN0Urv2pbbKqh94" xr:uid="{00000000-0004-0000-0400-0000440E0000}"/>
    <hyperlink ref="H976" r:id="rId3654" display="https://docs.google.com/spreadsheets/d/1YL-thVA9WsyYVWzPE53-uqCkY2pDDN0Urv2pbbKqh94" xr:uid="{00000000-0004-0000-0400-0000450E0000}"/>
    <hyperlink ref="I976" r:id="rId3655" display="https://docs.google.com/open?id=1YL-thVA9WsyYVWzPE53-uqCkY2pDDN0Urv2pbbKqh94" xr:uid="{00000000-0004-0000-0400-0000460E0000}"/>
    <hyperlink ref="D977" r:id="rId3656" display="https://drive.google.com/open?id=1zBnO5IHOpYERp-YB7AyJDf4Q8yGUWuwiwTANjk_ACBc&amp;usp=drive_copy" xr:uid="{00000000-0004-0000-0400-0000470E0000}"/>
    <hyperlink ref="E977" r:id="rId3657" display="https://drive.google.com/open?id=1zBnO5IHOpYERp-YB7AyJDf4Q8yGUWuwiwTANjk_ACBc" xr:uid="{00000000-0004-0000-0400-0000480E0000}"/>
    <hyperlink ref="H977" r:id="rId3658" display="https://docs.google.com/spreadsheets/d/1zBnO5IHOpYERp-YB7AyJDf4Q8yGUWuwiwTANjk_ACBc" xr:uid="{00000000-0004-0000-0400-0000490E0000}"/>
    <hyperlink ref="I977" r:id="rId3659" display="https://docs.google.com/open?id=1zBnO5IHOpYERp-YB7AyJDf4Q8yGUWuwiwTANjk_ACBc" xr:uid="{00000000-0004-0000-0400-00004A0E0000}"/>
    <hyperlink ref="D978" r:id="rId3660" display="https://drive.google.com/open?id=1NPZRYGR4l9E_qQ95k7xwCdIB74YsO5sMjAxdN6bZPkY&amp;usp=drive_copy" xr:uid="{00000000-0004-0000-0400-00004B0E0000}"/>
    <hyperlink ref="E978" r:id="rId3661" display="https://drive.google.com/open?id=1NPZRYGR4l9E_qQ95k7xwCdIB74YsO5sMjAxdN6bZPkY" xr:uid="{00000000-0004-0000-0400-00004C0E0000}"/>
    <hyperlink ref="H978" r:id="rId3662" display="https://docs.google.com/spreadsheets/d/1NPZRYGR4l9E_qQ95k7xwCdIB74YsO5sMjAxdN6bZPkY" xr:uid="{00000000-0004-0000-0400-00004D0E0000}"/>
    <hyperlink ref="I978" r:id="rId3663" display="https://docs.google.com/open?id=1NPZRYGR4l9E_qQ95k7xwCdIB74YsO5sMjAxdN6bZPkY" xr:uid="{00000000-0004-0000-0400-00004E0E0000}"/>
    <hyperlink ref="D979" r:id="rId3664" display="https://drive.google.com/open?id=19ZDN6-sAUd9J7XkAkFvRVoMzw1UnPWUn7WxMS0UCz04&amp;usp=drive_copy" xr:uid="{00000000-0004-0000-0400-00004F0E0000}"/>
    <hyperlink ref="E979" r:id="rId3665" display="https://drive.google.com/open?id=19ZDN6-sAUd9J7XkAkFvRVoMzw1UnPWUn7WxMS0UCz04" xr:uid="{00000000-0004-0000-0400-0000500E0000}"/>
    <hyperlink ref="H979" r:id="rId3666" display="https://docs.google.com/spreadsheets/d/19ZDN6-sAUd9J7XkAkFvRVoMzw1UnPWUn7WxMS0UCz04" xr:uid="{00000000-0004-0000-0400-0000510E0000}"/>
    <hyperlink ref="I979" r:id="rId3667" display="https://docs.google.com/open?id=19ZDN6-sAUd9J7XkAkFvRVoMzw1UnPWUn7WxMS0UCz04" xr:uid="{00000000-0004-0000-0400-0000520E0000}"/>
    <hyperlink ref="D980" r:id="rId3668" display="https://drive.google.com/open?id=1yjeF5-pkOGsYR_qPlRwkoxHwvdMtCJeEuOdytxXHgfs&amp;usp=drive_copy" xr:uid="{00000000-0004-0000-0400-0000530E0000}"/>
    <hyperlink ref="E980" r:id="rId3669" display="https://drive.google.com/open?id=1yjeF5-pkOGsYR_qPlRwkoxHwvdMtCJeEuOdytxXHgfs" xr:uid="{00000000-0004-0000-0400-0000540E0000}"/>
    <hyperlink ref="H980" r:id="rId3670" display="https://docs.google.com/spreadsheets/d/1yjeF5-pkOGsYR_qPlRwkoxHwvdMtCJeEuOdytxXHgfs" xr:uid="{00000000-0004-0000-0400-0000550E0000}"/>
    <hyperlink ref="I980" r:id="rId3671" display="https://docs.google.com/open?id=1yjeF5-pkOGsYR_qPlRwkoxHwvdMtCJeEuOdytxXHgfs" xr:uid="{00000000-0004-0000-0400-0000560E0000}"/>
    <hyperlink ref="D981" r:id="rId3672" display="https://drive.google.com/open?id=1QmUi7ARVrPxxYYnSt19fF4Ks8563tp3d8KxOA8uZSgY&amp;usp=drive_copy" xr:uid="{00000000-0004-0000-0400-0000570E0000}"/>
    <hyperlink ref="E981" r:id="rId3673" display="https://drive.google.com/open?id=1QmUi7ARVrPxxYYnSt19fF4Ks8563tp3d8KxOA8uZSgY" xr:uid="{00000000-0004-0000-0400-0000580E0000}"/>
    <hyperlink ref="H981" r:id="rId3674" display="https://docs.google.com/spreadsheets/d/1QmUi7ARVrPxxYYnSt19fF4Ks8563tp3d8KxOA8uZSgY" xr:uid="{00000000-0004-0000-0400-0000590E0000}"/>
    <hyperlink ref="I981" r:id="rId3675" display="https://docs.google.com/open?id=1QmUi7ARVrPxxYYnSt19fF4Ks8563tp3d8KxOA8uZSgY" xr:uid="{00000000-0004-0000-0400-00005A0E0000}"/>
    <hyperlink ref="D982" r:id="rId3676" display="https://drive.google.com/open?id=1IpmCgn885JULqdjoGvMFlAzAu-iojSZDeuFfFMfNlgA&amp;usp=drive_copy" xr:uid="{00000000-0004-0000-0400-00005B0E0000}"/>
    <hyperlink ref="E982" r:id="rId3677" display="https://drive.google.com/open?id=1IpmCgn885JULqdjoGvMFlAzAu-iojSZDeuFfFMfNlgA" xr:uid="{00000000-0004-0000-0400-00005C0E0000}"/>
    <hyperlink ref="H982" r:id="rId3678" display="https://docs.google.com/spreadsheets/d/1IpmCgn885JULqdjoGvMFlAzAu-iojSZDeuFfFMfNlgA" xr:uid="{00000000-0004-0000-0400-00005D0E0000}"/>
    <hyperlink ref="I982" r:id="rId3679" display="https://docs.google.com/open?id=1IpmCgn885JULqdjoGvMFlAzAu-iojSZDeuFfFMfNlgA" xr:uid="{00000000-0004-0000-0400-00005E0E0000}"/>
    <hyperlink ref="D983" r:id="rId3680" display="https://drive.google.com/open?id=18wpXdoseD-Gd9NYjhyF4oSdsGUtMnRmt2naZm3cfpFQ&amp;usp=drive_copy" xr:uid="{00000000-0004-0000-0400-00005F0E0000}"/>
    <hyperlink ref="E983" r:id="rId3681" display="https://drive.google.com/open?id=18wpXdoseD-Gd9NYjhyF4oSdsGUtMnRmt2naZm3cfpFQ" xr:uid="{00000000-0004-0000-0400-0000600E0000}"/>
    <hyperlink ref="H983" r:id="rId3682" display="https://docs.google.com/spreadsheets/d/18wpXdoseD-Gd9NYjhyF4oSdsGUtMnRmt2naZm3cfpFQ" xr:uid="{00000000-0004-0000-0400-0000610E0000}"/>
    <hyperlink ref="I983" r:id="rId3683" display="https://docs.google.com/open?id=18wpXdoseD-Gd9NYjhyF4oSdsGUtMnRmt2naZm3cfpFQ" xr:uid="{00000000-0004-0000-0400-0000620E0000}"/>
    <hyperlink ref="D984" r:id="rId3684" display="https://drive.google.com/open?id=1TNTNRv981Yl3_UDj9snbr7qhrCIY4W-oZudH8Ubdoww&amp;usp=drive_copy" xr:uid="{00000000-0004-0000-0400-0000630E0000}"/>
    <hyperlink ref="E984" r:id="rId3685" display="https://drive.google.com/open?id=1TNTNRv981Yl3_UDj9snbr7qhrCIY4W-oZudH8Ubdoww" xr:uid="{00000000-0004-0000-0400-0000640E0000}"/>
    <hyperlink ref="H984" r:id="rId3686" display="https://docs.google.com/spreadsheets/d/1TNTNRv981Yl3_UDj9snbr7qhrCIY4W-oZudH8Ubdoww" xr:uid="{00000000-0004-0000-0400-0000650E0000}"/>
    <hyperlink ref="I984" r:id="rId3687" display="https://docs.google.com/open?id=1TNTNRv981Yl3_UDj9snbr7qhrCIY4W-oZudH8Ubdoww" xr:uid="{00000000-0004-0000-0400-0000660E0000}"/>
    <hyperlink ref="D985" r:id="rId3688" display="https://drive.google.com/open?id=1Bq43Mn1CskIWPWHSVZzU_8PM_ZaluHA5dYV635n1lwA&amp;usp=drive_copy" xr:uid="{00000000-0004-0000-0400-0000670E0000}"/>
    <hyperlink ref="E985" r:id="rId3689" display="https://drive.google.com/open?id=1Bq43Mn1CskIWPWHSVZzU_8PM_ZaluHA5dYV635n1lwA" xr:uid="{00000000-0004-0000-0400-0000680E0000}"/>
    <hyperlink ref="H985" r:id="rId3690" display="https://docs.google.com/spreadsheets/d/1Bq43Mn1CskIWPWHSVZzU_8PM_ZaluHA5dYV635n1lwA" xr:uid="{00000000-0004-0000-0400-0000690E0000}"/>
    <hyperlink ref="I985" r:id="rId3691" display="https://docs.google.com/open?id=1Bq43Mn1CskIWPWHSVZzU_8PM_ZaluHA5dYV635n1lwA" xr:uid="{00000000-0004-0000-0400-00006A0E0000}"/>
    <hyperlink ref="D986" r:id="rId3692" display="https://drive.google.com/open?id=1Yk1yQn_PGRwSe8BNNnKwSy6nlEdzEKhsFw9sdXWz_sk&amp;usp=drive_copy" xr:uid="{00000000-0004-0000-0400-00006B0E0000}"/>
    <hyperlink ref="E986" r:id="rId3693" display="https://drive.google.com/open?id=1Yk1yQn_PGRwSe8BNNnKwSy6nlEdzEKhsFw9sdXWz_sk" xr:uid="{00000000-0004-0000-0400-00006C0E0000}"/>
    <hyperlink ref="H986" r:id="rId3694" display="https://docs.google.com/spreadsheets/d/1Yk1yQn_PGRwSe8BNNnKwSy6nlEdzEKhsFw9sdXWz_sk" xr:uid="{00000000-0004-0000-0400-00006D0E0000}"/>
    <hyperlink ref="I986" r:id="rId3695" display="https://docs.google.com/open?id=1Yk1yQn_PGRwSe8BNNnKwSy6nlEdzEKhsFw9sdXWz_sk" xr:uid="{00000000-0004-0000-0400-00006E0E0000}"/>
    <hyperlink ref="D987" r:id="rId3696" display="https://drive.google.com/open?id=1Mj88VmwjiSmHE8H5vF_BmqlUKbkSXPhyIef-g04zpMk&amp;usp=drive_copy" xr:uid="{00000000-0004-0000-0400-00006F0E0000}"/>
    <hyperlink ref="E987" r:id="rId3697" display="https://drive.google.com/open?id=1Mj88VmwjiSmHE8H5vF_BmqlUKbkSXPhyIef-g04zpMk" xr:uid="{00000000-0004-0000-0400-0000700E0000}"/>
    <hyperlink ref="H987" r:id="rId3698" display="https://docs.google.com/spreadsheets/d/1Mj88VmwjiSmHE8H5vF_BmqlUKbkSXPhyIef-g04zpMk" xr:uid="{00000000-0004-0000-0400-0000710E0000}"/>
    <hyperlink ref="I987" r:id="rId3699" display="https://docs.google.com/open?id=1Mj88VmwjiSmHE8H5vF_BmqlUKbkSXPhyIef-g04zpMk" xr:uid="{00000000-0004-0000-0400-0000720E0000}"/>
    <hyperlink ref="D988" r:id="rId3700" display="https://drive.google.com/open?id=1ygoaH-E2xwIA3OpOd3RsnvMKCUNrtXMS7FrvC5diEF8&amp;usp=drive_copy" xr:uid="{00000000-0004-0000-0400-0000730E0000}"/>
    <hyperlink ref="E988" r:id="rId3701" display="https://drive.google.com/open?id=1ygoaH-E2xwIA3OpOd3RsnvMKCUNrtXMS7FrvC5diEF8" xr:uid="{00000000-0004-0000-0400-0000740E0000}"/>
    <hyperlink ref="H988" r:id="rId3702" display="https://docs.google.com/spreadsheets/d/1ygoaH-E2xwIA3OpOd3RsnvMKCUNrtXMS7FrvC5diEF8" xr:uid="{00000000-0004-0000-0400-0000750E0000}"/>
    <hyperlink ref="I988" r:id="rId3703" display="https://docs.google.com/open?id=1ygoaH-E2xwIA3OpOd3RsnvMKCUNrtXMS7FrvC5diEF8" xr:uid="{00000000-0004-0000-0400-0000760E0000}"/>
    <hyperlink ref="D989" r:id="rId3704" display="https://drive.google.com/open?id=1f6kulBS3UlSu7KAfRoL4VX778WExd9vtP47kwZUsYqE&amp;usp=drive_copy" xr:uid="{00000000-0004-0000-0400-0000770E0000}"/>
    <hyperlink ref="E989" r:id="rId3705" display="https://drive.google.com/open?id=1f6kulBS3UlSu7KAfRoL4VX778WExd9vtP47kwZUsYqE" xr:uid="{00000000-0004-0000-0400-0000780E0000}"/>
    <hyperlink ref="H989" r:id="rId3706" display="https://docs.google.com/spreadsheets/d/1f6kulBS3UlSu7KAfRoL4VX778WExd9vtP47kwZUsYqE" xr:uid="{00000000-0004-0000-0400-0000790E0000}"/>
    <hyperlink ref="I989" r:id="rId3707" display="https://docs.google.com/open?id=1f6kulBS3UlSu7KAfRoL4VX778WExd9vtP47kwZUsYqE" xr:uid="{00000000-0004-0000-0400-00007A0E0000}"/>
    <hyperlink ref="D990" r:id="rId3708" display="https://drive.google.com/open?id=1y9Lgqg477ZAdlL1jQZOz5i-QPCgso97UZOvDZhm0aMg&amp;usp=drive_copy" xr:uid="{00000000-0004-0000-0400-00007B0E0000}"/>
    <hyperlink ref="E990" r:id="rId3709" display="https://drive.google.com/open?id=1y9Lgqg477ZAdlL1jQZOz5i-QPCgso97UZOvDZhm0aMg" xr:uid="{00000000-0004-0000-0400-00007C0E0000}"/>
    <hyperlink ref="H990" r:id="rId3710" display="https://docs.google.com/spreadsheets/d/1y9Lgqg477ZAdlL1jQZOz5i-QPCgso97UZOvDZhm0aMg" xr:uid="{00000000-0004-0000-0400-00007D0E0000}"/>
    <hyperlink ref="I990" r:id="rId3711" display="https://docs.google.com/open?id=1y9Lgqg477ZAdlL1jQZOz5i-QPCgso97UZOvDZhm0aMg" xr:uid="{00000000-0004-0000-0400-00007E0E0000}"/>
    <hyperlink ref="D991" r:id="rId3712" display="https://drive.google.com/open?id=1ue2qeGje5VLC86p7V1m4P8ZaDfL6LC9A4hmmjrn0iSs&amp;usp=drive_copy" xr:uid="{00000000-0004-0000-0400-00007F0E0000}"/>
    <hyperlink ref="E991" r:id="rId3713" display="https://drive.google.com/open?id=1ue2qeGje5VLC86p7V1m4P8ZaDfL6LC9A4hmmjrn0iSs" xr:uid="{00000000-0004-0000-0400-0000800E0000}"/>
    <hyperlink ref="H991" r:id="rId3714" display="https://docs.google.com/spreadsheets/d/1ue2qeGje5VLC86p7V1m4P8ZaDfL6LC9A4hmmjrn0iSs" xr:uid="{00000000-0004-0000-0400-0000810E0000}"/>
    <hyperlink ref="I991" r:id="rId3715" display="https://docs.google.com/open?id=1ue2qeGje5VLC86p7V1m4P8ZaDfL6LC9A4hmmjrn0iSs" xr:uid="{00000000-0004-0000-0400-0000820E0000}"/>
    <hyperlink ref="D992" r:id="rId3716" display="https://drive.google.com/open?id=1KkMWFV9F_Olf03N8cs2fRlYh5SN1vdZN38G08P3Ys-k&amp;usp=drive_copy" xr:uid="{00000000-0004-0000-0400-0000830E0000}"/>
    <hyperlink ref="E992" r:id="rId3717" display="https://drive.google.com/open?id=1KkMWFV9F_Olf03N8cs2fRlYh5SN1vdZN38G08P3Ys-k" xr:uid="{00000000-0004-0000-0400-0000840E0000}"/>
    <hyperlink ref="H992" r:id="rId3718" display="https://docs.google.com/spreadsheets/d/1KkMWFV9F_Olf03N8cs2fRlYh5SN1vdZN38G08P3Ys-k" xr:uid="{00000000-0004-0000-0400-0000850E0000}"/>
    <hyperlink ref="I992" r:id="rId3719" display="https://docs.google.com/open?id=1KkMWFV9F_Olf03N8cs2fRlYh5SN1vdZN38G08P3Ys-k" xr:uid="{00000000-0004-0000-0400-0000860E0000}"/>
    <hyperlink ref="D993" r:id="rId3720" display="https://drive.google.com/open?id=1YjVEQRCUIDfnygdO2tr6ZdE4nmIfuj5nl-rRwH7bOc0&amp;usp=drive_copy" xr:uid="{00000000-0004-0000-0400-0000870E0000}"/>
    <hyperlink ref="E993" r:id="rId3721" display="https://drive.google.com/open?id=1YjVEQRCUIDfnygdO2tr6ZdE4nmIfuj5nl-rRwH7bOc0" xr:uid="{00000000-0004-0000-0400-0000880E0000}"/>
    <hyperlink ref="H993" r:id="rId3722" display="https://docs.google.com/spreadsheets/d/1YjVEQRCUIDfnygdO2tr6ZdE4nmIfuj5nl-rRwH7bOc0" xr:uid="{00000000-0004-0000-0400-0000890E0000}"/>
    <hyperlink ref="I993" r:id="rId3723" display="https://docs.google.com/open?id=1YjVEQRCUIDfnygdO2tr6ZdE4nmIfuj5nl-rRwH7bOc0" xr:uid="{00000000-0004-0000-0400-00008A0E0000}"/>
    <hyperlink ref="D994" r:id="rId3724" display="https://drive.google.com/open?id=1Tvqk1bJKXdGbrS7ddGjVCJivUpazhwPnWsMb8MPpGWI&amp;usp=drive_copy" xr:uid="{00000000-0004-0000-0400-00008B0E0000}"/>
    <hyperlink ref="E994" r:id="rId3725" display="https://drive.google.com/open?id=1Tvqk1bJKXdGbrS7ddGjVCJivUpazhwPnWsMb8MPpGWI" xr:uid="{00000000-0004-0000-0400-00008C0E0000}"/>
    <hyperlink ref="H994" r:id="rId3726" display="https://docs.google.com/spreadsheets/d/1Tvqk1bJKXdGbrS7ddGjVCJivUpazhwPnWsMb8MPpGWI" xr:uid="{00000000-0004-0000-0400-00008D0E0000}"/>
    <hyperlink ref="I994" r:id="rId3727" display="https://docs.google.com/open?id=1Tvqk1bJKXdGbrS7ddGjVCJivUpazhwPnWsMb8MPpGWI" xr:uid="{00000000-0004-0000-0400-00008E0E0000}"/>
    <hyperlink ref="D995" r:id="rId3728" display="https://drive.google.com/open?id=1HtUSkXQu9RYEKgAWQqmPbFTbzZkrb9t3uAmfHXapDII&amp;usp=drive_copy" xr:uid="{00000000-0004-0000-0400-00008F0E0000}"/>
    <hyperlink ref="E995" r:id="rId3729" display="https://drive.google.com/open?id=1HtUSkXQu9RYEKgAWQqmPbFTbzZkrb9t3uAmfHXapDII" xr:uid="{00000000-0004-0000-0400-0000900E0000}"/>
    <hyperlink ref="H995" r:id="rId3730" display="https://docs.google.com/spreadsheets/d/1HtUSkXQu9RYEKgAWQqmPbFTbzZkrb9t3uAmfHXapDII" xr:uid="{00000000-0004-0000-0400-0000910E0000}"/>
    <hyperlink ref="I995" r:id="rId3731" display="https://docs.google.com/open?id=1HtUSkXQu9RYEKgAWQqmPbFTbzZkrb9t3uAmfHXapDII" xr:uid="{00000000-0004-0000-0400-0000920E0000}"/>
    <hyperlink ref="D996" r:id="rId3732" display="https://drive.google.com/open?id=1ekEFpD9xXi9Za6ydKgp1dK3cOzwLqtoRxwEOjmN053E&amp;usp=drive_copy" xr:uid="{00000000-0004-0000-0400-0000930E0000}"/>
    <hyperlink ref="E996" r:id="rId3733" display="https://drive.google.com/open?id=1ekEFpD9xXi9Za6ydKgp1dK3cOzwLqtoRxwEOjmN053E" xr:uid="{00000000-0004-0000-0400-0000940E0000}"/>
    <hyperlink ref="H996" r:id="rId3734" display="https://docs.google.com/spreadsheets/d/1ekEFpD9xXi9Za6ydKgp1dK3cOzwLqtoRxwEOjmN053E" xr:uid="{00000000-0004-0000-0400-0000950E0000}"/>
    <hyperlink ref="I996" r:id="rId3735" display="https://docs.google.com/open?id=1ekEFpD9xXi9Za6ydKgp1dK3cOzwLqtoRxwEOjmN053E" xr:uid="{00000000-0004-0000-0400-0000960E0000}"/>
    <hyperlink ref="D997" r:id="rId3736" display="https://drive.google.com/open?id=1_WtIIkGQDdKqwcFGDGeWAtD4cjTivdYvwKFjZk1obHA&amp;usp=drive_copy" xr:uid="{00000000-0004-0000-0400-0000970E0000}"/>
    <hyperlink ref="E997" r:id="rId3737" display="https://drive.google.com/open?id=1_WtIIkGQDdKqwcFGDGeWAtD4cjTivdYvwKFjZk1obHA" xr:uid="{00000000-0004-0000-0400-0000980E0000}"/>
    <hyperlink ref="H997" r:id="rId3738" display="https://docs.google.com/spreadsheets/d/1_WtIIkGQDdKqwcFGDGeWAtD4cjTivdYvwKFjZk1obHA" xr:uid="{00000000-0004-0000-0400-0000990E0000}"/>
    <hyperlink ref="I997" r:id="rId3739" display="https://docs.google.com/open?id=1_WtIIkGQDdKqwcFGDGeWAtD4cjTivdYvwKFjZk1obHA" xr:uid="{00000000-0004-0000-0400-00009A0E0000}"/>
    <hyperlink ref="D998" r:id="rId3740" display="https://drive.google.com/open?id=1YiQnxI8HHD64PfzhO12VtbZTG1UoHBp5aEZ0BAgKhJM&amp;usp=drive_copy" xr:uid="{00000000-0004-0000-0400-00009B0E0000}"/>
    <hyperlink ref="E998" r:id="rId3741" display="https://drive.google.com/open?id=1YiQnxI8HHD64PfzhO12VtbZTG1UoHBp5aEZ0BAgKhJM" xr:uid="{00000000-0004-0000-0400-00009C0E0000}"/>
    <hyperlink ref="H998" r:id="rId3742" display="https://docs.google.com/spreadsheets/d/1YiQnxI8HHD64PfzhO12VtbZTG1UoHBp5aEZ0BAgKhJM" xr:uid="{00000000-0004-0000-0400-00009D0E0000}"/>
    <hyperlink ref="I998" r:id="rId3743" display="https://docs.google.com/open?id=1YiQnxI8HHD64PfzhO12VtbZTG1UoHBp5aEZ0BAgKhJM" xr:uid="{00000000-0004-0000-0400-00009E0E0000}"/>
    <hyperlink ref="D999" r:id="rId3744" display="https://drive.google.com/open?id=1SI4kIxZ-i0kHyYymJRPoUEJU2gRRKLyYzR_p8CbP-Rs&amp;usp=drive_copy" xr:uid="{00000000-0004-0000-0400-00009F0E0000}"/>
    <hyperlink ref="E999" r:id="rId3745" display="https://drive.google.com/open?id=1SI4kIxZ-i0kHyYymJRPoUEJU2gRRKLyYzR_p8CbP-Rs" xr:uid="{00000000-0004-0000-0400-0000A00E0000}"/>
    <hyperlink ref="H999" r:id="rId3746" display="https://docs.google.com/spreadsheets/d/1SI4kIxZ-i0kHyYymJRPoUEJU2gRRKLyYzR_p8CbP-Rs" xr:uid="{00000000-0004-0000-0400-0000A10E0000}"/>
    <hyperlink ref="I999" r:id="rId3747" display="https://docs.google.com/open?id=1SI4kIxZ-i0kHyYymJRPoUEJU2gRRKLyYzR_p8CbP-Rs" xr:uid="{00000000-0004-0000-0400-0000A20E0000}"/>
    <hyperlink ref="D1000" r:id="rId3748" display="https://drive.google.com/open?id=1anp0yAtCtObdnSGDXQSTByktqscnJWT4UdCOFYZgV7A&amp;usp=drive_copy" xr:uid="{00000000-0004-0000-0400-0000A30E0000}"/>
    <hyperlink ref="E1000" r:id="rId3749" display="https://drive.google.com/open?id=1anp0yAtCtObdnSGDXQSTByktqscnJWT4UdCOFYZgV7A" xr:uid="{00000000-0004-0000-0400-0000A40E0000}"/>
    <hyperlink ref="H1000" r:id="rId3750" display="https://docs.google.com/spreadsheets/d/1anp0yAtCtObdnSGDXQSTByktqscnJWT4UdCOFYZgV7A" xr:uid="{00000000-0004-0000-0400-0000A50E0000}"/>
    <hyperlink ref="I1000" r:id="rId3751" display="https://docs.google.com/open?id=1anp0yAtCtObdnSGDXQSTByktqscnJWT4UdCOFYZgV7A" xr:uid="{00000000-0004-0000-0400-0000A60E0000}"/>
    <hyperlink ref="D1001" r:id="rId3752" display="https://drive.google.com/open?id=13AMGlOKBAW-VZ8ToDUrrK6d4Xh26E-pLgYHTKTcAt_I&amp;usp=drive_copy" xr:uid="{00000000-0004-0000-0400-0000A70E0000}"/>
    <hyperlink ref="E1001" r:id="rId3753" display="https://drive.google.com/open?id=13AMGlOKBAW-VZ8ToDUrrK6d4Xh26E-pLgYHTKTcAt_I" xr:uid="{00000000-0004-0000-0400-0000A80E0000}"/>
    <hyperlink ref="H1001" r:id="rId3754" display="https://docs.google.com/spreadsheets/d/13AMGlOKBAW-VZ8ToDUrrK6d4Xh26E-pLgYHTKTcAt_I" xr:uid="{00000000-0004-0000-0400-0000A90E0000}"/>
    <hyperlink ref="I1001" r:id="rId3755" display="https://docs.google.com/open?id=13AMGlOKBAW-VZ8ToDUrrK6d4Xh26E-pLgYHTKTcAt_I" xr:uid="{00000000-0004-0000-0400-0000AA0E0000}"/>
    <hyperlink ref="D1002" r:id="rId3756" display="https://drive.google.com/open?id=17o-xDNHvJSK69tAcTwwjesRw5ogiJZi2LKam4LE6SLw&amp;usp=drive_copy" xr:uid="{00000000-0004-0000-0400-0000AB0E0000}"/>
    <hyperlink ref="E1002" r:id="rId3757" display="https://drive.google.com/open?id=17o-xDNHvJSK69tAcTwwjesRw5ogiJZi2LKam4LE6SLw" xr:uid="{00000000-0004-0000-0400-0000AC0E0000}"/>
    <hyperlink ref="H1002" r:id="rId3758" display="https://docs.google.com/spreadsheets/d/17o-xDNHvJSK69tAcTwwjesRw5ogiJZi2LKam4LE6SLw" xr:uid="{00000000-0004-0000-0400-0000AD0E0000}"/>
    <hyperlink ref="I1002" r:id="rId3759" display="https://docs.google.com/open?id=17o-xDNHvJSK69tAcTwwjesRw5ogiJZi2LKam4LE6SLw" xr:uid="{00000000-0004-0000-0400-0000AE0E0000}"/>
    <hyperlink ref="D1003" r:id="rId3760" display="https://drive.google.com/open?id=1Vp9XSd4bFFHPTkZ3pBXqVAaqQ3D5HakYfXbBEzzxmXk&amp;usp=drive_copy" xr:uid="{00000000-0004-0000-0400-0000AF0E0000}"/>
    <hyperlink ref="E1003" r:id="rId3761" display="https://drive.google.com/open?id=1Vp9XSd4bFFHPTkZ3pBXqVAaqQ3D5HakYfXbBEzzxmXk" xr:uid="{00000000-0004-0000-0400-0000B00E0000}"/>
    <hyperlink ref="H1003" r:id="rId3762" display="https://docs.google.com/spreadsheets/d/1Vp9XSd4bFFHPTkZ3pBXqVAaqQ3D5HakYfXbBEzzxmXk" xr:uid="{00000000-0004-0000-0400-0000B10E0000}"/>
    <hyperlink ref="I1003" r:id="rId3763" display="https://docs.google.com/open?id=1Vp9XSd4bFFHPTkZ3pBXqVAaqQ3D5HakYfXbBEzzxmXk" xr:uid="{00000000-0004-0000-0400-0000B20E0000}"/>
    <hyperlink ref="D1004" r:id="rId3764" display="https://drive.google.com/open?id=1_39KRmdaiGIG7rtsK7ZAqFSYeD0enwDKt_RE51wckss&amp;usp=drive_copy" xr:uid="{00000000-0004-0000-0400-0000B30E0000}"/>
    <hyperlink ref="E1004" r:id="rId3765" display="https://drive.google.com/open?id=1_39KRmdaiGIG7rtsK7ZAqFSYeD0enwDKt_RE51wckss" xr:uid="{00000000-0004-0000-0400-0000B40E0000}"/>
    <hyperlink ref="H1004" r:id="rId3766" display="https://docs.google.com/spreadsheets/d/1_39KRmdaiGIG7rtsK7ZAqFSYeD0enwDKt_RE51wckss" xr:uid="{00000000-0004-0000-0400-0000B50E0000}"/>
    <hyperlink ref="I1004" r:id="rId3767" display="https://docs.google.com/open?id=1_39KRmdaiGIG7rtsK7ZAqFSYeD0enwDKt_RE51wckss" xr:uid="{00000000-0004-0000-0400-0000B60E0000}"/>
    <hyperlink ref="D1005" r:id="rId3768" display="https://drive.google.com/open?id=1Yp7MGDRhRootSQcpTiZSPHdr0pJe93NgN45rRBfdZSk&amp;usp=drive_copy" xr:uid="{00000000-0004-0000-0400-0000B70E0000}"/>
    <hyperlink ref="E1005" r:id="rId3769" display="https://drive.google.com/open?id=1Yp7MGDRhRootSQcpTiZSPHdr0pJe93NgN45rRBfdZSk" xr:uid="{00000000-0004-0000-0400-0000B80E0000}"/>
    <hyperlink ref="H1005" r:id="rId3770" display="https://docs.google.com/spreadsheets/d/1Yp7MGDRhRootSQcpTiZSPHdr0pJe93NgN45rRBfdZSk" xr:uid="{00000000-0004-0000-0400-0000B90E0000}"/>
    <hyperlink ref="I1005" r:id="rId3771" display="https://docs.google.com/open?id=1Yp7MGDRhRootSQcpTiZSPHdr0pJe93NgN45rRBfdZSk" xr:uid="{00000000-0004-0000-0400-0000BA0E0000}"/>
    <hyperlink ref="D1006" r:id="rId3772" display="https://drive.google.com/open?id=1ZdKx-gRc7vXwqzxPiusLqIw3EvOaG9XKjXGP2XwAuqk&amp;usp=drive_copy" xr:uid="{00000000-0004-0000-0400-0000BB0E0000}"/>
    <hyperlink ref="E1006" r:id="rId3773" display="https://drive.google.com/open?id=1ZdKx-gRc7vXwqzxPiusLqIw3EvOaG9XKjXGP2XwAuqk" xr:uid="{00000000-0004-0000-0400-0000BC0E0000}"/>
    <hyperlink ref="H1006" r:id="rId3774" display="https://docs.google.com/spreadsheets/d/1ZdKx-gRc7vXwqzxPiusLqIw3EvOaG9XKjXGP2XwAuqk" xr:uid="{00000000-0004-0000-0400-0000BD0E0000}"/>
    <hyperlink ref="I1006" r:id="rId3775" display="https://docs.google.com/open?id=1ZdKx-gRc7vXwqzxPiusLqIw3EvOaG9XKjXGP2XwAuqk" xr:uid="{00000000-0004-0000-0400-0000BE0E0000}"/>
    <hyperlink ref="D1007" r:id="rId3776" display="https://drive.google.com/open?id=1aq8xfzCuk-0oCPc09GmTTT9HuSNJBLDrDEOg5pu7ePw&amp;usp=drive_copy" xr:uid="{00000000-0004-0000-0400-0000BF0E0000}"/>
    <hyperlink ref="E1007" r:id="rId3777" display="https://drive.google.com/open?id=1aq8xfzCuk-0oCPc09GmTTT9HuSNJBLDrDEOg5pu7ePw" xr:uid="{00000000-0004-0000-0400-0000C00E0000}"/>
    <hyperlink ref="H1007" r:id="rId3778" display="https://docs.google.com/spreadsheets/d/1aq8xfzCuk-0oCPc09GmTTT9HuSNJBLDrDEOg5pu7ePw" xr:uid="{00000000-0004-0000-0400-0000C10E0000}"/>
    <hyperlink ref="I1007" r:id="rId3779" display="https://docs.google.com/open?id=1aq8xfzCuk-0oCPc09GmTTT9HuSNJBLDrDEOg5pu7ePw" xr:uid="{00000000-0004-0000-0400-0000C20E0000}"/>
    <hyperlink ref="D1008" r:id="rId3780" display="https://drive.google.com/open?id=1X9977pSfw_8T_W2EuVY_pyF-dk1kRFmT3b_LiHa32eY&amp;usp=drive_copy" xr:uid="{00000000-0004-0000-0400-0000C30E0000}"/>
    <hyperlink ref="E1008" r:id="rId3781" display="https://drive.google.com/open?id=1X9977pSfw_8T_W2EuVY_pyF-dk1kRFmT3b_LiHa32eY" xr:uid="{00000000-0004-0000-0400-0000C40E0000}"/>
    <hyperlink ref="H1008" r:id="rId3782" display="https://docs.google.com/spreadsheets/d/1X9977pSfw_8T_W2EuVY_pyF-dk1kRFmT3b_LiHa32eY" xr:uid="{00000000-0004-0000-0400-0000C50E0000}"/>
    <hyperlink ref="I1008" r:id="rId3783" display="https://docs.google.com/open?id=1X9977pSfw_8T_W2EuVY_pyF-dk1kRFmT3b_LiHa32eY" xr:uid="{00000000-0004-0000-0400-0000C60E0000}"/>
    <hyperlink ref="D1009" r:id="rId3784" display="https://drive.google.com/open?id=1hSjaegjwgA5As4lWIB31isr_ZX9MuwX0cOsIM01X-jE&amp;usp=drive_copy" xr:uid="{00000000-0004-0000-0400-0000C70E0000}"/>
    <hyperlink ref="E1009" r:id="rId3785" display="https://drive.google.com/open?id=1hSjaegjwgA5As4lWIB31isr_ZX9MuwX0cOsIM01X-jE" xr:uid="{00000000-0004-0000-0400-0000C80E0000}"/>
    <hyperlink ref="H1009" r:id="rId3786" display="https://docs.google.com/spreadsheets/d/1hSjaegjwgA5As4lWIB31isr_ZX9MuwX0cOsIM01X-jE" xr:uid="{00000000-0004-0000-0400-0000C90E0000}"/>
    <hyperlink ref="I1009" r:id="rId3787" display="https://docs.google.com/open?id=1hSjaegjwgA5As4lWIB31isr_ZX9MuwX0cOsIM01X-jE" xr:uid="{00000000-0004-0000-0400-0000CA0E0000}"/>
    <hyperlink ref="D1010" r:id="rId3788" display="https://drive.google.com/open?id=1Ma8B8P9T1jyN_GT7W61KRUZ_VMQgkur191iZWCk7QO8&amp;usp=drive_copy" xr:uid="{00000000-0004-0000-0400-0000CB0E0000}"/>
    <hyperlink ref="E1010" r:id="rId3789" display="https://drive.google.com/open?id=1Ma8B8P9T1jyN_GT7W61KRUZ_VMQgkur191iZWCk7QO8" xr:uid="{00000000-0004-0000-0400-0000CC0E0000}"/>
    <hyperlink ref="H1010" r:id="rId3790" display="https://docs.google.com/spreadsheets/d/1Ma8B8P9T1jyN_GT7W61KRUZ_VMQgkur191iZWCk7QO8" xr:uid="{00000000-0004-0000-0400-0000CD0E0000}"/>
    <hyperlink ref="I1010" r:id="rId3791" display="https://docs.google.com/open?id=1Ma8B8P9T1jyN_GT7W61KRUZ_VMQgkur191iZWCk7QO8" xr:uid="{00000000-0004-0000-0400-0000CE0E0000}"/>
    <hyperlink ref="D1011" r:id="rId3792" display="https://drive.google.com/open?id=1aD66S7fa7G9sym6uAMjXVUDcezM9e12I2ff_EFj0kig&amp;usp=drive_copy" xr:uid="{00000000-0004-0000-0400-0000CF0E0000}"/>
    <hyperlink ref="E1011" r:id="rId3793" display="https://drive.google.com/open?id=1aD66S7fa7G9sym6uAMjXVUDcezM9e12I2ff_EFj0kig" xr:uid="{00000000-0004-0000-0400-0000D00E0000}"/>
    <hyperlink ref="H1011" r:id="rId3794" display="https://docs.google.com/spreadsheets/d/1aD66S7fa7G9sym6uAMjXVUDcezM9e12I2ff_EFj0kig" xr:uid="{00000000-0004-0000-0400-0000D10E0000}"/>
    <hyperlink ref="I1011" r:id="rId3795" display="https://docs.google.com/open?id=1aD66S7fa7G9sym6uAMjXVUDcezM9e12I2ff_EFj0kig" xr:uid="{00000000-0004-0000-0400-0000D20E0000}"/>
    <hyperlink ref="D1012" r:id="rId3796" display="https://drive.google.com/open?id=1DiW_pSLEOElRrUJuczGmCnjl1xFdIgPXD7UANxgRO04&amp;usp=drive_copy" xr:uid="{00000000-0004-0000-0400-0000D30E0000}"/>
    <hyperlink ref="E1012" r:id="rId3797" display="https://drive.google.com/open?id=1DiW_pSLEOElRrUJuczGmCnjl1xFdIgPXD7UANxgRO04" xr:uid="{00000000-0004-0000-0400-0000D40E0000}"/>
    <hyperlink ref="H1012" r:id="rId3798" display="https://docs.google.com/spreadsheets/d/1DiW_pSLEOElRrUJuczGmCnjl1xFdIgPXD7UANxgRO04" xr:uid="{00000000-0004-0000-0400-0000D50E0000}"/>
    <hyperlink ref="I1012" r:id="rId3799" display="https://docs.google.com/open?id=1DiW_pSLEOElRrUJuczGmCnjl1xFdIgPXD7UANxgRO04" xr:uid="{00000000-0004-0000-0400-0000D60E0000}"/>
    <hyperlink ref="D1013" r:id="rId3800" display="https://drive.google.com/open?id=1HUXoVXu9KF3uSLy1NeUvbYHN6NI1q7ecDNxcINSf-2k&amp;usp=drive_copy" xr:uid="{00000000-0004-0000-0400-0000D70E0000}"/>
    <hyperlink ref="E1013" r:id="rId3801" display="https://drive.google.com/open?id=1HUXoVXu9KF3uSLy1NeUvbYHN6NI1q7ecDNxcINSf-2k" xr:uid="{00000000-0004-0000-0400-0000D80E0000}"/>
    <hyperlink ref="H1013" r:id="rId3802" display="https://docs.google.com/spreadsheets/d/1HUXoVXu9KF3uSLy1NeUvbYHN6NI1q7ecDNxcINSf-2k" xr:uid="{00000000-0004-0000-0400-0000D90E0000}"/>
    <hyperlink ref="I1013" r:id="rId3803" display="https://docs.google.com/open?id=1HUXoVXu9KF3uSLy1NeUvbYHN6NI1q7ecDNxcINSf-2k" xr:uid="{00000000-0004-0000-0400-0000DA0E0000}"/>
    <hyperlink ref="D1014" r:id="rId3804" display="https://drive.google.com/open?id=1dqJTwOHJYL_xbryi9hkDlRUtEz4fuB8nYqhqvT77a1A&amp;usp=drive_copy" xr:uid="{00000000-0004-0000-0400-0000DB0E0000}"/>
    <hyperlink ref="E1014" r:id="rId3805" display="https://drive.google.com/open?id=1dqJTwOHJYL_xbryi9hkDlRUtEz4fuB8nYqhqvT77a1A" xr:uid="{00000000-0004-0000-0400-0000DC0E0000}"/>
    <hyperlink ref="H1014" r:id="rId3806" display="https://docs.google.com/spreadsheets/d/1dqJTwOHJYL_xbryi9hkDlRUtEz4fuB8nYqhqvT77a1A" xr:uid="{00000000-0004-0000-0400-0000DD0E0000}"/>
    <hyperlink ref="I1014" r:id="rId3807" display="https://docs.google.com/open?id=1dqJTwOHJYL_xbryi9hkDlRUtEz4fuB8nYqhqvT77a1A" xr:uid="{00000000-0004-0000-0400-0000DE0E0000}"/>
    <hyperlink ref="D1015" r:id="rId3808" display="https://drive.google.com/open?id=1hhUgikEW5K-NuleAxxHugrZWLfJENeDn34ezodBXBz4&amp;usp=drive_copy" xr:uid="{00000000-0004-0000-0400-0000DF0E0000}"/>
    <hyperlink ref="E1015" r:id="rId3809" display="https://drive.google.com/open?id=1hhUgikEW5K-NuleAxxHugrZWLfJENeDn34ezodBXBz4" xr:uid="{00000000-0004-0000-0400-0000E00E0000}"/>
    <hyperlink ref="H1015" r:id="rId3810" display="https://docs.google.com/spreadsheets/d/1hhUgikEW5K-NuleAxxHugrZWLfJENeDn34ezodBXBz4" xr:uid="{00000000-0004-0000-0400-0000E10E0000}"/>
    <hyperlink ref="I1015" r:id="rId3811" display="https://docs.google.com/open?id=1hhUgikEW5K-NuleAxxHugrZWLfJENeDn34ezodBXBz4" xr:uid="{00000000-0004-0000-0400-0000E20E0000}"/>
    <hyperlink ref="D1016" r:id="rId3812" display="https://drive.google.com/open?id=1nAUeg8nhByjQyE0nbbrN4HQq6Kwe4JMO1lmKt7iyi3E&amp;usp=drive_copy" xr:uid="{00000000-0004-0000-0400-0000E30E0000}"/>
    <hyperlink ref="E1016" r:id="rId3813" display="https://drive.google.com/open?id=1nAUeg8nhByjQyE0nbbrN4HQq6Kwe4JMO1lmKt7iyi3E" xr:uid="{00000000-0004-0000-0400-0000E40E0000}"/>
    <hyperlink ref="H1016" r:id="rId3814" display="https://docs.google.com/spreadsheets/d/1nAUeg8nhByjQyE0nbbrN4HQq6Kwe4JMO1lmKt7iyi3E" xr:uid="{00000000-0004-0000-0400-0000E50E0000}"/>
    <hyperlink ref="I1016" r:id="rId3815" display="https://docs.google.com/open?id=1nAUeg8nhByjQyE0nbbrN4HQq6Kwe4JMO1lmKt7iyi3E" xr:uid="{00000000-0004-0000-0400-0000E60E0000}"/>
    <hyperlink ref="D1017" r:id="rId3816" display="https://drive.google.com/open?id=1onvwJOD3spBRN2COXsvyKzx5dTdKAme7H2G7ceBgQMs&amp;usp=drive_copy" xr:uid="{00000000-0004-0000-0400-0000E70E0000}"/>
    <hyperlink ref="E1017" r:id="rId3817" display="https://drive.google.com/open?id=1onvwJOD3spBRN2COXsvyKzx5dTdKAme7H2G7ceBgQMs" xr:uid="{00000000-0004-0000-0400-0000E80E0000}"/>
    <hyperlink ref="H1017" r:id="rId3818" display="https://docs.google.com/spreadsheets/d/1onvwJOD3spBRN2COXsvyKzx5dTdKAme7H2G7ceBgQMs" xr:uid="{00000000-0004-0000-0400-0000E90E0000}"/>
    <hyperlink ref="I1017" r:id="rId3819" display="https://docs.google.com/open?id=1onvwJOD3spBRN2COXsvyKzx5dTdKAme7H2G7ceBgQMs" xr:uid="{00000000-0004-0000-0400-0000EA0E0000}"/>
    <hyperlink ref="D1018" r:id="rId3820" display="https://drive.google.com/open?id=1r9KcGfp64Cwn68Cnl7E0UQdtQ63FYNp0ZDtxe8PfQi8&amp;usp=drive_copy" xr:uid="{00000000-0004-0000-0400-0000EB0E0000}"/>
    <hyperlink ref="E1018" r:id="rId3821" display="https://drive.google.com/open?id=1r9KcGfp64Cwn68Cnl7E0UQdtQ63FYNp0ZDtxe8PfQi8" xr:uid="{00000000-0004-0000-0400-0000EC0E0000}"/>
    <hyperlink ref="H1018" r:id="rId3822" display="https://docs.google.com/spreadsheets/d/1r9KcGfp64Cwn68Cnl7E0UQdtQ63FYNp0ZDtxe8PfQi8" xr:uid="{00000000-0004-0000-0400-0000ED0E0000}"/>
    <hyperlink ref="I1018" r:id="rId3823" display="https://docs.google.com/open?id=1r9KcGfp64Cwn68Cnl7E0UQdtQ63FYNp0ZDtxe8PfQi8" xr:uid="{00000000-0004-0000-0400-0000EE0E0000}"/>
    <hyperlink ref="D1019" r:id="rId3824" display="https://drive.google.com/open?id=1sTb2zaDnsrvopAxKPzSrbiCQ6KoxD9gMrwqhkHtnxMs&amp;usp=drive_copy" xr:uid="{00000000-0004-0000-0400-0000EF0E0000}"/>
    <hyperlink ref="E1019" r:id="rId3825" display="https://drive.google.com/open?id=1sTb2zaDnsrvopAxKPzSrbiCQ6KoxD9gMrwqhkHtnxMs" xr:uid="{00000000-0004-0000-0400-0000F00E0000}"/>
    <hyperlink ref="H1019" r:id="rId3826" display="https://docs.google.com/spreadsheets/d/1sTb2zaDnsrvopAxKPzSrbiCQ6KoxD9gMrwqhkHtnxMs" xr:uid="{00000000-0004-0000-0400-0000F10E0000}"/>
    <hyperlink ref="I1019" r:id="rId3827" display="https://docs.google.com/open?id=1sTb2zaDnsrvopAxKPzSrbiCQ6KoxD9gMrwqhkHtnxMs" xr:uid="{00000000-0004-0000-0400-0000F20E0000}"/>
    <hyperlink ref="D1020" r:id="rId3828" display="https://drive.google.com/open?id=1tZRJB1j9hziG_MFLArQoNBLT3XB73Dl60mxJ_A17UCk&amp;usp=drive_copy" xr:uid="{00000000-0004-0000-0400-0000F30E0000}"/>
    <hyperlink ref="E1020" r:id="rId3829" display="https://drive.google.com/open?id=1tZRJB1j9hziG_MFLArQoNBLT3XB73Dl60mxJ_A17UCk" xr:uid="{00000000-0004-0000-0400-0000F40E0000}"/>
    <hyperlink ref="H1020" r:id="rId3830" display="https://docs.google.com/spreadsheets/d/1tZRJB1j9hziG_MFLArQoNBLT3XB73Dl60mxJ_A17UCk" xr:uid="{00000000-0004-0000-0400-0000F50E0000}"/>
    <hyperlink ref="I1020" r:id="rId3831" display="https://docs.google.com/open?id=1tZRJB1j9hziG_MFLArQoNBLT3XB73Dl60mxJ_A17UCk" xr:uid="{00000000-0004-0000-0400-0000F60E0000}"/>
    <hyperlink ref="D1021" r:id="rId3832" display="https://drive.google.com/open?id=1yzpnK1mpmqmhTIzyD-WVvBmb8nnxvXjeEOIWehuHWlI&amp;usp=drive_copy" xr:uid="{00000000-0004-0000-0400-0000F70E0000}"/>
    <hyperlink ref="E1021" r:id="rId3833" display="https://drive.google.com/open?id=1yzpnK1mpmqmhTIzyD-WVvBmb8nnxvXjeEOIWehuHWlI" xr:uid="{00000000-0004-0000-0400-0000F80E0000}"/>
    <hyperlink ref="H1021" r:id="rId3834" display="https://docs.google.com/spreadsheets/d/1yzpnK1mpmqmhTIzyD-WVvBmb8nnxvXjeEOIWehuHWlI" xr:uid="{00000000-0004-0000-0400-0000F90E0000}"/>
    <hyperlink ref="I1021" r:id="rId3835" display="https://docs.google.com/open?id=1yzpnK1mpmqmhTIzyD-WVvBmb8nnxvXjeEOIWehuHWlI" xr:uid="{00000000-0004-0000-0400-0000FA0E0000}"/>
    <hyperlink ref="D1022" r:id="rId3836" display="https://drive.google.com/open?id=1zh2TuFV0FMAEYytBJUChBSc9SIJItqctq-QBvrPHvxM&amp;usp=drive_copy" xr:uid="{00000000-0004-0000-0400-0000FB0E0000}"/>
    <hyperlink ref="E1022" r:id="rId3837" display="https://drive.google.com/open?id=1zh2TuFV0FMAEYytBJUChBSc9SIJItqctq-QBvrPHvxM" xr:uid="{00000000-0004-0000-0400-0000FC0E0000}"/>
    <hyperlink ref="H1022" r:id="rId3838" display="https://docs.google.com/spreadsheets/d/1zh2TuFV0FMAEYytBJUChBSc9SIJItqctq-QBvrPHvxM" xr:uid="{00000000-0004-0000-0400-0000FD0E0000}"/>
    <hyperlink ref="I1022" r:id="rId3839" display="https://docs.google.com/open?id=1zh2TuFV0FMAEYytBJUChBSc9SIJItqctq-QBvrPHvxM" xr:uid="{00000000-0004-0000-0400-0000FE0E0000}"/>
    <hyperlink ref="D1023" r:id="rId3840" display="https://drive.google.com/open?id=1ztvYGRzFuUHJJXOlbYuan0yQswk_YQTFCI1Zo_whx3w&amp;usp=drive_copy" xr:uid="{00000000-0004-0000-0400-0000FF0E0000}"/>
    <hyperlink ref="E1023" r:id="rId3841" display="https://drive.google.com/open?id=1ztvYGRzFuUHJJXOlbYuan0yQswk_YQTFCI1Zo_whx3w" xr:uid="{00000000-0004-0000-0400-0000000F0000}"/>
    <hyperlink ref="H1023" r:id="rId3842" display="https://docs.google.com/spreadsheets/d/1ztvYGRzFuUHJJXOlbYuan0yQswk_YQTFCI1Zo_whx3w" xr:uid="{00000000-0004-0000-0400-0000010F0000}"/>
    <hyperlink ref="I1023" r:id="rId3843" display="https://docs.google.com/open?id=1ztvYGRzFuUHJJXOlbYuan0yQswk_YQTFCI1Zo_whx3w" xr:uid="{00000000-0004-0000-0400-0000020F0000}"/>
    <hyperlink ref="D1024" r:id="rId3844" display="https://drive.google.com/open?id=1-3JhFXXVW8o5GzX7Ckq7KY5IRx3PBYngosj34uiJd7g&amp;usp=drive_copy" xr:uid="{00000000-0004-0000-0400-0000030F0000}"/>
    <hyperlink ref="E1024" r:id="rId3845" display="https://drive.google.com/open?id=1-3JhFXXVW8o5GzX7Ckq7KY5IRx3PBYngosj34uiJd7g" xr:uid="{00000000-0004-0000-0400-0000040F0000}"/>
    <hyperlink ref="H1024" r:id="rId3846" display="https://docs.google.com/spreadsheets/d/1-3JhFXXVW8o5GzX7Ckq7KY5IRx3PBYngosj34uiJd7g" xr:uid="{00000000-0004-0000-0400-0000050F0000}"/>
    <hyperlink ref="I1024" r:id="rId3847" display="https://docs.google.com/open?id=1-3JhFXXVW8o5GzX7Ckq7KY5IRx3PBYngosj34uiJd7g" xr:uid="{00000000-0004-0000-0400-0000060F0000}"/>
    <hyperlink ref="D1025" r:id="rId3848" display="https://drive.google.com/open?id=14-ELN3Sjstb2CkWNCRw-Esf0MIX4Psi8NCb19ohiuaA&amp;usp=drive_copy" xr:uid="{00000000-0004-0000-0400-0000070F0000}"/>
    <hyperlink ref="E1025" r:id="rId3849" display="https://drive.google.com/open?id=14-ELN3Sjstb2CkWNCRw-Esf0MIX4Psi8NCb19ohiuaA" xr:uid="{00000000-0004-0000-0400-0000080F0000}"/>
    <hyperlink ref="H1025" r:id="rId3850" display="https://docs.google.com/spreadsheets/d/14-ELN3Sjstb2CkWNCRw-Esf0MIX4Psi8NCb19ohiuaA" xr:uid="{00000000-0004-0000-0400-0000090F0000}"/>
    <hyperlink ref="I1025" r:id="rId3851" display="https://docs.google.com/open?id=14-ELN3Sjstb2CkWNCRw-Esf0MIX4Psi8NCb19ohiuaA" xr:uid="{00000000-0004-0000-0400-00000A0F0000}"/>
    <hyperlink ref="D1026" r:id="rId3852" display="https://drive.google.com/open?id=1DKNtZaI3w_LqyItkhFKLoFoF-6YzzS75G-WzPlOpuNg&amp;usp=drive_copy" xr:uid="{00000000-0004-0000-0400-00000B0F0000}"/>
    <hyperlink ref="E1026" r:id="rId3853" display="https://drive.google.com/open?id=1DKNtZaI3w_LqyItkhFKLoFoF-6YzzS75G-WzPlOpuNg" xr:uid="{00000000-0004-0000-0400-00000C0F0000}"/>
    <hyperlink ref="H1026" r:id="rId3854" display="https://docs.google.com/spreadsheets/d/1DKNtZaI3w_LqyItkhFKLoFoF-6YzzS75G-WzPlOpuNg" xr:uid="{00000000-0004-0000-0400-00000D0F0000}"/>
    <hyperlink ref="I1026" r:id="rId3855" display="https://docs.google.com/open?id=1DKNtZaI3w_LqyItkhFKLoFoF-6YzzS75G-WzPlOpuNg" xr:uid="{00000000-0004-0000-0400-00000E0F0000}"/>
    <hyperlink ref="D1027" r:id="rId3856" display="https://drive.google.com/open?id=1coomfJAONokVC15fN6Knp5MW4JZLrTtBNCi2DyhIolU&amp;usp=drive_copy" xr:uid="{00000000-0004-0000-0400-00000F0F0000}"/>
    <hyperlink ref="E1027" r:id="rId3857" display="https://drive.google.com/open?id=1coomfJAONokVC15fN6Knp5MW4JZLrTtBNCi2DyhIolU" xr:uid="{00000000-0004-0000-0400-0000100F0000}"/>
    <hyperlink ref="H1027" r:id="rId3858" display="https://docs.google.com/spreadsheets/d/1coomfJAONokVC15fN6Knp5MW4JZLrTtBNCi2DyhIolU" xr:uid="{00000000-0004-0000-0400-0000110F0000}"/>
    <hyperlink ref="I1027" r:id="rId3859" display="https://docs.google.com/open?id=1coomfJAONokVC15fN6Knp5MW4JZLrTtBNCi2DyhIolU" xr:uid="{00000000-0004-0000-0400-0000120F0000}"/>
    <hyperlink ref="D1028" r:id="rId3860" display="https://drive.google.com/open?id=1jObs-f0fcG_8ykBZQcT1C4OCWvDpQTexWm_gIpugJOs&amp;usp=drive_copy" xr:uid="{00000000-0004-0000-0400-0000130F0000}"/>
    <hyperlink ref="E1028" r:id="rId3861" display="https://drive.google.com/open?id=1jObs-f0fcG_8ykBZQcT1C4OCWvDpQTexWm_gIpugJOs" xr:uid="{00000000-0004-0000-0400-0000140F0000}"/>
    <hyperlink ref="H1028" r:id="rId3862" display="https://docs.google.com/spreadsheets/d/1jObs-f0fcG_8ykBZQcT1C4OCWvDpQTexWm_gIpugJOs" xr:uid="{00000000-0004-0000-0400-0000150F0000}"/>
    <hyperlink ref="I1028" r:id="rId3863" display="https://docs.google.com/open?id=1jObs-f0fcG_8ykBZQcT1C4OCWvDpQTexWm_gIpugJOs" xr:uid="{00000000-0004-0000-0400-0000160F0000}"/>
    <hyperlink ref="D1029" r:id="rId3864" display="https://drive.google.com/open?id=1m2oGMtfxLfiNjBvGTLFkpTzUTzOUo382KnAxilJGdhk&amp;usp=drive_copy" xr:uid="{00000000-0004-0000-0400-0000170F0000}"/>
    <hyperlink ref="E1029" r:id="rId3865" display="https://drive.google.com/open?id=1m2oGMtfxLfiNjBvGTLFkpTzUTzOUo382KnAxilJGdhk" xr:uid="{00000000-0004-0000-0400-0000180F0000}"/>
    <hyperlink ref="H1029" r:id="rId3866" display="https://docs.google.com/spreadsheets/d/1m2oGMtfxLfiNjBvGTLFkpTzUTzOUo382KnAxilJGdhk" xr:uid="{00000000-0004-0000-0400-0000190F0000}"/>
    <hyperlink ref="I1029" r:id="rId3867" display="https://docs.google.com/open?id=1m2oGMtfxLfiNjBvGTLFkpTzUTzOUo382KnAxilJGdhk" xr:uid="{00000000-0004-0000-0400-00001A0F0000}"/>
    <hyperlink ref="D1030" r:id="rId3868" display="https://drive.google.com/open?id=1sPpECM-rL9ae2oTcbCokVyn1lkK79LtZ767loRcKsOo&amp;usp=drive_copy" xr:uid="{00000000-0004-0000-0400-00001B0F0000}"/>
    <hyperlink ref="E1030" r:id="rId3869" display="https://drive.google.com/open?id=1sPpECM-rL9ae2oTcbCokVyn1lkK79LtZ767loRcKsOo" xr:uid="{00000000-0004-0000-0400-00001C0F0000}"/>
    <hyperlink ref="H1030" r:id="rId3870" display="https://docs.google.com/spreadsheets/d/1sPpECM-rL9ae2oTcbCokVyn1lkK79LtZ767loRcKsOo" xr:uid="{00000000-0004-0000-0400-00001D0F0000}"/>
    <hyperlink ref="I1030" r:id="rId3871" display="https://docs.google.com/open?id=1sPpECM-rL9ae2oTcbCokVyn1lkK79LtZ767loRcKsOo" xr:uid="{00000000-0004-0000-0400-00001E0F0000}"/>
    <hyperlink ref="D1031" r:id="rId3872" display="https://drive.google.com/open?id=1uNIGa0BmylAikCZTRfDYS7Z0d1-o7ET-2vGbGpJLHnQ&amp;usp=drive_copy" xr:uid="{00000000-0004-0000-0400-00001F0F0000}"/>
    <hyperlink ref="E1031" r:id="rId3873" display="https://drive.google.com/open?id=1uNIGa0BmylAikCZTRfDYS7Z0d1-o7ET-2vGbGpJLHnQ" xr:uid="{00000000-0004-0000-0400-0000200F0000}"/>
    <hyperlink ref="H1031" r:id="rId3874" display="https://docs.google.com/spreadsheets/d/1uNIGa0BmylAikCZTRfDYS7Z0d1-o7ET-2vGbGpJLHnQ" xr:uid="{00000000-0004-0000-0400-0000210F0000}"/>
    <hyperlink ref="I1031" r:id="rId3875" display="https://docs.google.com/open?id=1uNIGa0BmylAikCZTRfDYS7Z0d1-o7ET-2vGbGpJLHnQ" xr:uid="{00000000-0004-0000-0400-0000220F0000}"/>
    <hyperlink ref="D1032" r:id="rId3876" display="https://drive.google.com/open?id=1VEK6lO97nwgpRksBKriuYQTICvxPgONd5ViVz6GtCvU&amp;usp=drive_copy" xr:uid="{00000000-0004-0000-0400-0000230F0000}"/>
    <hyperlink ref="E1032" r:id="rId3877" display="https://drive.google.com/open?id=1VEK6lO97nwgpRksBKriuYQTICvxPgONd5ViVz6GtCvU" xr:uid="{00000000-0004-0000-0400-0000240F0000}"/>
    <hyperlink ref="H1032" r:id="rId3878" display="https://docs.google.com/spreadsheets/d/1VEK6lO97nwgpRksBKriuYQTICvxPgONd5ViVz6GtCvU" xr:uid="{00000000-0004-0000-0400-0000250F0000}"/>
    <hyperlink ref="I1032" r:id="rId3879" display="https://docs.google.com/open?id=1VEK6lO97nwgpRksBKriuYQTICvxPgONd5ViVz6GtCvU" xr:uid="{00000000-0004-0000-0400-0000260F0000}"/>
    <hyperlink ref="D1034" r:id="rId3880" display="https://drive.google.com/open?id=1tIX7CR72CMcniyd5f-f6DZd34NVygmN7eq59zwbplgE&amp;usp=drive_copy" xr:uid="{00000000-0004-0000-0400-0000270F0000}"/>
    <hyperlink ref="E1034" r:id="rId3881" display="https://drive.google.com/open?id=1tIX7CR72CMcniyd5f-f6DZd34NVygmN7eq59zwbplgE" xr:uid="{00000000-0004-0000-0400-0000280F0000}"/>
    <hyperlink ref="H1034" r:id="rId3882" display="https://docs.google.com/spreadsheets/d/1tIX7CR72CMcniyd5f-f6DZd34NVygmN7eq59zwbplgE" xr:uid="{00000000-0004-0000-0400-0000290F0000}"/>
    <hyperlink ref="I1034" r:id="rId3883" display="https://docs.google.com/open?id=1tIX7CR72CMcniyd5f-f6DZd34NVygmN7eq59zwbplgE" xr:uid="{00000000-0004-0000-0400-00002A0F0000}"/>
    <hyperlink ref="D1036" r:id="rId3884" display="https://drive.google.com/open?id=1oduhaIf8fcwj-eWTKp7sVf9TAEuuoYJAHr0ygSM_pEo&amp;usp=drive_copy" xr:uid="{00000000-0004-0000-0400-00002B0F0000}"/>
    <hyperlink ref="E1036" r:id="rId3885" display="https://drive.google.com/open?id=1oduhaIf8fcwj-eWTKp7sVf9TAEuuoYJAHr0ygSM_pEo" xr:uid="{00000000-0004-0000-0400-00002C0F0000}"/>
    <hyperlink ref="H1036" r:id="rId3886" display="https://docs.google.com/spreadsheets/d/1oduhaIf8fcwj-eWTKp7sVf9TAEuuoYJAHr0ygSM_pEo" xr:uid="{00000000-0004-0000-0400-00002D0F0000}"/>
    <hyperlink ref="I1036" r:id="rId3887" display="https://docs.google.com/open?id=1oduhaIf8fcwj-eWTKp7sVf9TAEuuoYJAHr0ygSM_pEo" xr:uid="{00000000-0004-0000-0400-00002E0F0000}"/>
    <hyperlink ref="D1038" r:id="rId3888" display="https://drive.google.com/open?id=19Ot4b1Pasvdp7KssnBJ3memm5REKtMdFm0X5sc7j1m0&amp;usp=drive_copy" xr:uid="{00000000-0004-0000-0400-00002F0F0000}"/>
    <hyperlink ref="E1038" r:id="rId3889" display="https://drive.google.com/open?id=19Ot4b1Pasvdp7KssnBJ3memm5REKtMdFm0X5sc7j1m0" xr:uid="{00000000-0004-0000-0400-0000300F0000}"/>
    <hyperlink ref="H1038" r:id="rId3890" display="https://docs.google.com/spreadsheets/d/19Ot4b1Pasvdp7KssnBJ3memm5REKtMdFm0X5sc7j1m0" xr:uid="{00000000-0004-0000-0400-0000310F0000}"/>
    <hyperlink ref="I1038" r:id="rId3891" display="https://docs.google.com/open?id=19Ot4b1Pasvdp7KssnBJ3memm5REKtMdFm0X5sc7j1m0" xr:uid="{00000000-0004-0000-0400-0000320F0000}"/>
    <hyperlink ref="D1039" r:id="rId3892" display="https://drive.google.com/open?id=1re7KxSnGoHPIfrfLhDeKI3Pa-2ni4BBKVJT3qrXGkWQ&amp;usp=drive_copy" xr:uid="{00000000-0004-0000-0400-0000330F0000}"/>
    <hyperlink ref="E1039" r:id="rId3893" display="https://drive.google.com/open?id=1re7KxSnGoHPIfrfLhDeKI3Pa-2ni4BBKVJT3qrXGkWQ" xr:uid="{00000000-0004-0000-0400-0000340F0000}"/>
    <hyperlink ref="H1039" r:id="rId3894" display="https://docs.google.com/spreadsheets/d/1re7KxSnGoHPIfrfLhDeKI3Pa-2ni4BBKVJT3qrXGkWQ" xr:uid="{00000000-0004-0000-0400-0000350F0000}"/>
    <hyperlink ref="I1039" r:id="rId3895" display="https://docs.google.com/open?id=1re7KxSnGoHPIfrfLhDeKI3Pa-2ni4BBKVJT3qrXGkWQ" xr:uid="{00000000-0004-0000-0400-0000360F0000}"/>
    <hyperlink ref="D1040" r:id="rId3896" display="https://drive.google.com/open?id=1fyOZhUTnosGJ4s8TnmySKCKTgZ7tnssCaHs9nyUUHkU&amp;usp=drive_copy" xr:uid="{00000000-0004-0000-0400-0000370F0000}"/>
    <hyperlink ref="E1040" r:id="rId3897" display="https://drive.google.com/open?id=1fyOZhUTnosGJ4s8TnmySKCKTgZ7tnssCaHs9nyUUHkU" xr:uid="{00000000-0004-0000-0400-0000380F0000}"/>
    <hyperlink ref="H1040" r:id="rId3898" display="https://docs.google.com/spreadsheets/d/1fyOZhUTnosGJ4s8TnmySKCKTgZ7tnssCaHs9nyUUHkU" xr:uid="{00000000-0004-0000-0400-0000390F0000}"/>
    <hyperlink ref="I1040" r:id="rId3899" display="https://docs.google.com/open?id=1fyOZhUTnosGJ4s8TnmySKCKTgZ7tnssCaHs9nyUUHkU" xr:uid="{00000000-0004-0000-0400-00003A0F0000}"/>
    <hyperlink ref="D1041" r:id="rId3900" display="https://drive.google.com/open?id=16wByBKkq54MlVMp5UkjlFbElc_thB7GBJgwUFmV5emU&amp;usp=drive_copy" xr:uid="{00000000-0004-0000-0400-00003B0F0000}"/>
    <hyperlink ref="E1041" r:id="rId3901" display="https://drive.google.com/open?id=16wByBKkq54MlVMp5UkjlFbElc_thB7GBJgwUFmV5emU" xr:uid="{00000000-0004-0000-0400-00003C0F0000}"/>
    <hyperlink ref="H1041" r:id="rId3902" display="https://docs.google.com/spreadsheets/d/16wByBKkq54MlVMp5UkjlFbElc_thB7GBJgwUFmV5emU" xr:uid="{00000000-0004-0000-0400-00003D0F0000}"/>
    <hyperlink ref="I1041" r:id="rId3903" display="https://docs.google.com/open?id=16wByBKkq54MlVMp5UkjlFbElc_thB7GBJgwUFmV5emU" xr:uid="{00000000-0004-0000-0400-00003E0F0000}"/>
    <hyperlink ref="D1042" r:id="rId3904" display="https://drive.google.com/open?id=1YG8FCFfb_7C-VhPVWkjgcqsqSOCY3bVI7QNYB_FGnz0&amp;usp=drive_copy" xr:uid="{00000000-0004-0000-0400-00003F0F0000}"/>
    <hyperlink ref="E1042" r:id="rId3905" display="https://drive.google.com/open?id=1YG8FCFfb_7C-VhPVWkjgcqsqSOCY3bVI7QNYB_FGnz0" xr:uid="{00000000-0004-0000-0400-0000400F0000}"/>
    <hyperlink ref="H1042" r:id="rId3906" display="https://docs.google.com/spreadsheets/d/1YG8FCFfb_7C-VhPVWkjgcqsqSOCY3bVI7QNYB_FGnz0" xr:uid="{00000000-0004-0000-0400-0000410F0000}"/>
    <hyperlink ref="I1042" r:id="rId3907" display="https://docs.google.com/open?id=1YG8FCFfb_7C-VhPVWkjgcqsqSOCY3bVI7QNYB_FGnz0" xr:uid="{00000000-0004-0000-0400-0000420F0000}"/>
    <hyperlink ref="D1043" r:id="rId3908" display="https://drive.google.com/open?id=1m9EJVnohl8ykmPyQm0Pl1-APfkFQXT33tLPGtmrrR18&amp;usp=drive_copy" xr:uid="{00000000-0004-0000-0400-0000430F0000}"/>
    <hyperlink ref="E1043" r:id="rId3909" display="https://drive.google.com/open?id=1m9EJVnohl8ykmPyQm0Pl1-APfkFQXT33tLPGtmrrR18" xr:uid="{00000000-0004-0000-0400-0000440F0000}"/>
    <hyperlink ref="H1043" r:id="rId3910" display="https://docs.google.com/spreadsheets/d/1m9EJVnohl8ykmPyQm0Pl1-APfkFQXT33tLPGtmrrR18" xr:uid="{00000000-0004-0000-0400-0000450F0000}"/>
    <hyperlink ref="I1043" r:id="rId3911" display="https://docs.google.com/open?id=1m9EJVnohl8ykmPyQm0Pl1-APfkFQXT33tLPGtmrrR18" xr:uid="{00000000-0004-0000-0400-0000460F0000}"/>
    <hyperlink ref="D1044" r:id="rId3912" display="https://drive.google.com/open?id=1-NeEg7nf50XdGCSRBd2N1t-YTNjzk_8fBvgLsdFhFGU&amp;usp=drive_copy" xr:uid="{00000000-0004-0000-0400-0000470F0000}"/>
    <hyperlink ref="E1044" r:id="rId3913" display="https://drive.google.com/open?id=1-NeEg7nf50XdGCSRBd2N1t-YTNjzk_8fBvgLsdFhFGU" xr:uid="{00000000-0004-0000-0400-0000480F0000}"/>
    <hyperlink ref="H1044" r:id="rId3914" display="https://docs.google.com/spreadsheets/d/1-NeEg7nf50XdGCSRBd2N1t-YTNjzk_8fBvgLsdFhFGU" xr:uid="{00000000-0004-0000-0400-0000490F0000}"/>
    <hyperlink ref="I1044" r:id="rId3915" display="https://docs.google.com/open?id=1-NeEg7nf50XdGCSRBd2N1t-YTNjzk_8fBvgLsdFhFGU" xr:uid="{00000000-0004-0000-0400-00004A0F0000}"/>
    <hyperlink ref="D1045" r:id="rId3916" display="https://drive.google.com/open?id=1CpCz0vLXMG11zC0rqWrZ5tvBrokKpg166AxbWCplO_g&amp;usp=drive_copy" xr:uid="{00000000-0004-0000-0400-00004B0F0000}"/>
    <hyperlink ref="E1045" r:id="rId3917" display="https://drive.google.com/open?id=1CpCz0vLXMG11zC0rqWrZ5tvBrokKpg166AxbWCplO_g" xr:uid="{00000000-0004-0000-0400-00004C0F0000}"/>
    <hyperlink ref="H1045" r:id="rId3918" display="https://docs.google.com/spreadsheets/d/1CpCz0vLXMG11zC0rqWrZ5tvBrokKpg166AxbWCplO_g" xr:uid="{00000000-0004-0000-0400-00004D0F0000}"/>
    <hyperlink ref="I1045" r:id="rId3919" display="https://docs.google.com/open?id=1CpCz0vLXMG11zC0rqWrZ5tvBrokKpg166AxbWCplO_g" xr:uid="{00000000-0004-0000-0400-00004E0F0000}"/>
    <hyperlink ref="D1046" r:id="rId3920" display="https://drive.google.com/open?id=1aBTrGvbqltxSQtKd3zkmnYnyrZMF-P-VokD5amQDyMM&amp;usp=drive_copy" xr:uid="{00000000-0004-0000-0400-00004F0F0000}"/>
    <hyperlink ref="E1046" r:id="rId3921" display="https://drive.google.com/open?id=1aBTrGvbqltxSQtKd3zkmnYnyrZMF-P-VokD5amQDyMM" xr:uid="{00000000-0004-0000-0400-0000500F0000}"/>
    <hyperlink ref="H1046" r:id="rId3922" display="https://docs.google.com/spreadsheets/d/1aBTrGvbqltxSQtKd3zkmnYnyrZMF-P-VokD5amQDyMM" xr:uid="{00000000-0004-0000-0400-0000510F0000}"/>
    <hyperlink ref="I1046" r:id="rId3923" display="https://docs.google.com/open?id=1aBTrGvbqltxSQtKd3zkmnYnyrZMF-P-VokD5amQDyMM" xr:uid="{00000000-0004-0000-0400-0000520F0000}"/>
    <hyperlink ref="D1047" r:id="rId3924" display="https://drive.google.com/open?id=1hG1xZfWvrLZrkcDwtWpawuKV1-9Ijm0-E07otJ8fKBM&amp;usp=drive_copy" xr:uid="{00000000-0004-0000-0400-0000530F0000}"/>
    <hyperlink ref="E1047" r:id="rId3925" display="https://drive.google.com/open?id=1hG1xZfWvrLZrkcDwtWpawuKV1-9Ijm0-E07otJ8fKBM" xr:uid="{00000000-0004-0000-0400-0000540F0000}"/>
    <hyperlink ref="H1047" r:id="rId3926" display="https://docs.google.com/spreadsheets/d/1hG1xZfWvrLZrkcDwtWpawuKV1-9Ijm0-E07otJ8fKBM" xr:uid="{00000000-0004-0000-0400-0000550F0000}"/>
    <hyperlink ref="I1047" r:id="rId3927" display="https://docs.google.com/open?id=1hG1xZfWvrLZrkcDwtWpawuKV1-9Ijm0-E07otJ8fKBM" xr:uid="{00000000-0004-0000-0400-0000560F0000}"/>
    <hyperlink ref="D1048" r:id="rId3928" display="https://drive.google.com/open?id=1GS9yh4MIOl1HFEhjn8rVm8OzPUoBZg0WYu2bK_jBnpo&amp;usp=drive_copy" xr:uid="{00000000-0004-0000-0400-0000570F0000}"/>
    <hyperlink ref="E1048" r:id="rId3929" display="https://drive.google.com/open?id=1GS9yh4MIOl1HFEhjn8rVm8OzPUoBZg0WYu2bK_jBnpo" xr:uid="{00000000-0004-0000-0400-0000580F0000}"/>
    <hyperlink ref="H1048" r:id="rId3930" display="https://docs.google.com/spreadsheets/d/1GS9yh4MIOl1HFEhjn8rVm8OzPUoBZg0WYu2bK_jBnpo" xr:uid="{00000000-0004-0000-0400-0000590F0000}"/>
    <hyperlink ref="I1048" r:id="rId3931" display="https://docs.google.com/open?id=1GS9yh4MIOl1HFEhjn8rVm8OzPUoBZg0WYu2bK_jBnpo" xr:uid="{00000000-0004-0000-0400-00005A0F0000}"/>
    <hyperlink ref="D1049" r:id="rId3932" display="https://drive.google.com/open?id=1KSoKnWVe3zFAuUCet34CnYqcyzNaUQXMs3T0nYVQnLg&amp;usp=drive_copy" xr:uid="{00000000-0004-0000-0400-00005B0F0000}"/>
    <hyperlink ref="E1049" r:id="rId3933" display="https://drive.google.com/open?id=1KSoKnWVe3zFAuUCet34CnYqcyzNaUQXMs3T0nYVQnLg" xr:uid="{00000000-0004-0000-0400-00005C0F0000}"/>
    <hyperlink ref="H1049" r:id="rId3934" display="https://docs.google.com/spreadsheets/d/1KSoKnWVe3zFAuUCet34CnYqcyzNaUQXMs3T0nYVQnLg" xr:uid="{00000000-0004-0000-0400-00005D0F0000}"/>
    <hyperlink ref="I1049" r:id="rId3935" display="https://docs.google.com/open?id=1KSoKnWVe3zFAuUCet34CnYqcyzNaUQXMs3T0nYVQnLg" xr:uid="{00000000-0004-0000-0400-00005E0F0000}"/>
    <hyperlink ref="D1050" r:id="rId3936" display="https://drive.google.com/open?id=1gBEDRqZ-XUZ4pkRpGMoP6Zk6dOHbTSvD8I8Ya9tKuXc&amp;usp=drive_copy" xr:uid="{00000000-0004-0000-0400-00005F0F0000}"/>
    <hyperlink ref="E1050" r:id="rId3937" display="https://drive.google.com/open?id=1gBEDRqZ-XUZ4pkRpGMoP6Zk6dOHbTSvD8I8Ya9tKuXc" xr:uid="{00000000-0004-0000-0400-0000600F0000}"/>
    <hyperlink ref="H1050" r:id="rId3938" display="https://docs.google.com/spreadsheets/d/1gBEDRqZ-XUZ4pkRpGMoP6Zk6dOHbTSvD8I8Ya9tKuXc" xr:uid="{00000000-0004-0000-0400-0000610F0000}"/>
    <hyperlink ref="I1050" r:id="rId3939" display="https://docs.google.com/open?id=1gBEDRqZ-XUZ4pkRpGMoP6Zk6dOHbTSvD8I8Ya9tKuXc" xr:uid="{00000000-0004-0000-0400-0000620F0000}"/>
    <hyperlink ref="D1051" r:id="rId3940" display="https://drive.google.com/open?id=1MiyDZVUXj1utHEsf2iRrXi2eY-C05IHgCItJy3NjnaU&amp;usp=drive_copy" xr:uid="{00000000-0004-0000-0400-0000630F0000}"/>
    <hyperlink ref="E1051" r:id="rId3941" display="https://drive.google.com/open?id=1MiyDZVUXj1utHEsf2iRrXi2eY-C05IHgCItJy3NjnaU" xr:uid="{00000000-0004-0000-0400-0000640F0000}"/>
    <hyperlink ref="H1051" r:id="rId3942" display="https://docs.google.com/spreadsheets/d/1MiyDZVUXj1utHEsf2iRrXi2eY-C05IHgCItJy3NjnaU" xr:uid="{00000000-0004-0000-0400-0000650F0000}"/>
    <hyperlink ref="I1051" r:id="rId3943" display="https://docs.google.com/open?id=1MiyDZVUXj1utHEsf2iRrXi2eY-C05IHgCItJy3NjnaU" xr:uid="{00000000-0004-0000-0400-0000660F0000}"/>
    <hyperlink ref="D1052" r:id="rId3944" display="https://drive.google.com/open?id=1osIE4GcDxk6_15hdNrHtYNNdIHD9MeFX8rABG_0MUlg&amp;usp=drive_copy" xr:uid="{00000000-0004-0000-0400-0000670F0000}"/>
    <hyperlink ref="E1052" r:id="rId3945" display="https://drive.google.com/open?id=1osIE4GcDxk6_15hdNrHtYNNdIHD9MeFX8rABG_0MUlg" xr:uid="{00000000-0004-0000-0400-0000680F0000}"/>
    <hyperlink ref="H1052" r:id="rId3946" display="https://docs.google.com/spreadsheets/d/1osIE4GcDxk6_15hdNrHtYNNdIHD9MeFX8rABG_0MUlg" xr:uid="{00000000-0004-0000-0400-0000690F0000}"/>
    <hyperlink ref="I1052" r:id="rId3947" display="https://docs.google.com/open?id=1osIE4GcDxk6_15hdNrHtYNNdIHD9MeFX8rABG_0MUlg" xr:uid="{00000000-0004-0000-0400-00006A0F0000}"/>
    <hyperlink ref="D1053" r:id="rId3948" display="https://drive.google.com/open?id=1yyWpoI7sekFdjRmZBdv2nk40V__VZXy6Nxa_RTxVxYU&amp;usp=drive_copy" xr:uid="{00000000-0004-0000-0400-00006B0F0000}"/>
    <hyperlink ref="E1053" r:id="rId3949" display="https://drive.google.com/open?id=1yyWpoI7sekFdjRmZBdv2nk40V__VZXy6Nxa_RTxVxYU" xr:uid="{00000000-0004-0000-0400-00006C0F0000}"/>
    <hyperlink ref="H1053" r:id="rId3950" display="https://docs.google.com/spreadsheets/d/1yyWpoI7sekFdjRmZBdv2nk40V__VZXy6Nxa_RTxVxYU" xr:uid="{00000000-0004-0000-0400-00006D0F0000}"/>
    <hyperlink ref="I1053" r:id="rId3951" display="https://docs.google.com/open?id=1yyWpoI7sekFdjRmZBdv2nk40V__VZXy6Nxa_RTxVxYU" xr:uid="{00000000-0004-0000-0400-00006E0F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A760"/>
  <sheetViews>
    <sheetView workbookViewId="0">
      <selection activeCell="I5" sqref="I5"/>
    </sheetView>
  </sheetViews>
  <sheetFormatPr defaultColWidth="12.6328125" defaultRowHeight="15.75" customHeight="1"/>
  <cols>
    <col min="1" max="1" width="12.36328125" customWidth="1"/>
    <col min="2" max="2" width="9" customWidth="1"/>
    <col min="3" max="3" width="38.36328125" customWidth="1"/>
    <col min="8" max="8" width="29.08984375" customWidth="1"/>
  </cols>
  <sheetData>
    <row r="1" spans="1:27">
      <c r="A1" s="107" t="s">
        <v>13484</v>
      </c>
      <c r="B1" s="108" t="s">
        <v>13485</v>
      </c>
      <c r="C1" s="108" t="s">
        <v>97</v>
      </c>
      <c r="D1" s="109" t="s">
        <v>13486</v>
      </c>
      <c r="E1" s="109" t="s">
        <v>13487</v>
      </c>
      <c r="F1" s="109" t="s">
        <v>13488</v>
      </c>
      <c r="G1" s="109" t="s">
        <v>13489</v>
      </c>
      <c r="H1" s="107" t="s">
        <v>13490</v>
      </c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</row>
    <row r="2" spans="1:27" ht="15.75" customHeight="1">
      <c r="A2" s="4" t="s">
        <v>13491</v>
      </c>
      <c r="B2" s="110" t="s">
        <v>13492</v>
      </c>
      <c r="C2" s="110" t="s">
        <v>2074</v>
      </c>
      <c r="D2" s="111" t="s">
        <v>2087</v>
      </c>
      <c r="E2" s="111" t="s">
        <v>2099</v>
      </c>
      <c r="F2" s="112" t="s">
        <v>2110</v>
      </c>
      <c r="G2" s="112"/>
      <c r="H2" s="53" t="s">
        <v>13493</v>
      </c>
      <c r="K2" s="110"/>
    </row>
    <row r="3" spans="1:27" ht="15.75" customHeight="1">
      <c r="A3" s="4" t="s">
        <v>13491</v>
      </c>
      <c r="B3" s="110" t="s">
        <v>13494</v>
      </c>
      <c r="C3" s="110" t="s">
        <v>2111</v>
      </c>
      <c r="D3" s="112" t="s">
        <v>2123</v>
      </c>
      <c r="E3" s="112" t="s">
        <v>2134</v>
      </c>
      <c r="F3" s="112" t="s">
        <v>2145</v>
      </c>
      <c r="G3" s="112"/>
      <c r="H3" s="53" t="s">
        <v>13495</v>
      </c>
      <c r="K3" s="110"/>
    </row>
    <row r="4" spans="1:27" ht="15.75" customHeight="1">
      <c r="A4" s="4" t="s">
        <v>13491</v>
      </c>
      <c r="B4" s="110" t="s">
        <v>13496</v>
      </c>
      <c r="C4" s="110" t="s">
        <v>2053</v>
      </c>
      <c r="D4" s="112" t="s">
        <v>2156</v>
      </c>
      <c r="E4" s="112" t="s">
        <v>2167</v>
      </c>
      <c r="F4" s="111" t="s">
        <v>2178</v>
      </c>
      <c r="G4" s="112"/>
      <c r="H4" s="53" t="s">
        <v>13497</v>
      </c>
      <c r="K4" s="110"/>
    </row>
    <row r="5" spans="1:27" ht="15.75" customHeight="1">
      <c r="A5" s="4" t="s">
        <v>13491</v>
      </c>
      <c r="B5" s="110" t="s">
        <v>13498</v>
      </c>
      <c r="C5" s="110" t="s">
        <v>2179</v>
      </c>
      <c r="D5" s="112" t="s">
        <v>2190</v>
      </c>
      <c r="E5" s="112" t="s">
        <v>2201</v>
      </c>
      <c r="F5" s="112" t="s">
        <v>2212</v>
      </c>
      <c r="G5" s="112"/>
      <c r="H5" s="53" t="s">
        <v>13499</v>
      </c>
      <c r="K5" s="110"/>
    </row>
    <row r="6" spans="1:27" ht="15.75" customHeight="1">
      <c r="A6" s="4" t="s">
        <v>13491</v>
      </c>
      <c r="B6" s="110" t="s">
        <v>13500</v>
      </c>
      <c r="C6" s="110" t="s">
        <v>2213</v>
      </c>
      <c r="D6" s="112" t="s">
        <v>2224</v>
      </c>
      <c r="E6" s="112" t="s">
        <v>2237</v>
      </c>
      <c r="F6" s="111" t="s">
        <v>2248</v>
      </c>
      <c r="G6" s="112"/>
      <c r="H6" s="53" t="s">
        <v>13501</v>
      </c>
      <c r="K6" s="110"/>
    </row>
    <row r="7" spans="1:27" ht="15.75" customHeight="1">
      <c r="A7" s="4" t="s">
        <v>13491</v>
      </c>
      <c r="B7" s="110" t="s">
        <v>13502</v>
      </c>
      <c r="C7" s="110" t="s">
        <v>2249</v>
      </c>
      <c r="D7" s="112" t="s">
        <v>2260</v>
      </c>
      <c r="E7" s="112" t="s">
        <v>2271</v>
      </c>
      <c r="F7" s="112" t="s">
        <v>2282</v>
      </c>
      <c r="G7" s="112"/>
      <c r="H7" s="53" t="s">
        <v>13503</v>
      </c>
      <c r="K7" s="110"/>
    </row>
    <row r="8" spans="1:27" ht="15.75" customHeight="1">
      <c r="A8" s="4" t="s">
        <v>13491</v>
      </c>
      <c r="B8" s="110" t="s">
        <v>13504</v>
      </c>
      <c r="C8" s="110" t="s">
        <v>2283</v>
      </c>
      <c r="D8" s="112" t="s">
        <v>2293</v>
      </c>
      <c r="E8" s="112" t="s">
        <v>2304</v>
      </c>
      <c r="F8" s="112" t="s">
        <v>2315</v>
      </c>
      <c r="G8" s="112"/>
      <c r="H8" s="53" t="s">
        <v>13505</v>
      </c>
      <c r="K8" s="110"/>
    </row>
    <row r="9" spans="1:27" ht="15.75" customHeight="1">
      <c r="A9" s="4" t="s">
        <v>13491</v>
      </c>
      <c r="B9" s="110" t="s">
        <v>13506</v>
      </c>
      <c r="C9" s="110" t="s">
        <v>301</v>
      </c>
      <c r="D9" s="111" t="s">
        <v>2326</v>
      </c>
      <c r="E9" s="112" t="s">
        <v>2337</v>
      </c>
      <c r="F9" s="112" t="s">
        <v>2348</v>
      </c>
      <c r="G9" s="112"/>
      <c r="H9" s="53" t="s">
        <v>13507</v>
      </c>
      <c r="K9" s="110"/>
    </row>
    <row r="10" spans="1:27" ht="15.75" customHeight="1">
      <c r="A10" s="4" t="s">
        <v>13491</v>
      </c>
      <c r="B10" s="110" t="s">
        <v>13508</v>
      </c>
      <c r="C10" s="110" t="s">
        <v>2349</v>
      </c>
      <c r="D10" s="112" t="s">
        <v>2360</v>
      </c>
      <c r="E10" s="112" t="s">
        <v>2370</v>
      </c>
      <c r="F10" s="112" t="s">
        <v>2381</v>
      </c>
      <c r="G10" s="112"/>
      <c r="H10" s="53" t="s">
        <v>13509</v>
      </c>
      <c r="K10" s="110"/>
    </row>
    <row r="11" spans="1:27" ht="15.75" customHeight="1">
      <c r="A11" s="4" t="s">
        <v>13491</v>
      </c>
      <c r="B11" s="110" t="s">
        <v>13510</v>
      </c>
      <c r="C11" s="110" t="s">
        <v>2382</v>
      </c>
      <c r="D11" s="112" t="s">
        <v>2393</v>
      </c>
      <c r="E11" s="112" t="s">
        <v>2404</v>
      </c>
      <c r="F11" s="112" t="s">
        <v>2415</v>
      </c>
      <c r="G11" s="112"/>
      <c r="H11" s="4" t="s">
        <v>13511</v>
      </c>
      <c r="K11" s="110"/>
    </row>
    <row r="12" spans="1:27" ht="15.75" customHeight="1">
      <c r="A12" s="4" t="s">
        <v>13491</v>
      </c>
      <c r="B12" s="110" t="s">
        <v>13512</v>
      </c>
      <c r="C12" s="110" t="s">
        <v>2416</v>
      </c>
      <c r="D12" s="111" t="s">
        <v>2428</v>
      </c>
      <c r="E12" s="112" t="s">
        <v>2439</v>
      </c>
      <c r="F12" s="112" t="s">
        <v>2450</v>
      </c>
      <c r="G12" s="112"/>
      <c r="H12" s="4" t="s">
        <v>13513</v>
      </c>
      <c r="K12" s="110"/>
    </row>
    <row r="13" spans="1:27" ht="15.75" customHeight="1">
      <c r="A13" s="4" t="s">
        <v>13491</v>
      </c>
      <c r="B13" s="110" t="s">
        <v>13514</v>
      </c>
      <c r="C13" s="110" t="s">
        <v>2451</v>
      </c>
      <c r="D13" s="112" t="s">
        <v>2462</v>
      </c>
      <c r="E13" s="112" t="s">
        <v>2474</v>
      </c>
      <c r="F13" s="112" t="s">
        <v>2485</v>
      </c>
      <c r="G13" s="112"/>
      <c r="H13" s="53" t="s">
        <v>13515</v>
      </c>
      <c r="K13" s="110"/>
    </row>
    <row r="14" spans="1:27" ht="15.75" customHeight="1">
      <c r="A14" s="4" t="s">
        <v>13491</v>
      </c>
      <c r="B14" s="110" t="s">
        <v>13516</v>
      </c>
      <c r="C14" s="110" t="s">
        <v>342</v>
      </c>
      <c r="D14" s="112" t="s">
        <v>2496</v>
      </c>
      <c r="E14" s="112" t="s">
        <v>2506</v>
      </c>
      <c r="F14" s="112" t="s">
        <v>2517</v>
      </c>
      <c r="H14" s="53" t="s">
        <v>13517</v>
      </c>
      <c r="K14" s="110"/>
    </row>
    <row r="15" spans="1:27" ht="15.75" customHeight="1">
      <c r="A15" s="4" t="s">
        <v>13491</v>
      </c>
      <c r="B15" s="110" t="s">
        <v>13518</v>
      </c>
      <c r="C15" s="110" t="s">
        <v>2518</v>
      </c>
      <c r="D15" s="112" t="s">
        <v>2529</v>
      </c>
      <c r="E15" s="112" t="s">
        <v>2540</v>
      </c>
      <c r="F15" s="112" t="s">
        <v>2551</v>
      </c>
      <c r="H15" s="53" t="s">
        <v>13519</v>
      </c>
      <c r="K15" s="110"/>
    </row>
    <row r="16" spans="1:27" ht="15.75" customHeight="1">
      <c r="A16" s="4" t="s">
        <v>13491</v>
      </c>
      <c r="B16" s="110" t="s">
        <v>13520</v>
      </c>
      <c r="C16" s="110" t="s">
        <v>2552</v>
      </c>
      <c r="D16" s="112" t="s">
        <v>2563</v>
      </c>
      <c r="E16" s="112" t="s">
        <v>2574</v>
      </c>
      <c r="F16" s="112" t="s">
        <v>2585</v>
      </c>
      <c r="H16" s="53" t="s">
        <v>13521</v>
      </c>
      <c r="K16" s="110"/>
    </row>
    <row r="17" spans="1:11" ht="15.75" customHeight="1">
      <c r="A17" s="4" t="s">
        <v>13491</v>
      </c>
      <c r="B17" s="110" t="s">
        <v>13522</v>
      </c>
      <c r="C17" s="110" t="s">
        <v>242</v>
      </c>
      <c r="D17" s="111" t="s">
        <v>13523</v>
      </c>
      <c r="E17" s="112" t="s">
        <v>2609</v>
      </c>
      <c r="F17" s="112" t="s">
        <v>2620</v>
      </c>
      <c r="H17" s="53" t="s">
        <v>13524</v>
      </c>
      <c r="K17" s="110"/>
    </row>
    <row r="18" spans="1:11" ht="15.75" customHeight="1">
      <c r="A18" s="4" t="s">
        <v>13491</v>
      </c>
      <c r="B18" s="110" t="s">
        <v>13525</v>
      </c>
      <c r="C18" s="110" t="s">
        <v>2621</v>
      </c>
      <c r="D18" s="111" t="s">
        <v>2632</v>
      </c>
      <c r="E18" s="112" t="s">
        <v>2643</v>
      </c>
      <c r="F18" s="112" t="s">
        <v>2654</v>
      </c>
      <c r="H18" s="53" t="s">
        <v>13526</v>
      </c>
      <c r="K18" s="110"/>
    </row>
    <row r="19" spans="1:11" ht="15.75" customHeight="1">
      <c r="A19" s="4" t="s">
        <v>13491</v>
      </c>
      <c r="B19" s="110" t="s">
        <v>13527</v>
      </c>
      <c r="C19" s="110" t="s">
        <v>2655</v>
      </c>
      <c r="D19" s="112" t="s">
        <v>2666</v>
      </c>
      <c r="E19" s="111" t="s">
        <v>2677</v>
      </c>
      <c r="F19" s="112" t="s">
        <v>2688</v>
      </c>
      <c r="H19" s="53" t="s">
        <v>13528</v>
      </c>
      <c r="K19" s="110"/>
    </row>
    <row r="20" spans="1:11" ht="12.5">
      <c r="A20" s="4" t="s">
        <v>13491</v>
      </c>
      <c r="B20" s="110" t="s">
        <v>13529</v>
      </c>
      <c r="C20" s="110" t="s">
        <v>2689</v>
      </c>
      <c r="D20" s="111" t="s">
        <v>2700</v>
      </c>
      <c r="E20" s="112" t="s">
        <v>2711</v>
      </c>
      <c r="F20" s="112" t="s">
        <v>2723</v>
      </c>
      <c r="H20" s="53" t="s">
        <v>13530</v>
      </c>
      <c r="K20" s="110"/>
    </row>
    <row r="21" spans="1:11" ht="12.5">
      <c r="A21" s="4" t="s">
        <v>13491</v>
      </c>
      <c r="B21" s="110" t="s">
        <v>13531</v>
      </c>
      <c r="C21" s="110" t="s">
        <v>2724</v>
      </c>
      <c r="D21" s="112" t="s">
        <v>2735</v>
      </c>
      <c r="E21" s="112" t="s">
        <v>2746</v>
      </c>
      <c r="F21" s="112" t="s">
        <v>2757</v>
      </c>
      <c r="H21" s="4" t="s">
        <v>13532</v>
      </c>
      <c r="K21" s="110"/>
    </row>
    <row r="22" spans="1:11" ht="12.5">
      <c r="A22" s="4" t="s">
        <v>13491</v>
      </c>
      <c r="B22" s="110" t="s">
        <v>13533</v>
      </c>
      <c r="C22" s="110" t="s">
        <v>2758</v>
      </c>
      <c r="D22" s="111" t="s">
        <v>2769</v>
      </c>
      <c r="E22" s="112" t="s">
        <v>2780</v>
      </c>
      <c r="F22" s="112" t="s">
        <v>2791</v>
      </c>
      <c r="H22" s="53" t="s">
        <v>13534</v>
      </c>
      <c r="K22" s="110"/>
    </row>
    <row r="23" spans="1:11" ht="12.5">
      <c r="A23" s="4" t="s">
        <v>13491</v>
      </c>
      <c r="B23" s="110" t="s">
        <v>13535</v>
      </c>
      <c r="C23" s="110" t="s">
        <v>2792</v>
      </c>
      <c r="D23" s="112" t="s">
        <v>2803</v>
      </c>
      <c r="E23" s="112" t="s">
        <v>2814</v>
      </c>
      <c r="F23" s="112" t="s">
        <v>2825</v>
      </c>
      <c r="H23" s="4" t="s">
        <v>13536</v>
      </c>
      <c r="K23" s="110"/>
    </row>
    <row r="24" spans="1:11" ht="12.5">
      <c r="A24" s="4" t="s">
        <v>13491</v>
      </c>
      <c r="B24" s="110" t="s">
        <v>13537</v>
      </c>
      <c r="C24" s="110" t="s">
        <v>2826</v>
      </c>
      <c r="D24" s="112" t="s">
        <v>2837</v>
      </c>
      <c r="E24" s="112" t="s">
        <v>2848</v>
      </c>
      <c r="F24" s="111" t="s">
        <v>2859</v>
      </c>
      <c r="H24" s="4" t="s">
        <v>13538</v>
      </c>
      <c r="K24" s="110"/>
    </row>
    <row r="25" spans="1:11" ht="12.5">
      <c r="A25" s="4" t="s">
        <v>13491</v>
      </c>
      <c r="B25" s="110" t="s">
        <v>13539</v>
      </c>
      <c r="C25" s="110" t="s">
        <v>2860</v>
      </c>
      <c r="D25" s="112" t="s">
        <v>2871</v>
      </c>
      <c r="E25" s="112" t="s">
        <v>2882</v>
      </c>
      <c r="F25" s="112" t="s">
        <v>2894</v>
      </c>
      <c r="H25" s="53" t="s">
        <v>13540</v>
      </c>
      <c r="K25" s="110"/>
    </row>
    <row r="26" spans="1:11" ht="12.5">
      <c r="A26" s="4" t="s">
        <v>13491</v>
      </c>
      <c r="B26" s="110" t="s">
        <v>13541</v>
      </c>
      <c r="C26" s="110" t="s">
        <v>346</v>
      </c>
      <c r="D26" s="112" t="s">
        <v>2905</v>
      </c>
      <c r="E26" s="112" t="s">
        <v>2916</v>
      </c>
      <c r="F26" s="112" t="s">
        <v>2927</v>
      </c>
      <c r="H26" s="53" t="s">
        <v>13542</v>
      </c>
      <c r="K26" s="110"/>
    </row>
    <row r="27" spans="1:11" ht="12.5">
      <c r="A27" s="4" t="s">
        <v>13491</v>
      </c>
      <c r="B27" s="110" t="s">
        <v>13543</v>
      </c>
      <c r="C27" s="110" t="s">
        <v>2928</v>
      </c>
      <c r="D27" s="112" t="s">
        <v>2939</v>
      </c>
      <c r="E27" s="112" t="s">
        <v>2950</v>
      </c>
      <c r="F27" s="112" t="s">
        <v>2962</v>
      </c>
      <c r="H27" s="53" t="s">
        <v>13544</v>
      </c>
      <c r="K27" s="110"/>
    </row>
    <row r="28" spans="1:11" ht="12.5">
      <c r="A28" s="4" t="s">
        <v>13491</v>
      </c>
      <c r="B28" s="110" t="s">
        <v>13545</v>
      </c>
      <c r="C28" s="110" t="s">
        <v>344</v>
      </c>
      <c r="D28" s="112" t="s">
        <v>2973</v>
      </c>
      <c r="E28" s="112" t="s">
        <v>2985</v>
      </c>
      <c r="F28" s="112" t="s">
        <v>2996</v>
      </c>
      <c r="H28" s="53" t="s">
        <v>13546</v>
      </c>
      <c r="K28" s="110"/>
    </row>
    <row r="29" spans="1:11" ht="12.5">
      <c r="A29" s="4" t="s">
        <v>13491</v>
      </c>
      <c r="B29" s="110" t="s">
        <v>13547</v>
      </c>
      <c r="C29" s="110" t="s">
        <v>2997</v>
      </c>
      <c r="D29" s="112" t="s">
        <v>3010</v>
      </c>
      <c r="E29" s="112" t="s">
        <v>3021</v>
      </c>
      <c r="F29" s="112" t="s">
        <v>3033</v>
      </c>
      <c r="H29" s="53" t="s">
        <v>13548</v>
      </c>
      <c r="K29" s="110"/>
    </row>
    <row r="30" spans="1:11" ht="12.5">
      <c r="A30" s="4" t="s">
        <v>13491</v>
      </c>
      <c r="B30" s="110" t="s">
        <v>13549</v>
      </c>
      <c r="C30" s="110" t="s">
        <v>3035</v>
      </c>
      <c r="D30" s="112" t="s">
        <v>3048</v>
      </c>
      <c r="E30" s="112" t="s">
        <v>3060</v>
      </c>
      <c r="F30" s="112" t="s">
        <v>3072</v>
      </c>
      <c r="H30" s="4" t="s">
        <v>13550</v>
      </c>
      <c r="K30" s="110"/>
    </row>
    <row r="31" spans="1:11" ht="12.5">
      <c r="A31" s="4" t="s">
        <v>13491</v>
      </c>
      <c r="B31" s="110" t="s">
        <v>13551</v>
      </c>
      <c r="C31" s="110" t="s">
        <v>3074</v>
      </c>
      <c r="D31" s="112" t="s">
        <v>3086</v>
      </c>
      <c r="E31" s="112" t="s">
        <v>3096</v>
      </c>
      <c r="F31" s="112" t="s">
        <v>3108</v>
      </c>
      <c r="H31" s="53" t="s">
        <v>13552</v>
      </c>
      <c r="K31" s="110"/>
    </row>
    <row r="32" spans="1:11" ht="12.5">
      <c r="A32" s="4" t="s">
        <v>13491</v>
      </c>
      <c r="B32" s="110" t="s">
        <v>13553</v>
      </c>
      <c r="C32" s="110" t="s">
        <v>3110</v>
      </c>
      <c r="D32" s="112" t="s">
        <v>3122</v>
      </c>
      <c r="E32" s="112" t="s">
        <v>3134</v>
      </c>
      <c r="F32" s="112" t="s">
        <v>3145</v>
      </c>
      <c r="H32" s="53" t="s">
        <v>13554</v>
      </c>
      <c r="K32" s="110"/>
    </row>
    <row r="33" spans="1:11" ht="12.5">
      <c r="A33" s="4" t="s">
        <v>13491</v>
      </c>
      <c r="B33" s="110" t="s">
        <v>13555</v>
      </c>
      <c r="C33" s="110" t="s">
        <v>3147</v>
      </c>
      <c r="D33" s="111" t="s">
        <v>3160</v>
      </c>
      <c r="E33" s="112" t="s">
        <v>3171</v>
      </c>
      <c r="F33" s="112" t="s">
        <v>3183</v>
      </c>
      <c r="H33" s="4" t="s">
        <v>13556</v>
      </c>
      <c r="K33" s="110"/>
    </row>
    <row r="34" spans="1:11" ht="12.5">
      <c r="A34" s="4" t="s">
        <v>13491</v>
      </c>
      <c r="B34" s="110" t="s">
        <v>13557</v>
      </c>
      <c r="C34" s="110" t="s">
        <v>288</v>
      </c>
      <c r="D34" s="112" t="s">
        <v>3195</v>
      </c>
      <c r="E34" s="112" t="s">
        <v>3207</v>
      </c>
      <c r="F34" s="112" t="s">
        <v>3221</v>
      </c>
      <c r="H34" s="53" t="s">
        <v>13558</v>
      </c>
      <c r="K34" s="110"/>
    </row>
    <row r="35" spans="1:11" ht="12.5">
      <c r="A35" s="4" t="s">
        <v>13491</v>
      </c>
      <c r="B35" s="110" t="s">
        <v>13559</v>
      </c>
      <c r="C35" s="110" t="s">
        <v>3223</v>
      </c>
      <c r="D35" s="112" t="s">
        <v>3234</v>
      </c>
      <c r="E35" s="112" t="s">
        <v>3246</v>
      </c>
      <c r="F35" s="112" t="s">
        <v>3258</v>
      </c>
      <c r="H35" s="4" t="s">
        <v>13560</v>
      </c>
      <c r="K35" s="110"/>
    </row>
    <row r="36" spans="1:11" ht="12.5">
      <c r="A36" s="4" t="s">
        <v>13491</v>
      </c>
      <c r="B36" s="110" t="s">
        <v>13561</v>
      </c>
      <c r="C36" s="110" t="s">
        <v>197</v>
      </c>
      <c r="D36" s="111" t="s">
        <v>3270</v>
      </c>
      <c r="E36" s="112" t="s">
        <v>3283</v>
      </c>
      <c r="F36" s="112" t="s">
        <v>3295</v>
      </c>
      <c r="H36" s="53" t="s">
        <v>13562</v>
      </c>
      <c r="K36" s="110"/>
    </row>
    <row r="37" spans="1:11" ht="12.5">
      <c r="A37" s="4" t="s">
        <v>13491</v>
      </c>
      <c r="B37" s="110" t="s">
        <v>13563</v>
      </c>
      <c r="C37" s="110" t="s">
        <v>3297</v>
      </c>
      <c r="D37" s="112" t="s">
        <v>3309</v>
      </c>
      <c r="E37" s="112" t="s">
        <v>3321</v>
      </c>
      <c r="F37" s="112" t="s">
        <v>3333</v>
      </c>
      <c r="H37" s="53" t="s">
        <v>13564</v>
      </c>
      <c r="K37" s="110"/>
    </row>
    <row r="38" spans="1:11" ht="12.5">
      <c r="A38" s="4" t="s">
        <v>13491</v>
      </c>
      <c r="B38" s="110" t="s">
        <v>13565</v>
      </c>
      <c r="C38" s="110" t="s">
        <v>240</v>
      </c>
      <c r="D38" s="112" t="s">
        <v>3345</v>
      </c>
      <c r="E38" s="112" t="s">
        <v>3357</v>
      </c>
      <c r="F38" s="112" t="s">
        <v>3370</v>
      </c>
      <c r="H38" s="53" t="s">
        <v>13566</v>
      </c>
      <c r="K38" s="110"/>
    </row>
    <row r="39" spans="1:11" ht="12.5">
      <c r="A39" s="4" t="s">
        <v>13491</v>
      </c>
      <c r="B39" s="110" t="s">
        <v>13567</v>
      </c>
      <c r="C39" s="110" t="s">
        <v>3372</v>
      </c>
      <c r="D39" s="112" t="s">
        <v>3383</v>
      </c>
      <c r="E39" s="112" t="s">
        <v>3395</v>
      </c>
      <c r="F39" s="112" t="s">
        <v>3407</v>
      </c>
      <c r="H39" s="53" t="s">
        <v>13568</v>
      </c>
      <c r="K39" s="110"/>
    </row>
    <row r="40" spans="1:11" ht="12.5">
      <c r="A40" s="4" t="s">
        <v>13491</v>
      </c>
      <c r="B40" s="110" t="s">
        <v>13569</v>
      </c>
      <c r="C40" s="110" t="s">
        <v>3409</v>
      </c>
      <c r="D40" s="112" t="s">
        <v>3420</v>
      </c>
      <c r="E40" s="112" t="s">
        <v>3432</v>
      </c>
      <c r="F40" s="112" t="s">
        <v>3444</v>
      </c>
      <c r="H40" s="53" t="s">
        <v>13570</v>
      </c>
      <c r="K40" s="110"/>
    </row>
    <row r="41" spans="1:11" ht="12.5">
      <c r="A41" s="4" t="s">
        <v>13491</v>
      </c>
      <c r="B41" s="110" t="s">
        <v>13571</v>
      </c>
      <c r="C41" s="110" t="s">
        <v>3446</v>
      </c>
      <c r="D41" s="111" t="s">
        <v>3457</v>
      </c>
      <c r="E41" s="112" t="s">
        <v>3469</v>
      </c>
      <c r="F41" s="112" t="s">
        <v>3481</v>
      </c>
      <c r="H41" s="53" t="s">
        <v>13572</v>
      </c>
      <c r="K41" s="110"/>
    </row>
    <row r="42" spans="1:11" ht="12.5">
      <c r="A42" s="4" t="s">
        <v>13491</v>
      </c>
      <c r="B42" s="110" t="s">
        <v>13573</v>
      </c>
      <c r="C42" s="110" t="s">
        <v>3519</v>
      </c>
      <c r="D42" s="112" t="s">
        <v>3530</v>
      </c>
      <c r="E42" s="112" t="s">
        <v>3542</v>
      </c>
      <c r="F42" s="112" t="s">
        <v>3554</v>
      </c>
      <c r="H42" s="53" t="s">
        <v>13574</v>
      </c>
      <c r="K42" s="110"/>
    </row>
    <row r="43" spans="1:11" ht="12.5">
      <c r="A43" s="4" t="s">
        <v>13491</v>
      </c>
      <c r="B43" s="110" t="s">
        <v>13575</v>
      </c>
      <c r="C43" s="110" t="s">
        <v>3556</v>
      </c>
      <c r="D43" s="112" t="s">
        <v>3567</v>
      </c>
      <c r="E43" s="112" t="s">
        <v>3579</v>
      </c>
      <c r="F43" s="112" t="s">
        <v>3590</v>
      </c>
      <c r="H43" s="53" t="s">
        <v>13576</v>
      </c>
      <c r="K43" s="110"/>
    </row>
    <row r="44" spans="1:11" ht="12.5">
      <c r="A44" s="4" t="s">
        <v>13491</v>
      </c>
      <c r="B44" s="110" t="s">
        <v>13577</v>
      </c>
      <c r="C44" s="110" t="s">
        <v>3592</v>
      </c>
      <c r="D44" s="112" t="s">
        <v>3602</v>
      </c>
      <c r="E44" s="112" t="s">
        <v>3614</v>
      </c>
      <c r="F44" s="112" t="s">
        <v>3627</v>
      </c>
      <c r="H44" s="53" t="s">
        <v>13578</v>
      </c>
      <c r="K44" s="110"/>
    </row>
    <row r="45" spans="1:11" ht="12.5">
      <c r="A45" s="4" t="s">
        <v>13491</v>
      </c>
      <c r="B45" s="110" t="s">
        <v>13579</v>
      </c>
      <c r="C45" s="110" t="s">
        <v>263</v>
      </c>
      <c r="D45" s="112" t="s">
        <v>3639</v>
      </c>
      <c r="E45" s="112" t="s">
        <v>3651</v>
      </c>
      <c r="F45" s="112" t="s">
        <v>3663</v>
      </c>
      <c r="H45" s="53" t="s">
        <v>13580</v>
      </c>
      <c r="K45" s="110"/>
    </row>
    <row r="46" spans="1:11" ht="12.5">
      <c r="A46" s="4" t="s">
        <v>13491</v>
      </c>
      <c r="B46" s="110" t="s">
        <v>13581</v>
      </c>
      <c r="C46" s="110" t="s">
        <v>3665</v>
      </c>
      <c r="D46" s="112" t="s">
        <v>3676</v>
      </c>
      <c r="E46" s="112" t="s">
        <v>3688</v>
      </c>
      <c r="F46" s="112" t="s">
        <v>3700</v>
      </c>
      <c r="H46" s="53" t="s">
        <v>13582</v>
      </c>
      <c r="K46" s="110"/>
    </row>
    <row r="47" spans="1:11" ht="12.5">
      <c r="A47" s="4" t="s">
        <v>13491</v>
      </c>
      <c r="B47" s="110" t="s">
        <v>13583</v>
      </c>
      <c r="C47" s="110" t="s">
        <v>13584</v>
      </c>
      <c r="D47" s="111" t="s">
        <v>3713</v>
      </c>
      <c r="E47" s="112" t="s">
        <v>3725</v>
      </c>
      <c r="F47" s="112" t="s">
        <v>3739</v>
      </c>
      <c r="H47" s="53" t="s">
        <v>13585</v>
      </c>
      <c r="K47" s="110"/>
    </row>
    <row r="48" spans="1:11" ht="12.5">
      <c r="A48" s="4" t="s">
        <v>13491</v>
      </c>
      <c r="B48" s="110" t="s">
        <v>13586</v>
      </c>
      <c r="C48" s="110" t="s">
        <v>3741</v>
      </c>
      <c r="D48" s="112" t="s">
        <v>3752</v>
      </c>
      <c r="E48" s="112" t="s">
        <v>3764</v>
      </c>
      <c r="F48" s="112" t="s">
        <v>3776</v>
      </c>
      <c r="H48" s="53" t="s">
        <v>13587</v>
      </c>
      <c r="K48" s="110"/>
    </row>
    <row r="49" spans="1:11" ht="12.5">
      <c r="A49" s="4" t="s">
        <v>13491</v>
      </c>
      <c r="B49" s="110" t="s">
        <v>13588</v>
      </c>
      <c r="C49" s="110" t="s">
        <v>3778</v>
      </c>
      <c r="D49" s="112" t="s">
        <v>3789</v>
      </c>
      <c r="E49" s="112" t="s">
        <v>3801</v>
      </c>
      <c r="F49" s="112" t="s">
        <v>3813</v>
      </c>
      <c r="H49" s="53" t="s">
        <v>13589</v>
      </c>
      <c r="K49" s="110"/>
    </row>
    <row r="50" spans="1:11" ht="12.5">
      <c r="A50" s="4" t="s">
        <v>13491</v>
      </c>
      <c r="B50" s="110" t="s">
        <v>13590</v>
      </c>
      <c r="C50" s="110" t="s">
        <v>3815</v>
      </c>
      <c r="D50" s="112" t="s">
        <v>3826</v>
      </c>
      <c r="E50" s="112" t="s">
        <v>3838</v>
      </c>
      <c r="F50" s="112" t="s">
        <v>3852</v>
      </c>
      <c r="H50" s="53" t="s">
        <v>13591</v>
      </c>
      <c r="K50" s="110"/>
    </row>
    <row r="51" spans="1:11" ht="12.5">
      <c r="A51" s="4" t="s">
        <v>13491</v>
      </c>
      <c r="B51" s="110" t="s">
        <v>13592</v>
      </c>
      <c r="C51" s="110" t="s">
        <v>457</v>
      </c>
      <c r="D51" s="112" t="s">
        <v>3864</v>
      </c>
      <c r="E51" s="112" t="s">
        <v>3876</v>
      </c>
      <c r="F51" s="112" t="s">
        <v>3888</v>
      </c>
      <c r="H51" s="53" t="s">
        <v>13593</v>
      </c>
      <c r="K51" s="110"/>
    </row>
    <row r="52" spans="1:11" ht="12.5">
      <c r="A52" s="4" t="s">
        <v>13491</v>
      </c>
      <c r="B52" s="110" t="s">
        <v>13594</v>
      </c>
      <c r="C52" s="110" t="s">
        <v>3890</v>
      </c>
      <c r="D52" s="112" t="s">
        <v>3900</v>
      </c>
      <c r="E52" s="112" t="s">
        <v>3912</v>
      </c>
      <c r="F52" s="112" t="s">
        <v>3924</v>
      </c>
      <c r="H52" s="53" t="s">
        <v>13595</v>
      </c>
      <c r="K52" s="110"/>
    </row>
    <row r="53" spans="1:11" ht="12.5">
      <c r="A53" s="4" t="s">
        <v>13491</v>
      </c>
      <c r="B53" s="110" t="s">
        <v>13596</v>
      </c>
      <c r="C53" s="110" t="s">
        <v>3926</v>
      </c>
      <c r="D53" s="112" t="s">
        <v>3937</v>
      </c>
      <c r="E53" s="112" t="s">
        <v>3949</v>
      </c>
      <c r="F53" s="112" t="s">
        <v>3962</v>
      </c>
      <c r="H53" s="53" t="s">
        <v>13597</v>
      </c>
      <c r="K53" s="110"/>
    </row>
    <row r="54" spans="1:11" ht="12.5">
      <c r="A54" s="4" t="s">
        <v>13491</v>
      </c>
      <c r="B54" s="110" t="s">
        <v>13598</v>
      </c>
      <c r="C54" s="110" t="s">
        <v>3964</v>
      </c>
      <c r="D54" s="112" t="s">
        <v>3975</v>
      </c>
      <c r="E54" s="112" t="s">
        <v>3987</v>
      </c>
      <c r="F54" s="112" t="s">
        <v>3999</v>
      </c>
      <c r="H54" s="53" t="s">
        <v>13599</v>
      </c>
      <c r="K54" s="110"/>
    </row>
    <row r="55" spans="1:11" ht="12.5">
      <c r="A55" s="4" t="s">
        <v>13491</v>
      </c>
      <c r="B55" s="110" t="s">
        <v>13600</v>
      </c>
      <c r="C55" s="110" t="s">
        <v>285</v>
      </c>
      <c r="D55" s="112" t="s">
        <v>4011</v>
      </c>
      <c r="E55" s="112" t="s">
        <v>4023</v>
      </c>
      <c r="F55" s="112" t="s">
        <v>4035</v>
      </c>
      <c r="H55" s="53" t="s">
        <v>13601</v>
      </c>
      <c r="K55" s="110"/>
    </row>
    <row r="56" spans="1:11" ht="12.5">
      <c r="A56" s="4" t="s">
        <v>13491</v>
      </c>
      <c r="B56" s="110" t="s">
        <v>13602</v>
      </c>
      <c r="C56" s="110" t="s">
        <v>4037</v>
      </c>
      <c r="D56" s="112" t="s">
        <v>4049</v>
      </c>
      <c r="E56" s="112" t="s">
        <v>4061</v>
      </c>
      <c r="F56" s="112" t="s">
        <v>4072</v>
      </c>
      <c r="H56" s="53" t="s">
        <v>13603</v>
      </c>
      <c r="K56" s="110"/>
    </row>
    <row r="57" spans="1:11" ht="12.5">
      <c r="A57" s="4" t="s">
        <v>13491</v>
      </c>
      <c r="B57" s="110" t="s">
        <v>13604</v>
      </c>
      <c r="C57" s="110" t="s">
        <v>4074</v>
      </c>
      <c r="D57" s="112" t="s">
        <v>4085</v>
      </c>
      <c r="E57" s="112" t="s">
        <v>4097</v>
      </c>
      <c r="F57" s="112" t="s">
        <v>4109</v>
      </c>
      <c r="H57" s="53" t="s">
        <v>13605</v>
      </c>
      <c r="K57" s="110"/>
    </row>
    <row r="58" spans="1:11" ht="12.5">
      <c r="A58" s="4" t="s">
        <v>13491</v>
      </c>
      <c r="B58" s="110" t="s">
        <v>13606</v>
      </c>
      <c r="C58" s="110" t="s">
        <v>4111</v>
      </c>
      <c r="D58" s="112" t="s">
        <v>4122</v>
      </c>
      <c r="E58" s="112" t="s">
        <v>4134</v>
      </c>
      <c r="F58" s="112" t="s">
        <v>4146</v>
      </c>
      <c r="H58" s="53" t="s">
        <v>13607</v>
      </c>
      <c r="K58" s="110"/>
    </row>
    <row r="59" spans="1:11" ht="12.5">
      <c r="A59" s="4" t="s">
        <v>13491</v>
      </c>
      <c r="B59" s="110" t="s">
        <v>13608</v>
      </c>
      <c r="C59" s="110" t="s">
        <v>307</v>
      </c>
      <c r="D59" s="112" t="s">
        <v>4158</v>
      </c>
      <c r="E59" s="112" t="s">
        <v>4170</v>
      </c>
      <c r="F59" s="112" t="s">
        <v>4182</v>
      </c>
      <c r="H59" s="53" t="s">
        <v>13609</v>
      </c>
      <c r="K59" s="110"/>
    </row>
    <row r="60" spans="1:11" ht="12.5">
      <c r="A60" s="4" t="s">
        <v>13491</v>
      </c>
      <c r="B60" s="110" t="s">
        <v>13610</v>
      </c>
      <c r="C60" s="110" t="s">
        <v>4184</v>
      </c>
      <c r="D60" s="111" t="s">
        <v>4196</v>
      </c>
      <c r="E60" s="112" t="s">
        <v>4209</v>
      </c>
      <c r="F60" s="112" t="s">
        <v>4221</v>
      </c>
      <c r="H60" s="53" t="s">
        <v>13611</v>
      </c>
      <c r="K60" s="110"/>
    </row>
    <row r="61" spans="1:11" ht="12.5">
      <c r="A61" s="4" t="s">
        <v>13491</v>
      </c>
      <c r="B61" s="110" t="s">
        <v>13612</v>
      </c>
      <c r="C61" s="110" t="s">
        <v>4223</v>
      </c>
      <c r="D61" s="112" t="s">
        <v>4234</v>
      </c>
      <c r="E61" s="112" t="s">
        <v>4246</v>
      </c>
      <c r="F61" s="112" t="s">
        <v>4259</v>
      </c>
      <c r="H61" s="53" t="s">
        <v>13613</v>
      </c>
      <c r="K61" s="110"/>
    </row>
    <row r="62" spans="1:11" ht="12.5">
      <c r="A62" s="4" t="s">
        <v>13491</v>
      </c>
      <c r="B62" s="110" t="s">
        <v>13614</v>
      </c>
      <c r="C62" s="110" t="s">
        <v>4261</v>
      </c>
      <c r="D62" s="112" t="s">
        <v>13615</v>
      </c>
      <c r="E62" s="112" t="s">
        <v>4284</v>
      </c>
      <c r="F62" s="112" t="s">
        <v>4296</v>
      </c>
      <c r="H62" s="53" t="s">
        <v>13616</v>
      </c>
      <c r="K62" s="110"/>
    </row>
    <row r="63" spans="1:11" ht="12.5">
      <c r="A63" s="4" t="s">
        <v>13491</v>
      </c>
      <c r="B63" s="110" t="s">
        <v>13617</v>
      </c>
      <c r="C63" s="110" t="s">
        <v>4298</v>
      </c>
      <c r="D63" s="111" t="s">
        <v>4309</v>
      </c>
      <c r="E63" s="112" t="s">
        <v>4321</v>
      </c>
      <c r="F63" s="112" t="s">
        <v>4333</v>
      </c>
      <c r="H63" s="53" t="s">
        <v>13618</v>
      </c>
      <c r="K63" s="110"/>
    </row>
    <row r="64" spans="1:11" ht="12.5">
      <c r="A64" s="4" t="s">
        <v>13491</v>
      </c>
      <c r="B64" s="110" t="s">
        <v>13619</v>
      </c>
      <c r="C64" s="110" t="s">
        <v>4335</v>
      </c>
      <c r="D64" s="112" t="s">
        <v>4346</v>
      </c>
      <c r="E64" s="112" t="s">
        <v>4358</v>
      </c>
      <c r="F64" s="112" t="s">
        <v>4371</v>
      </c>
      <c r="H64" s="53" t="s">
        <v>13620</v>
      </c>
      <c r="K64" s="110"/>
    </row>
    <row r="65" spans="1:11" ht="12.5">
      <c r="A65" s="4" t="s">
        <v>13491</v>
      </c>
      <c r="B65" s="110" t="s">
        <v>13621</v>
      </c>
      <c r="C65" s="110" t="s">
        <v>4373</v>
      </c>
      <c r="D65" s="111" t="s">
        <v>4384</v>
      </c>
      <c r="E65" s="112" t="s">
        <v>4395</v>
      </c>
      <c r="F65" s="112" t="s">
        <v>4407</v>
      </c>
      <c r="H65" s="53" t="s">
        <v>13622</v>
      </c>
      <c r="K65" s="110"/>
    </row>
    <row r="66" spans="1:11" ht="12.5">
      <c r="A66" s="4" t="s">
        <v>13491</v>
      </c>
      <c r="B66" s="110" t="s">
        <v>13623</v>
      </c>
      <c r="C66" s="110" t="s">
        <v>4409</v>
      </c>
      <c r="D66" s="112" t="s">
        <v>4420</v>
      </c>
      <c r="E66" s="112" t="s">
        <v>4432</v>
      </c>
      <c r="F66" s="112" t="s">
        <v>4444</v>
      </c>
      <c r="H66" s="53" t="s">
        <v>13624</v>
      </c>
      <c r="K66" s="110"/>
    </row>
    <row r="67" spans="1:11" ht="12.5">
      <c r="A67" s="4" t="s">
        <v>13491</v>
      </c>
      <c r="B67" s="110" t="s">
        <v>13625</v>
      </c>
      <c r="C67" s="110" t="s">
        <v>4446</v>
      </c>
      <c r="D67" s="111" t="s">
        <v>4457</v>
      </c>
      <c r="E67" s="112" t="s">
        <v>4468</v>
      </c>
      <c r="F67" s="112" t="s">
        <v>4480</v>
      </c>
      <c r="H67" s="4" t="s">
        <v>13626</v>
      </c>
      <c r="K67" s="110"/>
    </row>
    <row r="68" spans="1:11" ht="12.5">
      <c r="A68" s="4" t="s">
        <v>13491</v>
      </c>
      <c r="B68" s="110" t="s">
        <v>13627</v>
      </c>
      <c r="C68" s="110" t="s">
        <v>4482</v>
      </c>
      <c r="D68" s="112" t="s">
        <v>4492</v>
      </c>
      <c r="E68" s="112" t="s">
        <v>4504</v>
      </c>
      <c r="F68" s="112" t="s">
        <v>4516</v>
      </c>
      <c r="H68" s="4" t="s">
        <v>13628</v>
      </c>
      <c r="K68" s="110"/>
    </row>
    <row r="69" spans="1:11" ht="12.5">
      <c r="A69" s="4" t="s">
        <v>13491</v>
      </c>
      <c r="B69" s="110" t="s">
        <v>13629</v>
      </c>
      <c r="C69" s="110" t="s">
        <v>4518</v>
      </c>
      <c r="D69" s="112" t="s">
        <v>4529</v>
      </c>
      <c r="E69" s="112" t="s">
        <v>4541</v>
      </c>
      <c r="F69" s="112" t="s">
        <v>4554</v>
      </c>
      <c r="H69" s="53" t="s">
        <v>13630</v>
      </c>
      <c r="K69" s="110"/>
    </row>
    <row r="70" spans="1:11" ht="12.5">
      <c r="A70" s="4" t="s">
        <v>13491</v>
      </c>
      <c r="B70" s="110" t="s">
        <v>13631</v>
      </c>
      <c r="C70" s="110" t="s">
        <v>4556</v>
      </c>
      <c r="D70" s="111" t="s">
        <v>4567</v>
      </c>
      <c r="E70" s="112" t="s">
        <v>4579</v>
      </c>
      <c r="F70" s="112" t="s">
        <v>4591</v>
      </c>
      <c r="H70" s="53" t="s">
        <v>13632</v>
      </c>
      <c r="K70" s="110"/>
    </row>
    <row r="71" spans="1:11" ht="12.5">
      <c r="A71" s="4" t="s">
        <v>13491</v>
      </c>
      <c r="B71" s="110" t="s">
        <v>13633</v>
      </c>
      <c r="C71" s="110" t="s">
        <v>4593</v>
      </c>
      <c r="D71" s="112" t="s">
        <v>4604</v>
      </c>
      <c r="E71" s="112" t="s">
        <v>4615</v>
      </c>
      <c r="F71" s="112" t="s">
        <v>4627</v>
      </c>
      <c r="H71" s="53" t="s">
        <v>13634</v>
      </c>
      <c r="K71" s="110"/>
    </row>
    <row r="72" spans="1:11" ht="12.5">
      <c r="A72" s="4" t="s">
        <v>13491</v>
      </c>
      <c r="B72" s="110" t="s">
        <v>13635</v>
      </c>
      <c r="C72" s="110" t="s">
        <v>4629</v>
      </c>
      <c r="D72" s="112" t="s">
        <v>13636</v>
      </c>
      <c r="E72" s="112" t="s">
        <v>4653</v>
      </c>
      <c r="F72" s="112" t="s">
        <v>4665</v>
      </c>
      <c r="H72" s="53" t="s">
        <v>13637</v>
      </c>
      <c r="K72" s="110"/>
    </row>
    <row r="73" spans="1:11" ht="12.5">
      <c r="A73" s="4" t="s">
        <v>13491</v>
      </c>
      <c r="B73" s="110" t="s">
        <v>13638</v>
      </c>
      <c r="C73" s="110" t="s">
        <v>4667</v>
      </c>
      <c r="D73" s="112" t="s">
        <v>4678</v>
      </c>
      <c r="E73" s="112" t="s">
        <v>4690</v>
      </c>
      <c r="F73" s="112" t="s">
        <v>4702</v>
      </c>
      <c r="H73" s="4" t="s">
        <v>13639</v>
      </c>
      <c r="K73" s="110"/>
    </row>
    <row r="74" spans="1:11" ht="12.5">
      <c r="A74" s="4" t="s">
        <v>13491</v>
      </c>
      <c r="B74" s="110" t="s">
        <v>13640</v>
      </c>
      <c r="C74" s="110" t="s">
        <v>4704</v>
      </c>
      <c r="D74" s="112" t="s">
        <v>4715</v>
      </c>
      <c r="E74" s="112" t="s">
        <v>4727</v>
      </c>
      <c r="F74" s="112" t="s">
        <v>4739</v>
      </c>
      <c r="H74" s="53" t="s">
        <v>13641</v>
      </c>
      <c r="K74" s="110"/>
    </row>
    <row r="75" spans="1:11" ht="12.5">
      <c r="A75" s="4" t="s">
        <v>13491</v>
      </c>
      <c r="B75" s="110" t="s">
        <v>13642</v>
      </c>
      <c r="C75" s="110" t="s">
        <v>4741</v>
      </c>
      <c r="D75" s="112" t="s">
        <v>4753</v>
      </c>
      <c r="E75" s="112" t="s">
        <v>4766</v>
      </c>
      <c r="F75" s="112" t="s">
        <v>4778</v>
      </c>
      <c r="H75" s="53" t="s">
        <v>13643</v>
      </c>
      <c r="K75" s="110"/>
    </row>
    <row r="76" spans="1:11" ht="12.5">
      <c r="A76" s="4" t="s">
        <v>13491</v>
      </c>
      <c r="B76" s="110" t="s">
        <v>13644</v>
      </c>
      <c r="C76" s="110" t="s">
        <v>4780</v>
      </c>
      <c r="D76" s="112" t="s">
        <v>4791</v>
      </c>
      <c r="E76" s="112" t="s">
        <v>4803</v>
      </c>
      <c r="F76" s="112" t="s">
        <v>4815</v>
      </c>
      <c r="H76" s="53" t="s">
        <v>13645</v>
      </c>
      <c r="K76" s="110"/>
    </row>
    <row r="77" spans="1:11" ht="12.5">
      <c r="A77" s="4" t="s">
        <v>13491</v>
      </c>
      <c r="B77" s="110" t="s">
        <v>13646</v>
      </c>
      <c r="C77" s="110" t="s">
        <v>282</v>
      </c>
      <c r="D77" s="112" t="s">
        <v>4827</v>
      </c>
      <c r="E77" s="112" t="s">
        <v>4839</v>
      </c>
      <c r="F77" s="112" t="s">
        <v>4850</v>
      </c>
      <c r="H77" s="53" t="s">
        <v>13647</v>
      </c>
      <c r="K77" s="110"/>
    </row>
    <row r="78" spans="1:11" ht="12.5">
      <c r="A78" s="4" t="s">
        <v>13491</v>
      </c>
      <c r="B78" s="110" t="s">
        <v>13648</v>
      </c>
      <c r="C78" s="110" t="s">
        <v>4852</v>
      </c>
      <c r="D78" s="112" t="s">
        <v>4863</v>
      </c>
      <c r="E78" s="112" t="s">
        <v>4875</v>
      </c>
      <c r="F78" s="112" t="s">
        <v>4887</v>
      </c>
      <c r="H78" s="53" t="s">
        <v>13649</v>
      </c>
      <c r="K78" s="110"/>
    </row>
    <row r="79" spans="1:11" ht="12.5">
      <c r="A79" s="4" t="s">
        <v>13491</v>
      </c>
      <c r="B79" s="110" t="s">
        <v>13650</v>
      </c>
      <c r="C79" s="110" t="s">
        <v>4889</v>
      </c>
      <c r="D79" s="112" t="s">
        <v>4900</v>
      </c>
      <c r="E79" s="112" t="s">
        <v>4912</v>
      </c>
      <c r="F79" s="112" t="s">
        <v>4924</v>
      </c>
      <c r="H79" s="53" t="s">
        <v>13651</v>
      </c>
      <c r="K79" s="110"/>
    </row>
    <row r="80" spans="1:11" ht="12.5">
      <c r="A80" s="4" t="s">
        <v>13491</v>
      </c>
      <c r="B80" s="110" t="s">
        <v>13652</v>
      </c>
      <c r="C80" s="110" t="s">
        <v>4926</v>
      </c>
      <c r="D80" s="112" t="s">
        <v>4939</v>
      </c>
      <c r="E80" s="112" t="s">
        <v>4952</v>
      </c>
      <c r="F80" s="112" t="s">
        <v>4964</v>
      </c>
      <c r="H80" s="53" t="s">
        <v>13653</v>
      </c>
      <c r="K80" s="110"/>
    </row>
    <row r="81" spans="1:11" ht="12.5">
      <c r="A81" s="4" t="s">
        <v>13491</v>
      </c>
      <c r="B81" s="110" t="s">
        <v>13654</v>
      </c>
      <c r="C81" s="110" t="s">
        <v>4966</v>
      </c>
      <c r="D81" s="112" t="s">
        <v>4978</v>
      </c>
      <c r="E81" s="112" t="s">
        <v>4991</v>
      </c>
      <c r="F81" s="112" t="s">
        <v>5003</v>
      </c>
      <c r="H81" s="53" t="s">
        <v>13655</v>
      </c>
      <c r="K81" s="110"/>
    </row>
    <row r="82" spans="1:11" ht="12.5">
      <c r="A82" s="4" t="s">
        <v>13491</v>
      </c>
      <c r="B82" s="110" t="s">
        <v>13656</v>
      </c>
      <c r="C82" s="110" t="s">
        <v>5005</v>
      </c>
      <c r="D82" s="112" t="s">
        <v>5016</v>
      </c>
      <c r="E82" s="112" t="s">
        <v>5028</v>
      </c>
      <c r="F82" s="112" t="s">
        <v>5040</v>
      </c>
      <c r="H82" s="53" t="s">
        <v>13657</v>
      </c>
      <c r="K82" s="110"/>
    </row>
    <row r="83" spans="1:11" ht="12.5">
      <c r="A83" s="4" t="s">
        <v>13491</v>
      </c>
      <c r="B83" s="110" t="s">
        <v>13658</v>
      </c>
      <c r="C83" s="110" t="s">
        <v>266</v>
      </c>
      <c r="D83" s="112" t="s">
        <v>5053</v>
      </c>
      <c r="E83" s="112" t="s">
        <v>5065</v>
      </c>
      <c r="F83" s="112" t="s">
        <v>5077</v>
      </c>
      <c r="H83" s="53" t="s">
        <v>13659</v>
      </c>
      <c r="K83" s="110"/>
    </row>
    <row r="84" spans="1:11" ht="12.5">
      <c r="A84" s="4" t="s">
        <v>13491</v>
      </c>
      <c r="B84" s="110" t="s">
        <v>13660</v>
      </c>
      <c r="C84" s="110" t="s">
        <v>5079</v>
      </c>
      <c r="D84" s="111" t="s">
        <v>5091</v>
      </c>
      <c r="E84" s="112" t="s">
        <v>5103</v>
      </c>
      <c r="F84" s="112" t="s">
        <v>5115</v>
      </c>
      <c r="H84" s="53" t="s">
        <v>13661</v>
      </c>
      <c r="K84" s="110"/>
    </row>
    <row r="85" spans="1:11" ht="12.5">
      <c r="A85" s="4" t="s">
        <v>13491</v>
      </c>
      <c r="B85" s="110" t="s">
        <v>13662</v>
      </c>
      <c r="C85" s="110" t="s">
        <v>5117</v>
      </c>
      <c r="D85" s="112" t="s">
        <v>5128</v>
      </c>
      <c r="E85" s="112" t="s">
        <v>5140</v>
      </c>
      <c r="F85" s="112" t="s">
        <v>5151</v>
      </c>
      <c r="H85" s="53" t="s">
        <v>13663</v>
      </c>
      <c r="K85" s="110"/>
    </row>
    <row r="86" spans="1:11" ht="12.5">
      <c r="A86" s="4" t="s">
        <v>13491</v>
      </c>
      <c r="B86" s="110" t="s">
        <v>13664</v>
      </c>
      <c r="C86" s="110" t="s">
        <v>5153</v>
      </c>
      <c r="D86" s="112" t="s">
        <v>5164</v>
      </c>
      <c r="E86" s="112" t="s">
        <v>5176</v>
      </c>
      <c r="F86" s="112" t="s">
        <v>5188</v>
      </c>
      <c r="H86" s="53" t="s">
        <v>13665</v>
      </c>
      <c r="K86" s="110"/>
    </row>
    <row r="87" spans="1:11" ht="12.5">
      <c r="A87" s="4" t="s">
        <v>13491</v>
      </c>
      <c r="B87" s="110" t="s">
        <v>13666</v>
      </c>
      <c r="C87" s="110" t="s">
        <v>5190</v>
      </c>
      <c r="D87" s="112" t="s">
        <v>5201</v>
      </c>
      <c r="E87" s="112" t="s">
        <v>5213</v>
      </c>
      <c r="F87" s="112" t="s">
        <v>5226</v>
      </c>
      <c r="H87" s="53" t="s">
        <v>13667</v>
      </c>
      <c r="K87" s="110"/>
    </row>
    <row r="88" spans="1:11" ht="12.5">
      <c r="A88" s="4" t="s">
        <v>13491</v>
      </c>
      <c r="B88" s="110" t="s">
        <v>13668</v>
      </c>
      <c r="C88" s="110" t="s">
        <v>5228</v>
      </c>
      <c r="D88" s="112" t="s">
        <v>5239</v>
      </c>
      <c r="E88" s="112" t="s">
        <v>5251</v>
      </c>
      <c r="F88" s="112" t="s">
        <v>5264</v>
      </c>
      <c r="H88" s="53" t="s">
        <v>13669</v>
      </c>
      <c r="K88" s="110"/>
    </row>
    <row r="89" spans="1:11" ht="12.5">
      <c r="A89" s="4" t="s">
        <v>13491</v>
      </c>
      <c r="B89" s="110" t="s">
        <v>13670</v>
      </c>
      <c r="C89" s="110" t="s">
        <v>5266</v>
      </c>
      <c r="D89" s="112" t="s">
        <v>5277</v>
      </c>
      <c r="E89" s="112" t="s">
        <v>5289</v>
      </c>
      <c r="F89" s="112" t="s">
        <v>5301</v>
      </c>
      <c r="H89" s="53" t="s">
        <v>13671</v>
      </c>
      <c r="K89" s="110"/>
    </row>
    <row r="90" spans="1:11" ht="12.5">
      <c r="A90" s="4" t="s">
        <v>13491</v>
      </c>
      <c r="B90" s="110" t="s">
        <v>13672</v>
      </c>
      <c r="C90" s="110" t="s">
        <v>5303</v>
      </c>
      <c r="D90" s="112" t="s">
        <v>5314</v>
      </c>
      <c r="E90" s="112" t="s">
        <v>5326</v>
      </c>
      <c r="F90" s="112" t="s">
        <v>5338</v>
      </c>
      <c r="H90" s="53" t="s">
        <v>13673</v>
      </c>
      <c r="K90" s="110"/>
    </row>
    <row r="91" spans="1:11" ht="12.5">
      <c r="A91" s="4" t="s">
        <v>13491</v>
      </c>
      <c r="B91" s="110" t="s">
        <v>13674</v>
      </c>
      <c r="C91" s="110" t="s">
        <v>5340</v>
      </c>
      <c r="D91" s="112" t="s">
        <v>5351</v>
      </c>
      <c r="E91" s="112" t="s">
        <v>5363</v>
      </c>
      <c r="F91" s="112" t="s">
        <v>5375</v>
      </c>
      <c r="H91" s="53" t="s">
        <v>13675</v>
      </c>
      <c r="K91" s="110"/>
    </row>
    <row r="92" spans="1:11" ht="12.5">
      <c r="A92" s="4" t="s">
        <v>13491</v>
      </c>
      <c r="B92" s="110" t="s">
        <v>13676</v>
      </c>
      <c r="C92" s="110" t="s">
        <v>5377</v>
      </c>
      <c r="D92" s="112" t="s">
        <v>5388</v>
      </c>
      <c r="E92" s="112" t="s">
        <v>5400</v>
      </c>
      <c r="F92" s="112" t="s">
        <v>5412</v>
      </c>
      <c r="H92" s="53" t="s">
        <v>13677</v>
      </c>
      <c r="K92" s="110"/>
    </row>
    <row r="93" spans="1:11" ht="12.5">
      <c r="A93" s="4" t="s">
        <v>13491</v>
      </c>
      <c r="B93" s="110" t="s">
        <v>13678</v>
      </c>
      <c r="C93" s="110" t="s">
        <v>5414</v>
      </c>
      <c r="D93" s="112" t="s">
        <v>5425</v>
      </c>
      <c r="E93" s="112" t="s">
        <v>5437</v>
      </c>
      <c r="F93" s="112" t="s">
        <v>5449</v>
      </c>
      <c r="H93" s="53" t="s">
        <v>13679</v>
      </c>
      <c r="K93" s="110"/>
    </row>
    <row r="94" spans="1:11" ht="12.5">
      <c r="A94" s="4" t="s">
        <v>13491</v>
      </c>
      <c r="B94" s="110" t="s">
        <v>13680</v>
      </c>
      <c r="C94" s="110" t="s">
        <v>5451</v>
      </c>
      <c r="D94" s="112" t="s">
        <v>5462</v>
      </c>
      <c r="E94" s="112" t="s">
        <v>5474</v>
      </c>
      <c r="F94" s="112" t="s">
        <v>5486</v>
      </c>
      <c r="H94" s="53" t="s">
        <v>13681</v>
      </c>
      <c r="K94" s="110"/>
    </row>
    <row r="95" spans="1:11" ht="12.5">
      <c r="A95" s="4" t="s">
        <v>13491</v>
      </c>
      <c r="B95" s="110" t="s">
        <v>13682</v>
      </c>
      <c r="C95" s="110" t="s">
        <v>5488</v>
      </c>
      <c r="D95" s="112" t="s">
        <v>5499</v>
      </c>
      <c r="E95" s="112" t="s">
        <v>5511</v>
      </c>
      <c r="F95" s="112" t="s">
        <v>5523</v>
      </c>
      <c r="H95" s="53" t="s">
        <v>13683</v>
      </c>
      <c r="K95" s="110"/>
    </row>
    <row r="96" spans="1:11" ht="12.5">
      <c r="A96" s="4" t="s">
        <v>13491</v>
      </c>
      <c r="B96" s="110" t="s">
        <v>13684</v>
      </c>
      <c r="C96" s="110" t="s">
        <v>5525</v>
      </c>
      <c r="D96" s="112" t="s">
        <v>5536</v>
      </c>
      <c r="E96" s="112" t="s">
        <v>5549</v>
      </c>
      <c r="F96" s="112" t="s">
        <v>5561</v>
      </c>
      <c r="H96" s="53" t="s">
        <v>13685</v>
      </c>
      <c r="K96" s="110"/>
    </row>
    <row r="97" spans="1:11" ht="12.5">
      <c r="A97" s="4" t="s">
        <v>13491</v>
      </c>
      <c r="B97" s="110" t="s">
        <v>13686</v>
      </c>
      <c r="C97" s="110" t="s">
        <v>367</v>
      </c>
      <c r="D97" s="112" t="s">
        <v>5573</v>
      </c>
      <c r="E97" s="112" t="s">
        <v>5585</v>
      </c>
      <c r="F97" s="112" t="s">
        <v>5597</v>
      </c>
      <c r="H97" s="53" t="s">
        <v>13687</v>
      </c>
      <c r="K97" s="110"/>
    </row>
    <row r="98" spans="1:11" ht="12.5">
      <c r="A98" s="4" t="s">
        <v>13491</v>
      </c>
      <c r="B98" s="110" t="s">
        <v>13688</v>
      </c>
      <c r="C98" s="110" t="s">
        <v>5599</v>
      </c>
      <c r="D98" s="112" t="s">
        <v>5611</v>
      </c>
      <c r="E98" s="112" t="s">
        <v>5623</v>
      </c>
      <c r="F98" s="112" t="s">
        <v>5635</v>
      </c>
      <c r="H98" s="53" t="s">
        <v>13689</v>
      </c>
      <c r="K98" s="110"/>
    </row>
    <row r="99" spans="1:11" ht="12.5">
      <c r="A99" s="4" t="s">
        <v>13491</v>
      </c>
      <c r="B99" s="110" t="s">
        <v>13690</v>
      </c>
      <c r="C99" s="110" t="s">
        <v>5637</v>
      </c>
      <c r="D99" s="112" t="s">
        <v>5648</v>
      </c>
      <c r="E99" s="112" t="s">
        <v>5659</v>
      </c>
      <c r="F99" s="112" t="s">
        <v>5671</v>
      </c>
      <c r="H99" s="53" t="s">
        <v>13691</v>
      </c>
      <c r="K99" s="110"/>
    </row>
    <row r="100" spans="1:11" ht="12.5">
      <c r="A100" s="4" t="s">
        <v>13491</v>
      </c>
      <c r="B100" s="110" t="s">
        <v>13692</v>
      </c>
      <c r="C100" s="110" t="s">
        <v>5673</v>
      </c>
      <c r="D100" s="112" t="s">
        <v>5684</v>
      </c>
      <c r="E100" s="112" t="s">
        <v>5695</v>
      </c>
      <c r="F100" s="112" t="s">
        <v>5707</v>
      </c>
      <c r="H100" s="53" t="s">
        <v>13693</v>
      </c>
      <c r="K100" s="110"/>
    </row>
    <row r="101" spans="1:11" ht="12.5">
      <c r="A101" s="4" t="s">
        <v>13491</v>
      </c>
      <c r="B101" s="110" t="s">
        <v>13694</v>
      </c>
      <c r="C101" s="110" t="s">
        <v>5709</v>
      </c>
      <c r="D101" s="112" t="s">
        <v>5720</v>
      </c>
      <c r="E101" s="112" t="s">
        <v>5732</v>
      </c>
      <c r="F101" s="113"/>
      <c r="H101" s="53" t="s">
        <v>13695</v>
      </c>
      <c r="K101" s="110"/>
    </row>
    <row r="102" spans="1:11" ht="12.5">
      <c r="A102" s="4" t="s">
        <v>13491</v>
      </c>
      <c r="B102" s="110" t="s">
        <v>13696</v>
      </c>
      <c r="C102" s="110" t="s">
        <v>5734</v>
      </c>
      <c r="D102" s="112" t="s">
        <v>5745</v>
      </c>
      <c r="E102" s="112" t="s">
        <v>5757</v>
      </c>
      <c r="F102" s="112" t="s">
        <v>5768</v>
      </c>
      <c r="H102" s="4" t="s">
        <v>13697</v>
      </c>
      <c r="K102" s="110"/>
    </row>
    <row r="103" spans="1:11" ht="12.5">
      <c r="A103" s="4" t="s">
        <v>13491</v>
      </c>
      <c r="B103" s="110" t="s">
        <v>13698</v>
      </c>
      <c r="C103" s="110" t="s">
        <v>5770</v>
      </c>
      <c r="D103" s="112" t="s">
        <v>5781</v>
      </c>
      <c r="E103" s="112" t="s">
        <v>5793</v>
      </c>
      <c r="F103" s="112" t="s">
        <v>5804</v>
      </c>
      <c r="H103" s="53" t="s">
        <v>13699</v>
      </c>
      <c r="K103" s="110"/>
    </row>
    <row r="104" spans="1:11" ht="12.5">
      <c r="A104" s="4" t="s">
        <v>13491</v>
      </c>
      <c r="B104" s="110" t="s">
        <v>13700</v>
      </c>
      <c r="C104" s="110" t="s">
        <v>5806</v>
      </c>
      <c r="D104" s="112" t="s">
        <v>5817</v>
      </c>
      <c r="E104" s="112" t="s">
        <v>5829</v>
      </c>
      <c r="F104" s="112" t="s">
        <v>5841</v>
      </c>
      <c r="H104" s="53" t="s">
        <v>13701</v>
      </c>
      <c r="K104" s="110"/>
    </row>
    <row r="105" spans="1:11" ht="12.5">
      <c r="A105" s="4" t="s">
        <v>13491</v>
      </c>
      <c r="B105" s="110" t="s">
        <v>13702</v>
      </c>
      <c r="C105" s="110" t="s">
        <v>284</v>
      </c>
      <c r="D105" s="112" t="s">
        <v>5854</v>
      </c>
      <c r="E105" s="112" t="s">
        <v>5866</v>
      </c>
      <c r="F105" s="112" t="s">
        <v>5878</v>
      </c>
      <c r="H105" s="53" t="s">
        <v>13703</v>
      </c>
      <c r="K105" s="110"/>
    </row>
    <row r="106" spans="1:11" ht="12.5">
      <c r="A106" s="4" t="s">
        <v>13491</v>
      </c>
      <c r="B106" s="110" t="s">
        <v>13704</v>
      </c>
      <c r="C106" s="110" t="s">
        <v>5880</v>
      </c>
      <c r="D106" s="112" t="s">
        <v>5891</v>
      </c>
      <c r="E106" s="112" t="s">
        <v>5903</v>
      </c>
      <c r="F106" s="112" t="s">
        <v>5915</v>
      </c>
      <c r="H106" s="53" t="s">
        <v>13705</v>
      </c>
      <c r="K106" s="110"/>
    </row>
    <row r="107" spans="1:11" ht="12.5">
      <c r="A107" s="4" t="s">
        <v>13491</v>
      </c>
      <c r="B107" s="110" t="s">
        <v>13706</v>
      </c>
      <c r="C107" s="110" t="s">
        <v>5917</v>
      </c>
      <c r="D107" s="112" t="s">
        <v>5928</v>
      </c>
      <c r="E107" s="112" t="s">
        <v>5941</v>
      </c>
      <c r="F107" s="112" t="s">
        <v>5953</v>
      </c>
      <c r="H107" s="53" t="s">
        <v>13707</v>
      </c>
      <c r="K107" s="110"/>
    </row>
    <row r="108" spans="1:11" ht="12.5">
      <c r="A108" s="4" t="s">
        <v>13491</v>
      </c>
      <c r="B108" s="110" t="s">
        <v>13708</v>
      </c>
      <c r="C108" s="110" t="s">
        <v>5955</v>
      </c>
      <c r="D108" s="112" t="s">
        <v>5966</v>
      </c>
      <c r="E108" s="112" t="s">
        <v>5978</v>
      </c>
      <c r="F108" s="112" t="s">
        <v>5990</v>
      </c>
      <c r="H108" s="53" t="s">
        <v>13709</v>
      </c>
      <c r="K108" s="110"/>
    </row>
    <row r="109" spans="1:11" ht="12.5">
      <c r="A109" s="4" t="s">
        <v>13491</v>
      </c>
      <c r="B109" s="110" t="s">
        <v>13710</v>
      </c>
      <c r="C109" s="110" t="s">
        <v>5992</v>
      </c>
      <c r="D109" s="112" t="s">
        <v>6004</v>
      </c>
      <c r="E109" s="112" t="s">
        <v>6017</v>
      </c>
      <c r="F109" s="112" t="s">
        <v>6029</v>
      </c>
      <c r="H109" s="53" t="s">
        <v>13711</v>
      </c>
      <c r="K109" s="110"/>
    </row>
    <row r="110" spans="1:11" ht="12.5">
      <c r="A110" s="4" t="s">
        <v>13491</v>
      </c>
      <c r="B110" s="110" t="s">
        <v>13712</v>
      </c>
      <c r="C110" s="110" t="s">
        <v>6031</v>
      </c>
      <c r="D110" s="112" t="s">
        <v>6042</v>
      </c>
      <c r="E110" s="112" t="s">
        <v>6054</v>
      </c>
      <c r="F110" s="112" t="s">
        <v>6067</v>
      </c>
      <c r="H110" s="53" t="s">
        <v>13713</v>
      </c>
      <c r="K110" s="110"/>
    </row>
    <row r="111" spans="1:11" ht="12.5">
      <c r="A111" s="4" t="s">
        <v>13491</v>
      </c>
      <c r="B111" s="110" t="s">
        <v>13714</v>
      </c>
      <c r="C111" s="110" t="s">
        <v>364</v>
      </c>
      <c r="D111" s="112" t="s">
        <v>6079</v>
      </c>
      <c r="E111" s="112" t="s">
        <v>6091</v>
      </c>
      <c r="F111" s="113"/>
      <c r="H111" s="53" t="s">
        <v>13715</v>
      </c>
      <c r="K111" s="110"/>
    </row>
    <row r="112" spans="1:11" ht="12.5">
      <c r="A112" s="4" t="s">
        <v>13491</v>
      </c>
      <c r="B112" s="110" t="s">
        <v>13716</v>
      </c>
      <c r="C112" s="110" t="s">
        <v>6093</v>
      </c>
      <c r="D112" s="112" t="s">
        <v>6104</v>
      </c>
      <c r="E112" s="112" t="s">
        <v>6115</v>
      </c>
      <c r="F112" s="113"/>
      <c r="H112" s="53" t="s">
        <v>13717</v>
      </c>
    </row>
    <row r="113" spans="1:8" ht="12.5">
      <c r="A113" s="4" t="s">
        <v>13718</v>
      </c>
      <c r="B113" s="4" t="s">
        <v>13492</v>
      </c>
      <c r="C113" s="4" t="s">
        <v>6117</v>
      </c>
      <c r="D113" s="85" t="s">
        <v>6128</v>
      </c>
      <c r="E113" s="85" t="s">
        <v>6140</v>
      </c>
      <c r="F113" s="85" t="s">
        <v>6151</v>
      </c>
      <c r="H113" s="4" t="s">
        <v>13719</v>
      </c>
    </row>
    <row r="114" spans="1:8" ht="12.5">
      <c r="A114" s="4" t="s">
        <v>13718</v>
      </c>
      <c r="B114" s="4" t="s">
        <v>13494</v>
      </c>
      <c r="C114" s="4" t="s">
        <v>6152</v>
      </c>
      <c r="D114" s="85" t="s">
        <v>6163</v>
      </c>
      <c r="E114" s="85" t="s">
        <v>6174</v>
      </c>
      <c r="F114" s="85" t="s">
        <v>6185</v>
      </c>
      <c r="H114" s="4" t="s">
        <v>13720</v>
      </c>
    </row>
    <row r="115" spans="1:8" ht="12.5">
      <c r="A115" s="4" t="s">
        <v>13718</v>
      </c>
      <c r="B115" s="4" t="s">
        <v>13496</v>
      </c>
      <c r="C115" s="4" t="s">
        <v>6186</v>
      </c>
      <c r="D115" s="85" t="s">
        <v>6196</v>
      </c>
      <c r="E115" s="85" t="s">
        <v>6207</v>
      </c>
      <c r="F115" s="85" t="s">
        <v>6218</v>
      </c>
      <c r="H115" s="4" t="s">
        <v>13721</v>
      </c>
    </row>
    <row r="116" spans="1:8" ht="12.5">
      <c r="A116" s="4" t="s">
        <v>13722</v>
      </c>
      <c r="B116" s="4" t="s">
        <v>13492</v>
      </c>
      <c r="C116" s="4" t="s">
        <v>6220</v>
      </c>
      <c r="D116" s="85" t="s">
        <v>6231</v>
      </c>
      <c r="E116" s="85" t="s">
        <v>6242</v>
      </c>
      <c r="F116" s="85" t="s">
        <v>6253</v>
      </c>
      <c r="H116" s="4" t="s">
        <v>13723</v>
      </c>
    </row>
    <row r="117" spans="1:8" ht="12.5">
      <c r="A117" s="4" t="s">
        <v>13722</v>
      </c>
      <c r="B117" s="4" t="s">
        <v>13494</v>
      </c>
      <c r="C117" s="4" t="s">
        <v>6254</v>
      </c>
      <c r="D117" s="85" t="s">
        <v>6265</v>
      </c>
      <c r="E117" s="85" t="s">
        <v>6276</v>
      </c>
      <c r="F117" s="85" t="s">
        <v>6287</v>
      </c>
      <c r="H117" s="4" t="s">
        <v>13724</v>
      </c>
    </row>
    <row r="118" spans="1:8" ht="12.5">
      <c r="A118" s="4" t="s">
        <v>13722</v>
      </c>
      <c r="B118" s="4" t="s">
        <v>13496</v>
      </c>
      <c r="C118" s="4" t="s">
        <v>6288</v>
      </c>
      <c r="D118" s="85" t="s">
        <v>6299</v>
      </c>
      <c r="E118" s="85" t="s">
        <v>6310</v>
      </c>
      <c r="F118" s="85" t="s">
        <v>6321</v>
      </c>
      <c r="H118" s="4" t="s">
        <v>13725</v>
      </c>
    </row>
    <row r="119" spans="1:8" ht="12.5">
      <c r="A119" s="4" t="s">
        <v>13722</v>
      </c>
      <c r="B119" s="4" t="s">
        <v>13498</v>
      </c>
      <c r="C119" s="4" t="s">
        <v>6322</v>
      </c>
      <c r="D119" s="85" t="s">
        <v>6334</v>
      </c>
      <c r="E119" s="85" t="s">
        <v>6345</v>
      </c>
      <c r="F119" s="8"/>
      <c r="H119" s="4" t="s">
        <v>13726</v>
      </c>
    </row>
    <row r="120" spans="1:8" ht="12.5">
      <c r="A120" s="4" t="s">
        <v>13727</v>
      </c>
      <c r="B120" s="4" t="s">
        <v>13492</v>
      </c>
      <c r="C120" s="4" t="s">
        <v>6347</v>
      </c>
      <c r="D120" s="85" t="s">
        <v>6356</v>
      </c>
      <c r="E120" s="85" t="s">
        <v>6365</v>
      </c>
      <c r="F120" s="85" t="s">
        <v>6373</v>
      </c>
      <c r="G120" s="85" t="s">
        <v>6383</v>
      </c>
      <c r="H120" s="4" t="s">
        <v>13728</v>
      </c>
    </row>
    <row r="121" spans="1:8" ht="12.5">
      <c r="A121" s="4" t="s">
        <v>13729</v>
      </c>
      <c r="B121" s="4" t="s">
        <v>13492</v>
      </c>
      <c r="C121" s="4" t="s">
        <v>6385</v>
      </c>
      <c r="D121" s="85" t="s">
        <v>6393</v>
      </c>
      <c r="E121" s="85" t="s">
        <v>6400</v>
      </c>
      <c r="F121" s="85" t="s">
        <v>6409</v>
      </c>
      <c r="H121" s="4" t="s">
        <v>13730</v>
      </c>
    </row>
    <row r="122" spans="1:8" ht="12.5">
      <c r="A122" s="4" t="s">
        <v>13731</v>
      </c>
      <c r="B122" s="4" t="s">
        <v>13492</v>
      </c>
      <c r="C122" s="4" t="s">
        <v>6411</v>
      </c>
      <c r="D122" s="85" t="s">
        <v>6425</v>
      </c>
      <c r="E122" s="8"/>
      <c r="F122" s="8"/>
      <c r="H122" s="4" t="s">
        <v>13732</v>
      </c>
    </row>
    <row r="123" spans="1:8" ht="15.5">
      <c r="B123" s="114"/>
      <c r="D123" s="8"/>
      <c r="E123" s="8"/>
      <c r="F123" s="8"/>
    </row>
    <row r="124" spans="1:8" ht="12.5">
      <c r="D124" s="8"/>
      <c r="E124" s="8"/>
      <c r="F124" s="8"/>
    </row>
    <row r="125" spans="1:8" ht="12.5">
      <c r="D125" s="8"/>
      <c r="E125" s="8"/>
      <c r="F125" s="8"/>
    </row>
    <row r="126" spans="1:8" ht="12.5">
      <c r="D126" s="8"/>
      <c r="E126" s="8"/>
      <c r="F126" s="8"/>
    </row>
    <row r="127" spans="1:8" ht="12.5">
      <c r="D127" s="8"/>
      <c r="E127" s="8"/>
      <c r="F127" s="8"/>
    </row>
    <row r="128" spans="1:8" ht="12.5">
      <c r="D128" s="8"/>
      <c r="E128" s="8"/>
      <c r="F128" s="8"/>
    </row>
    <row r="129" spans="4:6" ht="12.5">
      <c r="D129" s="8"/>
      <c r="E129" s="8"/>
      <c r="F129" s="8"/>
    </row>
    <row r="130" spans="4:6" ht="12.5">
      <c r="D130" s="8"/>
      <c r="E130" s="8"/>
      <c r="F130" s="8"/>
    </row>
    <row r="131" spans="4:6" ht="12.5">
      <c r="D131" s="8"/>
      <c r="E131" s="8"/>
      <c r="F131" s="8"/>
    </row>
    <row r="132" spans="4:6" ht="12.5">
      <c r="D132" s="8"/>
      <c r="E132" s="8"/>
      <c r="F132" s="8"/>
    </row>
    <row r="133" spans="4:6" ht="12.5">
      <c r="D133" s="8"/>
      <c r="E133" s="8"/>
      <c r="F133" s="8"/>
    </row>
    <row r="134" spans="4:6" ht="12.5">
      <c r="D134" s="8"/>
      <c r="E134" s="8"/>
      <c r="F134" s="8"/>
    </row>
    <row r="135" spans="4:6" ht="12.5">
      <c r="D135" s="8"/>
      <c r="E135" s="8"/>
      <c r="F135" s="8"/>
    </row>
    <row r="136" spans="4:6" ht="12.5">
      <c r="D136" s="8"/>
      <c r="E136" s="8"/>
      <c r="F136" s="8"/>
    </row>
    <row r="137" spans="4:6" ht="12.5">
      <c r="D137" s="8"/>
      <c r="E137" s="8"/>
      <c r="F137" s="8"/>
    </row>
    <row r="138" spans="4:6" ht="12.5">
      <c r="D138" s="8"/>
      <c r="E138" s="8"/>
      <c r="F138" s="8"/>
    </row>
    <row r="139" spans="4:6" ht="12.5">
      <c r="D139" s="8"/>
      <c r="E139" s="8"/>
      <c r="F139" s="8"/>
    </row>
    <row r="140" spans="4:6" ht="12.5">
      <c r="D140" s="8"/>
      <c r="E140" s="8"/>
      <c r="F140" s="8"/>
    </row>
    <row r="141" spans="4:6" ht="12.5">
      <c r="D141" s="8"/>
      <c r="E141" s="8"/>
      <c r="F141" s="8"/>
    </row>
    <row r="142" spans="4:6" ht="12.5">
      <c r="D142" s="8"/>
      <c r="E142" s="8"/>
      <c r="F142" s="8"/>
    </row>
    <row r="143" spans="4:6" ht="12.5">
      <c r="D143" s="8"/>
      <c r="E143" s="8"/>
      <c r="F143" s="8"/>
    </row>
    <row r="144" spans="4:6" ht="12.5">
      <c r="D144" s="8"/>
      <c r="E144" s="8"/>
      <c r="F144" s="8"/>
    </row>
    <row r="145" spans="4:6" ht="12.5">
      <c r="D145" s="8"/>
      <c r="E145" s="8"/>
      <c r="F145" s="8"/>
    </row>
    <row r="146" spans="4:6" ht="12.5">
      <c r="D146" s="8"/>
      <c r="E146" s="8"/>
      <c r="F146" s="8"/>
    </row>
    <row r="147" spans="4:6" ht="12.5">
      <c r="D147" s="8"/>
      <c r="E147" s="8"/>
      <c r="F147" s="8"/>
    </row>
    <row r="148" spans="4:6" ht="12.5">
      <c r="D148" s="8"/>
      <c r="E148" s="8"/>
      <c r="F148" s="8"/>
    </row>
    <row r="149" spans="4:6" ht="12.5">
      <c r="D149" s="8"/>
      <c r="E149" s="8"/>
      <c r="F149" s="8"/>
    </row>
    <row r="150" spans="4:6" ht="12.5">
      <c r="D150" s="8"/>
      <c r="E150" s="8"/>
      <c r="F150" s="8"/>
    </row>
    <row r="151" spans="4:6" ht="12.5">
      <c r="D151" s="8"/>
      <c r="E151" s="8"/>
      <c r="F151" s="8"/>
    </row>
    <row r="152" spans="4:6" ht="12.5">
      <c r="D152" s="8"/>
      <c r="E152" s="8"/>
      <c r="F152" s="8"/>
    </row>
    <row r="153" spans="4:6" ht="12.5">
      <c r="D153" s="8"/>
      <c r="E153" s="8"/>
      <c r="F153" s="8"/>
    </row>
    <row r="154" spans="4:6" ht="12.5">
      <c r="D154" s="8"/>
      <c r="E154" s="8"/>
      <c r="F154" s="8"/>
    </row>
    <row r="155" spans="4:6" ht="12.5">
      <c r="D155" s="8"/>
      <c r="E155" s="8"/>
      <c r="F155" s="8"/>
    </row>
    <row r="156" spans="4:6" ht="12.5">
      <c r="D156" s="8"/>
      <c r="E156" s="8"/>
      <c r="F156" s="8"/>
    </row>
    <row r="157" spans="4:6" ht="12.5">
      <c r="D157" s="8"/>
      <c r="E157" s="8"/>
      <c r="F157" s="8"/>
    </row>
    <row r="158" spans="4:6" ht="12.5">
      <c r="D158" s="8"/>
      <c r="E158" s="8"/>
      <c r="F158" s="8"/>
    </row>
    <row r="159" spans="4:6" ht="12.5">
      <c r="D159" s="8"/>
      <c r="E159" s="8"/>
      <c r="F159" s="8"/>
    </row>
    <row r="160" spans="4:6" ht="12.5">
      <c r="D160" s="8"/>
      <c r="E160" s="8"/>
      <c r="F160" s="8"/>
    </row>
    <row r="161" spans="4:6" ht="12.5">
      <c r="D161" s="8"/>
      <c r="E161" s="8"/>
      <c r="F161" s="8"/>
    </row>
    <row r="162" spans="4:6" ht="12.5">
      <c r="D162" s="8"/>
      <c r="E162" s="8"/>
      <c r="F162" s="8"/>
    </row>
    <row r="163" spans="4:6" ht="12.5">
      <c r="D163" s="8"/>
      <c r="E163" s="8"/>
      <c r="F163" s="8"/>
    </row>
    <row r="164" spans="4:6" ht="12.5">
      <c r="D164" s="8"/>
      <c r="E164" s="8"/>
      <c r="F164" s="8"/>
    </row>
    <row r="165" spans="4:6" ht="12.5">
      <c r="D165" s="8"/>
      <c r="E165" s="8"/>
      <c r="F165" s="8"/>
    </row>
    <row r="166" spans="4:6" ht="12.5">
      <c r="D166" s="8"/>
      <c r="E166" s="8"/>
      <c r="F166" s="8"/>
    </row>
    <row r="167" spans="4:6" ht="12.5">
      <c r="D167" s="8"/>
      <c r="E167" s="8"/>
      <c r="F167" s="8"/>
    </row>
    <row r="168" spans="4:6" ht="12.5">
      <c r="D168" s="8"/>
      <c r="E168" s="8"/>
      <c r="F168" s="8"/>
    </row>
    <row r="169" spans="4:6" ht="12.5">
      <c r="D169" s="8"/>
      <c r="E169" s="8"/>
      <c r="F169" s="8"/>
    </row>
    <row r="170" spans="4:6" ht="12.5">
      <c r="D170" s="8"/>
      <c r="E170" s="8"/>
      <c r="F170" s="8"/>
    </row>
    <row r="171" spans="4:6" ht="12.5">
      <c r="D171" s="8"/>
      <c r="E171" s="8"/>
      <c r="F171" s="8"/>
    </row>
    <row r="172" spans="4:6" ht="12.5">
      <c r="D172" s="8"/>
      <c r="E172" s="8"/>
      <c r="F172" s="8"/>
    </row>
    <row r="173" spans="4:6" ht="12.5">
      <c r="D173" s="8"/>
      <c r="E173" s="8"/>
      <c r="F173" s="8"/>
    </row>
    <row r="174" spans="4:6" ht="12.5">
      <c r="D174" s="8"/>
      <c r="E174" s="8"/>
      <c r="F174" s="8"/>
    </row>
    <row r="175" spans="4:6" ht="12.5">
      <c r="D175" s="8"/>
      <c r="E175" s="8"/>
      <c r="F175" s="8"/>
    </row>
    <row r="176" spans="4:6" ht="12.5">
      <c r="D176" s="8"/>
      <c r="E176" s="8"/>
      <c r="F176" s="8"/>
    </row>
    <row r="177" spans="4:6" ht="12.5">
      <c r="D177" s="8"/>
      <c r="E177" s="8"/>
      <c r="F177" s="8"/>
    </row>
    <row r="178" spans="4:6" ht="12.5">
      <c r="D178" s="8"/>
      <c r="E178" s="8"/>
      <c r="F178" s="8"/>
    </row>
    <row r="179" spans="4:6" ht="12.5">
      <c r="D179" s="8"/>
      <c r="E179" s="8"/>
      <c r="F179" s="8"/>
    </row>
    <row r="180" spans="4:6" ht="12.5">
      <c r="D180" s="8"/>
      <c r="E180" s="8"/>
      <c r="F180" s="8"/>
    </row>
    <row r="181" spans="4:6" ht="12.5">
      <c r="D181" s="8"/>
      <c r="E181" s="8"/>
      <c r="F181" s="8"/>
    </row>
    <row r="182" spans="4:6" ht="12.5">
      <c r="D182" s="8"/>
      <c r="E182" s="8"/>
      <c r="F182" s="8"/>
    </row>
    <row r="183" spans="4:6" ht="12.5">
      <c r="D183" s="8"/>
      <c r="E183" s="8"/>
      <c r="F183" s="8"/>
    </row>
    <row r="184" spans="4:6" ht="12.5">
      <c r="D184" s="8"/>
      <c r="E184" s="8"/>
      <c r="F184" s="8"/>
    </row>
    <row r="185" spans="4:6" ht="12.5">
      <c r="D185" s="8"/>
      <c r="E185" s="8"/>
      <c r="F185" s="8"/>
    </row>
    <row r="186" spans="4:6" ht="12.5">
      <c r="D186" s="8"/>
      <c r="E186" s="8"/>
      <c r="F186" s="8"/>
    </row>
    <row r="187" spans="4:6" ht="12.5">
      <c r="D187" s="8"/>
      <c r="E187" s="8"/>
      <c r="F187" s="8"/>
    </row>
    <row r="188" spans="4:6" ht="12.5">
      <c r="D188" s="8"/>
      <c r="E188" s="8"/>
      <c r="F188" s="8"/>
    </row>
    <row r="189" spans="4:6" ht="12.5">
      <c r="D189" s="8"/>
      <c r="E189" s="8"/>
      <c r="F189" s="8"/>
    </row>
    <row r="190" spans="4:6" ht="12.5">
      <c r="D190" s="8"/>
      <c r="E190" s="8"/>
      <c r="F190" s="8"/>
    </row>
    <row r="191" spans="4:6" ht="12.5">
      <c r="D191" s="8"/>
      <c r="E191" s="8"/>
      <c r="F191" s="8"/>
    </row>
    <row r="192" spans="4:6" ht="12.5">
      <c r="D192" s="8"/>
      <c r="E192" s="8"/>
      <c r="F192" s="8"/>
    </row>
    <row r="193" spans="4:6" ht="12.5">
      <c r="D193" s="8"/>
      <c r="E193" s="8"/>
      <c r="F193" s="8"/>
    </row>
    <row r="194" spans="4:6" ht="12.5">
      <c r="D194" s="8"/>
      <c r="E194" s="8"/>
      <c r="F194" s="8"/>
    </row>
    <row r="195" spans="4:6" ht="12.5">
      <c r="D195" s="8"/>
      <c r="E195" s="8"/>
      <c r="F195" s="8"/>
    </row>
    <row r="196" spans="4:6" ht="12.5">
      <c r="D196" s="8"/>
      <c r="E196" s="8"/>
      <c r="F196" s="8"/>
    </row>
    <row r="197" spans="4:6" ht="12.5">
      <c r="D197" s="8"/>
      <c r="E197" s="8"/>
      <c r="F197" s="8"/>
    </row>
    <row r="198" spans="4:6" ht="12.5">
      <c r="D198" s="8"/>
      <c r="E198" s="8"/>
      <c r="F198" s="8"/>
    </row>
    <row r="199" spans="4:6" ht="12.5">
      <c r="D199" s="8"/>
      <c r="E199" s="8"/>
      <c r="F199" s="8"/>
    </row>
    <row r="200" spans="4:6" ht="12.5">
      <c r="D200" s="8"/>
      <c r="E200" s="8"/>
      <c r="F200" s="8"/>
    </row>
    <row r="201" spans="4:6" ht="12.5">
      <c r="D201" s="8"/>
      <c r="E201" s="8"/>
      <c r="F201" s="8"/>
    </row>
    <row r="202" spans="4:6" ht="12.5">
      <c r="D202" s="8"/>
      <c r="E202" s="8"/>
      <c r="F202" s="8"/>
    </row>
    <row r="203" spans="4:6" ht="12.5">
      <c r="D203" s="8"/>
      <c r="E203" s="8"/>
      <c r="F203" s="8"/>
    </row>
    <row r="204" spans="4:6" ht="12.5">
      <c r="D204" s="8"/>
      <c r="E204" s="8"/>
      <c r="F204" s="8"/>
    </row>
    <row r="205" spans="4:6" ht="12.5">
      <c r="D205" s="8"/>
      <c r="E205" s="8"/>
      <c r="F205" s="8"/>
    </row>
    <row r="206" spans="4:6" ht="12.5">
      <c r="D206" s="8"/>
      <c r="E206" s="8"/>
      <c r="F206" s="8"/>
    </row>
    <row r="207" spans="4:6" ht="12.5">
      <c r="D207" s="8"/>
      <c r="E207" s="8"/>
      <c r="F207" s="8"/>
    </row>
    <row r="208" spans="4:6" ht="12.5">
      <c r="D208" s="8"/>
      <c r="E208" s="8"/>
      <c r="F208" s="8"/>
    </row>
    <row r="209" spans="4:6" ht="12.5">
      <c r="D209" s="8"/>
      <c r="E209" s="8"/>
      <c r="F209" s="8"/>
    </row>
    <row r="210" spans="4:6" ht="12.5">
      <c r="D210" s="8"/>
      <c r="E210" s="8"/>
      <c r="F210" s="8"/>
    </row>
    <row r="211" spans="4:6" ht="12.5">
      <c r="D211" s="8"/>
      <c r="E211" s="8"/>
      <c r="F211" s="8"/>
    </row>
    <row r="212" spans="4:6" ht="12.5">
      <c r="D212" s="8"/>
      <c r="E212" s="8"/>
      <c r="F212" s="8"/>
    </row>
    <row r="213" spans="4:6" ht="12.5">
      <c r="D213" s="8"/>
      <c r="E213" s="8"/>
      <c r="F213" s="8"/>
    </row>
    <row r="214" spans="4:6" ht="12.5">
      <c r="D214" s="8"/>
      <c r="E214" s="8"/>
      <c r="F214" s="8"/>
    </row>
    <row r="215" spans="4:6" ht="12.5">
      <c r="D215" s="8"/>
      <c r="E215" s="8"/>
      <c r="F215" s="8"/>
    </row>
    <row r="216" spans="4:6" ht="12.5">
      <c r="D216" s="8"/>
      <c r="E216" s="8"/>
      <c r="F216" s="8"/>
    </row>
    <row r="217" spans="4:6" ht="12.5">
      <c r="D217" s="8"/>
      <c r="E217" s="8"/>
      <c r="F217" s="8"/>
    </row>
    <row r="218" spans="4:6" ht="12.5">
      <c r="D218" s="8"/>
      <c r="E218" s="8"/>
      <c r="F218" s="8"/>
    </row>
    <row r="219" spans="4:6" ht="12.5">
      <c r="D219" s="8"/>
      <c r="E219" s="8"/>
      <c r="F219" s="8"/>
    </row>
    <row r="220" spans="4:6" ht="12.5">
      <c r="D220" s="8"/>
      <c r="E220" s="8"/>
      <c r="F220" s="8"/>
    </row>
    <row r="221" spans="4:6" ht="12.5">
      <c r="D221" s="8"/>
      <c r="E221" s="8"/>
      <c r="F221" s="8"/>
    </row>
    <row r="222" spans="4:6" ht="12.5">
      <c r="D222" s="8"/>
      <c r="E222" s="8"/>
      <c r="F222" s="8"/>
    </row>
    <row r="223" spans="4:6" ht="12.5">
      <c r="D223" s="8"/>
      <c r="E223" s="8"/>
      <c r="F223" s="8"/>
    </row>
    <row r="224" spans="4:6" ht="12.5">
      <c r="D224" s="8"/>
      <c r="E224" s="8"/>
      <c r="F224" s="8"/>
    </row>
    <row r="225" spans="4:6" ht="12.5">
      <c r="D225" s="8"/>
      <c r="E225" s="8"/>
      <c r="F225" s="8"/>
    </row>
    <row r="226" spans="4:6" ht="12.5">
      <c r="D226" s="8"/>
      <c r="E226" s="8"/>
      <c r="F226" s="8"/>
    </row>
    <row r="227" spans="4:6" ht="12.5">
      <c r="D227" s="8"/>
      <c r="E227" s="8"/>
      <c r="F227" s="8"/>
    </row>
    <row r="228" spans="4:6" ht="12.5">
      <c r="D228" s="8"/>
      <c r="E228" s="8"/>
      <c r="F228" s="8"/>
    </row>
    <row r="229" spans="4:6" ht="12.5">
      <c r="D229" s="8"/>
      <c r="E229" s="8"/>
      <c r="F229" s="8"/>
    </row>
    <row r="230" spans="4:6" ht="12.5">
      <c r="D230" s="8"/>
      <c r="E230" s="8"/>
      <c r="F230" s="8"/>
    </row>
    <row r="231" spans="4:6" ht="12.5">
      <c r="D231" s="8"/>
      <c r="E231" s="8"/>
      <c r="F231" s="8"/>
    </row>
    <row r="232" spans="4:6" ht="12.5">
      <c r="D232" s="8"/>
      <c r="E232" s="8"/>
      <c r="F232" s="8"/>
    </row>
    <row r="233" spans="4:6" ht="12.5">
      <c r="D233" s="8"/>
      <c r="E233" s="8"/>
      <c r="F233" s="8"/>
    </row>
    <row r="234" spans="4:6" ht="12.5">
      <c r="D234" s="8"/>
      <c r="E234" s="8"/>
      <c r="F234" s="8"/>
    </row>
    <row r="235" spans="4:6" ht="12.5">
      <c r="D235" s="8"/>
      <c r="E235" s="8"/>
      <c r="F235" s="8"/>
    </row>
    <row r="236" spans="4:6" ht="12.5">
      <c r="D236" s="8"/>
      <c r="E236" s="8"/>
      <c r="F236" s="8"/>
    </row>
    <row r="237" spans="4:6" ht="12.5">
      <c r="D237" s="8"/>
      <c r="E237" s="8"/>
      <c r="F237" s="8"/>
    </row>
    <row r="238" spans="4:6" ht="12.5">
      <c r="D238" s="8"/>
      <c r="E238" s="8"/>
      <c r="F238" s="8"/>
    </row>
    <row r="239" spans="4:6" ht="12.5">
      <c r="D239" s="8"/>
      <c r="E239" s="8"/>
      <c r="F239" s="8"/>
    </row>
    <row r="240" spans="4:6" ht="12.5">
      <c r="D240" s="8"/>
      <c r="E240" s="8"/>
      <c r="F240" s="8"/>
    </row>
    <row r="241" spans="4:6" ht="12.5">
      <c r="D241" s="8"/>
      <c r="E241" s="8"/>
      <c r="F241" s="8"/>
    </row>
    <row r="242" spans="4:6" ht="12.5">
      <c r="D242" s="8"/>
      <c r="E242" s="8"/>
      <c r="F242" s="8"/>
    </row>
    <row r="243" spans="4:6" ht="12.5">
      <c r="D243" s="8"/>
      <c r="E243" s="8"/>
      <c r="F243" s="8"/>
    </row>
    <row r="244" spans="4:6" ht="12.5">
      <c r="D244" s="8"/>
      <c r="E244" s="8"/>
      <c r="F244" s="8"/>
    </row>
    <row r="245" spans="4:6" ht="12.5">
      <c r="D245" s="8"/>
      <c r="E245" s="8"/>
      <c r="F245" s="8"/>
    </row>
    <row r="246" spans="4:6" ht="12.5">
      <c r="D246" s="8"/>
      <c r="E246" s="8"/>
      <c r="F246" s="8"/>
    </row>
    <row r="247" spans="4:6" ht="12.5">
      <c r="D247" s="8"/>
      <c r="E247" s="8"/>
      <c r="F247" s="8"/>
    </row>
    <row r="248" spans="4:6" ht="12.5">
      <c r="D248" s="8"/>
      <c r="E248" s="8"/>
      <c r="F248" s="8"/>
    </row>
    <row r="249" spans="4:6" ht="12.5">
      <c r="D249" s="8"/>
      <c r="E249" s="8"/>
      <c r="F249" s="8"/>
    </row>
    <row r="250" spans="4:6" ht="12.5">
      <c r="D250" s="8"/>
      <c r="E250" s="8"/>
      <c r="F250" s="8"/>
    </row>
    <row r="251" spans="4:6" ht="12.5">
      <c r="D251" s="8"/>
      <c r="E251" s="8"/>
      <c r="F251" s="8"/>
    </row>
    <row r="252" spans="4:6" ht="12.5">
      <c r="D252" s="8"/>
      <c r="E252" s="8"/>
      <c r="F252" s="8"/>
    </row>
    <row r="253" spans="4:6" ht="12.5">
      <c r="D253" s="8"/>
      <c r="E253" s="8"/>
      <c r="F253" s="8"/>
    </row>
    <row r="254" spans="4:6" ht="12.5">
      <c r="D254" s="8"/>
      <c r="E254" s="8"/>
      <c r="F254" s="8"/>
    </row>
    <row r="255" spans="4:6" ht="12.5">
      <c r="D255" s="8"/>
      <c r="E255" s="8"/>
      <c r="F255" s="8"/>
    </row>
    <row r="256" spans="4:6" ht="12.5">
      <c r="D256" s="8"/>
      <c r="E256" s="8"/>
      <c r="F256" s="8"/>
    </row>
    <row r="257" spans="4:6" ht="12.5">
      <c r="D257" s="8"/>
      <c r="E257" s="8"/>
      <c r="F257" s="8"/>
    </row>
    <row r="258" spans="4:6" ht="12.5">
      <c r="D258" s="8"/>
      <c r="E258" s="8"/>
      <c r="F258" s="8"/>
    </row>
    <row r="259" spans="4:6" ht="12.5">
      <c r="D259" s="8"/>
      <c r="E259" s="8"/>
      <c r="F259" s="8"/>
    </row>
    <row r="260" spans="4:6" ht="12.5">
      <c r="D260" s="8"/>
      <c r="E260" s="8"/>
      <c r="F260" s="8"/>
    </row>
    <row r="261" spans="4:6" ht="12.5">
      <c r="D261" s="8"/>
      <c r="E261" s="8"/>
      <c r="F261" s="8"/>
    </row>
    <row r="262" spans="4:6" ht="12.5">
      <c r="D262" s="8"/>
      <c r="E262" s="8"/>
      <c r="F262" s="8"/>
    </row>
    <row r="263" spans="4:6" ht="12.5">
      <c r="D263" s="8"/>
      <c r="E263" s="8"/>
      <c r="F263" s="8"/>
    </row>
    <row r="264" spans="4:6" ht="12.5">
      <c r="D264" s="8"/>
      <c r="E264" s="8"/>
      <c r="F264" s="8"/>
    </row>
    <row r="265" spans="4:6" ht="12.5">
      <c r="D265" s="8"/>
      <c r="E265" s="8"/>
      <c r="F265" s="8"/>
    </row>
    <row r="266" spans="4:6" ht="12.5">
      <c r="D266" s="8"/>
      <c r="E266" s="8"/>
      <c r="F266" s="8"/>
    </row>
    <row r="267" spans="4:6" ht="12.5">
      <c r="D267" s="8"/>
      <c r="E267" s="8"/>
      <c r="F267" s="8"/>
    </row>
    <row r="268" spans="4:6" ht="12.5">
      <c r="D268" s="8"/>
      <c r="E268" s="8"/>
      <c r="F268" s="8"/>
    </row>
    <row r="269" spans="4:6" ht="12.5">
      <c r="D269" s="8"/>
      <c r="E269" s="8"/>
      <c r="F269" s="8"/>
    </row>
    <row r="270" spans="4:6" ht="12.5">
      <c r="D270" s="8"/>
      <c r="E270" s="8"/>
      <c r="F270" s="8"/>
    </row>
    <row r="271" spans="4:6" ht="12.5">
      <c r="D271" s="8"/>
      <c r="E271" s="8"/>
      <c r="F271" s="8"/>
    </row>
    <row r="272" spans="4:6" ht="12.5">
      <c r="D272" s="8"/>
      <c r="E272" s="8"/>
      <c r="F272" s="8"/>
    </row>
    <row r="273" spans="4:6" ht="12.5">
      <c r="D273" s="8"/>
      <c r="E273" s="8"/>
      <c r="F273" s="8"/>
    </row>
    <row r="274" spans="4:6" ht="12.5">
      <c r="D274" s="8"/>
      <c r="E274" s="8"/>
      <c r="F274" s="8"/>
    </row>
    <row r="275" spans="4:6" ht="12.5">
      <c r="D275" s="8"/>
      <c r="E275" s="8"/>
      <c r="F275" s="8"/>
    </row>
    <row r="276" spans="4:6" ht="12.5">
      <c r="D276" s="8"/>
      <c r="E276" s="8"/>
      <c r="F276" s="8"/>
    </row>
    <row r="277" spans="4:6" ht="12.5">
      <c r="D277" s="8"/>
      <c r="E277" s="8"/>
      <c r="F277" s="8"/>
    </row>
    <row r="278" spans="4:6" ht="12.5">
      <c r="D278" s="8"/>
      <c r="E278" s="8"/>
      <c r="F278" s="8"/>
    </row>
    <row r="279" spans="4:6" ht="12.5">
      <c r="D279" s="8"/>
      <c r="E279" s="8"/>
      <c r="F279" s="8"/>
    </row>
    <row r="280" spans="4:6" ht="12.5">
      <c r="D280" s="8"/>
      <c r="E280" s="8"/>
      <c r="F280" s="8"/>
    </row>
    <row r="281" spans="4:6" ht="12.5">
      <c r="D281" s="8"/>
      <c r="E281" s="8"/>
      <c r="F281" s="8"/>
    </row>
    <row r="282" spans="4:6" ht="12.5">
      <c r="D282" s="8"/>
      <c r="E282" s="8"/>
      <c r="F282" s="8"/>
    </row>
    <row r="283" spans="4:6" ht="12.5">
      <c r="D283" s="8"/>
      <c r="E283" s="8"/>
      <c r="F283" s="8"/>
    </row>
    <row r="284" spans="4:6" ht="12.5">
      <c r="D284" s="8"/>
      <c r="E284" s="8"/>
      <c r="F284" s="8"/>
    </row>
    <row r="285" spans="4:6" ht="12.5">
      <c r="D285" s="8"/>
      <c r="E285" s="8"/>
      <c r="F285" s="8"/>
    </row>
    <row r="286" spans="4:6" ht="12.5">
      <c r="D286" s="8"/>
      <c r="E286" s="8"/>
      <c r="F286" s="8"/>
    </row>
    <row r="287" spans="4:6" ht="12.5">
      <c r="D287" s="8"/>
      <c r="E287" s="8"/>
      <c r="F287" s="8"/>
    </row>
    <row r="288" spans="4:6" ht="12.5">
      <c r="D288" s="8"/>
      <c r="E288" s="8"/>
      <c r="F288" s="8"/>
    </row>
    <row r="289" spans="4:6" ht="12.5">
      <c r="D289" s="8"/>
      <c r="E289" s="8"/>
      <c r="F289" s="8"/>
    </row>
    <row r="290" spans="4:6" ht="12.5">
      <c r="D290" s="8"/>
      <c r="E290" s="8"/>
      <c r="F290" s="8"/>
    </row>
    <row r="291" spans="4:6" ht="12.5">
      <c r="D291" s="8"/>
      <c r="E291" s="8"/>
      <c r="F291" s="8"/>
    </row>
    <row r="292" spans="4:6" ht="12.5">
      <c r="D292" s="8"/>
      <c r="E292" s="8"/>
      <c r="F292" s="8"/>
    </row>
    <row r="293" spans="4:6" ht="12.5">
      <c r="D293" s="8"/>
      <c r="E293" s="8"/>
      <c r="F293" s="8"/>
    </row>
    <row r="294" spans="4:6" ht="12.5">
      <c r="D294" s="8"/>
      <c r="E294" s="8"/>
      <c r="F294" s="8"/>
    </row>
    <row r="295" spans="4:6" ht="12.5">
      <c r="D295" s="8"/>
      <c r="E295" s="8"/>
      <c r="F295" s="8"/>
    </row>
    <row r="296" spans="4:6" ht="12.5">
      <c r="D296" s="8"/>
      <c r="E296" s="8"/>
      <c r="F296" s="8"/>
    </row>
    <row r="297" spans="4:6" ht="12.5">
      <c r="D297" s="8"/>
      <c r="E297" s="8"/>
      <c r="F297" s="8"/>
    </row>
    <row r="298" spans="4:6" ht="12.5">
      <c r="D298" s="8"/>
      <c r="E298" s="8"/>
      <c r="F298" s="8"/>
    </row>
    <row r="299" spans="4:6" ht="12.5">
      <c r="D299" s="8"/>
      <c r="E299" s="8"/>
      <c r="F299" s="8"/>
    </row>
    <row r="300" spans="4:6" ht="12.5">
      <c r="D300" s="8"/>
      <c r="E300" s="8"/>
      <c r="F300" s="8"/>
    </row>
    <row r="301" spans="4:6" ht="12.5">
      <c r="D301" s="8"/>
      <c r="E301" s="8"/>
      <c r="F301" s="8"/>
    </row>
    <row r="302" spans="4:6" ht="12.5">
      <c r="D302" s="8"/>
      <c r="E302" s="8"/>
      <c r="F302" s="8"/>
    </row>
    <row r="303" spans="4:6" ht="12.5">
      <c r="D303" s="8"/>
      <c r="E303" s="8"/>
      <c r="F303" s="8"/>
    </row>
    <row r="304" spans="4:6" ht="12.5">
      <c r="D304" s="8"/>
      <c r="E304" s="8"/>
      <c r="F304" s="8"/>
    </row>
    <row r="305" spans="4:6" ht="12.5">
      <c r="D305" s="8"/>
      <c r="E305" s="8"/>
      <c r="F305" s="8"/>
    </row>
    <row r="306" spans="4:6" ht="12.5">
      <c r="D306" s="8"/>
      <c r="E306" s="8"/>
      <c r="F306" s="8"/>
    </row>
    <row r="307" spans="4:6" ht="12.5">
      <c r="D307" s="8"/>
      <c r="E307" s="8"/>
      <c r="F307" s="8"/>
    </row>
    <row r="308" spans="4:6" ht="12.5">
      <c r="D308" s="8"/>
      <c r="E308" s="8"/>
      <c r="F308" s="8"/>
    </row>
    <row r="309" spans="4:6" ht="12.5">
      <c r="D309" s="8"/>
      <c r="E309" s="8"/>
      <c r="F309" s="8"/>
    </row>
    <row r="310" spans="4:6" ht="12.5">
      <c r="D310" s="8"/>
      <c r="E310" s="8"/>
      <c r="F310" s="8"/>
    </row>
    <row r="311" spans="4:6" ht="12.5">
      <c r="D311" s="8"/>
      <c r="E311" s="8"/>
      <c r="F311" s="8"/>
    </row>
    <row r="312" spans="4:6" ht="12.5">
      <c r="D312" s="8"/>
      <c r="E312" s="8"/>
      <c r="F312" s="8"/>
    </row>
    <row r="313" spans="4:6" ht="12.5">
      <c r="D313" s="8"/>
      <c r="E313" s="8"/>
      <c r="F313" s="8"/>
    </row>
    <row r="314" spans="4:6" ht="12.5">
      <c r="D314" s="8"/>
      <c r="E314" s="8"/>
      <c r="F314" s="8"/>
    </row>
    <row r="315" spans="4:6" ht="12.5">
      <c r="D315" s="8"/>
      <c r="E315" s="8"/>
      <c r="F315" s="8"/>
    </row>
    <row r="316" spans="4:6" ht="12.5">
      <c r="D316" s="8"/>
      <c r="E316" s="8"/>
      <c r="F316" s="8"/>
    </row>
    <row r="317" spans="4:6" ht="12.5">
      <c r="D317" s="8"/>
      <c r="E317" s="8"/>
      <c r="F317" s="8"/>
    </row>
    <row r="318" spans="4:6" ht="12.5">
      <c r="D318" s="8"/>
      <c r="E318" s="8"/>
      <c r="F318" s="8"/>
    </row>
    <row r="319" spans="4:6" ht="12.5">
      <c r="D319" s="8"/>
      <c r="E319" s="8"/>
      <c r="F319" s="8"/>
    </row>
    <row r="320" spans="4:6" ht="12.5">
      <c r="D320" s="8"/>
      <c r="E320" s="8"/>
      <c r="F320" s="8"/>
    </row>
    <row r="321" spans="4:6" ht="12.5">
      <c r="D321" s="8"/>
      <c r="E321" s="8"/>
      <c r="F321" s="8"/>
    </row>
    <row r="322" spans="4:6" ht="12.5">
      <c r="D322" s="8"/>
      <c r="E322" s="8"/>
      <c r="F322" s="8"/>
    </row>
    <row r="323" spans="4:6" ht="12.5">
      <c r="D323" s="8"/>
      <c r="E323" s="8"/>
      <c r="F323" s="8"/>
    </row>
    <row r="324" spans="4:6" ht="12.5">
      <c r="D324" s="8"/>
      <c r="E324" s="8"/>
      <c r="F324" s="8"/>
    </row>
    <row r="325" spans="4:6" ht="12.5">
      <c r="D325" s="8"/>
      <c r="E325" s="8"/>
      <c r="F325" s="8"/>
    </row>
    <row r="326" spans="4:6" ht="12.5">
      <c r="D326" s="8"/>
      <c r="E326" s="8"/>
      <c r="F326" s="8"/>
    </row>
    <row r="327" spans="4:6" ht="12.5">
      <c r="D327" s="8"/>
      <c r="E327" s="8"/>
      <c r="F327" s="8"/>
    </row>
    <row r="328" spans="4:6" ht="12.5">
      <c r="D328" s="8"/>
      <c r="E328" s="8"/>
      <c r="F328" s="8"/>
    </row>
    <row r="329" spans="4:6" ht="12.5">
      <c r="D329" s="8"/>
      <c r="E329" s="8"/>
      <c r="F329" s="8"/>
    </row>
    <row r="330" spans="4:6" ht="12.5">
      <c r="D330" s="8"/>
      <c r="E330" s="8"/>
      <c r="F330" s="8"/>
    </row>
    <row r="331" spans="4:6" ht="12.5">
      <c r="D331" s="8"/>
      <c r="E331" s="8"/>
      <c r="F331" s="8"/>
    </row>
    <row r="332" spans="4:6" ht="12.5">
      <c r="D332" s="8"/>
      <c r="E332" s="8"/>
      <c r="F332" s="8"/>
    </row>
    <row r="333" spans="4:6" ht="12.5">
      <c r="D333" s="8"/>
      <c r="E333" s="8"/>
      <c r="F333" s="8"/>
    </row>
    <row r="334" spans="4:6" ht="12.5">
      <c r="D334" s="8"/>
      <c r="E334" s="8"/>
      <c r="F334" s="8"/>
    </row>
    <row r="335" spans="4:6" ht="12.5">
      <c r="D335" s="8"/>
      <c r="E335" s="8"/>
      <c r="F335" s="8"/>
    </row>
    <row r="336" spans="4:6" ht="12.5">
      <c r="D336" s="8"/>
      <c r="E336" s="8"/>
      <c r="F336" s="8"/>
    </row>
    <row r="337" spans="4:6" ht="12.5">
      <c r="D337" s="8"/>
      <c r="E337" s="8"/>
      <c r="F337" s="8"/>
    </row>
    <row r="338" spans="4:6" ht="12.5">
      <c r="D338" s="8"/>
      <c r="E338" s="8"/>
      <c r="F338" s="8"/>
    </row>
    <row r="339" spans="4:6" ht="12.5">
      <c r="D339" s="8"/>
      <c r="E339" s="8"/>
      <c r="F339" s="8"/>
    </row>
    <row r="340" spans="4:6" ht="12.5">
      <c r="D340" s="8"/>
      <c r="E340" s="8"/>
      <c r="F340" s="8"/>
    </row>
    <row r="341" spans="4:6" ht="12.5">
      <c r="D341" s="8"/>
      <c r="E341" s="8"/>
      <c r="F341" s="8"/>
    </row>
    <row r="342" spans="4:6" ht="12.5">
      <c r="D342" s="8"/>
      <c r="E342" s="8"/>
      <c r="F342" s="8"/>
    </row>
    <row r="343" spans="4:6" ht="12.5">
      <c r="D343" s="8"/>
      <c r="E343" s="8"/>
      <c r="F343" s="8"/>
    </row>
    <row r="344" spans="4:6" ht="12.5">
      <c r="D344" s="8"/>
      <c r="E344" s="8"/>
      <c r="F344" s="8"/>
    </row>
    <row r="345" spans="4:6" ht="12.5">
      <c r="D345" s="8"/>
      <c r="E345" s="8"/>
      <c r="F345" s="8"/>
    </row>
    <row r="346" spans="4:6" ht="12.5">
      <c r="D346" s="8"/>
      <c r="E346" s="8"/>
      <c r="F346" s="8"/>
    </row>
    <row r="347" spans="4:6" ht="12.5">
      <c r="D347" s="8"/>
      <c r="E347" s="8"/>
      <c r="F347" s="8"/>
    </row>
    <row r="348" spans="4:6" ht="12.5">
      <c r="D348" s="8"/>
      <c r="E348" s="8"/>
      <c r="F348" s="8"/>
    </row>
    <row r="349" spans="4:6" ht="12.5">
      <c r="D349" s="8"/>
      <c r="E349" s="8"/>
      <c r="F349" s="8"/>
    </row>
    <row r="350" spans="4:6" ht="12.5">
      <c r="D350" s="8"/>
      <c r="E350" s="8"/>
      <c r="F350" s="8"/>
    </row>
    <row r="351" spans="4:6" ht="12.5">
      <c r="D351" s="8"/>
      <c r="E351" s="8"/>
      <c r="F351" s="8"/>
    </row>
    <row r="352" spans="4:6" ht="12.5">
      <c r="D352" s="8"/>
      <c r="E352" s="8"/>
      <c r="F352" s="8"/>
    </row>
    <row r="353" spans="4:6" ht="12.5">
      <c r="D353" s="8"/>
      <c r="E353" s="8"/>
      <c r="F353" s="8"/>
    </row>
    <row r="354" spans="4:6" ht="12.5">
      <c r="D354" s="8"/>
      <c r="E354" s="8"/>
      <c r="F354" s="8"/>
    </row>
    <row r="355" spans="4:6" ht="12.5">
      <c r="D355" s="8"/>
      <c r="E355" s="8"/>
      <c r="F355" s="8"/>
    </row>
    <row r="356" spans="4:6" ht="12.5">
      <c r="D356" s="8"/>
      <c r="E356" s="8"/>
      <c r="F356" s="8"/>
    </row>
    <row r="357" spans="4:6" ht="12.5">
      <c r="D357" s="8"/>
      <c r="E357" s="8"/>
      <c r="F357" s="8"/>
    </row>
    <row r="358" spans="4:6" ht="12.5">
      <c r="D358" s="8"/>
      <c r="E358" s="8"/>
      <c r="F358" s="8"/>
    </row>
    <row r="359" spans="4:6" ht="12.5">
      <c r="D359" s="8"/>
      <c r="E359" s="8"/>
      <c r="F359" s="8"/>
    </row>
    <row r="360" spans="4:6" ht="12.5">
      <c r="D360" s="8"/>
      <c r="E360" s="8"/>
      <c r="F360" s="8"/>
    </row>
    <row r="361" spans="4:6" ht="12.5">
      <c r="D361" s="8"/>
      <c r="E361" s="8"/>
      <c r="F361" s="8"/>
    </row>
    <row r="362" spans="4:6" ht="12.5">
      <c r="D362" s="8"/>
      <c r="E362" s="8"/>
      <c r="F362" s="8"/>
    </row>
    <row r="363" spans="4:6" ht="12.5">
      <c r="D363" s="8"/>
      <c r="E363" s="8"/>
      <c r="F363" s="8"/>
    </row>
    <row r="364" spans="4:6" ht="12.5">
      <c r="D364" s="8"/>
      <c r="E364" s="8"/>
      <c r="F364" s="8"/>
    </row>
    <row r="365" spans="4:6" ht="12.5">
      <c r="D365" s="8"/>
      <c r="E365" s="8"/>
      <c r="F365" s="8"/>
    </row>
    <row r="366" spans="4:6" ht="12.5">
      <c r="D366" s="8"/>
      <c r="E366" s="8"/>
      <c r="F366" s="8"/>
    </row>
    <row r="367" spans="4:6" ht="12.5">
      <c r="D367" s="8"/>
      <c r="E367" s="8"/>
      <c r="F367" s="8"/>
    </row>
    <row r="368" spans="4:6" ht="12.5">
      <c r="D368" s="8"/>
      <c r="E368" s="8"/>
      <c r="F368" s="8"/>
    </row>
    <row r="369" spans="4:6" ht="12.5">
      <c r="D369" s="8"/>
      <c r="E369" s="8"/>
      <c r="F369" s="8"/>
    </row>
    <row r="370" spans="4:6" ht="12.5">
      <c r="D370" s="8"/>
      <c r="E370" s="8"/>
      <c r="F370" s="8"/>
    </row>
    <row r="371" spans="4:6" ht="12.5">
      <c r="D371" s="8"/>
      <c r="E371" s="8"/>
      <c r="F371" s="8"/>
    </row>
    <row r="372" spans="4:6" ht="12.5">
      <c r="D372" s="8"/>
      <c r="E372" s="8"/>
      <c r="F372" s="8"/>
    </row>
    <row r="373" spans="4:6" ht="12.5">
      <c r="D373" s="8"/>
      <c r="E373" s="8"/>
      <c r="F373" s="8"/>
    </row>
    <row r="374" spans="4:6" ht="12.5">
      <c r="D374" s="8"/>
      <c r="E374" s="8"/>
      <c r="F374" s="8"/>
    </row>
    <row r="375" spans="4:6" ht="12.5">
      <c r="D375" s="8"/>
      <c r="E375" s="8"/>
      <c r="F375" s="8"/>
    </row>
    <row r="376" spans="4:6" ht="12.5">
      <c r="D376" s="8"/>
      <c r="E376" s="8"/>
      <c r="F376" s="8"/>
    </row>
    <row r="377" spans="4:6" ht="12.5">
      <c r="D377" s="8"/>
      <c r="E377" s="8"/>
      <c r="F377" s="8"/>
    </row>
    <row r="378" spans="4:6" ht="12.5">
      <c r="D378" s="8"/>
      <c r="E378" s="8"/>
      <c r="F378" s="8"/>
    </row>
    <row r="379" spans="4:6" ht="12.5">
      <c r="D379" s="8"/>
      <c r="E379" s="8"/>
      <c r="F379" s="8"/>
    </row>
    <row r="380" spans="4:6" ht="12.5">
      <c r="D380" s="8"/>
      <c r="E380" s="8"/>
      <c r="F380" s="8"/>
    </row>
    <row r="381" spans="4:6" ht="12.5">
      <c r="D381" s="8"/>
      <c r="E381" s="8"/>
      <c r="F381" s="8"/>
    </row>
    <row r="382" spans="4:6" ht="12.5">
      <c r="D382" s="8"/>
      <c r="E382" s="8"/>
      <c r="F382" s="8"/>
    </row>
    <row r="383" spans="4:6" ht="12.5">
      <c r="D383" s="8"/>
      <c r="E383" s="8"/>
      <c r="F383" s="8"/>
    </row>
    <row r="384" spans="4:6" ht="12.5">
      <c r="D384" s="8"/>
      <c r="E384" s="8"/>
      <c r="F384" s="8"/>
    </row>
    <row r="385" spans="4:6" ht="12.5">
      <c r="D385" s="8"/>
      <c r="E385" s="8"/>
      <c r="F385" s="8"/>
    </row>
    <row r="386" spans="4:6" ht="12.5">
      <c r="D386" s="8"/>
      <c r="E386" s="8"/>
      <c r="F386" s="8"/>
    </row>
    <row r="387" spans="4:6" ht="12.5">
      <c r="D387" s="8"/>
      <c r="E387" s="8"/>
      <c r="F387" s="8"/>
    </row>
    <row r="388" spans="4:6" ht="12.5">
      <c r="D388" s="8"/>
      <c r="E388" s="8"/>
      <c r="F388" s="8"/>
    </row>
    <row r="389" spans="4:6" ht="12.5">
      <c r="D389" s="8"/>
      <c r="E389" s="8"/>
      <c r="F389" s="8"/>
    </row>
    <row r="390" spans="4:6" ht="12.5">
      <c r="D390" s="8"/>
      <c r="E390" s="8"/>
      <c r="F390" s="8"/>
    </row>
    <row r="391" spans="4:6" ht="12.5">
      <c r="D391" s="8"/>
      <c r="E391" s="8"/>
      <c r="F391" s="8"/>
    </row>
    <row r="392" spans="4:6" ht="12.5">
      <c r="D392" s="8"/>
      <c r="E392" s="8"/>
      <c r="F392" s="8"/>
    </row>
    <row r="393" spans="4:6" ht="12.5">
      <c r="D393" s="8"/>
      <c r="E393" s="8"/>
      <c r="F393" s="8"/>
    </row>
    <row r="394" spans="4:6" ht="12.5">
      <c r="D394" s="8"/>
      <c r="E394" s="8"/>
      <c r="F394" s="8"/>
    </row>
    <row r="395" spans="4:6" ht="12.5">
      <c r="D395" s="8"/>
      <c r="E395" s="8"/>
      <c r="F395" s="8"/>
    </row>
    <row r="396" spans="4:6" ht="12.5">
      <c r="D396" s="8"/>
      <c r="E396" s="8"/>
      <c r="F396" s="8"/>
    </row>
    <row r="397" spans="4:6" ht="12.5">
      <c r="D397" s="8"/>
      <c r="E397" s="8"/>
      <c r="F397" s="8"/>
    </row>
    <row r="398" spans="4:6" ht="12.5">
      <c r="D398" s="8"/>
      <c r="E398" s="8"/>
      <c r="F398" s="8"/>
    </row>
    <row r="399" spans="4:6" ht="12.5">
      <c r="D399" s="8"/>
      <c r="E399" s="8"/>
      <c r="F399" s="8"/>
    </row>
    <row r="400" spans="4:6" ht="12.5">
      <c r="D400" s="8"/>
      <c r="E400" s="8"/>
      <c r="F400" s="8"/>
    </row>
    <row r="401" spans="4:6" ht="12.5">
      <c r="D401" s="8"/>
      <c r="E401" s="8"/>
      <c r="F401" s="8"/>
    </row>
    <row r="402" spans="4:6" ht="12.5">
      <c r="D402" s="8"/>
      <c r="E402" s="8"/>
      <c r="F402" s="8"/>
    </row>
    <row r="403" spans="4:6" ht="12.5">
      <c r="D403" s="8"/>
      <c r="E403" s="8"/>
      <c r="F403" s="8"/>
    </row>
    <row r="404" spans="4:6" ht="12.5">
      <c r="D404" s="8"/>
      <c r="E404" s="8"/>
      <c r="F404" s="8"/>
    </row>
    <row r="405" spans="4:6" ht="12.5">
      <c r="D405" s="8"/>
      <c r="E405" s="8"/>
      <c r="F405" s="8"/>
    </row>
    <row r="406" spans="4:6" ht="12.5">
      <c r="D406" s="8"/>
      <c r="E406" s="8"/>
      <c r="F406" s="8"/>
    </row>
    <row r="407" spans="4:6" ht="12.5">
      <c r="D407" s="8"/>
      <c r="E407" s="8"/>
      <c r="F407" s="8"/>
    </row>
    <row r="408" spans="4:6" ht="12.5">
      <c r="D408" s="8"/>
      <c r="E408" s="8"/>
      <c r="F408" s="8"/>
    </row>
    <row r="409" spans="4:6" ht="12.5">
      <c r="D409" s="8"/>
      <c r="E409" s="8"/>
      <c r="F409" s="8"/>
    </row>
    <row r="410" spans="4:6" ht="12.5">
      <c r="D410" s="8"/>
      <c r="E410" s="8"/>
      <c r="F410" s="8"/>
    </row>
    <row r="411" spans="4:6" ht="12.5">
      <c r="D411" s="8"/>
      <c r="E411" s="8"/>
      <c r="F411" s="8"/>
    </row>
    <row r="412" spans="4:6" ht="12.5">
      <c r="D412" s="8"/>
      <c r="E412" s="8"/>
      <c r="F412" s="8"/>
    </row>
    <row r="413" spans="4:6" ht="12.5">
      <c r="D413" s="8"/>
      <c r="E413" s="8"/>
      <c r="F413" s="8"/>
    </row>
    <row r="414" spans="4:6" ht="12.5">
      <c r="D414" s="8"/>
      <c r="E414" s="8"/>
      <c r="F414" s="8"/>
    </row>
    <row r="415" spans="4:6" ht="12.5">
      <c r="D415" s="8"/>
      <c r="E415" s="8"/>
      <c r="F415" s="8"/>
    </row>
    <row r="416" spans="4:6" ht="12.5">
      <c r="D416" s="8"/>
      <c r="E416" s="8"/>
      <c r="F416" s="8"/>
    </row>
    <row r="417" spans="4:6" ht="12.5">
      <c r="D417" s="8"/>
      <c r="E417" s="8"/>
      <c r="F417" s="8"/>
    </row>
    <row r="418" spans="4:6" ht="12.5">
      <c r="D418" s="8"/>
      <c r="E418" s="8"/>
      <c r="F418" s="8"/>
    </row>
    <row r="419" spans="4:6" ht="12.5">
      <c r="D419" s="8"/>
      <c r="E419" s="8"/>
      <c r="F419" s="8"/>
    </row>
    <row r="420" spans="4:6" ht="12.5">
      <c r="D420" s="8"/>
      <c r="E420" s="8"/>
      <c r="F420" s="8"/>
    </row>
    <row r="421" spans="4:6" ht="12.5">
      <c r="D421" s="8"/>
      <c r="E421" s="8"/>
      <c r="F421" s="8"/>
    </row>
    <row r="422" spans="4:6" ht="12.5">
      <c r="D422" s="8"/>
      <c r="E422" s="8"/>
      <c r="F422" s="8"/>
    </row>
    <row r="423" spans="4:6" ht="12.5">
      <c r="D423" s="8"/>
      <c r="E423" s="8"/>
      <c r="F423" s="8"/>
    </row>
    <row r="424" spans="4:6" ht="12.5">
      <c r="D424" s="8"/>
      <c r="E424" s="8"/>
      <c r="F424" s="8"/>
    </row>
    <row r="425" spans="4:6" ht="12.5">
      <c r="D425" s="8"/>
      <c r="E425" s="8"/>
      <c r="F425" s="8"/>
    </row>
    <row r="426" spans="4:6" ht="12.5">
      <c r="D426" s="8"/>
      <c r="E426" s="8"/>
      <c r="F426" s="8"/>
    </row>
    <row r="427" spans="4:6" ht="12.5">
      <c r="D427" s="8"/>
      <c r="E427" s="8"/>
      <c r="F427" s="8"/>
    </row>
    <row r="428" spans="4:6" ht="12.5">
      <c r="D428" s="8"/>
      <c r="E428" s="8"/>
      <c r="F428" s="8"/>
    </row>
    <row r="429" spans="4:6" ht="12.5">
      <c r="D429" s="8"/>
      <c r="E429" s="8"/>
      <c r="F429" s="8"/>
    </row>
    <row r="430" spans="4:6" ht="12.5">
      <c r="D430" s="8"/>
      <c r="E430" s="8"/>
      <c r="F430" s="8"/>
    </row>
    <row r="431" spans="4:6" ht="12.5">
      <c r="D431" s="8"/>
      <c r="E431" s="8"/>
      <c r="F431" s="8"/>
    </row>
    <row r="432" spans="4:6" ht="12.5">
      <c r="D432" s="8"/>
      <c r="E432" s="8"/>
      <c r="F432" s="8"/>
    </row>
    <row r="433" spans="4:6" ht="12.5">
      <c r="D433" s="8"/>
      <c r="E433" s="8"/>
      <c r="F433" s="8"/>
    </row>
    <row r="434" spans="4:6" ht="12.5">
      <c r="D434" s="8"/>
      <c r="E434" s="8"/>
      <c r="F434" s="8"/>
    </row>
    <row r="435" spans="4:6" ht="12.5">
      <c r="D435" s="8"/>
      <c r="E435" s="8"/>
      <c r="F435" s="8"/>
    </row>
    <row r="436" spans="4:6" ht="12.5">
      <c r="D436" s="8"/>
      <c r="E436" s="8"/>
      <c r="F436" s="8"/>
    </row>
    <row r="437" spans="4:6" ht="12.5">
      <c r="D437" s="8"/>
      <c r="E437" s="8"/>
      <c r="F437" s="8"/>
    </row>
    <row r="438" spans="4:6" ht="12.5">
      <c r="D438" s="8"/>
      <c r="E438" s="8"/>
      <c r="F438" s="8"/>
    </row>
    <row r="439" spans="4:6" ht="12.5">
      <c r="D439" s="8"/>
      <c r="E439" s="8"/>
      <c r="F439" s="8"/>
    </row>
    <row r="440" spans="4:6" ht="12.5">
      <c r="D440" s="8"/>
      <c r="E440" s="8"/>
      <c r="F440" s="8"/>
    </row>
    <row r="441" spans="4:6" ht="12.5">
      <c r="D441" s="8"/>
      <c r="E441" s="8"/>
      <c r="F441" s="8"/>
    </row>
    <row r="442" spans="4:6" ht="12.5">
      <c r="D442" s="8"/>
      <c r="E442" s="8"/>
      <c r="F442" s="8"/>
    </row>
    <row r="443" spans="4:6" ht="12.5">
      <c r="D443" s="8"/>
      <c r="E443" s="8"/>
      <c r="F443" s="8"/>
    </row>
    <row r="444" spans="4:6" ht="12.5">
      <c r="D444" s="8"/>
      <c r="E444" s="8"/>
      <c r="F444" s="8"/>
    </row>
    <row r="445" spans="4:6" ht="12.5">
      <c r="D445" s="8"/>
      <c r="E445" s="8"/>
      <c r="F445" s="8"/>
    </row>
    <row r="446" spans="4:6" ht="12.5">
      <c r="D446" s="8"/>
      <c r="E446" s="8"/>
      <c r="F446" s="8"/>
    </row>
    <row r="447" spans="4:6" ht="12.5">
      <c r="D447" s="8"/>
      <c r="E447" s="8"/>
      <c r="F447" s="8"/>
    </row>
    <row r="448" spans="4:6" ht="12.5">
      <c r="D448" s="8"/>
      <c r="E448" s="8"/>
      <c r="F448" s="8"/>
    </row>
    <row r="449" spans="4:6" ht="12.5">
      <c r="D449" s="8"/>
      <c r="E449" s="8"/>
      <c r="F449" s="8"/>
    </row>
    <row r="450" spans="4:6" ht="12.5">
      <c r="D450" s="8"/>
      <c r="E450" s="8"/>
      <c r="F450" s="8"/>
    </row>
    <row r="451" spans="4:6" ht="12.5">
      <c r="D451" s="8"/>
      <c r="E451" s="8"/>
      <c r="F451" s="8"/>
    </row>
    <row r="452" spans="4:6" ht="12.5">
      <c r="D452" s="8"/>
      <c r="E452" s="8"/>
      <c r="F452" s="8"/>
    </row>
    <row r="453" spans="4:6" ht="12.5">
      <c r="D453" s="8"/>
      <c r="E453" s="8"/>
      <c r="F453" s="8"/>
    </row>
    <row r="454" spans="4:6" ht="12.5">
      <c r="D454" s="8"/>
      <c r="E454" s="8"/>
      <c r="F454" s="8"/>
    </row>
    <row r="455" spans="4:6" ht="12.5">
      <c r="D455" s="8"/>
      <c r="E455" s="8"/>
      <c r="F455" s="8"/>
    </row>
    <row r="456" spans="4:6" ht="12.5">
      <c r="D456" s="8"/>
      <c r="E456" s="8"/>
      <c r="F456" s="8"/>
    </row>
    <row r="457" spans="4:6" ht="12.5">
      <c r="D457" s="8"/>
      <c r="E457" s="8"/>
      <c r="F457" s="8"/>
    </row>
    <row r="458" spans="4:6" ht="12.5">
      <c r="D458" s="8"/>
      <c r="E458" s="8"/>
      <c r="F458" s="8"/>
    </row>
    <row r="459" spans="4:6" ht="12.5">
      <c r="D459" s="8"/>
      <c r="E459" s="8"/>
      <c r="F459" s="8"/>
    </row>
    <row r="460" spans="4:6" ht="12.5">
      <c r="D460" s="8"/>
      <c r="E460" s="8"/>
      <c r="F460" s="8"/>
    </row>
    <row r="461" spans="4:6" ht="12.5">
      <c r="D461" s="8"/>
      <c r="E461" s="8"/>
      <c r="F461" s="8"/>
    </row>
    <row r="462" spans="4:6" ht="12.5">
      <c r="D462" s="8"/>
      <c r="E462" s="8"/>
      <c r="F462" s="8"/>
    </row>
    <row r="463" spans="4:6" ht="12.5">
      <c r="D463" s="8"/>
      <c r="E463" s="8"/>
      <c r="F463" s="8"/>
    </row>
    <row r="464" spans="4:6" ht="12.5">
      <c r="D464" s="8"/>
      <c r="E464" s="8"/>
      <c r="F464" s="8"/>
    </row>
    <row r="465" spans="4:6" ht="12.5">
      <c r="D465" s="8"/>
      <c r="E465" s="8"/>
      <c r="F465" s="8"/>
    </row>
    <row r="466" spans="4:6" ht="12.5">
      <c r="D466" s="8"/>
      <c r="E466" s="8"/>
      <c r="F466" s="8"/>
    </row>
    <row r="467" spans="4:6" ht="12.5">
      <c r="D467" s="8"/>
      <c r="E467" s="8"/>
      <c r="F467" s="8"/>
    </row>
    <row r="468" spans="4:6" ht="12.5">
      <c r="D468" s="8"/>
      <c r="E468" s="8"/>
      <c r="F468" s="8"/>
    </row>
    <row r="469" spans="4:6" ht="12.5">
      <c r="D469" s="8"/>
      <c r="E469" s="8"/>
      <c r="F469" s="8"/>
    </row>
    <row r="470" spans="4:6" ht="12.5">
      <c r="D470" s="8"/>
      <c r="E470" s="8"/>
      <c r="F470" s="8"/>
    </row>
    <row r="471" spans="4:6" ht="12.5">
      <c r="D471" s="8"/>
      <c r="E471" s="8"/>
      <c r="F471" s="8"/>
    </row>
    <row r="472" spans="4:6" ht="12.5">
      <c r="D472" s="8"/>
      <c r="E472" s="8"/>
      <c r="F472" s="8"/>
    </row>
    <row r="473" spans="4:6" ht="12.5">
      <c r="D473" s="8"/>
      <c r="E473" s="8"/>
      <c r="F473" s="8"/>
    </row>
    <row r="474" spans="4:6" ht="12.5">
      <c r="D474" s="8"/>
      <c r="E474" s="8"/>
      <c r="F474" s="8"/>
    </row>
    <row r="475" spans="4:6" ht="12.5">
      <c r="D475" s="8"/>
      <c r="E475" s="8"/>
      <c r="F475" s="8"/>
    </row>
    <row r="476" spans="4:6" ht="12.5">
      <c r="D476" s="8"/>
      <c r="E476" s="8"/>
      <c r="F476" s="8"/>
    </row>
    <row r="477" spans="4:6" ht="12.5">
      <c r="D477" s="8"/>
      <c r="E477" s="8"/>
      <c r="F477" s="8"/>
    </row>
    <row r="478" spans="4:6" ht="12.5">
      <c r="D478" s="8"/>
      <c r="E478" s="8"/>
      <c r="F478" s="8"/>
    </row>
    <row r="479" spans="4:6" ht="12.5">
      <c r="D479" s="8"/>
      <c r="E479" s="8"/>
      <c r="F479" s="8"/>
    </row>
    <row r="480" spans="4:6" ht="12.5">
      <c r="D480" s="8"/>
      <c r="E480" s="8"/>
      <c r="F480" s="8"/>
    </row>
    <row r="481" spans="4:6" ht="12.5">
      <c r="D481" s="8"/>
      <c r="E481" s="8"/>
      <c r="F481" s="8"/>
    </row>
    <row r="482" spans="4:6" ht="12.5">
      <c r="D482" s="8"/>
      <c r="E482" s="8"/>
      <c r="F482" s="8"/>
    </row>
    <row r="483" spans="4:6" ht="12.5">
      <c r="D483" s="8"/>
      <c r="E483" s="8"/>
      <c r="F483" s="8"/>
    </row>
    <row r="484" spans="4:6" ht="12.5">
      <c r="D484" s="8"/>
      <c r="E484" s="8"/>
      <c r="F484" s="8"/>
    </row>
    <row r="485" spans="4:6" ht="12.5">
      <c r="D485" s="8"/>
      <c r="E485" s="8"/>
      <c r="F485" s="8"/>
    </row>
    <row r="486" spans="4:6" ht="12.5">
      <c r="D486" s="8"/>
      <c r="E486" s="8"/>
      <c r="F486" s="8"/>
    </row>
    <row r="487" spans="4:6" ht="12.5">
      <c r="D487" s="8"/>
      <c r="E487" s="8"/>
      <c r="F487" s="8"/>
    </row>
    <row r="488" spans="4:6" ht="12.5">
      <c r="D488" s="8"/>
      <c r="E488" s="8"/>
      <c r="F488" s="8"/>
    </row>
    <row r="489" spans="4:6" ht="12.5">
      <c r="D489" s="8"/>
      <c r="E489" s="8"/>
      <c r="F489" s="8"/>
    </row>
    <row r="490" spans="4:6" ht="12.5">
      <c r="D490" s="8"/>
      <c r="E490" s="8"/>
      <c r="F490" s="8"/>
    </row>
    <row r="491" spans="4:6" ht="12.5">
      <c r="D491" s="8"/>
      <c r="E491" s="8"/>
      <c r="F491" s="8"/>
    </row>
    <row r="492" spans="4:6" ht="12.5">
      <c r="D492" s="8"/>
      <c r="E492" s="8"/>
      <c r="F492" s="8"/>
    </row>
    <row r="493" spans="4:6" ht="12.5">
      <c r="D493" s="8"/>
      <c r="E493" s="8"/>
      <c r="F493" s="8"/>
    </row>
    <row r="494" spans="4:6" ht="12.5">
      <c r="D494" s="8"/>
      <c r="E494" s="8"/>
      <c r="F494" s="8"/>
    </row>
    <row r="495" spans="4:6" ht="12.5">
      <c r="D495" s="8"/>
      <c r="E495" s="8"/>
      <c r="F495" s="8"/>
    </row>
    <row r="496" spans="4:6" ht="12.5">
      <c r="D496" s="8"/>
      <c r="E496" s="8"/>
      <c r="F496" s="8"/>
    </row>
    <row r="497" spans="4:6" ht="12.5">
      <c r="D497" s="8"/>
      <c r="E497" s="8"/>
      <c r="F497" s="8"/>
    </row>
    <row r="498" spans="4:6" ht="12.5">
      <c r="D498" s="8"/>
      <c r="E498" s="8"/>
      <c r="F498" s="8"/>
    </row>
    <row r="499" spans="4:6" ht="12.5">
      <c r="D499" s="8"/>
      <c r="E499" s="8"/>
      <c r="F499" s="8"/>
    </row>
    <row r="500" spans="4:6" ht="12.5">
      <c r="D500" s="8"/>
      <c r="E500" s="8"/>
      <c r="F500" s="8"/>
    </row>
    <row r="501" spans="4:6" ht="12.5">
      <c r="D501" s="8"/>
      <c r="E501" s="8"/>
      <c r="F501" s="8"/>
    </row>
    <row r="502" spans="4:6" ht="12.5">
      <c r="D502" s="8"/>
      <c r="E502" s="8"/>
      <c r="F502" s="8"/>
    </row>
    <row r="503" spans="4:6" ht="12.5">
      <c r="D503" s="8"/>
      <c r="E503" s="8"/>
      <c r="F503" s="8"/>
    </row>
    <row r="504" spans="4:6" ht="12.5">
      <c r="D504" s="8"/>
      <c r="E504" s="8"/>
      <c r="F504" s="8"/>
    </row>
    <row r="505" spans="4:6" ht="12.5">
      <c r="D505" s="8"/>
      <c r="E505" s="8"/>
      <c r="F505" s="8"/>
    </row>
    <row r="506" spans="4:6" ht="12.5">
      <c r="D506" s="8"/>
      <c r="E506" s="8"/>
      <c r="F506" s="8"/>
    </row>
    <row r="507" spans="4:6" ht="12.5">
      <c r="D507" s="8"/>
      <c r="E507" s="8"/>
      <c r="F507" s="8"/>
    </row>
    <row r="508" spans="4:6" ht="12.5">
      <c r="D508" s="8"/>
      <c r="E508" s="8"/>
      <c r="F508" s="8"/>
    </row>
    <row r="509" spans="4:6" ht="12.5">
      <c r="D509" s="8"/>
      <c r="E509" s="8"/>
      <c r="F509" s="8"/>
    </row>
    <row r="510" spans="4:6" ht="12.5">
      <c r="D510" s="8"/>
      <c r="E510" s="8"/>
      <c r="F510" s="8"/>
    </row>
    <row r="511" spans="4:6" ht="12.5">
      <c r="D511" s="8"/>
      <c r="E511" s="8"/>
      <c r="F511" s="8"/>
    </row>
    <row r="512" spans="4:6" ht="12.5">
      <c r="D512" s="8"/>
      <c r="E512" s="8"/>
      <c r="F512" s="8"/>
    </row>
    <row r="513" spans="4:6" ht="12.5">
      <c r="D513" s="8"/>
      <c r="E513" s="8"/>
      <c r="F513" s="8"/>
    </row>
    <row r="514" spans="4:6" ht="12.5">
      <c r="D514" s="8"/>
      <c r="E514" s="8"/>
      <c r="F514" s="8"/>
    </row>
    <row r="515" spans="4:6" ht="12.5">
      <c r="D515" s="8"/>
      <c r="E515" s="8"/>
      <c r="F515" s="8"/>
    </row>
    <row r="516" spans="4:6" ht="12.5">
      <c r="D516" s="8"/>
      <c r="E516" s="8"/>
      <c r="F516" s="8"/>
    </row>
    <row r="517" spans="4:6" ht="12.5">
      <c r="D517" s="8"/>
      <c r="E517" s="8"/>
      <c r="F517" s="8"/>
    </row>
    <row r="518" spans="4:6" ht="12.5">
      <c r="D518" s="8"/>
      <c r="E518" s="8"/>
      <c r="F518" s="8"/>
    </row>
    <row r="519" spans="4:6" ht="12.5">
      <c r="D519" s="8"/>
      <c r="E519" s="8"/>
      <c r="F519" s="8"/>
    </row>
    <row r="520" spans="4:6" ht="12.5">
      <c r="D520" s="8"/>
      <c r="E520" s="8"/>
      <c r="F520" s="8"/>
    </row>
    <row r="521" spans="4:6" ht="12.5">
      <c r="D521" s="8"/>
      <c r="E521" s="8"/>
      <c r="F521" s="8"/>
    </row>
    <row r="522" spans="4:6" ht="12.5">
      <c r="D522" s="8"/>
      <c r="E522" s="8"/>
      <c r="F522" s="8"/>
    </row>
    <row r="523" spans="4:6" ht="12.5">
      <c r="D523" s="8"/>
      <c r="E523" s="8"/>
      <c r="F523" s="8"/>
    </row>
    <row r="524" spans="4:6" ht="12.5">
      <c r="D524" s="8"/>
      <c r="E524" s="8"/>
      <c r="F524" s="8"/>
    </row>
    <row r="525" spans="4:6" ht="12.5">
      <c r="D525" s="8"/>
      <c r="E525" s="8"/>
      <c r="F525" s="8"/>
    </row>
    <row r="526" spans="4:6" ht="12.5">
      <c r="D526" s="8"/>
      <c r="E526" s="8"/>
      <c r="F526" s="8"/>
    </row>
    <row r="527" spans="4:6" ht="12.5">
      <c r="D527" s="8"/>
      <c r="E527" s="8"/>
      <c r="F527" s="8"/>
    </row>
    <row r="528" spans="4:6" ht="12.5">
      <c r="D528" s="8"/>
      <c r="E528" s="8"/>
      <c r="F528" s="8"/>
    </row>
    <row r="529" spans="4:6" ht="12.5">
      <c r="D529" s="8"/>
      <c r="E529" s="8"/>
      <c r="F529" s="8"/>
    </row>
    <row r="530" spans="4:6" ht="12.5">
      <c r="D530" s="8"/>
      <c r="E530" s="8"/>
      <c r="F530" s="8"/>
    </row>
    <row r="531" spans="4:6" ht="12.5">
      <c r="D531" s="8"/>
      <c r="E531" s="8"/>
      <c r="F531" s="8"/>
    </row>
    <row r="532" spans="4:6" ht="12.5">
      <c r="D532" s="8"/>
      <c r="E532" s="8"/>
      <c r="F532" s="8"/>
    </row>
    <row r="533" spans="4:6" ht="12.5">
      <c r="D533" s="8"/>
      <c r="E533" s="8"/>
      <c r="F533" s="8"/>
    </row>
    <row r="534" spans="4:6" ht="12.5">
      <c r="D534" s="8"/>
      <c r="E534" s="8"/>
      <c r="F534" s="8"/>
    </row>
    <row r="535" spans="4:6" ht="12.5">
      <c r="D535" s="8"/>
      <c r="E535" s="8"/>
      <c r="F535" s="8"/>
    </row>
    <row r="536" spans="4:6" ht="12.5">
      <c r="D536" s="8"/>
      <c r="E536" s="8"/>
      <c r="F536" s="8"/>
    </row>
    <row r="537" spans="4:6" ht="12.5">
      <c r="D537" s="8"/>
      <c r="E537" s="8"/>
      <c r="F537" s="8"/>
    </row>
    <row r="538" spans="4:6" ht="12.5">
      <c r="D538" s="8"/>
      <c r="E538" s="8"/>
      <c r="F538" s="8"/>
    </row>
    <row r="539" spans="4:6" ht="12.5">
      <c r="D539" s="8"/>
      <c r="E539" s="8"/>
      <c r="F539" s="8"/>
    </row>
    <row r="540" spans="4:6" ht="12.5">
      <c r="D540" s="8"/>
      <c r="E540" s="8"/>
      <c r="F540" s="8"/>
    </row>
    <row r="541" spans="4:6" ht="12.5">
      <c r="D541" s="8"/>
      <c r="E541" s="8"/>
      <c r="F541" s="8"/>
    </row>
    <row r="542" spans="4:6" ht="12.5">
      <c r="D542" s="8"/>
      <c r="E542" s="8"/>
      <c r="F542" s="8"/>
    </row>
    <row r="543" spans="4:6" ht="12.5">
      <c r="D543" s="8"/>
      <c r="E543" s="8"/>
      <c r="F543" s="8"/>
    </row>
    <row r="544" spans="4:6" ht="12.5">
      <c r="D544" s="8"/>
      <c r="E544" s="8"/>
      <c r="F544" s="8"/>
    </row>
    <row r="545" spans="4:6" ht="12.5">
      <c r="D545" s="8"/>
      <c r="E545" s="8"/>
      <c r="F545" s="8"/>
    </row>
    <row r="546" spans="4:6" ht="12.5">
      <c r="D546" s="8"/>
      <c r="E546" s="8"/>
      <c r="F546" s="8"/>
    </row>
    <row r="547" spans="4:6" ht="12.5">
      <c r="D547" s="8"/>
      <c r="E547" s="8"/>
      <c r="F547" s="8"/>
    </row>
    <row r="548" spans="4:6" ht="12.5">
      <c r="D548" s="8"/>
      <c r="E548" s="8"/>
      <c r="F548" s="8"/>
    </row>
    <row r="549" spans="4:6" ht="12.5">
      <c r="D549" s="8"/>
      <c r="E549" s="8"/>
      <c r="F549" s="8"/>
    </row>
    <row r="550" spans="4:6" ht="12.5">
      <c r="D550" s="8"/>
      <c r="E550" s="8"/>
      <c r="F550" s="8"/>
    </row>
    <row r="551" spans="4:6" ht="12.5">
      <c r="D551" s="8"/>
      <c r="E551" s="8"/>
      <c r="F551" s="8"/>
    </row>
    <row r="552" spans="4:6" ht="12.5">
      <c r="D552" s="8"/>
      <c r="E552" s="8"/>
      <c r="F552" s="8"/>
    </row>
    <row r="553" spans="4:6" ht="12.5">
      <c r="D553" s="8"/>
      <c r="E553" s="8"/>
      <c r="F553" s="8"/>
    </row>
    <row r="554" spans="4:6" ht="12.5">
      <c r="D554" s="8"/>
      <c r="E554" s="8"/>
      <c r="F554" s="8"/>
    </row>
    <row r="555" spans="4:6" ht="12.5">
      <c r="D555" s="8"/>
      <c r="E555" s="8"/>
      <c r="F555" s="8"/>
    </row>
    <row r="556" spans="4:6" ht="12.5">
      <c r="D556" s="8"/>
      <c r="E556" s="8"/>
      <c r="F556" s="8"/>
    </row>
    <row r="557" spans="4:6" ht="12.5">
      <c r="D557" s="8"/>
      <c r="E557" s="8"/>
      <c r="F557" s="8"/>
    </row>
    <row r="558" spans="4:6" ht="12.5">
      <c r="D558" s="8"/>
      <c r="E558" s="8"/>
      <c r="F558" s="8"/>
    </row>
    <row r="559" spans="4:6" ht="12.5">
      <c r="D559" s="8"/>
      <c r="E559" s="8"/>
      <c r="F559" s="8"/>
    </row>
    <row r="560" spans="4:6" ht="12.5">
      <c r="D560" s="8"/>
      <c r="E560" s="8"/>
      <c r="F560" s="8"/>
    </row>
    <row r="561" spans="4:6" ht="12.5">
      <c r="D561" s="8"/>
      <c r="E561" s="8"/>
      <c r="F561" s="8"/>
    </row>
    <row r="562" spans="4:6" ht="12.5">
      <c r="D562" s="8"/>
      <c r="E562" s="8"/>
      <c r="F562" s="8"/>
    </row>
    <row r="563" spans="4:6" ht="12.5">
      <c r="D563" s="8"/>
      <c r="E563" s="8"/>
      <c r="F563" s="8"/>
    </row>
    <row r="564" spans="4:6" ht="12.5">
      <c r="D564" s="8"/>
      <c r="E564" s="8"/>
      <c r="F564" s="8"/>
    </row>
    <row r="565" spans="4:6" ht="12.5">
      <c r="D565" s="8"/>
      <c r="E565" s="8"/>
      <c r="F565" s="8"/>
    </row>
    <row r="566" spans="4:6" ht="12.5">
      <c r="D566" s="8"/>
      <c r="E566" s="8"/>
      <c r="F566" s="8"/>
    </row>
    <row r="567" spans="4:6" ht="12.5">
      <c r="D567" s="8"/>
      <c r="E567" s="8"/>
      <c r="F567" s="8"/>
    </row>
    <row r="568" spans="4:6" ht="12.5">
      <c r="D568" s="8"/>
      <c r="E568" s="8"/>
      <c r="F568" s="8"/>
    </row>
    <row r="569" spans="4:6" ht="12.5">
      <c r="D569" s="8"/>
      <c r="E569" s="8"/>
      <c r="F569" s="8"/>
    </row>
    <row r="570" spans="4:6" ht="12.5">
      <c r="D570" s="8"/>
      <c r="E570" s="8"/>
      <c r="F570" s="8"/>
    </row>
    <row r="571" spans="4:6" ht="12.5">
      <c r="D571" s="8"/>
      <c r="E571" s="8"/>
      <c r="F571" s="8"/>
    </row>
    <row r="572" spans="4:6" ht="12.5">
      <c r="D572" s="8"/>
      <c r="E572" s="8"/>
      <c r="F572" s="8"/>
    </row>
    <row r="573" spans="4:6" ht="12.5">
      <c r="D573" s="8"/>
      <c r="E573" s="8"/>
      <c r="F573" s="8"/>
    </row>
    <row r="574" spans="4:6" ht="12.5">
      <c r="D574" s="8"/>
      <c r="E574" s="8"/>
      <c r="F574" s="8"/>
    </row>
    <row r="575" spans="4:6" ht="12.5">
      <c r="D575" s="8"/>
      <c r="E575" s="8"/>
      <c r="F575" s="8"/>
    </row>
    <row r="576" spans="4:6" ht="12.5">
      <c r="D576" s="8"/>
      <c r="E576" s="8"/>
      <c r="F576" s="8"/>
    </row>
    <row r="577" spans="4:6" ht="12.5">
      <c r="D577" s="8"/>
      <c r="E577" s="8"/>
      <c r="F577" s="8"/>
    </row>
    <row r="578" spans="4:6" ht="12.5">
      <c r="D578" s="8"/>
      <c r="E578" s="8"/>
      <c r="F578" s="8"/>
    </row>
    <row r="579" spans="4:6" ht="12.5">
      <c r="D579" s="8"/>
      <c r="E579" s="8"/>
      <c r="F579" s="8"/>
    </row>
    <row r="580" spans="4:6" ht="12.5">
      <c r="D580" s="8"/>
      <c r="E580" s="8"/>
      <c r="F580" s="8"/>
    </row>
    <row r="581" spans="4:6" ht="12.5">
      <c r="D581" s="8"/>
      <c r="E581" s="8"/>
      <c r="F581" s="8"/>
    </row>
    <row r="582" spans="4:6" ht="12.5">
      <c r="D582" s="8"/>
      <c r="E582" s="8"/>
      <c r="F582" s="8"/>
    </row>
    <row r="583" spans="4:6" ht="12.5">
      <c r="D583" s="8"/>
      <c r="E583" s="8"/>
      <c r="F583" s="8"/>
    </row>
    <row r="584" spans="4:6" ht="12.5">
      <c r="D584" s="8"/>
      <c r="E584" s="8"/>
      <c r="F584" s="8"/>
    </row>
    <row r="585" spans="4:6" ht="12.5">
      <c r="D585" s="8"/>
      <c r="E585" s="8"/>
      <c r="F585" s="8"/>
    </row>
    <row r="586" spans="4:6" ht="12.5">
      <c r="D586" s="8"/>
      <c r="E586" s="8"/>
      <c r="F586" s="8"/>
    </row>
    <row r="587" spans="4:6" ht="12.5">
      <c r="D587" s="8"/>
      <c r="E587" s="8"/>
      <c r="F587" s="8"/>
    </row>
    <row r="588" spans="4:6" ht="12.5">
      <c r="D588" s="8"/>
      <c r="E588" s="8"/>
      <c r="F588" s="8"/>
    </row>
    <row r="589" spans="4:6" ht="12.5">
      <c r="D589" s="8"/>
      <c r="E589" s="8"/>
      <c r="F589" s="8"/>
    </row>
    <row r="590" spans="4:6" ht="12.5">
      <c r="D590" s="8"/>
      <c r="E590" s="8"/>
      <c r="F590" s="8"/>
    </row>
    <row r="591" spans="4:6" ht="12.5">
      <c r="D591" s="8"/>
      <c r="E591" s="8"/>
      <c r="F591" s="8"/>
    </row>
    <row r="592" spans="4:6" ht="12.5">
      <c r="D592" s="8"/>
      <c r="E592" s="8"/>
      <c r="F592" s="8"/>
    </row>
    <row r="593" spans="4:6" ht="12.5">
      <c r="D593" s="8"/>
      <c r="E593" s="8"/>
      <c r="F593" s="8"/>
    </row>
    <row r="594" spans="4:6" ht="12.5">
      <c r="D594" s="8"/>
      <c r="E594" s="8"/>
      <c r="F594" s="8"/>
    </row>
    <row r="595" spans="4:6" ht="12.5">
      <c r="D595" s="8"/>
      <c r="E595" s="8"/>
      <c r="F595" s="8"/>
    </row>
    <row r="596" spans="4:6" ht="12.5">
      <c r="D596" s="8"/>
      <c r="E596" s="8"/>
      <c r="F596" s="8"/>
    </row>
    <row r="597" spans="4:6" ht="12.5">
      <c r="D597" s="8"/>
      <c r="E597" s="8"/>
      <c r="F597" s="8"/>
    </row>
    <row r="598" spans="4:6" ht="12.5">
      <c r="D598" s="8"/>
      <c r="E598" s="8"/>
      <c r="F598" s="8"/>
    </row>
    <row r="599" spans="4:6" ht="12.5">
      <c r="D599" s="8"/>
      <c r="E599" s="8"/>
      <c r="F599" s="8"/>
    </row>
    <row r="600" spans="4:6" ht="12.5">
      <c r="D600" s="8"/>
      <c r="E600" s="8"/>
      <c r="F600" s="8"/>
    </row>
    <row r="601" spans="4:6" ht="12.5">
      <c r="D601" s="8"/>
      <c r="E601" s="8"/>
      <c r="F601" s="8"/>
    </row>
    <row r="602" spans="4:6" ht="12.5">
      <c r="D602" s="8"/>
      <c r="E602" s="8"/>
      <c r="F602" s="8"/>
    </row>
    <row r="603" spans="4:6" ht="12.5">
      <c r="D603" s="8"/>
      <c r="E603" s="8"/>
      <c r="F603" s="8"/>
    </row>
    <row r="604" spans="4:6" ht="12.5">
      <c r="D604" s="8"/>
      <c r="E604" s="8"/>
      <c r="F604" s="8"/>
    </row>
    <row r="605" spans="4:6" ht="12.5">
      <c r="D605" s="8"/>
      <c r="E605" s="8"/>
      <c r="F605" s="8"/>
    </row>
    <row r="606" spans="4:6" ht="12.5">
      <c r="D606" s="8"/>
      <c r="E606" s="8"/>
      <c r="F606" s="8"/>
    </row>
    <row r="607" spans="4:6" ht="12.5">
      <c r="D607" s="8"/>
      <c r="E607" s="8"/>
      <c r="F607" s="8"/>
    </row>
    <row r="608" spans="4:6" ht="12.5">
      <c r="D608" s="8"/>
      <c r="E608" s="8"/>
      <c r="F608" s="8"/>
    </row>
    <row r="609" spans="4:6" ht="12.5">
      <c r="D609" s="8"/>
      <c r="E609" s="8"/>
      <c r="F609" s="8"/>
    </row>
    <row r="610" spans="4:6" ht="12.5">
      <c r="D610" s="8"/>
      <c r="E610" s="8"/>
      <c r="F610" s="8"/>
    </row>
    <row r="611" spans="4:6" ht="12.5">
      <c r="D611" s="8"/>
      <c r="E611" s="8"/>
      <c r="F611" s="8"/>
    </row>
    <row r="612" spans="4:6" ht="12.5">
      <c r="D612" s="8"/>
      <c r="E612" s="8"/>
      <c r="F612" s="8"/>
    </row>
    <row r="613" spans="4:6" ht="12.5">
      <c r="D613" s="8"/>
      <c r="E613" s="8"/>
      <c r="F613" s="8"/>
    </row>
    <row r="614" spans="4:6" ht="12.5">
      <c r="D614" s="8"/>
      <c r="E614" s="8"/>
      <c r="F614" s="8"/>
    </row>
    <row r="615" spans="4:6" ht="12.5">
      <c r="D615" s="8"/>
      <c r="E615" s="8"/>
      <c r="F615" s="8"/>
    </row>
    <row r="616" spans="4:6" ht="12.5">
      <c r="D616" s="8"/>
      <c r="E616" s="8"/>
      <c r="F616" s="8"/>
    </row>
    <row r="617" spans="4:6" ht="12.5">
      <c r="D617" s="8"/>
      <c r="E617" s="8"/>
      <c r="F617" s="8"/>
    </row>
    <row r="618" spans="4:6" ht="12.5">
      <c r="D618" s="8"/>
      <c r="E618" s="8"/>
      <c r="F618" s="8"/>
    </row>
    <row r="619" spans="4:6" ht="12.5">
      <c r="D619" s="8"/>
      <c r="E619" s="8"/>
      <c r="F619" s="8"/>
    </row>
    <row r="620" spans="4:6" ht="12.5">
      <c r="D620" s="8"/>
      <c r="E620" s="8"/>
      <c r="F620" s="8"/>
    </row>
    <row r="621" spans="4:6" ht="12.5">
      <c r="D621" s="8"/>
      <c r="E621" s="8"/>
      <c r="F621" s="8"/>
    </row>
    <row r="622" spans="4:6" ht="12.5">
      <c r="D622" s="8"/>
      <c r="E622" s="8"/>
      <c r="F622" s="8"/>
    </row>
    <row r="623" spans="4:6" ht="12.5">
      <c r="D623" s="8"/>
      <c r="E623" s="8"/>
      <c r="F623" s="8"/>
    </row>
    <row r="624" spans="4:6" ht="12.5">
      <c r="D624" s="8"/>
      <c r="E624" s="8"/>
      <c r="F624" s="8"/>
    </row>
    <row r="625" spans="4:6" ht="12.5">
      <c r="D625" s="8"/>
      <c r="E625" s="8"/>
      <c r="F625" s="8"/>
    </row>
    <row r="626" spans="4:6" ht="12.5">
      <c r="D626" s="8"/>
      <c r="E626" s="8"/>
      <c r="F626" s="8"/>
    </row>
    <row r="627" spans="4:6" ht="12.5">
      <c r="D627" s="8"/>
      <c r="E627" s="8"/>
      <c r="F627" s="8"/>
    </row>
    <row r="628" spans="4:6" ht="12.5">
      <c r="D628" s="8"/>
      <c r="E628" s="8"/>
      <c r="F628" s="8"/>
    </row>
    <row r="629" spans="4:6" ht="12.5">
      <c r="D629" s="8"/>
      <c r="E629" s="8"/>
      <c r="F629" s="8"/>
    </row>
    <row r="630" spans="4:6" ht="12.5">
      <c r="D630" s="8"/>
      <c r="E630" s="8"/>
      <c r="F630" s="8"/>
    </row>
    <row r="631" spans="4:6" ht="12.5">
      <c r="D631" s="8"/>
      <c r="E631" s="8"/>
      <c r="F631" s="8"/>
    </row>
    <row r="632" spans="4:6" ht="12.5">
      <c r="D632" s="8"/>
      <c r="E632" s="8"/>
      <c r="F632" s="8"/>
    </row>
    <row r="633" spans="4:6" ht="12.5">
      <c r="D633" s="8"/>
      <c r="E633" s="8"/>
      <c r="F633" s="8"/>
    </row>
    <row r="634" spans="4:6" ht="12.5">
      <c r="D634" s="8"/>
      <c r="E634" s="8"/>
      <c r="F634" s="8"/>
    </row>
    <row r="635" spans="4:6" ht="12.5">
      <c r="D635" s="8"/>
      <c r="E635" s="8"/>
      <c r="F635" s="8"/>
    </row>
    <row r="636" spans="4:6" ht="12.5">
      <c r="D636" s="8"/>
      <c r="E636" s="8"/>
      <c r="F636" s="8"/>
    </row>
    <row r="637" spans="4:6" ht="12.5">
      <c r="D637" s="8"/>
      <c r="E637" s="8"/>
      <c r="F637" s="8"/>
    </row>
    <row r="638" spans="4:6" ht="12.5">
      <c r="D638" s="8"/>
      <c r="E638" s="8"/>
      <c r="F638" s="8"/>
    </row>
    <row r="639" spans="4:6" ht="12.5">
      <c r="D639" s="8"/>
      <c r="E639" s="8"/>
      <c r="F639" s="8"/>
    </row>
    <row r="640" spans="4:6" ht="12.5">
      <c r="D640" s="8"/>
      <c r="E640" s="8"/>
      <c r="F640" s="8"/>
    </row>
    <row r="641" spans="4:6" ht="12.5">
      <c r="D641" s="8"/>
      <c r="E641" s="8"/>
      <c r="F641" s="8"/>
    </row>
    <row r="642" spans="4:6" ht="12.5">
      <c r="D642" s="8"/>
      <c r="E642" s="8"/>
      <c r="F642" s="8"/>
    </row>
    <row r="643" spans="4:6" ht="12.5">
      <c r="D643" s="8"/>
      <c r="E643" s="8"/>
      <c r="F643" s="8"/>
    </row>
    <row r="644" spans="4:6" ht="12.5">
      <c r="D644" s="8"/>
      <c r="E644" s="8"/>
      <c r="F644" s="8"/>
    </row>
    <row r="645" spans="4:6" ht="12.5">
      <c r="D645" s="8"/>
      <c r="E645" s="8"/>
      <c r="F645" s="8"/>
    </row>
    <row r="646" spans="4:6" ht="12.5">
      <c r="D646" s="8"/>
      <c r="E646" s="8"/>
      <c r="F646" s="8"/>
    </row>
    <row r="647" spans="4:6" ht="12.5">
      <c r="D647" s="8"/>
      <c r="E647" s="8"/>
      <c r="F647" s="8"/>
    </row>
    <row r="648" spans="4:6" ht="12.5">
      <c r="D648" s="8"/>
      <c r="E648" s="8"/>
      <c r="F648" s="8"/>
    </row>
    <row r="649" spans="4:6" ht="12.5">
      <c r="D649" s="8"/>
      <c r="E649" s="8"/>
      <c r="F649" s="8"/>
    </row>
    <row r="650" spans="4:6" ht="12.5">
      <c r="D650" s="8"/>
      <c r="E650" s="8"/>
      <c r="F650" s="8"/>
    </row>
    <row r="651" spans="4:6" ht="12.5">
      <c r="D651" s="8"/>
      <c r="E651" s="8"/>
      <c r="F651" s="8"/>
    </row>
    <row r="652" spans="4:6" ht="12.5">
      <c r="D652" s="8"/>
      <c r="E652" s="8"/>
      <c r="F652" s="8"/>
    </row>
    <row r="653" spans="4:6" ht="12.5">
      <c r="D653" s="8"/>
      <c r="E653" s="8"/>
      <c r="F653" s="8"/>
    </row>
    <row r="654" spans="4:6" ht="12.5">
      <c r="D654" s="8"/>
      <c r="E654" s="8"/>
      <c r="F654" s="8"/>
    </row>
    <row r="655" spans="4:6" ht="12.5">
      <c r="D655" s="8"/>
      <c r="E655" s="8"/>
      <c r="F655" s="8"/>
    </row>
    <row r="656" spans="4:6" ht="12.5">
      <c r="D656" s="8"/>
      <c r="E656" s="8"/>
      <c r="F656" s="8"/>
    </row>
    <row r="657" spans="4:6" ht="12.5">
      <c r="D657" s="8"/>
      <c r="E657" s="8"/>
      <c r="F657" s="8"/>
    </row>
    <row r="658" spans="4:6" ht="12.5">
      <c r="D658" s="8"/>
      <c r="E658" s="8"/>
      <c r="F658" s="8"/>
    </row>
    <row r="659" spans="4:6" ht="12.5">
      <c r="D659" s="8"/>
      <c r="E659" s="8"/>
      <c r="F659" s="8"/>
    </row>
    <row r="660" spans="4:6" ht="12.5">
      <c r="D660" s="8"/>
      <c r="E660" s="8"/>
      <c r="F660" s="8"/>
    </row>
    <row r="661" spans="4:6" ht="12.5">
      <c r="D661" s="8"/>
      <c r="E661" s="8"/>
      <c r="F661" s="8"/>
    </row>
    <row r="662" spans="4:6" ht="12.5">
      <c r="D662" s="8"/>
      <c r="E662" s="8"/>
      <c r="F662" s="8"/>
    </row>
    <row r="663" spans="4:6" ht="12.5">
      <c r="D663" s="8"/>
      <c r="E663" s="8"/>
      <c r="F663" s="8"/>
    </row>
    <row r="664" spans="4:6" ht="12.5">
      <c r="D664" s="8"/>
      <c r="E664" s="8"/>
      <c r="F664" s="8"/>
    </row>
    <row r="665" spans="4:6" ht="12.5">
      <c r="D665" s="8"/>
      <c r="E665" s="8"/>
      <c r="F665" s="8"/>
    </row>
    <row r="666" spans="4:6" ht="12.5">
      <c r="D666" s="8"/>
      <c r="E666" s="8"/>
      <c r="F666" s="8"/>
    </row>
    <row r="667" spans="4:6" ht="12.5">
      <c r="D667" s="8"/>
      <c r="E667" s="8"/>
      <c r="F667" s="8"/>
    </row>
    <row r="668" spans="4:6" ht="12.5">
      <c r="D668" s="8"/>
      <c r="E668" s="8"/>
      <c r="F668" s="8"/>
    </row>
    <row r="669" spans="4:6" ht="12.5">
      <c r="D669" s="8"/>
      <c r="E669" s="8"/>
      <c r="F669" s="8"/>
    </row>
    <row r="670" spans="4:6" ht="12.5">
      <c r="D670" s="8"/>
      <c r="E670" s="8"/>
      <c r="F670" s="8"/>
    </row>
    <row r="671" spans="4:6" ht="12.5">
      <c r="D671" s="8"/>
      <c r="E671" s="8"/>
      <c r="F671" s="8"/>
    </row>
    <row r="672" spans="4:6" ht="12.5">
      <c r="D672" s="8"/>
      <c r="E672" s="8"/>
      <c r="F672" s="8"/>
    </row>
    <row r="673" spans="4:6" ht="12.5">
      <c r="D673" s="8"/>
      <c r="E673" s="8"/>
      <c r="F673" s="8"/>
    </row>
    <row r="674" spans="4:6" ht="12.5">
      <c r="D674" s="8"/>
      <c r="E674" s="8"/>
      <c r="F674" s="8"/>
    </row>
    <row r="675" spans="4:6" ht="12.5">
      <c r="D675" s="8"/>
      <c r="E675" s="8"/>
      <c r="F675" s="8"/>
    </row>
    <row r="676" spans="4:6" ht="12.5">
      <c r="D676" s="8"/>
      <c r="E676" s="8"/>
      <c r="F676" s="8"/>
    </row>
    <row r="677" spans="4:6" ht="12.5">
      <c r="D677" s="8"/>
      <c r="E677" s="8"/>
      <c r="F677" s="8"/>
    </row>
    <row r="678" spans="4:6" ht="12.5">
      <c r="D678" s="8"/>
      <c r="E678" s="8"/>
      <c r="F678" s="8"/>
    </row>
    <row r="679" spans="4:6" ht="12.5">
      <c r="D679" s="8"/>
      <c r="E679" s="8"/>
      <c r="F679" s="8"/>
    </row>
    <row r="680" spans="4:6" ht="12.5">
      <c r="D680" s="8"/>
      <c r="E680" s="8"/>
      <c r="F680" s="8"/>
    </row>
    <row r="681" spans="4:6" ht="12.5">
      <c r="D681" s="8"/>
      <c r="E681" s="8"/>
      <c r="F681" s="8"/>
    </row>
    <row r="682" spans="4:6" ht="12.5">
      <c r="D682" s="8"/>
      <c r="E682" s="8"/>
      <c r="F682" s="8"/>
    </row>
    <row r="683" spans="4:6" ht="12.5">
      <c r="D683" s="8"/>
      <c r="E683" s="8"/>
      <c r="F683" s="8"/>
    </row>
    <row r="684" spans="4:6" ht="12.5">
      <c r="D684" s="8"/>
      <c r="E684" s="8"/>
      <c r="F684" s="8"/>
    </row>
    <row r="685" spans="4:6" ht="12.5">
      <c r="D685" s="8"/>
      <c r="E685" s="8"/>
      <c r="F685" s="8"/>
    </row>
    <row r="686" spans="4:6" ht="12.5">
      <c r="D686" s="8"/>
      <c r="E686" s="8"/>
      <c r="F686" s="8"/>
    </row>
    <row r="687" spans="4:6" ht="12.5">
      <c r="D687" s="8"/>
      <c r="E687" s="8"/>
      <c r="F687" s="8"/>
    </row>
    <row r="688" spans="4:6" ht="12.5">
      <c r="D688" s="8"/>
      <c r="E688" s="8"/>
      <c r="F688" s="8"/>
    </row>
    <row r="689" spans="4:6" ht="12.5">
      <c r="D689" s="8"/>
      <c r="E689" s="8"/>
      <c r="F689" s="8"/>
    </row>
    <row r="690" spans="4:6" ht="12.5">
      <c r="D690" s="8"/>
      <c r="E690" s="8"/>
      <c r="F690" s="8"/>
    </row>
    <row r="691" spans="4:6" ht="12.5">
      <c r="D691" s="8"/>
      <c r="E691" s="8"/>
      <c r="F691" s="8"/>
    </row>
    <row r="692" spans="4:6" ht="12.5">
      <c r="D692" s="8"/>
      <c r="E692" s="8"/>
      <c r="F692" s="8"/>
    </row>
    <row r="693" spans="4:6" ht="12.5">
      <c r="D693" s="8"/>
      <c r="E693" s="8"/>
      <c r="F693" s="8"/>
    </row>
    <row r="694" spans="4:6" ht="12.5">
      <c r="D694" s="8"/>
      <c r="E694" s="8"/>
      <c r="F694" s="8"/>
    </row>
    <row r="695" spans="4:6" ht="12.5">
      <c r="D695" s="8"/>
      <c r="E695" s="8"/>
      <c r="F695" s="8"/>
    </row>
    <row r="696" spans="4:6" ht="12.5">
      <c r="D696" s="8"/>
      <c r="E696" s="8"/>
      <c r="F696" s="8"/>
    </row>
    <row r="697" spans="4:6" ht="12.5">
      <c r="D697" s="8"/>
      <c r="E697" s="8"/>
      <c r="F697" s="8"/>
    </row>
    <row r="698" spans="4:6" ht="12.5">
      <c r="D698" s="8"/>
      <c r="E698" s="8"/>
      <c r="F698" s="8"/>
    </row>
    <row r="699" spans="4:6" ht="12.5">
      <c r="D699" s="8"/>
      <c r="E699" s="8"/>
      <c r="F699" s="8"/>
    </row>
    <row r="700" spans="4:6" ht="12.5">
      <c r="D700" s="8"/>
      <c r="E700" s="8"/>
      <c r="F700" s="8"/>
    </row>
    <row r="701" spans="4:6" ht="12.5">
      <c r="D701" s="8"/>
      <c r="E701" s="8"/>
      <c r="F701" s="8"/>
    </row>
    <row r="702" spans="4:6" ht="12.5">
      <c r="D702" s="8"/>
      <c r="E702" s="8"/>
      <c r="F702" s="8"/>
    </row>
    <row r="703" spans="4:6" ht="12.5">
      <c r="D703" s="8"/>
      <c r="E703" s="8"/>
      <c r="F703" s="8"/>
    </row>
    <row r="704" spans="4:6" ht="12.5">
      <c r="D704" s="8"/>
      <c r="E704" s="8"/>
      <c r="F704" s="8"/>
    </row>
    <row r="705" spans="4:6" ht="12.5">
      <c r="D705" s="8"/>
      <c r="E705" s="8"/>
      <c r="F705" s="8"/>
    </row>
    <row r="706" spans="4:6" ht="12.5">
      <c r="D706" s="8"/>
      <c r="E706" s="8"/>
      <c r="F706" s="8"/>
    </row>
    <row r="707" spans="4:6" ht="12.5">
      <c r="D707" s="8"/>
      <c r="E707" s="8"/>
      <c r="F707" s="8"/>
    </row>
    <row r="708" spans="4:6" ht="12.5">
      <c r="D708" s="8"/>
      <c r="E708" s="8"/>
      <c r="F708" s="8"/>
    </row>
    <row r="709" spans="4:6" ht="12.5">
      <c r="D709" s="8"/>
      <c r="E709" s="8"/>
      <c r="F709" s="8"/>
    </row>
    <row r="710" spans="4:6" ht="12.5">
      <c r="D710" s="8"/>
      <c r="E710" s="8"/>
      <c r="F710" s="8"/>
    </row>
    <row r="711" spans="4:6" ht="12.5">
      <c r="D711" s="8"/>
      <c r="E711" s="8"/>
      <c r="F711" s="8"/>
    </row>
    <row r="712" spans="4:6" ht="12.5">
      <c r="D712" s="8"/>
      <c r="E712" s="8"/>
      <c r="F712" s="8"/>
    </row>
    <row r="713" spans="4:6" ht="12.5">
      <c r="D713" s="8"/>
      <c r="E713" s="8"/>
      <c r="F713" s="8"/>
    </row>
    <row r="714" spans="4:6" ht="12.5">
      <c r="D714" s="8"/>
      <c r="E714" s="8"/>
      <c r="F714" s="8"/>
    </row>
    <row r="715" spans="4:6" ht="12.5">
      <c r="D715" s="8"/>
      <c r="E715" s="8"/>
      <c r="F715" s="8"/>
    </row>
    <row r="716" spans="4:6" ht="12.5">
      <c r="D716" s="8"/>
      <c r="E716" s="8"/>
      <c r="F716" s="8"/>
    </row>
    <row r="717" spans="4:6" ht="12.5">
      <c r="D717" s="8"/>
      <c r="E717" s="8"/>
      <c r="F717" s="8"/>
    </row>
    <row r="718" spans="4:6" ht="12.5">
      <c r="D718" s="8"/>
      <c r="E718" s="8"/>
      <c r="F718" s="8"/>
    </row>
    <row r="719" spans="4:6" ht="12.5">
      <c r="D719" s="8"/>
      <c r="E719" s="8"/>
      <c r="F719" s="8"/>
    </row>
    <row r="720" spans="4:6" ht="12.5">
      <c r="D720" s="8"/>
      <c r="E720" s="8"/>
      <c r="F720" s="8"/>
    </row>
    <row r="721" spans="4:6" ht="12.5">
      <c r="D721" s="8"/>
      <c r="E721" s="8"/>
      <c r="F721" s="8"/>
    </row>
    <row r="722" spans="4:6" ht="12.5">
      <c r="D722" s="8"/>
      <c r="E722" s="8"/>
      <c r="F722" s="8"/>
    </row>
    <row r="723" spans="4:6" ht="12.5">
      <c r="D723" s="8"/>
      <c r="E723" s="8"/>
      <c r="F723" s="8"/>
    </row>
    <row r="724" spans="4:6" ht="12.5">
      <c r="D724" s="8"/>
      <c r="E724" s="8"/>
      <c r="F724" s="8"/>
    </row>
    <row r="725" spans="4:6" ht="12.5">
      <c r="D725" s="8"/>
      <c r="E725" s="8"/>
      <c r="F725" s="8"/>
    </row>
    <row r="726" spans="4:6" ht="12.5">
      <c r="D726" s="8"/>
      <c r="E726" s="8"/>
      <c r="F726" s="8"/>
    </row>
    <row r="727" spans="4:6" ht="12.5">
      <c r="D727" s="8"/>
      <c r="E727" s="8"/>
      <c r="F727" s="8"/>
    </row>
    <row r="728" spans="4:6" ht="12.5">
      <c r="D728" s="8"/>
      <c r="E728" s="8"/>
      <c r="F728" s="8"/>
    </row>
    <row r="729" spans="4:6" ht="12.5">
      <c r="D729" s="8"/>
      <c r="E729" s="8"/>
      <c r="F729" s="8"/>
    </row>
    <row r="730" spans="4:6" ht="12.5">
      <c r="D730" s="8"/>
      <c r="E730" s="8"/>
      <c r="F730" s="8"/>
    </row>
    <row r="731" spans="4:6" ht="12.5">
      <c r="D731" s="8"/>
      <c r="E731" s="8"/>
      <c r="F731" s="8"/>
    </row>
    <row r="732" spans="4:6" ht="12.5">
      <c r="D732" s="8"/>
      <c r="E732" s="8"/>
      <c r="F732" s="8"/>
    </row>
    <row r="733" spans="4:6" ht="12.5">
      <c r="D733" s="8"/>
      <c r="E733" s="8"/>
      <c r="F733" s="8"/>
    </row>
    <row r="734" spans="4:6" ht="12.5">
      <c r="D734" s="8"/>
      <c r="E734" s="8"/>
      <c r="F734" s="8"/>
    </row>
    <row r="735" spans="4:6" ht="12.5">
      <c r="D735" s="8"/>
      <c r="E735" s="8"/>
      <c r="F735" s="8"/>
    </row>
    <row r="736" spans="4:6" ht="12.5">
      <c r="D736" s="8"/>
      <c r="E736" s="8"/>
      <c r="F736" s="8"/>
    </row>
    <row r="737" spans="4:6" ht="12.5">
      <c r="D737" s="8"/>
      <c r="E737" s="8"/>
      <c r="F737" s="8"/>
    </row>
    <row r="738" spans="4:6" ht="12.5">
      <c r="D738" s="8"/>
      <c r="E738" s="8"/>
      <c r="F738" s="8"/>
    </row>
    <row r="739" spans="4:6" ht="12.5">
      <c r="D739" s="8"/>
      <c r="E739" s="8"/>
      <c r="F739" s="8"/>
    </row>
    <row r="740" spans="4:6" ht="12.5">
      <c r="D740" s="8"/>
      <c r="E740" s="8"/>
      <c r="F740" s="8"/>
    </row>
    <row r="741" spans="4:6" ht="12.5">
      <c r="D741" s="8"/>
      <c r="E741" s="8"/>
      <c r="F741" s="8"/>
    </row>
    <row r="742" spans="4:6" ht="12.5">
      <c r="D742" s="8"/>
      <c r="E742" s="8"/>
      <c r="F742" s="8"/>
    </row>
    <row r="743" spans="4:6" ht="12.5">
      <c r="D743" s="8"/>
      <c r="E743" s="8"/>
      <c r="F743" s="8"/>
    </row>
    <row r="744" spans="4:6" ht="12.5">
      <c r="D744" s="8"/>
      <c r="E744" s="8"/>
      <c r="F744" s="8"/>
    </row>
    <row r="745" spans="4:6" ht="12.5">
      <c r="D745" s="8"/>
      <c r="E745" s="8"/>
      <c r="F745" s="8"/>
    </row>
    <row r="746" spans="4:6" ht="12.5">
      <c r="D746" s="8"/>
      <c r="E746" s="8"/>
      <c r="F746" s="8"/>
    </row>
    <row r="747" spans="4:6" ht="12.5">
      <c r="D747" s="8"/>
      <c r="E747" s="8"/>
      <c r="F747" s="8"/>
    </row>
    <row r="748" spans="4:6" ht="12.5">
      <c r="D748" s="8"/>
      <c r="E748" s="8"/>
      <c r="F748" s="8"/>
    </row>
    <row r="749" spans="4:6" ht="12.5">
      <c r="D749" s="8"/>
      <c r="E749" s="8"/>
      <c r="F749" s="8"/>
    </row>
    <row r="750" spans="4:6" ht="12.5">
      <c r="D750" s="8"/>
      <c r="E750" s="8"/>
      <c r="F750" s="8"/>
    </row>
    <row r="751" spans="4:6" ht="12.5">
      <c r="D751" s="8"/>
      <c r="E751" s="8"/>
      <c r="F751" s="8"/>
    </row>
    <row r="752" spans="4:6" ht="12.5">
      <c r="D752" s="8"/>
      <c r="E752" s="8"/>
      <c r="F752" s="8"/>
    </row>
    <row r="753" spans="4:6" ht="12.5">
      <c r="D753" s="8"/>
      <c r="E753" s="8"/>
      <c r="F753" s="8"/>
    </row>
    <row r="754" spans="4:6" ht="12.5">
      <c r="D754" s="8"/>
      <c r="E754" s="8"/>
      <c r="F754" s="8"/>
    </row>
    <row r="755" spans="4:6" ht="12.5">
      <c r="D755" s="8"/>
      <c r="E755" s="8"/>
      <c r="F755" s="8"/>
    </row>
    <row r="756" spans="4:6" ht="12.5">
      <c r="D756" s="8"/>
      <c r="E756" s="8"/>
      <c r="F756" s="8"/>
    </row>
    <row r="757" spans="4:6" ht="12.5">
      <c r="D757" s="8"/>
      <c r="E757" s="8"/>
      <c r="F757" s="8"/>
    </row>
    <row r="758" spans="4:6" ht="12.5">
      <c r="D758" s="8"/>
      <c r="E758" s="8"/>
      <c r="F758" s="8"/>
    </row>
    <row r="759" spans="4:6" ht="12.5">
      <c r="D759" s="8"/>
      <c r="E759" s="8"/>
      <c r="F759" s="8"/>
    </row>
    <row r="760" spans="4:6" ht="12.5">
      <c r="D760" s="8"/>
      <c r="E760" s="8"/>
      <c r="F760" s="8"/>
    </row>
  </sheetData>
  <autoFilter ref="A1:AA760" xr:uid="{00000000-0009-0000-0000-000005000000}"/>
  <hyperlinks>
    <hyperlink ref="D2" r:id="rId1" xr:uid="{00000000-0004-0000-0500-000000000000}"/>
    <hyperlink ref="E2" r:id="rId2" xr:uid="{00000000-0004-0000-0500-000001000000}"/>
    <hyperlink ref="F4" r:id="rId3" xr:uid="{00000000-0004-0000-0500-000002000000}"/>
    <hyperlink ref="F6" r:id="rId4" xr:uid="{00000000-0004-0000-0500-000003000000}"/>
    <hyperlink ref="D9" r:id="rId5" xr:uid="{00000000-0004-0000-0500-000004000000}"/>
    <hyperlink ref="D12" r:id="rId6" xr:uid="{00000000-0004-0000-0500-000005000000}"/>
    <hyperlink ref="D17" r:id="rId7" xr:uid="{00000000-0004-0000-0500-000006000000}"/>
    <hyperlink ref="D18" r:id="rId8" xr:uid="{00000000-0004-0000-0500-000007000000}"/>
    <hyperlink ref="E19" r:id="rId9" xr:uid="{00000000-0004-0000-0500-000008000000}"/>
    <hyperlink ref="D20" r:id="rId10" xr:uid="{00000000-0004-0000-0500-000009000000}"/>
    <hyperlink ref="D22" r:id="rId11" xr:uid="{00000000-0004-0000-0500-00000A000000}"/>
    <hyperlink ref="F24" r:id="rId12" xr:uid="{00000000-0004-0000-0500-00000B000000}"/>
    <hyperlink ref="D33" r:id="rId13" xr:uid="{00000000-0004-0000-0500-00000C000000}"/>
    <hyperlink ref="D36" r:id="rId14" xr:uid="{00000000-0004-0000-0500-00000D000000}"/>
    <hyperlink ref="D41" r:id="rId15" xr:uid="{00000000-0004-0000-0500-00000E000000}"/>
    <hyperlink ref="D47" r:id="rId16" xr:uid="{00000000-0004-0000-0500-00000F000000}"/>
    <hyperlink ref="D60" r:id="rId17" xr:uid="{00000000-0004-0000-0500-000010000000}"/>
    <hyperlink ref="D63" r:id="rId18" xr:uid="{00000000-0004-0000-0500-000011000000}"/>
    <hyperlink ref="D65" r:id="rId19" xr:uid="{00000000-0004-0000-0500-000012000000}"/>
    <hyperlink ref="D67" r:id="rId20" xr:uid="{00000000-0004-0000-0500-000013000000}"/>
    <hyperlink ref="D70" r:id="rId21" xr:uid="{00000000-0004-0000-0500-000014000000}"/>
    <hyperlink ref="D84" r:id="rId22" xr:uid="{00000000-0004-0000-0500-000015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C1"/>
  <sheetViews>
    <sheetView workbookViewId="0"/>
  </sheetViews>
  <sheetFormatPr defaultColWidth="12.6328125" defaultRowHeight="15.75" customHeight="1"/>
  <sheetData>
    <row r="1" spans="1:29" ht="15.75" customHeight="1">
      <c r="A1" s="4" t="s">
        <v>13733</v>
      </c>
      <c r="B1" s="4" t="s">
        <v>13734</v>
      </c>
      <c r="C1" s="4" t="s">
        <v>13735</v>
      </c>
      <c r="D1" s="4" t="s">
        <v>13736</v>
      </c>
      <c r="E1" s="4" t="s">
        <v>13737</v>
      </c>
      <c r="F1" s="4" t="s">
        <v>13738</v>
      </c>
      <c r="G1" s="4" t="s">
        <v>13739</v>
      </c>
      <c r="H1" s="4" t="s">
        <v>13740</v>
      </c>
      <c r="I1" s="4" t="s">
        <v>13741</v>
      </c>
      <c r="J1" s="4" t="s">
        <v>13742</v>
      </c>
      <c r="K1" s="4" t="s">
        <v>13743</v>
      </c>
      <c r="L1" s="4" t="s">
        <v>13744</v>
      </c>
      <c r="M1" s="4" t="s">
        <v>13745</v>
      </c>
      <c r="N1" s="4" t="s">
        <v>13746</v>
      </c>
      <c r="O1" s="4" t="s">
        <v>13747</v>
      </c>
      <c r="P1" s="4" t="s">
        <v>13748</v>
      </c>
      <c r="Q1" s="4" t="s">
        <v>13749</v>
      </c>
      <c r="R1" s="4" t="s">
        <v>13750</v>
      </c>
      <c r="S1" s="4" t="s">
        <v>13751</v>
      </c>
      <c r="T1" s="4" t="s">
        <v>13752</v>
      </c>
      <c r="U1" s="4" t="s">
        <v>13753</v>
      </c>
      <c r="V1" s="4" t="s">
        <v>13754</v>
      </c>
      <c r="W1" s="4" t="s">
        <v>13755</v>
      </c>
      <c r="X1" s="4" t="s">
        <v>13756</v>
      </c>
      <c r="Y1" s="4" t="s">
        <v>13757</v>
      </c>
      <c r="Z1" s="4" t="s">
        <v>13758</v>
      </c>
      <c r="AA1" s="4" t="s">
        <v>13759</v>
      </c>
      <c r="AB1" s="4" t="s">
        <v>13760</v>
      </c>
      <c r="AC1" s="4" t="s">
        <v>13761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Template 1 Template</vt:lpstr>
      <vt:lpstr>NVScriptsProperties</vt:lpstr>
      <vt:lpstr>Sheet1</vt:lpstr>
      <vt:lpstr>Sheet2</vt:lpstr>
      <vt:lpstr>Sheet6</vt:lpstr>
      <vt:lpstr>GMAP</vt:lpstr>
      <vt:lpstr>Kirim DPL</vt:lpstr>
      <vt:lpstr>DO NOT DELETE - AutoCrat Job Se</vt:lpstr>
      <vt:lpstr>GeocodeAddressColumn_GMAP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Rosyam Dani</dc:creator>
  <cp:lastModifiedBy>Rosyam Dani</cp:lastModifiedBy>
  <dcterms:created xsi:type="dcterms:W3CDTF">2024-03-30T12:44:26Z</dcterms:created>
  <dcterms:modified xsi:type="dcterms:W3CDTF">2024-03-30T12:48:43Z</dcterms:modified>
</cp:coreProperties>
</file>